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7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ivingAny\Transfer Entropy\EyeHeadDirc\"/>
    </mc:Choice>
  </mc:AlternateContent>
  <xr:revisionPtr revIDLastSave="0" documentId="8_{A8FD6D44-8D37-4D4F-8837-29A80CC4CEB0}" xr6:coauthVersionLast="45" xr6:coauthVersionMax="45" xr10:uidLastSave="{00000000-0000-0000-0000-000000000000}"/>
  <bookViews>
    <workbookView xWindow="1152" yWindow="1152" windowWidth="17280" windowHeight="8964"/>
  </bookViews>
  <sheets>
    <sheet name="TxtToExcel_Tem_Txt" sheetId="1" r:id="rId1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2" i="1" l="1"/>
  <c r="B2" i="1"/>
  <c r="A3" i="1"/>
  <c r="B3" i="1"/>
  <c r="A4" i="1"/>
  <c r="B4" i="1"/>
  <c r="A5" i="1"/>
  <c r="B5" i="1"/>
  <c r="A6" i="1"/>
  <c r="B6" i="1"/>
  <c r="A7" i="1"/>
  <c r="B7" i="1"/>
  <c r="A8" i="1"/>
  <c r="B8" i="1"/>
  <c r="A9" i="1"/>
  <c r="B9" i="1"/>
  <c r="A10" i="1"/>
  <c r="B10" i="1"/>
  <c r="A11" i="1"/>
  <c r="B11" i="1"/>
  <c r="A12" i="1"/>
  <c r="B12" i="1"/>
  <c r="A13" i="1"/>
  <c r="B13" i="1"/>
  <c r="A14" i="1"/>
  <c r="B14" i="1"/>
  <c r="A15" i="1"/>
  <c r="B15" i="1"/>
  <c r="A16" i="1"/>
  <c r="B16" i="1"/>
  <c r="A17" i="1"/>
  <c r="B17" i="1"/>
  <c r="A18" i="1"/>
  <c r="B18" i="1"/>
  <c r="A19" i="1"/>
  <c r="B19" i="1"/>
  <c r="A20" i="1"/>
  <c r="B20" i="1"/>
  <c r="A21" i="1"/>
  <c r="B21" i="1"/>
  <c r="A22" i="1"/>
  <c r="B22" i="1"/>
  <c r="A23" i="1"/>
  <c r="B23" i="1"/>
  <c r="A24" i="1"/>
  <c r="B24" i="1"/>
  <c r="A25" i="1"/>
  <c r="B25" i="1"/>
  <c r="A26" i="1"/>
  <c r="B26" i="1"/>
  <c r="A27" i="1"/>
  <c r="B27" i="1"/>
  <c r="A28" i="1"/>
  <c r="B28" i="1"/>
  <c r="A29" i="1"/>
  <c r="B29" i="1"/>
  <c r="A30" i="1"/>
  <c r="B30" i="1"/>
  <c r="A31" i="1"/>
  <c r="B31" i="1"/>
  <c r="A32" i="1"/>
  <c r="B32" i="1"/>
  <c r="A33" i="1"/>
  <c r="B33" i="1"/>
  <c r="A34" i="1"/>
  <c r="B34" i="1"/>
  <c r="A35" i="1"/>
  <c r="B35" i="1"/>
  <c r="A36" i="1"/>
  <c r="B36" i="1"/>
  <c r="A37" i="1"/>
  <c r="B37" i="1"/>
  <c r="A38" i="1"/>
  <c r="B38" i="1"/>
  <c r="A39" i="1"/>
  <c r="B39" i="1"/>
  <c r="A40" i="1"/>
  <c r="B40" i="1"/>
  <c r="A41" i="1"/>
  <c r="B41" i="1"/>
  <c r="A42" i="1"/>
  <c r="B42" i="1"/>
  <c r="A43" i="1"/>
  <c r="B43" i="1"/>
  <c r="A44" i="1"/>
  <c r="B44" i="1"/>
  <c r="A45" i="1"/>
  <c r="B45" i="1"/>
  <c r="A46" i="1"/>
  <c r="B46" i="1"/>
  <c r="A47" i="1"/>
  <c r="B47" i="1"/>
  <c r="A48" i="1"/>
  <c r="B48" i="1"/>
  <c r="A49" i="1"/>
  <c r="B49" i="1"/>
  <c r="A50" i="1"/>
  <c r="B50" i="1"/>
  <c r="A51" i="1"/>
  <c r="B51" i="1"/>
  <c r="A52" i="1"/>
  <c r="B52" i="1"/>
  <c r="A53" i="1"/>
  <c r="B53" i="1"/>
  <c r="A54" i="1"/>
  <c r="B54" i="1"/>
  <c r="A55" i="1"/>
  <c r="B55" i="1"/>
  <c r="A56" i="1"/>
  <c r="B56" i="1"/>
  <c r="A57" i="1"/>
  <c r="B57" i="1"/>
  <c r="A58" i="1"/>
  <c r="B58" i="1"/>
  <c r="A59" i="1"/>
  <c r="B59" i="1"/>
  <c r="A60" i="1"/>
  <c r="B60" i="1"/>
  <c r="A61" i="1"/>
  <c r="B61" i="1"/>
  <c r="A62" i="1"/>
  <c r="B62" i="1"/>
  <c r="A63" i="1"/>
  <c r="B63" i="1"/>
  <c r="A64" i="1"/>
  <c r="B64" i="1"/>
  <c r="A65" i="1"/>
  <c r="B65" i="1"/>
  <c r="A66" i="1"/>
  <c r="B66" i="1"/>
  <c r="A67" i="1"/>
  <c r="B67" i="1"/>
  <c r="A68" i="1"/>
  <c r="B68" i="1"/>
  <c r="A69" i="1"/>
  <c r="B69" i="1"/>
  <c r="A70" i="1"/>
  <c r="B70" i="1"/>
  <c r="A71" i="1"/>
  <c r="B71" i="1"/>
  <c r="A72" i="1"/>
  <c r="B72" i="1"/>
  <c r="A73" i="1"/>
  <c r="B73" i="1"/>
  <c r="A74" i="1"/>
  <c r="B74" i="1"/>
  <c r="A75" i="1"/>
  <c r="B75" i="1"/>
  <c r="A76" i="1"/>
  <c r="B76" i="1"/>
  <c r="A77" i="1"/>
  <c r="B77" i="1"/>
  <c r="A78" i="1"/>
  <c r="B78" i="1"/>
  <c r="A79" i="1"/>
  <c r="B79" i="1"/>
  <c r="A80" i="1"/>
  <c r="B80" i="1"/>
  <c r="A81" i="1"/>
  <c r="B81" i="1"/>
  <c r="A82" i="1"/>
  <c r="B82" i="1"/>
  <c r="A83" i="1"/>
  <c r="B83" i="1"/>
  <c r="A84" i="1"/>
  <c r="B84" i="1"/>
  <c r="A85" i="1"/>
  <c r="B85" i="1"/>
  <c r="A86" i="1"/>
  <c r="B86" i="1"/>
  <c r="A87" i="1"/>
  <c r="B87" i="1"/>
  <c r="A88" i="1"/>
  <c r="B88" i="1"/>
  <c r="A89" i="1"/>
  <c r="B89" i="1"/>
  <c r="A90" i="1"/>
  <c r="B90" i="1"/>
  <c r="A91" i="1"/>
  <c r="B91" i="1"/>
  <c r="A92" i="1"/>
  <c r="B92" i="1"/>
  <c r="A93" i="1"/>
  <c r="B93" i="1"/>
  <c r="A94" i="1"/>
  <c r="B94" i="1"/>
  <c r="A95" i="1"/>
  <c r="B95" i="1"/>
  <c r="A96" i="1"/>
  <c r="B96" i="1"/>
  <c r="A97" i="1"/>
  <c r="B97" i="1"/>
  <c r="A98" i="1"/>
  <c r="B98" i="1"/>
  <c r="A99" i="1"/>
  <c r="B99" i="1"/>
  <c r="A100" i="1"/>
  <c r="B100" i="1"/>
  <c r="A101" i="1"/>
  <c r="B101" i="1"/>
  <c r="A102" i="1"/>
  <c r="B102" i="1"/>
  <c r="A103" i="1"/>
  <c r="B103" i="1"/>
  <c r="A104" i="1"/>
  <c r="B104" i="1"/>
  <c r="A105" i="1"/>
  <c r="B105" i="1"/>
  <c r="A106" i="1"/>
  <c r="B106" i="1"/>
  <c r="A107" i="1"/>
  <c r="B107" i="1"/>
  <c r="A108" i="1"/>
  <c r="B108" i="1"/>
  <c r="A109" i="1"/>
  <c r="B109" i="1"/>
  <c r="A110" i="1"/>
  <c r="B110" i="1"/>
  <c r="A111" i="1"/>
  <c r="B111" i="1"/>
  <c r="A112" i="1"/>
  <c r="B112" i="1"/>
  <c r="A113" i="1"/>
  <c r="B113" i="1"/>
  <c r="A114" i="1"/>
  <c r="B114" i="1"/>
  <c r="A115" i="1"/>
  <c r="B115" i="1"/>
  <c r="A116" i="1"/>
  <c r="B116" i="1"/>
  <c r="A117" i="1"/>
  <c r="B117" i="1"/>
  <c r="A118" i="1"/>
  <c r="B118" i="1"/>
  <c r="A119" i="1"/>
  <c r="B119" i="1"/>
  <c r="A120" i="1"/>
  <c r="B120" i="1"/>
  <c r="A121" i="1"/>
  <c r="B121" i="1"/>
  <c r="A122" i="1"/>
  <c r="B122" i="1"/>
  <c r="A123" i="1"/>
  <c r="B123" i="1"/>
  <c r="A124" i="1"/>
  <c r="B124" i="1"/>
  <c r="A125" i="1"/>
  <c r="B125" i="1"/>
  <c r="A126" i="1"/>
  <c r="B126" i="1"/>
  <c r="A127" i="1"/>
  <c r="B127" i="1"/>
  <c r="A128" i="1"/>
  <c r="B128" i="1"/>
  <c r="A129" i="1"/>
  <c r="B129" i="1"/>
  <c r="A130" i="1"/>
  <c r="B130" i="1"/>
  <c r="A131" i="1"/>
  <c r="B131" i="1"/>
  <c r="A132" i="1"/>
  <c r="B132" i="1"/>
  <c r="A133" i="1"/>
  <c r="B133" i="1"/>
  <c r="A134" i="1"/>
  <c r="B134" i="1"/>
  <c r="A135" i="1"/>
  <c r="B135" i="1"/>
  <c r="A136" i="1"/>
  <c r="B136" i="1"/>
  <c r="A137" i="1"/>
  <c r="B137" i="1"/>
  <c r="A138" i="1"/>
  <c r="B138" i="1"/>
  <c r="A139" i="1"/>
  <c r="B139" i="1"/>
  <c r="A140" i="1"/>
  <c r="B140" i="1"/>
  <c r="A141" i="1"/>
  <c r="B141" i="1"/>
  <c r="A142" i="1"/>
  <c r="B142" i="1"/>
  <c r="A143" i="1"/>
  <c r="B143" i="1"/>
  <c r="A144" i="1"/>
  <c r="B144" i="1"/>
  <c r="A145" i="1"/>
  <c r="B145" i="1"/>
  <c r="A146" i="1"/>
  <c r="B146" i="1"/>
  <c r="A147" i="1"/>
  <c r="B147" i="1"/>
  <c r="A148" i="1"/>
  <c r="B148" i="1"/>
  <c r="A149" i="1"/>
  <c r="B149" i="1"/>
  <c r="A150" i="1"/>
  <c r="B150" i="1"/>
  <c r="A151" i="1"/>
  <c r="B151" i="1"/>
  <c r="A152" i="1"/>
  <c r="B152" i="1"/>
  <c r="A153" i="1"/>
  <c r="B153" i="1"/>
  <c r="A154" i="1"/>
  <c r="B154" i="1"/>
  <c r="A155" i="1"/>
  <c r="B155" i="1"/>
  <c r="A156" i="1"/>
  <c r="B156" i="1"/>
  <c r="A157" i="1"/>
  <c r="B157" i="1"/>
  <c r="A158" i="1"/>
  <c r="B158" i="1"/>
  <c r="A159" i="1"/>
  <c r="B159" i="1"/>
  <c r="A160" i="1"/>
  <c r="B160" i="1"/>
  <c r="A161" i="1"/>
  <c r="B161" i="1"/>
  <c r="A162" i="1"/>
  <c r="B162" i="1"/>
  <c r="A163" i="1"/>
  <c r="B163" i="1"/>
  <c r="A164" i="1"/>
  <c r="B164" i="1"/>
  <c r="A165" i="1"/>
  <c r="B165" i="1"/>
  <c r="A166" i="1"/>
  <c r="B166" i="1"/>
  <c r="A167" i="1"/>
  <c r="B167" i="1"/>
  <c r="A168" i="1"/>
  <c r="B168" i="1"/>
  <c r="A169" i="1"/>
  <c r="B169" i="1"/>
  <c r="A170" i="1"/>
  <c r="B170" i="1"/>
  <c r="A171" i="1"/>
  <c r="B171" i="1"/>
  <c r="A172" i="1"/>
  <c r="B172" i="1"/>
  <c r="A173" i="1"/>
  <c r="B173" i="1"/>
  <c r="A174" i="1"/>
  <c r="B174" i="1"/>
  <c r="A175" i="1"/>
  <c r="B175" i="1"/>
  <c r="A176" i="1"/>
  <c r="B176" i="1"/>
  <c r="A177" i="1"/>
  <c r="B177" i="1"/>
  <c r="A178" i="1"/>
  <c r="B178" i="1"/>
  <c r="A179" i="1"/>
  <c r="B179" i="1"/>
  <c r="A180" i="1"/>
  <c r="B180" i="1"/>
  <c r="A181" i="1"/>
  <c r="B181" i="1"/>
  <c r="A182" i="1"/>
  <c r="B182" i="1"/>
  <c r="A183" i="1"/>
  <c r="B183" i="1"/>
  <c r="A184" i="1"/>
  <c r="B184" i="1"/>
  <c r="A185" i="1"/>
  <c r="B185" i="1"/>
  <c r="A186" i="1"/>
  <c r="B186" i="1"/>
  <c r="A187" i="1"/>
  <c r="B187" i="1"/>
  <c r="A188" i="1"/>
  <c r="B188" i="1"/>
  <c r="A189" i="1"/>
  <c r="B189" i="1"/>
  <c r="A190" i="1"/>
  <c r="B190" i="1"/>
  <c r="A191" i="1"/>
  <c r="B191" i="1"/>
  <c r="A192" i="1"/>
  <c r="B192" i="1"/>
  <c r="A193" i="1"/>
  <c r="B193" i="1"/>
  <c r="A194" i="1"/>
  <c r="B194" i="1"/>
  <c r="A195" i="1"/>
  <c r="B195" i="1"/>
  <c r="A196" i="1"/>
  <c r="B196" i="1"/>
  <c r="A197" i="1"/>
  <c r="B197" i="1"/>
  <c r="A198" i="1"/>
  <c r="B198" i="1"/>
  <c r="A199" i="1"/>
  <c r="B199" i="1"/>
  <c r="A200" i="1"/>
  <c r="B200" i="1"/>
  <c r="A201" i="1"/>
  <c r="B201" i="1"/>
  <c r="A202" i="1"/>
  <c r="B202" i="1"/>
  <c r="A203" i="1"/>
  <c r="B203" i="1"/>
  <c r="A204" i="1"/>
  <c r="B204" i="1"/>
  <c r="A205" i="1"/>
  <c r="B205" i="1"/>
  <c r="A206" i="1"/>
  <c r="B206" i="1"/>
  <c r="A207" i="1"/>
  <c r="B207" i="1"/>
  <c r="A208" i="1"/>
  <c r="B208" i="1"/>
  <c r="A209" i="1"/>
  <c r="B209" i="1"/>
  <c r="A210" i="1"/>
  <c r="B210" i="1"/>
  <c r="A211" i="1"/>
  <c r="B211" i="1"/>
  <c r="A212" i="1"/>
  <c r="B212" i="1"/>
  <c r="A213" i="1"/>
  <c r="B213" i="1"/>
  <c r="A214" i="1"/>
  <c r="B214" i="1"/>
  <c r="A215" i="1"/>
  <c r="B215" i="1"/>
  <c r="A216" i="1"/>
  <c r="B216" i="1"/>
  <c r="A217" i="1"/>
  <c r="B217" i="1"/>
  <c r="A218" i="1"/>
  <c r="B218" i="1"/>
  <c r="A219" i="1"/>
  <c r="B219" i="1"/>
  <c r="A220" i="1"/>
  <c r="B220" i="1"/>
  <c r="A221" i="1"/>
  <c r="B221" i="1"/>
  <c r="A222" i="1"/>
  <c r="B222" i="1"/>
  <c r="A223" i="1"/>
  <c r="B223" i="1"/>
  <c r="A224" i="1"/>
  <c r="B224" i="1"/>
  <c r="A225" i="1"/>
  <c r="B225" i="1"/>
  <c r="A226" i="1"/>
  <c r="B226" i="1"/>
  <c r="A227" i="1"/>
  <c r="B227" i="1"/>
  <c r="A228" i="1"/>
  <c r="B228" i="1"/>
  <c r="A229" i="1"/>
  <c r="B229" i="1"/>
  <c r="A230" i="1"/>
  <c r="B230" i="1"/>
  <c r="A231" i="1"/>
  <c r="B231" i="1"/>
  <c r="A232" i="1"/>
  <c r="B232" i="1"/>
  <c r="A233" i="1"/>
  <c r="B233" i="1"/>
  <c r="A234" i="1"/>
  <c r="B234" i="1"/>
  <c r="A235" i="1"/>
  <c r="B235" i="1"/>
  <c r="A236" i="1"/>
  <c r="B236" i="1"/>
  <c r="A237" i="1"/>
  <c r="B237" i="1"/>
  <c r="A238" i="1"/>
  <c r="B238" i="1"/>
  <c r="A239" i="1"/>
  <c r="B239" i="1"/>
  <c r="A240" i="1"/>
  <c r="B240" i="1"/>
  <c r="A241" i="1"/>
  <c r="B241" i="1"/>
  <c r="A242" i="1"/>
  <c r="B242" i="1"/>
  <c r="A243" i="1"/>
  <c r="B243" i="1"/>
  <c r="A244" i="1"/>
  <c r="B244" i="1"/>
  <c r="A245" i="1"/>
  <c r="B245" i="1"/>
  <c r="A246" i="1"/>
  <c r="B246" i="1"/>
  <c r="A247" i="1"/>
  <c r="B247" i="1"/>
  <c r="A248" i="1"/>
  <c r="B248" i="1"/>
  <c r="A249" i="1"/>
  <c r="B249" i="1"/>
  <c r="A250" i="1"/>
  <c r="B250" i="1"/>
  <c r="A251" i="1"/>
  <c r="B251" i="1"/>
  <c r="A252" i="1"/>
  <c r="B252" i="1"/>
  <c r="A253" i="1"/>
  <c r="B253" i="1"/>
  <c r="A254" i="1"/>
  <c r="B254" i="1"/>
  <c r="A255" i="1"/>
  <c r="B255" i="1"/>
  <c r="A256" i="1"/>
  <c r="B256" i="1"/>
  <c r="A257" i="1"/>
  <c r="B257" i="1"/>
  <c r="A258" i="1"/>
  <c r="B258" i="1"/>
  <c r="A259" i="1"/>
  <c r="B259" i="1"/>
  <c r="A260" i="1"/>
  <c r="B260" i="1"/>
  <c r="A261" i="1"/>
  <c r="B261" i="1"/>
  <c r="A262" i="1"/>
  <c r="B262" i="1"/>
  <c r="A263" i="1"/>
  <c r="B263" i="1"/>
  <c r="A264" i="1"/>
  <c r="B264" i="1"/>
  <c r="A265" i="1"/>
  <c r="B265" i="1"/>
  <c r="A266" i="1"/>
  <c r="B266" i="1"/>
  <c r="A267" i="1"/>
  <c r="B267" i="1"/>
  <c r="A268" i="1"/>
  <c r="B268" i="1"/>
  <c r="A269" i="1"/>
  <c r="B269" i="1"/>
  <c r="A270" i="1"/>
  <c r="B270" i="1"/>
  <c r="A271" i="1"/>
  <c r="B271" i="1"/>
  <c r="A272" i="1"/>
  <c r="B272" i="1"/>
  <c r="A273" i="1"/>
  <c r="B273" i="1"/>
  <c r="A274" i="1"/>
  <c r="B274" i="1"/>
  <c r="A275" i="1"/>
  <c r="B275" i="1"/>
  <c r="A276" i="1"/>
  <c r="B276" i="1"/>
  <c r="A277" i="1"/>
  <c r="B277" i="1"/>
  <c r="A278" i="1"/>
  <c r="B278" i="1"/>
  <c r="A279" i="1"/>
  <c r="B279" i="1"/>
  <c r="A280" i="1"/>
  <c r="B280" i="1"/>
  <c r="A281" i="1"/>
  <c r="B281" i="1"/>
  <c r="A282" i="1"/>
  <c r="B282" i="1"/>
  <c r="A283" i="1"/>
  <c r="B283" i="1"/>
  <c r="A284" i="1"/>
  <c r="B284" i="1"/>
  <c r="A285" i="1"/>
  <c r="B285" i="1"/>
  <c r="A286" i="1"/>
  <c r="B286" i="1"/>
  <c r="A287" i="1"/>
  <c r="B287" i="1"/>
  <c r="A288" i="1"/>
  <c r="B288" i="1"/>
  <c r="A289" i="1"/>
  <c r="B289" i="1"/>
  <c r="A290" i="1"/>
  <c r="B290" i="1"/>
  <c r="A291" i="1"/>
  <c r="B291" i="1"/>
  <c r="A292" i="1"/>
  <c r="B292" i="1"/>
  <c r="A293" i="1"/>
  <c r="B293" i="1"/>
  <c r="A294" i="1"/>
  <c r="B294" i="1"/>
  <c r="A295" i="1"/>
  <c r="B295" i="1"/>
  <c r="A296" i="1"/>
  <c r="B296" i="1"/>
  <c r="A297" i="1"/>
  <c r="B297" i="1"/>
  <c r="A298" i="1"/>
  <c r="B298" i="1"/>
  <c r="A299" i="1"/>
  <c r="B299" i="1"/>
  <c r="A300" i="1"/>
  <c r="B300" i="1"/>
  <c r="A301" i="1"/>
  <c r="B301" i="1"/>
  <c r="A302" i="1"/>
  <c r="B302" i="1"/>
  <c r="A303" i="1"/>
  <c r="B303" i="1"/>
  <c r="A304" i="1"/>
  <c r="B304" i="1"/>
  <c r="A305" i="1"/>
  <c r="B305" i="1"/>
  <c r="A306" i="1"/>
  <c r="B306" i="1"/>
  <c r="A307" i="1"/>
  <c r="B307" i="1"/>
  <c r="A308" i="1"/>
  <c r="B308" i="1"/>
  <c r="A309" i="1"/>
  <c r="B309" i="1"/>
  <c r="A310" i="1"/>
  <c r="B310" i="1"/>
  <c r="A311" i="1"/>
  <c r="B311" i="1"/>
  <c r="A312" i="1"/>
  <c r="B312" i="1"/>
  <c r="A313" i="1"/>
  <c r="B313" i="1"/>
  <c r="A314" i="1"/>
  <c r="B314" i="1"/>
  <c r="A315" i="1"/>
  <c r="B315" i="1"/>
  <c r="A316" i="1"/>
  <c r="B316" i="1"/>
  <c r="A317" i="1"/>
  <c r="B317" i="1"/>
  <c r="A318" i="1"/>
  <c r="B318" i="1"/>
  <c r="A319" i="1"/>
  <c r="B319" i="1"/>
  <c r="A320" i="1"/>
  <c r="B320" i="1"/>
  <c r="A321" i="1"/>
  <c r="B321" i="1"/>
  <c r="A322" i="1"/>
  <c r="B322" i="1"/>
  <c r="A323" i="1"/>
  <c r="B323" i="1"/>
  <c r="A324" i="1"/>
  <c r="B324" i="1"/>
  <c r="A325" i="1"/>
  <c r="B325" i="1"/>
  <c r="A326" i="1"/>
  <c r="B326" i="1"/>
  <c r="A327" i="1"/>
  <c r="B327" i="1"/>
  <c r="A328" i="1"/>
  <c r="B328" i="1"/>
  <c r="A329" i="1"/>
  <c r="B329" i="1"/>
  <c r="A330" i="1"/>
  <c r="B330" i="1"/>
  <c r="A331" i="1"/>
  <c r="B331" i="1"/>
  <c r="A332" i="1"/>
  <c r="B332" i="1"/>
  <c r="A333" i="1"/>
  <c r="B333" i="1"/>
  <c r="A334" i="1"/>
  <c r="B334" i="1"/>
  <c r="A335" i="1"/>
  <c r="B335" i="1"/>
  <c r="A336" i="1"/>
  <c r="B336" i="1"/>
  <c r="A337" i="1"/>
  <c r="B337" i="1"/>
  <c r="A338" i="1"/>
  <c r="B338" i="1"/>
  <c r="A339" i="1"/>
  <c r="B339" i="1"/>
  <c r="A340" i="1"/>
  <c r="B340" i="1"/>
  <c r="A341" i="1"/>
  <c r="B341" i="1"/>
  <c r="A342" i="1"/>
  <c r="B342" i="1"/>
  <c r="A343" i="1"/>
  <c r="B343" i="1"/>
  <c r="A344" i="1"/>
  <c r="B344" i="1"/>
  <c r="A345" i="1"/>
  <c r="B345" i="1"/>
  <c r="A346" i="1"/>
  <c r="B346" i="1"/>
  <c r="A347" i="1"/>
  <c r="B347" i="1"/>
  <c r="A348" i="1"/>
  <c r="B348" i="1"/>
  <c r="A349" i="1"/>
  <c r="B349" i="1"/>
  <c r="A350" i="1"/>
  <c r="B350" i="1"/>
  <c r="A351" i="1"/>
  <c r="B351" i="1"/>
  <c r="A352" i="1"/>
  <c r="B352" i="1"/>
  <c r="A353" i="1"/>
  <c r="B353" i="1"/>
  <c r="A354" i="1"/>
  <c r="B354" i="1"/>
  <c r="A355" i="1"/>
  <c r="B355" i="1"/>
  <c r="A356" i="1"/>
  <c r="B356" i="1"/>
  <c r="A357" i="1"/>
  <c r="B357" i="1"/>
  <c r="A358" i="1"/>
  <c r="B358" i="1"/>
  <c r="A359" i="1"/>
  <c r="B359" i="1"/>
  <c r="A360" i="1"/>
  <c r="B360" i="1"/>
  <c r="A361" i="1"/>
  <c r="B361" i="1"/>
  <c r="A362" i="1"/>
  <c r="B362" i="1"/>
  <c r="A363" i="1"/>
  <c r="B363" i="1"/>
  <c r="A364" i="1"/>
  <c r="B364" i="1"/>
  <c r="A365" i="1"/>
  <c r="B365" i="1"/>
  <c r="A366" i="1"/>
  <c r="B366" i="1"/>
  <c r="A367" i="1"/>
  <c r="B367" i="1"/>
  <c r="A368" i="1"/>
  <c r="B368" i="1"/>
  <c r="A369" i="1"/>
  <c r="B369" i="1"/>
  <c r="A370" i="1"/>
  <c r="B370" i="1"/>
  <c r="A371" i="1"/>
  <c r="B371" i="1"/>
  <c r="A372" i="1"/>
  <c r="B372" i="1"/>
  <c r="A373" i="1"/>
  <c r="B373" i="1"/>
  <c r="A374" i="1"/>
  <c r="B374" i="1"/>
  <c r="A375" i="1"/>
  <c r="B375" i="1"/>
  <c r="A376" i="1"/>
  <c r="B376" i="1"/>
  <c r="A377" i="1"/>
  <c r="B377" i="1"/>
  <c r="A378" i="1"/>
  <c r="B378" i="1"/>
  <c r="A379" i="1"/>
  <c r="B379" i="1"/>
  <c r="A380" i="1"/>
  <c r="B380" i="1"/>
  <c r="A381" i="1"/>
  <c r="B381" i="1"/>
  <c r="A382" i="1"/>
  <c r="B382" i="1"/>
  <c r="A383" i="1"/>
  <c r="B383" i="1"/>
  <c r="A384" i="1"/>
  <c r="B384" i="1"/>
  <c r="A385" i="1"/>
  <c r="B385" i="1"/>
  <c r="A386" i="1"/>
  <c r="B386" i="1"/>
  <c r="A387" i="1"/>
  <c r="B387" i="1"/>
  <c r="A388" i="1"/>
  <c r="B388" i="1"/>
  <c r="A389" i="1"/>
  <c r="B389" i="1"/>
  <c r="A390" i="1"/>
  <c r="B390" i="1"/>
  <c r="A391" i="1"/>
  <c r="B391" i="1"/>
  <c r="A392" i="1"/>
  <c r="B392" i="1"/>
  <c r="A393" i="1"/>
  <c r="B393" i="1"/>
  <c r="A394" i="1"/>
  <c r="B394" i="1"/>
  <c r="A395" i="1"/>
  <c r="B395" i="1"/>
  <c r="A396" i="1"/>
  <c r="B396" i="1"/>
  <c r="A397" i="1"/>
  <c r="B397" i="1"/>
  <c r="A398" i="1"/>
  <c r="B398" i="1"/>
  <c r="A399" i="1"/>
  <c r="B399" i="1"/>
  <c r="A400" i="1"/>
  <c r="B400" i="1"/>
  <c r="A401" i="1"/>
  <c r="B401" i="1"/>
  <c r="A402" i="1"/>
  <c r="B402" i="1"/>
  <c r="A403" i="1"/>
  <c r="B403" i="1"/>
  <c r="A404" i="1"/>
  <c r="B404" i="1"/>
  <c r="A405" i="1"/>
  <c r="B405" i="1"/>
  <c r="A406" i="1"/>
  <c r="B406" i="1"/>
  <c r="A407" i="1"/>
  <c r="B407" i="1"/>
  <c r="A408" i="1"/>
  <c r="B408" i="1"/>
  <c r="A409" i="1"/>
  <c r="B409" i="1"/>
  <c r="A410" i="1"/>
  <c r="B410" i="1"/>
  <c r="A411" i="1"/>
  <c r="B411" i="1"/>
  <c r="A412" i="1"/>
  <c r="B412" i="1"/>
  <c r="A413" i="1"/>
  <c r="B413" i="1"/>
  <c r="A414" i="1"/>
  <c r="B414" i="1"/>
  <c r="A415" i="1"/>
  <c r="B415" i="1"/>
  <c r="A416" i="1"/>
  <c r="B416" i="1"/>
  <c r="A417" i="1"/>
  <c r="B417" i="1"/>
  <c r="A418" i="1"/>
  <c r="B418" i="1"/>
  <c r="A419" i="1"/>
  <c r="B419" i="1"/>
  <c r="A420" i="1"/>
  <c r="B420" i="1"/>
  <c r="A421" i="1"/>
  <c r="B421" i="1"/>
  <c r="A422" i="1"/>
  <c r="B422" i="1"/>
  <c r="A423" i="1"/>
  <c r="B423" i="1"/>
  <c r="A424" i="1"/>
  <c r="B424" i="1"/>
  <c r="A425" i="1"/>
  <c r="B425" i="1"/>
  <c r="A426" i="1"/>
  <c r="B426" i="1"/>
  <c r="A427" i="1"/>
  <c r="B427" i="1"/>
  <c r="A428" i="1"/>
  <c r="B428" i="1"/>
  <c r="A429" i="1"/>
  <c r="B429" i="1"/>
  <c r="A430" i="1"/>
  <c r="B430" i="1"/>
  <c r="A431" i="1"/>
  <c r="B431" i="1"/>
  <c r="A432" i="1"/>
  <c r="B432" i="1"/>
  <c r="A433" i="1"/>
  <c r="B433" i="1"/>
  <c r="A434" i="1"/>
  <c r="B434" i="1"/>
  <c r="A435" i="1"/>
  <c r="B435" i="1"/>
  <c r="A436" i="1"/>
  <c r="B436" i="1"/>
  <c r="A437" i="1"/>
  <c r="B437" i="1"/>
  <c r="A438" i="1"/>
  <c r="B438" i="1"/>
  <c r="A439" i="1"/>
  <c r="B439" i="1"/>
  <c r="A440" i="1"/>
  <c r="B440" i="1"/>
  <c r="A441" i="1"/>
  <c r="B441" i="1"/>
  <c r="A442" i="1"/>
  <c r="B442" i="1"/>
  <c r="A443" i="1"/>
  <c r="B443" i="1"/>
  <c r="A444" i="1"/>
  <c r="B444" i="1"/>
  <c r="A445" i="1"/>
  <c r="B445" i="1"/>
  <c r="A446" i="1"/>
  <c r="B446" i="1"/>
  <c r="A447" i="1"/>
  <c r="B447" i="1"/>
  <c r="A448" i="1"/>
  <c r="B448" i="1"/>
  <c r="A449" i="1"/>
  <c r="B449" i="1"/>
  <c r="A450" i="1"/>
  <c r="B450" i="1"/>
  <c r="A451" i="1"/>
  <c r="B451" i="1"/>
  <c r="A452" i="1"/>
  <c r="B452" i="1"/>
  <c r="A453" i="1"/>
  <c r="B453" i="1"/>
  <c r="A454" i="1"/>
  <c r="B454" i="1"/>
  <c r="A455" i="1"/>
  <c r="B455" i="1"/>
  <c r="A456" i="1"/>
  <c r="B456" i="1"/>
  <c r="A457" i="1"/>
  <c r="B457" i="1"/>
  <c r="A458" i="1"/>
  <c r="B458" i="1"/>
  <c r="A459" i="1"/>
  <c r="B459" i="1"/>
  <c r="A460" i="1"/>
  <c r="B460" i="1"/>
  <c r="A461" i="1"/>
  <c r="B461" i="1"/>
  <c r="A462" i="1"/>
  <c r="B462" i="1"/>
  <c r="A463" i="1"/>
  <c r="B463" i="1"/>
  <c r="A464" i="1"/>
  <c r="B464" i="1"/>
  <c r="A465" i="1"/>
  <c r="B465" i="1"/>
  <c r="A466" i="1"/>
  <c r="B466" i="1"/>
  <c r="A467" i="1"/>
  <c r="B467" i="1"/>
  <c r="A468" i="1"/>
  <c r="B468" i="1"/>
  <c r="A469" i="1"/>
  <c r="B469" i="1"/>
  <c r="A470" i="1"/>
  <c r="B470" i="1"/>
  <c r="A471" i="1"/>
  <c r="B471" i="1"/>
  <c r="A472" i="1"/>
  <c r="B472" i="1"/>
  <c r="A473" i="1"/>
  <c r="B473" i="1"/>
  <c r="A474" i="1"/>
  <c r="B474" i="1"/>
  <c r="A475" i="1"/>
  <c r="B475" i="1"/>
  <c r="A476" i="1"/>
  <c r="B476" i="1"/>
  <c r="A477" i="1"/>
  <c r="B477" i="1"/>
  <c r="A478" i="1"/>
  <c r="B478" i="1"/>
  <c r="A479" i="1"/>
  <c r="B479" i="1"/>
  <c r="A480" i="1"/>
  <c r="B480" i="1"/>
  <c r="A481" i="1"/>
  <c r="B481" i="1"/>
  <c r="A482" i="1"/>
  <c r="B482" i="1"/>
  <c r="A483" i="1"/>
  <c r="B483" i="1"/>
  <c r="A484" i="1"/>
  <c r="B484" i="1"/>
  <c r="A485" i="1"/>
  <c r="B485" i="1"/>
  <c r="A486" i="1"/>
  <c r="B486" i="1"/>
  <c r="A487" i="1"/>
  <c r="B487" i="1"/>
  <c r="A488" i="1"/>
  <c r="B488" i="1"/>
  <c r="A489" i="1"/>
  <c r="B489" i="1"/>
  <c r="A490" i="1"/>
  <c r="B490" i="1"/>
  <c r="A491" i="1"/>
  <c r="B491" i="1"/>
  <c r="A492" i="1"/>
  <c r="B492" i="1"/>
  <c r="A493" i="1"/>
  <c r="B493" i="1"/>
  <c r="A494" i="1"/>
  <c r="B494" i="1"/>
  <c r="A495" i="1"/>
  <c r="B495" i="1"/>
  <c r="A496" i="1"/>
  <c r="B496" i="1"/>
  <c r="A497" i="1"/>
  <c r="B497" i="1"/>
  <c r="A498" i="1"/>
  <c r="B498" i="1"/>
  <c r="A499" i="1"/>
  <c r="B499" i="1"/>
  <c r="A500" i="1"/>
  <c r="B500" i="1"/>
  <c r="A501" i="1"/>
  <c r="B501" i="1"/>
  <c r="A502" i="1"/>
  <c r="B502" i="1"/>
  <c r="A503" i="1"/>
  <c r="B503" i="1"/>
  <c r="A504" i="1"/>
  <c r="B504" i="1"/>
  <c r="A505" i="1"/>
  <c r="B505" i="1"/>
  <c r="A506" i="1"/>
  <c r="B506" i="1"/>
  <c r="A507" i="1"/>
  <c r="B507" i="1"/>
  <c r="A508" i="1"/>
  <c r="B508" i="1"/>
  <c r="A509" i="1"/>
  <c r="B509" i="1"/>
  <c r="A510" i="1"/>
  <c r="B510" i="1"/>
  <c r="A511" i="1"/>
  <c r="B511" i="1"/>
  <c r="A512" i="1"/>
  <c r="B512" i="1"/>
  <c r="A513" i="1"/>
  <c r="B513" i="1"/>
  <c r="A514" i="1"/>
  <c r="B514" i="1"/>
  <c r="A515" i="1"/>
  <c r="B515" i="1"/>
  <c r="A516" i="1"/>
  <c r="B516" i="1"/>
  <c r="A517" i="1"/>
  <c r="B517" i="1"/>
  <c r="A518" i="1"/>
  <c r="B518" i="1"/>
  <c r="A519" i="1"/>
  <c r="B519" i="1"/>
  <c r="A520" i="1"/>
  <c r="B520" i="1"/>
  <c r="A521" i="1"/>
  <c r="B521" i="1"/>
  <c r="A522" i="1"/>
  <c r="B522" i="1"/>
  <c r="A523" i="1"/>
  <c r="B523" i="1"/>
  <c r="A524" i="1"/>
  <c r="B524" i="1"/>
  <c r="A525" i="1"/>
  <c r="B525" i="1"/>
  <c r="A526" i="1"/>
  <c r="B526" i="1"/>
  <c r="A527" i="1"/>
  <c r="B527" i="1"/>
  <c r="A528" i="1"/>
  <c r="B528" i="1"/>
  <c r="A529" i="1"/>
  <c r="B529" i="1"/>
  <c r="A530" i="1"/>
  <c r="B530" i="1"/>
  <c r="A531" i="1"/>
  <c r="B531" i="1"/>
  <c r="A532" i="1"/>
  <c r="B532" i="1"/>
  <c r="A533" i="1"/>
  <c r="B533" i="1"/>
  <c r="A534" i="1"/>
  <c r="B534" i="1"/>
  <c r="A535" i="1"/>
  <c r="B535" i="1"/>
  <c r="A536" i="1"/>
  <c r="B536" i="1"/>
  <c r="A537" i="1"/>
  <c r="B537" i="1"/>
  <c r="A538" i="1"/>
  <c r="B538" i="1"/>
  <c r="A539" i="1"/>
  <c r="B539" i="1"/>
  <c r="A540" i="1"/>
  <c r="B540" i="1"/>
  <c r="A541" i="1"/>
  <c r="B541" i="1"/>
  <c r="A542" i="1"/>
  <c r="B542" i="1"/>
  <c r="A543" i="1"/>
  <c r="B543" i="1"/>
  <c r="A544" i="1"/>
  <c r="B544" i="1"/>
  <c r="A545" i="1"/>
  <c r="B545" i="1"/>
  <c r="A546" i="1"/>
  <c r="B546" i="1"/>
  <c r="A547" i="1"/>
  <c r="B547" i="1"/>
  <c r="A548" i="1"/>
  <c r="B548" i="1"/>
  <c r="A549" i="1"/>
  <c r="B549" i="1"/>
  <c r="A550" i="1"/>
  <c r="B550" i="1"/>
  <c r="A551" i="1"/>
  <c r="B551" i="1"/>
  <c r="A552" i="1"/>
  <c r="B552" i="1"/>
  <c r="A553" i="1"/>
  <c r="B553" i="1"/>
  <c r="A554" i="1"/>
  <c r="B554" i="1"/>
  <c r="A555" i="1"/>
  <c r="B555" i="1"/>
  <c r="A556" i="1"/>
  <c r="B556" i="1"/>
  <c r="A557" i="1"/>
  <c r="B557" i="1"/>
  <c r="A558" i="1"/>
  <c r="B558" i="1"/>
  <c r="A559" i="1"/>
  <c r="B559" i="1"/>
  <c r="A560" i="1"/>
  <c r="B560" i="1"/>
  <c r="A561" i="1"/>
  <c r="B561" i="1"/>
  <c r="A562" i="1"/>
  <c r="B562" i="1"/>
  <c r="A563" i="1"/>
  <c r="B563" i="1"/>
  <c r="A564" i="1"/>
  <c r="B564" i="1"/>
  <c r="A565" i="1"/>
  <c r="B565" i="1"/>
  <c r="A566" i="1"/>
  <c r="B566" i="1"/>
  <c r="A567" i="1"/>
  <c r="B567" i="1"/>
  <c r="A568" i="1"/>
  <c r="B568" i="1"/>
  <c r="A569" i="1"/>
  <c r="B569" i="1"/>
  <c r="A570" i="1"/>
  <c r="B570" i="1"/>
  <c r="A571" i="1"/>
  <c r="B571" i="1"/>
  <c r="A572" i="1"/>
  <c r="B572" i="1"/>
  <c r="A573" i="1"/>
  <c r="B573" i="1"/>
  <c r="A574" i="1"/>
  <c r="B574" i="1"/>
  <c r="A575" i="1"/>
  <c r="B575" i="1"/>
  <c r="A576" i="1"/>
  <c r="B576" i="1"/>
  <c r="A577" i="1"/>
  <c r="B577" i="1"/>
  <c r="A578" i="1"/>
  <c r="B578" i="1"/>
  <c r="A579" i="1"/>
  <c r="B579" i="1"/>
  <c r="A580" i="1"/>
  <c r="B580" i="1"/>
  <c r="A581" i="1"/>
  <c r="B581" i="1"/>
  <c r="A582" i="1"/>
  <c r="B582" i="1"/>
  <c r="A583" i="1"/>
  <c r="B583" i="1"/>
  <c r="A584" i="1"/>
  <c r="B584" i="1"/>
  <c r="A585" i="1"/>
  <c r="B585" i="1"/>
  <c r="A586" i="1"/>
  <c r="B586" i="1"/>
  <c r="A587" i="1"/>
  <c r="B587" i="1"/>
  <c r="A588" i="1"/>
  <c r="B588" i="1"/>
  <c r="A589" i="1"/>
  <c r="B589" i="1"/>
  <c r="A590" i="1"/>
  <c r="B590" i="1"/>
  <c r="A591" i="1"/>
  <c r="B591" i="1"/>
  <c r="A592" i="1"/>
  <c r="B592" i="1"/>
  <c r="A593" i="1"/>
  <c r="B593" i="1"/>
  <c r="A594" i="1"/>
  <c r="B594" i="1"/>
  <c r="A595" i="1"/>
  <c r="B595" i="1"/>
  <c r="A596" i="1"/>
  <c r="B596" i="1"/>
  <c r="A597" i="1"/>
  <c r="B597" i="1"/>
  <c r="A598" i="1"/>
  <c r="B598" i="1"/>
  <c r="A599" i="1"/>
  <c r="B599" i="1"/>
  <c r="A600" i="1"/>
  <c r="B600" i="1"/>
  <c r="A601" i="1"/>
  <c r="B601" i="1"/>
  <c r="A602" i="1"/>
  <c r="B602" i="1"/>
  <c r="A603" i="1"/>
  <c r="B603" i="1"/>
  <c r="A604" i="1"/>
  <c r="B604" i="1"/>
  <c r="A605" i="1"/>
  <c r="B605" i="1"/>
  <c r="A606" i="1"/>
  <c r="B606" i="1"/>
  <c r="A607" i="1"/>
  <c r="B607" i="1"/>
  <c r="A608" i="1"/>
  <c r="B608" i="1"/>
  <c r="A609" i="1"/>
  <c r="B609" i="1"/>
  <c r="A610" i="1"/>
  <c r="B610" i="1"/>
  <c r="A611" i="1"/>
  <c r="B611" i="1"/>
  <c r="A612" i="1"/>
  <c r="B612" i="1"/>
  <c r="A613" i="1"/>
  <c r="B613" i="1"/>
  <c r="A614" i="1"/>
  <c r="B614" i="1"/>
  <c r="A615" i="1"/>
  <c r="B615" i="1"/>
  <c r="A616" i="1"/>
  <c r="B616" i="1"/>
  <c r="A617" i="1"/>
  <c r="B617" i="1"/>
  <c r="A618" i="1"/>
  <c r="B618" i="1"/>
  <c r="A619" i="1"/>
  <c r="B619" i="1"/>
  <c r="A620" i="1"/>
  <c r="B620" i="1"/>
  <c r="A621" i="1"/>
  <c r="B621" i="1"/>
  <c r="A622" i="1"/>
  <c r="B622" i="1"/>
  <c r="A623" i="1"/>
  <c r="B623" i="1"/>
  <c r="A624" i="1"/>
  <c r="B624" i="1"/>
  <c r="A625" i="1"/>
  <c r="B625" i="1"/>
  <c r="A626" i="1"/>
  <c r="B626" i="1"/>
  <c r="A627" i="1"/>
  <c r="B627" i="1"/>
  <c r="A628" i="1"/>
  <c r="B628" i="1"/>
  <c r="A629" i="1"/>
  <c r="B629" i="1"/>
  <c r="A630" i="1"/>
  <c r="B630" i="1"/>
  <c r="A631" i="1"/>
  <c r="B631" i="1"/>
  <c r="A632" i="1"/>
  <c r="B632" i="1"/>
  <c r="A633" i="1"/>
  <c r="B633" i="1"/>
  <c r="A634" i="1"/>
  <c r="B634" i="1"/>
  <c r="A635" i="1"/>
  <c r="B635" i="1"/>
  <c r="A636" i="1"/>
  <c r="B636" i="1"/>
  <c r="A637" i="1"/>
  <c r="B637" i="1"/>
  <c r="A638" i="1"/>
  <c r="B638" i="1"/>
  <c r="A639" i="1"/>
  <c r="B639" i="1"/>
  <c r="A640" i="1"/>
  <c r="B640" i="1"/>
  <c r="A641" i="1"/>
  <c r="B641" i="1"/>
  <c r="A642" i="1"/>
  <c r="B642" i="1"/>
  <c r="A643" i="1"/>
  <c r="B643" i="1"/>
  <c r="A644" i="1"/>
  <c r="B644" i="1"/>
  <c r="A645" i="1"/>
  <c r="B645" i="1"/>
  <c r="A646" i="1"/>
  <c r="B646" i="1"/>
  <c r="A647" i="1"/>
  <c r="B647" i="1"/>
  <c r="A648" i="1"/>
  <c r="B648" i="1"/>
  <c r="A649" i="1"/>
  <c r="B649" i="1"/>
  <c r="A650" i="1"/>
  <c r="B650" i="1"/>
  <c r="A651" i="1"/>
  <c r="B651" i="1"/>
  <c r="A652" i="1"/>
  <c r="B652" i="1"/>
  <c r="A653" i="1"/>
  <c r="B653" i="1"/>
  <c r="A654" i="1"/>
  <c r="B654" i="1"/>
  <c r="A655" i="1"/>
  <c r="B655" i="1"/>
  <c r="A656" i="1"/>
  <c r="B656" i="1"/>
  <c r="A657" i="1"/>
  <c r="B657" i="1"/>
  <c r="A658" i="1"/>
  <c r="B658" i="1"/>
  <c r="A659" i="1"/>
  <c r="B659" i="1"/>
  <c r="A660" i="1"/>
  <c r="B660" i="1"/>
  <c r="A661" i="1"/>
  <c r="B661" i="1"/>
  <c r="A662" i="1"/>
  <c r="B662" i="1"/>
  <c r="A663" i="1"/>
  <c r="B663" i="1"/>
  <c r="A664" i="1"/>
  <c r="B664" i="1"/>
  <c r="A665" i="1"/>
  <c r="B665" i="1"/>
  <c r="A666" i="1"/>
  <c r="B666" i="1"/>
  <c r="A667" i="1"/>
  <c r="B667" i="1"/>
  <c r="A668" i="1"/>
  <c r="B668" i="1"/>
  <c r="A669" i="1"/>
  <c r="B669" i="1"/>
  <c r="A670" i="1"/>
  <c r="B670" i="1"/>
  <c r="A671" i="1"/>
  <c r="B671" i="1"/>
  <c r="A672" i="1"/>
  <c r="B672" i="1"/>
  <c r="A673" i="1"/>
  <c r="B673" i="1"/>
  <c r="A674" i="1"/>
  <c r="B674" i="1"/>
  <c r="A675" i="1"/>
  <c r="B675" i="1"/>
  <c r="A676" i="1"/>
  <c r="B676" i="1"/>
  <c r="A677" i="1"/>
  <c r="B677" i="1"/>
  <c r="A678" i="1"/>
  <c r="B678" i="1"/>
  <c r="A679" i="1"/>
  <c r="B679" i="1"/>
  <c r="A680" i="1"/>
  <c r="B680" i="1"/>
  <c r="A681" i="1"/>
  <c r="B681" i="1"/>
  <c r="A682" i="1"/>
  <c r="B682" i="1"/>
  <c r="A683" i="1"/>
  <c r="B683" i="1"/>
  <c r="A684" i="1"/>
  <c r="B684" i="1"/>
  <c r="A685" i="1"/>
  <c r="B685" i="1"/>
  <c r="A686" i="1"/>
  <c r="B686" i="1"/>
  <c r="A687" i="1"/>
  <c r="B687" i="1"/>
  <c r="A688" i="1"/>
  <c r="B688" i="1"/>
  <c r="A689" i="1"/>
  <c r="B689" i="1"/>
  <c r="A690" i="1"/>
  <c r="B690" i="1"/>
  <c r="A691" i="1"/>
  <c r="B691" i="1"/>
  <c r="A692" i="1"/>
  <c r="B692" i="1"/>
  <c r="A693" i="1"/>
  <c r="B693" i="1"/>
  <c r="A694" i="1"/>
  <c r="B694" i="1"/>
  <c r="A695" i="1"/>
  <c r="B695" i="1"/>
  <c r="A696" i="1"/>
  <c r="B696" i="1"/>
  <c r="A697" i="1"/>
  <c r="B697" i="1"/>
  <c r="A698" i="1"/>
  <c r="B698" i="1"/>
  <c r="A699" i="1"/>
  <c r="B699" i="1"/>
  <c r="A700" i="1"/>
  <c r="B700" i="1"/>
  <c r="A701" i="1"/>
  <c r="B701" i="1"/>
  <c r="A702" i="1"/>
  <c r="B702" i="1"/>
  <c r="A703" i="1"/>
  <c r="B703" i="1"/>
  <c r="A704" i="1"/>
  <c r="B704" i="1"/>
  <c r="A705" i="1"/>
  <c r="B705" i="1"/>
  <c r="A706" i="1"/>
  <c r="B706" i="1"/>
  <c r="A707" i="1"/>
  <c r="B707" i="1"/>
  <c r="A708" i="1"/>
  <c r="B708" i="1"/>
  <c r="A709" i="1"/>
  <c r="B709" i="1"/>
  <c r="A710" i="1"/>
  <c r="B710" i="1"/>
  <c r="A711" i="1"/>
  <c r="B711" i="1"/>
  <c r="A712" i="1"/>
  <c r="B712" i="1"/>
  <c r="A713" i="1"/>
  <c r="B713" i="1"/>
  <c r="A714" i="1"/>
  <c r="B714" i="1"/>
  <c r="A715" i="1"/>
  <c r="B715" i="1"/>
  <c r="A716" i="1"/>
  <c r="B716" i="1"/>
  <c r="A717" i="1"/>
  <c r="B717" i="1"/>
  <c r="A718" i="1"/>
  <c r="B718" i="1"/>
  <c r="A719" i="1"/>
  <c r="B719" i="1"/>
  <c r="A720" i="1"/>
  <c r="B720" i="1"/>
  <c r="A721" i="1"/>
  <c r="B721" i="1"/>
  <c r="A722" i="1"/>
  <c r="B722" i="1"/>
  <c r="A723" i="1"/>
  <c r="B723" i="1"/>
  <c r="A724" i="1"/>
  <c r="B724" i="1"/>
  <c r="A725" i="1"/>
  <c r="B725" i="1"/>
  <c r="A726" i="1"/>
  <c r="B726" i="1"/>
  <c r="A727" i="1"/>
  <c r="B727" i="1"/>
  <c r="A728" i="1"/>
  <c r="B728" i="1"/>
  <c r="A729" i="1"/>
  <c r="B729" i="1"/>
  <c r="A730" i="1"/>
  <c r="B730" i="1"/>
  <c r="A731" i="1"/>
  <c r="B731" i="1"/>
  <c r="A732" i="1"/>
  <c r="B732" i="1"/>
  <c r="A733" i="1"/>
  <c r="B733" i="1"/>
  <c r="A734" i="1"/>
  <c r="B734" i="1"/>
  <c r="A735" i="1"/>
  <c r="B735" i="1"/>
  <c r="A736" i="1"/>
  <c r="B736" i="1"/>
  <c r="A737" i="1"/>
  <c r="B737" i="1"/>
  <c r="A738" i="1"/>
  <c r="B738" i="1"/>
  <c r="A739" i="1"/>
  <c r="B739" i="1"/>
  <c r="A740" i="1"/>
  <c r="B740" i="1"/>
  <c r="A741" i="1"/>
  <c r="B741" i="1"/>
  <c r="A742" i="1"/>
  <c r="B742" i="1"/>
  <c r="A743" i="1"/>
  <c r="B743" i="1"/>
  <c r="A744" i="1"/>
  <c r="B744" i="1"/>
  <c r="A745" i="1"/>
  <c r="B745" i="1"/>
  <c r="A746" i="1"/>
  <c r="B746" i="1"/>
  <c r="A747" i="1"/>
  <c r="B747" i="1"/>
  <c r="A748" i="1"/>
  <c r="B748" i="1"/>
  <c r="A749" i="1"/>
  <c r="B749" i="1"/>
  <c r="A750" i="1"/>
  <c r="B750" i="1"/>
  <c r="A751" i="1"/>
  <c r="B751" i="1"/>
  <c r="A752" i="1"/>
  <c r="B752" i="1"/>
  <c r="A753" i="1"/>
  <c r="B753" i="1"/>
  <c r="A754" i="1"/>
  <c r="B754" i="1"/>
  <c r="A755" i="1"/>
  <c r="B755" i="1"/>
  <c r="A756" i="1"/>
  <c r="B756" i="1"/>
  <c r="A757" i="1"/>
  <c r="B757" i="1"/>
  <c r="A758" i="1"/>
  <c r="B758" i="1"/>
  <c r="A759" i="1"/>
  <c r="B759" i="1"/>
  <c r="A760" i="1"/>
  <c r="B760" i="1"/>
  <c r="A761" i="1"/>
  <c r="B761" i="1"/>
  <c r="A762" i="1"/>
  <c r="B762" i="1"/>
  <c r="A763" i="1"/>
  <c r="B763" i="1"/>
  <c r="A764" i="1"/>
  <c r="B764" i="1"/>
  <c r="A765" i="1"/>
  <c r="B765" i="1"/>
  <c r="A766" i="1"/>
  <c r="B766" i="1"/>
  <c r="A767" i="1"/>
  <c r="B767" i="1"/>
  <c r="A768" i="1"/>
  <c r="B768" i="1"/>
  <c r="A769" i="1"/>
  <c r="B769" i="1"/>
  <c r="A770" i="1"/>
  <c r="B770" i="1"/>
  <c r="A771" i="1"/>
  <c r="B771" i="1"/>
  <c r="A772" i="1"/>
  <c r="B772" i="1"/>
  <c r="A773" i="1"/>
  <c r="B773" i="1"/>
  <c r="A774" i="1"/>
  <c r="B774" i="1"/>
  <c r="A775" i="1"/>
  <c r="B775" i="1"/>
  <c r="A776" i="1"/>
  <c r="B776" i="1"/>
  <c r="A777" i="1"/>
  <c r="B777" i="1"/>
  <c r="A778" i="1"/>
  <c r="B778" i="1"/>
  <c r="A779" i="1"/>
  <c r="B779" i="1"/>
  <c r="A780" i="1"/>
  <c r="B780" i="1"/>
  <c r="A781" i="1"/>
  <c r="B781" i="1"/>
  <c r="A782" i="1"/>
  <c r="B782" i="1"/>
  <c r="A783" i="1"/>
  <c r="B783" i="1"/>
  <c r="A784" i="1"/>
  <c r="B784" i="1"/>
  <c r="A785" i="1"/>
  <c r="B785" i="1"/>
  <c r="A786" i="1"/>
  <c r="B786" i="1"/>
  <c r="A787" i="1"/>
  <c r="B787" i="1"/>
  <c r="A788" i="1"/>
  <c r="B788" i="1"/>
  <c r="A789" i="1"/>
  <c r="B789" i="1"/>
  <c r="A790" i="1"/>
  <c r="B790" i="1"/>
  <c r="A791" i="1"/>
  <c r="B791" i="1"/>
  <c r="A792" i="1"/>
  <c r="B792" i="1"/>
  <c r="A793" i="1"/>
  <c r="B793" i="1"/>
  <c r="A794" i="1"/>
  <c r="B794" i="1"/>
  <c r="A795" i="1"/>
  <c r="B795" i="1"/>
  <c r="A796" i="1"/>
  <c r="B796" i="1"/>
  <c r="A797" i="1"/>
  <c r="B797" i="1"/>
  <c r="A798" i="1"/>
  <c r="B798" i="1"/>
  <c r="A799" i="1"/>
  <c r="B799" i="1"/>
  <c r="A800" i="1"/>
  <c r="B800" i="1"/>
  <c r="A801" i="1"/>
  <c r="B801" i="1"/>
  <c r="A802" i="1"/>
  <c r="B802" i="1"/>
  <c r="A803" i="1"/>
  <c r="B803" i="1"/>
  <c r="A804" i="1"/>
  <c r="B804" i="1"/>
  <c r="A805" i="1"/>
  <c r="B805" i="1"/>
  <c r="A806" i="1"/>
  <c r="B806" i="1"/>
  <c r="A807" i="1"/>
  <c r="B807" i="1"/>
  <c r="A808" i="1"/>
  <c r="B808" i="1"/>
  <c r="A809" i="1"/>
  <c r="B809" i="1"/>
  <c r="A810" i="1"/>
  <c r="B810" i="1"/>
  <c r="A811" i="1"/>
  <c r="B811" i="1"/>
  <c r="A812" i="1"/>
  <c r="B812" i="1"/>
  <c r="A813" i="1"/>
  <c r="B813" i="1"/>
  <c r="A814" i="1"/>
  <c r="B814" i="1"/>
  <c r="A815" i="1"/>
  <c r="B815" i="1"/>
  <c r="A816" i="1"/>
  <c r="B816" i="1"/>
  <c r="A817" i="1"/>
  <c r="B817" i="1"/>
  <c r="A818" i="1"/>
  <c r="B818" i="1"/>
  <c r="A819" i="1"/>
  <c r="B819" i="1"/>
  <c r="A820" i="1"/>
  <c r="B820" i="1"/>
  <c r="A821" i="1"/>
  <c r="B821" i="1"/>
  <c r="A822" i="1"/>
  <c r="B822" i="1"/>
  <c r="A823" i="1"/>
  <c r="B823" i="1"/>
  <c r="A824" i="1"/>
  <c r="B824" i="1"/>
  <c r="A825" i="1"/>
  <c r="B825" i="1"/>
  <c r="A826" i="1"/>
  <c r="B826" i="1"/>
  <c r="A827" i="1"/>
  <c r="B827" i="1"/>
  <c r="A828" i="1"/>
  <c r="B828" i="1"/>
  <c r="A829" i="1"/>
  <c r="B829" i="1"/>
  <c r="A830" i="1"/>
  <c r="B830" i="1"/>
  <c r="A831" i="1"/>
  <c r="B831" i="1"/>
  <c r="A832" i="1"/>
  <c r="B832" i="1"/>
  <c r="A833" i="1"/>
  <c r="B833" i="1"/>
  <c r="A834" i="1"/>
  <c r="B834" i="1"/>
  <c r="A835" i="1"/>
  <c r="B835" i="1"/>
  <c r="A836" i="1"/>
  <c r="B836" i="1"/>
  <c r="A837" i="1"/>
  <c r="B837" i="1"/>
  <c r="A838" i="1"/>
  <c r="B838" i="1"/>
  <c r="A839" i="1"/>
  <c r="B839" i="1"/>
  <c r="A840" i="1"/>
  <c r="B840" i="1"/>
  <c r="A841" i="1"/>
  <c r="B841" i="1"/>
  <c r="A842" i="1"/>
  <c r="B842" i="1"/>
  <c r="A843" i="1"/>
  <c r="B843" i="1"/>
  <c r="A844" i="1"/>
  <c r="B844" i="1"/>
  <c r="A845" i="1"/>
  <c r="B845" i="1"/>
  <c r="A846" i="1"/>
  <c r="B846" i="1"/>
  <c r="A847" i="1"/>
  <c r="B847" i="1"/>
  <c r="A848" i="1"/>
  <c r="B848" i="1"/>
  <c r="A849" i="1"/>
  <c r="B849" i="1"/>
  <c r="A850" i="1"/>
  <c r="B850" i="1"/>
  <c r="A851" i="1"/>
  <c r="B851" i="1"/>
  <c r="A852" i="1"/>
  <c r="B852" i="1"/>
  <c r="A853" i="1"/>
  <c r="B853" i="1"/>
  <c r="A854" i="1"/>
  <c r="B854" i="1"/>
  <c r="A855" i="1"/>
  <c r="B855" i="1"/>
  <c r="A856" i="1"/>
  <c r="B856" i="1"/>
  <c r="A857" i="1"/>
  <c r="B857" i="1"/>
  <c r="A858" i="1"/>
  <c r="B858" i="1"/>
  <c r="A859" i="1"/>
  <c r="B859" i="1"/>
  <c r="A860" i="1"/>
  <c r="B860" i="1"/>
  <c r="A861" i="1"/>
  <c r="B861" i="1"/>
  <c r="A862" i="1"/>
  <c r="B862" i="1"/>
  <c r="A863" i="1"/>
  <c r="B863" i="1"/>
  <c r="A864" i="1"/>
  <c r="B864" i="1"/>
  <c r="A865" i="1"/>
  <c r="B865" i="1"/>
  <c r="A866" i="1"/>
  <c r="B866" i="1"/>
  <c r="A867" i="1"/>
  <c r="B867" i="1"/>
  <c r="A868" i="1"/>
  <c r="B868" i="1"/>
  <c r="A869" i="1"/>
  <c r="B869" i="1"/>
  <c r="A870" i="1"/>
  <c r="B870" i="1"/>
  <c r="A871" i="1"/>
  <c r="B871" i="1"/>
  <c r="A872" i="1"/>
  <c r="B872" i="1"/>
  <c r="A873" i="1"/>
  <c r="B873" i="1"/>
  <c r="A874" i="1"/>
  <c r="B874" i="1"/>
  <c r="A875" i="1"/>
  <c r="B875" i="1"/>
  <c r="A876" i="1"/>
  <c r="B876" i="1"/>
  <c r="A877" i="1"/>
  <c r="B877" i="1"/>
  <c r="A878" i="1"/>
  <c r="B878" i="1"/>
  <c r="A879" i="1"/>
  <c r="B879" i="1"/>
  <c r="A880" i="1"/>
  <c r="B880" i="1"/>
  <c r="A881" i="1"/>
  <c r="B881" i="1"/>
  <c r="A882" i="1"/>
  <c r="B882" i="1"/>
  <c r="A883" i="1"/>
  <c r="B883" i="1"/>
  <c r="A884" i="1"/>
  <c r="B884" i="1"/>
  <c r="A885" i="1"/>
  <c r="B885" i="1"/>
  <c r="A886" i="1"/>
  <c r="B886" i="1"/>
  <c r="A887" i="1"/>
  <c r="B887" i="1"/>
  <c r="A888" i="1"/>
  <c r="B888" i="1"/>
  <c r="A889" i="1"/>
  <c r="B889" i="1"/>
  <c r="A890" i="1"/>
  <c r="B890" i="1"/>
  <c r="A891" i="1"/>
  <c r="B891" i="1"/>
  <c r="A892" i="1"/>
  <c r="B892" i="1"/>
  <c r="A893" i="1"/>
  <c r="B893" i="1"/>
  <c r="A894" i="1"/>
  <c r="B894" i="1"/>
  <c r="A895" i="1"/>
  <c r="B895" i="1"/>
  <c r="A896" i="1"/>
  <c r="B896" i="1"/>
  <c r="A897" i="1"/>
  <c r="B897" i="1"/>
  <c r="A898" i="1"/>
  <c r="B898" i="1"/>
  <c r="A899" i="1"/>
  <c r="B899" i="1"/>
  <c r="A900" i="1"/>
  <c r="B900" i="1"/>
  <c r="A901" i="1"/>
  <c r="B901" i="1"/>
  <c r="A902" i="1"/>
  <c r="B902" i="1"/>
  <c r="A903" i="1"/>
  <c r="B903" i="1"/>
  <c r="A904" i="1"/>
  <c r="B904" i="1"/>
  <c r="A905" i="1"/>
  <c r="B905" i="1"/>
  <c r="A906" i="1"/>
  <c r="B906" i="1"/>
  <c r="A907" i="1"/>
  <c r="B907" i="1"/>
  <c r="A908" i="1"/>
  <c r="B908" i="1"/>
  <c r="A909" i="1"/>
  <c r="B909" i="1"/>
  <c r="A910" i="1"/>
  <c r="B910" i="1"/>
  <c r="A911" i="1"/>
  <c r="B911" i="1"/>
  <c r="A912" i="1"/>
  <c r="B912" i="1"/>
  <c r="A913" i="1"/>
  <c r="B913" i="1"/>
  <c r="A914" i="1"/>
  <c r="B914" i="1"/>
  <c r="A915" i="1"/>
  <c r="B915" i="1"/>
  <c r="A916" i="1"/>
  <c r="B916" i="1"/>
  <c r="A917" i="1"/>
  <c r="B917" i="1"/>
  <c r="A918" i="1"/>
  <c r="B918" i="1"/>
  <c r="A919" i="1"/>
  <c r="B919" i="1"/>
  <c r="A920" i="1"/>
  <c r="B920" i="1"/>
  <c r="A921" i="1"/>
  <c r="B921" i="1"/>
  <c r="A922" i="1"/>
  <c r="B922" i="1"/>
  <c r="A923" i="1"/>
  <c r="B923" i="1"/>
  <c r="A924" i="1"/>
  <c r="B924" i="1"/>
  <c r="A925" i="1"/>
  <c r="B925" i="1"/>
  <c r="A926" i="1"/>
  <c r="B926" i="1"/>
  <c r="A927" i="1"/>
  <c r="B927" i="1"/>
  <c r="A928" i="1"/>
  <c r="B928" i="1"/>
  <c r="A929" i="1"/>
  <c r="B929" i="1"/>
  <c r="A930" i="1"/>
  <c r="B930" i="1"/>
  <c r="A931" i="1"/>
  <c r="B931" i="1"/>
  <c r="A932" i="1"/>
  <c r="B932" i="1"/>
  <c r="A933" i="1"/>
  <c r="B933" i="1"/>
  <c r="A934" i="1"/>
  <c r="B934" i="1"/>
  <c r="A935" i="1"/>
  <c r="B935" i="1"/>
  <c r="A936" i="1"/>
  <c r="B936" i="1"/>
  <c r="A937" i="1"/>
  <c r="B937" i="1"/>
  <c r="A938" i="1"/>
  <c r="B938" i="1"/>
  <c r="A939" i="1"/>
  <c r="B939" i="1"/>
  <c r="A940" i="1"/>
  <c r="B940" i="1"/>
  <c r="A941" i="1"/>
  <c r="B941" i="1"/>
  <c r="A942" i="1"/>
  <c r="B942" i="1"/>
  <c r="A943" i="1"/>
  <c r="B943" i="1"/>
  <c r="A944" i="1"/>
  <c r="B944" i="1"/>
  <c r="A945" i="1"/>
  <c r="B945" i="1"/>
  <c r="A946" i="1"/>
  <c r="B946" i="1"/>
  <c r="A947" i="1"/>
  <c r="B947" i="1"/>
  <c r="A948" i="1"/>
  <c r="B948" i="1"/>
  <c r="A949" i="1"/>
  <c r="B949" i="1"/>
  <c r="A950" i="1"/>
  <c r="B950" i="1"/>
  <c r="A951" i="1"/>
  <c r="B951" i="1"/>
  <c r="A952" i="1"/>
  <c r="B952" i="1"/>
  <c r="A953" i="1"/>
  <c r="B953" i="1"/>
  <c r="A954" i="1"/>
  <c r="B954" i="1"/>
  <c r="A955" i="1"/>
  <c r="B955" i="1"/>
  <c r="A956" i="1"/>
  <c r="B956" i="1"/>
  <c r="A957" i="1"/>
  <c r="B957" i="1"/>
  <c r="A958" i="1"/>
  <c r="B958" i="1"/>
  <c r="A959" i="1"/>
  <c r="B959" i="1"/>
  <c r="A960" i="1"/>
  <c r="B960" i="1"/>
  <c r="A961" i="1"/>
  <c r="B961" i="1"/>
  <c r="A962" i="1"/>
  <c r="B962" i="1"/>
  <c r="A963" i="1"/>
  <c r="B963" i="1"/>
  <c r="A964" i="1"/>
  <c r="B964" i="1"/>
  <c r="A965" i="1"/>
  <c r="B965" i="1"/>
  <c r="A966" i="1"/>
  <c r="B966" i="1"/>
  <c r="A967" i="1"/>
  <c r="B967" i="1"/>
  <c r="A968" i="1"/>
  <c r="B968" i="1"/>
  <c r="A969" i="1"/>
  <c r="B969" i="1"/>
  <c r="A970" i="1"/>
  <c r="B970" i="1"/>
  <c r="A971" i="1"/>
  <c r="B971" i="1"/>
  <c r="A972" i="1"/>
  <c r="B972" i="1"/>
  <c r="A973" i="1"/>
  <c r="B973" i="1"/>
  <c r="A974" i="1"/>
  <c r="B974" i="1"/>
  <c r="A975" i="1"/>
  <c r="B975" i="1"/>
  <c r="A976" i="1"/>
  <c r="B976" i="1"/>
  <c r="A977" i="1"/>
  <c r="B977" i="1"/>
  <c r="A978" i="1"/>
  <c r="B978" i="1"/>
  <c r="A979" i="1"/>
  <c r="B979" i="1"/>
  <c r="A980" i="1"/>
  <c r="B980" i="1"/>
  <c r="A981" i="1"/>
  <c r="B981" i="1"/>
  <c r="A982" i="1"/>
  <c r="B982" i="1"/>
  <c r="A983" i="1"/>
  <c r="B983" i="1"/>
  <c r="A984" i="1"/>
  <c r="B984" i="1"/>
  <c r="A985" i="1"/>
  <c r="B985" i="1"/>
  <c r="A986" i="1"/>
  <c r="B986" i="1"/>
  <c r="A987" i="1"/>
  <c r="B987" i="1"/>
  <c r="A988" i="1"/>
  <c r="B988" i="1"/>
  <c r="A989" i="1"/>
  <c r="B989" i="1"/>
  <c r="A990" i="1"/>
  <c r="B990" i="1"/>
  <c r="A991" i="1"/>
  <c r="B991" i="1"/>
  <c r="A992" i="1"/>
  <c r="B992" i="1"/>
  <c r="A993" i="1"/>
  <c r="B993" i="1"/>
  <c r="A994" i="1"/>
  <c r="B994" i="1"/>
  <c r="A995" i="1"/>
  <c r="B995" i="1"/>
  <c r="A996" i="1"/>
  <c r="B996" i="1"/>
  <c r="A997" i="1"/>
  <c r="B997" i="1"/>
  <c r="A998" i="1"/>
  <c r="B998" i="1"/>
  <c r="A999" i="1"/>
  <c r="B999" i="1"/>
  <c r="A1000" i="1"/>
  <c r="B1000" i="1"/>
  <c r="A1001" i="1"/>
  <c r="B1001" i="1"/>
  <c r="A1002" i="1"/>
  <c r="B1002" i="1"/>
  <c r="A1003" i="1"/>
  <c r="B1003" i="1"/>
  <c r="A1004" i="1"/>
  <c r="B1004" i="1"/>
  <c r="A1005" i="1"/>
  <c r="B1005" i="1"/>
  <c r="A1006" i="1"/>
  <c r="B1006" i="1"/>
  <c r="A1007" i="1"/>
  <c r="B1007" i="1"/>
  <c r="A1008" i="1"/>
  <c r="B1008" i="1"/>
  <c r="A1009" i="1"/>
  <c r="B1009" i="1"/>
  <c r="A1010" i="1"/>
  <c r="B1010" i="1"/>
  <c r="A1011" i="1"/>
  <c r="B1011" i="1"/>
  <c r="A1012" i="1"/>
  <c r="B1012" i="1"/>
  <c r="A1013" i="1"/>
  <c r="B1013" i="1"/>
  <c r="A1014" i="1"/>
  <c r="B1014" i="1"/>
  <c r="A1015" i="1"/>
  <c r="B1015" i="1"/>
  <c r="A1016" i="1"/>
  <c r="B1016" i="1"/>
  <c r="A1017" i="1"/>
  <c r="B1017" i="1"/>
  <c r="A1018" i="1"/>
  <c r="B1018" i="1"/>
  <c r="A1019" i="1"/>
  <c r="B1019" i="1"/>
  <c r="A1020" i="1"/>
  <c r="B1020" i="1"/>
  <c r="A1021" i="1"/>
  <c r="B1021" i="1"/>
  <c r="A1022" i="1"/>
  <c r="B1022" i="1"/>
  <c r="A1023" i="1"/>
  <c r="B1023" i="1"/>
  <c r="A1024" i="1"/>
  <c r="B1024" i="1"/>
  <c r="A1025" i="1"/>
  <c r="B1025" i="1"/>
  <c r="A1026" i="1"/>
  <c r="B1026" i="1"/>
  <c r="A1027" i="1"/>
  <c r="B1027" i="1"/>
  <c r="A1028" i="1"/>
  <c r="B1028" i="1"/>
  <c r="A1029" i="1"/>
  <c r="B1029" i="1"/>
  <c r="A1030" i="1"/>
  <c r="B1030" i="1"/>
  <c r="A1031" i="1"/>
  <c r="B1031" i="1"/>
  <c r="A1032" i="1"/>
  <c r="B1032" i="1"/>
  <c r="A1033" i="1"/>
  <c r="B1033" i="1"/>
  <c r="A1034" i="1"/>
  <c r="B1034" i="1"/>
  <c r="A1035" i="1"/>
  <c r="B1035" i="1"/>
  <c r="A1036" i="1"/>
  <c r="B1036" i="1"/>
  <c r="A1037" i="1"/>
  <c r="B1037" i="1"/>
  <c r="A1038" i="1"/>
  <c r="B1038" i="1"/>
  <c r="A1039" i="1"/>
  <c r="B1039" i="1"/>
  <c r="A1040" i="1"/>
  <c r="B1040" i="1"/>
  <c r="A1041" i="1"/>
  <c r="B1041" i="1"/>
  <c r="A1042" i="1"/>
  <c r="B1042" i="1"/>
  <c r="A1043" i="1"/>
  <c r="B1043" i="1"/>
  <c r="A1044" i="1"/>
  <c r="B1044" i="1"/>
  <c r="A1045" i="1"/>
  <c r="B1045" i="1"/>
  <c r="A1046" i="1"/>
  <c r="B1046" i="1"/>
  <c r="A1047" i="1"/>
  <c r="B1047" i="1"/>
  <c r="A1048" i="1"/>
  <c r="B1048" i="1"/>
  <c r="A1049" i="1"/>
  <c r="B1049" i="1"/>
  <c r="A1050" i="1"/>
  <c r="B1050" i="1"/>
  <c r="A1051" i="1"/>
  <c r="B1051" i="1"/>
  <c r="A1052" i="1"/>
  <c r="B1052" i="1"/>
  <c r="A1053" i="1"/>
  <c r="B1053" i="1"/>
  <c r="A1054" i="1"/>
  <c r="B1054" i="1"/>
  <c r="A1055" i="1"/>
  <c r="B1055" i="1"/>
  <c r="A1056" i="1"/>
  <c r="B1056" i="1"/>
  <c r="A1057" i="1"/>
  <c r="B1057" i="1"/>
  <c r="A1058" i="1"/>
  <c r="B1058" i="1"/>
  <c r="A1059" i="1"/>
  <c r="B1059" i="1"/>
  <c r="A1060" i="1"/>
  <c r="B1060" i="1"/>
  <c r="A1061" i="1"/>
  <c r="B1061" i="1"/>
  <c r="A1062" i="1"/>
  <c r="B1062" i="1"/>
  <c r="A1063" i="1"/>
  <c r="B1063" i="1"/>
  <c r="A1064" i="1"/>
  <c r="B1064" i="1"/>
  <c r="A1065" i="1"/>
  <c r="B1065" i="1"/>
  <c r="A1066" i="1"/>
  <c r="B1066" i="1"/>
  <c r="A1067" i="1"/>
  <c r="B1067" i="1"/>
  <c r="A1068" i="1"/>
  <c r="B1068" i="1"/>
  <c r="A1069" i="1"/>
  <c r="B1069" i="1"/>
  <c r="A1070" i="1"/>
  <c r="B1070" i="1"/>
  <c r="A1071" i="1"/>
  <c r="B1071" i="1"/>
  <c r="A1072" i="1"/>
  <c r="B1072" i="1"/>
  <c r="A1073" i="1"/>
  <c r="B1073" i="1"/>
  <c r="A1074" i="1"/>
  <c r="B1074" i="1"/>
  <c r="A1075" i="1"/>
  <c r="B1075" i="1"/>
  <c r="A1076" i="1"/>
  <c r="B1076" i="1"/>
  <c r="A1077" i="1"/>
  <c r="B1077" i="1"/>
  <c r="A1078" i="1"/>
  <c r="B1078" i="1"/>
  <c r="A1079" i="1"/>
  <c r="B1079" i="1"/>
  <c r="A1080" i="1"/>
  <c r="B1080" i="1"/>
  <c r="A1081" i="1"/>
  <c r="B1081" i="1"/>
  <c r="A1082" i="1"/>
  <c r="B1082" i="1"/>
  <c r="A1083" i="1"/>
  <c r="B1083" i="1"/>
  <c r="A1084" i="1"/>
  <c r="B1084" i="1"/>
  <c r="A1085" i="1"/>
  <c r="B1085" i="1"/>
  <c r="A1086" i="1"/>
  <c r="B1086" i="1"/>
  <c r="A1087" i="1"/>
  <c r="B1087" i="1"/>
  <c r="A1088" i="1"/>
  <c r="B1088" i="1"/>
  <c r="A1089" i="1"/>
  <c r="B1089" i="1"/>
  <c r="A1090" i="1"/>
  <c r="B1090" i="1"/>
  <c r="A1091" i="1"/>
  <c r="B1091" i="1"/>
  <c r="A1092" i="1"/>
  <c r="B1092" i="1"/>
  <c r="A1093" i="1"/>
  <c r="B1093" i="1"/>
  <c r="A1094" i="1"/>
  <c r="B1094" i="1"/>
  <c r="A1095" i="1"/>
  <c r="B1095" i="1"/>
  <c r="A1096" i="1"/>
  <c r="B1096" i="1"/>
  <c r="A1097" i="1"/>
  <c r="B1097" i="1"/>
  <c r="A1098" i="1"/>
  <c r="B1098" i="1"/>
  <c r="A1099" i="1"/>
  <c r="B1099" i="1"/>
  <c r="A1100" i="1"/>
  <c r="B1100" i="1"/>
  <c r="A1101" i="1"/>
  <c r="B1101" i="1"/>
  <c r="A1102" i="1"/>
  <c r="B1102" i="1"/>
  <c r="A1103" i="1"/>
  <c r="B1103" i="1"/>
  <c r="A1104" i="1"/>
  <c r="B1104" i="1"/>
  <c r="A1105" i="1"/>
  <c r="B1105" i="1"/>
  <c r="A1106" i="1"/>
  <c r="B1106" i="1"/>
  <c r="A1107" i="1"/>
  <c r="B1107" i="1"/>
  <c r="A1108" i="1"/>
  <c r="B1108" i="1"/>
  <c r="A1109" i="1"/>
  <c r="B1109" i="1"/>
  <c r="A1110" i="1"/>
  <c r="B1110" i="1"/>
  <c r="A1111" i="1"/>
  <c r="B1111" i="1"/>
  <c r="A1112" i="1"/>
  <c r="B1112" i="1"/>
  <c r="A1113" i="1"/>
  <c r="B1113" i="1"/>
  <c r="A1114" i="1"/>
  <c r="B1114" i="1"/>
  <c r="A1115" i="1"/>
  <c r="B1115" i="1"/>
  <c r="A1116" i="1"/>
  <c r="B1116" i="1"/>
  <c r="A1117" i="1"/>
  <c r="B1117" i="1"/>
  <c r="A1118" i="1"/>
  <c r="B1118" i="1"/>
  <c r="A1119" i="1"/>
  <c r="B1119" i="1"/>
  <c r="A1120" i="1"/>
  <c r="B1120" i="1"/>
  <c r="A1121" i="1"/>
  <c r="B1121" i="1"/>
  <c r="A1122" i="1"/>
  <c r="B1122" i="1"/>
  <c r="A1123" i="1"/>
  <c r="B1123" i="1"/>
  <c r="A1124" i="1"/>
  <c r="B1124" i="1"/>
  <c r="A1125" i="1"/>
  <c r="B1125" i="1"/>
  <c r="A1126" i="1"/>
  <c r="B1126" i="1"/>
  <c r="A1127" i="1"/>
  <c r="B1127" i="1"/>
  <c r="A1128" i="1"/>
  <c r="B1128" i="1"/>
  <c r="A1129" i="1"/>
  <c r="B1129" i="1"/>
  <c r="A1130" i="1"/>
  <c r="B1130" i="1"/>
  <c r="A1131" i="1"/>
  <c r="B1131" i="1"/>
  <c r="A1132" i="1"/>
  <c r="B1132" i="1"/>
  <c r="A1133" i="1"/>
  <c r="B1133" i="1"/>
  <c r="A1134" i="1"/>
  <c r="B1134" i="1"/>
  <c r="A1135" i="1"/>
  <c r="B1135" i="1"/>
  <c r="A1136" i="1"/>
  <c r="B1136" i="1"/>
  <c r="A1137" i="1"/>
  <c r="B1137" i="1"/>
  <c r="A1138" i="1"/>
  <c r="B1138" i="1"/>
  <c r="A1139" i="1"/>
  <c r="B1139" i="1"/>
  <c r="A1140" i="1"/>
  <c r="B1140" i="1"/>
  <c r="A1141" i="1"/>
  <c r="B1141" i="1"/>
  <c r="A1142" i="1"/>
  <c r="B1142" i="1"/>
  <c r="A1143" i="1"/>
  <c r="B1143" i="1"/>
  <c r="A1144" i="1"/>
  <c r="B1144" i="1"/>
  <c r="A1145" i="1"/>
  <c r="B1145" i="1"/>
  <c r="A1146" i="1"/>
  <c r="B1146" i="1"/>
  <c r="A1147" i="1"/>
  <c r="B1147" i="1"/>
  <c r="A1148" i="1"/>
  <c r="B1148" i="1"/>
  <c r="A1149" i="1"/>
  <c r="B1149" i="1"/>
  <c r="A1150" i="1"/>
  <c r="B1150" i="1"/>
  <c r="A1151" i="1"/>
  <c r="B1151" i="1"/>
  <c r="A1152" i="1"/>
  <c r="B1152" i="1"/>
  <c r="A1153" i="1"/>
  <c r="B1153" i="1"/>
  <c r="A1154" i="1"/>
  <c r="B1154" i="1"/>
  <c r="A1155" i="1"/>
  <c r="B1155" i="1"/>
  <c r="A1156" i="1"/>
  <c r="B1156" i="1"/>
  <c r="A1157" i="1"/>
  <c r="B1157" i="1"/>
  <c r="A1158" i="1"/>
  <c r="B1158" i="1"/>
  <c r="A1159" i="1"/>
  <c r="B1159" i="1"/>
  <c r="A1160" i="1"/>
  <c r="B1160" i="1"/>
  <c r="A1161" i="1"/>
  <c r="B1161" i="1"/>
  <c r="A1162" i="1"/>
  <c r="B1162" i="1"/>
  <c r="A1163" i="1"/>
  <c r="B1163" i="1"/>
  <c r="A1164" i="1"/>
  <c r="B1164" i="1"/>
  <c r="A1165" i="1"/>
  <c r="B1165" i="1"/>
  <c r="A1166" i="1"/>
  <c r="B1166" i="1"/>
  <c r="A1167" i="1"/>
  <c r="B1167" i="1"/>
  <c r="A1168" i="1"/>
  <c r="B1168" i="1"/>
  <c r="A1169" i="1"/>
  <c r="B1169" i="1"/>
  <c r="A1170" i="1"/>
  <c r="B1170" i="1"/>
  <c r="A1171" i="1"/>
  <c r="B1171" i="1"/>
  <c r="A1172" i="1"/>
  <c r="B1172" i="1"/>
  <c r="A1173" i="1"/>
  <c r="B1173" i="1"/>
  <c r="A1174" i="1"/>
  <c r="B1174" i="1"/>
  <c r="A1175" i="1"/>
  <c r="B1175" i="1"/>
  <c r="A1176" i="1"/>
  <c r="B1176" i="1"/>
  <c r="A1177" i="1"/>
  <c r="B1177" i="1"/>
  <c r="A1178" i="1"/>
  <c r="B1178" i="1"/>
  <c r="A1179" i="1"/>
  <c r="B1179" i="1"/>
  <c r="A1180" i="1"/>
  <c r="B1180" i="1"/>
  <c r="A1181" i="1"/>
  <c r="B1181" i="1"/>
  <c r="A1182" i="1"/>
  <c r="B1182" i="1"/>
  <c r="A1183" i="1"/>
  <c r="B1183" i="1"/>
  <c r="A1184" i="1"/>
  <c r="B1184" i="1"/>
  <c r="A1185" i="1"/>
  <c r="B1185" i="1"/>
  <c r="A1186" i="1"/>
  <c r="B1186" i="1"/>
  <c r="A1187" i="1"/>
  <c r="B1187" i="1"/>
  <c r="A1188" i="1"/>
  <c r="B1188" i="1"/>
  <c r="A1189" i="1"/>
  <c r="B1189" i="1"/>
  <c r="A1190" i="1"/>
  <c r="B1190" i="1"/>
  <c r="A1191" i="1"/>
  <c r="B1191" i="1"/>
  <c r="A1192" i="1"/>
  <c r="B1192" i="1"/>
  <c r="A1193" i="1"/>
  <c r="B1193" i="1"/>
  <c r="A1194" i="1"/>
  <c r="B1194" i="1"/>
  <c r="A1195" i="1"/>
  <c r="B1195" i="1"/>
  <c r="A1196" i="1"/>
  <c r="B1196" i="1"/>
  <c r="A1197" i="1"/>
  <c r="B1197" i="1"/>
  <c r="A1198" i="1"/>
  <c r="B1198" i="1"/>
  <c r="A1199" i="1"/>
  <c r="B1199" i="1"/>
  <c r="A1200" i="1"/>
  <c r="B1200" i="1"/>
  <c r="A1201" i="1"/>
  <c r="B1201" i="1"/>
  <c r="A1202" i="1"/>
  <c r="B1202" i="1"/>
  <c r="A1203" i="1"/>
  <c r="B1203" i="1"/>
  <c r="A1204" i="1"/>
  <c r="B1204" i="1"/>
  <c r="A1205" i="1"/>
  <c r="B1205" i="1"/>
  <c r="A1206" i="1"/>
  <c r="B1206" i="1"/>
  <c r="A1207" i="1"/>
  <c r="B1207" i="1"/>
  <c r="A1208" i="1"/>
  <c r="B1208" i="1"/>
  <c r="A1209" i="1"/>
  <c r="B1209" i="1"/>
  <c r="A1210" i="1"/>
  <c r="B1210" i="1"/>
  <c r="A1211" i="1"/>
  <c r="B1211" i="1"/>
  <c r="A1212" i="1"/>
  <c r="B1212" i="1"/>
  <c r="A1213" i="1"/>
  <c r="B1213" i="1"/>
  <c r="A1214" i="1"/>
  <c r="B1214" i="1"/>
  <c r="A1215" i="1"/>
  <c r="B1215" i="1"/>
  <c r="A1216" i="1"/>
  <c r="B1216" i="1"/>
  <c r="A1217" i="1"/>
  <c r="B1217" i="1"/>
  <c r="A1218" i="1"/>
  <c r="B1218" i="1"/>
  <c r="A1219" i="1"/>
  <c r="B1219" i="1"/>
  <c r="A1220" i="1"/>
  <c r="B1220" i="1"/>
  <c r="A1221" i="1"/>
  <c r="B1221" i="1"/>
  <c r="A1222" i="1"/>
  <c r="B1222" i="1"/>
  <c r="A1223" i="1"/>
  <c r="B1223" i="1"/>
  <c r="A1224" i="1"/>
  <c r="B1224" i="1"/>
  <c r="A1225" i="1"/>
  <c r="B1225" i="1"/>
  <c r="A1226" i="1"/>
  <c r="B1226" i="1"/>
  <c r="A1227" i="1"/>
  <c r="B1227" i="1"/>
  <c r="A1228" i="1"/>
  <c r="B1228" i="1"/>
  <c r="A1229" i="1"/>
  <c r="B1229" i="1"/>
  <c r="A1230" i="1"/>
  <c r="B1230" i="1"/>
  <c r="A1231" i="1"/>
  <c r="B1231" i="1"/>
  <c r="A1232" i="1"/>
  <c r="B1232" i="1"/>
  <c r="A1233" i="1"/>
  <c r="B1233" i="1"/>
  <c r="A1234" i="1"/>
  <c r="B1234" i="1"/>
  <c r="A1235" i="1"/>
  <c r="B1235" i="1"/>
  <c r="A1236" i="1"/>
  <c r="B1236" i="1"/>
  <c r="A1237" i="1"/>
  <c r="B1237" i="1"/>
  <c r="A1238" i="1"/>
  <c r="B1238" i="1"/>
  <c r="A1239" i="1"/>
  <c r="B1239" i="1"/>
  <c r="A1240" i="1"/>
  <c r="B1240" i="1"/>
  <c r="A1241" i="1"/>
  <c r="B1241" i="1"/>
  <c r="A1242" i="1"/>
  <c r="B1242" i="1"/>
  <c r="A1243" i="1"/>
  <c r="B1243" i="1"/>
  <c r="A1244" i="1"/>
  <c r="B1244" i="1"/>
  <c r="A1245" i="1"/>
  <c r="B1245" i="1"/>
  <c r="A1246" i="1"/>
  <c r="B1246" i="1"/>
  <c r="A1247" i="1"/>
  <c r="B1247" i="1"/>
  <c r="A1248" i="1"/>
  <c r="B1248" i="1"/>
  <c r="A1249" i="1"/>
  <c r="B1249" i="1"/>
  <c r="A1250" i="1"/>
  <c r="B1250" i="1"/>
  <c r="A1251" i="1"/>
  <c r="B1251" i="1"/>
  <c r="A1252" i="1"/>
  <c r="B1252" i="1"/>
  <c r="A1253" i="1"/>
  <c r="B1253" i="1"/>
  <c r="A1254" i="1"/>
  <c r="B1254" i="1"/>
  <c r="A1255" i="1"/>
  <c r="B1255" i="1"/>
  <c r="A1256" i="1"/>
  <c r="B1256" i="1"/>
  <c r="A1257" i="1"/>
  <c r="B1257" i="1"/>
  <c r="A1258" i="1"/>
  <c r="B1258" i="1"/>
  <c r="A1259" i="1"/>
  <c r="B1259" i="1"/>
  <c r="A1260" i="1"/>
  <c r="B1260" i="1"/>
  <c r="A1261" i="1"/>
  <c r="B1261" i="1"/>
  <c r="A1262" i="1"/>
  <c r="B1262" i="1"/>
  <c r="A1263" i="1"/>
  <c r="B1263" i="1"/>
  <c r="A1264" i="1"/>
  <c r="B1264" i="1"/>
  <c r="A1265" i="1"/>
  <c r="B1265" i="1"/>
  <c r="A1266" i="1"/>
  <c r="B1266" i="1"/>
  <c r="A1267" i="1"/>
  <c r="B1267" i="1"/>
  <c r="A1268" i="1"/>
  <c r="B1268" i="1"/>
  <c r="A1269" i="1"/>
  <c r="B1269" i="1"/>
  <c r="A1270" i="1"/>
  <c r="B1270" i="1"/>
  <c r="A1271" i="1"/>
  <c r="B1271" i="1"/>
  <c r="A1272" i="1"/>
  <c r="B1272" i="1"/>
  <c r="A1273" i="1"/>
  <c r="B1273" i="1"/>
  <c r="A1274" i="1"/>
  <c r="B1274" i="1"/>
  <c r="A1275" i="1"/>
  <c r="B1275" i="1"/>
  <c r="A1276" i="1"/>
  <c r="B1276" i="1"/>
  <c r="A1277" i="1"/>
  <c r="B1277" i="1"/>
  <c r="A1278" i="1"/>
  <c r="B1278" i="1"/>
  <c r="A1279" i="1"/>
  <c r="B1279" i="1"/>
  <c r="A1280" i="1"/>
  <c r="B1280" i="1"/>
  <c r="A1281" i="1"/>
  <c r="B1281" i="1"/>
  <c r="A1282" i="1"/>
  <c r="B1282" i="1"/>
  <c r="A1283" i="1"/>
  <c r="B1283" i="1"/>
  <c r="A1284" i="1"/>
  <c r="B1284" i="1"/>
  <c r="A1285" i="1"/>
  <c r="B1285" i="1"/>
  <c r="A1286" i="1"/>
  <c r="B1286" i="1"/>
  <c r="A1287" i="1"/>
  <c r="B1287" i="1"/>
  <c r="A1288" i="1"/>
  <c r="B1288" i="1"/>
  <c r="A1289" i="1"/>
  <c r="B1289" i="1"/>
  <c r="A1290" i="1"/>
  <c r="B1290" i="1"/>
  <c r="A1291" i="1"/>
  <c r="B1291" i="1"/>
  <c r="A1292" i="1"/>
  <c r="B1292" i="1"/>
  <c r="A1293" i="1"/>
  <c r="B1293" i="1"/>
  <c r="A1294" i="1"/>
  <c r="B1294" i="1"/>
  <c r="A1295" i="1"/>
  <c r="B1295" i="1"/>
  <c r="A1296" i="1"/>
  <c r="B1296" i="1"/>
  <c r="A1297" i="1"/>
  <c r="B1297" i="1"/>
  <c r="A1298" i="1"/>
  <c r="B1298" i="1"/>
  <c r="A1299" i="1"/>
  <c r="B1299" i="1"/>
  <c r="A1300" i="1"/>
  <c r="B1300" i="1"/>
  <c r="A1301" i="1"/>
  <c r="B1301" i="1"/>
  <c r="A1302" i="1"/>
  <c r="B1302" i="1"/>
  <c r="A1303" i="1"/>
  <c r="B1303" i="1"/>
  <c r="A1304" i="1"/>
  <c r="B1304" i="1"/>
  <c r="A1305" i="1"/>
  <c r="B1305" i="1"/>
  <c r="A1306" i="1"/>
  <c r="B1306" i="1"/>
  <c r="A1307" i="1"/>
  <c r="B1307" i="1"/>
  <c r="A1308" i="1"/>
  <c r="B1308" i="1"/>
  <c r="A1309" i="1"/>
  <c r="B1309" i="1"/>
  <c r="A1310" i="1"/>
  <c r="B1310" i="1"/>
  <c r="A1311" i="1"/>
  <c r="B1311" i="1"/>
  <c r="A1312" i="1"/>
  <c r="B1312" i="1"/>
  <c r="A1313" i="1"/>
  <c r="B1313" i="1"/>
  <c r="A1314" i="1"/>
  <c r="B1314" i="1"/>
  <c r="A1315" i="1"/>
  <c r="B1315" i="1"/>
  <c r="A1316" i="1"/>
  <c r="B1316" i="1"/>
  <c r="A1317" i="1"/>
  <c r="B1317" i="1"/>
  <c r="A1318" i="1"/>
  <c r="B1318" i="1"/>
  <c r="A1319" i="1"/>
  <c r="B1319" i="1"/>
  <c r="A1320" i="1"/>
  <c r="B1320" i="1"/>
  <c r="A1321" i="1"/>
  <c r="B1321" i="1"/>
  <c r="A1322" i="1"/>
  <c r="B1322" i="1"/>
  <c r="A1323" i="1"/>
  <c r="B1323" i="1"/>
  <c r="A1324" i="1"/>
  <c r="B1324" i="1"/>
  <c r="A1325" i="1"/>
  <c r="B1325" i="1"/>
  <c r="A1326" i="1"/>
  <c r="B1326" i="1"/>
  <c r="A1327" i="1"/>
  <c r="B1327" i="1"/>
  <c r="A1328" i="1"/>
  <c r="B1328" i="1"/>
  <c r="A1329" i="1"/>
  <c r="B1329" i="1"/>
  <c r="A1330" i="1"/>
  <c r="B1330" i="1"/>
  <c r="A1331" i="1"/>
  <c r="B1331" i="1"/>
  <c r="A1332" i="1"/>
  <c r="B1332" i="1"/>
  <c r="A1333" i="1"/>
  <c r="B1333" i="1"/>
  <c r="A1334" i="1"/>
  <c r="B1334" i="1"/>
  <c r="A1335" i="1"/>
  <c r="B1335" i="1"/>
  <c r="A1336" i="1"/>
  <c r="B1336" i="1"/>
  <c r="A1337" i="1"/>
  <c r="B1337" i="1"/>
  <c r="A1338" i="1"/>
  <c r="B1338" i="1"/>
  <c r="A1339" i="1"/>
  <c r="B1339" i="1"/>
  <c r="A1340" i="1"/>
  <c r="B1340" i="1"/>
  <c r="A1341" i="1"/>
  <c r="B1341" i="1"/>
  <c r="A1342" i="1"/>
  <c r="B1342" i="1"/>
  <c r="A1343" i="1"/>
  <c r="B1343" i="1"/>
  <c r="A1344" i="1"/>
  <c r="B1344" i="1"/>
  <c r="A1345" i="1"/>
  <c r="B1345" i="1"/>
  <c r="A1346" i="1"/>
  <c r="B1346" i="1"/>
  <c r="A1347" i="1"/>
  <c r="B1347" i="1"/>
  <c r="A1348" i="1"/>
  <c r="B1348" i="1"/>
  <c r="A1349" i="1"/>
  <c r="B1349" i="1"/>
  <c r="A1350" i="1"/>
  <c r="B1350" i="1"/>
  <c r="A1351" i="1"/>
  <c r="B1351" i="1"/>
  <c r="A1352" i="1"/>
  <c r="B1352" i="1"/>
  <c r="A1353" i="1"/>
  <c r="B1353" i="1"/>
  <c r="A1354" i="1"/>
  <c r="B1354" i="1"/>
  <c r="A1355" i="1"/>
  <c r="B1355" i="1"/>
  <c r="A1356" i="1"/>
  <c r="B1356" i="1"/>
  <c r="A1357" i="1"/>
  <c r="B1357" i="1"/>
  <c r="A1358" i="1"/>
  <c r="B1358" i="1"/>
  <c r="A1359" i="1"/>
  <c r="B1359" i="1"/>
  <c r="A1360" i="1"/>
  <c r="B1360" i="1"/>
  <c r="A1361" i="1"/>
  <c r="B1361" i="1"/>
  <c r="A1362" i="1"/>
  <c r="B1362" i="1"/>
  <c r="A1363" i="1"/>
  <c r="B1363" i="1"/>
  <c r="A1364" i="1"/>
  <c r="B1364" i="1"/>
  <c r="A1365" i="1"/>
  <c r="B1365" i="1"/>
  <c r="A1366" i="1"/>
  <c r="B1366" i="1"/>
  <c r="A1367" i="1"/>
  <c r="B1367" i="1"/>
  <c r="A1368" i="1"/>
  <c r="B1368" i="1"/>
  <c r="A1369" i="1"/>
  <c r="B1369" i="1"/>
  <c r="A1370" i="1"/>
  <c r="B1370" i="1"/>
  <c r="A1371" i="1"/>
  <c r="B1371" i="1"/>
  <c r="A1372" i="1"/>
  <c r="B1372" i="1"/>
  <c r="A1373" i="1"/>
  <c r="B1373" i="1"/>
  <c r="A1374" i="1"/>
  <c r="B1374" i="1"/>
  <c r="A1375" i="1"/>
  <c r="B1375" i="1"/>
  <c r="A1376" i="1"/>
  <c r="B1376" i="1"/>
  <c r="A1377" i="1"/>
  <c r="B1377" i="1"/>
  <c r="A1378" i="1"/>
  <c r="B1378" i="1"/>
  <c r="A1379" i="1"/>
  <c r="B1379" i="1"/>
  <c r="A1380" i="1"/>
  <c r="B1380" i="1"/>
  <c r="A1381" i="1"/>
  <c r="B1381" i="1"/>
  <c r="A1382" i="1"/>
  <c r="B1382" i="1"/>
  <c r="A1383" i="1"/>
  <c r="B1383" i="1"/>
  <c r="A1384" i="1"/>
  <c r="B1384" i="1"/>
  <c r="A1385" i="1"/>
  <c r="B1385" i="1"/>
  <c r="A1386" i="1"/>
  <c r="B1386" i="1"/>
  <c r="A1387" i="1"/>
  <c r="B1387" i="1"/>
  <c r="A1388" i="1"/>
  <c r="B1388" i="1"/>
  <c r="A1389" i="1"/>
  <c r="B1389" i="1"/>
  <c r="A1390" i="1"/>
  <c r="B1390" i="1"/>
  <c r="A1391" i="1"/>
  <c r="B1391" i="1"/>
  <c r="A1392" i="1"/>
  <c r="B1392" i="1"/>
  <c r="A1393" i="1"/>
  <c r="B1393" i="1"/>
  <c r="A1394" i="1"/>
  <c r="B1394" i="1"/>
  <c r="A1395" i="1"/>
  <c r="B1395" i="1"/>
  <c r="A1396" i="1"/>
  <c r="B1396" i="1"/>
  <c r="A1397" i="1"/>
  <c r="B1397" i="1"/>
  <c r="A1398" i="1"/>
  <c r="B1398" i="1"/>
  <c r="A1399" i="1"/>
  <c r="B1399" i="1"/>
  <c r="A1400" i="1"/>
  <c r="B1400" i="1"/>
  <c r="A1401" i="1"/>
  <c r="B1401" i="1"/>
  <c r="A1402" i="1"/>
  <c r="B1402" i="1"/>
  <c r="A1403" i="1"/>
  <c r="B1403" i="1"/>
  <c r="A1404" i="1"/>
  <c r="B1404" i="1"/>
  <c r="A1405" i="1"/>
  <c r="B1405" i="1"/>
  <c r="A1406" i="1"/>
  <c r="B1406" i="1"/>
  <c r="A1407" i="1"/>
  <c r="B1407" i="1"/>
  <c r="A1408" i="1"/>
  <c r="B1408" i="1"/>
  <c r="A1409" i="1"/>
  <c r="B1409" i="1"/>
  <c r="A1410" i="1"/>
  <c r="B1410" i="1"/>
  <c r="A1411" i="1"/>
  <c r="B1411" i="1"/>
  <c r="A1412" i="1"/>
  <c r="B1412" i="1"/>
  <c r="A1413" i="1"/>
  <c r="B1413" i="1"/>
  <c r="A1414" i="1"/>
  <c r="B1414" i="1"/>
  <c r="A1415" i="1"/>
  <c r="B1415" i="1"/>
  <c r="A1416" i="1"/>
  <c r="B1416" i="1"/>
  <c r="A1417" i="1"/>
  <c r="B1417" i="1"/>
  <c r="A1418" i="1"/>
  <c r="B1418" i="1"/>
  <c r="A1419" i="1"/>
  <c r="B1419" i="1"/>
  <c r="A1420" i="1"/>
  <c r="B1420" i="1"/>
  <c r="A1421" i="1"/>
  <c r="B1421" i="1"/>
  <c r="A1422" i="1"/>
  <c r="B1422" i="1"/>
  <c r="A1423" i="1"/>
  <c r="B1423" i="1"/>
  <c r="A1424" i="1"/>
  <c r="B1424" i="1"/>
  <c r="A1425" i="1"/>
  <c r="B1425" i="1"/>
  <c r="A1426" i="1"/>
  <c r="B1426" i="1"/>
  <c r="A1427" i="1"/>
  <c r="B1427" i="1"/>
  <c r="A1428" i="1"/>
  <c r="B1428" i="1"/>
  <c r="A1429" i="1"/>
  <c r="B1429" i="1"/>
  <c r="A1430" i="1"/>
  <c r="B1430" i="1"/>
  <c r="A1431" i="1"/>
  <c r="B1431" i="1"/>
  <c r="A1432" i="1"/>
  <c r="B1432" i="1"/>
  <c r="A1433" i="1"/>
  <c r="B1433" i="1"/>
  <c r="A1434" i="1"/>
  <c r="B1434" i="1"/>
  <c r="A1435" i="1"/>
  <c r="B1435" i="1"/>
  <c r="A1436" i="1"/>
  <c r="B1436" i="1"/>
  <c r="A1437" i="1"/>
  <c r="B1437" i="1"/>
  <c r="A1438" i="1"/>
  <c r="B1438" i="1"/>
  <c r="A1439" i="1"/>
  <c r="B1439" i="1"/>
  <c r="A1440" i="1"/>
  <c r="B1440" i="1"/>
  <c r="A1441" i="1"/>
  <c r="B1441" i="1"/>
  <c r="A1442" i="1"/>
  <c r="B1442" i="1"/>
  <c r="A1443" i="1"/>
  <c r="B1443" i="1"/>
  <c r="A1444" i="1"/>
  <c r="B1444" i="1"/>
  <c r="A1445" i="1"/>
  <c r="B1445" i="1"/>
  <c r="A1446" i="1"/>
  <c r="B1446" i="1"/>
  <c r="A1447" i="1"/>
  <c r="B1447" i="1"/>
  <c r="A1448" i="1"/>
  <c r="B1448" i="1"/>
  <c r="A1449" i="1"/>
  <c r="B1449" i="1"/>
  <c r="A1450" i="1"/>
  <c r="B1450" i="1"/>
  <c r="A1451" i="1"/>
  <c r="B1451" i="1"/>
  <c r="A1452" i="1"/>
  <c r="B1452" i="1"/>
  <c r="A1453" i="1"/>
  <c r="B1453" i="1"/>
  <c r="A1454" i="1"/>
  <c r="B1454" i="1"/>
  <c r="A1455" i="1"/>
  <c r="B1455" i="1"/>
  <c r="A1456" i="1"/>
  <c r="B1456" i="1"/>
  <c r="A1457" i="1"/>
  <c r="B1457" i="1"/>
  <c r="A1458" i="1"/>
  <c r="B1458" i="1"/>
  <c r="A1459" i="1"/>
  <c r="B1459" i="1"/>
  <c r="A1460" i="1"/>
  <c r="B1460" i="1"/>
  <c r="A1461" i="1"/>
  <c r="B1461" i="1"/>
  <c r="A1462" i="1"/>
  <c r="B1462" i="1"/>
  <c r="A1463" i="1"/>
  <c r="B1463" i="1"/>
  <c r="A1464" i="1"/>
  <c r="B1464" i="1"/>
  <c r="A1465" i="1"/>
  <c r="B1465" i="1"/>
  <c r="A1466" i="1"/>
  <c r="B1466" i="1"/>
  <c r="A1467" i="1"/>
  <c r="B1467" i="1"/>
  <c r="A1468" i="1"/>
  <c r="B1468" i="1"/>
  <c r="A1469" i="1"/>
  <c r="B1469" i="1"/>
  <c r="A1470" i="1"/>
  <c r="B1470" i="1"/>
  <c r="A1471" i="1"/>
  <c r="B1471" i="1"/>
  <c r="A1472" i="1"/>
  <c r="B1472" i="1"/>
  <c r="A1473" i="1"/>
  <c r="B1473" i="1"/>
  <c r="A1474" i="1"/>
  <c r="B1474" i="1"/>
  <c r="A1475" i="1"/>
  <c r="B1475" i="1"/>
  <c r="A1476" i="1"/>
  <c r="B1476" i="1"/>
  <c r="A1477" i="1"/>
  <c r="B1477" i="1"/>
  <c r="A1478" i="1"/>
  <c r="B1478" i="1"/>
  <c r="A1479" i="1"/>
  <c r="B1479" i="1"/>
  <c r="A1480" i="1"/>
  <c r="B1480" i="1"/>
  <c r="A1481" i="1"/>
  <c r="B1481" i="1"/>
  <c r="A1482" i="1"/>
  <c r="B1482" i="1"/>
  <c r="A1483" i="1"/>
  <c r="B1483" i="1"/>
  <c r="A1484" i="1"/>
  <c r="B1484" i="1"/>
  <c r="A1485" i="1"/>
  <c r="B1485" i="1"/>
  <c r="A1486" i="1"/>
  <c r="B1486" i="1"/>
  <c r="A1487" i="1"/>
  <c r="B1487" i="1"/>
  <c r="A1488" i="1"/>
  <c r="B1488" i="1"/>
  <c r="A1489" i="1"/>
  <c r="B1489" i="1"/>
  <c r="A1490" i="1"/>
  <c r="B1490" i="1"/>
  <c r="A1491" i="1"/>
  <c r="B1491" i="1"/>
  <c r="A1492" i="1"/>
  <c r="B1492" i="1"/>
  <c r="A1493" i="1"/>
  <c r="B1493" i="1"/>
  <c r="A1494" i="1"/>
  <c r="B1494" i="1"/>
  <c r="A1495" i="1"/>
  <c r="B1495" i="1"/>
  <c r="A1496" i="1"/>
  <c r="B1496" i="1"/>
  <c r="A1497" i="1"/>
  <c r="B1497" i="1"/>
  <c r="A1498" i="1"/>
  <c r="B1498" i="1"/>
  <c r="A1499" i="1"/>
  <c r="B1499" i="1"/>
  <c r="A1500" i="1"/>
  <c r="B1500" i="1"/>
  <c r="A1501" i="1"/>
  <c r="B1501" i="1"/>
  <c r="A1502" i="1"/>
  <c r="B1502" i="1"/>
  <c r="A1503" i="1"/>
  <c r="B1503" i="1"/>
  <c r="A1504" i="1"/>
  <c r="B1504" i="1"/>
  <c r="A1505" i="1"/>
  <c r="B1505" i="1"/>
  <c r="A1506" i="1"/>
  <c r="B1506" i="1"/>
  <c r="A1507" i="1"/>
  <c r="B1507" i="1"/>
  <c r="A1508" i="1"/>
  <c r="B1508" i="1"/>
  <c r="A1509" i="1"/>
  <c r="B1509" i="1"/>
  <c r="A1510" i="1"/>
  <c r="B1510" i="1"/>
  <c r="A1511" i="1"/>
  <c r="B1511" i="1"/>
  <c r="A1512" i="1"/>
  <c r="B1512" i="1"/>
  <c r="A1513" i="1"/>
  <c r="B1513" i="1"/>
  <c r="A1514" i="1"/>
  <c r="B1514" i="1"/>
  <c r="A1515" i="1"/>
  <c r="B1515" i="1"/>
  <c r="A1516" i="1"/>
  <c r="B1516" i="1"/>
  <c r="A1517" i="1"/>
  <c r="B1517" i="1"/>
  <c r="A1518" i="1"/>
  <c r="B1518" i="1"/>
  <c r="A1519" i="1"/>
  <c r="B1519" i="1"/>
  <c r="A1520" i="1"/>
  <c r="B1520" i="1"/>
  <c r="A1521" i="1"/>
  <c r="B1521" i="1"/>
  <c r="A1522" i="1"/>
  <c r="B1522" i="1"/>
  <c r="A1523" i="1"/>
  <c r="B1523" i="1"/>
  <c r="A1524" i="1"/>
  <c r="B1524" i="1"/>
  <c r="A1525" i="1"/>
  <c r="B1525" i="1"/>
  <c r="A1526" i="1"/>
  <c r="B1526" i="1"/>
  <c r="A1527" i="1"/>
  <c r="B1527" i="1"/>
  <c r="A1528" i="1"/>
  <c r="B1528" i="1"/>
  <c r="A1529" i="1"/>
  <c r="B1529" i="1"/>
  <c r="A1530" i="1"/>
  <c r="B1530" i="1"/>
  <c r="A1531" i="1"/>
  <c r="B1531" i="1"/>
  <c r="A1532" i="1"/>
  <c r="B1532" i="1"/>
  <c r="A1533" i="1"/>
  <c r="B1533" i="1"/>
  <c r="A1534" i="1"/>
  <c r="B1534" i="1"/>
  <c r="A1535" i="1"/>
  <c r="B1535" i="1"/>
  <c r="A1536" i="1"/>
  <c r="B1536" i="1"/>
  <c r="A1537" i="1"/>
  <c r="B1537" i="1"/>
  <c r="A1538" i="1"/>
  <c r="B1538" i="1"/>
  <c r="A1539" i="1"/>
  <c r="B1539" i="1"/>
  <c r="A1540" i="1"/>
  <c r="B1540" i="1"/>
  <c r="A1541" i="1"/>
  <c r="B1541" i="1"/>
  <c r="A1542" i="1"/>
  <c r="B1542" i="1"/>
  <c r="A1543" i="1"/>
  <c r="B1543" i="1"/>
  <c r="A1544" i="1"/>
  <c r="B1544" i="1"/>
  <c r="A1545" i="1"/>
  <c r="B1545" i="1"/>
  <c r="A1546" i="1"/>
  <c r="B1546" i="1"/>
  <c r="A1547" i="1"/>
  <c r="B1547" i="1"/>
  <c r="A1548" i="1"/>
  <c r="B1548" i="1"/>
  <c r="A1549" i="1"/>
  <c r="B1549" i="1"/>
  <c r="A1550" i="1"/>
  <c r="B1550" i="1"/>
  <c r="A1551" i="1"/>
  <c r="B1551" i="1"/>
  <c r="A1552" i="1"/>
  <c r="B1552" i="1"/>
  <c r="A1553" i="1"/>
  <c r="B1553" i="1"/>
  <c r="A1554" i="1"/>
  <c r="B1554" i="1"/>
  <c r="A1555" i="1"/>
  <c r="B1555" i="1"/>
  <c r="A1556" i="1"/>
  <c r="B1556" i="1"/>
  <c r="A1557" i="1"/>
  <c r="B1557" i="1"/>
  <c r="A1558" i="1"/>
  <c r="B1558" i="1"/>
  <c r="A1559" i="1"/>
  <c r="B1559" i="1"/>
  <c r="A1560" i="1"/>
  <c r="B1560" i="1"/>
  <c r="A1561" i="1"/>
  <c r="B1561" i="1"/>
  <c r="A1562" i="1"/>
  <c r="B1562" i="1"/>
  <c r="A1563" i="1"/>
  <c r="B1563" i="1"/>
  <c r="A1564" i="1"/>
  <c r="B1564" i="1"/>
  <c r="A1565" i="1"/>
  <c r="B1565" i="1"/>
  <c r="A1566" i="1"/>
  <c r="B1566" i="1"/>
  <c r="A1567" i="1"/>
  <c r="B1567" i="1"/>
  <c r="A1568" i="1"/>
  <c r="B1568" i="1"/>
  <c r="A1569" i="1"/>
  <c r="B1569" i="1"/>
  <c r="A1570" i="1"/>
  <c r="B1570" i="1"/>
  <c r="A1571" i="1"/>
  <c r="B1571" i="1"/>
  <c r="A1572" i="1"/>
  <c r="B1572" i="1"/>
  <c r="A1573" i="1"/>
  <c r="B1573" i="1"/>
  <c r="A1574" i="1"/>
  <c r="B1574" i="1"/>
  <c r="A1575" i="1"/>
  <c r="B1575" i="1"/>
  <c r="A1576" i="1"/>
  <c r="B1576" i="1"/>
  <c r="A1577" i="1"/>
  <c r="B1577" i="1"/>
  <c r="A1578" i="1"/>
  <c r="B1578" i="1"/>
  <c r="A1579" i="1"/>
  <c r="B1579" i="1"/>
  <c r="A1580" i="1"/>
  <c r="B1580" i="1"/>
  <c r="A1581" i="1"/>
  <c r="B1581" i="1"/>
  <c r="A1582" i="1"/>
  <c r="B1582" i="1"/>
  <c r="A1583" i="1"/>
  <c r="B1583" i="1"/>
  <c r="A1584" i="1"/>
  <c r="B1584" i="1"/>
  <c r="A1585" i="1"/>
  <c r="B1585" i="1"/>
  <c r="A1586" i="1"/>
  <c r="B1586" i="1"/>
  <c r="A1587" i="1"/>
  <c r="B1587" i="1"/>
  <c r="A1588" i="1"/>
  <c r="B1588" i="1"/>
  <c r="A1589" i="1"/>
  <c r="B1589" i="1"/>
  <c r="A1590" i="1"/>
  <c r="B1590" i="1"/>
  <c r="A1591" i="1"/>
  <c r="B1591" i="1"/>
  <c r="A1592" i="1"/>
  <c r="B1592" i="1"/>
  <c r="A1593" i="1"/>
  <c r="B1593" i="1"/>
  <c r="A1594" i="1"/>
  <c r="B1594" i="1"/>
  <c r="A1595" i="1"/>
  <c r="B1595" i="1"/>
  <c r="A1596" i="1"/>
  <c r="B1596" i="1"/>
  <c r="A1597" i="1"/>
  <c r="B1597" i="1"/>
  <c r="A1598" i="1"/>
  <c r="B1598" i="1"/>
  <c r="A1599" i="1"/>
  <c r="B1599" i="1"/>
  <c r="A1600" i="1"/>
  <c r="B1600" i="1"/>
  <c r="A1601" i="1"/>
  <c r="B1601" i="1"/>
  <c r="A1602" i="1"/>
  <c r="B1602" i="1"/>
  <c r="A1603" i="1"/>
  <c r="B1603" i="1"/>
  <c r="A1604" i="1"/>
  <c r="B1604" i="1"/>
  <c r="A1605" i="1"/>
  <c r="B1605" i="1"/>
  <c r="A1606" i="1"/>
  <c r="B1606" i="1"/>
  <c r="A1607" i="1"/>
  <c r="B1607" i="1"/>
  <c r="A1608" i="1"/>
  <c r="B1608" i="1"/>
  <c r="A1609" i="1"/>
  <c r="B1609" i="1"/>
  <c r="A1610" i="1"/>
  <c r="B1610" i="1"/>
  <c r="A1611" i="1"/>
  <c r="B1611" i="1"/>
  <c r="A1612" i="1"/>
  <c r="B1612" i="1"/>
  <c r="A1613" i="1"/>
  <c r="B1613" i="1"/>
  <c r="A1614" i="1"/>
  <c r="B1614" i="1"/>
  <c r="A1615" i="1"/>
  <c r="B1615" i="1"/>
  <c r="A1616" i="1"/>
  <c r="B1616" i="1"/>
  <c r="A1617" i="1"/>
  <c r="B1617" i="1"/>
  <c r="A1618" i="1"/>
  <c r="B1618" i="1"/>
  <c r="A1619" i="1"/>
  <c r="B1619" i="1"/>
  <c r="A1620" i="1"/>
  <c r="B1620" i="1"/>
  <c r="A1621" i="1"/>
  <c r="B1621" i="1"/>
  <c r="A1622" i="1"/>
  <c r="B1622" i="1"/>
  <c r="A1623" i="1"/>
  <c r="B1623" i="1"/>
  <c r="A1624" i="1"/>
  <c r="B1624" i="1"/>
  <c r="A1625" i="1"/>
  <c r="B1625" i="1"/>
  <c r="A1626" i="1"/>
  <c r="B1626" i="1"/>
  <c r="A1627" i="1"/>
  <c r="B1627" i="1"/>
  <c r="A1628" i="1"/>
  <c r="B1628" i="1"/>
  <c r="A1629" i="1"/>
  <c r="B1629" i="1"/>
  <c r="A1630" i="1"/>
  <c r="B1630" i="1"/>
  <c r="A1631" i="1"/>
  <c r="B1631" i="1"/>
  <c r="A1632" i="1"/>
  <c r="B1632" i="1"/>
  <c r="A1633" i="1"/>
  <c r="B1633" i="1"/>
  <c r="A1634" i="1"/>
  <c r="B1634" i="1"/>
  <c r="A1635" i="1"/>
  <c r="B1635" i="1"/>
  <c r="A1636" i="1"/>
  <c r="B1636" i="1"/>
  <c r="A1637" i="1"/>
  <c r="B1637" i="1"/>
  <c r="A1638" i="1"/>
  <c r="B1638" i="1"/>
  <c r="A1639" i="1"/>
  <c r="B1639" i="1"/>
  <c r="A1640" i="1"/>
  <c r="B1640" i="1"/>
  <c r="A1641" i="1"/>
  <c r="B1641" i="1"/>
  <c r="A1642" i="1"/>
  <c r="B1642" i="1"/>
  <c r="A1643" i="1"/>
  <c r="B1643" i="1"/>
  <c r="A1644" i="1"/>
  <c r="B1644" i="1"/>
  <c r="A1645" i="1"/>
  <c r="B1645" i="1"/>
  <c r="A1646" i="1"/>
  <c r="B1646" i="1"/>
  <c r="A1647" i="1"/>
  <c r="B1647" i="1"/>
  <c r="A1648" i="1"/>
  <c r="B1648" i="1"/>
  <c r="A1649" i="1"/>
  <c r="B1649" i="1"/>
  <c r="A1650" i="1"/>
  <c r="B1650" i="1"/>
  <c r="A1651" i="1"/>
  <c r="B1651" i="1"/>
  <c r="A1652" i="1"/>
  <c r="B1652" i="1"/>
  <c r="A1653" i="1"/>
  <c r="B1653" i="1"/>
  <c r="A1654" i="1"/>
  <c r="B1654" i="1"/>
  <c r="A1655" i="1"/>
  <c r="B1655" i="1"/>
  <c r="A1656" i="1"/>
  <c r="B1656" i="1"/>
  <c r="A1657" i="1"/>
  <c r="B1657" i="1"/>
  <c r="A1658" i="1"/>
  <c r="B1658" i="1"/>
  <c r="A1659" i="1"/>
  <c r="B1659" i="1"/>
  <c r="A1660" i="1"/>
  <c r="B1660" i="1"/>
  <c r="A1661" i="1"/>
  <c r="B1661" i="1"/>
  <c r="A1662" i="1"/>
  <c r="B1662" i="1"/>
  <c r="A1663" i="1"/>
  <c r="B1663" i="1"/>
  <c r="A1664" i="1"/>
  <c r="B1664" i="1"/>
  <c r="A1665" i="1"/>
  <c r="B1665" i="1"/>
  <c r="A1666" i="1"/>
  <c r="B1666" i="1"/>
  <c r="A1667" i="1"/>
  <c r="B1667" i="1"/>
  <c r="A1668" i="1"/>
  <c r="B1668" i="1"/>
  <c r="A1669" i="1"/>
  <c r="B1669" i="1"/>
  <c r="A1670" i="1"/>
  <c r="B1670" i="1"/>
  <c r="A1671" i="1"/>
  <c r="B1671" i="1"/>
  <c r="A1672" i="1"/>
  <c r="B1672" i="1"/>
  <c r="A1673" i="1"/>
  <c r="B1673" i="1"/>
  <c r="A1674" i="1"/>
  <c r="B1674" i="1"/>
  <c r="A1675" i="1"/>
  <c r="B1675" i="1"/>
  <c r="A1676" i="1"/>
  <c r="B1676" i="1"/>
  <c r="A1677" i="1"/>
  <c r="B1677" i="1"/>
  <c r="A1678" i="1"/>
  <c r="B1678" i="1"/>
  <c r="A1679" i="1"/>
  <c r="B1679" i="1"/>
  <c r="A1680" i="1"/>
  <c r="B1680" i="1"/>
  <c r="A1681" i="1"/>
  <c r="B1681" i="1"/>
  <c r="A1682" i="1"/>
  <c r="B1682" i="1"/>
  <c r="A1683" i="1"/>
  <c r="B1683" i="1"/>
  <c r="A1684" i="1"/>
  <c r="B1684" i="1"/>
  <c r="A1685" i="1"/>
  <c r="B1685" i="1"/>
  <c r="A1686" i="1"/>
  <c r="B1686" i="1"/>
  <c r="A1687" i="1"/>
  <c r="B1687" i="1"/>
  <c r="A1688" i="1"/>
  <c r="B1688" i="1"/>
  <c r="A1689" i="1"/>
  <c r="B1689" i="1"/>
  <c r="A1690" i="1"/>
  <c r="B1690" i="1"/>
  <c r="A1691" i="1"/>
  <c r="B1691" i="1"/>
  <c r="A1692" i="1"/>
  <c r="B1692" i="1"/>
  <c r="A1693" i="1"/>
  <c r="B1693" i="1"/>
  <c r="A1694" i="1"/>
  <c r="B1694" i="1"/>
  <c r="A1695" i="1"/>
  <c r="B1695" i="1"/>
  <c r="A1696" i="1"/>
  <c r="B1696" i="1"/>
  <c r="A1697" i="1"/>
  <c r="B1697" i="1"/>
  <c r="A1698" i="1"/>
  <c r="B1698" i="1"/>
  <c r="A1699" i="1"/>
  <c r="B1699" i="1"/>
  <c r="A1700" i="1"/>
  <c r="B1700" i="1"/>
  <c r="A1701" i="1"/>
  <c r="B1701" i="1"/>
  <c r="A1702" i="1"/>
  <c r="B1702" i="1"/>
  <c r="A1703" i="1"/>
  <c r="B1703" i="1"/>
  <c r="A1704" i="1"/>
  <c r="B1704" i="1"/>
  <c r="A1705" i="1"/>
  <c r="B1705" i="1"/>
  <c r="A1706" i="1"/>
  <c r="B1706" i="1"/>
  <c r="A1707" i="1"/>
  <c r="B1707" i="1"/>
  <c r="A1708" i="1"/>
  <c r="B1708" i="1"/>
  <c r="A1709" i="1"/>
  <c r="B1709" i="1"/>
  <c r="A1710" i="1"/>
  <c r="B1710" i="1"/>
  <c r="A1711" i="1"/>
  <c r="B1711" i="1"/>
  <c r="A1712" i="1"/>
  <c r="B1712" i="1"/>
  <c r="A1713" i="1"/>
  <c r="B1713" i="1"/>
  <c r="A1714" i="1"/>
  <c r="B1714" i="1"/>
  <c r="A1715" i="1"/>
  <c r="B1715" i="1"/>
  <c r="A1716" i="1"/>
  <c r="B1716" i="1"/>
  <c r="A1717" i="1"/>
  <c r="B1717" i="1"/>
  <c r="A1718" i="1"/>
  <c r="B1718" i="1"/>
  <c r="A1719" i="1"/>
  <c r="B1719" i="1"/>
  <c r="A1720" i="1"/>
  <c r="B1720" i="1"/>
  <c r="A1721" i="1"/>
  <c r="B1721" i="1"/>
  <c r="A1722" i="1"/>
  <c r="B1722" i="1"/>
  <c r="A1723" i="1"/>
  <c r="B1723" i="1"/>
  <c r="A1724" i="1"/>
  <c r="B1724" i="1"/>
  <c r="A1725" i="1"/>
  <c r="B1725" i="1"/>
  <c r="A1726" i="1"/>
  <c r="B1726" i="1"/>
  <c r="A1727" i="1"/>
  <c r="B1727" i="1"/>
  <c r="A1728" i="1"/>
  <c r="B1728" i="1"/>
  <c r="A1729" i="1"/>
  <c r="B1729" i="1"/>
  <c r="A1730" i="1"/>
  <c r="B1730" i="1"/>
  <c r="A1731" i="1"/>
  <c r="B1731" i="1"/>
  <c r="A1732" i="1"/>
  <c r="B1732" i="1"/>
  <c r="A1733" i="1"/>
  <c r="B1733" i="1"/>
  <c r="A1734" i="1"/>
  <c r="B1734" i="1"/>
  <c r="A1735" i="1"/>
  <c r="B1735" i="1"/>
  <c r="A1736" i="1"/>
  <c r="B1736" i="1"/>
  <c r="A1737" i="1"/>
  <c r="B1737" i="1"/>
  <c r="A1738" i="1"/>
  <c r="B1738" i="1"/>
  <c r="A1739" i="1"/>
  <c r="B1739" i="1"/>
  <c r="A1740" i="1"/>
  <c r="B1740" i="1"/>
  <c r="A1741" i="1"/>
  <c r="B1741" i="1"/>
  <c r="A1742" i="1"/>
  <c r="B1742" i="1"/>
  <c r="A1743" i="1"/>
  <c r="B1743" i="1"/>
  <c r="A1744" i="1"/>
  <c r="B1744" i="1"/>
  <c r="A1745" i="1"/>
  <c r="B1745" i="1"/>
  <c r="A1746" i="1"/>
  <c r="B1746" i="1"/>
  <c r="A1747" i="1"/>
  <c r="B1747" i="1"/>
  <c r="A1748" i="1"/>
  <c r="B1748" i="1"/>
  <c r="A1749" i="1"/>
  <c r="B1749" i="1"/>
  <c r="A1750" i="1"/>
  <c r="B1750" i="1"/>
  <c r="A1751" i="1"/>
  <c r="B1751" i="1"/>
  <c r="A1752" i="1"/>
  <c r="B1752" i="1"/>
  <c r="A1753" i="1"/>
  <c r="B1753" i="1"/>
  <c r="A1754" i="1"/>
  <c r="B1754" i="1"/>
  <c r="A1755" i="1"/>
  <c r="B1755" i="1"/>
  <c r="A1756" i="1"/>
  <c r="B1756" i="1"/>
  <c r="A1757" i="1"/>
  <c r="B1757" i="1"/>
  <c r="A1758" i="1"/>
  <c r="B1758" i="1"/>
  <c r="A1759" i="1"/>
  <c r="B1759" i="1"/>
  <c r="A1760" i="1"/>
  <c r="B1760" i="1"/>
  <c r="A1761" i="1"/>
  <c r="B1761" i="1"/>
  <c r="A1762" i="1"/>
  <c r="B1762" i="1"/>
  <c r="A1763" i="1"/>
  <c r="B1763" i="1"/>
  <c r="A1764" i="1"/>
  <c r="B1764" i="1"/>
  <c r="A1765" i="1"/>
  <c r="B1765" i="1"/>
  <c r="A1766" i="1"/>
  <c r="B1766" i="1"/>
  <c r="A1767" i="1"/>
  <c r="B1767" i="1"/>
  <c r="A1768" i="1"/>
  <c r="B1768" i="1"/>
  <c r="A1769" i="1"/>
  <c r="B1769" i="1"/>
  <c r="A1770" i="1"/>
  <c r="B1770" i="1"/>
  <c r="A1771" i="1"/>
  <c r="B1771" i="1"/>
  <c r="A1772" i="1"/>
  <c r="B1772" i="1"/>
  <c r="A1773" i="1"/>
  <c r="B1773" i="1"/>
  <c r="A1774" i="1"/>
  <c r="B1774" i="1"/>
  <c r="A1775" i="1"/>
  <c r="B1775" i="1"/>
  <c r="A1776" i="1"/>
  <c r="B1776" i="1"/>
  <c r="A1777" i="1"/>
  <c r="B1777" i="1"/>
  <c r="A1778" i="1"/>
  <c r="B1778" i="1"/>
  <c r="A1779" i="1"/>
  <c r="B1779" i="1"/>
  <c r="A1780" i="1"/>
  <c r="B1780" i="1"/>
  <c r="A1781" i="1"/>
  <c r="B1781" i="1"/>
  <c r="A1782" i="1"/>
  <c r="B1782" i="1"/>
  <c r="A1783" i="1"/>
  <c r="B1783" i="1"/>
  <c r="A1784" i="1"/>
  <c r="B1784" i="1"/>
  <c r="A1785" i="1"/>
  <c r="B1785" i="1"/>
  <c r="A1786" i="1"/>
  <c r="B1786" i="1"/>
  <c r="A1787" i="1"/>
  <c r="B1787" i="1"/>
  <c r="A1788" i="1"/>
  <c r="B1788" i="1"/>
  <c r="A1789" i="1"/>
  <c r="B1789" i="1"/>
  <c r="A1790" i="1"/>
  <c r="B1790" i="1"/>
  <c r="A1791" i="1"/>
  <c r="B1791" i="1"/>
  <c r="A1792" i="1"/>
  <c r="B1792" i="1"/>
  <c r="A1793" i="1"/>
  <c r="B1793" i="1"/>
  <c r="A1794" i="1"/>
  <c r="B1794" i="1"/>
  <c r="A1795" i="1"/>
  <c r="B1795" i="1"/>
  <c r="A1796" i="1"/>
  <c r="B1796" i="1"/>
  <c r="A1797" i="1"/>
  <c r="B1797" i="1"/>
  <c r="A1798" i="1"/>
  <c r="B1798" i="1"/>
  <c r="A1799" i="1"/>
  <c r="B1799" i="1"/>
  <c r="A1800" i="1"/>
  <c r="B1800" i="1"/>
  <c r="A1801" i="1"/>
  <c r="B1801" i="1"/>
  <c r="A1802" i="1"/>
  <c r="B1802" i="1"/>
  <c r="A1803" i="1"/>
  <c r="B1803" i="1"/>
  <c r="A1804" i="1"/>
  <c r="B1804" i="1"/>
  <c r="A1805" i="1"/>
  <c r="B1805" i="1"/>
  <c r="A1806" i="1"/>
  <c r="B1806" i="1"/>
  <c r="A1807" i="1"/>
  <c r="B1807" i="1"/>
  <c r="A1808" i="1"/>
  <c r="B1808" i="1"/>
  <c r="A1809" i="1"/>
  <c r="B1809" i="1"/>
  <c r="A1810" i="1"/>
  <c r="B1810" i="1"/>
  <c r="A1811" i="1"/>
  <c r="B1811" i="1"/>
  <c r="A1812" i="1"/>
  <c r="B1812" i="1"/>
  <c r="A1813" i="1"/>
  <c r="B1813" i="1"/>
  <c r="A1814" i="1"/>
  <c r="B1814" i="1"/>
  <c r="A1815" i="1"/>
  <c r="B1815" i="1"/>
  <c r="A1816" i="1"/>
  <c r="B1816" i="1"/>
  <c r="A1817" i="1"/>
  <c r="B1817" i="1"/>
  <c r="A1818" i="1"/>
  <c r="B1818" i="1"/>
  <c r="A1819" i="1"/>
  <c r="B1819" i="1"/>
  <c r="A1820" i="1"/>
  <c r="B1820" i="1"/>
  <c r="A1821" i="1"/>
  <c r="B1821" i="1"/>
  <c r="A1822" i="1"/>
  <c r="B1822" i="1"/>
  <c r="A1823" i="1"/>
  <c r="B1823" i="1"/>
  <c r="A1824" i="1"/>
  <c r="B1824" i="1"/>
  <c r="A1825" i="1"/>
  <c r="B1825" i="1"/>
  <c r="A1826" i="1"/>
  <c r="B1826" i="1"/>
  <c r="A1827" i="1"/>
  <c r="B1827" i="1"/>
  <c r="A1828" i="1"/>
  <c r="B1828" i="1"/>
  <c r="A1829" i="1"/>
  <c r="B1829" i="1"/>
  <c r="A1830" i="1"/>
  <c r="B1830" i="1"/>
  <c r="A1831" i="1"/>
  <c r="B1831" i="1"/>
  <c r="A1832" i="1"/>
  <c r="B1832" i="1"/>
  <c r="A1833" i="1"/>
  <c r="B1833" i="1"/>
  <c r="A1834" i="1"/>
  <c r="B1834" i="1"/>
  <c r="A1835" i="1"/>
  <c r="B1835" i="1"/>
  <c r="A1836" i="1"/>
  <c r="B1836" i="1"/>
  <c r="A1837" i="1"/>
  <c r="B1837" i="1"/>
  <c r="A1838" i="1"/>
  <c r="B1838" i="1"/>
  <c r="A1839" i="1"/>
  <c r="B1839" i="1"/>
  <c r="A1840" i="1"/>
  <c r="B1840" i="1"/>
  <c r="A1841" i="1"/>
  <c r="B1841" i="1"/>
  <c r="A1842" i="1"/>
  <c r="B1842" i="1"/>
  <c r="A1843" i="1"/>
  <c r="B1843" i="1"/>
  <c r="A1844" i="1"/>
  <c r="B1844" i="1"/>
  <c r="A1845" i="1"/>
  <c r="B1845" i="1"/>
  <c r="A1846" i="1"/>
  <c r="B1846" i="1"/>
  <c r="A1847" i="1"/>
  <c r="B1847" i="1"/>
  <c r="A1848" i="1"/>
  <c r="B1848" i="1"/>
  <c r="A1849" i="1"/>
  <c r="B1849" i="1"/>
  <c r="A1850" i="1"/>
  <c r="B1850" i="1"/>
  <c r="A1851" i="1"/>
  <c r="B1851" i="1"/>
  <c r="A1852" i="1"/>
  <c r="B1852" i="1"/>
  <c r="A1853" i="1"/>
  <c r="B1853" i="1"/>
  <c r="A1854" i="1"/>
  <c r="B1854" i="1"/>
  <c r="A1855" i="1"/>
  <c r="B1855" i="1"/>
  <c r="A1856" i="1"/>
  <c r="B1856" i="1"/>
  <c r="A1857" i="1"/>
  <c r="B1857" i="1"/>
  <c r="A1858" i="1"/>
  <c r="B1858" i="1"/>
  <c r="A1859" i="1"/>
  <c r="B1859" i="1"/>
  <c r="A1860" i="1"/>
  <c r="B1860" i="1"/>
  <c r="A1861" i="1"/>
  <c r="B1861" i="1"/>
  <c r="A1862" i="1"/>
  <c r="B1862" i="1"/>
  <c r="A1863" i="1"/>
  <c r="B1863" i="1"/>
  <c r="A1864" i="1"/>
  <c r="B1864" i="1"/>
  <c r="A1865" i="1"/>
  <c r="B1865" i="1"/>
  <c r="A1866" i="1"/>
  <c r="B1866" i="1"/>
  <c r="A1867" i="1"/>
  <c r="B1867" i="1"/>
  <c r="A1868" i="1"/>
  <c r="B1868" i="1"/>
  <c r="A1869" i="1"/>
  <c r="B1869" i="1"/>
  <c r="A1870" i="1"/>
  <c r="B1870" i="1"/>
  <c r="A1871" i="1"/>
  <c r="B1871" i="1"/>
  <c r="A1872" i="1"/>
  <c r="B1872" i="1"/>
  <c r="A1873" i="1"/>
  <c r="B1873" i="1"/>
  <c r="A1874" i="1"/>
  <c r="B1874" i="1"/>
  <c r="A1875" i="1"/>
  <c r="B1875" i="1"/>
  <c r="A1876" i="1"/>
  <c r="B1876" i="1"/>
  <c r="A1877" i="1"/>
  <c r="B1877" i="1"/>
  <c r="A1878" i="1"/>
  <c r="B1878" i="1"/>
  <c r="A1879" i="1"/>
  <c r="B1879" i="1"/>
  <c r="A1880" i="1"/>
  <c r="B1880" i="1"/>
  <c r="A1881" i="1"/>
  <c r="B1881" i="1"/>
  <c r="A1882" i="1"/>
  <c r="B1882" i="1"/>
  <c r="A1883" i="1"/>
  <c r="B1883" i="1"/>
  <c r="A1884" i="1"/>
  <c r="B1884" i="1"/>
  <c r="A1885" i="1"/>
  <c r="B1885" i="1"/>
  <c r="A1886" i="1"/>
  <c r="B1886" i="1"/>
  <c r="A1887" i="1"/>
  <c r="B1887" i="1"/>
  <c r="A1888" i="1"/>
  <c r="B1888" i="1"/>
  <c r="A1889" i="1"/>
  <c r="B1889" i="1"/>
  <c r="A1890" i="1"/>
  <c r="B1890" i="1"/>
  <c r="A1891" i="1"/>
  <c r="B1891" i="1"/>
  <c r="A1892" i="1"/>
  <c r="B1892" i="1"/>
  <c r="A1893" i="1"/>
  <c r="B1893" i="1"/>
  <c r="A1894" i="1"/>
  <c r="B1894" i="1"/>
  <c r="A1895" i="1"/>
  <c r="B1895" i="1"/>
  <c r="A1896" i="1"/>
  <c r="B1896" i="1"/>
  <c r="A1897" i="1"/>
  <c r="B1897" i="1"/>
  <c r="A1898" i="1"/>
  <c r="B1898" i="1"/>
  <c r="A1899" i="1"/>
  <c r="B1899" i="1"/>
  <c r="A1900" i="1"/>
  <c r="B1900" i="1"/>
  <c r="A1901" i="1"/>
  <c r="B1901" i="1"/>
  <c r="A1902" i="1"/>
  <c r="B1902" i="1"/>
  <c r="A1903" i="1"/>
  <c r="B1903" i="1"/>
  <c r="A1904" i="1"/>
  <c r="B1904" i="1"/>
  <c r="A1905" i="1"/>
  <c r="B1905" i="1"/>
  <c r="A1906" i="1"/>
  <c r="B1906" i="1"/>
  <c r="A1907" i="1"/>
  <c r="B1907" i="1"/>
  <c r="A1908" i="1"/>
  <c r="B1908" i="1"/>
  <c r="A1909" i="1"/>
  <c r="B1909" i="1"/>
  <c r="A1910" i="1"/>
  <c r="B1910" i="1"/>
  <c r="A1911" i="1"/>
  <c r="B1911" i="1"/>
  <c r="A1912" i="1"/>
  <c r="B1912" i="1"/>
  <c r="A1913" i="1"/>
  <c r="B1913" i="1"/>
  <c r="A1914" i="1"/>
  <c r="B1914" i="1"/>
  <c r="A1915" i="1"/>
  <c r="B1915" i="1"/>
  <c r="A1916" i="1"/>
  <c r="B1916" i="1"/>
  <c r="A1917" i="1"/>
  <c r="B1917" i="1"/>
  <c r="A1918" i="1"/>
  <c r="B1918" i="1"/>
  <c r="A1919" i="1"/>
  <c r="B1919" i="1"/>
  <c r="A1920" i="1"/>
  <c r="B1920" i="1"/>
  <c r="A1921" i="1"/>
  <c r="B1921" i="1"/>
  <c r="A1922" i="1"/>
  <c r="B1922" i="1"/>
  <c r="A1923" i="1"/>
  <c r="B1923" i="1"/>
  <c r="A1924" i="1"/>
  <c r="B1924" i="1"/>
  <c r="A1925" i="1"/>
  <c r="B1925" i="1"/>
  <c r="A1926" i="1"/>
  <c r="B1926" i="1"/>
  <c r="A1927" i="1"/>
  <c r="B1927" i="1"/>
  <c r="A1928" i="1"/>
  <c r="B1928" i="1"/>
  <c r="A1929" i="1"/>
  <c r="B1929" i="1"/>
  <c r="A1930" i="1"/>
  <c r="B1930" i="1"/>
  <c r="A1931" i="1"/>
  <c r="B1931" i="1"/>
  <c r="A1932" i="1"/>
  <c r="B1932" i="1"/>
  <c r="A1933" i="1"/>
  <c r="B1933" i="1"/>
  <c r="A1934" i="1"/>
  <c r="B1934" i="1"/>
  <c r="A1935" i="1"/>
  <c r="B1935" i="1"/>
  <c r="A1936" i="1"/>
  <c r="B1936" i="1"/>
  <c r="A1937" i="1"/>
  <c r="B1937" i="1"/>
  <c r="A1938" i="1"/>
  <c r="B1938" i="1"/>
  <c r="A1939" i="1"/>
  <c r="B1939" i="1"/>
  <c r="A1940" i="1"/>
  <c r="B1940" i="1"/>
  <c r="A1941" i="1"/>
  <c r="B1941" i="1"/>
  <c r="A1942" i="1"/>
  <c r="B1942" i="1"/>
  <c r="A1943" i="1"/>
  <c r="B1943" i="1"/>
  <c r="A1944" i="1"/>
  <c r="B1944" i="1"/>
  <c r="A1945" i="1"/>
  <c r="B1945" i="1"/>
  <c r="A1946" i="1"/>
  <c r="B1946" i="1"/>
  <c r="A1947" i="1"/>
  <c r="B1947" i="1"/>
  <c r="A1948" i="1"/>
  <c r="B1948" i="1"/>
  <c r="A1949" i="1"/>
  <c r="B1949" i="1"/>
  <c r="A1950" i="1"/>
  <c r="B1950" i="1"/>
  <c r="A1951" i="1"/>
  <c r="B1951" i="1"/>
  <c r="A1952" i="1"/>
  <c r="B1952" i="1"/>
  <c r="A1953" i="1"/>
  <c r="B1953" i="1"/>
  <c r="A1954" i="1"/>
  <c r="B1954" i="1"/>
  <c r="A1955" i="1"/>
  <c r="B1955" i="1"/>
  <c r="A1956" i="1"/>
  <c r="B1956" i="1"/>
  <c r="A1957" i="1"/>
  <c r="B1957" i="1"/>
  <c r="A1958" i="1"/>
  <c r="B1958" i="1"/>
  <c r="A1959" i="1"/>
  <c r="B1959" i="1"/>
  <c r="A1960" i="1"/>
  <c r="B1960" i="1"/>
  <c r="A1961" i="1"/>
  <c r="B1961" i="1"/>
  <c r="A1962" i="1"/>
  <c r="B1962" i="1"/>
  <c r="A1963" i="1"/>
  <c r="B1963" i="1"/>
  <c r="A1964" i="1"/>
  <c r="B1964" i="1"/>
  <c r="A1965" i="1"/>
  <c r="B1965" i="1"/>
  <c r="A1966" i="1"/>
  <c r="B1966" i="1"/>
  <c r="A1967" i="1"/>
  <c r="B1967" i="1"/>
  <c r="A1968" i="1"/>
  <c r="B1968" i="1"/>
  <c r="A1969" i="1"/>
  <c r="B1969" i="1"/>
  <c r="A1970" i="1"/>
  <c r="B1970" i="1"/>
  <c r="A1971" i="1"/>
  <c r="B1971" i="1"/>
  <c r="A1972" i="1"/>
  <c r="B1972" i="1"/>
  <c r="A1973" i="1"/>
  <c r="B1973" i="1"/>
  <c r="A1974" i="1"/>
  <c r="B1974" i="1"/>
  <c r="A1975" i="1"/>
  <c r="B1975" i="1"/>
  <c r="A1976" i="1"/>
  <c r="B1976" i="1"/>
  <c r="A1977" i="1"/>
  <c r="B1977" i="1"/>
  <c r="A1978" i="1"/>
  <c r="B1978" i="1"/>
  <c r="A1979" i="1"/>
  <c r="B1979" i="1"/>
  <c r="A1980" i="1"/>
  <c r="B1980" i="1"/>
  <c r="A1981" i="1"/>
  <c r="B1981" i="1"/>
  <c r="A1982" i="1"/>
  <c r="B1982" i="1"/>
  <c r="A1983" i="1"/>
  <c r="B1983" i="1"/>
  <c r="A1984" i="1"/>
  <c r="B1984" i="1"/>
  <c r="A1985" i="1"/>
  <c r="B1985" i="1"/>
  <c r="A1986" i="1"/>
  <c r="B1986" i="1"/>
  <c r="A1987" i="1"/>
  <c r="B1987" i="1"/>
  <c r="A1988" i="1"/>
  <c r="B1988" i="1"/>
  <c r="A1989" i="1"/>
  <c r="B1989" i="1"/>
  <c r="A1990" i="1"/>
  <c r="B1990" i="1"/>
  <c r="A1991" i="1"/>
  <c r="B1991" i="1"/>
  <c r="A1992" i="1"/>
  <c r="B1992" i="1"/>
  <c r="A1993" i="1"/>
  <c r="B1993" i="1"/>
  <c r="A1994" i="1"/>
  <c r="B1994" i="1"/>
  <c r="A1995" i="1"/>
  <c r="B1995" i="1"/>
  <c r="A1996" i="1"/>
  <c r="B1996" i="1"/>
  <c r="A1997" i="1"/>
  <c r="B1997" i="1"/>
  <c r="A1998" i="1"/>
  <c r="B1998" i="1"/>
  <c r="A1999" i="1"/>
  <c r="B1999" i="1"/>
  <c r="A2000" i="1"/>
  <c r="B2000" i="1"/>
  <c r="A2001" i="1"/>
  <c r="B2001" i="1"/>
  <c r="A2002" i="1"/>
  <c r="B2002" i="1"/>
  <c r="A2003" i="1"/>
  <c r="B2003" i="1"/>
  <c r="A2004" i="1"/>
  <c r="B2004" i="1"/>
  <c r="A2005" i="1"/>
  <c r="B2005" i="1"/>
  <c r="A2006" i="1"/>
  <c r="B2006" i="1"/>
  <c r="A2007" i="1"/>
  <c r="B2007" i="1"/>
  <c r="A2008" i="1"/>
  <c r="B2008" i="1"/>
  <c r="A2009" i="1"/>
  <c r="B2009" i="1"/>
  <c r="A2010" i="1"/>
  <c r="B2010" i="1"/>
  <c r="A2011" i="1"/>
  <c r="B2011" i="1"/>
  <c r="A2012" i="1"/>
  <c r="B2012" i="1"/>
  <c r="A2013" i="1"/>
  <c r="B2013" i="1"/>
  <c r="A2014" i="1"/>
  <c r="B2014" i="1"/>
  <c r="A2015" i="1"/>
  <c r="B2015" i="1"/>
  <c r="A2016" i="1"/>
  <c r="B2016" i="1"/>
  <c r="A2017" i="1"/>
  <c r="B2017" i="1"/>
  <c r="A2018" i="1"/>
  <c r="B2018" i="1"/>
  <c r="A2019" i="1"/>
  <c r="B2019" i="1"/>
  <c r="A2020" i="1"/>
  <c r="B2020" i="1"/>
  <c r="A2021" i="1"/>
  <c r="B2021" i="1"/>
  <c r="A2022" i="1"/>
  <c r="B2022" i="1"/>
  <c r="A2023" i="1"/>
  <c r="B2023" i="1"/>
  <c r="A2024" i="1"/>
  <c r="B2024" i="1"/>
  <c r="A2025" i="1"/>
  <c r="B2025" i="1"/>
  <c r="A2026" i="1"/>
  <c r="B2026" i="1"/>
  <c r="A2027" i="1"/>
  <c r="B2027" i="1"/>
  <c r="A2028" i="1"/>
  <c r="B2028" i="1"/>
  <c r="A2029" i="1"/>
  <c r="B2029" i="1"/>
  <c r="A2030" i="1"/>
  <c r="B2030" i="1"/>
  <c r="A2031" i="1"/>
  <c r="B2031" i="1"/>
  <c r="A2032" i="1"/>
  <c r="B2032" i="1"/>
  <c r="A2033" i="1"/>
  <c r="B2033" i="1"/>
  <c r="A2034" i="1"/>
  <c r="B2034" i="1"/>
  <c r="A2035" i="1"/>
  <c r="B2035" i="1"/>
  <c r="A2036" i="1"/>
  <c r="B2036" i="1"/>
  <c r="A2037" i="1"/>
  <c r="B2037" i="1"/>
  <c r="A2038" i="1"/>
  <c r="B2038" i="1"/>
  <c r="A2039" i="1"/>
  <c r="B2039" i="1"/>
  <c r="A2040" i="1"/>
  <c r="B2040" i="1"/>
  <c r="A2041" i="1"/>
  <c r="B2041" i="1"/>
  <c r="A2042" i="1"/>
  <c r="B2042" i="1"/>
  <c r="A2043" i="1"/>
  <c r="B2043" i="1"/>
  <c r="A2044" i="1"/>
  <c r="B2044" i="1"/>
  <c r="A2045" i="1"/>
  <c r="B2045" i="1"/>
  <c r="A2046" i="1"/>
  <c r="B2046" i="1"/>
  <c r="A2047" i="1"/>
  <c r="B2047" i="1"/>
  <c r="A2048" i="1"/>
  <c r="B2048" i="1"/>
  <c r="A2049" i="1"/>
  <c r="B2049" i="1"/>
  <c r="A2050" i="1"/>
  <c r="B2050" i="1"/>
  <c r="A2051" i="1"/>
  <c r="B2051" i="1"/>
  <c r="A2052" i="1"/>
  <c r="B2052" i="1"/>
  <c r="A2053" i="1"/>
  <c r="B2053" i="1"/>
  <c r="A2054" i="1"/>
  <c r="B2054" i="1"/>
  <c r="A2055" i="1"/>
  <c r="B2055" i="1"/>
  <c r="A2056" i="1"/>
  <c r="B2056" i="1"/>
  <c r="A2057" i="1"/>
  <c r="B2057" i="1"/>
  <c r="A2058" i="1"/>
  <c r="B2058" i="1"/>
  <c r="A2059" i="1"/>
  <c r="B2059" i="1"/>
  <c r="A2060" i="1"/>
  <c r="B2060" i="1"/>
  <c r="A2061" i="1"/>
  <c r="B2061" i="1"/>
  <c r="A2062" i="1"/>
  <c r="B2062" i="1"/>
  <c r="A2063" i="1"/>
  <c r="B2063" i="1"/>
  <c r="A2064" i="1"/>
  <c r="B2064" i="1"/>
  <c r="A2065" i="1"/>
  <c r="B2065" i="1"/>
  <c r="A2066" i="1"/>
  <c r="B2066" i="1"/>
  <c r="A2067" i="1"/>
  <c r="B2067" i="1"/>
  <c r="A2068" i="1"/>
  <c r="B2068" i="1"/>
  <c r="A2069" i="1"/>
  <c r="B2069" i="1"/>
  <c r="A2070" i="1"/>
  <c r="B2070" i="1"/>
  <c r="A2071" i="1"/>
  <c r="B2071" i="1"/>
  <c r="A2072" i="1"/>
  <c r="B2072" i="1"/>
  <c r="A2073" i="1"/>
  <c r="B2073" i="1"/>
  <c r="A2074" i="1"/>
  <c r="B2074" i="1"/>
  <c r="A2075" i="1"/>
  <c r="B2075" i="1"/>
  <c r="A2076" i="1"/>
  <c r="B2076" i="1"/>
  <c r="A2077" i="1"/>
  <c r="B2077" i="1"/>
  <c r="A2078" i="1"/>
  <c r="B2078" i="1"/>
  <c r="A2079" i="1"/>
  <c r="B2079" i="1"/>
  <c r="A2080" i="1"/>
  <c r="B2080" i="1"/>
  <c r="A2081" i="1"/>
  <c r="B2081" i="1"/>
  <c r="A2082" i="1"/>
  <c r="B2082" i="1"/>
  <c r="A2083" i="1"/>
  <c r="B2083" i="1"/>
  <c r="A2084" i="1"/>
  <c r="B2084" i="1"/>
  <c r="A2085" i="1"/>
  <c r="B2085" i="1"/>
  <c r="A2086" i="1"/>
  <c r="B2086" i="1"/>
  <c r="A2087" i="1"/>
  <c r="B2087" i="1"/>
  <c r="A2088" i="1"/>
  <c r="B2088" i="1"/>
  <c r="A2089" i="1"/>
  <c r="B2089" i="1"/>
  <c r="A2090" i="1"/>
  <c r="B2090" i="1"/>
  <c r="A2091" i="1"/>
  <c r="B2091" i="1"/>
  <c r="A2092" i="1"/>
  <c r="B2092" i="1"/>
  <c r="A2093" i="1"/>
  <c r="B2093" i="1"/>
  <c r="A2094" i="1"/>
  <c r="B2094" i="1"/>
  <c r="A2095" i="1"/>
  <c r="B2095" i="1"/>
  <c r="A2096" i="1"/>
  <c r="B2096" i="1"/>
  <c r="A2097" i="1"/>
  <c r="B2097" i="1"/>
  <c r="A2098" i="1"/>
  <c r="B2098" i="1"/>
  <c r="A2099" i="1"/>
  <c r="B2099" i="1"/>
  <c r="A2100" i="1"/>
  <c r="B2100" i="1"/>
  <c r="A2101" i="1"/>
  <c r="B2101" i="1"/>
  <c r="A2102" i="1"/>
  <c r="B2102" i="1"/>
  <c r="A2103" i="1"/>
  <c r="B2103" i="1"/>
  <c r="A2104" i="1"/>
  <c r="B2104" i="1"/>
  <c r="A2105" i="1"/>
  <c r="B2105" i="1"/>
  <c r="A2106" i="1"/>
  <c r="B2106" i="1"/>
  <c r="A2107" i="1"/>
  <c r="B2107" i="1"/>
  <c r="A2108" i="1"/>
  <c r="B2108" i="1"/>
  <c r="A2109" i="1"/>
  <c r="B2109" i="1"/>
  <c r="A2110" i="1"/>
  <c r="B2110" i="1"/>
  <c r="A2111" i="1"/>
  <c r="B2111" i="1"/>
  <c r="A2112" i="1"/>
  <c r="B2112" i="1"/>
  <c r="A2113" i="1"/>
  <c r="B2113" i="1"/>
  <c r="A2114" i="1"/>
  <c r="B2114" i="1"/>
  <c r="A2115" i="1"/>
  <c r="B2115" i="1"/>
  <c r="A2116" i="1"/>
  <c r="B2116" i="1"/>
  <c r="A2117" i="1"/>
  <c r="B2117" i="1"/>
  <c r="A2118" i="1"/>
  <c r="B2118" i="1"/>
  <c r="A2119" i="1"/>
  <c r="B2119" i="1"/>
  <c r="A2120" i="1"/>
  <c r="B2120" i="1"/>
  <c r="A2121" i="1"/>
  <c r="B2121" i="1"/>
  <c r="A2122" i="1"/>
  <c r="B2122" i="1"/>
  <c r="A2123" i="1"/>
  <c r="B2123" i="1"/>
  <c r="A2124" i="1"/>
  <c r="B2124" i="1"/>
  <c r="A2125" i="1"/>
  <c r="B2125" i="1"/>
  <c r="A2126" i="1"/>
  <c r="B2126" i="1"/>
  <c r="A2127" i="1"/>
  <c r="B2127" i="1"/>
  <c r="A2128" i="1"/>
  <c r="B2128" i="1"/>
  <c r="A2129" i="1"/>
  <c r="B2129" i="1"/>
  <c r="A2130" i="1"/>
  <c r="B2130" i="1"/>
  <c r="A2131" i="1"/>
  <c r="B2131" i="1"/>
  <c r="A2132" i="1"/>
  <c r="B2132" i="1"/>
  <c r="A2133" i="1"/>
  <c r="B2133" i="1"/>
  <c r="A2134" i="1"/>
  <c r="B2134" i="1"/>
  <c r="A2135" i="1"/>
  <c r="B2135" i="1"/>
  <c r="A2136" i="1"/>
  <c r="B2136" i="1"/>
  <c r="A2137" i="1"/>
  <c r="B2137" i="1"/>
  <c r="A2138" i="1"/>
  <c r="B2138" i="1"/>
  <c r="A2139" i="1"/>
  <c r="B2139" i="1"/>
  <c r="A2140" i="1"/>
  <c r="B2140" i="1"/>
  <c r="A2141" i="1"/>
  <c r="B2141" i="1"/>
  <c r="A2142" i="1"/>
  <c r="B2142" i="1"/>
  <c r="A2143" i="1"/>
  <c r="B2143" i="1"/>
  <c r="A2144" i="1"/>
  <c r="B2144" i="1"/>
  <c r="A2145" i="1"/>
  <c r="B2145" i="1"/>
  <c r="A2146" i="1"/>
  <c r="B2146" i="1"/>
  <c r="A2147" i="1"/>
  <c r="B2147" i="1"/>
  <c r="A2148" i="1"/>
  <c r="B2148" i="1"/>
  <c r="A2149" i="1"/>
  <c r="B2149" i="1"/>
  <c r="A2150" i="1"/>
  <c r="B2150" i="1"/>
  <c r="A2151" i="1"/>
  <c r="B2151" i="1"/>
  <c r="A2152" i="1"/>
  <c r="B2152" i="1"/>
  <c r="A2153" i="1"/>
  <c r="B2153" i="1"/>
  <c r="A2154" i="1"/>
  <c r="B2154" i="1"/>
  <c r="A2155" i="1"/>
  <c r="B2155" i="1"/>
  <c r="A2156" i="1"/>
  <c r="B2156" i="1"/>
  <c r="A2157" i="1"/>
  <c r="B2157" i="1"/>
  <c r="A2158" i="1"/>
  <c r="B2158" i="1"/>
  <c r="A2159" i="1"/>
  <c r="B2159" i="1"/>
  <c r="A2160" i="1"/>
  <c r="B2160" i="1"/>
  <c r="A2161" i="1"/>
  <c r="B2161" i="1"/>
  <c r="A2162" i="1"/>
  <c r="B2162" i="1"/>
  <c r="A2163" i="1"/>
  <c r="B2163" i="1"/>
  <c r="A2164" i="1"/>
  <c r="B2164" i="1"/>
  <c r="A2165" i="1"/>
  <c r="B2165" i="1"/>
  <c r="A2166" i="1"/>
  <c r="B2166" i="1"/>
  <c r="A2167" i="1"/>
  <c r="B2167" i="1"/>
  <c r="A2168" i="1"/>
  <c r="B2168" i="1"/>
  <c r="A2169" i="1"/>
  <c r="B2169" i="1"/>
  <c r="A2170" i="1"/>
  <c r="B2170" i="1"/>
  <c r="A2171" i="1"/>
  <c r="B2171" i="1"/>
  <c r="A2172" i="1"/>
  <c r="B2172" i="1"/>
  <c r="A2173" i="1"/>
  <c r="B2173" i="1"/>
  <c r="A2174" i="1"/>
  <c r="B2174" i="1"/>
  <c r="A2175" i="1"/>
  <c r="B2175" i="1"/>
  <c r="A2176" i="1"/>
  <c r="B2176" i="1"/>
  <c r="A2177" i="1"/>
  <c r="B2177" i="1"/>
  <c r="A2178" i="1"/>
  <c r="B2178" i="1"/>
  <c r="A2179" i="1"/>
  <c r="B2179" i="1"/>
  <c r="A2180" i="1"/>
  <c r="B2180" i="1"/>
  <c r="A2181" i="1"/>
  <c r="B2181" i="1"/>
  <c r="A2182" i="1"/>
  <c r="B2182" i="1"/>
  <c r="A2183" i="1"/>
  <c r="B2183" i="1"/>
  <c r="A2184" i="1"/>
  <c r="B2184" i="1"/>
  <c r="A2185" i="1"/>
  <c r="B2185" i="1"/>
  <c r="A2186" i="1"/>
  <c r="B2186" i="1"/>
  <c r="A2187" i="1"/>
  <c r="B2187" i="1"/>
  <c r="A2188" i="1"/>
  <c r="B2188" i="1"/>
  <c r="A2189" i="1"/>
  <c r="B2189" i="1"/>
  <c r="A2190" i="1"/>
  <c r="B2190" i="1"/>
  <c r="A2191" i="1"/>
  <c r="B2191" i="1"/>
  <c r="A2192" i="1"/>
  <c r="B2192" i="1"/>
  <c r="A2193" i="1"/>
  <c r="B2193" i="1"/>
  <c r="A2194" i="1"/>
  <c r="B2194" i="1"/>
  <c r="A2195" i="1"/>
  <c r="B2195" i="1"/>
  <c r="A2196" i="1"/>
  <c r="B2196" i="1"/>
  <c r="A2197" i="1"/>
  <c r="B2197" i="1"/>
  <c r="A2198" i="1"/>
  <c r="B2198" i="1"/>
  <c r="A2199" i="1"/>
  <c r="B2199" i="1"/>
  <c r="A2200" i="1"/>
  <c r="B2200" i="1"/>
  <c r="A2201" i="1"/>
  <c r="B2201" i="1"/>
  <c r="A2202" i="1"/>
  <c r="B2202" i="1"/>
  <c r="A2203" i="1"/>
  <c r="B2203" i="1"/>
  <c r="A2204" i="1"/>
  <c r="B2204" i="1"/>
  <c r="A2205" i="1"/>
  <c r="B2205" i="1"/>
  <c r="A2206" i="1"/>
  <c r="B2206" i="1"/>
  <c r="A2207" i="1"/>
  <c r="B2207" i="1"/>
  <c r="A2208" i="1"/>
  <c r="B2208" i="1"/>
  <c r="A2209" i="1"/>
  <c r="B2209" i="1"/>
  <c r="A2210" i="1"/>
  <c r="B2210" i="1"/>
  <c r="A2211" i="1"/>
  <c r="B2211" i="1"/>
  <c r="A2212" i="1"/>
  <c r="B2212" i="1"/>
  <c r="A2213" i="1"/>
  <c r="B2213" i="1"/>
  <c r="A2214" i="1"/>
  <c r="B2214" i="1"/>
  <c r="A2215" i="1"/>
  <c r="B2215" i="1"/>
  <c r="A2216" i="1"/>
  <c r="B2216" i="1"/>
  <c r="A2217" i="1"/>
  <c r="B2217" i="1"/>
  <c r="A2218" i="1"/>
  <c r="B2218" i="1"/>
  <c r="A2219" i="1"/>
  <c r="B2219" i="1"/>
  <c r="A2220" i="1"/>
  <c r="B2220" i="1"/>
  <c r="A2221" i="1"/>
  <c r="B2221" i="1"/>
  <c r="A2222" i="1"/>
  <c r="B2222" i="1"/>
  <c r="A2223" i="1"/>
  <c r="B2223" i="1"/>
  <c r="A2224" i="1"/>
  <c r="B2224" i="1"/>
  <c r="A2225" i="1"/>
  <c r="B2225" i="1"/>
  <c r="A2226" i="1"/>
  <c r="B2226" i="1"/>
  <c r="A2227" i="1"/>
  <c r="B2227" i="1"/>
  <c r="A2228" i="1"/>
  <c r="B2228" i="1"/>
  <c r="A2229" i="1"/>
  <c r="B2229" i="1"/>
  <c r="A2230" i="1"/>
  <c r="B2230" i="1"/>
  <c r="A2231" i="1"/>
  <c r="B2231" i="1"/>
  <c r="A2232" i="1"/>
  <c r="B2232" i="1"/>
  <c r="A2233" i="1"/>
  <c r="B2233" i="1"/>
  <c r="A2234" i="1"/>
  <c r="B2234" i="1"/>
  <c r="A2235" i="1"/>
  <c r="B2235" i="1"/>
  <c r="A2236" i="1"/>
  <c r="B2236" i="1"/>
  <c r="A2237" i="1"/>
  <c r="B2237" i="1"/>
  <c r="A2238" i="1"/>
  <c r="B2238" i="1"/>
  <c r="A2239" i="1"/>
  <c r="B2239" i="1"/>
  <c r="A2240" i="1"/>
  <c r="B2240" i="1"/>
  <c r="A2241" i="1"/>
  <c r="B2241" i="1"/>
  <c r="A2242" i="1"/>
  <c r="B2242" i="1"/>
  <c r="A2243" i="1"/>
  <c r="B2243" i="1"/>
  <c r="A2244" i="1"/>
  <c r="B2244" i="1"/>
  <c r="A2245" i="1"/>
  <c r="B2245" i="1"/>
  <c r="A2246" i="1"/>
  <c r="B2246" i="1"/>
  <c r="A2247" i="1"/>
  <c r="B2247" i="1"/>
  <c r="A2248" i="1"/>
  <c r="B2248" i="1"/>
  <c r="A2249" i="1"/>
  <c r="B2249" i="1"/>
  <c r="A2250" i="1"/>
  <c r="B2250" i="1"/>
  <c r="A2251" i="1"/>
  <c r="B2251" i="1"/>
  <c r="A2252" i="1"/>
  <c r="B2252" i="1"/>
  <c r="A2253" i="1"/>
  <c r="B2253" i="1"/>
  <c r="A2254" i="1"/>
  <c r="B2254" i="1"/>
  <c r="A2255" i="1"/>
  <c r="B2255" i="1"/>
  <c r="A2256" i="1"/>
  <c r="B2256" i="1"/>
  <c r="A2257" i="1"/>
  <c r="B2257" i="1"/>
  <c r="A2258" i="1"/>
  <c r="B2258" i="1"/>
  <c r="A2259" i="1"/>
  <c r="B2259" i="1"/>
  <c r="A2260" i="1"/>
  <c r="B2260" i="1"/>
  <c r="A2261" i="1"/>
  <c r="B2261" i="1"/>
  <c r="A2262" i="1"/>
  <c r="B2262" i="1"/>
  <c r="A2263" i="1"/>
  <c r="B2263" i="1"/>
  <c r="A2264" i="1"/>
  <c r="B2264" i="1"/>
  <c r="A2265" i="1"/>
  <c r="B2265" i="1"/>
  <c r="A2266" i="1"/>
  <c r="B2266" i="1"/>
  <c r="A2267" i="1"/>
  <c r="B2267" i="1"/>
  <c r="A2268" i="1"/>
  <c r="B2268" i="1"/>
  <c r="A2269" i="1"/>
  <c r="B2269" i="1"/>
  <c r="A2270" i="1"/>
  <c r="B2270" i="1"/>
  <c r="A2271" i="1"/>
  <c r="B2271" i="1"/>
  <c r="A2272" i="1"/>
  <c r="B2272" i="1"/>
  <c r="A2273" i="1"/>
  <c r="B2273" i="1"/>
  <c r="A2274" i="1"/>
  <c r="B2274" i="1"/>
  <c r="A2275" i="1"/>
  <c r="B2275" i="1"/>
  <c r="A2276" i="1"/>
  <c r="B2276" i="1"/>
  <c r="A2277" i="1"/>
  <c r="B2277" i="1"/>
  <c r="A2278" i="1"/>
  <c r="B2278" i="1"/>
  <c r="A2279" i="1"/>
  <c r="B2279" i="1"/>
  <c r="A2280" i="1"/>
  <c r="B2280" i="1"/>
  <c r="A2281" i="1"/>
  <c r="B2281" i="1"/>
  <c r="A2282" i="1"/>
  <c r="B2282" i="1"/>
  <c r="A2283" i="1"/>
  <c r="B2283" i="1"/>
  <c r="A2284" i="1"/>
  <c r="B2284" i="1"/>
  <c r="A2285" i="1"/>
  <c r="B2285" i="1"/>
  <c r="A2286" i="1"/>
  <c r="B2286" i="1"/>
  <c r="A2287" i="1"/>
  <c r="B2287" i="1"/>
  <c r="A2288" i="1"/>
  <c r="B2288" i="1"/>
  <c r="A2289" i="1"/>
  <c r="B2289" i="1"/>
  <c r="A2290" i="1"/>
  <c r="B2290" i="1"/>
  <c r="A2291" i="1"/>
  <c r="B2291" i="1"/>
  <c r="A2292" i="1"/>
  <c r="B2292" i="1"/>
  <c r="A2293" i="1"/>
  <c r="B2293" i="1"/>
  <c r="A2294" i="1"/>
  <c r="B2294" i="1"/>
  <c r="A2295" i="1"/>
  <c r="B2295" i="1"/>
  <c r="A2296" i="1"/>
  <c r="B2296" i="1"/>
  <c r="A2297" i="1"/>
  <c r="B2297" i="1"/>
  <c r="A2298" i="1"/>
  <c r="B2298" i="1"/>
  <c r="A2299" i="1"/>
  <c r="B2299" i="1"/>
  <c r="A2300" i="1"/>
  <c r="B2300" i="1"/>
  <c r="A2301" i="1"/>
  <c r="B2301" i="1"/>
  <c r="A2302" i="1"/>
  <c r="B2302" i="1"/>
  <c r="A2303" i="1"/>
  <c r="B2303" i="1"/>
  <c r="A2304" i="1"/>
  <c r="B2304" i="1"/>
  <c r="A2305" i="1"/>
  <c r="B2305" i="1"/>
  <c r="A2306" i="1"/>
  <c r="B2306" i="1"/>
  <c r="A2307" i="1"/>
  <c r="B2307" i="1"/>
  <c r="A2308" i="1"/>
  <c r="B2308" i="1"/>
  <c r="A2309" i="1"/>
  <c r="B2309" i="1"/>
  <c r="A2310" i="1"/>
  <c r="B2310" i="1"/>
  <c r="A2311" i="1"/>
  <c r="B2311" i="1"/>
  <c r="A2312" i="1"/>
  <c r="B2312" i="1"/>
  <c r="A2313" i="1"/>
  <c r="B2313" i="1"/>
  <c r="A2314" i="1"/>
  <c r="B2314" i="1"/>
  <c r="A2315" i="1"/>
  <c r="B2315" i="1"/>
  <c r="A2316" i="1"/>
  <c r="B2316" i="1"/>
  <c r="A2317" i="1"/>
  <c r="B2317" i="1"/>
  <c r="A2318" i="1"/>
  <c r="B2318" i="1"/>
  <c r="A2319" i="1"/>
  <c r="B2319" i="1"/>
  <c r="A2320" i="1"/>
  <c r="B2320" i="1"/>
  <c r="A2321" i="1"/>
  <c r="B2321" i="1"/>
  <c r="A2322" i="1"/>
  <c r="B2322" i="1"/>
  <c r="A2323" i="1"/>
  <c r="B2323" i="1"/>
  <c r="A2324" i="1"/>
  <c r="B2324" i="1"/>
  <c r="A2325" i="1"/>
  <c r="B2325" i="1"/>
  <c r="A2326" i="1"/>
  <c r="B2326" i="1"/>
  <c r="A2327" i="1"/>
  <c r="B2327" i="1"/>
  <c r="A2328" i="1"/>
  <c r="B2328" i="1"/>
  <c r="A2329" i="1"/>
  <c r="B2329" i="1"/>
  <c r="A2330" i="1"/>
  <c r="B2330" i="1"/>
  <c r="A2331" i="1"/>
  <c r="B2331" i="1"/>
  <c r="A2332" i="1"/>
  <c r="B2332" i="1"/>
  <c r="A2333" i="1"/>
  <c r="B2333" i="1"/>
  <c r="A2334" i="1"/>
  <c r="B2334" i="1"/>
  <c r="A2335" i="1"/>
  <c r="B2335" i="1"/>
  <c r="A2336" i="1"/>
  <c r="B2336" i="1"/>
  <c r="A2337" i="1"/>
  <c r="B2337" i="1"/>
  <c r="A2338" i="1"/>
  <c r="B2338" i="1"/>
  <c r="A2339" i="1"/>
  <c r="B2339" i="1"/>
  <c r="A2340" i="1"/>
  <c r="B2340" i="1"/>
  <c r="A2341" i="1"/>
  <c r="B2341" i="1"/>
  <c r="A2342" i="1"/>
  <c r="B2342" i="1"/>
  <c r="A2343" i="1"/>
  <c r="B2343" i="1"/>
  <c r="A2344" i="1"/>
  <c r="B2344" i="1"/>
  <c r="A2345" i="1"/>
  <c r="B2345" i="1"/>
  <c r="A2346" i="1"/>
  <c r="B2346" i="1"/>
  <c r="A2347" i="1"/>
  <c r="B2347" i="1"/>
  <c r="A2348" i="1"/>
  <c r="B2348" i="1"/>
  <c r="A2349" i="1"/>
  <c r="B2349" i="1"/>
  <c r="A2350" i="1"/>
  <c r="B2350" i="1"/>
  <c r="A2351" i="1"/>
  <c r="B2351" i="1"/>
  <c r="A2352" i="1"/>
  <c r="B2352" i="1"/>
  <c r="A2353" i="1"/>
  <c r="B2353" i="1"/>
  <c r="A2354" i="1"/>
  <c r="B2354" i="1"/>
  <c r="A2355" i="1"/>
  <c r="B2355" i="1"/>
  <c r="A2356" i="1"/>
  <c r="B2356" i="1"/>
  <c r="A2357" i="1"/>
  <c r="B2357" i="1"/>
  <c r="A2358" i="1"/>
  <c r="B2358" i="1"/>
  <c r="A2359" i="1"/>
  <c r="B2359" i="1"/>
  <c r="A2360" i="1"/>
  <c r="B2360" i="1"/>
  <c r="A2361" i="1"/>
  <c r="B2361" i="1"/>
  <c r="A2362" i="1"/>
  <c r="B2362" i="1"/>
  <c r="A2363" i="1"/>
  <c r="B2363" i="1"/>
  <c r="A2364" i="1"/>
  <c r="B2364" i="1"/>
  <c r="A2365" i="1"/>
  <c r="B2365" i="1"/>
  <c r="A2366" i="1"/>
  <c r="B2366" i="1"/>
  <c r="A2367" i="1"/>
  <c r="B2367" i="1"/>
  <c r="A2368" i="1"/>
  <c r="B2368" i="1"/>
  <c r="A2369" i="1"/>
  <c r="B2369" i="1"/>
  <c r="A2370" i="1"/>
  <c r="B2370" i="1"/>
  <c r="A2371" i="1"/>
  <c r="B2371" i="1"/>
  <c r="A2372" i="1"/>
  <c r="B2372" i="1"/>
  <c r="A2373" i="1"/>
  <c r="B2373" i="1"/>
  <c r="A2374" i="1"/>
  <c r="B2374" i="1"/>
  <c r="A2375" i="1"/>
  <c r="B2375" i="1"/>
  <c r="A2376" i="1"/>
  <c r="B2376" i="1"/>
  <c r="A2377" i="1"/>
  <c r="B2377" i="1"/>
  <c r="A2378" i="1"/>
  <c r="B2378" i="1"/>
  <c r="A2379" i="1"/>
  <c r="B2379" i="1"/>
  <c r="A2380" i="1"/>
  <c r="B2380" i="1"/>
  <c r="A2381" i="1"/>
  <c r="B2381" i="1"/>
  <c r="A2382" i="1"/>
  <c r="B2382" i="1"/>
  <c r="A2383" i="1"/>
  <c r="B2383" i="1"/>
  <c r="A2384" i="1"/>
  <c r="B2384" i="1"/>
  <c r="A2385" i="1"/>
  <c r="B2385" i="1"/>
  <c r="A2386" i="1"/>
  <c r="B2386" i="1"/>
  <c r="A2387" i="1"/>
  <c r="B2387" i="1"/>
  <c r="A2388" i="1"/>
  <c r="B2388" i="1"/>
  <c r="A2389" i="1"/>
  <c r="B2389" i="1"/>
  <c r="A2390" i="1"/>
  <c r="B2390" i="1"/>
  <c r="A2391" i="1"/>
  <c r="B2391" i="1"/>
  <c r="A2392" i="1"/>
  <c r="B2392" i="1"/>
  <c r="A2393" i="1"/>
  <c r="B2393" i="1"/>
  <c r="A2394" i="1"/>
  <c r="B2394" i="1"/>
  <c r="A2395" i="1"/>
  <c r="B2395" i="1"/>
  <c r="A2396" i="1"/>
  <c r="B2396" i="1"/>
  <c r="A2397" i="1"/>
  <c r="B2397" i="1"/>
  <c r="A2398" i="1"/>
  <c r="B2398" i="1"/>
  <c r="A2399" i="1"/>
  <c r="B2399" i="1"/>
  <c r="A2400" i="1"/>
  <c r="B2400" i="1"/>
  <c r="A2401" i="1"/>
  <c r="B2401" i="1"/>
  <c r="A2402" i="1"/>
  <c r="B2402" i="1"/>
  <c r="A2403" i="1"/>
  <c r="B2403" i="1"/>
  <c r="A2404" i="1"/>
  <c r="B2404" i="1"/>
  <c r="A2405" i="1"/>
  <c r="B2405" i="1"/>
  <c r="A2406" i="1"/>
  <c r="B2406" i="1"/>
  <c r="A2407" i="1"/>
  <c r="B2407" i="1"/>
  <c r="A2408" i="1"/>
  <c r="B2408" i="1"/>
  <c r="A2409" i="1"/>
  <c r="B2409" i="1"/>
  <c r="A2410" i="1"/>
  <c r="B2410" i="1"/>
  <c r="A2411" i="1"/>
  <c r="B2411" i="1"/>
  <c r="A2412" i="1"/>
  <c r="B2412" i="1"/>
  <c r="A2413" i="1"/>
  <c r="B2413" i="1"/>
  <c r="A2414" i="1"/>
  <c r="B2414" i="1"/>
  <c r="A2415" i="1"/>
  <c r="B2415" i="1"/>
  <c r="A2416" i="1"/>
  <c r="B2416" i="1"/>
  <c r="A2417" i="1"/>
  <c r="B2417" i="1"/>
  <c r="A2418" i="1"/>
  <c r="B2418" i="1"/>
  <c r="A2419" i="1"/>
  <c r="B2419" i="1"/>
  <c r="A2420" i="1"/>
  <c r="B2420" i="1"/>
  <c r="A2421" i="1"/>
  <c r="B2421" i="1"/>
  <c r="A2422" i="1"/>
  <c r="B2422" i="1"/>
  <c r="A2423" i="1"/>
  <c r="B2423" i="1"/>
  <c r="A2424" i="1"/>
  <c r="B2424" i="1"/>
  <c r="A2425" i="1"/>
  <c r="B2425" i="1"/>
  <c r="A2426" i="1"/>
  <c r="B2426" i="1"/>
  <c r="A2427" i="1"/>
  <c r="B2427" i="1"/>
  <c r="A2428" i="1"/>
  <c r="B2428" i="1"/>
  <c r="A2429" i="1"/>
  <c r="B2429" i="1"/>
  <c r="A2430" i="1"/>
  <c r="B2430" i="1"/>
  <c r="A2431" i="1"/>
  <c r="B2431" i="1"/>
  <c r="A2432" i="1"/>
  <c r="B2432" i="1"/>
  <c r="A2433" i="1"/>
  <c r="B2433" i="1"/>
  <c r="A2434" i="1"/>
  <c r="B2434" i="1"/>
  <c r="A2435" i="1"/>
  <c r="B2435" i="1"/>
  <c r="A2436" i="1"/>
  <c r="B2436" i="1"/>
  <c r="A2437" i="1"/>
  <c r="B2437" i="1"/>
  <c r="A2438" i="1"/>
  <c r="B2438" i="1"/>
  <c r="A2439" i="1"/>
  <c r="B2439" i="1"/>
  <c r="A2440" i="1"/>
  <c r="B2440" i="1"/>
  <c r="A2441" i="1"/>
  <c r="B2441" i="1"/>
  <c r="A2442" i="1"/>
  <c r="B2442" i="1"/>
  <c r="A2443" i="1"/>
  <c r="B2443" i="1"/>
  <c r="A2444" i="1"/>
  <c r="B2444" i="1"/>
  <c r="A2445" i="1"/>
  <c r="B2445" i="1"/>
  <c r="A2446" i="1"/>
  <c r="B2446" i="1"/>
  <c r="A2447" i="1"/>
  <c r="B2447" i="1"/>
  <c r="A2448" i="1"/>
  <c r="B2448" i="1"/>
  <c r="A2449" i="1"/>
  <c r="B2449" i="1"/>
  <c r="A2450" i="1"/>
  <c r="B2450" i="1"/>
  <c r="A2451" i="1"/>
  <c r="B2451" i="1"/>
  <c r="A2452" i="1"/>
  <c r="B2452" i="1"/>
  <c r="A2453" i="1"/>
  <c r="B2453" i="1"/>
  <c r="A2454" i="1"/>
  <c r="B2454" i="1"/>
  <c r="A2455" i="1"/>
  <c r="B2455" i="1"/>
  <c r="A2456" i="1"/>
  <c r="B2456" i="1"/>
  <c r="A2457" i="1"/>
  <c r="B2457" i="1"/>
  <c r="A2458" i="1"/>
  <c r="B2458" i="1"/>
  <c r="A2459" i="1"/>
  <c r="B2459" i="1"/>
  <c r="A2460" i="1"/>
  <c r="B2460" i="1"/>
  <c r="A2461" i="1"/>
  <c r="B2461" i="1"/>
  <c r="A2462" i="1"/>
  <c r="B2462" i="1"/>
  <c r="A2463" i="1"/>
  <c r="B2463" i="1"/>
  <c r="A2464" i="1"/>
  <c r="B2464" i="1"/>
  <c r="A2465" i="1"/>
  <c r="B2465" i="1"/>
  <c r="A2466" i="1"/>
  <c r="B2466" i="1"/>
  <c r="A2467" i="1"/>
  <c r="B2467" i="1"/>
  <c r="A2468" i="1"/>
  <c r="B2468" i="1"/>
  <c r="A2469" i="1"/>
  <c r="B2469" i="1"/>
  <c r="A2470" i="1"/>
  <c r="B2470" i="1"/>
  <c r="A2471" i="1"/>
  <c r="B2471" i="1"/>
  <c r="A2472" i="1"/>
  <c r="B2472" i="1"/>
  <c r="A2473" i="1"/>
  <c r="B2473" i="1"/>
  <c r="A2474" i="1"/>
  <c r="B2474" i="1"/>
  <c r="A2475" i="1"/>
  <c r="B2475" i="1"/>
  <c r="A2476" i="1"/>
  <c r="B2476" i="1"/>
  <c r="A2477" i="1"/>
  <c r="B2477" i="1"/>
  <c r="A2478" i="1"/>
  <c r="B2478" i="1"/>
  <c r="A2479" i="1"/>
  <c r="B2479" i="1"/>
  <c r="A2480" i="1"/>
  <c r="B2480" i="1"/>
  <c r="A2481" i="1"/>
  <c r="B2481" i="1"/>
  <c r="A2482" i="1"/>
  <c r="B2482" i="1"/>
  <c r="A2483" i="1"/>
  <c r="B2483" i="1"/>
  <c r="A2484" i="1"/>
  <c r="B2484" i="1"/>
  <c r="A2485" i="1"/>
  <c r="B2485" i="1"/>
  <c r="A2486" i="1"/>
  <c r="B2486" i="1"/>
  <c r="A2487" i="1"/>
  <c r="B2487" i="1"/>
  <c r="A2488" i="1"/>
  <c r="B2488" i="1"/>
  <c r="A2489" i="1"/>
  <c r="B2489" i="1"/>
  <c r="A2490" i="1"/>
  <c r="B2490" i="1"/>
  <c r="A2491" i="1"/>
  <c r="B2491" i="1"/>
  <c r="A2492" i="1"/>
  <c r="B2492" i="1"/>
  <c r="A2493" i="1"/>
  <c r="B2493" i="1"/>
  <c r="A2494" i="1"/>
  <c r="B2494" i="1"/>
  <c r="A2495" i="1"/>
  <c r="B2495" i="1"/>
  <c r="A2496" i="1"/>
  <c r="B2496" i="1"/>
  <c r="A2497" i="1"/>
  <c r="B2497" i="1"/>
  <c r="A2498" i="1"/>
  <c r="B2498" i="1"/>
  <c r="A2499" i="1"/>
  <c r="B2499" i="1"/>
  <c r="A2500" i="1"/>
  <c r="B2500" i="1"/>
  <c r="A2501" i="1"/>
  <c r="B2501" i="1"/>
  <c r="A2502" i="1"/>
  <c r="B2502" i="1"/>
  <c r="A2503" i="1"/>
  <c r="B2503" i="1"/>
  <c r="A2504" i="1"/>
  <c r="B2504" i="1"/>
  <c r="A2505" i="1"/>
  <c r="B2505" i="1"/>
  <c r="A2506" i="1"/>
  <c r="B2506" i="1"/>
  <c r="A2507" i="1"/>
  <c r="B2507" i="1"/>
  <c r="A2508" i="1"/>
  <c r="B2508" i="1"/>
  <c r="A2509" i="1"/>
  <c r="B2509" i="1"/>
  <c r="A2510" i="1"/>
  <c r="B2510" i="1"/>
  <c r="A2511" i="1"/>
  <c r="B2511" i="1"/>
  <c r="A2512" i="1"/>
  <c r="B2512" i="1"/>
  <c r="A2513" i="1"/>
  <c r="B2513" i="1"/>
  <c r="A2514" i="1"/>
  <c r="B2514" i="1"/>
  <c r="A2515" i="1"/>
  <c r="B2515" i="1"/>
  <c r="A2516" i="1"/>
  <c r="B2516" i="1"/>
  <c r="A2517" i="1"/>
  <c r="B2517" i="1"/>
  <c r="A2518" i="1"/>
  <c r="B2518" i="1"/>
  <c r="A2519" i="1"/>
  <c r="B2519" i="1"/>
  <c r="A2520" i="1"/>
  <c r="B2520" i="1"/>
  <c r="A2521" i="1"/>
  <c r="B2521" i="1"/>
  <c r="A2522" i="1"/>
  <c r="B2522" i="1"/>
  <c r="A2523" i="1"/>
  <c r="B2523" i="1"/>
  <c r="A2524" i="1"/>
  <c r="B2524" i="1"/>
  <c r="A2525" i="1"/>
  <c r="B2525" i="1"/>
  <c r="A2526" i="1"/>
  <c r="B2526" i="1"/>
  <c r="A2527" i="1"/>
  <c r="B2527" i="1"/>
  <c r="A2528" i="1"/>
  <c r="B2528" i="1"/>
  <c r="A2529" i="1"/>
  <c r="B2529" i="1"/>
  <c r="A2530" i="1"/>
  <c r="B2530" i="1"/>
  <c r="A2531" i="1"/>
  <c r="B2531" i="1"/>
  <c r="A2532" i="1"/>
  <c r="B2532" i="1"/>
  <c r="A2533" i="1"/>
  <c r="B2533" i="1"/>
  <c r="A2534" i="1"/>
  <c r="B2534" i="1"/>
  <c r="A2535" i="1"/>
  <c r="B2535" i="1"/>
  <c r="A2536" i="1"/>
  <c r="B2536" i="1"/>
  <c r="A2537" i="1"/>
  <c r="B2537" i="1"/>
  <c r="A2538" i="1"/>
  <c r="B2538" i="1"/>
  <c r="A2539" i="1"/>
  <c r="B2539" i="1"/>
  <c r="A2540" i="1"/>
  <c r="B2540" i="1"/>
  <c r="A2541" i="1"/>
  <c r="B2541" i="1"/>
  <c r="A2542" i="1"/>
  <c r="B2542" i="1"/>
  <c r="A2543" i="1"/>
  <c r="B2543" i="1"/>
  <c r="A2544" i="1"/>
  <c r="B2544" i="1"/>
  <c r="A2545" i="1"/>
  <c r="B2545" i="1"/>
  <c r="A2546" i="1"/>
  <c r="B2546" i="1"/>
  <c r="A2547" i="1"/>
  <c r="B2547" i="1"/>
  <c r="A2548" i="1"/>
  <c r="B2548" i="1"/>
  <c r="A2549" i="1"/>
  <c r="B2549" i="1"/>
  <c r="A2550" i="1"/>
  <c r="B2550" i="1"/>
  <c r="A2551" i="1"/>
  <c r="B2551" i="1"/>
  <c r="A2552" i="1"/>
  <c r="B2552" i="1"/>
  <c r="A2553" i="1"/>
  <c r="B2553" i="1"/>
  <c r="A2554" i="1"/>
  <c r="B2554" i="1"/>
  <c r="A2555" i="1"/>
  <c r="B2555" i="1"/>
  <c r="A2556" i="1"/>
  <c r="B2556" i="1"/>
  <c r="A2557" i="1"/>
  <c r="B2557" i="1"/>
  <c r="A2558" i="1"/>
  <c r="B2558" i="1"/>
  <c r="A2559" i="1"/>
  <c r="B2559" i="1"/>
  <c r="A2560" i="1"/>
  <c r="B2560" i="1"/>
  <c r="A2561" i="1"/>
  <c r="B2561" i="1"/>
  <c r="A2562" i="1"/>
  <c r="B2562" i="1"/>
  <c r="A2563" i="1"/>
  <c r="B2563" i="1"/>
  <c r="A2564" i="1"/>
  <c r="B2564" i="1"/>
  <c r="A2565" i="1"/>
  <c r="B2565" i="1"/>
  <c r="A2566" i="1"/>
  <c r="B2566" i="1"/>
  <c r="A2567" i="1"/>
  <c r="B2567" i="1"/>
  <c r="A2568" i="1"/>
  <c r="B2568" i="1"/>
  <c r="A2569" i="1"/>
  <c r="B2569" i="1"/>
  <c r="A2570" i="1"/>
  <c r="B2570" i="1"/>
  <c r="A2571" i="1"/>
  <c r="B2571" i="1"/>
  <c r="A2572" i="1"/>
  <c r="B2572" i="1"/>
  <c r="A2573" i="1"/>
  <c r="B2573" i="1"/>
  <c r="A2574" i="1"/>
  <c r="B2574" i="1"/>
  <c r="A2575" i="1"/>
  <c r="B2575" i="1"/>
  <c r="A2576" i="1"/>
  <c r="B2576" i="1"/>
  <c r="A2577" i="1"/>
  <c r="B2577" i="1"/>
  <c r="A2578" i="1"/>
  <c r="B2578" i="1"/>
  <c r="A2579" i="1"/>
  <c r="B2579" i="1"/>
  <c r="A2580" i="1"/>
  <c r="B2580" i="1"/>
  <c r="A2581" i="1"/>
  <c r="B2581" i="1"/>
  <c r="A2582" i="1"/>
  <c r="B2582" i="1"/>
  <c r="A2583" i="1"/>
  <c r="B2583" i="1"/>
  <c r="A2584" i="1"/>
  <c r="B2584" i="1"/>
  <c r="A2585" i="1"/>
  <c r="B2585" i="1"/>
  <c r="A2586" i="1"/>
  <c r="B2586" i="1"/>
  <c r="A2587" i="1"/>
  <c r="B2587" i="1"/>
  <c r="A2588" i="1"/>
  <c r="B2588" i="1"/>
  <c r="A2589" i="1"/>
  <c r="B2589" i="1"/>
  <c r="A2590" i="1"/>
  <c r="B2590" i="1"/>
  <c r="A2591" i="1"/>
  <c r="B2591" i="1"/>
  <c r="A2592" i="1"/>
  <c r="B2592" i="1"/>
  <c r="A2593" i="1"/>
  <c r="B2593" i="1"/>
  <c r="A2594" i="1"/>
  <c r="B2594" i="1"/>
  <c r="A2595" i="1"/>
  <c r="B2595" i="1"/>
  <c r="A2596" i="1"/>
  <c r="B2596" i="1"/>
  <c r="A2597" i="1"/>
  <c r="B2597" i="1"/>
  <c r="A2598" i="1"/>
  <c r="B2598" i="1"/>
  <c r="A2599" i="1"/>
  <c r="B2599" i="1"/>
  <c r="A2600" i="1"/>
  <c r="B2600" i="1"/>
  <c r="A2601" i="1"/>
  <c r="B2601" i="1"/>
  <c r="A2602" i="1"/>
  <c r="B2602" i="1"/>
  <c r="A2603" i="1"/>
  <c r="B2603" i="1"/>
  <c r="A2604" i="1"/>
  <c r="B2604" i="1"/>
  <c r="A2605" i="1"/>
  <c r="B2605" i="1"/>
  <c r="A2606" i="1"/>
  <c r="B2606" i="1"/>
  <c r="A2607" i="1"/>
  <c r="B2607" i="1"/>
  <c r="A2608" i="1"/>
  <c r="B2608" i="1"/>
  <c r="A2609" i="1"/>
  <c r="B2609" i="1"/>
  <c r="A2610" i="1"/>
  <c r="B2610" i="1"/>
  <c r="A2611" i="1"/>
  <c r="B2611" i="1"/>
  <c r="A2612" i="1"/>
  <c r="B2612" i="1"/>
  <c r="A2613" i="1"/>
  <c r="B2613" i="1"/>
  <c r="A2614" i="1"/>
  <c r="B2614" i="1"/>
  <c r="A2615" i="1"/>
  <c r="B2615" i="1"/>
  <c r="A2616" i="1"/>
  <c r="B2616" i="1"/>
  <c r="A2617" i="1"/>
  <c r="B2617" i="1"/>
  <c r="A2618" i="1"/>
  <c r="B2618" i="1"/>
  <c r="A2619" i="1"/>
  <c r="B2619" i="1"/>
  <c r="A2620" i="1"/>
  <c r="B2620" i="1"/>
  <c r="A2621" i="1"/>
  <c r="B2621" i="1"/>
  <c r="A2622" i="1"/>
  <c r="B2622" i="1"/>
  <c r="A2623" i="1"/>
  <c r="B2623" i="1"/>
  <c r="A2624" i="1"/>
  <c r="B2624" i="1"/>
  <c r="A2625" i="1"/>
  <c r="B2625" i="1"/>
  <c r="A2626" i="1"/>
  <c r="B2626" i="1"/>
  <c r="A2627" i="1"/>
  <c r="B2627" i="1"/>
  <c r="A2628" i="1"/>
  <c r="B2628" i="1"/>
  <c r="A2629" i="1"/>
  <c r="B2629" i="1"/>
  <c r="A2630" i="1"/>
  <c r="B2630" i="1"/>
  <c r="A2631" i="1"/>
  <c r="B2631" i="1"/>
  <c r="A2632" i="1"/>
  <c r="B2632" i="1"/>
  <c r="A2633" i="1"/>
  <c r="B2633" i="1"/>
  <c r="A2634" i="1"/>
  <c r="B2634" i="1"/>
  <c r="A2635" i="1"/>
  <c r="B2635" i="1"/>
  <c r="A2636" i="1"/>
  <c r="B2636" i="1"/>
  <c r="A2637" i="1"/>
  <c r="B2637" i="1"/>
  <c r="A2638" i="1"/>
  <c r="B2638" i="1"/>
  <c r="A2639" i="1"/>
  <c r="B2639" i="1"/>
  <c r="A2640" i="1"/>
  <c r="B2640" i="1"/>
  <c r="A2641" i="1"/>
  <c r="B2641" i="1"/>
  <c r="A2642" i="1"/>
  <c r="B2642" i="1"/>
  <c r="A2643" i="1"/>
  <c r="B2643" i="1"/>
  <c r="A2644" i="1"/>
  <c r="B2644" i="1"/>
  <c r="A2645" i="1"/>
  <c r="B2645" i="1"/>
  <c r="A2646" i="1"/>
  <c r="B2646" i="1"/>
  <c r="A2647" i="1"/>
  <c r="B2647" i="1"/>
  <c r="A2648" i="1"/>
  <c r="B2648" i="1"/>
  <c r="A2649" i="1"/>
  <c r="B2649" i="1"/>
  <c r="A2650" i="1"/>
  <c r="B2650" i="1"/>
  <c r="A2651" i="1"/>
  <c r="B2651" i="1"/>
  <c r="A2652" i="1"/>
  <c r="B2652" i="1"/>
  <c r="A2653" i="1"/>
  <c r="B2653" i="1"/>
  <c r="A2654" i="1"/>
  <c r="B2654" i="1"/>
  <c r="A2655" i="1"/>
  <c r="B2655" i="1"/>
  <c r="A2656" i="1"/>
  <c r="B2656" i="1"/>
  <c r="A2657" i="1"/>
  <c r="B2657" i="1"/>
  <c r="A2658" i="1"/>
  <c r="B2658" i="1"/>
  <c r="A2659" i="1"/>
  <c r="B2659" i="1"/>
  <c r="A2660" i="1"/>
  <c r="B2660" i="1"/>
  <c r="A2661" i="1"/>
  <c r="B2661" i="1"/>
  <c r="A2662" i="1"/>
  <c r="B2662" i="1"/>
  <c r="A2663" i="1"/>
  <c r="B2663" i="1"/>
  <c r="A2664" i="1"/>
  <c r="B2664" i="1"/>
  <c r="A2665" i="1"/>
  <c r="B2665" i="1"/>
  <c r="A2666" i="1"/>
  <c r="B2666" i="1"/>
  <c r="A2667" i="1"/>
  <c r="B2667" i="1"/>
  <c r="A2668" i="1"/>
  <c r="B2668" i="1"/>
  <c r="A2669" i="1"/>
  <c r="B2669" i="1"/>
  <c r="A2670" i="1"/>
  <c r="B2670" i="1"/>
  <c r="A2671" i="1"/>
  <c r="B2671" i="1"/>
  <c r="A2672" i="1"/>
  <c r="B2672" i="1"/>
  <c r="A2673" i="1"/>
  <c r="B2673" i="1"/>
  <c r="A2674" i="1"/>
  <c r="B2674" i="1"/>
  <c r="A2675" i="1"/>
  <c r="B2675" i="1"/>
  <c r="A2676" i="1"/>
  <c r="B2676" i="1"/>
  <c r="A2677" i="1"/>
  <c r="B2677" i="1"/>
  <c r="A2678" i="1"/>
  <c r="B2678" i="1"/>
  <c r="A2679" i="1"/>
  <c r="B2679" i="1"/>
  <c r="A2680" i="1"/>
  <c r="B2680" i="1"/>
  <c r="A2681" i="1"/>
  <c r="B2681" i="1"/>
  <c r="A2682" i="1"/>
  <c r="B2682" i="1"/>
  <c r="A2683" i="1"/>
  <c r="B2683" i="1"/>
  <c r="A2684" i="1"/>
  <c r="B2684" i="1"/>
  <c r="A2685" i="1"/>
  <c r="B2685" i="1"/>
  <c r="A2686" i="1"/>
  <c r="B2686" i="1"/>
  <c r="A2687" i="1"/>
  <c r="B2687" i="1"/>
  <c r="A2688" i="1"/>
  <c r="B2688" i="1"/>
  <c r="A2689" i="1"/>
  <c r="B2689" i="1"/>
  <c r="A2690" i="1"/>
  <c r="B2690" i="1"/>
  <c r="A2691" i="1"/>
  <c r="B2691" i="1"/>
  <c r="A2692" i="1"/>
  <c r="B2692" i="1"/>
  <c r="A2693" i="1"/>
  <c r="B2693" i="1"/>
  <c r="A2694" i="1"/>
  <c r="B2694" i="1"/>
  <c r="A2695" i="1"/>
  <c r="B2695" i="1"/>
  <c r="A2696" i="1"/>
  <c r="B2696" i="1"/>
  <c r="A2697" i="1"/>
  <c r="B2697" i="1"/>
  <c r="A2698" i="1"/>
  <c r="B2698" i="1"/>
  <c r="A2699" i="1"/>
  <c r="B2699" i="1"/>
  <c r="A2700" i="1"/>
  <c r="B2700" i="1"/>
  <c r="A2701" i="1"/>
  <c r="B2701" i="1"/>
  <c r="A2702" i="1"/>
  <c r="B2702" i="1"/>
  <c r="A2703" i="1"/>
  <c r="B2703" i="1"/>
  <c r="A2704" i="1"/>
  <c r="B2704" i="1"/>
  <c r="A2705" i="1"/>
  <c r="B2705" i="1"/>
  <c r="A2706" i="1"/>
  <c r="B2706" i="1"/>
  <c r="A2707" i="1"/>
  <c r="B2707" i="1"/>
  <c r="A2708" i="1"/>
  <c r="B2708" i="1"/>
  <c r="A2709" i="1"/>
  <c r="B2709" i="1"/>
  <c r="A2710" i="1"/>
  <c r="B2710" i="1"/>
  <c r="A2711" i="1"/>
  <c r="B2711" i="1"/>
  <c r="A2712" i="1"/>
  <c r="B2712" i="1"/>
  <c r="A2713" i="1"/>
  <c r="B2713" i="1"/>
  <c r="A2714" i="1"/>
  <c r="B2714" i="1"/>
  <c r="A2715" i="1"/>
  <c r="B2715" i="1"/>
  <c r="A2716" i="1"/>
  <c r="B2716" i="1"/>
  <c r="A2717" i="1"/>
  <c r="B2717" i="1"/>
  <c r="A2718" i="1"/>
  <c r="B2718" i="1"/>
  <c r="A2719" i="1"/>
  <c r="B2719" i="1"/>
  <c r="A2720" i="1"/>
  <c r="B2720" i="1"/>
  <c r="A2721" i="1"/>
  <c r="B2721" i="1"/>
  <c r="A2722" i="1"/>
  <c r="B2722" i="1"/>
  <c r="A2723" i="1"/>
  <c r="B2723" i="1"/>
  <c r="A2724" i="1"/>
  <c r="B2724" i="1"/>
  <c r="A2725" i="1"/>
  <c r="B2725" i="1"/>
  <c r="A2726" i="1"/>
  <c r="B2726" i="1"/>
  <c r="A2727" i="1"/>
  <c r="B2727" i="1"/>
  <c r="A2728" i="1"/>
  <c r="B2728" i="1"/>
  <c r="A2729" i="1"/>
  <c r="B2729" i="1"/>
  <c r="A2730" i="1"/>
  <c r="B2730" i="1"/>
  <c r="A2731" i="1"/>
  <c r="B2731" i="1"/>
  <c r="A2732" i="1"/>
  <c r="B2732" i="1"/>
  <c r="A2733" i="1"/>
  <c r="B2733" i="1"/>
  <c r="A2734" i="1"/>
  <c r="B2734" i="1"/>
  <c r="A2735" i="1"/>
  <c r="B2735" i="1"/>
  <c r="A2736" i="1"/>
  <c r="B2736" i="1"/>
  <c r="A2737" i="1"/>
  <c r="B2737" i="1"/>
  <c r="A2738" i="1"/>
  <c r="B2738" i="1"/>
  <c r="A2739" i="1"/>
  <c r="B2739" i="1"/>
  <c r="A2740" i="1"/>
  <c r="B2740" i="1"/>
  <c r="A2741" i="1"/>
  <c r="B2741" i="1"/>
  <c r="A2742" i="1"/>
  <c r="B2742" i="1"/>
  <c r="A2743" i="1"/>
  <c r="B2743" i="1"/>
  <c r="A2744" i="1"/>
  <c r="B2744" i="1"/>
  <c r="A2745" i="1"/>
  <c r="B2745" i="1"/>
  <c r="A2746" i="1"/>
  <c r="B2746" i="1"/>
  <c r="A2747" i="1"/>
  <c r="B2747" i="1"/>
  <c r="A2748" i="1"/>
  <c r="B2748" i="1"/>
  <c r="A2749" i="1"/>
  <c r="B2749" i="1"/>
  <c r="A2750" i="1"/>
  <c r="B2750" i="1"/>
  <c r="A2751" i="1"/>
  <c r="B2751" i="1"/>
  <c r="A2752" i="1"/>
  <c r="B2752" i="1"/>
  <c r="A2753" i="1"/>
  <c r="B2753" i="1"/>
  <c r="A2754" i="1"/>
  <c r="B2754" i="1"/>
  <c r="A2755" i="1"/>
  <c r="B2755" i="1"/>
  <c r="A2756" i="1"/>
  <c r="B2756" i="1"/>
  <c r="A2757" i="1"/>
  <c r="B2757" i="1"/>
  <c r="A2758" i="1"/>
  <c r="B2758" i="1"/>
  <c r="A2759" i="1"/>
  <c r="B2759" i="1"/>
  <c r="A2760" i="1"/>
  <c r="B2760" i="1"/>
  <c r="A2761" i="1"/>
  <c r="B2761" i="1"/>
  <c r="A2762" i="1"/>
  <c r="B2762" i="1"/>
  <c r="A2763" i="1"/>
  <c r="B2763" i="1"/>
  <c r="A2764" i="1"/>
  <c r="B2764" i="1"/>
  <c r="A2765" i="1"/>
  <c r="B2765" i="1"/>
  <c r="A2766" i="1"/>
  <c r="B2766" i="1"/>
  <c r="A2767" i="1"/>
  <c r="B2767" i="1"/>
  <c r="A2768" i="1"/>
  <c r="B2768" i="1"/>
  <c r="A2769" i="1"/>
  <c r="B2769" i="1"/>
  <c r="A2770" i="1"/>
  <c r="B2770" i="1"/>
  <c r="A2771" i="1"/>
  <c r="B2771" i="1"/>
  <c r="A2772" i="1"/>
  <c r="B2772" i="1"/>
  <c r="A2773" i="1"/>
  <c r="B2773" i="1"/>
  <c r="A2774" i="1"/>
  <c r="B2774" i="1"/>
  <c r="A2775" i="1"/>
  <c r="B2775" i="1"/>
  <c r="A2776" i="1"/>
  <c r="B2776" i="1"/>
  <c r="A2777" i="1"/>
  <c r="B2777" i="1"/>
  <c r="A2778" i="1"/>
  <c r="B2778" i="1"/>
  <c r="A2779" i="1"/>
  <c r="B2779" i="1"/>
  <c r="A2780" i="1"/>
  <c r="B2780" i="1"/>
  <c r="A2781" i="1"/>
  <c r="B2781" i="1"/>
  <c r="A2782" i="1"/>
  <c r="B2782" i="1"/>
  <c r="A2783" i="1"/>
  <c r="B2783" i="1"/>
  <c r="A2784" i="1"/>
  <c r="B2784" i="1"/>
  <c r="A2785" i="1"/>
  <c r="B2785" i="1"/>
  <c r="A2786" i="1"/>
  <c r="B2786" i="1"/>
  <c r="A2787" i="1"/>
  <c r="B2787" i="1"/>
  <c r="A2788" i="1"/>
  <c r="B2788" i="1"/>
  <c r="A2789" i="1"/>
  <c r="B2789" i="1"/>
  <c r="A2790" i="1"/>
  <c r="B2790" i="1"/>
  <c r="A2791" i="1"/>
  <c r="B2791" i="1"/>
  <c r="A2792" i="1"/>
  <c r="B2792" i="1"/>
  <c r="A2793" i="1"/>
  <c r="B2793" i="1"/>
  <c r="A2794" i="1"/>
  <c r="B2794" i="1"/>
  <c r="A2795" i="1"/>
  <c r="B2795" i="1"/>
  <c r="A2796" i="1"/>
  <c r="B2796" i="1"/>
  <c r="A2797" i="1"/>
  <c r="B2797" i="1"/>
  <c r="A2798" i="1"/>
  <c r="B2798" i="1"/>
  <c r="A2799" i="1"/>
  <c r="B2799" i="1"/>
  <c r="A2800" i="1"/>
  <c r="B2800" i="1"/>
  <c r="A2801" i="1"/>
  <c r="B2801" i="1"/>
  <c r="A2802" i="1"/>
  <c r="B2802" i="1"/>
  <c r="A2803" i="1"/>
  <c r="B2803" i="1"/>
  <c r="A2804" i="1"/>
  <c r="B2804" i="1"/>
  <c r="A2805" i="1"/>
  <c r="B2805" i="1"/>
  <c r="A2806" i="1"/>
  <c r="B2806" i="1"/>
  <c r="A2807" i="1"/>
  <c r="B2807" i="1"/>
  <c r="A2808" i="1"/>
  <c r="B2808" i="1"/>
  <c r="A2809" i="1"/>
  <c r="B2809" i="1"/>
  <c r="A2810" i="1"/>
  <c r="B2810" i="1"/>
  <c r="A2811" i="1"/>
  <c r="B2811" i="1"/>
  <c r="A2812" i="1"/>
  <c r="B2812" i="1"/>
  <c r="A2813" i="1"/>
  <c r="B2813" i="1"/>
  <c r="A2814" i="1"/>
  <c r="B2814" i="1"/>
  <c r="A2815" i="1"/>
  <c r="B2815" i="1"/>
  <c r="A2816" i="1"/>
  <c r="B2816" i="1"/>
  <c r="A2817" i="1"/>
  <c r="B2817" i="1"/>
  <c r="A2818" i="1"/>
  <c r="B2818" i="1"/>
  <c r="A2819" i="1"/>
  <c r="B2819" i="1"/>
  <c r="A2820" i="1"/>
  <c r="B2820" i="1"/>
  <c r="A2821" i="1"/>
  <c r="B2821" i="1"/>
  <c r="A2822" i="1"/>
  <c r="B2822" i="1"/>
  <c r="A2823" i="1"/>
  <c r="B2823" i="1"/>
  <c r="A2824" i="1"/>
  <c r="B2824" i="1"/>
  <c r="A2825" i="1"/>
  <c r="B2825" i="1"/>
  <c r="A2826" i="1"/>
  <c r="B2826" i="1"/>
  <c r="A2827" i="1"/>
  <c r="B2827" i="1"/>
  <c r="A2828" i="1"/>
  <c r="B2828" i="1"/>
  <c r="A2829" i="1"/>
  <c r="B2829" i="1"/>
  <c r="A2830" i="1"/>
  <c r="B2830" i="1"/>
  <c r="A2831" i="1"/>
  <c r="B2831" i="1"/>
  <c r="A2832" i="1"/>
  <c r="B2832" i="1"/>
  <c r="A2833" i="1"/>
  <c r="B2833" i="1"/>
  <c r="A2834" i="1"/>
  <c r="B2834" i="1"/>
  <c r="A2835" i="1"/>
  <c r="B2835" i="1"/>
  <c r="A2836" i="1"/>
  <c r="B2836" i="1"/>
  <c r="A2837" i="1"/>
  <c r="B2837" i="1"/>
  <c r="A2838" i="1"/>
  <c r="B2838" i="1"/>
  <c r="A2839" i="1"/>
  <c r="B2839" i="1"/>
  <c r="A2840" i="1"/>
  <c r="B2840" i="1"/>
  <c r="A2841" i="1"/>
  <c r="B2841" i="1"/>
  <c r="A2842" i="1"/>
  <c r="B2842" i="1"/>
  <c r="A2843" i="1"/>
  <c r="B2843" i="1"/>
  <c r="A2844" i="1"/>
  <c r="B2844" i="1"/>
  <c r="A2845" i="1"/>
  <c r="B2845" i="1"/>
  <c r="A2846" i="1"/>
  <c r="B2846" i="1"/>
  <c r="A2847" i="1"/>
  <c r="B2847" i="1"/>
  <c r="A2848" i="1"/>
  <c r="B2848" i="1"/>
  <c r="A2849" i="1"/>
  <c r="B2849" i="1"/>
  <c r="A2850" i="1"/>
  <c r="B2850" i="1"/>
  <c r="A2851" i="1"/>
  <c r="B2851" i="1"/>
  <c r="A2852" i="1"/>
  <c r="B2852" i="1"/>
  <c r="A2853" i="1"/>
  <c r="B2853" i="1"/>
  <c r="A2854" i="1"/>
  <c r="B2854" i="1"/>
  <c r="A2855" i="1"/>
  <c r="B2855" i="1"/>
  <c r="A2856" i="1"/>
  <c r="B2856" i="1"/>
  <c r="A2857" i="1"/>
  <c r="B2857" i="1"/>
  <c r="A2858" i="1"/>
  <c r="B2858" i="1"/>
  <c r="A2859" i="1"/>
  <c r="B2859" i="1"/>
  <c r="A2860" i="1"/>
  <c r="B2860" i="1"/>
  <c r="A2861" i="1"/>
  <c r="B2861" i="1"/>
  <c r="A2862" i="1"/>
  <c r="B2862" i="1"/>
  <c r="A2863" i="1"/>
  <c r="B2863" i="1"/>
  <c r="A2864" i="1"/>
  <c r="B2864" i="1"/>
  <c r="A2865" i="1"/>
  <c r="B2865" i="1"/>
  <c r="A2866" i="1"/>
  <c r="B2866" i="1"/>
  <c r="A2867" i="1"/>
  <c r="B2867" i="1"/>
  <c r="A2868" i="1"/>
  <c r="B2868" i="1"/>
  <c r="A2869" i="1"/>
  <c r="B2869" i="1"/>
  <c r="A2870" i="1"/>
  <c r="B2870" i="1"/>
  <c r="A2871" i="1"/>
  <c r="B2871" i="1"/>
  <c r="A2872" i="1"/>
  <c r="B2872" i="1"/>
  <c r="A2873" i="1"/>
  <c r="B2873" i="1"/>
  <c r="A2874" i="1"/>
  <c r="B2874" i="1"/>
  <c r="A2875" i="1"/>
  <c r="B2875" i="1"/>
  <c r="A2876" i="1"/>
  <c r="B2876" i="1"/>
  <c r="A2877" i="1"/>
  <c r="B2877" i="1"/>
  <c r="A2878" i="1"/>
  <c r="B2878" i="1"/>
  <c r="A2879" i="1"/>
  <c r="B2879" i="1"/>
  <c r="A2880" i="1"/>
  <c r="B2880" i="1"/>
  <c r="A2881" i="1"/>
  <c r="B2881" i="1"/>
  <c r="A2882" i="1"/>
  <c r="B2882" i="1"/>
  <c r="A2883" i="1"/>
  <c r="B2883" i="1"/>
  <c r="A2884" i="1"/>
  <c r="B2884" i="1"/>
  <c r="A2885" i="1"/>
  <c r="B2885" i="1"/>
  <c r="A2886" i="1"/>
  <c r="B2886" i="1"/>
  <c r="A2887" i="1"/>
  <c r="B2887" i="1"/>
  <c r="A2888" i="1"/>
  <c r="B2888" i="1"/>
  <c r="A2889" i="1"/>
  <c r="B2889" i="1"/>
  <c r="A2890" i="1"/>
  <c r="B2890" i="1"/>
  <c r="A2891" i="1"/>
  <c r="B2891" i="1"/>
  <c r="A2892" i="1"/>
  <c r="B2892" i="1"/>
  <c r="A2893" i="1"/>
  <c r="B2893" i="1"/>
  <c r="A2894" i="1"/>
  <c r="B2894" i="1"/>
  <c r="A2895" i="1"/>
  <c r="B2895" i="1"/>
  <c r="A2896" i="1"/>
  <c r="B2896" i="1"/>
  <c r="A2897" i="1"/>
  <c r="B2897" i="1"/>
  <c r="A2898" i="1"/>
  <c r="B2898" i="1"/>
  <c r="A2899" i="1"/>
  <c r="B2899" i="1"/>
  <c r="A2900" i="1"/>
  <c r="B2900" i="1"/>
  <c r="A2901" i="1"/>
  <c r="B2901" i="1"/>
  <c r="A2902" i="1"/>
  <c r="B2902" i="1"/>
  <c r="A2903" i="1"/>
  <c r="B2903" i="1"/>
  <c r="A2904" i="1"/>
  <c r="B2904" i="1"/>
  <c r="A2905" i="1"/>
  <c r="B2905" i="1"/>
  <c r="A2906" i="1"/>
  <c r="B2906" i="1"/>
  <c r="A2907" i="1"/>
  <c r="B2907" i="1"/>
  <c r="A2908" i="1"/>
  <c r="B2908" i="1"/>
  <c r="A2909" i="1"/>
  <c r="B2909" i="1"/>
  <c r="A2910" i="1"/>
  <c r="B2910" i="1"/>
  <c r="A2911" i="1"/>
  <c r="B2911" i="1"/>
  <c r="A2912" i="1"/>
  <c r="B2912" i="1"/>
  <c r="A2913" i="1"/>
  <c r="B2913" i="1"/>
  <c r="A2914" i="1"/>
  <c r="B2914" i="1"/>
  <c r="A2915" i="1"/>
  <c r="B2915" i="1"/>
  <c r="A2916" i="1"/>
  <c r="B2916" i="1"/>
  <c r="A2917" i="1"/>
  <c r="B2917" i="1"/>
  <c r="A2918" i="1"/>
  <c r="B2918" i="1"/>
  <c r="A2919" i="1"/>
  <c r="B2919" i="1"/>
  <c r="A2920" i="1"/>
  <c r="B2920" i="1"/>
  <c r="A2921" i="1"/>
  <c r="B2921" i="1"/>
  <c r="A2922" i="1"/>
  <c r="B2922" i="1"/>
  <c r="A2923" i="1"/>
  <c r="B2923" i="1"/>
  <c r="A2924" i="1"/>
  <c r="B2924" i="1"/>
  <c r="A2925" i="1"/>
  <c r="B2925" i="1"/>
  <c r="A2926" i="1"/>
  <c r="B2926" i="1"/>
  <c r="A2927" i="1"/>
  <c r="B2927" i="1"/>
  <c r="A2928" i="1"/>
  <c r="B2928" i="1"/>
  <c r="A2929" i="1"/>
  <c r="B2929" i="1"/>
  <c r="A2930" i="1"/>
  <c r="B2930" i="1"/>
  <c r="A2931" i="1"/>
  <c r="B2931" i="1"/>
  <c r="A2932" i="1"/>
  <c r="B2932" i="1"/>
  <c r="A2933" i="1"/>
  <c r="B2933" i="1"/>
  <c r="A2934" i="1"/>
  <c r="B2934" i="1"/>
  <c r="A2935" i="1"/>
  <c r="B2935" i="1"/>
  <c r="A2936" i="1"/>
  <c r="B2936" i="1"/>
  <c r="A2937" i="1"/>
  <c r="B2937" i="1"/>
  <c r="A2938" i="1"/>
  <c r="B2938" i="1"/>
  <c r="A2939" i="1"/>
  <c r="B2939" i="1"/>
  <c r="A2940" i="1"/>
  <c r="B2940" i="1"/>
  <c r="A2941" i="1"/>
  <c r="B2941" i="1"/>
  <c r="A2942" i="1"/>
  <c r="B2942" i="1"/>
  <c r="A2943" i="1"/>
  <c r="B2943" i="1"/>
  <c r="A2944" i="1"/>
  <c r="B2944" i="1"/>
  <c r="A2945" i="1"/>
  <c r="B2945" i="1"/>
  <c r="A2946" i="1"/>
  <c r="B2946" i="1"/>
  <c r="A2947" i="1"/>
  <c r="B2947" i="1"/>
  <c r="A2948" i="1"/>
  <c r="B2948" i="1"/>
  <c r="A2949" i="1"/>
  <c r="B2949" i="1"/>
  <c r="A2950" i="1"/>
  <c r="B2950" i="1"/>
  <c r="A2951" i="1"/>
  <c r="B2951" i="1"/>
  <c r="A2952" i="1"/>
  <c r="B2952" i="1"/>
  <c r="A2953" i="1"/>
  <c r="B2953" i="1"/>
  <c r="A2954" i="1"/>
  <c r="B2954" i="1"/>
  <c r="A2955" i="1"/>
  <c r="B2955" i="1"/>
  <c r="A2956" i="1"/>
  <c r="B2956" i="1"/>
  <c r="A2957" i="1"/>
  <c r="B2957" i="1"/>
  <c r="A2958" i="1"/>
  <c r="B2958" i="1"/>
  <c r="A2959" i="1"/>
  <c r="B2959" i="1"/>
  <c r="A2960" i="1"/>
  <c r="B2960" i="1"/>
  <c r="A2961" i="1"/>
  <c r="B2961" i="1"/>
  <c r="A2962" i="1"/>
  <c r="B2962" i="1"/>
  <c r="A2963" i="1"/>
  <c r="B2963" i="1"/>
  <c r="A2964" i="1"/>
  <c r="B2964" i="1"/>
  <c r="A2965" i="1"/>
  <c r="B2965" i="1"/>
  <c r="A2966" i="1"/>
  <c r="B2966" i="1"/>
  <c r="A2967" i="1"/>
  <c r="B2967" i="1"/>
  <c r="A2968" i="1"/>
  <c r="B2968" i="1"/>
  <c r="A2969" i="1"/>
  <c r="B2969" i="1"/>
  <c r="A2970" i="1"/>
  <c r="B2970" i="1"/>
  <c r="A2971" i="1"/>
  <c r="B2971" i="1"/>
  <c r="A2972" i="1"/>
  <c r="B2972" i="1"/>
  <c r="A2973" i="1"/>
  <c r="B2973" i="1"/>
  <c r="A2974" i="1"/>
  <c r="B2974" i="1"/>
  <c r="A2975" i="1"/>
  <c r="B2975" i="1"/>
  <c r="A2976" i="1"/>
  <c r="B2976" i="1"/>
  <c r="A2977" i="1"/>
  <c r="B2977" i="1"/>
  <c r="A2978" i="1"/>
  <c r="B2978" i="1"/>
  <c r="A2979" i="1"/>
  <c r="B2979" i="1"/>
  <c r="A2980" i="1"/>
  <c r="B2980" i="1"/>
  <c r="A2981" i="1"/>
  <c r="B2981" i="1"/>
  <c r="A2982" i="1"/>
  <c r="B2982" i="1"/>
  <c r="A2983" i="1"/>
  <c r="B2983" i="1"/>
  <c r="A2984" i="1"/>
  <c r="B2984" i="1"/>
  <c r="A2985" i="1"/>
  <c r="B2985" i="1"/>
  <c r="A2986" i="1"/>
  <c r="B2986" i="1"/>
  <c r="A2987" i="1"/>
  <c r="B2987" i="1"/>
  <c r="A2988" i="1"/>
  <c r="B2988" i="1"/>
  <c r="A2989" i="1"/>
  <c r="B2989" i="1"/>
  <c r="A2990" i="1"/>
  <c r="B2990" i="1"/>
  <c r="A2991" i="1"/>
  <c r="B2991" i="1"/>
  <c r="A2992" i="1"/>
  <c r="B2992" i="1"/>
  <c r="A2993" i="1"/>
  <c r="B2993" i="1"/>
  <c r="A2994" i="1"/>
  <c r="B2994" i="1"/>
  <c r="A2995" i="1"/>
  <c r="B2995" i="1"/>
  <c r="A2996" i="1"/>
  <c r="B2996" i="1"/>
  <c r="A2997" i="1"/>
  <c r="B2997" i="1"/>
  <c r="A2998" i="1"/>
  <c r="B2998" i="1"/>
  <c r="A2999" i="1"/>
  <c r="B2999" i="1"/>
  <c r="A3000" i="1"/>
  <c r="B3000" i="1"/>
  <c r="A3001" i="1"/>
  <c r="B3001" i="1"/>
  <c r="A3002" i="1"/>
  <c r="B3002" i="1"/>
  <c r="A3003" i="1"/>
  <c r="B3003" i="1"/>
  <c r="A3004" i="1"/>
  <c r="B3004" i="1"/>
  <c r="A3005" i="1"/>
  <c r="B3005" i="1"/>
  <c r="A3006" i="1"/>
  <c r="B3006" i="1"/>
  <c r="A3007" i="1"/>
  <c r="B3007" i="1"/>
  <c r="A3008" i="1"/>
  <c r="B3008" i="1"/>
  <c r="A3009" i="1"/>
  <c r="B3009" i="1"/>
  <c r="A3010" i="1"/>
  <c r="B3010" i="1"/>
  <c r="A3011" i="1"/>
  <c r="B3011" i="1"/>
  <c r="A3012" i="1"/>
  <c r="B3012" i="1"/>
  <c r="A3013" i="1"/>
  <c r="B3013" i="1"/>
  <c r="A3014" i="1"/>
  <c r="B3014" i="1"/>
  <c r="A3015" i="1"/>
  <c r="B3015" i="1"/>
  <c r="A3016" i="1"/>
  <c r="B3016" i="1"/>
  <c r="A3017" i="1"/>
  <c r="B3017" i="1"/>
  <c r="A3018" i="1"/>
  <c r="B3018" i="1"/>
  <c r="A3019" i="1"/>
  <c r="B3019" i="1"/>
  <c r="A3020" i="1"/>
  <c r="B3020" i="1"/>
  <c r="A3021" i="1"/>
  <c r="B3021" i="1"/>
  <c r="A3022" i="1"/>
  <c r="B3022" i="1"/>
  <c r="A3023" i="1"/>
  <c r="B3023" i="1"/>
  <c r="A3024" i="1"/>
  <c r="B3024" i="1"/>
  <c r="A3025" i="1"/>
  <c r="B3025" i="1"/>
  <c r="A3026" i="1"/>
  <c r="B3026" i="1"/>
  <c r="A3027" i="1"/>
  <c r="B3027" i="1"/>
  <c r="A3028" i="1"/>
  <c r="B3028" i="1"/>
  <c r="A3029" i="1"/>
  <c r="B3029" i="1"/>
  <c r="A3030" i="1"/>
  <c r="B3030" i="1"/>
  <c r="A3031" i="1"/>
  <c r="B3031" i="1"/>
  <c r="A3032" i="1"/>
  <c r="B3032" i="1"/>
  <c r="A3033" i="1"/>
  <c r="B3033" i="1"/>
  <c r="A3034" i="1"/>
  <c r="B3034" i="1"/>
  <c r="A3035" i="1"/>
  <c r="B3035" i="1"/>
  <c r="A3036" i="1"/>
  <c r="B3036" i="1"/>
  <c r="A3037" i="1"/>
  <c r="B3037" i="1"/>
  <c r="A3038" i="1"/>
  <c r="B3038" i="1"/>
  <c r="A3039" i="1"/>
  <c r="B3039" i="1"/>
  <c r="A3040" i="1"/>
  <c r="B3040" i="1"/>
  <c r="A3041" i="1"/>
  <c r="B3041" i="1"/>
  <c r="A3042" i="1"/>
  <c r="B3042" i="1"/>
  <c r="A3043" i="1"/>
  <c r="B3043" i="1"/>
  <c r="A3044" i="1"/>
  <c r="B3044" i="1"/>
  <c r="A3045" i="1"/>
  <c r="B3045" i="1"/>
  <c r="A3046" i="1"/>
  <c r="B3046" i="1"/>
  <c r="A3047" i="1"/>
  <c r="B3047" i="1"/>
  <c r="A3048" i="1"/>
  <c r="B3048" i="1"/>
  <c r="A3049" i="1"/>
  <c r="B3049" i="1"/>
  <c r="A3050" i="1"/>
  <c r="B3050" i="1"/>
  <c r="A3051" i="1"/>
  <c r="B3051" i="1"/>
  <c r="A3052" i="1"/>
  <c r="B3052" i="1"/>
  <c r="A3053" i="1"/>
  <c r="B3053" i="1"/>
  <c r="A3054" i="1"/>
  <c r="B3054" i="1"/>
  <c r="A3055" i="1"/>
  <c r="B3055" i="1"/>
  <c r="A3056" i="1"/>
  <c r="B3056" i="1"/>
  <c r="A3057" i="1"/>
  <c r="B3057" i="1"/>
  <c r="A3058" i="1"/>
  <c r="B3058" i="1"/>
  <c r="A3059" i="1"/>
  <c r="B3059" i="1"/>
  <c r="A3060" i="1"/>
  <c r="B3060" i="1"/>
  <c r="A3061" i="1"/>
  <c r="B3061" i="1"/>
  <c r="A3062" i="1"/>
  <c r="B3062" i="1"/>
  <c r="A3063" i="1"/>
  <c r="B3063" i="1"/>
  <c r="A3064" i="1"/>
  <c r="B3064" i="1"/>
  <c r="A3065" i="1"/>
  <c r="B3065" i="1"/>
  <c r="A3066" i="1"/>
  <c r="B3066" i="1"/>
  <c r="A3067" i="1"/>
  <c r="B3067" i="1"/>
  <c r="A3068" i="1"/>
  <c r="B3068" i="1"/>
  <c r="A3069" i="1"/>
  <c r="B3069" i="1"/>
  <c r="A3070" i="1"/>
  <c r="B3070" i="1"/>
  <c r="A3071" i="1"/>
  <c r="B3071" i="1"/>
  <c r="A3072" i="1"/>
  <c r="B3072" i="1"/>
  <c r="A3073" i="1"/>
  <c r="B3073" i="1"/>
  <c r="A3074" i="1"/>
  <c r="B3074" i="1"/>
  <c r="A3075" i="1"/>
  <c r="B3075" i="1"/>
  <c r="A3076" i="1"/>
  <c r="B3076" i="1"/>
  <c r="A3077" i="1"/>
  <c r="B3077" i="1"/>
  <c r="A3078" i="1"/>
  <c r="B3078" i="1"/>
  <c r="A3079" i="1"/>
  <c r="B3079" i="1"/>
  <c r="A3080" i="1"/>
  <c r="B3080" i="1"/>
  <c r="A3081" i="1"/>
  <c r="B3081" i="1"/>
  <c r="A3082" i="1"/>
  <c r="B3082" i="1"/>
  <c r="A3083" i="1"/>
  <c r="B3083" i="1"/>
  <c r="A3084" i="1"/>
  <c r="B3084" i="1"/>
  <c r="A3085" i="1"/>
  <c r="B3085" i="1"/>
  <c r="A3086" i="1"/>
  <c r="B3086" i="1"/>
  <c r="A3087" i="1"/>
  <c r="B3087" i="1"/>
  <c r="A3088" i="1"/>
  <c r="B3088" i="1"/>
  <c r="A3089" i="1"/>
  <c r="B3089" i="1"/>
  <c r="A3090" i="1"/>
  <c r="B3090" i="1"/>
  <c r="A3091" i="1"/>
  <c r="B3091" i="1"/>
  <c r="A3092" i="1"/>
  <c r="B3092" i="1"/>
  <c r="A3093" i="1"/>
  <c r="B3093" i="1"/>
  <c r="A3094" i="1"/>
  <c r="B3094" i="1"/>
  <c r="A3095" i="1"/>
  <c r="B3095" i="1"/>
  <c r="A3096" i="1"/>
  <c r="B3096" i="1"/>
  <c r="A3097" i="1"/>
  <c r="B3097" i="1"/>
  <c r="A3098" i="1"/>
  <c r="B3098" i="1"/>
  <c r="A3099" i="1"/>
  <c r="B3099" i="1"/>
  <c r="A3100" i="1"/>
  <c r="B3100" i="1"/>
  <c r="A3101" i="1"/>
  <c r="B3101" i="1"/>
  <c r="A3102" i="1"/>
  <c r="B3102" i="1"/>
  <c r="A3103" i="1"/>
  <c r="B3103" i="1"/>
  <c r="A3104" i="1"/>
  <c r="B3104" i="1"/>
  <c r="A3105" i="1"/>
  <c r="B3105" i="1"/>
  <c r="A3106" i="1"/>
  <c r="B3106" i="1"/>
  <c r="A3107" i="1"/>
  <c r="B3107" i="1"/>
  <c r="A3108" i="1"/>
  <c r="B3108" i="1"/>
  <c r="A3109" i="1"/>
  <c r="B3109" i="1"/>
  <c r="A3110" i="1"/>
  <c r="B3110" i="1"/>
  <c r="A3111" i="1"/>
  <c r="B3111" i="1"/>
  <c r="A3112" i="1"/>
  <c r="B3112" i="1"/>
  <c r="A3113" i="1"/>
  <c r="B3113" i="1"/>
  <c r="A3114" i="1"/>
  <c r="B3114" i="1"/>
  <c r="A3115" i="1"/>
  <c r="B3115" i="1"/>
  <c r="A3116" i="1"/>
  <c r="B3116" i="1"/>
  <c r="A3117" i="1"/>
  <c r="B3117" i="1"/>
  <c r="A3118" i="1"/>
  <c r="B3118" i="1"/>
  <c r="A3119" i="1"/>
  <c r="B3119" i="1"/>
  <c r="A3120" i="1"/>
  <c r="B3120" i="1"/>
  <c r="A3121" i="1"/>
  <c r="B3121" i="1"/>
  <c r="A3122" i="1"/>
  <c r="B3122" i="1"/>
  <c r="A3123" i="1"/>
  <c r="B3123" i="1"/>
  <c r="A3124" i="1"/>
  <c r="B3124" i="1"/>
  <c r="A3125" i="1"/>
  <c r="B3125" i="1"/>
  <c r="A3126" i="1"/>
  <c r="B3126" i="1"/>
  <c r="A3127" i="1"/>
  <c r="B3127" i="1"/>
  <c r="A3128" i="1"/>
  <c r="B3128" i="1"/>
  <c r="A3129" i="1"/>
  <c r="B3129" i="1"/>
  <c r="A3130" i="1"/>
  <c r="B3130" i="1"/>
  <c r="A3131" i="1"/>
  <c r="B3131" i="1"/>
  <c r="A3132" i="1"/>
  <c r="B3132" i="1"/>
  <c r="A3133" i="1"/>
  <c r="B3133" i="1"/>
  <c r="A3134" i="1"/>
  <c r="B3134" i="1"/>
  <c r="A3135" i="1"/>
  <c r="B3135" i="1"/>
  <c r="A3136" i="1"/>
  <c r="B3136" i="1"/>
  <c r="A3137" i="1"/>
  <c r="B3137" i="1"/>
  <c r="A3138" i="1"/>
  <c r="B3138" i="1"/>
  <c r="A3139" i="1"/>
  <c r="B3139" i="1"/>
  <c r="A3140" i="1"/>
  <c r="B3140" i="1"/>
  <c r="A3141" i="1"/>
  <c r="B3141" i="1"/>
  <c r="A3142" i="1"/>
  <c r="B3142" i="1"/>
  <c r="A3143" i="1"/>
  <c r="B3143" i="1"/>
  <c r="A3144" i="1"/>
  <c r="B3144" i="1"/>
  <c r="A3145" i="1"/>
  <c r="B3145" i="1"/>
  <c r="A3146" i="1"/>
  <c r="B3146" i="1"/>
  <c r="A3147" i="1"/>
  <c r="B3147" i="1"/>
  <c r="A3148" i="1"/>
  <c r="B3148" i="1"/>
  <c r="A3149" i="1"/>
  <c r="B3149" i="1"/>
  <c r="A3150" i="1"/>
  <c r="B3150" i="1"/>
  <c r="A3151" i="1"/>
  <c r="B3151" i="1"/>
  <c r="A3152" i="1"/>
  <c r="B3152" i="1"/>
  <c r="A3153" i="1"/>
  <c r="B3153" i="1"/>
  <c r="A3154" i="1"/>
  <c r="B3154" i="1"/>
  <c r="A3155" i="1"/>
  <c r="B3155" i="1"/>
  <c r="A3156" i="1"/>
  <c r="B3156" i="1"/>
  <c r="A3157" i="1"/>
  <c r="B3157" i="1"/>
  <c r="A3158" i="1"/>
  <c r="B3158" i="1"/>
  <c r="A3159" i="1"/>
  <c r="B3159" i="1"/>
  <c r="A3160" i="1"/>
  <c r="B3160" i="1"/>
  <c r="A3161" i="1"/>
  <c r="B3161" i="1"/>
  <c r="A3162" i="1"/>
  <c r="B3162" i="1"/>
  <c r="A3163" i="1"/>
  <c r="B3163" i="1"/>
  <c r="A3164" i="1"/>
  <c r="B3164" i="1"/>
  <c r="A3165" i="1"/>
  <c r="B3165" i="1"/>
  <c r="A3166" i="1"/>
  <c r="B3166" i="1"/>
  <c r="A3167" i="1"/>
  <c r="B3167" i="1"/>
  <c r="A3168" i="1"/>
  <c r="B3168" i="1"/>
  <c r="A3169" i="1"/>
  <c r="B3169" i="1"/>
  <c r="A3170" i="1"/>
  <c r="B3170" i="1"/>
  <c r="A3171" i="1"/>
  <c r="B3171" i="1"/>
  <c r="A3172" i="1"/>
  <c r="B3172" i="1"/>
  <c r="A3173" i="1"/>
  <c r="B3173" i="1"/>
  <c r="A3174" i="1"/>
  <c r="B3174" i="1"/>
  <c r="A3175" i="1"/>
  <c r="B3175" i="1"/>
  <c r="A3176" i="1"/>
  <c r="B3176" i="1"/>
  <c r="A3177" i="1"/>
  <c r="B3177" i="1"/>
  <c r="A3178" i="1"/>
  <c r="B3178" i="1"/>
  <c r="A3179" i="1"/>
  <c r="B3179" i="1"/>
  <c r="A3180" i="1"/>
  <c r="B3180" i="1"/>
  <c r="A3181" i="1"/>
  <c r="B3181" i="1"/>
  <c r="A3182" i="1"/>
  <c r="B3182" i="1"/>
  <c r="A3183" i="1"/>
  <c r="B3183" i="1"/>
  <c r="A3184" i="1"/>
  <c r="B3184" i="1"/>
  <c r="A3185" i="1"/>
  <c r="B3185" i="1"/>
  <c r="A3186" i="1"/>
  <c r="B3186" i="1"/>
  <c r="A3187" i="1"/>
  <c r="B3187" i="1"/>
  <c r="A3188" i="1"/>
  <c r="B3188" i="1"/>
  <c r="A3189" i="1"/>
  <c r="B3189" i="1"/>
  <c r="A3190" i="1"/>
  <c r="B3190" i="1"/>
  <c r="A3191" i="1"/>
  <c r="B3191" i="1"/>
  <c r="A3192" i="1"/>
  <c r="B3192" i="1"/>
  <c r="A3193" i="1"/>
  <c r="B3193" i="1"/>
  <c r="A3194" i="1"/>
  <c r="B3194" i="1"/>
  <c r="A3195" i="1"/>
  <c r="B3195" i="1"/>
  <c r="A3196" i="1"/>
  <c r="B3196" i="1"/>
  <c r="A3197" i="1"/>
  <c r="B3197" i="1"/>
  <c r="A3198" i="1"/>
  <c r="B3198" i="1"/>
  <c r="A3199" i="1"/>
  <c r="B3199" i="1"/>
  <c r="A3200" i="1"/>
  <c r="B3200" i="1"/>
  <c r="A3201" i="1"/>
  <c r="B3201" i="1"/>
  <c r="A3202" i="1"/>
  <c r="B3202" i="1"/>
  <c r="A3203" i="1"/>
  <c r="B3203" i="1"/>
  <c r="A3204" i="1"/>
  <c r="B3204" i="1"/>
  <c r="A3205" i="1"/>
  <c r="B3205" i="1"/>
  <c r="A3206" i="1"/>
  <c r="B3206" i="1"/>
  <c r="A3207" i="1"/>
  <c r="B3207" i="1"/>
  <c r="A3208" i="1"/>
  <c r="B3208" i="1"/>
  <c r="A3209" i="1"/>
  <c r="B3209" i="1"/>
  <c r="A3210" i="1"/>
  <c r="B3210" i="1"/>
  <c r="A3211" i="1"/>
  <c r="B3211" i="1"/>
  <c r="A3212" i="1"/>
  <c r="B3212" i="1"/>
  <c r="A3213" i="1"/>
  <c r="B3213" i="1"/>
  <c r="A3214" i="1"/>
  <c r="B3214" i="1"/>
  <c r="A3215" i="1"/>
  <c r="B3215" i="1"/>
  <c r="A3216" i="1"/>
  <c r="B3216" i="1"/>
  <c r="A3217" i="1"/>
  <c r="B3217" i="1"/>
  <c r="A3218" i="1"/>
  <c r="B3218" i="1"/>
  <c r="A3219" i="1"/>
  <c r="B3219" i="1"/>
  <c r="A3220" i="1"/>
  <c r="B3220" i="1"/>
  <c r="A3221" i="1"/>
  <c r="B3221" i="1"/>
  <c r="A3222" i="1"/>
  <c r="B3222" i="1"/>
  <c r="A3223" i="1"/>
  <c r="B3223" i="1"/>
  <c r="A3224" i="1"/>
  <c r="B3224" i="1"/>
  <c r="A3225" i="1"/>
  <c r="B3225" i="1"/>
  <c r="A3226" i="1"/>
  <c r="B3226" i="1"/>
  <c r="A3227" i="1"/>
  <c r="B3227" i="1"/>
  <c r="A3228" i="1"/>
  <c r="B3228" i="1"/>
  <c r="A3229" i="1"/>
  <c r="B3229" i="1"/>
  <c r="A3230" i="1"/>
  <c r="B3230" i="1"/>
  <c r="A3231" i="1"/>
  <c r="B3231" i="1"/>
  <c r="A3232" i="1"/>
  <c r="B3232" i="1"/>
  <c r="A3233" i="1"/>
  <c r="B3233" i="1"/>
  <c r="A3234" i="1"/>
  <c r="B3234" i="1"/>
  <c r="A3235" i="1"/>
  <c r="B3235" i="1"/>
  <c r="A3236" i="1"/>
  <c r="B3236" i="1"/>
  <c r="A3237" i="1"/>
  <c r="B3237" i="1"/>
  <c r="A3238" i="1"/>
  <c r="B3238" i="1"/>
  <c r="A3239" i="1"/>
  <c r="B3239" i="1"/>
  <c r="A3240" i="1"/>
  <c r="B3240" i="1"/>
  <c r="A3241" i="1"/>
  <c r="B3241" i="1"/>
  <c r="A3242" i="1"/>
  <c r="B3242" i="1"/>
  <c r="A3243" i="1"/>
  <c r="B3243" i="1"/>
  <c r="A3244" i="1"/>
  <c r="B3244" i="1"/>
  <c r="A3245" i="1"/>
  <c r="B3245" i="1"/>
  <c r="A3246" i="1"/>
  <c r="B3246" i="1"/>
  <c r="A3247" i="1"/>
  <c r="B3247" i="1"/>
  <c r="A3248" i="1"/>
  <c r="B3248" i="1"/>
  <c r="A3249" i="1"/>
  <c r="B3249" i="1"/>
  <c r="A3250" i="1"/>
  <c r="B3250" i="1"/>
  <c r="A3251" i="1"/>
  <c r="B3251" i="1"/>
  <c r="A3252" i="1"/>
  <c r="B3252" i="1"/>
  <c r="A3253" i="1"/>
  <c r="B3253" i="1"/>
  <c r="A3254" i="1"/>
  <c r="B3254" i="1"/>
  <c r="A3255" i="1"/>
  <c r="B3255" i="1"/>
  <c r="A3256" i="1"/>
  <c r="B3256" i="1"/>
  <c r="A3257" i="1"/>
  <c r="B3257" i="1"/>
  <c r="A3258" i="1"/>
  <c r="B3258" i="1"/>
  <c r="A3259" i="1"/>
  <c r="B3259" i="1"/>
  <c r="A3260" i="1"/>
  <c r="B3260" i="1"/>
  <c r="A3261" i="1"/>
  <c r="B3261" i="1"/>
  <c r="A3262" i="1"/>
  <c r="B3262" i="1"/>
  <c r="A3263" i="1"/>
  <c r="B3263" i="1"/>
  <c r="A3264" i="1"/>
  <c r="B3264" i="1"/>
  <c r="A3265" i="1"/>
  <c r="B3265" i="1"/>
  <c r="A3266" i="1"/>
  <c r="B3266" i="1"/>
  <c r="A3267" i="1"/>
  <c r="B3267" i="1"/>
  <c r="A3268" i="1"/>
  <c r="B3268" i="1"/>
  <c r="A3269" i="1"/>
  <c r="B3269" i="1"/>
  <c r="A3270" i="1"/>
  <c r="B3270" i="1"/>
  <c r="A3271" i="1"/>
  <c r="B3271" i="1"/>
  <c r="A3272" i="1"/>
  <c r="B3272" i="1"/>
  <c r="A3273" i="1"/>
  <c r="B3273" i="1"/>
  <c r="A3274" i="1"/>
  <c r="B3274" i="1"/>
  <c r="A3275" i="1"/>
  <c r="B3275" i="1"/>
  <c r="A3276" i="1"/>
  <c r="B3276" i="1"/>
  <c r="A3277" i="1"/>
  <c r="B3277" i="1"/>
  <c r="A3278" i="1"/>
  <c r="B3278" i="1"/>
  <c r="A3279" i="1"/>
  <c r="B3279" i="1"/>
  <c r="A3280" i="1"/>
  <c r="B3280" i="1"/>
  <c r="A3281" i="1"/>
  <c r="B3281" i="1"/>
  <c r="A3282" i="1"/>
  <c r="B3282" i="1"/>
  <c r="A3283" i="1"/>
  <c r="B3283" i="1"/>
  <c r="A3284" i="1"/>
  <c r="B3284" i="1"/>
  <c r="A3285" i="1"/>
  <c r="B3285" i="1"/>
  <c r="A3286" i="1"/>
  <c r="B3286" i="1"/>
  <c r="A3287" i="1"/>
  <c r="B3287" i="1"/>
  <c r="A3288" i="1"/>
  <c r="B3288" i="1"/>
  <c r="A3289" i="1"/>
  <c r="B3289" i="1"/>
  <c r="A3290" i="1"/>
  <c r="B3290" i="1"/>
  <c r="A3291" i="1"/>
  <c r="B3291" i="1"/>
  <c r="A3292" i="1"/>
  <c r="B3292" i="1"/>
  <c r="A3293" i="1"/>
  <c r="B3293" i="1"/>
  <c r="A3294" i="1"/>
  <c r="B3294" i="1"/>
  <c r="A3295" i="1"/>
  <c r="B3295" i="1"/>
  <c r="A3296" i="1"/>
  <c r="B3296" i="1"/>
  <c r="A3297" i="1"/>
  <c r="B3297" i="1"/>
  <c r="A3298" i="1"/>
  <c r="B3298" i="1"/>
  <c r="A3299" i="1"/>
  <c r="B3299" i="1"/>
  <c r="A3300" i="1"/>
  <c r="B3300" i="1"/>
  <c r="A3301" i="1"/>
  <c r="B3301" i="1"/>
  <c r="A3302" i="1"/>
  <c r="B3302" i="1"/>
  <c r="A3303" i="1"/>
  <c r="B3303" i="1"/>
  <c r="A3304" i="1"/>
  <c r="B3304" i="1"/>
  <c r="A3305" i="1"/>
  <c r="B3305" i="1"/>
  <c r="A3306" i="1"/>
  <c r="B3306" i="1"/>
  <c r="A3307" i="1"/>
  <c r="B3307" i="1"/>
  <c r="A3308" i="1"/>
  <c r="B3308" i="1"/>
  <c r="A3309" i="1"/>
  <c r="B3309" i="1"/>
  <c r="A3310" i="1"/>
  <c r="B3310" i="1"/>
  <c r="A3311" i="1"/>
  <c r="B3311" i="1"/>
  <c r="A3312" i="1"/>
  <c r="B3312" i="1"/>
  <c r="A3313" i="1"/>
  <c r="B3313" i="1"/>
  <c r="A3314" i="1"/>
  <c r="B3314" i="1"/>
  <c r="A3315" i="1"/>
  <c r="B3315" i="1"/>
  <c r="A3316" i="1"/>
  <c r="B3316" i="1"/>
  <c r="A3317" i="1"/>
  <c r="B3317" i="1"/>
  <c r="A3318" i="1"/>
  <c r="B3318" i="1"/>
  <c r="A3319" i="1"/>
  <c r="B3319" i="1"/>
  <c r="A3320" i="1"/>
  <c r="B3320" i="1"/>
  <c r="A3321" i="1"/>
  <c r="B3321" i="1"/>
  <c r="A3322" i="1"/>
  <c r="B3322" i="1"/>
  <c r="A3323" i="1"/>
  <c r="B3323" i="1"/>
  <c r="A3324" i="1"/>
  <c r="B3324" i="1"/>
  <c r="A3325" i="1"/>
  <c r="B3325" i="1"/>
  <c r="A3326" i="1"/>
  <c r="B3326" i="1"/>
  <c r="A3327" i="1"/>
  <c r="B3327" i="1"/>
  <c r="A3328" i="1"/>
  <c r="B3328" i="1"/>
  <c r="A3329" i="1"/>
  <c r="B3329" i="1"/>
  <c r="A3330" i="1"/>
  <c r="B3330" i="1"/>
  <c r="A3331" i="1"/>
  <c r="B3331" i="1"/>
  <c r="A3332" i="1"/>
  <c r="B3332" i="1"/>
  <c r="A3333" i="1"/>
  <c r="B3333" i="1"/>
  <c r="A3334" i="1"/>
  <c r="B3334" i="1"/>
  <c r="A3335" i="1"/>
  <c r="B3335" i="1"/>
  <c r="A3336" i="1"/>
  <c r="B3336" i="1"/>
  <c r="A3337" i="1"/>
  <c r="B3337" i="1"/>
  <c r="A3338" i="1"/>
  <c r="B3338" i="1"/>
  <c r="A3339" i="1"/>
  <c r="B3339" i="1"/>
  <c r="A3340" i="1"/>
  <c r="B3340" i="1"/>
  <c r="A3341" i="1"/>
  <c r="B3341" i="1"/>
  <c r="A3342" i="1"/>
  <c r="B3342" i="1"/>
  <c r="A3343" i="1"/>
  <c r="B3343" i="1"/>
  <c r="A3344" i="1"/>
  <c r="B3344" i="1"/>
  <c r="A3345" i="1"/>
  <c r="B3345" i="1"/>
  <c r="A3346" i="1"/>
  <c r="B3346" i="1"/>
  <c r="A3347" i="1"/>
  <c r="B3347" i="1"/>
  <c r="A3348" i="1"/>
  <c r="B3348" i="1"/>
  <c r="A3349" i="1"/>
  <c r="B3349" i="1"/>
  <c r="A3350" i="1"/>
  <c r="B3350" i="1"/>
  <c r="A3351" i="1"/>
  <c r="B3351" i="1"/>
  <c r="A3352" i="1"/>
  <c r="B3352" i="1"/>
  <c r="A3353" i="1"/>
  <c r="B3353" i="1"/>
  <c r="A3354" i="1"/>
  <c r="B3354" i="1"/>
  <c r="A3355" i="1"/>
  <c r="B3355" i="1"/>
  <c r="A3356" i="1"/>
  <c r="B3356" i="1"/>
  <c r="A3357" i="1"/>
  <c r="B3357" i="1"/>
  <c r="A3358" i="1"/>
  <c r="B3358" i="1"/>
  <c r="A3359" i="1"/>
  <c r="B3359" i="1"/>
  <c r="A3360" i="1"/>
  <c r="B3360" i="1"/>
  <c r="A3361" i="1"/>
  <c r="B3361" i="1"/>
  <c r="A3362" i="1"/>
  <c r="B3362" i="1"/>
  <c r="A3363" i="1"/>
  <c r="B3363" i="1"/>
  <c r="A3364" i="1"/>
  <c r="B3364" i="1"/>
  <c r="A3365" i="1"/>
  <c r="B3365" i="1"/>
  <c r="A3366" i="1"/>
  <c r="B3366" i="1"/>
  <c r="A3367" i="1"/>
  <c r="B3367" i="1"/>
  <c r="A3368" i="1"/>
  <c r="B3368" i="1"/>
  <c r="A3369" i="1"/>
  <c r="B3369" i="1"/>
  <c r="A3370" i="1"/>
  <c r="B3370" i="1"/>
  <c r="A3371" i="1"/>
  <c r="B3371" i="1"/>
  <c r="A3372" i="1"/>
  <c r="B3372" i="1"/>
  <c r="A3373" i="1"/>
  <c r="B3373" i="1"/>
  <c r="A3374" i="1"/>
  <c r="B3374" i="1"/>
  <c r="A3375" i="1"/>
  <c r="B3375" i="1"/>
  <c r="A3376" i="1"/>
  <c r="B3376" i="1"/>
  <c r="A3377" i="1"/>
  <c r="B3377" i="1"/>
  <c r="A3378" i="1"/>
  <c r="B3378" i="1"/>
  <c r="A3379" i="1"/>
  <c r="B3379" i="1"/>
  <c r="A3380" i="1"/>
  <c r="B3380" i="1"/>
  <c r="A3381" i="1"/>
  <c r="B3381" i="1"/>
  <c r="A3382" i="1"/>
  <c r="B3382" i="1"/>
  <c r="A3383" i="1"/>
  <c r="B3383" i="1"/>
  <c r="A3384" i="1"/>
  <c r="B3384" i="1"/>
  <c r="A3385" i="1"/>
  <c r="B3385" i="1"/>
  <c r="A3386" i="1"/>
  <c r="B3386" i="1"/>
  <c r="A3387" i="1"/>
  <c r="B3387" i="1"/>
  <c r="A3388" i="1"/>
  <c r="B3388" i="1"/>
  <c r="A3389" i="1"/>
  <c r="B3389" i="1"/>
  <c r="A3390" i="1"/>
  <c r="B3390" i="1"/>
  <c r="A3391" i="1"/>
  <c r="B3391" i="1"/>
  <c r="A3392" i="1"/>
  <c r="B3392" i="1"/>
  <c r="A3393" i="1"/>
  <c r="B3393" i="1"/>
  <c r="A3394" i="1"/>
  <c r="B3394" i="1"/>
  <c r="A3395" i="1"/>
  <c r="B3395" i="1"/>
  <c r="A3396" i="1"/>
  <c r="B3396" i="1"/>
  <c r="A3397" i="1"/>
  <c r="B3397" i="1"/>
  <c r="A3398" i="1"/>
  <c r="B3398" i="1"/>
  <c r="A3399" i="1"/>
  <c r="B3399" i="1"/>
  <c r="A3400" i="1"/>
  <c r="B3400" i="1"/>
  <c r="A3401" i="1"/>
  <c r="B3401" i="1"/>
  <c r="A3402" i="1"/>
  <c r="B3402" i="1"/>
  <c r="A3403" i="1"/>
  <c r="B3403" i="1"/>
  <c r="A3404" i="1"/>
  <c r="B3404" i="1"/>
  <c r="A3405" i="1"/>
  <c r="B3405" i="1"/>
  <c r="A3406" i="1"/>
  <c r="B3406" i="1"/>
  <c r="A3407" i="1"/>
  <c r="B3407" i="1"/>
  <c r="A3408" i="1"/>
  <c r="B3408" i="1"/>
  <c r="A3409" i="1"/>
  <c r="B3409" i="1"/>
  <c r="A3410" i="1"/>
  <c r="B3410" i="1"/>
  <c r="A3411" i="1"/>
  <c r="B3411" i="1"/>
  <c r="A3412" i="1"/>
  <c r="B3412" i="1"/>
  <c r="A3413" i="1"/>
  <c r="B3413" i="1"/>
  <c r="A3414" i="1"/>
  <c r="B3414" i="1"/>
  <c r="A3415" i="1"/>
  <c r="B3415" i="1"/>
  <c r="A3416" i="1"/>
  <c r="B3416" i="1"/>
  <c r="A3417" i="1"/>
  <c r="B3417" i="1"/>
  <c r="A3418" i="1"/>
  <c r="B3418" i="1"/>
  <c r="A3419" i="1"/>
  <c r="B3419" i="1"/>
  <c r="A3420" i="1"/>
  <c r="B3420" i="1"/>
  <c r="A3421" i="1"/>
  <c r="B3421" i="1"/>
  <c r="A3422" i="1"/>
  <c r="B3422" i="1"/>
  <c r="A3423" i="1"/>
  <c r="B3423" i="1"/>
  <c r="A3424" i="1"/>
  <c r="B3424" i="1"/>
  <c r="A3425" i="1"/>
  <c r="B3425" i="1"/>
  <c r="A3426" i="1"/>
  <c r="B3426" i="1"/>
  <c r="A3427" i="1"/>
  <c r="B3427" i="1"/>
  <c r="A3428" i="1"/>
  <c r="B3428" i="1"/>
  <c r="A3429" i="1"/>
  <c r="B3429" i="1"/>
  <c r="A3430" i="1"/>
  <c r="B3430" i="1"/>
  <c r="A3431" i="1"/>
  <c r="B3431" i="1"/>
  <c r="A3432" i="1"/>
  <c r="B3432" i="1"/>
  <c r="A3433" i="1"/>
  <c r="B3433" i="1"/>
  <c r="A3434" i="1"/>
  <c r="B3434" i="1"/>
  <c r="A3435" i="1"/>
  <c r="B3435" i="1"/>
  <c r="A3436" i="1"/>
  <c r="B3436" i="1"/>
  <c r="A3437" i="1"/>
  <c r="B3437" i="1"/>
  <c r="A3438" i="1"/>
  <c r="B3438" i="1"/>
  <c r="A3439" i="1"/>
  <c r="B3439" i="1"/>
  <c r="A3440" i="1"/>
  <c r="B3440" i="1"/>
  <c r="A3441" i="1"/>
  <c r="B3441" i="1"/>
  <c r="A3442" i="1"/>
  <c r="B3442" i="1"/>
  <c r="A3443" i="1"/>
  <c r="B3443" i="1"/>
  <c r="A3444" i="1"/>
  <c r="B3444" i="1"/>
  <c r="A3445" i="1"/>
  <c r="B3445" i="1"/>
  <c r="A3446" i="1"/>
  <c r="B3446" i="1"/>
  <c r="A3447" i="1"/>
  <c r="B3447" i="1"/>
  <c r="A3448" i="1"/>
  <c r="B3448" i="1"/>
  <c r="A3449" i="1"/>
  <c r="B3449" i="1"/>
  <c r="A3450" i="1"/>
  <c r="B3450" i="1"/>
  <c r="A3451" i="1"/>
  <c r="B3451" i="1"/>
  <c r="A3452" i="1"/>
  <c r="B3452" i="1"/>
  <c r="A3453" i="1"/>
  <c r="B3453" i="1"/>
  <c r="A3454" i="1"/>
  <c r="B3454" i="1"/>
  <c r="A3455" i="1"/>
  <c r="B3455" i="1"/>
  <c r="A3456" i="1"/>
  <c r="B3456" i="1"/>
  <c r="A3457" i="1"/>
  <c r="B3457" i="1"/>
  <c r="A3458" i="1"/>
  <c r="B3458" i="1"/>
  <c r="A3459" i="1"/>
  <c r="B3459" i="1"/>
  <c r="A3460" i="1"/>
  <c r="B3460" i="1"/>
  <c r="A3461" i="1"/>
  <c r="B3461" i="1"/>
  <c r="A3462" i="1"/>
  <c r="B3462" i="1"/>
  <c r="A3463" i="1"/>
  <c r="B3463" i="1"/>
  <c r="A3464" i="1"/>
  <c r="B3464" i="1"/>
  <c r="A3465" i="1"/>
  <c r="B3465" i="1"/>
  <c r="A3466" i="1"/>
  <c r="B3466" i="1"/>
  <c r="A3467" i="1"/>
  <c r="B3467" i="1"/>
  <c r="A3468" i="1"/>
  <c r="B3468" i="1"/>
  <c r="A3469" i="1"/>
  <c r="B3469" i="1"/>
  <c r="A3470" i="1"/>
  <c r="B3470" i="1"/>
  <c r="A3471" i="1"/>
  <c r="B3471" i="1"/>
  <c r="A3472" i="1"/>
  <c r="B3472" i="1"/>
  <c r="A3473" i="1"/>
  <c r="B3473" i="1"/>
  <c r="A3474" i="1"/>
  <c r="B3474" i="1"/>
  <c r="A3475" i="1"/>
  <c r="B3475" i="1"/>
  <c r="A3476" i="1"/>
  <c r="B3476" i="1"/>
  <c r="A3477" i="1"/>
  <c r="B3477" i="1"/>
  <c r="A3478" i="1"/>
  <c r="B3478" i="1"/>
  <c r="A3479" i="1"/>
  <c r="B3479" i="1"/>
  <c r="A3480" i="1"/>
  <c r="B3480" i="1"/>
  <c r="A3481" i="1"/>
  <c r="B3481" i="1"/>
  <c r="A3482" i="1"/>
  <c r="B3482" i="1"/>
  <c r="A3483" i="1"/>
  <c r="B3483" i="1"/>
  <c r="A3484" i="1"/>
  <c r="B3484" i="1"/>
  <c r="A3485" i="1"/>
  <c r="B3485" i="1"/>
  <c r="A3486" i="1"/>
  <c r="B3486" i="1"/>
  <c r="A3487" i="1"/>
  <c r="B3487" i="1"/>
  <c r="A3488" i="1"/>
  <c r="B3488" i="1"/>
  <c r="A3489" i="1"/>
  <c r="B3489" i="1"/>
  <c r="A3490" i="1"/>
  <c r="B3490" i="1"/>
  <c r="A3491" i="1"/>
  <c r="B3491" i="1"/>
  <c r="A3492" i="1"/>
  <c r="B3492" i="1"/>
  <c r="A3493" i="1"/>
  <c r="B3493" i="1"/>
  <c r="A3494" i="1"/>
  <c r="B3494" i="1"/>
  <c r="A3495" i="1"/>
  <c r="B3495" i="1"/>
  <c r="A3496" i="1"/>
  <c r="B3496" i="1"/>
  <c r="A3497" i="1"/>
  <c r="B3497" i="1"/>
  <c r="A3498" i="1"/>
  <c r="B3498" i="1"/>
  <c r="A3499" i="1"/>
  <c r="B3499" i="1"/>
  <c r="A3500" i="1"/>
  <c r="B3500" i="1"/>
  <c r="A3501" i="1"/>
  <c r="B3501" i="1"/>
  <c r="A3502" i="1"/>
  <c r="B3502" i="1"/>
  <c r="A3503" i="1"/>
  <c r="B3503" i="1"/>
  <c r="A3504" i="1"/>
  <c r="B3504" i="1"/>
  <c r="A3505" i="1"/>
  <c r="B3505" i="1"/>
  <c r="A3506" i="1"/>
  <c r="B3506" i="1"/>
  <c r="A3507" i="1"/>
  <c r="B3507" i="1"/>
  <c r="A3508" i="1"/>
  <c r="B3508" i="1"/>
  <c r="A3509" i="1"/>
  <c r="B3509" i="1"/>
  <c r="A3510" i="1"/>
  <c r="B3510" i="1"/>
  <c r="A3511" i="1"/>
  <c r="B3511" i="1"/>
  <c r="A3512" i="1"/>
  <c r="B3512" i="1"/>
  <c r="A3513" i="1"/>
  <c r="B3513" i="1"/>
  <c r="A3514" i="1"/>
  <c r="B3514" i="1"/>
  <c r="A3515" i="1"/>
  <c r="B3515" i="1"/>
  <c r="A3516" i="1"/>
  <c r="B3516" i="1"/>
  <c r="A3517" i="1"/>
  <c r="B3517" i="1"/>
  <c r="A3518" i="1"/>
  <c r="B3518" i="1"/>
  <c r="A3519" i="1"/>
  <c r="B3519" i="1"/>
  <c r="A3520" i="1"/>
  <c r="B3520" i="1"/>
  <c r="A3521" i="1"/>
  <c r="B3521" i="1"/>
  <c r="A3522" i="1"/>
  <c r="B3522" i="1"/>
  <c r="A3523" i="1"/>
  <c r="B3523" i="1"/>
  <c r="A3524" i="1"/>
  <c r="B3524" i="1"/>
  <c r="A3525" i="1"/>
  <c r="B3525" i="1"/>
  <c r="A3526" i="1"/>
  <c r="B3526" i="1"/>
  <c r="A3527" i="1"/>
  <c r="B3527" i="1"/>
  <c r="A3528" i="1"/>
  <c r="B3528" i="1"/>
  <c r="A3529" i="1"/>
  <c r="B3529" i="1"/>
  <c r="A3530" i="1"/>
  <c r="B3530" i="1"/>
  <c r="A3531" i="1"/>
  <c r="B3531" i="1"/>
  <c r="A3532" i="1"/>
  <c r="B3532" i="1"/>
  <c r="A3533" i="1"/>
  <c r="B3533" i="1"/>
  <c r="A3534" i="1"/>
  <c r="B3534" i="1"/>
  <c r="A3535" i="1"/>
  <c r="B3535" i="1"/>
  <c r="A3536" i="1"/>
  <c r="B3536" i="1"/>
  <c r="A3537" i="1"/>
  <c r="B3537" i="1"/>
  <c r="A3538" i="1"/>
  <c r="B3538" i="1"/>
  <c r="A3539" i="1"/>
  <c r="B3539" i="1"/>
  <c r="A3540" i="1"/>
  <c r="B3540" i="1"/>
  <c r="A3541" i="1"/>
  <c r="B3541" i="1"/>
  <c r="A3542" i="1"/>
  <c r="B3542" i="1"/>
  <c r="A3543" i="1"/>
  <c r="B3543" i="1"/>
  <c r="A3544" i="1"/>
  <c r="B3544" i="1"/>
  <c r="A3545" i="1"/>
  <c r="B3545" i="1"/>
  <c r="A3546" i="1"/>
  <c r="B3546" i="1"/>
  <c r="A3547" i="1"/>
  <c r="B3547" i="1"/>
  <c r="A3548" i="1"/>
  <c r="B3548" i="1"/>
  <c r="A3549" i="1"/>
  <c r="B3549" i="1"/>
  <c r="A3550" i="1"/>
  <c r="B3550" i="1"/>
  <c r="A3551" i="1"/>
  <c r="B3551" i="1"/>
  <c r="A3552" i="1"/>
  <c r="B3552" i="1"/>
  <c r="A3553" i="1"/>
  <c r="B3553" i="1"/>
  <c r="A3554" i="1"/>
  <c r="B3554" i="1"/>
  <c r="A3555" i="1"/>
  <c r="B3555" i="1"/>
  <c r="A3556" i="1"/>
  <c r="B3556" i="1"/>
  <c r="A3557" i="1"/>
  <c r="B3557" i="1"/>
  <c r="A3558" i="1"/>
  <c r="B3558" i="1"/>
  <c r="A3559" i="1"/>
  <c r="B3559" i="1"/>
  <c r="A3560" i="1"/>
  <c r="B3560" i="1"/>
  <c r="A3561" i="1"/>
  <c r="B3561" i="1"/>
  <c r="A3562" i="1"/>
  <c r="B3562" i="1"/>
  <c r="A3563" i="1"/>
  <c r="B3563" i="1"/>
  <c r="A3564" i="1"/>
  <c r="B3564" i="1"/>
  <c r="A3565" i="1"/>
  <c r="B3565" i="1"/>
  <c r="A3566" i="1"/>
  <c r="B3566" i="1"/>
  <c r="A3567" i="1"/>
  <c r="B3567" i="1"/>
  <c r="A3568" i="1"/>
  <c r="B3568" i="1"/>
  <c r="A3569" i="1"/>
  <c r="B3569" i="1"/>
  <c r="A3570" i="1"/>
  <c r="B3570" i="1"/>
  <c r="A3571" i="1"/>
  <c r="B3571" i="1"/>
  <c r="A3572" i="1"/>
  <c r="B3572" i="1"/>
  <c r="A3573" i="1"/>
  <c r="B3573" i="1"/>
  <c r="A3574" i="1"/>
  <c r="B3574" i="1"/>
  <c r="A3575" i="1"/>
  <c r="B3575" i="1"/>
  <c r="A3576" i="1"/>
  <c r="B3576" i="1"/>
  <c r="A3577" i="1"/>
  <c r="B3577" i="1"/>
  <c r="A3578" i="1"/>
  <c r="B3578" i="1"/>
  <c r="A3579" i="1"/>
  <c r="B3579" i="1"/>
  <c r="A3580" i="1"/>
  <c r="B3580" i="1"/>
  <c r="A3581" i="1"/>
  <c r="B3581" i="1"/>
  <c r="A3582" i="1"/>
  <c r="B3582" i="1"/>
  <c r="A3583" i="1"/>
  <c r="B3583" i="1"/>
  <c r="A3584" i="1"/>
  <c r="B3584" i="1"/>
  <c r="A3585" i="1"/>
  <c r="B3585" i="1"/>
  <c r="A3586" i="1"/>
  <c r="B3586" i="1"/>
  <c r="A3587" i="1"/>
  <c r="B3587" i="1"/>
  <c r="A3588" i="1"/>
  <c r="B3588" i="1"/>
  <c r="A3589" i="1"/>
  <c r="B3589" i="1"/>
  <c r="A3590" i="1"/>
  <c r="B3590" i="1"/>
  <c r="A3591" i="1"/>
  <c r="B3591" i="1"/>
  <c r="A3592" i="1"/>
  <c r="B3592" i="1"/>
  <c r="A3593" i="1"/>
  <c r="B3593" i="1"/>
  <c r="A3594" i="1"/>
  <c r="B3594" i="1"/>
  <c r="A3595" i="1"/>
  <c r="B3595" i="1"/>
  <c r="A3596" i="1"/>
  <c r="B3596" i="1"/>
  <c r="A3597" i="1"/>
  <c r="B3597" i="1"/>
  <c r="A3598" i="1"/>
  <c r="B3598" i="1"/>
  <c r="A3599" i="1"/>
  <c r="B3599" i="1"/>
  <c r="A3600" i="1"/>
  <c r="B3600" i="1"/>
  <c r="A3601" i="1"/>
  <c r="B3601" i="1"/>
  <c r="A3602" i="1"/>
  <c r="B3602" i="1"/>
  <c r="A3603" i="1"/>
  <c r="B3603" i="1"/>
  <c r="A3604" i="1"/>
  <c r="B3604" i="1"/>
  <c r="A3605" i="1"/>
  <c r="B3605" i="1"/>
  <c r="A3606" i="1"/>
  <c r="B3606" i="1"/>
  <c r="A3607" i="1"/>
  <c r="B3607" i="1"/>
  <c r="A3608" i="1"/>
  <c r="B3608" i="1"/>
  <c r="A3609" i="1"/>
  <c r="B3609" i="1"/>
  <c r="A3610" i="1"/>
  <c r="B3610" i="1"/>
  <c r="A3611" i="1"/>
  <c r="B3611" i="1"/>
  <c r="A3612" i="1"/>
  <c r="B3612" i="1"/>
  <c r="A3613" i="1"/>
  <c r="B3613" i="1"/>
  <c r="A3614" i="1"/>
  <c r="B3614" i="1"/>
  <c r="A3615" i="1"/>
  <c r="B3615" i="1"/>
  <c r="A3616" i="1"/>
  <c r="B3616" i="1"/>
  <c r="A3617" i="1"/>
  <c r="B3617" i="1"/>
  <c r="A3618" i="1"/>
  <c r="B3618" i="1"/>
  <c r="A3619" i="1"/>
  <c r="B3619" i="1"/>
  <c r="A3620" i="1"/>
  <c r="B3620" i="1"/>
  <c r="A3621" i="1"/>
  <c r="B3621" i="1"/>
  <c r="A3622" i="1"/>
  <c r="B3622" i="1"/>
  <c r="A3623" i="1"/>
  <c r="B3623" i="1"/>
  <c r="A3624" i="1"/>
  <c r="B3624" i="1"/>
  <c r="A3625" i="1"/>
  <c r="B3625" i="1"/>
  <c r="A3626" i="1"/>
  <c r="B3626" i="1"/>
  <c r="A3627" i="1"/>
  <c r="B3627" i="1"/>
  <c r="A3628" i="1"/>
  <c r="B3628" i="1"/>
  <c r="A3629" i="1"/>
  <c r="B3629" i="1"/>
  <c r="A3630" i="1"/>
  <c r="B3630" i="1"/>
  <c r="A3631" i="1"/>
  <c r="B3631" i="1"/>
  <c r="A3632" i="1"/>
  <c r="B3632" i="1"/>
  <c r="A3633" i="1"/>
  <c r="B3633" i="1"/>
  <c r="A3634" i="1"/>
  <c r="B3634" i="1"/>
  <c r="A3635" i="1"/>
  <c r="B3635" i="1"/>
  <c r="A3636" i="1"/>
  <c r="B3636" i="1"/>
  <c r="A3637" i="1"/>
  <c r="B3637" i="1"/>
  <c r="A3638" i="1"/>
  <c r="B3638" i="1"/>
  <c r="A3639" i="1"/>
  <c r="B3639" i="1"/>
  <c r="A3640" i="1"/>
  <c r="B3640" i="1"/>
  <c r="A3641" i="1"/>
  <c r="B3641" i="1"/>
  <c r="A3642" i="1"/>
  <c r="B3642" i="1"/>
  <c r="A3643" i="1"/>
  <c r="B3643" i="1"/>
  <c r="A3644" i="1"/>
  <c r="B3644" i="1"/>
  <c r="A3645" i="1"/>
  <c r="B3645" i="1"/>
  <c r="A3646" i="1"/>
  <c r="B3646" i="1"/>
  <c r="A3647" i="1"/>
  <c r="B3647" i="1"/>
  <c r="A3648" i="1"/>
  <c r="B3648" i="1"/>
  <c r="A3649" i="1"/>
  <c r="B3649" i="1"/>
  <c r="A3650" i="1"/>
  <c r="B3650" i="1"/>
  <c r="A3651" i="1"/>
  <c r="B3651" i="1"/>
  <c r="A3652" i="1"/>
  <c r="B3652" i="1"/>
  <c r="A3653" i="1"/>
  <c r="B3653" i="1"/>
  <c r="A3654" i="1"/>
  <c r="B3654" i="1"/>
  <c r="A3655" i="1"/>
  <c r="B3655" i="1"/>
  <c r="A3656" i="1"/>
  <c r="B3656" i="1"/>
  <c r="A3657" i="1"/>
  <c r="B3657" i="1"/>
  <c r="A3658" i="1"/>
  <c r="B3658" i="1"/>
  <c r="A3659" i="1"/>
  <c r="B3659" i="1"/>
  <c r="A3660" i="1"/>
  <c r="B3660" i="1"/>
  <c r="A3661" i="1"/>
  <c r="B3661" i="1"/>
  <c r="A3662" i="1"/>
  <c r="B3662" i="1"/>
  <c r="A3663" i="1"/>
  <c r="B3663" i="1"/>
  <c r="A3664" i="1"/>
  <c r="B3664" i="1"/>
  <c r="A3665" i="1"/>
  <c r="B3665" i="1"/>
  <c r="A3666" i="1"/>
  <c r="B3666" i="1"/>
  <c r="A3667" i="1"/>
  <c r="B3667" i="1"/>
  <c r="A3668" i="1"/>
  <c r="B3668" i="1"/>
  <c r="A3669" i="1"/>
  <c r="B3669" i="1"/>
  <c r="A3670" i="1"/>
  <c r="B3670" i="1"/>
  <c r="A3671" i="1"/>
  <c r="B3671" i="1"/>
  <c r="A3672" i="1"/>
  <c r="B3672" i="1"/>
  <c r="A3673" i="1"/>
  <c r="B3673" i="1"/>
  <c r="A3674" i="1"/>
  <c r="B3674" i="1"/>
  <c r="A3675" i="1"/>
  <c r="B3675" i="1"/>
  <c r="A3676" i="1"/>
  <c r="B3676" i="1"/>
  <c r="A3677" i="1"/>
  <c r="B3677" i="1"/>
  <c r="A3678" i="1"/>
  <c r="B3678" i="1"/>
  <c r="A3679" i="1"/>
  <c r="B3679" i="1"/>
  <c r="A3680" i="1"/>
  <c r="B3680" i="1"/>
  <c r="A3681" i="1"/>
  <c r="B3681" i="1"/>
  <c r="A3682" i="1"/>
  <c r="B3682" i="1"/>
  <c r="A3683" i="1"/>
  <c r="B3683" i="1"/>
  <c r="A3684" i="1"/>
  <c r="B3684" i="1"/>
  <c r="A3685" i="1"/>
  <c r="B3685" i="1"/>
  <c r="A3686" i="1"/>
  <c r="B3686" i="1"/>
  <c r="A3687" i="1"/>
  <c r="B3687" i="1"/>
  <c r="A3688" i="1"/>
  <c r="B3688" i="1"/>
  <c r="A3689" i="1"/>
  <c r="B3689" i="1"/>
  <c r="A3690" i="1"/>
  <c r="B3690" i="1"/>
  <c r="A3691" i="1"/>
  <c r="B3691" i="1"/>
  <c r="A3692" i="1"/>
  <c r="B3692" i="1"/>
  <c r="A3693" i="1"/>
  <c r="B3693" i="1"/>
  <c r="A3694" i="1"/>
  <c r="B3694" i="1"/>
  <c r="A3695" i="1"/>
  <c r="B3695" i="1"/>
  <c r="A3696" i="1"/>
  <c r="B3696" i="1"/>
  <c r="A3697" i="1"/>
  <c r="B3697" i="1"/>
  <c r="A3698" i="1"/>
  <c r="B3698" i="1"/>
  <c r="A3699" i="1"/>
  <c r="B3699" i="1"/>
  <c r="A3700" i="1"/>
  <c r="B3700" i="1"/>
  <c r="A3701" i="1"/>
  <c r="B3701" i="1"/>
  <c r="A3702" i="1"/>
  <c r="B3702" i="1"/>
  <c r="A3703" i="1"/>
  <c r="B3703" i="1"/>
  <c r="A3704" i="1"/>
  <c r="B3704" i="1"/>
  <c r="A3705" i="1"/>
  <c r="B3705" i="1"/>
  <c r="A3706" i="1"/>
  <c r="B3706" i="1"/>
  <c r="A3707" i="1"/>
  <c r="B3707" i="1"/>
  <c r="A3708" i="1"/>
  <c r="B3708" i="1"/>
  <c r="A3709" i="1"/>
  <c r="B3709" i="1"/>
  <c r="A3710" i="1"/>
  <c r="B3710" i="1"/>
  <c r="A3711" i="1"/>
  <c r="B3711" i="1"/>
  <c r="A3712" i="1"/>
  <c r="B3712" i="1"/>
  <c r="A3713" i="1"/>
  <c r="B3713" i="1"/>
  <c r="A3714" i="1"/>
  <c r="B3714" i="1"/>
  <c r="A3715" i="1"/>
  <c r="B3715" i="1"/>
  <c r="A3716" i="1"/>
  <c r="B3716" i="1"/>
  <c r="A3717" i="1"/>
  <c r="B3717" i="1"/>
  <c r="A3718" i="1"/>
  <c r="B3718" i="1"/>
  <c r="A3719" i="1"/>
  <c r="B3719" i="1"/>
  <c r="A3720" i="1"/>
  <c r="B3720" i="1"/>
  <c r="A3721" i="1"/>
  <c r="B3721" i="1"/>
  <c r="A3722" i="1"/>
  <c r="B3722" i="1"/>
  <c r="A3723" i="1"/>
  <c r="B3723" i="1"/>
  <c r="A3724" i="1"/>
  <c r="B3724" i="1"/>
  <c r="A3725" i="1"/>
  <c r="B3725" i="1"/>
  <c r="A3726" i="1"/>
  <c r="B3726" i="1"/>
  <c r="A3727" i="1"/>
  <c r="B3727" i="1"/>
  <c r="A3728" i="1"/>
  <c r="B3728" i="1"/>
  <c r="A3729" i="1"/>
  <c r="B3729" i="1"/>
  <c r="A3730" i="1"/>
  <c r="B3730" i="1"/>
  <c r="A3731" i="1"/>
  <c r="B3731" i="1"/>
  <c r="A3732" i="1"/>
  <c r="B3732" i="1"/>
  <c r="A3733" i="1"/>
  <c r="B3733" i="1"/>
  <c r="A3734" i="1"/>
  <c r="B3734" i="1"/>
  <c r="A3735" i="1"/>
  <c r="B3735" i="1"/>
  <c r="A3736" i="1"/>
  <c r="B3736" i="1"/>
  <c r="A3737" i="1"/>
  <c r="B3737" i="1"/>
  <c r="A3738" i="1"/>
  <c r="B3738" i="1"/>
  <c r="A3739" i="1"/>
  <c r="B3739" i="1"/>
  <c r="A3740" i="1"/>
  <c r="B3740" i="1"/>
  <c r="A3741" i="1"/>
  <c r="B3741" i="1"/>
  <c r="A3742" i="1"/>
  <c r="B3742" i="1"/>
  <c r="A3743" i="1"/>
  <c r="B3743" i="1"/>
  <c r="A3744" i="1"/>
  <c r="B3744" i="1"/>
  <c r="A3745" i="1"/>
  <c r="B3745" i="1"/>
  <c r="A3746" i="1"/>
  <c r="B3746" i="1"/>
  <c r="A3747" i="1"/>
  <c r="B3747" i="1"/>
  <c r="A3748" i="1"/>
  <c r="B3748" i="1"/>
  <c r="A3749" i="1"/>
  <c r="B3749" i="1"/>
  <c r="A3750" i="1"/>
  <c r="B3750" i="1"/>
  <c r="A3751" i="1"/>
  <c r="B3751" i="1"/>
  <c r="A3752" i="1"/>
  <c r="B3752" i="1"/>
  <c r="A3753" i="1"/>
  <c r="B3753" i="1"/>
  <c r="A3754" i="1"/>
  <c r="B3754" i="1"/>
  <c r="A3755" i="1"/>
  <c r="B3755" i="1"/>
  <c r="A3756" i="1"/>
  <c r="B3756" i="1"/>
  <c r="A3757" i="1"/>
  <c r="B3757" i="1"/>
  <c r="A3758" i="1"/>
  <c r="B3758" i="1"/>
  <c r="A3759" i="1"/>
  <c r="B3759" i="1"/>
  <c r="A3760" i="1"/>
  <c r="B3760" i="1"/>
  <c r="A3761" i="1"/>
  <c r="B3761" i="1"/>
  <c r="A3762" i="1"/>
  <c r="B3762" i="1"/>
  <c r="A3763" i="1"/>
  <c r="B3763" i="1"/>
  <c r="A3764" i="1"/>
  <c r="B3764" i="1"/>
  <c r="A3765" i="1"/>
  <c r="B3765" i="1"/>
  <c r="A3766" i="1"/>
  <c r="B3766" i="1"/>
  <c r="A3767" i="1"/>
  <c r="B3767" i="1"/>
  <c r="A3768" i="1"/>
  <c r="B3768" i="1"/>
  <c r="A3769" i="1"/>
  <c r="B3769" i="1"/>
  <c r="A3770" i="1"/>
  <c r="B3770" i="1"/>
  <c r="A3771" i="1"/>
  <c r="B3771" i="1"/>
  <c r="A3772" i="1"/>
  <c r="B3772" i="1"/>
  <c r="A3773" i="1"/>
  <c r="B3773" i="1"/>
  <c r="A3774" i="1"/>
  <c r="B3774" i="1"/>
  <c r="A3775" i="1"/>
  <c r="B3775" i="1"/>
  <c r="A3776" i="1"/>
  <c r="B3776" i="1"/>
  <c r="A3777" i="1"/>
  <c r="B3777" i="1"/>
  <c r="A3778" i="1"/>
  <c r="B3778" i="1"/>
  <c r="A3779" i="1"/>
  <c r="B3779" i="1"/>
  <c r="A3780" i="1"/>
  <c r="B3780" i="1"/>
  <c r="A3781" i="1"/>
  <c r="B3781" i="1"/>
  <c r="A3782" i="1"/>
  <c r="B3782" i="1"/>
  <c r="A3783" i="1"/>
  <c r="B3783" i="1"/>
  <c r="A3784" i="1"/>
  <c r="B3784" i="1"/>
  <c r="A3785" i="1"/>
  <c r="B3785" i="1"/>
  <c r="A3786" i="1"/>
  <c r="B3786" i="1"/>
  <c r="A3787" i="1"/>
  <c r="B3787" i="1"/>
  <c r="A3788" i="1"/>
  <c r="B3788" i="1"/>
  <c r="A3789" i="1"/>
  <c r="B3789" i="1"/>
  <c r="A3790" i="1"/>
  <c r="B3790" i="1"/>
  <c r="A3791" i="1"/>
  <c r="B3791" i="1"/>
  <c r="A3792" i="1"/>
  <c r="B3792" i="1"/>
  <c r="A3793" i="1"/>
  <c r="B3793" i="1"/>
  <c r="A3794" i="1"/>
  <c r="B3794" i="1"/>
  <c r="A3795" i="1"/>
  <c r="B3795" i="1"/>
  <c r="A3796" i="1"/>
  <c r="B3796" i="1"/>
  <c r="A3797" i="1"/>
  <c r="B3797" i="1"/>
  <c r="A3798" i="1"/>
  <c r="B3798" i="1"/>
  <c r="A3799" i="1"/>
  <c r="B3799" i="1"/>
  <c r="A3800" i="1"/>
  <c r="B3800" i="1"/>
  <c r="A3801" i="1"/>
  <c r="B3801" i="1"/>
  <c r="A3802" i="1"/>
  <c r="B3802" i="1"/>
  <c r="A3803" i="1"/>
  <c r="B3803" i="1"/>
  <c r="A3804" i="1"/>
  <c r="B3804" i="1"/>
  <c r="A3805" i="1"/>
  <c r="B3805" i="1"/>
  <c r="A3806" i="1"/>
  <c r="B3806" i="1"/>
  <c r="A3807" i="1"/>
  <c r="B3807" i="1"/>
  <c r="A3808" i="1"/>
  <c r="B3808" i="1"/>
  <c r="A3809" i="1"/>
  <c r="B3809" i="1"/>
  <c r="A3810" i="1"/>
  <c r="B3810" i="1"/>
  <c r="A3811" i="1"/>
  <c r="B3811" i="1"/>
  <c r="A3812" i="1"/>
  <c r="B3812" i="1"/>
  <c r="A3813" i="1"/>
  <c r="B3813" i="1"/>
  <c r="A3814" i="1"/>
  <c r="B3814" i="1"/>
  <c r="A3815" i="1"/>
  <c r="B3815" i="1"/>
  <c r="A3816" i="1"/>
  <c r="B3816" i="1"/>
  <c r="A3817" i="1"/>
  <c r="B3817" i="1"/>
  <c r="A3818" i="1"/>
  <c r="B3818" i="1"/>
  <c r="A3819" i="1"/>
  <c r="B3819" i="1"/>
  <c r="A3820" i="1"/>
  <c r="B3820" i="1"/>
  <c r="A3821" i="1"/>
  <c r="B3821" i="1"/>
  <c r="A3822" i="1"/>
  <c r="B3822" i="1"/>
  <c r="A3823" i="1"/>
  <c r="B3823" i="1"/>
  <c r="A3824" i="1"/>
  <c r="B3824" i="1"/>
  <c r="A3825" i="1"/>
  <c r="B3825" i="1"/>
  <c r="A3826" i="1"/>
  <c r="B3826" i="1"/>
  <c r="A3827" i="1"/>
  <c r="B3827" i="1"/>
  <c r="A3828" i="1"/>
  <c r="B3828" i="1"/>
  <c r="A3829" i="1"/>
  <c r="B3829" i="1"/>
  <c r="A3830" i="1"/>
  <c r="B3830" i="1"/>
  <c r="A3831" i="1"/>
  <c r="B3831" i="1"/>
  <c r="A3832" i="1"/>
  <c r="B3832" i="1"/>
  <c r="A3833" i="1"/>
  <c r="B3833" i="1"/>
  <c r="A3834" i="1"/>
  <c r="B3834" i="1"/>
  <c r="A3835" i="1"/>
  <c r="B3835" i="1"/>
  <c r="A3836" i="1"/>
  <c r="B3836" i="1"/>
  <c r="A3837" i="1"/>
  <c r="B3837" i="1"/>
  <c r="A3838" i="1"/>
  <c r="B3838" i="1"/>
  <c r="A3839" i="1"/>
  <c r="B3839" i="1"/>
  <c r="A3840" i="1"/>
  <c r="B3840" i="1"/>
  <c r="A3841" i="1"/>
  <c r="B3841" i="1"/>
  <c r="A3842" i="1"/>
  <c r="B3842" i="1"/>
  <c r="A3843" i="1"/>
  <c r="B3843" i="1"/>
  <c r="A3844" i="1"/>
  <c r="B3844" i="1"/>
  <c r="A3845" i="1"/>
  <c r="B3845" i="1"/>
  <c r="A3846" i="1"/>
  <c r="B3846" i="1"/>
  <c r="A3847" i="1"/>
  <c r="B3847" i="1"/>
  <c r="A3848" i="1"/>
  <c r="B3848" i="1"/>
  <c r="A3849" i="1"/>
  <c r="B3849" i="1"/>
  <c r="A3850" i="1"/>
  <c r="B3850" i="1"/>
  <c r="A3851" i="1"/>
  <c r="B3851" i="1"/>
  <c r="A3852" i="1"/>
  <c r="B3852" i="1"/>
  <c r="A3853" i="1"/>
  <c r="B3853" i="1"/>
  <c r="A3854" i="1"/>
  <c r="B3854" i="1"/>
  <c r="A3855" i="1"/>
  <c r="B3855" i="1"/>
  <c r="A3856" i="1"/>
  <c r="B3856" i="1"/>
  <c r="A3857" i="1"/>
  <c r="B3857" i="1"/>
  <c r="A3858" i="1"/>
  <c r="B3858" i="1"/>
  <c r="A3859" i="1"/>
  <c r="B3859" i="1"/>
  <c r="A3860" i="1"/>
  <c r="B3860" i="1"/>
  <c r="A3861" i="1"/>
  <c r="B3861" i="1"/>
  <c r="A3862" i="1"/>
  <c r="B3862" i="1"/>
  <c r="A3863" i="1"/>
  <c r="B3863" i="1"/>
  <c r="A3864" i="1"/>
  <c r="B3864" i="1"/>
  <c r="A3865" i="1"/>
  <c r="B3865" i="1"/>
  <c r="A3866" i="1"/>
  <c r="B3866" i="1"/>
  <c r="A3867" i="1"/>
  <c r="B3867" i="1"/>
  <c r="A3868" i="1"/>
  <c r="B3868" i="1"/>
  <c r="A3869" i="1"/>
  <c r="B3869" i="1"/>
  <c r="A3870" i="1"/>
  <c r="B3870" i="1"/>
  <c r="A3871" i="1"/>
  <c r="B3871" i="1"/>
  <c r="A3872" i="1"/>
  <c r="B3872" i="1"/>
  <c r="A3873" i="1"/>
  <c r="B3873" i="1"/>
  <c r="A3874" i="1"/>
  <c r="B3874" i="1"/>
  <c r="A3875" i="1"/>
  <c r="B3875" i="1"/>
  <c r="A3876" i="1"/>
  <c r="B3876" i="1"/>
  <c r="A3877" i="1"/>
  <c r="B3877" i="1"/>
  <c r="A3878" i="1"/>
  <c r="B3878" i="1"/>
  <c r="A3879" i="1"/>
  <c r="B3879" i="1"/>
  <c r="A3880" i="1"/>
  <c r="B3880" i="1"/>
  <c r="A3881" i="1"/>
  <c r="B3881" i="1"/>
  <c r="A3882" i="1"/>
  <c r="B3882" i="1"/>
  <c r="A3883" i="1"/>
  <c r="B3883" i="1"/>
  <c r="A3884" i="1"/>
  <c r="B3884" i="1"/>
  <c r="A3885" i="1"/>
  <c r="B3885" i="1"/>
  <c r="A3886" i="1"/>
  <c r="B3886" i="1"/>
  <c r="A3887" i="1"/>
  <c r="B3887" i="1"/>
  <c r="A3888" i="1"/>
  <c r="B3888" i="1"/>
  <c r="A3889" i="1"/>
  <c r="B3889" i="1"/>
  <c r="A3890" i="1"/>
  <c r="B3890" i="1"/>
  <c r="A3891" i="1"/>
  <c r="B3891" i="1"/>
  <c r="A3892" i="1"/>
  <c r="B3892" i="1"/>
  <c r="A3893" i="1"/>
  <c r="B3893" i="1"/>
  <c r="A3894" i="1"/>
  <c r="B3894" i="1"/>
  <c r="A3895" i="1"/>
  <c r="B3895" i="1"/>
  <c r="A3896" i="1"/>
  <c r="B3896" i="1"/>
  <c r="A3897" i="1"/>
  <c r="B3897" i="1"/>
  <c r="A3898" i="1"/>
  <c r="B3898" i="1"/>
  <c r="A3899" i="1"/>
  <c r="B3899" i="1"/>
  <c r="A3900" i="1"/>
  <c r="B3900" i="1"/>
  <c r="A3901" i="1"/>
  <c r="B3901" i="1"/>
  <c r="A3902" i="1"/>
  <c r="B3902" i="1"/>
  <c r="A3903" i="1"/>
  <c r="B3903" i="1"/>
  <c r="A3904" i="1"/>
  <c r="B3904" i="1"/>
  <c r="A3905" i="1"/>
  <c r="B3905" i="1"/>
  <c r="A3906" i="1"/>
  <c r="B3906" i="1"/>
  <c r="A3907" i="1"/>
  <c r="B3907" i="1"/>
  <c r="A3908" i="1"/>
  <c r="B3908" i="1"/>
  <c r="A3909" i="1"/>
  <c r="B3909" i="1"/>
  <c r="A3910" i="1"/>
  <c r="B3910" i="1"/>
  <c r="A3911" i="1"/>
  <c r="B3911" i="1"/>
  <c r="A3912" i="1"/>
  <c r="B3912" i="1"/>
  <c r="A3913" i="1"/>
  <c r="B3913" i="1"/>
  <c r="A3914" i="1"/>
  <c r="B3914" i="1"/>
  <c r="A3915" i="1"/>
  <c r="B3915" i="1"/>
  <c r="A3916" i="1"/>
  <c r="B3916" i="1"/>
  <c r="A3917" i="1"/>
  <c r="B3917" i="1"/>
  <c r="A3918" i="1"/>
  <c r="B3918" i="1"/>
  <c r="A3919" i="1"/>
  <c r="B3919" i="1"/>
  <c r="A3920" i="1"/>
  <c r="B3920" i="1"/>
  <c r="A3921" i="1"/>
  <c r="B3921" i="1"/>
  <c r="A3922" i="1"/>
  <c r="B3922" i="1"/>
  <c r="A3923" i="1"/>
  <c r="B3923" i="1"/>
  <c r="A3924" i="1"/>
  <c r="B3924" i="1"/>
  <c r="A3925" i="1"/>
  <c r="B3925" i="1"/>
  <c r="A3926" i="1"/>
  <c r="B3926" i="1"/>
  <c r="A3927" i="1"/>
  <c r="B3927" i="1"/>
  <c r="A3928" i="1"/>
  <c r="B3928" i="1"/>
  <c r="A3929" i="1"/>
  <c r="B3929" i="1"/>
  <c r="A3930" i="1"/>
  <c r="B3930" i="1"/>
  <c r="A3931" i="1"/>
  <c r="B3931" i="1"/>
  <c r="A3932" i="1"/>
  <c r="B3932" i="1"/>
  <c r="A3933" i="1"/>
  <c r="B3933" i="1"/>
  <c r="A3934" i="1"/>
  <c r="B3934" i="1"/>
  <c r="A3935" i="1"/>
  <c r="B3935" i="1"/>
  <c r="A3936" i="1"/>
  <c r="B3936" i="1"/>
  <c r="A3937" i="1"/>
  <c r="B3937" i="1"/>
  <c r="A3938" i="1"/>
  <c r="B3938" i="1"/>
  <c r="A3939" i="1"/>
  <c r="B3939" i="1"/>
  <c r="A3940" i="1"/>
  <c r="B3940" i="1"/>
  <c r="A3941" i="1"/>
  <c r="B3941" i="1"/>
  <c r="A3942" i="1"/>
  <c r="B3942" i="1"/>
  <c r="A3943" i="1"/>
  <c r="B3943" i="1"/>
  <c r="A3944" i="1"/>
  <c r="B3944" i="1"/>
  <c r="A3945" i="1"/>
  <c r="B3945" i="1"/>
  <c r="A3946" i="1"/>
  <c r="B3946" i="1"/>
  <c r="A3947" i="1"/>
  <c r="B3947" i="1"/>
  <c r="A3948" i="1"/>
  <c r="B3948" i="1"/>
  <c r="A3949" i="1"/>
  <c r="B3949" i="1"/>
  <c r="A3950" i="1"/>
  <c r="B3950" i="1"/>
  <c r="A3951" i="1"/>
  <c r="B3951" i="1"/>
  <c r="A3952" i="1"/>
  <c r="B3952" i="1"/>
  <c r="A3953" i="1"/>
  <c r="B3953" i="1"/>
  <c r="A3954" i="1"/>
  <c r="B3954" i="1"/>
  <c r="A3955" i="1"/>
  <c r="B3955" i="1"/>
  <c r="A3956" i="1"/>
  <c r="B3956" i="1"/>
  <c r="A3957" i="1"/>
  <c r="B3957" i="1"/>
  <c r="A3958" i="1"/>
  <c r="B3958" i="1"/>
  <c r="A3959" i="1"/>
  <c r="B3959" i="1"/>
  <c r="A3960" i="1"/>
  <c r="B3960" i="1"/>
  <c r="A3961" i="1"/>
  <c r="B3961" i="1"/>
  <c r="A3962" i="1"/>
  <c r="B3962" i="1"/>
  <c r="A3963" i="1"/>
  <c r="B3963" i="1"/>
  <c r="A3964" i="1"/>
  <c r="B3964" i="1"/>
  <c r="A3965" i="1"/>
  <c r="B3965" i="1"/>
  <c r="A3966" i="1"/>
  <c r="B3966" i="1"/>
  <c r="A3967" i="1"/>
  <c r="B3967" i="1"/>
  <c r="A3968" i="1"/>
  <c r="B3968" i="1"/>
  <c r="A3969" i="1"/>
  <c r="B3969" i="1"/>
  <c r="A3970" i="1"/>
  <c r="B3970" i="1"/>
  <c r="A3971" i="1"/>
  <c r="B3971" i="1"/>
  <c r="A3972" i="1"/>
  <c r="B3972" i="1"/>
  <c r="A3973" i="1"/>
  <c r="B3973" i="1"/>
  <c r="A3974" i="1"/>
  <c r="B3974" i="1"/>
  <c r="A3975" i="1"/>
  <c r="B3975" i="1"/>
  <c r="A3976" i="1"/>
  <c r="B3976" i="1"/>
  <c r="A3977" i="1"/>
  <c r="B3977" i="1"/>
  <c r="A3978" i="1"/>
  <c r="B3978" i="1"/>
  <c r="A3979" i="1"/>
  <c r="B3979" i="1"/>
  <c r="A3980" i="1"/>
  <c r="B3980" i="1"/>
  <c r="A3981" i="1"/>
  <c r="B3981" i="1"/>
  <c r="A3982" i="1"/>
  <c r="B3982" i="1"/>
  <c r="A3983" i="1"/>
  <c r="B3983" i="1"/>
  <c r="A3984" i="1"/>
  <c r="B3984" i="1"/>
  <c r="A3985" i="1"/>
  <c r="B3985" i="1"/>
  <c r="A3986" i="1"/>
  <c r="B3986" i="1"/>
  <c r="A3987" i="1"/>
  <c r="B3987" i="1"/>
  <c r="A3988" i="1"/>
  <c r="B3988" i="1"/>
  <c r="A3989" i="1"/>
  <c r="B3989" i="1"/>
  <c r="A3990" i="1"/>
  <c r="B3990" i="1"/>
  <c r="A3991" i="1"/>
  <c r="B3991" i="1"/>
  <c r="A3992" i="1"/>
  <c r="B3992" i="1"/>
  <c r="A3993" i="1"/>
  <c r="B3993" i="1"/>
  <c r="A3994" i="1"/>
  <c r="B3994" i="1"/>
  <c r="A3995" i="1"/>
  <c r="B3995" i="1"/>
  <c r="A3996" i="1"/>
  <c r="B3996" i="1"/>
  <c r="A3997" i="1"/>
  <c r="B3997" i="1"/>
  <c r="A3998" i="1"/>
  <c r="B3998" i="1"/>
  <c r="A3999" i="1"/>
  <c r="B3999" i="1"/>
  <c r="A4000" i="1"/>
  <c r="B4000" i="1"/>
  <c r="A4001" i="1"/>
  <c r="B4001" i="1"/>
  <c r="A4002" i="1"/>
  <c r="B4002" i="1"/>
  <c r="A4003" i="1"/>
  <c r="B4003" i="1"/>
  <c r="A4004" i="1"/>
  <c r="B4004" i="1"/>
  <c r="A4005" i="1"/>
  <c r="B4005" i="1"/>
  <c r="A4006" i="1"/>
  <c r="B4006" i="1"/>
  <c r="A4007" i="1"/>
  <c r="B4007" i="1"/>
  <c r="A4008" i="1"/>
  <c r="B4008" i="1"/>
  <c r="A4009" i="1"/>
  <c r="B4009" i="1"/>
  <c r="A4010" i="1"/>
  <c r="B4010" i="1"/>
  <c r="A4011" i="1"/>
  <c r="B4011" i="1"/>
  <c r="A4012" i="1"/>
  <c r="B4012" i="1"/>
  <c r="A4013" i="1"/>
  <c r="B4013" i="1"/>
  <c r="A4014" i="1"/>
  <c r="B4014" i="1"/>
  <c r="A4015" i="1"/>
  <c r="B4015" i="1"/>
  <c r="A4016" i="1"/>
  <c r="B4016" i="1"/>
  <c r="A4017" i="1"/>
  <c r="B4017" i="1"/>
  <c r="A4018" i="1"/>
  <c r="B4018" i="1"/>
  <c r="A4019" i="1"/>
  <c r="B4019" i="1"/>
  <c r="A4020" i="1"/>
  <c r="B4020" i="1"/>
  <c r="A4021" i="1"/>
  <c r="B4021" i="1"/>
  <c r="A4022" i="1"/>
  <c r="B4022" i="1"/>
  <c r="A4023" i="1"/>
  <c r="B4023" i="1"/>
  <c r="A4024" i="1"/>
  <c r="B4024" i="1"/>
  <c r="A4025" i="1"/>
  <c r="B4025" i="1"/>
  <c r="A4026" i="1"/>
  <c r="B4026" i="1"/>
  <c r="A4027" i="1"/>
  <c r="B4027" i="1"/>
  <c r="A4028" i="1"/>
  <c r="B4028" i="1"/>
  <c r="A4029" i="1"/>
  <c r="B4029" i="1"/>
  <c r="A4030" i="1"/>
  <c r="B4030" i="1"/>
  <c r="A4031" i="1"/>
  <c r="B4031" i="1"/>
  <c r="A4032" i="1"/>
  <c r="B4032" i="1"/>
  <c r="A4033" i="1"/>
  <c r="B4033" i="1"/>
  <c r="A4034" i="1"/>
  <c r="B4034" i="1"/>
  <c r="A4035" i="1"/>
  <c r="B4035" i="1"/>
  <c r="A4036" i="1"/>
  <c r="B4036" i="1"/>
  <c r="A4037" i="1"/>
  <c r="B4037" i="1"/>
  <c r="A4038" i="1"/>
  <c r="B4038" i="1"/>
  <c r="A4039" i="1"/>
  <c r="B4039" i="1"/>
  <c r="A4040" i="1"/>
  <c r="B4040" i="1"/>
  <c r="A4041" i="1"/>
  <c r="B4041" i="1"/>
  <c r="A4042" i="1"/>
  <c r="B4042" i="1"/>
  <c r="A4043" i="1"/>
  <c r="B4043" i="1"/>
  <c r="A4044" i="1"/>
  <c r="B4044" i="1"/>
  <c r="A4045" i="1"/>
  <c r="B4045" i="1"/>
  <c r="A4046" i="1"/>
  <c r="B4046" i="1"/>
  <c r="A4047" i="1"/>
  <c r="B4047" i="1"/>
  <c r="A4048" i="1"/>
  <c r="B4048" i="1"/>
  <c r="A4049" i="1"/>
  <c r="B4049" i="1"/>
  <c r="A4050" i="1"/>
  <c r="B4050" i="1"/>
  <c r="A4051" i="1"/>
  <c r="B4051" i="1"/>
  <c r="A4052" i="1"/>
  <c r="B4052" i="1"/>
  <c r="A4053" i="1"/>
  <c r="B4053" i="1"/>
  <c r="A4054" i="1"/>
  <c r="B4054" i="1"/>
  <c r="A4055" i="1"/>
  <c r="B4055" i="1"/>
  <c r="A4056" i="1"/>
  <c r="B4056" i="1"/>
  <c r="A4057" i="1"/>
  <c r="B4057" i="1"/>
  <c r="A4058" i="1"/>
  <c r="B4058" i="1"/>
  <c r="A4059" i="1"/>
  <c r="B4059" i="1"/>
  <c r="A4060" i="1"/>
  <c r="B4060" i="1"/>
  <c r="A4061" i="1"/>
  <c r="B4061" i="1"/>
  <c r="A4062" i="1"/>
  <c r="B4062" i="1"/>
  <c r="A4063" i="1"/>
  <c r="B4063" i="1"/>
  <c r="A4064" i="1"/>
  <c r="B4064" i="1"/>
  <c r="A4065" i="1"/>
  <c r="B4065" i="1"/>
  <c r="A4066" i="1"/>
  <c r="B4066" i="1"/>
  <c r="A4067" i="1"/>
  <c r="B4067" i="1"/>
  <c r="A4068" i="1"/>
  <c r="B4068" i="1"/>
  <c r="A4069" i="1"/>
  <c r="B4069" i="1"/>
  <c r="A4070" i="1"/>
  <c r="B4070" i="1"/>
  <c r="A4071" i="1"/>
  <c r="B4071" i="1"/>
  <c r="A4072" i="1"/>
  <c r="B4072" i="1"/>
  <c r="A4073" i="1"/>
  <c r="B4073" i="1"/>
  <c r="A4074" i="1"/>
  <c r="B4074" i="1"/>
  <c r="A4075" i="1"/>
  <c r="B4075" i="1"/>
  <c r="A4076" i="1"/>
  <c r="B4076" i="1"/>
  <c r="A4077" i="1"/>
  <c r="B4077" i="1"/>
  <c r="A4078" i="1"/>
  <c r="B4078" i="1"/>
  <c r="A4079" i="1"/>
  <c r="B4079" i="1"/>
  <c r="A4080" i="1"/>
  <c r="B4080" i="1"/>
  <c r="A4081" i="1"/>
  <c r="B4081" i="1"/>
  <c r="A4082" i="1"/>
  <c r="B4082" i="1"/>
  <c r="A4083" i="1"/>
  <c r="B4083" i="1"/>
  <c r="A4084" i="1"/>
  <c r="B4084" i="1"/>
  <c r="A4085" i="1"/>
  <c r="B4085" i="1"/>
  <c r="A4086" i="1"/>
  <c r="B4086" i="1"/>
  <c r="A4087" i="1"/>
  <c r="B4087" i="1"/>
  <c r="A4088" i="1"/>
  <c r="B4088" i="1"/>
  <c r="A4089" i="1"/>
  <c r="B4089" i="1"/>
  <c r="A4090" i="1"/>
  <c r="B4090" i="1"/>
  <c r="A4091" i="1"/>
  <c r="B4091" i="1"/>
  <c r="A4092" i="1"/>
  <c r="B4092" i="1"/>
  <c r="A4093" i="1"/>
  <c r="B4093" i="1"/>
  <c r="A4094" i="1"/>
  <c r="B4094" i="1"/>
  <c r="A4095" i="1"/>
  <c r="B4095" i="1"/>
  <c r="A4096" i="1"/>
  <c r="B4096" i="1"/>
  <c r="A4097" i="1"/>
  <c r="B4097" i="1"/>
  <c r="A4098" i="1"/>
  <c r="B4098" i="1"/>
  <c r="A4099" i="1"/>
  <c r="B4099" i="1"/>
  <c r="A4100" i="1"/>
  <c r="B4100" i="1"/>
  <c r="A4101" i="1"/>
  <c r="B4101" i="1"/>
  <c r="A4102" i="1"/>
  <c r="B4102" i="1"/>
  <c r="A4103" i="1"/>
  <c r="B4103" i="1"/>
  <c r="A4104" i="1"/>
  <c r="B4104" i="1"/>
  <c r="A4105" i="1"/>
  <c r="B4105" i="1"/>
  <c r="A4106" i="1"/>
  <c r="B4106" i="1"/>
  <c r="A4107" i="1"/>
  <c r="B4107" i="1"/>
  <c r="A4108" i="1"/>
  <c r="B4108" i="1"/>
  <c r="A4109" i="1"/>
  <c r="B4109" i="1"/>
  <c r="A4110" i="1"/>
  <c r="B4110" i="1"/>
  <c r="A4111" i="1"/>
  <c r="B4111" i="1"/>
  <c r="A4112" i="1"/>
  <c r="B4112" i="1"/>
  <c r="A4113" i="1"/>
  <c r="B4113" i="1"/>
  <c r="A4114" i="1"/>
  <c r="B4114" i="1"/>
  <c r="A4115" i="1"/>
  <c r="B4115" i="1"/>
  <c r="A4116" i="1"/>
  <c r="B4116" i="1"/>
  <c r="A4117" i="1"/>
  <c r="B4117" i="1"/>
  <c r="A4118" i="1"/>
  <c r="B4118" i="1"/>
  <c r="A4119" i="1"/>
  <c r="B4119" i="1"/>
  <c r="A4120" i="1"/>
  <c r="B4120" i="1"/>
  <c r="A4121" i="1"/>
  <c r="B4121" i="1"/>
  <c r="A4122" i="1"/>
  <c r="B4122" i="1"/>
  <c r="A4123" i="1"/>
  <c r="B4123" i="1"/>
  <c r="A4124" i="1"/>
  <c r="B4124" i="1"/>
  <c r="A4125" i="1"/>
  <c r="B4125" i="1"/>
  <c r="A4126" i="1"/>
  <c r="B4126" i="1"/>
  <c r="A4127" i="1"/>
  <c r="B4127" i="1"/>
  <c r="A4128" i="1"/>
  <c r="B4128" i="1"/>
  <c r="A4129" i="1"/>
  <c r="B4129" i="1"/>
  <c r="A4130" i="1"/>
  <c r="B4130" i="1"/>
  <c r="A4131" i="1"/>
  <c r="B4131" i="1"/>
  <c r="A4132" i="1"/>
  <c r="B4132" i="1"/>
  <c r="A4133" i="1"/>
  <c r="B4133" i="1"/>
  <c r="A4134" i="1"/>
  <c r="B4134" i="1"/>
  <c r="A4135" i="1"/>
  <c r="B4135" i="1"/>
  <c r="A4136" i="1"/>
  <c r="B4136" i="1"/>
  <c r="A4137" i="1"/>
  <c r="B4137" i="1"/>
  <c r="A4138" i="1"/>
  <c r="B4138" i="1"/>
  <c r="A4139" i="1"/>
  <c r="B4139" i="1"/>
  <c r="A4140" i="1"/>
  <c r="B4140" i="1"/>
  <c r="A4141" i="1"/>
  <c r="B4141" i="1"/>
  <c r="A4142" i="1"/>
  <c r="B4142" i="1"/>
  <c r="A4143" i="1"/>
  <c r="B4143" i="1"/>
  <c r="A4144" i="1"/>
  <c r="B4144" i="1"/>
  <c r="A4145" i="1"/>
  <c r="B4145" i="1"/>
  <c r="A4146" i="1"/>
  <c r="B4146" i="1"/>
  <c r="A4147" i="1"/>
  <c r="B4147" i="1"/>
  <c r="A4148" i="1"/>
  <c r="B4148" i="1"/>
  <c r="A4149" i="1"/>
  <c r="B4149" i="1"/>
  <c r="A4150" i="1"/>
  <c r="B4150" i="1"/>
  <c r="A4151" i="1"/>
  <c r="B4151" i="1"/>
  <c r="A4152" i="1"/>
  <c r="B4152" i="1"/>
  <c r="A4153" i="1"/>
  <c r="B4153" i="1"/>
  <c r="A4154" i="1"/>
  <c r="B4154" i="1"/>
  <c r="A4155" i="1"/>
  <c r="B4155" i="1"/>
  <c r="A4156" i="1"/>
  <c r="B4156" i="1"/>
  <c r="A4157" i="1"/>
  <c r="B4157" i="1"/>
  <c r="A4158" i="1"/>
  <c r="B4158" i="1"/>
  <c r="A4159" i="1"/>
  <c r="B4159" i="1"/>
  <c r="A4160" i="1"/>
  <c r="B4160" i="1"/>
  <c r="A4161" i="1"/>
  <c r="B4161" i="1"/>
  <c r="A4162" i="1"/>
  <c r="B4162" i="1"/>
  <c r="A4163" i="1"/>
  <c r="B4163" i="1"/>
  <c r="A4164" i="1"/>
  <c r="B4164" i="1"/>
  <c r="A4165" i="1"/>
  <c r="B4165" i="1"/>
  <c r="A4166" i="1"/>
  <c r="B4166" i="1"/>
  <c r="A4167" i="1"/>
  <c r="B4167" i="1"/>
  <c r="A4168" i="1"/>
  <c r="B4168" i="1"/>
  <c r="A4169" i="1"/>
  <c r="B4169" i="1"/>
  <c r="A4170" i="1"/>
  <c r="B4170" i="1"/>
  <c r="A4171" i="1"/>
  <c r="B4171" i="1"/>
  <c r="A4172" i="1"/>
  <c r="B4172" i="1"/>
  <c r="A4173" i="1"/>
  <c r="B4173" i="1"/>
  <c r="A4174" i="1"/>
  <c r="B4174" i="1"/>
  <c r="A4175" i="1"/>
  <c r="B4175" i="1"/>
  <c r="A4176" i="1"/>
  <c r="B4176" i="1"/>
  <c r="A4177" i="1"/>
  <c r="B4177" i="1"/>
  <c r="A4178" i="1"/>
  <c r="B4178" i="1"/>
  <c r="A4179" i="1"/>
  <c r="B4179" i="1"/>
  <c r="A4180" i="1"/>
  <c r="B4180" i="1"/>
  <c r="A4181" i="1"/>
  <c r="B4181" i="1"/>
  <c r="A4182" i="1"/>
  <c r="B4182" i="1"/>
  <c r="A4183" i="1"/>
  <c r="B4183" i="1"/>
  <c r="A4184" i="1"/>
  <c r="B4184" i="1"/>
  <c r="A4185" i="1"/>
  <c r="B4185" i="1"/>
  <c r="A4186" i="1"/>
  <c r="B4186" i="1"/>
  <c r="A4187" i="1"/>
  <c r="B4187" i="1"/>
  <c r="A4188" i="1"/>
  <c r="B4188" i="1"/>
  <c r="A4189" i="1"/>
  <c r="B4189" i="1"/>
  <c r="A4190" i="1"/>
  <c r="B4190" i="1"/>
  <c r="A4191" i="1"/>
  <c r="B4191" i="1"/>
  <c r="A4192" i="1"/>
  <c r="B4192" i="1"/>
  <c r="A4193" i="1"/>
  <c r="B4193" i="1"/>
  <c r="A4194" i="1"/>
  <c r="B4194" i="1"/>
  <c r="A4195" i="1"/>
  <c r="B4195" i="1"/>
  <c r="A4196" i="1"/>
  <c r="B4196" i="1"/>
  <c r="A4197" i="1"/>
  <c r="B4197" i="1"/>
  <c r="A4198" i="1"/>
  <c r="B4198" i="1"/>
  <c r="A4199" i="1"/>
  <c r="B4199" i="1"/>
  <c r="A4200" i="1"/>
  <c r="B4200" i="1"/>
  <c r="A4201" i="1"/>
  <c r="B4201" i="1"/>
  <c r="A4202" i="1"/>
  <c r="B4202" i="1"/>
  <c r="A4203" i="1"/>
  <c r="B4203" i="1"/>
  <c r="A4204" i="1"/>
  <c r="B4204" i="1"/>
  <c r="A4205" i="1"/>
  <c r="B4205" i="1"/>
  <c r="A4206" i="1"/>
  <c r="B4206" i="1"/>
  <c r="A4207" i="1"/>
  <c r="B4207" i="1"/>
  <c r="A4208" i="1"/>
  <c r="B4208" i="1"/>
  <c r="A4209" i="1"/>
  <c r="B4209" i="1"/>
  <c r="A4210" i="1"/>
  <c r="B4210" i="1"/>
  <c r="A4211" i="1"/>
  <c r="B4211" i="1"/>
  <c r="A4212" i="1"/>
  <c r="B4212" i="1"/>
  <c r="A4213" i="1"/>
  <c r="B4213" i="1"/>
  <c r="A4214" i="1"/>
  <c r="B4214" i="1"/>
  <c r="A4215" i="1"/>
  <c r="B4215" i="1"/>
  <c r="A4216" i="1"/>
  <c r="B4216" i="1"/>
  <c r="A4217" i="1"/>
  <c r="B4217" i="1"/>
  <c r="A4218" i="1"/>
  <c r="B4218" i="1"/>
  <c r="A4219" i="1"/>
  <c r="B4219" i="1"/>
  <c r="A4220" i="1"/>
  <c r="B4220" i="1"/>
  <c r="A4221" i="1"/>
  <c r="B4221" i="1"/>
  <c r="A4222" i="1"/>
  <c r="B4222" i="1"/>
  <c r="A4223" i="1"/>
  <c r="B4223" i="1"/>
  <c r="A4224" i="1"/>
  <c r="B4224" i="1"/>
  <c r="A4225" i="1"/>
  <c r="B4225" i="1"/>
  <c r="A4226" i="1"/>
  <c r="B4226" i="1"/>
  <c r="A4227" i="1"/>
  <c r="B4227" i="1"/>
  <c r="A4228" i="1"/>
  <c r="B4228" i="1"/>
  <c r="A4229" i="1"/>
  <c r="B4229" i="1"/>
  <c r="A4230" i="1"/>
  <c r="B4230" i="1"/>
  <c r="A4231" i="1"/>
  <c r="B4231" i="1"/>
  <c r="A4232" i="1"/>
  <c r="B4232" i="1"/>
  <c r="A4233" i="1"/>
  <c r="B4233" i="1"/>
  <c r="A4234" i="1"/>
  <c r="B4234" i="1"/>
  <c r="A4235" i="1"/>
  <c r="B4235" i="1"/>
  <c r="A4236" i="1"/>
  <c r="B4236" i="1"/>
  <c r="A4237" i="1"/>
  <c r="B4237" i="1"/>
  <c r="A4238" i="1"/>
  <c r="B4238" i="1"/>
  <c r="A4239" i="1"/>
  <c r="B4239" i="1"/>
  <c r="A4240" i="1"/>
  <c r="B4240" i="1"/>
  <c r="A4241" i="1"/>
  <c r="B4241" i="1"/>
  <c r="A4242" i="1"/>
  <c r="B4242" i="1"/>
  <c r="A4243" i="1"/>
  <c r="B4243" i="1"/>
  <c r="A4244" i="1"/>
  <c r="B4244" i="1"/>
  <c r="A4245" i="1"/>
  <c r="B4245" i="1"/>
  <c r="A4246" i="1"/>
  <c r="B4246" i="1"/>
  <c r="A4247" i="1"/>
  <c r="B4247" i="1"/>
  <c r="A4248" i="1"/>
  <c r="B4248" i="1"/>
  <c r="A4249" i="1"/>
  <c r="B4249" i="1"/>
  <c r="A4250" i="1"/>
  <c r="B4250" i="1"/>
  <c r="A4251" i="1"/>
  <c r="B4251" i="1"/>
  <c r="A4252" i="1"/>
  <c r="B4252" i="1"/>
  <c r="A4253" i="1"/>
  <c r="B4253" i="1"/>
  <c r="A4254" i="1"/>
  <c r="B4254" i="1"/>
  <c r="A4255" i="1"/>
  <c r="B4255" i="1"/>
  <c r="A4256" i="1"/>
  <c r="B4256" i="1"/>
  <c r="A4257" i="1"/>
  <c r="B4257" i="1"/>
  <c r="A4258" i="1"/>
  <c r="B4258" i="1"/>
  <c r="A4259" i="1"/>
  <c r="B4259" i="1"/>
  <c r="A4260" i="1"/>
  <c r="B4260" i="1"/>
  <c r="A4261" i="1"/>
  <c r="B4261" i="1"/>
  <c r="A4262" i="1"/>
  <c r="B4262" i="1"/>
  <c r="A4263" i="1"/>
  <c r="B4263" i="1"/>
  <c r="A4264" i="1"/>
  <c r="B4264" i="1"/>
  <c r="A4265" i="1"/>
  <c r="B4265" i="1"/>
  <c r="A4266" i="1"/>
  <c r="B4266" i="1"/>
  <c r="A4267" i="1"/>
  <c r="B4267" i="1"/>
  <c r="A4268" i="1"/>
  <c r="B4268" i="1"/>
  <c r="A4269" i="1"/>
  <c r="B4269" i="1"/>
  <c r="A4270" i="1"/>
  <c r="B4270" i="1"/>
  <c r="A4271" i="1"/>
  <c r="B4271" i="1"/>
  <c r="A4272" i="1"/>
  <c r="B4272" i="1"/>
  <c r="A4273" i="1"/>
  <c r="B4273" i="1"/>
  <c r="A4274" i="1"/>
  <c r="B4274" i="1"/>
  <c r="A4275" i="1"/>
  <c r="B4275" i="1"/>
  <c r="A4276" i="1"/>
  <c r="B4276" i="1"/>
  <c r="A4277" i="1"/>
  <c r="B4277" i="1"/>
  <c r="A4278" i="1"/>
  <c r="B4278" i="1"/>
  <c r="A4279" i="1"/>
  <c r="B4279" i="1"/>
  <c r="A4280" i="1"/>
  <c r="B4280" i="1"/>
  <c r="A4281" i="1"/>
  <c r="B4281" i="1"/>
  <c r="A4282" i="1"/>
  <c r="B4282" i="1"/>
  <c r="A4283" i="1"/>
  <c r="B4283" i="1"/>
  <c r="A4284" i="1"/>
  <c r="B4284" i="1"/>
  <c r="A4285" i="1"/>
  <c r="B4285" i="1"/>
  <c r="A4286" i="1"/>
  <c r="B4286" i="1"/>
  <c r="A4287" i="1"/>
  <c r="B4287" i="1"/>
  <c r="A4288" i="1"/>
  <c r="B4288" i="1"/>
  <c r="A4289" i="1"/>
  <c r="B4289" i="1"/>
  <c r="A4290" i="1"/>
  <c r="B4290" i="1"/>
  <c r="A4291" i="1"/>
  <c r="B4291" i="1"/>
  <c r="A4292" i="1"/>
  <c r="B4292" i="1"/>
  <c r="A4293" i="1"/>
  <c r="B4293" i="1"/>
  <c r="A4294" i="1"/>
  <c r="B4294" i="1"/>
  <c r="A4295" i="1"/>
  <c r="B4295" i="1"/>
  <c r="A4296" i="1"/>
  <c r="B4296" i="1"/>
  <c r="A4297" i="1"/>
  <c r="B4297" i="1"/>
  <c r="A4298" i="1"/>
  <c r="B4298" i="1"/>
  <c r="A4299" i="1"/>
  <c r="B4299" i="1"/>
  <c r="A4300" i="1"/>
  <c r="B4300" i="1"/>
  <c r="A4301" i="1"/>
  <c r="B4301" i="1"/>
  <c r="A4302" i="1"/>
  <c r="B4302" i="1"/>
  <c r="A4303" i="1"/>
  <c r="B4303" i="1"/>
  <c r="A4304" i="1"/>
  <c r="B4304" i="1"/>
  <c r="A4305" i="1"/>
  <c r="B4305" i="1"/>
  <c r="A4306" i="1"/>
  <c r="B4306" i="1"/>
  <c r="A4307" i="1"/>
  <c r="B4307" i="1"/>
  <c r="A4308" i="1"/>
  <c r="B4308" i="1"/>
  <c r="A4309" i="1"/>
  <c r="B4309" i="1"/>
  <c r="A4310" i="1"/>
  <c r="B4310" i="1"/>
  <c r="A4311" i="1"/>
  <c r="B4311" i="1"/>
  <c r="A4312" i="1"/>
  <c r="B4312" i="1"/>
  <c r="A4313" i="1"/>
  <c r="B4313" i="1"/>
  <c r="A4314" i="1"/>
  <c r="B4314" i="1"/>
  <c r="A4315" i="1"/>
  <c r="B4315" i="1"/>
  <c r="A4316" i="1"/>
  <c r="B4316" i="1"/>
  <c r="A4317" i="1"/>
  <c r="B4317" i="1"/>
  <c r="A4318" i="1"/>
  <c r="B4318" i="1"/>
  <c r="A4319" i="1"/>
  <c r="B4319" i="1"/>
  <c r="A4320" i="1"/>
  <c r="B4320" i="1"/>
  <c r="A4321" i="1"/>
  <c r="B4321" i="1"/>
  <c r="A4322" i="1"/>
  <c r="B4322" i="1"/>
  <c r="A4323" i="1"/>
  <c r="B4323" i="1"/>
  <c r="A4324" i="1"/>
  <c r="B4324" i="1"/>
  <c r="A4325" i="1"/>
  <c r="B4325" i="1"/>
  <c r="A4326" i="1"/>
  <c r="B4326" i="1"/>
  <c r="A4327" i="1"/>
  <c r="B4327" i="1"/>
  <c r="A4328" i="1"/>
  <c r="B4328" i="1"/>
  <c r="A4329" i="1"/>
  <c r="B4329" i="1"/>
  <c r="A4330" i="1"/>
  <c r="B4330" i="1"/>
  <c r="A4331" i="1"/>
  <c r="B4331" i="1"/>
  <c r="A4332" i="1"/>
  <c r="B4332" i="1"/>
  <c r="A4333" i="1"/>
  <c r="B4333" i="1"/>
  <c r="A4334" i="1"/>
  <c r="B4334" i="1"/>
  <c r="A4335" i="1"/>
  <c r="B4335" i="1"/>
  <c r="A4336" i="1"/>
  <c r="B4336" i="1"/>
  <c r="A4337" i="1"/>
  <c r="B4337" i="1"/>
  <c r="A4338" i="1"/>
  <c r="B4338" i="1"/>
  <c r="A4339" i="1"/>
  <c r="B4339" i="1"/>
  <c r="A4340" i="1"/>
  <c r="B4340" i="1"/>
  <c r="A4341" i="1"/>
  <c r="B4341" i="1"/>
  <c r="A4342" i="1"/>
  <c r="B4342" i="1"/>
  <c r="A4343" i="1"/>
  <c r="B4343" i="1"/>
  <c r="A4344" i="1"/>
  <c r="B4344" i="1"/>
  <c r="A4345" i="1"/>
  <c r="B4345" i="1"/>
  <c r="A4346" i="1"/>
  <c r="B4346" i="1"/>
  <c r="A4347" i="1"/>
  <c r="B4347" i="1"/>
  <c r="A4348" i="1"/>
  <c r="B4348" i="1"/>
  <c r="A4349" i="1"/>
  <c r="B4349" i="1"/>
  <c r="A4350" i="1"/>
  <c r="B4350" i="1"/>
  <c r="A4351" i="1"/>
  <c r="B4351" i="1"/>
  <c r="A4352" i="1"/>
  <c r="B4352" i="1"/>
  <c r="A4353" i="1"/>
  <c r="B4353" i="1"/>
  <c r="A4354" i="1"/>
  <c r="B4354" i="1"/>
  <c r="A4355" i="1"/>
  <c r="B4355" i="1"/>
  <c r="A4356" i="1"/>
  <c r="B4356" i="1"/>
  <c r="A4357" i="1"/>
  <c r="B4357" i="1"/>
  <c r="A4358" i="1"/>
  <c r="B4358" i="1"/>
  <c r="A4359" i="1"/>
  <c r="B4359" i="1"/>
  <c r="A4360" i="1"/>
  <c r="B4360" i="1"/>
  <c r="A4361" i="1"/>
  <c r="B4361" i="1"/>
  <c r="A4362" i="1"/>
  <c r="B4362" i="1"/>
  <c r="A4363" i="1"/>
  <c r="B4363" i="1"/>
  <c r="A4364" i="1"/>
  <c r="B4364" i="1"/>
  <c r="A4365" i="1"/>
  <c r="B4365" i="1"/>
  <c r="A4366" i="1"/>
  <c r="B4366" i="1"/>
  <c r="A4367" i="1"/>
  <c r="B4367" i="1"/>
  <c r="A4368" i="1"/>
  <c r="B4368" i="1"/>
  <c r="A4369" i="1"/>
  <c r="B4369" i="1"/>
  <c r="A4370" i="1"/>
  <c r="B4370" i="1"/>
  <c r="A4371" i="1"/>
  <c r="B4371" i="1"/>
  <c r="A4372" i="1"/>
  <c r="B4372" i="1"/>
  <c r="A4373" i="1"/>
  <c r="B4373" i="1"/>
  <c r="A4374" i="1"/>
  <c r="B4374" i="1"/>
  <c r="A4375" i="1"/>
  <c r="B4375" i="1"/>
  <c r="A4376" i="1"/>
  <c r="B4376" i="1"/>
  <c r="A4377" i="1"/>
  <c r="B4377" i="1"/>
  <c r="A4378" i="1"/>
  <c r="B4378" i="1"/>
  <c r="A4379" i="1"/>
  <c r="B4379" i="1"/>
  <c r="A4380" i="1"/>
  <c r="B4380" i="1"/>
  <c r="A4381" i="1"/>
  <c r="B4381" i="1"/>
  <c r="A4382" i="1"/>
  <c r="B4382" i="1"/>
  <c r="A4383" i="1"/>
  <c r="B4383" i="1"/>
  <c r="A4384" i="1"/>
  <c r="B4384" i="1"/>
  <c r="A4385" i="1"/>
  <c r="B4385" i="1"/>
  <c r="A4386" i="1"/>
  <c r="B4386" i="1"/>
  <c r="A4387" i="1"/>
  <c r="B4387" i="1"/>
  <c r="A4388" i="1"/>
  <c r="B4388" i="1"/>
  <c r="A4389" i="1"/>
  <c r="B4389" i="1"/>
  <c r="A4390" i="1"/>
  <c r="B4390" i="1"/>
  <c r="A4391" i="1"/>
  <c r="B4391" i="1"/>
  <c r="A4392" i="1"/>
  <c r="B4392" i="1"/>
  <c r="A4393" i="1"/>
  <c r="B4393" i="1"/>
  <c r="A4394" i="1"/>
  <c r="B4394" i="1"/>
  <c r="A4395" i="1"/>
  <c r="B4395" i="1"/>
  <c r="A4396" i="1"/>
  <c r="B4396" i="1"/>
  <c r="A4397" i="1"/>
  <c r="B4397" i="1"/>
  <c r="A4398" i="1"/>
  <c r="B4398" i="1"/>
  <c r="A4399" i="1"/>
  <c r="B4399" i="1"/>
  <c r="A4400" i="1"/>
  <c r="B4400" i="1"/>
  <c r="A4401" i="1"/>
  <c r="B4401" i="1"/>
  <c r="A4402" i="1"/>
  <c r="B4402" i="1"/>
  <c r="A4403" i="1"/>
  <c r="B4403" i="1"/>
  <c r="A4404" i="1"/>
  <c r="B4404" i="1"/>
  <c r="A4405" i="1"/>
  <c r="B4405" i="1"/>
  <c r="A4406" i="1"/>
  <c r="B4406" i="1"/>
  <c r="A4407" i="1"/>
  <c r="B4407" i="1"/>
  <c r="A4408" i="1"/>
  <c r="B4408" i="1"/>
  <c r="A4409" i="1"/>
  <c r="B4409" i="1"/>
  <c r="A4410" i="1"/>
  <c r="B4410" i="1"/>
  <c r="A4411" i="1"/>
  <c r="B4411" i="1"/>
  <c r="A4412" i="1"/>
  <c r="B4412" i="1"/>
  <c r="A4413" i="1"/>
  <c r="B4413" i="1"/>
  <c r="A4414" i="1"/>
  <c r="B4414" i="1"/>
  <c r="A4415" i="1"/>
  <c r="B4415" i="1"/>
  <c r="A4416" i="1"/>
  <c r="B4416" i="1"/>
  <c r="A4417" i="1"/>
  <c r="B4417" i="1"/>
  <c r="A4418" i="1"/>
  <c r="B4418" i="1"/>
  <c r="A4419" i="1"/>
  <c r="B4419" i="1"/>
  <c r="A4420" i="1"/>
  <c r="B4420" i="1"/>
  <c r="A4421" i="1"/>
  <c r="B4421" i="1"/>
  <c r="A4422" i="1"/>
  <c r="B4422" i="1"/>
  <c r="A4423" i="1"/>
  <c r="B4423" i="1"/>
  <c r="A4424" i="1"/>
  <c r="B4424" i="1"/>
  <c r="A4425" i="1"/>
  <c r="B4425" i="1"/>
  <c r="A4426" i="1"/>
  <c r="B4426" i="1"/>
  <c r="A4427" i="1"/>
  <c r="B4427" i="1"/>
  <c r="A4428" i="1"/>
  <c r="B4428" i="1"/>
  <c r="A4429" i="1"/>
  <c r="B4429" i="1"/>
  <c r="A4430" i="1"/>
  <c r="B4430" i="1"/>
  <c r="A4431" i="1"/>
  <c r="B4431" i="1"/>
  <c r="A4432" i="1"/>
  <c r="B4432" i="1"/>
  <c r="A4433" i="1"/>
  <c r="B4433" i="1"/>
  <c r="A4434" i="1"/>
  <c r="B4434" i="1"/>
  <c r="A4435" i="1"/>
  <c r="B4435" i="1"/>
  <c r="A4436" i="1"/>
  <c r="B4436" i="1"/>
  <c r="A4437" i="1"/>
  <c r="B4437" i="1"/>
  <c r="A4438" i="1"/>
  <c r="B4438" i="1"/>
  <c r="A4439" i="1"/>
  <c r="B4439" i="1"/>
  <c r="A4440" i="1"/>
  <c r="B4440" i="1"/>
  <c r="A4441" i="1"/>
  <c r="B4441" i="1"/>
  <c r="A4442" i="1"/>
  <c r="B4442" i="1"/>
  <c r="A4443" i="1"/>
  <c r="B4443" i="1"/>
  <c r="A4444" i="1"/>
  <c r="B4444" i="1"/>
  <c r="A4445" i="1"/>
  <c r="B4445" i="1"/>
  <c r="A4446" i="1"/>
  <c r="B4446" i="1"/>
  <c r="A4447" i="1"/>
  <c r="B4447" i="1"/>
  <c r="A4448" i="1"/>
  <c r="B4448" i="1"/>
  <c r="A4449" i="1"/>
  <c r="B4449" i="1"/>
  <c r="A4450" i="1"/>
  <c r="B4450" i="1"/>
  <c r="A4451" i="1"/>
  <c r="B4451" i="1"/>
  <c r="A4452" i="1"/>
  <c r="B4452" i="1"/>
  <c r="A4453" i="1"/>
  <c r="B4453" i="1"/>
  <c r="A4454" i="1"/>
  <c r="B4454" i="1"/>
  <c r="A4455" i="1"/>
  <c r="B4455" i="1"/>
  <c r="A4456" i="1"/>
  <c r="B4456" i="1"/>
  <c r="A4457" i="1"/>
  <c r="B4457" i="1"/>
  <c r="A4458" i="1"/>
  <c r="B4458" i="1"/>
  <c r="A4459" i="1"/>
  <c r="B4459" i="1"/>
  <c r="A4460" i="1"/>
  <c r="B4460" i="1"/>
  <c r="A4461" i="1"/>
  <c r="B4461" i="1"/>
  <c r="A4462" i="1"/>
  <c r="B4462" i="1"/>
  <c r="A4463" i="1"/>
  <c r="B4463" i="1"/>
  <c r="A4464" i="1"/>
  <c r="B4464" i="1"/>
  <c r="A4465" i="1"/>
  <c r="B4465" i="1"/>
  <c r="A4466" i="1"/>
  <c r="B4466" i="1"/>
  <c r="A4467" i="1"/>
  <c r="B4467" i="1"/>
  <c r="A4468" i="1"/>
  <c r="B4468" i="1"/>
  <c r="A4469" i="1"/>
  <c r="B4469" i="1"/>
  <c r="A4470" i="1"/>
  <c r="B4470" i="1"/>
  <c r="A4471" i="1"/>
  <c r="B4471" i="1"/>
  <c r="A4472" i="1"/>
  <c r="B4472" i="1"/>
  <c r="A4473" i="1"/>
  <c r="B4473" i="1"/>
  <c r="A4474" i="1"/>
  <c r="B4474" i="1"/>
  <c r="A4475" i="1"/>
  <c r="B4475" i="1"/>
  <c r="A4476" i="1"/>
  <c r="B4476" i="1"/>
  <c r="A4477" i="1"/>
  <c r="B4477" i="1"/>
  <c r="A4478" i="1"/>
  <c r="B4478" i="1"/>
  <c r="A4479" i="1"/>
  <c r="B4479" i="1"/>
  <c r="A4480" i="1"/>
  <c r="B4480" i="1"/>
  <c r="A4481" i="1"/>
  <c r="B4481" i="1"/>
  <c r="A4482" i="1"/>
  <c r="B4482" i="1"/>
  <c r="A4483" i="1"/>
  <c r="B4483" i="1"/>
  <c r="A4484" i="1"/>
  <c r="B4484" i="1"/>
  <c r="A4485" i="1"/>
  <c r="B4485" i="1"/>
  <c r="A4486" i="1"/>
  <c r="B4486" i="1"/>
  <c r="A4487" i="1"/>
  <c r="B4487" i="1"/>
  <c r="A4488" i="1"/>
  <c r="B4488" i="1"/>
  <c r="A4489" i="1"/>
  <c r="B4489" i="1"/>
  <c r="A4490" i="1"/>
  <c r="B4490" i="1"/>
  <c r="A4491" i="1"/>
  <c r="B4491" i="1"/>
  <c r="A4492" i="1"/>
  <c r="B4492" i="1"/>
  <c r="A4493" i="1"/>
  <c r="B4493" i="1"/>
  <c r="A4494" i="1"/>
  <c r="B4494" i="1"/>
  <c r="A4495" i="1"/>
  <c r="B4495" i="1"/>
  <c r="A4496" i="1"/>
  <c r="B4496" i="1"/>
  <c r="A4497" i="1"/>
  <c r="B4497" i="1"/>
  <c r="A4498" i="1"/>
  <c r="B4498" i="1"/>
  <c r="A4499" i="1"/>
  <c r="B4499" i="1"/>
  <c r="A4500" i="1"/>
  <c r="B4500" i="1"/>
  <c r="A4501" i="1"/>
  <c r="B4501" i="1"/>
  <c r="A4502" i="1"/>
  <c r="B4502" i="1"/>
  <c r="A4503" i="1"/>
  <c r="B4503" i="1"/>
  <c r="A4504" i="1"/>
  <c r="B4504" i="1"/>
  <c r="A4505" i="1"/>
  <c r="B4505" i="1"/>
  <c r="A4506" i="1"/>
  <c r="B4506" i="1"/>
  <c r="A4507" i="1"/>
  <c r="B4507" i="1"/>
  <c r="A4508" i="1"/>
  <c r="B4508" i="1"/>
  <c r="A4509" i="1"/>
  <c r="B4509" i="1"/>
  <c r="A4510" i="1"/>
  <c r="B4510" i="1"/>
  <c r="A4511" i="1"/>
  <c r="B4511" i="1"/>
  <c r="A4512" i="1"/>
  <c r="B4512" i="1"/>
  <c r="A4513" i="1"/>
  <c r="B4513" i="1"/>
  <c r="A4514" i="1"/>
  <c r="B4514" i="1"/>
  <c r="A4515" i="1"/>
  <c r="B4515" i="1"/>
  <c r="A4516" i="1"/>
  <c r="B4516" i="1"/>
  <c r="A4517" i="1"/>
  <c r="B4517" i="1"/>
  <c r="A4518" i="1"/>
  <c r="B4518" i="1"/>
  <c r="A4519" i="1"/>
  <c r="B4519" i="1"/>
  <c r="A4520" i="1"/>
  <c r="B4520" i="1"/>
  <c r="A4521" i="1"/>
  <c r="B4521" i="1"/>
  <c r="A4522" i="1"/>
  <c r="B4522" i="1"/>
  <c r="A4523" i="1"/>
  <c r="B4523" i="1"/>
  <c r="A4524" i="1"/>
  <c r="B4524" i="1"/>
  <c r="A4525" i="1"/>
  <c r="B4525" i="1"/>
  <c r="A4526" i="1"/>
  <c r="B4526" i="1"/>
  <c r="A4527" i="1"/>
  <c r="B4527" i="1"/>
  <c r="A4528" i="1"/>
  <c r="B4528" i="1"/>
  <c r="A4529" i="1"/>
  <c r="B4529" i="1"/>
  <c r="A4530" i="1"/>
  <c r="B4530" i="1"/>
  <c r="A4531" i="1"/>
  <c r="B4531" i="1"/>
  <c r="A4532" i="1"/>
  <c r="B4532" i="1"/>
  <c r="A4533" i="1"/>
  <c r="B4533" i="1"/>
  <c r="A4534" i="1"/>
  <c r="B4534" i="1"/>
  <c r="A4535" i="1"/>
  <c r="B4535" i="1"/>
  <c r="A4536" i="1"/>
  <c r="B4536" i="1"/>
  <c r="A4537" i="1"/>
  <c r="B4537" i="1"/>
  <c r="A4538" i="1"/>
  <c r="B4538" i="1"/>
  <c r="A4539" i="1"/>
  <c r="B4539" i="1"/>
  <c r="A4540" i="1"/>
  <c r="B4540" i="1"/>
  <c r="A4541" i="1"/>
  <c r="B4541" i="1"/>
  <c r="A4542" i="1"/>
  <c r="B4542" i="1"/>
  <c r="A4543" i="1"/>
  <c r="B4543" i="1"/>
  <c r="A4544" i="1"/>
  <c r="B4544" i="1"/>
  <c r="A4545" i="1"/>
  <c r="B4545" i="1"/>
  <c r="A4546" i="1"/>
  <c r="B4546" i="1"/>
  <c r="A4547" i="1"/>
  <c r="B4547" i="1"/>
  <c r="A4548" i="1"/>
  <c r="B4548" i="1"/>
  <c r="A4549" i="1"/>
  <c r="B4549" i="1"/>
  <c r="A4550" i="1"/>
  <c r="B4550" i="1"/>
  <c r="A4551" i="1"/>
  <c r="B4551" i="1"/>
  <c r="A4552" i="1"/>
  <c r="B4552" i="1"/>
  <c r="A4553" i="1"/>
  <c r="B4553" i="1"/>
  <c r="A4554" i="1"/>
  <c r="B4554" i="1"/>
  <c r="A4555" i="1"/>
  <c r="B4555" i="1"/>
  <c r="A4556" i="1"/>
  <c r="B4556" i="1"/>
  <c r="A4557" i="1"/>
  <c r="B4557" i="1"/>
  <c r="A4558" i="1"/>
  <c r="B4558" i="1"/>
  <c r="A4559" i="1"/>
  <c r="B4559" i="1"/>
  <c r="A4560" i="1"/>
  <c r="B4560" i="1"/>
  <c r="A4561" i="1"/>
  <c r="B4561" i="1"/>
  <c r="A4562" i="1"/>
  <c r="B4562" i="1"/>
  <c r="A4563" i="1"/>
  <c r="B4563" i="1"/>
  <c r="A4564" i="1"/>
  <c r="B4564" i="1"/>
  <c r="A4565" i="1"/>
  <c r="B4565" i="1"/>
  <c r="A4566" i="1"/>
  <c r="B4566" i="1"/>
  <c r="A4567" i="1"/>
  <c r="B4567" i="1"/>
  <c r="A4568" i="1"/>
  <c r="B4568" i="1"/>
  <c r="A4569" i="1"/>
  <c r="B4569" i="1"/>
  <c r="A4570" i="1"/>
  <c r="B4570" i="1"/>
  <c r="A4571" i="1"/>
  <c r="B4571" i="1"/>
  <c r="A4572" i="1"/>
  <c r="B4572" i="1"/>
  <c r="A4573" i="1"/>
  <c r="B4573" i="1"/>
  <c r="A4574" i="1"/>
  <c r="B4574" i="1"/>
  <c r="A4575" i="1"/>
  <c r="B4575" i="1"/>
  <c r="A4576" i="1"/>
  <c r="B4576" i="1"/>
  <c r="A4577" i="1"/>
  <c r="B4577" i="1"/>
  <c r="A4578" i="1"/>
  <c r="B4578" i="1"/>
  <c r="A4579" i="1"/>
  <c r="B4579" i="1"/>
  <c r="A4580" i="1"/>
  <c r="B4580" i="1"/>
  <c r="A4581" i="1"/>
  <c r="B4581" i="1"/>
  <c r="A4582" i="1"/>
  <c r="B4582" i="1"/>
  <c r="A4583" i="1"/>
  <c r="B4583" i="1"/>
  <c r="A4584" i="1"/>
  <c r="B4584" i="1"/>
  <c r="A4585" i="1"/>
  <c r="B4585" i="1"/>
  <c r="A4586" i="1"/>
  <c r="B4586" i="1"/>
  <c r="A4587" i="1"/>
  <c r="B4587" i="1"/>
  <c r="A4588" i="1"/>
  <c r="B4588" i="1"/>
  <c r="A4589" i="1"/>
  <c r="B4589" i="1"/>
  <c r="A4590" i="1"/>
  <c r="B4590" i="1"/>
  <c r="A4591" i="1"/>
  <c r="B4591" i="1"/>
  <c r="A4592" i="1"/>
  <c r="B4592" i="1"/>
  <c r="A4593" i="1"/>
  <c r="B4593" i="1"/>
  <c r="A4594" i="1"/>
  <c r="B4594" i="1"/>
  <c r="A4595" i="1"/>
  <c r="B4595" i="1"/>
  <c r="A4596" i="1"/>
  <c r="B4596" i="1"/>
  <c r="A4597" i="1"/>
  <c r="B4597" i="1"/>
  <c r="A4598" i="1"/>
  <c r="B4598" i="1"/>
  <c r="A4599" i="1"/>
  <c r="B4599" i="1"/>
  <c r="A4600" i="1"/>
  <c r="B4600" i="1"/>
  <c r="A4601" i="1"/>
  <c r="B4601" i="1"/>
  <c r="A4602" i="1"/>
  <c r="B4602" i="1"/>
  <c r="A4603" i="1"/>
  <c r="B4603" i="1"/>
  <c r="A4604" i="1"/>
  <c r="B4604" i="1"/>
  <c r="A4605" i="1"/>
  <c r="B4605" i="1"/>
  <c r="A4606" i="1"/>
  <c r="B4606" i="1"/>
  <c r="A4607" i="1"/>
  <c r="B4607" i="1"/>
  <c r="A4608" i="1"/>
  <c r="B4608" i="1"/>
  <c r="A4609" i="1"/>
  <c r="B4609" i="1"/>
  <c r="A4610" i="1"/>
  <c r="B4610" i="1"/>
  <c r="A4611" i="1"/>
  <c r="B4611" i="1"/>
  <c r="A4612" i="1"/>
  <c r="B4612" i="1"/>
  <c r="A4613" i="1"/>
  <c r="B4613" i="1"/>
  <c r="A4614" i="1"/>
  <c r="B4614" i="1"/>
  <c r="A4615" i="1"/>
  <c r="B4615" i="1"/>
  <c r="A4616" i="1"/>
  <c r="B4616" i="1"/>
  <c r="A4617" i="1"/>
  <c r="B4617" i="1"/>
  <c r="A4618" i="1"/>
  <c r="B4618" i="1"/>
  <c r="A4619" i="1"/>
  <c r="B4619" i="1"/>
  <c r="A4620" i="1"/>
  <c r="B4620" i="1"/>
  <c r="A4621" i="1"/>
  <c r="B4621" i="1"/>
  <c r="A4622" i="1"/>
  <c r="B4622" i="1"/>
  <c r="A4623" i="1"/>
  <c r="B4623" i="1"/>
  <c r="A4624" i="1"/>
  <c r="B4624" i="1"/>
  <c r="A4625" i="1"/>
  <c r="B4625" i="1"/>
  <c r="A4626" i="1"/>
  <c r="B4626" i="1"/>
  <c r="A4627" i="1"/>
  <c r="B4627" i="1"/>
  <c r="A4628" i="1"/>
  <c r="B4628" i="1"/>
  <c r="A4629" i="1"/>
  <c r="B4629" i="1"/>
  <c r="A4630" i="1"/>
  <c r="B4630" i="1"/>
  <c r="A4631" i="1"/>
  <c r="B4631" i="1"/>
  <c r="A4632" i="1"/>
  <c r="B4632" i="1"/>
  <c r="A4633" i="1"/>
  <c r="B4633" i="1"/>
  <c r="A4634" i="1"/>
  <c r="B4634" i="1"/>
  <c r="A4635" i="1"/>
  <c r="B4635" i="1"/>
  <c r="A4636" i="1"/>
  <c r="B4636" i="1"/>
  <c r="A4637" i="1"/>
  <c r="B4637" i="1"/>
  <c r="A4638" i="1"/>
  <c r="B4638" i="1"/>
  <c r="A4639" i="1"/>
  <c r="B4639" i="1"/>
  <c r="A4640" i="1"/>
  <c r="B4640" i="1"/>
  <c r="A4641" i="1"/>
  <c r="B4641" i="1"/>
  <c r="A4642" i="1"/>
  <c r="B4642" i="1"/>
  <c r="A4643" i="1"/>
  <c r="B4643" i="1"/>
  <c r="A4644" i="1"/>
  <c r="B4644" i="1"/>
  <c r="A4645" i="1"/>
  <c r="B4645" i="1"/>
  <c r="A4646" i="1"/>
  <c r="B4646" i="1"/>
  <c r="A4647" i="1"/>
  <c r="B4647" i="1"/>
  <c r="A4648" i="1"/>
  <c r="B4648" i="1"/>
  <c r="A4649" i="1"/>
  <c r="B4649" i="1"/>
  <c r="A4650" i="1"/>
  <c r="B4650" i="1"/>
  <c r="A4651" i="1"/>
  <c r="B4651" i="1"/>
  <c r="A4652" i="1"/>
  <c r="B4652" i="1"/>
  <c r="A4653" i="1"/>
  <c r="B4653" i="1"/>
  <c r="A4654" i="1"/>
  <c r="B4654" i="1"/>
  <c r="A4655" i="1"/>
  <c r="B4655" i="1"/>
  <c r="A4656" i="1"/>
  <c r="B4656" i="1"/>
  <c r="A4657" i="1"/>
  <c r="B4657" i="1"/>
  <c r="A4658" i="1"/>
  <c r="B4658" i="1"/>
  <c r="A4659" i="1"/>
  <c r="B4659" i="1"/>
  <c r="A4660" i="1"/>
  <c r="B4660" i="1"/>
  <c r="A4661" i="1"/>
  <c r="B4661" i="1"/>
  <c r="A4662" i="1"/>
  <c r="B4662" i="1"/>
  <c r="A4663" i="1"/>
  <c r="B4663" i="1"/>
  <c r="A4664" i="1"/>
  <c r="B4664" i="1"/>
  <c r="A4665" i="1"/>
  <c r="B4665" i="1"/>
  <c r="A4666" i="1"/>
  <c r="B4666" i="1"/>
  <c r="A4667" i="1"/>
  <c r="B4667" i="1"/>
  <c r="A4668" i="1"/>
  <c r="B4668" i="1"/>
  <c r="A4669" i="1"/>
  <c r="B4669" i="1"/>
  <c r="A4670" i="1"/>
  <c r="B4670" i="1"/>
  <c r="A4671" i="1"/>
  <c r="B4671" i="1"/>
  <c r="A4672" i="1"/>
  <c r="B4672" i="1"/>
  <c r="A4673" i="1"/>
  <c r="B4673" i="1"/>
  <c r="A4674" i="1"/>
  <c r="B4674" i="1"/>
  <c r="A4675" i="1"/>
  <c r="B4675" i="1"/>
  <c r="A4676" i="1"/>
  <c r="B4676" i="1"/>
  <c r="A4677" i="1"/>
  <c r="B4677" i="1"/>
  <c r="A4678" i="1"/>
  <c r="B4678" i="1"/>
  <c r="A4679" i="1"/>
  <c r="B4679" i="1"/>
  <c r="A4680" i="1"/>
  <c r="B4680" i="1"/>
  <c r="A4681" i="1"/>
  <c r="B4681" i="1"/>
  <c r="A4682" i="1"/>
  <c r="B4682" i="1"/>
  <c r="A4683" i="1"/>
  <c r="B4683" i="1"/>
  <c r="A4684" i="1"/>
  <c r="B4684" i="1"/>
  <c r="A4685" i="1"/>
  <c r="B4685" i="1"/>
  <c r="A4686" i="1"/>
  <c r="B4686" i="1"/>
  <c r="A4687" i="1"/>
  <c r="B4687" i="1"/>
  <c r="A4688" i="1"/>
  <c r="B4688" i="1"/>
  <c r="A4689" i="1"/>
  <c r="B4689" i="1"/>
  <c r="A4690" i="1"/>
  <c r="B4690" i="1"/>
  <c r="A4691" i="1"/>
  <c r="B4691" i="1"/>
  <c r="A4692" i="1"/>
  <c r="B4692" i="1"/>
  <c r="A4693" i="1"/>
  <c r="B4693" i="1"/>
  <c r="A4694" i="1"/>
  <c r="B4694" i="1"/>
  <c r="A4695" i="1"/>
  <c r="B4695" i="1"/>
  <c r="A4696" i="1"/>
  <c r="B4696" i="1"/>
  <c r="A4697" i="1"/>
  <c r="B4697" i="1"/>
  <c r="A4698" i="1"/>
  <c r="B4698" i="1"/>
  <c r="A4699" i="1"/>
  <c r="B4699" i="1"/>
  <c r="A4700" i="1"/>
  <c r="B4700" i="1"/>
  <c r="A4701" i="1"/>
  <c r="B4701" i="1"/>
  <c r="A4702" i="1"/>
  <c r="B4702" i="1"/>
  <c r="A4703" i="1"/>
  <c r="B4703" i="1"/>
  <c r="A4704" i="1"/>
  <c r="B4704" i="1"/>
  <c r="A4705" i="1"/>
  <c r="B4705" i="1"/>
  <c r="A4706" i="1"/>
  <c r="B4706" i="1"/>
  <c r="A4707" i="1"/>
  <c r="B4707" i="1"/>
  <c r="A4708" i="1"/>
  <c r="B4708" i="1"/>
  <c r="A4709" i="1"/>
  <c r="B4709" i="1"/>
  <c r="A4710" i="1"/>
  <c r="B4710" i="1"/>
  <c r="A4711" i="1"/>
  <c r="B4711" i="1"/>
  <c r="A4712" i="1"/>
  <c r="B4712" i="1"/>
  <c r="A4713" i="1"/>
  <c r="B4713" i="1"/>
  <c r="A4714" i="1"/>
  <c r="B4714" i="1"/>
  <c r="A4715" i="1"/>
  <c r="B4715" i="1"/>
  <c r="A4716" i="1"/>
  <c r="B4716" i="1"/>
  <c r="A4717" i="1"/>
  <c r="B4717" i="1"/>
  <c r="A4718" i="1"/>
  <c r="B4718" i="1"/>
  <c r="A4719" i="1"/>
  <c r="B4719" i="1"/>
  <c r="A4720" i="1"/>
  <c r="B4720" i="1"/>
  <c r="A4721" i="1"/>
  <c r="B4721" i="1"/>
  <c r="A4722" i="1"/>
  <c r="B4722" i="1"/>
  <c r="A4723" i="1"/>
  <c r="B4723" i="1"/>
  <c r="A4724" i="1"/>
  <c r="B4724" i="1"/>
  <c r="A4725" i="1"/>
  <c r="B4725" i="1"/>
  <c r="A4726" i="1"/>
  <c r="B4726" i="1"/>
  <c r="A4727" i="1"/>
  <c r="B4727" i="1"/>
  <c r="A4728" i="1"/>
  <c r="B4728" i="1"/>
  <c r="A4729" i="1"/>
  <c r="B4729" i="1"/>
  <c r="A4730" i="1"/>
  <c r="B4730" i="1"/>
  <c r="A4731" i="1"/>
  <c r="B4731" i="1"/>
  <c r="A4732" i="1"/>
  <c r="B4732" i="1"/>
  <c r="A4733" i="1"/>
  <c r="B4733" i="1"/>
  <c r="A4734" i="1"/>
  <c r="B4734" i="1"/>
  <c r="A4735" i="1"/>
  <c r="B4735" i="1"/>
  <c r="A4736" i="1"/>
  <c r="B4736" i="1"/>
  <c r="A4737" i="1"/>
  <c r="B4737" i="1"/>
  <c r="A4738" i="1"/>
  <c r="B4738" i="1"/>
  <c r="A4739" i="1"/>
  <c r="B4739" i="1"/>
  <c r="A4740" i="1"/>
  <c r="B4740" i="1"/>
  <c r="A4741" i="1"/>
  <c r="B4741" i="1"/>
  <c r="A4742" i="1"/>
  <c r="B4742" i="1"/>
  <c r="A4743" i="1"/>
  <c r="B4743" i="1"/>
  <c r="A4744" i="1"/>
  <c r="B4744" i="1"/>
  <c r="A4745" i="1"/>
  <c r="B4745" i="1"/>
  <c r="A4746" i="1"/>
  <c r="B4746" i="1"/>
  <c r="A4747" i="1"/>
  <c r="B4747" i="1"/>
  <c r="A4748" i="1"/>
  <c r="B4748" i="1"/>
  <c r="A4749" i="1"/>
  <c r="B4749" i="1"/>
  <c r="A4750" i="1"/>
  <c r="B4750" i="1"/>
  <c r="A4751" i="1"/>
  <c r="B4751" i="1"/>
  <c r="A4752" i="1"/>
  <c r="B4752" i="1"/>
  <c r="A4753" i="1"/>
  <c r="B4753" i="1"/>
  <c r="A4754" i="1"/>
  <c r="B4754" i="1"/>
  <c r="A4755" i="1"/>
  <c r="B4755" i="1"/>
  <c r="A4756" i="1"/>
  <c r="B4756" i="1"/>
  <c r="A4757" i="1"/>
  <c r="B4757" i="1"/>
  <c r="A4758" i="1"/>
  <c r="B4758" i="1"/>
  <c r="A4759" i="1"/>
  <c r="B4759" i="1"/>
  <c r="A4760" i="1"/>
  <c r="B4760" i="1"/>
  <c r="A4761" i="1"/>
  <c r="B4761" i="1"/>
  <c r="A4762" i="1"/>
  <c r="B4762" i="1"/>
  <c r="A4763" i="1"/>
  <c r="B4763" i="1"/>
  <c r="A4764" i="1"/>
  <c r="B4764" i="1"/>
  <c r="A4765" i="1"/>
  <c r="B4765" i="1"/>
  <c r="A4766" i="1"/>
  <c r="B4766" i="1"/>
  <c r="A4767" i="1"/>
  <c r="B4767" i="1"/>
  <c r="A4768" i="1"/>
  <c r="B4768" i="1"/>
  <c r="A4769" i="1"/>
  <c r="B4769" i="1"/>
  <c r="A4770" i="1"/>
  <c r="B4770" i="1"/>
  <c r="A4771" i="1"/>
  <c r="B4771" i="1"/>
  <c r="A4772" i="1"/>
  <c r="B4772" i="1"/>
  <c r="A4773" i="1"/>
  <c r="B4773" i="1"/>
  <c r="A4774" i="1"/>
  <c r="B4774" i="1"/>
  <c r="A4775" i="1"/>
  <c r="B4775" i="1"/>
  <c r="A4776" i="1"/>
  <c r="B4776" i="1"/>
  <c r="A4777" i="1"/>
  <c r="B4777" i="1"/>
  <c r="A4778" i="1"/>
  <c r="B4778" i="1"/>
  <c r="A4779" i="1"/>
  <c r="B4779" i="1"/>
  <c r="A4780" i="1"/>
  <c r="B4780" i="1"/>
  <c r="A4781" i="1"/>
  <c r="B4781" i="1"/>
  <c r="A4782" i="1"/>
  <c r="B4782" i="1"/>
  <c r="A4783" i="1"/>
  <c r="B4783" i="1"/>
  <c r="A4784" i="1"/>
  <c r="B4784" i="1"/>
  <c r="A4785" i="1"/>
  <c r="B4785" i="1"/>
  <c r="A4786" i="1"/>
  <c r="B4786" i="1"/>
  <c r="A4787" i="1"/>
  <c r="B4787" i="1"/>
  <c r="A4788" i="1"/>
  <c r="B4788" i="1"/>
  <c r="A4789" i="1"/>
  <c r="B4789" i="1"/>
  <c r="A4790" i="1"/>
  <c r="B4790" i="1"/>
  <c r="A4791" i="1"/>
  <c r="B4791" i="1"/>
  <c r="A4792" i="1"/>
  <c r="B4792" i="1"/>
  <c r="A4793" i="1"/>
  <c r="B4793" i="1"/>
  <c r="A4794" i="1"/>
  <c r="B4794" i="1"/>
  <c r="A4795" i="1"/>
  <c r="B4795" i="1"/>
  <c r="A4796" i="1"/>
  <c r="B4796" i="1"/>
  <c r="A4797" i="1"/>
  <c r="B4797" i="1"/>
  <c r="A4798" i="1"/>
  <c r="B4798" i="1"/>
  <c r="A4799" i="1"/>
  <c r="B4799" i="1"/>
  <c r="A4800" i="1"/>
  <c r="B4800" i="1"/>
  <c r="A4801" i="1"/>
  <c r="B4801" i="1"/>
  <c r="A4802" i="1"/>
  <c r="B4802" i="1"/>
  <c r="A4803" i="1"/>
  <c r="B4803" i="1"/>
  <c r="A4804" i="1"/>
  <c r="B4804" i="1"/>
  <c r="A4805" i="1"/>
  <c r="B4805" i="1"/>
  <c r="A4806" i="1"/>
  <c r="B4806" i="1"/>
  <c r="A4807" i="1"/>
  <c r="B4807" i="1"/>
  <c r="A4808" i="1"/>
  <c r="B4808" i="1"/>
  <c r="A4809" i="1"/>
  <c r="B4809" i="1"/>
  <c r="A4810" i="1"/>
  <c r="B4810" i="1"/>
  <c r="A4811" i="1"/>
  <c r="B4811" i="1"/>
  <c r="A4812" i="1"/>
  <c r="B4812" i="1"/>
  <c r="A4813" i="1"/>
  <c r="B4813" i="1"/>
  <c r="A4814" i="1"/>
  <c r="B4814" i="1"/>
  <c r="A4815" i="1"/>
  <c r="B4815" i="1"/>
  <c r="A4816" i="1"/>
  <c r="B4816" i="1"/>
  <c r="A4817" i="1"/>
  <c r="B4817" i="1"/>
  <c r="A4818" i="1"/>
  <c r="B4818" i="1"/>
  <c r="A4819" i="1"/>
  <c r="B4819" i="1"/>
  <c r="A4820" i="1"/>
  <c r="B4820" i="1"/>
  <c r="A4821" i="1"/>
  <c r="B4821" i="1"/>
  <c r="A4822" i="1"/>
  <c r="B4822" i="1"/>
  <c r="A4823" i="1"/>
  <c r="B4823" i="1"/>
  <c r="A4824" i="1"/>
  <c r="B4824" i="1"/>
  <c r="A4825" i="1"/>
  <c r="B4825" i="1"/>
  <c r="A4826" i="1"/>
  <c r="B4826" i="1"/>
  <c r="A4827" i="1"/>
  <c r="B4827" i="1"/>
  <c r="A4828" i="1"/>
  <c r="B4828" i="1"/>
  <c r="A4829" i="1"/>
  <c r="B4829" i="1"/>
  <c r="A4830" i="1"/>
  <c r="B4830" i="1"/>
  <c r="A4831" i="1"/>
  <c r="B4831" i="1"/>
  <c r="A4832" i="1"/>
  <c r="B4832" i="1"/>
  <c r="A4833" i="1"/>
  <c r="B4833" i="1"/>
  <c r="A4834" i="1"/>
  <c r="B4834" i="1"/>
  <c r="A4835" i="1"/>
  <c r="B4835" i="1"/>
  <c r="A4836" i="1"/>
  <c r="B4836" i="1"/>
  <c r="A4837" i="1"/>
  <c r="B4837" i="1"/>
  <c r="A4838" i="1"/>
  <c r="B4838" i="1"/>
  <c r="A4839" i="1"/>
  <c r="B4839" i="1"/>
  <c r="A4840" i="1"/>
  <c r="B4840" i="1"/>
  <c r="A4841" i="1"/>
  <c r="B4841" i="1"/>
  <c r="A4842" i="1"/>
  <c r="B4842" i="1"/>
  <c r="A4843" i="1"/>
  <c r="B4843" i="1"/>
  <c r="A4844" i="1"/>
  <c r="B4844" i="1"/>
  <c r="A4845" i="1"/>
  <c r="B4845" i="1"/>
  <c r="A4846" i="1"/>
  <c r="B4846" i="1"/>
  <c r="A4847" i="1"/>
  <c r="B4847" i="1"/>
  <c r="A4848" i="1"/>
  <c r="B4848" i="1"/>
  <c r="A4849" i="1"/>
  <c r="B4849" i="1"/>
  <c r="A4850" i="1"/>
  <c r="B4850" i="1"/>
  <c r="A4851" i="1"/>
  <c r="B4851" i="1"/>
  <c r="A4852" i="1"/>
  <c r="B4852" i="1"/>
  <c r="A4853" i="1"/>
  <c r="B4853" i="1"/>
  <c r="A4854" i="1"/>
  <c r="B4854" i="1"/>
  <c r="A4855" i="1"/>
  <c r="B4855" i="1"/>
  <c r="A4856" i="1"/>
  <c r="B4856" i="1"/>
  <c r="A4857" i="1"/>
  <c r="B4857" i="1"/>
  <c r="A4858" i="1"/>
  <c r="B4858" i="1"/>
  <c r="A4859" i="1"/>
  <c r="B4859" i="1"/>
  <c r="A4860" i="1"/>
  <c r="B4860" i="1"/>
  <c r="A4861" i="1"/>
  <c r="B4861" i="1"/>
  <c r="A4862" i="1"/>
  <c r="B4862" i="1"/>
  <c r="A4863" i="1"/>
  <c r="B4863" i="1"/>
  <c r="A4864" i="1"/>
  <c r="B4864" i="1"/>
  <c r="A4865" i="1"/>
  <c r="B4865" i="1"/>
  <c r="A4866" i="1"/>
  <c r="B4866" i="1"/>
  <c r="A4867" i="1"/>
  <c r="B4867" i="1"/>
  <c r="A4868" i="1"/>
  <c r="B4868" i="1"/>
  <c r="A4869" i="1"/>
  <c r="B4869" i="1"/>
  <c r="A4870" i="1"/>
  <c r="B4870" i="1"/>
  <c r="A4871" i="1"/>
  <c r="B4871" i="1"/>
  <c r="A4872" i="1"/>
  <c r="B4872" i="1"/>
  <c r="A4873" i="1"/>
  <c r="B4873" i="1"/>
  <c r="A4874" i="1"/>
  <c r="B4874" i="1"/>
  <c r="A4875" i="1"/>
  <c r="B4875" i="1"/>
  <c r="A4876" i="1"/>
  <c r="B4876" i="1"/>
  <c r="A4877" i="1"/>
  <c r="B4877" i="1"/>
  <c r="A4878" i="1"/>
  <c r="B4878" i="1"/>
  <c r="A4879" i="1"/>
  <c r="B4879" i="1"/>
  <c r="A4880" i="1"/>
  <c r="B4880" i="1"/>
  <c r="A4881" i="1"/>
  <c r="B4881" i="1"/>
  <c r="A4882" i="1"/>
  <c r="B4882" i="1"/>
  <c r="A4883" i="1"/>
  <c r="B4883" i="1"/>
  <c r="A4884" i="1"/>
  <c r="B4884" i="1"/>
  <c r="A4885" i="1"/>
  <c r="B4885" i="1"/>
  <c r="A4886" i="1"/>
  <c r="B4886" i="1"/>
  <c r="A4887" i="1"/>
  <c r="B4887" i="1"/>
  <c r="A4888" i="1"/>
  <c r="B4888" i="1"/>
  <c r="A4889" i="1"/>
  <c r="B4889" i="1"/>
  <c r="A4890" i="1"/>
  <c r="B4890" i="1"/>
  <c r="A4891" i="1"/>
  <c r="B4891" i="1"/>
  <c r="A4892" i="1"/>
  <c r="B4892" i="1"/>
  <c r="A4893" i="1"/>
  <c r="B4893" i="1"/>
  <c r="A4894" i="1"/>
  <c r="B4894" i="1"/>
  <c r="A4895" i="1"/>
  <c r="B4895" i="1"/>
  <c r="A4896" i="1"/>
  <c r="B4896" i="1"/>
  <c r="A4897" i="1"/>
  <c r="B4897" i="1"/>
  <c r="A4898" i="1"/>
  <c r="B4898" i="1"/>
  <c r="A4899" i="1"/>
  <c r="B4899" i="1"/>
  <c r="A4900" i="1"/>
  <c r="B4900" i="1"/>
  <c r="A4901" i="1"/>
  <c r="B4901" i="1"/>
  <c r="A4902" i="1"/>
  <c r="B4902" i="1"/>
  <c r="A4903" i="1"/>
  <c r="B4903" i="1"/>
  <c r="A4904" i="1"/>
  <c r="B4904" i="1"/>
  <c r="A4905" i="1"/>
  <c r="B4905" i="1"/>
  <c r="A4906" i="1"/>
  <c r="B4906" i="1"/>
  <c r="A4907" i="1"/>
  <c r="B4907" i="1"/>
  <c r="A4908" i="1"/>
  <c r="B4908" i="1"/>
  <c r="A4909" i="1"/>
  <c r="B4909" i="1"/>
  <c r="A4910" i="1"/>
  <c r="B4910" i="1"/>
  <c r="A4911" i="1"/>
  <c r="B4911" i="1"/>
  <c r="A4912" i="1"/>
  <c r="B4912" i="1"/>
  <c r="A4913" i="1"/>
  <c r="B4913" i="1"/>
  <c r="A4914" i="1"/>
  <c r="B4914" i="1"/>
  <c r="A4915" i="1"/>
  <c r="B4915" i="1"/>
  <c r="A4916" i="1"/>
  <c r="B4916" i="1"/>
  <c r="A4917" i="1"/>
  <c r="B4917" i="1"/>
  <c r="A4918" i="1"/>
  <c r="B4918" i="1"/>
  <c r="A4919" i="1"/>
  <c r="B4919" i="1"/>
  <c r="A4920" i="1"/>
  <c r="B4920" i="1"/>
  <c r="A4921" i="1"/>
  <c r="B4921" i="1"/>
  <c r="A4922" i="1"/>
  <c r="B4922" i="1"/>
  <c r="A4923" i="1"/>
  <c r="B4923" i="1"/>
  <c r="A4924" i="1"/>
  <c r="B4924" i="1"/>
  <c r="A4925" i="1"/>
  <c r="B4925" i="1"/>
  <c r="A4926" i="1"/>
  <c r="B4926" i="1"/>
  <c r="A4927" i="1"/>
  <c r="B4927" i="1"/>
  <c r="A4928" i="1"/>
  <c r="B4928" i="1"/>
  <c r="A4929" i="1"/>
  <c r="B4929" i="1"/>
  <c r="A4930" i="1"/>
  <c r="B4930" i="1"/>
  <c r="A4931" i="1"/>
  <c r="B4931" i="1"/>
  <c r="A4932" i="1"/>
  <c r="B4932" i="1"/>
  <c r="A4933" i="1"/>
  <c r="B4933" i="1"/>
  <c r="A4934" i="1"/>
  <c r="B4934" i="1"/>
  <c r="A4935" i="1"/>
  <c r="B4935" i="1"/>
  <c r="A4936" i="1"/>
  <c r="B4936" i="1"/>
  <c r="A4937" i="1"/>
  <c r="B4937" i="1"/>
  <c r="A4938" i="1"/>
  <c r="B4938" i="1"/>
  <c r="A4939" i="1"/>
  <c r="B4939" i="1"/>
  <c r="A4940" i="1"/>
  <c r="B4940" i="1"/>
  <c r="A4941" i="1"/>
  <c r="B4941" i="1"/>
  <c r="A4942" i="1"/>
  <c r="B4942" i="1"/>
  <c r="A4943" i="1"/>
  <c r="B4943" i="1"/>
  <c r="A4944" i="1"/>
  <c r="B4944" i="1"/>
  <c r="A4945" i="1"/>
  <c r="B4945" i="1"/>
  <c r="A4946" i="1"/>
  <c r="B4946" i="1"/>
  <c r="A4947" i="1"/>
  <c r="B4947" i="1"/>
  <c r="A4948" i="1"/>
  <c r="B4948" i="1"/>
  <c r="A4949" i="1"/>
  <c r="B4949" i="1"/>
  <c r="A4950" i="1"/>
  <c r="B4950" i="1"/>
  <c r="A4951" i="1"/>
  <c r="B4951" i="1"/>
  <c r="A4952" i="1"/>
  <c r="B4952" i="1"/>
  <c r="A4953" i="1"/>
  <c r="B4953" i="1"/>
  <c r="A4954" i="1"/>
  <c r="B4954" i="1"/>
  <c r="A4955" i="1"/>
  <c r="B4955" i="1"/>
  <c r="A4956" i="1"/>
  <c r="B4956" i="1"/>
  <c r="A4957" i="1"/>
  <c r="B4957" i="1"/>
  <c r="A4958" i="1"/>
  <c r="B4958" i="1"/>
  <c r="A4959" i="1"/>
  <c r="B4959" i="1"/>
  <c r="A4960" i="1"/>
  <c r="B4960" i="1"/>
  <c r="A4961" i="1"/>
  <c r="B4961" i="1"/>
  <c r="A4962" i="1"/>
  <c r="B4962" i="1"/>
  <c r="A4963" i="1"/>
  <c r="B4963" i="1"/>
  <c r="A4964" i="1"/>
  <c r="B4964" i="1"/>
  <c r="A4965" i="1"/>
  <c r="B4965" i="1"/>
  <c r="A4966" i="1"/>
  <c r="B4966" i="1"/>
  <c r="A4967" i="1"/>
  <c r="B4967" i="1"/>
  <c r="A4968" i="1"/>
  <c r="B4968" i="1"/>
  <c r="A4969" i="1"/>
  <c r="B4969" i="1"/>
  <c r="A4970" i="1"/>
  <c r="B4970" i="1"/>
  <c r="A4971" i="1"/>
  <c r="B4971" i="1"/>
  <c r="A4972" i="1"/>
  <c r="B4972" i="1"/>
  <c r="A4973" i="1"/>
  <c r="B4973" i="1"/>
  <c r="A4974" i="1"/>
  <c r="B4974" i="1"/>
  <c r="A4975" i="1"/>
  <c r="B4975" i="1"/>
  <c r="A4976" i="1"/>
  <c r="B4976" i="1"/>
  <c r="A4977" i="1"/>
  <c r="B4977" i="1"/>
  <c r="A4978" i="1"/>
  <c r="B4978" i="1"/>
  <c r="A4979" i="1"/>
  <c r="B4979" i="1"/>
  <c r="A4980" i="1"/>
  <c r="B4980" i="1"/>
  <c r="A4981" i="1"/>
  <c r="B4981" i="1"/>
  <c r="A4982" i="1"/>
  <c r="B4982" i="1"/>
  <c r="A4983" i="1"/>
  <c r="B4983" i="1"/>
  <c r="A4984" i="1"/>
  <c r="B4984" i="1"/>
  <c r="A4985" i="1"/>
  <c r="B4985" i="1"/>
  <c r="A4986" i="1"/>
  <c r="B4986" i="1"/>
  <c r="A4987" i="1"/>
  <c r="B4987" i="1"/>
  <c r="A4988" i="1"/>
  <c r="B4988" i="1"/>
  <c r="A4989" i="1"/>
  <c r="B4989" i="1"/>
  <c r="A4990" i="1"/>
  <c r="B4990" i="1"/>
  <c r="A4991" i="1"/>
  <c r="B4991" i="1"/>
  <c r="A4992" i="1"/>
  <c r="B4992" i="1"/>
  <c r="A4993" i="1"/>
  <c r="B4993" i="1"/>
  <c r="A4994" i="1"/>
  <c r="B4994" i="1"/>
  <c r="A4995" i="1"/>
  <c r="B4995" i="1"/>
  <c r="A4996" i="1"/>
  <c r="B4996" i="1"/>
  <c r="A4997" i="1"/>
  <c r="B4997" i="1"/>
  <c r="A4998" i="1"/>
  <c r="B4998" i="1"/>
  <c r="A4999" i="1"/>
  <c r="B4999" i="1"/>
  <c r="A5000" i="1"/>
  <c r="B5000" i="1"/>
  <c r="A5001" i="1"/>
  <c r="B5001" i="1"/>
  <c r="A5002" i="1"/>
  <c r="B5002" i="1"/>
  <c r="A5003" i="1"/>
  <c r="B5003" i="1"/>
  <c r="A5004" i="1"/>
  <c r="B5004" i="1"/>
  <c r="A5005" i="1"/>
  <c r="B5005" i="1"/>
  <c r="A5006" i="1"/>
  <c r="B5006" i="1"/>
  <c r="A5007" i="1"/>
  <c r="B5007" i="1"/>
  <c r="A5008" i="1"/>
  <c r="B5008" i="1"/>
  <c r="A5009" i="1"/>
  <c r="B5009" i="1"/>
  <c r="A5010" i="1"/>
  <c r="B5010" i="1"/>
  <c r="A5011" i="1"/>
  <c r="B5011" i="1"/>
  <c r="A5012" i="1"/>
  <c r="B5012" i="1"/>
  <c r="A5013" i="1"/>
  <c r="B5013" i="1"/>
  <c r="A5014" i="1"/>
  <c r="B5014" i="1"/>
  <c r="A5015" i="1"/>
  <c r="B5015" i="1"/>
  <c r="A5016" i="1"/>
  <c r="B5016" i="1"/>
  <c r="A5017" i="1"/>
  <c r="B5017" i="1"/>
  <c r="A5018" i="1"/>
  <c r="B5018" i="1"/>
  <c r="A5019" i="1"/>
  <c r="B5019" i="1"/>
  <c r="A5020" i="1"/>
  <c r="B5020" i="1"/>
  <c r="A5021" i="1"/>
  <c r="B5021" i="1"/>
  <c r="A5022" i="1"/>
  <c r="B5022" i="1"/>
  <c r="A5023" i="1"/>
  <c r="B5023" i="1"/>
  <c r="A5024" i="1"/>
  <c r="B5024" i="1"/>
  <c r="A5025" i="1"/>
  <c r="B5025" i="1"/>
  <c r="A5026" i="1"/>
  <c r="B5026" i="1"/>
  <c r="A5027" i="1"/>
  <c r="B5027" i="1"/>
  <c r="A5028" i="1"/>
  <c r="B5028" i="1"/>
  <c r="A5029" i="1"/>
  <c r="B5029" i="1"/>
  <c r="A5030" i="1"/>
  <c r="B5030" i="1"/>
  <c r="A5031" i="1"/>
  <c r="B5031" i="1"/>
  <c r="A5032" i="1"/>
  <c r="B5032" i="1"/>
  <c r="A5033" i="1"/>
  <c r="B5033" i="1"/>
  <c r="A5034" i="1"/>
  <c r="B5034" i="1"/>
  <c r="A5035" i="1"/>
  <c r="B5035" i="1"/>
  <c r="A5036" i="1"/>
  <c r="B5036" i="1"/>
  <c r="A5037" i="1"/>
  <c r="B5037" i="1"/>
  <c r="A5038" i="1"/>
  <c r="B5038" i="1"/>
  <c r="A5039" i="1"/>
  <c r="B5039" i="1"/>
  <c r="A5040" i="1"/>
  <c r="B5040" i="1"/>
  <c r="A5041" i="1"/>
  <c r="B5041" i="1"/>
  <c r="A5042" i="1"/>
  <c r="B5042" i="1"/>
  <c r="A5043" i="1"/>
  <c r="B5043" i="1"/>
  <c r="A5044" i="1"/>
  <c r="B5044" i="1"/>
  <c r="A5045" i="1"/>
  <c r="B5045" i="1"/>
  <c r="A5046" i="1"/>
  <c r="B5046" i="1"/>
  <c r="A5047" i="1"/>
  <c r="B5047" i="1"/>
  <c r="A5048" i="1"/>
  <c r="B5048" i="1"/>
  <c r="A5049" i="1"/>
  <c r="B5049" i="1"/>
  <c r="A5050" i="1"/>
  <c r="B5050" i="1"/>
  <c r="A5051" i="1"/>
  <c r="B5051" i="1"/>
  <c r="A5052" i="1"/>
  <c r="B5052" i="1"/>
  <c r="A5053" i="1"/>
  <c r="B5053" i="1"/>
  <c r="A5054" i="1"/>
  <c r="B5054" i="1"/>
  <c r="A5055" i="1"/>
  <c r="B5055" i="1"/>
  <c r="A5056" i="1"/>
  <c r="B5056" i="1"/>
  <c r="A5057" i="1"/>
  <c r="B5057" i="1"/>
  <c r="A5058" i="1"/>
  <c r="B5058" i="1"/>
  <c r="A5059" i="1"/>
  <c r="B5059" i="1"/>
  <c r="A5060" i="1"/>
  <c r="B5060" i="1"/>
  <c r="A5061" i="1"/>
  <c r="B5061" i="1"/>
  <c r="A5062" i="1"/>
  <c r="B5062" i="1"/>
  <c r="A5063" i="1"/>
  <c r="B5063" i="1"/>
  <c r="A5064" i="1"/>
  <c r="B5064" i="1"/>
  <c r="A5065" i="1"/>
  <c r="B5065" i="1"/>
  <c r="A5066" i="1"/>
  <c r="B5066" i="1"/>
  <c r="A5067" i="1"/>
  <c r="B5067" i="1"/>
  <c r="A5068" i="1"/>
  <c r="B5068" i="1"/>
  <c r="A5069" i="1"/>
  <c r="B5069" i="1"/>
  <c r="A5070" i="1"/>
  <c r="B5070" i="1"/>
  <c r="A5071" i="1"/>
  <c r="B5071" i="1"/>
  <c r="A5072" i="1"/>
  <c r="B5072" i="1"/>
  <c r="A5073" i="1"/>
  <c r="B5073" i="1"/>
  <c r="A5074" i="1"/>
  <c r="B5074" i="1"/>
  <c r="A5075" i="1"/>
  <c r="B5075" i="1"/>
  <c r="A5076" i="1"/>
  <c r="B5076" i="1"/>
  <c r="A5077" i="1"/>
  <c r="B5077" i="1"/>
  <c r="A5078" i="1"/>
  <c r="B5078" i="1"/>
  <c r="A5079" i="1"/>
  <c r="B5079" i="1"/>
  <c r="A5080" i="1"/>
  <c r="B5080" i="1"/>
  <c r="A5081" i="1"/>
  <c r="B5081" i="1"/>
  <c r="A5082" i="1"/>
  <c r="B5082" i="1"/>
  <c r="A5083" i="1"/>
  <c r="B5083" i="1"/>
  <c r="A5084" i="1"/>
  <c r="B5084" i="1"/>
  <c r="A5085" i="1"/>
  <c r="B5085" i="1"/>
  <c r="A5086" i="1"/>
  <c r="B5086" i="1"/>
  <c r="A5087" i="1"/>
  <c r="B5087" i="1"/>
  <c r="A5088" i="1"/>
  <c r="B5088" i="1"/>
  <c r="A5089" i="1"/>
  <c r="B5089" i="1"/>
  <c r="A5090" i="1"/>
  <c r="B5090" i="1"/>
  <c r="A5091" i="1"/>
  <c r="B5091" i="1"/>
  <c r="A5092" i="1"/>
  <c r="B5092" i="1"/>
  <c r="A5093" i="1"/>
  <c r="B5093" i="1"/>
  <c r="A5094" i="1"/>
  <c r="B5094" i="1"/>
  <c r="A5095" i="1"/>
  <c r="B5095" i="1"/>
  <c r="A5096" i="1"/>
  <c r="B5096" i="1"/>
  <c r="A5097" i="1"/>
  <c r="B5097" i="1"/>
  <c r="A5098" i="1"/>
  <c r="B5098" i="1"/>
  <c r="A5099" i="1"/>
  <c r="B5099" i="1"/>
  <c r="A5100" i="1"/>
  <c r="B5100" i="1"/>
  <c r="A5101" i="1"/>
  <c r="B5101" i="1"/>
  <c r="A5102" i="1"/>
  <c r="B5102" i="1"/>
  <c r="A5103" i="1"/>
  <c r="B5103" i="1"/>
  <c r="A5104" i="1"/>
  <c r="B5104" i="1"/>
  <c r="A5105" i="1"/>
  <c r="B5105" i="1"/>
  <c r="A5106" i="1"/>
  <c r="B5106" i="1"/>
  <c r="A5107" i="1"/>
  <c r="B5107" i="1"/>
  <c r="A5108" i="1"/>
  <c r="B5108" i="1"/>
  <c r="A5109" i="1"/>
  <c r="B5109" i="1"/>
  <c r="A5110" i="1"/>
  <c r="B5110" i="1"/>
  <c r="A5111" i="1"/>
  <c r="B5111" i="1"/>
  <c r="A5112" i="1"/>
  <c r="B5112" i="1"/>
  <c r="A5113" i="1"/>
  <c r="B5113" i="1"/>
  <c r="A5114" i="1"/>
  <c r="B5114" i="1"/>
  <c r="A5115" i="1"/>
  <c r="B5115" i="1"/>
  <c r="A5116" i="1"/>
  <c r="B5116" i="1"/>
  <c r="A5117" i="1"/>
  <c r="B5117" i="1"/>
  <c r="A5118" i="1"/>
  <c r="B5118" i="1"/>
  <c r="A5119" i="1"/>
  <c r="B5119" i="1"/>
  <c r="A5120" i="1"/>
  <c r="B5120" i="1"/>
  <c r="A5121" i="1"/>
  <c r="B5121" i="1"/>
  <c r="A5122" i="1"/>
  <c r="B5122" i="1"/>
  <c r="A5123" i="1"/>
  <c r="B5123" i="1"/>
  <c r="A5124" i="1"/>
  <c r="B5124" i="1"/>
  <c r="A5125" i="1"/>
  <c r="B5125" i="1"/>
  <c r="A5126" i="1"/>
  <c r="B5126" i="1"/>
  <c r="A5127" i="1"/>
  <c r="B5127" i="1"/>
  <c r="A5128" i="1"/>
  <c r="B5128" i="1"/>
  <c r="A5129" i="1"/>
  <c r="B5129" i="1"/>
  <c r="A5130" i="1"/>
  <c r="B5130" i="1"/>
  <c r="A5131" i="1"/>
  <c r="B5131" i="1"/>
  <c r="A5132" i="1"/>
  <c r="B5132" i="1"/>
  <c r="A5133" i="1"/>
  <c r="B5133" i="1"/>
  <c r="A5134" i="1"/>
  <c r="B5134" i="1"/>
  <c r="A5135" i="1"/>
  <c r="B5135" i="1"/>
  <c r="A5136" i="1"/>
  <c r="B5136" i="1"/>
  <c r="A5137" i="1"/>
  <c r="B5137" i="1"/>
  <c r="A5138" i="1"/>
  <c r="B5138" i="1"/>
  <c r="A5139" i="1"/>
  <c r="B5139" i="1"/>
  <c r="A5140" i="1"/>
  <c r="B5140" i="1"/>
  <c r="A5141" i="1"/>
  <c r="B5141" i="1"/>
  <c r="A5142" i="1"/>
  <c r="B5142" i="1"/>
  <c r="A5143" i="1"/>
  <c r="B5143" i="1"/>
  <c r="A5144" i="1"/>
  <c r="B5144" i="1"/>
  <c r="A5145" i="1"/>
  <c r="B5145" i="1"/>
  <c r="A5146" i="1"/>
  <c r="B5146" i="1"/>
  <c r="A5147" i="1"/>
  <c r="B5147" i="1"/>
  <c r="A5148" i="1"/>
  <c r="B5148" i="1"/>
  <c r="A5149" i="1"/>
  <c r="B5149" i="1"/>
  <c r="A5150" i="1"/>
  <c r="B5150" i="1"/>
  <c r="A5151" i="1"/>
  <c r="B5151" i="1"/>
  <c r="A5152" i="1"/>
  <c r="B5152" i="1"/>
  <c r="A5153" i="1"/>
  <c r="B5153" i="1"/>
  <c r="A5154" i="1"/>
  <c r="B5154" i="1"/>
  <c r="A5155" i="1"/>
  <c r="B5155" i="1"/>
  <c r="A5156" i="1"/>
  <c r="B5156" i="1"/>
  <c r="A5157" i="1"/>
  <c r="B5157" i="1"/>
  <c r="A5158" i="1"/>
  <c r="B5158" i="1"/>
  <c r="A5159" i="1"/>
  <c r="B5159" i="1"/>
  <c r="A5160" i="1"/>
  <c r="B5160" i="1"/>
  <c r="A5161" i="1"/>
  <c r="B5161" i="1"/>
  <c r="A5162" i="1"/>
  <c r="B5162" i="1"/>
  <c r="A5163" i="1"/>
  <c r="B5163" i="1"/>
  <c r="A5164" i="1"/>
  <c r="B5164" i="1"/>
  <c r="A5165" i="1"/>
  <c r="B5165" i="1"/>
  <c r="A5166" i="1"/>
  <c r="B5166" i="1"/>
  <c r="A5167" i="1"/>
  <c r="B5167" i="1"/>
  <c r="A5168" i="1"/>
  <c r="B5168" i="1"/>
  <c r="A5169" i="1"/>
  <c r="B5169" i="1"/>
  <c r="A5170" i="1"/>
  <c r="B5170" i="1"/>
  <c r="A5171" i="1"/>
  <c r="B5171" i="1"/>
  <c r="A5172" i="1"/>
  <c r="B5172" i="1"/>
  <c r="A5173" i="1"/>
  <c r="B5173" i="1"/>
  <c r="A5174" i="1"/>
  <c r="B5174" i="1"/>
  <c r="A5175" i="1"/>
  <c r="B5175" i="1"/>
  <c r="A5176" i="1"/>
  <c r="B5176" i="1"/>
  <c r="A5177" i="1"/>
  <c r="B5177" i="1"/>
  <c r="A5178" i="1"/>
  <c r="B5178" i="1"/>
  <c r="A5179" i="1"/>
  <c r="B5179" i="1"/>
  <c r="A5180" i="1"/>
  <c r="B5180" i="1"/>
  <c r="A5181" i="1"/>
  <c r="B5181" i="1"/>
  <c r="A5182" i="1"/>
  <c r="B5182" i="1"/>
  <c r="A5183" i="1"/>
  <c r="B5183" i="1"/>
  <c r="A5184" i="1"/>
  <c r="B5184" i="1"/>
  <c r="A5185" i="1"/>
  <c r="B5185" i="1"/>
  <c r="A5186" i="1"/>
  <c r="B5186" i="1"/>
  <c r="A5187" i="1"/>
  <c r="B5187" i="1"/>
  <c r="A5188" i="1"/>
  <c r="B5188" i="1"/>
  <c r="A5189" i="1"/>
  <c r="B5189" i="1"/>
  <c r="A5190" i="1"/>
  <c r="B5190" i="1"/>
  <c r="A5191" i="1"/>
  <c r="B5191" i="1"/>
  <c r="A5192" i="1"/>
  <c r="B5192" i="1"/>
  <c r="A5193" i="1"/>
  <c r="B5193" i="1"/>
  <c r="A5194" i="1"/>
  <c r="B5194" i="1"/>
  <c r="A5195" i="1"/>
  <c r="B5195" i="1"/>
  <c r="A5196" i="1"/>
  <c r="B5196" i="1"/>
  <c r="A5197" i="1"/>
  <c r="B5197" i="1"/>
  <c r="A5198" i="1"/>
  <c r="B5198" i="1"/>
  <c r="A5199" i="1"/>
  <c r="B5199" i="1"/>
  <c r="A5200" i="1"/>
  <c r="B5200" i="1"/>
  <c r="A5201" i="1"/>
  <c r="B5201" i="1"/>
  <c r="A5202" i="1"/>
  <c r="B5202" i="1"/>
  <c r="A5203" i="1"/>
  <c r="B5203" i="1"/>
  <c r="A5204" i="1"/>
  <c r="B5204" i="1"/>
  <c r="A5205" i="1"/>
  <c r="B5205" i="1"/>
  <c r="A5206" i="1"/>
  <c r="B5206" i="1"/>
  <c r="A5207" i="1"/>
  <c r="B5207" i="1"/>
  <c r="A5208" i="1"/>
  <c r="B5208" i="1"/>
  <c r="A5209" i="1"/>
  <c r="B5209" i="1"/>
  <c r="A5210" i="1"/>
  <c r="B5210" i="1"/>
  <c r="A5211" i="1"/>
  <c r="B5211" i="1"/>
  <c r="A5212" i="1"/>
  <c r="B5212" i="1"/>
  <c r="A5213" i="1"/>
  <c r="B5213" i="1"/>
  <c r="A5214" i="1"/>
  <c r="B5214" i="1"/>
  <c r="A5215" i="1"/>
  <c r="B5215" i="1"/>
  <c r="A5216" i="1"/>
  <c r="B5216" i="1"/>
  <c r="A5217" i="1"/>
  <c r="B5217" i="1"/>
  <c r="A5218" i="1"/>
  <c r="B5218" i="1"/>
  <c r="A5219" i="1"/>
  <c r="B5219" i="1"/>
  <c r="A5220" i="1"/>
  <c r="B5220" i="1"/>
  <c r="A5221" i="1"/>
  <c r="B5221" i="1"/>
  <c r="A5222" i="1"/>
  <c r="B5222" i="1"/>
  <c r="A5223" i="1"/>
  <c r="B5223" i="1"/>
  <c r="A5224" i="1"/>
  <c r="B5224" i="1"/>
  <c r="A5225" i="1"/>
  <c r="B5225" i="1"/>
  <c r="A5226" i="1"/>
  <c r="B5226" i="1"/>
  <c r="A5227" i="1"/>
  <c r="B5227" i="1"/>
  <c r="A5228" i="1"/>
  <c r="B5228" i="1"/>
  <c r="A5229" i="1"/>
  <c r="B5229" i="1"/>
  <c r="A5230" i="1"/>
  <c r="B5230" i="1"/>
  <c r="A5231" i="1"/>
  <c r="B5231" i="1"/>
  <c r="A5232" i="1"/>
  <c r="B5232" i="1"/>
  <c r="A5233" i="1"/>
  <c r="B5233" i="1"/>
  <c r="A5234" i="1"/>
  <c r="B5234" i="1"/>
  <c r="A5235" i="1"/>
  <c r="B5235" i="1"/>
  <c r="A5236" i="1"/>
  <c r="B5236" i="1"/>
  <c r="A5237" i="1"/>
  <c r="B5237" i="1"/>
  <c r="A5238" i="1"/>
  <c r="B5238" i="1"/>
  <c r="A5239" i="1"/>
  <c r="B5239" i="1"/>
  <c r="A5240" i="1"/>
  <c r="B5240" i="1"/>
  <c r="A5241" i="1"/>
  <c r="B5241" i="1"/>
  <c r="A5242" i="1"/>
  <c r="B5242" i="1"/>
  <c r="A5243" i="1"/>
  <c r="B5243" i="1"/>
  <c r="A5244" i="1"/>
  <c r="B5244" i="1"/>
  <c r="A5245" i="1"/>
  <c r="B5245" i="1"/>
  <c r="A5246" i="1"/>
  <c r="B5246" i="1"/>
  <c r="A5247" i="1"/>
  <c r="B5247" i="1"/>
  <c r="A5248" i="1"/>
  <c r="B5248" i="1"/>
  <c r="A5249" i="1"/>
  <c r="B5249" i="1"/>
  <c r="A5250" i="1"/>
  <c r="B5250" i="1"/>
  <c r="A5251" i="1"/>
  <c r="B5251" i="1"/>
  <c r="A5252" i="1"/>
  <c r="B5252" i="1"/>
  <c r="A5253" i="1"/>
  <c r="B5253" i="1"/>
  <c r="A5254" i="1"/>
  <c r="B5254" i="1"/>
  <c r="A5255" i="1"/>
  <c r="B5255" i="1"/>
  <c r="A5256" i="1"/>
  <c r="B5256" i="1"/>
  <c r="A5257" i="1"/>
  <c r="B5257" i="1"/>
  <c r="A5258" i="1"/>
  <c r="B5258" i="1"/>
  <c r="A5259" i="1"/>
  <c r="B5259" i="1"/>
  <c r="A5260" i="1"/>
  <c r="B5260" i="1"/>
  <c r="A5261" i="1"/>
  <c r="B5261" i="1"/>
  <c r="A5262" i="1"/>
  <c r="B5262" i="1"/>
  <c r="A5263" i="1"/>
  <c r="B5263" i="1"/>
  <c r="A5264" i="1"/>
  <c r="B5264" i="1"/>
  <c r="A5265" i="1"/>
  <c r="B5265" i="1"/>
  <c r="A5266" i="1"/>
  <c r="B5266" i="1"/>
  <c r="A5267" i="1"/>
  <c r="B5267" i="1"/>
  <c r="A5268" i="1"/>
  <c r="B5268" i="1"/>
  <c r="A5269" i="1"/>
  <c r="B5269" i="1"/>
  <c r="A5270" i="1"/>
  <c r="B5270" i="1"/>
  <c r="A5271" i="1"/>
  <c r="B5271" i="1"/>
  <c r="A5272" i="1"/>
  <c r="B5272" i="1"/>
  <c r="A5273" i="1"/>
  <c r="B5273" i="1"/>
  <c r="A5274" i="1"/>
  <c r="B5274" i="1"/>
  <c r="A5275" i="1"/>
  <c r="B5275" i="1"/>
  <c r="A5276" i="1"/>
  <c r="B5276" i="1"/>
  <c r="A5277" i="1"/>
  <c r="B5277" i="1"/>
  <c r="A5278" i="1"/>
  <c r="B5278" i="1"/>
  <c r="A5279" i="1"/>
  <c r="B5279" i="1"/>
  <c r="A5280" i="1"/>
  <c r="B5280" i="1"/>
  <c r="A5281" i="1"/>
  <c r="B5281" i="1"/>
  <c r="A5282" i="1"/>
  <c r="B5282" i="1"/>
  <c r="A5283" i="1"/>
  <c r="B5283" i="1"/>
  <c r="A5284" i="1"/>
  <c r="B5284" i="1"/>
  <c r="A5285" i="1"/>
  <c r="B5285" i="1"/>
  <c r="A5286" i="1"/>
  <c r="B5286" i="1"/>
  <c r="A5287" i="1"/>
  <c r="B5287" i="1"/>
  <c r="A5288" i="1"/>
  <c r="B5288" i="1"/>
  <c r="A5289" i="1"/>
  <c r="B5289" i="1"/>
  <c r="A5290" i="1"/>
  <c r="B5290" i="1"/>
  <c r="A5291" i="1"/>
  <c r="B5291" i="1"/>
  <c r="A5292" i="1"/>
  <c r="B5292" i="1"/>
  <c r="A5293" i="1"/>
  <c r="B5293" i="1"/>
  <c r="A5294" i="1"/>
  <c r="B5294" i="1"/>
  <c r="A5295" i="1"/>
  <c r="B5295" i="1"/>
  <c r="A5296" i="1"/>
  <c r="B5296" i="1"/>
  <c r="A5297" i="1"/>
  <c r="B5297" i="1"/>
  <c r="A5298" i="1"/>
  <c r="B5298" i="1"/>
  <c r="A5299" i="1"/>
  <c r="B5299" i="1"/>
  <c r="A5300" i="1"/>
  <c r="B5300" i="1"/>
  <c r="A5301" i="1"/>
  <c r="B5301" i="1"/>
  <c r="A5302" i="1"/>
  <c r="B5302" i="1"/>
  <c r="A5303" i="1"/>
  <c r="B5303" i="1"/>
  <c r="A5304" i="1"/>
  <c r="B5304" i="1"/>
  <c r="A5305" i="1"/>
  <c r="B5305" i="1"/>
  <c r="A5306" i="1"/>
  <c r="B5306" i="1"/>
  <c r="A5307" i="1"/>
  <c r="B5307" i="1"/>
  <c r="A5308" i="1"/>
  <c r="B5308" i="1"/>
  <c r="A5309" i="1"/>
  <c r="B5309" i="1"/>
  <c r="A5310" i="1"/>
  <c r="B5310" i="1"/>
  <c r="A5311" i="1"/>
  <c r="B5311" i="1"/>
  <c r="A5312" i="1"/>
  <c r="B5312" i="1"/>
  <c r="A5313" i="1"/>
  <c r="B5313" i="1"/>
  <c r="A5314" i="1"/>
  <c r="B5314" i="1"/>
  <c r="A5315" i="1"/>
  <c r="B5315" i="1"/>
  <c r="A5316" i="1"/>
  <c r="B5316" i="1"/>
  <c r="A5317" i="1"/>
  <c r="B5317" i="1"/>
  <c r="A5318" i="1"/>
  <c r="B5318" i="1"/>
  <c r="A5319" i="1"/>
  <c r="B5319" i="1"/>
  <c r="A5320" i="1"/>
  <c r="B5320" i="1"/>
  <c r="A5321" i="1"/>
  <c r="B5321" i="1"/>
  <c r="A5322" i="1"/>
  <c r="B5322" i="1"/>
  <c r="A5323" i="1"/>
  <c r="B5323" i="1"/>
  <c r="A5324" i="1"/>
  <c r="B5324" i="1"/>
  <c r="A5325" i="1"/>
  <c r="B5325" i="1"/>
  <c r="A5326" i="1"/>
  <c r="B5326" i="1"/>
  <c r="A5327" i="1"/>
  <c r="B5327" i="1"/>
  <c r="A5328" i="1"/>
  <c r="B5328" i="1"/>
  <c r="A5329" i="1"/>
  <c r="B5329" i="1"/>
  <c r="A5330" i="1"/>
  <c r="B5330" i="1"/>
  <c r="A5331" i="1"/>
  <c r="B5331" i="1"/>
  <c r="A5332" i="1"/>
  <c r="B5332" i="1"/>
  <c r="A5333" i="1"/>
  <c r="B5333" i="1"/>
  <c r="A5334" i="1"/>
  <c r="B5334" i="1"/>
  <c r="A5335" i="1"/>
  <c r="B5335" i="1"/>
  <c r="A5336" i="1"/>
  <c r="B5336" i="1"/>
  <c r="A5337" i="1"/>
  <c r="B5337" i="1"/>
  <c r="A5338" i="1"/>
  <c r="B5338" i="1"/>
  <c r="A5339" i="1"/>
  <c r="B5339" i="1"/>
  <c r="A5340" i="1"/>
  <c r="B5340" i="1"/>
  <c r="A5341" i="1"/>
  <c r="B5341" i="1"/>
  <c r="A5342" i="1"/>
  <c r="B5342" i="1"/>
  <c r="A5343" i="1"/>
  <c r="B5343" i="1"/>
  <c r="A5344" i="1"/>
  <c r="B5344" i="1"/>
  <c r="A5345" i="1"/>
  <c r="B5345" i="1"/>
  <c r="A5346" i="1"/>
  <c r="B5346" i="1"/>
  <c r="A5347" i="1"/>
  <c r="B5347" i="1"/>
  <c r="A5348" i="1"/>
  <c r="B5348" i="1"/>
  <c r="A5349" i="1"/>
  <c r="B5349" i="1"/>
  <c r="A5350" i="1"/>
  <c r="B5350" i="1"/>
  <c r="A5351" i="1"/>
  <c r="B5351" i="1"/>
  <c r="A5352" i="1"/>
  <c r="B5352" i="1"/>
  <c r="A5353" i="1"/>
  <c r="B5353" i="1"/>
  <c r="A5354" i="1"/>
  <c r="B5354" i="1"/>
  <c r="A5355" i="1"/>
  <c r="B5355" i="1"/>
  <c r="A5356" i="1"/>
  <c r="B5356" i="1"/>
  <c r="A5357" i="1"/>
  <c r="B5357" i="1"/>
  <c r="A5358" i="1"/>
  <c r="B5358" i="1"/>
  <c r="A5359" i="1"/>
  <c r="B5359" i="1"/>
  <c r="A5360" i="1"/>
  <c r="B5360" i="1"/>
  <c r="A5361" i="1"/>
  <c r="B5361" i="1"/>
  <c r="A5362" i="1"/>
  <c r="B5362" i="1"/>
  <c r="A5363" i="1"/>
  <c r="B5363" i="1"/>
  <c r="A5364" i="1"/>
  <c r="B5364" i="1"/>
  <c r="A5365" i="1"/>
  <c r="B5365" i="1"/>
  <c r="A5366" i="1"/>
  <c r="B5366" i="1"/>
  <c r="A5367" i="1"/>
  <c r="B5367" i="1"/>
  <c r="A5368" i="1"/>
  <c r="B5368" i="1"/>
  <c r="A5369" i="1"/>
  <c r="B5369" i="1"/>
  <c r="A5370" i="1"/>
  <c r="B5370" i="1"/>
  <c r="A5371" i="1"/>
  <c r="B5371" i="1"/>
  <c r="A5372" i="1"/>
  <c r="B5372" i="1"/>
  <c r="A5373" i="1"/>
  <c r="B5373" i="1"/>
  <c r="A5374" i="1"/>
  <c r="B5374" i="1"/>
  <c r="A5375" i="1"/>
  <c r="B5375" i="1"/>
  <c r="A5376" i="1"/>
  <c r="B5376" i="1"/>
  <c r="A5377" i="1"/>
  <c r="B5377" i="1"/>
  <c r="A5378" i="1"/>
  <c r="B5378" i="1"/>
  <c r="A5379" i="1"/>
  <c r="B5379" i="1"/>
  <c r="A5380" i="1"/>
  <c r="B5380" i="1"/>
  <c r="A5381" i="1"/>
  <c r="B5381" i="1"/>
  <c r="A5382" i="1"/>
  <c r="B5382" i="1"/>
  <c r="A5383" i="1"/>
  <c r="B5383" i="1"/>
  <c r="A5384" i="1"/>
  <c r="B5384" i="1"/>
  <c r="A5385" i="1"/>
  <c r="B5385" i="1"/>
  <c r="A5386" i="1"/>
  <c r="B5386" i="1"/>
  <c r="A5387" i="1"/>
  <c r="B5387" i="1"/>
  <c r="A5388" i="1"/>
  <c r="B5388" i="1"/>
  <c r="A5389" i="1"/>
  <c r="B5389" i="1"/>
  <c r="A5390" i="1"/>
  <c r="B5390" i="1"/>
  <c r="A5391" i="1"/>
  <c r="B5391" i="1"/>
  <c r="A5392" i="1"/>
  <c r="B5392" i="1"/>
  <c r="A5393" i="1"/>
  <c r="B5393" i="1"/>
  <c r="A5394" i="1"/>
  <c r="B5394" i="1"/>
  <c r="A5395" i="1"/>
  <c r="B5395" i="1"/>
  <c r="A5396" i="1"/>
  <c r="B5396" i="1"/>
  <c r="A5397" i="1"/>
  <c r="B5397" i="1"/>
  <c r="A5398" i="1"/>
  <c r="B5398" i="1"/>
  <c r="A5399" i="1"/>
  <c r="B5399" i="1"/>
  <c r="A5400" i="1"/>
  <c r="B5400" i="1"/>
  <c r="A5401" i="1"/>
  <c r="B5401" i="1"/>
  <c r="A5402" i="1"/>
  <c r="B5402" i="1"/>
  <c r="A5403" i="1"/>
  <c r="B5403" i="1"/>
  <c r="A5404" i="1"/>
  <c r="B5404" i="1"/>
  <c r="A5405" i="1"/>
  <c r="B5405" i="1"/>
  <c r="A5406" i="1"/>
  <c r="B5406" i="1"/>
  <c r="A5407" i="1"/>
  <c r="B5407" i="1"/>
  <c r="A5408" i="1"/>
  <c r="B5408" i="1"/>
  <c r="A5409" i="1"/>
  <c r="B5409" i="1"/>
  <c r="A5410" i="1"/>
  <c r="B5410" i="1"/>
  <c r="A5411" i="1"/>
  <c r="B5411" i="1"/>
  <c r="A5412" i="1"/>
  <c r="B5412" i="1"/>
  <c r="A5413" i="1"/>
  <c r="B5413" i="1"/>
  <c r="A5414" i="1"/>
  <c r="B5414" i="1"/>
  <c r="A5415" i="1"/>
  <c r="B5415" i="1"/>
  <c r="A5416" i="1"/>
  <c r="B5416" i="1"/>
  <c r="A5417" i="1"/>
  <c r="B5417" i="1"/>
  <c r="A5418" i="1"/>
  <c r="B5418" i="1"/>
  <c r="A5419" i="1"/>
  <c r="B5419" i="1"/>
  <c r="A5420" i="1"/>
  <c r="B5420" i="1"/>
  <c r="A5421" i="1"/>
  <c r="B5421" i="1"/>
  <c r="A5422" i="1"/>
  <c r="B5422" i="1"/>
  <c r="A5423" i="1"/>
  <c r="B5423" i="1"/>
  <c r="A5424" i="1"/>
  <c r="B5424" i="1"/>
  <c r="A5425" i="1"/>
  <c r="B5425" i="1"/>
  <c r="A5426" i="1"/>
  <c r="B5426" i="1"/>
  <c r="A5427" i="1"/>
  <c r="B5427" i="1"/>
  <c r="A5428" i="1"/>
  <c r="B5428" i="1"/>
  <c r="A5429" i="1"/>
  <c r="B5429" i="1"/>
  <c r="A5430" i="1"/>
  <c r="B5430" i="1"/>
  <c r="A5431" i="1"/>
  <c r="B5431" i="1"/>
  <c r="A5432" i="1"/>
  <c r="B5432" i="1"/>
  <c r="A5433" i="1"/>
  <c r="B5433" i="1"/>
  <c r="A5434" i="1"/>
  <c r="B5434" i="1"/>
  <c r="A5435" i="1"/>
  <c r="B5435" i="1"/>
  <c r="A5436" i="1"/>
  <c r="B5436" i="1"/>
  <c r="A5437" i="1"/>
  <c r="B5437" i="1"/>
  <c r="A5438" i="1"/>
  <c r="B5438" i="1"/>
  <c r="A5439" i="1"/>
  <c r="B5439" i="1"/>
  <c r="A5440" i="1"/>
  <c r="B5440" i="1"/>
  <c r="A5441" i="1"/>
  <c r="B5441" i="1"/>
  <c r="A5442" i="1"/>
  <c r="B5442" i="1"/>
  <c r="A5443" i="1"/>
  <c r="B5443" i="1"/>
  <c r="A5444" i="1"/>
  <c r="B5444" i="1"/>
  <c r="A5445" i="1"/>
  <c r="B5445" i="1"/>
  <c r="A5446" i="1"/>
  <c r="B5446" i="1"/>
  <c r="A5447" i="1"/>
  <c r="B5447" i="1"/>
  <c r="A5448" i="1"/>
  <c r="B5448" i="1"/>
  <c r="A5449" i="1"/>
  <c r="B5449" i="1"/>
  <c r="A5450" i="1"/>
  <c r="B5450" i="1"/>
  <c r="A5451" i="1"/>
  <c r="B5451" i="1"/>
  <c r="A5452" i="1"/>
  <c r="B5452" i="1"/>
  <c r="A5453" i="1"/>
  <c r="B5453" i="1"/>
  <c r="A5454" i="1"/>
  <c r="B5454" i="1"/>
  <c r="A5455" i="1"/>
  <c r="B5455" i="1"/>
  <c r="A5456" i="1"/>
  <c r="B5456" i="1"/>
  <c r="A5457" i="1"/>
  <c r="B5457" i="1"/>
  <c r="A5458" i="1"/>
  <c r="B5458" i="1"/>
  <c r="A5459" i="1"/>
  <c r="B5459" i="1"/>
  <c r="A5460" i="1"/>
  <c r="B5460" i="1"/>
  <c r="A5461" i="1"/>
  <c r="B5461" i="1"/>
  <c r="A5462" i="1"/>
  <c r="B5462" i="1"/>
  <c r="A5463" i="1"/>
  <c r="B5463" i="1"/>
  <c r="A5464" i="1"/>
  <c r="B5464" i="1"/>
  <c r="A5465" i="1"/>
  <c r="B5465" i="1"/>
  <c r="A5466" i="1"/>
  <c r="B5466" i="1"/>
  <c r="A5467" i="1"/>
  <c r="B5467" i="1"/>
  <c r="A5468" i="1"/>
  <c r="B5468" i="1"/>
  <c r="A5469" i="1"/>
  <c r="B5469" i="1"/>
  <c r="A5470" i="1"/>
  <c r="B5470" i="1"/>
  <c r="A5471" i="1"/>
  <c r="B5471" i="1"/>
  <c r="A5472" i="1"/>
  <c r="B5472" i="1"/>
  <c r="A5473" i="1"/>
  <c r="B5473" i="1"/>
  <c r="A5474" i="1"/>
  <c r="B5474" i="1"/>
  <c r="A5475" i="1"/>
  <c r="B5475" i="1"/>
  <c r="A5476" i="1"/>
  <c r="B5476" i="1"/>
  <c r="A5477" i="1"/>
  <c r="B5477" i="1"/>
  <c r="A5478" i="1"/>
  <c r="B5478" i="1"/>
  <c r="A5479" i="1"/>
  <c r="B5479" i="1"/>
  <c r="A5480" i="1"/>
  <c r="B5480" i="1"/>
  <c r="A5481" i="1"/>
  <c r="B5481" i="1"/>
  <c r="A5482" i="1"/>
  <c r="B5482" i="1"/>
  <c r="A5483" i="1"/>
  <c r="B5483" i="1"/>
  <c r="A5484" i="1"/>
  <c r="B5484" i="1"/>
  <c r="A5485" i="1"/>
  <c r="B5485" i="1"/>
  <c r="A5486" i="1"/>
  <c r="B5486" i="1"/>
  <c r="A5487" i="1"/>
  <c r="B5487" i="1"/>
  <c r="A5488" i="1"/>
  <c r="B5488" i="1"/>
  <c r="A5489" i="1"/>
  <c r="B5489" i="1"/>
  <c r="A5490" i="1"/>
  <c r="B5490" i="1"/>
  <c r="A5491" i="1"/>
  <c r="B5491" i="1"/>
  <c r="A5492" i="1"/>
  <c r="B5492" i="1"/>
  <c r="A5493" i="1"/>
  <c r="B5493" i="1"/>
  <c r="A5494" i="1"/>
  <c r="B5494" i="1"/>
  <c r="A5495" i="1"/>
  <c r="B5495" i="1"/>
  <c r="A5496" i="1"/>
  <c r="B5496" i="1"/>
  <c r="A5497" i="1"/>
  <c r="B5497" i="1"/>
  <c r="A5498" i="1"/>
  <c r="B5498" i="1"/>
  <c r="A5499" i="1"/>
  <c r="B5499" i="1"/>
  <c r="A5500" i="1"/>
  <c r="B5500" i="1"/>
  <c r="A5501" i="1"/>
  <c r="B5501" i="1"/>
  <c r="A5502" i="1"/>
  <c r="B5502" i="1"/>
  <c r="A5503" i="1"/>
  <c r="B5503" i="1"/>
  <c r="A5504" i="1"/>
  <c r="B5504" i="1"/>
  <c r="A5505" i="1"/>
  <c r="B5505" i="1"/>
  <c r="A5506" i="1"/>
  <c r="B5506" i="1"/>
  <c r="A5507" i="1"/>
  <c r="B5507" i="1"/>
  <c r="A5508" i="1"/>
  <c r="B5508" i="1"/>
  <c r="A5509" i="1"/>
  <c r="B5509" i="1"/>
  <c r="A5510" i="1"/>
  <c r="B5510" i="1"/>
  <c r="A5511" i="1"/>
  <c r="B5511" i="1"/>
  <c r="A5512" i="1"/>
  <c r="B5512" i="1"/>
  <c r="A5513" i="1"/>
  <c r="B5513" i="1"/>
  <c r="A5514" i="1"/>
  <c r="B5514" i="1"/>
  <c r="A5515" i="1"/>
  <c r="B5515" i="1"/>
  <c r="A5516" i="1"/>
  <c r="B5516" i="1"/>
  <c r="A5517" i="1"/>
  <c r="B5517" i="1"/>
  <c r="A5518" i="1"/>
  <c r="B5518" i="1"/>
  <c r="A5519" i="1"/>
  <c r="B5519" i="1"/>
  <c r="A5520" i="1"/>
  <c r="B5520" i="1"/>
  <c r="A5521" i="1"/>
  <c r="B5521" i="1"/>
  <c r="A5522" i="1"/>
  <c r="B5522" i="1"/>
  <c r="A5523" i="1"/>
  <c r="B5523" i="1"/>
  <c r="A5524" i="1"/>
  <c r="B5524" i="1"/>
  <c r="A5525" i="1"/>
  <c r="B5525" i="1"/>
  <c r="A5526" i="1"/>
  <c r="B5526" i="1"/>
  <c r="A5527" i="1"/>
  <c r="B5527" i="1"/>
  <c r="A5528" i="1"/>
  <c r="B5528" i="1"/>
  <c r="A5529" i="1"/>
  <c r="B5529" i="1"/>
  <c r="A5530" i="1"/>
  <c r="B5530" i="1"/>
  <c r="A5531" i="1"/>
  <c r="B5531" i="1"/>
  <c r="A5532" i="1"/>
  <c r="B5532" i="1"/>
  <c r="A5533" i="1"/>
  <c r="B5533" i="1"/>
  <c r="A5534" i="1"/>
  <c r="B5534" i="1"/>
  <c r="A5535" i="1"/>
  <c r="B5535" i="1"/>
  <c r="A5536" i="1"/>
  <c r="B5536" i="1"/>
  <c r="A5537" i="1"/>
  <c r="B5537" i="1"/>
  <c r="A5538" i="1"/>
  <c r="B5538" i="1"/>
  <c r="A5539" i="1"/>
  <c r="B5539" i="1"/>
  <c r="A5540" i="1"/>
  <c r="B5540" i="1"/>
  <c r="A5541" i="1"/>
  <c r="B5541" i="1"/>
  <c r="A5542" i="1"/>
  <c r="B5542" i="1"/>
  <c r="A5543" i="1"/>
  <c r="B5543" i="1"/>
  <c r="A5544" i="1"/>
  <c r="B5544" i="1"/>
  <c r="A5545" i="1"/>
  <c r="B5545" i="1"/>
  <c r="A5546" i="1"/>
  <c r="B5546" i="1"/>
  <c r="A5547" i="1"/>
  <c r="B5547" i="1"/>
  <c r="A5548" i="1"/>
  <c r="B5548" i="1"/>
  <c r="A5549" i="1"/>
  <c r="B5549" i="1"/>
  <c r="A5550" i="1"/>
  <c r="B5550" i="1"/>
  <c r="A5551" i="1"/>
  <c r="B5551" i="1"/>
  <c r="A5552" i="1"/>
  <c r="B5552" i="1"/>
  <c r="A5553" i="1"/>
  <c r="B5553" i="1"/>
  <c r="A5554" i="1"/>
  <c r="B5554" i="1"/>
  <c r="A5555" i="1"/>
  <c r="B5555" i="1"/>
  <c r="A5556" i="1"/>
  <c r="B5556" i="1"/>
  <c r="A5557" i="1"/>
  <c r="B5557" i="1"/>
  <c r="A5558" i="1"/>
  <c r="B5558" i="1"/>
  <c r="A5559" i="1"/>
  <c r="B5559" i="1"/>
  <c r="A5560" i="1"/>
  <c r="B5560" i="1"/>
  <c r="A5561" i="1"/>
  <c r="B5561" i="1"/>
  <c r="A5562" i="1"/>
  <c r="B5562" i="1"/>
  <c r="A5563" i="1"/>
  <c r="B5563" i="1"/>
  <c r="A5564" i="1"/>
  <c r="B5564" i="1"/>
  <c r="A5565" i="1"/>
  <c r="B5565" i="1"/>
  <c r="A5566" i="1"/>
  <c r="B5566" i="1"/>
  <c r="A5567" i="1"/>
  <c r="B5567" i="1"/>
  <c r="A5568" i="1"/>
  <c r="B5568" i="1"/>
  <c r="A5569" i="1"/>
  <c r="B5569" i="1"/>
  <c r="A5570" i="1"/>
  <c r="B5570" i="1"/>
  <c r="A5571" i="1"/>
  <c r="B5571" i="1"/>
  <c r="A5572" i="1"/>
  <c r="B5572" i="1"/>
  <c r="A5573" i="1"/>
  <c r="B5573" i="1"/>
  <c r="A5574" i="1"/>
  <c r="B5574" i="1"/>
  <c r="A5575" i="1"/>
  <c r="B5575" i="1"/>
  <c r="A5576" i="1"/>
  <c r="B5576" i="1"/>
  <c r="A5577" i="1"/>
  <c r="B5577" i="1"/>
  <c r="A5578" i="1"/>
  <c r="B5578" i="1"/>
  <c r="A5579" i="1"/>
  <c r="B5579" i="1"/>
  <c r="A5580" i="1"/>
  <c r="B5580" i="1"/>
  <c r="A5581" i="1"/>
  <c r="B5581" i="1"/>
  <c r="A5582" i="1"/>
  <c r="B5582" i="1"/>
  <c r="A5583" i="1"/>
  <c r="B5583" i="1"/>
  <c r="A5584" i="1"/>
  <c r="B5584" i="1"/>
  <c r="A5585" i="1"/>
  <c r="B5585" i="1"/>
  <c r="A5586" i="1"/>
  <c r="B5586" i="1"/>
  <c r="A5587" i="1"/>
  <c r="B5587" i="1"/>
  <c r="A5588" i="1"/>
  <c r="B5588" i="1"/>
  <c r="A5589" i="1"/>
  <c r="B5589" i="1"/>
  <c r="A5590" i="1"/>
  <c r="B5590" i="1"/>
  <c r="A5591" i="1"/>
  <c r="B5591" i="1"/>
  <c r="A5592" i="1"/>
  <c r="B5592" i="1"/>
  <c r="A5593" i="1"/>
  <c r="B5593" i="1"/>
  <c r="A5594" i="1"/>
  <c r="B5594" i="1"/>
  <c r="A5595" i="1"/>
  <c r="B5595" i="1"/>
  <c r="A5596" i="1"/>
  <c r="B5596" i="1"/>
  <c r="A5597" i="1"/>
  <c r="B5597" i="1"/>
  <c r="A5598" i="1"/>
  <c r="B5598" i="1"/>
  <c r="A5599" i="1"/>
  <c r="B5599" i="1"/>
  <c r="A5600" i="1"/>
  <c r="B5600" i="1"/>
  <c r="A5601" i="1"/>
  <c r="B5601" i="1"/>
  <c r="A5602" i="1"/>
  <c r="B5602" i="1"/>
  <c r="A5603" i="1"/>
  <c r="B5603" i="1"/>
  <c r="A5604" i="1"/>
  <c r="B5604" i="1"/>
  <c r="A5605" i="1"/>
  <c r="B5605" i="1"/>
  <c r="A5606" i="1"/>
  <c r="B5606" i="1"/>
  <c r="A5607" i="1"/>
  <c r="B5607" i="1"/>
  <c r="A5608" i="1"/>
  <c r="B5608" i="1"/>
  <c r="A5609" i="1"/>
  <c r="B5609" i="1"/>
  <c r="A5610" i="1"/>
  <c r="B5610" i="1"/>
  <c r="A5611" i="1"/>
  <c r="B5611" i="1"/>
  <c r="A5612" i="1"/>
  <c r="B5612" i="1"/>
  <c r="A5613" i="1"/>
  <c r="B5613" i="1"/>
  <c r="A5614" i="1"/>
  <c r="B5614" i="1"/>
  <c r="A5615" i="1"/>
  <c r="B5615" i="1"/>
  <c r="A5616" i="1"/>
  <c r="B5616" i="1"/>
  <c r="A5617" i="1"/>
  <c r="B5617" i="1"/>
  <c r="A5618" i="1"/>
  <c r="B5618" i="1"/>
  <c r="A5619" i="1"/>
  <c r="B5619" i="1"/>
  <c r="A5620" i="1"/>
  <c r="B5620" i="1"/>
  <c r="A5621" i="1"/>
  <c r="B5621" i="1"/>
  <c r="A5622" i="1"/>
  <c r="B5622" i="1"/>
  <c r="A5623" i="1"/>
  <c r="B5623" i="1"/>
  <c r="A5624" i="1"/>
  <c r="B5624" i="1"/>
  <c r="A5625" i="1"/>
  <c r="B5625" i="1"/>
  <c r="A5626" i="1"/>
  <c r="B5626" i="1"/>
  <c r="A5627" i="1"/>
  <c r="B5627" i="1"/>
  <c r="A5628" i="1"/>
  <c r="B5628" i="1"/>
  <c r="A5629" i="1"/>
  <c r="B5629" i="1"/>
  <c r="A5630" i="1"/>
  <c r="B5630" i="1"/>
  <c r="A5631" i="1"/>
  <c r="B5631" i="1"/>
  <c r="A5632" i="1"/>
  <c r="B5632" i="1"/>
  <c r="A5633" i="1"/>
  <c r="B5633" i="1"/>
  <c r="A5634" i="1"/>
  <c r="B5634" i="1"/>
  <c r="A5635" i="1"/>
  <c r="B5635" i="1"/>
  <c r="A5636" i="1"/>
  <c r="B5636" i="1"/>
  <c r="A5637" i="1"/>
  <c r="B5637" i="1"/>
  <c r="A5638" i="1"/>
  <c r="B5638" i="1"/>
  <c r="A5639" i="1"/>
  <c r="B5639" i="1"/>
  <c r="A5640" i="1"/>
  <c r="B5640" i="1"/>
  <c r="A5641" i="1"/>
  <c r="B5641" i="1"/>
  <c r="A5642" i="1"/>
  <c r="B5642" i="1"/>
  <c r="A5643" i="1"/>
  <c r="B5643" i="1"/>
  <c r="A5644" i="1"/>
  <c r="B5644" i="1"/>
  <c r="A5645" i="1"/>
  <c r="B5645" i="1"/>
  <c r="A5646" i="1"/>
  <c r="B5646" i="1"/>
  <c r="A5647" i="1"/>
  <c r="B5647" i="1"/>
  <c r="A5648" i="1"/>
  <c r="B5648" i="1"/>
  <c r="A5649" i="1"/>
  <c r="B5649" i="1"/>
  <c r="A5650" i="1"/>
  <c r="B5650" i="1"/>
  <c r="A5651" i="1"/>
  <c r="B5651" i="1"/>
  <c r="A5652" i="1"/>
  <c r="B5652" i="1"/>
  <c r="A5653" i="1"/>
  <c r="B5653" i="1"/>
  <c r="A5654" i="1"/>
  <c r="B5654" i="1"/>
  <c r="A5655" i="1"/>
  <c r="B5655" i="1"/>
  <c r="A5656" i="1"/>
  <c r="B5656" i="1"/>
  <c r="A5657" i="1"/>
  <c r="B5657" i="1"/>
  <c r="A5658" i="1"/>
  <c r="B5658" i="1"/>
  <c r="A5659" i="1"/>
  <c r="B5659" i="1"/>
  <c r="A5660" i="1"/>
  <c r="B5660" i="1"/>
  <c r="A5661" i="1"/>
  <c r="B5661" i="1"/>
  <c r="A5662" i="1"/>
  <c r="B5662" i="1"/>
  <c r="A5663" i="1"/>
  <c r="B5663" i="1"/>
  <c r="A5664" i="1"/>
  <c r="B5664" i="1"/>
  <c r="A5665" i="1"/>
  <c r="B5665" i="1"/>
  <c r="A5666" i="1"/>
  <c r="B5666" i="1"/>
  <c r="A5667" i="1"/>
  <c r="B5667" i="1"/>
  <c r="A5668" i="1"/>
  <c r="B5668" i="1"/>
  <c r="A5669" i="1"/>
  <c r="B5669" i="1"/>
  <c r="A5670" i="1"/>
  <c r="B5670" i="1"/>
  <c r="A5671" i="1"/>
  <c r="B5671" i="1"/>
  <c r="A5672" i="1"/>
  <c r="B5672" i="1"/>
  <c r="A5673" i="1"/>
  <c r="B5673" i="1"/>
  <c r="A5674" i="1"/>
  <c r="B5674" i="1"/>
  <c r="A5675" i="1"/>
  <c r="B5675" i="1"/>
  <c r="A5676" i="1"/>
  <c r="B5676" i="1"/>
  <c r="A5677" i="1"/>
  <c r="B5677" i="1"/>
  <c r="A5678" i="1"/>
  <c r="B5678" i="1"/>
  <c r="A5679" i="1"/>
  <c r="B5679" i="1"/>
  <c r="A5680" i="1"/>
  <c r="B5680" i="1"/>
  <c r="A5681" i="1"/>
  <c r="B5681" i="1"/>
  <c r="A5682" i="1"/>
  <c r="B5682" i="1"/>
  <c r="A5683" i="1"/>
  <c r="B5683" i="1"/>
  <c r="A5684" i="1"/>
  <c r="B5684" i="1"/>
  <c r="A5685" i="1"/>
  <c r="B5685" i="1"/>
  <c r="A5686" i="1"/>
  <c r="B5686" i="1"/>
  <c r="A5687" i="1"/>
  <c r="B5687" i="1"/>
  <c r="A5688" i="1"/>
  <c r="B5688" i="1"/>
  <c r="A5689" i="1"/>
  <c r="B5689" i="1"/>
  <c r="A5690" i="1"/>
  <c r="B5690" i="1"/>
  <c r="A5691" i="1"/>
  <c r="B5691" i="1"/>
  <c r="A5692" i="1"/>
  <c r="B5692" i="1"/>
  <c r="A5693" i="1"/>
  <c r="B5693" i="1"/>
  <c r="A5694" i="1"/>
  <c r="B5694" i="1"/>
  <c r="A5695" i="1"/>
  <c r="B5695" i="1"/>
  <c r="A5696" i="1"/>
  <c r="B5696" i="1"/>
  <c r="A5697" i="1"/>
  <c r="B5697" i="1"/>
  <c r="A5698" i="1"/>
  <c r="B5698" i="1"/>
  <c r="A5699" i="1"/>
  <c r="B5699" i="1"/>
  <c r="A5700" i="1"/>
  <c r="B5700" i="1"/>
  <c r="A5701" i="1"/>
  <c r="B5701" i="1"/>
  <c r="A5702" i="1"/>
  <c r="B5702" i="1"/>
  <c r="A5703" i="1"/>
  <c r="B5703" i="1"/>
  <c r="A5704" i="1"/>
  <c r="B5704" i="1"/>
  <c r="A5705" i="1"/>
  <c r="B5705" i="1"/>
  <c r="A5706" i="1"/>
  <c r="B5706" i="1"/>
  <c r="A5707" i="1"/>
  <c r="B5707" i="1"/>
  <c r="A5708" i="1"/>
  <c r="B5708" i="1"/>
  <c r="A5709" i="1"/>
  <c r="B5709" i="1"/>
  <c r="A5710" i="1"/>
  <c r="B5710" i="1"/>
  <c r="A5711" i="1"/>
  <c r="B5711" i="1"/>
  <c r="A5712" i="1"/>
  <c r="B5712" i="1"/>
  <c r="A5713" i="1"/>
  <c r="B5713" i="1"/>
  <c r="A5714" i="1"/>
  <c r="B5714" i="1"/>
  <c r="A5715" i="1"/>
  <c r="B5715" i="1"/>
  <c r="A5716" i="1"/>
  <c r="B5716" i="1"/>
  <c r="A5717" i="1"/>
  <c r="B5717" i="1"/>
  <c r="A5718" i="1"/>
  <c r="B5718" i="1"/>
  <c r="A5719" i="1"/>
  <c r="B5719" i="1"/>
  <c r="A5720" i="1"/>
  <c r="B5720" i="1"/>
  <c r="A5721" i="1"/>
  <c r="B5721" i="1"/>
  <c r="A5722" i="1"/>
  <c r="B5722" i="1"/>
  <c r="A5723" i="1"/>
  <c r="B5723" i="1"/>
  <c r="A5724" i="1"/>
  <c r="B5724" i="1"/>
  <c r="A5725" i="1"/>
  <c r="B5725" i="1"/>
  <c r="A5726" i="1"/>
  <c r="B5726" i="1"/>
  <c r="A5727" i="1"/>
  <c r="B5727" i="1"/>
  <c r="A5728" i="1"/>
  <c r="B5728" i="1"/>
  <c r="A5729" i="1"/>
  <c r="B5729" i="1"/>
  <c r="A5730" i="1"/>
  <c r="B5730" i="1"/>
  <c r="A5731" i="1"/>
  <c r="B5731" i="1"/>
  <c r="A5732" i="1"/>
  <c r="B5732" i="1"/>
  <c r="A5733" i="1"/>
  <c r="B5733" i="1"/>
  <c r="A5734" i="1"/>
  <c r="B5734" i="1"/>
  <c r="A5735" i="1"/>
  <c r="B5735" i="1"/>
  <c r="A5736" i="1"/>
  <c r="B5736" i="1"/>
  <c r="A5737" i="1"/>
  <c r="B5737" i="1"/>
  <c r="A5738" i="1"/>
  <c r="B5738" i="1"/>
  <c r="A5739" i="1"/>
  <c r="B5739" i="1"/>
  <c r="A5740" i="1"/>
  <c r="B5740" i="1"/>
  <c r="A5741" i="1"/>
  <c r="B5741" i="1"/>
  <c r="A5742" i="1"/>
  <c r="B5742" i="1"/>
  <c r="A5743" i="1"/>
  <c r="B5743" i="1"/>
  <c r="A5744" i="1"/>
  <c r="B5744" i="1"/>
  <c r="A5745" i="1"/>
  <c r="B5745" i="1"/>
  <c r="A5746" i="1"/>
  <c r="B5746" i="1"/>
  <c r="A5747" i="1"/>
  <c r="B5747" i="1"/>
  <c r="A5748" i="1"/>
  <c r="B5748" i="1"/>
  <c r="A5749" i="1"/>
  <c r="B5749" i="1"/>
  <c r="A5750" i="1"/>
  <c r="B5750" i="1"/>
  <c r="A5751" i="1"/>
  <c r="B5751" i="1"/>
  <c r="A5752" i="1"/>
  <c r="B5752" i="1"/>
  <c r="A5753" i="1"/>
  <c r="B5753" i="1"/>
  <c r="A5754" i="1"/>
  <c r="B5754" i="1"/>
  <c r="A5755" i="1"/>
  <c r="B5755" i="1"/>
  <c r="A5756" i="1"/>
  <c r="B5756" i="1"/>
  <c r="A5757" i="1"/>
  <c r="B5757" i="1"/>
  <c r="A5758" i="1"/>
  <c r="B5758" i="1"/>
  <c r="A5759" i="1"/>
  <c r="B5759" i="1"/>
  <c r="A5760" i="1"/>
  <c r="B5760" i="1"/>
  <c r="A5761" i="1"/>
  <c r="B5761" i="1"/>
  <c r="A5762" i="1"/>
  <c r="B5762" i="1"/>
  <c r="A5763" i="1"/>
  <c r="B5763" i="1"/>
  <c r="A5764" i="1"/>
  <c r="B5764" i="1"/>
  <c r="A5765" i="1"/>
  <c r="B5765" i="1"/>
  <c r="A5766" i="1"/>
  <c r="B5766" i="1"/>
  <c r="A5767" i="1"/>
  <c r="B5767" i="1"/>
  <c r="A5768" i="1"/>
  <c r="B5768" i="1"/>
  <c r="A5769" i="1"/>
  <c r="B5769" i="1"/>
  <c r="A5770" i="1"/>
  <c r="B5770" i="1"/>
  <c r="A5771" i="1"/>
  <c r="B5771" i="1"/>
  <c r="A5772" i="1"/>
  <c r="B5772" i="1"/>
  <c r="A5773" i="1"/>
  <c r="B5773" i="1"/>
  <c r="A5774" i="1"/>
  <c r="B5774" i="1"/>
  <c r="A5775" i="1"/>
  <c r="B5775" i="1"/>
  <c r="A5776" i="1"/>
  <c r="B5776" i="1"/>
  <c r="A5777" i="1"/>
  <c r="B5777" i="1"/>
  <c r="A5778" i="1"/>
  <c r="B5778" i="1"/>
  <c r="A5779" i="1"/>
  <c r="B5779" i="1"/>
  <c r="A5780" i="1"/>
  <c r="B5780" i="1"/>
  <c r="A5781" i="1"/>
  <c r="B5781" i="1"/>
  <c r="A5782" i="1"/>
  <c r="B5782" i="1"/>
  <c r="A5783" i="1"/>
  <c r="B5783" i="1"/>
  <c r="A5784" i="1"/>
  <c r="B5784" i="1"/>
  <c r="A5785" i="1"/>
  <c r="B5785" i="1"/>
  <c r="A5786" i="1"/>
  <c r="B5786" i="1"/>
  <c r="A5787" i="1"/>
  <c r="B5787" i="1"/>
  <c r="A5788" i="1"/>
  <c r="B5788" i="1"/>
  <c r="A5789" i="1"/>
  <c r="B5789" i="1"/>
  <c r="A5790" i="1"/>
  <c r="B5790" i="1"/>
  <c r="A5791" i="1"/>
  <c r="B5791" i="1"/>
  <c r="A5792" i="1"/>
  <c r="B5792" i="1"/>
  <c r="A5793" i="1"/>
  <c r="B5793" i="1"/>
  <c r="A5794" i="1"/>
  <c r="B5794" i="1"/>
  <c r="A5795" i="1"/>
  <c r="B5795" i="1"/>
  <c r="A5796" i="1"/>
  <c r="B5796" i="1"/>
  <c r="A5797" i="1"/>
  <c r="B5797" i="1"/>
  <c r="A5798" i="1"/>
  <c r="B5798" i="1"/>
  <c r="A5799" i="1"/>
  <c r="B5799" i="1"/>
  <c r="A5800" i="1"/>
  <c r="B5800" i="1"/>
  <c r="A5801" i="1"/>
  <c r="B5801" i="1"/>
  <c r="A5802" i="1"/>
  <c r="B5802" i="1"/>
  <c r="A5803" i="1"/>
  <c r="B5803" i="1"/>
  <c r="A5804" i="1"/>
  <c r="B5804" i="1"/>
  <c r="A5805" i="1"/>
  <c r="B5805" i="1"/>
  <c r="A5806" i="1"/>
  <c r="B5806" i="1"/>
  <c r="A5807" i="1"/>
  <c r="B5807" i="1"/>
  <c r="A5808" i="1"/>
  <c r="B5808" i="1"/>
  <c r="A5809" i="1"/>
  <c r="B5809" i="1"/>
  <c r="A5810" i="1"/>
  <c r="B5810" i="1"/>
  <c r="A5811" i="1"/>
  <c r="B5811" i="1"/>
  <c r="A5812" i="1"/>
  <c r="B5812" i="1"/>
  <c r="A5813" i="1"/>
  <c r="B5813" i="1"/>
  <c r="A5814" i="1"/>
  <c r="B5814" i="1"/>
  <c r="A5815" i="1"/>
  <c r="B5815" i="1"/>
  <c r="A5816" i="1"/>
  <c r="B5816" i="1"/>
  <c r="A5817" i="1"/>
  <c r="B5817" i="1"/>
  <c r="A5818" i="1"/>
  <c r="B5818" i="1"/>
  <c r="A5819" i="1"/>
  <c r="B5819" i="1"/>
  <c r="A5820" i="1"/>
  <c r="B5820" i="1"/>
  <c r="A5821" i="1"/>
  <c r="B5821" i="1"/>
  <c r="A5822" i="1"/>
  <c r="B5822" i="1"/>
  <c r="A5823" i="1"/>
  <c r="B5823" i="1"/>
  <c r="A5824" i="1"/>
  <c r="B5824" i="1"/>
  <c r="A5825" i="1"/>
  <c r="B5825" i="1"/>
  <c r="A5826" i="1"/>
  <c r="B5826" i="1"/>
  <c r="A5827" i="1"/>
  <c r="B5827" i="1"/>
  <c r="A5828" i="1"/>
  <c r="B5828" i="1"/>
  <c r="A5829" i="1"/>
  <c r="B5829" i="1"/>
  <c r="A5830" i="1"/>
  <c r="B5830" i="1"/>
  <c r="A5831" i="1"/>
  <c r="B5831" i="1"/>
  <c r="A5832" i="1"/>
  <c r="B5832" i="1"/>
  <c r="A5833" i="1"/>
  <c r="B5833" i="1"/>
  <c r="A5834" i="1"/>
  <c r="B5834" i="1"/>
  <c r="A5835" i="1"/>
  <c r="B5835" i="1"/>
  <c r="A5836" i="1"/>
  <c r="B5836" i="1"/>
  <c r="A5837" i="1"/>
  <c r="B5837" i="1"/>
  <c r="A5838" i="1"/>
  <c r="B5838" i="1"/>
  <c r="A5839" i="1"/>
  <c r="B5839" i="1"/>
  <c r="A5840" i="1"/>
  <c r="B5840" i="1"/>
  <c r="A5841" i="1"/>
  <c r="B5841" i="1"/>
  <c r="A5842" i="1"/>
  <c r="B5842" i="1"/>
  <c r="A5843" i="1"/>
  <c r="B5843" i="1"/>
  <c r="A5844" i="1"/>
  <c r="B5844" i="1"/>
  <c r="A5845" i="1"/>
  <c r="B5845" i="1"/>
  <c r="A5846" i="1"/>
  <c r="B5846" i="1"/>
  <c r="A5847" i="1"/>
  <c r="B5847" i="1"/>
  <c r="A5848" i="1"/>
  <c r="B5848" i="1"/>
  <c r="A5849" i="1"/>
  <c r="B5849" i="1"/>
  <c r="A5850" i="1"/>
  <c r="B5850" i="1"/>
  <c r="A5851" i="1"/>
  <c r="B5851" i="1"/>
  <c r="A5852" i="1"/>
  <c r="B5852" i="1"/>
  <c r="A5853" i="1"/>
  <c r="B5853" i="1"/>
  <c r="A5854" i="1"/>
  <c r="B5854" i="1"/>
  <c r="A5855" i="1"/>
  <c r="B5855" i="1"/>
  <c r="A5856" i="1"/>
  <c r="B5856" i="1"/>
  <c r="A5857" i="1"/>
  <c r="B5857" i="1"/>
  <c r="A5858" i="1"/>
  <c r="B5858" i="1"/>
  <c r="A5859" i="1"/>
  <c r="B5859" i="1"/>
  <c r="A5860" i="1"/>
  <c r="B5860" i="1"/>
  <c r="A5861" i="1"/>
  <c r="B5861" i="1"/>
  <c r="A5862" i="1"/>
  <c r="B5862" i="1"/>
  <c r="A5863" i="1"/>
  <c r="B5863" i="1"/>
  <c r="A5864" i="1"/>
  <c r="B5864" i="1"/>
  <c r="A5865" i="1"/>
  <c r="B5865" i="1"/>
  <c r="A5866" i="1"/>
  <c r="B5866" i="1"/>
  <c r="A5867" i="1"/>
  <c r="B5867" i="1"/>
  <c r="A5868" i="1"/>
  <c r="B5868" i="1"/>
  <c r="A5869" i="1"/>
  <c r="B5869" i="1"/>
  <c r="A5870" i="1"/>
  <c r="B5870" i="1"/>
  <c r="A5871" i="1"/>
  <c r="B5871" i="1"/>
  <c r="A5872" i="1"/>
  <c r="B5872" i="1"/>
  <c r="A5873" i="1"/>
  <c r="B5873" i="1"/>
  <c r="A5874" i="1"/>
  <c r="B5874" i="1"/>
  <c r="A5875" i="1"/>
  <c r="B5875" i="1"/>
  <c r="A5876" i="1"/>
  <c r="B5876" i="1"/>
  <c r="A5877" i="1"/>
  <c r="B5877" i="1"/>
  <c r="A5878" i="1"/>
  <c r="B5878" i="1"/>
  <c r="A5879" i="1"/>
  <c r="B5879" i="1"/>
  <c r="A5880" i="1"/>
  <c r="B5880" i="1"/>
  <c r="A5881" i="1"/>
  <c r="B5881" i="1"/>
  <c r="A5882" i="1"/>
  <c r="B5882" i="1"/>
  <c r="A5883" i="1"/>
  <c r="B5883" i="1"/>
  <c r="A5884" i="1"/>
  <c r="B5884" i="1"/>
  <c r="A5885" i="1"/>
  <c r="B5885" i="1"/>
  <c r="A5886" i="1"/>
  <c r="B5886" i="1"/>
  <c r="A5887" i="1"/>
  <c r="B5887" i="1"/>
  <c r="A5888" i="1"/>
  <c r="B5888" i="1"/>
  <c r="A5889" i="1"/>
  <c r="B5889" i="1"/>
  <c r="A5890" i="1"/>
  <c r="B5890" i="1"/>
  <c r="A5891" i="1"/>
  <c r="B5891" i="1"/>
  <c r="A5892" i="1"/>
  <c r="B5892" i="1"/>
  <c r="A5893" i="1"/>
  <c r="B5893" i="1"/>
  <c r="A5894" i="1"/>
  <c r="B5894" i="1"/>
  <c r="A5895" i="1"/>
  <c r="B5895" i="1"/>
  <c r="A5896" i="1"/>
  <c r="B5896" i="1"/>
  <c r="A5897" i="1"/>
  <c r="B5897" i="1"/>
  <c r="A5898" i="1"/>
  <c r="B5898" i="1"/>
  <c r="A5899" i="1"/>
  <c r="B5899" i="1"/>
  <c r="A5900" i="1"/>
  <c r="B5900" i="1"/>
  <c r="A5901" i="1"/>
  <c r="B5901" i="1"/>
  <c r="A5902" i="1"/>
  <c r="B5902" i="1"/>
  <c r="A5903" i="1"/>
  <c r="B5903" i="1"/>
  <c r="A5904" i="1"/>
  <c r="B5904" i="1"/>
  <c r="A5905" i="1"/>
  <c r="B5905" i="1"/>
  <c r="A5906" i="1"/>
  <c r="B5906" i="1"/>
  <c r="A5907" i="1"/>
  <c r="B5907" i="1"/>
  <c r="A5908" i="1"/>
  <c r="B5908" i="1"/>
  <c r="A5909" i="1"/>
  <c r="B5909" i="1"/>
  <c r="A5910" i="1"/>
  <c r="B5910" i="1"/>
  <c r="A5911" i="1"/>
  <c r="B5911" i="1"/>
  <c r="A5912" i="1"/>
  <c r="B5912" i="1"/>
  <c r="A5913" i="1"/>
  <c r="B5913" i="1"/>
  <c r="A5914" i="1"/>
  <c r="B5914" i="1"/>
  <c r="A5915" i="1"/>
  <c r="B5915" i="1"/>
  <c r="A5916" i="1"/>
  <c r="B5916" i="1"/>
  <c r="A5917" i="1"/>
  <c r="B5917" i="1"/>
  <c r="A5918" i="1"/>
  <c r="B5918" i="1"/>
  <c r="A5919" i="1"/>
  <c r="B5919" i="1"/>
  <c r="A5920" i="1"/>
  <c r="B5920" i="1"/>
  <c r="A5921" i="1"/>
  <c r="B5921" i="1"/>
  <c r="A5922" i="1"/>
  <c r="B5922" i="1"/>
  <c r="A5923" i="1"/>
  <c r="B5923" i="1"/>
  <c r="A5924" i="1"/>
  <c r="B5924" i="1"/>
  <c r="A5925" i="1"/>
  <c r="B5925" i="1"/>
  <c r="A5926" i="1"/>
  <c r="B5926" i="1"/>
  <c r="A5927" i="1"/>
  <c r="B5927" i="1"/>
  <c r="A5928" i="1"/>
  <c r="B5928" i="1"/>
  <c r="A5929" i="1"/>
  <c r="B5929" i="1"/>
  <c r="A5930" i="1"/>
  <c r="B5930" i="1"/>
  <c r="A5931" i="1"/>
  <c r="B5931" i="1"/>
  <c r="A5932" i="1"/>
  <c r="B5932" i="1"/>
  <c r="A5933" i="1"/>
  <c r="B5933" i="1"/>
  <c r="A5934" i="1"/>
  <c r="B5934" i="1"/>
  <c r="A5935" i="1"/>
  <c r="B5935" i="1"/>
  <c r="A5936" i="1"/>
  <c r="B5936" i="1"/>
  <c r="A5937" i="1"/>
  <c r="B5937" i="1"/>
  <c r="A5938" i="1"/>
  <c r="B5938" i="1"/>
  <c r="A5939" i="1"/>
  <c r="B5939" i="1"/>
  <c r="A5940" i="1"/>
  <c r="B5940" i="1"/>
  <c r="A5941" i="1"/>
  <c r="B5941" i="1"/>
  <c r="A5942" i="1"/>
  <c r="B5942" i="1"/>
  <c r="A5943" i="1"/>
  <c r="B5943" i="1"/>
  <c r="A5944" i="1"/>
  <c r="B5944" i="1"/>
  <c r="A5945" i="1"/>
  <c r="B5945" i="1"/>
  <c r="A5946" i="1"/>
  <c r="B5946" i="1"/>
  <c r="A5947" i="1"/>
  <c r="B5947" i="1"/>
  <c r="A5948" i="1"/>
  <c r="B5948" i="1"/>
  <c r="A5949" i="1"/>
  <c r="B5949" i="1"/>
  <c r="A5950" i="1"/>
  <c r="B5950" i="1"/>
  <c r="A5951" i="1"/>
  <c r="B5951" i="1"/>
  <c r="A5952" i="1"/>
  <c r="B5952" i="1"/>
  <c r="A5953" i="1"/>
  <c r="B5953" i="1"/>
  <c r="A5954" i="1"/>
  <c r="B5954" i="1"/>
  <c r="A5955" i="1"/>
  <c r="B5955" i="1"/>
  <c r="A5956" i="1"/>
  <c r="B5956" i="1"/>
  <c r="A5957" i="1"/>
  <c r="B5957" i="1"/>
  <c r="A5958" i="1"/>
  <c r="B5958" i="1"/>
  <c r="A5959" i="1"/>
  <c r="B5959" i="1"/>
  <c r="A5960" i="1"/>
  <c r="B5960" i="1"/>
  <c r="A5961" i="1"/>
  <c r="B5961" i="1"/>
  <c r="A5962" i="1"/>
  <c r="B5962" i="1"/>
  <c r="A5963" i="1"/>
  <c r="B5963" i="1"/>
  <c r="A5964" i="1"/>
  <c r="B5964" i="1"/>
  <c r="A5965" i="1"/>
  <c r="B5965" i="1"/>
  <c r="A5966" i="1"/>
  <c r="B5966" i="1"/>
  <c r="A5967" i="1"/>
  <c r="B5967" i="1"/>
  <c r="A5968" i="1"/>
  <c r="B5968" i="1"/>
  <c r="A5969" i="1"/>
  <c r="B5969" i="1"/>
  <c r="A5970" i="1"/>
  <c r="B5970" i="1"/>
  <c r="A5971" i="1"/>
  <c r="B5971" i="1"/>
  <c r="A5972" i="1"/>
  <c r="B5972" i="1"/>
  <c r="A5973" i="1"/>
  <c r="B5973" i="1"/>
  <c r="A5974" i="1"/>
  <c r="B5974" i="1"/>
  <c r="A5975" i="1"/>
  <c r="B5975" i="1"/>
  <c r="A5976" i="1"/>
  <c r="B5976" i="1"/>
  <c r="A5977" i="1"/>
  <c r="B5977" i="1"/>
  <c r="A5978" i="1"/>
  <c r="B5978" i="1"/>
  <c r="A5979" i="1"/>
  <c r="B5979" i="1"/>
  <c r="A5980" i="1"/>
  <c r="B5980" i="1"/>
  <c r="A5981" i="1"/>
  <c r="B5981" i="1"/>
  <c r="A5982" i="1"/>
  <c r="B5982" i="1"/>
  <c r="A5983" i="1"/>
  <c r="B5983" i="1"/>
  <c r="A5984" i="1"/>
  <c r="B5984" i="1"/>
  <c r="A5985" i="1"/>
  <c r="B5985" i="1"/>
  <c r="A5986" i="1"/>
  <c r="B5986" i="1"/>
  <c r="A5987" i="1"/>
  <c r="B5987" i="1"/>
  <c r="A5988" i="1"/>
  <c r="B5988" i="1"/>
  <c r="A5989" i="1"/>
  <c r="B5989" i="1"/>
  <c r="A5990" i="1"/>
  <c r="B5990" i="1"/>
  <c r="A5991" i="1"/>
  <c r="B5991" i="1"/>
  <c r="A5992" i="1"/>
  <c r="B5992" i="1"/>
  <c r="A5993" i="1"/>
  <c r="B5993" i="1"/>
  <c r="A5994" i="1"/>
  <c r="B5994" i="1"/>
  <c r="A5995" i="1"/>
  <c r="B5995" i="1"/>
  <c r="A5996" i="1"/>
  <c r="B5996" i="1"/>
  <c r="A5997" i="1"/>
  <c r="B5997" i="1"/>
  <c r="A5998" i="1"/>
  <c r="B5998" i="1"/>
  <c r="A5999" i="1"/>
  <c r="B5999" i="1"/>
  <c r="A6000" i="1"/>
  <c r="B6000" i="1"/>
  <c r="A6001" i="1"/>
  <c r="B6001" i="1"/>
  <c r="A6002" i="1"/>
  <c r="B6002" i="1"/>
  <c r="A6003" i="1"/>
  <c r="B6003" i="1"/>
  <c r="A6004" i="1"/>
  <c r="B6004" i="1"/>
  <c r="A6005" i="1"/>
  <c r="B6005" i="1"/>
  <c r="A6006" i="1"/>
  <c r="B6006" i="1"/>
  <c r="A6007" i="1"/>
  <c r="B6007" i="1"/>
  <c r="A6008" i="1"/>
  <c r="B6008" i="1"/>
  <c r="A6009" i="1"/>
  <c r="B6009" i="1"/>
  <c r="A6010" i="1"/>
  <c r="B6010" i="1"/>
  <c r="A6011" i="1"/>
  <c r="B6011" i="1"/>
  <c r="A6012" i="1"/>
  <c r="B6012" i="1"/>
  <c r="A6013" i="1"/>
  <c r="B6013" i="1"/>
  <c r="A6014" i="1"/>
  <c r="B6014" i="1"/>
  <c r="A6015" i="1"/>
  <c r="B6015" i="1"/>
  <c r="A6016" i="1"/>
  <c r="B6016" i="1"/>
  <c r="A6017" i="1"/>
  <c r="B6017" i="1"/>
  <c r="A6018" i="1"/>
  <c r="B6018" i="1"/>
  <c r="A6019" i="1"/>
  <c r="B6019" i="1"/>
  <c r="A6020" i="1"/>
  <c r="B6020" i="1"/>
  <c r="A6021" i="1"/>
  <c r="B6021" i="1"/>
  <c r="A6022" i="1"/>
  <c r="B6022" i="1"/>
  <c r="A6023" i="1"/>
  <c r="B6023" i="1"/>
  <c r="A6024" i="1"/>
  <c r="B6024" i="1"/>
  <c r="A6025" i="1"/>
  <c r="B6025" i="1"/>
  <c r="A6026" i="1"/>
  <c r="B6026" i="1"/>
  <c r="A6027" i="1"/>
  <c r="B6027" i="1"/>
  <c r="A6028" i="1"/>
  <c r="B6028" i="1"/>
  <c r="A6029" i="1"/>
  <c r="B6029" i="1"/>
  <c r="A6030" i="1"/>
  <c r="B6030" i="1"/>
  <c r="A6031" i="1"/>
  <c r="B6031" i="1"/>
  <c r="A6032" i="1"/>
  <c r="B6032" i="1"/>
  <c r="A6033" i="1"/>
  <c r="B6033" i="1"/>
  <c r="A6034" i="1"/>
  <c r="B6034" i="1"/>
  <c r="A6035" i="1"/>
  <c r="B6035" i="1"/>
  <c r="A6036" i="1"/>
  <c r="B6036" i="1"/>
  <c r="A6037" i="1"/>
  <c r="B6037" i="1"/>
  <c r="A6038" i="1"/>
  <c r="B6038" i="1"/>
  <c r="A6039" i="1"/>
  <c r="B6039" i="1"/>
  <c r="A6040" i="1"/>
  <c r="B6040" i="1"/>
  <c r="A6041" i="1"/>
  <c r="B6041" i="1"/>
  <c r="A6042" i="1"/>
  <c r="B6042" i="1"/>
  <c r="A6043" i="1"/>
  <c r="B6043" i="1"/>
  <c r="A6044" i="1"/>
  <c r="B6044" i="1"/>
  <c r="A6045" i="1"/>
  <c r="B6045" i="1"/>
  <c r="A6046" i="1"/>
  <c r="B6046" i="1"/>
  <c r="A6047" i="1"/>
  <c r="B6047" i="1"/>
  <c r="A6048" i="1"/>
  <c r="B6048" i="1"/>
  <c r="A6049" i="1"/>
  <c r="B6049" i="1"/>
  <c r="A6050" i="1"/>
  <c r="B6050" i="1"/>
  <c r="A6051" i="1"/>
  <c r="B6051" i="1"/>
  <c r="A6052" i="1"/>
  <c r="B6052" i="1"/>
  <c r="A6053" i="1"/>
  <c r="B6053" i="1"/>
  <c r="A6054" i="1"/>
  <c r="B6054" i="1"/>
  <c r="A6055" i="1"/>
  <c r="B6055" i="1"/>
  <c r="A6056" i="1"/>
  <c r="B6056" i="1"/>
  <c r="A6057" i="1"/>
  <c r="B6057" i="1"/>
  <c r="A6058" i="1"/>
  <c r="B6058" i="1"/>
  <c r="A6059" i="1"/>
  <c r="B6059" i="1"/>
  <c r="A6060" i="1"/>
  <c r="B6060" i="1"/>
  <c r="A6061" i="1"/>
  <c r="B6061" i="1"/>
  <c r="A6062" i="1"/>
  <c r="B6062" i="1"/>
  <c r="A6063" i="1"/>
  <c r="B6063" i="1"/>
  <c r="A6064" i="1"/>
  <c r="B6064" i="1"/>
  <c r="A6065" i="1"/>
  <c r="B6065" i="1"/>
  <c r="A6066" i="1"/>
  <c r="B6066" i="1"/>
  <c r="A6067" i="1"/>
  <c r="B6067" i="1"/>
  <c r="A6068" i="1"/>
  <c r="B6068" i="1"/>
  <c r="A6069" i="1"/>
  <c r="B6069" i="1"/>
  <c r="A6070" i="1"/>
  <c r="B6070" i="1"/>
  <c r="A6071" i="1"/>
  <c r="B6071" i="1"/>
  <c r="A6072" i="1"/>
  <c r="B6072" i="1"/>
  <c r="A6073" i="1"/>
  <c r="B6073" i="1"/>
  <c r="A6074" i="1"/>
  <c r="B6074" i="1"/>
  <c r="A6075" i="1"/>
  <c r="B6075" i="1"/>
  <c r="A6076" i="1"/>
  <c r="B6076" i="1"/>
  <c r="A6077" i="1"/>
  <c r="B6077" i="1"/>
  <c r="A6078" i="1"/>
  <c r="B6078" i="1"/>
  <c r="A6079" i="1"/>
  <c r="B6079" i="1"/>
  <c r="A6080" i="1"/>
  <c r="B6080" i="1"/>
  <c r="A6081" i="1"/>
  <c r="B6081" i="1"/>
  <c r="A6082" i="1"/>
  <c r="B6082" i="1"/>
  <c r="A6083" i="1"/>
  <c r="B6083" i="1"/>
  <c r="A6084" i="1"/>
  <c r="B6084" i="1"/>
  <c r="A6085" i="1"/>
  <c r="B6085" i="1"/>
  <c r="A6086" i="1"/>
  <c r="B6086" i="1"/>
  <c r="A6087" i="1"/>
  <c r="B6087" i="1"/>
  <c r="A6088" i="1"/>
  <c r="B6088" i="1"/>
  <c r="A6089" i="1"/>
  <c r="B6089" i="1"/>
  <c r="A6090" i="1"/>
  <c r="B6090" i="1"/>
  <c r="A6091" i="1"/>
  <c r="B6091" i="1"/>
  <c r="A6092" i="1"/>
  <c r="B6092" i="1"/>
  <c r="A6093" i="1"/>
  <c r="B6093" i="1"/>
  <c r="A6094" i="1"/>
  <c r="B6094" i="1"/>
  <c r="A6095" i="1"/>
  <c r="B6095" i="1"/>
  <c r="A6096" i="1"/>
  <c r="B6096" i="1"/>
  <c r="A6097" i="1"/>
  <c r="B6097" i="1"/>
  <c r="A6098" i="1"/>
  <c r="B6098" i="1"/>
  <c r="A6099" i="1"/>
  <c r="B6099" i="1"/>
  <c r="A6100" i="1"/>
  <c r="B6100" i="1"/>
  <c r="A6101" i="1"/>
  <c r="B6101" i="1"/>
  <c r="A6102" i="1"/>
  <c r="B6102" i="1"/>
  <c r="A6103" i="1"/>
  <c r="B6103" i="1"/>
  <c r="A6104" i="1"/>
  <c r="B6104" i="1"/>
  <c r="A6105" i="1"/>
  <c r="B6105" i="1"/>
  <c r="A6106" i="1"/>
  <c r="B6106" i="1"/>
  <c r="A6107" i="1"/>
  <c r="B6107" i="1"/>
  <c r="A6108" i="1"/>
  <c r="B6108" i="1"/>
  <c r="A6109" i="1"/>
  <c r="B6109" i="1"/>
  <c r="A6110" i="1"/>
  <c r="B6110" i="1"/>
  <c r="A6111" i="1"/>
  <c r="B6111" i="1"/>
  <c r="A6112" i="1"/>
  <c r="B6112" i="1"/>
  <c r="A6113" i="1"/>
  <c r="B6113" i="1"/>
  <c r="A6114" i="1"/>
  <c r="B6114" i="1"/>
  <c r="A6115" i="1"/>
  <c r="B6115" i="1"/>
  <c r="A6116" i="1"/>
  <c r="B6116" i="1"/>
  <c r="A6117" i="1"/>
  <c r="B6117" i="1"/>
  <c r="A6118" i="1"/>
  <c r="B6118" i="1"/>
  <c r="A6119" i="1"/>
  <c r="B6119" i="1"/>
  <c r="A6120" i="1"/>
  <c r="B6120" i="1"/>
  <c r="A6121" i="1"/>
  <c r="B6121" i="1"/>
  <c r="A6122" i="1"/>
  <c r="B6122" i="1"/>
  <c r="A6123" i="1"/>
  <c r="B6123" i="1"/>
  <c r="A6124" i="1"/>
  <c r="B6124" i="1"/>
  <c r="A6125" i="1"/>
  <c r="B6125" i="1"/>
  <c r="A6126" i="1"/>
  <c r="B6126" i="1"/>
  <c r="A6127" i="1"/>
  <c r="B6127" i="1"/>
  <c r="A6128" i="1"/>
  <c r="B6128" i="1"/>
  <c r="A6129" i="1"/>
  <c r="B6129" i="1"/>
  <c r="A6130" i="1"/>
  <c r="B6130" i="1"/>
  <c r="A6131" i="1"/>
  <c r="B6131" i="1"/>
  <c r="A6132" i="1"/>
  <c r="B6132" i="1"/>
  <c r="A6133" i="1"/>
  <c r="B6133" i="1"/>
  <c r="A6134" i="1"/>
  <c r="B6134" i="1"/>
  <c r="A6135" i="1"/>
  <c r="B6135" i="1"/>
  <c r="A6136" i="1"/>
  <c r="B6136" i="1"/>
  <c r="A6137" i="1"/>
  <c r="B6137" i="1"/>
  <c r="A6138" i="1"/>
  <c r="B6138" i="1"/>
  <c r="A6139" i="1"/>
  <c r="B6139" i="1"/>
  <c r="A6140" i="1"/>
  <c r="B6140" i="1"/>
  <c r="A6141" i="1"/>
  <c r="B6141" i="1"/>
  <c r="A6142" i="1"/>
  <c r="B6142" i="1"/>
  <c r="A6143" i="1"/>
  <c r="B6143" i="1"/>
  <c r="A6144" i="1"/>
  <c r="B6144" i="1"/>
  <c r="A6145" i="1"/>
  <c r="B6145" i="1"/>
  <c r="A6146" i="1"/>
  <c r="B6146" i="1"/>
  <c r="A6147" i="1"/>
  <c r="B6147" i="1"/>
  <c r="A6148" i="1"/>
  <c r="B6148" i="1"/>
  <c r="A6149" i="1"/>
  <c r="B6149" i="1"/>
  <c r="A6150" i="1"/>
  <c r="B6150" i="1"/>
  <c r="A6151" i="1"/>
  <c r="B6151" i="1"/>
  <c r="A6152" i="1"/>
  <c r="B6152" i="1"/>
  <c r="A6153" i="1"/>
  <c r="B6153" i="1"/>
  <c r="A6154" i="1"/>
  <c r="B6154" i="1"/>
  <c r="A6155" i="1"/>
  <c r="B6155" i="1"/>
  <c r="A6156" i="1"/>
  <c r="B6156" i="1"/>
  <c r="A6157" i="1"/>
  <c r="B6157" i="1"/>
  <c r="A6158" i="1"/>
  <c r="B6158" i="1"/>
  <c r="A6159" i="1"/>
  <c r="B6159" i="1"/>
  <c r="A6160" i="1"/>
  <c r="B6160" i="1"/>
  <c r="A6161" i="1"/>
  <c r="B6161" i="1"/>
  <c r="A6162" i="1"/>
  <c r="B6162" i="1"/>
  <c r="A6163" i="1"/>
  <c r="B6163" i="1"/>
  <c r="A6164" i="1"/>
  <c r="B6164" i="1"/>
  <c r="A6165" i="1"/>
  <c r="B6165" i="1"/>
  <c r="A6166" i="1"/>
  <c r="B6166" i="1"/>
  <c r="A6167" i="1"/>
  <c r="B6167" i="1"/>
  <c r="A6168" i="1"/>
  <c r="B6168" i="1"/>
  <c r="A6169" i="1"/>
  <c r="B6169" i="1"/>
  <c r="A6170" i="1"/>
  <c r="B6170" i="1"/>
  <c r="A6171" i="1"/>
  <c r="B6171" i="1"/>
  <c r="A6172" i="1"/>
  <c r="B6172" i="1"/>
  <c r="A6173" i="1"/>
  <c r="B6173" i="1"/>
  <c r="A6174" i="1"/>
  <c r="B6174" i="1"/>
  <c r="A6175" i="1"/>
  <c r="B6175" i="1"/>
  <c r="A6176" i="1"/>
  <c r="B6176" i="1"/>
  <c r="A6177" i="1"/>
  <c r="B6177" i="1"/>
  <c r="A6178" i="1"/>
  <c r="B6178" i="1"/>
  <c r="A6179" i="1"/>
  <c r="B6179" i="1"/>
  <c r="A6180" i="1"/>
  <c r="B6180" i="1"/>
  <c r="A6181" i="1"/>
  <c r="B6181" i="1"/>
  <c r="A6182" i="1"/>
  <c r="B6182" i="1"/>
  <c r="A6183" i="1"/>
  <c r="B6183" i="1"/>
  <c r="A6184" i="1"/>
  <c r="B6184" i="1"/>
  <c r="A6185" i="1"/>
  <c r="B6185" i="1"/>
  <c r="A6186" i="1"/>
  <c r="B6186" i="1"/>
  <c r="A6187" i="1"/>
  <c r="B6187" i="1"/>
  <c r="A6188" i="1"/>
  <c r="B6188" i="1"/>
  <c r="A6189" i="1"/>
  <c r="B6189" i="1"/>
  <c r="A6190" i="1"/>
  <c r="B6190" i="1"/>
  <c r="A6191" i="1"/>
  <c r="B6191" i="1"/>
  <c r="A6192" i="1"/>
  <c r="B6192" i="1"/>
  <c r="A6193" i="1"/>
  <c r="B6193" i="1"/>
  <c r="A6194" i="1"/>
  <c r="B6194" i="1"/>
  <c r="A6195" i="1"/>
  <c r="B6195" i="1"/>
  <c r="A6196" i="1"/>
  <c r="B6196" i="1"/>
  <c r="A6197" i="1"/>
  <c r="B6197" i="1"/>
  <c r="A6198" i="1"/>
  <c r="B6198" i="1"/>
  <c r="A6199" i="1"/>
  <c r="B6199" i="1"/>
  <c r="A6200" i="1"/>
  <c r="B6200" i="1"/>
  <c r="A6201" i="1"/>
  <c r="B6201" i="1"/>
  <c r="A6202" i="1"/>
  <c r="B6202" i="1"/>
  <c r="A6203" i="1"/>
  <c r="B6203" i="1"/>
  <c r="A6204" i="1"/>
  <c r="B6204" i="1"/>
  <c r="A6205" i="1"/>
  <c r="B6205" i="1"/>
  <c r="A6206" i="1"/>
  <c r="B6206" i="1"/>
  <c r="A6207" i="1"/>
  <c r="B6207" i="1"/>
  <c r="A6208" i="1"/>
  <c r="B6208" i="1"/>
  <c r="A6209" i="1"/>
  <c r="B6209" i="1"/>
  <c r="A6210" i="1"/>
  <c r="B6210" i="1"/>
  <c r="A6211" i="1"/>
  <c r="B6211" i="1"/>
  <c r="A6212" i="1"/>
  <c r="B6212" i="1"/>
  <c r="A6213" i="1"/>
  <c r="B6213" i="1"/>
  <c r="A6214" i="1"/>
  <c r="B6214" i="1"/>
  <c r="A6215" i="1"/>
  <c r="B6215" i="1"/>
  <c r="A6216" i="1"/>
  <c r="B6216" i="1"/>
  <c r="A6217" i="1"/>
  <c r="B6217" i="1"/>
  <c r="A6218" i="1"/>
  <c r="B6218" i="1"/>
  <c r="A6219" i="1"/>
  <c r="B6219" i="1"/>
  <c r="A6220" i="1"/>
  <c r="B6220" i="1"/>
  <c r="A6221" i="1"/>
  <c r="B6221" i="1"/>
  <c r="A6222" i="1"/>
  <c r="B6222" i="1"/>
  <c r="A6223" i="1"/>
  <c r="B6223" i="1"/>
  <c r="A6224" i="1"/>
  <c r="B6224" i="1"/>
  <c r="A6225" i="1"/>
  <c r="B6225" i="1"/>
  <c r="A6226" i="1"/>
  <c r="B6226" i="1"/>
  <c r="A6227" i="1"/>
  <c r="B6227" i="1"/>
  <c r="A6228" i="1"/>
  <c r="B6228" i="1"/>
  <c r="A6229" i="1"/>
  <c r="B6229" i="1"/>
  <c r="A6230" i="1"/>
  <c r="B6230" i="1"/>
  <c r="A6231" i="1"/>
  <c r="B6231" i="1"/>
  <c r="A6232" i="1"/>
  <c r="B6232" i="1"/>
  <c r="A6233" i="1"/>
  <c r="B6233" i="1"/>
  <c r="A6234" i="1"/>
  <c r="B6234" i="1"/>
  <c r="A6235" i="1"/>
  <c r="B6235" i="1"/>
  <c r="A6236" i="1"/>
  <c r="B6236" i="1"/>
  <c r="A6237" i="1"/>
  <c r="B6237" i="1"/>
  <c r="A6238" i="1"/>
  <c r="B6238" i="1"/>
  <c r="A6239" i="1"/>
  <c r="B6239" i="1"/>
  <c r="A6240" i="1"/>
  <c r="B6240" i="1"/>
  <c r="A6241" i="1"/>
  <c r="B6241" i="1"/>
  <c r="A6242" i="1"/>
  <c r="B6242" i="1"/>
  <c r="A6243" i="1"/>
  <c r="B6243" i="1"/>
  <c r="A6244" i="1"/>
  <c r="B6244" i="1"/>
  <c r="A6245" i="1"/>
  <c r="B6245" i="1"/>
  <c r="A6246" i="1"/>
  <c r="B6246" i="1"/>
  <c r="A6247" i="1"/>
  <c r="B6247" i="1"/>
  <c r="A6248" i="1"/>
  <c r="B6248" i="1"/>
  <c r="A6249" i="1"/>
  <c r="B6249" i="1"/>
  <c r="A6250" i="1"/>
  <c r="B6250" i="1"/>
  <c r="A6251" i="1"/>
  <c r="B6251" i="1"/>
  <c r="A6252" i="1"/>
  <c r="B6252" i="1"/>
  <c r="A6253" i="1"/>
  <c r="B6253" i="1"/>
  <c r="A6254" i="1"/>
  <c r="B6254" i="1"/>
  <c r="A6255" i="1"/>
  <c r="B6255" i="1"/>
  <c r="A6256" i="1"/>
  <c r="B6256" i="1"/>
  <c r="A6257" i="1"/>
  <c r="B6257" i="1"/>
  <c r="A6258" i="1"/>
  <c r="B6258" i="1"/>
  <c r="A6259" i="1"/>
  <c r="B6259" i="1"/>
  <c r="A6260" i="1"/>
  <c r="B6260" i="1"/>
  <c r="A6261" i="1"/>
  <c r="B6261" i="1"/>
  <c r="A6262" i="1"/>
  <c r="B6262" i="1"/>
  <c r="A6263" i="1"/>
  <c r="B6263" i="1"/>
  <c r="A6264" i="1"/>
  <c r="B6264" i="1"/>
  <c r="A6265" i="1"/>
  <c r="B6265" i="1"/>
  <c r="A6266" i="1"/>
  <c r="B6266" i="1"/>
  <c r="A6267" i="1"/>
  <c r="B6267" i="1"/>
  <c r="A6268" i="1"/>
  <c r="B6268" i="1"/>
  <c r="A6269" i="1"/>
  <c r="B6269" i="1"/>
  <c r="A6270" i="1"/>
  <c r="B6270" i="1"/>
  <c r="A6271" i="1"/>
  <c r="B6271" i="1"/>
  <c r="A6272" i="1"/>
  <c r="B6272" i="1"/>
  <c r="A6273" i="1"/>
  <c r="B6273" i="1"/>
  <c r="A6274" i="1"/>
  <c r="B6274" i="1"/>
  <c r="A6275" i="1"/>
  <c r="B6275" i="1"/>
  <c r="A6276" i="1"/>
  <c r="B6276" i="1"/>
  <c r="A6277" i="1"/>
  <c r="B6277" i="1"/>
  <c r="A6278" i="1"/>
  <c r="B6278" i="1"/>
  <c r="A6279" i="1"/>
  <c r="B6279" i="1"/>
  <c r="A6280" i="1"/>
  <c r="B6280" i="1"/>
  <c r="A6281" i="1"/>
  <c r="B6281" i="1"/>
  <c r="A6282" i="1"/>
  <c r="B6282" i="1"/>
  <c r="A6283" i="1"/>
  <c r="B6283" i="1"/>
  <c r="A6284" i="1"/>
  <c r="B6284" i="1"/>
  <c r="A6285" i="1"/>
  <c r="B6285" i="1"/>
  <c r="A6286" i="1"/>
  <c r="B6286" i="1"/>
  <c r="A6287" i="1"/>
  <c r="B6287" i="1"/>
  <c r="A6288" i="1"/>
  <c r="B6288" i="1"/>
  <c r="A6289" i="1"/>
  <c r="B6289" i="1"/>
  <c r="A6290" i="1"/>
  <c r="B6290" i="1"/>
  <c r="A6291" i="1"/>
  <c r="B6291" i="1"/>
  <c r="A6292" i="1"/>
  <c r="B6292" i="1"/>
  <c r="A6293" i="1"/>
  <c r="B6293" i="1"/>
  <c r="A6294" i="1"/>
  <c r="B6294" i="1"/>
  <c r="A6295" i="1"/>
  <c r="B6295" i="1"/>
  <c r="A6296" i="1"/>
  <c r="B6296" i="1"/>
  <c r="A6297" i="1"/>
  <c r="B6297" i="1"/>
  <c r="A6298" i="1"/>
  <c r="B6298" i="1"/>
  <c r="A6299" i="1"/>
  <c r="B6299" i="1"/>
  <c r="A6300" i="1"/>
  <c r="B6300" i="1"/>
  <c r="A6301" i="1"/>
  <c r="B6301" i="1"/>
  <c r="A6302" i="1"/>
  <c r="B6302" i="1"/>
  <c r="A6303" i="1"/>
  <c r="B6303" i="1"/>
  <c r="A6304" i="1"/>
  <c r="B6304" i="1"/>
  <c r="A6305" i="1"/>
  <c r="B6305" i="1"/>
  <c r="A6306" i="1"/>
  <c r="B6306" i="1"/>
  <c r="A6307" i="1"/>
  <c r="B6307" i="1"/>
  <c r="A6308" i="1"/>
  <c r="B6308" i="1"/>
  <c r="A6309" i="1"/>
  <c r="B6309" i="1"/>
  <c r="A6310" i="1"/>
  <c r="B6310" i="1"/>
  <c r="A6311" i="1"/>
  <c r="B6311" i="1"/>
  <c r="A6312" i="1"/>
  <c r="B6312" i="1"/>
  <c r="A6313" i="1"/>
  <c r="B6313" i="1"/>
  <c r="A6314" i="1"/>
  <c r="B6314" i="1"/>
  <c r="A6315" i="1"/>
  <c r="B6315" i="1"/>
  <c r="A6316" i="1"/>
  <c r="B6316" i="1"/>
  <c r="A6317" i="1"/>
  <c r="B6317" i="1"/>
  <c r="A6318" i="1"/>
  <c r="B6318" i="1"/>
  <c r="A6319" i="1"/>
  <c r="B6319" i="1"/>
  <c r="A6320" i="1"/>
  <c r="B6320" i="1"/>
  <c r="A6321" i="1"/>
  <c r="B6321" i="1"/>
  <c r="A6322" i="1"/>
  <c r="B6322" i="1"/>
  <c r="A6323" i="1"/>
  <c r="B6323" i="1"/>
  <c r="A6324" i="1"/>
  <c r="B6324" i="1"/>
  <c r="A6325" i="1"/>
  <c r="B6325" i="1"/>
  <c r="A6326" i="1"/>
  <c r="B6326" i="1"/>
  <c r="A6327" i="1"/>
  <c r="B6327" i="1"/>
  <c r="A6328" i="1"/>
  <c r="B6328" i="1"/>
  <c r="A6329" i="1"/>
  <c r="B6329" i="1"/>
  <c r="A6330" i="1"/>
  <c r="B6330" i="1"/>
  <c r="A6331" i="1"/>
  <c r="B6331" i="1"/>
  <c r="A6332" i="1"/>
  <c r="B6332" i="1"/>
  <c r="A6333" i="1"/>
  <c r="B6333" i="1"/>
  <c r="A6334" i="1"/>
  <c r="B6334" i="1"/>
  <c r="A6335" i="1"/>
  <c r="B6335" i="1"/>
  <c r="A6336" i="1"/>
  <c r="B6336" i="1"/>
  <c r="A6337" i="1"/>
  <c r="B6337" i="1"/>
  <c r="A6338" i="1"/>
  <c r="B6338" i="1"/>
  <c r="A6339" i="1"/>
  <c r="B6339" i="1"/>
  <c r="A6340" i="1"/>
  <c r="B6340" i="1"/>
  <c r="A6341" i="1"/>
  <c r="B6341" i="1"/>
  <c r="A6342" i="1"/>
  <c r="B6342" i="1"/>
  <c r="A6343" i="1"/>
  <c r="B6343" i="1"/>
  <c r="A6344" i="1"/>
  <c r="B6344" i="1"/>
  <c r="A6345" i="1"/>
  <c r="B6345" i="1"/>
  <c r="A6346" i="1"/>
  <c r="B6346" i="1"/>
  <c r="A6347" i="1"/>
  <c r="B6347" i="1"/>
  <c r="A6348" i="1"/>
  <c r="B6348" i="1"/>
  <c r="A6349" i="1"/>
  <c r="B6349" i="1"/>
  <c r="A6350" i="1"/>
  <c r="B6350" i="1"/>
  <c r="A6351" i="1"/>
  <c r="B6351" i="1"/>
  <c r="A6352" i="1"/>
  <c r="B6352" i="1"/>
  <c r="A6353" i="1"/>
  <c r="B6353" i="1"/>
  <c r="A6354" i="1"/>
  <c r="B6354" i="1"/>
  <c r="A6355" i="1"/>
  <c r="B6355" i="1"/>
  <c r="A6356" i="1"/>
  <c r="B6356" i="1"/>
  <c r="A6357" i="1"/>
  <c r="B6357" i="1"/>
  <c r="A6358" i="1"/>
  <c r="B6358" i="1"/>
  <c r="A6359" i="1"/>
  <c r="B6359" i="1"/>
  <c r="A6360" i="1"/>
  <c r="B6360" i="1"/>
  <c r="A6361" i="1"/>
  <c r="B6361" i="1"/>
  <c r="A6362" i="1"/>
  <c r="B6362" i="1"/>
  <c r="A6363" i="1"/>
  <c r="B6363" i="1"/>
  <c r="A6364" i="1"/>
  <c r="B6364" i="1"/>
  <c r="A6365" i="1"/>
  <c r="B6365" i="1"/>
  <c r="A6366" i="1"/>
  <c r="B6366" i="1"/>
  <c r="A6367" i="1"/>
  <c r="B6367" i="1"/>
  <c r="A6368" i="1"/>
  <c r="B6368" i="1"/>
  <c r="A6369" i="1"/>
  <c r="B6369" i="1"/>
  <c r="A6370" i="1"/>
  <c r="B6370" i="1"/>
  <c r="A6371" i="1"/>
  <c r="B6371" i="1"/>
  <c r="A6372" i="1"/>
  <c r="B6372" i="1"/>
  <c r="A6373" i="1"/>
  <c r="B6373" i="1"/>
  <c r="A6374" i="1"/>
  <c r="B6374" i="1"/>
  <c r="A6375" i="1"/>
  <c r="B6375" i="1"/>
  <c r="A6376" i="1"/>
  <c r="B6376" i="1"/>
  <c r="A6377" i="1"/>
  <c r="B6377" i="1"/>
  <c r="A6378" i="1"/>
  <c r="B6378" i="1"/>
  <c r="A6379" i="1"/>
  <c r="B6379" i="1"/>
  <c r="A6380" i="1"/>
  <c r="B6380" i="1"/>
  <c r="A6381" i="1"/>
  <c r="B6381" i="1"/>
  <c r="A6382" i="1"/>
  <c r="B6382" i="1"/>
  <c r="A6383" i="1"/>
  <c r="B6383" i="1"/>
  <c r="A6384" i="1"/>
  <c r="B6384" i="1"/>
  <c r="A6385" i="1"/>
  <c r="B6385" i="1"/>
  <c r="A6386" i="1"/>
  <c r="B6386" i="1"/>
  <c r="A6387" i="1"/>
  <c r="B6387" i="1"/>
  <c r="A6388" i="1"/>
  <c r="B6388" i="1"/>
  <c r="A6389" i="1"/>
  <c r="B6389" i="1"/>
  <c r="A6390" i="1"/>
  <c r="B6390" i="1"/>
  <c r="A6391" i="1"/>
  <c r="B6391" i="1"/>
  <c r="A6392" i="1"/>
  <c r="B6392" i="1"/>
  <c r="A6393" i="1"/>
  <c r="B6393" i="1"/>
  <c r="A6394" i="1"/>
  <c r="B6394" i="1"/>
  <c r="A6395" i="1"/>
  <c r="B6395" i="1"/>
  <c r="A6396" i="1"/>
  <c r="B6396" i="1"/>
  <c r="A6397" i="1"/>
  <c r="B6397" i="1"/>
  <c r="A6398" i="1"/>
  <c r="B6398" i="1"/>
  <c r="A6399" i="1"/>
  <c r="B6399" i="1"/>
  <c r="A6400" i="1"/>
  <c r="B6400" i="1"/>
  <c r="A6401" i="1"/>
  <c r="B6401" i="1"/>
  <c r="A6402" i="1"/>
  <c r="B6402" i="1"/>
  <c r="A6403" i="1"/>
  <c r="B6403" i="1"/>
  <c r="A6404" i="1"/>
  <c r="B6404" i="1"/>
  <c r="A6405" i="1"/>
  <c r="B6405" i="1"/>
  <c r="A6406" i="1"/>
  <c r="B6406" i="1"/>
  <c r="A6407" i="1"/>
  <c r="B6407" i="1"/>
  <c r="A6408" i="1"/>
  <c r="B6408" i="1"/>
  <c r="A6409" i="1"/>
  <c r="B6409" i="1"/>
  <c r="A6410" i="1"/>
  <c r="B6410" i="1"/>
  <c r="A6411" i="1"/>
  <c r="B6411" i="1"/>
  <c r="A6412" i="1"/>
  <c r="B6412" i="1"/>
  <c r="A6413" i="1"/>
  <c r="B6413" i="1"/>
  <c r="A6414" i="1"/>
  <c r="B6414" i="1"/>
  <c r="A6415" i="1"/>
  <c r="B6415" i="1"/>
  <c r="A6416" i="1"/>
  <c r="B6416" i="1"/>
  <c r="A6417" i="1"/>
  <c r="B6417" i="1"/>
  <c r="A6418" i="1"/>
  <c r="B6418" i="1"/>
  <c r="A6419" i="1"/>
  <c r="B6419" i="1"/>
  <c r="A6420" i="1"/>
  <c r="B6420" i="1"/>
  <c r="A6421" i="1"/>
  <c r="B6421" i="1"/>
  <c r="A6422" i="1"/>
  <c r="B6422" i="1"/>
  <c r="A6423" i="1"/>
  <c r="B6423" i="1"/>
  <c r="A6424" i="1"/>
  <c r="B6424" i="1"/>
  <c r="A6425" i="1"/>
  <c r="B6425" i="1"/>
  <c r="A6426" i="1"/>
  <c r="B6426" i="1"/>
  <c r="A6427" i="1"/>
  <c r="B6427" i="1"/>
  <c r="A6428" i="1"/>
  <c r="B6428" i="1"/>
  <c r="A6429" i="1"/>
  <c r="B6429" i="1"/>
  <c r="A6430" i="1"/>
  <c r="B6430" i="1"/>
  <c r="A6431" i="1"/>
  <c r="B6431" i="1"/>
  <c r="A6432" i="1"/>
  <c r="B6432" i="1"/>
  <c r="A6433" i="1"/>
  <c r="B6433" i="1"/>
  <c r="A6434" i="1"/>
  <c r="B6434" i="1"/>
  <c r="A6435" i="1"/>
  <c r="B6435" i="1"/>
  <c r="A6436" i="1"/>
  <c r="B6436" i="1"/>
  <c r="A6437" i="1"/>
  <c r="B6437" i="1"/>
  <c r="A6438" i="1"/>
  <c r="B6438" i="1"/>
  <c r="A6439" i="1"/>
  <c r="B6439" i="1"/>
  <c r="A6440" i="1"/>
  <c r="B6440" i="1"/>
  <c r="A6441" i="1"/>
  <c r="B6441" i="1"/>
  <c r="A6442" i="1"/>
  <c r="B6442" i="1"/>
  <c r="A6443" i="1"/>
  <c r="B6443" i="1"/>
  <c r="A6444" i="1"/>
  <c r="B6444" i="1"/>
  <c r="A6445" i="1"/>
  <c r="B6445" i="1"/>
  <c r="A6446" i="1"/>
  <c r="B6446" i="1"/>
  <c r="A6447" i="1"/>
  <c r="B6447" i="1"/>
  <c r="A6448" i="1"/>
  <c r="B6448" i="1"/>
  <c r="A6449" i="1"/>
  <c r="B6449" i="1"/>
  <c r="A6450" i="1"/>
  <c r="B6450" i="1"/>
  <c r="A6451" i="1"/>
  <c r="B6451" i="1"/>
  <c r="A6452" i="1"/>
  <c r="B6452" i="1"/>
  <c r="A6453" i="1"/>
  <c r="B6453" i="1"/>
  <c r="A6454" i="1"/>
  <c r="B6454" i="1"/>
  <c r="A6455" i="1"/>
  <c r="B6455" i="1"/>
  <c r="A6456" i="1"/>
  <c r="B6456" i="1"/>
  <c r="A6457" i="1"/>
  <c r="B6457" i="1"/>
  <c r="A6458" i="1"/>
  <c r="B6458" i="1"/>
  <c r="A6459" i="1"/>
  <c r="B6459" i="1"/>
  <c r="A6460" i="1"/>
  <c r="B6460" i="1"/>
  <c r="A6461" i="1"/>
  <c r="B6461" i="1"/>
  <c r="A6462" i="1"/>
  <c r="B6462" i="1"/>
  <c r="A6463" i="1"/>
  <c r="B6463" i="1"/>
  <c r="A6464" i="1"/>
  <c r="B6464" i="1"/>
  <c r="A6465" i="1"/>
  <c r="B6465" i="1"/>
  <c r="A6466" i="1"/>
  <c r="B6466" i="1"/>
  <c r="A6467" i="1"/>
  <c r="B6467" i="1"/>
  <c r="A6468" i="1"/>
  <c r="B6468" i="1"/>
  <c r="A6469" i="1"/>
  <c r="B6469" i="1"/>
  <c r="A6470" i="1"/>
  <c r="B6470" i="1"/>
  <c r="A6471" i="1"/>
  <c r="B6471" i="1"/>
  <c r="A6472" i="1"/>
  <c r="B6472" i="1"/>
  <c r="A6473" i="1"/>
  <c r="B6473" i="1"/>
  <c r="A6474" i="1"/>
  <c r="B6474" i="1"/>
  <c r="A6475" i="1"/>
  <c r="B6475" i="1"/>
  <c r="A6476" i="1"/>
  <c r="B6476" i="1"/>
  <c r="A6477" i="1"/>
  <c r="B6477" i="1"/>
  <c r="A6478" i="1"/>
  <c r="B6478" i="1"/>
  <c r="A6479" i="1"/>
  <c r="B6479" i="1"/>
  <c r="A6480" i="1"/>
  <c r="B6480" i="1"/>
  <c r="A6481" i="1"/>
  <c r="B6481" i="1"/>
  <c r="A6482" i="1"/>
  <c r="B6482" i="1"/>
  <c r="A6483" i="1"/>
  <c r="B6483" i="1"/>
  <c r="A6484" i="1"/>
  <c r="B6484" i="1"/>
  <c r="A6485" i="1"/>
  <c r="B6485" i="1"/>
  <c r="A6486" i="1"/>
  <c r="B6486" i="1"/>
  <c r="A6487" i="1"/>
  <c r="B6487" i="1"/>
  <c r="A6488" i="1"/>
  <c r="B6488" i="1"/>
  <c r="A6489" i="1"/>
  <c r="B6489" i="1"/>
  <c r="A6490" i="1"/>
  <c r="B6490" i="1"/>
  <c r="A6491" i="1"/>
  <c r="B6491" i="1"/>
  <c r="A6492" i="1"/>
  <c r="B6492" i="1"/>
  <c r="A6493" i="1"/>
  <c r="B6493" i="1"/>
  <c r="A6494" i="1"/>
  <c r="B6494" i="1"/>
  <c r="A6495" i="1"/>
  <c r="B6495" i="1"/>
  <c r="A6496" i="1"/>
  <c r="B6496" i="1"/>
  <c r="A6497" i="1"/>
  <c r="B6497" i="1"/>
  <c r="A6498" i="1"/>
  <c r="B6498" i="1"/>
  <c r="A6499" i="1"/>
  <c r="B6499" i="1"/>
  <c r="A6500" i="1"/>
  <c r="B6500" i="1"/>
  <c r="A6501" i="1"/>
  <c r="B6501" i="1"/>
  <c r="A6502" i="1"/>
  <c r="B6502" i="1"/>
  <c r="A6503" i="1"/>
  <c r="B6503" i="1"/>
  <c r="A6504" i="1"/>
  <c r="B6504" i="1"/>
  <c r="A6505" i="1"/>
  <c r="B6505" i="1"/>
  <c r="A6506" i="1"/>
  <c r="B6506" i="1"/>
  <c r="A6507" i="1"/>
  <c r="B6507" i="1"/>
  <c r="A6508" i="1"/>
  <c r="B6508" i="1"/>
  <c r="A6509" i="1"/>
  <c r="B6509" i="1"/>
  <c r="A6510" i="1"/>
  <c r="B6510" i="1"/>
  <c r="A6511" i="1"/>
  <c r="B6511" i="1"/>
  <c r="A6512" i="1"/>
  <c r="B6512" i="1"/>
  <c r="A6513" i="1"/>
  <c r="B6513" i="1"/>
  <c r="A6514" i="1"/>
  <c r="B6514" i="1"/>
  <c r="A6515" i="1"/>
  <c r="B6515" i="1"/>
  <c r="A6516" i="1"/>
  <c r="B6516" i="1"/>
  <c r="A6517" i="1"/>
  <c r="B6517" i="1"/>
  <c r="A6518" i="1"/>
  <c r="B6518" i="1"/>
  <c r="A6519" i="1"/>
  <c r="B6519" i="1"/>
  <c r="A6520" i="1"/>
  <c r="B6520" i="1"/>
  <c r="A6521" i="1"/>
  <c r="B6521" i="1"/>
  <c r="A6522" i="1"/>
  <c r="B6522" i="1"/>
  <c r="A6523" i="1"/>
  <c r="B6523" i="1"/>
  <c r="A6524" i="1"/>
  <c r="B6524" i="1"/>
  <c r="A6525" i="1"/>
  <c r="B6525" i="1"/>
  <c r="A6526" i="1"/>
  <c r="B6526" i="1"/>
  <c r="A6527" i="1"/>
  <c r="B6527" i="1"/>
  <c r="A6528" i="1"/>
  <c r="B6528" i="1"/>
  <c r="A6529" i="1"/>
  <c r="B6529" i="1"/>
  <c r="A6530" i="1"/>
  <c r="B6530" i="1"/>
  <c r="A6531" i="1"/>
  <c r="B6531" i="1"/>
  <c r="A6532" i="1"/>
  <c r="B6532" i="1"/>
  <c r="A6533" i="1"/>
  <c r="B6533" i="1"/>
  <c r="A6534" i="1"/>
  <c r="B6534" i="1"/>
  <c r="A6535" i="1"/>
  <c r="B6535" i="1"/>
  <c r="A6536" i="1"/>
  <c r="B6536" i="1"/>
  <c r="A6537" i="1"/>
  <c r="B6537" i="1"/>
  <c r="A6538" i="1"/>
  <c r="B6538" i="1"/>
  <c r="A6539" i="1"/>
  <c r="B6539" i="1"/>
  <c r="A6540" i="1"/>
  <c r="B6540" i="1"/>
  <c r="A6541" i="1"/>
  <c r="B6541" i="1"/>
  <c r="A6542" i="1"/>
  <c r="B6542" i="1"/>
  <c r="A6543" i="1"/>
  <c r="B6543" i="1"/>
  <c r="A6544" i="1"/>
  <c r="B6544" i="1"/>
  <c r="A6545" i="1"/>
  <c r="B6545" i="1"/>
  <c r="A6546" i="1"/>
  <c r="B6546" i="1"/>
  <c r="A6547" i="1"/>
  <c r="B6547" i="1"/>
  <c r="A6548" i="1"/>
  <c r="B6548" i="1"/>
  <c r="A6549" i="1"/>
  <c r="B6549" i="1"/>
  <c r="A6550" i="1"/>
  <c r="B6550" i="1"/>
  <c r="A6551" i="1"/>
  <c r="B6551" i="1"/>
  <c r="A6552" i="1"/>
  <c r="B6552" i="1"/>
  <c r="A6553" i="1"/>
  <c r="B6553" i="1"/>
  <c r="A6554" i="1"/>
  <c r="B6554" i="1"/>
  <c r="A6555" i="1"/>
  <c r="B6555" i="1"/>
  <c r="A6556" i="1"/>
  <c r="B6556" i="1"/>
  <c r="A6557" i="1"/>
  <c r="B6557" i="1"/>
  <c r="A6558" i="1"/>
  <c r="B6558" i="1"/>
  <c r="A6559" i="1"/>
  <c r="B6559" i="1"/>
  <c r="A6560" i="1"/>
  <c r="B6560" i="1"/>
  <c r="A6561" i="1"/>
  <c r="B6561" i="1"/>
  <c r="A6562" i="1"/>
  <c r="B6562" i="1"/>
  <c r="A6563" i="1"/>
  <c r="B6563" i="1"/>
  <c r="A6564" i="1"/>
  <c r="B6564" i="1"/>
  <c r="A6565" i="1"/>
  <c r="B6565" i="1"/>
  <c r="A6566" i="1"/>
  <c r="B6566" i="1"/>
  <c r="A6567" i="1"/>
  <c r="B6567" i="1"/>
  <c r="A6568" i="1"/>
  <c r="B6568" i="1"/>
  <c r="A6569" i="1"/>
  <c r="B6569" i="1"/>
  <c r="A6570" i="1"/>
  <c r="B6570" i="1"/>
  <c r="A6571" i="1"/>
  <c r="B6571" i="1"/>
  <c r="A6572" i="1"/>
  <c r="B6572" i="1"/>
  <c r="A6573" i="1"/>
  <c r="B6573" i="1"/>
  <c r="A6574" i="1"/>
  <c r="B6574" i="1"/>
  <c r="A6575" i="1"/>
  <c r="B6575" i="1"/>
  <c r="A6576" i="1"/>
  <c r="B6576" i="1"/>
  <c r="A6577" i="1"/>
  <c r="B6577" i="1"/>
  <c r="A6578" i="1"/>
  <c r="B6578" i="1"/>
  <c r="A6579" i="1"/>
  <c r="B6579" i="1"/>
  <c r="A6580" i="1"/>
  <c r="B6580" i="1"/>
  <c r="A6581" i="1"/>
  <c r="B6581" i="1"/>
  <c r="A6582" i="1"/>
  <c r="B6582" i="1"/>
  <c r="A6583" i="1"/>
  <c r="B6583" i="1"/>
  <c r="A6584" i="1"/>
  <c r="B6584" i="1"/>
  <c r="A6585" i="1"/>
  <c r="B6585" i="1"/>
  <c r="A6586" i="1"/>
  <c r="B6586" i="1"/>
  <c r="A6587" i="1"/>
  <c r="B6587" i="1"/>
  <c r="A6588" i="1"/>
  <c r="B6588" i="1"/>
  <c r="A6589" i="1"/>
  <c r="B6589" i="1"/>
  <c r="A6590" i="1"/>
  <c r="B6590" i="1"/>
  <c r="A6591" i="1"/>
  <c r="B6591" i="1"/>
  <c r="A6592" i="1"/>
  <c r="B6592" i="1"/>
  <c r="A6593" i="1"/>
  <c r="B6593" i="1"/>
  <c r="A6594" i="1"/>
  <c r="B6594" i="1"/>
  <c r="A6595" i="1"/>
  <c r="B6595" i="1"/>
  <c r="A6596" i="1"/>
  <c r="B6596" i="1"/>
  <c r="A6597" i="1"/>
  <c r="B6597" i="1"/>
  <c r="A6598" i="1"/>
  <c r="B6598" i="1"/>
  <c r="A6599" i="1"/>
  <c r="B6599" i="1"/>
  <c r="A6600" i="1"/>
  <c r="B6600" i="1"/>
  <c r="A6601" i="1"/>
  <c r="B6601" i="1"/>
  <c r="A6602" i="1"/>
  <c r="B6602" i="1"/>
  <c r="A6603" i="1"/>
  <c r="B6603" i="1"/>
  <c r="A6604" i="1"/>
  <c r="B6604" i="1"/>
  <c r="A6605" i="1"/>
  <c r="B6605" i="1"/>
  <c r="A6606" i="1"/>
  <c r="B6606" i="1"/>
  <c r="A6607" i="1"/>
  <c r="B6607" i="1"/>
  <c r="A6608" i="1"/>
  <c r="B6608" i="1"/>
  <c r="A6609" i="1"/>
  <c r="B6609" i="1"/>
  <c r="A6610" i="1"/>
  <c r="B6610" i="1"/>
  <c r="A6611" i="1"/>
  <c r="B6611" i="1"/>
  <c r="A6612" i="1"/>
  <c r="B6612" i="1"/>
  <c r="A6613" i="1"/>
  <c r="B6613" i="1"/>
  <c r="A6614" i="1"/>
  <c r="B6614" i="1"/>
  <c r="A6615" i="1"/>
  <c r="B6615" i="1"/>
  <c r="A6616" i="1"/>
  <c r="B6616" i="1"/>
  <c r="A6617" i="1"/>
  <c r="B6617" i="1"/>
  <c r="A6618" i="1"/>
  <c r="B6618" i="1"/>
  <c r="A6619" i="1"/>
  <c r="B6619" i="1"/>
  <c r="A6620" i="1"/>
  <c r="B6620" i="1"/>
  <c r="A6621" i="1"/>
  <c r="B6621" i="1"/>
  <c r="A6622" i="1"/>
  <c r="B6622" i="1"/>
  <c r="A6623" i="1"/>
  <c r="B6623" i="1"/>
  <c r="A6624" i="1"/>
  <c r="B6624" i="1"/>
  <c r="A6625" i="1"/>
  <c r="B6625" i="1"/>
  <c r="A6626" i="1"/>
  <c r="B6626" i="1"/>
  <c r="A6627" i="1"/>
  <c r="B6627" i="1"/>
  <c r="A6628" i="1"/>
  <c r="B6628" i="1"/>
  <c r="A6629" i="1"/>
  <c r="B6629" i="1"/>
  <c r="A6630" i="1"/>
  <c r="B6630" i="1"/>
  <c r="A6631" i="1"/>
  <c r="B6631" i="1"/>
  <c r="A6632" i="1"/>
  <c r="B6632" i="1"/>
  <c r="A6633" i="1"/>
  <c r="B6633" i="1"/>
  <c r="A6634" i="1"/>
  <c r="B6634" i="1"/>
  <c r="A6635" i="1"/>
  <c r="B6635" i="1"/>
  <c r="A6636" i="1"/>
  <c r="B6636" i="1"/>
  <c r="A6637" i="1"/>
  <c r="B6637" i="1"/>
  <c r="A6638" i="1"/>
  <c r="B6638" i="1"/>
  <c r="A6639" i="1"/>
  <c r="B6639" i="1"/>
  <c r="A6640" i="1"/>
  <c r="B6640" i="1"/>
  <c r="A6641" i="1"/>
  <c r="B6641" i="1"/>
  <c r="A6642" i="1"/>
  <c r="B6642" i="1"/>
  <c r="A6643" i="1"/>
  <c r="B6643" i="1"/>
  <c r="A6644" i="1"/>
  <c r="B6644" i="1"/>
  <c r="A6645" i="1"/>
  <c r="B6645" i="1"/>
  <c r="A6646" i="1"/>
  <c r="B6646" i="1"/>
  <c r="A6647" i="1"/>
  <c r="B6647" i="1"/>
  <c r="A6648" i="1"/>
  <c r="B6648" i="1"/>
  <c r="A6649" i="1"/>
  <c r="B6649" i="1"/>
  <c r="A6650" i="1"/>
  <c r="B6650" i="1"/>
  <c r="A6651" i="1"/>
  <c r="B6651" i="1"/>
  <c r="A6652" i="1"/>
  <c r="B6652" i="1"/>
  <c r="A6653" i="1"/>
  <c r="B6653" i="1"/>
  <c r="A6654" i="1"/>
  <c r="B6654" i="1"/>
  <c r="A6655" i="1"/>
  <c r="B6655" i="1"/>
  <c r="A6656" i="1"/>
  <c r="B6656" i="1"/>
  <c r="A6657" i="1"/>
  <c r="B6657" i="1"/>
  <c r="A6658" i="1"/>
  <c r="B6658" i="1"/>
  <c r="A6659" i="1"/>
  <c r="B6659" i="1"/>
  <c r="A6660" i="1"/>
  <c r="B6660" i="1"/>
  <c r="A6661" i="1"/>
  <c r="B6661" i="1"/>
  <c r="A6662" i="1"/>
  <c r="B6662" i="1"/>
  <c r="A6663" i="1"/>
  <c r="B6663" i="1"/>
  <c r="A6664" i="1"/>
  <c r="B6664" i="1"/>
  <c r="A6665" i="1"/>
  <c r="B6665" i="1"/>
  <c r="A6666" i="1"/>
  <c r="B6666" i="1"/>
  <c r="A6667" i="1"/>
  <c r="B6667" i="1"/>
  <c r="A6668" i="1"/>
  <c r="B6668" i="1"/>
  <c r="A6669" i="1"/>
  <c r="B6669" i="1"/>
  <c r="A6670" i="1"/>
  <c r="B6670" i="1"/>
  <c r="A6671" i="1"/>
  <c r="B6671" i="1"/>
  <c r="A6672" i="1"/>
  <c r="B6672" i="1"/>
  <c r="A6673" i="1"/>
  <c r="B6673" i="1"/>
  <c r="A6674" i="1"/>
  <c r="B6674" i="1"/>
  <c r="A6675" i="1"/>
  <c r="B6675" i="1"/>
  <c r="A6676" i="1"/>
  <c r="B6676" i="1"/>
  <c r="A6677" i="1"/>
  <c r="B6677" i="1"/>
  <c r="A6678" i="1"/>
  <c r="B6678" i="1"/>
  <c r="A6679" i="1"/>
  <c r="B6679" i="1"/>
  <c r="A6680" i="1"/>
  <c r="B6680" i="1"/>
  <c r="A6681" i="1"/>
  <c r="B6681" i="1"/>
  <c r="A6682" i="1"/>
  <c r="B6682" i="1"/>
  <c r="A6683" i="1"/>
  <c r="B6683" i="1"/>
  <c r="A6684" i="1"/>
  <c r="B6684" i="1"/>
  <c r="A6685" i="1"/>
  <c r="B6685" i="1"/>
  <c r="A6686" i="1"/>
  <c r="B6686" i="1"/>
  <c r="A6687" i="1"/>
  <c r="B6687" i="1"/>
  <c r="A6688" i="1"/>
  <c r="B6688" i="1"/>
  <c r="A6689" i="1"/>
  <c r="B6689" i="1"/>
  <c r="A6690" i="1"/>
  <c r="B6690" i="1"/>
  <c r="A6691" i="1"/>
  <c r="B6691" i="1"/>
  <c r="A6692" i="1"/>
  <c r="B6692" i="1"/>
  <c r="A6693" i="1"/>
  <c r="B6693" i="1"/>
  <c r="A6694" i="1"/>
  <c r="B6694" i="1"/>
  <c r="A6695" i="1"/>
  <c r="B6695" i="1"/>
  <c r="A6696" i="1"/>
  <c r="B6696" i="1"/>
  <c r="A6697" i="1"/>
  <c r="B6697" i="1"/>
  <c r="A6698" i="1"/>
  <c r="B6698" i="1"/>
  <c r="A6699" i="1"/>
  <c r="B6699" i="1"/>
  <c r="A6700" i="1"/>
  <c r="B6700" i="1"/>
  <c r="A6701" i="1"/>
  <c r="B6701" i="1"/>
  <c r="A6702" i="1"/>
  <c r="B6702" i="1"/>
  <c r="A6703" i="1"/>
  <c r="B6703" i="1"/>
  <c r="A6704" i="1"/>
  <c r="B6704" i="1"/>
  <c r="A6705" i="1"/>
  <c r="B6705" i="1"/>
  <c r="A6706" i="1"/>
  <c r="B6706" i="1"/>
  <c r="A6707" i="1"/>
  <c r="B6707" i="1"/>
  <c r="A6708" i="1"/>
  <c r="B6708" i="1"/>
  <c r="A6709" i="1"/>
  <c r="B6709" i="1"/>
  <c r="A6710" i="1"/>
  <c r="B6710" i="1"/>
  <c r="A6711" i="1"/>
  <c r="B6711" i="1"/>
  <c r="A6712" i="1"/>
  <c r="B6712" i="1"/>
  <c r="A6713" i="1"/>
  <c r="B6713" i="1"/>
  <c r="A6714" i="1"/>
  <c r="B6714" i="1"/>
  <c r="A6715" i="1"/>
  <c r="B6715" i="1"/>
  <c r="A6716" i="1"/>
  <c r="B6716" i="1"/>
  <c r="A6717" i="1"/>
  <c r="B6717" i="1"/>
  <c r="A6718" i="1"/>
  <c r="B6718" i="1"/>
  <c r="A6719" i="1"/>
  <c r="B6719" i="1"/>
  <c r="A6720" i="1"/>
  <c r="B6720" i="1"/>
  <c r="A6721" i="1"/>
  <c r="B6721" i="1"/>
  <c r="A6722" i="1"/>
  <c r="B6722" i="1"/>
  <c r="A6723" i="1"/>
  <c r="B6723" i="1"/>
  <c r="A6724" i="1"/>
  <c r="B6724" i="1"/>
  <c r="A6725" i="1"/>
  <c r="B6725" i="1"/>
  <c r="A6726" i="1"/>
  <c r="B6726" i="1"/>
  <c r="A6727" i="1"/>
  <c r="B6727" i="1"/>
  <c r="A6728" i="1"/>
  <c r="B6728" i="1"/>
  <c r="A6729" i="1"/>
  <c r="B6729" i="1"/>
  <c r="A6730" i="1"/>
  <c r="B6730" i="1"/>
  <c r="A6731" i="1"/>
  <c r="B6731" i="1"/>
  <c r="A6732" i="1"/>
  <c r="B6732" i="1"/>
  <c r="A6733" i="1"/>
  <c r="B6733" i="1"/>
  <c r="A6734" i="1"/>
  <c r="B6734" i="1"/>
  <c r="A6735" i="1"/>
  <c r="B6735" i="1"/>
  <c r="A6736" i="1"/>
  <c r="B6736" i="1"/>
  <c r="A6737" i="1"/>
  <c r="B6737" i="1"/>
  <c r="A6738" i="1"/>
  <c r="B6738" i="1"/>
  <c r="A6739" i="1"/>
  <c r="B6739" i="1"/>
  <c r="A6740" i="1"/>
  <c r="B6740" i="1"/>
  <c r="A6741" i="1"/>
  <c r="B6741" i="1"/>
  <c r="A6742" i="1"/>
  <c r="B6742" i="1"/>
  <c r="A6743" i="1"/>
  <c r="B6743" i="1"/>
  <c r="A6744" i="1"/>
  <c r="B6744" i="1"/>
  <c r="A6745" i="1"/>
  <c r="B6745" i="1"/>
  <c r="A6746" i="1"/>
  <c r="B6746" i="1"/>
  <c r="A6747" i="1"/>
  <c r="B6747" i="1"/>
  <c r="A6748" i="1"/>
  <c r="B6748" i="1"/>
  <c r="A6749" i="1"/>
  <c r="B6749" i="1"/>
  <c r="A6750" i="1"/>
  <c r="B6750" i="1"/>
  <c r="A6751" i="1"/>
  <c r="B6751" i="1"/>
  <c r="A6752" i="1"/>
  <c r="B6752" i="1"/>
  <c r="A6753" i="1"/>
  <c r="B6753" i="1"/>
  <c r="A6754" i="1"/>
  <c r="B6754" i="1"/>
  <c r="A6755" i="1"/>
  <c r="B6755" i="1"/>
  <c r="A6756" i="1"/>
  <c r="B6756" i="1"/>
  <c r="A6757" i="1"/>
  <c r="B6757" i="1"/>
  <c r="A6758" i="1"/>
  <c r="B6758" i="1"/>
  <c r="A6759" i="1"/>
  <c r="B6759" i="1"/>
  <c r="A6760" i="1"/>
  <c r="B6760" i="1"/>
  <c r="A6761" i="1"/>
  <c r="B6761" i="1"/>
  <c r="A6762" i="1"/>
  <c r="B6762" i="1"/>
  <c r="A6763" i="1"/>
  <c r="B6763" i="1"/>
  <c r="A6764" i="1"/>
  <c r="B6764" i="1"/>
  <c r="A6765" i="1"/>
  <c r="B6765" i="1"/>
  <c r="A6766" i="1"/>
  <c r="B6766" i="1"/>
  <c r="A6767" i="1"/>
  <c r="B6767" i="1"/>
  <c r="A6768" i="1"/>
  <c r="B6768" i="1"/>
  <c r="A6769" i="1"/>
  <c r="B6769" i="1"/>
  <c r="A6770" i="1"/>
  <c r="B6770" i="1"/>
  <c r="A6771" i="1"/>
  <c r="B6771" i="1"/>
  <c r="A6772" i="1"/>
  <c r="B6772" i="1"/>
  <c r="A6773" i="1"/>
  <c r="B6773" i="1"/>
  <c r="A6774" i="1"/>
  <c r="B6774" i="1"/>
  <c r="A6775" i="1"/>
  <c r="B6775" i="1"/>
  <c r="A6776" i="1"/>
  <c r="B6776" i="1"/>
  <c r="A6777" i="1"/>
  <c r="B6777" i="1"/>
  <c r="A6778" i="1"/>
  <c r="B6778" i="1"/>
  <c r="A6779" i="1"/>
  <c r="B6779" i="1"/>
  <c r="A6780" i="1"/>
  <c r="B6780" i="1"/>
  <c r="A6781" i="1"/>
  <c r="B6781" i="1"/>
  <c r="A6782" i="1"/>
  <c r="B6782" i="1"/>
  <c r="A6783" i="1"/>
  <c r="B6783" i="1"/>
  <c r="A6784" i="1"/>
  <c r="B6784" i="1"/>
  <c r="A6785" i="1"/>
  <c r="B6785" i="1"/>
  <c r="A6786" i="1"/>
  <c r="B6786" i="1"/>
  <c r="A6787" i="1"/>
  <c r="B6787" i="1"/>
  <c r="A6788" i="1"/>
  <c r="B6788" i="1"/>
  <c r="A6789" i="1"/>
  <c r="B6789" i="1"/>
  <c r="A6790" i="1"/>
  <c r="B6790" i="1"/>
  <c r="A6791" i="1"/>
  <c r="B6791" i="1"/>
  <c r="A6792" i="1"/>
  <c r="B6792" i="1"/>
  <c r="A6793" i="1"/>
  <c r="B6793" i="1"/>
  <c r="A6794" i="1"/>
  <c r="B6794" i="1"/>
  <c r="A6795" i="1"/>
  <c r="B6795" i="1"/>
  <c r="A6796" i="1"/>
  <c r="B6796" i="1"/>
  <c r="A6797" i="1"/>
  <c r="B6797" i="1"/>
  <c r="A6798" i="1"/>
  <c r="B6798" i="1"/>
  <c r="A6799" i="1"/>
  <c r="B6799" i="1"/>
  <c r="A6800" i="1"/>
  <c r="B6800" i="1"/>
  <c r="A6801" i="1"/>
  <c r="B6801" i="1"/>
  <c r="A6802" i="1"/>
  <c r="B6802" i="1"/>
  <c r="A6803" i="1"/>
  <c r="B6803" i="1"/>
  <c r="A6804" i="1"/>
  <c r="B6804" i="1"/>
  <c r="A6805" i="1"/>
  <c r="B6805" i="1"/>
  <c r="A6806" i="1"/>
  <c r="B6806" i="1"/>
  <c r="A6807" i="1"/>
  <c r="B6807" i="1"/>
  <c r="A6808" i="1"/>
  <c r="B6808" i="1"/>
  <c r="A6809" i="1"/>
  <c r="B6809" i="1"/>
  <c r="A6810" i="1"/>
  <c r="B6810" i="1"/>
  <c r="A6811" i="1"/>
  <c r="B6811" i="1"/>
  <c r="A6812" i="1"/>
  <c r="B6812" i="1"/>
  <c r="A6813" i="1"/>
  <c r="B6813" i="1"/>
  <c r="A6814" i="1"/>
  <c r="B6814" i="1"/>
  <c r="A6815" i="1"/>
  <c r="B6815" i="1"/>
  <c r="A6816" i="1"/>
  <c r="B6816" i="1"/>
  <c r="A6817" i="1"/>
  <c r="B6817" i="1"/>
  <c r="A6818" i="1"/>
  <c r="B6818" i="1"/>
  <c r="A6819" i="1"/>
  <c r="B6819" i="1"/>
  <c r="A6820" i="1"/>
  <c r="B6820" i="1"/>
  <c r="A6821" i="1"/>
  <c r="B6821" i="1"/>
  <c r="A6822" i="1"/>
  <c r="B6822" i="1"/>
  <c r="A6823" i="1"/>
  <c r="B6823" i="1"/>
  <c r="A6824" i="1"/>
  <c r="B6824" i="1"/>
  <c r="A6825" i="1"/>
  <c r="B6825" i="1"/>
  <c r="A6826" i="1"/>
  <c r="B6826" i="1"/>
  <c r="A6827" i="1"/>
  <c r="B6827" i="1"/>
  <c r="A6828" i="1"/>
  <c r="B6828" i="1"/>
  <c r="A6829" i="1"/>
  <c r="B6829" i="1"/>
  <c r="A6830" i="1"/>
  <c r="B6830" i="1"/>
  <c r="A6831" i="1"/>
  <c r="B6831" i="1"/>
  <c r="A6832" i="1"/>
  <c r="B6832" i="1"/>
  <c r="A6833" i="1"/>
  <c r="B6833" i="1"/>
  <c r="A6834" i="1"/>
  <c r="B6834" i="1"/>
  <c r="A6835" i="1"/>
  <c r="B6835" i="1"/>
  <c r="A6836" i="1"/>
  <c r="B6836" i="1"/>
  <c r="A6837" i="1"/>
  <c r="B6837" i="1"/>
  <c r="A6838" i="1"/>
  <c r="B6838" i="1"/>
  <c r="A6839" i="1"/>
  <c r="B6839" i="1"/>
  <c r="A6840" i="1"/>
  <c r="B6840" i="1"/>
  <c r="A6841" i="1"/>
  <c r="B6841" i="1"/>
  <c r="A6842" i="1"/>
  <c r="B6842" i="1"/>
  <c r="A6843" i="1"/>
  <c r="B6843" i="1"/>
  <c r="A6844" i="1"/>
  <c r="B6844" i="1"/>
  <c r="A6845" i="1"/>
  <c r="B6845" i="1"/>
  <c r="A6846" i="1"/>
  <c r="B6846" i="1"/>
  <c r="A6847" i="1"/>
  <c r="B6847" i="1"/>
  <c r="A6848" i="1"/>
  <c r="B6848" i="1"/>
  <c r="A6849" i="1"/>
  <c r="B6849" i="1"/>
  <c r="A6850" i="1"/>
  <c r="B6850" i="1"/>
  <c r="A6851" i="1"/>
  <c r="B6851" i="1"/>
  <c r="A6852" i="1"/>
  <c r="B6852" i="1"/>
  <c r="A6853" i="1"/>
  <c r="B6853" i="1"/>
  <c r="A6854" i="1"/>
  <c r="B6854" i="1"/>
  <c r="A6855" i="1"/>
  <c r="B6855" i="1"/>
  <c r="A6856" i="1"/>
  <c r="B6856" i="1"/>
  <c r="A6857" i="1"/>
  <c r="B6857" i="1"/>
  <c r="A6858" i="1"/>
  <c r="B6858" i="1"/>
  <c r="A6859" i="1"/>
  <c r="B6859" i="1"/>
  <c r="A6860" i="1"/>
  <c r="B6860" i="1"/>
  <c r="A6861" i="1"/>
  <c r="B6861" i="1"/>
  <c r="A6862" i="1"/>
  <c r="B6862" i="1"/>
  <c r="A6863" i="1"/>
  <c r="B6863" i="1"/>
  <c r="A6864" i="1"/>
  <c r="B6864" i="1"/>
  <c r="A6865" i="1"/>
  <c r="B6865" i="1"/>
  <c r="A6866" i="1"/>
  <c r="B6866" i="1"/>
  <c r="A6867" i="1"/>
  <c r="B6867" i="1"/>
  <c r="A6868" i="1"/>
  <c r="B6868" i="1"/>
  <c r="A6869" i="1"/>
  <c r="B6869" i="1"/>
  <c r="A6870" i="1"/>
  <c r="B6870" i="1"/>
  <c r="A6871" i="1"/>
  <c r="B6871" i="1"/>
  <c r="A6872" i="1"/>
  <c r="B6872" i="1"/>
  <c r="A6873" i="1"/>
  <c r="B6873" i="1"/>
  <c r="A6874" i="1"/>
  <c r="B6874" i="1"/>
  <c r="A6875" i="1"/>
  <c r="B6875" i="1"/>
  <c r="A6876" i="1"/>
  <c r="B6876" i="1"/>
  <c r="A6877" i="1"/>
  <c r="B6877" i="1"/>
  <c r="A6878" i="1"/>
  <c r="B6878" i="1"/>
  <c r="A6879" i="1"/>
  <c r="B6879" i="1"/>
  <c r="A6880" i="1"/>
  <c r="B6880" i="1"/>
  <c r="A6881" i="1"/>
  <c r="B6881" i="1"/>
  <c r="A6882" i="1"/>
  <c r="B6882" i="1"/>
  <c r="A6883" i="1"/>
  <c r="B6883" i="1"/>
  <c r="A6884" i="1"/>
  <c r="B6884" i="1"/>
  <c r="A6885" i="1"/>
  <c r="B6885" i="1"/>
  <c r="A6886" i="1"/>
  <c r="B6886" i="1"/>
  <c r="A6887" i="1"/>
  <c r="B6887" i="1"/>
  <c r="A6888" i="1"/>
  <c r="B6888" i="1"/>
  <c r="A6889" i="1"/>
  <c r="B6889" i="1"/>
  <c r="A6890" i="1"/>
  <c r="B6890" i="1"/>
  <c r="A6891" i="1"/>
  <c r="B6891" i="1"/>
  <c r="A6892" i="1"/>
  <c r="B6892" i="1"/>
  <c r="A6893" i="1"/>
  <c r="B6893" i="1"/>
  <c r="A6894" i="1"/>
  <c r="B6894" i="1"/>
  <c r="A6895" i="1"/>
  <c r="B6895" i="1"/>
  <c r="A6896" i="1"/>
  <c r="B6896" i="1"/>
  <c r="A6897" i="1"/>
  <c r="B6897" i="1"/>
  <c r="A6898" i="1"/>
  <c r="B6898" i="1"/>
  <c r="A6899" i="1"/>
  <c r="B6899" i="1"/>
  <c r="A6900" i="1"/>
  <c r="B6900" i="1"/>
  <c r="A6901" i="1"/>
  <c r="B6901" i="1"/>
  <c r="A6902" i="1"/>
  <c r="B6902" i="1"/>
  <c r="A6903" i="1"/>
  <c r="B6903" i="1"/>
  <c r="A6904" i="1"/>
  <c r="B6904" i="1"/>
  <c r="A6905" i="1"/>
  <c r="B6905" i="1"/>
  <c r="A6906" i="1"/>
  <c r="B6906" i="1"/>
  <c r="A6907" i="1"/>
  <c r="B6907" i="1"/>
  <c r="A6908" i="1"/>
  <c r="B6908" i="1"/>
  <c r="A6909" i="1"/>
  <c r="B6909" i="1"/>
  <c r="A6910" i="1"/>
  <c r="B6910" i="1"/>
  <c r="A6911" i="1"/>
  <c r="B6911" i="1"/>
  <c r="A6912" i="1"/>
  <c r="B6912" i="1"/>
  <c r="A6913" i="1"/>
  <c r="B6913" i="1"/>
  <c r="A6914" i="1"/>
  <c r="B6914" i="1"/>
  <c r="A6915" i="1"/>
  <c r="B6915" i="1"/>
  <c r="A6916" i="1"/>
  <c r="B6916" i="1"/>
  <c r="A6917" i="1"/>
  <c r="B6917" i="1"/>
  <c r="A6918" i="1"/>
  <c r="B6918" i="1"/>
  <c r="A6919" i="1"/>
  <c r="B6919" i="1"/>
  <c r="A6920" i="1"/>
  <c r="B6920" i="1"/>
  <c r="A6921" i="1"/>
  <c r="B6921" i="1"/>
  <c r="A6922" i="1"/>
  <c r="B6922" i="1"/>
  <c r="A6923" i="1"/>
  <c r="B6923" i="1"/>
  <c r="A6924" i="1"/>
  <c r="B6924" i="1"/>
  <c r="A6925" i="1"/>
  <c r="B6925" i="1"/>
  <c r="A6926" i="1"/>
  <c r="B6926" i="1"/>
  <c r="A6927" i="1"/>
  <c r="B6927" i="1"/>
  <c r="A6928" i="1"/>
  <c r="B6928" i="1"/>
  <c r="A6929" i="1"/>
  <c r="B6929" i="1"/>
  <c r="A6930" i="1"/>
  <c r="B6930" i="1"/>
  <c r="A6931" i="1"/>
  <c r="B6931" i="1"/>
  <c r="A6932" i="1"/>
  <c r="B6932" i="1"/>
  <c r="A6933" i="1"/>
  <c r="B6933" i="1"/>
  <c r="A6934" i="1"/>
  <c r="B6934" i="1"/>
  <c r="A6935" i="1"/>
  <c r="B6935" i="1"/>
  <c r="A6936" i="1"/>
  <c r="B6936" i="1"/>
  <c r="A6937" i="1"/>
  <c r="B6937" i="1"/>
  <c r="A6938" i="1"/>
  <c r="B6938" i="1"/>
  <c r="A6939" i="1"/>
  <c r="B6939" i="1"/>
  <c r="A6940" i="1"/>
  <c r="B6940" i="1"/>
  <c r="A6941" i="1"/>
  <c r="B6941" i="1"/>
  <c r="A6942" i="1"/>
  <c r="B6942" i="1"/>
  <c r="A6943" i="1"/>
  <c r="B6943" i="1"/>
  <c r="A6944" i="1"/>
  <c r="B6944" i="1"/>
  <c r="A6945" i="1"/>
  <c r="B6945" i="1"/>
  <c r="A6946" i="1"/>
  <c r="B6946" i="1"/>
  <c r="A6947" i="1"/>
  <c r="B6947" i="1"/>
  <c r="A6948" i="1"/>
  <c r="B6948" i="1"/>
  <c r="A6949" i="1"/>
  <c r="B6949" i="1"/>
  <c r="A6950" i="1"/>
  <c r="B6950" i="1"/>
  <c r="A6951" i="1"/>
  <c r="B6951" i="1"/>
  <c r="A6952" i="1"/>
  <c r="B6952" i="1"/>
  <c r="A6953" i="1"/>
  <c r="B6953" i="1"/>
  <c r="A6954" i="1"/>
  <c r="B6954" i="1"/>
  <c r="A6955" i="1"/>
  <c r="B6955" i="1"/>
  <c r="A6956" i="1"/>
  <c r="B6956" i="1"/>
  <c r="A6957" i="1"/>
  <c r="B6957" i="1"/>
  <c r="A6958" i="1"/>
  <c r="B6958" i="1"/>
  <c r="A6959" i="1"/>
  <c r="B6959" i="1"/>
  <c r="A6960" i="1"/>
  <c r="B6960" i="1"/>
  <c r="A6961" i="1"/>
  <c r="B6961" i="1"/>
  <c r="A6962" i="1"/>
  <c r="B6962" i="1"/>
  <c r="A6963" i="1"/>
  <c r="B6963" i="1"/>
  <c r="A6964" i="1"/>
  <c r="B6964" i="1"/>
  <c r="A6965" i="1"/>
  <c r="B6965" i="1"/>
  <c r="A6966" i="1"/>
  <c r="B6966" i="1"/>
  <c r="A6967" i="1"/>
  <c r="B6967" i="1"/>
  <c r="A6968" i="1"/>
  <c r="B6968" i="1"/>
  <c r="A6969" i="1"/>
  <c r="B6969" i="1"/>
  <c r="A6970" i="1"/>
  <c r="B6970" i="1"/>
  <c r="A6971" i="1"/>
  <c r="B6971" i="1"/>
  <c r="A6972" i="1"/>
  <c r="B6972" i="1"/>
  <c r="A6973" i="1"/>
  <c r="B6973" i="1"/>
  <c r="A6974" i="1"/>
  <c r="B6974" i="1"/>
  <c r="A6975" i="1"/>
  <c r="B6975" i="1"/>
  <c r="A6976" i="1"/>
  <c r="B6976" i="1"/>
  <c r="A6977" i="1"/>
  <c r="B6977" i="1"/>
  <c r="A6978" i="1"/>
  <c r="B6978" i="1"/>
  <c r="A6979" i="1"/>
  <c r="B6979" i="1"/>
  <c r="A6980" i="1"/>
  <c r="B6980" i="1"/>
  <c r="A6981" i="1"/>
  <c r="B6981" i="1"/>
  <c r="A6982" i="1"/>
  <c r="B6982" i="1"/>
  <c r="A6983" i="1"/>
  <c r="B6983" i="1"/>
  <c r="A6984" i="1"/>
  <c r="B6984" i="1"/>
  <c r="A6985" i="1"/>
  <c r="B6985" i="1"/>
  <c r="A6986" i="1"/>
  <c r="B6986" i="1"/>
  <c r="A6987" i="1"/>
  <c r="B6987" i="1"/>
  <c r="A6988" i="1"/>
  <c r="B6988" i="1"/>
  <c r="A6989" i="1"/>
  <c r="B6989" i="1"/>
  <c r="A6990" i="1"/>
  <c r="B6990" i="1"/>
  <c r="A6991" i="1"/>
  <c r="B6991" i="1"/>
  <c r="A6992" i="1"/>
  <c r="B6992" i="1"/>
  <c r="A6993" i="1"/>
  <c r="B6993" i="1"/>
  <c r="A6994" i="1"/>
  <c r="B6994" i="1"/>
  <c r="A6995" i="1"/>
  <c r="B6995" i="1"/>
  <c r="A6996" i="1"/>
  <c r="B6996" i="1"/>
  <c r="A6997" i="1"/>
  <c r="B6997" i="1"/>
  <c r="A6998" i="1"/>
  <c r="B6998" i="1"/>
  <c r="A6999" i="1"/>
  <c r="B6999" i="1"/>
  <c r="A7000" i="1"/>
  <c r="B7000" i="1"/>
  <c r="A7001" i="1"/>
  <c r="B7001" i="1"/>
  <c r="A7002" i="1"/>
  <c r="B7002" i="1"/>
  <c r="A7003" i="1"/>
  <c r="B7003" i="1"/>
  <c r="A7004" i="1"/>
  <c r="B7004" i="1"/>
  <c r="A7005" i="1"/>
  <c r="B7005" i="1"/>
  <c r="A7006" i="1"/>
  <c r="B7006" i="1"/>
  <c r="A7007" i="1"/>
  <c r="B7007" i="1"/>
  <c r="A7008" i="1"/>
  <c r="B7008" i="1"/>
  <c r="A7009" i="1"/>
  <c r="B7009" i="1"/>
  <c r="A7010" i="1"/>
  <c r="B7010" i="1"/>
  <c r="A7011" i="1"/>
  <c r="B7011" i="1"/>
  <c r="A7012" i="1"/>
  <c r="B7012" i="1"/>
  <c r="A7013" i="1"/>
  <c r="B7013" i="1"/>
  <c r="A7014" i="1"/>
  <c r="B7014" i="1"/>
  <c r="A7015" i="1"/>
  <c r="B7015" i="1"/>
  <c r="A7016" i="1"/>
  <c r="B7016" i="1"/>
  <c r="A7017" i="1"/>
  <c r="B7017" i="1"/>
  <c r="A7018" i="1"/>
  <c r="B7018" i="1"/>
  <c r="A7019" i="1"/>
  <c r="B7019" i="1"/>
  <c r="A7020" i="1"/>
  <c r="B7020" i="1"/>
  <c r="A7021" i="1"/>
  <c r="B7021" i="1"/>
  <c r="A7022" i="1"/>
  <c r="B7022" i="1"/>
  <c r="A7023" i="1"/>
  <c r="B7023" i="1"/>
  <c r="A7024" i="1"/>
  <c r="B7024" i="1"/>
  <c r="A7025" i="1"/>
  <c r="B7025" i="1"/>
  <c r="A7026" i="1"/>
  <c r="B7026" i="1"/>
  <c r="A7027" i="1"/>
  <c r="B7027" i="1"/>
  <c r="A7028" i="1"/>
  <c r="B7028" i="1"/>
  <c r="A7029" i="1"/>
  <c r="B7029" i="1"/>
  <c r="A7030" i="1"/>
  <c r="B7030" i="1"/>
  <c r="A7031" i="1"/>
  <c r="B7031" i="1"/>
  <c r="A7032" i="1"/>
  <c r="B7032" i="1"/>
  <c r="A7033" i="1"/>
  <c r="B7033" i="1"/>
  <c r="A7034" i="1"/>
  <c r="B7034" i="1"/>
  <c r="A7035" i="1"/>
  <c r="B7035" i="1"/>
  <c r="A7036" i="1"/>
  <c r="B7036" i="1"/>
  <c r="A7037" i="1"/>
  <c r="B7037" i="1"/>
  <c r="A7038" i="1"/>
  <c r="B7038" i="1"/>
  <c r="A7039" i="1"/>
  <c r="B7039" i="1"/>
  <c r="A7040" i="1"/>
  <c r="B7040" i="1"/>
  <c r="A7041" i="1"/>
  <c r="B7041" i="1"/>
  <c r="A7042" i="1"/>
  <c r="B7042" i="1"/>
  <c r="A7043" i="1"/>
  <c r="B7043" i="1"/>
  <c r="A7044" i="1"/>
  <c r="B7044" i="1"/>
  <c r="A7045" i="1"/>
  <c r="B7045" i="1"/>
  <c r="A7046" i="1"/>
  <c r="B7046" i="1"/>
  <c r="A7047" i="1"/>
  <c r="B7047" i="1"/>
  <c r="A7048" i="1"/>
  <c r="B7048" i="1"/>
  <c r="A7049" i="1"/>
  <c r="B7049" i="1"/>
  <c r="A7050" i="1"/>
  <c r="B7050" i="1"/>
  <c r="A7051" i="1"/>
  <c r="B7051" i="1"/>
  <c r="A7052" i="1"/>
  <c r="B7052" i="1"/>
  <c r="A7053" i="1"/>
  <c r="B7053" i="1"/>
  <c r="A7054" i="1"/>
  <c r="B7054" i="1"/>
  <c r="A7055" i="1"/>
  <c r="B7055" i="1"/>
  <c r="A7056" i="1"/>
  <c r="B7056" i="1"/>
  <c r="A7057" i="1"/>
  <c r="B7057" i="1"/>
  <c r="A7058" i="1"/>
  <c r="B7058" i="1"/>
  <c r="A7059" i="1"/>
  <c r="B7059" i="1"/>
  <c r="A7060" i="1"/>
  <c r="B7060" i="1"/>
  <c r="A7061" i="1"/>
  <c r="B7061" i="1"/>
  <c r="A7062" i="1"/>
  <c r="B7062" i="1"/>
  <c r="A7063" i="1"/>
  <c r="B7063" i="1"/>
  <c r="A7064" i="1"/>
  <c r="B7064" i="1"/>
  <c r="A7065" i="1"/>
  <c r="B7065" i="1"/>
  <c r="A7066" i="1"/>
  <c r="B7066" i="1"/>
  <c r="A7067" i="1"/>
  <c r="B7067" i="1"/>
  <c r="A7068" i="1"/>
  <c r="B7068" i="1"/>
  <c r="A7069" i="1"/>
  <c r="B7069" i="1"/>
  <c r="A7070" i="1"/>
  <c r="B7070" i="1"/>
  <c r="A7071" i="1"/>
  <c r="B7071" i="1"/>
  <c r="A7072" i="1"/>
  <c r="B7072" i="1"/>
  <c r="A7073" i="1"/>
  <c r="B7073" i="1"/>
  <c r="A7074" i="1"/>
  <c r="B7074" i="1"/>
  <c r="A7075" i="1"/>
  <c r="B7075" i="1"/>
  <c r="A7076" i="1"/>
  <c r="B7076" i="1"/>
  <c r="A7077" i="1"/>
  <c r="B7077" i="1"/>
  <c r="A7078" i="1"/>
  <c r="B7078" i="1"/>
  <c r="A7079" i="1"/>
  <c r="B7079" i="1"/>
  <c r="A7080" i="1"/>
  <c r="B7080" i="1"/>
  <c r="A7081" i="1"/>
  <c r="B7081" i="1"/>
  <c r="A7082" i="1"/>
  <c r="B7082" i="1"/>
  <c r="A7083" i="1"/>
  <c r="B7083" i="1"/>
  <c r="A7084" i="1"/>
  <c r="B7084" i="1"/>
  <c r="A7085" i="1"/>
  <c r="B7085" i="1"/>
  <c r="A7086" i="1"/>
  <c r="B7086" i="1"/>
  <c r="A7087" i="1"/>
  <c r="B7087" i="1"/>
  <c r="A7088" i="1"/>
  <c r="B7088" i="1"/>
  <c r="A7089" i="1"/>
  <c r="B7089" i="1"/>
  <c r="A7090" i="1"/>
  <c r="B7090" i="1"/>
  <c r="A7091" i="1"/>
  <c r="B7091" i="1"/>
  <c r="A7092" i="1"/>
  <c r="B7092" i="1"/>
  <c r="A7093" i="1"/>
  <c r="B7093" i="1"/>
  <c r="A7094" i="1"/>
  <c r="B7094" i="1"/>
  <c r="A7095" i="1"/>
  <c r="B7095" i="1"/>
  <c r="A7096" i="1"/>
  <c r="B7096" i="1"/>
  <c r="A7097" i="1"/>
  <c r="B7097" i="1"/>
  <c r="A7098" i="1"/>
  <c r="B7098" i="1"/>
  <c r="A7099" i="1"/>
  <c r="B7099" i="1"/>
  <c r="A7100" i="1"/>
  <c r="B7100" i="1"/>
  <c r="A7101" i="1"/>
  <c r="B7101" i="1"/>
  <c r="A7102" i="1"/>
  <c r="B7102" i="1"/>
  <c r="A7103" i="1"/>
  <c r="B7103" i="1"/>
  <c r="A7104" i="1"/>
  <c r="B7104" i="1"/>
  <c r="A7105" i="1"/>
  <c r="B7105" i="1"/>
  <c r="A7106" i="1"/>
  <c r="B7106" i="1"/>
  <c r="A7107" i="1"/>
  <c r="B7107" i="1"/>
  <c r="A7108" i="1"/>
  <c r="B7108" i="1"/>
  <c r="A7109" i="1"/>
  <c r="B7109" i="1"/>
  <c r="A7110" i="1"/>
  <c r="B7110" i="1"/>
  <c r="A7111" i="1"/>
  <c r="B7111" i="1"/>
  <c r="A7112" i="1"/>
  <c r="B7112" i="1"/>
  <c r="A7113" i="1"/>
  <c r="B7113" i="1"/>
  <c r="A7114" i="1"/>
  <c r="B7114" i="1"/>
  <c r="A7115" i="1"/>
  <c r="B7115" i="1"/>
  <c r="A7116" i="1"/>
  <c r="B7116" i="1"/>
  <c r="A7117" i="1"/>
  <c r="B7117" i="1"/>
  <c r="A7118" i="1"/>
  <c r="B7118" i="1"/>
  <c r="A7119" i="1"/>
  <c r="B7119" i="1"/>
  <c r="A7120" i="1"/>
  <c r="B7120" i="1"/>
  <c r="A7121" i="1"/>
  <c r="B7121" i="1"/>
  <c r="A7122" i="1"/>
  <c r="B7122" i="1"/>
  <c r="A7123" i="1"/>
  <c r="B7123" i="1"/>
  <c r="A7124" i="1"/>
  <c r="B7124" i="1"/>
  <c r="A7125" i="1"/>
  <c r="B7125" i="1"/>
  <c r="A7126" i="1"/>
  <c r="B7126" i="1"/>
  <c r="A7127" i="1"/>
  <c r="B7127" i="1"/>
  <c r="A7128" i="1"/>
  <c r="B7128" i="1"/>
  <c r="A7129" i="1"/>
  <c r="B7129" i="1"/>
  <c r="A7130" i="1"/>
  <c r="B7130" i="1"/>
  <c r="A7131" i="1"/>
  <c r="B7131" i="1"/>
  <c r="A7132" i="1"/>
  <c r="B7132" i="1"/>
  <c r="A7133" i="1"/>
  <c r="B7133" i="1"/>
  <c r="A7134" i="1"/>
  <c r="B7134" i="1"/>
  <c r="A7135" i="1"/>
  <c r="B7135" i="1"/>
  <c r="A7136" i="1"/>
  <c r="B7136" i="1"/>
  <c r="A7137" i="1"/>
  <c r="B7137" i="1"/>
  <c r="A7138" i="1"/>
  <c r="B7138" i="1"/>
  <c r="A7139" i="1"/>
  <c r="B7139" i="1"/>
  <c r="A7140" i="1"/>
  <c r="B7140" i="1"/>
  <c r="A7141" i="1"/>
  <c r="B7141" i="1"/>
  <c r="A7142" i="1"/>
  <c r="B7142" i="1"/>
  <c r="A7143" i="1"/>
  <c r="B7143" i="1"/>
  <c r="A7144" i="1"/>
  <c r="B7144" i="1"/>
  <c r="A7145" i="1"/>
  <c r="B7145" i="1"/>
  <c r="A7146" i="1"/>
  <c r="B7146" i="1"/>
  <c r="A7147" i="1"/>
  <c r="B7147" i="1"/>
  <c r="A7148" i="1"/>
  <c r="B7148" i="1"/>
  <c r="A7149" i="1"/>
  <c r="B7149" i="1"/>
  <c r="A7150" i="1"/>
  <c r="B7150" i="1"/>
  <c r="A7151" i="1"/>
  <c r="B7151" i="1"/>
  <c r="A7152" i="1"/>
  <c r="B7152" i="1"/>
  <c r="A7153" i="1"/>
  <c r="B7153" i="1"/>
  <c r="A7154" i="1"/>
  <c r="B7154" i="1"/>
  <c r="A7155" i="1"/>
  <c r="B7155" i="1"/>
  <c r="A7156" i="1"/>
  <c r="B7156" i="1"/>
  <c r="A7157" i="1"/>
  <c r="B7157" i="1"/>
  <c r="A7158" i="1"/>
  <c r="B7158" i="1"/>
  <c r="A7159" i="1"/>
  <c r="B7159" i="1"/>
  <c r="A7160" i="1"/>
  <c r="B7160" i="1"/>
  <c r="A7161" i="1"/>
  <c r="B7161" i="1"/>
  <c r="A7162" i="1"/>
  <c r="B7162" i="1"/>
  <c r="A7163" i="1"/>
  <c r="B7163" i="1"/>
  <c r="A7164" i="1"/>
  <c r="B7164" i="1"/>
  <c r="A7165" i="1"/>
  <c r="B7165" i="1"/>
  <c r="A7166" i="1"/>
  <c r="B7166" i="1"/>
  <c r="A7167" i="1"/>
  <c r="B7167" i="1"/>
  <c r="A7168" i="1"/>
  <c r="B7168" i="1"/>
  <c r="A7169" i="1"/>
  <c r="B7169" i="1"/>
  <c r="A7170" i="1"/>
  <c r="B7170" i="1"/>
  <c r="A7171" i="1"/>
  <c r="B7171" i="1"/>
  <c r="A7172" i="1"/>
  <c r="B7172" i="1"/>
  <c r="A7173" i="1"/>
  <c r="B7173" i="1"/>
  <c r="A7174" i="1"/>
  <c r="B7174" i="1"/>
  <c r="A7175" i="1"/>
  <c r="B7175" i="1"/>
  <c r="A7176" i="1"/>
  <c r="B7176" i="1"/>
  <c r="A7177" i="1"/>
  <c r="B7177" i="1"/>
  <c r="A7178" i="1"/>
  <c r="B7178" i="1"/>
  <c r="A7179" i="1"/>
  <c r="B7179" i="1"/>
  <c r="A7180" i="1"/>
  <c r="B7180" i="1"/>
  <c r="A7181" i="1"/>
  <c r="B7181" i="1"/>
  <c r="A7182" i="1"/>
  <c r="B7182" i="1"/>
  <c r="A7183" i="1"/>
  <c r="B7183" i="1"/>
  <c r="A7184" i="1"/>
  <c r="B7184" i="1"/>
  <c r="A7185" i="1"/>
  <c r="B7185" i="1"/>
  <c r="A7186" i="1"/>
  <c r="B7186" i="1"/>
  <c r="A7187" i="1"/>
  <c r="B7187" i="1"/>
  <c r="A7188" i="1"/>
  <c r="B7188" i="1"/>
  <c r="A7189" i="1"/>
  <c r="B7189" i="1"/>
  <c r="A7190" i="1"/>
  <c r="B7190" i="1"/>
  <c r="A7191" i="1"/>
  <c r="B7191" i="1"/>
  <c r="A7192" i="1"/>
  <c r="B7192" i="1"/>
  <c r="A7193" i="1"/>
  <c r="B7193" i="1"/>
  <c r="A7194" i="1"/>
  <c r="B7194" i="1"/>
  <c r="A7195" i="1"/>
  <c r="B7195" i="1"/>
  <c r="A7196" i="1"/>
  <c r="B7196" i="1"/>
  <c r="A7197" i="1"/>
  <c r="B7197" i="1"/>
  <c r="A7198" i="1"/>
  <c r="B7198" i="1"/>
  <c r="A7199" i="1"/>
  <c r="B7199" i="1"/>
  <c r="A7200" i="1"/>
  <c r="B7200" i="1"/>
  <c r="A7201" i="1"/>
  <c r="B7201" i="1"/>
  <c r="A7202" i="1"/>
  <c r="B7202" i="1"/>
  <c r="A7203" i="1"/>
  <c r="B7203" i="1"/>
  <c r="A7204" i="1"/>
  <c r="B7204" i="1"/>
  <c r="A7205" i="1"/>
  <c r="B7205" i="1"/>
  <c r="A7206" i="1"/>
  <c r="B7206" i="1"/>
  <c r="A7207" i="1"/>
  <c r="B7207" i="1"/>
  <c r="A7208" i="1"/>
  <c r="B7208" i="1"/>
  <c r="A7209" i="1"/>
  <c r="B7209" i="1"/>
  <c r="A7210" i="1"/>
  <c r="B7210" i="1"/>
  <c r="A7211" i="1"/>
  <c r="B7211" i="1"/>
  <c r="A7212" i="1"/>
  <c r="B7212" i="1"/>
  <c r="A7213" i="1"/>
  <c r="B7213" i="1"/>
  <c r="A7214" i="1"/>
  <c r="B7214" i="1"/>
  <c r="A7215" i="1"/>
  <c r="B7215" i="1"/>
  <c r="A7216" i="1"/>
  <c r="B7216" i="1"/>
  <c r="A7217" i="1"/>
  <c r="B7217" i="1"/>
  <c r="A7218" i="1"/>
  <c r="B7218" i="1"/>
  <c r="A7219" i="1"/>
  <c r="B7219" i="1"/>
  <c r="A7220" i="1"/>
  <c r="B7220" i="1"/>
  <c r="A7221" i="1"/>
  <c r="B7221" i="1"/>
  <c r="A7222" i="1"/>
  <c r="B7222" i="1"/>
  <c r="A7223" i="1"/>
  <c r="B7223" i="1"/>
  <c r="A7224" i="1"/>
  <c r="B7224" i="1"/>
  <c r="A7225" i="1"/>
  <c r="B7225" i="1"/>
  <c r="A7226" i="1"/>
  <c r="B7226" i="1"/>
  <c r="A7227" i="1"/>
  <c r="B7227" i="1"/>
  <c r="A7228" i="1"/>
  <c r="B7228" i="1"/>
  <c r="A7229" i="1"/>
  <c r="B7229" i="1"/>
  <c r="A7230" i="1"/>
  <c r="B7230" i="1"/>
  <c r="A7231" i="1"/>
  <c r="B7231" i="1"/>
  <c r="A7232" i="1"/>
  <c r="B7232" i="1"/>
  <c r="A7233" i="1"/>
  <c r="B7233" i="1"/>
  <c r="A7234" i="1"/>
  <c r="B7234" i="1"/>
  <c r="A7235" i="1"/>
  <c r="B7235" i="1"/>
  <c r="A7236" i="1"/>
  <c r="B7236" i="1"/>
  <c r="A7237" i="1"/>
  <c r="B7237" i="1"/>
  <c r="A7238" i="1"/>
  <c r="B7238" i="1"/>
  <c r="A7239" i="1"/>
  <c r="B7239" i="1"/>
  <c r="A7240" i="1"/>
  <c r="B7240" i="1"/>
  <c r="A7241" i="1"/>
  <c r="B7241" i="1"/>
  <c r="A7242" i="1"/>
  <c r="B7242" i="1"/>
  <c r="A7243" i="1"/>
  <c r="B7243" i="1"/>
  <c r="A7244" i="1"/>
  <c r="B7244" i="1"/>
  <c r="A7245" i="1"/>
  <c r="B7245" i="1"/>
  <c r="A7246" i="1"/>
  <c r="B7246" i="1"/>
  <c r="A7247" i="1"/>
  <c r="B7247" i="1"/>
  <c r="A7248" i="1"/>
  <c r="B7248" i="1"/>
  <c r="A7249" i="1"/>
  <c r="B7249" i="1"/>
  <c r="A7250" i="1"/>
  <c r="B7250" i="1"/>
  <c r="A7251" i="1"/>
  <c r="B7251" i="1"/>
  <c r="A7252" i="1"/>
  <c r="B7252" i="1"/>
  <c r="A7253" i="1"/>
  <c r="B7253" i="1"/>
  <c r="A7254" i="1"/>
  <c r="B7254" i="1"/>
  <c r="A7255" i="1"/>
  <c r="B7255" i="1"/>
  <c r="A7256" i="1"/>
  <c r="B7256" i="1"/>
  <c r="A7257" i="1"/>
  <c r="B7257" i="1"/>
  <c r="A7258" i="1"/>
  <c r="B7258" i="1"/>
  <c r="A7259" i="1"/>
  <c r="B7259" i="1"/>
  <c r="A7260" i="1"/>
  <c r="B7260" i="1"/>
  <c r="A7261" i="1"/>
  <c r="B7261" i="1"/>
  <c r="A7262" i="1"/>
  <c r="B7262" i="1"/>
  <c r="A7263" i="1"/>
  <c r="B7263" i="1"/>
  <c r="A7264" i="1"/>
  <c r="B7264" i="1"/>
  <c r="A7265" i="1"/>
  <c r="B7265" i="1"/>
  <c r="A7266" i="1"/>
  <c r="B7266" i="1"/>
  <c r="A7267" i="1"/>
  <c r="B7267" i="1"/>
  <c r="A7268" i="1"/>
  <c r="B7268" i="1"/>
  <c r="A7269" i="1"/>
  <c r="B7269" i="1"/>
  <c r="A7270" i="1"/>
  <c r="B7270" i="1"/>
  <c r="A7271" i="1"/>
  <c r="B7271" i="1"/>
  <c r="A7272" i="1"/>
  <c r="B7272" i="1"/>
  <c r="A7273" i="1"/>
  <c r="B7273" i="1"/>
  <c r="A7274" i="1"/>
  <c r="B7274" i="1"/>
  <c r="A7275" i="1"/>
  <c r="B7275" i="1"/>
  <c r="A7276" i="1"/>
  <c r="B7276" i="1"/>
  <c r="A7277" i="1"/>
  <c r="B7277" i="1"/>
  <c r="A7278" i="1"/>
  <c r="B7278" i="1"/>
  <c r="A7279" i="1"/>
  <c r="B7279" i="1"/>
  <c r="A7280" i="1"/>
  <c r="B7280" i="1"/>
  <c r="A7281" i="1"/>
  <c r="B7281" i="1"/>
  <c r="A7282" i="1"/>
  <c r="B7282" i="1"/>
  <c r="A7283" i="1"/>
  <c r="B7283" i="1"/>
  <c r="A7284" i="1"/>
  <c r="B7284" i="1"/>
  <c r="A7285" i="1"/>
  <c r="B7285" i="1"/>
  <c r="A7286" i="1"/>
  <c r="B7286" i="1"/>
  <c r="A7287" i="1"/>
  <c r="B7287" i="1"/>
  <c r="A7288" i="1"/>
  <c r="B7288" i="1"/>
  <c r="A7289" i="1"/>
  <c r="B7289" i="1"/>
  <c r="A7290" i="1"/>
  <c r="B7290" i="1"/>
  <c r="A7291" i="1"/>
  <c r="B7291" i="1"/>
  <c r="A7292" i="1"/>
  <c r="B7292" i="1"/>
  <c r="A7293" i="1"/>
  <c r="B7293" i="1"/>
  <c r="A7294" i="1"/>
  <c r="B7294" i="1"/>
  <c r="A7295" i="1"/>
  <c r="B7295" i="1"/>
  <c r="A7296" i="1"/>
  <c r="B7296" i="1"/>
  <c r="A7297" i="1"/>
  <c r="B7297" i="1"/>
  <c r="A7298" i="1"/>
  <c r="B7298" i="1"/>
  <c r="A7299" i="1"/>
  <c r="B7299" i="1"/>
  <c r="A7300" i="1"/>
  <c r="B7300" i="1"/>
  <c r="A7301" i="1"/>
  <c r="B7301" i="1"/>
  <c r="A7302" i="1"/>
  <c r="B7302" i="1"/>
  <c r="A7303" i="1"/>
  <c r="B7303" i="1"/>
  <c r="A7304" i="1"/>
  <c r="B7304" i="1"/>
  <c r="A7305" i="1"/>
  <c r="B7305" i="1"/>
  <c r="A7306" i="1"/>
  <c r="B7306" i="1"/>
  <c r="A7307" i="1"/>
  <c r="B7307" i="1"/>
  <c r="A7308" i="1"/>
  <c r="B7308" i="1"/>
  <c r="A7309" i="1"/>
  <c r="B7309" i="1"/>
  <c r="A7310" i="1"/>
  <c r="B7310" i="1"/>
  <c r="A7311" i="1"/>
  <c r="B7311" i="1"/>
  <c r="A7312" i="1"/>
  <c r="B7312" i="1"/>
  <c r="A7313" i="1"/>
  <c r="B7313" i="1"/>
  <c r="A7314" i="1"/>
  <c r="B7314" i="1"/>
  <c r="A7315" i="1"/>
  <c r="B7315" i="1"/>
  <c r="A7316" i="1"/>
  <c r="B7316" i="1"/>
  <c r="A7317" i="1"/>
  <c r="B7317" i="1"/>
  <c r="A7318" i="1"/>
  <c r="B7318" i="1"/>
  <c r="A7319" i="1"/>
  <c r="B7319" i="1"/>
  <c r="A7320" i="1"/>
  <c r="B7320" i="1"/>
  <c r="A7321" i="1"/>
  <c r="B7321" i="1"/>
  <c r="A7322" i="1"/>
  <c r="B7322" i="1"/>
  <c r="A7323" i="1"/>
  <c r="B7323" i="1"/>
  <c r="A7324" i="1"/>
  <c r="B7324" i="1"/>
  <c r="A7325" i="1"/>
  <c r="B7325" i="1"/>
  <c r="A7326" i="1"/>
  <c r="B7326" i="1"/>
  <c r="A7327" i="1"/>
  <c r="B7327" i="1"/>
  <c r="A7328" i="1"/>
  <c r="B7328" i="1"/>
  <c r="A7329" i="1"/>
  <c r="B7329" i="1"/>
  <c r="A7330" i="1"/>
  <c r="B7330" i="1"/>
  <c r="A7331" i="1"/>
  <c r="B7331" i="1"/>
  <c r="A7332" i="1"/>
  <c r="B7332" i="1"/>
  <c r="A7333" i="1"/>
  <c r="B7333" i="1"/>
  <c r="A7334" i="1"/>
  <c r="B7334" i="1"/>
  <c r="A7335" i="1"/>
  <c r="B7335" i="1"/>
  <c r="A7336" i="1"/>
  <c r="B7336" i="1"/>
  <c r="A7337" i="1"/>
  <c r="B7337" i="1"/>
  <c r="A7338" i="1"/>
  <c r="B7338" i="1"/>
  <c r="A7339" i="1"/>
  <c r="B7339" i="1"/>
  <c r="A7340" i="1"/>
  <c r="B7340" i="1"/>
  <c r="A7341" i="1"/>
  <c r="B7341" i="1"/>
  <c r="A7342" i="1"/>
  <c r="B7342" i="1"/>
  <c r="A7343" i="1"/>
  <c r="B7343" i="1"/>
  <c r="A7344" i="1"/>
  <c r="B7344" i="1"/>
  <c r="A7345" i="1"/>
  <c r="B7345" i="1"/>
  <c r="A7346" i="1"/>
  <c r="B7346" i="1"/>
  <c r="A7347" i="1"/>
  <c r="B7347" i="1"/>
  <c r="A7348" i="1"/>
  <c r="B7348" i="1"/>
  <c r="A7349" i="1"/>
  <c r="B7349" i="1"/>
  <c r="A7350" i="1"/>
  <c r="B7350" i="1"/>
  <c r="A7351" i="1"/>
  <c r="B7351" i="1"/>
  <c r="A7352" i="1"/>
  <c r="B7352" i="1"/>
  <c r="A7353" i="1"/>
  <c r="B7353" i="1"/>
  <c r="A7354" i="1"/>
  <c r="B7354" i="1"/>
  <c r="A7355" i="1"/>
  <c r="B7355" i="1"/>
  <c r="A7356" i="1"/>
  <c r="B7356" i="1"/>
  <c r="A7357" i="1"/>
  <c r="B7357" i="1"/>
  <c r="A7358" i="1"/>
  <c r="B7358" i="1"/>
  <c r="A7359" i="1"/>
  <c r="B7359" i="1"/>
  <c r="A7360" i="1"/>
  <c r="B7360" i="1"/>
  <c r="A7361" i="1"/>
  <c r="B7361" i="1"/>
  <c r="A7362" i="1"/>
  <c r="B7362" i="1"/>
  <c r="A7363" i="1"/>
  <c r="B7363" i="1"/>
  <c r="A7364" i="1"/>
  <c r="B7364" i="1"/>
  <c r="A7365" i="1"/>
  <c r="B7365" i="1"/>
  <c r="A7366" i="1"/>
  <c r="B7366" i="1"/>
  <c r="A7367" i="1"/>
  <c r="B7367" i="1"/>
  <c r="A7368" i="1"/>
  <c r="B7368" i="1"/>
  <c r="A7369" i="1"/>
  <c r="B7369" i="1"/>
  <c r="A7370" i="1"/>
  <c r="B7370" i="1"/>
  <c r="A7371" i="1"/>
  <c r="B7371" i="1"/>
  <c r="A7372" i="1"/>
  <c r="B7372" i="1"/>
  <c r="A7373" i="1"/>
  <c r="B7373" i="1"/>
  <c r="A7374" i="1"/>
  <c r="B7374" i="1"/>
  <c r="A7375" i="1"/>
  <c r="B7375" i="1"/>
  <c r="A7376" i="1"/>
  <c r="B7376" i="1"/>
  <c r="A7377" i="1"/>
  <c r="B7377" i="1"/>
  <c r="A7378" i="1"/>
  <c r="B7378" i="1"/>
  <c r="A7379" i="1"/>
  <c r="B7379" i="1"/>
  <c r="A7380" i="1"/>
  <c r="B7380" i="1"/>
  <c r="A7381" i="1"/>
  <c r="B7381" i="1"/>
  <c r="A7382" i="1"/>
  <c r="B7382" i="1"/>
  <c r="A7383" i="1"/>
  <c r="B7383" i="1"/>
  <c r="A7384" i="1"/>
  <c r="B7384" i="1"/>
  <c r="A7385" i="1"/>
  <c r="B7385" i="1"/>
  <c r="A7386" i="1"/>
  <c r="B7386" i="1"/>
  <c r="A7387" i="1"/>
  <c r="B7387" i="1"/>
  <c r="A7388" i="1"/>
  <c r="B7388" i="1"/>
  <c r="A7389" i="1"/>
  <c r="B7389" i="1"/>
  <c r="A7390" i="1"/>
  <c r="B7390" i="1"/>
  <c r="A7391" i="1"/>
  <c r="B7391" i="1"/>
  <c r="A7392" i="1"/>
  <c r="B7392" i="1"/>
  <c r="A7393" i="1"/>
  <c r="B7393" i="1"/>
  <c r="A7394" i="1"/>
  <c r="B7394" i="1"/>
  <c r="A7395" i="1"/>
  <c r="B7395" i="1"/>
  <c r="A7396" i="1"/>
  <c r="B7396" i="1"/>
  <c r="A7397" i="1"/>
  <c r="B7397" i="1"/>
  <c r="A7398" i="1"/>
  <c r="B7398" i="1"/>
  <c r="A7399" i="1"/>
  <c r="B7399" i="1"/>
  <c r="A7400" i="1"/>
  <c r="B7400" i="1"/>
  <c r="A7401" i="1"/>
  <c r="B7401" i="1"/>
  <c r="A7402" i="1"/>
  <c r="B7402" i="1"/>
  <c r="A7403" i="1"/>
  <c r="B7403" i="1"/>
  <c r="A7404" i="1"/>
  <c r="B7404" i="1"/>
  <c r="A7405" i="1"/>
  <c r="B7405" i="1"/>
  <c r="A7406" i="1"/>
  <c r="B7406" i="1"/>
  <c r="A7407" i="1"/>
  <c r="B7407" i="1"/>
  <c r="A7408" i="1"/>
  <c r="B7408" i="1"/>
  <c r="A7409" i="1"/>
  <c r="B7409" i="1"/>
  <c r="A7410" i="1"/>
  <c r="B7410" i="1"/>
  <c r="A7411" i="1"/>
  <c r="B7411" i="1"/>
  <c r="A7412" i="1"/>
  <c r="B7412" i="1"/>
  <c r="A7413" i="1"/>
  <c r="B7413" i="1"/>
  <c r="A7414" i="1"/>
  <c r="B7414" i="1"/>
  <c r="A7415" i="1"/>
  <c r="B7415" i="1"/>
  <c r="A7416" i="1"/>
  <c r="B7416" i="1"/>
  <c r="A7417" i="1"/>
  <c r="B7417" i="1"/>
  <c r="A7418" i="1"/>
  <c r="B7418" i="1"/>
  <c r="A7419" i="1"/>
  <c r="B7419" i="1"/>
  <c r="A7420" i="1"/>
  <c r="B7420" i="1"/>
  <c r="A7421" i="1"/>
  <c r="B7421" i="1"/>
  <c r="A7422" i="1"/>
  <c r="B7422" i="1"/>
  <c r="A7423" i="1"/>
  <c r="B7423" i="1"/>
  <c r="A7424" i="1"/>
  <c r="B7424" i="1"/>
  <c r="A7425" i="1"/>
  <c r="B7425" i="1"/>
  <c r="A7426" i="1"/>
  <c r="B7426" i="1"/>
  <c r="A7427" i="1"/>
  <c r="B7427" i="1"/>
  <c r="A7428" i="1"/>
  <c r="B7428" i="1"/>
  <c r="A7429" i="1"/>
  <c r="B7429" i="1"/>
  <c r="A7430" i="1"/>
  <c r="B7430" i="1"/>
  <c r="A7431" i="1"/>
  <c r="B7431" i="1"/>
  <c r="A7432" i="1"/>
  <c r="B7432" i="1"/>
  <c r="A7433" i="1"/>
  <c r="B7433" i="1"/>
  <c r="A7434" i="1"/>
  <c r="B7434" i="1"/>
  <c r="A7435" i="1"/>
  <c r="B7435" i="1"/>
  <c r="A7436" i="1"/>
  <c r="B7436" i="1"/>
  <c r="A7437" i="1"/>
  <c r="B7437" i="1"/>
  <c r="A7438" i="1"/>
  <c r="B7438" i="1"/>
  <c r="A7439" i="1"/>
  <c r="B7439" i="1"/>
  <c r="A7440" i="1"/>
  <c r="B7440" i="1"/>
  <c r="A7441" i="1"/>
  <c r="B7441" i="1"/>
  <c r="A7442" i="1"/>
  <c r="B7442" i="1"/>
  <c r="A7443" i="1"/>
  <c r="B7443" i="1"/>
  <c r="A7444" i="1"/>
  <c r="B7444" i="1"/>
  <c r="A7445" i="1"/>
  <c r="B7445" i="1"/>
  <c r="A7446" i="1"/>
  <c r="B7446" i="1"/>
  <c r="A7447" i="1"/>
  <c r="B7447" i="1"/>
  <c r="A7448" i="1"/>
  <c r="B7448" i="1"/>
  <c r="A7449" i="1"/>
  <c r="B7449" i="1"/>
  <c r="A7450" i="1"/>
  <c r="B7450" i="1"/>
  <c r="A7451" i="1"/>
  <c r="B7451" i="1"/>
  <c r="A7452" i="1"/>
  <c r="B7452" i="1"/>
  <c r="A7453" i="1"/>
  <c r="B7453" i="1"/>
  <c r="A7454" i="1"/>
  <c r="B7454" i="1"/>
  <c r="A7455" i="1"/>
  <c r="B7455" i="1"/>
  <c r="A7456" i="1"/>
  <c r="B7456" i="1"/>
  <c r="A7457" i="1"/>
  <c r="B7457" i="1"/>
  <c r="A7458" i="1"/>
  <c r="B7458" i="1"/>
  <c r="A7459" i="1"/>
  <c r="B7459" i="1"/>
  <c r="A7460" i="1"/>
  <c r="B7460" i="1"/>
  <c r="A7461" i="1"/>
  <c r="B7461" i="1"/>
  <c r="A7462" i="1"/>
  <c r="B7462" i="1"/>
  <c r="A7463" i="1"/>
  <c r="B7463" i="1"/>
  <c r="A7464" i="1"/>
  <c r="B7464" i="1"/>
  <c r="A7465" i="1"/>
  <c r="B7465" i="1"/>
  <c r="A7466" i="1"/>
  <c r="B7466" i="1"/>
  <c r="A7467" i="1"/>
  <c r="B7467" i="1"/>
  <c r="A7468" i="1"/>
  <c r="B7468" i="1"/>
  <c r="A7469" i="1"/>
  <c r="B7469" i="1"/>
  <c r="A7470" i="1"/>
  <c r="B7470" i="1"/>
  <c r="A7471" i="1"/>
  <c r="B7471" i="1"/>
  <c r="A7472" i="1"/>
  <c r="B7472" i="1"/>
  <c r="A7473" i="1"/>
  <c r="B7473" i="1"/>
  <c r="A7474" i="1"/>
  <c r="B7474" i="1"/>
  <c r="A7475" i="1"/>
  <c r="B7475" i="1"/>
  <c r="A7476" i="1"/>
  <c r="B7476" i="1"/>
  <c r="A7477" i="1"/>
  <c r="B7477" i="1"/>
  <c r="A7478" i="1"/>
  <c r="B7478" i="1"/>
  <c r="A7479" i="1"/>
  <c r="B7479" i="1"/>
  <c r="A7480" i="1"/>
  <c r="B7480" i="1"/>
  <c r="A7481" i="1"/>
  <c r="B7481" i="1"/>
  <c r="A7482" i="1"/>
  <c r="B7482" i="1"/>
  <c r="A7483" i="1"/>
  <c r="B7483" i="1"/>
  <c r="A7484" i="1"/>
  <c r="B7484" i="1"/>
  <c r="A7485" i="1"/>
  <c r="B7485" i="1"/>
  <c r="A7486" i="1"/>
  <c r="B7486" i="1"/>
  <c r="A7487" i="1"/>
  <c r="B7487" i="1"/>
  <c r="A7488" i="1"/>
  <c r="B7488" i="1"/>
  <c r="A7489" i="1"/>
  <c r="B7489" i="1"/>
  <c r="A7490" i="1"/>
  <c r="B7490" i="1"/>
  <c r="A7491" i="1"/>
  <c r="B7491" i="1"/>
  <c r="A7492" i="1"/>
  <c r="B7492" i="1"/>
  <c r="A7493" i="1"/>
  <c r="B7493" i="1"/>
  <c r="A7494" i="1"/>
  <c r="B7494" i="1"/>
  <c r="A7495" i="1"/>
  <c r="B7495" i="1"/>
  <c r="A7496" i="1"/>
  <c r="B7496" i="1"/>
  <c r="A7497" i="1"/>
  <c r="B7497" i="1"/>
  <c r="A7498" i="1"/>
  <c r="B7498" i="1"/>
  <c r="A7499" i="1"/>
  <c r="B7499" i="1"/>
  <c r="A7500" i="1"/>
  <c r="B7500" i="1"/>
  <c r="A7501" i="1"/>
  <c r="B7501" i="1"/>
  <c r="A7502" i="1"/>
  <c r="B7502" i="1"/>
  <c r="A7503" i="1"/>
  <c r="B7503" i="1"/>
  <c r="A7504" i="1"/>
  <c r="B7504" i="1"/>
  <c r="A7505" i="1"/>
  <c r="B7505" i="1"/>
  <c r="A7506" i="1"/>
  <c r="B7506" i="1"/>
  <c r="A7507" i="1"/>
  <c r="B7507" i="1"/>
  <c r="A7508" i="1"/>
  <c r="B7508" i="1"/>
  <c r="A7509" i="1"/>
  <c r="B7509" i="1"/>
  <c r="A7510" i="1"/>
  <c r="B7510" i="1"/>
  <c r="A7511" i="1"/>
  <c r="B7511" i="1"/>
  <c r="A7512" i="1"/>
  <c r="B7512" i="1"/>
  <c r="A7513" i="1"/>
  <c r="B7513" i="1"/>
  <c r="A7514" i="1"/>
  <c r="B7514" i="1"/>
  <c r="A7515" i="1"/>
  <c r="B7515" i="1"/>
  <c r="A7516" i="1"/>
  <c r="B7516" i="1"/>
  <c r="A7517" i="1"/>
  <c r="B7517" i="1"/>
  <c r="A7518" i="1"/>
  <c r="B7518" i="1"/>
  <c r="A7519" i="1"/>
  <c r="B7519" i="1"/>
  <c r="A7520" i="1"/>
  <c r="B7520" i="1"/>
  <c r="A7521" i="1"/>
  <c r="B7521" i="1"/>
  <c r="A7522" i="1"/>
  <c r="B7522" i="1"/>
  <c r="A7523" i="1"/>
  <c r="B7523" i="1"/>
  <c r="A7524" i="1"/>
  <c r="B7524" i="1"/>
  <c r="A7525" i="1"/>
  <c r="B7525" i="1"/>
  <c r="A7526" i="1"/>
  <c r="B7526" i="1"/>
  <c r="A7527" i="1"/>
  <c r="B7527" i="1"/>
  <c r="A7528" i="1"/>
  <c r="B7528" i="1"/>
  <c r="A7529" i="1"/>
  <c r="B7529" i="1"/>
  <c r="A7530" i="1"/>
  <c r="B7530" i="1"/>
  <c r="A7531" i="1"/>
  <c r="B7531" i="1"/>
  <c r="A7532" i="1"/>
  <c r="B7532" i="1"/>
  <c r="A7533" i="1"/>
  <c r="B7533" i="1"/>
  <c r="A7534" i="1"/>
  <c r="B7534" i="1"/>
  <c r="A7535" i="1"/>
  <c r="B7535" i="1"/>
  <c r="A7536" i="1"/>
  <c r="B7536" i="1"/>
  <c r="A7537" i="1"/>
  <c r="B7537" i="1"/>
  <c r="A7538" i="1"/>
  <c r="B7538" i="1"/>
  <c r="A7539" i="1"/>
  <c r="B7539" i="1"/>
  <c r="A7540" i="1"/>
  <c r="B7540" i="1"/>
  <c r="A7541" i="1"/>
  <c r="B7541" i="1"/>
  <c r="A7542" i="1"/>
  <c r="B7542" i="1"/>
  <c r="A7543" i="1"/>
  <c r="B7543" i="1"/>
  <c r="A7544" i="1"/>
  <c r="B7544" i="1"/>
  <c r="A7545" i="1"/>
  <c r="B7545" i="1"/>
  <c r="A7546" i="1"/>
  <c r="B7546" i="1"/>
  <c r="A7547" i="1"/>
  <c r="B7547" i="1"/>
  <c r="A7548" i="1"/>
  <c r="B7548" i="1"/>
  <c r="A7549" i="1"/>
  <c r="B7549" i="1"/>
  <c r="A7550" i="1"/>
  <c r="B7550" i="1"/>
  <c r="A7551" i="1"/>
  <c r="B7551" i="1"/>
  <c r="A7552" i="1"/>
  <c r="B7552" i="1"/>
  <c r="A7553" i="1"/>
  <c r="B7553" i="1"/>
  <c r="A7554" i="1"/>
  <c r="B7554" i="1"/>
  <c r="A7555" i="1"/>
  <c r="B7555" i="1"/>
  <c r="A7556" i="1"/>
  <c r="B7556" i="1"/>
  <c r="A7557" i="1"/>
  <c r="B7557" i="1"/>
  <c r="A7558" i="1"/>
  <c r="B7558" i="1"/>
  <c r="A7559" i="1"/>
  <c r="B7559" i="1"/>
  <c r="A7560" i="1"/>
  <c r="B7560" i="1"/>
  <c r="A7561" i="1"/>
  <c r="B7561" i="1"/>
  <c r="A7562" i="1"/>
  <c r="B7562" i="1"/>
  <c r="A7563" i="1"/>
  <c r="B7563" i="1"/>
  <c r="A7564" i="1"/>
  <c r="B7564" i="1"/>
  <c r="A7565" i="1"/>
  <c r="B7565" i="1"/>
  <c r="A7566" i="1"/>
  <c r="B7566" i="1"/>
  <c r="A7567" i="1"/>
  <c r="B7567" i="1"/>
  <c r="A7568" i="1"/>
  <c r="B7568" i="1"/>
  <c r="A7569" i="1"/>
  <c r="B7569" i="1"/>
  <c r="A7570" i="1"/>
  <c r="B7570" i="1"/>
  <c r="A7571" i="1"/>
  <c r="B7571" i="1"/>
  <c r="A7572" i="1"/>
  <c r="B7572" i="1"/>
  <c r="A7573" i="1"/>
  <c r="B7573" i="1"/>
  <c r="A7574" i="1"/>
  <c r="B7574" i="1"/>
  <c r="A7575" i="1"/>
  <c r="B7575" i="1"/>
  <c r="A7576" i="1"/>
  <c r="B7576" i="1"/>
  <c r="A7577" i="1"/>
  <c r="B7577" i="1"/>
  <c r="A7578" i="1"/>
  <c r="B7578" i="1"/>
  <c r="A7579" i="1"/>
  <c r="B7579" i="1"/>
  <c r="A7580" i="1"/>
  <c r="B7580" i="1"/>
  <c r="A7581" i="1"/>
  <c r="B7581" i="1"/>
  <c r="A7582" i="1"/>
  <c r="B7582" i="1"/>
  <c r="A7583" i="1"/>
  <c r="B7583" i="1"/>
  <c r="A7584" i="1"/>
  <c r="B7584" i="1"/>
  <c r="A7585" i="1"/>
  <c r="B7585" i="1"/>
  <c r="A7586" i="1"/>
  <c r="B7586" i="1"/>
  <c r="A7587" i="1"/>
  <c r="B7587" i="1"/>
  <c r="A7588" i="1"/>
  <c r="B7588" i="1"/>
  <c r="A7589" i="1"/>
  <c r="B7589" i="1"/>
  <c r="A7590" i="1"/>
  <c r="B7590" i="1"/>
  <c r="A7591" i="1"/>
  <c r="B7591" i="1"/>
  <c r="A7592" i="1"/>
  <c r="B7592" i="1"/>
  <c r="A7593" i="1"/>
  <c r="B7593" i="1"/>
  <c r="A7594" i="1"/>
  <c r="B7594" i="1"/>
  <c r="A7595" i="1"/>
  <c r="B7595" i="1"/>
  <c r="A7596" i="1"/>
  <c r="B7596" i="1"/>
  <c r="A7597" i="1"/>
  <c r="B7597" i="1"/>
  <c r="A7598" i="1"/>
  <c r="B7598" i="1"/>
  <c r="A7599" i="1"/>
  <c r="B7599" i="1"/>
  <c r="A7600" i="1"/>
  <c r="B7600" i="1"/>
  <c r="A7601" i="1"/>
  <c r="B7601" i="1"/>
  <c r="A7602" i="1"/>
  <c r="B7602" i="1"/>
  <c r="A7603" i="1"/>
  <c r="B7603" i="1"/>
  <c r="A7604" i="1"/>
  <c r="B7604" i="1"/>
  <c r="A7605" i="1"/>
  <c r="B7605" i="1"/>
  <c r="A7606" i="1"/>
  <c r="B7606" i="1"/>
  <c r="A7607" i="1"/>
  <c r="B7607" i="1"/>
  <c r="A7608" i="1"/>
  <c r="B7608" i="1"/>
  <c r="A7609" i="1"/>
  <c r="B7609" i="1"/>
  <c r="A7610" i="1"/>
  <c r="B7610" i="1"/>
  <c r="A7611" i="1"/>
  <c r="B7611" i="1"/>
  <c r="A7612" i="1"/>
  <c r="B7612" i="1"/>
  <c r="A7613" i="1"/>
  <c r="B7613" i="1"/>
  <c r="A7614" i="1"/>
  <c r="B7614" i="1"/>
  <c r="A7615" i="1"/>
  <c r="B7615" i="1"/>
  <c r="A7616" i="1"/>
  <c r="B7616" i="1"/>
  <c r="A7617" i="1"/>
  <c r="B7617" i="1"/>
  <c r="A7618" i="1"/>
  <c r="B7618" i="1"/>
  <c r="A7619" i="1"/>
  <c r="B7619" i="1"/>
  <c r="A7620" i="1"/>
  <c r="B7620" i="1"/>
  <c r="A7621" i="1"/>
  <c r="B7621" i="1"/>
  <c r="A7622" i="1"/>
  <c r="B7622" i="1"/>
  <c r="A7623" i="1"/>
  <c r="B7623" i="1"/>
  <c r="A7624" i="1"/>
  <c r="B7624" i="1"/>
  <c r="A7625" i="1"/>
  <c r="B7625" i="1"/>
  <c r="A7626" i="1"/>
  <c r="B7626" i="1"/>
  <c r="A7627" i="1"/>
  <c r="B7627" i="1"/>
  <c r="A7628" i="1"/>
  <c r="B7628" i="1"/>
  <c r="A7629" i="1"/>
  <c r="B7629" i="1"/>
  <c r="A7630" i="1"/>
  <c r="B7630" i="1"/>
  <c r="A7631" i="1"/>
  <c r="B7631" i="1"/>
  <c r="A7632" i="1"/>
  <c r="B7632" i="1"/>
  <c r="A7633" i="1"/>
  <c r="B7633" i="1"/>
  <c r="A7634" i="1"/>
  <c r="B7634" i="1"/>
  <c r="A7635" i="1"/>
  <c r="B7635" i="1"/>
  <c r="A7636" i="1"/>
  <c r="B7636" i="1"/>
  <c r="A7637" i="1"/>
  <c r="B7637" i="1"/>
  <c r="A7638" i="1"/>
  <c r="B7638" i="1"/>
  <c r="A7639" i="1"/>
  <c r="B7639" i="1"/>
  <c r="A7640" i="1"/>
  <c r="B7640" i="1"/>
  <c r="A7641" i="1"/>
  <c r="B7641" i="1"/>
  <c r="A7642" i="1"/>
  <c r="B7642" i="1"/>
  <c r="A7643" i="1"/>
  <c r="B7643" i="1"/>
  <c r="A7644" i="1"/>
  <c r="B7644" i="1"/>
  <c r="A7645" i="1"/>
  <c r="B7645" i="1"/>
  <c r="A7646" i="1"/>
  <c r="B7646" i="1"/>
  <c r="A7647" i="1"/>
  <c r="B7647" i="1"/>
  <c r="A7648" i="1"/>
  <c r="B7648" i="1"/>
  <c r="A7649" i="1"/>
  <c r="B7649" i="1"/>
  <c r="A7650" i="1"/>
  <c r="B7650" i="1"/>
  <c r="A7651" i="1"/>
  <c r="B7651" i="1"/>
  <c r="A7652" i="1"/>
  <c r="B7652" i="1"/>
  <c r="A7653" i="1"/>
  <c r="B7653" i="1"/>
  <c r="A7654" i="1"/>
  <c r="B7654" i="1"/>
  <c r="A7655" i="1"/>
  <c r="B7655" i="1"/>
  <c r="A7656" i="1"/>
  <c r="B7656" i="1"/>
  <c r="A7657" i="1"/>
  <c r="B7657" i="1"/>
  <c r="A7658" i="1"/>
  <c r="B7658" i="1"/>
  <c r="A7659" i="1"/>
  <c r="B7659" i="1"/>
  <c r="A7660" i="1"/>
  <c r="B7660" i="1"/>
  <c r="A7661" i="1"/>
  <c r="B7661" i="1"/>
  <c r="A7662" i="1"/>
  <c r="B7662" i="1"/>
  <c r="A7663" i="1"/>
  <c r="B7663" i="1"/>
  <c r="A7664" i="1"/>
  <c r="B7664" i="1"/>
  <c r="A7665" i="1"/>
  <c r="B7665" i="1"/>
  <c r="A7666" i="1"/>
  <c r="B7666" i="1"/>
  <c r="A7667" i="1"/>
  <c r="B7667" i="1"/>
  <c r="A7668" i="1"/>
  <c r="B7668" i="1"/>
  <c r="A7669" i="1"/>
  <c r="B7669" i="1"/>
  <c r="A7670" i="1"/>
  <c r="B7670" i="1"/>
  <c r="A7671" i="1"/>
  <c r="B7671" i="1"/>
  <c r="A7672" i="1"/>
  <c r="B7672" i="1"/>
  <c r="A7673" i="1"/>
  <c r="B7673" i="1"/>
  <c r="A7674" i="1"/>
  <c r="B7674" i="1"/>
  <c r="A7675" i="1"/>
  <c r="B7675" i="1"/>
  <c r="A7676" i="1"/>
  <c r="B7676" i="1"/>
  <c r="A7677" i="1"/>
  <c r="B7677" i="1"/>
  <c r="A7678" i="1"/>
  <c r="B7678" i="1"/>
  <c r="A7679" i="1"/>
  <c r="B7679" i="1"/>
  <c r="A7680" i="1"/>
  <c r="B7680" i="1"/>
  <c r="A7681" i="1"/>
  <c r="B7681" i="1"/>
  <c r="A7682" i="1"/>
  <c r="B7682" i="1"/>
  <c r="A7683" i="1"/>
  <c r="B7683" i="1"/>
  <c r="A7684" i="1"/>
  <c r="B7684" i="1"/>
  <c r="A7685" i="1"/>
  <c r="B7685" i="1"/>
  <c r="A7686" i="1"/>
  <c r="B7686" i="1"/>
  <c r="A7687" i="1"/>
  <c r="B7687" i="1"/>
  <c r="A7688" i="1"/>
  <c r="B7688" i="1"/>
  <c r="A7689" i="1"/>
  <c r="B7689" i="1"/>
  <c r="A7690" i="1"/>
  <c r="B7690" i="1"/>
  <c r="A7691" i="1"/>
  <c r="B7691" i="1"/>
  <c r="A7692" i="1"/>
  <c r="B7692" i="1"/>
  <c r="A7693" i="1"/>
  <c r="B7693" i="1"/>
  <c r="A7694" i="1"/>
  <c r="B7694" i="1"/>
  <c r="A7695" i="1"/>
  <c r="B7695" i="1"/>
  <c r="A7696" i="1"/>
  <c r="B7696" i="1"/>
  <c r="A7697" i="1"/>
  <c r="B7697" i="1"/>
  <c r="A7698" i="1"/>
  <c r="B7698" i="1"/>
  <c r="A7699" i="1"/>
  <c r="B7699" i="1"/>
  <c r="A7700" i="1"/>
  <c r="B7700" i="1"/>
  <c r="A7701" i="1"/>
  <c r="B7701" i="1"/>
  <c r="A7702" i="1"/>
  <c r="B7702" i="1"/>
  <c r="A7703" i="1"/>
  <c r="B7703" i="1"/>
  <c r="A7704" i="1"/>
  <c r="B7704" i="1"/>
  <c r="A7705" i="1"/>
  <c r="B7705" i="1"/>
  <c r="A7706" i="1"/>
  <c r="B7706" i="1"/>
  <c r="A7707" i="1"/>
  <c r="B7707" i="1"/>
  <c r="A7708" i="1"/>
  <c r="B7708" i="1"/>
  <c r="A7709" i="1"/>
  <c r="B7709" i="1"/>
  <c r="A7710" i="1"/>
  <c r="B7710" i="1"/>
  <c r="A7711" i="1"/>
  <c r="B7711" i="1"/>
  <c r="A7712" i="1"/>
  <c r="B7712" i="1"/>
  <c r="A7713" i="1"/>
  <c r="B7713" i="1"/>
  <c r="A7714" i="1"/>
  <c r="B7714" i="1"/>
  <c r="A7715" i="1"/>
  <c r="B7715" i="1"/>
  <c r="A7716" i="1"/>
  <c r="B7716" i="1"/>
  <c r="A7717" i="1"/>
  <c r="B7717" i="1"/>
  <c r="A7718" i="1"/>
  <c r="B7718" i="1"/>
  <c r="A7719" i="1"/>
  <c r="B7719" i="1"/>
  <c r="A7720" i="1"/>
  <c r="B7720" i="1"/>
  <c r="A7721" i="1"/>
  <c r="B7721" i="1"/>
  <c r="A7722" i="1"/>
  <c r="B7722" i="1"/>
  <c r="A7723" i="1"/>
  <c r="B7723" i="1"/>
  <c r="A7724" i="1"/>
  <c r="B7724" i="1"/>
  <c r="A7725" i="1"/>
  <c r="B7725" i="1"/>
  <c r="A7726" i="1"/>
  <c r="B7726" i="1"/>
  <c r="A7727" i="1"/>
  <c r="B7727" i="1"/>
  <c r="A7728" i="1"/>
  <c r="B7728" i="1"/>
  <c r="A7729" i="1"/>
  <c r="B7729" i="1"/>
  <c r="A7730" i="1"/>
  <c r="B7730" i="1"/>
  <c r="A7731" i="1"/>
  <c r="B7731" i="1"/>
  <c r="A7732" i="1"/>
  <c r="B7732" i="1"/>
  <c r="A7733" i="1"/>
  <c r="B7733" i="1"/>
  <c r="A7734" i="1"/>
  <c r="B7734" i="1"/>
  <c r="A7735" i="1"/>
  <c r="B7735" i="1"/>
  <c r="A7736" i="1"/>
  <c r="B7736" i="1"/>
  <c r="A7737" i="1"/>
  <c r="B7737" i="1"/>
  <c r="A7738" i="1"/>
  <c r="B7738" i="1"/>
  <c r="A7739" i="1"/>
  <c r="B7739" i="1"/>
  <c r="A7740" i="1"/>
  <c r="B7740" i="1"/>
  <c r="A7741" i="1"/>
  <c r="B7741" i="1"/>
  <c r="A7742" i="1"/>
  <c r="B7742" i="1"/>
  <c r="A7743" i="1"/>
  <c r="B7743" i="1"/>
  <c r="A7744" i="1"/>
  <c r="B7744" i="1"/>
  <c r="A7745" i="1"/>
  <c r="B7745" i="1"/>
  <c r="A7746" i="1"/>
  <c r="B7746" i="1"/>
  <c r="A7747" i="1"/>
  <c r="B7747" i="1"/>
  <c r="A7748" i="1"/>
  <c r="B7748" i="1"/>
  <c r="A7749" i="1"/>
  <c r="B7749" i="1"/>
  <c r="A7750" i="1"/>
  <c r="B7750" i="1"/>
  <c r="A7751" i="1"/>
  <c r="B7751" i="1"/>
  <c r="A7752" i="1"/>
  <c r="B7752" i="1"/>
  <c r="A7753" i="1"/>
  <c r="B7753" i="1"/>
  <c r="A7754" i="1"/>
  <c r="B7754" i="1"/>
  <c r="A7755" i="1"/>
  <c r="B7755" i="1"/>
  <c r="A7756" i="1"/>
  <c r="B7756" i="1"/>
  <c r="A7757" i="1"/>
  <c r="B7757" i="1"/>
  <c r="A7758" i="1"/>
  <c r="B7758" i="1"/>
  <c r="A7759" i="1"/>
  <c r="B7759" i="1"/>
  <c r="A7760" i="1"/>
  <c r="B7760" i="1"/>
  <c r="A7761" i="1"/>
  <c r="B7761" i="1"/>
  <c r="A7762" i="1"/>
  <c r="B7762" i="1"/>
  <c r="A7763" i="1"/>
  <c r="B7763" i="1"/>
  <c r="A7764" i="1"/>
  <c r="B7764" i="1"/>
  <c r="A7765" i="1"/>
  <c r="B7765" i="1"/>
  <c r="A7766" i="1"/>
  <c r="B7766" i="1"/>
  <c r="A7767" i="1"/>
  <c r="B7767" i="1"/>
  <c r="A7768" i="1"/>
  <c r="B7768" i="1"/>
  <c r="A7769" i="1"/>
  <c r="B7769" i="1"/>
  <c r="A7770" i="1"/>
  <c r="B7770" i="1"/>
  <c r="A7771" i="1"/>
  <c r="B7771" i="1"/>
  <c r="A7772" i="1"/>
  <c r="B7772" i="1"/>
  <c r="A7773" i="1"/>
  <c r="B7773" i="1"/>
  <c r="A7774" i="1"/>
  <c r="B7774" i="1"/>
  <c r="A7775" i="1"/>
  <c r="B7775" i="1"/>
  <c r="A7776" i="1"/>
  <c r="B7776" i="1"/>
  <c r="A7777" i="1"/>
  <c r="B7777" i="1"/>
  <c r="A7778" i="1"/>
  <c r="B7778" i="1"/>
  <c r="A7779" i="1"/>
  <c r="B7779" i="1"/>
  <c r="A7780" i="1"/>
  <c r="B7780" i="1"/>
  <c r="A7781" i="1"/>
  <c r="B7781" i="1"/>
  <c r="A7782" i="1"/>
  <c r="B7782" i="1"/>
  <c r="A7783" i="1"/>
  <c r="B7783" i="1"/>
  <c r="A7784" i="1"/>
  <c r="B7784" i="1"/>
  <c r="A7785" i="1"/>
  <c r="B7785" i="1"/>
  <c r="A7786" i="1"/>
  <c r="B7786" i="1"/>
  <c r="A7787" i="1"/>
  <c r="B7787" i="1"/>
  <c r="A7788" i="1"/>
  <c r="B7788" i="1"/>
  <c r="A7789" i="1"/>
  <c r="B7789" i="1"/>
  <c r="A7790" i="1"/>
  <c r="B7790" i="1"/>
  <c r="A7791" i="1"/>
  <c r="B7791" i="1"/>
  <c r="A7792" i="1"/>
  <c r="B7792" i="1"/>
  <c r="A7793" i="1"/>
  <c r="B7793" i="1"/>
  <c r="A7794" i="1"/>
  <c r="B7794" i="1"/>
  <c r="A7795" i="1"/>
  <c r="B7795" i="1"/>
  <c r="A7796" i="1"/>
  <c r="B7796" i="1"/>
  <c r="A7797" i="1"/>
  <c r="B7797" i="1"/>
  <c r="A7798" i="1"/>
  <c r="B7798" i="1"/>
  <c r="A7799" i="1"/>
  <c r="B7799" i="1"/>
  <c r="A7800" i="1"/>
  <c r="B7800" i="1"/>
  <c r="A7801" i="1"/>
  <c r="B7801" i="1"/>
  <c r="A7802" i="1"/>
  <c r="B7802" i="1"/>
  <c r="A7803" i="1"/>
  <c r="B7803" i="1"/>
  <c r="A7804" i="1"/>
  <c r="B7804" i="1"/>
  <c r="A7805" i="1"/>
  <c r="B7805" i="1"/>
  <c r="A7806" i="1"/>
  <c r="B7806" i="1"/>
  <c r="A7807" i="1"/>
  <c r="B7807" i="1"/>
  <c r="A7808" i="1"/>
  <c r="B7808" i="1"/>
  <c r="A7809" i="1"/>
  <c r="B7809" i="1"/>
  <c r="A7810" i="1"/>
  <c r="B7810" i="1"/>
  <c r="A7811" i="1"/>
  <c r="B7811" i="1"/>
  <c r="A7812" i="1"/>
  <c r="B7812" i="1"/>
  <c r="A7813" i="1"/>
  <c r="B7813" i="1"/>
  <c r="A7814" i="1"/>
  <c r="B7814" i="1"/>
  <c r="A7815" i="1"/>
  <c r="B7815" i="1"/>
  <c r="A7816" i="1"/>
  <c r="B7816" i="1"/>
  <c r="A7817" i="1"/>
  <c r="B7817" i="1"/>
  <c r="A7818" i="1"/>
  <c r="B7818" i="1"/>
  <c r="A7819" i="1"/>
  <c r="B7819" i="1"/>
  <c r="A7820" i="1"/>
  <c r="B7820" i="1"/>
  <c r="A7821" i="1"/>
  <c r="B7821" i="1"/>
  <c r="A7822" i="1"/>
  <c r="B7822" i="1"/>
  <c r="A7823" i="1"/>
  <c r="B7823" i="1"/>
  <c r="A7824" i="1"/>
  <c r="B7824" i="1"/>
  <c r="A7825" i="1"/>
  <c r="B7825" i="1"/>
  <c r="A7826" i="1"/>
  <c r="B7826" i="1"/>
  <c r="A7827" i="1"/>
  <c r="B7827" i="1"/>
  <c r="A7828" i="1"/>
  <c r="B7828" i="1"/>
  <c r="A7829" i="1"/>
  <c r="B7829" i="1"/>
  <c r="A7830" i="1"/>
  <c r="B7830" i="1"/>
  <c r="A7831" i="1"/>
  <c r="B7831" i="1"/>
  <c r="A7832" i="1"/>
  <c r="B7832" i="1"/>
  <c r="A7833" i="1"/>
  <c r="B7833" i="1"/>
  <c r="A7834" i="1"/>
  <c r="B7834" i="1"/>
  <c r="A7835" i="1"/>
  <c r="B7835" i="1"/>
  <c r="A7836" i="1"/>
  <c r="B7836" i="1"/>
  <c r="A7837" i="1"/>
  <c r="B7837" i="1"/>
  <c r="A7838" i="1"/>
  <c r="B7838" i="1"/>
  <c r="A7839" i="1"/>
  <c r="B7839" i="1"/>
  <c r="A7840" i="1"/>
  <c r="B7840" i="1"/>
  <c r="A7841" i="1"/>
  <c r="B7841" i="1"/>
  <c r="A7842" i="1"/>
  <c r="B7842" i="1"/>
  <c r="A7843" i="1"/>
  <c r="B7843" i="1"/>
  <c r="A7844" i="1"/>
  <c r="B7844" i="1"/>
  <c r="A7845" i="1"/>
  <c r="B7845" i="1"/>
  <c r="A7846" i="1"/>
  <c r="B7846" i="1"/>
  <c r="A7847" i="1"/>
  <c r="B7847" i="1"/>
  <c r="A7848" i="1"/>
  <c r="B7848" i="1"/>
  <c r="A7849" i="1"/>
  <c r="B7849" i="1"/>
  <c r="A7850" i="1"/>
  <c r="B7850" i="1"/>
  <c r="A7851" i="1"/>
  <c r="B7851" i="1"/>
  <c r="A7852" i="1"/>
  <c r="B7852" i="1"/>
  <c r="A7853" i="1"/>
  <c r="B7853" i="1"/>
  <c r="A7854" i="1"/>
  <c r="B7854" i="1"/>
  <c r="A7855" i="1"/>
  <c r="B7855" i="1"/>
  <c r="A7856" i="1"/>
  <c r="B7856" i="1"/>
  <c r="A7857" i="1"/>
  <c r="B7857" i="1"/>
  <c r="A7858" i="1"/>
  <c r="B7858" i="1"/>
  <c r="A7859" i="1"/>
  <c r="B7859" i="1"/>
  <c r="A7860" i="1"/>
  <c r="B7860" i="1"/>
  <c r="A7861" i="1"/>
  <c r="B7861" i="1"/>
  <c r="A7862" i="1"/>
  <c r="B7862" i="1"/>
  <c r="A7863" i="1"/>
  <c r="B7863" i="1"/>
  <c r="A7864" i="1"/>
  <c r="B7864" i="1"/>
  <c r="A7865" i="1"/>
  <c r="B7865" i="1"/>
  <c r="A7866" i="1"/>
  <c r="B7866" i="1"/>
  <c r="A7867" i="1"/>
  <c r="B7867" i="1"/>
  <c r="A7868" i="1"/>
  <c r="B7868" i="1"/>
  <c r="A7869" i="1"/>
  <c r="B7869" i="1"/>
  <c r="A7870" i="1"/>
  <c r="B7870" i="1"/>
  <c r="A7871" i="1"/>
  <c r="B7871" i="1"/>
  <c r="A7872" i="1"/>
  <c r="B7872" i="1"/>
  <c r="A7873" i="1"/>
  <c r="B7873" i="1"/>
  <c r="A7874" i="1"/>
  <c r="B7874" i="1"/>
  <c r="A7875" i="1"/>
  <c r="B7875" i="1"/>
  <c r="A7876" i="1"/>
  <c r="B7876" i="1"/>
  <c r="A7877" i="1"/>
  <c r="B7877" i="1"/>
  <c r="A7878" i="1"/>
  <c r="B7878" i="1"/>
  <c r="A7879" i="1"/>
  <c r="B7879" i="1"/>
  <c r="A7880" i="1"/>
  <c r="B7880" i="1"/>
  <c r="A7881" i="1"/>
  <c r="B7881" i="1"/>
  <c r="A7882" i="1"/>
  <c r="B7882" i="1"/>
  <c r="A7883" i="1"/>
  <c r="B7883" i="1"/>
  <c r="A7884" i="1"/>
  <c r="B7884" i="1"/>
  <c r="A7885" i="1"/>
  <c r="B7885" i="1"/>
  <c r="A7886" i="1"/>
  <c r="B7886" i="1"/>
  <c r="A7887" i="1"/>
  <c r="B7887" i="1"/>
  <c r="A7888" i="1"/>
  <c r="B7888" i="1"/>
  <c r="A7889" i="1"/>
  <c r="B7889" i="1"/>
  <c r="A7890" i="1"/>
  <c r="B7890" i="1"/>
  <c r="A7891" i="1"/>
  <c r="B7891" i="1"/>
  <c r="A7892" i="1"/>
  <c r="B7892" i="1"/>
  <c r="A7893" i="1"/>
  <c r="B7893" i="1"/>
  <c r="A7894" i="1"/>
  <c r="B7894" i="1"/>
  <c r="A7895" i="1"/>
  <c r="B7895" i="1"/>
  <c r="A7896" i="1"/>
  <c r="B7896" i="1"/>
  <c r="A7897" i="1"/>
  <c r="B7897" i="1"/>
  <c r="A7898" i="1"/>
  <c r="B7898" i="1"/>
  <c r="A7899" i="1"/>
  <c r="B7899" i="1"/>
  <c r="A7900" i="1"/>
  <c r="B7900" i="1"/>
  <c r="A7901" i="1"/>
  <c r="B7901" i="1"/>
  <c r="A7902" i="1"/>
  <c r="B7902" i="1"/>
  <c r="A7903" i="1"/>
  <c r="B7903" i="1"/>
  <c r="A7904" i="1"/>
  <c r="B7904" i="1"/>
  <c r="A7905" i="1"/>
  <c r="B7905" i="1"/>
  <c r="A7906" i="1"/>
  <c r="B7906" i="1"/>
  <c r="A7907" i="1"/>
  <c r="B7907" i="1"/>
  <c r="A7908" i="1"/>
  <c r="B7908" i="1"/>
  <c r="A7909" i="1"/>
  <c r="B7909" i="1"/>
  <c r="A7910" i="1"/>
  <c r="B7910" i="1"/>
  <c r="A7911" i="1"/>
  <c r="B7911" i="1"/>
  <c r="A7912" i="1"/>
  <c r="B7912" i="1"/>
  <c r="A7913" i="1"/>
  <c r="B7913" i="1"/>
  <c r="A7914" i="1"/>
  <c r="B7914" i="1"/>
  <c r="A7915" i="1"/>
  <c r="B7915" i="1"/>
  <c r="A7916" i="1"/>
  <c r="B7916" i="1"/>
  <c r="A7917" i="1"/>
  <c r="B7917" i="1"/>
  <c r="A7918" i="1"/>
  <c r="B7918" i="1"/>
  <c r="A7919" i="1"/>
  <c r="B7919" i="1"/>
  <c r="A7920" i="1"/>
  <c r="B7920" i="1"/>
  <c r="A7921" i="1"/>
  <c r="B7921" i="1"/>
  <c r="A7922" i="1"/>
  <c r="B7922" i="1"/>
  <c r="A7923" i="1"/>
  <c r="B7923" i="1"/>
  <c r="A7924" i="1"/>
  <c r="B7924" i="1"/>
  <c r="A7925" i="1"/>
  <c r="B7925" i="1"/>
  <c r="A7926" i="1"/>
  <c r="B7926" i="1"/>
  <c r="A7927" i="1"/>
  <c r="B7927" i="1"/>
  <c r="A7928" i="1"/>
  <c r="B7928" i="1"/>
  <c r="A7929" i="1"/>
  <c r="B7929" i="1"/>
  <c r="A7930" i="1"/>
  <c r="B7930" i="1"/>
  <c r="A7931" i="1"/>
  <c r="B7931" i="1"/>
  <c r="A7932" i="1"/>
  <c r="B7932" i="1"/>
  <c r="A7933" i="1"/>
  <c r="B7933" i="1"/>
  <c r="A7934" i="1"/>
  <c r="B7934" i="1"/>
  <c r="A7935" i="1"/>
  <c r="B7935" i="1"/>
  <c r="A7936" i="1"/>
  <c r="B7936" i="1"/>
  <c r="A7937" i="1"/>
  <c r="B7937" i="1"/>
  <c r="A7938" i="1"/>
  <c r="B7938" i="1"/>
  <c r="A7939" i="1"/>
  <c r="B7939" i="1"/>
  <c r="A7940" i="1"/>
  <c r="B7940" i="1"/>
  <c r="A7941" i="1"/>
  <c r="B7941" i="1"/>
  <c r="A7942" i="1"/>
  <c r="B7942" i="1"/>
  <c r="A7943" i="1"/>
  <c r="B7943" i="1"/>
  <c r="A7944" i="1"/>
  <c r="B7944" i="1"/>
  <c r="A7945" i="1"/>
  <c r="B7945" i="1"/>
  <c r="A7946" i="1"/>
  <c r="B7946" i="1"/>
  <c r="A7947" i="1"/>
  <c r="B7947" i="1"/>
  <c r="A7948" i="1"/>
  <c r="B7948" i="1"/>
  <c r="A7949" i="1"/>
  <c r="B7949" i="1"/>
  <c r="A7950" i="1"/>
  <c r="B7950" i="1"/>
  <c r="A7951" i="1"/>
  <c r="B7951" i="1"/>
  <c r="A7952" i="1"/>
  <c r="B7952" i="1"/>
  <c r="A7953" i="1"/>
  <c r="B7953" i="1"/>
  <c r="A7954" i="1"/>
  <c r="B7954" i="1"/>
  <c r="A7955" i="1"/>
  <c r="B7955" i="1"/>
  <c r="A7956" i="1"/>
  <c r="B7956" i="1"/>
  <c r="A7957" i="1"/>
  <c r="B7957" i="1"/>
  <c r="A7958" i="1"/>
  <c r="B7958" i="1"/>
  <c r="A7959" i="1"/>
  <c r="B7959" i="1"/>
  <c r="A7960" i="1"/>
  <c r="B7960" i="1"/>
  <c r="A7961" i="1"/>
  <c r="B7961" i="1"/>
  <c r="A7962" i="1"/>
  <c r="B7962" i="1"/>
  <c r="A7963" i="1"/>
  <c r="B7963" i="1"/>
  <c r="A7964" i="1"/>
  <c r="B7964" i="1"/>
  <c r="A7965" i="1"/>
  <c r="B7965" i="1"/>
  <c r="A7966" i="1"/>
  <c r="B7966" i="1"/>
  <c r="A7967" i="1"/>
  <c r="B7967" i="1"/>
  <c r="A7968" i="1"/>
  <c r="B7968" i="1"/>
  <c r="A7969" i="1"/>
  <c r="B7969" i="1"/>
  <c r="A7970" i="1"/>
  <c r="B7970" i="1"/>
  <c r="A7971" i="1"/>
  <c r="B7971" i="1"/>
  <c r="A7972" i="1"/>
  <c r="B7972" i="1"/>
  <c r="A7973" i="1"/>
  <c r="B7973" i="1"/>
  <c r="A7974" i="1"/>
  <c r="B7974" i="1"/>
  <c r="A7975" i="1"/>
  <c r="B7975" i="1"/>
  <c r="A7976" i="1"/>
  <c r="B7976" i="1"/>
  <c r="A7977" i="1"/>
  <c r="B7977" i="1"/>
  <c r="A7978" i="1"/>
  <c r="B7978" i="1"/>
  <c r="A7979" i="1"/>
  <c r="B7979" i="1"/>
  <c r="A7980" i="1"/>
  <c r="B7980" i="1"/>
  <c r="A7981" i="1"/>
  <c r="B7981" i="1"/>
  <c r="A7982" i="1"/>
  <c r="B7982" i="1"/>
  <c r="A7983" i="1"/>
  <c r="B7983" i="1"/>
  <c r="A7984" i="1"/>
  <c r="B7984" i="1"/>
  <c r="A7985" i="1"/>
  <c r="B7985" i="1"/>
  <c r="A7986" i="1"/>
  <c r="B7986" i="1"/>
  <c r="A7987" i="1"/>
  <c r="B7987" i="1"/>
  <c r="A7988" i="1"/>
  <c r="B7988" i="1"/>
  <c r="A7989" i="1"/>
  <c r="B7989" i="1"/>
  <c r="A7990" i="1"/>
  <c r="B7990" i="1"/>
  <c r="A7991" i="1"/>
  <c r="B7991" i="1"/>
  <c r="A7992" i="1"/>
  <c r="B7992" i="1"/>
  <c r="A7993" i="1"/>
  <c r="B7993" i="1"/>
  <c r="A7994" i="1"/>
  <c r="B7994" i="1"/>
  <c r="A7995" i="1"/>
  <c r="B7995" i="1"/>
  <c r="A7996" i="1"/>
  <c r="B7996" i="1"/>
  <c r="A7997" i="1"/>
  <c r="B7997" i="1"/>
  <c r="A7998" i="1"/>
  <c r="B7998" i="1"/>
  <c r="A7999" i="1"/>
  <c r="B7999" i="1"/>
  <c r="A8000" i="1"/>
  <c r="B8000" i="1"/>
  <c r="A8001" i="1"/>
  <c r="B8001" i="1"/>
  <c r="A8002" i="1"/>
  <c r="B8002" i="1"/>
  <c r="A8003" i="1"/>
  <c r="B8003" i="1"/>
  <c r="A8004" i="1"/>
  <c r="B8004" i="1"/>
  <c r="A8005" i="1"/>
  <c r="B8005" i="1"/>
  <c r="A8006" i="1"/>
  <c r="B8006" i="1"/>
  <c r="A8007" i="1"/>
  <c r="B8007" i="1"/>
  <c r="A8008" i="1"/>
  <c r="B8008" i="1"/>
  <c r="A8009" i="1"/>
  <c r="B8009" i="1"/>
  <c r="A8010" i="1"/>
  <c r="B8010" i="1"/>
  <c r="A8011" i="1"/>
  <c r="B8011" i="1"/>
  <c r="A8012" i="1"/>
  <c r="B8012" i="1"/>
  <c r="A8013" i="1"/>
  <c r="B8013" i="1"/>
  <c r="A8014" i="1"/>
  <c r="B8014" i="1"/>
  <c r="A8015" i="1"/>
  <c r="B8015" i="1"/>
  <c r="A8016" i="1"/>
  <c r="B8016" i="1"/>
  <c r="A8017" i="1"/>
  <c r="B8017" i="1"/>
  <c r="A8018" i="1"/>
  <c r="B8018" i="1"/>
  <c r="A8019" i="1"/>
  <c r="B8019" i="1"/>
  <c r="A8020" i="1"/>
  <c r="B8020" i="1"/>
  <c r="A8021" i="1"/>
  <c r="B8021" i="1"/>
  <c r="A8022" i="1"/>
  <c r="B8022" i="1"/>
  <c r="A8023" i="1"/>
  <c r="B8023" i="1"/>
  <c r="A8024" i="1"/>
  <c r="B8024" i="1"/>
  <c r="A8025" i="1"/>
  <c r="B8025" i="1"/>
  <c r="A8026" i="1"/>
  <c r="B8026" i="1"/>
  <c r="A8027" i="1"/>
  <c r="B8027" i="1"/>
  <c r="A8028" i="1"/>
  <c r="B8028" i="1"/>
  <c r="A8029" i="1"/>
  <c r="B8029" i="1"/>
  <c r="A8030" i="1"/>
  <c r="B8030" i="1"/>
  <c r="A8031" i="1"/>
  <c r="B8031" i="1"/>
  <c r="A8032" i="1"/>
  <c r="B8032" i="1"/>
  <c r="A8033" i="1"/>
  <c r="B8033" i="1"/>
  <c r="A8034" i="1"/>
  <c r="B8034" i="1"/>
  <c r="A8035" i="1"/>
  <c r="B8035" i="1"/>
  <c r="A8036" i="1"/>
  <c r="B8036" i="1"/>
  <c r="A8037" i="1"/>
  <c r="B8037" i="1"/>
  <c r="A8038" i="1"/>
  <c r="B8038" i="1"/>
  <c r="A8039" i="1"/>
  <c r="B8039" i="1"/>
  <c r="A8040" i="1"/>
  <c r="B8040" i="1"/>
  <c r="A8041" i="1"/>
  <c r="B8041" i="1"/>
  <c r="A8042" i="1"/>
  <c r="B8042" i="1"/>
  <c r="A8043" i="1"/>
  <c r="B8043" i="1"/>
  <c r="A8044" i="1"/>
  <c r="B8044" i="1"/>
  <c r="A8045" i="1"/>
  <c r="B8045" i="1"/>
  <c r="A8046" i="1"/>
  <c r="B8046" i="1"/>
  <c r="A8047" i="1"/>
  <c r="B8047" i="1"/>
  <c r="A8048" i="1"/>
  <c r="B8048" i="1"/>
  <c r="A8049" i="1"/>
  <c r="B8049" i="1"/>
  <c r="A8050" i="1"/>
  <c r="B8050" i="1"/>
  <c r="A8051" i="1"/>
  <c r="B8051" i="1"/>
  <c r="A8052" i="1"/>
  <c r="B8052" i="1"/>
  <c r="A8053" i="1"/>
  <c r="B8053" i="1"/>
  <c r="A8054" i="1"/>
  <c r="B8054" i="1"/>
  <c r="A8055" i="1"/>
  <c r="B8055" i="1"/>
  <c r="A8056" i="1"/>
  <c r="B8056" i="1"/>
  <c r="A8057" i="1"/>
  <c r="B8057" i="1"/>
  <c r="A8058" i="1"/>
  <c r="B8058" i="1"/>
  <c r="A8059" i="1"/>
  <c r="B8059" i="1"/>
  <c r="A8060" i="1"/>
  <c r="B8060" i="1"/>
  <c r="A8061" i="1"/>
  <c r="B8061" i="1"/>
  <c r="A8062" i="1"/>
  <c r="B8062" i="1"/>
  <c r="A8063" i="1"/>
  <c r="B8063" i="1"/>
  <c r="A8064" i="1"/>
  <c r="B8064" i="1"/>
  <c r="A8065" i="1"/>
  <c r="B8065" i="1"/>
  <c r="A8066" i="1"/>
  <c r="B8066" i="1"/>
  <c r="A8067" i="1"/>
  <c r="B8067" i="1"/>
  <c r="A8068" i="1"/>
  <c r="B8068" i="1"/>
  <c r="A8069" i="1"/>
  <c r="B8069" i="1"/>
  <c r="A8070" i="1"/>
  <c r="B8070" i="1"/>
  <c r="A8071" i="1"/>
  <c r="B8071" i="1"/>
  <c r="A8072" i="1"/>
  <c r="B8072" i="1"/>
  <c r="A8073" i="1"/>
  <c r="B8073" i="1"/>
  <c r="A8074" i="1"/>
  <c r="B8074" i="1"/>
  <c r="A8075" i="1"/>
  <c r="B8075" i="1"/>
  <c r="A8076" i="1"/>
  <c r="B8076" i="1"/>
  <c r="A8077" i="1"/>
  <c r="B8077" i="1"/>
  <c r="A8078" i="1"/>
  <c r="B8078" i="1"/>
  <c r="A8079" i="1"/>
  <c r="B8079" i="1"/>
  <c r="A8080" i="1"/>
  <c r="B8080" i="1"/>
  <c r="A8081" i="1"/>
  <c r="B8081" i="1"/>
  <c r="A8082" i="1"/>
  <c r="B8082" i="1"/>
  <c r="A8083" i="1"/>
  <c r="B8083" i="1"/>
  <c r="A8084" i="1"/>
  <c r="B8084" i="1"/>
  <c r="A8085" i="1"/>
  <c r="B8085" i="1"/>
  <c r="A8086" i="1"/>
  <c r="B8086" i="1"/>
  <c r="A8087" i="1"/>
  <c r="B8087" i="1"/>
  <c r="A8088" i="1"/>
  <c r="B8088" i="1"/>
  <c r="A8089" i="1"/>
  <c r="B8089" i="1"/>
  <c r="A8090" i="1"/>
  <c r="B8090" i="1"/>
  <c r="A8091" i="1"/>
  <c r="B8091" i="1"/>
  <c r="A8092" i="1"/>
  <c r="B8092" i="1"/>
  <c r="A8093" i="1"/>
  <c r="B8093" i="1"/>
  <c r="A8094" i="1"/>
  <c r="B8094" i="1"/>
  <c r="A8095" i="1"/>
  <c r="B8095" i="1"/>
  <c r="A8096" i="1"/>
  <c r="B8096" i="1"/>
  <c r="A8097" i="1"/>
  <c r="B8097" i="1"/>
  <c r="A8098" i="1"/>
  <c r="B8098" i="1"/>
  <c r="A8099" i="1"/>
  <c r="B8099" i="1"/>
  <c r="A8100" i="1"/>
  <c r="B8100" i="1"/>
  <c r="A8101" i="1"/>
  <c r="B8101" i="1"/>
  <c r="A8102" i="1"/>
  <c r="B8102" i="1"/>
  <c r="A8103" i="1"/>
  <c r="B8103" i="1"/>
  <c r="A8104" i="1"/>
  <c r="B8104" i="1"/>
  <c r="A8105" i="1"/>
  <c r="B8105" i="1"/>
  <c r="A8106" i="1"/>
  <c r="B8106" i="1"/>
  <c r="A8107" i="1"/>
  <c r="B8107" i="1"/>
  <c r="A8108" i="1"/>
  <c r="B8108" i="1"/>
  <c r="A8109" i="1"/>
  <c r="B8109" i="1"/>
  <c r="A8110" i="1"/>
  <c r="B8110" i="1"/>
  <c r="A8111" i="1"/>
  <c r="B8111" i="1"/>
  <c r="A8112" i="1"/>
  <c r="B8112" i="1"/>
  <c r="A8113" i="1"/>
  <c r="B8113" i="1"/>
  <c r="A8114" i="1"/>
  <c r="B8114" i="1"/>
  <c r="A8115" i="1"/>
  <c r="B8115" i="1"/>
  <c r="A8116" i="1"/>
  <c r="B8116" i="1"/>
  <c r="A8117" i="1"/>
  <c r="B8117" i="1"/>
  <c r="A8118" i="1"/>
  <c r="B8118" i="1"/>
  <c r="A8119" i="1"/>
  <c r="B8119" i="1"/>
  <c r="A8120" i="1"/>
  <c r="B8120" i="1"/>
  <c r="A8121" i="1"/>
  <c r="B8121" i="1"/>
  <c r="A8122" i="1"/>
  <c r="B8122" i="1"/>
  <c r="A8123" i="1"/>
  <c r="B8123" i="1"/>
  <c r="A8124" i="1"/>
  <c r="B8124" i="1"/>
  <c r="A8125" i="1"/>
  <c r="B8125" i="1"/>
  <c r="A8126" i="1"/>
  <c r="B8126" i="1"/>
  <c r="A8127" i="1"/>
  <c r="B8127" i="1"/>
  <c r="A8128" i="1"/>
  <c r="B8128" i="1"/>
  <c r="A8129" i="1"/>
  <c r="B8129" i="1"/>
  <c r="A8130" i="1"/>
  <c r="B8130" i="1"/>
  <c r="A8131" i="1"/>
  <c r="B8131" i="1"/>
  <c r="A8132" i="1"/>
  <c r="B8132" i="1"/>
  <c r="A8133" i="1"/>
  <c r="B8133" i="1"/>
  <c r="A8134" i="1"/>
  <c r="B8134" i="1"/>
  <c r="A8135" i="1"/>
  <c r="B8135" i="1"/>
  <c r="A8136" i="1"/>
  <c r="B8136" i="1"/>
  <c r="A8137" i="1"/>
  <c r="B8137" i="1"/>
  <c r="A8138" i="1"/>
  <c r="B8138" i="1"/>
  <c r="A8139" i="1"/>
  <c r="B8139" i="1"/>
  <c r="A8140" i="1"/>
  <c r="B8140" i="1"/>
  <c r="A8141" i="1"/>
  <c r="B8141" i="1"/>
  <c r="A8142" i="1"/>
  <c r="B8142" i="1"/>
  <c r="A8143" i="1"/>
  <c r="B8143" i="1"/>
  <c r="A8144" i="1"/>
  <c r="B8144" i="1"/>
  <c r="A8145" i="1"/>
  <c r="B8145" i="1"/>
  <c r="A8146" i="1"/>
  <c r="B8146" i="1"/>
  <c r="A8147" i="1"/>
  <c r="B8147" i="1"/>
  <c r="A8148" i="1"/>
  <c r="B8148" i="1"/>
  <c r="A8149" i="1"/>
  <c r="B8149" i="1"/>
  <c r="A8150" i="1"/>
  <c r="B8150" i="1"/>
  <c r="A8151" i="1"/>
  <c r="B8151" i="1"/>
  <c r="A8152" i="1"/>
  <c r="B8152" i="1"/>
  <c r="A8153" i="1"/>
  <c r="B8153" i="1"/>
  <c r="A8154" i="1"/>
  <c r="B8154" i="1"/>
  <c r="A8155" i="1"/>
  <c r="B8155" i="1"/>
  <c r="A8156" i="1"/>
  <c r="B8156" i="1"/>
  <c r="A8157" i="1"/>
  <c r="B8157" i="1"/>
  <c r="A8158" i="1"/>
  <c r="B8158" i="1"/>
  <c r="A8159" i="1"/>
  <c r="B8159" i="1"/>
  <c r="A8160" i="1"/>
  <c r="B8160" i="1"/>
  <c r="A8161" i="1"/>
  <c r="B8161" i="1"/>
  <c r="A8162" i="1"/>
  <c r="B8162" i="1"/>
  <c r="A8163" i="1"/>
  <c r="B8163" i="1"/>
  <c r="A8164" i="1"/>
  <c r="B8164" i="1"/>
  <c r="A8165" i="1"/>
  <c r="B8165" i="1"/>
  <c r="A8166" i="1"/>
  <c r="B8166" i="1"/>
  <c r="A8167" i="1"/>
  <c r="B8167" i="1"/>
  <c r="A8168" i="1"/>
  <c r="B8168" i="1"/>
  <c r="A8169" i="1"/>
  <c r="B8169" i="1"/>
  <c r="A8170" i="1"/>
  <c r="B8170" i="1"/>
  <c r="A8171" i="1"/>
  <c r="B8171" i="1"/>
  <c r="A8172" i="1"/>
  <c r="B8172" i="1"/>
  <c r="A8173" i="1"/>
  <c r="B8173" i="1"/>
  <c r="A8174" i="1"/>
  <c r="B8174" i="1"/>
  <c r="A8175" i="1"/>
  <c r="B8175" i="1"/>
  <c r="A8176" i="1"/>
  <c r="B8176" i="1"/>
  <c r="A8177" i="1"/>
  <c r="B8177" i="1"/>
  <c r="A8178" i="1"/>
  <c r="B8178" i="1"/>
  <c r="A8179" i="1"/>
  <c r="B8179" i="1"/>
  <c r="A8180" i="1"/>
  <c r="B8180" i="1"/>
  <c r="A8181" i="1"/>
  <c r="B8181" i="1"/>
  <c r="A8182" i="1"/>
  <c r="B8182" i="1"/>
  <c r="A8183" i="1"/>
  <c r="B8183" i="1"/>
  <c r="A8184" i="1"/>
  <c r="B8184" i="1"/>
  <c r="A8185" i="1"/>
  <c r="B8185" i="1"/>
  <c r="A8186" i="1"/>
  <c r="B8186" i="1"/>
  <c r="A8187" i="1"/>
  <c r="B8187" i="1"/>
  <c r="A8188" i="1"/>
  <c r="B8188" i="1"/>
  <c r="A8189" i="1"/>
  <c r="B8189" i="1"/>
  <c r="A8190" i="1"/>
  <c r="B8190" i="1"/>
  <c r="A8191" i="1"/>
  <c r="B8191" i="1"/>
  <c r="A8192" i="1"/>
  <c r="B8192" i="1"/>
  <c r="A8193" i="1"/>
  <c r="B8193" i="1"/>
  <c r="A8194" i="1"/>
  <c r="B8194" i="1"/>
  <c r="A8195" i="1"/>
  <c r="B8195" i="1"/>
  <c r="A8196" i="1"/>
  <c r="B8196" i="1"/>
  <c r="A8197" i="1"/>
  <c r="B8197" i="1"/>
  <c r="A8198" i="1"/>
  <c r="B8198" i="1"/>
  <c r="A8199" i="1"/>
  <c r="B8199" i="1"/>
  <c r="A8200" i="1"/>
  <c r="B8200" i="1"/>
  <c r="A8201" i="1"/>
  <c r="B8201" i="1"/>
  <c r="A8202" i="1"/>
  <c r="B8202" i="1"/>
  <c r="A8203" i="1"/>
  <c r="B8203" i="1"/>
  <c r="A8204" i="1"/>
  <c r="B8204" i="1"/>
  <c r="A8205" i="1"/>
  <c r="B8205" i="1"/>
  <c r="A8206" i="1"/>
  <c r="B8206" i="1"/>
  <c r="A8207" i="1"/>
  <c r="B8207" i="1"/>
  <c r="A8208" i="1"/>
  <c r="B8208" i="1"/>
  <c r="A8209" i="1"/>
  <c r="B8209" i="1"/>
  <c r="A8210" i="1"/>
  <c r="B8210" i="1"/>
  <c r="A8211" i="1"/>
  <c r="B8211" i="1"/>
  <c r="A8212" i="1"/>
  <c r="B8212" i="1"/>
  <c r="A8213" i="1"/>
  <c r="B8213" i="1"/>
  <c r="A8214" i="1"/>
  <c r="B8214" i="1"/>
  <c r="A8215" i="1"/>
  <c r="B8215" i="1"/>
  <c r="A8216" i="1"/>
  <c r="B8216" i="1"/>
  <c r="A8217" i="1"/>
  <c r="B8217" i="1"/>
  <c r="A8218" i="1"/>
  <c r="B8218" i="1"/>
  <c r="A8219" i="1"/>
  <c r="B8219" i="1"/>
  <c r="A8220" i="1"/>
  <c r="B8220" i="1"/>
  <c r="A8221" i="1"/>
  <c r="B8221" i="1"/>
  <c r="A8222" i="1"/>
  <c r="B8222" i="1"/>
  <c r="A8223" i="1"/>
  <c r="B8223" i="1"/>
  <c r="A8224" i="1"/>
  <c r="B8224" i="1"/>
  <c r="A8225" i="1"/>
  <c r="B8225" i="1"/>
  <c r="A8226" i="1"/>
  <c r="B8226" i="1"/>
  <c r="A8227" i="1"/>
  <c r="B8227" i="1"/>
  <c r="A8228" i="1"/>
  <c r="B8228" i="1"/>
  <c r="A8229" i="1"/>
  <c r="B8229" i="1"/>
  <c r="A8230" i="1"/>
  <c r="B8230" i="1"/>
  <c r="A8231" i="1"/>
  <c r="B8231" i="1"/>
  <c r="A8232" i="1"/>
  <c r="B8232" i="1"/>
  <c r="A8233" i="1"/>
  <c r="B8233" i="1"/>
  <c r="A8234" i="1"/>
  <c r="B8234" i="1"/>
  <c r="A8235" i="1"/>
  <c r="B8235" i="1"/>
  <c r="A8236" i="1"/>
  <c r="B8236" i="1"/>
  <c r="A8237" i="1"/>
  <c r="B8237" i="1"/>
  <c r="A8238" i="1"/>
  <c r="B8238" i="1"/>
  <c r="A8239" i="1"/>
  <c r="B8239" i="1"/>
  <c r="A8240" i="1"/>
  <c r="B8240" i="1"/>
  <c r="A8241" i="1"/>
  <c r="B8241" i="1"/>
  <c r="A8242" i="1"/>
  <c r="B8242" i="1"/>
  <c r="A8243" i="1"/>
  <c r="B8243" i="1"/>
  <c r="A8244" i="1"/>
  <c r="B8244" i="1"/>
  <c r="A8245" i="1"/>
  <c r="B8245" i="1"/>
  <c r="A8246" i="1"/>
  <c r="B8246" i="1"/>
  <c r="A8247" i="1"/>
  <c r="B8247" i="1"/>
  <c r="A8248" i="1"/>
  <c r="B8248" i="1"/>
  <c r="A8249" i="1"/>
  <c r="B8249" i="1"/>
  <c r="A8250" i="1"/>
  <c r="B8250" i="1"/>
  <c r="A8251" i="1"/>
  <c r="B8251" i="1"/>
  <c r="A8252" i="1"/>
  <c r="B8252" i="1"/>
  <c r="A8253" i="1"/>
  <c r="B8253" i="1"/>
  <c r="A8254" i="1"/>
  <c r="B8254" i="1"/>
  <c r="A8255" i="1"/>
  <c r="B8255" i="1"/>
  <c r="A8256" i="1"/>
  <c r="B8256" i="1"/>
  <c r="A8257" i="1"/>
  <c r="B8257" i="1"/>
  <c r="A8258" i="1"/>
  <c r="B8258" i="1"/>
  <c r="A8259" i="1"/>
  <c r="B8259" i="1"/>
  <c r="A8260" i="1"/>
  <c r="B8260" i="1"/>
  <c r="A8261" i="1"/>
  <c r="B8261" i="1"/>
  <c r="A8262" i="1"/>
  <c r="B8262" i="1"/>
  <c r="A8263" i="1"/>
  <c r="B8263" i="1"/>
  <c r="A8264" i="1"/>
  <c r="B8264" i="1"/>
  <c r="A8265" i="1"/>
  <c r="B8265" i="1"/>
  <c r="A8266" i="1"/>
  <c r="B8266" i="1"/>
  <c r="A8267" i="1"/>
  <c r="B8267" i="1"/>
  <c r="A8268" i="1"/>
  <c r="B8268" i="1"/>
  <c r="A8269" i="1"/>
  <c r="B8269" i="1"/>
  <c r="A8270" i="1"/>
  <c r="B8270" i="1"/>
  <c r="A8271" i="1"/>
  <c r="B8271" i="1"/>
  <c r="A8272" i="1"/>
  <c r="B8272" i="1"/>
  <c r="A8273" i="1"/>
  <c r="B8273" i="1"/>
  <c r="A8274" i="1"/>
  <c r="B8274" i="1"/>
  <c r="A8275" i="1"/>
  <c r="B8275" i="1"/>
  <c r="A8276" i="1"/>
  <c r="B8276" i="1"/>
  <c r="A8277" i="1"/>
  <c r="B8277" i="1"/>
  <c r="A8278" i="1"/>
  <c r="B8278" i="1"/>
  <c r="A8279" i="1"/>
  <c r="B8279" i="1"/>
  <c r="A8280" i="1"/>
  <c r="B8280" i="1"/>
  <c r="A8281" i="1"/>
  <c r="B8281" i="1"/>
  <c r="A8282" i="1"/>
  <c r="B8282" i="1"/>
  <c r="A8283" i="1"/>
  <c r="B8283" i="1"/>
  <c r="A8284" i="1"/>
  <c r="B8284" i="1"/>
  <c r="A8285" i="1"/>
  <c r="B8285" i="1"/>
  <c r="A8286" i="1"/>
  <c r="B8286" i="1"/>
  <c r="A8287" i="1"/>
  <c r="B8287" i="1"/>
  <c r="A8288" i="1"/>
  <c r="B8288" i="1"/>
  <c r="A8289" i="1"/>
  <c r="B8289" i="1"/>
  <c r="A8290" i="1"/>
  <c r="B8290" i="1"/>
  <c r="A8291" i="1"/>
  <c r="B8291" i="1"/>
  <c r="A8292" i="1"/>
  <c r="B8292" i="1"/>
  <c r="A8293" i="1"/>
  <c r="B8293" i="1"/>
  <c r="A8294" i="1"/>
  <c r="B8294" i="1"/>
  <c r="A8295" i="1"/>
  <c r="B8295" i="1"/>
  <c r="A8296" i="1"/>
  <c r="B8296" i="1"/>
  <c r="A8297" i="1"/>
  <c r="B8297" i="1"/>
  <c r="A8298" i="1"/>
  <c r="B8298" i="1"/>
  <c r="A8299" i="1"/>
  <c r="B8299" i="1"/>
  <c r="A8300" i="1"/>
  <c r="B8300" i="1"/>
  <c r="A8301" i="1"/>
  <c r="B8301" i="1"/>
  <c r="A8302" i="1"/>
  <c r="B8302" i="1"/>
  <c r="A8303" i="1"/>
  <c r="B8303" i="1"/>
  <c r="A8304" i="1"/>
  <c r="B8304" i="1"/>
  <c r="A8305" i="1"/>
  <c r="B8305" i="1"/>
  <c r="A8306" i="1"/>
  <c r="B8306" i="1"/>
  <c r="A8307" i="1"/>
  <c r="B8307" i="1"/>
  <c r="A8308" i="1"/>
  <c r="B8308" i="1"/>
  <c r="A8309" i="1"/>
  <c r="B8309" i="1"/>
  <c r="A8310" i="1"/>
  <c r="B8310" i="1"/>
  <c r="A8311" i="1"/>
  <c r="B8311" i="1"/>
  <c r="A8312" i="1"/>
  <c r="B8312" i="1"/>
  <c r="A8313" i="1"/>
  <c r="B8313" i="1"/>
  <c r="A8314" i="1"/>
  <c r="B8314" i="1"/>
  <c r="A8315" i="1"/>
  <c r="B8315" i="1"/>
  <c r="A8316" i="1"/>
  <c r="B8316" i="1"/>
  <c r="A8317" i="1"/>
  <c r="B8317" i="1"/>
  <c r="A8318" i="1"/>
  <c r="B8318" i="1"/>
  <c r="A8319" i="1"/>
  <c r="B8319" i="1"/>
  <c r="A8320" i="1"/>
  <c r="B8320" i="1"/>
  <c r="A8321" i="1"/>
  <c r="B8321" i="1"/>
  <c r="A8322" i="1"/>
  <c r="B8322" i="1"/>
  <c r="A8323" i="1"/>
  <c r="B8323" i="1"/>
  <c r="A8324" i="1"/>
  <c r="B8324" i="1"/>
  <c r="A8325" i="1"/>
  <c r="B8325" i="1"/>
  <c r="A8326" i="1"/>
  <c r="B8326" i="1"/>
  <c r="A8327" i="1"/>
  <c r="B8327" i="1"/>
  <c r="A8328" i="1"/>
  <c r="B8328" i="1"/>
  <c r="A8329" i="1"/>
  <c r="B8329" i="1"/>
  <c r="A8330" i="1"/>
  <c r="B8330" i="1"/>
  <c r="A8331" i="1"/>
  <c r="B8331" i="1"/>
  <c r="A8332" i="1"/>
  <c r="B8332" i="1"/>
  <c r="A8333" i="1"/>
  <c r="B8333" i="1"/>
  <c r="A8334" i="1"/>
  <c r="B8334" i="1"/>
  <c r="A8335" i="1"/>
  <c r="B8335" i="1"/>
  <c r="A8336" i="1"/>
  <c r="B8336" i="1"/>
  <c r="A8337" i="1"/>
  <c r="B8337" i="1"/>
  <c r="A8338" i="1"/>
  <c r="B8338" i="1"/>
  <c r="A8339" i="1"/>
  <c r="B8339" i="1"/>
  <c r="A8340" i="1"/>
  <c r="B8340" i="1"/>
  <c r="A8341" i="1"/>
  <c r="B8341" i="1"/>
  <c r="A8342" i="1"/>
  <c r="B8342" i="1"/>
  <c r="A8343" i="1"/>
  <c r="B8343" i="1"/>
  <c r="A8344" i="1"/>
  <c r="B8344" i="1"/>
  <c r="A8345" i="1"/>
  <c r="B8345" i="1"/>
  <c r="A8346" i="1"/>
  <c r="B8346" i="1"/>
  <c r="A8347" i="1"/>
  <c r="B8347" i="1"/>
  <c r="A8348" i="1"/>
  <c r="B8348" i="1"/>
  <c r="A8349" i="1"/>
  <c r="B8349" i="1"/>
  <c r="A8350" i="1"/>
  <c r="B8350" i="1"/>
  <c r="A8351" i="1"/>
  <c r="B8351" i="1"/>
  <c r="A8352" i="1"/>
  <c r="B8352" i="1"/>
  <c r="A8353" i="1"/>
  <c r="B8353" i="1"/>
  <c r="A8354" i="1"/>
  <c r="B8354" i="1"/>
  <c r="A8355" i="1"/>
  <c r="B8355" i="1"/>
  <c r="A8356" i="1"/>
  <c r="B8356" i="1"/>
  <c r="A8357" i="1"/>
  <c r="B8357" i="1"/>
  <c r="A8358" i="1"/>
  <c r="B8358" i="1"/>
  <c r="A8359" i="1"/>
  <c r="B8359" i="1"/>
  <c r="A8360" i="1"/>
  <c r="B8360" i="1"/>
  <c r="A8361" i="1"/>
  <c r="B8361" i="1"/>
  <c r="A8362" i="1"/>
  <c r="B8362" i="1"/>
  <c r="A8363" i="1"/>
  <c r="B8363" i="1"/>
  <c r="A8364" i="1"/>
  <c r="B8364" i="1"/>
  <c r="A8365" i="1"/>
  <c r="B8365" i="1"/>
  <c r="A8366" i="1"/>
  <c r="B8366" i="1"/>
  <c r="A8367" i="1"/>
  <c r="B8367" i="1"/>
  <c r="A8368" i="1"/>
  <c r="B8368" i="1"/>
  <c r="A8369" i="1"/>
  <c r="B8369" i="1"/>
  <c r="A8370" i="1"/>
  <c r="B8370" i="1"/>
  <c r="A8371" i="1"/>
  <c r="B8371" i="1"/>
  <c r="A8372" i="1"/>
  <c r="B8372" i="1"/>
  <c r="A8373" i="1"/>
  <c r="B8373" i="1"/>
  <c r="A8374" i="1"/>
  <c r="B8374" i="1"/>
  <c r="A8375" i="1"/>
  <c r="B8375" i="1"/>
  <c r="A8376" i="1"/>
  <c r="B8376" i="1"/>
  <c r="A8377" i="1"/>
  <c r="B8377" i="1"/>
  <c r="A8378" i="1"/>
  <c r="B8378" i="1"/>
  <c r="A8379" i="1"/>
  <c r="B8379" i="1"/>
  <c r="A8380" i="1"/>
  <c r="B8380" i="1"/>
  <c r="A8381" i="1"/>
  <c r="B8381" i="1"/>
  <c r="A8382" i="1"/>
  <c r="B8382" i="1"/>
  <c r="A8383" i="1"/>
  <c r="B8383" i="1"/>
  <c r="A8384" i="1"/>
  <c r="B8384" i="1"/>
  <c r="A8385" i="1"/>
  <c r="B8385" i="1"/>
  <c r="A8386" i="1"/>
  <c r="B8386" i="1"/>
  <c r="A8387" i="1"/>
  <c r="B8387" i="1"/>
  <c r="A8388" i="1"/>
  <c r="B8388" i="1"/>
  <c r="A8389" i="1"/>
  <c r="B8389" i="1"/>
  <c r="A8390" i="1"/>
  <c r="B8390" i="1"/>
  <c r="A8391" i="1"/>
  <c r="B8391" i="1"/>
  <c r="A8392" i="1"/>
  <c r="B8392" i="1"/>
  <c r="A8393" i="1"/>
  <c r="B8393" i="1"/>
  <c r="A8394" i="1"/>
  <c r="B8394" i="1"/>
  <c r="A8395" i="1"/>
  <c r="B8395" i="1"/>
  <c r="A8396" i="1"/>
  <c r="B8396" i="1"/>
  <c r="A8397" i="1"/>
  <c r="B8397" i="1"/>
  <c r="A8398" i="1"/>
  <c r="B8398" i="1"/>
  <c r="A8399" i="1"/>
  <c r="B8399" i="1"/>
  <c r="A8400" i="1"/>
  <c r="B8400" i="1"/>
  <c r="A8401" i="1"/>
  <c r="B8401" i="1"/>
  <c r="A8402" i="1"/>
  <c r="B8402" i="1"/>
  <c r="A8403" i="1"/>
  <c r="B8403" i="1"/>
  <c r="A8404" i="1"/>
  <c r="B8404" i="1"/>
  <c r="A8405" i="1"/>
  <c r="B8405" i="1"/>
  <c r="A8406" i="1"/>
  <c r="B8406" i="1"/>
  <c r="A8407" i="1"/>
  <c r="B8407" i="1"/>
  <c r="A8408" i="1"/>
  <c r="B8408" i="1"/>
  <c r="A8409" i="1"/>
  <c r="B8409" i="1"/>
  <c r="A8410" i="1"/>
  <c r="B8410" i="1"/>
  <c r="A8411" i="1"/>
  <c r="B8411" i="1"/>
  <c r="A8412" i="1"/>
  <c r="B8412" i="1"/>
  <c r="A8413" i="1"/>
  <c r="B8413" i="1"/>
  <c r="A8414" i="1"/>
  <c r="B8414" i="1"/>
  <c r="A8415" i="1"/>
  <c r="B8415" i="1"/>
  <c r="A8416" i="1"/>
  <c r="B8416" i="1"/>
  <c r="A8417" i="1"/>
  <c r="B8417" i="1"/>
  <c r="A8418" i="1"/>
  <c r="B8418" i="1"/>
  <c r="A8419" i="1"/>
  <c r="B8419" i="1"/>
  <c r="A8420" i="1"/>
  <c r="B8420" i="1"/>
  <c r="A8421" i="1"/>
  <c r="B8421" i="1"/>
  <c r="A8422" i="1"/>
  <c r="B8422" i="1"/>
  <c r="A8423" i="1"/>
  <c r="B8423" i="1"/>
  <c r="A8424" i="1"/>
  <c r="B8424" i="1"/>
  <c r="A8425" i="1"/>
  <c r="B8425" i="1"/>
  <c r="A8426" i="1"/>
  <c r="B8426" i="1"/>
  <c r="A8427" i="1"/>
  <c r="B8427" i="1"/>
  <c r="A8428" i="1"/>
  <c r="B8428" i="1"/>
  <c r="A8429" i="1"/>
  <c r="B8429" i="1"/>
  <c r="A8430" i="1"/>
  <c r="B8430" i="1"/>
  <c r="A8431" i="1"/>
  <c r="B8431" i="1"/>
  <c r="A8432" i="1"/>
  <c r="B8432" i="1"/>
  <c r="A8433" i="1"/>
  <c r="B8433" i="1"/>
  <c r="A8434" i="1"/>
  <c r="B8434" i="1"/>
  <c r="A8435" i="1"/>
  <c r="B8435" i="1"/>
  <c r="A8436" i="1"/>
  <c r="B8436" i="1"/>
  <c r="A8437" i="1"/>
  <c r="B8437" i="1"/>
  <c r="A8438" i="1"/>
  <c r="B8438" i="1"/>
  <c r="A8439" i="1"/>
  <c r="B8439" i="1"/>
  <c r="A8440" i="1"/>
  <c r="B8440" i="1"/>
  <c r="A8441" i="1"/>
  <c r="B8441" i="1"/>
  <c r="A8442" i="1"/>
  <c r="B8442" i="1"/>
  <c r="A8443" i="1"/>
  <c r="B8443" i="1"/>
  <c r="A8444" i="1"/>
  <c r="B8444" i="1"/>
  <c r="A8445" i="1"/>
  <c r="B8445" i="1"/>
  <c r="A8446" i="1"/>
  <c r="B8446" i="1"/>
  <c r="A8447" i="1"/>
  <c r="B8447" i="1"/>
  <c r="A8448" i="1"/>
  <c r="B8448" i="1"/>
  <c r="A8449" i="1"/>
  <c r="B8449" i="1"/>
  <c r="A8450" i="1"/>
  <c r="B8450" i="1"/>
  <c r="A8451" i="1"/>
  <c r="B8451" i="1"/>
  <c r="A8452" i="1"/>
  <c r="B8452" i="1"/>
  <c r="A8453" i="1"/>
  <c r="B8453" i="1"/>
  <c r="A8454" i="1"/>
  <c r="B8454" i="1"/>
  <c r="A8455" i="1"/>
  <c r="B8455" i="1"/>
  <c r="A8456" i="1"/>
  <c r="B8456" i="1"/>
  <c r="A8457" i="1"/>
  <c r="B8457" i="1"/>
  <c r="A8458" i="1"/>
  <c r="B8458" i="1"/>
  <c r="A8459" i="1"/>
  <c r="B8459" i="1"/>
  <c r="A8460" i="1"/>
  <c r="B8460" i="1"/>
  <c r="A8461" i="1"/>
  <c r="B8461" i="1"/>
  <c r="A8462" i="1"/>
  <c r="B8462" i="1"/>
  <c r="A8463" i="1"/>
  <c r="B8463" i="1"/>
  <c r="A8464" i="1"/>
  <c r="B8464" i="1"/>
  <c r="A8465" i="1"/>
  <c r="B8465" i="1"/>
  <c r="A8466" i="1"/>
  <c r="B8466" i="1"/>
  <c r="A8467" i="1"/>
  <c r="B8467" i="1"/>
  <c r="A8468" i="1"/>
  <c r="B8468" i="1"/>
  <c r="A8469" i="1"/>
  <c r="B8469" i="1"/>
  <c r="A8470" i="1"/>
  <c r="B8470" i="1"/>
  <c r="A8471" i="1"/>
  <c r="B8471" i="1"/>
  <c r="A8472" i="1"/>
  <c r="B8472" i="1"/>
  <c r="A8473" i="1"/>
  <c r="B8473" i="1"/>
  <c r="A8474" i="1"/>
  <c r="B8474" i="1"/>
  <c r="A8475" i="1"/>
  <c r="B8475" i="1"/>
  <c r="A8476" i="1"/>
  <c r="B8476" i="1"/>
  <c r="A8477" i="1"/>
  <c r="B8477" i="1"/>
  <c r="A8478" i="1"/>
  <c r="B8478" i="1"/>
  <c r="A8479" i="1"/>
  <c r="B8479" i="1"/>
  <c r="A8480" i="1"/>
  <c r="B8480" i="1"/>
  <c r="A8481" i="1"/>
  <c r="B8481" i="1"/>
  <c r="A8482" i="1"/>
  <c r="B8482" i="1"/>
  <c r="A8483" i="1"/>
  <c r="B8483" i="1"/>
  <c r="A8484" i="1"/>
  <c r="B8484" i="1"/>
  <c r="A8485" i="1"/>
  <c r="B8485" i="1"/>
  <c r="A8486" i="1"/>
  <c r="B8486" i="1"/>
  <c r="A8487" i="1"/>
  <c r="B8487" i="1"/>
  <c r="A8488" i="1"/>
  <c r="B8488" i="1"/>
  <c r="A8489" i="1"/>
  <c r="B8489" i="1"/>
  <c r="A8490" i="1"/>
  <c r="B8490" i="1"/>
  <c r="A8491" i="1"/>
  <c r="B8491" i="1"/>
  <c r="A8492" i="1"/>
  <c r="B8492" i="1"/>
  <c r="A8493" i="1"/>
  <c r="B8493" i="1"/>
  <c r="A8494" i="1"/>
  <c r="B8494" i="1"/>
  <c r="A8495" i="1"/>
  <c r="B8495" i="1"/>
  <c r="A8496" i="1"/>
  <c r="B8496" i="1"/>
  <c r="A8497" i="1"/>
  <c r="B8497" i="1"/>
  <c r="A8498" i="1"/>
  <c r="B8498" i="1"/>
  <c r="A8499" i="1"/>
  <c r="B8499" i="1"/>
  <c r="A8500" i="1"/>
  <c r="B8500" i="1"/>
  <c r="A8501" i="1"/>
  <c r="B8501" i="1"/>
  <c r="A8502" i="1"/>
  <c r="B8502" i="1"/>
  <c r="A8503" i="1"/>
  <c r="B8503" i="1"/>
  <c r="A8504" i="1"/>
  <c r="B8504" i="1"/>
  <c r="A8505" i="1"/>
  <c r="B8505" i="1"/>
  <c r="A8506" i="1"/>
  <c r="B8506" i="1"/>
  <c r="A8507" i="1"/>
  <c r="B8507" i="1"/>
  <c r="A8508" i="1"/>
  <c r="B8508" i="1"/>
  <c r="A8509" i="1"/>
  <c r="B8509" i="1"/>
  <c r="A8510" i="1"/>
  <c r="B8510" i="1"/>
  <c r="A8511" i="1"/>
  <c r="B8511" i="1"/>
  <c r="A8512" i="1"/>
  <c r="B8512" i="1"/>
  <c r="A8513" i="1"/>
  <c r="B8513" i="1"/>
  <c r="A8514" i="1"/>
  <c r="B8514" i="1"/>
  <c r="A8515" i="1"/>
  <c r="B8515" i="1"/>
  <c r="A8516" i="1"/>
  <c r="B8516" i="1"/>
  <c r="A8517" i="1"/>
  <c r="B8517" i="1"/>
  <c r="A8518" i="1"/>
  <c r="B8518" i="1"/>
  <c r="A8519" i="1"/>
  <c r="B8519" i="1"/>
  <c r="A8520" i="1"/>
  <c r="B8520" i="1"/>
  <c r="A8521" i="1"/>
  <c r="B8521" i="1"/>
  <c r="A8522" i="1"/>
  <c r="B8522" i="1"/>
  <c r="A8523" i="1"/>
  <c r="B8523" i="1"/>
  <c r="A8524" i="1"/>
  <c r="B8524" i="1"/>
  <c r="A8525" i="1"/>
  <c r="B8525" i="1"/>
  <c r="A8526" i="1"/>
  <c r="B8526" i="1"/>
  <c r="A8527" i="1"/>
  <c r="B8527" i="1"/>
  <c r="A8528" i="1"/>
  <c r="B8528" i="1"/>
  <c r="A8529" i="1"/>
  <c r="B8529" i="1"/>
  <c r="A8530" i="1"/>
  <c r="B8530" i="1"/>
  <c r="A8531" i="1"/>
  <c r="B8531" i="1"/>
  <c r="A8532" i="1"/>
  <c r="B8532" i="1"/>
  <c r="A8533" i="1"/>
  <c r="B8533" i="1"/>
  <c r="A8534" i="1"/>
  <c r="B8534" i="1"/>
  <c r="A8535" i="1"/>
  <c r="B8535" i="1"/>
  <c r="A8536" i="1"/>
  <c r="B8536" i="1"/>
  <c r="A8537" i="1"/>
  <c r="B8537" i="1"/>
  <c r="A8538" i="1"/>
  <c r="B8538" i="1"/>
  <c r="A8539" i="1"/>
  <c r="B8539" i="1"/>
  <c r="A8540" i="1"/>
  <c r="B8540" i="1"/>
  <c r="A8541" i="1"/>
  <c r="B8541" i="1"/>
  <c r="A8542" i="1"/>
  <c r="B8542" i="1"/>
  <c r="A8543" i="1"/>
  <c r="B8543" i="1"/>
  <c r="A8544" i="1"/>
  <c r="B8544" i="1"/>
  <c r="A8545" i="1"/>
  <c r="B8545" i="1"/>
  <c r="A8546" i="1"/>
  <c r="B8546" i="1"/>
  <c r="A8547" i="1"/>
  <c r="B8547" i="1"/>
  <c r="A8548" i="1"/>
  <c r="B8548" i="1"/>
  <c r="A8549" i="1"/>
  <c r="B8549" i="1"/>
  <c r="A8550" i="1"/>
  <c r="B8550" i="1"/>
  <c r="A8551" i="1"/>
  <c r="B8551" i="1"/>
  <c r="A8552" i="1"/>
  <c r="B8552" i="1"/>
  <c r="A8553" i="1"/>
  <c r="B8553" i="1"/>
  <c r="A8554" i="1"/>
  <c r="B8554" i="1"/>
  <c r="A8555" i="1"/>
  <c r="B8555" i="1"/>
  <c r="A8556" i="1"/>
  <c r="B8556" i="1"/>
  <c r="A8557" i="1"/>
  <c r="B8557" i="1"/>
  <c r="A8558" i="1"/>
  <c r="B8558" i="1"/>
  <c r="A8559" i="1"/>
  <c r="B8559" i="1"/>
  <c r="A8560" i="1"/>
  <c r="B8560" i="1"/>
  <c r="A8561" i="1"/>
  <c r="B8561" i="1"/>
  <c r="A8562" i="1"/>
  <c r="B8562" i="1"/>
  <c r="A8563" i="1"/>
  <c r="B8563" i="1"/>
  <c r="A8564" i="1"/>
  <c r="B8564" i="1"/>
  <c r="A8565" i="1"/>
  <c r="B8565" i="1"/>
  <c r="A8566" i="1"/>
  <c r="B8566" i="1"/>
  <c r="A8567" i="1"/>
  <c r="B8567" i="1"/>
  <c r="A8568" i="1"/>
  <c r="B8568" i="1"/>
  <c r="A8569" i="1"/>
  <c r="B8569" i="1"/>
  <c r="A8570" i="1"/>
  <c r="B8570" i="1"/>
  <c r="A8571" i="1"/>
  <c r="B8571" i="1"/>
  <c r="A8572" i="1"/>
  <c r="B8572" i="1"/>
  <c r="A8573" i="1"/>
  <c r="B8573" i="1"/>
  <c r="A8574" i="1"/>
  <c r="B8574" i="1"/>
  <c r="A8575" i="1"/>
  <c r="B8575" i="1"/>
  <c r="A8576" i="1"/>
  <c r="B8576" i="1"/>
  <c r="A8577" i="1"/>
  <c r="B8577" i="1"/>
  <c r="A8578" i="1"/>
  <c r="B8578" i="1"/>
  <c r="A8579" i="1"/>
  <c r="B8579" i="1"/>
  <c r="A8580" i="1"/>
  <c r="B8580" i="1"/>
  <c r="A8581" i="1"/>
  <c r="B8581" i="1"/>
  <c r="A8582" i="1"/>
  <c r="B8582" i="1"/>
  <c r="A8583" i="1"/>
  <c r="B8583" i="1"/>
  <c r="A8584" i="1"/>
  <c r="B8584" i="1"/>
  <c r="A8585" i="1"/>
  <c r="B8585" i="1"/>
  <c r="A8586" i="1"/>
  <c r="B8586" i="1"/>
  <c r="A8587" i="1"/>
  <c r="B8587" i="1"/>
  <c r="A8588" i="1"/>
  <c r="B8588" i="1"/>
  <c r="A8589" i="1"/>
  <c r="B8589" i="1"/>
  <c r="A8590" i="1"/>
  <c r="B8590" i="1"/>
  <c r="A8591" i="1"/>
  <c r="B8591" i="1"/>
  <c r="A8592" i="1"/>
  <c r="B8592" i="1"/>
  <c r="A8593" i="1"/>
  <c r="B8593" i="1"/>
  <c r="A8594" i="1"/>
  <c r="B8594" i="1"/>
  <c r="A8595" i="1"/>
  <c r="B8595" i="1"/>
  <c r="A8596" i="1"/>
  <c r="B8596" i="1"/>
  <c r="A8597" i="1"/>
  <c r="B8597" i="1"/>
  <c r="A8598" i="1"/>
  <c r="B8598" i="1"/>
  <c r="A8599" i="1"/>
  <c r="B8599" i="1"/>
  <c r="A8600" i="1"/>
  <c r="B8600" i="1"/>
  <c r="A8601" i="1"/>
  <c r="B8601" i="1"/>
  <c r="A8602" i="1"/>
  <c r="B8602" i="1"/>
  <c r="A8603" i="1"/>
  <c r="B8603" i="1"/>
  <c r="A8604" i="1"/>
  <c r="B8604" i="1"/>
  <c r="A8605" i="1"/>
  <c r="B8605" i="1"/>
  <c r="A8606" i="1"/>
  <c r="B8606" i="1"/>
  <c r="A8607" i="1"/>
  <c r="B8607" i="1"/>
  <c r="A8608" i="1"/>
  <c r="B8608" i="1"/>
  <c r="A8609" i="1"/>
  <c r="B8609" i="1"/>
  <c r="A8610" i="1"/>
  <c r="B8610" i="1"/>
  <c r="A8611" i="1"/>
  <c r="B8611" i="1"/>
  <c r="A8612" i="1"/>
  <c r="B8612" i="1"/>
  <c r="A8613" i="1"/>
  <c r="B8613" i="1"/>
  <c r="A8614" i="1"/>
  <c r="B8614" i="1"/>
  <c r="A8615" i="1"/>
  <c r="B8615" i="1"/>
  <c r="A8616" i="1"/>
  <c r="B8616" i="1"/>
  <c r="A8617" i="1"/>
  <c r="B8617" i="1"/>
  <c r="A8618" i="1"/>
  <c r="B8618" i="1"/>
  <c r="A8619" i="1"/>
  <c r="B8619" i="1"/>
  <c r="A8620" i="1"/>
  <c r="B8620" i="1"/>
  <c r="A8621" i="1"/>
  <c r="B8621" i="1"/>
  <c r="A8622" i="1"/>
  <c r="B8622" i="1"/>
  <c r="A8623" i="1"/>
  <c r="B8623" i="1"/>
  <c r="A8624" i="1"/>
  <c r="B8624" i="1"/>
  <c r="A8625" i="1"/>
  <c r="B8625" i="1"/>
  <c r="A8626" i="1"/>
  <c r="B8626" i="1"/>
  <c r="A8627" i="1"/>
  <c r="B8627" i="1"/>
  <c r="A8628" i="1"/>
  <c r="B8628" i="1"/>
  <c r="A8629" i="1"/>
  <c r="B8629" i="1"/>
  <c r="A8630" i="1"/>
  <c r="B8630" i="1"/>
  <c r="A8631" i="1"/>
  <c r="B8631" i="1"/>
  <c r="A8632" i="1"/>
  <c r="B8632" i="1"/>
  <c r="A8633" i="1"/>
  <c r="B8633" i="1"/>
  <c r="A8634" i="1"/>
  <c r="B8634" i="1"/>
  <c r="A8635" i="1"/>
  <c r="B8635" i="1"/>
  <c r="A8636" i="1"/>
  <c r="B8636" i="1"/>
  <c r="A8637" i="1"/>
  <c r="B8637" i="1"/>
  <c r="A8638" i="1"/>
  <c r="B8638" i="1"/>
  <c r="A8639" i="1"/>
  <c r="B8639" i="1"/>
  <c r="A8640" i="1"/>
  <c r="B8640" i="1"/>
  <c r="A8641" i="1"/>
  <c r="B8641" i="1"/>
  <c r="A8642" i="1"/>
  <c r="B8642" i="1"/>
  <c r="A8643" i="1"/>
  <c r="B8643" i="1"/>
  <c r="A8644" i="1"/>
  <c r="B8644" i="1"/>
  <c r="A8645" i="1"/>
  <c r="B8645" i="1"/>
  <c r="A8646" i="1"/>
  <c r="B8646" i="1"/>
  <c r="A8647" i="1"/>
  <c r="B8647" i="1"/>
  <c r="A8648" i="1"/>
  <c r="B8648" i="1"/>
  <c r="A8649" i="1"/>
  <c r="B8649" i="1"/>
  <c r="A8650" i="1"/>
  <c r="B8650" i="1"/>
  <c r="A8651" i="1"/>
  <c r="B8651" i="1"/>
  <c r="A8652" i="1"/>
  <c r="B8652" i="1"/>
  <c r="A8653" i="1"/>
  <c r="B8653" i="1"/>
  <c r="A8654" i="1"/>
  <c r="B8654" i="1"/>
  <c r="A8655" i="1"/>
  <c r="B8655" i="1"/>
  <c r="A8656" i="1"/>
  <c r="B8656" i="1"/>
  <c r="A8657" i="1"/>
  <c r="B8657" i="1"/>
  <c r="A8658" i="1"/>
  <c r="B8658" i="1"/>
  <c r="A8659" i="1"/>
  <c r="B8659" i="1"/>
  <c r="A8660" i="1"/>
  <c r="B8660" i="1"/>
  <c r="A8661" i="1"/>
  <c r="B8661" i="1"/>
  <c r="A8662" i="1"/>
  <c r="B8662" i="1"/>
  <c r="A8663" i="1"/>
  <c r="B8663" i="1"/>
  <c r="A8664" i="1"/>
  <c r="B8664" i="1"/>
  <c r="A8665" i="1"/>
  <c r="B8665" i="1"/>
  <c r="A8666" i="1"/>
  <c r="B8666" i="1"/>
  <c r="A8667" i="1"/>
  <c r="B8667" i="1"/>
  <c r="A8668" i="1"/>
  <c r="B8668" i="1"/>
  <c r="A8669" i="1"/>
  <c r="B8669" i="1"/>
  <c r="A8670" i="1"/>
  <c r="B8670" i="1"/>
  <c r="A8671" i="1"/>
  <c r="B8671" i="1"/>
  <c r="A8672" i="1"/>
  <c r="B8672" i="1"/>
  <c r="A8673" i="1"/>
  <c r="B8673" i="1"/>
  <c r="A8674" i="1"/>
  <c r="B8674" i="1"/>
  <c r="A8675" i="1"/>
  <c r="B8675" i="1"/>
  <c r="A8676" i="1"/>
  <c r="B8676" i="1"/>
  <c r="A8677" i="1"/>
  <c r="B8677" i="1"/>
  <c r="A8678" i="1"/>
  <c r="B8678" i="1"/>
  <c r="A8679" i="1"/>
  <c r="B8679" i="1"/>
  <c r="A8680" i="1"/>
  <c r="B8680" i="1"/>
  <c r="A8681" i="1"/>
  <c r="B8681" i="1"/>
  <c r="A8682" i="1"/>
  <c r="B8682" i="1"/>
  <c r="A8683" i="1"/>
  <c r="B8683" i="1"/>
  <c r="A8684" i="1"/>
  <c r="B8684" i="1"/>
  <c r="A8685" i="1"/>
  <c r="B8685" i="1"/>
  <c r="A8686" i="1"/>
  <c r="B8686" i="1"/>
  <c r="A8687" i="1"/>
  <c r="B8687" i="1"/>
  <c r="A8688" i="1"/>
  <c r="B8688" i="1"/>
  <c r="A8689" i="1"/>
  <c r="B8689" i="1"/>
  <c r="A8690" i="1"/>
  <c r="B8690" i="1"/>
  <c r="A8691" i="1"/>
  <c r="B8691" i="1"/>
  <c r="A8692" i="1"/>
  <c r="B8692" i="1"/>
  <c r="A8693" i="1"/>
  <c r="B8693" i="1"/>
  <c r="A8694" i="1"/>
  <c r="B8694" i="1"/>
  <c r="A8695" i="1"/>
  <c r="B8695" i="1"/>
  <c r="A8696" i="1"/>
  <c r="B8696" i="1"/>
  <c r="A8697" i="1"/>
  <c r="B8697" i="1"/>
  <c r="A8698" i="1"/>
  <c r="B8698" i="1"/>
  <c r="A8699" i="1"/>
  <c r="B8699" i="1"/>
  <c r="A8700" i="1"/>
  <c r="B8700" i="1"/>
  <c r="A8701" i="1"/>
  <c r="B8701" i="1"/>
  <c r="A8702" i="1"/>
  <c r="B8702" i="1"/>
  <c r="A8703" i="1"/>
  <c r="B8703" i="1"/>
  <c r="A8704" i="1"/>
  <c r="B8704" i="1"/>
  <c r="A8705" i="1"/>
  <c r="B8705" i="1"/>
  <c r="A8706" i="1"/>
  <c r="B8706" i="1"/>
  <c r="A8707" i="1"/>
  <c r="B8707" i="1"/>
  <c r="A8708" i="1"/>
  <c r="B8708" i="1"/>
  <c r="A8709" i="1"/>
  <c r="B8709" i="1"/>
  <c r="A8710" i="1"/>
  <c r="B8710" i="1"/>
  <c r="A8711" i="1"/>
  <c r="B8711" i="1"/>
  <c r="A8712" i="1"/>
  <c r="B8712" i="1"/>
  <c r="A8713" i="1"/>
  <c r="B8713" i="1"/>
  <c r="A8714" i="1"/>
  <c r="B8714" i="1"/>
  <c r="A8715" i="1"/>
  <c r="B8715" i="1"/>
  <c r="A8716" i="1"/>
  <c r="B8716" i="1"/>
  <c r="A8717" i="1"/>
  <c r="B8717" i="1"/>
  <c r="A8718" i="1"/>
  <c r="B8718" i="1"/>
  <c r="A8719" i="1"/>
  <c r="B8719" i="1"/>
  <c r="A8720" i="1"/>
  <c r="B8720" i="1"/>
  <c r="A8721" i="1"/>
  <c r="B8721" i="1"/>
  <c r="A8722" i="1"/>
  <c r="B8722" i="1"/>
  <c r="A8723" i="1"/>
  <c r="B8723" i="1"/>
  <c r="A8724" i="1"/>
  <c r="B8724" i="1"/>
  <c r="A8725" i="1"/>
  <c r="B8725" i="1"/>
  <c r="A8726" i="1"/>
  <c r="B8726" i="1"/>
  <c r="A8727" i="1"/>
  <c r="B8727" i="1"/>
  <c r="A8728" i="1"/>
  <c r="B8728" i="1"/>
  <c r="A8729" i="1"/>
  <c r="B8729" i="1"/>
  <c r="A8730" i="1"/>
  <c r="B8730" i="1"/>
  <c r="A8731" i="1"/>
  <c r="B8731" i="1"/>
  <c r="A8732" i="1"/>
  <c r="B8732" i="1"/>
  <c r="A8733" i="1"/>
  <c r="B8733" i="1"/>
  <c r="A8734" i="1"/>
  <c r="B8734" i="1"/>
  <c r="A8735" i="1"/>
  <c r="B8735" i="1"/>
  <c r="A8736" i="1"/>
  <c r="B8736" i="1"/>
  <c r="A8737" i="1"/>
  <c r="B8737" i="1"/>
  <c r="A8738" i="1"/>
  <c r="B8738" i="1"/>
  <c r="A8739" i="1"/>
  <c r="B8739" i="1"/>
  <c r="A8740" i="1"/>
  <c r="B8740" i="1"/>
  <c r="A8741" i="1"/>
  <c r="B8741" i="1"/>
  <c r="A8742" i="1"/>
  <c r="B8742" i="1"/>
  <c r="A8743" i="1"/>
  <c r="B8743" i="1"/>
  <c r="A8744" i="1"/>
  <c r="B8744" i="1"/>
  <c r="A8745" i="1"/>
  <c r="B8745" i="1"/>
  <c r="A8746" i="1"/>
  <c r="B8746" i="1"/>
  <c r="A8747" i="1"/>
  <c r="B8747" i="1"/>
  <c r="A8748" i="1"/>
  <c r="B8748" i="1"/>
  <c r="A8749" i="1"/>
  <c r="B8749" i="1"/>
  <c r="A8750" i="1"/>
  <c r="B8750" i="1"/>
  <c r="A8751" i="1"/>
  <c r="B8751" i="1"/>
  <c r="A8752" i="1"/>
  <c r="B8752" i="1"/>
  <c r="A8753" i="1"/>
  <c r="B8753" i="1"/>
  <c r="A8754" i="1"/>
  <c r="B8754" i="1"/>
  <c r="A8755" i="1"/>
  <c r="B8755" i="1"/>
  <c r="A8756" i="1"/>
  <c r="B8756" i="1"/>
  <c r="A8757" i="1"/>
  <c r="B8757" i="1"/>
  <c r="A8758" i="1"/>
  <c r="B8758" i="1"/>
  <c r="A8759" i="1"/>
  <c r="B8759" i="1"/>
  <c r="A8760" i="1"/>
  <c r="B8760" i="1"/>
  <c r="A8761" i="1"/>
  <c r="B8761" i="1"/>
  <c r="A8762" i="1"/>
  <c r="B8762" i="1"/>
  <c r="A8763" i="1"/>
  <c r="B8763" i="1"/>
  <c r="A8764" i="1"/>
  <c r="B8764" i="1"/>
  <c r="A8765" i="1"/>
  <c r="B8765" i="1"/>
  <c r="A8766" i="1"/>
  <c r="B8766" i="1"/>
  <c r="A8767" i="1"/>
  <c r="B8767" i="1"/>
  <c r="A8768" i="1"/>
  <c r="B8768" i="1"/>
  <c r="A8769" i="1"/>
  <c r="B8769" i="1"/>
  <c r="A8770" i="1"/>
  <c r="B8770" i="1"/>
  <c r="A8771" i="1"/>
  <c r="B8771" i="1"/>
  <c r="A8772" i="1"/>
  <c r="B8772" i="1"/>
  <c r="A8773" i="1"/>
  <c r="B8773" i="1"/>
  <c r="A8774" i="1"/>
  <c r="B8774" i="1"/>
  <c r="A8775" i="1"/>
  <c r="B8775" i="1"/>
  <c r="A8776" i="1"/>
  <c r="B8776" i="1"/>
  <c r="A8777" i="1"/>
  <c r="B8777" i="1"/>
  <c r="A8778" i="1"/>
  <c r="B8778" i="1"/>
  <c r="A8779" i="1"/>
  <c r="B8779" i="1"/>
  <c r="A8780" i="1"/>
  <c r="B8780" i="1"/>
  <c r="A8781" i="1"/>
  <c r="B8781" i="1"/>
  <c r="A8782" i="1"/>
  <c r="B8782" i="1"/>
  <c r="A8783" i="1"/>
  <c r="B8783" i="1"/>
  <c r="A8784" i="1"/>
  <c r="B8784" i="1"/>
  <c r="A8785" i="1"/>
  <c r="B8785" i="1"/>
  <c r="A8786" i="1"/>
  <c r="B8786" i="1"/>
  <c r="A8787" i="1"/>
  <c r="B8787" i="1"/>
  <c r="A8788" i="1"/>
  <c r="B8788" i="1"/>
  <c r="A8789" i="1"/>
  <c r="B8789" i="1"/>
  <c r="A8790" i="1"/>
  <c r="B8790" i="1"/>
  <c r="A8791" i="1"/>
  <c r="B8791" i="1"/>
  <c r="A8792" i="1"/>
  <c r="B8792" i="1"/>
  <c r="A8793" i="1"/>
  <c r="B8793" i="1"/>
  <c r="A8794" i="1"/>
  <c r="B8794" i="1"/>
  <c r="A8795" i="1"/>
  <c r="B8795" i="1"/>
  <c r="A8796" i="1"/>
  <c r="B8796" i="1"/>
  <c r="A8797" i="1"/>
  <c r="B8797" i="1"/>
  <c r="A8798" i="1"/>
  <c r="B8798" i="1"/>
  <c r="A8799" i="1"/>
  <c r="B8799" i="1"/>
  <c r="A8800" i="1"/>
  <c r="B8800" i="1"/>
  <c r="A8801" i="1"/>
  <c r="B8801" i="1"/>
  <c r="A8802" i="1"/>
  <c r="B8802" i="1"/>
  <c r="A8803" i="1"/>
  <c r="B8803" i="1"/>
  <c r="A8804" i="1"/>
  <c r="B8804" i="1"/>
  <c r="A8805" i="1"/>
  <c r="B8805" i="1"/>
  <c r="A8806" i="1"/>
  <c r="B8806" i="1"/>
  <c r="A8807" i="1"/>
  <c r="B8807" i="1"/>
  <c r="A8808" i="1"/>
  <c r="B8808" i="1"/>
  <c r="A8809" i="1"/>
  <c r="B8809" i="1"/>
  <c r="A8810" i="1"/>
  <c r="B8810" i="1"/>
  <c r="A8811" i="1"/>
  <c r="B8811" i="1"/>
  <c r="A8812" i="1"/>
  <c r="B8812" i="1"/>
  <c r="A8813" i="1"/>
  <c r="B8813" i="1"/>
  <c r="A8814" i="1"/>
  <c r="B8814" i="1"/>
  <c r="A8815" i="1"/>
  <c r="B8815" i="1"/>
  <c r="A8816" i="1"/>
  <c r="B8816" i="1"/>
  <c r="A8817" i="1"/>
  <c r="B8817" i="1"/>
  <c r="A8818" i="1"/>
  <c r="B8818" i="1"/>
  <c r="A8819" i="1"/>
  <c r="B8819" i="1"/>
  <c r="A8820" i="1"/>
  <c r="B8820" i="1"/>
  <c r="A8821" i="1"/>
  <c r="B8821" i="1"/>
  <c r="A8822" i="1"/>
  <c r="B8822" i="1"/>
  <c r="A8823" i="1"/>
  <c r="B8823" i="1"/>
  <c r="A8824" i="1"/>
  <c r="B8824" i="1"/>
  <c r="A8825" i="1"/>
  <c r="B8825" i="1"/>
  <c r="A8826" i="1"/>
  <c r="B8826" i="1"/>
  <c r="A8827" i="1"/>
  <c r="B8827" i="1"/>
  <c r="A8828" i="1"/>
  <c r="B8828" i="1"/>
  <c r="A8829" i="1"/>
  <c r="B8829" i="1"/>
  <c r="A8830" i="1"/>
  <c r="B8830" i="1"/>
  <c r="A8831" i="1"/>
  <c r="B8831" i="1"/>
  <c r="A8832" i="1"/>
  <c r="B8832" i="1"/>
  <c r="A8833" i="1"/>
  <c r="B8833" i="1"/>
  <c r="A8834" i="1"/>
  <c r="B8834" i="1"/>
  <c r="A8835" i="1"/>
  <c r="B8835" i="1"/>
  <c r="A8836" i="1"/>
  <c r="B8836" i="1"/>
  <c r="A8837" i="1"/>
  <c r="B8837" i="1"/>
  <c r="A8838" i="1"/>
  <c r="B8838" i="1"/>
  <c r="A8839" i="1"/>
  <c r="B8839" i="1"/>
  <c r="A8840" i="1"/>
  <c r="B8840" i="1"/>
  <c r="A8841" i="1"/>
  <c r="B8841" i="1"/>
  <c r="A8842" i="1"/>
  <c r="B8842" i="1"/>
  <c r="A8843" i="1"/>
  <c r="B8843" i="1"/>
  <c r="A8844" i="1"/>
  <c r="B8844" i="1"/>
  <c r="A8845" i="1"/>
  <c r="B8845" i="1"/>
  <c r="A8846" i="1"/>
  <c r="B8846" i="1"/>
  <c r="A8847" i="1"/>
  <c r="B8847" i="1"/>
  <c r="A8848" i="1"/>
  <c r="B8848" i="1"/>
  <c r="A8849" i="1"/>
  <c r="B8849" i="1"/>
  <c r="A8850" i="1"/>
  <c r="B8850" i="1"/>
  <c r="A8851" i="1"/>
  <c r="B8851" i="1"/>
  <c r="A8852" i="1"/>
  <c r="B8852" i="1"/>
  <c r="A8853" i="1"/>
  <c r="B8853" i="1"/>
  <c r="A8854" i="1"/>
  <c r="B8854" i="1"/>
  <c r="A8855" i="1"/>
  <c r="B8855" i="1"/>
  <c r="A8856" i="1"/>
  <c r="B8856" i="1"/>
  <c r="A8857" i="1"/>
  <c r="B8857" i="1"/>
  <c r="A8858" i="1"/>
  <c r="B8858" i="1"/>
  <c r="A8859" i="1"/>
  <c r="B8859" i="1"/>
  <c r="A8860" i="1"/>
  <c r="B8860" i="1"/>
  <c r="A8861" i="1"/>
  <c r="B8861" i="1"/>
  <c r="A8862" i="1"/>
  <c r="B8862" i="1"/>
  <c r="A8863" i="1"/>
  <c r="B8863" i="1"/>
  <c r="A8864" i="1"/>
  <c r="B8864" i="1"/>
  <c r="A8865" i="1"/>
  <c r="B8865" i="1"/>
  <c r="A8866" i="1"/>
  <c r="B8866" i="1"/>
  <c r="A8867" i="1"/>
  <c r="B8867" i="1"/>
  <c r="A8868" i="1"/>
  <c r="B8868" i="1"/>
  <c r="A8869" i="1"/>
  <c r="B8869" i="1"/>
  <c r="A8870" i="1"/>
  <c r="B8870" i="1"/>
  <c r="A8871" i="1"/>
  <c r="B8871" i="1"/>
  <c r="A8872" i="1"/>
  <c r="B8872" i="1"/>
  <c r="A8873" i="1"/>
  <c r="B8873" i="1"/>
  <c r="A8874" i="1"/>
  <c r="B8874" i="1"/>
  <c r="A8875" i="1"/>
  <c r="B8875" i="1"/>
  <c r="A8876" i="1"/>
  <c r="B8876" i="1"/>
  <c r="A8877" i="1"/>
  <c r="B8877" i="1"/>
  <c r="A8878" i="1"/>
  <c r="B8878" i="1"/>
  <c r="A8879" i="1"/>
  <c r="B8879" i="1"/>
  <c r="A8880" i="1"/>
  <c r="B8880" i="1"/>
  <c r="A8881" i="1"/>
  <c r="B8881" i="1"/>
  <c r="A8882" i="1"/>
  <c r="B8882" i="1"/>
  <c r="A8883" i="1"/>
  <c r="B8883" i="1"/>
  <c r="A8884" i="1"/>
  <c r="B8884" i="1"/>
  <c r="A8885" i="1"/>
  <c r="B8885" i="1"/>
  <c r="A8886" i="1"/>
  <c r="B8886" i="1"/>
  <c r="A8887" i="1"/>
  <c r="B8887" i="1"/>
  <c r="A8888" i="1"/>
  <c r="B8888" i="1"/>
  <c r="A8889" i="1"/>
  <c r="B8889" i="1"/>
  <c r="A8890" i="1"/>
  <c r="B8890" i="1"/>
  <c r="A8891" i="1"/>
  <c r="B8891" i="1"/>
  <c r="A8892" i="1"/>
  <c r="B8892" i="1"/>
  <c r="A8893" i="1"/>
  <c r="B8893" i="1"/>
  <c r="A8894" i="1"/>
  <c r="B8894" i="1"/>
  <c r="A8895" i="1"/>
  <c r="B8895" i="1"/>
  <c r="A8896" i="1"/>
  <c r="B8896" i="1"/>
  <c r="A8897" i="1"/>
  <c r="B8897" i="1"/>
  <c r="A8898" i="1"/>
  <c r="B8898" i="1"/>
  <c r="A8899" i="1"/>
  <c r="B8899" i="1"/>
  <c r="A8900" i="1"/>
  <c r="B8900" i="1"/>
  <c r="A8901" i="1"/>
  <c r="B8901" i="1"/>
  <c r="A8902" i="1"/>
  <c r="B8902" i="1"/>
  <c r="A8903" i="1"/>
  <c r="B8903" i="1"/>
  <c r="A8904" i="1"/>
  <c r="B8904" i="1"/>
  <c r="A8905" i="1"/>
  <c r="B8905" i="1"/>
  <c r="A8906" i="1"/>
  <c r="B8906" i="1"/>
  <c r="A8907" i="1"/>
  <c r="B8907" i="1"/>
  <c r="A8908" i="1"/>
  <c r="B8908" i="1"/>
  <c r="A8909" i="1"/>
  <c r="B8909" i="1"/>
  <c r="A8910" i="1"/>
  <c r="B8910" i="1"/>
  <c r="A8911" i="1"/>
  <c r="B8911" i="1"/>
  <c r="A8912" i="1"/>
  <c r="B8912" i="1"/>
  <c r="A8913" i="1"/>
  <c r="B8913" i="1"/>
  <c r="A8914" i="1"/>
  <c r="B8914" i="1"/>
  <c r="A8915" i="1"/>
  <c r="B8915" i="1"/>
  <c r="A8916" i="1"/>
  <c r="B8916" i="1"/>
  <c r="A8917" i="1"/>
  <c r="B8917" i="1"/>
  <c r="A8918" i="1"/>
  <c r="B8918" i="1"/>
  <c r="A8919" i="1"/>
  <c r="B8919" i="1"/>
  <c r="A8920" i="1"/>
  <c r="B8920" i="1"/>
  <c r="A8921" i="1"/>
  <c r="B8921" i="1"/>
  <c r="A8922" i="1"/>
  <c r="B8922" i="1"/>
  <c r="A8923" i="1"/>
  <c r="B8923" i="1"/>
  <c r="A8924" i="1"/>
  <c r="B8924" i="1"/>
  <c r="A8925" i="1"/>
  <c r="B8925" i="1"/>
  <c r="A8926" i="1"/>
  <c r="B8926" i="1"/>
  <c r="A8927" i="1"/>
  <c r="B8927" i="1"/>
  <c r="A8928" i="1"/>
  <c r="B8928" i="1"/>
  <c r="A8929" i="1"/>
  <c r="B8929" i="1"/>
  <c r="A8930" i="1"/>
  <c r="B8930" i="1"/>
  <c r="A8931" i="1"/>
  <c r="B8931" i="1"/>
  <c r="A8932" i="1"/>
  <c r="B8932" i="1"/>
  <c r="A8933" i="1"/>
  <c r="B8933" i="1"/>
  <c r="A8934" i="1"/>
  <c r="B8934" i="1"/>
  <c r="A8935" i="1"/>
  <c r="B8935" i="1"/>
  <c r="A8936" i="1"/>
  <c r="B8936" i="1"/>
  <c r="A8937" i="1"/>
  <c r="B8937" i="1"/>
  <c r="A8938" i="1"/>
  <c r="B8938" i="1"/>
  <c r="A8939" i="1"/>
  <c r="B8939" i="1"/>
  <c r="A8940" i="1"/>
  <c r="B8940" i="1"/>
  <c r="A8941" i="1"/>
  <c r="B8941" i="1"/>
  <c r="A8942" i="1"/>
  <c r="B8942" i="1"/>
  <c r="A8943" i="1"/>
  <c r="B8943" i="1"/>
  <c r="A8944" i="1"/>
  <c r="B8944" i="1"/>
  <c r="A8945" i="1"/>
  <c r="B8945" i="1"/>
  <c r="A8946" i="1"/>
  <c r="B8946" i="1"/>
  <c r="A8947" i="1"/>
  <c r="B8947" i="1"/>
  <c r="A8948" i="1"/>
  <c r="B8948" i="1"/>
  <c r="A8949" i="1"/>
  <c r="B8949" i="1"/>
  <c r="A8950" i="1"/>
  <c r="B8950" i="1"/>
  <c r="A8951" i="1"/>
  <c r="B8951" i="1"/>
  <c r="A8952" i="1"/>
  <c r="B8952" i="1"/>
  <c r="A8953" i="1"/>
  <c r="B8953" i="1"/>
  <c r="A8954" i="1"/>
  <c r="B8954" i="1"/>
  <c r="A8955" i="1"/>
  <c r="B8955" i="1"/>
  <c r="A8956" i="1"/>
  <c r="B8956" i="1"/>
  <c r="A8957" i="1"/>
  <c r="B8957" i="1"/>
  <c r="A8958" i="1"/>
  <c r="B8958" i="1"/>
  <c r="A8959" i="1"/>
  <c r="B8959" i="1"/>
  <c r="A8960" i="1"/>
  <c r="B8960" i="1"/>
  <c r="A8961" i="1"/>
  <c r="B8961" i="1"/>
  <c r="A8962" i="1"/>
  <c r="B8962" i="1"/>
  <c r="A8963" i="1"/>
  <c r="B8963" i="1"/>
  <c r="A8964" i="1"/>
  <c r="B8964" i="1"/>
  <c r="A8965" i="1"/>
  <c r="B8965" i="1"/>
  <c r="A8966" i="1"/>
  <c r="B8966" i="1"/>
  <c r="A8967" i="1"/>
  <c r="B8967" i="1"/>
  <c r="A8968" i="1"/>
  <c r="B8968" i="1"/>
  <c r="A8969" i="1"/>
  <c r="B8969" i="1"/>
  <c r="A8970" i="1"/>
  <c r="B8970" i="1"/>
  <c r="A8971" i="1"/>
  <c r="B8971" i="1"/>
  <c r="A8972" i="1"/>
  <c r="B8972" i="1"/>
  <c r="A8973" i="1"/>
  <c r="B8973" i="1"/>
  <c r="A8974" i="1"/>
  <c r="B8974" i="1"/>
  <c r="A8975" i="1"/>
  <c r="B8975" i="1"/>
  <c r="A8976" i="1"/>
  <c r="B8976" i="1"/>
  <c r="A8977" i="1"/>
  <c r="B8977" i="1"/>
  <c r="A8978" i="1"/>
  <c r="B8978" i="1"/>
  <c r="A8979" i="1"/>
  <c r="B8979" i="1"/>
  <c r="A8980" i="1"/>
  <c r="B8980" i="1"/>
  <c r="A8981" i="1"/>
  <c r="B8981" i="1"/>
  <c r="A8982" i="1"/>
  <c r="B8982" i="1"/>
  <c r="A8983" i="1"/>
  <c r="B8983" i="1"/>
  <c r="A8984" i="1"/>
  <c r="B8984" i="1"/>
  <c r="A8985" i="1"/>
  <c r="B8985" i="1"/>
  <c r="A8986" i="1"/>
  <c r="B8986" i="1"/>
  <c r="A8987" i="1"/>
  <c r="B8987" i="1"/>
  <c r="A8988" i="1"/>
  <c r="B8988" i="1"/>
  <c r="A8989" i="1"/>
  <c r="B8989" i="1"/>
  <c r="A8990" i="1"/>
  <c r="B8990" i="1"/>
  <c r="A8991" i="1"/>
  <c r="B8991" i="1"/>
  <c r="A8992" i="1"/>
  <c r="B8992" i="1"/>
  <c r="A8993" i="1"/>
  <c r="B8993" i="1"/>
  <c r="A8994" i="1"/>
  <c r="B8994" i="1"/>
  <c r="A8995" i="1"/>
  <c r="B8995" i="1"/>
  <c r="A8996" i="1"/>
  <c r="B8996" i="1"/>
  <c r="A8997" i="1"/>
  <c r="B8997" i="1"/>
  <c r="A8998" i="1"/>
  <c r="B8998" i="1"/>
  <c r="A8999" i="1"/>
  <c r="B8999" i="1"/>
  <c r="A9000" i="1"/>
  <c r="B9000" i="1"/>
  <c r="A9001" i="1"/>
  <c r="B9001" i="1"/>
  <c r="A9002" i="1"/>
  <c r="B9002" i="1"/>
  <c r="A9003" i="1"/>
  <c r="B9003" i="1"/>
  <c r="A9004" i="1"/>
  <c r="B9004" i="1"/>
  <c r="A9005" i="1"/>
  <c r="B9005" i="1"/>
  <c r="A9006" i="1"/>
  <c r="B9006" i="1"/>
  <c r="A9007" i="1"/>
  <c r="B9007" i="1"/>
  <c r="A9008" i="1"/>
  <c r="B9008" i="1"/>
  <c r="A9009" i="1"/>
  <c r="B9009" i="1"/>
  <c r="A9010" i="1"/>
  <c r="B9010" i="1"/>
  <c r="A9011" i="1"/>
  <c r="B9011" i="1"/>
  <c r="A9012" i="1"/>
  <c r="B9012" i="1"/>
  <c r="A9013" i="1"/>
  <c r="B9013" i="1"/>
  <c r="A9014" i="1"/>
  <c r="B9014" i="1"/>
  <c r="A9015" i="1"/>
  <c r="B9015" i="1"/>
  <c r="A9016" i="1"/>
  <c r="B9016" i="1"/>
  <c r="A9017" i="1"/>
  <c r="B9017" i="1"/>
  <c r="A9018" i="1"/>
  <c r="B9018" i="1"/>
  <c r="A9019" i="1"/>
  <c r="B9019" i="1"/>
  <c r="A9020" i="1"/>
  <c r="B9020" i="1"/>
  <c r="A9021" i="1"/>
  <c r="B9021" i="1"/>
  <c r="A9022" i="1"/>
  <c r="B9022" i="1"/>
  <c r="A9023" i="1"/>
  <c r="B9023" i="1"/>
  <c r="A9024" i="1"/>
  <c r="B9024" i="1"/>
  <c r="A9025" i="1"/>
  <c r="B9025" i="1"/>
  <c r="A9026" i="1"/>
  <c r="B9026" i="1"/>
  <c r="A9027" i="1"/>
  <c r="B9027" i="1"/>
  <c r="A9028" i="1"/>
  <c r="B9028" i="1"/>
  <c r="A9029" i="1"/>
  <c r="B9029" i="1"/>
  <c r="A9030" i="1"/>
  <c r="B9030" i="1"/>
  <c r="A9031" i="1"/>
  <c r="B9031" i="1"/>
  <c r="A9032" i="1"/>
  <c r="B9032" i="1"/>
  <c r="A9033" i="1"/>
  <c r="B9033" i="1"/>
  <c r="A9034" i="1"/>
  <c r="B9034" i="1"/>
  <c r="A9035" i="1"/>
  <c r="B9035" i="1"/>
  <c r="A9036" i="1"/>
  <c r="B9036" i="1"/>
  <c r="A9037" i="1"/>
  <c r="B9037" i="1"/>
  <c r="A9038" i="1"/>
  <c r="B9038" i="1"/>
  <c r="A9039" i="1"/>
  <c r="B9039" i="1"/>
  <c r="A9040" i="1"/>
  <c r="B9040" i="1"/>
  <c r="A9041" i="1"/>
  <c r="B9041" i="1"/>
  <c r="A9042" i="1"/>
  <c r="B9042" i="1"/>
  <c r="A9043" i="1"/>
  <c r="B9043" i="1"/>
  <c r="A9044" i="1"/>
  <c r="B9044" i="1"/>
  <c r="A9045" i="1"/>
  <c r="B9045" i="1"/>
  <c r="A9046" i="1"/>
  <c r="B9046" i="1"/>
  <c r="A9047" i="1"/>
  <c r="B9047" i="1"/>
  <c r="A9048" i="1"/>
  <c r="B9048" i="1"/>
  <c r="A9049" i="1"/>
  <c r="B9049" i="1"/>
  <c r="A9050" i="1"/>
  <c r="B9050" i="1"/>
  <c r="A9051" i="1"/>
  <c r="B9051" i="1"/>
  <c r="A9052" i="1"/>
  <c r="B9052" i="1"/>
  <c r="A9053" i="1"/>
  <c r="B9053" i="1"/>
  <c r="A9054" i="1"/>
  <c r="B9054" i="1"/>
  <c r="A9055" i="1"/>
  <c r="B9055" i="1"/>
  <c r="A9056" i="1"/>
  <c r="B9056" i="1"/>
  <c r="A9057" i="1"/>
  <c r="B9057" i="1"/>
  <c r="A9058" i="1"/>
  <c r="B9058" i="1"/>
  <c r="A9059" i="1"/>
  <c r="B9059" i="1"/>
  <c r="A9060" i="1"/>
  <c r="B9060" i="1"/>
  <c r="A9061" i="1"/>
  <c r="B9061" i="1"/>
  <c r="A9062" i="1"/>
  <c r="B9062" i="1"/>
  <c r="A9063" i="1"/>
  <c r="B9063" i="1"/>
  <c r="A9064" i="1"/>
  <c r="B9064" i="1"/>
  <c r="A9065" i="1"/>
  <c r="B9065" i="1"/>
  <c r="A9066" i="1"/>
  <c r="B9066" i="1"/>
  <c r="A9067" i="1"/>
  <c r="B9067" i="1"/>
  <c r="A9068" i="1"/>
  <c r="B9068" i="1"/>
  <c r="A9069" i="1"/>
  <c r="B9069" i="1"/>
  <c r="A9070" i="1"/>
  <c r="B9070" i="1"/>
  <c r="A9071" i="1"/>
  <c r="B9071" i="1"/>
  <c r="A9072" i="1"/>
  <c r="B9072" i="1"/>
  <c r="A9073" i="1"/>
  <c r="B9073" i="1"/>
  <c r="A9074" i="1"/>
  <c r="B9074" i="1"/>
  <c r="A9075" i="1"/>
  <c r="B9075" i="1"/>
  <c r="A9076" i="1"/>
  <c r="B9076" i="1"/>
  <c r="A9077" i="1"/>
  <c r="B9077" i="1"/>
  <c r="A9078" i="1"/>
  <c r="B9078" i="1"/>
  <c r="A9079" i="1"/>
  <c r="B9079" i="1"/>
  <c r="A9080" i="1"/>
  <c r="B9080" i="1"/>
  <c r="A9081" i="1"/>
  <c r="B9081" i="1"/>
  <c r="A9082" i="1"/>
  <c r="B9082" i="1"/>
  <c r="A9083" i="1"/>
  <c r="B9083" i="1"/>
  <c r="A9084" i="1"/>
  <c r="B9084" i="1"/>
  <c r="A9085" i="1"/>
  <c r="B9085" i="1"/>
  <c r="A9086" i="1"/>
  <c r="B9086" i="1"/>
  <c r="A9087" i="1"/>
  <c r="B9087" i="1"/>
  <c r="A9088" i="1"/>
  <c r="B9088" i="1"/>
  <c r="A9089" i="1"/>
  <c r="B9089" i="1"/>
  <c r="A9090" i="1"/>
  <c r="B9090" i="1"/>
  <c r="A9091" i="1"/>
  <c r="B9091" i="1"/>
  <c r="A9092" i="1"/>
  <c r="B9092" i="1"/>
  <c r="A9093" i="1"/>
  <c r="B9093" i="1"/>
  <c r="A9094" i="1"/>
  <c r="B9094" i="1"/>
  <c r="A9095" i="1"/>
  <c r="B9095" i="1"/>
  <c r="A9096" i="1"/>
  <c r="B9096" i="1"/>
  <c r="A9097" i="1"/>
  <c r="B9097" i="1"/>
  <c r="A9098" i="1"/>
  <c r="B9098" i="1"/>
  <c r="A9099" i="1"/>
  <c r="B9099" i="1"/>
  <c r="A9100" i="1"/>
  <c r="B9100" i="1"/>
  <c r="A9101" i="1"/>
  <c r="B9101" i="1"/>
  <c r="A9102" i="1"/>
  <c r="B9102" i="1"/>
  <c r="A9103" i="1"/>
  <c r="B9103" i="1"/>
  <c r="A9104" i="1"/>
  <c r="B9104" i="1"/>
  <c r="A9105" i="1"/>
  <c r="B9105" i="1"/>
  <c r="A9106" i="1"/>
  <c r="B9106" i="1"/>
  <c r="A9107" i="1"/>
  <c r="B9107" i="1"/>
  <c r="A9108" i="1"/>
  <c r="B9108" i="1"/>
  <c r="A9109" i="1"/>
  <c r="B9109" i="1"/>
  <c r="A9110" i="1"/>
  <c r="B9110" i="1"/>
  <c r="A9111" i="1"/>
  <c r="B9111" i="1"/>
  <c r="A9112" i="1"/>
  <c r="B9112" i="1"/>
  <c r="A9113" i="1"/>
  <c r="B9113" i="1"/>
  <c r="A9114" i="1"/>
  <c r="B9114" i="1"/>
  <c r="A9115" i="1"/>
  <c r="B9115" i="1"/>
  <c r="A9116" i="1"/>
  <c r="B9116" i="1"/>
  <c r="A9117" i="1"/>
  <c r="B9117" i="1"/>
  <c r="A9118" i="1"/>
  <c r="B9118" i="1"/>
  <c r="A9119" i="1"/>
  <c r="B9119" i="1"/>
  <c r="A9120" i="1"/>
  <c r="B9120" i="1"/>
  <c r="A9121" i="1"/>
  <c r="B9121" i="1"/>
  <c r="A9122" i="1"/>
  <c r="B9122" i="1"/>
  <c r="A9123" i="1"/>
  <c r="B9123" i="1"/>
  <c r="A9124" i="1"/>
  <c r="B9124" i="1"/>
  <c r="A9125" i="1"/>
  <c r="B9125" i="1"/>
  <c r="A9126" i="1"/>
  <c r="B9126" i="1"/>
  <c r="A9127" i="1"/>
  <c r="B9127" i="1"/>
  <c r="A9128" i="1"/>
  <c r="B9128" i="1"/>
  <c r="A9129" i="1"/>
  <c r="B9129" i="1"/>
  <c r="A9130" i="1"/>
  <c r="B9130" i="1"/>
  <c r="A9131" i="1"/>
  <c r="B9131" i="1"/>
  <c r="A9132" i="1"/>
  <c r="B9132" i="1"/>
  <c r="A9133" i="1"/>
  <c r="B9133" i="1"/>
  <c r="A9134" i="1"/>
  <c r="B9134" i="1"/>
  <c r="A9135" i="1"/>
  <c r="B9135" i="1"/>
  <c r="A9136" i="1"/>
  <c r="B9136" i="1"/>
  <c r="A9137" i="1"/>
  <c r="B9137" i="1"/>
  <c r="A9138" i="1"/>
  <c r="B9138" i="1"/>
  <c r="A9139" i="1"/>
  <c r="B9139" i="1"/>
  <c r="A9140" i="1"/>
  <c r="B9140" i="1"/>
  <c r="A9141" i="1"/>
  <c r="B9141" i="1"/>
  <c r="A9142" i="1"/>
  <c r="B9142" i="1"/>
  <c r="A9143" i="1"/>
  <c r="B9143" i="1"/>
  <c r="A9144" i="1"/>
  <c r="B9144" i="1"/>
  <c r="A9145" i="1"/>
  <c r="B9145" i="1"/>
  <c r="A9146" i="1"/>
  <c r="B9146" i="1"/>
  <c r="A9147" i="1"/>
  <c r="B9147" i="1"/>
  <c r="A9148" i="1"/>
  <c r="B9148" i="1"/>
  <c r="A9149" i="1"/>
  <c r="B9149" i="1"/>
  <c r="A9150" i="1"/>
  <c r="B9150" i="1"/>
  <c r="A9151" i="1"/>
  <c r="B9151" i="1"/>
  <c r="A9152" i="1"/>
  <c r="B9152" i="1"/>
  <c r="A9153" i="1"/>
  <c r="B9153" i="1"/>
  <c r="A9154" i="1"/>
  <c r="B9154" i="1"/>
  <c r="A9155" i="1"/>
  <c r="B9155" i="1"/>
  <c r="A9156" i="1"/>
  <c r="B9156" i="1"/>
  <c r="A9157" i="1"/>
  <c r="B9157" i="1"/>
  <c r="A9158" i="1"/>
  <c r="B9158" i="1"/>
  <c r="A9159" i="1"/>
  <c r="B9159" i="1"/>
  <c r="A9160" i="1"/>
  <c r="B9160" i="1"/>
  <c r="A9161" i="1"/>
  <c r="B9161" i="1"/>
  <c r="A9162" i="1"/>
  <c r="B9162" i="1"/>
  <c r="A9163" i="1"/>
  <c r="B9163" i="1"/>
  <c r="A9164" i="1"/>
  <c r="B9164" i="1"/>
  <c r="A9165" i="1"/>
  <c r="B9165" i="1"/>
  <c r="A9166" i="1"/>
  <c r="B9166" i="1"/>
  <c r="A9167" i="1"/>
  <c r="B9167" i="1"/>
  <c r="A9168" i="1"/>
  <c r="B9168" i="1"/>
  <c r="A9169" i="1"/>
  <c r="B9169" i="1"/>
  <c r="A9170" i="1"/>
  <c r="B9170" i="1"/>
  <c r="A9171" i="1"/>
  <c r="B9171" i="1"/>
  <c r="A9172" i="1"/>
  <c r="B9172" i="1"/>
  <c r="A9173" i="1"/>
  <c r="B9173" i="1"/>
  <c r="A9174" i="1"/>
  <c r="B9174" i="1"/>
  <c r="A9175" i="1"/>
  <c r="B9175" i="1"/>
  <c r="A9176" i="1"/>
  <c r="B9176" i="1"/>
  <c r="A9177" i="1"/>
  <c r="B9177" i="1"/>
  <c r="A9178" i="1"/>
  <c r="B9178" i="1"/>
  <c r="A9179" i="1"/>
  <c r="B9179" i="1"/>
  <c r="A9180" i="1"/>
  <c r="B9180" i="1"/>
  <c r="A9181" i="1"/>
  <c r="B9181" i="1"/>
  <c r="A9182" i="1"/>
  <c r="B9182" i="1"/>
  <c r="A9183" i="1"/>
  <c r="B9183" i="1"/>
  <c r="A9184" i="1"/>
  <c r="B9184" i="1"/>
  <c r="A9185" i="1"/>
  <c r="B9185" i="1"/>
  <c r="A9186" i="1"/>
  <c r="B9186" i="1"/>
  <c r="A9187" i="1"/>
  <c r="B9187" i="1"/>
  <c r="A9188" i="1"/>
  <c r="B9188" i="1"/>
  <c r="A9189" i="1"/>
  <c r="B9189" i="1"/>
  <c r="A9190" i="1"/>
  <c r="B9190" i="1"/>
  <c r="A9191" i="1"/>
  <c r="B9191" i="1"/>
  <c r="A9192" i="1"/>
  <c r="B9192" i="1"/>
  <c r="A9193" i="1"/>
  <c r="B9193" i="1"/>
  <c r="A9194" i="1"/>
  <c r="B9194" i="1"/>
  <c r="A9195" i="1"/>
  <c r="B9195" i="1"/>
  <c r="A9196" i="1"/>
  <c r="B9196" i="1"/>
  <c r="A9197" i="1"/>
  <c r="B9197" i="1"/>
  <c r="A9198" i="1"/>
  <c r="B9198" i="1"/>
  <c r="A9199" i="1"/>
  <c r="B9199" i="1"/>
  <c r="A9200" i="1"/>
  <c r="B9200" i="1"/>
  <c r="A9201" i="1"/>
  <c r="B9201" i="1"/>
  <c r="A9202" i="1"/>
  <c r="B9202" i="1"/>
  <c r="A9203" i="1"/>
  <c r="B9203" i="1"/>
  <c r="A9204" i="1"/>
  <c r="B9204" i="1"/>
  <c r="A9205" i="1"/>
  <c r="B9205" i="1"/>
  <c r="A9206" i="1"/>
  <c r="B9206" i="1"/>
  <c r="A9207" i="1"/>
  <c r="B9207" i="1"/>
  <c r="A9208" i="1"/>
  <c r="B9208" i="1"/>
  <c r="A9209" i="1"/>
  <c r="B9209" i="1"/>
  <c r="A9210" i="1"/>
  <c r="B9210" i="1"/>
  <c r="A9211" i="1"/>
  <c r="B9211" i="1"/>
  <c r="A9212" i="1"/>
  <c r="B9212" i="1"/>
  <c r="A9213" i="1"/>
  <c r="B9213" i="1"/>
  <c r="A9214" i="1"/>
  <c r="B9214" i="1"/>
  <c r="A9215" i="1"/>
  <c r="B9215" i="1"/>
  <c r="A9216" i="1"/>
  <c r="B9216" i="1"/>
  <c r="A9217" i="1"/>
  <c r="B9217" i="1"/>
  <c r="A9218" i="1"/>
  <c r="B9218" i="1"/>
  <c r="A9219" i="1"/>
  <c r="B9219" i="1"/>
  <c r="A9220" i="1"/>
  <c r="B9220" i="1"/>
  <c r="A9221" i="1"/>
  <c r="B9221" i="1"/>
  <c r="A9222" i="1"/>
  <c r="B9222" i="1"/>
  <c r="A9223" i="1"/>
  <c r="B9223" i="1"/>
  <c r="A9224" i="1"/>
  <c r="B9224" i="1"/>
  <c r="A9225" i="1"/>
  <c r="B9225" i="1"/>
  <c r="A9226" i="1"/>
  <c r="B9226" i="1"/>
  <c r="A9227" i="1"/>
  <c r="B9227" i="1"/>
  <c r="A9228" i="1"/>
  <c r="B9228" i="1"/>
  <c r="A9229" i="1"/>
  <c r="B9229" i="1"/>
  <c r="A9230" i="1"/>
  <c r="B9230" i="1"/>
  <c r="A9231" i="1"/>
  <c r="B9231" i="1"/>
  <c r="A9232" i="1"/>
  <c r="B9232" i="1"/>
  <c r="A9233" i="1"/>
  <c r="B9233" i="1"/>
  <c r="A9234" i="1"/>
  <c r="B9234" i="1"/>
  <c r="A9235" i="1"/>
  <c r="B9235" i="1"/>
  <c r="A9236" i="1"/>
  <c r="B9236" i="1"/>
  <c r="A9237" i="1"/>
  <c r="B9237" i="1"/>
  <c r="A9238" i="1"/>
  <c r="B9238" i="1"/>
  <c r="A9239" i="1"/>
  <c r="B9239" i="1"/>
  <c r="A9240" i="1"/>
  <c r="B9240" i="1"/>
  <c r="A9241" i="1"/>
  <c r="B9241" i="1"/>
  <c r="A9242" i="1"/>
  <c r="B9242" i="1"/>
  <c r="A9243" i="1"/>
  <c r="B9243" i="1"/>
  <c r="A9244" i="1"/>
  <c r="B9244" i="1"/>
  <c r="A9245" i="1"/>
  <c r="B9245" i="1"/>
  <c r="A9246" i="1"/>
  <c r="B9246" i="1"/>
  <c r="A9247" i="1"/>
  <c r="B9247" i="1"/>
  <c r="A9248" i="1"/>
  <c r="B9248" i="1"/>
  <c r="A9249" i="1"/>
  <c r="B9249" i="1"/>
  <c r="A9250" i="1"/>
  <c r="B9250" i="1"/>
  <c r="A9251" i="1"/>
  <c r="B9251" i="1"/>
  <c r="A9252" i="1"/>
  <c r="B9252" i="1"/>
  <c r="A9253" i="1"/>
  <c r="B9253" i="1"/>
  <c r="A9254" i="1"/>
  <c r="B9254" i="1"/>
  <c r="A9255" i="1"/>
  <c r="B9255" i="1"/>
  <c r="A9256" i="1"/>
  <c r="B9256" i="1"/>
  <c r="A9257" i="1"/>
  <c r="B9257" i="1"/>
  <c r="A9258" i="1"/>
  <c r="B9258" i="1"/>
  <c r="A9259" i="1"/>
  <c r="B9259" i="1"/>
  <c r="A9260" i="1"/>
  <c r="B9260" i="1"/>
  <c r="A9261" i="1"/>
  <c r="B9261" i="1"/>
  <c r="A9262" i="1"/>
  <c r="B9262" i="1"/>
  <c r="A9263" i="1"/>
  <c r="B9263" i="1"/>
  <c r="A9264" i="1"/>
  <c r="B9264" i="1"/>
  <c r="A9265" i="1"/>
  <c r="B9265" i="1"/>
  <c r="A9266" i="1"/>
  <c r="B9266" i="1"/>
  <c r="A9267" i="1"/>
  <c r="B9267" i="1"/>
  <c r="A9268" i="1"/>
  <c r="B9268" i="1"/>
  <c r="A9269" i="1"/>
  <c r="B9269" i="1"/>
  <c r="A9270" i="1"/>
  <c r="B9270" i="1"/>
  <c r="A9271" i="1"/>
  <c r="B9271" i="1"/>
  <c r="A9272" i="1"/>
  <c r="B9272" i="1"/>
  <c r="A9273" i="1"/>
  <c r="B9273" i="1"/>
  <c r="A9274" i="1"/>
  <c r="B9274" i="1"/>
  <c r="A9275" i="1"/>
  <c r="B9275" i="1"/>
  <c r="A9276" i="1"/>
  <c r="B9276" i="1"/>
  <c r="A9277" i="1"/>
  <c r="B9277" i="1"/>
  <c r="A9278" i="1"/>
  <c r="B9278" i="1"/>
  <c r="A9279" i="1"/>
  <c r="B9279" i="1"/>
  <c r="A9280" i="1"/>
  <c r="B9280" i="1"/>
  <c r="A9281" i="1"/>
  <c r="B9281" i="1"/>
  <c r="A9282" i="1"/>
  <c r="B9282" i="1"/>
  <c r="A9283" i="1"/>
  <c r="B9283" i="1"/>
  <c r="A9284" i="1"/>
  <c r="B9284" i="1"/>
  <c r="A9285" i="1"/>
  <c r="B9285" i="1"/>
  <c r="A9286" i="1"/>
  <c r="B9286" i="1"/>
  <c r="A9287" i="1"/>
  <c r="B9287" i="1"/>
  <c r="A9288" i="1"/>
  <c r="B9288" i="1"/>
  <c r="A9289" i="1"/>
  <c r="B9289" i="1"/>
  <c r="A9290" i="1"/>
  <c r="B9290" i="1"/>
  <c r="A9291" i="1"/>
  <c r="B9291" i="1"/>
  <c r="A9292" i="1"/>
  <c r="B9292" i="1"/>
  <c r="A9293" i="1"/>
  <c r="B9293" i="1"/>
  <c r="A9294" i="1"/>
  <c r="B9294" i="1"/>
  <c r="A9295" i="1"/>
  <c r="B9295" i="1"/>
  <c r="A9296" i="1"/>
  <c r="B9296" i="1"/>
  <c r="A9297" i="1"/>
  <c r="B9297" i="1"/>
  <c r="A9298" i="1"/>
  <c r="B9298" i="1"/>
  <c r="A9299" i="1"/>
  <c r="B9299" i="1"/>
  <c r="A9300" i="1"/>
  <c r="B9300" i="1"/>
  <c r="A9301" i="1"/>
  <c r="B9301" i="1"/>
  <c r="A9302" i="1"/>
  <c r="B9302" i="1"/>
  <c r="A9303" i="1"/>
  <c r="B9303" i="1"/>
  <c r="A9304" i="1"/>
  <c r="B9304" i="1"/>
  <c r="A9305" i="1"/>
  <c r="B9305" i="1"/>
  <c r="A9306" i="1"/>
  <c r="B9306" i="1"/>
  <c r="A9307" i="1"/>
  <c r="B9307" i="1"/>
  <c r="A9308" i="1"/>
  <c r="B9308" i="1"/>
  <c r="A9309" i="1"/>
  <c r="B9309" i="1"/>
  <c r="A9310" i="1"/>
  <c r="B9310" i="1"/>
  <c r="A9311" i="1"/>
  <c r="B9311" i="1"/>
  <c r="A9312" i="1"/>
  <c r="B9312" i="1"/>
  <c r="A9313" i="1"/>
  <c r="B9313" i="1"/>
  <c r="A9314" i="1"/>
  <c r="B9314" i="1"/>
  <c r="A9315" i="1"/>
  <c r="B9315" i="1"/>
  <c r="A9316" i="1"/>
  <c r="B9316" i="1"/>
  <c r="A9317" i="1"/>
  <c r="B9317" i="1"/>
  <c r="A9318" i="1"/>
  <c r="B9318" i="1"/>
  <c r="A9319" i="1"/>
  <c r="B9319" i="1"/>
  <c r="A9320" i="1"/>
  <c r="B9320" i="1"/>
  <c r="A9321" i="1"/>
  <c r="B9321" i="1"/>
  <c r="A9322" i="1"/>
  <c r="B9322" i="1"/>
  <c r="A9323" i="1"/>
  <c r="B9323" i="1"/>
  <c r="A9324" i="1"/>
  <c r="B9324" i="1"/>
  <c r="A9325" i="1"/>
  <c r="B9325" i="1"/>
  <c r="A9326" i="1"/>
  <c r="B9326" i="1"/>
  <c r="A9327" i="1"/>
  <c r="B9327" i="1"/>
  <c r="A9328" i="1"/>
  <c r="B9328" i="1"/>
  <c r="A9329" i="1"/>
  <c r="B9329" i="1"/>
  <c r="A9330" i="1"/>
  <c r="B9330" i="1"/>
  <c r="A9331" i="1"/>
  <c r="B9331" i="1"/>
  <c r="A9332" i="1"/>
  <c r="B9332" i="1"/>
  <c r="A9333" i="1"/>
  <c r="B9333" i="1"/>
  <c r="A9334" i="1"/>
  <c r="B9334" i="1"/>
  <c r="A9335" i="1"/>
  <c r="B9335" i="1"/>
  <c r="A9336" i="1"/>
  <c r="B9336" i="1"/>
  <c r="A9337" i="1"/>
  <c r="B9337" i="1"/>
  <c r="A9338" i="1"/>
  <c r="B9338" i="1"/>
  <c r="A9339" i="1"/>
  <c r="B9339" i="1"/>
  <c r="A9340" i="1"/>
  <c r="B9340" i="1"/>
  <c r="A9341" i="1"/>
  <c r="B9341" i="1"/>
  <c r="A9342" i="1"/>
  <c r="B9342" i="1"/>
  <c r="A9343" i="1"/>
  <c r="B9343" i="1"/>
  <c r="A9344" i="1"/>
  <c r="B9344" i="1"/>
  <c r="A9345" i="1"/>
  <c r="B9345" i="1"/>
  <c r="A9346" i="1"/>
  <c r="B9346" i="1"/>
  <c r="A9347" i="1"/>
  <c r="B9347" i="1"/>
  <c r="A9348" i="1"/>
  <c r="B9348" i="1"/>
  <c r="A9349" i="1"/>
  <c r="B9349" i="1"/>
  <c r="A9350" i="1"/>
  <c r="B9350" i="1"/>
  <c r="A9351" i="1"/>
  <c r="B9351" i="1"/>
  <c r="A9352" i="1"/>
  <c r="B9352" i="1"/>
  <c r="A9353" i="1"/>
  <c r="B9353" i="1"/>
  <c r="A9354" i="1"/>
  <c r="B9354" i="1"/>
  <c r="A9355" i="1"/>
  <c r="B9355" i="1"/>
  <c r="A9356" i="1"/>
  <c r="B9356" i="1"/>
  <c r="A9357" i="1"/>
  <c r="B9357" i="1"/>
  <c r="A9358" i="1"/>
  <c r="B9358" i="1"/>
  <c r="A9359" i="1"/>
  <c r="B9359" i="1"/>
  <c r="A9360" i="1"/>
  <c r="B9360" i="1"/>
  <c r="A9361" i="1"/>
  <c r="B9361" i="1"/>
  <c r="A9362" i="1"/>
  <c r="B9362" i="1"/>
  <c r="A9363" i="1"/>
  <c r="B9363" i="1"/>
  <c r="A9364" i="1"/>
  <c r="B9364" i="1"/>
  <c r="A9365" i="1"/>
  <c r="B9365" i="1"/>
  <c r="A9366" i="1"/>
  <c r="B9366" i="1"/>
  <c r="A9367" i="1"/>
  <c r="B9367" i="1"/>
  <c r="A9368" i="1"/>
  <c r="B9368" i="1"/>
  <c r="A9369" i="1"/>
  <c r="B9369" i="1"/>
  <c r="A9370" i="1"/>
  <c r="B9370" i="1"/>
  <c r="A9371" i="1"/>
  <c r="B9371" i="1"/>
  <c r="A9372" i="1"/>
  <c r="B9372" i="1"/>
  <c r="A9373" i="1"/>
  <c r="B9373" i="1"/>
  <c r="A9374" i="1"/>
  <c r="B9374" i="1"/>
  <c r="A9375" i="1"/>
  <c r="B9375" i="1"/>
  <c r="A9376" i="1"/>
  <c r="B9376" i="1"/>
  <c r="A9377" i="1"/>
  <c r="B9377" i="1"/>
  <c r="A9378" i="1"/>
  <c r="B9378" i="1"/>
  <c r="A9379" i="1"/>
  <c r="B9379" i="1"/>
  <c r="A9380" i="1"/>
  <c r="B9380" i="1"/>
  <c r="A9381" i="1"/>
  <c r="B9381" i="1"/>
  <c r="A9382" i="1"/>
  <c r="B9382" i="1"/>
  <c r="A9383" i="1"/>
  <c r="B9383" i="1"/>
  <c r="A9384" i="1"/>
  <c r="B9384" i="1"/>
  <c r="A9385" i="1"/>
  <c r="B9385" i="1"/>
  <c r="A9386" i="1"/>
  <c r="B9386" i="1"/>
  <c r="A9387" i="1"/>
  <c r="B9387" i="1"/>
  <c r="A9388" i="1"/>
  <c r="B9388" i="1"/>
  <c r="A9389" i="1"/>
  <c r="B9389" i="1"/>
  <c r="A9390" i="1"/>
  <c r="B9390" i="1"/>
  <c r="A9391" i="1"/>
  <c r="B9391" i="1"/>
  <c r="A9392" i="1"/>
  <c r="B9392" i="1"/>
  <c r="A9393" i="1"/>
  <c r="B9393" i="1"/>
  <c r="A9394" i="1"/>
  <c r="B9394" i="1"/>
  <c r="A9395" i="1"/>
  <c r="B9395" i="1"/>
  <c r="A9396" i="1"/>
  <c r="B9396" i="1"/>
  <c r="A9397" i="1"/>
  <c r="B9397" i="1"/>
  <c r="A9398" i="1"/>
  <c r="B9398" i="1"/>
  <c r="A9399" i="1"/>
  <c r="B9399" i="1"/>
  <c r="A9400" i="1"/>
  <c r="B9400" i="1"/>
  <c r="A9401" i="1"/>
  <c r="B9401" i="1"/>
  <c r="A9402" i="1"/>
  <c r="B9402" i="1"/>
  <c r="A9403" i="1"/>
  <c r="B9403" i="1"/>
  <c r="A9404" i="1"/>
  <c r="B9404" i="1"/>
  <c r="A9405" i="1"/>
  <c r="B9405" i="1"/>
  <c r="A9406" i="1"/>
  <c r="B9406" i="1"/>
  <c r="A9407" i="1"/>
  <c r="B9407" i="1"/>
  <c r="A9408" i="1"/>
  <c r="B9408" i="1"/>
  <c r="A9409" i="1"/>
  <c r="B9409" i="1"/>
  <c r="A9410" i="1"/>
  <c r="B9410" i="1"/>
  <c r="A9411" i="1"/>
  <c r="B9411" i="1"/>
  <c r="A9412" i="1"/>
  <c r="B9412" i="1"/>
  <c r="A9413" i="1"/>
  <c r="B9413" i="1"/>
  <c r="A9414" i="1"/>
  <c r="B9414" i="1"/>
  <c r="A9415" i="1"/>
  <c r="B9415" i="1"/>
  <c r="A9416" i="1"/>
  <c r="B9416" i="1"/>
  <c r="A9417" i="1"/>
  <c r="B9417" i="1"/>
  <c r="A9418" i="1"/>
  <c r="B9418" i="1"/>
  <c r="A9419" i="1"/>
  <c r="B9419" i="1"/>
  <c r="A9420" i="1"/>
  <c r="B9420" i="1"/>
  <c r="A9421" i="1"/>
  <c r="B9421" i="1"/>
  <c r="A9422" i="1"/>
  <c r="B9422" i="1"/>
  <c r="A9423" i="1"/>
  <c r="B9423" i="1"/>
  <c r="A9424" i="1"/>
  <c r="B9424" i="1"/>
  <c r="A9425" i="1"/>
  <c r="B9425" i="1"/>
  <c r="A9426" i="1"/>
  <c r="B9426" i="1"/>
  <c r="A9427" i="1"/>
  <c r="B9427" i="1"/>
  <c r="A9428" i="1"/>
  <c r="B9428" i="1"/>
  <c r="A9429" i="1"/>
  <c r="B9429" i="1"/>
  <c r="A9430" i="1"/>
  <c r="B9430" i="1"/>
  <c r="A9431" i="1"/>
  <c r="B9431" i="1"/>
  <c r="A9432" i="1"/>
  <c r="B9432" i="1"/>
  <c r="A9433" i="1"/>
  <c r="B9433" i="1"/>
  <c r="A9434" i="1"/>
  <c r="B9434" i="1"/>
  <c r="A9435" i="1"/>
  <c r="B9435" i="1"/>
  <c r="A9436" i="1"/>
  <c r="B9436" i="1"/>
  <c r="A9437" i="1"/>
  <c r="B9437" i="1"/>
  <c r="A9438" i="1"/>
  <c r="B9438" i="1"/>
  <c r="A9439" i="1"/>
  <c r="B9439" i="1"/>
  <c r="A9440" i="1"/>
  <c r="B9440" i="1"/>
  <c r="A9441" i="1"/>
  <c r="B9441" i="1"/>
  <c r="A9442" i="1"/>
  <c r="B9442" i="1"/>
  <c r="A9443" i="1"/>
  <c r="B9443" i="1"/>
  <c r="A9444" i="1"/>
  <c r="B9444" i="1"/>
  <c r="A9445" i="1"/>
  <c r="B9445" i="1"/>
  <c r="A9446" i="1"/>
  <c r="B9446" i="1"/>
  <c r="A9447" i="1"/>
  <c r="B9447" i="1"/>
  <c r="A9448" i="1"/>
  <c r="B9448" i="1"/>
  <c r="A9449" i="1"/>
  <c r="B9449" i="1"/>
  <c r="A9450" i="1"/>
  <c r="B9450" i="1"/>
  <c r="A9451" i="1"/>
  <c r="B9451" i="1"/>
  <c r="A9452" i="1"/>
  <c r="B9452" i="1"/>
  <c r="A9453" i="1"/>
  <c r="B9453" i="1"/>
  <c r="A9454" i="1"/>
  <c r="B9454" i="1"/>
  <c r="A9455" i="1"/>
  <c r="B9455" i="1"/>
  <c r="A9456" i="1"/>
  <c r="B9456" i="1"/>
  <c r="A9457" i="1"/>
  <c r="B9457" i="1"/>
  <c r="A9458" i="1"/>
  <c r="B9458" i="1"/>
  <c r="A9459" i="1"/>
  <c r="B9459" i="1"/>
  <c r="A9460" i="1"/>
  <c r="B9460" i="1"/>
  <c r="A9461" i="1"/>
  <c r="B9461" i="1"/>
  <c r="A9462" i="1"/>
  <c r="B9462" i="1"/>
  <c r="A9463" i="1"/>
  <c r="B9463" i="1"/>
  <c r="A9464" i="1"/>
  <c r="B9464" i="1"/>
  <c r="A9465" i="1"/>
  <c r="B9465" i="1"/>
  <c r="A9466" i="1"/>
  <c r="B9466" i="1"/>
  <c r="A9467" i="1"/>
  <c r="B9467" i="1"/>
  <c r="A9468" i="1"/>
  <c r="B9468" i="1"/>
  <c r="A9469" i="1"/>
  <c r="B9469" i="1"/>
  <c r="A9470" i="1"/>
  <c r="B9470" i="1"/>
  <c r="A9471" i="1"/>
  <c r="B9471" i="1"/>
  <c r="A9472" i="1"/>
  <c r="B9472" i="1"/>
  <c r="A9473" i="1"/>
  <c r="B9473" i="1"/>
  <c r="A9474" i="1"/>
  <c r="B9474" i="1"/>
  <c r="A9475" i="1"/>
  <c r="B9475" i="1"/>
  <c r="A9476" i="1"/>
  <c r="B9476" i="1"/>
  <c r="A9477" i="1"/>
  <c r="B9477" i="1"/>
  <c r="A9478" i="1"/>
  <c r="B9478" i="1"/>
  <c r="A9479" i="1"/>
  <c r="B9479" i="1"/>
  <c r="A9480" i="1"/>
  <c r="B9480" i="1"/>
  <c r="A9481" i="1"/>
  <c r="B9481" i="1"/>
  <c r="A9482" i="1"/>
  <c r="B9482" i="1"/>
  <c r="A9483" i="1"/>
  <c r="B9483" i="1"/>
  <c r="A9484" i="1"/>
  <c r="B9484" i="1"/>
  <c r="A9485" i="1"/>
  <c r="B9485" i="1"/>
  <c r="A9486" i="1"/>
  <c r="B9486" i="1"/>
  <c r="A9487" i="1"/>
  <c r="B9487" i="1"/>
  <c r="A9488" i="1"/>
  <c r="B9488" i="1"/>
  <c r="A9489" i="1"/>
  <c r="B9489" i="1"/>
  <c r="A9490" i="1"/>
  <c r="B9490" i="1"/>
  <c r="A9491" i="1"/>
  <c r="B9491" i="1"/>
  <c r="A9492" i="1"/>
  <c r="B9492" i="1"/>
  <c r="A9493" i="1"/>
  <c r="B9493" i="1"/>
  <c r="A9494" i="1"/>
  <c r="B9494" i="1"/>
  <c r="A9495" i="1"/>
  <c r="B9495" i="1"/>
  <c r="A9496" i="1"/>
  <c r="B9496" i="1"/>
  <c r="A9497" i="1"/>
  <c r="B9497" i="1"/>
  <c r="A9498" i="1"/>
  <c r="B9498" i="1"/>
  <c r="A9499" i="1"/>
  <c r="B9499" i="1"/>
  <c r="A9500" i="1"/>
  <c r="B9500" i="1"/>
  <c r="A9501" i="1"/>
  <c r="B9501" i="1"/>
  <c r="A9502" i="1"/>
  <c r="B9502" i="1"/>
  <c r="A9503" i="1"/>
  <c r="B9503" i="1"/>
  <c r="A9504" i="1"/>
  <c r="B9504" i="1"/>
  <c r="A9505" i="1"/>
  <c r="B9505" i="1"/>
  <c r="A9506" i="1"/>
  <c r="B9506" i="1"/>
  <c r="A9507" i="1"/>
  <c r="B9507" i="1"/>
  <c r="A9508" i="1"/>
  <c r="B9508" i="1"/>
  <c r="A9509" i="1"/>
  <c r="B9509" i="1"/>
  <c r="A9510" i="1"/>
  <c r="B9510" i="1"/>
  <c r="A9511" i="1"/>
  <c r="B9511" i="1"/>
  <c r="A9512" i="1"/>
  <c r="B9512" i="1"/>
  <c r="A9513" i="1"/>
  <c r="B9513" i="1"/>
  <c r="A9514" i="1"/>
  <c r="B9514" i="1"/>
  <c r="A9515" i="1"/>
  <c r="B9515" i="1"/>
  <c r="A9516" i="1"/>
  <c r="B9516" i="1"/>
  <c r="A9517" i="1"/>
  <c r="B9517" i="1"/>
  <c r="A9518" i="1"/>
  <c r="B9518" i="1"/>
  <c r="A9519" i="1"/>
  <c r="B9519" i="1"/>
  <c r="A9520" i="1"/>
  <c r="B9520" i="1"/>
  <c r="A9521" i="1"/>
  <c r="B9521" i="1"/>
  <c r="A9522" i="1"/>
  <c r="B9522" i="1"/>
  <c r="A9523" i="1"/>
  <c r="B9523" i="1"/>
  <c r="A9524" i="1"/>
  <c r="B9524" i="1"/>
  <c r="A9525" i="1"/>
  <c r="B9525" i="1"/>
  <c r="A9526" i="1"/>
  <c r="B9526" i="1"/>
  <c r="A9527" i="1"/>
  <c r="B9527" i="1"/>
  <c r="A9528" i="1"/>
  <c r="B9528" i="1"/>
  <c r="A9529" i="1"/>
  <c r="B9529" i="1"/>
  <c r="A9530" i="1"/>
  <c r="B9530" i="1"/>
  <c r="A9531" i="1"/>
  <c r="B9531" i="1"/>
  <c r="A9532" i="1"/>
  <c r="B9532" i="1"/>
  <c r="A9533" i="1"/>
  <c r="B9533" i="1"/>
  <c r="A9534" i="1"/>
  <c r="B9534" i="1"/>
  <c r="A9535" i="1"/>
  <c r="B9535" i="1"/>
  <c r="A9536" i="1"/>
  <c r="B9536" i="1"/>
  <c r="A9537" i="1"/>
  <c r="B9537" i="1"/>
  <c r="A9538" i="1"/>
  <c r="B9538" i="1"/>
  <c r="A9539" i="1"/>
  <c r="B9539" i="1"/>
  <c r="A9540" i="1"/>
  <c r="B9540" i="1"/>
  <c r="A9541" i="1"/>
  <c r="B9541" i="1"/>
  <c r="A9542" i="1"/>
  <c r="B9542" i="1"/>
  <c r="A9543" i="1"/>
  <c r="B9543" i="1"/>
  <c r="A9544" i="1"/>
  <c r="B9544" i="1"/>
  <c r="A9545" i="1"/>
  <c r="B9545" i="1"/>
  <c r="A9546" i="1"/>
  <c r="B9546" i="1"/>
  <c r="A9547" i="1"/>
  <c r="B9547" i="1"/>
  <c r="A9548" i="1"/>
  <c r="B9548" i="1"/>
  <c r="A9549" i="1"/>
  <c r="B9549" i="1"/>
  <c r="A9550" i="1"/>
  <c r="B9550" i="1"/>
  <c r="A9551" i="1"/>
  <c r="B9551" i="1"/>
  <c r="A9552" i="1"/>
  <c r="B9552" i="1"/>
  <c r="A9553" i="1"/>
  <c r="B9553" i="1"/>
  <c r="A9554" i="1"/>
  <c r="B9554" i="1"/>
  <c r="A9555" i="1"/>
  <c r="B9555" i="1"/>
  <c r="A9556" i="1"/>
  <c r="B9556" i="1"/>
  <c r="A9557" i="1"/>
  <c r="B9557" i="1"/>
  <c r="A9558" i="1"/>
  <c r="B9558" i="1"/>
  <c r="A9559" i="1"/>
  <c r="B9559" i="1"/>
  <c r="A9560" i="1"/>
  <c r="B9560" i="1"/>
  <c r="A9561" i="1"/>
  <c r="B9561" i="1"/>
  <c r="A9562" i="1"/>
  <c r="B9562" i="1"/>
  <c r="A9563" i="1"/>
  <c r="B9563" i="1"/>
  <c r="A9564" i="1"/>
  <c r="B9564" i="1"/>
  <c r="A9565" i="1"/>
  <c r="B9565" i="1"/>
  <c r="A9566" i="1"/>
  <c r="B9566" i="1"/>
  <c r="A9567" i="1"/>
  <c r="B9567" i="1"/>
  <c r="A9568" i="1"/>
  <c r="B9568" i="1"/>
  <c r="A9569" i="1"/>
  <c r="B9569" i="1"/>
  <c r="A9570" i="1"/>
  <c r="B9570" i="1"/>
  <c r="A9571" i="1"/>
  <c r="B9571" i="1"/>
  <c r="A9572" i="1"/>
  <c r="B9572" i="1"/>
  <c r="A9573" i="1"/>
  <c r="B9573" i="1"/>
  <c r="A9574" i="1"/>
  <c r="B9574" i="1"/>
  <c r="A9575" i="1"/>
  <c r="B9575" i="1"/>
  <c r="A9576" i="1"/>
  <c r="B9576" i="1"/>
  <c r="A9577" i="1"/>
  <c r="B9577" i="1"/>
  <c r="A9578" i="1"/>
  <c r="B9578" i="1"/>
  <c r="A9579" i="1"/>
  <c r="B9579" i="1"/>
  <c r="A9580" i="1"/>
  <c r="B9580" i="1"/>
  <c r="A9581" i="1"/>
  <c r="B9581" i="1"/>
  <c r="A9582" i="1"/>
  <c r="B9582" i="1"/>
  <c r="A9583" i="1"/>
  <c r="B9583" i="1"/>
  <c r="A9584" i="1"/>
  <c r="B9584" i="1"/>
  <c r="A9585" i="1"/>
  <c r="B9585" i="1"/>
  <c r="A9586" i="1"/>
  <c r="B9586" i="1"/>
  <c r="A9587" i="1"/>
  <c r="B9587" i="1"/>
  <c r="A9588" i="1"/>
  <c r="B9588" i="1"/>
  <c r="A9589" i="1"/>
  <c r="B9589" i="1"/>
  <c r="A9590" i="1"/>
  <c r="B9590" i="1"/>
  <c r="A9591" i="1"/>
  <c r="B9591" i="1"/>
  <c r="A9592" i="1"/>
  <c r="B9592" i="1"/>
  <c r="A9593" i="1"/>
  <c r="B9593" i="1"/>
  <c r="A9594" i="1"/>
  <c r="B9594" i="1"/>
  <c r="A9595" i="1"/>
  <c r="B9595" i="1"/>
  <c r="A9596" i="1"/>
  <c r="B9596" i="1"/>
  <c r="A9597" i="1"/>
  <c r="B9597" i="1"/>
  <c r="A9598" i="1"/>
  <c r="B9598" i="1"/>
  <c r="A9599" i="1"/>
  <c r="B9599" i="1"/>
  <c r="A9600" i="1"/>
  <c r="B9600" i="1"/>
  <c r="A9601" i="1"/>
  <c r="B9601" i="1"/>
  <c r="A9602" i="1"/>
  <c r="B9602" i="1"/>
  <c r="A9603" i="1"/>
  <c r="B9603" i="1"/>
  <c r="A9604" i="1"/>
  <c r="B9604" i="1"/>
  <c r="A9605" i="1"/>
  <c r="B9605" i="1"/>
  <c r="A9606" i="1"/>
  <c r="B9606" i="1"/>
  <c r="A9607" i="1"/>
  <c r="B9607" i="1"/>
  <c r="A9608" i="1"/>
  <c r="B9608" i="1"/>
  <c r="A9609" i="1"/>
  <c r="B9609" i="1"/>
  <c r="A9610" i="1"/>
  <c r="B9610" i="1"/>
  <c r="A9611" i="1"/>
  <c r="B9611" i="1"/>
  <c r="A9612" i="1"/>
  <c r="B9612" i="1"/>
  <c r="A9613" i="1"/>
  <c r="B9613" i="1"/>
  <c r="A9614" i="1"/>
  <c r="B9614" i="1"/>
  <c r="A9615" i="1"/>
  <c r="B9615" i="1"/>
  <c r="A9616" i="1"/>
  <c r="B9616" i="1"/>
  <c r="A9617" i="1"/>
  <c r="B9617" i="1"/>
  <c r="A9618" i="1"/>
  <c r="B9618" i="1"/>
  <c r="A9619" i="1"/>
  <c r="B9619" i="1"/>
  <c r="A9620" i="1"/>
  <c r="B9620" i="1"/>
  <c r="A9621" i="1"/>
  <c r="B9621" i="1"/>
  <c r="A9622" i="1"/>
  <c r="B9622" i="1"/>
  <c r="A9623" i="1"/>
  <c r="B9623" i="1"/>
  <c r="A9624" i="1"/>
  <c r="B9624" i="1"/>
  <c r="A9625" i="1"/>
  <c r="B9625" i="1"/>
  <c r="A9626" i="1"/>
  <c r="B9626" i="1"/>
  <c r="A9627" i="1"/>
  <c r="B9627" i="1"/>
  <c r="A9628" i="1"/>
  <c r="B9628" i="1"/>
  <c r="A9629" i="1"/>
  <c r="B9629" i="1"/>
  <c r="A9630" i="1"/>
  <c r="B9630" i="1"/>
  <c r="A9631" i="1"/>
  <c r="B9631" i="1"/>
  <c r="A9632" i="1"/>
  <c r="B9632" i="1"/>
  <c r="A9633" i="1"/>
  <c r="B9633" i="1"/>
  <c r="A9634" i="1"/>
  <c r="B9634" i="1"/>
  <c r="A9635" i="1"/>
  <c r="B9635" i="1"/>
  <c r="A9636" i="1"/>
  <c r="B9636" i="1"/>
  <c r="A9637" i="1"/>
  <c r="B9637" i="1"/>
  <c r="A9638" i="1"/>
  <c r="B9638" i="1"/>
  <c r="A9639" i="1"/>
  <c r="B9639" i="1"/>
  <c r="A9640" i="1"/>
  <c r="B9640" i="1"/>
  <c r="A9641" i="1"/>
  <c r="B9641" i="1"/>
  <c r="A9642" i="1"/>
  <c r="B9642" i="1"/>
  <c r="A9643" i="1"/>
  <c r="B9643" i="1"/>
  <c r="A9644" i="1"/>
  <c r="B9644" i="1"/>
  <c r="A9645" i="1"/>
  <c r="B9645" i="1"/>
  <c r="A9646" i="1"/>
  <c r="B9646" i="1"/>
  <c r="A9647" i="1"/>
  <c r="B9647" i="1"/>
  <c r="A9648" i="1"/>
  <c r="B9648" i="1"/>
  <c r="A9649" i="1"/>
  <c r="B9649" i="1"/>
  <c r="A9650" i="1"/>
  <c r="B9650" i="1"/>
  <c r="A9651" i="1"/>
  <c r="B9651" i="1"/>
  <c r="A9652" i="1"/>
  <c r="B9652" i="1"/>
  <c r="A9653" i="1"/>
  <c r="B9653" i="1"/>
  <c r="A9654" i="1"/>
  <c r="B9654" i="1"/>
  <c r="A9655" i="1"/>
  <c r="B9655" i="1"/>
  <c r="A9656" i="1"/>
  <c r="B9656" i="1"/>
  <c r="A9657" i="1"/>
  <c r="B9657" i="1"/>
  <c r="A9658" i="1"/>
  <c r="B9658" i="1"/>
  <c r="A9659" i="1"/>
  <c r="B9659" i="1"/>
  <c r="A9660" i="1"/>
  <c r="B9660" i="1"/>
  <c r="A9661" i="1"/>
  <c r="B9661" i="1"/>
  <c r="A9662" i="1"/>
  <c r="B9662" i="1"/>
  <c r="A9663" i="1"/>
  <c r="B9663" i="1"/>
  <c r="A9664" i="1"/>
  <c r="B9664" i="1"/>
  <c r="A9665" i="1"/>
  <c r="B9665" i="1"/>
  <c r="A9666" i="1"/>
  <c r="B9666" i="1"/>
  <c r="A9667" i="1"/>
  <c r="B9667" i="1"/>
  <c r="A9668" i="1"/>
  <c r="B9668" i="1"/>
  <c r="A9669" i="1"/>
  <c r="B9669" i="1"/>
  <c r="A9670" i="1"/>
  <c r="B9670" i="1"/>
  <c r="A9671" i="1"/>
  <c r="B9671" i="1"/>
  <c r="A9672" i="1"/>
  <c r="B9672" i="1"/>
  <c r="A9673" i="1"/>
  <c r="B9673" i="1"/>
  <c r="A9674" i="1"/>
  <c r="B9674" i="1"/>
  <c r="A9675" i="1"/>
  <c r="B9675" i="1"/>
  <c r="A9676" i="1"/>
  <c r="B9676" i="1"/>
  <c r="A9677" i="1"/>
  <c r="B9677" i="1"/>
  <c r="A9678" i="1"/>
  <c r="B9678" i="1"/>
  <c r="A9679" i="1"/>
  <c r="B9679" i="1"/>
  <c r="A9680" i="1"/>
  <c r="B9680" i="1"/>
  <c r="A9681" i="1"/>
  <c r="B9681" i="1"/>
  <c r="A9682" i="1"/>
  <c r="B9682" i="1"/>
  <c r="A9683" i="1"/>
  <c r="B9683" i="1"/>
  <c r="A9684" i="1"/>
  <c r="B9684" i="1"/>
  <c r="A9685" i="1"/>
  <c r="B9685" i="1"/>
  <c r="A9686" i="1"/>
  <c r="B9686" i="1"/>
  <c r="A9687" i="1"/>
  <c r="B9687" i="1"/>
  <c r="A9688" i="1"/>
  <c r="B9688" i="1"/>
  <c r="A9689" i="1"/>
  <c r="B9689" i="1"/>
  <c r="A9690" i="1"/>
  <c r="B9690" i="1"/>
  <c r="A9691" i="1"/>
  <c r="B9691" i="1"/>
  <c r="A9692" i="1"/>
  <c r="B9692" i="1"/>
  <c r="A9693" i="1"/>
  <c r="B9693" i="1"/>
  <c r="A9694" i="1"/>
  <c r="B9694" i="1"/>
  <c r="A9695" i="1"/>
  <c r="B9695" i="1"/>
  <c r="A9696" i="1"/>
  <c r="B9696" i="1"/>
  <c r="A9697" i="1"/>
  <c r="B9697" i="1"/>
  <c r="A9698" i="1"/>
  <c r="B9698" i="1"/>
  <c r="A9699" i="1"/>
  <c r="B9699" i="1"/>
  <c r="A9700" i="1"/>
  <c r="B9700" i="1"/>
  <c r="A9701" i="1"/>
  <c r="B9701" i="1"/>
  <c r="A9702" i="1"/>
  <c r="B9702" i="1"/>
  <c r="A9703" i="1"/>
  <c r="B9703" i="1"/>
  <c r="A9704" i="1"/>
  <c r="B9704" i="1"/>
  <c r="A9705" i="1"/>
  <c r="B9705" i="1"/>
  <c r="A9706" i="1"/>
  <c r="B9706" i="1"/>
  <c r="A9707" i="1"/>
  <c r="B9707" i="1"/>
  <c r="A9708" i="1"/>
  <c r="B9708" i="1"/>
  <c r="A9709" i="1"/>
  <c r="B9709" i="1"/>
  <c r="A9710" i="1"/>
  <c r="B9710" i="1"/>
  <c r="A9711" i="1"/>
  <c r="B9711" i="1"/>
  <c r="A9712" i="1"/>
  <c r="B9712" i="1"/>
  <c r="A9713" i="1"/>
  <c r="B9713" i="1"/>
  <c r="A9714" i="1"/>
  <c r="B9714" i="1"/>
  <c r="A9715" i="1"/>
  <c r="B9715" i="1"/>
  <c r="A9716" i="1"/>
  <c r="B9716" i="1"/>
  <c r="A9717" i="1"/>
  <c r="B9717" i="1"/>
  <c r="A9718" i="1"/>
  <c r="B9718" i="1"/>
  <c r="A9719" i="1"/>
  <c r="B9719" i="1"/>
  <c r="A9720" i="1"/>
  <c r="B9720" i="1"/>
  <c r="A9721" i="1"/>
  <c r="B9721" i="1"/>
  <c r="A9722" i="1"/>
  <c r="B9722" i="1"/>
  <c r="A9723" i="1"/>
  <c r="B9723" i="1"/>
  <c r="A9724" i="1"/>
  <c r="B9724" i="1"/>
  <c r="A9725" i="1"/>
  <c r="B9725" i="1"/>
  <c r="A9726" i="1"/>
  <c r="B9726" i="1"/>
  <c r="A9727" i="1"/>
  <c r="B9727" i="1"/>
  <c r="A9728" i="1"/>
  <c r="B9728" i="1"/>
  <c r="A9729" i="1"/>
  <c r="B9729" i="1"/>
  <c r="A9730" i="1"/>
  <c r="B9730" i="1"/>
  <c r="A9731" i="1"/>
  <c r="B9731" i="1"/>
  <c r="A9732" i="1"/>
  <c r="B9732" i="1"/>
  <c r="A9733" i="1"/>
  <c r="B9733" i="1"/>
  <c r="A9734" i="1"/>
  <c r="B9734" i="1"/>
  <c r="A9735" i="1"/>
  <c r="B9735" i="1"/>
  <c r="A9736" i="1"/>
  <c r="B9736" i="1"/>
  <c r="A9737" i="1"/>
  <c r="B9737" i="1"/>
  <c r="A9738" i="1"/>
  <c r="B9738" i="1"/>
  <c r="A9739" i="1"/>
  <c r="B9739" i="1"/>
  <c r="A9740" i="1"/>
  <c r="B9740" i="1"/>
  <c r="A9741" i="1"/>
  <c r="B9741" i="1"/>
  <c r="A9742" i="1"/>
  <c r="B9742" i="1"/>
  <c r="A9743" i="1"/>
  <c r="B9743" i="1"/>
  <c r="A9744" i="1"/>
  <c r="B9744" i="1"/>
  <c r="A9745" i="1"/>
  <c r="B9745" i="1"/>
  <c r="A9746" i="1"/>
  <c r="B9746" i="1"/>
  <c r="A9747" i="1"/>
  <c r="B9747" i="1"/>
  <c r="A9748" i="1"/>
  <c r="B9748" i="1"/>
  <c r="A9749" i="1"/>
  <c r="B9749" i="1"/>
  <c r="A9750" i="1"/>
  <c r="B9750" i="1"/>
  <c r="A9751" i="1"/>
  <c r="B9751" i="1"/>
  <c r="A9752" i="1"/>
  <c r="B9752" i="1"/>
  <c r="A9753" i="1"/>
  <c r="B9753" i="1"/>
  <c r="A9754" i="1"/>
  <c r="B9754" i="1"/>
  <c r="A9755" i="1"/>
  <c r="B9755" i="1"/>
  <c r="A9756" i="1"/>
  <c r="B9756" i="1"/>
  <c r="A9757" i="1"/>
  <c r="B9757" i="1"/>
  <c r="A9758" i="1"/>
  <c r="B9758" i="1"/>
  <c r="A9759" i="1"/>
  <c r="B9759" i="1"/>
  <c r="A9760" i="1"/>
  <c r="B9760" i="1"/>
  <c r="A9761" i="1"/>
  <c r="B9761" i="1"/>
  <c r="A9762" i="1"/>
  <c r="B9762" i="1"/>
  <c r="A9763" i="1"/>
  <c r="B9763" i="1"/>
  <c r="A9764" i="1"/>
  <c r="B9764" i="1"/>
  <c r="A9765" i="1"/>
  <c r="B9765" i="1"/>
  <c r="A9766" i="1"/>
  <c r="B9766" i="1"/>
  <c r="A9767" i="1"/>
  <c r="B9767" i="1"/>
  <c r="A9768" i="1"/>
  <c r="B9768" i="1"/>
  <c r="A9769" i="1"/>
  <c r="B9769" i="1"/>
  <c r="A9770" i="1"/>
  <c r="B9770" i="1"/>
  <c r="A9771" i="1"/>
  <c r="B9771" i="1"/>
  <c r="A9772" i="1"/>
  <c r="B9772" i="1"/>
  <c r="A9773" i="1"/>
  <c r="B9773" i="1"/>
  <c r="A9774" i="1"/>
  <c r="B9774" i="1"/>
  <c r="A9775" i="1"/>
  <c r="B9775" i="1"/>
  <c r="A9776" i="1"/>
  <c r="B9776" i="1"/>
  <c r="A9777" i="1"/>
  <c r="B9777" i="1"/>
  <c r="A9778" i="1"/>
  <c r="B9778" i="1"/>
  <c r="A9779" i="1"/>
  <c r="B9779" i="1"/>
  <c r="A9780" i="1"/>
  <c r="B9780" i="1"/>
  <c r="A9781" i="1"/>
  <c r="B9781" i="1"/>
  <c r="A9782" i="1"/>
  <c r="B9782" i="1"/>
  <c r="A9783" i="1"/>
  <c r="B9783" i="1"/>
  <c r="A9784" i="1"/>
  <c r="B9784" i="1"/>
  <c r="A9785" i="1"/>
  <c r="B9785" i="1"/>
  <c r="A9786" i="1"/>
  <c r="B9786" i="1"/>
  <c r="A9787" i="1"/>
  <c r="B9787" i="1"/>
  <c r="A9788" i="1"/>
  <c r="B9788" i="1"/>
  <c r="A9789" i="1"/>
  <c r="B9789" i="1"/>
  <c r="A9790" i="1"/>
  <c r="B9790" i="1"/>
  <c r="A9791" i="1"/>
  <c r="B9791" i="1"/>
  <c r="A9792" i="1"/>
  <c r="B9792" i="1"/>
  <c r="A9793" i="1"/>
  <c r="B9793" i="1"/>
  <c r="A9794" i="1"/>
  <c r="B9794" i="1"/>
  <c r="A9795" i="1"/>
  <c r="B9795" i="1"/>
  <c r="A9796" i="1"/>
  <c r="B9796" i="1"/>
  <c r="A9797" i="1"/>
  <c r="B9797" i="1"/>
  <c r="A9798" i="1"/>
  <c r="B9798" i="1"/>
  <c r="A9799" i="1"/>
  <c r="B9799" i="1"/>
  <c r="A9800" i="1"/>
  <c r="B9800" i="1"/>
  <c r="A9801" i="1"/>
  <c r="B9801" i="1"/>
  <c r="A9802" i="1"/>
  <c r="B9802" i="1"/>
  <c r="A9803" i="1"/>
  <c r="B9803" i="1"/>
  <c r="A9804" i="1"/>
  <c r="B9804" i="1"/>
  <c r="A9805" i="1"/>
  <c r="B9805" i="1"/>
  <c r="A9806" i="1"/>
  <c r="B9806" i="1"/>
  <c r="A9807" i="1"/>
  <c r="B9807" i="1"/>
  <c r="A9808" i="1"/>
  <c r="B9808" i="1"/>
  <c r="A9809" i="1"/>
  <c r="B9809" i="1"/>
  <c r="A9810" i="1"/>
  <c r="B9810" i="1"/>
  <c r="A9811" i="1"/>
  <c r="B9811" i="1"/>
  <c r="A9812" i="1"/>
  <c r="B9812" i="1"/>
  <c r="A9813" i="1"/>
  <c r="B9813" i="1"/>
  <c r="A9814" i="1"/>
  <c r="B9814" i="1"/>
  <c r="A9815" i="1"/>
  <c r="B9815" i="1"/>
  <c r="A9816" i="1"/>
  <c r="B9816" i="1"/>
  <c r="A9817" i="1"/>
  <c r="B9817" i="1"/>
  <c r="A9818" i="1"/>
  <c r="B9818" i="1"/>
  <c r="A9819" i="1"/>
  <c r="B9819" i="1"/>
  <c r="A9820" i="1"/>
  <c r="B9820" i="1"/>
  <c r="A9821" i="1"/>
  <c r="B9821" i="1"/>
  <c r="A9822" i="1"/>
  <c r="B9822" i="1"/>
  <c r="A9823" i="1"/>
  <c r="B9823" i="1"/>
  <c r="A9824" i="1"/>
  <c r="B9824" i="1"/>
  <c r="A9825" i="1"/>
  <c r="B9825" i="1"/>
  <c r="A9826" i="1"/>
  <c r="B9826" i="1"/>
  <c r="A9827" i="1"/>
  <c r="B9827" i="1"/>
  <c r="A9828" i="1"/>
  <c r="B9828" i="1"/>
  <c r="A9829" i="1"/>
  <c r="B9829" i="1"/>
  <c r="A9830" i="1"/>
  <c r="B9830" i="1"/>
  <c r="A9831" i="1"/>
  <c r="B9831" i="1"/>
  <c r="A9832" i="1"/>
  <c r="B9832" i="1"/>
  <c r="A9833" i="1"/>
  <c r="B9833" i="1"/>
  <c r="A9834" i="1"/>
  <c r="B9834" i="1"/>
  <c r="A9835" i="1"/>
  <c r="B9835" i="1"/>
  <c r="A9836" i="1"/>
  <c r="B9836" i="1"/>
  <c r="A9837" i="1"/>
  <c r="B9837" i="1"/>
  <c r="A9838" i="1"/>
  <c r="B9838" i="1"/>
  <c r="A9839" i="1"/>
  <c r="B9839" i="1"/>
  <c r="A9840" i="1"/>
  <c r="B9840" i="1"/>
  <c r="A9841" i="1"/>
  <c r="B9841" i="1"/>
  <c r="A9842" i="1"/>
  <c r="B9842" i="1"/>
  <c r="A9843" i="1"/>
  <c r="B9843" i="1"/>
  <c r="A9844" i="1"/>
  <c r="B9844" i="1"/>
  <c r="A9845" i="1"/>
  <c r="B9845" i="1"/>
  <c r="A9846" i="1"/>
  <c r="B9846" i="1"/>
  <c r="A9847" i="1"/>
  <c r="B9847" i="1"/>
  <c r="A9848" i="1"/>
  <c r="B9848" i="1"/>
  <c r="A9849" i="1"/>
  <c r="B9849" i="1"/>
  <c r="A9850" i="1"/>
  <c r="B9850" i="1"/>
  <c r="A9851" i="1"/>
  <c r="B9851" i="1"/>
  <c r="A9852" i="1"/>
  <c r="B9852" i="1"/>
  <c r="A9853" i="1"/>
  <c r="B9853" i="1"/>
  <c r="A9854" i="1"/>
  <c r="B9854" i="1"/>
  <c r="A9855" i="1"/>
  <c r="B9855" i="1"/>
  <c r="A9856" i="1"/>
  <c r="B9856" i="1"/>
  <c r="A9857" i="1"/>
  <c r="B9857" i="1"/>
  <c r="A9858" i="1"/>
  <c r="B9858" i="1"/>
  <c r="A9859" i="1"/>
  <c r="B9859" i="1"/>
  <c r="A9860" i="1"/>
  <c r="B9860" i="1"/>
  <c r="A9861" i="1"/>
  <c r="B9861" i="1"/>
  <c r="A9862" i="1"/>
  <c r="B9862" i="1"/>
  <c r="A9863" i="1"/>
  <c r="B9863" i="1"/>
  <c r="A9864" i="1"/>
  <c r="B9864" i="1"/>
  <c r="A9865" i="1"/>
  <c r="B9865" i="1"/>
  <c r="A9866" i="1"/>
  <c r="B9866" i="1"/>
  <c r="A9867" i="1"/>
  <c r="B9867" i="1"/>
  <c r="A9868" i="1"/>
  <c r="B9868" i="1"/>
  <c r="A9869" i="1"/>
  <c r="B9869" i="1"/>
  <c r="A9870" i="1"/>
  <c r="B9870" i="1"/>
  <c r="A9871" i="1"/>
  <c r="B9871" i="1"/>
  <c r="A9872" i="1"/>
  <c r="B9872" i="1"/>
  <c r="A9873" i="1"/>
  <c r="B9873" i="1"/>
  <c r="A9874" i="1"/>
  <c r="B9874" i="1"/>
  <c r="A9875" i="1"/>
  <c r="B9875" i="1"/>
  <c r="A9876" i="1"/>
  <c r="B9876" i="1"/>
  <c r="A9877" i="1"/>
  <c r="B9877" i="1"/>
  <c r="A9878" i="1"/>
  <c r="B9878" i="1"/>
  <c r="A9879" i="1"/>
  <c r="B9879" i="1"/>
  <c r="A9880" i="1"/>
  <c r="B9880" i="1"/>
  <c r="A9881" i="1"/>
  <c r="B9881" i="1"/>
  <c r="A9882" i="1"/>
  <c r="B9882" i="1"/>
  <c r="A9883" i="1"/>
  <c r="B9883" i="1"/>
  <c r="A9884" i="1"/>
  <c r="B9884" i="1"/>
  <c r="A9885" i="1"/>
  <c r="B9885" i="1"/>
  <c r="A9886" i="1"/>
  <c r="B9886" i="1"/>
  <c r="A9887" i="1"/>
  <c r="B9887" i="1"/>
  <c r="A9888" i="1"/>
  <c r="B9888" i="1"/>
  <c r="A9889" i="1"/>
  <c r="B9889" i="1"/>
  <c r="A9890" i="1"/>
  <c r="B9890" i="1"/>
  <c r="A9891" i="1"/>
  <c r="B9891" i="1"/>
  <c r="A9892" i="1"/>
  <c r="B9892" i="1"/>
  <c r="A9893" i="1"/>
  <c r="B9893" i="1"/>
  <c r="A9894" i="1"/>
  <c r="B9894" i="1"/>
  <c r="A9895" i="1"/>
  <c r="B9895" i="1"/>
  <c r="A9896" i="1"/>
  <c r="B9896" i="1"/>
  <c r="A9897" i="1"/>
  <c r="B9897" i="1"/>
  <c r="A9898" i="1"/>
  <c r="B9898" i="1"/>
  <c r="A9899" i="1"/>
  <c r="B9899" i="1"/>
  <c r="A9900" i="1"/>
  <c r="B9900" i="1"/>
  <c r="A9901" i="1"/>
  <c r="B9901" i="1"/>
  <c r="A9902" i="1"/>
  <c r="B9902" i="1"/>
  <c r="A9903" i="1"/>
  <c r="B9903" i="1"/>
  <c r="A9904" i="1"/>
  <c r="B9904" i="1"/>
  <c r="A9905" i="1"/>
  <c r="B9905" i="1"/>
  <c r="A9906" i="1"/>
  <c r="B9906" i="1"/>
  <c r="A9907" i="1"/>
  <c r="B9907" i="1"/>
  <c r="A9908" i="1"/>
  <c r="B9908" i="1"/>
  <c r="A9909" i="1"/>
  <c r="B9909" i="1"/>
  <c r="A9910" i="1"/>
  <c r="B9910" i="1"/>
  <c r="A9911" i="1"/>
  <c r="B9911" i="1"/>
  <c r="A9912" i="1"/>
  <c r="B9912" i="1"/>
  <c r="A9913" i="1"/>
  <c r="B9913" i="1"/>
  <c r="A9914" i="1"/>
  <c r="B9914" i="1"/>
  <c r="A9915" i="1"/>
  <c r="B9915" i="1"/>
  <c r="A9916" i="1"/>
  <c r="B9916" i="1"/>
  <c r="A9917" i="1"/>
  <c r="B9917" i="1"/>
  <c r="A9918" i="1"/>
  <c r="B9918" i="1"/>
  <c r="A9919" i="1"/>
  <c r="B9919" i="1"/>
  <c r="A9920" i="1"/>
  <c r="B9920" i="1"/>
  <c r="A9921" i="1"/>
  <c r="B9921" i="1"/>
  <c r="A9922" i="1"/>
  <c r="B9922" i="1"/>
  <c r="A9923" i="1"/>
  <c r="B9923" i="1"/>
  <c r="A9924" i="1"/>
  <c r="B9924" i="1"/>
  <c r="A9925" i="1"/>
  <c r="B9925" i="1"/>
  <c r="A9926" i="1"/>
  <c r="B9926" i="1"/>
  <c r="A9927" i="1"/>
  <c r="B9927" i="1"/>
  <c r="A9928" i="1"/>
  <c r="B9928" i="1"/>
  <c r="A9929" i="1"/>
  <c r="B9929" i="1"/>
  <c r="A9930" i="1"/>
  <c r="B9930" i="1"/>
  <c r="A9931" i="1"/>
  <c r="B9931" i="1"/>
  <c r="A9932" i="1"/>
  <c r="B9932" i="1"/>
  <c r="A9933" i="1"/>
  <c r="B9933" i="1"/>
  <c r="A9934" i="1"/>
  <c r="B9934" i="1"/>
  <c r="A9935" i="1"/>
  <c r="B9935" i="1"/>
  <c r="A9936" i="1"/>
  <c r="B9936" i="1"/>
  <c r="A9937" i="1"/>
  <c r="B9937" i="1"/>
  <c r="A9938" i="1"/>
  <c r="B9938" i="1"/>
  <c r="A9939" i="1"/>
  <c r="B9939" i="1"/>
  <c r="A9940" i="1"/>
  <c r="B9940" i="1"/>
  <c r="A9941" i="1"/>
  <c r="B9941" i="1"/>
  <c r="A9942" i="1"/>
  <c r="B9942" i="1"/>
  <c r="A9943" i="1"/>
  <c r="B9943" i="1"/>
  <c r="A9944" i="1"/>
  <c r="B9944" i="1"/>
  <c r="A9945" i="1"/>
  <c r="B9945" i="1"/>
  <c r="A9946" i="1"/>
  <c r="B9946" i="1"/>
  <c r="A9947" i="1"/>
  <c r="B9947" i="1"/>
  <c r="A9948" i="1"/>
  <c r="B9948" i="1"/>
  <c r="A9949" i="1"/>
  <c r="B9949" i="1"/>
  <c r="A9950" i="1"/>
  <c r="B9950" i="1"/>
  <c r="A9951" i="1"/>
  <c r="B9951" i="1"/>
  <c r="A9952" i="1"/>
  <c r="B9952" i="1"/>
  <c r="A9953" i="1"/>
  <c r="B9953" i="1"/>
  <c r="A9954" i="1"/>
  <c r="B9954" i="1"/>
  <c r="A9955" i="1"/>
  <c r="B9955" i="1"/>
  <c r="A9956" i="1"/>
  <c r="B9956" i="1"/>
  <c r="A9957" i="1"/>
  <c r="B9957" i="1"/>
  <c r="A9958" i="1"/>
  <c r="B9958" i="1"/>
  <c r="A9959" i="1"/>
  <c r="B9959" i="1"/>
  <c r="A9960" i="1"/>
  <c r="B9960" i="1"/>
  <c r="A9961" i="1"/>
  <c r="B9961" i="1"/>
  <c r="A9962" i="1"/>
  <c r="B9962" i="1"/>
  <c r="A9963" i="1"/>
  <c r="B9963" i="1"/>
  <c r="A9964" i="1"/>
  <c r="B9964" i="1"/>
  <c r="A9965" i="1"/>
  <c r="B9965" i="1"/>
  <c r="A9966" i="1"/>
  <c r="B9966" i="1"/>
  <c r="A9967" i="1"/>
  <c r="B9967" i="1"/>
  <c r="A9968" i="1"/>
  <c r="B9968" i="1"/>
  <c r="A9969" i="1"/>
  <c r="B9969" i="1"/>
  <c r="A9970" i="1"/>
  <c r="B9970" i="1"/>
  <c r="A9971" i="1"/>
  <c r="B9971" i="1"/>
  <c r="A9972" i="1"/>
  <c r="B9972" i="1"/>
  <c r="A9973" i="1"/>
  <c r="B9973" i="1"/>
  <c r="A9974" i="1"/>
  <c r="B9974" i="1"/>
  <c r="A9975" i="1"/>
  <c r="B9975" i="1"/>
  <c r="A9976" i="1"/>
  <c r="B9976" i="1"/>
  <c r="A9977" i="1"/>
  <c r="B9977" i="1"/>
  <c r="A9978" i="1"/>
  <c r="B9978" i="1"/>
  <c r="A9979" i="1"/>
  <c r="B9979" i="1"/>
  <c r="A9980" i="1"/>
  <c r="B9980" i="1"/>
  <c r="A9981" i="1"/>
  <c r="B9981" i="1"/>
  <c r="A9982" i="1"/>
  <c r="B9982" i="1"/>
  <c r="A9983" i="1"/>
  <c r="B9983" i="1"/>
  <c r="A9984" i="1"/>
  <c r="B9984" i="1"/>
  <c r="A9985" i="1"/>
  <c r="B9985" i="1"/>
  <c r="A9986" i="1"/>
  <c r="B9986" i="1"/>
  <c r="A9987" i="1"/>
  <c r="B9987" i="1"/>
  <c r="A9988" i="1"/>
  <c r="B9988" i="1"/>
  <c r="A9989" i="1"/>
  <c r="B9989" i="1"/>
  <c r="A9990" i="1"/>
  <c r="B9990" i="1"/>
  <c r="A9991" i="1"/>
  <c r="B9991" i="1"/>
  <c r="A9992" i="1"/>
  <c r="B9992" i="1"/>
  <c r="A9993" i="1"/>
  <c r="B9993" i="1"/>
  <c r="A9994" i="1"/>
  <c r="B9994" i="1"/>
  <c r="A9995" i="1"/>
  <c r="B9995" i="1"/>
  <c r="A9996" i="1"/>
  <c r="B9996" i="1"/>
  <c r="A9997" i="1"/>
  <c r="B9997" i="1"/>
  <c r="A9998" i="1"/>
  <c r="B9998" i="1"/>
  <c r="A9999" i="1"/>
  <c r="B9999" i="1"/>
  <c r="A10000" i="1"/>
  <c r="B10000" i="1"/>
  <c r="A10001" i="1"/>
  <c r="B10001" i="1"/>
  <c r="A10002" i="1"/>
  <c r="B10002" i="1"/>
  <c r="A10003" i="1"/>
  <c r="B10003" i="1"/>
  <c r="A10004" i="1"/>
  <c r="B10004" i="1"/>
  <c r="A10005" i="1"/>
  <c r="B10005" i="1"/>
  <c r="A10006" i="1"/>
  <c r="B10006" i="1"/>
  <c r="A10007" i="1"/>
  <c r="B10007" i="1"/>
  <c r="A10008" i="1"/>
  <c r="B10008" i="1"/>
  <c r="A10009" i="1"/>
  <c r="B10009" i="1"/>
  <c r="A10010" i="1"/>
  <c r="B10010" i="1"/>
  <c r="A10011" i="1"/>
  <c r="B10011" i="1"/>
  <c r="A10012" i="1"/>
  <c r="B10012" i="1"/>
  <c r="A10013" i="1"/>
  <c r="B10013" i="1"/>
  <c r="A10014" i="1"/>
  <c r="B10014" i="1"/>
  <c r="A10015" i="1"/>
  <c r="B10015" i="1"/>
  <c r="A10016" i="1"/>
  <c r="B10016" i="1"/>
  <c r="A10017" i="1"/>
  <c r="B10017" i="1"/>
  <c r="A10018" i="1"/>
  <c r="B10018" i="1"/>
  <c r="A10019" i="1"/>
  <c r="B10019" i="1"/>
  <c r="A10020" i="1"/>
  <c r="B10020" i="1"/>
  <c r="A10021" i="1"/>
  <c r="B10021" i="1"/>
  <c r="A10022" i="1"/>
  <c r="B10022" i="1"/>
  <c r="A10023" i="1"/>
  <c r="B10023" i="1"/>
  <c r="A10024" i="1"/>
  <c r="B10024" i="1"/>
  <c r="A10025" i="1"/>
  <c r="B10025" i="1"/>
  <c r="A10026" i="1"/>
  <c r="B10026" i="1"/>
  <c r="A10027" i="1"/>
  <c r="B10027" i="1"/>
  <c r="A10028" i="1"/>
  <c r="B10028" i="1"/>
  <c r="A10029" i="1"/>
  <c r="B10029" i="1"/>
  <c r="A10030" i="1"/>
  <c r="B10030" i="1"/>
  <c r="A10031" i="1"/>
  <c r="B10031" i="1"/>
  <c r="A10032" i="1"/>
  <c r="B10032" i="1"/>
  <c r="A10033" i="1"/>
  <c r="B10033" i="1"/>
  <c r="A10034" i="1"/>
  <c r="B10034" i="1"/>
  <c r="A10035" i="1"/>
  <c r="B10035" i="1"/>
  <c r="A10036" i="1"/>
  <c r="B10036" i="1"/>
  <c r="A10037" i="1"/>
  <c r="B10037" i="1"/>
  <c r="A10038" i="1"/>
  <c r="B10038" i="1"/>
  <c r="A10039" i="1"/>
  <c r="B10039" i="1"/>
  <c r="A10040" i="1"/>
  <c r="B10040" i="1"/>
  <c r="A10041" i="1"/>
  <c r="B10041" i="1"/>
  <c r="A10042" i="1"/>
  <c r="B10042" i="1"/>
  <c r="A10043" i="1"/>
  <c r="B10043" i="1"/>
  <c r="A10044" i="1"/>
  <c r="B10044" i="1"/>
  <c r="A10045" i="1"/>
  <c r="B10045" i="1"/>
  <c r="A10046" i="1"/>
  <c r="B10046" i="1"/>
  <c r="A10047" i="1"/>
  <c r="B10047" i="1"/>
  <c r="A10048" i="1"/>
  <c r="B10048" i="1"/>
  <c r="A10049" i="1"/>
  <c r="B10049" i="1"/>
  <c r="A10050" i="1"/>
  <c r="B10050" i="1"/>
  <c r="A10051" i="1"/>
  <c r="B10051" i="1"/>
  <c r="A10052" i="1"/>
  <c r="B10052" i="1"/>
  <c r="A10053" i="1"/>
  <c r="B10053" i="1"/>
  <c r="A10054" i="1"/>
  <c r="B10054" i="1"/>
  <c r="A10055" i="1"/>
  <c r="B10055" i="1"/>
  <c r="A10056" i="1"/>
  <c r="B10056" i="1"/>
  <c r="A10057" i="1"/>
  <c r="B10057" i="1"/>
  <c r="A10058" i="1"/>
  <c r="B10058" i="1"/>
  <c r="A10059" i="1"/>
  <c r="B10059" i="1"/>
  <c r="A10060" i="1"/>
  <c r="B10060" i="1"/>
  <c r="A10061" i="1"/>
  <c r="B10061" i="1"/>
  <c r="A10062" i="1"/>
  <c r="B10062" i="1"/>
  <c r="A10063" i="1"/>
  <c r="B10063" i="1"/>
  <c r="A10064" i="1"/>
  <c r="B10064" i="1"/>
  <c r="A10065" i="1"/>
  <c r="B10065" i="1"/>
  <c r="A10066" i="1"/>
  <c r="B10066" i="1"/>
  <c r="A10067" i="1"/>
  <c r="B10067" i="1"/>
  <c r="A10068" i="1"/>
  <c r="B10068" i="1"/>
  <c r="A10069" i="1"/>
  <c r="B10069" i="1"/>
  <c r="A10070" i="1"/>
  <c r="B10070" i="1"/>
  <c r="A10071" i="1"/>
  <c r="B10071" i="1"/>
  <c r="A10072" i="1"/>
  <c r="B10072" i="1"/>
  <c r="A10073" i="1"/>
  <c r="B10073" i="1"/>
  <c r="A10074" i="1"/>
  <c r="B10074" i="1"/>
  <c r="A10075" i="1"/>
  <c r="B10075" i="1"/>
  <c r="A10076" i="1"/>
  <c r="B10076" i="1"/>
  <c r="A10077" i="1"/>
  <c r="B10077" i="1"/>
  <c r="A10078" i="1"/>
  <c r="B10078" i="1"/>
  <c r="A10079" i="1"/>
  <c r="B10079" i="1"/>
  <c r="A10080" i="1"/>
  <c r="B10080" i="1"/>
  <c r="A10081" i="1"/>
  <c r="B10081" i="1"/>
  <c r="A10082" i="1"/>
  <c r="B10082" i="1"/>
  <c r="A10083" i="1"/>
  <c r="B10083" i="1"/>
  <c r="A10084" i="1"/>
  <c r="B10084" i="1"/>
  <c r="A10085" i="1"/>
  <c r="B10085" i="1"/>
  <c r="A10086" i="1"/>
  <c r="B10086" i="1"/>
  <c r="A10087" i="1"/>
  <c r="B10087" i="1"/>
  <c r="A10088" i="1"/>
  <c r="B10088" i="1"/>
  <c r="A10089" i="1"/>
  <c r="B10089" i="1"/>
  <c r="A10090" i="1"/>
  <c r="B10090" i="1"/>
  <c r="A10091" i="1"/>
  <c r="B10091" i="1"/>
  <c r="A10092" i="1"/>
  <c r="B10092" i="1"/>
  <c r="A10093" i="1"/>
  <c r="B10093" i="1"/>
  <c r="A10094" i="1"/>
  <c r="B10094" i="1"/>
  <c r="A10095" i="1"/>
  <c r="B10095" i="1"/>
  <c r="A10096" i="1"/>
  <c r="B10096" i="1"/>
  <c r="A10097" i="1"/>
  <c r="B10097" i="1"/>
  <c r="A10098" i="1"/>
  <c r="B10098" i="1"/>
  <c r="A10099" i="1"/>
  <c r="B10099" i="1"/>
  <c r="A10100" i="1"/>
  <c r="B10100" i="1"/>
  <c r="A10101" i="1"/>
  <c r="B10101" i="1"/>
  <c r="A10102" i="1"/>
  <c r="B10102" i="1"/>
  <c r="A10103" i="1"/>
  <c r="B10103" i="1"/>
  <c r="A10104" i="1"/>
  <c r="B10104" i="1"/>
  <c r="A10105" i="1"/>
  <c r="B10105" i="1"/>
  <c r="A10106" i="1"/>
  <c r="B10106" i="1"/>
  <c r="A10107" i="1"/>
  <c r="B10107" i="1"/>
  <c r="A10108" i="1"/>
  <c r="B10108" i="1"/>
  <c r="A10109" i="1"/>
  <c r="B10109" i="1"/>
  <c r="A10110" i="1"/>
  <c r="B10110" i="1"/>
  <c r="A10111" i="1"/>
  <c r="B10111" i="1"/>
  <c r="A10112" i="1"/>
  <c r="B10112" i="1"/>
  <c r="A10113" i="1"/>
  <c r="B10113" i="1"/>
  <c r="A10114" i="1"/>
  <c r="B10114" i="1"/>
  <c r="A10115" i="1"/>
  <c r="B10115" i="1"/>
  <c r="A10116" i="1"/>
  <c r="B10116" i="1"/>
  <c r="A10117" i="1"/>
  <c r="B10117" i="1"/>
  <c r="A10118" i="1"/>
  <c r="B10118" i="1"/>
  <c r="A10119" i="1"/>
  <c r="B10119" i="1"/>
  <c r="A10120" i="1"/>
  <c r="B10120" i="1"/>
  <c r="A10121" i="1"/>
  <c r="B10121" i="1"/>
  <c r="A10122" i="1"/>
  <c r="B10122" i="1"/>
  <c r="A10123" i="1"/>
  <c r="B10123" i="1"/>
  <c r="A10124" i="1"/>
  <c r="B10124" i="1"/>
  <c r="A10125" i="1"/>
  <c r="B10125" i="1"/>
  <c r="A10126" i="1"/>
  <c r="B10126" i="1"/>
  <c r="A10127" i="1"/>
  <c r="B10127" i="1"/>
  <c r="A10128" i="1"/>
  <c r="B10128" i="1"/>
  <c r="A10129" i="1"/>
  <c r="B10129" i="1"/>
  <c r="A10130" i="1"/>
  <c r="B10130" i="1"/>
  <c r="A10131" i="1"/>
  <c r="B10131" i="1"/>
  <c r="A10132" i="1"/>
  <c r="B10132" i="1"/>
  <c r="A10133" i="1"/>
  <c r="B10133" i="1"/>
  <c r="A10134" i="1"/>
  <c r="B10134" i="1"/>
  <c r="A10135" i="1"/>
  <c r="B10135" i="1"/>
  <c r="A10136" i="1"/>
  <c r="B10136" i="1"/>
  <c r="A10137" i="1"/>
  <c r="B10137" i="1"/>
  <c r="A10138" i="1"/>
  <c r="B10138" i="1"/>
  <c r="A10139" i="1"/>
  <c r="B10139" i="1"/>
  <c r="A10140" i="1"/>
  <c r="B10140" i="1"/>
  <c r="A10141" i="1"/>
  <c r="B10141" i="1"/>
  <c r="A10142" i="1"/>
  <c r="B10142" i="1"/>
  <c r="A10143" i="1"/>
  <c r="B10143" i="1"/>
  <c r="A10144" i="1"/>
  <c r="B10144" i="1"/>
  <c r="A10145" i="1"/>
  <c r="B10145" i="1"/>
  <c r="A10146" i="1"/>
  <c r="B10146" i="1"/>
  <c r="A10147" i="1"/>
  <c r="B10147" i="1"/>
  <c r="A10148" i="1"/>
  <c r="B10148" i="1"/>
  <c r="A10149" i="1"/>
  <c r="B10149" i="1"/>
  <c r="A10150" i="1"/>
  <c r="B10150" i="1"/>
  <c r="A10151" i="1"/>
  <c r="B10151" i="1"/>
  <c r="A10152" i="1"/>
  <c r="B10152" i="1"/>
  <c r="A10153" i="1"/>
  <c r="B10153" i="1"/>
  <c r="A10154" i="1"/>
  <c r="B10154" i="1"/>
  <c r="A10155" i="1"/>
  <c r="B10155" i="1"/>
  <c r="A10156" i="1"/>
  <c r="B10156" i="1"/>
  <c r="A10157" i="1"/>
  <c r="B10157" i="1"/>
  <c r="A10158" i="1"/>
  <c r="B10158" i="1"/>
  <c r="A10159" i="1"/>
  <c r="B10159" i="1"/>
  <c r="A10160" i="1"/>
  <c r="B10160" i="1"/>
  <c r="A10161" i="1"/>
  <c r="B10161" i="1"/>
  <c r="A10162" i="1"/>
  <c r="B10162" i="1"/>
  <c r="A10163" i="1"/>
  <c r="B10163" i="1"/>
  <c r="A10164" i="1"/>
  <c r="B10164" i="1"/>
  <c r="A10165" i="1"/>
  <c r="B10165" i="1"/>
  <c r="A10166" i="1"/>
  <c r="B10166" i="1"/>
  <c r="A10167" i="1"/>
  <c r="B10167" i="1"/>
  <c r="A10168" i="1"/>
  <c r="B10168" i="1"/>
  <c r="A10169" i="1"/>
  <c r="B10169" i="1"/>
  <c r="A10170" i="1"/>
  <c r="B10170" i="1"/>
  <c r="A10171" i="1"/>
  <c r="B10171" i="1"/>
  <c r="A10172" i="1"/>
  <c r="B10172" i="1"/>
  <c r="A10173" i="1"/>
  <c r="B10173" i="1"/>
  <c r="A10174" i="1"/>
  <c r="B10174" i="1"/>
  <c r="A10175" i="1"/>
  <c r="B10175" i="1"/>
  <c r="A10176" i="1"/>
  <c r="B10176" i="1"/>
  <c r="A10177" i="1"/>
  <c r="B10177" i="1"/>
  <c r="A10178" i="1"/>
  <c r="B10178" i="1"/>
  <c r="A10179" i="1"/>
  <c r="B10179" i="1"/>
  <c r="A10180" i="1"/>
  <c r="B10180" i="1"/>
  <c r="A10181" i="1"/>
  <c r="B10181" i="1"/>
  <c r="A10182" i="1"/>
  <c r="B10182" i="1"/>
  <c r="A10183" i="1"/>
  <c r="B10183" i="1"/>
  <c r="A10184" i="1"/>
  <c r="B10184" i="1"/>
  <c r="A10185" i="1"/>
  <c r="B10185" i="1"/>
  <c r="A10186" i="1"/>
  <c r="B10186" i="1"/>
  <c r="A10187" i="1"/>
  <c r="B10187" i="1"/>
  <c r="A10188" i="1"/>
  <c r="B10188" i="1"/>
  <c r="A10189" i="1"/>
  <c r="B10189" i="1"/>
  <c r="A10190" i="1"/>
  <c r="B10190" i="1"/>
  <c r="A10191" i="1"/>
  <c r="B10191" i="1"/>
  <c r="A10192" i="1"/>
  <c r="B10192" i="1"/>
  <c r="A10193" i="1"/>
  <c r="B10193" i="1"/>
  <c r="A10194" i="1"/>
  <c r="B10194" i="1"/>
  <c r="A10195" i="1"/>
  <c r="B10195" i="1"/>
  <c r="A10196" i="1"/>
  <c r="B10196" i="1"/>
  <c r="A10197" i="1"/>
  <c r="B10197" i="1"/>
  <c r="A10198" i="1"/>
  <c r="B10198" i="1"/>
  <c r="A10199" i="1"/>
  <c r="B10199" i="1"/>
  <c r="A10200" i="1"/>
  <c r="B10200" i="1"/>
  <c r="A10201" i="1"/>
  <c r="B10201" i="1"/>
  <c r="A10202" i="1"/>
  <c r="B10202" i="1"/>
  <c r="A10203" i="1"/>
  <c r="B10203" i="1"/>
  <c r="A10204" i="1"/>
  <c r="B10204" i="1"/>
  <c r="A10205" i="1"/>
  <c r="B10205" i="1"/>
  <c r="A10206" i="1"/>
  <c r="B10206" i="1"/>
  <c r="A10207" i="1"/>
  <c r="B10207" i="1"/>
  <c r="A10208" i="1"/>
  <c r="B10208" i="1"/>
  <c r="A10209" i="1"/>
  <c r="B10209" i="1"/>
  <c r="A10210" i="1"/>
  <c r="B10210" i="1"/>
  <c r="A10211" i="1"/>
  <c r="B10211" i="1"/>
  <c r="A10212" i="1"/>
  <c r="B10212" i="1"/>
  <c r="A10213" i="1"/>
  <c r="B10213" i="1"/>
  <c r="A10214" i="1"/>
  <c r="B10214" i="1"/>
  <c r="A10215" i="1"/>
  <c r="B10215" i="1"/>
  <c r="A10216" i="1"/>
  <c r="B10216" i="1"/>
  <c r="A10217" i="1"/>
  <c r="B10217" i="1"/>
  <c r="A10218" i="1"/>
  <c r="B10218" i="1"/>
  <c r="A10219" i="1"/>
  <c r="B10219" i="1"/>
  <c r="A10220" i="1"/>
  <c r="B10220" i="1"/>
  <c r="A10221" i="1"/>
  <c r="B10221" i="1"/>
  <c r="A10222" i="1"/>
  <c r="B10222" i="1"/>
  <c r="A10223" i="1"/>
  <c r="B10223" i="1"/>
  <c r="A10224" i="1"/>
  <c r="B10224" i="1"/>
  <c r="A10225" i="1"/>
  <c r="B10225" i="1"/>
  <c r="A10226" i="1"/>
  <c r="B10226" i="1"/>
  <c r="A10227" i="1"/>
  <c r="B10227" i="1"/>
  <c r="A10228" i="1"/>
  <c r="B10228" i="1"/>
  <c r="A10229" i="1"/>
  <c r="B10229" i="1"/>
  <c r="A10230" i="1"/>
  <c r="B10230" i="1"/>
  <c r="A10231" i="1"/>
  <c r="B10231" i="1"/>
  <c r="A10232" i="1"/>
  <c r="B10232" i="1"/>
  <c r="A10233" i="1"/>
  <c r="B10233" i="1"/>
  <c r="A10234" i="1"/>
  <c r="B10234" i="1"/>
  <c r="A10235" i="1"/>
  <c r="B10235" i="1"/>
  <c r="A10236" i="1"/>
  <c r="B10236" i="1"/>
  <c r="A10237" i="1"/>
  <c r="B10237" i="1"/>
  <c r="A10238" i="1"/>
  <c r="B10238" i="1"/>
  <c r="A10239" i="1"/>
  <c r="B10239" i="1"/>
  <c r="A10240" i="1"/>
  <c r="B10240" i="1"/>
  <c r="A10241" i="1"/>
  <c r="B10241" i="1"/>
  <c r="A10242" i="1"/>
  <c r="B10242" i="1"/>
  <c r="A10243" i="1"/>
  <c r="B10243" i="1"/>
  <c r="A10244" i="1"/>
  <c r="B10244" i="1"/>
  <c r="A10245" i="1"/>
  <c r="B10245" i="1"/>
  <c r="A10246" i="1"/>
  <c r="B10246" i="1"/>
  <c r="A10247" i="1"/>
  <c r="B10247" i="1"/>
  <c r="A10248" i="1"/>
  <c r="B10248" i="1"/>
  <c r="A10249" i="1"/>
  <c r="B10249" i="1"/>
  <c r="A10250" i="1"/>
  <c r="B10250" i="1"/>
  <c r="A10251" i="1"/>
  <c r="B10251" i="1"/>
  <c r="A10252" i="1"/>
  <c r="B10252" i="1"/>
  <c r="A10253" i="1"/>
  <c r="B10253" i="1"/>
  <c r="A10254" i="1"/>
  <c r="B10254" i="1"/>
  <c r="A10255" i="1"/>
  <c r="B10255" i="1"/>
  <c r="A10256" i="1"/>
  <c r="B10256" i="1"/>
  <c r="A10257" i="1"/>
  <c r="B10257" i="1"/>
  <c r="A10258" i="1"/>
  <c r="B10258" i="1"/>
  <c r="A10259" i="1"/>
  <c r="B10259" i="1"/>
  <c r="A10260" i="1"/>
  <c r="B10260" i="1"/>
  <c r="A10261" i="1"/>
  <c r="B10261" i="1"/>
  <c r="A10262" i="1"/>
  <c r="B10262" i="1"/>
  <c r="A10263" i="1"/>
  <c r="B10263" i="1"/>
  <c r="A10264" i="1"/>
  <c r="B10264" i="1"/>
  <c r="A10265" i="1"/>
  <c r="B10265" i="1"/>
  <c r="A10266" i="1"/>
  <c r="B10266" i="1"/>
  <c r="A10267" i="1"/>
  <c r="B10267" i="1"/>
  <c r="A10268" i="1"/>
  <c r="B10268" i="1"/>
  <c r="A10269" i="1"/>
  <c r="B10269" i="1"/>
  <c r="A10270" i="1"/>
  <c r="B10270" i="1"/>
  <c r="A10271" i="1"/>
  <c r="B10271" i="1"/>
  <c r="A10272" i="1"/>
  <c r="B10272" i="1"/>
  <c r="A10273" i="1"/>
  <c r="B10273" i="1"/>
  <c r="A10274" i="1"/>
  <c r="B10274" i="1"/>
  <c r="A10275" i="1"/>
  <c r="B10275" i="1"/>
  <c r="A10276" i="1"/>
  <c r="B10276" i="1"/>
  <c r="A10277" i="1"/>
  <c r="B10277" i="1"/>
  <c r="A10278" i="1"/>
  <c r="B10278" i="1"/>
  <c r="A10279" i="1"/>
  <c r="B10279" i="1"/>
  <c r="A10280" i="1"/>
  <c r="B10280" i="1"/>
  <c r="A10281" i="1"/>
  <c r="B10281" i="1"/>
  <c r="A10282" i="1"/>
  <c r="B10282" i="1"/>
  <c r="A10283" i="1"/>
  <c r="B10283" i="1"/>
  <c r="A10284" i="1"/>
  <c r="B10284" i="1"/>
  <c r="A10285" i="1"/>
  <c r="B10285" i="1"/>
  <c r="A10286" i="1"/>
  <c r="B10286" i="1"/>
  <c r="A10287" i="1"/>
  <c r="B10287" i="1"/>
  <c r="A10288" i="1"/>
  <c r="B10288" i="1"/>
  <c r="A10289" i="1"/>
  <c r="B10289" i="1"/>
  <c r="A10290" i="1"/>
  <c r="B10290" i="1"/>
  <c r="A10291" i="1"/>
  <c r="B10291" i="1"/>
  <c r="A10292" i="1"/>
  <c r="B10292" i="1"/>
  <c r="A10293" i="1"/>
  <c r="B10293" i="1"/>
  <c r="A10294" i="1"/>
  <c r="B10294" i="1"/>
  <c r="A10295" i="1"/>
  <c r="B10295" i="1"/>
  <c r="A10296" i="1"/>
  <c r="B10296" i="1"/>
  <c r="A10297" i="1"/>
  <c r="B10297" i="1"/>
  <c r="A10298" i="1"/>
  <c r="B10298" i="1"/>
  <c r="A10299" i="1"/>
  <c r="B10299" i="1"/>
  <c r="A10300" i="1"/>
  <c r="B10300" i="1"/>
  <c r="A10301" i="1"/>
  <c r="B10301" i="1"/>
  <c r="A10302" i="1"/>
  <c r="B10302" i="1"/>
  <c r="A10303" i="1"/>
  <c r="B10303" i="1"/>
  <c r="A10304" i="1"/>
  <c r="B10304" i="1"/>
  <c r="A10305" i="1"/>
  <c r="B10305" i="1"/>
  <c r="A10306" i="1"/>
  <c r="B10306" i="1"/>
  <c r="A10307" i="1"/>
  <c r="B10307" i="1"/>
  <c r="A10308" i="1"/>
  <c r="B10308" i="1"/>
  <c r="A10309" i="1"/>
  <c r="B10309" i="1"/>
  <c r="A10310" i="1"/>
  <c r="B10310" i="1"/>
  <c r="A10311" i="1"/>
  <c r="B10311" i="1"/>
  <c r="A10312" i="1"/>
  <c r="B10312" i="1"/>
  <c r="A10313" i="1"/>
  <c r="B10313" i="1"/>
  <c r="A10314" i="1"/>
  <c r="B10314" i="1"/>
  <c r="A10315" i="1"/>
  <c r="B10315" i="1"/>
  <c r="A10316" i="1"/>
  <c r="B10316" i="1"/>
  <c r="A10317" i="1"/>
  <c r="B10317" i="1"/>
  <c r="A10318" i="1"/>
  <c r="B10318" i="1"/>
  <c r="A10319" i="1"/>
  <c r="B10319" i="1"/>
  <c r="A10320" i="1"/>
  <c r="B10320" i="1"/>
  <c r="A10321" i="1"/>
  <c r="B10321" i="1"/>
  <c r="A10322" i="1"/>
  <c r="B10322" i="1"/>
  <c r="A10323" i="1"/>
  <c r="B10323" i="1"/>
  <c r="A10324" i="1"/>
  <c r="B10324" i="1"/>
  <c r="A10325" i="1"/>
  <c r="B10325" i="1"/>
  <c r="A10326" i="1"/>
  <c r="B10326" i="1"/>
  <c r="A10327" i="1"/>
  <c r="B10327" i="1"/>
  <c r="A10328" i="1"/>
  <c r="B10328" i="1"/>
  <c r="A10329" i="1"/>
  <c r="B10329" i="1"/>
  <c r="A10330" i="1"/>
  <c r="B10330" i="1"/>
  <c r="A10331" i="1"/>
  <c r="B10331" i="1"/>
  <c r="A10332" i="1"/>
  <c r="B10332" i="1"/>
  <c r="A10333" i="1"/>
  <c r="B10333" i="1"/>
  <c r="A10334" i="1"/>
  <c r="B10334" i="1"/>
  <c r="A10335" i="1"/>
  <c r="B10335" i="1"/>
  <c r="A10336" i="1"/>
  <c r="B10336" i="1"/>
  <c r="A10337" i="1"/>
  <c r="B10337" i="1"/>
  <c r="A10338" i="1"/>
  <c r="B10338" i="1"/>
  <c r="A10339" i="1"/>
  <c r="B10339" i="1"/>
  <c r="A10340" i="1"/>
  <c r="B10340" i="1"/>
  <c r="A10341" i="1"/>
  <c r="B10341" i="1"/>
  <c r="A10342" i="1"/>
  <c r="B10342" i="1"/>
  <c r="A10343" i="1"/>
  <c r="B10343" i="1"/>
  <c r="A10344" i="1"/>
  <c r="B10344" i="1"/>
  <c r="A10345" i="1"/>
  <c r="B10345" i="1"/>
  <c r="A10346" i="1"/>
  <c r="B10346" i="1"/>
  <c r="A10347" i="1"/>
  <c r="B10347" i="1"/>
  <c r="A10348" i="1"/>
  <c r="B10348" i="1"/>
  <c r="A10349" i="1"/>
  <c r="B10349" i="1"/>
  <c r="A10350" i="1"/>
  <c r="B10350" i="1"/>
  <c r="A10351" i="1"/>
  <c r="B10351" i="1"/>
  <c r="A10352" i="1"/>
  <c r="B10352" i="1"/>
  <c r="A10353" i="1"/>
  <c r="B10353" i="1"/>
  <c r="A10354" i="1"/>
  <c r="B10354" i="1"/>
  <c r="A10355" i="1"/>
  <c r="B10355" i="1"/>
  <c r="A10356" i="1"/>
  <c r="B10356" i="1"/>
  <c r="A10357" i="1"/>
  <c r="B10357" i="1"/>
  <c r="A10358" i="1"/>
  <c r="B10358" i="1"/>
  <c r="A10359" i="1"/>
  <c r="B10359" i="1"/>
  <c r="A10360" i="1"/>
  <c r="B10360" i="1"/>
  <c r="A10361" i="1"/>
  <c r="B10361" i="1"/>
  <c r="A10362" i="1"/>
  <c r="B10362" i="1"/>
  <c r="A10363" i="1"/>
  <c r="B10363" i="1"/>
  <c r="A10364" i="1"/>
  <c r="B10364" i="1"/>
  <c r="A10365" i="1"/>
  <c r="B10365" i="1"/>
  <c r="A10366" i="1"/>
  <c r="B10366" i="1"/>
  <c r="A10367" i="1"/>
  <c r="B10367" i="1"/>
  <c r="A10368" i="1"/>
  <c r="B10368" i="1"/>
  <c r="A10369" i="1"/>
  <c r="B10369" i="1"/>
  <c r="A10370" i="1"/>
  <c r="B10370" i="1"/>
  <c r="A10371" i="1"/>
  <c r="B10371" i="1"/>
  <c r="A10372" i="1"/>
  <c r="B10372" i="1"/>
  <c r="A10373" i="1"/>
  <c r="B10373" i="1"/>
  <c r="A10374" i="1"/>
  <c r="B10374" i="1"/>
  <c r="A10375" i="1"/>
  <c r="B10375" i="1"/>
  <c r="A10376" i="1"/>
  <c r="B10376" i="1"/>
  <c r="A10377" i="1"/>
  <c r="B10377" i="1"/>
  <c r="A10378" i="1"/>
  <c r="B10378" i="1"/>
  <c r="A10379" i="1"/>
  <c r="B10379" i="1"/>
  <c r="A10380" i="1"/>
  <c r="B10380" i="1"/>
  <c r="A10381" i="1"/>
  <c r="B10381" i="1"/>
  <c r="A10382" i="1"/>
  <c r="B10382" i="1"/>
  <c r="A10383" i="1"/>
  <c r="B10383" i="1"/>
  <c r="A10384" i="1"/>
  <c r="B10384" i="1"/>
  <c r="A10385" i="1"/>
  <c r="B10385" i="1"/>
  <c r="A10386" i="1"/>
  <c r="B10386" i="1"/>
  <c r="A10387" i="1"/>
  <c r="B10387" i="1"/>
  <c r="A10388" i="1"/>
  <c r="B10388" i="1"/>
  <c r="A10389" i="1"/>
  <c r="B10389" i="1"/>
  <c r="A10390" i="1"/>
  <c r="B10390" i="1"/>
  <c r="A10391" i="1"/>
  <c r="B10391" i="1"/>
  <c r="A10392" i="1"/>
  <c r="B10392" i="1"/>
  <c r="A10393" i="1"/>
  <c r="B10393" i="1"/>
  <c r="A10394" i="1"/>
  <c r="B10394" i="1"/>
  <c r="A10395" i="1"/>
  <c r="B10395" i="1"/>
  <c r="A10396" i="1"/>
  <c r="B10396" i="1"/>
  <c r="A10397" i="1"/>
  <c r="B10397" i="1"/>
  <c r="A10398" i="1"/>
  <c r="B10398" i="1"/>
  <c r="A10399" i="1"/>
  <c r="B10399" i="1"/>
  <c r="A10400" i="1"/>
  <c r="B10400" i="1"/>
  <c r="A10401" i="1"/>
  <c r="B10401" i="1"/>
  <c r="A10402" i="1"/>
  <c r="B10402" i="1"/>
  <c r="A10403" i="1"/>
  <c r="B10403" i="1"/>
  <c r="A10404" i="1"/>
  <c r="B10404" i="1"/>
  <c r="A10405" i="1"/>
  <c r="B10405" i="1"/>
  <c r="A10406" i="1"/>
  <c r="B10406" i="1"/>
  <c r="A10407" i="1"/>
  <c r="B10407" i="1"/>
  <c r="A10408" i="1"/>
  <c r="B10408" i="1"/>
  <c r="A10409" i="1"/>
  <c r="B10409" i="1"/>
  <c r="A10410" i="1"/>
  <c r="B10410" i="1"/>
  <c r="A10411" i="1"/>
  <c r="B10411" i="1"/>
  <c r="A10412" i="1"/>
  <c r="B10412" i="1"/>
  <c r="A10413" i="1"/>
  <c r="B10413" i="1"/>
  <c r="A10414" i="1"/>
  <c r="B10414" i="1"/>
  <c r="A10415" i="1"/>
  <c r="B10415" i="1"/>
  <c r="A10416" i="1"/>
  <c r="B10416" i="1"/>
  <c r="A10417" i="1"/>
  <c r="B10417" i="1"/>
  <c r="A10418" i="1"/>
  <c r="B10418" i="1"/>
  <c r="A10419" i="1"/>
  <c r="B10419" i="1"/>
  <c r="A10420" i="1"/>
  <c r="B10420" i="1"/>
  <c r="A10421" i="1"/>
  <c r="B10421" i="1"/>
  <c r="A10422" i="1"/>
  <c r="B10422" i="1"/>
  <c r="A10423" i="1"/>
  <c r="B10423" i="1"/>
  <c r="A10424" i="1"/>
  <c r="B10424" i="1"/>
  <c r="A10425" i="1"/>
  <c r="B10425" i="1"/>
  <c r="A10426" i="1"/>
  <c r="B10426" i="1"/>
  <c r="A10427" i="1"/>
  <c r="B10427" i="1"/>
  <c r="A10428" i="1"/>
  <c r="B10428" i="1"/>
  <c r="A10429" i="1"/>
  <c r="B10429" i="1"/>
  <c r="A10430" i="1"/>
  <c r="B10430" i="1"/>
  <c r="A10431" i="1"/>
  <c r="B10431" i="1"/>
  <c r="A10432" i="1"/>
  <c r="B10432" i="1"/>
  <c r="A10433" i="1"/>
  <c r="B10433" i="1"/>
  <c r="A10434" i="1"/>
  <c r="B10434" i="1"/>
  <c r="A10435" i="1"/>
  <c r="B10435" i="1"/>
  <c r="A10436" i="1"/>
  <c r="B10436" i="1"/>
  <c r="A10437" i="1"/>
  <c r="B10437" i="1"/>
  <c r="A10438" i="1"/>
  <c r="B10438" i="1"/>
  <c r="A10439" i="1"/>
  <c r="B10439" i="1"/>
  <c r="A10440" i="1"/>
  <c r="B10440" i="1"/>
  <c r="A10441" i="1"/>
  <c r="B10441" i="1"/>
  <c r="A10442" i="1"/>
  <c r="B10442" i="1"/>
  <c r="A10443" i="1"/>
  <c r="B10443" i="1"/>
  <c r="A10444" i="1"/>
  <c r="B10444" i="1"/>
  <c r="A10445" i="1"/>
  <c r="B10445" i="1"/>
  <c r="A10446" i="1"/>
  <c r="B10446" i="1"/>
  <c r="A10447" i="1"/>
  <c r="B10447" i="1"/>
  <c r="A10448" i="1"/>
  <c r="B10448" i="1"/>
  <c r="A10449" i="1"/>
  <c r="B10449" i="1"/>
  <c r="A10450" i="1"/>
  <c r="B10450" i="1"/>
  <c r="A10451" i="1"/>
  <c r="B10451" i="1"/>
  <c r="A10452" i="1"/>
  <c r="B10452" i="1"/>
  <c r="A10453" i="1"/>
  <c r="B10453" i="1"/>
  <c r="A10454" i="1"/>
  <c r="B10454" i="1"/>
  <c r="A10455" i="1"/>
  <c r="B10455" i="1"/>
  <c r="A10456" i="1"/>
  <c r="B10456" i="1"/>
  <c r="A10457" i="1"/>
  <c r="B10457" i="1"/>
  <c r="A10458" i="1"/>
  <c r="B10458" i="1"/>
  <c r="A10459" i="1"/>
  <c r="B10459" i="1"/>
  <c r="A10460" i="1"/>
  <c r="B10460" i="1"/>
  <c r="A10461" i="1"/>
  <c r="B10461" i="1"/>
  <c r="A10462" i="1"/>
  <c r="B10462" i="1"/>
  <c r="A10463" i="1"/>
  <c r="B10463" i="1"/>
  <c r="A10464" i="1"/>
  <c r="B10464" i="1"/>
  <c r="A10465" i="1"/>
  <c r="B10465" i="1"/>
  <c r="A10466" i="1"/>
  <c r="B10466" i="1"/>
  <c r="A10467" i="1"/>
  <c r="B10467" i="1"/>
  <c r="A10468" i="1"/>
  <c r="B10468" i="1"/>
  <c r="A10469" i="1"/>
  <c r="B10469" i="1"/>
  <c r="A10470" i="1"/>
  <c r="B10470" i="1"/>
  <c r="A10471" i="1"/>
  <c r="B10471" i="1"/>
  <c r="A10472" i="1"/>
  <c r="B10472" i="1"/>
  <c r="A10473" i="1"/>
  <c r="B10473" i="1"/>
  <c r="A10474" i="1"/>
  <c r="B10474" i="1"/>
  <c r="A10475" i="1"/>
  <c r="B10475" i="1"/>
  <c r="A10476" i="1"/>
  <c r="B10476" i="1"/>
  <c r="A10477" i="1"/>
  <c r="B10477" i="1"/>
  <c r="A10478" i="1"/>
  <c r="B10478" i="1"/>
  <c r="A10479" i="1"/>
  <c r="B10479" i="1"/>
  <c r="A10480" i="1"/>
  <c r="B10480" i="1"/>
  <c r="A10481" i="1"/>
  <c r="B10481" i="1"/>
  <c r="A10482" i="1"/>
  <c r="B10482" i="1"/>
  <c r="A10483" i="1"/>
  <c r="B10483" i="1"/>
  <c r="A10484" i="1"/>
  <c r="B10484" i="1"/>
  <c r="A10485" i="1"/>
  <c r="B10485" i="1"/>
  <c r="A10486" i="1"/>
  <c r="B10486" i="1"/>
  <c r="A10487" i="1"/>
  <c r="B10487" i="1"/>
  <c r="A10488" i="1"/>
  <c r="B10488" i="1"/>
  <c r="A10489" i="1"/>
  <c r="B10489" i="1"/>
  <c r="A10490" i="1"/>
  <c r="B10490" i="1"/>
  <c r="A10491" i="1"/>
  <c r="B10491" i="1"/>
  <c r="A10492" i="1"/>
  <c r="B10492" i="1"/>
  <c r="A10493" i="1"/>
  <c r="B10493" i="1"/>
  <c r="A10494" i="1"/>
  <c r="B10494" i="1"/>
  <c r="A10495" i="1"/>
  <c r="B10495" i="1"/>
  <c r="A10496" i="1"/>
  <c r="B10496" i="1"/>
  <c r="A10497" i="1"/>
  <c r="B10497" i="1"/>
  <c r="A10498" i="1"/>
  <c r="B10498" i="1"/>
  <c r="A10499" i="1"/>
  <c r="B10499" i="1"/>
  <c r="A10500" i="1"/>
  <c r="B10500" i="1"/>
  <c r="A10501" i="1"/>
  <c r="B10501" i="1"/>
  <c r="A10502" i="1"/>
  <c r="B10502" i="1"/>
  <c r="A10503" i="1"/>
  <c r="B10503" i="1"/>
  <c r="A10504" i="1"/>
  <c r="B10504" i="1"/>
  <c r="A10505" i="1"/>
  <c r="B10505" i="1"/>
  <c r="A10506" i="1"/>
  <c r="B10506" i="1"/>
  <c r="A10507" i="1"/>
  <c r="B10507" i="1"/>
  <c r="A10508" i="1"/>
  <c r="B10508" i="1"/>
  <c r="A10509" i="1"/>
  <c r="B10509" i="1"/>
  <c r="A10510" i="1"/>
  <c r="B10510" i="1"/>
  <c r="A10511" i="1"/>
  <c r="B10511" i="1"/>
  <c r="A10512" i="1"/>
  <c r="B10512" i="1"/>
  <c r="A10513" i="1"/>
  <c r="B10513" i="1"/>
  <c r="A10514" i="1"/>
  <c r="B10514" i="1"/>
  <c r="A10515" i="1"/>
  <c r="B10515" i="1"/>
  <c r="A10516" i="1"/>
  <c r="B10516" i="1"/>
  <c r="A10517" i="1"/>
  <c r="B10517" i="1"/>
  <c r="A10518" i="1"/>
  <c r="B10518" i="1"/>
  <c r="A10519" i="1"/>
  <c r="B10519" i="1"/>
  <c r="A10520" i="1"/>
  <c r="B10520" i="1"/>
  <c r="A10521" i="1"/>
  <c r="B10521" i="1"/>
  <c r="A10522" i="1"/>
  <c r="B10522" i="1"/>
  <c r="A10523" i="1"/>
  <c r="B10523" i="1"/>
  <c r="A10524" i="1"/>
  <c r="B10524" i="1"/>
  <c r="A10525" i="1"/>
  <c r="B10525" i="1"/>
  <c r="A10526" i="1"/>
  <c r="B10526" i="1"/>
  <c r="A10527" i="1"/>
  <c r="B10527" i="1"/>
  <c r="A10528" i="1"/>
  <c r="B10528" i="1"/>
  <c r="A10529" i="1"/>
  <c r="B10529" i="1"/>
  <c r="A10530" i="1"/>
  <c r="B10530" i="1"/>
  <c r="A10531" i="1"/>
  <c r="B10531" i="1"/>
  <c r="A10532" i="1"/>
  <c r="B10532" i="1"/>
  <c r="A10533" i="1"/>
  <c r="B10533" i="1"/>
  <c r="A10534" i="1"/>
  <c r="B10534" i="1"/>
  <c r="A10535" i="1"/>
  <c r="B10535" i="1"/>
  <c r="A10536" i="1"/>
  <c r="B10536" i="1"/>
  <c r="A10537" i="1"/>
  <c r="B10537" i="1"/>
  <c r="A10538" i="1"/>
  <c r="B10538" i="1"/>
  <c r="A10539" i="1"/>
  <c r="B10539" i="1"/>
  <c r="A10540" i="1"/>
  <c r="B10540" i="1"/>
  <c r="A10541" i="1"/>
  <c r="B10541" i="1"/>
  <c r="A10542" i="1"/>
  <c r="B10542" i="1"/>
  <c r="A10543" i="1"/>
  <c r="B10543" i="1"/>
  <c r="A10544" i="1"/>
  <c r="B10544" i="1"/>
  <c r="A10545" i="1"/>
  <c r="B10545" i="1"/>
  <c r="A10546" i="1"/>
  <c r="B10546" i="1"/>
  <c r="A10547" i="1"/>
  <c r="B10547" i="1"/>
  <c r="A10548" i="1"/>
  <c r="B10548" i="1"/>
  <c r="A10549" i="1"/>
  <c r="B10549" i="1"/>
  <c r="A10550" i="1"/>
  <c r="B10550" i="1"/>
  <c r="A10551" i="1"/>
  <c r="B10551" i="1"/>
  <c r="A10552" i="1"/>
  <c r="B10552" i="1"/>
  <c r="A10553" i="1"/>
  <c r="B10553" i="1"/>
  <c r="A10554" i="1"/>
  <c r="B10554" i="1"/>
  <c r="A10555" i="1"/>
  <c r="B10555" i="1"/>
  <c r="A10556" i="1"/>
  <c r="B10556" i="1"/>
  <c r="A10557" i="1"/>
  <c r="B10557" i="1"/>
  <c r="A10558" i="1"/>
  <c r="B10558" i="1"/>
  <c r="A10559" i="1"/>
  <c r="B10559" i="1"/>
  <c r="A10560" i="1"/>
  <c r="B10560" i="1"/>
  <c r="A10561" i="1"/>
  <c r="B10561" i="1"/>
  <c r="A10562" i="1"/>
  <c r="B10562" i="1"/>
  <c r="A10563" i="1"/>
  <c r="B10563" i="1"/>
  <c r="A10564" i="1"/>
  <c r="B10564" i="1"/>
  <c r="A10565" i="1"/>
  <c r="B10565" i="1"/>
  <c r="A10566" i="1"/>
  <c r="B10566" i="1"/>
  <c r="A10567" i="1"/>
  <c r="B10567" i="1"/>
  <c r="A10568" i="1"/>
  <c r="B10568" i="1"/>
  <c r="A10569" i="1"/>
  <c r="B10569" i="1"/>
  <c r="A10570" i="1"/>
  <c r="B10570" i="1"/>
  <c r="A10571" i="1"/>
  <c r="B10571" i="1"/>
  <c r="A10572" i="1"/>
  <c r="B10572" i="1"/>
  <c r="A10573" i="1"/>
  <c r="B10573" i="1"/>
  <c r="A10574" i="1"/>
  <c r="B10574" i="1"/>
  <c r="A10575" i="1"/>
  <c r="B10575" i="1"/>
  <c r="A10576" i="1"/>
  <c r="B10576" i="1"/>
  <c r="A10577" i="1"/>
  <c r="B10577" i="1"/>
  <c r="A10578" i="1"/>
  <c r="B10578" i="1"/>
  <c r="A10579" i="1"/>
  <c r="B10579" i="1"/>
  <c r="A10580" i="1"/>
  <c r="B10580" i="1"/>
  <c r="A10581" i="1"/>
  <c r="B10581" i="1"/>
  <c r="A10582" i="1"/>
  <c r="B10582" i="1"/>
  <c r="A10583" i="1"/>
  <c r="B10583" i="1"/>
  <c r="A10584" i="1"/>
  <c r="B10584" i="1"/>
  <c r="A10585" i="1"/>
  <c r="B10585" i="1"/>
  <c r="A10586" i="1"/>
  <c r="B10586" i="1"/>
  <c r="A10587" i="1"/>
  <c r="B10587" i="1"/>
  <c r="A10588" i="1"/>
  <c r="B10588" i="1"/>
  <c r="A10589" i="1"/>
  <c r="B10589" i="1"/>
  <c r="A10590" i="1"/>
  <c r="B10590" i="1"/>
  <c r="A10591" i="1"/>
  <c r="B10591" i="1"/>
  <c r="A10592" i="1"/>
  <c r="B10592" i="1"/>
  <c r="A10593" i="1"/>
  <c r="B10593" i="1"/>
  <c r="A10594" i="1"/>
  <c r="B10594" i="1"/>
  <c r="A10595" i="1"/>
  <c r="B10595" i="1"/>
  <c r="A10596" i="1"/>
  <c r="B10596" i="1"/>
  <c r="A10597" i="1"/>
  <c r="B10597" i="1"/>
  <c r="A10598" i="1"/>
  <c r="B10598" i="1"/>
  <c r="A10599" i="1"/>
  <c r="B10599" i="1"/>
  <c r="A10600" i="1"/>
  <c r="B10600" i="1"/>
  <c r="A10601" i="1"/>
  <c r="B10601" i="1"/>
  <c r="A10602" i="1"/>
  <c r="B10602" i="1"/>
  <c r="A10603" i="1"/>
  <c r="B10603" i="1"/>
  <c r="A10604" i="1"/>
  <c r="B10604" i="1"/>
  <c r="A10605" i="1"/>
  <c r="B10605" i="1"/>
  <c r="A10606" i="1"/>
  <c r="B10606" i="1"/>
  <c r="A10607" i="1"/>
  <c r="B10607" i="1"/>
  <c r="A10608" i="1"/>
  <c r="B10608" i="1"/>
  <c r="A10609" i="1"/>
  <c r="B10609" i="1"/>
  <c r="A10610" i="1"/>
  <c r="B10610" i="1"/>
  <c r="A10611" i="1"/>
  <c r="B10611" i="1"/>
  <c r="A10612" i="1"/>
  <c r="B10612" i="1"/>
  <c r="A10613" i="1"/>
  <c r="B10613" i="1"/>
  <c r="A10614" i="1"/>
  <c r="B10614" i="1"/>
  <c r="A10615" i="1"/>
  <c r="B10615" i="1"/>
  <c r="A10616" i="1"/>
  <c r="B10616" i="1"/>
  <c r="A10617" i="1"/>
  <c r="B10617" i="1"/>
  <c r="A10618" i="1"/>
  <c r="B10618" i="1"/>
  <c r="A10619" i="1"/>
  <c r="B10619" i="1"/>
  <c r="A10620" i="1"/>
  <c r="B10620" i="1"/>
  <c r="A10621" i="1"/>
  <c r="B10621" i="1"/>
  <c r="A10622" i="1"/>
  <c r="B10622" i="1"/>
  <c r="A10623" i="1"/>
  <c r="B10623" i="1"/>
  <c r="A10624" i="1"/>
  <c r="B10624" i="1"/>
  <c r="A10625" i="1"/>
  <c r="B10625" i="1"/>
  <c r="A10626" i="1"/>
  <c r="B10626" i="1"/>
  <c r="A10627" i="1"/>
  <c r="B10627" i="1"/>
  <c r="A10628" i="1"/>
  <c r="B10628" i="1"/>
  <c r="A10629" i="1"/>
  <c r="B10629" i="1"/>
  <c r="A10630" i="1"/>
  <c r="B10630" i="1"/>
  <c r="A10631" i="1"/>
  <c r="B10631" i="1"/>
  <c r="A10632" i="1"/>
  <c r="B10632" i="1"/>
  <c r="A10633" i="1"/>
  <c r="B10633" i="1"/>
  <c r="A10634" i="1"/>
  <c r="B10634" i="1"/>
  <c r="A10635" i="1"/>
  <c r="B10635" i="1"/>
  <c r="A10636" i="1"/>
  <c r="B10636" i="1"/>
  <c r="A10637" i="1"/>
  <c r="B10637" i="1"/>
  <c r="A10638" i="1"/>
  <c r="B10638" i="1"/>
  <c r="A10639" i="1"/>
  <c r="B10639" i="1"/>
  <c r="A10640" i="1"/>
  <c r="B10640" i="1"/>
  <c r="A10641" i="1"/>
  <c r="B10641" i="1"/>
  <c r="A10642" i="1"/>
  <c r="B10642" i="1"/>
  <c r="A10643" i="1"/>
  <c r="B10643" i="1"/>
  <c r="A10644" i="1"/>
  <c r="B10644" i="1"/>
  <c r="A10645" i="1"/>
  <c r="B10645" i="1"/>
  <c r="A10646" i="1"/>
  <c r="B10646" i="1"/>
  <c r="A10647" i="1"/>
  <c r="B10647" i="1"/>
  <c r="A10648" i="1"/>
  <c r="B10648" i="1"/>
  <c r="A10649" i="1"/>
  <c r="B10649" i="1"/>
  <c r="A10650" i="1"/>
  <c r="B10650" i="1"/>
  <c r="A10651" i="1"/>
  <c r="B10651" i="1"/>
  <c r="A10652" i="1"/>
  <c r="B10652" i="1"/>
  <c r="A10653" i="1"/>
  <c r="B10653" i="1"/>
  <c r="A10654" i="1"/>
  <c r="B10654" i="1"/>
  <c r="A10655" i="1"/>
  <c r="B10655" i="1"/>
  <c r="A10656" i="1"/>
  <c r="B10656" i="1"/>
  <c r="A10657" i="1"/>
  <c r="B10657" i="1"/>
  <c r="A10658" i="1"/>
  <c r="B10658" i="1"/>
  <c r="A10659" i="1"/>
  <c r="B10659" i="1"/>
  <c r="A10660" i="1"/>
  <c r="B10660" i="1"/>
  <c r="A10661" i="1"/>
  <c r="B10661" i="1"/>
  <c r="A10662" i="1"/>
  <c r="B10662" i="1"/>
  <c r="A10663" i="1"/>
  <c r="B10663" i="1"/>
  <c r="A10664" i="1"/>
  <c r="B10664" i="1"/>
  <c r="A10665" i="1"/>
  <c r="B10665" i="1"/>
  <c r="A10666" i="1"/>
  <c r="B10666" i="1"/>
  <c r="A10667" i="1"/>
  <c r="B10667" i="1"/>
  <c r="A10668" i="1"/>
  <c r="B10668" i="1"/>
  <c r="A10669" i="1"/>
  <c r="B10669" i="1"/>
  <c r="A10670" i="1"/>
  <c r="B10670" i="1"/>
  <c r="A10671" i="1"/>
  <c r="B10671" i="1"/>
  <c r="A10672" i="1"/>
  <c r="B10672" i="1"/>
  <c r="A10673" i="1"/>
  <c r="B10673" i="1"/>
  <c r="A10674" i="1"/>
  <c r="B10674" i="1"/>
  <c r="A10675" i="1"/>
  <c r="B10675" i="1"/>
  <c r="A10676" i="1"/>
  <c r="B10676" i="1"/>
  <c r="A10677" i="1"/>
  <c r="B10677" i="1"/>
  <c r="A10678" i="1"/>
  <c r="B10678" i="1"/>
  <c r="A10679" i="1"/>
  <c r="B10679" i="1"/>
  <c r="A10680" i="1"/>
  <c r="B10680" i="1"/>
  <c r="A10681" i="1"/>
  <c r="B10681" i="1"/>
  <c r="A10682" i="1"/>
  <c r="B10682" i="1"/>
  <c r="A10683" i="1"/>
  <c r="B10683" i="1"/>
  <c r="A10684" i="1"/>
  <c r="B10684" i="1"/>
  <c r="A10685" i="1"/>
  <c r="B10685" i="1"/>
  <c r="A10686" i="1"/>
  <c r="B10686" i="1"/>
  <c r="A10687" i="1"/>
  <c r="B10687" i="1"/>
  <c r="A10688" i="1"/>
  <c r="B10688" i="1"/>
  <c r="A10689" i="1"/>
  <c r="B10689" i="1"/>
  <c r="A10690" i="1"/>
  <c r="B10690" i="1"/>
  <c r="A10691" i="1"/>
  <c r="B10691" i="1"/>
  <c r="A10692" i="1"/>
  <c r="B10692" i="1"/>
  <c r="A10693" i="1"/>
  <c r="B10693" i="1"/>
  <c r="A10694" i="1"/>
  <c r="B10694" i="1"/>
  <c r="A10695" i="1"/>
  <c r="B10695" i="1"/>
  <c r="A10696" i="1"/>
  <c r="B10696" i="1"/>
  <c r="A10697" i="1"/>
  <c r="B10697" i="1"/>
  <c r="A10698" i="1"/>
  <c r="B10698" i="1"/>
  <c r="A10699" i="1"/>
  <c r="B10699" i="1"/>
  <c r="A10700" i="1"/>
  <c r="B10700" i="1"/>
  <c r="A10701" i="1"/>
  <c r="B10701" i="1"/>
  <c r="A10702" i="1"/>
  <c r="B10702" i="1"/>
  <c r="A10703" i="1"/>
  <c r="B10703" i="1"/>
  <c r="A10704" i="1"/>
  <c r="B10704" i="1"/>
  <c r="A10705" i="1"/>
  <c r="B10705" i="1"/>
  <c r="A10706" i="1"/>
  <c r="B10706" i="1"/>
  <c r="A10707" i="1"/>
  <c r="B10707" i="1"/>
  <c r="A10708" i="1"/>
  <c r="B10708" i="1"/>
  <c r="A10709" i="1"/>
  <c r="B10709" i="1"/>
  <c r="A10710" i="1"/>
  <c r="B10710" i="1"/>
  <c r="A10711" i="1"/>
  <c r="B10711" i="1"/>
  <c r="A10712" i="1"/>
  <c r="B10712" i="1"/>
  <c r="A10713" i="1"/>
  <c r="B10713" i="1"/>
  <c r="A10714" i="1"/>
  <c r="B10714" i="1"/>
  <c r="A10715" i="1"/>
  <c r="B10715" i="1"/>
  <c r="A10716" i="1"/>
  <c r="B10716" i="1"/>
  <c r="A10717" i="1"/>
  <c r="B10717" i="1"/>
  <c r="A10718" i="1"/>
  <c r="B10718" i="1"/>
  <c r="A10719" i="1"/>
  <c r="B10719" i="1"/>
  <c r="A10720" i="1"/>
  <c r="B10720" i="1"/>
  <c r="A10721" i="1"/>
  <c r="B10721" i="1"/>
  <c r="A10722" i="1"/>
  <c r="B10722" i="1"/>
  <c r="A10723" i="1"/>
  <c r="B10723" i="1"/>
  <c r="A10724" i="1"/>
  <c r="B10724" i="1"/>
  <c r="A10725" i="1"/>
  <c r="B10725" i="1"/>
  <c r="A10726" i="1"/>
  <c r="B10726" i="1"/>
  <c r="A10727" i="1"/>
  <c r="B10727" i="1"/>
  <c r="A10728" i="1"/>
  <c r="B10728" i="1"/>
  <c r="A10729" i="1"/>
  <c r="B10729" i="1"/>
  <c r="A10730" i="1"/>
  <c r="B10730" i="1"/>
  <c r="A10731" i="1"/>
  <c r="B10731" i="1"/>
  <c r="A10732" i="1"/>
  <c r="B10732" i="1"/>
  <c r="A10733" i="1"/>
  <c r="B10733" i="1"/>
  <c r="A10734" i="1"/>
  <c r="B10734" i="1"/>
  <c r="A10735" i="1"/>
  <c r="B10735" i="1"/>
  <c r="A10736" i="1"/>
  <c r="B10736" i="1"/>
  <c r="A10737" i="1"/>
  <c r="B10737" i="1"/>
  <c r="A10738" i="1"/>
  <c r="B10738" i="1"/>
  <c r="A10739" i="1"/>
  <c r="B10739" i="1"/>
  <c r="A10740" i="1"/>
  <c r="B10740" i="1"/>
  <c r="A10741" i="1"/>
  <c r="B10741" i="1"/>
  <c r="A10742" i="1"/>
  <c r="B10742" i="1"/>
  <c r="A10743" i="1"/>
  <c r="B10743" i="1"/>
  <c r="A10744" i="1"/>
  <c r="B10744" i="1"/>
  <c r="A10745" i="1"/>
  <c r="B10745" i="1"/>
  <c r="A10746" i="1"/>
  <c r="B10746" i="1"/>
  <c r="A10747" i="1"/>
  <c r="B10747" i="1"/>
  <c r="A10748" i="1"/>
  <c r="B10748" i="1"/>
  <c r="A10749" i="1"/>
  <c r="B10749" i="1"/>
  <c r="A10750" i="1"/>
  <c r="B10750" i="1"/>
  <c r="A10751" i="1"/>
  <c r="B10751" i="1"/>
  <c r="A10752" i="1"/>
  <c r="B10752" i="1"/>
  <c r="A10753" i="1"/>
  <c r="B10753" i="1"/>
  <c r="A10754" i="1"/>
  <c r="B10754" i="1"/>
  <c r="A10755" i="1"/>
  <c r="B10755" i="1"/>
  <c r="A10756" i="1"/>
  <c r="B10756" i="1"/>
  <c r="A10757" i="1"/>
  <c r="B10757" i="1"/>
  <c r="A10758" i="1"/>
  <c r="B10758" i="1"/>
  <c r="A10759" i="1"/>
  <c r="B10759" i="1"/>
  <c r="A10760" i="1"/>
  <c r="B10760" i="1"/>
  <c r="A10761" i="1"/>
  <c r="B10761" i="1"/>
  <c r="A10762" i="1"/>
  <c r="B10762" i="1"/>
  <c r="A10763" i="1"/>
  <c r="B10763" i="1"/>
  <c r="A10764" i="1"/>
  <c r="B10764" i="1"/>
  <c r="A10765" i="1"/>
  <c r="B10765" i="1"/>
  <c r="A10766" i="1"/>
  <c r="B10766" i="1"/>
  <c r="A10767" i="1"/>
  <c r="B10767" i="1"/>
  <c r="A10768" i="1"/>
  <c r="B10768" i="1"/>
  <c r="A10769" i="1"/>
  <c r="B10769" i="1"/>
  <c r="A10770" i="1"/>
  <c r="B10770" i="1"/>
  <c r="A10771" i="1"/>
  <c r="B10771" i="1"/>
  <c r="A10772" i="1"/>
  <c r="B10772" i="1"/>
  <c r="A10773" i="1"/>
  <c r="B10773" i="1"/>
  <c r="A10774" i="1"/>
  <c r="B10774" i="1"/>
  <c r="A10775" i="1"/>
  <c r="B10775" i="1"/>
  <c r="A10776" i="1"/>
  <c r="B10776" i="1"/>
  <c r="A10777" i="1"/>
  <c r="B10777" i="1"/>
  <c r="A10778" i="1"/>
  <c r="B10778" i="1"/>
  <c r="A10779" i="1"/>
  <c r="B10779" i="1"/>
  <c r="A10780" i="1"/>
  <c r="B10780" i="1"/>
  <c r="A10781" i="1"/>
  <c r="B10781" i="1"/>
  <c r="A10782" i="1"/>
  <c r="B10782" i="1"/>
  <c r="A10783" i="1"/>
  <c r="B10783" i="1"/>
  <c r="A10784" i="1"/>
  <c r="B10784" i="1"/>
  <c r="A10785" i="1"/>
  <c r="B10785" i="1"/>
  <c r="A10786" i="1"/>
  <c r="B10786" i="1"/>
  <c r="A10787" i="1"/>
  <c r="B10787" i="1"/>
  <c r="A10788" i="1"/>
  <c r="B10788" i="1"/>
  <c r="A10789" i="1"/>
  <c r="B10789" i="1"/>
  <c r="A10790" i="1"/>
  <c r="B10790" i="1"/>
  <c r="A10791" i="1"/>
  <c r="B10791" i="1"/>
  <c r="A10792" i="1"/>
  <c r="B10792" i="1"/>
  <c r="A10793" i="1"/>
  <c r="B10793" i="1"/>
  <c r="A10794" i="1"/>
  <c r="B10794" i="1"/>
  <c r="A10795" i="1"/>
  <c r="B10795" i="1"/>
  <c r="A10796" i="1"/>
  <c r="B10796" i="1"/>
  <c r="A10797" i="1"/>
  <c r="B10797" i="1"/>
  <c r="A10798" i="1"/>
  <c r="B10798" i="1"/>
  <c r="A10799" i="1"/>
  <c r="B10799" i="1"/>
  <c r="A10800" i="1"/>
  <c r="B10800" i="1"/>
  <c r="A10801" i="1"/>
  <c r="B10801" i="1"/>
  <c r="A10802" i="1"/>
  <c r="B10802" i="1"/>
  <c r="A10803" i="1"/>
  <c r="B10803" i="1"/>
  <c r="A10804" i="1"/>
  <c r="B10804" i="1"/>
  <c r="A10805" i="1"/>
  <c r="B10805" i="1"/>
  <c r="A10806" i="1"/>
  <c r="B10806" i="1"/>
  <c r="A10807" i="1"/>
  <c r="B10807" i="1"/>
  <c r="A10808" i="1"/>
  <c r="B10808" i="1"/>
  <c r="A10809" i="1"/>
  <c r="B10809" i="1"/>
  <c r="A10810" i="1"/>
  <c r="B10810" i="1"/>
  <c r="A10811" i="1"/>
  <c r="B10811" i="1"/>
  <c r="A10812" i="1"/>
  <c r="B10812" i="1"/>
  <c r="A10813" i="1"/>
  <c r="B10813" i="1"/>
  <c r="A10814" i="1"/>
  <c r="B10814" i="1"/>
  <c r="A10815" i="1"/>
  <c r="B10815" i="1"/>
  <c r="A10816" i="1"/>
  <c r="B10816" i="1"/>
  <c r="A10817" i="1"/>
  <c r="B10817" i="1"/>
  <c r="A10818" i="1"/>
  <c r="B10818" i="1"/>
  <c r="A10819" i="1"/>
  <c r="B10819" i="1"/>
  <c r="A10820" i="1"/>
  <c r="B10820" i="1"/>
  <c r="A10821" i="1"/>
  <c r="B10821" i="1"/>
  <c r="A10822" i="1"/>
  <c r="B10822" i="1"/>
  <c r="A10823" i="1"/>
  <c r="B10823" i="1"/>
  <c r="A10824" i="1"/>
  <c r="B10824" i="1"/>
  <c r="A10825" i="1"/>
  <c r="B10825" i="1"/>
  <c r="A10826" i="1"/>
  <c r="B10826" i="1"/>
  <c r="A10827" i="1"/>
  <c r="B10827" i="1"/>
  <c r="A10828" i="1"/>
  <c r="B10828" i="1"/>
  <c r="A10829" i="1"/>
  <c r="B10829" i="1"/>
  <c r="A10830" i="1"/>
  <c r="B10830" i="1"/>
  <c r="A10831" i="1"/>
  <c r="B10831" i="1"/>
  <c r="A10832" i="1"/>
  <c r="B10832" i="1"/>
  <c r="A10833" i="1"/>
  <c r="B10833" i="1"/>
  <c r="A10834" i="1"/>
  <c r="B10834" i="1"/>
  <c r="A10835" i="1"/>
  <c r="B10835" i="1"/>
  <c r="A10836" i="1"/>
  <c r="B10836" i="1"/>
  <c r="A10837" i="1"/>
  <c r="B10837" i="1"/>
  <c r="A10838" i="1"/>
  <c r="B10838" i="1"/>
  <c r="A10839" i="1"/>
  <c r="B10839" i="1"/>
  <c r="A10840" i="1"/>
  <c r="B10840" i="1"/>
  <c r="A10841" i="1"/>
  <c r="B10841" i="1"/>
  <c r="A10842" i="1"/>
  <c r="B10842" i="1"/>
  <c r="A10843" i="1"/>
  <c r="B10843" i="1"/>
  <c r="A10844" i="1"/>
  <c r="B10844" i="1"/>
  <c r="A10845" i="1"/>
  <c r="B10845" i="1"/>
  <c r="A10846" i="1"/>
  <c r="B10846" i="1"/>
  <c r="A10847" i="1"/>
  <c r="B10847" i="1"/>
  <c r="A10848" i="1"/>
  <c r="B10848" i="1"/>
</calcChain>
</file>

<file path=xl/sharedStrings.xml><?xml version="1.0" encoding="utf-8"?>
<sst xmlns="http://schemas.openxmlformats.org/spreadsheetml/2006/main" count="21734" uniqueCount="93">
  <si>
    <t>SystemTime</t>
  </si>
  <si>
    <t>Timestamp</t>
  </si>
  <si>
    <t>NowSsceneName</t>
  </si>
  <si>
    <t>PupilRadiusH</t>
  </si>
  <si>
    <t>GazePointX</t>
  </si>
  <si>
    <t>Hitname</t>
  </si>
  <si>
    <t>HitPointX</t>
  </si>
  <si>
    <t>HitPointY</t>
  </si>
  <si>
    <t>HitPointZ</t>
  </si>
  <si>
    <t>CameraPosX</t>
  </si>
  <si>
    <t>CameraPosY</t>
  </si>
  <si>
    <t>CameraPosZ</t>
  </si>
  <si>
    <t>CarDirX</t>
  </si>
  <si>
    <t>CarDirY</t>
  </si>
  <si>
    <t>CarDirZ</t>
  </si>
  <si>
    <t>CameraDirX</t>
  </si>
  <si>
    <t>CameraDirY</t>
  </si>
  <si>
    <t>CameraDirZ</t>
  </si>
  <si>
    <t>EyeDirX</t>
  </si>
  <si>
    <t>EyeDirY</t>
  </si>
  <si>
    <t>EyeDirZ</t>
  </si>
  <si>
    <t>HeadLocalDirX</t>
  </si>
  <si>
    <t>HeadLocalDirY</t>
  </si>
  <si>
    <t>HeadLocalDirZ</t>
  </si>
  <si>
    <t>EyeLocalDirX</t>
  </si>
  <si>
    <t>EyeLocalDirY</t>
  </si>
  <si>
    <t>EyeLocalDirZ</t>
  </si>
  <si>
    <t>speed</t>
  </si>
  <si>
    <t>VecX</t>
  </si>
  <si>
    <t>VecY</t>
  </si>
  <si>
    <t>VecZ</t>
  </si>
  <si>
    <t>LocalVecX</t>
  </si>
  <si>
    <t>LocalVecY</t>
  </si>
  <si>
    <t>LocalVecZ</t>
  </si>
  <si>
    <t>Theta</t>
  </si>
  <si>
    <t>Phi</t>
  </si>
  <si>
    <t>r</t>
  </si>
  <si>
    <t>Theta_Head</t>
  </si>
  <si>
    <t>Phi_Head</t>
  </si>
  <si>
    <t>r_Head_value_is_1</t>
  </si>
  <si>
    <t>Testday_off</t>
  </si>
  <si>
    <t>Kooper</t>
  </si>
  <si>
    <t>mcp_road_part_02</t>
  </si>
  <si>
    <t>Plane_01</t>
  </si>
  <si>
    <t>Floor 01</t>
  </si>
  <si>
    <t>mcp_bus_stop_night_LOD_0</t>
  </si>
  <si>
    <t>Box001</t>
  </si>
  <si>
    <t>Building 07 (16)</t>
  </si>
  <si>
    <t>FAR</t>
  </si>
  <si>
    <t>mcp_roads_turn_01 (1)</t>
  </si>
  <si>
    <t>Building 18 (9)</t>
  </si>
  <si>
    <t>Tree 04 (24)</t>
  </si>
  <si>
    <t>Building 03</t>
  </si>
  <si>
    <t>Wall Small 03 (26)</t>
  </si>
  <si>
    <t>Wall Small 03 (24)</t>
  </si>
  <si>
    <t>Building 07 (17)</t>
  </si>
  <si>
    <t>Building 07 (18)</t>
  </si>
  <si>
    <t>Building 24</t>
  </si>
  <si>
    <t>Building 24 (1)</t>
  </si>
  <si>
    <t>Canopi 01 (5)</t>
  </si>
  <si>
    <t>Canopi 01 (8)</t>
  </si>
  <si>
    <t>mcp_roads_T_cross_01</t>
  </si>
  <si>
    <t>Tree 02 (6)</t>
  </si>
  <si>
    <t>Building 15 (34)</t>
  </si>
  <si>
    <t>Building 23 (4)</t>
  </si>
  <si>
    <t>Building 18 (2)</t>
  </si>
  <si>
    <t>Building 15 (35)</t>
  </si>
  <si>
    <t>mcp_road_part_01</t>
  </si>
  <si>
    <t>mcp_roads_cross_01</t>
  </si>
  <si>
    <t>Building 15 (33)</t>
  </si>
  <si>
    <t>Building 02 (8)</t>
  </si>
  <si>
    <t>Building 07 (11)</t>
  </si>
  <si>
    <t>Building 15 (31)</t>
  </si>
  <si>
    <t>mcp_roads_turn_01</t>
  </si>
  <si>
    <t>Building 11 (3)</t>
  </si>
  <si>
    <t>mcp_building_24_fountain_marble</t>
  </si>
  <si>
    <t>Stand 03 (2)</t>
  </si>
  <si>
    <t>mcp_roads_cross_02</t>
  </si>
  <si>
    <t>Stand 03 (4)</t>
  </si>
  <si>
    <t>Building 15 (32)</t>
  </si>
  <si>
    <t>Building 13 (1)</t>
  </si>
  <si>
    <t>mcp_road_part_02 (1)</t>
  </si>
  <si>
    <t>mcp_road_part_02 (2)</t>
  </si>
  <si>
    <t>mcp_road_part_02 (3)</t>
  </si>
  <si>
    <t>mcp_road_part_02 (7)</t>
  </si>
  <si>
    <t>mcp_road_part_02 (6)</t>
  </si>
  <si>
    <t>mcp_road_part_02 (9)</t>
  </si>
  <si>
    <t>mcp_road_part_02 (4)</t>
  </si>
  <si>
    <t>mcp_road_part_02 (10)</t>
  </si>
  <si>
    <t>mcp_road_part_02 (12)</t>
  </si>
  <si>
    <t>mcp_road_part_02 (11)</t>
  </si>
  <si>
    <t>Building 15 (22)</t>
  </si>
  <si>
    <t>Building 04 (2)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</si>
</sst>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10848"/>
  <sheetViews>
    <sheetView tabSelected="1" workbookViewId="0"/>
  </sheetViews>
  <sheetFormatPr defaultRowHeight="13.8" x14ac:dyDescent="0.25"/>
  <sheetData>
    <row r="1" spans="1:4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</row>
    <row r="2" spans="1:40" x14ac:dyDescent="0.25">
      <c r="A2" t="str">
        <f>"20190312150637553"</f>
        <v>20190312150637553</v>
      </c>
      <c r="B2" t="str">
        <f>"1552374397551054"</f>
        <v>1552374397551054</v>
      </c>
      <c r="C2" t="s">
        <v>40</v>
      </c>
      <c r="D2">
        <v>5.2511789999999996</v>
      </c>
      <c r="E2">
        <v>0.52187950000000005</v>
      </c>
      <c r="F2" t="s">
        <v>41</v>
      </c>
      <c r="G2">
        <v>-475.94310000000002</v>
      </c>
      <c r="H2">
        <v>0.91534470000000001</v>
      </c>
      <c r="I2">
        <v>367.1721</v>
      </c>
      <c r="J2">
        <v>-476.60660000000001</v>
      </c>
      <c r="K2">
        <v>1.1096729999999999</v>
      </c>
      <c r="L2">
        <v>367.21510000000001</v>
      </c>
      <c r="M2">
        <v>0.99996560000000001</v>
      </c>
      <c r="N2">
        <v>0</v>
      </c>
      <c r="O2" s="1">
        <v>-1.45802299999999E-5</v>
      </c>
      <c r="P2">
        <v>0.99897000000000002</v>
      </c>
      <c r="Q2">
        <v>4.5337639999999998E-2</v>
      </c>
      <c r="R2">
        <v>-1.9490519999999999E-3</v>
      </c>
      <c r="S2">
        <v>3.041595</v>
      </c>
      <c r="T2">
        <v>-0.88049159999999904</v>
      </c>
      <c r="U2">
        <v>-0.1950684</v>
      </c>
      <c r="V2">
        <v>1.93947E-3</v>
      </c>
      <c r="W2">
        <v>5.363018E-2</v>
      </c>
      <c r="X2">
        <v>0.99855899999999997</v>
      </c>
      <c r="Y2">
        <v>6.1474279999999999E-2</v>
      </c>
      <c r="Z2">
        <v>-8.706353E-3</v>
      </c>
      <c r="AA2">
        <v>0.99807069999999998</v>
      </c>
      <c r="AB2">
        <v>1</v>
      </c>
      <c r="AC2">
        <v>0.66349999999999898</v>
      </c>
      <c r="AD2">
        <v>-0.19432829999999901</v>
      </c>
      <c r="AE2">
        <v>-4.3000000000006297E-2</v>
      </c>
      <c r="AF2">
        <v>3.96070132738904E-2</v>
      </c>
      <c r="AG2">
        <v>-0.19432829999999901</v>
      </c>
      <c r="AH2">
        <v>0.61128353231117505</v>
      </c>
      <c r="AI2">
        <v>107.60094619649701</v>
      </c>
      <c r="AJ2">
        <v>86.292805371312099</v>
      </c>
      <c r="AK2">
        <v>0.64265057422848004</v>
      </c>
      <c r="AL2">
        <v>86.925742186614599</v>
      </c>
      <c r="AM2">
        <v>89.888716334479696</v>
      </c>
      <c r="AN2">
        <v>1.0000000171158501</v>
      </c>
    </row>
    <row r="3" spans="1:40" x14ac:dyDescent="0.25">
      <c r="A3" t="str">
        <f>"20190312150637567"</f>
        <v>20190312150637567</v>
      </c>
      <c r="B3" t="str">
        <f>"1552374397560815"</f>
        <v>1552374397560815</v>
      </c>
      <c r="C3" t="s">
        <v>40</v>
      </c>
      <c r="D3">
        <v>4.8171920000000004</v>
      </c>
      <c r="E3">
        <v>0.52170159999999999</v>
      </c>
      <c r="F3" t="s">
        <v>41</v>
      </c>
      <c r="G3">
        <v>-475.9325</v>
      </c>
      <c r="H3">
        <v>0.91638240000000004</v>
      </c>
      <c r="I3">
        <v>367.17189999999999</v>
      </c>
      <c r="J3">
        <v>-476.59969999999998</v>
      </c>
      <c r="K3">
        <v>1.10955</v>
      </c>
      <c r="L3">
        <v>367.21510000000001</v>
      </c>
      <c r="M3">
        <v>0.9999711</v>
      </c>
      <c r="N3">
        <v>0</v>
      </c>
      <c r="O3" s="1">
        <v>-4.5997130000000003E-5</v>
      </c>
      <c r="P3">
        <v>0.99893989999999999</v>
      </c>
      <c r="Q3">
        <v>4.5995349999999997E-2</v>
      </c>
      <c r="R3">
        <v>-1.897026E-3</v>
      </c>
      <c r="S3">
        <v>3.042297</v>
      </c>
      <c r="T3">
        <v>-0.87241299999999899</v>
      </c>
      <c r="U3">
        <v>-0.19503780000000001</v>
      </c>
      <c r="V3">
        <v>1.856487E-3</v>
      </c>
      <c r="W3">
        <v>5.3599710000000002E-2</v>
      </c>
      <c r="X3">
        <v>0.99856080000000003</v>
      </c>
      <c r="Y3">
        <v>6.1465980000000003E-2</v>
      </c>
      <c r="Z3">
        <v>-8.6176740000000005E-3</v>
      </c>
      <c r="AA3">
        <v>0.99807199999999996</v>
      </c>
      <c r="AB3">
        <v>1</v>
      </c>
      <c r="AC3">
        <v>0.66719999999997903</v>
      </c>
      <c r="AD3">
        <v>-0.19316759999999999</v>
      </c>
      <c r="AE3">
        <v>-4.3200000000012999E-2</v>
      </c>
      <c r="AF3">
        <v>3.98435023463155E-2</v>
      </c>
      <c r="AG3">
        <v>-0.19316759999999999</v>
      </c>
      <c r="AH3">
        <v>0.61580006828408895</v>
      </c>
      <c r="AI3">
        <v>107.381739458585</v>
      </c>
      <c r="AJ3">
        <v>86.298008075504896</v>
      </c>
      <c r="AK3">
        <v>0.64661499400158495</v>
      </c>
      <c r="AL3">
        <v>86.927490522871807</v>
      </c>
      <c r="AM3">
        <v>89.893477946193102</v>
      </c>
      <c r="AN3">
        <v>1.00000002337635</v>
      </c>
    </row>
    <row r="4" spans="1:40" x14ac:dyDescent="0.25">
      <c r="A4" t="str">
        <f>"20190312150637580"</f>
        <v>20190312150637580</v>
      </c>
      <c r="B4" t="str">
        <f>"1552374397570574"</f>
        <v>1552374397570574</v>
      </c>
      <c r="C4" t="s">
        <v>40</v>
      </c>
      <c r="D4">
        <v>4.920858</v>
      </c>
      <c r="E4">
        <v>0.5215533</v>
      </c>
      <c r="F4" t="s">
        <v>41</v>
      </c>
      <c r="G4">
        <v>-475.92039999999997</v>
      </c>
      <c r="H4">
        <v>0.91660759999999997</v>
      </c>
      <c r="I4">
        <v>367.17140000000001</v>
      </c>
      <c r="J4">
        <v>-476.5915</v>
      </c>
      <c r="K4">
        <v>1.109469</v>
      </c>
      <c r="L4">
        <v>367.21510000000001</v>
      </c>
      <c r="M4">
        <v>0.99997559999999996</v>
      </c>
      <c r="N4">
        <v>0</v>
      </c>
      <c r="O4" s="1">
        <v>-7.7899330000000003E-5</v>
      </c>
      <c r="P4">
        <v>0.99890730000000005</v>
      </c>
      <c r="Q4">
        <v>4.6689479999999998E-2</v>
      </c>
      <c r="R4">
        <v>-2.108544E-3</v>
      </c>
      <c r="S4">
        <v>3.0426030000000002</v>
      </c>
      <c r="T4">
        <v>-0.86408050000000003</v>
      </c>
      <c r="U4">
        <v>-0.19369510000000001</v>
      </c>
      <c r="V4">
        <v>2.0363600000000001E-3</v>
      </c>
      <c r="W4">
        <v>5.3664950000000003E-2</v>
      </c>
      <c r="X4">
        <v>0.99855689999999997</v>
      </c>
      <c r="Y4">
        <v>6.1052960000000003E-2</v>
      </c>
      <c r="Z4">
        <v>-8.4714630000000003E-3</v>
      </c>
      <c r="AA4">
        <v>0.99809859999999995</v>
      </c>
      <c r="AB4">
        <v>1</v>
      </c>
      <c r="AC4">
        <v>0.67110000000002401</v>
      </c>
      <c r="AD4">
        <v>-0.19286139999999999</v>
      </c>
      <c r="AE4">
        <v>-4.3700000000001099E-2</v>
      </c>
      <c r="AF4">
        <v>4.0330938774163903E-2</v>
      </c>
      <c r="AG4">
        <v>-0.19286139999999999</v>
      </c>
      <c r="AH4">
        <v>0.62010638835569498</v>
      </c>
      <c r="AI4">
        <v>107.24213142862401</v>
      </c>
      <c r="AJ4">
        <v>86.278795676320399</v>
      </c>
      <c r="AK4">
        <v>0.65065661997086399</v>
      </c>
      <c r="AL4">
        <v>86.923747019189804</v>
      </c>
      <c r="AM4">
        <v>89.883156711621595</v>
      </c>
      <c r="AN4">
        <v>0.99999997807908003</v>
      </c>
    </row>
    <row r="5" spans="1:40" x14ac:dyDescent="0.25">
      <c r="A5" t="str">
        <f>"20190312150637598"</f>
        <v>20190312150637598</v>
      </c>
      <c r="B5" t="str">
        <f>"1552374397591070"</f>
        <v>1552374397591070</v>
      </c>
      <c r="C5" t="s">
        <v>40</v>
      </c>
      <c r="D5">
        <v>4.8172969999999999</v>
      </c>
      <c r="E5">
        <v>0.521121099999999</v>
      </c>
      <c r="F5" t="s">
        <v>41</v>
      </c>
      <c r="G5">
        <v>-475.91879999999998</v>
      </c>
      <c r="H5">
        <v>0.92013160000000005</v>
      </c>
      <c r="I5">
        <v>367.17200000000003</v>
      </c>
      <c r="J5">
        <v>-476.5822</v>
      </c>
      <c r="K5">
        <v>1.109639</v>
      </c>
      <c r="L5">
        <v>367.21499999999997</v>
      </c>
      <c r="M5">
        <v>0.99997480000000005</v>
      </c>
      <c r="N5">
        <v>0</v>
      </c>
      <c r="O5">
        <v>-1.001544E-4</v>
      </c>
      <c r="P5">
        <v>0.99891079999999999</v>
      </c>
      <c r="Q5">
        <v>4.6605239999999999E-2</v>
      </c>
      <c r="R5">
        <v>-2.3022350000000001E-3</v>
      </c>
      <c r="S5">
        <v>3.0428769999999998</v>
      </c>
      <c r="T5">
        <v>-0.85640469999999902</v>
      </c>
      <c r="U5">
        <v>-0.19256590000000001</v>
      </c>
      <c r="V5">
        <v>2.2070420000000002E-3</v>
      </c>
      <c r="W5">
        <v>5.3684469999999998E-2</v>
      </c>
      <c r="X5">
        <v>0.99855550000000004</v>
      </c>
      <c r="Y5">
        <v>6.0712229999999999E-2</v>
      </c>
      <c r="Z5">
        <v>-8.3452600000000002E-3</v>
      </c>
      <c r="AA5">
        <v>0.99812040000000002</v>
      </c>
      <c r="AB5">
        <v>1</v>
      </c>
      <c r="AC5">
        <v>0.66340000000002397</v>
      </c>
      <c r="AD5">
        <v>-0.18950739999999999</v>
      </c>
      <c r="AE5">
        <v>-4.3000000000006297E-2</v>
      </c>
      <c r="AF5">
        <v>3.9706941355280398E-2</v>
      </c>
      <c r="AG5">
        <v>-0.18950739999999999</v>
      </c>
      <c r="AH5">
        <v>0.61354703454520698</v>
      </c>
      <c r="AI5">
        <v>107.130712864516</v>
      </c>
      <c r="AJ5">
        <v>86.297151142352803</v>
      </c>
      <c r="AK5">
        <v>0.64337365460964402</v>
      </c>
      <c r="AL5">
        <v>86.922627027617594</v>
      </c>
      <c r="AM5">
        <v>89.873363087085906</v>
      </c>
      <c r="AN5">
        <v>0.99999998996690997</v>
      </c>
    </row>
    <row r="6" spans="1:40" x14ac:dyDescent="0.25">
      <c r="A6" t="str">
        <f>"20190312150637611"</f>
        <v>20190312150637611</v>
      </c>
      <c r="B6" t="str">
        <f>"1552374397600831"</f>
        <v>1552374397600831</v>
      </c>
      <c r="C6" t="s">
        <v>40</v>
      </c>
      <c r="D6">
        <v>4.7302460000000002</v>
      </c>
      <c r="E6">
        <v>0.52096339999999997</v>
      </c>
      <c r="F6" t="s">
        <v>41</v>
      </c>
      <c r="G6">
        <v>-475.90859999999998</v>
      </c>
      <c r="H6">
        <v>0.92190479999999997</v>
      </c>
      <c r="I6">
        <v>367.17309999999998</v>
      </c>
      <c r="J6">
        <v>-476.57490000000001</v>
      </c>
      <c r="K6">
        <v>1.10968</v>
      </c>
      <c r="L6">
        <v>367.21499999999997</v>
      </c>
      <c r="M6">
        <v>0.99997570000000002</v>
      </c>
      <c r="N6">
        <v>0</v>
      </c>
      <c r="O6">
        <v>-1.170002E-4</v>
      </c>
      <c r="P6">
        <v>0.99890120000000004</v>
      </c>
      <c r="Q6">
        <v>4.6816469999999999E-2</v>
      </c>
      <c r="R6">
        <v>-2.1493179999999999E-3</v>
      </c>
      <c r="S6">
        <v>3.0423580000000001</v>
      </c>
      <c r="T6">
        <v>-0.84795450000000006</v>
      </c>
      <c r="U6">
        <v>-0.1896362</v>
      </c>
      <c r="V6">
        <v>2.0371389999999999E-3</v>
      </c>
      <c r="W6">
        <v>5.37797E-2</v>
      </c>
      <c r="X6">
        <v>0.99855079999999996</v>
      </c>
      <c r="Y6">
        <v>5.9827270000000002E-2</v>
      </c>
      <c r="Z6">
        <v>-8.1420250000000007E-3</v>
      </c>
      <c r="AA6">
        <v>0.99817560000000005</v>
      </c>
      <c r="AB6">
        <v>1</v>
      </c>
      <c r="AC6">
        <v>0.66630000000003498</v>
      </c>
      <c r="AD6">
        <v>-0.187775199999999</v>
      </c>
      <c r="AE6">
        <v>-4.1899999999998203E-2</v>
      </c>
      <c r="AF6">
        <v>3.8756105528398498E-2</v>
      </c>
      <c r="AG6">
        <v>-0.187775199999999</v>
      </c>
      <c r="AH6">
        <v>0.61745870296959504</v>
      </c>
      <c r="AI6">
        <v>106.88369661300599</v>
      </c>
      <c r="AJ6">
        <v>86.408420487551894</v>
      </c>
      <c r="AK6">
        <v>0.64654219608905905</v>
      </c>
      <c r="AL6">
        <v>86.9171630517625</v>
      </c>
      <c r="AM6">
        <v>89.883111299842199</v>
      </c>
      <c r="AN6">
        <v>1.0000000531240101</v>
      </c>
    </row>
    <row r="7" spans="1:40" x14ac:dyDescent="0.25">
      <c r="A7" t="str">
        <f>"20190312150637623"</f>
        <v>20190312150637623</v>
      </c>
      <c r="B7" t="str">
        <f>"1552374397620981"</f>
        <v>1552374397620981</v>
      </c>
      <c r="C7" t="s">
        <v>40</v>
      </c>
      <c r="D7">
        <v>4.7946980000000003</v>
      </c>
      <c r="E7">
        <v>0.52069089999999996</v>
      </c>
      <c r="F7" t="s">
        <v>41</v>
      </c>
      <c r="G7">
        <v>-475.89569999999998</v>
      </c>
      <c r="H7">
        <v>0.92122269999999995</v>
      </c>
      <c r="I7">
        <v>367.17259999999999</v>
      </c>
      <c r="J7">
        <v>-476.56689999999998</v>
      </c>
      <c r="K7">
        <v>1.109634</v>
      </c>
      <c r="L7">
        <v>367.21499999999997</v>
      </c>
      <c r="M7">
        <v>0.99997820000000004</v>
      </c>
      <c r="N7">
        <v>0</v>
      </c>
      <c r="O7">
        <v>-1.366917E-4</v>
      </c>
      <c r="P7">
        <v>0.99888509999999997</v>
      </c>
      <c r="Q7">
        <v>4.7164919999999999E-2</v>
      </c>
      <c r="R7">
        <v>-2.032739E-3</v>
      </c>
      <c r="S7">
        <v>3.0424500000000001</v>
      </c>
      <c r="T7">
        <v>-0.84418169999999904</v>
      </c>
      <c r="U7">
        <v>-0.1879883</v>
      </c>
      <c r="V7">
        <v>1.9006870000000001E-3</v>
      </c>
      <c r="W7">
        <v>5.3756369999999998E-2</v>
      </c>
      <c r="X7">
        <v>0.99855229999999995</v>
      </c>
      <c r="Y7">
        <v>5.9307270000000002E-2</v>
      </c>
      <c r="Z7">
        <v>-8.0309130000000006E-3</v>
      </c>
      <c r="AA7">
        <v>0.99820739999999997</v>
      </c>
      <c r="AB7">
        <v>1</v>
      </c>
      <c r="AC7">
        <v>0.67119999999999802</v>
      </c>
      <c r="AD7">
        <v>-0.1884113</v>
      </c>
      <c r="AE7">
        <v>-4.23999999999864E-2</v>
      </c>
      <c r="AF7">
        <v>3.9229376946658498E-2</v>
      </c>
      <c r="AG7">
        <v>-0.1884113</v>
      </c>
      <c r="AH7">
        <v>0.62236052883306003</v>
      </c>
      <c r="AI7">
        <v>106.811506976975</v>
      </c>
      <c r="AJ7">
        <v>86.393235284794997</v>
      </c>
      <c r="AK7">
        <v>0.65143717259048095</v>
      </c>
      <c r="AL7">
        <v>86.918501620781498</v>
      </c>
      <c r="AM7">
        <v>89.890940903390103</v>
      </c>
      <c r="AN7">
        <v>1.00000002788096</v>
      </c>
    </row>
    <row r="8" spans="1:40" x14ac:dyDescent="0.25">
      <c r="A8" t="str">
        <f>"20190312150637643"</f>
        <v>20190312150637643</v>
      </c>
      <c r="B8" t="str">
        <f>"1552374397640502"</f>
        <v>1552374397640502</v>
      </c>
      <c r="C8" t="s">
        <v>40</v>
      </c>
      <c r="D8">
        <v>4.9246639999999999</v>
      </c>
      <c r="E8">
        <v>0.52038679999999904</v>
      </c>
      <c r="F8" t="s">
        <v>41</v>
      </c>
      <c r="G8">
        <v>-475.89420000000001</v>
      </c>
      <c r="H8">
        <v>0.92455330000000002</v>
      </c>
      <c r="I8">
        <v>367.17349999999999</v>
      </c>
      <c r="J8">
        <v>-476.55059999999997</v>
      </c>
      <c r="K8">
        <v>1.10945</v>
      </c>
      <c r="L8">
        <v>367.2149</v>
      </c>
      <c r="M8">
        <v>0.99998430000000005</v>
      </c>
      <c r="N8">
        <v>0</v>
      </c>
      <c r="O8">
        <v>-1.851946E-4</v>
      </c>
      <c r="P8">
        <v>0.99885270000000004</v>
      </c>
      <c r="Q8">
        <v>4.7860340000000001E-2</v>
      </c>
      <c r="R8">
        <v>-1.7096769999999999E-3</v>
      </c>
      <c r="S8">
        <v>3.0424799999999999</v>
      </c>
      <c r="T8">
        <v>-0.83706119999999995</v>
      </c>
      <c r="U8">
        <v>-0.1856689</v>
      </c>
      <c r="V8">
        <v>1.5290200000000001E-3</v>
      </c>
      <c r="W8">
        <v>5.3444020000000002E-2</v>
      </c>
      <c r="X8">
        <v>0.9985697</v>
      </c>
      <c r="Y8">
        <v>5.8566029999999998E-2</v>
      </c>
      <c r="Z8">
        <v>-7.8525950000000004E-3</v>
      </c>
      <c r="AA8">
        <v>0.99825260000000005</v>
      </c>
      <c r="AB8">
        <v>1</v>
      </c>
      <c r="AC8">
        <v>0.65639999999996201</v>
      </c>
      <c r="AD8">
        <v>-0.184896699999999</v>
      </c>
      <c r="AE8">
        <v>-4.1400000000009998E-2</v>
      </c>
      <c r="AF8">
        <v>3.8255100254061002E-2</v>
      </c>
      <c r="AG8">
        <v>-0.184896699999999</v>
      </c>
      <c r="AH8">
        <v>0.60833072500138996</v>
      </c>
      <c r="AI8">
        <v>106.874748101218</v>
      </c>
      <c r="AJ8">
        <v>86.401672225611094</v>
      </c>
      <c r="AK8">
        <v>0.63695880035293795</v>
      </c>
      <c r="AL8">
        <v>86.936423706993097</v>
      </c>
      <c r="AM8">
        <v>89.912268192872503</v>
      </c>
      <c r="AN8">
        <v>1.0000000234669999</v>
      </c>
    </row>
    <row r="9" spans="1:40" x14ac:dyDescent="0.25">
      <c r="A9" t="str">
        <f>"20190312150637657"</f>
        <v>20190312150637657</v>
      </c>
      <c r="B9" t="str">
        <f>"1552374397650261"</f>
        <v>1552374397650261</v>
      </c>
      <c r="C9" t="s">
        <v>40</v>
      </c>
      <c r="D9">
        <v>4.7869320000000002</v>
      </c>
      <c r="E9">
        <v>0.52025559999999904</v>
      </c>
      <c r="F9" t="s">
        <v>41</v>
      </c>
      <c r="G9">
        <v>-475.87709999999998</v>
      </c>
      <c r="H9">
        <v>0.92579160000000005</v>
      </c>
      <c r="I9">
        <v>367.17469999999997</v>
      </c>
      <c r="J9">
        <v>-476.53809999999999</v>
      </c>
      <c r="K9">
        <v>1.109343</v>
      </c>
      <c r="L9">
        <v>367.2149</v>
      </c>
      <c r="M9">
        <v>0.99998790000000004</v>
      </c>
      <c r="N9">
        <v>0</v>
      </c>
      <c r="O9">
        <v>-2.230352E-4</v>
      </c>
      <c r="P9">
        <v>0.99883089999999997</v>
      </c>
      <c r="Q9">
        <v>4.831353E-2</v>
      </c>
      <c r="R9">
        <v>-1.670366E-3</v>
      </c>
      <c r="S9">
        <v>3.0428769999999998</v>
      </c>
      <c r="T9">
        <v>-0.82983269999999998</v>
      </c>
      <c r="U9">
        <v>-0.18234249999999999</v>
      </c>
      <c r="V9">
        <v>1.45207E-3</v>
      </c>
      <c r="W9">
        <v>5.3247360000000001E-2</v>
      </c>
      <c r="X9">
        <v>0.99858029999999998</v>
      </c>
      <c r="Y9">
        <v>5.750972E-2</v>
      </c>
      <c r="Z9">
        <v>-7.6349829999999997E-3</v>
      </c>
      <c r="AA9">
        <v>0.99831579999999998</v>
      </c>
      <c r="AB9">
        <v>2</v>
      </c>
      <c r="AC9">
        <v>0.66100000000000103</v>
      </c>
      <c r="AD9">
        <v>-0.1835514</v>
      </c>
      <c r="AE9">
        <v>-4.0200000000027103E-2</v>
      </c>
      <c r="AF9">
        <v>3.7195020395094702E-2</v>
      </c>
      <c r="AG9">
        <v>-0.1835514</v>
      </c>
      <c r="AH9">
        <v>0.61384926809803098</v>
      </c>
      <c r="AI9">
        <v>106.618766984869</v>
      </c>
      <c r="AJ9">
        <v>86.532511513374402</v>
      </c>
      <c r="AK9">
        <v>0.64178307077130003</v>
      </c>
      <c r="AL9">
        <v>86.947707498327006</v>
      </c>
      <c r="AM9">
        <v>89.916684292773297</v>
      </c>
      <c r="AN9">
        <v>1.00000000270117</v>
      </c>
    </row>
    <row r="10" spans="1:40" x14ac:dyDescent="0.25">
      <c r="A10" t="str">
        <f>"20190312150637669"</f>
        <v>20190312150637669</v>
      </c>
      <c r="B10" t="str">
        <f>"1552374397660997"</f>
        <v>1552374397660997</v>
      </c>
      <c r="C10" t="s">
        <v>40</v>
      </c>
      <c r="D10">
        <v>4.9207749999999999</v>
      </c>
      <c r="E10">
        <v>0.52012959999999997</v>
      </c>
      <c r="F10" t="s">
        <v>41</v>
      </c>
      <c r="G10">
        <v>-475.85849999999999</v>
      </c>
      <c r="H10">
        <v>0.9248788</v>
      </c>
      <c r="I10">
        <v>367.17410000000001</v>
      </c>
      <c r="J10">
        <v>-476.52620000000002</v>
      </c>
      <c r="K10">
        <v>1.109356</v>
      </c>
      <c r="L10">
        <v>367.21480000000003</v>
      </c>
      <c r="M10">
        <v>0.99998900000000002</v>
      </c>
      <c r="N10">
        <v>0</v>
      </c>
      <c r="O10">
        <v>-2.5490019999999998E-4</v>
      </c>
      <c r="P10">
        <v>0.99882539999999997</v>
      </c>
      <c r="Q10">
        <v>4.842921E-2</v>
      </c>
      <c r="R10">
        <v>-1.6870170000000001E-3</v>
      </c>
      <c r="S10">
        <v>3.0431819999999998</v>
      </c>
      <c r="T10">
        <v>-0.82605059999999997</v>
      </c>
      <c r="U10">
        <v>-0.18099979999999999</v>
      </c>
      <c r="V10">
        <v>1.4365630000000001E-3</v>
      </c>
      <c r="W10">
        <v>5.3140699999999902E-2</v>
      </c>
      <c r="X10">
        <v>0.99858599999999997</v>
      </c>
      <c r="Y10">
        <v>5.7069010000000003E-2</v>
      </c>
      <c r="Z10">
        <v>-7.5335719999999997E-3</v>
      </c>
      <c r="AA10">
        <v>0.99834179999999995</v>
      </c>
      <c r="AB10">
        <v>2</v>
      </c>
      <c r="AC10">
        <v>0.66770000000002405</v>
      </c>
      <c r="AD10">
        <v>-0.18447720000000001</v>
      </c>
      <c r="AE10">
        <v>-4.0700000000015203E-2</v>
      </c>
      <c r="AF10">
        <v>3.7665271847292202E-2</v>
      </c>
      <c r="AG10">
        <v>-0.18447720000000001</v>
      </c>
      <c r="AH10">
        <v>0.62051853175328298</v>
      </c>
      <c r="AI10">
        <v>106.528205973421</v>
      </c>
      <c r="AJ10">
        <v>86.526426816208698</v>
      </c>
      <c r="AK10">
        <v>0.64845490072357403</v>
      </c>
      <c r="AL10">
        <v>86.953827317995007</v>
      </c>
      <c r="AM10">
        <v>89.917574510233905</v>
      </c>
      <c r="AN10">
        <v>0.99999999855287103</v>
      </c>
    </row>
    <row r="11" spans="1:40" x14ac:dyDescent="0.25">
      <c r="A11" t="str">
        <f>"20190312150637689"</f>
        <v>20190312150637689</v>
      </c>
      <c r="B11" t="str">
        <f>"1552374397680517"</f>
        <v>1552374397680517</v>
      </c>
      <c r="C11" t="s">
        <v>40</v>
      </c>
      <c r="D11">
        <v>4.9225649999999996</v>
      </c>
      <c r="E11">
        <v>0.51994849999999904</v>
      </c>
      <c r="F11" t="s">
        <v>41</v>
      </c>
      <c r="G11">
        <v>-475.84249999999997</v>
      </c>
      <c r="H11">
        <v>0.92445759999999999</v>
      </c>
      <c r="I11">
        <v>367.17430000000002</v>
      </c>
      <c r="J11">
        <v>-476.51139999999998</v>
      </c>
      <c r="K11">
        <v>1.1096729999999999</v>
      </c>
      <c r="L11">
        <v>367.21480000000003</v>
      </c>
      <c r="M11">
        <v>0.99998520000000002</v>
      </c>
      <c r="N11">
        <v>0</v>
      </c>
      <c r="O11">
        <v>-2.8317590000000002E-4</v>
      </c>
      <c r="P11">
        <v>0.99885860000000004</v>
      </c>
      <c r="Q11">
        <v>4.7730439999999999E-2</v>
      </c>
      <c r="R11">
        <v>-1.893584E-3</v>
      </c>
      <c r="S11">
        <v>3.0431520000000001</v>
      </c>
      <c r="T11">
        <v>-0.82302609999999998</v>
      </c>
      <c r="U11">
        <v>-0.17950439999999901</v>
      </c>
      <c r="V11">
        <v>1.613625E-3</v>
      </c>
      <c r="W11">
        <v>5.3169269999999998E-2</v>
      </c>
      <c r="X11">
        <v>0.99858420000000003</v>
      </c>
      <c r="Y11">
        <v>5.6585450000000002E-2</v>
      </c>
      <c r="Z11">
        <v>-7.4354290000000003E-3</v>
      </c>
      <c r="AA11">
        <v>0.99837010000000004</v>
      </c>
      <c r="AB11">
        <v>2</v>
      </c>
      <c r="AC11">
        <v>0.66890000000000704</v>
      </c>
      <c r="AD11">
        <v>-0.1852154</v>
      </c>
      <c r="AE11">
        <v>-4.0500000000008599E-2</v>
      </c>
      <c r="AF11">
        <v>3.7449752503663197E-2</v>
      </c>
      <c r="AG11">
        <v>-0.1852154</v>
      </c>
      <c r="AH11">
        <v>0.62143904734147304</v>
      </c>
      <c r="AI11">
        <v>106.567900914262</v>
      </c>
      <c r="AJ11">
        <v>86.551357783299693</v>
      </c>
      <c r="AK11">
        <v>0.64953346174036597</v>
      </c>
      <c r="AL11">
        <v>86.952188033328994</v>
      </c>
      <c r="AM11">
        <v>89.907415096547794</v>
      </c>
      <c r="AN11">
        <v>0.999999989773806</v>
      </c>
    </row>
    <row r="12" spans="1:40" x14ac:dyDescent="0.25">
      <c r="A12" t="str">
        <f>"20190312150637712"</f>
        <v>20190312150637712</v>
      </c>
      <c r="B12" t="str">
        <f>"1552374397701013"</f>
        <v>1552374397701013</v>
      </c>
      <c r="C12" t="s">
        <v>40</v>
      </c>
      <c r="D12">
        <v>4.8286379999999998</v>
      </c>
      <c r="E12">
        <v>0.52010239999999996</v>
      </c>
      <c r="F12" t="s">
        <v>41</v>
      </c>
      <c r="G12">
        <v>-475.82900000000001</v>
      </c>
      <c r="H12">
        <v>0.92551260000000002</v>
      </c>
      <c r="I12">
        <v>367.17450000000002</v>
      </c>
      <c r="J12">
        <v>-476.495</v>
      </c>
      <c r="K12">
        <v>1.1100449999999999</v>
      </c>
      <c r="L12">
        <v>367.21469999999999</v>
      </c>
      <c r="M12">
        <v>0.99997860000000005</v>
      </c>
      <c r="N12">
        <v>0</v>
      </c>
      <c r="O12">
        <v>-3.066926E-4</v>
      </c>
      <c r="P12">
        <v>0.99891600000000003</v>
      </c>
      <c r="Q12">
        <v>4.6504959999999998E-2</v>
      </c>
      <c r="R12">
        <v>-2.0965100000000002E-3</v>
      </c>
      <c r="S12">
        <v>3.0423279999999999</v>
      </c>
      <c r="T12">
        <v>-0.82100960000000001</v>
      </c>
      <c r="U12">
        <v>-0.17834469999999999</v>
      </c>
      <c r="V12">
        <v>1.7915470000000001E-3</v>
      </c>
      <c r="W12">
        <v>5.304499E-2</v>
      </c>
      <c r="X12">
        <v>0.99859050000000005</v>
      </c>
      <c r="Y12">
        <v>5.6221019999999997E-2</v>
      </c>
      <c r="Z12">
        <v>-7.3653569999999899E-3</v>
      </c>
      <c r="AA12">
        <v>0.99839120000000003</v>
      </c>
      <c r="AB12">
        <v>2</v>
      </c>
      <c r="AC12">
        <v>0.66599999999999604</v>
      </c>
      <c r="AD12">
        <v>-0.18453240000000001</v>
      </c>
      <c r="AE12">
        <v>-4.0199999999970197E-2</v>
      </c>
      <c r="AF12">
        <v>3.7153761986866797E-2</v>
      </c>
      <c r="AG12">
        <v>-0.18453240000000001</v>
      </c>
      <c r="AH12">
        <v>0.61868750471338096</v>
      </c>
      <c r="AI12">
        <v>106.57973903975299</v>
      </c>
      <c r="AJ12">
        <v>86.563369584024301</v>
      </c>
      <c r="AK12">
        <v>0.64668913487703295</v>
      </c>
      <c r="AL12">
        <v>86.959318797051694</v>
      </c>
      <c r="AM12">
        <v>89.897207141698004</v>
      </c>
      <c r="AN12">
        <v>0.99999998364750098</v>
      </c>
    </row>
    <row r="13" spans="1:40" x14ac:dyDescent="0.25">
      <c r="A13" t="str">
        <f>"20190312150637734"</f>
        <v>20190312150637734</v>
      </c>
      <c r="B13" t="str">
        <f>"1552374397730293"</f>
        <v>1552374397730293</v>
      </c>
      <c r="C13" t="s">
        <v>40</v>
      </c>
      <c r="D13">
        <v>4.995126</v>
      </c>
      <c r="E13">
        <v>0.51981069999999996</v>
      </c>
      <c r="F13" t="s">
        <v>41</v>
      </c>
      <c r="G13">
        <v>-475.81259999999997</v>
      </c>
      <c r="H13">
        <v>0.92357389999999995</v>
      </c>
      <c r="I13">
        <v>367.17399999999998</v>
      </c>
      <c r="J13">
        <v>-476.4742</v>
      </c>
      <c r="K13">
        <v>1.109888</v>
      </c>
      <c r="L13">
        <v>367.21469999999999</v>
      </c>
      <c r="M13">
        <v>0.99998169999999997</v>
      </c>
      <c r="N13">
        <v>0</v>
      </c>
      <c r="O13">
        <v>-3.4339489999999999E-4</v>
      </c>
      <c r="P13">
        <v>0.99890449999999997</v>
      </c>
      <c r="Q13">
        <v>4.672229E-2</v>
      </c>
      <c r="R13">
        <v>-2.6320499999999999E-3</v>
      </c>
      <c r="S13">
        <v>3.0415649999999999</v>
      </c>
      <c r="T13">
        <v>-0.83109469999999996</v>
      </c>
      <c r="U13">
        <v>-0.18038940000000001</v>
      </c>
      <c r="V13">
        <v>2.2909250000000001E-3</v>
      </c>
      <c r="W13">
        <v>5.2762150000000001E-2</v>
      </c>
      <c r="X13">
        <v>0.99860450000000001</v>
      </c>
      <c r="Y13">
        <v>5.6798759999999997E-2</v>
      </c>
      <c r="Z13">
        <v>-7.5219269999999899E-3</v>
      </c>
      <c r="AA13">
        <v>0.9983573</v>
      </c>
      <c r="AB13">
        <v>1</v>
      </c>
      <c r="AC13">
        <v>0.66160000000002095</v>
      </c>
      <c r="AD13">
        <v>-0.18631410000000001</v>
      </c>
      <c r="AE13">
        <v>-4.0699999999958401E-2</v>
      </c>
      <c r="AF13">
        <v>3.7509340860065903E-2</v>
      </c>
      <c r="AG13">
        <v>-0.18631410000000001</v>
      </c>
      <c r="AH13">
        <v>0.61316984784042805</v>
      </c>
      <c r="AI13">
        <v>106.871870810635</v>
      </c>
      <c r="AJ13">
        <v>86.4994166409748</v>
      </c>
      <c r="AK13">
        <v>0.64194793933092498</v>
      </c>
      <c r="AL13">
        <v>86.975547171692199</v>
      </c>
      <c r="AM13">
        <v>89.868556467143193</v>
      </c>
      <c r="AN13">
        <v>1.00000002011511</v>
      </c>
    </row>
    <row r="14" spans="1:40" x14ac:dyDescent="0.25">
      <c r="A14" t="str">
        <f>"20190312150637754"</f>
        <v>20190312150637754</v>
      </c>
      <c r="B14" t="str">
        <f>"1552374397750789"</f>
        <v>1552374397750789</v>
      </c>
      <c r="C14" t="s">
        <v>40</v>
      </c>
      <c r="D14">
        <v>5.6083509999999999</v>
      </c>
      <c r="E14">
        <v>0.51962759999999997</v>
      </c>
      <c r="F14" t="s">
        <v>41</v>
      </c>
      <c r="G14">
        <v>-475.79140000000001</v>
      </c>
      <c r="H14">
        <v>0.92396100000000003</v>
      </c>
      <c r="I14">
        <v>367.17399999999998</v>
      </c>
      <c r="J14">
        <v>-476.45179999999999</v>
      </c>
      <c r="K14">
        <v>1.10965</v>
      </c>
      <c r="L14">
        <v>367.21460000000002</v>
      </c>
      <c r="M14">
        <v>0.99998640000000005</v>
      </c>
      <c r="N14">
        <v>0</v>
      </c>
      <c r="O14">
        <v>-3.9193620000000002E-4</v>
      </c>
      <c r="P14">
        <v>0.99887060000000005</v>
      </c>
      <c r="Q14">
        <v>4.7393490000000003E-2</v>
      </c>
      <c r="R14">
        <v>-3.3460040000000001E-3</v>
      </c>
      <c r="S14">
        <v>3.041534</v>
      </c>
      <c r="T14">
        <v>-0.82818809999999998</v>
      </c>
      <c r="U14">
        <v>-0.17965699999999901</v>
      </c>
      <c r="V14">
        <v>2.9570730000000002E-3</v>
      </c>
      <c r="W14">
        <v>5.2588339999999997E-2</v>
      </c>
      <c r="X14">
        <v>0.9986119</v>
      </c>
      <c r="Y14">
        <v>5.6536669999999997E-2</v>
      </c>
      <c r="Z14">
        <v>-7.4486819999999999E-3</v>
      </c>
      <c r="AA14">
        <v>0.9983727</v>
      </c>
      <c r="AB14">
        <v>2</v>
      </c>
      <c r="AC14">
        <v>0.660399999999981</v>
      </c>
      <c r="AD14">
        <v>-0.18568899999999999</v>
      </c>
      <c r="AE14">
        <v>-4.0599999999983503E-2</v>
      </c>
      <c r="AF14">
        <v>3.73957715608692E-2</v>
      </c>
      <c r="AG14">
        <v>-0.18568899999999999</v>
      </c>
      <c r="AH14">
        <v>0.61219760416180102</v>
      </c>
      <c r="AI14">
        <v>106.84374903265901</v>
      </c>
      <c r="AJ14">
        <v>86.5044605058618</v>
      </c>
      <c r="AK14">
        <v>0.64083129994803001</v>
      </c>
      <c r="AL14">
        <v>86.985519541957999</v>
      </c>
      <c r="AM14">
        <v>89.830337183645199</v>
      </c>
      <c r="AN14">
        <v>1.0000000023031399</v>
      </c>
    </row>
    <row r="15" spans="1:40" x14ac:dyDescent="0.25">
      <c r="A15" t="str">
        <f>"20190312150637766"</f>
        <v>20190312150637766</v>
      </c>
      <c r="B15" t="str">
        <f>"1552374397760550"</f>
        <v>1552374397760550</v>
      </c>
      <c r="C15" t="s">
        <v>40</v>
      </c>
      <c r="D15">
        <v>4.9727610000000002</v>
      </c>
      <c r="E15">
        <v>0.51956229999999903</v>
      </c>
      <c r="F15" t="s">
        <v>41</v>
      </c>
      <c r="G15">
        <v>-475.76799999999997</v>
      </c>
      <c r="H15">
        <v>0.92469869999999998</v>
      </c>
      <c r="I15">
        <v>367.1739</v>
      </c>
      <c r="J15">
        <v>-476.43810000000002</v>
      </c>
      <c r="K15">
        <v>1.1095870000000001</v>
      </c>
      <c r="L15">
        <v>367.21460000000002</v>
      </c>
      <c r="M15">
        <v>0.99998779999999998</v>
      </c>
      <c r="N15">
        <v>0</v>
      </c>
      <c r="O15">
        <v>-4.2198490000000001E-4</v>
      </c>
      <c r="P15">
        <v>0.99886030000000003</v>
      </c>
      <c r="Q15">
        <v>4.7602800000000001E-2</v>
      </c>
      <c r="R15">
        <v>-3.4883230000000002E-3</v>
      </c>
      <c r="S15">
        <v>3.0418400000000001</v>
      </c>
      <c r="T15">
        <v>-0.82281009999999999</v>
      </c>
      <c r="U15">
        <v>-0.1802368</v>
      </c>
      <c r="V15">
        <v>3.0696389999999999E-3</v>
      </c>
      <c r="W15">
        <v>5.251596E-2</v>
      </c>
      <c r="X15">
        <v>0.99861540000000004</v>
      </c>
      <c r="Y15">
        <v>5.6711570000000003E-2</v>
      </c>
      <c r="Z15">
        <v>-7.4164749999999996E-3</v>
      </c>
      <c r="AA15">
        <v>0.99836309999999995</v>
      </c>
      <c r="AB15">
        <v>2</v>
      </c>
      <c r="AC15">
        <v>0.67009999999999004</v>
      </c>
      <c r="AD15">
        <v>-0.18488830000000001</v>
      </c>
      <c r="AE15">
        <v>-4.0700000000015203E-2</v>
      </c>
      <c r="AF15">
        <v>3.75678023356351E-2</v>
      </c>
      <c r="AG15">
        <v>-0.18488830000000001</v>
      </c>
      <c r="AH15">
        <v>0.62287378470145105</v>
      </c>
      <c r="AI15">
        <v>106.504169561487</v>
      </c>
      <c r="AJ15">
        <v>86.548462617354701</v>
      </c>
      <c r="AK15">
        <v>0.65082007876027304</v>
      </c>
      <c r="AL15">
        <v>86.989672441172701</v>
      </c>
      <c r="AM15">
        <v>89.823879337944504</v>
      </c>
      <c r="AN15">
        <v>1.0000000329277301</v>
      </c>
    </row>
    <row r="16" spans="1:40" x14ac:dyDescent="0.25">
      <c r="A16" t="str">
        <f>"20190312150637779"</f>
        <v>20190312150637779</v>
      </c>
      <c r="B16" t="str">
        <f>"1552374397770309"</f>
        <v>1552374397770309</v>
      </c>
      <c r="C16" t="s">
        <v>40</v>
      </c>
      <c r="D16">
        <v>5.3298300000000003</v>
      </c>
      <c r="E16">
        <v>0.51948660000000002</v>
      </c>
      <c r="F16" t="s">
        <v>41</v>
      </c>
      <c r="G16">
        <v>-475.74930000000001</v>
      </c>
      <c r="H16">
        <v>0.92379279999999997</v>
      </c>
      <c r="I16">
        <v>367.17360000000002</v>
      </c>
      <c r="J16">
        <v>-476.42610000000002</v>
      </c>
      <c r="K16">
        <v>1.109782</v>
      </c>
      <c r="L16">
        <v>367.21449999999999</v>
      </c>
      <c r="M16">
        <v>0.99998469999999995</v>
      </c>
      <c r="N16">
        <v>0</v>
      </c>
      <c r="O16">
        <v>-4.43084E-4</v>
      </c>
      <c r="P16">
        <v>0.99888469999999996</v>
      </c>
      <c r="Q16">
        <v>4.7066860000000002E-2</v>
      </c>
      <c r="R16">
        <v>-3.780959E-3</v>
      </c>
      <c r="S16">
        <v>3.0419010000000002</v>
      </c>
      <c r="T16">
        <v>-0.82054579999999999</v>
      </c>
      <c r="U16">
        <v>-0.17999270000000001</v>
      </c>
      <c r="V16">
        <v>3.3409619999999998E-3</v>
      </c>
      <c r="W16">
        <v>5.2573580000000002E-2</v>
      </c>
      <c r="X16">
        <v>0.99861149999999999</v>
      </c>
      <c r="Y16">
        <v>5.6624290000000001E-2</v>
      </c>
      <c r="Z16">
        <v>-7.3794999999999998E-3</v>
      </c>
      <c r="AA16">
        <v>0.99836829999999999</v>
      </c>
      <c r="AB16">
        <v>3</v>
      </c>
      <c r="AC16">
        <v>0.67680000000001395</v>
      </c>
      <c r="AD16">
        <v>-0.18598919999999999</v>
      </c>
      <c r="AE16">
        <v>-4.0899999999964999E-2</v>
      </c>
      <c r="AF16">
        <v>3.7758977374218197E-2</v>
      </c>
      <c r="AG16">
        <v>-0.18598919999999999</v>
      </c>
      <c r="AH16">
        <v>0.62945534612745502</v>
      </c>
      <c r="AI16">
        <v>106.433223897121</v>
      </c>
      <c r="AJ16">
        <v>86.567126366101206</v>
      </c>
      <c r="AK16">
        <v>0.65744334786916903</v>
      </c>
      <c r="AL16">
        <v>86.986366499696999</v>
      </c>
      <c r="AM16">
        <v>89.808311532649597</v>
      </c>
      <c r="AN16">
        <v>1.0000000356366701</v>
      </c>
    </row>
    <row r="17" spans="1:40" x14ac:dyDescent="0.25">
      <c r="A17" t="str">
        <f>"20190312150637790"</f>
        <v>20190312150637790</v>
      </c>
      <c r="B17" t="str">
        <f>"1552374397781046"</f>
        <v>1552374397781046</v>
      </c>
      <c r="C17" t="s">
        <v>40</v>
      </c>
      <c r="D17">
        <v>5.2434279999999998</v>
      </c>
      <c r="E17">
        <v>0.51940419999999998</v>
      </c>
      <c r="F17" t="s">
        <v>41</v>
      </c>
      <c r="G17">
        <v>-475.74799999999999</v>
      </c>
      <c r="H17">
        <v>0.92683680000000002</v>
      </c>
      <c r="I17">
        <v>367.17410000000001</v>
      </c>
      <c r="J17">
        <v>-476.41590000000002</v>
      </c>
      <c r="K17">
        <v>1.1100369999999999</v>
      </c>
      <c r="L17">
        <v>367.21449999999999</v>
      </c>
      <c r="M17">
        <v>0.99997950000000002</v>
      </c>
      <c r="N17">
        <v>0</v>
      </c>
      <c r="O17">
        <v>-4.5841080000000003E-4</v>
      </c>
      <c r="P17">
        <v>0.998915</v>
      </c>
      <c r="Q17">
        <v>4.6410260000000002E-2</v>
      </c>
      <c r="R17">
        <v>-3.8858410000000001E-3</v>
      </c>
      <c r="S17">
        <v>3.0413209999999999</v>
      </c>
      <c r="T17">
        <v>-0.82048159999999903</v>
      </c>
      <c r="U17">
        <v>-0.18035889999999999</v>
      </c>
      <c r="V17">
        <v>3.4298240000000002E-3</v>
      </c>
      <c r="W17">
        <v>5.2784999999999999E-2</v>
      </c>
      <c r="X17">
        <v>0.99860000000000004</v>
      </c>
      <c r="Y17">
        <v>5.6736149999999999E-2</v>
      </c>
      <c r="Z17">
        <v>-7.3910260000000002E-3</v>
      </c>
      <c r="AA17">
        <v>0.99836179999999997</v>
      </c>
      <c r="AB17">
        <v>3</v>
      </c>
      <c r="AC17">
        <v>0.66789999999997396</v>
      </c>
      <c r="AD17">
        <v>-0.18320020000000001</v>
      </c>
      <c r="AE17">
        <v>-4.0399999999976899E-2</v>
      </c>
      <c r="AF17">
        <v>3.7297881948571199E-2</v>
      </c>
      <c r="AG17">
        <v>-0.18320020000000001</v>
      </c>
      <c r="AH17">
        <v>0.62134127908617198</v>
      </c>
      <c r="AI17">
        <v>106.400028666136</v>
      </c>
      <c r="AJ17">
        <v>86.564770410421701</v>
      </c>
      <c r="AK17">
        <v>0.64885933018978004</v>
      </c>
      <c r="AL17">
        <v>86.974236044903293</v>
      </c>
      <c r="AM17">
        <v>89.803210828222007</v>
      </c>
      <c r="AN17">
        <v>0.99999998995883499</v>
      </c>
    </row>
    <row r="18" spans="1:40" x14ac:dyDescent="0.25">
      <c r="A18" t="str">
        <f>"20190312150637811"</f>
        <v>20190312150637811</v>
      </c>
      <c r="B18" t="str">
        <f>"1552374397800570"</f>
        <v>1552374397800570</v>
      </c>
      <c r="C18" t="s">
        <v>40</v>
      </c>
      <c r="D18">
        <v>4.9772589999999903</v>
      </c>
      <c r="E18">
        <v>0.51924559999999997</v>
      </c>
      <c r="F18" t="s">
        <v>41</v>
      </c>
      <c r="G18">
        <v>-475.73309999999998</v>
      </c>
      <c r="H18">
        <v>0.92558689999999999</v>
      </c>
      <c r="I18">
        <v>367.17410000000001</v>
      </c>
      <c r="J18">
        <v>-476.39890000000003</v>
      </c>
      <c r="K18">
        <v>1.110349</v>
      </c>
      <c r="L18">
        <v>367.21449999999999</v>
      </c>
      <c r="M18">
        <v>0.99997100000000005</v>
      </c>
      <c r="N18">
        <v>0</v>
      </c>
      <c r="O18">
        <v>-4.81624E-4</v>
      </c>
      <c r="P18">
        <v>0.99896320000000005</v>
      </c>
      <c r="Q18">
        <v>4.5385090000000003E-2</v>
      </c>
      <c r="R18">
        <v>-3.566334E-3</v>
      </c>
      <c r="S18">
        <v>3.0407099999999998</v>
      </c>
      <c r="T18">
        <v>-0.82144729999999999</v>
      </c>
      <c r="U18">
        <v>-0.18020630000000001</v>
      </c>
      <c r="V18">
        <v>3.086685E-3</v>
      </c>
      <c r="W18">
        <v>5.2982609999999999E-2</v>
      </c>
      <c r="X18">
        <v>0.99859059999999999</v>
      </c>
      <c r="Y18">
        <v>5.6672550000000002E-2</v>
      </c>
      <c r="Z18">
        <v>-7.3862779999999996E-3</v>
      </c>
      <c r="AA18">
        <v>0.99836550000000002</v>
      </c>
      <c r="AB18">
        <v>2</v>
      </c>
      <c r="AC18">
        <v>0.66580000000004702</v>
      </c>
      <c r="AD18">
        <v>-0.18476210000000001</v>
      </c>
      <c r="AE18">
        <v>-4.0399999999976899E-2</v>
      </c>
      <c r="AF18">
        <v>3.7223326863449598E-2</v>
      </c>
      <c r="AG18">
        <v>-0.18476210000000001</v>
      </c>
      <c r="AH18">
        <v>0.61837406320634203</v>
      </c>
      <c r="AI18">
        <v>106.607058209717</v>
      </c>
      <c r="AJ18">
        <v>86.555209459636302</v>
      </c>
      <c r="AK18">
        <v>0.64645888632264503</v>
      </c>
      <c r="AL18">
        <v>86.962897794527805</v>
      </c>
      <c r="AM18">
        <v>89.8228969309978</v>
      </c>
      <c r="AN18">
        <v>0.99999993549752797</v>
      </c>
    </row>
    <row r="19" spans="1:40" x14ac:dyDescent="0.25">
      <c r="A19" t="str">
        <f>"20190312150637823"</f>
        <v>20190312150637823</v>
      </c>
      <c r="B19" t="str">
        <f>"1552374397821061"</f>
        <v>1552374397821061</v>
      </c>
      <c r="C19" t="s">
        <v>40</v>
      </c>
      <c r="D19">
        <v>5.761736</v>
      </c>
      <c r="E19">
        <v>0.51909179999999999</v>
      </c>
      <c r="F19" t="s">
        <v>41</v>
      </c>
      <c r="G19">
        <v>-475.71339999999998</v>
      </c>
      <c r="H19">
        <v>0.92502879999999998</v>
      </c>
      <c r="I19">
        <v>367.17399999999998</v>
      </c>
      <c r="J19">
        <v>-476.38639999999998</v>
      </c>
      <c r="K19">
        <v>1.1102890000000001</v>
      </c>
      <c r="L19">
        <v>367.21440000000001</v>
      </c>
      <c r="M19">
        <v>0.9999711</v>
      </c>
      <c r="N19">
        <v>0</v>
      </c>
      <c r="O19">
        <v>-5.0057949999999997E-4</v>
      </c>
      <c r="P19">
        <v>0.99895889999999998</v>
      </c>
      <c r="Q19">
        <v>4.5464299999999999E-2</v>
      </c>
      <c r="R19">
        <v>-3.7742800000000001E-3</v>
      </c>
      <c r="S19">
        <v>3.0398559999999999</v>
      </c>
      <c r="T19">
        <v>-0.82185659999999905</v>
      </c>
      <c r="U19">
        <v>-0.178009</v>
      </c>
      <c r="V19">
        <v>3.2759260000000002E-3</v>
      </c>
      <c r="W19">
        <v>5.3054980000000002E-2</v>
      </c>
      <c r="X19">
        <v>0.99858619999999998</v>
      </c>
      <c r="Y19">
        <v>5.5973549999999997E-2</v>
      </c>
      <c r="Z19">
        <v>-7.2942019999999996E-3</v>
      </c>
      <c r="AA19">
        <v>0.9984056</v>
      </c>
      <c r="AB19">
        <v>2</v>
      </c>
      <c r="AC19">
        <v>0.67300000000000104</v>
      </c>
      <c r="AD19">
        <v>-0.18526019999999899</v>
      </c>
      <c r="AE19">
        <v>-4.0399999999976899E-2</v>
      </c>
      <c r="AF19">
        <v>3.7250519260020501E-2</v>
      </c>
      <c r="AG19">
        <v>-0.18526019999999899</v>
      </c>
      <c r="AH19">
        <v>0.62577166154414898</v>
      </c>
      <c r="AI19">
        <v>106.463867550069</v>
      </c>
      <c r="AJ19">
        <v>86.593354969705999</v>
      </c>
      <c r="AK19">
        <v>0.65368120309590205</v>
      </c>
      <c r="AL19">
        <v>86.958745596133895</v>
      </c>
      <c r="AM19">
        <v>89.812038199141398</v>
      </c>
      <c r="AN19">
        <v>0.99999998071219798</v>
      </c>
    </row>
    <row r="20" spans="1:40" x14ac:dyDescent="0.25">
      <c r="A20" t="str">
        <f>"20190312150637836"</f>
        <v>20190312150637836</v>
      </c>
      <c r="B20" t="str">
        <f>"1552374397830821"</f>
        <v>1552374397830821</v>
      </c>
      <c r="C20" t="s">
        <v>40</v>
      </c>
      <c r="D20">
        <v>5.5111919999999897</v>
      </c>
      <c r="E20">
        <v>0.51901940000000002</v>
      </c>
      <c r="F20" t="s">
        <v>41</v>
      </c>
      <c r="G20">
        <v>-475.71179999999998</v>
      </c>
      <c r="H20">
        <v>0.92854479999999995</v>
      </c>
      <c r="I20">
        <v>367.17469999999997</v>
      </c>
      <c r="J20">
        <v>-476.3716</v>
      </c>
      <c r="K20">
        <v>1.1100760000000001</v>
      </c>
      <c r="L20">
        <v>367.21440000000001</v>
      </c>
      <c r="M20">
        <v>0.99997530000000001</v>
      </c>
      <c r="N20">
        <v>0</v>
      </c>
      <c r="O20">
        <v>-5.2974519999999896E-4</v>
      </c>
      <c r="P20">
        <v>0.9989325</v>
      </c>
      <c r="Q20">
        <v>4.605149E-2</v>
      </c>
      <c r="R20">
        <v>-3.700297E-3</v>
      </c>
      <c r="S20">
        <v>3.0397340000000002</v>
      </c>
      <c r="T20">
        <v>-0.8190347</v>
      </c>
      <c r="U20">
        <v>-0.17758180000000001</v>
      </c>
      <c r="V20">
        <v>3.1734689999999999E-3</v>
      </c>
      <c r="W20">
        <v>5.3068799999999999E-2</v>
      </c>
      <c r="X20">
        <v>0.99858579999999997</v>
      </c>
      <c r="Y20">
        <v>5.5826399999999998E-2</v>
      </c>
      <c r="Z20">
        <v>-7.2431529999999996E-3</v>
      </c>
      <c r="AA20">
        <v>0.99841420000000003</v>
      </c>
      <c r="AB20">
        <v>2</v>
      </c>
      <c r="AC20">
        <v>0.65980000000001804</v>
      </c>
      <c r="AD20">
        <v>-0.1815312</v>
      </c>
      <c r="AE20">
        <v>-3.9700000000038899E-2</v>
      </c>
      <c r="AF20">
        <v>3.6590653537559498E-2</v>
      </c>
      <c r="AG20">
        <v>-0.1815312</v>
      </c>
      <c r="AH20">
        <v>0.61354503587697495</v>
      </c>
      <c r="AI20">
        <v>106.45439441415201</v>
      </c>
      <c r="AJ20">
        <v>86.587031667175197</v>
      </c>
      <c r="AK20">
        <v>0.64088217602693798</v>
      </c>
      <c r="AL20">
        <v>86.957952661986297</v>
      </c>
      <c r="AM20">
        <v>89.817916729835503</v>
      </c>
      <c r="AN20">
        <v>0.99999998420028602</v>
      </c>
    </row>
    <row r="21" spans="1:40" x14ac:dyDescent="0.25">
      <c r="A21" t="str">
        <f>"20190312150637855"</f>
        <v>20190312150637855</v>
      </c>
      <c r="B21" t="str">
        <f>"1552374397850342"</f>
        <v>1552374397850342</v>
      </c>
      <c r="C21" t="s">
        <v>40</v>
      </c>
      <c r="D21">
        <v>5.7078430000000004</v>
      </c>
      <c r="E21">
        <v>0.51887380000000005</v>
      </c>
      <c r="F21" t="s">
        <v>41</v>
      </c>
      <c r="G21">
        <v>-475.68880000000001</v>
      </c>
      <c r="H21">
        <v>0.9267128</v>
      </c>
      <c r="I21">
        <v>367.1748</v>
      </c>
      <c r="J21">
        <v>-476.34829999999999</v>
      </c>
      <c r="K21">
        <v>1.109772</v>
      </c>
      <c r="L21">
        <v>367.21440000000001</v>
      </c>
      <c r="M21">
        <v>0.99998120000000001</v>
      </c>
      <c r="N21">
        <v>0</v>
      </c>
      <c r="O21">
        <v>-5.8004919999999998E-4</v>
      </c>
      <c r="P21">
        <v>0.99890489999999998</v>
      </c>
      <c r="Q21">
        <v>4.6650509999999999E-2</v>
      </c>
      <c r="R21">
        <v>-3.5489670000000001E-3</v>
      </c>
      <c r="S21">
        <v>3.0401609999999999</v>
      </c>
      <c r="T21">
        <v>-0.8163011</v>
      </c>
      <c r="U21">
        <v>-0.17654420000000001</v>
      </c>
      <c r="V21">
        <v>2.9728049999999998E-3</v>
      </c>
      <c r="W21">
        <v>5.2749280000000003E-2</v>
      </c>
      <c r="X21">
        <v>0.99860329999999997</v>
      </c>
      <c r="Y21">
        <v>5.5456600000000002E-2</v>
      </c>
      <c r="Z21">
        <v>-7.1568889999999996E-3</v>
      </c>
      <c r="AA21">
        <v>0.99843539999999997</v>
      </c>
      <c r="AB21">
        <v>2</v>
      </c>
      <c r="AC21">
        <v>0.65949999999997999</v>
      </c>
      <c r="AD21">
        <v>-0.18305919999999901</v>
      </c>
      <c r="AE21">
        <v>-3.9600000000007102E-2</v>
      </c>
      <c r="AF21">
        <v>3.6421381011933297E-2</v>
      </c>
      <c r="AG21">
        <v>-0.18305919999999901</v>
      </c>
      <c r="AH21">
        <v>0.61250125057656601</v>
      </c>
      <c r="AI21">
        <v>106.612186620971</v>
      </c>
      <c r="AJ21">
        <v>86.597007657792503</v>
      </c>
      <c r="AK21">
        <v>0.64030849569353199</v>
      </c>
      <c r="AL21">
        <v>86.976285346438203</v>
      </c>
      <c r="AM21">
        <v>89.829433092552193</v>
      </c>
      <c r="AN21">
        <v>0.99999993744048599</v>
      </c>
    </row>
    <row r="22" spans="1:40" x14ac:dyDescent="0.25">
      <c r="A22" t="str">
        <f>"20190312150637866"</f>
        <v>20190312150637866</v>
      </c>
      <c r="B22" t="str">
        <f>"1552374397861077"</f>
        <v>1552374397861077</v>
      </c>
      <c r="C22" t="s">
        <v>40</v>
      </c>
      <c r="D22">
        <v>4.9743230000000001</v>
      </c>
      <c r="E22">
        <v>0.51879200000000003</v>
      </c>
      <c r="F22" t="s">
        <v>41</v>
      </c>
      <c r="G22">
        <v>-475.66250000000002</v>
      </c>
      <c r="H22">
        <v>0.9265137</v>
      </c>
      <c r="I22">
        <v>367.17469999999997</v>
      </c>
      <c r="J22">
        <v>-476.33229999999998</v>
      </c>
      <c r="K22">
        <v>1.1095980000000001</v>
      </c>
      <c r="L22">
        <v>367.21440000000001</v>
      </c>
      <c r="M22">
        <v>0.99998450000000005</v>
      </c>
      <c r="N22">
        <v>0</v>
      </c>
      <c r="O22">
        <v>-6.1693760000000001E-4</v>
      </c>
      <c r="P22">
        <v>0.99888370000000004</v>
      </c>
      <c r="Q22">
        <v>4.711137E-2</v>
      </c>
      <c r="R22">
        <v>-3.4937499999999999E-3</v>
      </c>
      <c r="S22">
        <v>3.040619</v>
      </c>
      <c r="T22">
        <v>-0.81262060000000003</v>
      </c>
      <c r="U22">
        <v>-0.17468259999999999</v>
      </c>
      <c r="V22">
        <v>2.881462E-3</v>
      </c>
      <c r="W22">
        <v>5.2649769999999999E-2</v>
      </c>
      <c r="X22">
        <v>0.99860890000000002</v>
      </c>
      <c r="Y22">
        <v>5.4842219999999997E-2</v>
      </c>
      <c r="Z22">
        <v>-7.0345E-3</v>
      </c>
      <c r="AA22">
        <v>0.99847019999999997</v>
      </c>
      <c r="AB22">
        <v>3</v>
      </c>
      <c r="AC22">
        <v>0.66979999999995199</v>
      </c>
      <c r="AD22">
        <v>-0.18308430000000001</v>
      </c>
      <c r="AE22">
        <v>-3.9700000000038899E-2</v>
      </c>
      <c r="AF22">
        <v>3.6564390891808303E-2</v>
      </c>
      <c r="AG22">
        <v>-0.18308430000000001</v>
      </c>
      <c r="AH22">
        <v>0.62340898317065996</v>
      </c>
      <c r="AI22">
        <v>106.34001002132899</v>
      </c>
      <c r="AJ22">
        <v>86.643314478078295</v>
      </c>
      <c r="AK22">
        <v>0.65076537698747805</v>
      </c>
      <c r="AL22">
        <v>86.981995027320494</v>
      </c>
      <c r="AM22">
        <v>89.834674862965997</v>
      </c>
      <c r="AN22">
        <v>1.0000000181317601</v>
      </c>
    </row>
    <row r="23" spans="1:40" x14ac:dyDescent="0.25">
      <c r="A23" t="str">
        <f>"20190312150637879"</f>
        <v>20190312150637879</v>
      </c>
      <c r="B23" t="str">
        <f>"1552374397870838"</f>
        <v>1552374397870838</v>
      </c>
      <c r="C23" t="s">
        <v>40</v>
      </c>
      <c r="D23">
        <v>4.9414829999999998</v>
      </c>
      <c r="E23">
        <v>0.51870919999999998</v>
      </c>
      <c r="F23" t="s">
        <v>41</v>
      </c>
      <c r="G23">
        <v>-475.63600000000002</v>
      </c>
      <c r="H23">
        <v>0.9240699</v>
      </c>
      <c r="I23">
        <v>367.17450000000002</v>
      </c>
      <c r="J23">
        <v>-476.31349999999998</v>
      </c>
      <c r="K23">
        <v>1.10949599999999</v>
      </c>
      <c r="L23">
        <v>367.21429999999998</v>
      </c>
      <c r="M23">
        <v>0.99998670000000001</v>
      </c>
      <c r="N23">
        <v>0</v>
      </c>
      <c r="O23">
        <v>-6.6145859999999996E-4</v>
      </c>
      <c r="P23">
        <v>0.99887870000000001</v>
      </c>
      <c r="Q23">
        <v>4.7227959999999999E-2</v>
      </c>
      <c r="R23">
        <v>-3.3016170000000002E-3</v>
      </c>
      <c r="S23">
        <v>3.0409549999999999</v>
      </c>
      <c r="T23">
        <v>-0.81028509999999998</v>
      </c>
      <c r="U23">
        <v>-0.1739502</v>
      </c>
      <c r="V23">
        <v>2.6455850000000002E-3</v>
      </c>
      <c r="W23">
        <v>5.2336439999999998E-2</v>
      </c>
      <c r="X23">
        <v>0.99862600000000001</v>
      </c>
      <c r="Y23">
        <v>5.4573740000000003E-2</v>
      </c>
      <c r="Z23">
        <v>-6.9674840000000004E-3</v>
      </c>
      <c r="AA23">
        <v>0.99848539999999997</v>
      </c>
      <c r="AB23">
        <v>3</v>
      </c>
      <c r="AC23">
        <v>0.67750000000000898</v>
      </c>
      <c r="AD23">
        <v>-0.18542609999999901</v>
      </c>
      <c r="AE23">
        <v>-3.9799999999956898E-2</v>
      </c>
      <c r="AF23">
        <v>3.6618308513025603E-2</v>
      </c>
      <c r="AG23">
        <v>-0.18542609999999901</v>
      </c>
      <c r="AH23">
        <v>0.630462465301458</v>
      </c>
      <c r="AI23">
        <v>106.36310432549099</v>
      </c>
      <c r="AJ23">
        <v>86.675900407393002</v>
      </c>
      <c r="AK23">
        <v>0.65818436568605698</v>
      </c>
      <c r="AL23">
        <v>86.999972229632206</v>
      </c>
      <c r="AM23">
        <v>89.848210941607107</v>
      </c>
      <c r="AN23">
        <v>0.99999999497393299</v>
      </c>
    </row>
    <row r="24" spans="1:40" x14ac:dyDescent="0.25">
      <c r="A24" t="str">
        <f>"20190312150637902"</f>
        <v>20190312150637902</v>
      </c>
      <c r="B24" t="str">
        <f>"1552374397890358"</f>
        <v>1552374397890358</v>
      </c>
      <c r="C24" t="s">
        <v>40</v>
      </c>
      <c r="D24">
        <v>4.9617170000000002</v>
      </c>
      <c r="E24">
        <v>0.51857529999999996</v>
      </c>
      <c r="F24" t="s">
        <v>41</v>
      </c>
      <c r="G24">
        <v>-475.63389999999998</v>
      </c>
      <c r="H24">
        <v>0.92871400000000004</v>
      </c>
      <c r="I24">
        <v>367.17559999999997</v>
      </c>
      <c r="J24">
        <v>-476.28769999999997</v>
      </c>
      <c r="K24">
        <v>1.109761</v>
      </c>
      <c r="L24">
        <v>367.21420000000001</v>
      </c>
      <c r="M24">
        <v>0.99998240000000005</v>
      </c>
      <c r="N24">
        <v>0</v>
      </c>
      <c r="O24">
        <v>-7.1248679999999997E-4</v>
      </c>
      <c r="P24">
        <v>0.99891759999999996</v>
      </c>
      <c r="Q24">
        <v>4.6417269999999997E-2</v>
      </c>
      <c r="R24">
        <v>-3.0437730000000001E-3</v>
      </c>
      <c r="S24">
        <v>3.0410159999999999</v>
      </c>
      <c r="T24">
        <v>-0.80906029999999995</v>
      </c>
      <c r="U24">
        <v>-0.17276</v>
      </c>
      <c r="V24">
        <v>2.336107E-3</v>
      </c>
      <c r="W24">
        <v>5.2304070000000001E-2</v>
      </c>
      <c r="X24">
        <v>0.99862850000000003</v>
      </c>
      <c r="Y24">
        <v>5.4154029999999999E-2</v>
      </c>
      <c r="Z24">
        <v>-6.8890770000000004E-3</v>
      </c>
      <c r="AA24">
        <v>0.99850879999999997</v>
      </c>
      <c r="AB24">
        <v>3</v>
      </c>
      <c r="AC24">
        <v>0.65379999999998895</v>
      </c>
      <c r="AD24">
        <v>-0.18104700000000001</v>
      </c>
      <c r="AE24">
        <v>-3.8600000000030797E-2</v>
      </c>
      <c r="AF24">
        <v>3.54269861212968E-2</v>
      </c>
      <c r="AG24">
        <v>-0.18104700000000001</v>
      </c>
      <c r="AH24">
        <v>0.60741164976947304</v>
      </c>
      <c r="AI24">
        <v>106.57076417877801</v>
      </c>
      <c r="AJ24">
        <v>86.662033349516406</v>
      </c>
      <c r="AK24">
        <v>0.63480863244785202</v>
      </c>
      <c r="AL24">
        <v>87.001829534063106</v>
      </c>
      <c r="AM24">
        <v>89.865967346782696</v>
      </c>
      <c r="AN24">
        <v>1.00000002707336</v>
      </c>
    </row>
    <row r="25" spans="1:40" x14ac:dyDescent="0.25">
      <c r="A25" t="str">
        <f>"20190312150637922"</f>
        <v>20190312150637922</v>
      </c>
      <c r="B25" t="str">
        <f>"1552374397910853"</f>
        <v>1552374397910853</v>
      </c>
      <c r="C25" t="s">
        <v>40</v>
      </c>
      <c r="D25">
        <v>4.8914330000000001</v>
      </c>
      <c r="E25">
        <v>0.51844639999999997</v>
      </c>
      <c r="F25" t="s">
        <v>41</v>
      </c>
      <c r="G25">
        <v>-475.61</v>
      </c>
      <c r="H25">
        <v>0.92929640000000002</v>
      </c>
      <c r="I25">
        <v>367.17610000000002</v>
      </c>
      <c r="J25">
        <v>-476.26620000000003</v>
      </c>
      <c r="K25">
        <v>1.1102780000000001</v>
      </c>
      <c r="L25">
        <v>367.21409999999997</v>
      </c>
      <c r="M25">
        <v>0.99997009999999997</v>
      </c>
      <c r="N25">
        <v>0</v>
      </c>
      <c r="O25">
        <v>-7.4595130000000001E-4</v>
      </c>
      <c r="P25">
        <v>0.99897829999999999</v>
      </c>
      <c r="Q25">
        <v>4.5119479999999997E-2</v>
      </c>
      <c r="R25">
        <v>-2.6788319999999999E-3</v>
      </c>
      <c r="S25">
        <v>3.040314</v>
      </c>
      <c r="T25">
        <v>-0.80962349999999905</v>
      </c>
      <c r="U25">
        <v>-0.170745799999999</v>
      </c>
      <c r="V25">
        <v>1.936117E-3</v>
      </c>
      <c r="W25">
        <v>5.282738E-2</v>
      </c>
      <c r="X25">
        <v>0.99860179999999998</v>
      </c>
      <c r="Y25">
        <v>5.349487E-2</v>
      </c>
      <c r="Z25">
        <v>-6.8004140000000003E-3</v>
      </c>
      <c r="AA25">
        <v>0.99854500000000002</v>
      </c>
      <c r="AB25">
        <v>3</v>
      </c>
      <c r="AC25">
        <v>0.656200000000012</v>
      </c>
      <c r="AD25">
        <v>-0.18098159999999999</v>
      </c>
      <c r="AE25">
        <v>-3.7999999999954001E-2</v>
      </c>
      <c r="AF25">
        <v>3.4867109123076799E-2</v>
      </c>
      <c r="AG25">
        <v>-0.18098159999999999</v>
      </c>
      <c r="AH25">
        <v>0.60998360967462495</v>
      </c>
      <c r="AI25">
        <v>106.50011058646901</v>
      </c>
      <c r="AJ25">
        <v>86.728491305389795</v>
      </c>
      <c r="AK25">
        <v>0.637220573199615</v>
      </c>
      <c r="AL25">
        <v>86.971804541514402</v>
      </c>
      <c r="AM25">
        <v>89.888913485089901</v>
      </c>
      <c r="AN25">
        <v>1.0000000177949699</v>
      </c>
    </row>
    <row r="26" spans="1:40" x14ac:dyDescent="0.25">
      <c r="A26" t="str">
        <f>"20190312150637936"</f>
        <v>20190312150637936</v>
      </c>
      <c r="B26" t="str">
        <f>"1552374397930375"</f>
        <v>1552374397930375</v>
      </c>
      <c r="C26" t="s">
        <v>40</v>
      </c>
      <c r="D26">
        <v>5.045496</v>
      </c>
      <c r="E26">
        <v>0.51834950000000002</v>
      </c>
      <c r="F26" t="s">
        <v>41</v>
      </c>
      <c r="G26">
        <v>-475.58980000000003</v>
      </c>
      <c r="H26">
        <v>0.92946110000000004</v>
      </c>
      <c r="I26">
        <v>367.17669999999998</v>
      </c>
      <c r="J26">
        <v>-476.25439999999998</v>
      </c>
      <c r="K26">
        <v>1.110603</v>
      </c>
      <c r="L26">
        <v>367.21409999999997</v>
      </c>
      <c r="M26">
        <v>0.99995919999999905</v>
      </c>
      <c r="N26">
        <v>0</v>
      </c>
      <c r="O26">
        <v>-7.582334E-4</v>
      </c>
      <c r="P26">
        <v>0.99901949999999995</v>
      </c>
      <c r="Q26">
        <v>4.4199759999999998E-2</v>
      </c>
      <c r="R26">
        <v>-2.620229E-3</v>
      </c>
      <c r="S26">
        <v>3.039307</v>
      </c>
      <c r="T26">
        <v>-0.81238779999999999</v>
      </c>
      <c r="U26">
        <v>-0.16857910000000001</v>
      </c>
      <c r="V26">
        <v>1.864145E-3</v>
      </c>
      <c r="W26">
        <v>5.3204979999999999E-2</v>
      </c>
      <c r="X26">
        <v>0.99858190000000002</v>
      </c>
      <c r="Y26">
        <v>5.2802500000000002E-2</v>
      </c>
      <c r="Z26">
        <v>-6.7310620000000003E-3</v>
      </c>
      <c r="AA26">
        <v>0.99858230000000003</v>
      </c>
      <c r="AB26">
        <v>3</v>
      </c>
      <c r="AC26">
        <v>0.66459999999995001</v>
      </c>
      <c r="AD26">
        <v>-0.18114189999999999</v>
      </c>
      <c r="AE26">
        <v>-3.7399999999991003E-2</v>
      </c>
      <c r="AF26">
        <v>3.4352158606606301E-2</v>
      </c>
      <c r="AG26">
        <v>-0.18114189999999999</v>
      </c>
      <c r="AH26">
        <v>0.61880375138924604</v>
      </c>
      <c r="AI26">
        <v>106.29253987723099</v>
      </c>
      <c r="AJ26">
        <v>86.822553934152495</v>
      </c>
      <c r="AK26">
        <v>0.64568610134487803</v>
      </c>
      <c r="AL26">
        <v>86.950139217491696</v>
      </c>
      <c r="AM26">
        <v>89.893040804335698</v>
      </c>
      <c r="AN26">
        <v>1.0000000279704899</v>
      </c>
    </row>
    <row r="27" spans="1:40" x14ac:dyDescent="0.25">
      <c r="A27" t="str">
        <f>"20190312150637947"</f>
        <v>20190312150637947</v>
      </c>
      <c r="B27" t="str">
        <f>"1552374397941110"</f>
        <v>1552374397941110</v>
      </c>
      <c r="C27" t="s">
        <v>40</v>
      </c>
      <c r="D27">
        <v>4.8663569999999998</v>
      </c>
      <c r="E27">
        <v>0.51829170000000002</v>
      </c>
      <c r="F27" t="s">
        <v>41</v>
      </c>
      <c r="G27">
        <v>-475.57279999999997</v>
      </c>
      <c r="H27">
        <v>0.92829329999999999</v>
      </c>
      <c r="I27">
        <v>367.17630000000003</v>
      </c>
      <c r="J27">
        <v>-476.24239999999998</v>
      </c>
      <c r="K27">
        <v>1.1107750000000001</v>
      </c>
      <c r="L27">
        <v>367.21409999999997</v>
      </c>
      <c r="M27">
        <v>0.99995109999999998</v>
      </c>
      <c r="N27">
        <v>0</v>
      </c>
      <c r="O27">
        <v>-7.7087249999999998E-4</v>
      </c>
      <c r="P27">
        <v>0.99904870000000001</v>
      </c>
      <c r="Q27">
        <v>4.3525069999999999E-2</v>
      </c>
      <c r="R27">
        <v>-2.7288299999999998E-3</v>
      </c>
      <c r="S27">
        <v>3.038513</v>
      </c>
      <c r="T27">
        <v>-0.81277860000000002</v>
      </c>
      <c r="U27">
        <v>-0.16687009999999999</v>
      </c>
      <c r="V27">
        <v>1.9597859999999998E-3</v>
      </c>
      <c r="W27">
        <v>5.3375449999999998E-2</v>
      </c>
      <c r="X27">
        <v>0.99857260000000003</v>
      </c>
      <c r="Y27">
        <v>5.226103E-2</v>
      </c>
      <c r="Z27">
        <v>-6.661546E-3</v>
      </c>
      <c r="AA27">
        <v>0.99861120000000003</v>
      </c>
      <c r="AB27">
        <v>2</v>
      </c>
      <c r="AC27">
        <v>0.66960000000000197</v>
      </c>
      <c r="AD27">
        <v>-0.1824817</v>
      </c>
      <c r="AE27">
        <v>-3.7799999999947403E-2</v>
      </c>
      <c r="AF27">
        <v>3.4713815989268301E-2</v>
      </c>
      <c r="AG27">
        <v>-0.1824817</v>
      </c>
      <c r="AH27">
        <v>0.62347141859287802</v>
      </c>
      <c r="AI27">
        <v>106.290153789624</v>
      </c>
      <c r="AJ27">
        <v>86.813159991587</v>
      </c>
      <c r="AK27">
        <v>0.65055455548143104</v>
      </c>
      <c r="AL27">
        <v>86.940358048127607</v>
      </c>
      <c r="AM27">
        <v>89.887552169585405</v>
      </c>
      <c r="AN27">
        <v>1.00000000844731</v>
      </c>
    </row>
    <row r="28" spans="1:40" x14ac:dyDescent="0.25">
      <c r="A28" t="str">
        <f>"20190312150637967"</f>
        <v>20190312150637967</v>
      </c>
      <c r="B28" t="str">
        <f>"1552374397960630"</f>
        <v>1552374397960630</v>
      </c>
      <c r="C28" t="s">
        <v>40</v>
      </c>
      <c r="D28">
        <v>4.9005190000000001</v>
      </c>
      <c r="E28">
        <v>0.51823649999999999</v>
      </c>
      <c r="F28" t="s">
        <v>41</v>
      </c>
      <c r="G28">
        <v>-475.55149999999998</v>
      </c>
      <c r="H28">
        <v>0.92568229999999996</v>
      </c>
      <c r="I28">
        <v>367.17610000000002</v>
      </c>
      <c r="J28">
        <v>-476.22050000000002</v>
      </c>
      <c r="K28">
        <v>1.110544</v>
      </c>
      <c r="L28">
        <v>367.214</v>
      </c>
      <c r="M28">
        <v>0.99995429999999996</v>
      </c>
      <c r="N28">
        <v>0</v>
      </c>
      <c r="O28">
        <v>-8.0068449999999905E-4</v>
      </c>
      <c r="P28">
        <v>0.99901740000000006</v>
      </c>
      <c r="Q28">
        <v>4.4203640000000002E-2</v>
      </c>
      <c r="R28">
        <v>-3.211579E-3</v>
      </c>
      <c r="S28">
        <v>3.0378720000000001</v>
      </c>
      <c r="T28">
        <v>-0.81387569999999998</v>
      </c>
      <c r="U28">
        <v>-0.1661377</v>
      </c>
      <c r="V28">
        <v>2.4132110000000002E-3</v>
      </c>
      <c r="W28">
        <v>5.3727810000000001E-2</v>
      </c>
      <c r="X28">
        <v>0.99855269999999996</v>
      </c>
      <c r="Y28">
        <v>5.2007169999999998E-2</v>
      </c>
      <c r="Z28">
        <v>-6.6303959999999898E-3</v>
      </c>
      <c r="AA28">
        <v>0.99862470000000003</v>
      </c>
      <c r="AB28">
        <v>2</v>
      </c>
      <c r="AC28">
        <v>0.66900000000003901</v>
      </c>
      <c r="AD28">
        <v>-0.18486169999999899</v>
      </c>
      <c r="AE28">
        <v>-3.7899999999979103E-2</v>
      </c>
      <c r="AF28">
        <v>3.4721594390090697E-2</v>
      </c>
      <c r="AG28">
        <v>-0.18486169999999899</v>
      </c>
      <c r="AH28">
        <v>0.62171081539042194</v>
      </c>
      <c r="AI28">
        <v>106.535149344291</v>
      </c>
      <c r="AJ28">
        <v>86.803439345171995</v>
      </c>
      <c r="AK28">
        <v>0.64954120363322798</v>
      </c>
      <c r="AL28">
        <v>86.920140264041194</v>
      </c>
      <c r="AM28">
        <v>89.8615330606046</v>
      </c>
      <c r="AN28">
        <v>0.99999999791600802</v>
      </c>
    </row>
    <row r="29" spans="1:40" x14ac:dyDescent="0.25">
      <c r="A29" t="str">
        <f>"20190312150637979"</f>
        <v>20190312150637979</v>
      </c>
      <c r="B29" t="str">
        <f>"1552374397970390"</f>
        <v>1552374397970390</v>
      </c>
      <c r="C29" t="s">
        <v>40</v>
      </c>
      <c r="D29">
        <v>4.8511699999999998</v>
      </c>
      <c r="E29">
        <v>0.50155899999999998</v>
      </c>
      <c r="F29" t="s">
        <v>41</v>
      </c>
      <c r="G29">
        <v>-475.52519999999998</v>
      </c>
      <c r="H29">
        <v>0.92467690000000002</v>
      </c>
      <c r="I29">
        <v>367.1755</v>
      </c>
      <c r="J29">
        <v>-476.20359999999999</v>
      </c>
      <c r="K29">
        <v>1.110249</v>
      </c>
      <c r="L29">
        <v>367.21390000000002</v>
      </c>
      <c r="M29">
        <v>0.99996149999999995</v>
      </c>
      <c r="N29">
        <v>0</v>
      </c>
      <c r="O29">
        <v>-8.3231359999999999E-4</v>
      </c>
      <c r="P29">
        <v>0.99897380000000002</v>
      </c>
      <c r="Q29">
        <v>4.518076E-2</v>
      </c>
      <c r="R29">
        <v>-3.2592570000000002E-3</v>
      </c>
      <c r="S29">
        <v>3.0383610000000001</v>
      </c>
      <c r="T29">
        <v>-0.81208599999999997</v>
      </c>
      <c r="U29">
        <v>-0.1670227</v>
      </c>
      <c r="V29">
        <v>2.429765E-3</v>
      </c>
      <c r="W29">
        <v>5.3923020000000002E-2</v>
      </c>
      <c r="X29">
        <v>0.99854209999999999</v>
      </c>
      <c r="Y29">
        <v>5.2257560000000002E-2</v>
      </c>
      <c r="Z29">
        <v>-6.6397940000000001E-3</v>
      </c>
      <c r="AA29">
        <v>0.99861160000000004</v>
      </c>
      <c r="AB29">
        <v>3</v>
      </c>
      <c r="AC29">
        <v>0.67840000000001</v>
      </c>
      <c r="AD29">
        <v>-0.18557209999999999</v>
      </c>
      <c r="AE29">
        <v>-3.8400000000024102E-2</v>
      </c>
      <c r="AF29">
        <v>3.52091694427396E-2</v>
      </c>
      <c r="AG29">
        <v>-0.18557209999999999</v>
      </c>
      <c r="AH29">
        <v>0.63134170282132196</v>
      </c>
      <c r="AI29">
        <v>106.355744162579</v>
      </c>
      <c r="AJ29">
        <v>86.807989585454905</v>
      </c>
      <c r="AK29">
        <v>0.65899092226872402</v>
      </c>
      <c r="AL29">
        <v>86.908939202281104</v>
      </c>
      <c r="AM29">
        <v>89.860581737169994</v>
      </c>
      <c r="AN29">
        <v>0.99999996065814201</v>
      </c>
    </row>
    <row r="30" spans="1:40" x14ac:dyDescent="0.25">
      <c r="A30" t="str">
        <f>"20190312150637993"</f>
        <v>20190312150637993</v>
      </c>
      <c r="B30" t="str">
        <f>"1552374397990885"</f>
        <v>1552374397990885</v>
      </c>
      <c r="C30" t="s">
        <v>40</v>
      </c>
      <c r="D30">
        <v>4.8422669999999997</v>
      </c>
      <c r="E30">
        <v>0.50025149999999996</v>
      </c>
      <c r="F30" t="s">
        <v>41</v>
      </c>
      <c r="G30">
        <v>-475.488</v>
      </c>
      <c r="H30">
        <v>1.001266</v>
      </c>
      <c r="I30">
        <v>367.20650000000001</v>
      </c>
      <c r="J30">
        <v>-476.18459999999999</v>
      </c>
      <c r="K30">
        <v>1.10998</v>
      </c>
      <c r="L30">
        <v>367.21390000000002</v>
      </c>
      <c r="M30">
        <v>0.99996810000000003</v>
      </c>
      <c r="N30">
        <v>0</v>
      </c>
      <c r="O30">
        <v>-8.7275720000000001E-4</v>
      </c>
      <c r="P30">
        <v>0.99893909999999997</v>
      </c>
      <c r="Q30">
        <v>4.5937270000000002E-2</v>
      </c>
      <c r="R30">
        <v>-3.246067E-3</v>
      </c>
      <c r="S30">
        <v>3.0238040000000002</v>
      </c>
      <c r="T30">
        <v>-0.4605533</v>
      </c>
      <c r="U30">
        <v>-2.990723E-2</v>
      </c>
      <c r="V30">
        <v>2.3769450000000001E-3</v>
      </c>
      <c r="W30">
        <v>5.3879209999999997E-2</v>
      </c>
      <c r="X30">
        <v>0.9985446</v>
      </c>
      <c r="Y30">
        <v>8.9245209999999995E-3</v>
      </c>
      <c r="Z30">
        <v>-5.4356300000000005E-4</v>
      </c>
      <c r="AA30">
        <v>0.99995999999999996</v>
      </c>
      <c r="AB30">
        <v>3</v>
      </c>
      <c r="AC30">
        <v>0.69659999999993205</v>
      </c>
      <c r="AD30">
        <v>-0.10871399999999901</v>
      </c>
      <c r="AE30">
        <v>-7.40000000001828E-3</v>
      </c>
      <c r="AF30">
        <v>6.6305408491362898E-3</v>
      </c>
      <c r="AG30">
        <v>-0.10871399999999901</v>
      </c>
      <c r="AH30">
        <v>0.68004496166992401</v>
      </c>
      <c r="AI30">
        <v>99.082196395485994</v>
      </c>
      <c r="AJ30">
        <v>89.441375217630494</v>
      </c>
      <c r="AK30">
        <v>0.68871173052344603</v>
      </c>
      <c r="AL30">
        <v>86.911453009569897</v>
      </c>
      <c r="AM30">
        <v>89.863612842726994</v>
      </c>
      <c r="AN30">
        <v>0.99999996866345797</v>
      </c>
    </row>
    <row r="31" spans="1:40" x14ac:dyDescent="0.25">
      <c r="A31" t="str">
        <f>"20190312150638012"</f>
        <v>20190312150638012</v>
      </c>
      <c r="B31" t="str">
        <f>"1552374398000645"</f>
        <v>1552374398000645</v>
      </c>
      <c r="C31" t="s">
        <v>40</v>
      </c>
      <c r="D31">
        <v>4.8619089999999998</v>
      </c>
      <c r="E31">
        <v>0.49951269999999998</v>
      </c>
      <c r="F31" t="s">
        <v>41</v>
      </c>
      <c r="G31">
        <v>-475.44319999999999</v>
      </c>
      <c r="H31">
        <v>1.034519</v>
      </c>
      <c r="I31">
        <v>367.20979999999997</v>
      </c>
      <c r="J31">
        <v>-476.15769999999998</v>
      </c>
      <c r="K31">
        <v>1.109715</v>
      </c>
      <c r="L31">
        <v>367.21379999999999</v>
      </c>
      <c r="M31">
        <v>0.99997469999999999</v>
      </c>
      <c r="N31">
        <v>0</v>
      </c>
      <c r="O31">
        <v>-9.3410010000000003E-4</v>
      </c>
      <c r="P31">
        <v>0.99890970000000001</v>
      </c>
      <c r="Q31">
        <v>4.6510929999999999E-2</v>
      </c>
      <c r="R31">
        <v>-4.1028449999999999E-3</v>
      </c>
      <c r="S31">
        <v>3.017242</v>
      </c>
      <c r="T31">
        <v>-0.30709249999999999</v>
      </c>
      <c r="U31">
        <v>-1.7456050000000001E-2</v>
      </c>
      <c r="V31">
        <v>3.1733680000000002E-3</v>
      </c>
      <c r="W31">
        <v>5.3570670000000001E-2</v>
      </c>
      <c r="X31">
        <v>0.99855899999999997</v>
      </c>
      <c r="Y31">
        <v>4.8310940000000002E-3</v>
      </c>
      <c r="Z31">
        <v>-1.5038850000000001E-4</v>
      </c>
      <c r="AA31">
        <v>0.99998830000000005</v>
      </c>
      <c r="AB31">
        <v>3</v>
      </c>
      <c r="AC31">
        <v>0.71449999999998604</v>
      </c>
      <c r="AD31">
        <v>-7.5195999999999999E-2</v>
      </c>
      <c r="AE31">
        <v>-4.0000000000190898E-3</v>
      </c>
      <c r="AF31">
        <v>3.2960609381803901E-3</v>
      </c>
      <c r="AG31">
        <v>-7.5195999999999999E-2</v>
      </c>
      <c r="AH31">
        <v>0.706676484110905</v>
      </c>
      <c r="AI31">
        <v>96.073805890761506</v>
      </c>
      <c r="AJ31">
        <v>89.732764545600503</v>
      </c>
      <c r="AK31">
        <v>0.71067359288850596</v>
      </c>
      <c r="AL31">
        <v>86.929156658162597</v>
      </c>
      <c r="AM31">
        <v>89.817917638160907</v>
      </c>
      <c r="AN31">
        <v>0.99999998171485505</v>
      </c>
    </row>
    <row r="32" spans="1:40" x14ac:dyDescent="0.25">
      <c r="A32" t="str">
        <f>"20190312150638026"</f>
        <v>20190312150638026</v>
      </c>
      <c r="B32" t="str">
        <f>"1552374398021142"</f>
        <v>1552374398021142</v>
      </c>
      <c r="C32" t="s">
        <v>40</v>
      </c>
      <c r="D32">
        <v>4.8179959999999999</v>
      </c>
      <c r="E32">
        <v>0.50001320000000005</v>
      </c>
      <c r="F32" t="s">
        <v>41</v>
      </c>
      <c r="G32">
        <v>-475.40539999999999</v>
      </c>
      <c r="H32">
        <v>1.0450919999999999</v>
      </c>
      <c r="I32">
        <v>367.21019999999999</v>
      </c>
      <c r="J32">
        <v>-476.13780000000003</v>
      </c>
      <c r="K32">
        <v>1.109623</v>
      </c>
      <c r="L32">
        <v>367.21379999999999</v>
      </c>
      <c r="M32">
        <v>0.99997709999999995</v>
      </c>
      <c r="N32">
        <v>0</v>
      </c>
      <c r="O32">
        <v>-9.8039919999999992E-4</v>
      </c>
      <c r="P32">
        <v>0.99890140000000005</v>
      </c>
      <c r="Q32">
        <v>4.6655509999999997E-2</v>
      </c>
      <c r="R32">
        <v>-4.3667849999999998E-3</v>
      </c>
      <c r="S32">
        <v>3.01532</v>
      </c>
      <c r="T32">
        <v>-0.25916050000000002</v>
      </c>
      <c r="U32">
        <v>-1.3549800000000001E-2</v>
      </c>
      <c r="V32">
        <v>3.3919100000000002E-3</v>
      </c>
      <c r="W32">
        <v>5.3339730000000002E-2</v>
      </c>
      <c r="X32">
        <v>0.99857070000000003</v>
      </c>
      <c r="Y32">
        <v>3.5038920000000002E-3</v>
      </c>
      <c r="Z32" s="1">
        <v>-6.6188700000000005E-5</v>
      </c>
      <c r="AA32">
        <v>0.99999389999999999</v>
      </c>
      <c r="AB32">
        <v>3</v>
      </c>
      <c r="AC32">
        <v>0.73240000000004002</v>
      </c>
      <c r="AD32">
        <v>-6.4531000000000102E-2</v>
      </c>
      <c r="AE32">
        <v>-3.6000000000058199E-3</v>
      </c>
      <c r="AF32">
        <v>2.8597376517890002E-3</v>
      </c>
      <c r="AG32">
        <v>-6.4531000000000102E-2</v>
      </c>
      <c r="AH32">
        <v>0.72676132879742705</v>
      </c>
      <c r="AI32">
        <v>95.074092851161495</v>
      </c>
      <c r="AJ32">
        <v>89.774547646088806</v>
      </c>
      <c r="AK32">
        <v>0.72962624479649796</v>
      </c>
      <c r="AL32">
        <v>86.942407661496702</v>
      </c>
      <c r="AM32">
        <v>89.805380450224703</v>
      </c>
      <c r="AN32">
        <v>1.0000000373742</v>
      </c>
    </row>
    <row r="33" spans="1:40" x14ac:dyDescent="0.25">
      <c r="A33" t="str">
        <f>"20190312150638038"</f>
        <v>20190312150638038</v>
      </c>
      <c r="B33" t="str">
        <f>"1552374398030903"</f>
        <v>1552374398030903</v>
      </c>
      <c r="C33" t="s">
        <v>40</v>
      </c>
      <c r="D33">
        <v>4.9042279999999998</v>
      </c>
      <c r="E33">
        <v>0.50006229999999996</v>
      </c>
      <c r="F33" t="s">
        <v>42</v>
      </c>
      <c r="G33">
        <v>-459.92189999999999</v>
      </c>
      <c r="H33" s="1">
        <v>-6.7735169999999999E-7</v>
      </c>
      <c r="I33">
        <v>367.11810000000003</v>
      </c>
      <c r="J33">
        <v>-476.12020000000001</v>
      </c>
      <c r="K33">
        <v>1.109856</v>
      </c>
      <c r="L33">
        <v>367.21370000000002</v>
      </c>
      <c r="M33">
        <v>0.99997190000000002</v>
      </c>
      <c r="N33">
        <v>0</v>
      </c>
      <c r="O33">
        <v>-1.0127599999999999E-3</v>
      </c>
      <c r="P33">
        <v>0.99893860000000001</v>
      </c>
      <c r="Q33">
        <v>4.582253E-2</v>
      </c>
      <c r="R33">
        <v>-4.6724959999999999E-3</v>
      </c>
      <c r="S33">
        <v>3.012848</v>
      </c>
      <c r="T33">
        <v>-0.20616229999999999</v>
      </c>
      <c r="U33">
        <v>-1.7761229999999999E-2</v>
      </c>
      <c r="V33">
        <v>3.6648900000000001E-3</v>
      </c>
      <c r="W33">
        <v>5.3229739999999998E-2</v>
      </c>
      <c r="X33">
        <v>0.99857560000000001</v>
      </c>
      <c r="Y33">
        <v>4.8732609999999899E-3</v>
      </c>
      <c r="Z33" s="1">
        <v>-9.7315749999999997E-5</v>
      </c>
      <c r="AA33">
        <v>0.99998810000000005</v>
      </c>
      <c r="AB33">
        <v>3</v>
      </c>
      <c r="AC33">
        <v>16.1983</v>
      </c>
      <c r="AD33">
        <v>-1.1098566773517</v>
      </c>
      <c r="AE33">
        <v>-9.5599999999990304E-2</v>
      </c>
      <c r="AF33">
        <v>7.8824474720993298E-2</v>
      </c>
      <c r="AG33">
        <v>-1.1098566773517</v>
      </c>
      <c r="AH33">
        <v>16.122702153627198</v>
      </c>
      <c r="AI33">
        <v>93.937875087353007</v>
      </c>
      <c r="AJ33">
        <v>89.719881090814098</v>
      </c>
      <c r="AK33">
        <v>16.1610494670566</v>
      </c>
      <c r="AL33">
        <v>86.948718575573196</v>
      </c>
      <c r="AM33">
        <v>89.789718688718807</v>
      </c>
      <c r="AN33">
        <v>1.00000003277726</v>
      </c>
    </row>
    <row r="34" spans="1:40" x14ac:dyDescent="0.25">
      <c r="A34" t="str">
        <f>"20190312150638057"</f>
        <v>20190312150638057</v>
      </c>
      <c r="B34" t="str">
        <f>"1552374398050421"</f>
        <v>1552374398050421</v>
      </c>
      <c r="C34" t="s">
        <v>40</v>
      </c>
      <c r="D34">
        <v>4.8275360000000003</v>
      </c>
      <c r="E34">
        <v>0.50010379999999999</v>
      </c>
      <c r="F34" t="s">
        <v>42</v>
      </c>
      <c r="G34">
        <v>-457.91379999999998</v>
      </c>
      <c r="H34" s="1">
        <v>-1.365105E-6</v>
      </c>
      <c r="I34">
        <v>367.10169999999999</v>
      </c>
      <c r="J34">
        <v>-476.09969999999998</v>
      </c>
      <c r="K34">
        <v>1.110258</v>
      </c>
      <c r="L34">
        <v>367.21370000000002</v>
      </c>
      <c r="M34">
        <v>0.99996070000000004</v>
      </c>
      <c r="N34">
        <v>0</v>
      </c>
      <c r="O34">
        <v>-1.0445879999999999E-3</v>
      </c>
      <c r="P34">
        <v>0.99901709999999999</v>
      </c>
      <c r="Q34">
        <v>4.4053099999999998E-2</v>
      </c>
      <c r="R34">
        <v>-4.9252339999999997E-3</v>
      </c>
      <c r="S34">
        <v>3.0115660000000002</v>
      </c>
      <c r="T34">
        <v>-0.183583</v>
      </c>
      <c r="U34">
        <v>-1.852417E-2</v>
      </c>
      <c r="V34">
        <v>3.8847109999999999E-3</v>
      </c>
      <c r="W34">
        <v>5.2847850000000002E-2</v>
      </c>
      <c r="X34">
        <v>0.99859500000000001</v>
      </c>
      <c r="Y34">
        <v>5.098755E-3</v>
      </c>
      <c r="Z34" s="1">
        <v>-9.1642620000000004E-5</v>
      </c>
      <c r="AA34">
        <v>0.99998699999999996</v>
      </c>
      <c r="AB34">
        <v>3</v>
      </c>
      <c r="AC34">
        <v>18.1859</v>
      </c>
      <c r="AD34">
        <v>-1.1102593651049999</v>
      </c>
      <c r="AE34">
        <v>-0.112000000000023</v>
      </c>
      <c r="AF34">
        <v>9.2657094028327794E-2</v>
      </c>
      <c r="AG34">
        <v>-1.1102593651049999</v>
      </c>
      <c r="AH34">
        <v>18.118478971519401</v>
      </c>
      <c r="AI34">
        <v>93.506525268143704</v>
      </c>
      <c r="AJ34">
        <v>89.706994491161197</v>
      </c>
      <c r="AK34">
        <v>18.152700665087501</v>
      </c>
      <c r="AL34">
        <v>86.970629942094604</v>
      </c>
      <c r="AM34">
        <v>89.777110417989505</v>
      </c>
      <c r="AN34">
        <v>0.99999998012708702</v>
      </c>
    </row>
    <row r="35" spans="1:40" x14ac:dyDescent="0.25">
      <c r="A35" t="str">
        <f>"20190312150638069"</f>
        <v>20190312150638069</v>
      </c>
      <c r="B35" t="str">
        <f>"1552374398061159"</f>
        <v>1552374398061159</v>
      </c>
      <c r="C35" t="s">
        <v>40</v>
      </c>
      <c r="D35">
        <v>4.794632</v>
      </c>
      <c r="E35">
        <v>0.50021119999999997</v>
      </c>
      <c r="F35" t="s">
        <v>42</v>
      </c>
      <c r="G35">
        <v>-454.6927</v>
      </c>
      <c r="H35" s="1">
        <v>-2.709574E-6</v>
      </c>
      <c r="I35">
        <v>367.07679999999999</v>
      </c>
      <c r="J35">
        <v>-476.084</v>
      </c>
      <c r="K35">
        <v>1.110409</v>
      </c>
      <c r="L35">
        <v>367.21359999999999</v>
      </c>
      <c r="M35">
        <v>0.99995509999999999</v>
      </c>
      <c r="N35">
        <v>0</v>
      </c>
      <c r="O35">
        <v>-1.068385E-3</v>
      </c>
      <c r="P35">
        <v>0.99905069999999996</v>
      </c>
      <c r="Q35">
        <v>4.3262490000000001E-2</v>
      </c>
      <c r="R35">
        <v>-5.156674E-3</v>
      </c>
      <c r="S35">
        <v>3.009735</v>
      </c>
      <c r="T35">
        <v>-0.1560974</v>
      </c>
      <c r="U35">
        <v>-1.9226070000000001E-2</v>
      </c>
      <c r="V35">
        <v>4.09188E-3</v>
      </c>
      <c r="W35">
        <v>5.2679289999999997E-2</v>
      </c>
      <c r="X35">
        <v>0.99860309999999997</v>
      </c>
      <c r="Y35">
        <v>5.3137119999999999E-3</v>
      </c>
      <c r="Z35" s="1">
        <v>-8.2326139999999994E-5</v>
      </c>
      <c r="AA35">
        <v>0.99998589999999998</v>
      </c>
      <c r="AB35">
        <v>3</v>
      </c>
      <c r="AC35">
        <v>21.391300000000001</v>
      </c>
      <c r="AD35">
        <v>-1.110411709574</v>
      </c>
      <c r="AE35">
        <v>-0.13679999999999301</v>
      </c>
      <c r="AF35">
        <v>0.113638567175911</v>
      </c>
      <c r="AG35">
        <v>-1.110411709574</v>
      </c>
      <c r="AH35">
        <v>21.3339499204282</v>
      </c>
      <c r="AI35">
        <v>92.979459736124596</v>
      </c>
      <c r="AJ35">
        <v>89.694808100003101</v>
      </c>
      <c r="AK35">
        <v>21.3631305546741</v>
      </c>
      <c r="AL35">
        <v>86.980301254329206</v>
      </c>
      <c r="AM35">
        <v>89.765225901927394</v>
      </c>
      <c r="AN35">
        <v>1.00000000120322</v>
      </c>
    </row>
    <row r="36" spans="1:40" x14ac:dyDescent="0.25">
      <c r="A36" t="str">
        <f>"20190312150638083"</f>
        <v>20190312150638083</v>
      </c>
      <c r="B36" t="str">
        <f>"1552374398070917"</f>
        <v>1552374398070917</v>
      </c>
      <c r="C36" t="s">
        <v>40</v>
      </c>
      <c r="D36">
        <v>4.7809530000000002</v>
      </c>
      <c r="E36">
        <v>0.50017990000000001</v>
      </c>
      <c r="F36" t="s">
        <v>42</v>
      </c>
      <c r="G36">
        <v>-453.14940000000001</v>
      </c>
      <c r="H36" s="1">
        <v>-3.3755239999999999E-6</v>
      </c>
      <c r="I36">
        <v>367.05509999999998</v>
      </c>
      <c r="J36">
        <v>-476.06599999999997</v>
      </c>
      <c r="K36">
        <v>1.11032</v>
      </c>
      <c r="L36">
        <v>367.21350000000001</v>
      </c>
      <c r="M36">
        <v>0.99995619999999996</v>
      </c>
      <c r="N36">
        <v>0</v>
      </c>
      <c r="O36">
        <v>-1.097279E-3</v>
      </c>
      <c r="P36">
        <v>0.99904760000000004</v>
      </c>
      <c r="Q36">
        <v>4.33208E-2</v>
      </c>
      <c r="R36">
        <v>-5.2475259999999998E-3</v>
      </c>
      <c r="S36">
        <v>3.009064</v>
      </c>
      <c r="T36">
        <v>-0.1456876</v>
      </c>
      <c r="U36">
        <v>-2.0782470000000001E-2</v>
      </c>
      <c r="V36">
        <v>4.154118E-3</v>
      </c>
      <c r="W36">
        <v>5.2615960000000003E-2</v>
      </c>
      <c r="X36">
        <v>0.9986062</v>
      </c>
      <c r="Y36">
        <v>5.8036420000000003E-3</v>
      </c>
      <c r="Z36" s="1">
        <v>-8.7314769999999903E-5</v>
      </c>
      <c r="AA36">
        <v>0.99998310000000001</v>
      </c>
      <c r="AB36">
        <v>2</v>
      </c>
      <c r="AC36">
        <v>22.916599999999899</v>
      </c>
      <c r="AD36">
        <v>-1.1103233755239901</v>
      </c>
      <c r="AE36">
        <v>-0.15840000000002799</v>
      </c>
      <c r="AF36">
        <v>0.13294085568595401</v>
      </c>
      <c r="AG36">
        <v>-1.1103233755239901</v>
      </c>
      <c r="AH36">
        <v>22.8630923395399</v>
      </c>
      <c r="AI36">
        <v>92.780281314492996</v>
      </c>
      <c r="AJ36">
        <v>89.666848910860395</v>
      </c>
      <c r="AK36">
        <v>22.890423381747901</v>
      </c>
      <c r="AL36">
        <v>86.983934889930097</v>
      </c>
      <c r="AM36">
        <v>89.761655739689402</v>
      </c>
      <c r="AN36">
        <v>1.0000000193107501</v>
      </c>
    </row>
    <row r="37" spans="1:40" x14ac:dyDescent="0.25">
      <c r="A37" t="str">
        <f>"20190312150638103"</f>
        <v>20190312150638103</v>
      </c>
      <c r="B37" t="str">
        <f>"1552374398090438"</f>
        <v>1552374398090438</v>
      </c>
      <c r="C37" t="s">
        <v>40</v>
      </c>
      <c r="D37">
        <v>4.9078559999999998</v>
      </c>
      <c r="E37">
        <v>0.49997730000000001</v>
      </c>
      <c r="F37" t="s">
        <v>42</v>
      </c>
      <c r="G37">
        <v>-452.62729999999999</v>
      </c>
      <c r="H37" s="1">
        <v>-3.5999329999999999E-6</v>
      </c>
      <c r="I37">
        <v>367.05250000000001</v>
      </c>
      <c r="J37">
        <v>-476.0367</v>
      </c>
      <c r="K37">
        <v>1.109947</v>
      </c>
      <c r="L37">
        <v>367.21350000000001</v>
      </c>
      <c r="M37">
        <v>0.99996609999999997</v>
      </c>
      <c r="N37">
        <v>0</v>
      </c>
      <c r="O37">
        <v>-1.157003E-3</v>
      </c>
      <c r="P37">
        <v>0.99901209999999996</v>
      </c>
      <c r="Q37">
        <v>4.4133930000000002E-2</v>
      </c>
      <c r="R37">
        <v>-5.2205489999999997E-3</v>
      </c>
      <c r="S37">
        <v>3.0089419999999998</v>
      </c>
      <c r="T37">
        <v>-0.14253759999999999</v>
      </c>
      <c r="U37">
        <v>-2.0660399999999999E-2</v>
      </c>
      <c r="V37">
        <v>4.0681859999999997E-3</v>
      </c>
      <c r="W37">
        <v>5.2278350000000001E-2</v>
      </c>
      <c r="X37">
        <v>0.99862430000000002</v>
      </c>
      <c r="Y37">
        <v>5.7040559999999999E-3</v>
      </c>
      <c r="Z37" s="1">
        <v>-8.0247910000000002E-5</v>
      </c>
      <c r="AA37">
        <v>0.99998370000000003</v>
      </c>
      <c r="AB37">
        <v>2</v>
      </c>
      <c r="AC37">
        <v>23.409400000000002</v>
      </c>
      <c r="AD37">
        <v>-1.1099505999329999</v>
      </c>
      <c r="AE37">
        <v>-0.161000000000001</v>
      </c>
      <c r="AF37">
        <v>0.133613875299854</v>
      </c>
      <c r="AG37">
        <v>-1.1099505999329999</v>
      </c>
      <c r="AH37">
        <v>23.357062741725201</v>
      </c>
      <c r="AI37">
        <v>92.720660587917294</v>
      </c>
      <c r="AJ37">
        <v>89.6722435642276</v>
      </c>
      <c r="AK37">
        <v>23.383802576203301</v>
      </c>
      <c r="AL37">
        <v>87.003305221988199</v>
      </c>
      <c r="AM37">
        <v>89.766590299623303</v>
      </c>
      <c r="AN37">
        <v>1.00000003428327</v>
      </c>
    </row>
    <row r="38" spans="1:40" x14ac:dyDescent="0.25">
      <c r="A38" t="str">
        <f>"20190312150638125"</f>
        <v>20190312150638125</v>
      </c>
      <c r="B38" t="str">
        <f>"1552374398120693"</f>
        <v>1552374398120693</v>
      </c>
      <c r="C38" t="s">
        <v>40</v>
      </c>
      <c r="D38">
        <v>4.8085909999999998</v>
      </c>
      <c r="E38">
        <v>0.50005859999999902</v>
      </c>
      <c r="F38" t="s">
        <v>42</v>
      </c>
      <c r="G38">
        <v>-451.64479999999998</v>
      </c>
      <c r="H38" s="1">
        <v>-4.0199469999999996E-6</v>
      </c>
      <c r="I38">
        <v>367.06099999999998</v>
      </c>
      <c r="J38">
        <v>-476.00009999999997</v>
      </c>
      <c r="K38">
        <v>1.109564</v>
      </c>
      <c r="L38">
        <v>367.2133</v>
      </c>
      <c r="M38">
        <v>0.99997630000000004</v>
      </c>
      <c r="N38">
        <v>0</v>
      </c>
      <c r="O38">
        <v>-1.241058E-3</v>
      </c>
      <c r="P38">
        <v>0.99895299999999998</v>
      </c>
      <c r="Q38">
        <v>4.5455839999999997E-2</v>
      </c>
      <c r="R38">
        <v>-5.1998970000000002E-3</v>
      </c>
      <c r="S38">
        <v>3.0089419999999998</v>
      </c>
      <c r="T38">
        <v>-0.13692099999999999</v>
      </c>
      <c r="U38">
        <v>-1.8798829999999999E-2</v>
      </c>
      <c r="V38">
        <v>3.9643439999999999E-3</v>
      </c>
      <c r="W38">
        <v>5.2228339999999998E-2</v>
      </c>
      <c r="X38">
        <v>0.9986273</v>
      </c>
      <c r="Y38">
        <v>5.0025740000000001E-3</v>
      </c>
      <c r="Z38" s="1">
        <v>-5.7314910000000003E-5</v>
      </c>
      <c r="AA38">
        <v>0.99998750000000003</v>
      </c>
      <c r="AB38">
        <v>3</v>
      </c>
      <c r="AC38">
        <v>24.3553</v>
      </c>
      <c r="AD38">
        <v>-1.1095680199469999</v>
      </c>
      <c r="AE38">
        <v>-0.152300000000025</v>
      </c>
      <c r="AF38">
        <v>0.12182002319806599</v>
      </c>
      <c r="AG38">
        <v>-1.1095680199469999</v>
      </c>
      <c r="AH38">
        <v>24.305027362496599</v>
      </c>
      <c r="AI38">
        <v>92.613807329153303</v>
      </c>
      <c r="AJ38">
        <v>89.7128283528004</v>
      </c>
      <c r="AK38">
        <v>24.330646033359901</v>
      </c>
      <c r="AL38">
        <v>87.006174400671995</v>
      </c>
      <c r="AM38">
        <v>89.772548791163302</v>
      </c>
      <c r="AN38">
        <v>0.99999999991389699</v>
      </c>
    </row>
    <row r="39" spans="1:40" x14ac:dyDescent="0.25">
      <c r="A39" t="str">
        <f>"20190312150638138"</f>
        <v>20190312150638138</v>
      </c>
      <c r="B39" t="str">
        <f>"1552374398130453"</f>
        <v>1552374398130453</v>
      </c>
      <c r="C39" t="s">
        <v>40</v>
      </c>
      <c r="D39">
        <v>4.7041629999999897</v>
      </c>
      <c r="E39">
        <v>0.50014590000000003</v>
      </c>
      <c r="F39" t="s">
        <v>42</v>
      </c>
      <c r="G39">
        <v>-449.8374</v>
      </c>
      <c r="H39" s="1">
        <v>-7.3072859999999898E-7</v>
      </c>
      <c r="I39">
        <v>367.0453</v>
      </c>
      <c r="J39">
        <v>-475.97699999999998</v>
      </c>
      <c r="K39">
        <v>1.1095740000000001</v>
      </c>
      <c r="L39">
        <v>367.2133</v>
      </c>
      <c r="M39">
        <v>0.999977</v>
      </c>
      <c r="N39">
        <v>0</v>
      </c>
      <c r="O39">
        <v>-1.287706E-3</v>
      </c>
      <c r="P39">
        <v>0.99896099999999999</v>
      </c>
      <c r="Q39">
        <v>4.5277360000000003E-2</v>
      </c>
      <c r="R39">
        <v>-5.2286520000000003E-3</v>
      </c>
      <c r="S39">
        <v>3.0088499999999998</v>
      </c>
      <c r="T39">
        <v>-0.127606</v>
      </c>
      <c r="U39">
        <v>-1.9317629999999999E-2</v>
      </c>
      <c r="V39">
        <v>3.9465109999999998E-3</v>
      </c>
      <c r="W39">
        <v>5.1920260000000003E-2</v>
      </c>
      <c r="X39">
        <v>0.99864350000000002</v>
      </c>
      <c r="Y39">
        <v>5.1289710000000004E-3</v>
      </c>
      <c r="Z39" s="1">
        <v>-5.4122469999999899E-5</v>
      </c>
      <c r="AA39">
        <v>0.99998679999999995</v>
      </c>
      <c r="AB39">
        <v>4</v>
      </c>
      <c r="AC39">
        <v>26.139599999999898</v>
      </c>
      <c r="AD39">
        <v>-1.1095747307285999</v>
      </c>
      <c r="AE39">
        <v>-0.16800000000000601</v>
      </c>
      <c r="AF39">
        <v>0.13409738315575001</v>
      </c>
      <c r="AG39">
        <v>-1.1095747307285999</v>
      </c>
      <c r="AH39">
        <v>26.092781696926401</v>
      </c>
      <c r="AI39">
        <v>92.434958178903202</v>
      </c>
      <c r="AJ39">
        <v>89.705545137115095</v>
      </c>
      <c r="AK39">
        <v>26.116707198165301</v>
      </c>
      <c r="AL39">
        <v>87.023850258163193</v>
      </c>
      <c r="AM39">
        <v>89.773575608318694</v>
      </c>
      <c r="AN39">
        <v>1.0000000642198901</v>
      </c>
    </row>
    <row r="40" spans="1:40" x14ac:dyDescent="0.25">
      <c r="A40" t="str">
        <f>"20190312150638157"</f>
        <v>20190312150638157</v>
      </c>
      <c r="B40" t="str">
        <f>"1552374398150950"</f>
        <v>1552374398150950</v>
      </c>
      <c r="C40" t="s">
        <v>40</v>
      </c>
      <c r="D40">
        <v>4.6933720000000001</v>
      </c>
      <c r="E40">
        <v>0.5003223</v>
      </c>
      <c r="F40" t="s">
        <v>42</v>
      </c>
      <c r="G40">
        <v>-449.51620000000003</v>
      </c>
      <c r="H40" s="1">
        <v>-8.5625889999999899E-7</v>
      </c>
      <c r="I40">
        <v>367.03719999999998</v>
      </c>
      <c r="J40">
        <v>-475.94940000000003</v>
      </c>
      <c r="K40">
        <v>1.109856</v>
      </c>
      <c r="L40">
        <v>367.2131</v>
      </c>
      <c r="M40">
        <v>0.99997139999999995</v>
      </c>
      <c r="N40">
        <v>0</v>
      </c>
      <c r="O40">
        <v>-1.3371220000000001E-3</v>
      </c>
      <c r="P40">
        <v>0.99899890000000002</v>
      </c>
      <c r="Q40">
        <v>4.4392510000000003E-2</v>
      </c>
      <c r="R40">
        <v>-5.5748760000000003E-3</v>
      </c>
      <c r="S40">
        <v>3.008759</v>
      </c>
      <c r="T40">
        <v>-0.12616530000000001</v>
      </c>
      <c r="U40">
        <v>-2.0019530000000001E-2</v>
      </c>
      <c r="V40">
        <v>4.2426310000000002E-3</v>
      </c>
      <c r="W40">
        <v>5.1834529999999997E-2</v>
      </c>
      <c r="X40">
        <v>0.9986467</v>
      </c>
      <c r="Y40">
        <v>5.3129750000000002E-3</v>
      </c>
      <c r="Z40" s="1">
        <v>-5.5298140000000001E-5</v>
      </c>
      <c r="AA40">
        <v>0.99998589999999998</v>
      </c>
      <c r="AB40">
        <v>4</v>
      </c>
      <c r="AC40">
        <v>26.433199999999999</v>
      </c>
      <c r="AD40">
        <v>-1.1098568562589</v>
      </c>
      <c r="AE40">
        <v>-0.17590000000001199</v>
      </c>
      <c r="AF40">
        <v>0.140307109904098</v>
      </c>
      <c r="AG40">
        <v>-1.1098568562589</v>
      </c>
      <c r="AH40">
        <v>26.386895451037802</v>
      </c>
      <c r="AI40">
        <v>92.408459029349302</v>
      </c>
      <c r="AJ40">
        <v>89.695343869261805</v>
      </c>
      <c r="AK40">
        <v>26.410598627643299</v>
      </c>
      <c r="AL40">
        <v>87.028768731222101</v>
      </c>
      <c r="AM40">
        <v>89.756587201570696</v>
      </c>
      <c r="AN40">
        <v>1.0000000249195</v>
      </c>
    </row>
    <row r="41" spans="1:40" x14ac:dyDescent="0.25">
      <c r="A41" t="str">
        <f>"20190312150638170"</f>
        <v>20190312150638170</v>
      </c>
      <c r="B41" t="str">
        <f>"1552374398160710"</f>
        <v>1552374398160710</v>
      </c>
      <c r="C41" t="s">
        <v>40</v>
      </c>
      <c r="D41">
        <v>4.6755319999999996</v>
      </c>
      <c r="E41">
        <v>0.50035359999999995</v>
      </c>
      <c r="F41" t="s">
        <v>42</v>
      </c>
      <c r="G41">
        <v>-449.39949999999999</v>
      </c>
      <c r="H41" s="1">
        <v>-9.07136E-7</v>
      </c>
      <c r="I41">
        <v>367.01440000000002</v>
      </c>
      <c r="J41">
        <v>-475.93200000000002</v>
      </c>
      <c r="K41">
        <v>1.110166</v>
      </c>
      <c r="L41">
        <v>367.2131</v>
      </c>
      <c r="M41">
        <v>0.99996309999999999</v>
      </c>
      <c r="N41">
        <v>0</v>
      </c>
      <c r="O41">
        <v>-1.3638459999999999E-3</v>
      </c>
      <c r="P41">
        <v>0.99904850000000001</v>
      </c>
      <c r="Q41">
        <v>4.3260020000000003E-2</v>
      </c>
      <c r="R41">
        <v>-5.5543550000000004E-3</v>
      </c>
      <c r="S41">
        <v>3.0085139999999999</v>
      </c>
      <c r="T41">
        <v>-0.12576379999999901</v>
      </c>
      <c r="U41">
        <v>-2.2521969999999999E-2</v>
      </c>
      <c r="V41">
        <v>4.1948310000000004E-3</v>
      </c>
      <c r="W41">
        <v>5.1732630000000002E-2</v>
      </c>
      <c r="X41">
        <v>0.99865219999999999</v>
      </c>
      <c r="Y41">
        <v>6.1178530000000004E-3</v>
      </c>
      <c r="Z41" s="1">
        <v>-7.0824929999999995E-5</v>
      </c>
      <c r="AA41">
        <v>0.99998129999999996</v>
      </c>
      <c r="AB41">
        <v>4</v>
      </c>
      <c r="AC41">
        <v>26.532499999999899</v>
      </c>
      <c r="AD41">
        <v>-1.1101669071359901</v>
      </c>
      <c r="AE41">
        <v>-0.19869999999997301</v>
      </c>
      <c r="AF41">
        <v>0.162228266887013</v>
      </c>
      <c r="AG41">
        <v>-1.1101669071359901</v>
      </c>
      <c r="AH41">
        <v>26.486378320794199</v>
      </c>
      <c r="AI41">
        <v>92.400081891935002</v>
      </c>
      <c r="AJ41">
        <v>89.649069470137206</v>
      </c>
      <c r="AK41">
        <v>26.5101306131168</v>
      </c>
      <c r="AL41">
        <v>87.034615056848807</v>
      </c>
      <c r="AM41">
        <v>89.759330927705193</v>
      </c>
      <c r="AN41">
        <v>1.00000003908933</v>
      </c>
    </row>
    <row r="42" spans="1:40" x14ac:dyDescent="0.25">
      <c r="A42" t="str">
        <f>"20190312150638182"</f>
        <v>20190312150638182</v>
      </c>
      <c r="B42" t="str">
        <f>"1552374398170470"</f>
        <v>1552374398170470</v>
      </c>
      <c r="C42" t="s">
        <v>40</v>
      </c>
      <c r="D42">
        <v>4.6075869999999997</v>
      </c>
      <c r="E42">
        <v>0.50029799999999902</v>
      </c>
      <c r="F42" t="s">
        <v>42</v>
      </c>
      <c r="G42">
        <v>-449.86799999999999</v>
      </c>
      <c r="H42" s="1">
        <v>-7.2626599999999899E-7</v>
      </c>
      <c r="I42">
        <v>367.0179</v>
      </c>
      <c r="J42">
        <v>-475.91640000000001</v>
      </c>
      <c r="K42">
        <v>1.1104940000000001</v>
      </c>
      <c r="L42">
        <v>367.21300000000002</v>
      </c>
      <c r="M42">
        <v>0.99995230000000002</v>
      </c>
      <c r="N42">
        <v>0</v>
      </c>
      <c r="O42">
        <v>-1.3847760000000001E-3</v>
      </c>
      <c r="P42">
        <v>0.99911640000000002</v>
      </c>
      <c r="Q42">
        <v>4.1647040000000003E-2</v>
      </c>
      <c r="R42">
        <v>-5.6778890000000002E-3</v>
      </c>
      <c r="S42">
        <v>3.0082089999999999</v>
      </c>
      <c r="T42">
        <v>-0.1281313</v>
      </c>
      <c r="U42">
        <v>-2.2521969999999999E-2</v>
      </c>
      <c r="V42">
        <v>4.2961830000000003E-3</v>
      </c>
      <c r="W42">
        <v>5.1303580000000001E-2</v>
      </c>
      <c r="X42">
        <v>0.9986739</v>
      </c>
      <c r="Y42">
        <v>6.0975450000000002E-3</v>
      </c>
      <c r="Z42" s="1">
        <v>-7.0840269999999998E-5</v>
      </c>
      <c r="AA42">
        <v>0.99998140000000002</v>
      </c>
      <c r="AB42">
        <v>3</v>
      </c>
      <c r="AC42">
        <v>26.048399999999901</v>
      </c>
      <c r="AD42">
        <v>-1.1104947262659901</v>
      </c>
      <c r="AE42">
        <v>-0.195100000000024</v>
      </c>
      <c r="AF42">
        <v>0.15873843908482199</v>
      </c>
      <c r="AG42">
        <v>-1.1104947262659901</v>
      </c>
      <c r="AH42">
        <v>26.001390711490899</v>
      </c>
      <c r="AI42">
        <v>92.445516630512799</v>
      </c>
      <c r="AJ42">
        <v>89.650213724499594</v>
      </c>
      <c r="AK42">
        <v>26.0255780984922</v>
      </c>
      <c r="AL42">
        <v>87.059230490540202</v>
      </c>
      <c r="AM42">
        <v>89.753521509397103</v>
      </c>
      <c r="AN42">
        <v>1.00000003652519</v>
      </c>
    </row>
    <row r="43" spans="1:40" x14ac:dyDescent="0.25">
      <c r="A43" t="str">
        <f>"20190312150638201"</f>
        <v>20190312150638201</v>
      </c>
      <c r="B43" t="str">
        <f>"1552374398190969"</f>
        <v>1552374398190969</v>
      </c>
      <c r="C43" t="s">
        <v>40</v>
      </c>
      <c r="D43">
        <v>4.633756</v>
      </c>
      <c r="E43">
        <v>0.50026539999999997</v>
      </c>
      <c r="F43" t="s">
        <v>42</v>
      </c>
      <c r="G43">
        <v>-450.15910000000002</v>
      </c>
      <c r="H43" s="1">
        <v>-4.6645839999999998E-6</v>
      </c>
      <c r="I43">
        <v>367.01990000000001</v>
      </c>
      <c r="J43">
        <v>-475.89519999999999</v>
      </c>
      <c r="K43">
        <v>1.1109249999999999</v>
      </c>
      <c r="L43">
        <v>367.21300000000002</v>
      </c>
      <c r="M43">
        <v>0.99993310000000002</v>
      </c>
      <c r="N43">
        <v>0</v>
      </c>
      <c r="O43">
        <v>-1.4075330000000001E-3</v>
      </c>
      <c r="P43">
        <v>0.99920379999999998</v>
      </c>
      <c r="Q43">
        <v>3.947908E-2</v>
      </c>
      <c r="R43">
        <v>-5.7756830000000002E-3</v>
      </c>
      <c r="S43">
        <v>3.0079349999999998</v>
      </c>
      <c r="T43">
        <v>-0.12968339999999901</v>
      </c>
      <c r="U43">
        <v>-2.2552490000000001E-2</v>
      </c>
      <c r="V43">
        <v>4.3698410000000002E-3</v>
      </c>
      <c r="W43">
        <v>5.096117E-2</v>
      </c>
      <c r="X43">
        <v>0.99869110000000005</v>
      </c>
      <c r="Y43">
        <v>6.0855170000000004E-3</v>
      </c>
      <c r="Z43" s="1">
        <v>-7.0463079999999998E-5</v>
      </c>
      <c r="AA43">
        <v>0.99998149999999997</v>
      </c>
      <c r="AB43">
        <v>3</v>
      </c>
      <c r="AC43">
        <v>25.736099999999901</v>
      </c>
      <c r="AD43">
        <v>-1.1109296645840001</v>
      </c>
      <c r="AE43">
        <v>-0.19310000000001501</v>
      </c>
      <c r="AF43">
        <v>0.15658126624572499</v>
      </c>
      <c r="AG43">
        <v>-1.1109296645840001</v>
      </c>
      <c r="AH43">
        <v>25.688483122520299</v>
      </c>
      <c r="AI43">
        <v>92.476236682935195</v>
      </c>
      <c r="AJ43">
        <v>89.650764330507201</v>
      </c>
      <c r="AK43">
        <v>25.712970414726499</v>
      </c>
      <c r="AL43">
        <v>87.078874800538699</v>
      </c>
      <c r="AM43">
        <v>89.749300010171396</v>
      </c>
      <c r="AN43">
        <v>1.00000002478867</v>
      </c>
    </row>
    <row r="44" spans="1:40" x14ac:dyDescent="0.25">
      <c r="A44" t="str">
        <f>"20190312150638215"</f>
        <v>20190312150638215</v>
      </c>
      <c r="B44" t="str">
        <f>"1552374398210486"</f>
        <v>1552374398210486</v>
      </c>
      <c r="C44" t="s">
        <v>40</v>
      </c>
      <c r="D44">
        <v>4.5951409999999999</v>
      </c>
      <c r="E44">
        <v>0.50026819999999905</v>
      </c>
      <c r="F44" t="s">
        <v>42</v>
      </c>
      <c r="G44">
        <v>-451.04419999999999</v>
      </c>
      <c r="H44" s="1">
        <v>-4.283717E-6</v>
      </c>
      <c r="I44">
        <v>367.0265</v>
      </c>
      <c r="J44">
        <v>-475.8784</v>
      </c>
      <c r="K44">
        <v>1.110857</v>
      </c>
      <c r="L44">
        <v>367.21289999999999</v>
      </c>
      <c r="M44">
        <v>0.99993189999999998</v>
      </c>
      <c r="N44">
        <v>0</v>
      </c>
      <c r="O44">
        <v>-1.4279900000000001E-3</v>
      </c>
      <c r="P44">
        <v>0.99921689999999996</v>
      </c>
      <c r="Q44">
        <v>3.9164589999999999E-2</v>
      </c>
      <c r="R44">
        <v>-5.6231659999999998E-3</v>
      </c>
      <c r="S44">
        <v>3.0075989999999999</v>
      </c>
      <c r="T44">
        <v>-0.13444979999999901</v>
      </c>
      <c r="U44">
        <v>-2.2552490000000001E-2</v>
      </c>
      <c r="V44">
        <v>4.1968700000000001E-3</v>
      </c>
      <c r="W44">
        <v>5.073925E-2</v>
      </c>
      <c r="X44">
        <v>0.99870309999999995</v>
      </c>
      <c r="Y44">
        <v>6.0656080000000001E-3</v>
      </c>
      <c r="Z44" s="1">
        <v>-7.1699619999999995E-5</v>
      </c>
      <c r="AA44">
        <v>0.99998160000000003</v>
      </c>
      <c r="AB44">
        <v>3</v>
      </c>
      <c r="AC44">
        <v>24.834199999999999</v>
      </c>
      <c r="AD44">
        <v>-1.110861283717</v>
      </c>
      <c r="AE44">
        <v>-0.18639999999999099</v>
      </c>
      <c r="AF44">
        <v>0.15063306113792799</v>
      </c>
      <c r="AG44">
        <v>-1.110861283717</v>
      </c>
      <c r="AH44">
        <v>24.784852347258798</v>
      </c>
      <c r="AI44">
        <v>92.566241710721499</v>
      </c>
      <c r="AJ44">
        <v>89.651781972515707</v>
      </c>
      <c r="AK44">
        <v>24.810191635418398</v>
      </c>
      <c r="AL44">
        <v>87.091606230599496</v>
      </c>
      <c r="AM44">
        <v>89.759226217786306</v>
      </c>
      <c r="AN44">
        <v>0.99999998357898401</v>
      </c>
    </row>
    <row r="45" spans="1:40" x14ac:dyDescent="0.25">
      <c r="A45" t="str">
        <f>"20190312150638229"</f>
        <v>20190312150638229</v>
      </c>
      <c r="B45" t="str">
        <f>"1552374398220246"</f>
        <v>1552374398220246</v>
      </c>
      <c r="C45" t="s">
        <v>40</v>
      </c>
      <c r="D45">
        <v>4.5963149999999997</v>
      </c>
      <c r="E45">
        <v>0.50023969999999995</v>
      </c>
      <c r="F45" t="s">
        <v>42</v>
      </c>
      <c r="G45">
        <v>-451.00279999999998</v>
      </c>
      <c r="H45" s="1">
        <v>-4.3011030000000001E-6</v>
      </c>
      <c r="I45">
        <v>367.02859999999998</v>
      </c>
      <c r="J45">
        <v>-475.85820000000001</v>
      </c>
      <c r="K45">
        <v>1.110627</v>
      </c>
      <c r="L45">
        <v>367.21280000000002</v>
      </c>
      <c r="M45">
        <v>0.99993699999999996</v>
      </c>
      <c r="N45">
        <v>0</v>
      </c>
      <c r="O45">
        <v>-1.4569540000000001E-3</v>
      </c>
      <c r="P45">
        <v>0.99920359999999997</v>
      </c>
      <c r="Q45">
        <v>3.9495620000000002E-2</v>
      </c>
      <c r="R45">
        <v>-5.7131309999999998E-3</v>
      </c>
      <c r="S45">
        <v>3.0074459999999998</v>
      </c>
      <c r="T45">
        <v>-0.13430239999999999</v>
      </c>
      <c r="U45">
        <v>-2.2277829999999998E-2</v>
      </c>
      <c r="V45">
        <v>4.2585469999999997E-3</v>
      </c>
      <c r="W45">
        <v>5.0617820000000001E-2</v>
      </c>
      <c r="X45">
        <v>0.99870899999999996</v>
      </c>
      <c r="Y45">
        <v>5.9458690000000003E-3</v>
      </c>
      <c r="Z45" s="1">
        <v>-6.7659999999999999E-5</v>
      </c>
      <c r="AA45">
        <v>0.99998229999999999</v>
      </c>
      <c r="AB45">
        <v>2</v>
      </c>
      <c r="AC45">
        <v>24.855399999999999</v>
      </c>
      <c r="AD45">
        <v>-1.110631301103</v>
      </c>
      <c r="AE45">
        <v>-0.184200000000032</v>
      </c>
      <c r="AF45">
        <v>0.14768952127222201</v>
      </c>
      <c r="AG45">
        <v>-1.110631301103</v>
      </c>
      <c r="AH45">
        <v>24.806116007142101</v>
      </c>
      <c r="AI45">
        <v>92.563516659429993</v>
      </c>
      <c r="AJ45">
        <v>89.658879033608102</v>
      </c>
      <c r="AK45">
        <v>24.831405627581201</v>
      </c>
      <c r="AL45">
        <v>87.098572606644495</v>
      </c>
      <c r="AM45">
        <v>89.755689303711193</v>
      </c>
      <c r="AN45">
        <v>0.99999998280255098</v>
      </c>
    </row>
    <row r="46" spans="1:40" x14ac:dyDescent="0.25">
      <c r="A46" t="str">
        <f>"20190312150638246"</f>
        <v>20190312150638246</v>
      </c>
      <c r="B46" t="str">
        <f>"1552374398240742"</f>
        <v>1552374398240742</v>
      </c>
      <c r="C46" t="s">
        <v>40</v>
      </c>
      <c r="D46">
        <v>4.5374540000000003</v>
      </c>
      <c r="E46">
        <v>0.50019849999999999</v>
      </c>
      <c r="F46" t="s">
        <v>42</v>
      </c>
      <c r="G46">
        <v>-450.63470000000001</v>
      </c>
      <c r="H46" s="1">
        <v>-4.4595009999999996E-6</v>
      </c>
      <c r="I46">
        <v>367.02589999999998</v>
      </c>
      <c r="J46">
        <v>-475.83080000000001</v>
      </c>
      <c r="K46">
        <v>1.1102019999999999</v>
      </c>
      <c r="L46">
        <v>367.21280000000002</v>
      </c>
      <c r="M46">
        <v>0.99994959999999999</v>
      </c>
      <c r="N46">
        <v>0</v>
      </c>
      <c r="O46">
        <v>-1.50749E-3</v>
      </c>
      <c r="P46">
        <v>0.99916360000000004</v>
      </c>
      <c r="Q46">
        <v>4.052422E-2</v>
      </c>
      <c r="R46">
        <v>-5.5125019999999999E-3</v>
      </c>
      <c r="S46">
        <v>3.0075379999999998</v>
      </c>
      <c r="T46">
        <v>-0.13242599999999999</v>
      </c>
      <c r="U46">
        <v>-2.2277829999999998E-2</v>
      </c>
      <c r="V46">
        <v>4.0083269999999999E-3</v>
      </c>
      <c r="W46">
        <v>5.0453039999999998E-2</v>
      </c>
      <c r="X46">
        <v>0.99871840000000001</v>
      </c>
      <c r="Y46">
        <v>5.8953469999999996E-3</v>
      </c>
      <c r="Z46" s="1">
        <v>-6.3378539999999999E-5</v>
      </c>
      <c r="AA46">
        <v>0.99998260000000005</v>
      </c>
      <c r="AB46">
        <v>3</v>
      </c>
      <c r="AC46">
        <v>25.196100000000001</v>
      </c>
      <c r="AD46">
        <v>-1.1102064595009999</v>
      </c>
      <c r="AE46">
        <v>-0.18690000000003601</v>
      </c>
      <c r="AF46">
        <v>0.14862650277836401</v>
      </c>
      <c r="AG46">
        <v>-1.1102064595009999</v>
      </c>
      <c r="AH46">
        <v>25.147531496715601</v>
      </c>
      <c r="AI46">
        <v>92.527793161562002</v>
      </c>
      <c r="AJ46">
        <v>89.661375424277793</v>
      </c>
      <c r="AK46">
        <v>25.1724648892068</v>
      </c>
      <c r="AL46">
        <v>87.108025960560994</v>
      </c>
      <c r="AM46">
        <v>89.770046304441706</v>
      </c>
      <c r="AN46">
        <v>1.00000000921457</v>
      </c>
    </row>
    <row r="47" spans="1:40" x14ac:dyDescent="0.25">
      <c r="A47" t="str">
        <f>"20190312150638259"</f>
        <v>20190312150638259</v>
      </c>
      <c r="B47" t="str">
        <f>"1552374398250502"</f>
        <v>1552374398250502</v>
      </c>
      <c r="C47" t="s">
        <v>40</v>
      </c>
      <c r="D47">
        <v>4.5155709999999996</v>
      </c>
      <c r="E47">
        <v>0.50011810000000001</v>
      </c>
      <c r="F47" t="s">
        <v>42</v>
      </c>
      <c r="G47">
        <v>-449.42759999999998</v>
      </c>
      <c r="H47" s="1">
        <v>-8.9337900000000005E-7</v>
      </c>
      <c r="I47">
        <v>367.02550000000002</v>
      </c>
      <c r="J47">
        <v>-475.80799999999999</v>
      </c>
      <c r="K47">
        <v>1.1099429999999999</v>
      </c>
      <c r="L47">
        <v>367.21269999999998</v>
      </c>
      <c r="M47">
        <v>0.99995800000000001</v>
      </c>
      <c r="N47">
        <v>0</v>
      </c>
      <c r="O47">
        <v>-1.5567370000000001E-3</v>
      </c>
      <c r="P47">
        <v>0.99913470000000004</v>
      </c>
      <c r="Q47">
        <v>4.1230749999999997E-2</v>
      </c>
      <c r="R47">
        <v>-5.4887249999999999E-3</v>
      </c>
      <c r="S47">
        <v>3.007568</v>
      </c>
      <c r="T47">
        <v>-0.1264623</v>
      </c>
      <c r="U47">
        <v>-2.133179E-2</v>
      </c>
      <c r="V47">
        <v>3.9363540000000004E-3</v>
      </c>
      <c r="W47">
        <v>5.02716E-2</v>
      </c>
      <c r="X47">
        <v>0.99872780000000005</v>
      </c>
      <c r="Y47">
        <v>5.5322409999999898E-3</v>
      </c>
      <c r="Z47" s="1">
        <v>-5.0826540000000001E-5</v>
      </c>
      <c r="AA47">
        <v>0.99998469999999995</v>
      </c>
      <c r="AB47">
        <v>4</v>
      </c>
      <c r="AC47">
        <v>26.380400000000002</v>
      </c>
      <c r="AD47">
        <v>-1.109943893379</v>
      </c>
      <c r="AE47">
        <v>-0.18719999999996101</v>
      </c>
      <c r="AF47">
        <v>0.14587253262009001</v>
      </c>
      <c r="AG47">
        <v>-1.109943893379</v>
      </c>
      <c r="AH47">
        <v>26.3340434676972</v>
      </c>
      <c r="AI47">
        <v>92.413473182787698</v>
      </c>
      <c r="AJ47">
        <v>89.682623939105795</v>
      </c>
      <c r="AK47">
        <v>26.357828051658402</v>
      </c>
      <c r="AL47">
        <v>87.118434812745093</v>
      </c>
      <c r="AM47">
        <v>89.774177405471505</v>
      </c>
      <c r="AN47">
        <v>0.99999997357110604</v>
      </c>
    </row>
    <row r="48" spans="1:40" x14ac:dyDescent="0.25">
      <c r="A48" t="str">
        <f>"20190312150638271"</f>
        <v>20190312150638271</v>
      </c>
      <c r="B48" t="str">
        <f>"1552374398260262"</f>
        <v>1552374398260262</v>
      </c>
      <c r="C48" t="s">
        <v>40</v>
      </c>
      <c r="D48">
        <v>4.5428309999999996</v>
      </c>
      <c r="E48">
        <v>0.50011810000000001</v>
      </c>
      <c r="F48" t="s">
        <v>42</v>
      </c>
      <c r="G48">
        <v>-448.21350000000001</v>
      </c>
      <c r="H48" s="1">
        <v>-1.359498E-6</v>
      </c>
      <c r="I48">
        <v>367.02589999999998</v>
      </c>
      <c r="J48">
        <v>-475.7876</v>
      </c>
      <c r="K48">
        <v>1.109845</v>
      </c>
      <c r="L48">
        <v>367.21260000000001</v>
      </c>
      <c r="M48">
        <v>0.99996119999999999</v>
      </c>
      <c r="N48">
        <v>0</v>
      </c>
      <c r="O48">
        <v>-1.599575E-3</v>
      </c>
      <c r="P48">
        <v>0.99911589999999995</v>
      </c>
      <c r="Q48">
        <v>4.168355E-2</v>
      </c>
      <c r="R48">
        <v>-5.4822150000000004E-3</v>
      </c>
      <c r="S48">
        <v>3.0074770000000002</v>
      </c>
      <c r="T48">
        <v>-0.120971</v>
      </c>
      <c r="U48">
        <v>-2.035522E-2</v>
      </c>
      <c r="V48">
        <v>3.8877260000000002E-3</v>
      </c>
      <c r="W48">
        <v>5.0348270000000001E-2</v>
      </c>
      <c r="X48">
        <v>0.99872419999999995</v>
      </c>
      <c r="Y48">
        <v>5.1655620000000003E-3</v>
      </c>
      <c r="Z48" s="1">
        <v>-3.952919E-5</v>
      </c>
      <c r="AA48">
        <v>0.99998659999999995</v>
      </c>
      <c r="AB48">
        <v>4</v>
      </c>
      <c r="AC48">
        <v>27.574099999999898</v>
      </c>
      <c r="AD48">
        <v>-1.1098463594979999</v>
      </c>
      <c r="AE48">
        <v>-0.18670000000003001</v>
      </c>
      <c r="AF48">
        <v>0.142360647213746</v>
      </c>
      <c r="AG48">
        <v>-1.1098463594979999</v>
      </c>
      <c r="AH48">
        <v>27.529766372848002</v>
      </c>
      <c r="AI48">
        <v>92.308564719433207</v>
      </c>
      <c r="AJ48">
        <v>89.703717371245403</v>
      </c>
      <c r="AK48">
        <v>27.552496475621901</v>
      </c>
      <c r="AL48">
        <v>87.114036582117606</v>
      </c>
      <c r="AM48">
        <v>89.776966286991097</v>
      </c>
      <c r="AN48">
        <v>1.00000004518554</v>
      </c>
    </row>
    <row r="49" spans="1:40" x14ac:dyDescent="0.25">
      <c r="A49" t="str">
        <f>"20190312150638293"</f>
        <v>20190312150638293</v>
      </c>
      <c r="B49" t="str">
        <f>"1552374398280757"</f>
        <v>1552374398280757</v>
      </c>
      <c r="C49" t="s">
        <v>40</v>
      </c>
      <c r="D49">
        <v>4.5918489999999998</v>
      </c>
      <c r="E49">
        <v>0.50019880000000005</v>
      </c>
      <c r="F49" t="s">
        <v>42</v>
      </c>
      <c r="G49">
        <v>-447.87610000000001</v>
      </c>
      <c r="H49" s="1">
        <v>-1.4902809999999901E-6</v>
      </c>
      <c r="I49">
        <v>367.02140000000003</v>
      </c>
      <c r="J49">
        <v>-475.75659999999999</v>
      </c>
      <c r="K49">
        <v>1.110001</v>
      </c>
      <c r="L49">
        <v>367.21249999999998</v>
      </c>
      <c r="M49">
        <v>0.9999574</v>
      </c>
      <c r="N49">
        <v>0</v>
      </c>
      <c r="O49">
        <v>-1.6589040000000001E-3</v>
      </c>
      <c r="P49">
        <v>0.99914219999999998</v>
      </c>
      <c r="Q49">
        <v>4.1048250000000001E-2</v>
      </c>
      <c r="R49">
        <v>-5.4734780000000004E-3</v>
      </c>
      <c r="S49">
        <v>3.0075069999999999</v>
      </c>
      <c r="T49">
        <v>-0.1195875</v>
      </c>
      <c r="U49">
        <v>-2.0599369999999999E-2</v>
      </c>
      <c r="V49">
        <v>3.8197919999999998E-3</v>
      </c>
      <c r="W49">
        <v>5.012635E-2</v>
      </c>
      <c r="X49">
        <v>0.99873559999999995</v>
      </c>
      <c r="Y49">
        <v>5.187423E-3</v>
      </c>
      <c r="Z49" s="1">
        <v>-3.7153029999999997E-5</v>
      </c>
      <c r="AA49">
        <v>0.9999865</v>
      </c>
      <c r="AB49">
        <v>4</v>
      </c>
      <c r="AC49">
        <v>27.880499999999898</v>
      </c>
      <c r="AD49">
        <v>-1.110002490281</v>
      </c>
      <c r="AE49">
        <v>-0.19109999999994801</v>
      </c>
      <c r="AF49">
        <v>0.14461754004374999</v>
      </c>
      <c r="AG49">
        <v>-1.110002490281</v>
      </c>
      <c r="AH49">
        <v>27.836657853207502</v>
      </c>
      <c r="AI49">
        <v>92.283461076323803</v>
      </c>
      <c r="AJ49">
        <v>89.702338542723595</v>
      </c>
      <c r="AK49">
        <v>27.8591554107057</v>
      </c>
      <c r="AL49">
        <v>87.126767664738907</v>
      </c>
      <c r="AM49">
        <v>89.780866033921299</v>
      </c>
      <c r="AN49">
        <v>1.0000000202413</v>
      </c>
    </row>
    <row r="50" spans="1:40" x14ac:dyDescent="0.25">
      <c r="A50" t="str">
        <f>"20190312150638314"</f>
        <v>20190312150638314</v>
      </c>
      <c r="B50" t="str">
        <f>"1552374398311014"</f>
        <v>1552374398311014</v>
      </c>
      <c r="C50" t="s">
        <v>40</v>
      </c>
      <c r="D50">
        <v>4.494828</v>
      </c>
      <c r="E50">
        <v>0.52735200000000004</v>
      </c>
      <c r="F50" t="s">
        <v>42</v>
      </c>
      <c r="G50">
        <v>-447.60669999999999</v>
      </c>
      <c r="H50" s="1">
        <v>-1.594963E-6</v>
      </c>
      <c r="I50">
        <v>367.01679999999999</v>
      </c>
      <c r="J50">
        <v>-475.72770000000003</v>
      </c>
      <c r="K50">
        <v>1.1104879999999999</v>
      </c>
      <c r="L50">
        <v>367.2124</v>
      </c>
      <c r="M50">
        <v>0.99994059999999996</v>
      </c>
      <c r="N50">
        <v>0</v>
      </c>
      <c r="O50">
        <v>-1.7034019999999999E-3</v>
      </c>
      <c r="P50">
        <v>0.99923899999999999</v>
      </c>
      <c r="Q50">
        <v>3.8641420000000003E-2</v>
      </c>
      <c r="R50">
        <v>-5.3220780000000001E-3</v>
      </c>
      <c r="S50">
        <v>3.0072939999999999</v>
      </c>
      <c r="T50">
        <v>-0.11858299999999999</v>
      </c>
      <c r="U50">
        <v>-2.0904539999999999E-2</v>
      </c>
      <c r="V50">
        <v>3.6227E-3</v>
      </c>
      <c r="W50">
        <v>4.9394359999999998E-2</v>
      </c>
      <c r="X50">
        <v>0.99877280000000002</v>
      </c>
      <c r="Y50">
        <v>5.2448919999999897E-3</v>
      </c>
      <c r="Z50" s="1">
        <v>-3.6221279999999997E-5</v>
      </c>
      <c r="AA50">
        <v>0.99998620000000005</v>
      </c>
      <c r="AB50">
        <v>4</v>
      </c>
      <c r="AC50">
        <v>28.120999999999999</v>
      </c>
      <c r="AD50">
        <v>-1.11048959496299</v>
      </c>
      <c r="AE50">
        <v>-0.19560000000001301</v>
      </c>
      <c r="AF50">
        <v>0.14746562052252299</v>
      </c>
      <c r="AG50">
        <v>-1.11048959496299</v>
      </c>
      <c r="AH50">
        <v>28.077509450582198</v>
      </c>
      <c r="AI50">
        <v>92.264885557553001</v>
      </c>
      <c r="AJ50">
        <v>89.699080147870404</v>
      </c>
      <c r="AK50">
        <v>28.099848223741201</v>
      </c>
      <c r="AL50">
        <v>87.168759611776096</v>
      </c>
      <c r="AM50">
        <v>89.792180453662695</v>
      </c>
      <c r="AN50">
        <v>1.0000000163874601</v>
      </c>
    </row>
    <row r="51" spans="1:40" x14ac:dyDescent="0.25">
      <c r="A51" t="str">
        <f>"20190312150638335"</f>
        <v>20190312150638335</v>
      </c>
      <c r="B51" t="str">
        <f>"1552374398330534"</f>
        <v>1552374398330534</v>
      </c>
      <c r="C51" t="s">
        <v>40</v>
      </c>
      <c r="D51">
        <v>4.5658799999999999</v>
      </c>
      <c r="E51">
        <v>0.55972619999999995</v>
      </c>
      <c r="F51" t="s">
        <v>41</v>
      </c>
      <c r="G51">
        <v>-475.00229999999999</v>
      </c>
      <c r="H51">
        <v>1.0094879999999999</v>
      </c>
      <c r="I51">
        <v>367.15440000000001</v>
      </c>
      <c r="J51">
        <v>-475.70330000000001</v>
      </c>
      <c r="K51">
        <v>1.110962</v>
      </c>
      <c r="L51">
        <v>367.21230000000003</v>
      </c>
      <c r="M51">
        <v>0.99991799999999997</v>
      </c>
      <c r="N51">
        <v>0</v>
      </c>
      <c r="O51">
        <v>-1.7326819999999999E-3</v>
      </c>
      <c r="P51">
        <v>0.99932759999999998</v>
      </c>
      <c r="Q51">
        <v>3.6277700000000003E-2</v>
      </c>
      <c r="R51">
        <v>-5.3353150000000002E-3</v>
      </c>
      <c r="S51">
        <v>3.0172119999999998</v>
      </c>
      <c r="T51">
        <v>-0.4200933</v>
      </c>
      <c r="U51">
        <v>-0.24078369999999999</v>
      </c>
      <c r="V51">
        <v>3.60509E-3</v>
      </c>
      <c r="W51">
        <v>4.8957630000000002E-2</v>
      </c>
      <c r="X51">
        <v>0.99879439999999997</v>
      </c>
      <c r="Y51">
        <v>7.7100619999999995E-2</v>
      </c>
      <c r="Z51">
        <v>-5.0936009999999997E-3</v>
      </c>
      <c r="AA51">
        <v>0.99701030000000002</v>
      </c>
      <c r="AB51">
        <v>3</v>
      </c>
      <c r="AC51">
        <v>0.70100000000002105</v>
      </c>
      <c r="AD51">
        <v>-0.10147399999999999</v>
      </c>
      <c r="AE51">
        <v>-5.7900000000017798E-2</v>
      </c>
      <c r="AF51">
        <v>5.5529506629972601E-2</v>
      </c>
      <c r="AG51">
        <v>-0.10147399999999999</v>
      </c>
      <c r="AH51">
        <v>0.68680525825028904</v>
      </c>
      <c r="AI51">
        <v>98.377577091442106</v>
      </c>
      <c r="AJ51">
        <v>85.377582444684805</v>
      </c>
      <c r="AK51">
        <v>0.69647825633167804</v>
      </c>
      <c r="AL51">
        <v>87.193812802320906</v>
      </c>
      <c r="AM51">
        <v>89.793195131288897</v>
      </c>
      <c r="AN51">
        <v>1.0000000498402399</v>
      </c>
    </row>
    <row r="52" spans="1:40" x14ac:dyDescent="0.25">
      <c r="A52" t="str">
        <f>"20190312150638349"</f>
        <v>20190312150638349</v>
      </c>
      <c r="B52" t="str">
        <f>"1552374398340294"</f>
        <v>1552374398340294</v>
      </c>
      <c r="C52" t="s">
        <v>40</v>
      </c>
      <c r="D52">
        <v>4.3641670000000001</v>
      </c>
      <c r="E52">
        <v>0.55905719999999903</v>
      </c>
      <c r="F52" t="s">
        <v>41</v>
      </c>
      <c r="G52">
        <v>-475.00749999999999</v>
      </c>
      <c r="H52">
        <v>0.95298340000000004</v>
      </c>
      <c r="I52">
        <v>367.09649999999999</v>
      </c>
      <c r="J52">
        <v>-475.68900000000002</v>
      </c>
      <c r="K52">
        <v>1.1111709999999999</v>
      </c>
      <c r="L52">
        <v>367.2122</v>
      </c>
      <c r="M52">
        <v>0.99990469999999998</v>
      </c>
      <c r="N52">
        <v>0</v>
      </c>
      <c r="O52">
        <v>-1.748681E-3</v>
      </c>
      <c r="P52">
        <v>0.99938020000000005</v>
      </c>
      <c r="Q52">
        <v>3.4800049999999999E-2</v>
      </c>
      <c r="R52">
        <v>-5.3376889999999996E-3</v>
      </c>
      <c r="S52">
        <v>3.0242610000000001</v>
      </c>
      <c r="T52">
        <v>-0.68666539999999998</v>
      </c>
      <c r="U52">
        <v>-0.50259399999999999</v>
      </c>
      <c r="V52">
        <v>3.590532E-3</v>
      </c>
      <c r="W52">
        <v>4.849088E-2</v>
      </c>
      <c r="X52">
        <v>0.99881710000000001</v>
      </c>
      <c r="Y52">
        <v>0.15833410000000001</v>
      </c>
      <c r="Z52">
        <v>-1.72432E-2</v>
      </c>
      <c r="AA52">
        <v>0.98723499999999997</v>
      </c>
      <c r="AB52">
        <v>3</v>
      </c>
      <c r="AC52">
        <v>0.68150000000002797</v>
      </c>
      <c r="AD52">
        <v>-0.15818759999999901</v>
      </c>
      <c r="AE52">
        <v>-0.11570000000000299</v>
      </c>
      <c r="AF52">
        <v>0.10880974941253201</v>
      </c>
      <c r="AG52">
        <v>-0.15818759999999901</v>
      </c>
      <c r="AH52">
        <v>0.64777794671371303</v>
      </c>
      <c r="AI52">
        <v>103.540500515169</v>
      </c>
      <c r="AJ52">
        <v>80.464821942536801</v>
      </c>
      <c r="AK52">
        <v>0.67563240494340704</v>
      </c>
      <c r="AL52">
        <v>87.2205870693153</v>
      </c>
      <c r="AM52">
        <v>89.794034920240705</v>
      </c>
      <c r="AN52">
        <v>0.99999992830781104</v>
      </c>
    </row>
    <row r="53" spans="1:40" x14ac:dyDescent="0.25">
      <c r="A53" t="str">
        <f>"20190312150638360"</f>
        <v>20190312150638360</v>
      </c>
      <c r="B53" t="str">
        <f>"1552374398351030"</f>
        <v>1552374398351030</v>
      </c>
      <c r="C53" t="s">
        <v>40</v>
      </c>
      <c r="D53">
        <v>4.3369309999999999</v>
      </c>
      <c r="E53">
        <v>0.55861289999999997</v>
      </c>
      <c r="F53" t="s">
        <v>41</v>
      </c>
      <c r="G53">
        <v>-474.98570000000001</v>
      </c>
      <c r="H53">
        <v>0.95251110000000005</v>
      </c>
      <c r="I53">
        <v>367.09649999999999</v>
      </c>
      <c r="J53">
        <v>-475.67540000000002</v>
      </c>
      <c r="K53">
        <v>1.1112439999999999</v>
      </c>
      <c r="L53">
        <v>367.2122</v>
      </c>
      <c r="M53">
        <v>0.99989649999999997</v>
      </c>
      <c r="N53">
        <v>0</v>
      </c>
      <c r="O53">
        <v>-1.7661980000000001E-3</v>
      </c>
      <c r="P53">
        <v>0.99940810000000002</v>
      </c>
      <c r="Q53">
        <v>3.4003039999999998E-2</v>
      </c>
      <c r="R53">
        <v>-5.2692429999999998E-3</v>
      </c>
      <c r="S53">
        <v>3.02298</v>
      </c>
      <c r="T53">
        <v>-0.68214710000000001</v>
      </c>
      <c r="U53">
        <v>-0.4971313</v>
      </c>
      <c r="V53">
        <v>3.5042530000000001E-3</v>
      </c>
      <c r="W53">
        <v>4.8278929999999998E-2</v>
      </c>
      <c r="X53">
        <v>0.99882780000000004</v>
      </c>
      <c r="Y53">
        <v>0.15673319999999999</v>
      </c>
      <c r="Z53">
        <v>-1.696077E-2</v>
      </c>
      <c r="AA53">
        <v>0.98749540000000002</v>
      </c>
      <c r="AB53">
        <v>2</v>
      </c>
      <c r="AC53">
        <v>0.68970000000001597</v>
      </c>
      <c r="AD53">
        <v>-0.15873290000000001</v>
      </c>
      <c r="AE53">
        <v>-0.11570000000000299</v>
      </c>
      <c r="AF53">
        <v>0.108872627943289</v>
      </c>
      <c r="AG53">
        <v>-0.15873290000000001</v>
      </c>
      <c r="AH53">
        <v>0.65610210197700802</v>
      </c>
      <c r="AI53">
        <v>103.423636087055</v>
      </c>
      <c r="AJ53">
        <v>80.578273374911006</v>
      </c>
      <c r="AK53">
        <v>0.683753867174685</v>
      </c>
      <c r="AL53">
        <v>87.232745500026397</v>
      </c>
      <c r="AM53">
        <v>89.798986288245899</v>
      </c>
      <c r="AN53">
        <v>1.0000000544619301</v>
      </c>
    </row>
    <row r="54" spans="1:40" x14ac:dyDescent="0.25">
      <c r="A54" t="str">
        <f>"20190312150638382"</f>
        <v>20190312150638382</v>
      </c>
      <c r="B54" t="str">
        <f>"1552374398370550"</f>
        <v>1552374398370550</v>
      </c>
      <c r="C54" t="s">
        <v>40</v>
      </c>
      <c r="D54">
        <v>4.4342030000000001</v>
      </c>
      <c r="E54">
        <v>0.55821449999999995</v>
      </c>
      <c r="F54" t="s">
        <v>41</v>
      </c>
      <c r="G54">
        <v>-474.98430000000002</v>
      </c>
      <c r="H54">
        <v>0.95572389999999996</v>
      </c>
      <c r="I54">
        <v>367.0992</v>
      </c>
      <c r="J54">
        <v>-475.64850000000001</v>
      </c>
      <c r="K54">
        <v>1.1108849999999999</v>
      </c>
      <c r="L54">
        <v>367.21210000000002</v>
      </c>
      <c r="M54">
        <v>0.99990590000000001</v>
      </c>
      <c r="N54">
        <v>0</v>
      </c>
      <c r="O54">
        <v>-1.8084799999999999E-3</v>
      </c>
      <c r="P54">
        <v>0.99939460000000002</v>
      </c>
      <c r="Q54">
        <v>3.4372930000000003E-2</v>
      </c>
      <c r="R54">
        <v>-5.3861109999999999E-3</v>
      </c>
      <c r="S54">
        <v>3.0223080000000002</v>
      </c>
      <c r="T54">
        <v>-0.68014909999999995</v>
      </c>
      <c r="U54">
        <v>-0.49340820000000002</v>
      </c>
      <c r="V54">
        <v>3.5799260000000002E-3</v>
      </c>
      <c r="W54">
        <v>4.7959349999999998E-2</v>
      </c>
      <c r="X54">
        <v>0.99884289999999998</v>
      </c>
      <c r="Y54">
        <v>0.15559010000000001</v>
      </c>
      <c r="Z54">
        <v>-1.6781959999999999E-2</v>
      </c>
      <c r="AA54">
        <v>0.98767910000000003</v>
      </c>
      <c r="AB54">
        <v>2</v>
      </c>
      <c r="AC54">
        <v>0.66419999999999302</v>
      </c>
      <c r="AD54">
        <v>-0.1551611</v>
      </c>
      <c r="AE54">
        <v>-0.112900000000024</v>
      </c>
      <c r="AF54">
        <v>0.106072500281017</v>
      </c>
      <c r="AG54">
        <v>-0.1551611</v>
      </c>
      <c r="AH54">
        <v>0.63093856755247402</v>
      </c>
      <c r="AI54">
        <v>103.632053690947</v>
      </c>
      <c r="AJ54">
        <v>80.456756355895493</v>
      </c>
      <c r="AK54">
        <v>0.65833868053931399</v>
      </c>
      <c r="AL54">
        <v>87.251077244298301</v>
      </c>
      <c r="AM54">
        <v>89.794648615409201</v>
      </c>
      <c r="AN54">
        <v>1.0000000270014899</v>
      </c>
    </row>
    <row r="55" spans="1:40" x14ac:dyDescent="0.25">
      <c r="A55" t="str">
        <f>"20190312150638403"</f>
        <v>20190312150638403</v>
      </c>
      <c r="B55" t="str">
        <f>"1552374398400806"</f>
        <v>1552374398400806</v>
      </c>
      <c r="C55" t="s">
        <v>40</v>
      </c>
      <c r="D55">
        <v>4.2633720000000004</v>
      </c>
      <c r="E55">
        <v>0.56422169999999905</v>
      </c>
      <c r="F55" t="s">
        <v>41</v>
      </c>
      <c r="G55">
        <v>-474.95679999999999</v>
      </c>
      <c r="H55">
        <v>0.9569339</v>
      </c>
      <c r="I55">
        <v>367.0994</v>
      </c>
      <c r="J55">
        <v>-475.61630000000002</v>
      </c>
      <c r="K55">
        <v>1.1103320000000001</v>
      </c>
      <c r="L55">
        <v>367.21199999999999</v>
      </c>
      <c r="M55">
        <v>0.9999268</v>
      </c>
      <c r="N55">
        <v>0</v>
      </c>
      <c r="O55">
        <v>-1.870739E-3</v>
      </c>
      <c r="P55">
        <v>0.99934449999999997</v>
      </c>
      <c r="Q55">
        <v>3.5786440000000003E-2</v>
      </c>
      <c r="R55">
        <v>-5.4539710000000002E-3</v>
      </c>
      <c r="S55">
        <v>3.022278</v>
      </c>
      <c r="T55">
        <v>-0.67278230000000006</v>
      </c>
      <c r="U55">
        <v>-0.49050899999999997</v>
      </c>
      <c r="V55">
        <v>3.5871309999999999E-3</v>
      </c>
      <c r="W55">
        <v>4.7728819999999998E-2</v>
      </c>
      <c r="X55">
        <v>0.99885389999999996</v>
      </c>
      <c r="Y55">
        <v>0.1547087</v>
      </c>
      <c r="Z55">
        <v>-1.649596E-2</v>
      </c>
      <c r="AA55">
        <v>0.98782239999999999</v>
      </c>
      <c r="AB55">
        <v>2</v>
      </c>
      <c r="AC55">
        <v>0.65950000000003595</v>
      </c>
      <c r="AD55">
        <v>-0.15339809999999901</v>
      </c>
      <c r="AE55">
        <v>-0.112599999999986</v>
      </c>
      <c r="AF55">
        <v>0.105803933374091</v>
      </c>
      <c r="AG55">
        <v>-0.15339809999999901</v>
      </c>
      <c r="AH55">
        <v>0.62676116755998301</v>
      </c>
      <c r="AI55">
        <v>103.567917092694</v>
      </c>
      <c r="AJ55">
        <v>80.418200715617502</v>
      </c>
      <c r="AK55">
        <v>0.65387690780619601</v>
      </c>
      <c r="AL55">
        <v>87.2643007386568</v>
      </c>
      <c r="AM55">
        <v>89.794237592403505</v>
      </c>
      <c r="AN55">
        <v>1.0000000106563001</v>
      </c>
    </row>
    <row r="56" spans="1:40" x14ac:dyDescent="0.25">
      <c r="A56" t="str">
        <f>"20190312150638417"</f>
        <v>20190312150638417</v>
      </c>
      <c r="B56" t="str">
        <f>"1552374398410566"</f>
        <v>1552374398410566</v>
      </c>
      <c r="C56" t="s">
        <v>40</v>
      </c>
      <c r="D56">
        <v>4.5055969999999999</v>
      </c>
      <c r="E56">
        <v>0.5660134</v>
      </c>
      <c r="F56" t="s">
        <v>41</v>
      </c>
      <c r="G56">
        <v>-474.94290000000001</v>
      </c>
      <c r="H56">
        <v>0.92208469999999998</v>
      </c>
      <c r="I56">
        <v>367.09190000000001</v>
      </c>
      <c r="J56">
        <v>-475.59440000000001</v>
      </c>
      <c r="K56">
        <v>1.1100680000000001</v>
      </c>
      <c r="L56">
        <v>367.21190000000001</v>
      </c>
      <c r="M56">
        <v>0.99993770000000004</v>
      </c>
      <c r="N56">
        <v>0</v>
      </c>
      <c r="O56">
        <v>-1.9198380000000001E-3</v>
      </c>
      <c r="P56">
        <v>0.99930160000000001</v>
      </c>
      <c r="Q56">
        <v>3.6909490000000003E-2</v>
      </c>
      <c r="R56">
        <v>-5.8661649999999996E-3</v>
      </c>
      <c r="S56">
        <v>3.0292970000000001</v>
      </c>
      <c r="T56">
        <v>-0.84664030000000001</v>
      </c>
      <c r="U56">
        <v>-0.5409851</v>
      </c>
      <c r="V56">
        <v>3.9509330000000002E-3</v>
      </c>
      <c r="W56">
        <v>4.7900289999999998E-2</v>
      </c>
      <c r="X56">
        <v>0.99884430000000002</v>
      </c>
      <c r="Y56">
        <v>0.16775109999999999</v>
      </c>
      <c r="Z56">
        <v>-2.2307830000000001E-2</v>
      </c>
      <c r="AA56">
        <v>0.98557689999999998</v>
      </c>
      <c r="AB56">
        <v>3</v>
      </c>
      <c r="AC56">
        <v>0.65149999999999797</v>
      </c>
      <c r="AD56">
        <v>-0.18798329999999999</v>
      </c>
      <c r="AE56">
        <v>-0.12000000000000401</v>
      </c>
      <c r="AF56">
        <v>0.10989948700734301</v>
      </c>
      <c r="AG56">
        <v>-0.18798329999999999</v>
      </c>
      <c r="AH56">
        <v>0.60316084373401002</v>
      </c>
      <c r="AI56">
        <v>107.046352574718</v>
      </c>
      <c r="AJ56">
        <v>79.673649171150899</v>
      </c>
      <c r="AK56">
        <v>0.64126330141158805</v>
      </c>
      <c r="AL56">
        <v>87.254464929365497</v>
      </c>
      <c r="AM56">
        <v>89.773367475346603</v>
      </c>
      <c r="AN56">
        <v>0.99999999164807196</v>
      </c>
    </row>
    <row r="57" spans="1:40" x14ac:dyDescent="0.25">
      <c r="A57" t="str">
        <f>"20190312150638436"</f>
        <v>20190312150638436</v>
      </c>
      <c r="B57" t="str">
        <f>"1552374398431061"</f>
        <v>1552374398431061</v>
      </c>
      <c r="C57" t="s">
        <v>40</v>
      </c>
      <c r="D57">
        <v>4.4479939999999996</v>
      </c>
      <c r="E57">
        <v>0.56789899999999904</v>
      </c>
      <c r="F57" t="s">
        <v>41</v>
      </c>
      <c r="G57">
        <v>-474.91180000000003</v>
      </c>
      <c r="H57">
        <v>0.9194177</v>
      </c>
      <c r="I57">
        <v>367.08629999999999</v>
      </c>
      <c r="J57">
        <v>-475.5625</v>
      </c>
      <c r="K57">
        <v>1.1098570000000001</v>
      </c>
      <c r="L57">
        <v>367.21179999999998</v>
      </c>
      <c r="M57">
        <v>0.99994740000000004</v>
      </c>
      <c r="N57">
        <v>0</v>
      </c>
      <c r="O57">
        <v>-1.9869779999999999E-3</v>
      </c>
      <c r="P57">
        <v>0.99924469999999999</v>
      </c>
      <c r="Q57">
        <v>3.8314649999999999E-2</v>
      </c>
      <c r="R57">
        <v>-6.4828450000000001E-3</v>
      </c>
      <c r="S57">
        <v>3.0300289999999999</v>
      </c>
      <c r="T57">
        <v>-0.84636259999999996</v>
      </c>
      <c r="U57">
        <v>-0.55615230000000004</v>
      </c>
      <c r="V57">
        <v>4.5017679999999997E-3</v>
      </c>
      <c r="W57">
        <v>4.8370379999999998E-2</v>
      </c>
      <c r="X57">
        <v>0.99881940000000002</v>
      </c>
      <c r="Y57">
        <v>0.17226739999999999</v>
      </c>
      <c r="Z57">
        <v>-2.2882139999999999E-2</v>
      </c>
      <c r="AA57">
        <v>0.9847844</v>
      </c>
      <c r="AB57">
        <v>3</v>
      </c>
      <c r="AC57">
        <v>0.65069999999997197</v>
      </c>
      <c r="AD57">
        <v>-0.19043929999999901</v>
      </c>
      <c r="AE57">
        <v>-0.12549999999998801</v>
      </c>
      <c r="AF57">
        <v>0.11473187944077801</v>
      </c>
      <c r="AG57">
        <v>-0.19043929999999901</v>
      </c>
      <c r="AH57">
        <v>0.60129173402212899</v>
      </c>
      <c r="AI57">
        <v>107.281140107365</v>
      </c>
      <c r="AJ57">
        <v>79.197301830141996</v>
      </c>
      <c r="AK57">
        <v>0.64107899711957606</v>
      </c>
      <c r="AL57">
        <v>87.227499734169299</v>
      </c>
      <c r="AM57">
        <v>89.741764567012297</v>
      </c>
      <c r="AN57">
        <v>1.0000000766964099</v>
      </c>
    </row>
    <row r="58" spans="1:40" x14ac:dyDescent="0.25">
      <c r="A58" t="str">
        <f>"20190312150638450"</f>
        <v>20190312150638450</v>
      </c>
      <c r="B58" t="str">
        <f>"1552374398440822"</f>
        <v>1552374398440822</v>
      </c>
      <c r="C58" t="s">
        <v>40</v>
      </c>
      <c r="D58">
        <v>4.5045539999999997</v>
      </c>
      <c r="E58">
        <v>0.56839759999999995</v>
      </c>
      <c r="F58" t="s">
        <v>41</v>
      </c>
      <c r="G58">
        <v>-474.87909999999999</v>
      </c>
      <c r="H58">
        <v>0.92051210000000006</v>
      </c>
      <c r="I58">
        <v>367.08269999999999</v>
      </c>
      <c r="J58">
        <v>-475.54239999999999</v>
      </c>
      <c r="K58">
        <v>1.1099110000000001</v>
      </c>
      <c r="L58">
        <v>367.21170000000001</v>
      </c>
      <c r="M58">
        <v>0.99994740000000004</v>
      </c>
      <c r="N58">
        <v>0</v>
      </c>
      <c r="O58">
        <v>-2.024779E-3</v>
      </c>
      <c r="P58">
        <v>0.99923859999999998</v>
      </c>
      <c r="Q58">
        <v>3.8394200000000003E-2</v>
      </c>
      <c r="R58">
        <v>-6.9761019999999997E-3</v>
      </c>
      <c r="S58">
        <v>3.0307620000000002</v>
      </c>
      <c r="T58">
        <v>-0.83976689999999998</v>
      </c>
      <c r="U58">
        <v>-0.57244869999999903</v>
      </c>
      <c r="V58">
        <v>4.9572310000000003E-3</v>
      </c>
      <c r="W58">
        <v>4.8450399999999998E-2</v>
      </c>
      <c r="X58">
        <v>0.99881330000000002</v>
      </c>
      <c r="Y58">
        <v>0.17723059999999999</v>
      </c>
      <c r="Z58">
        <v>-2.3353559999999999E-2</v>
      </c>
      <c r="AA58">
        <v>0.98389230000000005</v>
      </c>
      <c r="AB58">
        <v>4</v>
      </c>
      <c r="AC58">
        <v>0.66329999999999201</v>
      </c>
      <c r="AD58">
        <v>-0.18939890000000001</v>
      </c>
      <c r="AE58">
        <v>-0.12900000000001899</v>
      </c>
      <c r="AF58">
        <v>0.11835819726524301</v>
      </c>
      <c r="AG58">
        <v>-0.18939890000000001</v>
      </c>
      <c r="AH58">
        <v>0.61522653810919503</v>
      </c>
      <c r="AI58">
        <v>106.820528783491</v>
      </c>
      <c r="AJ58">
        <v>79.110395573981705</v>
      </c>
      <c r="AK58">
        <v>0.65451073281873196</v>
      </c>
      <c r="AL58">
        <v>87.222909364096495</v>
      </c>
      <c r="AM58">
        <v>89.715636463501696</v>
      </c>
      <c r="AN58">
        <v>1.00000001182811</v>
      </c>
    </row>
    <row r="59" spans="1:40" x14ac:dyDescent="0.25">
      <c r="A59" t="str">
        <f>"20190312150638462"</f>
        <v>20190312150638462</v>
      </c>
      <c r="B59" t="str">
        <f>"1552374398450582"</f>
        <v>1552374398450582</v>
      </c>
      <c r="C59" t="s">
        <v>40</v>
      </c>
      <c r="D59">
        <v>4.4144889999999997</v>
      </c>
      <c r="E59">
        <v>0.56824799999999998</v>
      </c>
      <c r="F59" t="s">
        <v>41</v>
      </c>
      <c r="G59">
        <v>-474.8519</v>
      </c>
      <c r="H59">
        <v>0.91885539999999999</v>
      </c>
      <c r="I59">
        <v>367.07979999999998</v>
      </c>
      <c r="J59">
        <v>-475.52569999999997</v>
      </c>
      <c r="K59">
        <v>1.110114</v>
      </c>
      <c r="L59">
        <v>367.21159999999998</v>
      </c>
      <c r="M59">
        <v>0.99994179999999999</v>
      </c>
      <c r="N59">
        <v>0</v>
      </c>
      <c r="O59">
        <v>-2.0522959999999999E-3</v>
      </c>
      <c r="P59">
        <v>0.99926329999999997</v>
      </c>
      <c r="Q59">
        <v>3.7657309999999999E-2</v>
      </c>
      <c r="R59">
        <v>-7.4129510000000001E-3</v>
      </c>
      <c r="S59">
        <v>3.0304869999999999</v>
      </c>
      <c r="T59">
        <v>-0.83869989999999905</v>
      </c>
      <c r="U59">
        <v>-0.57794190000000001</v>
      </c>
      <c r="V59">
        <v>5.3659559999999999E-3</v>
      </c>
      <c r="W59">
        <v>4.8245120000000002E-2</v>
      </c>
      <c r="X59">
        <v>0.99882110000000002</v>
      </c>
      <c r="Y59">
        <v>0.1788988</v>
      </c>
      <c r="Z59">
        <v>-2.3540490000000001E-2</v>
      </c>
      <c r="AA59">
        <v>0.98358579999999995</v>
      </c>
      <c r="AB59">
        <v>4</v>
      </c>
      <c r="AC59">
        <v>0.67379999999997098</v>
      </c>
      <c r="AD59">
        <v>-0.1912586</v>
      </c>
      <c r="AE59">
        <v>-0.131799999999998</v>
      </c>
      <c r="AF59">
        <v>0.12102502356012999</v>
      </c>
      <c r="AG59">
        <v>-0.1912586</v>
      </c>
      <c r="AH59">
        <v>0.62552694486291605</v>
      </c>
      <c r="AI59">
        <v>106.709181431461</v>
      </c>
      <c r="AJ59">
        <v>79.049884591698003</v>
      </c>
      <c r="AK59">
        <v>0.66521490298340702</v>
      </c>
      <c r="AL59">
        <v>87.234684744762504</v>
      </c>
      <c r="AM59">
        <v>89.692193452746906</v>
      </c>
      <c r="AN59">
        <v>0.99999998744640906</v>
      </c>
    </row>
    <row r="60" spans="1:40" x14ac:dyDescent="0.25">
      <c r="A60" t="str">
        <f>"20190312150638480"</f>
        <v>20190312150638480</v>
      </c>
      <c r="B60" t="str">
        <f>"1552374398471091"</f>
        <v>1552374398471091</v>
      </c>
      <c r="C60" t="s">
        <v>40</v>
      </c>
      <c r="D60">
        <v>4.4421520000000001</v>
      </c>
      <c r="E60">
        <v>0.56813349999999996</v>
      </c>
      <c r="F60" t="s">
        <v>41</v>
      </c>
      <c r="G60">
        <v>-474.85059999999999</v>
      </c>
      <c r="H60">
        <v>0.92209640000000004</v>
      </c>
      <c r="I60">
        <v>367.08260000000001</v>
      </c>
      <c r="J60">
        <v>-475.50220000000002</v>
      </c>
      <c r="K60">
        <v>1.1105389999999999</v>
      </c>
      <c r="L60">
        <v>367.2115</v>
      </c>
      <c r="M60">
        <v>0.99992630000000005</v>
      </c>
      <c r="N60">
        <v>0</v>
      </c>
      <c r="O60">
        <v>-2.08647E-3</v>
      </c>
      <c r="P60">
        <v>0.99930540000000001</v>
      </c>
      <c r="Q60">
        <v>3.6267359999999998E-2</v>
      </c>
      <c r="R60">
        <v>-8.5805039999999992E-3</v>
      </c>
      <c r="S60">
        <v>3.0297550000000002</v>
      </c>
      <c r="T60">
        <v>-0.84400520000000001</v>
      </c>
      <c r="U60">
        <v>-0.578125</v>
      </c>
      <c r="V60">
        <v>6.4982620000000003E-3</v>
      </c>
      <c r="W60">
        <v>4.8219400000000003E-2</v>
      </c>
      <c r="X60">
        <v>0.99881569999999997</v>
      </c>
      <c r="Y60">
        <v>0.17888509999999999</v>
      </c>
      <c r="Z60">
        <v>-2.367826E-2</v>
      </c>
      <c r="AA60">
        <v>0.98358500000000004</v>
      </c>
      <c r="AB60">
        <v>4</v>
      </c>
      <c r="AC60">
        <v>0.65160000000003004</v>
      </c>
      <c r="AD60">
        <v>-0.18844259999999899</v>
      </c>
      <c r="AE60">
        <v>-0.128899999999987</v>
      </c>
      <c r="AF60">
        <v>0.118039455722814</v>
      </c>
      <c r="AG60">
        <v>-0.18844259999999899</v>
      </c>
      <c r="AH60">
        <v>0.60330910446236097</v>
      </c>
      <c r="AI60">
        <v>107.042203461472</v>
      </c>
      <c r="AJ60">
        <v>78.929731757942605</v>
      </c>
      <c r="AK60">
        <v>0.64298196096723703</v>
      </c>
      <c r="AL60">
        <v>87.236160338387194</v>
      </c>
      <c r="AM60">
        <v>89.627240807565002</v>
      </c>
      <c r="AN60">
        <v>1.00000007025593</v>
      </c>
    </row>
    <row r="61" spans="1:40" x14ac:dyDescent="0.25">
      <c r="A61" t="str">
        <f>"20190312150638495"</f>
        <v>20190312150638495</v>
      </c>
      <c r="B61" t="str">
        <f>"1552374398490598"</f>
        <v>1552374398490598</v>
      </c>
      <c r="C61" t="s">
        <v>40</v>
      </c>
      <c r="D61">
        <v>4.4079769999999998</v>
      </c>
      <c r="E61">
        <v>0.56819370000000002</v>
      </c>
      <c r="F61" t="s">
        <v>41</v>
      </c>
      <c r="G61">
        <v>-474.82709999999997</v>
      </c>
      <c r="H61">
        <v>0.91975709999999999</v>
      </c>
      <c r="I61">
        <v>367.0822</v>
      </c>
      <c r="J61">
        <v>-475.48719999999997</v>
      </c>
      <c r="K61">
        <v>1.110827</v>
      </c>
      <c r="L61">
        <v>367.21140000000003</v>
      </c>
      <c r="M61">
        <v>0.99991319999999995</v>
      </c>
      <c r="N61">
        <v>0</v>
      </c>
      <c r="O61">
        <v>-2.1053729999999998E-3</v>
      </c>
      <c r="P61">
        <v>0.99934670000000003</v>
      </c>
      <c r="Q61">
        <v>3.4889839999999998E-2</v>
      </c>
      <c r="R61">
        <v>-9.430842E-3</v>
      </c>
      <c r="S61">
        <v>3.028168</v>
      </c>
      <c r="T61">
        <v>-0.85577729999999996</v>
      </c>
      <c r="U61">
        <v>-0.58023069999999999</v>
      </c>
      <c r="V61">
        <v>7.3285199999999998E-3</v>
      </c>
      <c r="W61">
        <v>4.7901230000000003E-2</v>
      </c>
      <c r="X61">
        <v>0.99882519999999997</v>
      </c>
      <c r="Y61">
        <v>0.17941689999999999</v>
      </c>
      <c r="Z61">
        <v>-2.4074789999999999E-2</v>
      </c>
      <c r="AA61">
        <v>0.98347850000000003</v>
      </c>
      <c r="AB61">
        <v>3</v>
      </c>
      <c r="AC61">
        <v>0.66009999999999902</v>
      </c>
      <c r="AD61">
        <v>-0.19106989999999999</v>
      </c>
      <c r="AE61">
        <v>-0.12920000000002499</v>
      </c>
      <c r="AF61">
        <v>0.118266506672602</v>
      </c>
      <c r="AG61">
        <v>-0.19106989999999999</v>
      </c>
      <c r="AH61">
        <v>0.61106188149547602</v>
      </c>
      <c r="AI61">
        <v>107.06586777235</v>
      </c>
      <c r="AJ61">
        <v>79.046256836950803</v>
      </c>
      <c r="AK61">
        <v>0.65106934830580199</v>
      </c>
      <c r="AL61">
        <v>87.254411053262999</v>
      </c>
      <c r="AM61">
        <v>89.579620406524299</v>
      </c>
      <c r="AN61">
        <v>1.00000000759797</v>
      </c>
    </row>
    <row r="62" spans="1:40" x14ac:dyDescent="0.25">
      <c r="A62" t="str">
        <f>"20190312150638508"</f>
        <v>20190312150638508</v>
      </c>
      <c r="B62" t="str">
        <f>"1552374398500358"</f>
        <v>1552374398500358</v>
      </c>
      <c r="C62" t="s">
        <v>40</v>
      </c>
      <c r="D62">
        <v>4.4248010000000004</v>
      </c>
      <c r="E62">
        <v>0.56826779999999999</v>
      </c>
      <c r="F62" t="s">
        <v>41</v>
      </c>
      <c r="G62">
        <v>-474.80669999999998</v>
      </c>
      <c r="H62">
        <v>0.91617269999999895</v>
      </c>
      <c r="I62">
        <v>367.08</v>
      </c>
      <c r="J62">
        <v>-475.47120000000001</v>
      </c>
      <c r="K62">
        <v>1.110986</v>
      </c>
      <c r="L62">
        <v>367.21129999999999</v>
      </c>
      <c r="M62">
        <v>0.99990389999999996</v>
      </c>
      <c r="N62">
        <v>0</v>
      </c>
      <c r="O62">
        <v>-2.1240199999999999E-3</v>
      </c>
      <c r="P62">
        <v>0.99937260000000006</v>
      </c>
      <c r="Q62">
        <v>3.3934289999999999E-2</v>
      </c>
      <c r="R62">
        <v>-1.0145370000000001E-2</v>
      </c>
      <c r="S62">
        <v>3.026672</v>
      </c>
      <c r="T62">
        <v>-0.86589430000000001</v>
      </c>
      <c r="U62">
        <v>-0.5827637</v>
      </c>
      <c r="V62">
        <v>8.0235440000000005E-3</v>
      </c>
      <c r="W62">
        <v>4.7629270000000001E-2</v>
      </c>
      <c r="X62">
        <v>0.99883290000000002</v>
      </c>
      <c r="Y62">
        <v>0.180094899999999</v>
      </c>
      <c r="Z62">
        <v>-2.4447400000000001E-2</v>
      </c>
      <c r="AA62">
        <v>0.98334540000000004</v>
      </c>
      <c r="AB62">
        <v>3</v>
      </c>
      <c r="AC62">
        <v>0.66450000000003195</v>
      </c>
      <c r="AD62">
        <v>-0.19481329999999999</v>
      </c>
      <c r="AE62">
        <v>-0.13130000000000999</v>
      </c>
      <c r="AF62">
        <v>0.11996461132107999</v>
      </c>
      <c r="AG62">
        <v>-0.19481329999999999</v>
      </c>
      <c r="AH62">
        <v>0.61398793925928696</v>
      </c>
      <c r="AI62">
        <v>107.296765767492</v>
      </c>
      <c r="AJ62">
        <v>78.944489784696898</v>
      </c>
      <c r="AK62">
        <v>0.65522890609478901</v>
      </c>
      <c r="AL62">
        <v>87.270011117094697</v>
      </c>
      <c r="AM62">
        <v>89.539757530829505</v>
      </c>
      <c r="AN62">
        <v>1.0000000433707299</v>
      </c>
    </row>
    <row r="63" spans="1:40" x14ac:dyDescent="0.25">
      <c r="A63" t="str">
        <f>"20190312150638526"</f>
        <v>20190312150638526</v>
      </c>
      <c r="B63" t="str">
        <f>"1552374398520854"</f>
        <v>1552374398520854</v>
      </c>
      <c r="C63" t="s">
        <v>40</v>
      </c>
      <c r="D63">
        <v>4.4448339999999904</v>
      </c>
      <c r="E63">
        <v>0.56835690000000005</v>
      </c>
      <c r="F63" t="s">
        <v>41</v>
      </c>
      <c r="G63">
        <v>-474.78120000000001</v>
      </c>
      <c r="H63">
        <v>0.91266049999999999</v>
      </c>
      <c r="I63">
        <v>367.07760000000002</v>
      </c>
      <c r="J63">
        <v>-475.44670000000002</v>
      </c>
      <c r="K63">
        <v>1.110735</v>
      </c>
      <c r="L63">
        <v>367.21120000000002</v>
      </c>
      <c r="M63">
        <v>0.99991200000000002</v>
      </c>
      <c r="N63">
        <v>0</v>
      </c>
      <c r="O63">
        <v>-2.1534050000000002E-3</v>
      </c>
      <c r="P63">
        <v>0.99936389999999997</v>
      </c>
      <c r="Q63">
        <v>3.3945330000000003E-2</v>
      </c>
      <c r="R63">
        <v>-1.093682E-2</v>
      </c>
      <c r="S63">
        <v>3.0255429999999999</v>
      </c>
      <c r="T63">
        <v>-0.86959310000000001</v>
      </c>
      <c r="U63">
        <v>-0.58532709999999999</v>
      </c>
      <c r="V63">
        <v>8.7856180000000002E-3</v>
      </c>
      <c r="W63">
        <v>4.7029130000000002E-2</v>
      </c>
      <c r="X63">
        <v>0.99885489999999999</v>
      </c>
      <c r="Y63">
        <v>0.1808476</v>
      </c>
      <c r="Z63">
        <v>-2.4651599999999999E-2</v>
      </c>
      <c r="AA63">
        <v>0.98320220000000003</v>
      </c>
      <c r="AB63">
        <v>2</v>
      </c>
      <c r="AC63">
        <v>0.66550000000000797</v>
      </c>
      <c r="AD63">
        <v>-0.19807449999999999</v>
      </c>
      <c r="AE63">
        <v>-0.133600000000001</v>
      </c>
      <c r="AF63">
        <v>0.121795201554006</v>
      </c>
      <c r="AG63">
        <v>-0.19807449999999999</v>
      </c>
      <c r="AH63">
        <v>0.61354107158439097</v>
      </c>
      <c r="AI63">
        <v>107.570870131541</v>
      </c>
      <c r="AJ63">
        <v>78.772073691611993</v>
      </c>
      <c r="AK63">
        <v>0.65612515970106999</v>
      </c>
      <c r="AL63">
        <v>87.304435116180102</v>
      </c>
      <c r="AM63">
        <v>89.496057083710298</v>
      </c>
      <c r="AN63">
        <v>1.0000000187031</v>
      </c>
    </row>
    <row r="64" spans="1:40" x14ac:dyDescent="0.25">
      <c r="A64" t="str">
        <f>"20190312150638548"</f>
        <v>20190312150638548</v>
      </c>
      <c r="B64" t="str">
        <f>"1552374398540374"</f>
        <v>1552374398540374</v>
      </c>
      <c r="C64" t="s">
        <v>40</v>
      </c>
      <c r="D64">
        <v>4.4760080000000002</v>
      </c>
      <c r="E64">
        <v>0.56856819999999997</v>
      </c>
      <c r="F64" t="s">
        <v>41</v>
      </c>
      <c r="G64">
        <v>-474.75060000000002</v>
      </c>
      <c r="H64">
        <v>0.91050819999999999</v>
      </c>
      <c r="I64">
        <v>367.07560000000001</v>
      </c>
      <c r="J64">
        <v>-475.41140000000001</v>
      </c>
      <c r="K64">
        <v>1.110195</v>
      </c>
      <c r="L64">
        <v>367.21109999999999</v>
      </c>
      <c r="M64">
        <v>0.99993399999999999</v>
      </c>
      <c r="N64">
        <v>0</v>
      </c>
      <c r="O64">
        <v>-2.2071349999999998E-3</v>
      </c>
      <c r="P64">
        <v>0.99930540000000001</v>
      </c>
      <c r="Q64">
        <v>3.5470059999999998E-2</v>
      </c>
      <c r="R64">
        <v>-1.1426840000000001E-2</v>
      </c>
      <c r="S64">
        <v>3.0250849999999998</v>
      </c>
      <c r="T64">
        <v>-0.87024590000000002</v>
      </c>
      <c r="U64">
        <v>-0.58877559999999995</v>
      </c>
      <c r="V64">
        <v>9.2224460000000005E-3</v>
      </c>
      <c r="W64">
        <v>4.6744290000000001E-2</v>
      </c>
      <c r="X64">
        <v>0.99886430000000004</v>
      </c>
      <c r="Y64">
        <v>0.18185490000000001</v>
      </c>
      <c r="Z64">
        <v>-2.4796180000000001E-2</v>
      </c>
      <c r="AA64">
        <v>0.98301269999999996</v>
      </c>
      <c r="AB64">
        <v>3</v>
      </c>
      <c r="AC64">
        <v>0.66079999999999395</v>
      </c>
      <c r="AD64">
        <v>-0.1996868</v>
      </c>
      <c r="AE64">
        <v>-0.135499999999979</v>
      </c>
      <c r="AF64">
        <v>0.123241033436524</v>
      </c>
      <c r="AG64">
        <v>-0.1996868</v>
      </c>
      <c r="AH64">
        <v>0.60783099136443397</v>
      </c>
      <c r="AI64">
        <v>107.84711084721199</v>
      </c>
      <c r="AJ64">
        <v>78.538345916391293</v>
      </c>
      <c r="AK64">
        <v>0.65155328598650597</v>
      </c>
      <c r="AL64">
        <v>87.320773126466804</v>
      </c>
      <c r="AM64">
        <v>89.471007004348706</v>
      </c>
      <c r="AN64">
        <v>0.99999998598615802</v>
      </c>
    </row>
    <row r="65" spans="1:40" x14ac:dyDescent="0.25">
      <c r="A65" t="str">
        <f>"20190312150638560"</f>
        <v>20190312150638560</v>
      </c>
      <c r="B65" t="str">
        <f>"1552374398551111"</f>
        <v>1552374398551111</v>
      </c>
      <c r="C65" t="s">
        <v>40</v>
      </c>
      <c r="D65">
        <v>4.5101879999999896</v>
      </c>
      <c r="E65">
        <v>0.56867100000000004</v>
      </c>
      <c r="F65" t="s">
        <v>41</v>
      </c>
      <c r="G65">
        <v>-474.7167</v>
      </c>
      <c r="H65">
        <v>0.91121940000000001</v>
      </c>
      <c r="I65">
        <v>367.07499999999999</v>
      </c>
      <c r="J65">
        <v>-475.38929999999999</v>
      </c>
      <c r="K65">
        <v>1.109934</v>
      </c>
      <c r="L65">
        <v>367.21100000000001</v>
      </c>
      <c r="M65">
        <v>0.99994479999999997</v>
      </c>
      <c r="N65">
        <v>0</v>
      </c>
      <c r="O65">
        <v>-2.243573E-3</v>
      </c>
      <c r="P65">
        <v>0.99927089999999996</v>
      </c>
      <c r="Q65">
        <v>3.6430690000000002E-2</v>
      </c>
      <c r="R65">
        <v>-1.1430879999999999E-2</v>
      </c>
      <c r="S65">
        <v>3.026062</v>
      </c>
      <c r="T65">
        <v>-0.86671299999999996</v>
      </c>
      <c r="U65">
        <v>-0.59286499999999998</v>
      </c>
      <c r="V65">
        <v>9.1902609999999999E-3</v>
      </c>
      <c r="W65">
        <v>4.6696189999999999E-2</v>
      </c>
      <c r="X65">
        <v>0.9988669</v>
      </c>
      <c r="Y65">
        <v>0.18305640000000001</v>
      </c>
      <c r="Z65">
        <v>-2.4845840000000001E-2</v>
      </c>
      <c r="AA65">
        <v>0.98278840000000001</v>
      </c>
      <c r="AB65">
        <v>4</v>
      </c>
      <c r="AC65">
        <v>0.67259999999998799</v>
      </c>
      <c r="AD65">
        <v>-0.19871459999999999</v>
      </c>
      <c r="AE65">
        <v>-0.13600000000002399</v>
      </c>
      <c r="AF65">
        <v>0.12408506016675799</v>
      </c>
      <c r="AG65">
        <v>-0.19871459999999999</v>
      </c>
      <c r="AH65">
        <v>0.62084112492266696</v>
      </c>
      <c r="AI65">
        <v>107.425282466967</v>
      </c>
      <c r="AJ65">
        <v>78.697447581714101</v>
      </c>
      <c r="AK65">
        <v>0.66357237495618404</v>
      </c>
      <c r="AL65">
        <v>87.323532209522398</v>
      </c>
      <c r="AM65">
        <v>89.472854380939395</v>
      </c>
      <c r="AN65">
        <v>1.0000000394866799</v>
      </c>
    </row>
    <row r="66" spans="1:40" x14ac:dyDescent="0.25">
      <c r="A66" t="str">
        <f>"20190312150638574"</f>
        <v>20190312150638574</v>
      </c>
      <c r="B66" t="str">
        <f>"1552374398570160"</f>
        <v>1552374398570160</v>
      </c>
      <c r="C66" t="s">
        <v>40</v>
      </c>
      <c r="D66">
        <v>4.4812139999999996</v>
      </c>
      <c r="E66">
        <v>0.56754150000000003</v>
      </c>
      <c r="F66" t="s">
        <v>41</v>
      </c>
      <c r="G66">
        <v>-474.71440000000001</v>
      </c>
      <c r="H66">
        <v>0.91708109999999998</v>
      </c>
      <c r="I66">
        <v>367.07859999999999</v>
      </c>
      <c r="J66">
        <v>-475.3698</v>
      </c>
      <c r="K66">
        <v>1.109874</v>
      </c>
      <c r="L66">
        <v>367.21100000000001</v>
      </c>
      <c r="M66">
        <v>0.99994870000000002</v>
      </c>
      <c r="N66">
        <v>0</v>
      </c>
      <c r="O66">
        <v>-2.272376E-3</v>
      </c>
      <c r="P66">
        <v>0.9992624</v>
      </c>
      <c r="Q66">
        <v>3.6689069999999997E-2</v>
      </c>
      <c r="R66">
        <v>-1.13609E-2</v>
      </c>
      <c r="S66">
        <v>3.0269469999999998</v>
      </c>
      <c r="T66">
        <v>-0.86496399999999996</v>
      </c>
      <c r="U66">
        <v>-0.59396359999999904</v>
      </c>
      <c r="V66">
        <v>9.0917580000000001E-3</v>
      </c>
      <c r="W66">
        <v>4.6565679999999998E-2</v>
      </c>
      <c r="X66">
        <v>0.99887380000000003</v>
      </c>
      <c r="Y66">
        <v>0.1833398</v>
      </c>
      <c r="Z66">
        <v>-2.4821269999999999E-2</v>
      </c>
      <c r="AA66">
        <v>0.98273619999999995</v>
      </c>
      <c r="AB66">
        <v>4</v>
      </c>
      <c r="AC66">
        <v>0.65539999999998599</v>
      </c>
      <c r="AD66">
        <v>-0.19279289999999999</v>
      </c>
      <c r="AE66">
        <v>-0.132400000000018</v>
      </c>
      <c r="AF66">
        <v>0.120862078080183</v>
      </c>
      <c r="AG66">
        <v>-0.19279289999999999</v>
      </c>
      <c r="AH66">
        <v>0.60537012016579494</v>
      </c>
      <c r="AI66">
        <v>107.34398297991299</v>
      </c>
      <c r="AJ66">
        <v>78.709357101252806</v>
      </c>
      <c r="AK66">
        <v>0.64672229480498</v>
      </c>
      <c r="AL66">
        <v>87.331017773482998</v>
      </c>
      <c r="AM66">
        <v>89.478507718382502</v>
      </c>
      <c r="AN66">
        <v>0.99999994547191495</v>
      </c>
    </row>
    <row r="67" spans="1:40" x14ac:dyDescent="0.25">
      <c r="A67" t="str">
        <f>"20190312150638592"</f>
        <v>20190312150638592</v>
      </c>
      <c r="B67" t="str">
        <f>"1552374398580900"</f>
        <v>1552374398580900</v>
      </c>
      <c r="C67" t="s">
        <v>40</v>
      </c>
      <c r="D67">
        <v>4.4807389999999998</v>
      </c>
      <c r="E67">
        <v>0.56705499999999998</v>
      </c>
      <c r="F67" t="s">
        <v>41</v>
      </c>
      <c r="G67">
        <v>-474.6825</v>
      </c>
      <c r="H67">
        <v>0.91640940000000004</v>
      </c>
      <c r="I67">
        <v>367.07819999999998</v>
      </c>
      <c r="J67">
        <v>-475.34160000000003</v>
      </c>
      <c r="K67">
        <v>1.1100300000000001</v>
      </c>
      <c r="L67">
        <v>367.21089999999998</v>
      </c>
      <c r="M67">
        <v>0.99994640000000001</v>
      </c>
      <c r="N67">
        <v>0</v>
      </c>
      <c r="O67">
        <v>-2.3095110000000002E-3</v>
      </c>
      <c r="P67">
        <v>0.99927679999999997</v>
      </c>
      <c r="Q67">
        <v>3.6519070000000001E-2</v>
      </c>
      <c r="R67">
        <v>-1.0615589999999999E-2</v>
      </c>
      <c r="S67">
        <v>3.0268549999999999</v>
      </c>
      <c r="T67">
        <v>-0.85202749999999905</v>
      </c>
      <c r="U67">
        <v>-0.58410640000000003</v>
      </c>
      <c r="V67">
        <v>8.3092500000000007E-3</v>
      </c>
      <c r="W67">
        <v>4.6623789999999998E-2</v>
      </c>
      <c r="X67">
        <v>0.99887789999999999</v>
      </c>
      <c r="Y67">
        <v>0.18052940000000001</v>
      </c>
      <c r="Z67">
        <v>-2.4076670000000001E-2</v>
      </c>
      <c r="AA67">
        <v>0.98327489999999995</v>
      </c>
      <c r="AB67">
        <v>4</v>
      </c>
      <c r="AC67">
        <v>0.659100000000023</v>
      </c>
      <c r="AD67">
        <v>-0.193620599999999</v>
      </c>
      <c r="AE67">
        <v>-0.13269999999999901</v>
      </c>
      <c r="AF67">
        <v>0.12113122224362501</v>
      </c>
      <c r="AG67">
        <v>-0.193620599999999</v>
      </c>
      <c r="AH67">
        <v>0.60890457686824595</v>
      </c>
      <c r="AI67">
        <v>107.32116930825801</v>
      </c>
      <c r="AJ67">
        <v>78.7488621068306</v>
      </c>
      <c r="AK67">
        <v>0.65032798915446599</v>
      </c>
      <c r="AL67">
        <v>87.327684681501296</v>
      </c>
      <c r="AM67">
        <v>89.523391222425204</v>
      </c>
      <c r="AN67">
        <v>0.99999994026896599</v>
      </c>
    </row>
    <row r="68" spans="1:40" x14ac:dyDescent="0.25">
      <c r="A68" t="str">
        <f>"20190312150638605"</f>
        <v>20190312150638605</v>
      </c>
      <c r="B68" t="str">
        <f>"1552374398600416"</f>
        <v>1552374398600416</v>
      </c>
      <c r="C68" t="s">
        <v>40</v>
      </c>
      <c r="D68">
        <v>4.4174860000000002</v>
      </c>
      <c r="E68">
        <v>0.56642289999999995</v>
      </c>
      <c r="F68" t="s">
        <v>41</v>
      </c>
      <c r="G68">
        <v>-474.654</v>
      </c>
      <c r="H68">
        <v>0.91844219999999999</v>
      </c>
      <c r="I68">
        <v>367.07940000000002</v>
      </c>
      <c r="J68">
        <v>-475.32339999999999</v>
      </c>
      <c r="K68">
        <v>1.1102989999999999</v>
      </c>
      <c r="L68">
        <v>367.21080000000001</v>
      </c>
      <c r="M68">
        <v>0.9999382</v>
      </c>
      <c r="N68">
        <v>0</v>
      </c>
      <c r="O68">
        <v>-2.32979E-3</v>
      </c>
      <c r="P68">
        <v>0.99930569999999996</v>
      </c>
      <c r="Q68">
        <v>3.5893229999999998E-2</v>
      </c>
      <c r="R68">
        <v>-9.9995369999999993E-3</v>
      </c>
      <c r="S68">
        <v>3.0268860000000002</v>
      </c>
      <c r="T68">
        <v>-0.84346080000000001</v>
      </c>
      <c r="U68">
        <v>-0.57827759999999995</v>
      </c>
      <c r="V68">
        <v>7.6726950000000002E-3</v>
      </c>
      <c r="W68">
        <v>4.6753820000000001E-2</v>
      </c>
      <c r="X68">
        <v>0.99887700000000001</v>
      </c>
      <c r="Y68">
        <v>0.17887149999999999</v>
      </c>
      <c r="Z68">
        <v>-2.361686E-2</v>
      </c>
      <c r="AA68">
        <v>0.98358889999999999</v>
      </c>
      <c r="AB68">
        <v>4</v>
      </c>
      <c r="AC68">
        <v>0.669399999999996</v>
      </c>
      <c r="AD68">
        <v>-0.19185679999999999</v>
      </c>
      <c r="AE68">
        <v>-0.131399999999985</v>
      </c>
      <c r="AF68">
        <v>0.12032275170573099</v>
      </c>
      <c r="AG68">
        <v>-0.19185679999999999</v>
      </c>
      <c r="AH68">
        <v>0.62061517895832397</v>
      </c>
      <c r="AI68">
        <v>106.882442935534</v>
      </c>
      <c r="AJ68">
        <v>79.027813087281004</v>
      </c>
      <c r="AK68">
        <v>0.66064347165301796</v>
      </c>
      <c r="AL68">
        <v>87.320226606083494</v>
      </c>
      <c r="AM68">
        <v>89.559901374063799</v>
      </c>
      <c r="AN68">
        <v>1.0000000255310699</v>
      </c>
    </row>
    <row r="69" spans="1:40" x14ac:dyDescent="0.25">
      <c r="A69" t="str">
        <f>"20190312150638617"</f>
        <v>20190312150638617</v>
      </c>
      <c r="B69" t="str">
        <f>"1552374398610178"</f>
        <v>1552374398610178</v>
      </c>
      <c r="C69" t="s">
        <v>40</v>
      </c>
      <c r="D69">
        <v>4.4795610000000003</v>
      </c>
      <c r="E69">
        <v>0.56623970000000001</v>
      </c>
      <c r="F69" t="s">
        <v>41</v>
      </c>
      <c r="G69">
        <v>-474.62889999999999</v>
      </c>
      <c r="H69">
        <v>0.92006049999999995</v>
      </c>
      <c r="I69">
        <v>367.07940000000002</v>
      </c>
      <c r="J69">
        <v>-475.3082</v>
      </c>
      <c r="K69">
        <v>1.110608</v>
      </c>
      <c r="L69">
        <v>367.21080000000001</v>
      </c>
      <c r="M69">
        <v>0.99992619999999999</v>
      </c>
      <c r="N69">
        <v>0</v>
      </c>
      <c r="O69">
        <v>-2.3427370000000001E-3</v>
      </c>
      <c r="P69">
        <v>0.99935750000000001</v>
      </c>
      <c r="Q69">
        <v>3.4605219999999999E-2</v>
      </c>
      <c r="R69">
        <v>-9.3351570000000002E-3</v>
      </c>
      <c r="S69">
        <v>3.026154</v>
      </c>
      <c r="T69">
        <v>-0.82902809999999905</v>
      </c>
      <c r="U69">
        <v>-0.57144169999999905</v>
      </c>
      <c r="V69">
        <v>6.9947809999999899E-3</v>
      </c>
      <c r="W69">
        <v>4.651185E-2</v>
      </c>
      <c r="X69">
        <v>0.99889329999999998</v>
      </c>
      <c r="Y69">
        <v>0.177034</v>
      </c>
      <c r="Z69">
        <v>-2.298826E-2</v>
      </c>
      <c r="AA69">
        <v>0.98393629999999999</v>
      </c>
      <c r="AB69">
        <v>3</v>
      </c>
      <c r="AC69">
        <v>0.67930000000001201</v>
      </c>
      <c r="AD69">
        <v>-0.19054750000000001</v>
      </c>
      <c r="AE69">
        <v>-0.131399999999985</v>
      </c>
      <c r="AF69">
        <v>0.120656824578081</v>
      </c>
      <c r="AG69">
        <v>-0.19054750000000001</v>
      </c>
      <c r="AH69">
        <v>0.63169477033183696</v>
      </c>
      <c r="AI69">
        <v>106.503954689407</v>
      </c>
      <c r="AJ69">
        <v>79.186470268952903</v>
      </c>
      <c r="AK69">
        <v>0.67074935850741502</v>
      </c>
      <c r="AL69">
        <v>87.334105635013699</v>
      </c>
      <c r="AM69">
        <v>89.598791102669594</v>
      </c>
      <c r="AN69">
        <v>1.0000000519682699</v>
      </c>
    </row>
    <row r="70" spans="1:40" x14ac:dyDescent="0.25">
      <c r="A70" t="str">
        <f>"20190312150638637"</f>
        <v>20190312150638637</v>
      </c>
      <c r="B70" t="str">
        <f>"1552374398630673"</f>
        <v>1552374398630673</v>
      </c>
      <c r="C70" t="s">
        <v>40</v>
      </c>
      <c r="D70">
        <v>4.4049940000000003</v>
      </c>
      <c r="E70">
        <v>0.56575240000000004</v>
      </c>
      <c r="F70" t="s">
        <v>41</v>
      </c>
      <c r="G70">
        <v>-474.62689999999998</v>
      </c>
      <c r="H70">
        <v>0.92501350000000004</v>
      </c>
      <c r="I70">
        <v>367.08260000000001</v>
      </c>
      <c r="J70">
        <v>-475.28609999999998</v>
      </c>
      <c r="K70">
        <v>1.111032</v>
      </c>
      <c r="L70">
        <v>367.21069999999997</v>
      </c>
      <c r="M70">
        <v>0.99990520000000005</v>
      </c>
      <c r="N70">
        <v>0</v>
      </c>
      <c r="O70">
        <v>-2.3569149999999998E-3</v>
      </c>
      <c r="P70">
        <v>0.99942359999999997</v>
      </c>
      <c r="Q70">
        <v>3.2913539999999998E-2</v>
      </c>
      <c r="R70">
        <v>-8.307287E-3</v>
      </c>
      <c r="S70">
        <v>3.0252080000000001</v>
      </c>
      <c r="T70">
        <v>-0.82417169999999895</v>
      </c>
      <c r="U70">
        <v>-0.56793209999999905</v>
      </c>
      <c r="V70">
        <v>5.9522009999999998E-3</v>
      </c>
      <c r="W70">
        <v>4.646136E-2</v>
      </c>
      <c r="X70">
        <v>0.99890239999999997</v>
      </c>
      <c r="Y70">
        <v>0.17607410000000001</v>
      </c>
      <c r="Z70">
        <v>-2.273617E-2</v>
      </c>
      <c r="AA70">
        <v>0.9841143</v>
      </c>
      <c r="AB70">
        <v>3</v>
      </c>
      <c r="AC70">
        <v>0.65919999999999801</v>
      </c>
      <c r="AD70">
        <v>-0.1860185</v>
      </c>
      <c r="AE70">
        <v>-0.12809999999996</v>
      </c>
      <c r="AF70">
        <v>0.117527625074062</v>
      </c>
      <c r="AG70">
        <v>-0.1860185</v>
      </c>
      <c r="AH70">
        <v>0.61250131234528205</v>
      </c>
      <c r="AI70">
        <v>106.60783636407</v>
      </c>
      <c r="AJ70">
        <v>79.138027066315701</v>
      </c>
      <c r="AK70">
        <v>0.65082523201124598</v>
      </c>
      <c r="AL70">
        <v>87.337001612881494</v>
      </c>
      <c r="AM70">
        <v>89.658593312162495</v>
      </c>
      <c r="AN70">
        <v>1.00000004569777</v>
      </c>
    </row>
    <row r="71" spans="1:40" x14ac:dyDescent="0.25">
      <c r="A71" t="str">
        <f>"20190312150638649"</f>
        <v>20190312150638649</v>
      </c>
      <c r="B71" t="str">
        <f>"1552374398640433"</f>
        <v>1552374398640433</v>
      </c>
      <c r="C71" t="s">
        <v>40</v>
      </c>
      <c r="D71">
        <v>4.4813000000000001</v>
      </c>
      <c r="E71">
        <v>0.56553330000000002</v>
      </c>
      <c r="F71" t="s">
        <v>41</v>
      </c>
      <c r="G71">
        <v>-474.60419999999999</v>
      </c>
      <c r="H71">
        <v>0.92713069999999997</v>
      </c>
      <c r="I71">
        <v>367.08409999999998</v>
      </c>
      <c r="J71">
        <v>-475.27280000000002</v>
      </c>
      <c r="K71">
        <v>1.11121</v>
      </c>
      <c r="L71">
        <v>367.21069999999997</v>
      </c>
      <c r="M71">
        <v>0.99989399999999995</v>
      </c>
      <c r="N71">
        <v>0</v>
      </c>
      <c r="O71">
        <v>-2.3638600000000002E-3</v>
      </c>
      <c r="P71">
        <v>0.99945379999999995</v>
      </c>
      <c r="Q71">
        <v>3.2106639999999999E-2</v>
      </c>
      <c r="R71">
        <v>-7.8242820000000001E-3</v>
      </c>
      <c r="S71">
        <v>3.0239560000000001</v>
      </c>
      <c r="T71">
        <v>-0.81557170000000001</v>
      </c>
      <c r="U71">
        <v>-0.56039430000000001</v>
      </c>
      <c r="V71">
        <v>5.4618459999999898E-3</v>
      </c>
      <c r="W71">
        <v>4.6467559999999998E-2</v>
      </c>
      <c r="X71">
        <v>0.99890489999999998</v>
      </c>
      <c r="Y71">
        <v>0.17396010000000001</v>
      </c>
      <c r="Z71">
        <v>-2.2240989999999999E-2</v>
      </c>
      <c r="AA71">
        <v>0.98450150000000003</v>
      </c>
      <c r="AB71">
        <v>3</v>
      </c>
      <c r="AC71">
        <v>0.66860000000002595</v>
      </c>
      <c r="AD71">
        <v>-0.1840793</v>
      </c>
      <c r="AE71">
        <v>-0.12659999999999599</v>
      </c>
      <c r="AF71">
        <v>0.116494227390712</v>
      </c>
      <c r="AG71">
        <v>-0.1840793</v>
      </c>
      <c r="AH71">
        <v>0.623286740903366</v>
      </c>
      <c r="AI71">
        <v>106.188506168747</v>
      </c>
      <c r="AJ71">
        <v>79.413386343514105</v>
      </c>
      <c r="AK71">
        <v>0.66025938470406398</v>
      </c>
      <c r="AL71">
        <v>87.336645959985802</v>
      </c>
      <c r="AM71">
        <v>89.686719320806304</v>
      </c>
      <c r="AN71">
        <v>1.0000000325690399</v>
      </c>
    </row>
    <row r="72" spans="1:40" x14ac:dyDescent="0.25">
      <c r="A72" t="str">
        <f>"20190312150638660"</f>
        <v>20190312150638660</v>
      </c>
      <c r="B72" t="str">
        <f>"1552374398650193"</f>
        <v>1552374398650193</v>
      </c>
      <c r="C72" t="s">
        <v>40</v>
      </c>
      <c r="D72">
        <v>4.1555650000000002</v>
      </c>
      <c r="E72">
        <v>0.5653378</v>
      </c>
      <c r="F72" t="s">
        <v>41</v>
      </c>
      <c r="G72">
        <v>-474.5829</v>
      </c>
      <c r="H72">
        <v>0.92575980000000002</v>
      </c>
      <c r="I72">
        <v>367.08330000000001</v>
      </c>
      <c r="J72">
        <v>-475.25959999999998</v>
      </c>
      <c r="K72">
        <v>1.111281</v>
      </c>
      <c r="L72">
        <v>367.21069999999997</v>
      </c>
      <c r="M72">
        <v>0.99988659999999996</v>
      </c>
      <c r="N72">
        <v>0</v>
      </c>
      <c r="O72">
        <v>-2.3704989999999999E-3</v>
      </c>
      <c r="P72">
        <v>0.99947059999999999</v>
      </c>
      <c r="Q72">
        <v>3.1671110000000002E-2</v>
      </c>
      <c r="R72">
        <v>-7.4525449999999997E-3</v>
      </c>
      <c r="S72">
        <v>3.0233460000000001</v>
      </c>
      <c r="T72">
        <v>-0.81266019999999894</v>
      </c>
      <c r="U72">
        <v>-0.55676269999999894</v>
      </c>
      <c r="V72">
        <v>5.0831660000000001E-3</v>
      </c>
      <c r="W72">
        <v>4.6535199999999999E-2</v>
      </c>
      <c r="X72">
        <v>0.99890369999999995</v>
      </c>
      <c r="Y72">
        <v>0.1729193</v>
      </c>
      <c r="Z72">
        <v>-2.2032679999999999E-2</v>
      </c>
      <c r="AA72">
        <v>0.9846895</v>
      </c>
      <c r="AB72">
        <v>2</v>
      </c>
      <c r="AC72">
        <v>0.67669999999998198</v>
      </c>
      <c r="AD72">
        <v>-0.185521199999999</v>
      </c>
      <c r="AE72">
        <v>-0.12739999999996501</v>
      </c>
      <c r="AF72">
        <v>0.11728201874229501</v>
      </c>
      <c r="AG72">
        <v>-0.185521199999999</v>
      </c>
      <c r="AH72">
        <v>0.63118345516470398</v>
      </c>
      <c r="AI72">
        <v>106.11821365460101</v>
      </c>
      <c r="AJ72">
        <v>79.473754810076002</v>
      </c>
      <c r="AK72">
        <v>0.66825574568675605</v>
      </c>
      <c r="AL72">
        <v>87.332766143387303</v>
      </c>
      <c r="AM72">
        <v>89.708438917133506</v>
      </c>
      <c r="AN72">
        <v>0.99999998264465595</v>
      </c>
    </row>
    <row r="73" spans="1:40" x14ac:dyDescent="0.25">
      <c r="A73" t="str">
        <f>"20190312150638673"</f>
        <v>20190312150638673</v>
      </c>
      <c r="B73" t="str">
        <f>"1552374398670688"</f>
        <v>1552374398670688</v>
      </c>
      <c r="C73" t="s">
        <v>40</v>
      </c>
      <c r="D73">
        <v>4.2508619999999997</v>
      </c>
      <c r="E73">
        <v>0.56523269999999903</v>
      </c>
      <c r="F73" t="s">
        <v>41</v>
      </c>
      <c r="G73">
        <v>-474.58100000000002</v>
      </c>
      <c r="H73">
        <v>0.92980779999999996</v>
      </c>
      <c r="I73">
        <v>367.08589999999998</v>
      </c>
      <c r="J73">
        <v>-475.24470000000002</v>
      </c>
      <c r="K73">
        <v>1.111113</v>
      </c>
      <c r="L73">
        <v>367.2106</v>
      </c>
      <c r="M73">
        <v>0.99989170000000005</v>
      </c>
      <c r="N73">
        <v>0</v>
      </c>
      <c r="O73">
        <v>-2.3805179999999999E-3</v>
      </c>
      <c r="P73">
        <v>0.99946219999999997</v>
      </c>
      <c r="Q73">
        <v>3.2001870000000002E-2</v>
      </c>
      <c r="R73">
        <v>-7.189801E-3</v>
      </c>
      <c r="S73">
        <v>3.0231020000000002</v>
      </c>
      <c r="T73">
        <v>-0.80844869999999902</v>
      </c>
      <c r="U73">
        <v>-0.554199199999999</v>
      </c>
      <c r="V73">
        <v>4.8105279999999997E-3</v>
      </c>
      <c r="W73">
        <v>4.6519959999999999E-2</v>
      </c>
      <c r="X73">
        <v>0.99890579999999995</v>
      </c>
      <c r="Y73">
        <v>0.1721983</v>
      </c>
      <c r="Z73">
        <v>-2.1828960000000001E-2</v>
      </c>
      <c r="AA73">
        <v>0.98482040000000004</v>
      </c>
      <c r="AB73">
        <v>2</v>
      </c>
      <c r="AC73">
        <v>0.66370000000006202</v>
      </c>
      <c r="AD73">
        <v>-0.181305199999999</v>
      </c>
      <c r="AE73">
        <v>-0.124700000000018</v>
      </c>
      <c r="AF73">
        <v>0.11484181954070501</v>
      </c>
      <c r="AG73">
        <v>-0.181305199999999</v>
      </c>
      <c r="AH73">
        <v>0.61935254287213004</v>
      </c>
      <c r="AI73">
        <v>106.057262588759</v>
      </c>
      <c r="AJ73">
        <v>79.495384159469296</v>
      </c>
      <c r="AK73">
        <v>0.65548286890248597</v>
      </c>
      <c r="AL73">
        <v>87.3336403842859</v>
      </c>
      <c r="AM73">
        <v>89.724077264423997</v>
      </c>
      <c r="AN73">
        <v>1.0000000225658301</v>
      </c>
    </row>
    <row r="74" spans="1:40" x14ac:dyDescent="0.25">
      <c r="A74" t="str">
        <f>"20190312150638694"</f>
        <v>20190312150638694</v>
      </c>
      <c r="B74" t="str">
        <f>"1552374398690357"</f>
        <v>1552374398690357</v>
      </c>
      <c r="C74" t="s">
        <v>40</v>
      </c>
      <c r="D74">
        <v>4.4453009999999997</v>
      </c>
      <c r="E74">
        <v>0.5650501</v>
      </c>
      <c r="F74" t="s">
        <v>41</v>
      </c>
      <c r="G74">
        <v>-474.55509999999998</v>
      </c>
      <c r="H74">
        <v>0.92752159999999995</v>
      </c>
      <c r="I74">
        <v>367.08479999999997</v>
      </c>
      <c r="J74">
        <v>-475.21539999999999</v>
      </c>
      <c r="K74">
        <v>1.1106370000000001</v>
      </c>
      <c r="L74">
        <v>367.21050000000002</v>
      </c>
      <c r="M74">
        <v>0.99991070000000004</v>
      </c>
      <c r="N74">
        <v>0</v>
      </c>
      <c r="O74">
        <v>-2.40631E-3</v>
      </c>
      <c r="P74">
        <v>0.99940189999999995</v>
      </c>
      <c r="Q74">
        <v>3.3862820000000002E-2</v>
      </c>
      <c r="R74">
        <v>-7.0433659999999997E-3</v>
      </c>
      <c r="S74">
        <v>3.0234380000000001</v>
      </c>
      <c r="T74">
        <v>-0.80497030000000003</v>
      </c>
      <c r="U74">
        <v>-0.55221560000000003</v>
      </c>
      <c r="V74">
        <v>4.6394749999999997E-3</v>
      </c>
      <c r="W74">
        <v>4.7008179999999997E-2</v>
      </c>
      <c r="X74">
        <v>0.99888370000000004</v>
      </c>
      <c r="Y74">
        <v>0.17159859999999999</v>
      </c>
      <c r="Z74">
        <v>-2.165251E-2</v>
      </c>
      <c r="AA74">
        <v>0.98492900000000005</v>
      </c>
      <c r="AB74">
        <v>2</v>
      </c>
      <c r="AC74">
        <v>0.66030000000000599</v>
      </c>
      <c r="AD74">
        <v>-0.18311540000000001</v>
      </c>
      <c r="AE74">
        <v>-0.12570000000005099</v>
      </c>
      <c r="AF74">
        <v>0.115535822820112</v>
      </c>
      <c r="AG74">
        <v>-0.18311540000000001</v>
      </c>
      <c r="AH74">
        <v>0.61495976082713899</v>
      </c>
      <c r="AI74">
        <v>106.312012574352</v>
      </c>
      <c r="AJ74">
        <v>79.359566731356594</v>
      </c>
      <c r="AK74">
        <v>0.65196263965694601</v>
      </c>
      <c r="AL74">
        <v>87.305636660242698</v>
      </c>
      <c r="AM74">
        <v>89.733882507878803</v>
      </c>
      <c r="AN74">
        <v>0.99999996992043805</v>
      </c>
    </row>
    <row r="75" spans="1:40" x14ac:dyDescent="0.25">
      <c r="A75" t="str">
        <f>"20190312150638716"</f>
        <v>20190312150638716</v>
      </c>
      <c r="B75" t="str">
        <f>"1552374398710853"</f>
        <v>1552374398710853</v>
      </c>
      <c r="C75" t="s">
        <v>40</v>
      </c>
      <c r="D75">
        <v>4.1563589999999904</v>
      </c>
      <c r="E75">
        <v>0.56472270000000002</v>
      </c>
      <c r="F75" t="s">
        <v>41</v>
      </c>
      <c r="G75">
        <v>-474.52440000000001</v>
      </c>
      <c r="H75">
        <v>0.92861260000000001</v>
      </c>
      <c r="I75">
        <v>367.08449999999999</v>
      </c>
      <c r="J75">
        <v>-475.18090000000001</v>
      </c>
      <c r="K75">
        <v>1.1101570000000001</v>
      </c>
      <c r="L75">
        <v>367.21039999999999</v>
      </c>
      <c r="M75">
        <v>0.99993140000000003</v>
      </c>
      <c r="N75">
        <v>0</v>
      </c>
      <c r="O75">
        <v>-2.4465089999999999E-3</v>
      </c>
      <c r="P75">
        <v>0.99933609999999995</v>
      </c>
      <c r="Q75">
        <v>3.5743039999999997E-2</v>
      </c>
      <c r="R75">
        <v>-7.0800799999999999E-3</v>
      </c>
      <c r="S75">
        <v>3.0248719999999998</v>
      </c>
      <c r="T75">
        <v>-0.79669369999999995</v>
      </c>
      <c r="U75">
        <v>-0.55068969999999995</v>
      </c>
      <c r="V75">
        <v>4.6370170000000002E-3</v>
      </c>
      <c r="W75">
        <v>4.7190129999999997E-2</v>
      </c>
      <c r="X75">
        <v>0.99887510000000002</v>
      </c>
      <c r="Y75">
        <v>0.1711318</v>
      </c>
      <c r="Z75">
        <v>-2.1358039999999998E-2</v>
      </c>
      <c r="AA75">
        <v>0.98501660000000002</v>
      </c>
      <c r="AB75">
        <v>3</v>
      </c>
      <c r="AC75">
        <v>0.65649999999999398</v>
      </c>
      <c r="AD75">
        <v>-0.18154439999999999</v>
      </c>
      <c r="AE75">
        <v>-0.12590000000000101</v>
      </c>
      <c r="AF75">
        <v>0.11575546246607001</v>
      </c>
      <c r="AG75">
        <v>-0.18154439999999999</v>
      </c>
      <c r="AH75">
        <v>0.61168895427194503</v>
      </c>
      <c r="AI75">
        <v>106.25754771219199</v>
      </c>
      <c r="AJ75">
        <v>79.284116568661204</v>
      </c>
      <c r="AK75">
        <v>0.64847596180614098</v>
      </c>
      <c r="AL75">
        <v>87.295200023733003</v>
      </c>
      <c r="AM75">
        <v>89.734021205311507</v>
      </c>
      <c r="AN75">
        <v>0.99999993784803998</v>
      </c>
    </row>
    <row r="76" spans="1:40" x14ac:dyDescent="0.25">
      <c r="A76" t="str">
        <f>"20190312150638738"</f>
        <v>20190312150638738</v>
      </c>
      <c r="B76" t="str">
        <f>"1552374398730373"</f>
        <v>1552374398730373</v>
      </c>
      <c r="C76" t="s">
        <v>40</v>
      </c>
      <c r="D76">
        <v>4.5635349999999999</v>
      </c>
      <c r="E76">
        <v>0.56452069999999999</v>
      </c>
      <c r="F76" t="s">
        <v>41</v>
      </c>
      <c r="G76">
        <v>-474.49099999999999</v>
      </c>
      <c r="H76">
        <v>0.93163660000000004</v>
      </c>
      <c r="I76">
        <v>367.08519999999999</v>
      </c>
      <c r="J76">
        <v>-475.1454</v>
      </c>
      <c r="K76">
        <v>1.109944</v>
      </c>
      <c r="L76">
        <v>367.21030000000002</v>
      </c>
      <c r="M76">
        <v>0.99994280000000002</v>
      </c>
      <c r="N76">
        <v>0</v>
      </c>
      <c r="O76">
        <v>-2.488573E-3</v>
      </c>
      <c r="P76">
        <v>0.99928419999999896</v>
      </c>
      <c r="Q76">
        <v>3.7173270000000001E-2</v>
      </c>
      <c r="R76">
        <v>-7.0476069999999896E-3</v>
      </c>
      <c r="S76">
        <v>3.0261230000000001</v>
      </c>
      <c r="T76">
        <v>-0.78310590000000002</v>
      </c>
      <c r="U76">
        <v>-0.54876709999999995</v>
      </c>
      <c r="V76">
        <v>4.563671E-3</v>
      </c>
      <c r="W76">
        <v>4.7580219999999999E-2</v>
      </c>
      <c r="X76">
        <v>0.99885699999999999</v>
      </c>
      <c r="Y76">
        <v>0.17061950000000001</v>
      </c>
      <c r="Z76">
        <v>-2.092275E-2</v>
      </c>
      <c r="AA76">
        <v>0.98511479999999996</v>
      </c>
      <c r="AB76">
        <v>3</v>
      </c>
      <c r="AC76">
        <v>0.65440000000000897</v>
      </c>
      <c r="AD76">
        <v>-0.17830739999999901</v>
      </c>
      <c r="AE76">
        <v>-0.12510000000003099</v>
      </c>
      <c r="AF76">
        <v>0.11521849020028301</v>
      </c>
      <c r="AG76">
        <v>-0.17830739999999901</v>
      </c>
      <c r="AH76">
        <v>0.61095007653190103</v>
      </c>
      <c r="AI76">
        <v>106.002739004582</v>
      </c>
      <c r="AJ76">
        <v>79.320078234204601</v>
      </c>
      <c r="AK76">
        <v>0.64678344551567601</v>
      </c>
      <c r="AL76">
        <v>87.272824561288004</v>
      </c>
      <c r="AM76">
        <v>89.738223521516005</v>
      </c>
      <c r="AN76">
        <v>1.00000000543862</v>
      </c>
    </row>
    <row r="77" spans="1:40" x14ac:dyDescent="0.25">
      <c r="A77" t="str">
        <f>"20190312150638750"</f>
        <v>20190312150638750</v>
      </c>
      <c r="B77" t="str">
        <f>"1552374398741109"</f>
        <v>1552374398741109</v>
      </c>
      <c r="C77" t="s">
        <v>40</v>
      </c>
      <c r="D77">
        <v>4.1709880000000004</v>
      </c>
      <c r="E77">
        <v>0.56443739999999998</v>
      </c>
      <c r="F77" t="s">
        <v>41</v>
      </c>
      <c r="G77">
        <v>-474.45800000000003</v>
      </c>
      <c r="H77">
        <v>0.93476360000000003</v>
      </c>
      <c r="I77">
        <v>367.08580000000001</v>
      </c>
      <c r="J77">
        <v>-475.12689999999998</v>
      </c>
      <c r="K77">
        <v>1.110031</v>
      </c>
      <c r="L77">
        <v>367.21019999999999</v>
      </c>
      <c r="M77">
        <v>0.99994170000000004</v>
      </c>
      <c r="N77">
        <v>0</v>
      </c>
      <c r="O77">
        <v>-2.5069620000000002E-3</v>
      </c>
      <c r="P77">
        <v>0.99928119999999998</v>
      </c>
      <c r="Q77">
        <v>3.7247259999999997E-2</v>
      </c>
      <c r="R77">
        <v>-7.0614110000000001E-3</v>
      </c>
      <c r="S77">
        <v>3.0269780000000002</v>
      </c>
      <c r="T77">
        <v>-0.77146380000000003</v>
      </c>
      <c r="U77">
        <v>-0.54730219999999996</v>
      </c>
      <c r="V77">
        <v>4.5591570000000003E-3</v>
      </c>
      <c r="W77">
        <v>4.7748350000000002E-2</v>
      </c>
      <c r="X77">
        <v>0.99884899999999999</v>
      </c>
      <c r="Y77">
        <v>0.17026089999999999</v>
      </c>
      <c r="Z77">
        <v>-2.056726E-2</v>
      </c>
      <c r="AA77">
        <v>0.98518439999999996</v>
      </c>
      <c r="AB77">
        <v>4</v>
      </c>
      <c r="AC77">
        <v>0.66889999999995098</v>
      </c>
      <c r="AD77">
        <v>-0.17526739999999899</v>
      </c>
      <c r="AE77">
        <v>-0.12439999999998</v>
      </c>
      <c r="AF77">
        <v>0.115085429438555</v>
      </c>
      <c r="AG77">
        <v>-0.17526739999999899</v>
      </c>
      <c r="AH77">
        <v>0.62756402633459796</v>
      </c>
      <c r="AI77">
        <v>105.360334764166</v>
      </c>
      <c r="AJ77">
        <v>79.608313481549203</v>
      </c>
      <c r="AK77">
        <v>0.66166451070093502</v>
      </c>
      <c r="AL77">
        <v>87.263180467074903</v>
      </c>
      <c r="AM77">
        <v>89.738480350698893</v>
      </c>
      <c r="AN77">
        <v>1.0000000078206299</v>
      </c>
    </row>
    <row r="78" spans="1:40" x14ac:dyDescent="0.25">
      <c r="A78" t="str">
        <f>"20190312150638762"</f>
        <v>20190312150638762</v>
      </c>
      <c r="B78" t="str">
        <f>"1552374398760630"</f>
        <v>1552374398760630</v>
      </c>
      <c r="C78" t="s">
        <v>40</v>
      </c>
      <c r="D78">
        <v>4.5585009999999997</v>
      </c>
      <c r="E78">
        <v>0.56424090000000005</v>
      </c>
      <c r="F78" t="s">
        <v>41</v>
      </c>
      <c r="G78">
        <v>-474.43110000000001</v>
      </c>
      <c r="H78">
        <v>0.93341620000000003</v>
      </c>
      <c r="I78">
        <v>367.08440000000002</v>
      </c>
      <c r="J78">
        <v>-475.1096</v>
      </c>
      <c r="K78">
        <v>1.110258</v>
      </c>
      <c r="L78">
        <v>367.21010000000001</v>
      </c>
      <c r="M78">
        <v>0.99993560000000004</v>
      </c>
      <c r="N78">
        <v>0</v>
      </c>
      <c r="O78">
        <v>-2.5219270000000002E-3</v>
      </c>
      <c r="P78">
        <v>0.999305</v>
      </c>
      <c r="Q78">
        <v>3.658372E-2</v>
      </c>
      <c r="R78">
        <v>-7.1900469999999998E-3</v>
      </c>
      <c r="S78">
        <v>3.0269469999999998</v>
      </c>
      <c r="T78">
        <v>-0.76829859999999905</v>
      </c>
      <c r="U78">
        <v>-0.54681400000000002</v>
      </c>
      <c r="V78">
        <v>4.6723550000000004E-3</v>
      </c>
      <c r="W78">
        <v>4.7649280000000002E-2</v>
      </c>
      <c r="X78">
        <v>0.9988532</v>
      </c>
      <c r="Y78">
        <v>0.17013979999999901</v>
      </c>
      <c r="Z78">
        <v>-2.046717E-2</v>
      </c>
      <c r="AA78">
        <v>0.98520739999999996</v>
      </c>
      <c r="AB78">
        <v>4</v>
      </c>
      <c r="AC78">
        <v>0.678499999999985</v>
      </c>
      <c r="AD78">
        <v>-0.17684179999999899</v>
      </c>
      <c r="AE78">
        <v>-0.12569999999999401</v>
      </c>
      <c r="AF78">
        <v>0.116347024437965</v>
      </c>
      <c r="AG78">
        <v>-0.17684179999999899</v>
      </c>
      <c r="AH78">
        <v>0.63697983353749299</v>
      </c>
      <c r="AI78">
        <v>105.275369080652</v>
      </c>
      <c r="AJ78">
        <v>79.648794380375307</v>
      </c>
      <c r="AK78">
        <v>0.67123241925301902</v>
      </c>
      <c r="AL78">
        <v>87.268863206771101</v>
      </c>
      <c r="AM78">
        <v>89.731988374921002</v>
      </c>
      <c r="AN78">
        <v>0.99999999996800204</v>
      </c>
    </row>
    <row r="79" spans="1:40" x14ac:dyDescent="0.25">
      <c r="A79" t="str">
        <f>"20190312150638775"</f>
        <v>20190312150638775</v>
      </c>
      <c r="B79" t="str">
        <f>"1552374398770389"</f>
        <v>1552374398770389</v>
      </c>
      <c r="C79" t="s">
        <v>40</v>
      </c>
      <c r="D79">
        <v>4.2169569999999998</v>
      </c>
      <c r="E79">
        <v>0.56412819999999997</v>
      </c>
      <c r="F79" t="s">
        <v>41</v>
      </c>
      <c r="G79">
        <v>-474.42899999999997</v>
      </c>
      <c r="H79">
        <v>0.9381642</v>
      </c>
      <c r="I79">
        <v>367.0874</v>
      </c>
      <c r="J79">
        <v>-475.09550000000002</v>
      </c>
      <c r="K79">
        <v>1.1105179999999999</v>
      </c>
      <c r="L79">
        <v>367.21010000000001</v>
      </c>
      <c r="M79">
        <v>0.99992590000000003</v>
      </c>
      <c r="N79">
        <v>0</v>
      </c>
      <c r="O79">
        <v>-2.5326530000000002E-3</v>
      </c>
      <c r="P79">
        <v>0.9993225</v>
      </c>
      <c r="Q79">
        <v>3.608546E-2</v>
      </c>
      <c r="R79">
        <v>-7.252624E-3</v>
      </c>
      <c r="S79">
        <v>3.0261840000000002</v>
      </c>
      <c r="T79">
        <v>-0.76512849999999999</v>
      </c>
      <c r="U79">
        <v>-0.54504390000000003</v>
      </c>
      <c r="V79">
        <v>4.7239810000000004E-3</v>
      </c>
      <c r="W79">
        <v>4.7986019999999997E-2</v>
      </c>
      <c r="X79">
        <v>0.99883679999999997</v>
      </c>
      <c r="Y79">
        <v>0.16966789999999901</v>
      </c>
      <c r="Z79">
        <v>-2.0330210000000001E-2</v>
      </c>
      <c r="AA79">
        <v>0.98529160000000005</v>
      </c>
      <c r="AB79">
        <v>4</v>
      </c>
      <c r="AC79">
        <v>0.66649999999998499</v>
      </c>
      <c r="AD79">
        <v>-0.1723538</v>
      </c>
      <c r="AE79">
        <v>-0.122700000000008</v>
      </c>
      <c r="AF79">
        <v>0.113660003614993</v>
      </c>
      <c r="AG79">
        <v>-0.1723538</v>
      </c>
      <c r="AH79">
        <v>0.62629988960918903</v>
      </c>
      <c r="AI79">
        <v>105.150740427901</v>
      </c>
      <c r="AJ79">
        <v>79.713990733972096</v>
      </c>
      <c r="AK79">
        <v>0.659451272286802</v>
      </c>
      <c r="AL79">
        <v>87.249547229924801</v>
      </c>
      <c r="AM79">
        <v>89.729022643383999</v>
      </c>
      <c r="AN79">
        <v>0.99999996357308296</v>
      </c>
    </row>
    <row r="80" spans="1:40" x14ac:dyDescent="0.25">
      <c r="A80" t="str">
        <f>"20190312150638793"</f>
        <v>20190312150638793</v>
      </c>
      <c r="B80" t="str">
        <f>"1552374398780655"</f>
        <v>1552374398780655</v>
      </c>
      <c r="C80" t="s">
        <v>40</v>
      </c>
      <c r="D80">
        <v>4.5123179999999996</v>
      </c>
      <c r="E80">
        <v>0.56406089999999998</v>
      </c>
      <c r="F80" t="s">
        <v>41</v>
      </c>
      <c r="G80">
        <v>-474.40550000000002</v>
      </c>
      <c r="H80">
        <v>0.93638500000000002</v>
      </c>
      <c r="I80">
        <v>367.08539999999999</v>
      </c>
      <c r="J80">
        <v>-475.07459999999998</v>
      </c>
      <c r="K80">
        <v>1.1109070000000001</v>
      </c>
      <c r="L80">
        <v>367.21</v>
      </c>
      <c r="M80">
        <v>0.99990809999999997</v>
      </c>
      <c r="N80">
        <v>0</v>
      </c>
      <c r="O80">
        <v>-2.546824E-3</v>
      </c>
      <c r="P80">
        <v>0.99937260000000006</v>
      </c>
      <c r="Q80">
        <v>3.4701650000000001E-2</v>
      </c>
      <c r="R80">
        <v>-7.0992080000000001E-3</v>
      </c>
      <c r="S80">
        <v>3.0256959999999999</v>
      </c>
      <c r="T80">
        <v>-0.7637581</v>
      </c>
      <c r="U80">
        <v>-0.54449459999999905</v>
      </c>
      <c r="V80">
        <v>4.5555930000000001E-3</v>
      </c>
      <c r="W80">
        <v>4.801126E-2</v>
      </c>
      <c r="X80">
        <v>0.99883639999999996</v>
      </c>
      <c r="Y80">
        <v>0.16952929999999999</v>
      </c>
      <c r="Z80">
        <v>-2.0277719999999999E-2</v>
      </c>
      <c r="AA80">
        <v>0.98531650000000004</v>
      </c>
      <c r="AB80">
        <v>3</v>
      </c>
      <c r="AC80">
        <v>0.66909999999995695</v>
      </c>
      <c r="AD80">
        <v>-0.17452199999999901</v>
      </c>
      <c r="AE80">
        <v>-0.124599999999986</v>
      </c>
      <c r="AF80">
        <v>0.115313218134658</v>
      </c>
      <c r="AG80">
        <v>-0.17452199999999901</v>
      </c>
      <c r="AH80">
        <v>0.62811498371386398</v>
      </c>
      <c r="AI80">
        <v>105.28476233062899</v>
      </c>
      <c r="AJ80">
        <v>79.597127946037801</v>
      </c>
      <c r="AK80">
        <v>0.66202983280698102</v>
      </c>
      <c r="AL80">
        <v>87.248099500104203</v>
      </c>
      <c r="AM80">
        <v>89.738681487546998</v>
      </c>
      <c r="AN80">
        <v>0.99999999423966401</v>
      </c>
    </row>
    <row r="81" spans="1:40" x14ac:dyDescent="0.25">
      <c r="A81" t="str">
        <f>"20190312150638806"</f>
        <v>20190312150638806</v>
      </c>
      <c r="B81" t="str">
        <f>"1552374398801153"</f>
        <v>1552374398801153</v>
      </c>
      <c r="C81" t="s">
        <v>40</v>
      </c>
      <c r="D81">
        <v>4.4927830000000002</v>
      </c>
      <c r="E81">
        <v>0.56393400000000005</v>
      </c>
      <c r="F81" t="s">
        <v>41</v>
      </c>
      <c r="G81">
        <v>-474.38400000000001</v>
      </c>
      <c r="H81">
        <v>0.9360965</v>
      </c>
      <c r="I81">
        <v>367.0856</v>
      </c>
      <c r="J81">
        <v>-475.06119999999999</v>
      </c>
      <c r="K81">
        <v>1.111148</v>
      </c>
      <c r="L81">
        <v>367.2099</v>
      </c>
      <c r="M81">
        <v>0.99989479999999997</v>
      </c>
      <c r="N81">
        <v>0</v>
      </c>
      <c r="O81">
        <v>-2.55477E-3</v>
      </c>
      <c r="P81">
        <v>0.99941340000000001</v>
      </c>
      <c r="Q81">
        <v>3.3537530000000003E-2</v>
      </c>
      <c r="R81">
        <v>-6.9052439999999996E-3</v>
      </c>
      <c r="S81">
        <v>3.0246279999999999</v>
      </c>
      <c r="T81">
        <v>-0.76558009999999999</v>
      </c>
      <c r="U81">
        <v>-0.54409790000000002</v>
      </c>
      <c r="V81">
        <v>4.3531400000000001E-3</v>
      </c>
      <c r="W81">
        <v>4.7801219999999998E-2</v>
      </c>
      <c r="X81">
        <v>0.99884740000000005</v>
      </c>
      <c r="Y81">
        <v>0.16943250000000001</v>
      </c>
      <c r="Z81">
        <v>-2.0317789999999999E-2</v>
      </c>
      <c r="AA81">
        <v>0.98533230000000005</v>
      </c>
      <c r="AB81">
        <v>3</v>
      </c>
      <c r="AC81">
        <v>0.67719999999997005</v>
      </c>
      <c r="AD81">
        <v>-0.1750515</v>
      </c>
      <c r="AE81">
        <v>-0.124300000000005</v>
      </c>
      <c r="AF81">
        <v>0.115127392386582</v>
      </c>
      <c r="AG81">
        <v>-0.1750515</v>
      </c>
      <c r="AH81">
        <v>0.63637926777357701</v>
      </c>
      <c r="AI81">
        <v>105.145901980714</v>
      </c>
      <c r="AJ81">
        <v>79.745529775231205</v>
      </c>
      <c r="AK81">
        <v>0.66998202705894905</v>
      </c>
      <c r="AL81">
        <v>87.260147802775194</v>
      </c>
      <c r="AM81">
        <v>89.750297222035499</v>
      </c>
      <c r="AN81">
        <v>1.00000001747405</v>
      </c>
    </row>
    <row r="82" spans="1:40" x14ac:dyDescent="0.25">
      <c r="A82" t="str">
        <f>"20190312150638818"</f>
        <v>20190312150638818</v>
      </c>
      <c r="B82" t="str">
        <f>"1552374398810912"</f>
        <v>1552374398810912</v>
      </c>
      <c r="C82" t="s">
        <v>40</v>
      </c>
      <c r="D82">
        <v>4.5137839999999896</v>
      </c>
      <c r="E82">
        <v>0.56385589999999997</v>
      </c>
      <c r="F82" t="s">
        <v>41</v>
      </c>
      <c r="G82">
        <v>-474.36369999999999</v>
      </c>
      <c r="H82">
        <v>0.93462250000000002</v>
      </c>
      <c r="I82">
        <v>367.084</v>
      </c>
      <c r="J82">
        <v>-475.04739999999998</v>
      </c>
      <c r="K82">
        <v>1.1112629999999999</v>
      </c>
      <c r="L82">
        <v>367.2099</v>
      </c>
      <c r="M82">
        <v>0.99988540000000004</v>
      </c>
      <c r="N82">
        <v>0</v>
      </c>
      <c r="O82">
        <v>-2.5652819999999999E-3</v>
      </c>
      <c r="P82">
        <v>0.99943630000000006</v>
      </c>
      <c r="Q82">
        <v>3.2819479999999998E-2</v>
      </c>
      <c r="R82">
        <v>-7.0755449999999999E-3</v>
      </c>
      <c r="S82">
        <v>3.0237120000000002</v>
      </c>
      <c r="T82">
        <v>-0.76526569999999905</v>
      </c>
      <c r="U82">
        <v>-0.54266359999999902</v>
      </c>
      <c r="V82">
        <v>4.5124060000000001E-3</v>
      </c>
      <c r="W82">
        <v>4.7729300000000002E-2</v>
      </c>
      <c r="X82">
        <v>0.99885009999999996</v>
      </c>
      <c r="Y82">
        <v>0.1690345</v>
      </c>
      <c r="Z82">
        <v>-2.0264549999999999E-2</v>
      </c>
      <c r="AA82">
        <v>0.98540179999999999</v>
      </c>
      <c r="AB82">
        <v>2</v>
      </c>
      <c r="AC82">
        <v>0.68369999999998698</v>
      </c>
      <c r="AD82">
        <v>-0.17664049999999901</v>
      </c>
      <c r="AE82">
        <v>-0.12590000000000101</v>
      </c>
      <c r="AF82">
        <v>0.116616675604037</v>
      </c>
      <c r="AG82">
        <v>-0.17664049999999901</v>
      </c>
      <c r="AH82">
        <v>0.64253816617952197</v>
      </c>
      <c r="AI82">
        <v>105.135825566528</v>
      </c>
      <c r="AJ82">
        <v>79.7131470627005</v>
      </c>
      <c r="AK82">
        <v>0.67650322265790497</v>
      </c>
      <c r="AL82">
        <v>87.264273135275801</v>
      </c>
      <c r="AM82">
        <v>89.741162302095702</v>
      </c>
      <c r="AN82">
        <v>0.99999998507820398</v>
      </c>
    </row>
    <row r="83" spans="1:40" x14ac:dyDescent="0.25">
      <c r="A83" t="str">
        <f>"20190312150638830"</f>
        <v>20190312150638830</v>
      </c>
      <c r="B83" t="str">
        <f>"1552374398820671"</f>
        <v>1552374398820671</v>
      </c>
      <c r="C83" t="s">
        <v>40</v>
      </c>
      <c r="D83">
        <v>4.5064469999999996</v>
      </c>
      <c r="E83">
        <v>0.56379480000000004</v>
      </c>
      <c r="F83" t="s">
        <v>41</v>
      </c>
      <c r="G83">
        <v>-474.36219999999997</v>
      </c>
      <c r="H83">
        <v>0.93795660000000003</v>
      </c>
      <c r="I83">
        <v>367.08620000000002</v>
      </c>
      <c r="J83">
        <v>-475.03370000000001</v>
      </c>
      <c r="K83">
        <v>1.1111899999999999</v>
      </c>
      <c r="L83">
        <v>367.2099</v>
      </c>
      <c r="M83">
        <v>0.99988569999999999</v>
      </c>
      <c r="N83">
        <v>0</v>
      </c>
      <c r="O83">
        <v>-2.576554E-3</v>
      </c>
      <c r="P83">
        <v>0.99944100000000002</v>
      </c>
      <c r="Q83">
        <v>3.2672069999999998E-2</v>
      </c>
      <c r="R83">
        <v>-7.1059119999999998E-3</v>
      </c>
      <c r="S83">
        <v>3.0229189999999999</v>
      </c>
      <c r="T83">
        <v>-0.76470179999999999</v>
      </c>
      <c r="U83">
        <v>-0.54269409999999996</v>
      </c>
      <c r="V83">
        <v>4.5313769999999996E-3</v>
      </c>
      <c r="W83">
        <v>4.7558789999999997E-2</v>
      </c>
      <c r="X83">
        <v>0.99885820000000003</v>
      </c>
      <c r="Y83">
        <v>0.1690817</v>
      </c>
      <c r="Z83">
        <v>-2.0258180000000001E-2</v>
      </c>
      <c r="AA83">
        <v>0.98539379999999999</v>
      </c>
      <c r="AB83">
        <v>2</v>
      </c>
      <c r="AC83">
        <v>0.67150000000003696</v>
      </c>
      <c r="AD83">
        <v>-0.17323339999999901</v>
      </c>
      <c r="AE83">
        <v>-0.123699999999985</v>
      </c>
      <c r="AF83">
        <v>0.11459298437012801</v>
      </c>
      <c r="AG83">
        <v>-0.17323339999999901</v>
      </c>
      <c r="AH83">
        <v>0.63118750129321999</v>
      </c>
      <c r="AI83">
        <v>105.11181728659101</v>
      </c>
      <c r="AJ83">
        <v>79.709949697390996</v>
      </c>
      <c r="AK83">
        <v>0.66448402895117797</v>
      </c>
      <c r="AL83">
        <v>87.274053889691501</v>
      </c>
      <c r="AM83">
        <v>89.740076222609801</v>
      </c>
      <c r="AN83">
        <v>1.0000000377955001</v>
      </c>
    </row>
    <row r="84" spans="1:40" x14ac:dyDescent="0.25">
      <c r="A84" t="str">
        <f>"20190312150638849"</f>
        <v>20190312150638849</v>
      </c>
      <c r="B84" t="str">
        <f>"1552374398840191"</f>
        <v>1552374398840191</v>
      </c>
      <c r="C84" t="s">
        <v>40</v>
      </c>
      <c r="D84">
        <v>4.2137900000000004</v>
      </c>
      <c r="E84">
        <v>0.56394460000000002</v>
      </c>
      <c r="F84" t="s">
        <v>41</v>
      </c>
      <c r="G84">
        <v>-474.3374</v>
      </c>
      <c r="H84">
        <v>0.93515599999999999</v>
      </c>
      <c r="I84">
        <v>367.08510000000001</v>
      </c>
      <c r="J84">
        <v>-475.00729999999999</v>
      </c>
      <c r="K84">
        <v>1.110768</v>
      </c>
      <c r="L84">
        <v>367.20979999999997</v>
      </c>
      <c r="M84">
        <v>0.99990219999999996</v>
      </c>
      <c r="N84">
        <v>0</v>
      </c>
      <c r="O84">
        <v>-2.6007690000000002E-3</v>
      </c>
      <c r="P84">
        <v>0.99940810000000002</v>
      </c>
      <c r="Q84">
        <v>3.3600539999999998E-2</v>
      </c>
      <c r="R84">
        <v>-7.3854219999999896E-3</v>
      </c>
      <c r="S84">
        <v>3.0227970000000002</v>
      </c>
      <c r="T84">
        <v>-0.7641945</v>
      </c>
      <c r="U84">
        <v>-0.54232789999999997</v>
      </c>
      <c r="V84">
        <v>4.7874270000000003E-3</v>
      </c>
      <c r="W84">
        <v>4.7329679999999999E-2</v>
      </c>
      <c r="X84">
        <v>0.99886790000000003</v>
      </c>
      <c r="Y84">
        <v>0.16895969999999999</v>
      </c>
      <c r="Z84">
        <v>-2.0225090000000001E-2</v>
      </c>
      <c r="AA84">
        <v>0.98541540000000005</v>
      </c>
      <c r="AB84">
        <v>2</v>
      </c>
      <c r="AC84">
        <v>0.66989999999998395</v>
      </c>
      <c r="AD84">
        <v>-0.17561199999999999</v>
      </c>
      <c r="AE84">
        <v>-0.12469999999996099</v>
      </c>
      <c r="AF84">
        <v>0.115299069048882</v>
      </c>
      <c r="AG84">
        <v>-0.17561199999999999</v>
      </c>
      <c r="AH84">
        <v>0.62847891793075406</v>
      </c>
      <c r="AI84">
        <v>105.367572872129</v>
      </c>
      <c r="AJ84">
        <v>79.604268451017901</v>
      </c>
      <c r="AK84">
        <v>0.66266069760545698</v>
      </c>
      <c r="AL84">
        <v>87.287195757190801</v>
      </c>
      <c r="AM84">
        <v>89.725391854613093</v>
      </c>
      <c r="AN84">
        <v>1.0000000498582899</v>
      </c>
    </row>
    <row r="85" spans="1:40" x14ac:dyDescent="0.25">
      <c r="A85" t="str">
        <f>"20190312150638862"</f>
        <v>20190312150638862</v>
      </c>
      <c r="B85" t="str">
        <f>"1552374398850927"</f>
        <v>1552374398850927</v>
      </c>
      <c r="C85" t="s">
        <v>40</v>
      </c>
      <c r="D85">
        <v>4.334867</v>
      </c>
      <c r="E85">
        <v>0.56402419999999998</v>
      </c>
      <c r="F85" t="s">
        <v>41</v>
      </c>
      <c r="G85">
        <v>-474.30860000000001</v>
      </c>
      <c r="H85">
        <v>0.93388879999999996</v>
      </c>
      <c r="I85">
        <v>367.08390000000003</v>
      </c>
      <c r="J85">
        <v>-474.98849999999999</v>
      </c>
      <c r="K85">
        <v>1.1104419999999999</v>
      </c>
      <c r="L85">
        <v>367.2097</v>
      </c>
      <c r="M85">
        <v>0.99991629999999998</v>
      </c>
      <c r="N85">
        <v>0</v>
      </c>
      <c r="O85">
        <v>-2.620088E-3</v>
      </c>
      <c r="P85">
        <v>0.99938059999999995</v>
      </c>
      <c r="Q85">
        <v>3.4403789999999997E-2</v>
      </c>
      <c r="R85">
        <v>-7.4067919999999997E-3</v>
      </c>
      <c r="S85">
        <v>3.0234679999999998</v>
      </c>
      <c r="T85">
        <v>-0.76524969999999903</v>
      </c>
      <c r="U85">
        <v>-0.54431149999999995</v>
      </c>
      <c r="V85">
        <v>4.7899939999999997E-3</v>
      </c>
      <c r="W85">
        <v>4.7060570000000003E-2</v>
      </c>
      <c r="X85">
        <v>0.99888060000000001</v>
      </c>
      <c r="Y85">
        <v>0.16950209999999999</v>
      </c>
      <c r="Z85">
        <v>-2.0309069999999999E-2</v>
      </c>
      <c r="AA85">
        <v>0.98532059999999999</v>
      </c>
      <c r="AB85">
        <v>3</v>
      </c>
      <c r="AC85">
        <v>0.67989999999997497</v>
      </c>
      <c r="AD85">
        <v>-0.17655319999999899</v>
      </c>
      <c r="AE85">
        <v>-0.12579999999996899</v>
      </c>
      <c r="AF85">
        <v>0.116427082064052</v>
      </c>
      <c r="AG85">
        <v>-0.17655319999999899</v>
      </c>
      <c r="AH85">
        <v>0.63859167363603897</v>
      </c>
      <c r="AI85">
        <v>105.21575283755701</v>
      </c>
      <c r="AJ85">
        <v>79.667406650001396</v>
      </c>
      <c r="AK85">
        <v>0.67270024788568805</v>
      </c>
      <c r="AL85">
        <v>87.302631817021194</v>
      </c>
      <c r="AM85">
        <v>89.725248106285505</v>
      </c>
      <c r="AN85">
        <v>1.0000000471738</v>
      </c>
    </row>
    <row r="86" spans="1:40" x14ac:dyDescent="0.25">
      <c r="A86" t="str">
        <f>"20190312150638875"</f>
        <v>20190312150638875</v>
      </c>
      <c r="B86" t="str">
        <f>"1552374398870592"</f>
        <v>1552374398870592</v>
      </c>
      <c r="C86" t="s">
        <v>40</v>
      </c>
      <c r="D86">
        <v>4.5270900000000003</v>
      </c>
      <c r="E86">
        <v>0.56436569999999997</v>
      </c>
      <c r="F86" t="s">
        <v>41</v>
      </c>
      <c r="G86">
        <v>-474.3066</v>
      </c>
      <c r="H86">
        <v>0.93813670000000005</v>
      </c>
      <c r="I86">
        <v>367.08659999999998</v>
      </c>
      <c r="J86">
        <v>-474.96859999999998</v>
      </c>
      <c r="K86">
        <v>1.1101920000000001</v>
      </c>
      <c r="L86">
        <v>367.2097</v>
      </c>
      <c r="M86">
        <v>0.99992789999999998</v>
      </c>
      <c r="N86">
        <v>0</v>
      </c>
      <c r="O86">
        <v>-2.6430609999999999E-3</v>
      </c>
      <c r="P86">
        <v>0.99934330000000005</v>
      </c>
      <c r="Q86">
        <v>3.5438669999999999E-2</v>
      </c>
      <c r="R86">
        <v>-7.5740130000000001E-3</v>
      </c>
      <c r="S86">
        <v>3.0241389999999999</v>
      </c>
      <c r="T86">
        <v>-0.76418419999999998</v>
      </c>
      <c r="U86">
        <v>-0.54534910000000003</v>
      </c>
      <c r="V86">
        <v>4.9348880000000001E-3</v>
      </c>
      <c r="W86">
        <v>4.7143930000000001E-2</v>
      </c>
      <c r="X86">
        <v>0.99887590000000004</v>
      </c>
      <c r="Y86">
        <v>0.1697776</v>
      </c>
      <c r="Z86">
        <v>-2.03051E-2</v>
      </c>
      <c r="AA86">
        <v>0.98527319999999996</v>
      </c>
      <c r="AB86">
        <v>3</v>
      </c>
      <c r="AC86">
        <v>0.66199999999997705</v>
      </c>
      <c r="AD86">
        <v>-0.17205529999999999</v>
      </c>
      <c r="AE86">
        <v>-0.123100000000022</v>
      </c>
      <c r="AF86">
        <v>0.11391223853997801</v>
      </c>
      <c r="AG86">
        <v>-0.17205529999999999</v>
      </c>
      <c r="AH86">
        <v>0.62172940298482804</v>
      </c>
      <c r="AI86">
        <v>105.227290068915</v>
      </c>
      <c r="AJ86">
        <v>79.617515859351101</v>
      </c>
      <c r="AK86">
        <v>0.65507745716300603</v>
      </c>
      <c r="AL86">
        <v>87.297850161590304</v>
      </c>
      <c r="AM86">
        <v>89.716935853225394</v>
      </c>
      <c r="AN86">
        <v>0.99999998342811303</v>
      </c>
    </row>
    <row r="87" spans="1:40" x14ac:dyDescent="0.25">
      <c r="A87" t="str">
        <f>"20190312150638895"</f>
        <v>20190312150638895</v>
      </c>
      <c r="B87" t="str">
        <f>"1552374398890618"</f>
        <v>1552374398890618</v>
      </c>
      <c r="C87" t="s">
        <v>40</v>
      </c>
      <c r="D87">
        <v>4.6330010000000001</v>
      </c>
      <c r="E87">
        <v>0.56434790000000001</v>
      </c>
      <c r="F87" t="s">
        <v>41</v>
      </c>
      <c r="G87">
        <v>-474.27670000000001</v>
      </c>
      <c r="H87">
        <v>0.93510510000000002</v>
      </c>
      <c r="I87">
        <v>367.08370000000002</v>
      </c>
      <c r="J87">
        <v>-474.93880000000001</v>
      </c>
      <c r="K87">
        <v>1.109972</v>
      </c>
      <c r="L87">
        <v>367.20960000000002</v>
      </c>
      <c r="M87">
        <v>0.99993940000000003</v>
      </c>
      <c r="N87">
        <v>0</v>
      </c>
      <c r="O87">
        <v>-2.6753340000000001E-3</v>
      </c>
      <c r="P87">
        <v>0.99930719999999995</v>
      </c>
      <c r="Q87">
        <v>3.6337550000000003E-2</v>
      </c>
      <c r="R87">
        <v>-8.0494360000000001E-3</v>
      </c>
      <c r="S87">
        <v>3.0249329999999999</v>
      </c>
      <c r="T87">
        <v>-0.76554699999999998</v>
      </c>
      <c r="U87">
        <v>-0.54882810000000004</v>
      </c>
      <c r="V87">
        <v>5.3786709999999998E-3</v>
      </c>
      <c r="W87">
        <v>4.7009130000000003E-2</v>
      </c>
      <c r="X87">
        <v>0.99887999999999999</v>
      </c>
      <c r="Y87">
        <v>0.17075499999999999</v>
      </c>
      <c r="Z87">
        <v>-2.0445999999999999E-2</v>
      </c>
      <c r="AA87">
        <v>0.98510129999999996</v>
      </c>
      <c r="AB87">
        <v>3</v>
      </c>
      <c r="AC87">
        <v>0.66210000000000901</v>
      </c>
      <c r="AD87">
        <v>-0.17486689999999999</v>
      </c>
      <c r="AE87">
        <v>-0.12590000000000101</v>
      </c>
      <c r="AF87">
        <v>0.116298904301723</v>
      </c>
      <c r="AG87">
        <v>-0.17486689999999999</v>
      </c>
      <c r="AH87">
        <v>0.62065235395206397</v>
      </c>
      <c r="AI87">
        <v>105.47885544185201</v>
      </c>
      <c r="AJ87">
        <v>79.386891764774703</v>
      </c>
      <c r="AK87">
        <v>0.65521997247003205</v>
      </c>
      <c r="AL87">
        <v>87.305582307826199</v>
      </c>
      <c r="AM87">
        <v>89.691482290938893</v>
      </c>
      <c r="AN87">
        <v>1.00000002140254</v>
      </c>
    </row>
    <row r="88" spans="1:40" x14ac:dyDescent="0.25">
      <c r="A88" t="str">
        <f>"20190312150638917"</f>
        <v>20190312150638917</v>
      </c>
      <c r="B88" t="str">
        <f>"1552374398911115"</f>
        <v>1552374398911115</v>
      </c>
      <c r="C88" t="s">
        <v>40</v>
      </c>
      <c r="D88">
        <v>4.2641269999999896</v>
      </c>
      <c r="E88">
        <v>0.56420959999999998</v>
      </c>
      <c r="F88" t="s">
        <v>41</v>
      </c>
      <c r="G88">
        <v>-474.24509999999998</v>
      </c>
      <c r="H88">
        <v>0.93532490000000001</v>
      </c>
      <c r="I88">
        <v>367.08300000000003</v>
      </c>
      <c r="J88">
        <v>-474.90550000000002</v>
      </c>
      <c r="K88">
        <v>1.110134</v>
      </c>
      <c r="L88">
        <v>367.20949999999999</v>
      </c>
      <c r="M88">
        <v>0.99993770000000004</v>
      </c>
      <c r="N88">
        <v>0</v>
      </c>
      <c r="O88">
        <v>-2.7055270000000001E-3</v>
      </c>
      <c r="P88">
        <v>0.99931360000000002</v>
      </c>
      <c r="Q88">
        <v>3.6110089999999997E-2</v>
      </c>
      <c r="R88">
        <v>-8.2889899999999996E-3</v>
      </c>
      <c r="S88">
        <v>3.025299</v>
      </c>
      <c r="T88">
        <v>-0.76184929999999995</v>
      </c>
      <c r="U88">
        <v>-0.54983519999999997</v>
      </c>
      <c r="V88">
        <v>5.5878949999999998E-3</v>
      </c>
      <c r="W88">
        <v>4.6942930000000001E-2</v>
      </c>
      <c r="X88">
        <v>0.99888189999999999</v>
      </c>
      <c r="Y88">
        <v>0.17106370000000001</v>
      </c>
      <c r="Z88">
        <v>-2.037779E-2</v>
      </c>
      <c r="AA88">
        <v>0.98504919999999996</v>
      </c>
      <c r="AB88">
        <v>4</v>
      </c>
      <c r="AC88">
        <v>0.66040000000003796</v>
      </c>
      <c r="AD88">
        <v>-0.174809099999999</v>
      </c>
      <c r="AE88">
        <v>-0.126499999999964</v>
      </c>
      <c r="AF88">
        <v>0.116817346594022</v>
      </c>
      <c r="AG88">
        <v>-0.174809099999999</v>
      </c>
      <c r="AH88">
        <v>0.61890950126845001</v>
      </c>
      <c r="AI88">
        <v>105.511800583542</v>
      </c>
      <c r="AJ88">
        <v>79.311335911978304</v>
      </c>
      <c r="AK88">
        <v>0.65364629936108398</v>
      </c>
      <c r="AL88">
        <v>87.309379306138894</v>
      </c>
      <c r="AM88">
        <v>89.679482168867594</v>
      </c>
      <c r="AN88">
        <v>0.99999995669756203</v>
      </c>
    </row>
    <row r="89" spans="1:40" x14ac:dyDescent="0.25">
      <c r="A89" t="str">
        <f>"20190312150638940"</f>
        <v>20190312150638940</v>
      </c>
      <c r="B89" t="str">
        <f>"1552374398930634"</f>
        <v>1552374398930634</v>
      </c>
      <c r="C89" t="s">
        <v>40</v>
      </c>
      <c r="D89">
        <v>4.5805980000000002</v>
      </c>
      <c r="E89">
        <v>0.56411469999999997</v>
      </c>
      <c r="F89" t="s">
        <v>41</v>
      </c>
      <c r="G89">
        <v>-474.21730000000002</v>
      </c>
      <c r="H89">
        <v>0.93731140000000002</v>
      </c>
      <c r="I89">
        <v>367.08420000000001</v>
      </c>
      <c r="J89">
        <v>-474.87740000000002</v>
      </c>
      <c r="K89">
        <v>1.110611</v>
      </c>
      <c r="L89">
        <v>367.20940000000002</v>
      </c>
      <c r="M89">
        <v>0.99992080000000005</v>
      </c>
      <c r="N89">
        <v>0</v>
      </c>
      <c r="O89">
        <v>-2.7269540000000002E-3</v>
      </c>
      <c r="P89">
        <v>0.99936570000000002</v>
      </c>
      <c r="Q89">
        <v>3.4558119999999998E-2</v>
      </c>
      <c r="R89">
        <v>-8.6016040000000005E-3</v>
      </c>
      <c r="S89">
        <v>3.0249630000000001</v>
      </c>
      <c r="T89">
        <v>-0.75970090000000001</v>
      </c>
      <c r="U89">
        <v>-0.54980469999999904</v>
      </c>
      <c r="V89">
        <v>5.8784290000000001E-3</v>
      </c>
      <c r="W89">
        <v>4.6837179999999999E-2</v>
      </c>
      <c r="X89">
        <v>0.99888520000000003</v>
      </c>
      <c r="Y89">
        <v>0.1710795</v>
      </c>
      <c r="Z89">
        <v>-2.032086E-2</v>
      </c>
      <c r="AA89">
        <v>0.98504760000000002</v>
      </c>
      <c r="AB89">
        <v>4</v>
      </c>
      <c r="AC89">
        <v>0.66009999999999902</v>
      </c>
      <c r="AD89">
        <v>-0.1732996</v>
      </c>
      <c r="AE89">
        <v>-0.125200000000006</v>
      </c>
      <c r="AF89">
        <v>0.11570154808331699</v>
      </c>
      <c r="AG89">
        <v>-0.1732996</v>
      </c>
      <c r="AH89">
        <v>0.61924006572597701</v>
      </c>
      <c r="AI89">
        <v>105.381458241489</v>
      </c>
      <c r="AJ89">
        <v>79.416635559789697</v>
      </c>
      <c r="AK89">
        <v>0.65335890488256798</v>
      </c>
      <c r="AL89">
        <v>87.3154450160728</v>
      </c>
      <c r="AM89">
        <v>89.662818826728696</v>
      </c>
      <c r="AN89">
        <v>0.99999996006844905</v>
      </c>
    </row>
    <row r="90" spans="1:40" x14ac:dyDescent="0.25">
      <c r="A90" t="str">
        <f>"20190312150638953"</f>
        <v>20190312150638953</v>
      </c>
      <c r="B90" t="str">
        <f>"1552374398951130"</f>
        <v>1552374398951130</v>
      </c>
      <c r="C90" t="s">
        <v>40</v>
      </c>
      <c r="D90">
        <v>4.5788270000000004</v>
      </c>
      <c r="E90">
        <v>0.56394769999999905</v>
      </c>
      <c r="F90" t="s">
        <v>41</v>
      </c>
      <c r="G90">
        <v>-474.19310000000002</v>
      </c>
      <c r="H90">
        <v>0.93809489999999995</v>
      </c>
      <c r="I90">
        <v>367.08440000000002</v>
      </c>
      <c r="J90">
        <v>-474.86320000000001</v>
      </c>
      <c r="K90">
        <v>1.110884</v>
      </c>
      <c r="L90">
        <v>367.20929999999998</v>
      </c>
      <c r="M90">
        <v>0.99990809999999997</v>
      </c>
      <c r="N90">
        <v>0</v>
      </c>
      <c r="O90">
        <v>-2.735842E-3</v>
      </c>
      <c r="P90">
        <v>0.99939990000000001</v>
      </c>
      <c r="Q90">
        <v>3.3549589999999997E-2</v>
      </c>
      <c r="R90">
        <v>-8.6200809999999999E-3</v>
      </c>
      <c r="S90">
        <v>3.0235289999999999</v>
      </c>
      <c r="T90">
        <v>-0.76229539999999996</v>
      </c>
      <c r="U90">
        <v>-0.5502319</v>
      </c>
      <c r="V90">
        <v>5.8875309999999997E-3</v>
      </c>
      <c r="W90">
        <v>4.681623E-2</v>
      </c>
      <c r="X90">
        <v>0.99888619999999995</v>
      </c>
      <c r="Y90">
        <v>0.17124429999999999</v>
      </c>
      <c r="Z90">
        <v>-2.0415289999999999E-2</v>
      </c>
      <c r="AA90">
        <v>0.98501709999999998</v>
      </c>
      <c r="AB90">
        <v>3</v>
      </c>
      <c r="AC90">
        <v>0.67009999999999004</v>
      </c>
      <c r="AD90">
        <v>-0.172789099999999</v>
      </c>
      <c r="AE90">
        <v>-0.12489999999996799</v>
      </c>
      <c r="AF90">
        <v>0.115635661324721</v>
      </c>
      <c r="AG90">
        <v>-0.172789099999999</v>
      </c>
      <c r="AH90">
        <v>0.62995978744205094</v>
      </c>
      <c r="AI90">
        <v>105.097748886594</v>
      </c>
      <c r="AJ90">
        <v>79.598556602922002</v>
      </c>
      <c r="AK90">
        <v>0.66338300629640101</v>
      </c>
      <c r="AL90">
        <v>87.316646872660996</v>
      </c>
      <c r="AM90">
        <v>89.662297094700605</v>
      </c>
      <c r="AN90">
        <v>1.00000003148156</v>
      </c>
    </row>
    <row r="91" spans="1:40" x14ac:dyDescent="0.25">
      <c r="A91" t="str">
        <f>"20190312150638971"</f>
        <v>20190312150638971</v>
      </c>
      <c r="B91" t="str">
        <f>"1552374398960890"</f>
        <v>1552374398960890</v>
      </c>
      <c r="C91" t="s">
        <v>40</v>
      </c>
      <c r="D91">
        <v>4.5664559999999996</v>
      </c>
      <c r="E91">
        <v>0.56390530000000005</v>
      </c>
      <c r="F91" t="s">
        <v>41</v>
      </c>
      <c r="G91">
        <v>-474.17259999999999</v>
      </c>
      <c r="H91">
        <v>0.93646790000000002</v>
      </c>
      <c r="I91">
        <v>367.0838</v>
      </c>
      <c r="J91">
        <v>-474.84140000000002</v>
      </c>
      <c r="K91">
        <v>1.111022</v>
      </c>
      <c r="L91">
        <v>367.20920000000001</v>
      </c>
      <c r="M91">
        <v>0.99989919999999999</v>
      </c>
      <c r="N91">
        <v>0</v>
      </c>
      <c r="O91">
        <v>-2.747612E-3</v>
      </c>
      <c r="P91">
        <v>0.99942739999999997</v>
      </c>
      <c r="Q91">
        <v>3.2684669999999999E-2</v>
      </c>
      <c r="R91">
        <v>-8.7538919999999992E-3</v>
      </c>
      <c r="S91">
        <v>3.0227050000000002</v>
      </c>
      <c r="T91">
        <v>-0.76355450000000002</v>
      </c>
      <c r="U91">
        <v>-0.5491028</v>
      </c>
      <c r="V91">
        <v>6.0089189999999997E-3</v>
      </c>
      <c r="W91">
        <v>4.6604260000000002E-2</v>
      </c>
      <c r="X91">
        <v>0.99889530000000004</v>
      </c>
      <c r="Y91">
        <v>0.17091439999999999</v>
      </c>
      <c r="Z91">
        <v>-2.0410370000000001E-2</v>
      </c>
      <c r="AA91">
        <v>0.98507449999999996</v>
      </c>
      <c r="AB91">
        <v>3</v>
      </c>
      <c r="AC91">
        <v>0.66880000000003204</v>
      </c>
      <c r="AD91">
        <v>-0.17455409999999899</v>
      </c>
      <c r="AE91">
        <v>-0.125400000000013</v>
      </c>
      <c r="AF91">
        <v>0.11593274244072301</v>
      </c>
      <c r="AG91">
        <v>-0.17455409999999899</v>
      </c>
      <c r="AH91">
        <v>0.62782759957260204</v>
      </c>
      <c r="AI91">
        <v>105.291332545039</v>
      </c>
      <c r="AJ91">
        <v>79.537786769106603</v>
      </c>
      <c r="AK91">
        <v>0.66187387724681501</v>
      </c>
      <c r="AL91">
        <v>87.328804891153794</v>
      </c>
      <c r="AM91">
        <v>89.655337706228494</v>
      </c>
      <c r="AN91">
        <v>0.99999994225989097</v>
      </c>
    </row>
    <row r="92" spans="1:40" x14ac:dyDescent="0.25">
      <c r="A92" t="str">
        <f>"20190312150638985"</f>
        <v>20190312150638985</v>
      </c>
      <c r="B92" t="str">
        <f>"1552374398980919"</f>
        <v>1552374398980919</v>
      </c>
      <c r="C92" t="s">
        <v>40</v>
      </c>
      <c r="D92">
        <v>4.5582859999999998</v>
      </c>
      <c r="E92">
        <v>0.56376169999999903</v>
      </c>
      <c r="F92" t="s">
        <v>41</v>
      </c>
      <c r="G92">
        <v>-474.14699999999999</v>
      </c>
      <c r="H92">
        <v>0.93515939999999997</v>
      </c>
      <c r="I92">
        <v>367.08249999999998</v>
      </c>
      <c r="J92">
        <v>-474.82420000000002</v>
      </c>
      <c r="K92">
        <v>1.1108499999999999</v>
      </c>
      <c r="L92">
        <v>367.20909999999998</v>
      </c>
      <c r="M92">
        <v>0.99990520000000005</v>
      </c>
      <c r="N92">
        <v>0</v>
      </c>
      <c r="O92">
        <v>-2.756428E-3</v>
      </c>
      <c r="P92">
        <v>0.99943340000000003</v>
      </c>
      <c r="Q92">
        <v>3.2590800000000003E-2</v>
      </c>
      <c r="R92">
        <v>-8.4361469999999997E-3</v>
      </c>
      <c r="S92">
        <v>3.0219420000000001</v>
      </c>
      <c r="T92">
        <v>-0.76520250000000001</v>
      </c>
      <c r="U92">
        <v>-0.54913330000000005</v>
      </c>
      <c r="V92">
        <v>5.6821980000000003E-3</v>
      </c>
      <c r="W92">
        <v>4.6076970000000002E-2</v>
      </c>
      <c r="X92">
        <v>0.99892179999999997</v>
      </c>
      <c r="Y92">
        <v>0.17093449999999999</v>
      </c>
      <c r="Z92">
        <v>-2.0458339999999998E-2</v>
      </c>
      <c r="AA92">
        <v>0.98507</v>
      </c>
      <c r="AB92">
        <v>2</v>
      </c>
      <c r="AC92">
        <v>0.677200000000027</v>
      </c>
      <c r="AD92">
        <v>-0.175690599999999</v>
      </c>
      <c r="AE92">
        <v>-0.12659999999999599</v>
      </c>
      <c r="AF92">
        <v>0.117116101235931</v>
      </c>
      <c r="AG92">
        <v>-0.175690599999999</v>
      </c>
      <c r="AH92">
        <v>0.63617317607313995</v>
      </c>
      <c r="AI92">
        <v>105.19518726059999</v>
      </c>
      <c r="AJ92">
        <v>79.568944099419895</v>
      </c>
      <c r="AK92">
        <v>0.67029820084202196</v>
      </c>
      <c r="AL92">
        <v>87.359049209750296</v>
      </c>
      <c r="AM92">
        <v>89.674086147316203</v>
      </c>
      <c r="AN92">
        <v>1.00000006852686</v>
      </c>
    </row>
    <row r="93" spans="1:40" x14ac:dyDescent="0.25">
      <c r="A93" t="str">
        <f>"20190312150638999"</f>
        <v>20190312150638999</v>
      </c>
      <c r="B93" t="str">
        <f>"1552374398990678"</f>
        <v>1552374398990678</v>
      </c>
      <c r="C93" t="s">
        <v>40</v>
      </c>
      <c r="D93">
        <v>4.59781</v>
      </c>
      <c r="E93">
        <v>0.56373549999999994</v>
      </c>
      <c r="F93" t="s">
        <v>41</v>
      </c>
      <c r="G93">
        <v>-474.11770000000001</v>
      </c>
      <c r="H93">
        <v>0.93218849999999998</v>
      </c>
      <c r="I93">
        <v>367.0813</v>
      </c>
      <c r="J93">
        <v>-474.80149999999998</v>
      </c>
      <c r="K93">
        <v>1.110474</v>
      </c>
      <c r="L93">
        <v>367.209</v>
      </c>
      <c r="M93">
        <v>0.9999209</v>
      </c>
      <c r="N93">
        <v>0</v>
      </c>
      <c r="O93">
        <v>-2.7707080000000002E-3</v>
      </c>
      <c r="P93">
        <v>0.9993997</v>
      </c>
      <c r="Q93">
        <v>3.3711669999999999E-2</v>
      </c>
      <c r="R93">
        <v>-7.9923640000000001E-3</v>
      </c>
      <c r="S93">
        <v>3.0220030000000002</v>
      </c>
      <c r="T93">
        <v>-0.76428909999999906</v>
      </c>
      <c r="U93">
        <v>-0.54739380000000004</v>
      </c>
      <c r="V93">
        <v>5.2242749999999996E-3</v>
      </c>
      <c r="W93">
        <v>4.5971699999999997E-2</v>
      </c>
      <c r="X93">
        <v>0.99892910000000001</v>
      </c>
      <c r="Y93">
        <v>0.17039649999999901</v>
      </c>
      <c r="Z93">
        <v>-2.0365270000000001E-2</v>
      </c>
      <c r="AA93">
        <v>0.98516510000000002</v>
      </c>
      <c r="AB93">
        <v>3</v>
      </c>
      <c r="AC93">
        <v>0.68379999999996199</v>
      </c>
      <c r="AD93">
        <v>-0.17828550000000001</v>
      </c>
      <c r="AE93">
        <v>-0.127700000000004</v>
      </c>
      <c r="AF93">
        <v>0.118050277493149</v>
      </c>
      <c r="AG93">
        <v>-0.17828550000000001</v>
      </c>
      <c r="AH93">
        <v>0.64198082319525696</v>
      </c>
      <c r="AI93">
        <v>105.276709873714</v>
      </c>
      <c r="AJ93">
        <v>79.580596458772007</v>
      </c>
      <c r="AK93">
        <v>0.67665424322686296</v>
      </c>
      <c r="AL93">
        <v>87.365087002515295</v>
      </c>
      <c r="AM93">
        <v>89.700352928431997</v>
      </c>
      <c r="AN93">
        <v>1.0000000185384801</v>
      </c>
    </row>
    <row r="94" spans="1:40" x14ac:dyDescent="0.25">
      <c r="A94" t="str">
        <f>"20190312150639018"</f>
        <v>20190312150639018</v>
      </c>
      <c r="B94" t="str">
        <f>"1552374399010198"</f>
        <v>1552374399010198</v>
      </c>
      <c r="C94" t="s">
        <v>40</v>
      </c>
      <c r="D94">
        <v>4.5521070000000003</v>
      </c>
      <c r="E94">
        <v>0.56356359999999905</v>
      </c>
      <c r="F94" t="s">
        <v>41</v>
      </c>
      <c r="G94">
        <v>-474.11520000000002</v>
      </c>
      <c r="H94">
        <v>0.93789730000000004</v>
      </c>
      <c r="I94">
        <v>367.08530000000002</v>
      </c>
      <c r="J94">
        <v>-474.77530000000002</v>
      </c>
      <c r="K94">
        <v>1.11029</v>
      </c>
      <c r="L94">
        <v>367.209</v>
      </c>
      <c r="M94">
        <v>0.99992939999999997</v>
      </c>
      <c r="N94">
        <v>0</v>
      </c>
      <c r="O94">
        <v>-2.7877650000000002E-3</v>
      </c>
      <c r="P94">
        <v>0.99937549999999997</v>
      </c>
      <c r="Q94">
        <v>3.4605520000000001E-2</v>
      </c>
      <c r="R94">
        <v>-7.1646649999999997E-3</v>
      </c>
      <c r="S94">
        <v>3.0230410000000001</v>
      </c>
      <c r="T94">
        <v>-0.76016019999999995</v>
      </c>
      <c r="U94">
        <v>-0.54571530000000001</v>
      </c>
      <c r="V94">
        <v>4.3795370000000002E-3</v>
      </c>
      <c r="W94">
        <v>4.614795E-2</v>
      </c>
      <c r="X94">
        <v>0.99892499999999995</v>
      </c>
      <c r="Y94">
        <v>0.169864299999999</v>
      </c>
      <c r="Z94">
        <v>-2.0183240000000002E-2</v>
      </c>
      <c r="AA94">
        <v>0.98526069999999999</v>
      </c>
      <c r="AB94">
        <v>3</v>
      </c>
      <c r="AC94">
        <v>0.66009999999999902</v>
      </c>
      <c r="AD94">
        <v>-0.17239269999999901</v>
      </c>
      <c r="AE94">
        <v>-0.123699999999985</v>
      </c>
      <c r="AF94">
        <v>0.11432608663084499</v>
      </c>
      <c r="AG94">
        <v>-0.17239269999999901</v>
      </c>
      <c r="AH94">
        <v>0.61961500270001901</v>
      </c>
      <c r="AI94">
        <v>105.302027700803</v>
      </c>
      <c r="AJ94">
        <v>79.545847604610799</v>
      </c>
      <c r="AK94">
        <v>0.65323230834715995</v>
      </c>
      <c r="AL94">
        <v>87.354977802826497</v>
      </c>
      <c r="AM94">
        <v>89.748802584194294</v>
      </c>
      <c r="AN94">
        <v>0.99999998462926798</v>
      </c>
    </row>
    <row r="95" spans="1:40" x14ac:dyDescent="0.25">
      <c r="A95" t="str">
        <f>"20190312150639030"</f>
        <v>20190312150639030</v>
      </c>
      <c r="B95" t="str">
        <f>"1552374399020934"</f>
        <v>1552374399020934</v>
      </c>
      <c r="C95" t="s">
        <v>40</v>
      </c>
      <c r="D95">
        <v>4.690645</v>
      </c>
      <c r="E95">
        <v>0.56345730000000005</v>
      </c>
      <c r="F95" t="s">
        <v>41</v>
      </c>
      <c r="G95">
        <v>-474.08629999999999</v>
      </c>
      <c r="H95">
        <v>0.93765569999999998</v>
      </c>
      <c r="I95">
        <v>367.08530000000002</v>
      </c>
      <c r="J95">
        <v>-474.75729999999999</v>
      </c>
      <c r="K95">
        <v>1.110365</v>
      </c>
      <c r="L95">
        <v>367.20890000000003</v>
      </c>
      <c r="M95">
        <v>0.99992760000000003</v>
      </c>
      <c r="N95">
        <v>0</v>
      </c>
      <c r="O95">
        <v>-2.7986550000000002E-3</v>
      </c>
      <c r="P95">
        <v>0.99938990000000005</v>
      </c>
      <c r="Q95">
        <v>3.4294970000000001E-2</v>
      </c>
      <c r="R95">
        <v>-6.6279590000000001E-3</v>
      </c>
      <c r="S95">
        <v>3.0242</v>
      </c>
      <c r="T95">
        <v>-0.75770409999999999</v>
      </c>
      <c r="U95">
        <v>-0.54226680000000005</v>
      </c>
      <c r="V95">
        <v>3.832116E-3</v>
      </c>
      <c r="W95">
        <v>4.5990280000000001E-2</v>
      </c>
      <c r="X95">
        <v>0.99893449999999995</v>
      </c>
      <c r="Y95">
        <v>0.1687669</v>
      </c>
      <c r="Z95">
        <v>-1.9977470000000001E-2</v>
      </c>
      <c r="AA95">
        <v>0.98545349999999998</v>
      </c>
      <c r="AB95">
        <v>4</v>
      </c>
      <c r="AC95">
        <v>0.67099999999999205</v>
      </c>
      <c r="AD95">
        <v>-0.17270930000000001</v>
      </c>
      <c r="AE95">
        <v>-0.12360000000000999</v>
      </c>
      <c r="AF95">
        <v>0.114391731679701</v>
      </c>
      <c r="AG95">
        <v>-0.17270930000000001</v>
      </c>
      <c r="AH95">
        <v>0.63091672512457597</v>
      </c>
      <c r="AI95">
        <v>105.074961983826</v>
      </c>
      <c r="AJ95">
        <v>79.723321625050403</v>
      </c>
      <c r="AK95">
        <v>0.66405563368221698</v>
      </c>
      <c r="AL95">
        <v>87.364021173633304</v>
      </c>
      <c r="AM95">
        <v>89.780202809748104</v>
      </c>
      <c r="AN95">
        <v>0.99999996312888195</v>
      </c>
    </row>
    <row r="96" spans="1:40" x14ac:dyDescent="0.25">
      <c r="A96" t="str">
        <f>"20190312150639043"</f>
        <v>20190312150639043</v>
      </c>
      <c r="B96" t="str">
        <f>"1552374399030694"</f>
        <v>1552374399030694</v>
      </c>
      <c r="C96" t="s">
        <v>40</v>
      </c>
      <c r="D96">
        <v>4.3565839999999998</v>
      </c>
      <c r="E96">
        <v>0.56340389999999996</v>
      </c>
      <c r="F96" t="s">
        <v>41</v>
      </c>
      <c r="G96">
        <v>-474.06229999999999</v>
      </c>
      <c r="H96">
        <v>0.93617930000000005</v>
      </c>
      <c r="I96">
        <v>367.0849</v>
      </c>
      <c r="J96">
        <v>-474.74200000000002</v>
      </c>
      <c r="K96">
        <v>1.110565</v>
      </c>
      <c r="L96">
        <v>367.20890000000003</v>
      </c>
      <c r="M96">
        <v>0.99992020000000004</v>
      </c>
      <c r="N96">
        <v>0</v>
      </c>
      <c r="O96">
        <v>-2.8067360000000002E-3</v>
      </c>
      <c r="P96">
        <v>0.9994111</v>
      </c>
      <c r="Q96">
        <v>3.3759200000000003E-2</v>
      </c>
      <c r="R96">
        <v>-6.1402999999999996E-3</v>
      </c>
      <c r="S96">
        <v>3.0242610000000001</v>
      </c>
      <c r="T96">
        <v>-0.75810959999999905</v>
      </c>
      <c r="U96">
        <v>-0.53924559999999999</v>
      </c>
      <c r="V96">
        <v>3.3362119999999999E-3</v>
      </c>
      <c r="W96">
        <v>4.6067919999999998E-2</v>
      </c>
      <c r="X96">
        <v>0.99893270000000001</v>
      </c>
      <c r="Y96">
        <v>0.1678238</v>
      </c>
      <c r="Z96">
        <v>-1.9871610000000001E-2</v>
      </c>
      <c r="AA96">
        <v>0.98561670000000001</v>
      </c>
      <c r="AB96">
        <v>3</v>
      </c>
      <c r="AC96">
        <v>0.679699999999968</v>
      </c>
      <c r="AD96">
        <v>-0.1743857</v>
      </c>
      <c r="AE96">
        <v>-0.12400000000002299</v>
      </c>
      <c r="AF96">
        <v>0.11477967604266</v>
      </c>
      <c r="AG96">
        <v>-0.1743857</v>
      </c>
      <c r="AH96">
        <v>0.63931810845339998</v>
      </c>
      <c r="AI96">
        <v>105.02814495852</v>
      </c>
      <c r="AJ96">
        <v>79.821860873682198</v>
      </c>
      <c r="AK96">
        <v>0.67254173862547795</v>
      </c>
      <c r="AL96">
        <v>87.359568004524604</v>
      </c>
      <c r="AM96">
        <v>89.808645611000699</v>
      </c>
      <c r="AN96">
        <v>0.99999996134646196</v>
      </c>
    </row>
    <row r="97" spans="1:40" x14ac:dyDescent="0.25">
      <c r="A97" t="str">
        <f>"20190312150639062"</f>
        <v>20190312150639062</v>
      </c>
      <c r="B97" t="str">
        <f>"1552374399050217"</f>
        <v>1552374399050217</v>
      </c>
      <c r="C97" t="s">
        <v>40</v>
      </c>
      <c r="D97">
        <v>4.6114240000000004</v>
      </c>
      <c r="E97">
        <v>0.56331249999999999</v>
      </c>
      <c r="F97" t="s">
        <v>41</v>
      </c>
      <c r="G97">
        <v>-474.0609</v>
      </c>
      <c r="H97">
        <v>0.93936299999999995</v>
      </c>
      <c r="I97">
        <v>367.08780000000002</v>
      </c>
      <c r="J97">
        <v>-474.72199999999998</v>
      </c>
      <c r="K97">
        <v>1.1109979999999999</v>
      </c>
      <c r="L97">
        <v>367.2088</v>
      </c>
      <c r="M97">
        <v>0.99990000000000001</v>
      </c>
      <c r="N97">
        <v>0</v>
      </c>
      <c r="O97">
        <v>-2.8149450000000001E-3</v>
      </c>
      <c r="P97">
        <v>0.99946869999999999</v>
      </c>
      <c r="Q97">
        <v>3.219843E-2</v>
      </c>
      <c r="R97">
        <v>-5.0835709999999899E-3</v>
      </c>
      <c r="S97">
        <v>3.0241389999999999</v>
      </c>
      <c r="T97">
        <v>-0.760262199999999</v>
      </c>
      <c r="U97">
        <v>-0.53717040000000005</v>
      </c>
      <c r="V97">
        <v>2.270733E-3</v>
      </c>
      <c r="W97">
        <v>4.6057439999999998E-2</v>
      </c>
      <c r="X97">
        <v>0.99893620000000005</v>
      </c>
      <c r="Y97">
        <v>0.16715839999999901</v>
      </c>
      <c r="Z97">
        <v>-1.9844500000000001E-2</v>
      </c>
      <c r="AA97">
        <v>0.98573029999999995</v>
      </c>
      <c r="AB97">
        <v>3</v>
      </c>
      <c r="AC97">
        <v>0.66109999999997604</v>
      </c>
      <c r="AD97">
        <v>-0.17163499999999901</v>
      </c>
      <c r="AE97">
        <v>-0.12099999999998</v>
      </c>
      <c r="AF97">
        <v>0.11184413568359999</v>
      </c>
      <c r="AG97">
        <v>-0.17163499999999901</v>
      </c>
      <c r="AH97">
        <v>0.620941486595745</v>
      </c>
      <c r="AI97">
        <v>105.218103256097</v>
      </c>
      <c r="AJ97">
        <v>79.789352835633295</v>
      </c>
      <c r="AK97">
        <v>0.65386238130630003</v>
      </c>
      <c r="AL97">
        <v>87.360169172337095</v>
      </c>
      <c r="AM97">
        <v>89.869758255621306</v>
      </c>
      <c r="AN97">
        <v>0.99999998783907496</v>
      </c>
    </row>
    <row r="98" spans="1:40" x14ac:dyDescent="0.25">
      <c r="A98" t="str">
        <f>"20190312150639075"</f>
        <v>20190312150639075</v>
      </c>
      <c r="B98" t="str">
        <f>"1552374399070710"</f>
        <v>1552374399070710</v>
      </c>
      <c r="C98" t="s">
        <v>40</v>
      </c>
      <c r="D98">
        <v>4.6429239999999998</v>
      </c>
      <c r="E98">
        <v>0.56318659999999998</v>
      </c>
      <c r="F98" t="s">
        <v>41</v>
      </c>
      <c r="G98">
        <v>-474.04050000000001</v>
      </c>
      <c r="H98">
        <v>0.93861000000000006</v>
      </c>
      <c r="I98">
        <v>367.08819999999997</v>
      </c>
      <c r="J98">
        <v>-474.71019999999999</v>
      </c>
      <c r="K98">
        <v>1.111256</v>
      </c>
      <c r="L98">
        <v>367.2088</v>
      </c>
      <c r="M98">
        <v>0.99988429999999995</v>
      </c>
      <c r="N98">
        <v>0</v>
      </c>
      <c r="O98">
        <v>-2.8173370000000001E-3</v>
      </c>
      <c r="P98">
        <v>0.99950850000000002</v>
      </c>
      <c r="Q98">
        <v>3.1002479999999999E-2</v>
      </c>
      <c r="R98">
        <v>-4.6522200000000003E-3</v>
      </c>
      <c r="S98">
        <v>3.0235289999999999</v>
      </c>
      <c r="T98">
        <v>-0.76480079999999995</v>
      </c>
      <c r="U98">
        <v>-0.53305049999999998</v>
      </c>
      <c r="V98">
        <v>1.836844E-3</v>
      </c>
      <c r="W98">
        <v>4.5941219999999998E-2</v>
      </c>
      <c r="X98">
        <v>0.99894240000000001</v>
      </c>
      <c r="Y98">
        <v>0.1658655</v>
      </c>
      <c r="Z98">
        <v>-1.9805119999999999E-2</v>
      </c>
      <c r="AA98">
        <v>0.98594950000000003</v>
      </c>
      <c r="AB98">
        <v>3</v>
      </c>
      <c r="AC98">
        <v>0.66969999999997698</v>
      </c>
      <c r="AD98">
        <v>-0.17264599999999899</v>
      </c>
      <c r="AE98">
        <v>-0.12060000000002399</v>
      </c>
      <c r="AF98">
        <v>0.111533015407661</v>
      </c>
      <c r="AG98">
        <v>-0.17264599999999899</v>
      </c>
      <c r="AH98">
        <v>0.62951448864914294</v>
      </c>
      <c r="AI98">
        <v>105.11208212813401</v>
      </c>
      <c r="AJ98">
        <v>79.952991163072198</v>
      </c>
      <c r="AK98">
        <v>0.662219560463988</v>
      </c>
      <c r="AL98">
        <v>87.366835028802399</v>
      </c>
      <c r="AM98">
        <v>89.8946452866453</v>
      </c>
      <c r="AN98">
        <v>0.99999994410436199</v>
      </c>
    </row>
    <row r="99" spans="1:40" x14ac:dyDescent="0.25">
      <c r="A99" t="str">
        <f>"20190312150639087"</f>
        <v>20190312150639087</v>
      </c>
      <c r="B99" t="str">
        <f>"1552374399080976"</f>
        <v>1552374399080976</v>
      </c>
      <c r="C99" t="s">
        <v>40</v>
      </c>
      <c r="D99">
        <v>5.0362809999999998</v>
      </c>
      <c r="E99">
        <v>0.56311060000000002</v>
      </c>
      <c r="F99" t="s">
        <v>41</v>
      </c>
      <c r="G99">
        <v>-474.02350000000001</v>
      </c>
      <c r="H99">
        <v>0.93671309999999997</v>
      </c>
      <c r="I99">
        <v>367.08800000000002</v>
      </c>
      <c r="J99">
        <v>-474.6979</v>
      </c>
      <c r="K99">
        <v>1.111378</v>
      </c>
      <c r="L99">
        <v>367.20870000000002</v>
      </c>
      <c r="M99">
        <v>0.99987440000000005</v>
      </c>
      <c r="N99">
        <v>0</v>
      </c>
      <c r="O99">
        <v>-2.8194689999999998E-3</v>
      </c>
      <c r="P99">
        <v>0.99953259999999999</v>
      </c>
      <c r="Q99">
        <v>3.0263499999999999E-2</v>
      </c>
      <c r="R99">
        <v>-4.387518E-3</v>
      </c>
      <c r="S99">
        <v>3.0228269999999999</v>
      </c>
      <c r="T99">
        <v>-0.76839080000000004</v>
      </c>
      <c r="U99">
        <v>-0.53082280000000004</v>
      </c>
      <c r="V99">
        <v>1.56973299999999E-3</v>
      </c>
      <c r="W99">
        <v>4.5855949999999999E-2</v>
      </c>
      <c r="X99">
        <v>0.99894680000000002</v>
      </c>
      <c r="Y99">
        <v>0.16516989999999901</v>
      </c>
      <c r="Z99">
        <v>-1.9813979999999998E-2</v>
      </c>
      <c r="AA99">
        <v>0.98606609999999995</v>
      </c>
      <c r="AB99">
        <v>2</v>
      </c>
      <c r="AC99">
        <v>0.67439999999999101</v>
      </c>
      <c r="AD99">
        <v>-0.17466489999999901</v>
      </c>
      <c r="AE99">
        <v>-0.120699999999999</v>
      </c>
      <c r="AF99">
        <v>0.11154774034314099</v>
      </c>
      <c r="AG99">
        <v>-0.17466489999999901</v>
      </c>
      <c r="AH99">
        <v>0.63355918836309899</v>
      </c>
      <c r="AI99">
        <v>105.19029937032199</v>
      </c>
      <c r="AJ99">
        <v>80.014545980282307</v>
      </c>
      <c r="AK99">
        <v>0.66659430752668403</v>
      </c>
      <c r="AL99">
        <v>87.371725864557504</v>
      </c>
      <c r="AM99">
        <v>89.909966174540102</v>
      </c>
      <c r="AN99">
        <v>0.99999997072116598</v>
      </c>
    </row>
    <row r="100" spans="1:40" x14ac:dyDescent="0.25">
      <c r="A100" t="str">
        <f>"20190312150639108"</f>
        <v>20190312150639108</v>
      </c>
      <c r="B100" t="str">
        <f>"1552374399100496"</f>
        <v>1552374399100496</v>
      </c>
      <c r="C100" t="s">
        <v>40</v>
      </c>
      <c r="D100">
        <v>4.6640499999999996</v>
      </c>
      <c r="E100">
        <v>0.56296179999999996</v>
      </c>
      <c r="F100" t="s">
        <v>41</v>
      </c>
      <c r="G100">
        <v>-474.0018</v>
      </c>
      <c r="H100">
        <v>0.93390879999999998</v>
      </c>
      <c r="I100">
        <v>367.08620000000002</v>
      </c>
      <c r="J100">
        <v>-474.67529999999999</v>
      </c>
      <c r="K100">
        <v>1.111051</v>
      </c>
      <c r="L100">
        <v>367.20859999999999</v>
      </c>
      <c r="M100">
        <v>0.99988549999999998</v>
      </c>
      <c r="N100">
        <v>0</v>
      </c>
      <c r="O100">
        <v>-2.825049E-3</v>
      </c>
      <c r="P100">
        <v>0.99951579999999995</v>
      </c>
      <c r="Q100">
        <v>3.0870700000000001E-2</v>
      </c>
      <c r="R100">
        <v>-3.9014229999999998E-3</v>
      </c>
      <c r="S100">
        <v>3.0224000000000002</v>
      </c>
      <c r="T100">
        <v>-0.77061029999999997</v>
      </c>
      <c r="U100">
        <v>-0.52935790000000005</v>
      </c>
      <c r="V100">
        <v>1.0787699999999999E-3</v>
      </c>
      <c r="W100">
        <v>4.5730680000000003E-2</v>
      </c>
      <c r="X100">
        <v>0.99895319999999999</v>
      </c>
      <c r="Y100">
        <v>0.16470860000000001</v>
      </c>
      <c r="Z100">
        <v>-1.9814100000000001E-2</v>
      </c>
      <c r="AA100">
        <v>0.9861432</v>
      </c>
      <c r="AB100">
        <v>2</v>
      </c>
      <c r="AC100">
        <v>0.67349999999999</v>
      </c>
      <c r="AD100">
        <v>-0.1771422</v>
      </c>
      <c r="AE100">
        <v>-0.12239999999997001</v>
      </c>
      <c r="AF100">
        <v>0.112933862540125</v>
      </c>
      <c r="AG100">
        <v>-0.1771422</v>
      </c>
      <c r="AH100">
        <v>0.63155050622582198</v>
      </c>
      <c r="AI100">
        <v>105.435255939581</v>
      </c>
      <c r="AJ100">
        <v>79.861526869541507</v>
      </c>
      <c r="AK100">
        <v>0.66557453244784204</v>
      </c>
      <c r="AL100">
        <v>87.378910861869898</v>
      </c>
      <c r="AM100">
        <v>89.938126286558301</v>
      </c>
      <c r="AN100">
        <v>0.99999997731410695</v>
      </c>
    </row>
    <row r="101" spans="1:40" x14ac:dyDescent="0.25">
      <c r="A101" t="str">
        <f>"20190312150639130"</f>
        <v>20190312150639130</v>
      </c>
      <c r="B101" t="str">
        <f>"1552374399120992"</f>
        <v>1552374399120992</v>
      </c>
      <c r="C101" t="s">
        <v>40</v>
      </c>
      <c r="D101">
        <v>4.6596469999999997</v>
      </c>
      <c r="E101">
        <v>0.5628959</v>
      </c>
      <c r="F101" t="s">
        <v>41</v>
      </c>
      <c r="G101">
        <v>-473.97519999999997</v>
      </c>
      <c r="H101">
        <v>0.93298700000000001</v>
      </c>
      <c r="I101">
        <v>367.08679999999998</v>
      </c>
      <c r="J101">
        <v>-474.6431</v>
      </c>
      <c r="K101">
        <v>1.110449</v>
      </c>
      <c r="L101">
        <v>367.20859999999999</v>
      </c>
      <c r="M101">
        <v>0.99991260000000004</v>
      </c>
      <c r="N101">
        <v>0</v>
      </c>
      <c r="O101">
        <v>-2.8393160000000001E-3</v>
      </c>
      <c r="P101">
        <v>0.99945839999999997</v>
      </c>
      <c r="Q101">
        <v>3.2688259999999997E-2</v>
      </c>
      <c r="R101">
        <v>-3.7848880000000001E-3</v>
      </c>
      <c r="S101">
        <v>3.0231629999999998</v>
      </c>
      <c r="T101">
        <v>-0.76888959999999995</v>
      </c>
      <c r="U101">
        <v>-0.52676389999999995</v>
      </c>
      <c r="V101">
        <v>9.4870839999999996E-4</v>
      </c>
      <c r="W101">
        <v>4.559349E-2</v>
      </c>
      <c r="X101">
        <v>0.99895959999999995</v>
      </c>
      <c r="Y101">
        <v>0.16388079999999999</v>
      </c>
      <c r="Z101">
        <v>-1.9661410000000001E-2</v>
      </c>
      <c r="AA101">
        <v>0.98628419999999895</v>
      </c>
      <c r="AB101">
        <v>3</v>
      </c>
      <c r="AC101">
        <v>0.66790000000003102</v>
      </c>
      <c r="AD101">
        <v>-0.17746199999999901</v>
      </c>
      <c r="AE101">
        <v>-0.121800000000007</v>
      </c>
      <c r="AF101">
        <v>0.112234542573648</v>
      </c>
      <c r="AG101">
        <v>-0.17746199999999901</v>
      </c>
      <c r="AH101">
        <v>0.62550548062806899</v>
      </c>
      <c r="AI101">
        <v>105.602396315286</v>
      </c>
      <c r="AJ101">
        <v>79.827654724607797</v>
      </c>
      <c r="AK101">
        <v>0.65980789650205596</v>
      </c>
      <c r="AL101">
        <v>87.386779469853494</v>
      </c>
      <c r="AM101">
        <v>89.945586417141698</v>
      </c>
      <c r="AN101">
        <v>0.99999997440508304</v>
      </c>
    </row>
    <row r="102" spans="1:40" x14ac:dyDescent="0.25">
      <c r="A102" t="str">
        <f>"20190312150639152"</f>
        <v>20190312150639152</v>
      </c>
      <c r="B102" t="str">
        <f>"1552374399140512"</f>
        <v>1552374399140512</v>
      </c>
      <c r="C102" t="s">
        <v>40</v>
      </c>
      <c r="D102">
        <v>4.5000030000000004</v>
      </c>
      <c r="E102">
        <v>0.56583809999999901</v>
      </c>
      <c r="F102" t="s">
        <v>41</v>
      </c>
      <c r="G102">
        <v>-473.9452</v>
      </c>
      <c r="H102">
        <v>0.93439280000000002</v>
      </c>
      <c r="I102">
        <v>367.08670000000001</v>
      </c>
      <c r="J102">
        <v>-474.61130000000003</v>
      </c>
      <c r="K102">
        <v>1.1100719999999999</v>
      </c>
      <c r="L102">
        <v>367.20839999999998</v>
      </c>
      <c r="M102">
        <v>0.99993100000000001</v>
      </c>
      <c r="N102">
        <v>0</v>
      </c>
      <c r="O102">
        <v>-2.8570760000000001E-3</v>
      </c>
      <c r="P102">
        <v>0.99941550000000001</v>
      </c>
      <c r="Q102">
        <v>3.397625E-2</v>
      </c>
      <c r="R102">
        <v>-3.831522E-3</v>
      </c>
      <c r="S102">
        <v>3.0246279999999999</v>
      </c>
      <c r="T102">
        <v>-0.76314989999999905</v>
      </c>
      <c r="U102">
        <v>-0.52603149999999999</v>
      </c>
      <c r="V102">
        <v>9.7788439999999996E-4</v>
      </c>
      <c r="W102">
        <v>4.5364849999999998E-2</v>
      </c>
      <c r="X102">
        <v>0.99897000000000002</v>
      </c>
      <c r="Y102">
        <v>0.163636</v>
      </c>
      <c r="Z102">
        <v>-1.9475820000000001E-2</v>
      </c>
      <c r="AA102">
        <v>0.98632850000000005</v>
      </c>
      <c r="AB102">
        <v>3</v>
      </c>
      <c r="AC102">
        <v>0.666100000000028</v>
      </c>
      <c r="AD102">
        <v>-0.17567919999999901</v>
      </c>
      <c r="AE102">
        <v>-0.12169999999997499</v>
      </c>
      <c r="AF102">
        <v>0.11224096509492</v>
      </c>
      <c r="AG102">
        <v>-0.17567919999999901</v>
      </c>
      <c r="AH102">
        <v>0.62441363148419204</v>
      </c>
      <c r="AI102">
        <v>105.47807572324101</v>
      </c>
      <c r="AJ102">
        <v>79.809668870932398</v>
      </c>
      <c r="AK102">
        <v>0.65829598110679399</v>
      </c>
      <c r="AL102">
        <v>87.399893195522594</v>
      </c>
      <c r="AM102">
        <v>89.943913599932301</v>
      </c>
      <c r="AN102">
        <v>0.99999999338671097</v>
      </c>
    </row>
    <row r="103" spans="1:40" x14ac:dyDescent="0.25">
      <c r="A103" t="str">
        <f>"20190312150639165"</f>
        <v>20190312150639165</v>
      </c>
      <c r="B103" t="str">
        <f>"1552374399161009"</f>
        <v>1552374399161009</v>
      </c>
      <c r="C103" t="s">
        <v>40</v>
      </c>
      <c r="D103">
        <v>4.6679089999999999</v>
      </c>
      <c r="E103">
        <v>0.56697779999999998</v>
      </c>
      <c r="F103" t="s">
        <v>41</v>
      </c>
      <c r="G103">
        <v>-473.9298</v>
      </c>
      <c r="H103">
        <v>0.9018699</v>
      </c>
      <c r="I103">
        <v>367.08420000000001</v>
      </c>
      <c r="J103">
        <v>-474.59140000000002</v>
      </c>
      <c r="K103">
        <v>1.1099650000000001</v>
      </c>
      <c r="L103">
        <v>367.20839999999998</v>
      </c>
      <c r="M103">
        <v>0.99993759999999998</v>
      </c>
      <c r="N103">
        <v>0</v>
      </c>
      <c r="O103">
        <v>-2.8690830000000001E-3</v>
      </c>
      <c r="P103">
        <v>0.99939920000000004</v>
      </c>
      <c r="Q103">
        <v>3.4445980000000001E-2</v>
      </c>
      <c r="R103">
        <v>-3.8693289999999999E-3</v>
      </c>
      <c r="S103">
        <v>3.031158</v>
      </c>
      <c r="T103">
        <v>-0.92603619999999998</v>
      </c>
      <c r="U103">
        <v>-0.55249019999999904</v>
      </c>
      <c r="V103">
        <v>1.004081E-3</v>
      </c>
      <c r="W103">
        <v>4.524624E-2</v>
      </c>
      <c r="X103">
        <v>0.99897530000000001</v>
      </c>
      <c r="Y103">
        <v>0.16914570000000001</v>
      </c>
      <c r="Z103">
        <v>-2.4217579999999999E-2</v>
      </c>
      <c r="AA103">
        <v>0.98529339999999999</v>
      </c>
      <c r="AB103">
        <v>3</v>
      </c>
      <c r="AC103">
        <v>0.66160000000002095</v>
      </c>
      <c r="AD103">
        <v>-0.20809509999999901</v>
      </c>
      <c r="AE103">
        <v>-0.124199999999973</v>
      </c>
      <c r="AF103">
        <v>0.11163316017543801</v>
      </c>
      <c r="AG103">
        <v>-0.20809509999999901</v>
      </c>
      <c r="AH103">
        <v>0.60421304775763296</v>
      </c>
      <c r="AI103">
        <v>108.709951144754</v>
      </c>
      <c r="AJ103">
        <v>79.532192296270694</v>
      </c>
      <c r="AK103">
        <v>0.64872100334067495</v>
      </c>
      <c r="AL103">
        <v>87.406695895298697</v>
      </c>
      <c r="AM103">
        <v>89.942411404750203</v>
      </c>
      <c r="AN103">
        <v>0.99999994021143901</v>
      </c>
    </row>
    <row r="104" spans="1:40" x14ac:dyDescent="0.25">
      <c r="A104" t="str">
        <f>"20190312150639183"</f>
        <v>20190312150639183</v>
      </c>
      <c r="B104" t="str">
        <f>"1552374399180528"</f>
        <v>1552374399180528</v>
      </c>
      <c r="C104" t="s">
        <v>40</v>
      </c>
      <c r="D104">
        <v>4.5149119999999998</v>
      </c>
      <c r="E104">
        <v>0.56621899999999903</v>
      </c>
      <c r="F104" t="s">
        <v>41</v>
      </c>
      <c r="G104">
        <v>-473.90499999999997</v>
      </c>
      <c r="H104">
        <v>0.89984439999999999</v>
      </c>
      <c r="I104">
        <v>367.08089999999999</v>
      </c>
      <c r="J104">
        <v>-474.56779999999998</v>
      </c>
      <c r="K104">
        <v>1.1102449999999999</v>
      </c>
      <c r="L104">
        <v>367.20830000000001</v>
      </c>
      <c r="M104">
        <v>0.9999304</v>
      </c>
      <c r="N104">
        <v>0</v>
      </c>
      <c r="O104">
        <v>-2.8808520000000002E-3</v>
      </c>
      <c r="P104">
        <v>0.99941550000000001</v>
      </c>
      <c r="Q104">
        <v>3.3934209999999999E-2</v>
      </c>
      <c r="R104">
        <v>-4.1680729999999996E-3</v>
      </c>
      <c r="S104">
        <v>3.0316160000000001</v>
      </c>
      <c r="T104">
        <v>-0.92814770000000002</v>
      </c>
      <c r="U104">
        <v>-0.56204219999999905</v>
      </c>
      <c r="V104">
        <v>1.290839E-3</v>
      </c>
      <c r="W104">
        <v>4.537294E-2</v>
      </c>
      <c r="X104">
        <v>0.99896929999999995</v>
      </c>
      <c r="Y104">
        <v>0.17196029999999901</v>
      </c>
      <c r="Z104">
        <v>-2.4674930000000001E-2</v>
      </c>
      <c r="AA104">
        <v>0.98479479999999997</v>
      </c>
      <c r="AB104">
        <v>3</v>
      </c>
      <c r="AC104">
        <v>0.66280000000000405</v>
      </c>
      <c r="AD104">
        <v>-0.21040059999999999</v>
      </c>
      <c r="AE104">
        <v>-0.127400000000022</v>
      </c>
      <c r="AF104">
        <v>0.114375059734293</v>
      </c>
      <c r="AG104">
        <v>-0.21040059999999999</v>
      </c>
      <c r="AH104">
        <v>0.60442669166088203</v>
      </c>
      <c r="AI104">
        <v>108.88221023147401</v>
      </c>
      <c r="AJ104">
        <v>79.284674704280107</v>
      </c>
      <c r="AK104">
        <v>0.65013974833238897</v>
      </c>
      <c r="AL104">
        <v>87.399429254110402</v>
      </c>
      <c r="AM104">
        <v>89.925964105636297</v>
      </c>
      <c r="AN104">
        <v>1.0000000161460201</v>
      </c>
    </row>
    <row r="105" spans="1:40" x14ac:dyDescent="0.25">
      <c r="A105" t="str">
        <f>"20190312150639197"</f>
        <v>20190312150639197</v>
      </c>
      <c r="B105" t="str">
        <f>"1552374399191264"</f>
        <v>1552374399191264</v>
      </c>
      <c r="C105" t="s">
        <v>40</v>
      </c>
      <c r="D105">
        <v>4.4097759999999999</v>
      </c>
      <c r="E105">
        <v>0.56568200000000002</v>
      </c>
      <c r="F105" t="s">
        <v>41</v>
      </c>
      <c r="G105">
        <v>-473.90179999999998</v>
      </c>
      <c r="H105">
        <v>0.90787320000000005</v>
      </c>
      <c r="I105">
        <v>367.08569999999997</v>
      </c>
      <c r="J105">
        <v>-474.55380000000002</v>
      </c>
      <c r="K105">
        <v>1.110533</v>
      </c>
      <c r="L105">
        <v>367.20830000000001</v>
      </c>
      <c r="M105">
        <v>0.99991980000000003</v>
      </c>
      <c r="N105">
        <v>0</v>
      </c>
      <c r="O105">
        <v>-2.8866410000000001E-3</v>
      </c>
      <c r="P105">
        <v>0.99944520000000003</v>
      </c>
      <c r="Q105">
        <v>3.3075420000000001E-2</v>
      </c>
      <c r="R105">
        <v>-3.9251059999999898E-3</v>
      </c>
      <c r="S105">
        <v>3.0307010000000001</v>
      </c>
      <c r="T105">
        <v>-0.92092039999999997</v>
      </c>
      <c r="U105">
        <v>-0.55673219999999901</v>
      </c>
      <c r="V105">
        <v>1.0418980000000001E-3</v>
      </c>
      <c r="W105">
        <v>4.5409619999999998E-2</v>
      </c>
      <c r="X105">
        <v>0.99896790000000002</v>
      </c>
      <c r="Y105">
        <v>0.17050940000000001</v>
      </c>
      <c r="Z105">
        <v>-2.4285910000000001E-2</v>
      </c>
      <c r="AA105">
        <v>0.98505670000000001</v>
      </c>
      <c r="AB105">
        <v>3</v>
      </c>
      <c r="AC105">
        <v>0.65200000000004299</v>
      </c>
      <c r="AD105">
        <v>-0.202659799999999</v>
      </c>
      <c r="AE105">
        <v>-0.122600000000034</v>
      </c>
      <c r="AF105">
        <v>0.110414017357267</v>
      </c>
      <c r="AG105">
        <v>-0.202659799999999</v>
      </c>
      <c r="AH105">
        <v>0.59667292321280896</v>
      </c>
      <c r="AI105">
        <v>108.468267032849</v>
      </c>
      <c r="AJ105">
        <v>79.516040405922595</v>
      </c>
      <c r="AK105">
        <v>0.63975059754589503</v>
      </c>
      <c r="AL105">
        <v>87.397325414150799</v>
      </c>
      <c r="AM105">
        <v>89.940241987317705</v>
      </c>
      <c r="AN105">
        <v>0.99999999218519797</v>
      </c>
    </row>
    <row r="106" spans="1:40" x14ac:dyDescent="0.25">
      <c r="A106" t="str">
        <f>"20190312150639209"</f>
        <v>20190312150639209</v>
      </c>
      <c r="B106" t="str">
        <f>"1552374399201024"</f>
        <v>1552374399201024</v>
      </c>
      <c r="C106" t="s">
        <v>40</v>
      </c>
      <c r="D106">
        <v>4.6700350000000004</v>
      </c>
      <c r="E106">
        <v>0.56595519999999999</v>
      </c>
      <c r="F106" t="s">
        <v>41</v>
      </c>
      <c r="G106">
        <v>-473.88060000000002</v>
      </c>
      <c r="H106">
        <v>0.90605389999999997</v>
      </c>
      <c r="I106">
        <v>367.08550000000002</v>
      </c>
      <c r="J106">
        <v>-474.53960000000001</v>
      </c>
      <c r="K106">
        <v>1.110833</v>
      </c>
      <c r="L106">
        <v>367.20819999999998</v>
      </c>
      <c r="M106">
        <v>0.99990659999999998</v>
      </c>
      <c r="N106">
        <v>0</v>
      </c>
      <c r="O106">
        <v>-2.8921910000000001E-3</v>
      </c>
      <c r="P106">
        <v>0.9994767</v>
      </c>
      <c r="Q106">
        <v>3.211845E-2</v>
      </c>
      <c r="R106">
        <v>-3.859632E-3</v>
      </c>
      <c r="S106">
        <v>3.0298769999999999</v>
      </c>
      <c r="T106">
        <v>-0.9201646</v>
      </c>
      <c r="U106">
        <v>-0.55175779999999996</v>
      </c>
      <c r="V106">
        <v>9.7048030000000001E-4</v>
      </c>
      <c r="W106">
        <v>4.5469170000000003E-2</v>
      </c>
      <c r="X106">
        <v>0.99896529999999994</v>
      </c>
      <c r="Y106">
        <v>0.1690556</v>
      </c>
      <c r="Z106">
        <v>-2.406047E-2</v>
      </c>
      <c r="AA106">
        <v>0.98531279999999999</v>
      </c>
      <c r="AB106">
        <v>3</v>
      </c>
      <c r="AC106">
        <v>0.65899999999999104</v>
      </c>
      <c r="AD106">
        <v>-0.20477909999999899</v>
      </c>
      <c r="AE106">
        <v>-0.122699999999952</v>
      </c>
      <c r="AF106">
        <v>0.110482538010367</v>
      </c>
      <c r="AG106">
        <v>-0.20477909999999899</v>
      </c>
      <c r="AH106">
        <v>0.60307037516966899</v>
      </c>
      <c r="AI106">
        <v>108.46943219808099</v>
      </c>
      <c r="AJ106">
        <v>79.6185292141151</v>
      </c>
      <c r="AK106">
        <v>0.646401383359679</v>
      </c>
      <c r="AL106">
        <v>87.393910018404796</v>
      </c>
      <c r="AM106">
        <v>89.944337998729495</v>
      </c>
      <c r="AN106">
        <v>1.00000002892829</v>
      </c>
    </row>
    <row r="107" spans="1:40" x14ac:dyDescent="0.25">
      <c r="A107" t="str">
        <f>"20190312150639230"</f>
        <v>20190312150639230</v>
      </c>
      <c r="B107" t="str">
        <f>"1552374399220544"</f>
        <v>1552374399220544</v>
      </c>
      <c r="C107" t="s">
        <v>40</v>
      </c>
      <c r="D107">
        <v>4.6743540000000001</v>
      </c>
      <c r="E107">
        <v>0.56639259999999902</v>
      </c>
      <c r="F107" t="s">
        <v>41</v>
      </c>
      <c r="G107">
        <v>-473.86200000000002</v>
      </c>
      <c r="H107">
        <v>0.90424930000000003</v>
      </c>
      <c r="I107">
        <v>367.08370000000002</v>
      </c>
      <c r="J107">
        <v>-474.51900000000001</v>
      </c>
      <c r="K107">
        <v>1.1110549999999999</v>
      </c>
      <c r="L107">
        <v>367.20819999999998</v>
      </c>
      <c r="M107">
        <v>0.99989410000000001</v>
      </c>
      <c r="N107">
        <v>0</v>
      </c>
      <c r="O107">
        <v>-2.8999870000000001E-3</v>
      </c>
      <c r="P107">
        <v>0.99950819999999996</v>
      </c>
      <c r="Q107">
        <v>3.1188029999999999E-2</v>
      </c>
      <c r="R107">
        <v>-3.3428949999999998E-3</v>
      </c>
      <c r="S107">
        <v>3.0291440000000001</v>
      </c>
      <c r="T107">
        <v>-0.92342769999999996</v>
      </c>
      <c r="U107">
        <v>-0.55447389999999996</v>
      </c>
      <c r="V107">
        <v>4.455474E-4</v>
      </c>
      <c r="W107">
        <v>4.5447260000000003E-2</v>
      </c>
      <c r="X107">
        <v>0.99896660000000004</v>
      </c>
      <c r="Y107">
        <v>0.16985739999999999</v>
      </c>
      <c r="Z107">
        <v>-2.426213E-2</v>
      </c>
      <c r="AA107">
        <v>0.98516990000000004</v>
      </c>
      <c r="AB107">
        <v>2</v>
      </c>
      <c r="AC107">
        <v>0.657000000000039</v>
      </c>
      <c r="AD107">
        <v>-0.20680569999999901</v>
      </c>
      <c r="AE107">
        <v>-0.12449999999995399</v>
      </c>
      <c r="AF107">
        <v>0.11189184363402201</v>
      </c>
      <c r="AG107">
        <v>-0.20680569999999901</v>
      </c>
      <c r="AH107">
        <v>0.59997259147757898</v>
      </c>
      <c r="AI107">
        <v>108.71893059456001</v>
      </c>
      <c r="AJ107">
        <v>79.435985604623596</v>
      </c>
      <c r="AK107">
        <v>0.64440320665607498</v>
      </c>
      <c r="AL107">
        <v>87.395166488129803</v>
      </c>
      <c r="AM107">
        <v>89.974445608191104</v>
      </c>
      <c r="AN107">
        <v>0.99999995993477497</v>
      </c>
    </row>
    <row r="108" spans="1:40" x14ac:dyDescent="0.25">
      <c r="A108" t="str">
        <f>"20190312150639242"</f>
        <v>20190312150639242</v>
      </c>
      <c r="B108" t="str">
        <f>"1552374399231280"</f>
        <v>1552374399231280</v>
      </c>
      <c r="C108" t="s">
        <v>40</v>
      </c>
      <c r="D108">
        <v>4.4647110000000003</v>
      </c>
      <c r="E108">
        <v>0.56597900000000001</v>
      </c>
      <c r="F108" t="s">
        <v>41</v>
      </c>
      <c r="G108">
        <v>-473.83879999999999</v>
      </c>
      <c r="H108">
        <v>0.90147379999999999</v>
      </c>
      <c r="I108">
        <v>367.08319999999998</v>
      </c>
      <c r="J108">
        <v>-474.50409999999999</v>
      </c>
      <c r="K108">
        <v>1.1108990000000001</v>
      </c>
      <c r="L108">
        <v>367.2081</v>
      </c>
      <c r="M108">
        <v>0.99989939999999999</v>
      </c>
      <c r="N108">
        <v>0</v>
      </c>
      <c r="O108">
        <v>-2.9058450000000002E-3</v>
      </c>
      <c r="P108">
        <v>0.99950329999999998</v>
      </c>
      <c r="Q108">
        <v>3.1348559999999998E-2</v>
      </c>
      <c r="R108">
        <v>-3.2194580000000001E-3</v>
      </c>
      <c r="S108">
        <v>3.0287169999999999</v>
      </c>
      <c r="T108">
        <v>-0.93314030000000003</v>
      </c>
      <c r="U108">
        <v>-0.55688479999999996</v>
      </c>
      <c r="V108">
        <v>3.1643840000000002E-4</v>
      </c>
      <c r="W108">
        <v>4.5218599999999998E-2</v>
      </c>
      <c r="X108">
        <v>0.99897709999999995</v>
      </c>
      <c r="Y108">
        <v>0.17045560000000001</v>
      </c>
      <c r="Z108">
        <v>-2.4595559999999999E-2</v>
      </c>
      <c r="AA108">
        <v>0.9850584</v>
      </c>
      <c r="AB108">
        <v>2</v>
      </c>
      <c r="AC108">
        <v>0.665300000000002</v>
      </c>
      <c r="AD108">
        <v>-0.20942520000000001</v>
      </c>
      <c r="AE108">
        <v>-0.124900000000025</v>
      </c>
      <c r="AF108">
        <v>0.112224464264102</v>
      </c>
      <c r="AG108">
        <v>-0.20942520000000001</v>
      </c>
      <c r="AH108">
        <v>0.60751214747974203</v>
      </c>
      <c r="AI108">
        <v>108.726172678346</v>
      </c>
      <c r="AJ108">
        <v>79.533854935697306</v>
      </c>
      <c r="AK108">
        <v>0.65232220114744899</v>
      </c>
      <c r="AL108">
        <v>87.4082814168422</v>
      </c>
      <c r="AM108">
        <v>89.981850851046005</v>
      </c>
      <c r="AN108">
        <v>1.00000003412181</v>
      </c>
    </row>
    <row r="109" spans="1:40" x14ac:dyDescent="0.25">
      <c r="A109" t="str">
        <f>"20190312150639255"</f>
        <v>20190312150639255</v>
      </c>
      <c r="B109" t="str">
        <f>"1552374399250800"</f>
        <v>1552374399250800</v>
      </c>
      <c r="C109" t="s">
        <v>40</v>
      </c>
      <c r="D109">
        <v>4.6231540000000004</v>
      </c>
      <c r="E109">
        <v>0.56553609999999999</v>
      </c>
      <c r="F109" t="s">
        <v>41</v>
      </c>
      <c r="G109">
        <v>-473.83690000000001</v>
      </c>
      <c r="H109">
        <v>0.90625429999999996</v>
      </c>
      <c r="I109">
        <v>367.0865</v>
      </c>
      <c r="J109">
        <v>-474.4864</v>
      </c>
      <c r="K109">
        <v>1.1106069999999999</v>
      </c>
      <c r="L109">
        <v>367.20800000000003</v>
      </c>
      <c r="M109">
        <v>0.99991240000000003</v>
      </c>
      <c r="N109">
        <v>0</v>
      </c>
      <c r="O109">
        <v>-2.91493E-3</v>
      </c>
      <c r="P109">
        <v>0.99947090000000005</v>
      </c>
      <c r="Q109">
        <v>3.2356889999999999E-2</v>
      </c>
      <c r="R109">
        <v>-3.3616050000000001E-3</v>
      </c>
      <c r="S109">
        <v>3.0288089999999999</v>
      </c>
      <c r="T109">
        <v>-0.92895399999999995</v>
      </c>
      <c r="U109">
        <v>-0.55282589999999998</v>
      </c>
      <c r="V109">
        <v>4.4985799999999997E-4</v>
      </c>
      <c r="W109">
        <v>4.5266239999999999E-2</v>
      </c>
      <c r="X109">
        <v>0.9989749</v>
      </c>
      <c r="Y109">
        <v>0.16928099999999999</v>
      </c>
      <c r="Z109">
        <v>-2.4314599999999999E-2</v>
      </c>
      <c r="AA109">
        <v>0.98526789999999997</v>
      </c>
      <c r="AB109">
        <v>2</v>
      </c>
      <c r="AC109">
        <v>0.64949999999998898</v>
      </c>
      <c r="AD109">
        <v>-0.204352699999999</v>
      </c>
      <c r="AE109">
        <v>-0.121500000000025</v>
      </c>
      <c r="AF109">
        <v>0.10916494212439</v>
      </c>
      <c r="AG109">
        <v>-0.204352699999999</v>
      </c>
      <c r="AH109">
        <v>0.59312197854444704</v>
      </c>
      <c r="AI109">
        <v>108.718744370701</v>
      </c>
      <c r="AJ109">
        <v>79.571341853945199</v>
      </c>
      <c r="AK109">
        <v>0.63676580625752099</v>
      </c>
      <c r="AL109">
        <v>87.405549070798202</v>
      </c>
      <c r="AM109">
        <v>89.974198587934495</v>
      </c>
      <c r="AN109">
        <v>1.0000000428429801</v>
      </c>
    </row>
    <row r="110" spans="1:40" x14ac:dyDescent="0.25">
      <c r="A110" t="str">
        <f>"20190312150639273"</f>
        <v>20190312150639273</v>
      </c>
      <c r="B110" t="str">
        <f>"1552374399270320"</f>
        <v>1552374399270320</v>
      </c>
      <c r="C110" t="s">
        <v>40</v>
      </c>
      <c r="D110">
        <v>4.6458629999999896</v>
      </c>
      <c r="E110">
        <v>0.56577709999999903</v>
      </c>
      <c r="F110" t="s">
        <v>41</v>
      </c>
      <c r="G110">
        <v>-473.8091</v>
      </c>
      <c r="H110">
        <v>0.90355649999999998</v>
      </c>
      <c r="I110">
        <v>367.0847</v>
      </c>
      <c r="J110">
        <v>-474.45940000000002</v>
      </c>
      <c r="K110">
        <v>1.1102030000000001</v>
      </c>
      <c r="L110">
        <v>367.2079</v>
      </c>
      <c r="M110">
        <v>0.99993030000000005</v>
      </c>
      <c r="N110">
        <v>0</v>
      </c>
      <c r="O110">
        <v>-2.9304169999999998E-3</v>
      </c>
      <c r="P110">
        <v>0.9994286</v>
      </c>
      <c r="Q110">
        <v>3.3599850000000001E-2</v>
      </c>
      <c r="R110">
        <v>-3.720489E-3</v>
      </c>
      <c r="S110">
        <v>3.0297239999999999</v>
      </c>
      <c r="T110">
        <v>-0.92618990000000001</v>
      </c>
      <c r="U110">
        <v>-0.54946899999999999</v>
      </c>
      <c r="V110">
        <v>7.9348310000000003E-4</v>
      </c>
      <c r="W110">
        <v>4.5035209999999999E-2</v>
      </c>
      <c r="X110">
        <v>0.99898509999999996</v>
      </c>
      <c r="Y110">
        <v>0.16824829999999999</v>
      </c>
      <c r="Z110">
        <v>-2.4082949999999999E-2</v>
      </c>
      <c r="AA110">
        <v>0.98545039999999995</v>
      </c>
      <c r="AB110">
        <v>3</v>
      </c>
      <c r="AC110">
        <v>0.65030000000001498</v>
      </c>
      <c r="AD110">
        <v>-0.20664650000000001</v>
      </c>
      <c r="AE110">
        <v>-0.12319999999999701</v>
      </c>
      <c r="AF110">
        <v>0.110520216880874</v>
      </c>
      <c r="AG110">
        <v>-0.20664650000000001</v>
      </c>
      <c r="AH110">
        <v>0.59286586307312095</v>
      </c>
      <c r="AI110">
        <v>108.91414068327001</v>
      </c>
      <c r="AJ110">
        <v>79.440305872638703</v>
      </c>
      <c r="AK110">
        <v>0.63750092227312205</v>
      </c>
      <c r="AL110">
        <v>87.418799555098701</v>
      </c>
      <c r="AM110">
        <v>89.954490589314901</v>
      </c>
      <c r="AN110">
        <v>1.0000000148885899</v>
      </c>
    </row>
    <row r="111" spans="1:40" x14ac:dyDescent="0.25">
      <c r="A111" t="str">
        <f>"20190312150639286"</f>
        <v>20190312150639286</v>
      </c>
      <c r="B111" t="str">
        <f>"1552374399281056"</f>
        <v>1552374399281056</v>
      </c>
      <c r="C111" t="s">
        <v>40</v>
      </c>
      <c r="D111">
        <v>4.405068</v>
      </c>
      <c r="E111">
        <v>0.56534249999999997</v>
      </c>
      <c r="F111" t="s">
        <v>41</v>
      </c>
      <c r="G111">
        <v>-473.77859999999998</v>
      </c>
      <c r="H111">
        <v>0.90222800000000003</v>
      </c>
      <c r="I111">
        <v>367.08359999999999</v>
      </c>
      <c r="J111">
        <v>-474.43770000000001</v>
      </c>
      <c r="K111">
        <v>1.1099600000000001</v>
      </c>
      <c r="L111">
        <v>367.2079</v>
      </c>
      <c r="M111">
        <v>0.99994119999999997</v>
      </c>
      <c r="N111">
        <v>0</v>
      </c>
      <c r="O111">
        <v>-2.9442140000000001E-3</v>
      </c>
      <c r="P111">
        <v>0.99939840000000002</v>
      </c>
      <c r="Q111">
        <v>3.450363E-2</v>
      </c>
      <c r="R111">
        <v>-3.5397789999999998E-3</v>
      </c>
      <c r="S111">
        <v>3.0308229999999998</v>
      </c>
      <c r="T111">
        <v>-0.92578079999999996</v>
      </c>
      <c r="U111">
        <v>-0.55242919999999995</v>
      </c>
      <c r="V111">
        <v>5.9926339999999997E-4</v>
      </c>
      <c r="W111">
        <v>4.4928990000000002E-2</v>
      </c>
      <c r="X111">
        <v>0.99899000000000004</v>
      </c>
      <c r="Y111">
        <v>0.16908049999999999</v>
      </c>
      <c r="Z111">
        <v>-2.418182E-2</v>
      </c>
      <c r="AA111">
        <v>0.98530549999999995</v>
      </c>
      <c r="AB111">
        <v>3</v>
      </c>
      <c r="AC111">
        <v>0.659100000000023</v>
      </c>
      <c r="AD111">
        <v>-0.207732</v>
      </c>
      <c r="AE111">
        <v>-0.124300000000005</v>
      </c>
      <c r="AF111">
        <v>0.111649028315534</v>
      </c>
      <c r="AG111">
        <v>-0.207732</v>
      </c>
      <c r="AH111">
        <v>0.60174178775980403</v>
      </c>
      <c r="AI111">
        <v>108.748482339262</v>
      </c>
      <c r="AJ111">
        <v>79.488697963050299</v>
      </c>
      <c r="AK111">
        <v>0.64630586295048298</v>
      </c>
      <c r="AL111">
        <v>87.424891632279099</v>
      </c>
      <c r="AM111">
        <v>89.965630026808796</v>
      </c>
      <c r="AN111">
        <v>0.999999996679521</v>
      </c>
    </row>
    <row r="112" spans="1:40" x14ac:dyDescent="0.25">
      <c r="A112" t="str">
        <f>"20190312150639299"</f>
        <v>20190312150639299</v>
      </c>
      <c r="B112" t="str">
        <f>"1552374399290817"</f>
        <v>1552374399290817</v>
      </c>
      <c r="C112" t="s">
        <v>40</v>
      </c>
      <c r="D112">
        <v>5.1233579999999996</v>
      </c>
      <c r="E112">
        <v>0.56534249999999997</v>
      </c>
      <c r="F112" t="s">
        <v>41</v>
      </c>
      <c r="G112">
        <v>-473.74770000000001</v>
      </c>
      <c r="H112">
        <v>0.90023829999999905</v>
      </c>
      <c r="I112">
        <v>367.08249999999998</v>
      </c>
      <c r="J112">
        <v>-474.4169</v>
      </c>
      <c r="K112">
        <v>1.10985</v>
      </c>
      <c r="L112">
        <v>367.20780000000002</v>
      </c>
      <c r="M112">
        <v>0.99994780000000005</v>
      </c>
      <c r="N112">
        <v>0</v>
      </c>
      <c r="O112">
        <v>-2.9577959999999999E-3</v>
      </c>
      <c r="P112">
        <v>0.99939129999999998</v>
      </c>
      <c r="Q112">
        <v>3.4719090000000001E-2</v>
      </c>
      <c r="R112">
        <v>-3.4412570000000001E-3</v>
      </c>
      <c r="S112">
        <v>3.0316770000000002</v>
      </c>
      <c r="T112">
        <v>-0.92142939999999995</v>
      </c>
      <c r="U112">
        <v>-0.54888919999999997</v>
      </c>
      <c r="V112">
        <v>4.8742780000000002E-4</v>
      </c>
      <c r="W112">
        <v>4.4504549999999997E-2</v>
      </c>
      <c r="X112">
        <v>0.99900909999999998</v>
      </c>
      <c r="Y112">
        <v>0.1680207</v>
      </c>
      <c r="Z112">
        <v>-2.390861E-2</v>
      </c>
      <c r="AA112">
        <v>0.98549350000000002</v>
      </c>
      <c r="AB112">
        <v>4</v>
      </c>
      <c r="AC112">
        <v>0.66919999999998903</v>
      </c>
      <c r="AD112">
        <v>-0.20961170000000001</v>
      </c>
      <c r="AE112">
        <v>-0.12530000000003799</v>
      </c>
      <c r="AF112">
        <v>0.112642790149191</v>
      </c>
      <c r="AG112">
        <v>-0.20961170000000001</v>
      </c>
      <c r="AH112">
        <v>0.61159563808331796</v>
      </c>
      <c r="AI112">
        <v>108.626907222299</v>
      </c>
      <c r="AJ112">
        <v>79.564297331454</v>
      </c>
      <c r="AK112">
        <v>0.65625809516685196</v>
      </c>
      <c r="AL112">
        <v>87.449234706830893</v>
      </c>
      <c r="AM112">
        <v>89.972044745597103</v>
      </c>
      <c r="AN112">
        <v>1.00000003721968</v>
      </c>
    </row>
    <row r="113" spans="1:40" x14ac:dyDescent="0.25">
      <c r="A113" t="str">
        <f>"20190312150639320"</f>
        <v>20190312150639320</v>
      </c>
      <c r="B113" t="str">
        <f>"1552374399310337"</f>
        <v>1552374399310337</v>
      </c>
      <c r="C113" t="s">
        <v>40</v>
      </c>
      <c r="D113">
        <v>4.4616410000000002</v>
      </c>
      <c r="E113">
        <v>0.5561758</v>
      </c>
      <c r="F113" t="s">
        <v>41</v>
      </c>
      <c r="G113">
        <v>-473.74549999999999</v>
      </c>
      <c r="H113">
        <v>0.90593769999999996</v>
      </c>
      <c r="I113">
        <v>367.08569999999997</v>
      </c>
      <c r="J113">
        <v>-474.38889999999998</v>
      </c>
      <c r="K113">
        <v>1.110063</v>
      </c>
      <c r="L113">
        <v>367.20769999999999</v>
      </c>
      <c r="M113">
        <v>0.99994419999999995</v>
      </c>
      <c r="N113">
        <v>0</v>
      </c>
      <c r="O113">
        <v>-2.9736229999999999E-3</v>
      </c>
      <c r="P113">
        <v>0.99941100000000005</v>
      </c>
      <c r="Q113">
        <v>3.417328E-2</v>
      </c>
      <c r="R113">
        <v>-3.2012149999999999E-3</v>
      </c>
      <c r="S113">
        <v>3.0319210000000001</v>
      </c>
      <c r="T113">
        <v>-0.92066530000000002</v>
      </c>
      <c r="U113">
        <v>-0.54898069999999999</v>
      </c>
      <c r="V113">
        <v>2.3147949999999999E-4</v>
      </c>
      <c r="W113">
        <v>4.4311620000000003E-2</v>
      </c>
      <c r="X113">
        <v>0.99901770000000001</v>
      </c>
      <c r="Y113">
        <v>0.16803299999999999</v>
      </c>
      <c r="Z113">
        <v>-2.3884889999999999E-2</v>
      </c>
      <c r="AA113">
        <v>0.98549200000000003</v>
      </c>
      <c r="AB113">
        <v>4</v>
      </c>
      <c r="AC113">
        <v>0.64339999999998498</v>
      </c>
      <c r="AD113">
        <v>-0.20412529999999901</v>
      </c>
      <c r="AE113">
        <v>-0.122000000000014</v>
      </c>
      <c r="AF113">
        <v>0.109451724730541</v>
      </c>
      <c r="AG113">
        <v>-0.20412529999999901</v>
      </c>
      <c r="AH113">
        <v>0.58675082278645696</v>
      </c>
      <c r="AI113">
        <v>108.8802642054</v>
      </c>
      <c r="AJ113">
        <v>79.433562855140806</v>
      </c>
      <c r="AK113">
        <v>0.63081165666715799</v>
      </c>
      <c r="AL113">
        <v>87.460299523909896</v>
      </c>
      <c r="AM113">
        <v>89.986724160986896</v>
      </c>
      <c r="AN113">
        <v>0.99999996908153599</v>
      </c>
    </row>
    <row r="114" spans="1:40" x14ac:dyDescent="0.25">
      <c r="A114" t="str">
        <f>"20190312150639335"</f>
        <v>20190312150639335</v>
      </c>
      <c r="B114" t="str">
        <f>"1552374399330833"</f>
        <v>1552374399330833</v>
      </c>
      <c r="C114" t="s">
        <v>40</v>
      </c>
      <c r="D114">
        <v>4.6613860000000003</v>
      </c>
      <c r="E114">
        <v>0.56557080000000004</v>
      </c>
      <c r="F114" t="s">
        <v>41</v>
      </c>
      <c r="G114">
        <v>-473.70420000000001</v>
      </c>
      <c r="H114">
        <v>0.93780529999999995</v>
      </c>
      <c r="I114">
        <v>367.10090000000002</v>
      </c>
      <c r="J114">
        <v>-474.36649999999997</v>
      </c>
      <c r="K114">
        <v>1.1100969999999999</v>
      </c>
      <c r="L114">
        <v>367.20760000000001</v>
      </c>
      <c r="M114">
        <v>0.99994499999999997</v>
      </c>
      <c r="N114">
        <v>0</v>
      </c>
      <c r="O114">
        <v>-2.9864179999999998E-3</v>
      </c>
      <c r="P114">
        <v>0.99941579999999997</v>
      </c>
      <c r="Q114">
        <v>3.4047340000000002E-2</v>
      </c>
      <c r="R114">
        <v>-3.0139400000000001E-3</v>
      </c>
      <c r="S114">
        <v>3.0263059999999999</v>
      </c>
      <c r="T114">
        <v>-0.76139860000000004</v>
      </c>
      <c r="U114">
        <v>-0.47253420000000002</v>
      </c>
      <c r="V114" s="1">
        <v>3.1480589999999997E-5</v>
      </c>
      <c r="W114">
        <v>4.4099640000000002E-2</v>
      </c>
      <c r="X114">
        <v>0.99902709999999995</v>
      </c>
      <c r="Y114">
        <v>0.14694090000000001</v>
      </c>
      <c r="Z114">
        <v>-1.7360770000000001E-2</v>
      </c>
      <c r="AA114">
        <v>0.98899289999999995</v>
      </c>
      <c r="AB114">
        <v>4</v>
      </c>
      <c r="AC114">
        <v>0.66229999999995903</v>
      </c>
      <c r="AD114">
        <v>-0.17229169999999899</v>
      </c>
      <c r="AE114">
        <v>-0.106699999999989</v>
      </c>
      <c r="AF114">
        <v>9.8241365576422796E-2</v>
      </c>
      <c r="AG114">
        <v>-0.17229169999999899</v>
      </c>
      <c r="AH114">
        <v>0.62161313938338603</v>
      </c>
      <c r="AI114">
        <v>105.31075054345</v>
      </c>
      <c r="AJ114">
        <v>81.019106918221695</v>
      </c>
      <c r="AK114">
        <v>0.65248654457642197</v>
      </c>
      <c r="AL114">
        <v>87.472456952451594</v>
      </c>
      <c r="AM114">
        <v>89.998194538523506</v>
      </c>
      <c r="AN114">
        <v>0.99999996288678195</v>
      </c>
    </row>
    <row r="115" spans="1:40" x14ac:dyDescent="0.25">
      <c r="A115" t="str">
        <f>"20190312150639353"</f>
        <v>20190312150639353</v>
      </c>
      <c r="B115" t="str">
        <f>"1552374399350352"</f>
        <v>1552374399350352</v>
      </c>
      <c r="C115" t="s">
        <v>40</v>
      </c>
      <c r="D115">
        <v>4.6829210000000003</v>
      </c>
      <c r="E115">
        <v>0.55717179999999999</v>
      </c>
      <c r="F115" t="s">
        <v>41</v>
      </c>
      <c r="G115">
        <v>-473.69069999999999</v>
      </c>
      <c r="H115">
        <v>0.89742540000000004</v>
      </c>
      <c r="I115">
        <v>367.08460000000002</v>
      </c>
      <c r="J115">
        <v>-474.33620000000002</v>
      </c>
      <c r="K115">
        <v>1.109937</v>
      </c>
      <c r="L115">
        <v>367.20749999999998</v>
      </c>
      <c r="M115">
        <v>0.99995250000000002</v>
      </c>
      <c r="N115">
        <v>0</v>
      </c>
      <c r="O115">
        <v>-3.0051430000000001E-3</v>
      </c>
      <c r="P115">
        <v>0.99940419999999996</v>
      </c>
      <c r="Q115">
        <v>3.4417070000000001E-2</v>
      </c>
      <c r="R115">
        <v>-2.5943390000000002E-3</v>
      </c>
      <c r="S115">
        <v>3.032654</v>
      </c>
      <c r="T115">
        <v>-0.95443679999999997</v>
      </c>
      <c r="U115">
        <v>-0.55029300000000003</v>
      </c>
      <c r="V115">
        <v>-4.0665550000000002E-4</v>
      </c>
      <c r="W115">
        <v>4.3682329999999998E-2</v>
      </c>
      <c r="X115">
        <v>0.99904539999999997</v>
      </c>
      <c r="Y115">
        <v>0.1678605</v>
      </c>
      <c r="Z115">
        <v>-2.4679719999999999E-2</v>
      </c>
      <c r="AA115">
        <v>0.98550179999999998</v>
      </c>
      <c r="AB115">
        <v>3</v>
      </c>
      <c r="AC115">
        <v>0.64550000000002605</v>
      </c>
      <c r="AD115">
        <v>-0.21251159999999999</v>
      </c>
      <c r="AE115">
        <v>-0.122899999999958</v>
      </c>
      <c r="AF115">
        <v>0.109505850985186</v>
      </c>
      <c r="AG115">
        <v>-0.21251159999999999</v>
      </c>
      <c r="AH115">
        <v>0.58470917057701799</v>
      </c>
      <c r="AI115">
        <v>109.658626141691</v>
      </c>
      <c r="AJ115">
        <v>79.392378520460497</v>
      </c>
      <c r="AK115">
        <v>0.63169417101269298</v>
      </c>
      <c r="AL115">
        <v>87.496390240290395</v>
      </c>
      <c r="AM115">
        <v>90.023321905670102</v>
      </c>
      <c r="AN115">
        <v>1.00000001129204</v>
      </c>
    </row>
    <row r="116" spans="1:40" x14ac:dyDescent="0.25">
      <c r="A116" t="str">
        <f>"20190312150639366"</f>
        <v>20190312150639366</v>
      </c>
      <c r="B116" t="str">
        <f>"1552374399361088"</f>
        <v>1552374399361088</v>
      </c>
      <c r="C116" t="s">
        <v>40</v>
      </c>
      <c r="D116">
        <v>4.7502259999999996</v>
      </c>
      <c r="E116">
        <v>0.55667290000000003</v>
      </c>
      <c r="F116" t="s">
        <v>41</v>
      </c>
      <c r="G116">
        <v>-473.64620000000002</v>
      </c>
      <c r="H116">
        <v>0.92130400000000001</v>
      </c>
      <c r="I116">
        <v>367.09820000000002</v>
      </c>
      <c r="J116">
        <v>-474.31259999999997</v>
      </c>
      <c r="K116">
        <v>1.1097459999999999</v>
      </c>
      <c r="L116">
        <v>367.20740000000001</v>
      </c>
      <c r="M116">
        <v>0.99996010000000002</v>
      </c>
      <c r="N116">
        <v>0</v>
      </c>
      <c r="O116">
        <v>-3.0212630000000002E-3</v>
      </c>
      <c r="P116">
        <v>0.99938539999999998</v>
      </c>
      <c r="Q116">
        <v>3.4986299999999998E-2</v>
      </c>
      <c r="R116">
        <v>-2.301923E-3</v>
      </c>
      <c r="S116">
        <v>3.0290530000000002</v>
      </c>
      <c r="T116">
        <v>-0.82808859999999995</v>
      </c>
      <c r="U116">
        <v>-0.48001100000000002</v>
      </c>
      <c r="V116">
        <v>-7.1535999999999995E-4</v>
      </c>
      <c r="W116">
        <v>4.3396980000000002E-2</v>
      </c>
      <c r="X116">
        <v>0.99905770000000005</v>
      </c>
      <c r="Y116">
        <v>0.14832799999999999</v>
      </c>
      <c r="Z116">
        <v>-1.8986490000000002E-2</v>
      </c>
      <c r="AA116">
        <v>0.98875590000000002</v>
      </c>
      <c r="AB116">
        <v>3</v>
      </c>
      <c r="AC116">
        <v>0.66639999999995303</v>
      </c>
      <c r="AD116">
        <v>-0.188441999999999</v>
      </c>
      <c r="AE116">
        <v>-0.109199999999987</v>
      </c>
      <c r="AF116">
        <v>9.9442352143732093E-2</v>
      </c>
      <c r="AG116">
        <v>-0.188441999999999</v>
      </c>
      <c r="AH116">
        <v>0.61855888625303501</v>
      </c>
      <c r="AI116">
        <v>106.740482593053</v>
      </c>
      <c r="AJ116">
        <v>80.867015114950703</v>
      </c>
      <c r="AK116">
        <v>0.65422799124347597</v>
      </c>
      <c r="AL116">
        <v>87.512755202936106</v>
      </c>
      <c r="AM116">
        <v>90.041025760401695</v>
      </c>
      <c r="AN116">
        <v>1.00000004877116</v>
      </c>
    </row>
    <row r="117" spans="1:40" x14ac:dyDescent="0.25">
      <c r="A117" t="str">
        <f>"20190312150639387"</f>
        <v>20190312150639387</v>
      </c>
      <c r="B117" t="str">
        <f>"1552374399380609"</f>
        <v>1552374399380609</v>
      </c>
      <c r="C117" t="s">
        <v>40</v>
      </c>
      <c r="D117">
        <v>4.5068950000000001</v>
      </c>
      <c r="E117">
        <v>0.55617450000000002</v>
      </c>
      <c r="F117" t="s">
        <v>41</v>
      </c>
      <c r="G117">
        <v>-473.60759999999999</v>
      </c>
      <c r="H117">
        <v>0.92347360000000001</v>
      </c>
      <c r="I117">
        <v>367.09649999999999</v>
      </c>
      <c r="J117">
        <v>-474.27499999999998</v>
      </c>
      <c r="K117">
        <v>1.1094809999999999</v>
      </c>
      <c r="L117">
        <v>367.20729999999998</v>
      </c>
      <c r="M117">
        <v>0.99997029999999998</v>
      </c>
      <c r="N117">
        <v>0</v>
      </c>
      <c r="O117">
        <v>-3.048243E-3</v>
      </c>
      <c r="P117">
        <v>0.99936860000000005</v>
      </c>
      <c r="Q117">
        <v>3.5492099999999999E-2</v>
      </c>
      <c r="R117">
        <v>-1.6324519999999999E-3</v>
      </c>
      <c r="S117">
        <v>3.028778</v>
      </c>
      <c r="T117">
        <v>-0.80027040000000005</v>
      </c>
      <c r="U117">
        <v>-0.47521970000000002</v>
      </c>
      <c r="V117">
        <v>-1.4114129999999901E-3</v>
      </c>
      <c r="W117">
        <v>4.2564230000000002E-2</v>
      </c>
      <c r="X117">
        <v>0.9990928</v>
      </c>
      <c r="Y117">
        <v>0.14716470000000001</v>
      </c>
      <c r="Z117">
        <v>-1.8216349999999999E-2</v>
      </c>
      <c r="AA117">
        <v>0.98894420000000005</v>
      </c>
      <c r="AB117">
        <v>4</v>
      </c>
      <c r="AC117">
        <v>0.667399999999986</v>
      </c>
      <c r="AD117">
        <v>-0.18600739999999999</v>
      </c>
      <c r="AE117">
        <v>-0.110799999999983</v>
      </c>
      <c r="AF117">
        <v>0.101121021524454</v>
      </c>
      <c r="AG117">
        <v>-0.18600739999999999</v>
      </c>
      <c r="AH117">
        <v>0.62080620909199902</v>
      </c>
      <c r="AI117">
        <v>106.474261036971</v>
      </c>
      <c r="AJ117">
        <v>80.748533597479494</v>
      </c>
      <c r="AK117">
        <v>0.65591505783606496</v>
      </c>
      <c r="AL117">
        <v>87.560512432595701</v>
      </c>
      <c r="AM117">
        <v>90.080941384277494</v>
      </c>
      <c r="AN117">
        <v>1.00000006438699</v>
      </c>
    </row>
    <row r="118" spans="1:40" x14ac:dyDescent="0.25">
      <c r="A118" t="str">
        <f>"20190312150639408"</f>
        <v>20190312150639408</v>
      </c>
      <c r="B118" t="str">
        <f>"1552374399401105"</f>
        <v>1552374399401105</v>
      </c>
      <c r="C118" t="s">
        <v>40</v>
      </c>
      <c r="D118">
        <v>4.6966489999999999</v>
      </c>
      <c r="E118">
        <v>0.55610319999999902</v>
      </c>
      <c r="F118" t="s">
        <v>41</v>
      </c>
      <c r="G118">
        <v>-473.56619999999998</v>
      </c>
      <c r="H118">
        <v>0.92715760000000003</v>
      </c>
      <c r="I118">
        <v>367.0976</v>
      </c>
      <c r="J118">
        <v>-474.23</v>
      </c>
      <c r="K118">
        <v>1.109348</v>
      </c>
      <c r="L118">
        <v>367.20710000000003</v>
      </c>
      <c r="M118">
        <v>0.99997709999999995</v>
      </c>
      <c r="N118">
        <v>0</v>
      </c>
      <c r="O118">
        <v>-3.0793370000000001E-3</v>
      </c>
      <c r="P118">
        <v>0.99934109999999998</v>
      </c>
      <c r="Q118">
        <v>3.6276969999999999E-2</v>
      </c>
      <c r="R118">
        <v>-1.0971100000000001E-3</v>
      </c>
      <c r="S118">
        <v>3.0288089999999999</v>
      </c>
      <c r="T118">
        <v>-0.7792521</v>
      </c>
      <c r="U118">
        <v>-0.46856690000000001</v>
      </c>
      <c r="V118">
        <v>-1.9774039999999999E-3</v>
      </c>
      <c r="W118">
        <v>4.2292209999999997E-2</v>
      </c>
      <c r="X118">
        <v>0.99910330000000003</v>
      </c>
      <c r="Y118">
        <v>0.14531579999999999</v>
      </c>
      <c r="Z118">
        <v>-1.7515079999999999E-2</v>
      </c>
      <c r="AA118">
        <v>0.98923030000000001</v>
      </c>
      <c r="AB118">
        <v>4</v>
      </c>
      <c r="AC118">
        <v>0.66380000000003703</v>
      </c>
      <c r="AD118">
        <v>-0.1821904</v>
      </c>
      <c r="AE118">
        <v>-0.10950000000002499</v>
      </c>
      <c r="AF118">
        <v>0.10011346927499799</v>
      </c>
      <c r="AG118">
        <v>-0.1821904</v>
      </c>
      <c r="AH118">
        <v>0.61875695337051695</v>
      </c>
      <c r="AI118">
        <v>106.207341123191</v>
      </c>
      <c r="AJ118">
        <v>80.809320148779506</v>
      </c>
      <c r="AK118">
        <v>0.65274513857002403</v>
      </c>
      <c r="AL118">
        <v>87.5761118542014</v>
      </c>
      <c r="AM118">
        <v>90.1133984400402</v>
      </c>
      <c r="AN118">
        <v>0.99999997261207596</v>
      </c>
    </row>
    <row r="119" spans="1:40" x14ac:dyDescent="0.25">
      <c r="A119" t="str">
        <f>"20190312150639432"</f>
        <v>20190312150639432</v>
      </c>
      <c r="B119" t="str">
        <f>"1552374399420624"</f>
        <v>1552374399420624</v>
      </c>
      <c r="C119" t="s">
        <v>40</v>
      </c>
      <c r="D119">
        <v>4.440188</v>
      </c>
      <c r="E119">
        <v>0.56352590000000002</v>
      </c>
      <c r="F119" t="s">
        <v>41</v>
      </c>
      <c r="G119">
        <v>-473.52589999999998</v>
      </c>
      <c r="H119">
        <v>0.92947650000000004</v>
      </c>
      <c r="I119">
        <v>367.09820000000002</v>
      </c>
      <c r="J119">
        <v>-474.18680000000001</v>
      </c>
      <c r="K119">
        <v>1.1095809999999999</v>
      </c>
      <c r="L119">
        <v>367.20690000000002</v>
      </c>
      <c r="M119">
        <v>0.99997570000000002</v>
      </c>
      <c r="N119">
        <v>0</v>
      </c>
      <c r="O119">
        <v>-3.1011670000000002E-3</v>
      </c>
      <c r="P119">
        <v>0.99934829999999997</v>
      </c>
      <c r="Q119">
        <v>3.6093670000000001E-2</v>
      </c>
      <c r="R119">
        <v>-8.9067360000000002E-4</v>
      </c>
      <c r="S119">
        <v>3.0295719999999999</v>
      </c>
      <c r="T119">
        <v>-0.77395139999999996</v>
      </c>
      <c r="U119">
        <v>-0.46664430000000001</v>
      </c>
      <c r="V119">
        <v>-2.2065520000000001E-3</v>
      </c>
      <c r="W119">
        <v>4.2349850000000001E-2</v>
      </c>
      <c r="X119">
        <v>0.9991004</v>
      </c>
      <c r="Y119">
        <v>0.14472470000000001</v>
      </c>
      <c r="Z119">
        <v>-1.7316850000000002E-2</v>
      </c>
      <c r="AA119">
        <v>0.98932039999999999</v>
      </c>
      <c r="AB119">
        <v>5</v>
      </c>
      <c r="AC119">
        <v>0.66090000000002602</v>
      </c>
      <c r="AD119">
        <v>-0.1801045</v>
      </c>
      <c r="AE119">
        <v>-0.10869999999999801</v>
      </c>
      <c r="AF119">
        <v>9.9458262074230405E-2</v>
      </c>
      <c r="AG119">
        <v>-0.1801045</v>
      </c>
      <c r="AH119">
        <v>0.61664560204746999</v>
      </c>
      <c r="AI119">
        <v>106.084645428581</v>
      </c>
      <c r="AJ119">
        <v>80.837716889029593</v>
      </c>
      <c r="AK119">
        <v>0.65006259340125305</v>
      </c>
      <c r="AL119">
        <v>87.572806415750193</v>
      </c>
      <c r="AM119">
        <v>90.126539746478798</v>
      </c>
      <c r="AN119">
        <v>0.99999999397345496</v>
      </c>
    </row>
    <row r="120" spans="1:40" x14ac:dyDescent="0.25">
      <c r="A120" t="str">
        <f>"20190312150639452"</f>
        <v>20190312150639452</v>
      </c>
      <c r="B120" t="str">
        <f>"1552374399441120"</f>
        <v>1552374399441120</v>
      </c>
      <c r="C120" t="s">
        <v>40</v>
      </c>
      <c r="D120">
        <v>4.5966250000000004</v>
      </c>
      <c r="E120">
        <v>0.56370830000000005</v>
      </c>
      <c r="F120" t="s">
        <v>41</v>
      </c>
      <c r="G120">
        <v>-473.50049999999999</v>
      </c>
      <c r="H120">
        <v>0.90497309999999997</v>
      </c>
      <c r="I120">
        <v>367.08710000000002</v>
      </c>
      <c r="J120">
        <v>-474.14859999999999</v>
      </c>
      <c r="K120">
        <v>1.109853</v>
      </c>
      <c r="L120">
        <v>367.20679999999999</v>
      </c>
      <c r="M120">
        <v>0.99997159999999996</v>
      </c>
      <c r="N120">
        <v>0</v>
      </c>
      <c r="O120">
        <v>-3.1188980000000002E-3</v>
      </c>
      <c r="P120">
        <v>0.99936970000000003</v>
      </c>
      <c r="Q120">
        <v>3.5493339999999998E-2</v>
      </c>
      <c r="R120">
        <v>-9.3271459999999995E-4</v>
      </c>
      <c r="S120">
        <v>3.0341800000000001</v>
      </c>
      <c r="T120">
        <v>-0.90452379999999999</v>
      </c>
      <c r="U120">
        <v>-0.52761840000000004</v>
      </c>
      <c r="V120">
        <v>-2.1822539999999998E-3</v>
      </c>
      <c r="W120">
        <v>4.236032E-2</v>
      </c>
      <c r="X120">
        <v>0.99909999999999999</v>
      </c>
      <c r="Y120">
        <v>0.1615557</v>
      </c>
      <c r="Z120">
        <v>-2.2499930000000001E-2</v>
      </c>
      <c r="AA120">
        <v>0.98660709999999996</v>
      </c>
      <c r="AB120">
        <v>4</v>
      </c>
      <c r="AC120">
        <v>0.64809999999999901</v>
      </c>
      <c r="AD120">
        <v>-0.2048799</v>
      </c>
      <c r="AE120">
        <v>-0.119699999999966</v>
      </c>
      <c r="AF120">
        <v>0.107307999841281</v>
      </c>
      <c r="AG120">
        <v>-0.2048799</v>
      </c>
      <c r="AH120">
        <v>0.59132574949210504</v>
      </c>
      <c r="AI120">
        <v>108.82463883641201</v>
      </c>
      <c r="AJ120">
        <v>79.714454794545702</v>
      </c>
      <c r="AK120">
        <v>0.63494639322256696</v>
      </c>
      <c r="AL120">
        <v>87.572205967043004</v>
      </c>
      <c r="AM120">
        <v>90.125146376927304</v>
      </c>
      <c r="AN120">
        <v>0.99999998447151095</v>
      </c>
    </row>
    <row r="121" spans="1:40" x14ac:dyDescent="0.25">
      <c r="A121" t="str">
        <f>"20190312150639465"</f>
        <v>20190312150639465</v>
      </c>
      <c r="B121" t="str">
        <f>"1552374399460640"</f>
        <v>1552374399460640</v>
      </c>
      <c r="C121" t="s">
        <v>40</v>
      </c>
      <c r="D121">
        <v>4.6786490000000001</v>
      </c>
      <c r="E121">
        <v>0.56360619999999995</v>
      </c>
      <c r="F121" t="s">
        <v>41</v>
      </c>
      <c r="G121">
        <v>-473.46179999999998</v>
      </c>
      <c r="H121">
        <v>0.90274129999999997</v>
      </c>
      <c r="I121">
        <v>367.08659999999998</v>
      </c>
      <c r="J121">
        <v>-474.1241</v>
      </c>
      <c r="K121">
        <v>1.1098429999999999</v>
      </c>
      <c r="L121">
        <v>367.20670000000001</v>
      </c>
      <c r="M121">
        <v>0.99997259999999999</v>
      </c>
      <c r="N121">
        <v>0</v>
      </c>
      <c r="O121">
        <v>-3.1308009999999999E-3</v>
      </c>
      <c r="P121">
        <v>0.99936179999999997</v>
      </c>
      <c r="Q121">
        <v>3.5710779999999998E-2</v>
      </c>
      <c r="R121">
        <v>-1.112287E-3</v>
      </c>
      <c r="S121">
        <v>3.0338750000000001</v>
      </c>
      <c r="T121">
        <v>-0.91506240000000005</v>
      </c>
      <c r="U121">
        <v>-0.52957149999999997</v>
      </c>
      <c r="V121">
        <v>-2.0145520000000002E-3</v>
      </c>
      <c r="W121">
        <v>4.243417E-2</v>
      </c>
      <c r="X121">
        <v>0.99909720000000002</v>
      </c>
      <c r="Y121">
        <v>0.16200429999999999</v>
      </c>
      <c r="Z121">
        <v>-2.281441E-2</v>
      </c>
      <c r="AA121">
        <v>0.98652629999999997</v>
      </c>
      <c r="AB121">
        <v>4</v>
      </c>
      <c r="AC121">
        <v>0.66230000000001599</v>
      </c>
      <c r="AD121">
        <v>-0.2071017</v>
      </c>
      <c r="AE121">
        <v>-0.120100000000036</v>
      </c>
      <c r="AF121">
        <v>0.107818769781017</v>
      </c>
      <c r="AG121">
        <v>-0.2071017</v>
      </c>
      <c r="AH121">
        <v>0.60536375678605303</v>
      </c>
      <c r="AI121">
        <v>108.61407969410701</v>
      </c>
      <c r="AJ121">
        <v>79.901186971338802</v>
      </c>
      <c r="AK121">
        <v>0.64883070156251499</v>
      </c>
      <c r="AL121">
        <v>87.567970820949199</v>
      </c>
      <c r="AM121">
        <v>90.115529470785702</v>
      </c>
      <c r="AN121">
        <v>0.99999996612559405</v>
      </c>
    </row>
    <row r="122" spans="1:40" x14ac:dyDescent="0.25">
      <c r="A122" t="str">
        <f>"20190312150639477"</f>
        <v>20190312150639477</v>
      </c>
      <c r="B122" t="str">
        <f>"1552374399470400"</f>
        <v>1552374399470400</v>
      </c>
      <c r="C122" t="s">
        <v>40</v>
      </c>
      <c r="D122">
        <v>4.4966210000000002</v>
      </c>
      <c r="E122">
        <v>0.56356260000000002</v>
      </c>
      <c r="F122" t="s">
        <v>41</v>
      </c>
      <c r="G122">
        <v>-473.4205</v>
      </c>
      <c r="H122">
        <v>0.89727679999999999</v>
      </c>
      <c r="I122">
        <v>367.08359999999999</v>
      </c>
      <c r="J122">
        <v>-474.09660000000002</v>
      </c>
      <c r="K122">
        <v>1.109688</v>
      </c>
      <c r="L122">
        <v>367.20659999999998</v>
      </c>
      <c r="M122">
        <v>0.99997659999999999</v>
      </c>
      <c r="N122">
        <v>0</v>
      </c>
      <c r="O122">
        <v>-3.1460170000000001E-3</v>
      </c>
      <c r="P122">
        <v>0.99932520000000002</v>
      </c>
      <c r="Q122">
        <v>3.6718639999999997E-2</v>
      </c>
      <c r="R122">
        <v>-1.039873E-3</v>
      </c>
      <c r="S122">
        <v>3.0340880000000001</v>
      </c>
      <c r="T122">
        <v>-0.91658399999999995</v>
      </c>
      <c r="U122">
        <v>-0.52969359999999999</v>
      </c>
      <c r="V122">
        <v>-2.1021780000000001E-3</v>
      </c>
      <c r="W122">
        <v>4.27991E-2</v>
      </c>
      <c r="X122">
        <v>0.99908149999999996</v>
      </c>
      <c r="Y122">
        <v>0.16199569999999999</v>
      </c>
      <c r="Z122">
        <v>-2.2843450000000001E-2</v>
      </c>
      <c r="AA122">
        <v>0.98652700000000004</v>
      </c>
      <c r="AB122">
        <v>4</v>
      </c>
      <c r="AC122">
        <v>0.67610000000001902</v>
      </c>
      <c r="AD122">
        <v>-0.21241119999999999</v>
      </c>
      <c r="AE122">
        <v>-0.12299999999999001</v>
      </c>
      <c r="AF122">
        <v>0.110331132731149</v>
      </c>
      <c r="AG122">
        <v>-0.21241119999999999</v>
      </c>
      <c r="AH122">
        <v>0.61748792501943495</v>
      </c>
      <c r="AI122">
        <v>108.707615053691</v>
      </c>
      <c r="AJ122">
        <v>79.869444748689205</v>
      </c>
      <c r="AK122">
        <v>0.66225585258265995</v>
      </c>
      <c r="AL122">
        <v>87.547042972971099</v>
      </c>
      <c r="AM122">
        <v>90.120556480563707</v>
      </c>
      <c r="AN122">
        <v>1.0000000128777</v>
      </c>
    </row>
    <row r="123" spans="1:40" x14ac:dyDescent="0.25">
      <c r="A123" t="str">
        <f>"20190312150639489"</f>
        <v>20190312150639489</v>
      </c>
      <c r="B123" t="str">
        <f>"1552374399481137"</f>
        <v>1552374399481137</v>
      </c>
      <c r="C123" t="s">
        <v>40</v>
      </c>
      <c r="D123">
        <v>4.6558989999999998</v>
      </c>
      <c r="E123">
        <v>0.56389650000000002</v>
      </c>
      <c r="F123" t="s">
        <v>41</v>
      </c>
      <c r="G123">
        <v>-473.4171</v>
      </c>
      <c r="H123">
        <v>0.90582439999999997</v>
      </c>
      <c r="I123">
        <v>367.08789999999999</v>
      </c>
      <c r="J123">
        <v>-474.06880000000001</v>
      </c>
      <c r="K123">
        <v>1.1095410000000001</v>
      </c>
      <c r="L123">
        <v>367.20650000000001</v>
      </c>
      <c r="M123">
        <v>0.99998030000000004</v>
      </c>
      <c r="N123">
        <v>0</v>
      </c>
      <c r="O123">
        <v>-3.1622690000000001E-3</v>
      </c>
      <c r="P123">
        <v>0.99930830000000004</v>
      </c>
      <c r="Q123">
        <v>3.7178559999999999E-2</v>
      </c>
      <c r="R123">
        <v>-9.2238270000000004E-4</v>
      </c>
      <c r="S123">
        <v>3.0349729999999999</v>
      </c>
      <c r="T123">
        <v>-0.91042449999999997</v>
      </c>
      <c r="U123">
        <v>-0.52923580000000003</v>
      </c>
      <c r="V123">
        <v>-2.2355880000000002E-3</v>
      </c>
      <c r="W123">
        <v>4.2614260000000001E-2</v>
      </c>
      <c r="X123">
        <v>0.99908909999999995</v>
      </c>
      <c r="Y123">
        <v>0.1618859</v>
      </c>
      <c r="Z123">
        <v>-2.266959E-2</v>
      </c>
      <c r="AA123">
        <v>0.98654909999999996</v>
      </c>
      <c r="AB123">
        <v>4</v>
      </c>
      <c r="AC123">
        <v>0.65170000000000505</v>
      </c>
      <c r="AD123">
        <v>-0.203716599999999</v>
      </c>
      <c r="AE123">
        <v>-0.118600000000014</v>
      </c>
      <c r="AF123">
        <v>0.106468548778726</v>
      </c>
      <c r="AG123">
        <v>-0.203716599999999</v>
      </c>
      <c r="AH123">
        <v>0.59572692216502199</v>
      </c>
      <c r="AI123">
        <v>108.60473488315201</v>
      </c>
      <c r="AJ123">
        <v>79.867057358594096</v>
      </c>
      <c r="AK123">
        <v>0.63853470601590501</v>
      </c>
      <c r="AL123">
        <v>87.557643167697094</v>
      </c>
      <c r="AM123">
        <v>90.128206326492901</v>
      </c>
      <c r="AN123">
        <v>1.0000000013739301</v>
      </c>
    </row>
    <row r="124" spans="1:40" x14ac:dyDescent="0.25">
      <c r="A124" t="str">
        <f>"20190312150639510"</f>
        <v>20190312150639510</v>
      </c>
      <c r="B124" t="str">
        <f>"1552374399500657"</f>
        <v>1552374399500657</v>
      </c>
      <c r="C124" t="s">
        <v>40</v>
      </c>
      <c r="D124">
        <v>4.4468959999999997</v>
      </c>
      <c r="E124">
        <v>0.56409869999999995</v>
      </c>
      <c r="F124" t="s">
        <v>41</v>
      </c>
      <c r="G124">
        <v>-473.37299999999999</v>
      </c>
      <c r="H124">
        <v>0.90066740000000001</v>
      </c>
      <c r="I124">
        <v>367.08409999999998</v>
      </c>
      <c r="J124">
        <v>-474.02420000000001</v>
      </c>
      <c r="K124">
        <v>1.1093379999999999</v>
      </c>
      <c r="L124">
        <v>367.2063</v>
      </c>
      <c r="M124">
        <v>0.99998489999999995</v>
      </c>
      <c r="N124">
        <v>0</v>
      </c>
      <c r="O124">
        <v>-3.189309E-3</v>
      </c>
      <c r="P124">
        <v>0.99926159999999997</v>
      </c>
      <c r="Q124">
        <v>3.8410449999999999E-2</v>
      </c>
      <c r="R124">
        <v>-9.9326040000000007E-4</v>
      </c>
      <c r="S124">
        <v>3.0354610000000002</v>
      </c>
      <c r="T124">
        <v>-0.91121160000000001</v>
      </c>
      <c r="U124">
        <v>-0.53186040000000001</v>
      </c>
      <c r="V124">
        <v>-2.1912569999999998E-3</v>
      </c>
      <c r="W124">
        <v>4.2881030000000001E-2</v>
      </c>
      <c r="X124">
        <v>0.99907780000000002</v>
      </c>
      <c r="Y124">
        <v>0.1626215</v>
      </c>
      <c r="Z124">
        <v>-2.2782750000000001E-2</v>
      </c>
      <c r="AA124">
        <v>0.98642549999999996</v>
      </c>
      <c r="AB124">
        <v>5</v>
      </c>
      <c r="AC124">
        <v>0.65119999999996003</v>
      </c>
      <c r="AD124">
        <v>-0.20867059999999901</v>
      </c>
      <c r="AE124">
        <v>-0.12220000000002</v>
      </c>
      <c r="AF124">
        <v>0.10928282195038699</v>
      </c>
      <c r="AG124">
        <v>-0.20867059999999901</v>
      </c>
      <c r="AH124">
        <v>0.59278832332876996</v>
      </c>
      <c r="AI124">
        <v>109.094921839553</v>
      </c>
      <c r="AJ124">
        <v>79.554581370077003</v>
      </c>
      <c r="AK124">
        <v>0.63787471399384899</v>
      </c>
      <c r="AL124">
        <v>87.542344427385501</v>
      </c>
      <c r="AM124">
        <v>90.125665465303101</v>
      </c>
      <c r="AN124">
        <v>1.0000000173969701</v>
      </c>
    </row>
    <row r="125" spans="1:40" x14ac:dyDescent="0.25">
      <c r="A125" t="str">
        <f>"20190312150639525"</f>
        <v>20190312150639525</v>
      </c>
      <c r="B125" t="str">
        <f>"1552374399521153"</f>
        <v>1552374399521153</v>
      </c>
      <c r="C125" t="s">
        <v>40</v>
      </c>
      <c r="D125">
        <v>4.535647</v>
      </c>
      <c r="E125">
        <v>0.56389919999999905</v>
      </c>
      <c r="F125" t="s">
        <v>41</v>
      </c>
      <c r="G125">
        <v>-473.32510000000002</v>
      </c>
      <c r="H125">
        <v>0.90015349999999905</v>
      </c>
      <c r="I125">
        <v>367.08359999999999</v>
      </c>
      <c r="J125">
        <v>-473.98660000000001</v>
      </c>
      <c r="K125">
        <v>1.1092280000000001</v>
      </c>
      <c r="L125">
        <v>367.20609999999999</v>
      </c>
      <c r="M125">
        <v>0.99998759999999998</v>
      </c>
      <c r="N125">
        <v>0</v>
      </c>
      <c r="O125">
        <v>-3.2131059999999999E-3</v>
      </c>
      <c r="P125">
        <v>0.99922580000000005</v>
      </c>
      <c r="Q125">
        <v>3.932919E-2</v>
      </c>
      <c r="R125">
        <v>-1.0063909999999999E-3</v>
      </c>
      <c r="S125">
        <v>3.0366209999999998</v>
      </c>
      <c r="T125">
        <v>-0.90865469999999904</v>
      </c>
      <c r="U125">
        <v>-0.53335569999999999</v>
      </c>
      <c r="V125">
        <v>-2.2021879999999999E-3</v>
      </c>
      <c r="W125">
        <v>4.3150199999999903E-2</v>
      </c>
      <c r="X125">
        <v>0.99906620000000002</v>
      </c>
      <c r="Y125">
        <v>0.16303199999999901</v>
      </c>
      <c r="Z125">
        <v>-2.27651E-2</v>
      </c>
      <c r="AA125">
        <v>0.98635810000000002</v>
      </c>
      <c r="AB125">
        <v>5</v>
      </c>
      <c r="AC125">
        <v>0.66149999999998899</v>
      </c>
      <c r="AD125">
        <v>-0.2090745</v>
      </c>
      <c r="AE125">
        <v>-0.122500000000002</v>
      </c>
      <c r="AF125">
        <v>0.109771839631912</v>
      </c>
      <c r="AG125">
        <v>-0.2090745</v>
      </c>
      <c r="AH125">
        <v>0.60359359184114703</v>
      </c>
      <c r="AI125">
        <v>108.81874963673501</v>
      </c>
      <c r="AJ125">
        <v>79.692622049869101</v>
      </c>
      <c r="AK125">
        <v>0.64814136377654696</v>
      </c>
      <c r="AL125">
        <v>87.526907867415005</v>
      </c>
      <c r="AM125">
        <v>90.126293806901202</v>
      </c>
      <c r="AN125">
        <v>1.0000000306872301</v>
      </c>
    </row>
    <row r="126" spans="1:40" x14ac:dyDescent="0.25">
      <c r="A126" t="str">
        <f>"20190312150639544"</f>
        <v>20190312150639544</v>
      </c>
      <c r="B126" t="str">
        <f>"1552374399540673"</f>
        <v>1552374399540673</v>
      </c>
      <c r="C126" t="s">
        <v>40</v>
      </c>
      <c r="D126">
        <v>4.3633699999999997</v>
      </c>
      <c r="E126">
        <v>0.56359419999999905</v>
      </c>
      <c r="F126" t="s">
        <v>41</v>
      </c>
      <c r="G126">
        <v>-473.27659999999997</v>
      </c>
      <c r="H126">
        <v>0.89640219999999904</v>
      </c>
      <c r="I126">
        <v>367.08139999999997</v>
      </c>
      <c r="J126">
        <v>-473.93920000000003</v>
      </c>
      <c r="K126">
        <v>1.109146</v>
      </c>
      <c r="L126">
        <v>367.20600000000002</v>
      </c>
      <c r="M126">
        <v>0.99998969999999998</v>
      </c>
      <c r="N126">
        <v>0</v>
      </c>
      <c r="O126">
        <v>-3.2438039999999999E-3</v>
      </c>
      <c r="P126">
        <v>0.99920529999999996</v>
      </c>
      <c r="Q126">
        <v>3.9838560000000002E-2</v>
      </c>
      <c r="R126">
        <v>-1.369784E-3</v>
      </c>
      <c r="S126">
        <v>3.037598</v>
      </c>
      <c r="T126">
        <v>-0.91075019999999995</v>
      </c>
      <c r="U126">
        <v>-0.53182980000000002</v>
      </c>
      <c r="V126">
        <v>-1.8687249999999999E-3</v>
      </c>
      <c r="W126">
        <v>4.30192E-2</v>
      </c>
      <c r="X126">
        <v>0.99907250000000003</v>
      </c>
      <c r="Y126">
        <v>0.16246529999999901</v>
      </c>
      <c r="Z126">
        <v>-2.2717950000000001E-2</v>
      </c>
      <c r="AA126">
        <v>0.98645269999999996</v>
      </c>
      <c r="AB126">
        <v>5</v>
      </c>
      <c r="AC126">
        <v>0.66260000000005403</v>
      </c>
      <c r="AD126">
        <v>-0.21274380000000001</v>
      </c>
      <c r="AE126">
        <v>-0.124599999999986</v>
      </c>
      <c r="AF126">
        <v>0.111361928138986</v>
      </c>
      <c r="AG126">
        <v>-0.21274380000000001</v>
      </c>
      <c r="AH126">
        <v>0.60296482001726304</v>
      </c>
      <c r="AI126">
        <v>109.13481161561199</v>
      </c>
      <c r="AJ126">
        <v>79.535924052855904</v>
      </c>
      <c r="AK126">
        <v>0.64902078368548699</v>
      </c>
      <c r="AL126">
        <v>87.534420519620198</v>
      </c>
      <c r="AM126">
        <v>90.107169330258799</v>
      </c>
      <c r="AN126">
        <v>1.0000000019790001</v>
      </c>
    </row>
    <row r="127" spans="1:40" x14ac:dyDescent="0.25">
      <c r="A127" t="str">
        <f>"20190312150639565"</f>
        <v>20190312150639565</v>
      </c>
      <c r="B127" t="str">
        <f>"1552374399561168"</f>
        <v>1552374399561168</v>
      </c>
      <c r="C127" t="s">
        <v>40</v>
      </c>
      <c r="D127">
        <v>4.7652140000000003</v>
      </c>
      <c r="E127">
        <v>0.56403409999999998</v>
      </c>
      <c r="F127" t="s">
        <v>41</v>
      </c>
      <c r="G127">
        <v>-473.27100000000002</v>
      </c>
      <c r="H127">
        <v>0.91085150000000004</v>
      </c>
      <c r="I127">
        <v>367.08890000000002</v>
      </c>
      <c r="J127">
        <v>-473.88479999999998</v>
      </c>
      <c r="K127">
        <v>1.109057</v>
      </c>
      <c r="L127">
        <v>367.20580000000001</v>
      </c>
      <c r="M127">
        <v>0.99999170000000004</v>
      </c>
      <c r="N127">
        <v>0</v>
      </c>
      <c r="O127">
        <v>-3.280126E-3</v>
      </c>
      <c r="P127">
        <v>0.99918510000000005</v>
      </c>
      <c r="Q127">
        <v>4.0337560000000001E-2</v>
      </c>
      <c r="R127">
        <v>-1.6130370000000001E-3</v>
      </c>
      <c r="S127">
        <v>3.037598</v>
      </c>
      <c r="T127">
        <v>-0.90145520000000001</v>
      </c>
      <c r="U127">
        <v>-0.529815699999999</v>
      </c>
      <c r="V127">
        <v>-1.6619829999999999E-3</v>
      </c>
      <c r="W127">
        <v>4.2831010000000003E-2</v>
      </c>
      <c r="X127">
        <v>0.999081</v>
      </c>
      <c r="Y127">
        <v>0.16195209999999999</v>
      </c>
      <c r="Z127">
        <v>-2.2412229999999998E-2</v>
      </c>
      <c r="AA127">
        <v>0.98654410000000003</v>
      </c>
      <c r="AB127">
        <v>5</v>
      </c>
      <c r="AC127">
        <v>0.61380000000002599</v>
      </c>
      <c r="AD127">
        <v>-0.19820550000000001</v>
      </c>
      <c r="AE127">
        <v>-0.116899999999986</v>
      </c>
      <c r="AF127">
        <v>0.104382578972678</v>
      </c>
      <c r="AG127">
        <v>-0.19820550000000001</v>
      </c>
      <c r="AH127">
        <v>0.55802877841867204</v>
      </c>
      <c r="AI127">
        <v>109.245785972029</v>
      </c>
      <c r="AJ127">
        <v>79.404927226677103</v>
      </c>
      <c r="AK127">
        <v>0.60131294728009399</v>
      </c>
      <c r="AL127">
        <v>87.545213080443901</v>
      </c>
      <c r="AM127">
        <v>90.095312115519306</v>
      </c>
      <c r="AN127">
        <v>1.00000005108305</v>
      </c>
    </row>
    <row r="128" spans="1:40" x14ac:dyDescent="0.25">
      <c r="A128" t="str">
        <f>"20190312150639586"</f>
        <v>20190312150639586</v>
      </c>
      <c r="B128" t="str">
        <f>"1552374399580689"</f>
        <v>1552374399580689</v>
      </c>
      <c r="C128" t="s">
        <v>40</v>
      </c>
      <c r="D128">
        <v>4.7568330000000003</v>
      </c>
      <c r="E128">
        <v>0.56322439999999996</v>
      </c>
      <c r="F128" t="s">
        <v>41</v>
      </c>
      <c r="G128">
        <v>-473.1694</v>
      </c>
      <c r="H128">
        <v>0.89627900000000005</v>
      </c>
      <c r="I128">
        <v>367.07960000000003</v>
      </c>
      <c r="J128">
        <v>-473.82420000000002</v>
      </c>
      <c r="K128">
        <v>1.1089530000000001</v>
      </c>
      <c r="L128">
        <v>367.20549999999997</v>
      </c>
      <c r="M128">
        <v>0.99999309999999997</v>
      </c>
      <c r="N128">
        <v>0</v>
      </c>
      <c r="O128">
        <v>-3.321011E-3</v>
      </c>
      <c r="P128">
        <v>0.99916629999999995</v>
      </c>
      <c r="Q128">
        <v>4.076084E-2</v>
      </c>
      <c r="R128">
        <v>-2.3620009999999999E-3</v>
      </c>
      <c r="S128">
        <v>3.0380250000000002</v>
      </c>
      <c r="T128">
        <v>-0.90371250000000003</v>
      </c>
      <c r="U128">
        <v>-0.53433229999999998</v>
      </c>
      <c r="V128">
        <v>-9.5359150000000001E-4</v>
      </c>
      <c r="W128">
        <v>4.2477050000000002E-2</v>
      </c>
      <c r="X128">
        <v>0.99909700000000001</v>
      </c>
      <c r="Y128">
        <v>0.1632305</v>
      </c>
      <c r="Z128">
        <v>-2.2633360000000002E-2</v>
      </c>
      <c r="AA128">
        <v>0.98632830000000005</v>
      </c>
      <c r="AB128">
        <v>6</v>
      </c>
      <c r="AC128">
        <v>0.65480000000002203</v>
      </c>
      <c r="AD128">
        <v>-0.212674</v>
      </c>
      <c r="AE128">
        <v>-0.125899999999944</v>
      </c>
      <c r="AF128">
        <v>0.112300463577767</v>
      </c>
      <c r="AG128">
        <v>-0.212674</v>
      </c>
      <c r="AH128">
        <v>0.59471463540143998</v>
      </c>
      <c r="AI128">
        <v>109.361311215773</v>
      </c>
      <c r="AJ128">
        <v>79.306700730231796</v>
      </c>
      <c r="AK128">
        <v>0.64150379730477702</v>
      </c>
      <c r="AL128">
        <v>87.5655118730228</v>
      </c>
      <c r="AM128">
        <v>90.054686133316906</v>
      </c>
      <c r="AN128">
        <v>1.00000001226122</v>
      </c>
    </row>
    <row r="129" spans="1:40" x14ac:dyDescent="0.25">
      <c r="A129" t="str">
        <f>"20190312150639599"</f>
        <v>20190312150639599</v>
      </c>
      <c r="B129" t="str">
        <f>"1552374399590448"</f>
        <v>1552374399590448</v>
      </c>
      <c r="C129" t="s">
        <v>40</v>
      </c>
      <c r="D129">
        <v>4.6268149999999997</v>
      </c>
      <c r="E129">
        <v>0.5628746</v>
      </c>
      <c r="F129" t="s">
        <v>41</v>
      </c>
      <c r="G129">
        <v>-473.11020000000002</v>
      </c>
      <c r="H129">
        <v>0.90012689999999995</v>
      </c>
      <c r="I129">
        <v>367.08069999999998</v>
      </c>
      <c r="J129">
        <v>-473.78620000000001</v>
      </c>
      <c r="K129">
        <v>1.1088910000000001</v>
      </c>
      <c r="L129">
        <v>367.2054</v>
      </c>
      <c r="M129">
        <v>0.99999360000000004</v>
      </c>
      <c r="N129">
        <v>0</v>
      </c>
      <c r="O129">
        <v>-3.3466500000000001E-3</v>
      </c>
      <c r="P129">
        <v>0.99915279999999995</v>
      </c>
      <c r="Q129">
        <v>4.1072169999999998E-2</v>
      </c>
      <c r="R129">
        <v>-2.6334420000000002E-3</v>
      </c>
      <c r="S129">
        <v>3.0375369999999999</v>
      </c>
      <c r="T129">
        <v>-0.88838799999999996</v>
      </c>
      <c r="U129">
        <v>-0.53021240000000003</v>
      </c>
      <c r="V129">
        <v>-7.0729359999999999E-4</v>
      </c>
      <c r="W129">
        <v>4.233841E-2</v>
      </c>
      <c r="X129">
        <v>0.99910310000000002</v>
      </c>
      <c r="Y129">
        <v>0.16219510000000001</v>
      </c>
      <c r="Z129">
        <v>-2.2116070000000002E-2</v>
      </c>
      <c r="AA129">
        <v>0.98651080000000002</v>
      </c>
      <c r="AB129">
        <v>6</v>
      </c>
      <c r="AC129">
        <v>0.67599999999998694</v>
      </c>
      <c r="AD129">
        <v>-0.20876410000000001</v>
      </c>
      <c r="AE129">
        <v>-0.124700000000018</v>
      </c>
      <c r="AF129">
        <v>0.112097854747742</v>
      </c>
      <c r="AG129">
        <v>-0.20876410000000001</v>
      </c>
      <c r="AH129">
        <v>0.61929424097871399</v>
      </c>
      <c r="AI129">
        <v>108.35118355725299</v>
      </c>
      <c r="AJ129">
        <v>79.740036907386397</v>
      </c>
      <c r="AK129">
        <v>0.66307898126637799</v>
      </c>
      <c r="AL129">
        <v>87.573462537952295</v>
      </c>
      <c r="AM129">
        <v>90.040561310826405</v>
      </c>
      <c r="AN129">
        <v>1.00000002282758</v>
      </c>
    </row>
    <row r="130" spans="1:40" x14ac:dyDescent="0.25">
      <c r="A130" t="str">
        <f>"20190312150639610"</f>
        <v>20190312150639610</v>
      </c>
      <c r="B130" t="str">
        <f>"1552374399601184"</f>
        <v>1552374399601184</v>
      </c>
      <c r="C130" t="s">
        <v>40</v>
      </c>
      <c r="D130">
        <v>4.5698259999999999</v>
      </c>
      <c r="E130">
        <v>0.56253960000000003</v>
      </c>
      <c r="F130" t="s">
        <v>41</v>
      </c>
      <c r="G130">
        <v>-473.10570000000001</v>
      </c>
      <c r="H130">
        <v>0.91181769999999995</v>
      </c>
      <c r="I130">
        <v>367.08690000000001</v>
      </c>
      <c r="J130">
        <v>-473.75380000000001</v>
      </c>
      <c r="K130">
        <v>1.109003</v>
      </c>
      <c r="L130">
        <v>367.20519999999999</v>
      </c>
      <c r="M130">
        <v>0.99999329999999997</v>
      </c>
      <c r="N130">
        <v>0</v>
      </c>
      <c r="O130">
        <v>-3.3663270000000001E-3</v>
      </c>
      <c r="P130">
        <v>0.99916729999999998</v>
      </c>
      <c r="Q130">
        <v>4.0709500000000003E-2</v>
      </c>
      <c r="R130">
        <v>-2.7225980000000001E-3</v>
      </c>
      <c r="S130">
        <v>3.0372620000000001</v>
      </c>
      <c r="T130">
        <v>-0.87951480000000004</v>
      </c>
      <c r="U130">
        <v>-0.52795409999999998</v>
      </c>
      <c r="V130">
        <v>-6.3821919999999897E-4</v>
      </c>
      <c r="W130">
        <v>4.2154520000000001E-2</v>
      </c>
      <c r="X130">
        <v>0.99911090000000002</v>
      </c>
      <c r="Y130">
        <v>0.1616262</v>
      </c>
      <c r="Z130">
        <v>-2.1821239999999999E-2</v>
      </c>
      <c r="AA130">
        <v>0.98661080000000001</v>
      </c>
      <c r="AB130">
        <v>6</v>
      </c>
      <c r="AC130">
        <v>0.64809999999999901</v>
      </c>
      <c r="AD130">
        <v>-0.19718529999999901</v>
      </c>
      <c r="AE130">
        <v>-0.11829999999997599</v>
      </c>
      <c r="AF130">
        <v>0.106570583558647</v>
      </c>
      <c r="AG130">
        <v>-0.19718529999999901</v>
      </c>
      <c r="AH130">
        <v>0.59517624974502004</v>
      </c>
      <c r="AI130">
        <v>108.062133653705</v>
      </c>
      <c r="AJ130">
        <v>79.848358916180601</v>
      </c>
      <c r="AK130">
        <v>0.63598278284609799</v>
      </c>
      <c r="AL130">
        <v>87.584008019951497</v>
      </c>
      <c r="AM130">
        <v>90.036599802474797</v>
      </c>
      <c r="AN130">
        <v>1.00000000068949</v>
      </c>
    </row>
    <row r="131" spans="1:40" x14ac:dyDescent="0.25">
      <c r="A131" t="str">
        <f>"20190312150639622"</f>
        <v>20190312150639622</v>
      </c>
      <c r="B131" t="str">
        <f>"1552374399610945"</f>
        <v>1552374399610945</v>
      </c>
      <c r="C131" t="s">
        <v>40</v>
      </c>
      <c r="D131">
        <v>4.4142789999999996</v>
      </c>
      <c r="E131">
        <v>0.56220969999999904</v>
      </c>
      <c r="F131" t="s">
        <v>41</v>
      </c>
      <c r="G131">
        <v>-473.053</v>
      </c>
      <c r="H131">
        <v>0.90759210000000001</v>
      </c>
      <c r="I131">
        <v>367.0838</v>
      </c>
      <c r="J131">
        <v>-473.7217</v>
      </c>
      <c r="K131">
        <v>1.109232</v>
      </c>
      <c r="L131">
        <v>367.20510000000002</v>
      </c>
      <c r="M131">
        <v>0.99999229999999995</v>
      </c>
      <c r="N131">
        <v>0</v>
      </c>
      <c r="O131">
        <v>-3.3846269999999999E-3</v>
      </c>
      <c r="P131">
        <v>0.99920220000000004</v>
      </c>
      <c r="Q131">
        <v>3.982484E-2</v>
      </c>
      <c r="R131">
        <v>-3.0221409999999999E-3</v>
      </c>
      <c r="S131">
        <v>3.036591</v>
      </c>
      <c r="T131">
        <v>-0.87269819999999998</v>
      </c>
      <c r="U131">
        <v>-0.52496339999999997</v>
      </c>
      <c r="V131">
        <v>-3.5713949999999998E-4</v>
      </c>
      <c r="W131">
        <v>4.186819E-2</v>
      </c>
      <c r="X131">
        <v>0.99912310000000004</v>
      </c>
      <c r="Y131">
        <v>0.16082550000000001</v>
      </c>
      <c r="Z131">
        <v>-2.1547710000000001E-2</v>
      </c>
      <c r="AA131">
        <v>0.98674759999999995</v>
      </c>
      <c r="AB131">
        <v>6</v>
      </c>
      <c r="AC131">
        <v>0.66869999999994401</v>
      </c>
      <c r="AD131">
        <v>-0.20163990000000001</v>
      </c>
      <c r="AE131">
        <v>-0.121300000000019</v>
      </c>
      <c r="AF131">
        <v>0.109405086179617</v>
      </c>
      <c r="AG131">
        <v>-0.20163990000000001</v>
      </c>
      <c r="AH131">
        <v>0.61497092132691</v>
      </c>
      <c r="AI131">
        <v>107.890939332267</v>
      </c>
      <c r="AJ131">
        <v>79.912455000687302</v>
      </c>
      <c r="AK131">
        <v>0.65636678483272404</v>
      </c>
      <c r="AL131">
        <v>87.600428065781699</v>
      </c>
      <c r="AM131">
        <v>90.020480544565402</v>
      </c>
      <c r="AN131">
        <v>1.00000002091805</v>
      </c>
    </row>
    <row r="132" spans="1:40" x14ac:dyDescent="0.25">
      <c r="A132" t="str">
        <f>"20190312150639635"</f>
        <v>20190312150639635</v>
      </c>
      <c r="B132" t="str">
        <f>"1552374399630464"</f>
        <v>1552374399630464</v>
      </c>
      <c r="C132" t="s">
        <v>40</v>
      </c>
      <c r="D132">
        <v>4.5803060000000002</v>
      </c>
      <c r="E132">
        <v>0.56252829999999998</v>
      </c>
      <c r="F132" t="s">
        <v>41</v>
      </c>
      <c r="G132">
        <v>-473.04930000000002</v>
      </c>
      <c r="H132">
        <v>0.91696429999999995</v>
      </c>
      <c r="I132">
        <v>367.089</v>
      </c>
      <c r="J132">
        <v>-473.69170000000003</v>
      </c>
      <c r="K132">
        <v>1.1095469999999901</v>
      </c>
      <c r="L132">
        <v>367.20499999999998</v>
      </c>
      <c r="M132">
        <v>0.99998960000000003</v>
      </c>
      <c r="N132">
        <v>0</v>
      </c>
      <c r="O132">
        <v>-3.400143E-3</v>
      </c>
      <c r="P132">
        <v>0.99924380000000002</v>
      </c>
      <c r="Q132">
        <v>3.8760429999999998E-2</v>
      </c>
      <c r="R132">
        <v>-3.1215380000000001E-3</v>
      </c>
      <c r="S132">
        <v>3.0353699999999999</v>
      </c>
      <c r="T132">
        <v>-0.86795619999999996</v>
      </c>
      <c r="U132">
        <v>-0.52288820000000003</v>
      </c>
      <c r="V132">
        <v>-2.737668E-4</v>
      </c>
      <c r="W132">
        <v>4.1827219999999998E-2</v>
      </c>
      <c r="X132">
        <v>0.99912480000000004</v>
      </c>
      <c r="Y132">
        <v>0.1603029</v>
      </c>
      <c r="Z132">
        <v>-2.136733E-2</v>
      </c>
      <c r="AA132">
        <v>0.98683659999999995</v>
      </c>
      <c r="AB132">
        <v>6</v>
      </c>
      <c r="AC132">
        <v>0.64240000000000896</v>
      </c>
      <c r="AD132">
        <v>-0.192582699999999</v>
      </c>
      <c r="AE132">
        <v>-0.115999999999985</v>
      </c>
      <c r="AF132">
        <v>0.10470240554410901</v>
      </c>
      <c r="AG132">
        <v>-0.192582699999999</v>
      </c>
      <c r="AH132">
        <v>0.59132533635419904</v>
      </c>
      <c r="AI132">
        <v>107.78060235166799</v>
      </c>
      <c r="AJ132">
        <v>79.959052643315701</v>
      </c>
      <c r="AK132">
        <v>0.63064755884758605</v>
      </c>
      <c r="AL132">
        <v>87.602777430511495</v>
      </c>
      <c r="AM132">
        <v>90.015699421952306</v>
      </c>
      <c r="AN132">
        <v>0.99999997862811396</v>
      </c>
    </row>
    <row r="133" spans="1:40" x14ac:dyDescent="0.25">
      <c r="A133" t="str">
        <f>"20190312150639652"</f>
        <v>20190312150639652</v>
      </c>
      <c r="B133" t="str">
        <f>"1552374399641200"</f>
        <v>1552374399641200</v>
      </c>
      <c r="C133" t="s">
        <v>40</v>
      </c>
      <c r="D133">
        <v>4.6720969999999999</v>
      </c>
      <c r="E133">
        <v>0.56270189999999998</v>
      </c>
      <c r="F133" t="s">
        <v>41</v>
      </c>
      <c r="G133">
        <v>-473.00069999999999</v>
      </c>
      <c r="H133">
        <v>0.91036189999999995</v>
      </c>
      <c r="I133">
        <v>367.08510000000001</v>
      </c>
      <c r="J133">
        <v>-473.64400000000001</v>
      </c>
      <c r="K133">
        <v>1.109931</v>
      </c>
      <c r="L133">
        <v>367.20479999999998</v>
      </c>
      <c r="M133">
        <v>0.99998419999999999</v>
      </c>
      <c r="N133">
        <v>0</v>
      </c>
      <c r="O133">
        <v>-3.419998E-3</v>
      </c>
      <c r="P133">
        <v>0.99929979999999996</v>
      </c>
      <c r="Q133">
        <v>3.7266250000000001E-2</v>
      </c>
      <c r="R133">
        <v>-3.3844270000000002E-3</v>
      </c>
      <c r="S133">
        <v>3.034637</v>
      </c>
      <c r="T133">
        <v>-0.87487909999999902</v>
      </c>
      <c r="U133">
        <v>-0.52584839999999999</v>
      </c>
      <c r="V133" s="1">
        <v>-3.1233209999999998E-5</v>
      </c>
      <c r="W133">
        <v>4.174862E-2</v>
      </c>
      <c r="X133">
        <v>0.99912820000000002</v>
      </c>
      <c r="Y133">
        <v>0.16112839999999901</v>
      </c>
      <c r="Z133">
        <v>-2.1644730000000001E-2</v>
      </c>
      <c r="AA133">
        <v>0.98669609999999996</v>
      </c>
      <c r="AB133">
        <v>6</v>
      </c>
      <c r="AC133">
        <v>0.64330000000000997</v>
      </c>
      <c r="AD133">
        <v>-0.199569099999999</v>
      </c>
      <c r="AE133">
        <v>-0.119699999999966</v>
      </c>
      <c r="AF133">
        <v>0.107499558027648</v>
      </c>
      <c r="AG133">
        <v>-0.199569099999999</v>
      </c>
      <c r="AH133">
        <v>0.588923780720916</v>
      </c>
      <c r="AI133">
        <v>108.43646088216499</v>
      </c>
      <c r="AJ133">
        <v>79.655368666033198</v>
      </c>
      <c r="AK133">
        <v>0.63104294635909497</v>
      </c>
      <c r="AL133">
        <v>87.607284996851604</v>
      </c>
      <c r="AM133">
        <v>90.001791092587496</v>
      </c>
      <c r="AN133">
        <v>1.0000000541413201</v>
      </c>
    </row>
    <row r="134" spans="1:40" x14ac:dyDescent="0.25">
      <c r="A134" t="str">
        <f>"20190312150639665"</f>
        <v>20190312150639665</v>
      </c>
      <c r="B134" t="str">
        <f>"1552374399660720"</f>
        <v>1552374399660720</v>
      </c>
      <c r="C134" t="s">
        <v>40</v>
      </c>
      <c r="D134">
        <v>4.3927459999999998</v>
      </c>
      <c r="E134">
        <v>0.56269969999999903</v>
      </c>
      <c r="F134" t="s">
        <v>41</v>
      </c>
      <c r="G134">
        <v>-472.94959999999998</v>
      </c>
      <c r="H134">
        <v>0.90799830000000004</v>
      </c>
      <c r="I134">
        <v>367.08330000000001</v>
      </c>
      <c r="J134">
        <v>-473.61320000000001</v>
      </c>
      <c r="K134">
        <v>1.1100749999999999</v>
      </c>
      <c r="L134">
        <v>367.20460000000003</v>
      </c>
      <c r="M134">
        <v>0.99998100000000001</v>
      </c>
      <c r="N134">
        <v>0</v>
      </c>
      <c r="O134">
        <v>-3.4296750000000001E-3</v>
      </c>
      <c r="P134">
        <v>0.9993303</v>
      </c>
      <c r="Q134">
        <v>3.6434840000000003E-2</v>
      </c>
      <c r="R134">
        <v>-3.4011570000000001E-3</v>
      </c>
      <c r="S134">
        <v>3.0332340000000002</v>
      </c>
      <c r="T134">
        <v>-0.8819709</v>
      </c>
      <c r="U134">
        <v>-0.52795409999999998</v>
      </c>
      <c r="V134" s="1">
        <v>-2.4381619999999998E-5</v>
      </c>
      <c r="W134">
        <v>4.1570429999999998E-2</v>
      </c>
      <c r="X134">
        <v>0.99913560000000001</v>
      </c>
      <c r="Y134">
        <v>0.1617323</v>
      </c>
      <c r="Z134">
        <v>-2.1904400000000001E-2</v>
      </c>
      <c r="AA134">
        <v>0.98659149999999995</v>
      </c>
      <c r="AB134">
        <v>6</v>
      </c>
      <c r="AC134">
        <v>0.66360000000003005</v>
      </c>
      <c r="AD134">
        <v>-0.202076699999999</v>
      </c>
      <c r="AE134">
        <v>-0.121300000000019</v>
      </c>
      <c r="AF134">
        <v>0.109222592641327</v>
      </c>
      <c r="AG134">
        <v>-0.202076699999999</v>
      </c>
      <c r="AH134">
        <v>0.60933540456600099</v>
      </c>
      <c r="AI134">
        <v>108.078334860608</v>
      </c>
      <c r="AJ134">
        <v>79.837725891156794</v>
      </c>
      <c r="AK134">
        <v>0.65119444306888496</v>
      </c>
      <c r="AL134">
        <v>87.617503330878705</v>
      </c>
      <c r="AM134">
        <v>90.001398172503698</v>
      </c>
      <c r="AN134">
        <v>1.0000000242161</v>
      </c>
    </row>
    <row r="135" spans="1:40" x14ac:dyDescent="0.25">
      <c r="A135" t="str">
        <f>"20190312150639677"</f>
        <v>20190312150639677</v>
      </c>
      <c r="B135" t="str">
        <f>"1552374399670481"</f>
        <v>1552374399670481</v>
      </c>
      <c r="C135" t="s">
        <v>40</v>
      </c>
      <c r="D135">
        <v>4.5682289999999997</v>
      </c>
      <c r="E135">
        <v>0.56282259999999995</v>
      </c>
      <c r="F135" t="s">
        <v>41</v>
      </c>
      <c r="G135">
        <v>-472.89600000000002</v>
      </c>
      <c r="H135">
        <v>0.9005476</v>
      </c>
      <c r="I135">
        <v>367.07960000000003</v>
      </c>
      <c r="J135">
        <v>-473.57729999999998</v>
      </c>
      <c r="K135">
        <v>1.10995</v>
      </c>
      <c r="L135">
        <v>367.2045</v>
      </c>
      <c r="M135">
        <v>0.99998189999999998</v>
      </c>
      <c r="N135">
        <v>0</v>
      </c>
      <c r="O135">
        <v>-3.4428729999999999E-3</v>
      </c>
      <c r="P135">
        <v>0.99931910000000002</v>
      </c>
      <c r="Q135">
        <v>3.6734309999999999E-2</v>
      </c>
      <c r="R135">
        <v>-3.4848280000000001E-3</v>
      </c>
      <c r="S135">
        <v>3.032562</v>
      </c>
      <c r="T135">
        <v>-0.88596839999999999</v>
      </c>
      <c r="U135">
        <v>-0.52752690000000002</v>
      </c>
      <c r="V135" s="1">
        <v>4.5941649999999997E-5</v>
      </c>
      <c r="W135">
        <v>4.1668570000000002E-2</v>
      </c>
      <c r="X135">
        <v>0.99913149999999995</v>
      </c>
      <c r="Y135">
        <v>0.16156879999999901</v>
      </c>
      <c r="Z135">
        <v>-2.1977670000000001E-2</v>
      </c>
      <c r="AA135">
        <v>0.98661670000000001</v>
      </c>
      <c r="AB135">
        <v>6</v>
      </c>
      <c r="AC135">
        <v>0.681300000000021</v>
      </c>
      <c r="AD135">
        <v>-0.20940239999999999</v>
      </c>
      <c r="AE135">
        <v>-0.12489999999996799</v>
      </c>
      <c r="AF135">
        <v>0.112290611035969</v>
      </c>
      <c r="AG135">
        <v>-0.20940239999999999</v>
      </c>
      <c r="AH135">
        <v>0.62463628943808802</v>
      </c>
      <c r="AI135">
        <v>108.26029657627301</v>
      </c>
      <c r="AJ135">
        <v>79.808813883540097</v>
      </c>
      <c r="AK135">
        <v>0.66830310528649695</v>
      </c>
      <c r="AL135">
        <v>87.611875420189804</v>
      </c>
      <c r="AM135">
        <v>89.997365449245606</v>
      </c>
      <c r="AN135">
        <v>1.00000001306436</v>
      </c>
    </row>
    <row r="136" spans="1:40" x14ac:dyDescent="0.25">
      <c r="A136" t="str">
        <f>"20190312150639690"</f>
        <v>20190312150639690</v>
      </c>
      <c r="B136" t="str">
        <f>"1552374399681217"</f>
        <v>1552374399681217</v>
      </c>
      <c r="C136" t="s">
        <v>40</v>
      </c>
      <c r="D136">
        <v>4.3951250000000002</v>
      </c>
      <c r="E136">
        <v>0.562662199999999</v>
      </c>
      <c r="F136" t="s">
        <v>41</v>
      </c>
      <c r="G136">
        <v>-472.89240000000001</v>
      </c>
      <c r="H136">
        <v>0.90973660000000001</v>
      </c>
      <c r="I136">
        <v>367.08479999999997</v>
      </c>
      <c r="J136">
        <v>-473.5419</v>
      </c>
      <c r="K136">
        <v>1.109802</v>
      </c>
      <c r="L136">
        <v>367.20429999999999</v>
      </c>
      <c r="M136">
        <v>0.99998350000000003</v>
      </c>
      <c r="N136">
        <v>0</v>
      </c>
      <c r="O136">
        <v>-3.45759E-3</v>
      </c>
      <c r="P136">
        <v>0.99930629999999998</v>
      </c>
      <c r="Q136">
        <v>3.7062379999999999E-2</v>
      </c>
      <c r="R136">
        <v>-3.6712189999999999E-3</v>
      </c>
      <c r="S136">
        <v>3.0327760000000001</v>
      </c>
      <c r="T136">
        <v>-0.88644609999999902</v>
      </c>
      <c r="U136">
        <v>-0.52868649999999995</v>
      </c>
      <c r="V136">
        <v>2.1781409999999999E-4</v>
      </c>
      <c r="W136">
        <v>4.1672380000000002E-2</v>
      </c>
      <c r="X136">
        <v>0.99913129999999994</v>
      </c>
      <c r="Y136">
        <v>0.1618908</v>
      </c>
      <c r="Z136">
        <v>-2.2028510000000001E-2</v>
      </c>
      <c r="AA136">
        <v>0.98656279999999996</v>
      </c>
      <c r="AB136">
        <v>6</v>
      </c>
      <c r="AC136">
        <v>0.64949999999998898</v>
      </c>
      <c r="AD136">
        <v>-0.20006539999999901</v>
      </c>
      <c r="AE136">
        <v>-0.119500000000016</v>
      </c>
      <c r="AF136">
        <v>0.10739711617232001</v>
      </c>
      <c r="AG136">
        <v>-0.20006539999999901</v>
      </c>
      <c r="AH136">
        <v>0.59527733397002103</v>
      </c>
      <c r="AI136">
        <v>108.301527329286</v>
      </c>
      <c r="AJ136">
        <v>79.772981880412601</v>
      </c>
      <c r="AK136">
        <v>0.63711491049711499</v>
      </c>
      <c r="AL136">
        <v>87.611656889536604</v>
      </c>
      <c r="AM136">
        <v>89.987509320896294</v>
      </c>
      <c r="AN136">
        <v>0.99999999466876799</v>
      </c>
    </row>
    <row r="137" spans="1:40" x14ac:dyDescent="0.25">
      <c r="A137" t="str">
        <f>"20190312150639702"</f>
        <v>20190312150639702</v>
      </c>
      <c r="B137" t="str">
        <f>"1552374399690977"</f>
        <v>1552374399690977</v>
      </c>
      <c r="C137" t="s">
        <v>40</v>
      </c>
      <c r="D137">
        <v>4.4367760000000001</v>
      </c>
      <c r="E137">
        <v>0.56251859999999998</v>
      </c>
      <c r="F137" t="s">
        <v>41</v>
      </c>
      <c r="G137">
        <v>-472.83499999999998</v>
      </c>
      <c r="H137">
        <v>0.90389909999999996</v>
      </c>
      <c r="I137">
        <v>367.08109999999999</v>
      </c>
      <c r="J137">
        <v>-473.50400000000002</v>
      </c>
      <c r="K137">
        <v>1.109613</v>
      </c>
      <c r="L137">
        <v>367.20420000000001</v>
      </c>
      <c r="M137">
        <v>0.99998560000000003</v>
      </c>
      <c r="N137">
        <v>0</v>
      </c>
      <c r="O137">
        <v>-3.4749590000000001E-3</v>
      </c>
      <c r="P137">
        <v>0.99929089999999998</v>
      </c>
      <c r="Q137">
        <v>3.7475139999999997E-2</v>
      </c>
      <c r="R137">
        <v>-3.718009E-3</v>
      </c>
      <c r="S137">
        <v>3.0328979999999999</v>
      </c>
      <c r="T137">
        <v>-0.88350049999999902</v>
      </c>
      <c r="U137">
        <v>-0.52731319999999904</v>
      </c>
      <c r="V137">
        <v>2.473113E-4</v>
      </c>
      <c r="W137">
        <v>4.1579480000000002E-2</v>
      </c>
      <c r="X137">
        <v>0.9991352</v>
      </c>
      <c r="Y137">
        <v>0.161492</v>
      </c>
      <c r="Z137">
        <v>-2.1896700000000002E-2</v>
      </c>
      <c r="AA137">
        <v>0.98663109999999998</v>
      </c>
      <c r="AB137">
        <v>6</v>
      </c>
      <c r="AC137">
        <v>0.66900000000003901</v>
      </c>
      <c r="AD137">
        <v>-0.20571390000000001</v>
      </c>
      <c r="AE137">
        <v>-0.123100000000022</v>
      </c>
      <c r="AF137">
        <v>0.110654434429763</v>
      </c>
      <c r="AG137">
        <v>-0.20571390000000001</v>
      </c>
      <c r="AH137">
        <v>0.613330717372089</v>
      </c>
      <c r="AI137">
        <v>108.26679598202099</v>
      </c>
      <c r="AJ137">
        <v>79.772962667573196</v>
      </c>
      <c r="AK137">
        <v>0.65630570726174697</v>
      </c>
      <c r="AL137">
        <v>87.616984371786899</v>
      </c>
      <c r="AM137">
        <v>89.985817841843101</v>
      </c>
      <c r="AN137">
        <v>1.0000000310994901</v>
      </c>
    </row>
    <row r="138" spans="1:40" x14ac:dyDescent="0.25">
      <c r="A138" t="str">
        <f>"20190312150639722"</f>
        <v>20190312150639722</v>
      </c>
      <c r="B138" t="str">
        <f>"1552374399710499"</f>
        <v>1552374399710499</v>
      </c>
      <c r="C138" t="s">
        <v>40</v>
      </c>
      <c r="D138">
        <v>4.6394840000000004</v>
      </c>
      <c r="E138">
        <v>0.5622123</v>
      </c>
      <c r="F138" t="s">
        <v>41</v>
      </c>
      <c r="G138">
        <v>-472.83100000000002</v>
      </c>
      <c r="H138">
        <v>0.91415119999999905</v>
      </c>
      <c r="I138">
        <v>367.08710000000002</v>
      </c>
      <c r="J138">
        <v>-473.44470000000001</v>
      </c>
      <c r="K138">
        <v>1.1093949999999999</v>
      </c>
      <c r="L138">
        <v>367.20400000000001</v>
      </c>
      <c r="M138">
        <v>0.99998799999999999</v>
      </c>
      <c r="N138">
        <v>0</v>
      </c>
      <c r="O138">
        <v>-3.5041149999999999E-3</v>
      </c>
      <c r="P138">
        <v>0.99927379999999999</v>
      </c>
      <c r="Q138">
        <v>3.788793E-2</v>
      </c>
      <c r="R138">
        <v>-4.0905009999999999E-3</v>
      </c>
      <c r="S138">
        <v>3.0332029999999999</v>
      </c>
      <c r="T138">
        <v>-0.88098080000000001</v>
      </c>
      <c r="U138">
        <v>-0.52642819999999901</v>
      </c>
      <c r="V138">
        <v>5.90914E-4</v>
      </c>
      <c r="W138">
        <v>4.1337449999999998E-2</v>
      </c>
      <c r="X138">
        <v>0.99914510000000001</v>
      </c>
      <c r="Y138">
        <v>0.16121579999999999</v>
      </c>
      <c r="Z138">
        <v>-2.1787859999999999E-2</v>
      </c>
      <c r="AA138">
        <v>0.98667870000000002</v>
      </c>
      <c r="AB138">
        <v>6</v>
      </c>
      <c r="AC138">
        <v>0.61370000000005098</v>
      </c>
      <c r="AD138">
        <v>-0.1952438</v>
      </c>
      <c r="AE138">
        <v>-0.116899999999986</v>
      </c>
      <c r="AF138">
        <v>0.104538469785989</v>
      </c>
      <c r="AG138">
        <v>-0.1952438</v>
      </c>
      <c r="AH138">
        <v>0.55946284981655203</v>
      </c>
      <c r="AI138">
        <v>108.934380491209</v>
      </c>
      <c r="AJ138">
        <v>79.416045708831703</v>
      </c>
      <c r="AK138">
        <v>0.60170350956969998</v>
      </c>
      <c r="AL138">
        <v>87.630863604964404</v>
      </c>
      <c r="AM138">
        <v>89.966114156684796</v>
      </c>
      <c r="AN138">
        <v>1.0000000324029299</v>
      </c>
    </row>
    <row r="139" spans="1:40" x14ac:dyDescent="0.25">
      <c r="A139" t="str">
        <f>"20190312150639736"</f>
        <v>20190312150639736</v>
      </c>
      <c r="B139" t="str">
        <f>"1552374399730992"</f>
        <v>1552374399730992</v>
      </c>
      <c r="C139" t="s">
        <v>40</v>
      </c>
      <c r="D139">
        <v>4.4425749999999997</v>
      </c>
      <c r="E139">
        <v>0.56182480000000001</v>
      </c>
      <c r="F139" t="s">
        <v>41</v>
      </c>
      <c r="G139">
        <v>-472.76909999999998</v>
      </c>
      <c r="H139">
        <v>0.91489799999999999</v>
      </c>
      <c r="I139">
        <v>367.08679999999998</v>
      </c>
      <c r="J139">
        <v>-473.39879999999999</v>
      </c>
      <c r="K139">
        <v>1.1092900000000001</v>
      </c>
      <c r="L139">
        <v>367.2038</v>
      </c>
      <c r="M139">
        <v>0.99998920000000002</v>
      </c>
      <c r="N139">
        <v>0</v>
      </c>
      <c r="O139">
        <v>-3.5287560000000001E-3</v>
      </c>
      <c r="P139">
        <v>0.99926009999999998</v>
      </c>
      <c r="Q139">
        <v>3.8231370000000001E-2</v>
      </c>
      <c r="R139">
        <v>-4.2159850000000002E-3</v>
      </c>
      <c r="S139">
        <v>3.0332029999999999</v>
      </c>
      <c r="T139">
        <v>-0.87316329999999998</v>
      </c>
      <c r="U139">
        <v>-0.52484129999999996</v>
      </c>
      <c r="V139">
        <v>6.9206330000000003E-4</v>
      </c>
      <c r="W139">
        <v>4.129505E-2</v>
      </c>
      <c r="X139">
        <v>0.9991468</v>
      </c>
      <c r="Y139">
        <v>0.16081609999999999</v>
      </c>
      <c r="Z139">
        <v>-2.1539949999999999E-2</v>
      </c>
      <c r="AA139">
        <v>0.98674930000000005</v>
      </c>
      <c r="AB139">
        <v>7</v>
      </c>
      <c r="AC139">
        <v>0.62970000000001303</v>
      </c>
      <c r="AD139">
        <v>-0.19439199999999901</v>
      </c>
      <c r="AE139">
        <v>-0.11700000000001801</v>
      </c>
      <c r="AF139">
        <v>0.105095873316852</v>
      </c>
      <c r="AG139">
        <v>-0.19439199999999901</v>
      </c>
      <c r="AH139">
        <v>0.57695995187342997</v>
      </c>
      <c r="AI139">
        <v>108.33882739395401</v>
      </c>
      <c r="AJ139">
        <v>79.676499559311196</v>
      </c>
      <c r="AK139">
        <v>0.61783183660120899</v>
      </c>
      <c r="AL139">
        <v>87.633295049606701</v>
      </c>
      <c r="AM139">
        <v>89.960313839863602</v>
      </c>
      <c r="AN139">
        <v>1.00000004402817</v>
      </c>
    </row>
    <row r="140" spans="1:40" x14ac:dyDescent="0.25">
      <c r="A140" t="str">
        <f>"20190312150639755"</f>
        <v>20190312150639755</v>
      </c>
      <c r="B140" t="str">
        <f>"1552374399750512"</f>
        <v>1552374399750512</v>
      </c>
      <c r="C140" t="s">
        <v>40</v>
      </c>
      <c r="D140">
        <v>4.4574699999999998</v>
      </c>
      <c r="E140">
        <v>0.56149230000000006</v>
      </c>
      <c r="F140" t="s">
        <v>41</v>
      </c>
      <c r="G140">
        <v>-472.70690000000002</v>
      </c>
      <c r="H140">
        <v>0.91235140000000003</v>
      </c>
      <c r="I140">
        <v>367.08440000000002</v>
      </c>
      <c r="J140">
        <v>-473.34010000000001</v>
      </c>
      <c r="K140">
        <v>1.1091770000000001</v>
      </c>
      <c r="L140">
        <v>367.20359999999999</v>
      </c>
      <c r="M140">
        <v>0.9999903</v>
      </c>
      <c r="N140">
        <v>0</v>
      </c>
      <c r="O140">
        <v>-3.5613799999999998E-3</v>
      </c>
      <c r="P140">
        <v>0.99925350000000002</v>
      </c>
      <c r="Q140">
        <v>3.8392160000000002E-2</v>
      </c>
      <c r="R140">
        <v>-4.3414909999999899E-3</v>
      </c>
      <c r="S140">
        <v>3.0330509999999999</v>
      </c>
      <c r="T140">
        <v>-0.86339909999999997</v>
      </c>
      <c r="U140">
        <v>-0.52188109999999999</v>
      </c>
      <c r="V140">
        <v>7.8508460000000001E-4</v>
      </c>
      <c r="W140">
        <v>4.1012050000000001E-2</v>
      </c>
      <c r="X140">
        <v>0.99915830000000005</v>
      </c>
      <c r="Y140">
        <v>0.16002249999999901</v>
      </c>
      <c r="Z140">
        <v>-2.1191789999999999E-2</v>
      </c>
      <c r="AA140">
        <v>0.98688580000000004</v>
      </c>
      <c r="AB140">
        <v>7</v>
      </c>
      <c r="AC140">
        <v>0.633199999999987</v>
      </c>
      <c r="AD140">
        <v>-0.19682559999999999</v>
      </c>
      <c r="AE140">
        <v>-0.119199999999978</v>
      </c>
      <c r="AF140">
        <v>0.106962804534721</v>
      </c>
      <c r="AG140">
        <v>-0.19682559999999999</v>
      </c>
      <c r="AH140">
        <v>0.57954001083333095</v>
      </c>
      <c r="AI140">
        <v>108.468444640874</v>
      </c>
      <c r="AJ140">
        <v>79.542882376866004</v>
      </c>
      <c r="AK140">
        <v>0.62132759678449001</v>
      </c>
      <c r="AL140">
        <v>87.649523296969406</v>
      </c>
      <c r="AM140">
        <v>89.954980081851403</v>
      </c>
      <c r="AN140">
        <v>0.99999995653095897</v>
      </c>
    </row>
    <row r="141" spans="1:40" x14ac:dyDescent="0.25">
      <c r="A141" t="str">
        <f>"20190312150639776"</f>
        <v>20190312150639776</v>
      </c>
      <c r="B141" t="str">
        <f>"1552374399771009"</f>
        <v>1552374399771009</v>
      </c>
      <c r="C141" t="s">
        <v>40</v>
      </c>
      <c r="D141">
        <v>4.4739230000000001</v>
      </c>
      <c r="E141">
        <v>0.56124219999999903</v>
      </c>
      <c r="F141" t="s">
        <v>41</v>
      </c>
      <c r="G141">
        <v>-472.64159999999998</v>
      </c>
      <c r="H141">
        <v>0.91210869999999999</v>
      </c>
      <c r="I141">
        <v>367.08350000000002</v>
      </c>
      <c r="J141">
        <v>-473.26900000000001</v>
      </c>
      <c r="K141">
        <v>1.1090519999999999</v>
      </c>
      <c r="L141">
        <v>367.20319999999998</v>
      </c>
      <c r="M141">
        <v>0.99999139999999997</v>
      </c>
      <c r="N141">
        <v>0</v>
      </c>
      <c r="O141">
        <v>-3.6030279999999999E-3</v>
      </c>
      <c r="P141">
        <v>0.99922829999999996</v>
      </c>
      <c r="Q141">
        <v>3.903939E-2</v>
      </c>
      <c r="R141">
        <v>-4.3231830000000004E-3</v>
      </c>
      <c r="S141">
        <v>3.0328369999999998</v>
      </c>
      <c r="T141">
        <v>-0.85550280000000001</v>
      </c>
      <c r="U141">
        <v>-0.51995849999999999</v>
      </c>
      <c r="V141">
        <v>7.2552529999999997E-4</v>
      </c>
      <c r="W141">
        <v>4.1092570000000002E-2</v>
      </c>
      <c r="X141">
        <v>0.99915509999999996</v>
      </c>
      <c r="Y141">
        <v>0.1595126</v>
      </c>
      <c r="Z141">
        <v>-2.09261E-2</v>
      </c>
      <c r="AA141">
        <v>0.98697409999999997</v>
      </c>
      <c r="AB141">
        <v>7</v>
      </c>
      <c r="AC141">
        <v>0.62740000000002205</v>
      </c>
      <c r="AD141">
        <v>-0.19694329999999999</v>
      </c>
      <c r="AE141">
        <v>-0.119699999999966</v>
      </c>
      <c r="AF141">
        <v>0.107242595139522</v>
      </c>
      <c r="AG141">
        <v>-0.19694329999999999</v>
      </c>
      <c r="AH141">
        <v>0.57331894620420698</v>
      </c>
      <c r="AI141">
        <v>108.657658515119</v>
      </c>
      <c r="AJ141">
        <v>79.404936885230597</v>
      </c>
      <c r="AK141">
        <v>0.61561534394770601</v>
      </c>
      <c r="AL141">
        <v>87.644906097201499</v>
      </c>
      <c r="AM141">
        <v>89.958395317890293</v>
      </c>
      <c r="AN141">
        <v>1.0000000197760801</v>
      </c>
    </row>
    <row r="142" spans="1:40" x14ac:dyDescent="0.25">
      <c r="A142" t="str">
        <f>"20190312150639788"</f>
        <v>20190312150639788</v>
      </c>
      <c r="B142" t="str">
        <f>"1552374399780769"</f>
        <v>1552374399780769</v>
      </c>
      <c r="C142" t="s">
        <v>40</v>
      </c>
      <c r="D142">
        <v>4.7323969999999997</v>
      </c>
      <c r="E142">
        <v>0.56114509999999995</v>
      </c>
      <c r="F142" t="s">
        <v>41</v>
      </c>
      <c r="G142">
        <v>-472.57279999999997</v>
      </c>
      <c r="H142">
        <v>0.91457920000000004</v>
      </c>
      <c r="I142">
        <v>367.08390000000003</v>
      </c>
      <c r="J142">
        <v>-473.22449999999998</v>
      </c>
      <c r="K142">
        <v>1.1089690000000001</v>
      </c>
      <c r="L142">
        <v>367.20299999999997</v>
      </c>
      <c r="M142">
        <v>0.99999210000000005</v>
      </c>
      <c r="N142">
        <v>0</v>
      </c>
      <c r="O142">
        <v>-3.6295949999999998E-3</v>
      </c>
      <c r="P142">
        <v>0.99921420000000005</v>
      </c>
      <c r="Q142">
        <v>3.9412709999999997E-2</v>
      </c>
      <c r="R142">
        <v>-4.2237170000000001E-3</v>
      </c>
      <c r="S142">
        <v>3.0332029999999999</v>
      </c>
      <c r="T142">
        <v>-0.84724529999999998</v>
      </c>
      <c r="U142">
        <v>-0.51763919999999997</v>
      </c>
      <c r="V142">
        <v>5.9958539999999995E-4</v>
      </c>
      <c r="W142">
        <v>4.1072079999999997E-2</v>
      </c>
      <c r="X142">
        <v>0.99915600000000004</v>
      </c>
      <c r="Y142">
        <v>0.15887019999999999</v>
      </c>
      <c r="Z142">
        <v>-2.063566E-2</v>
      </c>
      <c r="AA142">
        <v>0.98708379999999996</v>
      </c>
      <c r="AB142">
        <v>7</v>
      </c>
      <c r="AC142">
        <v>0.65170000000000505</v>
      </c>
      <c r="AD142">
        <v>-0.1943898</v>
      </c>
      <c r="AE142">
        <v>-0.119100000000003</v>
      </c>
      <c r="AF142">
        <v>0.107480177741171</v>
      </c>
      <c r="AG142">
        <v>-0.1943898</v>
      </c>
      <c r="AH142">
        <v>0.600433031033341</v>
      </c>
      <c r="AI142">
        <v>107.67624159304</v>
      </c>
      <c r="AJ142">
        <v>79.851287167117505</v>
      </c>
      <c r="AK142">
        <v>0.64020247399334496</v>
      </c>
      <c r="AL142">
        <v>87.646081018475002</v>
      </c>
      <c r="AM142">
        <v>89.965617272223795</v>
      </c>
      <c r="AN142">
        <v>0.99999999379708904</v>
      </c>
    </row>
    <row r="143" spans="1:40" x14ac:dyDescent="0.25">
      <c r="A143" t="str">
        <f>"20190312150639801"</f>
        <v>20190312150639801</v>
      </c>
      <c r="B143" t="str">
        <f>"1552374399790528"</f>
        <v>1552374399790528</v>
      </c>
      <c r="C143" t="s">
        <v>40</v>
      </c>
      <c r="D143">
        <v>4.4717729999999998</v>
      </c>
      <c r="E143">
        <v>0.56101820000000002</v>
      </c>
      <c r="F143" t="s">
        <v>41</v>
      </c>
      <c r="G143">
        <v>-472.50450000000001</v>
      </c>
      <c r="H143">
        <v>0.90870499999999998</v>
      </c>
      <c r="I143">
        <v>367.08049999999997</v>
      </c>
      <c r="J143">
        <v>-473.18110000000001</v>
      </c>
      <c r="K143">
        <v>1.108884</v>
      </c>
      <c r="L143">
        <v>367.2029</v>
      </c>
      <c r="M143">
        <v>0.99999269999999996</v>
      </c>
      <c r="N143">
        <v>0</v>
      </c>
      <c r="O143">
        <v>-3.6558659999999998E-3</v>
      </c>
      <c r="P143">
        <v>0.99919760000000002</v>
      </c>
      <c r="Q143">
        <v>3.9842620000000002E-2</v>
      </c>
      <c r="R143">
        <v>-4.1415250000000001E-3</v>
      </c>
      <c r="S143">
        <v>3.0334469999999998</v>
      </c>
      <c r="T143">
        <v>-0.84371409999999902</v>
      </c>
      <c r="U143">
        <v>-0.51617429999999997</v>
      </c>
      <c r="V143">
        <v>4.9150029999999996E-4</v>
      </c>
      <c r="W143">
        <v>4.1087810000000002E-2</v>
      </c>
      <c r="X143">
        <v>0.99915540000000003</v>
      </c>
      <c r="Y143">
        <v>0.15843260000000001</v>
      </c>
      <c r="Z143">
        <v>-2.0485509999999998E-2</v>
      </c>
      <c r="AA143">
        <v>0.98715730000000002</v>
      </c>
      <c r="AB143">
        <v>8</v>
      </c>
      <c r="AC143">
        <v>0.67660000000000697</v>
      </c>
      <c r="AD143">
        <v>-0.200179</v>
      </c>
      <c r="AE143">
        <v>-0.122400000000027</v>
      </c>
      <c r="AF143">
        <v>0.110555045061161</v>
      </c>
      <c r="AG143">
        <v>-0.200179</v>
      </c>
      <c r="AH143">
        <v>0.62414114356795702</v>
      </c>
      <c r="AI143">
        <v>107.526691101591</v>
      </c>
      <c r="AJ143">
        <v>79.955301610262296</v>
      </c>
      <c r="AK143">
        <v>0.66471513983344199</v>
      </c>
      <c r="AL143">
        <v>87.645178965513395</v>
      </c>
      <c r="AM143">
        <v>89.971815304658307</v>
      </c>
      <c r="AN143">
        <v>0.99999998152614999</v>
      </c>
    </row>
    <row r="144" spans="1:40" x14ac:dyDescent="0.25">
      <c r="A144" t="str">
        <f>"20190312150639812"</f>
        <v>20190312150639812</v>
      </c>
      <c r="B144" t="str">
        <f>"1552374399811024"</f>
        <v>1552374399811024</v>
      </c>
      <c r="C144" t="s">
        <v>40</v>
      </c>
      <c r="D144">
        <v>4.4813850000000004</v>
      </c>
      <c r="E144">
        <v>0.56075050000000004</v>
      </c>
      <c r="F144" t="s">
        <v>41</v>
      </c>
      <c r="G144">
        <v>-472.5</v>
      </c>
      <c r="H144">
        <v>0.92027429999999999</v>
      </c>
      <c r="I144">
        <v>367.08730000000003</v>
      </c>
      <c r="J144">
        <v>-473.13729999999998</v>
      </c>
      <c r="K144">
        <v>1.108808</v>
      </c>
      <c r="L144">
        <v>367.20269999999999</v>
      </c>
      <c r="M144">
        <v>0.99999280000000002</v>
      </c>
      <c r="N144">
        <v>0</v>
      </c>
      <c r="O144">
        <v>-3.681751E-3</v>
      </c>
      <c r="P144">
        <v>0.99918700000000005</v>
      </c>
      <c r="Q144">
        <v>4.0119729999999999E-2</v>
      </c>
      <c r="R144">
        <v>-3.9814330000000004E-3</v>
      </c>
      <c r="S144">
        <v>3.0337519999999998</v>
      </c>
      <c r="T144">
        <v>-0.84015529999999905</v>
      </c>
      <c r="U144">
        <v>-0.51486209999999999</v>
      </c>
      <c r="V144">
        <v>3.0562679999999998E-4</v>
      </c>
      <c r="W144">
        <v>4.0963939999999997E-2</v>
      </c>
      <c r="X144">
        <v>0.99916059999999995</v>
      </c>
      <c r="Y144">
        <v>0.15803879999999901</v>
      </c>
      <c r="Z144">
        <v>-2.0340770000000001E-2</v>
      </c>
      <c r="AA144">
        <v>0.98722339999999997</v>
      </c>
      <c r="AB144">
        <v>8</v>
      </c>
      <c r="AC144">
        <v>0.63729999999998199</v>
      </c>
      <c r="AD144">
        <v>-0.1885337</v>
      </c>
      <c r="AE144">
        <v>-0.115399999999965</v>
      </c>
      <c r="AF144">
        <v>0.10422132107712299</v>
      </c>
      <c r="AG144">
        <v>-0.1885337</v>
      </c>
      <c r="AH144">
        <v>0.58790279389714195</v>
      </c>
      <c r="AI144">
        <v>107.52430240824999</v>
      </c>
      <c r="AJ144">
        <v>79.947248296822494</v>
      </c>
      <c r="AK144">
        <v>0.62612836932598404</v>
      </c>
      <c r="AL144">
        <v>87.652282267332097</v>
      </c>
      <c r="AM144">
        <v>89.982474163612906</v>
      </c>
      <c r="AN144">
        <v>1.00000002119021</v>
      </c>
    </row>
    <row r="145" spans="1:40" x14ac:dyDescent="0.25">
      <c r="A145" t="str">
        <f>"20190312150639832"</f>
        <v>20190312150639832</v>
      </c>
      <c r="B145" t="str">
        <f>"1552374399820784"</f>
        <v>1552374399820784</v>
      </c>
      <c r="C145" t="s">
        <v>40</v>
      </c>
      <c r="D145">
        <v>4.6034439999999996</v>
      </c>
      <c r="E145">
        <v>0.56083479999999997</v>
      </c>
      <c r="F145" t="s">
        <v>41</v>
      </c>
      <c r="G145">
        <v>-472.42930000000001</v>
      </c>
      <c r="H145">
        <v>0.91406639999999995</v>
      </c>
      <c r="I145">
        <v>367.08280000000002</v>
      </c>
      <c r="J145">
        <v>-473.06670000000003</v>
      </c>
      <c r="K145">
        <v>1.108706</v>
      </c>
      <c r="L145">
        <v>367.20240000000001</v>
      </c>
      <c r="M145">
        <v>0.99999309999999997</v>
      </c>
      <c r="N145">
        <v>0</v>
      </c>
      <c r="O145">
        <v>-3.723531E-3</v>
      </c>
      <c r="P145">
        <v>0.99917699999999998</v>
      </c>
      <c r="Q145">
        <v>4.0399369999999997E-2</v>
      </c>
      <c r="R145">
        <v>-3.6632169999999999E-3</v>
      </c>
      <c r="S145">
        <v>3.0338750000000001</v>
      </c>
      <c r="T145">
        <v>-0.83444379999999996</v>
      </c>
      <c r="U145">
        <v>-0.5122681</v>
      </c>
      <c r="V145" s="1">
        <v>-5.4230590000000001E-5</v>
      </c>
      <c r="W145">
        <v>4.0663779999999997E-2</v>
      </c>
      <c r="X145">
        <v>0.99917290000000003</v>
      </c>
      <c r="Y145">
        <v>0.1572742</v>
      </c>
      <c r="Z145">
        <v>-2.00942E-2</v>
      </c>
      <c r="AA145">
        <v>0.98735050000000002</v>
      </c>
      <c r="AB145">
        <v>8</v>
      </c>
      <c r="AC145">
        <v>0.63740000000001296</v>
      </c>
      <c r="AD145">
        <v>-0.194639599999999</v>
      </c>
      <c r="AE145">
        <v>-0.11959999999999101</v>
      </c>
      <c r="AF145">
        <v>0.10753906587676999</v>
      </c>
      <c r="AG145">
        <v>-0.194639599999999</v>
      </c>
      <c r="AH145">
        <v>0.58513416623056103</v>
      </c>
      <c r="AI145">
        <v>108.11610818481699</v>
      </c>
      <c r="AJ145">
        <v>79.586089775154306</v>
      </c>
      <c r="AK145">
        <v>0.62596422986313005</v>
      </c>
      <c r="AL145">
        <v>87.669494495625997</v>
      </c>
      <c r="AM145">
        <v>90.003109756003596</v>
      </c>
      <c r="AN145">
        <v>1.00000001501962</v>
      </c>
    </row>
    <row r="146" spans="1:40" x14ac:dyDescent="0.25">
      <c r="A146" t="str">
        <f>"20190312150639844"</f>
        <v>20190312150639844</v>
      </c>
      <c r="B146" t="str">
        <f>"1552374399841281"</f>
        <v>1552374399841281</v>
      </c>
      <c r="C146" t="s">
        <v>40</v>
      </c>
      <c r="D146">
        <v>4.461875</v>
      </c>
      <c r="E146">
        <v>0.56072319999999998</v>
      </c>
      <c r="F146" t="s">
        <v>41</v>
      </c>
      <c r="G146">
        <v>-472.35449999999997</v>
      </c>
      <c r="H146">
        <v>0.91255189999999997</v>
      </c>
      <c r="I146">
        <v>367.0822</v>
      </c>
      <c r="J146">
        <v>-473.0213</v>
      </c>
      <c r="K146">
        <v>1.1086609999999999</v>
      </c>
      <c r="L146">
        <v>367.2022</v>
      </c>
      <c r="M146">
        <v>0.99999300000000002</v>
      </c>
      <c r="N146">
        <v>0</v>
      </c>
      <c r="O146">
        <v>-3.7498480000000001E-3</v>
      </c>
      <c r="P146">
        <v>0.99916910000000003</v>
      </c>
      <c r="Q146">
        <v>4.0623390000000002E-2</v>
      </c>
      <c r="R146">
        <v>-3.3402610000000002E-3</v>
      </c>
      <c r="S146">
        <v>3.0343930000000001</v>
      </c>
      <c r="T146">
        <v>-0.83568999999999904</v>
      </c>
      <c r="U146">
        <v>-0.51190190000000002</v>
      </c>
      <c r="V146">
        <v>-4.0337389999999998E-4</v>
      </c>
      <c r="W146">
        <v>4.0567060000000002E-2</v>
      </c>
      <c r="X146">
        <v>0.99917670000000003</v>
      </c>
      <c r="Y146">
        <v>0.1570974</v>
      </c>
      <c r="Z146">
        <v>-2.0089260000000001E-2</v>
      </c>
      <c r="AA146">
        <v>0.9873788</v>
      </c>
      <c r="AB146">
        <v>8</v>
      </c>
      <c r="AC146">
        <v>0.66680000000002304</v>
      </c>
      <c r="AD146">
        <v>-0.19610910000000001</v>
      </c>
      <c r="AE146">
        <v>-0.12000000000000401</v>
      </c>
      <c r="AF146">
        <v>0.108415277983856</v>
      </c>
      <c r="AG146">
        <v>-0.19610910000000001</v>
      </c>
      <c r="AH146">
        <v>0.61566254303212298</v>
      </c>
      <c r="AI146">
        <v>107.416985972864</v>
      </c>
      <c r="AJ146">
        <v>80.012874768033399</v>
      </c>
      <c r="AK146">
        <v>0.65517403679931296</v>
      </c>
      <c r="AL146">
        <v>87.675040599813101</v>
      </c>
      <c r="AM146">
        <v>90.023130664256001</v>
      </c>
      <c r="AN146">
        <v>0.99999996344521702</v>
      </c>
    </row>
    <row r="147" spans="1:40" x14ac:dyDescent="0.25">
      <c r="A147" t="str">
        <f>"20190312150639857"</f>
        <v>20190312150639857</v>
      </c>
      <c r="B147" t="str">
        <f>"1552374399851041"</f>
        <v>1552374399851041</v>
      </c>
      <c r="C147" t="s">
        <v>40</v>
      </c>
      <c r="D147">
        <v>4.4530010000000004</v>
      </c>
      <c r="E147">
        <v>0.56072029999999995</v>
      </c>
      <c r="F147" t="s">
        <v>41</v>
      </c>
      <c r="G147">
        <v>-472.28019999999998</v>
      </c>
      <c r="H147">
        <v>0.9046535</v>
      </c>
      <c r="I147">
        <v>367.07729999999998</v>
      </c>
      <c r="J147">
        <v>-472.96940000000001</v>
      </c>
      <c r="K147">
        <v>1.1086480000000001</v>
      </c>
      <c r="L147">
        <v>367.202</v>
      </c>
      <c r="M147">
        <v>0.99999300000000002</v>
      </c>
      <c r="N147">
        <v>0</v>
      </c>
      <c r="O147">
        <v>-3.777515E-3</v>
      </c>
      <c r="P147">
        <v>0.99916430000000001</v>
      </c>
      <c r="Q147">
        <v>4.073388E-2</v>
      </c>
      <c r="R147">
        <v>-3.4455140000000002E-3</v>
      </c>
      <c r="S147">
        <v>3.034729</v>
      </c>
      <c r="T147">
        <v>-0.8353351</v>
      </c>
      <c r="U147">
        <v>-0.5097351</v>
      </c>
      <c r="V147">
        <v>-3.257151E-4</v>
      </c>
      <c r="W147">
        <v>4.044557E-2</v>
      </c>
      <c r="X147">
        <v>0.99918169999999995</v>
      </c>
      <c r="Y147">
        <v>0.15639800000000001</v>
      </c>
      <c r="Z147">
        <v>-1.9978719999999998E-2</v>
      </c>
      <c r="AA147">
        <v>0.98749200000000004</v>
      </c>
      <c r="AB147">
        <v>8</v>
      </c>
      <c r="AC147">
        <v>0.68920000000002801</v>
      </c>
      <c r="AD147">
        <v>-0.203994499999999</v>
      </c>
      <c r="AE147">
        <v>-0.124700000000018</v>
      </c>
      <c r="AF147">
        <v>0.112548041619385</v>
      </c>
      <c r="AG147">
        <v>-0.203994499999999</v>
      </c>
      <c r="AH147">
        <v>0.63573579404474201</v>
      </c>
      <c r="AI147">
        <v>107.534770752312</v>
      </c>
      <c r="AJ147">
        <v>79.960612954747305</v>
      </c>
      <c r="AK147">
        <v>0.67708257807471905</v>
      </c>
      <c r="AL147">
        <v>87.682007289706107</v>
      </c>
      <c r="AM147">
        <v>90.018677383595602</v>
      </c>
      <c r="AN147">
        <v>1.0000000099189199</v>
      </c>
    </row>
    <row r="148" spans="1:40" x14ac:dyDescent="0.25">
      <c r="A148" t="str">
        <f>"20190312150639877"</f>
        <v>20190312150639877</v>
      </c>
      <c r="B148" t="str">
        <f>"1552374399870560"</f>
        <v>1552374399870560</v>
      </c>
      <c r="C148" t="s">
        <v>40</v>
      </c>
      <c r="D148">
        <v>4.6782459999999997</v>
      </c>
      <c r="E148">
        <v>0.56083530000000004</v>
      </c>
      <c r="F148" t="s">
        <v>41</v>
      </c>
      <c r="G148">
        <v>-472.27530000000002</v>
      </c>
      <c r="H148">
        <v>0.9174525</v>
      </c>
      <c r="I148">
        <v>367.08479999999997</v>
      </c>
      <c r="J148">
        <v>-472.89249999999998</v>
      </c>
      <c r="K148">
        <v>1.10866</v>
      </c>
      <c r="L148">
        <v>367.20159999999998</v>
      </c>
      <c r="M148">
        <v>0.99999249999999995</v>
      </c>
      <c r="N148">
        <v>0</v>
      </c>
      <c r="O148">
        <v>-3.8152189999999999E-3</v>
      </c>
      <c r="P148">
        <v>0.99915900000000002</v>
      </c>
      <c r="Q148">
        <v>4.0864169999999998E-2</v>
      </c>
      <c r="R148">
        <v>-3.3909579999999999E-3</v>
      </c>
      <c r="S148">
        <v>3.0348510000000002</v>
      </c>
      <c r="T148">
        <v>-0.83588150000000006</v>
      </c>
      <c r="U148">
        <v>-0.51022339999999999</v>
      </c>
      <c r="V148">
        <v>-4.176707E-4</v>
      </c>
      <c r="W148">
        <v>4.0361710000000002E-2</v>
      </c>
      <c r="X148">
        <v>0.99918499999999999</v>
      </c>
      <c r="Y148">
        <v>0.1565</v>
      </c>
      <c r="Z148">
        <v>-1.999389E-2</v>
      </c>
      <c r="AA148">
        <v>0.98747560000000001</v>
      </c>
      <c r="AB148">
        <v>8</v>
      </c>
      <c r="AC148">
        <v>0.617199999999968</v>
      </c>
      <c r="AD148">
        <v>-0.1912075</v>
      </c>
      <c r="AE148">
        <v>-0.11680000000001101</v>
      </c>
      <c r="AF148">
        <v>0.104739571764306</v>
      </c>
      <c r="AG148">
        <v>-0.1912075</v>
      </c>
      <c r="AH148">
        <v>0.56526548380561403</v>
      </c>
      <c r="AI148">
        <v>108.397122888574</v>
      </c>
      <c r="AJ148">
        <v>79.502566808863804</v>
      </c>
      <c r="AK148">
        <v>0.60585126320873095</v>
      </c>
      <c r="AL148">
        <v>87.686815908986205</v>
      </c>
      <c r="AM148">
        <v>90.023950286425801</v>
      </c>
      <c r="AN148">
        <v>0.99999995315396695</v>
      </c>
    </row>
    <row r="149" spans="1:40" x14ac:dyDescent="0.25">
      <c r="A149" t="str">
        <f>"20190312150639890"</f>
        <v>20190312150639890</v>
      </c>
      <c r="B149" t="str">
        <f>"1552374399881298"</f>
        <v>1552374399881298</v>
      </c>
      <c r="C149" t="s">
        <v>40</v>
      </c>
      <c r="D149">
        <v>4.4398849999999896</v>
      </c>
      <c r="E149">
        <v>0.56077290000000002</v>
      </c>
      <c r="F149" t="s">
        <v>41</v>
      </c>
      <c r="G149">
        <v>-472.19670000000002</v>
      </c>
      <c r="H149">
        <v>0.91634629999999995</v>
      </c>
      <c r="I149">
        <v>367.08440000000002</v>
      </c>
      <c r="J149">
        <v>-472.84109999999998</v>
      </c>
      <c r="K149">
        <v>1.1086879999999999</v>
      </c>
      <c r="L149">
        <v>367.20139999999998</v>
      </c>
      <c r="M149">
        <v>0.99999249999999995</v>
      </c>
      <c r="N149">
        <v>0</v>
      </c>
      <c r="O149">
        <v>-3.8389539999999999E-3</v>
      </c>
      <c r="P149">
        <v>0.99914820000000004</v>
      </c>
      <c r="Q149">
        <v>4.1116319999999998E-2</v>
      </c>
      <c r="R149">
        <v>-3.5159969999999999E-3</v>
      </c>
      <c r="S149">
        <v>3.0350950000000001</v>
      </c>
      <c r="T149">
        <v>-0.83894840000000004</v>
      </c>
      <c r="U149">
        <v>-0.51144409999999996</v>
      </c>
      <c r="V149">
        <v>-3.1666110000000002E-4</v>
      </c>
      <c r="W149">
        <v>4.0560390000000002E-2</v>
      </c>
      <c r="X149">
        <v>0.99917699999999998</v>
      </c>
      <c r="Y149">
        <v>0.156801</v>
      </c>
      <c r="Z149">
        <v>-2.0096659999999999E-2</v>
      </c>
      <c r="AA149">
        <v>0.98742569999999996</v>
      </c>
      <c r="AB149">
        <v>9</v>
      </c>
      <c r="AC149">
        <v>0.644399999999961</v>
      </c>
      <c r="AD149">
        <v>-0.19234169999999901</v>
      </c>
      <c r="AE149">
        <v>-0.116999999999961</v>
      </c>
      <c r="AF149">
        <v>0.105431996709252</v>
      </c>
      <c r="AG149">
        <v>-0.19234169999999901</v>
      </c>
      <c r="AH149">
        <v>0.593643713564873</v>
      </c>
      <c r="AI149">
        <v>107.693193850687</v>
      </c>
      <c r="AJ149">
        <v>79.929194470264406</v>
      </c>
      <c r="AK149">
        <v>0.63286972920505802</v>
      </c>
      <c r="AL149">
        <v>87.675423072763294</v>
      </c>
      <c r="AM149">
        <v>90.018158288229699</v>
      </c>
      <c r="AN149">
        <v>0.99999996142010095</v>
      </c>
    </row>
    <row r="150" spans="1:40" x14ac:dyDescent="0.25">
      <c r="A150" t="str">
        <f>"20190312150639901"</f>
        <v>20190312150639901</v>
      </c>
      <c r="B150" t="str">
        <f>"1552374399891057"</f>
        <v>1552374399891057</v>
      </c>
      <c r="C150" t="s">
        <v>40</v>
      </c>
      <c r="D150">
        <v>4.6059340000000004</v>
      </c>
      <c r="E150">
        <v>0.56068709999999999</v>
      </c>
      <c r="F150" t="s">
        <v>41</v>
      </c>
      <c r="G150">
        <v>-472.11880000000002</v>
      </c>
      <c r="H150">
        <v>0.90931609999999996</v>
      </c>
      <c r="I150">
        <v>367.07929999999999</v>
      </c>
      <c r="J150">
        <v>-472.79250000000002</v>
      </c>
      <c r="K150">
        <v>1.108727</v>
      </c>
      <c r="L150">
        <v>367.20119999999997</v>
      </c>
      <c r="M150">
        <v>0.99999249999999995</v>
      </c>
      <c r="N150">
        <v>0</v>
      </c>
      <c r="O150">
        <v>-3.8601730000000002E-3</v>
      </c>
      <c r="P150">
        <v>0.99914669999999906</v>
      </c>
      <c r="Q150">
        <v>4.1127120000000003E-2</v>
      </c>
      <c r="R150">
        <v>-3.8486129999999999E-3</v>
      </c>
      <c r="S150">
        <v>3.0352480000000002</v>
      </c>
      <c r="T150">
        <v>-0.83775270000000002</v>
      </c>
      <c r="U150">
        <v>-0.51141359999999902</v>
      </c>
      <c r="V150" s="1">
        <v>-5.1971289999999999E-6</v>
      </c>
      <c r="W150">
        <v>4.0572289999999997E-2</v>
      </c>
      <c r="X150">
        <v>0.99917659999999997</v>
      </c>
      <c r="Y150">
        <v>0.15678</v>
      </c>
      <c r="Z150">
        <v>-2.0059549999999999E-2</v>
      </c>
      <c r="AA150">
        <v>0.98742980000000002</v>
      </c>
      <c r="AB150">
        <v>9</v>
      </c>
      <c r="AC150">
        <v>0.67369999999999597</v>
      </c>
      <c r="AD150">
        <v>-0.1994109</v>
      </c>
      <c r="AE150">
        <v>-0.12189999999998199</v>
      </c>
      <c r="AF150">
        <v>0.109969276036383</v>
      </c>
      <c r="AG150">
        <v>-0.1994109</v>
      </c>
      <c r="AH150">
        <v>0.62144536750642398</v>
      </c>
      <c r="AI150">
        <v>107.53514988758199</v>
      </c>
      <c r="AJ150">
        <v>79.964979769295894</v>
      </c>
      <c r="AK150">
        <v>0.661855190737348</v>
      </c>
      <c r="AL150">
        <v>87.674740767904495</v>
      </c>
      <c r="AM150">
        <v>90.000298018945998</v>
      </c>
      <c r="AN150">
        <v>0.99999999436520703</v>
      </c>
    </row>
    <row r="151" spans="1:40" x14ac:dyDescent="0.25">
      <c r="A151" t="str">
        <f>"20190312150639922"</f>
        <v>20190312150639922</v>
      </c>
      <c r="B151" t="str">
        <f>"1552374399910580"</f>
        <v>1552374399910580</v>
      </c>
      <c r="C151" t="s">
        <v>40</v>
      </c>
      <c r="D151">
        <v>4.7783470000000001</v>
      </c>
      <c r="E151">
        <v>0.56050180000000005</v>
      </c>
      <c r="F151" t="s">
        <v>41</v>
      </c>
      <c r="G151">
        <v>-472.1139</v>
      </c>
      <c r="H151">
        <v>0.92200309999999996</v>
      </c>
      <c r="I151">
        <v>367.08629999999999</v>
      </c>
      <c r="J151">
        <v>-472.71300000000002</v>
      </c>
      <c r="K151">
        <v>1.108798</v>
      </c>
      <c r="L151">
        <v>367.20080000000002</v>
      </c>
      <c r="M151">
        <v>0.9999924</v>
      </c>
      <c r="N151">
        <v>0</v>
      </c>
      <c r="O151">
        <v>-3.8929360000000001E-3</v>
      </c>
      <c r="P151">
        <v>0.99913870000000005</v>
      </c>
      <c r="Q151">
        <v>4.1307240000000002E-2</v>
      </c>
      <c r="R151">
        <v>-3.9940899999999996E-3</v>
      </c>
      <c r="S151">
        <v>3.0349729999999999</v>
      </c>
      <c r="T151">
        <v>-0.83512619999999904</v>
      </c>
      <c r="U151">
        <v>-0.51184079999999998</v>
      </c>
      <c r="V151">
        <v>1.0749259999999999E-4</v>
      </c>
      <c r="W151">
        <v>4.084339E-2</v>
      </c>
      <c r="X151">
        <v>0.99916550000000004</v>
      </c>
      <c r="Y151">
        <v>0.15692679999999901</v>
      </c>
      <c r="Z151">
        <v>-2.0011270000000001E-2</v>
      </c>
      <c r="AA151">
        <v>0.98740749999999999</v>
      </c>
      <c r="AB151">
        <v>9</v>
      </c>
      <c r="AC151">
        <v>0.59910000000002095</v>
      </c>
      <c r="AD151">
        <v>-0.18679490000000001</v>
      </c>
      <c r="AE151">
        <v>-0.11450000000002</v>
      </c>
      <c r="AF151">
        <v>0.102548936026175</v>
      </c>
      <c r="AG151">
        <v>-0.18679490000000001</v>
      </c>
      <c r="AH151">
        <v>0.54813252723028905</v>
      </c>
      <c r="AI151">
        <v>108.519421671285</v>
      </c>
      <c r="AJ151">
        <v>79.403158881796699</v>
      </c>
      <c r="AK151">
        <v>0.58809683416421699</v>
      </c>
      <c r="AL151">
        <v>87.6591948808436</v>
      </c>
      <c r="AM151">
        <v>89.993835983843397</v>
      </c>
      <c r="AN151">
        <v>0.99999994522579905</v>
      </c>
    </row>
    <row r="152" spans="1:40" x14ac:dyDescent="0.25">
      <c r="A152" t="str">
        <f>"20190312150639935"</f>
        <v>20190312150639935</v>
      </c>
      <c r="B152" t="str">
        <f>"1552374399931072"</f>
        <v>1552374399931072</v>
      </c>
      <c r="C152" t="s">
        <v>40</v>
      </c>
      <c r="D152">
        <v>4.6888129999999997</v>
      </c>
      <c r="E152">
        <v>0.56036039999999998</v>
      </c>
      <c r="F152" t="s">
        <v>41</v>
      </c>
      <c r="G152">
        <v>-472.0317</v>
      </c>
      <c r="H152">
        <v>0.92250030000000005</v>
      </c>
      <c r="I152">
        <v>367.08600000000001</v>
      </c>
      <c r="J152">
        <v>-472.65589999999997</v>
      </c>
      <c r="K152">
        <v>1.108843</v>
      </c>
      <c r="L152">
        <v>367.20060000000001</v>
      </c>
      <c r="M152">
        <v>0.9999924</v>
      </c>
      <c r="N152">
        <v>0</v>
      </c>
      <c r="O152">
        <v>-3.9173569999999998E-3</v>
      </c>
      <c r="P152">
        <v>0.99913459999999998</v>
      </c>
      <c r="Q152">
        <v>4.1393249999999999E-2</v>
      </c>
      <c r="R152">
        <v>-4.127665E-3</v>
      </c>
      <c r="S152">
        <v>3.0348510000000002</v>
      </c>
      <c r="T152">
        <v>-0.82991859999999995</v>
      </c>
      <c r="U152">
        <v>-0.51037600000000005</v>
      </c>
      <c r="V152">
        <v>2.1658039999999999E-4</v>
      </c>
      <c r="W152">
        <v>4.1030629999999998E-2</v>
      </c>
      <c r="X152">
        <v>0.99915779999999998</v>
      </c>
      <c r="Y152">
        <v>0.15652750000000001</v>
      </c>
      <c r="Z152">
        <v>-1.9832579999999999E-2</v>
      </c>
      <c r="AA152">
        <v>0.98747439999999997</v>
      </c>
      <c r="AB152">
        <v>9</v>
      </c>
      <c r="AC152">
        <v>0.624199999999973</v>
      </c>
      <c r="AD152">
        <v>-0.1863427</v>
      </c>
      <c r="AE152">
        <v>-0.114599999999995</v>
      </c>
      <c r="AF152">
        <v>0.103252091188984</v>
      </c>
      <c r="AG152">
        <v>-0.1863427</v>
      </c>
      <c r="AH152">
        <v>0.57506524390879799</v>
      </c>
      <c r="AI152">
        <v>107.689426031439</v>
      </c>
      <c r="AJ152">
        <v>79.821086479045803</v>
      </c>
      <c r="AK152">
        <v>0.613257393701922</v>
      </c>
      <c r="AL152">
        <v>87.648457792453002</v>
      </c>
      <c r="AM152">
        <v>89.987580397559896</v>
      </c>
      <c r="AN152">
        <v>0.99999993440305102</v>
      </c>
    </row>
    <row r="153" spans="1:40" x14ac:dyDescent="0.25">
      <c r="A153" t="str">
        <f>"20190312150639956"</f>
        <v>20190312150639956</v>
      </c>
      <c r="B153" t="str">
        <f>"1552374399950593"</f>
        <v>1552374399950593</v>
      </c>
      <c r="C153" t="s">
        <v>40</v>
      </c>
      <c r="D153">
        <v>5.1972250000000004</v>
      </c>
      <c r="E153">
        <v>0.56016599999999905</v>
      </c>
      <c r="F153" t="s">
        <v>41</v>
      </c>
      <c r="G153">
        <v>-471.95030000000003</v>
      </c>
      <c r="H153">
        <v>0.91694299999999995</v>
      </c>
      <c r="I153">
        <v>367.08199999999999</v>
      </c>
      <c r="J153">
        <v>-472.57040000000001</v>
      </c>
      <c r="K153">
        <v>1.1089059999999999</v>
      </c>
      <c r="L153">
        <v>367.2002</v>
      </c>
      <c r="M153">
        <v>0.99999229999999995</v>
      </c>
      <c r="N153">
        <v>0</v>
      </c>
      <c r="O153">
        <v>-3.9553679999999999E-3</v>
      </c>
      <c r="P153">
        <v>0.99915229999999999</v>
      </c>
      <c r="Q153">
        <v>4.0959139999999998E-2</v>
      </c>
      <c r="R153">
        <v>-4.1664730000000004E-3</v>
      </c>
      <c r="S153">
        <v>3.0346679999999999</v>
      </c>
      <c r="T153">
        <v>-0.82533040000000002</v>
      </c>
      <c r="U153">
        <v>-0.51019289999999995</v>
      </c>
      <c r="V153">
        <v>2.172039E-4</v>
      </c>
      <c r="W153">
        <v>4.0767640000000001E-2</v>
      </c>
      <c r="X153">
        <v>0.99916859999999996</v>
      </c>
      <c r="Y153">
        <v>0.15650240000000001</v>
      </c>
      <c r="Z153">
        <v>-1.9714530000000001E-2</v>
      </c>
      <c r="AA153">
        <v>0.98748080000000005</v>
      </c>
      <c r="AB153">
        <v>9</v>
      </c>
      <c r="AC153">
        <v>0.620099999999979</v>
      </c>
      <c r="AD153">
        <v>-0.191962999999999</v>
      </c>
      <c r="AE153">
        <v>-0.118200000000001</v>
      </c>
      <c r="AF153">
        <v>0.105948998784337</v>
      </c>
      <c r="AG153">
        <v>-0.191962999999999</v>
      </c>
      <c r="AH153">
        <v>0.56803512884186802</v>
      </c>
      <c r="AI153">
        <v>108.377149638041</v>
      </c>
      <c r="AJ153">
        <v>79.434686264101998</v>
      </c>
      <c r="AK153">
        <v>0.60888331502086701</v>
      </c>
      <c r="AL153">
        <v>87.663538710875201</v>
      </c>
      <c r="AM153">
        <v>89.987544778160796</v>
      </c>
      <c r="AN153">
        <v>0.99999996943733105</v>
      </c>
    </row>
    <row r="154" spans="1:40" x14ac:dyDescent="0.25">
      <c r="A154" t="str">
        <f>"20190312150639977"</f>
        <v>20190312150639977</v>
      </c>
      <c r="B154" t="str">
        <f>"1552374399971089"</f>
        <v>1552374399971089</v>
      </c>
      <c r="C154" t="s">
        <v>40</v>
      </c>
      <c r="D154">
        <v>4.7448389999999998</v>
      </c>
      <c r="E154">
        <v>0.56000069999999902</v>
      </c>
      <c r="F154" t="s">
        <v>41</v>
      </c>
      <c r="G154">
        <v>-471.86509999999998</v>
      </c>
      <c r="H154">
        <v>0.91763110000000003</v>
      </c>
      <c r="I154">
        <v>367.08159999999998</v>
      </c>
      <c r="J154">
        <v>-472.47730000000001</v>
      </c>
      <c r="K154">
        <v>1.1089599999999999</v>
      </c>
      <c r="L154">
        <v>367.19979999999998</v>
      </c>
      <c r="M154">
        <v>0.99999210000000005</v>
      </c>
      <c r="N154">
        <v>0</v>
      </c>
      <c r="O154">
        <v>-3.9994729999999999E-3</v>
      </c>
      <c r="P154">
        <v>0.99915569999999998</v>
      </c>
      <c r="Q154">
        <v>4.0858180000000001E-2</v>
      </c>
      <c r="R154">
        <v>-4.3368729999999998E-3</v>
      </c>
      <c r="S154">
        <v>3.0341490000000002</v>
      </c>
      <c r="T154">
        <v>-0.82298099999999996</v>
      </c>
      <c r="U154">
        <v>-0.50891109999999995</v>
      </c>
      <c r="V154">
        <v>3.434771E-4</v>
      </c>
      <c r="W154">
        <v>4.0857690000000002E-2</v>
      </c>
      <c r="X154">
        <v>0.99916490000000002</v>
      </c>
      <c r="Y154">
        <v>0.1561235</v>
      </c>
      <c r="Z154">
        <v>-1.9602370000000001E-2</v>
      </c>
      <c r="AA154">
        <v>0.98754299999999995</v>
      </c>
      <c r="AB154">
        <v>9</v>
      </c>
      <c r="AC154">
        <v>0.61220000000002905</v>
      </c>
      <c r="AD154">
        <v>-0.1913289</v>
      </c>
      <c r="AE154">
        <v>-0.118200000000001</v>
      </c>
      <c r="AF154">
        <v>0.105789170229539</v>
      </c>
      <c r="AG154">
        <v>-0.1913289</v>
      </c>
      <c r="AH154">
        <v>0.55994210960045498</v>
      </c>
      <c r="AI154">
        <v>108.559702681213</v>
      </c>
      <c r="AJ154">
        <v>79.301283355822207</v>
      </c>
      <c r="AK154">
        <v>0.60111002538376601</v>
      </c>
      <c r="AL154">
        <v>87.658374955397093</v>
      </c>
      <c r="AM154">
        <v>89.980303764259304</v>
      </c>
      <c r="AN154">
        <v>0.999999983100332</v>
      </c>
    </row>
    <row r="155" spans="1:40" x14ac:dyDescent="0.25">
      <c r="A155" t="str">
        <f>"20190312150639991"</f>
        <v>20190312150639991</v>
      </c>
      <c r="B155" t="str">
        <f>"1552374399980849"</f>
        <v>1552374399980849</v>
      </c>
      <c r="C155" t="s">
        <v>40</v>
      </c>
      <c r="D155">
        <v>4.5979609999999997</v>
      </c>
      <c r="E155">
        <v>0.56007079999999998</v>
      </c>
      <c r="F155" t="s">
        <v>41</v>
      </c>
      <c r="G155">
        <v>-471.77780000000001</v>
      </c>
      <c r="H155">
        <v>0.91986559999999995</v>
      </c>
      <c r="I155">
        <v>367.0822</v>
      </c>
      <c r="J155">
        <v>-472.41570000000002</v>
      </c>
      <c r="K155">
        <v>1.1089850000000001</v>
      </c>
      <c r="L155">
        <v>367.19940000000003</v>
      </c>
      <c r="M155">
        <v>0.99999199999999999</v>
      </c>
      <c r="N155">
        <v>0</v>
      </c>
      <c r="O155">
        <v>-4.0301169999999997E-3</v>
      </c>
      <c r="P155">
        <v>0.99915980000000004</v>
      </c>
      <c r="Q155">
        <v>4.0756340000000002E-2</v>
      </c>
      <c r="R155">
        <v>-4.3324929999999998E-3</v>
      </c>
      <c r="S155">
        <v>3.0339049999999999</v>
      </c>
      <c r="T155">
        <v>-0.82017220000000002</v>
      </c>
      <c r="U155">
        <v>-0.50784300000000004</v>
      </c>
      <c r="V155">
        <v>3.0849749999999998E-4</v>
      </c>
      <c r="W155">
        <v>4.087532E-2</v>
      </c>
      <c r="X155">
        <v>0.99916419999999995</v>
      </c>
      <c r="Y155">
        <v>0.1558146</v>
      </c>
      <c r="Z155">
        <v>-1.9490939999999998E-2</v>
      </c>
      <c r="AA155">
        <v>0.98759399999999997</v>
      </c>
      <c r="AB155">
        <v>9</v>
      </c>
      <c r="AC155">
        <v>0.63790000000000102</v>
      </c>
      <c r="AD155">
        <v>-0.18911939999999999</v>
      </c>
      <c r="AE155">
        <v>-0.11720000000002501</v>
      </c>
      <c r="AF155">
        <v>0.10564566642072</v>
      </c>
      <c r="AG155">
        <v>-0.18911939999999999</v>
      </c>
      <c r="AH155">
        <v>0.58834301854508597</v>
      </c>
      <c r="AI155">
        <v>107.556533705804</v>
      </c>
      <c r="AJ155">
        <v>79.820183522939899</v>
      </c>
      <c r="AK155">
        <v>0.62695666657320304</v>
      </c>
      <c r="AL155">
        <v>87.657364008877906</v>
      </c>
      <c r="AM155">
        <v>89.982309610193496</v>
      </c>
      <c r="AN155">
        <v>0.99999999275872398</v>
      </c>
    </row>
    <row r="156" spans="1:40" x14ac:dyDescent="0.25">
      <c r="A156" t="str">
        <f>"20190312150640011"</f>
        <v>20190312150640011</v>
      </c>
      <c r="B156" t="str">
        <f>"1552374400000372"</f>
        <v>1552374400000372</v>
      </c>
      <c r="C156" t="s">
        <v>40</v>
      </c>
      <c r="D156">
        <v>4.4649549999999998</v>
      </c>
      <c r="E156">
        <v>0.56005669999999996</v>
      </c>
      <c r="F156" t="s">
        <v>41</v>
      </c>
      <c r="G156">
        <v>-471.69260000000003</v>
      </c>
      <c r="H156">
        <v>0.91293100000000005</v>
      </c>
      <c r="I156">
        <v>367.07819999999998</v>
      </c>
      <c r="J156">
        <v>-472.32859999999999</v>
      </c>
      <c r="K156">
        <v>1.1090100000000001</v>
      </c>
      <c r="L156">
        <v>367.19909999999999</v>
      </c>
      <c r="M156">
        <v>0.99999179999999999</v>
      </c>
      <c r="N156">
        <v>0</v>
      </c>
      <c r="O156">
        <v>-4.0743639999999996E-3</v>
      </c>
      <c r="P156">
        <v>0.99916919999999998</v>
      </c>
      <c r="Q156">
        <v>4.0543339999999997E-2</v>
      </c>
      <c r="R156">
        <v>-4.180619E-3</v>
      </c>
      <c r="S156">
        <v>3.0339049999999999</v>
      </c>
      <c r="T156">
        <v>-0.82267679999999999</v>
      </c>
      <c r="U156">
        <v>-0.50756840000000003</v>
      </c>
      <c r="V156">
        <v>1.124725E-4</v>
      </c>
      <c r="W156">
        <v>4.0812899999999999E-2</v>
      </c>
      <c r="X156">
        <v>0.99916680000000002</v>
      </c>
      <c r="Y156">
        <v>0.15565899999999999</v>
      </c>
      <c r="Z156">
        <v>-1.951628E-2</v>
      </c>
      <c r="AA156">
        <v>0.987618</v>
      </c>
      <c r="AB156">
        <v>10</v>
      </c>
      <c r="AC156">
        <v>0.63599999999996704</v>
      </c>
      <c r="AD156">
        <v>-0.196079</v>
      </c>
      <c r="AE156">
        <v>-0.120900000000006</v>
      </c>
      <c r="AF156">
        <v>0.108366763918994</v>
      </c>
      <c r="AG156">
        <v>-0.196079</v>
      </c>
      <c r="AH156">
        <v>0.58300575111768005</v>
      </c>
      <c r="AI156">
        <v>108.297018846965</v>
      </c>
      <c r="AJ156">
        <v>79.470260554745295</v>
      </c>
      <c r="AK156">
        <v>0.62456867964985696</v>
      </c>
      <c r="AL156">
        <v>87.660943414921803</v>
      </c>
      <c r="AM156">
        <v>89.993550426681395</v>
      </c>
      <c r="AN156">
        <v>0.99999999983935595</v>
      </c>
    </row>
    <row r="157" spans="1:40" x14ac:dyDescent="0.25">
      <c r="A157" t="str">
        <f>"20190312150640022"</f>
        <v>20190312150640022</v>
      </c>
      <c r="B157" t="str">
        <f>"1552374400020865"</f>
        <v>1552374400020865</v>
      </c>
      <c r="C157" t="s">
        <v>40</v>
      </c>
      <c r="D157">
        <v>4.6544639999999999</v>
      </c>
      <c r="E157">
        <v>0.56023400000000001</v>
      </c>
      <c r="F157" t="s">
        <v>41</v>
      </c>
      <c r="G157">
        <v>-471.6035</v>
      </c>
      <c r="H157">
        <v>0.91203780000000001</v>
      </c>
      <c r="I157">
        <v>367.07749999999999</v>
      </c>
      <c r="J157">
        <v>-472.27370000000002</v>
      </c>
      <c r="K157">
        <v>1.1090180000000001</v>
      </c>
      <c r="L157">
        <v>367.19880000000001</v>
      </c>
      <c r="M157">
        <v>0.99999159999999998</v>
      </c>
      <c r="N157">
        <v>0</v>
      </c>
      <c r="O157">
        <v>-4.1027520000000003E-3</v>
      </c>
      <c r="P157">
        <v>0.99917579999999995</v>
      </c>
      <c r="Q157">
        <v>4.036841E-2</v>
      </c>
      <c r="R157">
        <v>-4.2631350000000004E-3</v>
      </c>
      <c r="S157">
        <v>3.0338440000000002</v>
      </c>
      <c r="T157">
        <v>-0.82415300000000002</v>
      </c>
      <c r="U157">
        <v>-0.50735470000000005</v>
      </c>
      <c r="V157">
        <v>1.665657E-4</v>
      </c>
      <c r="W157">
        <v>4.0722380000000002E-2</v>
      </c>
      <c r="X157">
        <v>0.99917049999999996</v>
      </c>
      <c r="Y157">
        <v>0.1555522</v>
      </c>
      <c r="Z157">
        <v>-1.9528899999999998E-2</v>
      </c>
      <c r="AA157">
        <v>0.98763460000000003</v>
      </c>
      <c r="AB157">
        <v>10</v>
      </c>
      <c r="AC157">
        <v>0.670200000000022</v>
      </c>
      <c r="AD157">
        <v>-0.19698019999999999</v>
      </c>
      <c r="AE157">
        <v>-0.121300000000019</v>
      </c>
      <c r="AF157">
        <v>0.10939870448173</v>
      </c>
      <c r="AG157">
        <v>-0.19698019999999999</v>
      </c>
      <c r="AH157">
        <v>0.61892250153557604</v>
      </c>
      <c r="AI157">
        <v>107.401247697374</v>
      </c>
      <c r="AJ157">
        <v>79.976122572664707</v>
      </c>
      <c r="AK157">
        <v>0.65866101952474498</v>
      </c>
      <c r="AL157">
        <v>87.666134177299398</v>
      </c>
      <c r="AM157">
        <v>89.990448565551802</v>
      </c>
      <c r="AN157">
        <v>1.00000001402362</v>
      </c>
    </row>
    <row r="158" spans="1:40" x14ac:dyDescent="0.25">
      <c r="A158" t="str">
        <f>"20190312150640035"</f>
        <v>20190312150640035</v>
      </c>
      <c r="B158" t="str">
        <f>"1552374400030626"</f>
        <v>1552374400030626</v>
      </c>
      <c r="C158" t="s">
        <v>40</v>
      </c>
      <c r="D158">
        <v>5.1818900000000001</v>
      </c>
      <c r="E158">
        <v>0.56023400000000001</v>
      </c>
      <c r="F158" t="s">
        <v>41</v>
      </c>
      <c r="G158">
        <v>-471.5985</v>
      </c>
      <c r="H158">
        <v>0.92467630000000001</v>
      </c>
      <c r="I158">
        <v>367.08510000000001</v>
      </c>
      <c r="J158">
        <v>-472.2201</v>
      </c>
      <c r="K158">
        <v>1.1090180000000001</v>
      </c>
      <c r="L158">
        <v>367.1986</v>
      </c>
      <c r="M158">
        <v>0.99999150000000003</v>
      </c>
      <c r="N158">
        <v>0</v>
      </c>
      <c r="O158">
        <v>-4.1307820000000004E-3</v>
      </c>
      <c r="P158">
        <v>0.99917679999999998</v>
      </c>
      <c r="Q158">
        <v>4.0357200000000003E-2</v>
      </c>
      <c r="R158">
        <v>-4.1828109999999998E-3</v>
      </c>
      <c r="S158">
        <v>3.0337519999999998</v>
      </c>
      <c r="T158">
        <v>-0.82824959999999903</v>
      </c>
      <c r="U158">
        <v>-0.50958249999999905</v>
      </c>
      <c r="V158" s="1">
        <v>5.8295119999999998E-5</v>
      </c>
      <c r="W158">
        <v>4.0777649999999999E-2</v>
      </c>
      <c r="X158">
        <v>0.99916819999999895</v>
      </c>
      <c r="Y158">
        <v>0.156162299999999</v>
      </c>
      <c r="Z158">
        <v>-1.9695839999999999E-2</v>
      </c>
      <c r="AA158">
        <v>0.98753500000000005</v>
      </c>
      <c r="AB158">
        <v>10</v>
      </c>
      <c r="AC158">
        <v>0.62160000000000004</v>
      </c>
      <c r="AD158">
        <v>-0.184341699999999</v>
      </c>
      <c r="AE158">
        <v>-0.113499999999987</v>
      </c>
      <c r="AF158">
        <v>0.102230477636126</v>
      </c>
      <c r="AG158">
        <v>-0.184341699999999</v>
      </c>
      <c r="AH158">
        <v>0.57327220793130995</v>
      </c>
      <c r="AI158">
        <v>107.566034998185</v>
      </c>
      <c r="AJ158">
        <v>79.888846174023101</v>
      </c>
      <c r="AK158">
        <v>0.61079780394418604</v>
      </c>
      <c r="AL158">
        <v>87.662964671401298</v>
      </c>
      <c r="AM158">
        <v>89.996657155083099</v>
      </c>
      <c r="AN158">
        <v>0.99999995601453995</v>
      </c>
    </row>
    <row r="159" spans="1:40" x14ac:dyDescent="0.25">
      <c r="A159" t="str">
        <f>"20190312150640048"</f>
        <v>20190312150640048</v>
      </c>
      <c r="B159" t="str">
        <f>"1552374400040385"</f>
        <v>1552374400040385</v>
      </c>
      <c r="C159" t="s">
        <v>40</v>
      </c>
      <c r="D159">
        <v>4.5964119999999999</v>
      </c>
      <c r="E159">
        <v>0.56030440000000004</v>
      </c>
      <c r="F159" t="s">
        <v>41</v>
      </c>
      <c r="G159">
        <v>-471.5111</v>
      </c>
      <c r="H159">
        <v>0.91546700000000003</v>
      </c>
      <c r="I159">
        <v>367.07920000000001</v>
      </c>
      <c r="J159">
        <v>-472.1617</v>
      </c>
      <c r="K159">
        <v>1.109019</v>
      </c>
      <c r="L159">
        <v>367.19830000000002</v>
      </c>
      <c r="M159">
        <v>0.99999139999999997</v>
      </c>
      <c r="N159">
        <v>0</v>
      </c>
      <c r="O159">
        <v>-4.1611979999999996E-3</v>
      </c>
      <c r="P159">
        <v>0.99919420000000003</v>
      </c>
      <c r="Q159">
        <v>3.9924969999999997E-2</v>
      </c>
      <c r="R159">
        <v>-4.1345459999999898E-3</v>
      </c>
      <c r="S159">
        <v>3.0337519999999998</v>
      </c>
      <c r="T159">
        <v>-0.82832600000000001</v>
      </c>
      <c r="U159">
        <v>-0.50942989999999999</v>
      </c>
      <c r="V159" s="1">
        <v>-2.0363720000000001E-5</v>
      </c>
      <c r="W159">
        <v>4.0411259999999997E-2</v>
      </c>
      <c r="X159">
        <v>0.99918309999999999</v>
      </c>
      <c r="Y159">
        <v>0.15608669999999999</v>
      </c>
      <c r="Z159">
        <v>-1.9679499999999999E-2</v>
      </c>
      <c r="AA159">
        <v>0.98754730000000002</v>
      </c>
      <c r="AB159">
        <v>10</v>
      </c>
      <c r="AC159">
        <v>0.65059999999999696</v>
      </c>
      <c r="AD159">
        <v>-0.193551999999999</v>
      </c>
      <c r="AE159">
        <v>-0.119100000000003</v>
      </c>
      <c r="AF159">
        <v>0.107210694298238</v>
      </c>
      <c r="AG159">
        <v>-0.193551999999999</v>
      </c>
      <c r="AH159">
        <v>0.59973186348836605</v>
      </c>
      <c r="AI159">
        <v>107.624770262867</v>
      </c>
      <c r="AJ159">
        <v>79.864615075908006</v>
      </c>
      <c r="AK159">
        <v>0.63924550663977198</v>
      </c>
      <c r="AL159">
        <v>87.683974621178905</v>
      </c>
      <c r="AM159">
        <v>90.001167709112593</v>
      </c>
      <c r="AN159">
        <v>0.99999996883753794</v>
      </c>
    </row>
    <row r="160" spans="1:40" x14ac:dyDescent="0.25">
      <c r="A160" t="str">
        <f>"20190312150640067"</f>
        <v>20190312150640067</v>
      </c>
      <c r="B160" t="str">
        <f>"1552374400060882"</f>
        <v>1552374400060882</v>
      </c>
      <c r="C160" t="s">
        <v>40</v>
      </c>
      <c r="D160">
        <v>4.5520949999999996</v>
      </c>
      <c r="E160">
        <v>0.56042259999999999</v>
      </c>
      <c r="F160" t="s">
        <v>41</v>
      </c>
      <c r="G160">
        <v>-471.4221</v>
      </c>
      <c r="H160">
        <v>0.9063312</v>
      </c>
      <c r="I160">
        <v>367.0736</v>
      </c>
      <c r="J160">
        <v>-472.07150000000001</v>
      </c>
      <c r="K160">
        <v>1.109002</v>
      </c>
      <c r="L160">
        <v>367.19779999999997</v>
      </c>
      <c r="M160">
        <v>0.99999099999999996</v>
      </c>
      <c r="N160">
        <v>0</v>
      </c>
      <c r="O160">
        <v>-4.2078339999999997E-3</v>
      </c>
      <c r="P160">
        <v>0.99919849999999999</v>
      </c>
      <c r="Q160">
        <v>3.9811039999999999E-2</v>
      </c>
      <c r="R160">
        <v>-4.1719230000000001E-3</v>
      </c>
      <c r="S160">
        <v>3.0335390000000002</v>
      </c>
      <c r="T160">
        <v>-0.83135270000000006</v>
      </c>
      <c r="U160">
        <v>-0.51000979999999996</v>
      </c>
      <c r="V160" s="1">
        <v>-2.9430490000000002E-5</v>
      </c>
      <c r="W160">
        <v>4.0377910000000003E-2</v>
      </c>
      <c r="X160">
        <v>0.99918450000000003</v>
      </c>
      <c r="Y160">
        <v>0.156194</v>
      </c>
      <c r="Z160">
        <v>-1.9751810000000002E-2</v>
      </c>
      <c r="AA160">
        <v>0.98752890000000004</v>
      </c>
      <c r="AB160">
        <v>10</v>
      </c>
      <c r="AC160">
        <v>0.64940000000001397</v>
      </c>
      <c r="AD160">
        <v>-0.20267080000000001</v>
      </c>
      <c r="AE160">
        <v>-0.124199999999973</v>
      </c>
      <c r="AF160">
        <v>0.111033332160905</v>
      </c>
      <c r="AG160">
        <v>-0.20267080000000001</v>
      </c>
      <c r="AH160">
        <v>0.59409412839591202</v>
      </c>
      <c r="AI160">
        <v>108.53816829785799</v>
      </c>
      <c r="AJ160">
        <v>79.413824816763395</v>
      </c>
      <c r="AK160">
        <v>0.63745720438151199</v>
      </c>
      <c r="AL160">
        <v>87.685887116577703</v>
      </c>
      <c r="AM160">
        <v>90.001687619118897</v>
      </c>
      <c r="AN160">
        <v>1.0000000207611801</v>
      </c>
    </row>
    <row r="161" spans="1:40" x14ac:dyDescent="0.25">
      <c r="A161" t="str">
        <f>"20190312150640080"</f>
        <v>20190312150640080</v>
      </c>
      <c r="B161" t="str">
        <f>"1552374400070641"</f>
        <v>1552374400070641</v>
      </c>
      <c r="C161" t="s">
        <v>40</v>
      </c>
      <c r="D161">
        <v>4.4268489999999998</v>
      </c>
      <c r="E161">
        <v>0.56040979999999996</v>
      </c>
      <c r="F161" t="s">
        <v>41</v>
      </c>
      <c r="G161">
        <v>-471.32859999999999</v>
      </c>
      <c r="H161">
        <v>0.90450540000000001</v>
      </c>
      <c r="I161">
        <v>367.07249999999999</v>
      </c>
      <c r="J161">
        <v>-472.01029999999997</v>
      </c>
      <c r="K161">
        <v>1.1089929999999999</v>
      </c>
      <c r="L161">
        <v>367.19760000000002</v>
      </c>
      <c r="M161">
        <v>0.99999090000000002</v>
      </c>
      <c r="N161">
        <v>0</v>
      </c>
      <c r="O161">
        <v>-4.2401549999999998E-3</v>
      </c>
      <c r="P161">
        <v>0.99920229999999999</v>
      </c>
      <c r="Q161">
        <v>3.9728760000000002E-2</v>
      </c>
      <c r="R161">
        <v>-4.071018E-3</v>
      </c>
      <c r="S161">
        <v>3.0335079999999999</v>
      </c>
      <c r="T161">
        <v>-0.83497579999999905</v>
      </c>
      <c r="U161">
        <v>-0.51107789999999997</v>
      </c>
      <c r="V161">
        <v>-1.6229450000000001E-4</v>
      </c>
      <c r="W161">
        <v>4.0338840000000001E-2</v>
      </c>
      <c r="X161">
        <v>0.99918600000000002</v>
      </c>
      <c r="Y161">
        <v>0.15644739999999999</v>
      </c>
      <c r="Z161">
        <v>-1.9859849999999998E-2</v>
      </c>
      <c r="AA161">
        <v>0.98748659999999999</v>
      </c>
      <c r="AB161">
        <v>10</v>
      </c>
      <c r="AC161">
        <v>0.68169999999997799</v>
      </c>
      <c r="AD161">
        <v>-0.20448759999999999</v>
      </c>
      <c r="AE161">
        <v>-0.12510000000003099</v>
      </c>
      <c r="AF161">
        <v>0.112422150382342</v>
      </c>
      <c r="AG161">
        <v>-0.20448759999999999</v>
      </c>
      <c r="AH161">
        <v>0.62759310142157598</v>
      </c>
      <c r="AI161">
        <v>107.78225114145501</v>
      </c>
      <c r="AJ161">
        <v>79.844192879378298</v>
      </c>
      <c r="AK161">
        <v>0.66957226600442599</v>
      </c>
      <c r="AL161">
        <v>87.688127336919493</v>
      </c>
      <c r="AM161">
        <v>90.009306365187598</v>
      </c>
      <c r="AN161">
        <v>0.99999995547402398</v>
      </c>
    </row>
    <row r="162" spans="1:40" x14ac:dyDescent="0.25">
      <c r="A162" t="str">
        <f>"20190312150640094"</f>
        <v>20190312150640094</v>
      </c>
      <c r="B162" t="str">
        <f>"1552374400091137"</f>
        <v>1552374400091137</v>
      </c>
      <c r="C162" t="s">
        <v>40</v>
      </c>
      <c r="D162">
        <v>4.4564320000000004</v>
      </c>
      <c r="E162">
        <v>0.56048140000000002</v>
      </c>
      <c r="F162" t="s">
        <v>41</v>
      </c>
      <c r="G162">
        <v>-471.32279999999997</v>
      </c>
      <c r="H162">
        <v>0.91952100000000003</v>
      </c>
      <c r="I162">
        <v>367.08170000000001</v>
      </c>
      <c r="J162">
        <v>-471.94979999999998</v>
      </c>
      <c r="K162">
        <v>1.108984</v>
      </c>
      <c r="L162">
        <v>367.19729999999998</v>
      </c>
      <c r="M162">
        <v>0.99999059999999995</v>
      </c>
      <c r="N162">
        <v>0</v>
      </c>
      <c r="O162">
        <v>-4.2714010000000002E-3</v>
      </c>
      <c r="P162">
        <v>0.99920339999999996</v>
      </c>
      <c r="Q162">
        <v>3.9713419999999999E-2</v>
      </c>
      <c r="R162">
        <v>-3.9325339999999997E-3</v>
      </c>
      <c r="S162">
        <v>3.0335999999999999</v>
      </c>
      <c r="T162">
        <v>-0.8360571</v>
      </c>
      <c r="U162">
        <v>-0.51068119999999995</v>
      </c>
      <c r="V162">
        <v>-3.3191010000000002E-4</v>
      </c>
      <c r="W162">
        <v>4.0360279999999998E-2</v>
      </c>
      <c r="X162">
        <v>0.99918510000000005</v>
      </c>
      <c r="Y162">
        <v>0.15627949999999999</v>
      </c>
      <c r="Z162">
        <v>-1.9853329999999999E-2</v>
      </c>
      <c r="AA162">
        <v>0.98751330000000004</v>
      </c>
      <c r="AB162">
        <v>10</v>
      </c>
      <c r="AC162">
        <v>0.62700000000000899</v>
      </c>
      <c r="AD162">
        <v>-0.18946299999999999</v>
      </c>
      <c r="AE162">
        <v>-0.115599999999972</v>
      </c>
      <c r="AF162">
        <v>0.103758175609087</v>
      </c>
      <c r="AG162">
        <v>-0.18946299999999999</v>
      </c>
      <c r="AH162">
        <v>0.57657251287534905</v>
      </c>
      <c r="AI162">
        <v>107.921583109574</v>
      </c>
      <c r="AJ162">
        <v>79.798420789540202</v>
      </c>
      <c r="AK162">
        <v>0.61570922518516802</v>
      </c>
      <c r="AL162">
        <v>87.686897932053796</v>
      </c>
      <c r="AM162">
        <v>90.019032556838795</v>
      </c>
      <c r="AN162">
        <v>0.99999996321399998</v>
      </c>
    </row>
    <row r="163" spans="1:40" x14ac:dyDescent="0.25">
      <c r="A163" t="str">
        <f>"20190312150640112"</f>
        <v>20190312150640112</v>
      </c>
      <c r="B163" t="str">
        <f>"1552374400100897"</f>
        <v>1552374400100897</v>
      </c>
      <c r="C163" t="s">
        <v>40</v>
      </c>
      <c r="D163">
        <v>4.6446680000000002</v>
      </c>
      <c r="E163">
        <v>0.56040480000000004</v>
      </c>
      <c r="F163" t="s">
        <v>41</v>
      </c>
      <c r="G163">
        <v>-471.23050000000001</v>
      </c>
      <c r="H163">
        <v>0.910493</v>
      </c>
      <c r="I163">
        <v>367.07569999999998</v>
      </c>
      <c r="J163">
        <v>-471.85640000000001</v>
      </c>
      <c r="K163">
        <v>1.108978</v>
      </c>
      <c r="L163">
        <v>367.1968</v>
      </c>
      <c r="M163">
        <v>0.9999905</v>
      </c>
      <c r="N163">
        <v>0</v>
      </c>
      <c r="O163">
        <v>-4.3194619999999996E-3</v>
      </c>
      <c r="P163">
        <v>0.99921219999999999</v>
      </c>
      <c r="Q163">
        <v>3.952394E-2</v>
      </c>
      <c r="R163">
        <v>-3.6106179999999999E-3</v>
      </c>
      <c r="S163">
        <v>3.0336910000000001</v>
      </c>
      <c r="T163">
        <v>-0.83710529999999905</v>
      </c>
      <c r="U163">
        <v>-0.51086430000000005</v>
      </c>
      <c r="V163">
        <v>-7.0211449999999995E-4</v>
      </c>
      <c r="W163">
        <v>4.0220680000000002E-2</v>
      </c>
      <c r="X163">
        <v>0.99919060000000004</v>
      </c>
      <c r="Y163">
        <v>0.15627379999999999</v>
      </c>
      <c r="Z163">
        <v>-1.9862999999999999E-2</v>
      </c>
      <c r="AA163">
        <v>0.987514</v>
      </c>
      <c r="AB163">
        <v>11</v>
      </c>
      <c r="AC163">
        <v>0.62590000000000101</v>
      </c>
      <c r="AD163">
        <v>-0.19848499999999999</v>
      </c>
      <c r="AE163">
        <v>-0.121100000000012</v>
      </c>
      <c r="AF163">
        <v>0.10793276117334299</v>
      </c>
      <c r="AG163">
        <v>-0.19848499999999999</v>
      </c>
      <c r="AH163">
        <v>0.57106095117356903</v>
      </c>
      <c r="AI163">
        <v>108.856360192892</v>
      </c>
      <c r="AJ163">
        <v>79.297125377344003</v>
      </c>
      <c r="AK163">
        <v>0.61413059369710898</v>
      </c>
      <c r="AL163">
        <v>87.694903067031305</v>
      </c>
      <c r="AM163">
        <v>90.040260778037606</v>
      </c>
      <c r="AN163">
        <v>1.0000000255963899</v>
      </c>
    </row>
    <row r="164" spans="1:40" x14ac:dyDescent="0.25">
      <c r="A164" t="str">
        <f>"20190312150640125"</f>
        <v>20190312150640125</v>
      </c>
      <c r="B164" t="str">
        <f>"1552374400120859"</f>
        <v>1552374400120859</v>
      </c>
      <c r="C164" t="s">
        <v>40</v>
      </c>
      <c r="D164">
        <v>4.6038880000000004</v>
      </c>
      <c r="E164">
        <v>0.56036600000000003</v>
      </c>
      <c r="F164" t="s">
        <v>41</v>
      </c>
      <c r="G164">
        <v>-471.13339999999999</v>
      </c>
      <c r="H164">
        <v>0.90972450000000005</v>
      </c>
      <c r="I164">
        <v>367.07530000000003</v>
      </c>
      <c r="J164">
        <v>-471.79430000000002</v>
      </c>
      <c r="K164">
        <v>1.1089719999999901</v>
      </c>
      <c r="L164">
        <v>367.19650000000001</v>
      </c>
      <c r="M164">
        <v>0.9999903</v>
      </c>
      <c r="N164">
        <v>0</v>
      </c>
      <c r="O164">
        <v>-4.3510650000000003E-3</v>
      </c>
      <c r="P164">
        <v>0.99922319999999998</v>
      </c>
      <c r="Q164">
        <v>3.924739E-2</v>
      </c>
      <c r="R164">
        <v>-3.5842729999999998E-3</v>
      </c>
      <c r="S164">
        <v>3.0335999999999999</v>
      </c>
      <c r="T164">
        <v>-0.83592960000000005</v>
      </c>
      <c r="U164">
        <v>-0.50933839999999997</v>
      </c>
      <c r="V164">
        <v>-7.6024909999999998E-4</v>
      </c>
      <c r="W164">
        <v>3.9973880000000003E-2</v>
      </c>
      <c r="X164">
        <v>0.99920050000000005</v>
      </c>
      <c r="Y164">
        <v>0.1557973</v>
      </c>
      <c r="Z164">
        <v>-1.976491E-2</v>
      </c>
      <c r="AA164">
        <v>0.98759129999999995</v>
      </c>
      <c r="AB164">
        <v>11</v>
      </c>
      <c r="AC164">
        <v>0.66090000000002602</v>
      </c>
      <c r="AD164">
        <v>-0.19924749999999899</v>
      </c>
      <c r="AE164">
        <v>-0.121199999999987</v>
      </c>
      <c r="AF164">
        <v>0.108759729145462</v>
      </c>
      <c r="AG164">
        <v>-0.19924749999999899</v>
      </c>
      <c r="AH164">
        <v>0.60796157271926399</v>
      </c>
      <c r="AI164">
        <v>107.880164081828</v>
      </c>
      <c r="AJ164">
        <v>79.857505112038496</v>
      </c>
      <c r="AK164">
        <v>0.64895725502017798</v>
      </c>
      <c r="AL164">
        <v>87.709055134710695</v>
      </c>
      <c r="AM164">
        <v>90.0435939097339</v>
      </c>
      <c r="AN164">
        <v>1.0000000641305899</v>
      </c>
    </row>
    <row r="165" spans="1:40" x14ac:dyDescent="0.25">
      <c r="A165" t="str">
        <f>"20190312150640139"</f>
        <v>20190312150640139</v>
      </c>
      <c r="B165" t="str">
        <f>"1552374400131009"</f>
        <v>1552374400131009</v>
      </c>
      <c r="C165" t="s">
        <v>40</v>
      </c>
      <c r="D165">
        <v>4.7752179999999997</v>
      </c>
      <c r="E165">
        <v>0.5604903</v>
      </c>
      <c r="F165" t="s">
        <v>41</v>
      </c>
      <c r="G165">
        <v>-471.03800000000001</v>
      </c>
      <c r="H165">
        <v>0.90039669999999905</v>
      </c>
      <c r="I165">
        <v>367.0693</v>
      </c>
      <c r="J165">
        <v>-471.71960000000001</v>
      </c>
      <c r="K165">
        <v>1.1089599999999999</v>
      </c>
      <c r="L165">
        <v>367.1961</v>
      </c>
      <c r="M165">
        <v>0.99999020000000005</v>
      </c>
      <c r="N165">
        <v>0</v>
      </c>
      <c r="O165">
        <v>-4.3888690000000001E-3</v>
      </c>
      <c r="P165">
        <v>0.99921800000000005</v>
      </c>
      <c r="Q165">
        <v>3.9370460000000003E-2</v>
      </c>
      <c r="R165">
        <v>-3.674409E-3</v>
      </c>
      <c r="S165">
        <v>3.0333559999999999</v>
      </c>
      <c r="T165">
        <v>-0.83653509999999998</v>
      </c>
      <c r="U165">
        <v>-0.50869750000000002</v>
      </c>
      <c r="V165">
        <v>-7.0783450000000002E-4</v>
      </c>
      <c r="W165">
        <v>4.0131109999999998E-2</v>
      </c>
      <c r="X165">
        <v>0.99919409999999997</v>
      </c>
      <c r="Y165">
        <v>0.15557070000000001</v>
      </c>
      <c r="Z165">
        <v>-1.9739920000000001E-2</v>
      </c>
      <c r="AA165">
        <v>0.98762749999999999</v>
      </c>
      <c r="AB165">
        <v>11</v>
      </c>
      <c r="AC165">
        <v>0.68160000000000298</v>
      </c>
      <c r="AD165">
        <v>-0.20856330000000001</v>
      </c>
      <c r="AE165">
        <v>-0.12680000000000199</v>
      </c>
      <c r="AF165">
        <v>0.113532793971998</v>
      </c>
      <c r="AG165">
        <v>-0.20856330000000001</v>
      </c>
      <c r="AH165">
        <v>0.62553963558923698</v>
      </c>
      <c r="AI165">
        <v>108.162284725737</v>
      </c>
      <c r="AJ165">
        <v>79.713036592896103</v>
      </c>
      <c r="AK165">
        <v>0.66909504639258399</v>
      </c>
      <c r="AL165">
        <v>87.700038972646595</v>
      </c>
      <c r="AM165">
        <v>90.040588633038894</v>
      </c>
      <c r="AN165">
        <v>0.999999928247158</v>
      </c>
    </row>
    <row r="166" spans="1:40" x14ac:dyDescent="0.25">
      <c r="A166" t="str">
        <f>"20190312150640157"</f>
        <v>20190312150640157</v>
      </c>
      <c r="B166" t="str">
        <f>"1552374400150529"</f>
        <v>1552374400150529</v>
      </c>
      <c r="C166" t="s">
        <v>40</v>
      </c>
      <c r="D166">
        <v>4.471508</v>
      </c>
      <c r="E166">
        <v>0.56046809999999903</v>
      </c>
      <c r="F166" t="s">
        <v>41</v>
      </c>
      <c r="G166">
        <v>-471.03089999999997</v>
      </c>
      <c r="H166">
        <v>0.91868039999999995</v>
      </c>
      <c r="I166">
        <v>367.08</v>
      </c>
      <c r="J166">
        <v>-471.63690000000003</v>
      </c>
      <c r="K166">
        <v>1.1089530000000001</v>
      </c>
      <c r="L166">
        <v>367.19569999999999</v>
      </c>
      <c r="M166">
        <v>0.99998989999999999</v>
      </c>
      <c r="N166">
        <v>0</v>
      </c>
      <c r="O166">
        <v>-4.4302509999999996E-3</v>
      </c>
      <c r="P166">
        <v>0.99921090000000001</v>
      </c>
      <c r="Q166">
        <v>3.9552770000000001E-2</v>
      </c>
      <c r="R166">
        <v>-3.6605750000000001E-3</v>
      </c>
      <c r="S166">
        <v>3.033417</v>
      </c>
      <c r="T166">
        <v>-0.83800699999999995</v>
      </c>
      <c r="U166">
        <v>-0.50994870000000003</v>
      </c>
      <c r="V166">
        <v>-7.6261979999999905E-4</v>
      </c>
      <c r="W166">
        <v>4.0349790000000003E-2</v>
      </c>
      <c r="X166">
        <v>0.99918530000000005</v>
      </c>
      <c r="Y166">
        <v>0.15589420000000001</v>
      </c>
      <c r="Z166">
        <v>-1.9804840000000001E-2</v>
      </c>
      <c r="AA166">
        <v>0.98757519999999999</v>
      </c>
      <c r="AB166">
        <v>11</v>
      </c>
      <c r="AC166">
        <v>0.60600000000005105</v>
      </c>
      <c r="AD166">
        <v>-0.19027259999999999</v>
      </c>
      <c r="AE166">
        <v>-0.11570000000000299</v>
      </c>
      <c r="AF166">
        <v>0.103198227775513</v>
      </c>
      <c r="AG166">
        <v>-0.19027259999999999</v>
      </c>
      <c r="AH166">
        <v>0.55382816943259605</v>
      </c>
      <c r="AI166">
        <v>108.662164418884</v>
      </c>
      <c r="AJ166">
        <v>79.444775351676299</v>
      </c>
      <c r="AK166">
        <v>0.59462524146207096</v>
      </c>
      <c r="AL166">
        <v>87.687499483086896</v>
      </c>
      <c r="AM166">
        <v>90.0437305146787</v>
      </c>
      <c r="AN166">
        <v>0.99999997543904595</v>
      </c>
    </row>
    <row r="167" spans="1:40" x14ac:dyDescent="0.25">
      <c r="A167" t="str">
        <f>"20190312150640180"</f>
        <v>20190312150640180</v>
      </c>
      <c r="B167" t="str">
        <f>"1552374400171025"</f>
        <v>1552374400171025</v>
      </c>
      <c r="C167" t="s">
        <v>40</v>
      </c>
      <c r="D167">
        <v>4.420687</v>
      </c>
      <c r="E167">
        <v>0.56022260000000002</v>
      </c>
      <c r="F167" t="s">
        <v>41</v>
      </c>
      <c r="G167">
        <v>-470.93220000000002</v>
      </c>
      <c r="H167">
        <v>0.91401949999999998</v>
      </c>
      <c r="I167">
        <v>367.0772</v>
      </c>
      <c r="J167">
        <v>-471.51830000000001</v>
      </c>
      <c r="K167">
        <v>1.1089560000000001</v>
      </c>
      <c r="L167">
        <v>367.19510000000002</v>
      </c>
      <c r="M167">
        <v>0.99998969999999998</v>
      </c>
      <c r="N167">
        <v>0</v>
      </c>
      <c r="O167">
        <v>-4.4899980000000003E-3</v>
      </c>
      <c r="P167">
        <v>0.99919329999999995</v>
      </c>
      <c r="Q167">
        <v>3.9946160000000001E-2</v>
      </c>
      <c r="R167">
        <v>-4.1718299999999996E-3</v>
      </c>
      <c r="S167">
        <v>3.0336910000000001</v>
      </c>
      <c r="T167">
        <v>-0.83916259999999998</v>
      </c>
      <c r="U167">
        <v>-0.50976560000000004</v>
      </c>
      <c r="V167">
        <v>-3.109408E-4</v>
      </c>
      <c r="W167">
        <v>4.0794320000000002E-2</v>
      </c>
      <c r="X167">
        <v>0.99916749999999999</v>
      </c>
      <c r="Y167">
        <v>0.1557558</v>
      </c>
      <c r="Z167">
        <v>-1.9794800000000001E-2</v>
      </c>
      <c r="AA167">
        <v>0.98759719999999995</v>
      </c>
      <c r="AB167">
        <v>11</v>
      </c>
      <c r="AC167">
        <v>0.58609999999998696</v>
      </c>
      <c r="AD167">
        <v>-0.19493650000000001</v>
      </c>
      <c r="AE167">
        <v>-0.11790000000002</v>
      </c>
      <c r="AF167">
        <v>0.10418976106269801</v>
      </c>
      <c r="AG167">
        <v>-0.19493650000000001</v>
      </c>
      <c r="AH167">
        <v>0.53024751327154596</v>
      </c>
      <c r="AI167">
        <v>109.836153585052</v>
      </c>
      <c r="AJ167">
        <v>78.883422180308798</v>
      </c>
      <c r="AK167">
        <v>0.57447207997709604</v>
      </c>
      <c r="AL167">
        <v>87.662008818762104</v>
      </c>
      <c r="AM167">
        <v>90.017830438783506</v>
      </c>
      <c r="AN167">
        <v>0.99999998314234595</v>
      </c>
    </row>
    <row r="168" spans="1:40" x14ac:dyDescent="0.25">
      <c r="A168" t="str">
        <f>"20190312150640193"</f>
        <v>20190312150640193</v>
      </c>
      <c r="B168" t="str">
        <f>"1552374400190546"</f>
        <v>1552374400190546</v>
      </c>
      <c r="C168" t="s">
        <v>40</v>
      </c>
      <c r="D168">
        <v>4.5316429999999999</v>
      </c>
      <c r="E168">
        <v>0.51323339999999995</v>
      </c>
      <c r="F168" t="s">
        <v>41</v>
      </c>
      <c r="G168">
        <v>-470.82830000000001</v>
      </c>
      <c r="H168">
        <v>0.91858949999999995</v>
      </c>
      <c r="I168">
        <v>367.07929999999999</v>
      </c>
      <c r="J168">
        <v>-471.45139999999998</v>
      </c>
      <c r="K168">
        <v>1.108954</v>
      </c>
      <c r="L168">
        <v>367.19479999999999</v>
      </c>
      <c r="M168">
        <v>0.99998949999999998</v>
      </c>
      <c r="N168">
        <v>0</v>
      </c>
      <c r="O168">
        <v>-4.5233900000000004E-3</v>
      </c>
      <c r="P168">
        <v>0.99919389999999997</v>
      </c>
      <c r="Q168">
        <v>3.9934360000000002E-2</v>
      </c>
      <c r="R168">
        <v>-4.165808E-3</v>
      </c>
      <c r="S168">
        <v>3.0337519999999998</v>
      </c>
      <c r="T168">
        <v>-0.83690520000000002</v>
      </c>
      <c r="U168">
        <v>-0.50942989999999999</v>
      </c>
      <c r="V168">
        <v>-3.5096150000000001E-4</v>
      </c>
      <c r="W168">
        <v>4.0811479999999997E-2</v>
      </c>
      <c r="X168">
        <v>0.99916680000000002</v>
      </c>
      <c r="Y168">
        <v>0.155647799999999</v>
      </c>
      <c r="Z168">
        <v>-1.97197E-2</v>
      </c>
      <c r="AA168">
        <v>0.98761580000000004</v>
      </c>
      <c r="AB168">
        <v>11</v>
      </c>
      <c r="AC168">
        <v>0.62309999999996502</v>
      </c>
      <c r="AD168">
        <v>-0.19036449999999899</v>
      </c>
      <c r="AE168">
        <v>-0.11549999999999699</v>
      </c>
      <c r="AF168">
        <v>0.103353939317487</v>
      </c>
      <c r="AG168">
        <v>-0.19036449999999899</v>
      </c>
      <c r="AH168">
        <v>0.57200044740253198</v>
      </c>
      <c r="AI168">
        <v>108.133701832374</v>
      </c>
      <c r="AJ168">
        <v>79.757817196070604</v>
      </c>
      <c r="AK168">
        <v>0.61164139122641903</v>
      </c>
      <c r="AL168">
        <v>87.661024836473004</v>
      </c>
      <c r="AM168">
        <v>90.020125380361506</v>
      </c>
      <c r="AN168">
        <v>0.99999999714800203</v>
      </c>
    </row>
    <row r="169" spans="1:40" x14ac:dyDescent="0.25">
      <c r="A169" t="str">
        <f>"20190312150640212"</f>
        <v>20190312150640212</v>
      </c>
      <c r="B169" t="str">
        <f>"1552374400201281"</f>
        <v>1552374400201281</v>
      </c>
      <c r="C169" t="s">
        <v>40</v>
      </c>
      <c r="D169">
        <v>4.5608839999999997</v>
      </c>
      <c r="E169">
        <v>0.51129190000000002</v>
      </c>
      <c r="F169" t="s">
        <v>41</v>
      </c>
      <c r="G169">
        <v>-470.67230000000001</v>
      </c>
      <c r="H169">
        <v>1.030278</v>
      </c>
      <c r="I169">
        <v>367.16230000000002</v>
      </c>
      <c r="J169">
        <v>-471.35169999999999</v>
      </c>
      <c r="K169">
        <v>1.1089389999999999</v>
      </c>
      <c r="L169">
        <v>367.1943</v>
      </c>
      <c r="M169">
        <v>0.99998929999999997</v>
      </c>
      <c r="N169">
        <v>0</v>
      </c>
      <c r="O169">
        <v>-4.5734479999999999E-3</v>
      </c>
      <c r="P169">
        <v>0.99918589999999996</v>
      </c>
      <c r="Q169">
        <v>4.0125649999999999E-2</v>
      </c>
      <c r="R169">
        <v>-4.2077240000000004E-3</v>
      </c>
      <c r="S169">
        <v>3.0141300000000002</v>
      </c>
      <c r="T169">
        <v>-0.3045235</v>
      </c>
      <c r="U169">
        <v>-0.12521360000000001</v>
      </c>
      <c r="V169">
        <v>-3.5810559999999999E-4</v>
      </c>
      <c r="W169">
        <v>4.0980129999999997E-2</v>
      </c>
      <c r="X169">
        <v>0.99915989999999999</v>
      </c>
      <c r="Y169">
        <v>3.6772840000000001E-2</v>
      </c>
      <c r="Z169">
        <v>-1.391425E-3</v>
      </c>
      <c r="AA169">
        <v>0.99932270000000001</v>
      </c>
      <c r="AB169">
        <v>11</v>
      </c>
      <c r="AC169">
        <v>0.67939999999998602</v>
      </c>
      <c r="AD169">
        <v>-7.8660999999999801E-2</v>
      </c>
      <c r="AE169">
        <v>-3.1999999999982202E-2</v>
      </c>
      <c r="AF169">
        <v>2.8511117578021099E-2</v>
      </c>
      <c r="AG169">
        <v>-7.8660999999999801E-2</v>
      </c>
      <c r="AH169">
        <v>0.67057012877076505</v>
      </c>
      <c r="AI169">
        <v>96.684501249354696</v>
      </c>
      <c r="AJ169">
        <v>87.565380056823599</v>
      </c>
      <c r="AK169">
        <v>0.67576973470716195</v>
      </c>
      <c r="AL169">
        <v>87.651353825251604</v>
      </c>
      <c r="AM169">
        <v>90.020535190234696</v>
      </c>
      <c r="AN169">
        <v>1.0000000025312199</v>
      </c>
    </row>
    <row r="170" spans="1:40" x14ac:dyDescent="0.25">
      <c r="A170" t="str">
        <f>"20190312150640226"</f>
        <v>20190312150640226</v>
      </c>
      <c r="B170" t="str">
        <f>"1552374400220802"</f>
        <v>1552374400220802</v>
      </c>
      <c r="C170" t="s">
        <v>40</v>
      </c>
      <c r="D170">
        <v>4.4959730000000002</v>
      </c>
      <c r="E170">
        <v>0.50946059999999904</v>
      </c>
      <c r="F170" t="s">
        <v>41</v>
      </c>
      <c r="G170">
        <v>-470.56009999999998</v>
      </c>
      <c r="H170">
        <v>1.043625</v>
      </c>
      <c r="I170">
        <v>367.16520000000003</v>
      </c>
      <c r="J170">
        <v>-471.27949999999998</v>
      </c>
      <c r="K170">
        <v>1.108905</v>
      </c>
      <c r="L170">
        <v>367.19389999999999</v>
      </c>
      <c r="M170">
        <v>0.99998920000000002</v>
      </c>
      <c r="N170">
        <v>0</v>
      </c>
      <c r="O170">
        <v>-4.6103759999999898E-3</v>
      </c>
      <c r="P170">
        <v>0.99917659999999997</v>
      </c>
      <c r="Q170">
        <v>4.0354550000000003E-2</v>
      </c>
      <c r="R170">
        <v>-4.2635040000000004E-3</v>
      </c>
      <c r="S170">
        <v>3.0119929999999999</v>
      </c>
      <c r="T170">
        <v>-0.24878810000000001</v>
      </c>
      <c r="U170">
        <v>-0.1089783</v>
      </c>
      <c r="V170">
        <v>-3.3952219999999999E-4</v>
      </c>
      <c r="W170">
        <v>4.1149749999999999E-2</v>
      </c>
      <c r="X170">
        <v>0.99915299999999996</v>
      </c>
      <c r="Y170">
        <v>3.1458729999999997E-2</v>
      </c>
      <c r="Z170">
        <v>-9.1656859999999997E-4</v>
      </c>
      <c r="AA170">
        <v>0.99950459999999997</v>
      </c>
      <c r="AB170">
        <v>12</v>
      </c>
      <c r="AC170">
        <v>0.71940000000000703</v>
      </c>
      <c r="AD170">
        <v>-6.5279999999999894E-2</v>
      </c>
      <c r="AE170">
        <v>-2.8699999999957902E-2</v>
      </c>
      <c r="AF170">
        <v>2.5176015924953301E-2</v>
      </c>
      <c r="AG170">
        <v>-6.5279999999999894E-2</v>
      </c>
      <c r="AH170">
        <v>0.71365763704817098</v>
      </c>
      <c r="AI170">
        <v>95.223208667585695</v>
      </c>
      <c r="AJ170">
        <v>87.979589313614696</v>
      </c>
      <c r="AK170">
        <v>0.71707916794105298</v>
      </c>
      <c r="AL170">
        <v>87.641627263307399</v>
      </c>
      <c r="AM170">
        <v>90.019469679180503</v>
      </c>
      <c r="AN170">
        <v>1.00000006730469</v>
      </c>
    </row>
    <row r="171" spans="1:40" x14ac:dyDescent="0.25">
      <c r="A171" t="str">
        <f>"20190312150640238"</f>
        <v>20190312150640238</v>
      </c>
      <c r="B171" t="str">
        <f>"1552374400230562"</f>
        <v>1552374400230562</v>
      </c>
      <c r="C171" t="s">
        <v>40</v>
      </c>
      <c r="D171">
        <v>4.523231</v>
      </c>
      <c r="E171">
        <v>0.50938519999999998</v>
      </c>
      <c r="F171" t="s">
        <v>42</v>
      </c>
      <c r="G171">
        <v>-452.76839999999999</v>
      </c>
      <c r="H171" s="1">
        <v>-3.6165750000000002E-6</v>
      </c>
      <c r="I171">
        <v>366.61759999999998</v>
      </c>
      <c r="J171">
        <v>-471.2099</v>
      </c>
      <c r="K171">
        <v>1.108859</v>
      </c>
      <c r="L171">
        <v>367.19349999999997</v>
      </c>
      <c r="M171">
        <v>0.99998889999999996</v>
      </c>
      <c r="N171">
        <v>0</v>
      </c>
      <c r="O171">
        <v>-4.6451119999999999E-3</v>
      </c>
      <c r="P171">
        <v>0.99916539999999998</v>
      </c>
      <c r="Q171">
        <v>4.0600079999999997E-2</v>
      </c>
      <c r="R171">
        <v>-4.510399E-3</v>
      </c>
      <c r="S171">
        <v>3.0093990000000002</v>
      </c>
      <c r="T171">
        <v>-0.18027750000000001</v>
      </c>
      <c r="U171">
        <v>-9.3688960000000002E-2</v>
      </c>
      <c r="V171">
        <v>-1.2703120000000001E-4</v>
      </c>
      <c r="W171">
        <v>4.1494200000000002E-2</v>
      </c>
      <c r="X171">
        <v>0.99913870000000005</v>
      </c>
      <c r="Y171">
        <v>2.643481E-2</v>
      </c>
      <c r="Z171">
        <v>-5.1294359999999996E-4</v>
      </c>
      <c r="AA171">
        <v>0.99965040000000005</v>
      </c>
      <c r="AB171">
        <v>12</v>
      </c>
      <c r="AC171">
        <v>18.441500000000001</v>
      </c>
      <c r="AD171">
        <v>-1.108862616575</v>
      </c>
      <c r="AE171">
        <v>-0.57589999999998998</v>
      </c>
      <c r="AF171">
        <v>0.488466618574455</v>
      </c>
      <c r="AG171">
        <v>-1.108862616575</v>
      </c>
      <c r="AH171">
        <v>18.377597513899701</v>
      </c>
      <c r="AI171">
        <v>93.451695282479903</v>
      </c>
      <c r="AJ171">
        <v>88.477467590991196</v>
      </c>
      <c r="AK171">
        <v>18.417498916052399</v>
      </c>
      <c r="AL171">
        <v>87.621874614945298</v>
      </c>
      <c r="AM171">
        <v>90.007284625835496</v>
      </c>
      <c r="AN171">
        <v>0.99999996330412699</v>
      </c>
    </row>
    <row r="172" spans="1:40" x14ac:dyDescent="0.25">
      <c r="A172" t="str">
        <f>"20190312150640256"</f>
        <v>20190312150640256</v>
      </c>
      <c r="B172" t="str">
        <f>"1552374400251058"</f>
        <v>1552374400251058</v>
      </c>
      <c r="C172" t="s">
        <v>40</v>
      </c>
      <c r="D172">
        <v>4.532006</v>
      </c>
      <c r="E172">
        <v>0.50930690000000001</v>
      </c>
      <c r="F172" t="s">
        <v>42</v>
      </c>
      <c r="G172">
        <v>-450.29899999999998</v>
      </c>
      <c r="H172" s="1">
        <v>-4.6887490000000004E-6</v>
      </c>
      <c r="I172">
        <v>366.54539999999997</v>
      </c>
      <c r="J172">
        <v>-471.11239999999998</v>
      </c>
      <c r="K172">
        <v>1.108803</v>
      </c>
      <c r="L172">
        <v>367.19310000000002</v>
      </c>
      <c r="M172">
        <v>0.99998849999999995</v>
      </c>
      <c r="N172">
        <v>0</v>
      </c>
      <c r="O172">
        <v>-4.6929210000000001E-3</v>
      </c>
      <c r="P172">
        <v>0.99916890000000003</v>
      </c>
      <c r="Q172">
        <v>4.048189E-2</v>
      </c>
      <c r="R172">
        <v>-4.8128600000000004E-3</v>
      </c>
      <c r="S172">
        <v>3.008575</v>
      </c>
      <c r="T172">
        <v>-0.15953800000000001</v>
      </c>
      <c r="U172">
        <v>-9.32312E-2</v>
      </c>
      <c r="V172">
        <v>1.27439E-4</v>
      </c>
      <c r="W172">
        <v>4.160378E-2</v>
      </c>
      <c r="X172">
        <v>0.99913419999999997</v>
      </c>
      <c r="Y172">
        <v>2.6252350000000001E-2</v>
      </c>
      <c r="Z172">
        <v>-4.4678090000000001E-4</v>
      </c>
      <c r="AA172">
        <v>0.99965519999999997</v>
      </c>
      <c r="AB172">
        <v>12</v>
      </c>
      <c r="AC172">
        <v>20.813399999999898</v>
      </c>
      <c r="AD172">
        <v>-1.1088076887489999</v>
      </c>
      <c r="AE172">
        <v>-0.64770000000004302</v>
      </c>
      <c r="AF172">
        <v>0.54846209834895998</v>
      </c>
      <c r="AG172">
        <v>-1.1088076887489999</v>
      </c>
      <c r="AH172">
        <v>20.757356131873301</v>
      </c>
      <c r="AI172">
        <v>93.056630877851305</v>
      </c>
      <c r="AJ172">
        <v>88.486452065779503</v>
      </c>
      <c r="AK172">
        <v>20.794184253039901</v>
      </c>
      <c r="AL172">
        <v>87.615590852538901</v>
      </c>
      <c r="AM172">
        <v>89.992691955889597</v>
      </c>
      <c r="AN172">
        <v>1.0000000201803101</v>
      </c>
    </row>
    <row r="173" spans="1:40" x14ac:dyDescent="0.25">
      <c r="A173" t="str">
        <f>"20190312150640269"</f>
        <v>20190312150640269</v>
      </c>
      <c r="B173" t="str">
        <f>"1552374400260819"</f>
        <v>1552374400260819</v>
      </c>
      <c r="C173" t="s">
        <v>40</v>
      </c>
      <c r="D173">
        <v>4.4904820000000001</v>
      </c>
      <c r="E173">
        <v>0.50940450000000004</v>
      </c>
      <c r="F173" t="s">
        <v>42</v>
      </c>
      <c r="G173">
        <v>-446.2278</v>
      </c>
      <c r="H173" s="1">
        <v>-2.3298729999999998E-6</v>
      </c>
      <c r="I173">
        <v>366.42419999999998</v>
      </c>
      <c r="J173">
        <v>-471.04419999999999</v>
      </c>
      <c r="K173">
        <v>1.1087640000000001</v>
      </c>
      <c r="L173">
        <v>367.1927</v>
      </c>
      <c r="M173">
        <v>0.99998810000000005</v>
      </c>
      <c r="N173">
        <v>0</v>
      </c>
      <c r="O173">
        <v>-4.7259379999999998E-3</v>
      </c>
      <c r="P173">
        <v>0.99917259999999997</v>
      </c>
      <c r="Q173">
        <v>4.035242E-2</v>
      </c>
      <c r="R173">
        <v>-5.1327389999999999E-3</v>
      </c>
      <c r="S173">
        <v>3.0074459999999998</v>
      </c>
      <c r="T173">
        <v>-0.13400509999999999</v>
      </c>
      <c r="U173">
        <v>-9.2926030000000007E-2</v>
      </c>
      <c r="V173">
        <v>4.1444490000000001E-4</v>
      </c>
      <c r="W173">
        <v>4.1650949999999999E-2</v>
      </c>
      <c r="X173">
        <v>0.99913220000000003</v>
      </c>
      <c r="Y173">
        <v>2.6138649999999999E-2</v>
      </c>
      <c r="Z173">
        <v>-3.714942E-4</v>
      </c>
      <c r="AA173">
        <v>0.9996583</v>
      </c>
      <c r="AB173">
        <v>12</v>
      </c>
      <c r="AC173">
        <v>24.816399999999899</v>
      </c>
      <c r="AD173">
        <v>-1.1087663298729999</v>
      </c>
      <c r="AE173">
        <v>-0.76850000000001695</v>
      </c>
      <c r="AF173">
        <v>0.64991445255833102</v>
      </c>
      <c r="AG173">
        <v>-1.1087663298729999</v>
      </c>
      <c r="AH173">
        <v>24.7703557188666</v>
      </c>
      <c r="AI173">
        <v>92.562072293001606</v>
      </c>
      <c r="AJ173">
        <v>88.497041614739999</v>
      </c>
      <c r="AK173">
        <v>24.803674606982899</v>
      </c>
      <c r="AL173">
        <v>87.612885968851103</v>
      </c>
      <c r="AM173">
        <v>89.976233433124406</v>
      </c>
      <c r="AN173">
        <v>1.0000000632386501</v>
      </c>
    </row>
    <row r="174" spans="1:40" x14ac:dyDescent="0.25">
      <c r="A174" t="str">
        <f>"20190312150640282"</f>
        <v>20190312150640282</v>
      </c>
      <c r="B174" t="str">
        <f>"1552374400270578"</f>
        <v>1552374400270578</v>
      </c>
      <c r="C174" t="s">
        <v>40</v>
      </c>
      <c r="D174">
        <v>4.4395069999999999</v>
      </c>
      <c r="E174">
        <v>0.50940450000000004</v>
      </c>
      <c r="F174" t="s">
        <v>42</v>
      </c>
      <c r="G174">
        <v>-444.07810000000001</v>
      </c>
      <c r="H174" s="1">
        <v>-3.3596540000000002E-6</v>
      </c>
      <c r="I174">
        <v>366.34730000000002</v>
      </c>
      <c r="J174">
        <v>-470.9751</v>
      </c>
      <c r="K174">
        <v>1.1087229999999999</v>
      </c>
      <c r="L174">
        <v>367.19229999999999</v>
      </c>
      <c r="M174">
        <v>0.99998770000000003</v>
      </c>
      <c r="N174">
        <v>0</v>
      </c>
      <c r="O174">
        <v>-4.7590810000000001E-3</v>
      </c>
      <c r="P174">
        <v>0.99919040000000003</v>
      </c>
      <c r="Q174">
        <v>3.990353E-2</v>
      </c>
      <c r="R174">
        <v>-5.171653E-3</v>
      </c>
      <c r="S174">
        <v>3.0069889999999999</v>
      </c>
      <c r="T174">
        <v>-0.1236387</v>
      </c>
      <c r="U174">
        <v>-9.42688E-2</v>
      </c>
      <c r="V174">
        <v>4.1999870000000001E-4</v>
      </c>
      <c r="W174">
        <v>4.1367960000000002E-2</v>
      </c>
      <c r="X174">
        <v>0.99914389999999997</v>
      </c>
      <c r="Y174">
        <v>2.6558999999999999E-2</v>
      </c>
      <c r="Z174">
        <v>-3.5010530000000002E-4</v>
      </c>
      <c r="AA174">
        <v>0.99964719999999996</v>
      </c>
      <c r="AB174">
        <v>12</v>
      </c>
      <c r="AC174">
        <v>26.896999999999899</v>
      </c>
      <c r="AD174">
        <v>-1.10872635965399</v>
      </c>
      <c r="AE174">
        <v>-0.84499999999997</v>
      </c>
      <c r="AF174">
        <v>0.715770276241528</v>
      </c>
      <c r="AG174">
        <v>-1.10872635965399</v>
      </c>
      <c r="AH174">
        <v>26.855129949625798</v>
      </c>
      <c r="AI174">
        <v>92.363301610505204</v>
      </c>
      <c r="AJ174">
        <v>88.473255982874207</v>
      </c>
      <c r="AK174">
        <v>26.887536254559102</v>
      </c>
      <c r="AL174">
        <v>87.629113958003003</v>
      </c>
      <c r="AM174">
        <v>89.975915229534394</v>
      </c>
      <c r="AN174">
        <v>1.00000000871033</v>
      </c>
    </row>
    <row r="175" spans="1:40" x14ac:dyDescent="0.25">
      <c r="A175" t="str">
        <f>"20190312150640301"</f>
        <v>20190312150640301</v>
      </c>
      <c r="B175" t="str">
        <f>"1552374400291077"</f>
        <v>1552374400291077</v>
      </c>
      <c r="C175" t="s">
        <v>40</v>
      </c>
      <c r="D175">
        <v>4.5107889999999999</v>
      </c>
      <c r="E175">
        <v>0.5095364</v>
      </c>
      <c r="F175" t="s">
        <v>42</v>
      </c>
      <c r="G175">
        <v>-444.30110000000002</v>
      </c>
      <c r="H175" s="1">
        <v>-3.253161E-6</v>
      </c>
      <c r="I175">
        <v>366.35340000000002</v>
      </c>
      <c r="J175">
        <v>-470.86900000000003</v>
      </c>
      <c r="K175">
        <v>1.108649</v>
      </c>
      <c r="L175">
        <v>367.19170000000003</v>
      </c>
      <c r="M175">
        <v>0.99998719999999996</v>
      </c>
      <c r="N175">
        <v>0</v>
      </c>
      <c r="O175">
        <v>-4.8102320000000002E-3</v>
      </c>
      <c r="P175">
        <v>0.99919239999999998</v>
      </c>
      <c r="Q175">
        <v>3.9854720000000003E-2</v>
      </c>
      <c r="R175">
        <v>-5.1398839999999999E-3</v>
      </c>
      <c r="S175">
        <v>3.0069270000000001</v>
      </c>
      <c r="T175">
        <v>-0.1249856</v>
      </c>
      <c r="U175">
        <v>-9.4573969999999993E-2</v>
      </c>
      <c r="V175">
        <v>3.3740389999999999E-4</v>
      </c>
      <c r="W175">
        <v>4.1475619999999998E-2</v>
      </c>
      <c r="X175">
        <v>0.99913949999999996</v>
      </c>
      <c r="Y175">
        <v>2.6609460000000001E-2</v>
      </c>
      <c r="Z175">
        <v>-3.5284589999999902E-4</v>
      </c>
      <c r="AA175">
        <v>0.99964580000000003</v>
      </c>
      <c r="AB175">
        <v>12</v>
      </c>
      <c r="AC175">
        <v>26.567900000000002</v>
      </c>
      <c r="AD175">
        <v>-1.1086522531609999</v>
      </c>
      <c r="AE175">
        <v>-0.83830000000000304</v>
      </c>
      <c r="AF175">
        <v>0.70925857039528795</v>
      </c>
      <c r="AG175">
        <v>-1.1086522531609999</v>
      </c>
      <c r="AH175">
        <v>26.525481890013701</v>
      </c>
      <c r="AI175">
        <v>92.392472649599995</v>
      </c>
      <c r="AJ175">
        <v>88.468346692659495</v>
      </c>
      <c r="AK175">
        <v>26.5581126406897</v>
      </c>
      <c r="AL175">
        <v>87.622940271828796</v>
      </c>
      <c r="AM175">
        <v>89.980651531916806</v>
      </c>
      <c r="AN175">
        <v>1.0000000406780101</v>
      </c>
    </row>
    <row r="176" spans="1:40" x14ac:dyDescent="0.25">
      <c r="A176" t="str">
        <f>"20190312150640314"</f>
        <v>20190312150640314</v>
      </c>
      <c r="B176" t="str">
        <f>"1552374400310593"</f>
        <v>1552374400310593</v>
      </c>
      <c r="C176" t="s">
        <v>40</v>
      </c>
      <c r="D176">
        <v>4.5023099999999996</v>
      </c>
      <c r="E176">
        <v>0.50979509999999995</v>
      </c>
      <c r="F176" t="s">
        <v>42</v>
      </c>
      <c r="G176">
        <v>-441.0523</v>
      </c>
      <c r="H176" s="1">
        <v>-4.8082500000000001E-6</v>
      </c>
      <c r="I176">
        <v>366.24439999999998</v>
      </c>
      <c r="J176">
        <v>-470.8005</v>
      </c>
      <c r="K176">
        <v>1.1086049999999901</v>
      </c>
      <c r="L176">
        <v>367.19139999999999</v>
      </c>
      <c r="M176">
        <v>0.99998699999999996</v>
      </c>
      <c r="N176">
        <v>0</v>
      </c>
      <c r="O176">
        <v>-4.8440150000000001E-3</v>
      </c>
      <c r="P176">
        <v>0.99919429999999998</v>
      </c>
      <c r="Q176">
        <v>3.9774480000000001E-2</v>
      </c>
      <c r="R176">
        <v>-5.3924109999999997E-3</v>
      </c>
      <c r="S176">
        <v>3.0063780000000002</v>
      </c>
      <c r="T176">
        <v>-0.1117842</v>
      </c>
      <c r="U176">
        <v>-9.5520019999999997E-2</v>
      </c>
      <c r="V176">
        <v>5.5618620000000003E-4</v>
      </c>
      <c r="W176">
        <v>4.144751E-2</v>
      </c>
      <c r="X176">
        <v>0.99914049999999999</v>
      </c>
      <c r="Y176">
        <v>2.6899260000000001E-2</v>
      </c>
      <c r="Z176">
        <v>-3.1978969999999998E-4</v>
      </c>
      <c r="AA176">
        <v>0.99963809999999997</v>
      </c>
      <c r="AB176">
        <v>12</v>
      </c>
      <c r="AC176">
        <v>29.748200000000001</v>
      </c>
      <c r="AD176">
        <v>-1.10860980824999</v>
      </c>
      <c r="AE176">
        <v>-0.94700000000000195</v>
      </c>
      <c r="AF176">
        <v>0.80177561046332801</v>
      </c>
      <c r="AG176">
        <v>-1.10860980824999</v>
      </c>
      <c r="AH176">
        <v>29.711217453924601</v>
      </c>
      <c r="AI176">
        <v>92.136099834506894</v>
      </c>
      <c r="AJ176">
        <v>88.4542130458359</v>
      </c>
      <c r="AK176">
        <v>29.742701666642098</v>
      </c>
      <c r="AL176">
        <v>87.624552079225097</v>
      </c>
      <c r="AM176">
        <v>89.968105468057999</v>
      </c>
      <c r="AN176">
        <v>0.99999997208426905</v>
      </c>
    </row>
    <row r="177" spans="1:40" x14ac:dyDescent="0.25">
      <c r="A177" t="str">
        <f>"20190312150640327"</f>
        <v>20190312150640327</v>
      </c>
      <c r="B177" t="str">
        <f>"1552374400320355"</f>
        <v>1552374400320355</v>
      </c>
      <c r="C177" t="s">
        <v>40</v>
      </c>
      <c r="D177">
        <v>4.4832289999999997</v>
      </c>
      <c r="E177">
        <v>0.5098509</v>
      </c>
      <c r="F177" t="s">
        <v>43</v>
      </c>
      <c r="G177">
        <v>-436.82080000000002</v>
      </c>
      <c r="H177">
        <v>-0.05</v>
      </c>
      <c r="I177">
        <v>366.08330000000001</v>
      </c>
      <c r="J177">
        <v>-470.7276</v>
      </c>
      <c r="K177">
        <v>1.1085609999999999</v>
      </c>
      <c r="L177">
        <v>367.19099999999997</v>
      </c>
      <c r="M177">
        <v>0.99998659999999995</v>
      </c>
      <c r="N177">
        <v>0</v>
      </c>
      <c r="O177">
        <v>-4.8800509999999998E-3</v>
      </c>
      <c r="P177">
        <v>0.99920330000000002</v>
      </c>
      <c r="Q177">
        <v>3.9525810000000001E-2</v>
      </c>
      <c r="R177">
        <v>-5.5637830000000001E-3</v>
      </c>
      <c r="S177">
        <v>3.0059809999999998</v>
      </c>
      <c r="T177">
        <v>-0.102495</v>
      </c>
      <c r="U177">
        <v>-9.8022460000000006E-2</v>
      </c>
      <c r="V177">
        <v>6.9129089999999999E-4</v>
      </c>
      <c r="W177">
        <v>4.12374E-2</v>
      </c>
      <c r="X177">
        <v>0.99914910000000001</v>
      </c>
      <c r="Y177">
        <v>2.770071E-2</v>
      </c>
      <c r="Z177">
        <v>-3.0569400000000002E-4</v>
      </c>
      <c r="AA177">
        <v>0.99961619999999995</v>
      </c>
      <c r="AB177">
        <v>12</v>
      </c>
      <c r="AC177">
        <v>33.906799999999897</v>
      </c>
      <c r="AD177">
        <v>-1.158561</v>
      </c>
      <c r="AE177">
        <v>-1.1076999999999599</v>
      </c>
      <c r="AF177">
        <v>0.94112204275070099</v>
      </c>
      <c r="AG177">
        <v>-1.158561</v>
      </c>
      <c r="AH177">
        <v>33.872297481895302</v>
      </c>
      <c r="AI177">
        <v>91.958214090511007</v>
      </c>
      <c r="AJ177">
        <v>88.408479614699601</v>
      </c>
      <c r="AK177">
        <v>33.9051693845066</v>
      </c>
      <c r="AL177">
        <v>87.636600774468405</v>
      </c>
      <c r="AM177">
        <v>89.9603582241472</v>
      </c>
      <c r="AN177">
        <v>0.99999996253633805</v>
      </c>
    </row>
    <row r="178" spans="1:40" x14ac:dyDescent="0.25">
      <c r="A178" t="str">
        <f>"20190312150640347"</f>
        <v>20190312150640347</v>
      </c>
      <c r="B178" t="str">
        <f>"1552374400340850"</f>
        <v>1552374400340850</v>
      </c>
      <c r="C178" t="s">
        <v>40</v>
      </c>
      <c r="D178">
        <v>4.487914</v>
      </c>
      <c r="E178">
        <v>0.50988169999999999</v>
      </c>
      <c r="F178" t="s">
        <v>43</v>
      </c>
      <c r="G178">
        <v>-435.9726</v>
      </c>
      <c r="H178">
        <v>-0.05</v>
      </c>
      <c r="I178">
        <v>366.05059999999997</v>
      </c>
      <c r="J178">
        <v>-470.60969999999998</v>
      </c>
      <c r="K178">
        <v>1.1085160000000001</v>
      </c>
      <c r="L178">
        <v>367.19040000000001</v>
      </c>
      <c r="M178">
        <v>0.99998640000000005</v>
      </c>
      <c r="N178">
        <v>0</v>
      </c>
      <c r="O178">
        <v>-4.9392070000000001E-3</v>
      </c>
      <c r="P178">
        <v>0.99919530000000001</v>
      </c>
      <c r="Q178">
        <v>3.970978E-2</v>
      </c>
      <c r="R178">
        <v>-5.6823129999999996E-3</v>
      </c>
      <c r="S178">
        <v>3.0058289999999999</v>
      </c>
      <c r="T178">
        <v>-0.1001996</v>
      </c>
      <c r="U178">
        <v>-9.8632810000000001E-2</v>
      </c>
      <c r="V178">
        <v>7.5077729999999999E-4</v>
      </c>
      <c r="W178">
        <v>4.1452749999999997E-2</v>
      </c>
      <c r="X178">
        <v>0.99914020000000003</v>
      </c>
      <c r="Y178">
        <v>2.7846530000000001E-2</v>
      </c>
      <c r="Z178">
        <v>-2.9932439999999998E-4</v>
      </c>
      <c r="AA178">
        <v>0.99961219999999995</v>
      </c>
      <c r="AB178">
        <v>13</v>
      </c>
      <c r="AC178">
        <v>34.637099999999897</v>
      </c>
      <c r="AD178">
        <v>-1.1585159999999901</v>
      </c>
      <c r="AE178">
        <v>-1.1398000000000299</v>
      </c>
      <c r="AF178">
        <v>0.96762472083638595</v>
      </c>
      <c r="AG178">
        <v>-1.1585159999999901</v>
      </c>
      <c r="AH178">
        <v>34.603637339664203</v>
      </c>
      <c r="AI178">
        <v>91.9167749676662</v>
      </c>
      <c r="AJ178">
        <v>88.398250203418598</v>
      </c>
      <c r="AK178">
        <v>34.6365439104082</v>
      </c>
      <c r="AL178">
        <v>87.6242516971474</v>
      </c>
      <c r="AM178">
        <v>89.956946620156003</v>
      </c>
      <c r="AN178">
        <v>1.00000001670257</v>
      </c>
    </row>
    <row r="179" spans="1:40" x14ac:dyDescent="0.25">
      <c r="A179" t="str">
        <f>"20190312150640361"</f>
        <v>20190312150640361</v>
      </c>
      <c r="B179" t="str">
        <f>"1552374400350610"</f>
        <v>1552374400350610</v>
      </c>
      <c r="C179" t="s">
        <v>40</v>
      </c>
      <c r="D179">
        <v>4.4787419999999996</v>
      </c>
      <c r="E179">
        <v>0.50988549999999999</v>
      </c>
      <c r="F179" t="s">
        <v>43</v>
      </c>
      <c r="G179">
        <v>-432.13029999999998</v>
      </c>
      <c r="H179">
        <v>-0.05</v>
      </c>
      <c r="I179">
        <v>365.9205</v>
      </c>
      <c r="J179">
        <v>-470.52839999999998</v>
      </c>
      <c r="K179">
        <v>1.1085</v>
      </c>
      <c r="L179">
        <v>367.18990000000002</v>
      </c>
      <c r="M179">
        <v>0.99998609999999999</v>
      </c>
      <c r="N179">
        <v>0</v>
      </c>
      <c r="O179">
        <v>-4.9801109999999997E-3</v>
      </c>
      <c r="P179">
        <v>0.99918609999999997</v>
      </c>
      <c r="Q179">
        <v>3.9921789999999999E-2</v>
      </c>
      <c r="R179">
        <v>-5.7823709999999997E-3</v>
      </c>
      <c r="S179">
        <v>3.005493</v>
      </c>
      <c r="T179">
        <v>-9.0487719999999994E-2</v>
      </c>
      <c r="U179">
        <v>-9.9182129999999993E-2</v>
      </c>
      <c r="V179">
        <v>8.1025259999999903E-4</v>
      </c>
      <c r="W179">
        <v>4.1679529999999999E-2</v>
      </c>
      <c r="X179">
        <v>0.99913070000000004</v>
      </c>
      <c r="Y179">
        <v>2.7994089999999999E-2</v>
      </c>
      <c r="Z179">
        <v>-2.7134480000000002E-4</v>
      </c>
      <c r="AA179">
        <v>0.99960800000000005</v>
      </c>
      <c r="AB179">
        <v>13</v>
      </c>
      <c r="AC179">
        <v>38.398099999999999</v>
      </c>
      <c r="AD179">
        <v>-1.1585000000000001</v>
      </c>
      <c r="AE179">
        <v>-1.2694000000000101</v>
      </c>
      <c r="AF179">
        <v>1.0771777139923</v>
      </c>
      <c r="AG179">
        <v>-1.1585000000000001</v>
      </c>
      <c r="AH179">
        <v>38.3690573289025</v>
      </c>
      <c r="AI179">
        <v>91.728759752715902</v>
      </c>
      <c r="AJ179">
        <v>88.391893511481996</v>
      </c>
      <c r="AK179">
        <v>38.401653537134699</v>
      </c>
      <c r="AL179">
        <v>87.611246875736697</v>
      </c>
      <c r="AM179">
        <v>89.953535564323502</v>
      </c>
      <c r="AN179">
        <v>0.99999999770639303</v>
      </c>
    </row>
    <row r="180" spans="1:40" x14ac:dyDescent="0.25">
      <c r="A180" t="str">
        <f>"20190312150640382"</f>
        <v>20190312150640382</v>
      </c>
      <c r="B180" t="str">
        <f>"1552374400371106"</f>
        <v>1552374400371106</v>
      </c>
      <c r="C180" t="s">
        <v>40</v>
      </c>
      <c r="D180">
        <v>4.4878629999999999</v>
      </c>
      <c r="E180">
        <v>0.50999209999999995</v>
      </c>
      <c r="F180" t="s">
        <v>43</v>
      </c>
      <c r="G180">
        <v>-430.6841</v>
      </c>
      <c r="H180">
        <v>-0.05</v>
      </c>
      <c r="I180">
        <v>365.87139999999999</v>
      </c>
      <c r="J180">
        <v>-470.40690000000001</v>
      </c>
      <c r="K180">
        <v>1.1084940000000001</v>
      </c>
      <c r="L180">
        <v>367.18920000000003</v>
      </c>
      <c r="M180">
        <v>0.99998580000000004</v>
      </c>
      <c r="N180">
        <v>0</v>
      </c>
      <c r="O180">
        <v>-5.040564E-3</v>
      </c>
      <c r="P180">
        <v>0.99917590000000001</v>
      </c>
      <c r="Q180">
        <v>4.0144520000000003E-2</v>
      </c>
      <c r="R180">
        <v>-6.0020209999999997E-3</v>
      </c>
      <c r="S180">
        <v>3.0053709999999998</v>
      </c>
      <c r="T180">
        <v>-8.7383269999999999E-2</v>
      </c>
      <c r="U180">
        <v>-9.9456790000000003E-2</v>
      </c>
      <c r="V180">
        <v>9.6972180000000005E-4</v>
      </c>
      <c r="W180">
        <v>4.1917259999999998E-2</v>
      </c>
      <c r="X180">
        <v>0.99912060000000003</v>
      </c>
      <c r="Y180">
        <v>2.8026969999999998E-2</v>
      </c>
      <c r="Z180">
        <v>-2.6077069999999998E-4</v>
      </c>
      <c r="AA180">
        <v>0.99960709999999997</v>
      </c>
      <c r="AB180">
        <v>13</v>
      </c>
      <c r="AC180">
        <v>39.722799999999999</v>
      </c>
      <c r="AD180">
        <v>-1.1584939999999999</v>
      </c>
      <c r="AE180">
        <v>-1.3178000000000301</v>
      </c>
      <c r="AF180">
        <v>1.1166089385807201</v>
      </c>
      <c r="AG180">
        <v>-1.1584939999999999</v>
      </c>
      <c r="AH180">
        <v>39.695211568652397</v>
      </c>
      <c r="AI180">
        <v>91.671026685050904</v>
      </c>
      <c r="AJ180">
        <v>88.388719681221005</v>
      </c>
      <c r="AK180">
        <v>39.727808212256399</v>
      </c>
      <c r="AL180">
        <v>87.597614005722207</v>
      </c>
      <c r="AM180">
        <v>89.944390147700503</v>
      </c>
      <c r="AN180">
        <v>0.99999998519531796</v>
      </c>
    </row>
    <row r="181" spans="1:40" x14ac:dyDescent="0.25">
      <c r="A181" t="str">
        <f>"20190312150640403"</f>
        <v>20190312150640403</v>
      </c>
      <c r="B181" t="str">
        <f>"1552374400390626"</f>
        <v>1552374400390626</v>
      </c>
      <c r="C181" t="s">
        <v>40</v>
      </c>
      <c r="D181">
        <v>4.4618440000000001</v>
      </c>
      <c r="E181">
        <v>0.51007690000000006</v>
      </c>
      <c r="F181" t="s">
        <v>43</v>
      </c>
      <c r="G181">
        <v>-428.41160000000002</v>
      </c>
      <c r="H181">
        <v>-0.05</v>
      </c>
      <c r="I181">
        <v>365.77679999999998</v>
      </c>
      <c r="J181">
        <v>-470.2835</v>
      </c>
      <c r="K181">
        <v>1.108501</v>
      </c>
      <c r="L181">
        <v>367.18860000000001</v>
      </c>
      <c r="M181">
        <v>0.99998549999999997</v>
      </c>
      <c r="N181">
        <v>0</v>
      </c>
      <c r="O181">
        <v>-5.0994530000000003E-3</v>
      </c>
      <c r="P181">
        <v>0.99917679999999998</v>
      </c>
      <c r="Q181">
        <v>4.0074029999999997E-2</v>
      </c>
      <c r="R181">
        <v>-6.3391169999999896E-3</v>
      </c>
      <c r="S181">
        <v>3.005188</v>
      </c>
      <c r="T181">
        <v>-8.2902069999999994E-2</v>
      </c>
      <c r="U181">
        <v>-0.1010742</v>
      </c>
      <c r="V181">
        <v>1.2477339999999999E-3</v>
      </c>
      <c r="W181">
        <v>4.1847710000000003E-2</v>
      </c>
      <c r="X181">
        <v>0.99912319999999999</v>
      </c>
      <c r="Y181">
        <v>2.850832E-2</v>
      </c>
      <c r="Z181">
        <v>-2.524286E-4</v>
      </c>
      <c r="AA181">
        <v>0.99959350000000002</v>
      </c>
      <c r="AB181">
        <v>13</v>
      </c>
      <c r="AC181">
        <v>41.871899999999897</v>
      </c>
      <c r="AD181">
        <v>-1.158501</v>
      </c>
      <c r="AE181">
        <v>-1.4118000000000199</v>
      </c>
      <c r="AF181">
        <v>1.1973420081064301</v>
      </c>
      <c r="AG181">
        <v>-1.158501</v>
      </c>
      <c r="AH181">
        <v>41.846557652944099</v>
      </c>
      <c r="AI181">
        <v>91.585151514186293</v>
      </c>
      <c r="AJ181">
        <v>88.361061568463398</v>
      </c>
      <c r="AK181">
        <v>41.8797103601798</v>
      </c>
      <c r="AL181">
        <v>87.601602410185706</v>
      </c>
      <c r="AM181">
        <v>89.928447407696595</v>
      </c>
      <c r="AN181">
        <v>0.99999997822530895</v>
      </c>
    </row>
    <row r="182" spans="1:40" x14ac:dyDescent="0.25">
      <c r="A182" t="str">
        <f>"20190312150640416"</f>
        <v>20190312150640416</v>
      </c>
      <c r="B182" t="str">
        <f>"1552374400411122"</f>
        <v>1552374400411122</v>
      </c>
      <c r="C182" t="s">
        <v>40</v>
      </c>
      <c r="D182">
        <v>4.671392</v>
      </c>
      <c r="E182">
        <v>0.51012990000000002</v>
      </c>
      <c r="F182" t="s">
        <v>43</v>
      </c>
      <c r="G182">
        <v>-426.68040000000002</v>
      </c>
      <c r="H182">
        <v>-0.05</v>
      </c>
      <c r="I182">
        <v>365.70249999999999</v>
      </c>
      <c r="J182">
        <v>-470.20100000000002</v>
      </c>
      <c r="K182">
        <v>1.1085130000000001</v>
      </c>
      <c r="L182">
        <v>367.18810000000002</v>
      </c>
      <c r="M182">
        <v>0.99998529999999997</v>
      </c>
      <c r="N182">
        <v>0</v>
      </c>
      <c r="O182">
        <v>-5.1368769999999998E-3</v>
      </c>
      <c r="P182">
        <v>0.99917149999999999</v>
      </c>
      <c r="Q182">
        <v>4.0175420000000003E-2</v>
      </c>
      <c r="R182">
        <v>-6.5255720000000003E-3</v>
      </c>
      <c r="S182">
        <v>3.0050659999999998</v>
      </c>
      <c r="T182">
        <v>-7.9842209999999997E-2</v>
      </c>
      <c r="U182">
        <v>-0.10241699999999999</v>
      </c>
      <c r="V182">
        <v>1.3966600000000001E-3</v>
      </c>
      <c r="W182">
        <v>4.1942989999999999E-2</v>
      </c>
      <c r="X182">
        <v>0.99911899999999998</v>
      </c>
      <c r="Y182">
        <v>2.8918940000000001E-2</v>
      </c>
      <c r="Z182">
        <v>-2.4758149999999998E-4</v>
      </c>
      <c r="AA182">
        <v>0.99958179999999996</v>
      </c>
      <c r="AB182">
        <v>13</v>
      </c>
      <c r="AC182">
        <v>43.520599999999902</v>
      </c>
      <c r="AD182">
        <v>-1.1585129999999999</v>
      </c>
      <c r="AE182">
        <v>-1.48560000000003</v>
      </c>
      <c r="AF182">
        <v>1.26112747599023</v>
      </c>
      <c r="AG182">
        <v>-1.1585129999999999</v>
      </c>
      <c r="AH182">
        <v>43.4968703664793</v>
      </c>
      <c r="AI182">
        <v>91.525037398210898</v>
      </c>
      <c r="AJ182">
        <v>88.339258794408707</v>
      </c>
      <c r="AK182">
        <v>43.5305677261413</v>
      </c>
      <c r="AL182">
        <v>87.5961384525733</v>
      </c>
      <c r="AM182">
        <v>89.919906766570705</v>
      </c>
      <c r="AN182">
        <v>0.999999970615147</v>
      </c>
    </row>
    <row r="183" spans="1:40" x14ac:dyDescent="0.25">
      <c r="A183" t="str">
        <f>"20190312150640436"</f>
        <v>20190312150640436</v>
      </c>
      <c r="B183" t="str">
        <f>"1552374400430642"</f>
        <v>1552374400430642</v>
      </c>
      <c r="C183" t="s">
        <v>40</v>
      </c>
      <c r="D183">
        <v>4.4289489999999896</v>
      </c>
      <c r="E183">
        <v>0.51023090000000004</v>
      </c>
      <c r="F183" t="s">
        <v>43</v>
      </c>
      <c r="G183">
        <v>-424.14049999999997</v>
      </c>
      <c r="H183">
        <v>-0.05</v>
      </c>
      <c r="I183">
        <v>365.6037</v>
      </c>
      <c r="J183">
        <v>-470.08190000000002</v>
      </c>
      <c r="K183">
        <v>1.1085389999999999</v>
      </c>
      <c r="L183">
        <v>367.18740000000003</v>
      </c>
      <c r="M183">
        <v>0.99998500000000001</v>
      </c>
      <c r="N183">
        <v>0</v>
      </c>
      <c r="O183">
        <v>-5.1883629999999997E-3</v>
      </c>
      <c r="P183">
        <v>0.99916240000000001</v>
      </c>
      <c r="Q183">
        <v>4.0349219999999998E-2</v>
      </c>
      <c r="R183">
        <v>-6.8335490000000004E-3</v>
      </c>
      <c r="S183">
        <v>3.0048219999999999</v>
      </c>
      <c r="T183">
        <v>-7.5577259999999993E-2</v>
      </c>
      <c r="U183">
        <v>-0.103363</v>
      </c>
      <c r="V183">
        <v>1.65312799999999E-3</v>
      </c>
      <c r="W183">
        <v>4.2106869999999998E-2</v>
      </c>
      <c r="X183">
        <v>0.99911179999999999</v>
      </c>
      <c r="Y183">
        <v>2.918538E-2</v>
      </c>
      <c r="Z183">
        <v>-2.3643350000000001E-4</v>
      </c>
      <c r="AA183">
        <v>0.99957399999999996</v>
      </c>
      <c r="AB183">
        <v>13</v>
      </c>
      <c r="AC183">
        <v>45.941400000000002</v>
      </c>
      <c r="AD183">
        <v>-1.158539</v>
      </c>
      <c r="AE183">
        <v>-1.5837000000000201</v>
      </c>
      <c r="AF183">
        <v>1.34446367983669</v>
      </c>
      <c r="AG183">
        <v>-1.158539</v>
      </c>
      <c r="AH183">
        <v>45.919831089754801</v>
      </c>
      <c r="AI183">
        <v>91.444624246715406</v>
      </c>
      <c r="AJ183">
        <v>88.322944735830404</v>
      </c>
      <c r="AK183">
        <v>45.954114968221702</v>
      </c>
      <c r="AL183">
        <v>87.586740721494294</v>
      </c>
      <c r="AM183">
        <v>89.905198626460503</v>
      </c>
      <c r="AN183">
        <v>1.0000000551163</v>
      </c>
    </row>
    <row r="184" spans="1:40" x14ac:dyDescent="0.25">
      <c r="A184" t="str">
        <f>"20190312150640458"</f>
        <v>20190312150640458</v>
      </c>
      <c r="B184" t="str">
        <f>"1552374400451137"</f>
        <v>1552374400451137</v>
      </c>
      <c r="C184" t="s">
        <v>40</v>
      </c>
      <c r="D184">
        <v>4.4252690000000001</v>
      </c>
      <c r="E184">
        <v>0.51027800000000001</v>
      </c>
      <c r="F184" t="s">
        <v>43</v>
      </c>
      <c r="G184">
        <v>-420.27080000000001</v>
      </c>
      <c r="H184">
        <v>-0.05</v>
      </c>
      <c r="I184">
        <v>365.44900000000001</v>
      </c>
      <c r="J184">
        <v>-469.94659999999999</v>
      </c>
      <c r="K184">
        <v>1.108576</v>
      </c>
      <c r="L184">
        <v>367.18669999999997</v>
      </c>
      <c r="M184">
        <v>0.99998469999999995</v>
      </c>
      <c r="N184">
        <v>0</v>
      </c>
      <c r="O184">
        <v>-5.2416379999999999E-3</v>
      </c>
      <c r="P184">
        <v>0.99915860000000001</v>
      </c>
      <c r="Q184">
        <v>4.035855E-2</v>
      </c>
      <c r="R184">
        <v>-7.3181499999999998E-3</v>
      </c>
      <c r="S184">
        <v>3.004578</v>
      </c>
      <c r="T184">
        <v>-6.9882390000000003E-2</v>
      </c>
      <c r="U184">
        <v>-0.10485839999999901</v>
      </c>
      <c r="V184">
        <v>2.0843260000000001E-3</v>
      </c>
      <c r="W184">
        <v>4.2111170000000003E-2</v>
      </c>
      <c r="X184">
        <v>0.99911079999999997</v>
      </c>
      <c r="Y184">
        <v>2.9632789999999999E-2</v>
      </c>
      <c r="Z184">
        <v>-2.2260110000000001E-4</v>
      </c>
      <c r="AA184">
        <v>0.99956080000000003</v>
      </c>
      <c r="AB184">
        <v>13</v>
      </c>
      <c r="AC184">
        <v>49.675799999999903</v>
      </c>
      <c r="AD184">
        <v>-1.1585760000000001</v>
      </c>
      <c r="AE184">
        <v>-1.7376999999999601</v>
      </c>
      <c r="AF184">
        <v>1.4764910041635599</v>
      </c>
      <c r="AG184">
        <v>-1.1585760000000001</v>
      </c>
      <c r="AH184">
        <v>49.657247917293603</v>
      </c>
      <c r="AI184">
        <v>91.335961384577402</v>
      </c>
      <c r="AJ184">
        <v>88.2968893880835</v>
      </c>
      <c r="AK184">
        <v>49.692701624611999</v>
      </c>
      <c r="AL184">
        <v>87.5864941013498</v>
      </c>
      <c r="AM184">
        <v>89.880470804959003</v>
      </c>
      <c r="AN184">
        <v>1.0000000428651401</v>
      </c>
    </row>
    <row r="185" spans="1:40" x14ac:dyDescent="0.25">
      <c r="A185" t="str">
        <f>"20190312150640471"</f>
        <v>20190312150640471</v>
      </c>
      <c r="B185" t="str">
        <f>"1552374400460898"</f>
        <v>1552374400460898</v>
      </c>
      <c r="C185" t="s">
        <v>40</v>
      </c>
      <c r="D185">
        <v>4.4611269999999896</v>
      </c>
      <c r="E185">
        <v>0.5103396</v>
      </c>
      <c r="F185" t="s">
        <v>43</v>
      </c>
      <c r="G185">
        <v>-418.65859999999998</v>
      </c>
      <c r="H185">
        <v>-0.05</v>
      </c>
      <c r="I185">
        <v>365.36599999999999</v>
      </c>
      <c r="J185">
        <v>-469.86759999999998</v>
      </c>
      <c r="K185">
        <v>1.1086020000000001</v>
      </c>
      <c r="L185">
        <v>367.18619999999999</v>
      </c>
      <c r="M185">
        <v>0.9999846</v>
      </c>
      <c r="N185">
        <v>0</v>
      </c>
      <c r="O185">
        <v>-5.2698889999999998E-3</v>
      </c>
      <c r="P185">
        <v>0.99915830000000005</v>
      </c>
      <c r="Q185">
        <v>4.035569E-2</v>
      </c>
      <c r="R185">
        <v>-7.3649090000000002E-3</v>
      </c>
      <c r="S185">
        <v>3.004486</v>
      </c>
      <c r="T185">
        <v>-6.7870139999999995E-2</v>
      </c>
      <c r="U185">
        <v>-0.1066589</v>
      </c>
      <c r="V185">
        <v>2.1026270000000001E-3</v>
      </c>
      <c r="W185">
        <v>4.2110689999999999E-2</v>
      </c>
      <c r="X185">
        <v>0.99911079999999997</v>
      </c>
      <c r="Y185">
        <v>3.0204120000000001E-2</v>
      </c>
      <c r="Z185">
        <v>-2.220097E-4</v>
      </c>
      <c r="AA185">
        <v>0.99954370000000003</v>
      </c>
      <c r="AB185">
        <v>14</v>
      </c>
      <c r="AC185">
        <v>51.208999999999897</v>
      </c>
      <c r="AD185">
        <v>-1.1586019999999999</v>
      </c>
      <c r="AE185">
        <v>-1.8202</v>
      </c>
      <c r="AF185">
        <v>1.5495163904757101</v>
      </c>
      <c r="AG185">
        <v>-1.1586019999999999</v>
      </c>
      <c r="AH185">
        <v>51.191709760660899</v>
      </c>
      <c r="AI185">
        <v>91.295938349061899</v>
      </c>
      <c r="AJ185">
        <v>88.266249536189903</v>
      </c>
      <c r="AK185">
        <v>51.228258879826299</v>
      </c>
      <c r="AL185">
        <v>87.586521671448807</v>
      </c>
      <c r="AM185">
        <v>89.879421306287597</v>
      </c>
      <c r="AN185">
        <v>1.0000000609646</v>
      </c>
    </row>
    <row r="186" spans="1:40" x14ac:dyDescent="0.25">
      <c r="A186" t="str">
        <f>"20190312150640483"</f>
        <v>20190312150640483</v>
      </c>
      <c r="B186" t="str">
        <f>"1552374400470658"</f>
        <v>1552374400470658</v>
      </c>
      <c r="C186" t="s">
        <v>40</v>
      </c>
      <c r="D186">
        <v>4.3876629999999999</v>
      </c>
      <c r="E186">
        <v>0.51036139999999997</v>
      </c>
      <c r="F186" t="s">
        <v>43</v>
      </c>
      <c r="G186">
        <v>-417.6592</v>
      </c>
      <c r="H186">
        <v>-0.05</v>
      </c>
      <c r="I186">
        <v>365.31849999999997</v>
      </c>
      <c r="J186">
        <v>-469.7912</v>
      </c>
      <c r="K186">
        <v>1.1086259999999999</v>
      </c>
      <c r="L186">
        <v>367.18579999999997</v>
      </c>
      <c r="M186">
        <v>0.9999844</v>
      </c>
      <c r="N186">
        <v>0</v>
      </c>
      <c r="O186">
        <v>-5.2955190000000003E-3</v>
      </c>
      <c r="P186">
        <v>0.99915019999999999</v>
      </c>
      <c r="Q186">
        <v>4.0504220000000001E-2</v>
      </c>
      <c r="R186">
        <v>-7.6440759999999996E-3</v>
      </c>
      <c r="S186">
        <v>3.0044249999999999</v>
      </c>
      <c r="T186">
        <v>-6.6673759999999999E-2</v>
      </c>
      <c r="U186">
        <v>-0.10748290000000001</v>
      </c>
      <c r="V186">
        <v>2.3559219999999999E-3</v>
      </c>
      <c r="W186">
        <v>4.2265039999999997E-2</v>
      </c>
      <c r="X186">
        <v>0.99910370000000004</v>
      </c>
      <c r="Y186">
        <v>3.0453170000000002E-2</v>
      </c>
      <c r="Z186">
        <v>-2.2029419999999999E-4</v>
      </c>
      <c r="AA186">
        <v>0.99953619999999999</v>
      </c>
      <c r="AB186">
        <v>14</v>
      </c>
      <c r="AC186">
        <v>52.131999999999998</v>
      </c>
      <c r="AD186">
        <v>-1.1586259999999999</v>
      </c>
      <c r="AE186">
        <v>-1.8673</v>
      </c>
      <c r="AF186">
        <v>1.5904228122122599</v>
      </c>
      <c r="AG186">
        <v>-1.1586259999999999</v>
      </c>
      <c r="AH186">
        <v>52.115448242631501</v>
      </c>
      <c r="AI186">
        <v>91.272992424835806</v>
      </c>
      <c r="AJ186">
        <v>88.252029956741794</v>
      </c>
      <c r="AK186">
        <v>52.1525819539156</v>
      </c>
      <c r="AL186">
        <v>87.577670145966096</v>
      </c>
      <c r="AM186">
        <v>89.864894767903607</v>
      </c>
      <c r="AN186">
        <v>1.0000000436641701</v>
      </c>
    </row>
    <row r="187" spans="1:40" x14ac:dyDescent="0.25">
      <c r="A187" t="str">
        <f>"20190312150640502"</f>
        <v>20190312150640502</v>
      </c>
      <c r="B187" t="str">
        <f>"1552374400491159"</f>
        <v>1552374400491159</v>
      </c>
      <c r="C187" t="s">
        <v>40</v>
      </c>
      <c r="D187">
        <v>4.3740949999999996</v>
      </c>
      <c r="E187">
        <v>0.51042569999999998</v>
      </c>
      <c r="F187" t="s">
        <v>43</v>
      </c>
      <c r="G187">
        <v>-416.58980000000003</v>
      </c>
      <c r="H187">
        <v>-0.05</v>
      </c>
      <c r="I187">
        <v>365.2679</v>
      </c>
      <c r="J187">
        <v>-469.6678</v>
      </c>
      <c r="K187">
        <v>1.1086689999999999</v>
      </c>
      <c r="L187">
        <v>367.18509999999998</v>
      </c>
      <c r="M187">
        <v>0.99998430000000005</v>
      </c>
      <c r="N187">
        <v>0</v>
      </c>
      <c r="O187">
        <v>-5.3317679999999998E-3</v>
      </c>
      <c r="P187">
        <v>0.99915019999999999</v>
      </c>
      <c r="Q187">
        <v>4.0478800000000002E-2</v>
      </c>
      <c r="R187">
        <v>-7.7943650000000001E-3</v>
      </c>
      <c r="S187">
        <v>3.0044249999999999</v>
      </c>
      <c r="T187">
        <v>-6.5430639999999998E-2</v>
      </c>
      <c r="U187">
        <v>-0.1083069</v>
      </c>
      <c r="V187">
        <v>2.4697880000000001E-3</v>
      </c>
      <c r="W187">
        <v>4.2258850000000001E-2</v>
      </c>
      <c r="X187">
        <v>0.99910370000000004</v>
      </c>
      <c r="Y187">
        <v>3.0690889999999998E-2</v>
      </c>
      <c r="Z187">
        <v>-2.1798520000000001E-4</v>
      </c>
      <c r="AA187">
        <v>0.99952890000000005</v>
      </c>
      <c r="AB187">
        <v>14</v>
      </c>
      <c r="AC187">
        <v>53.077999999999903</v>
      </c>
      <c r="AD187">
        <v>-1.1586689999999999</v>
      </c>
      <c r="AE187">
        <v>-1.91719999999998</v>
      </c>
      <c r="AF187">
        <v>1.6333953997491</v>
      </c>
      <c r="AG187">
        <v>-1.1586689999999999</v>
      </c>
      <c r="AH187">
        <v>53.062214872077497</v>
      </c>
      <c r="AI187">
        <v>91.250322466464894</v>
      </c>
      <c r="AJ187">
        <v>88.236841042359998</v>
      </c>
      <c r="AK187">
        <v>53.099991916327099</v>
      </c>
      <c r="AL187">
        <v>87.578025155820995</v>
      </c>
      <c r="AM187">
        <v>89.858364912020804</v>
      </c>
      <c r="AN187">
        <v>1.0000000568048799</v>
      </c>
    </row>
    <row r="188" spans="1:40" x14ac:dyDescent="0.25">
      <c r="A188" t="str">
        <f>"20190312150640515"</f>
        <v>20190312150640515</v>
      </c>
      <c r="B188" t="str">
        <f>"1552374400510673"</f>
        <v>1552374400510673</v>
      </c>
      <c r="C188" t="s">
        <v>40</v>
      </c>
      <c r="D188">
        <v>4.4153159999999998</v>
      </c>
      <c r="E188">
        <v>0.51054659999999996</v>
      </c>
      <c r="F188" t="s">
        <v>43</v>
      </c>
      <c r="G188">
        <v>-414.83859999999999</v>
      </c>
      <c r="H188">
        <v>-0.05</v>
      </c>
      <c r="I188">
        <v>365.18169999999998</v>
      </c>
      <c r="J188">
        <v>-469.58969999999999</v>
      </c>
      <c r="K188">
        <v>1.108697</v>
      </c>
      <c r="L188">
        <v>367.18459999999999</v>
      </c>
      <c r="M188">
        <v>0.99998410000000004</v>
      </c>
      <c r="N188">
        <v>0</v>
      </c>
      <c r="O188">
        <v>-5.3509689999999997E-3</v>
      </c>
      <c r="P188">
        <v>0.99914899999999995</v>
      </c>
      <c r="Q188">
        <v>4.0511650000000003E-2</v>
      </c>
      <c r="R188">
        <v>-7.7566589999999999E-3</v>
      </c>
      <c r="S188">
        <v>3.0042420000000001</v>
      </c>
      <c r="T188">
        <v>-6.3486699999999993E-2</v>
      </c>
      <c r="U188">
        <v>-0.1097717</v>
      </c>
      <c r="V188">
        <v>2.4126410000000001E-3</v>
      </c>
      <c r="W188">
        <v>4.2306490000000002E-2</v>
      </c>
      <c r="X188">
        <v>0.99910180000000004</v>
      </c>
      <c r="Y188">
        <v>3.1160859999999999E-2</v>
      </c>
      <c r="Z188">
        <v>-2.1607930000000001E-4</v>
      </c>
      <c r="AA188">
        <v>0.99951429999999997</v>
      </c>
      <c r="AB188">
        <v>14</v>
      </c>
      <c r="AC188">
        <v>54.751100000000001</v>
      </c>
      <c r="AD188">
        <v>-1.1586969999999901</v>
      </c>
      <c r="AE188">
        <v>-2.0029000000000101</v>
      </c>
      <c r="AF188">
        <v>1.7091349716425599</v>
      </c>
      <c r="AG188">
        <v>-1.1586969999999901</v>
      </c>
      <c r="AH188">
        <v>54.736551409633201</v>
      </c>
      <c r="AI188">
        <v>91.212100627513493</v>
      </c>
      <c r="AJ188">
        <v>88.211534869286893</v>
      </c>
      <c r="AK188">
        <v>54.7754852220272</v>
      </c>
      <c r="AL188">
        <v>87.575293084857094</v>
      </c>
      <c r="AM188">
        <v>89.861641848622497</v>
      </c>
      <c r="AN188">
        <v>1.0000000333479699</v>
      </c>
    </row>
    <row r="189" spans="1:40" x14ac:dyDescent="0.25">
      <c r="A189" t="str">
        <f>"20190312150640528"</f>
        <v>20190312150640528</v>
      </c>
      <c r="B189" t="str">
        <f>"1552374400520433"</f>
        <v>1552374400520433</v>
      </c>
      <c r="C189" t="s">
        <v>40</v>
      </c>
      <c r="D189">
        <v>4.6195529999999998</v>
      </c>
      <c r="E189">
        <v>0.51057509999999995</v>
      </c>
      <c r="F189" t="s">
        <v>43</v>
      </c>
      <c r="G189">
        <v>-412.1499</v>
      </c>
      <c r="H189">
        <v>-0.05</v>
      </c>
      <c r="I189">
        <v>365.07409999999999</v>
      </c>
      <c r="J189">
        <v>-469.50790000000001</v>
      </c>
      <c r="K189">
        <v>1.108722</v>
      </c>
      <c r="L189">
        <v>367.1841</v>
      </c>
      <c r="M189">
        <v>0.99998390000000004</v>
      </c>
      <c r="N189">
        <v>0</v>
      </c>
      <c r="O189">
        <v>-5.369815E-3</v>
      </c>
      <c r="P189">
        <v>0.99914740000000002</v>
      </c>
      <c r="Q189">
        <v>4.0575649999999998E-2</v>
      </c>
      <c r="R189">
        <v>-7.6120019999999997E-3</v>
      </c>
      <c r="S189">
        <v>3.0041500000000001</v>
      </c>
      <c r="T189">
        <v>-6.0600759999999997E-2</v>
      </c>
      <c r="U189">
        <v>-0.1103821</v>
      </c>
      <c r="V189">
        <v>2.2489820000000001E-3</v>
      </c>
      <c r="W189">
        <v>4.2387960000000002E-2</v>
      </c>
      <c r="X189">
        <v>0.99909870000000001</v>
      </c>
      <c r="Y189">
        <v>3.1346409999999998E-2</v>
      </c>
      <c r="Z189">
        <v>-2.0775519999999999E-4</v>
      </c>
      <c r="AA189">
        <v>0.99950859999999997</v>
      </c>
      <c r="AB189">
        <v>14</v>
      </c>
      <c r="AC189">
        <v>57.357999999999997</v>
      </c>
      <c r="AD189">
        <v>-1.158722</v>
      </c>
      <c r="AE189">
        <v>-2.1100000000000101</v>
      </c>
      <c r="AF189">
        <v>1.80123311544561</v>
      </c>
      <c r="AG189">
        <v>-1.158722</v>
      </c>
      <c r="AH189">
        <v>57.345132231158701</v>
      </c>
      <c r="AI189">
        <v>91.156996792944994</v>
      </c>
      <c r="AJ189">
        <v>88.2009085860672</v>
      </c>
      <c r="AK189">
        <v>57.385113644729699</v>
      </c>
      <c r="AL189">
        <v>87.570620937164804</v>
      </c>
      <c r="AM189">
        <v>89.8710267972927</v>
      </c>
      <c r="AN189">
        <v>1.0000000047073401</v>
      </c>
    </row>
    <row r="190" spans="1:40" x14ac:dyDescent="0.25">
      <c r="A190" t="str">
        <f>"20190312150640548"</f>
        <v>20190312150640548</v>
      </c>
      <c r="B190" t="str">
        <f>"1552374400540930"</f>
        <v>1552374400540930</v>
      </c>
      <c r="C190" t="s">
        <v>40</v>
      </c>
      <c r="D190">
        <v>4.2963399999999998</v>
      </c>
      <c r="E190">
        <v>0.51064179999999904</v>
      </c>
      <c r="F190" t="s">
        <v>43</v>
      </c>
      <c r="G190">
        <v>-410.11059999999998</v>
      </c>
      <c r="H190">
        <v>-0.05</v>
      </c>
      <c r="I190">
        <v>365.00409999999999</v>
      </c>
      <c r="J190">
        <v>-469.37830000000002</v>
      </c>
      <c r="K190">
        <v>1.1087670000000001</v>
      </c>
      <c r="L190">
        <v>367.18340000000001</v>
      </c>
      <c r="M190">
        <v>0.99998379999999998</v>
      </c>
      <c r="N190">
        <v>0</v>
      </c>
      <c r="O190">
        <v>-5.3946289999999997E-3</v>
      </c>
      <c r="P190">
        <v>0.99914939999999997</v>
      </c>
      <c r="Q190">
        <v>4.0578919999999997E-2</v>
      </c>
      <c r="R190">
        <v>-7.3517399999999998E-3</v>
      </c>
      <c r="S190">
        <v>3.0041199999999999</v>
      </c>
      <c r="T190">
        <v>-5.8604360000000001E-2</v>
      </c>
      <c r="U190">
        <v>-0.11026</v>
      </c>
      <c r="V190">
        <v>1.9633480000000002E-3</v>
      </c>
      <c r="W190">
        <v>4.242083E-2</v>
      </c>
      <c r="X190">
        <v>0.99909789999999998</v>
      </c>
      <c r="Y190">
        <v>3.1281780000000002E-2</v>
      </c>
      <c r="Z190">
        <v>-1.9980059999999999E-4</v>
      </c>
      <c r="AA190">
        <v>0.99951060000000003</v>
      </c>
      <c r="AB190">
        <v>14</v>
      </c>
      <c r="AC190">
        <v>59.267699999999998</v>
      </c>
      <c r="AD190">
        <v>-1.1587670000000001</v>
      </c>
      <c r="AE190">
        <v>-2.1793000000000098</v>
      </c>
      <c r="AF190">
        <v>1.85883091551303</v>
      </c>
      <c r="AG190">
        <v>-1.1587670000000001</v>
      </c>
      <c r="AH190">
        <v>59.255973660418199</v>
      </c>
      <c r="AI190">
        <v>91.119741408286998</v>
      </c>
      <c r="AJ190">
        <v>88.203248623842399</v>
      </c>
      <c r="AK190">
        <v>59.296445152951101</v>
      </c>
      <c r="AL190">
        <v>87.568735912268593</v>
      </c>
      <c r="AM190">
        <v>89.887407020560303</v>
      </c>
      <c r="AN190">
        <v>0.99999999766883396</v>
      </c>
    </row>
    <row r="191" spans="1:40" x14ac:dyDescent="0.25">
      <c r="A191" t="str">
        <f>"20190312150640571"</f>
        <v>20190312150640571</v>
      </c>
      <c r="B191" t="str">
        <f>"1552374400560449"</f>
        <v>1552374400560449</v>
      </c>
      <c r="C191" t="s">
        <v>40</v>
      </c>
      <c r="D191">
        <v>4.2292339999999999</v>
      </c>
      <c r="E191">
        <v>0.51067099999999999</v>
      </c>
      <c r="F191" t="s">
        <v>43</v>
      </c>
      <c r="G191">
        <v>-405.68740000000003</v>
      </c>
      <c r="H191">
        <v>-0.05</v>
      </c>
      <c r="I191">
        <v>364.85410000000002</v>
      </c>
      <c r="J191">
        <v>-469.22879999999998</v>
      </c>
      <c r="K191">
        <v>1.1088129999999901</v>
      </c>
      <c r="L191">
        <v>367.18259999999998</v>
      </c>
      <c r="M191">
        <v>0.99998370000000003</v>
      </c>
      <c r="N191">
        <v>0</v>
      </c>
      <c r="O191">
        <v>-5.4169489999999999E-3</v>
      </c>
      <c r="P191">
        <v>0.99915200000000004</v>
      </c>
      <c r="Q191">
        <v>4.0539510000000001E-2</v>
      </c>
      <c r="R191">
        <v>-7.2130519999999898E-3</v>
      </c>
      <c r="S191">
        <v>3.0039669999999998</v>
      </c>
      <c r="T191">
        <v>-5.4653050000000002E-2</v>
      </c>
      <c r="U191">
        <v>-0.1098633</v>
      </c>
      <c r="V191">
        <v>1.8020320000000001E-3</v>
      </c>
      <c r="W191">
        <v>4.2418930000000001E-2</v>
      </c>
      <c r="X191">
        <v>0.99909829999999999</v>
      </c>
      <c r="Y191">
        <v>3.1130169999999999E-2</v>
      </c>
      <c r="Z191">
        <v>-1.8455699999999999E-4</v>
      </c>
      <c r="AA191">
        <v>0.9995153</v>
      </c>
      <c r="AB191">
        <v>14</v>
      </c>
      <c r="AC191">
        <v>63.541399999999904</v>
      </c>
      <c r="AD191">
        <v>-1.1588130000000001</v>
      </c>
      <c r="AE191">
        <v>-2.32849999999996</v>
      </c>
      <c r="AF191">
        <v>1.9836059042793901</v>
      </c>
      <c r="AG191">
        <v>-1.1588130000000001</v>
      </c>
      <c r="AH191">
        <v>63.5319791614005</v>
      </c>
      <c r="AI191">
        <v>91.044441021643095</v>
      </c>
      <c r="AJ191">
        <v>88.211682693948703</v>
      </c>
      <c r="AK191">
        <v>63.573500109063403</v>
      </c>
      <c r="AL191">
        <v>87.568844909628396</v>
      </c>
      <c r="AM191">
        <v>89.896658100423807</v>
      </c>
      <c r="AN191">
        <v>1.0000000130022799</v>
      </c>
    </row>
    <row r="192" spans="1:40" x14ac:dyDescent="0.25">
      <c r="A192" t="str">
        <f>"20190312150640591"</f>
        <v>20190312150640591</v>
      </c>
      <c r="B192" t="str">
        <f>"1552374400580949"</f>
        <v>1552374400580949</v>
      </c>
      <c r="C192" t="s">
        <v>40</v>
      </c>
      <c r="D192">
        <v>4.2817170000000004</v>
      </c>
      <c r="E192">
        <v>0.52609729999999999</v>
      </c>
      <c r="F192" t="s">
        <v>43</v>
      </c>
      <c r="G192">
        <v>-401.90089999999998</v>
      </c>
      <c r="H192">
        <v>-0.05</v>
      </c>
      <c r="I192">
        <v>364.7242</v>
      </c>
      <c r="J192">
        <v>-469.09230000000002</v>
      </c>
      <c r="K192">
        <v>1.1088559999999901</v>
      </c>
      <c r="L192">
        <v>367.18189999999998</v>
      </c>
      <c r="M192">
        <v>0.99998339999999997</v>
      </c>
      <c r="N192">
        <v>0</v>
      </c>
      <c r="O192">
        <v>-5.4322399999999996E-3</v>
      </c>
      <c r="P192">
        <v>0.99914999999999998</v>
      </c>
      <c r="Q192">
        <v>4.059778E-2</v>
      </c>
      <c r="R192">
        <v>-7.1592799999999996E-3</v>
      </c>
      <c r="S192">
        <v>3.0038450000000001</v>
      </c>
      <c r="T192">
        <v>-5.1700709999999997E-2</v>
      </c>
      <c r="U192">
        <v>-0.10968020000000001</v>
      </c>
      <c r="V192">
        <v>1.732836E-3</v>
      </c>
      <c r="W192">
        <v>4.2514690000000001E-2</v>
      </c>
      <c r="X192">
        <v>0.99909440000000005</v>
      </c>
      <c r="Y192">
        <v>3.1055989999999999E-2</v>
      </c>
      <c r="Z192">
        <v>-1.7369489999999999E-4</v>
      </c>
      <c r="AA192">
        <v>0.99951760000000001</v>
      </c>
      <c r="AB192">
        <v>15</v>
      </c>
      <c r="AC192">
        <v>67.191400000000002</v>
      </c>
      <c r="AD192">
        <v>-1.1588560000000001</v>
      </c>
      <c r="AE192">
        <v>-2.45769999999998</v>
      </c>
      <c r="AF192">
        <v>2.0920417813691299</v>
      </c>
      <c r="AG192">
        <v>-1.1588560000000001</v>
      </c>
      <c r="AH192">
        <v>67.183801517403793</v>
      </c>
      <c r="AI192">
        <v>90.987720469517299</v>
      </c>
      <c r="AJ192">
        <v>88.216438451780903</v>
      </c>
      <c r="AK192">
        <v>67.226354745543404</v>
      </c>
      <c r="AL192">
        <v>87.563353428416505</v>
      </c>
      <c r="AM192">
        <v>89.900625916996304</v>
      </c>
      <c r="AN192">
        <v>1.0000000608488699</v>
      </c>
    </row>
    <row r="193" spans="1:40" x14ac:dyDescent="0.25">
      <c r="A193" t="str">
        <f>"20190312150640603"</f>
        <v>20190312150640603</v>
      </c>
      <c r="B193" t="str">
        <f>"1552374400600466"</f>
        <v>1552374400600466</v>
      </c>
      <c r="C193" t="s">
        <v>40</v>
      </c>
      <c r="D193">
        <v>4.2097009999999999</v>
      </c>
      <c r="E193">
        <v>0.53331799999999996</v>
      </c>
      <c r="F193" t="s">
        <v>42</v>
      </c>
      <c r="G193">
        <v>-327.27409999999998</v>
      </c>
      <c r="H193">
        <v>7.9986299999999996E-2</v>
      </c>
      <c r="I193">
        <v>356.2328</v>
      </c>
      <c r="J193">
        <v>-469.01</v>
      </c>
      <c r="K193">
        <v>1.108878</v>
      </c>
      <c r="L193">
        <v>367.1814</v>
      </c>
      <c r="M193">
        <v>0.99998339999999997</v>
      </c>
      <c r="N193">
        <v>0</v>
      </c>
      <c r="O193">
        <v>-5.4402490000000003E-3</v>
      </c>
      <c r="P193">
        <v>0.99915419999999999</v>
      </c>
      <c r="Q193">
        <v>4.0521340000000003E-2</v>
      </c>
      <c r="R193">
        <v>-7.0279050000000001E-3</v>
      </c>
      <c r="S193">
        <v>3.00177</v>
      </c>
      <c r="T193">
        <v>-2.1777390000000001E-2</v>
      </c>
      <c r="U193">
        <v>-0.2317505</v>
      </c>
      <c r="V193">
        <v>1.593328E-3</v>
      </c>
      <c r="W193">
        <v>4.2463229999999998E-2</v>
      </c>
      <c r="X193">
        <v>0.99909680000000001</v>
      </c>
      <c r="Y193">
        <v>7.1548559999999997E-2</v>
      </c>
      <c r="Z193">
        <v>-2.1974120000000001E-4</v>
      </c>
      <c r="AA193">
        <v>0.99743709999999997</v>
      </c>
      <c r="AB193">
        <v>15</v>
      </c>
      <c r="AC193">
        <v>141.73589999999999</v>
      </c>
      <c r="AD193">
        <v>-1.0288917</v>
      </c>
      <c r="AE193">
        <v>-10.948600000000001</v>
      </c>
      <c r="AF193">
        <v>10.1768249022875</v>
      </c>
      <c r="AG193">
        <v>-1.0288917</v>
      </c>
      <c r="AH193">
        <v>141.78593849803499</v>
      </c>
      <c r="AI193">
        <v>90.414701612995799</v>
      </c>
      <c r="AJ193">
        <v>85.894579618681306</v>
      </c>
      <c r="AK193">
        <v>142.15441864040201</v>
      </c>
      <c r="AL193">
        <v>87.566304483762707</v>
      </c>
      <c r="AM193">
        <v>89.908626579139096</v>
      </c>
      <c r="AN193">
        <v>1.0000000401831901</v>
      </c>
    </row>
    <row r="194" spans="1:40" x14ac:dyDescent="0.25">
      <c r="A194" t="str">
        <f>"20190312150640617"</f>
        <v>20190312150640617</v>
      </c>
      <c r="B194" t="str">
        <f>"1552374400611202"</f>
        <v>1552374400611202</v>
      </c>
      <c r="C194" t="s">
        <v>40</v>
      </c>
      <c r="D194">
        <v>4.2102240000000002</v>
      </c>
      <c r="E194">
        <v>0.53443319999999905</v>
      </c>
      <c r="F194" t="s">
        <v>44</v>
      </c>
      <c r="G194">
        <v>-275.05399999999997</v>
      </c>
      <c r="H194">
        <v>0.63457469999999905</v>
      </c>
      <c r="I194">
        <v>348.51170000000002</v>
      </c>
      <c r="J194">
        <v>-468.92259999999999</v>
      </c>
      <c r="K194">
        <v>1.1088990000000001</v>
      </c>
      <c r="L194">
        <v>367.18090000000001</v>
      </c>
      <c r="M194">
        <v>0.99998330000000002</v>
      </c>
      <c r="N194">
        <v>0</v>
      </c>
      <c r="O194">
        <v>-5.4463559999999899E-3</v>
      </c>
      <c r="P194">
        <v>0.99915920000000003</v>
      </c>
      <c r="Q194">
        <v>4.0381889999999997E-2</v>
      </c>
      <c r="R194">
        <v>-7.1095990000000003E-3</v>
      </c>
      <c r="S194">
        <v>3.0007929999999998</v>
      </c>
      <c r="T194">
        <v>-7.3369739999999996E-3</v>
      </c>
      <c r="U194">
        <v>-0.28884890000000002</v>
      </c>
      <c r="V194">
        <v>1.6687990000000001E-3</v>
      </c>
      <c r="W194">
        <v>4.2353660000000001E-2</v>
      </c>
      <c r="X194">
        <v>0.99910129999999997</v>
      </c>
      <c r="Y194">
        <v>9.0391650000000004E-2</v>
      </c>
      <c r="Z194" s="1">
        <v>-9.6964560000000001E-5</v>
      </c>
      <c r="AA194">
        <v>0.99590630000000002</v>
      </c>
      <c r="AB194">
        <v>15</v>
      </c>
      <c r="AC194">
        <v>193.86859999999999</v>
      </c>
      <c r="AD194">
        <v>-0.47432429999999998</v>
      </c>
      <c r="AE194">
        <v>-18.669199999999901</v>
      </c>
      <c r="AF194">
        <v>17.6129392587825</v>
      </c>
      <c r="AG194">
        <v>-0.47432429999999998</v>
      </c>
      <c r="AH194">
        <v>193.96625351381701</v>
      </c>
      <c r="AI194">
        <v>90.139536507240507</v>
      </c>
      <c r="AJ194">
        <v>84.811534981055402</v>
      </c>
      <c r="AK194">
        <v>194.764853387518</v>
      </c>
      <c r="AL194">
        <v>87.572587967868799</v>
      </c>
      <c r="AM194">
        <v>89.904298942823004</v>
      </c>
      <c r="AN194">
        <v>1.0000000125335899</v>
      </c>
    </row>
    <row r="195" spans="1:40" x14ac:dyDescent="0.25">
      <c r="A195" t="str">
        <f>"20190312150640636"</f>
        <v>20190312150640636</v>
      </c>
      <c r="B195" t="str">
        <f>"1552374400630722"</f>
        <v>1552374400630722</v>
      </c>
      <c r="C195" t="s">
        <v>40</v>
      </c>
      <c r="D195">
        <v>4.1636449999999998</v>
      </c>
      <c r="E195">
        <v>0.53530480000000003</v>
      </c>
      <c r="F195" t="s">
        <v>44</v>
      </c>
      <c r="G195">
        <v>-279.96460000000002</v>
      </c>
      <c r="H195">
        <v>0.3823106</v>
      </c>
      <c r="I195">
        <v>348.40699999999998</v>
      </c>
      <c r="J195">
        <v>-468.791</v>
      </c>
      <c r="K195">
        <v>1.1089310000000001</v>
      </c>
      <c r="L195">
        <v>367.18020000000001</v>
      </c>
      <c r="M195">
        <v>0.99998319999999996</v>
      </c>
      <c r="N195">
        <v>0</v>
      </c>
      <c r="O195">
        <v>-5.4529599999999998E-3</v>
      </c>
      <c r="P195">
        <v>0.99915339999999997</v>
      </c>
      <c r="Q195">
        <v>4.0464519999999997E-2</v>
      </c>
      <c r="R195">
        <v>-7.4270739999999997E-3</v>
      </c>
      <c r="S195">
        <v>3.0009160000000001</v>
      </c>
      <c r="T195">
        <v>-1.1538029999999999E-2</v>
      </c>
      <c r="U195">
        <v>-0.2981567</v>
      </c>
      <c r="V195">
        <v>1.979696E-3</v>
      </c>
      <c r="W195">
        <v>4.2486110000000001E-2</v>
      </c>
      <c r="X195">
        <v>0.99909510000000001</v>
      </c>
      <c r="Y195">
        <v>9.3440099999999998E-2</v>
      </c>
      <c r="Z195">
        <v>-1.582764E-4</v>
      </c>
      <c r="AA195">
        <v>0.99562490000000003</v>
      </c>
      <c r="AB195">
        <v>15</v>
      </c>
      <c r="AC195">
        <v>188.82640000000001</v>
      </c>
      <c r="AD195">
        <v>-0.72662039999999894</v>
      </c>
      <c r="AE195">
        <v>-18.773199999999999</v>
      </c>
      <c r="AF195">
        <v>17.742995929785799</v>
      </c>
      <c r="AG195">
        <v>-0.72662039999999894</v>
      </c>
      <c r="AH195">
        <v>188.923192169327</v>
      </c>
      <c r="AI195">
        <v>90.219399642122596</v>
      </c>
      <c r="AJ195">
        <v>84.6347211911188</v>
      </c>
      <c r="AK195">
        <v>189.75593382347401</v>
      </c>
      <c r="AL195">
        <v>87.564992283590101</v>
      </c>
      <c r="AM195">
        <v>89.886469188900705</v>
      </c>
      <c r="AN195">
        <v>1.0000000037915899</v>
      </c>
    </row>
    <row r="196" spans="1:40" x14ac:dyDescent="0.25">
      <c r="A196" t="str">
        <f>"20190312150640649"</f>
        <v>20190312150640649</v>
      </c>
      <c r="B196" t="str">
        <f>"1552374400640482"</f>
        <v>1552374400640482</v>
      </c>
      <c r="C196" t="s">
        <v>40</v>
      </c>
      <c r="D196">
        <v>4.1156129999999997</v>
      </c>
      <c r="E196">
        <v>0.53562690000000002</v>
      </c>
      <c r="F196" t="s">
        <v>44</v>
      </c>
      <c r="G196">
        <v>-279.96460000000002</v>
      </c>
      <c r="H196">
        <v>0.57127930000000005</v>
      </c>
      <c r="I196">
        <v>347.92750000000001</v>
      </c>
      <c r="J196">
        <v>-468.70370000000003</v>
      </c>
      <c r="K196">
        <v>1.108951</v>
      </c>
      <c r="L196">
        <v>367.17970000000003</v>
      </c>
      <c r="M196">
        <v>0.99998299999999996</v>
      </c>
      <c r="N196">
        <v>0</v>
      </c>
      <c r="O196">
        <v>-5.4554989999999999E-3</v>
      </c>
      <c r="P196">
        <v>0.99915810000000005</v>
      </c>
      <c r="Q196">
        <v>4.0348729999999999E-2</v>
      </c>
      <c r="R196">
        <v>-7.4245300000000004E-3</v>
      </c>
      <c r="S196">
        <v>3.0005799999999998</v>
      </c>
      <c r="T196">
        <v>-8.5424179999999995E-3</v>
      </c>
      <c r="U196">
        <v>-0.30593870000000001</v>
      </c>
      <c r="V196">
        <v>1.9742459999999998E-3</v>
      </c>
      <c r="W196">
        <v>4.2405579999999998E-2</v>
      </c>
      <c r="X196">
        <v>0.9990985</v>
      </c>
      <c r="Y196">
        <v>9.6004740000000005E-2</v>
      </c>
      <c r="Z196">
        <v>-1.208153E-4</v>
      </c>
      <c r="AA196">
        <v>0.99538090000000001</v>
      </c>
      <c r="AB196">
        <v>15</v>
      </c>
      <c r="AC196">
        <v>188.73910000000001</v>
      </c>
      <c r="AD196">
        <v>-0.53767169999999997</v>
      </c>
      <c r="AE196">
        <v>-19.252199999999998</v>
      </c>
      <c r="AF196">
        <v>18.222098990336399</v>
      </c>
      <c r="AG196">
        <v>-0.53767169999999997</v>
      </c>
      <c r="AH196">
        <v>188.83980514522901</v>
      </c>
      <c r="AI196">
        <v>90.162380000842305</v>
      </c>
      <c r="AJ196">
        <v>84.488307862922099</v>
      </c>
      <c r="AK196">
        <v>189.71770078134099</v>
      </c>
      <c r="AL196">
        <v>87.569610396913305</v>
      </c>
      <c r="AM196">
        <v>89.8867821177856</v>
      </c>
      <c r="AN196">
        <v>0.99999997178232702</v>
      </c>
    </row>
    <row r="197" spans="1:40" x14ac:dyDescent="0.25">
      <c r="A197" t="str">
        <f>"20190312150640660"</f>
        <v>20190312150640660</v>
      </c>
      <c r="B197" t="str">
        <f>"1552374400651218"</f>
        <v>1552374400651218</v>
      </c>
      <c r="C197" t="s">
        <v>40</v>
      </c>
      <c r="D197">
        <v>4.5767800000000003</v>
      </c>
      <c r="E197">
        <v>0.53588880000000005</v>
      </c>
      <c r="F197" t="s">
        <v>44</v>
      </c>
      <c r="G197">
        <v>-279.96460000000002</v>
      </c>
      <c r="H197">
        <v>0.62535450000000004</v>
      </c>
      <c r="I197">
        <v>347.7842</v>
      </c>
      <c r="J197">
        <v>-468.61950000000002</v>
      </c>
      <c r="K197">
        <v>1.108968</v>
      </c>
      <c r="L197">
        <v>367.17930000000001</v>
      </c>
      <c r="M197">
        <v>0.99998299999999996</v>
      </c>
      <c r="N197">
        <v>0</v>
      </c>
      <c r="O197">
        <v>-5.4569650000000003E-3</v>
      </c>
      <c r="P197">
        <v>0.99916150000000004</v>
      </c>
      <c r="Q197">
        <v>4.0250630000000003E-2</v>
      </c>
      <c r="R197">
        <v>-7.5068169999999998E-3</v>
      </c>
      <c r="S197">
        <v>3.0005799999999998</v>
      </c>
      <c r="T197">
        <v>-7.6869729999999997E-3</v>
      </c>
      <c r="U197">
        <v>-0.308349599999999</v>
      </c>
      <c r="V197">
        <v>2.055051E-3</v>
      </c>
      <c r="W197">
        <v>4.2344130000000001E-2</v>
      </c>
      <c r="X197">
        <v>0.99910100000000002</v>
      </c>
      <c r="Y197">
        <v>9.67948E-2</v>
      </c>
      <c r="Z197">
        <v>-1.09718E-4</v>
      </c>
      <c r="AA197">
        <v>0.99530430000000003</v>
      </c>
      <c r="AB197">
        <v>15</v>
      </c>
      <c r="AC197">
        <v>188.6549</v>
      </c>
      <c r="AD197">
        <v>-0.48361349999999897</v>
      </c>
      <c r="AE197">
        <v>-19.395099999999999</v>
      </c>
      <c r="AF197">
        <v>18.365206435571</v>
      </c>
      <c r="AG197">
        <v>-0.48361349999999897</v>
      </c>
      <c r="AH197">
        <v>188.756702215117</v>
      </c>
      <c r="AI197">
        <v>90.146107255183196</v>
      </c>
      <c r="AJ197">
        <v>84.442861167734506</v>
      </c>
      <c r="AK197">
        <v>189.64864175776501</v>
      </c>
      <c r="AL197">
        <v>87.573134525437894</v>
      </c>
      <c r="AM197">
        <v>89.882148468542994</v>
      </c>
      <c r="AN197">
        <v>1.0000000283905299</v>
      </c>
    </row>
    <row r="198" spans="1:40" x14ac:dyDescent="0.25">
      <c r="A198" t="str">
        <f>"20190312150640673"</f>
        <v>20190312150640673</v>
      </c>
      <c r="B198" t="str">
        <f>"1552374400670739"</f>
        <v>1552374400670739</v>
      </c>
      <c r="C198" t="s">
        <v>40</v>
      </c>
      <c r="D198">
        <v>4.3597349999999997</v>
      </c>
      <c r="E198">
        <v>0.53658450000000002</v>
      </c>
      <c r="F198" t="s">
        <v>44</v>
      </c>
      <c r="G198">
        <v>-279.96460000000002</v>
      </c>
      <c r="H198">
        <v>0.71532419999999997</v>
      </c>
      <c r="I198">
        <v>347.63780000000003</v>
      </c>
      <c r="J198">
        <v>-468.53859999999997</v>
      </c>
      <c r="K198">
        <v>1.1089830000000001</v>
      </c>
      <c r="L198">
        <v>367.17880000000002</v>
      </c>
      <c r="M198">
        <v>0.99998299999999996</v>
      </c>
      <c r="N198">
        <v>0</v>
      </c>
      <c r="O198">
        <v>-5.4571219999999896E-3</v>
      </c>
      <c r="P198">
        <v>0.99915529999999997</v>
      </c>
      <c r="Q198">
        <v>4.0375189999999998E-2</v>
      </c>
      <c r="R198">
        <v>-7.653768E-3</v>
      </c>
      <c r="S198">
        <v>3.000397</v>
      </c>
      <c r="T198">
        <v>-6.2593220000000003E-3</v>
      </c>
      <c r="U198">
        <v>-0.31079099999999998</v>
      </c>
      <c r="V198">
        <v>2.2020529999999998E-3</v>
      </c>
      <c r="W198">
        <v>4.250516E-2</v>
      </c>
      <c r="X198">
        <v>0.99909380000000003</v>
      </c>
      <c r="Y198">
        <v>9.7602229999999998E-2</v>
      </c>
      <c r="Z198" s="1">
        <v>-9.0182169999999902E-5</v>
      </c>
      <c r="AA198">
        <v>0.99522549999999999</v>
      </c>
      <c r="AB198">
        <v>15</v>
      </c>
      <c r="AC198">
        <v>188.57400000000001</v>
      </c>
      <c r="AD198">
        <v>-0.39365879999999998</v>
      </c>
      <c r="AE198">
        <v>-19.541</v>
      </c>
      <c r="AF198">
        <v>18.511555719946202</v>
      </c>
      <c r="AG198">
        <v>-0.39365879999999998</v>
      </c>
      <c r="AH198">
        <v>188.67701643106901</v>
      </c>
      <c r="AI198">
        <v>90.118971435003004</v>
      </c>
      <c r="AJ198">
        <v>84.396507215727993</v>
      </c>
      <c r="AK198">
        <v>189.58335684271799</v>
      </c>
      <c r="AL198">
        <v>87.563899752733107</v>
      </c>
      <c r="AM198">
        <v>89.873717423866495</v>
      </c>
      <c r="AN198">
        <v>0.99999997943123997</v>
      </c>
    </row>
    <row r="199" spans="1:40" x14ac:dyDescent="0.25">
      <c r="A199" t="str">
        <f>"20190312150640692"</f>
        <v>20190312150640692</v>
      </c>
      <c r="B199" t="str">
        <f>"1552374400680504"</f>
        <v>1552374400680504</v>
      </c>
      <c r="C199" t="s">
        <v>40</v>
      </c>
      <c r="D199">
        <v>4.1865309999999996</v>
      </c>
      <c r="E199">
        <v>0.53676250000000003</v>
      </c>
      <c r="F199" t="s">
        <v>45</v>
      </c>
      <c r="G199">
        <v>-282.98149999999998</v>
      </c>
      <c r="H199">
        <v>0.88698199999999905</v>
      </c>
      <c r="I199">
        <v>347.58730000000003</v>
      </c>
      <c r="J199">
        <v>-468.40870000000001</v>
      </c>
      <c r="K199">
        <v>1.1090040000000001</v>
      </c>
      <c r="L199">
        <v>367.17809999999997</v>
      </c>
      <c r="M199">
        <v>0.99998279999999995</v>
      </c>
      <c r="N199">
        <v>0</v>
      </c>
      <c r="O199">
        <v>-5.4559939999999996E-3</v>
      </c>
      <c r="P199">
        <v>0.9991603</v>
      </c>
      <c r="Q199">
        <v>4.02811E-2</v>
      </c>
      <c r="R199">
        <v>-7.5308090000000003E-3</v>
      </c>
      <c r="S199">
        <v>3.0002439999999999</v>
      </c>
      <c r="T199">
        <v>-3.5895110000000001E-3</v>
      </c>
      <c r="U199">
        <v>-0.31677250000000001</v>
      </c>
      <c r="V199">
        <v>2.079872E-3</v>
      </c>
      <c r="W199">
        <v>4.2471809999999999E-2</v>
      </c>
      <c r="X199">
        <v>0.99909550000000003</v>
      </c>
      <c r="Y199">
        <v>9.9571149999999997E-2</v>
      </c>
      <c r="Z199" s="1">
        <v>-5.2889659999999898E-5</v>
      </c>
      <c r="AA199">
        <v>0.99503050000000004</v>
      </c>
      <c r="AB199">
        <v>15</v>
      </c>
      <c r="AC199">
        <v>185.4272</v>
      </c>
      <c r="AD199">
        <v>-0.222022</v>
      </c>
      <c r="AE199">
        <v>-19.590799999999899</v>
      </c>
      <c r="AF199">
        <v>18.578790033076199</v>
      </c>
      <c r="AG199">
        <v>-0.222022</v>
      </c>
      <c r="AH199">
        <v>185.531064563483</v>
      </c>
      <c r="AI199">
        <v>90.068223682518095</v>
      </c>
      <c r="AJ199">
        <v>84.281553888295505</v>
      </c>
      <c r="AK199">
        <v>186.45910181839099</v>
      </c>
      <c r="AL199">
        <v>87.565812342560093</v>
      </c>
      <c r="AM199">
        <v>89.880724399837803</v>
      </c>
      <c r="AN199">
        <v>0.99999999931623096</v>
      </c>
    </row>
    <row r="200" spans="1:40" x14ac:dyDescent="0.25">
      <c r="A200" t="str">
        <f>"20190312150640703"</f>
        <v>20190312150640703</v>
      </c>
      <c r="B200" t="str">
        <f>"1552374400700994"</f>
        <v>1552374400700994</v>
      </c>
      <c r="C200" t="s">
        <v>40</v>
      </c>
      <c r="D200">
        <v>4.3520440000000002</v>
      </c>
      <c r="E200">
        <v>0.53709319999999905</v>
      </c>
      <c r="F200" t="s">
        <v>45</v>
      </c>
      <c r="G200">
        <v>-282.98149999999998</v>
      </c>
      <c r="H200">
        <v>0.93709439999999999</v>
      </c>
      <c r="I200">
        <v>347.5247</v>
      </c>
      <c r="J200">
        <v>-468.32429999999999</v>
      </c>
      <c r="K200">
        <v>1.1090180000000001</v>
      </c>
      <c r="L200">
        <v>367.17759999999998</v>
      </c>
      <c r="M200">
        <v>0.99998279999999995</v>
      </c>
      <c r="N200">
        <v>0</v>
      </c>
      <c r="O200">
        <v>-5.454726E-3</v>
      </c>
      <c r="P200">
        <v>0.99917069999999997</v>
      </c>
      <c r="Q200">
        <v>4.0052560000000001E-2</v>
      </c>
      <c r="R200">
        <v>-7.3485479999999999E-3</v>
      </c>
      <c r="S200">
        <v>3.0002140000000002</v>
      </c>
      <c r="T200">
        <v>-2.7815100000000001E-3</v>
      </c>
      <c r="U200">
        <v>-0.31799319999999998</v>
      </c>
      <c r="V200">
        <v>1.899034E-3</v>
      </c>
      <c r="W200">
        <v>4.228316E-2</v>
      </c>
      <c r="X200">
        <v>0.99910379999999999</v>
      </c>
      <c r="Y200">
        <v>9.9973839999999994E-2</v>
      </c>
      <c r="Z200" s="1">
        <v>-4.1171039999999999E-5</v>
      </c>
      <c r="AA200">
        <v>0.99499009999999999</v>
      </c>
      <c r="AB200">
        <v>15</v>
      </c>
      <c r="AC200">
        <v>185.34280000000001</v>
      </c>
      <c r="AD200">
        <v>-0.17192360000000001</v>
      </c>
      <c r="AE200">
        <v>-19.652899999999899</v>
      </c>
      <c r="AF200">
        <v>18.641595219873601</v>
      </c>
      <c r="AG200">
        <v>-0.17192360000000001</v>
      </c>
      <c r="AH200">
        <v>185.44708626056999</v>
      </c>
      <c r="AI200">
        <v>90.052851191444901</v>
      </c>
      <c r="AJ200">
        <v>84.259770668480996</v>
      </c>
      <c r="AK200">
        <v>186.38175992462601</v>
      </c>
      <c r="AL200">
        <v>87.576630760280594</v>
      </c>
      <c r="AM200">
        <v>89.891095897823803</v>
      </c>
      <c r="AN200">
        <v>0.99999993756207695</v>
      </c>
    </row>
    <row r="201" spans="1:40" x14ac:dyDescent="0.25">
      <c r="A201" t="str">
        <f>"20190312150640716"</f>
        <v>20190312150640716</v>
      </c>
      <c r="B201" t="str">
        <f>"1552374400710754"</f>
        <v>1552374400710754</v>
      </c>
      <c r="C201" t="s">
        <v>40</v>
      </c>
      <c r="D201">
        <v>4.0939889999999997</v>
      </c>
      <c r="E201">
        <v>0.53704200000000002</v>
      </c>
      <c r="F201" t="s">
        <v>45</v>
      </c>
      <c r="G201">
        <v>-282.32900000000001</v>
      </c>
      <c r="H201">
        <v>1.0058579999999999</v>
      </c>
      <c r="I201">
        <v>347.34660000000002</v>
      </c>
      <c r="J201">
        <v>-468.23790000000002</v>
      </c>
      <c r="K201">
        <v>1.1090310000000001</v>
      </c>
      <c r="L201">
        <v>367.17720000000003</v>
      </c>
      <c r="M201">
        <v>0.99998260000000005</v>
      </c>
      <c r="N201">
        <v>0</v>
      </c>
      <c r="O201">
        <v>-5.4529859999999999E-3</v>
      </c>
      <c r="P201">
        <v>0.99917210000000001</v>
      </c>
      <c r="Q201">
        <v>4.0006319999999998E-2</v>
      </c>
      <c r="R201">
        <v>-7.4342949999999996E-3</v>
      </c>
      <c r="S201">
        <v>3.0001829999999998</v>
      </c>
      <c r="T201">
        <v>-1.6640419999999999E-3</v>
      </c>
      <c r="U201">
        <v>-0.31988529999999998</v>
      </c>
      <c r="V201">
        <v>1.9861879999999998E-3</v>
      </c>
      <c r="W201">
        <v>4.2278870000000003E-2</v>
      </c>
      <c r="X201">
        <v>0.99910390000000004</v>
      </c>
      <c r="Y201">
        <v>0.10059709999999999</v>
      </c>
      <c r="Z201" s="1">
        <v>-2.480339E-5</v>
      </c>
      <c r="AA201">
        <v>0.99492720000000001</v>
      </c>
      <c r="AB201">
        <v>15</v>
      </c>
      <c r="AC201">
        <v>185.90889999999999</v>
      </c>
      <c r="AD201">
        <v>-0.103172999999999</v>
      </c>
      <c r="AE201">
        <v>-19.8306</v>
      </c>
      <c r="AF201">
        <v>18.8165382381207</v>
      </c>
      <c r="AG201">
        <v>-0.103172999999999</v>
      </c>
      <c r="AH201">
        <v>186.01421557229699</v>
      </c>
      <c r="AI201">
        <v>90.031617812273197</v>
      </c>
      <c r="AJ201">
        <v>84.223810569338099</v>
      </c>
      <c r="AK201">
        <v>186.963528932548</v>
      </c>
      <c r="AL201">
        <v>87.576876992143099</v>
      </c>
      <c r="AM201">
        <v>89.886097892515195</v>
      </c>
      <c r="AN201">
        <v>1.00000002539322</v>
      </c>
    </row>
    <row r="202" spans="1:40" x14ac:dyDescent="0.25">
      <c r="A202" t="str">
        <f>"20190312150640729"</f>
        <v>20190312150640729</v>
      </c>
      <c r="B202" t="str">
        <f>"1552374400720514"</f>
        <v>1552374400720514</v>
      </c>
      <c r="C202" t="s">
        <v>40</v>
      </c>
      <c r="D202">
        <v>4.0535500000000004</v>
      </c>
      <c r="E202">
        <v>0.53712930000000003</v>
      </c>
      <c r="F202" t="s">
        <v>45</v>
      </c>
      <c r="G202">
        <v>-282.32900000000001</v>
      </c>
      <c r="H202">
        <v>0.94549099999999997</v>
      </c>
      <c r="I202">
        <v>347.36099999999999</v>
      </c>
      <c r="J202">
        <v>-468.14920000000001</v>
      </c>
      <c r="K202">
        <v>1.1090450000000001</v>
      </c>
      <c r="L202">
        <v>367.17669999999998</v>
      </c>
      <c r="M202">
        <v>0.9999825</v>
      </c>
      <c r="N202">
        <v>0</v>
      </c>
      <c r="O202">
        <v>-5.4510100000000001E-3</v>
      </c>
      <c r="P202">
        <v>0.99917990000000001</v>
      </c>
      <c r="Q202">
        <v>3.9823570000000003E-2</v>
      </c>
      <c r="R202">
        <v>-7.335355E-3</v>
      </c>
      <c r="S202">
        <v>3.0001829999999998</v>
      </c>
      <c r="T202">
        <v>-2.6391740000000002E-3</v>
      </c>
      <c r="U202">
        <v>-0.31979370000000001</v>
      </c>
      <c r="V202">
        <v>1.8893499999999999E-3</v>
      </c>
      <c r="W202">
        <v>4.2139749999999997E-2</v>
      </c>
      <c r="X202">
        <v>0.9991099</v>
      </c>
      <c r="Y202">
        <v>0.10056900000000001</v>
      </c>
      <c r="Z202" s="1">
        <v>-3.932771E-5</v>
      </c>
      <c r="AA202">
        <v>0.99493010000000004</v>
      </c>
      <c r="AB202">
        <v>16</v>
      </c>
      <c r="AC202">
        <v>185.8202</v>
      </c>
      <c r="AD202">
        <v>-0.163554</v>
      </c>
      <c r="AE202">
        <v>-19.8157</v>
      </c>
      <c r="AF202">
        <v>18.8024807510401</v>
      </c>
      <c r="AG202">
        <v>-0.163554</v>
      </c>
      <c r="AH202">
        <v>185.92531272631001</v>
      </c>
      <c r="AI202">
        <v>90.050145926497905</v>
      </c>
      <c r="AJ202">
        <v>84.225355436326197</v>
      </c>
      <c r="AK202">
        <v>186.87370586757399</v>
      </c>
      <c r="AL202">
        <v>87.5848549334724</v>
      </c>
      <c r="AM202">
        <v>89.891651907375802</v>
      </c>
      <c r="AN202">
        <v>0.999999960225746</v>
      </c>
    </row>
    <row r="203" spans="1:40" x14ac:dyDescent="0.25">
      <c r="A203" t="str">
        <f>"20190312150640749"</f>
        <v>20190312150640749</v>
      </c>
      <c r="B203" t="str">
        <f>"1552374400741010"</f>
        <v>1552374400741010</v>
      </c>
      <c r="C203" t="s">
        <v>40</v>
      </c>
      <c r="D203">
        <v>4.0456399999999997</v>
      </c>
      <c r="E203">
        <v>0.53727369999999997</v>
      </c>
      <c r="F203" t="s">
        <v>45</v>
      </c>
      <c r="G203">
        <v>-282.32900000000001</v>
      </c>
      <c r="H203">
        <v>0.95229750000000002</v>
      </c>
      <c r="I203">
        <v>347.3458</v>
      </c>
      <c r="J203">
        <v>-467.99990000000003</v>
      </c>
      <c r="K203">
        <v>1.109067</v>
      </c>
      <c r="L203">
        <v>367.17590000000001</v>
      </c>
      <c r="M203">
        <v>0.99998240000000005</v>
      </c>
      <c r="N203">
        <v>0</v>
      </c>
      <c r="O203">
        <v>-5.4476419999999999E-3</v>
      </c>
      <c r="P203">
        <v>0.99918640000000003</v>
      </c>
      <c r="Q203">
        <v>3.9613160000000001E-2</v>
      </c>
      <c r="R203">
        <v>-7.5868369999999999E-3</v>
      </c>
      <c r="S203">
        <v>3.0002439999999999</v>
      </c>
      <c r="T203">
        <v>-2.5308129999999998E-3</v>
      </c>
      <c r="U203">
        <v>-0.32019039999999999</v>
      </c>
      <c r="V203">
        <v>2.1444849999999998E-3</v>
      </c>
      <c r="W203">
        <v>4.2001589999999998E-2</v>
      </c>
      <c r="X203">
        <v>0.99911519999999998</v>
      </c>
      <c r="Y203">
        <v>0.1007004</v>
      </c>
      <c r="Z203" s="1">
        <v>-3.7769989999999999E-5</v>
      </c>
      <c r="AA203">
        <v>0.99491680000000005</v>
      </c>
      <c r="AB203">
        <v>16</v>
      </c>
      <c r="AC203">
        <v>185.67089999999999</v>
      </c>
      <c r="AD203">
        <v>-0.15676950000000001</v>
      </c>
      <c r="AE203">
        <v>-19.830100000000002</v>
      </c>
      <c r="AF203">
        <v>18.818321098572099</v>
      </c>
      <c r="AG203">
        <v>-0.15676950000000001</v>
      </c>
      <c r="AH203">
        <v>185.77604154074999</v>
      </c>
      <c r="AI203">
        <v>90.048103606934703</v>
      </c>
      <c r="AJ203">
        <v>84.215911105865999</v>
      </c>
      <c r="AK203">
        <v>186.72678275007999</v>
      </c>
      <c r="AL203">
        <v>87.592777927154401</v>
      </c>
      <c r="AM203">
        <v>89.877021437524107</v>
      </c>
      <c r="AN203">
        <v>0.99999995762474003</v>
      </c>
    </row>
    <row r="204" spans="1:40" x14ac:dyDescent="0.25">
      <c r="A204" t="str">
        <f>"20190312150640772"</f>
        <v>20190312150640772</v>
      </c>
      <c r="B204" t="str">
        <f>"1552374400760530"</f>
        <v>1552374400760530</v>
      </c>
      <c r="C204" t="s">
        <v>40</v>
      </c>
      <c r="D204">
        <v>4.0909199999999997</v>
      </c>
      <c r="E204">
        <v>0.53734979999999999</v>
      </c>
      <c r="F204" t="s">
        <v>45</v>
      </c>
      <c r="G204">
        <v>-282.32900000000001</v>
      </c>
      <c r="H204">
        <v>0.96972230000000004</v>
      </c>
      <c r="I204">
        <v>347.24829999999997</v>
      </c>
      <c r="J204">
        <v>-467.8399</v>
      </c>
      <c r="K204">
        <v>1.1090899999999999</v>
      </c>
      <c r="L204">
        <v>367.17500000000001</v>
      </c>
      <c r="M204">
        <v>0.99998220000000004</v>
      </c>
      <c r="N204">
        <v>0</v>
      </c>
      <c r="O204">
        <v>-5.4436850000000002E-3</v>
      </c>
      <c r="P204">
        <v>0.99919279999999999</v>
      </c>
      <c r="Q204">
        <v>3.9400299999999999E-2</v>
      </c>
      <c r="R204">
        <v>-7.8200230000000006E-3</v>
      </c>
      <c r="S204">
        <v>3.0000610000000001</v>
      </c>
      <c r="T204">
        <v>-2.2515059999999999E-3</v>
      </c>
      <c r="U204">
        <v>-0.32199100000000003</v>
      </c>
      <c r="V204">
        <v>2.3818680000000001E-3</v>
      </c>
      <c r="W204">
        <v>4.186438E-2</v>
      </c>
      <c r="X204">
        <v>0.99912049999999997</v>
      </c>
      <c r="Y204">
        <v>0.101301</v>
      </c>
      <c r="Z204" s="1">
        <v>-3.3830269999999998E-5</v>
      </c>
      <c r="AA204">
        <v>0.99485579999999996</v>
      </c>
      <c r="AB204">
        <v>16</v>
      </c>
      <c r="AC204">
        <v>185.51089999999999</v>
      </c>
      <c r="AD204">
        <v>-0.13936769999999901</v>
      </c>
      <c r="AE204">
        <v>-19.9267</v>
      </c>
      <c r="AF204">
        <v>18.916528274304401</v>
      </c>
      <c r="AG204">
        <v>-0.13936769999999901</v>
      </c>
      <c r="AH204">
        <v>185.61652271031301</v>
      </c>
      <c r="AI204">
        <v>90.042798089783602</v>
      </c>
      <c r="AJ204">
        <v>84.180969601548895</v>
      </c>
      <c r="AK204">
        <v>186.57799433045801</v>
      </c>
      <c r="AL204">
        <v>87.600646591825196</v>
      </c>
      <c r="AM204">
        <v>89.863409143117806</v>
      </c>
      <c r="AN204">
        <v>1.0000000365641</v>
      </c>
    </row>
    <row r="205" spans="1:40" x14ac:dyDescent="0.25">
      <c r="A205" t="str">
        <f>"20190312150640787"</f>
        <v>20190312150640787</v>
      </c>
      <c r="B205" t="str">
        <f>"1552374400781026"</f>
        <v>1552374400781026</v>
      </c>
      <c r="C205" t="s">
        <v>40</v>
      </c>
      <c r="D205">
        <v>4.0060390000000003</v>
      </c>
      <c r="E205">
        <v>0.51631680000000002</v>
      </c>
      <c r="F205" t="s">
        <v>45</v>
      </c>
      <c r="G205">
        <v>-282.32900000000001</v>
      </c>
      <c r="H205">
        <v>0.95474590000000004</v>
      </c>
      <c r="I205">
        <v>347.17559999999997</v>
      </c>
      <c r="J205">
        <v>-467.72840000000002</v>
      </c>
      <c r="K205">
        <v>1.1090979999999999</v>
      </c>
      <c r="L205">
        <v>367.17439999999999</v>
      </c>
      <c r="M205">
        <v>0.99998209999999998</v>
      </c>
      <c r="N205">
        <v>0</v>
      </c>
      <c r="O205">
        <v>-5.4413660000000004E-3</v>
      </c>
      <c r="P205">
        <v>0.99919840000000004</v>
      </c>
      <c r="Q205">
        <v>3.9261020000000001E-2</v>
      </c>
      <c r="R205">
        <v>-7.8285950000000007E-3</v>
      </c>
      <c r="S205">
        <v>3.0000309999999999</v>
      </c>
      <c r="T205">
        <v>-2.496004E-3</v>
      </c>
      <c r="U205">
        <v>-0.32342530000000003</v>
      </c>
      <c r="V205">
        <v>2.3924580000000001E-3</v>
      </c>
      <c r="W205">
        <v>4.1774810000000002E-2</v>
      </c>
      <c r="X205">
        <v>0.99912420000000002</v>
      </c>
      <c r="Y205">
        <v>0.10177460000000001</v>
      </c>
      <c r="Z205" s="1">
        <v>-3.7701799999999999E-5</v>
      </c>
      <c r="AA205">
        <v>0.99480749999999996</v>
      </c>
      <c r="AB205">
        <v>16</v>
      </c>
      <c r="AC205">
        <v>185.39940000000001</v>
      </c>
      <c r="AD205">
        <v>-0.15435209999999899</v>
      </c>
      <c r="AE205">
        <v>-19.998799999999999</v>
      </c>
      <c r="AF205">
        <v>18.9896618038503</v>
      </c>
      <c r="AG205">
        <v>-0.15435209999999899</v>
      </c>
      <c r="AH205">
        <v>185.50534929560001</v>
      </c>
      <c r="AI205">
        <v>90.047425834666896</v>
      </c>
      <c r="AJ205">
        <v>84.155151306774698</v>
      </c>
      <c r="AK205">
        <v>186.474839314257</v>
      </c>
      <c r="AL205">
        <v>87.605783011220097</v>
      </c>
      <c r="AM205">
        <v>89.862802358238497</v>
      </c>
      <c r="AN205">
        <v>1.00000001281572</v>
      </c>
    </row>
    <row r="206" spans="1:40" x14ac:dyDescent="0.25">
      <c r="A206" t="str">
        <f>"20190312150640803"</f>
        <v>20190312150640803</v>
      </c>
      <c r="B206" t="str">
        <f>"1552374400800546"</f>
        <v>1552374400800546</v>
      </c>
      <c r="C206" t="s">
        <v>40</v>
      </c>
      <c r="D206">
        <v>4.0023239999999998</v>
      </c>
      <c r="E206">
        <v>0.51123790000000002</v>
      </c>
      <c r="F206" t="s">
        <v>42</v>
      </c>
      <c r="G206">
        <v>-358.99540000000002</v>
      </c>
      <c r="H206" s="1">
        <v>-2.4800829999999999E-6</v>
      </c>
      <c r="I206">
        <v>361.52780000000001</v>
      </c>
      <c r="J206">
        <v>-467.60590000000002</v>
      </c>
      <c r="K206">
        <v>1.1091040000000001</v>
      </c>
      <c r="L206">
        <v>367.1737</v>
      </c>
      <c r="M206">
        <v>0.99998209999999998</v>
      </c>
      <c r="N206">
        <v>0</v>
      </c>
      <c r="O206">
        <v>-5.4391709999999996E-3</v>
      </c>
      <c r="P206">
        <v>0.99919729999999995</v>
      </c>
      <c r="Q206">
        <v>3.9257279999999999E-2</v>
      </c>
      <c r="R206">
        <v>-7.9934669999999902E-3</v>
      </c>
      <c r="S206">
        <v>3.0024109999999999</v>
      </c>
      <c r="T206">
        <v>-3.0625220000000002E-2</v>
      </c>
      <c r="U206">
        <v>-0.15591429999999901</v>
      </c>
      <c r="V206">
        <v>2.5597329999999998E-3</v>
      </c>
      <c r="W206">
        <v>4.1823409999999998E-2</v>
      </c>
      <c r="X206">
        <v>0.9991217</v>
      </c>
      <c r="Y206">
        <v>4.6425069999999999E-2</v>
      </c>
      <c r="Z206">
        <v>-1.811673E-4</v>
      </c>
      <c r="AA206">
        <v>0.99892179999999997</v>
      </c>
      <c r="AB206">
        <v>16</v>
      </c>
      <c r="AC206">
        <v>108.6105</v>
      </c>
      <c r="AD206">
        <v>-1.1091064800829999</v>
      </c>
      <c r="AE206">
        <v>-5.6458999999999797</v>
      </c>
      <c r="AF206">
        <v>5.0545378964163001</v>
      </c>
      <c r="AG206">
        <v>-1.1091064800829999</v>
      </c>
      <c r="AH206">
        <v>108.628305211333</v>
      </c>
      <c r="AI206">
        <v>90.584343445843501</v>
      </c>
      <c r="AJ206">
        <v>87.335915782654098</v>
      </c>
      <c r="AK206">
        <v>108.75149269604</v>
      </c>
      <c r="AL206">
        <v>87.602995875469404</v>
      </c>
      <c r="AM206">
        <v>89.853209497204105</v>
      </c>
      <c r="AN206">
        <v>0.99999996063397401</v>
      </c>
    </row>
    <row r="207" spans="1:40" x14ac:dyDescent="0.25">
      <c r="A207" t="str">
        <f>"20190312150640816"</f>
        <v>20190312150640816</v>
      </c>
      <c r="B207" t="str">
        <f>"1552374400810306"</f>
        <v>1552374400810306</v>
      </c>
      <c r="C207" t="s">
        <v>40</v>
      </c>
      <c r="D207">
        <v>4.0144500000000001</v>
      </c>
      <c r="E207">
        <v>0.51014720000000002</v>
      </c>
      <c r="F207" t="s">
        <v>43</v>
      </c>
      <c r="G207">
        <v>-405.68119999999999</v>
      </c>
      <c r="H207">
        <v>-0.05</v>
      </c>
      <c r="I207">
        <v>364.77350000000001</v>
      </c>
      <c r="J207">
        <v>-467.51639999999998</v>
      </c>
      <c r="K207">
        <v>1.109111</v>
      </c>
      <c r="L207">
        <v>367.17320000000001</v>
      </c>
      <c r="M207">
        <v>0.99998189999999998</v>
      </c>
      <c r="N207">
        <v>0</v>
      </c>
      <c r="O207">
        <v>-5.4379090000000003E-3</v>
      </c>
      <c r="P207">
        <v>0.99920109999999995</v>
      </c>
      <c r="Q207">
        <v>3.9101289999999997E-2</v>
      </c>
      <c r="R207">
        <v>-8.2571880000000004E-3</v>
      </c>
      <c r="S207">
        <v>3.0036930000000002</v>
      </c>
      <c r="T207">
        <v>-5.622303E-2</v>
      </c>
      <c r="U207">
        <v>-0.1164246</v>
      </c>
      <c r="V207">
        <v>2.8247680000000001E-3</v>
      </c>
      <c r="W207">
        <v>4.1703820000000003E-2</v>
      </c>
      <c r="X207">
        <v>0.99912599999999996</v>
      </c>
      <c r="Y207">
        <v>3.3292099999999998E-2</v>
      </c>
      <c r="Z207">
        <v>-2.0969939999999999E-4</v>
      </c>
      <c r="AA207">
        <v>0.99944560000000005</v>
      </c>
      <c r="AB207">
        <v>16</v>
      </c>
      <c r="AC207">
        <v>61.835199999999901</v>
      </c>
      <c r="AD207">
        <v>-1.159111</v>
      </c>
      <c r="AE207">
        <v>-2.39969999999999</v>
      </c>
      <c r="AF207">
        <v>2.06268551486064</v>
      </c>
      <c r="AG207">
        <v>-1.159111</v>
      </c>
      <c r="AH207">
        <v>61.825643421377897</v>
      </c>
      <c r="AI207">
        <v>91.0734618801213</v>
      </c>
      <c r="AJ207">
        <v>88.089152852445693</v>
      </c>
      <c r="AK207">
        <v>61.870901030378597</v>
      </c>
      <c r="AL207">
        <v>87.609853897974602</v>
      </c>
      <c r="AM207">
        <v>89.838011568835697</v>
      </c>
      <c r="AN207">
        <v>0.99999997589642198</v>
      </c>
    </row>
    <row r="208" spans="1:40" x14ac:dyDescent="0.25">
      <c r="A208" t="str">
        <f>"20190312150640828"</f>
        <v>20190312150640828</v>
      </c>
      <c r="B208" t="str">
        <f>"1552374400821043"</f>
        <v>1552374400821043</v>
      </c>
      <c r="C208" t="s">
        <v>40</v>
      </c>
      <c r="D208">
        <v>3.9796830000000001</v>
      </c>
      <c r="E208">
        <v>0.50942390000000004</v>
      </c>
      <c r="F208" t="s">
        <v>43</v>
      </c>
      <c r="G208">
        <v>-411.48259999999999</v>
      </c>
      <c r="H208">
        <v>-0.05</v>
      </c>
      <c r="I208">
        <v>365.14440000000002</v>
      </c>
      <c r="J208">
        <v>-467.41849999999999</v>
      </c>
      <c r="K208">
        <v>1.1091200000000001</v>
      </c>
      <c r="L208">
        <v>367.17270000000002</v>
      </c>
      <c r="M208">
        <v>0.99998180000000003</v>
      </c>
      <c r="N208">
        <v>0</v>
      </c>
      <c r="O208">
        <v>-5.436771E-3</v>
      </c>
      <c r="P208">
        <v>0.99920520000000002</v>
      </c>
      <c r="Q208">
        <v>3.900522E-2</v>
      </c>
      <c r="R208">
        <v>-8.2151259999999997E-3</v>
      </c>
      <c r="S208">
        <v>3.0039370000000001</v>
      </c>
      <c r="T208">
        <v>-6.2139270000000003E-2</v>
      </c>
      <c r="U208">
        <v>-0.1087646</v>
      </c>
      <c r="V208">
        <v>2.7838730000000001E-3</v>
      </c>
      <c r="W208">
        <v>4.164665E-2</v>
      </c>
      <c r="X208">
        <v>0.99912849999999997</v>
      </c>
      <c r="Y208">
        <v>3.0744489999999999E-2</v>
      </c>
      <c r="Z208">
        <v>-2.0543819999999999E-4</v>
      </c>
      <c r="AA208">
        <v>0.99952730000000001</v>
      </c>
      <c r="AB208">
        <v>16</v>
      </c>
      <c r="AC208">
        <v>55.935899999999997</v>
      </c>
      <c r="AD208">
        <v>-1.1591199999999999</v>
      </c>
      <c r="AE208">
        <v>-2.0283000000000002</v>
      </c>
      <c r="AF208">
        <v>1.72341921620998</v>
      </c>
      <c r="AG208">
        <v>-1.1591199999999999</v>
      </c>
      <c r="AH208">
        <v>55.922118567901499</v>
      </c>
      <c r="AI208">
        <v>91.186859066046495</v>
      </c>
      <c r="AJ208">
        <v>88.234805718063598</v>
      </c>
      <c r="AK208">
        <v>55.960674389178301</v>
      </c>
      <c r="AL208">
        <v>87.613132347394597</v>
      </c>
      <c r="AM208">
        <v>89.840357110388197</v>
      </c>
      <c r="AN208">
        <v>0.999999976458676</v>
      </c>
    </row>
    <row r="209" spans="1:40" x14ac:dyDescent="0.25">
      <c r="A209" t="str">
        <f>"20190312150640841"</f>
        <v>20190312150640841</v>
      </c>
      <c r="B209" t="str">
        <f>"1552374400830803"</f>
        <v>1552374400830803</v>
      </c>
      <c r="C209" t="s">
        <v>40</v>
      </c>
      <c r="D209">
        <v>3.9409809999999998</v>
      </c>
      <c r="E209">
        <v>0.50904419999999995</v>
      </c>
      <c r="F209" t="s">
        <v>43</v>
      </c>
      <c r="G209">
        <v>-416.21780000000001</v>
      </c>
      <c r="H209">
        <v>-0.05</v>
      </c>
      <c r="I209">
        <v>365.4178</v>
      </c>
      <c r="J209">
        <v>-467.32479999999998</v>
      </c>
      <c r="K209">
        <v>1.1091260000000001</v>
      </c>
      <c r="L209">
        <v>367.17219999999998</v>
      </c>
      <c r="M209">
        <v>0.99998169999999997</v>
      </c>
      <c r="N209">
        <v>0</v>
      </c>
      <c r="O209">
        <v>-5.4359880000000001E-3</v>
      </c>
      <c r="P209">
        <v>0.99921009999999999</v>
      </c>
      <c r="Q209">
        <v>3.8870700000000001E-2</v>
      </c>
      <c r="R209">
        <v>-8.2908989999999991E-3</v>
      </c>
      <c r="S209">
        <v>3.0042110000000002</v>
      </c>
      <c r="T209">
        <v>-6.8011639999999998E-2</v>
      </c>
      <c r="U209">
        <v>-0.1029663</v>
      </c>
      <c r="V209">
        <v>2.860394E-3</v>
      </c>
      <c r="W209">
        <v>4.1549469999999998E-2</v>
      </c>
      <c r="X209">
        <v>0.99913229999999997</v>
      </c>
      <c r="Y209">
        <v>2.8814570000000001E-2</v>
      </c>
      <c r="Z209">
        <v>-2.0301640000000001E-4</v>
      </c>
      <c r="AA209">
        <v>0.99958469999999999</v>
      </c>
      <c r="AB209">
        <v>17</v>
      </c>
      <c r="AC209">
        <v>51.1069999999999</v>
      </c>
      <c r="AD209">
        <v>-1.1591260000000001</v>
      </c>
      <c r="AE209">
        <v>-1.75439999999997</v>
      </c>
      <c r="AF209">
        <v>1.47579780432998</v>
      </c>
      <c r="AG209">
        <v>-1.1591260000000001</v>
      </c>
      <c r="AH209">
        <v>51.089532319004299</v>
      </c>
      <c r="AI209">
        <v>91.299169436339497</v>
      </c>
      <c r="AJ209">
        <v>88.345385550146403</v>
      </c>
      <c r="AK209">
        <v>51.123985220420103</v>
      </c>
      <c r="AL209">
        <v>87.618705103949296</v>
      </c>
      <c r="AM209">
        <v>89.835969614635104</v>
      </c>
      <c r="AN209">
        <v>0.99999994660720104</v>
      </c>
    </row>
    <row r="210" spans="1:40" x14ac:dyDescent="0.25">
      <c r="A210" t="str">
        <f>"20190312150640860"</f>
        <v>20190312150640860</v>
      </c>
      <c r="B210" t="str">
        <f>"1552374400850325"</f>
        <v>1552374400850325</v>
      </c>
      <c r="C210" t="s">
        <v>40</v>
      </c>
      <c r="D210">
        <v>3.9726970000000001</v>
      </c>
      <c r="E210">
        <v>0.50850770000000001</v>
      </c>
      <c r="F210" t="s">
        <v>43</v>
      </c>
      <c r="G210">
        <v>-418.5145</v>
      </c>
      <c r="H210">
        <v>-0.05</v>
      </c>
      <c r="I210">
        <v>365.54640000000001</v>
      </c>
      <c r="J210">
        <v>-467.18669999999997</v>
      </c>
      <c r="K210">
        <v>1.109127</v>
      </c>
      <c r="L210">
        <v>367.17140000000001</v>
      </c>
      <c r="M210">
        <v>0.99998149999999997</v>
      </c>
      <c r="N210">
        <v>0</v>
      </c>
      <c r="O210">
        <v>-5.4353479999999996E-3</v>
      </c>
      <c r="P210">
        <v>0.99921479999999996</v>
      </c>
      <c r="Q210">
        <v>3.8777470000000001E-2</v>
      </c>
      <c r="R210">
        <v>-8.1402279999999994E-3</v>
      </c>
      <c r="S210">
        <v>3.0043329999999999</v>
      </c>
      <c r="T210">
        <v>-7.1345690000000003E-2</v>
      </c>
      <c r="U210">
        <v>-0.10006710000000001</v>
      </c>
      <c r="V210">
        <v>2.7103560000000001E-3</v>
      </c>
      <c r="W210">
        <v>4.1509919999999999E-2</v>
      </c>
      <c r="X210">
        <v>0.99913439999999998</v>
      </c>
      <c r="Y210">
        <v>2.784998E-2</v>
      </c>
      <c r="Z210">
        <v>-2.015272E-4</v>
      </c>
      <c r="AA210">
        <v>0.9996121</v>
      </c>
      <c r="AB210">
        <v>17</v>
      </c>
      <c r="AC210">
        <v>48.672199999999897</v>
      </c>
      <c r="AD210">
        <v>-1.159127</v>
      </c>
      <c r="AE210">
        <v>-1.625</v>
      </c>
      <c r="AF210">
        <v>1.35965439147376</v>
      </c>
      <c r="AG210">
        <v>-1.159127</v>
      </c>
      <c r="AH210">
        <v>48.6527506801025</v>
      </c>
      <c r="AI210">
        <v>91.3642521535848</v>
      </c>
      <c r="AJ210">
        <v>88.399223344209304</v>
      </c>
      <c r="AK210">
        <v>48.685545947504799</v>
      </c>
      <c r="AL210">
        <v>87.620973198730098</v>
      </c>
      <c r="AM210">
        <v>89.844573884293496</v>
      </c>
      <c r="AN210">
        <v>0.99999998437570603</v>
      </c>
    </row>
    <row r="211" spans="1:40" x14ac:dyDescent="0.25">
      <c r="A211" t="str">
        <f>"20190312150640872"</f>
        <v>20190312150640872</v>
      </c>
      <c r="B211" t="str">
        <f>"1552374400861058"</f>
        <v>1552374400861058</v>
      </c>
      <c r="C211" t="s">
        <v>40</v>
      </c>
      <c r="D211">
        <v>3.9848539999999999</v>
      </c>
      <c r="E211">
        <v>0.50834860000000004</v>
      </c>
      <c r="F211" t="s">
        <v>43</v>
      </c>
      <c r="G211">
        <v>-420.44099999999997</v>
      </c>
      <c r="H211">
        <v>-0.05</v>
      </c>
      <c r="I211">
        <v>365.68579999999997</v>
      </c>
      <c r="J211">
        <v>-467.09480000000002</v>
      </c>
      <c r="K211">
        <v>1.1091310000000001</v>
      </c>
      <c r="L211">
        <v>367.17090000000002</v>
      </c>
      <c r="M211">
        <v>0.99998149999999997</v>
      </c>
      <c r="N211">
        <v>0</v>
      </c>
      <c r="O211">
        <v>-5.4352790000000003E-3</v>
      </c>
      <c r="P211">
        <v>0.99921309999999997</v>
      </c>
      <c r="Q211">
        <v>3.8790320000000003E-2</v>
      </c>
      <c r="R211">
        <v>-8.2945869999999904E-3</v>
      </c>
      <c r="S211">
        <v>3.0045169999999999</v>
      </c>
      <c r="T211">
        <v>-7.4501399999999995E-2</v>
      </c>
      <c r="U211">
        <v>-9.5489500000000005E-2</v>
      </c>
      <c r="V211">
        <v>2.8648990000000002E-3</v>
      </c>
      <c r="W211">
        <v>4.1558049999999999E-2</v>
      </c>
      <c r="X211">
        <v>0.99913200000000002</v>
      </c>
      <c r="Y211">
        <v>2.6326510000000001E-2</v>
      </c>
      <c r="Z211">
        <v>-1.915516E-4</v>
      </c>
      <c r="AA211">
        <v>0.99965340000000003</v>
      </c>
      <c r="AB211">
        <v>17</v>
      </c>
      <c r="AC211">
        <v>46.653799999999997</v>
      </c>
      <c r="AD211">
        <v>-1.1591309999999999</v>
      </c>
      <c r="AE211">
        <v>-1.4851000000000401</v>
      </c>
      <c r="AF211">
        <v>1.2307417395604301</v>
      </c>
      <c r="AG211">
        <v>-1.1591309999999999</v>
      </c>
      <c r="AH211">
        <v>46.6324261159927</v>
      </c>
      <c r="AI211">
        <v>91.423398753706905</v>
      </c>
      <c r="AJ211">
        <v>88.488177709406003</v>
      </c>
      <c r="AK211">
        <v>46.663063287445802</v>
      </c>
      <c r="AL211">
        <v>87.618213247236994</v>
      </c>
      <c r="AM211">
        <v>89.835711225776905</v>
      </c>
      <c r="AN211">
        <v>1.00000001629504</v>
      </c>
    </row>
    <row r="212" spans="1:40" x14ac:dyDescent="0.25">
      <c r="A212" t="str">
        <f>"20190312150640884"</f>
        <v>20190312150640884</v>
      </c>
      <c r="B212" t="str">
        <f>"1552374400880578"</f>
        <v>1552374400880578</v>
      </c>
      <c r="C212" t="s">
        <v>40</v>
      </c>
      <c r="D212">
        <v>3.9044469999999998</v>
      </c>
      <c r="E212">
        <v>0.50824670000000005</v>
      </c>
      <c r="F212" t="s">
        <v>43</v>
      </c>
      <c r="G212">
        <v>-421.36040000000003</v>
      </c>
      <c r="H212">
        <v>-0.05</v>
      </c>
      <c r="I212">
        <v>365.7337</v>
      </c>
      <c r="J212">
        <v>-467.00479999999999</v>
      </c>
      <c r="K212">
        <v>1.109138</v>
      </c>
      <c r="L212">
        <v>367.17039999999997</v>
      </c>
      <c r="M212">
        <v>0.99998129999999996</v>
      </c>
      <c r="N212">
        <v>0</v>
      </c>
      <c r="O212">
        <v>-5.4349709999999898E-3</v>
      </c>
      <c r="P212">
        <v>0.99921850000000001</v>
      </c>
      <c r="Q212">
        <v>3.8671940000000002E-2</v>
      </c>
      <c r="R212">
        <v>-8.1737919999999992E-3</v>
      </c>
      <c r="S212">
        <v>3.0045470000000001</v>
      </c>
      <c r="T212">
        <v>-7.6149819999999993E-2</v>
      </c>
      <c r="U212">
        <v>-9.4421389999999994E-2</v>
      </c>
      <c r="V212">
        <v>2.7444729999999999E-3</v>
      </c>
      <c r="W212">
        <v>4.1474190000000001E-2</v>
      </c>
      <c r="X212">
        <v>0.99913580000000002</v>
      </c>
      <c r="Y212">
        <v>2.5971299999999999E-2</v>
      </c>
      <c r="Z212">
        <v>-1.9129579999999999E-4</v>
      </c>
      <c r="AA212">
        <v>0.99966270000000002</v>
      </c>
      <c r="AB212">
        <v>17</v>
      </c>
      <c r="AC212">
        <v>45.644399999999898</v>
      </c>
      <c r="AD212">
        <v>-1.159138</v>
      </c>
      <c r="AE212">
        <v>-1.4366999999999699</v>
      </c>
      <c r="AF212">
        <v>1.1878365323402</v>
      </c>
      <c r="AG212">
        <v>-1.159138</v>
      </c>
      <c r="AH212">
        <v>45.622141504937602</v>
      </c>
      <c r="AI212">
        <v>91.454928310202504</v>
      </c>
      <c r="AJ212">
        <v>88.508560857818793</v>
      </c>
      <c r="AK212">
        <v>45.652320335631899</v>
      </c>
      <c r="AL212">
        <v>87.623022163632299</v>
      </c>
      <c r="AM212">
        <v>89.842617665781603</v>
      </c>
      <c r="AN212">
        <v>0.99999999370492099</v>
      </c>
    </row>
    <row r="213" spans="1:40" x14ac:dyDescent="0.25">
      <c r="A213" t="str">
        <f>"20190312150640896"</f>
        <v>20190312150640896</v>
      </c>
      <c r="B213" t="str">
        <f>"1552374400891281"</f>
        <v>1552374400891281</v>
      </c>
      <c r="C213" t="s">
        <v>40</v>
      </c>
      <c r="D213">
        <v>3.9503360000000001</v>
      </c>
      <c r="E213">
        <v>0.50816059999999996</v>
      </c>
      <c r="F213" t="s">
        <v>43</v>
      </c>
      <c r="G213">
        <v>-421.44529999999997</v>
      </c>
      <c r="H213">
        <v>-0.05</v>
      </c>
      <c r="I213">
        <v>365.75720000000001</v>
      </c>
      <c r="J213">
        <v>-466.9153</v>
      </c>
      <c r="K213">
        <v>1.1091470000000001</v>
      </c>
      <c r="L213">
        <v>367.17</v>
      </c>
      <c r="M213">
        <v>0.99998109999999996</v>
      </c>
      <c r="N213">
        <v>0</v>
      </c>
      <c r="O213">
        <v>-5.4349009999999998E-3</v>
      </c>
      <c r="P213">
        <v>0.99921539999999998</v>
      </c>
      <c r="Q213">
        <v>3.877514E-2</v>
      </c>
      <c r="R213">
        <v>-8.0569189999999992E-3</v>
      </c>
      <c r="S213">
        <v>3.004578</v>
      </c>
      <c r="T213">
        <v>-7.644331E-2</v>
      </c>
      <c r="U213">
        <v>-9.3200679999999994E-2</v>
      </c>
      <c r="V213">
        <v>2.6277359999999999E-3</v>
      </c>
      <c r="W213">
        <v>4.1612349999999999E-2</v>
      </c>
      <c r="X213">
        <v>0.99913039999999997</v>
      </c>
      <c r="Y213">
        <v>2.5565379999999999E-2</v>
      </c>
      <c r="Z213">
        <v>-1.868722E-4</v>
      </c>
      <c r="AA213">
        <v>0.99967309999999998</v>
      </c>
      <c r="AB213">
        <v>17</v>
      </c>
      <c r="AC213">
        <v>45.47</v>
      </c>
      <c r="AD213">
        <v>-1.1591469999999999</v>
      </c>
      <c r="AE213">
        <v>-1.4128000000000001</v>
      </c>
      <c r="AF213">
        <v>1.16489686215133</v>
      </c>
      <c r="AG213">
        <v>-1.1591469999999999</v>
      </c>
      <c r="AH213">
        <v>45.447500375240601</v>
      </c>
      <c r="AI213">
        <v>91.460543335225907</v>
      </c>
      <c r="AJ213">
        <v>88.531733044423405</v>
      </c>
      <c r="AK213">
        <v>45.477201945860202</v>
      </c>
      <c r="AL213">
        <v>87.615099412283598</v>
      </c>
      <c r="AM213">
        <v>89.849311125616794</v>
      </c>
      <c r="AN213">
        <v>1.0000000244365801</v>
      </c>
    </row>
    <row r="214" spans="1:40" x14ac:dyDescent="0.25">
      <c r="A214" t="str">
        <f>"20190312150640908"</f>
        <v>20190312150640908</v>
      </c>
      <c r="B214" t="str">
        <f>"1552374400901042"</f>
        <v>1552374400901042</v>
      </c>
      <c r="C214" t="s">
        <v>40</v>
      </c>
      <c r="D214">
        <v>3.9710269999999999</v>
      </c>
      <c r="E214">
        <v>0.50803429999999905</v>
      </c>
      <c r="F214" t="s">
        <v>43</v>
      </c>
      <c r="G214">
        <v>-421.99290000000002</v>
      </c>
      <c r="H214">
        <v>-0.05</v>
      </c>
      <c r="I214">
        <v>365.78879999999998</v>
      </c>
      <c r="J214">
        <v>-466.8168</v>
      </c>
      <c r="K214">
        <v>1.1091530000000001</v>
      </c>
      <c r="L214">
        <v>367.1694</v>
      </c>
      <c r="M214">
        <v>0.99998120000000001</v>
      </c>
      <c r="N214">
        <v>0</v>
      </c>
      <c r="O214">
        <v>-5.4349560000000003E-3</v>
      </c>
      <c r="P214">
        <v>0.99921289999999996</v>
      </c>
      <c r="Q214">
        <v>3.8864040000000002E-2</v>
      </c>
      <c r="R214">
        <v>-7.981251E-3</v>
      </c>
      <c r="S214">
        <v>3.0046390000000001</v>
      </c>
      <c r="T214">
        <v>-7.7529550000000003E-2</v>
      </c>
      <c r="U214">
        <v>-9.2376710000000001E-2</v>
      </c>
      <c r="V214">
        <v>2.5520249999999999E-3</v>
      </c>
      <c r="W214">
        <v>4.1738610000000002E-2</v>
      </c>
      <c r="X214">
        <v>0.99912529999999999</v>
      </c>
      <c r="Y214">
        <v>2.5290710000000001E-2</v>
      </c>
      <c r="Z214">
        <v>-1.8598E-4</v>
      </c>
      <c r="AA214">
        <v>0.99968009999999996</v>
      </c>
      <c r="AB214">
        <v>17</v>
      </c>
      <c r="AC214">
        <v>44.823899999999902</v>
      </c>
      <c r="AD214">
        <v>-1.1591530000000001</v>
      </c>
      <c r="AE214">
        <v>-1.38060000000001</v>
      </c>
      <c r="AF214">
        <v>1.1362035896618701</v>
      </c>
      <c r="AG214">
        <v>-1.1591530000000001</v>
      </c>
      <c r="AH214">
        <v>44.800809460606096</v>
      </c>
      <c r="AI214">
        <v>91.481634533989904</v>
      </c>
      <c r="AJ214">
        <v>88.547220031774003</v>
      </c>
      <c r="AK214">
        <v>44.830203240673697</v>
      </c>
      <c r="AL214">
        <v>87.607858885765197</v>
      </c>
      <c r="AM214">
        <v>89.853652045723294</v>
      </c>
      <c r="AN214">
        <v>0.999999994748211</v>
      </c>
    </row>
    <row r="215" spans="1:40" x14ac:dyDescent="0.25">
      <c r="A215" t="str">
        <f>"20190312150640927"</f>
        <v>20190312150640927</v>
      </c>
      <c r="B215" t="str">
        <f>"1552374400920562"</f>
        <v>1552374400920562</v>
      </c>
      <c r="C215" t="s">
        <v>40</v>
      </c>
      <c r="D215">
        <v>3.9753919999999998</v>
      </c>
      <c r="E215">
        <v>0.50783619999999996</v>
      </c>
      <c r="F215" t="s">
        <v>43</v>
      </c>
      <c r="G215">
        <v>-422.39550000000003</v>
      </c>
      <c r="H215">
        <v>-0.05</v>
      </c>
      <c r="I215">
        <v>365.82170000000002</v>
      </c>
      <c r="J215">
        <v>-466.67880000000002</v>
      </c>
      <c r="K215">
        <v>1.109162</v>
      </c>
      <c r="L215">
        <v>367.1687</v>
      </c>
      <c r="M215">
        <v>0.99998100000000001</v>
      </c>
      <c r="N215">
        <v>0</v>
      </c>
      <c r="O215">
        <v>-5.4346749999999999E-3</v>
      </c>
      <c r="P215">
        <v>0.9992124</v>
      </c>
      <c r="Q215">
        <v>3.892309E-2</v>
      </c>
      <c r="R215">
        <v>-7.7297469999999899E-3</v>
      </c>
      <c r="S215">
        <v>3.0046689999999998</v>
      </c>
      <c r="T215">
        <v>-7.8405499999999906E-2</v>
      </c>
      <c r="U215">
        <v>-9.1156009999999996E-2</v>
      </c>
      <c r="V215">
        <v>2.3008939999999999E-3</v>
      </c>
      <c r="W215">
        <v>4.1849610000000002E-2</v>
      </c>
      <c r="X215">
        <v>0.99912120000000004</v>
      </c>
      <c r="Y215">
        <v>2.488491E-2</v>
      </c>
      <c r="Z215">
        <v>-1.8279449999999999E-4</v>
      </c>
      <c r="AA215">
        <v>0.99969030000000003</v>
      </c>
      <c r="AB215">
        <v>17</v>
      </c>
      <c r="AC215">
        <v>44.283299999999997</v>
      </c>
      <c r="AD215">
        <v>-1.159162</v>
      </c>
      <c r="AE215">
        <v>-1.34699999999998</v>
      </c>
      <c r="AF215">
        <v>1.1055569338589599</v>
      </c>
      <c r="AG215">
        <v>-1.159162</v>
      </c>
      <c r="AH215">
        <v>44.259668498135397</v>
      </c>
      <c r="AI215">
        <v>91.499767576135994</v>
      </c>
      <c r="AJ215">
        <v>88.569113166128901</v>
      </c>
      <c r="AK215">
        <v>44.288646042084899</v>
      </c>
      <c r="AL215">
        <v>87.6014933325269</v>
      </c>
      <c r="AM215">
        <v>89.868052762513003</v>
      </c>
      <c r="AN215">
        <v>0.99999992812989302</v>
      </c>
    </row>
    <row r="216" spans="1:40" x14ac:dyDescent="0.25">
      <c r="A216" t="str">
        <f>"20190312150640939"</f>
        <v>20190312150640939</v>
      </c>
      <c r="B216" t="str">
        <f>"1552374400930321"</f>
        <v>1552374400930321</v>
      </c>
      <c r="C216" t="s">
        <v>40</v>
      </c>
      <c r="D216">
        <v>3.977131</v>
      </c>
      <c r="E216">
        <v>0.50777349999999999</v>
      </c>
      <c r="F216" t="s">
        <v>43</v>
      </c>
      <c r="G216">
        <v>-423.24590000000001</v>
      </c>
      <c r="H216">
        <v>-0.05</v>
      </c>
      <c r="I216">
        <v>365.88369999999998</v>
      </c>
      <c r="J216">
        <v>-466.58139999999997</v>
      </c>
      <c r="K216">
        <v>1.1091690000000001</v>
      </c>
      <c r="L216">
        <v>367.16820000000001</v>
      </c>
      <c r="M216">
        <v>0.99998089999999995</v>
      </c>
      <c r="N216">
        <v>0</v>
      </c>
      <c r="O216">
        <v>-5.4344889999999998E-3</v>
      </c>
      <c r="P216">
        <v>0.99921919999999997</v>
      </c>
      <c r="Q216">
        <v>3.8777859999999997E-2</v>
      </c>
      <c r="R216">
        <v>-7.5862250000000003E-3</v>
      </c>
      <c r="S216">
        <v>3.004791</v>
      </c>
      <c r="T216">
        <v>-8.0193520000000004E-2</v>
      </c>
      <c r="U216">
        <v>-8.8897710000000005E-2</v>
      </c>
      <c r="V216">
        <v>2.1571609999999999E-3</v>
      </c>
      <c r="W216">
        <v>4.1740039999999999E-2</v>
      </c>
      <c r="X216">
        <v>0.99912619999999996</v>
      </c>
      <c r="Y216">
        <v>2.4133160000000001E-2</v>
      </c>
      <c r="Z216">
        <v>-1.76933499999999E-4</v>
      </c>
      <c r="AA216">
        <v>0.99970870000000001</v>
      </c>
      <c r="AB216">
        <v>17</v>
      </c>
      <c r="AC216">
        <v>43.335499999999897</v>
      </c>
      <c r="AD216">
        <v>-1.1591689999999999</v>
      </c>
      <c r="AE216">
        <v>-1.28450000000003</v>
      </c>
      <c r="AF216">
        <v>1.0482243734673999</v>
      </c>
      <c r="AG216">
        <v>-1.1591689999999999</v>
      </c>
      <c r="AH216">
        <v>43.310879228140003</v>
      </c>
      <c r="AI216">
        <v>91.532645201009302</v>
      </c>
      <c r="AJ216">
        <v>88.613579053914094</v>
      </c>
      <c r="AK216">
        <v>43.339066748399503</v>
      </c>
      <c r="AL216">
        <v>87.607776951125203</v>
      </c>
      <c r="AM216">
        <v>89.876295878355094</v>
      </c>
      <c r="AN216">
        <v>1.0000000239046101</v>
      </c>
    </row>
    <row r="217" spans="1:40" x14ac:dyDescent="0.25">
      <c r="A217" t="str">
        <f>"20190312150640951"</f>
        <v>20190312150640951</v>
      </c>
      <c r="B217" t="str">
        <f>"1552374400941057"</f>
        <v>1552374400941057</v>
      </c>
      <c r="C217" t="s">
        <v>40</v>
      </c>
      <c r="D217">
        <v>3.9601709999999999</v>
      </c>
      <c r="E217">
        <v>0.50770470000000001</v>
      </c>
      <c r="F217" t="s">
        <v>43</v>
      </c>
      <c r="G217">
        <v>-424.1404</v>
      </c>
      <c r="H217">
        <v>-0.05</v>
      </c>
      <c r="I217">
        <v>365.92419999999998</v>
      </c>
      <c r="J217">
        <v>-466.48910000000001</v>
      </c>
      <c r="K217">
        <v>1.1091719999999901</v>
      </c>
      <c r="L217">
        <v>367.16759999999999</v>
      </c>
      <c r="M217">
        <v>0.99998089999999995</v>
      </c>
      <c r="N217">
        <v>0</v>
      </c>
      <c r="O217">
        <v>-5.4345390000000004E-3</v>
      </c>
      <c r="P217">
        <v>0.99921389999999999</v>
      </c>
      <c r="Q217">
        <v>3.8935070000000002E-2</v>
      </c>
      <c r="R217">
        <v>-7.4981819999999999E-3</v>
      </c>
      <c r="S217">
        <v>3.004883</v>
      </c>
      <c r="T217">
        <v>-8.2070710000000005E-2</v>
      </c>
      <c r="U217">
        <v>-8.8073730000000003E-2</v>
      </c>
      <c r="V217">
        <v>2.0691249999999998E-3</v>
      </c>
      <c r="W217">
        <v>4.1929649999999999E-2</v>
      </c>
      <c r="X217">
        <v>0.99911839999999996</v>
      </c>
      <c r="Y217">
        <v>2.38581E-2</v>
      </c>
      <c r="Z217">
        <v>-1.7731269999999999E-4</v>
      </c>
      <c r="AA217">
        <v>0.99971529999999997</v>
      </c>
      <c r="AB217">
        <v>17</v>
      </c>
      <c r="AC217">
        <v>42.348700000000001</v>
      </c>
      <c r="AD217">
        <v>-1.1591720000000001</v>
      </c>
      <c r="AE217">
        <v>-1.2434000000000001</v>
      </c>
      <c r="AF217">
        <v>1.01247705380705</v>
      </c>
      <c r="AG217">
        <v>-1.1591720000000001</v>
      </c>
      <c r="AH217">
        <v>42.323149464358799</v>
      </c>
      <c r="AI217">
        <v>91.568410732078405</v>
      </c>
      <c r="AJ217">
        <v>88.629601050340796</v>
      </c>
      <c r="AK217">
        <v>42.3511247795442</v>
      </c>
      <c r="AL217">
        <v>87.596903466682505</v>
      </c>
      <c r="AM217">
        <v>89.881343432067794</v>
      </c>
      <c r="AN217">
        <v>0.99999997702297305</v>
      </c>
    </row>
    <row r="218" spans="1:40" x14ac:dyDescent="0.25">
      <c r="A218" t="str">
        <f>"20190312150640965"</f>
        <v>20190312150640965</v>
      </c>
      <c r="B218" t="str">
        <f>"1552374400960577"</f>
        <v>1552374400960577</v>
      </c>
      <c r="C218" t="s">
        <v>40</v>
      </c>
      <c r="D218">
        <v>3.9984670000000002</v>
      </c>
      <c r="E218">
        <v>0.50765760000000004</v>
      </c>
      <c r="F218" t="s">
        <v>43</v>
      </c>
      <c r="G218">
        <v>-424.35919999999999</v>
      </c>
      <c r="H218">
        <v>-0.05</v>
      </c>
      <c r="I218">
        <v>365.94479999999999</v>
      </c>
      <c r="J218">
        <v>-466.38400000000001</v>
      </c>
      <c r="K218">
        <v>1.1091740000000001</v>
      </c>
      <c r="L218">
        <v>367.1671</v>
      </c>
      <c r="M218">
        <v>0.9999806</v>
      </c>
      <c r="N218">
        <v>0</v>
      </c>
      <c r="O218">
        <v>-5.4343550000000001E-3</v>
      </c>
      <c r="P218">
        <v>0.99921020000000005</v>
      </c>
      <c r="Q218">
        <v>3.9057500000000002E-2</v>
      </c>
      <c r="R218">
        <v>-7.3255119999999898E-3</v>
      </c>
      <c r="S218">
        <v>3.0049440000000001</v>
      </c>
      <c r="T218">
        <v>-8.2678680000000004E-2</v>
      </c>
      <c r="U218">
        <v>-8.7219240000000003E-2</v>
      </c>
      <c r="V218">
        <v>1.8968850000000001E-3</v>
      </c>
      <c r="W218">
        <v>4.2088300000000002E-2</v>
      </c>
      <c r="X218">
        <v>0.99911209999999995</v>
      </c>
      <c r="Y218">
        <v>2.3573650000000002E-2</v>
      </c>
      <c r="Z218">
        <v>-1.7471620000000001E-4</v>
      </c>
      <c r="AA218">
        <v>0.99972209999999995</v>
      </c>
      <c r="AB218">
        <v>17</v>
      </c>
      <c r="AC218">
        <v>42.024799999999999</v>
      </c>
      <c r="AD218">
        <v>-1.1591739999999999</v>
      </c>
      <c r="AE218">
        <v>-1.2223000000000099</v>
      </c>
      <c r="AF218">
        <v>0.99314823545626296</v>
      </c>
      <c r="AG218">
        <v>-1.1591739999999999</v>
      </c>
      <c r="AH218">
        <v>41.998895002450503</v>
      </c>
      <c r="AI218">
        <v>91.5805266753718</v>
      </c>
      <c r="AJ218">
        <v>88.645378658667198</v>
      </c>
      <c r="AK218">
        <v>42.026625003760699</v>
      </c>
      <c r="AL218">
        <v>87.587805529006502</v>
      </c>
      <c r="AM218">
        <v>89.891220040137398</v>
      </c>
      <c r="AN218">
        <v>1.0000000057680001</v>
      </c>
    </row>
    <row r="219" spans="1:40" x14ac:dyDescent="0.25">
      <c r="A219" t="str">
        <f>"20190312150640984"</f>
        <v>20190312150640984</v>
      </c>
      <c r="B219" t="str">
        <f>"1552374400981074"</f>
        <v>1552374400981074</v>
      </c>
      <c r="C219" t="s">
        <v>40</v>
      </c>
      <c r="D219">
        <v>4.0059519999999997</v>
      </c>
      <c r="E219">
        <v>0.50764949999999998</v>
      </c>
      <c r="F219" t="s">
        <v>43</v>
      </c>
      <c r="G219">
        <v>-424.90620000000001</v>
      </c>
      <c r="H219">
        <v>-0.05</v>
      </c>
      <c r="I219">
        <v>365.97539999999998</v>
      </c>
      <c r="J219">
        <v>-466.22809999999998</v>
      </c>
      <c r="K219">
        <v>1.109181</v>
      </c>
      <c r="L219">
        <v>367.1662</v>
      </c>
      <c r="M219">
        <v>0.99998050000000005</v>
      </c>
      <c r="N219">
        <v>0</v>
      </c>
      <c r="O219">
        <v>-5.4340780000000002E-3</v>
      </c>
      <c r="P219">
        <v>0.99920589999999998</v>
      </c>
      <c r="Q219">
        <v>3.9192009999999999E-2</v>
      </c>
      <c r="R219">
        <v>-7.2008189999999998E-3</v>
      </c>
      <c r="S219">
        <v>3.0050050000000001</v>
      </c>
      <c r="T219">
        <v>-8.3980440000000003E-2</v>
      </c>
      <c r="U219">
        <v>-8.6334229999999998E-2</v>
      </c>
      <c r="V219">
        <v>1.772441E-3</v>
      </c>
      <c r="W219">
        <v>4.2275050000000002E-2</v>
      </c>
      <c r="X219">
        <v>0.9991044</v>
      </c>
      <c r="Y219">
        <v>2.3279049999999999E-2</v>
      </c>
      <c r="Z219">
        <v>-1.73356E-4</v>
      </c>
      <c r="AA219">
        <v>0.99972899999999998</v>
      </c>
      <c r="AB219">
        <v>17</v>
      </c>
      <c r="AC219">
        <v>41.3218999999999</v>
      </c>
      <c r="AD219">
        <v>-1.159181</v>
      </c>
      <c r="AE219">
        <v>-1.1908000000000201</v>
      </c>
      <c r="AF219">
        <v>0.96547578538186996</v>
      </c>
      <c r="AG219">
        <v>-1.159181</v>
      </c>
      <c r="AH219">
        <v>41.295290843654001</v>
      </c>
      <c r="AI219">
        <v>91.607462043009406</v>
      </c>
      <c r="AJ219">
        <v>88.660679928977203</v>
      </c>
      <c r="AK219">
        <v>41.322837389812598</v>
      </c>
      <c r="AL219">
        <v>87.577095903580798</v>
      </c>
      <c r="AM219">
        <v>89.898355685151103</v>
      </c>
      <c r="AN219">
        <v>0.99999996174947903</v>
      </c>
    </row>
    <row r="220" spans="1:40" x14ac:dyDescent="0.25">
      <c r="A220" t="str">
        <f>"20190312150641005"</f>
        <v>20190312150641005</v>
      </c>
      <c r="B220" t="str">
        <f>"1552374401001102"</f>
        <v>1552374401001102</v>
      </c>
      <c r="C220" t="s">
        <v>40</v>
      </c>
      <c r="D220">
        <v>4.0064440000000001</v>
      </c>
      <c r="E220">
        <v>0.50765039999999995</v>
      </c>
      <c r="F220" t="s">
        <v>43</v>
      </c>
      <c r="G220">
        <v>-425.47980000000001</v>
      </c>
      <c r="H220">
        <v>-0.05</v>
      </c>
      <c r="I220">
        <v>366.0034</v>
      </c>
      <c r="J220">
        <v>-466.06729999999999</v>
      </c>
      <c r="K220">
        <v>1.109183</v>
      </c>
      <c r="L220">
        <v>367.16539999999998</v>
      </c>
      <c r="M220">
        <v>0.99998039999999999</v>
      </c>
      <c r="N220">
        <v>0</v>
      </c>
      <c r="O220">
        <v>-5.433925E-3</v>
      </c>
      <c r="P220">
        <v>0.99919950000000002</v>
      </c>
      <c r="Q220">
        <v>3.9344850000000001E-2</v>
      </c>
      <c r="R220">
        <v>-7.23954E-3</v>
      </c>
      <c r="S220">
        <v>3.0051269999999999</v>
      </c>
      <c r="T220">
        <v>-8.5487720000000003E-2</v>
      </c>
      <c r="U220">
        <v>-8.575439E-2</v>
      </c>
      <c r="V220">
        <v>1.81146E-3</v>
      </c>
      <c r="W220">
        <v>4.2482289999999999E-2</v>
      </c>
      <c r="X220">
        <v>0.99909559999999997</v>
      </c>
      <c r="Y220">
        <v>2.3085129999999999E-2</v>
      </c>
      <c r="Z220">
        <v>-1.7370659999999999E-4</v>
      </c>
      <c r="AA220">
        <v>0.99973350000000005</v>
      </c>
      <c r="AB220">
        <v>18</v>
      </c>
      <c r="AC220">
        <v>40.587499999999899</v>
      </c>
      <c r="AD220">
        <v>-1.1591830000000001</v>
      </c>
      <c r="AE220">
        <v>-1.1619999999999699</v>
      </c>
      <c r="AF220">
        <v>0.94066569359363605</v>
      </c>
      <c r="AG220">
        <v>-1.1591830000000001</v>
      </c>
      <c r="AH220">
        <v>40.5601580332944</v>
      </c>
      <c r="AI220">
        <v>91.636590770921501</v>
      </c>
      <c r="AJ220">
        <v>88.671442198603202</v>
      </c>
      <c r="AK220">
        <v>40.587620980545402</v>
      </c>
      <c r="AL220">
        <v>87.565211395968703</v>
      </c>
      <c r="AM220">
        <v>89.896117149322393</v>
      </c>
      <c r="AN220">
        <v>1.0000000221451599</v>
      </c>
    </row>
    <row r="221" spans="1:40" x14ac:dyDescent="0.25">
      <c r="A221" t="str">
        <f>"20190312150641016"</f>
        <v>20190312150641016</v>
      </c>
      <c r="B221" t="str">
        <f>"1552374401010863"</f>
        <v>1552374401010863</v>
      </c>
      <c r="C221" t="s">
        <v>40</v>
      </c>
      <c r="D221">
        <v>3.9842460000000002</v>
      </c>
      <c r="E221">
        <v>0.50772359999999905</v>
      </c>
      <c r="F221" t="s">
        <v>43</v>
      </c>
      <c r="G221">
        <v>-424.94099999999997</v>
      </c>
      <c r="H221">
        <v>-0.05</v>
      </c>
      <c r="I221">
        <v>365.99009999999998</v>
      </c>
      <c r="J221">
        <v>-465.96690000000001</v>
      </c>
      <c r="K221">
        <v>1.1091879999999901</v>
      </c>
      <c r="L221">
        <v>367.16480000000001</v>
      </c>
      <c r="M221">
        <v>0.99998030000000004</v>
      </c>
      <c r="N221">
        <v>0</v>
      </c>
      <c r="O221">
        <v>-5.4336209999999996E-3</v>
      </c>
      <c r="P221">
        <v>0.9992027</v>
      </c>
      <c r="Q221">
        <v>3.926342E-2</v>
      </c>
      <c r="R221">
        <v>-7.2464080000000002E-3</v>
      </c>
      <c r="S221">
        <v>3.0051269999999999</v>
      </c>
      <c r="T221">
        <v>-8.4702250000000007E-2</v>
      </c>
      <c r="U221">
        <v>-8.5876460000000002E-2</v>
      </c>
      <c r="V221">
        <v>1.818605E-3</v>
      </c>
      <c r="W221">
        <v>4.243417E-2</v>
      </c>
      <c r="X221">
        <v>0.99909760000000003</v>
      </c>
      <c r="Y221">
        <v>2.312612E-2</v>
      </c>
      <c r="Z221">
        <v>-1.7269709999999901E-4</v>
      </c>
      <c r="AA221">
        <v>0.99973259999999997</v>
      </c>
      <c r="AB221">
        <v>18</v>
      </c>
      <c r="AC221">
        <v>41.0259</v>
      </c>
      <c r="AD221">
        <v>-1.1591880000000001</v>
      </c>
      <c r="AE221">
        <v>-1.1747000000000201</v>
      </c>
      <c r="AF221">
        <v>0.95100375740833498</v>
      </c>
      <c r="AG221">
        <v>-1.1591880000000001</v>
      </c>
      <c r="AH221">
        <v>40.998972686120098</v>
      </c>
      <c r="AI221">
        <v>91.619090440702294</v>
      </c>
      <c r="AJ221">
        <v>88.671217136312606</v>
      </c>
      <c r="AK221">
        <v>41.026380370234598</v>
      </c>
      <c r="AL221">
        <v>87.567970879574801</v>
      </c>
      <c r="AM221">
        <v>89.895707610526301</v>
      </c>
      <c r="AN221">
        <v>0.99999999021674701</v>
      </c>
    </row>
    <row r="222" spans="1:40" x14ac:dyDescent="0.25">
      <c r="A222" t="str">
        <f>"20190312150641029"</f>
        <v>20190312150641029</v>
      </c>
      <c r="B222" t="str">
        <f>"1552374401020623"</f>
        <v>1552374401020623</v>
      </c>
      <c r="C222" t="s">
        <v>40</v>
      </c>
      <c r="D222">
        <v>4.0180769999999999</v>
      </c>
      <c r="E222">
        <v>0.50767359999999995</v>
      </c>
      <c r="F222" t="s">
        <v>43</v>
      </c>
      <c r="G222">
        <v>-424.77800000000002</v>
      </c>
      <c r="H222">
        <v>-0.05</v>
      </c>
      <c r="I222">
        <v>365.98239999999998</v>
      </c>
      <c r="J222">
        <v>-465.87220000000002</v>
      </c>
      <c r="K222">
        <v>1.1091899999999999</v>
      </c>
      <c r="L222">
        <v>367.16430000000003</v>
      </c>
      <c r="M222">
        <v>0.99998019999999999</v>
      </c>
      <c r="N222">
        <v>0</v>
      </c>
      <c r="O222">
        <v>-5.4334319999999898E-3</v>
      </c>
      <c r="P222">
        <v>0.99919800000000003</v>
      </c>
      <c r="Q222">
        <v>3.9351810000000001E-2</v>
      </c>
      <c r="R222">
        <v>-7.4211650000000004E-3</v>
      </c>
      <c r="S222">
        <v>3.0050659999999998</v>
      </c>
      <c r="T222">
        <v>-8.4572320000000006E-2</v>
      </c>
      <c r="U222">
        <v>-8.627319E-2</v>
      </c>
      <c r="V222">
        <v>1.993435E-3</v>
      </c>
      <c r="W222">
        <v>4.2554229999999998E-2</v>
      </c>
      <c r="X222">
        <v>0.99909219999999999</v>
      </c>
      <c r="Y222">
        <v>2.3258729999999998E-2</v>
      </c>
      <c r="Z222">
        <v>-1.7430599999999999E-4</v>
      </c>
      <c r="AA222">
        <v>0.99972950000000005</v>
      </c>
      <c r="AB222">
        <v>18</v>
      </c>
      <c r="AC222">
        <v>41.094200000000001</v>
      </c>
      <c r="AD222">
        <v>-1.1591899999999999</v>
      </c>
      <c r="AE222">
        <v>-1.1819000000000399</v>
      </c>
      <c r="AF222">
        <v>0.95783736796959495</v>
      </c>
      <c r="AG222">
        <v>-1.1591899999999999</v>
      </c>
      <c r="AH222">
        <v>41.067364992876001</v>
      </c>
      <c r="AI222">
        <v>91.616393478436706</v>
      </c>
      <c r="AJ222">
        <v>88.6639003859311</v>
      </c>
      <c r="AK222">
        <v>41.094885829476098</v>
      </c>
      <c r="AL222">
        <v>87.5610858264954</v>
      </c>
      <c r="AM222">
        <v>89.885680960505994</v>
      </c>
      <c r="AN222">
        <v>1.0000000301874099</v>
      </c>
    </row>
    <row r="223" spans="1:40" x14ac:dyDescent="0.25">
      <c r="A223" t="str">
        <f>"20190312150641041"</f>
        <v>20190312150641041</v>
      </c>
      <c r="B223" t="str">
        <f>"1552374401030384"</f>
        <v>1552374401030384</v>
      </c>
      <c r="C223" t="s">
        <v>40</v>
      </c>
      <c r="D223">
        <v>3.9842110000000002</v>
      </c>
      <c r="E223">
        <v>0.50771920000000004</v>
      </c>
      <c r="F223" t="s">
        <v>43</v>
      </c>
      <c r="G223">
        <v>-424.91820000000001</v>
      </c>
      <c r="H223">
        <v>-0.05</v>
      </c>
      <c r="I223">
        <v>365.98939999999999</v>
      </c>
      <c r="J223">
        <v>-465.77030000000002</v>
      </c>
      <c r="K223">
        <v>1.1091930000000001</v>
      </c>
      <c r="L223">
        <v>367.16379999999998</v>
      </c>
      <c r="M223">
        <v>0.99997999999999998</v>
      </c>
      <c r="N223">
        <v>0</v>
      </c>
      <c r="O223">
        <v>-5.4332470000000004E-3</v>
      </c>
      <c r="P223">
        <v>0.9992008</v>
      </c>
      <c r="Q223">
        <v>3.9255310000000002E-2</v>
      </c>
      <c r="R223">
        <v>-7.5394540000000001E-3</v>
      </c>
      <c r="S223">
        <v>3.0051570000000001</v>
      </c>
      <c r="T223">
        <v>-8.5059999999999997E-2</v>
      </c>
      <c r="U223">
        <v>-8.6212159999999996E-2</v>
      </c>
      <c r="V223">
        <v>2.111955E-3</v>
      </c>
      <c r="W223">
        <v>4.2489909999999999E-2</v>
      </c>
      <c r="X223">
        <v>0.9990947</v>
      </c>
      <c r="Y223">
        <v>2.323768E-2</v>
      </c>
      <c r="Z223">
        <v>-1.7501300000000001E-4</v>
      </c>
      <c r="AA223">
        <v>0.99972989999999995</v>
      </c>
      <c r="AB223">
        <v>18</v>
      </c>
      <c r="AC223">
        <v>40.8521</v>
      </c>
      <c r="AD223">
        <v>-1.1591929999999999</v>
      </c>
      <c r="AE223">
        <v>-1.1743999999999899</v>
      </c>
      <c r="AF223">
        <v>0.95165634880510197</v>
      </c>
      <c r="AG223">
        <v>-1.1591929999999999</v>
      </c>
      <c r="AH223">
        <v>40.825034265007098</v>
      </c>
      <c r="AI223">
        <v>91.625987686991493</v>
      </c>
      <c r="AJ223">
        <v>88.664642409735706</v>
      </c>
      <c r="AK223">
        <v>40.852573982020701</v>
      </c>
      <c r="AL223">
        <v>87.564774441778695</v>
      </c>
      <c r="AM223">
        <v>89.878884426285296</v>
      </c>
      <c r="AN223">
        <v>1.0000000361868999</v>
      </c>
    </row>
    <row r="224" spans="1:40" x14ac:dyDescent="0.25">
      <c r="A224" t="str">
        <f>"20190312150641061"</f>
        <v>20190312150641061</v>
      </c>
      <c r="B224" t="str">
        <f>"1552374401050882"</f>
        <v>1552374401050882</v>
      </c>
      <c r="C224" t="s">
        <v>40</v>
      </c>
      <c r="D224">
        <v>4.014132</v>
      </c>
      <c r="E224">
        <v>0.50764540000000002</v>
      </c>
      <c r="F224" t="s">
        <v>43</v>
      </c>
      <c r="G224">
        <v>-424.4665</v>
      </c>
      <c r="H224">
        <v>-0.05</v>
      </c>
      <c r="I224">
        <v>365.9633</v>
      </c>
      <c r="J224">
        <v>-465.61270000000002</v>
      </c>
      <c r="K224">
        <v>1.109197</v>
      </c>
      <c r="L224">
        <v>367.16289999999998</v>
      </c>
      <c r="M224">
        <v>0.99997999999999998</v>
      </c>
      <c r="N224">
        <v>0</v>
      </c>
      <c r="O224">
        <v>-5.4329690000000002E-3</v>
      </c>
      <c r="P224">
        <v>0.99920929999999997</v>
      </c>
      <c r="Q224">
        <v>3.8951760000000002E-2</v>
      </c>
      <c r="R224">
        <v>-8.0053060000000002E-3</v>
      </c>
      <c r="S224">
        <v>3.0050659999999998</v>
      </c>
      <c r="T224">
        <v>-8.4337469999999998E-2</v>
      </c>
      <c r="U224">
        <v>-8.7341310000000005E-2</v>
      </c>
      <c r="V224">
        <v>2.5778849999999998E-3</v>
      </c>
      <c r="W224">
        <v>4.2235040000000001E-2</v>
      </c>
      <c r="X224">
        <v>0.9991044</v>
      </c>
      <c r="Y224">
        <v>2.3614139999999999E-2</v>
      </c>
      <c r="Z224">
        <v>-1.788196E-4</v>
      </c>
      <c r="AA224">
        <v>0.99972110000000003</v>
      </c>
      <c r="AB224">
        <v>18</v>
      </c>
      <c r="AC224">
        <v>41.1462</v>
      </c>
      <c r="AD224">
        <v>-1.159197</v>
      </c>
      <c r="AE224">
        <v>-1.19959999999997</v>
      </c>
      <c r="AF224">
        <v>0.97526168915165801</v>
      </c>
      <c r="AG224">
        <v>-1.159197</v>
      </c>
      <c r="AH224">
        <v>41.119501423749597</v>
      </c>
      <c r="AI224">
        <v>91.614339890951499</v>
      </c>
      <c r="AJ224">
        <v>88.641328261971495</v>
      </c>
      <c r="AK224">
        <v>41.147396884674002</v>
      </c>
      <c r="AL224">
        <v>87.579390505669906</v>
      </c>
      <c r="AM224">
        <v>89.852165997066294</v>
      </c>
      <c r="AN224">
        <v>1.00000002309711</v>
      </c>
    </row>
    <row r="225" spans="1:40" x14ac:dyDescent="0.25">
      <c r="A225" t="str">
        <f>"20190312150641083"</f>
        <v>20190312150641083</v>
      </c>
      <c r="B225" t="str">
        <f>"1552374401070399"</f>
        <v>1552374401070399</v>
      </c>
      <c r="C225" t="s">
        <v>40</v>
      </c>
      <c r="D225">
        <v>4.0360269999999998</v>
      </c>
      <c r="E225">
        <v>0.50760360000000004</v>
      </c>
      <c r="F225" t="s">
        <v>43</v>
      </c>
      <c r="G225">
        <v>-425.32249999999999</v>
      </c>
      <c r="H225">
        <v>-0.05</v>
      </c>
      <c r="I225">
        <v>365.98039999999997</v>
      </c>
      <c r="J225">
        <v>-465.43729999999999</v>
      </c>
      <c r="K225">
        <v>1.109202</v>
      </c>
      <c r="L225">
        <v>367.1619</v>
      </c>
      <c r="M225">
        <v>0.99997970000000003</v>
      </c>
      <c r="N225">
        <v>0</v>
      </c>
      <c r="O225">
        <v>-5.4325789999999999E-3</v>
      </c>
      <c r="P225">
        <v>0.99921130000000002</v>
      </c>
      <c r="Q225">
        <v>3.8741850000000001E-2</v>
      </c>
      <c r="R225">
        <v>-8.7355119999999904E-3</v>
      </c>
      <c r="S225">
        <v>3.0050050000000001</v>
      </c>
      <c r="T225">
        <v>-8.6457489999999998E-2</v>
      </c>
      <c r="U225">
        <v>-8.8195800000000005E-2</v>
      </c>
      <c r="V225">
        <v>3.308582E-3</v>
      </c>
      <c r="W225">
        <v>4.2076860000000001E-2</v>
      </c>
      <c r="X225">
        <v>0.99910889999999997</v>
      </c>
      <c r="Y225">
        <v>2.389867E-2</v>
      </c>
      <c r="Z225">
        <v>-1.8741830000000001E-4</v>
      </c>
      <c r="AA225">
        <v>0.9997144</v>
      </c>
      <c r="AB225">
        <v>18</v>
      </c>
      <c r="AC225">
        <v>40.114800000000002</v>
      </c>
      <c r="AD225">
        <v>-1.1592020000000001</v>
      </c>
      <c r="AE225">
        <v>-1.18150000000002</v>
      </c>
      <c r="AF225">
        <v>0.96275129460665598</v>
      </c>
      <c r="AG225">
        <v>-1.1592020000000001</v>
      </c>
      <c r="AH225">
        <v>40.087181146749302</v>
      </c>
      <c r="AI225">
        <v>91.655884670141305</v>
      </c>
      <c r="AJ225">
        <v>88.624223942528104</v>
      </c>
      <c r="AK225">
        <v>40.1154924140831</v>
      </c>
      <c r="AL225">
        <v>87.588461563493794</v>
      </c>
      <c r="AM225">
        <v>89.810263834274394</v>
      </c>
      <c r="AN225">
        <v>1.00000000146076</v>
      </c>
    </row>
    <row r="226" spans="1:40" x14ac:dyDescent="0.25">
      <c r="A226" t="str">
        <f>"20190312150641094"</f>
        <v>20190312150641094</v>
      </c>
      <c r="B226" t="str">
        <f>"1552374401090895"</f>
        <v>1552374401090895</v>
      </c>
      <c r="C226" t="s">
        <v>40</v>
      </c>
      <c r="D226">
        <v>4.1232220000000002</v>
      </c>
      <c r="E226">
        <v>0.5075189</v>
      </c>
      <c r="F226" t="s">
        <v>43</v>
      </c>
      <c r="G226">
        <v>-426.08730000000003</v>
      </c>
      <c r="H226">
        <v>-0.05</v>
      </c>
      <c r="I226">
        <v>365.98500000000001</v>
      </c>
      <c r="J226">
        <v>-465.34269999999998</v>
      </c>
      <c r="K226">
        <v>1.1092109999999999</v>
      </c>
      <c r="L226">
        <v>367.16140000000001</v>
      </c>
      <c r="M226">
        <v>0.99997970000000003</v>
      </c>
      <c r="N226">
        <v>0</v>
      </c>
      <c r="O226">
        <v>-5.4325049999999998E-3</v>
      </c>
      <c r="P226">
        <v>0.99922129999999998</v>
      </c>
      <c r="Q226">
        <v>3.8451109999999997E-2</v>
      </c>
      <c r="R226">
        <v>-8.8780609999999996E-3</v>
      </c>
      <c r="S226">
        <v>3.0050050000000001</v>
      </c>
      <c r="T226">
        <v>-8.8523749999999998E-2</v>
      </c>
      <c r="U226">
        <v>-8.9874270000000006E-2</v>
      </c>
      <c r="V226">
        <v>3.4512229999999998E-3</v>
      </c>
      <c r="W226">
        <v>4.1812929999999998E-2</v>
      </c>
      <c r="X226">
        <v>0.99911950000000005</v>
      </c>
      <c r="Y226">
        <v>2.445603E-2</v>
      </c>
      <c r="Z226">
        <v>-2.001022E-4</v>
      </c>
      <c r="AA226">
        <v>0.9997009</v>
      </c>
      <c r="AB226">
        <v>18</v>
      </c>
      <c r="AC226">
        <v>39.255399999999902</v>
      </c>
      <c r="AD226">
        <v>-1.159211</v>
      </c>
      <c r="AE226">
        <v>-1.1763999999999999</v>
      </c>
      <c r="AF226">
        <v>0.96228792077881797</v>
      </c>
      <c r="AG226">
        <v>-1.159211</v>
      </c>
      <c r="AH226">
        <v>39.227035523269102</v>
      </c>
      <c r="AI226">
        <v>91.692164986988004</v>
      </c>
      <c r="AJ226">
        <v>88.594745179225896</v>
      </c>
      <c r="AK226">
        <v>39.255956033814897</v>
      </c>
      <c r="AL226">
        <v>87.603596964168403</v>
      </c>
      <c r="AM226">
        <v>89.802086011144794</v>
      </c>
      <c r="AN226">
        <v>1.0000000036678101</v>
      </c>
    </row>
    <row r="227" spans="1:40" x14ac:dyDescent="0.25">
      <c r="A227" t="str">
        <f>"20190312150641106"</f>
        <v>20190312150641106</v>
      </c>
      <c r="B227" t="str">
        <f>"1552374401100655"</f>
        <v>1552374401100655</v>
      </c>
      <c r="C227" t="s">
        <v>40</v>
      </c>
      <c r="D227">
        <v>4.0473840000000001</v>
      </c>
      <c r="E227">
        <v>0.50749569999999999</v>
      </c>
      <c r="F227" t="s">
        <v>43</v>
      </c>
      <c r="G227">
        <v>-426.76409999999998</v>
      </c>
      <c r="H227">
        <v>-0.05</v>
      </c>
      <c r="I227">
        <v>366.00599999999997</v>
      </c>
      <c r="J227">
        <v>-465.24520000000001</v>
      </c>
      <c r="K227">
        <v>1.109213</v>
      </c>
      <c r="L227">
        <v>367.16090000000003</v>
      </c>
      <c r="M227">
        <v>0.99997959999999997</v>
      </c>
      <c r="N227">
        <v>0</v>
      </c>
      <c r="O227">
        <v>-5.4319559999999999E-3</v>
      </c>
      <c r="P227">
        <v>0.99921789999999999</v>
      </c>
      <c r="Q227">
        <v>3.8560110000000002E-2</v>
      </c>
      <c r="R227">
        <v>-8.7515679999999995E-3</v>
      </c>
      <c r="S227">
        <v>3.0049739999999998</v>
      </c>
      <c r="T227">
        <v>-9.0293650000000003E-2</v>
      </c>
      <c r="U227">
        <v>-8.9996339999999994E-2</v>
      </c>
      <c r="V227">
        <v>3.3253670000000001E-3</v>
      </c>
      <c r="W227">
        <v>4.194966E-2</v>
      </c>
      <c r="X227">
        <v>0.99911419999999995</v>
      </c>
      <c r="Y227">
        <v>2.4497109999999999E-2</v>
      </c>
      <c r="Z227">
        <v>-2.0473639999999999E-4</v>
      </c>
      <c r="AA227">
        <v>0.99969989999999997</v>
      </c>
      <c r="AB227">
        <v>18</v>
      </c>
      <c r="AC227">
        <v>38.481099999999998</v>
      </c>
      <c r="AD227">
        <v>-1.1592129999999901</v>
      </c>
      <c r="AE227">
        <v>-1.15490000000005</v>
      </c>
      <c r="AF227">
        <v>0.94499735544997199</v>
      </c>
      <c r="AG227">
        <v>-1.1592129999999901</v>
      </c>
      <c r="AH227">
        <v>38.451943153155</v>
      </c>
      <c r="AI227">
        <v>91.726255329615597</v>
      </c>
      <c r="AJ227">
        <v>88.592178733427602</v>
      </c>
      <c r="AK227">
        <v>38.481017749465003</v>
      </c>
      <c r="AL227">
        <v>87.595756043816493</v>
      </c>
      <c r="AM227">
        <v>89.809302289072605</v>
      </c>
      <c r="AN227">
        <v>1.0000000083407199</v>
      </c>
    </row>
    <row r="228" spans="1:40" x14ac:dyDescent="0.25">
      <c r="A228" t="str">
        <f>"20190312150641127"</f>
        <v>20190312150641127</v>
      </c>
      <c r="B228" t="str">
        <f>"1552374401121150"</f>
        <v>1552374401121150</v>
      </c>
      <c r="C228" t="s">
        <v>40</v>
      </c>
      <c r="D228">
        <v>4.152228</v>
      </c>
      <c r="E228">
        <v>0.50737239999999995</v>
      </c>
      <c r="F228" t="s">
        <v>43</v>
      </c>
      <c r="G228">
        <v>-426.80970000000002</v>
      </c>
      <c r="H228">
        <v>-0.05</v>
      </c>
      <c r="I228">
        <v>366.01799999999997</v>
      </c>
      <c r="J228">
        <v>-465.06290000000001</v>
      </c>
      <c r="K228">
        <v>1.109219</v>
      </c>
      <c r="L228">
        <v>367.15989999999999</v>
      </c>
      <c r="M228">
        <v>0.99997930000000002</v>
      </c>
      <c r="N228">
        <v>0</v>
      </c>
      <c r="O228">
        <v>-5.4315639999999998E-3</v>
      </c>
      <c r="P228">
        <v>0.99921260000000001</v>
      </c>
      <c r="Q228">
        <v>3.865056E-2</v>
      </c>
      <c r="R228">
        <v>-8.9598539999999997E-3</v>
      </c>
      <c r="S228">
        <v>3.0050659999999998</v>
      </c>
      <c r="T228">
        <v>-9.0632679999999993E-2</v>
      </c>
      <c r="U228">
        <v>-8.9355470000000006E-2</v>
      </c>
      <c r="V228">
        <v>3.5339249999999998E-3</v>
      </c>
      <c r="W228">
        <v>4.2088779999999999E-2</v>
      </c>
      <c r="X228">
        <v>0.99910759999999998</v>
      </c>
      <c r="Y228">
        <v>2.4283610000000001E-2</v>
      </c>
      <c r="Z228">
        <v>-2.022929E-4</v>
      </c>
      <c r="AA228">
        <v>0.99970510000000001</v>
      </c>
      <c r="AB228">
        <v>18</v>
      </c>
      <c r="AC228">
        <v>38.2531999999999</v>
      </c>
      <c r="AD228">
        <v>-1.159219</v>
      </c>
      <c r="AE228">
        <v>-1.1418999999999599</v>
      </c>
      <c r="AF228">
        <v>0.93325095277279702</v>
      </c>
      <c r="AG228">
        <v>-1.159219</v>
      </c>
      <c r="AH228">
        <v>38.223767545985702</v>
      </c>
      <c r="AI228">
        <v>91.736569673123299</v>
      </c>
      <c r="AJ228">
        <v>88.601374928946697</v>
      </c>
      <c r="AK228">
        <v>38.2527273725726</v>
      </c>
      <c r="AL228">
        <v>87.587777928867297</v>
      </c>
      <c r="AM228">
        <v>89.797341003890907</v>
      </c>
      <c r="AN228">
        <v>0.99999997520277595</v>
      </c>
    </row>
    <row r="229" spans="1:40" x14ac:dyDescent="0.25">
      <c r="A229" t="str">
        <f>"20190312150641139"</f>
        <v>20190312150641139</v>
      </c>
      <c r="B229" t="str">
        <f>"1552374401130911"</f>
        <v>1552374401130911</v>
      </c>
      <c r="C229" t="s">
        <v>40</v>
      </c>
      <c r="D229">
        <v>4.0451180000000004</v>
      </c>
      <c r="E229">
        <v>0.50737239999999995</v>
      </c>
      <c r="F229" t="s">
        <v>43</v>
      </c>
      <c r="G229">
        <v>-427.21480000000003</v>
      </c>
      <c r="H229">
        <v>-0.05</v>
      </c>
      <c r="I229">
        <v>366.0403</v>
      </c>
      <c r="J229">
        <v>-464.95679999999999</v>
      </c>
      <c r="K229">
        <v>1.1092219999999999</v>
      </c>
      <c r="L229">
        <v>367.15929999999997</v>
      </c>
      <c r="M229">
        <v>0.99997930000000002</v>
      </c>
      <c r="N229">
        <v>0</v>
      </c>
      <c r="O229">
        <v>-5.4312559999999998E-3</v>
      </c>
      <c r="P229">
        <v>0.99921890000000002</v>
      </c>
      <c r="Q229">
        <v>3.8465060000000002E-2</v>
      </c>
      <c r="R229">
        <v>-9.0617719999999992E-3</v>
      </c>
      <c r="S229">
        <v>3.0051269999999999</v>
      </c>
      <c r="T229">
        <v>-9.2041730000000002E-2</v>
      </c>
      <c r="U229">
        <v>-8.8897710000000005E-2</v>
      </c>
      <c r="V229">
        <v>3.6361689999999999E-3</v>
      </c>
      <c r="W229">
        <v>4.1932030000000002E-2</v>
      </c>
      <c r="X229">
        <v>0.9991139</v>
      </c>
      <c r="Y229">
        <v>2.4130970000000002E-2</v>
      </c>
      <c r="Z229">
        <v>-2.0310559999999999E-4</v>
      </c>
      <c r="AA229">
        <v>0.99970879999999995</v>
      </c>
      <c r="AB229">
        <v>19</v>
      </c>
      <c r="AC229">
        <v>37.741999999999898</v>
      </c>
      <c r="AD229">
        <v>-1.159222</v>
      </c>
      <c r="AE229">
        <v>-1.11899999999997</v>
      </c>
      <c r="AF229">
        <v>0.91313514110548399</v>
      </c>
      <c r="AG229">
        <v>-1.159222</v>
      </c>
      <c r="AH229">
        <v>37.711975722772799</v>
      </c>
      <c r="AI229">
        <v>91.7601352440699</v>
      </c>
      <c r="AJ229">
        <v>88.612945419476802</v>
      </c>
      <c r="AK229">
        <v>37.740836296327799</v>
      </c>
      <c r="AL229">
        <v>87.596767160622804</v>
      </c>
      <c r="AM229">
        <v>89.791479012070397</v>
      </c>
      <c r="AN229">
        <v>1.0000000510190601</v>
      </c>
    </row>
    <row r="230" spans="1:40" x14ac:dyDescent="0.25">
      <c r="A230" t="str">
        <f>"20190312150641151"</f>
        <v>20190312150641151</v>
      </c>
      <c r="B230" t="str">
        <f>"1552374401140671"</f>
        <v>1552374401140671</v>
      </c>
      <c r="C230" t="s">
        <v>40</v>
      </c>
      <c r="D230">
        <v>4.2614299999999998</v>
      </c>
      <c r="E230">
        <v>0.49431409999999998</v>
      </c>
      <c r="F230" t="s">
        <v>43</v>
      </c>
      <c r="G230">
        <v>-427.3408</v>
      </c>
      <c r="H230">
        <v>-0.05</v>
      </c>
      <c r="I230">
        <v>366.04539999999997</v>
      </c>
      <c r="J230">
        <v>-464.86160000000001</v>
      </c>
      <c r="K230">
        <v>1.1092229999999901</v>
      </c>
      <c r="L230">
        <v>367.15879999999999</v>
      </c>
      <c r="M230">
        <v>0.99997919999999996</v>
      </c>
      <c r="N230">
        <v>0</v>
      </c>
      <c r="O230">
        <v>-5.4310629999999999E-3</v>
      </c>
      <c r="P230">
        <v>0.9992221</v>
      </c>
      <c r="Q230">
        <v>3.8401850000000001E-2</v>
      </c>
      <c r="R230">
        <v>-8.9757910000000003E-3</v>
      </c>
      <c r="S230">
        <v>3.005096</v>
      </c>
      <c r="T230">
        <v>-9.260881E-2</v>
      </c>
      <c r="U230">
        <v>-8.8989260000000001E-2</v>
      </c>
      <c r="V230">
        <v>3.550461E-3</v>
      </c>
      <c r="W230">
        <v>4.1894870000000001E-2</v>
      </c>
      <c r="X230">
        <v>0.99911570000000005</v>
      </c>
      <c r="Y230">
        <v>2.4161769999999999E-2</v>
      </c>
      <c r="Z230">
        <v>-2.0483869999999999E-4</v>
      </c>
      <c r="AA230">
        <v>0.99970809999999999</v>
      </c>
      <c r="AB230">
        <v>19</v>
      </c>
      <c r="AC230">
        <v>37.520800000000001</v>
      </c>
      <c r="AD230">
        <v>-1.1592229999999999</v>
      </c>
      <c r="AE230">
        <v>-1.1134000000000099</v>
      </c>
      <c r="AF230">
        <v>0.90873786236868204</v>
      </c>
      <c r="AG230">
        <v>-1.1592229999999999</v>
      </c>
      <c r="AH230">
        <v>37.490539227781603</v>
      </c>
      <c r="AI230">
        <v>91.770525245068498</v>
      </c>
      <c r="AJ230">
        <v>88.611472338655801</v>
      </c>
      <c r="AK230">
        <v>37.519463403093397</v>
      </c>
      <c r="AL230">
        <v>87.598897983149399</v>
      </c>
      <c r="AM230">
        <v>89.796394377211698</v>
      </c>
      <c r="AN230">
        <v>0.99999998394605905</v>
      </c>
    </row>
    <row r="231" spans="1:40" x14ac:dyDescent="0.25">
      <c r="A231" t="str">
        <f>"20190312150641164"</f>
        <v>20190312150641164</v>
      </c>
      <c r="B231" t="str">
        <f>"1552374401161167"</f>
        <v>1552374401161167</v>
      </c>
      <c r="C231" t="s">
        <v>40</v>
      </c>
      <c r="D231">
        <v>4.1043659999999997</v>
      </c>
      <c r="E231">
        <v>0.48228779999999999</v>
      </c>
      <c r="F231" t="s">
        <v>43</v>
      </c>
      <c r="G231">
        <v>-428.17380000000003</v>
      </c>
      <c r="H231">
        <v>-0.05</v>
      </c>
      <c r="I231">
        <v>367.34609999999998</v>
      </c>
      <c r="J231">
        <v>-464.75810000000001</v>
      </c>
      <c r="K231">
        <v>1.1092200000000001</v>
      </c>
      <c r="L231">
        <v>367.1583</v>
      </c>
      <c r="M231">
        <v>0.99997910000000001</v>
      </c>
      <c r="N231">
        <v>0</v>
      </c>
      <c r="O231">
        <v>-5.4307560000000001E-3</v>
      </c>
      <c r="P231">
        <v>0.99922770000000005</v>
      </c>
      <c r="Q231">
        <v>3.8330330000000003E-2</v>
      </c>
      <c r="R231">
        <v>-8.6703790000000006E-3</v>
      </c>
      <c r="S231">
        <v>3.0061040000000001</v>
      </c>
      <c r="T231">
        <v>-9.4983700000000004E-2</v>
      </c>
      <c r="U231">
        <v>1.5350340000000001E-2</v>
      </c>
      <c r="V231">
        <v>3.245118E-3</v>
      </c>
      <c r="W231">
        <v>4.1851510000000001E-2</v>
      </c>
      <c r="X231">
        <v>0.99911859999999997</v>
      </c>
      <c r="Y231">
        <v>-1.052901E-2</v>
      </c>
      <c r="Z231">
        <v>3.3785210000000001E-4</v>
      </c>
      <c r="AA231">
        <v>0.99994450000000001</v>
      </c>
      <c r="AB231">
        <v>19</v>
      </c>
      <c r="AC231">
        <v>36.584299999999899</v>
      </c>
      <c r="AD231">
        <v>-1.1592199999999999</v>
      </c>
      <c r="AE231">
        <v>0.18779999999998101</v>
      </c>
      <c r="AF231">
        <v>-0.38609122682938701</v>
      </c>
      <c r="AG231">
        <v>-1.1592199999999999</v>
      </c>
      <c r="AH231">
        <v>36.546048609085297</v>
      </c>
      <c r="AI231">
        <v>91.816679287114297</v>
      </c>
      <c r="AJ231">
        <v>90.605279523214605</v>
      </c>
      <c r="AK231">
        <v>36.566467239555202</v>
      </c>
      <c r="AL231">
        <v>87.601384615423598</v>
      </c>
      <c r="AM231">
        <v>89.813905064318405</v>
      </c>
      <c r="AN231">
        <v>1.0000000282730299</v>
      </c>
    </row>
    <row r="232" spans="1:40" x14ac:dyDescent="0.25">
      <c r="A232" t="str">
        <f>"20190312150641177"</f>
        <v>20190312150641177</v>
      </c>
      <c r="B232" t="str">
        <f>"1552374401170927"</f>
        <v>1552374401170927</v>
      </c>
      <c r="C232" t="s">
        <v>40</v>
      </c>
      <c r="D232">
        <v>4.0979640000000002</v>
      </c>
      <c r="E232">
        <v>0.48267460000000001</v>
      </c>
      <c r="F232" t="s">
        <v>43</v>
      </c>
      <c r="G232">
        <v>-428.08789999999999</v>
      </c>
      <c r="H232">
        <v>-0.05</v>
      </c>
      <c r="I232">
        <v>368.52640000000002</v>
      </c>
      <c r="J232">
        <v>-464.64789999999999</v>
      </c>
      <c r="K232">
        <v>1.1092219999999999</v>
      </c>
      <c r="L232">
        <v>367.15769999999998</v>
      </c>
      <c r="M232">
        <v>0.99997899999999995</v>
      </c>
      <c r="N232">
        <v>0</v>
      </c>
      <c r="O232">
        <v>-5.430453E-3</v>
      </c>
      <c r="P232">
        <v>0.99923150000000005</v>
      </c>
      <c r="Q232">
        <v>3.8206410000000003E-2</v>
      </c>
      <c r="R232">
        <v>-8.7647819999999901E-3</v>
      </c>
      <c r="S232">
        <v>3.0068969999999999</v>
      </c>
      <c r="T232">
        <v>-9.5053910000000005E-2</v>
      </c>
      <c r="U232">
        <v>0.11218259999999999</v>
      </c>
      <c r="V232">
        <v>3.3399929999999999E-3</v>
      </c>
      <c r="W232">
        <v>4.1758620000000003E-2</v>
      </c>
      <c r="X232">
        <v>0.99912210000000001</v>
      </c>
      <c r="Y232">
        <v>-4.2684659999999999E-2</v>
      </c>
      <c r="Z232">
        <v>8.4583990000000001E-4</v>
      </c>
      <c r="AA232">
        <v>0.99908819999999998</v>
      </c>
      <c r="AB232">
        <v>19</v>
      </c>
      <c r="AC232">
        <v>36.56</v>
      </c>
      <c r="AD232">
        <v>-1.159222</v>
      </c>
      <c r="AE232">
        <v>1.36870000000004</v>
      </c>
      <c r="AF232">
        <v>-1.5656465889893201</v>
      </c>
      <c r="AG232">
        <v>-1.159222</v>
      </c>
      <c r="AH232">
        <v>36.515368559862601</v>
      </c>
      <c r="AI232">
        <v>91.8166412019918</v>
      </c>
      <c r="AJ232">
        <v>92.455131500955304</v>
      </c>
      <c r="AK232">
        <v>36.567296672703399</v>
      </c>
      <c r="AL232">
        <v>87.606711299915304</v>
      </c>
      <c r="AM232">
        <v>89.808465061824293</v>
      </c>
      <c r="AN232">
        <v>0.99999995430297595</v>
      </c>
    </row>
    <row r="233" spans="1:40" x14ac:dyDescent="0.25">
      <c r="A233" t="str">
        <f>"20190312150641196"</f>
        <v>20190312150641196</v>
      </c>
      <c r="B233" t="str">
        <f>"1552374401190447"</f>
        <v>1552374401190447</v>
      </c>
      <c r="C233" t="s">
        <v>40</v>
      </c>
      <c r="D233">
        <v>4.1271940000000003</v>
      </c>
      <c r="E233">
        <v>0.48245179999999999</v>
      </c>
      <c r="F233" t="s">
        <v>43</v>
      </c>
      <c r="G233">
        <v>-429.46899999999999</v>
      </c>
      <c r="H233">
        <v>-0.05</v>
      </c>
      <c r="I233">
        <v>368.43079999999998</v>
      </c>
      <c r="J233">
        <v>-464.48869999999999</v>
      </c>
      <c r="K233">
        <v>1.109227</v>
      </c>
      <c r="L233">
        <v>367.15679999999998</v>
      </c>
      <c r="M233">
        <v>0.99997879999999995</v>
      </c>
      <c r="N233">
        <v>0</v>
      </c>
      <c r="O233">
        <v>-5.4301740000000003E-3</v>
      </c>
      <c r="P233">
        <v>0.9992337</v>
      </c>
      <c r="Q233">
        <v>3.8175340000000002E-2</v>
      </c>
      <c r="R233">
        <v>-8.6489610000000001E-3</v>
      </c>
      <c r="S233">
        <v>3.00705</v>
      </c>
      <c r="T233">
        <v>-9.9088910000000002E-2</v>
      </c>
      <c r="U233">
        <v>0.1088257</v>
      </c>
      <c r="V233">
        <v>3.2244169999999998E-3</v>
      </c>
      <c r="W233">
        <v>4.177053E-2</v>
      </c>
      <c r="X233">
        <v>0.99912199999999995</v>
      </c>
      <c r="Y233">
        <v>-4.1567159999999999E-2</v>
      </c>
      <c r="Z233">
        <v>8.6328920000000001E-4</v>
      </c>
      <c r="AA233">
        <v>0.99913529999999995</v>
      </c>
      <c r="AB233">
        <v>19</v>
      </c>
      <c r="AC233">
        <v>35.0197</v>
      </c>
      <c r="AD233">
        <v>-1.159227</v>
      </c>
      <c r="AE233">
        <v>1.274</v>
      </c>
      <c r="AF233">
        <v>-1.46254504076863</v>
      </c>
      <c r="AG233">
        <v>-1.159227</v>
      </c>
      <c r="AH233">
        <v>34.973993434965301</v>
      </c>
      <c r="AI233">
        <v>91.896740000262895</v>
      </c>
      <c r="AJ233">
        <v>92.394603934507302</v>
      </c>
      <c r="AK233">
        <v>35.023749970881198</v>
      </c>
      <c r="AL233">
        <v>87.606028354727698</v>
      </c>
      <c r="AM233">
        <v>89.815092807374299</v>
      </c>
      <c r="AN233">
        <v>0.99999997246273498</v>
      </c>
    </row>
    <row r="234" spans="1:40" x14ac:dyDescent="0.25">
      <c r="A234" t="str">
        <f>"20190312150641217"</f>
        <v>20190312150641217</v>
      </c>
      <c r="B234" t="str">
        <f>"1552374401210943"</f>
        <v>1552374401210943</v>
      </c>
      <c r="C234" t="s">
        <v>40</v>
      </c>
      <c r="D234">
        <v>4.1118550000000003</v>
      </c>
      <c r="E234">
        <v>0.4834271</v>
      </c>
      <c r="F234" t="s">
        <v>43</v>
      </c>
      <c r="G234">
        <v>-430.47019999999998</v>
      </c>
      <c r="H234">
        <v>-0.05</v>
      </c>
      <c r="I234">
        <v>368.40890000000002</v>
      </c>
      <c r="J234">
        <v>-464.30619999999999</v>
      </c>
      <c r="K234">
        <v>1.1092310000000001</v>
      </c>
      <c r="L234">
        <v>367.1558</v>
      </c>
      <c r="M234">
        <v>0.9999787</v>
      </c>
      <c r="N234">
        <v>0</v>
      </c>
      <c r="O234">
        <v>-5.429784E-3</v>
      </c>
      <c r="P234">
        <v>0.99924449999999998</v>
      </c>
      <c r="Q234">
        <v>3.7876600000000003E-2</v>
      </c>
      <c r="R234">
        <v>-8.7194919999999902E-3</v>
      </c>
      <c r="S234">
        <v>3.0072019999999999</v>
      </c>
      <c r="T234">
        <v>-0.102474499999999</v>
      </c>
      <c r="U234">
        <v>0.1106873</v>
      </c>
      <c r="V234">
        <v>3.2952239999999998E-3</v>
      </c>
      <c r="W234">
        <v>4.1519929999999997E-2</v>
      </c>
      <c r="X234">
        <v>0.99913220000000003</v>
      </c>
      <c r="Y234">
        <v>-4.2180490000000001E-2</v>
      </c>
      <c r="Z234">
        <v>9.0314319999999998E-4</v>
      </c>
      <c r="AA234">
        <v>0.99910960000000004</v>
      </c>
      <c r="AB234">
        <v>19</v>
      </c>
      <c r="AC234">
        <v>33.835999999999999</v>
      </c>
      <c r="AD234">
        <v>-1.1592309999999999</v>
      </c>
      <c r="AE234">
        <v>1.2531000000000101</v>
      </c>
      <c r="AF234">
        <v>-1.43512271107109</v>
      </c>
      <c r="AG234">
        <v>-1.1592309999999999</v>
      </c>
      <c r="AH234">
        <v>33.789090895117099</v>
      </c>
      <c r="AI234">
        <v>91.963155686842001</v>
      </c>
      <c r="AJ234">
        <v>92.432059622947904</v>
      </c>
      <c r="AK234">
        <v>33.839415734106304</v>
      </c>
      <c r="AL234">
        <v>87.620399110488407</v>
      </c>
      <c r="AM234">
        <v>89.811034272344898</v>
      </c>
      <c r="AN234">
        <v>0.99999995808262598</v>
      </c>
    </row>
    <row r="235" spans="1:40" x14ac:dyDescent="0.25">
      <c r="A235" t="str">
        <f>"20190312150641229"</f>
        <v>20190312150641229</v>
      </c>
      <c r="B235" t="str">
        <f>"1552374401220704"</f>
        <v>1552374401220704</v>
      </c>
      <c r="C235" t="s">
        <v>40</v>
      </c>
      <c r="D235">
        <v>4.1128130000000001</v>
      </c>
      <c r="E235">
        <v>0.48379670000000002</v>
      </c>
      <c r="F235" t="s">
        <v>43</v>
      </c>
      <c r="G235">
        <v>-427.95679999999999</v>
      </c>
      <c r="H235">
        <v>-0.05</v>
      </c>
      <c r="I235">
        <v>368.39949999999999</v>
      </c>
      <c r="J235">
        <v>-464.19819999999999</v>
      </c>
      <c r="K235">
        <v>1.1092360000000001</v>
      </c>
      <c r="L235">
        <v>367.15519999999998</v>
      </c>
      <c r="M235">
        <v>0.99997860000000005</v>
      </c>
      <c r="N235">
        <v>0</v>
      </c>
      <c r="O235">
        <v>-5.4293579999999996E-3</v>
      </c>
      <c r="P235">
        <v>0.99925019999999998</v>
      </c>
      <c r="Q235">
        <v>3.771178E-2</v>
      </c>
      <c r="R235">
        <v>-8.7749779999999993E-3</v>
      </c>
      <c r="S235">
        <v>3.0067439999999999</v>
      </c>
      <c r="T235">
        <v>-9.5889089999999996E-2</v>
      </c>
      <c r="U235">
        <v>0.1028748</v>
      </c>
      <c r="V235">
        <v>3.3511320000000002E-3</v>
      </c>
      <c r="W235">
        <v>4.138319E-2</v>
      </c>
      <c r="X235">
        <v>0.99913770000000002</v>
      </c>
      <c r="Y235">
        <v>-3.9597510000000002E-2</v>
      </c>
      <c r="Z235">
        <v>8.0412309999999896E-4</v>
      </c>
      <c r="AA235">
        <v>0.99921539999999998</v>
      </c>
      <c r="AB235">
        <v>19</v>
      </c>
      <c r="AC235">
        <v>36.241399999999999</v>
      </c>
      <c r="AD235">
        <v>-1.1592359999999999</v>
      </c>
      <c r="AE235">
        <v>1.2443</v>
      </c>
      <c r="AF235">
        <v>-1.43957935289836</v>
      </c>
      <c r="AG235">
        <v>-1.1592359999999999</v>
      </c>
      <c r="AH235">
        <v>36.197119026615603</v>
      </c>
      <c r="AI235">
        <v>91.832859267609393</v>
      </c>
      <c r="AJ235">
        <v>92.277484439672506</v>
      </c>
      <c r="AK235">
        <v>36.2442773778698</v>
      </c>
      <c r="AL235">
        <v>87.628240505979093</v>
      </c>
      <c r="AM235">
        <v>89.807829290989503</v>
      </c>
      <c r="AN235">
        <v>0.99999997103077298</v>
      </c>
    </row>
    <row r="236" spans="1:40" x14ac:dyDescent="0.25">
      <c r="A236" t="str">
        <f>"20190312150641241"</f>
        <v>20190312150641241</v>
      </c>
      <c r="B236" t="str">
        <f>"1552374401230463"</f>
        <v>1552374401230463</v>
      </c>
      <c r="C236" t="s">
        <v>40</v>
      </c>
      <c r="D236">
        <v>4.1187990000000001</v>
      </c>
      <c r="E236">
        <v>0.48398760000000002</v>
      </c>
      <c r="F236" t="s">
        <v>43</v>
      </c>
      <c r="G236">
        <v>-427.45460000000003</v>
      </c>
      <c r="H236">
        <v>-0.05</v>
      </c>
      <c r="I236">
        <v>368.37470000000002</v>
      </c>
      <c r="J236">
        <v>-464.09829999999999</v>
      </c>
      <c r="K236">
        <v>1.109237</v>
      </c>
      <c r="L236">
        <v>367.15469999999999</v>
      </c>
      <c r="M236">
        <v>0.99997860000000005</v>
      </c>
      <c r="N236">
        <v>0</v>
      </c>
      <c r="O236">
        <v>-5.4291679999999998E-3</v>
      </c>
      <c r="P236">
        <v>0.99925739999999996</v>
      </c>
      <c r="Q236">
        <v>3.7546339999999997E-2</v>
      </c>
      <c r="R236">
        <v>-8.6785159999999903E-3</v>
      </c>
      <c r="S236">
        <v>3.006653</v>
      </c>
      <c r="T236">
        <v>-9.4857929999999993E-2</v>
      </c>
      <c r="U236">
        <v>9.9792480000000003E-2</v>
      </c>
      <c r="V236">
        <v>3.2546250000000001E-3</v>
      </c>
      <c r="W236">
        <v>4.1243599999999998E-2</v>
      </c>
      <c r="X236">
        <v>0.99914380000000003</v>
      </c>
      <c r="Y236">
        <v>-3.8576149999999997E-2</v>
      </c>
      <c r="Z236">
        <v>7.7940880000000004E-4</v>
      </c>
      <c r="AA236">
        <v>0.99925540000000002</v>
      </c>
      <c r="AB236">
        <v>19</v>
      </c>
      <c r="AC236">
        <v>36.643699999999903</v>
      </c>
      <c r="AD236">
        <v>-1.1592370000000001</v>
      </c>
      <c r="AE236">
        <v>1.22000000000002</v>
      </c>
      <c r="AF236">
        <v>-1.41751107861285</v>
      </c>
      <c r="AG236">
        <v>-1.1592370000000001</v>
      </c>
      <c r="AH236">
        <v>36.599947760316198</v>
      </c>
      <c r="AI236">
        <v>91.812775310134995</v>
      </c>
      <c r="AJ236">
        <v>92.217949339389804</v>
      </c>
      <c r="AK236">
        <v>36.645727501825299</v>
      </c>
      <c r="AL236">
        <v>87.636245279692801</v>
      </c>
      <c r="AM236">
        <v>89.813364585907294</v>
      </c>
      <c r="AN236">
        <v>0.99999998010164504</v>
      </c>
    </row>
    <row r="237" spans="1:40" x14ac:dyDescent="0.25">
      <c r="A237" t="str">
        <f>"20190312150641253"</f>
        <v>20190312150641253</v>
      </c>
      <c r="B237" t="str">
        <f>"1552374401250959"</f>
        <v>1552374401250959</v>
      </c>
      <c r="C237" t="s">
        <v>40</v>
      </c>
      <c r="D237">
        <v>4.3222319999999996</v>
      </c>
      <c r="E237">
        <v>0.48420859999999899</v>
      </c>
      <c r="F237" t="s">
        <v>43</v>
      </c>
      <c r="G237">
        <v>-426.47399999999999</v>
      </c>
      <c r="H237">
        <v>-0.05</v>
      </c>
      <c r="I237">
        <v>368.38470000000001</v>
      </c>
      <c r="J237">
        <v>-463.99380000000002</v>
      </c>
      <c r="K237">
        <v>1.1092390000000001</v>
      </c>
      <c r="L237">
        <v>367.15410000000003</v>
      </c>
      <c r="M237">
        <v>0.99997840000000005</v>
      </c>
      <c r="N237">
        <v>0</v>
      </c>
      <c r="O237">
        <v>-5.4291000000000001E-3</v>
      </c>
      <c r="P237">
        <v>0.99925830000000004</v>
      </c>
      <c r="Q237">
        <v>3.7546820000000002E-2</v>
      </c>
      <c r="R237">
        <v>-8.563401E-3</v>
      </c>
      <c r="S237">
        <v>3.006561</v>
      </c>
      <c r="T237">
        <v>-9.2634800000000003E-2</v>
      </c>
      <c r="U237">
        <v>9.8297120000000002E-2</v>
      </c>
      <c r="V237">
        <v>3.1398480000000002E-3</v>
      </c>
      <c r="W237">
        <v>4.127219E-2</v>
      </c>
      <c r="X237">
        <v>0.999143</v>
      </c>
      <c r="Y237">
        <v>-3.8081879999999999E-2</v>
      </c>
      <c r="Z237">
        <v>7.5356770000000004E-4</v>
      </c>
      <c r="AA237">
        <v>0.99927429999999995</v>
      </c>
      <c r="AB237">
        <v>19</v>
      </c>
      <c r="AC237">
        <v>37.519799999999996</v>
      </c>
      <c r="AD237">
        <v>-1.1592389999999999</v>
      </c>
      <c r="AE237">
        <v>1.2305999999999799</v>
      </c>
      <c r="AF237">
        <v>-1.43291560521595</v>
      </c>
      <c r="AG237">
        <v>-1.1592389999999999</v>
      </c>
      <c r="AH237">
        <v>37.476828716399403</v>
      </c>
      <c r="AI237">
        <v>91.770424115644701</v>
      </c>
      <c r="AJ237">
        <v>92.189620821697005</v>
      </c>
      <c r="AK237">
        <v>37.522123778234203</v>
      </c>
      <c r="AL237">
        <v>87.634605828783293</v>
      </c>
      <c r="AM237">
        <v>89.819946247422706</v>
      </c>
      <c r="AN237">
        <v>0.99999999338092904</v>
      </c>
    </row>
    <row r="238" spans="1:40" x14ac:dyDescent="0.25">
      <c r="A238" t="str">
        <f>"20190312150641265"</f>
        <v>20190312150641265</v>
      </c>
      <c r="B238" t="str">
        <f>"1552374401260719"</f>
        <v>1552374401260719</v>
      </c>
      <c r="C238" t="s">
        <v>40</v>
      </c>
      <c r="D238">
        <v>4.130395</v>
      </c>
      <c r="E238">
        <v>0.48450749999999998</v>
      </c>
      <c r="F238" t="s">
        <v>43</v>
      </c>
      <c r="G238">
        <v>-426.71719999999999</v>
      </c>
      <c r="H238">
        <v>-0.05</v>
      </c>
      <c r="I238">
        <v>368.35579999999999</v>
      </c>
      <c r="J238">
        <v>-463.88729999999998</v>
      </c>
      <c r="K238">
        <v>1.109243</v>
      </c>
      <c r="L238">
        <v>367.15350000000001</v>
      </c>
      <c r="M238">
        <v>0.99997840000000005</v>
      </c>
      <c r="N238">
        <v>0</v>
      </c>
      <c r="O238">
        <v>-5.4289150000000003E-3</v>
      </c>
      <c r="P238">
        <v>0.99927440000000001</v>
      </c>
      <c r="Q238">
        <v>3.7204059999999997E-2</v>
      </c>
      <c r="R238">
        <v>-8.1769040000000005E-3</v>
      </c>
      <c r="S238">
        <v>3.0065</v>
      </c>
      <c r="T238">
        <v>-9.3496919999999997E-2</v>
      </c>
      <c r="U238">
        <v>9.6923830000000002E-2</v>
      </c>
      <c r="V238">
        <v>2.753265E-3</v>
      </c>
      <c r="W238">
        <v>4.0957739999999999E-2</v>
      </c>
      <c r="X238">
        <v>0.99915710000000002</v>
      </c>
      <c r="Y238">
        <v>-3.7626220000000002E-2</v>
      </c>
      <c r="Z238">
        <v>7.5351119999999996E-4</v>
      </c>
      <c r="AA238">
        <v>0.99929159999999995</v>
      </c>
      <c r="AB238">
        <v>19</v>
      </c>
      <c r="AC238">
        <v>37.170099999999898</v>
      </c>
      <c r="AD238">
        <v>-1.159243</v>
      </c>
      <c r="AE238">
        <v>1.2022999999999699</v>
      </c>
      <c r="AF238">
        <v>-1.4027140410007899</v>
      </c>
      <c r="AG238">
        <v>-1.159243</v>
      </c>
      <c r="AH238">
        <v>37.126950805323403</v>
      </c>
      <c r="AI238">
        <v>91.7871343938221</v>
      </c>
      <c r="AJ238">
        <v>92.163694682731503</v>
      </c>
      <c r="AK238">
        <v>37.171520376691298</v>
      </c>
      <c r="AL238">
        <v>87.6526377819619</v>
      </c>
      <c r="AM238">
        <v>89.842116855194604</v>
      </c>
      <c r="AN238">
        <v>1.00000001370723</v>
      </c>
    </row>
    <row r="239" spans="1:40" x14ac:dyDescent="0.25">
      <c r="A239" t="str">
        <f>"20190312150641283"</f>
        <v>20190312150641283</v>
      </c>
      <c r="B239" t="str">
        <f>"1552374401270479"</f>
        <v>1552374401270479</v>
      </c>
      <c r="C239" t="s">
        <v>40</v>
      </c>
      <c r="D239">
        <v>4.1003689999999997</v>
      </c>
      <c r="E239">
        <v>0.484761</v>
      </c>
      <c r="F239" t="s">
        <v>43</v>
      </c>
      <c r="G239">
        <v>-426.94200000000001</v>
      </c>
      <c r="H239">
        <v>-0.05</v>
      </c>
      <c r="I239">
        <v>368.33069999999998</v>
      </c>
      <c r="J239">
        <v>-463.72989999999999</v>
      </c>
      <c r="K239">
        <v>1.109245</v>
      </c>
      <c r="L239">
        <v>367.15260000000001</v>
      </c>
      <c r="M239">
        <v>0.99997800000000003</v>
      </c>
      <c r="N239">
        <v>0</v>
      </c>
      <c r="O239">
        <v>-5.4283999999999999E-3</v>
      </c>
      <c r="P239">
        <v>0.9992839</v>
      </c>
      <c r="Q239">
        <v>3.7013079999999997E-2</v>
      </c>
      <c r="R239">
        <v>-7.8628959999999994E-3</v>
      </c>
      <c r="S239">
        <v>3.0065</v>
      </c>
      <c r="T239">
        <v>-9.4335790000000003E-2</v>
      </c>
      <c r="U239">
        <v>9.5794679999999993E-2</v>
      </c>
      <c r="V239">
        <v>2.439821E-3</v>
      </c>
      <c r="W239">
        <v>4.0809560000000002E-2</v>
      </c>
      <c r="X239">
        <v>0.99916400000000005</v>
      </c>
      <c r="Y239">
        <v>-3.7250600000000002E-2</v>
      </c>
      <c r="Z239">
        <v>7.5436699999999895E-4</v>
      </c>
      <c r="AA239">
        <v>0.99930569999999996</v>
      </c>
      <c r="AB239">
        <v>19</v>
      </c>
      <c r="AC239">
        <v>36.7879</v>
      </c>
      <c r="AD239">
        <v>-1.1592450000000001</v>
      </c>
      <c r="AE239">
        <v>1.1780999999999699</v>
      </c>
      <c r="AF239">
        <v>-1.3764181737821</v>
      </c>
      <c r="AG239">
        <v>-1.1592450000000001</v>
      </c>
      <c r="AH239">
        <v>36.744513535382303</v>
      </c>
      <c r="AI239">
        <v>91.805747625890007</v>
      </c>
      <c r="AJ239">
        <v>92.145248069236004</v>
      </c>
      <c r="AK239">
        <v>36.788553259282097</v>
      </c>
      <c r="AL239">
        <v>87.6611350267912</v>
      </c>
      <c r="AM239">
        <v>89.860091868578195</v>
      </c>
      <c r="AN239">
        <v>1.0000000359049499</v>
      </c>
    </row>
    <row r="240" spans="1:40" x14ac:dyDescent="0.25">
      <c r="A240" t="str">
        <f>"20190312150641295"</f>
        <v>20190312150641295</v>
      </c>
      <c r="B240" t="str">
        <f>"1552374401290974"</f>
        <v>1552374401290974</v>
      </c>
      <c r="C240" t="s">
        <v>40</v>
      </c>
      <c r="D240">
        <v>4.1026769999999999</v>
      </c>
      <c r="E240">
        <v>0.48491099999999998</v>
      </c>
      <c r="F240" t="s">
        <v>43</v>
      </c>
      <c r="G240">
        <v>-426.86059999999998</v>
      </c>
      <c r="H240">
        <v>-0.05</v>
      </c>
      <c r="I240">
        <v>368.31240000000003</v>
      </c>
      <c r="J240">
        <v>-463.6225</v>
      </c>
      <c r="K240">
        <v>1.109246</v>
      </c>
      <c r="L240">
        <v>367.15210000000002</v>
      </c>
      <c r="M240">
        <v>0.99997800000000003</v>
      </c>
      <c r="N240">
        <v>0</v>
      </c>
      <c r="O240">
        <v>-5.4282159999999996E-3</v>
      </c>
      <c r="P240">
        <v>0.9992858</v>
      </c>
      <c r="Q240">
        <v>3.7000140000000001E-2</v>
      </c>
      <c r="R240">
        <v>-7.6676080000000002E-3</v>
      </c>
      <c r="S240">
        <v>3.0064389999999999</v>
      </c>
      <c r="T240">
        <v>-9.4528200000000007E-2</v>
      </c>
      <c r="U240">
        <v>9.4573969999999993E-2</v>
      </c>
      <c r="V240">
        <v>2.2446720000000001E-3</v>
      </c>
      <c r="W240">
        <v>4.082529E-2</v>
      </c>
      <c r="X240">
        <v>0.99916380000000005</v>
      </c>
      <c r="Y240">
        <v>-3.6845830000000003E-2</v>
      </c>
      <c r="Z240">
        <v>7.4955899999999904E-4</v>
      </c>
      <c r="AA240">
        <v>0.99932069999999995</v>
      </c>
      <c r="AB240">
        <v>19</v>
      </c>
      <c r="AC240">
        <v>36.761899999999997</v>
      </c>
      <c r="AD240">
        <v>-1.159246</v>
      </c>
      <c r="AE240">
        <v>1.1603000000000001</v>
      </c>
      <c r="AF240">
        <v>-1.3584863727063301</v>
      </c>
      <c r="AG240">
        <v>-1.159246</v>
      </c>
      <c r="AH240">
        <v>36.7185838443419</v>
      </c>
      <c r="AI240">
        <v>91.807054519717497</v>
      </c>
      <c r="AJ240">
        <v>92.118819491880501</v>
      </c>
      <c r="AK240">
        <v>36.761987650932497</v>
      </c>
      <c r="AL240">
        <v>87.660232977700304</v>
      </c>
      <c r="AM240">
        <v>89.871282350674605</v>
      </c>
      <c r="AN240">
        <v>1.0000000210432001</v>
      </c>
    </row>
    <row r="241" spans="1:40" x14ac:dyDescent="0.25">
      <c r="A241" t="str">
        <f>"20190312150641309"</f>
        <v>20190312150641309</v>
      </c>
      <c r="B241" t="str">
        <f>"1552374401300735"</f>
        <v>1552374401300735</v>
      </c>
      <c r="C241" t="s">
        <v>40</v>
      </c>
      <c r="D241">
        <v>4.1380790000000003</v>
      </c>
      <c r="E241">
        <v>0.48504659999999999</v>
      </c>
      <c r="F241" t="s">
        <v>43</v>
      </c>
      <c r="G241">
        <v>-426.97199999999998</v>
      </c>
      <c r="H241">
        <v>-0.05</v>
      </c>
      <c r="I241">
        <v>368.29539999999997</v>
      </c>
      <c r="J241">
        <v>-463.50330000000002</v>
      </c>
      <c r="K241">
        <v>1.1092489999999999</v>
      </c>
      <c r="L241">
        <v>367.1515</v>
      </c>
      <c r="M241">
        <v>0.99997789999999998</v>
      </c>
      <c r="N241">
        <v>0</v>
      </c>
      <c r="O241">
        <v>-5.4279189999999998E-3</v>
      </c>
      <c r="P241">
        <v>0.99929769999999896</v>
      </c>
      <c r="Q241">
        <v>3.6713639999999999E-2</v>
      </c>
      <c r="R241">
        <v>-7.5180459999999996E-3</v>
      </c>
      <c r="S241">
        <v>3.0063780000000002</v>
      </c>
      <c r="T241">
        <v>-9.509099E-2</v>
      </c>
      <c r="U241">
        <v>9.3780520000000006E-2</v>
      </c>
      <c r="V241">
        <v>2.095235E-3</v>
      </c>
      <c r="W241">
        <v>4.0569439999999998E-2</v>
      </c>
      <c r="X241">
        <v>0.99917449999999997</v>
      </c>
      <c r="Y241">
        <v>-3.6582570000000002E-2</v>
      </c>
      <c r="Z241">
        <v>7.4986689999999995E-4</v>
      </c>
      <c r="AA241">
        <v>0.9993303</v>
      </c>
      <c r="AB241">
        <v>20</v>
      </c>
      <c r="AC241">
        <v>36.531300000000002</v>
      </c>
      <c r="AD241">
        <v>-1.159249</v>
      </c>
      <c r="AE241">
        <v>1.1438999999999699</v>
      </c>
      <c r="AF241">
        <v>-1.3408246787426601</v>
      </c>
      <c r="AG241">
        <v>-1.159249</v>
      </c>
      <c r="AH241">
        <v>36.487846057558897</v>
      </c>
      <c r="AI241">
        <v>91.818495559365104</v>
      </c>
      <c r="AJ241">
        <v>92.104510179981503</v>
      </c>
      <c r="AK241">
        <v>36.530871588058801</v>
      </c>
      <c r="AL241">
        <v>87.674904151454498</v>
      </c>
      <c r="AM241">
        <v>89.879852871918402</v>
      </c>
      <c r="AN241">
        <v>0.999999975460934</v>
      </c>
    </row>
    <row r="242" spans="1:40" x14ac:dyDescent="0.25">
      <c r="A242" t="str">
        <f>"20190312150641322"</f>
        <v>20190312150641322</v>
      </c>
      <c r="B242" t="str">
        <f>"1552374401311472"</f>
        <v>1552374401311472</v>
      </c>
      <c r="C242" t="s">
        <v>40</v>
      </c>
      <c r="D242">
        <v>4.1125970000000001</v>
      </c>
      <c r="E242">
        <v>0.48518099999999997</v>
      </c>
      <c r="F242" t="s">
        <v>43</v>
      </c>
      <c r="G242">
        <v>-426.9624</v>
      </c>
      <c r="H242">
        <v>-0.05</v>
      </c>
      <c r="I242">
        <v>368.28649999999999</v>
      </c>
      <c r="J242">
        <v>-463.38670000000002</v>
      </c>
      <c r="K242">
        <v>1.109251</v>
      </c>
      <c r="L242">
        <v>367.1508</v>
      </c>
      <c r="M242">
        <v>0.99997789999999998</v>
      </c>
      <c r="N242">
        <v>0</v>
      </c>
      <c r="O242">
        <v>-5.427856E-3</v>
      </c>
      <c r="P242">
        <v>0.99929559999999995</v>
      </c>
      <c r="Q242">
        <v>3.6838080000000002E-2</v>
      </c>
      <c r="R242">
        <v>-7.202651E-3</v>
      </c>
      <c r="S242">
        <v>3.0062869999999999</v>
      </c>
      <c r="T242">
        <v>-9.5373630000000001E-2</v>
      </c>
      <c r="U242">
        <v>9.3383789999999994E-2</v>
      </c>
      <c r="V242">
        <v>1.7798219999999999E-3</v>
      </c>
      <c r="W242">
        <v>4.0723330000000002E-2</v>
      </c>
      <c r="X242">
        <v>0.99916890000000003</v>
      </c>
      <c r="Y242">
        <v>-3.6451629999999999E-2</v>
      </c>
      <c r="Z242">
        <v>7.500413E-4</v>
      </c>
      <c r="AA242">
        <v>0.99933510000000003</v>
      </c>
      <c r="AB242">
        <v>20</v>
      </c>
      <c r="AC242">
        <v>36.424300000000002</v>
      </c>
      <c r="AD242">
        <v>-1.159251</v>
      </c>
      <c r="AE242">
        <v>1.1356999999999799</v>
      </c>
      <c r="AF242">
        <v>-1.3320426479681</v>
      </c>
      <c r="AG242">
        <v>-1.159251</v>
      </c>
      <c r="AH242">
        <v>36.380784155793897</v>
      </c>
      <c r="AI242">
        <v>91.823855486591796</v>
      </c>
      <c r="AJ242">
        <v>92.096885664733094</v>
      </c>
      <c r="AK242">
        <v>36.423613992676103</v>
      </c>
      <c r="AL242">
        <v>87.6660797245341</v>
      </c>
      <c r="AM242">
        <v>89.897938996073094</v>
      </c>
      <c r="AN242">
        <v>1.0000000240499201</v>
      </c>
    </row>
    <row r="243" spans="1:40" x14ac:dyDescent="0.25">
      <c r="A243" t="str">
        <f>"20190312150641340"</f>
        <v>20190312150641340</v>
      </c>
      <c r="B243" t="str">
        <f>"1552374401330991"</f>
        <v>1552374401330991</v>
      </c>
      <c r="C243" t="s">
        <v>40</v>
      </c>
      <c r="D243">
        <v>4.2868469999999999</v>
      </c>
      <c r="E243">
        <v>0.48530820000000002</v>
      </c>
      <c r="F243" t="s">
        <v>43</v>
      </c>
      <c r="G243">
        <v>-426.30549999999999</v>
      </c>
      <c r="H243">
        <v>-0.05</v>
      </c>
      <c r="I243">
        <v>368.30270000000002</v>
      </c>
      <c r="J243">
        <v>-463.21980000000002</v>
      </c>
      <c r="K243">
        <v>1.1092519999999999</v>
      </c>
      <c r="L243">
        <v>367.1499</v>
      </c>
      <c r="M243">
        <v>0.99997769999999997</v>
      </c>
      <c r="N243">
        <v>0</v>
      </c>
      <c r="O243">
        <v>-5.4275769999999899E-3</v>
      </c>
      <c r="P243">
        <v>0.99929480000000004</v>
      </c>
      <c r="Q243">
        <v>3.6876249999999999E-2</v>
      </c>
      <c r="R243">
        <v>-7.1194519999999897E-3</v>
      </c>
      <c r="S243">
        <v>3.006256</v>
      </c>
      <c r="T243">
        <v>-9.3983289999999997E-2</v>
      </c>
      <c r="U243">
        <v>9.3383789999999994E-2</v>
      </c>
      <c r="V243">
        <v>1.696889E-3</v>
      </c>
      <c r="W243">
        <v>4.0800990000000002E-2</v>
      </c>
      <c r="X243">
        <v>0.99916579999999999</v>
      </c>
      <c r="Y243">
        <v>-3.6452279999999997E-2</v>
      </c>
      <c r="Z243">
        <v>7.3912149999999998E-4</v>
      </c>
      <c r="AA243">
        <v>0.99933510000000003</v>
      </c>
      <c r="AB243">
        <v>20</v>
      </c>
      <c r="AC243">
        <v>36.914299999999997</v>
      </c>
      <c r="AD243">
        <v>-1.1592519999999999</v>
      </c>
      <c r="AE243">
        <v>1.15280000000001</v>
      </c>
      <c r="AF243">
        <v>-1.35180788369779</v>
      </c>
      <c r="AG243">
        <v>-1.1592519999999999</v>
      </c>
      <c r="AH243">
        <v>36.871172265930298</v>
      </c>
      <c r="AI243">
        <v>91.799612512297799</v>
      </c>
      <c r="AJ243">
        <v>92.099694862449894</v>
      </c>
      <c r="AK243">
        <v>36.9141516768006</v>
      </c>
      <c r="AL243">
        <v>87.661626255366897</v>
      </c>
      <c r="AM243">
        <v>89.902694343091696</v>
      </c>
      <c r="AN243">
        <v>0.99999994805344705</v>
      </c>
    </row>
    <row r="244" spans="1:40" x14ac:dyDescent="0.25">
      <c r="A244" t="str">
        <f>"20190312150641353"</f>
        <v>20190312150641353</v>
      </c>
      <c r="B244" t="str">
        <f>"1552374401350511"</f>
        <v>1552374401350511</v>
      </c>
      <c r="C244" t="s">
        <v>40</v>
      </c>
      <c r="D244">
        <v>4.3101190000000003</v>
      </c>
      <c r="E244">
        <v>0.4855505</v>
      </c>
      <c r="F244" t="s">
        <v>43</v>
      </c>
      <c r="G244">
        <v>-426.2996</v>
      </c>
      <c r="H244">
        <v>-0.05</v>
      </c>
      <c r="I244">
        <v>368.28590000000003</v>
      </c>
      <c r="J244">
        <v>-463.10879999999997</v>
      </c>
      <c r="K244">
        <v>1.109254</v>
      </c>
      <c r="L244">
        <v>367.14929999999998</v>
      </c>
      <c r="M244">
        <v>0.99997749999999996</v>
      </c>
      <c r="N244">
        <v>0</v>
      </c>
      <c r="O244">
        <v>-5.4272720000000003E-3</v>
      </c>
      <c r="P244">
        <v>0.99928910000000004</v>
      </c>
      <c r="Q244">
        <v>3.7021949999999998E-2</v>
      </c>
      <c r="R244">
        <v>-7.1472109999999997E-3</v>
      </c>
      <c r="S244">
        <v>3.0062869999999999</v>
      </c>
      <c r="T244">
        <v>-9.4393729999999995E-2</v>
      </c>
      <c r="U244">
        <v>9.2498780000000003E-2</v>
      </c>
      <c r="V244">
        <v>1.725047E-3</v>
      </c>
      <c r="W244">
        <v>4.0973460000000003E-2</v>
      </c>
      <c r="X244">
        <v>0.99915869999999996</v>
      </c>
      <c r="Y244">
        <v>-3.6157719999999997E-2</v>
      </c>
      <c r="Z244">
        <v>7.3771169999999997E-4</v>
      </c>
      <c r="AA244">
        <v>0.99934579999999995</v>
      </c>
      <c r="AB244">
        <v>20</v>
      </c>
      <c r="AC244">
        <v>36.809199999999898</v>
      </c>
      <c r="AD244">
        <v>-1.159254</v>
      </c>
      <c r="AE244">
        <v>1.13660000000004</v>
      </c>
      <c r="AF244">
        <v>-1.3350354644808</v>
      </c>
      <c r="AG244">
        <v>-1.159254</v>
      </c>
      <c r="AH244">
        <v>36.766057641425</v>
      </c>
      <c r="AI244">
        <v>91.804780433404005</v>
      </c>
      <c r="AJ244">
        <v>92.079589437228407</v>
      </c>
      <c r="AK244">
        <v>36.8085477032241</v>
      </c>
      <c r="AL244">
        <v>87.651736195317795</v>
      </c>
      <c r="AM244">
        <v>89.901078963375298</v>
      </c>
      <c r="AN244">
        <v>0.99999995399860497</v>
      </c>
    </row>
    <row r="245" spans="1:40" x14ac:dyDescent="0.25">
      <c r="A245" t="str">
        <f>"20190312150641367"</f>
        <v>20190312150641367</v>
      </c>
      <c r="B245" t="str">
        <f>"1552374401361246"</f>
        <v>1552374401361246</v>
      </c>
      <c r="C245" t="s">
        <v>40</v>
      </c>
      <c r="D245">
        <v>4.089715</v>
      </c>
      <c r="E245">
        <v>0.4856589</v>
      </c>
      <c r="F245" t="s">
        <v>43</v>
      </c>
      <c r="G245">
        <v>-425.6986</v>
      </c>
      <c r="H245">
        <v>-0.05</v>
      </c>
      <c r="I245">
        <v>368.27269999999999</v>
      </c>
      <c r="J245">
        <v>-462.99149999999997</v>
      </c>
      <c r="K245">
        <v>1.109251</v>
      </c>
      <c r="L245">
        <v>367.14870000000002</v>
      </c>
      <c r="M245">
        <v>0.99997740000000002</v>
      </c>
      <c r="N245">
        <v>0</v>
      </c>
      <c r="O245">
        <v>-5.4269710000000001E-3</v>
      </c>
      <c r="P245">
        <v>0.99928309999999998</v>
      </c>
      <c r="Q245">
        <v>3.7163889999999998E-2</v>
      </c>
      <c r="R245">
        <v>-7.2349449999999996E-3</v>
      </c>
      <c r="S245">
        <v>3.006195</v>
      </c>
      <c r="T245">
        <v>-9.315503E-2</v>
      </c>
      <c r="U245">
        <v>9.0271000000000004E-2</v>
      </c>
      <c r="V245">
        <v>1.8132370000000001E-3</v>
      </c>
      <c r="W245">
        <v>4.1144020000000003E-2</v>
      </c>
      <c r="X245">
        <v>0.99915160000000003</v>
      </c>
      <c r="Y245">
        <v>-3.5419329999999999E-2</v>
      </c>
      <c r="Z245">
        <v>7.1662159999999996E-4</v>
      </c>
      <c r="AA245">
        <v>0.99937229999999999</v>
      </c>
      <c r="AB245">
        <v>20</v>
      </c>
      <c r="AC245">
        <v>37.292899999999896</v>
      </c>
      <c r="AD245">
        <v>-1.159251</v>
      </c>
      <c r="AE245">
        <v>1.1239999999999599</v>
      </c>
      <c r="AF245">
        <v>-1.3250932799175801</v>
      </c>
      <c r="AG245">
        <v>-1.159251</v>
      </c>
      <c r="AH245">
        <v>37.250289335096198</v>
      </c>
      <c r="AI245">
        <v>91.781377183995204</v>
      </c>
      <c r="AJ245">
        <v>92.037306383814695</v>
      </c>
      <c r="AK245">
        <v>37.291872983665797</v>
      </c>
      <c r="AL245">
        <v>87.6419557323986</v>
      </c>
      <c r="AM245">
        <v>89.896021070971202</v>
      </c>
      <c r="AN245">
        <v>1.00000001899636</v>
      </c>
    </row>
    <row r="246" spans="1:40" x14ac:dyDescent="0.25">
      <c r="A246" t="str">
        <f>"20190312150641386"</f>
        <v>20190312150641386</v>
      </c>
      <c r="B246" t="str">
        <f>"1552374401380767"</f>
        <v>1552374401380767</v>
      </c>
      <c r="C246" t="s">
        <v>40</v>
      </c>
      <c r="D246">
        <v>4.6059340000000004</v>
      </c>
      <c r="E246">
        <v>0.48586580000000001</v>
      </c>
      <c r="F246" t="s">
        <v>43</v>
      </c>
      <c r="G246">
        <v>-425.02350000000001</v>
      </c>
      <c r="H246">
        <v>-0.05</v>
      </c>
      <c r="I246">
        <v>368.2749</v>
      </c>
      <c r="J246">
        <v>-462.81119999999999</v>
      </c>
      <c r="K246">
        <v>1.109256</v>
      </c>
      <c r="L246">
        <v>367.14769999999999</v>
      </c>
      <c r="M246">
        <v>0.99997720000000001</v>
      </c>
      <c r="N246">
        <v>0</v>
      </c>
      <c r="O246">
        <v>-5.4265850000000003E-3</v>
      </c>
      <c r="P246">
        <v>0.99929299999999999</v>
      </c>
      <c r="Q246">
        <v>3.6882400000000003E-2</v>
      </c>
      <c r="R246">
        <v>-7.3066519999999899E-3</v>
      </c>
      <c r="S246">
        <v>3.0062259999999998</v>
      </c>
      <c r="T246">
        <v>-9.1786980000000004E-2</v>
      </c>
      <c r="U246">
        <v>8.9172360000000006E-2</v>
      </c>
      <c r="V246">
        <v>1.8853139999999999E-3</v>
      </c>
      <c r="W246">
        <v>4.090771E-2</v>
      </c>
      <c r="X246">
        <v>0.99916110000000002</v>
      </c>
      <c r="Y246">
        <v>-3.5054479999999999E-2</v>
      </c>
      <c r="Z246">
        <v>7.0052000000000005E-4</v>
      </c>
      <c r="AA246">
        <v>0.99938519999999997</v>
      </c>
      <c r="AB246">
        <v>20</v>
      </c>
      <c r="AC246">
        <v>37.787699999999901</v>
      </c>
      <c r="AD246">
        <v>-1.1592559999999901</v>
      </c>
      <c r="AE246">
        <v>1.12720000000001</v>
      </c>
      <c r="AF246">
        <v>-1.3309916787399101</v>
      </c>
      <c r="AG246">
        <v>-1.1592559999999901</v>
      </c>
      <c r="AH246">
        <v>37.745534167190399</v>
      </c>
      <c r="AI246">
        <v>91.758046047042399</v>
      </c>
      <c r="AJ246">
        <v>92.019540140497995</v>
      </c>
      <c r="AK246">
        <v>37.786780266237997</v>
      </c>
      <c r="AL246">
        <v>87.655506543458102</v>
      </c>
      <c r="AM246">
        <v>89.8918888985378</v>
      </c>
      <c r="AN246">
        <v>0.999999949449765</v>
      </c>
    </row>
    <row r="247" spans="1:40" x14ac:dyDescent="0.25">
      <c r="A247" t="str">
        <f>"20190312150641409"</f>
        <v>20190312150641409</v>
      </c>
      <c r="B247" t="str">
        <f>"1552374401401263"</f>
        <v>1552374401401263</v>
      </c>
      <c r="C247" t="s">
        <v>40</v>
      </c>
      <c r="D247">
        <v>4.1552819999999997</v>
      </c>
      <c r="E247">
        <v>0.48594330000000002</v>
      </c>
      <c r="F247" t="s">
        <v>43</v>
      </c>
      <c r="G247">
        <v>-424.78550000000001</v>
      </c>
      <c r="H247">
        <v>-0.05</v>
      </c>
      <c r="I247">
        <v>368.25099999999998</v>
      </c>
      <c r="J247">
        <v>-462.60649999999998</v>
      </c>
      <c r="K247">
        <v>1.109267</v>
      </c>
      <c r="L247">
        <v>367.14659999999998</v>
      </c>
      <c r="M247">
        <v>0.99997709999999995</v>
      </c>
      <c r="N247">
        <v>0</v>
      </c>
      <c r="O247">
        <v>-5.4263310000000004E-3</v>
      </c>
      <c r="P247">
        <v>0.99930529999999995</v>
      </c>
      <c r="Q247">
        <v>3.658604E-2</v>
      </c>
      <c r="R247">
        <v>-7.1364619999999997E-3</v>
      </c>
      <c r="S247">
        <v>3.0061339999999999</v>
      </c>
      <c r="T247">
        <v>-9.1645480000000001E-2</v>
      </c>
      <c r="U247">
        <v>8.7219240000000003E-2</v>
      </c>
      <c r="V247">
        <v>1.715137E-3</v>
      </c>
      <c r="W247">
        <v>4.0662339999999998E-2</v>
      </c>
      <c r="X247">
        <v>0.99917149999999999</v>
      </c>
      <c r="Y247">
        <v>-3.4406730000000003E-2</v>
      </c>
      <c r="Z247">
        <v>6.8959139999999995E-4</v>
      </c>
      <c r="AA247">
        <v>0.99940759999999995</v>
      </c>
      <c r="AB247">
        <v>20</v>
      </c>
      <c r="AC247">
        <v>37.820999999999898</v>
      </c>
      <c r="AD247">
        <v>-1.159267</v>
      </c>
      <c r="AE247">
        <v>1.1043999999999901</v>
      </c>
      <c r="AF247">
        <v>-1.3083864894339401</v>
      </c>
      <c r="AG247">
        <v>-1.159267</v>
      </c>
      <c r="AH247">
        <v>37.778986818860098</v>
      </c>
      <c r="AI247">
        <v>91.756545535319901</v>
      </c>
      <c r="AJ247">
        <v>91.983512003542103</v>
      </c>
      <c r="AK247">
        <v>37.8194079837671</v>
      </c>
      <c r="AL247">
        <v>87.669577097779595</v>
      </c>
      <c r="AM247">
        <v>89.901648500916195</v>
      </c>
      <c r="AN247">
        <v>1.0000000270007201</v>
      </c>
    </row>
    <row r="248" spans="1:40" x14ac:dyDescent="0.25">
      <c r="A248" t="str">
        <f>"20190312150641430"</f>
        <v>20190312150641430</v>
      </c>
      <c r="B248" t="str">
        <f>"1552374401420783"</f>
        <v>1552374401420783</v>
      </c>
      <c r="C248" t="s">
        <v>40</v>
      </c>
      <c r="D248">
        <v>4.1868919999999896</v>
      </c>
      <c r="E248">
        <v>0.48607210000000001</v>
      </c>
      <c r="F248" t="s">
        <v>43</v>
      </c>
      <c r="G248">
        <v>-424.89670000000001</v>
      </c>
      <c r="H248">
        <v>-0.05</v>
      </c>
      <c r="I248">
        <v>368.24149999999997</v>
      </c>
      <c r="J248">
        <v>-462.4085</v>
      </c>
      <c r="K248">
        <v>1.10927</v>
      </c>
      <c r="L248">
        <v>367.14550000000003</v>
      </c>
      <c r="M248">
        <v>0.99997689999999995</v>
      </c>
      <c r="N248">
        <v>0</v>
      </c>
      <c r="O248">
        <v>-5.4258350000000004E-3</v>
      </c>
      <c r="P248">
        <v>0.99930070000000004</v>
      </c>
      <c r="Q248">
        <v>3.675229E-2</v>
      </c>
      <c r="R248">
        <v>-6.9136309999999999E-3</v>
      </c>
      <c r="S248">
        <v>3.0060730000000002</v>
      </c>
      <c r="T248">
        <v>-9.2411989999999999E-2</v>
      </c>
      <c r="U248">
        <v>8.7280269999999993E-2</v>
      </c>
      <c r="V248">
        <v>1.4928910000000001E-3</v>
      </c>
      <c r="W248">
        <v>4.0876750000000003E-2</v>
      </c>
      <c r="X248">
        <v>0.99916309999999997</v>
      </c>
      <c r="Y248">
        <v>-3.4426779999999997E-2</v>
      </c>
      <c r="Z248">
        <v>6.9566300000000001E-4</v>
      </c>
      <c r="AA248">
        <v>0.99940700000000005</v>
      </c>
      <c r="AB248">
        <v>20</v>
      </c>
      <c r="AC248">
        <v>37.511800000000001</v>
      </c>
      <c r="AD248">
        <v>-1.15927</v>
      </c>
      <c r="AE248">
        <v>1.0959999999999399</v>
      </c>
      <c r="AF248">
        <v>-1.2982795245719001</v>
      </c>
      <c r="AG248">
        <v>-1.15927</v>
      </c>
      <c r="AH248">
        <v>37.469545687615202</v>
      </c>
      <c r="AI248">
        <v>91.771046297519206</v>
      </c>
      <c r="AJ248">
        <v>91.984443352088803</v>
      </c>
      <c r="AK248">
        <v>37.509949222747601</v>
      </c>
      <c r="AL248">
        <v>87.657282068672004</v>
      </c>
      <c r="AM248">
        <v>89.914392064797994</v>
      </c>
      <c r="AN248">
        <v>1.00000001890785</v>
      </c>
    </row>
    <row r="249" spans="1:40" x14ac:dyDescent="0.25">
      <c r="A249" t="str">
        <f>"20190312150641452"</f>
        <v>20190312150641452</v>
      </c>
      <c r="B249" t="str">
        <f>"1552374401441279"</f>
        <v>1552374401441279</v>
      </c>
      <c r="C249" t="s">
        <v>40</v>
      </c>
      <c r="D249">
        <v>4.0810230000000001</v>
      </c>
      <c r="E249">
        <v>0.48618020000000001</v>
      </c>
      <c r="F249" t="s">
        <v>43</v>
      </c>
      <c r="G249">
        <v>-424.58179999999999</v>
      </c>
      <c r="H249">
        <v>-0.05</v>
      </c>
      <c r="I249">
        <v>368.23880000000003</v>
      </c>
      <c r="J249">
        <v>-462.21030000000002</v>
      </c>
      <c r="K249">
        <v>1.1092740000000001</v>
      </c>
      <c r="L249">
        <v>367.14440000000002</v>
      </c>
      <c r="M249">
        <v>0.99997670000000005</v>
      </c>
      <c r="N249">
        <v>0</v>
      </c>
      <c r="O249">
        <v>-5.4255730000000004E-3</v>
      </c>
      <c r="P249">
        <v>0.99931060000000005</v>
      </c>
      <c r="Q249">
        <v>3.6524849999999998E-2</v>
      </c>
      <c r="R249">
        <v>-6.6736909999999998E-3</v>
      </c>
      <c r="S249">
        <v>3.0061040000000001</v>
      </c>
      <c r="T249">
        <v>-9.2127440000000005E-2</v>
      </c>
      <c r="U249">
        <v>8.6883539999999995E-2</v>
      </c>
      <c r="V249">
        <v>1.253276E-3</v>
      </c>
      <c r="W249">
        <v>4.0695229999999999E-2</v>
      </c>
      <c r="X249">
        <v>0.99917080000000003</v>
      </c>
      <c r="Y249">
        <v>-3.4294610000000003E-2</v>
      </c>
      <c r="Z249">
        <v>6.9148399999999905E-4</v>
      </c>
      <c r="AA249">
        <v>0.99941150000000001</v>
      </c>
      <c r="AB249">
        <v>20</v>
      </c>
      <c r="AC249">
        <v>37.628500000000003</v>
      </c>
      <c r="AD249">
        <v>-1.1592739999999999</v>
      </c>
      <c r="AE249">
        <v>1.0944</v>
      </c>
      <c r="AF249">
        <v>-1.2973115048499499</v>
      </c>
      <c r="AG249">
        <v>-1.1592739999999999</v>
      </c>
      <c r="AH249">
        <v>37.586363122243696</v>
      </c>
      <c r="AI249">
        <v>91.765559641819095</v>
      </c>
      <c r="AJ249">
        <v>91.976806792616699</v>
      </c>
      <c r="AK249">
        <v>37.6266079537453</v>
      </c>
      <c r="AL249">
        <v>87.667690968878603</v>
      </c>
      <c r="AM249">
        <v>89.928133020193698</v>
      </c>
      <c r="AN249">
        <v>0.99999998000906198</v>
      </c>
    </row>
    <row r="250" spans="1:40" x14ac:dyDescent="0.25">
      <c r="A250" t="str">
        <f>"20190312150641463"</f>
        <v>20190312150641463</v>
      </c>
      <c r="B250" t="str">
        <f>"1552374401460800"</f>
        <v>1552374401460800</v>
      </c>
      <c r="C250" t="s">
        <v>40</v>
      </c>
      <c r="D250">
        <v>4.0451230000000002</v>
      </c>
      <c r="E250">
        <v>0.4863152</v>
      </c>
      <c r="F250" t="s">
        <v>43</v>
      </c>
      <c r="G250">
        <v>-424.51060000000001</v>
      </c>
      <c r="H250">
        <v>-0.05</v>
      </c>
      <c r="I250">
        <v>368.23480000000001</v>
      </c>
      <c r="J250">
        <v>-462.10309999999998</v>
      </c>
      <c r="K250">
        <v>1.1092770000000001</v>
      </c>
      <c r="L250">
        <v>367.1438</v>
      </c>
      <c r="M250">
        <v>0.99997659999999999</v>
      </c>
      <c r="N250">
        <v>0</v>
      </c>
      <c r="O250">
        <v>-5.4252659999999998E-3</v>
      </c>
      <c r="P250">
        <v>0.99930220000000003</v>
      </c>
      <c r="Q250">
        <v>3.6749169999999998E-2</v>
      </c>
      <c r="R250">
        <v>-6.6939929999999996E-3</v>
      </c>
      <c r="S250">
        <v>3.0060120000000001</v>
      </c>
      <c r="T250">
        <v>-9.2435359999999994E-2</v>
      </c>
      <c r="U250">
        <v>8.6944579999999994E-2</v>
      </c>
      <c r="V250">
        <v>1.2738560000000001E-3</v>
      </c>
      <c r="W250">
        <v>4.0943920000000002E-2</v>
      </c>
      <c r="X250">
        <v>0.99916059999999995</v>
      </c>
      <c r="Y250">
        <v>-3.4315329999999998E-2</v>
      </c>
      <c r="Z250">
        <v>6.9412369999999996E-4</v>
      </c>
      <c r="AA250">
        <v>0.99941080000000004</v>
      </c>
      <c r="AB250">
        <v>21</v>
      </c>
      <c r="AC250">
        <v>37.592499999999902</v>
      </c>
      <c r="AD250">
        <v>-1.1592769999999999</v>
      </c>
      <c r="AE250">
        <v>1.091</v>
      </c>
      <c r="AF250">
        <v>-1.2937057718660101</v>
      </c>
      <c r="AG250">
        <v>-1.1592769999999999</v>
      </c>
      <c r="AH250">
        <v>37.550348099103999</v>
      </c>
      <c r="AI250">
        <v>91.767260337462204</v>
      </c>
      <c r="AJ250">
        <v>91.973206040573899</v>
      </c>
      <c r="AK250">
        <v>37.590507314357602</v>
      </c>
      <c r="AL250">
        <v>87.653430162251695</v>
      </c>
      <c r="AM250">
        <v>89.926952150672804</v>
      </c>
      <c r="AN250">
        <v>0.99999996594321605</v>
      </c>
    </row>
    <row r="251" spans="1:40" x14ac:dyDescent="0.25">
      <c r="A251" t="str">
        <f>"20190312150641475"</f>
        <v>20190312150641475</v>
      </c>
      <c r="B251" t="str">
        <f>"1552374401470559"</f>
        <v>1552374401470559</v>
      </c>
      <c r="C251" t="s">
        <v>40</v>
      </c>
      <c r="D251">
        <v>4.0517719999999997</v>
      </c>
      <c r="E251">
        <v>0.48635030000000001</v>
      </c>
      <c r="F251" t="s">
        <v>43</v>
      </c>
      <c r="G251">
        <v>-423.62909999999999</v>
      </c>
      <c r="H251">
        <v>-0.05</v>
      </c>
      <c r="I251">
        <v>368.24220000000003</v>
      </c>
      <c r="J251">
        <v>-461.99740000000003</v>
      </c>
      <c r="K251">
        <v>1.109283</v>
      </c>
      <c r="L251">
        <v>367.14319999999998</v>
      </c>
      <c r="M251">
        <v>0.99997630000000004</v>
      </c>
      <c r="N251">
        <v>0</v>
      </c>
      <c r="O251">
        <v>-5.4249600000000004E-3</v>
      </c>
      <c r="P251">
        <v>0.99930140000000001</v>
      </c>
      <c r="Q251">
        <v>3.6766510000000002E-2</v>
      </c>
      <c r="R251">
        <v>-6.7125730000000003E-3</v>
      </c>
      <c r="S251">
        <v>3.0059809999999998</v>
      </c>
      <c r="T251">
        <v>-9.0574500000000002E-2</v>
      </c>
      <c r="U251">
        <v>8.5815429999999998E-2</v>
      </c>
      <c r="V251">
        <v>1.29276E-3</v>
      </c>
      <c r="W251">
        <v>4.098537E-2</v>
      </c>
      <c r="X251">
        <v>0.99915889999999996</v>
      </c>
      <c r="Y251">
        <v>-3.394113E-2</v>
      </c>
      <c r="Z251">
        <v>6.7452270000000001E-4</v>
      </c>
      <c r="AA251">
        <v>0.99942359999999997</v>
      </c>
      <c r="AB251">
        <v>21</v>
      </c>
      <c r="AC251">
        <v>38.368299999999998</v>
      </c>
      <c r="AD251">
        <v>-1.1592830000000001</v>
      </c>
      <c r="AE251">
        <v>1.0990000000000399</v>
      </c>
      <c r="AF251">
        <v>-1.3059409453405999</v>
      </c>
      <c r="AG251">
        <v>-1.1592830000000001</v>
      </c>
      <c r="AH251">
        <v>38.3268125890256</v>
      </c>
      <c r="AI251">
        <v>91.731510741600005</v>
      </c>
      <c r="AJ251">
        <v>91.951531100457998</v>
      </c>
      <c r="AK251">
        <v>38.366573759733797</v>
      </c>
      <c r="AL251">
        <v>87.651053312564201</v>
      </c>
      <c r="AM251">
        <v>89.925867996980799</v>
      </c>
      <c r="AN251">
        <v>0.99999998961583203</v>
      </c>
    </row>
    <row r="252" spans="1:40" x14ac:dyDescent="0.25">
      <c r="A252" t="str">
        <f>"20190312150641487"</f>
        <v>20190312150641487</v>
      </c>
      <c r="B252" t="str">
        <f>"1552374401481296"</f>
        <v>1552374401481296</v>
      </c>
      <c r="C252" t="s">
        <v>40</v>
      </c>
      <c r="D252">
        <v>4.066014</v>
      </c>
      <c r="E252">
        <v>0.48634699999999997</v>
      </c>
      <c r="F252" t="s">
        <v>43</v>
      </c>
      <c r="G252">
        <v>-423.44319999999999</v>
      </c>
      <c r="H252">
        <v>-0.05</v>
      </c>
      <c r="I252">
        <v>368.24149999999997</v>
      </c>
      <c r="J252">
        <v>-461.88330000000002</v>
      </c>
      <c r="K252">
        <v>1.109286</v>
      </c>
      <c r="L252">
        <v>367.14260000000002</v>
      </c>
      <c r="M252">
        <v>0.99997630000000004</v>
      </c>
      <c r="N252">
        <v>0</v>
      </c>
      <c r="O252">
        <v>-5.4246579999999997E-3</v>
      </c>
      <c r="P252">
        <v>0.99928969999999995</v>
      </c>
      <c r="Q252">
        <v>3.7063169999999999E-2</v>
      </c>
      <c r="R252">
        <v>-6.8130880000000001E-3</v>
      </c>
      <c r="S252">
        <v>3.0060120000000001</v>
      </c>
      <c r="T252">
        <v>-9.0387339999999997E-2</v>
      </c>
      <c r="U252">
        <v>8.5632319999999998E-2</v>
      </c>
      <c r="V252">
        <v>1.393671E-3</v>
      </c>
      <c r="W252">
        <v>4.130839E-2</v>
      </c>
      <c r="X252">
        <v>0.99914539999999996</v>
      </c>
      <c r="Y252">
        <v>-3.3879810000000003E-2</v>
      </c>
      <c r="Z252">
        <v>6.7219280000000001E-4</v>
      </c>
      <c r="AA252">
        <v>0.99942569999999997</v>
      </c>
      <c r="AB252">
        <v>21</v>
      </c>
      <c r="AC252">
        <v>38.440100000000001</v>
      </c>
      <c r="AD252">
        <v>-1.159286</v>
      </c>
      <c r="AE252">
        <v>1.09889999999995</v>
      </c>
      <c r="AF252">
        <v>-1.30622303521822</v>
      </c>
      <c r="AG252">
        <v>-1.159286</v>
      </c>
      <c r="AH252">
        <v>38.398677348898097</v>
      </c>
      <c r="AI252">
        <v>91.728279896558703</v>
      </c>
      <c r="AJ252">
        <v>91.948301971214093</v>
      </c>
      <c r="AK252">
        <v>38.4383738572837</v>
      </c>
      <c r="AL252">
        <v>87.632529796048402</v>
      </c>
      <c r="AM252">
        <v>89.920080286070103</v>
      </c>
      <c r="AN252">
        <v>0.99999992787220104</v>
      </c>
    </row>
    <row r="253" spans="1:40" x14ac:dyDescent="0.25">
      <c r="A253" t="str">
        <f>"20190312150641498"</f>
        <v>20190312150641498</v>
      </c>
      <c r="B253" t="str">
        <f>"1552374401491055"</f>
        <v>1552374401491055</v>
      </c>
      <c r="C253" t="s">
        <v>40</v>
      </c>
      <c r="D253">
        <v>4.0542790000000002</v>
      </c>
      <c r="E253">
        <v>0.48633280000000001</v>
      </c>
      <c r="F253" t="s">
        <v>43</v>
      </c>
      <c r="G253">
        <v>-423.27890000000002</v>
      </c>
      <c r="H253">
        <v>-0.05</v>
      </c>
      <c r="I253">
        <v>368.23880000000003</v>
      </c>
      <c r="J253">
        <v>-461.76839999999999</v>
      </c>
      <c r="K253">
        <v>1.109289</v>
      </c>
      <c r="L253">
        <v>367.142</v>
      </c>
      <c r="M253">
        <v>0.99997619999999998</v>
      </c>
      <c r="N253">
        <v>0</v>
      </c>
      <c r="O253">
        <v>-5.4245969999999998E-3</v>
      </c>
      <c r="P253">
        <v>0.99929190000000001</v>
      </c>
      <c r="Q253">
        <v>3.7060040000000002E-2</v>
      </c>
      <c r="R253">
        <v>-6.5261399999999997E-3</v>
      </c>
      <c r="S253">
        <v>3.0061040000000001</v>
      </c>
      <c r="T253">
        <v>-9.0273140000000002E-2</v>
      </c>
      <c r="U253">
        <v>8.5357669999999997E-2</v>
      </c>
      <c r="V253">
        <v>1.1067309999999999E-3</v>
      </c>
      <c r="W253">
        <v>4.1332689999999998E-2</v>
      </c>
      <c r="X253">
        <v>0.9991449</v>
      </c>
      <c r="Y253">
        <v>-3.3787730000000002E-2</v>
      </c>
      <c r="Z253">
        <v>6.6994039999999997E-4</v>
      </c>
      <c r="AA253">
        <v>0.99942880000000001</v>
      </c>
      <c r="AB253">
        <v>21</v>
      </c>
      <c r="AC253">
        <v>38.4894999999999</v>
      </c>
      <c r="AD253">
        <v>-1.159289</v>
      </c>
      <c r="AE253">
        <v>1.09680000000003</v>
      </c>
      <c r="AF253">
        <v>-1.30439341140304</v>
      </c>
      <c r="AG253">
        <v>-1.159289</v>
      </c>
      <c r="AH253">
        <v>38.448132420567497</v>
      </c>
      <c r="AI253">
        <v>91.726068000645597</v>
      </c>
      <c r="AJ253">
        <v>91.943074452424</v>
      </c>
      <c r="AK253">
        <v>38.487715959598397</v>
      </c>
      <c r="AL253">
        <v>87.631136663933603</v>
      </c>
      <c r="AM253">
        <v>89.936534741435096</v>
      </c>
      <c r="AN253">
        <v>1.0000000736560699</v>
      </c>
    </row>
    <row r="254" spans="1:40" x14ac:dyDescent="0.25">
      <c r="A254" t="str">
        <f>"20190312150641511"</f>
        <v>20190312150641511</v>
      </c>
      <c r="B254" t="str">
        <f>"1552374401500816"</f>
        <v>1552374401500816</v>
      </c>
      <c r="C254" t="s">
        <v>40</v>
      </c>
      <c r="D254">
        <v>3.974297</v>
      </c>
      <c r="E254">
        <v>0.48633280000000001</v>
      </c>
      <c r="F254" t="s">
        <v>43</v>
      </c>
      <c r="G254">
        <v>-423.0335</v>
      </c>
      <c r="H254">
        <v>-0.05</v>
      </c>
      <c r="I254">
        <v>368.25049999999999</v>
      </c>
      <c r="J254">
        <v>-461.654</v>
      </c>
      <c r="K254">
        <v>1.109291</v>
      </c>
      <c r="L254">
        <v>367.14139999999998</v>
      </c>
      <c r="M254">
        <v>0.99997619999999998</v>
      </c>
      <c r="N254">
        <v>0</v>
      </c>
      <c r="O254">
        <v>-5.4244180000000003E-3</v>
      </c>
      <c r="P254">
        <v>0.99929109999999999</v>
      </c>
      <c r="Q254">
        <v>3.7107599999999998E-2</v>
      </c>
      <c r="R254">
        <v>-6.4057589999999996E-3</v>
      </c>
      <c r="S254">
        <v>3.0060120000000001</v>
      </c>
      <c r="T254">
        <v>-8.9966180000000007E-2</v>
      </c>
      <c r="U254">
        <v>8.6029049999999996E-2</v>
      </c>
      <c r="V254">
        <v>9.8649760000000001E-4</v>
      </c>
      <c r="W254">
        <v>4.1407489999999998E-2</v>
      </c>
      <c r="X254">
        <v>0.99914190000000003</v>
      </c>
      <c r="Y254">
        <v>-3.4011470000000002E-2</v>
      </c>
      <c r="Z254">
        <v>6.7102289999999897E-4</v>
      </c>
      <c r="AA254">
        <v>0.99942120000000001</v>
      </c>
      <c r="AB254">
        <v>21</v>
      </c>
      <c r="AC254">
        <v>38.6204999999999</v>
      </c>
      <c r="AD254">
        <v>-1.1592910000000001</v>
      </c>
      <c r="AE254">
        <v>1.10910000000001</v>
      </c>
      <c r="AF254">
        <v>-1.31739326178798</v>
      </c>
      <c r="AG254">
        <v>-1.1592910000000001</v>
      </c>
      <c r="AH254">
        <v>38.579182370522403</v>
      </c>
      <c r="AI254">
        <v>91.720198241319494</v>
      </c>
      <c r="AJ254">
        <v>91.9557634708584</v>
      </c>
      <c r="AK254">
        <v>38.619072917496503</v>
      </c>
      <c r="AL254">
        <v>87.6268471994008</v>
      </c>
      <c r="AM254">
        <v>89.943429326091703</v>
      </c>
      <c r="AN254">
        <v>1.0000000448706099</v>
      </c>
    </row>
    <row r="255" spans="1:40" x14ac:dyDescent="0.25">
      <c r="A255" t="str">
        <f>"20190312150641530"</f>
        <v>20190312150641530</v>
      </c>
      <c r="B255" t="str">
        <f>"1552374401521311"</f>
        <v>1552374401521311</v>
      </c>
      <c r="C255" t="s">
        <v>40</v>
      </c>
      <c r="D255">
        <v>3.9476589999999998</v>
      </c>
      <c r="E255">
        <v>0.48689769999999999</v>
      </c>
      <c r="F255" t="s">
        <v>43</v>
      </c>
      <c r="G255">
        <v>-422.8639</v>
      </c>
      <c r="H255">
        <v>-0.05</v>
      </c>
      <c r="I255">
        <v>368.25670000000002</v>
      </c>
      <c r="J255">
        <v>-461.47649999999999</v>
      </c>
      <c r="K255">
        <v>1.1092900000000001</v>
      </c>
      <c r="L255">
        <v>367.1404</v>
      </c>
      <c r="M255">
        <v>0.99997590000000003</v>
      </c>
      <c r="N255">
        <v>0</v>
      </c>
      <c r="O255">
        <v>-5.424033E-3</v>
      </c>
      <c r="P255">
        <v>0.99928649999999997</v>
      </c>
      <c r="Q255">
        <v>3.7153220000000001E-2</v>
      </c>
      <c r="R255">
        <v>-6.8168630000000003E-3</v>
      </c>
      <c r="S255">
        <v>3.0060120000000001</v>
      </c>
      <c r="T255">
        <v>-8.9838500000000002E-2</v>
      </c>
      <c r="U255">
        <v>8.6425779999999994E-2</v>
      </c>
      <c r="V255">
        <v>1.398002E-3</v>
      </c>
      <c r="W255">
        <v>4.1495619999999997E-2</v>
      </c>
      <c r="X255">
        <v>0.99913770000000002</v>
      </c>
      <c r="Y255">
        <v>-3.414288E-2</v>
      </c>
      <c r="Z255">
        <v>6.7202119999999895E-4</v>
      </c>
      <c r="AA255">
        <v>0.99941670000000005</v>
      </c>
      <c r="AB255">
        <v>21</v>
      </c>
      <c r="AC255">
        <v>38.612599999999901</v>
      </c>
      <c r="AD255">
        <v>-1.1592899999999999</v>
      </c>
      <c r="AE255">
        <v>1.1163000000000201</v>
      </c>
      <c r="AF255">
        <v>-1.32452860542734</v>
      </c>
      <c r="AG255">
        <v>-1.1592899999999999</v>
      </c>
      <c r="AH255">
        <v>38.571237325422899</v>
      </c>
      <c r="AI255">
        <v>91.720539584171206</v>
      </c>
      <c r="AJ255">
        <v>91.9667528173769</v>
      </c>
      <c r="AK255">
        <v>38.6113801636874</v>
      </c>
      <c r="AL255">
        <v>87.621793253620297</v>
      </c>
      <c r="AM255">
        <v>89.919831308458896</v>
      </c>
      <c r="AN255">
        <v>0.999999992225033</v>
      </c>
    </row>
    <row r="256" spans="1:40" x14ac:dyDescent="0.25">
      <c r="A256" t="str">
        <f>"20190312150641552"</f>
        <v>20190312150641552</v>
      </c>
      <c r="B256" t="str">
        <f>"1552374401540831"</f>
        <v>1552374401540831</v>
      </c>
      <c r="C256" t="s">
        <v>40</v>
      </c>
      <c r="D256">
        <v>3.9901909999999998</v>
      </c>
      <c r="E256">
        <v>0.50867609999999996</v>
      </c>
      <c r="F256" t="s">
        <v>43</v>
      </c>
      <c r="G256">
        <v>-419.41370000000001</v>
      </c>
      <c r="H256">
        <v>-0.05</v>
      </c>
      <c r="I256">
        <v>368.27600000000001</v>
      </c>
      <c r="J256">
        <v>-461.27100000000002</v>
      </c>
      <c r="K256">
        <v>1.1092959999999901</v>
      </c>
      <c r="L256">
        <v>367.13929999999999</v>
      </c>
      <c r="M256">
        <v>0.99997570000000002</v>
      </c>
      <c r="N256">
        <v>0</v>
      </c>
      <c r="O256">
        <v>-5.4236639999999999E-3</v>
      </c>
      <c r="P256">
        <v>0.99928989999999995</v>
      </c>
      <c r="Q256">
        <v>3.6954910000000001E-2</v>
      </c>
      <c r="R256">
        <v>-7.36208E-3</v>
      </c>
      <c r="S256">
        <v>3.0057680000000002</v>
      </c>
      <c r="T256">
        <v>-8.2841629999999999E-2</v>
      </c>
      <c r="U256">
        <v>8.1146239999999994E-2</v>
      </c>
      <c r="V256">
        <v>1.943647E-3</v>
      </c>
      <c r="W256">
        <v>4.1346029999999999E-2</v>
      </c>
      <c r="X256">
        <v>0.999143</v>
      </c>
      <c r="Y256">
        <v>-3.2393999999999999E-2</v>
      </c>
      <c r="Z256">
        <v>5.9566679999999996E-4</v>
      </c>
      <c r="AA256">
        <v>0.999475</v>
      </c>
      <c r="AB256">
        <v>21</v>
      </c>
      <c r="AC256">
        <v>41.857299999999903</v>
      </c>
      <c r="AD256">
        <v>-1.1592960000000001</v>
      </c>
      <c r="AE256">
        <v>1.13670000000001</v>
      </c>
      <c r="AF256">
        <v>-1.36266087650769</v>
      </c>
      <c r="AG256">
        <v>-1.1592960000000001</v>
      </c>
      <c r="AH256">
        <v>41.818464324751403</v>
      </c>
      <c r="AI256">
        <v>91.587111167381593</v>
      </c>
      <c r="AJ256">
        <v>91.866331127847204</v>
      </c>
      <c r="AK256">
        <v>41.856717147436299</v>
      </c>
      <c r="AL256">
        <v>87.630371517319901</v>
      </c>
      <c r="AM256">
        <v>89.888541850877303</v>
      </c>
      <c r="AN256">
        <v>1.0000000032047101</v>
      </c>
    </row>
    <row r="257" spans="1:40" x14ac:dyDescent="0.25">
      <c r="A257" t="str">
        <f>"20190312150641566"</f>
        <v>20190312150641566</v>
      </c>
      <c r="B257" t="str">
        <f>"1552374401561328"</f>
        <v>1552374401561328</v>
      </c>
      <c r="C257" t="s">
        <v>40</v>
      </c>
      <c r="D257">
        <v>3.9815170000000002</v>
      </c>
      <c r="E257">
        <v>0.50963320000000001</v>
      </c>
      <c r="F257" t="s">
        <v>46</v>
      </c>
      <c r="G257">
        <v>-249.65530000000001</v>
      </c>
      <c r="H257">
        <v>8.8769270000000002</v>
      </c>
      <c r="I257">
        <v>360.69940000000003</v>
      </c>
      <c r="J257">
        <v>-461.14600000000002</v>
      </c>
      <c r="K257">
        <v>1.109302</v>
      </c>
      <c r="L257">
        <v>367.1386</v>
      </c>
      <c r="M257">
        <v>0.99997559999999996</v>
      </c>
      <c r="N257">
        <v>0</v>
      </c>
      <c r="O257">
        <v>-5.4233739999999999E-3</v>
      </c>
      <c r="P257">
        <v>0.9992934</v>
      </c>
      <c r="Q257">
        <v>3.6842359999999998E-2</v>
      </c>
      <c r="R257">
        <v>-7.4786649999999998E-3</v>
      </c>
      <c r="S257">
        <v>2.9974059999999998</v>
      </c>
      <c r="T257">
        <v>0.11002489999999999</v>
      </c>
      <c r="U257">
        <v>-9.1217039999999999E-2</v>
      </c>
      <c r="V257">
        <v>2.060311E-3</v>
      </c>
      <c r="W257">
        <v>4.1264090000000003E-2</v>
      </c>
      <c r="X257">
        <v>0.99914619999999998</v>
      </c>
      <c r="Y257">
        <v>2.4983390000000001E-2</v>
      </c>
      <c r="Z257">
        <v>2.5931050000000002E-4</v>
      </c>
      <c r="AA257">
        <v>0.99968789999999996</v>
      </c>
      <c r="AB257">
        <v>21</v>
      </c>
      <c r="AC257">
        <v>211.4907</v>
      </c>
      <c r="AD257">
        <v>7.7676249999999998</v>
      </c>
      <c r="AE257">
        <v>-6.4391999999999703</v>
      </c>
      <c r="AF257">
        <v>5.2849784796779504</v>
      </c>
      <c r="AG257">
        <v>7.7676249999999998</v>
      </c>
      <c r="AH257">
        <v>211.23782804042401</v>
      </c>
      <c r="AI257">
        <v>87.894730021360601</v>
      </c>
      <c r="AJ257">
        <v>88.566810655740497</v>
      </c>
      <c r="AK257">
        <v>211.44665282502601</v>
      </c>
      <c r="AL257">
        <v>87.635070453065893</v>
      </c>
      <c r="AM257">
        <v>89.881852167913706</v>
      </c>
      <c r="AN257">
        <v>1.0000000494896899</v>
      </c>
    </row>
    <row r="258" spans="1:40" x14ac:dyDescent="0.25">
      <c r="A258" t="str">
        <f>"20190312150641579"</f>
        <v>20190312150641579</v>
      </c>
      <c r="B258" t="str">
        <f>"1552374401571087"</f>
        <v>1552374401571087</v>
      </c>
      <c r="C258" t="s">
        <v>40</v>
      </c>
      <c r="D258">
        <v>3.9203290000000002</v>
      </c>
      <c r="E258">
        <v>0.50980649999999905</v>
      </c>
      <c r="F258" t="s">
        <v>47</v>
      </c>
      <c r="G258">
        <v>-168.84350000000001</v>
      </c>
      <c r="H258">
        <v>12.19685</v>
      </c>
      <c r="I258">
        <v>357.45690000000002</v>
      </c>
      <c r="J258">
        <v>-461.0027</v>
      </c>
      <c r="K258">
        <v>1.109307</v>
      </c>
      <c r="L258">
        <v>367.13780000000003</v>
      </c>
      <c r="M258">
        <v>0.99997550000000002</v>
      </c>
      <c r="N258">
        <v>0</v>
      </c>
      <c r="O258">
        <v>-5.4230959999999996E-3</v>
      </c>
      <c r="P258">
        <v>0.99929369999999995</v>
      </c>
      <c r="Q258">
        <v>3.6775040000000002E-2</v>
      </c>
      <c r="R258">
        <v>-7.75778199999999E-3</v>
      </c>
      <c r="S258">
        <v>2.9971920000000001</v>
      </c>
      <c r="T258">
        <v>0.1136897</v>
      </c>
      <c r="U258">
        <v>-9.9273680000000003E-2</v>
      </c>
      <c r="V258">
        <v>2.3397629999999999E-3</v>
      </c>
      <c r="W258">
        <v>4.1232640000000001E-2</v>
      </c>
      <c r="X258">
        <v>0.9991468</v>
      </c>
      <c r="Y258">
        <v>2.7667440000000001E-2</v>
      </c>
      <c r="Z258">
        <v>3.1883349999999998E-4</v>
      </c>
      <c r="AA258">
        <v>0.99961719999999998</v>
      </c>
      <c r="AB258">
        <v>21</v>
      </c>
      <c r="AC258">
        <v>292.1592</v>
      </c>
      <c r="AD258">
        <v>11.087543</v>
      </c>
      <c r="AE258">
        <v>-9.6808999999999994</v>
      </c>
      <c r="AF258">
        <v>8.0847036780075303</v>
      </c>
      <c r="AG258">
        <v>11.087543</v>
      </c>
      <c r="AH258">
        <v>291.78762460982398</v>
      </c>
      <c r="AI258">
        <v>87.824717305042697</v>
      </c>
      <c r="AJ258">
        <v>88.412883631000099</v>
      </c>
      <c r="AK258">
        <v>292.11010581419703</v>
      </c>
      <c r="AL258">
        <v>87.636873743970796</v>
      </c>
      <c r="AM258">
        <v>89.865827223877801</v>
      </c>
      <c r="AN258">
        <v>0.999999966521252</v>
      </c>
    </row>
    <row r="259" spans="1:40" x14ac:dyDescent="0.25">
      <c r="A259" t="str">
        <f>"20190312150641598"</f>
        <v>20190312150641598</v>
      </c>
      <c r="B259" t="str">
        <f>"1552374401590608"</f>
        <v>1552374401590608</v>
      </c>
      <c r="C259" t="s">
        <v>40</v>
      </c>
      <c r="D259">
        <v>3.9711609999999999</v>
      </c>
      <c r="E259">
        <v>0.50960179999999999</v>
      </c>
      <c r="F259" t="s">
        <v>47</v>
      </c>
      <c r="G259">
        <v>-168.84350000000001</v>
      </c>
      <c r="H259">
        <v>12.24085</v>
      </c>
      <c r="I259">
        <v>357.24650000000003</v>
      </c>
      <c r="J259">
        <v>-460.82740000000001</v>
      </c>
      <c r="K259">
        <v>1.1093150000000001</v>
      </c>
      <c r="L259">
        <v>367.13690000000003</v>
      </c>
      <c r="M259">
        <v>0.99997510000000001</v>
      </c>
      <c r="N259">
        <v>0</v>
      </c>
      <c r="O259">
        <v>-5.422601E-3</v>
      </c>
      <c r="P259">
        <v>0.99927120000000003</v>
      </c>
      <c r="Q259">
        <v>3.7113790000000001E-2</v>
      </c>
      <c r="R259">
        <v>-8.9320300000000005E-3</v>
      </c>
      <c r="S259">
        <v>2.997131</v>
      </c>
      <c r="T259">
        <v>0.1141944</v>
      </c>
      <c r="U259">
        <v>-0.1014709</v>
      </c>
      <c r="V259">
        <v>3.5147160000000002E-3</v>
      </c>
      <c r="W259">
        <v>4.1615689999999997E-2</v>
      </c>
      <c r="X259">
        <v>0.99912749999999995</v>
      </c>
      <c r="Y259">
        <v>2.8399939999999999E-2</v>
      </c>
      <c r="Z259">
        <v>3.3421500000000001E-4</v>
      </c>
      <c r="AA259">
        <v>0.99959659999999995</v>
      </c>
      <c r="AB259">
        <v>21</v>
      </c>
      <c r="AC259">
        <v>291.98390000000001</v>
      </c>
      <c r="AD259">
        <v>11.131535</v>
      </c>
      <c r="AE259">
        <v>-9.8903999999999996</v>
      </c>
      <c r="AF259">
        <v>8.2948840844251599</v>
      </c>
      <c r="AG259">
        <v>11.131535</v>
      </c>
      <c r="AH259">
        <v>291.60989223703001</v>
      </c>
      <c r="AI259">
        <v>87.814810191059607</v>
      </c>
      <c r="AJ259">
        <v>88.370652909261494</v>
      </c>
      <c r="AK259">
        <v>291.940140138218</v>
      </c>
      <c r="AL259">
        <v>87.614907796454702</v>
      </c>
      <c r="AM259">
        <v>89.798446582323095</v>
      </c>
      <c r="AN259">
        <v>0.99999999006949303</v>
      </c>
    </row>
    <row r="260" spans="1:40" x14ac:dyDescent="0.25">
      <c r="A260" t="str">
        <f>"20190312150641619"</f>
        <v>20190312150641619</v>
      </c>
      <c r="B260" t="str">
        <f>"1552374401611106"</f>
        <v>1552374401611106</v>
      </c>
      <c r="C260" t="s">
        <v>40</v>
      </c>
      <c r="D260">
        <v>3.9636779999999998</v>
      </c>
      <c r="E260">
        <v>0.50953369999999998</v>
      </c>
      <c r="F260" t="s">
        <v>47</v>
      </c>
      <c r="G260">
        <v>-168.84350000000001</v>
      </c>
      <c r="H260">
        <v>12.27732</v>
      </c>
      <c r="I260">
        <v>357.08159999999998</v>
      </c>
      <c r="J260">
        <v>-460.61649999999997</v>
      </c>
      <c r="K260">
        <v>1.109316</v>
      </c>
      <c r="L260">
        <v>367.13569999999999</v>
      </c>
      <c r="M260">
        <v>0.99997499999999995</v>
      </c>
      <c r="N260">
        <v>0</v>
      </c>
      <c r="O260">
        <v>-5.4220040000000002E-3</v>
      </c>
      <c r="P260">
        <v>0.99925609999999998</v>
      </c>
      <c r="Q260">
        <v>3.7333159999999997E-2</v>
      </c>
      <c r="R260">
        <v>-9.6850870000000002E-3</v>
      </c>
      <c r="S260">
        <v>2.9970089999999998</v>
      </c>
      <c r="T260">
        <v>0.1146326</v>
      </c>
      <c r="U260">
        <v>-0.10321039999999999</v>
      </c>
      <c r="V260">
        <v>4.2684259999999996E-3</v>
      </c>
      <c r="W260">
        <v>4.1887729999999998E-2</v>
      </c>
      <c r="X260">
        <v>0.99911320000000003</v>
      </c>
      <c r="Y260">
        <v>2.8980860000000001E-2</v>
      </c>
      <c r="Z260">
        <v>3.466322E-4</v>
      </c>
      <c r="AA260">
        <v>0.99957989999999997</v>
      </c>
      <c r="AB260">
        <v>21</v>
      </c>
      <c r="AC260">
        <v>291.77300000000002</v>
      </c>
      <c r="AD260">
        <v>11.168004</v>
      </c>
      <c r="AE260">
        <v>-10.0541</v>
      </c>
      <c r="AF260">
        <v>8.4595623166225593</v>
      </c>
      <c r="AG260">
        <v>11.168004</v>
      </c>
      <c r="AH260">
        <v>291.39681211497799</v>
      </c>
      <c r="AI260">
        <v>87.806093393719607</v>
      </c>
      <c r="AJ260">
        <v>88.337109062924398</v>
      </c>
      <c r="AK260">
        <v>291.73342389706499</v>
      </c>
      <c r="AL260">
        <v>87.599307458358098</v>
      </c>
      <c r="AM260">
        <v>89.755221623460599</v>
      </c>
      <c r="AN260">
        <v>0.99999999389965499</v>
      </c>
    </row>
    <row r="261" spans="1:40" x14ac:dyDescent="0.25">
      <c r="A261" t="str">
        <f>"20190312150641632"</f>
        <v>20190312150641632</v>
      </c>
      <c r="B261" t="str">
        <f>"1552374401620863"</f>
        <v>1552374401620863</v>
      </c>
      <c r="C261" t="s">
        <v>40</v>
      </c>
      <c r="D261">
        <v>3.9507189999999999</v>
      </c>
      <c r="E261">
        <v>0.50937270000000001</v>
      </c>
      <c r="F261" t="s">
        <v>47</v>
      </c>
      <c r="G261">
        <v>-168.84350000000001</v>
      </c>
      <c r="H261">
        <v>12.37101</v>
      </c>
      <c r="I261">
        <v>356.91500000000002</v>
      </c>
      <c r="J261">
        <v>-460.5009</v>
      </c>
      <c r="K261">
        <v>1.109321</v>
      </c>
      <c r="L261">
        <v>367.13510000000002</v>
      </c>
      <c r="M261">
        <v>0.9999749</v>
      </c>
      <c r="N261">
        <v>0</v>
      </c>
      <c r="O261">
        <v>-5.4217110000000001E-3</v>
      </c>
      <c r="P261">
        <v>0.99925430000000004</v>
      </c>
      <c r="Q261">
        <v>3.7336889999999998E-2</v>
      </c>
      <c r="R261">
        <v>-9.8500849999999997E-3</v>
      </c>
      <c r="S261">
        <v>2.9968870000000001</v>
      </c>
      <c r="T261">
        <v>0.1156731</v>
      </c>
      <c r="U261">
        <v>-0.1049805</v>
      </c>
      <c r="V261">
        <v>4.4337020000000003E-3</v>
      </c>
      <c r="W261">
        <v>4.1919640000000001E-2</v>
      </c>
      <c r="X261">
        <v>0.99911119999999998</v>
      </c>
      <c r="Y261">
        <v>2.9571449999999999E-2</v>
      </c>
      <c r="Z261">
        <v>3.6118810000000001E-4</v>
      </c>
      <c r="AA261">
        <v>0.99956259999999997</v>
      </c>
      <c r="AB261">
        <v>22</v>
      </c>
      <c r="AC261">
        <v>291.6574</v>
      </c>
      <c r="AD261">
        <v>11.261689000000001</v>
      </c>
      <c r="AE261">
        <v>-10.2201</v>
      </c>
      <c r="AF261">
        <v>8.6258063891727801</v>
      </c>
      <c r="AG261">
        <v>11.261689000000001</v>
      </c>
      <c r="AH261">
        <v>291.274782731926</v>
      </c>
      <c r="AI261">
        <v>87.786819428629599</v>
      </c>
      <c r="AJ261">
        <v>88.303739525043895</v>
      </c>
      <c r="AK261">
        <v>291.62000828222898</v>
      </c>
      <c r="AL261">
        <v>87.597477682269997</v>
      </c>
      <c r="AM261">
        <v>89.745743271910001</v>
      </c>
      <c r="AN261">
        <v>1.0000000519482899</v>
      </c>
    </row>
    <row r="262" spans="1:40" x14ac:dyDescent="0.25">
      <c r="A262" t="str">
        <f>"20190312150641644"</f>
        <v>20190312150641644</v>
      </c>
      <c r="B262" t="str">
        <f>"1552374401641360"</f>
        <v>1552374401641360</v>
      </c>
      <c r="C262" t="s">
        <v>40</v>
      </c>
      <c r="D262">
        <v>3.924013</v>
      </c>
      <c r="E262">
        <v>0.50900199999999995</v>
      </c>
      <c r="F262" t="s">
        <v>47</v>
      </c>
      <c r="G262">
        <v>-168.84350000000001</v>
      </c>
      <c r="H262">
        <v>12.326930000000001</v>
      </c>
      <c r="I262">
        <v>356.96910000000003</v>
      </c>
      <c r="J262">
        <v>-460.38339999999999</v>
      </c>
      <c r="K262">
        <v>1.109324</v>
      </c>
      <c r="L262">
        <v>367.13440000000003</v>
      </c>
      <c r="M262">
        <v>0.99997469999999999</v>
      </c>
      <c r="N262">
        <v>0</v>
      </c>
      <c r="O262">
        <v>-5.4214179999999999E-3</v>
      </c>
      <c r="P262">
        <v>0.99924919999999995</v>
      </c>
      <c r="Q262">
        <v>3.731951E-2</v>
      </c>
      <c r="R262">
        <v>-1.040492E-2</v>
      </c>
      <c r="S262">
        <v>2.9969480000000002</v>
      </c>
      <c r="T262">
        <v>0.1152682</v>
      </c>
      <c r="U262">
        <v>-0.1044617</v>
      </c>
      <c r="V262">
        <v>4.9890730000000001E-3</v>
      </c>
      <c r="W262">
        <v>4.1930599999999998E-2</v>
      </c>
      <c r="X262">
        <v>0.99910810000000005</v>
      </c>
      <c r="Y262">
        <v>2.9398460000000001E-2</v>
      </c>
      <c r="Z262">
        <v>3.5660550000000003E-4</v>
      </c>
      <c r="AA262">
        <v>0.99956769999999995</v>
      </c>
      <c r="AB262">
        <v>22</v>
      </c>
      <c r="AC262">
        <v>291.53989999999999</v>
      </c>
      <c r="AD262">
        <v>11.217606</v>
      </c>
      <c r="AE262">
        <v>-10.1653</v>
      </c>
      <c r="AF262">
        <v>8.5718990175144807</v>
      </c>
      <c r="AG262">
        <v>11.217606</v>
      </c>
      <c r="AH262">
        <v>291.16019114390798</v>
      </c>
      <c r="AI262">
        <v>87.794596133397405</v>
      </c>
      <c r="AJ262">
        <v>88.313671204619496</v>
      </c>
      <c r="AK262">
        <v>291.50226250253098</v>
      </c>
      <c r="AL262">
        <v>87.5968491170307</v>
      </c>
      <c r="AM262">
        <v>89.713894371714801</v>
      </c>
      <c r="AN262">
        <v>1.00000003077568</v>
      </c>
    </row>
    <row r="263" spans="1:40" x14ac:dyDescent="0.25">
      <c r="A263" t="str">
        <f>"20190312150641663"</f>
        <v>20190312150641663</v>
      </c>
      <c r="B263" t="str">
        <f>"1552374401660879"</f>
        <v>1552374401660879</v>
      </c>
      <c r="C263" t="s">
        <v>40</v>
      </c>
      <c r="D263">
        <v>3.9703249999999999</v>
      </c>
      <c r="E263">
        <v>0.50863519999999995</v>
      </c>
      <c r="F263" t="s">
        <v>46</v>
      </c>
      <c r="G263">
        <v>-249.66370000000001</v>
      </c>
      <c r="H263">
        <v>9.0796379999999992</v>
      </c>
      <c r="I263">
        <v>359.90949999999998</v>
      </c>
      <c r="J263">
        <v>-460.19400000000002</v>
      </c>
      <c r="K263">
        <v>1.109329</v>
      </c>
      <c r="L263">
        <v>367.13339999999999</v>
      </c>
      <c r="M263">
        <v>0.99997449999999999</v>
      </c>
      <c r="N263">
        <v>0</v>
      </c>
      <c r="O263">
        <v>-5.4210409999999997E-3</v>
      </c>
      <c r="P263">
        <v>0.99923390000000001</v>
      </c>
      <c r="Q263">
        <v>3.7646489999999998E-2</v>
      </c>
      <c r="R263">
        <v>-1.068679E-2</v>
      </c>
      <c r="S263">
        <v>2.9968870000000001</v>
      </c>
      <c r="T263">
        <v>0.1133562</v>
      </c>
      <c r="U263">
        <v>-0.1027527</v>
      </c>
      <c r="V263">
        <v>5.2714619999999898E-3</v>
      </c>
      <c r="W263">
        <v>4.2300299999999999E-2</v>
      </c>
      <c r="X263">
        <v>0.99909099999999995</v>
      </c>
      <c r="Y263">
        <v>2.8831200000000001E-2</v>
      </c>
      <c r="Z263">
        <v>3.3999799999999999E-4</v>
      </c>
      <c r="AA263">
        <v>0.99958429999999998</v>
      </c>
      <c r="AB263">
        <v>22</v>
      </c>
      <c r="AC263">
        <v>210.53030000000001</v>
      </c>
      <c r="AD263">
        <v>7.9703090000000003</v>
      </c>
      <c r="AE263">
        <v>-7.2239000000000102</v>
      </c>
      <c r="AF263">
        <v>6.0737931195594301</v>
      </c>
      <c r="AG263">
        <v>7.9703090000000003</v>
      </c>
      <c r="AH263">
        <v>210.265360054685</v>
      </c>
      <c r="AI263">
        <v>87.830092408064104</v>
      </c>
      <c r="AJ263">
        <v>88.345395711913298</v>
      </c>
      <c r="AK263">
        <v>210.50401047804499</v>
      </c>
      <c r="AL263">
        <v>87.575647897661895</v>
      </c>
      <c r="AM263">
        <v>89.697695483435098</v>
      </c>
      <c r="AN263">
        <v>0.99999996498635302</v>
      </c>
    </row>
    <row r="264" spans="1:40" x14ac:dyDescent="0.25">
      <c r="A264" t="str">
        <f>"20190312150641675"</f>
        <v>20190312150641675</v>
      </c>
      <c r="B264" t="str">
        <f>"1552374401670640"</f>
        <v>1552374401670640</v>
      </c>
      <c r="C264" t="s">
        <v>40</v>
      </c>
      <c r="D264">
        <v>3.9549910000000001</v>
      </c>
      <c r="E264">
        <v>0.50481869999999995</v>
      </c>
      <c r="F264" t="s">
        <v>46</v>
      </c>
      <c r="G264">
        <v>-249.62389999999999</v>
      </c>
      <c r="H264">
        <v>8.8967639999999992</v>
      </c>
      <c r="I264">
        <v>360.0598</v>
      </c>
      <c r="J264">
        <v>-460.07600000000002</v>
      </c>
      <c r="K264">
        <v>1.109332</v>
      </c>
      <c r="L264">
        <v>367.13279999999997</v>
      </c>
      <c r="M264">
        <v>0.99997440000000004</v>
      </c>
      <c r="N264">
        <v>0</v>
      </c>
      <c r="O264">
        <v>-5.4209810000000001E-3</v>
      </c>
      <c r="P264">
        <v>0.99923640000000002</v>
      </c>
      <c r="Q264">
        <v>3.750506E-2</v>
      </c>
      <c r="R264">
        <v>-1.095993E-2</v>
      </c>
      <c r="S264">
        <v>2.9970400000000001</v>
      </c>
      <c r="T264">
        <v>0.1108396</v>
      </c>
      <c r="U264">
        <v>-0.1006775</v>
      </c>
      <c r="V264">
        <v>5.5443920000000004E-3</v>
      </c>
      <c r="W264">
        <v>4.2184050000000001E-2</v>
      </c>
      <c r="X264">
        <v>0.9990945</v>
      </c>
      <c r="Y264">
        <v>2.813939E-2</v>
      </c>
      <c r="Z264">
        <v>3.196594E-4</v>
      </c>
      <c r="AA264">
        <v>0.99960400000000005</v>
      </c>
      <c r="AB264">
        <v>22</v>
      </c>
      <c r="AC264">
        <v>210.4521</v>
      </c>
      <c r="AD264">
        <v>7.7874319999999901</v>
      </c>
      <c r="AE264">
        <v>-7.0729999999999702</v>
      </c>
      <c r="AF264">
        <v>5.92392462342257</v>
      </c>
      <c r="AG264">
        <v>7.7874319999999901</v>
      </c>
      <c r="AH264">
        <v>210.19985971086501</v>
      </c>
      <c r="AI264">
        <v>87.879131903991805</v>
      </c>
      <c r="AJ264">
        <v>88.385697960924702</v>
      </c>
      <c r="AK264">
        <v>210.42746494354299</v>
      </c>
      <c r="AL264">
        <v>87.582314633221202</v>
      </c>
      <c r="AM264">
        <v>89.682045091197907</v>
      </c>
      <c r="AN264">
        <v>1.00000002714365</v>
      </c>
    </row>
    <row r="265" spans="1:40" x14ac:dyDescent="0.25">
      <c r="A265" t="str">
        <f>"20190312150641688"</f>
        <v>20190312150641688</v>
      </c>
      <c r="B265" t="str">
        <f>"1552374401681375"</f>
        <v>1552374401681375</v>
      </c>
      <c r="C265" t="s">
        <v>40</v>
      </c>
      <c r="D265">
        <v>3.9849570000000001</v>
      </c>
      <c r="E265">
        <v>0.50481869999999995</v>
      </c>
      <c r="F265" t="s">
        <v>47</v>
      </c>
      <c r="G265">
        <v>-158.19499999999999</v>
      </c>
      <c r="H265">
        <v>5.4027289999999999</v>
      </c>
      <c r="I265">
        <v>359.86989999999997</v>
      </c>
      <c r="J265">
        <v>-459.95139999999998</v>
      </c>
      <c r="K265">
        <v>1.109335</v>
      </c>
      <c r="L265">
        <v>367.13209999999998</v>
      </c>
      <c r="M265">
        <v>0.99997429999999998</v>
      </c>
      <c r="N265">
        <v>0</v>
      </c>
      <c r="O265">
        <v>-5.4204479999999996E-3</v>
      </c>
      <c r="P265">
        <v>0.99923910000000005</v>
      </c>
      <c r="Q265">
        <v>3.7439750000000001E-2</v>
      </c>
      <c r="R265">
        <v>-1.0927640000000001E-2</v>
      </c>
      <c r="S265">
        <v>2.9999389999999999</v>
      </c>
      <c r="T265">
        <v>4.266644E-2</v>
      </c>
      <c r="U265">
        <v>-7.2174070000000007E-2</v>
      </c>
      <c r="V265">
        <v>5.5126790000000004E-3</v>
      </c>
      <c r="W265">
        <v>4.2145950000000001E-2</v>
      </c>
      <c r="X265">
        <v>0.99909630000000005</v>
      </c>
      <c r="Y265">
        <v>1.863093E-2</v>
      </c>
      <c r="Z265" s="1">
        <v>5.538647E-5</v>
      </c>
      <c r="AA265">
        <v>0.9998264</v>
      </c>
      <c r="AB265">
        <v>22</v>
      </c>
      <c r="AC265">
        <v>301.75639999999999</v>
      </c>
      <c r="AD265">
        <v>4.2933940000000002</v>
      </c>
      <c r="AE265">
        <v>-7.2622</v>
      </c>
      <c r="AF265">
        <v>5.6252823259574898</v>
      </c>
      <c r="AG265">
        <v>4.2933940000000002</v>
      </c>
      <c r="AH265">
        <v>301.730285867438</v>
      </c>
      <c r="AI265">
        <v>89.184920983042701</v>
      </c>
      <c r="AJ265">
        <v>88.931934854352306</v>
      </c>
      <c r="AK265">
        <v>301.813257566549</v>
      </c>
      <c r="AL265">
        <v>87.584499585510798</v>
      </c>
      <c r="AM265">
        <v>89.683864272919493</v>
      </c>
      <c r="AN265">
        <v>1.0000000437024199</v>
      </c>
    </row>
    <row r="266" spans="1:40" x14ac:dyDescent="0.25">
      <c r="A266" t="str">
        <f>"20190312150641700"</f>
        <v>20190312150641700</v>
      </c>
      <c r="B266" t="str">
        <f>"1552374401691135"</f>
        <v>1552374401691135</v>
      </c>
      <c r="C266" t="s">
        <v>40</v>
      </c>
      <c r="D266">
        <v>3.9458319999999998</v>
      </c>
      <c r="E266">
        <v>0.51807910000000001</v>
      </c>
      <c r="F266" t="s">
        <v>47</v>
      </c>
      <c r="G266">
        <v>-158.19499999999999</v>
      </c>
      <c r="H266">
        <v>5.3805579999999997</v>
      </c>
      <c r="I266">
        <v>359.8569</v>
      </c>
      <c r="J266">
        <v>-459.82600000000002</v>
      </c>
      <c r="K266">
        <v>1.1093390000000001</v>
      </c>
      <c r="L266">
        <v>367.13139999999999</v>
      </c>
      <c r="M266">
        <v>0.99997409999999998</v>
      </c>
      <c r="N266">
        <v>0</v>
      </c>
      <c r="O266">
        <v>-5.4196770000000003E-3</v>
      </c>
      <c r="P266">
        <v>0.99923430000000002</v>
      </c>
      <c r="Q266">
        <v>3.7446140000000003E-2</v>
      </c>
      <c r="R266">
        <v>-1.1344770000000001E-2</v>
      </c>
      <c r="S266">
        <v>2.999908</v>
      </c>
      <c r="T266">
        <v>4.2463180000000003E-2</v>
      </c>
      <c r="U266">
        <v>-7.2326660000000001E-2</v>
      </c>
      <c r="V266">
        <v>5.9305130000000001E-3</v>
      </c>
      <c r="W266">
        <v>4.2179290000000001E-2</v>
      </c>
      <c r="X266">
        <v>0.99909250000000005</v>
      </c>
      <c r="Y266">
        <v>1.8682770000000001E-2</v>
      </c>
      <c r="Z266" s="1">
        <v>5.5500949999999999E-5</v>
      </c>
      <c r="AA266">
        <v>0.99982550000000003</v>
      </c>
      <c r="AB266">
        <v>22</v>
      </c>
      <c r="AC266">
        <v>301.63099999999997</v>
      </c>
      <c r="AD266">
        <v>4.2712190000000003</v>
      </c>
      <c r="AE266">
        <v>-7.2744999999999802</v>
      </c>
      <c r="AF266">
        <v>5.6385022763080599</v>
      </c>
      <c r="AG266">
        <v>4.2712190000000003</v>
      </c>
      <c r="AH266">
        <v>301.60555390248402</v>
      </c>
      <c r="AI266">
        <v>89.188795712247597</v>
      </c>
      <c r="AJ266">
        <v>88.9289827391909</v>
      </c>
      <c r="AK266">
        <v>301.68849193247399</v>
      </c>
      <c r="AL266">
        <v>87.582587643698702</v>
      </c>
      <c r="AM266">
        <v>89.659901986583506</v>
      </c>
      <c r="AN266">
        <v>1.00000004352279</v>
      </c>
    </row>
    <row r="267" spans="1:40" x14ac:dyDescent="0.25">
      <c r="A267" t="str">
        <f>"20190312150641763"</f>
        <v>20190312150641763</v>
      </c>
      <c r="B267" t="str">
        <f>"1552374401760431"</f>
        <v>1552374401760431</v>
      </c>
      <c r="C267" t="s">
        <v>40</v>
      </c>
      <c r="D267">
        <v>3.933983</v>
      </c>
      <c r="E267">
        <v>0.52340750000000003</v>
      </c>
      <c r="F267" t="s">
        <v>48</v>
      </c>
      <c r="G267">
        <v>0</v>
      </c>
      <c r="H267">
        <v>0</v>
      </c>
      <c r="I267">
        <v>0</v>
      </c>
      <c r="J267">
        <v>-459.19970000000001</v>
      </c>
      <c r="K267">
        <v>1.109359</v>
      </c>
      <c r="L267">
        <v>367.12799999999999</v>
      </c>
      <c r="M267">
        <v>0.99997349999999996</v>
      </c>
      <c r="N267">
        <v>0</v>
      </c>
      <c r="O267">
        <v>-5.399353E-3</v>
      </c>
      <c r="P267">
        <v>0.99922940000000005</v>
      </c>
      <c r="Q267">
        <v>3.743908E-2</v>
      </c>
      <c r="R267">
        <v>-1.1790749999999999E-2</v>
      </c>
      <c r="S267">
        <v>2.994049</v>
      </c>
      <c r="T267">
        <v>0.1682351</v>
      </c>
      <c r="U267">
        <v>-0.1778564</v>
      </c>
      <c r="V267">
        <v>6.3960379999999997E-3</v>
      </c>
      <c r="W267">
        <v>4.2314119999999997E-2</v>
      </c>
      <c r="X267">
        <v>0.99908390000000002</v>
      </c>
      <c r="Y267">
        <v>5.3831879999999999E-2</v>
      </c>
      <c r="Z267">
        <v>1.207009E-3</v>
      </c>
      <c r="AA267">
        <v>0.99854929999999997</v>
      </c>
      <c r="AB267">
        <v>22</v>
      </c>
      <c r="AC267">
        <v>2.994049</v>
      </c>
      <c r="AD267">
        <v>0.1682351</v>
      </c>
      <c r="AE267">
        <v>-0.1778564</v>
      </c>
      <c r="AF267">
        <v>0.16118058170146399</v>
      </c>
      <c r="AG267">
        <v>0.1682351</v>
      </c>
      <c r="AH267">
        <v>2.9855724845030398</v>
      </c>
      <c r="AI267">
        <v>86.779509975741206</v>
      </c>
      <c r="AJ267">
        <v>86.909801762205305</v>
      </c>
      <c r="AK267">
        <v>2.9946494434259399</v>
      </c>
      <c r="AL267">
        <v>87.574855485720093</v>
      </c>
      <c r="AM267">
        <v>89.633203000598201</v>
      </c>
      <c r="AN267">
        <v>1.0000000166463401</v>
      </c>
    </row>
    <row r="268" spans="1:40" x14ac:dyDescent="0.25">
      <c r="A268" t="str">
        <f>"20190312150641777"</f>
        <v>20190312150641777</v>
      </c>
      <c r="B268" t="str">
        <f>"1552374401771168"</f>
        <v>1552374401771168</v>
      </c>
      <c r="C268" t="s">
        <v>40</v>
      </c>
      <c r="D268">
        <v>4.0049149999999996</v>
      </c>
      <c r="E268">
        <v>0.52052390000000004</v>
      </c>
      <c r="F268" t="s">
        <v>48</v>
      </c>
      <c r="G268">
        <v>0</v>
      </c>
      <c r="H268">
        <v>0</v>
      </c>
      <c r="I268">
        <v>0</v>
      </c>
      <c r="J268">
        <v>-459.07490000000001</v>
      </c>
      <c r="K268">
        <v>1.1093630000000001</v>
      </c>
      <c r="L268">
        <v>367.12729999999999</v>
      </c>
      <c r="M268">
        <v>0.99997340000000001</v>
      </c>
      <c r="N268">
        <v>0</v>
      </c>
      <c r="O268">
        <v>-5.3886689999999996E-3</v>
      </c>
      <c r="P268">
        <v>0.9992337</v>
      </c>
      <c r="Q268">
        <v>3.7293369999999999E-2</v>
      </c>
      <c r="R268">
        <v>-1.1887160000000001E-2</v>
      </c>
      <c r="S268">
        <v>2.9906619999999999</v>
      </c>
      <c r="T268">
        <v>0.2417994</v>
      </c>
      <c r="U268">
        <v>-0.22094730000000001</v>
      </c>
      <c r="V268">
        <v>6.5028339999999999E-3</v>
      </c>
      <c r="W268">
        <v>4.2195490000000002E-2</v>
      </c>
      <c r="X268">
        <v>0.99908819999999998</v>
      </c>
      <c r="Y268">
        <v>6.8099599999999996E-2</v>
      </c>
      <c r="Z268">
        <v>2.3104039999999998E-3</v>
      </c>
      <c r="AA268">
        <v>0.9976758</v>
      </c>
      <c r="AB268">
        <v>22</v>
      </c>
      <c r="AC268">
        <v>2.9906619999999999</v>
      </c>
      <c r="AD268">
        <v>0.2417994</v>
      </c>
      <c r="AE268">
        <v>-0.22094730000000001</v>
      </c>
      <c r="AF268">
        <v>0.20350512652709399</v>
      </c>
      <c r="AG268">
        <v>0.2417994</v>
      </c>
      <c r="AH268">
        <v>2.9724836803071799</v>
      </c>
      <c r="AI268">
        <v>85.3602755437513</v>
      </c>
      <c r="AJ268">
        <v>86.083471034299805</v>
      </c>
      <c r="AK268">
        <v>2.9892374472523402</v>
      </c>
      <c r="AL268">
        <v>87.581658492610103</v>
      </c>
      <c r="AM268">
        <v>89.627080290005296</v>
      </c>
      <c r="AN268">
        <v>0.99999998880280505</v>
      </c>
    </row>
    <row r="269" spans="1:40" x14ac:dyDescent="0.25">
      <c r="A269" t="str">
        <f>"20190312150641800"</f>
        <v>20190312150641800</v>
      </c>
      <c r="B269" t="str">
        <f>"1552374401790687"</f>
        <v>1552374401790687</v>
      </c>
      <c r="C269" t="s">
        <v>40</v>
      </c>
      <c r="D269">
        <v>3.92666</v>
      </c>
      <c r="E269">
        <v>0.52083789999999996</v>
      </c>
      <c r="F269" t="s">
        <v>48</v>
      </c>
      <c r="G269">
        <v>0</v>
      </c>
      <c r="H269">
        <v>0</v>
      </c>
      <c r="I269">
        <v>0</v>
      </c>
      <c r="J269">
        <v>-458.83690000000001</v>
      </c>
      <c r="K269">
        <v>1.1093740000000001</v>
      </c>
      <c r="L269">
        <v>367.12610000000001</v>
      </c>
      <c r="M269">
        <v>0.99997340000000001</v>
      </c>
      <c r="N269">
        <v>0</v>
      </c>
      <c r="O269">
        <v>-5.3613330000000002E-3</v>
      </c>
      <c r="P269">
        <v>0.99921939999999998</v>
      </c>
      <c r="Q269">
        <v>3.7642450000000001E-2</v>
      </c>
      <c r="R269">
        <v>-1.1982400000000001E-2</v>
      </c>
      <c r="S269">
        <v>2.9906619999999999</v>
      </c>
      <c r="T269">
        <v>0.2485349</v>
      </c>
      <c r="U269">
        <v>-0.19790650000000001</v>
      </c>
      <c r="V269">
        <v>6.624853E-3</v>
      </c>
      <c r="W269">
        <v>4.2596620000000002E-2</v>
      </c>
      <c r="X269">
        <v>0.99907040000000003</v>
      </c>
      <c r="Y269">
        <v>6.049057E-2</v>
      </c>
      <c r="Z269">
        <v>2.0621620000000002E-3</v>
      </c>
      <c r="AA269">
        <v>0.99816660000000001</v>
      </c>
      <c r="AB269">
        <v>22</v>
      </c>
      <c r="AC269">
        <v>2.9906619999999999</v>
      </c>
      <c r="AD269">
        <v>0.2485349</v>
      </c>
      <c r="AE269">
        <v>-0.19790650000000001</v>
      </c>
      <c r="AF269">
        <v>0.18062751114171</v>
      </c>
      <c r="AG269">
        <v>0.2485349</v>
      </c>
      <c r="AH269">
        <v>2.9712494527017301</v>
      </c>
      <c r="AI269">
        <v>85.227304110742494</v>
      </c>
      <c r="AJ269">
        <v>86.521169477890894</v>
      </c>
      <c r="AK269">
        <v>2.98709209842609</v>
      </c>
      <c r="AL269">
        <v>87.558654810836899</v>
      </c>
      <c r="AM269">
        <v>89.620076269328393</v>
      </c>
      <c r="AN269">
        <v>1.0000000124344199</v>
      </c>
    </row>
    <row r="270" spans="1:40" x14ac:dyDescent="0.25">
      <c r="A270" t="str">
        <f>"20190312150641814"</f>
        <v>20190312150641814</v>
      </c>
      <c r="B270" t="str">
        <f>"1552374401811182"</f>
        <v>1552374401811182</v>
      </c>
      <c r="C270" t="s">
        <v>40</v>
      </c>
      <c r="D270">
        <v>3.9347110000000001</v>
      </c>
      <c r="E270">
        <v>0.52113449999999994</v>
      </c>
      <c r="F270" t="s">
        <v>48</v>
      </c>
      <c r="G270">
        <v>0</v>
      </c>
      <c r="H270">
        <v>0</v>
      </c>
      <c r="I270">
        <v>0</v>
      </c>
      <c r="J270">
        <v>-458.69979999999998</v>
      </c>
      <c r="K270">
        <v>1.109381</v>
      </c>
      <c r="L270">
        <v>367.12529999999998</v>
      </c>
      <c r="M270">
        <v>0.99997329999999995</v>
      </c>
      <c r="N270">
        <v>0</v>
      </c>
      <c r="O270">
        <v>-5.33885E-3</v>
      </c>
      <c r="P270">
        <v>0.99920900000000001</v>
      </c>
      <c r="Q270">
        <v>3.7895239999999997E-2</v>
      </c>
      <c r="R270">
        <v>-1.204803E-2</v>
      </c>
      <c r="S270">
        <v>2.9904480000000002</v>
      </c>
      <c r="T270">
        <v>0.25280140000000001</v>
      </c>
      <c r="U270">
        <v>-0.20047000000000001</v>
      </c>
      <c r="V270">
        <v>6.7123119999999998E-3</v>
      </c>
      <c r="W270">
        <v>4.2880080000000001E-2</v>
      </c>
      <c r="X270">
        <v>0.99905770000000005</v>
      </c>
      <c r="Y270">
        <v>6.1359829999999997E-2</v>
      </c>
      <c r="Z270">
        <v>2.1360580000000001E-3</v>
      </c>
      <c r="AA270">
        <v>0.99811349999999999</v>
      </c>
      <c r="AB270">
        <v>23</v>
      </c>
      <c r="AC270">
        <v>2.9904480000000002</v>
      </c>
      <c r="AD270">
        <v>0.25280140000000001</v>
      </c>
      <c r="AE270">
        <v>-0.20047000000000001</v>
      </c>
      <c r="AF270">
        <v>0.183198044134085</v>
      </c>
      <c r="AG270">
        <v>0.25280140000000001</v>
      </c>
      <c r="AH270">
        <v>2.9703434200963699</v>
      </c>
      <c r="AI270">
        <v>85.144548347596498</v>
      </c>
      <c r="AJ270">
        <v>86.470712507624</v>
      </c>
      <c r="AK270">
        <v>2.9867055604003401</v>
      </c>
      <c r="AL270">
        <v>87.542398920202402</v>
      </c>
      <c r="AM270">
        <v>89.615055905423503</v>
      </c>
      <c r="AN270">
        <v>1.00000002216124</v>
      </c>
    </row>
    <row r="271" spans="1:40" x14ac:dyDescent="0.25">
      <c r="A271" t="str">
        <f>"20190312150641831"</f>
        <v>20190312150641831</v>
      </c>
      <c r="B271" t="str">
        <f>"1552374401820947"</f>
        <v>1552374401820947</v>
      </c>
      <c r="C271" t="s">
        <v>40</v>
      </c>
      <c r="D271">
        <v>3.9451239999999999</v>
      </c>
      <c r="E271">
        <v>0.5206636</v>
      </c>
      <c r="F271" t="s">
        <v>48</v>
      </c>
      <c r="G271">
        <v>0</v>
      </c>
      <c r="H271">
        <v>0</v>
      </c>
      <c r="I271">
        <v>0</v>
      </c>
      <c r="J271">
        <v>-458.51350000000002</v>
      </c>
      <c r="K271">
        <v>1.10938799999999</v>
      </c>
      <c r="L271">
        <v>367.12439999999998</v>
      </c>
      <c r="M271">
        <v>0.99997329999999995</v>
      </c>
      <c r="N271">
        <v>0</v>
      </c>
      <c r="O271">
        <v>-5.3023209999999996E-3</v>
      </c>
      <c r="P271">
        <v>0.99919990000000003</v>
      </c>
      <c r="Q271">
        <v>3.8044799999999997E-2</v>
      </c>
      <c r="R271">
        <v>-1.2330280000000001E-2</v>
      </c>
      <c r="S271">
        <v>2.9905089999999999</v>
      </c>
      <c r="T271">
        <v>0.2489209</v>
      </c>
      <c r="U271">
        <v>-0.20324710000000001</v>
      </c>
      <c r="V271">
        <v>7.0304460000000001E-3</v>
      </c>
      <c r="W271">
        <v>4.3073970000000003E-2</v>
      </c>
      <c r="X271">
        <v>0.99904720000000002</v>
      </c>
      <c r="Y271">
        <v>6.2320210000000001E-2</v>
      </c>
      <c r="Z271">
        <v>2.1461620000000001E-3</v>
      </c>
      <c r="AA271">
        <v>0.99805390000000005</v>
      </c>
      <c r="AB271">
        <v>23</v>
      </c>
      <c r="AC271">
        <v>2.9905089999999999</v>
      </c>
      <c r="AD271">
        <v>0.2489209</v>
      </c>
      <c r="AE271">
        <v>-0.20324710000000001</v>
      </c>
      <c r="AF271">
        <v>0.18610393104131501</v>
      </c>
      <c r="AG271">
        <v>0.2489209</v>
      </c>
      <c r="AH271">
        <v>2.9710546671190299</v>
      </c>
      <c r="AI271">
        <v>85.220154379847401</v>
      </c>
      <c r="AJ271">
        <v>86.415731844013706</v>
      </c>
      <c r="AK271">
        <v>2.9872666641288701</v>
      </c>
      <c r="AL271">
        <v>87.531279639240296</v>
      </c>
      <c r="AM271">
        <v>89.596807603523999</v>
      </c>
      <c r="AN271">
        <v>1.0000000509451701</v>
      </c>
    </row>
    <row r="272" spans="1:40" x14ac:dyDescent="0.25">
      <c r="A272" t="str">
        <f>"20190312150641843"</f>
        <v>20190312150641843</v>
      </c>
      <c r="B272" t="str">
        <f>"1552374401841439"</f>
        <v>1552374401841439</v>
      </c>
      <c r="C272" t="s">
        <v>40</v>
      </c>
      <c r="D272">
        <v>3.88564</v>
      </c>
      <c r="E272">
        <v>0.52004010000000001</v>
      </c>
      <c r="F272" t="s">
        <v>48</v>
      </c>
      <c r="G272">
        <v>0</v>
      </c>
      <c r="H272">
        <v>0</v>
      </c>
      <c r="I272">
        <v>0</v>
      </c>
      <c r="J272">
        <v>-458.3861</v>
      </c>
      <c r="K272">
        <v>1.109399</v>
      </c>
      <c r="L272">
        <v>367.12369999999999</v>
      </c>
      <c r="M272">
        <v>0.99997340000000001</v>
      </c>
      <c r="N272">
        <v>0</v>
      </c>
      <c r="O272">
        <v>-5.2738769999999997E-3</v>
      </c>
      <c r="P272">
        <v>0.99920390000000003</v>
      </c>
      <c r="Q272">
        <v>3.7961139999999997E-2</v>
      </c>
      <c r="R272">
        <v>-1.2293490000000001E-2</v>
      </c>
      <c r="S272">
        <v>2.9908450000000002</v>
      </c>
      <c r="T272">
        <v>0.2387862</v>
      </c>
      <c r="U272">
        <v>-0.2004089</v>
      </c>
      <c r="V272">
        <v>7.0213519999999998E-3</v>
      </c>
      <c r="W272">
        <v>4.3022530000000003E-2</v>
      </c>
      <c r="X272">
        <v>0.99904939999999998</v>
      </c>
      <c r="Y272">
        <v>6.141663E-2</v>
      </c>
      <c r="Z272">
        <v>2.025191E-3</v>
      </c>
      <c r="AA272">
        <v>0.99811019999999995</v>
      </c>
      <c r="AB272">
        <v>23</v>
      </c>
      <c r="AC272">
        <v>2.9908450000000002</v>
      </c>
      <c r="AD272">
        <v>0.2387862</v>
      </c>
      <c r="AE272">
        <v>-0.2004089</v>
      </c>
      <c r="AF272">
        <v>0.18346831439849901</v>
      </c>
      <c r="AG272">
        <v>0.2387862</v>
      </c>
      <c r="AH272">
        <v>2.9729943820001901</v>
      </c>
      <c r="AI272">
        <v>85.416633242024901</v>
      </c>
      <c r="AJ272">
        <v>86.468662624108504</v>
      </c>
      <c r="AK272">
        <v>2.9882059947572799</v>
      </c>
      <c r="AL272">
        <v>87.534229470338204</v>
      </c>
      <c r="AM272">
        <v>89.597330009167393</v>
      </c>
      <c r="AN272">
        <v>0.99999997055593304</v>
      </c>
    </row>
    <row r="273" spans="1:40" x14ac:dyDescent="0.25">
      <c r="A273" t="str">
        <f>"20190312150641857"</f>
        <v>20190312150641857</v>
      </c>
      <c r="B273" t="str">
        <f>"1552374401851199"</f>
        <v>1552374401851199</v>
      </c>
      <c r="C273" t="s">
        <v>40</v>
      </c>
      <c r="D273">
        <v>4.2146980000000003</v>
      </c>
      <c r="E273">
        <v>0.51932319999999998</v>
      </c>
      <c r="F273" t="s">
        <v>48</v>
      </c>
      <c r="G273">
        <v>0</v>
      </c>
      <c r="H273">
        <v>0</v>
      </c>
      <c r="I273">
        <v>0</v>
      </c>
      <c r="J273">
        <v>-458.25850000000003</v>
      </c>
      <c r="K273">
        <v>1.109407</v>
      </c>
      <c r="L273">
        <v>367.12310000000002</v>
      </c>
      <c r="M273">
        <v>0.99997340000000001</v>
      </c>
      <c r="N273">
        <v>0</v>
      </c>
      <c r="O273">
        <v>-5.2390029999999999E-3</v>
      </c>
      <c r="P273">
        <v>0.99920359999999997</v>
      </c>
      <c r="Q273">
        <v>3.7996200000000001E-2</v>
      </c>
      <c r="R273">
        <v>-1.219333E-2</v>
      </c>
      <c r="S273">
        <v>2.991425</v>
      </c>
      <c r="T273">
        <v>0.2248261</v>
      </c>
      <c r="U273">
        <v>-0.19552610000000001</v>
      </c>
      <c r="V273">
        <v>6.9556230000000002E-3</v>
      </c>
      <c r="W273">
        <v>4.3090650000000001E-2</v>
      </c>
      <c r="X273">
        <v>0.99904700000000002</v>
      </c>
      <c r="Y273">
        <v>5.9840900000000002E-2</v>
      </c>
      <c r="Z273">
        <v>1.850415E-3</v>
      </c>
      <c r="AA273">
        <v>0.99820620000000004</v>
      </c>
      <c r="AB273">
        <v>23</v>
      </c>
      <c r="AC273">
        <v>2.991425</v>
      </c>
      <c r="AD273">
        <v>0.2248261</v>
      </c>
      <c r="AE273">
        <v>-0.19552610000000001</v>
      </c>
      <c r="AF273">
        <v>0.17884521107884699</v>
      </c>
      <c r="AG273">
        <v>0.2248261</v>
      </c>
      <c r="AH273">
        <v>2.9756715846112001</v>
      </c>
      <c r="AI273">
        <v>85.686994851377506</v>
      </c>
      <c r="AJ273">
        <v>86.560519655453604</v>
      </c>
      <c r="AK273">
        <v>2.9895072778351901</v>
      </c>
      <c r="AL273">
        <v>87.5303230465627</v>
      </c>
      <c r="AM273">
        <v>89.601098444130699</v>
      </c>
      <c r="AN273">
        <v>1.0000000465088601</v>
      </c>
    </row>
    <row r="274" spans="1:40" x14ac:dyDescent="0.25">
      <c r="A274" t="str">
        <f>"20190312150641868"</f>
        <v>20190312150641868</v>
      </c>
      <c r="B274" t="str">
        <f>"1552374401860960"</f>
        <v>1552374401860960</v>
      </c>
      <c r="C274" t="s">
        <v>40</v>
      </c>
      <c r="D274">
        <v>3.8812449999999998</v>
      </c>
      <c r="E274">
        <v>0.51909450000000001</v>
      </c>
      <c r="F274" t="s">
        <v>48</v>
      </c>
      <c r="G274">
        <v>0</v>
      </c>
      <c r="H274">
        <v>0</v>
      </c>
      <c r="I274">
        <v>0</v>
      </c>
      <c r="J274">
        <v>-458.137</v>
      </c>
      <c r="K274">
        <v>1.109421</v>
      </c>
      <c r="L274">
        <v>367.1225</v>
      </c>
      <c r="M274">
        <v>0.99997349999999996</v>
      </c>
      <c r="N274">
        <v>0</v>
      </c>
      <c r="O274">
        <v>-5.2036519999999996E-3</v>
      </c>
      <c r="P274">
        <v>0.99919500000000006</v>
      </c>
      <c r="Q274">
        <v>3.8166640000000002E-2</v>
      </c>
      <c r="R274">
        <v>-1.2383379999999999E-2</v>
      </c>
      <c r="S274">
        <v>2.9918520000000002</v>
      </c>
      <c r="T274">
        <v>0.2164249</v>
      </c>
      <c r="U274">
        <v>-0.1896362</v>
      </c>
      <c r="V274">
        <v>7.180545E-3</v>
      </c>
      <c r="W274">
        <v>4.3292169999999998E-2</v>
      </c>
      <c r="X274">
        <v>0.9990367</v>
      </c>
      <c r="Y274">
        <v>5.7925940000000002E-2</v>
      </c>
      <c r="Z274">
        <v>1.7147600000000001E-3</v>
      </c>
      <c r="AA274">
        <v>0.99831939999999997</v>
      </c>
      <c r="AB274">
        <v>23</v>
      </c>
      <c r="AC274">
        <v>2.9918520000000002</v>
      </c>
      <c r="AD274">
        <v>0.2164249</v>
      </c>
      <c r="AE274">
        <v>-0.1896362</v>
      </c>
      <c r="AF274">
        <v>0.17316237555413999</v>
      </c>
      <c r="AG274">
        <v>0.2164249</v>
      </c>
      <c r="AH274">
        <v>2.9772811264087702</v>
      </c>
      <c r="AI274">
        <v>85.849350535793505</v>
      </c>
      <c r="AJ274">
        <v>86.671356080511401</v>
      </c>
      <c r="AK274">
        <v>2.99015515505759</v>
      </c>
      <c r="AL274">
        <v>87.518766025616301</v>
      </c>
      <c r="AM274">
        <v>89.5881954698974</v>
      </c>
      <c r="AN274">
        <v>1.0000000500783399</v>
      </c>
    </row>
    <row r="275" spans="1:40" x14ac:dyDescent="0.25">
      <c r="A275" t="str">
        <f>"20190312150641887"</f>
        <v>20190312150641887</v>
      </c>
      <c r="B275" t="str">
        <f>"1552374401880479"</f>
        <v>1552374401880479</v>
      </c>
      <c r="C275" t="s">
        <v>40</v>
      </c>
      <c r="D275">
        <v>3.9637319999999998</v>
      </c>
      <c r="E275">
        <v>0.51811799999999997</v>
      </c>
      <c r="F275" t="s">
        <v>48</v>
      </c>
      <c r="G275">
        <v>0</v>
      </c>
      <c r="H275">
        <v>0</v>
      </c>
      <c r="I275">
        <v>0</v>
      </c>
      <c r="J275">
        <v>-457.93799999999999</v>
      </c>
      <c r="K275">
        <v>1.109434</v>
      </c>
      <c r="L275">
        <v>367.12150000000003</v>
      </c>
      <c r="M275">
        <v>0.99997349999999996</v>
      </c>
      <c r="N275">
        <v>0</v>
      </c>
      <c r="O275">
        <v>-5.1387719999999998E-3</v>
      </c>
      <c r="P275">
        <v>0.99921139999999997</v>
      </c>
      <c r="Q275">
        <v>3.7689260000000002E-2</v>
      </c>
      <c r="R275">
        <v>-1.252285E-2</v>
      </c>
      <c r="S275">
        <v>2.9918819999999999</v>
      </c>
      <c r="T275">
        <v>0.2156034</v>
      </c>
      <c r="U275">
        <v>-0.188385</v>
      </c>
      <c r="V275">
        <v>7.3841019999999896E-3</v>
      </c>
      <c r="W275">
        <v>4.2867219999999998E-2</v>
      </c>
      <c r="X275">
        <v>0.99905350000000004</v>
      </c>
      <c r="Y275">
        <v>5.7575990000000001E-2</v>
      </c>
      <c r="Z275">
        <v>1.700355E-3</v>
      </c>
      <c r="AA275">
        <v>0.99833970000000005</v>
      </c>
      <c r="AB275">
        <v>23</v>
      </c>
      <c r="AC275">
        <v>2.9918819999999999</v>
      </c>
      <c r="AD275">
        <v>0.2156034</v>
      </c>
      <c r="AE275">
        <v>-0.188385</v>
      </c>
      <c r="AF275">
        <v>0.17211742441103001</v>
      </c>
      <c r="AG275">
        <v>0.2156034</v>
      </c>
      <c r="AH275">
        <v>2.97740980404099</v>
      </c>
      <c r="AI275">
        <v>85.865144626444106</v>
      </c>
      <c r="AJ275">
        <v>86.691540749868594</v>
      </c>
      <c r="AK275">
        <v>2.99016360339645</v>
      </c>
      <c r="AL275">
        <v>87.543136391376905</v>
      </c>
      <c r="AM275">
        <v>89.576529008371693</v>
      </c>
      <c r="AN275">
        <v>1.0000000096875601</v>
      </c>
    </row>
    <row r="276" spans="1:40" x14ac:dyDescent="0.25">
      <c r="A276" t="str">
        <f>"20190312150641899"</f>
        <v>20190312150641899</v>
      </c>
      <c r="B276" t="str">
        <f>"1552374401891215"</f>
        <v>1552374401891215</v>
      </c>
      <c r="C276" t="s">
        <v>40</v>
      </c>
      <c r="D276">
        <v>3.9543140000000001</v>
      </c>
      <c r="E276">
        <v>0.5178159</v>
      </c>
      <c r="F276" t="s">
        <v>48</v>
      </c>
      <c r="G276">
        <v>0</v>
      </c>
      <c r="H276">
        <v>0</v>
      </c>
      <c r="I276">
        <v>0</v>
      </c>
      <c r="J276">
        <v>-457.81670000000003</v>
      </c>
      <c r="K276">
        <v>1.109442</v>
      </c>
      <c r="L276">
        <v>367.12099999999998</v>
      </c>
      <c r="M276">
        <v>0.99997349999999996</v>
      </c>
      <c r="N276">
        <v>0</v>
      </c>
      <c r="O276">
        <v>-5.0953170000000002E-3</v>
      </c>
      <c r="P276">
        <v>0.99921939999999998</v>
      </c>
      <c r="Q276">
        <v>3.7541999999999999E-2</v>
      </c>
      <c r="R276">
        <v>-1.2315080000000001E-2</v>
      </c>
      <c r="S276">
        <v>2.9924620000000002</v>
      </c>
      <c r="T276">
        <v>0.2028103</v>
      </c>
      <c r="U276">
        <v>-0.1812744</v>
      </c>
      <c r="V276">
        <v>7.2192619999999997E-3</v>
      </c>
      <c r="W276">
        <v>4.2750980000000001E-2</v>
      </c>
      <c r="X276">
        <v>0.99905969999999999</v>
      </c>
      <c r="Y276">
        <v>5.5264670000000002E-2</v>
      </c>
      <c r="Z276">
        <v>1.524285E-3</v>
      </c>
      <c r="AA276">
        <v>0.99847059999999999</v>
      </c>
      <c r="AB276">
        <v>23</v>
      </c>
      <c r="AC276">
        <v>2.9924620000000002</v>
      </c>
      <c r="AD276">
        <v>0.2028103</v>
      </c>
      <c r="AE276">
        <v>-0.1812744</v>
      </c>
      <c r="AF276">
        <v>0.165267951974535</v>
      </c>
      <c r="AG276">
        <v>0.2028103</v>
      </c>
      <c r="AH276">
        <v>2.9797102194342999</v>
      </c>
      <c r="AI276">
        <v>86.112195962509801</v>
      </c>
      <c r="AJ276">
        <v>86.8253745085795</v>
      </c>
      <c r="AK276">
        <v>2.9911734328749899</v>
      </c>
      <c r="AL276">
        <v>87.549802599138403</v>
      </c>
      <c r="AM276">
        <v>89.585984656758001</v>
      </c>
      <c r="AN276">
        <v>1.00000002409943</v>
      </c>
    </row>
    <row r="277" spans="1:40" x14ac:dyDescent="0.25">
      <c r="A277" t="str">
        <f>"20190312150641910"</f>
        <v>20190312150641910</v>
      </c>
      <c r="B277" t="str">
        <f>"1552374401900977"</f>
        <v>1552374401900977</v>
      </c>
      <c r="C277" t="s">
        <v>40</v>
      </c>
      <c r="D277">
        <v>3.9441809999999999</v>
      </c>
      <c r="E277">
        <v>0.51742029999999894</v>
      </c>
      <c r="F277" t="s">
        <v>48</v>
      </c>
      <c r="G277">
        <v>0</v>
      </c>
      <c r="H277">
        <v>0</v>
      </c>
      <c r="I277">
        <v>0</v>
      </c>
      <c r="J277">
        <v>-457.69630000000001</v>
      </c>
      <c r="K277">
        <v>1.1094459999999999</v>
      </c>
      <c r="L277">
        <v>367.12040000000002</v>
      </c>
      <c r="M277">
        <v>0.99997360000000002</v>
      </c>
      <c r="N277">
        <v>0</v>
      </c>
      <c r="O277">
        <v>-5.0497190000000003E-3</v>
      </c>
      <c r="P277">
        <v>0.99922929999999999</v>
      </c>
      <c r="Q277">
        <v>3.7292319999999997E-2</v>
      </c>
      <c r="R277">
        <v>-1.2259539999999999E-2</v>
      </c>
      <c r="S277">
        <v>2.9927060000000001</v>
      </c>
      <c r="T277">
        <v>0.19693279999999999</v>
      </c>
      <c r="U277">
        <v>-0.17828369999999999</v>
      </c>
      <c r="V277">
        <v>7.2089110000000001E-3</v>
      </c>
      <c r="W277">
        <v>4.2531359999999997E-2</v>
      </c>
      <c r="X277">
        <v>0.99906910000000004</v>
      </c>
      <c r="Y277">
        <v>5.4319520000000003E-2</v>
      </c>
      <c r="Z277">
        <v>1.4520889999999999E-3</v>
      </c>
      <c r="AA277">
        <v>0.99852249999999998</v>
      </c>
      <c r="AB277">
        <v>23</v>
      </c>
      <c r="AC277">
        <v>2.9927060000000001</v>
      </c>
      <c r="AD277">
        <v>0.19693279999999999</v>
      </c>
      <c r="AE277">
        <v>-0.17828369999999999</v>
      </c>
      <c r="AF277">
        <v>0.16246786566905499</v>
      </c>
      <c r="AG277">
        <v>0.19693279999999999</v>
      </c>
      <c r="AH277">
        <v>2.9807067234587299</v>
      </c>
      <c r="AI277">
        <v>86.225595849059701</v>
      </c>
      <c r="AJ277">
        <v>86.880095338787001</v>
      </c>
      <c r="AK277">
        <v>2.9916201139788701</v>
      </c>
      <c r="AL277">
        <v>87.562397235635103</v>
      </c>
      <c r="AM277">
        <v>89.586582142258706</v>
      </c>
      <c r="AN277">
        <v>0.99999997577803201</v>
      </c>
    </row>
    <row r="278" spans="1:40" x14ac:dyDescent="0.25">
      <c r="A278" t="str">
        <f>"20190312150641922"</f>
        <v>20190312150641922</v>
      </c>
      <c r="B278" t="str">
        <f>"1552374401910736"</f>
        <v>1552374401910736</v>
      </c>
      <c r="C278" t="s">
        <v>40</v>
      </c>
      <c r="D278">
        <v>3.9272290000000001</v>
      </c>
      <c r="E278">
        <v>0.51712709999999995</v>
      </c>
      <c r="F278" t="s">
        <v>48</v>
      </c>
      <c r="G278">
        <v>0</v>
      </c>
      <c r="H278">
        <v>0</v>
      </c>
      <c r="I278">
        <v>0</v>
      </c>
      <c r="J278">
        <v>-457.57089999999999</v>
      </c>
      <c r="K278">
        <v>1.10945</v>
      </c>
      <c r="L278">
        <v>367.1198</v>
      </c>
      <c r="M278">
        <v>0.99997369999999997</v>
      </c>
      <c r="N278">
        <v>0</v>
      </c>
      <c r="O278">
        <v>-5.0006670000000003E-3</v>
      </c>
      <c r="P278">
        <v>0.99923130000000004</v>
      </c>
      <c r="Q278">
        <v>3.728182E-2</v>
      </c>
      <c r="R278">
        <v>-1.2138349999999999E-2</v>
      </c>
      <c r="S278">
        <v>2.9930110000000001</v>
      </c>
      <c r="T278">
        <v>0.19157270000000001</v>
      </c>
      <c r="U278">
        <v>-0.1748352</v>
      </c>
      <c r="V278">
        <v>7.1366390000000002E-3</v>
      </c>
      <c r="W278">
        <v>4.2551369999999998E-2</v>
      </c>
      <c r="X278">
        <v>0.99906879999999998</v>
      </c>
      <c r="Y278">
        <v>5.3223769999999997E-2</v>
      </c>
      <c r="Z278">
        <v>1.380683E-3</v>
      </c>
      <c r="AA278">
        <v>0.99858159999999896</v>
      </c>
      <c r="AB278">
        <v>23</v>
      </c>
      <c r="AC278">
        <v>2.9930110000000001</v>
      </c>
      <c r="AD278">
        <v>0.19157270000000001</v>
      </c>
      <c r="AE278">
        <v>-0.1748352</v>
      </c>
      <c r="AF278">
        <v>0.15921569062732299</v>
      </c>
      <c r="AG278">
        <v>0.19157270000000001</v>
      </c>
      <c r="AH278">
        <v>2.9816739350004</v>
      </c>
      <c r="AI278">
        <v>86.329011864322396</v>
      </c>
      <c r="AJ278">
        <v>86.943417786009704</v>
      </c>
      <c r="AK278">
        <v>2.9920610271496701</v>
      </c>
      <c r="AL278">
        <v>87.561249789081899</v>
      </c>
      <c r="AM278">
        <v>89.590726544651105</v>
      </c>
      <c r="AN278">
        <v>1.00000000891926</v>
      </c>
    </row>
    <row r="279" spans="1:40" x14ac:dyDescent="0.25">
      <c r="A279" t="str">
        <f>"20190312150641935"</f>
        <v>20190312150641935</v>
      </c>
      <c r="B279" t="str">
        <f>"1552374401931232"</f>
        <v>1552374401931232</v>
      </c>
      <c r="C279" t="s">
        <v>40</v>
      </c>
      <c r="D279">
        <v>3.9695269999999998</v>
      </c>
      <c r="E279">
        <v>0.51669500000000002</v>
      </c>
      <c r="F279" t="s">
        <v>48</v>
      </c>
      <c r="G279">
        <v>0</v>
      </c>
      <c r="H279">
        <v>0</v>
      </c>
      <c r="I279">
        <v>0</v>
      </c>
      <c r="J279">
        <v>-457.44589999999999</v>
      </c>
      <c r="K279">
        <v>1.1094539999999999</v>
      </c>
      <c r="L279">
        <v>367.11930000000001</v>
      </c>
      <c r="M279">
        <v>0.99997380000000002</v>
      </c>
      <c r="N279">
        <v>0</v>
      </c>
      <c r="O279">
        <v>-4.9489950000000003E-3</v>
      </c>
      <c r="P279">
        <v>0.99924060000000003</v>
      </c>
      <c r="Q279">
        <v>3.6981109999999998E-2</v>
      </c>
      <c r="R279">
        <v>-1.228797E-2</v>
      </c>
      <c r="S279">
        <v>2.9932859999999999</v>
      </c>
      <c r="T279">
        <v>0.18691160000000001</v>
      </c>
      <c r="U279">
        <v>-0.17233280000000001</v>
      </c>
      <c r="V279">
        <v>7.3376069999999899E-3</v>
      </c>
      <c r="W279">
        <v>4.2282210000000001E-2</v>
      </c>
      <c r="X279">
        <v>0.99907880000000004</v>
      </c>
      <c r="Y279">
        <v>5.2444150000000002E-2</v>
      </c>
      <c r="Z279">
        <v>1.3259879999999999E-3</v>
      </c>
      <c r="AA279">
        <v>0.99862300000000004</v>
      </c>
      <c r="AB279">
        <v>23</v>
      </c>
      <c r="AC279">
        <v>2.9932859999999999</v>
      </c>
      <c r="AD279">
        <v>0.18691160000000001</v>
      </c>
      <c r="AE279">
        <v>-0.17233280000000001</v>
      </c>
      <c r="AF279">
        <v>0.15690693427102301</v>
      </c>
      <c r="AG279">
        <v>0.18691160000000001</v>
      </c>
      <c r="AH279">
        <v>2.9825112254651498</v>
      </c>
      <c r="AI279">
        <v>86.418948172086004</v>
      </c>
      <c r="AJ279">
        <v>86.988502578847402</v>
      </c>
      <c r="AK279">
        <v>2.9924787287903198</v>
      </c>
      <c r="AL279">
        <v>87.576685481556197</v>
      </c>
      <c r="AM279">
        <v>89.579206010522</v>
      </c>
      <c r="AN279">
        <v>1.0000000371841999</v>
      </c>
    </row>
    <row r="280" spans="1:40" x14ac:dyDescent="0.25">
      <c r="A280" t="str">
        <f>"20190312150641946"</f>
        <v>20190312150641946</v>
      </c>
      <c r="B280" t="str">
        <f>"1552374401940992"</f>
        <v>1552374401940992</v>
      </c>
      <c r="C280" t="s">
        <v>40</v>
      </c>
      <c r="D280">
        <v>3.9757129999999998</v>
      </c>
      <c r="E280">
        <v>0.51645989999999997</v>
      </c>
      <c r="F280" t="s">
        <v>48</v>
      </c>
      <c r="G280">
        <v>0</v>
      </c>
      <c r="H280">
        <v>0</v>
      </c>
      <c r="I280">
        <v>0</v>
      </c>
      <c r="J280">
        <v>-457.32350000000002</v>
      </c>
      <c r="K280">
        <v>1.1094569999999999</v>
      </c>
      <c r="L280">
        <v>367.11869999999999</v>
      </c>
      <c r="M280">
        <v>0.99997380000000002</v>
      </c>
      <c r="N280">
        <v>0</v>
      </c>
      <c r="O280">
        <v>-4.8973230000000003E-3</v>
      </c>
      <c r="P280">
        <v>0.99924270000000004</v>
      </c>
      <c r="Q280">
        <v>3.6946569999999998E-2</v>
      </c>
      <c r="R280">
        <v>-1.221407E-2</v>
      </c>
      <c r="S280">
        <v>2.9937740000000002</v>
      </c>
      <c r="T280">
        <v>0.17393229999999901</v>
      </c>
      <c r="U280">
        <v>-0.1693115</v>
      </c>
      <c r="V280">
        <v>7.3150169999999896E-3</v>
      </c>
      <c r="W280">
        <v>4.2277910000000002E-2</v>
      </c>
      <c r="X280">
        <v>0.9990791</v>
      </c>
      <c r="Y280">
        <v>5.1495730000000003E-2</v>
      </c>
      <c r="Z280">
        <v>1.2093970000000001E-3</v>
      </c>
      <c r="AA280">
        <v>0.99867249999999996</v>
      </c>
      <c r="AB280">
        <v>23</v>
      </c>
      <c r="AC280">
        <v>2.9937740000000002</v>
      </c>
      <c r="AD280">
        <v>0.17393229999999901</v>
      </c>
      <c r="AE280">
        <v>-0.1693115</v>
      </c>
      <c r="AF280">
        <v>0.154129197290856</v>
      </c>
      <c r="AG280">
        <v>0.17393229999999901</v>
      </c>
      <c r="AH280">
        <v>2.9845254978259699</v>
      </c>
      <c r="AI280">
        <v>86.669115451672496</v>
      </c>
      <c r="AJ280">
        <v>87.0437128444987</v>
      </c>
      <c r="AK280">
        <v>2.9935598710589</v>
      </c>
      <c r="AL280">
        <v>87.576931958539106</v>
      </c>
      <c r="AM280">
        <v>89.580501571900896</v>
      </c>
      <c r="AN280">
        <v>0.99999998960224401</v>
      </c>
    </row>
    <row r="281" spans="1:40" x14ac:dyDescent="0.25">
      <c r="A281" t="str">
        <f>"20190312150641965"</f>
        <v>20190312150641965</v>
      </c>
      <c r="B281" t="str">
        <f>"1552374401960512"</f>
        <v>1552374401960512</v>
      </c>
      <c r="C281" t="s">
        <v>40</v>
      </c>
      <c r="D281">
        <v>3.9767839999999999</v>
      </c>
      <c r="E281">
        <v>0.51601989999999998</v>
      </c>
      <c r="F281" t="s">
        <v>46</v>
      </c>
      <c r="G281">
        <v>-325.63650000000001</v>
      </c>
      <c r="H281">
        <v>8.5250660000000007</v>
      </c>
      <c r="I281">
        <v>359.76029999999997</v>
      </c>
      <c r="J281">
        <v>-457.12900000000002</v>
      </c>
      <c r="K281">
        <v>1.109469</v>
      </c>
      <c r="L281">
        <v>367.11779999999999</v>
      </c>
      <c r="M281">
        <v>0.99997400000000003</v>
      </c>
      <c r="N281">
        <v>0</v>
      </c>
      <c r="O281">
        <v>-4.8116030000000002E-3</v>
      </c>
      <c r="P281">
        <v>0.99925200000000003</v>
      </c>
      <c r="Q281">
        <v>3.675817E-2</v>
      </c>
      <c r="R281">
        <v>-1.202109E-2</v>
      </c>
      <c r="S281">
        <v>2.9939879999999999</v>
      </c>
      <c r="T281">
        <v>0.16860069999999999</v>
      </c>
      <c r="U281">
        <v>-0.16729740000000001</v>
      </c>
      <c r="V281">
        <v>7.2073709999999997E-3</v>
      </c>
      <c r="W281">
        <v>4.2138790000000002E-2</v>
      </c>
      <c r="X281">
        <v>0.99908580000000002</v>
      </c>
      <c r="Y281">
        <v>5.0913100000000003E-2</v>
      </c>
      <c r="Z281">
        <v>1.160763E-3</v>
      </c>
      <c r="AA281">
        <v>0.99870239999999999</v>
      </c>
      <c r="AB281">
        <v>23</v>
      </c>
      <c r="AC281">
        <v>131.49250000000001</v>
      </c>
      <c r="AD281">
        <v>7.415597</v>
      </c>
      <c r="AE281">
        <v>-7.3575000000000097</v>
      </c>
      <c r="AF281">
        <v>6.7034624253645099</v>
      </c>
      <c r="AG281">
        <v>7.415597</v>
      </c>
      <c r="AH281">
        <v>131.110688532479</v>
      </c>
      <c r="AI281">
        <v>86.767023925123894</v>
      </c>
      <c r="AJ281">
        <v>87.073114642563695</v>
      </c>
      <c r="AK281">
        <v>131.49121694932899</v>
      </c>
      <c r="AL281">
        <v>87.584910154428599</v>
      </c>
      <c r="AM281">
        <v>89.586677364056897</v>
      </c>
      <c r="AN281">
        <v>1.0000000297905101</v>
      </c>
    </row>
    <row r="282" spans="1:40" x14ac:dyDescent="0.25">
      <c r="A282" t="str">
        <f>"20190312150641978"</f>
        <v>20190312150641978</v>
      </c>
      <c r="B282" t="str">
        <f>"1552374401971248"</f>
        <v>1552374401971248</v>
      </c>
      <c r="C282" t="s">
        <v>40</v>
      </c>
      <c r="D282">
        <v>3.9847700000000001</v>
      </c>
      <c r="E282">
        <v>0.51582150000000004</v>
      </c>
      <c r="F282" t="s">
        <v>48</v>
      </c>
      <c r="G282">
        <v>0</v>
      </c>
      <c r="H282">
        <v>0</v>
      </c>
      <c r="I282">
        <v>0</v>
      </c>
      <c r="J282">
        <v>-456.9898</v>
      </c>
      <c r="K282">
        <v>1.109475</v>
      </c>
      <c r="L282">
        <v>367.11720000000003</v>
      </c>
      <c r="M282">
        <v>0.99997420000000004</v>
      </c>
      <c r="N282">
        <v>0</v>
      </c>
      <c r="O282">
        <v>-4.7481499999999996E-3</v>
      </c>
      <c r="P282">
        <v>0.99925589999999997</v>
      </c>
      <c r="Q282">
        <v>3.66989E-2</v>
      </c>
      <c r="R282">
        <v>-1.187967E-2</v>
      </c>
      <c r="S282">
        <v>2.9943849999999999</v>
      </c>
      <c r="T282">
        <v>0.1599836</v>
      </c>
      <c r="U282">
        <v>-0.163269</v>
      </c>
      <c r="V282">
        <v>7.1293519999999899E-3</v>
      </c>
      <c r="W282">
        <v>4.2116880000000002E-2</v>
      </c>
      <c r="X282">
        <v>0.99908730000000001</v>
      </c>
      <c r="Y282">
        <v>4.9638580000000002E-2</v>
      </c>
      <c r="Z282">
        <v>1.0708060000000001E-3</v>
      </c>
      <c r="AA282">
        <v>0.99876670000000001</v>
      </c>
      <c r="AB282">
        <v>23</v>
      </c>
      <c r="AC282">
        <v>2.9943849999999999</v>
      </c>
      <c r="AD282">
        <v>0.1599836</v>
      </c>
      <c r="AE282">
        <v>-0.163269</v>
      </c>
      <c r="AF282">
        <v>0.14862616252291799</v>
      </c>
      <c r="AG282">
        <v>0.1599836</v>
      </c>
      <c r="AH282">
        <v>2.9866263176551602</v>
      </c>
      <c r="AI282">
        <v>86.937569268868202</v>
      </c>
      <c r="AJ282">
        <v>87.151088939909997</v>
      </c>
      <c r="AK282">
        <v>2.9945986792499801</v>
      </c>
      <c r="AL282">
        <v>87.586166659841396</v>
      </c>
      <c r="AM282">
        <v>89.5911519973277</v>
      </c>
      <c r="AN282">
        <v>1.0000000461310801</v>
      </c>
    </row>
    <row r="283" spans="1:40" x14ac:dyDescent="0.25">
      <c r="A283" t="str">
        <f>"20190312150642000"</f>
        <v>20190312150642000</v>
      </c>
      <c r="B283" t="str">
        <f>"1552374401990767"</f>
        <v>1552374401990767</v>
      </c>
      <c r="C283" t="s">
        <v>40</v>
      </c>
      <c r="D283">
        <v>4.0174320000000003</v>
      </c>
      <c r="E283">
        <v>0.51564520000000003</v>
      </c>
      <c r="F283" t="s">
        <v>47</v>
      </c>
      <c r="G283">
        <v>-158.78319999999999</v>
      </c>
      <c r="H283">
        <v>16.653679999999898</v>
      </c>
      <c r="I283">
        <v>351.04090000000002</v>
      </c>
      <c r="J283">
        <v>-456.75990000000002</v>
      </c>
      <c r="K283">
        <v>1.1094839999999999</v>
      </c>
      <c r="L283">
        <v>367.11619999999999</v>
      </c>
      <c r="M283">
        <v>0.99997429999999998</v>
      </c>
      <c r="N283">
        <v>0</v>
      </c>
      <c r="O283">
        <v>-4.6414869999999997E-3</v>
      </c>
      <c r="P283">
        <v>0.99926490000000001</v>
      </c>
      <c r="Q283">
        <v>3.6348529999999997E-2</v>
      </c>
      <c r="R283">
        <v>-1.2200580000000001E-2</v>
      </c>
      <c r="S283">
        <v>2.9945979999999999</v>
      </c>
      <c r="T283">
        <v>0.15609609999999999</v>
      </c>
      <c r="U283">
        <v>-0.161438</v>
      </c>
      <c r="V283">
        <v>7.5563109999999996E-3</v>
      </c>
      <c r="W283">
        <v>4.1828650000000002E-2</v>
      </c>
      <c r="X283">
        <v>0.99909619999999999</v>
      </c>
      <c r="Y283">
        <v>4.9135930000000001E-2</v>
      </c>
      <c r="Z283">
        <v>1.0372339999999999E-3</v>
      </c>
      <c r="AA283">
        <v>0.9987916</v>
      </c>
      <c r="AB283">
        <v>23</v>
      </c>
      <c r="AC283">
        <v>297.97669999999999</v>
      </c>
      <c r="AD283">
        <v>15.5441959999999</v>
      </c>
      <c r="AE283">
        <v>-16.075299999999899</v>
      </c>
      <c r="AF283">
        <v>14.652294045009199</v>
      </c>
      <c r="AG283">
        <v>15.5441959999999</v>
      </c>
      <c r="AH283">
        <v>297.24157679460001</v>
      </c>
      <c r="AI283">
        <v>87.010077995208405</v>
      </c>
      <c r="AJ283">
        <v>87.177933104188597</v>
      </c>
      <c r="AK283">
        <v>298.00816553478501</v>
      </c>
      <c r="AL283">
        <v>87.602695417855102</v>
      </c>
      <c r="AM283">
        <v>89.566671883760904</v>
      </c>
      <c r="AN283">
        <v>0.99999997532559504</v>
      </c>
    </row>
    <row r="284" spans="1:40" x14ac:dyDescent="0.25">
      <c r="A284" t="str">
        <f>"20190312150642022"</f>
        <v>20190312150642022</v>
      </c>
      <c r="B284" t="str">
        <f>"1552374402011263"</f>
        <v>1552374402011263</v>
      </c>
      <c r="C284" t="s">
        <v>40</v>
      </c>
      <c r="D284">
        <v>3.9827409999999999</v>
      </c>
      <c r="E284">
        <v>0.484929</v>
      </c>
      <c r="F284" t="s">
        <v>47</v>
      </c>
      <c r="G284">
        <v>-158.78319999999999</v>
      </c>
      <c r="H284">
        <v>16.52347</v>
      </c>
      <c r="I284">
        <v>351.0797</v>
      </c>
      <c r="J284">
        <v>-456.52480000000003</v>
      </c>
      <c r="K284">
        <v>1.1094900000000001</v>
      </c>
      <c r="L284">
        <v>367.11520000000002</v>
      </c>
      <c r="M284">
        <v>0.99997449999999999</v>
      </c>
      <c r="N284">
        <v>0</v>
      </c>
      <c r="O284">
        <v>-4.5291109999999997E-3</v>
      </c>
      <c r="P284">
        <v>0.99926479999999995</v>
      </c>
      <c r="Q284">
        <v>3.6232670000000002E-2</v>
      </c>
      <c r="R284">
        <v>-1.254853E-2</v>
      </c>
      <c r="S284">
        <v>2.9945979999999999</v>
      </c>
      <c r="T284">
        <v>0.15490779999999901</v>
      </c>
      <c r="U284">
        <v>-0.16116329999999901</v>
      </c>
      <c r="V284">
        <v>8.0165449999999999E-3</v>
      </c>
      <c r="W284">
        <v>4.1777670000000003E-2</v>
      </c>
      <c r="X284">
        <v>0.99909479999999995</v>
      </c>
      <c r="Y284">
        <v>4.9157560000000003E-2</v>
      </c>
      <c r="Z284">
        <v>1.0357140000000001E-3</v>
      </c>
      <c r="AA284">
        <v>0.99879050000000003</v>
      </c>
      <c r="AB284">
        <v>24</v>
      </c>
      <c r="AC284">
        <v>297.74160000000001</v>
      </c>
      <c r="AD284">
        <v>15.413979999999899</v>
      </c>
      <c r="AE284">
        <v>-16.035499999999999</v>
      </c>
      <c r="AF284">
        <v>14.647666584668</v>
      </c>
      <c r="AG284">
        <v>15.413979999999899</v>
      </c>
      <c r="AH284">
        <v>297.017440473433</v>
      </c>
      <c r="AI284">
        <v>87.032849878034298</v>
      </c>
      <c r="AJ284">
        <v>87.176697440928294</v>
      </c>
      <c r="AK284">
        <v>297.77760973788003</v>
      </c>
      <c r="AL284">
        <v>87.605619040994796</v>
      </c>
      <c r="AM284">
        <v>89.540279522978594</v>
      </c>
      <c r="AN284">
        <v>1.0000000290457001</v>
      </c>
    </row>
    <row r="285" spans="1:40" x14ac:dyDescent="0.25">
      <c r="A285" t="str">
        <f>"20190312150642043"</f>
        <v>20190312150642043</v>
      </c>
      <c r="B285" t="str">
        <f>"1552374402030783"</f>
        <v>1552374402030783</v>
      </c>
      <c r="C285" t="s">
        <v>40</v>
      </c>
      <c r="D285">
        <v>3.9843519999999999</v>
      </c>
      <c r="E285">
        <v>0.48165160000000001</v>
      </c>
      <c r="F285" t="s">
        <v>47</v>
      </c>
      <c r="G285">
        <v>-170.08879999999999</v>
      </c>
      <c r="H285">
        <v>7.8118129999999999</v>
      </c>
      <c r="I285">
        <v>374.94549999999998</v>
      </c>
      <c r="J285">
        <v>-456.30329999999998</v>
      </c>
      <c r="K285">
        <v>1.109494</v>
      </c>
      <c r="L285">
        <v>367.11430000000001</v>
      </c>
      <c r="M285">
        <v>0.99997449999999999</v>
      </c>
      <c r="N285">
        <v>0</v>
      </c>
      <c r="O285">
        <v>-4.4200649999999999E-3</v>
      </c>
      <c r="P285">
        <v>0.9992723</v>
      </c>
      <c r="Q285">
        <v>3.5993560000000001E-2</v>
      </c>
      <c r="R285">
        <v>-1.261667E-2</v>
      </c>
      <c r="S285">
        <v>3.0007630000000001</v>
      </c>
      <c r="T285">
        <v>7.0215819999999998E-2</v>
      </c>
      <c r="U285">
        <v>8.203125E-2</v>
      </c>
      <c r="V285">
        <v>8.1932869999999901E-3</v>
      </c>
      <c r="W285">
        <v>4.1600449999999997E-2</v>
      </c>
      <c r="X285">
        <v>0.99910069999999995</v>
      </c>
      <c r="Y285">
        <v>-3.173492E-2</v>
      </c>
      <c r="Z285">
        <v>-4.7456370000000002E-4</v>
      </c>
      <c r="AA285">
        <v>0.99949619999999995</v>
      </c>
      <c r="AB285">
        <v>24</v>
      </c>
      <c r="AC285">
        <v>286.21449999999999</v>
      </c>
      <c r="AD285">
        <v>6.7023190000000001</v>
      </c>
      <c r="AE285">
        <v>7.83119999999996</v>
      </c>
      <c r="AF285">
        <v>-9.0912485330381294</v>
      </c>
      <c r="AG285">
        <v>6.7023190000000001</v>
      </c>
      <c r="AH285">
        <v>286.020363844283</v>
      </c>
      <c r="AI285">
        <v>88.658310239318794</v>
      </c>
      <c r="AJ285">
        <v>91.820551694752197</v>
      </c>
      <c r="AK285">
        <v>286.24328885317698</v>
      </c>
      <c r="AL285">
        <v>87.615781688480297</v>
      </c>
      <c r="AM285">
        <v>89.530147218960906</v>
      </c>
      <c r="AN285">
        <v>0.999999968066277</v>
      </c>
    </row>
    <row r="286" spans="1:40" x14ac:dyDescent="0.25">
      <c r="A286" t="str">
        <f>"20190312150642055"</f>
        <v>20190312150642055</v>
      </c>
      <c r="B286" t="str">
        <f>"1552374402051279"</f>
        <v>1552374402051279</v>
      </c>
      <c r="C286" t="s">
        <v>40</v>
      </c>
      <c r="D286">
        <v>3.9899930000000001</v>
      </c>
      <c r="E286">
        <v>0.48060720000000001</v>
      </c>
      <c r="F286" t="s">
        <v>47</v>
      </c>
      <c r="G286">
        <v>-158.19499999999999</v>
      </c>
      <c r="H286">
        <v>5.5825329999999997</v>
      </c>
      <c r="I286">
        <v>377.81229999999999</v>
      </c>
      <c r="J286">
        <v>-456.17689999999999</v>
      </c>
      <c r="K286">
        <v>1.1094999999999999</v>
      </c>
      <c r="L286">
        <v>367.11380000000003</v>
      </c>
      <c r="M286">
        <v>0.99997460000000005</v>
      </c>
      <c r="N286">
        <v>0</v>
      </c>
      <c r="O286">
        <v>-4.356375E-3</v>
      </c>
      <c r="P286">
        <v>0.99927239999999995</v>
      </c>
      <c r="Q286">
        <v>3.5862270000000002E-2</v>
      </c>
      <c r="R286">
        <v>-1.298936E-2</v>
      </c>
      <c r="S286">
        <v>3.0019230000000001</v>
      </c>
      <c r="T286">
        <v>4.5043949999999999E-2</v>
      </c>
      <c r="U286">
        <v>0.10772710000000001</v>
      </c>
      <c r="V286">
        <v>8.6294819999999904E-3</v>
      </c>
      <c r="W286">
        <v>4.1505159999999999E-2</v>
      </c>
      <c r="X286">
        <v>0.99910100000000002</v>
      </c>
      <c r="Y286">
        <v>-4.0211219999999999E-2</v>
      </c>
      <c r="Z286">
        <v>-3.6691639999999998E-4</v>
      </c>
      <c r="AA286">
        <v>0.9991911</v>
      </c>
      <c r="AB286">
        <v>24</v>
      </c>
      <c r="AC286">
        <v>297.9819</v>
      </c>
      <c r="AD286">
        <v>4.473033</v>
      </c>
      <c r="AE286">
        <v>10.6984999999999</v>
      </c>
      <c r="AF286">
        <v>-11.9938409056842</v>
      </c>
      <c r="AG286">
        <v>4.473033</v>
      </c>
      <c r="AH286">
        <v>297.86543247862699</v>
      </c>
      <c r="AI286">
        <v>89.140352800471405</v>
      </c>
      <c r="AJ286">
        <v>92.305824560576298</v>
      </c>
      <c r="AK286">
        <v>298.14036310028399</v>
      </c>
      <c r="AL286">
        <v>87.621246144887905</v>
      </c>
      <c r="AM286">
        <v>89.505134512625602</v>
      </c>
      <c r="AN286">
        <v>0.99999997723360601</v>
      </c>
    </row>
    <row r="287" spans="1:40" x14ac:dyDescent="0.25">
      <c r="A287" t="str">
        <f>"20190312150642067"</f>
        <v>20190312150642067</v>
      </c>
      <c r="B287" t="str">
        <f>"1552374402061040"</f>
        <v>1552374402061040</v>
      </c>
      <c r="C287" t="s">
        <v>40</v>
      </c>
      <c r="D287">
        <v>3.9343249999999999</v>
      </c>
      <c r="E287">
        <v>0.48002600000000001</v>
      </c>
      <c r="F287" t="s">
        <v>47</v>
      </c>
      <c r="G287">
        <v>-158.19499999999999</v>
      </c>
      <c r="H287">
        <v>4.8334890000000001</v>
      </c>
      <c r="I287">
        <v>378.52969999999999</v>
      </c>
      <c r="J287">
        <v>-456.04070000000002</v>
      </c>
      <c r="K287">
        <v>1.10951</v>
      </c>
      <c r="L287">
        <v>367.11329999999998</v>
      </c>
      <c r="M287">
        <v>0.99997469999999999</v>
      </c>
      <c r="N287">
        <v>0</v>
      </c>
      <c r="O287">
        <v>-4.2868519999999999E-3</v>
      </c>
      <c r="P287">
        <v>0.99928740000000005</v>
      </c>
      <c r="Q287">
        <v>3.5494440000000002E-2</v>
      </c>
      <c r="R287">
        <v>-1.2846929999999999E-2</v>
      </c>
      <c r="S287">
        <v>3.002319</v>
      </c>
      <c r="T287">
        <v>3.752196E-2</v>
      </c>
      <c r="U287">
        <v>0.11502080000000001</v>
      </c>
      <c r="V287">
        <v>8.5562680000000006E-3</v>
      </c>
      <c r="W287">
        <v>4.117643E-2</v>
      </c>
      <c r="X287">
        <v>0.99911519999999998</v>
      </c>
      <c r="Y287">
        <v>-4.2562339999999997E-2</v>
      </c>
      <c r="Z287">
        <v>-3.1941260000000003E-4</v>
      </c>
      <c r="AA287">
        <v>0.99909380000000003</v>
      </c>
      <c r="AB287">
        <v>24</v>
      </c>
      <c r="AC287">
        <v>297.84570000000002</v>
      </c>
      <c r="AD287">
        <v>3.7239789999999999</v>
      </c>
      <c r="AE287">
        <v>11.416399999999999</v>
      </c>
      <c r="AF287">
        <v>-12.6911550526798</v>
      </c>
      <c r="AG287">
        <v>3.7239789999999999</v>
      </c>
      <c r="AH287">
        <v>297.74754446444302</v>
      </c>
      <c r="AI287">
        <v>89.284079315651894</v>
      </c>
      <c r="AJ287">
        <v>92.440690961131693</v>
      </c>
      <c r="AK287">
        <v>298.04116103446</v>
      </c>
      <c r="AL287">
        <v>87.640097027658797</v>
      </c>
      <c r="AM287">
        <v>89.509339803143206</v>
      </c>
      <c r="AN287">
        <v>0.999999945490334</v>
      </c>
    </row>
    <row r="288" spans="1:40" x14ac:dyDescent="0.25">
      <c r="A288" t="str">
        <f>"20190312150642079"</f>
        <v>20190312150642079</v>
      </c>
      <c r="B288" t="str">
        <f>"1552374402070799"</f>
        <v>1552374402070799</v>
      </c>
      <c r="C288" t="s">
        <v>40</v>
      </c>
      <c r="D288">
        <v>4.409491</v>
      </c>
      <c r="E288">
        <v>0.48006840000000001</v>
      </c>
      <c r="F288" t="s">
        <v>47</v>
      </c>
      <c r="G288">
        <v>-158.19499999999999</v>
      </c>
      <c r="H288">
        <v>5.0919369999999997</v>
      </c>
      <c r="I288">
        <v>379.01159999999999</v>
      </c>
      <c r="J288">
        <v>-455.90550000000002</v>
      </c>
      <c r="K288">
        <v>1.1095170000000001</v>
      </c>
      <c r="L288">
        <v>367.11279999999999</v>
      </c>
      <c r="M288">
        <v>0.99997469999999999</v>
      </c>
      <c r="N288">
        <v>0</v>
      </c>
      <c r="O288">
        <v>-4.2161359999999997E-3</v>
      </c>
      <c r="P288">
        <v>0.99929409999999996</v>
      </c>
      <c r="Q288">
        <v>3.5356520000000002E-2</v>
      </c>
      <c r="R288">
        <v>-1.2694860000000001E-2</v>
      </c>
      <c r="S288">
        <v>3.0022579999999999</v>
      </c>
      <c r="T288">
        <v>4.0143369999999998E-2</v>
      </c>
      <c r="U288">
        <v>0.1199341</v>
      </c>
      <c r="V288">
        <v>8.4747199999999998E-3</v>
      </c>
      <c r="W288">
        <v>4.1076849999999998E-2</v>
      </c>
      <c r="X288">
        <v>0.99912009999999996</v>
      </c>
      <c r="Y288">
        <v>-4.4124299999999998E-2</v>
      </c>
      <c r="Z288">
        <v>-3.5121479999999998E-4</v>
      </c>
      <c r="AA288">
        <v>0.99902599999999997</v>
      </c>
      <c r="AB288">
        <v>24</v>
      </c>
      <c r="AC288">
        <v>297.71050000000002</v>
      </c>
      <c r="AD288">
        <v>3.9824199999999998</v>
      </c>
      <c r="AE288">
        <v>11.8987999999999</v>
      </c>
      <c r="AF288">
        <v>-13.151553220777799</v>
      </c>
      <c r="AG288">
        <v>3.9824199999999998</v>
      </c>
      <c r="AH288">
        <v>297.604517875</v>
      </c>
      <c r="AI288">
        <v>89.234084860082305</v>
      </c>
      <c r="AJ288">
        <v>92.530333062752803</v>
      </c>
      <c r="AK288">
        <v>297.921587134579</v>
      </c>
      <c r="AL288">
        <v>87.645807622345899</v>
      </c>
      <c r="AM288">
        <v>89.514018340749004</v>
      </c>
      <c r="AN288">
        <v>1.0000000513545</v>
      </c>
    </row>
    <row r="289" spans="1:40" x14ac:dyDescent="0.25">
      <c r="A289" t="str">
        <f>"20190312150642100"</f>
        <v>20190312150642100</v>
      </c>
      <c r="B289" t="str">
        <f>"1552374402091311"</f>
        <v>1552374402091311</v>
      </c>
      <c r="C289" t="s">
        <v>40</v>
      </c>
      <c r="D289">
        <v>4.0001089999999904</v>
      </c>
      <c r="E289">
        <v>0.4796282</v>
      </c>
      <c r="F289" t="s">
        <v>47</v>
      </c>
      <c r="G289">
        <v>-158.19499999999999</v>
      </c>
      <c r="H289">
        <v>4.9587589999999997</v>
      </c>
      <c r="I289">
        <v>379.0301</v>
      </c>
      <c r="J289">
        <v>-455.68759999999997</v>
      </c>
      <c r="K289">
        <v>1.109526</v>
      </c>
      <c r="L289">
        <v>367.11200000000002</v>
      </c>
      <c r="M289">
        <v>0.99997480000000005</v>
      </c>
      <c r="N289">
        <v>0</v>
      </c>
      <c r="O289">
        <v>-4.0997000000000004E-3</v>
      </c>
      <c r="P289">
        <v>0.99930560000000002</v>
      </c>
      <c r="Q289">
        <v>3.5100449999999998E-2</v>
      </c>
      <c r="R289">
        <v>-1.2499410000000001E-2</v>
      </c>
      <c r="S289">
        <v>3.0022280000000001</v>
      </c>
      <c r="T289">
        <v>3.8818119999999998E-2</v>
      </c>
      <c r="U289">
        <v>0.1201782</v>
      </c>
      <c r="V289">
        <v>8.3953440000000008E-3</v>
      </c>
      <c r="W289">
        <v>4.0880560000000003E-2</v>
      </c>
      <c r="X289">
        <v>0.99912880000000004</v>
      </c>
      <c r="Y289">
        <v>-4.4089789999999997E-2</v>
      </c>
      <c r="Z289">
        <v>-3.3789619999999998E-4</v>
      </c>
      <c r="AA289">
        <v>0.99902749999999996</v>
      </c>
      <c r="AB289">
        <v>24</v>
      </c>
      <c r="AC289">
        <v>297.49259999999998</v>
      </c>
      <c r="AD289">
        <v>3.8492329999999999</v>
      </c>
      <c r="AE289">
        <v>11.918100000000001</v>
      </c>
      <c r="AF289">
        <v>-13.135455179713601</v>
      </c>
      <c r="AG289">
        <v>3.8492329999999999</v>
      </c>
      <c r="AH289">
        <v>297.39153017230501</v>
      </c>
      <c r="AI289">
        <v>89.259166153135197</v>
      </c>
      <c r="AJ289">
        <v>92.529047474371197</v>
      </c>
      <c r="AK289">
        <v>297.70636371379697</v>
      </c>
      <c r="AL289">
        <v>87.657063616280197</v>
      </c>
      <c r="AM289">
        <v>89.518574123252506</v>
      </c>
      <c r="AN289">
        <v>1.00000003048811</v>
      </c>
    </row>
    <row r="290" spans="1:40" x14ac:dyDescent="0.25">
      <c r="A290" t="str">
        <f>"20190312150642112"</f>
        <v>20190312150642112</v>
      </c>
      <c r="B290" t="str">
        <f>"1552374402101055"</f>
        <v>1552374402101055</v>
      </c>
      <c r="C290" t="s">
        <v>40</v>
      </c>
      <c r="D290">
        <v>4.4223210000000002</v>
      </c>
      <c r="E290">
        <v>0.47968339999999998</v>
      </c>
      <c r="F290" t="s">
        <v>47</v>
      </c>
      <c r="G290">
        <v>-158.19499999999999</v>
      </c>
      <c r="H290">
        <v>4.3513929999999998</v>
      </c>
      <c r="I290">
        <v>379.40370000000001</v>
      </c>
      <c r="J290">
        <v>-455.55369999999999</v>
      </c>
      <c r="K290">
        <v>1.109531</v>
      </c>
      <c r="L290">
        <v>367.11160000000001</v>
      </c>
      <c r="M290">
        <v>0.99997499999999995</v>
      </c>
      <c r="N290">
        <v>0</v>
      </c>
      <c r="O290">
        <v>-4.0271899999999999E-3</v>
      </c>
      <c r="P290">
        <v>0.99930719999999995</v>
      </c>
      <c r="Q290">
        <v>3.5143779999999999E-2</v>
      </c>
      <c r="R290">
        <v>-1.226233E-2</v>
      </c>
      <c r="S290">
        <v>3.002472</v>
      </c>
      <c r="T290">
        <v>3.2719730000000002E-2</v>
      </c>
      <c r="U290">
        <v>0.124054</v>
      </c>
      <c r="V290">
        <v>8.2306489999999996E-3</v>
      </c>
      <c r="W290">
        <v>4.0958700000000001E-2</v>
      </c>
      <c r="X290">
        <v>0.99912690000000004</v>
      </c>
      <c r="Y290">
        <v>-4.5302620000000002E-2</v>
      </c>
      <c r="Z290">
        <v>-2.906006E-4</v>
      </c>
      <c r="AA290">
        <v>0.99897329999999995</v>
      </c>
      <c r="AB290">
        <v>24</v>
      </c>
      <c r="AC290">
        <v>297.3587</v>
      </c>
      <c r="AD290">
        <v>3.2418619999999998</v>
      </c>
      <c r="AE290">
        <v>12.2921</v>
      </c>
      <c r="AF290">
        <v>-13.487940116009099</v>
      </c>
      <c r="AG290">
        <v>3.2418619999999998</v>
      </c>
      <c r="AH290">
        <v>297.27151236127099</v>
      </c>
      <c r="AI290">
        <v>89.375833996146298</v>
      </c>
      <c r="AJ290">
        <v>92.597868792206697</v>
      </c>
      <c r="AK290">
        <v>297.59500375402303</v>
      </c>
      <c r="AL290">
        <v>87.652582606840994</v>
      </c>
      <c r="AM290">
        <v>89.5280171284587</v>
      </c>
      <c r="AN290">
        <v>0.99999996049612905</v>
      </c>
    </row>
    <row r="291" spans="1:40" x14ac:dyDescent="0.25">
      <c r="A291" t="str">
        <f>"20190312150642126"</f>
        <v>20190312150642126</v>
      </c>
      <c r="B291" t="str">
        <f>"1552374402120576"</f>
        <v>1552374402120576</v>
      </c>
      <c r="C291" t="s">
        <v>40</v>
      </c>
      <c r="D291">
        <v>4.4272400000000003</v>
      </c>
      <c r="E291">
        <v>0.47971989999999998</v>
      </c>
      <c r="F291" t="s">
        <v>47</v>
      </c>
      <c r="G291">
        <v>-158.19499999999999</v>
      </c>
      <c r="H291">
        <v>4.4658519999999999</v>
      </c>
      <c r="I291">
        <v>379.44319999999999</v>
      </c>
      <c r="J291">
        <v>-455.41500000000002</v>
      </c>
      <c r="K291">
        <v>1.1095360000000001</v>
      </c>
      <c r="L291">
        <v>367.11110000000002</v>
      </c>
      <c r="M291">
        <v>0.99997510000000001</v>
      </c>
      <c r="N291">
        <v>0</v>
      </c>
      <c r="O291">
        <v>-3.9512260000000004E-3</v>
      </c>
      <c r="P291">
        <v>0.99931380000000003</v>
      </c>
      <c r="Q291">
        <v>3.5071520000000002E-2</v>
      </c>
      <c r="R291">
        <v>-1.192035E-2</v>
      </c>
      <c r="S291">
        <v>3.0024109999999999</v>
      </c>
      <c r="T291">
        <v>3.3889410000000002E-2</v>
      </c>
      <c r="U291">
        <v>0.1245117</v>
      </c>
      <c r="V291">
        <v>7.964456E-3</v>
      </c>
      <c r="W291">
        <v>4.0922010000000002E-2</v>
      </c>
      <c r="X291">
        <v>0.99913059999999998</v>
      </c>
      <c r="Y291">
        <v>-4.5379419999999997E-2</v>
      </c>
      <c r="Z291">
        <v>-3.0056979999999999E-4</v>
      </c>
      <c r="AA291">
        <v>0.99896980000000002</v>
      </c>
      <c r="AB291">
        <v>24</v>
      </c>
      <c r="AC291">
        <v>297.22000000000003</v>
      </c>
      <c r="AD291">
        <v>3.3563160000000001</v>
      </c>
      <c r="AE291">
        <v>12.332099999999899</v>
      </c>
      <c r="AF291">
        <v>-13.504688073609501</v>
      </c>
      <c r="AG291">
        <v>3.3563160000000001</v>
      </c>
      <c r="AH291">
        <v>297.13112774921802</v>
      </c>
      <c r="AI291">
        <v>89.353496637132693</v>
      </c>
      <c r="AJ291">
        <v>92.602317374874403</v>
      </c>
      <c r="AK291">
        <v>297.45680112342302</v>
      </c>
      <c r="AL291">
        <v>87.654686644940199</v>
      </c>
      <c r="AM291">
        <v>89.543282880369702</v>
      </c>
      <c r="AN291">
        <v>0.99999999965908803</v>
      </c>
    </row>
    <row r="292" spans="1:40" x14ac:dyDescent="0.25">
      <c r="A292" t="str">
        <f>"20190312150642143"</f>
        <v>20190312150642143</v>
      </c>
      <c r="B292" t="str">
        <f>"1552374402131312"</f>
        <v>1552374402131312</v>
      </c>
      <c r="C292" t="s">
        <v>40</v>
      </c>
      <c r="D292">
        <v>4.6321779999999997</v>
      </c>
      <c r="E292">
        <v>0.47969600000000001</v>
      </c>
      <c r="F292" t="s">
        <v>47</v>
      </c>
      <c r="G292">
        <v>-158.19499999999999</v>
      </c>
      <c r="H292">
        <v>4.7093319999999999</v>
      </c>
      <c r="I292">
        <v>379.5068</v>
      </c>
      <c r="J292">
        <v>-455.22239999999999</v>
      </c>
      <c r="K292">
        <v>1.10954</v>
      </c>
      <c r="L292">
        <v>367.11040000000003</v>
      </c>
      <c r="M292">
        <v>0.99997519999999995</v>
      </c>
      <c r="N292">
        <v>0</v>
      </c>
      <c r="O292">
        <v>-3.844774E-3</v>
      </c>
      <c r="P292">
        <v>0.99931250000000005</v>
      </c>
      <c r="Q292">
        <v>3.521912E-2</v>
      </c>
      <c r="R292">
        <v>-1.156912E-2</v>
      </c>
      <c r="S292">
        <v>3.002319</v>
      </c>
      <c r="T292">
        <v>3.6363600000000003E-2</v>
      </c>
      <c r="U292">
        <v>0.12521360000000001</v>
      </c>
      <c r="V292">
        <v>7.7194910000000002E-3</v>
      </c>
      <c r="W292">
        <v>4.1116390000000003E-2</v>
      </c>
      <c r="X292">
        <v>0.99912449999999997</v>
      </c>
      <c r="Y292">
        <v>-4.5506989999999997E-2</v>
      </c>
      <c r="Z292">
        <v>-3.220039E-4</v>
      </c>
      <c r="AA292">
        <v>0.99896399999999996</v>
      </c>
      <c r="AB292">
        <v>24</v>
      </c>
      <c r="AC292">
        <v>297.0274</v>
      </c>
      <c r="AD292">
        <v>3.5997919999999999</v>
      </c>
      <c r="AE292">
        <v>12.3963999999999</v>
      </c>
      <c r="AF292">
        <v>-13.536346721299701</v>
      </c>
      <c r="AG292">
        <v>3.5997919999999999</v>
      </c>
      <c r="AH292">
        <v>296.93400461256402</v>
      </c>
      <c r="AI292">
        <v>89.306146040715404</v>
      </c>
      <c r="AJ292">
        <v>92.610138725430701</v>
      </c>
      <c r="AK292">
        <v>297.264182639377</v>
      </c>
      <c r="AL292">
        <v>87.643540009998503</v>
      </c>
      <c r="AM292">
        <v>89.5573269860935</v>
      </c>
      <c r="AN292">
        <v>0.99999995728408897</v>
      </c>
    </row>
    <row r="293" spans="1:40" x14ac:dyDescent="0.25">
      <c r="A293" t="str">
        <f>"20190312150642154"</f>
        <v>20190312150642154</v>
      </c>
      <c r="B293" t="str">
        <f>"1552374402150833"</f>
        <v>1552374402150833</v>
      </c>
      <c r="C293" t="s">
        <v>40</v>
      </c>
      <c r="D293">
        <v>4.5074759999999996</v>
      </c>
      <c r="E293">
        <v>0.47963600000000001</v>
      </c>
      <c r="F293" t="s">
        <v>47</v>
      </c>
      <c r="G293">
        <v>-158.19499999999999</v>
      </c>
      <c r="H293">
        <v>4.7736640000000001</v>
      </c>
      <c r="I293">
        <v>379.64330000000001</v>
      </c>
      <c r="J293">
        <v>-455.09649999999999</v>
      </c>
      <c r="K293">
        <v>1.109542</v>
      </c>
      <c r="L293">
        <v>367.11</v>
      </c>
      <c r="M293">
        <v>0.99997530000000001</v>
      </c>
      <c r="N293">
        <v>0</v>
      </c>
      <c r="O293">
        <v>-3.774637E-3</v>
      </c>
      <c r="P293">
        <v>0.99932270000000001</v>
      </c>
      <c r="Q293">
        <v>3.5054589999999997E-2</v>
      </c>
      <c r="R293">
        <v>-1.12E-2</v>
      </c>
      <c r="S293">
        <v>3.0022579999999999</v>
      </c>
      <c r="T293">
        <v>3.7036659999999999E-2</v>
      </c>
      <c r="U293">
        <v>0.1266785</v>
      </c>
      <c r="V293">
        <v>7.4203339999999998E-3</v>
      </c>
      <c r="W293">
        <v>4.0980599999999999E-2</v>
      </c>
      <c r="X293">
        <v>0.99913240000000003</v>
      </c>
      <c r="Y293">
        <v>-4.5924159999999999E-2</v>
      </c>
      <c r="Z293">
        <v>-3.2967379999999903E-4</v>
      </c>
      <c r="AA293">
        <v>0.99894490000000002</v>
      </c>
      <c r="AB293">
        <v>24</v>
      </c>
      <c r="AC293">
        <v>296.9015</v>
      </c>
      <c r="AD293">
        <v>3.6641219999999999</v>
      </c>
      <c r="AE293">
        <v>12.533299999999899</v>
      </c>
      <c r="AF293">
        <v>-13.6518502441044</v>
      </c>
      <c r="AG293">
        <v>3.6641219999999999</v>
      </c>
      <c r="AH293">
        <v>296.80695045482798</v>
      </c>
      <c r="AI293">
        <v>89.293458682661793</v>
      </c>
      <c r="AJ293">
        <v>92.633504690428396</v>
      </c>
      <c r="AK293">
        <v>297.14334023062599</v>
      </c>
      <c r="AL293">
        <v>87.651326895449998</v>
      </c>
      <c r="AM293">
        <v>89.574484818732401</v>
      </c>
      <c r="AN293">
        <v>1.0000000118313901</v>
      </c>
    </row>
    <row r="294" spans="1:40" x14ac:dyDescent="0.25">
      <c r="A294" t="str">
        <f>"20190312150642167"</f>
        <v>20190312150642167</v>
      </c>
      <c r="B294" t="str">
        <f>"1552374402160592"</f>
        <v>1552374402160592</v>
      </c>
      <c r="C294" t="s">
        <v>40</v>
      </c>
      <c r="D294">
        <v>4.0945479999999996</v>
      </c>
      <c r="E294">
        <v>0.47954400000000003</v>
      </c>
      <c r="F294" t="s">
        <v>47</v>
      </c>
      <c r="G294">
        <v>-158.19499999999999</v>
      </c>
      <c r="H294">
        <v>4.8080420000000004</v>
      </c>
      <c r="I294">
        <v>379.75569999999999</v>
      </c>
      <c r="J294">
        <v>-454.96050000000002</v>
      </c>
      <c r="K294">
        <v>1.1095440000000001</v>
      </c>
      <c r="L294">
        <v>367.1096</v>
      </c>
      <c r="M294">
        <v>0.99997550000000002</v>
      </c>
      <c r="N294">
        <v>0</v>
      </c>
      <c r="O294">
        <v>-3.6986639999999999E-3</v>
      </c>
      <c r="P294">
        <v>0.99932770000000004</v>
      </c>
      <c r="Q294">
        <v>3.5017810000000003E-2</v>
      </c>
      <c r="R294">
        <v>-1.0876490000000001E-2</v>
      </c>
      <c r="S294">
        <v>3.002167</v>
      </c>
      <c r="T294">
        <v>3.7398819999999999E-2</v>
      </c>
      <c r="U294">
        <v>0.1278687</v>
      </c>
      <c r="V294">
        <v>7.1725779999999998E-3</v>
      </c>
      <c r="W294">
        <v>4.097394E-2</v>
      </c>
      <c r="X294">
        <v>0.99913450000000004</v>
      </c>
      <c r="Y294">
        <v>-4.6244769999999998E-2</v>
      </c>
      <c r="Z294">
        <v>-3.3395449999999998E-4</v>
      </c>
      <c r="AA294">
        <v>0.99893010000000004</v>
      </c>
      <c r="AB294">
        <v>24</v>
      </c>
      <c r="AC294">
        <v>296.76549999999997</v>
      </c>
      <c r="AD294">
        <v>3.6984979999999998</v>
      </c>
      <c r="AE294">
        <v>12.646099999999899</v>
      </c>
      <c r="AF294">
        <v>-13.7415383020113</v>
      </c>
      <c r="AG294">
        <v>3.6984979999999998</v>
      </c>
      <c r="AH294">
        <v>296.670700519175</v>
      </c>
      <c r="AI294">
        <v>89.286513875831602</v>
      </c>
      <c r="AJ294">
        <v>92.651997000683096</v>
      </c>
      <c r="AK294">
        <v>297.01180668266301</v>
      </c>
      <c r="AL294">
        <v>87.651708847302402</v>
      </c>
      <c r="AM294">
        <v>89.588692625207599</v>
      </c>
      <c r="AN294">
        <v>1.00000002936226</v>
      </c>
    </row>
    <row r="295" spans="1:40" x14ac:dyDescent="0.25">
      <c r="A295" t="str">
        <f>"20190312150642180"</f>
        <v>20190312150642180</v>
      </c>
      <c r="B295" t="str">
        <f>"1552374402171328"</f>
        <v>1552374402171328</v>
      </c>
      <c r="C295" t="s">
        <v>40</v>
      </c>
      <c r="D295">
        <v>4.0942809999999996</v>
      </c>
      <c r="E295">
        <v>0.4794313</v>
      </c>
      <c r="F295" t="s">
        <v>47</v>
      </c>
      <c r="G295">
        <v>-158.19499999999999</v>
      </c>
      <c r="H295">
        <v>4.6905839999999897</v>
      </c>
      <c r="I295">
        <v>379.92450000000002</v>
      </c>
      <c r="J295">
        <v>-454.8159</v>
      </c>
      <c r="K295">
        <v>1.1095459999999999</v>
      </c>
      <c r="L295">
        <v>367.10910000000001</v>
      </c>
      <c r="M295">
        <v>0.99997550000000002</v>
      </c>
      <c r="N295">
        <v>0</v>
      </c>
      <c r="O295">
        <v>-3.6173300000000002E-3</v>
      </c>
      <c r="P295">
        <v>0.99933510000000003</v>
      </c>
      <c r="Q295">
        <v>3.489076E-2</v>
      </c>
      <c r="R295">
        <v>-1.059295E-2</v>
      </c>
      <c r="S295">
        <v>3.002167</v>
      </c>
      <c r="T295">
        <v>3.6227700000000002E-2</v>
      </c>
      <c r="U295">
        <v>0.1296387</v>
      </c>
      <c r="V295">
        <v>6.9700839999999997E-3</v>
      </c>
      <c r="W295">
        <v>4.0877700000000003E-2</v>
      </c>
      <c r="X295">
        <v>0.99913980000000002</v>
      </c>
      <c r="Y295">
        <v>-4.6751580000000001E-2</v>
      </c>
      <c r="Z295">
        <v>-3.25569E-4</v>
      </c>
      <c r="AA295">
        <v>0.99890650000000003</v>
      </c>
      <c r="AB295">
        <v>24</v>
      </c>
      <c r="AC295">
        <v>296.62090000000001</v>
      </c>
      <c r="AD295">
        <v>3.5810379999999902</v>
      </c>
      <c r="AE295">
        <v>12.8154</v>
      </c>
      <c r="AF295">
        <v>-13.886290916814801</v>
      </c>
      <c r="AG295">
        <v>3.5810379999999902</v>
      </c>
      <c r="AH295">
        <v>296.52946168634202</v>
      </c>
      <c r="AI295">
        <v>89.308858506718707</v>
      </c>
      <c r="AJ295">
        <v>92.681167065465601</v>
      </c>
      <c r="AK295">
        <v>296.87602556719798</v>
      </c>
      <c r="AL295">
        <v>87.657227440436998</v>
      </c>
      <c r="AM295">
        <v>89.600306265536204</v>
      </c>
      <c r="AN295">
        <v>0.99999995418614696</v>
      </c>
    </row>
    <row r="296" spans="1:40" x14ac:dyDescent="0.25">
      <c r="A296" t="str">
        <f>"20190312150642201"</f>
        <v>20190312150642201</v>
      </c>
      <c r="B296" t="str">
        <f>"1552374402190847"</f>
        <v>1552374402190847</v>
      </c>
      <c r="C296" t="s">
        <v>40</v>
      </c>
      <c r="D296">
        <v>4.3957990000000002</v>
      </c>
      <c r="E296">
        <v>0.47932570000000002</v>
      </c>
      <c r="F296" t="s">
        <v>47</v>
      </c>
      <c r="G296">
        <v>-158.19499999999999</v>
      </c>
      <c r="H296">
        <v>4.5150519999999998</v>
      </c>
      <c r="I296">
        <v>380.0865</v>
      </c>
      <c r="J296">
        <v>-454.58339999999998</v>
      </c>
      <c r="K296">
        <v>1.1095489999999999</v>
      </c>
      <c r="L296">
        <v>367.10840000000002</v>
      </c>
      <c r="M296">
        <v>0.99997590000000003</v>
      </c>
      <c r="N296">
        <v>0</v>
      </c>
      <c r="O296">
        <v>-3.4870489999999999E-3</v>
      </c>
      <c r="P296">
        <v>0.9993514</v>
      </c>
      <c r="Q296">
        <v>3.4512279999999999E-2</v>
      </c>
      <c r="R296">
        <v>-1.030769E-2</v>
      </c>
      <c r="S296">
        <v>3.0021969999999998</v>
      </c>
      <c r="T296">
        <v>3.4469130000000001E-2</v>
      </c>
      <c r="U296">
        <v>0.13134770000000001</v>
      </c>
      <c r="V296">
        <v>6.8149650000000001E-3</v>
      </c>
      <c r="W296">
        <v>4.054609E-2</v>
      </c>
      <c r="X296">
        <v>0.9991544</v>
      </c>
      <c r="Y296">
        <v>-4.7188880000000002E-2</v>
      </c>
      <c r="Z296">
        <v>-3.1077330000000002E-4</v>
      </c>
      <c r="AA296">
        <v>0.99888589999999999</v>
      </c>
      <c r="AB296">
        <v>24</v>
      </c>
      <c r="AC296">
        <v>296.38839999999999</v>
      </c>
      <c r="AD296">
        <v>3.4055029999999999</v>
      </c>
      <c r="AE296">
        <v>12.9780999999999</v>
      </c>
      <c r="AF296">
        <v>-14.009714566813299</v>
      </c>
      <c r="AG296">
        <v>3.4055029999999999</v>
      </c>
      <c r="AH296">
        <v>296.30229886765198</v>
      </c>
      <c r="AI296">
        <v>89.342243886871003</v>
      </c>
      <c r="AJ296">
        <v>92.707033183573202</v>
      </c>
      <c r="AK296">
        <v>296.65286424907799</v>
      </c>
      <c r="AL296">
        <v>87.676243101827595</v>
      </c>
      <c r="AM296">
        <v>89.6092068683094</v>
      </c>
      <c r="AN296">
        <v>0.99999997210079905</v>
      </c>
    </row>
    <row r="297" spans="1:40" x14ac:dyDescent="0.25">
      <c r="A297" t="str">
        <f>"20190312150642223"</f>
        <v>20190312150642223</v>
      </c>
      <c r="B297" t="str">
        <f>"1552374402211344"</f>
        <v>1552374402211344</v>
      </c>
      <c r="C297" t="s">
        <v>40</v>
      </c>
      <c r="D297">
        <v>4.091818</v>
      </c>
      <c r="E297">
        <v>0.4792534</v>
      </c>
      <c r="F297" t="s">
        <v>47</v>
      </c>
      <c r="G297">
        <v>-158.19499999999999</v>
      </c>
      <c r="H297">
        <v>4.3124379999999896</v>
      </c>
      <c r="I297">
        <v>380.27760000000001</v>
      </c>
      <c r="J297">
        <v>-454.3503</v>
      </c>
      <c r="K297">
        <v>1.109551</v>
      </c>
      <c r="L297">
        <v>367.1078</v>
      </c>
      <c r="M297">
        <v>0.99997590000000003</v>
      </c>
      <c r="N297">
        <v>0</v>
      </c>
      <c r="O297">
        <v>-3.356403E-3</v>
      </c>
      <c r="P297">
        <v>0.99935870000000004</v>
      </c>
      <c r="Q297">
        <v>3.4345279999999999E-2</v>
      </c>
      <c r="R297">
        <v>-1.014226E-2</v>
      </c>
      <c r="S297">
        <v>3.002167</v>
      </c>
      <c r="T297">
        <v>3.2443399999999997E-2</v>
      </c>
      <c r="U297">
        <v>0.13339229999999899</v>
      </c>
      <c r="V297">
        <v>6.7802799999999996E-3</v>
      </c>
      <c r="W297">
        <v>4.0423649999999998E-2</v>
      </c>
      <c r="X297">
        <v>0.99915960000000004</v>
      </c>
      <c r="Y297">
        <v>-4.773815E-2</v>
      </c>
      <c r="Z297">
        <v>-2.9406419999999998E-4</v>
      </c>
      <c r="AA297">
        <v>0.99885979999999996</v>
      </c>
      <c r="AB297">
        <v>25</v>
      </c>
      <c r="AC297">
        <v>296.15530000000001</v>
      </c>
      <c r="AD297">
        <v>3.202887</v>
      </c>
      <c r="AE297">
        <v>13.1698</v>
      </c>
      <c r="AF297">
        <v>-14.1621075525282</v>
      </c>
      <c r="AG297">
        <v>3.202887</v>
      </c>
      <c r="AH297">
        <v>296.074866683111</v>
      </c>
      <c r="AI297">
        <v>89.380916051947395</v>
      </c>
      <c r="AJ297">
        <v>92.738533682072202</v>
      </c>
      <c r="AK297">
        <v>296.43068406777002</v>
      </c>
      <c r="AL297">
        <v>87.683264160130307</v>
      </c>
      <c r="AM297">
        <v>89.611197785670797</v>
      </c>
      <c r="AN297">
        <v>0.99999997497418003</v>
      </c>
    </row>
    <row r="298" spans="1:40" x14ac:dyDescent="0.25">
      <c r="A298" t="str">
        <f>"20190312150642236"</f>
        <v>20190312150642236</v>
      </c>
      <c r="B298" t="str">
        <f>"1552374402230864"</f>
        <v>1552374402230864</v>
      </c>
      <c r="C298" t="s">
        <v>40</v>
      </c>
      <c r="D298">
        <v>4.0947279999999999</v>
      </c>
      <c r="E298">
        <v>0.479244</v>
      </c>
      <c r="F298" t="s">
        <v>47</v>
      </c>
      <c r="G298">
        <v>-158.19499999999999</v>
      </c>
      <c r="H298">
        <v>4.4663760000000003</v>
      </c>
      <c r="I298">
        <v>380.3571</v>
      </c>
      <c r="J298">
        <v>-454.20490000000001</v>
      </c>
      <c r="K298">
        <v>1.109553</v>
      </c>
      <c r="L298">
        <v>367.10739999999998</v>
      </c>
      <c r="M298">
        <v>0.99997619999999998</v>
      </c>
      <c r="N298">
        <v>0</v>
      </c>
      <c r="O298">
        <v>-3.2751780000000001E-3</v>
      </c>
      <c r="P298">
        <v>0.99935609999999997</v>
      </c>
      <c r="Q298">
        <v>3.4423519999999999E-2</v>
      </c>
      <c r="R298">
        <v>-1.01388E-2</v>
      </c>
      <c r="S298">
        <v>3.0021059999999999</v>
      </c>
      <c r="T298">
        <v>3.402877E-2</v>
      </c>
      <c r="U298">
        <v>0.13430790000000001</v>
      </c>
      <c r="V298">
        <v>6.8578769999999897E-3</v>
      </c>
      <c r="W298">
        <v>4.0527510000000003E-2</v>
      </c>
      <c r="X298">
        <v>0.99915489999999996</v>
      </c>
      <c r="Y298">
        <v>-4.7961620000000003E-2</v>
      </c>
      <c r="Z298">
        <v>-3.0878269999999998E-4</v>
      </c>
      <c r="AA298">
        <v>0.99884919999999999</v>
      </c>
      <c r="AB298">
        <v>25</v>
      </c>
      <c r="AC298">
        <v>296.00990000000002</v>
      </c>
      <c r="AD298">
        <v>3.3568229999999999</v>
      </c>
      <c r="AE298">
        <v>13.249700000000001</v>
      </c>
      <c r="AF298">
        <v>-14.217307215980799</v>
      </c>
      <c r="AG298">
        <v>3.3568229999999999</v>
      </c>
      <c r="AH298">
        <v>295.92693598287701</v>
      </c>
      <c r="AI298">
        <v>89.350846562914398</v>
      </c>
      <c r="AJ298">
        <v>92.750563505339301</v>
      </c>
      <c r="AK298">
        <v>296.28727870993902</v>
      </c>
      <c r="AL298">
        <v>87.677308625595799</v>
      </c>
      <c r="AM298">
        <v>89.606746422986902</v>
      </c>
      <c r="AN298">
        <v>1.0000000118688701</v>
      </c>
    </row>
    <row r="299" spans="1:40" x14ac:dyDescent="0.25">
      <c r="A299" t="str">
        <f>"20190312150642256"</f>
        <v>20190312150642256</v>
      </c>
      <c r="B299" t="str">
        <f>"1552374402251360"</f>
        <v>1552374402251360</v>
      </c>
      <c r="C299" t="s">
        <v>40</v>
      </c>
      <c r="D299">
        <v>4.07552</v>
      </c>
      <c r="E299">
        <v>0.47917149999999997</v>
      </c>
      <c r="F299" t="s">
        <v>47</v>
      </c>
      <c r="G299">
        <v>-158.19499999999999</v>
      </c>
      <c r="H299">
        <v>4.5588769999999998</v>
      </c>
      <c r="I299">
        <v>380.35930000000002</v>
      </c>
      <c r="J299">
        <v>-453.9846</v>
      </c>
      <c r="K299">
        <v>1.1095539999999999</v>
      </c>
      <c r="L299">
        <v>367.10669999999999</v>
      </c>
      <c r="M299">
        <v>0.99997630000000004</v>
      </c>
      <c r="N299">
        <v>0</v>
      </c>
      <c r="O299">
        <v>-3.1520250000000001E-3</v>
      </c>
      <c r="P299">
        <v>0.99936999999999998</v>
      </c>
      <c r="Q299">
        <v>3.3931940000000001E-2</v>
      </c>
      <c r="R299">
        <v>-1.042941E-2</v>
      </c>
      <c r="S299">
        <v>3.0021059999999999</v>
      </c>
      <c r="T299">
        <v>3.4983630000000002E-2</v>
      </c>
      <c r="U299">
        <v>0.1343994</v>
      </c>
      <c r="V299">
        <v>7.2715940000000001E-3</v>
      </c>
      <c r="W299">
        <v>4.0073459999999998E-2</v>
      </c>
      <c r="X299">
        <v>0.99917029999999996</v>
      </c>
      <c r="Y299">
        <v>-4.7868840000000003E-2</v>
      </c>
      <c r="Z299">
        <v>-3.154718E-4</v>
      </c>
      <c r="AA299">
        <v>0.99885360000000001</v>
      </c>
      <c r="AB299">
        <v>25</v>
      </c>
      <c r="AC299">
        <v>295.78960000000001</v>
      </c>
      <c r="AD299">
        <v>3.4493230000000001</v>
      </c>
      <c r="AE299">
        <v>13.252599999999999</v>
      </c>
      <c r="AF299">
        <v>-14.1829629876265</v>
      </c>
      <c r="AG299">
        <v>3.4493230000000001</v>
      </c>
      <c r="AH299">
        <v>295.70622519790601</v>
      </c>
      <c r="AI299">
        <v>89.332459814107096</v>
      </c>
      <c r="AJ299">
        <v>92.745974131789595</v>
      </c>
      <c r="AK299">
        <v>296.06625253321499</v>
      </c>
      <c r="AL299">
        <v>87.703344952304306</v>
      </c>
      <c r="AM299">
        <v>89.5830297484992</v>
      </c>
      <c r="AN299">
        <v>1.0000000233388799</v>
      </c>
    </row>
    <row r="300" spans="1:40" x14ac:dyDescent="0.25">
      <c r="A300" t="str">
        <f>"20190312150642268"</f>
        <v>20190312150642268</v>
      </c>
      <c r="B300" t="str">
        <f>"1552374402261120"</f>
        <v>1552374402261120</v>
      </c>
      <c r="C300" t="s">
        <v>40</v>
      </c>
      <c r="D300">
        <v>4.5141499999999999</v>
      </c>
      <c r="E300">
        <v>0.4791858</v>
      </c>
      <c r="F300" t="s">
        <v>47</v>
      </c>
      <c r="G300">
        <v>-158.19499999999999</v>
      </c>
      <c r="H300">
        <v>4.3106640000000001</v>
      </c>
      <c r="I300">
        <v>380.33030000000002</v>
      </c>
      <c r="J300">
        <v>-453.84230000000002</v>
      </c>
      <c r="K300">
        <v>1.1095520000000001</v>
      </c>
      <c r="L300">
        <v>367.10640000000001</v>
      </c>
      <c r="M300">
        <v>0.99997639999999999</v>
      </c>
      <c r="N300">
        <v>0</v>
      </c>
      <c r="O300">
        <v>-3.072581E-3</v>
      </c>
      <c r="P300">
        <v>0.9993725</v>
      </c>
      <c r="Q300">
        <v>3.382748E-2</v>
      </c>
      <c r="R300">
        <v>-1.051178E-2</v>
      </c>
      <c r="S300">
        <v>3.0021969999999998</v>
      </c>
      <c r="T300">
        <v>3.2491449999999998E-2</v>
      </c>
      <c r="U300">
        <v>0.13421629999999901</v>
      </c>
      <c r="V300">
        <v>7.4333759999999898E-3</v>
      </c>
      <c r="W300">
        <v>3.9992939999999998E-2</v>
      </c>
      <c r="X300">
        <v>0.99917230000000001</v>
      </c>
      <c r="Y300">
        <v>-4.7727819999999997E-2</v>
      </c>
      <c r="Z300">
        <v>-2.9136869999999999E-4</v>
      </c>
      <c r="AA300">
        <v>0.99886039999999998</v>
      </c>
      <c r="AB300">
        <v>25</v>
      </c>
      <c r="AC300">
        <v>295.64729999999997</v>
      </c>
      <c r="AD300">
        <v>3.20111199999999</v>
      </c>
      <c r="AE300">
        <v>13.2239</v>
      </c>
      <c r="AF300">
        <v>-14.130601722320099</v>
      </c>
      <c r="AG300">
        <v>3.20111199999999</v>
      </c>
      <c r="AH300">
        <v>295.57069033239702</v>
      </c>
      <c r="AI300">
        <v>89.3802030256889</v>
      </c>
      <c r="AJ300">
        <v>92.737104484844707</v>
      </c>
      <c r="AK300">
        <v>295.92558863106302</v>
      </c>
      <c r="AL300">
        <v>87.7079620279967</v>
      </c>
      <c r="AM300">
        <v>89.573753980976093</v>
      </c>
      <c r="AN300">
        <v>0.99999998770794496</v>
      </c>
    </row>
    <row r="301" spans="1:40" x14ac:dyDescent="0.25">
      <c r="A301" t="str">
        <f>"20190312150642279"</f>
        <v>20190312150642279</v>
      </c>
      <c r="B301" t="str">
        <f>"1552374402270879"</f>
        <v>1552374402270879</v>
      </c>
      <c r="C301" t="s">
        <v>40</v>
      </c>
      <c r="D301">
        <v>4.0850660000000003</v>
      </c>
      <c r="E301">
        <v>0.47918880000000003</v>
      </c>
      <c r="F301" t="s">
        <v>47</v>
      </c>
      <c r="G301">
        <v>-158.19499999999999</v>
      </c>
      <c r="H301">
        <v>4.3094489999999999</v>
      </c>
      <c r="I301">
        <v>380.2817</v>
      </c>
      <c r="J301">
        <v>-453.70859999999999</v>
      </c>
      <c r="K301">
        <v>1.1095539999999999</v>
      </c>
      <c r="L301">
        <v>367.10599999999999</v>
      </c>
      <c r="M301">
        <v>0.99997650000000005</v>
      </c>
      <c r="N301">
        <v>0</v>
      </c>
      <c r="O301">
        <v>-2.9981360000000002E-3</v>
      </c>
      <c r="P301">
        <v>0.99937050000000005</v>
      </c>
      <c r="Q301">
        <v>3.3847439999999999E-2</v>
      </c>
      <c r="R301">
        <v>-1.063215E-2</v>
      </c>
      <c r="S301">
        <v>3.002167</v>
      </c>
      <c r="T301">
        <v>3.2494429999999998E-2</v>
      </c>
      <c r="U301">
        <v>0.13378909999999999</v>
      </c>
      <c r="V301">
        <v>7.6280480000000001E-3</v>
      </c>
      <c r="W301">
        <v>4.0033909999999999E-2</v>
      </c>
      <c r="X301">
        <v>0.99916919999999998</v>
      </c>
      <c r="Y301">
        <v>-4.751205E-2</v>
      </c>
      <c r="Z301">
        <v>-2.894269E-4</v>
      </c>
      <c r="AA301">
        <v>0.99887060000000005</v>
      </c>
      <c r="AB301">
        <v>25</v>
      </c>
      <c r="AC301">
        <v>295.5136</v>
      </c>
      <c r="AD301">
        <v>3.1998950000000002</v>
      </c>
      <c r="AE301">
        <v>13.175700000000001</v>
      </c>
      <c r="AF301">
        <v>-14.060002303742801</v>
      </c>
      <c r="AG301">
        <v>3.1998950000000002</v>
      </c>
      <c r="AH301">
        <v>295.43819680037001</v>
      </c>
      <c r="AI301">
        <v>89.380154396167001</v>
      </c>
      <c r="AJ301">
        <v>92.724669513944505</v>
      </c>
      <c r="AK301">
        <v>295.78987663787001</v>
      </c>
      <c r="AL301">
        <v>87.705612756660102</v>
      </c>
      <c r="AM301">
        <v>89.562590134355602</v>
      </c>
      <c r="AN301">
        <v>0.99999999564740905</v>
      </c>
    </row>
    <row r="302" spans="1:40" x14ac:dyDescent="0.25">
      <c r="A302" t="str">
        <f>"20190312150642301"</f>
        <v>20190312150642301</v>
      </c>
      <c r="B302" t="str">
        <f>"1552374402291376"</f>
        <v>1552374402291376</v>
      </c>
      <c r="C302" t="s">
        <v>40</v>
      </c>
      <c r="D302">
        <v>4.0338949999999896</v>
      </c>
      <c r="E302">
        <v>0.47916829999999999</v>
      </c>
      <c r="F302" t="s">
        <v>47</v>
      </c>
      <c r="G302">
        <v>-158.19499999999999</v>
      </c>
      <c r="H302">
        <v>4.3829890000000002</v>
      </c>
      <c r="I302">
        <v>380.24520000000001</v>
      </c>
      <c r="J302">
        <v>-453.4776</v>
      </c>
      <c r="K302">
        <v>1.109559</v>
      </c>
      <c r="L302">
        <v>367.10550000000001</v>
      </c>
      <c r="M302">
        <v>0.99997650000000005</v>
      </c>
      <c r="N302">
        <v>0</v>
      </c>
      <c r="O302">
        <v>-2.8699620000000002E-3</v>
      </c>
      <c r="P302">
        <v>0.99936990000000003</v>
      </c>
      <c r="Q302">
        <v>3.3699340000000001E-2</v>
      </c>
      <c r="R302">
        <v>-1.113245E-2</v>
      </c>
      <c r="S302">
        <v>3.0021969999999998</v>
      </c>
      <c r="T302">
        <v>3.3256529999999999E-2</v>
      </c>
      <c r="U302">
        <v>0.13348389999999999</v>
      </c>
      <c r="V302">
        <v>8.2564960000000003E-3</v>
      </c>
      <c r="W302">
        <v>3.991861E-2</v>
      </c>
      <c r="X302">
        <v>0.99916879999999997</v>
      </c>
      <c r="Y302">
        <v>-4.7282119999999997E-2</v>
      </c>
      <c r="Z302">
        <v>-2.9352030000000002E-4</v>
      </c>
      <c r="AA302">
        <v>0.99888149999999998</v>
      </c>
      <c r="AB302">
        <v>25</v>
      </c>
      <c r="AC302">
        <v>295.2826</v>
      </c>
      <c r="AD302">
        <v>3.2734299999999998</v>
      </c>
      <c r="AE302">
        <v>13.139699999999999</v>
      </c>
      <c r="AF302">
        <v>-13.9853968268248</v>
      </c>
      <c r="AG302">
        <v>3.2734299999999998</v>
      </c>
      <c r="AH302">
        <v>295.20746519797899</v>
      </c>
      <c r="AI302">
        <v>89.365409183626596</v>
      </c>
      <c r="AJ302">
        <v>92.712348562783404</v>
      </c>
      <c r="AK302">
        <v>295.55668521788698</v>
      </c>
      <c r="AL302">
        <v>87.712224204752701</v>
      </c>
      <c r="AM302">
        <v>89.526554864999099</v>
      </c>
      <c r="AN302">
        <v>0.99999997802198404</v>
      </c>
    </row>
    <row r="303" spans="1:40" x14ac:dyDescent="0.25">
      <c r="A303" t="str">
        <f>"20190312150642312"</f>
        <v>20190312150642312</v>
      </c>
      <c r="B303" t="str">
        <f>"1552374402301136"</f>
        <v>1552374402301136</v>
      </c>
      <c r="C303" t="s">
        <v>40</v>
      </c>
      <c r="D303">
        <v>4.0276610000000002</v>
      </c>
      <c r="E303">
        <v>0.47913549999999999</v>
      </c>
      <c r="F303" t="s">
        <v>47</v>
      </c>
      <c r="G303">
        <v>-158.19499999999999</v>
      </c>
      <c r="H303">
        <v>4.4331990000000001</v>
      </c>
      <c r="I303">
        <v>380.0992</v>
      </c>
      <c r="J303">
        <v>-453.34559999999999</v>
      </c>
      <c r="K303">
        <v>1.109561</v>
      </c>
      <c r="L303">
        <v>367.10520000000002</v>
      </c>
      <c r="M303">
        <v>0.99997659999999999</v>
      </c>
      <c r="N303">
        <v>0</v>
      </c>
      <c r="O303">
        <v>-2.7969319999999998E-3</v>
      </c>
      <c r="P303">
        <v>0.99936919999999996</v>
      </c>
      <c r="Q303">
        <v>3.3737299999999998E-2</v>
      </c>
      <c r="R303">
        <v>-1.1102310000000001E-2</v>
      </c>
      <c r="S303">
        <v>3.0022280000000001</v>
      </c>
      <c r="T303">
        <v>3.3793330000000003E-2</v>
      </c>
      <c r="U303">
        <v>0.13211059999999999</v>
      </c>
      <c r="V303">
        <v>8.2991060000000005E-3</v>
      </c>
      <c r="W303">
        <v>3.9972439999999998E-2</v>
      </c>
      <c r="X303">
        <v>0.99916629999999995</v>
      </c>
      <c r="Y303">
        <v>-4.6752630000000003E-2</v>
      </c>
      <c r="Z303">
        <v>-2.9445760000000002E-4</v>
      </c>
      <c r="AA303">
        <v>0.99890639999999997</v>
      </c>
      <c r="AB303">
        <v>25</v>
      </c>
      <c r="AC303">
        <v>295.1506</v>
      </c>
      <c r="AD303">
        <v>3.3236379999999999</v>
      </c>
      <c r="AE303">
        <v>12.9939999999999</v>
      </c>
      <c r="AF303">
        <v>-13.8177326362736</v>
      </c>
      <c r="AG303">
        <v>3.3236379999999999</v>
      </c>
      <c r="AH303">
        <v>295.07575643472001</v>
      </c>
      <c r="AI303">
        <v>89.355372473635697</v>
      </c>
      <c r="AJ303">
        <v>92.681073646932504</v>
      </c>
      <c r="AK303">
        <v>295.41780301851202</v>
      </c>
      <c r="AL303">
        <v>87.709137520866307</v>
      </c>
      <c r="AM303">
        <v>89.5241104379121</v>
      </c>
      <c r="AN303">
        <v>0.99999998308782101</v>
      </c>
    </row>
    <row r="304" spans="1:40" x14ac:dyDescent="0.25">
      <c r="A304" t="str">
        <f>"20190312150642325"</f>
        <v>20190312150642325</v>
      </c>
      <c r="B304" t="str">
        <f>"1552374402320542"</f>
        <v>1552374402320542</v>
      </c>
      <c r="C304" t="s">
        <v>40</v>
      </c>
      <c r="D304">
        <v>4.0302360000000004</v>
      </c>
      <c r="E304">
        <v>0.47910360000000002</v>
      </c>
      <c r="F304" t="s">
        <v>47</v>
      </c>
      <c r="G304">
        <v>-158.19499999999999</v>
      </c>
      <c r="H304">
        <v>4.5084660000000003</v>
      </c>
      <c r="I304">
        <v>380.12040000000002</v>
      </c>
      <c r="J304">
        <v>-453.21660000000003</v>
      </c>
      <c r="K304">
        <v>1.109561</v>
      </c>
      <c r="L304">
        <v>367.10489999999999</v>
      </c>
      <c r="M304">
        <v>0.9999768</v>
      </c>
      <c r="N304">
        <v>0</v>
      </c>
      <c r="O304">
        <v>-2.7253300000000002E-3</v>
      </c>
      <c r="P304">
        <v>0.99936259999999999</v>
      </c>
      <c r="Q304">
        <v>3.3921090000000001E-2</v>
      </c>
      <c r="R304">
        <v>-1.112663E-2</v>
      </c>
      <c r="S304">
        <v>3.002167</v>
      </c>
      <c r="T304">
        <v>3.4573319999999998E-2</v>
      </c>
      <c r="U304">
        <v>0.13238529999999901</v>
      </c>
      <c r="V304">
        <v>8.3950039999999993E-3</v>
      </c>
      <c r="W304">
        <v>4.0171129999999999E-2</v>
      </c>
      <c r="X304">
        <v>0.99915750000000003</v>
      </c>
      <c r="Y304">
        <v>-4.6773059999999998E-2</v>
      </c>
      <c r="Z304">
        <v>-3.005525E-4</v>
      </c>
      <c r="AA304">
        <v>0.9989055</v>
      </c>
      <c r="AB304">
        <v>25</v>
      </c>
      <c r="AC304">
        <v>295.02159999999998</v>
      </c>
      <c r="AD304">
        <v>3.3989050000000001</v>
      </c>
      <c r="AE304">
        <v>13.015499999999999</v>
      </c>
      <c r="AF304">
        <v>-13.817668085126501</v>
      </c>
      <c r="AG304">
        <v>3.3989050000000001</v>
      </c>
      <c r="AH304">
        <v>294.94595985617502</v>
      </c>
      <c r="AI304">
        <v>89.340486083033795</v>
      </c>
      <c r="AJ304">
        <v>92.682239269536694</v>
      </c>
      <c r="AK304">
        <v>295.28901053373102</v>
      </c>
      <c r="AL304">
        <v>87.697744201418104</v>
      </c>
      <c r="AM304">
        <v>89.518607446789801</v>
      </c>
      <c r="AN304">
        <v>0.99999995279194198</v>
      </c>
    </row>
    <row r="305" spans="1:40" x14ac:dyDescent="0.25">
      <c r="A305" t="str">
        <f>"20190312150642336"</f>
        <v>20190312150642336</v>
      </c>
      <c r="B305" t="str">
        <f>"1552374402330800"</f>
        <v>1552374402330800</v>
      </c>
      <c r="C305" t="s">
        <v>40</v>
      </c>
      <c r="D305">
        <v>4.47607</v>
      </c>
      <c r="E305">
        <v>0.47904390000000002</v>
      </c>
      <c r="F305" t="s">
        <v>47</v>
      </c>
      <c r="G305">
        <v>-158.19499999999999</v>
      </c>
      <c r="H305">
        <v>4.6260810000000001</v>
      </c>
      <c r="I305">
        <v>380.1592</v>
      </c>
      <c r="J305">
        <v>-453.07490000000001</v>
      </c>
      <c r="K305">
        <v>1.109553</v>
      </c>
      <c r="L305">
        <v>367.1046</v>
      </c>
      <c r="M305">
        <v>0.999977</v>
      </c>
      <c r="N305">
        <v>0</v>
      </c>
      <c r="O305">
        <v>-2.6470500000000002E-3</v>
      </c>
      <c r="P305">
        <v>0.9993611</v>
      </c>
      <c r="Q305">
        <v>3.4032020000000003E-2</v>
      </c>
      <c r="R305">
        <v>-1.094906E-2</v>
      </c>
      <c r="S305">
        <v>3.0021969999999998</v>
      </c>
      <c r="T305">
        <v>3.578568E-2</v>
      </c>
      <c r="U305">
        <v>0.13284299999999999</v>
      </c>
      <c r="V305">
        <v>8.2955619999999994E-3</v>
      </c>
      <c r="W305">
        <v>4.0295959999999999E-2</v>
      </c>
      <c r="X305">
        <v>0.99915339999999997</v>
      </c>
      <c r="Y305">
        <v>-4.6846190000000003E-2</v>
      </c>
      <c r="Z305">
        <v>-3.1058970000000003E-4</v>
      </c>
      <c r="AA305">
        <v>0.99890210000000002</v>
      </c>
      <c r="AB305">
        <v>25</v>
      </c>
      <c r="AC305">
        <v>294.87990000000002</v>
      </c>
      <c r="AD305">
        <v>3.5165280000000001</v>
      </c>
      <c r="AE305">
        <v>13.054599999999899</v>
      </c>
      <c r="AF305">
        <v>-13.833167918465801</v>
      </c>
      <c r="AG305">
        <v>3.5165280000000001</v>
      </c>
      <c r="AH305">
        <v>294.80246741950799</v>
      </c>
      <c r="AI305">
        <v>89.317335288637693</v>
      </c>
      <c r="AJ305">
        <v>92.6865487473586</v>
      </c>
      <c r="AK305">
        <v>295.14778891339398</v>
      </c>
      <c r="AL305">
        <v>87.690586394780894</v>
      </c>
      <c r="AM305">
        <v>89.524307508299202</v>
      </c>
      <c r="AN305">
        <v>1.00000004873638</v>
      </c>
    </row>
    <row r="306" spans="1:40" x14ac:dyDescent="0.25">
      <c r="A306" t="str">
        <f>"20190312150642356"</f>
        <v>20190312150642356</v>
      </c>
      <c r="B306" t="str">
        <f>"1552374402351296"</f>
        <v>1552374402351296</v>
      </c>
      <c r="C306" t="s">
        <v>40</v>
      </c>
      <c r="D306">
        <v>3.965722</v>
      </c>
      <c r="E306">
        <v>0.47886129999999999</v>
      </c>
      <c r="F306" t="s">
        <v>47</v>
      </c>
      <c r="G306">
        <v>-158.19499999999999</v>
      </c>
      <c r="H306">
        <v>4.7265249999999996</v>
      </c>
      <c r="I306">
        <v>380.21289999999999</v>
      </c>
      <c r="J306">
        <v>-452.858</v>
      </c>
      <c r="K306">
        <v>1.109553</v>
      </c>
      <c r="L306">
        <v>367.10419999999999</v>
      </c>
      <c r="M306">
        <v>0.99997709999999995</v>
      </c>
      <c r="N306">
        <v>0</v>
      </c>
      <c r="O306">
        <v>-2.526941E-3</v>
      </c>
      <c r="P306">
        <v>0.99937889999999996</v>
      </c>
      <c r="Q306">
        <v>3.3622770000000003E-2</v>
      </c>
      <c r="R306">
        <v>-1.0559310000000001E-2</v>
      </c>
      <c r="S306">
        <v>3.0021360000000001</v>
      </c>
      <c r="T306">
        <v>3.6824820000000001E-2</v>
      </c>
      <c r="U306">
        <v>0.1334534</v>
      </c>
      <c r="V306">
        <v>8.0259679999999996E-3</v>
      </c>
      <c r="W306">
        <v>3.9905259999999998E-2</v>
      </c>
      <c r="X306">
        <v>0.99917129999999998</v>
      </c>
      <c r="Y306">
        <v>-4.692959E-2</v>
      </c>
      <c r="Z306">
        <v>-3.186517E-4</v>
      </c>
      <c r="AA306">
        <v>0.99889810000000001</v>
      </c>
      <c r="AB306">
        <v>25</v>
      </c>
      <c r="AC306">
        <v>294.66300000000001</v>
      </c>
      <c r="AD306">
        <v>3.6169720000000001</v>
      </c>
      <c r="AE306">
        <v>13.108700000000001</v>
      </c>
      <c r="AF306">
        <v>-13.8511859410231</v>
      </c>
      <c r="AG306">
        <v>3.6169720000000001</v>
      </c>
      <c r="AH306">
        <v>294.58463497022001</v>
      </c>
      <c r="AI306">
        <v>89.297321978481904</v>
      </c>
      <c r="AJ306">
        <v>92.692029146678095</v>
      </c>
      <c r="AK306">
        <v>294.93227188451198</v>
      </c>
      <c r="AL306">
        <v>87.712989915475802</v>
      </c>
      <c r="AM306">
        <v>89.539774408159602</v>
      </c>
      <c r="AN306">
        <v>1.0000000663408399</v>
      </c>
    </row>
    <row r="307" spans="1:40" x14ac:dyDescent="0.25">
      <c r="A307" t="str">
        <f>"20190312150642368"</f>
        <v>20190312150642368</v>
      </c>
      <c r="B307" t="str">
        <f>"1552374402361056"</f>
        <v>1552374402361056</v>
      </c>
      <c r="C307" t="s">
        <v>40</v>
      </c>
      <c r="D307">
        <v>3.898968</v>
      </c>
      <c r="E307">
        <v>0.47867729999999997</v>
      </c>
      <c r="F307" t="s">
        <v>47</v>
      </c>
      <c r="G307">
        <v>-158.19499999999999</v>
      </c>
      <c r="H307">
        <v>4.4903919999999999</v>
      </c>
      <c r="I307">
        <v>380.46640000000002</v>
      </c>
      <c r="J307">
        <v>-452.72160000000002</v>
      </c>
      <c r="K307">
        <v>1.1095549999999901</v>
      </c>
      <c r="L307">
        <v>367.10390000000001</v>
      </c>
      <c r="M307">
        <v>0.99997729999999996</v>
      </c>
      <c r="N307">
        <v>0</v>
      </c>
      <c r="O307">
        <v>-2.4515090000000002E-3</v>
      </c>
      <c r="P307">
        <v>0.99938320000000003</v>
      </c>
      <c r="Q307">
        <v>3.3558879999999999E-2</v>
      </c>
      <c r="R307">
        <v>-1.0364979999999999E-2</v>
      </c>
      <c r="S307">
        <v>3.0021360000000001</v>
      </c>
      <c r="T307">
        <v>3.4446119999999997E-2</v>
      </c>
      <c r="U307">
        <v>0.13613889999999901</v>
      </c>
      <c r="V307">
        <v>7.9067459999999992E-3</v>
      </c>
      <c r="W307">
        <v>3.9850950000000003E-2</v>
      </c>
      <c r="X307">
        <v>0.99917440000000002</v>
      </c>
      <c r="Y307">
        <v>-4.7746410000000003E-2</v>
      </c>
      <c r="Z307">
        <v>-3.0188220000000002E-4</v>
      </c>
      <c r="AA307">
        <v>0.99885950000000001</v>
      </c>
      <c r="AB307">
        <v>25</v>
      </c>
      <c r="AC307">
        <v>294.52659999999997</v>
      </c>
      <c r="AD307">
        <v>3.3808370000000001</v>
      </c>
      <c r="AE307">
        <v>13.362500000000001</v>
      </c>
      <c r="AF307">
        <v>-14.082656889296199</v>
      </c>
      <c r="AG307">
        <v>3.3808370000000001</v>
      </c>
      <c r="AH307">
        <v>294.45423698645197</v>
      </c>
      <c r="AI307">
        <v>89.342926591384796</v>
      </c>
      <c r="AJ307">
        <v>92.738158739713199</v>
      </c>
      <c r="AK307">
        <v>294.81019141670799</v>
      </c>
      <c r="AL307">
        <v>87.716104084866402</v>
      </c>
      <c r="AM307">
        <v>89.546611963101398</v>
      </c>
      <c r="AN307">
        <v>1.0000000482317799</v>
      </c>
    </row>
    <row r="308" spans="1:40" x14ac:dyDescent="0.25">
      <c r="A308" t="str">
        <f>"20190312150642380"</f>
        <v>20190312150642380</v>
      </c>
      <c r="B308" t="str">
        <f>"1552374402370816"</f>
        <v>1552374402370816</v>
      </c>
      <c r="C308" t="s">
        <v>40</v>
      </c>
      <c r="D308">
        <v>3.9680800000000001</v>
      </c>
      <c r="E308">
        <v>0.47856330000000002</v>
      </c>
      <c r="F308" t="s">
        <v>47</v>
      </c>
      <c r="G308">
        <v>-158.19499999999999</v>
      </c>
      <c r="H308">
        <v>4.5844239999999896</v>
      </c>
      <c r="I308">
        <v>380.64569999999998</v>
      </c>
      <c r="J308">
        <v>-452.57729999999998</v>
      </c>
      <c r="K308">
        <v>1.1095539999999999</v>
      </c>
      <c r="L308">
        <v>367.10359999999997</v>
      </c>
      <c r="M308">
        <v>0.99997749999999996</v>
      </c>
      <c r="N308">
        <v>0</v>
      </c>
      <c r="O308">
        <v>-2.3716610000000002E-3</v>
      </c>
      <c r="P308">
        <v>0.99939100000000003</v>
      </c>
      <c r="Q308">
        <v>3.3306490000000001E-2</v>
      </c>
      <c r="R308">
        <v>-1.041161E-2</v>
      </c>
      <c r="S308">
        <v>3.0021059999999999</v>
      </c>
      <c r="T308">
        <v>3.5420180000000002E-2</v>
      </c>
      <c r="U308">
        <v>0.13803099999999999</v>
      </c>
      <c r="V308">
        <v>8.0332909999999997E-3</v>
      </c>
      <c r="W308">
        <v>3.9607000000000003E-2</v>
      </c>
      <c r="X308">
        <v>0.99918309999999999</v>
      </c>
      <c r="Y308">
        <v>-4.8295100000000001E-2</v>
      </c>
      <c r="Z308">
        <v>-3.127103E-4</v>
      </c>
      <c r="AA308">
        <v>0.99883310000000003</v>
      </c>
      <c r="AB308">
        <v>25</v>
      </c>
      <c r="AC308">
        <v>294.38229999999999</v>
      </c>
      <c r="AD308">
        <v>3.4748699999999899</v>
      </c>
      <c r="AE308">
        <v>13.5421</v>
      </c>
      <c r="AF308">
        <v>-14.238271007878801</v>
      </c>
      <c r="AG308">
        <v>3.4748699999999899</v>
      </c>
      <c r="AH308">
        <v>294.30843388696701</v>
      </c>
      <c r="AI308">
        <v>89.324336102191495</v>
      </c>
      <c r="AJ308">
        <v>92.769738069672201</v>
      </c>
      <c r="AK308">
        <v>294.67313644071697</v>
      </c>
      <c r="AL308">
        <v>87.730092455203803</v>
      </c>
      <c r="AM308">
        <v>89.539359950118595</v>
      </c>
      <c r="AN308">
        <v>1.0000000577694399</v>
      </c>
    </row>
    <row r="309" spans="1:40" x14ac:dyDescent="0.25">
      <c r="A309" t="str">
        <f>"20190312150642395"</f>
        <v>20190312150642395</v>
      </c>
      <c r="B309" t="str">
        <f>"1552374402391312"</f>
        <v>1552374402391312</v>
      </c>
      <c r="C309" t="s">
        <v>40</v>
      </c>
      <c r="D309">
        <v>4.2352600000000002</v>
      </c>
      <c r="E309">
        <v>0.47843780000000002</v>
      </c>
      <c r="F309" t="s">
        <v>47</v>
      </c>
      <c r="G309">
        <v>-158.19499999999999</v>
      </c>
      <c r="H309">
        <v>4.4635879999999997</v>
      </c>
      <c r="I309">
        <v>380.73750000000001</v>
      </c>
      <c r="J309">
        <v>-452.41809999999998</v>
      </c>
      <c r="K309">
        <v>1.109553</v>
      </c>
      <c r="L309">
        <v>367.10329999999999</v>
      </c>
      <c r="M309">
        <v>0.99997760000000002</v>
      </c>
      <c r="N309">
        <v>0</v>
      </c>
      <c r="O309">
        <v>-2.2838250000000002E-3</v>
      </c>
      <c r="P309">
        <v>0.99939860000000003</v>
      </c>
      <c r="Q309">
        <v>3.310134E-2</v>
      </c>
      <c r="R309">
        <v>-1.0341680000000001E-2</v>
      </c>
      <c r="S309">
        <v>3.0021059999999999</v>
      </c>
      <c r="T309">
        <v>3.4205319999999997E-2</v>
      </c>
      <c r="U309">
        <v>0.1390381</v>
      </c>
      <c r="V309">
        <v>8.0513159999999993E-3</v>
      </c>
      <c r="W309">
        <v>3.9409270000000003E-2</v>
      </c>
      <c r="X309">
        <v>0.99919069999999999</v>
      </c>
      <c r="Y309">
        <v>-4.854195E-2</v>
      </c>
      <c r="Z309">
        <v>-3.0238839999999998E-4</v>
      </c>
      <c r="AA309">
        <v>0.99882110000000002</v>
      </c>
      <c r="AB309">
        <v>25</v>
      </c>
      <c r="AC309">
        <v>294.22309999999999</v>
      </c>
      <c r="AD309">
        <v>3.3540350000000001</v>
      </c>
      <c r="AE309">
        <v>13.6342</v>
      </c>
      <c r="AF309">
        <v>-14.3042769318414</v>
      </c>
      <c r="AG309">
        <v>3.3540350000000001</v>
      </c>
      <c r="AH309">
        <v>294.15305016042601</v>
      </c>
      <c r="AI309">
        <v>89.347492965487007</v>
      </c>
      <c r="AJ309">
        <v>92.784025466476905</v>
      </c>
      <c r="AK309">
        <v>294.51974264555901</v>
      </c>
      <c r="AL309">
        <v>87.741430235840497</v>
      </c>
      <c r="AM309">
        <v>89.538329927710507</v>
      </c>
      <c r="AN309">
        <v>0.99999998460887696</v>
      </c>
    </row>
    <row r="310" spans="1:40" x14ac:dyDescent="0.25">
      <c r="A310" t="str">
        <f>"20190312150642414"</f>
        <v>20190312150642414</v>
      </c>
      <c r="B310" t="str">
        <f>"1552374402401072"</f>
        <v>1552374402401072</v>
      </c>
      <c r="C310" t="s">
        <v>40</v>
      </c>
      <c r="D310">
        <v>3.947905</v>
      </c>
      <c r="E310">
        <v>0.4784062</v>
      </c>
      <c r="F310" t="s">
        <v>47</v>
      </c>
      <c r="G310">
        <v>-158.19499999999999</v>
      </c>
      <c r="H310">
        <v>4.3448549999999999</v>
      </c>
      <c r="I310">
        <v>380.8612</v>
      </c>
      <c r="J310">
        <v>-452.20010000000002</v>
      </c>
      <c r="K310">
        <v>1.1095489999999999</v>
      </c>
      <c r="L310">
        <v>367.10300000000001</v>
      </c>
      <c r="M310">
        <v>0.99997780000000003</v>
      </c>
      <c r="N310">
        <v>0</v>
      </c>
      <c r="O310">
        <v>-2.1634480000000001E-3</v>
      </c>
      <c r="P310">
        <v>0.99942120000000001</v>
      </c>
      <c r="Q310">
        <v>3.2581789999999999E-2</v>
      </c>
      <c r="R310">
        <v>-9.7895329999999996E-3</v>
      </c>
      <c r="S310">
        <v>3.002167</v>
      </c>
      <c r="T310">
        <v>3.3012989999999999E-2</v>
      </c>
      <c r="U310">
        <v>0.1403809</v>
      </c>
      <c r="V310">
        <v>7.6193789999999999E-3</v>
      </c>
      <c r="W310">
        <v>3.889944E-2</v>
      </c>
      <c r="X310">
        <v>0.99921409999999999</v>
      </c>
      <c r="Y310">
        <v>-4.886675E-2</v>
      </c>
      <c r="Z310">
        <v>-2.9230119999999998E-4</v>
      </c>
      <c r="AA310">
        <v>0.99880530000000001</v>
      </c>
      <c r="AB310">
        <v>25</v>
      </c>
      <c r="AC310">
        <v>294.00510000000003</v>
      </c>
      <c r="AD310">
        <v>3.235306</v>
      </c>
      <c r="AE310">
        <v>13.758199999999899</v>
      </c>
      <c r="AF310">
        <v>-14.392506147494499</v>
      </c>
      <c r="AG310">
        <v>3.235306</v>
      </c>
      <c r="AH310">
        <v>293.93912982763902</v>
      </c>
      <c r="AI310">
        <v>89.370141333218001</v>
      </c>
      <c r="AJ310">
        <v>92.803205513682897</v>
      </c>
      <c r="AK310">
        <v>294.30906116181501</v>
      </c>
      <c r="AL310">
        <v>87.770663838730201</v>
      </c>
      <c r="AM310">
        <v>89.563106847580698</v>
      </c>
      <c r="AN310">
        <v>1.00000001950373</v>
      </c>
    </row>
    <row r="311" spans="1:40" x14ac:dyDescent="0.25">
      <c r="A311" t="str">
        <f>"20190312150642436"</f>
        <v>20190312150642436</v>
      </c>
      <c r="B311" t="str">
        <f>"1552374402431328"</f>
        <v>1552374402431328</v>
      </c>
      <c r="C311" t="s">
        <v>40</v>
      </c>
      <c r="D311">
        <v>4.2777089999999998</v>
      </c>
      <c r="E311">
        <v>0.4783636</v>
      </c>
      <c r="F311" t="s">
        <v>47</v>
      </c>
      <c r="G311">
        <v>-158.19499999999999</v>
      </c>
      <c r="H311">
        <v>4.2074239999999996</v>
      </c>
      <c r="I311">
        <v>381.0093</v>
      </c>
      <c r="J311">
        <v>-451.95310000000001</v>
      </c>
      <c r="K311">
        <v>1.1095459999999999</v>
      </c>
      <c r="L311">
        <v>367.10250000000002</v>
      </c>
      <c r="M311">
        <v>0.99997789999999998</v>
      </c>
      <c r="N311">
        <v>0</v>
      </c>
      <c r="O311">
        <v>-2.0273370000000001E-3</v>
      </c>
      <c r="P311">
        <v>0.99943349999999997</v>
      </c>
      <c r="Q311">
        <v>3.2265599999999998E-2</v>
      </c>
      <c r="R311">
        <v>-9.5824280000000005E-3</v>
      </c>
      <c r="S311">
        <v>3.0021059999999999</v>
      </c>
      <c r="T311">
        <v>3.1633499999999898E-2</v>
      </c>
      <c r="U311">
        <v>0.14199829999999999</v>
      </c>
      <c r="V311">
        <v>7.5483369999999996E-3</v>
      </c>
      <c r="W311">
        <v>3.8593549999999997E-2</v>
      </c>
      <c r="X311">
        <v>0.99922650000000002</v>
      </c>
      <c r="Y311">
        <v>-4.9268909999999999E-2</v>
      </c>
      <c r="Z311">
        <v>-2.8077400000000002E-4</v>
      </c>
      <c r="AA311">
        <v>0.99878549999999999</v>
      </c>
      <c r="AB311">
        <v>26</v>
      </c>
      <c r="AC311">
        <v>293.75810000000001</v>
      </c>
      <c r="AD311">
        <v>3.0978780000000001</v>
      </c>
      <c r="AE311">
        <v>13.906799999999899</v>
      </c>
      <c r="AF311">
        <v>-14.5007209848721</v>
      </c>
      <c r="AG311">
        <v>3.0978780000000001</v>
      </c>
      <c r="AH311">
        <v>293.69671259781597</v>
      </c>
      <c r="AI311">
        <v>89.396408528746804</v>
      </c>
      <c r="AJ311">
        <v>92.826575703396401</v>
      </c>
      <c r="AK311">
        <v>294.07078526767702</v>
      </c>
      <c r="AL311">
        <v>87.788203213908801</v>
      </c>
      <c r="AM311">
        <v>89.567185592062998</v>
      </c>
      <c r="AN311">
        <v>1.0000000188976499</v>
      </c>
    </row>
    <row r="312" spans="1:40" x14ac:dyDescent="0.25">
      <c r="A312" t="str">
        <f>"20190312150642449"</f>
        <v>20190312150642449</v>
      </c>
      <c r="B312" t="str">
        <f>"1552374402441088"</f>
        <v>1552374402441088</v>
      </c>
      <c r="C312" t="s">
        <v>40</v>
      </c>
      <c r="D312">
        <v>3.9997850000000001</v>
      </c>
      <c r="E312">
        <v>0.4783636</v>
      </c>
      <c r="F312" t="s">
        <v>47</v>
      </c>
      <c r="G312">
        <v>-158.19499999999999</v>
      </c>
      <c r="H312">
        <v>4.1421769999999896</v>
      </c>
      <c r="I312">
        <v>381.11380000000003</v>
      </c>
      <c r="J312">
        <v>-451.7962</v>
      </c>
      <c r="K312">
        <v>1.1095440000000001</v>
      </c>
      <c r="L312">
        <v>367.10230000000001</v>
      </c>
      <c r="M312">
        <v>0.99997809999999998</v>
      </c>
      <c r="N312">
        <v>0</v>
      </c>
      <c r="O312">
        <v>-1.9408089999999999E-3</v>
      </c>
      <c r="P312">
        <v>0.99944599999999995</v>
      </c>
      <c r="Q312">
        <v>3.1869540000000002E-2</v>
      </c>
      <c r="R312">
        <v>-9.5936010000000002E-3</v>
      </c>
      <c r="S312">
        <v>3.002075</v>
      </c>
      <c r="T312">
        <v>3.099298E-2</v>
      </c>
      <c r="U312">
        <v>0.1431885</v>
      </c>
      <c r="V312">
        <v>7.6460479999999999E-3</v>
      </c>
      <c r="W312">
        <v>3.8204259999999997E-2</v>
      </c>
      <c r="X312">
        <v>0.99924069999999998</v>
      </c>
      <c r="Y312">
        <v>-4.9578150000000001E-2</v>
      </c>
      <c r="Z312">
        <v>-2.7579200000000002E-4</v>
      </c>
      <c r="AA312">
        <v>0.99877020000000005</v>
      </c>
      <c r="AB312">
        <v>26</v>
      </c>
      <c r="AC312">
        <v>293.60120000000001</v>
      </c>
      <c r="AD312">
        <v>3.0326329999999899</v>
      </c>
      <c r="AE312">
        <v>14.0115</v>
      </c>
      <c r="AF312">
        <v>-14.5797568867115</v>
      </c>
      <c r="AG312">
        <v>3.0326329999999899</v>
      </c>
      <c r="AH312">
        <v>293.54220594920503</v>
      </c>
      <c r="AI312">
        <v>89.408817605472393</v>
      </c>
      <c r="AJ312">
        <v>92.843450127987097</v>
      </c>
      <c r="AK312">
        <v>293.91970476188499</v>
      </c>
      <c r="AL312">
        <v>87.810524312754097</v>
      </c>
      <c r="AM312">
        <v>89.561589384284602</v>
      </c>
      <c r="AN312">
        <v>1.00000000203432</v>
      </c>
    </row>
    <row r="313" spans="1:40" x14ac:dyDescent="0.25">
      <c r="A313" t="str">
        <f>"20190312150642468"</f>
        <v>20190312150642468</v>
      </c>
      <c r="B313" t="str">
        <f>"1552374402460617"</f>
        <v>1552374402460617</v>
      </c>
      <c r="C313" t="s">
        <v>40</v>
      </c>
      <c r="D313">
        <v>3.9548739999999998</v>
      </c>
      <c r="E313">
        <v>0.49359809999999998</v>
      </c>
      <c r="F313" t="s">
        <v>47</v>
      </c>
      <c r="G313">
        <v>-158.19499999999999</v>
      </c>
      <c r="H313">
        <v>4.0274780000000003</v>
      </c>
      <c r="I313">
        <v>381.10640000000001</v>
      </c>
      <c r="J313">
        <v>-451.577</v>
      </c>
      <c r="K313">
        <v>1.1095389999999901</v>
      </c>
      <c r="L313">
        <v>367.10210000000001</v>
      </c>
      <c r="M313">
        <v>0.99997829999999999</v>
      </c>
      <c r="N313">
        <v>0</v>
      </c>
      <c r="O313">
        <v>-1.8199570000000001E-3</v>
      </c>
      <c r="P313">
        <v>0.9994615</v>
      </c>
      <c r="Q313">
        <v>3.1400879999999999E-2</v>
      </c>
      <c r="R313">
        <v>-9.5338290000000006E-3</v>
      </c>
      <c r="S313">
        <v>3.002014</v>
      </c>
      <c r="T313">
        <v>2.983618E-2</v>
      </c>
      <c r="U313">
        <v>0.1431885</v>
      </c>
      <c r="V313">
        <v>7.7070819999999996E-3</v>
      </c>
      <c r="W313">
        <v>3.774491E-2</v>
      </c>
      <c r="X313">
        <v>0.99925770000000003</v>
      </c>
      <c r="Y313">
        <v>-4.9458620000000002E-2</v>
      </c>
      <c r="Z313">
        <v>-2.6370979999999999E-4</v>
      </c>
      <c r="AA313">
        <v>0.99877609999999994</v>
      </c>
      <c r="AB313">
        <v>26</v>
      </c>
      <c r="AC313">
        <v>293.38200000000001</v>
      </c>
      <c r="AD313">
        <v>2.9179390000000001</v>
      </c>
      <c r="AE313">
        <v>14.004300000000001</v>
      </c>
      <c r="AF313">
        <v>-14.536795417955</v>
      </c>
      <c r="AG313">
        <v>2.9179390000000001</v>
      </c>
      <c r="AH313">
        <v>293.32707632625198</v>
      </c>
      <c r="AI313">
        <v>89.430754334768395</v>
      </c>
      <c r="AJ313">
        <v>92.837161049654</v>
      </c>
      <c r="AK313">
        <v>293.701560253156</v>
      </c>
      <c r="AL313">
        <v>87.836862152855502</v>
      </c>
      <c r="AM313">
        <v>89.558097460684095</v>
      </c>
      <c r="AN313">
        <v>1.0000000141765699</v>
      </c>
    </row>
    <row r="314" spans="1:40" x14ac:dyDescent="0.25">
      <c r="A314" t="str">
        <f>"20190312150642480"</f>
        <v>20190312150642480</v>
      </c>
      <c r="B314" t="str">
        <f>"1552374402471344"</f>
        <v>1552374402471344</v>
      </c>
      <c r="C314" t="s">
        <v>40</v>
      </c>
      <c r="D314">
        <v>3.957058</v>
      </c>
      <c r="E314">
        <v>0.49439699999999998</v>
      </c>
      <c r="F314" t="s">
        <v>47</v>
      </c>
      <c r="G314">
        <v>-158.78319999999999</v>
      </c>
      <c r="H314">
        <v>2.2790409999999999</v>
      </c>
      <c r="I314">
        <v>369.1979</v>
      </c>
      <c r="J314">
        <v>-451.43150000000003</v>
      </c>
      <c r="K314">
        <v>1.10954</v>
      </c>
      <c r="L314">
        <v>367.1019</v>
      </c>
      <c r="M314">
        <v>0.99997840000000005</v>
      </c>
      <c r="N314">
        <v>0</v>
      </c>
      <c r="O314">
        <v>-1.73962799999999E-3</v>
      </c>
      <c r="P314">
        <v>0.99947090000000005</v>
      </c>
      <c r="Q314">
        <v>3.1178190000000001E-2</v>
      </c>
      <c r="R314">
        <v>-9.2824870000000007E-3</v>
      </c>
      <c r="S314">
        <v>3.001465</v>
      </c>
      <c r="T314">
        <v>1.198959E-2</v>
      </c>
      <c r="U314">
        <v>2.1484380000000001E-2</v>
      </c>
      <c r="V314">
        <v>7.5357929999999998E-3</v>
      </c>
      <c r="W314">
        <v>3.752954E-2</v>
      </c>
      <c r="X314">
        <v>0.99926709999999996</v>
      </c>
      <c r="Y314">
        <v>-8.8973049999999995E-3</v>
      </c>
      <c r="Z314" s="1">
        <v>-2.471932E-5</v>
      </c>
      <c r="AA314">
        <v>0.99996039999999997</v>
      </c>
      <c r="AB314">
        <v>26</v>
      </c>
      <c r="AC314">
        <v>292.64830000000001</v>
      </c>
      <c r="AD314">
        <v>1.1695009999999999</v>
      </c>
      <c r="AE314">
        <v>2.0960000000000001</v>
      </c>
      <c r="AF314">
        <v>-2.6050646303641201</v>
      </c>
      <c r="AG314">
        <v>1.1695009999999999</v>
      </c>
      <c r="AH314">
        <v>292.63953756713602</v>
      </c>
      <c r="AI314">
        <v>89.771034151875796</v>
      </c>
      <c r="AJ314">
        <v>90.5100311032229</v>
      </c>
      <c r="AK314">
        <v>292.65346921201001</v>
      </c>
      <c r="AL314">
        <v>87.849210654622098</v>
      </c>
      <c r="AM314">
        <v>89.567922380970003</v>
      </c>
      <c r="AN314">
        <v>0.99999999584557997</v>
      </c>
    </row>
    <row r="315" spans="1:40" x14ac:dyDescent="0.25">
      <c r="A315" t="str">
        <f>"20190312150642492"</f>
        <v>20190312150642492</v>
      </c>
      <c r="B315" t="str">
        <f>"1552374402481104"</f>
        <v>1552374402481104</v>
      </c>
      <c r="C315" t="s">
        <v>40</v>
      </c>
      <c r="D315">
        <v>3.9465270000000001</v>
      </c>
      <c r="E315">
        <v>0.49495719999999999</v>
      </c>
      <c r="F315" t="s">
        <v>47</v>
      </c>
      <c r="G315">
        <v>-158.78319999999999</v>
      </c>
      <c r="H315">
        <v>0.62237349999999902</v>
      </c>
      <c r="I315">
        <v>368.649</v>
      </c>
      <c r="J315">
        <v>-451.29919999999998</v>
      </c>
      <c r="K315">
        <v>1.10954</v>
      </c>
      <c r="L315">
        <v>367.10169999999999</v>
      </c>
      <c r="M315">
        <v>0.99997840000000005</v>
      </c>
      <c r="N315">
        <v>0</v>
      </c>
      <c r="O315">
        <v>-1.666451E-3</v>
      </c>
      <c r="P315">
        <v>0.99947189999999997</v>
      </c>
      <c r="Q315">
        <v>3.1160719999999999E-2</v>
      </c>
      <c r="R315">
        <v>-9.2163379999999993E-3</v>
      </c>
      <c r="S315">
        <v>3.0018919999999998</v>
      </c>
      <c r="T315">
        <v>-4.9963000000000004E-3</v>
      </c>
      <c r="U315">
        <v>1.586914E-2</v>
      </c>
      <c r="V315">
        <v>7.542974E-3</v>
      </c>
      <c r="W315">
        <v>3.7518580000000003E-2</v>
      </c>
      <c r="X315">
        <v>0.99926749999999998</v>
      </c>
      <c r="Y315">
        <v>-6.9527490000000003E-3</v>
      </c>
      <c r="Z315" s="1">
        <v>8.5596270000000007E-6</v>
      </c>
      <c r="AA315">
        <v>0.99997579999999997</v>
      </c>
      <c r="AB315">
        <v>26</v>
      </c>
      <c r="AC315">
        <v>292.51600000000002</v>
      </c>
      <c r="AD315">
        <v>-0.4871665</v>
      </c>
      <c r="AE315">
        <v>1.5472999999999999</v>
      </c>
      <c r="AF315">
        <v>-2.034765641076</v>
      </c>
      <c r="AG315">
        <v>-0.4871665</v>
      </c>
      <c r="AH315">
        <v>292.512203953361</v>
      </c>
      <c r="AI315">
        <v>90.095421260685598</v>
      </c>
      <c r="AJ315">
        <v>90.398552954657603</v>
      </c>
      <c r="AK315">
        <v>292.5196866265</v>
      </c>
      <c r="AL315">
        <v>87.849839150542493</v>
      </c>
      <c r="AM315">
        <v>89.567510834764505</v>
      </c>
      <c r="AN315">
        <v>1.0000000384291099</v>
      </c>
    </row>
    <row r="316" spans="1:40" x14ac:dyDescent="0.25">
      <c r="A316" t="str">
        <f>"20190312150642504"</f>
        <v>20190312150642504</v>
      </c>
      <c r="B316" t="str">
        <f>"1552374402500629"</f>
        <v>1552374402500629</v>
      </c>
      <c r="C316" t="s">
        <v>40</v>
      </c>
      <c r="D316">
        <v>3.9301330000000001</v>
      </c>
      <c r="E316">
        <v>0.49574200000000002</v>
      </c>
      <c r="F316" t="s">
        <v>49</v>
      </c>
      <c r="G316">
        <v>-185.8494</v>
      </c>
      <c r="H316" s="1">
        <v>-8.7039459999999905E-6</v>
      </c>
      <c r="I316">
        <v>368.11630000000002</v>
      </c>
      <c r="J316">
        <v>-451.15589999999997</v>
      </c>
      <c r="K316">
        <v>1.10954</v>
      </c>
      <c r="L316">
        <v>367.10160000000002</v>
      </c>
      <c r="M316">
        <v>0.99997849999999999</v>
      </c>
      <c r="N316">
        <v>0</v>
      </c>
      <c r="O316">
        <v>-1.5873160000000001E-3</v>
      </c>
      <c r="P316">
        <v>0.99948130000000002</v>
      </c>
      <c r="Q316">
        <v>3.0866279999999999E-2</v>
      </c>
      <c r="R316">
        <v>-9.197406E-3</v>
      </c>
      <c r="S316">
        <v>3.0021059999999999</v>
      </c>
      <c r="T316">
        <v>-1.2548449999999999E-2</v>
      </c>
      <c r="U316">
        <v>1.147461E-2</v>
      </c>
      <c r="V316">
        <v>7.6029929999999997E-3</v>
      </c>
      <c r="W316">
        <v>3.7231720000000003E-2</v>
      </c>
      <c r="X316">
        <v>0.99927770000000005</v>
      </c>
      <c r="Y316">
        <v>-5.4094299999999998E-3</v>
      </c>
      <c r="Z316" s="1">
        <v>1.7940179999999898E-5</v>
      </c>
      <c r="AA316">
        <v>0.99998540000000002</v>
      </c>
      <c r="AB316">
        <v>26</v>
      </c>
      <c r="AC316">
        <v>265.30650000000003</v>
      </c>
      <c r="AD316">
        <v>-1.1095487039459999</v>
      </c>
      <c r="AE316">
        <v>1.0146999999999999</v>
      </c>
      <c r="AF316">
        <v>-1.4358073855058899</v>
      </c>
      <c r="AG316">
        <v>-1.1095487039459999</v>
      </c>
      <c r="AH316">
        <v>265.29991497064799</v>
      </c>
      <c r="AI316">
        <v>90.2396199647483</v>
      </c>
      <c r="AJ316">
        <v>90.310082648240495</v>
      </c>
      <c r="AK316">
        <v>265.30612040548101</v>
      </c>
      <c r="AL316">
        <v>87.866286350288107</v>
      </c>
      <c r="AM316">
        <v>89.564074125753294</v>
      </c>
      <c r="AN316">
        <v>0.99999996409700198</v>
      </c>
    </row>
    <row r="317" spans="1:40" x14ac:dyDescent="0.25">
      <c r="A317" t="str">
        <f>"20190312150642516"</f>
        <v>20190312150642516</v>
      </c>
      <c r="B317" t="str">
        <f>"1552374402511365"</f>
        <v>1552374402511365</v>
      </c>
      <c r="C317" t="s">
        <v>40</v>
      </c>
      <c r="D317">
        <v>3.90652</v>
      </c>
      <c r="E317">
        <v>0.49584410000000001</v>
      </c>
      <c r="F317" t="s">
        <v>43</v>
      </c>
      <c r="G317">
        <v>-296.53199999999998</v>
      </c>
      <c r="H317">
        <v>-0.05</v>
      </c>
      <c r="I317">
        <v>367.36720000000003</v>
      </c>
      <c r="J317">
        <v>-451.01580000000001</v>
      </c>
      <c r="K317">
        <v>1.109542</v>
      </c>
      <c r="L317">
        <v>367.10140000000001</v>
      </c>
      <c r="M317">
        <v>0.9999787</v>
      </c>
      <c r="N317">
        <v>0</v>
      </c>
      <c r="O317">
        <v>-1.51009E-3</v>
      </c>
      <c r="P317">
        <v>0.99948800000000004</v>
      </c>
      <c r="Q317">
        <v>3.0703810000000002E-2</v>
      </c>
      <c r="R317">
        <v>-9.0112089999999992E-3</v>
      </c>
      <c r="S317">
        <v>3.002319</v>
      </c>
      <c r="T317">
        <v>-2.2514699999999999E-2</v>
      </c>
      <c r="U317">
        <v>5.1574709999999899E-3</v>
      </c>
      <c r="V317">
        <v>7.4940629999999996E-3</v>
      </c>
      <c r="W317">
        <v>3.7076379999999999E-2</v>
      </c>
      <c r="X317">
        <v>0.99928430000000001</v>
      </c>
      <c r="Y317">
        <v>-3.2278099999999998E-3</v>
      </c>
      <c r="Z317" s="1">
        <v>2.3427040000000001E-5</v>
      </c>
      <c r="AA317">
        <v>0.99999479999999996</v>
      </c>
      <c r="AB317">
        <v>26</v>
      </c>
      <c r="AC317">
        <v>154.4838</v>
      </c>
      <c r="AD317">
        <v>-1.1595420000000001</v>
      </c>
      <c r="AE317">
        <v>0.26580000000001203</v>
      </c>
      <c r="AF317">
        <v>-0.49906072516247402</v>
      </c>
      <c r="AG317">
        <v>-1.1595420000000001</v>
      </c>
      <c r="AH317">
        <v>154.47451958949</v>
      </c>
      <c r="AI317">
        <v>90.430072664982703</v>
      </c>
      <c r="AJ317">
        <v>90.1851047918219</v>
      </c>
      <c r="AK317">
        <v>154.47967763321199</v>
      </c>
      <c r="AL317">
        <v>87.875192829637101</v>
      </c>
      <c r="AM317">
        <v>89.570322347745403</v>
      </c>
      <c r="AN317">
        <v>0.99999996558032</v>
      </c>
    </row>
    <row r="318" spans="1:40" x14ac:dyDescent="0.25">
      <c r="A318" t="str">
        <f>"20190312150642535"</f>
        <v>20190312150642535</v>
      </c>
      <c r="B318" t="str">
        <f>"1552374402530885"</f>
        <v>1552374402530885</v>
      </c>
      <c r="C318" t="s">
        <v>40</v>
      </c>
      <c r="D318">
        <v>3.9155470000000001</v>
      </c>
      <c r="E318">
        <v>0.49604140000000002</v>
      </c>
      <c r="F318" t="s">
        <v>42</v>
      </c>
      <c r="G318">
        <v>-326.5872</v>
      </c>
      <c r="H318" s="1">
        <v>-1.8559559999999999E-6</v>
      </c>
      <c r="I318">
        <v>367.3075</v>
      </c>
      <c r="J318">
        <v>-450.79739999999998</v>
      </c>
      <c r="K318">
        <v>1.1095410000000001</v>
      </c>
      <c r="L318">
        <v>367.10129999999998</v>
      </c>
      <c r="M318">
        <v>0.9999787</v>
      </c>
      <c r="N318">
        <v>0</v>
      </c>
      <c r="O318">
        <v>-1.3891299999999999E-3</v>
      </c>
      <c r="P318">
        <v>0.99949509999999997</v>
      </c>
      <c r="Q318">
        <v>3.0559309999999999E-2</v>
      </c>
      <c r="R318">
        <v>-8.6984279999999994E-3</v>
      </c>
      <c r="S318">
        <v>3.0024410000000001</v>
      </c>
      <c r="T318">
        <v>-2.6773100000000001E-2</v>
      </c>
      <c r="U318">
        <v>4.9743649999999997E-3</v>
      </c>
      <c r="V318">
        <v>7.3022009999999899E-3</v>
      </c>
      <c r="W318">
        <v>3.6944390000000001E-2</v>
      </c>
      <c r="X318">
        <v>0.99929060000000003</v>
      </c>
      <c r="Y318">
        <v>-3.0457489999999999E-3</v>
      </c>
      <c r="Z318" s="1">
        <v>2.5966370000000001E-5</v>
      </c>
      <c r="AA318">
        <v>0.99999539999999998</v>
      </c>
      <c r="AB318">
        <v>26</v>
      </c>
      <c r="AC318">
        <v>124.2102</v>
      </c>
      <c r="AD318">
        <v>-1.1095428559560001</v>
      </c>
      <c r="AE318">
        <v>0.206200000000023</v>
      </c>
      <c r="AF318">
        <v>-0.37871720543319798</v>
      </c>
      <c r="AG318">
        <v>-1.1095428559560001</v>
      </c>
      <c r="AH318">
        <v>124.199883251675</v>
      </c>
      <c r="AI318">
        <v>90.511837326625596</v>
      </c>
      <c r="AJ318">
        <v>90.174708942397999</v>
      </c>
      <c r="AK318">
        <v>124.205416596059</v>
      </c>
      <c r="AL318">
        <v>87.882760465711698</v>
      </c>
      <c r="AM318">
        <v>89.581325140321496</v>
      </c>
      <c r="AN318">
        <v>0.99999995667013697</v>
      </c>
    </row>
    <row r="319" spans="1:40" x14ac:dyDescent="0.25">
      <c r="A319" t="str">
        <f>"20190312150642549"</f>
        <v>20190312150642549</v>
      </c>
      <c r="B319" t="str">
        <f>"1552374402540645"</f>
        <v>1552374402540645</v>
      </c>
      <c r="C319" t="s">
        <v>40</v>
      </c>
      <c r="D319">
        <v>3.9396749999999998</v>
      </c>
      <c r="E319">
        <v>0.49612600000000001</v>
      </c>
      <c r="F319" t="s">
        <v>42</v>
      </c>
      <c r="G319">
        <v>-347.66120000000001</v>
      </c>
      <c r="H319" s="1">
        <v>-1.5130839999999999E-6</v>
      </c>
      <c r="I319">
        <v>367.24590000000001</v>
      </c>
      <c r="J319">
        <v>-450.63459999999998</v>
      </c>
      <c r="K319">
        <v>1.1095459999999999</v>
      </c>
      <c r="L319">
        <v>367.10109999999997</v>
      </c>
      <c r="M319">
        <v>0.9999787</v>
      </c>
      <c r="N319">
        <v>0</v>
      </c>
      <c r="O319">
        <v>-1.2991560000000001E-3</v>
      </c>
      <c r="P319">
        <v>0.99950209999999995</v>
      </c>
      <c r="Q319">
        <v>3.0373230000000001E-2</v>
      </c>
      <c r="R319">
        <v>-8.5496870000000003E-3</v>
      </c>
      <c r="S319">
        <v>3.0025629999999999</v>
      </c>
      <c r="T319">
        <v>-3.2301660000000003E-2</v>
      </c>
      <c r="U319">
        <v>4.2114259999999999E-3</v>
      </c>
      <c r="V319">
        <v>7.2433509999999899E-3</v>
      </c>
      <c r="W319">
        <v>3.6769030000000001E-2</v>
      </c>
      <c r="X319">
        <v>0.99929760000000001</v>
      </c>
      <c r="Y319">
        <v>-2.7015569999999998E-3</v>
      </c>
      <c r="Z319" s="1">
        <v>2.8507519999999999E-5</v>
      </c>
      <c r="AA319">
        <v>0.99999640000000001</v>
      </c>
      <c r="AB319">
        <v>26</v>
      </c>
      <c r="AC319">
        <v>102.973399999999</v>
      </c>
      <c r="AD319">
        <v>-1.109547513084</v>
      </c>
      <c r="AE319">
        <v>0.14480000000003199</v>
      </c>
      <c r="AF319">
        <v>-0.27854878473182598</v>
      </c>
      <c r="AG319">
        <v>-1.109547513084</v>
      </c>
      <c r="AH319">
        <v>102.961170945845</v>
      </c>
      <c r="AI319">
        <v>90.617414271320101</v>
      </c>
      <c r="AJ319">
        <v>90.155006306460606</v>
      </c>
      <c r="AK319">
        <v>102.967525985861</v>
      </c>
      <c r="AL319">
        <v>87.892814904246094</v>
      </c>
      <c r="AM319">
        <v>89.5847021209659</v>
      </c>
      <c r="AN319">
        <v>1.0000000605332999</v>
      </c>
    </row>
    <row r="320" spans="1:40" x14ac:dyDescent="0.25">
      <c r="A320" t="str">
        <f>"20190312150642561"</f>
        <v>20190312150642561</v>
      </c>
      <c r="B320" t="str">
        <f>"1552374402551382"</f>
        <v>1552374402551382</v>
      </c>
      <c r="C320" t="s">
        <v>40</v>
      </c>
      <c r="D320">
        <v>3.9318909999999998</v>
      </c>
      <c r="E320">
        <v>0.49615730000000002</v>
      </c>
      <c r="F320" t="s">
        <v>42</v>
      </c>
      <c r="G320">
        <v>-354.17270000000002</v>
      </c>
      <c r="H320" s="1">
        <v>-2.9061259999999999E-6</v>
      </c>
      <c r="I320">
        <v>367.22649999999999</v>
      </c>
      <c r="J320">
        <v>-450.48739999999998</v>
      </c>
      <c r="K320">
        <v>1.109548</v>
      </c>
      <c r="L320">
        <v>367.101</v>
      </c>
      <c r="M320">
        <v>0.99997879999999995</v>
      </c>
      <c r="N320">
        <v>0</v>
      </c>
      <c r="O320">
        <v>-1.2176450000000001E-3</v>
      </c>
      <c r="P320">
        <v>0.99950380000000005</v>
      </c>
      <c r="Q320">
        <v>3.0315060000000001E-2</v>
      </c>
      <c r="R320">
        <v>-8.5602950000000008E-3</v>
      </c>
      <c r="S320">
        <v>3.0025940000000002</v>
      </c>
      <c r="T320">
        <v>-3.4537199999999997E-2</v>
      </c>
      <c r="U320">
        <v>3.90625E-3</v>
      </c>
      <c r="V320">
        <v>7.3354229999999998E-3</v>
      </c>
      <c r="W320">
        <v>3.6719950000000001E-2</v>
      </c>
      <c r="X320">
        <v>0.99929869999999998</v>
      </c>
      <c r="Y320">
        <v>-2.5183779999999999E-3</v>
      </c>
      <c r="Z320" s="1">
        <v>2.8489000000000001E-5</v>
      </c>
      <c r="AA320">
        <v>0.99999680000000002</v>
      </c>
      <c r="AB320">
        <v>26</v>
      </c>
      <c r="AC320">
        <v>96.314699999999903</v>
      </c>
      <c r="AD320">
        <v>-1.109550906126</v>
      </c>
      <c r="AE320">
        <v>0.12549999999998801</v>
      </c>
      <c r="AF320">
        <v>-0.24274720387502299</v>
      </c>
      <c r="AG320">
        <v>-1.109550906126</v>
      </c>
      <c r="AH320">
        <v>96.301695435575795</v>
      </c>
      <c r="AI320">
        <v>90.660108516653906</v>
      </c>
      <c r="AJ320">
        <v>90.144424880063795</v>
      </c>
      <c r="AK320">
        <v>96.3083930568082</v>
      </c>
      <c r="AL320">
        <v>87.895628811665901</v>
      </c>
      <c r="AM320">
        <v>89.579423819781795</v>
      </c>
      <c r="AN320">
        <v>1.0000000274901399</v>
      </c>
    </row>
    <row r="321" spans="1:40" x14ac:dyDescent="0.25">
      <c r="A321" t="str">
        <f>"20190312150642580"</f>
        <v>20190312150642580</v>
      </c>
      <c r="B321" t="str">
        <f>"1552374402570901"</f>
        <v>1552374402570901</v>
      </c>
      <c r="C321" t="s">
        <v>40</v>
      </c>
      <c r="D321">
        <v>3.9059430000000002</v>
      </c>
      <c r="E321">
        <v>0.49632029999999999</v>
      </c>
      <c r="F321" t="s">
        <v>42</v>
      </c>
      <c r="G321">
        <v>-356.6746</v>
      </c>
      <c r="H321" s="1">
        <v>-1.8351640000000001E-6</v>
      </c>
      <c r="I321">
        <v>367.21339999999998</v>
      </c>
      <c r="J321">
        <v>-450.26679999999999</v>
      </c>
      <c r="K321">
        <v>1.1095520000000001</v>
      </c>
      <c r="L321">
        <v>367.10079999999999</v>
      </c>
      <c r="M321">
        <v>0.9999789</v>
      </c>
      <c r="N321">
        <v>0</v>
      </c>
      <c r="O321">
        <v>-1.095976E-3</v>
      </c>
      <c r="P321">
        <v>0.99950439999999996</v>
      </c>
      <c r="Q321">
        <v>3.0367740000000001E-2</v>
      </c>
      <c r="R321">
        <v>-8.3269209999999993E-3</v>
      </c>
      <c r="S321">
        <v>3.0025629999999999</v>
      </c>
      <c r="T321">
        <v>-3.5512090000000003E-2</v>
      </c>
      <c r="U321">
        <v>3.6010740000000001E-3</v>
      </c>
      <c r="V321">
        <v>7.223536E-3</v>
      </c>
      <c r="W321">
        <v>3.6787140000000003E-2</v>
      </c>
      <c r="X321">
        <v>0.99929699999999999</v>
      </c>
      <c r="Y321">
        <v>-2.2950929999999998E-3</v>
      </c>
      <c r="Z321" s="1">
        <v>2.6534050000000001E-5</v>
      </c>
      <c r="AA321">
        <v>0.99999740000000004</v>
      </c>
      <c r="AB321">
        <v>26</v>
      </c>
      <c r="AC321">
        <v>93.592200000000005</v>
      </c>
      <c r="AD321">
        <v>-1.109553835164</v>
      </c>
      <c r="AE321">
        <v>0.112599999999986</v>
      </c>
      <c r="AF321">
        <v>-0.21514660224666099</v>
      </c>
      <c r="AG321">
        <v>-1.109553835164</v>
      </c>
      <c r="AH321">
        <v>93.578868293523698</v>
      </c>
      <c r="AI321">
        <v>90.679315813223695</v>
      </c>
      <c r="AJ321">
        <v>90.131728143230404</v>
      </c>
      <c r="AK321">
        <v>93.5856932916044</v>
      </c>
      <c r="AL321">
        <v>87.891776413161395</v>
      </c>
      <c r="AM321">
        <v>89.585837926655003</v>
      </c>
      <c r="AN321">
        <v>0.99999998367536103</v>
      </c>
    </row>
    <row r="322" spans="1:40" x14ac:dyDescent="0.25">
      <c r="A322" t="str">
        <f>"20190312150642594"</f>
        <v>20190312150642594</v>
      </c>
      <c r="B322" t="str">
        <f>"1552374402590422"</f>
        <v>1552374402590422</v>
      </c>
      <c r="C322" t="s">
        <v>40</v>
      </c>
      <c r="D322">
        <v>3.9095149999999999</v>
      </c>
      <c r="E322">
        <v>0.49642520000000001</v>
      </c>
      <c r="F322" t="s">
        <v>42</v>
      </c>
      <c r="G322">
        <v>-359.81959999999998</v>
      </c>
      <c r="H322" s="1">
        <v>-6.9330150000000004E-7</v>
      </c>
      <c r="I322">
        <v>367.18900000000002</v>
      </c>
      <c r="J322">
        <v>-450.11070000000001</v>
      </c>
      <c r="K322">
        <v>1.1095539999999999</v>
      </c>
      <c r="L322">
        <v>367.10079999999999</v>
      </c>
      <c r="M322">
        <v>0.99997879999999995</v>
      </c>
      <c r="N322">
        <v>0</v>
      </c>
      <c r="O322">
        <v>-1.00982E-3</v>
      </c>
      <c r="P322">
        <v>0.99950130000000004</v>
      </c>
      <c r="Q322">
        <v>3.046809E-2</v>
      </c>
      <c r="R322">
        <v>-8.29860199999999E-3</v>
      </c>
      <c r="S322">
        <v>3.0025940000000002</v>
      </c>
      <c r="T322">
        <v>-3.6833999999999999E-2</v>
      </c>
      <c r="U322">
        <v>2.9296880000000002E-3</v>
      </c>
      <c r="V322">
        <v>7.2812459999999999E-3</v>
      </c>
      <c r="W322">
        <v>3.6898170000000001E-2</v>
      </c>
      <c r="X322">
        <v>0.99929250000000003</v>
      </c>
      <c r="Y322">
        <v>-1.9853330000000001E-3</v>
      </c>
      <c r="Z322" s="1">
        <v>2.456462E-5</v>
      </c>
      <c r="AA322">
        <v>0.99999800000000005</v>
      </c>
      <c r="AB322">
        <v>26</v>
      </c>
      <c r="AC322">
        <v>90.2911</v>
      </c>
      <c r="AD322">
        <v>-1.1095546933014999</v>
      </c>
      <c r="AE322">
        <v>8.8200000000028894E-2</v>
      </c>
      <c r="AF322">
        <v>-0.17935251603570099</v>
      </c>
      <c r="AG322">
        <v>-1.1095546933014999</v>
      </c>
      <c r="AH322">
        <v>90.277332069075797</v>
      </c>
      <c r="AI322">
        <v>90.704157659811898</v>
      </c>
      <c r="AJ322">
        <v>90.113828449055006</v>
      </c>
      <c r="AK322">
        <v>90.284328454348199</v>
      </c>
      <c r="AL322">
        <v>87.885410566854901</v>
      </c>
      <c r="AM322">
        <v>89.582527355478504</v>
      </c>
      <c r="AN322">
        <v>0.999999996024455</v>
      </c>
    </row>
    <row r="323" spans="1:40" x14ac:dyDescent="0.25">
      <c r="A323" t="str">
        <f>"20190312150642615"</f>
        <v>20190312150642615</v>
      </c>
      <c r="B323" t="str">
        <f>"1552374402610917"</f>
        <v>1552374402610917</v>
      </c>
      <c r="C323" t="s">
        <v>40</v>
      </c>
      <c r="D323">
        <v>3.90062</v>
      </c>
      <c r="E323">
        <v>0.49650420000000001</v>
      </c>
      <c r="F323" t="s">
        <v>42</v>
      </c>
      <c r="G323">
        <v>-363.4511</v>
      </c>
      <c r="H323" s="1">
        <v>-3.2247190000000001E-6</v>
      </c>
      <c r="I323">
        <v>367.1755</v>
      </c>
      <c r="J323">
        <v>-449.85469999999998</v>
      </c>
      <c r="K323">
        <v>1.1095569999999999</v>
      </c>
      <c r="L323">
        <v>367.10059999999999</v>
      </c>
      <c r="M323">
        <v>0.99997899999999995</v>
      </c>
      <c r="N323">
        <v>0</v>
      </c>
      <c r="O323">
        <v>-8.6896919999999999E-4</v>
      </c>
      <c r="P323">
        <v>0.99949589999999999</v>
      </c>
      <c r="Q323">
        <v>3.0721370000000001E-2</v>
      </c>
      <c r="R323">
        <v>-8.0180579999999998E-3</v>
      </c>
      <c r="S323">
        <v>3.0026860000000002</v>
      </c>
      <c r="T323">
        <v>-3.8445229999999997E-2</v>
      </c>
      <c r="U323">
        <v>2.5939940000000001E-3</v>
      </c>
      <c r="V323">
        <v>7.1415009999999998E-3</v>
      </c>
      <c r="W323">
        <v>3.7169779999999999E-2</v>
      </c>
      <c r="X323">
        <v>0.99928340000000004</v>
      </c>
      <c r="Y323">
        <v>-1.7326640000000001E-3</v>
      </c>
      <c r="Z323" s="1">
        <v>2.2217449999999999E-5</v>
      </c>
      <c r="AA323">
        <v>0.99999850000000001</v>
      </c>
      <c r="AB323">
        <v>26</v>
      </c>
      <c r="AC323">
        <v>86.403599999999898</v>
      </c>
      <c r="AD323">
        <v>-1.109560224719</v>
      </c>
      <c r="AE323">
        <v>7.4900000000013706E-2</v>
      </c>
      <c r="AF323">
        <v>-0.149958858106919</v>
      </c>
      <c r="AG323">
        <v>-1.109560224719</v>
      </c>
      <c r="AH323">
        <v>86.389256140178603</v>
      </c>
      <c r="AI323">
        <v>90.735849915978804</v>
      </c>
      <c r="AJ323">
        <v>90.0994568239648</v>
      </c>
      <c r="AK323">
        <v>86.3965114342286</v>
      </c>
      <c r="AL323">
        <v>87.869837686725404</v>
      </c>
      <c r="AM323">
        <v>89.590535677109699</v>
      </c>
      <c r="AN323">
        <v>0.999999953548669</v>
      </c>
    </row>
    <row r="324" spans="1:40" x14ac:dyDescent="0.25">
      <c r="A324" t="str">
        <f>"20190312150642636"</f>
        <v>20190312150642636</v>
      </c>
      <c r="B324" t="str">
        <f>"1552374402630437"</f>
        <v>1552374402630437</v>
      </c>
      <c r="C324" t="s">
        <v>40</v>
      </c>
      <c r="D324">
        <v>3.9549669999999999</v>
      </c>
      <c r="E324">
        <v>0.49657709999999999</v>
      </c>
      <c r="F324" t="s">
        <v>42</v>
      </c>
      <c r="G324">
        <v>-363.32229999999998</v>
      </c>
      <c r="H324" s="1">
        <v>-3.2817560000000001E-6</v>
      </c>
      <c r="I324">
        <v>367.16559999999998</v>
      </c>
      <c r="J324">
        <v>-449.61450000000002</v>
      </c>
      <c r="K324">
        <v>1.1095619999999999</v>
      </c>
      <c r="L324">
        <v>367.10059999999999</v>
      </c>
      <c r="M324">
        <v>0.99997879999999995</v>
      </c>
      <c r="N324">
        <v>0</v>
      </c>
      <c r="O324">
        <v>-7.3646210000000004E-4</v>
      </c>
      <c r="P324">
        <v>0.99949580000000005</v>
      </c>
      <c r="Q324">
        <v>3.0772569999999999E-2</v>
      </c>
      <c r="R324">
        <v>-7.8330099999999996E-3</v>
      </c>
      <c r="S324">
        <v>3.0027159999999999</v>
      </c>
      <c r="T324">
        <v>-3.8502219999999997E-2</v>
      </c>
      <c r="U324">
        <v>2.2583009999999999E-3</v>
      </c>
      <c r="V324">
        <v>7.0886949999999999E-3</v>
      </c>
      <c r="W324">
        <v>3.723887E-2</v>
      </c>
      <c r="X324">
        <v>0.99928119999999998</v>
      </c>
      <c r="Y324">
        <v>-1.4883800000000001E-3</v>
      </c>
      <c r="Z324" s="1">
        <v>1.8985030000000001E-5</v>
      </c>
      <c r="AA324">
        <v>0.99999890000000002</v>
      </c>
      <c r="AB324">
        <v>26</v>
      </c>
      <c r="AC324">
        <v>86.292199999999994</v>
      </c>
      <c r="AD324">
        <v>-1.109565281756</v>
      </c>
      <c r="AE324">
        <v>6.4999999999997699E-2</v>
      </c>
      <c r="AF324">
        <v>-0.12853099671627399</v>
      </c>
      <c r="AG324">
        <v>-1.109565281756</v>
      </c>
      <c r="AH324">
        <v>86.277864055069898</v>
      </c>
      <c r="AI324">
        <v>90.736803506517205</v>
      </c>
      <c r="AJ324">
        <v>90.085355360627503</v>
      </c>
      <c r="AK324">
        <v>86.285094200775603</v>
      </c>
      <c r="AL324">
        <v>87.865876370751593</v>
      </c>
      <c r="AM324">
        <v>89.593562359449805</v>
      </c>
      <c r="AN324">
        <v>0.99999994985455798</v>
      </c>
    </row>
    <row r="325" spans="1:40" x14ac:dyDescent="0.25">
      <c r="A325" t="str">
        <f>"20190312150642648"</f>
        <v>20190312150642648</v>
      </c>
      <c r="B325" t="str">
        <f>"1552374402641174"</f>
        <v>1552374402641174</v>
      </c>
      <c r="C325" t="s">
        <v>40</v>
      </c>
      <c r="D325">
        <v>3.9641950000000001</v>
      </c>
      <c r="E325">
        <v>0.49663980000000002</v>
      </c>
      <c r="F325" t="s">
        <v>42</v>
      </c>
      <c r="G325">
        <v>-361.76560000000001</v>
      </c>
      <c r="H325" s="1">
        <v>-3.949376E-6</v>
      </c>
      <c r="I325">
        <v>367.16660000000002</v>
      </c>
      <c r="J325">
        <v>-449.46420000000001</v>
      </c>
      <c r="K325">
        <v>1.1095600000000001</v>
      </c>
      <c r="L325">
        <v>367.10050000000001</v>
      </c>
      <c r="M325">
        <v>0.9999789</v>
      </c>
      <c r="N325">
        <v>0</v>
      </c>
      <c r="O325">
        <v>-6.5364679999999997E-4</v>
      </c>
      <c r="P325">
        <v>0.99949109999999997</v>
      </c>
      <c r="Q325">
        <v>3.0926160000000001E-2</v>
      </c>
      <c r="R325">
        <v>-7.8526269999999992E-3</v>
      </c>
      <c r="S325">
        <v>3.0026250000000001</v>
      </c>
      <c r="T325">
        <v>-3.7924289999999999E-2</v>
      </c>
      <c r="U325">
        <v>2.2583009999999999E-3</v>
      </c>
      <c r="V325">
        <v>7.1909620000000004E-3</v>
      </c>
      <c r="W325">
        <v>3.7403739999999998E-2</v>
      </c>
      <c r="X325">
        <v>0.99927440000000001</v>
      </c>
      <c r="Y325">
        <v>-1.4056050000000001E-3</v>
      </c>
      <c r="Z325" s="1">
        <v>1.7131959999999999E-5</v>
      </c>
      <c r="AA325">
        <v>0.99999899999999997</v>
      </c>
      <c r="AB325">
        <v>27</v>
      </c>
      <c r="AC325">
        <v>87.698599999999999</v>
      </c>
      <c r="AD325">
        <v>-1.1095639493759999</v>
      </c>
      <c r="AE325">
        <v>6.6100000000005807E-2</v>
      </c>
      <c r="AF325">
        <v>-0.12340533853713199</v>
      </c>
      <c r="AG325">
        <v>-1.1095639493759999</v>
      </c>
      <c r="AH325">
        <v>87.684502103080902</v>
      </c>
      <c r="AI325">
        <v>90.724984165100807</v>
      </c>
      <c r="AJ325">
        <v>90.080636831249393</v>
      </c>
      <c r="AK325">
        <v>87.691608892188299</v>
      </c>
      <c r="AL325">
        <v>87.856423618643205</v>
      </c>
      <c r="AM325">
        <v>89.587696170899406</v>
      </c>
      <c r="AN325">
        <v>1.0000000380979099</v>
      </c>
    </row>
    <row r="326" spans="1:40" x14ac:dyDescent="0.25">
      <c r="A326" t="str">
        <f>"20190312150642659"</f>
        <v>20190312150642659</v>
      </c>
      <c r="B326" t="str">
        <f>"1552374402650933"</f>
        <v>1552374402650933</v>
      </c>
      <c r="C326" t="s">
        <v>40</v>
      </c>
      <c r="D326">
        <v>3.9456389999999999</v>
      </c>
      <c r="E326">
        <v>0.49668610000000002</v>
      </c>
      <c r="F326" t="s">
        <v>42</v>
      </c>
      <c r="G326">
        <v>-359.91950000000003</v>
      </c>
      <c r="H326" s="1">
        <v>-6.6787769999999999E-7</v>
      </c>
      <c r="I326">
        <v>367.15690000000001</v>
      </c>
      <c r="J326">
        <v>-449.3236</v>
      </c>
      <c r="K326">
        <v>1.109556</v>
      </c>
      <c r="L326">
        <v>367.10059999999999</v>
      </c>
      <c r="M326">
        <v>0.9999789</v>
      </c>
      <c r="N326">
        <v>0</v>
      </c>
      <c r="O326">
        <v>-5.7655100000000002E-4</v>
      </c>
      <c r="P326">
        <v>0.99949500000000002</v>
      </c>
      <c r="Q326">
        <v>3.0844099999999999E-2</v>
      </c>
      <c r="R326">
        <v>-7.6608650000000002E-3</v>
      </c>
      <c r="S326">
        <v>3.0026860000000002</v>
      </c>
      <c r="T326">
        <v>-3.7206650000000001E-2</v>
      </c>
      <c r="U326">
        <v>1.8920899999999999E-3</v>
      </c>
      <c r="V326">
        <v>7.0762610000000004E-3</v>
      </c>
      <c r="W326">
        <v>3.7332740000000003E-2</v>
      </c>
      <c r="X326">
        <v>0.99927779999999999</v>
      </c>
      <c r="Y326">
        <v>-1.2065579999999999E-3</v>
      </c>
      <c r="Z326" s="1">
        <v>1.4619010000000001E-5</v>
      </c>
      <c r="AA326">
        <v>0.99999930000000004</v>
      </c>
      <c r="AB326">
        <v>27</v>
      </c>
      <c r="AC326">
        <v>89.4040999999999</v>
      </c>
      <c r="AD326">
        <v>-1.10955666787769</v>
      </c>
      <c r="AE326">
        <v>5.63000000000215E-2</v>
      </c>
      <c r="AF326">
        <v>-0.107830484665844</v>
      </c>
      <c r="AG326">
        <v>-1.10955666787769</v>
      </c>
      <c r="AH326">
        <v>89.390284571812799</v>
      </c>
      <c r="AI326">
        <v>90.711146671756197</v>
      </c>
      <c r="AJ326">
        <v>90.069115214333195</v>
      </c>
      <c r="AK326">
        <v>89.397235523489996</v>
      </c>
      <c r="AL326">
        <v>87.860494304008597</v>
      </c>
      <c r="AM326">
        <v>89.594273871398897</v>
      </c>
      <c r="AN326">
        <v>0.99999996425924298</v>
      </c>
    </row>
    <row r="327" spans="1:40" x14ac:dyDescent="0.25">
      <c r="A327" t="str">
        <f>"20190312150642671"</f>
        <v>20190312150642671</v>
      </c>
      <c r="B327" t="str">
        <f>"1552374402660694"</f>
        <v>1552374402660694</v>
      </c>
      <c r="C327" t="s">
        <v>40</v>
      </c>
      <c r="D327">
        <v>3.940588</v>
      </c>
      <c r="E327">
        <v>0.49672060000000001</v>
      </c>
      <c r="F327" t="s">
        <v>42</v>
      </c>
      <c r="G327">
        <v>-363.06490000000002</v>
      </c>
      <c r="H327" s="1">
        <v>-3.3929830000000001E-6</v>
      </c>
      <c r="I327">
        <v>367.16090000000003</v>
      </c>
      <c r="J327">
        <v>-449.18329999999997</v>
      </c>
      <c r="K327">
        <v>1.1095569999999999</v>
      </c>
      <c r="L327">
        <v>367.10050000000001</v>
      </c>
      <c r="M327">
        <v>0.9999787</v>
      </c>
      <c r="N327">
        <v>0</v>
      </c>
      <c r="O327">
        <v>-4.9909900000000003E-4</v>
      </c>
      <c r="P327">
        <v>0.99949840000000001</v>
      </c>
      <c r="Q327">
        <v>3.074406E-2</v>
      </c>
      <c r="R327">
        <v>-7.6026949999999996E-3</v>
      </c>
      <c r="S327">
        <v>3.0027469999999998</v>
      </c>
      <c r="T327">
        <v>-3.8624760000000001E-2</v>
      </c>
      <c r="U327">
        <v>2.1057129999999999E-3</v>
      </c>
      <c r="V327">
        <v>7.0956229999999997E-3</v>
      </c>
      <c r="W327">
        <v>3.724363E-2</v>
      </c>
      <c r="X327">
        <v>0.99928099999999997</v>
      </c>
      <c r="Y327">
        <v>-1.200231E-3</v>
      </c>
      <c r="Z327" s="1">
        <v>1.4138899999999999E-5</v>
      </c>
      <c r="AA327">
        <v>0.99999930000000004</v>
      </c>
      <c r="AB327">
        <v>27</v>
      </c>
      <c r="AC327">
        <v>86.118399999999895</v>
      </c>
      <c r="AD327">
        <v>-1.10956039298299</v>
      </c>
      <c r="AE327">
        <v>6.0400000000015497E-2</v>
      </c>
      <c r="AF327">
        <v>-0.103365351257645</v>
      </c>
      <c r="AG327">
        <v>-1.10956039298299</v>
      </c>
      <c r="AH327">
        <v>86.104065796914497</v>
      </c>
      <c r="AI327">
        <v>90.738287590654096</v>
      </c>
      <c r="AJ327">
        <v>90.068781833646995</v>
      </c>
      <c r="AK327">
        <v>86.111276586872705</v>
      </c>
      <c r="AL327">
        <v>87.865603510193097</v>
      </c>
      <c r="AM327">
        <v>89.593165067345097</v>
      </c>
      <c r="AN327">
        <v>0.999999976401167</v>
      </c>
    </row>
    <row r="328" spans="1:40" x14ac:dyDescent="0.25">
      <c r="A328" t="str">
        <f>"20190312150642683"</f>
        <v>20190312150642683</v>
      </c>
      <c r="B328" t="str">
        <f>"1552374402681190"</f>
        <v>1552374402681190</v>
      </c>
      <c r="C328" t="s">
        <v>40</v>
      </c>
      <c r="D328">
        <v>3.926428</v>
      </c>
      <c r="E328">
        <v>0.49681959999999997</v>
      </c>
      <c r="F328" t="s">
        <v>42</v>
      </c>
      <c r="G328">
        <v>-362.71080000000001</v>
      </c>
      <c r="H328" s="1">
        <v>-3.5450150000000001E-6</v>
      </c>
      <c r="I328">
        <v>367.16019999999997</v>
      </c>
      <c r="J328">
        <v>-449.03969999999998</v>
      </c>
      <c r="K328">
        <v>1.109556</v>
      </c>
      <c r="L328">
        <v>367.10050000000001</v>
      </c>
      <c r="M328">
        <v>0.99997879999999995</v>
      </c>
      <c r="N328">
        <v>0</v>
      </c>
      <c r="O328">
        <v>-4.198607E-4</v>
      </c>
      <c r="P328">
        <v>0.99950150000000004</v>
      </c>
      <c r="Q328">
        <v>3.0651959999999999E-2</v>
      </c>
      <c r="R328">
        <v>-7.5780839999999997E-3</v>
      </c>
      <c r="S328">
        <v>3.0027159999999999</v>
      </c>
      <c r="T328">
        <v>-3.8528920000000001E-2</v>
      </c>
      <c r="U328">
        <v>2.0751950000000002E-3</v>
      </c>
      <c r="V328">
        <v>7.1503089999999997E-3</v>
      </c>
      <c r="W328">
        <v>3.7163580000000002E-2</v>
      </c>
      <c r="X328">
        <v>0.99928360000000005</v>
      </c>
      <c r="Y328">
        <v>-1.1108489999999999E-3</v>
      </c>
      <c r="Z328" s="1">
        <v>1.2513830000000001E-5</v>
      </c>
      <c r="AA328">
        <v>0.99999939999999998</v>
      </c>
      <c r="AB328">
        <v>27</v>
      </c>
      <c r="AC328">
        <v>86.328899999999905</v>
      </c>
      <c r="AD328">
        <v>-1.109559545015</v>
      </c>
      <c r="AE328">
        <v>5.9699999999963803E-2</v>
      </c>
      <c r="AF328">
        <v>-9.5931025337673906E-2</v>
      </c>
      <c r="AG328">
        <v>-1.109559545015</v>
      </c>
      <c r="AH328">
        <v>86.314608854760394</v>
      </c>
      <c r="AI328">
        <v>90.736486433008096</v>
      </c>
      <c r="AJ328">
        <v>90.063679146392502</v>
      </c>
      <c r="AK328">
        <v>86.321793464314894</v>
      </c>
      <c r="AL328">
        <v>87.870193235144399</v>
      </c>
      <c r="AM328">
        <v>89.590030761858102</v>
      </c>
      <c r="AN328">
        <v>0.99999998591308503</v>
      </c>
    </row>
    <row r="329" spans="1:40" x14ac:dyDescent="0.25">
      <c r="A329" t="str">
        <f>"20190312150642702"</f>
        <v>20190312150642702</v>
      </c>
      <c r="B329" t="str">
        <f>"1552374402690953"</f>
        <v>1552374402690953</v>
      </c>
      <c r="C329" t="s">
        <v>40</v>
      </c>
      <c r="D329">
        <v>3.9452609999999999</v>
      </c>
      <c r="E329">
        <v>0.4968648</v>
      </c>
      <c r="F329" t="s">
        <v>42</v>
      </c>
      <c r="G329">
        <v>-362.68450000000001</v>
      </c>
      <c r="H329" s="1">
        <v>-3.56099E-6</v>
      </c>
      <c r="I329">
        <v>367.13380000000001</v>
      </c>
      <c r="J329">
        <v>-448.81979999999999</v>
      </c>
      <c r="K329">
        <v>1.109559</v>
      </c>
      <c r="L329">
        <v>367.10059999999999</v>
      </c>
      <c r="M329">
        <v>0.9999787</v>
      </c>
      <c r="N329">
        <v>0</v>
      </c>
      <c r="O329">
        <v>-2.9891819999999997E-4</v>
      </c>
      <c r="P329">
        <v>0.9995115</v>
      </c>
      <c r="Q329">
        <v>3.0375849999999999E-2</v>
      </c>
      <c r="R329">
        <v>-7.3526090000000004E-3</v>
      </c>
      <c r="S329">
        <v>3.0027159999999999</v>
      </c>
      <c r="T329">
        <v>-3.8581249999999997E-2</v>
      </c>
      <c r="U329">
        <v>1.159668E-3</v>
      </c>
      <c r="V329">
        <v>7.0457159999999996E-3</v>
      </c>
      <c r="W329">
        <v>3.6905309999999997E-2</v>
      </c>
      <c r="X329">
        <v>0.99929389999999996</v>
      </c>
      <c r="Y329">
        <v>-6.8504959999999995E-4</v>
      </c>
      <c r="Z329" s="1">
        <v>8.2415039999999999E-6</v>
      </c>
      <c r="AA329">
        <v>0.99999979999999999</v>
      </c>
      <c r="AB329">
        <v>27</v>
      </c>
      <c r="AC329">
        <v>86.135299999999901</v>
      </c>
      <c r="AD329">
        <v>-1.1095625609899999</v>
      </c>
      <c r="AE329">
        <v>3.3200000000022101E-2</v>
      </c>
      <c r="AF329">
        <v>-5.8938174652606999E-2</v>
      </c>
      <c r="AG329">
        <v>-1.1095625609899999</v>
      </c>
      <c r="AH329">
        <v>86.1209956352061</v>
      </c>
      <c r="AI329">
        <v>90.738144273761506</v>
      </c>
      <c r="AJ329">
        <v>90.039211206369501</v>
      </c>
      <c r="AK329">
        <v>86.1281631754931</v>
      </c>
      <c r="AL329">
        <v>87.885001143845898</v>
      </c>
      <c r="AM329">
        <v>89.596031656753894</v>
      </c>
      <c r="AN329">
        <v>0.99999997129867801</v>
      </c>
    </row>
    <row r="330" spans="1:40" x14ac:dyDescent="0.25">
      <c r="A330" t="str">
        <f>"20190312150642714"</f>
        <v>20190312150642714</v>
      </c>
      <c r="B330" t="str">
        <f>"1552374402710976"</f>
        <v>1552374402710976</v>
      </c>
      <c r="C330" t="s">
        <v>40</v>
      </c>
      <c r="D330">
        <v>3.9228610000000002</v>
      </c>
      <c r="E330">
        <v>0.4969266</v>
      </c>
      <c r="F330" t="s">
        <v>42</v>
      </c>
      <c r="G330">
        <v>-363.73360000000002</v>
      </c>
      <c r="H330" s="1">
        <v>-3.1090479999999998E-6</v>
      </c>
      <c r="I330">
        <v>367.14460000000003</v>
      </c>
      <c r="J330">
        <v>-448.66750000000002</v>
      </c>
      <c r="K330">
        <v>1.1095630000000001</v>
      </c>
      <c r="L330">
        <v>367.10059999999999</v>
      </c>
      <c r="M330">
        <v>0.9999787</v>
      </c>
      <c r="N330">
        <v>0</v>
      </c>
      <c r="O330">
        <v>-2.1479649999999999E-4</v>
      </c>
      <c r="P330">
        <v>0.99951860000000003</v>
      </c>
      <c r="Q330">
        <v>3.0119799999999999E-2</v>
      </c>
      <c r="R330">
        <v>-7.4617989999999999E-3</v>
      </c>
      <c r="S330">
        <v>3.0026250000000001</v>
      </c>
      <c r="T330">
        <v>-3.9155479999999999E-2</v>
      </c>
      <c r="U330">
        <v>1.556396E-3</v>
      </c>
      <c r="V330">
        <v>7.2389350000000002E-3</v>
      </c>
      <c r="W330">
        <v>3.6661810000000003E-2</v>
      </c>
      <c r="X330">
        <v>0.99930149999999995</v>
      </c>
      <c r="Y330">
        <v>-7.3306580000000003E-4</v>
      </c>
      <c r="Z330" s="1">
        <v>7.5805160000000001E-6</v>
      </c>
      <c r="AA330">
        <v>0.99999970000000005</v>
      </c>
      <c r="AB330">
        <v>27</v>
      </c>
      <c r="AC330">
        <v>84.933899999999994</v>
      </c>
      <c r="AD330">
        <v>-1.10956610904799</v>
      </c>
      <c r="AE330">
        <v>4.4000000000039501E-2</v>
      </c>
      <c r="AF330">
        <v>-6.2233270577761797E-2</v>
      </c>
      <c r="AG330">
        <v>-1.10956610904799</v>
      </c>
      <c r="AH330">
        <v>84.9193958322914</v>
      </c>
      <c r="AI330">
        <v>90.748590118858004</v>
      </c>
      <c r="AJ330">
        <v>90.041989266128297</v>
      </c>
      <c r="AK330">
        <v>84.926667180878496</v>
      </c>
      <c r="AL330">
        <v>87.898962152220605</v>
      </c>
      <c r="AM330">
        <v>89.584956923428095</v>
      </c>
      <c r="AN330">
        <v>0.99999998919733002</v>
      </c>
    </row>
    <row r="331" spans="1:40" x14ac:dyDescent="0.25">
      <c r="A331" t="str">
        <f>"20190312150642727"</f>
        <v>20190312150642727</v>
      </c>
      <c r="B331" t="str">
        <f>"1552374402720737"</f>
        <v>1552374402720737</v>
      </c>
      <c r="C331" t="s">
        <v>40</v>
      </c>
      <c r="D331">
        <v>3.9109500000000001</v>
      </c>
      <c r="E331">
        <v>0.49688719999999997</v>
      </c>
      <c r="F331" t="s">
        <v>42</v>
      </c>
      <c r="G331">
        <v>-365.00130000000001</v>
      </c>
      <c r="H331" s="1">
        <v>-2.5699880000000001E-6</v>
      </c>
      <c r="I331">
        <v>367.11750000000001</v>
      </c>
      <c r="J331">
        <v>-448.5172</v>
      </c>
      <c r="K331">
        <v>1.1095649999999999</v>
      </c>
      <c r="L331">
        <v>367.10070000000002</v>
      </c>
      <c r="M331">
        <v>0.99997860000000005</v>
      </c>
      <c r="N331">
        <v>0</v>
      </c>
      <c r="O331">
        <v>-1.317476E-4</v>
      </c>
      <c r="P331">
        <v>0.99951970000000001</v>
      </c>
      <c r="Q331">
        <v>3.0086430000000001E-2</v>
      </c>
      <c r="R331">
        <v>-7.4446149999999999E-3</v>
      </c>
      <c r="S331">
        <v>3.0026860000000002</v>
      </c>
      <c r="T331">
        <v>-3.982103E-2</v>
      </c>
      <c r="U331">
        <v>6.1035159999999996E-4</v>
      </c>
      <c r="V331">
        <v>7.3046880000000002E-3</v>
      </c>
      <c r="W331">
        <v>3.6641319999999998E-2</v>
      </c>
      <c r="X331">
        <v>0.99930180000000002</v>
      </c>
      <c r="Y331">
        <v>-3.3497799999999999E-4</v>
      </c>
      <c r="Z331" s="1">
        <v>3.9682810000000003E-6</v>
      </c>
      <c r="AA331">
        <v>0.99999990000000005</v>
      </c>
      <c r="AB331">
        <v>27</v>
      </c>
      <c r="AC331">
        <v>83.515899999999903</v>
      </c>
      <c r="AD331">
        <v>-1.1095675699880001</v>
      </c>
      <c r="AE331">
        <v>1.6799999999989199E-2</v>
      </c>
      <c r="AF331">
        <v>-2.7798347930523E-2</v>
      </c>
      <c r="AG331">
        <v>-1.1095675699880001</v>
      </c>
      <c r="AH331">
        <v>83.501158277530195</v>
      </c>
      <c r="AI331">
        <v>90.761304337036094</v>
      </c>
      <c r="AJ331">
        <v>90.019074321696493</v>
      </c>
      <c r="AK331">
        <v>83.508534573597103</v>
      </c>
      <c r="AL331">
        <v>87.900136988686199</v>
      </c>
      <c r="AM331">
        <v>89.581187246042504</v>
      </c>
      <c r="AN331">
        <v>1.0000000161406699</v>
      </c>
    </row>
    <row r="332" spans="1:40" x14ac:dyDescent="0.25">
      <c r="A332" t="str">
        <f>"20190312150642739"</f>
        <v>20190312150642739</v>
      </c>
      <c r="B332" t="str">
        <f>"1552374402730497"</f>
        <v>1552374402730497</v>
      </c>
      <c r="C332" t="s">
        <v>40</v>
      </c>
      <c r="D332">
        <v>3.9003459999999999</v>
      </c>
      <c r="E332">
        <v>0.49688559999999998</v>
      </c>
      <c r="F332" t="s">
        <v>42</v>
      </c>
      <c r="G332">
        <v>-366.21519999999998</v>
      </c>
      <c r="H332" s="1">
        <v>-2.045855E-6</v>
      </c>
      <c r="I332">
        <v>367.13650000000001</v>
      </c>
      <c r="J332">
        <v>-448.36059999999998</v>
      </c>
      <c r="K332">
        <v>1.1095660000000001</v>
      </c>
      <c r="L332">
        <v>367.10079999999999</v>
      </c>
      <c r="M332">
        <v>0.99997849999999999</v>
      </c>
      <c r="N332">
        <v>0</v>
      </c>
      <c r="O332" s="1">
        <v>-4.5243649999999998E-5</v>
      </c>
      <c r="P332">
        <v>0.99951860000000003</v>
      </c>
      <c r="Q332">
        <v>3.0065740000000001E-2</v>
      </c>
      <c r="R332">
        <v>-7.64454E-3</v>
      </c>
      <c r="S332">
        <v>3.0026549999999999</v>
      </c>
      <c r="T332">
        <v>-4.0480729999999999E-2</v>
      </c>
      <c r="U332">
        <v>1.3122559999999999E-3</v>
      </c>
      <c r="V332">
        <v>7.5912230000000002E-3</v>
      </c>
      <c r="W332">
        <v>3.6634180000000002E-2</v>
      </c>
      <c r="X332">
        <v>0.99929990000000002</v>
      </c>
      <c r="Y332">
        <v>-4.8222860000000001E-4</v>
      </c>
      <c r="Z332" s="1">
        <v>3.8604140000000003E-6</v>
      </c>
      <c r="AA332">
        <v>0.99999990000000005</v>
      </c>
      <c r="AB332">
        <v>27</v>
      </c>
      <c r="AC332">
        <v>82.145399999999995</v>
      </c>
      <c r="AD332">
        <v>-1.1095680458549999</v>
      </c>
      <c r="AE332">
        <v>3.5700000000019799E-2</v>
      </c>
      <c r="AF332">
        <v>-3.9409447382884599E-2</v>
      </c>
      <c r="AG332">
        <v>-1.1095680458549999</v>
      </c>
      <c r="AH332">
        <v>82.130413695207807</v>
      </c>
      <c r="AI332">
        <v>90.774009147581395</v>
      </c>
      <c r="AJ332">
        <v>90.027492797528794</v>
      </c>
      <c r="AK332">
        <v>82.137917846137896</v>
      </c>
      <c r="AL332">
        <v>87.900546300431799</v>
      </c>
      <c r="AM332">
        <v>89.564758614495304</v>
      </c>
      <c r="AN332">
        <v>0.99999998997545902</v>
      </c>
    </row>
    <row r="333" spans="1:40" x14ac:dyDescent="0.25">
      <c r="A333" t="str">
        <f>"20190312150642751"</f>
        <v>20190312150642751</v>
      </c>
      <c r="B333" t="str">
        <f>"1552374402741232"</f>
        <v>1552374402741232</v>
      </c>
      <c r="C333" t="s">
        <v>40</v>
      </c>
      <c r="D333">
        <v>3.8951210000000001</v>
      </c>
      <c r="E333">
        <v>0.49690220000000002</v>
      </c>
      <c r="F333" t="s">
        <v>42</v>
      </c>
      <c r="G333">
        <v>-367.2038</v>
      </c>
      <c r="H333" s="1">
        <v>-1.624467E-6</v>
      </c>
      <c r="I333">
        <v>367.12130000000002</v>
      </c>
      <c r="J333">
        <v>-448.22289999999998</v>
      </c>
      <c r="K333">
        <v>1.1095680000000001</v>
      </c>
      <c r="L333">
        <v>367.10079999999999</v>
      </c>
      <c r="M333">
        <v>0.99997840000000005</v>
      </c>
      <c r="N333">
        <v>0</v>
      </c>
      <c r="O333" s="1">
        <v>3.0537409999999997E-5</v>
      </c>
      <c r="P333">
        <v>0.99952260000000004</v>
      </c>
      <c r="Q333">
        <v>2.9971830000000001E-2</v>
      </c>
      <c r="R333">
        <v>-7.5088840000000004E-3</v>
      </c>
      <c r="S333">
        <v>3.0026860000000002</v>
      </c>
      <c r="T333">
        <v>-4.105234E-2</v>
      </c>
      <c r="U333">
        <v>7.6293949999999998E-4</v>
      </c>
      <c r="V333">
        <v>7.5312900000000004E-3</v>
      </c>
      <c r="W333">
        <v>3.6552210000000002E-2</v>
      </c>
      <c r="X333">
        <v>0.99930330000000001</v>
      </c>
      <c r="Y333">
        <v>-2.235296E-4</v>
      </c>
      <c r="Z333" s="1">
        <v>1.11047E-6</v>
      </c>
      <c r="AA333">
        <v>1</v>
      </c>
      <c r="AB333">
        <v>27</v>
      </c>
      <c r="AC333">
        <v>81.019099999999895</v>
      </c>
      <c r="AD333">
        <v>-1.1095696244669999</v>
      </c>
      <c r="AE333">
        <v>2.0500000000026799E-2</v>
      </c>
      <c r="AF333">
        <v>-1.8022452830243799E-2</v>
      </c>
      <c r="AG333">
        <v>-1.1095696244669999</v>
      </c>
      <c r="AH333">
        <v>81.003907703924497</v>
      </c>
      <c r="AI333">
        <v>90.784772996420003</v>
      </c>
      <c r="AJ333">
        <v>90.012747662376697</v>
      </c>
      <c r="AK333">
        <v>81.011508644551697</v>
      </c>
      <c r="AL333">
        <v>87.905245867717895</v>
      </c>
      <c r="AM333">
        <v>89.568196200589796</v>
      </c>
      <c r="AN333">
        <v>0.99999993488791705</v>
      </c>
    </row>
    <row r="334" spans="1:40" x14ac:dyDescent="0.25">
      <c r="A334" t="str">
        <f>"20190312150642770"</f>
        <v>20190312150642770</v>
      </c>
      <c r="B334" t="str">
        <f>"1552374402760752"</f>
        <v>1552374402760752</v>
      </c>
      <c r="C334" t="s">
        <v>40</v>
      </c>
      <c r="D334">
        <v>3.9462929999999998</v>
      </c>
      <c r="E334">
        <v>0.49694719999999998</v>
      </c>
      <c r="F334" t="s">
        <v>42</v>
      </c>
      <c r="G334">
        <v>-368.27769999999998</v>
      </c>
      <c r="H334" s="1">
        <v>-1.2374020000000001E-6</v>
      </c>
      <c r="I334">
        <v>367.11619999999999</v>
      </c>
      <c r="J334">
        <v>-447.98599999999999</v>
      </c>
      <c r="K334">
        <v>1.1095699999999999</v>
      </c>
      <c r="L334">
        <v>367.101</v>
      </c>
      <c r="M334">
        <v>0.99997820000000004</v>
      </c>
      <c r="N334">
        <v>0</v>
      </c>
      <c r="O334">
        <v>1.6077180000000001E-4</v>
      </c>
      <c r="P334">
        <v>0.99952180000000002</v>
      </c>
      <c r="Q334">
        <v>3.002225E-2</v>
      </c>
      <c r="R334">
        <v>-7.4230909999999997E-3</v>
      </c>
      <c r="S334">
        <v>3.0026549999999999</v>
      </c>
      <c r="T334">
        <v>-4.1674139999999998E-2</v>
      </c>
      <c r="U334">
        <v>5.7983399999999999E-4</v>
      </c>
      <c r="V334">
        <v>7.5755509999999998E-3</v>
      </c>
      <c r="W334">
        <v>3.6623219999999998E-2</v>
      </c>
      <c r="X334">
        <v>0.99930039999999998</v>
      </c>
      <c r="Y334" s="1">
        <v>-3.2344149999999998E-5</v>
      </c>
      <c r="Z334" s="1">
        <v>-2.0068660000000001E-6</v>
      </c>
      <c r="AA334">
        <v>1</v>
      </c>
      <c r="AB334">
        <v>27</v>
      </c>
      <c r="AC334">
        <v>79.708299999999994</v>
      </c>
      <c r="AD334">
        <v>-1.1095712374019999</v>
      </c>
      <c r="AE334">
        <v>1.51999999999929E-2</v>
      </c>
      <c r="AF334">
        <v>-2.38441168822428E-3</v>
      </c>
      <c r="AG334">
        <v>-1.1095712374019999</v>
      </c>
      <c r="AH334">
        <v>79.692858733417097</v>
      </c>
      <c r="AI334">
        <v>90.797683035263105</v>
      </c>
      <c r="AJ334">
        <v>90.001714290696597</v>
      </c>
      <c r="AK334">
        <v>79.700582727610396</v>
      </c>
      <c r="AL334">
        <v>87.901174640507605</v>
      </c>
      <c r="AM334">
        <v>89.565657348610699</v>
      </c>
      <c r="AN334">
        <v>0.99999996932813995</v>
      </c>
    </row>
    <row r="335" spans="1:40" x14ac:dyDescent="0.25">
      <c r="A335" t="str">
        <f>"20190312150642782"</f>
        <v>20190312150642782</v>
      </c>
      <c r="B335" t="str">
        <f>"1552374402770512"</f>
        <v>1552374402770512</v>
      </c>
      <c r="C335" t="s">
        <v>40</v>
      </c>
      <c r="D335">
        <v>3.9264649999999999</v>
      </c>
      <c r="E335">
        <v>0.4969981</v>
      </c>
      <c r="F335" t="s">
        <v>42</v>
      </c>
      <c r="G335">
        <v>-367.26069999999999</v>
      </c>
      <c r="H335" s="1">
        <v>-1.6001499999999901E-6</v>
      </c>
      <c r="I335">
        <v>367.12049999999999</v>
      </c>
      <c r="J335">
        <v>-447.84289999999999</v>
      </c>
      <c r="K335">
        <v>1.1095710000000001</v>
      </c>
      <c r="L335">
        <v>367.10109999999997</v>
      </c>
      <c r="M335">
        <v>0.99997820000000004</v>
      </c>
      <c r="N335">
        <v>0</v>
      </c>
      <c r="O335">
        <v>2.392935E-4</v>
      </c>
      <c r="P335">
        <v>0.99952019999999997</v>
      </c>
      <c r="Q335">
        <v>3.0129400000000001E-2</v>
      </c>
      <c r="R335">
        <v>-7.1761409999999996E-3</v>
      </c>
      <c r="S335">
        <v>3.0027159999999999</v>
      </c>
      <c r="T335">
        <v>-4.1272400000000001E-2</v>
      </c>
      <c r="U335">
        <v>7.3242190000000001E-4</v>
      </c>
      <c r="V335">
        <v>7.4071479999999997E-3</v>
      </c>
      <c r="W335">
        <v>3.6742820000000002E-2</v>
      </c>
      <c r="X335">
        <v>0.99929730000000005</v>
      </c>
      <c r="Y335" s="1">
        <v>-4.6432709999999999E-6</v>
      </c>
      <c r="Z335" s="1">
        <v>-3.2571009999999999E-6</v>
      </c>
      <c r="AA335">
        <v>1</v>
      </c>
      <c r="AB335">
        <v>27</v>
      </c>
      <c r="AC335">
        <v>80.5822</v>
      </c>
      <c r="AD335">
        <v>-1.1095726001499999</v>
      </c>
      <c r="AE335">
        <v>1.9400000000018701E-2</v>
      </c>
      <c r="AF335">
        <v>-1.1676080925645001E-4</v>
      </c>
      <c r="AG335">
        <v>-1.1095726001499999</v>
      </c>
      <c r="AH335">
        <v>80.566927026975193</v>
      </c>
      <c r="AI335">
        <v>90.789031064149199</v>
      </c>
      <c r="AJ335">
        <v>90.000083035332594</v>
      </c>
      <c r="AK335">
        <v>80.574567215335307</v>
      </c>
      <c r="AL335">
        <v>87.8943175086102</v>
      </c>
      <c r="AM335">
        <v>89.5753110247488</v>
      </c>
      <c r="AN335">
        <v>0.99999999722516797</v>
      </c>
    </row>
    <row r="336" spans="1:40" x14ac:dyDescent="0.25">
      <c r="A336" t="str">
        <f>"20190312150642796"</f>
        <v>20190312150642796</v>
      </c>
      <c r="B336" t="str">
        <f>"1552374402791010"</f>
        <v>1552374402791010</v>
      </c>
      <c r="C336" t="s">
        <v>40</v>
      </c>
      <c r="D336">
        <v>3.9261059999999999</v>
      </c>
      <c r="E336">
        <v>0.49704480000000001</v>
      </c>
      <c r="F336" t="s">
        <v>42</v>
      </c>
      <c r="G336">
        <v>-366.54539999999997</v>
      </c>
      <c r="H336" s="1">
        <v>-1.904938E-6</v>
      </c>
      <c r="I336">
        <v>367.13240000000002</v>
      </c>
      <c r="J336">
        <v>-447.68270000000001</v>
      </c>
      <c r="K336">
        <v>1.109572</v>
      </c>
      <c r="L336">
        <v>367.10120000000001</v>
      </c>
      <c r="M336">
        <v>0.99997809999999998</v>
      </c>
      <c r="N336">
        <v>0</v>
      </c>
      <c r="O336">
        <v>3.2710859999999999E-4</v>
      </c>
      <c r="P336">
        <v>0.99951619999999997</v>
      </c>
      <c r="Q336">
        <v>3.0242669999999999E-2</v>
      </c>
      <c r="R336">
        <v>-7.2873529999999999E-3</v>
      </c>
      <c r="S336">
        <v>3.0026860000000002</v>
      </c>
      <c r="T336">
        <v>-4.0981530000000002E-2</v>
      </c>
      <c r="U336">
        <v>1.159668E-3</v>
      </c>
      <c r="V336">
        <v>7.6059969999999998E-3</v>
      </c>
      <c r="W336">
        <v>3.6870060000000003E-2</v>
      </c>
      <c r="X336">
        <v>0.99929109999999999</v>
      </c>
      <c r="Y336" s="1">
        <v>-5.9119490000000001E-5</v>
      </c>
      <c r="Z336" s="1">
        <v>-4.0609429999999997E-6</v>
      </c>
      <c r="AA336">
        <v>1</v>
      </c>
      <c r="AB336">
        <v>27</v>
      </c>
      <c r="AC336">
        <v>81.137299999999996</v>
      </c>
      <c r="AD336">
        <v>-1.109573904938</v>
      </c>
      <c r="AE336">
        <v>3.1200000000012499E-2</v>
      </c>
      <c r="AF336">
        <v>-4.6578388103173897E-3</v>
      </c>
      <c r="AG336">
        <v>-1.109573904938</v>
      </c>
      <c r="AH336">
        <v>81.1221349884609</v>
      </c>
      <c r="AI336">
        <v>90.783632452886195</v>
      </c>
      <c r="AJ336">
        <v>90.003289786508006</v>
      </c>
      <c r="AK336">
        <v>81.129723042988701</v>
      </c>
      <c r="AL336">
        <v>87.8870222087901</v>
      </c>
      <c r="AM336">
        <v>89.563907742430501</v>
      </c>
      <c r="AN336">
        <v>0.99999997752698799</v>
      </c>
    </row>
    <row r="337" spans="1:40" x14ac:dyDescent="0.25">
      <c r="A337" t="str">
        <f>"20190312150642815"</f>
        <v>20190312150642815</v>
      </c>
      <c r="B337" t="str">
        <f>"1552374402811035"</f>
        <v>1552374402811035</v>
      </c>
      <c r="C337" t="s">
        <v>40</v>
      </c>
      <c r="D337">
        <v>4.0520449999999997</v>
      </c>
      <c r="E337">
        <v>0.51554100000000003</v>
      </c>
      <c r="F337" t="s">
        <v>42</v>
      </c>
      <c r="G337">
        <v>-365.32069999999999</v>
      </c>
      <c r="H337" s="1">
        <v>-2.435421E-6</v>
      </c>
      <c r="I337">
        <v>367.10359999999997</v>
      </c>
      <c r="J337">
        <v>-447.45190000000002</v>
      </c>
      <c r="K337">
        <v>1.1095729999999999</v>
      </c>
      <c r="L337">
        <v>367.10140000000001</v>
      </c>
      <c r="M337">
        <v>0.99997780000000003</v>
      </c>
      <c r="N337">
        <v>0</v>
      </c>
      <c r="O337">
        <v>4.534688E-4</v>
      </c>
      <c r="P337">
        <v>0.99952169999999896</v>
      </c>
      <c r="Q337">
        <v>3.0081320000000002E-2</v>
      </c>
      <c r="R337">
        <v>-7.1767189999999998E-3</v>
      </c>
      <c r="S337">
        <v>3.0026549999999999</v>
      </c>
      <c r="T337">
        <v>-4.0451529999999999E-2</v>
      </c>
      <c r="U337" s="1">
        <v>9.1552730000000004E-5</v>
      </c>
      <c r="V337">
        <v>7.6215369999999899E-3</v>
      </c>
      <c r="W337">
        <v>3.6729009999999999E-2</v>
      </c>
      <c r="X337">
        <v>0.99929619999999997</v>
      </c>
      <c r="Y337">
        <v>4.2290870000000002E-4</v>
      </c>
      <c r="Z337" s="1">
        <v>-8.9575209999999993E-6</v>
      </c>
      <c r="AA337">
        <v>0.99999990000000005</v>
      </c>
      <c r="AB337">
        <v>27</v>
      </c>
      <c r="AC337">
        <v>82.131200000000007</v>
      </c>
      <c r="AD337">
        <v>-1.1095754354209999</v>
      </c>
      <c r="AE337">
        <v>2.1999999999593399E-3</v>
      </c>
      <c r="AF337">
        <v>3.5038364927971598E-2</v>
      </c>
      <c r="AG337">
        <v>-1.1095754354209999</v>
      </c>
      <c r="AH337">
        <v>82.116205156153498</v>
      </c>
      <c r="AI337">
        <v>90.774148231526098</v>
      </c>
      <c r="AJ337">
        <v>89.975552324833302</v>
      </c>
      <c r="AK337">
        <v>82.123708723981807</v>
      </c>
      <c r="AL337">
        <v>87.895109307134703</v>
      </c>
      <c r="AM337">
        <v>89.5630190162004</v>
      </c>
      <c r="AN337">
        <v>1.0000000016681301</v>
      </c>
    </row>
    <row r="338" spans="1:40" x14ac:dyDescent="0.25">
      <c r="A338" t="str">
        <f>"20190312150642830"</f>
        <v>20190312150642830</v>
      </c>
      <c r="B338" t="str">
        <f>"1552374402820796"</f>
        <v>1552374402820796</v>
      </c>
      <c r="C338" t="s">
        <v>40</v>
      </c>
      <c r="D338">
        <v>4.0146850000000001</v>
      </c>
      <c r="E338">
        <v>0.52317360000000002</v>
      </c>
      <c r="F338" t="s">
        <v>47</v>
      </c>
      <c r="G338">
        <v>-170.08879999999999</v>
      </c>
      <c r="H338">
        <v>7.2203210000000002</v>
      </c>
      <c r="I338">
        <v>353.64400000000001</v>
      </c>
      <c r="J338">
        <v>-447.26249999999999</v>
      </c>
      <c r="K338">
        <v>1.109577</v>
      </c>
      <c r="L338">
        <v>367.10160000000002</v>
      </c>
      <c r="M338">
        <v>0.99997760000000002</v>
      </c>
      <c r="N338">
        <v>0</v>
      </c>
      <c r="O338">
        <v>5.5707019999999996E-4</v>
      </c>
      <c r="P338">
        <v>0.99951809999999996</v>
      </c>
      <c r="Q338">
        <v>3.0176959999999999E-2</v>
      </c>
      <c r="R338">
        <v>-7.2928790000000004E-3</v>
      </c>
      <c r="S338">
        <v>2.9983520000000001</v>
      </c>
      <c r="T338">
        <v>6.6059350000000003E-2</v>
      </c>
      <c r="U338">
        <v>-0.1454773</v>
      </c>
      <c r="V338">
        <v>7.8411360000000003E-3</v>
      </c>
      <c r="W338">
        <v>3.6841939999999997E-2</v>
      </c>
      <c r="X338">
        <v>0.99929029999999996</v>
      </c>
      <c r="Y338">
        <v>4.9006500000000001E-2</v>
      </c>
      <c r="Z338">
        <v>5.5173509999999995E-4</v>
      </c>
      <c r="AA338">
        <v>0.99879830000000003</v>
      </c>
      <c r="AB338">
        <v>27</v>
      </c>
      <c r="AC338">
        <v>277.1737</v>
      </c>
      <c r="AD338">
        <v>6.1107440000000004</v>
      </c>
      <c r="AE338">
        <v>-13.457599999999999</v>
      </c>
      <c r="AF338">
        <v>13.6054091499614</v>
      </c>
      <c r="AG338">
        <v>6.1107440000000004</v>
      </c>
      <c r="AH338">
        <v>277.03182436887602</v>
      </c>
      <c r="AI338">
        <v>88.737900203470701</v>
      </c>
      <c r="AJ338">
        <v>87.188385467141799</v>
      </c>
      <c r="AK338">
        <v>277.43301905778901</v>
      </c>
      <c r="AL338">
        <v>87.888634419894899</v>
      </c>
      <c r="AM338">
        <v>89.550426158226799</v>
      </c>
      <c r="AN338">
        <v>0.99999995781541096</v>
      </c>
    </row>
    <row r="339" spans="1:40" x14ac:dyDescent="0.25">
      <c r="A339" t="str">
        <f>"20190312150642848"</f>
        <v>20190312150642848</v>
      </c>
      <c r="B339" t="str">
        <f>"1552374402841291"</f>
        <v>1552374402841291</v>
      </c>
      <c r="C339" t="s">
        <v>40</v>
      </c>
      <c r="D339">
        <v>4.0212199999999996</v>
      </c>
      <c r="E339">
        <v>0.53273769999999998</v>
      </c>
      <c r="F339" t="s">
        <v>48</v>
      </c>
      <c r="G339">
        <v>0</v>
      </c>
      <c r="H339">
        <v>0</v>
      </c>
      <c r="I339">
        <v>0</v>
      </c>
      <c r="J339">
        <v>-447.04250000000002</v>
      </c>
      <c r="K339">
        <v>1.1095790000000001</v>
      </c>
      <c r="L339">
        <v>367.1019</v>
      </c>
      <c r="M339">
        <v>0.99997740000000002</v>
      </c>
      <c r="N339">
        <v>0</v>
      </c>
      <c r="O339">
        <v>6.7747140000000005E-4</v>
      </c>
      <c r="P339">
        <v>0.99951950000000001</v>
      </c>
      <c r="Q339">
        <v>3.00986E-2</v>
      </c>
      <c r="R339">
        <v>-7.4020119999999899E-3</v>
      </c>
      <c r="S339">
        <v>2.9978940000000001</v>
      </c>
      <c r="T339">
        <v>6.8362709999999993E-2</v>
      </c>
      <c r="U339">
        <v>-0.20706179999999999</v>
      </c>
      <c r="V339">
        <v>8.0707119999999903E-3</v>
      </c>
      <c r="W339">
        <v>3.6783330000000003E-2</v>
      </c>
      <c r="X339">
        <v>0.99929060000000003</v>
      </c>
      <c r="Y339">
        <v>6.9562589999999994E-2</v>
      </c>
      <c r="Z339">
        <v>8.0752059999999895E-4</v>
      </c>
      <c r="AA339">
        <v>0.9975773</v>
      </c>
      <c r="AB339">
        <v>27</v>
      </c>
      <c r="AC339">
        <v>2.9978940000000001</v>
      </c>
      <c r="AD339">
        <v>6.8362709999999993E-2</v>
      </c>
      <c r="AE339">
        <v>-0.20706179999999999</v>
      </c>
      <c r="AF339">
        <v>0.20898462865640599</v>
      </c>
      <c r="AG339">
        <v>6.8362709999999993E-2</v>
      </c>
      <c r="AH339">
        <v>2.9962023930347002</v>
      </c>
      <c r="AI339">
        <v>88.696107142450401</v>
      </c>
      <c r="AJ339">
        <v>86.010090698671803</v>
      </c>
      <c r="AK339">
        <v>3.0042597782415599</v>
      </c>
      <c r="AL339">
        <v>87.891994737355901</v>
      </c>
      <c r="AM339">
        <v>89.537264053794999</v>
      </c>
      <c r="AN339">
        <v>0.99999992650321501</v>
      </c>
    </row>
    <row r="340" spans="1:40" x14ac:dyDescent="0.25">
      <c r="A340" t="str">
        <f>"20190312150642859"</f>
        <v>20190312150642859</v>
      </c>
      <c r="B340" t="str">
        <f>"1552374402851052"</f>
        <v>1552374402851052</v>
      </c>
      <c r="C340" t="s">
        <v>40</v>
      </c>
      <c r="D340">
        <v>3.9709819999999998</v>
      </c>
      <c r="E340">
        <v>0.5354428</v>
      </c>
      <c r="F340" t="s">
        <v>50</v>
      </c>
      <c r="G340">
        <v>-168.98500000000001</v>
      </c>
      <c r="H340">
        <v>8.9167389999999997</v>
      </c>
      <c r="I340">
        <v>340.8107</v>
      </c>
      <c r="J340">
        <v>-446.88830000000002</v>
      </c>
      <c r="K340">
        <v>1.10958</v>
      </c>
      <c r="L340">
        <v>367.10199999999998</v>
      </c>
      <c r="M340">
        <v>0.99997729999999996</v>
      </c>
      <c r="N340">
        <v>0</v>
      </c>
      <c r="O340">
        <v>7.6153220000000005E-4</v>
      </c>
      <c r="P340">
        <v>0.99952269999999999</v>
      </c>
      <c r="Q340">
        <v>3.0003390000000001E-2</v>
      </c>
      <c r="R340">
        <v>-7.3708109999999997E-3</v>
      </c>
      <c r="S340">
        <v>2.9967959999999998</v>
      </c>
      <c r="T340">
        <v>8.414257E-2</v>
      </c>
      <c r="U340">
        <v>-0.28335569999999999</v>
      </c>
      <c r="V340">
        <v>8.1234010000000006E-3</v>
      </c>
      <c r="W340">
        <v>3.6701839999999999E-2</v>
      </c>
      <c r="X340">
        <v>0.99929330000000005</v>
      </c>
      <c r="Y340">
        <v>9.485383E-2</v>
      </c>
      <c r="Z340">
        <v>1.3497379999999901E-3</v>
      </c>
      <c r="AA340">
        <v>0.99549030000000005</v>
      </c>
      <c r="AB340">
        <v>27</v>
      </c>
      <c r="AC340">
        <v>277.9033</v>
      </c>
      <c r="AD340">
        <v>7.8071589999999897</v>
      </c>
      <c r="AE340">
        <v>-26.2912999999999</v>
      </c>
      <c r="AF340">
        <v>26.482214514438699</v>
      </c>
      <c r="AG340">
        <v>7.8071589999999897</v>
      </c>
      <c r="AH340">
        <v>277.66600141471002</v>
      </c>
      <c r="AI340">
        <v>88.396705605763202</v>
      </c>
      <c r="AJ340">
        <v>84.551931396439002</v>
      </c>
      <c r="AK340">
        <v>279.03524465356298</v>
      </c>
      <c r="AL340">
        <v>87.896667200342904</v>
      </c>
      <c r="AM340">
        <v>89.534244510080498</v>
      </c>
      <c r="AN340">
        <v>1.0000000570640299</v>
      </c>
    </row>
    <row r="341" spans="1:40" x14ac:dyDescent="0.25">
      <c r="A341" t="str">
        <f>"20190312150642872"</f>
        <v>20190312150642872</v>
      </c>
      <c r="B341" t="str">
        <f>"1552374402860812"</f>
        <v>1552374402860812</v>
      </c>
      <c r="C341" t="s">
        <v>40</v>
      </c>
      <c r="D341">
        <v>3.9825970000000002</v>
      </c>
      <c r="E341">
        <v>0.53737230000000002</v>
      </c>
      <c r="F341" t="s">
        <v>50</v>
      </c>
      <c r="G341">
        <v>-168.4032</v>
      </c>
      <c r="H341">
        <v>9.3509010000000004</v>
      </c>
      <c r="I341">
        <v>338.77409999999998</v>
      </c>
      <c r="J341">
        <v>-446.74430000000001</v>
      </c>
      <c r="K341">
        <v>1.1095820000000001</v>
      </c>
      <c r="L341">
        <v>367.10219999999998</v>
      </c>
      <c r="M341">
        <v>0.99997720000000001</v>
      </c>
      <c r="N341">
        <v>0</v>
      </c>
      <c r="O341">
        <v>8.4034959999999999E-4</v>
      </c>
      <c r="P341">
        <v>0.99951800000000002</v>
      </c>
      <c r="Q341">
        <v>3.0145890000000002E-2</v>
      </c>
      <c r="R341">
        <v>-7.4183499999999998E-3</v>
      </c>
      <c r="S341">
        <v>2.996521</v>
      </c>
      <c r="T341">
        <v>8.8677290000000006E-2</v>
      </c>
      <c r="U341">
        <v>-0.30480960000000001</v>
      </c>
      <c r="V341">
        <v>8.2497999999999998E-3</v>
      </c>
      <c r="W341">
        <v>3.685766E-2</v>
      </c>
      <c r="X341">
        <v>0.99928649999999997</v>
      </c>
      <c r="Y341">
        <v>0.10199039999999999</v>
      </c>
      <c r="Z341">
        <v>1.529711E-3</v>
      </c>
      <c r="AA341">
        <v>0.99478420000000001</v>
      </c>
      <c r="AB341">
        <v>27</v>
      </c>
      <c r="AC341">
        <v>278.34109999999998</v>
      </c>
      <c r="AD341">
        <v>8.2413190000000007</v>
      </c>
      <c r="AE341">
        <v>-28.328099999999999</v>
      </c>
      <c r="AF341">
        <v>28.537237669455902</v>
      </c>
      <c r="AG341">
        <v>8.2413190000000007</v>
      </c>
      <c r="AH341">
        <v>278.07591262334</v>
      </c>
      <c r="AI341">
        <v>88.311289355411802</v>
      </c>
      <c r="AJ341">
        <v>84.140595344430906</v>
      </c>
      <c r="AK341">
        <v>279.65783817723798</v>
      </c>
      <c r="AL341">
        <v>87.887733265716406</v>
      </c>
      <c r="AM341">
        <v>89.526994527026105</v>
      </c>
      <c r="AN341">
        <v>1.00000002769148</v>
      </c>
    </row>
    <row r="342" spans="1:40" x14ac:dyDescent="0.25">
      <c r="A342" t="str">
        <f>"20190312150642886"</f>
        <v>20190312150642886</v>
      </c>
      <c r="B342" t="str">
        <f>"1552374402881307"</f>
        <v>1552374402881307</v>
      </c>
      <c r="C342" t="s">
        <v>40</v>
      </c>
      <c r="D342">
        <v>3.956324</v>
      </c>
      <c r="E342">
        <v>0.53995039999999905</v>
      </c>
      <c r="F342" t="s">
        <v>50</v>
      </c>
      <c r="G342">
        <v>-168.4033</v>
      </c>
      <c r="H342">
        <v>9.7144549999999992</v>
      </c>
      <c r="I342">
        <v>337.35219999999998</v>
      </c>
      <c r="J342">
        <v>-446.58139999999997</v>
      </c>
      <c r="K342">
        <v>1.109583</v>
      </c>
      <c r="L342">
        <v>367.10239999999999</v>
      </c>
      <c r="M342">
        <v>0.99997689999999995</v>
      </c>
      <c r="N342">
        <v>0</v>
      </c>
      <c r="O342">
        <v>9.296517E-4</v>
      </c>
      <c r="P342">
        <v>0.99951389999999996</v>
      </c>
      <c r="Q342">
        <v>3.0257740000000002E-2</v>
      </c>
      <c r="R342">
        <v>-7.5154660000000002E-3</v>
      </c>
      <c r="S342">
        <v>2.9962770000000001</v>
      </c>
      <c r="T342">
        <v>9.2629550000000005E-2</v>
      </c>
      <c r="U342">
        <v>-0.32025150000000002</v>
      </c>
      <c r="V342">
        <v>8.436051E-3</v>
      </c>
      <c r="W342">
        <v>3.698394E-2</v>
      </c>
      <c r="X342">
        <v>0.99928030000000001</v>
      </c>
      <c r="Y342">
        <v>0.1071511</v>
      </c>
      <c r="Z342">
        <v>1.6798399999999999E-3</v>
      </c>
      <c r="AA342">
        <v>0.99424140000000005</v>
      </c>
      <c r="AB342">
        <v>28</v>
      </c>
      <c r="AC342">
        <v>278.17809999999997</v>
      </c>
      <c r="AD342">
        <v>8.6048720000000003</v>
      </c>
      <c r="AE342">
        <v>-29.7502</v>
      </c>
      <c r="AF342">
        <v>29.9804394219321</v>
      </c>
      <c r="AG342">
        <v>8.6048720000000003</v>
      </c>
      <c r="AH342">
        <v>277.88743261475599</v>
      </c>
      <c r="AI342">
        <v>88.236611213543199</v>
      </c>
      <c r="AJ342">
        <v>83.842347822260294</v>
      </c>
      <c r="AK342">
        <v>279.63242976323198</v>
      </c>
      <c r="AL342">
        <v>87.880493062288195</v>
      </c>
      <c r="AM342">
        <v>89.516313254809205</v>
      </c>
      <c r="AN342">
        <v>1.0000000483712399</v>
      </c>
    </row>
    <row r="343" spans="1:40" x14ac:dyDescent="0.25">
      <c r="A343" t="str">
        <f>"20190312150642902"</f>
        <v>20190312150642902</v>
      </c>
      <c r="B343" t="str">
        <f>"1552374402891068"</f>
        <v>1552374402891068</v>
      </c>
      <c r="C343" t="s">
        <v>40</v>
      </c>
      <c r="D343">
        <v>3.9931290000000002</v>
      </c>
      <c r="E343">
        <v>0.54092890000000005</v>
      </c>
      <c r="F343" t="s">
        <v>51</v>
      </c>
      <c r="G343">
        <v>-241.578</v>
      </c>
      <c r="H343">
        <v>7.9439979999999997</v>
      </c>
      <c r="I343">
        <v>343.75549999999998</v>
      </c>
      <c r="J343">
        <v>-446.36540000000002</v>
      </c>
      <c r="K343">
        <v>1.109577</v>
      </c>
      <c r="L343">
        <v>367.10270000000003</v>
      </c>
      <c r="M343">
        <v>0.9999768</v>
      </c>
      <c r="N343">
        <v>0</v>
      </c>
      <c r="O343">
        <v>1.0475479999999999E-3</v>
      </c>
      <c r="P343">
        <v>0.99951179999999995</v>
      </c>
      <c r="Q343">
        <v>3.032435E-2</v>
      </c>
      <c r="R343">
        <v>-7.5465840000000003E-3</v>
      </c>
      <c r="S343">
        <v>2.9958800000000001</v>
      </c>
      <c r="T343">
        <v>9.9876880000000001E-2</v>
      </c>
      <c r="U343">
        <v>-0.3411865</v>
      </c>
      <c r="V343">
        <v>8.5847409999999999E-3</v>
      </c>
      <c r="W343">
        <v>3.7070659999999998E-2</v>
      </c>
      <c r="X343">
        <v>0.99927569999999999</v>
      </c>
      <c r="Y343">
        <v>0.11413139999999899</v>
      </c>
      <c r="Z343">
        <v>1.9306130000000001E-3</v>
      </c>
      <c r="AA343">
        <v>0.99346380000000001</v>
      </c>
      <c r="AB343">
        <v>28</v>
      </c>
      <c r="AC343">
        <v>204.78739999999999</v>
      </c>
      <c r="AD343">
        <v>6.8344209999999999</v>
      </c>
      <c r="AE343">
        <v>-23.347200000000001</v>
      </c>
      <c r="AF343">
        <v>23.535839421288902</v>
      </c>
      <c r="AG343">
        <v>6.8344209999999999</v>
      </c>
      <c r="AH343">
        <v>204.53794374460699</v>
      </c>
      <c r="AI343">
        <v>88.098769745951898</v>
      </c>
      <c r="AJ343">
        <v>83.435939760840597</v>
      </c>
      <c r="AK343">
        <v>206.001008441566</v>
      </c>
      <c r="AL343">
        <v>87.875520707324497</v>
      </c>
      <c r="AM343">
        <v>89.507786162219304</v>
      </c>
      <c r="AN343">
        <v>0.99999992811067795</v>
      </c>
    </row>
    <row r="344" spans="1:40" x14ac:dyDescent="0.25">
      <c r="A344" t="str">
        <f>"20190312150642915"</f>
        <v>20190312150642915</v>
      </c>
      <c r="B344" t="str">
        <f>"1552374402910587"</f>
        <v>1552374402910587</v>
      </c>
      <c r="C344" t="s">
        <v>40</v>
      </c>
      <c r="D344">
        <v>4.0020439999999997</v>
      </c>
      <c r="E344">
        <v>0.54249789999999998</v>
      </c>
      <c r="F344" t="s">
        <v>51</v>
      </c>
      <c r="G344">
        <v>-241.11320000000001</v>
      </c>
      <c r="H344">
        <v>7.9503849999999998</v>
      </c>
      <c r="I344">
        <v>343.19569999999999</v>
      </c>
      <c r="J344">
        <v>-446.21359999999999</v>
      </c>
      <c r="K344">
        <v>1.10958</v>
      </c>
      <c r="L344">
        <v>367.10300000000001</v>
      </c>
      <c r="M344">
        <v>0.99997650000000005</v>
      </c>
      <c r="N344">
        <v>0</v>
      </c>
      <c r="O344">
        <v>1.130713E-3</v>
      </c>
      <c r="P344">
        <v>0.99951469999999998</v>
      </c>
      <c r="Q344">
        <v>3.022598E-2</v>
      </c>
      <c r="R344">
        <v>-7.5225250000000004E-3</v>
      </c>
      <c r="S344">
        <v>2.9957889999999998</v>
      </c>
      <c r="T344">
        <v>9.9846009999999999E-2</v>
      </c>
      <c r="U344">
        <v>-0.34893800000000003</v>
      </c>
      <c r="V344">
        <v>8.6441E-3</v>
      </c>
      <c r="W344">
        <v>3.6986320000000003E-2</v>
      </c>
      <c r="X344">
        <v>0.99927840000000001</v>
      </c>
      <c r="Y344">
        <v>0.1167525</v>
      </c>
      <c r="Z344">
        <v>1.9760730000000001E-3</v>
      </c>
      <c r="AA344">
        <v>0.99315909999999996</v>
      </c>
      <c r="AB344">
        <v>28</v>
      </c>
      <c r="AC344">
        <v>205.10040000000001</v>
      </c>
      <c r="AD344">
        <v>6.8408049999999996</v>
      </c>
      <c r="AE344">
        <v>-23.907299999999999</v>
      </c>
      <c r="AF344">
        <v>24.1127350181021</v>
      </c>
      <c r="AG344">
        <v>6.8408049999999996</v>
      </c>
      <c r="AH344">
        <v>204.84840667082301</v>
      </c>
      <c r="AI344">
        <v>88.100453077673706</v>
      </c>
      <c r="AJ344">
        <v>83.2865981673216</v>
      </c>
      <c r="AK344">
        <v>206.376089503305</v>
      </c>
      <c r="AL344">
        <v>87.880356533190806</v>
      </c>
      <c r="AM344">
        <v>89.504384268879505</v>
      </c>
      <c r="AN344">
        <v>1.00000001451925</v>
      </c>
    </row>
    <row r="345" spans="1:40" x14ac:dyDescent="0.25">
      <c r="A345" t="str">
        <f>"20190312150642928"</f>
        <v>20190312150642928</v>
      </c>
      <c r="B345" t="str">
        <f>"1552374402921323"</f>
        <v>1552374402921323</v>
      </c>
      <c r="C345" t="s">
        <v>40</v>
      </c>
      <c r="D345">
        <v>3.9961540000000002</v>
      </c>
      <c r="E345">
        <v>0.54311449999999994</v>
      </c>
      <c r="F345" t="s">
        <v>45</v>
      </c>
      <c r="G345">
        <v>-285.86779999999999</v>
      </c>
      <c r="H345">
        <v>6.484299</v>
      </c>
      <c r="I345">
        <v>347.76609999999999</v>
      </c>
      <c r="J345">
        <v>-446.05630000000002</v>
      </c>
      <c r="K345">
        <v>1.109585</v>
      </c>
      <c r="L345">
        <v>367.10320000000002</v>
      </c>
      <c r="M345">
        <v>0.99997630000000004</v>
      </c>
      <c r="N345">
        <v>0</v>
      </c>
      <c r="O345">
        <v>1.216796E-3</v>
      </c>
      <c r="P345">
        <v>0.99951069999999997</v>
      </c>
      <c r="Q345">
        <v>3.0354570000000001E-2</v>
      </c>
      <c r="R345">
        <v>-7.549264E-3</v>
      </c>
      <c r="S345">
        <v>2.9956969999999998</v>
      </c>
      <c r="T345">
        <v>0.1004144</v>
      </c>
      <c r="U345">
        <v>-0.36126710000000001</v>
      </c>
      <c r="V345">
        <v>8.7566620000000001E-3</v>
      </c>
      <c r="W345">
        <v>3.7129269999999999E-2</v>
      </c>
      <c r="X345">
        <v>0.9992721</v>
      </c>
      <c r="Y345">
        <v>0.1208683</v>
      </c>
      <c r="Z345">
        <v>2.0584819999999999E-3</v>
      </c>
      <c r="AA345">
        <v>0.99266639999999995</v>
      </c>
      <c r="AB345">
        <v>28</v>
      </c>
      <c r="AC345">
        <v>160.1885</v>
      </c>
      <c r="AD345">
        <v>5.374714</v>
      </c>
      <c r="AE345">
        <v>-19.3371</v>
      </c>
      <c r="AF345">
        <v>19.510358255980499</v>
      </c>
      <c r="AG345">
        <v>5.374714</v>
      </c>
      <c r="AH345">
        <v>159.98733014443599</v>
      </c>
      <c r="AI345">
        <v>88.090032709866193</v>
      </c>
      <c r="AJ345">
        <v>83.047145488381801</v>
      </c>
      <c r="AK345">
        <v>161.26216988681301</v>
      </c>
      <c r="AL345">
        <v>87.872160432156207</v>
      </c>
      <c r="AM345">
        <v>89.497927608192896</v>
      </c>
      <c r="AN345">
        <v>0.99999999582926202</v>
      </c>
    </row>
    <row r="346" spans="1:40" x14ac:dyDescent="0.25">
      <c r="A346" t="str">
        <f>"20190312150642939"</f>
        <v>20190312150642939</v>
      </c>
      <c r="B346" t="str">
        <f>"1552374402931083"</f>
        <v>1552374402931083</v>
      </c>
      <c r="C346" t="s">
        <v>40</v>
      </c>
      <c r="D346">
        <v>4.001601</v>
      </c>
      <c r="E346">
        <v>0.54360529999999996</v>
      </c>
      <c r="F346" t="s">
        <v>45</v>
      </c>
      <c r="G346">
        <v>-285.86779999999999</v>
      </c>
      <c r="H346">
        <v>6.5189209999999997</v>
      </c>
      <c r="I346">
        <v>347.51690000000002</v>
      </c>
      <c r="J346">
        <v>-445.9</v>
      </c>
      <c r="K346">
        <v>1.1095870000000001</v>
      </c>
      <c r="L346">
        <v>367.1035</v>
      </c>
      <c r="M346">
        <v>0.99997619999999998</v>
      </c>
      <c r="N346">
        <v>0</v>
      </c>
      <c r="O346">
        <v>1.302461E-3</v>
      </c>
      <c r="P346">
        <v>0.99951579999999995</v>
      </c>
      <c r="Q346">
        <v>3.023371E-2</v>
      </c>
      <c r="R346">
        <v>-7.3872800000000004E-3</v>
      </c>
      <c r="S346">
        <v>2.9955750000000001</v>
      </c>
      <c r="T346">
        <v>0.1011562</v>
      </c>
      <c r="U346">
        <v>-0.36627199999999999</v>
      </c>
      <c r="V346">
        <v>8.6802930000000004E-3</v>
      </c>
      <c r="W346">
        <v>3.7023019999999997E-2</v>
      </c>
      <c r="X346">
        <v>0.99927670000000002</v>
      </c>
      <c r="Y346">
        <v>0.1225903</v>
      </c>
      <c r="Z346">
        <v>2.1053980000000001E-3</v>
      </c>
      <c r="AA346">
        <v>0.99245510000000003</v>
      </c>
      <c r="AB346">
        <v>28</v>
      </c>
      <c r="AC346">
        <v>160.03219999999999</v>
      </c>
      <c r="AD346">
        <v>5.4093339999999897</v>
      </c>
      <c r="AE346">
        <v>-19.586599999999901</v>
      </c>
      <c r="AF346">
        <v>19.772766034488502</v>
      </c>
      <c r="AG346">
        <v>5.4093339999999897</v>
      </c>
      <c r="AH346">
        <v>159.82663901341999</v>
      </c>
      <c r="AI346">
        <v>88.076218559524307</v>
      </c>
      <c r="AJ346">
        <v>82.947553351542695</v>
      </c>
      <c r="AK346">
        <v>161.13589826386999</v>
      </c>
      <c r="AL346">
        <v>87.878252279217804</v>
      </c>
      <c r="AM346">
        <v>89.5023083745441</v>
      </c>
      <c r="AN346">
        <v>0.99999998732968798</v>
      </c>
    </row>
    <row r="347" spans="1:40" x14ac:dyDescent="0.25">
      <c r="A347" t="str">
        <f>"20190312150642951"</f>
        <v>20190312150642951</v>
      </c>
      <c r="B347" t="str">
        <f>"1552374402940844"</f>
        <v>1552374402940844</v>
      </c>
      <c r="C347" t="s">
        <v>40</v>
      </c>
      <c r="D347">
        <v>3.9925679999999999</v>
      </c>
      <c r="E347">
        <v>0.54413009999999995</v>
      </c>
      <c r="F347" t="s">
        <v>45</v>
      </c>
      <c r="G347">
        <v>-282.32900000000001</v>
      </c>
      <c r="H347">
        <v>6.6076940000000004</v>
      </c>
      <c r="I347">
        <v>346.9126</v>
      </c>
      <c r="J347">
        <v>-445.7645</v>
      </c>
      <c r="K347">
        <v>1.109588</v>
      </c>
      <c r="L347">
        <v>367.10379999999998</v>
      </c>
      <c r="M347">
        <v>0.99997599999999998</v>
      </c>
      <c r="N347">
        <v>0</v>
      </c>
      <c r="O347">
        <v>1.376927E-3</v>
      </c>
      <c r="P347">
        <v>0.99950939999999999</v>
      </c>
      <c r="Q347">
        <v>3.0458349999999999E-2</v>
      </c>
      <c r="R347">
        <v>-7.2934690000000003E-3</v>
      </c>
      <c r="S347">
        <v>2.9956670000000001</v>
      </c>
      <c r="T347">
        <v>0.1006932</v>
      </c>
      <c r="U347">
        <v>-0.36978149999999999</v>
      </c>
      <c r="V347">
        <v>8.6608640000000008E-3</v>
      </c>
      <c r="W347">
        <v>3.7259840000000002E-2</v>
      </c>
      <c r="X347">
        <v>0.99926809999999999</v>
      </c>
      <c r="Y347">
        <v>0.12380579999999999</v>
      </c>
      <c r="Z347">
        <v>2.1183920000000002E-3</v>
      </c>
      <c r="AA347">
        <v>0.99230419999999997</v>
      </c>
      <c r="AB347">
        <v>28</v>
      </c>
      <c r="AC347">
        <v>163.43549999999999</v>
      </c>
      <c r="AD347">
        <v>5.4981059999999999</v>
      </c>
      <c r="AE347">
        <v>-20.191199999999899</v>
      </c>
      <c r="AF347">
        <v>20.393492330576098</v>
      </c>
      <c r="AG347">
        <v>5.4981059999999999</v>
      </c>
      <c r="AH347">
        <v>163.22559630066999</v>
      </c>
      <c r="AI347">
        <v>88.085645718729296</v>
      </c>
      <c r="AJ347">
        <v>82.878338696915307</v>
      </c>
      <c r="AK347">
        <v>164.58650912736999</v>
      </c>
      <c r="AL347">
        <v>87.864674195685595</v>
      </c>
      <c r="AM347">
        <v>89.503418022657499</v>
      </c>
      <c r="AN347">
        <v>1.0000000209598301</v>
      </c>
    </row>
    <row r="348" spans="1:40" x14ac:dyDescent="0.25">
      <c r="A348" t="str">
        <f>"20190312150642963"</f>
        <v>20190312150642963</v>
      </c>
      <c r="B348" t="str">
        <f>"1552374402950604"</f>
        <v>1552374402950604</v>
      </c>
      <c r="C348" t="s">
        <v>40</v>
      </c>
      <c r="D348">
        <v>4.0011960000000002</v>
      </c>
      <c r="E348">
        <v>0.54454760000000002</v>
      </c>
      <c r="F348" t="s">
        <v>45</v>
      </c>
      <c r="G348">
        <v>-282.32900000000001</v>
      </c>
      <c r="H348">
        <v>6.7160380000000002</v>
      </c>
      <c r="I348">
        <v>346.71420000000001</v>
      </c>
      <c r="J348">
        <v>-445.60739999999998</v>
      </c>
      <c r="K348">
        <v>1.109588</v>
      </c>
      <c r="L348">
        <v>367.10410000000002</v>
      </c>
      <c r="M348">
        <v>0.99997570000000002</v>
      </c>
      <c r="N348">
        <v>0</v>
      </c>
      <c r="O348">
        <v>1.4629510000000001E-3</v>
      </c>
      <c r="P348">
        <v>0.99950870000000003</v>
      </c>
      <c r="Q348">
        <v>3.0508150000000001E-2</v>
      </c>
      <c r="R348">
        <v>-7.1807490000000002E-3</v>
      </c>
      <c r="S348">
        <v>2.9955750000000001</v>
      </c>
      <c r="T348">
        <v>0.10275960000000001</v>
      </c>
      <c r="U348">
        <v>-0.3737183</v>
      </c>
      <c r="V348">
        <v>8.6340749999999997E-3</v>
      </c>
      <c r="W348">
        <v>3.7324169999999997E-2</v>
      </c>
      <c r="X348">
        <v>0.99926590000000004</v>
      </c>
      <c r="Y348">
        <v>0.12517529999999999</v>
      </c>
      <c r="Z348">
        <v>2.1880620000000002E-3</v>
      </c>
      <c r="AA348">
        <v>0.99213220000000002</v>
      </c>
      <c r="AB348">
        <v>28</v>
      </c>
      <c r="AC348">
        <v>163.27839999999901</v>
      </c>
      <c r="AD348">
        <v>5.6064499999999997</v>
      </c>
      <c r="AE348">
        <v>-20.389900000000001</v>
      </c>
      <c r="AF348">
        <v>20.6048316981617</v>
      </c>
      <c r="AG348">
        <v>5.6064499999999997</v>
      </c>
      <c r="AH348">
        <v>163.05909841798001</v>
      </c>
      <c r="AI348">
        <v>88.046303090779006</v>
      </c>
      <c r="AJ348">
        <v>82.798036506467795</v>
      </c>
      <c r="AK348">
        <v>164.451393876113</v>
      </c>
      <c r="AL348">
        <v>87.860985726207801</v>
      </c>
      <c r="AM348">
        <v>89.504952838639795</v>
      </c>
      <c r="AN348">
        <v>0.99999998991005201</v>
      </c>
    </row>
    <row r="349" spans="1:40" x14ac:dyDescent="0.25">
      <c r="A349" t="str">
        <f>"20190312150642982"</f>
        <v>20190312150642982</v>
      </c>
      <c r="B349" t="str">
        <f>"1552374402971103"</f>
        <v>1552374402971103</v>
      </c>
      <c r="C349" t="s">
        <v>40</v>
      </c>
      <c r="D349">
        <v>3.9699810000000002</v>
      </c>
      <c r="E349">
        <v>0.54533369999999903</v>
      </c>
      <c r="F349" t="s">
        <v>45</v>
      </c>
      <c r="G349">
        <v>-282.32900000000001</v>
      </c>
      <c r="H349">
        <v>6.7323839999999997</v>
      </c>
      <c r="I349">
        <v>346.56939999999997</v>
      </c>
      <c r="J349">
        <v>-445.37909999999999</v>
      </c>
      <c r="K349">
        <v>1.1095889999999999</v>
      </c>
      <c r="L349">
        <v>367.10449999999997</v>
      </c>
      <c r="M349">
        <v>0.99997539999999996</v>
      </c>
      <c r="N349">
        <v>0</v>
      </c>
      <c r="O349">
        <v>1.587876E-3</v>
      </c>
      <c r="P349">
        <v>0.99950740000000005</v>
      </c>
      <c r="Q349">
        <v>3.0554189999999998E-2</v>
      </c>
      <c r="R349">
        <v>-7.1713690000000004E-3</v>
      </c>
      <c r="S349">
        <v>2.9955750000000001</v>
      </c>
      <c r="T349">
        <v>0.103158399999999</v>
      </c>
      <c r="U349">
        <v>-0.3767395</v>
      </c>
      <c r="V349">
        <v>8.7495139999999999E-3</v>
      </c>
      <c r="W349">
        <v>3.7391349999999997E-2</v>
      </c>
      <c r="X349">
        <v>0.9992624</v>
      </c>
      <c r="Y349">
        <v>0.12628310000000001</v>
      </c>
      <c r="Z349">
        <v>2.219689E-3</v>
      </c>
      <c r="AA349">
        <v>0.99199179999999998</v>
      </c>
      <c r="AB349">
        <v>28</v>
      </c>
      <c r="AC349">
        <v>163.05009999999999</v>
      </c>
      <c r="AD349">
        <v>5.622795</v>
      </c>
      <c r="AE349">
        <v>-20.5351</v>
      </c>
      <c r="AF349">
        <v>20.7696694426057</v>
      </c>
      <c r="AG349">
        <v>5.622795</v>
      </c>
      <c r="AH349">
        <v>162.82667314156501</v>
      </c>
      <c r="AI349">
        <v>88.038109175898995</v>
      </c>
      <c r="AJ349">
        <v>82.730782287185605</v>
      </c>
      <c r="AK349">
        <v>164.24226154896101</v>
      </c>
      <c r="AL349">
        <v>87.857133940492304</v>
      </c>
      <c r="AM349">
        <v>89.498332555839099</v>
      </c>
      <c r="AN349">
        <v>1.0000000055519001</v>
      </c>
    </row>
    <row r="350" spans="1:40" x14ac:dyDescent="0.25">
      <c r="A350" t="str">
        <f>"20190312150642998"</f>
        <v>20190312150642998</v>
      </c>
      <c r="B350" t="str">
        <f>"1552374402990619"</f>
        <v>1552374402990619</v>
      </c>
      <c r="C350" t="s">
        <v>40</v>
      </c>
      <c r="D350">
        <v>3.9830739999999998</v>
      </c>
      <c r="E350">
        <v>0.54584980000000005</v>
      </c>
      <c r="F350" t="s">
        <v>45</v>
      </c>
      <c r="G350">
        <v>-282.32900000000001</v>
      </c>
      <c r="H350">
        <v>6.7598060000000002</v>
      </c>
      <c r="I350">
        <v>346.26609999999999</v>
      </c>
      <c r="J350">
        <v>-445.16829999999999</v>
      </c>
      <c r="K350">
        <v>1.109591</v>
      </c>
      <c r="L350">
        <v>367.10489999999999</v>
      </c>
      <c r="M350">
        <v>0.99997510000000001</v>
      </c>
      <c r="N350">
        <v>0</v>
      </c>
      <c r="O350">
        <v>1.703031E-3</v>
      </c>
      <c r="P350">
        <v>0.99950229999999995</v>
      </c>
      <c r="Q350">
        <v>3.0715869999999999E-2</v>
      </c>
      <c r="R350">
        <v>-7.208328E-3</v>
      </c>
      <c r="S350">
        <v>2.9955440000000002</v>
      </c>
      <c r="T350">
        <v>0.10380540000000001</v>
      </c>
      <c r="U350">
        <v>-0.38284299999999999</v>
      </c>
      <c r="V350">
        <v>8.9013210000000002E-3</v>
      </c>
      <c r="W350">
        <v>3.757195E-2</v>
      </c>
      <c r="X350">
        <v>0.99925430000000004</v>
      </c>
      <c r="Y350">
        <v>0.12838530000000001</v>
      </c>
      <c r="Z350">
        <v>2.2735810000000002E-3</v>
      </c>
      <c r="AA350">
        <v>0.99172170000000004</v>
      </c>
      <c r="AB350">
        <v>28</v>
      </c>
      <c r="AC350">
        <v>162.83929999999901</v>
      </c>
      <c r="AD350">
        <v>5.6502150000000002</v>
      </c>
      <c r="AE350">
        <v>-20.8387999999999</v>
      </c>
      <c r="AF350">
        <v>21.091112985459301</v>
      </c>
      <c r="AG350">
        <v>5.6502150000000002</v>
      </c>
      <c r="AH350">
        <v>162.61095158648399</v>
      </c>
      <c r="AI350">
        <v>88.026471661214103</v>
      </c>
      <c r="AJ350">
        <v>82.609827838349801</v>
      </c>
      <c r="AK350">
        <v>164.070355495359</v>
      </c>
      <c r="AL350">
        <v>87.846779078751496</v>
      </c>
      <c r="AM350">
        <v>89.489624777186705</v>
      </c>
      <c r="AN350">
        <v>1.00000002050541</v>
      </c>
    </row>
    <row r="351" spans="1:40" x14ac:dyDescent="0.25">
      <c r="A351" t="str">
        <f>"20190312150643016"</f>
        <v>20190312150643016</v>
      </c>
      <c r="B351" t="str">
        <f>"1552374403010647"</f>
        <v>1552374403010647</v>
      </c>
      <c r="C351" t="s">
        <v>40</v>
      </c>
      <c r="D351">
        <v>4.0079549999999999</v>
      </c>
      <c r="E351">
        <v>0.54646149999999905</v>
      </c>
      <c r="F351" t="s">
        <v>45</v>
      </c>
      <c r="G351">
        <v>-282.32900000000001</v>
      </c>
      <c r="H351">
        <v>6.8292339999999996</v>
      </c>
      <c r="I351">
        <v>346.06560000000002</v>
      </c>
      <c r="J351">
        <v>-444.95389999999998</v>
      </c>
      <c r="K351">
        <v>1.109594</v>
      </c>
      <c r="L351">
        <v>367.10550000000001</v>
      </c>
      <c r="M351">
        <v>0.99997480000000005</v>
      </c>
      <c r="N351">
        <v>0</v>
      </c>
      <c r="O351">
        <v>1.819853E-3</v>
      </c>
      <c r="P351">
        <v>0.99950430000000001</v>
      </c>
      <c r="Q351">
        <v>3.065592E-2</v>
      </c>
      <c r="R351">
        <v>-7.1817130000000002E-3</v>
      </c>
      <c r="S351">
        <v>2.9954529999999999</v>
      </c>
      <c r="T351">
        <v>0.1052136</v>
      </c>
      <c r="U351">
        <v>-0.38702389999999998</v>
      </c>
      <c r="V351">
        <v>8.9915419999999999E-3</v>
      </c>
      <c r="W351">
        <v>3.75324E-2</v>
      </c>
      <c r="X351">
        <v>0.99925489999999995</v>
      </c>
      <c r="Y351">
        <v>0.12986349999999999</v>
      </c>
      <c r="Z351">
        <v>2.3342020000000001E-3</v>
      </c>
      <c r="AA351">
        <v>0.99152910000000005</v>
      </c>
      <c r="AB351">
        <v>28</v>
      </c>
      <c r="AC351">
        <v>162.624899999999</v>
      </c>
      <c r="AD351">
        <v>5.7196400000000001</v>
      </c>
      <c r="AE351">
        <v>-21.0398999999999</v>
      </c>
      <c r="AF351">
        <v>21.309899539403499</v>
      </c>
      <c r="AG351">
        <v>5.7196400000000001</v>
      </c>
      <c r="AH351">
        <v>162.38877522506701</v>
      </c>
      <c r="AI351">
        <v>87.999902038239199</v>
      </c>
      <c r="AJ351">
        <v>82.523927815326402</v>
      </c>
      <c r="AK351">
        <v>163.88087264597499</v>
      </c>
      <c r="AL351">
        <v>87.849046557342803</v>
      </c>
      <c r="AM351">
        <v>89.484452361234901</v>
      </c>
      <c r="AN351">
        <v>0.99999994202565201</v>
      </c>
    </row>
    <row r="352" spans="1:40" x14ac:dyDescent="0.25">
      <c r="A352" t="str">
        <f>"20190312150643030"</f>
        <v>20190312150643030</v>
      </c>
      <c r="B352" t="str">
        <f>"1552374403021384"</f>
        <v>1552374403021384</v>
      </c>
      <c r="C352" t="s">
        <v>40</v>
      </c>
      <c r="D352">
        <v>3.9846149999999998</v>
      </c>
      <c r="E352">
        <v>0.54672460000000001</v>
      </c>
      <c r="F352" t="s">
        <v>45</v>
      </c>
      <c r="G352">
        <v>-282.32900000000001</v>
      </c>
      <c r="H352">
        <v>6.8661469999999998</v>
      </c>
      <c r="I352">
        <v>345.82830000000001</v>
      </c>
      <c r="J352">
        <v>-444.77640000000002</v>
      </c>
      <c r="K352">
        <v>1.10959599999999</v>
      </c>
      <c r="L352">
        <v>367.10579999999999</v>
      </c>
      <c r="M352">
        <v>0.99997440000000004</v>
      </c>
      <c r="N352">
        <v>0</v>
      </c>
      <c r="O352">
        <v>1.916659E-3</v>
      </c>
      <c r="P352">
        <v>0.99950329999999998</v>
      </c>
      <c r="Q352">
        <v>3.070034E-2</v>
      </c>
      <c r="R352">
        <v>-7.1147040000000003E-3</v>
      </c>
      <c r="S352">
        <v>2.9953919999999998</v>
      </c>
      <c r="T352">
        <v>0.1060301</v>
      </c>
      <c r="U352">
        <v>-0.3919067</v>
      </c>
      <c r="V352">
        <v>9.0213270000000009E-3</v>
      </c>
      <c r="W352">
        <v>3.7593389999999997E-2</v>
      </c>
      <c r="X352">
        <v>0.99925240000000004</v>
      </c>
      <c r="Y352">
        <v>0.1315489</v>
      </c>
      <c r="Z352">
        <v>2.3852119999999998E-3</v>
      </c>
      <c r="AA352">
        <v>0.99130680000000004</v>
      </c>
      <c r="AB352">
        <v>28</v>
      </c>
      <c r="AC352">
        <v>162.44739999999999</v>
      </c>
      <c r="AD352">
        <v>5.756551</v>
      </c>
      <c r="AE352">
        <v>-21.2774999999999</v>
      </c>
      <c r="AF352">
        <v>21.562204785834599</v>
      </c>
      <c r="AG352">
        <v>5.756551</v>
      </c>
      <c r="AH352">
        <v>162.20606606775101</v>
      </c>
      <c r="AI352">
        <v>87.985184840791902</v>
      </c>
      <c r="AJ352">
        <v>82.428010566478804</v>
      </c>
      <c r="AK352">
        <v>163.734157779669</v>
      </c>
      <c r="AL352">
        <v>87.845549751300396</v>
      </c>
      <c r="AM352">
        <v>89.482743378631895</v>
      </c>
      <c r="AN352">
        <v>1.0000000031091401</v>
      </c>
    </row>
    <row r="353" spans="1:40" x14ac:dyDescent="0.25">
      <c r="A353" t="str">
        <f>"20190312150643049"</f>
        <v>20190312150643049</v>
      </c>
      <c r="B353" t="str">
        <f>"1552374403040906"</f>
        <v>1552374403040906</v>
      </c>
      <c r="C353" t="s">
        <v>40</v>
      </c>
      <c r="D353">
        <v>3.9776259999999999</v>
      </c>
      <c r="E353">
        <v>0.54716180000000003</v>
      </c>
      <c r="F353" t="s">
        <v>45</v>
      </c>
      <c r="G353">
        <v>-282.6832</v>
      </c>
      <c r="H353">
        <v>6.8736839999999999</v>
      </c>
      <c r="I353">
        <v>345.7944</v>
      </c>
      <c r="J353">
        <v>-444.5308</v>
      </c>
      <c r="K353">
        <v>1.109599</v>
      </c>
      <c r="L353">
        <v>367.10649999999998</v>
      </c>
      <c r="M353">
        <v>0.99997400000000003</v>
      </c>
      <c r="N353">
        <v>0</v>
      </c>
      <c r="O353">
        <v>2.050339E-3</v>
      </c>
      <c r="P353">
        <v>0.9995098</v>
      </c>
      <c r="Q353">
        <v>3.0469799999999998E-2</v>
      </c>
      <c r="R353">
        <v>-7.2201629999999999E-3</v>
      </c>
      <c r="S353">
        <v>2.995422</v>
      </c>
      <c r="T353">
        <v>0.1065183</v>
      </c>
      <c r="U353">
        <v>-0.39382929999999999</v>
      </c>
      <c r="V353">
        <v>9.2602259999999999E-3</v>
      </c>
      <c r="W353">
        <v>3.7386589999999997E-2</v>
      </c>
      <c r="X353">
        <v>0.99925799999999998</v>
      </c>
      <c r="Y353">
        <v>0.13230439999999999</v>
      </c>
      <c r="Z353">
        <v>2.4141649999999998E-3</v>
      </c>
      <c r="AA353">
        <v>0.99120620000000004</v>
      </c>
      <c r="AB353">
        <v>28</v>
      </c>
      <c r="AC353">
        <v>161.8476</v>
      </c>
      <c r="AD353">
        <v>5.7640849999999997</v>
      </c>
      <c r="AE353">
        <v>-21.312099999999901</v>
      </c>
      <c r="AF353">
        <v>21.616954460916102</v>
      </c>
      <c r="AG353">
        <v>5.7640849999999997</v>
      </c>
      <c r="AH353">
        <v>161.60208297974401</v>
      </c>
      <c r="AI353">
        <v>87.975237696879802</v>
      </c>
      <c r="AJ353">
        <v>82.380969623871593</v>
      </c>
      <c r="AK353">
        <v>163.14334377915799</v>
      </c>
      <c r="AL353">
        <v>87.857406911058803</v>
      </c>
      <c r="AM353">
        <v>89.469049355061003</v>
      </c>
      <c r="AN353">
        <v>1.0000000297306899</v>
      </c>
    </row>
    <row r="354" spans="1:40" x14ac:dyDescent="0.25">
      <c r="A354" t="str">
        <f>"20190312150643060"</f>
        <v>20190312150643060</v>
      </c>
      <c r="B354" t="str">
        <f>"1552374403050664"</f>
        <v>1552374403050664</v>
      </c>
      <c r="C354" t="s">
        <v>40</v>
      </c>
      <c r="D354">
        <v>3.9847809999999999</v>
      </c>
      <c r="E354">
        <v>0.54734459999999996</v>
      </c>
      <c r="F354" t="s">
        <v>45</v>
      </c>
      <c r="G354">
        <v>-282.32900000000001</v>
      </c>
      <c r="H354">
        <v>6.8481709999999998</v>
      </c>
      <c r="I354">
        <v>345.57850000000002</v>
      </c>
      <c r="J354">
        <v>-444.38249999999999</v>
      </c>
      <c r="K354">
        <v>1.1096029999999999</v>
      </c>
      <c r="L354">
        <v>367.1069</v>
      </c>
      <c r="M354">
        <v>0.99997380000000002</v>
      </c>
      <c r="N354">
        <v>0</v>
      </c>
      <c r="O354">
        <v>2.131291E-3</v>
      </c>
      <c r="P354">
        <v>0.9995096</v>
      </c>
      <c r="Q354">
        <v>3.045929E-2</v>
      </c>
      <c r="R354">
        <v>-7.2699510000000002E-3</v>
      </c>
      <c r="S354">
        <v>2.9953310000000002</v>
      </c>
      <c r="T354">
        <v>0.1059725</v>
      </c>
      <c r="U354">
        <v>-0.39755249999999998</v>
      </c>
      <c r="V354">
        <v>9.3908749999999999E-3</v>
      </c>
      <c r="W354">
        <v>3.7390399999999997E-2</v>
      </c>
      <c r="X354">
        <v>0.99925660000000005</v>
      </c>
      <c r="Y354">
        <v>0.1335993</v>
      </c>
      <c r="Z354">
        <v>2.4273329999999998E-3</v>
      </c>
      <c r="AA354">
        <v>0.99103249999999998</v>
      </c>
      <c r="AB354">
        <v>28</v>
      </c>
      <c r="AC354">
        <v>162.05350000000001</v>
      </c>
      <c r="AD354">
        <v>5.7385679999999999</v>
      </c>
      <c r="AE354">
        <v>-21.528399999999898</v>
      </c>
      <c r="AF354">
        <v>21.846822181376702</v>
      </c>
      <c r="AG354">
        <v>5.7385679999999999</v>
      </c>
      <c r="AH354">
        <v>161.807862728581</v>
      </c>
      <c r="AI354">
        <v>87.987087231625495</v>
      </c>
      <c r="AJ354">
        <v>82.310592167532306</v>
      </c>
      <c r="AK354">
        <v>163.37686263026001</v>
      </c>
      <c r="AL354">
        <v>87.857188379649799</v>
      </c>
      <c r="AM354">
        <v>89.461558058362996</v>
      </c>
      <c r="AN354">
        <v>0.99999999159449204</v>
      </c>
    </row>
    <row r="355" spans="1:40" x14ac:dyDescent="0.25">
      <c r="A355" t="str">
        <f>"20190312150643073"</f>
        <v>20190312150643073</v>
      </c>
      <c r="B355" t="str">
        <f>"1552374403061399"</f>
        <v>1552374403061399</v>
      </c>
      <c r="C355" t="s">
        <v>40</v>
      </c>
      <c r="D355">
        <v>4.2310319999999999</v>
      </c>
      <c r="E355">
        <v>0.54734459999999996</v>
      </c>
      <c r="F355" t="s">
        <v>45</v>
      </c>
      <c r="G355">
        <v>-282.32900000000001</v>
      </c>
      <c r="H355">
        <v>6.8640879999999997</v>
      </c>
      <c r="I355">
        <v>345.51909999999998</v>
      </c>
      <c r="J355">
        <v>-444.23610000000002</v>
      </c>
      <c r="K355">
        <v>1.109604</v>
      </c>
      <c r="L355">
        <v>367.10719999999998</v>
      </c>
      <c r="M355">
        <v>0.99997349999999996</v>
      </c>
      <c r="N355">
        <v>0</v>
      </c>
      <c r="O355">
        <v>2.2112260000000002E-3</v>
      </c>
      <c r="P355">
        <v>0.99951449999999997</v>
      </c>
      <c r="Q355">
        <v>3.0312240000000001E-2</v>
      </c>
      <c r="R355">
        <v>-7.216348E-3</v>
      </c>
      <c r="S355">
        <v>2.9952999999999999</v>
      </c>
      <c r="T355">
        <v>0.1063626</v>
      </c>
      <c r="U355">
        <v>-0.39901730000000002</v>
      </c>
      <c r="V355">
        <v>9.4174089999999998E-3</v>
      </c>
      <c r="W355">
        <v>3.726032E-2</v>
      </c>
      <c r="X355">
        <v>0.99926119999999996</v>
      </c>
      <c r="Y355">
        <v>0.1341551</v>
      </c>
      <c r="Z355">
        <v>2.4488560000000001E-3</v>
      </c>
      <c r="AA355">
        <v>0.99095730000000004</v>
      </c>
      <c r="AB355">
        <v>28</v>
      </c>
      <c r="AC355">
        <v>161.90710000000001</v>
      </c>
      <c r="AD355">
        <v>5.7544839999999997</v>
      </c>
      <c r="AE355">
        <v>-21.588100000000001</v>
      </c>
      <c r="AF355">
        <v>21.9188642092635</v>
      </c>
      <c r="AG355">
        <v>5.7544839999999997</v>
      </c>
      <c r="AH355">
        <v>161.65832303802</v>
      </c>
      <c r="AI355">
        <v>87.979796397456795</v>
      </c>
      <c r="AJ355">
        <v>82.2784903495115</v>
      </c>
      <c r="AK355">
        <v>163.23897850022001</v>
      </c>
      <c r="AL355">
        <v>87.864646592292999</v>
      </c>
      <c r="AM355">
        <v>89.460039261387294</v>
      </c>
      <c r="AN355">
        <v>0.99999998243210697</v>
      </c>
    </row>
    <row r="356" spans="1:40" x14ac:dyDescent="0.25">
      <c r="A356" t="str">
        <f>"20190312150643092"</f>
        <v>20190312150643092</v>
      </c>
      <c r="B356" t="str">
        <f>"1552374403080919"</f>
        <v>1552374403080919</v>
      </c>
      <c r="C356" t="s">
        <v>40</v>
      </c>
      <c r="D356">
        <v>3.8861650000000001</v>
      </c>
      <c r="E356">
        <v>0.57329819999999998</v>
      </c>
      <c r="F356" t="s">
        <v>45</v>
      </c>
      <c r="G356">
        <v>-282.32900000000001</v>
      </c>
      <c r="H356">
        <v>6.8353520000000003</v>
      </c>
      <c r="I356">
        <v>345.54289999999997</v>
      </c>
      <c r="J356">
        <v>-443.97980000000001</v>
      </c>
      <c r="K356">
        <v>1.1096079999999999</v>
      </c>
      <c r="L356">
        <v>367.108</v>
      </c>
      <c r="M356">
        <v>0.99997290000000005</v>
      </c>
      <c r="N356">
        <v>0</v>
      </c>
      <c r="O356">
        <v>2.3513760000000001E-3</v>
      </c>
      <c r="P356">
        <v>0.99951270000000003</v>
      </c>
      <c r="Q356">
        <v>3.031141E-2</v>
      </c>
      <c r="R356">
        <v>-7.4530880000000001E-3</v>
      </c>
      <c r="S356">
        <v>2.9953919999999998</v>
      </c>
      <c r="T356">
        <v>0.10593030000000001</v>
      </c>
      <c r="U356">
        <v>-0.39895629999999999</v>
      </c>
      <c r="V356">
        <v>9.7941320000000005E-3</v>
      </c>
      <c r="W356">
        <v>3.7289860000000001E-2</v>
      </c>
      <c r="X356">
        <v>0.99925649999999999</v>
      </c>
      <c r="Y356">
        <v>0.13427069999999999</v>
      </c>
      <c r="Z356">
        <v>2.4458069999999999E-3</v>
      </c>
      <c r="AA356">
        <v>0.99094159999999998</v>
      </c>
      <c r="AB356">
        <v>28</v>
      </c>
      <c r="AC356">
        <v>161.6508</v>
      </c>
      <c r="AD356">
        <v>5.7257439999999997</v>
      </c>
      <c r="AE356">
        <v>-21.565100000000001</v>
      </c>
      <c r="AF356">
        <v>21.918133608070899</v>
      </c>
      <c r="AG356">
        <v>5.7257439999999997</v>
      </c>
      <c r="AH356">
        <v>161.40069035249201</v>
      </c>
      <c r="AI356">
        <v>87.986728552945095</v>
      </c>
      <c r="AJ356">
        <v>82.266568744730904</v>
      </c>
      <c r="AK356">
        <v>162.98273396736101</v>
      </c>
      <c r="AL356">
        <v>87.862952947715797</v>
      </c>
      <c r="AM356">
        <v>89.438438019922003</v>
      </c>
      <c r="AN356">
        <v>1.0000000057363501</v>
      </c>
    </row>
    <row r="357" spans="1:40" x14ac:dyDescent="0.25">
      <c r="A357" t="str">
        <f>"20190312150643104"</f>
        <v>20190312150643104</v>
      </c>
      <c r="B357" t="str">
        <f>"1552374403100439"</f>
        <v>1552374403100439</v>
      </c>
      <c r="C357" t="s">
        <v>40</v>
      </c>
      <c r="D357">
        <v>3.8835850000000001</v>
      </c>
      <c r="E357">
        <v>0.57655210000000001</v>
      </c>
      <c r="F357" t="s">
        <v>52</v>
      </c>
      <c r="G357">
        <v>-267.03739999999999</v>
      </c>
      <c r="H357">
        <v>7.6188469999999997</v>
      </c>
      <c r="I357">
        <v>331.25409999999999</v>
      </c>
      <c r="J357">
        <v>-443.83339999999998</v>
      </c>
      <c r="K357">
        <v>1.10961</v>
      </c>
      <c r="L357">
        <v>367.10840000000002</v>
      </c>
      <c r="M357">
        <v>0.99997250000000004</v>
      </c>
      <c r="N357">
        <v>0</v>
      </c>
      <c r="O357">
        <v>2.4314839999999998E-3</v>
      </c>
      <c r="P357">
        <v>0.99950810000000001</v>
      </c>
      <c r="Q357">
        <v>3.0479760000000002E-2</v>
      </c>
      <c r="R357">
        <v>-7.3630700000000002E-3</v>
      </c>
      <c r="S357">
        <v>2.9936219999999998</v>
      </c>
      <c r="T357">
        <v>0.11012760000000001</v>
      </c>
      <c r="U357">
        <v>-0.60659790000000002</v>
      </c>
      <c r="V357">
        <v>9.7840600000000007E-3</v>
      </c>
      <c r="W357">
        <v>3.7476170000000003E-2</v>
      </c>
      <c r="X357">
        <v>0.99924959999999996</v>
      </c>
      <c r="Y357">
        <v>0.20084450000000001</v>
      </c>
      <c r="Z357">
        <v>3.7444399999999999E-3</v>
      </c>
      <c r="AA357">
        <v>0.97961600000000004</v>
      </c>
      <c r="AB357">
        <v>28</v>
      </c>
      <c r="AC357">
        <v>176.79599999999999</v>
      </c>
      <c r="AD357">
        <v>6.5092369999999997</v>
      </c>
      <c r="AE357">
        <v>-35.854300000000002</v>
      </c>
      <c r="AF357">
        <v>36.2369007385728</v>
      </c>
      <c r="AG357">
        <v>6.5092369999999997</v>
      </c>
      <c r="AH357">
        <v>176.47852092481801</v>
      </c>
      <c r="AI357">
        <v>87.930790643019904</v>
      </c>
      <c r="AJ357">
        <v>78.396553556703296</v>
      </c>
      <c r="AK357">
        <v>180.27798392835101</v>
      </c>
      <c r="AL357">
        <v>87.852270642827506</v>
      </c>
      <c r="AM357">
        <v>89.439011603523298</v>
      </c>
      <c r="AN357">
        <v>0.99999997712405597</v>
      </c>
    </row>
    <row r="358" spans="1:40" x14ac:dyDescent="0.25">
      <c r="A358" t="str">
        <f>"20190312150643116"</f>
        <v>20190312150643116</v>
      </c>
      <c r="B358" t="str">
        <f>"1552374403111175"</f>
        <v>1552374403111175</v>
      </c>
      <c r="C358" t="s">
        <v>40</v>
      </c>
      <c r="D358">
        <v>3.9184359999999998</v>
      </c>
      <c r="E358">
        <v>0.57735009999999998</v>
      </c>
      <c r="F358" t="s">
        <v>53</v>
      </c>
      <c r="G358">
        <v>-336.79039999999998</v>
      </c>
      <c r="H358">
        <v>3.5244589999999998</v>
      </c>
      <c r="I358">
        <v>344.49509999999998</v>
      </c>
      <c r="J358">
        <v>-443.68349999999998</v>
      </c>
      <c r="K358">
        <v>1.1096109999999999</v>
      </c>
      <c r="L358">
        <v>367.10879999999997</v>
      </c>
      <c r="M358">
        <v>0.99997230000000004</v>
      </c>
      <c r="N358">
        <v>0</v>
      </c>
      <c r="O358">
        <v>2.5127249999999999E-3</v>
      </c>
      <c r="P358">
        <v>0.9995077</v>
      </c>
      <c r="Q358">
        <v>3.0499559999999998E-2</v>
      </c>
      <c r="R358">
        <v>-7.3754939999999998E-3</v>
      </c>
      <c r="S358">
        <v>2.9947810000000001</v>
      </c>
      <c r="T358">
        <v>6.756115E-2</v>
      </c>
      <c r="U358">
        <v>-0.63265990000000005</v>
      </c>
      <c r="V358">
        <v>9.8774180000000007E-3</v>
      </c>
      <c r="W358">
        <v>3.7514770000000003E-2</v>
      </c>
      <c r="X358">
        <v>0.99924729999999995</v>
      </c>
      <c r="Y358">
        <v>0.2090986</v>
      </c>
      <c r="Z358">
        <v>2.3886279999999998E-3</v>
      </c>
      <c r="AA358">
        <v>0.97789159999999997</v>
      </c>
      <c r="AB358">
        <v>28</v>
      </c>
      <c r="AC358">
        <v>106.8931</v>
      </c>
      <c r="AD358">
        <v>2.4148480000000001</v>
      </c>
      <c r="AE358">
        <v>-22.613699999999898</v>
      </c>
      <c r="AF358">
        <v>22.871055624586798</v>
      </c>
      <c r="AG358">
        <v>2.4148480000000001</v>
      </c>
      <c r="AH358">
        <v>106.783775119162</v>
      </c>
      <c r="AI358">
        <v>88.733232798696804</v>
      </c>
      <c r="AJ358">
        <v>77.910979390378401</v>
      </c>
      <c r="AK358">
        <v>109.232281423332</v>
      </c>
      <c r="AL358">
        <v>87.850057613130701</v>
      </c>
      <c r="AM358">
        <v>89.433657781807497</v>
      </c>
      <c r="AN358">
        <v>1.00000004395589</v>
      </c>
    </row>
    <row r="359" spans="1:40" x14ac:dyDescent="0.25">
      <c r="A359" t="str">
        <f>"20190312150643128"</f>
        <v>20190312150643128</v>
      </c>
      <c r="B359" t="str">
        <f>"1552374403120935"</f>
        <v>1552374403120935</v>
      </c>
      <c r="C359" t="s">
        <v>40</v>
      </c>
      <c r="D359">
        <v>3.900528</v>
      </c>
      <c r="E359">
        <v>0.57806999999999997</v>
      </c>
      <c r="F359" t="s">
        <v>44</v>
      </c>
      <c r="G359">
        <v>-356.59030000000001</v>
      </c>
      <c r="H359">
        <v>2.7711079999999999</v>
      </c>
      <c r="I359">
        <v>348.51170000000002</v>
      </c>
      <c r="J359">
        <v>-443.5188</v>
      </c>
      <c r="K359">
        <v>1.1096060000000001</v>
      </c>
      <c r="L359">
        <v>367.10930000000002</v>
      </c>
      <c r="M359">
        <v>0.99997190000000002</v>
      </c>
      <c r="N359">
        <v>0</v>
      </c>
      <c r="O359">
        <v>2.602423E-3</v>
      </c>
      <c r="P359">
        <v>0.99950620000000001</v>
      </c>
      <c r="Q359">
        <v>3.0601070000000001E-2</v>
      </c>
      <c r="R359">
        <v>-7.1508500000000003E-3</v>
      </c>
      <c r="S359">
        <v>2.9949949999999999</v>
      </c>
      <c r="T359">
        <v>5.7138920000000003E-2</v>
      </c>
      <c r="U359">
        <v>-0.63952640000000005</v>
      </c>
      <c r="V359">
        <v>9.7424829999999997E-3</v>
      </c>
      <c r="W359">
        <v>3.7637230000000001E-2</v>
      </c>
      <c r="X359">
        <v>0.99924400000000002</v>
      </c>
      <c r="Y359">
        <v>0.2113312</v>
      </c>
      <c r="Z359">
        <v>2.0423529999999998E-3</v>
      </c>
      <c r="AA359">
        <v>0.97741239999999996</v>
      </c>
      <c r="AB359">
        <v>29</v>
      </c>
      <c r="AC359">
        <v>86.9284999999999</v>
      </c>
      <c r="AD359">
        <v>1.661502</v>
      </c>
      <c r="AE359">
        <v>-18.5976</v>
      </c>
      <c r="AF359">
        <v>18.817193853458399</v>
      </c>
      <c r="AG359">
        <v>1.661502</v>
      </c>
      <c r="AH359">
        <v>86.849466132238206</v>
      </c>
      <c r="AI359">
        <v>88.928865204510799</v>
      </c>
      <c r="AJ359">
        <v>77.774997348918106</v>
      </c>
      <c r="AK359">
        <v>88.880127930091405</v>
      </c>
      <c r="AL359">
        <v>87.843036171147602</v>
      </c>
      <c r="AM359">
        <v>89.441392221164904</v>
      </c>
      <c r="AN359">
        <v>1.0000000242965299</v>
      </c>
    </row>
    <row r="360" spans="1:40" x14ac:dyDescent="0.25">
      <c r="A360" t="str">
        <f>"20190312150643140"</f>
        <v>20190312150643140</v>
      </c>
      <c r="B360" t="str">
        <f>"1552374403130695"</f>
        <v>1552374403130695</v>
      </c>
      <c r="C360" t="s">
        <v>40</v>
      </c>
      <c r="D360">
        <v>3.8686980000000002</v>
      </c>
      <c r="E360">
        <v>0.57874720000000002</v>
      </c>
      <c r="F360" t="s">
        <v>44</v>
      </c>
      <c r="G360">
        <v>-357.03530000000001</v>
      </c>
      <c r="H360">
        <v>2.6234069999999998</v>
      </c>
      <c r="I360">
        <v>348.51170000000002</v>
      </c>
      <c r="J360">
        <v>-443.36380000000003</v>
      </c>
      <c r="K360">
        <v>1.109607</v>
      </c>
      <c r="L360">
        <v>367.10980000000001</v>
      </c>
      <c r="M360">
        <v>0.99997139999999995</v>
      </c>
      <c r="N360">
        <v>0</v>
      </c>
      <c r="O360">
        <v>2.6868780000000002E-3</v>
      </c>
      <c r="P360">
        <v>0.99951619999999997</v>
      </c>
      <c r="Q360">
        <v>3.0300290000000001E-2</v>
      </c>
      <c r="R360">
        <v>-7.0071689999999997E-3</v>
      </c>
      <c r="S360">
        <v>2.9952390000000002</v>
      </c>
      <c r="T360">
        <v>5.2431110000000003E-2</v>
      </c>
      <c r="U360">
        <v>-0.64410400000000001</v>
      </c>
      <c r="V360">
        <v>9.6833189999999993E-3</v>
      </c>
      <c r="W360">
        <v>3.7355619999999999E-2</v>
      </c>
      <c r="X360">
        <v>0.99925509999999995</v>
      </c>
      <c r="Y360">
        <v>0.2128311</v>
      </c>
      <c r="Z360">
        <v>1.8881E-3</v>
      </c>
      <c r="AA360">
        <v>0.97708720000000004</v>
      </c>
      <c r="AB360">
        <v>29</v>
      </c>
      <c r="AC360">
        <v>86.328500000000005</v>
      </c>
      <c r="AD360">
        <v>1.51379999999999</v>
      </c>
      <c r="AE360">
        <v>-18.598099999999899</v>
      </c>
      <c r="AF360">
        <v>18.824461236517202</v>
      </c>
      <c r="AG360">
        <v>1.51379999999999</v>
      </c>
      <c r="AH360">
        <v>86.252870871040997</v>
      </c>
      <c r="AI360">
        <v>89.017640031848202</v>
      </c>
      <c r="AJ360">
        <v>77.688399680464599</v>
      </c>
      <c r="AK360">
        <v>88.296147508153595</v>
      </c>
      <c r="AL360">
        <v>87.859182499345394</v>
      </c>
      <c r="AM360">
        <v>89.444790479933005</v>
      </c>
      <c r="AN360">
        <v>0.99999998194422401</v>
      </c>
    </row>
    <row r="361" spans="1:40" x14ac:dyDescent="0.25">
      <c r="A361" t="str">
        <f>"20190312150643152"</f>
        <v>20190312150643152</v>
      </c>
      <c r="B361" t="str">
        <f>"1552374403140455"</f>
        <v>1552374403140455</v>
      </c>
      <c r="C361" t="s">
        <v>40</v>
      </c>
      <c r="D361">
        <v>3.9093450000000001</v>
      </c>
      <c r="E361">
        <v>0.57942039999999995</v>
      </c>
      <c r="F361" t="s">
        <v>44</v>
      </c>
      <c r="G361">
        <v>-357.59350000000001</v>
      </c>
      <c r="H361">
        <v>2.417843</v>
      </c>
      <c r="I361">
        <v>348.51170000000002</v>
      </c>
      <c r="J361">
        <v>-443.21570000000003</v>
      </c>
      <c r="K361">
        <v>1.1096060000000001</v>
      </c>
      <c r="L361">
        <v>367.1103</v>
      </c>
      <c r="M361">
        <v>0.99997130000000001</v>
      </c>
      <c r="N361">
        <v>0</v>
      </c>
      <c r="O361">
        <v>2.767462E-3</v>
      </c>
      <c r="P361">
        <v>0.99951540000000005</v>
      </c>
      <c r="Q361">
        <v>3.0368450000000002E-2</v>
      </c>
      <c r="R361">
        <v>-6.8784199999999997E-3</v>
      </c>
      <c r="S361">
        <v>2.995514</v>
      </c>
      <c r="T361">
        <v>4.569256E-2</v>
      </c>
      <c r="U361">
        <v>-0.64953609999999995</v>
      </c>
      <c r="V361">
        <v>9.6350680000000001E-3</v>
      </c>
      <c r="W361">
        <v>3.7442339999999998E-2</v>
      </c>
      <c r="X361">
        <v>0.99925229999999998</v>
      </c>
      <c r="Y361">
        <v>0.21459139999999999</v>
      </c>
      <c r="Z361">
        <v>1.6594940000000001E-3</v>
      </c>
      <c r="AA361">
        <v>0.97670250000000003</v>
      </c>
      <c r="AB361">
        <v>29</v>
      </c>
      <c r="AC361">
        <v>85.622200000000007</v>
      </c>
      <c r="AD361">
        <v>1.3082370000000001</v>
      </c>
      <c r="AE361">
        <v>-18.598599999999902</v>
      </c>
      <c r="AF361">
        <v>18.8312927065877</v>
      </c>
      <c r="AG361">
        <v>1.3082370000000001</v>
      </c>
      <c r="AH361">
        <v>85.551327552581995</v>
      </c>
      <c r="AI361">
        <v>89.144389982204004</v>
      </c>
      <c r="AJ361">
        <v>77.586193159047895</v>
      </c>
      <c r="AK361">
        <v>87.609124610730703</v>
      </c>
      <c r="AL361">
        <v>87.854210286275205</v>
      </c>
      <c r="AM361">
        <v>89.447555313068904</v>
      </c>
      <c r="AN361">
        <v>0.99999996120766399</v>
      </c>
    </row>
    <row r="362" spans="1:40" x14ac:dyDescent="0.25">
      <c r="A362" t="str">
        <f>"20190312150643164"</f>
        <v>20190312150643164</v>
      </c>
      <c r="B362" t="str">
        <f>"1552374403160951"</f>
        <v>1552374403160951</v>
      </c>
      <c r="C362" t="s">
        <v>40</v>
      </c>
      <c r="D362">
        <v>3.9515129999999998</v>
      </c>
      <c r="E362">
        <v>0.58012469999999905</v>
      </c>
      <c r="F362" t="s">
        <v>44</v>
      </c>
      <c r="G362">
        <v>-358.07870000000003</v>
      </c>
      <c r="H362">
        <v>2.348776</v>
      </c>
      <c r="I362">
        <v>348.51170000000002</v>
      </c>
      <c r="J362">
        <v>-443.0548</v>
      </c>
      <c r="K362">
        <v>1.1096109999999999</v>
      </c>
      <c r="L362">
        <v>367.11079999999998</v>
      </c>
      <c r="M362">
        <v>0.9999709</v>
      </c>
      <c r="N362">
        <v>0</v>
      </c>
      <c r="O362">
        <v>2.855252E-3</v>
      </c>
      <c r="P362">
        <v>0.99952580000000002</v>
      </c>
      <c r="Q362">
        <v>3.0035450000000002E-2</v>
      </c>
      <c r="R362">
        <v>-6.8166090000000004E-3</v>
      </c>
      <c r="S362">
        <v>2.9956670000000001</v>
      </c>
      <c r="T362">
        <v>4.3604610000000002E-2</v>
      </c>
      <c r="U362">
        <v>-0.65441890000000003</v>
      </c>
      <c r="V362">
        <v>9.6609239999999996E-3</v>
      </c>
      <c r="W362">
        <v>3.7128800000000003E-2</v>
      </c>
      <c r="X362">
        <v>0.99926380000000004</v>
      </c>
      <c r="Y362">
        <v>0.21618860000000001</v>
      </c>
      <c r="Z362">
        <v>1.5960709999999999E-3</v>
      </c>
      <c r="AA362">
        <v>0.9763503</v>
      </c>
      <c r="AB362">
        <v>29</v>
      </c>
      <c r="AC362">
        <v>84.976099999999903</v>
      </c>
      <c r="AD362">
        <v>1.2391649999999901</v>
      </c>
      <c r="AE362">
        <v>-18.5990999999999</v>
      </c>
      <c r="AF362">
        <v>18.8378357053159</v>
      </c>
      <c r="AG362">
        <v>1.2391649999999901</v>
      </c>
      <c r="AH362">
        <v>84.905417452121497</v>
      </c>
      <c r="AI362">
        <v>89.183694844512601</v>
      </c>
      <c r="AJ362">
        <v>77.490508022310394</v>
      </c>
      <c r="AK362">
        <v>86.978902595265694</v>
      </c>
      <c r="AL362">
        <v>87.872187413360706</v>
      </c>
      <c r="AM362">
        <v>89.446079277545095</v>
      </c>
      <c r="AN362">
        <v>1.0000000116162</v>
      </c>
    </row>
    <row r="363" spans="1:40" x14ac:dyDescent="0.25">
      <c r="A363" t="str">
        <f>"20190312150643182"</f>
        <v>20190312150643182</v>
      </c>
      <c r="B363" t="str">
        <f>"1552374403170711"</f>
        <v>1552374403170711</v>
      </c>
      <c r="C363" t="s">
        <v>40</v>
      </c>
      <c r="D363">
        <v>3.9020809999999999</v>
      </c>
      <c r="E363">
        <v>0.58042609999999994</v>
      </c>
      <c r="F363" t="s">
        <v>44</v>
      </c>
      <c r="G363">
        <v>-358.59089999999998</v>
      </c>
      <c r="H363">
        <v>2.1162369999999999</v>
      </c>
      <c r="I363">
        <v>348.51170000000002</v>
      </c>
      <c r="J363">
        <v>-442.8236</v>
      </c>
      <c r="K363">
        <v>1.1096140000000001</v>
      </c>
      <c r="L363">
        <v>367.11160000000001</v>
      </c>
      <c r="M363">
        <v>0.99997029999999998</v>
      </c>
      <c r="N363">
        <v>0</v>
      </c>
      <c r="O363">
        <v>2.9805679999999998E-3</v>
      </c>
      <c r="P363">
        <v>0.99952830000000004</v>
      </c>
      <c r="Q363">
        <v>2.9901859999999999E-2</v>
      </c>
      <c r="R363">
        <v>-7.0198709999999996E-3</v>
      </c>
      <c r="S363">
        <v>2.9958800000000001</v>
      </c>
      <c r="T363">
        <v>3.5707120000000002E-2</v>
      </c>
      <c r="U363">
        <v>-0.65969849999999997</v>
      </c>
      <c r="V363">
        <v>9.9895690000000002E-3</v>
      </c>
      <c r="W363">
        <v>3.7023970000000003E-2</v>
      </c>
      <c r="X363">
        <v>0.99926440000000005</v>
      </c>
      <c r="Y363">
        <v>0.21794479999999999</v>
      </c>
      <c r="Z363">
        <v>1.318502E-3</v>
      </c>
      <c r="AA363">
        <v>0.97596020000000006</v>
      </c>
      <c r="AB363">
        <v>29</v>
      </c>
      <c r="AC363">
        <v>84.232699999999994</v>
      </c>
      <c r="AD363">
        <v>1.006623</v>
      </c>
      <c r="AE363">
        <v>-18.599899999999899</v>
      </c>
      <c r="AF363">
        <v>18.848318345040699</v>
      </c>
      <c r="AG363">
        <v>1.006623</v>
      </c>
      <c r="AH363">
        <v>84.165424961879793</v>
      </c>
      <c r="AI363">
        <v>89.331332505059393</v>
      </c>
      <c r="AJ363">
        <v>77.377233707619794</v>
      </c>
      <c r="AK363">
        <v>86.255963001487302</v>
      </c>
      <c r="AL363">
        <v>87.878197739017807</v>
      </c>
      <c r="AM363">
        <v>89.427237598911006</v>
      </c>
      <c r="AN363">
        <v>0.99999995347536197</v>
      </c>
    </row>
    <row r="364" spans="1:40" x14ac:dyDescent="0.25">
      <c r="A364" t="str">
        <f>"20190312150643196"</f>
        <v>20190312150643196</v>
      </c>
      <c r="B364" t="str">
        <f>"1552374403191206"</f>
        <v>1552374403191206</v>
      </c>
      <c r="C364" t="s">
        <v>40</v>
      </c>
      <c r="D364">
        <v>3.9402529999999998</v>
      </c>
      <c r="E364">
        <v>0.58097650000000001</v>
      </c>
      <c r="F364" t="s">
        <v>44</v>
      </c>
      <c r="G364">
        <v>-358.80079999999998</v>
      </c>
      <c r="H364">
        <v>2.032877</v>
      </c>
      <c r="I364">
        <v>348.51170000000002</v>
      </c>
      <c r="J364">
        <v>-442.66050000000001</v>
      </c>
      <c r="K364">
        <v>1.1096170000000001</v>
      </c>
      <c r="L364">
        <v>367.11219999999997</v>
      </c>
      <c r="M364">
        <v>0.99996980000000002</v>
      </c>
      <c r="N364">
        <v>0</v>
      </c>
      <c r="O364">
        <v>3.0693740000000001E-3</v>
      </c>
      <c r="P364">
        <v>0.99953219999999998</v>
      </c>
      <c r="Q364">
        <v>2.976264E-2</v>
      </c>
      <c r="R364">
        <v>-7.0348750000000003E-3</v>
      </c>
      <c r="S364">
        <v>2.995819</v>
      </c>
      <c r="T364">
        <v>3.2921550000000001E-2</v>
      </c>
      <c r="U364">
        <v>-0.66317749999999998</v>
      </c>
      <c r="V364">
        <v>1.009343E-2</v>
      </c>
      <c r="W364">
        <v>3.6904369999999999E-2</v>
      </c>
      <c r="X364">
        <v>0.99926780000000004</v>
      </c>
      <c r="Y364">
        <v>0.21911839999999999</v>
      </c>
      <c r="Z364">
        <v>1.2228600000000001E-3</v>
      </c>
      <c r="AA364">
        <v>0.9756975</v>
      </c>
      <c r="AB364">
        <v>29</v>
      </c>
      <c r="AC364">
        <v>83.859700000000004</v>
      </c>
      <c r="AD364">
        <v>0.92325999999999997</v>
      </c>
      <c r="AE364">
        <v>-18.600499999999901</v>
      </c>
      <c r="AF364">
        <v>18.855637382242399</v>
      </c>
      <c r="AG364">
        <v>0.92325999999999997</v>
      </c>
      <c r="AH364">
        <v>83.792531293534395</v>
      </c>
      <c r="AI364">
        <v>89.384117056339704</v>
      </c>
      <c r="AJ364">
        <v>77.318107989486805</v>
      </c>
      <c r="AK364">
        <v>85.892815594181997</v>
      </c>
      <c r="AL364">
        <v>87.885055042163401</v>
      </c>
      <c r="AM364">
        <v>89.421284991571696</v>
      </c>
      <c r="AN364">
        <v>0.99999997298554999</v>
      </c>
    </row>
    <row r="365" spans="1:40" x14ac:dyDescent="0.25">
      <c r="A365" t="str">
        <f>"20190312150643209"</f>
        <v>20190312150643209</v>
      </c>
      <c r="B365" t="str">
        <f>"1552374403200967"</f>
        <v>1552374403200967</v>
      </c>
      <c r="C365" t="s">
        <v>40</v>
      </c>
      <c r="D365">
        <v>3.8485830000000001</v>
      </c>
      <c r="E365">
        <v>0.58105260000000003</v>
      </c>
      <c r="F365" t="s">
        <v>44</v>
      </c>
      <c r="G365">
        <v>-359.18119999999999</v>
      </c>
      <c r="H365">
        <v>1.886528</v>
      </c>
      <c r="I365">
        <v>348.51170000000002</v>
      </c>
      <c r="J365">
        <v>-442.47660000000002</v>
      </c>
      <c r="K365">
        <v>1.1096189999999999</v>
      </c>
      <c r="L365">
        <v>367.11279999999999</v>
      </c>
      <c r="M365">
        <v>0.99996929999999995</v>
      </c>
      <c r="N365">
        <v>0</v>
      </c>
      <c r="O365">
        <v>3.1694969999999999E-3</v>
      </c>
      <c r="P365">
        <v>0.99953259999999999</v>
      </c>
      <c r="Q365">
        <v>2.973779E-2</v>
      </c>
      <c r="R365">
        <v>-7.0733059999999997E-3</v>
      </c>
      <c r="S365">
        <v>2.9959410000000002</v>
      </c>
      <c r="T365">
        <v>2.7884840000000001E-2</v>
      </c>
      <c r="U365">
        <v>-0.66754150000000001</v>
      </c>
      <c r="V365">
        <v>1.0231789999999999E-2</v>
      </c>
      <c r="W365">
        <v>3.6901030000000001E-2</v>
      </c>
      <c r="X365">
        <v>0.9992666</v>
      </c>
      <c r="Y365">
        <v>0.2205655</v>
      </c>
      <c r="Z365">
        <v>1.0431520000000001E-3</v>
      </c>
      <c r="AA365">
        <v>0.97537160000000001</v>
      </c>
      <c r="AB365">
        <v>29</v>
      </c>
      <c r="AC365">
        <v>83.295400000000001</v>
      </c>
      <c r="AD365">
        <v>0.77690899999999896</v>
      </c>
      <c r="AE365">
        <v>-18.601099999999899</v>
      </c>
      <c r="AF365">
        <v>18.8634547730747</v>
      </c>
      <c r="AG365">
        <v>0.77690899999999896</v>
      </c>
      <c r="AH365">
        <v>83.229127300693506</v>
      </c>
      <c r="AI365">
        <v>89.4784113999863</v>
      </c>
      <c r="AJ365">
        <v>77.229945246235502</v>
      </c>
      <c r="AK365">
        <v>85.343547763174001</v>
      </c>
      <c r="AL365">
        <v>87.885246717642801</v>
      </c>
      <c r="AM365">
        <v>89.413351854810699</v>
      </c>
      <c r="AN365">
        <v>1.00000005670861</v>
      </c>
    </row>
    <row r="366" spans="1:40" x14ac:dyDescent="0.25">
      <c r="A366" t="str">
        <f>"20190312150643229"</f>
        <v>20190312150643229</v>
      </c>
      <c r="B366" t="str">
        <f>"1552374403220489"</f>
        <v>1552374403220489</v>
      </c>
      <c r="C366" t="s">
        <v>40</v>
      </c>
      <c r="D366">
        <v>3.9244620000000001</v>
      </c>
      <c r="E366">
        <v>0.58142680000000002</v>
      </c>
      <c r="F366" t="s">
        <v>44</v>
      </c>
      <c r="G366">
        <v>-359.05329999999998</v>
      </c>
      <c r="H366">
        <v>1.8431850000000001</v>
      </c>
      <c r="I366">
        <v>348.51170000000002</v>
      </c>
      <c r="J366">
        <v>-442.22930000000002</v>
      </c>
      <c r="K366">
        <v>1.109621</v>
      </c>
      <c r="L366">
        <v>367.11369999999999</v>
      </c>
      <c r="M366">
        <v>0.99996879999999999</v>
      </c>
      <c r="N366">
        <v>0</v>
      </c>
      <c r="O366">
        <v>3.3038680000000002E-3</v>
      </c>
      <c r="P366">
        <v>0.99953029999999998</v>
      </c>
      <c r="Q366">
        <v>2.9876320000000001E-2</v>
      </c>
      <c r="R366">
        <v>-6.8686939999999998E-3</v>
      </c>
      <c r="S366">
        <v>2.9958800000000001</v>
      </c>
      <c r="T366">
        <v>2.634645E-2</v>
      </c>
      <c r="U366">
        <v>-0.66799929999999996</v>
      </c>
      <c r="V366">
        <v>1.016125E-2</v>
      </c>
      <c r="W366">
        <v>3.7068280000000002E-2</v>
      </c>
      <c r="X366">
        <v>0.99926110000000001</v>
      </c>
      <c r="Y366">
        <v>0.2208437</v>
      </c>
      <c r="Z366">
        <v>9.8798349999999996E-4</v>
      </c>
      <c r="AA366">
        <v>0.97530870000000003</v>
      </c>
      <c r="AB366">
        <v>29</v>
      </c>
      <c r="AC366">
        <v>83.176000000000002</v>
      </c>
      <c r="AD366">
        <v>0.73356399999999899</v>
      </c>
      <c r="AE366">
        <v>-18.601999999999901</v>
      </c>
      <c r="AF366">
        <v>18.8753098417098</v>
      </c>
      <c r="AG366">
        <v>0.73356399999999899</v>
      </c>
      <c r="AH366">
        <v>83.107929499353602</v>
      </c>
      <c r="AI366">
        <v>89.506842368204403</v>
      </c>
      <c r="AJ366">
        <v>77.204161974183293</v>
      </c>
      <c r="AK366">
        <v>85.227597545819506</v>
      </c>
      <c r="AL366">
        <v>87.875657375628606</v>
      </c>
      <c r="AM366">
        <v>89.417392837855303</v>
      </c>
      <c r="AN366">
        <v>1.0000000271784599</v>
      </c>
    </row>
    <row r="367" spans="1:40" x14ac:dyDescent="0.25">
      <c r="A367" t="str">
        <f>"20190312150643242"</f>
        <v>20190312150643242</v>
      </c>
      <c r="B367" t="str">
        <f>"1552374403231223"</f>
        <v>1552374403231223</v>
      </c>
      <c r="C367" t="s">
        <v>40</v>
      </c>
      <c r="D367">
        <v>3.943295</v>
      </c>
      <c r="E367">
        <v>0.58168299999999995</v>
      </c>
      <c r="F367" t="s">
        <v>44</v>
      </c>
      <c r="G367">
        <v>-359.13</v>
      </c>
      <c r="H367">
        <v>1.7925660000000001</v>
      </c>
      <c r="I367">
        <v>348.51170000000002</v>
      </c>
      <c r="J367">
        <v>-442.0462</v>
      </c>
      <c r="K367">
        <v>1.1096220000000001</v>
      </c>
      <c r="L367">
        <v>367.11439999999999</v>
      </c>
      <c r="M367">
        <v>0.99996819999999997</v>
      </c>
      <c r="N367">
        <v>0</v>
      </c>
      <c r="O367">
        <v>3.4037519999999999E-3</v>
      </c>
      <c r="P367">
        <v>0.99953559999999997</v>
      </c>
      <c r="Q367">
        <v>2.971596E-2</v>
      </c>
      <c r="R367">
        <v>-6.749484E-3</v>
      </c>
      <c r="S367">
        <v>2.9960939999999998</v>
      </c>
      <c r="T367">
        <v>2.4625899999999999E-2</v>
      </c>
      <c r="U367">
        <v>-0.67068479999999997</v>
      </c>
      <c r="V367">
        <v>1.014207E-2</v>
      </c>
      <c r="W367">
        <v>3.6928660000000002E-2</v>
      </c>
      <c r="X367">
        <v>0.9992664</v>
      </c>
      <c r="Y367">
        <v>0.22175990000000001</v>
      </c>
      <c r="Z367">
        <v>9.278426E-4</v>
      </c>
      <c r="AA367">
        <v>0.97510090000000005</v>
      </c>
      <c r="AB367">
        <v>29</v>
      </c>
      <c r="AC367">
        <v>82.916200000000003</v>
      </c>
      <c r="AD367">
        <v>0.682944</v>
      </c>
      <c r="AE367">
        <v>-18.602699999999899</v>
      </c>
      <c r="AF367">
        <v>18.883606067803399</v>
      </c>
      <c r="AG367">
        <v>0.682944</v>
      </c>
      <c r="AH367">
        <v>82.847047967687502</v>
      </c>
      <c r="AI367">
        <v>89.539506990990503</v>
      </c>
      <c r="AJ367">
        <v>77.159746681196793</v>
      </c>
      <c r="AK367">
        <v>84.9746453219514</v>
      </c>
      <c r="AL367">
        <v>87.883662356857599</v>
      </c>
      <c r="AM367">
        <v>89.4184955540576</v>
      </c>
      <c r="AN367">
        <v>0.99999996284111903</v>
      </c>
    </row>
    <row r="368" spans="1:40" x14ac:dyDescent="0.25">
      <c r="A368" t="str">
        <f>"20190312150643261"</f>
        <v>20190312150643261</v>
      </c>
      <c r="B368" t="str">
        <f>"1552374403250743"</f>
        <v>1552374403250743</v>
      </c>
      <c r="C368" t="s">
        <v>40</v>
      </c>
      <c r="D368">
        <v>3.9327079999999999</v>
      </c>
      <c r="E368">
        <v>0.58202140000000002</v>
      </c>
      <c r="F368" t="s">
        <v>44</v>
      </c>
      <c r="G368">
        <v>-359.13440000000003</v>
      </c>
      <c r="H368">
        <v>1.76186199999999</v>
      </c>
      <c r="I368">
        <v>348.51170000000002</v>
      </c>
      <c r="J368">
        <v>-441.80349999999999</v>
      </c>
      <c r="K368">
        <v>1.1096220000000001</v>
      </c>
      <c r="L368">
        <v>367.11540000000002</v>
      </c>
      <c r="M368">
        <v>0.99996759999999996</v>
      </c>
      <c r="N368">
        <v>0</v>
      </c>
      <c r="O368">
        <v>3.5352700000000001E-3</v>
      </c>
      <c r="P368">
        <v>0.99954219999999905</v>
      </c>
      <c r="Q368">
        <v>2.9533810000000001E-2</v>
      </c>
      <c r="R368">
        <v>-6.5779890000000002E-3</v>
      </c>
      <c r="S368">
        <v>2.9961549999999999</v>
      </c>
      <c r="T368">
        <v>2.3572559999999999E-2</v>
      </c>
      <c r="U368">
        <v>-0.67224119999999998</v>
      </c>
      <c r="V368">
        <v>1.010199E-2</v>
      </c>
      <c r="W368">
        <v>3.6773319999999998E-2</v>
      </c>
      <c r="X368">
        <v>0.99927259999999996</v>
      </c>
      <c r="Y368">
        <v>0.2223668</v>
      </c>
      <c r="Z368">
        <v>8.9146949999999896E-4</v>
      </c>
      <c r="AA368">
        <v>0.97496269999999996</v>
      </c>
      <c r="AB368">
        <v>29</v>
      </c>
      <c r="AC368">
        <v>82.669099999999901</v>
      </c>
      <c r="AD368">
        <v>0.65223999999999904</v>
      </c>
      <c r="AE368">
        <v>-18.6037</v>
      </c>
      <c r="AF368">
        <v>18.894729495173902</v>
      </c>
      <c r="AG368">
        <v>0.65223999999999904</v>
      </c>
      <c r="AH368">
        <v>82.597918783576702</v>
      </c>
      <c r="AI368">
        <v>89.558961408802702</v>
      </c>
      <c r="AJ368">
        <v>77.114975122213394</v>
      </c>
      <c r="AK368">
        <v>84.734009742792907</v>
      </c>
      <c r="AL368">
        <v>87.892568870827802</v>
      </c>
      <c r="AM368">
        <v>89.420797012462202</v>
      </c>
      <c r="AN368">
        <v>1.0000000281882699</v>
      </c>
    </row>
    <row r="369" spans="1:40" x14ac:dyDescent="0.25">
      <c r="A369" t="str">
        <f>"20190312150643282"</f>
        <v>20190312150643282</v>
      </c>
      <c r="B369" t="str">
        <f>"1552374403271244"</f>
        <v>1552374403271244</v>
      </c>
      <c r="C369" t="s">
        <v>40</v>
      </c>
      <c r="D369">
        <v>3.8734790000000001</v>
      </c>
      <c r="E369">
        <v>0.582175</v>
      </c>
      <c r="F369" t="s">
        <v>44</v>
      </c>
      <c r="G369">
        <v>-359.15339999999998</v>
      </c>
      <c r="H369">
        <v>1.6969999999999901</v>
      </c>
      <c r="I369">
        <v>348.51170000000002</v>
      </c>
      <c r="J369">
        <v>-441.52289999999999</v>
      </c>
      <c r="K369">
        <v>1.1096220000000001</v>
      </c>
      <c r="L369">
        <v>367.11649999999997</v>
      </c>
      <c r="M369">
        <v>0.99996689999999999</v>
      </c>
      <c r="N369">
        <v>0</v>
      </c>
      <c r="O369">
        <v>3.6874579999999998E-3</v>
      </c>
      <c r="P369">
        <v>0.99955269999999996</v>
      </c>
      <c r="Q369">
        <v>2.9303780000000001E-2</v>
      </c>
      <c r="R369">
        <v>-5.9953069999999897E-3</v>
      </c>
      <c r="S369">
        <v>2.9963069999999998</v>
      </c>
      <c r="T369">
        <v>2.129698E-2</v>
      </c>
      <c r="U369">
        <v>-0.67443850000000005</v>
      </c>
      <c r="V369">
        <v>9.6714769999999995E-3</v>
      </c>
      <c r="W369">
        <v>3.6573670000000003E-2</v>
      </c>
      <c r="X369">
        <v>0.99928410000000001</v>
      </c>
      <c r="Y369">
        <v>0.2231863</v>
      </c>
      <c r="Z369">
        <v>8.0925419999999999E-4</v>
      </c>
      <c r="AA369">
        <v>0.97477550000000002</v>
      </c>
      <c r="AB369">
        <v>29</v>
      </c>
      <c r="AC369">
        <v>82.369500000000002</v>
      </c>
      <c r="AD369">
        <v>0.58737799999999996</v>
      </c>
      <c r="AE369">
        <v>-18.604799999999901</v>
      </c>
      <c r="AF369">
        <v>18.907500764154801</v>
      </c>
      <c r="AG369">
        <v>0.58737799999999996</v>
      </c>
      <c r="AH369">
        <v>82.296351999275998</v>
      </c>
      <c r="AI369">
        <v>89.601449864142495</v>
      </c>
      <c r="AJ369">
        <v>77.060897451417603</v>
      </c>
      <c r="AK369">
        <v>84.442454668550099</v>
      </c>
      <c r="AL369">
        <v>87.904015491709401</v>
      </c>
      <c r="AM369">
        <v>89.445485510566897</v>
      </c>
      <c r="AN369">
        <v>0.99999994165871797</v>
      </c>
    </row>
    <row r="370" spans="1:40" x14ac:dyDescent="0.25">
      <c r="A370" t="str">
        <f>"20190312150643294"</f>
        <v>20190312150643294</v>
      </c>
      <c r="B370" t="str">
        <f>"1552374403290759"</f>
        <v>1552374403290759</v>
      </c>
      <c r="C370" t="s">
        <v>40</v>
      </c>
      <c r="D370">
        <v>3.9127489999999998</v>
      </c>
      <c r="E370">
        <v>0.58223190000000002</v>
      </c>
      <c r="F370" t="s">
        <v>44</v>
      </c>
      <c r="G370">
        <v>-358.8109</v>
      </c>
      <c r="H370">
        <v>1.616695</v>
      </c>
      <c r="I370">
        <v>348.51170000000002</v>
      </c>
      <c r="J370">
        <v>-441.36950000000002</v>
      </c>
      <c r="K370">
        <v>1.109621</v>
      </c>
      <c r="L370">
        <v>367.11720000000003</v>
      </c>
      <c r="M370">
        <v>0.99996629999999997</v>
      </c>
      <c r="N370">
        <v>0</v>
      </c>
      <c r="O370">
        <v>3.7710270000000001E-3</v>
      </c>
      <c r="P370">
        <v>0.99955550000000004</v>
      </c>
      <c r="Q370">
        <v>2.923746E-2</v>
      </c>
      <c r="R370">
        <v>-5.7999239999999997E-3</v>
      </c>
      <c r="S370">
        <v>2.9967350000000001</v>
      </c>
      <c r="T370">
        <v>1.8374560000000002E-2</v>
      </c>
      <c r="U370">
        <v>-0.67407229999999996</v>
      </c>
      <c r="V370">
        <v>9.5598709999999993E-3</v>
      </c>
      <c r="W370">
        <v>3.652362E-2</v>
      </c>
      <c r="X370">
        <v>0.99928709999999998</v>
      </c>
      <c r="Y370">
        <v>0.22312589999999999</v>
      </c>
      <c r="Z370">
        <v>6.9844470000000002E-4</v>
      </c>
      <c r="AA370">
        <v>0.97478940000000003</v>
      </c>
      <c r="AB370">
        <v>29</v>
      </c>
      <c r="AC370">
        <v>82.558599999999998</v>
      </c>
      <c r="AD370">
        <v>0.50707400000000002</v>
      </c>
      <c r="AE370">
        <v>-18.605499999999999</v>
      </c>
      <c r="AF370">
        <v>18.9160275905089</v>
      </c>
      <c r="AG370">
        <v>0.50707400000000002</v>
      </c>
      <c r="AH370">
        <v>82.4848879735775</v>
      </c>
      <c r="AI370">
        <v>89.656691488399204</v>
      </c>
      <c r="AJ370">
        <v>77.083853232712499</v>
      </c>
      <c r="AK370">
        <v>84.627595782108898</v>
      </c>
      <c r="AL370">
        <v>87.906885262709196</v>
      </c>
      <c r="AM370">
        <v>89.451885697424402</v>
      </c>
      <c r="AN370">
        <v>1.0000000370889199</v>
      </c>
    </row>
    <row r="371" spans="1:40" x14ac:dyDescent="0.25">
      <c r="A371" t="str">
        <f>"20190312150643307"</f>
        <v>20190312150643307</v>
      </c>
      <c r="B371" t="str">
        <f>"1552374403300519"</f>
        <v>1552374403300519</v>
      </c>
      <c r="C371" t="s">
        <v>40</v>
      </c>
      <c r="D371">
        <v>3.9826630000000001</v>
      </c>
      <c r="E371">
        <v>0.58237799999999995</v>
      </c>
      <c r="F371" t="s">
        <v>44</v>
      </c>
      <c r="G371">
        <v>-358.61130000000003</v>
      </c>
      <c r="H371">
        <v>1.5536669999999999</v>
      </c>
      <c r="I371">
        <v>348.51170000000002</v>
      </c>
      <c r="J371">
        <v>-441.20049999999998</v>
      </c>
      <c r="K371">
        <v>1.1095969999999999</v>
      </c>
      <c r="L371">
        <v>367.11790000000002</v>
      </c>
      <c r="M371">
        <v>0.99996660000000004</v>
      </c>
      <c r="N371">
        <v>0</v>
      </c>
      <c r="O371">
        <v>3.8636500000000002E-3</v>
      </c>
      <c r="P371">
        <v>0.99955830000000001</v>
      </c>
      <c r="Q371">
        <v>2.9178909999999999E-2</v>
      </c>
      <c r="R371">
        <v>-5.6542049999999998E-3</v>
      </c>
      <c r="S371">
        <v>2.9969480000000002</v>
      </c>
      <c r="T371">
        <v>1.6083239999999999E-2</v>
      </c>
      <c r="U371">
        <v>-0.67376709999999995</v>
      </c>
      <c r="V371">
        <v>9.5065510000000002E-3</v>
      </c>
      <c r="W371">
        <v>3.6397350000000002E-2</v>
      </c>
      <c r="X371">
        <v>0.99929219999999996</v>
      </c>
      <c r="Y371">
        <v>0.2231078</v>
      </c>
      <c r="Z371">
        <v>6.1175650000000004E-4</v>
      </c>
      <c r="AA371">
        <v>0.97479360000000004</v>
      </c>
      <c r="AB371">
        <v>29</v>
      </c>
      <c r="AC371">
        <v>82.589199999999906</v>
      </c>
      <c r="AD371">
        <v>0.44407000000000002</v>
      </c>
      <c r="AE371">
        <v>-18.606200000000001</v>
      </c>
      <c r="AF371">
        <v>18.924644461740002</v>
      </c>
      <c r="AG371">
        <v>0.44407000000000002</v>
      </c>
      <c r="AH371">
        <v>82.514423509005496</v>
      </c>
      <c r="AI371">
        <v>89.699455847997996</v>
      </c>
      <c r="AJ371">
        <v>77.082637072987495</v>
      </c>
      <c r="AK371">
        <v>84.657955640280406</v>
      </c>
      <c r="AL371">
        <v>87.914124781165597</v>
      </c>
      <c r="AM371">
        <v>89.454945391237004</v>
      </c>
      <c r="AN371">
        <v>1.0000000212898801</v>
      </c>
    </row>
    <row r="372" spans="1:40" x14ac:dyDescent="0.25">
      <c r="A372" t="str">
        <f>"20190312150643319"</f>
        <v>20190312150643319</v>
      </c>
      <c r="B372" t="str">
        <f>"1552374403311255"</f>
        <v>1552374403311255</v>
      </c>
      <c r="C372" t="s">
        <v>40</v>
      </c>
      <c r="D372">
        <v>3.9314529999999999</v>
      </c>
      <c r="E372">
        <v>0.58250709999999895</v>
      </c>
      <c r="F372" t="s">
        <v>44</v>
      </c>
      <c r="G372">
        <v>-358.548</v>
      </c>
      <c r="H372">
        <v>1.5260389999999999</v>
      </c>
      <c r="I372">
        <v>348.51170000000002</v>
      </c>
      <c r="J372">
        <v>-441.03469999999999</v>
      </c>
      <c r="K372">
        <v>1.109504</v>
      </c>
      <c r="L372">
        <v>367.11869999999999</v>
      </c>
      <c r="M372">
        <v>0.99996850000000004</v>
      </c>
      <c r="N372">
        <v>0</v>
      </c>
      <c r="O372">
        <v>3.9566480000000001E-3</v>
      </c>
      <c r="P372">
        <v>0.99955309999999997</v>
      </c>
      <c r="Q372">
        <v>2.9362200000000001E-2</v>
      </c>
      <c r="R372">
        <v>-5.6178859999999999E-3</v>
      </c>
      <c r="S372">
        <v>2.9970699999999999</v>
      </c>
      <c r="T372">
        <v>1.5103460000000001E-2</v>
      </c>
      <c r="U372">
        <v>-0.67468260000000002</v>
      </c>
      <c r="V372">
        <v>9.5631420000000002E-3</v>
      </c>
      <c r="W372">
        <v>3.6260109999999998E-2</v>
      </c>
      <c r="X372">
        <v>0.99929659999999998</v>
      </c>
      <c r="Y372">
        <v>0.2234738</v>
      </c>
      <c r="Z372">
        <v>5.7582110000000005E-4</v>
      </c>
      <c r="AA372">
        <v>0.97470970000000001</v>
      </c>
      <c r="AB372">
        <v>29</v>
      </c>
      <c r="AC372">
        <v>82.4866999999999</v>
      </c>
      <c r="AD372">
        <v>0.41653499999999899</v>
      </c>
      <c r="AE372">
        <v>-18.6069999999999</v>
      </c>
      <c r="AF372">
        <v>18.932773504716302</v>
      </c>
      <c r="AG372">
        <v>0.41653499999999899</v>
      </c>
      <c r="AH372">
        <v>82.410431518869402</v>
      </c>
      <c r="AI372">
        <v>89.717759228637306</v>
      </c>
      <c r="AJ372">
        <v>77.061516179377705</v>
      </c>
      <c r="AK372">
        <v>84.558279530235197</v>
      </c>
      <c r="AL372">
        <v>87.921993145373406</v>
      </c>
      <c r="AM372">
        <v>89.451703378611199</v>
      </c>
      <c r="AN372">
        <v>0.99999997201684099</v>
      </c>
    </row>
    <row r="373" spans="1:40" x14ac:dyDescent="0.25">
      <c r="A373" t="str">
        <f>"20190312150643331"</f>
        <v>20190312150643331</v>
      </c>
      <c r="B373" t="str">
        <f>"1552374403321015"</f>
        <v>1552374403321015</v>
      </c>
      <c r="C373" t="s">
        <v>40</v>
      </c>
      <c r="D373">
        <v>3.9698359999999999</v>
      </c>
      <c r="E373">
        <v>0.58263339999999997</v>
      </c>
      <c r="F373" t="s">
        <v>44</v>
      </c>
      <c r="G373">
        <v>-358.46769999999998</v>
      </c>
      <c r="H373">
        <v>1.5233110000000001</v>
      </c>
      <c r="I373">
        <v>348.51170000000002</v>
      </c>
      <c r="J373">
        <v>-440.88369999999998</v>
      </c>
      <c r="K373">
        <v>1.1093930000000001</v>
      </c>
      <c r="L373">
        <v>367.11930000000001</v>
      </c>
      <c r="M373">
        <v>0.99997009999999997</v>
      </c>
      <c r="N373">
        <v>0</v>
      </c>
      <c r="O373">
        <v>4.0411249999999996E-3</v>
      </c>
      <c r="P373">
        <v>0.99953720000000001</v>
      </c>
      <c r="Q373">
        <v>2.9919500000000002E-2</v>
      </c>
      <c r="R373">
        <v>-5.5134040000000004E-3</v>
      </c>
      <c r="S373">
        <v>2.9971009999999998</v>
      </c>
      <c r="T373">
        <v>1.502359E-2</v>
      </c>
      <c r="U373">
        <v>-0.67541499999999999</v>
      </c>
      <c r="V373">
        <v>9.5431890000000005E-3</v>
      </c>
      <c r="W373">
        <v>3.65365E-2</v>
      </c>
      <c r="X373">
        <v>0.99928680000000003</v>
      </c>
      <c r="Y373">
        <v>0.2237807</v>
      </c>
      <c r="Z373">
        <v>5.73933E-4</v>
      </c>
      <c r="AA373">
        <v>0.97463940000000004</v>
      </c>
      <c r="AB373">
        <v>29</v>
      </c>
      <c r="AC373">
        <v>82.415999999999997</v>
      </c>
      <c r="AD373">
        <v>0.41391800000000001</v>
      </c>
      <c r="AE373">
        <v>-18.607599999999898</v>
      </c>
      <c r="AF373">
        <v>18.940054088875598</v>
      </c>
      <c r="AG373">
        <v>0.41391800000000001</v>
      </c>
      <c r="AH373">
        <v>82.338153616560305</v>
      </c>
      <c r="AI373">
        <v>89.719304042367298</v>
      </c>
      <c r="AJ373">
        <v>77.045729469931899</v>
      </c>
      <c r="AK373">
        <v>84.489458028706494</v>
      </c>
      <c r="AL373">
        <v>87.906146824056904</v>
      </c>
      <c r="AM373">
        <v>89.452841935866601</v>
      </c>
      <c r="AN373">
        <v>1.00000004847138</v>
      </c>
    </row>
    <row r="374" spans="1:40" x14ac:dyDescent="0.25">
      <c r="A374" t="str">
        <f>"20190312150643343"</f>
        <v>20190312150643343</v>
      </c>
      <c r="B374" t="str">
        <f>"1552374403330775"</f>
        <v>1552374403330775</v>
      </c>
      <c r="C374" t="s">
        <v>40</v>
      </c>
      <c r="D374">
        <v>4.0223129999999996</v>
      </c>
      <c r="E374">
        <v>0.58280520000000002</v>
      </c>
      <c r="F374" t="s">
        <v>44</v>
      </c>
      <c r="G374">
        <v>-358.44330000000002</v>
      </c>
      <c r="H374">
        <v>1.5569230000000001</v>
      </c>
      <c r="I374">
        <v>348.51170000000002</v>
      </c>
      <c r="J374">
        <v>-440.72160000000002</v>
      </c>
      <c r="K374">
        <v>1.1092550000000001</v>
      </c>
      <c r="L374">
        <v>367.12009999999998</v>
      </c>
      <c r="M374">
        <v>0.99997159999999996</v>
      </c>
      <c r="N374">
        <v>0</v>
      </c>
      <c r="O374">
        <v>4.1317410000000004E-3</v>
      </c>
      <c r="P374">
        <v>0.99952819999999998</v>
      </c>
      <c r="Q374">
        <v>3.0231040000000001E-2</v>
      </c>
      <c r="R374">
        <v>-5.4609899999999998E-3</v>
      </c>
      <c r="S374">
        <v>2.997131</v>
      </c>
      <c r="T374">
        <v>1.62729E-2</v>
      </c>
      <c r="U374">
        <v>-0.67648319999999995</v>
      </c>
      <c r="V374">
        <v>9.5812099999999997E-3</v>
      </c>
      <c r="W374">
        <v>3.65546E-2</v>
      </c>
      <c r="X374">
        <v>0.99928570000000005</v>
      </c>
      <c r="Y374">
        <v>0.2241969</v>
      </c>
      <c r="Z374">
        <v>6.232303E-4</v>
      </c>
      <c r="AA374">
        <v>0.97454370000000001</v>
      </c>
      <c r="AB374">
        <v>30</v>
      </c>
      <c r="AC374">
        <v>82.278300000000002</v>
      </c>
      <c r="AD374">
        <v>0.44766800000000001</v>
      </c>
      <c r="AE374">
        <v>-18.6083999999999</v>
      </c>
      <c r="AF374">
        <v>18.947666916476798</v>
      </c>
      <c r="AG374">
        <v>0.44766800000000001</v>
      </c>
      <c r="AH374">
        <v>82.198396112863605</v>
      </c>
      <c r="AI374">
        <v>89.695933107124105</v>
      </c>
      <c r="AJ374">
        <v>77.0194099824608</v>
      </c>
      <c r="AK374">
        <v>84.3551469191015</v>
      </c>
      <c r="AL374">
        <v>87.905108921811006</v>
      </c>
      <c r="AM374">
        <v>89.450661533189006</v>
      </c>
      <c r="AN374">
        <v>0.99999997429535603</v>
      </c>
    </row>
    <row r="375" spans="1:40" x14ac:dyDescent="0.25">
      <c r="A375" t="str">
        <f>"20190312150643361"</f>
        <v>20190312150643361</v>
      </c>
      <c r="B375" t="str">
        <f>"1552374403351271"</f>
        <v>1552374403351271</v>
      </c>
      <c r="C375" t="s">
        <v>40</v>
      </c>
      <c r="D375">
        <v>4.0494059999999896</v>
      </c>
      <c r="E375">
        <v>0.58326</v>
      </c>
      <c r="F375" t="s">
        <v>44</v>
      </c>
      <c r="G375">
        <v>-358.42009999999999</v>
      </c>
      <c r="H375">
        <v>1.5621560000000001</v>
      </c>
      <c r="I375">
        <v>348.51170000000002</v>
      </c>
      <c r="J375">
        <v>-440.48360000000002</v>
      </c>
      <c r="K375">
        <v>1.108986</v>
      </c>
      <c r="L375">
        <v>367.12119999999999</v>
      </c>
      <c r="M375">
        <v>0.99997199999999997</v>
      </c>
      <c r="N375">
        <v>0</v>
      </c>
      <c r="O375">
        <v>4.2644579999999996E-3</v>
      </c>
      <c r="P375">
        <v>0.99952160000000001</v>
      </c>
      <c r="Q375">
        <v>3.0446259999999999E-2</v>
      </c>
      <c r="R375">
        <v>-5.4590259999999996E-3</v>
      </c>
      <c r="S375">
        <v>2.997223</v>
      </c>
      <c r="T375">
        <v>1.6496420000000001E-2</v>
      </c>
      <c r="U375">
        <v>-0.67767330000000003</v>
      </c>
      <c r="V375">
        <v>9.7119259999999992E-3</v>
      </c>
      <c r="W375">
        <v>3.6599859999999998E-2</v>
      </c>
      <c r="X375">
        <v>0.99928280000000003</v>
      </c>
      <c r="Y375">
        <v>0.2246879</v>
      </c>
      <c r="Z375">
        <v>6.338006E-4</v>
      </c>
      <c r="AA375">
        <v>0.97443060000000004</v>
      </c>
      <c r="AB375">
        <v>30</v>
      </c>
      <c r="AC375">
        <v>82.063500000000005</v>
      </c>
      <c r="AD375">
        <v>0.45316999999999902</v>
      </c>
      <c r="AE375">
        <v>-18.609499999999901</v>
      </c>
      <c r="AF375">
        <v>18.958743884143601</v>
      </c>
      <c r="AG375">
        <v>0.45316999999999902</v>
      </c>
      <c r="AH375">
        <v>81.981015147443998</v>
      </c>
      <c r="AI375">
        <v>89.691430414488906</v>
      </c>
      <c r="AJ375">
        <v>76.978812003673397</v>
      </c>
      <c r="AK375">
        <v>84.145862508615906</v>
      </c>
      <c r="AL375">
        <v>87.902514017169693</v>
      </c>
      <c r="AM375">
        <v>89.443165787030196</v>
      </c>
      <c r="AN375">
        <v>0.99999999281724405</v>
      </c>
    </row>
    <row r="376" spans="1:40" x14ac:dyDescent="0.25">
      <c r="A376" t="str">
        <f>"20190312150643373"</f>
        <v>20190312150643373</v>
      </c>
      <c r="B376" t="str">
        <f>"1552374403370791"</f>
        <v>1552374403370791</v>
      </c>
      <c r="C376" t="s">
        <v>40</v>
      </c>
      <c r="D376">
        <v>4.0069239999999997</v>
      </c>
      <c r="E376">
        <v>0.58361350000000001</v>
      </c>
      <c r="F376" t="s">
        <v>44</v>
      </c>
      <c r="G376">
        <v>-358.62180000000001</v>
      </c>
      <c r="H376">
        <v>1.5409139999999999</v>
      </c>
      <c r="I376">
        <v>348.51170000000002</v>
      </c>
      <c r="J376">
        <v>-440.31970000000001</v>
      </c>
      <c r="K376">
        <v>1.108744</v>
      </c>
      <c r="L376">
        <v>367.12189999999998</v>
      </c>
      <c r="M376">
        <v>0.99997130000000001</v>
      </c>
      <c r="N376">
        <v>0</v>
      </c>
      <c r="O376">
        <v>4.3541400000000003E-3</v>
      </c>
      <c r="P376">
        <v>0.99951570000000001</v>
      </c>
      <c r="Q376">
        <v>3.0629719999999999E-2</v>
      </c>
      <c r="R376">
        <v>-5.5263259999999998E-3</v>
      </c>
      <c r="S376">
        <v>2.9972840000000001</v>
      </c>
      <c r="T376">
        <v>1.5817399999999999E-2</v>
      </c>
      <c r="U376">
        <v>-0.68136600000000003</v>
      </c>
      <c r="V376">
        <v>9.8685930000000002E-3</v>
      </c>
      <c r="W376">
        <v>3.6834319999999997E-2</v>
      </c>
      <c r="X376">
        <v>0.99927259999999996</v>
      </c>
      <c r="Y376">
        <v>0.2259129</v>
      </c>
      <c r="Z376">
        <v>6.1127800000000004E-4</v>
      </c>
      <c r="AA376">
        <v>0.97414730000000005</v>
      </c>
      <c r="AB376">
        <v>30</v>
      </c>
      <c r="AC376">
        <v>81.697900000000004</v>
      </c>
      <c r="AD376">
        <v>0.43217</v>
      </c>
      <c r="AE376">
        <v>-18.610199999999899</v>
      </c>
      <c r="AF376">
        <v>18.9652499958896</v>
      </c>
      <c r="AG376">
        <v>0.43217</v>
      </c>
      <c r="AH376">
        <v>81.613921448063095</v>
      </c>
      <c r="AI376">
        <v>89.704478571753995</v>
      </c>
      <c r="AJ376">
        <v>76.917918871142604</v>
      </c>
      <c r="AK376">
        <v>83.789615421280601</v>
      </c>
      <c r="AL376">
        <v>87.889071278339102</v>
      </c>
      <c r="AM376">
        <v>89.434178073692493</v>
      </c>
      <c r="AN376">
        <v>0.999999942684209</v>
      </c>
    </row>
    <row r="377" spans="1:40" x14ac:dyDescent="0.25">
      <c r="A377" t="str">
        <f>"20190312150643387"</f>
        <v>20190312150643387</v>
      </c>
      <c r="B377" t="str">
        <f>"1552374403380552"</f>
        <v>1552374403380552</v>
      </c>
      <c r="C377" t="s">
        <v>40</v>
      </c>
      <c r="D377">
        <v>4.0147510000000004</v>
      </c>
      <c r="E377">
        <v>0.58378549999999996</v>
      </c>
      <c r="F377" t="s">
        <v>44</v>
      </c>
      <c r="G377">
        <v>-358.78199999999998</v>
      </c>
      <c r="H377">
        <v>1.5288219999999999</v>
      </c>
      <c r="I377">
        <v>348.51170000000002</v>
      </c>
      <c r="J377">
        <v>-440.13869999999997</v>
      </c>
      <c r="K377">
        <v>1.108436</v>
      </c>
      <c r="L377">
        <v>367.12279999999998</v>
      </c>
      <c r="M377">
        <v>0.99997000000000003</v>
      </c>
      <c r="N377">
        <v>0</v>
      </c>
      <c r="O377">
        <v>4.452096E-3</v>
      </c>
      <c r="P377">
        <v>0.99951800000000002</v>
      </c>
      <c r="Q377">
        <v>3.0572470000000001E-2</v>
      </c>
      <c r="R377">
        <v>-5.4261500000000002E-3</v>
      </c>
      <c r="S377">
        <v>2.9971920000000001</v>
      </c>
      <c r="T377">
        <v>1.5444279999999999E-2</v>
      </c>
      <c r="U377">
        <v>-0.68408199999999997</v>
      </c>
      <c r="V377">
        <v>9.8660380000000006E-3</v>
      </c>
      <c r="W377">
        <v>3.6932470000000002E-2</v>
      </c>
      <c r="X377">
        <v>0.99926910000000002</v>
      </c>
      <c r="Y377">
        <v>0.226854</v>
      </c>
      <c r="Z377">
        <v>5.9970939999999995E-4</v>
      </c>
      <c r="AA377">
        <v>0.97392860000000003</v>
      </c>
      <c r="AB377">
        <v>30</v>
      </c>
      <c r="AC377">
        <v>81.356699999999904</v>
      </c>
      <c r="AD377">
        <v>0.42038599999999898</v>
      </c>
      <c r="AE377">
        <v>-18.611099999999901</v>
      </c>
      <c r="AF377">
        <v>18.972649282916301</v>
      </c>
      <c r="AG377">
        <v>0.42038599999999898</v>
      </c>
      <c r="AH377">
        <v>81.270971582482304</v>
      </c>
      <c r="AI377">
        <v>89.711391740482796</v>
      </c>
      <c r="AJ377">
        <v>76.859677960029501</v>
      </c>
      <c r="AK377">
        <v>83.457228369759406</v>
      </c>
      <c r="AL377">
        <v>87.883444074574797</v>
      </c>
      <c r="AM377">
        <v>89.434322575504893</v>
      </c>
      <c r="AN377">
        <v>1.0000000401304601</v>
      </c>
    </row>
    <row r="378" spans="1:40" x14ac:dyDescent="0.25">
      <c r="A378" t="str">
        <f>"20190312150643401"</f>
        <v>20190312150643401</v>
      </c>
      <c r="B378" t="str">
        <f>"1552374403391288"</f>
        <v>1552374403391288</v>
      </c>
      <c r="C378" t="s">
        <v>40</v>
      </c>
      <c r="D378">
        <v>4.055161</v>
      </c>
      <c r="E378">
        <v>0.5839124</v>
      </c>
      <c r="F378" t="s">
        <v>44</v>
      </c>
      <c r="G378">
        <v>-358.7534</v>
      </c>
      <c r="H378">
        <v>1.5011920000000001</v>
      </c>
      <c r="I378">
        <v>348.51170000000002</v>
      </c>
      <c r="J378">
        <v>-439.95179999999999</v>
      </c>
      <c r="K378">
        <v>1.1080319999999999</v>
      </c>
      <c r="L378">
        <v>367.12369999999999</v>
      </c>
      <c r="M378">
        <v>0.9999673</v>
      </c>
      <c r="N378">
        <v>0</v>
      </c>
      <c r="O378">
        <v>4.5516920000000004E-3</v>
      </c>
      <c r="P378">
        <v>0.99951860000000003</v>
      </c>
      <c r="Q378">
        <v>3.0573840000000001E-2</v>
      </c>
      <c r="R378">
        <v>-5.2830250000000002E-3</v>
      </c>
      <c r="S378">
        <v>2.9973139999999998</v>
      </c>
      <c r="T378">
        <v>1.4467600000000001E-2</v>
      </c>
      <c r="U378">
        <v>-0.68542479999999995</v>
      </c>
      <c r="V378">
        <v>9.8219840000000006E-3</v>
      </c>
      <c r="W378">
        <v>3.7266510000000003E-2</v>
      </c>
      <c r="X378">
        <v>0.99925710000000001</v>
      </c>
      <c r="Y378">
        <v>0.22735739999999999</v>
      </c>
      <c r="Z378">
        <v>5.6340890000000003E-4</v>
      </c>
      <c r="AA378">
        <v>0.97381119999999999</v>
      </c>
      <c r="AB378">
        <v>30</v>
      </c>
      <c r="AC378">
        <v>81.198399999999907</v>
      </c>
      <c r="AD378">
        <v>0.39316000000000001</v>
      </c>
      <c r="AE378">
        <v>-18.611999999999899</v>
      </c>
      <c r="AF378">
        <v>18.980982765351101</v>
      </c>
      <c r="AG378">
        <v>0.39316000000000001</v>
      </c>
      <c r="AH378">
        <v>81.111034148129804</v>
      </c>
      <c r="AI378">
        <v>89.729584485638597</v>
      </c>
      <c r="AJ378">
        <v>76.829087869039199</v>
      </c>
      <c r="AK378">
        <v>83.303254090721097</v>
      </c>
      <c r="AL378">
        <v>87.864291739591593</v>
      </c>
      <c r="AM378">
        <v>89.436841522475206</v>
      </c>
      <c r="AN378">
        <v>1.00000000801884</v>
      </c>
    </row>
    <row r="379" spans="1:40" x14ac:dyDescent="0.25">
      <c r="A379" t="str">
        <f>"20190312150643419"</f>
        <v>20190312150643419</v>
      </c>
      <c r="B379" t="str">
        <f>"1552374403410807"</f>
        <v>1552374403410807</v>
      </c>
      <c r="C379" t="s">
        <v>40</v>
      </c>
      <c r="D379">
        <v>4.058929</v>
      </c>
      <c r="E379">
        <v>0.58413760000000003</v>
      </c>
      <c r="F379" t="s">
        <v>44</v>
      </c>
      <c r="G379">
        <v>-358.61180000000002</v>
      </c>
      <c r="H379">
        <v>1.4962879999999901</v>
      </c>
      <c r="I379">
        <v>348.51170000000002</v>
      </c>
      <c r="J379">
        <v>-439.70569999999998</v>
      </c>
      <c r="K379">
        <v>1.107359</v>
      </c>
      <c r="L379">
        <v>367.12490000000003</v>
      </c>
      <c r="M379">
        <v>0.99996220000000002</v>
      </c>
      <c r="N379">
        <v>0</v>
      </c>
      <c r="O379">
        <v>4.6812970000000001E-3</v>
      </c>
      <c r="P379">
        <v>0.99953009999999998</v>
      </c>
      <c r="Q379">
        <v>3.0274539999999999E-2</v>
      </c>
      <c r="R379">
        <v>-4.7809389999999997E-3</v>
      </c>
      <c r="S379">
        <v>2.9973749999999999</v>
      </c>
      <c r="T379">
        <v>1.4310120000000001E-2</v>
      </c>
      <c r="U379">
        <v>-0.68585209999999996</v>
      </c>
      <c r="V379">
        <v>9.4490300000000006E-3</v>
      </c>
      <c r="W379">
        <v>3.76096E-2</v>
      </c>
      <c r="X379">
        <v>0.99924780000000002</v>
      </c>
      <c r="Y379">
        <v>0.22761129999999999</v>
      </c>
      <c r="Z379">
        <v>5.5846620000000004E-4</v>
      </c>
      <c r="AA379">
        <v>0.9737519</v>
      </c>
      <c r="AB379">
        <v>30</v>
      </c>
      <c r="AC379">
        <v>81.093899999999906</v>
      </c>
      <c r="AD379">
        <v>0.38892899999999903</v>
      </c>
      <c r="AE379">
        <v>-18.613199999999999</v>
      </c>
      <c r="AF379">
        <v>18.992215864451499</v>
      </c>
      <c r="AG379">
        <v>0.38892899999999903</v>
      </c>
      <c r="AH379">
        <v>81.004105120601807</v>
      </c>
      <c r="AI379">
        <v>89.732168031419604</v>
      </c>
      <c r="AJ379">
        <v>76.804777268102598</v>
      </c>
      <c r="AK379">
        <v>83.201686134347497</v>
      </c>
      <c r="AL379">
        <v>87.844620249404699</v>
      </c>
      <c r="AM379">
        <v>89.458219068797206</v>
      </c>
      <c r="AN379">
        <v>0.99999996599246899</v>
      </c>
    </row>
    <row r="380" spans="1:40" x14ac:dyDescent="0.25">
      <c r="A380" t="str">
        <f>"20190312150643442"</f>
        <v>20190312150643442</v>
      </c>
      <c r="B380" t="str">
        <f>"1552374403431304"</f>
        <v>1552374403431304</v>
      </c>
      <c r="C380" t="s">
        <v>40</v>
      </c>
      <c r="D380">
        <v>4.2195650000000002</v>
      </c>
      <c r="E380">
        <v>0.58429940000000002</v>
      </c>
      <c r="F380" t="s">
        <v>44</v>
      </c>
      <c r="G380">
        <v>-358.37040000000002</v>
      </c>
      <c r="H380">
        <v>1.421827</v>
      </c>
      <c r="I380">
        <v>348.51170000000002</v>
      </c>
      <c r="J380">
        <v>-439.40949999999998</v>
      </c>
      <c r="K380">
        <v>1.106411</v>
      </c>
      <c r="L380">
        <v>367.12650000000002</v>
      </c>
      <c r="M380">
        <v>0.99995140000000005</v>
      </c>
      <c r="N380">
        <v>0</v>
      </c>
      <c r="O380">
        <v>4.8268360000000001E-3</v>
      </c>
      <c r="P380">
        <v>0.99957099999999999</v>
      </c>
      <c r="Q380">
        <v>2.8955160000000001E-2</v>
      </c>
      <c r="R380">
        <v>-4.4394079999999997E-3</v>
      </c>
      <c r="S380">
        <v>2.9978030000000002</v>
      </c>
      <c r="T380">
        <v>1.1593340000000001E-2</v>
      </c>
      <c r="U380">
        <v>-0.68603519999999996</v>
      </c>
      <c r="V380">
        <v>9.2519850000000008E-3</v>
      </c>
      <c r="W380">
        <v>3.7558599999999998E-2</v>
      </c>
      <c r="X380">
        <v>0.99925160000000002</v>
      </c>
      <c r="Y380">
        <v>0.22778029999999999</v>
      </c>
      <c r="Z380">
        <v>4.532548E-4</v>
      </c>
      <c r="AA380">
        <v>0.97371240000000003</v>
      </c>
      <c r="AB380">
        <v>30</v>
      </c>
      <c r="AC380">
        <v>81.039099999999905</v>
      </c>
      <c r="AD380">
        <v>0.31541599999999897</v>
      </c>
      <c r="AE380">
        <v>-18.614799999999999</v>
      </c>
      <c r="AF380">
        <v>19.005486554380099</v>
      </c>
      <c r="AG380">
        <v>0.31541599999999897</v>
      </c>
      <c r="AH380">
        <v>80.947137185139496</v>
      </c>
      <c r="AI380">
        <v>89.782654500642906</v>
      </c>
      <c r="AJ380">
        <v>76.786913329188593</v>
      </c>
      <c r="AK380">
        <v>83.148944821275904</v>
      </c>
      <c r="AL380">
        <v>87.847544481858293</v>
      </c>
      <c r="AM380">
        <v>89.469518442244294</v>
      </c>
      <c r="AN380">
        <v>1.00000000388148</v>
      </c>
    </row>
    <row r="381" spans="1:40" x14ac:dyDescent="0.25">
      <c r="A381" t="str">
        <f>"20190312150643529"</f>
        <v>20190312150643529</v>
      </c>
      <c r="B381" t="str">
        <f>"1552374403521095"</f>
        <v>1552374403521095</v>
      </c>
      <c r="C381" t="s">
        <v>40</v>
      </c>
      <c r="D381">
        <v>4.1181760000000001</v>
      </c>
      <c r="E381">
        <v>0.56819949999999997</v>
      </c>
      <c r="F381" t="s">
        <v>44</v>
      </c>
      <c r="G381">
        <v>-358.12389999999999</v>
      </c>
      <c r="H381">
        <v>1.3039400000000001</v>
      </c>
      <c r="I381">
        <v>348.51170000000002</v>
      </c>
      <c r="J381">
        <v>-438.20609999999999</v>
      </c>
      <c r="K381">
        <v>1.1009100000000001</v>
      </c>
      <c r="L381">
        <v>367.13319999999999</v>
      </c>
      <c r="M381">
        <v>0.99986039999999998</v>
      </c>
      <c r="N381">
        <v>0</v>
      </c>
      <c r="O381">
        <v>5.4288560000000001E-3</v>
      </c>
      <c r="P381">
        <v>0.99974410000000002</v>
      </c>
      <c r="Q381">
        <v>2.2107640000000001E-2</v>
      </c>
      <c r="R381">
        <v>-4.8128249999999997E-3</v>
      </c>
      <c r="S381">
        <v>2.997986</v>
      </c>
      <c r="T381">
        <v>7.288218E-3</v>
      </c>
      <c r="U381">
        <v>-0.686554</v>
      </c>
      <c r="V381">
        <v>1.022843E-2</v>
      </c>
      <c r="W381">
        <v>3.7911220000000002E-2</v>
      </c>
      <c r="X381">
        <v>0.99922880000000003</v>
      </c>
      <c r="Y381">
        <v>0.2285151</v>
      </c>
      <c r="Z381">
        <v>2.8724760000000001E-4</v>
      </c>
      <c r="AA381">
        <v>0.97354030000000003</v>
      </c>
      <c r="AB381">
        <v>30</v>
      </c>
      <c r="AC381">
        <v>80.0822</v>
      </c>
      <c r="AD381">
        <v>0.20302999999999899</v>
      </c>
      <c r="AE381">
        <v>-18.621499999999902</v>
      </c>
      <c r="AF381">
        <v>19.055918340853601</v>
      </c>
      <c r="AG381">
        <v>0.20302999999999899</v>
      </c>
      <c r="AH381">
        <v>79.979425814824296</v>
      </c>
      <c r="AI381">
        <v>89.858513870596596</v>
      </c>
      <c r="AJ381">
        <v>76.598555069977806</v>
      </c>
      <c r="AK381">
        <v>82.218476017639503</v>
      </c>
      <c r="AL381">
        <v>87.827326518770306</v>
      </c>
      <c r="AM381">
        <v>89.4135223061554</v>
      </c>
      <c r="AN381">
        <v>1.0000000380657901</v>
      </c>
    </row>
    <row r="382" spans="1:40" x14ac:dyDescent="0.25">
      <c r="A382" t="str">
        <f>"20190312150643542"</f>
        <v>20190312150643542</v>
      </c>
      <c r="B382" t="str">
        <f>"1552374403530856"</f>
        <v>1552374403530856</v>
      </c>
      <c r="C382" t="s">
        <v>40</v>
      </c>
      <c r="D382">
        <v>4.1386520000000004</v>
      </c>
      <c r="E382">
        <v>0.49740839999999997</v>
      </c>
      <c r="F382" t="s">
        <v>54</v>
      </c>
      <c r="G382">
        <v>-331.74709999999999</v>
      </c>
      <c r="H382">
        <v>3.119351</v>
      </c>
      <c r="I382">
        <v>347.29719999999998</v>
      </c>
      <c r="J382">
        <v>-438.03309999999999</v>
      </c>
      <c r="K382">
        <v>1.09989</v>
      </c>
      <c r="L382">
        <v>367.13420000000002</v>
      </c>
      <c r="M382">
        <v>0.99985020000000002</v>
      </c>
      <c r="N382">
        <v>0</v>
      </c>
      <c r="O382">
        <v>5.5342819999999997E-3</v>
      </c>
      <c r="P382">
        <v>0.9997587</v>
      </c>
      <c r="Q382">
        <v>2.142898E-2</v>
      </c>
      <c r="R382">
        <v>-4.8347319999999996E-3</v>
      </c>
      <c r="S382">
        <v>2.9967959999999998</v>
      </c>
      <c r="T382">
        <v>5.6820750000000003E-2</v>
      </c>
      <c r="U382">
        <v>-0.55838009999999905</v>
      </c>
      <c r="V382">
        <v>1.035636E-2</v>
      </c>
      <c r="W382">
        <v>3.7835460000000001E-2</v>
      </c>
      <c r="X382">
        <v>0.99923030000000002</v>
      </c>
      <c r="Y382">
        <v>0.1885781</v>
      </c>
      <c r="Z382">
        <v>1.876415E-3</v>
      </c>
      <c r="AA382">
        <v>0.98205640000000005</v>
      </c>
      <c r="AB382">
        <v>30</v>
      </c>
      <c r="AC382">
        <v>106.286</v>
      </c>
      <c r="AD382">
        <v>2.0194610000000002</v>
      </c>
      <c r="AE382">
        <v>-19.837</v>
      </c>
      <c r="AF382">
        <v>20.4178690125473</v>
      </c>
      <c r="AG382">
        <v>2.0194610000000002</v>
      </c>
      <c r="AH382">
        <v>106.137546658562</v>
      </c>
      <c r="AI382">
        <v>88.929596046317897</v>
      </c>
      <c r="AJ382">
        <v>79.110931863912796</v>
      </c>
      <c r="AK382">
        <v>108.102481046655</v>
      </c>
      <c r="AL382">
        <v>87.831670246794801</v>
      </c>
      <c r="AM382">
        <v>89.406188469483297</v>
      </c>
      <c r="AN382">
        <v>0.99999998433197501</v>
      </c>
    </row>
    <row r="383" spans="1:40" x14ac:dyDescent="0.25">
      <c r="A383" t="str">
        <f>"20190312150643554"</f>
        <v>20190312150643554</v>
      </c>
      <c r="B383" t="str">
        <f>"1552374403551351"</f>
        <v>1552374403551351</v>
      </c>
      <c r="C383" t="s">
        <v>40</v>
      </c>
      <c r="D383">
        <v>4.104171</v>
      </c>
      <c r="E383">
        <v>0.49876759999999898</v>
      </c>
      <c r="F383" t="s">
        <v>47</v>
      </c>
      <c r="G383">
        <v>-158.78319999999999</v>
      </c>
      <c r="H383">
        <v>1.3322020000000001</v>
      </c>
      <c r="I383">
        <v>367.62560000000002</v>
      </c>
      <c r="J383">
        <v>-437.87400000000002</v>
      </c>
      <c r="K383">
        <v>1.098905</v>
      </c>
      <c r="L383">
        <v>367.1352</v>
      </c>
      <c r="M383">
        <v>0.99984130000000004</v>
      </c>
      <c r="N383">
        <v>0</v>
      </c>
      <c r="O383">
        <v>5.6263149999999998E-3</v>
      </c>
      <c r="P383">
        <v>0.99976759999999998</v>
      </c>
      <c r="Q383">
        <v>2.1036490000000001E-2</v>
      </c>
      <c r="R383">
        <v>-4.73932E-3</v>
      </c>
      <c r="S383">
        <v>3.0007630000000001</v>
      </c>
      <c r="T383">
        <v>2.497315E-3</v>
      </c>
      <c r="U383">
        <v>5.2795409999999996E-3</v>
      </c>
      <c r="V383">
        <v>1.035281E-2</v>
      </c>
      <c r="W383">
        <v>3.7943619999999997E-2</v>
      </c>
      <c r="X383">
        <v>0.99922630000000001</v>
      </c>
      <c r="Y383">
        <v>3.8677389999999998E-3</v>
      </c>
      <c r="Z383" s="1">
        <v>6.292428E-6</v>
      </c>
      <c r="AA383">
        <v>0.99999249999999995</v>
      </c>
      <c r="AB383">
        <v>30</v>
      </c>
      <c r="AC383">
        <v>279.0908</v>
      </c>
      <c r="AD383">
        <v>0.233297</v>
      </c>
      <c r="AE383">
        <v>0.49040000000002198</v>
      </c>
      <c r="AF383">
        <v>1.0800841377896799</v>
      </c>
      <c r="AG383">
        <v>0.233297</v>
      </c>
      <c r="AH383">
        <v>279.088945858106</v>
      </c>
      <c r="AI383">
        <v>89.952105483002001</v>
      </c>
      <c r="AJ383">
        <v>89.778264404287299</v>
      </c>
      <c r="AK383">
        <v>279.09113334074902</v>
      </c>
      <c r="AL383">
        <v>87.825468822285998</v>
      </c>
      <c r="AM383">
        <v>89.406389628221604</v>
      </c>
      <c r="AN383">
        <v>1.0000000487926399</v>
      </c>
    </row>
    <row r="384" spans="1:40" x14ac:dyDescent="0.25">
      <c r="A384" t="str">
        <f>"20190312150643567"</f>
        <v>20190312150643567</v>
      </c>
      <c r="B384" t="str">
        <f>"1552374403561111"</f>
        <v>1552374403561111</v>
      </c>
      <c r="C384" t="s">
        <v>40</v>
      </c>
      <c r="D384">
        <v>4.1341049999999999</v>
      </c>
      <c r="E384">
        <v>0.4996775</v>
      </c>
      <c r="F384" t="s">
        <v>47</v>
      </c>
      <c r="G384">
        <v>-158.19499999999999</v>
      </c>
      <c r="H384">
        <v>2.103253</v>
      </c>
      <c r="I384">
        <v>366.6687</v>
      </c>
      <c r="J384">
        <v>-437.69909999999999</v>
      </c>
      <c r="K384">
        <v>1.097796</v>
      </c>
      <c r="L384">
        <v>367.13630000000001</v>
      </c>
      <c r="M384">
        <v>0.99983169999999999</v>
      </c>
      <c r="N384">
        <v>0</v>
      </c>
      <c r="O384">
        <v>5.725689E-3</v>
      </c>
      <c r="P384">
        <v>0.99977649999999996</v>
      </c>
      <c r="Q384">
        <v>2.0625609999999999E-2</v>
      </c>
      <c r="R384">
        <v>-4.6750759999999898E-3</v>
      </c>
      <c r="S384">
        <v>3.0004580000000001</v>
      </c>
      <c r="T384">
        <v>1.07758E-2</v>
      </c>
      <c r="U384">
        <v>-5.0048829999999999E-3</v>
      </c>
      <c r="V384">
        <v>1.038769E-2</v>
      </c>
      <c r="W384">
        <v>3.8053690000000001E-2</v>
      </c>
      <c r="X384">
        <v>0.99922169999999999</v>
      </c>
      <c r="Y384">
        <v>7.3944769999999896E-3</v>
      </c>
      <c r="Z384" s="1">
        <v>3.3844309999999998E-5</v>
      </c>
      <c r="AA384">
        <v>0.99997259999999999</v>
      </c>
      <c r="AB384">
        <v>30</v>
      </c>
      <c r="AC384">
        <v>279.50409999999999</v>
      </c>
      <c r="AD384">
        <v>1.005457</v>
      </c>
      <c r="AE384">
        <v>-0.46760000000000401</v>
      </c>
      <c r="AF384">
        <v>2.0681622603235001</v>
      </c>
      <c r="AG384">
        <v>1.005457</v>
      </c>
      <c r="AH384">
        <v>279.49322249944203</v>
      </c>
      <c r="AI384">
        <v>89.793889037969706</v>
      </c>
      <c r="AJ384">
        <v>89.576036924635702</v>
      </c>
      <c r="AK384">
        <v>279.50268274568799</v>
      </c>
      <c r="AL384">
        <v>87.819157604295498</v>
      </c>
      <c r="AM384">
        <v>89.404387077667096</v>
      </c>
      <c r="AN384">
        <v>0.99999999658852101</v>
      </c>
    </row>
    <row r="385" spans="1:40" x14ac:dyDescent="0.25">
      <c r="A385" t="str">
        <f>"20190312150643583"</f>
        <v>20190312150643583</v>
      </c>
      <c r="B385" t="str">
        <f>"1552374403580631"</f>
        <v>1552374403580631</v>
      </c>
      <c r="C385" t="s">
        <v>40</v>
      </c>
      <c r="D385">
        <v>4.1034620000000004</v>
      </c>
      <c r="E385">
        <v>0.49906200000000001</v>
      </c>
      <c r="F385" t="s">
        <v>47</v>
      </c>
      <c r="G385">
        <v>-158.19499999999999</v>
      </c>
      <c r="H385">
        <v>1.5684819999999999</v>
      </c>
      <c r="I385">
        <v>366.01060000000001</v>
      </c>
      <c r="J385">
        <v>-437.46300000000002</v>
      </c>
      <c r="K385">
        <v>1.0962190000000001</v>
      </c>
      <c r="L385">
        <v>367.1377</v>
      </c>
      <c r="M385">
        <v>0.99982020000000005</v>
      </c>
      <c r="N385">
        <v>0</v>
      </c>
      <c r="O385">
        <v>5.8541660000000001E-3</v>
      </c>
      <c r="P385">
        <v>0.9997819</v>
      </c>
      <c r="Q385">
        <v>2.0389879999999999E-2</v>
      </c>
      <c r="R385">
        <v>-4.5506280000000001E-3</v>
      </c>
      <c r="S385">
        <v>3.0005489999999999</v>
      </c>
      <c r="T385">
        <v>5.0538780000000004E-3</v>
      </c>
      <c r="U385">
        <v>-1.208496E-2</v>
      </c>
      <c r="V385">
        <v>1.039152E-2</v>
      </c>
      <c r="W385">
        <v>3.8428200000000003E-2</v>
      </c>
      <c r="X385">
        <v>0.99920730000000002</v>
      </c>
      <c r="Y385">
        <v>9.8825300000000005E-3</v>
      </c>
      <c r="Z385" s="1">
        <v>1.8184440000000001E-5</v>
      </c>
      <c r="AA385">
        <v>0.99995120000000004</v>
      </c>
      <c r="AB385">
        <v>31</v>
      </c>
      <c r="AC385">
        <v>279.26799999999997</v>
      </c>
      <c r="AD385">
        <v>0.47226299999999899</v>
      </c>
      <c r="AE385">
        <v>-1.12709999999998</v>
      </c>
      <c r="AF385">
        <v>2.7622199867781698</v>
      </c>
      <c r="AG385">
        <v>0.47226299999999899</v>
      </c>
      <c r="AH385">
        <v>279.25581508069899</v>
      </c>
      <c r="AI385">
        <v>89.903109171351005</v>
      </c>
      <c r="AJ385">
        <v>89.433285261628598</v>
      </c>
      <c r="AK385">
        <v>279.26987511721001</v>
      </c>
      <c r="AL385">
        <v>87.797683994720799</v>
      </c>
      <c r="AM385">
        <v>89.404158901470694</v>
      </c>
      <c r="AN385">
        <v>0.99999996930821899</v>
      </c>
    </row>
    <row r="386" spans="1:40" x14ac:dyDescent="0.25">
      <c r="A386" t="str">
        <f>"20190312150643596"</f>
        <v>20190312150643596</v>
      </c>
      <c r="B386" t="str">
        <f>"1552374403591367"</f>
        <v>1552374403591367</v>
      </c>
      <c r="C386" t="s">
        <v>40</v>
      </c>
      <c r="D386">
        <v>4.1271300000000002</v>
      </c>
      <c r="E386">
        <v>0.49871579999999899</v>
      </c>
      <c r="F386" t="s">
        <v>47</v>
      </c>
      <c r="G386">
        <v>-158.19499999999999</v>
      </c>
      <c r="H386">
        <v>0.43478919999999999</v>
      </c>
      <c r="I386">
        <v>366.49299999999999</v>
      </c>
      <c r="J386">
        <v>-437.30930000000001</v>
      </c>
      <c r="K386">
        <v>1.0951040000000001</v>
      </c>
      <c r="L386">
        <v>367.13869999999997</v>
      </c>
      <c r="M386">
        <v>0.99981509999999996</v>
      </c>
      <c r="N386">
        <v>0</v>
      </c>
      <c r="O386">
        <v>5.9349709999999998E-3</v>
      </c>
      <c r="P386">
        <v>0.99978670000000003</v>
      </c>
      <c r="Q386">
        <v>2.0165909999999999E-2</v>
      </c>
      <c r="R386">
        <v>-4.4897119999999999E-3</v>
      </c>
      <c r="S386">
        <v>3.0007630000000001</v>
      </c>
      <c r="T386">
        <v>-7.1061850000000001E-3</v>
      </c>
      <c r="U386">
        <v>-6.9274899999999997E-3</v>
      </c>
      <c r="V386">
        <v>1.041127E-2</v>
      </c>
      <c r="W386">
        <v>3.8458220000000001E-2</v>
      </c>
      <c r="X386">
        <v>0.99920589999999998</v>
      </c>
      <c r="Y386">
        <v>8.2444400000000004E-3</v>
      </c>
      <c r="Z386" s="1">
        <v>-2.381895E-5</v>
      </c>
      <c r="AA386">
        <v>0.99996600000000002</v>
      </c>
      <c r="AB386">
        <v>31</v>
      </c>
      <c r="AC386">
        <v>279.11430000000001</v>
      </c>
      <c r="AD386">
        <v>-0.66031479999999998</v>
      </c>
      <c r="AE386">
        <v>-0.64569999999991901</v>
      </c>
      <c r="AF386">
        <v>2.3024881736072702</v>
      </c>
      <c r="AG386">
        <v>-0.66031479999999998</v>
      </c>
      <c r="AH386">
        <v>279.10398764123897</v>
      </c>
      <c r="AI386">
        <v>90.135547663139207</v>
      </c>
      <c r="AJ386">
        <v>89.527345118659795</v>
      </c>
      <c r="AK386">
        <v>279.11426582076598</v>
      </c>
      <c r="AL386">
        <v>87.795962616090705</v>
      </c>
      <c r="AM386">
        <v>89.403025698438597</v>
      </c>
      <c r="AN386">
        <v>0.99999992991169295</v>
      </c>
    </row>
    <row r="387" spans="1:40" x14ac:dyDescent="0.25">
      <c r="A387" t="str">
        <f>"20190312150643608"</f>
        <v>20190312150643608</v>
      </c>
      <c r="B387" t="str">
        <f>"1552374403601127"</f>
        <v>1552374403601127</v>
      </c>
      <c r="C387" t="s">
        <v>40</v>
      </c>
      <c r="D387">
        <v>4.1174860000000004</v>
      </c>
      <c r="E387">
        <v>0.49849520000000003</v>
      </c>
      <c r="F387" t="s">
        <v>43</v>
      </c>
      <c r="G387">
        <v>-134.23490000000001</v>
      </c>
      <c r="H387">
        <v>-0.05</v>
      </c>
      <c r="I387">
        <v>366.7473</v>
      </c>
      <c r="J387">
        <v>-437.137</v>
      </c>
      <c r="K387">
        <v>1.0938219999999901</v>
      </c>
      <c r="L387">
        <v>367.13979999999998</v>
      </c>
      <c r="M387">
        <v>0.99981039999999999</v>
      </c>
      <c r="N387">
        <v>0</v>
      </c>
      <c r="O387">
        <v>6.0252959999999899E-3</v>
      </c>
      <c r="P387">
        <v>0.99979099999999999</v>
      </c>
      <c r="Q387">
        <v>1.9974189999999999E-2</v>
      </c>
      <c r="R387">
        <v>-4.3953000000000004E-3</v>
      </c>
      <c r="S387">
        <v>3.0008240000000002</v>
      </c>
      <c r="T387">
        <v>-1.1338000000000001E-2</v>
      </c>
      <c r="U387">
        <v>-3.8757319999999998E-3</v>
      </c>
      <c r="V387">
        <v>1.040669E-2</v>
      </c>
      <c r="W387">
        <v>3.8494439999999998E-2</v>
      </c>
      <c r="X387">
        <v>0.9992046</v>
      </c>
      <c r="Y387">
        <v>7.3177609999999999E-3</v>
      </c>
      <c r="Z387" s="1">
        <v>-3.6593339999999997E-5</v>
      </c>
      <c r="AA387">
        <v>0.99997320000000001</v>
      </c>
      <c r="AB387">
        <v>31</v>
      </c>
      <c r="AC387">
        <v>302.902099999999</v>
      </c>
      <c r="AD387">
        <v>-1.1438219999999999</v>
      </c>
      <c r="AE387">
        <v>-0.39249999999998397</v>
      </c>
      <c r="AF387">
        <v>2.21784901129005</v>
      </c>
      <c r="AG387">
        <v>-1.1438219999999999</v>
      </c>
      <c r="AH387">
        <v>302.88991529077998</v>
      </c>
      <c r="AI387">
        <v>90.216362782237496</v>
      </c>
      <c r="AJ387">
        <v>89.580470954801797</v>
      </c>
      <c r="AK387">
        <v>302.90019473064098</v>
      </c>
      <c r="AL387">
        <v>87.793885928650198</v>
      </c>
      <c r="AM387">
        <v>89.403287516874698</v>
      </c>
      <c r="AN387">
        <v>0.999999976884414</v>
      </c>
    </row>
    <row r="388" spans="1:40" x14ac:dyDescent="0.25">
      <c r="A388" t="str">
        <f>"20190312150643622"</f>
        <v>20190312150643622</v>
      </c>
      <c r="B388" t="str">
        <f>"1552374403610888"</f>
        <v>1552374403610888</v>
      </c>
      <c r="C388" t="s">
        <v>40</v>
      </c>
      <c r="D388">
        <v>4.3519139999999998</v>
      </c>
      <c r="E388">
        <v>0.49858780000000003</v>
      </c>
      <c r="F388" t="s">
        <v>49</v>
      </c>
      <c r="G388">
        <v>-180</v>
      </c>
      <c r="H388">
        <v>2.9460500000000001E-2</v>
      </c>
      <c r="I388">
        <v>366.9855</v>
      </c>
      <c r="J388">
        <v>-436.9402</v>
      </c>
      <c r="K388">
        <v>1.0922799999999999</v>
      </c>
      <c r="L388">
        <v>367.14109999999999</v>
      </c>
      <c r="M388">
        <v>0.99980760000000002</v>
      </c>
      <c r="N388">
        <v>0</v>
      </c>
      <c r="O388">
        <v>6.1284010000000003E-3</v>
      </c>
      <c r="P388">
        <v>0.99979499999999999</v>
      </c>
      <c r="Q388">
        <v>1.9777570000000001E-2</v>
      </c>
      <c r="R388">
        <v>-4.3570459999999998E-3</v>
      </c>
      <c r="S388">
        <v>3.0008539999999999</v>
      </c>
      <c r="T388">
        <v>-1.2421369999999999E-2</v>
      </c>
      <c r="U388">
        <v>-1.8005370000000001E-3</v>
      </c>
      <c r="V388">
        <v>1.047142E-2</v>
      </c>
      <c r="W388">
        <v>3.8405330000000001E-2</v>
      </c>
      <c r="X388">
        <v>0.99920739999999997</v>
      </c>
      <c r="Y388">
        <v>6.7293500000000003E-3</v>
      </c>
      <c r="Z388" s="1">
        <v>-3.9298599999999997E-5</v>
      </c>
      <c r="AA388">
        <v>0.99997740000000002</v>
      </c>
      <c r="AB388">
        <v>31</v>
      </c>
      <c r="AC388">
        <v>256.9402</v>
      </c>
      <c r="AD388">
        <v>-1.06281949999999</v>
      </c>
      <c r="AE388">
        <v>-0.15559999999999199</v>
      </c>
      <c r="AF388">
        <v>1.73047347879059</v>
      </c>
      <c r="AG388">
        <v>-1.06281949999999</v>
      </c>
      <c r="AH388">
        <v>256.930023423384</v>
      </c>
      <c r="AI388">
        <v>90.2370036108438</v>
      </c>
      <c r="AJ388">
        <v>89.614107660950495</v>
      </c>
      <c r="AK388">
        <v>256.938049070376</v>
      </c>
      <c r="AL388">
        <v>87.798995437934906</v>
      </c>
      <c r="AM388">
        <v>89.399577896251699</v>
      </c>
      <c r="AN388">
        <v>1.00000002411199</v>
      </c>
    </row>
    <row r="389" spans="1:40" x14ac:dyDescent="0.25">
      <c r="A389" t="str">
        <f>"20190312150643642"</f>
        <v>20190312150643642</v>
      </c>
      <c r="B389" t="str">
        <f>"1552374403631383"</f>
        <v>1552374403631383</v>
      </c>
      <c r="C389" t="s">
        <v>40</v>
      </c>
      <c r="D389">
        <v>4.1496769999999996</v>
      </c>
      <c r="E389">
        <v>0.49880249999999998</v>
      </c>
      <c r="F389" t="s">
        <v>47</v>
      </c>
      <c r="G389">
        <v>-158.19499999999999</v>
      </c>
      <c r="H389">
        <v>0.31793840000000001</v>
      </c>
      <c r="I389">
        <v>366.93979999999999</v>
      </c>
      <c r="J389">
        <v>-436.6746</v>
      </c>
      <c r="K389">
        <v>1.0900829999999999</v>
      </c>
      <c r="L389">
        <v>367.1429</v>
      </c>
      <c r="M389">
        <v>0.99980869999999999</v>
      </c>
      <c r="N389">
        <v>0</v>
      </c>
      <c r="O389">
        <v>6.2550669999999996E-3</v>
      </c>
      <c r="P389">
        <v>0.99978789999999995</v>
      </c>
      <c r="Q389">
        <v>2.005962E-2</v>
      </c>
      <c r="R389">
        <v>-4.6805420000000002E-3</v>
      </c>
      <c r="S389">
        <v>3.0007929999999998</v>
      </c>
      <c r="T389">
        <v>-8.3351139999999994E-3</v>
      </c>
      <c r="U389">
        <v>-2.166748E-3</v>
      </c>
      <c r="V389">
        <v>1.092097E-2</v>
      </c>
      <c r="W389">
        <v>3.8594499999999997E-2</v>
      </c>
      <c r="X389">
        <v>0.99919530000000001</v>
      </c>
      <c r="Y389">
        <v>6.9781330000000001E-3</v>
      </c>
      <c r="Z389" s="1">
        <v>-2.7068510000000001E-5</v>
      </c>
      <c r="AA389">
        <v>0.99997570000000002</v>
      </c>
      <c r="AB389">
        <v>31</v>
      </c>
      <c r="AC389">
        <v>278.4796</v>
      </c>
      <c r="AD389">
        <v>-0.77214459999999896</v>
      </c>
      <c r="AE389">
        <v>-0.203100000000006</v>
      </c>
      <c r="AF389">
        <v>1.9452888216883399</v>
      </c>
      <c r="AG389">
        <v>-0.77214459999999896</v>
      </c>
      <c r="AH389">
        <v>278.47073870759601</v>
      </c>
      <c r="AI389">
        <v>90.158865646647399</v>
      </c>
      <c r="AJ389">
        <v>89.599760366202901</v>
      </c>
      <c r="AK389">
        <v>278.47860361657399</v>
      </c>
      <c r="AL389">
        <v>87.788148756458199</v>
      </c>
      <c r="AM389">
        <v>89.373795518619403</v>
      </c>
      <c r="AN389">
        <v>1.00000002527904</v>
      </c>
    </row>
    <row r="390" spans="1:40" x14ac:dyDescent="0.25">
      <c r="A390" t="str">
        <f>"20190312150643655"</f>
        <v>20190312150643655</v>
      </c>
      <c r="B390" t="str">
        <f>"1552374403650905"</f>
        <v>1552374403650905</v>
      </c>
      <c r="C390" t="s">
        <v>40</v>
      </c>
      <c r="D390">
        <v>4.3273260000000002</v>
      </c>
      <c r="E390">
        <v>0.49906590000000001</v>
      </c>
      <c r="F390" t="s">
        <v>47</v>
      </c>
      <c r="G390">
        <v>-158.19499999999999</v>
      </c>
      <c r="H390">
        <v>1.0125299999999999</v>
      </c>
      <c r="I390">
        <v>366.68119999999999</v>
      </c>
      <c r="J390">
        <v>-436.48439999999999</v>
      </c>
      <c r="K390">
        <v>1.088454</v>
      </c>
      <c r="L390">
        <v>367.14420000000001</v>
      </c>
      <c r="M390">
        <v>0.99981030000000004</v>
      </c>
      <c r="N390">
        <v>0</v>
      </c>
      <c r="O390">
        <v>6.3462379999999997E-3</v>
      </c>
      <c r="P390">
        <v>0.99978529999999999</v>
      </c>
      <c r="Q390">
        <v>2.021336E-2</v>
      </c>
      <c r="R390">
        <v>-4.5664119999999997E-3</v>
      </c>
      <c r="S390">
        <v>3.0006409999999999</v>
      </c>
      <c r="T390">
        <v>-8.3470339999999895E-4</v>
      </c>
      <c r="U390">
        <v>-4.9743649999999997E-3</v>
      </c>
      <c r="V390">
        <v>1.08977E-2</v>
      </c>
      <c r="W390">
        <v>3.862881E-2</v>
      </c>
      <c r="X390">
        <v>0.99919420000000003</v>
      </c>
      <c r="Y390">
        <v>8.0050390000000003E-3</v>
      </c>
      <c r="Z390" s="1">
        <v>-2.879057E-6</v>
      </c>
      <c r="AA390">
        <v>0.99996790000000002</v>
      </c>
      <c r="AB390">
        <v>31</v>
      </c>
      <c r="AC390">
        <v>278.2894</v>
      </c>
      <c r="AD390">
        <v>-7.5924000000000103E-2</v>
      </c>
      <c r="AE390">
        <v>-0.46300000000002201</v>
      </c>
      <c r="AF390">
        <v>2.2293807798727898</v>
      </c>
      <c r="AG390">
        <v>-7.5924000000000103E-2</v>
      </c>
      <c r="AH390">
        <v>278.280834506784</v>
      </c>
      <c r="AI390">
        <v>90.015631637277593</v>
      </c>
      <c r="AJ390">
        <v>89.540998296653399</v>
      </c>
      <c r="AK390">
        <v>278.289774797615</v>
      </c>
      <c r="AL390">
        <v>87.786181408812794</v>
      </c>
      <c r="AM390">
        <v>89.375129018257894</v>
      </c>
      <c r="AN390">
        <v>0.99999999707047305</v>
      </c>
    </row>
    <row r="391" spans="1:40" x14ac:dyDescent="0.25">
      <c r="A391" t="str">
        <f>"20190312150643673"</f>
        <v>20190312150643673</v>
      </c>
      <c r="B391" t="str">
        <f>"1552374403660664"</f>
        <v>1552374403660664</v>
      </c>
      <c r="C391" t="s">
        <v>40</v>
      </c>
      <c r="D391">
        <v>4.1547499999999999</v>
      </c>
      <c r="E391">
        <v>0.4990386</v>
      </c>
      <c r="F391" t="s">
        <v>47</v>
      </c>
      <c r="G391">
        <v>-158.19499999999999</v>
      </c>
      <c r="H391">
        <v>1.394919</v>
      </c>
      <c r="I391">
        <v>366.51589999999999</v>
      </c>
      <c r="J391">
        <v>-436.24270000000001</v>
      </c>
      <c r="K391">
        <v>1.086355</v>
      </c>
      <c r="L391">
        <v>367.14580000000001</v>
      </c>
      <c r="M391">
        <v>0.99981310000000001</v>
      </c>
      <c r="N391">
        <v>0</v>
      </c>
      <c r="O391">
        <v>6.4672920000000004E-3</v>
      </c>
      <c r="P391">
        <v>0.9997779</v>
      </c>
      <c r="Q391">
        <v>2.0575570000000001E-2</v>
      </c>
      <c r="R391">
        <v>-4.6199479999999996E-3</v>
      </c>
      <c r="S391">
        <v>3.0005799999999998</v>
      </c>
      <c r="T391">
        <v>3.305316E-3</v>
      </c>
      <c r="U391">
        <v>-6.7749019999999898E-3</v>
      </c>
      <c r="V391">
        <v>1.1072220000000001E-2</v>
      </c>
      <c r="W391">
        <v>3.8795570000000001E-2</v>
      </c>
      <c r="X391">
        <v>0.99918580000000001</v>
      </c>
      <c r="Y391">
        <v>8.7261530000000004E-3</v>
      </c>
      <c r="Z391" s="1">
        <v>1.1931429999999999E-5</v>
      </c>
      <c r="AA391">
        <v>0.99996189999999996</v>
      </c>
      <c r="AB391">
        <v>31</v>
      </c>
      <c r="AC391">
        <v>278.04770000000002</v>
      </c>
      <c r="AD391">
        <v>0.308564</v>
      </c>
      <c r="AE391">
        <v>-0.62990000000002</v>
      </c>
      <c r="AF391">
        <v>2.4283980210407101</v>
      </c>
      <c r="AG391">
        <v>0.308564</v>
      </c>
      <c r="AH391">
        <v>278.03746637677898</v>
      </c>
      <c r="AI391">
        <v>89.936416003233006</v>
      </c>
      <c r="AJ391">
        <v>89.499587513916794</v>
      </c>
      <c r="AK391">
        <v>278.04824228523597</v>
      </c>
      <c r="AL391">
        <v>87.776619551564906</v>
      </c>
      <c r="AM391">
        <v>89.365117567444699</v>
      </c>
      <c r="AN391">
        <v>0.99999997661449602</v>
      </c>
    </row>
    <row r="392" spans="1:40" x14ac:dyDescent="0.25">
      <c r="A392" t="str">
        <f>"20190312150643686"</f>
        <v>20190312150643686</v>
      </c>
      <c r="B392" t="str">
        <f>"1552374403681159"</f>
        <v>1552374403681159</v>
      </c>
      <c r="C392" t="s">
        <v>40</v>
      </c>
      <c r="D392">
        <v>4.1453360000000004</v>
      </c>
      <c r="E392">
        <v>0.49867699999999998</v>
      </c>
      <c r="F392" t="s">
        <v>47</v>
      </c>
      <c r="G392">
        <v>-158.19499999999999</v>
      </c>
      <c r="H392">
        <v>1.6850540000000001</v>
      </c>
      <c r="I392">
        <v>366.51519999999999</v>
      </c>
      <c r="J392">
        <v>-436.0736</v>
      </c>
      <c r="K392">
        <v>1.084873</v>
      </c>
      <c r="L392">
        <v>367.14699999999999</v>
      </c>
      <c r="M392">
        <v>0.99981549999999997</v>
      </c>
      <c r="N392">
        <v>0</v>
      </c>
      <c r="O392">
        <v>6.5561119999999898E-3</v>
      </c>
      <c r="P392">
        <v>0.99977499999999997</v>
      </c>
      <c r="Q392">
        <v>2.0648260000000002E-2</v>
      </c>
      <c r="R392">
        <v>-4.8853439999999998E-3</v>
      </c>
      <c r="S392">
        <v>3.0005190000000002</v>
      </c>
      <c r="T392">
        <v>6.4617399999999997E-3</v>
      </c>
      <c r="U392">
        <v>-6.8054200000000004E-3</v>
      </c>
      <c r="V392">
        <v>1.1426769999999999E-2</v>
      </c>
      <c r="W392">
        <v>3.8701230000000003E-2</v>
      </c>
      <c r="X392">
        <v>0.99918549999999995</v>
      </c>
      <c r="Y392">
        <v>8.8251559999999903E-3</v>
      </c>
      <c r="Z392" s="1">
        <v>2.362372E-5</v>
      </c>
      <c r="AA392">
        <v>0.99996110000000005</v>
      </c>
      <c r="AB392">
        <v>31</v>
      </c>
      <c r="AC392">
        <v>277.87860000000001</v>
      </c>
      <c r="AD392">
        <v>0.60018099999999996</v>
      </c>
      <c r="AE392">
        <v>-0.63179999999999803</v>
      </c>
      <c r="AF392">
        <v>2.4538752052679098</v>
      </c>
      <c r="AG392">
        <v>0.60018099999999996</v>
      </c>
      <c r="AH392">
        <v>277.86718693694701</v>
      </c>
      <c r="AI392">
        <v>89.876248634095504</v>
      </c>
      <c r="AJ392">
        <v>89.4940279222577</v>
      </c>
      <c r="AK392">
        <v>277.87867010083397</v>
      </c>
      <c r="AL392">
        <v>87.782028971695794</v>
      </c>
      <c r="AM392">
        <v>89.344789175761207</v>
      </c>
      <c r="AN392">
        <v>1.00000000984319</v>
      </c>
    </row>
    <row r="393" spans="1:40" x14ac:dyDescent="0.25">
      <c r="A393" t="str">
        <f>"20190312150643697"</f>
        <v>20190312150643697</v>
      </c>
      <c r="B393" t="str">
        <f>"1552374403690919"</f>
        <v>1552374403690919</v>
      </c>
      <c r="C393" t="s">
        <v>40</v>
      </c>
      <c r="D393">
        <v>4.1788059999999998</v>
      </c>
      <c r="E393">
        <v>0.49864940000000002</v>
      </c>
      <c r="F393" t="s">
        <v>47</v>
      </c>
      <c r="G393">
        <v>-158.19499999999999</v>
      </c>
      <c r="H393">
        <v>2.1532909999999998</v>
      </c>
      <c r="I393">
        <v>366.7287</v>
      </c>
      <c r="J393">
        <v>-435.89769999999999</v>
      </c>
      <c r="K393">
        <v>1.083331</v>
      </c>
      <c r="L393">
        <v>367.14830000000001</v>
      </c>
      <c r="M393">
        <v>0.99981929999999997</v>
      </c>
      <c r="N393">
        <v>0</v>
      </c>
      <c r="O393">
        <v>6.6545049999999998E-3</v>
      </c>
      <c r="P393">
        <v>0.99976710000000002</v>
      </c>
      <c r="Q393">
        <v>2.1081240000000001E-2</v>
      </c>
      <c r="R393">
        <v>-4.6541780000000001E-3</v>
      </c>
      <c r="S393">
        <v>3.0004270000000002</v>
      </c>
      <c r="T393">
        <v>1.153731E-2</v>
      </c>
      <c r="U393">
        <v>-4.5166019999999998E-3</v>
      </c>
      <c r="V393">
        <v>1.1294E-2</v>
      </c>
      <c r="W393">
        <v>3.8883719999999997E-2</v>
      </c>
      <c r="X393">
        <v>0.99917990000000001</v>
      </c>
      <c r="Y393">
        <v>8.1607290000000002E-3</v>
      </c>
      <c r="Z393" s="1">
        <v>4.1281749999999998E-5</v>
      </c>
      <c r="AA393">
        <v>0.99996669999999999</v>
      </c>
      <c r="AB393">
        <v>31</v>
      </c>
      <c r="AC393">
        <v>277.70269999999999</v>
      </c>
      <c r="AD393">
        <v>1.06995999999999</v>
      </c>
      <c r="AE393">
        <v>-0.41960000000000203</v>
      </c>
      <c r="AF393">
        <v>2.2678240988291498</v>
      </c>
      <c r="AG393">
        <v>1.06995999999999</v>
      </c>
      <c r="AH393">
        <v>277.68963438970098</v>
      </c>
      <c r="AI393">
        <v>89.779243309642794</v>
      </c>
      <c r="AJ393">
        <v>89.532089625199902</v>
      </c>
      <c r="AK393">
        <v>277.70095586445302</v>
      </c>
      <c r="AL393">
        <v>87.771565134142705</v>
      </c>
      <c r="AM393">
        <v>89.352397924217101</v>
      </c>
      <c r="AN393">
        <v>0.99999998534052403</v>
      </c>
    </row>
    <row r="394" spans="1:40" x14ac:dyDescent="0.25">
      <c r="A394" t="str">
        <f>"20190312150643710"</f>
        <v>20190312150643710</v>
      </c>
      <c r="B394" t="str">
        <f>"1552374403700680"</f>
        <v>1552374403700680</v>
      </c>
      <c r="C394" t="s">
        <v>40</v>
      </c>
      <c r="D394">
        <v>4.1385529999999999</v>
      </c>
      <c r="E394">
        <v>0.49861420000000001</v>
      </c>
      <c r="F394" t="s">
        <v>47</v>
      </c>
      <c r="G394">
        <v>-158.19499999999999</v>
      </c>
      <c r="H394">
        <v>2.2569370000000002</v>
      </c>
      <c r="I394">
        <v>366.80090000000001</v>
      </c>
      <c r="J394">
        <v>-435.73559999999998</v>
      </c>
      <c r="K394">
        <v>1.0819259999999999</v>
      </c>
      <c r="L394">
        <v>367.14940000000001</v>
      </c>
      <c r="M394">
        <v>0.99982349999999998</v>
      </c>
      <c r="N394">
        <v>0</v>
      </c>
      <c r="O394">
        <v>6.7462059999999898E-3</v>
      </c>
      <c r="P394">
        <v>0.99976100000000001</v>
      </c>
      <c r="Q394">
        <v>2.1344060000000002E-2</v>
      </c>
      <c r="R394">
        <v>-4.7550930000000002E-3</v>
      </c>
      <c r="S394">
        <v>3.0004270000000002</v>
      </c>
      <c r="T394">
        <v>1.2681130000000001E-2</v>
      </c>
      <c r="U394">
        <v>-3.7536620000000001E-3</v>
      </c>
      <c r="V394">
        <v>1.148682E-2</v>
      </c>
      <c r="W394">
        <v>3.8876569999999999E-2</v>
      </c>
      <c r="X394">
        <v>0.99917800000000001</v>
      </c>
      <c r="Y394">
        <v>7.9981189999999997E-3</v>
      </c>
      <c r="Z394" s="1">
        <v>4.5418260000000002E-5</v>
      </c>
      <c r="AA394">
        <v>0.99996799999999997</v>
      </c>
      <c r="AB394">
        <v>31</v>
      </c>
      <c r="AC394">
        <v>277.54059999999998</v>
      </c>
      <c r="AD394">
        <v>1.17501099999999</v>
      </c>
      <c r="AE394">
        <v>-0.34850000000000098</v>
      </c>
      <c r="AF394">
        <v>2.2210862176398001</v>
      </c>
      <c r="AG394">
        <v>1.17501099999999</v>
      </c>
      <c r="AH394">
        <v>277.52695661711999</v>
      </c>
      <c r="AI394">
        <v>89.757426760095399</v>
      </c>
      <c r="AJ394">
        <v>89.541463824358701</v>
      </c>
      <c r="AK394">
        <v>277.53833163005999</v>
      </c>
      <c r="AL394">
        <v>87.771975153245705</v>
      </c>
      <c r="AM394">
        <v>89.341341268662205</v>
      </c>
      <c r="AN394">
        <v>1.00000000520633</v>
      </c>
    </row>
    <row r="395" spans="1:40" x14ac:dyDescent="0.25">
      <c r="A395" t="str">
        <f>"20190312150643721"</f>
        <v>20190312150643721</v>
      </c>
      <c r="B395" t="str">
        <f>"1552374403711416"</f>
        <v>1552374403711416</v>
      </c>
      <c r="C395" t="s">
        <v>40</v>
      </c>
      <c r="D395">
        <v>4.5612409999999999</v>
      </c>
      <c r="E395">
        <v>0.49859059999999999</v>
      </c>
      <c r="F395" t="s">
        <v>47</v>
      </c>
      <c r="G395">
        <v>-158.19499999999999</v>
      </c>
      <c r="H395">
        <v>2.178531</v>
      </c>
      <c r="I395">
        <v>366.80790000000002</v>
      </c>
      <c r="J395">
        <v>-435.57380000000001</v>
      </c>
      <c r="K395">
        <v>1.080541</v>
      </c>
      <c r="L395">
        <v>367.1506</v>
      </c>
      <c r="M395">
        <v>0.99982819999999994</v>
      </c>
      <c r="N395">
        <v>0</v>
      </c>
      <c r="O395">
        <v>6.8386970000000004E-3</v>
      </c>
      <c r="P395">
        <v>0.9997547</v>
      </c>
      <c r="Q395">
        <v>2.1654380000000001E-2</v>
      </c>
      <c r="R395">
        <v>-4.6470979999999997E-3</v>
      </c>
      <c r="S395">
        <v>3.0004580000000001</v>
      </c>
      <c r="T395">
        <v>1.1856200000000001E-2</v>
      </c>
      <c r="U395">
        <v>-3.692627E-3</v>
      </c>
      <c r="V395">
        <v>1.1471479999999999E-2</v>
      </c>
      <c r="W395">
        <v>3.8877519999999999E-2</v>
      </c>
      <c r="X395">
        <v>0.99917809999999996</v>
      </c>
      <c r="Y395">
        <v>8.0702499999999993E-3</v>
      </c>
      <c r="Z395" s="1">
        <v>4.297121E-5</v>
      </c>
      <c r="AA395">
        <v>0.99996750000000001</v>
      </c>
      <c r="AB395">
        <v>31</v>
      </c>
      <c r="AC395">
        <v>277.37880000000001</v>
      </c>
      <c r="AD395">
        <v>1.09799</v>
      </c>
      <c r="AE395">
        <v>-0.34269999999997902</v>
      </c>
      <c r="AF395">
        <v>2.2398480210702099</v>
      </c>
      <c r="AG395">
        <v>1.09799</v>
      </c>
      <c r="AH395">
        <v>277.36562170925703</v>
      </c>
      <c r="AI395">
        <v>89.773195348409203</v>
      </c>
      <c r="AJ395">
        <v>89.537321719926197</v>
      </c>
      <c r="AK395">
        <v>277.37683862817499</v>
      </c>
      <c r="AL395">
        <v>87.771920593602502</v>
      </c>
      <c r="AM395">
        <v>89.342220858724104</v>
      </c>
      <c r="AN395">
        <v>0.999999965967174</v>
      </c>
    </row>
    <row r="396" spans="1:40" x14ac:dyDescent="0.25">
      <c r="A396" t="str">
        <f>"20190312150643734"</f>
        <v>20190312150643734</v>
      </c>
      <c r="B396" t="str">
        <f>"1552374403730936"</f>
        <v>1552374403730936</v>
      </c>
      <c r="C396" t="s">
        <v>40</v>
      </c>
      <c r="D396">
        <v>4.1470269999999996</v>
      </c>
      <c r="E396">
        <v>0.49855430000000001</v>
      </c>
      <c r="F396" t="s">
        <v>47</v>
      </c>
      <c r="G396">
        <v>-158.19499999999999</v>
      </c>
      <c r="H396">
        <v>2.3595670000000002</v>
      </c>
      <c r="I396">
        <v>366.84870000000001</v>
      </c>
      <c r="J396">
        <v>-435.40499999999997</v>
      </c>
      <c r="K396">
        <v>1.0791459999999999</v>
      </c>
      <c r="L396">
        <v>367.15179999999998</v>
      </c>
      <c r="M396">
        <v>0.99983390000000005</v>
      </c>
      <c r="N396">
        <v>0</v>
      </c>
      <c r="O396">
        <v>6.9343269999999997E-3</v>
      </c>
      <c r="P396">
        <v>0.99974580000000002</v>
      </c>
      <c r="Q396">
        <v>2.2078219999999999E-2</v>
      </c>
      <c r="R396">
        <v>-4.580438E-3</v>
      </c>
      <c r="S396">
        <v>3.0004270000000002</v>
      </c>
      <c r="T396">
        <v>1.383626E-2</v>
      </c>
      <c r="U396">
        <v>-3.2653809999999999E-3</v>
      </c>
      <c r="V396">
        <v>1.150058E-2</v>
      </c>
      <c r="W396">
        <v>3.8933280000000001E-2</v>
      </c>
      <c r="X396">
        <v>0.99917560000000005</v>
      </c>
      <c r="Y396">
        <v>8.0234290000000003E-3</v>
      </c>
      <c r="Z396" s="1">
        <v>5.0481020000000001E-5</v>
      </c>
      <c r="AA396">
        <v>0.99996779999999996</v>
      </c>
      <c r="AB396">
        <v>31</v>
      </c>
      <c r="AC396">
        <v>277.20999999999998</v>
      </c>
      <c r="AD396">
        <v>1.28042099999999</v>
      </c>
      <c r="AE396">
        <v>-0.303099999999972</v>
      </c>
      <c r="AF396">
        <v>2.2255831199265699</v>
      </c>
      <c r="AG396">
        <v>1.28042099999999</v>
      </c>
      <c r="AH396">
        <v>277.19531723757899</v>
      </c>
      <c r="AI396">
        <v>89.7353496667901</v>
      </c>
      <c r="AJ396">
        <v>89.539985808425996</v>
      </c>
      <c r="AK396">
        <v>277.20720877459701</v>
      </c>
      <c r="AL396">
        <v>87.768723372846594</v>
      </c>
      <c r="AM396">
        <v>89.340550750700004</v>
      </c>
      <c r="AN396">
        <v>0.99999997163362697</v>
      </c>
    </row>
    <row r="397" spans="1:40" x14ac:dyDescent="0.25">
      <c r="A397" t="str">
        <f>"20190312150643752"</f>
        <v>20190312150643752</v>
      </c>
      <c r="B397" t="str">
        <f>"1552374403740695"</f>
        <v>1552374403740695</v>
      </c>
      <c r="C397" t="s">
        <v>40</v>
      </c>
      <c r="D397">
        <v>4.3500110000000003</v>
      </c>
      <c r="E397">
        <v>0.4985444</v>
      </c>
      <c r="F397" t="s">
        <v>47</v>
      </c>
      <c r="G397">
        <v>-158.19499999999999</v>
      </c>
      <c r="H397">
        <v>2.679106</v>
      </c>
      <c r="I397">
        <v>366.90929999999997</v>
      </c>
      <c r="J397">
        <v>-435.15809999999999</v>
      </c>
      <c r="K397">
        <v>1.077183</v>
      </c>
      <c r="L397">
        <v>367.15370000000001</v>
      </c>
      <c r="M397">
        <v>0.99984240000000002</v>
      </c>
      <c r="N397">
        <v>0</v>
      </c>
      <c r="O397">
        <v>7.071824E-3</v>
      </c>
      <c r="P397">
        <v>0.99973509999999999</v>
      </c>
      <c r="Q397">
        <v>2.2593209999999999E-2</v>
      </c>
      <c r="R397">
        <v>-4.4354160000000002E-3</v>
      </c>
      <c r="S397">
        <v>3.0003660000000001</v>
      </c>
      <c r="T397">
        <v>1.7318009999999998E-2</v>
      </c>
      <c r="U397">
        <v>-2.6245119999999999E-3</v>
      </c>
      <c r="V397">
        <v>1.1492830000000001E-2</v>
      </c>
      <c r="W397">
        <v>3.8877050000000003E-2</v>
      </c>
      <c r="X397">
        <v>0.99917789999999995</v>
      </c>
      <c r="Y397">
        <v>7.9472180000000007E-3</v>
      </c>
      <c r="Z397" s="1">
        <v>6.3758509999999895E-5</v>
      </c>
      <c r="AA397">
        <v>0.99996839999999998</v>
      </c>
      <c r="AB397">
        <v>31</v>
      </c>
      <c r="AC397">
        <v>276.9631</v>
      </c>
      <c r="AD397">
        <v>1.601923</v>
      </c>
      <c r="AE397">
        <v>-0.244400000000041</v>
      </c>
      <c r="AF397">
        <v>2.20321421164437</v>
      </c>
      <c r="AG397">
        <v>1.601923</v>
      </c>
      <c r="AH397">
        <v>276.94517920165998</v>
      </c>
      <c r="AI397">
        <v>89.668600480857904</v>
      </c>
      <c r="AJ397">
        <v>89.544197833386306</v>
      </c>
      <c r="AK397">
        <v>276.95857559064598</v>
      </c>
      <c r="AL397">
        <v>87.771947603261907</v>
      </c>
      <c r="AM397">
        <v>89.340996617357703</v>
      </c>
      <c r="AN397">
        <v>0.99999999300326003</v>
      </c>
    </row>
    <row r="398" spans="1:40" x14ac:dyDescent="0.25">
      <c r="A398" t="str">
        <f>"20190312150643765"</f>
        <v>20190312150643765</v>
      </c>
      <c r="B398" t="str">
        <f>"1552374403761193"</f>
        <v>1552374403761193</v>
      </c>
      <c r="C398" t="s">
        <v>40</v>
      </c>
      <c r="D398">
        <v>4.1752099999999999</v>
      </c>
      <c r="E398">
        <v>0.49847639999999999</v>
      </c>
      <c r="F398" t="s">
        <v>47</v>
      </c>
      <c r="G398">
        <v>-158.19499999999999</v>
      </c>
      <c r="H398">
        <v>2.9121610000000002</v>
      </c>
      <c r="I398">
        <v>366.95359999999999</v>
      </c>
      <c r="J398">
        <v>-434.99040000000002</v>
      </c>
      <c r="K398">
        <v>1.0758970000000001</v>
      </c>
      <c r="L398">
        <v>367.1549</v>
      </c>
      <c r="M398">
        <v>0.99984819999999996</v>
      </c>
      <c r="N398">
        <v>0</v>
      </c>
      <c r="O398">
        <v>7.1636929999999996E-3</v>
      </c>
      <c r="P398">
        <v>0.99972640000000002</v>
      </c>
      <c r="Q398">
        <v>2.2953020000000001E-2</v>
      </c>
      <c r="R398">
        <v>-4.5314830000000002E-3</v>
      </c>
      <c r="S398">
        <v>3.0003359999999999</v>
      </c>
      <c r="T398">
        <v>1.987922E-2</v>
      </c>
      <c r="U398">
        <v>-2.166748E-3</v>
      </c>
      <c r="V398">
        <v>1.1680670000000001E-2</v>
      </c>
      <c r="W398">
        <v>3.8835599999999998E-2</v>
      </c>
      <c r="X398">
        <v>0.99917730000000005</v>
      </c>
      <c r="Y398">
        <v>7.8864139999999996E-3</v>
      </c>
      <c r="Z398" s="1">
        <v>7.3595509999999998E-5</v>
      </c>
      <c r="AA398">
        <v>0.99996890000000005</v>
      </c>
      <c r="AB398">
        <v>31</v>
      </c>
      <c r="AC398">
        <v>276.79539999999997</v>
      </c>
      <c r="AD398">
        <v>1.8362639999999999</v>
      </c>
      <c r="AE398">
        <v>-0.201300000000003</v>
      </c>
      <c r="AF398">
        <v>2.1843261165527998</v>
      </c>
      <c r="AG398">
        <v>1.8362639999999999</v>
      </c>
      <c r="AH398">
        <v>276.77467264269899</v>
      </c>
      <c r="AI398">
        <v>89.619888061151201</v>
      </c>
      <c r="AJ398">
        <v>89.547826872704604</v>
      </c>
      <c r="AK398">
        <v>276.78938303796002</v>
      </c>
      <c r="AL398">
        <v>87.774324233285498</v>
      </c>
      <c r="AM398">
        <v>89.330226369188395</v>
      </c>
      <c r="AN398">
        <v>0.99999995935714803</v>
      </c>
    </row>
    <row r="399" spans="1:40" x14ac:dyDescent="0.25">
      <c r="A399" t="str">
        <f>"20190312150643777"</f>
        <v>20190312150643777</v>
      </c>
      <c r="B399" t="str">
        <f>"1552374403770953"</f>
        <v>1552374403770953</v>
      </c>
      <c r="C399" t="s">
        <v>40</v>
      </c>
      <c r="D399">
        <v>4.228275</v>
      </c>
      <c r="E399">
        <v>0.49849690000000002</v>
      </c>
      <c r="F399" t="s">
        <v>47</v>
      </c>
      <c r="G399">
        <v>-158.19499999999999</v>
      </c>
      <c r="H399">
        <v>2.8494570000000001</v>
      </c>
      <c r="I399">
        <v>366.97199999999998</v>
      </c>
      <c r="J399">
        <v>-434.80470000000003</v>
      </c>
      <c r="K399">
        <v>1.074587</v>
      </c>
      <c r="L399">
        <v>367.15640000000002</v>
      </c>
      <c r="M399">
        <v>0.99985449999999998</v>
      </c>
      <c r="N399">
        <v>0</v>
      </c>
      <c r="O399">
        <v>7.2638619999999899E-3</v>
      </c>
      <c r="P399">
        <v>0.99971489999999996</v>
      </c>
      <c r="Q399">
        <v>2.3450499999999999E-2</v>
      </c>
      <c r="R399">
        <v>-4.5084519999999996E-3</v>
      </c>
      <c r="S399">
        <v>3.0003660000000001</v>
      </c>
      <c r="T399">
        <v>1.9225720000000002E-2</v>
      </c>
      <c r="U399">
        <v>-1.9836430000000002E-3</v>
      </c>
      <c r="V399">
        <v>1.175789E-2</v>
      </c>
      <c r="W399">
        <v>3.8886579999999997E-2</v>
      </c>
      <c r="X399">
        <v>0.99917449999999997</v>
      </c>
      <c r="Y399">
        <v>7.9255300000000001E-3</v>
      </c>
      <c r="Z399" s="1">
        <v>7.1942399999999997E-5</v>
      </c>
      <c r="AA399">
        <v>0.99996859999999999</v>
      </c>
      <c r="AB399">
        <v>31</v>
      </c>
      <c r="AC399">
        <v>276.60969999999998</v>
      </c>
      <c r="AD399">
        <v>1.7748699999999999</v>
      </c>
      <c r="AE399">
        <v>-0.184400000000039</v>
      </c>
      <c r="AF399">
        <v>2.19379886055146</v>
      </c>
      <c r="AG399">
        <v>1.7748699999999999</v>
      </c>
      <c r="AH399">
        <v>276.58967342626198</v>
      </c>
      <c r="AI399">
        <v>89.632350822543003</v>
      </c>
      <c r="AJ399">
        <v>89.545562281817496</v>
      </c>
      <c r="AK399">
        <v>276.60406787139601</v>
      </c>
      <c r="AL399">
        <v>87.771401283374104</v>
      </c>
      <c r="AM399">
        <v>89.325797066083396</v>
      </c>
      <c r="AN399">
        <v>1.00000004776579</v>
      </c>
    </row>
    <row r="400" spans="1:40" x14ac:dyDescent="0.25">
      <c r="A400" t="str">
        <f>"20190312150643797"</f>
        <v>20190312150643797</v>
      </c>
      <c r="B400" t="str">
        <f>"1552374403791447"</f>
        <v>1552374403791447</v>
      </c>
      <c r="C400" t="s">
        <v>40</v>
      </c>
      <c r="D400">
        <v>4.3506159999999996</v>
      </c>
      <c r="E400">
        <v>0.49858960000000002</v>
      </c>
      <c r="F400" t="s">
        <v>47</v>
      </c>
      <c r="G400">
        <v>-158.19499999999999</v>
      </c>
      <c r="H400">
        <v>2.932604</v>
      </c>
      <c r="I400">
        <v>366.97629999999998</v>
      </c>
      <c r="J400">
        <v>-434.53930000000003</v>
      </c>
      <c r="K400">
        <v>1.072824</v>
      </c>
      <c r="L400">
        <v>367.15839999999997</v>
      </c>
      <c r="M400">
        <v>0.99986299999999995</v>
      </c>
      <c r="N400">
        <v>0</v>
      </c>
      <c r="O400">
        <v>7.4064209999999998E-3</v>
      </c>
      <c r="P400">
        <v>0.99969969999999997</v>
      </c>
      <c r="Q400">
        <v>2.410207E-2</v>
      </c>
      <c r="R400">
        <v>-4.4226350000000003E-3</v>
      </c>
      <c r="S400">
        <v>3.0003660000000001</v>
      </c>
      <c r="T400">
        <v>2.0154709999999999E-2</v>
      </c>
      <c r="U400">
        <v>-1.953125E-3</v>
      </c>
      <c r="V400">
        <v>1.181452E-2</v>
      </c>
      <c r="W400">
        <v>3.8913259999999998E-2</v>
      </c>
      <c r="X400">
        <v>0.99917270000000002</v>
      </c>
      <c r="Y400">
        <v>8.057827E-3</v>
      </c>
      <c r="Z400" s="1">
        <v>7.68202E-5</v>
      </c>
      <c r="AA400">
        <v>0.99996750000000001</v>
      </c>
      <c r="AB400">
        <v>31</v>
      </c>
      <c r="AC400">
        <v>276.34429999999998</v>
      </c>
      <c r="AD400">
        <v>1.85978</v>
      </c>
      <c r="AE400">
        <v>-0.18209999999999099</v>
      </c>
      <c r="AF400">
        <v>2.22894055980567</v>
      </c>
      <c r="AG400">
        <v>1.85978</v>
      </c>
      <c r="AH400">
        <v>276.32285470717301</v>
      </c>
      <c r="AI400">
        <v>89.614391398755501</v>
      </c>
      <c r="AJ400">
        <v>89.537837298288693</v>
      </c>
      <c r="AK400">
        <v>276.33810267711698</v>
      </c>
      <c r="AL400">
        <v>87.769871266180104</v>
      </c>
      <c r="AM400">
        <v>89.322548956891097</v>
      </c>
      <c r="AN400">
        <v>0.99999995455597301</v>
      </c>
    </row>
    <row r="401" spans="1:40" x14ac:dyDescent="0.25">
      <c r="A401" t="str">
        <f>"20190312150643809"</f>
        <v>20190312150643809</v>
      </c>
      <c r="B401" t="str">
        <f>"1552374403801208"</f>
        <v>1552374403801208</v>
      </c>
      <c r="C401" t="s">
        <v>40</v>
      </c>
      <c r="D401">
        <v>4.1949079999999999</v>
      </c>
      <c r="E401">
        <v>0.49858089999999999</v>
      </c>
      <c r="F401" t="s">
        <v>47</v>
      </c>
      <c r="G401">
        <v>-158.19499999999999</v>
      </c>
      <c r="H401">
        <v>3.079126</v>
      </c>
      <c r="I401">
        <v>366.92790000000002</v>
      </c>
      <c r="J401">
        <v>-434.3775</v>
      </c>
      <c r="K401">
        <v>1.0718259999999999</v>
      </c>
      <c r="L401">
        <v>367.15969999999999</v>
      </c>
      <c r="M401">
        <v>0.99986759999999997</v>
      </c>
      <c r="N401">
        <v>0</v>
      </c>
      <c r="O401">
        <v>7.4935239999999997E-3</v>
      </c>
      <c r="P401">
        <v>0.99969200000000003</v>
      </c>
      <c r="Q401">
        <v>2.4393390000000001E-2</v>
      </c>
      <c r="R401">
        <v>-4.5944940000000002E-3</v>
      </c>
      <c r="S401">
        <v>3.0003660000000001</v>
      </c>
      <c r="T401">
        <v>2.1784069999999999E-2</v>
      </c>
      <c r="U401">
        <v>-2.5024410000000002E-3</v>
      </c>
      <c r="V401">
        <v>1.2073189999999999E-2</v>
      </c>
      <c r="W401">
        <v>3.8835120000000001E-2</v>
      </c>
      <c r="X401">
        <v>0.99917270000000002</v>
      </c>
      <c r="Y401">
        <v>8.3279080000000002E-3</v>
      </c>
      <c r="Z401" s="1">
        <v>8.4642960000000007E-5</v>
      </c>
      <c r="AA401">
        <v>0.99996529999999995</v>
      </c>
      <c r="AB401">
        <v>31</v>
      </c>
      <c r="AC401">
        <v>276.1825</v>
      </c>
      <c r="AD401">
        <v>2.0072999999999999</v>
      </c>
      <c r="AE401">
        <v>-0.23179999999996401</v>
      </c>
      <c r="AF401">
        <v>2.3014680312227802</v>
      </c>
      <c r="AG401">
        <v>2.0072999999999999</v>
      </c>
      <c r="AH401">
        <v>276.15841905379398</v>
      </c>
      <c r="AI401">
        <v>89.583558597512294</v>
      </c>
      <c r="AJ401">
        <v>89.522515545087103</v>
      </c>
      <c r="AK401">
        <v>276.175303788517</v>
      </c>
      <c r="AL401">
        <v>87.774351860874205</v>
      </c>
      <c r="AM401">
        <v>89.307718105580705</v>
      </c>
      <c r="AN401">
        <v>1.00000000644374</v>
      </c>
    </row>
    <row r="402" spans="1:40" x14ac:dyDescent="0.25">
      <c r="A402" t="str">
        <f>"20190312150643822"</f>
        <v>20190312150643822</v>
      </c>
      <c r="B402" t="str">
        <f>"1552374403810968"</f>
        <v>1552374403810968</v>
      </c>
      <c r="C402" t="s">
        <v>40</v>
      </c>
      <c r="D402">
        <v>4.1918579999999999</v>
      </c>
      <c r="E402">
        <v>0.49857600000000002</v>
      </c>
      <c r="F402" t="s">
        <v>47</v>
      </c>
      <c r="G402">
        <v>-158.19499999999999</v>
      </c>
      <c r="H402">
        <v>3.1112869999999999</v>
      </c>
      <c r="I402">
        <v>366.90129999999999</v>
      </c>
      <c r="J402">
        <v>-434.18799999999999</v>
      </c>
      <c r="K402">
        <v>1.070732</v>
      </c>
      <c r="L402">
        <v>367.16120000000001</v>
      </c>
      <c r="M402">
        <v>0.99987289999999995</v>
      </c>
      <c r="N402">
        <v>0</v>
      </c>
      <c r="O402">
        <v>7.5960239999999998E-3</v>
      </c>
      <c r="P402">
        <v>0.99967819999999996</v>
      </c>
      <c r="Q402">
        <v>2.493035E-2</v>
      </c>
      <c r="R402">
        <v>-4.7509220000000003E-3</v>
      </c>
      <c r="S402">
        <v>3.0003359999999999</v>
      </c>
      <c r="T402">
        <v>2.2156829999999999E-2</v>
      </c>
      <c r="U402">
        <v>-2.8076170000000001E-3</v>
      </c>
      <c r="V402">
        <v>1.233189E-2</v>
      </c>
      <c r="W402">
        <v>3.8954719999999998E-2</v>
      </c>
      <c r="X402">
        <v>0.99916490000000002</v>
      </c>
      <c r="Y402">
        <v>8.5320680000000003E-3</v>
      </c>
      <c r="Z402" s="1">
        <v>8.760269E-5</v>
      </c>
      <c r="AA402">
        <v>0.99996359999999995</v>
      </c>
      <c r="AB402">
        <v>31</v>
      </c>
      <c r="AC402">
        <v>275.99299999999999</v>
      </c>
      <c r="AD402">
        <v>2.0405549999999999</v>
      </c>
      <c r="AE402">
        <v>-0.25990000000001601</v>
      </c>
      <c r="AF402">
        <v>2.3564191313057199</v>
      </c>
      <c r="AG402">
        <v>2.0405549999999999</v>
      </c>
      <c r="AH402">
        <v>275.96797611183098</v>
      </c>
      <c r="AI402">
        <v>89.576368248715596</v>
      </c>
      <c r="AJ402">
        <v>89.510778055606195</v>
      </c>
      <c r="AK402">
        <v>275.98558008542801</v>
      </c>
      <c r="AL402">
        <v>87.767494130214203</v>
      </c>
      <c r="AM402">
        <v>89.292880107466601</v>
      </c>
      <c r="AN402">
        <v>1.00000002155663</v>
      </c>
    </row>
    <row r="403" spans="1:40" x14ac:dyDescent="0.25">
      <c r="A403" t="str">
        <f>"20190312150643836"</f>
        <v>20190312150643836</v>
      </c>
      <c r="B403" t="str">
        <f>"1552374403831463"</f>
        <v>1552374403831463</v>
      </c>
      <c r="C403" t="s">
        <v>40</v>
      </c>
      <c r="D403">
        <v>4.2318309999999997</v>
      </c>
      <c r="E403">
        <v>0.49858160000000001</v>
      </c>
      <c r="F403" t="s">
        <v>47</v>
      </c>
      <c r="G403">
        <v>-158.19499999999999</v>
      </c>
      <c r="H403">
        <v>3.2065969999999999</v>
      </c>
      <c r="I403">
        <v>366.86930000000001</v>
      </c>
      <c r="J403">
        <v>-434.00580000000002</v>
      </c>
      <c r="K403">
        <v>1.06978</v>
      </c>
      <c r="L403">
        <v>367.16269999999997</v>
      </c>
      <c r="M403">
        <v>0.99987729999999997</v>
      </c>
      <c r="N403">
        <v>0</v>
      </c>
      <c r="O403">
        <v>7.6946580000000001E-3</v>
      </c>
      <c r="P403">
        <v>0.99967039999999996</v>
      </c>
      <c r="Q403">
        <v>2.5242440000000001E-2</v>
      </c>
      <c r="R403">
        <v>-4.7001229999999996E-3</v>
      </c>
      <c r="S403">
        <v>3.0003660000000001</v>
      </c>
      <c r="T403">
        <v>2.3220299999999999E-2</v>
      </c>
      <c r="U403">
        <v>-3.1738280000000001E-3</v>
      </c>
      <c r="V403">
        <v>1.237973E-2</v>
      </c>
      <c r="W403">
        <v>3.8888970000000002E-2</v>
      </c>
      <c r="X403">
        <v>0.99916680000000002</v>
      </c>
      <c r="Y403">
        <v>8.7526630000000008E-3</v>
      </c>
      <c r="Z403" s="1">
        <v>9.3423030000000005E-5</v>
      </c>
      <c r="AA403">
        <v>0.99996169999999995</v>
      </c>
      <c r="AB403">
        <v>31</v>
      </c>
      <c r="AC403">
        <v>275.81079999999997</v>
      </c>
      <c r="AD403">
        <v>2.1368170000000002</v>
      </c>
      <c r="AE403">
        <v>-0.29339999999996202</v>
      </c>
      <c r="AF403">
        <v>2.4157136815188101</v>
      </c>
      <c r="AG403">
        <v>2.1368170000000002</v>
      </c>
      <c r="AH403">
        <v>275.78382232455402</v>
      </c>
      <c r="AI403">
        <v>89.5560890831797</v>
      </c>
      <c r="AJ403">
        <v>89.498133510934395</v>
      </c>
      <c r="AK403">
        <v>275.80268003669499</v>
      </c>
      <c r="AL403">
        <v>87.771264029179804</v>
      </c>
      <c r="AM403">
        <v>89.290138555601899</v>
      </c>
      <c r="AN403">
        <v>0.999999951962385</v>
      </c>
    </row>
    <row r="404" spans="1:40" x14ac:dyDescent="0.25">
      <c r="A404" t="str">
        <f>"20190312150643854"</f>
        <v>20190312150643854</v>
      </c>
      <c r="B404" t="str">
        <f>"1552374403850983"</f>
        <v>1552374403850983</v>
      </c>
      <c r="C404" t="s">
        <v>40</v>
      </c>
      <c r="D404">
        <v>4.2441810000000002</v>
      </c>
      <c r="E404">
        <v>0.49859940000000003</v>
      </c>
      <c r="F404" t="s">
        <v>47</v>
      </c>
      <c r="G404">
        <v>-158.19499999999999</v>
      </c>
      <c r="H404">
        <v>3.155691</v>
      </c>
      <c r="I404">
        <v>366.87099999999998</v>
      </c>
      <c r="J404">
        <v>-433.74549999999999</v>
      </c>
      <c r="K404">
        <v>1.0685209999999901</v>
      </c>
      <c r="L404">
        <v>367.16489999999999</v>
      </c>
      <c r="M404">
        <v>0.99988299999999997</v>
      </c>
      <c r="N404">
        <v>0</v>
      </c>
      <c r="O404">
        <v>7.8360369999999901E-3</v>
      </c>
      <c r="P404">
        <v>0.99965689999999996</v>
      </c>
      <c r="Q404">
        <v>2.5730260000000001E-2</v>
      </c>
      <c r="R404">
        <v>-4.9206019999999996E-3</v>
      </c>
      <c r="S404">
        <v>3.000397</v>
      </c>
      <c r="T404">
        <v>2.2692440000000001E-2</v>
      </c>
      <c r="U404">
        <v>-3.1738280000000001E-3</v>
      </c>
      <c r="V404">
        <v>1.2741529999999999E-2</v>
      </c>
      <c r="W404">
        <v>3.8866570000000003E-2</v>
      </c>
      <c r="X404">
        <v>0.99916320000000003</v>
      </c>
      <c r="Y404">
        <v>8.8939999999999905E-3</v>
      </c>
      <c r="Z404" s="1">
        <v>9.2901779999999997E-5</v>
      </c>
      <c r="AA404">
        <v>0.99996039999999997</v>
      </c>
      <c r="AB404">
        <v>31</v>
      </c>
      <c r="AC404">
        <v>275.5505</v>
      </c>
      <c r="AD404">
        <v>2.08717</v>
      </c>
      <c r="AE404">
        <v>-0.29390000000000699</v>
      </c>
      <c r="AF404">
        <v>2.4531604881867199</v>
      </c>
      <c r="AG404">
        <v>2.08717</v>
      </c>
      <c r="AH404">
        <v>275.52392749743399</v>
      </c>
      <c r="AI404">
        <v>89.565994117781997</v>
      </c>
      <c r="AJ404">
        <v>89.489873602868101</v>
      </c>
      <c r="AK404">
        <v>275.54275330445699</v>
      </c>
      <c r="AL404">
        <v>87.772548596404206</v>
      </c>
      <c r="AM404">
        <v>89.269392302558003</v>
      </c>
      <c r="AN404">
        <v>1.0000000285422701</v>
      </c>
    </row>
    <row r="405" spans="1:40" x14ac:dyDescent="0.25">
      <c r="A405" t="str">
        <f>"20190312150643874"</f>
        <v>20190312150643874</v>
      </c>
      <c r="B405" t="str">
        <f>"1552374403871480"</f>
        <v>1552374403871480</v>
      </c>
      <c r="C405" t="s">
        <v>40</v>
      </c>
      <c r="D405">
        <v>4.2181430000000004</v>
      </c>
      <c r="E405">
        <v>0.49867109999999898</v>
      </c>
      <c r="F405" t="s">
        <v>47</v>
      </c>
      <c r="G405">
        <v>-158.19499999999999</v>
      </c>
      <c r="H405">
        <v>3.1687430000000001</v>
      </c>
      <c r="I405">
        <v>366.80329999999998</v>
      </c>
      <c r="J405">
        <v>-433.46190000000001</v>
      </c>
      <c r="K405">
        <v>1.06731</v>
      </c>
      <c r="L405">
        <v>367.16719999999998</v>
      </c>
      <c r="M405">
        <v>0.99988840000000001</v>
      </c>
      <c r="N405">
        <v>0</v>
      </c>
      <c r="O405">
        <v>7.9898599999999997E-3</v>
      </c>
      <c r="P405">
        <v>0.99963369999999996</v>
      </c>
      <c r="Q405">
        <v>2.6589160000000001E-2</v>
      </c>
      <c r="R405">
        <v>-5.0704160000000003E-3</v>
      </c>
      <c r="S405">
        <v>3.0004270000000002</v>
      </c>
      <c r="T405">
        <v>2.2869939999999998E-2</v>
      </c>
      <c r="U405">
        <v>-3.9367680000000002E-3</v>
      </c>
      <c r="V405">
        <v>1.3045009999999999E-2</v>
      </c>
      <c r="W405">
        <v>3.9215819999999998E-2</v>
      </c>
      <c r="X405">
        <v>0.99914559999999997</v>
      </c>
      <c r="Y405">
        <v>9.3020150000000003E-3</v>
      </c>
      <c r="Z405" s="1">
        <v>9.6354609999999995E-5</v>
      </c>
      <c r="AA405">
        <v>0.99995670000000003</v>
      </c>
      <c r="AB405">
        <v>31</v>
      </c>
      <c r="AC405">
        <v>275.26690000000002</v>
      </c>
      <c r="AD405">
        <v>2.1014330000000001</v>
      </c>
      <c r="AE405">
        <v>-0.363900000000001</v>
      </c>
      <c r="AF405">
        <v>2.5632582419702299</v>
      </c>
      <c r="AG405">
        <v>2.1014330000000001</v>
      </c>
      <c r="AH405">
        <v>275.239163450153</v>
      </c>
      <c r="AI405">
        <v>89.562577940231094</v>
      </c>
      <c r="AJ405">
        <v>89.466429007914499</v>
      </c>
      <c r="AK405">
        <v>275.25912048505899</v>
      </c>
      <c r="AL405">
        <v>87.752522694740804</v>
      </c>
      <c r="AM405">
        <v>89.251979339590605</v>
      </c>
      <c r="AN405">
        <v>0.99999999141176599</v>
      </c>
    </row>
    <row r="406" spans="1:40" x14ac:dyDescent="0.25">
      <c r="A406" t="str">
        <f>"20190312150643887"</f>
        <v>20190312150643887</v>
      </c>
      <c r="B406" t="str">
        <f>"1552374403881240"</f>
        <v>1552374403881240</v>
      </c>
      <c r="C406" t="s">
        <v>40</v>
      </c>
      <c r="D406">
        <v>4.6146339999999997</v>
      </c>
      <c r="E406">
        <v>0.49874249999999998</v>
      </c>
      <c r="F406" t="s">
        <v>47</v>
      </c>
      <c r="G406">
        <v>-158.19499999999999</v>
      </c>
      <c r="H406">
        <v>3.281517</v>
      </c>
      <c r="I406">
        <v>366.70249999999999</v>
      </c>
      <c r="J406">
        <v>-433.29849999999999</v>
      </c>
      <c r="K406">
        <v>1.06667</v>
      </c>
      <c r="L406">
        <v>367.16860000000003</v>
      </c>
      <c r="M406">
        <v>0.99989119999999998</v>
      </c>
      <c r="N406">
        <v>0</v>
      </c>
      <c r="O406">
        <v>8.0781450000000001E-3</v>
      </c>
      <c r="P406">
        <v>0.99962569999999995</v>
      </c>
      <c r="Q406">
        <v>2.687676E-2</v>
      </c>
      <c r="R406">
        <v>-5.158307E-3</v>
      </c>
      <c r="S406">
        <v>3.0004270000000002</v>
      </c>
      <c r="T406">
        <v>2.413595E-2</v>
      </c>
      <c r="U406">
        <v>-5.065918E-3</v>
      </c>
      <c r="V406">
        <v>1.322104E-2</v>
      </c>
      <c r="W406">
        <v>3.9227739999999997E-2</v>
      </c>
      <c r="X406">
        <v>0.9991428</v>
      </c>
      <c r="Y406">
        <v>9.7665140000000004E-3</v>
      </c>
      <c r="Z406">
        <v>1.042665E-4</v>
      </c>
      <c r="AA406">
        <v>0.99995230000000002</v>
      </c>
      <c r="AB406">
        <v>31</v>
      </c>
      <c r="AC406">
        <v>275.1035</v>
      </c>
      <c r="AD406">
        <v>2.2148469999999998</v>
      </c>
      <c r="AE406">
        <v>-0.46610000000003898</v>
      </c>
      <c r="AF406">
        <v>2.68840578073209</v>
      </c>
      <c r="AG406">
        <v>2.2148469999999998</v>
      </c>
      <c r="AH406">
        <v>275.072927230522</v>
      </c>
      <c r="AI406">
        <v>89.538694758749401</v>
      </c>
      <c r="AJ406">
        <v>89.440041583741802</v>
      </c>
      <c r="AK406">
        <v>275.09498063040598</v>
      </c>
      <c r="AL406">
        <v>87.751839162013397</v>
      </c>
      <c r="AM406">
        <v>89.241884558325495</v>
      </c>
      <c r="AN406">
        <v>0.99999997313801403</v>
      </c>
    </row>
    <row r="407" spans="1:40" x14ac:dyDescent="0.25">
      <c r="A407" t="str">
        <f>"20190312150643897"</f>
        <v>20190312150643897</v>
      </c>
      <c r="B407" t="str">
        <f>"1552374403891000"</f>
        <v>1552374403891000</v>
      </c>
      <c r="C407" t="s">
        <v>40</v>
      </c>
      <c r="D407">
        <v>4.2496939999999999</v>
      </c>
      <c r="E407">
        <v>0.4988108</v>
      </c>
      <c r="F407" t="s">
        <v>47</v>
      </c>
      <c r="G407">
        <v>-158.19499999999999</v>
      </c>
      <c r="H407">
        <v>3.400109</v>
      </c>
      <c r="I407">
        <v>366.63709999999998</v>
      </c>
      <c r="J407">
        <v>-433.12799999999999</v>
      </c>
      <c r="K407">
        <v>1.066065</v>
      </c>
      <c r="L407">
        <v>367.17</v>
      </c>
      <c r="M407">
        <v>0.99989349999999999</v>
      </c>
      <c r="N407">
        <v>0</v>
      </c>
      <c r="O407">
        <v>8.1709090000000005E-3</v>
      </c>
      <c r="P407">
        <v>0.99961599999999995</v>
      </c>
      <c r="Q407">
        <v>2.7260090000000001E-2</v>
      </c>
      <c r="R407">
        <v>-4.987712E-3</v>
      </c>
      <c r="S407">
        <v>3.0004580000000001</v>
      </c>
      <c r="T407">
        <v>2.5450939999999998E-2</v>
      </c>
      <c r="U407">
        <v>-5.7983399999999999E-3</v>
      </c>
      <c r="V407">
        <v>1.314311E-2</v>
      </c>
      <c r="W407">
        <v>3.9347319999999998E-2</v>
      </c>
      <c r="X407">
        <v>0.99913909999999995</v>
      </c>
      <c r="Y407">
        <v>1.0103249999999999E-2</v>
      </c>
      <c r="Z407">
        <v>1.1216070000000001E-4</v>
      </c>
      <c r="AA407">
        <v>0.99994899999999998</v>
      </c>
      <c r="AB407">
        <v>31</v>
      </c>
      <c r="AC407">
        <v>274.93299999999999</v>
      </c>
      <c r="AD407">
        <v>2.334044</v>
      </c>
      <c r="AE407">
        <v>-0.53290000000004001</v>
      </c>
      <c r="AF407">
        <v>2.77929868583296</v>
      </c>
      <c r="AG407">
        <v>2.334044</v>
      </c>
      <c r="AH407">
        <v>274.89965373787999</v>
      </c>
      <c r="AI407">
        <v>89.513564962871101</v>
      </c>
      <c r="AJ407">
        <v>89.420746235449698</v>
      </c>
      <c r="AK407">
        <v>274.92361100455798</v>
      </c>
      <c r="AL407">
        <v>87.744982379875395</v>
      </c>
      <c r="AM407">
        <v>89.246349880834202</v>
      </c>
      <c r="AN407">
        <v>0.99999994704022999</v>
      </c>
    </row>
    <row r="408" spans="1:40" x14ac:dyDescent="0.25">
      <c r="A408" t="str">
        <f>"20190312150643910"</f>
        <v>20190312150643910</v>
      </c>
      <c r="B408" t="str">
        <f>"1552374403900760"</f>
        <v>1552374403900760</v>
      </c>
      <c r="C408" t="s">
        <v>40</v>
      </c>
      <c r="D408">
        <v>4.2502760000000004</v>
      </c>
      <c r="E408">
        <v>0.49882959999999898</v>
      </c>
      <c r="F408" t="s">
        <v>47</v>
      </c>
      <c r="G408">
        <v>-158.19499999999999</v>
      </c>
      <c r="H408">
        <v>3.5831919999999999</v>
      </c>
      <c r="I408">
        <v>366.62200000000001</v>
      </c>
      <c r="J408">
        <v>-432.96660000000003</v>
      </c>
      <c r="K408">
        <v>1.0655349999999999</v>
      </c>
      <c r="L408">
        <v>367.17140000000001</v>
      </c>
      <c r="M408">
        <v>0.9998958</v>
      </c>
      <c r="N408">
        <v>0</v>
      </c>
      <c r="O408">
        <v>8.2580650000000002E-3</v>
      </c>
      <c r="P408">
        <v>0.99960640000000001</v>
      </c>
      <c r="Q408">
        <v>2.760657E-2</v>
      </c>
      <c r="R408">
        <v>-5.0109539999999998E-3</v>
      </c>
      <c r="S408">
        <v>3.000397</v>
      </c>
      <c r="T408">
        <v>2.7470830000000002E-2</v>
      </c>
      <c r="U408">
        <v>-5.9814450000000002E-3</v>
      </c>
      <c r="V408">
        <v>1.32535E-2</v>
      </c>
      <c r="W408">
        <v>3.9456449999999997E-2</v>
      </c>
      <c r="X408">
        <v>0.99913339999999995</v>
      </c>
      <c r="Y408">
        <v>1.0251329999999999E-2</v>
      </c>
      <c r="Z408">
        <v>1.2254E-4</v>
      </c>
      <c r="AA408">
        <v>0.99994740000000004</v>
      </c>
      <c r="AB408">
        <v>31</v>
      </c>
      <c r="AC408">
        <v>274.77159999999998</v>
      </c>
      <c r="AD408">
        <v>2.5176569999999998</v>
      </c>
      <c r="AE408">
        <v>-0.54940000000004796</v>
      </c>
      <c r="AF408">
        <v>2.8183854504823298</v>
      </c>
      <c r="AG408">
        <v>2.5176569999999998</v>
      </c>
      <c r="AH408">
        <v>274.73462670935601</v>
      </c>
      <c r="AI408">
        <v>89.474986115969301</v>
      </c>
      <c r="AJ408">
        <v>89.412247633431704</v>
      </c>
      <c r="AK408">
        <v>274.76061764096801</v>
      </c>
      <c r="AL408">
        <v>87.738724971633701</v>
      </c>
      <c r="AM408">
        <v>89.240016319249307</v>
      </c>
      <c r="AN408">
        <v>1.0000000088522001</v>
      </c>
    </row>
    <row r="409" spans="1:40" x14ac:dyDescent="0.25">
      <c r="A409" t="str">
        <f>"20190312150643922"</f>
        <v>20190312150643922</v>
      </c>
      <c r="B409" t="str">
        <f>"1552374403911496"</f>
        <v>1552374403911496</v>
      </c>
      <c r="C409" t="s">
        <v>40</v>
      </c>
      <c r="D409">
        <v>4.622935</v>
      </c>
      <c r="E409">
        <v>0.49889919999999999</v>
      </c>
      <c r="F409" t="s">
        <v>47</v>
      </c>
      <c r="G409">
        <v>-158.19499999999999</v>
      </c>
      <c r="H409">
        <v>3.6148400000000001</v>
      </c>
      <c r="I409">
        <v>366.60969999999998</v>
      </c>
      <c r="J409">
        <v>-432.79079999999999</v>
      </c>
      <c r="K409">
        <v>1.0649979999999999</v>
      </c>
      <c r="L409">
        <v>367.173</v>
      </c>
      <c r="M409">
        <v>0.99989779999999995</v>
      </c>
      <c r="N409">
        <v>0</v>
      </c>
      <c r="O409">
        <v>8.3528059999999904E-3</v>
      </c>
      <c r="P409">
        <v>0.99960230000000005</v>
      </c>
      <c r="Q409">
        <v>2.7789500000000002E-2</v>
      </c>
      <c r="R409">
        <v>-4.8224089999999997E-3</v>
      </c>
      <c r="S409">
        <v>3.000397</v>
      </c>
      <c r="T409">
        <v>2.7838350000000001E-2</v>
      </c>
      <c r="U409">
        <v>-6.1340329999999997E-3</v>
      </c>
      <c r="V409">
        <v>1.315967E-2</v>
      </c>
      <c r="W409">
        <v>3.9394980000000003E-2</v>
      </c>
      <c r="X409">
        <v>0.99913700000000005</v>
      </c>
      <c r="Y409">
        <v>1.0396880000000001E-2</v>
      </c>
      <c r="Z409">
        <v>1.2573329999999999E-4</v>
      </c>
      <c r="AA409">
        <v>0.99994590000000005</v>
      </c>
      <c r="AB409">
        <v>31</v>
      </c>
      <c r="AC409">
        <v>274.5958</v>
      </c>
      <c r="AD409">
        <v>2.5498419999999999</v>
      </c>
      <c r="AE409">
        <v>-0.563300000000026</v>
      </c>
      <c r="AF409">
        <v>2.8568338607475399</v>
      </c>
      <c r="AG409">
        <v>2.5498419999999999</v>
      </c>
      <c r="AH409">
        <v>274.55783995001599</v>
      </c>
      <c r="AI409">
        <v>89.467933322890303</v>
      </c>
      <c r="AJ409">
        <v>89.403846504220098</v>
      </c>
      <c r="AK409">
        <v>274.58454193918402</v>
      </c>
      <c r="AL409">
        <v>87.7422495350133</v>
      </c>
      <c r="AM409">
        <v>89.245398823842393</v>
      </c>
      <c r="AN409">
        <v>0.99999994306635298</v>
      </c>
    </row>
    <row r="410" spans="1:40" x14ac:dyDescent="0.25">
      <c r="A410" t="str">
        <f>"20190312150643942"</f>
        <v>20190312150643942</v>
      </c>
      <c r="B410" t="str">
        <f>"1552374403931019"</f>
        <v>1552374403931019</v>
      </c>
      <c r="C410" t="s">
        <v>40</v>
      </c>
      <c r="D410">
        <v>4.3030629999999999</v>
      </c>
      <c r="E410">
        <v>0.49876979999999999</v>
      </c>
      <c r="F410" t="s">
        <v>47</v>
      </c>
      <c r="G410">
        <v>-158.19499999999999</v>
      </c>
      <c r="H410">
        <v>3.7120899999999999</v>
      </c>
      <c r="I410">
        <v>366.60890000000001</v>
      </c>
      <c r="J410">
        <v>-432.51440000000002</v>
      </c>
      <c r="K410">
        <v>1.064257</v>
      </c>
      <c r="L410">
        <v>367.1755</v>
      </c>
      <c r="M410">
        <v>0.99990049999999997</v>
      </c>
      <c r="N410">
        <v>0</v>
      </c>
      <c r="O410">
        <v>8.5021430000000002E-3</v>
      </c>
      <c r="P410">
        <v>0.99959500000000001</v>
      </c>
      <c r="Q410">
        <v>2.803717E-2</v>
      </c>
      <c r="R410">
        <v>-4.90129E-3</v>
      </c>
      <c r="S410">
        <v>3.0003660000000001</v>
      </c>
      <c r="T410">
        <v>2.8924350000000001E-2</v>
      </c>
      <c r="U410">
        <v>-6.1645509999999999E-3</v>
      </c>
      <c r="V410">
        <v>1.3387639999999999E-2</v>
      </c>
      <c r="W410">
        <v>3.9294919999999997E-2</v>
      </c>
      <c r="X410">
        <v>0.99913799999999997</v>
      </c>
      <c r="Y410">
        <v>1.0556299999999999E-2</v>
      </c>
      <c r="Z410">
        <v>1.328472E-4</v>
      </c>
      <c r="AA410">
        <v>0.99994430000000001</v>
      </c>
      <c r="AB410">
        <v>31</v>
      </c>
      <c r="AC410">
        <v>274.31939999999997</v>
      </c>
      <c r="AD410">
        <v>2.6478329999999999</v>
      </c>
      <c r="AE410">
        <v>-0.566599999999994</v>
      </c>
      <c r="AF410">
        <v>2.8987599830913</v>
      </c>
      <c r="AG410">
        <v>2.6478329999999999</v>
      </c>
      <c r="AH410">
        <v>274.27911215156502</v>
      </c>
      <c r="AI410">
        <v>89.4469266335105</v>
      </c>
      <c r="AJ410">
        <v>89.394483494556496</v>
      </c>
      <c r="AK410">
        <v>274.30720951459898</v>
      </c>
      <c r="AL410">
        <v>87.747987192528797</v>
      </c>
      <c r="AM410">
        <v>89.232328898190502</v>
      </c>
      <c r="AN410">
        <v>1.00000003134328</v>
      </c>
    </row>
    <row r="411" spans="1:40" x14ac:dyDescent="0.25">
      <c r="A411" t="str">
        <f>"20190312150643955"</f>
        <v>20190312150643955</v>
      </c>
      <c r="B411" t="str">
        <f>"1552374403951512"</f>
        <v>1552374403951512</v>
      </c>
      <c r="C411" t="s">
        <v>40</v>
      </c>
      <c r="D411">
        <v>4.2617070000000004</v>
      </c>
      <c r="E411">
        <v>0.48195789999999999</v>
      </c>
      <c r="F411" t="s">
        <v>47</v>
      </c>
      <c r="G411">
        <v>-158.19499999999999</v>
      </c>
      <c r="H411">
        <v>3.7064110000000001</v>
      </c>
      <c r="I411">
        <v>366.70949999999999</v>
      </c>
      <c r="J411">
        <v>-432.34089999999998</v>
      </c>
      <c r="K411">
        <v>1.063849</v>
      </c>
      <c r="L411">
        <v>367.17700000000002</v>
      </c>
      <c r="M411">
        <v>0.99990199999999996</v>
      </c>
      <c r="N411">
        <v>0</v>
      </c>
      <c r="O411">
        <v>8.5957180000000005E-3</v>
      </c>
      <c r="P411">
        <v>0.99958820000000004</v>
      </c>
      <c r="Q411">
        <v>2.8270420000000001E-2</v>
      </c>
      <c r="R411">
        <v>-4.9409750000000002E-3</v>
      </c>
      <c r="S411">
        <v>3.0003359999999999</v>
      </c>
      <c r="T411">
        <v>2.8899190000000002E-2</v>
      </c>
      <c r="U411">
        <v>-5.0964360000000002E-3</v>
      </c>
      <c r="V411">
        <v>1.352098E-2</v>
      </c>
      <c r="W411">
        <v>3.9331610000000003E-2</v>
      </c>
      <c r="X411">
        <v>0.99913470000000004</v>
      </c>
      <c r="Y411">
        <v>1.029391E-2</v>
      </c>
      <c r="Z411">
        <v>1.3237049999999999E-4</v>
      </c>
      <c r="AA411">
        <v>0.99994700000000003</v>
      </c>
      <c r="AB411">
        <v>31</v>
      </c>
      <c r="AC411">
        <v>274.14589999999998</v>
      </c>
      <c r="AD411">
        <v>2.6425619999999999</v>
      </c>
      <c r="AE411">
        <v>-0.46749999999997199</v>
      </c>
      <c r="AF411">
        <v>2.8238450775433002</v>
      </c>
      <c r="AG411">
        <v>2.6425619999999999</v>
      </c>
      <c r="AH411">
        <v>274.10628343848998</v>
      </c>
      <c r="AI411">
        <v>89.447678016768293</v>
      </c>
      <c r="AJ411">
        <v>89.409759311400705</v>
      </c>
      <c r="AK411">
        <v>274.13356572190798</v>
      </c>
      <c r="AL411">
        <v>87.745883247058202</v>
      </c>
      <c r="AM411">
        <v>89.224681313588704</v>
      </c>
      <c r="AN411">
        <v>0.99999997059472001</v>
      </c>
    </row>
    <row r="412" spans="1:40" x14ac:dyDescent="0.25">
      <c r="A412" t="str">
        <f>"20190312150643967"</f>
        <v>20190312150643967</v>
      </c>
      <c r="B412" t="str">
        <f>"1552374403961272"</f>
        <v>1552374403961272</v>
      </c>
      <c r="C412" t="s">
        <v>40</v>
      </c>
      <c r="D412">
        <v>4.2434229999999999</v>
      </c>
      <c r="E412">
        <v>0.48088629999999999</v>
      </c>
      <c r="F412" t="s">
        <v>47</v>
      </c>
      <c r="G412">
        <v>-158.19499999999999</v>
      </c>
      <c r="H412">
        <v>0.97618769999999999</v>
      </c>
      <c r="I412">
        <v>378.8965</v>
      </c>
      <c r="J412">
        <v>-432.16320000000002</v>
      </c>
      <c r="K412">
        <v>1.0634600000000001</v>
      </c>
      <c r="L412">
        <v>367.17860000000002</v>
      </c>
      <c r="M412">
        <v>0.99990310000000004</v>
      </c>
      <c r="N412">
        <v>0</v>
      </c>
      <c r="O412">
        <v>8.6915759999999995E-3</v>
      </c>
      <c r="P412">
        <v>0.99958400000000003</v>
      </c>
      <c r="Q412">
        <v>2.8373530000000001E-2</v>
      </c>
      <c r="R412">
        <v>-5.1752789999999996E-3</v>
      </c>
      <c r="S412">
        <v>3.001862</v>
      </c>
      <c r="T412">
        <v>-9.5891949999999998E-4</v>
      </c>
      <c r="U412">
        <v>0.12832639999999901</v>
      </c>
      <c r="V412">
        <v>1.3850980000000001E-2</v>
      </c>
      <c r="W412">
        <v>3.9242979999999997E-2</v>
      </c>
      <c r="X412">
        <v>0.99913370000000001</v>
      </c>
      <c r="Y412">
        <v>-3.4024169999999999E-2</v>
      </c>
      <c r="Z412" s="1">
        <v>2.6566940000000002E-6</v>
      </c>
      <c r="AA412">
        <v>0.999421</v>
      </c>
      <c r="AB412">
        <v>31</v>
      </c>
      <c r="AC412">
        <v>273.96820000000002</v>
      </c>
      <c r="AD412">
        <v>-8.7272299999999997E-2</v>
      </c>
      <c r="AE412">
        <v>11.717899999999901</v>
      </c>
      <c r="AF412">
        <v>-9.3361001578086196</v>
      </c>
      <c r="AG412">
        <v>-8.7272299999999997E-2</v>
      </c>
      <c r="AH412">
        <v>274.05967560476103</v>
      </c>
      <c r="AI412">
        <v>90.018234843878204</v>
      </c>
      <c r="AJ412">
        <v>91.951080021116695</v>
      </c>
      <c r="AK412">
        <v>274.21866489208497</v>
      </c>
      <c r="AL412">
        <v>87.750965374932505</v>
      </c>
      <c r="AM412">
        <v>89.205760086825904</v>
      </c>
      <c r="AN412">
        <v>1.0000000058009599</v>
      </c>
    </row>
    <row r="413" spans="1:40" x14ac:dyDescent="0.25">
      <c r="A413" t="str">
        <f>"20190312150643978"</f>
        <v>20190312150643978</v>
      </c>
      <c r="B413" t="str">
        <f>"1552374403971032"</f>
        <v>1552374403971032</v>
      </c>
      <c r="C413" t="s">
        <v>40</v>
      </c>
      <c r="D413">
        <v>4.6962390000000003</v>
      </c>
      <c r="E413">
        <v>0.4803135</v>
      </c>
      <c r="F413" t="s">
        <v>47</v>
      </c>
      <c r="G413">
        <v>-158.19499999999999</v>
      </c>
      <c r="H413">
        <v>0.35094930000000002</v>
      </c>
      <c r="I413">
        <v>379.60230000000001</v>
      </c>
      <c r="J413">
        <v>-431.99149999999997</v>
      </c>
      <c r="K413">
        <v>1.063121</v>
      </c>
      <c r="L413">
        <v>367.18020000000001</v>
      </c>
      <c r="M413">
        <v>0.99990420000000002</v>
      </c>
      <c r="N413">
        <v>0</v>
      </c>
      <c r="O413">
        <v>8.7840780000000007E-3</v>
      </c>
      <c r="P413">
        <v>0.99958170000000002</v>
      </c>
      <c r="Q413">
        <v>2.8467329999999999E-2</v>
      </c>
      <c r="R413">
        <v>-5.1326380000000001E-3</v>
      </c>
      <c r="S413">
        <v>3.002167</v>
      </c>
      <c r="T413">
        <v>-7.8067780000000003E-3</v>
      </c>
      <c r="U413">
        <v>0.13613889999999901</v>
      </c>
      <c r="V413">
        <v>1.390074E-2</v>
      </c>
      <c r="W413">
        <v>3.91677E-2</v>
      </c>
      <c r="X413">
        <v>0.99913600000000002</v>
      </c>
      <c r="Y413">
        <v>-3.6522939999999997E-2</v>
      </c>
      <c r="Z413" s="1">
        <v>2.463219E-5</v>
      </c>
      <c r="AA413">
        <v>0.99933280000000002</v>
      </c>
      <c r="AB413">
        <v>31</v>
      </c>
      <c r="AC413">
        <v>273.79649999999998</v>
      </c>
      <c r="AD413">
        <v>-0.71217169999999996</v>
      </c>
      <c r="AE413">
        <v>12.4221</v>
      </c>
      <c r="AF413">
        <v>-10.0163656326471</v>
      </c>
      <c r="AG413">
        <v>-0.71217169999999996</v>
      </c>
      <c r="AH413">
        <v>273.89320917719999</v>
      </c>
      <c r="AI413">
        <v>90.148879494608593</v>
      </c>
      <c r="AJ413">
        <v>92.094392347647698</v>
      </c>
      <c r="AK413">
        <v>274.07722415845302</v>
      </c>
      <c r="AL413">
        <v>87.755282003167807</v>
      </c>
      <c r="AM413">
        <v>89.202908961764805</v>
      </c>
      <c r="AN413">
        <v>1.0000000428959099</v>
      </c>
    </row>
    <row r="414" spans="1:40" x14ac:dyDescent="0.25">
      <c r="A414" t="str">
        <f>"20190312150643993"</f>
        <v>20190312150643993</v>
      </c>
      <c r="B414" t="str">
        <f>"1552374403980792"</f>
        <v>1552374403980792</v>
      </c>
      <c r="C414" t="s">
        <v>40</v>
      </c>
      <c r="D414">
        <v>4.1557430000000002</v>
      </c>
      <c r="E414">
        <v>0.48003420000000002</v>
      </c>
      <c r="F414" t="s">
        <v>49</v>
      </c>
      <c r="G414">
        <v>-192.46600000000001</v>
      </c>
      <c r="H414" s="1">
        <v>-1.2764540000000001E-5</v>
      </c>
      <c r="I414">
        <v>378.43329999999997</v>
      </c>
      <c r="J414">
        <v>-431.80439999999999</v>
      </c>
      <c r="K414">
        <v>1.062784</v>
      </c>
      <c r="L414">
        <v>367.18189999999998</v>
      </c>
      <c r="M414">
        <v>0.99990500000000004</v>
      </c>
      <c r="N414">
        <v>0</v>
      </c>
      <c r="O414">
        <v>8.8843210000000006E-3</v>
      </c>
      <c r="P414">
        <v>0.99957960000000001</v>
      </c>
      <c r="Q414">
        <v>2.8517770000000001E-2</v>
      </c>
      <c r="R414">
        <v>-5.2331920000000002E-3</v>
      </c>
      <c r="S414">
        <v>3.0023499999999999</v>
      </c>
      <c r="T414">
        <v>-1.332593E-2</v>
      </c>
      <c r="U414">
        <v>0.14105219999999999</v>
      </c>
      <c r="V414">
        <v>1.410169E-2</v>
      </c>
      <c r="W414">
        <v>3.9047150000000003E-2</v>
      </c>
      <c r="X414">
        <v>0.99913790000000002</v>
      </c>
      <c r="Y414">
        <v>-3.8051689999999999E-2</v>
      </c>
      <c r="Z414" s="1">
        <v>4.4988389999999997E-5</v>
      </c>
      <c r="AA414">
        <v>0.99927569999999999</v>
      </c>
      <c r="AB414">
        <v>31</v>
      </c>
      <c r="AC414">
        <v>239.33840000000001</v>
      </c>
      <c r="AD414">
        <v>-1.06279676454</v>
      </c>
      <c r="AE414">
        <v>11.251399999999901</v>
      </c>
      <c r="AF414">
        <v>-9.1242991177976105</v>
      </c>
      <c r="AG414">
        <v>-1.06279676454</v>
      </c>
      <c r="AH414">
        <v>239.424209040926</v>
      </c>
      <c r="AI414">
        <v>90.254148064953398</v>
      </c>
      <c r="AJ414">
        <v>92.182448338807106</v>
      </c>
      <c r="AK414">
        <v>239.60036361872801</v>
      </c>
      <c r="AL414">
        <v>87.762194291329195</v>
      </c>
      <c r="AM414">
        <v>89.191389218524904</v>
      </c>
      <c r="AN414">
        <v>1.0000000404001901</v>
      </c>
    </row>
    <row r="415" spans="1:40" x14ac:dyDescent="0.25">
      <c r="A415" t="str">
        <f>"20190312150644010"</f>
        <v>20190312150644010</v>
      </c>
      <c r="B415" t="str">
        <f>"1552374404001291"</f>
        <v>1552374404001291</v>
      </c>
      <c r="C415" t="s">
        <v>40</v>
      </c>
      <c r="D415">
        <v>4.3774089999999903</v>
      </c>
      <c r="E415">
        <v>0.47969279999999997</v>
      </c>
      <c r="F415" t="s">
        <v>42</v>
      </c>
      <c r="G415">
        <v>-221.6499</v>
      </c>
      <c r="H415" s="1">
        <v>-5.0533119999999999E-6</v>
      </c>
      <c r="I415">
        <v>377.16359999999997</v>
      </c>
      <c r="J415">
        <v>-431.55340000000001</v>
      </c>
      <c r="K415">
        <v>1.062376</v>
      </c>
      <c r="L415">
        <v>367.18430000000001</v>
      </c>
      <c r="M415">
        <v>0.99990610000000002</v>
      </c>
      <c r="N415">
        <v>0</v>
      </c>
      <c r="O415">
        <v>9.0174650000000005E-3</v>
      </c>
      <c r="P415">
        <v>0.99957660000000004</v>
      </c>
      <c r="Q415">
        <v>2.8625399999999999E-2</v>
      </c>
      <c r="R415">
        <v>-5.2327169999999996E-3</v>
      </c>
      <c r="S415">
        <v>3.002472</v>
      </c>
      <c r="T415">
        <v>-1.5184039999999999E-2</v>
      </c>
      <c r="U415">
        <v>0.1426086</v>
      </c>
      <c r="V415">
        <v>1.4234439999999999E-2</v>
      </c>
      <c r="W415">
        <v>3.8944239999999998E-2</v>
      </c>
      <c r="X415">
        <v>0.99914000000000003</v>
      </c>
      <c r="Y415">
        <v>-3.8433500000000002E-2</v>
      </c>
      <c r="Z415" s="1">
        <v>5.1550730000000003E-5</v>
      </c>
      <c r="AA415">
        <v>0.99926110000000001</v>
      </c>
      <c r="AB415">
        <v>32</v>
      </c>
      <c r="AC415">
        <v>209.90350000000001</v>
      </c>
      <c r="AD415">
        <v>-1.0623810533119999</v>
      </c>
      <c r="AE415">
        <v>9.9792999999999594</v>
      </c>
      <c r="AF415">
        <v>-8.0857893116553896</v>
      </c>
      <c r="AG415">
        <v>-1.0623810533119999</v>
      </c>
      <c r="AH415">
        <v>209.979590749865</v>
      </c>
      <c r="AI415">
        <v>90.289667926559503</v>
      </c>
      <c r="AJ415">
        <v>92.2052277296591</v>
      </c>
      <c r="AK415">
        <v>210.137900374434</v>
      </c>
      <c r="AL415">
        <v>87.768095012012395</v>
      </c>
      <c r="AM415">
        <v>89.183779886745796</v>
      </c>
      <c r="AN415">
        <v>1.00000000635564</v>
      </c>
    </row>
    <row r="416" spans="1:40" x14ac:dyDescent="0.25">
      <c r="A416" t="str">
        <f>"20190312150644022"</f>
        <v>20190312150644022</v>
      </c>
      <c r="B416" t="str">
        <f>"1552374404011049"</f>
        <v>1552374404011049</v>
      </c>
      <c r="C416" t="s">
        <v>40</v>
      </c>
      <c r="D416">
        <v>4.2422009999999997</v>
      </c>
      <c r="E416">
        <v>0.47950700000000002</v>
      </c>
      <c r="F416" t="s">
        <v>43</v>
      </c>
      <c r="G416">
        <v>-274.971</v>
      </c>
      <c r="H416">
        <v>-0.05</v>
      </c>
      <c r="I416">
        <v>374.77229999999997</v>
      </c>
      <c r="J416">
        <v>-431.37759999999997</v>
      </c>
      <c r="K416">
        <v>1.06212</v>
      </c>
      <c r="L416">
        <v>367.18599999999998</v>
      </c>
      <c r="M416">
        <v>0.99990670000000004</v>
      </c>
      <c r="N416">
        <v>0</v>
      </c>
      <c r="O416">
        <v>9.1096279999999998E-3</v>
      </c>
      <c r="P416">
        <v>0.99958049999999998</v>
      </c>
      <c r="Q416">
        <v>2.8501390000000001E-2</v>
      </c>
      <c r="R416">
        <v>-5.1712080000000001E-3</v>
      </c>
      <c r="S416">
        <v>3.0025940000000002</v>
      </c>
      <c r="T416">
        <v>-2.1330709999999999E-2</v>
      </c>
      <c r="U416">
        <v>0.14550779999999999</v>
      </c>
      <c r="V416">
        <v>1.4265109999999999E-2</v>
      </c>
      <c r="W416">
        <v>3.868456E-2</v>
      </c>
      <c r="X416">
        <v>0.99914959999999997</v>
      </c>
      <c r="Y416">
        <v>-3.9301719999999998E-2</v>
      </c>
      <c r="Z416" s="1">
        <v>7.4841929999999994E-5</v>
      </c>
      <c r="AA416">
        <v>0.99922739999999999</v>
      </c>
      <c r="AB416">
        <v>32</v>
      </c>
      <c r="AC416">
        <v>156.406599999999</v>
      </c>
      <c r="AD416">
        <v>-1.11212</v>
      </c>
      <c r="AE416">
        <v>7.5862999999999898</v>
      </c>
      <c r="AF416">
        <v>-6.1607946786639696</v>
      </c>
      <c r="AG416">
        <v>-1.11212</v>
      </c>
      <c r="AH416">
        <v>156.461329553117</v>
      </c>
      <c r="AI416">
        <v>90.406933597718805</v>
      </c>
      <c r="AJ416">
        <v>92.254903965864401</v>
      </c>
      <c r="AK416">
        <v>156.58652511469799</v>
      </c>
      <c r="AL416">
        <v>87.782984688374597</v>
      </c>
      <c r="AM416">
        <v>89.182029328524195</v>
      </c>
      <c r="AN416">
        <v>0.999999955862931</v>
      </c>
    </row>
    <row r="417" spans="1:40" x14ac:dyDescent="0.25">
      <c r="A417" t="str">
        <f>"20190312150644044"</f>
        <v>20190312150644044</v>
      </c>
      <c r="B417" t="str">
        <f>"1552374404041303"</f>
        <v>1552374404041303</v>
      </c>
      <c r="C417" t="s">
        <v>40</v>
      </c>
      <c r="D417">
        <v>4.595815</v>
      </c>
      <c r="E417">
        <v>0.47942699999999999</v>
      </c>
      <c r="F417" t="s">
        <v>43</v>
      </c>
      <c r="G417">
        <v>-288.0532</v>
      </c>
      <c r="H417">
        <v>-0.05</v>
      </c>
      <c r="I417">
        <v>374.2158</v>
      </c>
      <c r="J417">
        <v>-431.08760000000001</v>
      </c>
      <c r="K417">
        <v>1.061747</v>
      </c>
      <c r="L417">
        <v>367.18880000000001</v>
      </c>
      <c r="M417">
        <v>0.9999074</v>
      </c>
      <c r="N417">
        <v>0</v>
      </c>
      <c r="O417">
        <v>9.2590529999999997E-3</v>
      </c>
      <c r="P417">
        <v>0.99958519999999895</v>
      </c>
      <c r="Q417">
        <v>2.8436300000000001E-2</v>
      </c>
      <c r="R417">
        <v>-4.5914129999999999E-3</v>
      </c>
      <c r="S417">
        <v>3.0027159999999999</v>
      </c>
      <c r="T417">
        <v>-2.3299460000000001E-2</v>
      </c>
      <c r="U417">
        <v>0.14727779999999999</v>
      </c>
      <c r="V417">
        <v>1.3835129999999999E-2</v>
      </c>
      <c r="W417">
        <v>3.842011E-2</v>
      </c>
      <c r="X417">
        <v>0.99916590000000005</v>
      </c>
      <c r="Y417">
        <v>-3.97379E-2</v>
      </c>
      <c r="Z417" s="1">
        <v>8.2277649999999895E-5</v>
      </c>
      <c r="AA417">
        <v>0.99921009999999999</v>
      </c>
      <c r="AB417">
        <v>32</v>
      </c>
      <c r="AC417">
        <v>143.03440000000001</v>
      </c>
      <c r="AD417">
        <v>-1.111747</v>
      </c>
      <c r="AE417">
        <v>7.0269999999999797</v>
      </c>
      <c r="AF417">
        <v>-5.7019261527043801</v>
      </c>
      <c r="AG417">
        <v>-1.111747</v>
      </c>
      <c r="AH417">
        <v>143.084711311782</v>
      </c>
      <c r="AI417">
        <v>90.444817720607503</v>
      </c>
      <c r="AJ417">
        <v>92.282029516084094</v>
      </c>
      <c r="AK417">
        <v>143.202592694472</v>
      </c>
      <c r="AL417">
        <v>87.798147940312802</v>
      </c>
      <c r="AM417">
        <v>89.206694401208196</v>
      </c>
      <c r="AN417">
        <v>1.00000000569866</v>
      </c>
    </row>
    <row r="418" spans="1:40" x14ac:dyDescent="0.25">
      <c r="A418" t="str">
        <f>"20190312150644057"</f>
        <v>20190312150644057</v>
      </c>
      <c r="B418" t="str">
        <f>"1552374404051064"</f>
        <v>1552374404051064</v>
      </c>
      <c r="C418" t="s">
        <v>40</v>
      </c>
      <c r="D418">
        <v>4.2344589999999904</v>
      </c>
      <c r="E418">
        <v>0.47939929999999997</v>
      </c>
      <c r="F418" t="s">
        <v>43</v>
      </c>
      <c r="G418">
        <v>-310.10590000000002</v>
      </c>
      <c r="H418">
        <v>-0.05</v>
      </c>
      <c r="I418">
        <v>373.21120000000002</v>
      </c>
      <c r="J418">
        <v>-430.88810000000001</v>
      </c>
      <c r="K418">
        <v>1.0615289999999999</v>
      </c>
      <c r="L418">
        <v>367.19069999999999</v>
      </c>
      <c r="M418">
        <v>0.99990769999999995</v>
      </c>
      <c r="N418">
        <v>0</v>
      </c>
      <c r="O418">
        <v>9.3566380000000005E-3</v>
      </c>
      <c r="P418">
        <v>0.99958659999999999</v>
      </c>
      <c r="Q418">
        <v>2.847587E-2</v>
      </c>
      <c r="R418">
        <v>-4.0164950000000001E-3</v>
      </c>
      <c r="S418">
        <v>3.0027469999999998</v>
      </c>
      <c r="T418">
        <v>-2.7593369999999999E-2</v>
      </c>
      <c r="U418">
        <v>0.1494751</v>
      </c>
      <c r="V418">
        <v>1.335806E-2</v>
      </c>
      <c r="W418">
        <v>3.8338629999999999E-2</v>
      </c>
      <c r="X418">
        <v>0.99917549999999999</v>
      </c>
      <c r="Y418">
        <v>-4.0368899999999999E-2</v>
      </c>
      <c r="Z418" s="1">
        <v>9.9438940000000004E-5</v>
      </c>
      <c r="AA418">
        <v>0.99918479999999998</v>
      </c>
      <c r="AB418">
        <v>32</v>
      </c>
      <c r="AC418">
        <v>120.7822</v>
      </c>
      <c r="AD418">
        <v>-1.111529</v>
      </c>
      <c r="AE418">
        <v>6.0205000000000197</v>
      </c>
      <c r="AF418">
        <v>-4.8896531873263198</v>
      </c>
      <c r="AG418">
        <v>-1.111529</v>
      </c>
      <c r="AH418">
        <v>120.823039476972</v>
      </c>
      <c r="AI418">
        <v>90.526654855805802</v>
      </c>
      <c r="AJ418">
        <v>92.317469391463703</v>
      </c>
      <c r="AK418">
        <v>120.92704856013</v>
      </c>
      <c r="AL418">
        <v>87.802819794900003</v>
      </c>
      <c r="AM418">
        <v>89.234053610060599</v>
      </c>
      <c r="AN418">
        <v>0.99999998405874502</v>
      </c>
    </row>
    <row r="419" spans="1:40" x14ac:dyDescent="0.25">
      <c r="A419" t="str">
        <f>"20190312150644076"</f>
        <v>20190312150644076</v>
      </c>
      <c r="B419" t="str">
        <f>"1552374404070584"</f>
        <v>1552374404070584</v>
      </c>
      <c r="C419" t="s">
        <v>40</v>
      </c>
      <c r="D419">
        <v>4.2202729999999997</v>
      </c>
      <c r="E419">
        <v>0.47941279999999997</v>
      </c>
      <c r="F419" t="s">
        <v>43</v>
      </c>
      <c r="G419">
        <v>-310.01729999999998</v>
      </c>
      <c r="H419">
        <v>-0.05</v>
      </c>
      <c r="I419">
        <v>373.29259999999999</v>
      </c>
      <c r="J419">
        <v>-430.62419999999997</v>
      </c>
      <c r="K419">
        <v>1.061269</v>
      </c>
      <c r="L419">
        <v>367.19330000000002</v>
      </c>
      <c r="M419">
        <v>0.99990789999999996</v>
      </c>
      <c r="N419">
        <v>0</v>
      </c>
      <c r="O419">
        <v>9.4788589999999992E-3</v>
      </c>
      <c r="P419">
        <v>0.99959030000000004</v>
      </c>
      <c r="Q419">
        <v>2.8480229999999999E-2</v>
      </c>
      <c r="R419">
        <v>-2.854854E-3</v>
      </c>
      <c r="S419">
        <v>3.0025940000000002</v>
      </c>
      <c r="T419">
        <v>-2.761185E-2</v>
      </c>
      <c r="U419">
        <v>0.15158079999999999</v>
      </c>
      <c r="V419">
        <v>1.231937E-2</v>
      </c>
      <c r="W419">
        <v>3.8196630000000002E-2</v>
      </c>
      <c r="X419">
        <v>0.99919429999999998</v>
      </c>
      <c r="Y419">
        <v>-4.0948239999999997E-2</v>
      </c>
      <c r="Z419">
        <v>1.01048E-4</v>
      </c>
      <c r="AA419">
        <v>0.99916119999999997</v>
      </c>
      <c r="AB419">
        <v>32</v>
      </c>
      <c r="AC419">
        <v>120.6069</v>
      </c>
      <c r="AD419">
        <v>-1.1112690000000001</v>
      </c>
      <c r="AE419">
        <v>6.0992999999999702</v>
      </c>
      <c r="AF419">
        <v>-4.9553366085712804</v>
      </c>
      <c r="AG419">
        <v>-1.1112690000000001</v>
      </c>
      <c r="AH419">
        <v>120.649081651296</v>
      </c>
      <c r="AI419">
        <v>90.527277872470506</v>
      </c>
      <c r="AJ419">
        <v>92.351948144322705</v>
      </c>
      <c r="AK419">
        <v>120.755915726708</v>
      </c>
      <c r="AL419">
        <v>87.810961792855494</v>
      </c>
      <c r="AM419">
        <v>89.293618723804499</v>
      </c>
      <c r="AN419">
        <v>0.99999999928652095</v>
      </c>
    </row>
    <row r="420" spans="1:40" x14ac:dyDescent="0.25">
      <c r="A420" t="str">
        <f>"20190312150644088"</f>
        <v>20190312150644088</v>
      </c>
      <c r="B420" t="str">
        <f>"1552374404081320"</f>
        <v>1552374404081320</v>
      </c>
      <c r="C420" t="s">
        <v>40</v>
      </c>
      <c r="D420">
        <v>4.2290269999999897</v>
      </c>
      <c r="E420">
        <v>0.47943330000000001</v>
      </c>
      <c r="F420" t="s">
        <v>42</v>
      </c>
      <c r="G420">
        <v>-321.79480000000001</v>
      </c>
      <c r="H420" s="1">
        <v>-4.2317800000000002E-6</v>
      </c>
      <c r="I420">
        <v>372.81020000000001</v>
      </c>
      <c r="J420">
        <v>-430.45359999999999</v>
      </c>
      <c r="K420">
        <v>1.0611159999999999</v>
      </c>
      <c r="L420">
        <v>367.19499999999999</v>
      </c>
      <c r="M420">
        <v>0.99990800000000002</v>
      </c>
      <c r="N420">
        <v>0</v>
      </c>
      <c r="O420">
        <v>9.5530570000000002E-3</v>
      </c>
      <c r="P420">
        <v>0.99958650000000004</v>
      </c>
      <c r="Q420">
        <v>2.8663049999999999E-2</v>
      </c>
      <c r="R420">
        <v>-2.3513990000000001E-3</v>
      </c>
      <c r="S420">
        <v>3.0025330000000001</v>
      </c>
      <c r="T420">
        <v>-2.927983E-2</v>
      </c>
      <c r="U420">
        <v>0.1549683</v>
      </c>
      <c r="V420">
        <v>1.1890349999999999E-2</v>
      </c>
      <c r="W420">
        <v>3.8292880000000001E-2</v>
      </c>
      <c r="X420">
        <v>0.99919579999999997</v>
      </c>
      <c r="Y420">
        <v>-4.1999210000000002E-2</v>
      </c>
      <c r="Z420">
        <v>1.11549E-4</v>
      </c>
      <c r="AA420">
        <v>0.99911760000000005</v>
      </c>
      <c r="AB420">
        <v>32</v>
      </c>
      <c r="AC420">
        <v>108.6588</v>
      </c>
      <c r="AD420">
        <v>-1.0611202317799999</v>
      </c>
      <c r="AE420">
        <v>5.6152000000000104</v>
      </c>
      <c r="AF420">
        <v>-4.5764366248325201</v>
      </c>
      <c r="AG420">
        <v>-1.0611202317799999</v>
      </c>
      <c r="AH420">
        <v>108.697147548826</v>
      </c>
      <c r="AI420">
        <v>90.558818438637701</v>
      </c>
      <c r="AJ420">
        <v>92.410879586499604</v>
      </c>
      <c r="AK420">
        <v>108.79861963085099</v>
      </c>
      <c r="AL420">
        <v>87.805443007188302</v>
      </c>
      <c r="AM420">
        <v>89.318216993074799</v>
      </c>
      <c r="AN420">
        <v>0.99999998590972805</v>
      </c>
    </row>
    <row r="421" spans="1:40" x14ac:dyDescent="0.25">
      <c r="A421" t="str">
        <f>"20190312150644099"</f>
        <v>20190312150644099</v>
      </c>
      <c r="B421" t="str">
        <f>"1552374404091080"</f>
        <v>1552374404091080</v>
      </c>
      <c r="C421" t="s">
        <v>40</v>
      </c>
      <c r="D421">
        <v>4.2093819999999997</v>
      </c>
      <c r="E421">
        <v>0.47943330000000001</v>
      </c>
      <c r="F421" t="s">
        <v>42</v>
      </c>
      <c r="G421">
        <v>-321.14139999999998</v>
      </c>
      <c r="H421" s="1">
        <v>-4.4677539999999998E-6</v>
      </c>
      <c r="I421">
        <v>372.88690000000003</v>
      </c>
      <c r="J421">
        <v>-430.27519999999998</v>
      </c>
      <c r="K421">
        <v>1.060972</v>
      </c>
      <c r="L421">
        <v>367.1968</v>
      </c>
      <c r="M421">
        <v>0.99990820000000002</v>
      </c>
      <c r="N421">
        <v>0</v>
      </c>
      <c r="O421">
        <v>9.6244739999999992E-3</v>
      </c>
      <c r="P421">
        <v>0.99959089999999995</v>
      </c>
      <c r="Q421">
        <v>2.8544440000000001E-2</v>
      </c>
      <c r="R421">
        <v>-1.8567080000000001E-3</v>
      </c>
      <c r="S421">
        <v>3.002472</v>
      </c>
      <c r="T421">
        <v>-2.914572E-2</v>
      </c>
      <c r="U421">
        <v>0.1563416</v>
      </c>
      <c r="V421">
        <v>1.146784E-2</v>
      </c>
      <c r="W421">
        <v>3.8092279999999999E-2</v>
      </c>
      <c r="X421">
        <v>0.9992084</v>
      </c>
      <c r="Y421">
        <v>-4.2384659999999998E-2</v>
      </c>
      <c r="Z421">
        <v>1.12216E-4</v>
      </c>
      <c r="AA421">
        <v>0.99910129999999997</v>
      </c>
      <c r="AB421">
        <v>32</v>
      </c>
      <c r="AC421">
        <v>109.13379999999999</v>
      </c>
      <c r="AD421">
        <v>-1.0609764677539999</v>
      </c>
      <c r="AE421">
        <v>5.6901000000000197</v>
      </c>
      <c r="AF421">
        <v>-4.6389959787344601</v>
      </c>
      <c r="AG421">
        <v>-1.0609764677539999</v>
      </c>
      <c r="AH421">
        <v>109.173221226161</v>
      </c>
      <c r="AI421">
        <v>90.556297220228501</v>
      </c>
      <c r="AJ421">
        <v>92.433152470079307</v>
      </c>
      <c r="AK421">
        <v>109.276887710312</v>
      </c>
      <c r="AL421">
        <v>87.816944919429204</v>
      </c>
      <c r="AM421">
        <v>89.342449497833002</v>
      </c>
      <c r="AN421">
        <v>0.99999997989021105</v>
      </c>
    </row>
    <row r="422" spans="1:40" x14ac:dyDescent="0.25">
      <c r="A422" t="str">
        <f>"20190312150644112"</f>
        <v>20190312150644112</v>
      </c>
      <c r="B422" t="str">
        <f>"1552374404100840"</f>
        <v>1552374404100840</v>
      </c>
      <c r="C422" t="s">
        <v>40</v>
      </c>
      <c r="D422">
        <v>4.1648339999999999</v>
      </c>
      <c r="E422">
        <v>0.4788366</v>
      </c>
      <c r="F422" t="s">
        <v>42</v>
      </c>
      <c r="G422">
        <v>-322.23379999999997</v>
      </c>
      <c r="H422" s="1">
        <v>-4.0947379999999997E-6</v>
      </c>
      <c r="I422">
        <v>372.87990000000002</v>
      </c>
      <c r="J422">
        <v>-430.10340000000002</v>
      </c>
      <c r="K422">
        <v>1.0608470000000001</v>
      </c>
      <c r="L422">
        <v>367.19850000000002</v>
      </c>
      <c r="M422">
        <v>0.99990820000000002</v>
      </c>
      <c r="N422">
        <v>0</v>
      </c>
      <c r="O422">
        <v>9.6874909999999995E-3</v>
      </c>
      <c r="P422">
        <v>0.99958849999999999</v>
      </c>
      <c r="Q422">
        <v>2.8658920000000001E-2</v>
      </c>
      <c r="R422">
        <v>-1.214917E-3</v>
      </c>
      <c r="S422">
        <v>3.0023499999999999</v>
      </c>
      <c r="T422">
        <v>-2.948332E-2</v>
      </c>
      <c r="U422">
        <v>0.1579285</v>
      </c>
      <c r="V422">
        <v>1.088977E-2</v>
      </c>
      <c r="W422">
        <v>3.8134210000000002E-2</v>
      </c>
      <c r="X422">
        <v>0.99921329999999997</v>
      </c>
      <c r="Y422">
        <v>-4.2850390000000002E-2</v>
      </c>
      <c r="Z422">
        <v>1.151857E-4</v>
      </c>
      <c r="AA422">
        <v>0.99908149999999996</v>
      </c>
      <c r="AB422">
        <v>32</v>
      </c>
      <c r="AC422">
        <v>107.86960000000001</v>
      </c>
      <c r="AD422">
        <v>-1.0608510947380001</v>
      </c>
      <c r="AE422">
        <v>5.6813999999999902</v>
      </c>
      <c r="AF422">
        <v>-4.63565358993994</v>
      </c>
      <c r="AG422">
        <v>-1.0608510947380001</v>
      </c>
      <c r="AH422">
        <v>107.90917079387501</v>
      </c>
      <c r="AI422">
        <v>90.562735577744604</v>
      </c>
      <c r="AJ422">
        <v>92.459848200825704</v>
      </c>
      <c r="AK422">
        <v>108.013905728257</v>
      </c>
      <c r="AL422">
        <v>87.814540830711906</v>
      </c>
      <c r="AM422">
        <v>89.375595620956702</v>
      </c>
      <c r="AN422">
        <v>1.0000000119799299</v>
      </c>
    </row>
    <row r="423" spans="1:40" x14ac:dyDescent="0.25">
      <c r="A423" t="str">
        <f>"20190312150644127"</f>
        <v>20190312150644127</v>
      </c>
      <c r="B423" t="str">
        <f>"1552374404121336"</f>
        <v>1552374404121336</v>
      </c>
      <c r="C423" t="s">
        <v>40</v>
      </c>
      <c r="D423">
        <v>4.2112470000000002</v>
      </c>
      <c r="E423">
        <v>0.47949599999999998</v>
      </c>
      <c r="F423" t="s">
        <v>42</v>
      </c>
      <c r="G423">
        <v>-385.09780000000001</v>
      </c>
      <c r="H423" s="1">
        <v>-2.0967510000000001E-6</v>
      </c>
      <c r="I423">
        <v>369.65910000000002</v>
      </c>
      <c r="J423">
        <v>-429.89600000000002</v>
      </c>
      <c r="K423">
        <v>1.0607059999999999</v>
      </c>
      <c r="L423">
        <v>367.20060000000001</v>
      </c>
      <c r="M423">
        <v>0.99990829999999997</v>
      </c>
      <c r="N423">
        <v>0</v>
      </c>
      <c r="O423">
        <v>9.7573750000000004E-3</v>
      </c>
      <c r="P423">
        <v>0.99958190000000002</v>
      </c>
      <c r="Q423">
        <v>2.889589E-2</v>
      </c>
      <c r="R423">
        <v>-1.0991830000000001E-3</v>
      </c>
      <c r="S423">
        <v>3.0035400000000001</v>
      </c>
      <c r="T423">
        <v>-7.079792E-2</v>
      </c>
      <c r="U423">
        <v>0.1642151</v>
      </c>
      <c r="V423">
        <v>1.084473E-2</v>
      </c>
      <c r="W423">
        <v>3.8289549999999999E-2</v>
      </c>
      <c r="X423">
        <v>0.99920790000000004</v>
      </c>
      <c r="Y423">
        <v>-4.4836750000000002E-2</v>
      </c>
      <c r="Z423">
        <v>2.9818249999999998E-4</v>
      </c>
      <c r="AA423">
        <v>0.9989943</v>
      </c>
      <c r="AB423">
        <v>32</v>
      </c>
      <c r="AC423">
        <v>44.798199999999902</v>
      </c>
      <c r="AD423">
        <v>-1.0607080967510001</v>
      </c>
      <c r="AE423">
        <v>2.4585000000000101</v>
      </c>
      <c r="AF423">
        <v>-2.0201217176763802</v>
      </c>
      <c r="AG423">
        <v>-1.0607080967510001</v>
      </c>
      <c r="AH423">
        <v>44.795019093513297</v>
      </c>
      <c r="AI423">
        <v>91.355085293547504</v>
      </c>
      <c r="AJ423">
        <v>92.582119211774199</v>
      </c>
      <c r="AK423">
        <v>44.853090517922602</v>
      </c>
      <c r="AL423">
        <v>87.805634110566402</v>
      </c>
      <c r="AM423">
        <v>89.378174588940496</v>
      </c>
      <c r="AN423">
        <v>1.0000000626151899</v>
      </c>
    </row>
    <row r="424" spans="1:40" x14ac:dyDescent="0.25">
      <c r="A424" t="str">
        <f>"20190312150644142"</f>
        <v>20190312150644142</v>
      </c>
      <c r="B424" t="str">
        <f>"1552374404131096"</f>
        <v>1552374404131096</v>
      </c>
      <c r="C424" t="s">
        <v>40</v>
      </c>
      <c r="D424">
        <v>4.6054769999999996</v>
      </c>
      <c r="E424">
        <v>0.47970780000000002</v>
      </c>
      <c r="F424" t="s">
        <v>42</v>
      </c>
      <c r="G424">
        <v>-373.50619999999998</v>
      </c>
      <c r="H424" s="1">
        <v>-2.9216079999999999E-6</v>
      </c>
      <c r="I424">
        <v>370.19299999999998</v>
      </c>
      <c r="J424">
        <v>-429.666</v>
      </c>
      <c r="K424">
        <v>1.060565</v>
      </c>
      <c r="L424">
        <v>367.2029</v>
      </c>
      <c r="M424">
        <v>0.99990840000000003</v>
      </c>
      <c r="N424">
        <v>0</v>
      </c>
      <c r="O424">
        <v>9.8225199999999995E-3</v>
      </c>
      <c r="P424">
        <v>0.9995771</v>
      </c>
      <c r="Q424">
        <v>2.9064220000000002E-2</v>
      </c>
      <c r="R424">
        <v>-1.0410389999999999E-3</v>
      </c>
      <c r="S424">
        <v>3.0030519999999998</v>
      </c>
      <c r="T424">
        <v>-5.6488160000000003E-2</v>
      </c>
      <c r="U424">
        <v>0.1593628</v>
      </c>
      <c r="V424">
        <v>1.085273E-2</v>
      </c>
      <c r="W424">
        <v>3.8377210000000002E-2</v>
      </c>
      <c r="X424">
        <v>0.99920439999999999</v>
      </c>
      <c r="Y424">
        <v>-4.3174810000000001E-2</v>
      </c>
      <c r="Z424">
        <v>2.211316E-4</v>
      </c>
      <c r="AA424">
        <v>0.9990675</v>
      </c>
      <c r="AB424">
        <v>32</v>
      </c>
      <c r="AC424">
        <v>56.159799999999997</v>
      </c>
      <c r="AD424">
        <v>-1.060567921608</v>
      </c>
      <c r="AE424">
        <v>2.9901000000000399</v>
      </c>
      <c r="AF424">
        <v>-2.4374342416995698</v>
      </c>
      <c r="AG424">
        <v>-1.060567921608</v>
      </c>
      <c r="AH424">
        <v>56.166487687972101</v>
      </c>
      <c r="AI424">
        <v>91.080746358104605</v>
      </c>
      <c r="AJ424">
        <v>92.484882545840804</v>
      </c>
      <c r="AK424">
        <v>56.229353803881502</v>
      </c>
      <c r="AL424">
        <v>87.800607758284897</v>
      </c>
      <c r="AM424">
        <v>89.377713733856993</v>
      </c>
      <c r="AN424">
        <v>1.0000000124875901</v>
      </c>
    </row>
    <row r="425" spans="1:40" x14ac:dyDescent="0.25">
      <c r="A425" t="str">
        <f>"20190312150644155"</f>
        <v>20190312150644155</v>
      </c>
      <c r="B425" t="str">
        <f>"1552374404150616"</f>
        <v>1552374404150616</v>
      </c>
      <c r="C425" t="s">
        <v>40</v>
      </c>
      <c r="D425">
        <v>4.7853510000000004</v>
      </c>
      <c r="E425">
        <v>0.4849813</v>
      </c>
      <c r="F425" t="s">
        <v>42</v>
      </c>
      <c r="G425">
        <v>-365.14940000000001</v>
      </c>
      <c r="H425" s="1">
        <v>-2.3245969999999999E-6</v>
      </c>
      <c r="I425">
        <v>370.5985</v>
      </c>
      <c r="J425">
        <v>-429.49439999999998</v>
      </c>
      <c r="K425">
        <v>1.0604739999999999</v>
      </c>
      <c r="L425">
        <v>367.20460000000003</v>
      </c>
      <c r="M425">
        <v>0.99990849999999998</v>
      </c>
      <c r="N425">
        <v>0</v>
      </c>
      <c r="O425">
        <v>9.8624179999999995E-3</v>
      </c>
      <c r="P425">
        <v>0.99958000000000002</v>
      </c>
      <c r="Q425">
        <v>2.8959869999999999E-2</v>
      </c>
      <c r="R425">
        <v>-1.178094E-3</v>
      </c>
      <c r="S425">
        <v>3.002869</v>
      </c>
      <c r="T425">
        <v>-4.9363020000000001E-2</v>
      </c>
      <c r="U425">
        <v>0.15805050000000001</v>
      </c>
      <c r="V425">
        <v>1.103055E-2</v>
      </c>
      <c r="W425">
        <v>3.8219969999999999E-2</v>
      </c>
      <c r="X425">
        <v>0.99920850000000005</v>
      </c>
      <c r="Y425">
        <v>-4.2704249999999999E-2</v>
      </c>
      <c r="Z425">
        <v>1.887371E-4</v>
      </c>
      <c r="AA425">
        <v>0.99908779999999997</v>
      </c>
      <c r="AB425">
        <v>32</v>
      </c>
      <c r="AC425">
        <v>64.344999999999899</v>
      </c>
      <c r="AD425">
        <v>-1.0604763245969999</v>
      </c>
      <c r="AE425">
        <v>3.3938999999999702</v>
      </c>
      <c r="AF425">
        <v>-2.7583632696877198</v>
      </c>
      <c r="AG425">
        <v>-1.0604763245969999</v>
      </c>
      <c r="AH425">
        <v>64.357910995945403</v>
      </c>
      <c r="AI425">
        <v>90.943156836346404</v>
      </c>
      <c r="AJ425">
        <v>92.454180151443495</v>
      </c>
      <c r="AK425">
        <v>64.425723788907703</v>
      </c>
      <c r="AL425">
        <v>87.809623605614206</v>
      </c>
      <c r="AM425">
        <v>89.367521103605995</v>
      </c>
      <c r="AN425">
        <v>1.00000003280617</v>
      </c>
    </row>
    <row r="426" spans="1:40" x14ac:dyDescent="0.25">
      <c r="A426" t="str">
        <f>"20190312150644168"</f>
        <v>20190312150644168</v>
      </c>
      <c r="B426" t="str">
        <f>"1552374404161352"</f>
        <v>1552374404161352</v>
      </c>
      <c r="C426" t="s">
        <v>40</v>
      </c>
      <c r="D426">
        <v>4.2055449999999999</v>
      </c>
      <c r="E426">
        <v>0.48820360000000002</v>
      </c>
      <c r="F426" t="s">
        <v>42</v>
      </c>
      <c r="G426">
        <v>-359.84620000000001</v>
      </c>
      <c r="H426" s="1">
        <v>-1.200381E-7</v>
      </c>
      <c r="I426">
        <v>369.88600000000002</v>
      </c>
      <c r="J426">
        <v>-429.29930000000002</v>
      </c>
      <c r="K426">
        <v>1.060381</v>
      </c>
      <c r="L426">
        <v>367.20659999999998</v>
      </c>
      <c r="M426">
        <v>0.99990860000000004</v>
      </c>
      <c r="N426">
        <v>0</v>
      </c>
      <c r="O426">
        <v>9.9026749999999997E-3</v>
      </c>
      <c r="P426">
        <v>0.99958069999999999</v>
      </c>
      <c r="Q426">
        <v>2.8924979999999999E-2</v>
      </c>
      <c r="R426">
        <v>-1.4139409999999999E-3</v>
      </c>
      <c r="S426">
        <v>3.0027159999999999</v>
      </c>
      <c r="T426">
        <v>-4.5719740000000002E-2</v>
      </c>
      <c r="U426">
        <v>0.1156006</v>
      </c>
      <c r="V426">
        <v>1.1307670000000001E-2</v>
      </c>
      <c r="W426">
        <v>3.8128969999999998E-2</v>
      </c>
      <c r="X426">
        <v>0.99920889999999996</v>
      </c>
      <c r="Y426">
        <v>-2.8570370000000001E-2</v>
      </c>
      <c r="Z426" s="1">
        <v>6.6702719999999996E-5</v>
      </c>
      <c r="AA426">
        <v>0.99959180000000003</v>
      </c>
      <c r="AB426">
        <v>32</v>
      </c>
      <c r="AC426">
        <v>69.453100000000006</v>
      </c>
      <c r="AD426">
        <v>-1.0603811200380999</v>
      </c>
      <c r="AE426">
        <v>2.6793999999999798</v>
      </c>
      <c r="AF426">
        <v>-1.9910045830135601</v>
      </c>
      <c r="AG426">
        <v>-1.0603811200380999</v>
      </c>
      <c r="AH426">
        <v>69.460061570406197</v>
      </c>
      <c r="AI426">
        <v>90.874253556610199</v>
      </c>
      <c r="AJ426">
        <v>91.641877789405697</v>
      </c>
      <c r="AK426">
        <v>69.496680933221</v>
      </c>
      <c r="AL426">
        <v>87.814841370521606</v>
      </c>
      <c r="AM426">
        <v>89.351632964784002</v>
      </c>
      <c r="AN426">
        <v>1.00000005379664</v>
      </c>
    </row>
    <row r="427" spans="1:40" x14ac:dyDescent="0.25">
      <c r="A427" t="str">
        <f>"20190312150644180"</f>
        <v>20190312150644180</v>
      </c>
      <c r="B427" t="str">
        <f>"1552374404171112"</f>
        <v>1552374404171112</v>
      </c>
      <c r="C427" t="s">
        <v>40</v>
      </c>
      <c r="D427">
        <v>4.3161129999999996</v>
      </c>
      <c r="E427">
        <v>0.49088330000000002</v>
      </c>
      <c r="F427" t="s">
        <v>42</v>
      </c>
      <c r="G427">
        <v>-342.51729999999998</v>
      </c>
      <c r="H427" s="1">
        <v>-3.5619850000000002E-6</v>
      </c>
      <c r="I427">
        <v>369.78309999999999</v>
      </c>
      <c r="J427">
        <v>-429.11630000000002</v>
      </c>
      <c r="K427">
        <v>1.0603009999999999</v>
      </c>
      <c r="L427">
        <v>367.20839999999998</v>
      </c>
      <c r="M427">
        <v>0.99990889999999999</v>
      </c>
      <c r="N427">
        <v>0</v>
      </c>
      <c r="O427">
        <v>9.9329989999999996E-3</v>
      </c>
      <c r="P427">
        <v>0.99957660000000004</v>
      </c>
      <c r="Q427">
        <v>2.9053490000000001E-2</v>
      </c>
      <c r="R427">
        <v>-1.774695E-3</v>
      </c>
      <c r="S427">
        <v>3.0024410000000001</v>
      </c>
      <c r="T427">
        <v>-3.6686660000000003E-2</v>
      </c>
      <c r="U427">
        <v>8.9141849999999995E-2</v>
      </c>
      <c r="V427">
        <v>1.169942E-2</v>
      </c>
      <c r="W427">
        <v>3.8211410000000001E-2</v>
      </c>
      <c r="X427">
        <v>0.99920120000000001</v>
      </c>
      <c r="Y427">
        <v>-1.9745479999999999E-2</v>
      </c>
      <c r="Z427" s="1">
        <v>-7.3522099999999896E-7</v>
      </c>
      <c r="AA427">
        <v>0.99980500000000005</v>
      </c>
      <c r="AB427">
        <v>32</v>
      </c>
      <c r="AC427">
        <v>86.599000000000004</v>
      </c>
      <c r="AD427">
        <v>-1.060304561985</v>
      </c>
      <c r="AE427">
        <v>2.5747</v>
      </c>
      <c r="AF427">
        <v>-1.71409252777843</v>
      </c>
      <c r="AG427">
        <v>-1.060304561985</v>
      </c>
      <c r="AH427">
        <v>86.607330991280506</v>
      </c>
      <c r="AI427">
        <v>90.701280686572701</v>
      </c>
      <c r="AJ427">
        <v>91.133823733761602</v>
      </c>
      <c r="AK427">
        <v>86.630780559747805</v>
      </c>
      <c r="AL427">
        <v>87.810114373005305</v>
      </c>
      <c r="AM427">
        <v>89.329167380558999</v>
      </c>
      <c r="AN427">
        <v>1.00000001318198</v>
      </c>
    </row>
    <row r="428" spans="1:40" x14ac:dyDescent="0.25">
      <c r="A428" t="str">
        <f>"20190312150644199"</f>
        <v>20190312150644199</v>
      </c>
      <c r="B428" t="str">
        <f>"1552374404190632"</f>
        <v>1552374404190632</v>
      </c>
      <c r="C428" t="s">
        <v>40</v>
      </c>
      <c r="D428">
        <v>4.447756</v>
      </c>
      <c r="E428">
        <v>0.49487029999999899</v>
      </c>
      <c r="F428" t="s">
        <v>43</v>
      </c>
      <c r="G428">
        <v>-311.2482</v>
      </c>
      <c r="H428">
        <v>-0.05</v>
      </c>
      <c r="I428">
        <v>369.82159999999999</v>
      </c>
      <c r="J428">
        <v>-428.85210000000001</v>
      </c>
      <c r="K428">
        <v>1.0601989999999999</v>
      </c>
      <c r="L428">
        <v>367.21109999999999</v>
      </c>
      <c r="M428">
        <v>0.99990889999999999</v>
      </c>
      <c r="N428">
        <v>0</v>
      </c>
      <c r="O428">
        <v>9.9656599999999994E-3</v>
      </c>
      <c r="P428">
        <v>0.99957249999999997</v>
      </c>
      <c r="Q428">
        <v>2.9160220000000001E-2</v>
      </c>
      <c r="R428">
        <v>-2.1801590000000001E-3</v>
      </c>
      <c r="S428">
        <v>3.0021969999999998</v>
      </c>
      <c r="T428">
        <v>-2.8280260000000002E-2</v>
      </c>
      <c r="U428">
        <v>6.6558839999999994E-2</v>
      </c>
      <c r="V428">
        <v>1.213851E-2</v>
      </c>
      <c r="W428">
        <v>3.8261910000000003E-2</v>
      </c>
      <c r="X428">
        <v>0.99919400000000003</v>
      </c>
      <c r="Y428">
        <v>-1.219977E-2</v>
      </c>
      <c r="Z428" s="1">
        <v>-3.6409899999999998E-5</v>
      </c>
      <c r="AA428">
        <v>0.99992559999999997</v>
      </c>
      <c r="AB428">
        <v>32</v>
      </c>
      <c r="AC428">
        <v>117.6039</v>
      </c>
      <c r="AD428">
        <v>-1.1101989999999999</v>
      </c>
      <c r="AE428">
        <v>2.6105</v>
      </c>
      <c r="AF428">
        <v>-1.43819320106727</v>
      </c>
      <c r="AG428">
        <v>-1.1101989999999999</v>
      </c>
      <c r="AH428">
        <v>117.61359977254</v>
      </c>
      <c r="AI428">
        <v>90.540779921462203</v>
      </c>
      <c r="AJ428">
        <v>90.700584744857096</v>
      </c>
      <c r="AK428">
        <v>117.62763192787</v>
      </c>
      <c r="AL428">
        <v>87.807218753374599</v>
      </c>
      <c r="AM428">
        <v>89.303987832115993</v>
      </c>
      <c r="AN428">
        <v>0.99999998340893403</v>
      </c>
    </row>
    <row r="429" spans="1:40" x14ac:dyDescent="0.25">
      <c r="A429" t="str">
        <f>"20190312150644211"</f>
        <v>20190312150644211</v>
      </c>
      <c r="B429" t="str">
        <f>"1552374404201368"</f>
        <v>1552374404201368</v>
      </c>
      <c r="C429" t="s">
        <v>40</v>
      </c>
      <c r="D429">
        <v>4.4737220000000004</v>
      </c>
      <c r="E429">
        <v>0.49635230000000002</v>
      </c>
      <c r="F429" t="s">
        <v>42</v>
      </c>
      <c r="G429">
        <v>-236.99969999999999</v>
      </c>
      <c r="H429" s="1">
        <v>-1.314135E-6</v>
      </c>
      <c r="I429">
        <v>369.36430000000001</v>
      </c>
      <c r="J429">
        <v>-428.68270000000001</v>
      </c>
      <c r="K429">
        <v>1.0601419999999999</v>
      </c>
      <c r="L429">
        <v>367.21280000000002</v>
      </c>
      <c r="M429">
        <v>0.99990900000000005</v>
      </c>
      <c r="N429">
        <v>0</v>
      </c>
      <c r="O429">
        <v>9.9809789999999992E-3</v>
      </c>
      <c r="P429">
        <v>0.99957099999999999</v>
      </c>
      <c r="Q429">
        <v>2.9162629999999998E-2</v>
      </c>
      <c r="R429">
        <v>-2.7406370000000002E-3</v>
      </c>
      <c r="S429">
        <v>3.0018009999999999</v>
      </c>
      <c r="T429">
        <v>-1.6588329999999998E-2</v>
      </c>
      <c r="U429">
        <v>3.3691409999999998E-2</v>
      </c>
      <c r="V429">
        <v>1.271503E-2</v>
      </c>
      <c r="W429">
        <v>3.8233320000000001E-2</v>
      </c>
      <c r="X429">
        <v>0.99918790000000002</v>
      </c>
      <c r="Y429">
        <v>-1.2418380000000001E-3</v>
      </c>
      <c r="Z429" s="1">
        <v>-5.1723659999999998E-5</v>
      </c>
      <c r="AA429">
        <v>0.99999919999999998</v>
      </c>
      <c r="AB429">
        <v>32</v>
      </c>
      <c r="AC429">
        <v>191.68299999999999</v>
      </c>
      <c r="AD429">
        <v>-1.0601433141349901</v>
      </c>
      <c r="AE429">
        <v>2.1514999999999902</v>
      </c>
      <c r="AF429">
        <v>-0.238122740678264</v>
      </c>
      <c r="AG429">
        <v>-1.0601433141349901</v>
      </c>
      <c r="AH429">
        <v>191.68906341843399</v>
      </c>
      <c r="AI429">
        <v>90.316872910445696</v>
      </c>
      <c r="AJ429">
        <v>90.071174749282605</v>
      </c>
      <c r="AK429">
        <v>191.69214287633901</v>
      </c>
      <c r="AL429">
        <v>87.808857985983593</v>
      </c>
      <c r="AM429">
        <v>89.270929686934295</v>
      </c>
      <c r="AN429">
        <v>0.99999995912626505</v>
      </c>
    </row>
    <row r="430" spans="1:40" x14ac:dyDescent="0.25">
      <c r="A430" t="str">
        <f>"20190312150644223"</f>
        <v>20190312150644223</v>
      </c>
      <c r="B430" t="str">
        <f>"1552374404220888"</f>
        <v>1552374404220888</v>
      </c>
      <c r="C430" t="s">
        <v>40</v>
      </c>
      <c r="D430">
        <v>4.3915579999999999</v>
      </c>
      <c r="E430">
        <v>0.49857689999999999</v>
      </c>
      <c r="F430" t="s">
        <v>49</v>
      </c>
      <c r="G430">
        <v>-180.44470000000001</v>
      </c>
      <c r="H430" s="1">
        <v>-9.4815159999999994E-6</v>
      </c>
      <c r="I430">
        <v>368.88600000000002</v>
      </c>
      <c r="J430">
        <v>-428.49849999999998</v>
      </c>
      <c r="K430">
        <v>1.0600830000000001</v>
      </c>
      <c r="L430">
        <v>367.21460000000002</v>
      </c>
      <c r="M430">
        <v>0.9999093</v>
      </c>
      <c r="N430">
        <v>0</v>
      </c>
      <c r="O430">
        <v>9.9944490000000007E-3</v>
      </c>
      <c r="P430">
        <v>0.99957249999999997</v>
      </c>
      <c r="Q430">
        <v>2.91037E-2</v>
      </c>
      <c r="R430">
        <v>-2.8300019999999999E-3</v>
      </c>
      <c r="S430">
        <v>3.001709</v>
      </c>
      <c r="T430">
        <v>-1.281941E-2</v>
      </c>
      <c r="U430">
        <v>2.0233149999999998E-2</v>
      </c>
      <c r="V430">
        <v>1.2818629999999999E-2</v>
      </c>
      <c r="W430">
        <v>3.8143740000000002E-2</v>
      </c>
      <c r="X430">
        <v>0.99919000000000002</v>
      </c>
      <c r="Y430">
        <v>3.254453E-3</v>
      </c>
      <c r="Z430" s="1">
        <v>-4.9632790000000003E-5</v>
      </c>
      <c r="AA430">
        <v>0.99999470000000001</v>
      </c>
      <c r="AB430">
        <v>32</v>
      </c>
      <c r="AC430">
        <v>248.0538</v>
      </c>
      <c r="AD430">
        <v>-1.060092481516</v>
      </c>
      <c r="AE430">
        <v>1.67139999999994</v>
      </c>
      <c r="AF430">
        <v>0.80793081953219603</v>
      </c>
      <c r="AG430">
        <v>-1.060092481516</v>
      </c>
      <c r="AH430">
        <v>248.05358491588601</v>
      </c>
      <c r="AI430">
        <v>90.244858920957</v>
      </c>
      <c r="AJ430">
        <v>89.813383618622396</v>
      </c>
      <c r="AK430">
        <v>248.05716586686401</v>
      </c>
      <c r="AL430">
        <v>87.813994288815707</v>
      </c>
      <c r="AM430">
        <v>89.264991534066297</v>
      </c>
      <c r="AN430">
        <v>0.999999959138131</v>
      </c>
    </row>
    <row r="431" spans="1:40" x14ac:dyDescent="0.25">
      <c r="A431" t="str">
        <f>"20190312150644244"</f>
        <v>20190312150644244</v>
      </c>
      <c r="B431" t="str">
        <f>"1552374404241384"</f>
        <v>1552374404241384</v>
      </c>
      <c r="C431" t="s">
        <v>40</v>
      </c>
      <c r="D431">
        <v>4.3555859999999997</v>
      </c>
      <c r="E431">
        <v>0.50032579999999904</v>
      </c>
      <c r="F431" t="s">
        <v>47</v>
      </c>
      <c r="G431">
        <v>-158.78319999999999</v>
      </c>
      <c r="H431">
        <v>0.54220080000000004</v>
      </c>
      <c r="I431">
        <v>367.44499999999999</v>
      </c>
      <c r="J431">
        <v>-428.21140000000003</v>
      </c>
      <c r="K431">
        <v>1.060001</v>
      </c>
      <c r="L431">
        <v>367.21749999999997</v>
      </c>
      <c r="M431">
        <v>0.99990939999999995</v>
      </c>
      <c r="N431">
        <v>0</v>
      </c>
      <c r="O431">
        <v>1.000711E-2</v>
      </c>
      <c r="P431">
        <v>0.99958530000000001</v>
      </c>
      <c r="Q431">
        <v>2.856415E-2</v>
      </c>
      <c r="R431">
        <v>-3.6472869999999999E-3</v>
      </c>
      <c r="S431">
        <v>3.0014340000000002</v>
      </c>
      <c r="T431">
        <v>-5.7621E-3</v>
      </c>
      <c r="U431">
        <v>2.5634770000000002E-3</v>
      </c>
      <c r="V431">
        <v>1.364949E-2</v>
      </c>
      <c r="W431">
        <v>3.756528E-2</v>
      </c>
      <c r="X431">
        <v>0.99920089999999995</v>
      </c>
      <c r="Y431">
        <v>9.1534340000000002E-3</v>
      </c>
      <c r="Z431" s="1">
        <v>-2.799826E-5</v>
      </c>
      <c r="AA431">
        <v>0.99995809999999996</v>
      </c>
      <c r="AB431">
        <v>32</v>
      </c>
      <c r="AC431">
        <v>269.4282</v>
      </c>
      <c r="AD431">
        <v>-0.51780019999999904</v>
      </c>
      <c r="AE431">
        <v>0.22750000000001999</v>
      </c>
      <c r="AF431">
        <v>2.4688091777793302</v>
      </c>
      <c r="AG431">
        <v>-0.51780019999999904</v>
      </c>
      <c r="AH431">
        <v>269.41598961756199</v>
      </c>
      <c r="AI431">
        <v>90.110114043616605</v>
      </c>
      <c r="AJ431">
        <v>89.474981468541998</v>
      </c>
      <c r="AK431">
        <v>269.427798486744</v>
      </c>
      <c r="AL431">
        <v>87.847161356912594</v>
      </c>
      <c r="AM431">
        <v>89.217365067236202</v>
      </c>
      <c r="AN431">
        <v>0.99999994869977205</v>
      </c>
    </row>
    <row r="432" spans="1:40" x14ac:dyDescent="0.25">
      <c r="A432" t="str">
        <f>"20190312150644258"</f>
        <v>20190312150644258</v>
      </c>
      <c r="B432" t="str">
        <f>"1552374404251144"</f>
        <v>1552374404251144</v>
      </c>
      <c r="C432" t="s">
        <v>40</v>
      </c>
      <c r="D432">
        <v>4.2351190000000001</v>
      </c>
      <c r="E432">
        <v>0.5010812</v>
      </c>
      <c r="F432" t="s">
        <v>47</v>
      </c>
      <c r="G432">
        <v>-158.19499999999999</v>
      </c>
      <c r="H432">
        <v>0.63427140000000004</v>
      </c>
      <c r="I432">
        <v>365.97930000000002</v>
      </c>
      <c r="J432">
        <v>-427.99579999999997</v>
      </c>
      <c r="K432">
        <v>1.0599540000000001</v>
      </c>
      <c r="L432">
        <v>367.21960000000001</v>
      </c>
      <c r="M432">
        <v>0.99990979999999996</v>
      </c>
      <c r="N432">
        <v>0</v>
      </c>
      <c r="O432">
        <v>1.001205E-2</v>
      </c>
      <c r="P432">
        <v>0.99958930000000001</v>
      </c>
      <c r="Q432">
        <v>2.8394329999999999E-2</v>
      </c>
      <c r="R432">
        <v>-3.9515829999999998E-3</v>
      </c>
      <c r="S432">
        <v>3.0013429999999999</v>
      </c>
      <c r="T432">
        <v>-4.7311779999999999E-3</v>
      </c>
      <c r="U432">
        <v>-1.376343E-2</v>
      </c>
      <c r="V432">
        <v>1.395908E-2</v>
      </c>
      <c r="W432">
        <v>3.7371809999999998E-2</v>
      </c>
      <c r="X432">
        <v>0.99920390000000003</v>
      </c>
      <c r="Y432">
        <v>1.4597789999999999E-2</v>
      </c>
      <c r="Z432" s="1">
        <v>-2.7288540000000001E-5</v>
      </c>
      <c r="AA432">
        <v>0.99989340000000004</v>
      </c>
      <c r="AB432">
        <v>32</v>
      </c>
      <c r="AC432">
        <v>269.80079999999998</v>
      </c>
      <c r="AD432">
        <v>-0.42568260000000002</v>
      </c>
      <c r="AE432">
        <v>-1.24029999999999</v>
      </c>
      <c r="AF432">
        <v>3.9415953772009402</v>
      </c>
      <c r="AG432">
        <v>-0.42568260000000002</v>
      </c>
      <c r="AH432">
        <v>269.77418601603301</v>
      </c>
      <c r="AI432">
        <v>90.090398542750094</v>
      </c>
      <c r="AJ432">
        <v>89.162926909265394</v>
      </c>
      <c r="AK432">
        <v>269.80331506563601</v>
      </c>
      <c r="AL432">
        <v>87.858254208892305</v>
      </c>
      <c r="AM432">
        <v>89.199618471449696</v>
      </c>
      <c r="AN432">
        <v>0.99999997093616499</v>
      </c>
    </row>
    <row r="433" spans="1:40" x14ac:dyDescent="0.25">
      <c r="A433" t="str">
        <f>"20190312150644277"</f>
        <v>20190312150644277</v>
      </c>
      <c r="B433" t="str">
        <f>"1552374404270664"</f>
        <v>1552374404270664</v>
      </c>
      <c r="C433" t="s">
        <v>40</v>
      </c>
      <c r="D433">
        <v>4.2146109999999997</v>
      </c>
      <c r="E433">
        <v>0.50229899999999905</v>
      </c>
      <c r="F433" t="s">
        <v>47</v>
      </c>
      <c r="G433">
        <v>-158.19499999999999</v>
      </c>
      <c r="H433">
        <v>0.80170730000000001</v>
      </c>
      <c r="I433">
        <v>365.34039999999999</v>
      </c>
      <c r="J433">
        <v>-427.7287</v>
      </c>
      <c r="K433">
        <v>1.059917</v>
      </c>
      <c r="L433">
        <v>367.22230000000002</v>
      </c>
      <c r="M433">
        <v>0.9999093</v>
      </c>
      <c r="N433">
        <v>0</v>
      </c>
      <c r="O433">
        <v>1.0015909999999999E-2</v>
      </c>
      <c r="P433">
        <v>0.99958939999999996</v>
      </c>
      <c r="Q433">
        <v>2.832376E-2</v>
      </c>
      <c r="R433">
        <v>-4.340483E-3</v>
      </c>
      <c r="S433">
        <v>3.0012509999999999</v>
      </c>
      <c r="T433">
        <v>-2.871752E-3</v>
      </c>
      <c r="U433">
        <v>-2.0904539999999999E-2</v>
      </c>
      <c r="V433">
        <v>1.4352230000000001E-2</v>
      </c>
      <c r="W433">
        <v>3.7319400000000003E-2</v>
      </c>
      <c r="X433">
        <v>0.99920030000000004</v>
      </c>
      <c r="Y433">
        <v>1.6980820000000001E-2</v>
      </c>
      <c r="Z433" s="1">
        <v>-1.7707929999999999E-5</v>
      </c>
      <c r="AA433">
        <v>0.99985579999999996</v>
      </c>
      <c r="AB433">
        <v>32</v>
      </c>
      <c r="AC433">
        <v>269.53370000000001</v>
      </c>
      <c r="AD433">
        <v>-0.25820969999999999</v>
      </c>
      <c r="AE433">
        <v>-1.8819000000000301</v>
      </c>
      <c r="AF433">
        <v>4.5815361124971901</v>
      </c>
      <c r="AG433">
        <v>-0.25820969999999999</v>
      </c>
      <c r="AH433">
        <v>269.50108193815203</v>
      </c>
      <c r="AI433">
        <v>90.054887290524604</v>
      </c>
      <c r="AJ433">
        <v>89.026061797321105</v>
      </c>
      <c r="AK433">
        <v>269.54014601026302</v>
      </c>
      <c r="AL433">
        <v>87.861259200312503</v>
      </c>
      <c r="AM433">
        <v>89.177076248115299</v>
      </c>
      <c r="AN433">
        <v>0.99999998182121097</v>
      </c>
    </row>
    <row r="434" spans="1:40" x14ac:dyDescent="0.25">
      <c r="A434" t="str">
        <f>"20190312150644289"</f>
        <v>20190312150644289</v>
      </c>
      <c r="B434" t="str">
        <f>"1552374404281400"</f>
        <v>1552374404281400</v>
      </c>
      <c r="C434" t="s">
        <v>40</v>
      </c>
      <c r="D434">
        <v>4.2125690000000002</v>
      </c>
      <c r="E434">
        <v>0.50282979999999999</v>
      </c>
      <c r="F434" t="s">
        <v>47</v>
      </c>
      <c r="G434">
        <v>-158.19499999999999</v>
      </c>
      <c r="H434">
        <v>0.97956399999999999</v>
      </c>
      <c r="I434">
        <v>364.3664</v>
      </c>
      <c r="J434">
        <v>-427.55840000000001</v>
      </c>
      <c r="K434">
        <v>1.059906</v>
      </c>
      <c r="L434">
        <v>367.22399999999999</v>
      </c>
      <c r="M434">
        <v>0.99990889999999999</v>
      </c>
      <c r="N434">
        <v>0</v>
      </c>
      <c r="O434">
        <v>1.001665E-2</v>
      </c>
      <c r="P434">
        <v>0.99959540000000002</v>
      </c>
      <c r="Q434">
        <v>2.8099289999999999E-2</v>
      </c>
      <c r="R434">
        <v>-4.4463080000000004E-3</v>
      </c>
      <c r="S434">
        <v>3.0011290000000002</v>
      </c>
      <c r="T434">
        <v>-8.9371199999999996E-4</v>
      </c>
      <c r="U434">
        <v>-3.1799319999999999E-2</v>
      </c>
      <c r="V434">
        <v>1.4459130000000001E-2</v>
      </c>
      <c r="W434">
        <v>3.714833E-2</v>
      </c>
      <c r="X434">
        <v>0.99920520000000002</v>
      </c>
      <c r="Y434">
        <v>2.061116E-2</v>
      </c>
      <c r="Z434" s="1">
        <v>-6.0517519999999998E-6</v>
      </c>
      <c r="AA434">
        <v>0.9997876</v>
      </c>
      <c r="AB434">
        <v>32</v>
      </c>
      <c r="AC434">
        <v>269.36340000000001</v>
      </c>
      <c r="AD434">
        <v>-8.0341999999999997E-2</v>
      </c>
      <c r="AE434">
        <v>-2.8575999999999899</v>
      </c>
      <c r="AF434">
        <v>5.55568547355786</v>
      </c>
      <c r="AG434">
        <v>-8.0341999999999997E-2</v>
      </c>
      <c r="AH434">
        <v>269.32123679087499</v>
      </c>
      <c r="AI434">
        <v>90.017088434345396</v>
      </c>
      <c r="AJ434">
        <v>88.818243248636506</v>
      </c>
      <c r="AK434">
        <v>269.37854532698901</v>
      </c>
      <c r="AL434">
        <v>87.871067732407099</v>
      </c>
      <c r="AM434">
        <v>89.170951766148406</v>
      </c>
      <c r="AN434">
        <v>1.0000000482845901</v>
      </c>
    </row>
    <row r="435" spans="1:40" x14ac:dyDescent="0.25">
      <c r="A435" t="str">
        <f>"20190312150644300"</f>
        <v>20190312150644300</v>
      </c>
      <c r="B435" t="str">
        <f>"1552374404291160"</f>
        <v>1552374404291160</v>
      </c>
      <c r="C435" t="s">
        <v>40</v>
      </c>
      <c r="D435">
        <v>4.189495</v>
      </c>
      <c r="E435">
        <v>0.50329299999999999</v>
      </c>
      <c r="F435" t="s">
        <v>47</v>
      </c>
      <c r="G435">
        <v>-158.19499999999999</v>
      </c>
      <c r="H435">
        <v>0.85409880000000005</v>
      </c>
      <c r="I435">
        <v>363.96449999999999</v>
      </c>
      <c r="J435">
        <v>-427.38720000000001</v>
      </c>
      <c r="K435">
        <v>1.059906</v>
      </c>
      <c r="L435">
        <v>367.22579999999999</v>
      </c>
      <c r="M435">
        <v>0.99990800000000002</v>
      </c>
      <c r="N435">
        <v>0</v>
      </c>
      <c r="O435">
        <v>1.0015339999999999E-2</v>
      </c>
      <c r="P435">
        <v>0.99959699999999996</v>
      </c>
      <c r="Q435">
        <v>2.8002920000000001E-2</v>
      </c>
      <c r="R435">
        <v>-4.70748E-3</v>
      </c>
      <c r="S435">
        <v>3.0011290000000002</v>
      </c>
      <c r="T435">
        <v>-2.2920369999999998E-3</v>
      </c>
      <c r="U435">
        <v>-3.6315920000000002E-2</v>
      </c>
      <c r="V435">
        <v>1.4719080000000001E-2</v>
      </c>
      <c r="W435">
        <v>3.7150719999999998E-2</v>
      </c>
      <c r="X435">
        <v>0.99920120000000001</v>
      </c>
      <c r="Y435">
        <v>2.2114269999999998E-2</v>
      </c>
      <c r="Z435" s="1">
        <v>-1.6093319999999999E-5</v>
      </c>
      <c r="AA435">
        <v>0.99975539999999996</v>
      </c>
      <c r="AB435">
        <v>32</v>
      </c>
      <c r="AC435">
        <v>269.19220000000001</v>
      </c>
      <c r="AD435">
        <v>-0.205807199999999</v>
      </c>
      <c r="AE435">
        <v>-3.2612999999999999</v>
      </c>
      <c r="AF435">
        <v>5.9572971592052104</v>
      </c>
      <c r="AG435">
        <v>-0.205807199999999</v>
      </c>
      <c r="AH435">
        <v>269.14587590367</v>
      </c>
      <c r="AI435">
        <v>90.043801504118093</v>
      </c>
      <c r="AJ435">
        <v>88.732017502050098</v>
      </c>
      <c r="AK435">
        <v>269.21187615333798</v>
      </c>
      <c r="AL435">
        <v>87.870930454703</v>
      </c>
      <c r="AM435">
        <v>89.156045680106701</v>
      </c>
      <c r="AN435">
        <v>0.99999993269700005</v>
      </c>
    </row>
    <row r="436" spans="1:40" x14ac:dyDescent="0.25">
      <c r="A436" t="str">
        <f>"20190312150644311"</f>
        <v>20190312150644311</v>
      </c>
      <c r="B436" t="str">
        <f>"1552374404300920"</f>
        <v>1552374404300920</v>
      </c>
      <c r="C436" t="s">
        <v>40</v>
      </c>
      <c r="D436">
        <v>4.3189019999999996</v>
      </c>
      <c r="E436">
        <v>0.50371440000000001</v>
      </c>
      <c r="F436" t="s">
        <v>47</v>
      </c>
      <c r="G436">
        <v>-158.19499999999999</v>
      </c>
      <c r="H436">
        <v>0.743784</v>
      </c>
      <c r="I436">
        <v>363.55779999999999</v>
      </c>
      <c r="J436">
        <v>-427.2276</v>
      </c>
      <c r="K436">
        <v>1.0599190000000001</v>
      </c>
      <c r="L436">
        <v>367.22739999999999</v>
      </c>
      <c r="M436">
        <v>0.99990699999999999</v>
      </c>
      <c r="N436">
        <v>0</v>
      </c>
      <c r="O436">
        <v>1.001408E-2</v>
      </c>
      <c r="P436">
        <v>0.99960959999999999</v>
      </c>
      <c r="Q436">
        <v>2.753272E-2</v>
      </c>
      <c r="R436">
        <v>-4.7480949999999999E-3</v>
      </c>
      <c r="S436">
        <v>3.0011290000000002</v>
      </c>
      <c r="T436">
        <v>-3.5233500000000002E-3</v>
      </c>
      <c r="U436">
        <v>-4.0893550000000001E-2</v>
      </c>
      <c r="V436">
        <v>1.475889E-2</v>
      </c>
      <c r="W436">
        <v>3.6806199999999997E-2</v>
      </c>
      <c r="X436">
        <v>0.99921349999999998</v>
      </c>
      <c r="Y436">
        <v>2.3637660000000001E-2</v>
      </c>
      <c r="Z436" s="1">
        <v>-2.5631370000000001E-5</v>
      </c>
      <c r="AA436">
        <v>0.99972059999999996</v>
      </c>
      <c r="AB436">
        <v>32</v>
      </c>
      <c r="AC436">
        <v>269.0326</v>
      </c>
      <c r="AD436">
        <v>-0.316135</v>
      </c>
      <c r="AE436">
        <v>-3.6696</v>
      </c>
      <c r="AF436">
        <v>6.3636366392860699</v>
      </c>
      <c r="AG436">
        <v>-0.316135</v>
      </c>
      <c r="AH436">
        <v>268.98198838096999</v>
      </c>
      <c r="AI436">
        <v>90.067320961058599</v>
      </c>
      <c r="AJ436">
        <v>88.6447363207607</v>
      </c>
      <c r="AK436">
        <v>269.05743975217501</v>
      </c>
      <c r="AL436">
        <v>87.890683797444694</v>
      </c>
      <c r="AM436">
        <v>89.153773823625798</v>
      </c>
      <c r="AN436">
        <v>1.0000000698873499</v>
      </c>
    </row>
    <row r="437" spans="1:40" x14ac:dyDescent="0.25">
      <c r="A437" t="str">
        <f>"20190312150644333"</f>
        <v>20190312150644333</v>
      </c>
      <c r="B437" t="str">
        <f>"1552374404321416"</f>
        <v>1552374404321416</v>
      </c>
      <c r="C437" t="s">
        <v>40</v>
      </c>
      <c r="D437">
        <v>4.1924159999999997</v>
      </c>
      <c r="E437">
        <v>0.50438490000000002</v>
      </c>
      <c r="F437" t="s">
        <v>47</v>
      </c>
      <c r="G437">
        <v>-158.19499999999999</v>
      </c>
      <c r="H437">
        <v>0.73017119999999902</v>
      </c>
      <c r="I437">
        <v>363.255</v>
      </c>
      <c r="J437">
        <v>-426.92320000000001</v>
      </c>
      <c r="K437">
        <v>1.0599479999999999</v>
      </c>
      <c r="L437">
        <v>367.23039999999997</v>
      </c>
      <c r="M437">
        <v>0.99990429999999997</v>
      </c>
      <c r="N437">
        <v>0</v>
      </c>
      <c r="O437">
        <v>1.001205E-2</v>
      </c>
      <c r="P437">
        <v>0.9996275</v>
      </c>
      <c r="Q437">
        <v>2.689246E-2</v>
      </c>
      <c r="R437">
        <v>-4.6344569999999998E-3</v>
      </c>
      <c r="S437">
        <v>3.0010680000000001</v>
      </c>
      <c r="T437">
        <v>-3.6773679999999999E-3</v>
      </c>
      <c r="U437">
        <v>-4.431152E-2</v>
      </c>
      <c r="V437">
        <v>1.464377E-2</v>
      </c>
      <c r="W437">
        <v>3.6436419999999997E-2</v>
      </c>
      <c r="X437">
        <v>0.99922869999999997</v>
      </c>
      <c r="Y437">
        <v>2.4774290000000001E-2</v>
      </c>
      <c r="Z437" s="1">
        <v>-2.7446040000000001E-5</v>
      </c>
      <c r="AA437">
        <v>0.9996931</v>
      </c>
      <c r="AB437">
        <v>32</v>
      </c>
      <c r="AC437">
        <v>268.72820000000002</v>
      </c>
      <c r="AD437">
        <v>-0.32977679999999998</v>
      </c>
      <c r="AE437">
        <v>-3.9753999999999698</v>
      </c>
      <c r="AF437">
        <v>6.6658334944711202</v>
      </c>
      <c r="AG437">
        <v>-0.32977679999999998</v>
      </c>
      <c r="AH437">
        <v>268.67452138086998</v>
      </c>
      <c r="AI437">
        <v>90.070304384180105</v>
      </c>
      <c r="AJ437">
        <v>88.578779297706404</v>
      </c>
      <c r="AK437">
        <v>268.757400880707</v>
      </c>
      <c r="AL437">
        <v>87.911884754511306</v>
      </c>
      <c r="AM437">
        <v>89.160386247229397</v>
      </c>
      <c r="AN437">
        <v>1.0000000238029501</v>
      </c>
    </row>
    <row r="438" spans="1:40" x14ac:dyDescent="0.25">
      <c r="A438" t="str">
        <f>"20190312150644344"</f>
        <v>20190312150644344</v>
      </c>
      <c r="B438" t="str">
        <f>"1552374404340936"</f>
        <v>1552374404340936</v>
      </c>
      <c r="C438" t="s">
        <v>40</v>
      </c>
      <c r="D438">
        <v>4.1888069999999997</v>
      </c>
      <c r="E438">
        <v>0.50496260000000004</v>
      </c>
      <c r="F438" t="s">
        <v>47</v>
      </c>
      <c r="G438">
        <v>-158.19499999999999</v>
      </c>
      <c r="H438">
        <v>0.86342050000000004</v>
      </c>
      <c r="I438">
        <v>362.83879999999999</v>
      </c>
      <c r="J438">
        <v>-426.75479999999999</v>
      </c>
      <c r="K438">
        <v>1.059963</v>
      </c>
      <c r="L438">
        <v>367.2321</v>
      </c>
      <c r="M438">
        <v>0.99990290000000004</v>
      </c>
      <c r="N438">
        <v>0</v>
      </c>
      <c r="O438">
        <v>1.0010649999999999E-2</v>
      </c>
      <c r="P438">
        <v>0.99963679999999999</v>
      </c>
      <c r="Q438">
        <v>2.6595879999999999E-2</v>
      </c>
      <c r="R438">
        <v>-4.3458500000000001E-3</v>
      </c>
      <c r="S438">
        <v>3.0009459999999999</v>
      </c>
      <c r="T438">
        <v>-2.193689E-3</v>
      </c>
      <c r="U438">
        <v>-4.9041750000000002E-2</v>
      </c>
      <c r="V438">
        <v>1.4354E-2</v>
      </c>
      <c r="W438">
        <v>3.6288699999999903E-2</v>
      </c>
      <c r="X438">
        <v>0.99923830000000002</v>
      </c>
      <c r="Y438">
        <v>2.634887E-2</v>
      </c>
      <c r="Z438" s="1">
        <v>-1.694755E-5</v>
      </c>
      <c r="AA438">
        <v>0.99965280000000001</v>
      </c>
      <c r="AB438">
        <v>32</v>
      </c>
      <c r="AC438">
        <v>268.5598</v>
      </c>
      <c r="AD438">
        <v>-0.19654249999999901</v>
      </c>
      <c r="AE438">
        <v>-4.3933000000000098</v>
      </c>
      <c r="AF438">
        <v>7.0816605468268001</v>
      </c>
      <c r="AG438">
        <v>-0.19654249999999901</v>
      </c>
      <c r="AH438">
        <v>268.50221616773098</v>
      </c>
      <c r="AI438">
        <v>90.041925683926195</v>
      </c>
      <c r="AJ438">
        <v>88.489192292854497</v>
      </c>
      <c r="AK438">
        <v>268.595660113929</v>
      </c>
      <c r="AL438">
        <v>87.920354129188397</v>
      </c>
      <c r="AM438">
        <v>89.177006068852407</v>
      </c>
      <c r="AN438">
        <v>1.0000000436252801</v>
      </c>
    </row>
    <row r="439" spans="1:40" x14ac:dyDescent="0.25">
      <c r="A439" t="str">
        <f>"20190312150644356"</f>
        <v>20190312150644356</v>
      </c>
      <c r="B439" t="str">
        <f>"1552374404350696"</f>
        <v>1552374404350696</v>
      </c>
      <c r="C439" t="s">
        <v>40</v>
      </c>
      <c r="D439">
        <v>4.1811150000000001</v>
      </c>
      <c r="E439">
        <v>0.5052605</v>
      </c>
      <c r="F439" t="s">
        <v>47</v>
      </c>
      <c r="G439">
        <v>-158.19499999999999</v>
      </c>
      <c r="H439">
        <v>1.0542849999999999</v>
      </c>
      <c r="I439">
        <v>362.49360000000001</v>
      </c>
      <c r="J439">
        <v>-426.58249999999998</v>
      </c>
      <c r="K439">
        <v>1.0599700000000001</v>
      </c>
      <c r="L439">
        <v>367.23379999999997</v>
      </c>
      <c r="M439">
        <v>0.9999017</v>
      </c>
      <c r="N439">
        <v>0</v>
      </c>
      <c r="O439">
        <v>1.000912E-2</v>
      </c>
      <c r="P439">
        <v>0.9996389</v>
      </c>
      <c r="Q439">
        <v>2.6509049999999999E-2</v>
      </c>
      <c r="R439">
        <v>-4.4297449999999997E-3</v>
      </c>
      <c r="S439">
        <v>3.0008539999999999</v>
      </c>
      <c r="T439" s="1">
        <v>-6.2465669999999904E-5</v>
      </c>
      <c r="U439">
        <v>-5.2948000000000002E-2</v>
      </c>
      <c r="V439">
        <v>1.443622E-2</v>
      </c>
      <c r="W439">
        <v>3.6339209999999997E-2</v>
      </c>
      <c r="X439">
        <v>0.99923519999999999</v>
      </c>
      <c r="Y439">
        <v>2.764873E-2</v>
      </c>
      <c r="Z439" s="1">
        <v>-4.9609049999999995E-7</v>
      </c>
      <c r="AA439">
        <v>0.99961770000000005</v>
      </c>
      <c r="AB439">
        <v>32</v>
      </c>
      <c r="AC439">
        <v>268.38749999999999</v>
      </c>
      <c r="AD439">
        <v>-5.6849999999999401E-3</v>
      </c>
      <c r="AE439">
        <v>-4.74019999999995</v>
      </c>
      <c r="AF439">
        <v>7.4264147199903601</v>
      </c>
      <c r="AG439">
        <v>-5.6849999999999401E-3</v>
      </c>
      <c r="AH439">
        <v>268.32660686569699</v>
      </c>
      <c r="AI439">
        <v>90.001213453365807</v>
      </c>
      <c r="AJ439">
        <v>88.414642402381503</v>
      </c>
      <c r="AK439">
        <v>268.42935685198501</v>
      </c>
      <c r="AL439">
        <v>87.917458043067398</v>
      </c>
      <c r="AM439">
        <v>89.172290029578804</v>
      </c>
      <c r="AN439">
        <v>0.99999996377517497</v>
      </c>
    </row>
    <row r="440" spans="1:40" x14ac:dyDescent="0.25">
      <c r="A440" t="str">
        <f>"20190312150644368"</f>
        <v>20190312150644368</v>
      </c>
      <c r="B440" t="str">
        <f>"1552374404361432"</f>
        <v>1552374404361432</v>
      </c>
      <c r="C440" t="s">
        <v>40</v>
      </c>
      <c r="D440">
        <v>4.4539210000000002</v>
      </c>
      <c r="E440">
        <v>0.50557879999999999</v>
      </c>
      <c r="F440" t="s">
        <v>47</v>
      </c>
      <c r="G440">
        <v>-158.19499999999999</v>
      </c>
      <c r="H440">
        <v>1.0450839999999999</v>
      </c>
      <c r="I440">
        <v>362.26080000000002</v>
      </c>
      <c r="J440">
        <v>-426.411</v>
      </c>
      <c r="K440">
        <v>1.0599730000000001</v>
      </c>
      <c r="L440">
        <v>367.2355</v>
      </c>
      <c r="M440">
        <v>0.99990020000000002</v>
      </c>
      <c r="N440">
        <v>0</v>
      </c>
      <c r="O440">
        <v>1.0008090000000001E-2</v>
      </c>
      <c r="P440">
        <v>0.99964399999999998</v>
      </c>
      <c r="Q440">
        <v>2.6345540000000001E-2</v>
      </c>
      <c r="R440">
        <v>-4.2399270000000001E-3</v>
      </c>
      <c r="S440">
        <v>3.0008539999999999</v>
      </c>
      <c r="T440">
        <v>-1.6546249999999999E-4</v>
      </c>
      <c r="U440">
        <v>-5.5603029999999998E-2</v>
      </c>
      <c r="V440">
        <v>1.4245560000000001E-2</v>
      </c>
      <c r="W440">
        <v>3.6309189999999998E-2</v>
      </c>
      <c r="X440">
        <v>0.99923910000000005</v>
      </c>
      <c r="Y440">
        <v>2.8531819999999999E-2</v>
      </c>
      <c r="Z440" s="1">
        <v>-1.338349E-6</v>
      </c>
      <c r="AA440">
        <v>0.99959290000000001</v>
      </c>
      <c r="AB440">
        <v>32</v>
      </c>
      <c r="AC440">
        <v>268.21600000000001</v>
      </c>
      <c r="AD440">
        <v>-1.4888999999999901E-2</v>
      </c>
      <c r="AE440">
        <v>-4.9746999999999799</v>
      </c>
      <c r="AF440">
        <v>7.6589141341788398</v>
      </c>
      <c r="AG440">
        <v>-1.4888999999999901E-2</v>
      </c>
      <c r="AH440">
        <v>268.15277527374298</v>
      </c>
      <c r="AI440">
        <v>90.003180012264394</v>
      </c>
      <c r="AJ440">
        <v>88.363976704854196</v>
      </c>
      <c r="AK440">
        <v>268.26212940779999</v>
      </c>
      <c r="AL440">
        <v>87.919179348881897</v>
      </c>
      <c r="AM440">
        <v>89.183223340039007</v>
      </c>
      <c r="AN440">
        <v>1.00000003611348</v>
      </c>
    </row>
    <row r="441" spans="1:40" x14ac:dyDescent="0.25">
      <c r="A441" t="str">
        <f>"20190312150644380"</f>
        <v>20190312150644380</v>
      </c>
      <c r="B441" t="str">
        <f>"1552374404371193"</f>
        <v>1552374404371193</v>
      </c>
      <c r="C441" t="s">
        <v>40</v>
      </c>
      <c r="D441">
        <v>4.1916190000000002</v>
      </c>
      <c r="E441">
        <v>0.50581120000000002</v>
      </c>
      <c r="F441" t="s">
        <v>47</v>
      </c>
      <c r="G441">
        <v>-158.19499999999999</v>
      </c>
      <c r="H441">
        <v>1.0144839999999999</v>
      </c>
      <c r="I441">
        <v>362.09930000000003</v>
      </c>
      <c r="J441">
        <v>-426.22809999999998</v>
      </c>
      <c r="K441">
        <v>1.0599769999999999</v>
      </c>
      <c r="L441">
        <v>367.23739999999998</v>
      </c>
      <c r="M441">
        <v>0.99989890000000003</v>
      </c>
      <c r="N441">
        <v>0</v>
      </c>
      <c r="O441">
        <v>1.000739E-2</v>
      </c>
      <c r="P441">
        <v>0.99964889999999995</v>
      </c>
      <c r="Q441">
        <v>2.6184949999999999E-2</v>
      </c>
      <c r="R441">
        <v>-4.079816E-3</v>
      </c>
      <c r="S441">
        <v>3.0008240000000002</v>
      </c>
      <c r="T441">
        <v>-5.0795080000000002E-4</v>
      </c>
      <c r="U441">
        <v>-5.7464599999999998E-2</v>
      </c>
      <c r="V441">
        <v>1.408481E-2</v>
      </c>
      <c r="W441">
        <v>3.6282990000000001E-2</v>
      </c>
      <c r="X441">
        <v>0.99924230000000003</v>
      </c>
      <c r="Y441">
        <v>2.9151199999999999E-2</v>
      </c>
      <c r="Z441" s="1">
        <v>-4.1608979999999998E-6</v>
      </c>
      <c r="AA441">
        <v>0.99957499999999999</v>
      </c>
      <c r="AB441">
        <v>32</v>
      </c>
      <c r="AC441">
        <v>268.03309999999999</v>
      </c>
      <c r="AD441">
        <v>-4.5492999999999999E-2</v>
      </c>
      <c r="AE441">
        <v>-5.1380999999999499</v>
      </c>
      <c r="AF441">
        <v>7.8202910864608901</v>
      </c>
      <c r="AG441">
        <v>-4.5492999999999999E-2</v>
      </c>
      <c r="AH441">
        <v>267.96824751323999</v>
      </c>
      <c r="AI441">
        <v>90.009722971366699</v>
      </c>
      <c r="AJ441">
        <v>88.328374581131996</v>
      </c>
      <c r="AK441">
        <v>268.08233939893699</v>
      </c>
      <c r="AL441">
        <v>87.920681424716804</v>
      </c>
      <c r="AM441">
        <v>89.192441383918407</v>
      </c>
      <c r="AN441">
        <v>1.0000000056726801</v>
      </c>
    </row>
    <row r="442" spans="1:40" x14ac:dyDescent="0.25">
      <c r="A442" t="str">
        <f>"20190312150644393"</f>
        <v>20190312150644393</v>
      </c>
      <c r="B442" t="str">
        <f>"1552374404380953"</f>
        <v>1552374404380953</v>
      </c>
      <c r="C442" t="s">
        <v>40</v>
      </c>
      <c r="D442">
        <v>4.1938009999999997</v>
      </c>
      <c r="E442">
        <v>0.50602420000000004</v>
      </c>
      <c r="F442" t="s">
        <v>47</v>
      </c>
      <c r="G442">
        <v>-158.19499999999999</v>
      </c>
      <c r="H442">
        <v>1.034686</v>
      </c>
      <c r="I442">
        <v>361.96289999999999</v>
      </c>
      <c r="J442">
        <v>-426.053</v>
      </c>
      <c r="K442">
        <v>1.0599799999999999</v>
      </c>
      <c r="L442">
        <v>367.23910000000001</v>
      </c>
      <c r="M442">
        <v>0.99989760000000005</v>
      </c>
      <c r="N442">
        <v>0</v>
      </c>
      <c r="O442">
        <v>1.0007449999999999E-2</v>
      </c>
      <c r="P442">
        <v>0.99965230000000005</v>
      </c>
      <c r="Q442">
        <v>2.6027209999999999E-2</v>
      </c>
      <c r="R442">
        <v>-4.2182720000000003E-3</v>
      </c>
      <c r="S442">
        <v>3.0008240000000002</v>
      </c>
      <c r="T442">
        <v>-2.8216839999999999E-4</v>
      </c>
      <c r="U442">
        <v>-5.9051510000000001E-2</v>
      </c>
      <c r="V442">
        <v>1.4223619999999999E-2</v>
      </c>
      <c r="W442">
        <v>3.6249150000000001E-2</v>
      </c>
      <c r="X442">
        <v>0.9992415</v>
      </c>
      <c r="Y442">
        <v>2.9679669999999998E-2</v>
      </c>
      <c r="Z442" s="1">
        <v>-2.336233E-6</v>
      </c>
      <c r="AA442">
        <v>0.99955950000000005</v>
      </c>
      <c r="AB442">
        <v>32</v>
      </c>
      <c r="AC442">
        <v>267.858</v>
      </c>
      <c r="AD442">
        <v>-2.52939999999999E-2</v>
      </c>
      <c r="AE442">
        <v>-5.27620000000001</v>
      </c>
      <c r="AF442">
        <v>7.95665149302262</v>
      </c>
      <c r="AG442">
        <v>-2.52939999999999E-2</v>
      </c>
      <c r="AH442">
        <v>267.79177894006699</v>
      </c>
      <c r="AI442">
        <v>90.005409427323301</v>
      </c>
      <c r="AJ442">
        <v>88.298123750507301</v>
      </c>
      <c r="AK442">
        <v>267.909958401425</v>
      </c>
      <c r="AL442">
        <v>87.922621461557299</v>
      </c>
      <c r="AM442">
        <v>89.184483069897993</v>
      </c>
      <c r="AN442">
        <v>0.99999994378193602</v>
      </c>
    </row>
    <row r="443" spans="1:40" x14ac:dyDescent="0.25">
      <c r="A443" t="str">
        <f>"20190312150644412"</f>
        <v>20190312150644412</v>
      </c>
      <c r="B443" t="str">
        <f>"1552374404401448"</f>
        <v>1552374404401448</v>
      </c>
      <c r="C443" t="s">
        <v>40</v>
      </c>
      <c r="D443">
        <v>4.2103469999999996</v>
      </c>
      <c r="E443">
        <v>0.50648149999999903</v>
      </c>
      <c r="F443" t="s">
        <v>47</v>
      </c>
      <c r="G443">
        <v>-158.19499999999999</v>
      </c>
      <c r="H443">
        <v>1.023925</v>
      </c>
      <c r="I443">
        <v>361.7801</v>
      </c>
      <c r="J443">
        <v>-425.77589999999998</v>
      </c>
      <c r="K443">
        <v>1.0599749999999999</v>
      </c>
      <c r="L443">
        <v>367.24189999999999</v>
      </c>
      <c r="M443">
        <v>0.9998958</v>
      </c>
      <c r="N443">
        <v>0</v>
      </c>
      <c r="O443">
        <v>1.000794E-2</v>
      </c>
      <c r="P443">
        <v>0.99965349999999997</v>
      </c>
      <c r="Q443">
        <v>2.5989180000000001E-2</v>
      </c>
      <c r="R443">
        <v>-4.2168850000000001E-3</v>
      </c>
      <c r="S443">
        <v>3.0007630000000001</v>
      </c>
      <c r="T443">
        <v>-4.029274E-4</v>
      </c>
      <c r="U443">
        <v>-6.115723E-2</v>
      </c>
      <c r="V443">
        <v>1.42228999999999E-2</v>
      </c>
      <c r="W443">
        <v>3.6397350000000002E-2</v>
      </c>
      <c r="X443">
        <v>0.99923620000000002</v>
      </c>
      <c r="Y443">
        <v>3.0381709999999999E-2</v>
      </c>
      <c r="Z443" s="1">
        <v>-3.3833069999999998E-6</v>
      </c>
      <c r="AA443">
        <v>0.99953840000000005</v>
      </c>
      <c r="AB443">
        <v>32</v>
      </c>
      <c r="AC443">
        <v>267.58089999999999</v>
      </c>
      <c r="AD443">
        <v>-3.6049999999999902E-2</v>
      </c>
      <c r="AE443">
        <v>-5.4617999999999798</v>
      </c>
      <c r="AF443">
        <v>8.1396048128836807</v>
      </c>
      <c r="AG443">
        <v>-3.6049999999999902E-2</v>
      </c>
      <c r="AH443">
        <v>267.512828735997</v>
      </c>
      <c r="AI443">
        <v>90.007717601378801</v>
      </c>
      <c r="AJ443">
        <v>88.257200731420696</v>
      </c>
      <c r="AK443">
        <v>267.63663427200601</v>
      </c>
      <c r="AL443">
        <v>87.914124779894806</v>
      </c>
      <c r="AM443">
        <v>89.18452002107</v>
      </c>
      <c r="AN443">
        <v>1.0000000206809301</v>
      </c>
    </row>
    <row r="444" spans="1:40" x14ac:dyDescent="0.25">
      <c r="A444" t="str">
        <f>"20190312150644425"</f>
        <v>20190312150644425</v>
      </c>
      <c r="B444" t="str">
        <f>"1552374404420969"</f>
        <v>1552374404420969</v>
      </c>
      <c r="C444" t="s">
        <v>40</v>
      </c>
      <c r="D444">
        <v>4.1725050000000001</v>
      </c>
      <c r="E444">
        <v>0.506857</v>
      </c>
      <c r="F444" t="s">
        <v>47</v>
      </c>
      <c r="G444">
        <v>-158.19499999999999</v>
      </c>
      <c r="H444">
        <v>0.99863619999999997</v>
      </c>
      <c r="I444">
        <v>361.4837</v>
      </c>
      <c r="J444">
        <v>-425.58179999999999</v>
      </c>
      <c r="K444">
        <v>1.059976</v>
      </c>
      <c r="L444">
        <v>367.24380000000002</v>
      </c>
      <c r="M444">
        <v>0.99989439999999996</v>
      </c>
      <c r="N444">
        <v>0</v>
      </c>
      <c r="O444">
        <v>1.000846E-2</v>
      </c>
      <c r="P444">
        <v>0.99965749999999998</v>
      </c>
      <c r="Q444">
        <v>2.580528E-2</v>
      </c>
      <c r="R444">
        <v>-4.3735960000000004E-3</v>
      </c>
      <c r="S444">
        <v>3.0007630000000001</v>
      </c>
      <c r="T444">
        <v>-6.8688389999999998E-4</v>
      </c>
      <c r="U444">
        <v>-6.4575199999999999E-2</v>
      </c>
      <c r="V444">
        <v>1.4380270000000001E-2</v>
      </c>
      <c r="W444">
        <v>3.6337790000000002E-2</v>
      </c>
      <c r="X444">
        <v>0.99923609999999896</v>
      </c>
      <c r="Y444">
        <v>3.1520239999999998E-2</v>
      </c>
      <c r="Z444" s="1">
        <v>-5.89798599999999E-6</v>
      </c>
      <c r="AA444">
        <v>0.99950309999999998</v>
      </c>
      <c r="AB444">
        <v>32</v>
      </c>
      <c r="AC444">
        <v>267.38679999999999</v>
      </c>
      <c r="AD444">
        <v>-6.1339800000000097E-2</v>
      </c>
      <c r="AE444">
        <v>-5.76010000000002</v>
      </c>
      <c r="AF444">
        <v>8.4360896805885695</v>
      </c>
      <c r="AG444">
        <v>-6.1339800000000097E-2</v>
      </c>
      <c r="AH444">
        <v>267.31573921490201</v>
      </c>
      <c r="AI444">
        <v>90.013140875240396</v>
      </c>
      <c r="AJ444">
        <v>88.192429790441693</v>
      </c>
      <c r="AK444">
        <v>267.44882838344898</v>
      </c>
      <c r="AL444">
        <v>87.917539543454197</v>
      </c>
      <c r="AM444">
        <v>89.175498257667996</v>
      </c>
      <c r="AN444">
        <v>1.00000000534528</v>
      </c>
    </row>
    <row r="445" spans="1:40" x14ac:dyDescent="0.25">
      <c r="A445" t="str">
        <f>"20190312150644439"</f>
        <v>20190312150644439</v>
      </c>
      <c r="B445" t="str">
        <f>"1552374404430728"</f>
        <v>1552374404430728</v>
      </c>
      <c r="C445" t="s">
        <v>40</v>
      </c>
      <c r="D445">
        <v>4.1785610000000002</v>
      </c>
      <c r="E445">
        <v>0.50703829999999905</v>
      </c>
      <c r="F445" t="s">
        <v>47</v>
      </c>
      <c r="G445">
        <v>-158.19499999999999</v>
      </c>
      <c r="H445">
        <v>0.81200360000000005</v>
      </c>
      <c r="I445">
        <v>361.18270000000001</v>
      </c>
      <c r="J445">
        <v>-425.37880000000001</v>
      </c>
      <c r="K445">
        <v>1.059976</v>
      </c>
      <c r="L445">
        <v>367.24579999999997</v>
      </c>
      <c r="M445">
        <v>0.99989320000000004</v>
      </c>
      <c r="N445">
        <v>0</v>
      </c>
      <c r="O445">
        <v>1.000882E-2</v>
      </c>
      <c r="P445">
        <v>0.99966010000000005</v>
      </c>
      <c r="Q445">
        <v>2.5654489999999999E-2</v>
      </c>
      <c r="R445">
        <v>-4.6902209999999996E-3</v>
      </c>
      <c r="S445">
        <v>3.0008539999999999</v>
      </c>
      <c r="T445">
        <v>-2.7819870000000001E-3</v>
      </c>
      <c r="U445">
        <v>-6.8023680000000003E-2</v>
      </c>
      <c r="V445">
        <v>1.469732E-2</v>
      </c>
      <c r="W445">
        <v>3.6306810000000002E-2</v>
      </c>
      <c r="X445">
        <v>0.99923260000000003</v>
      </c>
      <c r="Y445">
        <v>3.2667960000000003E-2</v>
      </c>
      <c r="Z445" s="1">
        <v>-2.441903E-5</v>
      </c>
      <c r="AA445">
        <v>0.99946619999999997</v>
      </c>
      <c r="AB445">
        <v>32</v>
      </c>
      <c r="AC445">
        <v>267.18380000000002</v>
      </c>
      <c r="AD445">
        <v>-0.24797240000000001</v>
      </c>
      <c r="AE445">
        <v>-6.0630999999999604</v>
      </c>
      <c r="AF445">
        <v>8.7371349630172492</v>
      </c>
      <c r="AG445">
        <v>-0.24797240000000001</v>
      </c>
      <c r="AH445">
        <v>267.10949750284902</v>
      </c>
      <c r="AI445">
        <v>90.053162367401299</v>
      </c>
      <c r="AJ445">
        <v>88.126526611903003</v>
      </c>
      <c r="AK445">
        <v>267.25246991168802</v>
      </c>
      <c r="AL445">
        <v>87.919315711570505</v>
      </c>
      <c r="AM445">
        <v>89.157319640170599</v>
      </c>
      <c r="AN445">
        <v>0.99999999228515901</v>
      </c>
    </row>
    <row r="446" spans="1:40" x14ac:dyDescent="0.25">
      <c r="A446" t="str">
        <f>"20190312150644457"</f>
        <v>20190312150644457</v>
      </c>
      <c r="B446" t="str">
        <f>"1552374404451225"</f>
        <v>1552374404451225</v>
      </c>
      <c r="C446" t="s">
        <v>40</v>
      </c>
      <c r="D446">
        <v>4.1432840000000004</v>
      </c>
      <c r="E446">
        <v>0.50734999999999997</v>
      </c>
      <c r="F446" t="s">
        <v>47</v>
      </c>
      <c r="G446">
        <v>-158.19499999999999</v>
      </c>
      <c r="H446">
        <v>0.71811630000000004</v>
      </c>
      <c r="I446">
        <v>360.96370000000002</v>
      </c>
      <c r="J446">
        <v>-425.12720000000002</v>
      </c>
      <c r="K446">
        <v>1.0599829999999999</v>
      </c>
      <c r="L446">
        <v>367.2484</v>
      </c>
      <c r="M446">
        <v>0.99989159999999999</v>
      </c>
      <c r="N446">
        <v>0</v>
      </c>
      <c r="O446">
        <v>1.0009199999999999E-2</v>
      </c>
      <c r="P446">
        <v>0.99966120000000003</v>
      </c>
      <c r="Q446">
        <v>2.551863E-2</v>
      </c>
      <c r="R446">
        <v>-5.1089780000000001E-3</v>
      </c>
      <c r="S446">
        <v>3.0008240000000002</v>
      </c>
      <c r="T446">
        <v>-3.8385390000000002E-3</v>
      </c>
      <c r="U446">
        <v>-7.0556640000000004E-2</v>
      </c>
      <c r="V446">
        <v>1.5116579999999999E-2</v>
      </c>
      <c r="W446">
        <v>3.6308710000000001E-2</v>
      </c>
      <c r="X446">
        <v>0.99922630000000001</v>
      </c>
      <c r="Y446">
        <v>3.3511730000000003E-2</v>
      </c>
      <c r="Z446" s="1">
        <v>-3.4233070000000001E-5</v>
      </c>
      <c r="AA446">
        <v>0.9994383</v>
      </c>
      <c r="AB446">
        <v>32</v>
      </c>
      <c r="AC446">
        <v>266.93220000000002</v>
      </c>
      <c r="AD446">
        <v>-0.34186669999999902</v>
      </c>
      <c r="AE446">
        <v>-6.2846999999999804</v>
      </c>
      <c r="AF446">
        <v>8.9563040195201005</v>
      </c>
      <c r="AG446">
        <v>-0.34186669999999902</v>
      </c>
      <c r="AH446">
        <v>266.85548097075599</v>
      </c>
      <c r="AI446">
        <v>90.073359878514793</v>
      </c>
      <c r="AJ446">
        <v>88.077739047867894</v>
      </c>
      <c r="AK446">
        <v>267.00595494981798</v>
      </c>
      <c r="AL446">
        <v>87.9192068271566</v>
      </c>
      <c r="AM446">
        <v>89.1332792489751</v>
      </c>
      <c r="AN446">
        <v>1.00000001601222</v>
      </c>
    </row>
    <row r="447" spans="1:40" x14ac:dyDescent="0.25">
      <c r="A447" t="str">
        <f>"20190312150644479"</f>
        <v>20190312150644479</v>
      </c>
      <c r="B447" t="str">
        <f>"1552374404470744"</f>
        <v>1552374404470744</v>
      </c>
      <c r="C447" t="s">
        <v>40</v>
      </c>
      <c r="D447">
        <v>4.2174639999999997</v>
      </c>
      <c r="E447">
        <v>0.50767810000000002</v>
      </c>
      <c r="F447" t="s">
        <v>47</v>
      </c>
      <c r="G447">
        <v>-158.19499999999999</v>
      </c>
      <c r="H447">
        <v>0.69333459999999902</v>
      </c>
      <c r="I447">
        <v>360.67070000000001</v>
      </c>
      <c r="J447">
        <v>-424.80079999999998</v>
      </c>
      <c r="K447">
        <v>1.0599809999999901</v>
      </c>
      <c r="L447">
        <v>367.25170000000003</v>
      </c>
      <c r="M447">
        <v>0.9998899</v>
      </c>
      <c r="N447">
        <v>0</v>
      </c>
      <c r="O447">
        <v>1.000902E-2</v>
      </c>
      <c r="P447">
        <v>0.99966169999999999</v>
      </c>
      <c r="Q447">
        <v>2.5363340000000002E-2</v>
      </c>
      <c r="R447">
        <v>-5.7882569999999998E-3</v>
      </c>
      <c r="S447">
        <v>3.0007320000000002</v>
      </c>
      <c r="T447">
        <v>-4.1207079999999998E-3</v>
      </c>
      <c r="U447">
        <v>-7.3944090000000004E-2</v>
      </c>
      <c r="V447">
        <v>1.5795630000000001E-2</v>
      </c>
      <c r="W447">
        <v>3.6314440000000003E-2</v>
      </c>
      <c r="X447">
        <v>0.99921550000000003</v>
      </c>
      <c r="Y447">
        <v>3.4639839999999998E-2</v>
      </c>
      <c r="Z447" s="1">
        <v>-3.7524390000000002E-5</v>
      </c>
      <c r="AA447">
        <v>0.99939979999999995</v>
      </c>
      <c r="AB447">
        <v>32</v>
      </c>
      <c r="AC447">
        <v>266.60579999999999</v>
      </c>
      <c r="AD447">
        <v>-0.36664639999999898</v>
      </c>
      <c r="AE447">
        <v>-6.5810000000000102</v>
      </c>
      <c r="AF447">
        <v>9.2492757423568399</v>
      </c>
      <c r="AG447">
        <v>-0.36664639999999898</v>
      </c>
      <c r="AH447">
        <v>266.52606663228801</v>
      </c>
      <c r="AI447">
        <v>90.078771431869697</v>
      </c>
      <c r="AJ447">
        <v>88.012457521248194</v>
      </c>
      <c r="AK447">
        <v>266.68675956226099</v>
      </c>
      <c r="AL447">
        <v>87.918878122362798</v>
      </c>
      <c r="AM447">
        <v>89.094341952767607</v>
      </c>
      <c r="AN447">
        <v>0.99999992795992698</v>
      </c>
    </row>
    <row r="448" spans="1:40" x14ac:dyDescent="0.25">
      <c r="A448" t="str">
        <f>"20190312150644501"</f>
        <v>20190312150644501</v>
      </c>
      <c r="B448" t="str">
        <f>"1552374404491243"</f>
        <v>1552374404491243</v>
      </c>
      <c r="C448" t="s">
        <v>40</v>
      </c>
      <c r="D448">
        <v>4.2075100000000001</v>
      </c>
      <c r="E448">
        <v>0.50799259999999902</v>
      </c>
      <c r="F448" t="s">
        <v>47</v>
      </c>
      <c r="G448">
        <v>-158.19499999999999</v>
      </c>
      <c r="H448">
        <v>0.76847270000000001</v>
      </c>
      <c r="I448">
        <v>360.24799999999999</v>
      </c>
      <c r="J448">
        <v>-424.48910000000001</v>
      </c>
      <c r="K448">
        <v>1.059979</v>
      </c>
      <c r="L448">
        <v>367.25479999999999</v>
      </c>
      <c r="M448">
        <v>0.99988840000000001</v>
      </c>
      <c r="N448">
        <v>0</v>
      </c>
      <c r="O448">
        <v>1.0009199999999999E-2</v>
      </c>
      <c r="P448">
        <v>0.99965780000000004</v>
      </c>
      <c r="Q448">
        <v>2.5374009999999999E-2</v>
      </c>
      <c r="R448">
        <v>-6.3933499999999999E-3</v>
      </c>
      <c r="S448">
        <v>3.0006409999999999</v>
      </c>
      <c r="T448">
        <v>-3.279924E-3</v>
      </c>
      <c r="U448">
        <v>-7.8826899999999894E-2</v>
      </c>
      <c r="V448">
        <v>1.6400930000000001E-2</v>
      </c>
      <c r="W448">
        <v>3.6461199999999999E-2</v>
      </c>
      <c r="X448">
        <v>0.99920050000000005</v>
      </c>
      <c r="Y448">
        <v>3.6266E-2</v>
      </c>
      <c r="Z448" s="1">
        <v>-3.0757109999999998E-5</v>
      </c>
      <c r="AA448">
        <v>0.99934210000000001</v>
      </c>
      <c r="AB448">
        <v>32</v>
      </c>
      <c r="AC448">
        <v>266.29410000000001</v>
      </c>
      <c r="AD448">
        <v>-0.2915063</v>
      </c>
      <c r="AE448">
        <v>-7.0067999999999397</v>
      </c>
      <c r="AF448">
        <v>9.6719922279809598</v>
      </c>
      <c r="AG448">
        <v>-0.2915063</v>
      </c>
      <c r="AH448">
        <v>266.21030324886198</v>
      </c>
      <c r="AI448">
        <v>90.062698780418302</v>
      </c>
      <c r="AJ448">
        <v>87.919236470559198</v>
      </c>
      <c r="AK448">
        <v>266.38610693020797</v>
      </c>
      <c r="AL448">
        <v>87.910464022340904</v>
      </c>
      <c r="AM448">
        <v>89.059628482288701</v>
      </c>
      <c r="AN448">
        <v>1.00000002440527</v>
      </c>
    </row>
    <row r="449" spans="1:40" x14ac:dyDescent="0.25">
      <c r="A449" t="str">
        <f>"20190312150644514"</f>
        <v>20190312150644514</v>
      </c>
      <c r="B449" t="str">
        <f>"1552374404510773"</f>
        <v>1552374404510773</v>
      </c>
      <c r="C449" t="s">
        <v>40</v>
      </c>
      <c r="D449">
        <v>4.1711519999999904</v>
      </c>
      <c r="E449">
        <v>0.50822449999999997</v>
      </c>
      <c r="F449" t="s">
        <v>47</v>
      </c>
      <c r="G449">
        <v>-158.19499999999999</v>
      </c>
      <c r="H449">
        <v>0.72443489999999999</v>
      </c>
      <c r="I449">
        <v>359.88</v>
      </c>
      <c r="J449">
        <v>-424.3023</v>
      </c>
      <c r="K449">
        <v>1.059976</v>
      </c>
      <c r="L449">
        <v>367.25670000000002</v>
      </c>
      <c r="M449">
        <v>0.99988770000000005</v>
      </c>
      <c r="N449">
        <v>0</v>
      </c>
      <c r="O449">
        <v>1.000932E-2</v>
      </c>
      <c r="P449">
        <v>0.99966129999999997</v>
      </c>
      <c r="Q449">
        <v>2.5201230000000002E-2</v>
      </c>
      <c r="R449">
        <v>-6.5208030000000004E-3</v>
      </c>
      <c r="S449">
        <v>3.0005799999999998</v>
      </c>
      <c r="T449">
        <v>-3.7798879999999999E-3</v>
      </c>
      <c r="U449">
        <v>-8.3099370000000006E-2</v>
      </c>
      <c r="V449">
        <v>1.65285999999999E-2</v>
      </c>
      <c r="W449">
        <v>3.6361610000000003E-2</v>
      </c>
      <c r="X449">
        <v>0.99920200000000003</v>
      </c>
      <c r="Y449">
        <v>3.7688510000000001E-2</v>
      </c>
      <c r="Z449" s="1">
        <v>-3.6341489999999997E-5</v>
      </c>
      <c r="AA449">
        <v>0.99928950000000005</v>
      </c>
      <c r="AB449">
        <v>32</v>
      </c>
      <c r="AC449">
        <v>266.10730000000001</v>
      </c>
      <c r="AD449">
        <v>-0.33554109999999998</v>
      </c>
      <c r="AE449">
        <v>-7.37670000000002</v>
      </c>
      <c r="AF449">
        <v>10.040033280950601</v>
      </c>
      <c r="AG449">
        <v>-0.33554109999999998</v>
      </c>
      <c r="AH449">
        <v>266.01970485806902</v>
      </c>
      <c r="AI449">
        <v>90.072217961762703</v>
      </c>
      <c r="AJ449">
        <v>87.838586316361202</v>
      </c>
      <c r="AK449">
        <v>266.209312813971</v>
      </c>
      <c r="AL449">
        <v>87.916173842332796</v>
      </c>
      <c r="AM449">
        <v>89.052311086779397</v>
      </c>
      <c r="AN449">
        <v>0.99999999905187598</v>
      </c>
    </row>
    <row r="450" spans="1:40" x14ac:dyDescent="0.25">
      <c r="A450" t="str">
        <f>"20190312150644527"</f>
        <v>20190312150644527</v>
      </c>
      <c r="B450" t="str">
        <f>"1552374404521510"</f>
        <v>1552374404521510</v>
      </c>
      <c r="C450" t="s">
        <v>40</v>
      </c>
      <c r="D450">
        <v>4.7917110000000003</v>
      </c>
      <c r="E450">
        <v>0.50827659999999997</v>
      </c>
      <c r="F450" t="s">
        <v>47</v>
      </c>
      <c r="G450">
        <v>-158.19499999999999</v>
      </c>
      <c r="H450">
        <v>0.64713189999999998</v>
      </c>
      <c r="I450">
        <v>359.68669999999997</v>
      </c>
      <c r="J450">
        <v>-424.11320000000001</v>
      </c>
      <c r="K450">
        <v>1.0599749999999999</v>
      </c>
      <c r="L450">
        <v>367.2586</v>
      </c>
      <c r="M450">
        <v>0.99988679999999996</v>
      </c>
      <c r="N450">
        <v>0</v>
      </c>
      <c r="O450">
        <v>1.0009580000000001E-2</v>
      </c>
      <c r="P450">
        <v>0.99966069999999996</v>
      </c>
      <c r="Q450">
        <v>2.520205E-2</v>
      </c>
      <c r="R450">
        <v>-6.597978E-3</v>
      </c>
      <c r="S450">
        <v>3.0005799999999998</v>
      </c>
      <c r="T450">
        <v>-4.6541689999999997E-3</v>
      </c>
      <c r="U450">
        <v>-8.5357669999999997E-2</v>
      </c>
      <c r="V450">
        <v>1.6606070000000001E-2</v>
      </c>
      <c r="W450">
        <v>3.6432619999999999E-2</v>
      </c>
      <c r="X450">
        <v>0.99919809999999998</v>
      </c>
      <c r="Y450">
        <v>3.8440240000000001E-2</v>
      </c>
      <c r="Z450" s="1">
        <v>-4.5330029999999997E-5</v>
      </c>
      <c r="AA450">
        <v>0.99926090000000001</v>
      </c>
      <c r="AB450">
        <v>32</v>
      </c>
      <c r="AC450">
        <v>265.91820000000001</v>
      </c>
      <c r="AD450">
        <v>-0.41284309999999902</v>
      </c>
      <c r="AE450">
        <v>-7.5719000000000198</v>
      </c>
      <c r="AF450">
        <v>10.2333934375471</v>
      </c>
      <c r="AG450">
        <v>-0.41284309999999902</v>
      </c>
      <c r="AH450">
        <v>265.82844005482798</v>
      </c>
      <c r="AI450">
        <v>90.088916898598498</v>
      </c>
      <c r="AJ450">
        <v>87.795416954244104</v>
      </c>
      <c r="AK450">
        <v>266.02566102287199</v>
      </c>
      <c r="AL450">
        <v>87.912102511161393</v>
      </c>
      <c r="AM450">
        <v>89.047866343131403</v>
      </c>
      <c r="AN450">
        <v>0.99999997020225895</v>
      </c>
    </row>
    <row r="451" spans="1:40" x14ac:dyDescent="0.25">
      <c r="A451" t="str">
        <f>"20190312150644544"</f>
        <v>20190312150644544</v>
      </c>
      <c r="B451" t="str">
        <f>"1552374404541029"</f>
        <v>1552374404541029</v>
      </c>
      <c r="C451" t="s">
        <v>40</v>
      </c>
      <c r="D451">
        <v>4.168412</v>
      </c>
      <c r="E451">
        <v>0.50851150000000001</v>
      </c>
      <c r="F451" t="s">
        <v>47</v>
      </c>
      <c r="G451">
        <v>-158.19499999999999</v>
      </c>
      <c r="H451">
        <v>0.58048730000000004</v>
      </c>
      <c r="I451">
        <v>359.65069999999997</v>
      </c>
      <c r="J451">
        <v>-423.86070000000001</v>
      </c>
      <c r="K451">
        <v>1.059974</v>
      </c>
      <c r="L451">
        <v>367.2611</v>
      </c>
      <c r="M451">
        <v>0.99988600000000005</v>
      </c>
      <c r="N451">
        <v>0</v>
      </c>
      <c r="O451">
        <v>1.000963E-2</v>
      </c>
      <c r="P451">
        <v>0.99966750000000004</v>
      </c>
      <c r="Q451">
        <v>2.4867230000000001E-2</v>
      </c>
      <c r="R451">
        <v>-6.8687519999999997E-3</v>
      </c>
      <c r="S451">
        <v>3.0005799999999998</v>
      </c>
      <c r="T451">
        <v>-5.409479E-3</v>
      </c>
      <c r="U451">
        <v>-8.5845950000000004E-2</v>
      </c>
      <c r="V451">
        <v>1.6876760000000001E-2</v>
      </c>
      <c r="W451">
        <v>3.6182909999999999E-2</v>
      </c>
      <c r="X451">
        <v>0.9992027</v>
      </c>
      <c r="Y451">
        <v>3.8602749999999998E-2</v>
      </c>
      <c r="Z451" s="1">
        <v>-5.2832930000000002E-5</v>
      </c>
      <c r="AA451">
        <v>0.99925459999999999</v>
      </c>
      <c r="AB451">
        <v>32</v>
      </c>
      <c r="AC451">
        <v>265.66570000000002</v>
      </c>
      <c r="AD451">
        <v>-0.47948669999999899</v>
      </c>
      <c r="AE451">
        <v>-7.6104000000000198</v>
      </c>
      <c r="AF451">
        <v>10.2693705568902</v>
      </c>
      <c r="AG451">
        <v>-0.47948669999999899</v>
      </c>
      <c r="AH451">
        <v>265.57534253064398</v>
      </c>
      <c r="AI451">
        <v>90.1033680992537</v>
      </c>
      <c r="AJ451">
        <v>87.785567796590499</v>
      </c>
      <c r="AK451">
        <v>265.77425089613001</v>
      </c>
      <c r="AL451">
        <v>87.926419408286193</v>
      </c>
      <c r="AM451">
        <v>89.032353311751507</v>
      </c>
      <c r="AN451">
        <v>1.0000000318457201</v>
      </c>
    </row>
    <row r="452" spans="1:40" x14ac:dyDescent="0.25">
      <c r="A452" t="str">
        <f>"20190312150644557"</f>
        <v>20190312150644557</v>
      </c>
      <c r="B452" t="str">
        <f>"1552374404550790"</f>
        <v>1552374404550790</v>
      </c>
      <c r="C452" t="s">
        <v>40</v>
      </c>
      <c r="D452">
        <v>4.1780439999999999</v>
      </c>
      <c r="E452">
        <v>0.50862410000000002</v>
      </c>
      <c r="F452" t="s">
        <v>47</v>
      </c>
      <c r="G452">
        <v>-158.19499999999999</v>
      </c>
      <c r="H452">
        <v>0.48943809999999899</v>
      </c>
      <c r="I452">
        <v>359.40649999999999</v>
      </c>
      <c r="J452">
        <v>-423.68049999999999</v>
      </c>
      <c r="K452">
        <v>1.0599719999999999</v>
      </c>
      <c r="L452">
        <v>367.2629</v>
      </c>
      <c r="M452">
        <v>0.99988520000000003</v>
      </c>
      <c r="N452">
        <v>0</v>
      </c>
      <c r="O452">
        <v>1.0009789999999999E-2</v>
      </c>
      <c r="P452">
        <v>0.99966869999999997</v>
      </c>
      <c r="Q452">
        <v>2.4891739999999999E-2</v>
      </c>
      <c r="R452">
        <v>-6.5756490000000003E-3</v>
      </c>
      <c r="S452">
        <v>3.0005489999999999</v>
      </c>
      <c r="T452">
        <v>-6.4429040000000002E-3</v>
      </c>
      <c r="U452">
        <v>-8.8714600000000005E-2</v>
      </c>
      <c r="V452">
        <v>1.6583850000000001E-2</v>
      </c>
      <c r="W452">
        <v>3.6261540000000002E-2</v>
      </c>
      <c r="X452">
        <v>0.99920469999999895</v>
      </c>
      <c r="Y452">
        <v>3.9557679999999998E-2</v>
      </c>
      <c r="Z452" s="1">
        <v>-6.3951269999999895E-5</v>
      </c>
      <c r="AA452">
        <v>0.99921729999999997</v>
      </c>
      <c r="AB452">
        <v>32</v>
      </c>
      <c r="AC452">
        <v>265.4855</v>
      </c>
      <c r="AD452">
        <v>-0.57053390000000004</v>
      </c>
      <c r="AE452">
        <v>-7.8563999999999998</v>
      </c>
      <c r="AF452">
        <v>10.513583882332901</v>
      </c>
      <c r="AG452">
        <v>-0.57053390000000004</v>
      </c>
      <c r="AH452">
        <v>265.39232707786198</v>
      </c>
      <c r="AI452">
        <v>90.123076330533806</v>
      </c>
      <c r="AJ452">
        <v>87.731399523553407</v>
      </c>
      <c r="AK452">
        <v>265.60110735233098</v>
      </c>
      <c r="AL452">
        <v>87.921911170788306</v>
      </c>
      <c r="AM452">
        <v>89.049146405243505</v>
      </c>
      <c r="AN452">
        <v>0.99999997793304096</v>
      </c>
    </row>
    <row r="453" spans="1:40" x14ac:dyDescent="0.25">
      <c r="A453" t="str">
        <f>"20190312150644569"</f>
        <v>20190312150644569</v>
      </c>
      <c r="B453" t="str">
        <f>"1552374404561526"</f>
        <v>1552374404561526</v>
      </c>
      <c r="C453" t="s">
        <v>40</v>
      </c>
      <c r="D453">
        <v>4.1909229999999997</v>
      </c>
      <c r="E453">
        <v>0.50872269999999997</v>
      </c>
      <c r="F453" t="s">
        <v>47</v>
      </c>
      <c r="G453">
        <v>-158.19499999999999</v>
      </c>
      <c r="H453">
        <v>0.49929430000000002</v>
      </c>
      <c r="I453">
        <v>359.41090000000003</v>
      </c>
      <c r="J453">
        <v>-423.51060000000001</v>
      </c>
      <c r="K453">
        <v>1.0599719999999999</v>
      </c>
      <c r="L453">
        <v>367.26459999999997</v>
      </c>
      <c r="M453">
        <v>0.99988469999999996</v>
      </c>
      <c r="N453">
        <v>0</v>
      </c>
      <c r="O453">
        <v>1.0009870000000001E-2</v>
      </c>
      <c r="P453">
        <v>0.99967669999999997</v>
      </c>
      <c r="Q453">
        <v>2.4562980000000002E-2</v>
      </c>
      <c r="R453">
        <v>-6.5761279999999997E-3</v>
      </c>
      <c r="S453">
        <v>3.0005489999999999</v>
      </c>
      <c r="T453">
        <v>-6.3358549999999996E-3</v>
      </c>
      <c r="U453">
        <v>-8.8745119999999997E-2</v>
      </c>
      <c r="V453">
        <v>1.6584689999999999E-2</v>
      </c>
      <c r="W453">
        <v>3.5981819999999998E-2</v>
      </c>
      <c r="X453">
        <v>0.99921479999999996</v>
      </c>
      <c r="Y453">
        <v>3.9567919999999999E-2</v>
      </c>
      <c r="Z453" s="1">
        <v>-6.2899680000000002E-5</v>
      </c>
      <c r="AA453">
        <v>0.99921689999999996</v>
      </c>
      <c r="AB453">
        <v>32</v>
      </c>
      <c r="AC453">
        <v>265.31560000000002</v>
      </c>
      <c r="AD453">
        <v>-0.56067769999999895</v>
      </c>
      <c r="AE453">
        <v>-7.8536999999999404</v>
      </c>
      <c r="AF453">
        <v>10.509207411255501</v>
      </c>
      <c r="AG453">
        <v>-0.56067769999999895</v>
      </c>
      <c r="AH453">
        <v>265.22250291383301</v>
      </c>
      <c r="AI453">
        <v>90.121027547061104</v>
      </c>
      <c r="AJ453">
        <v>87.730892401479807</v>
      </c>
      <c r="AK453">
        <v>265.43122245089103</v>
      </c>
      <c r="AL453">
        <v>87.937948416668902</v>
      </c>
      <c r="AM453">
        <v>89.049107861636699</v>
      </c>
      <c r="AN453">
        <v>0.999999979925974</v>
      </c>
    </row>
    <row r="454" spans="1:40" x14ac:dyDescent="0.25">
      <c r="A454" t="str">
        <f>"20190312150644582"</f>
        <v>20190312150644582</v>
      </c>
      <c r="B454" t="str">
        <f>"1552374404571285"</f>
        <v>1552374404571285</v>
      </c>
      <c r="C454" t="s">
        <v>40</v>
      </c>
      <c r="D454">
        <v>4.2856399999999999</v>
      </c>
      <c r="E454">
        <v>0.50883750000000005</v>
      </c>
      <c r="F454" t="s">
        <v>47</v>
      </c>
      <c r="G454">
        <v>-158.19499999999999</v>
      </c>
      <c r="H454">
        <v>0.40375899999999998</v>
      </c>
      <c r="I454">
        <v>359.36099999999999</v>
      </c>
      <c r="J454">
        <v>-423.31470000000002</v>
      </c>
      <c r="K454">
        <v>1.0599700000000001</v>
      </c>
      <c r="L454">
        <v>367.26659999999998</v>
      </c>
      <c r="M454">
        <v>0.99988410000000005</v>
      </c>
      <c r="N454">
        <v>0</v>
      </c>
      <c r="O454">
        <v>1.0009870000000001E-2</v>
      </c>
      <c r="P454">
        <v>0.99968129999999999</v>
      </c>
      <c r="Q454">
        <v>2.4397970000000001E-2</v>
      </c>
      <c r="R454">
        <v>-6.516343E-3</v>
      </c>
      <c r="S454">
        <v>3.0005799999999998</v>
      </c>
      <c r="T454">
        <v>-7.420421E-3</v>
      </c>
      <c r="U454">
        <v>-8.9385989999999999E-2</v>
      </c>
      <c r="V454">
        <v>1.6524839999999999E-2</v>
      </c>
      <c r="W454">
        <v>3.5868879999999999E-2</v>
      </c>
      <c r="X454">
        <v>0.99921990000000005</v>
      </c>
      <c r="Y454">
        <v>3.978081E-2</v>
      </c>
      <c r="Z454" s="1">
        <v>-7.3928970000000001E-5</v>
      </c>
      <c r="AA454">
        <v>0.99920850000000005</v>
      </c>
      <c r="AB454">
        <v>32</v>
      </c>
      <c r="AC454">
        <v>265.11970000000002</v>
      </c>
      <c r="AD454">
        <v>-0.65621099999999999</v>
      </c>
      <c r="AE454">
        <v>-7.90559999999999</v>
      </c>
      <c r="AF454">
        <v>10.5591276007743</v>
      </c>
      <c r="AG454">
        <v>-0.65621099999999999</v>
      </c>
      <c r="AH454">
        <v>265.02565431654801</v>
      </c>
      <c r="AI454">
        <v>90.1417532143752</v>
      </c>
      <c r="AJ454">
        <v>87.718433578489496</v>
      </c>
      <c r="AK454">
        <v>265.23673055306699</v>
      </c>
      <c r="AL454">
        <v>87.944423680305604</v>
      </c>
      <c r="AM454">
        <v>89.052543601916</v>
      </c>
      <c r="AN454">
        <v>1.0000000277227401</v>
      </c>
    </row>
    <row r="455" spans="1:40" x14ac:dyDescent="0.25">
      <c r="A455" t="str">
        <f>"20190312150644594"</f>
        <v>20190312150644594</v>
      </c>
      <c r="B455" t="str">
        <f>"1552374404590806"</f>
        <v>1552374404590806</v>
      </c>
      <c r="C455" t="s">
        <v>40</v>
      </c>
      <c r="D455">
        <v>4.3711589999999996</v>
      </c>
      <c r="E455">
        <v>0.50900630000000002</v>
      </c>
      <c r="F455" t="s">
        <v>47</v>
      </c>
      <c r="G455">
        <v>-158.19499999999999</v>
      </c>
      <c r="H455">
        <v>0.40783409999999998</v>
      </c>
      <c r="I455">
        <v>359.32569999999998</v>
      </c>
      <c r="J455">
        <v>-423.15010000000001</v>
      </c>
      <c r="K455">
        <v>1.059968</v>
      </c>
      <c r="L455">
        <v>367.26830000000001</v>
      </c>
      <c r="M455">
        <v>0.99988370000000004</v>
      </c>
      <c r="N455">
        <v>0</v>
      </c>
      <c r="O455">
        <v>1.000995E-2</v>
      </c>
      <c r="P455">
        <v>0.99967910000000004</v>
      </c>
      <c r="Q455">
        <v>2.4453780000000001E-2</v>
      </c>
      <c r="R455">
        <v>-6.6243140000000001E-3</v>
      </c>
      <c r="S455">
        <v>3.0005799999999998</v>
      </c>
      <c r="T455">
        <v>-7.3797699999999999E-3</v>
      </c>
      <c r="U455">
        <v>-8.9874270000000006E-2</v>
      </c>
      <c r="V455">
        <v>1.663299E-2</v>
      </c>
      <c r="W455">
        <v>3.5972289999999997E-2</v>
      </c>
      <c r="X455">
        <v>0.99921439999999995</v>
      </c>
      <c r="Y455">
        <v>3.9943340000000001E-2</v>
      </c>
      <c r="Z455" s="1">
        <v>-7.3723840000000003E-5</v>
      </c>
      <c r="AA455">
        <v>0.99920200000000003</v>
      </c>
      <c r="AB455">
        <v>32</v>
      </c>
      <c r="AC455">
        <v>264.95510000000002</v>
      </c>
      <c r="AD455">
        <v>-0.65213390000000004</v>
      </c>
      <c r="AE455">
        <v>-7.9426000000000201</v>
      </c>
      <c r="AF455">
        <v>10.5945007715763</v>
      </c>
      <c r="AG455">
        <v>-0.65213390000000004</v>
      </c>
      <c r="AH455">
        <v>264.860710401988</v>
      </c>
      <c r="AI455">
        <v>90.1409593312857</v>
      </c>
      <c r="AJ455">
        <v>87.709374330120696</v>
      </c>
      <c r="AK455">
        <v>265.07331936629998</v>
      </c>
      <c r="AL455">
        <v>87.938494922219903</v>
      </c>
      <c r="AM455">
        <v>89.046338684116904</v>
      </c>
      <c r="AN455">
        <v>1.00000003958577</v>
      </c>
    </row>
    <row r="456" spans="1:40" x14ac:dyDescent="0.25">
      <c r="A456" t="str">
        <f>"20190312150644612"</f>
        <v>20190312150644612</v>
      </c>
      <c r="B456" t="str">
        <f>"1552374404601542"</f>
        <v>1552374404601542</v>
      </c>
      <c r="C456" t="s">
        <v>40</v>
      </c>
      <c r="D456">
        <v>4.16683</v>
      </c>
      <c r="E456">
        <v>0.509104</v>
      </c>
      <c r="F456" t="s">
        <v>47</v>
      </c>
      <c r="G456">
        <v>-158.19499999999999</v>
      </c>
      <c r="H456">
        <v>0.4634895</v>
      </c>
      <c r="I456">
        <v>359.16250000000002</v>
      </c>
      <c r="J456">
        <v>-422.88290000000001</v>
      </c>
      <c r="K456">
        <v>1.0598719999999999</v>
      </c>
      <c r="L456">
        <v>367.27089999999998</v>
      </c>
      <c r="M456">
        <v>0.99988690000000002</v>
      </c>
      <c r="N456">
        <v>0</v>
      </c>
      <c r="O456">
        <v>1.00103E-2</v>
      </c>
      <c r="P456">
        <v>0.99967720000000004</v>
      </c>
      <c r="Q456">
        <v>2.4529990000000002E-2</v>
      </c>
      <c r="R456">
        <v>-6.640623E-3</v>
      </c>
      <c r="S456">
        <v>3.0005799999999998</v>
      </c>
      <c r="T456">
        <v>-6.7540409999999997E-3</v>
      </c>
      <c r="U456">
        <v>-9.1796879999999997E-2</v>
      </c>
      <c r="V456">
        <v>1.6649500000000001E-2</v>
      </c>
      <c r="W456">
        <v>3.5749749999999997E-2</v>
      </c>
      <c r="X456">
        <v>0.9992221</v>
      </c>
      <c r="Y456">
        <v>4.0583330000000001E-2</v>
      </c>
      <c r="Z456" s="1">
        <v>-6.8193019999999896E-5</v>
      </c>
      <c r="AA456">
        <v>0.99917610000000001</v>
      </c>
      <c r="AB456">
        <v>32</v>
      </c>
      <c r="AC456">
        <v>264.68790000000001</v>
      </c>
      <c r="AD456">
        <v>-0.59638249999999904</v>
      </c>
      <c r="AE456">
        <v>-8.1083999999999499</v>
      </c>
      <c r="AF456">
        <v>10.7577113217926</v>
      </c>
      <c r="AG456">
        <v>-0.59638249999999904</v>
      </c>
      <c r="AH456">
        <v>264.59212169927901</v>
      </c>
      <c r="AI456">
        <v>90.129036098005699</v>
      </c>
      <c r="AJ456">
        <v>87.671766802639198</v>
      </c>
      <c r="AK456">
        <v>264.81139494042799</v>
      </c>
      <c r="AL456">
        <v>87.951253706996098</v>
      </c>
      <c r="AM456">
        <v>89.045399604422201</v>
      </c>
      <c r="AN456">
        <v>1.0000000278018599</v>
      </c>
    </row>
    <row r="457" spans="1:40" x14ac:dyDescent="0.25">
      <c r="A457" t="str">
        <f>"20190312150644626"</f>
        <v>20190312150644626</v>
      </c>
      <c r="B457" t="str">
        <f>"1552374404621164"</f>
        <v>1552374404621164</v>
      </c>
      <c r="C457" t="s">
        <v>40</v>
      </c>
      <c r="D457">
        <v>4.2199629999999999</v>
      </c>
      <c r="E457">
        <v>0.50923689999999999</v>
      </c>
      <c r="F457" t="s">
        <v>47</v>
      </c>
      <c r="G457">
        <v>-158.19499999999999</v>
      </c>
      <c r="H457">
        <v>0.553647</v>
      </c>
      <c r="I457">
        <v>359.11380000000003</v>
      </c>
      <c r="J457">
        <v>-422.69260000000003</v>
      </c>
      <c r="K457">
        <v>1.059709</v>
      </c>
      <c r="L457">
        <v>367.27280000000002</v>
      </c>
      <c r="M457">
        <v>0.99989320000000004</v>
      </c>
      <c r="N457">
        <v>0</v>
      </c>
      <c r="O457">
        <v>1.001032E-2</v>
      </c>
      <c r="P457">
        <v>0.999664</v>
      </c>
      <c r="Q457">
        <v>2.503696E-2</v>
      </c>
      <c r="R457">
        <v>-6.7036539999999999E-3</v>
      </c>
      <c r="S457">
        <v>3.0004879999999998</v>
      </c>
      <c r="T457">
        <v>-5.7375430000000003E-3</v>
      </c>
      <c r="U457">
        <v>-9.2468259999999997E-2</v>
      </c>
      <c r="V457">
        <v>1.671251E-2</v>
      </c>
      <c r="W457">
        <v>3.5685420000000002E-2</v>
      </c>
      <c r="X457">
        <v>0.99922330000000004</v>
      </c>
      <c r="Y457">
        <v>4.0807620000000003E-2</v>
      </c>
      <c r="Z457" s="1">
        <v>-5.8145719999999901E-5</v>
      </c>
      <c r="AA457">
        <v>0.99916700000000003</v>
      </c>
      <c r="AB457">
        <v>32</v>
      </c>
      <c r="AC457">
        <v>264.49759999999998</v>
      </c>
      <c r="AD457">
        <v>-0.50606200000000001</v>
      </c>
      <c r="AE457">
        <v>-8.15899999999999</v>
      </c>
      <c r="AF457">
        <v>10.806407358754999</v>
      </c>
      <c r="AG457">
        <v>-0.50606200000000001</v>
      </c>
      <c r="AH457">
        <v>264.40170016864602</v>
      </c>
      <c r="AI457">
        <v>90.109571890668605</v>
      </c>
      <c r="AJ457">
        <v>87.659556961720099</v>
      </c>
      <c r="AK457">
        <v>264.622927182853</v>
      </c>
      <c r="AL457">
        <v>87.954941800403304</v>
      </c>
      <c r="AM457">
        <v>89.041788743952907</v>
      </c>
      <c r="AN457">
        <v>0.999999980226983</v>
      </c>
    </row>
    <row r="458" spans="1:40" x14ac:dyDescent="0.25">
      <c r="A458" t="str">
        <f>"20190312150644639"</f>
        <v>20190312150644639</v>
      </c>
      <c r="B458" t="str">
        <f>"1552374404630924"</f>
        <v>1552374404630924</v>
      </c>
      <c r="C458" t="s">
        <v>40</v>
      </c>
      <c r="D458">
        <v>4.1789050000000003</v>
      </c>
      <c r="E458">
        <v>0.50930959999999903</v>
      </c>
      <c r="F458" t="s">
        <v>47</v>
      </c>
      <c r="G458">
        <v>-158.19499999999999</v>
      </c>
      <c r="H458">
        <v>0.76871869999999998</v>
      </c>
      <c r="I458">
        <v>359.00060000000002</v>
      </c>
      <c r="J458">
        <v>-422.48809999999997</v>
      </c>
      <c r="K458">
        <v>1.0595110000000001</v>
      </c>
      <c r="L458">
        <v>367.27480000000003</v>
      </c>
      <c r="M458">
        <v>0.99990129999999999</v>
      </c>
      <c r="N458">
        <v>0</v>
      </c>
      <c r="O458">
        <v>1.001034E-2</v>
      </c>
      <c r="P458">
        <v>0.99964520000000001</v>
      </c>
      <c r="Q458">
        <v>2.58386E-2</v>
      </c>
      <c r="R458">
        <v>-6.5234960000000002E-3</v>
      </c>
      <c r="S458">
        <v>3.0005190000000002</v>
      </c>
      <c r="T458">
        <v>-3.3000709999999999E-3</v>
      </c>
      <c r="U458">
        <v>-9.3841549999999996E-2</v>
      </c>
      <c r="V458">
        <v>1.653164E-2</v>
      </c>
      <c r="W458">
        <v>3.5704470000000002E-2</v>
      </c>
      <c r="X458">
        <v>0.99922569999999999</v>
      </c>
      <c r="Y458">
        <v>4.1264170000000003E-2</v>
      </c>
      <c r="Z458" s="1">
        <v>-3.3694140000000003E-5</v>
      </c>
      <c r="AA458">
        <v>0.99914820000000004</v>
      </c>
      <c r="AB458">
        <v>33</v>
      </c>
      <c r="AC458">
        <v>264.29309999999998</v>
      </c>
      <c r="AD458">
        <v>-0.2907923</v>
      </c>
      <c r="AE458">
        <v>-8.2742000000000004</v>
      </c>
      <c r="AF458">
        <v>10.9195645345033</v>
      </c>
      <c r="AG458">
        <v>-0.2907923</v>
      </c>
      <c r="AH458">
        <v>264.19670528530401</v>
      </c>
      <c r="AI458">
        <v>90.063009688614002</v>
      </c>
      <c r="AJ458">
        <v>87.633244253798793</v>
      </c>
      <c r="AK458">
        <v>264.42242819661698</v>
      </c>
      <c r="AL458">
        <v>87.953849766527298</v>
      </c>
      <c r="AM458">
        <v>89.052159293861905</v>
      </c>
      <c r="AN458">
        <v>1.00000005191977</v>
      </c>
    </row>
    <row r="459" spans="1:40" x14ac:dyDescent="0.25">
      <c r="A459" t="str">
        <f>"20190312150644659"</f>
        <v>20190312150644659</v>
      </c>
      <c r="B459" t="str">
        <f>"1552374404651420"</f>
        <v>1552374404651420</v>
      </c>
      <c r="C459" t="s">
        <v>40</v>
      </c>
      <c r="D459">
        <v>4.1820079999999997</v>
      </c>
      <c r="E459">
        <v>0.50945649999999998</v>
      </c>
      <c r="F459" t="s">
        <v>47</v>
      </c>
      <c r="G459">
        <v>-158.19499999999999</v>
      </c>
      <c r="H459">
        <v>1.0170110000000001</v>
      </c>
      <c r="I459">
        <v>358.99540000000002</v>
      </c>
      <c r="J459">
        <v>-422.202</v>
      </c>
      <c r="K459">
        <v>1.059258</v>
      </c>
      <c r="L459">
        <v>367.27769999999998</v>
      </c>
      <c r="M459">
        <v>0.99991160000000001</v>
      </c>
      <c r="N459">
        <v>0</v>
      </c>
      <c r="O459">
        <v>1.001056E-2</v>
      </c>
      <c r="P459">
        <v>0.99961750000000005</v>
      </c>
      <c r="Q459">
        <v>2.690507E-2</v>
      </c>
      <c r="R459">
        <v>-6.4228210000000004E-3</v>
      </c>
      <c r="S459">
        <v>3.0004270000000002</v>
      </c>
      <c r="T459">
        <v>-4.8148629999999998E-4</v>
      </c>
      <c r="U459">
        <v>-9.3994140000000004E-2</v>
      </c>
      <c r="V459">
        <v>1.64310999999999E-2</v>
      </c>
      <c r="W459">
        <v>3.5667780000000003E-2</v>
      </c>
      <c r="X459">
        <v>0.99922860000000002</v>
      </c>
      <c r="Y459">
        <v>4.1316020000000002E-2</v>
      </c>
      <c r="Z459" s="1">
        <v>-4.920363E-6</v>
      </c>
      <c r="AA459">
        <v>0.99914610000000004</v>
      </c>
      <c r="AB459">
        <v>33</v>
      </c>
      <c r="AC459">
        <v>264.00700000000001</v>
      </c>
      <c r="AD459">
        <v>-4.2246999999999903E-2</v>
      </c>
      <c r="AE459">
        <v>-8.2822999999999602</v>
      </c>
      <c r="AF459">
        <v>10.924843804183901</v>
      </c>
      <c r="AG459">
        <v>-4.2246999999999903E-2</v>
      </c>
      <c r="AH459">
        <v>263.910850024257</v>
      </c>
      <c r="AI459">
        <v>90.009164092564902</v>
      </c>
      <c r="AJ459">
        <v>87.629539435837202</v>
      </c>
      <c r="AK459">
        <v>264.13687882891497</v>
      </c>
      <c r="AL459">
        <v>87.955953148126696</v>
      </c>
      <c r="AM459">
        <v>89.057925441019705</v>
      </c>
      <c r="AN459">
        <v>0.99999998331764905</v>
      </c>
    </row>
    <row r="460" spans="1:40" x14ac:dyDescent="0.25">
      <c r="A460" t="str">
        <f>"20190312150644680"</f>
        <v>20190312150644680</v>
      </c>
      <c r="B460" t="str">
        <f>"1552374404670940"</f>
        <v>1552374404670940</v>
      </c>
      <c r="C460" t="s">
        <v>40</v>
      </c>
      <c r="D460">
        <v>4.1745850000000004</v>
      </c>
      <c r="E460">
        <v>0.50958539999999997</v>
      </c>
      <c r="F460" t="s">
        <v>47</v>
      </c>
      <c r="G460">
        <v>-158.19499999999999</v>
      </c>
      <c r="H460">
        <v>1.412026</v>
      </c>
      <c r="I460">
        <v>358.93200000000002</v>
      </c>
      <c r="J460">
        <v>-421.87169999999998</v>
      </c>
      <c r="K460">
        <v>1.0590189999999999</v>
      </c>
      <c r="L460">
        <v>367.28100000000001</v>
      </c>
      <c r="M460">
        <v>0.99992170000000002</v>
      </c>
      <c r="N460">
        <v>0</v>
      </c>
      <c r="O460">
        <v>1.0010750000000001E-2</v>
      </c>
      <c r="P460">
        <v>0.99958550000000002</v>
      </c>
      <c r="Q460">
        <v>2.8035150000000002E-2</v>
      </c>
      <c r="R460">
        <v>-6.5648859999999998E-3</v>
      </c>
      <c r="S460">
        <v>3.0004270000000002</v>
      </c>
      <c r="T460">
        <v>4.0102009999999997E-3</v>
      </c>
      <c r="U460">
        <v>-9.4848630000000003E-2</v>
      </c>
      <c r="V460">
        <v>1.6572710000000001E-2</v>
      </c>
      <c r="W460">
        <v>3.5539599999999998E-2</v>
      </c>
      <c r="X460">
        <v>0.99923090000000003</v>
      </c>
      <c r="Y460">
        <v>4.160034E-2</v>
      </c>
      <c r="Z460" s="1">
        <v>4.1170559999999999E-5</v>
      </c>
      <c r="AA460">
        <v>0.99913430000000003</v>
      </c>
      <c r="AB460">
        <v>33</v>
      </c>
      <c r="AC460">
        <v>263.67669999999998</v>
      </c>
      <c r="AD460">
        <v>0.35300699999999902</v>
      </c>
      <c r="AE460">
        <v>-8.3490000000000393</v>
      </c>
      <c r="AF460">
        <v>10.9882378792674</v>
      </c>
      <c r="AG460">
        <v>0.35300699999999902</v>
      </c>
      <c r="AH460">
        <v>263.57943266685999</v>
      </c>
      <c r="AI460">
        <v>89.923331474331903</v>
      </c>
      <c r="AJ460">
        <v>87.612805726923696</v>
      </c>
      <c r="AK460">
        <v>263.80861113810698</v>
      </c>
      <c r="AL460">
        <v>87.963302125968198</v>
      </c>
      <c r="AM460">
        <v>89.049809922684204</v>
      </c>
      <c r="AN460">
        <v>1.00000005469985</v>
      </c>
    </row>
    <row r="461" spans="1:40" x14ac:dyDescent="0.25">
      <c r="A461" t="str">
        <f>"20190312150644693"</f>
        <v>20190312150644693</v>
      </c>
      <c r="B461" t="str">
        <f>"1552374404680700"</f>
        <v>1552374404680700</v>
      </c>
      <c r="C461" t="s">
        <v>40</v>
      </c>
      <c r="D461">
        <v>4.178096</v>
      </c>
      <c r="E461">
        <v>0.50965419999999995</v>
      </c>
      <c r="F461" t="s">
        <v>47</v>
      </c>
      <c r="G461">
        <v>-158.19499999999999</v>
      </c>
      <c r="H461">
        <v>1.7539419999999999</v>
      </c>
      <c r="I461">
        <v>358.81699999999898</v>
      </c>
      <c r="J461">
        <v>-421.68529999999998</v>
      </c>
      <c r="K461">
        <v>1.058905</v>
      </c>
      <c r="L461">
        <v>367.28289999999998</v>
      </c>
      <c r="M461">
        <v>0.9999266</v>
      </c>
      <c r="N461">
        <v>0</v>
      </c>
      <c r="O461">
        <v>1.0010710000000001E-2</v>
      </c>
      <c r="P461">
        <v>0.9995581</v>
      </c>
      <c r="Q461">
        <v>2.893567E-2</v>
      </c>
      <c r="R461">
        <v>-6.820736E-3</v>
      </c>
      <c r="S461">
        <v>3.000397</v>
      </c>
      <c r="T461">
        <v>7.9085830000000003E-3</v>
      </c>
      <c r="U461">
        <v>-9.6313480000000007E-2</v>
      </c>
      <c r="V461">
        <v>1.6828309999999999E-2</v>
      </c>
      <c r="W461">
        <v>3.5747840000000003E-2</v>
      </c>
      <c r="X461">
        <v>0.99921910000000003</v>
      </c>
      <c r="Y461">
        <v>4.2087720000000002E-2</v>
      </c>
      <c r="Z461" s="1">
        <v>8.1835170000000003E-5</v>
      </c>
      <c r="AA461">
        <v>0.9991139</v>
      </c>
      <c r="AB461">
        <v>33</v>
      </c>
      <c r="AC461">
        <v>263.49029999999999</v>
      </c>
      <c r="AD461">
        <v>0.69503699999999902</v>
      </c>
      <c r="AE461">
        <v>-8.4659000000000297</v>
      </c>
      <c r="AF461">
        <v>11.1031850070194</v>
      </c>
      <c r="AG461">
        <v>0.69503699999999902</v>
      </c>
      <c r="AH461">
        <v>263.39051387020402</v>
      </c>
      <c r="AI461">
        <v>89.848941945717797</v>
      </c>
      <c r="AJ461">
        <v>87.586134734340206</v>
      </c>
      <c r="AK461">
        <v>263.62535270823599</v>
      </c>
      <c r="AL461">
        <v>87.951363062602596</v>
      </c>
      <c r="AM461">
        <v>89.035146550488093</v>
      </c>
      <c r="AN461">
        <v>0.99999995494346405</v>
      </c>
    </row>
    <row r="462" spans="1:40" x14ac:dyDescent="0.25">
      <c r="A462" t="str">
        <f>"20190312150644706"</f>
        <v>20190312150644706</v>
      </c>
      <c r="B462" t="str">
        <f>"1552374404701196"</f>
        <v>1552374404701196</v>
      </c>
      <c r="C462" t="s">
        <v>40</v>
      </c>
      <c r="D462">
        <v>4.1804449999999997</v>
      </c>
      <c r="E462">
        <v>0.50976259999999995</v>
      </c>
      <c r="F462" t="s">
        <v>47</v>
      </c>
      <c r="G462">
        <v>-158.19499999999999</v>
      </c>
      <c r="H462">
        <v>1.9819629999999999</v>
      </c>
      <c r="I462">
        <v>358.7201</v>
      </c>
      <c r="J462">
        <v>-421.4975</v>
      </c>
      <c r="K462">
        <v>1.058797</v>
      </c>
      <c r="L462">
        <v>367.28480000000002</v>
      </c>
      <c r="M462">
        <v>0.99993109999999996</v>
      </c>
      <c r="N462">
        <v>0</v>
      </c>
      <c r="O462">
        <v>1.0010460000000001E-2</v>
      </c>
      <c r="P462">
        <v>0.99953550000000002</v>
      </c>
      <c r="Q462">
        <v>2.9752870000000001E-2</v>
      </c>
      <c r="R462">
        <v>-6.6191710000000001E-3</v>
      </c>
      <c r="S462">
        <v>3.0003359999999999</v>
      </c>
      <c r="T462">
        <v>1.051176E-2</v>
      </c>
      <c r="U462">
        <v>-9.7503660000000006E-2</v>
      </c>
      <c r="V462">
        <v>1.6626160000000001E-2</v>
      </c>
      <c r="W462">
        <v>3.5878889999999997E-2</v>
      </c>
      <c r="X462">
        <v>0.99921780000000004</v>
      </c>
      <c r="Y462">
        <v>4.2483859999999998E-2</v>
      </c>
      <c r="Z462">
        <v>1.09466E-4</v>
      </c>
      <c r="AA462">
        <v>0.99909720000000002</v>
      </c>
      <c r="AB462">
        <v>34</v>
      </c>
      <c r="AC462">
        <v>263.30250000000001</v>
      </c>
      <c r="AD462">
        <v>0.92316600000000004</v>
      </c>
      <c r="AE462">
        <v>-8.5647000000000109</v>
      </c>
      <c r="AF462">
        <v>11.1999619884515</v>
      </c>
      <c r="AG462">
        <v>0.92316600000000004</v>
      </c>
      <c r="AH462">
        <v>263.20033625408797</v>
      </c>
      <c r="AI462">
        <v>89.799219574303706</v>
      </c>
      <c r="AJ462">
        <v>87.563363122134902</v>
      </c>
      <c r="AK462">
        <v>263.44014194551198</v>
      </c>
      <c r="AL462">
        <v>87.943849657086403</v>
      </c>
      <c r="AM462">
        <v>89.046733456572696</v>
      </c>
      <c r="AN462">
        <v>0.99999996789040801</v>
      </c>
    </row>
    <row r="463" spans="1:40" x14ac:dyDescent="0.25">
      <c r="A463" t="str">
        <f>"20190312150644723"</f>
        <v>20190312150644723</v>
      </c>
      <c r="B463" t="str">
        <f>"1552374404711463"</f>
        <v>1552374404711463</v>
      </c>
      <c r="C463" t="s">
        <v>40</v>
      </c>
      <c r="D463">
        <v>4.2223220000000001</v>
      </c>
      <c r="E463">
        <v>0.50981299999999996</v>
      </c>
      <c r="F463" t="s">
        <v>47</v>
      </c>
      <c r="G463">
        <v>-158.19499999999999</v>
      </c>
      <c r="H463">
        <v>2.195532</v>
      </c>
      <c r="I463">
        <v>358.68799999999999</v>
      </c>
      <c r="J463">
        <v>-421.2253</v>
      </c>
      <c r="K463">
        <v>1.0586690000000001</v>
      </c>
      <c r="L463">
        <v>367.28750000000002</v>
      </c>
      <c r="M463">
        <v>0.99993650000000001</v>
      </c>
      <c r="N463">
        <v>0</v>
      </c>
      <c r="O463">
        <v>1.001018E-2</v>
      </c>
      <c r="P463">
        <v>0.9995079</v>
      </c>
      <c r="Q463">
        <v>3.0725329999999999E-2</v>
      </c>
      <c r="R463">
        <v>-6.3360930000000001E-3</v>
      </c>
      <c r="S463">
        <v>3.0003660000000001</v>
      </c>
      <c r="T463">
        <v>1.2954240000000001E-2</v>
      </c>
      <c r="U463">
        <v>-9.7961430000000002E-2</v>
      </c>
      <c r="V463">
        <v>1.6342490000000001E-2</v>
      </c>
      <c r="W463">
        <v>3.5913199999999902E-2</v>
      </c>
      <c r="X463">
        <v>0.99922129999999998</v>
      </c>
      <c r="Y463">
        <v>4.2635300000000001E-2</v>
      </c>
      <c r="Z463">
        <v>1.352247E-4</v>
      </c>
      <c r="AA463">
        <v>0.9990907</v>
      </c>
      <c r="AB463">
        <v>34</v>
      </c>
      <c r="AC463">
        <v>263.03030000000001</v>
      </c>
      <c r="AD463">
        <v>1.136863</v>
      </c>
      <c r="AE463">
        <v>-8.5994999999999706</v>
      </c>
      <c r="AF463">
        <v>11.2318754468678</v>
      </c>
      <c r="AG463">
        <v>1.136863</v>
      </c>
      <c r="AH463">
        <v>262.926130785206</v>
      </c>
      <c r="AI463">
        <v>89.752486777951503</v>
      </c>
      <c r="AJ463">
        <v>87.553883205613403</v>
      </c>
      <c r="AK463">
        <v>263.16838285252601</v>
      </c>
      <c r="AL463">
        <v>87.941882679717807</v>
      </c>
      <c r="AM463">
        <v>89.062998129171703</v>
      </c>
      <c r="AN463">
        <v>1.0000000206436599</v>
      </c>
    </row>
    <row r="464" spans="1:40" x14ac:dyDescent="0.25">
      <c r="A464" t="str">
        <f>"20190312150644735"</f>
        <v>20190312150644735</v>
      </c>
      <c r="B464" t="str">
        <f>"1552374404730983"</f>
        <v>1552374404730983</v>
      </c>
      <c r="C464" t="s">
        <v>40</v>
      </c>
      <c r="D464">
        <v>4.1672339999999997</v>
      </c>
      <c r="E464">
        <v>0.50990159999999995</v>
      </c>
      <c r="F464" t="s">
        <v>47</v>
      </c>
      <c r="G464">
        <v>-158.19499999999999</v>
      </c>
      <c r="H464">
        <v>2.4540310000000001</v>
      </c>
      <c r="I464">
        <v>358.74779999999998</v>
      </c>
      <c r="J464">
        <v>-421.04750000000001</v>
      </c>
      <c r="K464">
        <v>1.0586139999999999</v>
      </c>
      <c r="L464">
        <v>367.28930000000003</v>
      </c>
      <c r="M464">
        <v>0.99993900000000002</v>
      </c>
      <c r="N464">
        <v>0</v>
      </c>
      <c r="O464">
        <v>1.001062E-2</v>
      </c>
      <c r="P464">
        <v>0.99949460000000001</v>
      </c>
      <c r="Q464">
        <v>3.1158120000000001E-2</v>
      </c>
      <c r="R464">
        <v>-6.3029799999999997E-3</v>
      </c>
      <c r="S464">
        <v>3.0003660000000001</v>
      </c>
      <c r="T464">
        <v>1.5917779999999999E-2</v>
      </c>
      <c r="U464">
        <v>-9.7412109999999996E-2</v>
      </c>
      <c r="V464">
        <v>1.6309790000000001E-2</v>
      </c>
      <c r="W464">
        <v>3.5814079999999998E-2</v>
      </c>
      <c r="X464">
        <v>0.99922540000000004</v>
      </c>
      <c r="Y464">
        <v>4.2452740000000003E-2</v>
      </c>
      <c r="Z464">
        <v>1.6567820000000001E-4</v>
      </c>
      <c r="AA464">
        <v>0.9990985</v>
      </c>
      <c r="AB464">
        <v>34</v>
      </c>
      <c r="AC464">
        <v>262.85250000000002</v>
      </c>
      <c r="AD464">
        <v>1.3954169999999999</v>
      </c>
      <c r="AE464">
        <v>-8.5415000000000401</v>
      </c>
      <c r="AF464">
        <v>11.1721026226168</v>
      </c>
      <c r="AG464">
        <v>1.3954169999999999</v>
      </c>
      <c r="AH464">
        <v>262.74642507317498</v>
      </c>
      <c r="AI464">
        <v>89.695986055142299</v>
      </c>
      <c r="AJ464">
        <v>87.565222922679496</v>
      </c>
      <c r="AK464">
        <v>262.98754144321703</v>
      </c>
      <c r="AL464">
        <v>87.947565509791403</v>
      </c>
      <c r="AM464">
        <v>89.064876497139906</v>
      </c>
      <c r="AN464">
        <v>1.0000000287906201</v>
      </c>
    </row>
    <row r="465" spans="1:40" x14ac:dyDescent="0.25">
      <c r="A465" t="str">
        <f>"20190312150644747"</f>
        <v>20190312150644747</v>
      </c>
      <c r="B465" t="str">
        <f>"1552374404740743"</f>
        <v>1552374404740743</v>
      </c>
      <c r="C465" t="s">
        <v>40</v>
      </c>
      <c r="D465">
        <v>4.2022820000000003</v>
      </c>
      <c r="E465">
        <v>0.50994070000000002</v>
      </c>
      <c r="F465" t="s">
        <v>47</v>
      </c>
      <c r="G465">
        <v>-158.19499999999999</v>
      </c>
      <c r="H465">
        <v>2.6832449999999999</v>
      </c>
      <c r="I465">
        <v>358.6884</v>
      </c>
      <c r="J465">
        <v>-420.85509999999999</v>
      </c>
      <c r="K465">
        <v>1.058567</v>
      </c>
      <c r="L465">
        <v>367.2912</v>
      </c>
      <c r="M465">
        <v>0.99994150000000004</v>
      </c>
      <c r="N465">
        <v>0</v>
      </c>
      <c r="O465">
        <v>1.0010659999999999E-2</v>
      </c>
      <c r="P465">
        <v>0.99947710000000001</v>
      </c>
      <c r="Q465">
        <v>3.1731219999999997E-2</v>
      </c>
      <c r="R465">
        <v>-6.2376599999999999E-3</v>
      </c>
      <c r="S465">
        <v>3.0003359999999999</v>
      </c>
      <c r="T465">
        <v>1.8545389999999998E-2</v>
      </c>
      <c r="U465">
        <v>-9.817505E-2</v>
      </c>
      <c r="V465">
        <v>1.6244379999999999E-2</v>
      </c>
      <c r="W465">
        <v>3.5867929999999999E-2</v>
      </c>
      <c r="X465">
        <v>0.99922449999999996</v>
      </c>
      <c r="Y465">
        <v>4.2706590000000003E-2</v>
      </c>
      <c r="Z465">
        <v>1.9381239999999999E-4</v>
      </c>
      <c r="AA465">
        <v>0.99908759999999996</v>
      </c>
      <c r="AB465">
        <v>34</v>
      </c>
      <c r="AC465">
        <v>262.6601</v>
      </c>
      <c r="AD465">
        <v>1.6246779999999901</v>
      </c>
      <c r="AE465">
        <v>-8.6028000000000002</v>
      </c>
      <c r="AF465">
        <v>11.231362693455599</v>
      </c>
      <c r="AG465">
        <v>1.6246779999999901</v>
      </c>
      <c r="AH465">
        <v>262.55078353972198</v>
      </c>
      <c r="AI465">
        <v>89.645779186862001</v>
      </c>
      <c r="AJ465">
        <v>87.550502143044795</v>
      </c>
      <c r="AK465">
        <v>262.79592276874803</v>
      </c>
      <c r="AL465">
        <v>87.944478078726604</v>
      </c>
      <c r="AM465">
        <v>89.068625285588993</v>
      </c>
      <c r="AN465">
        <v>0.99999999484215896</v>
      </c>
    </row>
    <row r="466" spans="1:40" x14ac:dyDescent="0.25">
      <c r="A466" t="str">
        <f>"20190312150644759"</f>
        <v>20190312150644759</v>
      </c>
      <c r="B466" t="str">
        <f>"1552374404751480"</f>
        <v>1552374404751480</v>
      </c>
      <c r="C466" t="s">
        <v>40</v>
      </c>
      <c r="D466">
        <v>4.3695060000000003</v>
      </c>
      <c r="E466">
        <v>0.51001479999999999</v>
      </c>
      <c r="F466" t="s">
        <v>47</v>
      </c>
      <c r="G466">
        <v>-158.19499999999999</v>
      </c>
      <c r="H466">
        <v>2.863442</v>
      </c>
      <c r="I466">
        <v>358.69909999999999</v>
      </c>
      <c r="J466">
        <v>-420.67099999999999</v>
      </c>
      <c r="K466">
        <v>1.0585610000000001</v>
      </c>
      <c r="L466">
        <v>367.29309999999998</v>
      </c>
      <c r="M466">
        <v>0.99994280000000002</v>
      </c>
      <c r="N466">
        <v>0</v>
      </c>
      <c r="O466">
        <v>1.0011580000000001E-2</v>
      </c>
      <c r="P466">
        <v>0.99946990000000002</v>
      </c>
      <c r="Q466">
        <v>3.1927150000000001E-2</v>
      </c>
      <c r="R466">
        <v>-6.3863909999999999E-3</v>
      </c>
      <c r="S466">
        <v>3.0002439999999999</v>
      </c>
      <c r="T466">
        <v>2.061725E-2</v>
      </c>
      <c r="U466">
        <v>-9.8144529999999994E-2</v>
      </c>
      <c r="V466">
        <v>1.6393950000000001E-2</v>
      </c>
      <c r="W466">
        <v>3.5697329999999999E-2</v>
      </c>
      <c r="X466">
        <v>0.99922820000000001</v>
      </c>
      <c r="Y466">
        <v>4.2698109999999997E-2</v>
      </c>
      <c r="Z466">
        <v>2.15448E-4</v>
      </c>
      <c r="AA466">
        <v>0.99908799999999998</v>
      </c>
      <c r="AB466">
        <v>34</v>
      </c>
      <c r="AC466">
        <v>262.476</v>
      </c>
      <c r="AD466">
        <v>1.804881</v>
      </c>
      <c r="AE466">
        <v>-8.5939999999999905</v>
      </c>
      <c r="AF466">
        <v>11.220857367601299</v>
      </c>
      <c r="AG466">
        <v>1.804881</v>
      </c>
      <c r="AH466">
        <v>262.36441268332101</v>
      </c>
      <c r="AI466">
        <v>89.606211875429395</v>
      </c>
      <c r="AJ466">
        <v>87.551054247182904</v>
      </c>
      <c r="AK466">
        <v>262.61045348224798</v>
      </c>
      <c r="AL466">
        <v>87.954259071027494</v>
      </c>
      <c r="AM466">
        <v>89.060054671709096</v>
      </c>
      <c r="AN466">
        <v>1.00000002832048</v>
      </c>
    </row>
    <row r="467" spans="1:40" x14ac:dyDescent="0.25">
      <c r="A467" t="str">
        <f>"20190312150644771"</f>
        <v>20190312150644771</v>
      </c>
      <c r="B467" t="str">
        <f>"1552374404761239"</f>
        <v>1552374404761239</v>
      </c>
      <c r="C467" t="s">
        <v>40</v>
      </c>
      <c r="D467">
        <v>4.2296930000000001</v>
      </c>
      <c r="E467">
        <v>0.50987420000000006</v>
      </c>
      <c r="F467" t="s">
        <v>47</v>
      </c>
      <c r="G467">
        <v>-158.19499999999999</v>
      </c>
      <c r="H467">
        <v>2.8808150000000001</v>
      </c>
      <c r="I467">
        <v>358.6191</v>
      </c>
      <c r="J467">
        <v>-420.48669999999998</v>
      </c>
      <c r="K467">
        <v>1.0585910000000001</v>
      </c>
      <c r="L467">
        <v>367.29489999999998</v>
      </c>
      <c r="M467">
        <v>0.99994360000000004</v>
      </c>
      <c r="N467">
        <v>0</v>
      </c>
      <c r="O467">
        <v>1.001263E-2</v>
      </c>
      <c r="P467">
        <v>0.99946369999999896</v>
      </c>
      <c r="Q467">
        <v>3.2099750000000003E-2</v>
      </c>
      <c r="R467">
        <v>-6.4745180000000003E-3</v>
      </c>
      <c r="S467">
        <v>3.0003359999999999</v>
      </c>
      <c r="T467">
        <v>2.0830990000000001E-2</v>
      </c>
      <c r="U467">
        <v>-9.9151610000000001E-2</v>
      </c>
      <c r="V467">
        <v>1.6483040000000001E-2</v>
      </c>
      <c r="W467">
        <v>3.5656819999999999E-2</v>
      </c>
      <c r="X467">
        <v>0.99922820000000001</v>
      </c>
      <c r="Y467">
        <v>4.3033109999999999E-2</v>
      </c>
      <c r="Z467">
        <v>2.1884359999999999E-4</v>
      </c>
      <c r="AA467">
        <v>0.99907360000000001</v>
      </c>
      <c r="AB467">
        <v>34</v>
      </c>
      <c r="AC467">
        <v>262.29169999999999</v>
      </c>
      <c r="AD467">
        <v>1.8222240000000001</v>
      </c>
      <c r="AE467">
        <v>-8.6757999999999793</v>
      </c>
      <c r="AF467">
        <v>11.3010664607961</v>
      </c>
      <c r="AG467">
        <v>1.8222240000000001</v>
      </c>
      <c r="AH467">
        <v>262.17904334825101</v>
      </c>
      <c r="AI467">
        <v>89.602152752601</v>
      </c>
      <c r="AJ467">
        <v>87.531828507209497</v>
      </c>
      <c r="AK467">
        <v>262.428819633937</v>
      </c>
      <c r="AL467">
        <v>87.956581640887293</v>
      </c>
      <c r="AM467">
        <v>89.054947630212794</v>
      </c>
      <c r="AN467">
        <v>1.00000004754769</v>
      </c>
    </row>
    <row r="468" spans="1:40" x14ac:dyDescent="0.25">
      <c r="A468" t="str">
        <f>"20190312150644783"</f>
        <v>20190312150644783</v>
      </c>
      <c r="B468" t="str">
        <f>"1552374404770999"</f>
        <v>1552374404770999</v>
      </c>
      <c r="C468" t="s">
        <v>40</v>
      </c>
      <c r="D468">
        <v>4.2626720000000002</v>
      </c>
      <c r="E468">
        <v>0.50987420000000006</v>
      </c>
      <c r="F468" t="s">
        <v>47</v>
      </c>
      <c r="G468">
        <v>-158.19499999999999</v>
      </c>
      <c r="H468">
        <v>2.9268990000000001</v>
      </c>
      <c r="I468">
        <v>358.70170000000002</v>
      </c>
      <c r="J468">
        <v>-420.3021</v>
      </c>
      <c r="K468">
        <v>1.0586420000000001</v>
      </c>
      <c r="L468">
        <v>367.29680000000002</v>
      </c>
      <c r="M468">
        <v>0.99994400000000006</v>
      </c>
      <c r="N468">
        <v>0</v>
      </c>
      <c r="O468">
        <v>1.001384E-2</v>
      </c>
      <c r="P468">
        <v>0.99946120000000005</v>
      </c>
      <c r="Q468">
        <v>3.2164419999999999E-2</v>
      </c>
      <c r="R468">
        <v>-6.5483119999999997E-3</v>
      </c>
      <c r="S468">
        <v>3.0003359999999999</v>
      </c>
      <c r="T468">
        <v>2.1372439999999999E-2</v>
      </c>
      <c r="U468">
        <v>-9.8297120000000002E-2</v>
      </c>
      <c r="V468">
        <v>1.6557789999999999E-2</v>
      </c>
      <c r="W468">
        <v>3.560965E-2</v>
      </c>
      <c r="X468">
        <v>0.99922860000000002</v>
      </c>
      <c r="Y468">
        <v>4.275002E-2</v>
      </c>
      <c r="Z468">
        <v>2.2353339999999999E-4</v>
      </c>
      <c r="AA468">
        <v>0.99908580000000002</v>
      </c>
      <c r="AB468">
        <v>34</v>
      </c>
      <c r="AC468">
        <v>262.1071</v>
      </c>
      <c r="AD468">
        <v>1.8682570000000001</v>
      </c>
      <c r="AE468">
        <v>-8.5951000000000004</v>
      </c>
      <c r="AF468">
        <v>11.2188136100786</v>
      </c>
      <c r="AG468">
        <v>1.8682570000000001</v>
      </c>
      <c r="AH468">
        <v>261.99459078110101</v>
      </c>
      <c r="AI468">
        <v>89.591810548619407</v>
      </c>
      <c r="AJ468">
        <v>87.548047755792894</v>
      </c>
      <c r="AK468">
        <v>262.24133495998001</v>
      </c>
      <c r="AL468">
        <v>87.959285905746796</v>
      </c>
      <c r="AM468">
        <v>89.050663013876701</v>
      </c>
      <c r="AN468">
        <v>1.00000000132038</v>
      </c>
    </row>
    <row r="469" spans="1:40" x14ac:dyDescent="0.25">
      <c r="A469" t="str">
        <f>"20190312150644803"</f>
        <v>20190312150644803</v>
      </c>
      <c r="B469" t="str">
        <f>"1552374404791495"</f>
        <v>1552374404791495</v>
      </c>
      <c r="C469" t="s">
        <v>40</v>
      </c>
      <c r="D469">
        <v>4.2603169999999997</v>
      </c>
      <c r="E469">
        <v>0.49221720000000002</v>
      </c>
      <c r="F469" t="s">
        <v>47</v>
      </c>
      <c r="G469">
        <v>-158.19499999999999</v>
      </c>
      <c r="H469">
        <v>2.9425539999999999</v>
      </c>
      <c r="I469">
        <v>358.69869999999997</v>
      </c>
      <c r="J469">
        <v>-420.00080000000003</v>
      </c>
      <c r="K469">
        <v>1.0587979999999999</v>
      </c>
      <c r="L469">
        <v>367.29969999999997</v>
      </c>
      <c r="M469">
        <v>0.99994340000000004</v>
      </c>
      <c r="N469">
        <v>0</v>
      </c>
      <c r="O469">
        <v>1.001643E-2</v>
      </c>
      <c r="P469">
        <v>0.99948320000000002</v>
      </c>
      <c r="Q469">
        <v>3.1493960000000001E-2</v>
      </c>
      <c r="R469">
        <v>-6.4793799999999999E-3</v>
      </c>
      <c r="S469">
        <v>3.0002439999999999</v>
      </c>
      <c r="T469">
        <v>2.1565440000000002E-2</v>
      </c>
      <c r="U469">
        <v>-9.8419190000000004E-2</v>
      </c>
      <c r="V469">
        <v>1.649159E-2</v>
      </c>
      <c r="W469">
        <v>3.5094029999999998E-2</v>
      </c>
      <c r="X469">
        <v>0.99924789999999997</v>
      </c>
      <c r="Y469">
        <v>4.2794190000000003E-2</v>
      </c>
      <c r="Z469">
        <v>2.2573600000000001E-4</v>
      </c>
      <c r="AA469">
        <v>0.99908390000000002</v>
      </c>
      <c r="AB469">
        <v>34</v>
      </c>
      <c r="AC469">
        <v>261.80579999999998</v>
      </c>
      <c r="AD469">
        <v>1.883756</v>
      </c>
      <c r="AE469">
        <v>-8.6009999999999902</v>
      </c>
      <c r="AF469">
        <v>11.2223644886604</v>
      </c>
      <c r="AG469">
        <v>1.883756</v>
      </c>
      <c r="AH469">
        <v>261.69298066072702</v>
      </c>
      <c r="AI469">
        <v>89.5879511083116</v>
      </c>
      <c r="AJ469">
        <v>87.544449239384406</v>
      </c>
      <c r="AK469">
        <v>261.940272063078</v>
      </c>
      <c r="AL469">
        <v>87.988847159873103</v>
      </c>
      <c r="AM469">
        <v>89.054476144177301</v>
      </c>
      <c r="AN469">
        <v>0.99999996456838802</v>
      </c>
    </row>
    <row r="470" spans="1:40" x14ac:dyDescent="0.25">
      <c r="A470" t="str">
        <f>"20190312150644815"</f>
        <v>20190312150644815</v>
      </c>
      <c r="B470" t="str">
        <f>"1552374404811016"</f>
        <v>1552374404811016</v>
      </c>
      <c r="C470" t="s">
        <v>40</v>
      </c>
      <c r="D470">
        <v>4.1815509999999998</v>
      </c>
      <c r="E470">
        <v>0.49227100000000001</v>
      </c>
      <c r="F470" t="s">
        <v>42</v>
      </c>
      <c r="G470">
        <v>-228.68190000000001</v>
      </c>
      <c r="H470" s="1">
        <v>-6.531858E-7</v>
      </c>
      <c r="I470">
        <v>370.01249999999999</v>
      </c>
      <c r="J470">
        <v>-419.80180000000001</v>
      </c>
      <c r="K470">
        <v>1.05891</v>
      </c>
      <c r="L470">
        <v>367.30169999999998</v>
      </c>
      <c r="M470">
        <v>0.99994260000000001</v>
      </c>
      <c r="N470">
        <v>0</v>
      </c>
      <c r="O470">
        <v>1.0017679999999999E-2</v>
      </c>
      <c r="P470">
        <v>0.99949330000000003</v>
      </c>
      <c r="Q470">
        <v>3.1121070000000001E-2</v>
      </c>
      <c r="R470">
        <v>-6.6807200000000002E-3</v>
      </c>
      <c r="S470">
        <v>3.0023499999999999</v>
      </c>
      <c r="T470">
        <v>-1.6615629999999999E-2</v>
      </c>
      <c r="U470">
        <v>4.2572020000000002E-2</v>
      </c>
      <c r="V470">
        <v>1.6694440000000001E-2</v>
      </c>
      <c r="W470">
        <v>3.4939629999999999E-2</v>
      </c>
      <c r="X470">
        <v>0.99924999999999997</v>
      </c>
      <c r="Y470">
        <v>-4.1607709999999997E-3</v>
      </c>
      <c r="Z470" s="1">
        <v>-4.3922840000000002E-5</v>
      </c>
      <c r="AA470">
        <v>0.99999139999999997</v>
      </c>
      <c r="AB470">
        <v>35</v>
      </c>
      <c r="AC470">
        <v>191.1199</v>
      </c>
      <c r="AD470">
        <v>-1.0589106531857999</v>
      </c>
      <c r="AE470">
        <v>2.7107999999999999</v>
      </c>
      <c r="AF470">
        <v>-0.79604771704739796</v>
      </c>
      <c r="AG470">
        <v>-1.0589106531857999</v>
      </c>
      <c r="AH470">
        <v>191.13159979547501</v>
      </c>
      <c r="AI470">
        <v>90.317425085356803</v>
      </c>
      <c r="AJ470">
        <v>90.238630926560205</v>
      </c>
      <c r="AK470">
        <v>191.13619077536501</v>
      </c>
      <c r="AL470">
        <v>87.997699172834302</v>
      </c>
      <c r="AM470">
        <v>89.042850165007394</v>
      </c>
      <c r="AN470">
        <v>1.0000000222857199</v>
      </c>
    </row>
    <row r="471" spans="1:40" x14ac:dyDescent="0.25">
      <c r="A471" t="str">
        <f>"20190312150644828"</f>
        <v>20190312150644828</v>
      </c>
      <c r="B471" t="str">
        <f>"1552374404820775"</f>
        <v>1552374404820775</v>
      </c>
      <c r="C471" t="s">
        <v>40</v>
      </c>
      <c r="D471">
        <v>4.2184089999999896</v>
      </c>
      <c r="E471">
        <v>0.4921064</v>
      </c>
      <c r="F471" t="s">
        <v>43</v>
      </c>
      <c r="G471">
        <v>-281.55270000000002</v>
      </c>
      <c r="H471">
        <v>-0.05</v>
      </c>
      <c r="I471">
        <v>369.21129999999999</v>
      </c>
      <c r="J471">
        <v>-419.61180000000002</v>
      </c>
      <c r="K471">
        <v>1.059013</v>
      </c>
      <c r="L471">
        <v>367.30360000000002</v>
      </c>
      <c r="M471">
        <v>0.99994170000000004</v>
      </c>
      <c r="N471">
        <v>0</v>
      </c>
      <c r="O471">
        <v>1.0018529999999999E-2</v>
      </c>
      <c r="P471">
        <v>0.99950159999999999</v>
      </c>
      <c r="Q471">
        <v>3.0829949999999998E-2</v>
      </c>
      <c r="R471">
        <v>-6.7837969999999899E-3</v>
      </c>
      <c r="S471">
        <v>3.0025019999999998</v>
      </c>
      <c r="T471">
        <v>-2.4083380000000001E-2</v>
      </c>
      <c r="U471">
        <v>4.1473389999999999E-2</v>
      </c>
      <c r="V471">
        <v>1.679862E-2</v>
      </c>
      <c r="W471">
        <v>3.4881009999999997E-2</v>
      </c>
      <c r="X471">
        <v>0.99925030000000004</v>
      </c>
      <c r="Y471">
        <v>-3.793477E-3</v>
      </c>
      <c r="Z471" s="1">
        <v>-6.5139810000000003E-5</v>
      </c>
      <c r="AA471">
        <v>0.99999280000000002</v>
      </c>
      <c r="AB471">
        <v>35</v>
      </c>
      <c r="AC471">
        <v>138.0591</v>
      </c>
      <c r="AD471">
        <v>-1.109013</v>
      </c>
      <c r="AE471">
        <v>1.90769999999997</v>
      </c>
      <c r="AF471">
        <v>-0.52440996843052101</v>
      </c>
      <c r="AG471">
        <v>-1.109013</v>
      </c>
      <c r="AH471">
        <v>138.062376571746</v>
      </c>
      <c r="AI471">
        <v>90.460226319113701</v>
      </c>
      <c r="AJ471">
        <v>90.217628684761493</v>
      </c>
      <c r="AK471">
        <v>138.06782659362699</v>
      </c>
      <c r="AL471">
        <v>88.001059895861104</v>
      </c>
      <c r="AM471">
        <v>89.036878576941803</v>
      </c>
      <c r="AN471">
        <v>1.0000000202713</v>
      </c>
    </row>
    <row r="472" spans="1:40" x14ac:dyDescent="0.25">
      <c r="A472" t="str">
        <f>"20190312150644849"</f>
        <v>20190312150644849</v>
      </c>
      <c r="B472" t="str">
        <f>"1552374404841271"</f>
        <v>1552374404841271</v>
      </c>
      <c r="C472" t="s">
        <v>40</v>
      </c>
      <c r="D472">
        <v>4.2273449999999997</v>
      </c>
      <c r="E472">
        <v>0.49232530000000002</v>
      </c>
      <c r="F472" t="s">
        <v>42</v>
      </c>
      <c r="G472">
        <v>-276.66609999999997</v>
      </c>
      <c r="H472" s="1">
        <v>-1.464279E-6</v>
      </c>
      <c r="I472">
        <v>369.32459999999998</v>
      </c>
      <c r="J472">
        <v>-419.30380000000002</v>
      </c>
      <c r="K472">
        <v>1.0591569999999999</v>
      </c>
      <c r="L472">
        <v>367.30669999999998</v>
      </c>
      <c r="M472">
        <v>0.99993989999999999</v>
      </c>
      <c r="N472">
        <v>0</v>
      </c>
      <c r="O472">
        <v>1.0018620000000001E-2</v>
      </c>
      <c r="P472">
        <v>0.9995231</v>
      </c>
      <c r="Q472">
        <v>3.0120709999999998E-2</v>
      </c>
      <c r="R472">
        <v>-6.8207399999999996E-3</v>
      </c>
      <c r="S472">
        <v>3.0024410000000001</v>
      </c>
      <c r="T472">
        <v>-2.2243619999999999E-2</v>
      </c>
      <c r="U472">
        <v>4.244995E-2</v>
      </c>
      <c r="V472">
        <v>1.6835550000000001E-2</v>
      </c>
      <c r="W472">
        <v>3.4596040000000002E-2</v>
      </c>
      <c r="X472">
        <v>0.99925960000000003</v>
      </c>
      <c r="Y472">
        <v>-4.1187960000000001E-3</v>
      </c>
      <c r="Z472" s="1">
        <v>-5.8960759999999997E-5</v>
      </c>
      <c r="AA472">
        <v>0.99999150000000003</v>
      </c>
      <c r="AB472">
        <v>35</v>
      </c>
      <c r="AC472">
        <v>142.6377</v>
      </c>
      <c r="AD472">
        <v>-1.059158464279</v>
      </c>
      <c r="AE472">
        <v>2.0178999999999898</v>
      </c>
      <c r="AF472">
        <v>-0.58871919139640805</v>
      </c>
      <c r="AG472">
        <v>-1.059158464279</v>
      </c>
      <c r="AH472">
        <v>142.64289447295701</v>
      </c>
      <c r="AI472">
        <v>90.425423768907706</v>
      </c>
      <c r="AJ472">
        <v>90.236471179212003</v>
      </c>
      <c r="AK472">
        <v>142.648041523751</v>
      </c>
      <c r="AL472">
        <v>88.017397363707602</v>
      </c>
      <c r="AM472">
        <v>89.034770637562005</v>
      </c>
      <c r="AN472">
        <v>1.0000000349598199</v>
      </c>
    </row>
    <row r="473" spans="1:40" x14ac:dyDescent="0.25">
      <c r="A473" t="str">
        <f>"20190312150644870"</f>
        <v>20190312150644870</v>
      </c>
      <c r="B473" t="str">
        <f>"1552374404860792"</f>
        <v>1552374404860792</v>
      </c>
      <c r="C473" t="s">
        <v>40</v>
      </c>
      <c r="D473">
        <v>4.2766440000000001</v>
      </c>
      <c r="E473">
        <v>0.4925042</v>
      </c>
      <c r="F473" t="s">
        <v>42</v>
      </c>
      <c r="G473">
        <v>-271.75659999999999</v>
      </c>
      <c r="H473" s="1">
        <v>-3.5729970000000001E-6</v>
      </c>
      <c r="I473">
        <v>369.31040000000002</v>
      </c>
      <c r="J473">
        <v>-418.95650000000001</v>
      </c>
      <c r="K473">
        <v>1.0592859999999999</v>
      </c>
      <c r="L473">
        <v>367.31020000000001</v>
      </c>
      <c r="M473">
        <v>0.99993750000000003</v>
      </c>
      <c r="N473">
        <v>0</v>
      </c>
      <c r="O473">
        <v>1.0018920000000001E-2</v>
      </c>
      <c r="P473">
        <v>0.99954569999999998</v>
      </c>
      <c r="Q473">
        <v>2.939218E-2</v>
      </c>
      <c r="R473">
        <v>-6.6634149999999998E-3</v>
      </c>
      <c r="S473">
        <v>3.0023499999999999</v>
      </c>
      <c r="T473">
        <v>-2.1552209999999999E-2</v>
      </c>
      <c r="U473">
        <v>4.0771479999999999E-2</v>
      </c>
      <c r="V473">
        <v>1.6678990000000001E-2</v>
      </c>
      <c r="W473">
        <v>3.4363480000000002E-2</v>
      </c>
      <c r="X473">
        <v>0.9992702</v>
      </c>
      <c r="Y473">
        <v>-3.5599680000000002E-3</v>
      </c>
      <c r="Z473" s="1">
        <v>-5.9138059999999898E-5</v>
      </c>
      <c r="AA473">
        <v>0.99999369999999999</v>
      </c>
      <c r="AB473">
        <v>35</v>
      </c>
      <c r="AC473">
        <v>147.19990000000001</v>
      </c>
      <c r="AD473">
        <v>-1.059289572997</v>
      </c>
      <c r="AE473">
        <v>2.0002</v>
      </c>
      <c r="AF473">
        <v>-0.52527023439560905</v>
      </c>
      <c r="AG473">
        <v>-1.059289572997</v>
      </c>
      <c r="AH473">
        <v>147.204930069325</v>
      </c>
      <c r="AI473">
        <v>90.412291815483499</v>
      </c>
      <c r="AJ473">
        <v>90.204447227331002</v>
      </c>
      <c r="AK473">
        <v>147.20967848593801</v>
      </c>
      <c r="AL473">
        <v>88.030729899037198</v>
      </c>
      <c r="AM473">
        <v>89.043755129296002</v>
      </c>
      <c r="AN473">
        <v>0.99999998503658505</v>
      </c>
    </row>
    <row r="474" spans="1:40" x14ac:dyDescent="0.25">
      <c r="A474" t="str">
        <f>"20190312150644892"</f>
        <v>20190312150644892</v>
      </c>
      <c r="B474" t="str">
        <f>"1552374404881291"</f>
        <v>1552374404881291</v>
      </c>
      <c r="C474" t="s">
        <v>40</v>
      </c>
      <c r="D474">
        <v>4.2405759999999999</v>
      </c>
      <c r="E474">
        <v>0.49232629999999999</v>
      </c>
      <c r="F474" t="s">
        <v>43</v>
      </c>
      <c r="G474">
        <v>-289.1234</v>
      </c>
      <c r="H474">
        <v>-0.05</v>
      </c>
      <c r="I474">
        <v>369.03640000000001</v>
      </c>
      <c r="J474">
        <v>-418.6302</v>
      </c>
      <c r="K474">
        <v>1.059382</v>
      </c>
      <c r="L474">
        <v>367.31349999999998</v>
      </c>
      <c r="M474">
        <v>0.99993500000000002</v>
      </c>
      <c r="N474">
        <v>0</v>
      </c>
      <c r="O474">
        <v>1.001906E-2</v>
      </c>
      <c r="P474">
        <v>0.99956599999999995</v>
      </c>
      <c r="Q474">
        <v>2.8731820000000002E-2</v>
      </c>
      <c r="R474">
        <v>-6.5032129999999999E-3</v>
      </c>
      <c r="S474">
        <v>3.00238</v>
      </c>
      <c r="T474">
        <v>-2.5652169999999998E-2</v>
      </c>
      <c r="U474">
        <v>3.9916989999999999E-2</v>
      </c>
      <c r="V474">
        <v>1.6518910000000001E-2</v>
      </c>
      <c r="W474">
        <v>3.4170480000000003E-2</v>
      </c>
      <c r="X474">
        <v>0.99927949999999999</v>
      </c>
      <c r="Y474">
        <v>-3.2751989999999999E-3</v>
      </c>
      <c r="Z474" s="1">
        <v>-7.1605010000000004E-5</v>
      </c>
      <c r="AA474">
        <v>0.99999459999999996</v>
      </c>
      <c r="AB474">
        <v>35</v>
      </c>
      <c r="AC474">
        <v>129.5068</v>
      </c>
      <c r="AD474">
        <v>-1.1093819999999901</v>
      </c>
      <c r="AE474">
        <v>1.7229000000000301</v>
      </c>
      <c r="AF474">
        <v>-0.42522671120765099</v>
      </c>
      <c r="AG474">
        <v>-1.1093819999999901</v>
      </c>
      <c r="AH474">
        <v>129.508060084721</v>
      </c>
      <c r="AI474">
        <v>90.490788057358202</v>
      </c>
      <c r="AJ474">
        <v>90.188124262848007</v>
      </c>
      <c r="AK474">
        <v>129.513509616123</v>
      </c>
      <c r="AL474">
        <v>88.041794526946802</v>
      </c>
      <c r="AM474">
        <v>89.052940016759607</v>
      </c>
      <c r="AN474">
        <v>1.0000000076056299</v>
      </c>
    </row>
    <row r="475" spans="1:40" x14ac:dyDescent="0.25">
      <c r="A475" t="str">
        <f>"20190312150644903"</f>
        <v>20190312150644903</v>
      </c>
      <c r="B475" t="str">
        <f>"1552374404900807"</f>
        <v>1552374404900807</v>
      </c>
      <c r="C475" t="s">
        <v>40</v>
      </c>
      <c r="D475">
        <v>4.257015</v>
      </c>
      <c r="E475">
        <v>0.49229410000000001</v>
      </c>
      <c r="F475" t="s">
        <v>42</v>
      </c>
      <c r="G475">
        <v>-321.2441</v>
      </c>
      <c r="H475" s="1">
        <v>-3.9079490000000002E-6</v>
      </c>
      <c r="I475">
        <v>368.66160000000002</v>
      </c>
      <c r="J475">
        <v>-418.43889999999999</v>
      </c>
      <c r="K475">
        <v>1.059429</v>
      </c>
      <c r="L475">
        <v>367.31540000000001</v>
      </c>
      <c r="M475">
        <v>0.99993359999999998</v>
      </c>
      <c r="N475">
        <v>0</v>
      </c>
      <c r="O475">
        <v>1.0019119999999999E-2</v>
      </c>
      <c r="P475">
        <v>0.99957649999999998</v>
      </c>
      <c r="Q475">
        <v>2.8369769999999999E-2</v>
      </c>
      <c r="R475">
        <v>-6.4806849999999999E-3</v>
      </c>
      <c r="S475">
        <v>3.0025330000000001</v>
      </c>
      <c r="T475">
        <v>-3.2662150000000001E-2</v>
      </c>
      <c r="U475">
        <v>4.1564940000000002E-2</v>
      </c>
      <c r="V475">
        <v>1.6496730000000001E-2</v>
      </c>
      <c r="W475">
        <v>3.4079930000000001E-2</v>
      </c>
      <c r="X475">
        <v>0.99928300000000003</v>
      </c>
      <c r="Y475">
        <v>-3.8233149999999999E-3</v>
      </c>
      <c r="Z475" s="1">
        <v>-8.8186290000000006E-5</v>
      </c>
      <c r="AA475">
        <v>0.99999269999999996</v>
      </c>
      <c r="AB475">
        <v>35</v>
      </c>
      <c r="AC475">
        <v>97.194800000000001</v>
      </c>
      <c r="AD475">
        <v>-1.0594329079489999</v>
      </c>
      <c r="AE475">
        <v>1.3462000000000101</v>
      </c>
      <c r="AF475">
        <v>-0.37226606035908599</v>
      </c>
      <c r="AG475">
        <v>-1.0594329079489999</v>
      </c>
      <c r="AH475">
        <v>97.191863976419995</v>
      </c>
      <c r="AI475">
        <v>90.624519199828597</v>
      </c>
      <c r="AJ475">
        <v>90.219454272596394</v>
      </c>
      <c r="AK475">
        <v>97.198350826117704</v>
      </c>
      <c r="AL475">
        <v>88.046985763949905</v>
      </c>
      <c r="AM475">
        <v>89.054214718505094</v>
      </c>
      <c r="AN475">
        <v>1.00000004890924</v>
      </c>
    </row>
    <row r="476" spans="1:40" x14ac:dyDescent="0.25">
      <c r="A476" t="str">
        <f>"20190312150644916"</f>
        <v>20190312150644916</v>
      </c>
      <c r="B476" t="str">
        <f>"1552374404911074"</f>
        <v>1552374404911074</v>
      </c>
      <c r="C476" t="s">
        <v>40</v>
      </c>
      <c r="D476">
        <v>4.2307480000000002</v>
      </c>
      <c r="E476">
        <v>0.4922665</v>
      </c>
      <c r="F476" t="s">
        <v>42</v>
      </c>
      <c r="G476">
        <v>-338.52330000000001</v>
      </c>
      <c r="H476" s="1">
        <v>-8.2547919999999895E-7</v>
      </c>
      <c r="I476">
        <v>368.43459999999999</v>
      </c>
      <c r="J476">
        <v>-418.24959999999999</v>
      </c>
      <c r="K476">
        <v>1.0594650000000001</v>
      </c>
      <c r="L476">
        <v>367.31729999999999</v>
      </c>
      <c r="M476">
        <v>0.99993189999999998</v>
      </c>
      <c r="N476">
        <v>0</v>
      </c>
      <c r="O476">
        <v>1.001954E-2</v>
      </c>
      <c r="P476">
        <v>0.99958429999999998</v>
      </c>
      <c r="Q476">
        <v>2.8125009999999999E-2</v>
      </c>
      <c r="R476">
        <v>-6.3421579999999996E-3</v>
      </c>
      <c r="S476">
        <v>3.0026860000000002</v>
      </c>
      <c r="T476">
        <v>-3.9806130000000002E-2</v>
      </c>
      <c r="U476">
        <v>4.2053220000000002E-2</v>
      </c>
      <c r="V476">
        <v>1.6358649999999999E-2</v>
      </c>
      <c r="W476">
        <v>3.4094699999999901E-2</v>
      </c>
      <c r="X476">
        <v>0.99928470000000003</v>
      </c>
      <c r="Y476">
        <v>-3.9849209999999998E-3</v>
      </c>
      <c r="Z476">
        <v>-1.064022E-4</v>
      </c>
      <c r="AA476">
        <v>0.99999210000000005</v>
      </c>
      <c r="AB476">
        <v>35</v>
      </c>
      <c r="AC476">
        <v>79.726299999999895</v>
      </c>
      <c r="AD476">
        <v>-1.0594658254792</v>
      </c>
      <c r="AE476">
        <v>1.1173</v>
      </c>
      <c r="AF476">
        <v>-0.31835255277031199</v>
      </c>
      <c r="AG476">
        <v>-1.0594658254792</v>
      </c>
      <c r="AH476">
        <v>79.719417843840205</v>
      </c>
      <c r="AI476">
        <v>90.761406249491202</v>
      </c>
      <c r="AJ476">
        <v>90.228804489595902</v>
      </c>
      <c r="AK476">
        <v>79.727093246549501</v>
      </c>
      <c r="AL476">
        <v>88.046138884078502</v>
      </c>
      <c r="AM476">
        <v>89.062131252445397</v>
      </c>
      <c r="AN476">
        <v>0.999999982826001</v>
      </c>
    </row>
    <row r="477" spans="1:40" x14ac:dyDescent="0.25">
      <c r="A477" t="str">
        <f>"20190312150644929"</f>
        <v>20190312150644929</v>
      </c>
      <c r="B477" t="str">
        <f>"1552374404920834"</f>
        <v>1552374404920834</v>
      </c>
      <c r="C477" t="s">
        <v>40</v>
      </c>
      <c r="D477">
        <v>4.2326410000000001</v>
      </c>
      <c r="E477">
        <v>0.49225239999999998</v>
      </c>
      <c r="F477" t="s">
        <v>42</v>
      </c>
      <c r="G477">
        <v>-342.51190000000003</v>
      </c>
      <c r="H477" s="1">
        <v>-3.737216E-6</v>
      </c>
      <c r="I477">
        <v>368.39260000000002</v>
      </c>
      <c r="J477">
        <v>-418.04320000000001</v>
      </c>
      <c r="K477">
        <v>1.0595030000000001</v>
      </c>
      <c r="L477">
        <v>367.31939999999997</v>
      </c>
      <c r="M477">
        <v>0.9999304</v>
      </c>
      <c r="N477">
        <v>0</v>
      </c>
      <c r="O477">
        <v>1.0019689999999999E-2</v>
      </c>
      <c r="P477">
        <v>0.99958950000000002</v>
      </c>
      <c r="Q477">
        <v>2.7990040000000001E-2</v>
      </c>
      <c r="R477">
        <v>-6.1050139999999998E-3</v>
      </c>
      <c r="S477">
        <v>3.0027159999999999</v>
      </c>
      <c r="T477">
        <v>-4.2003989999999998E-2</v>
      </c>
      <c r="U477">
        <v>4.263306E-2</v>
      </c>
      <c r="V477">
        <v>1.612191E-2</v>
      </c>
      <c r="W477">
        <v>3.4235759999999997E-2</v>
      </c>
      <c r="X477">
        <v>0.9992837</v>
      </c>
      <c r="Y477">
        <v>-4.1777130000000004E-3</v>
      </c>
      <c r="Z477">
        <v>-1.109293E-4</v>
      </c>
      <c r="AA477">
        <v>0.99999119999999997</v>
      </c>
      <c r="AB477">
        <v>35</v>
      </c>
      <c r="AC477">
        <v>75.531299999999902</v>
      </c>
      <c r="AD477">
        <v>-1.0595067372159901</v>
      </c>
      <c r="AE477">
        <v>1.0732000000000399</v>
      </c>
      <c r="AF477">
        <v>-0.31626901209721697</v>
      </c>
      <c r="AG477">
        <v>-1.0595067372159901</v>
      </c>
      <c r="AH477">
        <v>75.523404088594006</v>
      </c>
      <c r="AI477">
        <v>90.803734299228793</v>
      </c>
      <c r="AJ477">
        <v>90.239935869898403</v>
      </c>
      <c r="AK477">
        <v>75.531497706210502</v>
      </c>
      <c r="AL477">
        <v>88.038051971746299</v>
      </c>
      <c r="AM477">
        <v>89.075700655587895</v>
      </c>
      <c r="AN477">
        <v>0.999999958165257</v>
      </c>
    </row>
    <row r="478" spans="1:40" x14ac:dyDescent="0.25">
      <c r="A478" t="str">
        <f>"20190312150644948"</f>
        <v>20190312150644948</v>
      </c>
      <c r="B478" t="str">
        <f>"1552374404941330"</f>
        <v>1552374404941330</v>
      </c>
      <c r="C478" t="s">
        <v>40</v>
      </c>
      <c r="D478">
        <v>4.2751150000000004</v>
      </c>
      <c r="E478">
        <v>0.49199280000000001</v>
      </c>
      <c r="F478" t="s">
        <v>42</v>
      </c>
      <c r="G478">
        <v>-344.59649999999999</v>
      </c>
      <c r="H478" s="1">
        <v>-2.753116E-6</v>
      </c>
      <c r="I478">
        <v>368.38529999999997</v>
      </c>
      <c r="J478">
        <v>-417.75420000000003</v>
      </c>
      <c r="K478">
        <v>1.0595399999999999</v>
      </c>
      <c r="L478">
        <v>367.32229999999998</v>
      </c>
      <c r="M478">
        <v>0.99992789999999998</v>
      </c>
      <c r="N478">
        <v>0</v>
      </c>
      <c r="O478">
        <v>1.0020340000000001E-2</v>
      </c>
      <c r="P478">
        <v>0.99959419999999999</v>
      </c>
      <c r="Q478">
        <v>2.782463E-2</v>
      </c>
      <c r="R478">
        <v>-6.1034599999999998E-3</v>
      </c>
      <c r="S478">
        <v>3.0027159999999999</v>
      </c>
      <c r="T478">
        <v>-4.3315649999999997E-2</v>
      </c>
      <c r="U478">
        <v>4.3579100000000003E-2</v>
      </c>
      <c r="V478">
        <v>1.6120909999999999E-2</v>
      </c>
      <c r="W478">
        <v>3.4436389999999997E-2</v>
      </c>
      <c r="X478">
        <v>0.99927690000000002</v>
      </c>
      <c r="Y478">
        <v>-4.4920380000000003E-3</v>
      </c>
      <c r="Z478">
        <v>-1.121355E-4</v>
      </c>
      <c r="AA478">
        <v>0.99998989999999999</v>
      </c>
      <c r="AB478">
        <v>35</v>
      </c>
      <c r="AC478">
        <v>73.157700000000006</v>
      </c>
      <c r="AD478">
        <v>-1.059542753116</v>
      </c>
      <c r="AE478">
        <v>1.06299999999998</v>
      </c>
      <c r="AF478">
        <v>-0.32979638960324598</v>
      </c>
      <c r="AG478">
        <v>-1.059542753116</v>
      </c>
      <c r="AH478">
        <v>73.149338459299798</v>
      </c>
      <c r="AI478">
        <v>90.829842994524199</v>
      </c>
      <c r="AJ478">
        <v>90.258318305955299</v>
      </c>
      <c r="AK478">
        <v>73.157754978795495</v>
      </c>
      <c r="AL478">
        <v>88.026550089986102</v>
      </c>
      <c r="AM478">
        <v>89.075751689215906</v>
      </c>
      <c r="AN478">
        <v>1.00000003578453</v>
      </c>
    </row>
    <row r="479" spans="1:40" x14ac:dyDescent="0.25">
      <c r="A479" t="str">
        <f>"20190312150644959"</f>
        <v>20190312150644959</v>
      </c>
      <c r="B479" t="str">
        <f>"1552374404951090"</f>
        <v>1552374404951090</v>
      </c>
      <c r="C479" t="s">
        <v>40</v>
      </c>
      <c r="D479">
        <v>4.2635300000000003</v>
      </c>
      <c r="E479">
        <v>0.49196830000000003</v>
      </c>
      <c r="F479" t="s">
        <v>42</v>
      </c>
      <c r="G479">
        <v>-343.75</v>
      </c>
      <c r="H479" s="1">
        <v>-3.1423910000000001E-6</v>
      </c>
      <c r="I479">
        <v>368.44670000000002</v>
      </c>
      <c r="J479">
        <v>-417.56279999999998</v>
      </c>
      <c r="K479">
        <v>1.059552</v>
      </c>
      <c r="L479">
        <v>367.32420000000002</v>
      </c>
      <c r="M479">
        <v>0.99992650000000005</v>
      </c>
      <c r="N479">
        <v>0</v>
      </c>
      <c r="O479">
        <v>1.00207E-2</v>
      </c>
      <c r="P479">
        <v>0.99960039999999994</v>
      </c>
      <c r="Q479">
        <v>2.7616140000000001E-2</v>
      </c>
      <c r="R479">
        <v>-6.0749940000000002E-3</v>
      </c>
      <c r="S479">
        <v>3.0026860000000002</v>
      </c>
      <c r="T479">
        <v>-4.2990449999999999E-2</v>
      </c>
      <c r="U479">
        <v>4.5623780000000003E-2</v>
      </c>
      <c r="V479">
        <v>1.6092840000000001E-2</v>
      </c>
      <c r="W479">
        <v>3.4454499999999999E-2</v>
      </c>
      <c r="X479">
        <v>0.99927670000000002</v>
      </c>
      <c r="Y479">
        <v>-5.172528E-3</v>
      </c>
      <c r="Z479">
        <v>-1.064285E-4</v>
      </c>
      <c r="AA479">
        <v>0.99998659999999995</v>
      </c>
      <c r="AB479">
        <v>35</v>
      </c>
      <c r="AC479">
        <v>73.812799999999896</v>
      </c>
      <c r="AD479">
        <v>-1.0595551423909999</v>
      </c>
      <c r="AE479">
        <v>1.1225000000000001</v>
      </c>
      <c r="AF479">
        <v>-0.38269164874474698</v>
      </c>
      <c r="AG479">
        <v>-1.0595551423909999</v>
      </c>
      <c r="AH479">
        <v>73.805137874200597</v>
      </c>
      <c r="AI479">
        <v>90.822477317573501</v>
      </c>
      <c r="AJ479">
        <v>90.297085276946703</v>
      </c>
      <c r="AK479">
        <v>73.813735081131995</v>
      </c>
      <c r="AL479">
        <v>88.025511791701902</v>
      </c>
      <c r="AM479">
        <v>89.077360542875596</v>
      </c>
      <c r="AN479">
        <v>1.0000000076161999</v>
      </c>
    </row>
    <row r="480" spans="1:40" x14ac:dyDescent="0.25">
      <c r="A480" t="str">
        <f>"20190312150644971"</f>
        <v>20190312150644971</v>
      </c>
      <c r="B480" t="str">
        <f>"1552374404960850"</f>
        <v>1552374404960850</v>
      </c>
      <c r="C480" t="s">
        <v>40</v>
      </c>
      <c r="D480">
        <v>4.4306760000000001</v>
      </c>
      <c r="E480">
        <v>0.49199310000000002</v>
      </c>
      <c r="F480" t="s">
        <v>42</v>
      </c>
      <c r="G480">
        <v>-346.86649999999997</v>
      </c>
      <c r="H480" s="1">
        <v>-1.677615E-6</v>
      </c>
      <c r="I480">
        <v>368.39909999999998</v>
      </c>
      <c r="J480">
        <v>-417.3845</v>
      </c>
      <c r="K480">
        <v>1.0595650000000001</v>
      </c>
      <c r="L480">
        <v>367.32600000000002</v>
      </c>
      <c r="M480">
        <v>0.99992499999999995</v>
      </c>
      <c r="N480">
        <v>0</v>
      </c>
      <c r="O480">
        <v>1.002136E-2</v>
      </c>
      <c r="P480">
        <v>0.99960859999999996</v>
      </c>
      <c r="Q480">
        <v>2.73266E-2</v>
      </c>
      <c r="R480">
        <v>-5.9686909999999999E-3</v>
      </c>
      <c r="S480">
        <v>3.0026860000000002</v>
      </c>
      <c r="T480">
        <v>-4.5002460000000001E-2</v>
      </c>
      <c r="U480">
        <v>4.5654300000000002E-2</v>
      </c>
      <c r="V480">
        <v>1.5987350000000001E-2</v>
      </c>
      <c r="W480">
        <v>3.4366340000000002E-2</v>
      </c>
      <c r="X480">
        <v>0.99928139999999999</v>
      </c>
      <c r="Y480">
        <v>-5.1820599999999996E-3</v>
      </c>
      <c r="Z480">
        <v>-1.113477E-4</v>
      </c>
      <c r="AA480">
        <v>0.99998659999999995</v>
      </c>
      <c r="AB480">
        <v>35</v>
      </c>
      <c r="AC480">
        <v>70.518000000000001</v>
      </c>
      <c r="AD480">
        <v>-1.0595666776149999</v>
      </c>
      <c r="AE480">
        <v>1.0731000000000099</v>
      </c>
      <c r="AF480">
        <v>-0.36625966285795503</v>
      </c>
      <c r="AG480">
        <v>-1.0595666776149999</v>
      </c>
      <c r="AH480">
        <v>70.5092980986378</v>
      </c>
      <c r="AI480">
        <v>90.860926323114896</v>
      </c>
      <c r="AJ480">
        <v>90.297619529784001</v>
      </c>
      <c r="AK480">
        <v>70.518210031505404</v>
      </c>
      <c r="AL480">
        <v>88.030565923452599</v>
      </c>
      <c r="AM480">
        <v>89.0834118018429</v>
      </c>
      <c r="AN480">
        <v>0.99999997853548805</v>
      </c>
    </row>
    <row r="481" spans="1:40" x14ac:dyDescent="0.25">
      <c r="A481" t="str">
        <f>"20190312150644987"</f>
        <v>20190312150644987</v>
      </c>
      <c r="B481" t="str">
        <f>"1552374404981346"</f>
        <v>1552374404981346</v>
      </c>
      <c r="C481" t="s">
        <v>40</v>
      </c>
      <c r="D481">
        <v>4.3099780000000001</v>
      </c>
      <c r="E481">
        <v>0.49207339999999999</v>
      </c>
      <c r="F481" t="s">
        <v>42</v>
      </c>
      <c r="G481">
        <v>-345.82499999999999</v>
      </c>
      <c r="H481" s="1">
        <v>-2.165745E-6</v>
      </c>
      <c r="I481">
        <v>368.4228</v>
      </c>
      <c r="J481">
        <v>-417.15440000000001</v>
      </c>
      <c r="K481">
        <v>1.0595749999999999</v>
      </c>
      <c r="L481">
        <v>367.32819999999998</v>
      </c>
      <c r="M481">
        <v>0.99992320000000001</v>
      </c>
      <c r="N481">
        <v>0</v>
      </c>
      <c r="O481">
        <v>1.0021759999999999E-2</v>
      </c>
      <c r="P481">
        <v>0.99961929999999999</v>
      </c>
      <c r="Q481">
        <v>2.696173E-2</v>
      </c>
      <c r="R481">
        <v>-5.8657580000000004E-3</v>
      </c>
      <c r="S481">
        <v>3.0026549999999999</v>
      </c>
      <c r="T481">
        <v>-4.4459699999999998E-2</v>
      </c>
      <c r="U481">
        <v>4.6020510000000001E-2</v>
      </c>
      <c r="V481">
        <v>1.5884970000000002E-2</v>
      </c>
      <c r="W481">
        <v>3.4250540000000003E-2</v>
      </c>
      <c r="X481">
        <v>0.99928700000000004</v>
      </c>
      <c r="Y481">
        <v>-5.3036999999999997E-3</v>
      </c>
      <c r="Z481">
        <v>-1.091117E-4</v>
      </c>
      <c r="AA481">
        <v>0.99998589999999998</v>
      </c>
      <c r="AB481">
        <v>35</v>
      </c>
      <c r="AC481">
        <v>71.329400000000007</v>
      </c>
      <c r="AD481">
        <v>-1.0595771657449999</v>
      </c>
      <c r="AE481">
        <v>1.09460000000001</v>
      </c>
      <c r="AF481">
        <v>-0.37959615588282603</v>
      </c>
      <c r="AG481">
        <v>-1.0595771657449999</v>
      </c>
      <c r="AH481">
        <v>71.321053662713297</v>
      </c>
      <c r="AI481">
        <v>90.851136810442796</v>
      </c>
      <c r="AJ481">
        <v>90.304945751229596</v>
      </c>
      <c r="AK481">
        <v>71.329934056967701</v>
      </c>
      <c r="AL481">
        <v>88.037204666525</v>
      </c>
      <c r="AM481">
        <v>89.089285572291899</v>
      </c>
      <c r="AN481">
        <v>0.99999997006559505</v>
      </c>
    </row>
    <row r="482" spans="1:40" x14ac:dyDescent="0.25">
      <c r="A482" t="str">
        <f>"20190312150645002"</f>
        <v>20190312150645002</v>
      </c>
      <c r="B482" t="str">
        <f>"1552374404991106"</f>
        <v>1552374404991106</v>
      </c>
      <c r="C482" t="s">
        <v>40</v>
      </c>
      <c r="D482">
        <v>4.2671900000000003</v>
      </c>
      <c r="E482">
        <v>0.49205280000000001</v>
      </c>
      <c r="F482" t="s">
        <v>42</v>
      </c>
      <c r="G482">
        <v>-351.27969999999999</v>
      </c>
      <c r="H482" s="1">
        <v>-3.952476E-6</v>
      </c>
      <c r="I482">
        <v>368.32440000000003</v>
      </c>
      <c r="J482">
        <v>-416.88920000000002</v>
      </c>
      <c r="K482">
        <v>1.05959</v>
      </c>
      <c r="L482">
        <v>367.33089999999999</v>
      </c>
      <c r="M482">
        <v>0.99992130000000001</v>
      </c>
      <c r="N482">
        <v>0</v>
      </c>
      <c r="O482">
        <v>1.002194E-2</v>
      </c>
      <c r="P482">
        <v>0.99962130000000005</v>
      </c>
      <c r="Q482">
        <v>2.6873620000000001E-2</v>
      </c>
      <c r="R482">
        <v>-5.9388690000000003E-3</v>
      </c>
      <c r="S482">
        <v>3.0027469999999998</v>
      </c>
      <c r="T482">
        <v>-4.8298359999999999E-2</v>
      </c>
      <c r="U482">
        <v>4.5410159999999998E-2</v>
      </c>
      <c r="V482">
        <v>1.595837E-2</v>
      </c>
      <c r="W482">
        <v>3.44321E-2</v>
      </c>
      <c r="X482">
        <v>0.99927960000000005</v>
      </c>
      <c r="Y482">
        <v>-5.099943E-3</v>
      </c>
      <c r="Z482">
        <v>-1.201694E-4</v>
      </c>
      <c r="AA482">
        <v>0.99998699999999996</v>
      </c>
      <c r="AB482">
        <v>35</v>
      </c>
      <c r="AC482">
        <v>65.609499999999997</v>
      </c>
      <c r="AD482">
        <v>-1.0595939524760001</v>
      </c>
      <c r="AE482">
        <v>0.99350000000004002</v>
      </c>
      <c r="AF482">
        <v>-0.33580933804123497</v>
      </c>
      <c r="AG482">
        <v>-1.0595939524760001</v>
      </c>
      <c r="AH482">
        <v>65.599056120507498</v>
      </c>
      <c r="AI482">
        <v>90.9253820216272</v>
      </c>
      <c r="AJ482">
        <v>90.293301319615694</v>
      </c>
      <c r="AK482">
        <v>65.608472556196105</v>
      </c>
      <c r="AL482">
        <v>88.026795922692202</v>
      </c>
      <c r="AM482">
        <v>89.085071355365798</v>
      </c>
      <c r="AN482">
        <v>0.99999997902981297</v>
      </c>
    </row>
    <row r="483" spans="1:40" x14ac:dyDescent="0.25">
      <c r="A483" t="str">
        <f>"20190312150645026"</f>
        <v>20190312150645026</v>
      </c>
      <c r="B483" t="str">
        <f>"1552374405021361"</f>
        <v>1552374405021361</v>
      </c>
      <c r="C483" t="s">
        <v>40</v>
      </c>
      <c r="D483">
        <v>4.2869780000000004</v>
      </c>
      <c r="E483">
        <v>0.49209770000000003</v>
      </c>
      <c r="F483" t="s">
        <v>42</v>
      </c>
      <c r="G483">
        <v>-351.97489999999999</v>
      </c>
      <c r="H483" s="1">
        <v>-3.6569329999999999E-6</v>
      </c>
      <c r="I483">
        <v>368.30930000000001</v>
      </c>
      <c r="J483">
        <v>-416.54910000000001</v>
      </c>
      <c r="K483">
        <v>1.059599</v>
      </c>
      <c r="L483">
        <v>367.33440000000002</v>
      </c>
      <c r="M483">
        <v>0.9999188</v>
      </c>
      <c r="N483">
        <v>0</v>
      </c>
      <c r="O483">
        <v>1.002218E-2</v>
      </c>
      <c r="P483">
        <v>0.99961979999999995</v>
      </c>
      <c r="Q483">
        <v>2.6948039999999999E-2</v>
      </c>
      <c r="R483">
        <v>-5.8539079999999997E-3</v>
      </c>
      <c r="S483">
        <v>3.0027469999999998</v>
      </c>
      <c r="T483">
        <v>-4.9013609999999999E-2</v>
      </c>
      <c r="U483">
        <v>4.5257569999999997E-2</v>
      </c>
      <c r="V483">
        <v>1.587365E-2</v>
      </c>
      <c r="W483">
        <v>3.4824300000000002E-2</v>
      </c>
      <c r="X483">
        <v>0.99926740000000003</v>
      </c>
      <c r="Y483">
        <v>-5.0489020000000001E-3</v>
      </c>
      <c r="Z483">
        <v>-1.2236969999999999E-4</v>
      </c>
      <c r="AA483">
        <v>0.99998719999999996</v>
      </c>
      <c r="AB483">
        <v>35</v>
      </c>
      <c r="AC483">
        <v>64.574200000000005</v>
      </c>
      <c r="AD483">
        <v>-1.0596026569329999</v>
      </c>
      <c r="AE483">
        <v>0.97489999999999</v>
      </c>
      <c r="AF483">
        <v>-0.32756855134544</v>
      </c>
      <c r="AG483">
        <v>-1.0596026569329999</v>
      </c>
      <c r="AH483">
        <v>64.563347383126597</v>
      </c>
      <c r="AI483">
        <v>90.940232060488</v>
      </c>
      <c r="AJ483">
        <v>90.290693330127795</v>
      </c>
      <c r="AK483">
        <v>64.572872665390094</v>
      </c>
      <c r="AL483">
        <v>88.004311115485393</v>
      </c>
      <c r="AM483">
        <v>89.089916612077801</v>
      </c>
      <c r="AN483">
        <v>1.00000002066878</v>
      </c>
    </row>
    <row r="484" spans="1:40" x14ac:dyDescent="0.25">
      <c r="A484" t="str">
        <f>"20190312150645037"</f>
        <v>20190312150645037</v>
      </c>
      <c r="B484" t="str">
        <f>"1552374405031123"</f>
        <v>1552374405031123</v>
      </c>
      <c r="C484" t="s">
        <v>40</v>
      </c>
      <c r="D484">
        <v>4.3935240000000002</v>
      </c>
      <c r="E484">
        <v>0.4921275</v>
      </c>
      <c r="F484" t="s">
        <v>42</v>
      </c>
      <c r="G484">
        <v>-355.17840000000001</v>
      </c>
      <c r="H484" s="1">
        <v>-2.290509E-6</v>
      </c>
      <c r="I484">
        <v>368.26490000000001</v>
      </c>
      <c r="J484">
        <v>-416.34969999999998</v>
      </c>
      <c r="K484">
        <v>1.059601</v>
      </c>
      <c r="L484">
        <v>367.33640000000003</v>
      </c>
      <c r="M484">
        <v>0.99991750000000001</v>
      </c>
      <c r="N484">
        <v>0</v>
      </c>
      <c r="O484">
        <v>1.0020350000000001E-2</v>
      </c>
      <c r="P484">
        <v>0.99962359999999995</v>
      </c>
      <c r="Q484">
        <v>2.6816039999999999E-2</v>
      </c>
      <c r="R484">
        <v>-5.8176499999999997E-3</v>
      </c>
      <c r="S484">
        <v>3.002777</v>
      </c>
      <c r="T484">
        <v>-5.1844599999999998E-2</v>
      </c>
      <c r="U484">
        <v>4.553223E-2</v>
      </c>
      <c r="V484">
        <v>1.583567E-2</v>
      </c>
      <c r="W484">
        <v>3.4862909999999997E-2</v>
      </c>
      <c r="X484">
        <v>0.9992666</v>
      </c>
      <c r="Y484">
        <v>-5.1420770000000001E-3</v>
      </c>
      <c r="Z484">
        <v>-1.2859959999999901E-4</v>
      </c>
      <c r="AA484">
        <v>0.99998679999999995</v>
      </c>
      <c r="AB484">
        <v>35</v>
      </c>
      <c r="AC484">
        <v>61.171299999999903</v>
      </c>
      <c r="AD484">
        <v>-1.059603290509</v>
      </c>
      <c r="AE484">
        <v>0.928499999999985</v>
      </c>
      <c r="AF484">
        <v>-0.31538114280304602</v>
      </c>
      <c r="AG484">
        <v>-1.059603290509</v>
      </c>
      <c r="AH484">
        <v>61.159186410688797</v>
      </c>
      <c r="AI484">
        <v>90.992555979747493</v>
      </c>
      <c r="AJ484">
        <v>90.295455994629805</v>
      </c>
      <c r="AK484">
        <v>61.169177751673899</v>
      </c>
      <c r="AL484">
        <v>88.002097468924205</v>
      </c>
      <c r="AM484">
        <v>89.092093026350796</v>
      </c>
      <c r="AN484">
        <v>0.99999996440678696</v>
      </c>
    </row>
    <row r="485" spans="1:40" x14ac:dyDescent="0.25">
      <c r="A485" t="str">
        <f>"20190312150645053"</f>
        <v>20190312150645053</v>
      </c>
      <c r="B485" t="str">
        <f>"1552374405050642"</f>
        <v>1552374405050642</v>
      </c>
      <c r="C485" t="s">
        <v>40</v>
      </c>
      <c r="D485">
        <v>4.4234059999999999</v>
      </c>
      <c r="E485">
        <v>0.49221130000000002</v>
      </c>
      <c r="F485" t="s">
        <v>42</v>
      </c>
      <c r="G485">
        <v>-353.72219999999999</v>
      </c>
      <c r="H485" s="1">
        <v>-2.9122630000000001E-6</v>
      </c>
      <c r="I485">
        <v>368.28149999999999</v>
      </c>
      <c r="J485">
        <v>-416.10469999999998</v>
      </c>
      <c r="K485">
        <v>1.059604</v>
      </c>
      <c r="L485">
        <v>367.33879999999999</v>
      </c>
      <c r="M485">
        <v>0.99991580000000002</v>
      </c>
      <c r="N485">
        <v>0</v>
      </c>
      <c r="O485">
        <v>1.0016819999999999E-2</v>
      </c>
      <c r="P485">
        <v>0.99963340000000001</v>
      </c>
      <c r="Q485">
        <v>2.639559E-2</v>
      </c>
      <c r="R485">
        <v>-6.0191639999999996E-3</v>
      </c>
      <c r="S485">
        <v>3.0027159999999999</v>
      </c>
      <c r="T485">
        <v>-5.0803300000000003E-2</v>
      </c>
      <c r="U485">
        <v>4.5318600000000001E-2</v>
      </c>
      <c r="V485">
        <v>1.6033929999999998E-2</v>
      </c>
      <c r="W485">
        <v>3.4641320000000003E-2</v>
      </c>
      <c r="X485">
        <v>0.99927120000000003</v>
      </c>
      <c r="Y485">
        <v>-5.0747450000000003E-3</v>
      </c>
      <c r="Z485">
        <v>-1.2652989999999999E-4</v>
      </c>
      <c r="AA485">
        <v>0.99998710000000002</v>
      </c>
      <c r="AB485">
        <v>35</v>
      </c>
      <c r="AC485">
        <v>62.382499999999901</v>
      </c>
      <c r="AD485">
        <v>-1.0596069122630001</v>
      </c>
      <c r="AE485">
        <v>0.94270000000000198</v>
      </c>
      <c r="AF485">
        <v>-0.31766553444859102</v>
      </c>
      <c r="AG485">
        <v>-1.0596069122630001</v>
      </c>
      <c r="AH485">
        <v>62.370822631509199</v>
      </c>
      <c r="AI485">
        <v>90.9732816478476</v>
      </c>
      <c r="AJ485">
        <v>90.291814926843998</v>
      </c>
      <c r="AK485">
        <v>62.380631560857701</v>
      </c>
      <c r="AL485">
        <v>88.014801424306299</v>
      </c>
      <c r="AM485">
        <v>89.0807323489976</v>
      </c>
      <c r="AN485">
        <v>1.0000000195560099</v>
      </c>
    </row>
    <row r="486" spans="1:40" x14ac:dyDescent="0.25">
      <c r="A486" t="str">
        <f>"20190312150645072"</f>
        <v>20190312150645072</v>
      </c>
      <c r="B486" t="str">
        <f>"1552374405061378"</f>
        <v>1552374405061378</v>
      </c>
      <c r="C486" t="s">
        <v>40</v>
      </c>
      <c r="D486">
        <v>4.2879300000000002</v>
      </c>
      <c r="E486">
        <v>0.4922184</v>
      </c>
      <c r="F486" t="s">
        <v>42</v>
      </c>
      <c r="G486">
        <v>-353.13740000000001</v>
      </c>
      <c r="H486" s="1">
        <v>-3.1666689999999999E-6</v>
      </c>
      <c r="I486">
        <v>368.26159999999999</v>
      </c>
      <c r="J486">
        <v>-415.81729999999999</v>
      </c>
      <c r="K486">
        <v>1.0596019999999999</v>
      </c>
      <c r="L486">
        <v>367.3417</v>
      </c>
      <c r="M486">
        <v>0.99991419999999998</v>
      </c>
      <c r="N486">
        <v>0</v>
      </c>
      <c r="O486">
        <v>1.0008299999999999E-2</v>
      </c>
      <c r="P486">
        <v>0.99964050000000004</v>
      </c>
      <c r="Q486">
        <v>2.6160200000000002E-2</v>
      </c>
      <c r="R486">
        <v>-5.8932289999999998E-3</v>
      </c>
      <c r="S486">
        <v>3.0027159999999999</v>
      </c>
      <c r="T486">
        <v>-5.0529360000000002E-2</v>
      </c>
      <c r="U486">
        <v>4.400635E-2</v>
      </c>
      <c r="V486">
        <v>1.589981E-2</v>
      </c>
      <c r="W486">
        <v>3.4622260000000002E-2</v>
      </c>
      <c r="X486">
        <v>0.999274</v>
      </c>
      <c r="Y486">
        <v>-4.6463820000000001E-3</v>
      </c>
      <c r="Z486">
        <v>-1.293089E-4</v>
      </c>
      <c r="AA486">
        <v>0.99998920000000002</v>
      </c>
      <c r="AB486">
        <v>35</v>
      </c>
      <c r="AC486">
        <v>62.679899999999897</v>
      </c>
      <c r="AD486">
        <v>-1.0596051666689901</v>
      </c>
      <c r="AE486">
        <v>0.91989999999998395</v>
      </c>
      <c r="AF486">
        <v>-0.292428723941555</v>
      </c>
      <c r="AG486">
        <v>-1.0596051666689901</v>
      </c>
      <c r="AH486">
        <v>62.668062051241499</v>
      </c>
      <c r="AI486">
        <v>90.968666601926202</v>
      </c>
      <c r="AJ486">
        <v>90.267358037467801</v>
      </c>
      <c r="AK486">
        <v>62.6777016085152</v>
      </c>
      <c r="AL486">
        <v>88.015894130181493</v>
      </c>
      <c r="AM486">
        <v>89.088423054451198</v>
      </c>
      <c r="AN486">
        <v>1.00000001596077</v>
      </c>
    </row>
    <row r="487" spans="1:40" x14ac:dyDescent="0.25">
      <c r="A487" t="str">
        <f>"20190312150645092"</f>
        <v>20190312150645092</v>
      </c>
      <c r="B487" t="str">
        <f>"1552374405080898"</f>
        <v>1552374405080898</v>
      </c>
      <c r="C487" t="s">
        <v>40</v>
      </c>
      <c r="D487">
        <v>4.4744739999999998</v>
      </c>
      <c r="E487">
        <v>0.49231760000000002</v>
      </c>
      <c r="F487" t="s">
        <v>42</v>
      </c>
      <c r="G487">
        <v>-353.27850000000001</v>
      </c>
      <c r="H487" s="1">
        <v>-3.1045020000000001E-6</v>
      </c>
      <c r="I487">
        <v>368.27089999999998</v>
      </c>
      <c r="J487">
        <v>-415.49079999999998</v>
      </c>
      <c r="K487">
        <v>1.059596</v>
      </c>
      <c r="L487">
        <v>367.3449</v>
      </c>
      <c r="M487">
        <v>0.99991229999999998</v>
      </c>
      <c r="N487">
        <v>0</v>
      </c>
      <c r="O487">
        <v>9.9901450000000006E-3</v>
      </c>
      <c r="P487">
        <v>0.99964920000000002</v>
      </c>
      <c r="Q487">
        <v>2.5813320000000001E-2</v>
      </c>
      <c r="R487">
        <v>-5.9327649999999996E-3</v>
      </c>
      <c r="S487">
        <v>3.0026549999999999</v>
      </c>
      <c r="T487">
        <v>-5.0874349999999999E-2</v>
      </c>
      <c r="U487">
        <v>4.4616700000000002E-2</v>
      </c>
      <c r="V487">
        <v>1.5921959999999999E-2</v>
      </c>
      <c r="W487">
        <v>3.450073E-2</v>
      </c>
      <c r="X487">
        <v>0.99927779999999999</v>
      </c>
      <c r="Y487">
        <v>-4.8680169999999997E-3</v>
      </c>
      <c r="Z487">
        <v>-1.2800950000000001E-4</v>
      </c>
      <c r="AA487">
        <v>0.99998810000000005</v>
      </c>
      <c r="AB487">
        <v>35</v>
      </c>
      <c r="AC487">
        <v>62.2122999999999</v>
      </c>
      <c r="AD487">
        <v>-1.0595991045019999</v>
      </c>
      <c r="AE487">
        <v>0.92599999999998694</v>
      </c>
      <c r="AF487">
        <v>-0.30433213397256698</v>
      </c>
      <c r="AG487">
        <v>-1.0595991045019999</v>
      </c>
      <c r="AH487">
        <v>62.200406793000802</v>
      </c>
      <c r="AI487">
        <v>90.975941503189503</v>
      </c>
      <c r="AJ487">
        <v>90.280332695649804</v>
      </c>
      <c r="AK487">
        <v>62.210175803680301</v>
      </c>
      <c r="AL487">
        <v>88.022861348571098</v>
      </c>
      <c r="AM487">
        <v>89.087156823534997</v>
      </c>
      <c r="AN487">
        <v>0.99999996537680602</v>
      </c>
    </row>
    <row r="488" spans="1:40" x14ac:dyDescent="0.25">
      <c r="A488" t="str">
        <f>"20190312150645106"</f>
        <v>20190312150645106</v>
      </c>
      <c r="B488" t="str">
        <f>"1552374405101394"</f>
        <v>1552374405101394</v>
      </c>
      <c r="C488" t="s">
        <v>40</v>
      </c>
      <c r="D488">
        <v>4.2864180000000003</v>
      </c>
      <c r="E488">
        <v>0.4924579</v>
      </c>
      <c r="F488" t="s">
        <v>42</v>
      </c>
      <c r="G488">
        <v>-352.91340000000002</v>
      </c>
      <c r="H488" s="1">
        <v>-3.265152E-6</v>
      </c>
      <c r="I488">
        <v>368.24799999999999</v>
      </c>
      <c r="J488">
        <v>-415.28590000000003</v>
      </c>
      <c r="K488">
        <v>1.0595920000000001</v>
      </c>
      <c r="L488">
        <v>367.34699999999998</v>
      </c>
      <c r="M488">
        <v>0.9999112</v>
      </c>
      <c r="N488">
        <v>0</v>
      </c>
      <c r="O488">
        <v>9.9745379999999998E-3</v>
      </c>
      <c r="P488">
        <v>0.99965440000000005</v>
      </c>
      <c r="Q488">
        <v>2.5585139999999999E-2</v>
      </c>
      <c r="R488">
        <v>-6.035978E-3</v>
      </c>
      <c r="S488">
        <v>3.0026549999999999</v>
      </c>
      <c r="T488">
        <v>-5.0842760000000001E-2</v>
      </c>
      <c r="U488">
        <v>4.3334959999999999E-2</v>
      </c>
      <c r="V488">
        <v>1.6010079999999999E-2</v>
      </c>
      <c r="W488">
        <v>3.4404940000000002E-2</v>
      </c>
      <c r="X488">
        <v>0.99927969999999999</v>
      </c>
      <c r="Y488">
        <v>-4.4568969999999996E-3</v>
      </c>
      <c r="Z488">
        <v>-1.311467E-4</v>
      </c>
      <c r="AA488">
        <v>0.99999000000000005</v>
      </c>
      <c r="AB488">
        <v>35</v>
      </c>
      <c r="AC488">
        <v>62.372500000000002</v>
      </c>
      <c r="AD488">
        <v>-1.059595265152</v>
      </c>
      <c r="AE488">
        <v>0.90100000000006697</v>
      </c>
      <c r="AF488">
        <v>-0.27871358753577502</v>
      </c>
      <c r="AG488">
        <v>-1.059595265152</v>
      </c>
      <c r="AH488">
        <v>62.360390980348903</v>
      </c>
      <c r="AI488">
        <v>90.9734366317835</v>
      </c>
      <c r="AJ488">
        <v>90.256076103411303</v>
      </c>
      <c r="AK488">
        <v>62.370015124351099</v>
      </c>
      <c r="AL488">
        <v>88.028352982213093</v>
      </c>
      <c r="AM488">
        <v>89.082107304950298</v>
      </c>
      <c r="AN488">
        <v>0.99999997069504898</v>
      </c>
    </row>
    <row r="489" spans="1:40" x14ac:dyDescent="0.25">
      <c r="A489" t="str">
        <f>"20190312150645117"</f>
        <v>20190312150645117</v>
      </c>
      <c r="B489" t="str">
        <f>"1552374405111154"</f>
        <v>1552374405111154</v>
      </c>
      <c r="C489" t="s">
        <v>40</v>
      </c>
      <c r="D489">
        <v>4.3856699999999904</v>
      </c>
      <c r="E489">
        <v>0.49248969999999997</v>
      </c>
      <c r="F489" t="s">
        <v>42</v>
      </c>
      <c r="G489">
        <v>-352.29090000000002</v>
      </c>
      <c r="H489" s="1">
        <v>-3.5353330000000001E-6</v>
      </c>
      <c r="I489">
        <v>368.23039999999997</v>
      </c>
      <c r="J489">
        <v>-415.09059999999999</v>
      </c>
      <c r="K489">
        <v>1.059588</v>
      </c>
      <c r="L489">
        <v>367.34890000000001</v>
      </c>
      <c r="M489">
        <v>0.99991050000000004</v>
      </c>
      <c r="N489">
        <v>0</v>
      </c>
      <c r="O489">
        <v>9.9549930000000005E-3</v>
      </c>
      <c r="P489">
        <v>0.99965490000000001</v>
      </c>
      <c r="Q489">
        <v>2.5539909999999999E-2</v>
      </c>
      <c r="R489">
        <v>-6.1486609999999997E-3</v>
      </c>
      <c r="S489">
        <v>3.0026250000000001</v>
      </c>
      <c r="T489">
        <v>-5.0505040000000001E-2</v>
      </c>
      <c r="U489">
        <v>4.2114260000000001E-2</v>
      </c>
      <c r="V489">
        <v>1.6103630000000001E-2</v>
      </c>
      <c r="W489">
        <v>3.4476899999999998E-2</v>
      </c>
      <c r="X489">
        <v>0.99927569999999999</v>
      </c>
      <c r="Y489">
        <v>-4.0701610000000001E-3</v>
      </c>
      <c r="Z489">
        <v>-1.33201E-4</v>
      </c>
      <c r="AA489">
        <v>0.99999170000000004</v>
      </c>
      <c r="AB489">
        <v>35</v>
      </c>
      <c r="AC489">
        <v>62.799699999999902</v>
      </c>
      <c r="AD489">
        <v>-1.0595915353330001</v>
      </c>
      <c r="AE489">
        <v>0.88149999999995898</v>
      </c>
      <c r="AF489">
        <v>-0.25618785039472403</v>
      </c>
      <c r="AG489">
        <v>-1.0595915353330001</v>
      </c>
      <c r="AH489">
        <v>62.787492544294999</v>
      </c>
      <c r="AI489">
        <v>90.966814456275102</v>
      </c>
      <c r="AJ489">
        <v>90.233779062337504</v>
      </c>
      <c r="AK489">
        <v>62.796955232211197</v>
      </c>
      <c r="AL489">
        <v>88.024227497456295</v>
      </c>
      <c r="AM489">
        <v>89.076741110684793</v>
      </c>
      <c r="AN489">
        <v>0.999999954071637</v>
      </c>
    </row>
    <row r="490" spans="1:40" x14ac:dyDescent="0.25">
      <c r="A490" t="str">
        <f>"20190312150645130"</f>
        <v>20190312150645130</v>
      </c>
      <c r="B490" t="str">
        <f>"1552374405120915"</f>
        <v>1552374405120915</v>
      </c>
      <c r="C490" t="s">
        <v>40</v>
      </c>
      <c r="D490">
        <v>4.2965809999999998</v>
      </c>
      <c r="E490">
        <v>0.4925216</v>
      </c>
      <c r="F490" t="s">
        <v>42</v>
      </c>
      <c r="G490">
        <v>-351.6207</v>
      </c>
      <c r="H490" s="1">
        <v>-3.8238160000000002E-6</v>
      </c>
      <c r="I490">
        <v>368.22489999999999</v>
      </c>
      <c r="J490">
        <v>-414.89830000000001</v>
      </c>
      <c r="K490">
        <v>1.0595870000000001</v>
      </c>
      <c r="L490">
        <v>367.35079999999999</v>
      </c>
      <c r="M490">
        <v>0.99990970000000001</v>
      </c>
      <c r="N490">
        <v>0</v>
      </c>
      <c r="O490">
        <v>9.9329610000000006E-3</v>
      </c>
      <c r="P490">
        <v>0.99966160000000004</v>
      </c>
      <c r="Q490">
        <v>2.5271169999999999E-2</v>
      </c>
      <c r="R490">
        <v>-6.1799910000000001E-3</v>
      </c>
      <c r="S490">
        <v>3.0025629999999999</v>
      </c>
      <c r="T490">
        <v>-5.0125959999999997E-2</v>
      </c>
      <c r="U490">
        <v>4.144287E-2</v>
      </c>
      <c r="V490">
        <v>1.6113329999999999E-2</v>
      </c>
      <c r="W490">
        <v>3.4319170000000003E-2</v>
      </c>
      <c r="X490">
        <v>0.99928099999999997</v>
      </c>
      <c r="Y490">
        <v>-3.8689250000000001E-3</v>
      </c>
      <c r="Z490">
        <v>-1.3351629999999999E-4</v>
      </c>
      <c r="AA490">
        <v>0.99999249999999995</v>
      </c>
      <c r="AB490">
        <v>35</v>
      </c>
      <c r="AC490">
        <v>63.2776</v>
      </c>
      <c r="AD490">
        <v>-1.0595908238159999</v>
      </c>
      <c r="AE490">
        <v>0.87409999999999799</v>
      </c>
      <c r="AF490">
        <v>-0.24542838783311699</v>
      </c>
      <c r="AG490">
        <v>-1.0595908238159999</v>
      </c>
      <c r="AH490">
        <v>63.265424648498197</v>
      </c>
      <c r="AI490">
        <v>90.959512249962998</v>
      </c>
      <c r="AJ490">
        <v>90.222268961807998</v>
      </c>
      <c r="AK490">
        <v>63.2747732019821</v>
      </c>
      <c r="AL490">
        <v>88.033270165269698</v>
      </c>
      <c r="AM490">
        <v>89.076189982170007</v>
      </c>
      <c r="AN490">
        <v>0.99999998089708797</v>
      </c>
    </row>
    <row r="491" spans="1:40" x14ac:dyDescent="0.25">
      <c r="A491" t="str">
        <f>"20190312150645149"</f>
        <v>20190312150645149</v>
      </c>
      <c r="B491" t="str">
        <f>"1552374405141412"</f>
        <v>1552374405141412</v>
      </c>
      <c r="C491" t="s">
        <v>40</v>
      </c>
      <c r="D491">
        <v>4.2969200000000001</v>
      </c>
      <c r="E491">
        <v>0.49258659999999999</v>
      </c>
      <c r="F491" t="s">
        <v>42</v>
      </c>
      <c r="G491">
        <v>-352.27289999999999</v>
      </c>
      <c r="H491" s="1">
        <v>-3.546911E-6</v>
      </c>
      <c r="I491">
        <v>368.2088</v>
      </c>
      <c r="J491">
        <v>-414.60250000000002</v>
      </c>
      <c r="K491">
        <v>1.0595810000000001</v>
      </c>
      <c r="L491">
        <v>367.3537</v>
      </c>
      <c r="M491">
        <v>0.99990869999999998</v>
      </c>
      <c r="N491">
        <v>0</v>
      </c>
      <c r="O491">
        <v>9.8918700000000005E-3</v>
      </c>
      <c r="P491">
        <v>0.99966509999999997</v>
      </c>
      <c r="Q491">
        <v>2.5135790000000002E-2</v>
      </c>
      <c r="R491">
        <v>-6.2018359999999996E-3</v>
      </c>
      <c r="S491">
        <v>3.0025629999999999</v>
      </c>
      <c r="T491">
        <v>-5.080175E-2</v>
      </c>
      <c r="U491">
        <v>4.1137699999999902E-2</v>
      </c>
      <c r="V491">
        <v>1.6094870000000001E-2</v>
      </c>
      <c r="W491">
        <v>3.4347759999999998E-2</v>
      </c>
      <c r="X491">
        <v>0.99928030000000001</v>
      </c>
      <c r="Y491">
        <v>-3.8084109999999998E-3</v>
      </c>
      <c r="Z491">
        <v>-1.351332E-4</v>
      </c>
      <c r="AA491">
        <v>0.99999269999999996</v>
      </c>
      <c r="AB491">
        <v>35</v>
      </c>
      <c r="AC491">
        <v>62.329599999999999</v>
      </c>
      <c r="AD491">
        <v>-1.0595845469109999</v>
      </c>
      <c r="AE491">
        <v>0.85509999999999298</v>
      </c>
      <c r="AF491">
        <v>-0.238406849566631</v>
      </c>
      <c r="AG491">
        <v>-1.0595845469109999</v>
      </c>
      <c r="AH491">
        <v>62.3170035249248</v>
      </c>
      <c r="AI491">
        <v>90.974106993040493</v>
      </c>
      <c r="AJ491">
        <v>90.219196027948399</v>
      </c>
      <c r="AK491">
        <v>62.326466974821102</v>
      </c>
      <c r="AL491">
        <v>88.031631082670103</v>
      </c>
      <c r="AM491">
        <v>89.077247502177102</v>
      </c>
      <c r="AN491">
        <v>0.99999996571271099</v>
      </c>
    </row>
    <row r="492" spans="1:40" x14ac:dyDescent="0.25">
      <c r="A492" t="str">
        <f>"20190312150645170"</f>
        <v>20190312150645170</v>
      </c>
      <c r="B492" t="str">
        <f>"1552374405160933"</f>
        <v>1552374405160933</v>
      </c>
      <c r="C492" t="s">
        <v>40</v>
      </c>
      <c r="D492">
        <v>4.2339760000000002</v>
      </c>
      <c r="E492">
        <v>0.49252679999999999</v>
      </c>
      <c r="F492" t="s">
        <v>42</v>
      </c>
      <c r="G492">
        <v>-351.8569</v>
      </c>
      <c r="H492" s="1">
        <v>-3.7264719999999999E-6</v>
      </c>
      <c r="I492">
        <v>368.20249999999999</v>
      </c>
      <c r="J492">
        <v>-414.26710000000003</v>
      </c>
      <c r="K492">
        <v>1.059582</v>
      </c>
      <c r="L492">
        <v>367.3569</v>
      </c>
      <c r="M492">
        <v>0.99990760000000001</v>
      </c>
      <c r="N492">
        <v>0</v>
      </c>
      <c r="O492">
        <v>9.8341839999999993E-3</v>
      </c>
      <c r="P492">
        <v>0.99966690000000002</v>
      </c>
      <c r="Q492">
        <v>2.5066680000000001E-2</v>
      </c>
      <c r="R492">
        <v>-6.1463000000000004E-3</v>
      </c>
      <c r="S492">
        <v>3.0025629999999999</v>
      </c>
      <c r="T492">
        <v>-5.0704239999999998E-2</v>
      </c>
      <c r="U492">
        <v>4.0618899999999999E-2</v>
      </c>
      <c r="V492">
        <v>1.5982509999999998E-2</v>
      </c>
      <c r="W492">
        <v>3.4453549999999999E-2</v>
      </c>
      <c r="X492">
        <v>0.99927849999999996</v>
      </c>
      <c r="Y492">
        <v>-3.6933389999999999E-3</v>
      </c>
      <c r="Z492">
        <v>-1.3487180000000001E-4</v>
      </c>
      <c r="AA492">
        <v>0.99999309999999997</v>
      </c>
      <c r="AB492">
        <v>35</v>
      </c>
      <c r="AC492">
        <v>62.410200000000003</v>
      </c>
      <c r="AD492">
        <v>-1.0595857264719999</v>
      </c>
      <c r="AE492">
        <v>0.84559999999999003</v>
      </c>
      <c r="AF492">
        <v>-0.231711906647455</v>
      </c>
      <c r="AG492">
        <v>-1.0595857264719999</v>
      </c>
      <c r="AH492">
        <v>62.397515491188202</v>
      </c>
      <c r="AI492">
        <v>90.972851831743796</v>
      </c>
      <c r="AJ492">
        <v>90.212765735690795</v>
      </c>
      <c r="AK492">
        <v>62.406941535317202</v>
      </c>
      <c r="AL492">
        <v>88.0255662481771</v>
      </c>
      <c r="AM492">
        <v>89.083686583075803</v>
      </c>
      <c r="AN492">
        <v>1.00000000414787</v>
      </c>
    </row>
    <row r="493" spans="1:40" x14ac:dyDescent="0.25">
      <c r="A493" t="str">
        <f>"20190312150645182"</f>
        <v>20190312150645182</v>
      </c>
      <c r="B493" t="str">
        <f>"1552374405170690"</f>
        <v>1552374405170690</v>
      </c>
      <c r="C493" t="s">
        <v>40</v>
      </c>
      <c r="D493">
        <v>4.2876820000000002</v>
      </c>
      <c r="E493">
        <v>0.4925254</v>
      </c>
      <c r="F493" t="s">
        <v>42</v>
      </c>
      <c r="G493">
        <v>-350.4735</v>
      </c>
      <c r="H493" s="1">
        <v>-4.3138629999999999E-6</v>
      </c>
      <c r="I493">
        <v>368.23680000000002</v>
      </c>
      <c r="J493">
        <v>-414.07749999999999</v>
      </c>
      <c r="K493">
        <v>1.0595810000000001</v>
      </c>
      <c r="L493">
        <v>367.35879999999997</v>
      </c>
      <c r="M493">
        <v>0.99990699999999999</v>
      </c>
      <c r="N493">
        <v>0</v>
      </c>
      <c r="O493">
        <v>9.7973009999999996E-3</v>
      </c>
      <c r="P493">
        <v>0.99966390000000005</v>
      </c>
      <c r="Q493">
        <v>2.5103549999999999E-2</v>
      </c>
      <c r="R493">
        <v>-6.4694690000000003E-3</v>
      </c>
      <c r="S493">
        <v>3.0025330000000001</v>
      </c>
      <c r="T493">
        <v>-4.9870850000000001E-2</v>
      </c>
      <c r="U493">
        <v>4.1412350000000001E-2</v>
      </c>
      <c r="V493">
        <v>1.6269260000000001E-2</v>
      </c>
      <c r="W493">
        <v>3.4586029999999997E-2</v>
      </c>
      <c r="X493">
        <v>0.99926930000000003</v>
      </c>
      <c r="Y493">
        <v>-3.9944899999999998E-3</v>
      </c>
      <c r="Z493">
        <v>-1.295433E-4</v>
      </c>
      <c r="AA493">
        <v>0.99999199999999999</v>
      </c>
      <c r="AB493">
        <v>35</v>
      </c>
      <c r="AC493">
        <v>63.6039999999999</v>
      </c>
      <c r="AD493">
        <v>-1.05958531386299</v>
      </c>
      <c r="AE493">
        <v>0.87800000000004197</v>
      </c>
      <c r="AF493">
        <v>-0.25471160368195001</v>
      </c>
      <c r="AG493">
        <v>-1.05958531386299</v>
      </c>
      <c r="AH493">
        <v>63.591904470238198</v>
      </c>
      <c r="AI493">
        <v>90.954581605956193</v>
      </c>
      <c r="AJ493">
        <v>90.229491819147796</v>
      </c>
      <c r="AK493">
        <v>63.601241443782399</v>
      </c>
      <c r="AL493">
        <v>88.017971184631094</v>
      </c>
      <c r="AM493">
        <v>89.067240850419097</v>
      </c>
      <c r="AN493">
        <v>1.00000000810729</v>
      </c>
    </row>
    <row r="494" spans="1:40" x14ac:dyDescent="0.25">
      <c r="A494" t="str">
        <f>"20190312150645195"</f>
        <v>20190312150645195</v>
      </c>
      <c r="B494" t="str">
        <f>"1552374405191186"</f>
        <v>1552374405191186</v>
      </c>
      <c r="C494" t="s">
        <v>40</v>
      </c>
      <c r="D494">
        <v>4.3076540000000003</v>
      </c>
      <c r="E494">
        <v>0.49253200000000003</v>
      </c>
      <c r="F494" t="s">
        <v>42</v>
      </c>
      <c r="G494">
        <v>-351.53519999999997</v>
      </c>
      <c r="H494" s="1">
        <v>-3.8648669999999998E-6</v>
      </c>
      <c r="I494">
        <v>368.2004</v>
      </c>
      <c r="J494">
        <v>-413.8904</v>
      </c>
      <c r="K494">
        <v>1.0595829999999999</v>
      </c>
      <c r="L494">
        <v>367.36059999999998</v>
      </c>
      <c r="M494">
        <v>0.99990650000000003</v>
      </c>
      <c r="N494">
        <v>0</v>
      </c>
      <c r="O494">
        <v>9.7570360000000002E-3</v>
      </c>
      <c r="P494">
        <v>0.99966120000000003</v>
      </c>
      <c r="Q494">
        <v>2.5188550000000001E-2</v>
      </c>
      <c r="R494">
        <v>-6.5739219999999899E-3</v>
      </c>
      <c r="S494">
        <v>3.0025019999999998</v>
      </c>
      <c r="T494">
        <v>-5.0868030000000002E-2</v>
      </c>
      <c r="U494">
        <v>4.040527E-2</v>
      </c>
      <c r="V494">
        <v>1.6333790000000001E-2</v>
      </c>
      <c r="W494">
        <v>3.4763790000000003E-2</v>
      </c>
      <c r="X494">
        <v>0.99926210000000004</v>
      </c>
      <c r="Y494">
        <v>-3.6996099999999999E-3</v>
      </c>
      <c r="Z494">
        <v>-1.3395059999999999E-4</v>
      </c>
      <c r="AA494">
        <v>0.99999309999999997</v>
      </c>
      <c r="AB494">
        <v>35</v>
      </c>
      <c r="AC494">
        <v>62.355200000000004</v>
      </c>
      <c r="AD494">
        <v>-1.0595868648669999</v>
      </c>
      <c r="AE494">
        <v>0.83980000000002497</v>
      </c>
      <c r="AF494">
        <v>-0.231263398743078</v>
      </c>
      <c r="AG494">
        <v>-1.0595868648669999</v>
      </c>
      <c r="AH494">
        <v>62.342427540915899</v>
      </c>
      <c r="AI494">
        <v>90.973712372296802</v>
      </c>
      <c r="AJ494">
        <v>90.212541545907499</v>
      </c>
      <c r="AK494">
        <v>62.3518602671816</v>
      </c>
      <c r="AL494">
        <v>88.007780200430403</v>
      </c>
      <c r="AM494">
        <v>89.063535088315604</v>
      </c>
      <c r="AN494">
        <v>1.0000000291436599</v>
      </c>
    </row>
    <row r="495" spans="1:40" x14ac:dyDescent="0.25">
      <c r="A495" t="str">
        <f>"20190312150645206"</f>
        <v>20190312150645206</v>
      </c>
      <c r="B495" t="str">
        <f>"1552374405200946"</f>
        <v>1552374405200946</v>
      </c>
      <c r="C495" t="s">
        <v>40</v>
      </c>
      <c r="D495">
        <v>4.3087809999999998</v>
      </c>
      <c r="E495">
        <v>0.49255009999999999</v>
      </c>
      <c r="F495" t="s">
        <v>42</v>
      </c>
      <c r="G495">
        <v>-353.46140000000003</v>
      </c>
      <c r="H495" s="1">
        <v>-3.0448949999999999E-6</v>
      </c>
      <c r="I495">
        <v>368.16449999999998</v>
      </c>
      <c r="J495">
        <v>-413.70049999999998</v>
      </c>
      <c r="K495">
        <v>1.0595859999999999</v>
      </c>
      <c r="L495">
        <v>367.36239999999998</v>
      </c>
      <c r="M495">
        <v>0.99990610000000002</v>
      </c>
      <c r="N495">
        <v>0</v>
      </c>
      <c r="O495">
        <v>9.7145500000000006E-3</v>
      </c>
      <c r="P495">
        <v>0.99966650000000001</v>
      </c>
      <c r="Q495">
        <v>2.4900309999999998E-2</v>
      </c>
      <c r="R495">
        <v>-6.8785110000000003E-3</v>
      </c>
      <c r="S495">
        <v>3.0025940000000002</v>
      </c>
      <c r="T495">
        <v>-5.2648540000000001E-2</v>
      </c>
      <c r="U495">
        <v>3.9947509999999999E-2</v>
      </c>
      <c r="V495">
        <v>1.6596130000000001E-2</v>
      </c>
      <c r="W495">
        <v>3.4570780000000002E-2</v>
      </c>
      <c r="X495">
        <v>0.99926440000000005</v>
      </c>
      <c r="Y495">
        <v>-3.5893259999999999E-3</v>
      </c>
      <c r="Z495">
        <v>-1.3885650000000001E-4</v>
      </c>
      <c r="AA495">
        <v>0.99999360000000004</v>
      </c>
      <c r="AB495">
        <v>35</v>
      </c>
      <c r="AC495">
        <v>60.239099999999901</v>
      </c>
      <c r="AD495">
        <v>-1.0595890448950001</v>
      </c>
      <c r="AE495">
        <v>0.80209999999999504</v>
      </c>
      <c r="AF495">
        <v>-0.21677200554512999</v>
      </c>
      <c r="AG495">
        <v>-1.0595890448950001</v>
      </c>
      <c r="AH495">
        <v>60.2254192739789</v>
      </c>
      <c r="AI495">
        <v>91.007935270855299</v>
      </c>
      <c r="AJ495">
        <v>90.206226333483301</v>
      </c>
      <c r="AK495">
        <v>60.235129665113199</v>
      </c>
      <c r="AL495">
        <v>88.018845364292702</v>
      </c>
      <c r="AM495">
        <v>89.048499286468896</v>
      </c>
      <c r="AN495">
        <v>0.99999995573407097</v>
      </c>
    </row>
    <row r="496" spans="1:40" x14ac:dyDescent="0.25">
      <c r="A496" t="str">
        <f>"20190312150645219"</f>
        <v>20190312150645219</v>
      </c>
      <c r="B496" t="str">
        <f>"1552374405210707"</f>
        <v>1552374405210707</v>
      </c>
      <c r="C496" t="s">
        <v>40</v>
      </c>
      <c r="D496">
        <v>4.4346829999999997</v>
      </c>
      <c r="E496">
        <v>0.49265140000000002</v>
      </c>
      <c r="F496" t="s">
        <v>42</v>
      </c>
      <c r="G496">
        <v>-355.17720000000003</v>
      </c>
      <c r="H496" s="1">
        <v>-2.3160330000000002E-6</v>
      </c>
      <c r="I496">
        <v>368.12369999999999</v>
      </c>
      <c r="J496">
        <v>-413.49329999999998</v>
      </c>
      <c r="K496">
        <v>1.059588</v>
      </c>
      <c r="L496">
        <v>367.36439999999999</v>
      </c>
      <c r="M496">
        <v>0.9999055</v>
      </c>
      <c r="N496">
        <v>0</v>
      </c>
      <c r="O496">
        <v>9.6651370000000007E-3</v>
      </c>
      <c r="P496">
        <v>0.99966820000000001</v>
      </c>
      <c r="Q496">
        <v>2.478348E-2</v>
      </c>
      <c r="R496">
        <v>-7.0417669999999896E-3</v>
      </c>
      <c r="S496">
        <v>3.0026250000000001</v>
      </c>
      <c r="T496">
        <v>-5.4363729999999999E-2</v>
      </c>
      <c r="U496">
        <v>3.90625E-2</v>
      </c>
      <c r="V496">
        <v>1.6710539999999999E-2</v>
      </c>
      <c r="W496">
        <v>3.4562210000000003E-2</v>
      </c>
      <c r="X496">
        <v>0.99926280000000001</v>
      </c>
      <c r="Y496">
        <v>-3.3439989999999998E-3</v>
      </c>
      <c r="Z496">
        <v>-1.4470459999999999E-4</v>
      </c>
      <c r="AA496">
        <v>0.99999439999999995</v>
      </c>
      <c r="AB496">
        <v>35</v>
      </c>
      <c r="AC496">
        <v>58.316099999999899</v>
      </c>
      <c r="AD496">
        <v>-1.059590316033</v>
      </c>
      <c r="AE496">
        <v>0.75929999999999598</v>
      </c>
      <c r="AF496">
        <v>-0.195539953387461</v>
      </c>
      <c r="AG496">
        <v>-1.059590316033</v>
      </c>
      <c r="AH496">
        <v>58.301470546217402</v>
      </c>
      <c r="AI496">
        <v>91.041192069858695</v>
      </c>
      <c r="AJ496">
        <v>90.192166199942704</v>
      </c>
      <c r="AK496">
        <v>58.311426284757097</v>
      </c>
      <c r="AL496">
        <v>88.019336703069399</v>
      </c>
      <c r="AM496">
        <v>89.041939538532105</v>
      </c>
      <c r="AN496">
        <v>0.999999965985507</v>
      </c>
    </row>
    <row r="497" spans="1:40" x14ac:dyDescent="0.25">
      <c r="A497" t="str">
        <f>"20190312150645231"</f>
        <v>20190312150645231</v>
      </c>
      <c r="B497" t="str">
        <f>"1552374405221443"</f>
        <v>1552374405221443</v>
      </c>
      <c r="C497" t="s">
        <v>40</v>
      </c>
      <c r="D497">
        <v>4.2459989999999896</v>
      </c>
      <c r="E497">
        <v>0.49270069999999999</v>
      </c>
      <c r="F497" t="s">
        <v>42</v>
      </c>
      <c r="G497">
        <v>-356.11079999999998</v>
      </c>
      <c r="H497" s="1">
        <v>-1.9228870000000001E-6</v>
      </c>
      <c r="I497">
        <v>368.0822</v>
      </c>
      <c r="J497">
        <v>-413.3186</v>
      </c>
      <c r="K497">
        <v>1.059598</v>
      </c>
      <c r="L497">
        <v>367.36599999999999</v>
      </c>
      <c r="M497">
        <v>0.99990489999999999</v>
      </c>
      <c r="N497">
        <v>0</v>
      </c>
      <c r="O497">
        <v>9.6223569999999998E-3</v>
      </c>
      <c r="P497">
        <v>0.99967169999999905</v>
      </c>
      <c r="Q497">
        <v>2.4535270000000001E-2</v>
      </c>
      <c r="R497">
        <v>-7.3820099999999996E-3</v>
      </c>
      <c r="S497">
        <v>3.0026860000000002</v>
      </c>
      <c r="T497">
        <v>-5.5445670000000002E-2</v>
      </c>
      <c r="U497">
        <v>3.7567139999999999E-2</v>
      </c>
      <c r="V497">
        <v>1.7008349999999998E-2</v>
      </c>
      <c r="W497">
        <v>3.4408759999999997E-2</v>
      </c>
      <c r="X497">
        <v>0.99926309999999996</v>
      </c>
      <c r="Y497">
        <v>-2.888697E-3</v>
      </c>
      <c r="Z497">
        <v>-1.5099509999999999E-4</v>
      </c>
      <c r="AA497">
        <v>0.99999579999999999</v>
      </c>
      <c r="AB497">
        <v>35</v>
      </c>
      <c r="AC497">
        <v>57.207799999999999</v>
      </c>
      <c r="AD497">
        <v>-1.0595999228869999</v>
      </c>
      <c r="AE497">
        <v>0.71620000000001405</v>
      </c>
      <c r="AF497">
        <v>-0.165609293950365</v>
      </c>
      <c r="AG497">
        <v>-1.0595999228869999</v>
      </c>
      <c r="AH497">
        <v>57.192425614428302</v>
      </c>
      <c r="AI497">
        <v>91.061388875411893</v>
      </c>
      <c r="AJ497">
        <v>90.165908107050697</v>
      </c>
      <c r="AK497">
        <v>57.202480069457998</v>
      </c>
      <c r="AL497">
        <v>88.028134030365706</v>
      </c>
      <c r="AM497">
        <v>89.024868846381693</v>
      </c>
      <c r="AN497">
        <v>0.99999999487803504</v>
      </c>
    </row>
    <row r="498" spans="1:40" x14ac:dyDescent="0.25">
      <c r="A498" t="str">
        <f>"20190312150645249"</f>
        <v>20190312150645249</v>
      </c>
      <c r="B498" t="str">
        <f>"1552374405240965"</f>
        <v>1552374405240965</v>
      </c>
      <c r="C498" t="s">
        <v>40</v>
      </c>
      <c r="D498">
        <v>4.4123679999999998</v>
      </c>
      <c r="E498">
        <v>0.49274509999999999</v>
      </c>
      <c r="F498" t="s">
        <v>42</v>
      </c>
      <c r="G498">
        <v>-356.62099999999998</v>
      </c>
      <c r="H498" s="1">
        <v>-1.709258E-6</v>
      </c>
      <c r="I498">
        <v>368.05290000000002</v>
      </c>
      <c r="J498">
        <v>-413.01960000000003</v>
      </c>
      <c r="K498">
        <v>1.0596099999999999</v>
      </c>
      <c r="L498">
        <v>367.36880000000002</v>
      </c>
      <c r="M498">
        <v>0.99990400000000002</v>
      </c>
      <c r="N498">
        <v>0</v>
      </c>
      <c r="O498">
        <v>9.5465570000000007E-3</v>
      </c>
      <c r="P498">
        <v>0.99967269999999997</v>
      </c>
      <c r="Q498">
        <v>2.4325469999999998E-2</v>
      </c>
      <c r="R498">
        <v>-7.9658839999999995E-3</v>
      </c>
      <c r="S498">
        <v>3.0025940000000002</v>
      </c>
      <c r="T498">
        <v>-5.6114200000000003E-2</v>
      </c>
      <c r="U498">
        <v>3.6376949999999998E-2</v>
      </c>
      <c r="V498">
        <v>1.7516779999999999E-2</v>
      </c>
      <c r="W498">
        <v>3.4369200000000003E-2</v>
      </c>
      <c r="X498">
        <v>0.99925569999999997</v>
      </c>
      <c r="Y498">
        <v>-2.5686160000000001E-3</v>
      </c>
      <c r="Z498">
        <v>-1.5439490000000001E-4</v>
      </c>
      <c r="AA498">
        <v>0.99999669999999896</v>
      </c>
      <c r="AB498">
        <v>35</v>
      </c>
      <c r="AC498">
        <v>56.398600000000002</v>
      </c>
      <c r="AD498">
        <v>-1.059611709258</v>
      </c>
      <c r="AE498">
        <v>0.68410000000000004</v>
      </c>
      <c r="AF498">
        <v>-0.14557784130625001</v>
      </c>
      <c r="AG498">
        <v>-1.059611709258</v>
      </c>
      <c r="AH498">
        <v>56.382661485169201</v>
      </c>
      <c r="AI498">
        <v>91.076641808756307</v>
      </c>
      <c r="AJ498">
        <v>90.147935147839604</v>
      </c>
      <c r="AK498">
        <v>56.392805268344802</v>
      </c>
      <c r="AL498">
        <v>88.0304020359292</v>
      </c>
      <c r="AM498">
        <v>88.995717733317605</v>
      </c>
      <c r="AN498">
        <v>1.0000000167363401</v>
      </c>
    </row>
    <row r="499" spans="1:40" x14ac:dyDescent="0.25">
      <c r="A499" t="str">
        <f>"20190312150645263"</f>
        <v>20190312150645263</v>
      </c>
      <c r="B499" t="str">
        <f>"1552374405250722"</f>
        <v>1552374405250722</v>
      </c>
      <c r="C499" t="s">
        <v>40</v>
      </c>
      <c r="D499">
        <v>4.7111539999999996</v>
      </c>
      <c r="E499">
        <v>0.49278339999999998</v>
      </c>
      <c r="F499" t="s">
        <v>42</v>
      </c>
      <c r="G499">
        <v>-356.18869999999998</v>
      </c>
      <c r="H499" s="1">
        <v>-1.902409E-6</v>
      </c>
      <c r="I499">
        <v>368.0093</v>
      </c>
      <c r="J499">
        <v>-412.80349999999999</v>
      </c>
      <c r="K499">
        <v>1.0596190000000001</v>
      </c>
      <c r="L499">
        <v>367.37079999999997</v>
      </c>
      <c r="M499">
        <v>0.99990310000000004</v>
      </c>
      <c r="N499">
        <v>0</v>
      </c>
      <c r="O499">
        <v>9.490643E-3</v>
      </c>
      <c r="P499">
        <v>0.99967589999999995</v>
      </c>
      <c r="Q499">
        <v>2.4106510000000001E-2</v>
      </c>
      <c r="R499">
        <v>-8.1880949999999994E-3</v>
      </c>
      <c r="S499">
        <v>3.0025940000000002</v>
      </c>
      <c r="T499">
        <v>-5.59833E-2</v>
      </c>
      <c r="U499">
        <v>3.3843989999999997E-2</v>
      </c>
      <c r="V499">
        <v>1.7683419999999998E-2</v>
      </c>
      <c r="W499">
        <v>3.4280079999999997E-2</v>
      </c>
      <c r="X499">
        <v>0.99925580000000003</v>
      </c>
      <c r="Y499">
        <v>-1.781171E-3</v>
      </c>
      <c r="Z499">
        <v>-1.6033369999999999E-4</v>
      </c>
      <c r="AA499">
        <v>0.99999839999999995</v>
      </c>
      <c r="AB499">
        <v>35</v>
      </c>
      <c r="AC499">
        <v>56.614800000000002</v>
      </c>
      <c r="AD499">
        <v>-1.059620902409</v>
      </c>
      <c r="AE499">
        <v>0.63850000000002105</v>
      </c>
      <c r="AF499">
        <v>-0.101097108926242</v>
      </c>
      <c r="AG499">
        <v>-1.059620902409</v>
      </c>
      <c r="AH499">
        <v>56.598486083988803</v>
      </c>
      <c r="AI499">
        <v>91.072548423943999</v>
      </c>
      <c r="AJ499">
        <v>90.102342516608601</v>
      </c>
      <c r="AK499">
        <v>56.608494451643303</v>
      </c>
      <c r="AL499">
        <v>88.035511194888798</v>
      </c>
      <c r="AM499">
        <v>88.986165917626806</v>
      </c>
      <c r="AN499">
        <v>0.99999999053067101</v>
      </c>
    </row>
    <row r="500" spans="1:40" x14ac:dyDescent="0.25">
      <c r="A500" t="str">
        <f>"20190312150645283"</f>
        <v>20190312150645283</v>
      </c>
      <c r="B500" t="str">
        <f>"1552374405280979"</f>
        <v>1552374405280979</v>
      </c>
      <c r="C500" t="s">
        <v>40</v>
      </c>
      <c r="D500">
        <v>4.3026470000000003</v>
      </c>
      <c r="E500">
        <v>0.50333749999999999</v>
      </c>
      <c r="F500" t="s">
        <v>42</v>
      </c>
      <c r="G500">
        <v>-356.41919999999999</v>
      </c>
      <c r="H500" s="1">
        <v>-1.806201E-6</v>
      </c>
      <c r="I500">
        <v>367.99430000000001</v>
      </c>
      <c r="J500">
        <v>-412.49079999999998</v>
      </c>
      <c r="K500">
        <v>1.0596410000000001</v>
      </c>
      <c r="L500">
        <v>367.37369999999999</v>
      </c>
      <c r="M500">
        <v>0.99990199999999996</v>
      </c>
      <c r="N500">
        <v>0</v>
      </c>
      <c r="O500">
        <v>9.4042799999999992E-3</v>
      </c>
      <c r="P500">
        <v>0.99968380000000001</v>
      </c>
      <c r="Q500">
        <v>2.3709830000000001E-2</v>
      </c>
      <c r="R500">
        <v>-8.3879619999999901E-3</v>
      </c>
      <c r="S500">
        <v>3.0025629999999999</v>
      </c>
      <c r="T500">
        <v>-5.642664E-2</v>
      </c>
      <c r="U500">
        <v>3.3203129999999997E-2</v>
      </c>
      <c r="V500">
        <v>1.7797440000000001E-2</v>
      </c>
      <c r="W500">
        <v>3.408183E-2</v>
      </c>
      <c r="X500">
        <v>0.9992605</v>
      </c>
      <c r="Y500">
        <v>-1.6542499999999999E-3</v>
      </c>
      <c r="Z500">
        <v>-1.6117510000000001E-4</v>
      </c>
      <c r="AA500">
        <v>0.99999859999999896</v>
      </c>
      <c r="AB500">
        <v>35</v>
      </c>
      <c r="AC500">
        <v>56.071599999999897</v>
      </c>
      <c r="AD500">
        <v>-1.0596428062009999</v>
      </c>
      <c r="AE500">
        <v>0.62060000000002402</v>
      </c>
      <c r="AF500">
        <v>-9.3197888186089303E-2</v>
      </c>
      <c r="AG500">
        <v>-1.0596428062009999</v>
      </c>
      <c r="AH500">
        <v>56.054940028704898</v>
      </c>
      <c r="AI500">
        <v>91.082968714749697</v>
      </c>
      <c r="AJ500">
        <v>90.095260841052806</v>
      </c>
      <c r="AK500">
        <v>56.065032153248502</v>
      </c>
      <c r="AL500">
        <v>88.046876613071305</v>
      </c>
      <c r="AM500">
        <v>88.979635045736998</v>
      </c>
      <c r="AN500">
        <v>0.99999993343347404</v>
      </c>
    </row>
    <row r="501" spans="1:40" x14ac:dyDescent="0.25">
      <c r="A501" t="str">
        <f>"20190312150645299"</f>
        <v>20190312150645299</v>
      </c>
      <c r="B501" t="str">
        <f>"1552374405290738"</f>
        <v>1552374405290738</v>
      </c>
      <c r="C501" t="s">
        <v>40</v>
      </c>
      <c r="D501">
        <v>4.3395460000000003</v>
      </c>
      <c r="E501">
        <v>0.50445680000000004</v>
      </c>
      <c r="F501" t="s">
        <v>42</v>
      </c>
      <c r="G501">
        <v>-268.74160000000001</v>
      </c>
      <c r="H501" s="1">
        <v>-1.6710289999999999E-6</v>
      </c>
      <c r="I501">
        <v>364.8931</v>
      </c>
      <c r="J501">
        <v>-412.2432</v>
      </c>
      <c r="K501">
        <v>1.059666</v>
      </c>
      <c r="L501">
        <v>367.37599999999998</v>
      </c>
      <c r="M501">
        <v>0.99990060000000003</v>
      </c>
      <c r="N501">
        <v>0</v>
      </c>
      <c r="O501">
        <v>9.3393810000000008E-3</v>
      </c>
      <c r="P501">
        <v>0.99968489999999999</v>
      </c>
      <c r="Q501">
        <v>2.3658040000000002E-2</v>
      </c>
      <c r="R501">
        <v>-8.4009269999999903E-3</v>
      </c>
      <c r="S501">
        <v>3.001099</v>
      </c>
      <c r="T501">
        <v>-2.21225E-2</v>
      </c>
      <c r="U501">
        <v>-5.178833E-2</v>
      </c>
      <c r="V501">
        <v>1.7745859999999999E-2</v>
      </c>
      <c r="W501">
        <v>3.4205739999999998E-2</v>
      </c>
      <c r="X501">
        <v>0.99925730000000001</v>
      </c>
      <c r="Y501">
        <v>2.6590679999999998E-2</v>
      </c>
      <c r="Z501">
        <v>-1.668409E-4</v>
      </c>
      <c r="AA501">
        <v>0.99964640000000005</v>
      </c>
      <c r="AB501">
        <v>35</v>
      </c>
      <c r="AC501">
        <v>143.5016</v>
      </c>
      <c r="AD501">
        <v>-1.0596676710290001</v>
      </c>
      <c r="AE501">
        <v>-2.4828999999999701</v>
      </c>
      <c r="AF501">
        <v>3.8228741910430002</v>
      </c>
      <c r="AG501">
        <v>-1.0596676710290001</v>
      </c>
      <c r="AH501">
        <v>143.46433013249401</v>
      </c>
      <c r="AI501">
        <v>90.423044797325403</v>
      </c>
      <c r="AJ501">
        <v>88.4736084822122</v>
      </c>
      <c r="AK501">
        <v>143.51916695347299</v>
      </c>
      <c r="AL501">
        <v>88.039773179017999</v>
      </c>
      <c r="AM501">
        <v>88.982588356515507</v>
      </c>
      <c r="AN501">
        <v>1.0000000498996799</v>
      </c>
    </row>
    <row r="502" spans="1:40" x14ac:dyDescent="0.25">
      <c r="A502" t="str">
        <f>"20190312150645316"</f>
        <v>20190312150645316</v>
      </c>
      <c r="B502" t="str">
        <f>"1552374405311234"</f>
        <v>1552374405311234</v>
      </c>
      <c r="C502" t="s">
        <v>40</v>
      </c>
      <c r="D502">
        <v>4.3900779999999999</v>
      </c>
      <c r="E502">
        <v>0.50567329999999999</v>
      </c>
      <c r="F502" t="s">
        <v>42</v>
      </c>
      <c r="G502">
        <v>-275.57589999999999</v>
      </c>
      <c r="H502" s="1">
        <v>-2.8224740000000002E-6</v>
      </c>
      <c r="I502">
        <v>364.61439999999999</v>
      </c>
      <c r="J502">
        <v>-411.9889</v>
      </c>
      <c r="K502">
        <v>1.0596950000000001</v>
      </c>
      <c r="L502">
        <v>367.37830000000002</v>
      </c>
      <c r="M502">
        <v>0.99989910000000004</v>
      </c>
      <c r="N502">
        <v>0</v>
      </c>
      <c r="O502">
        <v>9.2755949999999993E-3</v>
      </c>
      <c r="P502">
        <v>0.99969569999999996</v>
      </c>
      <c r="Q502">
        <v>2.3307189999999998E-2</v>
      </c>
      <c r="R502">
        <v>-8.0878870000000002E-3</v>
      </c>
      <c r="S502">
        <v>3.001007</v>
      </c>
      <c r="T502">
        <v>-2.32687E-2</v>
      </c>
      <c r="U502">
        <v>-6.063843E-2</v>
      </c>
      <c r="V502">
        <v>1.7369610000000001E-2</v>
      </c>
      <c r="W502">
        <v>3.4055149999999999E-2</v>
      </c>
      <c r="X502">
        <v>0.99926899999999996</v>
      </c>
      <c r="Y502">
        <v>2.9474110000000001E-2</v>
      </c>
      <c r="Z502">
        <v>-1.8616849999999999E-4</v>
      </c>
      <c r="AA502">
        <v>0.9995655</v>
      </c>
      <c r="AB502">
        <v>35</v>
      </c>
      <c r="AC502">
        <v>136.41299999999899</v>
      </c>
      <c r="AD502">
        <v>-1.0596978224739999</v>
      </c>
      <c r="AE502">
        <v>-2.7639000000000302</v>
      </c>
      <c r="AF502">
        <v>4.0289230324172296</v>
      </c>
      <c r="AG502">
        <v>-1.0596978224739999</v>
      </c>
      <c r="AH502">
        <v>136.37326635253399</v>
      </c>
      <c r="AI502">
        <v>90.445017667257204</v>
      </c>
      <c r="AJ502">
        <v>88.307782990038305</v>
      </c>
      <c r="AK502">
        <v>136.43688268183001</v>
      </c>
      <c r="AL502">
        <v>88.048406273598104</v>
      </c>
      <c r="AM502">
        <v>89.004166915141596</v>
      </c>
      <c r="AN502">
        <v>0.999999995477037</v>
      </c>
    </row>
    <row r="503" spans="1:40" x14ac:dyDescent="0.25">
      <c r="A503" t="str">
        <f>"20190312150645327"</f>
        <v>20190312150645327</v>
      </c>
      <c r="B503" t="str">
        <f>"1552374405320995"</f>
        <v>1552374405320995</v>
      </c>
      <c r="C503" t="s">
        <v>40</v>
      </c>
      <c r="D503">
        <v>4.4603679999999999</v>
      </c>
      <c r="E503">
        <v>0.50638479999999997</v>
      </c>
      <c r="F503" t="s">
        <v>42</v>
      </c>
      <c r="G503">
        <v>-277.51429999999999</v>
      </c>
      <c r="H503" s="1">
        <v>-2.2574280000000001E-6</v>
      </c>
      <c r="I503">
        <v>364.25889999999998</v>
      </c>
      <c r="J503">
        <v>-411.79770000000002</v>
      </c>
      <c r="K503">
        <v>1.0597209999999999</v>
      </c>
      <c r="L503">
        <v>367.38</v>
      </c>
      <c r="M503">
        <v>0.99989799999999995</v>
      </c>
      <c r="N503">
        <v>0</v>
      </c>
      <c r="O503">
        <v>9.2280729999999998E-3</v>
      </c>
      <c r="P503">
        <v>0.99970530000000002</v>
      </c>
      <c r="Q503">
        <v>2.2988390000000001E-2</v>
      </c>
      <c r="R503">
        <v>-7.8091509999999899E-3</v>
      </c>
      <c r="S503">
        <v>3.0009459999999999</v>
      </c>
      <c r="T503">
        <v>-2.3648260000000001E-2</v>
      </c>
      <c r="U503">
        <v>-6.9610599999999995E-2</v>
      </c>
      <c r="V503">
        <v>1.7043409999999998E-2</v>
      </c>
      <c r="W503">
        <v>3.3896450000000002E-2</v>
      </c>
      <c r="X503">
        <v>0.99927999999999995</v>
      </c>
      <c r="Y503">
        <v>3.2413839999999999E-2</v>
      </c>
      <c r="Z503">
        <v>-2.0040999999999999E-4</v>
      </c>
      <c r="AA503">
        <v>0.99947450000000004</v>
      </c>
      <c r="AB503">
        <v>35</v>
      </c>
      <c r="AC503">
        <v>134.2834</v>
      </c>
      <c r="AD503">
        <v>-1.059723257428</v>
      </c>
      <c r="AE503">
        <v>-3.12110000000001</v>
      </c>
      <c r="AF503">
        <v>4.3599463550166497</v>
      </c>
      <c r="AG503">
        <v>-1.059723257428</v>
      </c>
      <c r="AH503">
        <v>134.24052231526699</v>
      </c>
      <c r="AI503">
        <v>90.452057328101006</v>
      </c>
      <c r="AJ503">
        <v>88.139766299477301</v>
      </c>
      <c r="AK503">
        <v>134.31548673580701</v>
      </c>
      <c r="AL503">
        <v>88.057504341902401</v>
      </c>
      <c r="AM503">
        <v>89.022875680786797</v>
      </c>
      <c r="AN503">
        <v>0.99999998277351498</v>
      </c>
    </row>
    <row r="504" spans="1:40" x14ac:dyDescent="0.25">
      <c r="A504" t="str">
        <f>"20190312150645339"</f>
        <v>20190312150645339</v>
      </c>
      <c r="B504" t="str">
        <f>"1552374405330755"</f>
        <v>1552374405330755</v>
      </c>
      <c r="C504" t="s">
        <v>40</v>
      </c>
      <c r="D504">
        <v>4.3994150000000003</v>
      </c>
      <c r="E504">
        <v>0.50624369999999996</v>
      </c>
      <c r="F504" t="s">
        <v>42</v>
      </c>
      <c r="G504">
        <v>-276.04469999999998</v>
      </c>
      <c r="H504" s="1">
        <v>-2.8204569999999998E-6</v>
      </c>
      <c r="I504">
        <v>364.0224</v>
      </c>
      <c r="J504">
        <v>-411.60660000000001</v>
      </c>
      <c r="K504">
        <v>1.05975</v>
      </c>
      <c r="L504">
        <v>367.38170000000002</v>
      </c>
      <c r="M504">
        <v>0.99989649999999997</v>
      </c>
      <c r="N504">
        <v>0</v>
      </c>
      <c r="O504">
        <v>9.1791479999999998E-3</v>
      </c>
      <c r="P504">
        <v>0.99971220000000005</v>
      </c>
      <c r="Q504">
        <v>2.2711269999999999E-2</v>
      </c>
      <c r="R504">
        <v>-7.7513829999999997E-3</v>
      </c>
      <c r="S504">
        <v>3.0008240000000002</v>
      </c>
      <c r="T504">
        <v>-2.342522E-2</v>
      </c>
      <c r="U504">
        <v>-7.421875E-2</v>
      </c>
      <c r="V504">
        <v>1.6936779999999999E-2</v>
      </c>
      <c r="W504">
        <v>3.3786839999999999E-2</v>
      </c>
      <c r="X504">
        <v>0.99928550000000005</v>
      </c>
      <c r="Y504">
        <v>3.3899789999999999E-2</v>
      </c>
      <c r="Z504">
        <v>-2.0394160000000001E-4</v>
      </c>
      <c r="AA504">
        <v>0.99942520000000001</v>
      </c>
      <c r="AB504">
        <v>35</v>
      </c>
      <c r="AC504">
        <v>135.56190000000001</v>
      </c>
      <c r="AD504">
        <v>-1.0597528204569999</v>
      </c>
      <c r="AE504">
        <v>-3.3593000000000099</v>
      </c>
      <c r="AF504">
        <v>4.6032964199617403</v>
      </c>
      <c r="AG504">
        <v>-1.0597528204569999</v>
      </c>
      <c r="AH504">
        <v>135.51707399383099</v>
      </c>
      <c r="AI504">
        <v>90.447789539198496</v>
      </c>
      <c r="AJ504">
        <v>88.054502827129497</v>
      </c>
      <c r="AK504">
        <v>135.599375949228</v>
      </c>
      <c r="AL504">
        <v>88.063788083326401</v>
      </c>
      <c r="AM504">
        <v>89.028993108207899</v>
      </c>
      <c r="AN504">
        <v>0.99999995779210105</v>
      </c>
    </row>
    <row r="505" spans="1:40" x14ac:dyDescent="0.25">
      <c r="A505" t="str">
        <f>"20190312150645352"</f>
        <v>20190312150645352</v>
      </c>
      <c r="B505" t="str">
        <f>"1552374405341490"</f>
        <v>1552374405341490</v>
      </c>
      <c r="C505" t="s">
        <v>40</v>
      </c>
      <c r="D505">
        <v>4.3427100000000003</v>
      </c>
      <c r="E505">
        <v>0.50623790000000002</v>
      </c>
      <c r="F505" t="s">
        <v>43</v>
      </c>
      <c r="G505">
        <v>-279.19729999999998</v>
      </c>
      <c r="H505">
        <v>-0.05</v>
      </c>
      <c r="I505">
        <v>364.15129999999999</v>
      </c>
      <c r="J505">
        <v>-411.41449999999998</v>
      </c>
      <c r="K505">
        <v>1.0597780000000001</v>
      </c>
      <c r="L505">
        <v>367.38339999999999</v>
      </c>
      <c r="M505">
        <v>0.99989499999999998</v>
      </c>
      <c r="N505">
        <v>0</v>
      </c>
      <c r="O505">
        <v>9.1284560000000001E-3</v>
      </c>
      <c r="P505">
        <v>0.99971509999999997</v>
      </c>
      <c r="Q505">
        <v>2.2589430000000001E-2</v>
      </c>
      <c r="R505">
        <v>-7.7009180000000002E-3</v>
      </c>
      <c r="S505">
        <v>3.0008539999999999</v>
      </c>
      <c r="T505">
        <v>-2.5150780000000001E-2</v>
      </c>
      <c r="U505">
        <v>-7.3211670000000006E-2</v>
      </c>
      <c r="V505">
        <v>1.6835760000000002E-2</v>
      </c>
      <c r="W505">
        <v>3.3839269999999998E-2</v>
      </c>
      <c r="X505">
        <v>0.99928550000000005</v>
      </c>
      <c r="Y505">
        <v>3.351349E-2</v>
      </c>
      <c r="Z505">
        <v>-2.1691930000000001E-4</v>
      </c>
      <c r="AA505">
        <v>0.99943820000000005</v>
      </c>
      <c r="AB505">
        <v>35</v>
      </c>
      <c r="AC505">
        <v>132.21719999999999</v>
      </c>
      <c r="AD505">
        <v>-1.1097779999999999</v>
      </c>
      <c r="AE505">
        <v>-3.2321</v>
      </c>
      <c r="AF505">
        <v>4.4386681238447796</v>
      </c>
      <c r="AG505">
        <v>-1.1097779999999999</v>
      </c>
      <c r="AH505">
        <v>132.17287814543201</v>
      </c>
      <c r="AI505">
        <v>90.480796666795698</v>
      </c>
      <c r="AJ505">
        <v>88.076599264080102</v>
      </c>
      <c r="AK505">
        <v>132.252043837402</v>
      </c>
      <c r="AL505">
        <v>88.060782476638494</v>
      </c>
      <c r="AM505">
        <v>89.034783612844393</v>
      </c>
      <c r="AN505">
        <v>1.0000000247595799</v>
      </c>
    </row>
    <row r="506" spans="1:40" x14ac:dyDescent="0.25">
      <c r="A506" t="str">
        <f>"20190312150645363"</f>
        <v>20190312150645363</v>
      </c>
      <c r="B506" t="str">
        <f>"1552374405361010"</f>
        <v>1552374405361010</v>
      </c>
      <c r="C506" t="s">
        <v>40</v>
      </c>
      <c r="D506">
        <v>4.3780979999999996</v>
      </c>
      <c r="E506">
        <v>0.50630050000000004</v>
      </c>
      <c r="F506" t="s">
        <v>43</v>
      </c>
      <c r="G506">
        <v>-285.61689999999999</v>
      </c>
      <c r="H506">
        <v>-0.05</v>
      </c>
      <c r="I506">
        <v>364.33359999999999</v>
      </c>
      <c r="J506">
        <v>-411.22</v>
      </c>
      <c r="K506">
        <v>1.059809</v>
      </c>
      <c r="L506">
        <v>367.38510000000002</v>
      </c>
      <c r="M506">
        <v>0.99989340000000004</v>
      </c>
      <c r="N506">
        <v>0</v>
      </c>
      <c r="O506">
        <v>9.0761169999999999E-3</v>
      </c>
      <c r="P506">
        <v>0.99972249999999996</v>
      </c>
      <c r="Q506">
        <v>2.227034E-2</v>
      </c>
      <c r="R506">
        <v>-7.6880999999999998E-3</v>
      </c>
      <c r="S506">
        <v>3.0009160000000001</v>
      </c>
      <c r="T506">
        <v>-2.6473880000000002E-2</v>
      </c>
      <c r="U506">
        <v>-7.2753910000000005E-2</v>
      </c>
      <c r="V506">
        <v>1.6770380000000001E-2</v>
      </c>
      <c r="W506">
        <v>3.3698680000000002E-2</v>
      </c>
      <c r="X506">
        <v>0.99929129999999999</v>
      </c>
      <c r="Y506">
        <v>3.3308190000000001E-2</v>
      </c>
      <c r="Z506">
        <v>-2.269591E-4</v>
      </c>
      <c r="AA506">
        <v>0.99944509999999998</v>
      </c>
      <c r="AB506">
        <v>35</v>
      </c>
      <c r="AC506">
        <v>125.6031</v>
      </c>
      <c r="AD506">
        <v>-1.109809</v>
      </c>
      <c r="AE506">
        <v>-3.0515000000000301</v>
      </c>
      <c r="AF506">
        <v>4.1911102812261598</v>
      </c>
      <c r="AG506">
        <v>-1.109809</v>
      </c>
      <c r="AH506">
        <v>125.560431317816</v>
      </c>
      <c r="AI506">
        <v>90.506133372803802</v>
      </c>
      <c r="AJ506">
        <v>88.088220911302997</v>
      </c>
      <c r="AK506">
        <v>125.635261746541</v>
      </c>
      <c r="AL506">
        <v>88.068842189715895</v>
      </c>
      <c r="AM506">
        <v>89.038536809135607</v>
      </c>
      <c r="AN506">
        <v>0.99999997446738798</v>
      </c>
    </row>
    <row r="507" spans="1:40" x14ac:dyDescent="0.25">
      <c r="A507" t="str">
        <f>"20190312150645383"</f>
        <v>20190312150645383</v>
      </c>
      <c r="B507" t="str">
        <f>"1552374405370770"</f>
        <v>1552374405370770</v>
      </c>
      <c r="C507" t="s">
        <v>40</v>
      </c>
      <c r="D507">
        <v>4.6095739999999896</v>
      </c>
      <c r="E507">
        <v>0.50631859999999995</v>
      </c>
      <c r="F507" t="s">
        <v>42</v>
      </c>
      <c r="G507">
        <v>-253.91929999999999</v>
      </c>
      <c r="H507" s="1">
        <v>-3.6676369999999998E-6</v>
      </c>
      <c r="I507">
        <v>363.55689999999998</v>
      </c>
      <c r="J507">
        <v>-410.92039999999997</v>
      </c>
      <c r="K507">
        <v>1.0598559999999999</v>
      </c>
      <c r="L507">
        <v>367.38780000000003</v>
      </c>
      <c r="M507">
        <v>0.99989090000000003</v>
      </c>
      <c r="N507">
        <v>0</v>
      </c>
      <c r="O507">
        <v>8.9946869999999995E-3</v>
      </c>
      <c r="P507">
        <v>0.9997182</v>
      </c>
      <c r="Q507">
        <v>2.2381390000000001E-2</v>
      </c>
      <c r="R507">
        <v>-7.9124699999999996E-3</v>
      </c>
      <c r="S507">
        <v>3.0007320000000002</v>
      </c>
      <c r="T507">
        <v>-2.021742E-2</v>
      </c>
      <c r="U507">
        <v>-7.3028560000000006E-2</v>
      </c>
      <c r="V507">
        <v>1.691351E-2</v>
      </c>
      <c r="W507">
        <v>3.4095180000000003E-2</v>
      </c>
      <c r="X507">
        <v>0.99927540000000004</v>
      </c>
      <c r="Y507">
        <v>3.3320410000000002E-2</v>
      </c>
      <c r="Z507">
        <v>-1.7282739999999999E-4</v>
      </c>
      <c r="AA507">
        <v>0.99944469999999996</v>
      </c>
      <c r="AB507">
        <v>35</v>
      </c>
      <c r="AC507">
        <v>157.00109999999901</v>
      </c>
      <c r="AD507">
        <v>-1.059859667637</v>
      </c>
      <c r="AE507">
        <v>-3.8309000000000402</v>
      </c>
      <c r="AF507">
        <v>5.2427789267163103</v>
      </c>
      <c r="AG507">
        <v>-1.059859667637</v>
      </c>
      <c r="AH507">
        <v>156.953139546763</v>
      </c>
      <c r="AI507">
        <v>90.386680472890504</v>
      </c>
      <c r="AJ507">
        <v>88.0868337062401</v>
      </c>
      <c r="AK507">
        <v>157.04425505880499</v>
      </c>
      <c r="AL507">
        <v>88.046111275715106</v>
      </c>
      <c r="AM507">
        <v>89.030317152733502</v>
      </c>
      <c r="AN507">
        <v>0.99999993658245401</v>
      </c>
    </row>
    <row r="508" spans="1:40" x14ac:dyDescent="0.25">
      <c r="A508" t="str">
        <f>"20190312150645405"</f>
        <v>20190312150645405</v>
      </c>
      <c r="B508" t="str">
        <f>"1552374405401027"</f>
        <v>1552374405401027</v>
      </c>
      <c r="C508" t="s">
        <v>40</v>
      </c>
      <c r="D508">
        <v>4.3933059999999999</v>
      </c>
      <c r="E508">
        <v>0.52442719999999998</v>
      </c>
      <c r="F508" t="s">
        <v>42</v>
      </c>
      <c r="G508">
        <v>-226.76079999999999</v>
      </c>
      <c r="H508" s="1">
        <v>-2.8938639999999998E-6</v>
      </c>
      <c r="I508">
        <v>362.83080000000001</v>
      </c>
      <c r="J508">
        <v>-410.58089999999999</v>
      </c>
      <c r="K508">
        <v>1.059904</v>
      </c>
      <c r="L508">
        <v>367.39069999999998</v>
      </c>
      <c r="M508">
        <v>0.99988779999999999</v>
      </c>
      <c r="N508">
        <v>0</v>
      </c>
      <c r="O508">
        <v>8.9031630000000004E-3</v>
      </c>
      <c r="P508">
        <v>0.99972589999999995</v>
      </c>
      <c r="Q508">
        <v>2.193898E-2</v>
      </c>
      <c r="R508">
        <v>-8.1765090000000002E-3</v>
      </c>
      <c r="S508">
        <v>3.0006409999999999</v>
      </c>
      <c r="T508">
        <v>-1.726902E-2</v>
      </c>
      <c r="U508">
        <v>-7.4249270000000006E-2</v>
      </c>
      <c r="V508">
        <v>1.708577E-2</v>
      </c>
      <c r="W508">
        <v>3.3972229999999999E-2</v>
      </c>
      <c r="X508">
        <v>0.99927670000000002</v>
      </c>
      <c r="Y508">
        <v>3.3636289999999999E-2</v>
      </c>
      <c r="Z508">
        <v>-1.4800969999999999E-4</v>
      </c>
      <c r="AA508">
        <v>0.99943409999999999</v>
      </c>
      <c r="AB508">
        <v>35</v>
      </c>
      <c r="AC508">
        <v>183.8201</v>
      </c>
      <c r="AD508">
        <v>-1.0599068938639999</v>
      </c>
      <c r="AE508">
        <v>-4.5598999999999696</v>
      </c>
      <c r="AF508">
        <v>6.1962124466778103</v>
      </c>
      <c r="AG508">
        <v>-1.0599068938639999</v>
      </c>
      <c r="AH508">
        <v>183.76610707653001</v>
      </c>
      <c r="AI508">
        <v>90.330273242036796</v>
      </c>
      <c r="AJ508">
        <v>88.068836630871104</v>
      </c>
      <c r="AK508">
        <v>183.87359397523801</v>
      </c>
      <c r="AL508">
        <v>88.053159959306399</v>
      </c>
      <c r="AM508">
        <v>89.020444356679704</v>
      </c>
      <c r="AN508">
        <v>0.99999997955527697</v>
      </c>
    </row>
    <row r="509" spans="1:40" x14ac:dyDescent="0.25">
      <c r="A509" t="str">
        <f>"20190312150645418"</f>
        <v>20190312150645418</v>
      </c>
      <c r="B509" t="str">
        <f>"1552374405410787"</f>
        <v>1552374405410787</v>
      </c>
      <c r="C509" t="s">
        <v>40</v>
      </c>
      <c r="D509">
        <v>4.3287199999999997</v>
      </c>
      <c r="E509">
        <v>0.52879049999999905</v>
      </c>
      <c r="F509" t="s">
        <v>41</v>
      </c>
      <c r="G509">
        <v>-409.57659999999998</v>
      </c>
      <c r="H509">
        <v>0.93624890000000005</v>
      </c>
      <c r="I509">
        <v>367.31709999999998</v>
      </c>
      <c r="J509">
        <v>-410.36779999999999</v>
      </c>
      <c r="K509">
        <v>1.059928</v>
      </c>
      <c r="L509">
        <v>367.39260000000002</v>
      </c>
      <c r="M509">
        <v>0.9998861</v>
      </c>
      <c r="N509">
        <v>0</v>
      </c>
      <c r="O509">
        <v>8.8469009999999904E-3</v>
      </c>
      <c r="P509">
        <v>0.99973339999999999</v>
      </c>
      <c r="Q509">
        <v>2.1549490000000001E-2</v>
      </c>
      <c r="R509">
        <v>-8.3020170000000001E-3</v>
      </c>
      <c r="S509">
        <v>3.0071409999999998</v>
      </c>
      <c r="T509">
        <v>-0.37041350000000001</v>
      </c>
      <c r="U509">
        <v>-0.2192383</v>
      </c>
      <c r="V509">
        <v>1.7155179999999999E-2</v>
      </c>
      <c r="W509">
        <v>3.3772070000000001E-2</v>
      </c>
      <c r="X509">
        <v>0.99928229999999996</v>
      </c>
      <c r="Y509">
        <v>8.085966E-2</v>
      </c>
      <c r="Z509">
        <v>-6.0391899999999998E-3</v>
      </c>
      <c r="AA509">
        <v>0.99670720000000002</v>
      </c>
      <c r="AB509">
        <v>35</v>
      </c>
      <c r="AC509">
        <v>0.79120000000000301</v>
      </c>
      <c r="AD509">
        <v>-0.1236791</v>
      </c>
      <c r="AE509">
        <v>-7.5500000000033596E-2</v>
      </c>
      <c r="AF509">
        <v>8.0546800615388103E-2</v>
      </c>
      <c r="AG509">
        <v>-0.1236791</v>
      </c>
      <c r="AH509">
        <v>0.77181167013152596</v>
      </c>
      <c r="AI509">
        <v>99.055615454299897</v>
      </c>
      <c r="AJ509">
        <v>84.042139617830202</v>
      </c>
      <c r="AK509">
        <v>0.78579740456265201</v>
      </c>
      <c r="AL509">
        <v>88.064634875998706</v>
      </c>
      <c r="AM509">
        <v>89.016471256578399</v>
      </c>
      <c r="AN509">
        <v>0.99999998400310297</v>
      </c>
    </row>
    <row r="510" spans="1:40" x14ac:dyDescent="0.25">
      <c r="A510" t="str">
        <f>"20190312150645432"</f>
        <v>20190312150645432</v>
      </c>
      <c r="B510" t="str">
        <f>"1552374405421524"</f>
        <v>1552374405421524</v>
      </c>
      <c r="C510" t="s">
        <v>40</v>
      </c>
      <c r="D510">
        <v>4.3477160000000001</v>
      </c>
      <c r="E510">
        <v>0.53275819999999996</v>
      </c>
      <c r="F510" t="s">
        <v>41</v>
      </c>
      <c r="G510">
        <v>-409.57470000000001</v>
      </c>
      <c r="H510">
        <v>0.94015409999999999</v>
      </c>
      <c r="I510">
        <v>367.3252</v>
      </c>
      <c r="J510">
        <v>-410.16199999999998</v>
      </c>
      <c r="K510">
        <v>1.0599459999999901</v>
      </c>
      <c r="L510">
        <v>367.39429999999999</v>
      </c>
      <c r="M510">
        <v>0.99988440000000001</v>
      </c>
      <c r="N510">
        <v>0</v>
      </c>
      <c r="O510">
        <v>8.7935730000000007E-3</v>
      </c>
      <c r="P510">
        <v>0.99973719999999999</v>
      </c>
      <c r="Q510">
        <v>2.13356E-2</v>
      </c>
      <c r="R510">
        <v>-8.3846029999999992E-3</v>
      </c>
      <c r="S510">
        <v>3.0084840000000002</v>
      </c>
      <c r="T510">
        <v>-0.45454800000000001</v>
      </c>
      <c r="U510">
        <v>-0.25427250000000001</v>
      </c>
      <c r="V510">
        <v>1.7184640000000001E-2</v>
      </c>
      <c r="W510">
        <v>3.3732039999999998E-2</v>
      </c>
      <c r="X510">
        <v>0.99928309999999998</v>
      </c>
      <c r="Y510">
        <v>9.1843629999999996E-2</v>
      </c>
      <c r="Z510">
        <v>-8.2060580000000004E-3</v>
      </c>
      <c r="AA510">
        <v>0.99573959999999995</v>
      </c>
      <c r="AB510">
        <v>35</v>
      </c>
      <c r="AC510">
        <v>0.58729999999996996</v>
      </c>
      <c r="AD510">
        <v>-0.11979189999999899</v>
      </c>
      <c r="AE510">
        <v>-6.9099999999991696E-2</v>
      </c>
      <c r="AF510">
        <v>7.1334897882672194E-2</v>
      </c>
      <c r="AG510">
        <v>-0.11979189999999899</v>
      </c>
      <c r="AH510">
        <v>0.56354406041691096</v>
      </c>
      <c r="AI510">
        <v>101.90839095246299</v>
      </c>
      <c r="AJ510">
        <v>82.785717277865501</v>
      </c>
      <c r="AK510">
        <v>0.58053481807099305</v>
      </c>
      <c r="AL510">
        <v>88.066929644962798</v>
      </c>
      <c r="AM510">
        <v>89.014783397736295</v>
      </c>
      <c r="AN510">
        <v>0.99999993816004795</v>
      </c>
    </row>
    <row r="511" spans="1:40" x14ac:dyDescent="0.25">
      <c r="A511" t="str">
        <f>"20190312150645451"</f>
        <v>20190312150645451</v>
      </c>
      <c r="B511" t="str">
        <f>"1552374405441042"</f>
        <v>1552374405441042</v>
      </c>
      <c r="C511" t="s">
        <v>40</v>
      </c>
      <c r="D511">
        <v>4.4033709999999999</v>
      </c>
      <c r="E511">
        <v>0.5374854</v>
      </c>
      <c r="F511" t="s">
        <v>41</v>
      </c>
      <c r="G511">
        <v>-409.27890000000002</v>
      </c>
      <c r="H511">
        <v>0.90571210000000002</v>
      </c>
      <c r="I511">
        <v>367.31029999999998</v>
      </c>
      <c r="J511">
        <v>-409.85879999999997</v>
      </c>
      <c r="K511">
        <v>1.0599700000000001</v>
      </c>
      <c r="L511">
        <v>367.39699999999999</v>
      </c>
      <c r="M511">
        <v>0.99988220000000005</v>
      </c>
      <c r="N511">
        <v>0</v>
      </c>
      <c r="O511">
        <v>8.7160109999999992E-3</v>
      </c>
      <c r="P511">
        <v>0.99974439999999998</v>
      </c>
      <c r="Q511">
        <v>2.090378E-2</v>
      </c>
      <c r="R511">
        <v>-8.6186000000000006E-3</v>
      </c>
      <c r="S511">
        <v>3.0096129999999999</v>
      </c>
      <c r="T511">
        <v>-0.52568990000000004</v>
      </c>
      <c r="U511">
        <v>-0.28591919999999998</v>
      </c>
      <c r="V511">
        <v>1.7341099999999901E-2</v>
      </c>
      <c r="W511">
        <v>3.3540460000000001E-2</v>
      </c>
      <c r="X511">
        <v>0.99928689999999998</v>
      </c>
      <c r="Y511">
        <v>0.1015945</v>
      </c>
      <c r="Z511">
        <v>-1.02947E-2</v>
      </c>
      <c r="AA511">
        <v>0.99477260000000001</v>
      </c>
      <c r="AB511">
        <v>35</v>
      </c>
      <c r="AC511">
        <v>0.57989999999995201</v>
      </c>
      <c r="AD511">
        <v>-0.1542579</v>
      </c>
      <c r="AE511">
        <v>-8.6700000000007493E-2</v>
      </c>
      <c r="AF511">
        <v>8.5812202408071706E-2</v>
      </c>
      <c r="AG511">
        <v>-0.1542579</v>
      </c>
      <c r="AH511">
        <v>0.54163409703299503</v>
      </c>
      <c r="AI511">
        <v>105.71089428050701</v>
      </c>
      <c r="AJ511">
        <v>80.997338727827497</v>
      </c>
      <c r="AK511">
        <v>0.56967247507956897</v>
      </c>
      <c r="AL511">
        <v>88.077912690105705</v>
      </c>
      <c r="AM511">
        <v>89.005818925107903</v>
      </c>
      <c r="AN511">
        <v>0.99999999235891501</v>
      </c>
    </row>
    <row r="512" spans="1:40" x14ac:dyDescent="0.25">
      <c r="A512" t="str">
        <f>"20190312150645465"</f>
        <v>20190312150645465</v>
      </c>
      <c r="B512" t="str">
        <f>"1552374405460563"</f>
        <v>1552374405460563</v>
      </c>
      <c r="C512" t="s">
        <v>40</v>
      </c>
      <c r="D512">
        <v>4.3879679999999999</v>
      </c>
      <c r="E512">
        <v>0.53918319999999997</v>
      </c>
      <c r="F512" t="s">
        <v>41</v>
      </c>
      <c r="G512">
        <v>-408.97669999999999</v>
      </c>
      <c r="H512">
        <v>0.88471309999999903</v>
      </c>
      <c r="I512">
        <v>367.30160000000001</v>
      </c>
      <c r="J512">
        <v>-409.64389999999997</v>
      </c>
      <c r="K512">
        <v>1.0599799999999999</v>
      </c>
      <c r="L512">
        <v>367.39879999999999</v>
      </c>
      <c r="M512">
        <v>0.99988069999999896</v>
      </c>
      <c r="N512">
        <v>0</v>
      </c>
      <c r="O512">
        <v>8.6614320000000002E-3</v>
      </c>
      <c r="P512">
        <v>0.99975449999999999</v>
      </c>
      <c r="Q512">
        <v>2.0400209999999998E-2</v>
      </c>
      <c r="R512">
        <v>-8.6702789999999995E-3</v>
      </c>
      <c r="S512">
        <v>3.0104679999999999</v>
      </c>
      <c r="T512">
        <v>-0.59816740000000002</v>
      </c>
      <c r="U512">
        <v>-0.32440190000000002</v>
      </c>
      <c r="V512">
        <v>1.7338309999999999E-2</v>
      </c>
      <c r="W512">
        <v>3.31959E-2</v>
      </c>
      <c r="X512">
        <v>0.99929849999999998</v>
      </c>
      <c r="Y512">
        <v>0.11338670000000001</v>
      </c>
      <c r="Z512">
        <v>-1.282428E-2</v>
      </c>
      <c r="AA512">
        <v>0.99346820000000002</v>
      </c>
      <c r="AB512">
        <v>35</v>
      </c>
      <c r="AC512">
        <v>0.66719999999997903</v>
      </c>
      <c r="AD512">
        <v>-0.175266899999999</v>
      </c>
      <c r="AE512">
        <v>-9.7199999999986603E-2</v>
      </c>
      <c r="AF512">
        <v>9.6457880212934097E-2</v>
      </c>
      <c r="AG512">
        <v>-0.175266899999999</v>
      </c>
      <c r="AH512">
        <v>0.62415743372033405</v>
      </c>
      <c r="AI512">
        <v>105.50993363974899</v>
      </c>
      <c r="AJ512">
        <v>81.214953581256907</v>
      </c>
      <c r="AK512">
        <v>0.65543505472253705</v>
      </c>
      <c r="AL512">
        <v>88.097665611646093</v>
      </c>
      <c r="AM512">
        <v>89.005990382680096</v>
      </c>
      <c r="AN512">
        <v>1.0000000384363501</v>
      </c>
    </row>
    <row r="513" spans="1:40" x14ac:dyDescent="0.25">
      <c r="A513" t="str">
        <f>"20190312150645483"</f>
        <v>20190312150645483</v>
      </c>
      <c r="B513" t="str">
        <f>"1552374405481059"</f>
        <v>1552374405481059</v>
      </c>
      <c r="C513" t="s">
        <v>40</v>
      </c>
      <c r="D513">
        <v>4.3990970000000003</v>
      </c>
      <c r="E513">
        <v>0.54015069999999998</v>
      </c>
      <c r="F513" t="s">
        <v>41</v>
      </c>
      <c r="G513">
        <v>-408.678</v>
      </c>
      <c r="H513">
        <v>0.85463769999999994</v>
      </c>
      <c r="I513">
        <v>367.2903</v>
      </c>
      <c r="J513">
        <v>-409.34870000000001</v>
      </c>
      <c r="K513">
        <v>1.0599959999999999</v>
      </c>
      <c r="L513">
        <v>367.40129999999999</v>
      </c>
      <c r="M513">
        <v>0.9998785</v>
      </c>
      <c r="N513">
        <v>0</v>
      </c>
      <c r="O513">
        <v>8.5863689999999999E-3</v>
      </c>
      <c r="P513">
        <v>0.99976399999999999</v>
      </c>
      <c r="Q513">
        <v>1.9873020000000002E-2</v>
      </c>
      <c r="R513">
        <v>-8.7653850000000005E-3</v>
      </c>
      <c r="S513">
        <v>3.0108030000000001</v>
      </c>
      <c r="T513">
        <v>-0.64009119999999997</v>
      </c>
      <c r="U513">
        <v>-0.33810420000000002</v>
      </c>
      <c r="V513">
        <v>1.7358599999999998E-2</v>
      </c>
      <c r="W513">
        <v>3.2868010000000003E-2</v>
      </c>
      <c r="X513">
        <v>0.99930890000000006</v>
      </c>
      <c r="Y513">
        <v>0.1173445</v>
      </c>
      <c r="Z513">
        <v>-1.409852E-2</v>
      </c>
      <c r="AA513">
        <v>0.99299119999999996</v>
      </c>
      <c r="AB513">
        <v>35</v>
      </c>
      <c r="AC513">
        <v>0.670699999999953</v>
      </c>
      <c r="AD513">
        <v>-0.20535829999999899</v>
      </c>
      <c r="AE513">
        <v>-0.11099999999999</v>
      </c>
      <c r="AF513">
        <v>0.106992236140876</v>
      </c>
      <c r="AG513">
        <v>-0.20535829999999899</v>
      </c>
      <c r="AH513">
        <v>0.61372016781776895</v>
      </c>
      <c r="AI513">
        <v>108.244312798187</v>
      </c>
      <c r="AJ513">
        <v>80.110788808513504</v>
      </c>
      <c r="AK513">
        <v>0.65595107619363302</v>
      </c>
      <c r="AL513">
        <v>88.116462419522094</v>
      </c>
      <c r="AM513">
        <v>89.004837740613098</v>
      </c>
      <c r="AN513">
        <v>0.99999995234726402</v>
      </c>
    </row>
    <row r="514" spans="1:40" x14ac:dyDescent="0.25">
      <c r="A514" t="str">
        <f>"20190312150645506"</f>
        <v>20190312150645506</v>
      </c>
      <c r="B514" t="str">
        <f>"1552374405500580"</f>
        <v>1552374405500580</v>
      </c>
      <c r="C514" t="s">
        <v>40</v>
      </c>
      <c r="D514">
        <v>4.4019789999999999</v>
      </c>
      <c r="E514">
        <v>0.54076099999999905</v>
      </c>
      <c r="F514" t="s">
        <v>41</v>
      </c>
      <c r="G514">
        <v>-408.65499999999997</v>
      </c>
      <c r="H514">
        <v>0.9065976</v>
      </c>
      <c r="I514">
        <v>367.32150000000001</v>
      </c>
      <c r="J514">
        <v>-409.0154</v>
      </c>
      <c r="K514">
        <v>1.060017</v>
      </c>
      <c r="L514">
        <v>367.40410000000003</v>
      </c>
      <c r="M514">
        <v>0.99987680000000001</v>
      </c>
      <c r="N514">
        <v>0</v>
      </c>
      <c r="O514">
        <v>8.5007239999999994E-3</v>
      </c>
      <c r="P514">
        <v>0.99977329999999998</v>
      </c>
      <c r="Q514">
        <v>1.9291289999999999E-2</v>
      </c>
      <c r="R514">
        <v>-9.0326480000000008E-3</v>
      </c>
      <c r="S514">
        <v>3.0108950000000001</v>
      </c>
      <c r="T514">
        <v>-0.66579549999999998</v>
      </c>
      <c r="U514">
        <v>-0.34594730000000001</v>
      </c>
      <c r="V514">
        <v>1.7540239999999999E-2</v>
      </c>
      <c r="W514">
        <v>3.2488169999999997E-2</v>
      </c>
      <c r="X514">
        <v>0.99931820000000005</v>
      </c>
      <c r="Y514">
        <v>0.1195354</v>
      </c>
      <c r="Z514">
        <v>-1.486912E-2</v>
      </c>
      <c r="AA514">
        <v>0.99271860000000001</v>
      </c>
      <c r="AB514">
        <v>35</v>
      </c>
      <c r="AC514">
        <v>0.36040000000002598</v>
      </c>
      <c r="AD514">
        <v>-0.15341939999999901</v>
      </c>
      <c r="AE514">
        <v>-8.2600000000013496E-2</v>
      </c>
      <c r="AF514">
        <v>7.3078944452225403E-2</v>
      </c>
      <c r="AG514">
        <v>-0.15341939999999901</v>
      </c>
      <c r="AH514">
        <v>0.306853758542394</v>
      </c>
      <c r="AI514">
        <v>115.937027102974</v>
      </c>
      <c r="AJ514">
        <v>76.604228735377404</v>
      </c>
      <c r="AK514">
        <v>0.350766693900953</v>
      </c>
      <c r="AL514">
        <v>88.138237373304406</v>
      </c>
      <c r="AM514">
        <v>88.994435868569994</v>
      </c>
      <c r="AN514">
        <v>1.0000000030302201</v>
      </c>
    </row>
    <row r="515" spans="1:40" x14ac:dyDescent="0.25">
      <c r="A515" t="str">
        <f>"20190312150645518"</f>
        <v>20190312150645518</v>
      </c>
      <c r="B515" t="str">
        <f>"1552374405511315"</f>
        <v>1552374405511315</v>
      </c>
      <c r="C515" t="s">
        <v>40</v>
      </c>
      <c r="D515">
        <v>4.4272809999999998</v>
      </c>
      <c r="E515">
        <v>0.54101589999999999</v>
      </c>
      <c r="F515" t="s">
        <v>41</v>
      </c>
      <c r="G515">
        <v>-408.06099999999998</v>
      </c>
      <c r="H515">
        <v>0.84234889999999996</v>
      </c>
      <c r="I515">
        <v>367.29250000000002</v>
      </c>
      <c r="J515">
        <v>-408.81139999999999</v>
      </c>
      <c r="K515">
        <v>1.0600240000000001</v>
      </c>
      <c r="L515">
        <v>367.40570000000002</v>
      </c>
      <c r="M515">
        <v>0.99987570000000003</v>
      </c>
      <c r="N515">
        <v>0</v>
      </c>
      <c r="O515">
        <v>8.4476380000000004E-3</v>
      </c>
      <c r="P515">
        <v>0.9997703</v>
      </c>
      <c r="Q515">
        <v>1.9422060000000001E-2</v>
      </c>
      <c r="R515">
        <v>-9.0931919999999999E-3</v>
      </c>
      <c r="S515">
        <v>3.0107729999999999</v>
      </c>
      <c r="T515">
        <v>-0.68670529999999996</v>
      </c>
      <c r="U515">
        <v>-0.35223389999999999</v>
      </c>
      <c r="V515">
        <v>1.7547610000000002E-2</v>
      </c>
      <c r="W515">
        <v>3.2729809999999998E-2</v>
      </c>
      <c r="X515">
        <v>0.99931020000000004</v>
      </c>
      <c r="Y515">
        <v>0.1212973</v>
      </c>
      <c r="Z515">
        <v>-1.550934E-2</v>
      </c>
      <c r="AA515">
        <v>0.99249509999999996</v>
      </c>
      <c r="AB515">
        <v>35</v>
      </c>
      <c r="AC515">
        <v>0.75040000000001295</v>
      </c>
      <c r="AD515">
        <v>-0.21767510000000001</v>
      </c>
      <c r="AE515">
        <v>-0.113200000000006</v>
      </c>
      <c r="AF515">
        <v>0.11044864160123601</v>
      </c>
      <c r="AG515">
        <v>-0.21767510000000001</v>
      </c>
      <c r="AH515">
        <v>0.69244688643101604</v>
      </c>
      <c r="AI515">
        <v>107.24602611981901</v>
      </c>
      <c r="AJ515">
        <v>80.937386684347203</v>
      </c>
      <c r="AK515">
        <v>0.734209807970158</v>
      </c>
      <c r="AL515">
        <v>88.124385081345295</v>
      </c>
      <c r="AM515">
        <v>88.994005388978493</v>
      </c>
      <c r="AN515">
        <v>1.0000000174516901</v>
      </c>
    </row>
    <row r="516" spans="1:40" x14ac:dyDescent="0.25">
      <c r="A516" t="str">
        <f>"20190312150645529"</f>
        <v>20190312150645529</v>
      </c>
      <c r="B516" t="str">
        <f>"1552374405521074"</f>
        <v>1552374405521074</v>
      </c>
      <c r="C516" t="s">
        <v>40</v>
      </c>
      <c r="D516">
        <v>4.4604489999999997</v>
      </c>
      <c r="E516">
        <v>0.54118559999999905</v>
      </c>
      <c r="F516" t="s">
        <v>41</v>
      </c>
      <c r="G516">
        <v>-408.0437</v>
      </c>
      <c r="H516">
        <v>0.88330779999999998</v>
      </c>
      <c r="I516">
        <v>367.31540000000001</v>
      </c>
      <c r="J516">
        <v>-408.63589999999999</v>
      </c>
      <c r="K516">
        <v>1.0600320000000001</v>
      </c>
      <c r="L516">
        <v>367.40719999999999</v>
      </c>
      <c r="M516">
        <v>0.99987490000000001</v>
      </c>
      <c r="N516">
        <v>0</v>
      </c>
      <c r="O516">
        <v>8.4018400000000007E-3</v>
      </c>
      <c r="P516">
        <v>0.99976900000000002</v>
      </c>
      <c r="Q516">
        <v>1.9448750000000001E-2</v>
      </c>
      <c r="R516">
        <v>-9.1577629999999993E-3</v>
      </c>
      <c r="S516">
        <v>3.0109249999999999</v>
      </c>
      <c r="T516">
        <v>-0.6930364</v>
      </c>
      <c r="U516">
        <v>-0.35452270000000002</v>
      </c>
      <c r="V516">
        <v>1.7566559999999998E-2</v>
      </c>
      <c r="W516">
        <v>3.2847040000000001E-2</v>
      </c>
      <c r="X516">
        <v>0.99930600000000003</v>
      </c>
      <c r="Y516">
        <v>0.121916</v>
      </c>
      <c r="Z516">
        <v>-1.5706990000000001E-2</v>
      </c>
      <c r="AA516">
        <v>0.99241610000000002</v>
      </c>
      <c r="AB516">
        <v>35</v>
      </c>
      <c r="AC516">
        <v>0.59219999999999096</v>
      </c>
      <c r="AD516">
        <v>-0.176724199999999</v>
      </c>
      <c r="AE516">
        <v>-9.1799999999977899E-2</v>
      </c>
      <c r="AF516">
        <v>8.9030289029776902E-2</v>
      </c>
      <c r="AG516">
        <v>-0.176724199999999</v>
      </c>
      <c r="AH516">
        <v>0.54409105500796695</v>
      </c>
      <c r="AI516">
        <v>107.772906526071</v>
      </c>
      <c r="AJ516">
        <v>80.706977818022295</v>
      </c>
      <c r="AK516">
        <v>0.578958471196379</v>
      </c>
      <c r="AL516">
        <v>88.117664644979399</v>
      </c>
      <c r="AM516">
        <v>88.992914987956297</v>
      </c>
      <c r="AN516">
        <v>0.99999999685149699</v>
      </c>
    </row>
    <row r="517" spans="1:40" x14ac:dyDescent="0.25">
      <c r="A517" t="str">
        <f>"20190312150645541"</f>
        <v>20190312150645541</v>
      </c>
      <c r="B517" t="str">
        <f>"1552374405530835"</f>
        <v>1552374405530835</v>
      </c>
      <c r="C517" t="s">
        <v>40</v>
      </c>
      <c r="D517">
        <v>4.4212629999999997</v>
      </c>
      <c r="E517">
        <v>0.54114180000000001</v>
      </c>
      <c r="F517" t="s">
        <v>41</v>
      </c>
      <c r="G517">
        <v>-407.74610000000001</v>
      </c>
      <c r="H517">
        <v>0.85333440000000005</v>
      </c>
      <c r="I517">
        <v>367.30149999999998</v>
      </c>
      <c r="J517">
        <v>-408.44450000000001</v>
      </c>
      <c r="K517">
        <v>1.060041</v>
      </c>
      <c r="L517">
        <v>367.40870000000001</v>
      </c>
      <c r="M517">
        <v>0.99987400000000004</v>
      </c>
      <c r="N517">
        <v>0</v>
      </c>
      <c r="O517">
        <v>8.3516719999999992E-3</v>
      </c>
      <c r="P517">
        <v>0.99976399999999999</v>
      </c>
      <c r="Q517">
        <v>1.9656750000000001E-2</v>
      </c>
      <c r="R517">
        <v>-9.2533470000000003E-3</v>
      </c>
      <c r="S517">
        <v>3.0110169999999998</v>
      </c>
      <c r="T517">
        <v>-0.69952930000000002</v>
      </c>
      <c r="U517">
        <v>-0.35604859999999999</v>
      </c>
      <c r="V517">
        <v>1.7611910000000001E-2</v>
      </c>
      <c r="W517">
        <v>3.3147759999999998E-2</v>
      </c>
      <c r="X517">
        <v>0.9992953</v>
      </c>
      <c r="Y517">
        <v>0.1222882</v>
      </c>
      <c r="Z517">
        <v>-1.5880519999999999E-2</v>
      </c>
      <c r="AA517">
        <v>0.99236760000000002</v>
      </c>
      <c r="AB517">
        <v>35</v>
      </c>
      <c r="AC517">
        <v>0.69839999999999203</v>
      </c>
      <c r="AD517">
        <v>-0.20670659999999999</v>
      </c>
      <c r="AE517">
        <v>-0.107200000000034</v>
      </c>
      <c r="AF517">
        <v>0.10411881419195999</v>
      </c>
      <c r="AG517">
        <v>-0.20670659999999999</v>
      </c>
      <c r="AH517">
        <v>0.64249380159276703</v>
      </c>
      <c r="AI517">
        <v>107.618929884284</v>
      </c>
      <c r="AJ517">
        <v>80.795001261175798</v>
      </c>
      <c r="AK517">
        <v>0.68291041216064796</v>
      </c>
      <c r="AL517">
        <v>88.100425323588297</v>
      </c>
      <c r="AM517">
        <v>88.990304816147102</v>
      </c>
      <c r="AN517">
        <v>1.00000002498447</v>
      </c>
    </row>
    <row r="518" spans="1:40" x14ac:dyDescent="0.25">
      <c r="A518" t="str">
        <f>"20190312150645554"</f>
        <v>20190312150645554</v>
      </c>
      <c r="B518" t="str">
        <f>"1552374405551330"</f>
        <v>1552374405551330</v>
      </c>
      <c r="C518" t="s">
        <v>40</v>
      </c>
      <c r="D518">
        <v>4.4439630000000001</v>
      </c>
      <c r="E518">
        <v>0.54119549999999905</v>
      </c>
      <c r="F518" t="s">
        <v>41</v>
      </c>
      <c r="G518">
        <v>-407.72890000000001</v>
      </c>
      <c r="H518">
        <v>0.89257299999999995</v>
      </c>
      <c r="I518">
        <v>367.3236</v>
      </c>
      <c r="J518">
        <v>-408.25959999999998</v>
      </c>
      <c r="K518">
        <v>1.060047</v>
      </c>
      <c r="L518">
        <v>367.41019999999997</v>
      </c>
      <c r="M518">
        <v>0.99987329999999996</v>
      </c>
      <c r="N518">
        <v>0</v>
      </c>
      <c r="O518">
        <v>8.3029519999999902E-3</v>
      </c>
      <c r="P518">
        <v>0.9997646</v>
      </c>
      <c r="Q518">
        <v>1.9690889999999999E-2</v>
      </c>
      <c r="R518">
        <v>-9.1196390000000006E-3</v>
      </c>
      <c r="S518">
        <v>3.0112920000000001</v>
      </c>
      <c r="T518">
        <v>-0.70478649999999998</v>
      </c>
      <c r="U518">
        <v>-0.3562012</v>
      </c>
      <c r="V518">
        <v>1.7429360000000001E-2</v>
      </c>
      <c r="W518">
        <v>3.3263090000000002E-2</v>
      </c>
      <c r="X518">
        <v>0.99929460000000003</v>
      </c>
      <c r="Y518">
        <v>0.1222313</v>
      </c>
      <c r="Z518">
        <v>-1.597755E-2</v>
      </c>
      <c r="AA518">
        <v>0.99237299999999995</v>
      </c>
      <c r="AB518">
        <v>35</v>
      </c>
      <c r="AC518">
        <v>0.53069999999996698</v>
      </c>
      <c r="AD518">
        <v>-0.16747400000000001</v>
      </c>
      <c r="AE518">
        <v>-8.6599999999975794E-2</v>
      </c>
      <c r="AF518">
        <v>8.2956771937307702E-2</v>
      </c>
      <c r="AG518">
        <v>-0.16747400000000001</v>
      </c>
      <c r="AH518">
        <v>0.483100572940036</v>
      </c>
      <c r="AI518">
        <v>108.863459415508</v>
      </c>
      <c r="AJ518">
        <v>80.256346282878994</v>
      </c>
      <c r="AK518">
        <v>0.51799182451198</v>
      </c>
      <c r="AL518">
        <v>88.093813625262598</v>
      </c>
      <c r="AM518">
        <v>89.000767620210794</v>
      </c>
      <c r="AN518">
        <v>0.99999995666775798</v>
      </c>
    </row>
    <row r="519" spans="1:40" x14ac:dyDescent="0.25">
      <c r="A519" t="str">
        <f>"20190312150645572"</f>
        <v>20190312150645572</v>
      </c>
      <c r="B519" t="str">
        <f>"1552374405561094"</f>
        <v>1552374405561094</v>
      </c>
      <c r="C519" t="s">
        <v>40</v>
      </c>
      <c r="D519">
        <v>4.4175509999999996</v>
      </c>
      <c r="E519">
        <v>0.54142699999999999</v>
      </c>
      <c r="F519" t="s">
        <v>41</v>
      </c>
      <c r="G519">
        <v>-407.43169999999998</v>
      </c>
      <c r="H519">
        <v>0.86409809999999998</v>
      </c>
      <c r="I519">
        <v>367.31209999999999</v>
      </c>
      <c r="J519">
        <v>-407.97430000000003</v>
      </c>
      <c r="K519">
        <v>1.0600609999999999</v>
      </c>
      <c r="L519">
        <v>367.41250000000002</v>
      </c>
      <c r="M519">
        <v>0.99987230000000005</v>
      </c>
      <c r="N519">
        <v>0</v>
      </c>
      <c r="O519">
        <v>8.2277600000000006E-3</v>
      </c>
      <c r="P519">
        <v>0.99976589999999999</v>
      </c>
      <c r="Q519">
        <v>1.9745269999999999E-2</v>
      </c>
      <c r="R519">
        <v>-8.8494179999999995E-3</v>
      </c>
      <c r="S519">
        <v>3.0115050000000001</v>
      </c>
      <c r="T519">
        <v>-0.71275429999999995</v>
      </c>
      <c r="U519">
        <v>-0.35678100000000001</v>
      </c>
      <c r="V519">
        <v>1.7084329999999998E-2</v>
      </c>
      <c r="W519">
        <v>3.3434180000000001E-2</v>
      </c>
      <c r="X519">
        <v>0.99929489999999999</v>
      </c>
      <c r="Y519">
        <v>0.1222607</v>
      </c>
      <c r="Z519">
        <v>-1.6138030000000001E-2</v>
      </c>
      <c r="AA519">
        <v>0.99236679999999999</v>
      </c>
      <c r="AB519">
        <v>35</v>
      </c>
      <c r="AC519">
        <v>0.54260000000004904</v>
      </c>
      <c r="AD519">
        <v>-0.1959629</v>
      </c>
      <c r="AE519">
        <v>-0.100400000000036</v>
      </c>
      <c r="AF519">
        <v>9.3117823382623005E-2</v>
      </c>
      <c r="AG519">
        <v>-0.1959629</v>
      </c>
      <c r="AH519">
        <v>0.48108351026117702</v>
      </c>
      <c r="AI519">
        <v>111.797164775803</v>
      </c>
      <c r="AJ519">
        <v>79.045376469733498</v>
      </c>
      <c r="AK519">
        <v>0.52774400143738598</v>
      </c>
      <c r="AL519">
        <v>88.084005532675803</v>
      </c>
      <c r="AM519">
        <v>89.0205447337067</v>
      </c>
      <c r="AN519">
        <v>1.0000000079449101</v>
      </c>
    </row>
    <row r="520" spans="1:40" x14ac:dyDescent="0.25">
      <c r="A520" t="str">
        <f>"20190312150645587"</f>
        <v>20190312150645587</v>
      </c>
      <c r="B520" t="str">
        <f>"1552374405581587"</f>
        <v>1552374405581587</v>
      </c>
      <c r="C520" t="s">
        <v>40</v>
      </c>
      <c r="D520">
        <v>4.8609019999999896</v>
      </c>
      <c r="E520">
        <v>0.54267609999999999</v>
      </c>
      <c r="F520" t="s">
        <v>41</v>
      </c>
      <c r="G520">
        <v>-407.12430000000001</v>
      </c>
      <c r="H520">
        <v>0.85834279999999996</v>
      </c>
      <c r="I520">
        <v>367.31119999999999</v>
      </c>
      <c r="J520">
        <v>-407.75709999999998</v>
      </c>
      <c r="K520">
        <v>1.0600670000000001</v>
      </c>
      <c r="L520">
        <v>367.41419999999999</v>
      </c>
      <c r="M520">
        <v>0.99987170000000003</v>
      </c>
      <c r="N520">
        <v>0</v>
      </c>
      <c r="O520">
        <v>8.1706290000000004E-3</v>
      </c>
      <c r="P520">
        <v>0.99976609999999999</v>
      </c>
      <c r="Q520">
        <v>1.9644519999999999E-2</v>
      </c>
      <c r="R520">
        <v>-9.0680220000000002E-3</v>
      </c>
      <c r="S520">
        <v>3.0116879999999999</v>
      </c>
      <c r="T520">
        <v>-0.71481790000000001</v>
      </c>
      <c r="U520">
        <v>-0.35787960000000002</v>
      </c>
      <c r="V520">
        <v>1.724564E-2</v>
      </c>
      <c r="W520">
        <v>3.3413690000000003E-2</v>
      </c>
      <c r="X520">
        <v>0.99929279999999998</v>
      </c>
      <c r="Y520">
        <v>0.122528399999999</v>
      </c>
      <c r="Z520">
        <v>-1.620013E-2</v>
      </c>
      <c r="AA520">
        <v>0.99233280000000001</v>
      </c>
      <c r="AB520">
        <v>35</v>
      </c>
      <c r="AC520">
        <v>0.63279999999997405</v>
      </c>
      <c r="AD520">
        <v>-0.20172419999999999</v>
      </c>
      <c r="AE520">
        <v>-0.103000000000008</v>
      </c>
      <c r="AF520">
        <v>9.8423670883488107E-2</v>
      </c>
      <c r="AG520">
        <v>-0.20172419999999999</v>
      </c>
      <c r="AH520">
        <v>0.57501211857043499</v>
      </c>
      <c r="AI520">
        <v>109.07478846801401</v>
      </c>
      <c r="AJ520">
        <v>80.286925829688499</v>
      </c>
      <c r="AK520">
        <v>0.61726720985216899</v>
      </c>
      <c r="AL520">
        <v>88.085180151750293</v>
      </c>
      <c r="AM520">
        <v>89.011296480910204</v>
      </c>
      <c r="AN520">
        <v>0.99999999345513202</v>
      </c>
    </row>
    <row r="521" spans="1:40" x14ac:dyDescent="0.25">
      <c r="A521" t="str">
        <f>"20190312150645599"</f>
        <v>20190312150645599</v>
      </c>
      <c r="B521" t="str">
        <f>"1552374405591346"</f>
        <v>1552374405591346</v>
      </c>
      <c r="C521" t="s">
        <v>40</v>
      </c>
      <c r="D521">
        <v>4.6754110000000004</v>
      </c>
      <c r="E521">
        <v>0.54267609999999999</v>
      </c>
      <c r="F521" t="s">
        <v>41</v>
      </c>
      <c r="G521">
        <v>-406.82220000000001</v>
      </c>
      <c r="H521">
        <v>0.83951509999999996</v>
      </c>
      <c r="I521">
        <v>367.2998</v>
      </c>
      <c r="J521">
        <v>-407.56079999999997</v>
      </c>
      <c r="K521">
        <v>1.060073</v>
      </c>
      <c r="L521">
        <v>367.41579999999999</v>
      </c>
      <c r="M521">
        <v>0.99987130000000002</v>
      </c>
      <c r="N521">
        <v>0</v>
      </c>
      <c r="O521">
        <v>8.1189690000000002E-3</v>
      </c>
      <c r="P521">
        <v>0.99977470000000002</v>
      </c>
      <c r="Q521">
        <v>1.9218720000000002E-2</v>
      </c>
      <c r="R521">
        <v>-9.0225659999999992E-3</v>
      </c>
      <c r="S521">
        <v>3.0113530000000002</v>
      </c>
      <c r="T521">
        <v>-0.71040059999999905</v>
      </c>
      <c r="U521">
        <v>-0.36807250000000002</v>
      </c>
      <c r="V521">
        <v>1.7148440000000001E-2</v>
      </c>
      <c r="W521">
        <v>3.3053880000000001E-2</v>
      </c>
      <c r="X521">
        <v>0.99930640000000004</v>
      </c>
      <c r="Y521">
        <v>0.1257587</v>
      </c>
      <c r="Z521">
        <v>-1.646384E-2</v>
      </c>
      <c r="AA521">
        <v>0.99192420000000003</v>
      </c>
      <c r="AB521">
        <v>35</v>
      </c>
      <c r="AC521">
        <v>0.73859999999996195</v>
      </c>
      <c r="AD521">
        <v>-0.2205579</v>
      </c>
      <c r="AE521">
        <v>-0.115999999999985</v>
      </c>
      <c r="AF521">
        <v>0.112226870405204</v>
      </c>
      <c r="AG521">
        <v>-0.2205579</v>
      </c>
      <c r="AH521">
        <v>0.67858027146763999</v>
      </c>
      <c r="AI521">
        <v>107.77961737226001</v>
      </c>
      <c r="AJ521">
        <v>80.609152496246907</v>
      </c>
      <c r="AK521">
        <v>0.72229622906287705</v>
      </c>
      <c r="AL521">
        <v>88.105807066905101</v>
      </c>
      <c r="AM521">
        <v>89.016881299194097</v>
      </c>
      <c r="AN521">
        <v>0.99999995452922297</v>
      </c>
    </row>
    <row r="522" spans="1:40" x14ac:dyDescent="0.25">
      <c r="A522" t="str">
        <f>"20190312150645617"</f>
        <v>20190312150645617</v>
      </c>
      <c r="B522" t="str">
        <f>"1552374405610866"</f>
        <v>1552374405610866</v>
      </c>
      <c r="C522" t="s">
        <v>40</v>
      </c>
      <c r="D522">
        <v>4.498297</v>
      </c>
      <c r="E522">
        <v>0.56213500000000005</v>
      </c>
      <c r="F522" t="s">
        <v>41</v>
      </c>
      <c r="G522">
        <v>-406.80459999999999</v>
      </c>
      <c r="H522">
        <v>0.88130090000000005</v>
      </c>
      <c r="I522">
        <v>367.32330000000002</v>
      </c>
      <c r="J522">
        <v>-407.28019999999998</v>
      </c>
      <c r="K522">
        <v>1.060079</v>
      </c>
      <c r="L522">
        <v>367.41800000000001</v>
      </c>
      <c r="M522">
        <v>0.9998707</v>
      </c>
      <c r="N522">
        <v>0</v>
      </c>
      <c r="O522">
        <v>8.0458209999999999E-3</v>
      </c>
      <c r="P522">
        <v>0.99977919999999998</v>
      </c>
      <c r="Q522">
        <v>1.905072E-2</v>
      </c>
      <c r="R522">
        <v>-8.9071029999999995E-3</v>
      </c>
      <c r="S522">
        <v>3.011047</v>
      </c>
      <c r="T522">
        <v>-0.71189590000000003</v>
      </c>
      <c r="U522">
        <v>-0.36773679999999997</v>
      </c>
      <c r="V522">
        <v>1.695982E-2</v>
      </c>
      <c r="W522">
        <v>3.297191E-2</v>
      </c>
      <c r="X522">
        <v>0.99931239999999999</v>
      </c>
      <c r="Y522">
        <v>0.12558030000000001</v>
      </c>
      <c r="Z522">
        <v>-1.6461569999999998E-2</v>
      </c>
      <c r="AA522">
        <v>0.99194689999999996</v>
      </c>
      <c r="AB522">
        <v>35</v>
      </c>
      <c r="AC522">
        <v>0.47559999999998498</v>
      </c>
      <c r="AD522">
        <v>-0.178778099999999</v>
      </c>
      <c r="AE522">
        <v>-9.4699999999988904E-2</v>
      </c>
      <c r="AF522">
        <v>8.6735477904213501E-2</v>
      </c>
      <c r="AG522">
        <v>-0.178778099999999</v>
      </c>
      <c r="AH522">
        <v>0.41800989661476001</v>
      </c>
      <c r="AI522">
        <v>112.722409748464</v>
      </c>
      <c r="AJ522">
        <v>78.2776860853089</v>
      </c>
      <c r="AK522">
        <v>0.46283574390356302</v>
      </c>
      <c r="AL522">
        <v>88.1105063015806</v>
      </c>
      <c r="AM522">
        <v>89.027698618044397</v>
      </c>
      <c r="AN522">
        <v>1.0000000275686201</v>
      </c>
    </row>
    <row r="523" spans="1:40" x14ac:dyDescent="0.25">
      <c r="A523" t="str">
        <f>"20190312150645629"</f>
        <v>20190312150645629</v>
      </c>
      <c r="B523" t="str">
        <f>"1552374405621602"</f>
        <v>1552374405621602</v>
      </c>
      <c r="C523" t="s">
        <v>40</v>
      </c>
      <c r="D523">
        <v>4.4888279999999998</v>
      </c>
      <c r="E523">
        <v>0.56095980000000001</v>
      </c>
      <c r="F523" t="s">
        <v>41</v>
      </c>
      <c r="G523">
        <v>-406.5086</v>
      </c>
      <c r="H523">
        <v>0.84717580000000003</v>
      </c>
      <c r="I523">
        <v>367.28370000000001</v>
      </c>
      <c r="J523">
        <v>-407.09179999999998</v>
      </c>
      <c r="K523">
        <v>1.0600830000000001</v>
      </c>
      <c r="L523">
        <v>367.41950000000003</v>
      </c>
      <c r="M523">
        <v>0.99987029999999999</v>
      </c>
      <c r="N523">
        <v>0</v>
      </c>
      <c r="O523">
        <v>7.9967500000000004E-3</v>
      </c>
      <c r="P523">
        <v>0.99978560000000005</v>
      </c>
      <c r="Q523">
        <v>1.884363E-2</v>
      </c>
      <c r="R523">
        <v>-8.5911269999999901E-3</v>
      </c>
      <c r="S523">
        <v>3.0118100000000001</v>
      </c>
      <c r="T523">
        <v>-0.83101919999999996</v>
      </c>
      <c r="U523">
        <v>-0.5229492</v>
      </c>
      <c r="V523">
        <v>1.6594879999999999E-2</v>
      </c>
      <c r="W523">
        <v>3.2817499999999999E-2</v>
      </c>
      <c r="X523">
        <v>0.99932359999999998</v>
      </c>
      <c r="Y523">
        <v>0.17239789999999999</v>
      </c>
      <c r="Z523">
        <v>-2.5334909999999999E-2</v>
      </c>
      <c r="AA523">
        <v>0.98470150000000001</v>
      </c>
      <c r="AB523">
        <v>35</v>
      </c>
      <c r="AC523">
        <v>0.58319999999997596</v>
      </c>
      <c r="AD523">
        <v>-0.21290719999999899</v>
      </c>
      <c r="AE523">
        <v>-0.13580000000001699</v>
      </c>
      <c r="AF523">
        <v>0.12469582969858201</v>
      </c>
      <c r="AG523">
        <v>-0.21290719999999899</v>
      </c>
      <c r="AH523">
        <v>0.51676597440778005</v>
      </c>
      <c r="AI523">
        <v>111.826317010975</v>
      </c>
      <c r="AJ523">
        <v>76.433838694708598</v>
      </c>
      <c r="AK523">
        <v>0.57264788313734305</v>
      </c>
      <c r="AL523">
        <v>88.119358114941505</v>
      </c>
      <c r="AM523">
        <v>89.048627291516993</v>
      </c>
      <c r="AN523">
        <v>1.00000001793271</v>
      </c>
    </row>
    <row r="524" spans="1:40" x14ac:dyDescent="0.25">
      <c r="A524" t="str">
        <f>"20190312150645641"</f>
        <v>20190312150645641</v>
      </c>
      <c r="B524" t="str">
        <f>"1552374405631363"</f>
        <v>1552374405631363</v>
      </c>
      <c r="C524" t="s">
        <v>40</v>
      </c>
      <c r="D524">
        <v>4.5056909999999997</v>
      </c>
      <c r="E524">
        <v>0.56041619999999903</v>
      </c>
      <c r="F524" t="s">
        <v>41</v>
      </c>
      <c r="G524">
        <v>-406.21069999999997</v>
      </c>
      <c r="H524">
        <v>0.81979789999999997</v>
      </c>
      <c r="I524">
        <v>367.26940000000002</v>
      </c>
      <c r="J524">
        <v>-406.90699999999998</v>
      </c>
      <c r="K524">
        <v>1.060087</v>
      </c>
      <c r="L524">
        <v>367.42090000000002</v>
      </c>
      <c r="M524">
        <v>0.99987009999999998</v>
      </c>
      <c r="N524">
        <v>0</v>
      </c>
      <c r="O524">
        <v>7.9480739999999994E-3</v>
      </c>
      <c r="P524">
        <v>0.9997857</v>
      </c>
      <c r="Q524">
        <v>1.884243E-2</v>
      </c>
      <c r="R524">
        <v>-8.6051819999999994E-3</v>
      </c>
      <c r="S524">
        <v>3.0116879999999999</v>
      </c>
      <c r="T524">
        <v>-0.82141839999999999</v>
      </c>
      <c r="U524">
        <v>-0.51266480000000003</v>
      </c>
      <c r="V524">
        <v>1.6560160000000001E-2</v>
      </c>
      <c r="W524">
        <v>3.2863719999999999E-2</v>
      </c>
      <c r="X524">
        <v>0.99932270000000001</v>
      </c>
      <c r="Y524">
        <v>0.16934299999999999</v>
      </c>
      <c r="Z524">
        <v>-2.4640849999999999E-2</v>
      </c>
      <c r="AA524">
        <v>0.98524909999999999</v>
      </c>
      <c r="AB524">
        <v>35</v>
      </c>
      <c r="AC524">
        <v>0.69630000000000702</v>
      </c>
      <c r="AD524">
        <v>-0.24028910000000001</v>
      </c>
      <c r="AE524">
        <v>-0.151499999999998</v>
      </c>
      <c r="AF524">
        <v>0.140997580022859</v>
      </c>
      <c r="AG524">
        <v>-0.24028910000000001</v>
      </c>
      <c r="AH524">
        <v>0.62410823184084596</v>
      </c>
      <c r="AI524">
        <v>110.583535142239</v>
      </c>
      <c r="AJ524">
        <v>77.269537380879697</v>
      </c>
      <c r="AK524">
        <v>0.68346927817029202</v>
      </c>
      <c r="AL524">
        <v>88.116708555728394</v>
      </c>
      <c r="AM524">
        <v>89.050616544943693</v>
      </c>
      <c r="AN524">
        <v>1.0000000608633699</v>
      </c>
    </row>
    <row r="525" spans="1:40" x14ac:dyDescent="0.25">
      <c r="A525" t="str">
        <f>"20190312150645653"</f>
        <v>20190312150645653</v>
      </c>
      <c r="B525" t="str">
        <f>"1552374405650882"</f>
        <v>1552374405650882</v>
      </c>
      <c r="C525" t="s">
        <v>40</v>
      </c>
      <c r="D525">
        <v>4.7114839999999996</v>
      </c>
      <c r="E525">
        <v>0.56151490000000004</v>
      </c>
      <c r="F525" t="s">
        <v>41</v>
      </c>
      <c r="G525">
        <v>-406.1927</v>
      </c>
      <c r="H525">
        <v>0.86568559999999894</v>
      </c>
      <c r="I525">
        <v>367.30009999999999</v>
      </c>
      <c r="J525">
        <v>-406.72300000000001</v>
      </c>
      <c r="K525">
        <v>1.0600909999999999</v>
      </c>
      <c r="L525">
        <v>367.42239999999998</v>
      </c>
      <c r="M525">
        <v>0.99986969999999997</v>
      </c>
      <c r="N525">
        <v>0</v>
      </c>
      <c r="O525">
        <v>7.9002029999999997E-3</v>
      </c>
      <c r="P525">
        <v>0.99977990000000005</v>
      </c>
      <c r="Q525">
        <v>1.9054729999999999E-2</v>
      </c>
      <c r="R525">
        <v>-8.7836279999999999E-3</v>
      </c>
      <c r="S525">
        <v>3.011749</v>
      </c>
      <c r="T525">
        <v>-0.81985469999999905</v>
      </c>
      <c r="U525">
        <v>-0.50903319999999996</v>
      </c>
      <c r="V525">
        <v>1.669085E-2</v>
      </c>
      <c r="W525">
        <v>3.3118699999999897E-2</v>
      </c>
      <c r="X525">
        <v>0.99931199999999998</v>
      </c>
      <c r="Y525">
        <v>0.16820209999999999</v>
      </c>
      <c r="Z525">
        <v>-2.4433199999999999E-2</v>
      </c>
      <c r="AA525">
        <v>0.98544969999999998</v>
      </c>
      <c r="AB525">
        <v>35</v>
      </c>
      <c r="AC525">
        <v>0.53030000000001098</v>
      </c>
      <c r="AD525">
        <v>-0.19440539999999901</v>
      </c>
      <c r="AE525">
        <v>-0.122299999999995</v>
      </c>
      <c r="AF525">
        <v>0.112172325746278</v>
      </c>
      <c r="AG525">
        <v>-0.19440539999999901</v>
      </c>
      <c r="AH525">
        <v>0.46941717776269398</v>
      </c>
      <c r="AI525">
        <v>111.939638992366</v>
      </c>
      <c r="AJ525">
        <v>76.5605764625912</v>
      </c>
      <c r="AK525">
        <v>0.52031584349429705</v>
      </c>
      <c r="AL525">
        <v>88.102091117020507</v>
      </c>
      <c r="AM525">
        <v>89.043115314151393</v>
      </c>
      <c r="AN525">
        <v>0.99999995305370504</v>
      </c>
    </row>
    <row r="526" spans="1:40" x14ac:dyDescent="0.25">
      <c r="A526" t="str">
        <f>"20190312150645666"</f>
        <v>20190312150645666</v>
      </c>
      <c r="B526" t="str">
        <f>"1552374405661620"</f>
        <v>1552374405661620</v>
      </c>
      <c r="C526" t="s">
        <v>40</v>
      </c>
      <c r="D526">
        <v>4.7225109999999999</v>
      </c>
      <c r="E526">
        <v>0.56187969999999998</v>
      </c>
      <c r="F526" t="s">
        <v>41</v>
      </c>
      <c r="G526">
        <v>-405.8965</v>
      </c>
      <c r="H526">
        <v>0.834609499999999</v>
      </c>
      <c r="I526">
        <v>367.2799</v>
      </c>
      <c r="J526">
        <v>-406.5258</v>
      </c>
      <c r="K526">
        <v>1.0600959999999999</v>
      </c>
      <c r="L526">
        <v>367.4239</v>
      </c>
      <c r="M526">
        <v>0.99986960000000003</v>
      </c>
      <c r="N526">
        <v>0</v>
      </c>
      <c r="O526">
        <v>7.8485109999999903E-3</v>
      </c>
      <c r="P526">
        <v>0.99977819999999995</v>
      </c>
      <c r="Q526">
        <v>1.9130580000000001E-2</v>
      </c>
      <c r="R526">
        <v>-8.8347119999999998E-3</v>
      </c>
      <c r="S526">
        <v>3.0117799999999999</v>
      </c>
      <c r="T526">
        <v>-0.82160330000000004</v>
      </c>
      <c r="U526">
        <v>-0.51824950000000003</v>
      </c>
      <c r="V526">
        <v>1.669033E-2</v>
      </c>
      <c r="W526">
        <v>3.3238789999999997E-2</v>
      </c>
      <c r="X526">
        <v>0.99930799999999997</v>
      </c>
      <c r="Y526">
        <v>0.1709608</v>
      </c>
      <c r="Z526">
        <v>-2.483057E-2</v>
      </c>
      <c r="AA526">
        <v>0.98496490000000003</v>
      </c>
      <c r="AB526">
        <v>35</v>
      </c>
      <c r="AC526">
        <v>0.62929999999999997</v>
      </c>
      <c r="AD526">
        <v>-0.22548650000000001</v>
      </c>
      <c r="AE526">
        <v>-0.14400000000000501</v>
      </c>
      <c r="AF526">
        <v>0.13274071975860799</v>
      </c>
      <c r="AG526">
        <v>-0.22548650000000001</v>
      </c>
      <c r="AH526">
        <v>0.55984862968464499</v>
      </c>
      <c r="AI526">
        <v>111.400127732908</v>
      </c>
      <c r="AJ526">
        <v>76.6614190333284</v>
      </c>
      <c r="AK526">
        <v>0.61797633330416302</v>
      </c>
      <c r="AL526">
        <v>88.095206635254499</v>
      </c>
      <c r="AM526">
        <v>89.043141290796498</v>
      </c>
      <c r="AN526">
        <v>0.99999993157008404</v>
      </c>
    </row>
    <row r="527" spans="1:40" x14ac:dyDescent="0.25">
      <c r="A527" t="str">
        <f>"20190312150645685"</f>
        <v>20190312150645685</v>
      </c>
      <c r="B527" t="str">
        <f>"1552374405681139"</f>
        <v>1552374405681139</v>
      </c>
      <c r="C527" t="s">
        <v>40</v>
      </c>
      <c r="D527">
        <v>4.6572459999999998</v>
      </c>
      <c r="E527">
        <v>0.56196049999999997</v>
      </c>
      <c r="F527" t="s">
        <v>41</v>
      </c>
      <c r="G527">
        <v>-405.59930000000003</v>
      </c>
      <c r="H527">
        <v>0.80689509999999998</v>
      </c>
      <c r="I527">
        <v>367.26319999999998</v>
      </c>
      <c r="J527">
        <v>-406.23899999999998</v>
      </c>
      <c r="K527">
        <v>1.0601039999999999</v>
      </c>
      <c r="L527">
        <v>367.42599999999999</v>
      </c>
      <c r="M527">
        <v>0.99986929999999996</v>
      </c>
      <c r="N527">
        <v>0</v>
      </c>
      <c r="O527">
        <v>7.7735410000000001E-3</v>
      </c>
      <c r="P527">
        <v>0.9997779</v>
      </c>
      <c r="Q527">
        <v>1.9075749999999999E-2</v>
      </c>
      <c r="R527">
        <v>-8.9551249999999995E-3</v>
      </c>
      <c r="S527">
        <v>3.0118100000000001</v>
      </c>
      <c r="T527">
        <v>-0.82312229999999997</v>
      </c>
      <c r="U527">
        <v>-0.5215149</v>
      </c>
      <c r="V527">
        <v>1.673589E-2</v>
      </c>
      <c r="W527">
        <v>3.3240209999999999E-2</v>
      </c>
      <c r="X527">
        <v>0.99930730000000001</v>
      </c>
      <c r="Y527">
        <v>0.17187089999999999</v>
      </c>
      <c r="Z527">
        <v>-2.4973769999999999E-2</v>
      </c>
      <c r="AA527">
        <v>0.98480279999999998</v>
      </c>
      <c r="AB527">
        <v>34</v>
      </c>
      <c r="AC527">
        <v>0.63970000000000404</v>
      </c>
      <c r="AD527">
        <v>-0.25320890000000001</v>
      </c>
      <c r="AE527">
        <v>-0.162800000000004</v>
      </c>
      <c r="AF527">
        <v>0.14624835248899601</v>
      </c>
      <c r="AG527">
        <v>-0.25320890000000001</v>
      </c>
      <c r="AH527">
        <v>0.55652429793993796</v>
      </c>
      <c r="AI527">
        <v>113.75151454394501</v>
      </c>
      <c r="AJ527">
        <v>75.276216862848301</v>
      </c>
      <c r="AK527">
        <v>0.62866733797971097</v>
      </c>
      <c r="AL527">
        <v>88.095125438222098</v>
      </c>
      <c r="AM527">
        <v>89.040529145936802</v>
      </c>
      <c r="AN527">
        <v>1.0000000407041101</v>
      </c>
    </row>
    <row r="528" spans="1:40" x14ac:dyDescent="0.25">
      <c r="A528" t="str">
        <f>"20190312150645707"</f>
        <v>20190312150645707</v>
      </c>
      <c r="B528" t="str">
        <f>"1552374405701635"</f>
        <v>1552374405701635</v>
      </c>
      <c r="C528" t="s">
        <v>40</v>
      </c>
      <c r="D528">
        <v>4.7598339999999997</v>
      </c>
      <c r="E528">
        <v>0.561899699999999</v>
      </c>
      <c r="F528" t="s">
        <v>41</v>
      </c>
      <c r="G528">
        <v>-405.29390000000001</v>
      </c>
      <c r="H528">
        <v>0.80122399999999905</v>
      </c>
      <c r="I528">
        <v>367.26150000000001</v>
      </c>
      <c r="J528">
        <v>-405.89260000000002</v>
      </c>
      <c r="K528">
        <v>1.060109</v>
      </c>
      <c r="L528">
        <v>367.42860000000002</v>
      </c>
      <c r="M528">
        <v>0.99986929999999996</v>
      </c>
      <c r="N528">
        <v>0</v>
      </c>
      <c r="O528">
        <v>7.6829949999999998E-3</v>
      </c>
      <c r="P528">
        <v>0.99978319999999998</v>
      </c>
      <c r="Q528">
        <v>1.8997469999999999E-2</v>
      </c>
      <c r="R528">
        <v>-8.5660519999999993E-3</v>
      </c>
      <c r="S528">
        <v>3.0117189999999998</v>
      </c>
      <c r="T528">
        <v>-0.82501840000000004</v>
      </c>
      <c r="U528">
        <v>-0.522644</v>
      </c>
      <c r="V528">
        <v>1.6256099999999999E-2</v>
      </c>
      <c r="W528">
        <v>3.3220680000000002E-2</v>
      </c>
      <c r="X528">
        <v>0.99931590000000003</v>
      </c>
      <c r="Y528">
        <v>0.17211109999999999</v>
      </c>
      <c r="Z528">
        <v>-2.5037150000000001E-2</v>
      </c>
      <c r="AA528">
        <v>0.9847593</v>
      </c>
      <c r="AB528">
        <v>34</v>
      </c>
      <c r="AC528">
        <v>0.598700000000007</v>
      </c>
      <c r="AD528">
        <v>-0.25888499999999998</v>
      </c>
      <c r="AE528">
        <v>-0.167100000000004</v>
      </c>
      <c r="AF528">
        <v>0.14631458182343299</v>
      </c>
      <c r="AG528">
        <v>-0.25888499999999998</v>
      </c>
      <c r="AH528">
        <v>0.509088315892677</v>
      </c>
      <c r="AI528">
        <v>116.046689047615</v>
      </c>
      <c r="AJ528">
        <v>73.965078707351594</v>
      </c>
      <c r="AK528">
        <v>0.589576384752314</v>
      </c>
      <c r="AL528">
        <v>88.096245101129597</v>
      </c>
      <c r="AM528">
        <v>89.068038667924299</v>
      </c>
      <c r="AN528">
        <v>1.00000007117983</v>
      </c>
    </row>
    <row r="529" spans="1:40" x14ac:dyDescent="0.25">
      <c r="A529" t="str">
        <f>"20190312150645719"</f>
        <v>20190312150645719</v>
      </c>
      <c r="B529" t="str">
        <f>"1552374405711395"</f>
        <v>1552374405711395</v>
      </c>
      <c r="C529" t="s">
        <v>40</v>
      </c>
      <c r="D529">
        <v>4.5075029999999998</v>
      </c>
      <c r="E529">
        <v>0.56137179999999998</v>
      </c>
      <c r="F529" t="s">
        <v>41</v>
      </c>
      <c r="G529">
        <v>-404.98340000000002</v>
      </c>
      <c r="H529">
        <v>0.80972900000000003</v>
      </c>
      <c r="I529">
        <v>367.27140000000003</v>
      </c>
      <c r="J529">
        <v>-405.70179999999999</v>
      </c>
      <c r="K529">
        <v>1.060114</v>
      </c>
      <c r="L529">
        <v>367.43009999999998</v>
      </c>
      <c r="M529">
        <v>0.99986920000000001</v>
      </c>
      <c r="N529">
        <v>0</v>
      </c>
      <c r="O529">
        <v>7.6331990000000002E-3</v>
      </c>
      <c r="P529">
        <v>0.99978540000000005</v>
      </c>
      <c r="Q529">
        <v>1.8897299999999999E-2</v>
      </c>
      <c r="R529">
        <v>-8.5209190000000001E-3</v>
      </c>
      <c r="S529">
        <v>3.0119630000000002</v>
      </c>
      <c r="T529">
        <v>-0.82939399999999996</v>
      </c>
      <c r="U529">
        <v>-0.52124020000000004</v>
      </c>
      <c r="V529">
        <v>1.616124E-2</v>
      </c>
      <c r="W529">
        <v>3.3149190000000002E-2</v>
      </c>
      <c r="X529">
        <v>0.99931970000000003</v>
      </c>
      <c r="Y529">
        <v>0.17155799999999999</v>
      </c>
      <c r="Z529">
        <v>-2.5076669999999999E-2</v>
      </c>
      <c r="AA529">
        <v>0.98485480000000003</v>
      </c>
      <c r="AB529">
        <v>34</v>
      </c>
      <c r="AC529">
        <v>0.71839999999997395</v>
      </c>
      <c r="AD529">
        <v>-0.25038500000000002</v>
      </c>
      <c r="AE529">
        <v>-0.15869999999995299</v>
      </c>
      <c r="AF529">
        <v>0.14713782022787</v>
      </c>
      <c r="AG529">
        <v>-0.25038500000000002</v>
      </c>
      <c r="AH529">
        <v>0.64272574501644897</v>
      </c>
      <c r="AI529">
        <v>110.793956720464</v>
      </c>
      <c r="AJ529">
        <v>77.105592673168104</v>
      </c>
      <c r="AK529">
        <v>0.70529325083496897</v>
      </c>
      <c r="AL529">
        <v>88.100343219499607</v>
      </c>
      <c r="AM529">
        <v>89.073479558353398</v>
      </c>
      <c r="AN529">
        <v>0.99999995864204005</v>
      </c>
    </row>
    <row r="530" spans="1:40" x14ac:dyDescent="0.25">
      <c r="A530" t="str">
        <f>"20190312150645731"</f>
        <v>20190312150645731</v>
      </c>
      <c r="B530" t="str">
        <f>"1552374405721155"</f>
        <v>1552374405721155</v>
      </c>
      <c r="C530" t="s">
        <v>40</v>
      </c>
      <c r="D530">
        <v>4.7174899999999997</v>
      </c>
      <c r="E530">
        <v>0.56136869999999905</v>
      </c>
      <c r="F530" t="s">
        <v>41</v>
      </c>
      <c r="G530">
        <v>-404.9649</v>
      </c>
      <c r="H530">
        <v>0.85705569999999898</v>
      </c>
      <c r="I530">
        <v>367.30360000000002</v>
      </c>
      <c r="J530">
        <v>-405.51369999999997</v>
      </c>
      <c r="K530">
        <v>1.0601149999999999</v>
      </c>
      <c r="L530">
        <v>367.4314</v>
      </c>
      <c r="M530">
        <v>0.99986920000000001</v>
      </c>
      <c r="N530">
        <v>0</v>
      </c>
      <c r="O530">
        <v>7.584019E-3</v>
      </c>
      <c r="P530">
        <v>0.9997838</v>
      </c>
      <c r="Q530">
        <v>1.8964760000000001E-2</v>
      </c>
      <c r="R530">
        <v>-8.5357179999999994E-3</v>
      </c>
      <c r="S530">
        <v>3.0119319999999998</v>
      </c>
      <c r="T530">
        <v>-0.82988770000000001</v>
      </c>
      <c r="U530">
        <v>-0.51696779999999998</v>
      </c>
      <c r="V530">
        <v>1.61268E-2</v>
      </c>
      <c r="W530">
        <v>3.3242599999999997E-2</v>
      </c>
      <c r="X530">
        <v>0.99931720000000002</v>
      </c>
      <c r="Y530">
        <v>0.17019589999999901</v>
      </c>
      <c r="Z530">
        <v>-2.4898E-2</v>
      </c>
      <c r="AA530">
        <v>0.98509570000000002</v>
      </c>
      <c r="AB530">
        <v>34</v>
      </c>
      <c r="AC530">
        <v>0.54879999999997098</v>
      </c>
      <c r="AD530">
        <v>-0.2030593</v>
      </c>
      <c r="AE530">
        <v>-0.12779999999997901</v>
      </c>
      <c r="AF530">
        <v>0.116792000731652</v>
      </c>
      <c r="AG530">
        <v>-0.2030593</v>
      </c>
      <c r="AH530">
        <v>0.48485108477535899</v>
      </c>
      <c r="AI530">
        <v>112.154260946378</v>
      </c>
      <c r="AJ530">
        <v>76.456482330123507</v>
      </c>
      <c r="AK530">
        <v>0.53847379245348104</v>
      </c>
      <c r="AL530">
        <v>88.094988357885399</v>
      </c>
      <c r="AM530">
        <v>89.075451340575299</v>
      </c>
      <c r="AN530">
        <v>1.00000000517442</v>
      </c>
    </row>
    <row r="531" spans="1:40" x14ac:dyDescent="0.25">
      <c r="A531" t="str">
        <f>"20190312150645743"</f>
        <v>20190312150645743</v>
      </c>
      <c r="B531" t="str">
        <f>"1552374405741650"</f>
        <v>1552374405741650</v>
      </c>
      <c r="C531" t="s">
        <v>40</v>
      </c>
      <c r="D531">
        <v>4.6948780000000001</v>
      </c>
      <c r="E531">
        <v>0.56146649999999998</v>
      </c>
      <c r="F531" t="s">
        <v>41</v>
      </c>
      <c r="G531">
        <v>-404.66969999999998</v>
      </c>
      <c r="H531">
        <v>0.82725110000000002</v>
      </c>
      <c r="I531">
        <v>367.28620000000001</v>
      </c>
      <c r="J531">
        <v>-405.32690000000002</v>
      </c>
      <c r="K531">
        <v>1.0601179999999999</v>
      </c>
      <c r="L531">
        <v>367.43290000000002</v>
      </c>
      <c r="M531">
        <v>0.99986920000000001</v>
      </c>
      <c r="N531">
        <v>0</v>
      </c>
      <c r="O531">
        <v>7.5351480000000002E-3</v>
      </c>
      <c r="P531">
        <v>0.99978480000000003</v>
      </c>
      <c r="Q531">
        <v>1.9000639999999999E-2</v>
      </c>
      <c r="R531">
        <v>-8.3484179999999998E-3</v>
      </c>
      <c r="S531">
        <v>3.0119929999999999</v>
      </c>
      <c r="T531">
        <v>-0.8309858</v>
      </c>
      <c r="U531">
        <v>-0.51724239999999999</v>
      </c>
      <c r="V531">
        <v>1.5890720000000001E-2</v>
      </c>
      <c r="W531">
        <v>3.330313E-2</v>
      </c>
      <c r="X531">
        <v>0.99931899999999996</v>
      </c>
      <c r="Y531">
        <v>0.17021639999999999</v>
      </c>
      <c r="Z531">
        <v>-2.4918719999999998E-2</v>
      </c>
      <c r="AA531">
        <v>0.98509159999999996</v>
      </c>
      <c r="AB531">
        <v>34</v>
      </c>
      <c r="AC531">
        <v>0.65720000000004497</v>
      </c>
      <c r="AD531">
        <v>-0.23286689999999999</v>
      </c>
      <c r="AE531">
        <v>-0.14670000000000899</v>
      </c>
      <c r="AF531">
        <v>0.13544971838061501</v>
      </c>
      <c r="AG531">
        <v>-0.23286689999999999</v>
      </c>
      <c r="AH531">
        <v>0.58599537483533404</v>
      </c>
      <c r="AI531">
        <v>111.165329331499</v>
      </c>
      <c r="AJ531">
        <v>76.984960438101396</v>
      </c>
      <c r="AK531">
        <v>0.64495286545095898</v>
      </c>
      <c r="AL531">
        <v>88.091518386853906</v>
      </c>
      <c r="AM531">
        <v>89.088985138171097</v>
      </c>
      <c r="AN531">
        <v>1.0000000386054499</v>
      </c>
    </row>
    <row r="532" spans="1:40" x14ac:dyDescent="0.25">
      <c r="A532" t="str">
        <f>"20190312150645763"</f>
        <v>20190312150645763</v>
      </c>
      <c r="B532" t="str">
        <f>"1552374405751414"</f>
        <v>1552374405751414</v>
      </c>
      <c r="C532" t="s">
        <v>40</v>
      </c>
      <c r="D532">
        <v>4.6953750000000003</v>
      </c>
      <c r="E532">
        <v>0.56142460000000005</v>
      </c>
      <c r="F532" t="s">
        <v>41</v>
      </c>
      <c r="G532">
        <v>-404.6515</v>
      </c>
      <c r="H532">
        <v>0.87313750000000001</v>
      </c>
      <c r="I532">
        <v>367.31659999999999</v>
      </c>
      <c r="J532">
        <v>-405.04640000000001</v>
      </c>
      <c r="K532">
        <v>1.060128</v>
      </c>
      <c r="L532">
        <v>367.43490000000003</v>
      </c>
      <c r="M532">
        <v>0.99986929999999996</v>
      </c>
      <c r="N532">
        <v>0</v>
      </c>
      <c r="O532">
        <v>7.4620199999999998E-3</v>
      </c>
      <c r="P532">
        <v>0.99978290000000003</v>
      </c>
      <c r="Q532">
        <v>1.914681E-2</v>
      </c>
      <c r="R532">
        <v>-8.2459830000000001E-3</v>
      </c>
      <c r="S532">
        <v>3.0121769999999999</v>
      </c>
      <c r="T532">
        <v>-0.8339375</v>
      </c>
      <c r="U532">
        <v>-0.51724239999999999</v>
      </c>
      <c r="V532">
        <v>1.571531E-2</v>
      </c>
      <c r="W532">
        <v>3.3480889999999999E-2</v>
      </c>
      <c r="X532">
        <v>0.99931579999999998</v>
      </c>
      <c r="Y532">
        <v>0.1700971</v>
      </c>
      <c r="Z532">
        <v>-2.4966809999999999E-2</v>
      </c>
      <c r="AA532">
        <v>0.98511099999999996</v>
      </c>
      <c r="AB532">
        <v>34</v>
      </c>
      <c r="AC532">
        <v>0.39490000000000602</v>
      </c>
      <c r="AD532">
        <v>-0.186990499999999</v>
      </c>
      <c r="AE532">
        <v>-0.118300000000033</v>
      </c>
      <c r="AF532">
        <v>0.100554590304184</v>
      </c>
      <c r="AG532">
        <v>-0.186990499999999</v>
      </c>
      <c r="AH532">
        <v>0.32677250663049601</v>
      </c>
      <c r="AI532">
        <v>118.675368787614</v>
      </c>
      <c r="AJ532">
        <v>72.895796857136105</v>
      </c>
      <c r="AK532">
        <v>0.38968826491321201</v>
      </c>
      <c r="AL532">
        <v>88.081327741128305</v>
      </c>
      <c r="AM532">
        <v>89.099036840736005</v>
      </c>
      <c r="AN532">
        <v>1.00000000454661</v>
      </c>
    </row>
    <row r="533" spans="1:40" x14ac:dyDescent="0.25">
      <c r="A533" t="str">
        <f>"20190312150645775"</f>
        <v>20190312150645775</v>
      </c>
      <c r="B533" t="str">
        <f>"1552374405770931"</f>
        <v>1552374405770931</v>
      </c>
      <c r="C533" t="s">
        <v>40</v>
      </c>
      <c r="D533">
        <v>4.767163</v>
      </c>
      <c r="E533">
        <v>0.56147100000000005</v>
      </c>
      <c r="F533" t="s">
        <v>41</v>
      </c>
      <c r="G533">
        <v>-404.34780000000001</v>
      </c>
      <c r="H533">
        <v>0.86632180000000003</v>
      </c>
      <c r="I533">
        <v>367.31479999999999</v>
      </c>
      <c r="J533">
        <v>-404.851</v>
      </c>
      <c r="K533">
        <v>1.0601339999999999</v>
      </c>
      <c r="L533">
        <v>367.43619999999999</v>
      </c>
      <c r="M533">
        <v>0.99986929999999996</v>
      </c>
      <c r="N533">
        <v>0</v>
      </c>
      <c r="O533">
        <v>7.4109780000000004E-3</v>
      </c>
      <c r="P533">
        <v>0.99978619999999996</v>
      </c>
      <c r="Q533">
        <v>1.89953E-2</v>
      </c>
      <c r="R533">
        <v>-8.1704180000000005E-3</v>
      </c>
      <c r="S533">
        <v>3.0123899999999999</v>
      </c>
      <c r="T533">
        <v>-0.83568580000000003</v>
      </c>
      <c r="U533">
        <v>-0.51669309999999902</v>
      </c>
      <c r="V533">
        <v>1.558871E-2</v>
      </c>
      <c r="W533">
        <v>3.3348879999999997E-2</v>
      </c>
      <c r="X533">
        <v>0.99932220000000005</v>
      </c>
      <c r="Y533">
        <v>0.16984569999999999</v>
      </c>
      <c r="Z533">
        <v>-2.4968170000000001E-2</v>
      </c>
      <c r="AA533">
        <v>0.98515430000000004</v>
      </c>
      <c r="AB533">
        <v>34</v>
      </c>
      <c r="AC533">
        <v>0.50319999999999199</v>
      </c>
      <c r="AD533">
        <v>-0.19381219999999899</v>
      </c>
      <c r="AE533">
        <v>-0.121399999999994</v>
      </c>
      <c r="AF533">
        <v>0.109741757965523</v>
      </c>
      <c r="AG533">
        <v>-0.19381219999999899</v>
      </c>
      <c r="AH533">
        <v>0.44052938303726102</v>
      </c>
      <c r="AI533">
        <v>113.117924996076</v>
      </c>
      <c r="AJ533">
        <v>76.011578560224905</v>
      </c>
      <c r="AK533">
        <v>0.49363200831124598</v>
      </c>
      <c r="AL533">
        <v>88.088895588819</v>
      </c>
      <c r="AM533">
        <v>89.106299395173494</v>
      </c>
      <c r="AN533">
        <v>1.0000000075447699</v>
      </c>
    </row>
    <row r="534" spans="1:40" x14ac:dyDescent="0.25">
      <c r="A534" t="str">
        <f>"20190312150645788"</f>
        <v>20190312150645788</v>
      </c>
      <c r="B534" t="str">
        <f>"1552374405780691"</f>
        <v>1552374405780691</v>
      </c>
      <c r="C534" t="s">
        <v>40</v>
      </c>
      <c r="D534">
        <v>4.750629</v>
      </c>
      <c r="E534">
        <v>0.5615194</v>
      </c>
      <c r="F534" t="s">
        <v>41</v>
      </c>
      <c r="G534">
        <v>-404.05259999999998</v>
      </c>
      <c r="H534">
        <v>0.8383775</v>
      </c>
      <c r="I534">
        <v>367.29880000000003</v>
      </c>
      <c r="J534">
        <v>-404.6508</v>
      </c>
      <c r="K534">
        <v>1.060138</v>
      </c>
      <c r="L534">
        <v>367.43770000000001</v>
      </c>
      <c r="M534">
        <v>0.99986960000000003</v>
      </c>
      <c r="N534">
        <v>0</v>
      </c>
      <c r="O534">
        <v>7.3582739999999997E-3</v>
      </c>
      <c r="P534">
        <v>0.99978659999999997</v>
      </c>
      <c r="Q534">
        <v>1.898466E-2</v>
      </c>
      <c r="R534">
        <v>-8.1569980000000004E-3</v>
      </c>
      <c r="S534">
        <v>3.012238</v>
      </c>
      <c r="T534">
        <v>-0.83658670000000002</v>
      </c>
      <c r="U534">
        <v>-0.51696779999999998</v>
      </c>
      <c r="V534">
        <v>1.5522650000000001E-2</v>
      </c>
      <c r="W534">
        <v>3.3357459999999999E-2</v>
      </c>
      <c r="X534">
        <v>0.99932299999999996</v>
      </c>
      <c r="Y534">
        <v>0.1698759</v>
      </c>
      <c r="Z534">
        <v>-2.4984960000000001E-2</v>
      </c>
      <c r="AA534">
        <v>0.98514869999999999</v>
      </c>
      <c r="AB534">
        <v>34</v>
      </c>
      <c r="AC534">
        <v>0.59820000000001905</v>
      </c>
      <c r="AD534">
        <v>-0.2217605</v>
      </c>
      <c r="AE534">
        <v>-0.13889999999997801</v>
      </c>
      <c r="AF534">
        <v>0.12676814128105399</v>
      </c>
      <c r="AG534">
        <v>-0.2217605</v>
      </c>
      <c r="AH534">
        <v>0.52827570408495395</v>
      </c>
      <c r="AI534">
        <v>112.204968608158</v>
      </c>
      <c r="AJ534">
        <v>76.506115494895198</v>
      </c>
      <c r="AK534">
        <v>0.58679050821443701</v>
      </c>
      <c r="AL534">
        <v>88.088403828323194</v>
      </c>
      <c r="AM534">
        <v>89.110086716327103</v>
      </c>
      <c r="AN534">
        <v>1.00000006556483</v>
      </c>
    </row>
    <row r="535" spans="1:40" x14ac:dyDescent="0.25">
      <c r="A535" t="str">
        <f>"20190312150645800"</f>
        <v>20190312150645800</v>
      </c>
      <c r="B535" t="str">
        <f>"1552374405791426"</f>
        <v>1552374405791426</v>
      </c>
      <c r="C535" t="s">
        <v>40</v>
      </c>
      <c r="D535">
        <v>4.7671380000000001</v>
      </c>
      <c r="E535">
        <v>0.56158269999999899</v>
      </c>
      <c r="F535" t="s">
        <v>41</v>
      </c>
      <c r="G535">
        <v>-403.75740000000002</v>
      </c>
      <c r="H535">
        <v>0.81150909999999998</v>
      </c>
      <c r="I535">
        <v>367.28429999999997</v>
      </c>
      <c r="J535">
        <v>-404.46629999999999</v>
      </c>
      <c r="K535">
        <v>1.0601419999999999</v>
      </c>
      <c r="L535">
        <v>367.43900000000002</v>
      </c>
      <c r="M535">
        <v>0.99986960000000003</v>
      </c>
      <c r="N535">
        <v>0</v>
      </c>
      <c r="O535">
        <v>7.3097680000000003E-3</v>
      </c>
      <c r="P535">
        <v>0.99978789999999995</v>
      </c>
      <c r="Q535">
        <v>1.8832620000000001E-2</v>
      </c>
      <c r="R535">
        <v>-8.3488469999999995E-3</v>
      </c>
      <c r="S535">
        <v>3.0122990000000001</v>
      </c>
      <c r="T535">
        <v>-0.83824089999999996</v>
      </c>
      <c r="U535">
        <v>-0.51751709999999995</v>
      </c>
      <c r="V535">
        <v>1.5665910000000002E-2</v>
      </c>
      <c r="W535">
        <v>3.3220670000000001E-2</v>
      </c>
      <c r="X535">
        <v>0.99932529999999997</v>
      </c>
      <c r="Y535">
        <v>0.1699727</v>
      </c>
      <c r="Z535">
        <v>-2.503172E-2</v>
      </c>
      <c r="AA535">
        <v>0.98513079999999997</v>
      </c>
      <c r="AB535">
        <v>34</v>
      </c>
      <c r="AC535">
        <v>0.708899999999971</v>
      </c>
      <c r="AD535">
        <v>-0.24863289999999899</v>
      </c>
      <c r="AE535">
        <v>-0.15470000000004799</v>
      </c>
      <c r="AF535">
        <v>0.143078056512769</v>
      </c>
      <c r="AG535">
        <v>-0.24863289999999899</v>
      </c>
      <c r="AH535">
        <v>0.63337871825228997</v>
      </c>
      <c r="AI535">
        <v>110.951947133602</v>
      </c>
      <c r="AJ535">
        <v>77.270733526644804</v>
      </c>
      <c r="AK535">
        <v>0.69531162075201502</v>
      </c>
      <c r="AL535">
        <v>88.096245623470793</v>
      </c>
      <c r="AM535">
        <v>89.101877028654201</v>
      </c>
      <c r="AN535">
        <v>1.00000004443573</v>
      </c>
    </row>
    <row r="536" spans="1:40" x14ac:dyDescent="0.25">
      <c r="A536" t="str">
        <f>"20190312150645818"</f>
        <v>20190312150645818</v>
      </c>
      <c r="B536" t="str">
        <f>"1552374405810950"</f>
        <v>1552374405810950</v>
      </c>
      <c r="C536" t="s">
        <v>40</v>
      </c>
      <c r="D536">
        <v>4.7856040000000002</v>
      </c>
      <c r="E536">
        <v>0.56151799999999996</v>
      </c>
      <c r="F536" t="s">
        <v>41</v>
      </c>
      <c r="G536">
        <v>-403.73930000000001</v>
      </c>
      <c r="H536">
        <v>0.8573828</v>
      </c>
      <c r="I536">
        <v>367.31389999999999</v>
      </c>
      <c r="J536">
        <v>-404.18549999999999</v>
      </c>
      <c r="K536">
        <v>1.0601499999999999</v>
      </c>
      <c r="L536">
        <v>367.44099999999997</v>
      </c>
      <c r="M536">
        <v>0.99987000000000004</v>
      </c>
      <c r="N536">
        <v>0</v>
      </c>
      <c r="O536">
        <v>7.2360649999999999E-3</v>
      </c>
      <c r="P536">
        <v>0.99978400000000001</v>
      </c>
      <c r="Q536">
        <v>1.8979220000000002E-2</v>
      </c>
      <c r="R536">
        <v>-8.4922009999999996E-3</v>
      </c>
      <c r="S536">
        <v>3.0121150000000001</v>
      </c>
      <c r="T536">
        <v>-0.83997569999999999</v>
      </c>
      <c r="U536">
        <v>-0.51858519999999997</v>
      </c>
      <c r="V536">
        <v>1.5735599999999999E-2</v>
      </c>
      <c r="W536">
        <v>3.3388439999999998E-2</v>
      </c>
      <c r="X536">
        <v>0.9993185</v>
      </c>
      <c r="Y536">
        <v>0.17021629999999999</v>
      </c>
      <c r="Z536">
        <v>-2.509546E-2</v>
      </c>
      <c r="AA536">
        <v>0.98508709999999999</v>
      </c>
      <c r="AB536">
        <v>34</v>
      </c>
      <c r="AC536">
        <v>0.446199999999976</v>
      </c>
      <c r="AD536">
        <v>-0.20276719999999901</v>
      </c>
      <c r="AE536">
        <v>-0.127099999999984</v>
      </c>
      <c r="AF536">
        <v>0.109424617021278</v>
      </c>
      <c r="AG536">
        <v>-0.20276719999999901</v>
      </c>
      <c r="AH536">
        <v>0.373858127996678</v>
      </c>
      <c r="AI536">
        <v>117.498150424965</v>
      </c>
      <c r="AJ536">
        <v>73.685762778435105</v>
      </c>
      <c r="AK536">
        <v>0.43915621830423102</v>
      </c>
      <c r="AL536">
        <v>88.086627557823903</v>
      </c>
      <c r="AM536">
        <v>89.097876238422103</v>
      </c>
      <c r="AN536">
        <v>0.99999993073761895</v>
      </c>
    </row>
    <row r="537" spans="1:40" x14ac:dyDescent="0.25">
      <c r="A537" t="str">
        <f>"20190312150645830"</f>
        <v>20190312150645830</v>
      </c>
      <c r="B537" t="str">
        <f>"1552374405821684"</f>
        <v>1552374405821684</v>
      </c>
      <c r="C537" t="s">
        <v>40</v>
      </c>
      <c r="D537">
        <v>4.7582399999999998</v>
      </c>
      <c r="E537">
        <v>0.56149700000000002</v>
      </c>
      <c r="F537" t="s">
        <v>41</v>
      </c>
      <c r="G537">
        <v>-403.43619999999999</v>
      </c>
      <c r="H537">
        <v>0.85120010000000002</v>
      </c>
      <c r="I537">
        <v>367.3116</v>
      </c>
      <c r="J537">
        <v>-404.00599999999997</v>
      </c>
      <c r="K537">
        <v>1.060149</v>
      </c>
      <c r="L537">
        <v>367.44229999999999</v>
      </c>
      <c r="M537">
        <v>0.99987020000000004</v>
      </c>
      <c r="N537">
        <v>0</v>
      </c>
      <c r="O537">
        <v>7.1889519999999898E-3</v>
      </c>
      <c r="P537">
        <v>0.99977709999999997</v>
      </c>
      <c r="Q537">
        <v>1.9309719999999999E-2</v>
      </c>
      <c r="R537">
        <v>-8.5487710000000001E-3</v>
      </c>
      <c r="S537">
        <v>3.012238</v>
      </c>
      <c r="T537">
        <v>-0.84015519999999999</v>
      </c>
      <c r="U537">
        <v>-0.51849369999999995</v>
      </c>
      <c r="V537">
        <v>1.5745060000000002E-2</v>
      </c>
      <c r="W537">
        <v>3.3730610000000001E-2</v>
      </c>
      <c r="X537">
        <v>0.9993069</v>
      </c>
      <c r="Y537">
        <v>0.1701366</v>
      </c>
      <c r="Z537">
        <v>-2.5076080000000001E-2</v>
      </c>
      <c r="AA537">
        <v>0.98510140000000002</v>
      </c>
      <c r="AB537">
        <v>34</v>
      </c>
      <c r="AC537">
        <v>0.56979999999998598</v>
      </c>
      <c r="AD537">
        <v>-0.20894889999999999</v>
      </c>
      <c r="AE537">
        <v>-0.13069999999998999</v>
      </c>
      <c r="AF537">
        <v>0.119523952291497</v>
      </c>
      <c r="AG537">
        <v>-0.20894889999999999</v>
      </c>
      <c r="AH537">
        <v>0.50440686213698605</v>
      </c>
      <c r="AI537">
        <v>111.95361121823299</v>
      </c>
      <c r="AJ537">
        <v>76.669104844253695</v>
      </c>
      <c r="AK537">
        <v>0.55890240700275295</v>
      </c>
      <c r="AL537">
        <v>88.0670116874619</v>
      </c>
      <c r="AM537">
        <v>89.097323508787099</v>
      </c>
      <c r="AN537">
        <v>0.99999997067649204</v>
      </c>
    </row>
    <row r="538" spans="1:40" x14ac:dyDescent="0.25">
      <c r="A538" t="str">
        <f>"20190312150645842"</f>
        <v>20190312150645842</v>
      </c>
      <c r="B538" t="str">
        <f>"1552374405831443"</f>
        <v>1552374405831443</v>
      </c>
      <c r="C538" t="s">
        <v>40</v>
      </c>
      <c r="D538">
        <v>4.7990269999999997</v>
      </c>
      <c r="E538">
        <v>0.56152250000000004</v>
      </c>
      <c r="F538" t="s">
        <v>41</v>
      </c>
      <c r="G538">
        <v>-403.14350000000002</v>
      </c>
      <c r="H538">
        <v>0.81976469999999901</v>
      </c>
      <c r="I538">
        <v>367.29379999999998</v>
      </c>
      <c r="J538">
        <v>-403.82330000000002</v>
      </c>
      <c r="K538">
        <v>1.060155</v>
      </c>
      <c r="L538">
        <v>367.44349999999997</v>
      </c>
      <c r="M538">
        <v>0.99987029999999999</v>
      </c>
      <c r="N538">
        <v>0</v>
      </c>
      <c r="O538">
        <v>7.1411879999999997E-3</v>
      </c>
      <c r="P538">
        <v>0.99977459999999996</v>
      </c>
      <c r="Q538">
        <v>1.9438939999999998E-2</v>
      </c>
      <c r="R538">
        <v>-8.535572E-3</v>
      </c>
      <c r="S538">
        <v>3.012451</v>
      </c>
      <c r="T538">
        <v>-0.83966929999999995</v>
      </c>
      <c r="U538">
        <v>-0.51870729999999998</v>
      </c>
      <c r="V538">
        <v>1.568425E-2</v>
      </c>
      <c r="W538">
        <v>3.387167E-2</v>
      </c>
      <c r="X538">
        <v>0.9993031</v>
      </c>
      <c r="Y538">
        <v>0.17015520000000001</v>
      </c>
      <c r="Z538">
        <v>-2.5049829999999999E-2</v>
      </c>
      <c r="AA538">
        <v>0.98509880000000005</v>
      </c>
      <c r="AB538">
        <v>34</v>
      </c>
      <c r="AC538">
        <v>0.67979999999999996</v>
      </c>
      <c r="AD538">
        <v>-0.2403903</v>
      </c>
      <c r="AE538">
        <v>-0.149699999999995</v>
      </c>
      <c r="AF538">
        <v>0.138083060316222</v>
      </c>
      <c r="AG538">
        <v>-0.2403903</v>
      </c>
      <c r="AH538">
        <v>0.60639321006617597</v>
      </c>
      <c r="AI538">
        <v>111.133097757453</v>
      </c>
      <c r="AJ538">
        <v>77.171799445663197</v>
      </c>
      <c r="AK538">
        <v>0.66675869180292302</v>
      </c>
      <c r="AL538">
        <v>88.058924952775996</v>
      </c>
      <c r="AM538">
        <v>89.100805800943306</v>
      </c>
      <c r="AN538">
        <v>0.99999998569812998</v>
      </c>
    </row>
    <row r="539" spans="1:40" x14ac:dyDescent="0.25">
      <c r="A539" t="str">
        <f>"20190312150645854"</f>
        <v>20190312150645854</v>
      </c>
      <c r="B539" t="str">
        <f>"1552374405850963"</f>
        <v>1552374405850963</v>
      </c>
      <c r="C539" t="s">
        <v>40</v>
      </c>
      <c r="D539">
        <v>4.7655260000000004</v>
      </c>
      <c r="E539">
        <v>0.56151819999999997</v>
      </c>
      <c r="F539" t="s">
        <v>41</v>
      </c>
      <c r="G539">
        <v>-403.12540000000001</v>
      </c>
      <c r="H539">
        <v>0.865596699999999</v>
      </c>
      <c r="I539">
        <v>367.32330000000002</v>
      </c>
      <c r="J539">
        <v>-403.64139999999998</v>
      </c>
      <c r="K539">
        <v>1.0601590000000001</v>
      </c>
      <c r="L539">
        <v>367.44479999999999</v>
      </c>
      <c r="M539">
        <v>0.9998705</v>
      </c>
      <c r="N539">
        <v>0</v>
      </c>
      <c r="O539">
        <v>7.0931969999999999E-3</v>
      </c>
      <c r="P539">
        <v>0.99976719999999997</v>
      </c>
      <c r="Q539">
        <v>1.9787530000000001E-2</v>
      </c>
      <c r="R539">
        <v>-8.6300140000000001E-3</v>
      </c>
      <c r="S539">
        <v>3.0126040000000001</v>
      </c>
      <c r="T539">
        <v>-0.83990279999999995</v>
      </c>
      <c r="U539">
        <v>-0.51901249999999999</v>
      </c>
      <c r="V539">
        <v>1.5730569999999999E-2</v>
      </c>
      <c r="W539">
        <v>3.4230049999999998E-2</v>
      </c>
      <c r="X539">
        <v>0.99929020000000002</v>
      </c>
      <c r="Y539">
        <v>0.17019409999999999</v>
      </c>
      <c r="Z539">
        <v>-2.5047369999999999E-2</v>
      </c>
      <c r="AA539">
        <v>0.98509219999999997</v>
      </c>
      <c r="AB539">
        <v>34</v>
      </c>
      <c r="AC539">
        <v>0.51599999999996204</v>
      </c>
      <c r="AD539">
        <v>-0.19456229999999999</v>
      </c>
      <c r="AE539">
        <v>-0.12149999999996899</v>
      </c>
      <c r="AF539">
        <v>0.110299543689117</v>
      </c>
      <c r="AG539">
        <v>-0.19456229999999999</v>
      </c>
      <c r="AH539">
        <v>0.453972815580161</v>
      </c>
      <c r="AI539">
        <v>112.60982159682101</v>
      </c>
      <c r="AJ539">
        <v>76.3437408362132</v>
      </c>
      <c r="AK539">
        <v>0.506074890905581</v>
      </c>
      <c r="AL539">
        <v>88.038379454636001</v>
      </c>
      <c r="AM539">
        <v>89.098139025414895</v>
      </c>
      <c r="AN539">
        <v>1.0000000254857799</v>
      </c>
    </row>
    <row r="540" spans="1:40" x14ac:dyDescent="0.25">
      <c r="A540" t="str">
        <f>"20190312150645867"</f>
        <v>20190312150645867</v>
      </c>
      <c r="B540" t="str">
        <f>"1552374405861698"</f>
        <v>1552374405861698</v>
      </c>
      <c r="C540" t="s">
        <v>40</v>
      </c>
      <c r="D540">
        <v>4.8197349999999997</v>
      </c>
      <c r="E540">
        <v>0.56156419999999996</v>
      </c>
      <c r="F540" t="s">
        <v>41</v>
      </c>
      <c r="G540">
        <v>-402.83280000000002</v>
      </c>
      <c r="H540">
        <v>0.83467279999999999</v>
      </c>
      <c r="I540">
        <v>367.30520000000001</v>
      </c>
      <c r="J540">
        <v>-403.45339999999999</v>
      </c>
      <c r="K540">
        <v>1.0601609999999999</v>
      </c>
      <c r="L540">
        <v>367.4461</v>
      </c>
      <c r="M540">
        <v>0.99987060000000005</v>
      </c>
      <c r="N540">
        <v>0</v>
      </c>
      <c r="O540">
        <v>7.044074E-3</v>
      </c>
      <c r="P540">
        <v>0.99975899999999995</v>
      </c>
      <c r="Q540">
        <v>2.0005559999999999E-2</v>
      </c>
      <c r="R540">
        <v>-9.0407200000000004E-3</v>
      </c>
      <c r="S540">
        <v>3.012848</v>
      </c>
      <c r="T540">
        <v>-0.84023919999999996</v>
      </c>
      <c r="U540">
        <v>-0.51934809999999998</v>
      </c>
      <c r="V540">
        <v>1.609213E-2</v>
      </c>
      <c r="W540">
        <v>3.4457359999999999E-2</v>
      </c>
      <c r="X540">
        <v>0.99927659999999996</v>
      </c>
      <c r="Y540">
        <v>0.17023529999999901</v>
      </c>
      <c r="Z540">
        <v>-2.5047130000000001E-2</v>
      </c>
      <c r="AA540">
        <v>0.98508510000000005</v>
      </c>
      <c r="AB540">
        <v>34</v>
      </c>
      <c r="AC540">
        <v>0.62059999999996696</v>
      </c>
      <c r="AD540">
        <v>-0.2254882</v>
      </c>
      <c r="AE540">
        <v>-0.14089999999998701</v>
      </c>
      <c r="AF540">
        <v>0.12906516736930601</v>
      </c>
      <c r="AG540">
        <v>-0.2254882</v>
      </c>
      <c r="AH540">
        <v>0.55048228715511105</v>
      </c>
      <c r="AI540">
        <v>111.74234582067599</v>
      </c>
      <c r="AJ540">
        <v>76.804862576458703</v>
      </c>
      <c r="AK540">
        <v>0.608714624630318</v>
      </c>
      <c r="AL540">
        <v>88.025347803111202</v>
      </c>
      <c r="AM540">
        <v>89.077401149458595</v>
      </c>
      <c r="AN540">
        <v>0.99999999480683299</v>
      </c>
    </row>
    <row r="541" spans="1:40" x14ac:dyDescent="0.25">
      <c r="A541" t="str">
        <f>"20190312150645886"</f>
        <v>20190312150645886</v>
      </c>
      <c r="B541" t="str">
        <f>"1552374405881218"</f>
        <v>1552374405881218</v>
      </c>
      <c r="C541" t="s">
        <v>40</v>
      </c>
      <c r="D541">
        <v>4.7890670000000002</v>
      </c>
      <c r="E541">
        <v>0.56153739999999996</v>
      </c>
      <c r="F541" t="s">
        <v>41</v>
      </c>
      <c r="G541">
        <v>-402.53989999999999</v>
      </c>
      <c r="H541">
        <v>0.80543609999999999</v>
      </c>
      <c r="I541">
        <v>367.28800000000001</v>
      </c>
      <c r="J541">
        <v>-403.1653</v>
      </c>
      <c r="K541">
        <v>1.060165</v>
      </c>
      <c r="L541">
        <v>367.44810000000001</v>
      </c>
      <c r="M541">
        <v>0.99987099999999995</v>
      </c>
      <c r="N541">
        <v>0</v>
      </c>
      <c r="O541">
        <v>6.9692360000000002E-3</v>
      </c>
      <c r="P541">
        <v>0.99975440000000004</v>
      </c>
      <c r="Q541">
        <v>2.0143049999999999E-2</v>
      </c>
      <c r="R541">
        <v>-9.2434449999999994E-3</v>
      </c>
      <c r="S541">
        <v>3.0128170000000001</v>
      </c>
      <c r="T541">
        <v>-0.84019390000000005</v>
      </c>
      <c r="U541">
        <v>-0.52056880000000005</v>
      </c>
      <c r="V541">
        <v>1.622009E-2</v>
      </c>
      <c r="W541">
        <v>3.4607949999999998E-2</v>
      </c>
      <c r="X541">
        <v>0.99926930000000003</v>
      </c>
      <c r="Y541">
        <v>0.17054339999999901</v>
      </c>
      <c r="Z541">
        <v>-2.5066769999999999E-2</v>
      </c>
      <c r="AA541">
        <v>0.9850312</v>
      </c>
      <c r="AB541">
        <v>34</v>
      </c>
      <c r="AC541">
        <v>0.62540000000001295</v>
      </c>
      <c r="AD541">
        <v>-0.25472889999999998</v>
      </c>
      <c r="AE541">
        <v>-0.16009999999999899</v>
      </c>
      <c r="AF541">
        <v>0.142299823342348</v>
      </c>
      <c r="AG541">
        <v>-0.25472889999999998</v>
      </c>
      <c r="AH541">
        <v>0.54016775191006905</v>
      </c>
      <c r="AI541">
        <v>114.513727677841</v>
      </c>
      <c r="AJ541">
        <v>75.241516948116796</v>
      </c>
      <c r="AK541">
        <v>0.61393586995878602</v>
      </c>
      <c r="AL541">
        <v>88.016714428712802</v>
      </c>
      <c r="AM541">
        <v>89.070059399081501</v>
      </c>
      <c r="AN541">
        <v>0.99999996772264899</v>
      </c>
    </row>
    <row r="542" spans="1:40" x14ac:dyDescent="0.25">
      <c r="A542" t="str">
        <f>"20190312150645899"</f>
        <v>20190312150645899</v>
      </c>
      <c r="B542" t="str">
        <f>"1552374405890979"</f>
        <v>1552374405890979</v>
      </c>
      <c r="C542" t="s">
        <v>40</v>
      </c>
      <c r="D542">
        <v>4.8645519999999998</v>
      </c>
      <c r="E542">
        <v>0.56155069999999996</v>
      </c>
      <c r="F542" t="s">
        <v>41</v>
      </c>
      <c r="G542">
        <v>-402.23759999999999</v>
      </c>
      <c r="H542">
        <v>0.80099019999999899</v>
      </c>
      <c r="I542">
        <v>367.28739999999999</v>
      </c>
      <c r="J542">
        <v>-402.94880000000001</v>
      </c>
      <c r="K542">
        <v>1.0601689999999999</v>
      </c>
      <c r="L542">
        <v>367.4495</v>
      </c>
      <c r="M542">
        <v>0.99987130000000002</v>
      </c>
      <c r="N542">
        <v>0</v>
      </c>
      <c r="O542">
        <v>6.9122569999999998E-3</v>
      </c>
      <c r="P542">
        <v>0.99975930000000002</v>
      </c>
      <c r="Q542">
        <v>1.983704E-2</v>
      </c>
      <c r="R542">
        <v>-9.3915979999999993E-3</v>
      </c>
      <c r="S542">
        <v>3.0128780000000002</v>
      </c>
      <c r="T542">
        <v>-0.84171859999999998</v>
      </c>
      <c r="U542">
        <v>-0.52050779999999996</v>
      </c>
      <c r="V542">
        <v>1.6310999999999999E-2</v>
      </c>
      <c r="W542">
        <v>3.4310100000000003E-2</v>
      </c>
      <c r="X542">
        <v>0.99927809999999995</v>
      </c>
      <c r="Y542">
        <v>0.17044699999999999</v>
      </c>
      <c r="Z542">
        <v>-2.5081550000000001E-2</v>
      </c>
      <c r="AA542">
        <v>0.98504760000000002</v>
      </c>
      <c r="AB542">
        <v>34</v>
      </c>
      <c r="AC542">
        <v>0.71120000000001904</v>
      </c>
      <c r="AD542">
        <v>-0.25917879999999999</v>
      </c>
      <c r="AE542">
        <v>-0.16210000000000899</v>
      </c>
      <c r="AF542">
        <v>0.14829132803748701</v>
      </c>
      <c r="AG542">
        <v>-0.25917879999999999</v>
      </c>
      <c r="AH542">
        <v>0.63046784110000298</v>
      </c>
      <c r="AI542">
        <v>111.809774353406</v>
      </c>
      <c r="AJ542">
        <v>76.764134148019807</v>
      </c>
      <c r="AK542">
        <v>0.69760566726615703</v>
      </c>
      <c r="AL542">
        <v>88.033790135402697</v>
      </c>
      <c r="AM542">
        <v>89.064856445494698</v>
      </c>
      <c r="AN542">
        <v>0.999999976411309</v>
      </c>
    </row>
    <row r="543" spans="1:40" x14ac:dyDescent="0.25">
      <c r="A543" t="str">
        <f>"20190312150645919"</f>
        <v>20190312150645919</v>
      </c>
      <c r="B543" t="str">
        <f>"1552374405911479"</f>
        <v>1552374405911479</v>
      </c>
      <c r="C543" t="s">
        <v>40</v>
      </c>
      <c r="D543">
        <v>4.9088139999999996</v>
      </c>
      <c r="E543">
        <v>0.56154209999999904</v>
      </c>
      <c r="F543" t="s">
        <v>41</v>
      </c>
      <c r="G543">
        <v>-402.21620000000001</v>
      </c>
      <c r="H543">
        <v>0.85512980000000005</v>
      </c>
      <c r="I543">
        <v>367.32240000000002</v>
      </c>
      <c r="J543">
        <v>-402.65100000000001</v>
      </c>
      <c r="K543">
        <v>1.060173</v>
      </c>
      <c r="L543">
        <v>367.45139999999998</v>
      </c>
      <c r="M543">
        <v>0.99987170000000003</v>
      </c>
      <c r="N543">
        <v>0</v>
      </c>
      <c r="O543">
        <v>6.8340469999999898E-3</v>
      </c>
      <c r="P543">
        <v>0.99976980000000004</v>
      </c>
      <c r="Q543">
        <v>1.941383E-2</v>
      </c>
      <c r="R543">
        <v>-9.1551810000000001E-3</v>
      </c>
      <c r="S543">
        <v>3.0125730000000002</v>
      </c>
      <c r="T543">
        <v>-0.8432212</v>
      </c>
      <c r="U543">
        <v>-0.52105709999999905</v>
      </c>
      <c r="V543">
        <v>1.599662E-2</v>
      </c>
      <c r="W543">
        <v>3.3897410000000003E-2</v>
      </c>
      <c r="X543">
        <v>0.99929730000000005</v>
      </c>
      <c r="Y543">
        <v>0.17053660000000001</v>
      </c>
      <c r="Z543">
        <v>-2.5117629999999998E-2</v>
      </c>
      <c r="AA543">
        <v>0.9850312</v>
      </c>
      <c r="AB543">
        <v>34</v>
      </c>
      <c r="AC543">
        <v>0.43479999999999502</v>
      </c>
      <c r="AD543">
        <v>-0.20504320000000001</v>
      </c>
      <c r="AE543">
        <v>-0.12899999999996201</v>
      </c>
      <c r="AF543">
        <v>0.10957251423421099</v>
      </c>
      <c r="AG543">
        <v>-0.20504320000000001</v>
      </c>
      <c r="AH543">
        <v>0.36027022103835898</v>
      </c>
      <c r="AI543">
        <v>118.568746125015</v>
      </c>
      <c r="AJ543">
        <v>73.083395965326801</v>
      </c>
      <c r="AK543">
        <v>0.42876973063507501</v>
      </c>
      <c r="AL543">
        <v>88.057449359277399</v>
      </c>
      <c r="AM543">
        <v>89.082895014075902</v>
      </c>
      <c r="AN543">
        <v>1.0000000100217099</v>
      </c>
    </row>
    <row r="544" spans="1:40" x14ac:dyDescent="0.25">
      <c r="A544" t="str">
        <f>"20190312150645931"</f>
        <v>20190312150645931</v>
      </c>
      <c r="B544" t="str">
        <f>"1552374405921234"</f>
        <v>1552374405921234</v>
      </c>
      <c r="C544" t="s">
        <v>40</v>
      </c>
      <c r="D544">
        <v>5.1618370000000002</v>
      </c>
      <c r="E544">
        <v>0.56154209999999904</v>
      </c>
      <c r="F544" t="s">
        <v>41</v>
      </c>
      <c r="G544">
        <v>-401.91340000000002</v>
      </c>
      <c r="H544">
        <v>0.8530664</v>
      </c>
      <c r="I544">
        <v>367.32380000000001</v>
      </c>
      <c r="J544">
        <v>-402.46140000000003</v>
      </c>
      <c r="K544">
        <v>1.060171</v>
      </c>
      <c r="L544">
        <v>367.45269999999999</v>
      </c>
      <c r="M544">
        <v>0.99987199999999998</v>
      </c>
      <c r="N544">
        <v>0</v>
      </c>
      <c r="O544">
        <v>6.7844769999999997E-3</v>
      </c>
      <c r="P544">
        <v>0.99977240000000001</v>
      </c>
      <c r="Q544">
        <v>1.9279129999999998E-2</v>
      </c>
      <c r="R544">
        <v>-9.1589259999999995E-3</v>
      </c>
      <c r="S544">
        <v>3.0123899999999999</v>
      </c>
      <c r="T544">
        <v>-0.84581830000000002</v>
      </c>
      <c r="U544">
        <v>-0.52081299999999997</v>
      </c>
      <c r="V544">
        <v>1.5950809999999999E-2</v>
      </c>
      <c r="W544">
        <v>3.3768260000000001E-2</v>
      </c>
      <c r="X544">
        <v>0.99930240000000004</v>
      </c>
      <c r="Y544">
        <v>0.1703868</v>
      </c>
      <c r="Z544">
        <v>-2.515974E-2</v>
      </c>
      <c r="AA544">
        <v>0.98505600000000004</v>
      </c>
      <c r="AB544">
        <v>34</v>
      </c>
      <c r="AC544">
        <v>0.54800000000000104</v>
      </c>
      <c r="AD544">
        <v>-0.207104599999999</v>
      </c>
      <c r="AE544">
        <v>-0.128899999999987</v>
      </c>
      <c r="AF544">
        <v>0.116806545606584</v>
      </c>
      <c r="AG544">
        <v>-0.207104599999999</v>
      </c>
      <c r="AH544">
        <v>0.48189270217029101</v>
      </c>
      <c r="AI544">
        <v>112.669237840219</v>
      </c>
      <c r="AJ544">
        <v>76.374793791724002</v>
      </c>
      <c r="AK544">
        <v>0.53736082927832396</v>
      </c>
      <c r="AL544">
        <v>88.064853338508797</v>
      </c>
      <c r="AM544">
        <v>89.085525574764304</v>
      </c>
      <c r="AN544">
        <v>1.00000000518442</v>
      </c>
    </row>
    <row r="545" spans="1:40" x14ac:dyDescent="0.25">
      <c r="A545" t="str">
        <f>"20190312150645943"</f>
        <v>20190312150645943</v>
      </c>
      <c r="B545" t="str">
        <f>"1552374405940755"</f>
        <v>1552374405940755</v>
      </c>
      <c r="C545" t="s">
        <v>40</v>
      </c>
      <c r="D545">
        <v>4.8236619999999997</v>
      </c>
      <c r="E545">
        <v>0.56153889999999995</v>
      </c>
      <c r="F545" t="s">
        <v>41</v>
      </c>
      <c r="G545">
        <v>-401.62139999999999</v>
      </c>
      <c r="H545">
        <v>0.82422079999999998</v>
      </c>
      <c r="I545">
        <v>367.30709999999999</v>
      </c>
      <c r="J545">
        <v>-402.27929999999998</v>
      </c>
      <c r="K545">
        <v>1.0601719999999999</v>
      </c>
      <c r="L545">
        <v>367.45389999999998</v>
      </c>
      <c r="M545">
        <v>0.99987219999999999</v>
      </c>
      <c r="N545">
        <v>0</v>
      </c>
      <c r="O545">
        <v>6.7370569999999899E-3</v>
      </c>
      <c r="P545">
        <v>0.99976969999999998</v>
      </c>
      <c r="Q545">
        <v>1.925634E-2</v>
      </c>
      <c r="R545">
        <v>-9.4788760000000007E-3</v>
      </c>
      <c r="S545">
        <v>3.0122070000000001</v>
      </c>
      <c r="T545">
        <v>-0.8461533</v>
      </c>
      <c r="U545">
        <v>-0.52078250000000004</v>
      </c>
      <c r="V545">
        <v>1.62232E-2</v>
      </c>
      <c r="W545">
        <v>3.375015E-2</v>
      </c>
      <c r="X545">
        <v>0.99929860000000004</v>
      </c>
      <c r="Y545">
        <v>0.1703382</v>
      </c>
      <c r="Z545">
        <v>-2.515117E-2</v>
      </c>
      <c r="AA545">
        <v>0.98506459999999996</v>
      </c>
      <c r="AB545">
        <v>34</v>
      </c>
      <c r="AC545">
        <v>0.65789999999998305</v>
      </c>
      <c r="AD545">
        <v>-0.235951199999999</v>
      </c>
      <c r="AE545">
        <v>-0.146799999999984</v>
      </c>
      <c r="AF545">
        <v>0.134722631727728</v>
      </c>
      <c r="AG545">
        <v>-0.235951199999999</v>
      </c>
      <c r="AH545">
        <v>0.58519525553795104</v>
      </c>
      <c r="AI545">
        <v>111.45099005423801</v>
      </c>
      <c r="AJ545">
        <v>77.035359137575597</v>
      </c>
      <c r="AK545">
        <v>0.64519504290192198</v>
      </c>
      <c r="AL545">
        <v>88.065891505040796</v>
      </c>
      <c r="AM545">
        <v>89.069908392708996</v>
      </c>
      <c r="AN545">
        <v>0.99999997840261101</v>
      </c>
    </row>
    <row r="546" spans="1:40" x14ac:dyDescent="0.25">
      <c r="A546" t="str">
        <f>"20190312150645963"</f>
        <v>20190312150645963</v>
      </c>
      <c r="B546" t="str">
        <f>"1552374405951491"</f>
        <v>1552374405951491</v>
      </c>
      <c r="C546" t="s">
        <v>40</v>
      </c>
      <c r="D546">
        <v>5.118633</v>
      </c>
      <c r="E546">
        <v>0.56153889999999995</v>
      </c>
      <c r="F546" t="s">
        <v>41</v>
      </c>
      <c r="G546">
        <v>-401.60329999999999</v>
      </c>
      <c r="H546">
        <v>0.86991969999999996</v>
      </c>
      <c r="I546">
        <v>367.33640000000003</v>
      </c>
      <c r="J546">
        <v>-401.99829999999997</v>
      </c>
      <c r="K546">
        <v>1.0601739999999999</v>
      </c>
      <c r="L546">
        <v>367.45569999999998</v>
      </c>
      <c r="M546">
        <v>0.99987269999999995</v>
      </c>
      <c r="N546">
        <v>0</v>
      </c>
      <c r="O546">
        <v>6.6627550000000002E-3</v>
      </c>
      <c r="P546">
        <v>0.99977689999999997</v>
      </c>
      <c r="Q546">
        <v>1.875185E-2</v>
      </c>
      <c r="R546">
        <v>-9.7457989999999994E-3</v>
      </c>
      <c r="S546">
        <v>3.0120849999999999</v>
      </c>
      <c r="T546">
        <v>-0.84778169999999897</v>
      </c>
      <c r="U546">
        <v>-0.52178959999999996</v>
      </c>
      <c r="V546">
        <v>1.641569E-2</v>
      </c>
      <c r="W546">
        <v>3.3252129999999998E-2</v>
      </c>
      <c r="X546">
        <v>0.99931219999999998</v>
      </c>
      <c r="Y546">
        <v>0.17056060000000001</v>
      </c>
      <c r="Z546">
        <v>-2.520822E-2</v>
      </c>
      <c r="AA546">
        <v>0.98502469999999998</v>
      </c>
      <c r="AB546">
        <v>34</v>
      </c>
      <c r="AC546">
        <v>0.39499999999998098</v>
      </c>
      <c r="AD546">
        <v>-0.19025429999999999</v>
      </c>
      <c r="AE546">
        <v>-0.119299999999952</v>
      </c>
      <c r="AF546">
        <v>0.10055207165035</v>
      </c>
      <c r="AG546">
        <v>-0.19025429999999999</v>
      </c>
      <c r="AH546">
        <v>0.32508359212211801</v>
      </c>
      <c r="AI546">
        <v>119.21008093243501</v>
      </c>
      <c r="AJ546">
        <v>72.812563877511806</v>
      </c>
      <c r="AK546">
        <v>0.38985479303028497</v>
      </c>
      <c r="AL546">
        <v>88.094442066863394</v>
      </c>
      <c r="AM546">
        <v>89.058887535537806</v>
      </c>
      <c r="AN546">
        <v>1.00000002604827</v>
      </c>
    </row>
    <row r="547" spans="1:40" x14ac:dyDescent="0.25">
      <c r="A547" t="str">
        <f>"20190312150645974"</f>
        <v>20190312150645974</v>
      </c>
      <c r="B547" t="str">
        <f>"1552374405971011"</f>
        <v>1552374405971011</v>
      </c>
      <c r="C547" t="s">
        <v>40</v>
      </c>
      <c r="D547">
        <v>4.8667540000000002</v>
      </c>
      <c r="E547">
        <v>0.56160120000000002</v>
      </c>
      <c r="F547" t="s">
        <v>41</v>
      </c>
      <c r="G547">
        <v>-401.30259999999998</v>
      </c>
      <c r="H547">
        <v>0.86404899999999996</v>
      </c>
      <c r="I547">
        <v>367.33499999999998</v>
      </c>
      <c r="J547">
        <v>-401.82119999999998</v>
      </c>
      <c r="K547">
        <v>1.060176</v>
      </c>
      <c r="L547">
        <v>367.45679999999999</v>
      </c>
      <c r="M547">
        <v>0.99987269999999995</v>
      </c>
      <c r="N547">
        <v>0</v>
      </c>
      <c r="O547">
        <v>6.6158299999999996E-3</v>
      </c>
      <c r="P547">
        <v>0.99977640000000001</v>
      </c>
      <c r="Q547">
        <v>1.8758500000000001E-2</v>
      </c>
      <c r="R547">
        <v>-9.766772E-3</v>
      </c>
      <c r="S547">
        <v>3.011536</v>
      </c>
      <c r="T547">
        <v>-0.84923280000000001</v>
      </c>
      <c r="U547">
        <v>-0.52243039999999996</v>
      </c>
      <c r="V547">
        <v>1.6389730000000002E-2</v>
      </c>
      <c r="W547">
        <v>3.3262140000000003E-2</v>
      </c>
      <c r="X547">
        <v>0.99931230000000004</v>
      </c>
      <c r="Y547">
        <v>0.17071939999999999</v>
      </c>
      <c r="Z547">
        <v>-2.5262639999999999E-2</v>
      </c>
      <c r="AA547">
        <v>0.98499579999999998</v>
      </c>
      <c r="AB547">
        <v>34</v>
      </c>
      <c r="AC547">
        <v>0.51859999999999196</v>
      </c>
      <c r="AD547">
        <v>-0.196127</v>
      </c>
      <c r="AE547">
        <v>-0.121800000000007</v>
      </c>
      <c r="AF547">
        <v>0.110280439589135</v>
      </c>
      <c r="AG547">
        <v>-0.196127</v>
      </c>
      <c r="AH547">
        <v>0.45597635204554698</v>
      </c>
      <c r="AI547">
        <v>112.688427679787</v>
      </c>
      <c r="AJ547">
        <v>76.403780841430603</v>
      </c>
      <c r="AK547">
        <v>0.50847026374188098</v>
      </c>
      <c r="AL547">
        <v>88.093868232076503</v>
      </c>
      <c r="AM547">
        <v>89.060375650819097</v>
      </c>
      <c r="AN547">
        <v>1.0000000330690699</v>
      </c>
    </row>
    <row r="548" spans="1:40" x14ac:dyDescent="0.25">
      <c r="A548" t="str">
        <f>"20190312150645988"</f>
        <v>20190312150645988</v>
      </c>
      <c r="B548" t="str">
        <f>"1552374405980772"</f>
        <v>1552374405980772</v>
      </c>
      <c r="C548" t="s">
        <v>40</v>
      </c>
      <c r="D548">
        <v>4.795026</v>
      </c>
      <c r="E548">
        <v>0.56153759999999997</v>
      </c>
      <c r="F548" t="s">
        <v>41</v>
      </c>
      <c r="G548">
        <v>-401.01280000000003</v>
      </c>
      <c r="H548">
        <v>0.83153269999999901</v>
      </c>
      <c r="I548">
        <v>367.31610000000001</v>
      </c>
      <c r="J548">
        <v>-401.61219999999997</v>
      </c>
      <c r="K548">
        <v>1.0601799999999999</v>
      </c>
      <c r="L548">
        <v>367.45819999999998</v>
      </c>
      <c r="M548">
        <v>0.99987309999999996</v>
      </c>
      <c r="N548">
        <v>0</v>
      </c>
      <c r="O548">
        <v>6.5605569999999998E-3</v>
      </c>
      <c r="P548">
        <v>0.99977439999999995</v>
      </c>
      <c r="Q548">
        <v>1.8797749999999998E-2</v>
      </c>
      <c r="R548">
        <v>-9.8982240000000006E-3</v>
      </c>
      <c r="S548">
        <v>3.0115660000000002</v>
      </c>
      <c r="T548">
        <v>-0.85181260000000003</v>
      </c>
      <c r="U548">
        <v>-0.52301030000000004</v>
      </c>
      <c r="V548">
        <v>1.6465939999999998E-2</v>
      </c>
      <c r="W548">
        <v>3.3305040000000001E-2</v>
      </c>
      <c r="X548">
        <v>0.99930960000000002</v>
      </c>
      <c r="Y548">
        <v>0.1708065</v>
      </c>
      <c r="Z548">
        <v>-2.533268E-2</v>
      </c>
      <c r="AA548">
        <v>0.98497889999999999</v>
      </c>
      <c r="AB548">
        <v>34</v>
      </c>
      <c r="AC548">
        <v>0.59939999999994598</v>
      </c>
      <c r="AD548">
        <v>-0.2286473</v>
      </c>
      <c r="AE548">
        <v>-0.14209999999997</v>
      </c>
      <c r="AF548">
        <v>0.12834745215635099</v>
      </c>
      <c r="AG548">
        <v>-0.2286473</v>
      </c>
      <c r="AH548">
        <v>0.52598966854393503</v>
      </c>
      <c r="AI548">
        <v>112.894749142083</v>
      </c>
      <c r="AJ548">
        <v>76.287149063692098</v>
      </c>
      <c r="AK548">
        <v>0.587722543116457</v>
      </c>
      <c r="AL548">
        <v>88.091408845651699</v>
      </c>
      <c r="AM548">
        <v>89.056004764990902</v>
      </c>
      <c r="AN548">
        <v>1.0000000147608199</v>
      </c>
    </row>
    <row r="549" spans="1:40" x14ac:dyDescent="0.25">
      <c r="A549" t="str">
        <f>"20190312150646001"</f>
        <v>20190312150646001</v>
      </c>
      <c r="B549" t="str">
        <f>"1552374405991508"</f>
        <v>1552374405991508</v>
      </c>
      <c r="C549" t="s">
        <v>40</v>
      </c>
      <c r="D549">
        <v>5.1638549999999999</v>
      </c>
      <c r="E549">
        <v>0.5617934</v>
      </c>
      <c r="F549" t="s">
        <v>41</v>
      </c>
      <c r="G549">
        <v>-400.7199</v>
      </c>
      <c r="H549">
        <v>0.8077434</v>
      </c>
      <c r="I549">
        <v>367.30329999999998</v>
      </c>
      <c r="J549">
        <v>-401.4033</v>
      </c>
      <c r="K549">
        <v>1.0601860000000001</v>
      </c>
      <c r="L549">
        <v>367.45949999999999</v>
      </c>
      <c r="M549">
        <v>0.99987340000000002</v>
      </c>
      <c r="N549">
        <v>0</v>
      </c>
      <c r="O549">
        <v>6.5059380000000002E-3</v>
      </c>
      <c r="P549">
        <v>0.99976980000000004</v>
      </c>
      <c r="Q549">
        <v>1.897505E-2</v>
      </c>
      <c r="R549">
        <v>-1.0013589999999999E-2</v>
      </c>
      <c r="S549">
        <v>3.011536</v>
      </c>
      <c r="T549">
        <v>-0.85196269999999996</v>
      </c>
      <c r="U549">
        <v>-0.52270509999999903</v>
      </c>
      <c r="V549">
        <v>1.6526820000000001E-2</v>
      </c>
      <c r="W549">
        <v>3.3485180000000003E-2</v>
      </c>
      <c r="X549">
        <v>0.99930260000000004</v>
      </c>
      <c r="Y549">
        <v>0.17066249999999999</v>
      </c>
      <c r="Z549">
        <v>-2.530253E-2</v>
      </c>
      <c r="AA549">
        <v>0.98500460000000001</v>
      </c>
      <c r="AB549">
        <v>34</v>
      </c>
      <c r="AC549">
        <v>0.683400000000006</v>
      </c>
      <c r="AD549">
        <v>-0.25244260000000002</v>
      </c>
      <c r="AE549">
        <v>-0.156200000000012</v>
      </c>
      <c r="AF549">
        <v>0.14220298549919799</v>
      </c>
      <c r="AG549">
        <v>-0.25244260000000002</v>
      </c>
      <c r="AH549">
        <v>0.60403966425024103</v>
      </c>
      <c r="AI549">
        <v>112.136632572426</v>
      </c>
      <c r="AJ549">
        <v>76.752649010393299</v>
      </c>
      <c r="AK549">
        <v>0.66993497547686598</v>
      </c>
      <c r="AL549">
        <v>88.081081871841405</v>
      </c>
      <c r="AM549">
        <v>89.052508503174593</v>
      </c>
      <c r="AN549">
        <v>1.0000000397128499</v>
      </c>
    </row>
    <row r="550" spans="1:40" x14ac:dyDescent="0.25">
      <c r="A550" t="str">
        <f>"20190312150646019"</f>
        <v>20190312150646019</v>
      </c>
      <c r="B550" t="str">
        <f>"1552374406011028"</f>
        <v>1552374406011028</v>
      </c>
      <c r="C550" t="s">
        <v>40</v>
      </c>
      <c r="D550">
        <v>4.8045650000000002</v>
      </c>
      <c r="E550">
        <v>0.56174089999999999</v>
      </c>
      <c r="F550" t="s">
        <v>41</v>
      </c>
      <c r="G550">
        <v>-400.69889999999998</v>
      </c>
      <c r="H550">
        <v>0.86086870000000004</v>
      </c>
      <c r="I550">
        <v>367.33670000000001</v>
      </c>
      <c r="J550">
        <v>-401.1293</v>
      </c>
      <c r="K550">
        <v>1.060352</v>
      </c>
      <c r="L550">
        <v>367.46129999999999</v>
      </c>
      <c r="M550">
        <v>0.99987389999999998</v>
      </c>
      <c r="N550">
        <v>0</v>
      </c>
      <c r="O550">
        <v>5.5867310000000002E-3</v>
      </c>
      <c r="P550">
        <v>0.9997528</v>
      </c>
      <c r="Q550">
        <v>1.92476E-2</v>
      </c>
      <c r="R550">
        <v>-1.114744E-2</v>
      </c>
      <c r="S550">
        <v>3.0116580000000002</v>
      </c>
      <c r="T550">
        <v>-0.85216190000000003</v>
      </c>
      <c r="U550">
        <v>-0.52511600000000003</v>
      </c>
      <c r="V550">
        <v>1.67365999999999E-2</v>
      </c>
      <c r="W550">
        <v>3.4117099999999997E-2</v>
      </c>
      <c r="X550">
        <v>0.99927770000000005</v>
      </c>
      <c r="Y550">
        <v>0.17055439999999999</v>
      </c>
      <c r="Z550">
        <v>-2.503737E-2</v>
      </c>
      <c r="AA550">
        <v>0.98503010000000002</v>
      </c>
      <c r="AB550">
        <v>34</v>
      </c>
      <c r="AC550">
        <v>0.43040000000001999</v>
      </c>
      <c r="AD550">
        <v>-0.199483299999999</v>
      </c>
      <c r="AE550">
        <v>-0.124599999999986</v>
      </c>
      <c r="AF550">
        <v>0.10599421213494099</v>
      </c>
      <c r="AG550">
        <v>-0.199483299999999</v>
      </c>
      <c r="AH550">
        <v>0.358617191988433</v>
      </c>
      <c r="AI550">
        <v>118.07744246426699</v>
      </c>
      <c r="AJ550">
        <v>73.534235139106997</v>
      </c>
      <c r="AK550">
        <v>0.42383328134381498</v>
      </c>
      <c r="AL550">
        <v>88.044854756830404</v>
      </c>
      <c r="AM550">
        <v>89.040460032392602</v>
      </c>
      <c r="AN550">
        <v>1.0000000060046299</v>
      </c>
    </row>
    <row r="551" spans="1:40" x14ac:dyDescent="0.25">
      <c r="A551" t="str">
        <f>"20190312150646032"</f>
        <v>20190312150646032</v>
      </c>
      <c r="B551" t="str">
        <f>"1552374406020787"</f>
        <v>1552374406020787</v>
      </c>
      <c r="C551" t="s">
        <v>40</v>
      </c>
      <c r="D551">
        <v>4.8071970000000004</v>
      </c>
      <c r="E551">
        <v>0.56173719999999905</v>
      </c>
      <c r="F551" t="s">
        <v>41</v>
      </c>
      <c r="G551">
        <v>-400.40089999999998</v>
      </c>
      <c r="H551">
        <v>0.85408009999999901</v>
      </c>
      <c r="I551">
        <v>367.33359999999999</v>
      </c>
      <c r="J551">
        <v>-400.95249999999999</v>
      </c>
      <c r="K551">
        <v>1.0604629999999999</v>
      </c>
      <c r="L551">
        <v>367.46260000000001</v>
      </c>
      <c r="M551">
        <v>0.99986969999999997</v>
      </c>
      <c r="N551">
        <v>0</v>
      </c>
      <c r="O551">
        <v>4.9855719999999997E-3</v>
      </c>
      <c r="P551">
        <v>0.99975040000000004</v>
      </c>
      <c r="Q551">
        <v>1.9070340000000002E-2</v>
      </c>
      <c r="R551">
        <v>-1.1647899999999999E-2</v>
      </c>
      <c r="S551">
        <v>3.0112610000000002</v>
      </c>
      <c r="T551">
        <v>-0.85281409999999902</v>
      </c>
      <c r="U551">
        <v>-0.52752690000000002</v>
      </c>
      <c r="V551">
        <v>1.6642480000000001E-2</v>
      </c>
      <c r="W551">
        <v>3.4419230000000002E-2</v>
      </c>
      <c r="X551">
        <v>0.99926890000000002</v>
      </c>
      <c r="Y551">
        <v>0.17075470000000001</v>
      </c>
      <c r="Z551">
        <v>-2.4919139999999999E-2</v>
      </c>
      <c r="AA551">
        <v>0.98499840000000005</v>
      </c>
      <c r="AB551">
        <v>34</v>
      </c>
      <c r="AC551">
        <v>0.55160000000000697</v>
      </c>
      <c r="AD551">
        <v>-0.20638290000000001</v>
      </c>
      <c r="AE551">
        <v>-0.12900000000001899</v>
      </c>
      <c r="AF551">
        <v>0.116310707154321</v>
      </c>
      <c r="AG551">
        <v>-0.20638290000000001</v>
      </c>
      <c r="AH551">
        <v>0.48639072399965499</v>
      </c>
      <c r="AI551">
        <v>112.42495435718401</v>
      </c>
      <c r="AJ551">
        <v>76.5513981133046</v>
      </c>
      <c r="AK551">
        <v>0.54101572842576096</v>
      </c>
      <c r="AL551">
        <v>88.027533788287002</v>
      </c>
      <c r="AM551">
        <v>89.0458467031184</v>
      </c>
      <c r="AN551">
        <v>0.99999999502077597</v>
      </c>
    </row>
    <row r="552" spans="1:40" x14ac:dyDescent="0.25">
      <c r="A552" t="str">
        <f>"20190312150646044"</f>
        <v>20190312150646044</v>
      </c>
      <c r="B552" t="str">
        <f>"1552374406041283"</f>
        <v>1552374406041283</v>
      </c>
      <c r="C552" t="s">
        <v>40</v>
      </c>
      <c r="D552">
        <v>4.798991</v>
      </c>
      <c r="E552">
        <v>0.5617048</v>
      </c>
      <c r="F552" t="s">
        <v>41</v>
      </c>
      <c r="G552">
        <v>-400.11630000000002</v>
      </c>
      <c r="H552">
        <v>0.82333519999999905</v>
      </c>
      <c r="I552">
        <v>367.31540000000001</v>
      </c>
      <c r="J552">
        <v>-400.7713</v>
      </c>
      <c r="K552">
        <v>1.0605770000000001</v>
      </c>
      <c r="L552">
        <v>367.464</v>
      </c>
      <c r="M552">
        <v>0.99986269999999999</v>
      </c>
      <c r="N552">
        <v>0</v>
      </c>
      <c r="O552">
        <v>4.4112300000000004E-3</v>
      </c>
      <c r="P552">
        <v>0.99975449999999999</v>
      </c>
      <c r="Q552">
        <v>1.8430390000000001E-2</v>
      </c>
      <c r="R552">
        <v>-1.2306940000000001E-2</v>
      </c>
      <c r="S552">
        <v>3.0108640000000002</v>
      </c>
      <c r="T552">
        <v>-0.85390330000000003</v>
      </c>
      <c r="U552">
        <v>-0.52911379999999997</v>
      </c>
      <c r="V552">
        <v>1.6739710000000001E-2</v>
      </c>
      <c r="W552">
        <v>3.4391119999999997E-2</v>
      </c>
      <c r="X552">
        <v>0.99926820000000005</v>
      </c>
      <c r="Y552">
        <v>0.17072079999999901</v>
      </c>
      <c r="Z552">
        <v>-2.478853E-2</v>
      </c>
      <c r="AA552">
        <v>0.98500759999999998</v>
      </c>
      <c r="AB552">
        <v>34</v>
      </c>
      <c r="AC552">
        <v>0.65499999999997205</v>
      </c>
      <c r="AD552">
        <v>-0.2372418</v>
      </c>
      <c r="AE552">
        <v>-0.14859999999998699</v>
      </c>
      <c r="AF552">
        <v>0.134684033071437</v>
      </c>
      <c r="AG552">
        <v>-0.2372418</v>
      </c>
      <c r="AH552">
        <v>0.58175382538207598</v>
      </c>
      <c r="AI552">
        <v>111.667734361649</v>
      </c>
      <c r="AJ552">
        <v>76.964886680777497</v>
      </c>
      <c r="AK552">
        <v>0.642542585186621</v>
      </c>
      <c r="AL552">
        <v>88.029145240497897</v>
      </c>
      <c r="AM552">
        <v>89.040272641442101</v>
      </c>
      <c r="AN552">
        <v>0.99999995127848795</v>
      </c>
    </row>
    <row r="553" spans="1:40" x14ac:dyDescent="0.25">
      <c r="A553" t="str">
        <f>"20190312150646056"</f>
        <v>20190312150646056</v>
      </c>
      <c r="B553" t="str">
        <f>"1552374406051043"</f>
        <v>1552374406051043</v>
      </c>
      <c r="C553" t="s">
        <v>40</v>
      </c>
      <c r="D553">
        <v>4.7474920000000003</v>
      </c>
      <c r="E553">
        <v>0.56169829999999998</v>
      </c>
      <c r="F553" t="s">
        <v>41</v>
      </c>
      <c r="G553">
        <v>-400.09809999999999</v>
      </c>
      <c r="H553">
        <v>0.86902489999999999</v>
      </c>
      <c r="I553">
        <v>367.34500000000003</v>
      </c>
      <c r="J553">
        <v>-400.58940000000001</v>
      </c>
      <c r="K553">
        <v>1.0606420000000001</v>
      </c>
      <c r="L553">
        <v>367.46510000000001</v>
      </c>
      <c r="M553">
        <v>0.99985550000000001</v>
      </c>
      <c r="N553">
        <v>0</v>
      </c>
      <c r="O553">
        <v>4.6035529999999998E-3</v>
      </c>
      <c r="P553">
        <v>0.9997587</v>
      </c>
      <c r="Q553">
        <v>1.822942E-2</v>
      </c>
      <c r="R553">
        <v>-1.2279379999999999E-2</v>
      </c>
      <c r="S553">
        <v>3.009979</v>
      </c>
      <c r="T553">
        <v>-0.85661769999999904</v>
      </c>
      <c r="U553">
        <v>-0.53079219999999905</v>
      </c>
      <c r="V553">
        <v>1.6932780000000001E-2</v>
      </c>
      <c r="W553">
        <v>3.4575549999999997E-2</v>
      </c>
      <c r="X553">
        <v>0.9992586</v>
      </c>
      <c r="Y553">
        <v>0.17141310000000001</v>
      </c>
      <c r="Z553">
        <v>-2.5019400000000001E-2</v>
      </c>
      <c r="AA553">
        <v>0.98488149999999997</v>
      </c>
      <c r="AB553">
        <v>34</v>
      </c>
      <c r="AC553">
        <v>0.491300000000023</v>
      </c>
      <c r="AD553">
        <v>-0.19161710000000001</v>
      </c>
      <c r="AE553">
        <v>-0.120099999999979</v>
      </c>
      <c r="AF553">
        <v>0.10700186505155899</v>
      </c>
      <c r="AG553">
        <v>-0.19161710000000001</v>
      </c>
      <c r="AH553">
        <v>0.42914324160594097</v>
      </c>
      <c r="AI553">
        <v>113.42450340622899</v>
      </c>
      <c r="AJ553">
        <v>75.999442192521599</v>
      </c>
      <c r="AK553">
        <v>0.482006674178872</v>
      </c>
      <c r="AL553">
        <v>88.018571925598806</v>
      </c>
      <c r="AM553">
        <v>89.029196261053897</v>
      </c>
      <c r="AN553">
        <v>0.99999996868514496</v>
      </c>
    </row>
    <row r="554" spans="1:40" x14ac:dyDescent="0.25">
      <c r="A554" t="str">
        <f>"20190312150646074"</f>
        <v>20190312150646074</v>
      </c>
      <c r="B554" t="str">
        <f>"1552374406071539"</f>
        <v>1552374406071539</v>
      </c>
      <c r="C554" t="s">
        <v>40</v>
      </c>
      <c r="D554">
        <v>4.8607129999999996</v>
      </c>
      <c r="E554">
        <v>0.56171249999999995</v>
      </c>
      <c r="F554" t="s">
        <v>41</v>
      </c>
      <c r="G554">
        <v>-399.81549999999999</v>
      </c>
      <c r="H554">
        <v>0.84030579999999999</v>
      </c>
      <c r="I554">
        <v>367.32819999999998</v>
      </c>
      <c r="J554">
        <v>-400.32580000000002</v>
      </c>
      <c r="K554">
        <v>1.0608059999999999</v>
      </c>
      <c r="L554">
        <v>367.46660000000003</v>
      </c>
      <c r="M554">
        <v>0.99985409999999997</v>
      </c>
      <c r="N554">
        <v>0</v>
      </c>
      <c r="O554">
        <v>5.4189859999999998E-3</v>
      </c>
      <c r="P554">
        <v>0.99975230000000004</v>
      </c>
      <c r="Q554">
        <v>1.8916519999999999E-2</v>
      </c>
      <c r="R554">
        <v>-1.172899E-2</v>
      </c>
      <c r="S554">
        <v>3.009827</v>
      </c>
      <c r="T554">
        <v>-0.85697540000000005</v>
      </c>
      <c r="U554">
        <v>-0.53158570000000005</v>
      </c>
      <c r="V554">
        <v>1.723278E-2</v>
      </c>
      <c r="W554">
        <v>3.5076400000000001E-2</v>
      </c>
      <c r="X554">
        <v>0.99923600000000001</v>
      </c>
      <c r="Y554">
        <v>0.1724002</v>
      </c>
      <c r="Z554">
        <v>-2.5392979999999999E-2</v>
      </c>
      <c r="AA554">
        <v>0.98469960000000001</v>
      </c>
      <c r="AB554">
        <v>33</v>
      </c>
      <c r="AC554">
        <v>0.51030000000002895</v>
      </c>
      <c r="AD554">
        <v>-0.22050019999999901</v>
      </c>
      <c r="AE554">
        <v>-0.13840000000004599</v>
      </c>
      <c r="AF554">
        <v>0.120250106019836</v>
      </c>
      <c r="AG554">
        <v>-0.22050019999999901</v>
      </c>
      <c r="AH554">
        <v>0.43405320559816801</v>
      </c>
      <c r="AI554">
        <v>116.08464731418999</v>
      </c>
      <c r="AJ554">
        <v>74.515139241283606</v>
      </c>
      <c r="AK554">
        <v>0.50148041984494995</v>
      </c>
      <c r="AL554">
        <v>87.989857883771194</v>
      </c>
      <c r="AM554">
        <v>89.011977458443695</v>
      </c>
      <c r="AN554">
        <v>0.99999995311974299</v>
      </c>
    </row>
    <row r="555" spans="1:40" x14ac:dyDescent="0.25">
      <c r="A555" t="str">
        <f>"20190312150646089"</f>
        <v>20190312150646089</v>
      </c>
      <c r="B555" t="str">
        <f>"1552374406081301"</f>
        <v>1552374406081301</v>
      </c>
      <c r="C555" t="s">
        <v>40</v>
      </c>
      <c r="D555">
        <v>4.6194829999999998</v>
      </c>
      <c r="E555">
        <v>0.56152590000000002</v>
      </c>
      <c r="F555" t="s">
        <v>41</v>
      </c>
      <c r="G555">
        <v>-399.52319999999997</v>
      </c>
      <c r="H555">
        <v>0.83275069999999995</v>
      </c>
      <c r="I555">
        <v>367.32499999999999</v>
      </c>
      <c r="J555">
        <v>-400.1146</v>
      </c>
      <c r="K555">
        <v>1.0611489999999999</v>
      </c>
      <c r="L555">
        <v>367.46769999999998</v>
      </c>
      <c r="M555">
        <v>0.99986229999999998</v>
      </c>
      <c r="N555">
        <v>0</v>
      </c>
      <c r="O555">
        <v>6.1651279999999998E-3</v>
      </c>
      <c r="P555">
        <v>0.99974450000000004</v>
      </c>
      <c r="Q555">
        <v>1.9732409999999999E-2</v>
      </c>
      <c r="R555">
        <v>-1.100889E-2</v>
      </c>
      <c r="S555">
        <v>3.0107119999999998</v>
      </c>
      <c r="T555">
        <v>-0.85552999999999901</v>
      </c>
      <c r="U555">
        <v>-0.53054809999999997</v>
      </c>
      <c r="V555">
        <v>1.726892E-2</v>
      </c>
      <c r="W555">
        <v>3.5081649999999999E-2</v>
      </c>
      <c r="X555">
        <v>0.99923519999999999</v>
      </c>
      <c r="Y555">
        <v>0.1727397</v>
      </c>
      <c r="Z555">
        <v>-2.5598820000000001E-2</v>
      </c>
      <c r="AA555">
        <v>0.98463480000000003</v>
      </c>
      <c r="AB555">
        <v>33</v>
      </c>
      <c r="AC555">
        <v>0.59140000000002102</v>
      </c>
      <c r="AD555">
        <v>-0.228398299999999</v>
      </c>
      <c r="AE555">
        <v>-0.14269999999999</v>
      </c>
      <c r="AF555">
        <v>0.12826552803864</v>
      </c>
      <c r="AG555">
        <v>-0.228398299999999</v>
      </c>
      <c r="AH555">
        <v>0.51756170410025204</v>
      </c>
      <c r="AI555">
        <v>113.187333656573</v>
      </c>
      <c r="AJ555">
        <v>76.081020948943802</v>
      </c>
      <c r="AK555">
        <v>0.580075811146334</v>
      </c>
      <c r="AL555">
        <v>87.989556912205899</v>
      </c>
      <c r="AM555">
        <v>89.009905030692295</v>
      </c>
      <c r="AN555">
        <v>0.99999996134186298</v>
      </c>
    </row>
    <row r="556" spans="1:40" x14ac:dyDescent="0.25">
      <c r="A556" t="str">
        <f>"20190312150646101"</f>
        <v>20190312150646101</v>
      </c>
      <c r="B556" t="str">
        <f>"1552374406091059"</f>
        <v>1552374406091059</v>
      </c>
      <c r="C556" t="s">
        <v>40</v>
      </c>
      <c r="D556">
        <v>4.8456020000000004</v>
      </c>
      <c r="E556">
        <v>0.56152440000000003</v>
      </c>
      <c r="F556" t="s">
        <v>41</v>
      </c>
      <c r="G556">
        <v>-399.23410000000001</v>
      </c>
      <c r="H556">
        <v>0.8118495</v>
      </c>
      <c r="I556">
        <v>367.31330000000003</v>
      </c>
      <c r="J556">
        <v>-399.91570000000002</v>
      </c>
      <c r="K556">
        <v>1.06182</v>
      </c>
      <c r="L556">
        <v>367.46879999999999</v>
      </c>
      <c r="M556">
        <v>0.99987890000000001</v>
      </c>
      <c r="N556">
        <v>0</v>
      </c>
      <c r="O556">
        <v>6.3901849999999996E-3</v>
      </c>
      <c r="P556">
        <v>0.99971849999999995</v>
      </c>
      <c r="Q556">
        <v>2.1033360000000001E-2</v>
      </c>
      <c r="R556">
        <v>-1.0985389999999999E-2</v>
      </c>
      <c r="S556">
        <v>3.0117799999999999</v>
      </c>
      <c r="T556">
        <v>-0.85286509999999904</v>
      </c>
      <c r="U556">
        <v>-0.52667240000000004</v>
      </c>
      <c r="V556">
        <v>1.7453429999999999E-2</v>
      </c>
      <c r="W556">
        <v>3.5179340000000003E-2</v>
      </c>
      <c r="X556">
        <v>0.99922860000000002</v>
      </c>
      <c r="Y556">
        <v>0.17174610000000001</v>
      </c>
      <c r="Z556">
        <v>-2.5441180000000001E-2</v>
      </c>
      <c r="AA556">
        <v>0.98481269999999999</v>
      </c>
      <c r="AB556">
        <v>33</v>
      </c>
      <c r="AC556">
        <v>0.68160000000000298</v>
      </c>
      <c r="AD556">
        <v>-0.24997050000000001</v>
      </c>
      <c r="AE556">
        <v>-0.15549999999996</v>
      </c>
      <c r="AF556">
        <v>0.14173299316153101</v>
      </c>
      <c r="AG556">
        <v>-0.24997050000000001</v>
      </c>
      <c r="AH556">
        <v>0.60344502481414197</v>
      </c>
      <c r="AI556">
        <v>111.96250716926301</v>
      </c>
      <c r="AJ556">
        <v>76.782340263649004</v>
      </c>
      <c r="AK556">
        <v>0.66837069818605699</v>
      </c>
      <c r="AL556">
        <v>87.983956311409401</v>
      </c>
      <c r="AM556">
        <v>88.999321879637705</v>
      </c>
      <c r="AN556">
        <v>1.0000000016197801</v>
      </c>
    </row>
    <row r="557" spans="1:40" x14ac:dyDescent="0.25">
      <c r="A557" t="str">
        <f>"20190312150646121"</f>
        <v>20190312150646121</v>
      </c>
      <c r="B557" t="str">
        <f>"1552374406111555"</f>
        <v>1552374406111555</v>
      </c>
      <c r="C557" t="s">
        <v>40</v>
      </c>
      <c r="D557">
        <v>4.8154879999999904</v>
      </c>
      <c r="E557">
        <v>0.56149550000000004</v>
      </c>
      <c r="F557" t="s">
        <v>41</v>
      </c>
      <c r="G557">
        <v>-399.21350000000001</v>
      </c>
      <c r="H557">
        <v>0.86385290000000003</v>
      </c>
      <c r="I557">
        <v>367.34559999999999</v>
      </c>
      <c r="J557">
        <v>-399.63139999999999</v>
      </c>
      <c r="K557">
        <v>1.063043</v>
      </c>
      <c r="L557">
        <v>367.47070000000002</v>
      </c>
      <c r="M557">
        <v>0.99990409999999996</v>
      </c>
      <c r="N557">
        <v>0</v>
      </c>
      <c r="O557">
        <v>6.1449249999999999E-3</v>
      </c>
      <c r="P557">
        <v>0.99966410000000006</v>
      </c>
      <c r="Q557">
        <v>2.3227640000000001E-2</v>
      </c>
      <c r="R557">
        <v>-1.150496E-2</v>
      </c>
      <c r="S557">
        <v>3.0129090000000001</v>
      </c>
      <c r="T557">
        <v>-0.849506599999999</v>
      </c>
      <c r="U557">
        <v>-0.52673340000000002</v>
      </c>
      <c r="V557">
        <v>1.770323E-2</v>
      </c>
      <c r="W557">
        <v>3.5607739999999999E-2</v>
      </c>
      <c r="X557">
        <v>0.99920900000000001</v>
      </c>
      <c r="Y557">
        <v>0.1715361</v>
      </c>
      <c r="Z557">
        <v>-2.5239370000000001E-2</v>
      </c>
      <c r="AA557">
        <v>0.98485449999999997</v>
      </c>
      <c r="AB557">
        <v>33</v>
      </c>
      <c r="AC557">
        <v>0.41789999999997401</v>
      </c>
      <c r="AD557">
        <v>-0.19919009999999901</v>
      </c>
      <c r="AE557">
        <v>-0.12510000000003099</v>
      </c>
      <c r="AF557">
        <v>0.105639358654428</v>
      </c>
      <c r="AG557">
        <v>-0.19919009999999901</v>
      </c>
      <c r="AH557">
        <v>0.34515618164880102</v>
      </c>
      <c r="AI557">
        <v>118.89138749586</v>
      </c>
      <c r="AJ557">
        <v>72.982615751328495</v>
      </c>
      <c r="AK557">
        <v>0.41227316158744698</v>
      </c>
      <c r="AL557">
        <v>87.959395347398399</v>
      </c>
      <c r="AM557">
        <v>88.984982870690004</v>
      </c>
      <c r="AN557">
        <v>0.99999997059066903</v>
      </c>
    </row>
    <row r="558" spans="1:40" x14ac:dyDescent="0.25">
      <c r="A558" t="str">
        <f>"20190312150646134"</f>
        <v>20190312150646134</v>
      </c>
      <c r="B558" t="str">
        <f>"1552374406131075"</f>
        <v>1552374406131075</v>
      </c>
      <c r="C558" t="s">
        <v>40</v>
      </c>
      <c r="D558">
        <v>4.82315</v>
      </c>
      <c r="E558">
        <v>0.5613726</v>
      </c>
      <c r="F558" t="s">
        <v>41</v>
      </c>
      <c r="G558">
        <v>-398.91640000000001</v>
      </c>
      <c r="H558">
        <v>0.86284089999999902</v>
      </c>
      <c r="I558">
        <v>367.34570000000002</v>
      </c>
      <c r="J558">
        <v>-399.44630000000001</v>
      </c>
      <c r="K558">
        <v>1.063912</v>
      </c>
      <c r="L558">
        <v>367.47199999999998</v>
      </c>
      <c r="M558">
        <v>0.99991890000000005</v>
      </c>
      <c r="N558">
        <v>0</v>
      </c>
      <c r="O558">
        <v>5.8202380000000001E-3</v>
      </c>
      <c r="P558">
        <v>0.99963120000000005</v>
      </c>
      <c r="Q558">
        <v>2.44856E-2</v>
      </c>
      <c r="R558">
        <v>-1.174715E-2</v>
      </c>
      <c r="S558">
        <v>3.0145569999999999</v>
      </c>
      <c r="T558">
        <v>-0.84401090000000001</v>
      </c>
      <c r="U558">
        <v>-0.52737429999999996</v>
      </c>
      <c r="V558">
        <v>1.7610109999999998E-2</v>
      </c>
      <c r="W558">
        <v>3.5785490000000003E-2</v>
      </c>
      <c r="X558">
        <v>0.99920430000000005</v>
      </c>
      <c r="Y558">
        <v>0.1714367</v>
      </c>
      <c r="Z558">
        <v>-2.4966439999999999E-2</v>
      </c>
      <c r="AA558">
        <v>0.9848787</v>
      </c>
      <c r="AB558">
        <v>33</v>
      </c>
      <c r="AC558">
        <v>0.52989999999999704</v>
      </c>
      <c r="AD558">
        <v>-0.2010711</v>
      </c>
      <c r="AE558">
        <v>-0.126299999999957</v>
      </c>
      <c r="AF558">
        <v>0.113868405248208</v>
      </c>
      <c r="AG558">
        <v>-0.2010711</v>
      </c>
      <c r="AH558">
        <v>0.46570652728599898</v>
      </c>
      <c r="AI558">
        <v>112.753191556109</v>
      </c>
      <c r="AJ558">
        <v>76.260361344361996</v>
      </c>
      <c r="AK558">
        <v>0.51988284307694299</v>
      </c>
      <c r="AL558">
        <v>87.9492045368535</v>
      </c>
      <c r="AM558">
        <v>88.990316062234001</v>
      </c>
      <c r="AN558">
        <v>0.99999997520362005</v>
      </c>
    </row>
    <row r="559" spans="1:40" x14ac:dyDescent="0.25">
      <c r="A559" t="str">
        <f>"20190312150646152"</f>
        <v>20190312150646152</v>
      </c>
      <c r="B559" t="str">
        <f>"1552374406140835"</f>
        <v>1552374406140835</v>
      </c>
      <c r="C559" t="s">
        <v>40</v>
      </c>
      <c r="D559">
        <v>4.8346900000000002</v>
      </c>
      <c r="E559">
        <v>0.56136450000000004</v>
      </c>
      <c r="F559" t="s">
        <v>41</v>
      </c>
      <c r="G559">
        <v>-398.62959999999998</v>
      </c>
      <c r="H559">
        <v>0.83613689999999996</v>
      </c>
      <c r="I559">
        <v>367.32900000000001</v>
      </c>
      <c r="J559">
        <v>-399.1635</v>
      </c>
      <c r="K559">
        <v>1.065272</v>
      </c>
      <c r="L559">
        <v>367.47390000000001</v>
      </c>
      <c r="M559">
        <v>0.99993840000000001</v>
      </c>
      <c r="N559">
        <v>0</v>
      </c>
      <c r="O559">
        <v>5.3201469999999999E-3</v>
      </c>
      <c r="P559">
        <v>0.99957890000000005</v>
      </c>
      <c r="Q559">
        <v>2.6299369999999999E-2</v>
      </c>
      <c r="R559">
        <v>-1.225529E-2</v>
      </c>
      <c r="S559">
        <v>3.0155639999999999</v>
      </c>
      <c r="T559">
        <v>-0.84108109999999903</v>
      </c>
      <c r="U559">
        <v>-0.52670289999999997</v>
      </c>
      <c r="V559">
        <v>1.7609949999999999E-2</v>
      </c>
      <c r="W559">
        <v>3.6020419999999997E-2</v>
      </c>
      <c r="X559">
        <v>0.99919590000000003</v>
      </c>
      <c r="Y559">
        <v>0.17076830000000001</v>
      </c>
      <c r="Z559">
        <v>-2.4648670000000001E-2</v>
      </c>
      <c r="AA559">
        <v>0.98500290000000001</v>
      </c>
      <c r="AB559">
        <v>33</v>
      </c>
      <c r="AC559">
        <v>0.53390000000001603</v>
      </c>
      <c r="AD559">
        <v>-0.22913509999999901</v>
      </c>
      <c r="AE559">
        <v>-0.144900000000006</v>
      </c>
      <c r="AF559">
        <v>0.126104874505337</v>
      </c>
      <c r="AG559">
        <v>-0.22913509999999901</v>
      </c>
      <c r="AH559">
        <v>0.455055502312043</v>
      </c>
      <c r="AI559">
        <v>115.884727380935</v>
      </c>
      <c r="AJ559">
        <v>74.510895548851906</v>
      </c>
      <c r="AK559">
        <v>0.52486269024429899</v>
      </c>
      <c r="AL559">
        <v>87.9357354348505</v>
      </c>
      <c r="AM559">
        <v>88.990316747674001</v>
      </c>
      <c r="AN559">
        <v>1.00000001378639</v>
      </c>
    </row>
    <row r="560" spans="1:40" x14ac:dyDescent="0.25">
      <c r="A560" t="str">
        <f>"20190312150646165"</f>
        <v>20190312150646165</v>
      </c>
      <c r="B560" t="str">
        <f>"1552374406161331"</f>
        <v>1552374406161331</v>
      </c>
      <c r="C560" t="s">
        <v>40</v>
      </c>
      <c r="D560">
        <v>4.7977309999999997</v>
      </c>
      <c r="E560">
        <v>0.56130869999999999</v>
      </c>
      <c r="F560" t="s">
        <v>41</v>
      </c>
      <c r="G560">
        <v>-398.33300000000003</v>
      </c>
      <c r="H560">
        <v>0.83511650000000004</v>
      </c>
      <c r="I560">
        <v>367.32830000000001</v>
      </c>
      <c r="J560">
        <v>-398.98570000000001</v>
      </c>
      <c r="K560">
        <v>1.0661240000000001</v>
      </c>
      <c r="L560">
        <v>367.4751</v>
      </c>
      <c r="M560">
        <v>0.99994870000000002</v>
      </c>
      <c r="N560">
        <v>0</v>
      </c>
      <c r="O560">
        <v>5.0553400000000002E-3</v>
      </c>
      <c r="P560">
        <v>0.99955470000000002</v>
      </c>
      <c r="Q560">
        <v>2.7206020000000001E-2</v>
      </c>
      <c r="R560">
        <v>-1.227257E-2</v>
      </c>
      <c r="S560">
        <v>3.016785</v>
      </c>
      <c r="T560">
        <v>-0.83604669999999903</v>
      </c>
      <c r="U560">
        <v>-0.52832029999999996</v>
      </c>
      <c r="V560">
        <v>1.736147E-2</v>
      </c>
      <c r="W560">
        <v>3.5962760000000003E-2</v>
      </c>
      <c r="X560">
        <v>0.99920229999999999</v>
      </c>
      <c r="Y560">
        <v>0.17103479999999999</v>
      </c>
      <c r="Z560">
        <v>-2.4460349999999999E-2</v>
      </c>
      <c r="AA560">
        <v>0.98496130000000004</v>
      </c>
      <c r="AB560">
        <v>33</v>
      </c>
      <c r="AC560">
        <v>0.65269999999998096</v>
      </c>
      <c r="AD560">
        <v>-0.2310075</v>
      </c>
      <c r="AE560">
        <v>-0.146799999999984</v>
      </c>
      <c r="AF560">
        <v>0.134107891451821</v>
      </c>
      <c r="AG560">
        <v>-0.2310075</v>
      </c>
      <c r="AH560">
        <v>0.58249709175523501</v>
      </c>
      <c r="AI560">
        <v>111.130075105952</v>
      </c>
      <c r="AJ560">
        <v>77.034758849936594</v>
      </c>
      <c r="AK560">
        <v>0.64082154575920003</v>
      </c>
      <c r="AL560">
        <v>87.939041199252401</v>
      </c>
      <c r="AM560">
        <v>89.004567072475893</v>
      </c>
      <c r="AN560">
        <v>0.99999998853633398</v>
      </c>
    </row>
    <row r="561" spans="1:40" x14ac:dyDescent="0.25">
      <c r="A561" t="str">
        <f>"20190312150646175"</f>
        <v>20190312150646175</v>
      </c>
      <c r="B561" t="str">
        <f>"1552374406171091"</f>
        <v>1552374406171091</v>
      </c>
      <c r="C561" t="s">
        <v>40</v>
      </c>
      <c r="D561">
        <v>4.8408949999999997</v>
      </c>
      <c r="E561">
        <v>0.56130419999999903</v>
      </c>
      <c r="F561" t="s">
        <v>41</v>
      </c>
      <c r="G561">
        <v>-398.04730000000001</v>
      </c>
      <c r="H561">
        <v>0.8067647</v>
      </c>
      <c r="I561">
        <v>367.31040000000002</v>
      </c>
      <c r="J561">
        <v>-398.81450000000001</v>
      </c>
      <c r="K561">
        <v>1.066918</v>
      </c>
      <c r="L561">
        <v>367.47609999999997</v>
      </c>
      <c r="M561">
        <v>0.99995679999999998</v>
      </c>
      <c r="N561">
        <v>0</v>
      </c>
      <c r="O561">
        <v>4.949658E-3</v>
      </c>
      <c r="P561">
        <v>0.99952439999999998</v>
      </c>
      <c r="Q561">
        <v>2.830007E-2</v>
      </c>
      <c r="R561">
        <v>-1.225741E-2</v>
      </c>
      <c r="S561">
        <v>3.0175779999999999</v>
      </c>
      <c r="T561">
        <v>-0.83397030000000005</v>
      </c>
      <c r="U561">
        <v>-0.52801509999999996</v>
      </c>
      <c r="V561">
        <v>1.724438E-2</v>
      </c>
      <c r="W561">
        <v>3.6157660000000001E-2</v>
      </c>
      <c r="X561">
        <v>0.99919729999999995</v>
      </c>
      <c r="Y561">
        <v>0.17083579999999901</v>
      </c>
      <c r="Z561">
        <v>-2.4340569999999999E-2</v>
      </c>
      <c r="AA561">
        <v>0.98499879999999995</v>
      </c>
      <c r="AB561">
        <v>33</v>
      </c>
      <c r="AC561">
        <v>0.76720000000000199</v>
      </c>
      <c r="AD561">
        <v>-0.26015329999999998</v>
      </c>
      <c r="AE561">
        <v>-0.16569999999995799</v>
      </c>
      <c r="AF561">
        <v>0.15271782757572999</v>
      </c>
      <c r="AG561">
        <v>-0.26015329999999998</v>
      </c>
      <c r="AH561">
        <v>0.69051065845756798</v>
      </c>
      <c r="AI561">
        <v>110.19682017034</v>
      </c>
      <c r="AJ561">
        <v>77.528846913653396</v>
      </c>
      <c r="AK561">
        <v>0.753529988655956</v>
      </c>
      <c r="AL561">
        <v>87.927866996904697</v>
      </c>
      <c r="AM561">
        <v>89.011274231795099</v>
      </c>
      <c r="AN561">
        <v>0.99999999467277401</v>
      </c>
    </row>
    <row r="562" spans="1:40" x14ac:dyDescent="0.25">
      <c r="A562" t="str">
        <f>"20190312150646187"</f>
        <v>20190312150646187</v>
      </c>
      <c r="B562" t="str">
        <f>"1552374406180851"</f>
        <v>1552374406180851</v>
      </c>
      <c r="C562" t="s">
        <v>40</v>
      </c>
      <c r="D562">
        <v>4.8383890000000003</v>
      </c>
      <c r="E562">
        <v>0.56131049999999905</v>
      </c>
      <c r="F562" t="s">
        <v>41</v>
      </c>
      <c r="G562">
        <v>-398.0301</v>
      </c>
      <c r="H562">
        <v>0.85099409999999898</v>
      </c>
      <c r="I562">
        <v>367.33850000000001</v>
      </c>
      <c r="J562">
        <v>-398.65039999999999</v>
      </c>
      <c r="K562">
        <v>1.0677160000000001</v>
      </c>
      <c r="L562">
        <v>367.47710000000001</v>
      </c>
      <c r="M562">
        <v>0.99996289999999999</v>
      </c>
      <c r="N562">
        <v>0</v>
      </c>
      <c r="O562">
        <v>4.8566729999999997E-3</v>
      </c>
      <c r="P562">
        <v>0.99950749999999999</v>
      </c>
      <c r="Q562">
        <v>2.9013190000000001E-2</v>
      </c>
      <c r="R562">
        <v>-1.195763E-2</v>
      </c>
      <c r="S562">
        <v>3.0185550000000001</v>
      </c>
      <c r="T562">
        <v>-0.83094109999999999</v>
      </c>
      <c r="U562">
        <v>-0.52771000000000001</v>
      </c>
      <c r="V562">
        <v>1.6854499999999901E-2</v>
      </c>
      <c r="W562">
        <v>3.6119060000000001E-2</v>
      </c>
      <c r="X562">
        <v>0.99920540000000002</v>
      </c>
      <c r="Y562">
        <v>0.1706529</v>
      </c>
      <c r="Z562">
        <v>-2.4198509999999999E-2</v>
      </c>
      <c r="AA562">
        <v>0.98503399999999997</v>
      </c>
      <c r="AB562">
        <v>33</v>
      </c>
      <c r="AC562">
        <v>0.62029999999998597</v>
      </c>
      <c r="AD562">
        <v>-0.2167219</v>
      </c>
      <c r="AE562">
        <v>-0.138599999999996</v>
      </c>
      <c r="AF562">
        <v>0.12686165151932099</v>
      </c>
      <c r="AG562">
        <v>-0.2167219</v>
      </c>
      <c r="AH562">
        <v>0.55508355477925198</v>
      </c>
      <c r="AI562">
        <v>110.83768965623101</v>
      </c>
      <c r="AJ562">
        <v>77.126429614612405</v>
      </c>
      <c r="AK562">
        <v>0.60924544590188801</v>
      </c>
      <c r="AL562">
        <v>87.930080165933106</v>
      </c>
      <c r="AM562">
        <v>89.033631980721296</v>
      </c>
      <c r="AN562">
        <v>1.0000000460273399</v>
      </c>
    </row>
    <row r="563" spans="1:40" x14ac:dyDescent="0.25">
      <c r="A563" t="str">
        <f>"20190312150646198"</f>
        <v>20190312150646198</v>
      </c>
      <c r="B563" t="str">
        <f>"1552374406191587"</f>
        <v>1552374406191587</v>
      </c>
      <c r="C563" t="s">
        <v>40</v>
      </c>
      <c r="D563">
        <v>4.7941789999999997</v>
      </c>
      <c r="E563">
        <v>0.56128</v>
      </c>
      <c r="F563" t="s">
        <v>41</v>
      </c>
      <c r="G563">
        <v>-397.74810000000002</v>
      </c>
      <c r="H563">
        <v>0.82002469999999905</v>
      </c>
      <c r="I563">
        <v>367.31950000000001</v>
      </c>
      <c r="J563">
        <v>-398.47469999999998</v>
      </c>
      <c r="K563">
        <v>1.068689</v>
      </c>
      <c r="L563">
        <v>367.47800000000001</v>
      </c>
      <c r="M563">
        <v>0.99996629999999997</v>
      </c>
      <c r="N563">
        <v>0</v>
      </c>
      <c r="O563">
        <v>4.7838940000000003E-3</v>
      </c>
      <c r="P563">
        <v>0.99948979999999998</v>
      </c>
      <c r="Q563">
        <v>2.9652990000000001E-2</v>
      </c>
      <c r="R563">
        <v>-1.187268E-2</v>
      </c>
      <c r="S563">
        <v>3.0192260000000002</v>
      </c>
      <c r="T563">
        <v>-0.82882889999999998</v>
      </c>
      <c r="U563">
        <v>-0.52716059999999998</v>
      </c>
      <c r="V563">
        <v>1.6698060000000001E-2</v>
      </c>
      <c r="W563">
        <v>3.6305379999999998E-2</v>
      </c>
      <c r="X563">
        <v>0.99920120000000001</v>
      </c>
      <c r="Y563">
        <v>0.17041539999999999</v>
      </c>
      <c r="Z563">
        <v>-2.4083139999999999E-2</v>
      </c>
      <c r="AA563">
        <v>0.98507800000000001</v>
      </c>
      <c r="AB563">
        <v>33</v>
      </c>
      <c r="AC563">
        <v>0.72659999999996205</v>
      </c>
      <c r="AD563">
        <v>-0.2486643</v>
      </c>
      <c r="AE563">
        <v>-0.158500000000003</v>
      </c>
      <c r="AF563">
        <v>0.14568631844829</v>
      </c>
      <c r="AG563">
        <v>-0.2486643</v>
      </c>
      <c r="AH563">
        <v>0.65284454060351904</v>
      </c>
      <c r="AI563">
        <v>110.39260312279799</v>
      </c>
      <c r="AJ563">
        <v>77.420206693718399</v>
      </c>
      <c r="AK563">
        <v>0.71362765618586199</v>
      </c>
      <c r="AL563">
        <v>87.919397656266995</v>
      </c>
      <c r="AM563">
        <v>89.042595908859198</v>
      </c>
      <c r="AN563">
        <v>0.999999971953073</v>
      </c>
    </row>
    <row r="564" spans="1:40" x14ac:dyDescent="0.25">
      <c r="A564" t="str">
        <f>"20190312150646211"</f>
        <v>20190312150646211</v>
      </c>
      <c r="B564" t="str">
        <f>"1552374406201348"</f>
        <v>1552374406201348</v>
      </c>
      <c r="C564" t="s">
        <v>40</v>
      </c>
      <c r="D564">
        <v>4.7890009999999998</v>
      </c>
      <c r="E564">
        <v>0.56125769999999997</v>
      </c>
      <c r="F564" t="s">
        <v>41</v>
      </c>
      <c r="G564">
        <v>-397.73070000000001</v>
      </c>
      <c r="H564">
        <v>0.86493750000000003</v>
      </c>
      <c r="I564">
        <v>367.34809999999999</v>
      </c>
      <c r="J564">
        <v>-398.31020000000001</v>
      </c>
      <c r="K564">
        <v>1.0697449999999999</v>
      </c>
      <c r="L564">
        <v>367.47879999999998</v>
      </c>
      <c r="M564">
        <v>0.99996779999999996</v>
      </c>
      <c r="N564">
        <v>0</v>
      </c>
      <c r="O564">
        <v>4.7239059999999999E-3</v>
      </c>
      <c r="P564">
        <v>0.99948590000000004</v>
      </c>
      <c r="Q564">
        <v>2.9887819999999999E-2</v>
      </c>
      <c r="R564">
        <v>-1.1608729999999999E-2</v>
      </c>
      <c r="S564">
        <v>3.019806</v>
      </c>
      <c r="T564">
        <v>-0.82699560000000005</v>
      </c>
      <c r="U564">
        <v>-0.52694700000000005</v>
      </c>
      <c r="V564">
        <v>1.6374340000000001E-2</v>
      </c>
      <c r="W564">
        <v>3.6353030000000001E-2</v>
      </c>
      <c r="X564">
        <v>0.99920489999999995</v>
      </c>
      <c r="Y564">
        <v>0.17029279999999999</v>
      </c>
      <c r="Z564">
        <v>-2.399509E-2</v>
      </c>
      <c r="AA564">
        <v>0.98510129999999996</v>
      </c>
      <c r="AB564">
        <v>33</v>
      </c>
      <c r="AC564">
        <v>0.57949999999999502</v>
      </c>
      <c r="AD564">
        <v>-0.2048075</v>
      </c>
      <c r="AE564">
        <v>-0.13069999999998999</v>
      </c>
      <c r="AF564">
        <v>0.11926073998381</v>
      </c>
      <c r="AG564">
        <v>-0.2048075</v>
      </c>
      <c r="AH564">
        <v>0.51738016453859104</v>
      </c>
      <c r="AI564">
        <v>111.09360049961801</v>
      </c>
      <c r="AJ564">
        <v>77.019544922116495</v>
      </c>
      <c r="AK564">
        <v>0.56907949428503901</v>
      </c>
      <c r="AL564">
        <v>87.916665865274396</v>
      </c>
      <c r="AM564">
        <v>89.061156919535307</v>
      </c>
      <c r="AN564">
        <v>1.00000004699231</v>
      </c>
    </row>
    <row r="565" spans="1:40" x14ac:dyDescent="0.25">
      <c r="A565" t="str">
        <f>"20190312150646223"</f>
        <v>20190312150646223</v>
      </c>
      <c r="B565" t="str">
        <f>"1552374406211107"</f>
        <v>1552374406211107</v>
      </c>
      <c r="C565" t="s">
        <v>40</v>
      </c>
      <c r="D565">
        <v>4.8307779999999996</v>
      </c>
      <c r="E565">
        <v>0.56125219999999998</v>
      </c>
      <c r="F565" t="s">
        <v>41</v>
      </c>
      <c r="G565">
        <v>-397.45089999999999</v>
      </c>
      <c r="H565">
        <v>0.834599599999999</v>
      </c>
      <c r="I565">
        <v>367.32870000000003</v>
      </c>
      <c r="J565">
        <v>-398.10939999999999</v>
      </c>
      <c r="K565">
        <v>1.0711900000000001</v>
      </c>
      <c r="L565">
        <v>367.47980000000001</v>
      </c>
      <c r="M565">
        <v>0.99996790000000002</v>
      </c>
      <c r="N565">
        <v>0</v>
      </c>
      <c r="O565">
        <v>4.6589980000000001E-3</v>
      </c>
      <c r="P565">
        <v>0.99948749999999997</v>
      </c>
      <c r="Q565">
        <v>2.9931559999999999E-2</v>
      </c>
      <c r="R565">
        <v>-1.1344770000000001E-2</v>
      </c>
      <c r="S565">
        <v>3.0201419999999999</v>
      </c>
      <c r="T565">
        <v>-0.8265072</v>
      </c>
      <c r="U565">
        <v>-0.52590939999999997</v>
      </c>
      <c r="V565">
        <v>1.6045830000000001E-2</v>
      </c>
      <c r="W565">
        <v>3.6431180000000001E-2</v>
      </c>
      <c r="X565">
        <v>0.99920730000000002</v>
      </c>
      <c r="Y565">
        <v>0.16990620000000001</v>
      </c>
      <c r="Z565">
        <v>-2.391064E-2</v>
      </c>
      <c r="AA565">
        <v>0.98517010000000005</v>
      </c>
      <c r="AB565">
        <v>33</v>
      </c>
      <c r="AC565">
        <v>0.65850000000000297</v>
      </c>
      <c r="AD565">
        <v>-0.23659040000000001</v>
      </c>
      <c r="AE565">
        <v>-0.151099999999985</v>
      </c>
      <c r="AF565">
        <v>0.13732604366415499</v>
      </c>
      <c r="AG565">
        <v>-0.23659040000000001</v>
      </c>
      <c r="AH565">
        <v>0.58593543463773801</v>
      </c>
      <c r="AI565">
        <v>111.46125296861</v>
      </c>
      <c r="AJ565">
        <v>76.809627864849404</v>
      </c>
      <c r="AK565">
        <v>0.64664812162777097</v>
      </c>
      <c r="AL565">
        <v>87.912185058846305</v>
      </c>
      <c r="AM565">
        <v>89.079991386388897</v>
      </c>
      <c r="AN565">
        <v>0.99999996395493496</v>
      </c>
    </row>
    <row r="566" spans="1:40" x14ac:dyDescent="0.25">
      <c r="A566" t="str">
        <f>"20190312150646245"</f>
        <v>20190312150646245</v>
      </c>
      <c r="B566" t="str">
        <f>"1552374406241363"</f>
        <v>1552374406241363</v>
      </c>
      <c r="C566" t="s">
        <v>40</v>
      </c>
      <c r="D566">
        <v>4.6941790000000001</v>
      </c>
      <c r="E566">
        <v>0.56114960000000003</v>
      </c>
      <c r="F566" t="s">
        <v>41</v>
      </c>
      <c r="G566">
        <v>-397.43110000000001</v>
      </c>
      <c r="H566">
        <v>0.88561329999999905</v>
      </c>
      <c r="I566">
        <v>367.36130000000003</v>
      </c>
      <c r="J566">
        <v>-397.80529999999999</v>
      </c>
      <c r="K566">
        <v>1.0736589999999999</v>
      </c>
      <c r="L566">
        <v>367.48110000000003</v>
      </c>
      <c r="M566">
        <v>0.99996790000000002</v>
      </c>
      <c r="N566">
        <v>0</v>
      </c>
      <c r="O566">
        <v>4.5562229999999999E-3</v>
      </c>
      <c r="P566">
        <v>0.99948780000000004</v>
      </c>
      <c r="Q566">
        <v>2.9973369999999999E-2</v>
      </c>
      <c r="R566">
        <v>-1.122591E-2</v>
      </c>
      <c r="S566">
        <v>3.0202939999999998</v>
      </c>
      <c r="T566">
        <v>-0.82645020000000002</v>
      </c>
      <c r="U566">
        <v>-0.52554319999999999</v>
      </c>
      <c r="V566">
        <v>1.582312E-2</v>
      </c>
      <c r="W566">
        <v>3.6555549999999999E-2</v>
      </c>
      <c r="X566">
        <v>0.99920640000000005</v>
      </c>
      <c r="Y566">
        <v>0.16969329999999999</v>
      </c>
      <c r="Z566">
        <v>-2.38523E-2</v>
      </c>
      <c r="AA566">
        <v>0.98520819999999998</v>
      </c>
      <c r="AB566">
        <v>33</v>
      </c>
      <c r="AC566">
        <v>0.374199999999973</v>
      </c>
      <c r="AD566">
        <v>-0.18804570000000001</v>
      </c>
      <c r="AE566">
        <v>-0.11979999999999701</v>
      </c>
      <c r="AF566">
        <v>9.8859367854090802E-2</v>
      </c>
      <c r="AG566">
        <v>-0.18804570000000001</v>
      </c>
      <c r="AH566">
        <v>0.304013948218678</v>
      </c>
      <c r="AI566">
        <v>120.465075741234</v>
      </c>
      <c r="AJ566">
        <v>71.986491795730899</v>
      </c>
      <c r="AK566">
        <v>0.370889256534224</v>
      </c>
      <c r="AL566">
        <v>87.905054622685597</v>
      </c>
      <c r="AM566">
        <v>89.092757788672699</v>
      </c>
      <c r="AN566">
        <v>1.0000000545816401</v>
      </c>
    </row>
    <row r="567" spans="1:40" x14ac:dyDescent="0.25">
      <c r="A567" t="str">
        <f>"20190312150646256"</f>
        <v>20190312150646256</v>
      </c>
      <c r="B567" t="str">
        <f>"1552374406251123"</f>
        <v>1552374406251123</v>
      </c>
      <c r="C567" t="s">
        <v>40</v>
      </c>
      <c r="D567">
        <v>4.6726210000000004</v>
      </c>
      <c r="E567">
        <v>0.561052</v>
      </c>
      <c r="F567" t="s">
        <v>41</v>
      </c>
      <c r="G567">
        <v>-396.87299999999999</v>
      </c>
      <c r="H567">
        <v>0.81817700000000004</v>
      </c>
      <c r="I567">
        <v>367.31900000000002</v>
      </c>
      <c r="J567">
        <v>-397.61799999999999</v>
      </c>
      <c r="K567">
        <v>1.0752740000000001</v>
      </c>
      <c r="L567">
        <v>367.48180000000002</v>
      </c>
      <c r="M567">
        <v>0.999969</v>
      </c>
      <c r="N567">
        <v>0</v>
      </c>
      <c r="O567">
        <v>4.4780280000000002E-3</v>
      </c>
      <c r="P567">
        <v>0.99948979999999998</v>
      </c>
      <c r="Q567">
        <v>3.011927E-2</v>
      </c>
      <c r="R567">
        <v>-1.0634569999999999E-2</v>
      </c>
      <c r="S567">
        <v>3.0204469999999999</v>
      </c>
      <c r="T567">
        <v>-0.82772330000000005</v>
      </c>
      <c r="U567">
        <v>-0.52435299999999996</v>
      </c>
      <c r="V567">
        <v>1.515173E-2</v>
      </c>
      <c r="W567">
        <v>3.6583190000000002E-2</v>
      </c>
      <c r="X567">
        <v>0.99921570000000004</v>
      </c>
      <c r="Y567">
        <v>0.16923170000000001</v>
      </c>
      <c r="Z567">
        <v>-2.3804809999999999E-2</v>
      </c>
      <c r="AA567">
        <v>0.98528879999999996</v>
      </c>
      <c r="AB567">
        <v>33</v>
      </c>
      <c r="AC567">
        <v>0.74500000000000399</v>
      </c>
      <c r="AD567">
        <v>-0.25709699999999902</v>
      </c>
      <c r="AE567">
        <v>-0.162800000000004</v>
      </c>
      <c r="AF567">
        <v>0.149178365558506</v>
      </c>
      <c r="AG567">
        <v>-0.25709699999999902</v>
      </c>
      <c r="AH567">
        <v>0.66830168021564096</v>
      </c>
      <c r="AI567">
        <v>110.579229478469</v>
      </c>
      <c r="AJ567">
        <v>77.416720373033996</v>
      </c>
      <c r="AK567">
        <v>0.73142339854475302</v>
      </c>
      <c r="AL567">
        <v>87.903469708886504</v>
      </c>
      <c r="AM567">
        <v>89.131254990759402</v>
      </c>
      <c r="AN567">
        <v>0.99999995991952795</v>
      </c>
    </row>
    <row r="568" spans="1:40" x14ac:dyDescent="0.25">
      <c r="A568" t="str">
        <f>"20190312150646268"</f>
        <v>20190312150646268</v>
      </c>
      <c r="B568" t="str">
        <f>"1552374406260883"</f>
        <v>1552374406260883</v>
      </c>
      <c r="C568" t="s">
        <v>40</v>
      </c>
      <c r="D568">
        <v>4.5589899999999997</v>
      </c>
      <c r="E568">
        <v>0.5609381</v>
      </c>
      <c r="F568" t="s">
        <v>41</v>
      </c>
      <c r="G568">
        <v>-396.85430000000002</v>
      </c>
      <c r="H568">
        <v>0.86621740000000003</v>
      </c>
      <c r="I568">
        <v>367.34949999999998</v>
      </c>
      <c r="J568">
        <v>-397.45060000000001</v>
      </c>
      <c r="K568">
        <v>1.0767439999999999</v>
      </c>
      <c r="L568">
        <v>367.48250000000002</v>
      </c>
      <c r="M568">
        <v>0.99997000000000003</v>
      </c>
      <c r="N568">
        <v>0</v>
      </c>
      <c r="O568">
        <v>4.4072870000000002E-3</v>
      </c>
      <c r="P568">
        <v>0.99949750000000004</v>
      </c>
      <c r="Q568">
        <v>3.001473E-2</v>
      </c>
      <c r="R568">
        <v>-1.021947E-2</v>
      </c>
      <c r="S568">
        <v>3.0209350000000001</v>
      </c>
      <c r="T568">
        <v>-0.82707919999999902</v>
      </c>
      <c r="U568">
        <v>-0.52243039999999996</v>
      </c>
      <c r="V568">
        <v>1.466362E-2</v>
      </c>
      <c r="W568">
        <v>3.6373999999999997E-2</v>
      </c>
      <c r="X568">
        <v>0.99923070000000003</v>
      </c>
      <c r="Y568">
        <v>0.1685634</v>
      </c>
      <c r="Z568">
        <v>-2.3676409999999998E-2</v>
      </c>
      <c r="AA568">
        <v>0.98540640000000002</v>
      </c>
      <c r="AB568">
        <v>33</v>
      </c>
      <c r="AC568">
        <v>0.59629999999998495</v>
      </c>
      <c r="AD568">
        <v>-0.21052660000000001</v>
      </c>
      <c r="AE568">
        <v>-0.133000000000038</v>
      </c>
      <c r="AF568">
        <v>0.121231697850714</v>
      </c>
      <c r="AG568">
        <v>-0.21052660000000001</v>
      </c>
      <c r="AH568">
        <v>0.532480905797177</v>
      </c>
      <c r="AI568">
        <v>111.081859979008</v>
      </c>
      <c r="AJ568">
        <v>77.173910650132399</v>
      </c>
      <c r="AK568">
        <v>0.58528154670202004</v>
      </c>
      <c r="AL568">
        <v>87.915463564605801</v>
      </c>
      <c r="AM568">
        <v>89.159249975400797</v>
      </c>
      <c r="AN568">
        <v>1.00000004072499</v>
      </c>
    </row>
    <row r="569" spans="1:40" x14ac:dyDescent="0.25">
      <c r="A569" t="str">
        <f>"20190312150646281"</f>
        <v>20190312150646281</v>
      </c>
      <c r="B569" t="str">
        <f>"1552374406271619"</f>
        <v>1552374406271619</v>
      </c>
      <c r="C569" t="s">
        <v>40</v>
      </c>
      <c r="D569">
        <v>4.7754339999999997</v>
      </c>
      <c r="E569">
        <v>0.56091599999999997</v>
      </c>
      <c r="F569" t="s">
        <v>41</v>
      </c>
      <c r="G569">
        <v>-396.57249999999999</v>
      </c>
      <c r="H569">
        <v>0.83577760000000001</v>
      </c>
      <c r="I569">
        <v>367.33120000000002</v>
      </c>
      <c r="J569">
        <v>-397.26519999999999</v>
      </c>
      <c r="K569">
        <v>1.0784279999999999</v>
      </c>
      <c r="L569">
        <v>367.48320000000001</v>
      </c>
      <c r="M569">
        <v>0.99997100000000005</v>
      </c>
      <c r="N569">
        <v>0</v>
      </c>
      <c r="O569">
        <v>4.3285939999999998E-3</v>
      </c>
      <c r="P569">
        <v>0.99950380000000005</v>
      </c>
      <c r="Q569">
        <v>2.989166E-2</v>
      </c>
      <c r="R569">
        <v>-9.9308199999999999E-3</v>
      </c>
      <c r="S569">
        <v>3.0210880000000002</v>
      </c>
      <c r="T569">
        <v>-0.82907779999999998</v>
      </c>
      <c r="U569">
        <v>-0.52041629999999905</v>
      </c>
      <c r="V569">
        <v>1.429357E-2</v>
      </c>
      <c r="W569">
        <v>3.6137170000000003E-2</v>
      </c>
      <c r="X569">
        <v>0.99924460000000004</v>
      </c>
      <c r="Y569">
        <v>0.16783879999999901</v>
      </c>
      <c r="Z569">
        <v>-2.3613740000000001E-2</v>
      </c>
      <c r="AA569">
        <v>0.98553159999999895</v>
      </c>
      <c r="AB569">
        <v>33</v>
      </c>
      <c r="AC569">
        <v>0.69270000000000198</v>
      </c>
      <c r="AD569">
        <v>-0.24265039999999999</v>
      </c>
      <c r="AE569">
        <v>-0.15199999999998601</v>
      </c>
      <c r="AF569">
        <v>0.13875312723834099</v>
      </c>
      <c r="AG569">
        <v>-0.24265039999999999</v>
      </c>
      <c r="AH569">
        <v>0.61950918231311702</v>
      </c>
      <c r="AI569">
        <v>110.91747509049399</v>
      </c>
      <c r="AJ569">
        <v>77.375654067451705</v>
      </c>
      <c r="AK569">
        <v>0.67964937571430595</v>
      </c>
      <c r="AL569">
        <v>87.929041737027802</v>
      </c>
      <c r="AM569">
        <v>89.180475546490896</v>
      </c>
      <c r="AN569">
        <v>0.99999998591405603</v>
      </c>
    </row>
    <row r="570" spans="1:40" x14ac:dyDescent="0.25">
      <c r="A570" t="str">
        <f>"20190312150646300"</f>
        <v>20190312150646300</v>
      </c>
      <c r="B570" t="str">
        <f>"1552374406291139"</f>
        <v>1552374406291139</v>
      </c>
      <c r="C570" t="s">
        <v>40</v>
      </c>
      <c r="D570">
        <v>4.805574</v>
      </c>
      <c r="E570">
        <v>0.56092330000000001</v>
      </c>
      <c r="F570" t="s">
        <v>41</v>
      </c>
      <c r="G570">
        <v>-396.55410000000001</v>
      </c>
      <c r="H570">
        <v>0.88319179999999997</v>
      </c>
      <c r="I570">
        <v>367.36090000000002</v>
      </c>
      <c r="J570">
        <v>-396.98630000000003</v>
      </c>
      <c r="K570">
        <v>1.0810360000000001</v>
      </c>
      <c r="L570">
        <v>367.48430000000002</v>
      </c>
      <c r="M570">
        <v>0.99997179999999997</v>
      </c>
      <c r="N570">
        <v>0</v>
      </c>
      <c r="O570">
        <v>4.2117630000000003E-3</v>
      </c>
      <c r="P570">
        <v>0.99952160000000001</v>
      </c>
      <c r="Q570">
        <v>2.9563119999999998E-2</v>
      </c>
      <c r="R570">
        <v>-9.0876949999999998E-3</v>
      </c>
      <c r="S570">
        <v>3.021118</v>
      </c>
      <c r="T570">
        <v>-0.82953920000000003</v>
      </c>
      <c r="U570">
        <v>-0.51925659999999996</v>
      </c>
      <c r="V570">
        <v>1.332903E-2</v>
      </c>
      <c r="W570">
        <v>3.5772140000000001E-2</v>
      </c>
      <c r="X570">
        <v>0.99927109999999997</v>
      </c>
      <c r="Y570">
        <v>0.16736870000000001</v>
      </c>
      <c r="Z570">
        <v>-2.35327E-2</v>
      </c>
      <c r="AA570">
        <v>0.98561350000000003</v>
      </c>
      <c r="AB570">
        <v>33</v>
      </c>
      <c r="AC570">
        <v>0.43220000000002201</v>
      </c>
      <c r="AD570">
        <v>-0.1978442</v>
      </c>
      <c r="AE570">
        <v>-0.12340000000000299</v>
      </c>
      <c r="AF570">
        <v>0.104895675566822</v>
      </c>
      <c r="AG570">
        <v>-0.1978442</v>
      </c>
      <c r="AH570">
        <v>0.361613609130429</v>
      </c>
      <c r="AI570">
        <v>117.719875590443</v>
      </c>
      <c r="AJ570">
        <v>73.823788395308895</v>
      </c>
      <c r="AK570">
        <v>0.42533496509762198</v>
      </c>
      <c r="AL570">
        <v>87.949970017799799</v>
      </c>
      <c r="AM570">
        <v>89.235791092213304</v>
      </c>
      <c r="AN570">
        <v>1.0000000201680601</v>
      </c>
    </row>
    <row r="571" spans="1:40" x14ac:dyDescent="0.25">
      <c r="A571" t="str">
        <f>"20190312150646322"</f>
        <v>20190312150646322</v>
      </c>
      <c r="B571" t="str">
        <f>"1552374406311636"</f>
        <v>1552374406311636</v>
      </c>
      <c r="C571" t="s">
        <v>40</v>
      </c>
      <c r="D571">
        <v>4.9050079999999996</v>
      </c>
      <c r="E571">
        <v>0.56096169999999901</v>
      </c>
      <c r="F571" t="s">
        <v>41</v>
      </c>
      <c r="G571">
        <v>-396.26060000000001</v>
      </c>
      <c r="H571">
        <v>0.88144080000000002</v>
      </c>
      <c r="I571">
        <v>367.35969999999998</v>
      </c>
      <c r="J571">
        <v>-396.66910000000001</v>
      </c>
      <c r="K571">
        <v>1.084036</v>
      </c>
      <c r="L571">
        <v>367.48540000000003</v>
      </c>
      <c r="M571">
        <v>0.99997139999999995</v>
      </c>
      <c r="N571">
        <v>0</v>
      </c>
      <c r="O571">
        <v>4.0853419999999996E-3</v>
      </c>
      <c r="P571">
        <v>0.99953990000000004</v>
      </c>
      <c r="Q571">
        <v>2.9242850000000001E-2</v>
      </c>
      <c r="R571">
        <v>-8.0748950000000003E-3</v>
      </c>
      <c r="S571">
        <v>3.0213009999999998</v>
      </c>
      <c r="T571">
        <v>-0.83097659999999995</v>
      </c>
      <c r="U571">
        <v>-0.51742549999999998</v>
      </c>
      <c r="V571">
        <v>1.218459E-2</v>
      </c>
      <c r="W571">
        <v>3.5610129999999997E-2</v>
      </c>
      <c r="X571">
        <v>0.9992915</v>
      </c>
      <c r="Y571">
        <v>0.1666629</v>
      </c>
      <c r="Z571">
        <v>-2.3443269999999999E-2</v>
      </c>
      <c r="AA571">
        <v>0.98573520000000003</v>
      </c>
      <c r="AB571">
        <v>33</v>
      </c>
      <c r="AC571">
        <v>0.40850000000000303</v>
      </c>
      <c r="AD571">
        <v>-0.202595199999999</v>
      </c>
      <c r="AE571">
        <v>-0.12570000000005099</v>
      </c>
      <c r="AF571">
        <v>0.104000035187366</v>
      </c>
      <c r="AG571">
        <v>-0.202595199999999</v>
      </c>
      <c r="AH571">
        <v>0.33313157810871902</v>
      </c>
      <c r="AI571">
        <v>120.136103245878</v>
      </c>
      <c r="AJ571">
        <v>72.662207185935202</v>
      </c>
      <c r="AK571">
        <v>0.40353125122500599</v>
      </c>
      <c r="AL571">
        <v>87.959258432176995</v>
      </c>
      <c r="AM571">
        <v>89.301414064582403</v>
      </c>
      <c r="AN571">
        <v>1.00000002378216</v>
      </c>
    </row>
    <row r="572" spans="1:40" x14ac:dyDescent="0.25">
      <c r="A572" t="str">
        <f>"20190312150646342"</f>
        <v>20190312150646342</v>
      </c>
      <c r="B572" t="str">
        <f>"1552374406330810"</f>
        <v>1552374406330810</v>
      </c>
      <c r="C572" t="s">
        <v>40</v>
      </c>
      <c r="D572">
        <v>4.831296</v>
      </c>
      <c r="E572">
        <v>0.56093249999999995</v>
      </c>
      <c r="F572" t="s">
        <v>41</v>
      </c>
      <c r="G572">
        <v>-395.9631</v>
      </c>
      <c r="H572">
        <v>0.889572899999999</v>
      </c>
      <c r="I572">
        <v>367.36489999999998</v>
      </c>
      <c r="J572">
        <v>-396.3657</v>
      </c>
      <c r="K572">
        <v>1.08684</v>
      </c>
      <c r="L572">
        <v>367.48649999999998</v>
      </c>
      <c r="M572">
        <v>0.99996969999999996</v>
      </c>
      <c r="N572">
        <v>0</v>
      </c>
      <c r="O572">
        <v>3.9730740000000001E-3</v>
      </c>
      <c r="P572">
        <v>0.99954860000000001</v>
      </c>
      <c r="Q572">
        <v>2.904147E-2</v>
      </c>
      <c r="R572">
        <v>-7.7160950000000001E-3</v>
      </c>
      <c r="S572">
        <v>3.021576</v>
      </c>
      <c r="T572">
        <v>-0.83231350000000004</v>
      </c>
      <c r="U572">
        <v>-0.51510619999999996</v>
      </c>
      <c r="V572">
        <v>1.170964E-2</v>
      </c>
      <c r="W572">
        <v>3.5734019999999998E-2</v>
      </c>
      <c r="X572">
        <v>0.99929270000000003</v>
      </c>
      <c r="Y572">
        <v>0.16581750000000001</v>
      </c>
      <c r="Z572">
        <v>-2.3335370000000001E-2</v>
      </c>
      <c r="AA572">
        <v>0.98588030000000004</v>
      </c>
      <c r="AB572">
        <v>33</v>
      </c>
      <c r="AC572">
        <v>0.40260000000000601</v>
      </c>
      <c r="AD572">
        <v>-0.1972671</v>
      </c>
      <c r="AE572">
        <v>-0.1216</v>
      </c>
      <c r="AF572">
        <v>0.100981468827615</v>
      </c>
      <c r="AG572">
        <v>-0.1972671</v>
      </c>
      <c r="AH572">
        <v>0.32959805439490703</v>
      </c>
      <c r="AI572">
        <v>119.780456660456</v>
      </c>
      <c r="AJ572">
        <v>72.966107588568605</v>
      </c>
      <c r="AK572">
        <v>0.39717306460773599</v>
      </c>
      <c r="AL572">
        <v>87.952155423421999</v>
      </c>
      <c r="AM572">
        <v>89.328642902627493</v>
      </c>
      <c r="AN572">
        <v>0.99999996806378899</v>
      </c>
    </row>
    <row r="573" spans="1:40" x14ac:dyDescent="0.25">
      <c r="A573" t="str">
        <f>"20190312150646354"</f>
        <v>20190312150646354</v>
      </c>
      <c r="B573" t="str">
        <f>"1552374406351307"</f>
        <v>1552374406351307</v>
      </c>
      <c r="C573" t="s">
        <v>40</v>
      </c>
      <c r="D573">
        <v>4.8103040000000004</v>
      </c>
      <c r="E573">
        <v>0.560899699999999</v>
      </c>
      <c r="F573" t="s">
        <v>41</v>
      </c>
      <c r="G573">
        <v>-395.66699999999997</v>
      </c>
      <c r="H573">
        <v>0.89416830000000003</v>
      </c>
      <c r="I573">
        <v>367.36739999999998</v>
      </c>
      <c r="J573">
        <v>-396.19130000000001</v>
      </c>
      <c r="K573">
        <v>1.0883849999999999</v>
      </c>
      <c r="L573">
        <v>367.48719999999997</v>
      </c>
      <c r="M573">
        <v>0.99996819999999997</v>
      </c>
      <c r="N573">
        <v>0</v>
      </c>
      <c r="O573">
        <v>3.9141430000000001E-3</v>
      </c>
      <c r="P573">
        <v>0.99954589999999999</v>
      </c>
      <c r="Q573">
        <v>2.9172710000000001E-2</v>
      </c>
      <c r="R573">
        <v>-7.56645199999999E-3</v>
      </c>
      <c r="S573">
        <v>3.0216370000000001</v>
      </c>
      <c r="T573">
        <v>-0.83322909999999994</v>
      </c>
      <c r="U573">
        <v>-0.51351930000000001</v>
      </c>
      <c r="V573">
        <v>1.1499280000000001E-2</v>
      </c>
      <c r="W573">
        <v>3.610857E-2</v>
      </c>
      <c r="X573">
        <v>0.99928170000000005</v>
      </c>
      <c r="Y573">
        <v>0.16526150000000001</v>
      </c>
      <c r="Z573">
        <v>-2.3270059999999999E-2</v>
      </c>
      <c r="AA573">
        <v>0.98597520000000005</v>
      </c>
      <c r="AB573">
        <v>33</v>
      </c>
      <c r="AC573">
        <v>0.52430000000003896</v>
      </c>
      <c r="AD573">
        <v>-0.19421669999999899</v>
      </c>
      <c r="AE573">
        <v>-0.11979999999999701</v>
      </c>
      <c r="AF573">
        <v>0.107793910089425</v>
      </c>
      <c r="AG573">
        <v>-0.19421669999999899</v>
      </c>
      <c r="AH573">
        <v>0.463395621672471</v>
      </c>
      <c r="AI573">
        <v>112.206136501049</v>
      </c>
      <c r="AJ573">
        <v>76.904882834472801</v>
      </c>
      <c r="AK573">
        <v>0.51388243382749799</v>
      </c>
      <c r="AL573">
        <v>87.930681473123599</v>
      </c>
      <c r="AM573">
        <v>89.340695290560404</v>
      </c>
      <c r="AN573">
        <v>0.99999998911142596</v>
      </c>
    </row>
    <row r="574" spans="1:40" x14ac:dyDescent="0.25">
      <c r="A574" t="str">
        <f>"20190312150646365"</f>
        <v>20190312150646365</v>
      </c>
      <c r="B574" t="str">
        <f>"1552374406361066"</f>
        <v>1552374406361066</v>
      </c>
      <c r="C574" t="s">
        <v>40</v>
      </c>
      <c r="D574">
        <v>4.5680500000000004</v>
      </c>
      <c r="E574">
        <v>0.56084230000000002</v>
      </c>
      <c r="F574" t="s">
        <v>41</v>
      </c>
      <c r="G574">
        <v>-395.38389999999998</v>
      </c>
      <c r="H574">
        <v>0.86582269999999995</v>
      </c>
      <c r="I574">
        <v>367.35019999999997</v>
      </c>
      <c r="J574">
        <v>-396.0224</v>
      </c>
      <c r="K574">
        <v>1.089858</v>
      </c>
      <c r="L574">
        <v>367.48779999999999</v>
      </c>
      <c r="M574">
        <v>0.99996669999999999</v>
      </c>
      <c r="N574">
        <v>0</v>
      </c>
      <c r="O574">
        <v>3.8583760000000002E-3</v>
      </c>
      <c r="P574">
        <v>0.99954540000000003</v>
      </c>
      <c r="Q574">
        <v>2.92146E-2</v>
      </c>
      <c r="R574">
        <v>-7.4591650000000002E-3</v>
      </c>
      <c r="S574">
        <v>3.0218509999999998</v>
      </c>
      <c r="T574">
        <v>-0.83291909999999902</v>
      </c>
      <c r="U574">
        <v>-0.51287839999999996</v>
      </c>
      <c r="V574">
        <v>1.133467E-2</v>
      </c>
      <c r="W574">
        <v>3.6398300000000001E-2</v>
      </c>
      <c r="X574">
        <v>0.99927310000000003</v>
      </c>
      <c r="Y574">
        <v>0.16500819999999999</v>
      </c>
      <c r="Z574">
        <v>-2.3211499999999999E-2</v>
      </c>
      <c r="AA574">
        <v>0.98601899999999998</v>
      </c>
      <c r="AB574">
        <v>33</v>
      </c>
      <c r="AC574">
        <v>0.63850000000002105</v>
      </c>
      <c r="AD574">
        <v>-0.22403529999999999</v>
      </c>
      <c r="AE574">
        <v>-0.13760000000002001</v>
      </c>
      <c r="AF574">
        <v>0.12531873362082299</v>
      </c>
      <c r="AG574">
        <v>-0.22403529999999999</v>
      </c>
      <c r="AH574">
        <v>0.57080815039653199</v>
      </c>
      <c r="AI574">
        <v>110.974706799606</v>
      </c>
      <c r="AJ574">
        <v>77.617386873865797</v>
      </c>
      <c r="AK574">
        <v>0.625874224746096</v>
      </c>
      <c r="AL574">
        <v>87.914070310736605</v>
      </c>
      <c r="AM574">
        <v>89.350126703985396</v>
      </c>
      <c r="AN574">
        <v>1.0000000196852501</v>
      </c>
    </row>
    <row r="575" spans="1:40" x14ac:dyDescent="0.25">
      <c r="A575" t="str">
        <f>"20190312150646377"</f>
        <v>20190312150646377</v>
      </c>
      <c r="B575" t="str">
        <f>"1552374406370827"</f>
        <v>1552374406370827</v>
      </c>
      <c r="C575" t="s">
        <v>40</v>
      </c>
      <c r="D575">
        <v>4.816376</v>
      </c>
      <c r="E575">
        <v>0.56083260000000001</v>
      </c>
      <c r="F575" t="s">
        <v>41</v>
      </c>
      <c r="G575">
        <v>-395.10149999999999</v>
      </c>
      <c r="H575">
        <v>0.83584999999999998</v>
      </c>
      <c r="I575">
        <v>367.3313</v>
      </c>
      <c r="J575">
        <v>-395.8476</v>
      </c>
      <c r="K575">
        <v>1.091289</v>
      </c>
      <c r="L575">
        <v>367.48840000000001</v>
      </c>
      <c r="M575">
        <v>0.99996490000000005</v>
      </c>
      <c r="N575">
        <v>0</v>
      </c>
      <c r="O575">
        <v>3.8055680000000001E-3</v>
      </c>
      <c r="P575">
        <v>0.99954659999999995</v>
      </c>
      <c r="Q575">
        <v>2.9252199999999999E-2</v>
      </c>
      <c r="R575">
        <v>-7.1482480000000003E-3</v>
      </c>
      <c r="S575">
        <v>3.0219119999999999</v>
      </c>
      <c r="T575">
        <v>-0.83351989999999998</v>
      </c>
      <c r="U575">
        <v>-0.51202389999999998</v>
      </c>
      <c r="V575">
        <v>1.0969619999999999E-2</v>
      </c>
      <c r="W575">
        <v>3.6719479999999999E-2</v>
      </c>
      <c r="X575">
        <v>0.99926539999999997</v>
      </c>
      <c r="Y575">
        <v>0.16468659999999999</v>
      </c>
      <c r="Z575">
        <v>-2.3170280000000001E-2</v>
      </c>
      <c r="AA575">
        <v>0.98607370000000005</v>
      </c>
      <c r="AB575">
        <v>33</v>
      </c>
      <c r="AC575">
        <v>0.74610000000001198</v>
      </c>
      <c r="AD575">
        <v>-0.25543900000000003</v>
      </c>
      <c r="AE575">
        <v>-0.15710000000001401</v>
      </c>
      <c r="AF575">
        <v>0.14379860471370001</v>
      </c>
      <c r="AG575">
        <v>-0.25543900000000003</v>
      </c>
      <c r="AH575">
        <v>0.67026725452235003</v>
      </c>
      <c r="AI575">
        <v>110.436467974883</v>
      </c>
      <c r="AJ575">
        <v>77.891357268437503</v>
      </c>
      <c r="AK575">
        <v>0.73156360893878203</v>
      </c>
      <c r="AL575">
        <v>87.895655692991895</v>
      </c>
      <c r="AM575">
        <v>89.371050290125595</v>
      </c>
      <c r="AN575">
        <v>0.99999999620578695</v>
      </c>
    </row>
    <row r="576" spans="1:40" x14ac:dyDescent="0.25">
      <c r="A576" t="str">
        <f>"20190312150646390"</f>
        <v>20190312150646390</v>
      </c>
      <c r="B576" t="str">
        <f>"1552374406381563"</f>
        <v>1552374406381563</v>
      </c>
      <c r="C576" t="s">
        <v>40</v>
      </c>
      <c r="D576">
        <v>4.8537619999999997</v>
      </c>
      <c r="E576">
        <v>0.56084309999999904</v>
      </c>
      <c r="F576" t="s">
        <v>41</v>
      </c>
      <c r="G576">
        <v>-395.084</v>
      </c>
      <c r="H576">
        <v>0.88072469999999903</v>
      </c>
      <c r="I576">
        <v>367.35890000000001</v>
      </c>
      <c r="J576">
        <v>-395.66070000000002</v>
      </c>
      <c r="K576">
        <v>1.092762</v>
      </c>
      <c r="L576">
        <v>367.48899999999998</v>
      </c>
      <c r="M576">
        <v>0.99996260000000003</v>
      </c>
      <c r="N576">
        <v>0</v>
      </c>
      <c r="O576">
        <v>3.7513009999999999E-3</v>
      </c>
      <c r="P576">
        <v>0.99956009999999995</v>
      </c>
      <c r="Q576">
        <v>2.8801500000000001E-2</v>
      </c>
      <c r="R576">
        <v>-7.0900540000000001E-3</v>
      </c>
      <c r="S576">
        <v>3.0220950000000002</v>
      </c>
      <c r="T576">
        <v>-0.83331569999999899</v>
      </c>
      <c r="U576">
        <v>-0.51095579999999996</v>
      </c>
      <c r="V576">
        <v>1.0855699999999999E-2</v>
      </c>
      <c r="W576">
        <v>3.6578899999999998E-2</v>
      </c>
      <c r="X576">
        <v>0.99927180000000004</v>
      </c>
      <c r="Y576">
        <v>0.16430359999999999</v>
      </c>
      <c r="Z576">
        <v>-2.3098029999999999E-2</v>
      </c>
      <c r="AA576">
        <v>0.9861394</v>
      </c>
      <c r="AB576">
        <v>33</v>
      </c>
      <c r="AC576">
        <v>0.57670000000001598</v>
      </c>
      <c r="AD576">
        <v>-0.21203730000000001</v>
      </c>
      <c r="AE576">
        <v>-0.130100000000027</v>
      </c>
      <c r="AF576">
        <v>0.117187822152947</v>
      </c>
      <c r="AG576">
        <v>-0.21203730000000001</v>
      </c>
      <c r="AH576">
        <v>0.51053423214994298</v>
      </c>
      <c r="AI576">
        <v>112.03796331625099</v>
      </c>
      <c r="AJ576">
        <v>77.072291780908003</v>
      </c>
      <c r="AK576">
        <v>0.56509999508863196</v>
      </c>
      <c r="AL576">
        <v>87.903715748528597</v>
      </c>
      <c r="AM576">
        <v>89.377585430833093</v>
      </c>
      <c r="AN576">
        <v>0.99999999621146995</v>
      </c>
    </row>
    <row r="577" spans="1:40" x14ac:dyDescent="0.25">
      <c r="A577" t="str">
        <f>"20190312150646403"</f>
        <v>20190312150646403</v>
      </c>
      <c r="B577" t="str">
        <f>"1552374406391324"</f>
        <v>1552374406391324</v>
      </c>
      <c r="C577" t="s">
        <v>40</v>
      </c>
      <c r="D577">
        <v>4.8600070000000004</v>
      </c>
      <c r="E577">
        <v>0.5608147</v>
      </c>
      <c r="F577" t="s">
        <v>41</v>
      </c>
      <c r="G577">
        <v>-394.80009999999999</v>
      </c>
      <c r="H577">
        <v>0.85517799999999999</v>
      </c>
      <c r="I577">
        <v>367.34309999999999</v>
      </c>
      <c r="J577">
        <v>-395.46589999999998</v>
      </c>
      <c r="K577">
        <v>1.0942289999999999</v>
      </c>
      <c r="L577">
        <v>367.4896</v>
      </c>
      <c r="M577">
        <v>0.99996030000000002</v>
      </c>
      <c r="N577">
        <v>0</v>
      </c>
      <c r="O577">
        <v>3.6972429999999998E-3</v>
      </c>
      <c r="P577">
        <v>0.99957010000000002</v>
      </c>
      <c r="Q577">
        <v>2.847303E-2</v>
      </c>
      <c r="R577">
        <v>-6.9963019999999898E-3</v>
      </c>
      <c r="S577">
        <v>3.0217290000000001</v>
      </c>
      <c r="T577">
        <v>-0.83419049999999995</v>
      </c>
      <c r="U577">
        <v>-0.51144409999999996</v>
      </c>
      <c r="V577">
        <v>1.070688E-2</v>
      </c>
      <c r="W577">
        <v>3.6581759999999998E-2</v>
      </c>
      <c r="X577">
        <v>0.99927330000000003</v>
      </c>
      <c r="Y577">
        <v>0.16440920000000001</v>
      </c>
      <c r="Z577">
        <v>-2.312345E-2</v>
      </c>
      <c r="AA577">
        <v>0.98612109999999997</v>
      </c>
      <c r="AB577">
        <v>33</v>
      </c>
      <c r="AC577">
        <v>0.66579999999998996</v>
      </c>
      <c r="AD577">
        <v>-0.23905100000000001</v>
      </c>
      <c r="AE577">
        <v>-0.14650000000000299</v>
      </c>
      <c r="AF577">
        <v>0.132650183445713</v>
      </c>
      <c r="AG577">
        <v>-0.23905100000000001</v>
      </c>
      <c r="AH577">
        <v>0.59241151737090303</v>
      </c>
      <c r="AI577">
        <v>111.493086902131</v>
      </c>
      <c r="AJ577">
        <v>77.378767637185902</v>
      </c>
      <c r="AK577">
        <v>0.65245142170346804</v>
      </c>
      <c r="AL577">
        <v>87.903551770874401</v>
      </c>
      <c r="AM577">
        <v>89.3861183306866</v>
      </c>
      <c r="AN577">
        <v>0.99999999526846095</v>
      </c>
    </row>
    <row r="578" spans="1:40" x14ac:dyDescent="0.25">
      <c r="A578" t="str">
        <f>"20190312150646416"</f>
        <v>20190312150646416</v>
      </c>
      <c r="B578" t="str">
        <f>"1552374406410843"</f>
        <v>1552374406410843</v>
      </c>
      <c r="C578" t="s">
        <v>40</v>
      </c>
      <c r="D578">
        <v>4.8570710000000004</v>
      </c>
      <c r="E578">
        <v>0.56088640000000001</v>
      </c>
      <c r="F578" t="s">
        <v>41</v>
      </c>
      <c r="G578">
        <v>-394.78070000000002</v>
      </c>
      <c r="H578">
        <v>0.9047828</v>
      </c>
      <c r="I578">
        <v>367.37360000000001</v>
      </c>
      <c r="J578">
        <v>-395.2842</v>
      </c>
      <c r="K578">
        <v>1.0954839999999999</v>
      </c>
      <c r="L578">
        <v>367.49020000000002</v>
      </c>
      <c r="M578">
        <v>0.99995789999999996</v>
      </c>
      <c r="N578">
        <v>0</v>
      </c>
      <c r="O578">
        <v>3.6488549999999999E-3</v>
      </c>
      <c r="P578">
        <v>0.99958089999999999</v>
      </c>
      <c r="Q578">
        <v>2.8059609999999999E-2</v>
      </c>
      <c r="R578">
        <v>-7.1326949999999997E-3</v>
      </c>
      <c r="S578">
        <v>3.0214840000000001</v>
      </c>
      <c r="T578">
        <v>-0.83533729999999995</v>
      </c>
      <c r="U578">
        <v>-0.51101679999999905</v>
      </c>
      <c r="V578">
        <v>1.07939E-2</v>
      </c>
      <c r="W578">
        <v>3.6478360000000001E-2</v>
      </c>
      <c r="X578">
        <v>0.99927619999999895</v>
      </c>
      <c r="Y578">
        <v>0.16422979999999901</v>
      </c>
      <c r="Z578">
        <v>-2.3118940000000001E-2</v>
      </c>
      <c r="AA578">
        <v>0.98615120000000001</v>
      </c>
      <c r="AB578">
        <v>33</v>
      </c>
      <c r="AC578">
        <v>0.50349999999997397</v>
      </c>
      <c r="AD578">
        <v>-0.19070119999999999</v>
      </c>
      <c r="AE578">
        <v>-0.11660000000000501</v>
      </c>
      <c r="AF578">
        <v>0.10424363132740801</v>
      </c>
      <c r="AG578">
        <v>-0.19070119999999999</v>
      </c>
      <c r="AH578">
        <v>0.44278555888371302</v>
      </c>
      <c r="AI578">
        <v>112.744599844375</v>
      </c>
      <c r="AJ578">
        <v>76.752271551401705</v>
      </c>
      <c r="AK578">
        <v>0.49324713228738198</v>
      </c>
      <c r="AL578">
        <v>87.909480228863501</v>
      </c>
      <c r="AM578">
        <v>89.381131199382196</v>
      </c>
      <c r="AN578">
        <v>1.0000000514559599</v>
      </c>
    </row>
    <row r="579" spans="1:40" x14ac:dyDescent="0.25">
      <c r="A579" t="str">
        <f>"20190312150646433"</f>
        <v>20190312150646433</v>
      </c>
      <c r="B579" t="str">
        <f>"1552374406421579"</f>
        <v>1552374406421579</v>
      </c>
      <c r="C579" t="s">
        <v>40</v>
      </c>
      <c r="D579">
        <v>4.8497510000000004</v>
      </c>
      <c r="E579">
        <v>0.56086930000000002</v>
      </c>
      <c r="F579" t="s">
        <v>41</v>
      </c>
      <c r="G579">
        <v>-394.49759999999998</v>
      </c>
      <c r="H579">
        <v>0.87761499999999903</v>
      </c>
      <c r="I579">
        <v>367.35649999999998</v>
      </c>
      <c r="J579">
        <v>-395.03280000000001</v>
      </c>
      <c r="K579">
        <v>1.097127</v>
      </c>
      <c r="L579">
        <v>367.49110000000002</v>
      </c>
      <c r="M579">
        <v>0.99995449999999997</v>
      </c>
      <c r="N579">
        <v>0</v>
      </c>
      <c r="O579">
        <v>3.5829949999999998E-3</v>
      </c>
      <c r="P579">
        <v>0.99960139999999997</v>
      </c>
      <c r="Q579">
        <v>2.7196370000000001E-2</v>
      </c>
      <c r="R579">
        <v>-7.6030189999999999E-3</v>
      </c>
      <c r="S579">
        <v>3.0210880000000002</v>
      </c>
      <c r="T579">
        <v>-0.83677509999999999</v>
      </c>
      <c r="U579">
        <v>-0.51214599999999999</v>
      </c>
      <c r="V579">
        <v>1.119699E-2</v>
      </c>
      <c r="W579">
        <v>3.6039960000000003E-2</v>
      </c>
      <c r="X579">
        <v>0.99928760000000005</v>
      </c>
      <c r="Y579">
        <v>0.16451459999999901</v>
      </c>
      <c r="Z579">
        <v>-2.3180200000000001E-2</v>
      </c>
      <c r="AA579">
        <v>0.98610220000000004</v>
      </c>
      <c r="AB579">
        <v>33</v>
      </c>
      <c r="AC579">
        <v>0.53520000000003098</v>
      </c>
      <c r="AD579">
        <v>-0.21951200000000001</v>
      </c>
      <c r="AE579">
        <v>-0.134600000000034</v>
      </c>
      <c r="AF579">
        <v>0.117868244057201</v>
      </c>
      <c r="AG579">
        <v>-0.21951200000000001</v>
      </c>
      <c r="AH579">
        <v>0.46167078942149897</v>
      </c>
      <c r="AI579">
        <v>114.735309023537</v>
      </c>
      <c r="AJ579">
        <v>75.677879932962497</v>
      </c>
      <c r="AK579">
        <v>0.52461257982076404</v>
      </c>
      <c r="AL579">
        <v>87.934615076898297</v>
      </c>
      <c r="AM579">
        <v>89.3580292365167</v>
      </c>
      <c r="AN579">
        <v>0.99999997940781005</v>
      </c>
    </row>
    <row r="580" spans="1:40" x14ac:dyDescent="0.25">
      <c r="A580" t="str">
        <f>"20190312150646446"</f>
        <v>20190312150646446</v>
      </c>
      <c r="B580" t="str">
        <f>"1552374406441100"</f>
        <v>1552374406441100</v>
      </c>
      <c r="C580" t="s">
        <v>40</v>
      </c>
      <c r="D580">
        <v>4.8557119999999996</v>
      </c>
      <c r="E580">
        <v>0.56080830000000004</v>
      </c>
      <c r="F580" t="s">
        <v>41</v>
      </c>
      <c r="G580">
        <v>-394.2081</v>
      </c>
      <c r="H580">
        <v>0.86777070000000001</v>
      </c>
      <c r="I580">
        <v>367.351</v>
      </c>
      <c r="J580">
        <v>-394.83839999999998</v>
      </c>
      <c r="K580">
        <v>1.0983080000000001</v>
      </c>
      <c r="L580">
        <v>367.49169999999998</v>
      </c>
      <c r="M580">
        <v>0.9999517</v>
      </c>
      <c r="N580">
        <v>0</v>
      </c>
      <c r="O580">
        <v>3.5324010000000001E-3</v>
      </c>
      <c r="P580">
        <v>0.99960700000000002</v>
      </c>
      <c r="Q580">
        <v>2.6934929999999999E-2</v>
      </c>
      <c r="R580">
        <v>-7.7882350000000001E-3</v>
      </c>
      <c r="S580">
        <v>3.020111</v>
      </c>
      <c r="T580">
        <v>-0.83991369999999899</v>
      </c>
      <c r="U580">
        <v>-0.5124512</v>
      </c>
      <c r="V580">
        <v>1.1331229999999999E-2</v>
      </c>
      <c r="W580">
        <v>3.610095E-2</v>
      </c>
      <c r="X580">
        <v>0.9992839</v>
      </c>
      <c r="Y580">
        <v>0.16456499999999999</v>
      </c>
      <c r="Z580">
        <v>-2.3264119999999999E-2</v>
      </c>
      <c r="AA580">
        <v>0.98609190000000002</v>
      </c>
      <c r="AB580">
        <v>33</v>
      </c>
      <c r="AC580">
        <v>0.63029999999997699</v>
      </c>
      <c r="AD580">
        <v>-0.2305373</v>
      </c>
      <c r="AE580">
        <v>-0.14069999999998101</v>
      </c>
      <c r="AF580">
        <v>0.12677132919130399</v>
      </c>
      <c r="AG580">
        <v>-0.2305373</v>
      </c>
      <c r="AH580">
        <v>0.55861519485220901</v>
      </c>
      <c r="AI580">
        <v>111.92285250238299</v>
      </c>
      <c r="AJ580">
        <v>77.213941107079606</v>
      </c>
      <c r="AK580">
        <v>0.61747012277193802</v>
      </c>
      <c r="AL580">
        <v>87.931118362095901</v>
      </c>
      <c r="AM580">
        <v>89.350330940402898</v>
      </c>
      <c r="AN580">
        <v>0.99999999408171203</v>
      </c>
    </row>
    <row r="581" spans="1:40" x14ac:dyDescent="0.25">
      <c r="A581" t="str">
        <f>"20190312150646459"</f>
        <v>20190312150646459</v>
      </c>
      <c r="B581" t="str">
        <f>"1552374406450859"</f>
        <v>1552374406450859</v>
      </c>
      <c r="C581" t="s">
        <v>40</v>
      </c>
      <c r="D581">
        <v>4.8457179999999997</v>
      </c>
      <c r="E581">
        <v>0.5607936</v>
      </c>
      <c r="F581" t="s">
        <v>41</v>
      </c>
      <c r="G581">
        <v>-393.92439999999999</v>
      </c>
      <c r="H581">
        <v>0.84372130000000001</v>
      </c>
      <c r="I581">
        <v>367.33600000000001</v>
      </c>
      <c r="J581">
        <v>-394.63470000000001</v>
      </c>
      <c r="K581">
        <v>1.099432</v>
      </c>
      <c r="L581">
        <v>367.49239999999998</v>
      </c>
      <c r="M581">
        <v>0.99994890000000003</v>
      </c>
      <c r="N581">
        <v>0</v>
      </c>
      <c r="O581">
        <v>3.4785770000000001E-3</v>
      </c>
      <c r="P581">
        <v>0.99961250000000001</v>
      </c>
      <c r="Q581">
        <v>2.667274E-2</v>
      </c>
      <c r="R581">
        <v>-7.9601499999999992E-3</v>
      </c>
      <c r="S581">
        <v>3.0198670000000001</v>
      </c>
      <c r="T581">
        <v>-0.84117600000000003</v>
      </c>
      <c r="U581">
        <v>-0.51266480000000003</v>
      </c>
      <c r="V581">
        <v>1.144882E-2</v>
      </c>
      <c r="W581">
        <v>3.6163849999999997E-2</v>
      </c>
      <c r="X581">
        <v>0.99928030000000001</v>
      </c>
      <c r="Y581">
        <v>0.16457539999999901</v>
      </c>
      <c r="Z581">
        <v>-2.3286270000000001E-2</v>
      </c>
      <c r="AA581">
        <v>0.98608960000000001</v>
      </c>
      <c r="AB581">
        <v>33</v>
      </c>
      <c r="AC581">
        <v>0.71030000000001703</v>
      </c>
      <c r="AD581">
        <v>-0.25571070000000001</v>
      </c>
      <c r="AE581">
        <v>-0.15639999999996201</v>
      </c>
      <c r="AF581">
        <v>0.14139250469303299</v>
      </c>
      <c r="AG581">
        <v>-0.25571070000000001</v>
      </c>
      <c r="AH581">
        <v>0.63167093563932497</v>
      </c>
      <c r="AI581">
        <v>111.55603897194599</v>
      </c>
      <c r="AJ581">
        <v>77.382954720369995</v>
      </c>
      <c r="AK581">
        <v>0.69597986566374204</v>
      </c>
      <c r="AL581">
        <v>87.927512133104401</v>
      </c>
      <c r="AM581">
        <v>89.343587212836894</v>
      </c>
      <c r="AN581">
        <v>1.0000000087471499</v>
      </c>
    </row>
    <row r="582" spans="1:40" x14ac:dyDescent="0.25">
      <c r="A582" t="str">
        <f>"20190312150646478"</f>
        <v>20190312150646478</v>
      </c>
      <c r="B582" t="str">
        <f>"1552374406471354"</f>
        <v>1552374406471354</v>
      </c>
      <c r="C582" t="s">
        <v>40</v>
      </c>
      <c r="D582">
        <v>4.6058379999999897</v>
      </c>
      <c r="E582">
        <v>0.56085160000000001</v>
      </c>
      <c r="F582" t="s">
        <v>41</v>
      </c>
      <c r="G582">
        <v>-393.904</v>
      </c>
      <c r="H582">
        <v>0.89565430000000001</v>
      </c>
      <c r="I582">
        <v>367.36759999999998</v>
      </c>
      <c r="J582">
        <v>-394.37670000000003</v>
      </c>
      <c r="K582">
        <v>1.1007309999999999</v>
      </c>
      <c r="L582">
        <v>367.4932</v>
      </c>
      <c r="M582">
        <v>0.99994530000000004</v>
      </c>
      <c r="N582">
        <v>0</v>
      </c>
      <c r="O582">
        <v>3.4104109999999999E-3</v>
      </c>
      <c r="P582">
        <v>0.99960830000000001</v>
      </c>
      <c r="Q582">
        <v>2.6668730000000002E-2</v>
      </c>
      <c r="R582">
        <v>-8.5096979999999996E-3</v>
      </c>
      <c r="S582">
        <v>3.0195310000000002</v>
      </c>
      <c r="T582">
        <v>-0.84210649999999998</v>
      </c>
      <c r="U582">
        <v>-0.51348879999999997</v>
      </c>
      <c r="V582">
        <v>1.192959E-2</v>
      </c>
      <c r="W582">
        <v>3.6554120000000002E-2</v>
      </c>
      <c r="X582">
        <v>0.9992605</v>
      </c>
      <c r="Y582">
        <v>0.16476869999999999</v>
      </c>
      <c r="Z582">
        <v>-2.3320810000000001E-2</v>
      </c>
      <c r="AA582">
        <v>0.9860565</v>
      </c>
      <c r="AB582">
        <v>33</v>
      </c>
      <c r="AC582">
        <v>0.47270000000003098</v>
      </c>
      <c r="AD582">
        <v>-0.205076699999999</v>
      </c>
      <c r="AE582">
        <v>-0.125600000000019</v>
      </c>
      <c r="AF582">
        <v>0.108190838670536</v>
      </c>
      <c r="AG582">
        <v>-0.205076699999999</v>
      </c>
      <c r="AH582">
        <v>0.40165540606065803</v>
      </c>
      <c r="AI582">
        <v>116.243599818964</v>
      </c>
      <c r="AJ582">
        <v>74.924483301623198</v>
      </c>
      <c r="AK582">
        <v>0.46377664416492198</v>
      </c>
      <c r="AL582">
        <v>87.905136564862602</v>
      </c>
      <c r="AM582">
        <v>89.316011502264104</v>
      </c>
      <c r="AN582">
        <v>1.00000003283339</v>
      </c>
    </row>
    <row r="583" spans="1:40" x14ac:dyDescent="0.25">
      <c r="A583" t="str">
        <f>"20190312150646490"</f>
        <v>20190312150646490</v>
      </c>
      <c r="B583" t="str">
        <f>"1552374406481114"</f>
        <v>1552374406481114</v>
      </c>
      <c r="C583" t="s">
        <v>40</v>
      </c>
      <c r="D583">
        <v>5.1822819999999998</v>
      </c>
      <c r="E583">
        <v>0.56098440000000005</v>
      </c>
      <c r="F583" t="s">
        <v>41</v>
      </c>
      <c r="G583">
        <v>-393.61399999999998</v>
      </c>
      <c r="H583">
        <v>0.88810979999999995</v>
      </c>
      <c r="I583">
        <v>367.36279999999999</v>
      </c>
      <c r="J583">
        <v>-394.1884</v>
      </c>
      <c r="K583">
        <v>1.1015999999999999</v>
      </c>
      <c r="L583">
        <v>367.49380000000002</v>
      </c>
      <c r="M583">
        <v>0.99994280000000002</v>
      </c>
      <c r="N583">
        <v>0</v>
      </c>
      <c r="O583">
        <v>3.360231E-3</v>
      </c>
      <c r="P583">
        <v>0.99960780000000005</v>
      </c>
      <c r="Q583">
        <v>2.655387E-2</v>
      </c>
      <c r="R583">
        <v>-8.8942780000000003E-3</v>
      </c>
      <c r="S583">
        <v>3.0192570000000001</v>
      </c>
      <c r="T583">
        <v>-0.84164110000000003</v>
      </c>
      <c r="U583">
        <v>-0.51559449999999996</v>
      </c>
      <c r="V583">
        <v>1.2263700000000001E-2</v>
      </c>
      <c r="W583">
        <v>3.6713750000000003E-2</v>
      </c>
      <c r="X583">
        <v>0.99925059999999999</v>
      </c>
      <c r="Y583">
        <v>0.1653878</v>
      </c>
      <c r="Z583">
        <v>-2.3379589999999999E-2</v>
      </c>
      <c r="AA583">
        <v>0.98595140000000003</v>
      </c>
      <c r="AB583">
        <v>33</v>
      </c>
      <c r="AC583">
        <v>0.57439999999996805</v>
      </c>
      <c r="AD583">
        <v>-0.21349019999999999</v>
      </c>
      <c r="AE583">
        <v>-0.13100000000002801</v>
      </c>
      <c r="AF583">
        <v>0.117500235438803</v>
      </c>
      <c r="AG583">
        <v>-0.21349019999999999</v>
      </c>
      <c r="AH583">
        <v>0.50733690366478001</v>
      </c>
      <c r="AI583">
        <v>112.291388730531</v>
      </c>
      <c r="AJ583">
        <v>76.960090489745198</v>
      </c>
      <c r="AK583">
        <v>0.562827775295765</v>
      </c>
      <c r="AL583">
        <v>87.895984289809206</v>
      </c>
      <c r="AM583">
        <v>89.296850084117807</v>
      </c>
      <c r="AN583">
        <v>1.0000000296885501</v>
      </c>
    </row>
    <row r="584" spans="1:40" x14ac:dyDescent="0.25">
      <c r="A584" t="str">
        <f>"20190312150646503"</f>
        <v>20190312150646503</v>
      </c>
      <c r="B584" t="str">
        <f>"1552374406490875"</f>
        <v>1552374406490875</v>
      </c>
      <c r="C584" t="s">
        <v>40</v>
      </c>
      <c r="D584">
        <v>4.6401219999999999</v>
      </c>
      <c r="E584">
        <v>0.56092919999999902</v>
      </c>
      <c r="F584" t="s">
        <v>41</v>
      </c>
      <c r="G584">
        <v>-393.33139999999997</v>
      </c>
      <c r="H584">
        <v>0.862691599999999</v>
      </c>
      <c r="I584">
        <v>367.3467</v>
      </c>
      <c r="J584">
        <v>-393.99310000000003</v>
      </c>
      <c r="K584">
        <v>1.1024449999999999</v>
      </c>
      <c r="L584">
        <v>367.49439999999998</v>
      </c>
      <c r="M584">
        <v>0.99994019999999995</v>
      </c>
      <c r="N584">
        <v>0</v>
      </c>
      <c r="O584">
        <v>3.3078069999999998E-3</v>
      </c>
      <c r="P584">
        <v>0.99960979999999999</v>
      </c>
      <c r="Q584">
        <v>2.6426379999999999E-2</v>
      </c>
      <c r="R584">
        <v>-9.0794420000000001E-3</v>
      </c>
      <c r="S584">
        <v>3.0189509999999999</v>
      </c>
      <c r="T584">
        <v>-0.84151799999999999</v>
      </c>
      <c r="U584">
        <v>-0.51757810000000004</v>
      </c>
      <c r="V584">
        <v>1.239614E-2</v>
      </c>
      <c r="W584">
        <v>3.6860530000000002E-2</v>
      </c>
      <c r="X584">
        <v>0.99924360000000001</v>
      </c>
      <c r="Y584">
        <v>0.1659641</v>
      </c>
      <c r="Z584">
        <v>-2.344135E-2</v>
      </c>
      <c r="AA584">
        <v>0.98585310000000004</v>
      </c>
      <c r="AB584">
        <v>33</v>
      </c>
      <c r="AC584">
        <v>0.66170000000005302</v>
      </c>
      <c r="AD584">
        <v>-0.23975340000000001</v>
      </c>
      <c r="AE584">
        <v>-0.14769999999998601</v>
      </c>
      <c r="AF584">
        <v>0.13322769214588101</v>
      </c>
      <c r="AG584">
        <v>-0.23975340000000001</v>
      </c>
      <c r="AH584">
        <v>0.58771307199631695</v>
      </c>
      <c r="AI584">
        <v>111.695074298676</v>
      </c>
      <c r="AJ584">
        <v>77.227577124769496</v>
      </c>
      <c r="AK584">
        <v>0.64856608434409102</v>
      </c>
      <c r="AL584">
        <v>87.887568799253401</v>
      </c>
      <c r="AM584">
        <v>89.289252317774697</v>
      </c>
      <c r="AN584">
        <v>1.0000000675498599</v>
      </c>
    </row>
    <row r="585" spans="1:40" x14ac:dyDescent="0.25">
      <c r="A585" t="str">
        <f>"20190312150646524"</f>
        <v>20190312150646524</v>
      </c>
      <c r="B585" t="str">
        <f>"1552374406521639"</f>
        <v>1552374406521639</v>
      </c>
      <c r="C585" t="s">
        <v>40</v>
      </c>
      <c r="D585">
        <v>4.6432390000000003</v>
      </c>
      <c r="E585">
        <v>0.56083450000000001</v>
      </c>
      <c r="F585" t="s">
        <v>41</v>
      </c>
      <c r="G585">
        <v>-393.31180000000001</v>
      </c>
      <c r="H585">
        <v>0.91229640000000001</v>
      </c>
      <c r="I585">
        <v>367.37740000000002</v>
      </c>
      <c r="J585">
        <v>-393.71409999999997</v>
      </c>
      <c r="K585">
        <v>1.1035079999999999</v>
      </c>
      <c r="L585">
        <v>367.49520000000001</v>
      </c>
      <c r="M585">
        <v>0.99993650000000001</v>
      </c>
      <c r="N585">
        <v>0</v>
      </c>
      <c r="O585">
        <v>3.2333399999999999E-3</v>
      </c>
      <c r="P585">
        <v>0.99959089999999995</v>
      </c>
      <c r="Q585">
        <v>2.6886589999999998E-2</v>
      </c>
      <c r="R585">
        <v>-9.7537379999999996E-3</v>
      </c>
      <c r="S585">
        <v>3.018707</v>
      </c>
      <c r="T585">
        <v>-0.84259689999999998</v>
      </c>
      <c r="U585">
        <v>-0.51748660000000002</v>
      </c>
      <c r="V585">
        <v>1.299583E-2</v>
      </c>
      <c r="W585">
        <v>3.76844E-2</v>
      </c>
      <c r="X585">
        <v>0.99920520000000002</v>
      </c>
      <c r="Y585">
        <v>0.1658646</v>
      </c>
      <c r="Z585">
        <v>-2.3438400000000002E-2</v>
      </c>
      <c r="AA585">
        <v>0.98586989999999997</v>
      </c>
      <c r="AB585">
        <v>33</v>
      </c>
      <c r="AC585">
        <v>0.40229999999996802</v>
      </c>
      <c r="AD585">
        <v>-0.19121159999999901</v>
      </c>
      <c r="AE585">
        <v>-0.117799999999988</v>
      </c>
      <c r="AF585">
        <v>9.8587486454414897E-2</v>
      </c>
      <c r="AG585">
        <v>-0.19121159999999901</v>
      </c>
      <c r="AH585">
        <v>0.33269444274115401</v>
      </c>
      <c r="AI585">
        <v>118.85700724969401</v>
      </c>
      <c r="AJ585">
        <v>73.493840886344003</v>
      </c>
      <c r="AK585">
        <v>0.39619056108242501</v>
      </c>
      <c r="AL585">
        <v>87.840331598431803</v>
      </c>
      <c r="AM585">
        <v>89.254843521058604</v>
      </c>
      <c r="AN585">
        <v>1.00000001865389</v>
      </c>
    </row>
    <row r="586" spans="1:40" x14ac:dyDescent="0.25">
      <c r="A586" t="str">
        <f>"20190312150646538"</f>
        <v>20190312150646538</v>
      </c>
      <c r="B586" t="str">
        <f>"1552374406531399"</f>
        <v>1552374406531399</v>
      </c>
      <c r="C586" t="s">
        <v>40</v>
      </c>
      <c r="D586">
        <v>4.6294469999999999</v>
      </c>
      <c r="E586">
        <v>0.56077569999999999</v>
      </c>
      <c r="F586" t="s">
        <v>41</v>
      </c>
      <c r="G586">
        <v>-393.0204</v>
      </c>
      <c r="H586">
        <v>0.91006770000000003</v>
      </c>
      <c r="I586">
        <v>367.37569999999999</v>
      </c>
      <c r="J586">
        <v>-393.48899999999998</v>
      </c>
      <c r="K586">
        <v>1.1042700000000001</v>
      </c>
      <c r="L586">
        <v>367.49590000000001</v>
      </c>
      <c r="M586">
        <v>0.99993370000000004</v>
      </c>
      <c r="N586">
        <v>0</v>
      </c>
      <c r="O586">
        <v>3.1733159999999998E-3</v>
      </c>
      <c r="P586">
        <v>0.99957470000000004</v>
      </c>
      <c r="Q586">
        <v>2.751646E-2</v>
      </c>
      <c r="R586">
        <v>-9.6964229999999992E-3</v>
      </c>
      <c r="S586">
        <v>3.0187680000000001</v>
      </c>
      <c r="T586">
        <v>-0.84179029999999999</v>
      </c>
      <c r="U586">
        <v>-0.51873779999999903</v>
      </c>
      <c r="V586">
        <v>1.2878250000000001E-2</v>
      </c>
      <c r="W586">
        <v>3.85864E-2</v>
      </c>
      <c r="X586">
        <v>0.99917230000000001</v>
      </c>
      <c r="Y586">
        <v>0.1662014</v>
      </c>
      <c r="Z586">
        <v>-2.3445000000000001E-2</v>
      </c>
      <c r="AA586">
        <v>0.9858131</v>
      </c>
      <c r="AB586">
        <v>33</v>
      </c>
      <c r="AC586">
        <v>0.46860000000003699</v>
      </c>
      <c r="AD586">
        <v>-0.19420229999999999</v>
      </c>
      <c r="AE586">
        <v>-0.12020000000001101</v>
      </c>
      <c r="AF586">
        <v>0.10479827946737599</v>
      </c>
      <c r="AG586">
        <v>-0.19420229999999999</v>
      </c>
      <c r="AH586">
        <v>0.40323495089788802</v>
      </c>
      <c r="AI586">
        <v>114.99144087389099</v>
      </c>
      <c r="AJ586">
        <v>75.431481372241194</v>
      </c>
      <c r="AK586">
        <v>0.45966905304820599</v>
      </c>
      <c r="AL586">
        <v>87.788613191710198</v>
      </c>
      <c r="AM586">
        <v>89.261560276176596</v>
      </c>
      <c r="AN586">
        <v>1.00000002233765</v>
      </c>
    </row>
    <row r="587" spans="1:40" x14ac:dyDescent="0.25">
      <c r="A587" t="str">
        <f>"20190312150646554"</f>
        <v>20190312150646554</v>
      </c>
      <c r="B587" t="str">
        <f>"1552374406550922"</f>
        <v>1552374406550922</v>
      </c>
      <c r="C587" t="s">
        <v>40</v>
      </c>
      <c r="D587">
        <v>4.9006939999999997</v>
      </c>
      <c r="E587">
        <v>0.56075180000000002</v>
      </c>
      <c r="F587" t="s">
        <v>41</v>
      </c>
      <c r="G587">
        <v>-392.7346</v>
      </c>
      <c r="H587">
        <v>0.89435739999999997</v>
      </c>
      <c r="I587">
        <v>367.36599999999999</v>
      </c>
      <c r="J587">
        <v>-393.24439999999998</v>
      </c>
      <c r="K587">
        <v>1.105016</v>
      </c>
      <c r="L587">
        <v>367.4966</v>
      </c>
      <c r="M587">
        <v>0.99993069999999895</v>
      </c>
      <c r="N587">
        <v>0</v>
      </c>
      <c r="O587">
        <v>3.1082729999999999E-3</v>
      </c>
      <c r="P587">
        <v>0.99953000000000003</v>
      </c>
      <c r="Q587">
        <v>2.905657E-2</v>
      </c>
      <c r="R587">
        <v>-9.7710699999999998E-3</v>
      </c>
      <c r="S587">
        <v>3.0193479999999999</v>
      </c>
      <c r="T587">
        <v>-0.84011999999999998</v>
      </c>
      <c r="U587">
        <v>-0.51815800000000001</v>
      </c>
      <c r="V587">
        <v>1.2888190000000001E-2</v>
      </c>
      <c r="W587">
        <v>4.040411E-2</v>
      </c>
      <c r="X587">
        <v>0.99910030000000005</v>
      </c>
      <c r="Y587">
        <v>0.16595969999999999</v>
      </c>
      <c r="Z587">
        <v>-2.3345830000000001E-2</v>
      </c>
      <c r="AA587">
        <v>0.98585610000000001</v>
      </c>
      <c r="AB587">
        <v>33</v>
      </c>
      <c r="AC587">
        <v>0.50979999999998404</v>
      </c>
      <c r="AD587">
        <v>-0.210658599999999</v>
      </c>
      <c r="AE587">
        <v>-0.13060000000001501</v>
      </c>
      <c r="AF587">
        <v>0.113928852681475</v>
      </c>
      <c r="AG587">
        <v>-0.210658599999999</v>
      </c>
      <c r="AH587">
        <v>0.439042296987676</v>
      </c>
      <c r="AI587">
        <v>114.911657764067</v>
      </c>
      <c r="AJ587">
        <v>75.452941742041602</v>
      </c>
      <c r="AK587">
        <v>0.50011495455694199</v>
      </c>
      <c r="AL587">
        <v>87.684384701187895</v>
      </c>
      <c r="AM587">
        <v>89.260937128392101</v>
      </c>
      <c r="AN587">
        <v>1.0000000035032199</v>
      </c>
    </row>
    <row r="588" spans="1:40" x14ac:dyDescent="0.25">
      <c r="A588" t="str">
        <f>"20190312150646566"</f>
        <v>20190312150646566</v>
      </c>
      <c r="B588" t="str">
        <f>"1552374406560679"</f>
        <v>1552374406560679</v>
      </c>
      <c r="C588" t="s">
        <v>40</v>
      </c>
      <c r="D588">
        <v>5.2485179999999998</v>
      </c>
      <c r="E588">
        <v>0.56085430000000003</v>
      </c>
      <c r="F588" t="s">
        <v>41</v>
      </c>
      <c r="G588">
        <v>-392.4468</v>
      </c>
      <c r="H588">
        <v>0.88454080000000002</v>
      </c>
      <c r="I588">
        <v>367.35969999999998</v>
      </c>
      <c r="J588">
        <v>-393.07749999999999</v>
      </c>
      <c r="K588">
        <v>1.1054889999999999</v>
      </c>
      <c r="L588">
        <v>367.49709999999999</v>
      </c>
      <c r="M588">
        <v>0.99992890000000001</v>
      </c>
      <c r="N588">
        <v>0</v>
      </c>
      <c r="O588">
        <v>3.0636639999999998E-3</v>
      </c>
      <c r="P588">
        <v>0.9995231</v>
      </c>
      <c r="Q588">
        <v>2.9300610000000001E-2</v>
      </c>
      <c r="R588">
        <v>-9.7627930000000005E-3</v>
      </c>
      <c r="S588">
        <v>3.0206300000000001</v>
      </c>
      <c r="T588">
        <v>-0.83495989999999998</v>
      </c>
      <c r="U588">
        <v>-0.51794430000000002</v>
      </c>
      <c r="V588">
        <v>1.2835030000000001E-2</v>
      </c>
      <c r="W588">
        <v>4.0828620000000003E-2</v>
      </c>
      <c r="X588">
        <v>0.99908370000000002</v>
      </c>
      <c r="Y588">
        <v>0.1658636</v>
      </c>
      <c r="Z588">
        <v>-2.3173309999999999E-2</v>
      </c>
      <c r="AA588">
        <v>0.98587639999999999</v>
      </c>
      <c r="AB588">
        <v>33</v>
      </c>
      <c r="AC588">
        <v>0.63069999999999005</v>
      </c>
      <c r="AD588">
        <v>-0.22094819999999901</v>
      </c>
      <c r="AE588">
        <v>-0.13740000000001301</v>
      </c>
      <c r="AF588">
        <v>0.124719033245973</v>
      </c>
      <c r="AG588">
        <v>-0.22094819999999901</v>
      </c>
      <c r="AH588">
        <v>0.564174562867506</v>
      </c>
      <c r="AI588">
        <v>110.926781077996</v>
      </c>
      <c r="AJ588">
        <v>77.534412478263306</v>
      </c>
      <c r="AK588">
        <v>0.61859993673115699</v>
      </c>
      <c r="AL588">
        <v>87.660041920210404</v>
      </c>
      <c r="AM588">
        <v>89.263972982012703</v>
      </c>
      <c r="AN588">
        <v>0.999999976905947</v>
      </c>
    </row>
    <row r="589" spans="1:40" x14ac:dyDescent="0.25">
      <c r="A589" t="str">
        <f>"20190312150646578"</f>
        <v>20190312150646578</v>
      </c>
      <c r="B589" t="str">
        <f>"1552374406571414"</f>
        <v>1552374406571414</v>
      </c>
      <c r="C589" t="s">
        <v>40</v>
      </c>
      <c r="D589">
        <v>4.6416149999999998</v>
      </c>
      <c r="E589">
        <v>0.56078850000000002</v>
      </c>
      <c r="F589" t="s">
        <v>41</v>
      </c>
      <c r="G589">
        <v>-392.16730000000001</v>
      </c>
      <c r="H589">
        <v>0.85431349999999995</v>
      </c>
      <c r="I589">
        <v>367.34050000000002</v>
      </c>
      <c r="J589">
        <v>-392.9033</v>
      </c>
      <c r="K589">
        <v>1.105926</v>
      </c>
      <c r="L589">
        <v>367.49759999999998</v>
      </c>
      <c r="M589">
        <v>0.99992700000000001</v>
      </c>
      <c r="N589">
        <v>0</v>
      </c>
      <c r="O589">
        <v>3.0175169999999999E-3</v>
      </c>
      <c r="P589">
        <v>0.99952039999999998</v>
      </c>
      <c r="Q589">
        <v>2.9458379999999999E-2</v>
      </c>
      <c r="R589">
        <v>-9.5760919999999996E-3</v>
      </c>
      <c r="S589">
        <v>3.0208740000000001</v>
      </c>
      <c r="T589">
        <v>-0.83360840000000003</v>
      </c>
      <c r="U589">
        <v>-0.51892090000000002</v>
      </c>
      <c r="V589">
        <v>1.2602149999999999E-2</v>
      </c>
      <c r="W589">
        <v>4.1162129999999998E-2</v>
      </c>
      <c r="X589">
        <v>0.99907299999999999</v>
      </c>
      <c r="Y589">
        <v>0.16612750000000001</v>
      </c>
      <c r="Z589">
        <v>-2.3157850000000001E-2</v>
      </c>
      <c r="AA589">
        <v>0.98583229999999999</v>
      </c>
      <c r="AB589">
        <v>33</v>
      </c>
      <c r="AC589">
        <v>0.73599999999999</v>
      </c>
      <c r="AD589">
        <v>-0.25161249999999902</v>
      </c>
      <c r="AE589">
        <v>-0.157099999999957</v>
      </c>
      <c r="AF589">
        <v>0.143302188895928</v>
      </c>
      <c r="AG589">
        <v>-0.25161249999999902</v>
      </c>
      <c r="AH589">
        <v>0.66157278221836702</v>
      </c>
      <c r="AI589">
        <v>110.390334901047</v>
      </c>
      <c r="AJ589">
        <v>77.778068828406802</v>
      </c>
      <c r="AK589">
        <v>0.72216543372745601</v>
      </c>
      <c r="AL589">
        <v>87.640917174706203</v>
      </c>
      <c r="AM589">
        <v>89.277318357564795</v>
      </c>
      <c r="AN589">
        <v>0.99999999722987898</v>
      </c>
    </row>
    <row r="590" spans="1:40" x14ac:dyDescent="0.25">
      <c r="A590" t="str">
        <f>"20190312150646589"</f>
        <v>20190312150646589</v>
      </c>
      <c r="B590" t="str">
        <f>"1552374406581175"</f>
        <v>1552374406581175</v>
      </c>
      <c r="C590" t="s">
        <v>40</v>
      </c>
      <c r="D590">
        <v>4.8990130000000001</v>
      </c>
      <c r="E590">
        <v>0.56074550000000001</v>
      </c>
      <c r="F590" t="s">
        <v>41</v>
      </c>
      <c r="G590">
        <v>-392.15010000000001</v>
      </c>
      <c r="H590">
        <v>0.89805480000000004</v>
      </c>
      <c r="I590">
        <v>367.3682</v>
      </c>
      <c r="J590">
        <v>-392.7364</v>
      </c>
      <c r="K590">
        <v>1.1063190000000001</v>
      </c>
      <c r="L590">
        <v>367.49799999999999</v>
      </c>
      <c r="M590">
        <v>0.99992510000000001</v>
      </c>
      <c r="N590">
        <v>0</v>
      </c>
      <c r="O590">
        <v>2.9735849999999999E-3</v>
      </c>
      <c r="P590">
        <v>0.9995134</v>
      </c>
      <c r="Q590">
        <v>2.9780919999999999E-2</v>
      </c>
      <c r="R590">
        <v>-9.2840549999999994E-3</v>
      </c>
      <c r="S590">
        <v>3.0210270000000001</v>
      </c>
      <c r="T590">
        <v>-0.83371830000000002</v>
      </c>
      <c r="U590">
        <v>-0.51770020000000005</v>
      </c>
      <c r="V590">
        <v>1.226647E-2</v>
      </c>
      <c r="W590">
        <v>4.1645229999999998E-2</v>
      </c>
      <c r="X590">
        <v>0.99905719999999998</v>
      </c>
      <c r="Y590">
        <v>0.165704399999999</v>
      </c>
      <c r="Z590">
        <v>-2.309168E-2</v>
      </c>
      <c r="AA590">
        <v>0.98590509999999998</v>
      </c>
      <c r="AB590">
        <v>33</v>
      </c>
      <c r="AC590">
        <v>0.58629999999999405</v>
      </c>
      <c r="AD590">
        <v>-0.20826420000000001</v>
      </c>
      <c r="AE590">
        <v>-0.12980000000004499</v>
      </c>
      <c r="AF590">
        <v>0.117419275564195</v>
      </c>
      <c r="AG590">
        <v>-0.20826420000000001</v>
      </c>
      <c r="AH590">
        <v>0.52300246424693497</v>
      </c>
      <c r="AI590">
        <v>111.232997826904</v>
      </c>
      <c r="AJ590">
        <v>77.346342236491594</v>
      </c>
      <c r="AK590">
        <v>0.57505898904723396</v>
      </c>
      <c r="AL590">
        <v>87.613213930203301</v>
      </c>
      <c r="AM590">
        <v>89.296555145120607</v>
      </c>
      <c r="AN590">
        <v>1.0000000401699201</v>
      </c>
    </row>
    <row r="591" spans="1:40" x14ac:dyDescent="0.25">
      <c r="A591" t="str">
        <f>"20190312150646601"</f>
        <v>20190312150646601</v>
      </c>
      <c r="B591" t="str">
        <f>"1552374406590935"</f>
        <v>1552374406590935</v>
      </c>
      <c r="C591" t="s">
        <v>40</v>
      </c>
      <c r="D591">
        <v>5.2780820000000004</v>
      </c>
      <c r="E591">
        <v>0.56060949999999998</v>
      </c>
      <c r="F591" t="s">
        <v>41</v>
      </c>
      <c r="G591">
        <v>-391.87099999999998</v>
      </c>
      <c r="H591">
        <v>0.86787049999999999</v>
      </c>
      <c r="I591">
        <v>367.34980000000002</v>
      </c>
      <c r="J591">
        <v>-392.55810000000002</v>
      </c>
      <c r="K591">
        <v>1.1067100000000001</v>
      </c>
      <c r="L591">
        <v>367.49849999999998</v>
      </c>
      <c r="M591">
        <v>0.99992340000000002</v>
      </c>
      <c r="N591">
        <v>0</v>
      </c>
      <c r="O591">
        <v>2.9265239999999998E-3</v>
      </c>
      <c r="P591">
        <v>0.99949469999999996</v>
      </c>
      <c r="Q591">
        <v>3.0401480000000002E-2</v>
      </c>
      <c r="R591">
        <v>-9.2927359999999994E-3</v>
      </c>
      <c r="S591">
        <v>3.0214840000000001</v>
      </c>
      <c r="T591">
        <v>-0.8325359</v>
      </c>
      <c r="U591">
        <v>-0.51663210000000004</v>
      </c>
      <c r="V591">
        <v>1.2228070000000001E-2</v>
      </c>
      <c r="W591">
        <v>4.2428460000000001E-2</v>
      </c>
      <c r="X591">
        <v>0.99902469999999999</v>
      </c>
      <c r="Y591">
        <v>0.16532829999999901</v>
      </c>
      <c r="Z591">
        <v>-2.2994250000000001E-2</v>
      </c>
      <c r="AA591">
        <v>0.98597049999999997</v>
      </c>
      <c r="AB591">
        <v>33</v>
      </c>
      <c r="AC591">
        <v>0.68710000000004301</v>
      </c>
      <c r="AD591">
        <v>-0.23883950000000001</v>
      </c>
      <c r="AE591">
        <v>-0.148699999999962</v>
      </c>
      <c r="AF591">
        <v>0.13511490837967</v>
      </c>
      <c r="AG591">
        <v>-0.23883950000000001</v>
      </c>
      <c r="AH591">
        <v>0.61560649065180395</v>
      </c>
      <c r="AI591">
        <v>110.754406388175</v>
      </c>
      <c r="AJ591">
        <v>77.620861228914094</v>
      </c>
      <c r="AK591">
        <v>0.67399680752903202</v>
      </c>
      <c r="AL591">
        <v>87.568298419389194</v>
      </c>
      <c r="AM591">
        <v>89.298734238053598</v>
      </c>
      <c r="AN591">
        <v>1.0000000255619901</v>
      </c>
    </row>
    <row r="592" spans="1:40" x14ac:dyDescent="0.25">
      <c r="A592" t="str">
        <f>"20190312150646613"</f>
        <v>20190312150646613</v>
      </c>
      <c r="B592" t="str">
        <f>"1552374406601671"</f>
        <v>1552374406601671</v>
      </c>
      <c r="C592" t="s">
        <v>40</v>
      </c>
      <c r="D592">
        <v>4.7675429999999999</v>
      </c>
      <c r="E592">
        <v>0.56060949999999998</v>
      </c>
      <c r="F592" t="s">
        <v>41</v>
      </c>
      <c r="G592">
        <v>-391.85309999999998</v>
      </c>
      <c r="H592">
        <v>0.91295850000000001</v>
      </c>
      <c r="I592">
        <v>367.37790000000001</v>
      </c>
      <c r="J592">
        <v>-392.39400000000001</v>
      </c>
      <c r="K592">
        <v>1.107032</v>
      </c>
      <c r="L592">
        <v>367.49889999999999</v>
      </c>
      <c r="M592">
        <v>0.99992170000000002</v>
      </c>
      <c r="N592">
        <v>0</v>
      </c>
      <c r="O592">
        <v>2.8832329999999998E-3</v>
      </c>
      <c r="P592">
        <v>0.99942399999999998</v>
      </c>
      <c r="Q592">
        <v>3.2630480000000003E-2</v>
      </c>
      <c r="R592">
        <v>-9.3361239999999995E-3</v>
      </c>
      <c r="S592">
        <v>3.0220030000000002</v>
      </c>
      <c r="T592">
        <v>-0.83054539999999999</v>
      </c>
      <c r="U592">
        <v>-0.51602170000000003</v>
      </c>
      <c r="V592">
        <v>1.222844E-2</v>
      </c>
      <c r="W592">
        <v>4.4796080000000002E-2</v>
      </c>
      <c r="X592">
        <v>0.99892130000000001</v>
      </c>
      <c r="Y592">
        <v>0.1651041</v>
      </c>
      <c r="Z592">
        <v>-2.289617E-2</v>
      </c>
      <c r="AA592">
        <v>0.98601039999999995</v>
      </c>
      <c r="AB592">
        <v>33</v>
      </c>
      <c r="AC592">
        <v>0.54090000000002103</v>
      </c>
      <c r="AD592">
        <v>-0.19407350000000001</v>
      </c>
      <c r="AE592">
        <v>-0.12099999999998</v>
      </c>
      <c r="AF592">
        <v>0.109174340065515</v>
      </c>
      <c r="AG592">
        <v>-0.19407350000000001</v>
      </c>
      <c r="AH592">
        <v>0.48151494875013701</v>
      </c>
      <c r="AI592">
        <v>111.45835238766099</v>
      </c>
      <c r="AJ592">
        <v>77.225254498293694</v>
      </c>
      <c r="AK592">
        <v>0.53050938332968101</v>
      </c>
      <c r="AL592">
        <v>87.432514481276897</v>
      </c>
      <c r="AM592">
        <v>89.298640436970899</v>
      </c>
      <c r="AN592">
        <v>0.99999999356094504</v>
      </c>
    </row>
    <row r="593" spans="1:40" x14ac:dyDescent="0.25">
      <c r="A593" t="str">
        <f>"20190312150646625"</f>
        <v>20190312150646625</v>
      </c>
      <c r="B593" t="str">
        <f>"1552374406620723"</f>
        <v>1552374406620723</v>
      </c>
      <c r="C593" t="s">
        <v>40</v>
      </c>
      <c r="D593">
        <v>4.6768850000000004</v>
      </c>
      <c r="E593">
        <v>0.52180219999999999</v>
      </c>
      <c r="F593" t="s">
        <v>41</v>
      </c>
      <c r="G593">
        <v>-391.57389999999998</v>
      </c>
      <c r="H593">
        <v>0.88370190000000004</v>
      </c>
      <c r="I593">
        <v>367.35820000000001</v>
      </c>
      <c r="J593">
        <v>-392.22309999999999</v>
      </c>
      <c r="K593">
        <v>1.1073489999999999</v>
      </c>
      <c r="L593">
        <v>367.49939999999998</v>
      </c>
      <c r="M593">
        <v>0.99992009999999998</v>
      </c>
      <c r="N593">
        <v>0</v>
      </c>
      <c r="O593">
        <v>2.8380710000000002E-3</v>
      </c>
      <c r="P593">
        <v>0.99936409999999998</v>
      </c>
      <c r="Q593">
        <v>3.4446329999999997E-2</v>
      </c>
      <c r="R593">
        <v>-9.2077760000000008E-3</v>
      </c>
      <c r="S593">
        <v>3.0237729999999998</v>
      </c>
      <c r="T593">
        <v>-0.82343259999999996</v>
      </c>
      <c r="U593">
        <v>-0.51681520000000003</v>
      </c>
      <c r="V593">
        <v>1.205526E-2</v>
      </c>
      <c r="W593">
        <v>4.67524E-2</v>
      </c>
      <c r="X593">
        <v>0.99883379999999999</v>
      </c>
      <c r="Y593">
        <v>0.16531779999999999</v>
      </c>
      <c r="Z593">
        <v>-2.271014E-2</v>
      </c>
      <c r="AA593">
        <v>0.98597880000000004</v>
      </c>
      <c r="AB593">
        <v>33</v>
      </c>
      <c r="AC593">
        <v>0.64920000000000699</v>
      </c>
      <c r="AD593">
        <v>-0.22364709999999899</v>
      </c>
      <c r="AE593">
        <v>-0.14119999999996899</v>
      </c>
      <c r="AF593">
        <v>0.128482734101248</v>
      </c>
      <c r="AG593">
        <v>-0.22364709999999899</v>
      </c>
      <c r="AH593">
        <v>0.58275986244267897</v>
      </c>
      <c r="AI593">
        <v>110.54458544891899</v>
      </c>
      <c r="AJ593">
        <v>77.566741864611004</v>
      </c>
      <c r="AK593">
        <v>0.63728713746219001</v>
      </c>
      <c r="AL593">
        <v>87.320308088889604</v>
      </c>
      <c r="AM593">
        <v>89.308511602946695</v>
      </c>
      <c r="AN593">
        <v>1.00000003811093</v>
      </c>
    </row>
    <row r="594" spans="1:40" x14ac:dyDescent="0.25">
      <c r="A594" t="str">
        <f>"20190312150646636"</f>
        <v>20190312150646636</v>
      </c>
      <c r="B594" t="str">
        <f>"1552374406631458"</f>
        <v>1552374406631458</v>
      </c>
      <c r="C594" t="s">
        <v>40</v>
      </c>
      <c r="D594">
        <v>4.760815</v>
      </c>
      <c r="E594">
        <v>0.5160477</v>
      </c>
      <c r="F594" t="s">
        <v>41</v>
      </c>
      <c r="G594">
        <v>-391.2484</v>
      </c>
      <c r="H594">
        <v>0.96569499999999997</v>
      </c>
      <c r="I594">
        <v>367.43299999999999</v>
      </c>
      <c r="J594">
        <v>-392.05110000000002</v>
      </c>
      <c r="K594">
        <v>1.1076239999999999</v>
      </c>
      <c r="L594">
        <v>367.49979999999999</v>
      </c>
      <c r="M594">
        <v>0.99991859999999999</v>
      </c>
      <c r="N594">
        <v>0</v>
      </c>
      <c r="O594">
        <v>2.79232E-3</v>
      </c>
      <c r="P594">
        <v>0.99940119999999999</v>
      </c>
      <c r="Q594">
        <v>3.3439139999999999E-2</v>
      </c>
      <c r="R594">
        <v>-8.8862549999999992E-3</v>
      </c>
      <c r="S594">
        <v>3.0151059999999998</v>
      </c>
      <c r="T594">
        <v>-0.43827129999999997</v>
      </c>
      <c r="U594">
        <v>-0.2049561</v>
      </c>
      <c r="V594">
        <v>1.1687960000000001E-2</v>
      </c>
      <c r="W594">
        <v>4.5875480000000003E-2</v>
      </c>
      <c r="X594">
        <v>0.99887879999999996</v>
      </c>
      <c r="Y594">
        <v>6.98458E-2</v>
      </c>
      <c r="Z594">
        <v>-5.4474240000000002E-3</v>
      </c>
      <c r="AA594">
        <v>0.99754290000000001</v>
      </c>
      <c r="AB594">
        <v>33</v>
      </c>
      <c r="AC594">
        <v>0.80270000000001496</v>
      </c>
      <c r="AD594">
        <v>-0.141928999999999</v>
      </c>
      <c r="AE594">
        <v>-6.6799999999943793E-2</v>
      </c>
      <c r="AF594">
        <v>6.6962241754080304E-2</v>
      </c>
      <c r="AG594">
        <v>-0.141928999999999</v>
      </c>
      <c r="AH594">
        <v>0.77834403475209302</v>
      </c>
      <c r="AI594">
        <v>100.29697669933999</v>
      </c>
      <c r="AJ594">
        <v>85.082855545465407</v>
      </c>
      <c r="AK594">
        <v>0.79400706501636298</v>
      </c>
      <c r="AL594">
        <v>87.370605809250193</v>
      </c>
      <c r="AM594">
        <v>89.3296081377311</v>
      </c>
      <c r="AN594">
        <v>1.00000001258181</v>
      </c>
    </row>
    <row r="595" spans="1:40" x14ac:dyDescent="0.25">
      <c r="A595" t="str">
        <f>"20190312150646649"</f>
        <v>20190312150646649</v>
      </c>
      <c r="B595" t="str">
        <f>"1552374406641218"</f>
        <v>1552374406641218</v>
      </c>
      <c r="C595" t="s">
        <v>40</v>
      </c>
      <c r="D595">
        <v>4.7345009999999998</v>
      </c>
      <c r="E595">
        <v>0.51166869999999998</v>
      </c>
      <c r="F595" t="s">
        <v>41</v>
      </c>
      <c r="G595">
        <v>-391.22840000000002</v>
      </c>
      <c r="H595">
        <v>1.006073</v>
      </c>
      <c r="I595">
        <v>367.45659999999998</v>
      </c>
      <c r="J595">
        <v>-391.8802</v>
      </c>
      <c r="K595">
        <v>1.1078779999999999</v>
      </c>
      <c r="L595">
        <v>367.50020000000001</v>
      </c>
      <c r="M595">
        <v>0.9999171</v>
      </c>
      <c r="N595">
        <v>0</v>
      </c>
      <c r="O595">
        <v>2.7469500000000002E-3</v>
      </c>
      <c r="P595">
        <v>0.99940320000000005</v>
      </c>
      <c r="Q595">
        <v>3.3536139999999999E-2</v>
      </c>
      <c r="R595">
        <v>-8.2788519999999997E-3</v>
      </c>
      <c r="S595">
        <v>3.012848</v>
      </c>
      <c r="T595">
        <v>-0.37196590000000002</v>
      </c>
      <c r="U595">
        <v>-0.1579895</v>
      </c>
      <c r="V595">
        <v>1.103501E-2</v>
      </c>
      <c r="W595">
        <v>4.6097449999999998E-2</v>
      </c>
      <c r="X595">
        <v>0.99887599999999999</v>
      </c>
      <c r="Y595">
        <v>5.4675050000000003E-2</v>
      </c>
      <c r="Z595">
        <v>-3.6977009999999999E-3</v>
      </c>
      <c r="AA595">
        <v>0.99849739999999998</v>
      </c>
      <c r="AB595">
        <v>33</v>
      </c>
      <c r="AC595">
        <v>0.65179999999997995</v>
      </c>
      <c r="AD595">
        <v>-0.10180500000000001</v>
      </c>
      <c r="AE595">
        <v>-4.3600000000026201E-2</v>
      </c>
      <c r="AF595">
        <v>4.4314188609835201E-2</v>
      </c>
      <c r="AG595">
        <v>-0.10180500000000001</v>
      </c>
      <c r="AH595">
        <v>0.63622586323950403</v>
      </c>
      <c r="AI595">
        <v>99.069448633057902</v>
      </c>
      <c r="AJ595">
        <v>86.015688534309305</v>
      </c>
      <c r="AK595">
        <v>0.64584158614322695</v>
      </c>
      <c r="AL595">
        <v>87.357874375752701</v>
      </c>
      <c r="AM595">
        <v>89.367054789322395</v>
      </c>
      <c r="AN595">
        <v>1.0000000048591</v>
      </c>
    </row>
    <row r="596" spans="1:40" x14ac:dyDescent="0.25">
      <c r="A596" t="str">
        <f>"20190312150646660"</f>
        <v>20190312150646660</v>
      </c>
      <c r="B596" t="str">
        <f>"1552374406650978"</f>
        <v>1552374406650978</v>
      </c>
      <c r="C596" t="s">
        <v>40</v>
      </c>
      <c r="D596">
        <v>4.7848410000000001</v>
      </c>
      <c r="E596">
        <v>0.50879090000000005</v>
      </c>
      <c r="F596" t="s">
        <v>41</v>
      </c>
      <c r="G596">
        <v>-390.93830000000003</v>
      </c>
      <c r="H596">
        <v>1.0060100000000001</v>
      </c>
      <c r="I596">
        <v>367.46199999999999</v>
      </c>
      <c r="J596">
        <v>-391.70490000000001</v>
      </c>
      <c r="K596">
        <v>1.108117</v>
      </c>
      <c r="L596">
        <v>367.50069999999999</v>
      </c>
      <c r="M596">
        <v>0.99991580000000002</v>
      </c>
      <c r="N596">
        <v>0</v>
      </c>
      <c r="O596">
        <v>2.7003510000000001E-3</v>
      </c>
      <c r="P596">
        <v>0.99940850000000003</v>
      </c>
      <c r="Q596">
        <v>3.3543950000000003E-2</v>
      </c>
      <c r="R596">
        <v>-7.5862809999999899E-3</v>
      </c>
      <c r="S596">
        <v>3.011749</v>
      </c>
      <c r="T596">
        <v>-0.32582830000000002</v>
      </c>
      <c r="U596">
        <v>-0.12127690000000001</v>
      </c>
      <c r="V596">
        <v>1.029599E-2</v>
      </c>
      <c r="W596">
        <v>4.622511E-2</v>
      </c>
      <c r="X596">
        <v>0.99887800000000004</v>
      </c>
      <c r="Y596">
        <v>4.2669230000000002E-2</v>
      </c>
      <c r="Z596">
        <v>-2.5916630000000001E-3</v>
      </c>
      <c r="AA596">
        <v>0.99908589999999997</v>
      </c>
      <c r="AB596">
        <v>32</v>
      </c>
      <c r="AC596">
        <v>0.76659999999998196</v>
      </c>
      <c r="AD596">
        <v>-0.102106999999999</v>
      </c>
      <c r="AE596">
        <v>-3.8700000000005702E-2</v>
      </c>
      <c r="AF596">
        <v>4.0061203254812099E-2</v>
      </c>
      <c r="AG596">
        <v>-0.102106999999999</v>
      </c>
      <c r="AH596">
        <v>0.75316490422109605</v>
      </c>
      <c r="AI596">
        <v>97.709784497557493</v>
      </c>
      <c r="AJ596">
        <v>86.955279188386996</v>
      </c>
      <c r="AK596">
        <v>0.76110978998144296</v>
      </c>
      <c r="AL596">
        <v>87.350552214148706</v>
      </c>
      <c r="AM596">
        <v>89.409441511173398</v>
      </c>
      <c r="AN596">
        <v>1.0000000135442899</v>
      </c>
    </row>
    <row r="597" spans="1:40" x14ac:dyDescent="0.25">
      <c r="A597" t="str">
        <f>"20190312150646679"</f>
        <v>20190312150646679</v>
      </c>
      <c r="B597" t="str">
        <f>"1552374406671477"</f>
        <v>1552374406671477</v>
      </c>
      <c r="C597" t="s">
        <v>40</v>
      </c>
      <c r="D597">
        <v>4.7395849999999999</v>
      </c>
      <c r="E597">
        <v>0.50572309999999998</v>
      </c>
      <c r="F597" t="s">
        <v>41</v>
      </c>
      <c r="G597">
        <v>-390.92599999999999</v>
      </c>
      <c r="H597">
        <v>1.0308820000000001</v>
      </c>
      <c r="I597">
        <v>367.47550000000001</v>
      </c>
      <c r="J597">
        <v>-391.44310000000002</v>
      </c>
      <c r="K597">
        <v>1.108436</v>
      </c>
      <c r="L597">
        <v>367.50130000000001</v>
      </c>
      <c r="M597">
        <v>0.99991390000000002</v>
      </c>
      <c r="N597">
        <v>0</v>
      </c>
      <c r="O597">
        <v>2.6309760000000001E-3</v>
      </c>
      <c r="P597">
        <v>0.99938260000000001</v>
      </c>
      <c r="Q597">
        <v>3.457764E-2</v>
      </c>
      <c r="R597">
        <v>-6.2373029999999996E-3</v>
      </c>
      <c r="S597">
        <v>3.0111080000000001</v>
      </c>
      <c r="T597">
        <v>-0.29874250000000002</v>
      </c>
      <c r="U597">
        <v>-9.6008300000000005E-2</v>
      </c>
      <c r="V597">
        <v>8.877668E-3</v>
      </c>
      <c r="W597">
        <v>4.7423029999999998E-2</v>
      </c>
      <c r="X597">
        <v>0.99883540000000004</v>
      </c>
      <c r="Y597">
        <v>3.431704E-2</v>
      </c>
      <c r="Z597">
        <v>-1.9581070000000002E-3</v>
      </c>
      <c r="AA597">
        <v>0.99940910000000005</v>
      </c>
      <c r="AB597">
        <v>32</v>
      </c>
      <c r="AC597">
        <v>0.51710000000002698</v>
      </c>
      <c r="AD597">
        <v>-7.7553999999999901E-2</v>
      </c>
      <c r="AE597">
        <v>-2.5800000000003799E-2</v>
      </c>
      <c r="AF597">
        <v>2.6564453904829002E-2</v>
      </c>
      <c r="AG597">
        <v>-7.7553999999999901E-2</v>
      </c>
      <c r="AH597">
        <v>0.50568390965181798</v>
      </c>
      <c r="AI597">
        <v>98.707384368986496</v>
      </c>
      <c r="AJ597">
        <v>86.992917272706507</v>
      </c>
      <c r="AK597">
        <v>0.51228557427279697</v>
      </c>
      <c r="AL597">
        <v>87.281840929965796</v>
      </c>
      <c r="AM597">
        <v>89.4907674327969</v>
      </c>
      <c r="AN597">
        <v>0.99999995652832796</v>
      </c>
    </row>
    <row r="598" spans="1:40" x14ac:dyDescent="0.25">
      <c r="A598" t="str">
        <f>"20190312150646690"</f>
        <v>20190312150646690</v>
      </c>
      <c r="B598" t="str">
        <f>"1552374406681234"</f>
        <v>1552374406681234</v>
      </c>
      <c r="C598" t="s">
        <v>40</v>
      </c>
      <c r="D598">
        <v>4.7651620000000001</v>
      </c>
      <c r="E598">
        <v>0.50490729999999995</v>
      </c>
      <c r="F598" t="s">
        <v>41</v>
      </c>
      <c r="G598">
        <v>-390.62709999999998</v>
      </c>
      <c r="H598">
        <v>1.043431</v>
      </c>
      <c r="I598">
        <v>367.483</v>
      </c>
      <c r="J598">
        <v>-391.26569999999998</v>
      </c>
      <c r="K598">
        <v>1.1086240000000001</v>
      </c>
      <c r="L598">
        <v>367.50170000000003</v>
      </c>
      <c r="M598">
        <v>0.99991260000000004</v>
      </c>
      <c r="N598">
        <v>0</v>
      </c>
      <c r="O598">
        <v>2.584163E-3</v>
      </c>
      <c r="P598">
        <v>0.99939290000000003</v>
      </c>
      <c r="Q598">
        <v>3.434765E-2</v>
      </c>
      <c r="R598">
        <v>-5.8309980000000004E-3</v>
      </c>
      <c r="S598">
        <v>3.009735</v>
      </c>
      <c r="T598">
        <v>-0.2398711</v>
      </c>
      <c r="U598">
        <v>-6.7016599999999996E-2</v>
      </c>
      <c r="V598">
        <v>8.4247269999999999E-3</v>
      </c>
      <c r="W598">
        <v>4.7297779999999998E-2</v>
      </c>
      <c r="X598">
        <v>0.99884530000000005</v>
      </c>
      <c r="Y598">
        <v>2.4758100000000002E-2</v>
      </c>
      <c r="Z598">
        <v>-1.1905279999999999E-3</v>
      </c>
      <c r="AA598">
        <v>0.99969269999999999</v>
      </c>
      <c r="AB598">
        <v>32</v>
      </c>
      <c r="AC598">
        <v>0.63859999999999595</v>
      </c>
      <c r="AD598">
        <v>-6.5193000000000001E-2</v>
      </c>
      <c r="AE598">
        <v>-1.8700000000023899E-2</v>
      </c>
      <c r="AF598">
        <v>2.01406006347567E-2</v>
      </c>
      <c r="AG598">
        <v>-6.5193000000000001E-2</v>
      </c>
      <c r="AH598">
        <v>0.63196890791015203</v>
      </c>
      <c r="AI598">
        <v>95.886748926437804</v>
      </c>
      <c r="AJ598">
        <v>88.174623860002697</v>
      </c>
      <c r="AK598">
        <v>0.635641779312907</v>
      </c>
      <c r="AL598">
        <v>87.289025391969105</v>
      </c>
      <c r="AM598">
        <v>89.516752139048904</v>
      </c>
      <c r="AN598">
        <v>0.99999999467502099</v>
      </c>
    </row>
    <row r="599" spans="1:40" x14ac:dyDescent="0.25">
      <c r="A599" t="str">
        <f>"20190312150646703"</f>
        <v>20190312150646703</v>
      </c>
      <c r="B599" t="str">
        <f>"1552374406690994"</f>
        <v>1552374406690994</v>
      </c>
      <c r="C599" t="s">
        <v>40</v>
      </c>
      <c r="D599">
        <v>4.7824419999999996</v>
      </c>
      <c r="E599">
        <v>0.50435819999999998</v>
      </c>
      <c r="F599" t="s">
        <v>41</v>
      </c>
      <c r="G599">
        <v>-390.34030000000001</v>
      </c>
      <c r="H599">
        <v>1.040605</v>
      </c>
      <c r="I599">
        <v>367.48329999999999</v>
      </c>
      <c r="J599">
        <v>-391.0806</v>
      </c>
      <c r="K599">
        <v>1.1088039999999999</v>
      </c>
      <c r="L599">
        <v>367.50220000000002</v>
      </c>
      <c r="M599">
        <v>0.99991149999999995</v>
      </c>
      <c r="N599">
        <v>0</v>
      </c>
      <c r="O599">
        <v>2.534966E-3</v>
      </c>
      <c r="P599">
        <v>0.99940649999999998</v>
      </c>
      <c r="Q599">
        <v>3.4023280000000003E-2</v>
      </c>
      <c r="R599">
        <v>-5.414978E-3</v>
      </c>
      <c r="S599">
        <v>3.009064</v>
      </c>
      <c r="T599">
        <v>-0.22136990000000001</v>
      </c>
      <c r="U599">
        <v>-5.911255E-2</v>
      </c>
      <c r="V599">
        <v>7.9594639999999994E-3</v>
      </c>
      <c r="W599">
        <v>4.7076300000000001E-2</v>
      </c>
      <c r="X599">
        <v>0.99885959999999996</v>
      </c>
      <c r="Y599">
        <v>2.21091E-2</v>
      </c>
      <c r="Z599">
        <v>-9.9832130000000003E-4</v>
      </c>
      <c r="AA599">
        <v>0.99975510000000001</v>
      </c>
      <c r="AB599">
        <v>32</v>
      </c>
      <c r="AC599">
        <v>0.74029999999998997</v>
      </c>
      <c r="AD599">
        <v>-6.8199000000000107E-2</v>
      </c>
      <c r="AE599">
        <v>-1.89000000000305E-2</v>
      </c>
      <c r="AF599">
        <v>2.0602004841641399E-2</v>
      </c>
      <c r="AG599">
        <v>-6.8199000000000107E-2</v>
      </c>
      <c r="AH599">
        <v>0.73402429584508599</v>
      </c>
      <c r="AI599">
        <v>95.306096670960997</v>
      </c>
      <c r="AJ599">
        <v>88.392290122171303</v>
      </c>
      <c r="AK599">
        <v>0.73747353382705805</v>
      </c>
      <c r="AL599">
        <v>87.3017294697284</v>
      </c>
      <c r="AM599">
        <v>89.543445302861301</v>
      </c>
      <c r="AN599">
        <v>1.0000000158005</v>
      </c>
    </row>
    <row r="600" spans="1:40" x14ac:dyDescent="0.25">
      <c r="A600" t="str">
        <f>"20190312150646717"</f>
        <v>20190312150646717</v>
      </c>
      <c r="B600" t="str">
        <f>"1552374406711491"</f>
        <v>1552374406711491</v>
      </c>
      <c r="C600" t="s">
        <v>40</v>
      </c>
      <c r="D600">
        <v>4.7704459999999997</v>
      </c>
      <c r="E600">
        <v>0.50347330000000001</v>
      </c>
      <c r="F600" t="s">
        <v>42</v>
      </c>
      <c r="G600">
        <v>-375.03429999999997</v>
      </c>
      <c r="H600" s="1">
        <v>-2.538095E-6</v>
      </c>
      <c r="I600">
        <v>367.2174</v>
      </c>
      <c r="J600">
        <v>-390.8965</v>
      </c>
      <c r="K600">
        <v>1.1089580000000001</v>
      </c>
      <c r="L600">
        <v>367.50259999999997</v>
      </c>
      <c r="M600">
        <v>0.99991039999999998</v>
      </c>
      <c r="N600">
        <v>0</v>
      </c>
      <c r="O600">
        <v>2.4860149999999998E-3</v>
      </c>
      <c r="P600">
        <v>0.99941579999999997</v>
      </c>
      <c r="Q600">
        <v>3.3812960000000003E-2</v>
      </c>
      <c r="R600">
        <v>-4.9857460000000001E-3</v>
      </c>
      <c r="S600">
        <v>3.0086059999999999</v>
      </c>
      <c r="T600">
        <v>-0.20789579999999999</v>
      </c>
      <c r="U600">
        <v>-5.3375239999999997E-2</v>
      </c>
      <c r="V600">
        <v>7.4813500000000003E-3</v>
      </c>
      <c r="W600">
        <v>4.6958649999999998E-2</v>
      </c>
      <c r="X600">
        <v>0.9988688</v>
      </c>
      <c r="Y600">
        <v>2.0169840000000001E-2</v>
      </c>
      <c r="Z600">
        <v>-8.6756970000000002E-4</v>
      </c>
      <c r="AA600">
        <v>0.99979620000000002</v>
      </c>
      <c r="AB600">
        <v>32</v>
      </c>
      <c r="AC600">
        <v>15.8622</v>
      </c>
      <c r="AD600">
        <v>-1.1089605380949901</v>
      </c>
      <c r="AE600">
        <v>-0.28519999999997397</v>
      </c>
      <c r="AF600">
        <v>0.323057695640936</v>
      </c>
      <c r="AG600">
        <v>-1.1089605380949901</v>
      </c>
      <c r="AH600">
        <v>15.784317682971301</v>
      </c>
      <c r="AI600">
        <v>94.017993423750497</v>
      </c>
      <c r="AJ600">
        <v>88.827490744908204</v>
      </c>
      <c r="AK600">
        <v>15.8265234485254</v>
      </c>
      <c r="AL600">
        <v>87.308477691599293</v>
      </c>
      <c r="AM600">
        <v>89.570872806373799</v>
      </c>
      <c r="AN600">
        <v>0.99999998251054201</v>
      </c>
    </row>
    <row r="601" spans="1:40" x14ac:dyDescent="0.25">
      <c r="A601" t="str">
        <f>"20190312150646735"</f>
        <v>20190312150646735</v>
      </c>
      <c r="B601" t="str">
        <f>"1552374406731518"</f>
        <v>1552374406731518</v>
      </c>
      <c r="C601" t="s">
        <v>40</v>
      </c>
      <c r="D601">
        <v>4.7667000000000002</v>
      </c>
      <c r="E601">
        <v>0.50295479999999904</v>
      </c>
      <c r="F601" t="s">
        <v>42</v>
      </c>
      <c r="G601">
        <v>-373.10219999999998</v>
      </c>
      <c r="H601" s="1">
        <v>-3.3632549999999999E-6</v>
      </c>
      <c r="I601">
        <v>367.23840000000001</v>
      </c>
      <c r="J601">
        <v>-390.63229999999999</v>
      </c>
      <c r="K601">
        <v>1.1091519999999999</v>
      </c>
      <c r="L601">
        <v>367.50319999999999</v>
      </c>
      <c r="M601">
        <v>0.99990889999999999</v>
      </c>
      <c r="N601">
        <v>0</v>
      </c>
      <c r="O601">
        <v>2.4158029999999998E-3</v>
      </c>
      <c r="P601">
        <v>0.99942799999999998</v>
      </c>
      <c r="Q601">
        <v>3.3523589999999999E-2</v>
      </c>
      <c r="R601">
        <v>-4.4817399999999997E-3</v>
      </c>
      <c r="S601">
        <v>3.0078740000000002</v>
      </c>
      <c r="T601">
        <v>-0.18745319999999999</v>
      </c>
      <c r="U601">
        <v>-4.4647220000000001E-2</v>
      </c>
      <c r="V601">
        <v>6.90685E-3</v>
      </c>
      <c r="W601">
        <v>4.679432E-2</v>
      </c>
      <c r="X601">
        <v>0.99888069999999896</v>
      </c>
      <c r="Y601">
        <v>1.7219439999999999E-2</v>
      </c>
      <c r="Z601">
        <v>-6.8642979999999996E-4</v>
      </c>
      <c r="AA601">
        <v>0.9998515</v>
      </c>
      <c r="AB601">
        <v>32</v>
      </c>
      <c r="AC601">
        <v>17.530100000000001</v>
      </c>
      <c r="AD601">
        <v>-1.109155363255</v>
      </c>
      <c r="AE601">
        <v>-0.264799999999979</v>
      </c>
      <c r="AF601">
        <v>0.30592779481722499</v>
      </c>
      <c r="AG601">
        <v>-1.109155363255</v>
      </c>
      <c r="AH601">
        <v>17.459529632907199</v>
      </c>
      <c r="AI601">
        <v>93.634400525679197</v>
      </c>
      <c r="AJ601">
        <v>88.996159787874006</v>
      </c>
      <c r="AK601">
        <v>17.497399590734702</v>
      </c>
      <c r="AL601">
        <v>87.317903604281994</v>
      </c>
      <c r="AM601">
        <v>89.603829518343701</v>
      </c>
      <c r="AN601">
        <v>1.0000000328968299</v>
      </c>
    </row>
    <row r="602" spans="1:40" x14ac:dyDescent="0.25">
      <c r="A602" t="str">
        <f>"20190312150646748"</f>
        <v>20190312150646748</v>
      </c>
      <c r="B602" t="str">
        <f>"1552374406741278"</f>
        <v>1552374406741278</v>
      </c>
      <c r="C602" t="s">
        <v>40</v>
      </c>
      <c r="D602">
        <v>4.7366539999999997</v>
      </c>
      <c r="E602">
        <v>0.50267649999999997</v>
      </c>
      <c r="F602" t="s">
        <v>42</v>
      </c>
      <c r="G602">
        <v>-371.43020000000001</v>
      </c>
      <c r="H602" s="1">
        <v>-4.0774430000000003E-6</v>
      </c>
      <c r="I602">
        <v>367.25580000000002</v>
      </c>
      <c r="J602">
        <v>-390.43759999999997</v>
      </c>
      <c r="K602">
        <v>1.1092850000000001</v>
      </c>
      <c r="L602">
        <v>367.50360000000001</v>
      </c>
      <c r="M602">
        <v>0.99990800000000002</v>
      </c>
      <c r="N602">
        <v>0</v>
      </c>
      <c r="O602">
        <v>2.3642089999999999E-3</v>
      </c>
      <c r="P602">
        <v>0.99943040000000005</v>
      </c>
      <c r="Q602">
        <v>3.3437799999999997E-2</v>
      </c>
      <c r="R602">
        <v>-4.6108319999999996E-3</v>
      </c>
      <c r="S602">
        <v>3.007355</v>
      </c>
      <c r="T602">
        <v>-0.17371130000000001</v>
      </c>
      <c r="U602">
        <v>-3.872681E-2</v>
      </c>
      <c r="V602">
        <v>6.9845439999999996E-3</v>
      </c>
      <c r="W602">
        <v>4.6793830000000002E-2</v>
      </c>
      <c r="X602">
        <v>0.99888010000000005</v>
      </c>
      <c r="Y602">
        <v>1.5211199999999999E-2</v>
      </c>
      <c r="Z602">
        <v>-5.7538689999999998E-4</v>
      </c>
      <c r="AA602">
        <v>0.99988410000000005</v>
      </c>
      <c r="AB602">
        <v>32</v>
      </c>
      <c r="AC602">
        <v>19.007399999999901</v>
      </c>
      <c r="AD602">
        <v>-1.109289077443</v>
      </c>
      <c r="AE602">
        <v>-0.24779999999998301</v>
      </c>
      <c r="AF602">
        <v>0.29174726154938302</v>
      </c>
      <c r="AG602">
        <v>-1.109289077443</v>
      </c>
      <c r="AH602">
        <v>18.942254699595001</v>
      </c>
      <c r="AI602">
        <v>93.351109198273306</v>
      </c>
      <c r="AJ602">
        <v>89.117604242640496</v>
      </c>
      <c r="AK602">
        <v>18.976950540755698</v>
      </c>
      <c r="AL602">
        <v>87.317931488251105</v>
      </c>
      <c r="AM602">
        <v>89.599372966691206</v>
      </c>
      <c r="AN602">
        <v>0.99999995027848199</v>
      </c>
    </row>
    <row r="603" spans="1:40" x14ac:dyDescent="0.25">
      <c r="A603" t="str">
        <f>"20190312150646759"</f>
        <v>20190312150646759</v>
      </c>
      <c r="B603" t="str">
        <f>"1552374406751037"</f>
        <v>1552374406751037</v>
      </c>
      <c r="C603" t="s">
        <v>40</v>
      </c>
      <c r="D603">
        <v>4.7451239999999997</v>
      </c>
      <c r="E603">
        <v>0.50255179999999999</v>
      </c>
      <c r="F603" t="s">
        <v>42</v>
      </c>
      <c r="G603">
        <v>-370.59609999999998</v>
      </c>
      <c r="H603" s="1">
        <v>-4.4346690000000003E-6</v>
      </c>
      <c r="I603">
        <v>367.2593</v>
      </c>
      <c r="J603">
        <v>-390.27089999999998</v>
      </c>
      <c r="K603">
        <v>1.10938799999999</v>
      </c>
      <c r="L603">
        <v>367.50389999999999</v>
      </c>
      <c r="M603">
        <v>0.99990710000000005</v>
      </c>
      <c r="N603">
        <v>0</v>
      </c>
      <c r="O603">
        <v>2.3203590000000001E-3</v>
      </c>
      <c r="P603">
        <v>0.99942589999999998</v>
      </c>
      <c r="Q603">
        <v>3.3558530000000003E-2</v>
      </c>
      <c r="R603">
        <v>-4.6853329999999999E-3</v>
      </c>
      <c r="S603">
        <v>3.0071720000000002</v>
      </c>
      <c r="T603">
        <v>-0.1681232</v>
      </c>
      <c r="U603">
        <v>-3.701782E-2</v>
      </c>
      <c r="V603">
        <v>7.0151629999999996E-3</v>
      </c>
      <c r="W603">
        <v>4.6981509999999997E-2</v>
      </c>
      <c r="X603">
        <v>0.99887110000000001</v>
      </c>
      <c r="Y603">
        <v>1.4602850000000001E-2</v>
      </c>
      <c r="Z603">
        <v>-5.3750130000000001E-4</v>
      </c>
      <c r="AA603">
        <v>0.99989320000000004</v>
      </c>
      <c r="AB603">
        <v>32</v>
      </c>
      <c r="AC603">
        <v>19.674800000000001</v>
      </c>
      <c r="AD603">
        <v>-1.1093924346689901</v>
      </c>
      <c r="AE603">
        <v>-0.24459999999999099</v>
      </c>
      <c r="AF603">
        <v>0.28933627595928801</v>
      </c>
      <c r="AG603">
        <v>-1.1093924346689901</v>
      </c>
      <c r="AH603">
        <v>19.611834526176501</v>
      </c>
      <c r="AI603">
        <v>93.237277026074295</v>
      </c>
      <c r="AJ603">
        <v>89.154768266971004</v>
      </c>
      <c r="AK603">
        <v>19.645318030940999</v>
      </c>
      <c r="AL603">
        <v>87.307166441543799</v>
      </c>
      <c r="AM603">
        <v>89.597613121152307</v>
      </c>
      <c r="AN603">
        <v>0.99999997460450296</v>
      </c>
    </row>
    <row r="604" spans="1:40" x14ac:dyDescent="0.25">
      <c r="A604" t="str">
        <f>"20190312150646771"</f>
        <v>20190312150646771</v>
      </c>
      <c r="B604" t="str">
        <f>"1552374406760797"</f>
        <v>1552374406760797</v>
      </c>
      <c r="C604" t="s">
        <v>40</v>
      </c>
      <c r="D604">
        <v>4.7134499999999999</v>
      </c>
      <c r="E604">
        <v>0.50244</v>
      </c>
      <c r="F604" t="s">
        <v>42</v>
      </c>
      <c r="G604">
        <v>-369.71179999999998</v>
      </c>
      <c r="H604" s="1">
        <v>-7.1210660000000004E-7</v>
      </c>
      <c r="I604">
        <v>367.25619999999998</v>
      </c>
      <c r="J604">
        <v>-390.09800000000001</v>
      </c>
      <c r="K604">
        <v>1.109483</v>
      </c>
      <c r="L604">
        <v>367.5043</v>
      </c>
      <c r="M604">
        <v>0.99990619999999997</v>
      </c>
      <c r="N604">
        <v>0</v>
      </c>
      <c r="O604">
        <v>2.274734E-3</v>
      </c>
      <c r="P604">
        <v>0.99942850000000005</v>
      </c>
      <c r="Q604">
        <v>3.3458109999999999E-2</v>
      </c>
      <c r="R604">
        <v>-4.8336940000000004E-3</v>
      </c>
      <c r="S604">
        <v>3.0069889999999999</v>
      </c>
      <c r="T604">
        <v>-0.16225899999999999</v>
      </c>
      <c r="U604">
        <v>-3.6224369999999999E-2</v>
      </c>
      <c r="V604">
        <v>7.1180999999999996E-3</v>
      </c>
      <c r="W604">
        <v>4.6946729999999999E-2</v>
      </c>
      <c r="X604">
        <v>0.99887199999999998</v>
      </c>
      <c r="Y604">
        <v>1.429649E-2</v>
      </c>
      <c r="Z604">
        <v>-5.080935E-4</v>
      </c>
      <c r="AA604">
        <v>0.9998977</v>
      </c>
      <c r="AB604">
        <v>32</v>
      </c>
      <c r="AC604">
        <v>20.386199999999999</v>
      </c>
      <c r="AD604">
        <v>-1.1094837121065999</v>
      </c>
      <c r="AE604">
        <v>-0.248100000000022</v>
      </c>
      <c r="AF604">
        <v>0.29360726607356402</v>
      </c>
      <c r="AG604">
        <v>-1.1094837121065999</v>
      </c>
      <c r="AH604">
        <v>20.325390127289499</v>
      </c>
      <c r="AI604">
        <v>93.124126886684905</v>
      </c>
      <c r="AJ604">
        <v>89.172400277742</v>
      </c>
      <c r="AK604">
        <v>20.357766163325401</v>
      </c>
      <c r="AL604">
        <v>87.309161371201995</v>
      </c>
      <c r="AM604">
        <v>89.59170926326</v>
      </c>
      <c r="AN604">
        <v>0.99999996759465004</v>
      </c>
    </row>
    <row r="605" spans="1:40" x14ac:dyDescent="0.25">
      <c r="A605" t="str">
        <f>"20190312150646783"</f>
        <v>20190312150646783</v>
      </c>
      <c r="B605" t="str">
        <f>"1552374406771533"</f>
        <v>1552374406771533</v>
      </c>
      <c r="C605" t="s">
        <v>40</v>
      </c>
      <c r="D605">
        <v>4.728834</v>
      </c>
      <c r="E605">
        <v>0.50229570000000001</v>
      </c>
      <c r="F605" t="s">
        <v>42</v>
      </c>
      <c r="G605">
        <v>-369.03870000000001</v>
      </c>
      <c r="H605" s="1">
        <v>-9.4103370000000003E-7</v>
      </c>
      <c r="I605">
        <v>367.25670000000002</v>
      </c>
      <c r="J605">
        <v>-389.9289</v>
      </c>
      <c r="K605">
        <v>1.109569</v>
      </c>
      <c r="L605">
        <v>367.50459999999998</v>
      </c>
      <c r="M605">
        <v>0.99990559999999995</v>
      </c>
      <c r="N605">
        <v>0</v>
      </c>
      <c r="O605">
        <v>2.2297319999999999E-3</v>
      </c>
      <c r="P605">
        <v>0.99942980000000003</v>
      </c>
      <c r="Q605">
        <v>3.3368990000000001E-2</v>
      </c>
      <c r="R605">
        <v>-5.1712149999999998E-3</v>
      </c>
      <c r="S605">
        <v>3.0068359999999998</v>
      </c>
      <c r="T605">
        <v>-0.158411</v>
      </c>
      <c r="U605">
        <v>-3.533936E-2</v>
      </c>
      <c r="V605">
        <v>7.4105489999999998E-3</v>
      </c>
      <c r="W605">
        <v>4.691816E-2</v>
      </c>
      <c r="X605">
        <v>0.99887130000000002</v>
      </c>
      <c r="Y605">
        <v>1.39595E-2</v>
      </c>
      <c r="Z605">
        <v>-4.8484679999999999E-4</v>
      </c>
      <c r="AA605">
        <v>0.99990239999999997</v>
      </c>
      <c r="AB605">
        <v>32</v>
      </c>
      <c r="AC605">
        <v>20.8902</v>
      </c>
      <c r="AD605">
        <v>-1.1095699410336901</v>
      </c>
      <c r="AE605">
        <v>-0.24789999999995799</v>
      </c>
      <c r="AF605">
        <v>0.29365488875825901</v>
      </c>
      <c r="AG605">
        <v>-1.1095699410336901</v>
      </c>
      <c r="AH605">
        <v>20.830836889712799</v>
      </c>
      <c r="AI605">
        <v>93.048718323345099</v>
      </c>
      <c r="AJ605">
        <v>89.192347795196596</v>
      </c>
      <c r="AK605">
        <v>20.862433802736401</v>
      </c>
      <c r="AL605">
        <v>87.310800344532893</v>
      </c>
      <c r="AM605">
        <v>89.574934837046598</v>
      </c>
      <c r="AN605">
        <v>1.00000005196897</v>
      </c>
    </row>
    <row r="606" spans="1:40" x14ac:dyDescent="0.25">
      <c r="A606" t="str">
        <f>"20190312150646800"</f>
        <v>20190312150646800</v>
      </c>
      <c r="B606" t="str">
        <f>"1552374406791056"</f>
        <v>1552374406791056</v>
      </c>
      <c r="C606" t="s">
        <v>40</v>
      </c>
      <c r="D606">
        <v>4.7607530000000002</v>
      </c>
      <c r="E606">
        <v>0.50213260000000004</v>
      </c>
      <c r="F606" t="s">
        <v>42</v>
      </c>
      <c r="G606">
        <v>-368.4033</v>
      </c>
      <c r="H606" s="1">
        <v>-1.1585110000000001E-6</v>
      </c>
      <c r="I606">
        <v>367.25200000000001</v>
      </c>
      <c r="J606">
        <v>-389.67590000000001</v>
      </c>
      <c r="K606">
        <v>1.1096790000000001</v>
      </c>
      <c r="L606">
        <v>367.50510000000003</v>
      </c>
      <c r="M606">
        <v>0.99990449999999997</v>
      </c>
      <c r="N606">
        <v>0</v>
      </c>
      <c r="O606">
        <v>2.162293E-3</v>
      </c>
      <c r="P606">
        <v>0.99944759999999999</v>
      </c>
      <c r="Q606">
        <v>3.2729069999999999E-2</v>
      </c>
      <c r="R606">
        <v>-5.778559E-3</v>
      </c>
      <c r="S606">
        <v>3.0066830000000002</v>
      </c>
      <c r="T606">
        <v>-0.1549837</v>
      </c>
      <c r="U606">
        <v>-3.5278320000000002E-2</v>
      </c>
      <c r="V606">
        <v>7.95026699999999E-3</v>
      </c>
      <c r="W606">
        <v>4.6361340000000001E-2</v>
      </c>
      <c r="X606">
        <v>0.99889309999999998</v>
      </c>
      <c r="Y606">
        <v>1.387353E-2</v>
      </c>
      <c r="Z606">
        <v>-4.6870700000000001E-4</v>
      </c>
      <c r="AA606">
        <v>0.9999036</v>
      </c>
      <c r="AB606">
        <v>32</v>
      </c>
      <c r="AC606">
        <v>21.272600000000001</v>
      </c>
      <c r="AD606">
        <v>-1.1096801585109899</v>
      </c>
      <c r="AE606">
        <v>-0.25310000000007399</v>
      </c>
      <c r="AF606">
        <v>0.29828970799308202</v>
      </c>
      <c r="AG606">
        <v>-1.1096801585109899</v>
      </c>
      <c r="AH606">
        <v>21.214283588848399</v>
      </c>
      <c r="AI606">
        <v>92.994012475043505</v>
      </c>
      <c r="AJ606">
        <v>89.194428834313101</v>
      </c>
      <c r="AK606">
        <v>21.2453805565392</v>
      </c>
      <c r="AL606">
        <v>87.342738404724599</v>
      </c>
      <c r="AM606">
        <v>89.543988113500404</v>
      </c>
      <c r="AN606">
        <v>1.00000000290978</v>
      </c>
    </row>
    <row r="607" spans="1:40" x14ac:dyDescent="0.25">
      <c r="A607" t="str">
        <f>"20190312150646812"</f>
        <v>20190312150646812</v>
      </c>
      <c r="B607" t="str">
        <f>"1552374406800815"</f>
        <v>1552374406800815</v>
      </c>
      <c r="C607" t="s">
        <v>40</v>
      </c>
      <c r="D607">
        <v>4.7173920000000003</v>
      </c>
      <c r="E607">
        <v>0.5021137</v>
      </c>
      <c r="F607" t="s">
        <v>42</v>
      </c>
      <c r="G607">
        <v>-367.99900000000002</v>
      </c>
      <c r="H607" s="1">
        <v>-1.297044E-6</v>
      </c>
      <c r="I607">
        <v>367.2484</v>
      </c>
      <c r="J607">
        <v>-389.51799999999997</v>
      </c>
      <c r="K607">
        <v>1.109737</v>
      </c>
      <c r="L607">
        <v>367.50540000000001</v>
      </c>
      <c r="M607">
        <v>0.99990400000000002</v>
      </c>
      <c r="N607">
        <v>0</v>
      </c>
      <c r="O607">
        <v>2.1205410000000001E-3</v>
      </c>
      <c r="P607">
        <v>0.99946650000000004</v>
      </c>
      <c r="Q607">
        <v>3.2119479999999999E-2</v>
      </c>
      <c r="R607">
        <v>-5.9240400000000002E-3</v>
      </c>
      <c r="S607">
        <v>3.0065</v>
      </c>
      <c r="T607">
        <v>-0.153907399999999</v>
      </c>
      <c r="U607">
        <v>-3.5583499999999997E-2</v>
      </c>
      <c r="V607">
        <v>8.0540579999999994E-3</v>
      </c>
      <c r="W607">
        <v>4.5798789999999999E-2</v>
      </c>
      <c r="X607">
        <v>0.99891819999999998</v>
      </c>
      <c r="Y607">
        <v>1.3934240000000001E-2</v>
      </c>
      <c r="Z607">
        <v>-4.6490129999999998E-4</v>
      </c>
      <c r="AA607">
        <v>0.99990279999999998</v>
      </c>
      <c r="AB607">
        <v>32</v>
      </c>
      <c r="AC607">
        <v>21.518999999999998</v>
      </c>
      <c r="AD607">
        <v>-1.109738297044</v>
      </c>
      <c r="AE607">
        <v>-0.257000000000005</v>
      </c>
      <c r="AF607">
        <v>0.30183301745147401</v>
      </c>
      <c r="AG607">
        <v>-1.109738297044</v>
      </c>
      <c r="AH607">
        <v>21.461338684788601</v>
      </c>
      <c r="AI607">
        <v>92.959762778282297</v>
      </c>
      <c r="AJ607">
        <v>89.194243276774202</v>
      </c>
      <c r="AK607">
        <v>21.4921306622111</v>
      </c>
      <c r="AL607">
        <v>87.375004369828702</v>
      </c>
      <c r="AM607">
        <v>89.538046726878207</v>
      </c>
      <c r="AN607">
        <v>0.99999998365348497</v>
      </c>
    </row>
    <row r="608" spans="1:40" x14ac:dyDescent="0.25">
      <c r="A608" t="str">
        <f>"20190312150646823"</f>
        <v>20190312150646823</v>
      </c>
      <c r="B608" t="str">
        <f>"1552374406820839"</f>
        <v>1552374406820839</v>
      </c>
      <c r="C608" t="s">
        <v>40</v>
      </c>
      <c r="D608">
        <v>4.7697159999999998</v>
      </c>
      <c r="E608">
        <v>0.50185349999999995</v>
      </c>
      <c r="F608" t="s">
        <v>42</v>
      </c>
      <c r="G608">
        <v>-368.1549</v>
      </c>
      <c r="H608" s="1">
        <v>-1.2430669999999999E-6</v>
      </c>
      <c r="I608">
        <v>367.25189999999998</v>
      </c>
      <c r="J608">
        <v>-389.34750000000003</v>
      </c>
      <c r="K608">
        <v>1.1097950000000001</v>
      </c>
      <c r="L608">
        <v>367.50569999999999</v>
      </c>
      <c r="M608">
        <v>0.9999034</v>
      </c>
      <c r="N608">
        <v>0</v>
      </c>
      <c r="O608">
        <v>2.075435E-3</v>
      </c>
      <c r="P608">
        <v>0.99947209999999997</v>
      </c>
      <c r="Q608">
        <v>3.1824449999999997E-2</v>
      </c>
      <c r="R608">
        <v>-6.5629959999999998E-3</v>
      </c>
      <c r="S608">
        <v>3.0064389999999999</v>
      </c>
      <c r="T608">
        <v>-0.15617349999999999</v>
      </c>
      <c r="U608">
        <v>-3.567505E-2</v>
      </c>
      <c r="V608">
        <v>8.6476529999999999E-3</v>
      </c>
      <c r="W608">
        <v>4.5553009999999998E-2</v>
      </c>
      <c r="X608">
        <v>0.99892449999999999</v>
      </c>
      <c r="Y608">
        <v>1.3919279999999999E-2</v>
      </c>
      <c r="Z608">
        <v>-4.690168E-4</v>
      </c>
      <c r="AA608">
        <v>0.99990299999999999</v>
      </c>
      <c r="AB608">
        <v>32</v>
      </c>
      <c r="AC608">
        <v>21.192599999999999</v>
      </c>
      <c r="AD608">
        <v>-1.1097962430670001</v>
      </c>
      <c r="AE608">
        <v>-0.25380000000001202</v>
      </c>
      <c r="AF608">
        <v>0.29697319302983199</v>
      </c>
      <c r="AG608">
        <v>-1.1097962430670001</v>
      </c>
      <c r="AH608">
        <v>21.134079470578101</v>
      </c>
      <c r="AI608">
        <v>93.005668195313106</v>
      </c>
      <c r="AJ608">
        <v>89.194940530677002</v>
      </c>
      <c r="AK608">
        <v>21.1652818513531</v>
      </c>
      <c r="AL608">
        <v>87.389101302251106</v>
      </c>
      <c r="AM608">
        <v>89.504004914574907</v>
      </c>
      <c r="AN608">
        <v>1.00000000766135</v>
      </c>
    </row>
    <row r="609" spans="1:40" x14ac:dyDescent="0.25">
      <c r="A609" t="str">
        <f>"20190312150646835"</f>
        <v>20190312150646835</v>
      </c>
      <c r="B609" t="str">
        <f>"1552374406831575"</f>
        <v>1552374406831575</v>
      </c>
      <c r="C609" t="s">
        <v>40</v>
      </c>
      <c r="D609">
        <v>4.7342019999999998</v>
      </c>
      <c r="E609">
        <v>0.50183509999999998</v>
      </c>
      <c r="F609" t="s">
        <v>42</v>
      </c>
      <c r="G609">
        <v>-367.6712</v>
      </c>
      <c r="H609" s="1">
        <v>-1.4084309999999999E-6</v>
      </c>
      <c r="I609">
        <v>367.2491</v>
      </c>
      <c r="J609">
        <v>-389.18700000000001</v>
      </c>
      <c r="K609">
        <v>1.1098429999999999</v>
      </c>
      <c r="L609">
        <v>367.50599999999997</v>
      </c>
      <c r="M609">
        <v>0.99990299999999999</v>
      </c>
      <c r="N609">
        <v>0</v>
      </c>
      <c r="O609">
        <v>2.0327090000000002E-3</v>
      </c>
      <c r="P609">
        <v>0.99947870000000005</v>
      </c>
      <c r="Q609">
        <v>3.1502700000000002E-2</v>
      </c>
      <c r="R609">
        <v>-7.1025519999999998E-3</v>
      </c>
      <c r="S609">
        <v>3.006256</v>
      </c>
      <c r="T609">
        <v>-0.15391529999999901</v>
      </c>
      <c r="U609">
        <v>-3.5583499999999997E-2</v>
      </c>
      <c r="V609">
        <v>9.1445759999999997E-3</v>
      </c>
      <c r="W609">
        <v>4.527291E-2</v>
      </c>
      <c r="X609">
        <v>0.99893279999999995</v>
      </c>
      <c r="Y609">
        <v>1.384759E-2</v>
      </c>
      <c r="Z609">
        <v>-4.5825210000000001E-4</v>
      </c>
      <c r="AA609">
        <v>0.99990400000000002</v>
      </c>
      <c r="AB609">
        <v>32</v>
      </c>
      <c r="AC609">
        <v>21.515799999999899</v>
      </c>
      <c r="AD609">
        <v>-1.109844408431</v>
      </c>
      <c r="AE609">
        <v>-0.25689999999997298</v>
      </c>
      <c r="AF609">
        <v>0.299841283425613</v>
      </c>
      <c r="AG609">
        <v>-1.109844408431</v>
      </c>
      <c r="AH609">
        <v>21.458145990838901</v>
      </c>
      <c r="AI609">
        <v>92.960488673629499</v>
      </c>
      <c r="AJ609">
        <v>89.199440525988095</v>
      </c>
      <c r="AK609">
        <v>21.488920139698202</v>
      </c>
      <c r="AL609">
        <v>87.405166402664307</v>
      </c>
      <c r="AM609">
        <v>89.475509288444101</v>
      </c>
      <c r="AN609">
        <v>0.99999999928296401</v>
      </c>
    </row>
    <row r="610" spans="1:40" x14ac:dyDescent="0.25">
      <c r="A610" t="str">
        <f>"20190312150646847"</f>
        <v>20190312150646847</v>
      </c>
      <c r="B610" t="str">
        <f>"1552374406841335"</f>
        <v>1552374406841335</v>
      </c>
      <c r="C610" t="s">
        <v>40</v>
      </c>
      <c r="D610">
        <v>4.7207189999999999</v>
      </c>
      <c r="E610">
        <v>0.50182599999999999</v>
      </c>
      <c r="F610" t="s">
        <v>42</v>
      </c>
      <c r="G610">
        <v>-367.7715</v>
      </c>
      <c r="H610" s="1">
        <v>-1.3762930000000001E-6</v>
      </c>
      <c r="I610">
        <v>367.24149999999997</v>
      </c>
      <c r="J610">
        <v>-389.01729999999998</v>
      </c>
      <c r="K610">
        <v>1.109893</v>
      </c>
      <c r="L610">
        <v>367.50630000000001</v>
      </c>
      <c r="M610">
        <v>0.99990250000000003</v>
      </c>
      <c r="N610">
        <v>0</v>
      </c>
      <c r="O610">
        <v>1.98759E-3</v>
      </c>
      <c r="P610">
        <v>0.99948870000000001</v>
      </c>
      <c r="Q610">
        <v>3.0985909999999998E-2</v>
      </c>
      <c r="R610">
        <v>-7.9007880000000006E-3</v>
      </c>
      <c r="S610">
        <v>3.0062259999999998</v>
      </c>
      <c r="T610">
        <v>-0.15579519999999999</v>
      </c>
      <c r="U610">
        <v>-3.7109379999999997E-2</v>
      </c>
      <c r="V610">
        <v>9.8977449999999995E-3</v>
      </c>
      <c r="W610">
        <v>4.4798449999999997E-2</v>
      </c>
      <c r="X610">
        <v>0.99894700000000003</v>
      </c>
      <c r="Y610">
        <v>1.4308970000000001E-2</v>
      </c>
      <c r="Z610">
        <v>-4.7345509999999999E-4</v>
      </c>
      <c r="AA610">
        <v>0.99989749999999999</v>
      </c>
      <c r="AB610">
        <v>32</v>
      </c>
      <c r="AC610">
        <v>21.2457999999999</v>
      </c>
      <c r="AD610">
        <v>-1.109894376293</v>
      </c>
      <c r="AE610">
        <v>-0.26480000000003601</v>
      </c>
      <c r="AF610">
        <v>0.30619594557255198</v>
      </c>
      <c r="AG610">
        <v>-1.109894376293</v>
      </c>
      <c r="AH610">
        <v>21.187418368901199</v>
      </c>
      <c r="AI610">
        <v>92.998362876885906</v>
      </c>
      <c r="AJ610">
        <v>89.172031539040006</v>
      </c>
      <c r="AK610">
        <v>21.218678531483999</v>
      </c>
      <c r="AL610">
        <v>87.432378538617499</v>
      </c>
      <c r="AM610">
        <v>89.432321776288305</v>
      </c>
      <c r="AN610">
        <v>0.99999998764374298</v>
      </c>
    </row>
    <row r="611" spans="1:40" x14ac:dyDescent="0.25">
      <c r="A611" t="str">
        <f>"20190312150646858"</f>
        <v>20190312150646858</v>
      </c>
      <c r="B611" t="str">
        <f>"1552374406851095"</f>
        <v>1552374406851095</v>
      </c>
      <c r="C611" t="s">
        <v>40</v>
      </c>
      <c r="D611">
        <v>4.7179760000000002</v>
      </c>
      <c r="E611">
        <v>0.50185290000000005</v>
      </c>
      <c r="F611" t="s">
        <v>42</v>
      </c>
      <c r="G611">
        <v>-367.90109999999999</v>
      </c>
      <c r="H611" s="1">
        <v>-1.335232E-6</v>
      </c>
      <c r="I611">
        <v>367.23009999999999</v>
      </c>
      <c r="J611">
        <v>-388.8485</v>
      </c>
      <c r="K611">
        <v>1.1099300000000001</v>
      </c>
      <c r="L611">
        <v>367.50659999999999</v>
      </c>
      <c r="M611">
        <v>0.99990199999999996</v>
      </c>
      <c r="N611">
        <v>0</v>
      </c>
      <c r="O611">
        <v>1.9428550000000001E-3</v>
      </c>
      <c r="P611">
        <v>0.99949730000000003</v>
      </c>
      <c r="Q611">
        <v>3.0617390000000001E-2</v>
      </c>
      <c r="R611">
        <v>-8.2523349999999995E-3</v>
      </c>
      <c r="S611">
        <v>3.0061650000000002</v>
      </c>
      <c r="T611">
        <v>-0.15800729999999999</v>
      </c>
      <c r="U611">
        <v>-3.9306639999999997E-2</v>
      </c>
      <c r="V611">
        <v>1.020417E-2</v>
      </c>
      <c r="W611">
        <v>4.4469300000000003E-2</v>
      </c>
      <c r="X611">
        <v>0.99895860000000003</v>
      </c>
      <c r="Y611">
        <v>1.49937E-2</v>
      </c>
      <c r="Z611">
        <v>-4.9580800000000003E-4</v>
      </c>
      <c r="AA611">
        <v>0.99988750000000004</v>
      </c>
      <c r="AB611">
        <v>32</v>
      </c>
      <c r="AC611">
        <v>20.947399999999998</v>
      </c>
      <c r="AD611">
        <v>-1.1099313352319999</v>
      </c>
      <c r="AE611">
        <v>-0.27649999999999803</v>
      </c>
      <c r="AF611">
        <v>0.316313231158736</v>
      </c>
      <c r="AG611">
        <v>-1.1099313352319999</v>
      </c>
      <c r="AH611">
        <v>20.8881881856815</v>
      </c>
      <c r="AI611">
        <v>93.041305381339498</v>
      </c>
      <c r="AJ611">
        <v>89.1324270035647</v>
      </c>
      <c r="AK611">
        <v>20.920047975795399</v>
      </c>
      <c r="AL611">
        <v>87.451256198078795</v>
      </c>
      <c r="AM611">
        <v>89.414754984913102</v>
      </c>
      <c r="AN611">
        <v>0.99999996412091796</v>
      </c>
    </row>
    <row r="612" spans="1:40" x14ac:dyDescent="0.25">
      <c r="A612" t="str">
        <f>"20190312150646870"</f>
        <v>20190312150646870</v>
      </c>
      <c r="B612" t="str">
        <f>"1552374406860856"</f>
        <v>1552374406860856</v>
      </c>
      <c r="C612" t="s">
        <v>40</v>
      </c>
      <c r="D612">
        <v>4.729806</v>
      </c>
      <c r="E612">
        <v>0.5018167</v>
      </c>
      <c r="F612" t="s">
        <v>42</v>
      </c>
      <c r="G612">
        <v>-368.02190000000002</v>
      </c>
      <c r="H612" s="1">
        <v>-1.2953619999999999E-6</v>
      </c>
      <c r="I612">
        <v>367.22550000000001</v>
      </c>
      <c r="J612">
        <v>-388.6841</v>
      </c>
      <c r="K612">
        <v>1.1099680000000001</v>
      </c>
      <c r="L612">
        <v>367.50689999999997</v>
      </c>
      <c r="M612">
        <v>0.9999017</v>
      </c>
      <c r="N612">
        <v>0</v>
      </c>
      <c r="O612">
        <v>1.898978E-3</v>
      </c>
      <c r="P612">
        <v>0.99949379999999999</v>
      </c>
      <c r="Q612">
        <v>3.043879E-2</v>
      </c>
      <c r="R612">
        <v>-9.2423130000000003E-3</v>
      </c>
      <c r="S612">
        <v>3.0060730000000002</v>
      </c>
      <c r="T612">
        <v>-0.1602045</v>
      </c>
      <c r="U612">
        <v>-4.0557860000000001E-2</v>
      </c>
      <c r="V612">
        <v>1.115064E-2</v>
      </c>
      <c r="W612">
        <v>4.4325429999999999E-2</v>
      </c>
      <c r="X612">
        <v>0.99895489999999998</v>
      </c>
      <c r="Y612">
        <v>1.5365220000000001E-2</v>
      </c>
      <c r="Z612">
        <v>-5.1026230000000004E-4</v>
      </c>
      <c r="AA612">
        <v>0.99988180000000004</v>
      </c>
      <c r="AB612">
        <v>32</v>
      </c>
      <c r="AC612">
        <v>20.662199999999899</v>
      </c>
      <c r="AD612">
        <v>-1.109969295362</v>
      </c>
      <c r="AE612">
        <v>-0.28139999999996201</v>
      </c>
      <c r="AF612">
        <v>0.31971786616953102</v>
      </c>
      <c r="AG612">
        <v>-1.109969295362</v>
      </c>
      <c r="AH612">
        <v>20.602185199926002</v>
      </c>
      <c r="AI612">
        <v>93.083531917399696</v>
      </c>
      <c r="AJ612">
        <v>89.110918872652704</v>
      </c>
      <c r="AK612">
        <v>20.634541098911001</v>
      </c>
      <c r="AL612">
        <v>87.459507534923603</v>
      </c>
      <c r="AM612">
        <v>89.3604735524397</v>
      </c>
      <c r="AN612">
        <v>0.99999998637555199</v>
      </c>
    </row>
    <row r="613" spans="1:40" x14ac:dyDescent="0.25">
      <c r="A613" t="str">
        <f>"20190312150646881"</f>
        <v>20190312150646881</v>
      </c>
      <c r="B613" t="str">
        <f>"1552374406871592"</f>
        <v>1552374406871592</v>
      </c>
      <c r="C613" t="s">
        <v>40</v>
      </c>
      <c r="D613">
        <v>4.6690079999999998</v>
      </c>
      <c r="E613">
        <v>0.50185420000000003</v>
      </c>
      <c r="F613" t="s">
        <v>42</v>
      </c>
      <c r="G613">
        <v>-367.97609999999997</v>
      </c>
      <c r="H613" s="1">
        <v>-1.315371E-6</v>
      </c>
      <c r="I613">
        <v>367.20890000000003</v>
      </c>
      <c r="J613">
        <v>-388.5197</v>
      </c>
      <c r="K613">
        <v>1.1100000000000001</v>
      </c>
      <c r="L613">
        <v>367.50709999999998</v>
      </c>
      <c r="M613">
        <v>0.99990129999999999</v>
      </c>
      <c r="N613">
        <v>0</v>
      </c>
      <c r="O613">
        <v>1.855116E-3</v>
      </c>
      <c r="P613">
        <v>0.99948309999999996</v>
      </c>
      <c r="Q613">
        <v>3.0543819999999999E-2</v>
      </c>
      <c r="R613">
        <v>-1.0057740000000001E-2</v>
      </c>
      <c r="S613">
        <v>3.0060419999999999</v>
      </c>
      <c r="T613">
        <v>-0.16112570000000001</v>
      </c>
      <c r="U613">
        <v>-4.3243410000000003E-2</v>
      </c>
      <c r="V613">
        <v>1.1921950000000001E-2</v>
      </c>
      <c r="W613">
        <v>4.446406E-2</v>
      </c>
      <c r="X613">
        <v>0.99893989999999999</v>
      </c>
      <c r="Y613">
        <v>1.6213160000000001E-2</v>
      </c>
      <c r="Z613">
        <v>-5.3355239999999999E-4</v>
      </c>
      <c r="AA613">
        <v>0.99986839999999999</v>
      </c>
      <c r="AB613">
        <v>32</v>
      </c>
      <c r="AC613">
        <v>20.543600000000001</v>
      </c>
      <c r="AD613">
        <v>-1.110001315371</v>
      </c>
      <c r="AE613">
        <v>-0.298199999999951</v>
      </c>
      <c r="AF613">
        <v>0.33533517223035098</v>
      </c>
      <c r="AG613">
        <v>-1.110001315371</v>
      </c>
      <c r="AH613">
        <v>20.483225224207299</v>
      </c>
      <c r="AI613">
        <v>93.101452442556507</v>
      </c>
      <c r="AJ613">
        <v>89.062082574211402</v>
      </c>
      <c r="AK613">
        <v>20.516019793894301</v>
      </c>
      <c r="AL613">
        <v>87.451556956141005</v>
      </c>
      <c r="AM613">
        <v>89.316230145554002</v>
      </c>
      <c r="AN613">
        <v>1.0000000546677399</v>
      </c>
    </row>
    <row r="614" spans="1:40" x14ac:dyDescent="0.25">
      <c r="A614" t="str">
        <f>"20190312150646892"</f>
        <v>20190312150646892</v>
      </c>
      <c r="B614" t="str">
        <f>"1552374406881351"</f>
        <v>1552374406881351</v>
      </c>
      <c r="C614" t="s">
        <v>40</v>
      </c>
      <c r="D614">
        <v>4.7651260000000004</v>
      </c>
      <c r="E614">
        <v>0.501913099999999</v>
      </c>
      <c r="F614" t="s">
        <v>42</v>
      </c>
      <c r="G614">
        <v>-367.85129999999998</v>
      </c>
      <c r="H614" s="1">
        <v>-1.36228199999999E-6</v>
      </c>
      <c r="I614">
        <v>367.19209999999998</v>
      </c>
      <c r="J614">
        <v>-388.36930000000001</v>
      </c>
      <c r="K614">
        <v>1.1100270000000001</v>
      </c>
      <c r="L614">
        <v>367.50740000000002</v>
      </c>
      <c r="M614">
        <v>0.99990089999999998</v>
      </c>
      <c r="N614">
        <v>0</v>
      </c>
      <c r="O614">
        <v>1.8151619999999999E-3</v>
      </c>
      <c r="P614">
        <v>0.99947280000000005</v>
      </c>
      <c r="Q614">
        <v>3.0640179999999999E-2</v>
      </c>
      <c r="R614">
        <v>-1.0752670000000001E-2</v>
      </c>
      <c r="S614">
        <v>3.0060419999999999</v>
      </c>
      <c r="T614">
        <v>-0.16143950000000001</v>
      </c>
      <c r="U614">
        <v>-4.5806880000000001E-2</v>
      </c>
      <c r="V614">
        <v>1.2577039999999999E-2</v>
      </c>
      <c r="W614">
        <v>4.4588389999999999E-2</v>
      </c>
      <c r="X614">
        <v>0.99892630000000004</v>
      </c>
      <c r="Y614">
        <v>1.7024460000000002E-2</v>
      </c>
      <c r="Z614">
        <v>-5.5421099999999998E-4</v>
      </c>
      <c r="AA614">
        <v>0.99985489999999999</v>
      </c>
      <c r="AB614">
        <v>32</v>
      </c>
      <c r="AC614">
        <v>20.518000000000001</v>
      </c>
      <c r="AD614">
        <v>-1.110028362282</v>
      </c>
      <c r="AE614">
        <v>-0.315300000000036</v>
      </c>
      <c r="AF614">
        <v>0.35151801221576001</v>
      </c>
      <c r="AG614">
        <v>-1.110028362282</v>
      </c>
      <c r="AH614">
        <v>20.457532149686401</v>
      </c>
      <c r="AI614">
        <v>93.105373336569798</v>
      </c>
      <c r="AJ614">
        <v>89.015594032977205</v>
      </c>
      <c r="AK614">
        <v>20.490640534971899</v>
      </c>
      <c r="AL614">
        <v>87.4444262361977</v>
      </c>
      <c r="AM614">
        <v>89.278652252155794</v>
      </c>
      <c r="AN614">
        <v>1.0000000296448199</v>
      </c>
    </row>
    <row r="615" spans="1:40" x14ac:dyDescent="0.25">
      <c r="A615" t="str">
        <f>"20190312150646905"</f>
        <v>20190312150646905</v>
      </c>
      <c r="B615" t="str">
        <f>"1552374406900872"</f>
        <v>1552374406900872</v>
      </c>
      <c r="C615" t="s">
        <v>40</v>
      </c>
      <c r="D615">
        <v>4.7135680000000004</v>
      </c>
      <c r="E615">
        <v>0.50203339999999996</v>
      </c>
      <c r="F615" t="s">
        <v>42</v>
      </c>
      <c r="G615">
        <v>-367.29700000000003</v>
      </c>
      <c r="H615" s="1">
        <v>-1.575962E-6</v>
      </c>
      <c r="I615">
        <v>367.16930000000002</v>
      </c>
      <c r="J615">
        <v>-388.18490000000003</v>
      </c>
      <c r="K615">
        <v>1.11006</v>
      </c>
      <c r="L615">
        <v>367.50760000000002</v>
      </c>
      <c r="M615">
        <v>0.99990060000000003</v>
      </c>
      <c r="N615">
        <v>0</v>
      </c>
      <c r="O615">
        <v>1.766468E-3</v>
      </c>
      <c r="P615">
        <v>0.99947010000000003</v>
      </c>
      <c r="Q615">
        <v>3.049166E-2</v>
      </c>
      <c r="R615">
        <v>-1.1414799999999999E-2</v>
      </c>
      <c r="S615">
        <v>3.005951</v>
      </c>
      <c r="T615">
        <v>-0.1583444</v>
      </c>
      <c r="U615">
        <v>-4.821777E-2</v>
      </c>
      <c r="V615">
        <v>1.319032E-2</v>
      </c>
      <c r="W615">
        <v>4.4473110000000003E-2</v>
      </c>
      <c r="X615">
        <v>0.99892349999999996</v>
      </c>
      <c r="Y615">
        <v>1.777801E-2</v>
      </c>
      <c r="Z615">
        <v>-5.6088259999999995E-4</v>
      </c>
      <c r="AA615">
        <v>0.9998418</v>
      </c>
      <c r="AB615">
        <v>32</v>
      </c>
      <c r="AC615">
        <v>20.887899999999998</v>
      </c>
      <c r="AD615">
        <v>-1.1100615759620001</v>
      </c>
      <c r="AE615">
        <v>-0.33830000000000299</v>
      </c>
      <c r="AF615">
        <v>0.37414448546760698</v>
      </c>
      <c r="AG615">
        <v>-1.1100615759620001</v>
      </c>
      <c r="AH615">
        <v>20.828460201676599</v>
      </c>
      <c r="AI615">
        <v>93.050225366293603</v>
      </c>
      <c r="AJ615">
        <v>88.970898737978899</v>
      </c>
      <c r="AK615">
        <v>20.8613751984681</v>
      </c>
      <c r="AL615">
        <v>87.451037777640295</v>
      </c>
      <c r="AM615">
        <v>89.243479859150895</v>
      </c>
      <c r="AN615">
        <v>1.0000000004535099</v>
      </c>
    </row>
    <row r="616" spans="1:40" x14ac:dyDescent="0.25">
      <c r="A616" t="str">
        <f>"20190312150646918"</f>
        <v>20190312150646918</v>
      </c>
      <c r="B616" t="str">
        <f>"1552374406911607"</f>
        <v>1552374406911607</v>
      </c>
      <c r="C616" t="s">
        <v>40</v>
      </c>
      <c r="D616">
        <v>4.7052699999999996</v>
      </c>
      <c r="E616">
        <v>0.502077</v>
      </c>
      <c r="F616" t="s">
        <v>42</v>
      </c>
      <c r="G616">
        <v>-366.53890000000001</v>
      </c>
      <c r="H616" s="1">
        <v>-1.9061460000000001E-6</v>
      </c>
      <c r="I616">
        <v>367.14120000000003</v>
      </c>
      <c r="J616">
        <v>-387.98270000000002</v>
      </c>
      <c r="K616">
        <v>1.1100890000000001</v>
      </c>
      <c r="L616">
        <v>367.50790000000001</v>
      </c>
      <c r="M616">
        <v>0.99990020000000002</v>
      </c>
      <c r="N616">
        <v>0</v>
      </c>
      <c r="O616">
        <v>1.7126559999999999E-3</v>
      </c>
      <c r="P616">
        <v>0.99946230000000003</v>
      </c>
      <c r="Q616">
        <v>3.0473380000000001E-2</v>
      </c>
      <c r="R616">
        <v>-1.2108300000000001E-2</v>
      </c>
      <c r="S616">
        <v>3.0057070000000001</v>
      </c>
      <c r="T616">
        <v>-0.1541401</v>
      </c>
      <c r="U616">
        <v>-5.0872800000000003E-2</v>
      </c>
      <c r="V616">
        <v>1.38301E-2</v>
      </c>
      <c r="W616">
        <v>4.4486919999999999E-2</v>
      </c>
      <c r="X616">
        <v>0.99891419999999997</v>
      </c>
      <c r="Y616">
        <v>1.8608840000000001E-2</v>
      </c>
      <c r="Z616">
        <v>-5.6458069999999999E-4</v>
      </c>
      <c r="AA616">
        <v>0.99982669999999996</v>
      </c>
      <c r="AB616">
        <v>32</v>
      </c>
      <c r="AC616">
        <v>21.4438</v>
      </c>
      <c r="AD616">
        <v>-1.11009090614599</v>
      </c>
      <c r="AE616">
        <v>-0.36669999999997999</v>
      </c>
      <c r="AF616">
        <v>0.40235099374444799</v>
      </c>
      <c r="AG616">
        <v>-1.11009090614599</v>
      </c>
      <c r="AH616">
        <v>21.385845936820601</v>
      </c>
      <c r="AI616">
        <v>92.970902718626107</v>
      </c>
      <c r="AJ616">
        <v>88.922170556059598</v>
      </c>
      <c r="AK616">
        <v>21.4184171818438</v>
      </c>
      <c r="AL616">
        <v>87.450245657087294</v>
      </c>
      <c r="AM616">
        <v>89.2067829904246</v>
      </c>
      <c r="AN616">
        <v>0.999999968339367</v>
      </c>
    </row>
    <row r="617" spans="1:40" x14ac:dyDescent="0.25">
      <c r="A617" t="str">
        <f>"20190312150646935"</f>
        <v>20190312150646935</v>
      </c>
      <c r="B617" t="str">
        <f>"1552374406930660"</f>
        <v>1552374406930660</v>
      </c>
      <c r="C617" t="s">
        <v>40</v>
      </c>
      <c r="D617">
        <v>4.6422299999999996</v>
      </c>
      <c r="E617">
        <v>0.50232920000000003</v>
      </c>
      <c r="F617" t="s">
        <v>42</v>
      </c>
      <c r="G617">
        <v>-365.94110000000001</v>
      </c>
      <c r="H617" s="1">
        <v>-2.167187E-6</v>
      </c>
      <c r="I617">
        <v>367.11529999999999</v>
      </c>
      <c r="J617">
        <v>-387.75659999999999</v>
      </c>
      <c r="K617">
        <v>1.110114</v>
      </c>
      <c r="L617">
        <v>367.50830000000002</v>
      </c>
      <c r="M617">
        <v>0.99989969999999995</v>
      </c>
      <c r="N617">
        <v>0</v>
      </c>
      <c r="O617">
        <v>1.6524599999999999E-3</v>
      </c>
      <c r="P617">
        <v>0.99945720000000005</v>
      </c>
      <c r="Q617">
        <v>3.0255870000000001E-2</v>
      </c>
      <c r="R617">
        <v>-1.3026019999999999E-2</v>
      </c>
      <c r="S617">
        <v>3.0056150000000001</v>
      </c>
      <c r="T617">
        <v>-0.15137310000000001</v>
      </c>
      <c r="U617">
        <v>-5.3527829999999998E-2</v>
      </c>
      <c r="V617">
        <v>1.468764E-2</v>
      </c>
      <c r="W617">
        <v>4.4302090000000002E-2</v>
      </c>
      <c r="X617">
        <v>0.99891019999999997</v>
      </c>
      <c r="Y617">
        <v>1.9432080000000001E-2</v>
      </c>
      <c r="Z617">
        <v>-5.7215740000000003E-4</v>
      </c>
      <c r="AA617">
        <v>0.99981100000000001</v>
      </c>
      <c r="AB617">
        <v>32</v>
      </c>
      <c r="AC617">
        <v>21.815499999999901</v>
      </c>
      <c r="AD617">
        <v>-1.1101161671869999</v>
      </c>
      <c r="AE617">
        <v>-0.39300000000002899</v>
      </c>
      <c r="AF617">
        <v>0.42794449256025602</v>
      </c>
      <c r="AG617">
        <v>-1.1101161671869999</v>
      </c>
      <c r="AH617">
        <v>21.758496599864898</v>
      </c>
      <c r="AI617">
        <v>92.920128317512507</v>
      </c>
      <c r="AJ617">
        <v>88.873256140752005</v>
      </c>
      <c r="AK617">
        <v>21.7909997173074</v>
      </c>
      <c r="AL617">
        <v>87.4608461548099</v>
      </c>
      <c r="AM617">
        <v>89.157602811002207</v>
      </c>
      <c r="AN617">
        <v>0.99999999480558799</v>
      </c>
    </row>
    <row r="618" spans="1:40" x14ac:dyDescent="0.25">
      <c r="A618" t="str">
        <f>"20190312150646949"</f>
        <v>20190312150646949</v>
      </c>
      <c r="B618" t="str">
        <f>"1552374406941396"</f>
        <v>1552374406941396</v>
      </c>
      <c r="C618" t="s">
        <v>40</v>
      </c>
      <c r="D618">
        <v>4.7387360000000003</v>
      </c>
      <c r="E618">
        <v>0.50232920000000003</v>
      </c>
      <c r="F618" t="s">
        <v>42</v>
      </c>
      <c r="G618">
        <v>-365.43279999999999</v>
      </c>
      <c r="H618" s="1">
        <v>-2.392449E-6</v>
      </c>
      <c r="I618">
        <v>367.07479999999998</v>
      </c>
      <c r="J618">
        <v>-387.56240000000003</v>
      </c>
      <c r="K618">
        <v>1.1101399999999999</v>
      </c>
      <c r="L618">
        <v>367.50850000000003</v>
      </c>
      <c r="M618">
        <v>0.99989969999999995</v>
      </c>
      <c r="N618">
        <v>0</v>
      </c>
      <c r="O618">
        <v>1.60042E-3</v>
      </c>
      <c r="P618">
        <v>0.99946140000000006</v>
      </c>
      <c r="Q618">
        <v>3.0049320000000001E-2</v>
      </c>
      <c r="R618">
        <v>-1.320436E-2</v>
      </c>
      <c r="S618">
        <v>3.0054020000000001</v>
      </c>
      <c r="T618">
        <v>-0.1494519</v>
      </c>
      <c r="U618">
        <v>-5.8349610000000003E-2</v>
      </c>
      <c r="V618">
        <v>1.481384E-2</v>
      </c>
      <c r="W618">
        <v>4.412249E-2</v>
      </c>
      <c r="X618">
        <v>0.99891629999999998</v>
      </c>
      <c r="Y618">
        <v>2.098361E-2</v>
      </c>
      <c r="Z618">
        <v>-6.0089949999999996E-4</v>
      </c>
      <c r="AA618">
        <v>0.99977959999999999</v>
      </c>
      <c r="AB618">
        <v>32</v>
      </c>
      <c r="AC618">
        <v>22.1296</v>
      </c>
      <c r="AD618">
        <v>-1.1101423924489999</v>
      </c>
      <c r="AE618">
        <v>-0.43370000000004399</v>
      </c>
      <c r="AF618">
        <v>0.46794244504716398</v>
      </c>
      <c r="AG618">
        <v>-1.1101423924489999</v>
      </c>
      <c r="AH618">
        <v>22.073349523688901</v>
      </c>
      <c r="AI618">
        <v>92.878524337395206</v>
      </c>
      <c r="AJ618">
        <v>88.785543999041906</v>
      </c>
      <c r="AK618">
        <v>22.106201515826399</v>
      </c>
      <c r="AL618">
        <v>87.471146585435804</v>
      </c>
      <c r="AM618">
        <v>89.150370960728296</v>
      </c>
      <c r="AN618">
        <v>1.0000000091925101</v>
      </c>
    </row>
    <row r="619" spans="1:40" x14ac:dyDescent="0.25">
      <c r="A619" t="str">
        <f>"20190312150646960"</f>
        <v>20190312150646960</v>
      </c>
      <c r="B619" t="str">
        <f>"1552374406951156"</f>
        <v>1552374406951156</v>
      </c>
      <c r="C619" t="s">
        <v>40</v>
      </c>
      <c r="D619">
        <v>4.5637349999999897</v>
      </c>
      <c r="E619">
        <v>0.50889790000000001</v>
      </c>
      <c r="F619" t="s">
        <v>42</v>
      </c>
      <c r="G619">
        <v>-365.3304</v>
      </c>
      <c r="H619" s="1">
        <v>-2.4366219999999999E-6</v>
      </c>
      <c r="I619">
        <v>367.07339999999999</v>
      </c>
      <c r="J619">
        <v>-387.38459999999998</v>
      </c>
      <c r="K619">
        <v>1.110161</v>
      </c>
      <c r="L619">
        <v>367.50880000000001</v>
      </c>
      <c r="M619">
        <v>0.99989930000000005</v>
      </c>
      <c r="N619">
        <v>0</v>
      </c>
      <c r="O619">
        <v>1.552882E-3</v>
      </c>
      <c r="P619">
        <v>0.99946109999999999</v>
      </c>
      <c r="Q619">
        <v>2.9982370000000001E-2</v>
      </c>
      <c r="R619">
        <v>-1.338162E-2</v>
      </c>
      <c r="S619">
        <v>3.0053709999999998</v>
      </c>
      <c r="T619">
        <v>-0.15007110000000001</v>
      </c>
      <c r="U619">
        <v>-5.8807369999999998E-2</v>
      </c>
      <c r="V619">
        <v>1.494357E-2</v>
      </c>
      <c r="W619">
        <v>4.4077720000000001E-2</v>
      </c>
      <c r="X619">
        <v>0.99891629999999998</v>
      </c>
      <c r="Y619">
        <v>2.1088200000000001E-2</v>
      </c>
      <c r="Z619">
        <v>-6.0362860000000003E-4</v>
      </c>
      <c r="AA619">
        <v>0.99977740000000004</v>
      </c>
      <c r="AB619">
        <v>32</v>
      </c>
      <c r="AC619">
        <v>22.054199999999899</v>
      </c>
      <c r="AD619">
        <v>-1.1101634366219999</v>
      </c>
      <c r="AE619">
        <v>-0.435400000000015</v>
      </c>
      <c r="AF619">
        <v>0.46846386999539802</v>
      </c>
      <c r="AG619">
        <v>-1.1101634366219999</v>
      </c>
      <c r="AH619">
        <v>21.997778532442201</v>
      </c>
      <c r="AI619">
        <v>92.888445228445804</v>
      </c>
      <c r="AJ619">
        <v>88.780015625526701</v>
      </c>
      <c r="AK619">
        <v>22.0307553573608</v>
      </c>
      <c r="AL619">
        <v>87.473714103863401</v>
      </c>
      <c r="AM619">
        <v>89.142931565879394</v>
      </c>
      <c r="AN619">
        <v>0.99999996504521504</v>
      </c>
    </row>
    <row r="620" spans="1:40" x14ac:dyDescent="0.25">
      <c r="A620" t="str">
        <f>"20190312150646972"</f>
        <v>20190312150646972</v>
      </c>
      <c r="B620" t="str">
        <f>"1552374406960917"</f>
        <v>1552374406960917</v>
      </c>
      <c r="C620" t="s">
        <v>40</v>
      </c>
      <c r="D620">
        <v>4.6407790000000002</v>
      </c>
      <c r="E620">
        <v>0.50869359999999997</v>
      </c>
      <c r="F620" t="s">
        <v>47</v>
      </c>
      <c r="G620">
        <v>-158.19499999999999</v>
      </c>
      <c r="H620">
        <v>1.580892</v>
      </c>
      <c r="I620">
        <v>359.00580000000002</v>
      </c>
      <c r="J620">
        <v>-387.22160000000002</v>
      </c>
      <c r="K620">
        <v>1.1101780000000001</v>
      </c>
      <c r="L620">
        <v>367.50889999999998</v>
      </c>
      <c r="M620">
        <v>0.99989910000000004</v>
      </c>
      <c r="N620">
        <v>0</v>
      </c>
      <c r="O620">
        <v>1.5096560000000001E-3</v>
      </c>
      <c r="P620">
        <v>0.99945839999999997</v>
      </c>
      <c r="Q620">
        <v>2.99321E-2</v>
      </c>
      <c r="R620">
        <v>-1.367877E-2</v>
      </c>
      <c r="S620">
        <v>2.999908</v>
      </c>
      <c r="T620">
        <v>6.1626429999999998E-3</v>
      </c>
      <c r="U620">
        <v>-0.1112976</v>
      </c>
      <c r="V620">
        <v>1.5197530000000001E-2</v>
      </c>
      <c r="W620">
        <v>4.4045800000000003E-2</v>
      </c>
      <c r="X620">
        <v>0.99891390000000002</v>
      </c>
      <c r="Y620">
        <v>3.858346E-2</v>
      </c>
      <c r="Z620" s="1">
        <v>4.2717409999999999E-5</v>
      </c>
      <c r="AA620">
        <v>0.99925540000000002</v>
      </c>
      <c r="AB620">
        <v>32</v>
      </c>
      <c r="AC620">
        <v>229.0266</v>
      </c>
      <c r="AD620">
        <v>0.47071399999999902</v>
      </c>
      <c r="AE620">
        <v>-8.5030999999999501</v>
      </c>
      <c r="AF620">
        <v>8.8488388574578405</v>
      </c>
      <c r="AG620">
        <v>0.47071399999999902</v>
      </c>
      <c r="AH620">
        <v>229.01253486983799</v>
      </c>
      <c r="AI620">
        <v>89.882321823954896</v>
      </c>
      <c r="AJ620">
        <v>87.787243252995097</v>
      </c>
      <c r="AK620">
        <v>229.183910099082</v>
      </c>
      <c r="AL620">
        <v>87.475544822414804</v>
      </c>
      <c r="AM620">
        <v>89.128366164897201</v>
      </c>
      <c r="AN620">
        <v>0.99999998851447502</v>
      </c>
    </row>
    <row r="621" spans="1:40" x14ac:dyDescent="0.25">
      <c r="A621" t="str">
        <f>"20190312150646992"</f>
        <v>20190312150646992</v>
      </c>
      <c r="B621" t="str">
        <f>"1552374406981412"</f>
        <v>1552374406981412</v>
      </c>
      <c r="C621" t="s">
        <v>40</v>
      </c>
      <c r="D621">
        <v>4.6059760000000001</v>
      </c>
      <c r="E621">
        <v>0.5072951</v>
      </c>
      <c r="F621" t="s">
        <v>47</v>
      </c>
      <c r="G621">
        <v>-158.19499999999999</v>
      </c>
      <c r="H621">
        <v>1.7894319999999999</v>
      </c>
      <c r="I621">
        <v>359.06549999999999</v>
      </c>
      <c r="J621">
        <v>-386.94729999999998</v>
      </c>
      <c r="K621">
        <v>1.1102050000000001</v>
      </c>
      <c r="L621">
        <v>367.5093</v>
      </c>
      <c r="M621">
        <v>0.99989890000000003</v>
      </c>
      <c r="N621">
        <v>0</v>
      </c>
      <c r="O621">
        <v>1.4368530000000001E-3</v>
      </c>
      <c r="P621">
        <v>0.9994518</v>
      </c>
      <c r="Q621">
        <v>3.0104300000000001E-2</v>
      </c>
      <c r="R621">
        <v>-1.380021E-2</v>
      </c>
      <c r="S621">
        <v>2.9998779999999998</v>
      </c>
      <c r="T621">
        <v>8.8982579999999992E-3</v>
      </c>
      <c r="U621">
        <v>-0.11059570000000001</v>
      </c>
      <c r="V621">
        <v>1.5245999999999999E-2</v>
      </c>
      <c r="W621">
        <v>4.4246830000000001E-2</v>
      </c>
      <c r="X621">
        <v>0.99890429999999997</v>
      </c>
      <c r="Y621">
        <v>3.8277510000000001E-2</v>
      </c>
      <c r="Z621" s="1">
        <v>6.1011100000000003E-5</v>
      </c>
      <c r="AA621">
        <v>0.99926720000000002</v>
      </c>
      <c r="AB621">
        <v>32</v>
      </c>
      <c r="AC621">
        <v>228.75229999999999</v>
      </c>
      <c r="AD621">
        <v>0.67922700000000003</v>
      </c>
      <c r="AE621">
        <v>-8.4438000000000102</v>
      </c>
      <c r="AF621">
        <v>8.7724303669337704</v>
      </c>
      <c r="AG621">
        <v>0.67922700000000003</v>
      </c>
      <c r="AH621">
        <v>228.737916167691</v>
      </c>
      <c r="AI621">
        <v>89.829988231137705</v>
      </c>
      <c r="AJ621">
        <v>87.803700249128795</v>
      </c>
      <c r="AK621">
        <v>228.90707978697</v>
      </c>
      <c r="AL621">
        <v>87.464015469789203</v>
      </c>
      <c r="AM621">
        <v>89.125578262094606</v>
      </c>
      <c r="AN621">
        <v>1.00000001151976</v>
      </c>
    </row>
    <row r="622" spans="1:40" x14ac:dyDescent="0.25">
      <c r="A622" t="str">
        <f>"20190312150647004"</f>
        <v>20190312150647004</v>
      </c>
      <c r="B622" t="str">
        <f>"1552374407000932"</f>
        <v>1552374407000932</v>
      </c>
      <c r="C622" t="s">
        <v>40</v>
      </c>
      <c r="D622">
        <v>4.5597269999999996</v>
      </c>
      <c r="E622">
        <v>0.50721729999999998</v>
      </c>
      <c r="F622" t="s">
        <v>42</v>
      </c>
      <c r="G622">
        <v>-352.80669999999998</v>
      </c>
      <c r="H622" s="1">
        <v>-3.643587E-6</v>
      </c>
      <c r="I622">
        <v>366.37270000000001</v>
      </c>
      <c r="J622">
        <v>-386.76769999999999</v>
      </c>
      <c r="K622">
        <v>1.1102209999999999</v>
      </c>
      <c r="L622">
        <v>367.5095</v>
      </c>
      <c r="M622">
        <v>0.99989870000000003</v>
      </c>
      <c r="N622">
        <v>0</v>
      </c>
      <c r="O622">
        <v>1.3888679999999999E-3</v>
      </c>
      <c r="P622">
        <v>0.99944929999999998</v>
      </c>
      <c r="Q622">
        <v>3.0272480000000001E-2</v>
      </c>
      <c r="R622">
        <v>-1.360717E-2</v>
      </c>
      <c r="S622">
        <v>3.0032040000000002</v>
      </c>
      <c r="T622">
        <v>-9.7660179999999999E-2</v>
      </c>
      <c r="U622">
        <v>-9.9975590000000003E-2</v>
      </c>
      <c r="V622">
        <v>1.500523E-2</v>
      </c>
      <c r="W622">
        <v>4.4432619999999999E-2</v>
      </c>
      <c r="X622">
        <v>0.99889969999999995</v>
      </c>
      <c r="Y622">
        <v>3.464039E-2</v>
      </c>
      <c r="Z622">
        <v>-6.0806949999999999E-4</v>
      </c>
      <c r="AA622">
        <v>0.9993997</v>
      </c>
      <c r="AB622">
        <v>32</v>
      </c>
      <c r="AC622">
        <v>33.960999999999999</v>
      </c>
      <c r="AD622">
        <v>-1.11022464358699</v>
      </c>
      <c r="AE622">
        <v>-1.13679999999999</v>
      </c>
      <c r="AF622">
        <v>1.18270842224743</v>
      </c>
      <c r="AG622">
        <v>-1.11022464358699</v>
      </c>
      <c r="AH622">
        <v>33.923174679788403</v>
      </c>
      <c r="AI622">
        <v>91.873347835976702</v>
      </c>
      <c r="AJ622">
        <v>88.003230376582394</v>
      </c>
      <c r="AK622">
        <v>33.961937199263502</v>
      </c>
      <c r="AL622">
        <v>87.453360010378205</v>
      </c>
      <c r="AM622">
        <v>89.139381370371794</v>
      </c>
      <c r="AN622">
        <v>1.00000001265375</v>
      </c>
    </row>
    <row r="623" spans="1:40" x14ac:dyDescent="0.25">
      <c r="A623" t="str">
        <f>"20190312150647016"</f>
        <v>20190312150647016</v>
      </c>
      <c r="B623" t="str">
        <f>"1552374407010692"</f>
        <v>1552374407010692</v>
      </c>
      <c r="C623" t="s">
        <v>40</v>
      </c>
      <c r="D623">
        <v>4.8154389999999996</v>
      </c>
      <c r="E623">
        <v>0.50650620000000002</v>
      </c>
      <c r="F623" t="s">
        <v>42</v>
      </c>
      <c r="G623">
        <v>-352.7217</v>
      </c>
      <c r="H623" s="1">
        <v>-3.676927E-6</v>
      </c>
      <c r="I623">
        <v>366.39030000000002</v>
      </c>
      <c r="J623">
        <v>-386.59309999999999</v>
      </c>
      <c r="K623">
        <v>1.1102350000000001</v>
      </c>
      <c r="L623">
        <v>367.50970000000001</v>
      </c>
      <c r="M623">
        <v>0.99989850000000002</v>
      </c>
      <c r="N623">
        <v>0</v>
      </c>
      <c r="O623">
        <v>1.3422760000000001E-3</v>
      </c>
      <c r="P623">
        <v>0.99943570000000004</v>
      </c>
      <c r="Q623">
        <v>3.0746349999999999E-2</v>
      </c>
      <c r="R623">
        <v>-1.353845E-2</v>
      </c>
      <c r="S623">
        <v>3.0032960000000002</v>
      </c>
      <c r="T623">
        <v>-9.7936029999999993E-2</v>
      </c>
      <c r="U623">
        <v>-9.8724370000000006E-2</v>
      </c>
      <c r="V623">
        <v>1.4889899999999999E-2</v>
      </c>
      <c r="W623">
        <v>4.4920880000000003E-2</v>
      </c>
      <c r="X623">
        <v>0.99887959999999998</v>
      </c>
      <c r="Y623">
        <v>3.4177060000000002E-2</v>
      </c>
      <c r="Z623">
        <v>-6.007025E-4</v>
      </c>
      <c r="AA623">
        <v>0.99941559999999896</v>
      </c>
      <c r="AB623">
        <v>32</v>
      </c>
      <c r="AC623">
        <v>33.871399999999902</v>
      </c>
      <c r="AD623">
        <v>-1.1102386769270001</v>
      </c>
      <c r="AE623">
        <v>-1.11939999999998</v>
      </c>
      <c r="AF623">
        <v>1.1636195028655301</v>
      </c>
      <c r="AG623">
        <v>-1.1102386769270001</v>
      </c>
      <c r="AH623">
        <v>33.833555638500201</v>
      </c>
      <c r="AI623">
        <v>91.878360807152603</v>
      </c>
      <c r="AJ623">
        <v>88.030233093326601</v>
      </c>
      <c r="AK623">
        <v>33.871760028240097</v>
      </c>
      <c r="AL623">
        <v>87.425356843479605</v>
      </c>
      <c r="AM623">
        <v>89.145977908155302</v>
      </c>
      <c r="AN623">
        <v>1.0000000249390699</v>
      </c>
    </row>
    <row r="624" spans="1:40" x14ac:dyDescent="0.25">
      <c r="A624" t="str">
        <f>"20190312150647027"</f>
        <v>20190312150647027</v>
      </c>
      <c r="B624" t="str">
        <f>"1552374407020959"</f>
        <v>1552374407020959</v>
      </c>
      <c r="C624" t="s">
        <v>40</v>
      </c>
      <c r="D624">
        <v>4.6368489999999998</v>
      </c>
      <c r="E624">
        <v>0.50650620000000002</v>
      </c>
      <c r="F624" t="s">
        <v>47</v>
      </c>
      <c r="G624">
        <v>-158.19499999999999</v>
      </c>
      <c r="H624">
        <v>0.93807359999999995</v>
      </c>
      <c r="I624">
        <v>360.46179999999998</v>
      </c>
      <c r="J624">
        <v>-386.43770000000001</v>
      </c>
      <c r="K624">
        <v>1.110247</v>
      </c>
      <c r="L624">
        <v>367.50990000000002</v>
      </c>
      <c r="M624">
        <v>0.99989830000000002</v>
      </c>
      <c r="N624">
        <v>0</v>
      </c>
      <c r="O624">
        <v>1.3007629999999999E-3</v>
      </c>
      <c r="P624">
        <v>0.99943079999999995</v>
      </c>
      <c r="Q624">
        <v>3.1077190000000001E-2</v>
      </c>
      <c r="R624">
        <v>-1.313339E-2</v>
      </c>
      <c r="S624">
        <v>3.0005190000000002</v>
      </c>
      <c r="T624">
        <v>-2.2605659999999999E-3</v>
      </c>
      <c r="U624">
        <v>-9.2590329999999998E-2</v>
      </c>
      <c r="V624">
        <v>1.444349E-2</v>
      </c>
      <c r="W624">
        <v>4.5264819999999997E-2</v>
      </c>
      <c r="X624">
        <v>0.99887060000000005</v>
      </c>
      <c r="Y624">
        <v>3.2143669999999999E-2</v>
      </c>
      <c r="Z624" s="1">
        <v>-1.3085360000000001E-5</v>
      </c>
      <c r="AA624">
        <v>0.99948329999999996</v>
      </c>
      <c r="AB624">
        <v>32</v>
      </c>
      <c r="AC624">
        <v>228.24270000000001</v>
      </c>
      <c r="AD624">
        <v>-0.1721734</v>
      </c>
      <c r="AE624">
        <v>-7.04810000000003</v>
      </c>
      <c r="AF624">
        <v>7.34500946526442</v>
      </c>
      <c r="AG624">
        <v>-0.1721734</v>
      </c>
      <c r="AH624">
        <v>228.233208288247</v>
      </c>
      <c r="AI624">
        <v>90.043200123788395</v>
      </c>
      <c r="AJ624">
        <v>88.156741294527805</v>
      </c>
      <c r="AK624">
        <v>228.351431292363</v>
      </c>
      <c r="AL624">
        <v>87.405630395107806</v>
      </c>
      <c r="AM624">
        <v>89.171571023199803</v>
      </c>
      <c r="AN624">
        <v>0.99999999693868602</v>
      </c>
    </row>
    <row r="625" spans="1:40" x14ac:dyDescent="0.25">
      <c r="A625" t="str">
        <f>"20190312150647039"</f>
        <v>20190312150647039</v>
      </c>
      <c r="B625" t="str">
        <f>"1552374407030719"</f>
        <v>1552374407030719</v>
      </c>
      <c r="C625" t="s">
        <v>40</v>
      </c>
      <c r="D625">
        <v>4.5433240000000001</v>
      </c>
      <c r="E625">
        <v>0.50532120000000003</v>
      </c>
      <c r="F625" t="s">
        <v>47</v>
      </c>
      <c r="G625">
        <v>-158.19499999999999</v>
      </c>
      <c r="H625">
        <v>1.015582</v>
      </c>
      <c r="I625">
        <v>360.53640000000001</v>
      </c>
      <c r="J625">
        <v>-386.27210000000002</v>
      </c>
      <c r="K625">
        <v>1.1102590000000001</v>
      </c>
      <c r="L625">
        <v>367.51010000000002</v>
      </c>
      <c r="M625">
        <v>0.99989830000000002</v>
      </c>
      <c r="N625">
        <v>0</v>
      </c>
      <c r="O625">
        <v>1.2565110000000001E-3</v>
      </c>
      <c r="P625">
        <v>0.9994267</v>
      </c>
      <c r="Q625">
        <v>3.131536E-2</v>
      </c>
      <c r="R625">
        <v>-1.2885580000000001E-2</v>
      </c>
      <c r="S625">
        <v>3.0005489999999999</v>
      </c>
      <c r="T625">
        <v>-1.243353E-3</v>
      </c>
      <c r="U625">
        <v>-9.1674800000000001E-2</v>
      </c>
      <c r="V625">
        <v>1.415138E-2</v>
      </c>
      <c r="W625">
        <v>4.5515369999999999E-2</v>
      </c>
      <c r="X625">
        <v>0.99886339999999996</v>
      </c>
      <c r="Y625">
        <v>3.1794450000000002E-2</v>
      </c>
      <c r="Z625" s="1">
        <v>-7.1064770000000001E-6</v>
      </c>
      <c r="AA625">
        <v>0.99949440000000001</v>
      </c>
      <c r="AB625">
        <v>32</v>
      </c>
      <c r="AC625">
        <v>228.0771</v>
      </c>
      <c r="AD625">
        <v>-9.4677000000000094E-2</v>
      </c>
      <c r="AE625">
        <v>-6.9737</v>
      </c>
      <c r="AF625">
        <v>7.26030355087088</v>
      </c>
      <c r="AG625">
        <v>-9.4677000000000094E-2</v>
      </c>
      <c r="AH625">
        <v>228.06811723909399</v>
      </c>
      <c r="AI625">
        <v>90.023772922409805</v>
      </c>
      <c r="AJ625">
        <v>88.176666154067505</v>
      </c>
      <c r="AK625">
        <v>228.18366960054399</v>
      </c>
      <c r="AL625">
        <v>87.391260137608597</v>
      </c>
      <c r="AM625">
        <v>89.188317334892702</v>
      </c>
      <c r="AN625">
        <v>1.0000000011608501</v>
      </c>
    </row>
    <row r="626" spans="1:40" x14ac:dyDescent="0.25">
      <c r="A626" t="str">
        <f>"20190312150647050"</f>
        <v>20190312150647050</v>
      </c>
      <c r="B626" t="str">
        <f>"1552374407041454"</f>
        <v>1552374407041454</v>
      </c>
      <c r="C626" t="s">
        <v>40</v>
      </c>
      <c r="D626">
        <v>4.5242399999999998</v>
      </c>
      <c r="E626">
        <v>0.50532120000000003</v>
      </c>
      <c r="F626" t="s">
        <v>42</v>
      </c>
      <c r="G626">
        <v>-348.67039999999997</v>
      </c>
      <c r="H626" s="1">
        <v>-1.3274800000000001E-6</v>
      </c>
      <c r="I626">
        <v>366.48689999999999</v>
      </c>
      <c r="J626">
        <v>-386.11509999999998</v>
      </c>
      <c r="K626">
        <v>1.110269</v>
      </c>
      <c r="L626">
        <v>367.5102</v>
      </c>
      <c r="M626">
        <v>0.99989810000000001</v>
      </c>
      <c r="N626">
        <v>0</v>
      </c>
      <c r="O626">
        <v>1.214651E-3</v>
      </c>
      <c r="P626">
        <v>0.99941999999999998</v>
      </c>
      <c r="Q626">
        <v>3.1601659999999997E-2</v>
      </c>
      <c r="R626">
        <v>-1.2702099999999999E-2</v>
      </c>
      <c r="S626">
        <v>3.0034179999999999</v>
      </c>
      <c r="T626">
        <v>-8.8681460000000004E-2</v>
      </c>
      <c r="U626">
        <v>-8.1726069999999998E-2</v>
      </c>
      <c r="V626">
        <v>1.392637E-2</v>
      </c>
      <c r="W626">
        <v>4.581213E-2</v>
      </c>
      <c r="X626">
        <v>0.99885299999999999</v>
      </c>
      <c r="Y626">
        <v>2.8402360000000001E-2</v>
      </c>
      <c r="Z626">
        <v>-4.5500130000000001E-4</v>
      </c>
      <c r="AA626">
        <v>0.9995965</v>
      </c>
      <c r="AB626">
        <v>32</v>
      </c>
      <c r="AC626">
        <v>37.444699999999997</v>
      </c>
      <c r="AD626">
        <v>-1.1102703274800001</v>
      </c>
      <c r="AE626">
        <v>-1.0233000000000001</v>
      </c>
      <c r="AF626">
        <v>1.0678479611356599</v>
      </c>
      <c r="AG626">
        <v>-1.1102703274800001</v>
      </c>
      <c r="AH626">
        <v>37.410563299317097</v>
      </c>
      <c r="AI626">
        <v>91.699232918820101</v>
      </c>
      <c r="AJ626">
        <v>88.3649919301522</v>
      </c>
      <c r="AK626">
        <v>37.4422655009068</v>
      </c>
      <c r="AL626">
        <v>87.3742392979605</v>
      </c>
      <c r="AM626">
        <v>89.201213263201296</v>
      </c>
      <c r="AN626">
        <v>1.00000000532275</v>
      </c>
    </row>
    <row r="627" spans="1:40" x14ac:dyDescent="0.25">
      <c r="A627" t="str">
        <f>"20190312150647060"</f>
        <v>20190312150647060</v>
      </c>
      <c r="B627" t="str">
        <f>"1552374407051215"</f>
        <v>1552374407051215</v>
      </c>
      <c r="C627" t="s">
        <v>40</v>
      </c>
      <c r="D627">
        <v>5.2088989999999997</v>
      </c>
      <c r="E627">
        <v>0.50643249999999995</v>
      </c>
      <c r="F627" t="s">
        <v>42</v>
      </c>
      <c r="G627">
        <v>-348.1447</v>
      </c>
      <c r="H627" s="1">
        <v>-1.528774E-6</v>
      </c>
      <c r="I627">
        <v>366.48899999999998</v>
      </c>
      <c r="J627">
        <v>-385.95760000000001</v>
      </c>
      <c r="K627">
        <v>1.1102749999999999</v>
      </c>
      <c r="L627">
        <v>367.5104</v>
      </c>
      <c r="M627">
        <v>0.99989799999999995</v>
      </c>
      <c r="N627">
        <v>0</v>
      </c>
      <c r="O627">
        <v>1.173152E-3</v>
      </c>
      <c r="P627">
        <v>0.9994286</v>
      </c>
      <c r="Q627">
        <v>3.1469169999999998E-2</v>
      </c>
      <c r="R627">
        <v>-1.232715E-2</v>
      </c>
      <c r="S627">
        <v>3.003479</v>
      </c>
      <c r="T627">
        <v>-8.7823150000000003E-2</v>
      </c>
      <c r="U627">
        <v>-8.0780030000000003E-2</v>
      </c>
      <c r="V627">
        <v>1.350995E-2</v>
      </c>
      <c r="W627">
        <v>4.5690179999999997E-2</v>
      </c>
      <c r="X627">
        <v>0.99886430000000004</v>
      </c>
      <c r="Y627">
        <v>2.8046109999999999E-2</v>
      </c>
      <c r="Z627">
        <v>-4.4417270000000002E-4</v>
      </c>
      <c r="AA627">
        <v>0.99960649999999995</v>
      </c>
      <c r="AB627">
        <v>32</v>
      </c>
      <c r="AC627">
        <v>37.812899999999999</v>
      </c>
      <c r="AD627">
        <v>-1.110276528774</v>
      </c>
      <c r="AE627">
        <v>-1.0213999999999701</v>
      </c>
      <c r="AF627">
        <v>1.0648466837517701</v>
      </c>
      <c r="AG627">
        <v>-1.110276528774</v>
      </c>
      <c r="AH627">
        <v>37.779128104528603</v>
      </c>
      <c r="AI627">
        <v>91.6826916082168</v>
      </c>
      <c r="AJ627">
        <v>88.385482285115799</v>
      </c>
      <c r="AK627">
        <v>37.810436823298197</v>
      </c>
      <c r="AL627">
        <v>87.381233829961104</v>
      </c>
      <c r="AM627">
        <v>89.225104029862095</v>
      </c>
      <c r="AN627">
        <v>1.0000000005559599</v>
      </c>
    </row>
    <row r="628" spans="1:40" x14ac:dyDescent="0.25">
      <c r="A628" t="str">
        <f>"20190312150647073"</f>
        <v>20190312150647073</v>
      </c>
      <c r="B628" t="str">
        <f>"1552374407070735"</f>
        <v>1552374407070735</v>
      </c>
      <c r="C628" t="s">
        <v>40</v>
      </c>
      <c r="D628">
        <v>4.5024800000000003</v>
      </c>
      <c r="E628">
        <v>0.50684510000000005</v>
      </c>
      <c r="F628" t="s">
        <v>42</v>
      </c>
      <c r="G628">
        <v>-337.10219999999998</v>
      </c>
      <c r="H628" s="1">
        <v>-1.91755E-6</v>
      </c>
      <c r="I628">
        <v>366.0634</v>
      </c>
      <c r="J628">
        <v>-385.79480000000001</v>
      </c>
      <c r="K628">
        <v>1.1102829999999999</v>
      </c>
      <c r="L628">
        <v>367.51049999999998</v>
      </c>
      <c r="M628">
        <v>0.99989790000000001</v>
      </c>
      <c r="N628">
        <v>0</v>
      </c>
      <c r="O628">
        <v>1.1297530000000001E-3</v>
      </c>
      <c r="P628">
        <v>0.99942410000000004</v>
      </c>
      <c r="Q628">
        <v>3.1740249999999998E-2</v>
      </c>
      <c r="R628">
        <v>-1.201171E-2</v>
      </c>
      <c r="S628">
        <v>3.0027469999999998</v>
      </c>
      <c r="T628">
        <v>-6.8239690000000006E-2</v>
      </c>
      <c r="U628">
        <v>-8.8928220000000002E-2</v>
      </c>
      <c r="V628">
        <v>1.3151029999999999E-2</v>
      </c>
      <c r="W628">
        <v>4.5970749999999998E-2</v>
      </c>
      <c r="X628">
        <v>0.99885619999999997</v>
      </c>
      <c r="Y628">
        <v>3.0723790000000001E-2</v>
      </c>
      <c r="Z628">
        <v>-3.7465730000000002E-4</v>
      </c>
      <c r="AA628">
        <v>0.99952790000000002</v>
      </c>
      <c r="AB628">
        <v>32</v>
      </c>
      <c r="AC628">
        <v>48.692599999999999</v>
      </c>
      <c r="AD628">
        <v>-1.11028491754999</v>
      </c>
      <c r="AE628">
        <v>-1.4470999999999701</v>
      </c>
      <c r="AF628">
        <v>1.5013353722689999</v>
      </c>
      <c r="AG628">
        <v>-1.11028491754999</v>
      </c>
      <c r="AH628">
        <v>48.665653595145002</v>
      </c>
      <c r="AI628">
        <v>91.306329350267205</v>
      </c>
      <c r="AJ628">
        <v>88.232985677326397</v>
      </c>
      <c r="AK628">
        <v>48.701463841868403</v>
      </c>
      <c r="AL628">
        <v>87.365141399680098</v>
      </c>
      <c r="AM628">
        <v>89.245682230185594</v>
      </c>
      <c r="AN628">
        <v>0.99999998386203104</v>
      </c>
    </row>
    <row r="629" spans="1:40" x14ac:dyDescent="0.25">
      <c r="A629" t="str">
        <f>"20190312150647085"</f>
        <v>20190312150647085</v>
      </c>
      <c r="B629" t="str">
        <f>"1552374407081471"</f>
        <v>1552374407081471</v>
      </c>
      <c r="C629" t="s">
        <v>40</v>
      </c>
      <c r="D629">
        <v>4.4903250000000003</v>
      </c>
      <c r="E629">
        <v>0.50698469999999995</v>
      </c>
      <c r="F629" t="s">
        <v>43</v>
      </c>
      <c r="G629">
        <v>-310.56240000000003</v>
      </c>
      <c r="H629">
        <v>-0.05</v>
      </c>
      <c r="I629">
        <v>365.23219999999998</v>
      </c>
      <c r="J629">
        <v>-385.62849999999997</v>
      </c>
      <c r="K629">
        <v>1.110287</v>
      </c>
      <c r="L629">
        <v>367.51069999999999</v>
      </c>
      <c r="M629">
        <v>0.99989790000000001</v>
      </c>
      <c r="N629">
        <v>0</v>
      </c>
      <c r="O629">
        <v>1.0852240000000001E-3</v>
      </c>
      <c r="P629">
        <v>0.99941360000000001</v>
      </c>
      <c r="Q629">
        <v>3.2139130000000002E-2</v>
      </c>
      <c r="R629">
        <v>-1.1831349999999999E-2</v>
      </c>
      <c r="S629">
        <v>3.002075</v>
      </c>
      <c r="T629">
        <v>-4.6299930000000003E-2</v>
      </c>
      <c r="U629">
        <v>-9.0911870000000006E-2</v>
      </c>
      <c r="V629">
        <v>1.2926119999999999E-2</v>
      </c>
      <c r="W629">
        <v>4.6378959999999997E-2</v>
      </c>
      <c r="X629">
        <v>0.99884030000000001</v>
      </c>
      <c r="Y629">
        <v>3.1350099999999999E-2</v>
      </c>
      <c r="Z629">
        <v>-2.5841489999999998E-4</v>
      </c>
      <c r="AA629">
        <v>0.99950839999999996</v>
      </c>
      <c r="AB629">
        <v>32</v>
      </c>
      <c r="AC629">
        <v>75.066099999999906</v>
      </c>
      <c r="AD629">
        <v>-1.1602870000000001</v>
      </c>
      <c r="AE629">
        <v>-2.2785000000000002</v>
      </c>
      <c r="AF629">
        <v>2.3594072830449702</v>
      </c>
      <c r="AG629">
        <v>-1.1602870000000001</v>
      </c>
      <c r="AH629">
        <v>75.045669832588004</v>
      </c>
      <c r="AI629">
        <v>90.885346591856006</v>
      </c>
      <c r="AJ629">
        <v>88.199235674970097</v>
      </c>
      <c r="AK629">
        <v>75.091714784465196</v>
      </c>
      <c r="AL629">
        <v>87.341727807996804</v>
      </c>
      <c r="AM629">
        <v>89.258569381404001</v>
      </c>
      <c r="AN629">
        <v>1.0000000187065099</v>
      </c>
    </row>
    <row r="630" spans="1:40" x14ac:dyDescent="0.25">
      <c r="A630" t="str">
        <f>"20190312150647101"</f>
        <v>20190312150647101</v>
      </c>
      <c r="B630" t="str">
        <f>"1552374407091237"</f>
        <v>1552374407091237</v>
      </c>
      <c r="C630" t="s">
        <v>40</v>
      </c>
      <c r="D630">
        <v>4.5368659999999998</v>
      </c>
      <c r="E630">
        <v>0.50659670000000001</v>
      </c>
      <c r="F630" t="s">
        <v>43</v>
      </c>
      <c r="G630">
        <v>-295.05290000000002</v>
      </c>
      <c r="H630">
        <v>-0.05</v>
      </c>
      <c r="I630">
        <v>364.74740000000003</v>
      </c>
      <c r="J630">
        <v>-385.38650000000001</v>
      </c>
      <c r="K630">
        <v>1.110303</v>
      </c>
      <c r="L630">
        <v>367.51089999999999</v>
      </c>
      <c r="M630">
        <v>0.99989779999999995</v>
      </c>
      <c r="N630">
        <v>0</v>
      </c>
      <c r="O630">
        <v>1.020478E-3</v>
      </c>
      <c r="P630">
        <v>0.99941250000000004</v>
      </c>
      <c r="Q630">
        <v>3.229978E-2</v>
      </c>
      <c r="R630">
        <v>-1.14883E-2</v>
      </c>
      <c r="S630">
        <v>3.0019529999999999</v>
      </c>
      <c r="T630">
        <v>-3.8455490000000002E-2</v>
      </c>
      <c r="U630">
        <v>-9.1583250000000005E-2</v>
      </c>
      <c r="V630">
        <v>1.2518359999999999E-2</v>
      </c>
      <c r="W630">
        <v>4.65514E-2</v>
      </c>
      <c r="X630">
        <v>0.99883750000000004</v>
      </c>
      <c r="Y630">
        <v>3.1511129999999998E-2</v>
      </c>
      <c r="Z630">
        <v>-2.148463E-4</v>
      </c>
      <c r="AA630">
        <v>0.99950340000000004</v>
      </c>
      <c r="AB630">
        <v>32</v>
      </c>
      <c r="AC630">
        <v>90.333600000000004</v>
      </c>
      <c r="AD630">
        <v>-1.1603030000000001</v>
      </c>
      <c r="AE630">
        <v>-2.7634999999999601</v>
      </c>
      <c r="AF630">
        <v>2.8552207584899301</v>
      </c>
      <c r="AG630">
        <v>-1.1603030000000001</v>
      </c>
      <c r="AH630">
        <v>90.315845758739101</v>
      </c>
      <c r="AI630">
        <v>90.735680613648597</v>
      </c>
      <c r="AJ630">
        <v>88.189269769666893</v>
      </c>
      <c r="AK630">
        <v>90.368415852818103</v>
      </c>
      <c r="AL630">
        <v>87.331837116026804</v>
      </c>
      <c r="AM630">
        <v>89.281953626937494</v>
      </c>
      <c r="AN630">
        <v>1.00000004679264</v>
      </c>
    </row>
    <row r="631" spans="1:40" x14ac:dyDescent="0.25">
      <c r="A631" t="str">
        <f>"20190312150647115"</f>
        <v>20190312150647115</v>
      </c>
      <c r="B631" t="str">
        <f>"1552374407110751"</f>
        <v>1552374407110751</v>
      </c>
      <c r="C631" t="s">
        <v>40</v>
      </c>
      <c r="D631">
        <v>4.4527530000000004</v>
      </c>
      <c r="E631">
        <v>0.50673570000000001</v>
      </c>
      <c r="F631" t="s">
        <v>43</v>
      </c>
      <c r="G631">
        <v>-311.53309999999999</v>
      </c>
      <c r="H631">
        <v>-0.05</v>
      </c>
      <c r="I631">
        <v>365.3571</v>
      </c>
      <c r="J631">
        <v>-385.19909999999999</v>
      </c>
      <c r="K631">
        <v>1.110311</v>
      </c>
      <c r="L631">
        <v>367.51100000000002</v>
      </c>
      <c r="M631">
        <v>0.9998977</v>
      </c>
      <c r="N631">
        <v>0</v>
      </c>
      <c r="O631">
        <v>9.7035730000000003E-4</v>
      </c>
      <c r="P631">
        <v>0.9993959</v>
      </c>
      <c r="Q631">
        <v>3.2818199999999999E-2</v>
      </c>
      <c r="R631">
        <v>-1.145211E-2</v>
      </c>
      <c r="S631">
        <v>3.0022890000000002</v>
      </c>
      <c r="T631">
        <v>-4.716861E-2</v>
      </c>
      <c r="U631">
        <v>-8.7554930000000003E-2</v>
      </c>
      <c r="V631">
        <v>1.243235E-2</v>
      </c>
      <c r="W631">
        <v>4.7077250000000001E-2</v>
      </c>
      <c r="X631">
        <v>0.99881390000000003</v>
      </c>
      <c r="Y631">
        <v>3.0116529999999999E-2</v>
      </c>
      <c r="Z631">
        <v>-2.5175639999999998E-4</v>
      </c>
      <c r="AA631">
        <v>0.9995463</v>
      </c>
      <c r="AB631">
        <v>32</v>
      </c>
      <c r="AC631">
        <v>73.665999999999997</v>
      </c>
      <c r="AD631">
        <v>-1.1603110000000001</v>
      </c>
      <c r="AE631">
        <v>-2.1538999999999602</v>
      </c>
      <c r="AF631">
        <v>2.2248371111290002</v>
      </c>
      <c r="AG631">
        <v>-1.1603110000000001</v>
      </c>
      <c r="AH631">
        <v>73.645619684119694</v>
      </c>
      <c r="AI631">
        <v>90.902227653763504</v>
      </c>
      <c r="AJ631">
        <v>88.2696184940732</v>
      </c>
      <c r="AK631">
        <v>73.688354035395406</v>
      </c>
      <c r="AL631">
        <v>87.301674986459204</v>
      </c>
      <c r="AM631">
        <v>89.286869755159003</v>
      </c>
      <c r="AN631">
        <v>1.00000001881364</v>
      </c>
    </row>
    <row r="632" spans="1:40" x14ac:dyDescent="0.25">
      <c r="A632" t="str">
        <f>"20190312150647128"</f>
        <v>20190312150647128</v>
      </c>
      <c r="B632" t="str">
        <f>"1552374407121018"</f>
        <v>1552374407121018</v>
      </c>
      <c r="C632" t="s">
        <v>40</v>
      </c>
      <c r="D632">
        <v>4.429621</v>
      </c>
      <c r="E632">
        <v>0.50698290000000001</v>
      </c>
      <c r="F632" t="s">
        <v>42</v>
      </c>
      <c r="G632">
        <v>-321.59800000000001</v>
      </c>
      <c r="H632" s="1">
        <v>-4.2928879999999997E-6</v>
      </c>
      <c r="I632">
        <v>365.63560000000001</v>
      </c>
      <c r="J632">
        <v>-385.01440000000002</v>
      </c>
      <c r="K632">
        <v>1.110317</v>
      </c>
      <c r="L632">
        <v>367.5111</v>
      </c>
      <c r="M632">
        <v>0.9998977</v>
      </c>
      <c r="N632">
        <v>0</v>
      </c>
      <c r="O632">
        <v>9.2107430000000002E-4</v>
      </c>
      <c r="P632">
        <v>0.99938300000000002</v>
      </c>
      <c r="Q632">
        <v>3.3194019999999998E-2</v>
      </c>
      <c r="R632">
        <v>-1.147375E-2</v>
      </c>
      <c r="S632">
        <v>3.0025019999999998</v>
      </c>
      <c r="T632">
        <v>-5.2416089999999999E-2</v>
      </c>
      <c r="U632">
        <v>-8.8531490000000004E-2</v>
      </c>
      <c r="V632">
        <v>1.2405029999999999E-2</v>
      </c>
      <c r="W632">
        <v>4.7460670000000003E-2</v>
      </c>
      <c r="X632">
        <v>0.99879600000000002</v>
      </c>
      <c r="Y632">
        <v>3.0389079999999999E-2</v>
      </c>
      <c r="Z632">
        <v>-2.812569E-4</v>
      </c>
      <c r="AA632">
        <v>0.99953809999999998</v>
      </c>
      <c r="AB632">
        <v>32</v>
      </c>
      <c r="AC632">
        <v>63.416400000000003</v>
      </c>
      <c r="AD632">
        <v>-1.110321292888</v>
      </c>
      <c r="AE632">
        <v>-1.87549999999998</v>
      </c>
      <c r="AF632">
        <v>1.93332423892395</v>
      </c>
      <c r="AG632">
        <v>-1.110321292888</v>
      </c>
      <c r="AH632">
        <v>63.395228938267103</v>
      </c>
      <c r="AI632">
        <v>91.002925116621995</v>
      </c>
      <c r="AJ632">
        <v>88.253228197692394</v>
      </c>
      <c r="AK632">
        <v>63.434419742924703</v>
      </c>
      <c r="AL632">
        <v>87.279681799249801</v>
      </c>
      <c r="AM632">
        <v>89.288423941427595</v>
      </c>
      <c r="AN632">
        <v>0.99999992479107203</v>
      </c>
    </row>
    <row r="633" spans="1:40" x14ac:dyDescent="0.25">
      <c r="A633" t="str">
        <f>"20190312150647141"</f>
        <v>20190312150647141</v>
      </c>
      <c r="B633" t="str">
        <f>"1552374407130778"</f>
        <v>1552374407130778</v>
      </c>
      <c r="C633" t="s">
        <v>40</v>
      </c>
      <c r="D633">
        <v>4.5626980000000001</v>
      </c>
      <c r="E633">
        <v>0.50672359999999905</v>
      </c>
      <c r="F633" t="s">
        <v>42</v>
      </c>
      <c r="G633">
        <v>-324.1275</v>
      </c>
      <c r="H633" s="1">
        <v>-3.2003990000000001E-6</v>
      </c>
      <c r="I633">
        <v>365.67680000000001</v>
      </c>
      <c r="J633">
        <v>-384.82990000000001</v>
      </c>
      <c r="K633">
        <v>1.110322</v>
      </c>
      <c r="L633">
        <v>367.51130000000001</v>
      </c>
      <c r="M633">
        <v>0.99989760000000005</v>
      </c>
      <c r="N633">
        <v>0</v>
      </c>
      <c r="O633">
        <v>8.7203279999999996E-4</v>
      </c>
      <c r="P633">
        <v>0.99936130000000001</v>
      </c>
      <c r="Q633">
        <v>3.3819509999999997E-2</v>
      </c>
      <c r="R633">
        <v>-1.153065E-2</v>
      </c>
      <c r="S633">
        <v>3.0026250000000001</v>
      </c>
      <c r="T633">
        <v>-5.4755209999999999E-2</v>
      </c>
      <c r="U633">
        <v>-9.0454099999999996E-2</v>
      </c>
      <c r="V633">
        <v>1.241283E-2</v>
      </c>
      <c r="W633">
        <v>4.8092240000000001E-2</v>
      </c>
      <c r="X633">
        <v>0.99876580000000004</v>
      </c>
      <c r="Y633">
        <v>3.097778E-2</v>
      </c>
      <c r="Z633">
        <v>-2.9826339999999997E-4</v>
      </c>
      <c r="AA633">
        <v>0.99951999999999996</v>
      </c>
      <c r="AB633">
        <v>32</v>
      </c>
      <c r="AC633">
        <v>60.702399999999997</v>
      </c>
      <c r="AD633">
        <v>-1.1103252003990001</v>
      </c>
      <c r="AE633">
        <v>-1.83449999999999</v>
      </c>
      <c r="AF633">
        <v>1.8868084911743299</v>
      </c>
      <c r="AG633">
        <v>-1.1103252003990001</v>
      </c>
      <c r="AH633">
        <v>60.680493581933398</v>
      </c>
      <c r="AI633">
        <v>91.047768801414605</v>
      </c>
      <c r="AJ633">
        <v>88.219010155804199</v>
      </c>
      <c r="AK633">
        <v>60.719973399863001</v>
      </c>
      <c r="AL633">
        <v>87.243454427711697</v>
      </c>
      <c r="AM633">
        <v>89.287955037213607</v>
      </c>
      <c r="AN633">
        <v>1.0000000325732299</v>
      </c>
    </row>
    <row r="634" spans="1:40" x14ac:dyDescent="0.25">
      <c r="A634" t="str">
        <f>"20190312150647159"</f>
        <v>20190312150647159</v>
      </c>
      <c r="B634" t="str">
        <f>"1552374407151274"</f>
        <v>1552374407151274</v>
      </c>
      <c r="C634" t="s">
        <v>40</v>
      </c>
      <c r="D634">
        <v>4.2964659999999997</v>
      </c>
      <c r="E634">
        <v>0.50700089999999998</v>
      </c>
      <c r="F634" t="s">
        <v>42</v>
      </c>
      <c r="G634">
        <v>-322.11869999999999</v>
      </c>
      <c r="H634" s="1">
        <v>-4.0643350000000001E-6</v>
      </c>
      <c r="I634">
        <v>365.66480000000001</v>
      </c>
      <c r="J634">
        <v>-384.5829</v>
      </c>
      <c r="K634">
        <v>1.110339</v>
      </c>
      <c r="L634">
        <v>367.51139999999998</v>
      </c>
      <c r="M634">
        <v>0.99989749999999999</v>
      </c>
      <c r="N634">
        <v>0</v>
      </c>
      <c r="O634">
        <v>8.0587929999999903E-4</v>
      </c>
      <c r="P634">
        <v>0.99934230000000002</v>
      </c>
      <c r="Q634">
        <v>3.4390780000000003E-2</v>
      </c>
      <c r="R634">
        <v>-1.151287E-2</v>
      </c>
      <c r="S634">
        <v>3.0026860000000002</v>
      </c>
      <c r="T634">
        <v>-5.316365E-2</v>
      </c>
      <c r="U634">
        <v>-8.8409420000000002E-2</v>
      </c>
      <c r="V634">
        <v>1.2329E-2</v>
      </c>
      <c r="W634">
        <v>4.8670909999999998E-2</v>
      </c>
      <c r="X634">
        <v>0.99873880000000004</v>
      </c>
      <c r="Y634">
        <v>3.0231439999999998E-2</v>
      </c>
      <c r="Z634">
        <v>-2.8181609999999998E-4</v>
      </c>
      <c r="AA634">
        <v>0.99954290000000001</v>
      </c>
      <c r="AB634">
        <v>32</v>
      </c>
      <c r="AC634">
        <v>62.464199999999998</v>
      </c>
      <c r="AD634">
        <v>-1.1103430643350001</v>
      </c>
      <c r="AE634">
        <v>-1.8465999999999601</v>
      </c>
      <c r="AF634">
        <v>1.8963444766561199</v>
      </c>
      <c r="AG634">
        <v>-1.1103430643350001</v>
      </c>
      <c r="AH634">
        <v>62.442978264426003</v>
      </c>
      <c r="AI634">
        <v>91.018240349478802</v>
      </c>
      <c r="AJ634">
        <v>88.260506569716</v>
      </c>
      <c r="AK634">
        <v>62.481633450368797</v>
      </c>
      <c r="AL634">
        <v>87.210260188835505</v>
      </c>
      <c r="AM634">
        <v>89.292744222483705</v>
      </c>
      <c r="AN634">
        <v>1.0000000261733299</v>
      </c>
    </row>
    <row r="635" spans="1:40" x14ac:dyDescent="0.25">
      <c r="A635" t="str">
        <f>"20190312150647170"</f>
        <v>20190312150647170</v>
      </c>
      <c r="B635" t="str">
        <f>"1552374407161035"</f>
        <v>1552374407161035</v>
      </c>
      <c r="C635" t="s">
        <v>40</v>
      </c>
      <c r="D635">
        <v>4.3562010000000004</v>
      </c>
      <c r="E635">
        <v>0.50713739999999996</v>
      </c>
      <c r="F635" t="s">
        <v>42</v>
      </c>
      <c r="G635">
        <v>-324.92610000000002</v>
      </c>
      <c r="H635" s="1">
        <v>-2.8532250000000001E-6</v>
      </c>
      <c r="I635">
        <v>365.70280000000002</v>
      </c>
      <c r="J635">
        <v>-384.42250000000001</v>
      </c>
      <c r="K635">
        <v>1.1103419999999999</v>
      </c>
      <c r="L635">
        <v>367.51150000000001</v>
      </c>
      <c r="M635">
        <v>0.99989740000000005</v>
      </c>
      <c r="N635">
        <v>0</v>
      </c>
      <c r="O635">
        <v>7.6323269999999999E-4</v>
      </c>
      <c r="P635">
        <v>0.99932860000000001</v>
      </c>
      <c r="Q635">
        <v>3.4717110000000002E-2</v>
      </c>
      <c r="R635">
        <v>-1.169272E-2</v>
      </c>
      <c r="S635">
        <v>3.0028380000000001</v>
      </c>
      <c r="T635">
        <v>-5.5889250000000001E-2</v>
      </c>
      <c r="U635">
        <v>-9.1033939999999994E-2</v>
      </c>
      <c r="V635">
        <v>1.246651E-2</v>
      </c>
      <c r="W635">
        <v>4.900144E-2</v>
      </c>
      <c r="X635">
        <v>0.99872090000000002</v>
      </c>
      <c r="Y635">
        <v>3.1059489999999999E-2</v>
      </c>
      <c r="Z635">
        <v>-3.0315289999999998E-4</v>
      </c>
      <c r="AA635">
        <v>0.99951749999999995</v>
      </c>
      <c r="AB635">
        <v>32</v>
      </c>
      <c r="AC635">
        <v>59.496400000000001</v>
      </c>
      <c r="AD635">
        <v>-1.110344853225</v>
      </c>
      <c r="AE635">
        <v>-1.80869999999998</v>
      </c>
      <c r="AF635">
        <v>1.8534687785947299</v>
      </c>
      <c r="AG635">
        <v>-1.110344853225</v>
      </c>
      <c r="AH635">
        <v>59.474307201758499</v>
      </c>
      <c r="AI635">
        <v>91.0690300953015</v>
      </c>
      <c r="AJ635">
        <v>88.215000996606904</v>
      </c>
      <c r="AK635">
        <v>59.513539882412097</v>
      </c>
      <c r="AL635">
        <v>87.1912995054047</v>
      </c>
      <c r="AM635">
        <v>89.284843929912398</v>
      </c>
      <c r="AN635">
        <v>0.999999995545231</v>
      </c>
    </row>
    <row r="636" spans="1:40" x14ac:dyDescent="0.25">
      <c r="A636" t="str">
        <f>"20190312150647181"</f>
        <v>20190312150647181</v>
      </c>
      <c r="B636" t="str">
        <f>"1552374407170796"</f>
        <v>1552374407170796</v>
      </c>
      <c r="C636" t="s">
        <v>40</v>
      </c>
      <c r="D636">
        <v>4.3338669999999997</v>
      </c>
      <c r="E636">
        <v>0.5072179</v>
      </c>
      <c r="F636" t="s">
        <v>42</v>
      </c>
      <c r="G636">
        <v>-326.39999999999998</v>
      </c>
      <c r="H636" s="1">
        <v>-2.2466580000000001E-6</v>
      </c>
      <c r="I636">
        <v>365.72469999999998</v>
      </c>
      <c r="J636">
        <v>-384.25959999999998</v>
      </c>
      <c r="K636">
        <v>1.110344</v>
      </c>
      <c r="L636">
        <v>367.51159999999999</v>
      </c>
      <c r="M636">
        <v>0.99989749999999999</v>
      </c>
      <c r="N636">
        <v>0</v>
      </c>
      <c r="O636">
        <v>7.1975390000000004E-4</v>
      </c>
      <c r="P636">
        <v>0.99933249999999996</v>
      </c>
      <c r="Q636">
        <v>3.4638809999999999E-2</v>
      </c>
      <c r="R636">
        <v>-1.1622749999999999E-2</v>
      </c>
      <c r="S636">
        <v>3.0028990000000002</v>
      </c>
      <c r="T636">
        <v>-5.7464719999999997E-2</v>
      </c>
      <c r="U636">
        <v>-9.2468259999999997E-2</v>
      </c>
      <c r="V636">
        <v>1.235266E-2</v>
      </c>
      <c r="W636">
        <v>4.8927140000000001E-2</v>
      </c>
      <c r="X636">
        <v>0.998726</v>
      </c>
      <c r="Y636">
        <v>3.1491989999999997E-2</v>
      </c>
      <c r="Z636">
        <v>-3.1499339999999999E-4</v>
      </c>
      <c r="AA636">
        <v>0.99950399999999995</v>
      </c>
      <c r="AB636">
        <v>32</v>
      </c>
      <c r="AC636">
        <v>57.8596</v>
      </c>
      <c r="AD636">
        <v>-1.1103462466580001</v>
      </c>
      <c r="AE636">
        <v>-1.7868999999999999</v>
      </c>
      <c r="AF636">
        <v>1.8278759581094799</v>
      </c>
      <c r="AG636">
        <v>-1.1103462466580001</v>
      </c>
      <c r="AH636">
        <v>57.837019423518001</v>
      </c>
      <c r="AI636">
        <v>91.099271794875605</v>
      </c>
      <c r="AJ636">
        <v>88.189831848504994</v>
      </c>
      <c r="AK636">
        <v>57.876548057931899</v>
      </c>
      <c r="AL636">
        <v>87.195561813808098</v>
      </c>
      <c r="AM636">
        <v>89.291378018793395</v>
      </c>
      <c r="AN636">
        <v>1.0000000381568199</v>
      </c>
    </row>
    <row r="637" spans="1:40" x14ac:dyDescent="0.25">
      <c r="A637" t="str">
        <f>"20190312150647193"</f>
        <v>20190312150647193</v>
      </c>
      <c r="B637" t="str">
        <f>"1552374407181530"</f>
        <v>1552374407181530</v>
      </c>
      <c r="C637" t="s">
        <v>40</v>
      </c>
      <c r="D637">
        <v>4.3064819999999999</v>
      </c>
      <c r="E637">
        <v>0.50729349999999995</v>
      </c>
      <c r="F637" t="s">
        <v>42</v>
      </c>
      <c r="G637">
        <v>-328.58109999999999</v>
      </c>
      <c r="H637" s="1">
        <v>-1.4872520000000001E-6</v>
      </c>
      <c r="I637">
        <v>365.78910000000002</v>
      </c>
      <c r="J637">
        <v>-384.10759999999999</v>
      </c>
      <c r="K637">
        <v>1.110349</v>
      </c>
      <c r="L637">
        <v>367.51159999999999</v>
      </c>
      <c r="M637">
        <v>0.99989749999999999</v>
      </c>
      <c r="N637">
        <v>0</v>
      </c>
      <c r="O637">
        <v>6.7926130000000001E-4</v>
      </c>
      <c r="P637">
        <v>0.99933090000000002</v>
      </c>
      <c r="Q637">
        <v>3.4606520000000002E-2</v>
      </c>
      <c r="R637">
        <v>-1.1847770000000001E-2</v>
      </c>
      <c r="S637">
        <v>3.0029910000000002</v>
      </c>
      <c r="T637">
        <v>-5.9885859999999999E-2</v>
      </c>
      <c r="U637">
        <v>-9.2895510000000001E-2</v>
      </c>
      <c r="V637">
        <v>1.2537420000000001E-2</v>
      </c>
      <c r="W637">
        <v>4.8898570000000002E-2</v>
      </c>
      <c r="X637">
        <v>0.99872510000000003</v>
      </c>
      <c r="Y637">
        <v>3.1592130000000003E-2</v>
      </c>
      <c r="Z637">
        <v>-3.284424E-4</v>
      </c>
      <c r="AA637">
        <v>0.99950079999999997</v>
      </c>
      <c r="AB637">
        <v>32</v>
      </c>
      <c r="AC637">
        <v>55.526499999999999</v>
      </c>
      <c r="AD637">
        <v>-1.110350487252</v>
      </c>
      <c r="AE637">
        <v>-1.72249999999996</v>
      </c>
      <c r="AF637">
        <v>1.75951755970907</v>
      </c>
      <c r="AG637">
        <v>-1.110350487252</v>
      </c>
      <c r="AH637">
        <v>55.503144296652998</v>
      </c>
      <c r="AI637">
        <v>91.145484320369604</v>
      </c>
      <c r="AJ637">
        <v>88.184261801103602</v>
      </c>
      <c r="AK637">
        <v>55.542126418265099</v>
      </c>
      <c r="AL637">
        <v>87.197200724411999</v>
      </c>
      <c r="AM637">
        <v>89.280779544388693</v>
      </c>
      <c r="AN637">
        <v>1.0000000412091501</v>
      </c>
    </row>
    <row r="638" spans="1:40" x14ac:dyDescent="0.25">
      <c r="A638" t="str">
        <f>"20190312150647205"</f>
        <v>20190312150647205</v>
      </c>
      <c r="B638" t="str">
        <f>"1552374407201050"</f>
        <v>1552374407201050</v>
      </c>
      <c r="C638" t="s">
        <v>40</v>
      </c>
      <c r="D638">
        <v>4.3200620000000001</v>
      </c>
      <c r="E638">
        <v>0.50763239999999998</v>
      </c>
      <c r="F638" t="s">
        <v>42</v>
      </c>
      <c r="G638">
        <v>-329.6259</v>
      </c>
      <c r="H638" s="1">
        <v>-1.129042E-6</v>
      </c>
      <c r="I638">
        <v>365.79910000000001</v>
      </c>
      <c r="J638">
        <v>-383.9325</v>
      </c>
      <c r="K638">
        <v>1.1103499999999999</v>
      </c>
      <c r="L638">
        <v>367.51170000000002</v>
      </c>
      <c r="M638">
        <v>0.99989749999999999</v>
      </c>
      <c r="N638">
        <v>0</v>
      </c>
      <c r="O638">
        <v>6.3256830000000001E-4</v>
      </c>
      <c r="P638">
        <v>0.99933019999999995</v>
      </c>
      <c r="Q638">
        <v>3.4613270000000002E-2</v>
      </c>
      <c r="R638">
        <v>-1.189218E-2</v>
      </c>
      <c r="S638">
        <v>3.0030209999999999</v>
      </c>
      <c r="T638">
        <v>-6.1202289999999999E-2</v>
      </c>
      <c r="U638">
        <v>-9.4390870000000002E-2</v>
      </c>
      <c r="V638">
        <v>1.2535030000000001E-2</v>
      </c>
      <c r="W638">
        <v>4.8909040000000001E-2</v>
      </c>
      <c r="X638">
        <v>0.99872459999999996</v>
      </c>
      <c r="Y638">
        <v>3.2041989999999999E-2</v>
      </c>
      <c r="Z638">
        <v>-3.3928590000000002E-4</v>
      </c>
      <c r="AA638">
        <v>0.9994864</v>
      </c>
      <c r="AB638">
        <v>31</v>
      </c>
      <c r="AC638">
        <v>54.306600000000003</v>
      </c>
      <c r="AD638">
        <v>-1.1103511290419901</v>
      </c>
      <c r="AE638">
        <v>-1.7125999999999999</v>
      </c>
      <c r="AF638">
        <v>1.7462265422868499</v>
      </c>
      <c r="AG638">
        <v>-1.1103511290419901</v>
      </c>
      <c r="AH638">
        <v>54.282835958507</v>
      </c>
      <c r="AI638">
        <v>91.171211552422903</v>
      </c>
      <c r="AJ638">
        <v>88.157485364158305</v>
      </c>
      <c r="AK638">
        <v>54.322264923923498</v>
      </c>
      <c r="AL638">
        <v>87.196600070456</v>
      </c>
      <c r="AM638">
        <v>89.280916274542705</v>
      </c>
      <c r="AN638">
        <v>1.00000002390799</v>
      </c>
    </row>
    <row r="639" spans="1:40" x14ac:dyDescent="0.25">
      <c r="A639" t="str">
        <f>"20190312150647218"</f>
        <v>20190312150647218</v>
      </c>
      <c r="B639" t="str">
        <f>"1552374407210811"</f>
        <v>1552374407210811</v>
      </c>
      <c r="C639" t="s">
        <v>40</v>
      </c>
      <c r="D639">
        <v>4.2951699999999997</v>
      </c>
      <c r="E639">
        <v>0.52657149999999997</v>
      </c>
      <c r="F639" t="s">
        <v>42</v>
      </c>
      <c r="G639">
        <v>-329.74180000000001</v>
      </c>
      <c r="H639" s="1">
        <v>-1.100512E-6</v>
      </c>
      <c r="I639">
        <v>365.75819999999999</v>
      </c>
      <c r="J639">
        <v>-383.75220000000002</v>
      </c>
      <c r="K639">
        <v>1.110349</v>
      </c>
      <c r="L639">
        <v>367.51179999999999</v>
      </c>
      <c r="M639">
        <v>0.99989740000000005</v>
      </c>
      <c r="N639">
        <v>0</v>
      </c>
      <c r="O639">
        <v>5.8432989999999995E-4</v>
      </c>
      <c r="P639">
        <v>0.9993474</v>
      </c>
      <c r="Q639">
        <v>3.4102470000000003E-2</v>
      </c>
      <c r="R639">
        <v>-1.191861E-2</v>
      </c>
      <c r="S639">
        <v>3.0029910000000002</v>
      </c>
      <c r="T639">
        <v>-6.1530229999999998E-2</v>
      </c>
      <c r="U639">
        <v>-9.7167970000000006E-2</v>
      </c>
      <c r="V639">
        <v>1.2513170000000001E-2</v>
      </c>
      <c r="W639">
        <v>4.8401810000000003E-2</v>
      </c>
      <c r="X639">
        <v>0.99874960000000002</v>
      </c>
      <c r="Y639">
        <v>3.2917189999999999E-2</v>
      </c>
      <c r="Z639">
        <v>-3.4907690000000001E-4</v>
      </c>
      <c r="AA639">
        <v>0.99945799999999996</v>
      </c>
      <c r="AB639">
        <v>31</v>
      </c>
      <c r="AC639">
        <v>54.010399999999997</v>
      </c>
      <c r="AD639">
        <v>-1.110350100512</v>
      </c>
      <c r="AE639">
        <v>-1.7536</v>
      </c>
      <c r="AF639">
        <v>1.7844094660977901</v>
      </c>
      <c r="AG639">
        <v>-1.110350100512</v>
      </c>
      <c r="AH639">
        <v>53.986573422761701</v>
      </c>
      <c r="AI639">
        <v>91.177602028259003</v>
      </c>
      <c r="AJ639">
        <v>88.106901077604206</v>
      </c>
      <c r="AK639">
        <v>54.027466203956301</v>
      </c>
      <c r="AL639">
        <v>87.225696711736404</v>
      </c>
      <c r="AM639">
        <v>89.282188128897502</v>
      </c>
      <c r="AN639">
        <v>1.0000000390674399</v>
      </c>
    </row>
    <row r="640" spans="1:40" x14ac:dyDescent="0.25">
      <c r="A640" t="str">
        <f>"20190312150647229"</f>
        <v>20190312150647229</v>
      </c>
      <c r="B640" t="str">
        <f>"1552374407221080"</f>
        <v>1552374407221080</v>
      </c>
      <c r="C640" t="s">
        <v>40</v>
      </c>
      <c r="D640">
        <v>4.2699980000000002</v>
      </c>
      <c r="E640">
        <v>0.52836759999999905</v>
      </c>
      <c r="F640" t="s">
        <v>48</v>
      </c>
      <c r="G640">
        <v>0</v>
      </c>
      <c r="H640">
        <v>0</v>
      </c>
      <c r="I640">
        <v>0</v>
      </c>
      <c r="J640">
        <v>-383.58890000000002</v>
      </c>
      <c r="K640">
        <v>1.1103479999999999</v>
      </c>
      <c r="L640">
        <v>367.51179999999999</v>
      </c>
      <c r="M640">
        <v>0.99989740000000005</v>
      </c>
      <c r="N640">
        <v>0</v>
      </c>
      <c r="O640">
        <v>5.4068289999999999E-4</v>
      </c>
      <c r="P640">
        <v>0.99935390000000002</v>
      </c>
      <c r="Q640">
        <v>3.3905499999999998E-2</v>
      </c>
      <c r="R640">
        <v>-1.193731E-2</v>
      </c>
      <c r="S640">
        <v>2.99884</v>
      </c>
      <c r="T640">
        <v>4.2458770000000003E-3</v>
      </c>
      <c r="U640">
        <v>-0.24819949999999999</v>
      </c>
      <c r="V640">
        <v>1.2488239999999999E-2</v>
      </c>
      <c r="W640">
        <v>4.82075E-2</v>
      </c>
      <c r="X640">
        <v>0.99875930000000002</v>
      </c>
      <c r="Y640">
        <v>8.3021929999999994E-2</v>
      </c>
      <c r="Z640" s="1">
        <v>5.9436830000000002E-5</v>
      </c>
      <c r="AA640">
        <v>0.99654770000000004</v>
      </c>
      <c r="AB640">
        <v>31</v>
      </c>
      <c r="AC640">
        <v>2.99884</v>
      </c>
      <c r="AD640">
        <v>4.2458770000000003E-3</v>
      </c>
      <c r="AE640">
        <v>-0.24819949999999999</v>
      </c>
      <c r="AF640">
        <v>0.24982055397542199</v>
      </c>
      <c r="AG640">
        <v>4.2458770000000003E-3</v>
      </c>
      <c r="AH640">
        <v>2.99869938029412</v>
      </c>
      <c r="AI640">
        <v>89.919154673441298</v>
      </c>
      <c r="AJ640">
        <v>85.237706702800097</v>
      </c>
      <c r="AK640">
        <v>3.00909061180224</v>
      </c>
      <c r="AL640">
        <v>87.236842838606293</v>
      </c>
      <c r="AM640">
        <v>89.283625033765205</v>
      </c>
      <c r="AN640">
        <v>1.00000002926551</v>
      </c>
    </row>
    <row r="641" spans="1:40" x14ac:dyDescent="0.25">
      <c r="A641" t="str">
        <f>"20190312150647241"</f>
        <v>20190312150647241</v>
      </c>
      <c r="B641" t="str">
        <f>"1552374407230841"</f>
        <v>1552374407230841</v>
      </c>
      <c r="C641" t="s">
        <v>40</v>
      </c>
      <c r="D641">
        <v>4.2313809999999998</v>
      </c>
      <c r="E641">
        <v>0.528761699999999</v>
      </c>
      <c r="F641" t="s">
        <v>48</v>
      </c>
      <c r="G641">
        <v>0</v>
      </c>
      <c r="H641">
        <v>0</v>
      </c>
      <c r="I641">
        <v>0</v>
      </c>
      <c r="J641">
        <v>-383.42410000000001</v>
      </c>
      <c r="K641">
        <v>1.110347</v>
      </c>
      <c r="L641">
        <v>367.51190000000003</v>
      </c>
      <c r="M641">
        <v>0.99989729999999999</v>
      </c>
      <c r="N641">
        <v>0</v>
      </c>
      <c r="O641">
        <v>4.9685720000000003E-4</v>
      </c>
      <c r="P641">
        <v>0.999363</v>
      </c>
      <c r="Q641">
        <v>3.3646040000000002E-2</v>
      </c>
      <c r="R641">
        <v>-1.1892379999999999E-2</v>
      </c>
      <c r="S641">
        <v>2.998291</v>
      </c>
      <c r="T641">
        <v>1.439619E-2</v>
      </c>
      <c r="U641">
        <v>-0.26217649999999998</v>
      </c>
      <c r="V641">
        <v>1.2399510000000001E-2</v>
      </c>
      <c r="W641">
        <v>4.7950300000000001E-2</v>
      </c>
      <c r="X641">
        <v>0.99877269999999896</v>
      </c>
      <c r="Y641">
        <v>8.7603600000000004E-2</v>
      </c>
      <c r="Z641">
        <v>2.122925E-4</v>
      </c>
      <c r="AA641">
        <v>0.99615540000000002</v>
      </c>
      <c r="AB641">
        <v>31</v>
      </c>
      <c r="AC641">
        <v>2.998291</v>
      </c>
      <c r="AD641">
        <v>1.439619E-2</v>
      </c>
      <c r="AE641">
        <v>-0.26217649999999998</v>
      </c>
      <c r="AF641">
        <v>0.26366031061018202</v>
      </c>
      <c r="AG641">
        <v>1.439619E-2</v>
      </c>
      <c r="AH641">
        <v>2.99809175845134</v>
      </c>
      <c r="AI641">
        <v>89.725937868613002</v>
      </c>
      <c r="AJ641">
        <v>84.974183751115504</v>
      </c>
      <c r="AK641">
        <v>3.00969736049514</v>
      </c>
      <c r="AL641">
        <v>87.251596136443197</v>
      </c>
      <c r="AM641">
        <v>89.288723955560499</v>
      </c>
      <c r="AN641">
        <v>0.99999994269180803</v>
      </c>
    </row>
    <row r="642" spans="1:40" x14ac:dyDescent="0.25">
      <c r="A642" t="str">
        <f>"20190312150647259"</f>
        <v>20190312150647259</v>
      </c>
      <c r="B642" t="str">
        <f>"1552374407251340"</f>
        <v>1552374407251340</v>
      </c>
      <c r="C642" t="s">
        <v>40</v>
      </c>
      <c r="D642">
        <v>4.2530549999999998</v>
      </c>
      <c r="E642">
        <v>0.52923299999999995</v>
      </c>
      <c r="F642" t="s">
        <v>48</v>
      </c>
      <c r="G642">
        <v>0</v>
      </c>
      <c r="H642">
        <v>0</v>
      </c>
      <c r="I642">
        <v>0</v>
      </c>
      <c r="J642">
        <v>-383.17910000000001</v>
      </c>
      <c r="K642">
        <v>1.110347</v>
      </c>
      <c r="L642">
        <v>367.512</v>
      </c>
      <c r="M642">
        <v>0.99989740000000005</v>
      </c>
      <c r="N642">
        <v>0</v>
      </c>
      <c r="O642">
        <v>4.3127669999999999E-4</v>
      </c>
      <c r="P642">
        <v>0.99937900000000002</v>
      </c>
      <c r="Q642">
        <v>3.3180309999999998E-2</v>
      </c>
      <c r="R642">
        <v>-1.18598E-2</v>
      </c>
      <c r="S642">
        <v>2.9981080000000002</v>
      </c>
      <c r="T642">
        <v>1.951087E-2</v>
      </c>
      <c r="U642">
        <v>-0.26544190000000001</v>
      </c>
      <c r="V642">
        <v>1.2301360000000001E-2</v>
      </c>
      <c r="W642">
        <v>4.7488290000000002E-2</v>
      </c>
      <c r="X642">
        <v>0.99879600000000002</v>
      </c>
      <c r="Y642">
        <v>8.861927E-2</v>
      </c>
      <c r="Z642">
        <v>2.9059049999999998E-4</v>
      </c>
      <c r="AA642">
        <v>0.9960656</v>
      </c>
      <c r="AB642">
        <v>31</v>
      </c>
      <c r="AC642">
        <v>2.9981080000000002</v>
      </c>
      <c r="AD642">
        <v>1.951087E-2</v>
      </c>
      <c r="AE642">
        <v>-0.26544190000000001</v>
      </c>
      <c r="AF642">
        <v>0.26672381395483702</v>
      </c>
      <c r="AG642">
        <v>1.951087E-2</v>
      </c>
      <c r="AH642">
        <v>2.99786725671752</v>
      </c>
      <c r="AI642">
        <v>89.6285771285782</v>
      </c>
      <c r="AJ642">
        <v>84.915713697163696</v>
      </c>
      <c r="AK642">
        <v>3.0097724757658701</v>
      </c>
      <c r="AL642">
        <v>87.278097586653502</v>
      </c>
      <c r="AM642">
        <v>89.294370045516004</v>
      </c>
      <c r="AN642">
        <v>0.99999995538048503</v>
      </c>
    </row>
    <row r="643" spans="1:40" x14ac:dyDescent="0.25">
      <c r="A643" t="str">
        <f>"20190312150647270"</f>
        <v>20190312150647270</v>
      </c>
      <c r="B643" t="str">
        <f>"1552374407261097"</f>
        <v>1552374407261097</v>
      </c>
      <c r="C643" t="s">
        <v>40</v>
      </c>
      <c r="D643">
        <v>4.2781399999999996</v>
      </c>
      <c r="E643">
        <v>0.52935959999999904</v>
      </c>
      <c r="F643" t="s">
        <v>48</v>
      </c>
      <c r="G643">
        <v>0</v>
      </c>
      <c r="H643">
        <v>0</v>
      </c>
      <c r="I643">
        <v>0</v>
      </c>
      <c r="J643">
        <v>-383.01679999999999</v>
      </c>
      <c r="K643">
        <v>1.1103499999999999</v>
      </c>
      <c r="L643">
        <v>367.512</v>
      </c>
      <c r="M643">
        <v>0.99989740000000005</v>
      </c>
      <c r="N643">
        <v>0</v>
      </c>
      <c r="O643">
        <v>3.8793649999999997E-4</v>
      </c>
      <c r="P643">
        <v>0.99939080000000002</v>
      </c>
      <c r="Q643">
        <v>3.2844099999999897E-2</v>
      </c>
      <c r="R643">
        <v>-1.1807639999999999E-2</v>
      </c>
      <c r="S643">
        <v>2.9981080000000002</v>
      </c>
      <c r="T643">
        <v>1.7656560000000002E-2</v>
      </c>
      <c r="U643">
        <v>-0.2689819</v>
      </c>
      <c r="V643">
        <v>1.220561E-2</v>
      </c>
      <c r="W643">
        <v>4.715345E-2</v>
      </c>
      <c r="X643">
        <v>0.99881310000000001</v>
      </c>
      <c r="Y643">
        <v>8.9743199999999995E-2</v>
      </c>
      <c r="Z643">
        <v>2.660079E-4</v>
      </c>
      <c r="AA643">
        <v>0.99596490000000004</v>
      </c>
      <c r="AB643">
        <v>31</v>
      </c>
      <c r="AC643">
        <v>2.9981080000000002</v>
      </c>
      <c r="AD643">
        <v>1.7656560000000002E-2</v>
      </c>
      <c r="AE643">
        <v>-0.2689819</v>
      </c>
      <c r="AF643">
        <v>0.27013578020722101</v>
      </c>
      <c r="AG643">
        <v>1.7656560000000002E-2</v>
      </c>
      <c r="AH643">
        <v>2.9979002695884698</v>
      </c>
      <c r="AI643">
        <v>89.6639138971845</v>
      </c>
      <c r="AJ643">
        <v>84.851078646401007</v>
      </c>
      <c r="AK643">
        <v>3.0100981911322799</v>
      </c>
      <c r="AL643">
        <v>87.297304188591397</v>
      </c>
      <c r="AM643">
        <v>89.299873888406907</v>
      </c>
      <c r="AN643">
        <v>1.00000001674699</v>
      </c>
    </row>
    <row r="644" spans="1:40" x14ac:dyDescent="0.25">
      <c r="A644" t="str">
        <f>"20190312150647281"</f>
        <v>20190312150647281</v>
      </c>
      <c r="B644" t="str">
        <f>"1552374407270857"</f>
        <v>1552374407270857</v>
      </c>
      <c r="C644" t="s">
        <v>40</v>
      </c>
      <c r="D644">
        <v>4.2596170000000004</v>
      </c>
      <c r="E644">
        <v>0.52928039999999998</v>
      </c>
      <c r="F644" t="s">
        <v>48</v>
      </c>
      <c r="G644">
        <v>0</v>
      </c>
      <c r="H644">
        <v>0</v>
      </c>
      <c r="I644">
        <v>0</v>
      </c>
      <c r="J644">
        <v>-382.85759999999999</v>
      </c>
      <c r="K644">
        <v>1.1103529999999999</v>
      </c>
      <c r="L644">
        <v>367.512</v>
      </c>
      <c r="M644">
        <v>0.99989749999999999</v>
      </c>
      <c r="N644">
        <v>0</v>
      </c>
      <c r="O644">
        <v>3.4531299999999998E-4</v>
      </c>
      <c r="P644">
        <v>0.99939029999999995</v>
      </c>
      <c r="Q644">
        <v>3.2922510000000002E-2</v>
      </c>
      <c r="R644">
        <v>-1.164831E-2</v>
      </c>
      <c r="S644">
        <v>2.9981689999999999</v>
      </c>
      <c r="T644">
        <v>1.3974429999999999E-2</v>
      </c>
      <c r="U644">
        <v>-0.26968379999999997</v>
      </c>
      <c r="V644">
        <v>1.2003659999999999E-2</v>
      </c>
      <c r="W644">
        <v>4.7233480000000001E-2</v>
      </c>
      <c r="X644">
        <v>0.99881169999999997</v>
      </c>
      <c r="Y644">
        <v>8.9930800000000005E-2</v>
      </c>
      <c r="Z644">
        <v>2.1076619999999999E-4</v>
      </c>
      <c r="AA644">
        <v>0.99594800000000006</v>
      </c>
      <c r="AB644">
        <v>31</v>
      </c>
      <c r="AC644">
        <v>2.9981689999999999</v>
      </c>
      <c r="AD644">
        <v>1.3974429999999999E-2</v>
      </c>
      <c r="AE644">
        <v>-0.26968379999999997</v>
      </c>
      <c r="AF644">
        <v>0.27071336272395502</v>
      </c>
      <c r="AG644">
        <v>1.3974429999999999E-2</v>
      </c>
      <c r="AH644">
        <v>2.9980110778687101</v>
      </c>
      <c r="AI644">
        <v>89.734015080015695</v>
      </c>
      <c r="AJ644">
        <v>84.840318685239197</v>
      </c>
      <c r="AK644">
        <v>3.0102410920845899</v>
      </c>
      <c r="AL644">
        <v>87.292713513806305</v>
      </c>
      <c r="AM644">
        <v>89.311455854633707</v>
      </c>
      <c r="AN644">
        <v>0.99999995077159598</v>
      </c>
    </row>
    <row r="645" spans="1:40" x14ac:dyDescent="0.25">
      <c r="A645" t="str">
        <f>"20190312150647292"</f>
        <v>20190312150647292</v>
      </c>
      <c r="B645" t="str">
        <f>"1552374407281593"</f>
        <v>1552374407281593</v>
      </c>
      <c r="C645" t="s">
        <v>40</v>
      </c>
      <c r="D645">
        <v>4.2569860000000004</v>
      </c>
      <c r="E645">
        <v>0.52939510000000001</v>
      </c>
      <c r="F645" t="s">
        <v>48</v>
      </c>
      <c r="G645">
        <v>0</v>
      </c>
      <c r="H645">
        <v>0</v>
      </c>
      <c r="I645">
        <v>0</v>
      </c>
      <c r="J645">
        <v>-382.71289999999999</v>
      </c>
      <c r="K645">
        <v>1.1103529999999999</v>
      </c>
      <c r="L645">
        <v>367.512</v>
      </c>
      <c r="M645">
        <v>0.99989729999999999</v>
      </c>
      <c r="N645">
        <v>0</v>
      </c>
      <c r="O645">
        <v>3.0650870000000001E-4</v>
      </c>
      <c r="P645">
        <v>0.99939359999999999</v>
      </c>
      <c r="Q645">
        <v>3.283589E-2</v>
      </c>
      <c r="R645">
        <v>-1.1578690000000001E-2</v>
      </c>
      <c r="S645">
        <v>2.998291</v>
      </c>
      <c r="T645">
        <v>1.250279E-2</v>
      </c>
      <c r="U645">
        <v>-0.26861570000000001</v>
      </c>
      <c r="V645">
        <v>1.1895350000000001E-2</v>
      </c>
      <c r="W645">
        <v>4.7148219999999998E-2</v>
      </c>
      <c r="X645">
        <v>0.99881710000000001</v>
      </c>
      <c r="Y645">
        <v>8.9536760000000007E-2</v>
      </c>
      <c r="Z645">
        <v>1.8758469999999999E-4</v>
      </c>
      <c r="AA645">
        <v>0.99598350000000002</v>
      </c>
      <c r="AB645">
        <v>31</v>
      </c>
      <c r="AC645">
        <v>2.998291</v>
      </c>
      <c r="AD645">
        <v>1.250279E-2</v>
      </c>
      <c r="AE645">
        <v>-0.26861570000000001</v>
      </c>
      <c r="AF645">
        <v>0.26953013455209301</v>
      </c>
      <c r="AG645">
        <v>1.250279E-2</v>
      </c>
      <c r="AH645">
        <v>2.9981567987864999</v>
      </c>
      <c r="AI645">
        <v>89.762028553013806</v>
      </c>
      <c r="AJ645">
        <v>84.862997927192794</v>
      </c>
      <c r="AK645">
        <v>3.0102735761553499</v>
      </c>
      <c r="AL645">
        <v>87.297604205886898</v>
      </c>
      <c r="AM645">
        <v>89.317671742971498</v>
      </c>
      <c r="AN645">
        <v>1.0000000266266</v>
      </c>
    </row>
    <row r="646" spans="1:40" x14ac:dyDescent="0.25">
      <c r="A646" t="str">
        <f>"20190312150647305"</f>
        <v>20190312150647305</v>
      </c>
      <c r="B646" t="str">
        <f>"1552374407301113"</f>
        <v>1552374407301113</v>
      </c>
      <c r="C646" t="s">
        <v>40</v>
      </c>
      <c r="D646">
        <v>4.3476039999999996</v>
      </c>
      <c r="E646">
        <v>0.52908120000000003</v>
      </c>
      <c r="F646" t="s">
        <v>48</v>
      </c>
      <c r="G646">
        <v>0</v>
      </c>
      <c r="H646">
        <v>0</v>
      </c>
      <c r="I646">
        <v>0</v>
      </c>
      <c r="J646">
        <v>-382.53680000000003</v>
      </c>
      <c r="K646">
        <v>1.110357</v>
      </c>
      <c r="L646">
        <v>367.512</v>
      </c>
      <c r="M646">
        <v>0.99989729999999999</v>
      </c>
      <c r="N646">
        <v>0</v>
      </c>
      <c r="O646">
        <v>2.5918179999999999E-4</v>
      </c>
      <c r="P646">
        <v>0.99939049999999996</v>
      </c>
      <c r="Q646">
        <v>3.297274E-2</v>
      </c>
      <c r="R646">
        <v>-1.146319E-2</v>
      </c>
      <c r="S646">
        <v>2.9983219999999999</v>
      </c>
      <c r="T646">
        <v>1.0140420000000001E-2</v>
      </c>
      <c r="U646">
        <v>-0.26931759999999999</v>
      </c>
      <c r="V646">
        <v>1.173243E-2</v>
      </c>
      <c r="W646">
        <v>4.7285859999999999E-2</v>
      </c>
      <c r="X646">
        <v>0.99881249999999999</v>
      </c>
      <c r="Y646">
        <v>8.9720289999999994E-2</v>
      </c>
      <c r="Z646">
        <v>1.522881E-4</v>
      </c>
      <c r="AA646">
        <v>0.99596700000000005</v>
      </c>
      <c r="AB646">
        <v>31</v>
      </c>
      <c r="AC646">
        <v>2.9983219999999999</v>
      </c>
      <c r="AD646">
        <v>1.0140420000000001E-2</v>
      </c>
      <c r="AE646">
        <v>-0.26931759999999999</v>
      </c>
      <c r="AF646">
        <v>0.27009171661603498</v>
      </c>
      <c r="AG646">
        <v>1.0140420000000001E-2</v>
      </c>
      <c r="AH646">
        <v>2.99821807032674</v>
      </c>
      <c r="AI646">
        <v>89.806999405507298</v>
      </c>
      <c r="AJ646">
        <v>84.852456754390801</v>
      </c>
      <c r="AK646">
        <v>3.0103760497213901</v>
      </c>
      <c r="AL646">
        <v>87.289709154245699</v>
      </c>
      <c r="AM646">
        <v>89.327013019969897</v>
      </c>
      <c r="AN646">
        <v>1.0000000063129399</v>
      </c>
    </row>
    <row r="647" spans="1:40" x14ac:dyDescent="0.25">
      <c r="A647" t="str">
        <f>"20190312150647318"</f>
        <v>20190312150647318</v>
      </c>
      <c r="B647" t="str">
        <f>"1552374407310873"</f>
        <v>1552374407310873</v>
      </c>
      <c r="C647" t="s">
        <v>40</v>
      </c>
      <c r="D647">
        <v>4.3928750000000001</v>
      </c>
      <c r="E647">
        <v>0.52905829999999998</v>
      </c>
      <c r="F647" t="s">
        <v>48</v>
      </c>
      <c r="G647">
        <v>0</v>
      </c>
      <c r="H647">
        <v>0</v>
      </c>
      <c r="I647">
        <v>0</v>
      </c>
      <c r="J647">
        <v>-382.34789999999998</v>
      </c>
      <c r="K647">
        <v>1.110357</v>
      </c>
      <c r="L647">
        <v>367.512</v>
      </c>
      <c r="M647">
        <v>0.99989729999999999</v>
      </c>
      <c r="N647">
        <v>0</v>
      </c>
      <c r="O647">
        <v>2.0875129999999999E-4</v>
      </c>
      <c r="P647">
        <v>0.99937180000000003</v>
      </c>
      <c r="Q647">
        <v>3.3493500000000002E-2</v>
      </c>
      <c r="R647">
        <v>-1.159892E-2</v>
      </c>
      <c r="S647">
        <v>2.99884</v>
      </c>
      <c r="T647">
        <v>-1.626492E-3</v>
      </c>
      <c r="U647">
        <v>-0.26635740000000002</v>
      </c>
      <c r="V647">
        <v>1.181783E-2</v>
      </c>
      <c r="W647">
        <v>4.7807420000000003E-2</v>
      </c>
      <c r="X647">
        <v>0.99878670000000003</v>
      </c>
      <c r="Y647">
        <v>8.8679789999999994E-2</v>
      </c>
      <c r="Z647" s="1">
        <v>-2.4114550000000001E-5</v>
      </c>
      <c r="AA647">
        <v>0.99606019999999895</v>
      </c>
      <c r="AB647">
        <v>31</v>
      </c>
      <c r="AC647">
        <v>2.99884</v>
      </c>
      <c r="AD647">
        <v>-1.626492E-3</v>
      </c>
      <c r="AE647">
        <v>-0.26635740000000002</v>
      </c>
      <c r="AF647">
        <v>0.26698339230455898</v>
      </c>
      <c r="AG647">
        <v>-1.626492E-3</v>
      </c>
      <c r="AH647">
        <v>2.9987834512378799</v>
      </c>
      <c r="AI647">
        <v>90.030953873030398</v>
      </c>
      <c r="AJ647">
        <v>84.912338293556402</v>
      </c>
      <c r="AK647">
        <v>3.01064527380109</v>
      </c>
      <c r="AL647">
        <v>87.259792227703102</v>
      </c>
      <c r="AM647">
        <v>89.322097314705701</v>
      </c>
      <c r="AN647">
        <v>1.0000000413049199</v>
      </c>
    </row>
    <row r="648" spans="1:40" x14ac:dyDescent="0.25">
      <c r="A648" t="str">
        <f>"20190312150647330"</f>
        <v>20190312150647330</v>
      </c>
      <c r="B648" t="str">
        <f>"1552374407321609"</f>
        <v>1552374407321609</v>
      </c>
      <c r="C648" t="s">
        <v>40</v>
      </c>
      <c r="D648">
        <v>4.3561889999999996</v>
      </c>
      <c r="E648">
        <v>0.52876069999999997</v>
      </c>
      <c r="F648" t="s">
        <v>48</v>
      </c>
      <c r="G648">
        <v>0</v>
      </c>
      <c r="H648">
        <v>0</v>
      </c>
      <c r="I648">
        <v>0</v>
      </c>
      <c r="J648">
        <v>-382.18209999999999</v>
      </c>
      <c r="K648">
        <v>1.11036</v>
      </c>
      <c r="L648">
        <v>367.512</v>
      </c>
      <c r="M648">
        <v>0.99989749999999999</v>
      </c>
      <c r="N648">
        <v>0</v>
      </c>
      <c r="O648">
        <v>1.641058E-4</v>
      </c>
      <c r="P648">
        <v>0.9993689</v>
      </c>
      <c r="Q648">
        <v>3.3590920000000003E-2</v>
      </c>
      <c r="R648">
        <v>-1.156517E-2</v>
      </c>
      <c r="S648">
        <v>2.9991150000000002</v>
      </c>
      <c r="T648">
        <v>-9.7525119999999996E-3</v>
      </c>
      <c r="U648">
        <v>-0.26672360000000001</v>
      </c>
      <c r="V648">
        <v>1.173954E-2</v>
      </c>
      <c r="W648">
        <v>4.790552E-2</v>
      </c>
      <c r="X648">
        <v>0.99878290000000003</v>
      </c>
      <c r="Y648">
        <v>8.8747489999999998E-2</v>
      </c>
      <c r="Z648">
        <v>-1.445424E-4</v>
      </c>
      <c r="AA648">
        <v>0.9960542</v>
      </c>
      <c r="AB648">
        <v>31</v>
      </c>
      <c r="AC648">
        <v>2.9991150000000002</v>
      </c>
      <c r="AD648">
        <v>-9.7525119999999996E-3</v>
      </c>
      <c r="AE648">
        <v>-0.26672360000000001</v>
      </c>
      <c r="AF648">
        <v>0.26721301563419098</v>
      </c>
      <c r="AG648">
        <v>-9.7525119999999996E-3</v>
      </c>
      <c r="AH648">
        <v>2.9990397206956798</v>
      </c>
      <c r="AI648">
        <v>90.185583056667497</v>
      </c>
      <c r="AJ648">
        <v>84.908418391237504</v>
      </c>
      <c r="AK648">
        <v>3.0109362586287101</v>
      </c>
      <c r="AL648">
        <v>87.254165001791307</v>
      </c>
      <c r="AM648">
        <v>89.3265852640113</v>
      </c>
      <c r="AN648">
        <v>1.00000001848914</v>
      </c>
    </row>
    <row r="649" spans="1:40" x14ac:dyDescent="0.25">
      <c r="A649" t="str">
        <f>"20190312150647349"</f>
        <v>20190312150647349</v>
      </c>
      <c r="B649" t="str">
        <f>"1552374407341128"</f>
        <v>1552374407341128</v>
      </c>
      <c r="C649" t="s">
        <v>40</v>
      </c>
      <c r="D649">
        <v>4.3247010000000001</v>
      </c>
      <c r="E649">
        <v>0.52825390000000005</v>
      </c>
      <c r="F649" t="s">
        <v>42</v>
      </c>
      <c r="G649">
        <v>-176.62180000000001</v>
      </c>
      <c r="H649">
        <v>7.9986909999999994E-2</v>
      </c>
      <c r="I649">
        <v>349.40780000000001</v>
      </c>
      <c r="J649">
        <v>-381.91930000000002</v>
      </c>
      <c r="K649">
        <v>1.110366</v>
      </c>
      <c r="L649">
        <v>367.51190000000003</v>
      </c>
      <c r="M649">
        <v>0.99989740000000005</v>
      </c>
      <c r="N649">
        <v>0</v>
      </c>
      <c r="O649" s="1">
        <v>9.3775529999999999E-5</v>
      </c>
      <c r="P649">
        <v>0.99935289999999999</v>
      </c>
      <c r="Q649">
        <v>3.3948399999999997E-2</v>
      </c>
      <c r="R649">
        <v>-1.18809E-2</v>
      </c>
      <c r="S649">
        <v>2.9993590000000001</v>
      </c>
      <c r="T649">
        <v>-1.503432E-2</v>
      </c>
      <c r="U649">
        <v>-0.26416020000000001</v>
      </c>
      <c r="V649">
        <v>1.198512E-2</v>
      </c>
      <c r="W649">
        <v>4.8263220000000003E-2</v>
      </c>
      <c r="X649">
        <v>0.9987627</v>
      </c>
      <c r="Y649">
        <v>8.7824929999999996E-2</v>
      </c>
      <c r="Z649">
        <v>-2.2015429999999999E-4</v>
      </c>
      <c r="AA649">
        <v>0.99613589999999996</v>
      </c>
      <c r="AB649">
        <v>31</v>
      </c>
      <c r="AC649">
        <v>205.29750000000001</v>
      </c>
      <c r="AD649">
        <v>-1.0303790900000001</v>
      </c>
      <c r="AE649">
        <v>-18.104099999999999</v>
      </c>
      <c r="AF649">
        <v>18.1229007859388</v>
      </c>
      <c r="AG649">
        <v>-1.0303790900000001</v>
      </c>
      <c r="AH649">
        <v>205.29066985041899</v>
      </c>
      <c r="AI649">
        <v>90.286458110101293</v>
      </c>
      <c r="AJ649">
        <v>84.955051455461401</v>
      </c>
      <c r="AK649">
        <v>206.09163093536799</v>
      </c>
      <c r="AL649">
        <v>87.233646395174503</v>
      </c>
      <c r="AM649">
        <v>89.312485503776301</v>
      </c>
      <c r="AN649">
        <v>0.99999995620873505</v>
      </c>
    </row>
    <row r="650" spans="1:40" x14ac:dyDescent="0.25">
      <c r="A650" t="str">
        <f>"20190312150647361"</f>
        <v>20190312150647361</v>
      </c>
      <c r="B650" t="str">
        <f>"1552374407350888"</f>
        <v>1552374407350888</v>
      </c>
      <c r="C650" t="s">
        <v>40</v>
      </c>
      <c r="D650">
        <v>4.3900629999999996</v>
      </c>
      <c r="E650">
        <v>0.52808949999999999</v>
      </c>
      <c r="F650" t="s">
        <v>42</v>
      </c>
      <c r="G650">
        <v>-243.37389999999999</v>
      </c>
      <c r="H650">
        <v>7.9985730000000005E-2</v>
      </c>
      <c r="I650">
        <v>355.43619999999999</v>
      </c>
      <c r="J650">
        <v>-381.7509</v>
      </c>
      <c r="K650">
        <v>1.1103689999999999</v>
      </c>
      <c r="L650">
        <v>367.51190000000003</v>
      </c>
      <c r="M650">
        <v>0.99989729999999999</v>
      </c>
      <c r="N650">
        <v>0</v>
      </c>
      <c r="O650" s="1">
        <v>4.8600580000000002E-5</v>
      </c>
      <c r="P650">
        <v>0.99934259999999997</v>
      </c>
      <c r="Q650">
        <v>3.420637E-2</v>
      </c>
      <c r="R650">
        <v>-1.2008919999999999E-2</v>
      </c>
      <c r="S650">
        <v>2.9995729999999998</v>
      </c>
      <c r="T650">
        <v>-2.2308229999999998E-2</v>
      </c>
      <c r="U650">
        <v>-0.26144410000000001</v>
      </c>
      <c r="V650">
        <v>1.206804E-2</v>
      </c>
      <c r="W650">
        <v>4.8521359999999999E-2</v>
      </c>
      <c r="X650">
        <v>0.99874929999999995</v>
      </c>
      <c r="Y650">
        <v>8.6877289999999996E-2</v>
      </c>
      <c r="Z650">
        <v>-3.2280429999999999E-4</v>
      </c>
      <c r="AA650">
        <v>0.99621899999999997</v>
      </c>
      <c r="AB650">
        <v>31</v>
      </c>
      <c r="AC650">
        <v>138.37700000000001</v>
      </c>
      <c r="AD650">
        <v>-1.03038327</v>
      </c>
      <c r="AE650">
        <v>-12.075699999999999</v>
      </c>
      <c r="AF650">
        <v>12.0817610572297</v>
      </c>
      <c r="AG650">
        <v>-1.03038327</v>
      </c>
      <c r="AH650">
        <v>138.36879888591699</v>
      </c>
      <c r="AI650">
        <v>90.425036314327301</v>
      </c>
      <c r="AJ650">
        <v>85.009838021550294</v>
      </c>
      <c r="AK650">
        <v>138.899082592573</v>
      </c>
      <c r="AL650">
        <v>87.218839008136001</v>
      </c>
      <c r="AM650">
        <v>89.307720054580003</v>
      </c>
      <c r="AN650">
        <v>1.00000006210808</v>
      </c>
    </row>
    <row r="651" spans="1:40" x14ac:dyDescent="0.25">
      <c r="A651" t="str">
        <f>"20190312150647373"</f>
        <v>20190312150647373</v>
      </c>
      <c r="B651" t="str">
        <f>"1552374407361625"</f>
        <v>1552374407361625</v>
      </c>
      <c r="C651" t="s">
        <v>40</v>
      </c>
      <c r="D651">
        <v>4.3720100000000004</v>
      </c>
      <c r="E651">
        <v>0.52814280000000002</v>
      </c>
      <c r="F651" t="s">
        <v>42</v>
      </c>
      <c r="G651">
        <v>-261.1533</v>
      </c>
      <c r="H651">
        <v>7.998661E-2</v>
      </c>
      <c r="I651">
        <v>357.03769999999997</v>
      </c>
      <c r="J651">
        <v>-381.59519999999998</v>
      </c>
      <c r="K651">
        <v>1.1103730000000001</v>
      </c>
      <c r="L651">
        <v>367.51190000000003</v>
      </c>
      <c r="M651">
        <v>0.99989729999999999</v>
      </c>
      <c r="N651">
        <v>0</v>
      </c>
      <c r="O651" s="1">
        <v>6.8218980000000002E-6</v>
      </c>
      <c r="P651">
        <v>0.99933000000000005</v>
      </c>
      <c r="Q651">
        <v>3.4461319999999997E-2</v>
      </c>
      <c r="R651">
        <v>-1.232132E-2</v>
      </c>
      <c r="S651">
        <v>2.999695</v>
      </c>
      <c r="T651">
        <v>-2.5629280000000001E-2</v>
      </c>
      <c r="U651">
        <v>-0.2605286</v>
      </c>
      <c r="V651">
        <v>1.233857E-2</v>
      </c>
      <c r="W651">
        <v>4.8775689999999997E-2</v>
      </c>
      <c r="X651">
        <v>0.99873350000000005</v>
      </c>
      <c r="Y651">
        <v>8.6529640000000005E-2</v>
      </c>
      <c r="Z651">
        <v>-3.690101E-4</v>
      </c>
      <c r="AA651">
        <v>0.99624919999999995</v>
      </c>
      <c r="AB651">
        <v>31</v>
      </c>
      <c r="AC651">
        <v>120.44189999999899</v>
      </c>
      <c r="AD651">
        <v>-1.0303863900000001</v>
      </c>
      <c r="AE651">
        <v>-10.4742</v>
      </c>
      <c r="AF651">
        <v>10.4742608813765</v>
      </c>
      <c r="AG651">
        <v>-1.0303863900000001</v>
      </c>
      <c r="AH651">
        <v>120.433080336568</v>
      </c>
      <c r="AI651">
        <v>90.488348771994197</v>
      </c>
      <c r="AJ651">
        <v>85.029400328766002</v>
      </c>
      <c r="AK651">
        <v>120.89209517779901</v>
      </c>
      <c r="AL651">
        <v>87.2042494025536</v>
      </c>
      <c r="AM651">
        <v>89.292191537433993</v>
      </c>
      <c r="AN651">
        <v>0.99999995613343395</v>
      </c>
    </row>
    <row r="652" spans="1:40" x14ac:dyDescent="0.25">
      <c r="A652" t="str">
        <f>"20190312150647386"</f>
        <v>20190312150647386</v>
      </c>
      <c r="B652" t="str">
        <f>"1552374407381145"</f>
        <v>1552374407381145</v>
      </c>
      <c r="C652" t="s">
        <v>40</v>
      </c>
      <c r="D652">
        <v>4.3477649999999999</v>
      </c>
      <c r="E652">
        <v>0.52792550000000005</v>
      </c>
      <c r="F652" t="s">
        <v>42</v>
      </c>
      <c r="G652">
        <v>-272.02420000000001</v>
      </c>
      <c r="H652">
        <v>7.9986299999999996E-2</v>
      </c>
      <c r="I652">
        <v>357.94310000000002</v>
      </c>
      <c r="J652">
        <v>-381.41460000000001</v>
      </c>
      <c r="K652">
        <v>1.110379</v>
      </c>
      <c r="L652">
        <v>367.51179999999999</v>
      </c>
      <c r="M652">
        <v>0.99989729999999999</v>
      </c>
      <c r="N652">
        <v>0</v>
      </c>
      <c r="O652" s="1">
        <v>-4.1751449999999998E-5</v>
      </c>
      <c r="P652">
        <v>0.99932220000000005</v>
      </c>
      <c r="Q652">
        <v>3.4560069999999998E-2</v>
      </c>
      <c r="R652">
        <v>-1.267741E-2</v>
      </c>
      <c r="S652">
        <v>2.9997250000000002</v>
      </c>
      <c r="T652">
        <v>-2.8208850000000001E-2</v>
      </c>
      <c r="U652">
        <v>-0.2619629</v>
      </c>
      <c r="V652">
        <v>1.2646289999999999E-2</v>
      </c>
      <c r="W652">
        <v>4.8874750000000002E-2</v>
      </c>
      <c r="X652">
        <v>0.99872490000000003</v>
      </c>
      <c r="Y652">
        <v>8.6952440000000006E-2</v>
      </c>
      <c r="Z652">
        <v>-4.0766480000000002E-4</v>
      </c>
      <c r="AA652">
        <v>0.9962124</v>
      </c>
      <c r="AB652">
        <v>31</v>
      </c>
      <c r="AC652">
        <v>109.3904</v>
      </c>
      <c r="AD652">
        <v>-1.0303926999999999</v>
      </c>
      <c r="AE652">
        <v>-9.5686999999999696</v>
      </c>
      <c r="AF652">
        <v>9.5632902526854195</v>
      </c>
      <c r="AG652">
        <v>-1.0303926999999999</v>
      </c>
      <c r="AH652">
        <v>109.381168276732</v>
      </c>
      <c r="AI652">
        <v>90.537670865364205</v>
      </c>
      <c r="AJ652">
        <v>85.003286423009797</v>
      </c>
      <c r="AK652">
        <v>109.803270457469</v>
      </c>
      <c r="AL652">
        <v>87.198567162251194</v>
      </c>
      <c r="AM652">
        <v>89.274534637570994</v>
      </c>
      <c r="AN652">
        <v>1.00000004785916</v>
      </c>
    </row>
    <row r="653" spans="1:40" x14ac:dyDescent="0.25">
      <c r="A653" t="str">
        <f>"20190312150647398"</f>
        <v>20190312150647398</v>
      </c>
      <c r="B653" t="str">
        <f>"1552374407390905"</f>
        <v>1552374407390905</v>
      </c>
      <c r="C653" t="s">
        <v>40</v>
      </c>
      <c r="D653">
        <v>4.2527150000000002</v>
      </c>
      <c r="E653">
        <v>0.52786840000000002</v>
      </c>
      <c r="F653" t="s">
        <v>43</v>
      </c>
      <c r="G653">
        <v>-277.63420000000002</v>
      </c>
      <c r="H653">
        <v>-0.05</v>
      </c>
      <c r="I653">
        <v>358.46949999999998</v>
      </c>
      <c r="J653">
        <v>-381.23340000000002</v>
      </c>
      <c r="K653">
        <v>1.110385</v>
      </c>
      <c r="L653">
        <v>367.51179999999999</v>
      </c>
      <c r="M653">
        <v>0.99989749999999999</v>
      </c>
      <c r="N653">
        <v>0</v>
      </c>
      <c r="O653" s="1">
        <v>-9.0087389999999993E-5</v>
      </c>
      <c r="P653">
        <v>0.99930969999999997</v>
      </c>
      <c r="Q653">
        <v>3.4821499999999998E-2</v>
      </c>
      <c r="R653">
        <v>-1.295574E-2</v>
      </c>
      <c r="S653">
        <v>2.9999389999999999</v>
      </c>
      <c r="T653">
        <v>-3.3542629999999997E-2</v>
      </c>
      <c r="U653">
        <v>-0.26138309999999998</v>
      </c>
      <c r="V653">
        <v>1.28764E-2</v>
      </c>
      <c r="W653">
        <v>4.9135270000000002E-2</v>
      </c>
      <c r="X653">
        <v>0.99870910000000002</v>
      </c>
      <c r="Y653">
        <v>8.6705499999999894E-2</v>
      </c>
      <c r="Z653">
        <v>-4.8279470000000001E-4</v>
      </c>
      <c r="AA653">
        <v>0.99623390000000001</v>
      </c>
      <c r="AB653">
        <v>31</v>
      </c>
      <c r="AC653">
        <v>103.5992</v>
      </c>
      <c r="AD653">
        <v>-1.160385</v>
      </c>
      <c r="AE653">
        <v>-9.0423000000000098</v>
      </c>
      <c r="AF653">
        <v>9.0318414932048707</v>
      </c>
      <c r="AG653">
        <v>-1.160385</v>
      </c>
      <c r="AH653">
        <v>103.587116888815</v>
      </c>
      <c r="AI653">
        <v>90.639376109462404</v>
      </c>
      <c r="AJ653">
        <v>85.016938274237106</v>
      </c>
      <c r="AK653">
        <v>103.98659259464</v>
      </c>
      <c r="AL653">
        <v>87.183622295506495</v>
      </c>
      <c r="AM653">
        <v>89.261323943289099</v>
      </c>
      <c r="AN653">
        <v>0.99999997142887098</v>
      </c>
    </row>
    <row r="654" spans="1:40" x14ac:dyDescent="0.25">
      <c r="A654" t="str">
        <f>"20190312150647415"</f>
        <v>20190312150647415</v>
      </c>
      <c r="B654" t="str">
        <f>"1552374407411401"</f>
        <v>1552374407411401</v>
      </c>
      <c r="C654" t="s">
        <v>40</v>
      </c>
      <c r="D654">
        <v>4.4787150000000002</v>
      </c>
      <c r="E654">
        <v>0.52794909999999995</v>
      </c>
      <c r="F654" t="s">
        <v>43</v>
      </c>
      <c r="G654">
        <v>-285.14060000000001</v>
      </c>
      <c r="H654">
        <v>-0.05</v>
      </c>
      <c r="I654">
        <v>359.13830000000002</v>
      </c>
      <c r="J654">
        <v>-381.00529999999998</v>
      </c>
      <c r="K654">
        <v>1.1103989999999999</v>
      </c>
      <c r="L654">
        <v>367.51170000000002</v>
      </c>
      <c r="M654">
        <v>0.99989740000000005</v>
      </c>
      <c r="N654">
        <v>0</v>
      </c>
      <c r="O654">
        <v>-1.513512E-4</v>
      </c>
      <c r="P654">
        <v>0.99924800000000003</v>
      </c>
      <c r="Q654">
        <v>3.6417190000000002E-2</v>
      </c>
      <c r="R654">
        <v>-1.3316120000000001E-2</v>
      </c>
      <c r="S654">
        <v>2.9999389999999999</v>
      </c>
      <c r="T654">
        <v>-3.6226269999999998E-2</v>
      </c>
      <c r="U654">
        <v>-0.26141360000000002</v>
      </c>
      <c r="V654">
        <v>1.317596E-2</v>
      </c>
      <c r="W654">
        <v>5.0729730000000001E-2</v>
      </c>
      <c r="X654">
        <v>0.99862550000000005</v>
      </c>
      <c r="Y654">
        <v>8.6653620000000001E-2</v>
      </c>
      <c r="Z654">
        <v>-5.2036759999999997E-4</v>
      </c>
      <c r="AA654">
        <v>0.99623839999999997</v>
      </c>
      <c r="AB654">
        <v>31</v>
      </c>
      <c r="AC654">
        <v>95.8646999999999</v>
      </c>
      <c r="AD654">
        <v>-1.160399</v>
      </c>
      <c r="AE654">
        <v>-8.3734000000000002</v>
      </c>
      <c r="AF654">
        <v>8.3576738825898005</v>
      </c>
      <c r="AG654">
        <v>-1.160399</v>
      </c>
      <c r="AH654">
        <v>95.852028442427397</v>
      </c>
      <c r="AI654">
        <v>90.690975983138799</v>
      </c>
      <c r="AJ654">
        <v>85.016783567070405</v>
      </c>
      <c r="AK654">
        <v>96.222703116753195</v>
      </c>
      <c r="AL654">
        <v>87.092152438563602</v>
      </c>
      <c r="AM654">
        <v>89.244077888385206</v>
      </c>
      <c r="AN654">
        <v>1.0000000003390199</v>
      </c>
    </row>
    <row r="655" spans="1:40" x14ac:dyDescent="0.25">
      <c r="A655" t="str">
        <f>"20190312150647427"</f>
        <v>20190312150647427</v>
      </c>
      <c r="B655" t="str">
        <f>"1552374407421161"</f>
        <v>1552374407421161</v>
      </c>
      <c r="C655" t="s">
        <v>40</v>
      </c>
      <c r="D655">
        <v>4.467409</v>
      </c>
      <c r="E655">
        <v>0.52808650000000001</v>
      </c>
      <c r="F655" t="s">
        <v>43</v>
      </c>
      <c r="G655">
        <v>-274.14510000000001</v>
      </c>
      <c r="H655">
        <v>-0.05</v>
      </c>
      <c r="I655">
        <v>358.12259999999998</v>
      </c>
      <c r="J655">
        <v>-380.83479999999997</v>
      </c>
      <c r="K655">
        <v>1.1104039999999999</v>
      </c>
      <c r="L655">
        <v>367.51170000000002</v>
      </c>
      <c r="M655">
        <v>0.99989749999999999</v>
      </c>
      <c r="N655">
        <v>0</v>
      </c>
      <c r="O655">
        <v>-1.97476E-4</v>
      </c>
      <c r="P655">
        <v>0.99921570000000004</v>
      </c>
      <c r="Q655">
        <v>3.7256890000000001E-2</v>
      </c>
      <c r="R655">
        <v>-1.3423630000000001E-2</v>
      </c>
      <c r="S655">
        <v>2.999908</v>
      </c>
      <c r="T655">
        <v>-3.257608E-2</v>
      </c>
      <c r="U655">
        <v>-0.26358029999999999</v>
      </c>
      <c r="V655">
        <v>1.3237479999999999E-2</v>
      </c>
      <c r="W655">
        <v>5.1568339999999997E-2</v>
      </c>
      <c r="X655">
        <v>0.99858170000000002</v>
      </c>
      <c r="Y655">
        <v>8.7323769999999995E-2</v>
      </c>
      <c r="Z655">
        <v>-4.7105969999999999E-4</v>
      </c>
      <c r="AA655">
        <v>0.99617990000000001</v>
      </c>
      <c r="AB655">
        <v>31</v>
      </c>
      <c r="AC655">
        <v>106.68969999999899</v>
      </c>
      <c r="AD655">
        <v>-1.160404</v>
      </c>
      <c r="AE655">
        <v>-9.38910000000004</v>
      </c>
      <c r="AF655">
        <v>9.3669294391741396</v>
      </c>
      <c r="AG655">
        <v>-1.160404</v>
      </c>
      <c r="AH655">
        <v>106.679029415448</v>
      </c>
      <c r="AI655">
        <v>90.620823405482895</v>
      </c>
      <c r="AJ655">
        <v>84.982025546700896</v>
      </c>
      <c r="AK655">
        <v>107.095757252954</v>
      </c>
      <c r="AL655">
        <v>87.044040551207601</v>
      </c>
      <c r="AM655">
        <v>89.240515510396506</v>
      </c>
      <c r="AN655">
        <v>0.999999968070997</v>
      </c>
    </row>
    <row r="656" spans="1:40" x14ac:dyDescent="0.25">
      <c r="A656" t="str">
        <f>"20190312150647439"</f>
        <v>20190312150647439</v>
      </c>
      <c r="B656" t="str">
        <f>"1552374407430921"</f>
        <v>1552374407430921</v>
      </c>
      <c r="C656" t="s">
        <v>40</v>
      </c>
      <c r="D656">
        <v>4.5182440000000001</v>
      </c>
      <c r="E656">
        <v>0.52818659999999995</v>
      </c>
      <c r="F656" t="s">
        <v>42</v>
      </c>
      <c r="G656">
        <v>-279.89030000000002</v>
      </c>
      <c r="H656">
        <v>7.9985420000000002E-2</v>
      </c>
      <c r="I656">
        <v>358.59300000000002</v>
      </c>
      <c r="J656">
        <v>-380.65899999999999</v>
      </c>
      <c r="K656">
        <v>1.1104130000000001</v>
      </c>
      <c r="L656">
        <v>367.51150000000001</v>
      </c>
      <c r="M656">
        <v>0.99989729999999999</v>
      </c>
      <c r="N656">
        <v>0</v>
      </c>
      <c r="O656">
        <v>-2.4431639999999998E-4</v>
      </c>
      <c r="P656">
        <v>0.99917080000000003</v>
      </c>
      <c r="Q656">
        <v>3.8421030000000002E-2</v>
      </c>
      <c r="R656">
        <v>-1.348094E-2</v>
      </c>
      <c r="S656">
        <v>2.999908</v>
      </c>
      <c r="T656">
        <v>-3.0622360000000001E-2</v>
      </c>
      <c r="U656">
        <v>-0.26504519999999998</v>
      </c>
      <c r="V656">
        <v>1.324786E-2</v>
      </c>
      <c r="W656">
        <v>5.2731189999999997E-2</v>
      </c>
      <c r="X656">
        <v>0.99852090000000004</v>
      </c>
      <c r="Y656">
        <v>8.7760350000000001E-2</v>
      </c>
      <c r="Z656">
        <v>-4.4454720000000001E-4</v>
      </c>
      <c r="AA656">
        <v>0.99614150000000001</v>
      </c>
      <c r="AB656">
        <v>31</v>
      </c>
      <c r="AC656">
        <v>100.768699999999</v>
      </c>
      <c r="AD656">
        <v>-1.03042757999999</v>
      </c>
      <c r="AE656">
        <v>-8.9184999999999892</v>
      </c>
      <c r="AF656">
        <v>8.8929551010094805</v>
      </c>
      <c r="AG656">
        <v>-1.03042757999999</v>
      </c>
      <c r="AH656">
        <v>100.760422090993</v>
      </c>
      <c r="AI656">
        <v>90.583646898061701</v>
      </c>
      <c r="AJ656">
        <v>84.956234465256401</v>
      </c>
      <c r="AK656">
        <v>101.15734818282399</v>
      </c>
      <c r="AL656">
        <v>86.977323569755796</v>
      </c>
      <c r="AM656">
        <v>89.239873764338597</v>
      </c>
      <c r="AN656">
        <v>1.0000000359651</v>
      </c>
    </row>
    <row r="657" spans="1:40" x14ac:dyDescent="0.25">
      <c r="A657" t="str">
        <f>"20190312150647453"</f>
        <v>20190312150647453</v>
      </c>
      <c r="B657" t="str">
        <f>"1552374407441657"</f>
        <v>1552374407441657</v>
      </c>
      <c r="C657" t="s">
        <v>40</v>
      </c>
      <c r="D657">
        <v>4.2961919999999996</v>
      </c>
      <c r="E657">
        <v>0.52819559999999999</v>
      </c>
      <c r="F657" t="s">
        <v>42</v>
      </c>
      <c r="G657">
        <v>-258.31130000000002</v>
      </c>
      <c r="H657">
        <v>7.9985979999999998E-2</v>
      </c>
      <c r="I657">
        <v>356.66579999999999</v>
      </c>
      <c r="J657">
        <v>-380.48570000000001</v>
      </c>
      <c r="K657">
        <v>1.110417</v>
      </c>
      <c r="L657">
        <v>367.51139999999998</v>
      </c>
      <c r="M657">
        <v>0.99989729999999999</v>
      </c>
      <c r="N657">
        <v>0</v>
      </c>
      <c r="O657">
        <v>-2.906777E-4</v>
      </c>
      <c r="P657">
        <v>0.99912449999999997</v>
      </c>
      <c r="Q657">
        <v>3.9529269999999998E-2</v>
      </c>
      <c r="R657">
        <v>-1.369037E-2</v>
      </c>
      <c r="S657">
        <v>2.9998779999999998</v>
      </c>
      <c r="T657">
        <v>-2.5265340000000001E-2</v>
      </c>
      <c r="U657">
        <v>-0.26593020000000001</v>
      </c>
      <c r="V657">
        <v>1.3411370000000001E-2</v>
      </c>
      <c r="W657">
        <v>5.3837309999999999E-2</v>
      </c>
      <c r="X657">
        <v>0.9984596</v>
      </c>
      <c r="Y657">
        <v>8.8008069999999994E-2</v>
      </c>
      <c r="Z657">
        <v>-3.6743209999999998E-4</v>
      </c>
      <c r="AA657">
        <v>0.99611970000000005</v>
      </c>
      <c r="AB657">
        <v>31</v>
      </c>
      <c r="AC657">
        <v>122.17440000000001</v>
      </c>
      <c r="AD657">
        <v>-1.03043102</v>
      </c>
      <c r="AE657">
        <v>-10.8455999999999</v>
      </c>
      <c r="AF657">
        <v>10.809319623475799</v>
      </c>
      <c r="AG657">
        <v>-1.03043102</v>
      </c>
      <c r="AH657">
        <v>122.168925314985</v>
      </c>
      <c r="AI657">
        <v>90.481368070703994</v>
      </c>
      <c r="AJ657">
        <v>84.943723896254795</v>
      </c>
      <c r="AK657">
        <v>122.65051769735</v>
      </c>
      <c r="AL657">
        <v>86.913857124760696</v>
      </c>
      <c r="AM657">
        <v>89.230445887892898</v>
      </c>
      <c r="AN657">
        <v>0.99999994681273496</v>
      </c>
    </row>
    <row r="658" spans="1:40" x14ac:dyDescent="0.25">
      <c r="A658" t="str">
        <f>"20190312150647470"</f>
        <v>20190312150647470</v>
      </c>
      <c r="B658" t="str">
        <f>"1552374407461177"</f>
        <v>1552374407461177</v>
      </c>
      <c r="C658" t="s">
        <v>40</v>
      </c>
      <c r="D658">
        <v>4.511088</v>
      </c>
      <c r="E658">
        <v>0.52834919999999996</v>
      </c>
      <c r="F658" t="s">
        <v>43</v>
      </c>
      <c r="G658">
        <v>-195.89330000000001</v>
      </c>
      <c r="H658">
        <v>-0.05</v>
      </c>
      <c r="I658">
        <v>351.09460000000001</v>
      </c>
      <c r="J658">
        <v>-380.2346</v>
      </c>
      <c r="K658">
        <v>1.1104309999999999</v>
      </c>
      <c r="L658">
        <v>367.51130000000001</v>
      </c>
      <c r="M658">
        <v>0.99989729999999999</v>
      </c>
      <c r="N658">
        <v>0</v>
      </c>
      <c r="O658">
        <v>-3.5777150000000001E-4</v>
      </c>
      <c r="P658">
        <v>0.99907159999999995</v>
      </c>
      <c r="Q658">
        <v>4.0911370000000002E-2</v>
      </c>
      <c r="R658">
        <v>-1.3511E-2</v>
      </c>
      <c r="S658">
        <v>2.9997560000000001</v>
      </c>
      <c r="T658">
        <v>-1.8857599999999999E-2</v>
      </c>
      <c r="U658">
        <v>-0.26678469999999999</v>
      </c>
      <c r="V658">
        <v>1.3165059999999999E-2</v>
      </c>
      <c r="W658">
        <v>5.521761E-2</v>
      </c>
      <c r="X658">
        <v>0.99838760000000004</v>
      </c>
      <c r="Y658">
        <v>8.8227699999999895E-2</v>
      </c>
      <c r="Z658">
        <v>-2.7452249999999998E-4</v>
      </c>
      <c r="AA658">
        <v>0.99610030000000005</v>
      </c>
      <c r="AB658">
        <v>31</v>
      </c>
      <c r="AC658">
        <v>184.34129999999999</v>
      </c>
      <c r="AD658">
        <v>-1.160431</v>
      </c>
      <c r="AE658">
        <v>-16.416699999999899</v>
      </c>
      <c r="AF658">
        <v>16.350097305535201</v>
      </c>
      <c r="AG658">
        <v>-1.160431</v>
      </c>
      <c r="AH658">
        <v>184.33991483475799</v>
      </c>
      <c r="AI658">
        <v>90.359265319154801</v>
      </c>
      <c r="AJ658">
        <v>84.931393113526696</v>
      </c>
      <c r="AK658">
        <v>185.06722152583399</v>
      </c>
      <c r="AL658">
        <v>86.8346542487036</v>
      </c>
      <c r="AM658">
        <v>89.244523208758594</v>
      </c>
      <c r="AN658">
        <v>1.0000000515463301</v>
      </c>
    </row>
    <row r="659" spans="1:40" x14ac:dyDescent="0.25">
      <c r="A659" t="str">
        <f>"20190312150647482"</f>
        <v>20190312150647482</v>
      </c>
      <c r="B659" t="str">
        <f>"1552374407470937"</f>
        <v>1552374407470937</v>
      </c>
      <c r="C659" t="s">
        <v>40</v>
      </c>
      <c r="D659">
        <v>4.539237</v>
      </c>
      <c r="E659">
        <v>0.52845730000000002</v>
      </c>
      <c r="F659" t="s">
        <v>49</v>
      </c>
      <c r="G659">
        <v>-180</v>
      </c>
      <c r="H659">
        <v>2.661883E-2</v>
      </c>
      <c r="I659">
        <v>349.65890000000002</v>
      </c>
      <c r="J659">
        <v>-380.07159999999999</v>
      </c>
      <c r="K659">
        <v>1.11043799999999</v>
      </c>
      <c r="L659">
        <v>367.51119999999997</v>
      </c>
      <c r="M659">
        <v>0.99989740000000005</v>
      </c>
      <c r="N659">
        <v>0</v>
      </c>
      <c r="O659">
        <v>-4.0150389999999998E-4</v>
      </c>
      <c r="P659">
        <v>0.99903960000000003</v>
      </c>
      <c r="Q659">
        <v>4.1821459999999998E-2</v>
      </c>
      <c r="R659">
        <v>-1.3072540000000001E-2</v>
      </c>
      <c r="S659">
        <v>2.9998170000000002</v>
      </c>
      <c r="T659">
        <v>-1.6237140000000001E-2</v>
      </c>
      <c r="U659">
        <v>-0.26745609999999997</v>
      </c>
      <c r="V659">
        <v>1.268323E-2</v>
      </c>
      <c r="W659">
        <v>5.6126479999999999E-2</v>
      </c>
      <c r="X659">
        <v>0.99834310000000004</v>
      </c>
      <c r="Y659">
        <v>8.8403960000000004E-2</v>
      </c>
      <c r="Z659">
        <v>-2.366081E-4</v>
      </c>
      <c r="AA659">
        <v>0.99608470000000005</v>
      </c>
      <c r="AB659">
        <v>31</v>
      </c>
      <c r="AC659">
        <v>200.07159999999999</v>
      </c>
      <c r="AD659">
        <v>-1.08381916999999</v>
      </c>
      <c r="AE659">
        <v>-17.8522999999999</v>
      </c>
      <c r="AF659">
        <v>17.771443402953199</v>
      </c>
      <c r="AG659">
        <v>-1.08381916999999</v>
      </c>
      <c r="AH659">
        <v>200.07292749353101</v>
      </c>
      <c r="AI659">
        <v>90.309157924604804</v>
      </c>
      <c r="AJ659">
        <v>84.924033796852797</v>
      </c>
      <c r="AK659">
        <v>200.86357355292</v>
      </c>
      <c r="AL659">
        <v>86.782498767393704</v>
      </c>
      <c r="AM659">
        <v>89.272137547233996</v>
      </c>
      <c r="AN659">
        <v>0.99999999569901599</v>
      </c>
    </row>
    <row r="660" spans="1:40" x14ac:dyDescent="0.25">
      <c r="A660" t="str">
        <f>"20190312150647493"</f>
        <v>20190312150647493</v>
      </c>
      <c r="B660" t="str">
        <f>"1552374407491432"</f>
        <v>1552374407491432</v>
      </c>
      <c r="C660" t="s">
        <v>40</v>
      </c>
      <c r="D660">
        <v>4.41181</v>
      </c>
      <c r="E660">
        <v>0.52830759999999999</v>
      </c>
      <c r="F660" t="s">
        <v>49</v>
      </c>
      <c r="G660">
        <v>-180</v>
      </c>
      <c r="H660">
        <v>3.7316750000000003E-2</v>
      </c>
      <c r="I660">
        <v>349.6848</v>
      </c>
      <c r="J660">
        <v>-379.92529999999999</v>
      </c>
      <c r="K660">
        <v>1.1104419999999999</v>
      </c>
      <c r="L660">
        <v>367.5111</v>
      </c>
      <c r="M660">
        <v>0.99989720000000004</v>
      </c>
      <c r="N660">
        <v>0</v>
      </c>
      <c r="O660">
        <v>-4.3999700000000002E-4</v>
      </c>
      <c r="P660">
        <v>0.99900420000000001</v>
      </c>
      <c r="Q660">
        <v>4.2839839999999997E-2</v>
      </c>
      <c r="R660">
        <v>-1.245544E-2</v>
      </c>
      <c r="S660">
        <v>3.0000309999999999</v>
      </c>
      <c r="T660">
        <v>-1.6091230000000002E-2</v>
      </c>
      <c r="U660">
        <v>-0.26730350000000003</v>
      </c>
      <c r="V660">
        <v>1.202787E-2</v>
      </c>
      <c r="W660">
        <v>5.7143359999999997E-2</v>
      </c>
      <c r="X660">
        <v>0.99829349999999994</v>
      </c>
      <c r="Y660">
        <v>8.8309109999999996E-2</v>
      </c>
      <c r="Z660">
        <v>-2.3400579999999999E-4</v>
      </c>
      <c r="AA660">
        <v>0.99609309999999995</v>
      </c>
      <c r="AB660">
        <v>31</v>
      </c>
      <c r="AC660">
        <v>199.92529999999999</v>
      </c>
      <c r="AD660">
        <v>-1.0731252499999999</v>
      </c>
      <c r="AE660">
        <v>-17.8263</v>
      </c>
      <c r="AF660">
        <v>17.737815685067499</v>
      </c>
      <c r="AG660">
        <v>-1.0731252499999999</v>
      </c>
      <c r="AH660">
        <v>199.92741020092001</v>
      </c>
      <c r="AI660">
        <v>90.306333147158497</v>
      </c>
      <c r="AJ660">
        <v>84.929920295378807</v>
      </c>
      <c r="AK660">
        <v>200.71559743260201</v>
      </c>
      <c r="AL660">
        <v>86.724142091911204</v>
      </c>
      <c r="AM660">
        <v>89.309709174832804</v>
      </c>
      <c r="AN660">
        <v>0.99999997269553698</v>
      </c>
    </row>
    <row r="661" spans="1:40" x14ac:dyDescent="0.25">
      <c r="A661" t="str">
        <f>"20190312150647504"</f>
        <v>20190312150647504</v>
      </c>
      <c r="B661" t="str">
        <f>"1552374407501193"</f>
        <v>1552374407501193</v>
      </c>
      <c r="C661" t="s">
        <v>40</v>
      </c>
      <c r="D661">
        <v>4.6336529999999998</v>
      </c>
      <c r="E661">
        <v>0.52829700000000002</v>
      </c>
      <c r="F661" t="s">
        <v>48</v>
      </c>
      <c r="G661">
        <v>0</v>
      </c>
      <c r="H661">
        <v>0</v>
      </c>
      <c r="I661">
        <v>0</v>
      </c>
      <c r="J661">
        <v>-379.77030000000002</v>
      </c>
      <c r="K661">
        <v>1.1104459999999901</v>
      </c>
      <c r="L661">
        <v>367.51100000000002</v>
      </c>
      <c r="M661">
        <v>0.99989740000000005</v>
      </c>
      <c r="N661">
        <v>0</v>
      </c>
      <c r="O661">
        <v>-4.8087459999999999E-4</v>
      </c>
      <c r="P661">
        <v>0.99895069999999997</v>
      </c>
      <c r="Q661">
        <v>4.4186490000000002E-2</v>
      </c>
      <c r="R661">
        <v>-1.205702E-2</v>
      </c>
      <c r="S661">
        <v>3.0001530000000001</v>
      </c>
      <c r="T661">
        <v>-9.8242759999999998E-3</v>
      </c>
      <c r="U661">
        <v>-0.26437379999999999</v>
      </c>
      <c r="V661">
        <v>1.1588849999999999E-2</v>
      </c>
      <c r="W661">
        <v>5.8488180000000001E-2</v>
      </c>
      <c r="X661">
        <v>0.99822089999999997</v>
      </c>
      <c r="Y661">
        <v>8.7300429999999998E-2</v>
      </c>
      <c r="Z661">
        <v>-1.410881E-4</v>
      </c>
      <c r="AA661">
        <v>0.99618200000000001</v>
      </c>
      <c r="AB661">
        <v>31</v>
      </c>
      <c r="AC661">
        <v>3.0001530000000001</v>
      </c>
      <c r="AD661">
        <v>-9.8242759999999998E-3</v>
      </c>
      <c r="AE661">
        <v>-0.26437379999999999</v>
      </c>
      <c r="AF661">
        <v>0.26292812654269698</v>
      </c>
      <c r="AG661">
        <v>-9.8242759999999998E-3</v>
      </c>
      <c r="AH661">
        <v>3.0002478731083499</v>
      </c>
      <c r="AI661">
        <v>90.186897372654002</v>
      </c>
      <c r="AJ661">
        <v>84.991652721506995</v>
      </c>
      <c r="AK661">
        <v>3.0117627755547698</v>
      </c>
      <c r="AL661">
        <v>86.646960785947201</v>
      </c>
      <c r="AM661">
        <v>89.334854273503097</v>
      </c>
      <c r="AN661">
        <v>1.0000000669204201</v>
      </c>
    </row>
    <row r="662" spans="1:40" x14ac:dyDescent="0.25">
      <c r="A662" t="str">
        <f>"20190312150647516"</f>
        <v>20190312150647516</v>
      </c>
      <c r="B662" t="str">
        <f>"1552374407510953"</f>
        <v>1552374407510953</v>
      </c>
      <c r="C662" t="s">
        <v>40</v>
      </c>
      <c r="D662">
        <v>4.6091480000000002</v>
      </c>
      <c r="E662">
        <v>0.52823330000000002</v>
      </c>
      <c r="F662" t="s">
        <v>48</v>
      </c>
      <c r="G662">
        <v>0</v>
      </c>
      <c r="H662">
        <v>0</v>
      </c>
      <c r="I662">
        <v>0</v>
      </c>
      <c r="J662">
        <v>-379.60939999999999</v>
      </c>
      <c r="K662">
        <v>1.1104499999999999</v>
      </c>
      <c r="L662">
        <v>367.51089999999999</v>
      </c>
      <c r="M662">
        <v>0.99989740000000005</v>
      </c>
      <c r="N662">
        <v>0</v>
      </c>
      <c r="O662">
        <v>-5.2329860000000005E-4</v>
      </c>
      <c r="P662">
        <v>0.99891229999999998</v>
      </c>
      <c r="Q662">
        <v>4.5177929999999998E-2</v>
      </c>
      <c r="R662">
        <v>-1.1552929999999999E-2</v>
      </c>
      <c r="S662">
        <v>3.0000610000000001</v>
      </c>
      <c r="T662">
        <v>-3.2219890000000002E-3</v>
      </c>
      <c r="U662">
        <v>-0.26281739999999998</v>
      </c>
      <c r="V662">
        <v>1.104247E-2</v>
      </c>
      <c r="W662">
        <v>5.947827E-2</v>
      </c>
      <c r="X662">
        <v>0.99816850000000001</v>
      </c>
      <c r="Y662">
        <v>8.6748370000000005E-2</v>
      </c>
      <c r="Z662" s="1">
        <v>-4.5932729999999997E-5</v>
      </c>
      <c r="AA662">
        <v>0.99623019999999995</v>
      </c>
      <c r="AB662">
        <v>31</v>
      </c>
      <c r="AC662">
        <v>3.0000610000000001</v>
      </c>
      <c r="AD662">
        <v>-3.2219890000000002E-3</v>
      </c>
      <c r="AE662">
        <v>-0.26281739999999998</v>
      </c>
      <c r="AF662">
        <v>0.261246976377283</v>
      </c>
      <c r="AG662">
        <v>-3.2219890000000002E-3</v>
      </c>
      <c r="AH662">
        <v>3.0001947010830601</v>
      </c>
      <c r="AI662">
        <v>90.061299482109902</v>
      </c>
      <c r="AJ662">
        <v>85.023426780630999</v>
      </c>
      <c r="AK662">
        <v>3.0115492040287601</v>
      </c>
      <c r="AL662">
        <v>86.590133566897904</v>
      </c>
      <c r="AM662">
        <v>89.366178037037599</v>
      </c>
      <c r="AN662">
        <v>0.999999977569071</v>
      </c>
    </row>
    <row r="663" spans="1:40" x14ac:dyDescent="0.25">
      <c r="A663" t="str">
        <f>"20190312150647530"</f>
        <v>20190312150647530</v>
      </c>
      <c r="B663" t="str">
        <f>"1552374407520713"</f>
        <v>1552374407520713</v>
      </c>
      <c r="C663" t="s">
        <v>40</v>
      </c>
      <c r="D663">
        <v>4.3234069999999996</v>
      </c>
      <c r="E663">
        <v>0.52819700000000003</v>
      </c>
      <c r="F663" t="s">
        <v>48</v>
      </c>
      <c r="G663">
        <v>0</v>
      </c>
      <c r="H663">
        <v>0</v>
      </c>
      <c r="I663">
        <v>0</v>
      </c>
      <c r="J663">
        <v>-379.4205</v>
      </c>
      <c r="K663">
        <v>1.1104540000000001</v>
      </c>
      <c r="L663">
        <v>367.51069999999999</v>
      </c>
      <c r="M663">
        <v>0.99989740000000005</v>
      </c>
      <c r="N663">
        <v>0</v>
      </c>
      <c r="O663">
        <v>-5.7322919999999895E-4</v>
      </c>
      <c r="P663">
        <v>0.99887570000000003</v>
      </c>
      <c r="Q663">
        <v>4.6044990000000001E-2</v>
      </c>
      <c r="R663">
        <v>-1.1281019999999999E-2</v>
      </c>
      <c r="S663">
        <v>3.0001530000000001</v>
      </c>
      <c r="T663">
        <v>1.890898E-3</v>
      </c>
      <c r="U663">
        <v>-0.26104739999999999</v>
      </c>
      <c r="V663">
        <v>1.072098E-2</v>
      </c>
      <c r="W663">
        <v>6.034312E-2</v>
      </c>
      <c r="X663">
        <v>0.99812009999999995</v>
      </c>
      <c r="Y663">
        <v>8.6112659999999994E-2</v>
      </c>
      <c r="Z663" s="1">
        <v>2.6725180000000002E-5</v>
      </c>
      <c r="AA663">
        <v>0.99628539999999999</v>
      </c>
      <c r="AB663">
        <v>31</v>
      </c>
      <c r="AC663">
        <v>3.0001530000000001</v>
      </c>
      <c r="AD663">
        <v>1.890898E-3</v>
      </c>
      <c r="AE663">
        <v>-0.26104739999999999</v>
      </c>
      <c r="AF663">
        <v>0.25932730337345</v>
      </c>
      <c r="AG663">
        <v>1.890898E-3</v>
      </c>
      <c r="AH663">
        <v>3.0003009794343201</v>
      </c>
      <c r="AI663">
        <v>89.964024269496804</v>
      </c>
      <c r="AJ663">
        <v>85.059987708204304</v>
      </c>
      <c r="AK663">
        <v>3.0114880363309999</v>
      </c>
      <c r="AL663">
        <v>86.540492158508897</v>
      </c>
      <c r="AM663">
        <v>89.384599824558293</v>
      </c>
      <c r="AN663">
        <v>0.99999998278375202</v>
      </c>
    </row>
    <row r="664" spans="1:40" x14ac:dyDescent="0.25">
      <c r="A664" t="str">
        <f>"20190312150647550"</f>
        <v>20190312150647550</v>
      </c>
      <c r="B664" t="str">
        <f>"1552374407541209"</f>
        <v>1552374407541209</v>
      </c>
      <c r="C664" t="s">
        <v>40</v>
      </c>
      <c r="D664">
        <v>4.4515330000000004</v>
      </c>
      <c r="E664">
        <v>0.52808730000000004</v>
      </c>
      <c r="F664" t="s">
        <v>48</v>
      </c>
      <c r="G664">
        <v>0</v>
      </c>
      <c r="H664">
        <v>0</v>
      </c>
      <c r="I664">
        <v>0</v>
      </c>
      <c r="J664">
        <v>-379.14</v>
      </c>
      <c r="K664">
        <v>1.1104499999999999</v>
      </c>
      <c r="L664">
        <v>367.51049999999998</v>
      </c>
      <c r="M664">
        <v>0.99989720000000004</v>
      </c>
      <c r="N664">
        <v>0</v>
      </c>
      <c r="O664">
        <v>-6.4674929999999995E-4</v>
      </c>
      <c r="P664">
        <v>0.9988996</v>
      </c>
      <c r="Q664">
        <v>4.5697019999999998E-2</v>
      </c>
      <c r="R664">
        <v>-1.054798E-2</v>
      </c>
      <c r="S664">
        <v>3.0001829999999998</v>
      </c>
      <c r="T664">
        <v>6.3245300000000001E-3</v>
      </c>
      <c r="U664">
        <v>-0.25964359999999997</v>
      </c>
      <c r="V664">
        <v>9.9143919999999993E-3</v>
      </c>
      <c r="W664">
        <v>5.9993770000000002E-2</v>
      </c>
      <c r="X664">
        <v>0.99814950000000002</v>
      </c>
      <c r="Y664">
        <v>8.5575680000000001E-2</v>
      </c>
      <c r="Z664" s="1">
        <v>8.8669479999999994E-5</v>
      </c>
      <c r="AA664">
        <v>0.99633170000000004</v>
      </c>
      <c r="AB664">
        <v>31</v>
      </c>
      <c r="AC664">
        <v>3.0001829999999998</v>
      </c>
      <c r="AD664">
        <v>6.3245300000000001E-3</v>
      </c>
      <c r="AE664">
        <v>-0.25964359999999997</v>
      </c>
      <c r="AF664">
        <v>0.25770184366769699</v>
      </c>
      <c r="AG664">
        <v>6.3245300000000001E-3</v>
      </c>
      <c r="AH664">
        <v>3.0003370799711901</v>
      </c>
      <c r="AI664">
        <v>89.879667170032803</v>
      </c>
      <c r="AJ664">
        <v>85.090858615974994</v>
      </c>
      <c r="AK664">
        <v>3.0113905149215499</v>
      </c>
      <c r="AL664">
        <v>86.560544781095999</v>
      </c>
      <c r="AM664">
        <v>89.430912766288202</v>
      </c>
      <c r="AN664">
        <v>0.99999998597889606</v>
      </c>
    </row>
    <row r="665" spans="1:40" x14ac:dyDescent="0.25">
      <c r="A665" t="str">
        <f>"20190312150647562"</f>
        <v>20190312150647562</v>
      </c>
      <c r="B665" t="str">
        <f>"1552374407550969"</f>
        <v>1552374407550969</v>
      </c>
      <c r="C665" t="s">
        <v>40</v>
      </c>
      <c r="D665">
        <v>4.6007680000000004</v>
      </c>
      <c r="E665">
        <v>0.52805230000000003</v>
      </c>
      <c r="F665" t="s">
        <v>48</v>
      </c>
      <c r="G665">
        <v>0</v>
      </c>
      <c r="H665">
        <v>0</v>
      </c>
      <c r="I665">
        <v>0</v>
      </c>
      <c r="J665">
        <v>-378.96159999999998</v>
      </c>
      <c r="K665">
        <v>1.1104449999999999</v>
      </c>
      <c r="L665">
        <v>367.51029999999997</v>
      </c>
      <c r="M665">
        <v>0.99989740000000005</v>
      </c>
      <c r="N665">
        <v>0</v>
      </c>
      <c r="O665">
        <v>-6.9274080000000001E-4</v>
      </c>
      <c r="P665">
        <v>0.99893639999999995</v>
      </c>
      <c r="Q665">
        <v>4.4931510000000001E-2</v>
      </c>
      <c r="R665">
        <v>-1.037866E-2</v>
      </c>
      <c r="S665">
        <v>3.0003660000000001</v>
      </c>
      <c r="T665">
        <v>5.2257780000000004E-3</v>
      </c>
      <c r="U665">
        <v>-0.25628659999999998</v>
      </c>
      <c r="V665">
        <v>9.6987500000000008E-3</v>
      </c>
      <c r="W665">
        <v>5.9227429999999998E-2</v>
      </c>
      <c r="X665">
        <v>0.99819740000000001</v>
      </c>
      <c r="Y665">
        <v>8.4418099999999996E-2</v>
      </c>
      <c r="Z665" s="1">
        <v>7.2177910000000006E-5</v>
      </c>
      <c r="AA665">
        <v>0.99643040000000005</v>
      </c>
      <c r="AB665">
        <v>31</v>
      </c>
      <c r="AC665">
        <v>3.0003660000000001</v>
      </c>
      <c r="AD665">
        <v>5.2257780000000004E-3</v>
      </c>
      <c r="AE665">
        <v>-0.25628659999999998</v>
      </c>
      <c r="AF665">
        <v>0.25420708420683003</v>
      </c>
      <c r="AG665">
        <v>5.2257780000000004E-3</v>
      </c>
      <c r="AH665">
        <v>3.0005338019042398</v>
      </c>
      <c r="AI665">
        <v>89.900569046654994</v>
      </c>
      <c r="AJ665">
        <v>85.157429923649801</v>
      </c>
      <c r="AK665">
        <v>3.0112873736637198</v>
      </c>
      <c r="AL665">
        <v>86.604531104704193</v>
      </c>
      <c r="AM665">
        <v>89.443316566920402</v>
      </c>
      <c r="AN665">
        <v>1.0000000017913599</v>
      </c>
    </row>
    <row r="666" spans="1:40" x14ac:dyDescent="0.25">
      <c r="A666" t="str">
        <f>"20190312150647574"</f>
        <v>20190312150647574</v>
      </c>
      <c r="B666" t="str">
        <f>"1552374407571465"</f>
        <v>1552374407571465</v>
      </c>
      <c r="C666" t="s">
        <v>40</v>
      </c>
      <c r="D666">
        <v>4.3260249999999996</v>
      </c>
      <c r="E666">
        <v>0.52806929999999996</v>
      </c>
      <c r="F666" t="s">
        <v>48</v>
      </c>
      <c r="G666">
        <v>0</v>
      </c>
      <c r="H666">
        <v>0</v>
      </c>
      <c r="I666">
        <v>0</v>
      </c>
      <c r="J666">
        <v>-378.81369999999998</v>
      </c>
      <c r="K666">
        <v>1.1104430000000001</v>
      </c>
      <c r="L666">
        <v>367.5102</v>
      </c>
      <c r="M666">
        <v>0.99989720000000004</v>
      </c>
      <c r="N666">
        <v>0</v>
      </c>
      <c r="O666">
        <v>-7.3002949999999896E-4</v>
      </c>
      <c r="P666">
        <v>0.99896940000000001</v>
      </c>
      <c r="Q666">
        <v>4.4228139999999999E-2</v>
      </c>
      <c r="R666">
        <v>-1.0204110000000001E-2</v>
      </c>
      <c r="S666">
        <v>3.000305</v>
      </c>
      <c r="T666">
        <v>5.0479169999999999E-3</v>
      </c>
      <c r="U666">
        <v>-0.25555420000000001</v>
      </c>
      <c r="V666">
        <v>9.4867400000000005E-3</v>
      </c>
      <c r="W666">
        <v>5.852388E-2</v>
      </c>
      <c r="X666">
        <v>0.99824089999999999</v>
      </c>
      <c r="Y666">
        <v>8.4141170000000001E-2</v>
      </c>
      <c r="Z666" s="1">
        <v>6.9428299999999994E-5</v>
      </c>
      <c r="AA666">
        <v>0.99645379999999995</v>
      </c>
      <c r="AB666">
        <v>31</v>
      </c>
      <c r="AC666">
        <v>3.000305</v>
      </c>
      <c r="AD666">
        <v>5.0479169999999999E-3</v>
      </c>
      <c r="AE666">
        <v>-0.25555420000000001</v>
      </c>
      <c r="AF666">
        <v>0.25336288409763302</v>
      </c>
      <c r="AG666">
        <v>5.0479169999999999E-3</v>
      </c>
      <c r="AH666">
        <v>3.00048234929104</v>
      </c>
      <c r="AI666">
        <v>89.903949299246094</v>
      </c>
      <c r="AJ666">
        <v>85.1733532133956</v>
      </c>
      <c r="AK666">
        <v>3.0111646519098598</v>
      </c>
      <c r="AL666">
        <v>86.6449114867318</v>
      </c>
      <c r="AM666">
        <v>89.455508384279497</v>
      </c>
      <c r="AN666">
        <v>0.99999996859944495</v>
      </c>
    </row>
    <row r="667" spans="1:40" x14ac:dyDescent="0.25">
      <c r="A667" t="str">
        <f>"20190312150647585"</f>
        <v>20190312150647585</v>
      </c>
      <c r="B667" t="str">
        <f>"1552374407581225"</f>
        <v>1552374407581225</v>
      </c>
      <c r="C667" t="s">
        <v>40</v>
      </c>
      <c r="D667">
        <v>4.3191649999999999</v>
      </c>
      <c r="E667">
        <v>0.52806989999999998</v>
      </c>
      <c r="F667" t="s">
        <v>48</v>
      </c>
      <c r="G667">
        <v>0</v>
      </c>
      <c r="H667">
        <v>0</v>
      </c>
      <c r="I667">
        <v>0</v>
      </c>
      <c r="J667">
        <v>-378.65800000000002</v>
      </c>
      <c r="K667">
        <v>1.1104419999999999</v>
      </c>
      <c r="L667">
        <v>367.51</v>
      </c>
      <c r="M667">
        <v>0.99989729999999999</v>
      </c>
      <c r="N667">
        <v>0</v>
      </c>
      <c r="O667">
        <v>-7.6910420000000001E-4</v>
      </c>
      <c r="P667">
        <v>0.99900750000000005</v>
      </c>
      <c r="Q667">
        <v>4.3336720000000002E-2</v>
      </c>
      <c r="R667">
        <v>-1.030032E-2</v>
      </c>
      <c r="S667">
        <v>3.0002439999999999</v>
      </c>
      <c r="T667">
        <v>6.0232879999999999E-3</v>
      </c>
      <c r="U667">
        <v>-0.25506590000000001</v>
      </c>
      <c r="V667">
        <v>9.5436359999999994E-3</v>
      </c>
      <c r="W667">
        <v>5.763132E-2</v>
      </c>
      <c r="X667">
        <v>0.99829230000000002</v>
      </c>
      <c r="Y667">
        <v>8.3942879999999997E-2</v>
      </c>
      <c r="Z667" s="1">
        <v>8.2568639999999895E-5</v>
      </c>
      <c r="AA667">
        <v>0.99647059999999998</v>
      </c>
      <c r="AB667">
        <v>31</v>
      </c>
      <c r="AC667">
        <v>3.0002439999999999</v>
      </c>
      <c r="AD667">
        <v>6.0232879999999999E-3</v>
      </c>
      <c r="AE667">
        <v>-0.25506590000000001</v>
      </c>
      <c r="AF667">
        <v>0.25275707654669399</v>
      </c>
      <c r="AG667">
        <v>6.0232879999999999E-3</v>
      </c>
      <c r="AH667">
        <v>3.0004272984982001</v>
      </c>
      <c r="AI667">
        <v>89.885386165038597</v>
      </c>
      <c r="AJ667">
        <v>85.184751788095696</v>
      </c>
      <c r="AK667">
        <v>3.0110606757944902</v>
      </c>
      <c r="AL667">
        <v>86.696137925584395</v>
      </c>
      <c r="AM667">
        <v>89.452271236848006</v>
      </c>
      <c r="AN667">
        <v>0.999999983136166</v>
      </c>
    </row>
    <row r="668" spans="1:40" x14ac:dyDescent="0.25">
      <c r="A668" t="str">
        <f>"20190312150647604"</f>
        <v>20190312150647604</v>
      </c>
      <c r="B668" t="str">
        <f>"1552374407600745"</f>
        <v>1552374407600745</v>
      </c>
      <c r="C668" t="s">
        <v>40</v>
      </c>
      <c r="D668">
        <v>4.6338309999999998</v>
      </c>
      <c r="E668">
        <v>0.52802780000000005</v>
      </c>
      <c r="F668" t="s">
        <v>48</v>
      </c>
      <c r="G668">
        <v>0</v>
      </c>
      <c r="H668">
        <v>0</v>
      </c>
      <c r="I668">
        <v>0</v>
      </c>
      <c r="J668">
        <v>-378.39190000000002</v>
      </c>
      <c r="K668">
        <v>1.1104400000000001</v>
      </c>
      <c r="L668">
        <v>367.50970000000001</v>
      </c>
      <c r="M668">
        <v>0.99989740000000005</v>
      </c>
      <c r="N668">
        <v>0</v>
      </c>
      <c r="O668">
        <v>-8.3282669999999997E-4</v>
      </c>
      <c r="P668">
        <v>0.99904630000000005</v>
      </c>
      <c r="Q668">
        <v>4.2344779999999999E-2</v>
      </c>
      <c r="R668">
        <v>-1.066669E-2</v>
      </c>
      <c r="S668">
        <v>3.0001220000000002</v>
      </c>
      <c r="T668">
        <v>5.2093269999999997E-3</v>
      </c>
      <c r="U668">
        <v>-0.2554321</v>
      </c>
      <c r="V668">
        <v>9.8457849999999993E-3</v>
      </c>
      <c r="W668">
        <v>5.6638260000000003E-2</v>
      </c>
      <c r="X668">
        <v>0.99834619999999996</v>
      </c>
      <c r="Y668">
        <v>8.4003599999999998E-2</v>
      </c>
      <c r="Z668" s="1">
        <v>7.1355369999999996E-5</v>
      </c>
      <c r="AA668">
        <v>0.99646539999999995</v>
      </c>
      <c r="AB668">
        <v>31</v>
      </c>
      <c r="AC668">
        <v>3.0001220000000002</v>
      </c>
      <c r="AD668">
        <v>5.2093269999999997E-3</v>
      </c>
      <c r="AE668">
        <v>-0.2554321</v>
      </c>
      <c r="AF668">
        <v>0.25293241707936898</v>
      </c>
      <c r="AG668">
        <v>5.2093269999999997E-3</v>
      </c>
      <c r="AH668">
        <v>3.0003247309337802</v>
      </c>
      <c r="AI668">
        <v>89.900871667956395</v>
      </c>
      <c r="AJ668">
        <v>85.181263167583595</v>
      </c>
      <c r="AK668">
        <v>3.0109716763447398</v>
      </c>
      <c r="AL668">
        <v>86.753129173656006</v>
      </c>
      <c r="AM668">
        <v>89.434961901437305</v>
      </c>
      <c r="AN668">
        <v>0.99999998351626596</v>
      </c>
    </row>
    <row r="669" spans="1:40" x14ac:dyDescent="0.25">
      <c r="A669" t="str">
        <f>"20190312150647615"</f>
        <v>20190312150647615</v>
      </c>
      <c r="B669" t="str">
        <f>"1552374407611481"</f>
        <v>1552374407611481</v>
      </c>
      <c r="C669" t="s">
        <v>40</v>
      </c>
      <c r="D669">
        <v>4.3502400000000003</v>
      </c>
      <c r="E669">
        <v>0.52800080000000005</v>
      </c>
      <c r="F669" t="s">
        <v>48</v>
      </c>
      <c r="G669">
        <v>0</v>
      </c>
      <c r="H669">
        <v>0</v>
      </c>
      <c r="I669">
        <v>0</v>
      </c>
      <c r="J669">
        <v>-378.24</v>
      </c>
      <c r="K669">
        <v>1.110444</v>
      </c>
      <c r="L669">
        <v>367.50959999999998</v>
      </c>
      <c r="M669">
        <v>0.99989720000000004</v>
      </c>
      <c r="N669">
        <v>0</v>
      </c>
      <c r="O669">
        <v>-8.6735670000000003E-4</v>
      </c>
      <c r="P669">
        <v>0.99905049999999995</v>
      </c>
      <c r="Q669">
        <v>4.2155970000000001E-2</v>
      </c>
      <c r="R669">
        <v>-1.100896E-2</v>
      </c>
      <c r="S669">
        <v>2.9998779999999998</v>
      </c>
      <c r="T669">
        <v>5.8119299999999999E-3</v>
      </c>
      <c r="U669">
        <v>-0.2558899</v>
      </c>
      <c r="V669">
        <v>1.0153239999999999E-2</v>
      </c>
      <c r="W669">
        <v>5.6447829999999997E-2</v>
      </c>
      <c r="X669">
        <v>0.99835390000000002</v>
      </c>
      <c r="Y669">
        <v>8.4126969999999995E-2</v>
      </c>
      <c r="Z669" s="1">
        <v>7.9668029999999999E-5</v>
      </c>
      <c r="AA669">
        <v>0.99645499999999998</v>
      </c>
      <c r="AB669">
        <v>31</v>
      </c>
      <c r="AC669">
        <v>2.9998779999999998</v>
      </c>
      <c r="AD669">
        <v>5.8119299999999999E-3</v>
      </c>
      <c r="AE669">
        <v>-0.2558899</v>
      </c>
      <c r="AF669">
        <v>0.25328662907578098</v>
      </c>
      <c r="AG669">
        <v>5.8119299999999999E-3</v>
      </c>
      <c r="AH669">
        <v>3.00008766249494</v>
      </c>
      <c r="AI669">
        <v>89.889397173198404</v>
      </c>
      <c r="AJ669">
        <v>85.174167238899301</v>
      </c>
      <c r="AK669">
        <v>3.0107663273082599</v>
      </c>
      <c r="AL669">
        <v>86.764057473905396</v>
      </c>
      <c r="AM669">
        <v>89.417323110034701</v>
      </c>
      <c r="AN669">
        <v>0.99999997771970806</v>
      </c>
    </row>
    <row r="670" spans="1:40" x14ac:dyDescent="0.25">
      <c r="A670" t="str">
        <f>"20190312150647628"</f>
        <v>20190312150647628</v>
      </c>
      <c r="B670" t="str">
        <f>"1552374407621241"</f>
        <v>1552374407621241</v>
      </c>
      <c r="C670" t="s">
        <v>40</v>
      </c>
      <c r="D670">
        <v>4.4095069999999996</v>
      </c>
      <c r="E670">
        <v>0.52795570000000003</v>
      </c>
      <c r="F670" t="s">
        <v>48</v>
      </c>
      <c r="G670">
        <v>0</v>
      </c>
      <c r="H670">
        <v>0</v>
      </c>
      <c r="I670">
        <v>0</v>
      </c>
      <c r="J670">
        <v>-378.08069999999998</v>
      </c>
      <c r="K670">
        <v>1.1104480000000001</v>
      </c>
      <c r="L670">
        <v>367.50940000000003</v>
      </c>
      <c r="M670">
        <v>0.99989720000000004</v>
      </c>
      <c r="N670">
        <v>0</v>
      </c>
      <c r="O670">
        <v>-9.0331500000000002E-4</v>
      </c>
      <c r="P670">
        <v>0.9990523</v>
      </c>
      <c r="Q670">
        <v>4.2008190000000001E-2</v>
      </c>
      <c r="R670">
        <v>-1.1402600000000001E-2</v>
      </c>
      <c r="S670">
        <v>2.999695</v>
      </c>
      <c r="T670">
        <v>7.3229069999999896E-3</v>
      </c>
      <c r="U670">
        <v>-0.25659179999999998</v>
      </c>
      <c r="V670">
        <v>1.051065E-2</v>
      </c>
      <c r="W670">
        <v>5.6298819999999999E-2</v>
      </c>
      <c r="X670">
        <v>0.99835870000000004</v>
      </c>
      <c r="Y670">
        <v>8.4327659999999999E-2</v>
      </c>
      <c r="Z670">
        <v>1.00542E-4</v>
      </c>
      <c r="AA670">
        <v>0.99643809999999999</v>
      </c>
      <c r="AB670">
        <v>31</v>
      </c>
      <c r="AC670">
        <v>2.999695</v>
      </c>
      <c r="AD670">
        <v>7.3229069999999896E-3</v>
      </c>
      <c r="AE670">
        <v>-0.25659179999999998</v>
      </c>
      <c r="AF670">
        <v>0.25388024630657802</v>
      </c>
      <c r="AG670">
        <v>7.3229069999999896E-3</v>
      </c>
      <c r="AH670">
        <v>2.9999078346518302</v>
      </c>
      <c r="AI670">
        <v>89.860636934954499</v>
      </c>
      <c r="AJ670">
        <v>85.162622157870999</v>
      </c>
      <c r="AK670">
        <v>3.0106404336680699</v>
      </c>
      <c r="AL670">
        <v>86.772608990265894</v>
      </c>
      <c r="AM670">
        <v>89.396816357596407</v>
      </c>
      <c r="AN670">
        <v>1.0000000623812499</v>
      </c>
    </row>
    <row r="671" spans="1:40" x14ac:dyDescent="0.25">
      <c r="A671" t="str">
        <f>"20190312150647638"</f>
        <v>20190312150647638</v>
      </c>
      <c r="B671" t="str">
        <f>"1552374407631001"</f>
        <v>1552374407631001</v>
      </c>
      <c r="C671" t="s">
        <v>40</v>
      </c>
      <c r="D671">
        <v>4.3737659999999998</v>
      </c>
      <c r="E671">
        <v>0.52795789999999998</v>
      </c>
      <c r="F671" t="s">
        <v>48</v>
      </c>
      <c r="G671">
        <v>0</v>
      </c>
      <c r="H671">
        <v>0</v>
      </c>
      <c r="I671">
        <v>0</v>
      </c>
      <c r="J671">
        <v>-377.91820000000001</v>
      </c>
      <c r="K671">
        <v>1.1104540000000001</v>
      </c>
      <c r="L671">
        <v>367.50920000000002</v>
      </c>
      <c r="M671">
        <v>0.99989720000000004</v>
      </c>
      <c r="N671">
        <v>0</v>
      </c>
      <c r="O671">
        <v>-9.3891389999999997E-4</v>
      </c>
      <c r="P671">
        <v>0.99903790000000003</v>
      </c>
      <c r="Q671">
        <v>4.2208799999999998E-2</v>
      </c>
      <c r="R671">
        <v>-1.190103E-2</v>
      </c>
      <c r="S671">
        <v>2.9995120000000002</v>
      </c>
      <c r="T671">
        <v>8.5837840000000006E-3</v>
      </c>
      <c r="U671">
        <v>-0.25747680000000001</v>
      </c>
      <c r="V671">
        <v>1.0973460000000001E-2</v>
      </c>
      <c r="W671">
        <v>5.6497819999999997E-2</v>
      </c>
      <c r="X671">
        <v>0.99834239999999996</v>
      </c>
      <c r="Y671">
        <v>8.4589109999999995E-2</v>
      </c>
      <c r="Z671">
        <v>1.181309E-4</v>
      </c>
      <c r="AA671">
        <v>0.99641590000000002</v>
      </c>
      <c r="AB671">
        <v>31</v>
      </c>
      <c r="AC671">
        <v>2.9995120000000002</v>
      </c>
      <c r="AD671">
        <v>8.5837840000000006E-3</v>
      </c>
      <c r="AE671">
        <v>-0.25747680000000001</v>
      </c>
      <c r="AF671">
        <v>0.25465804441171203</v>
      </c>
      <c r="AG671">
        <v>8.5837840000000006E-3</v>
      </c>
      <c r="AH671">
        <v>2.99972806437518</v>
      </c>
      <c r="AI671">
        <v>89.836635008418497</v>
      </c>
      <c r="AJ671">
        <v>85.147583418501895</v>
      </c>
      <c r="AK671">
        <v>3.0105303288841698</v>
      </c>
      <c r="AL671">
        <v>86.761188700187603</v>
      </c>
      <c r="AM671">
        <v>89.370248497967196</v>
      </c>
      <c r="AN671">
        <v>0.99999998406344104</v>
      </c>
    </row>
    <row r="672" spans="1:40" x14ac:dyDescent="0.25">
      <c r="A672" t="str">
        <f>"20190312150647650"</f>
        <v>20190312150647650</v>
      </c>
      <c r="B672" t="str">
        <f>"1552374407640761"</f>
        <v>1552374407640761</v>
      </c>
      <c r="C672" t="s">
        <v>40</v>
      </c>
      <c r="D672">
        <v>4.3528330000000004</v>
      </c>
      <c r="E672">
        <v>0.52795789999999998</v>
      </c>
      <c r="F672" t="s">
        <v>48</v>
      </c>
      <c r="G672">
        <v>0</v>
      </c>
      <c r="H672">
        <v>0</v>
      </c>
      <c r="I672">
        <v>0</v>
      </c>
      <c r="J672">
        <v>-377.76679999999999</v>
      </c>
      <c r="K672">
        <v>1.1104609999999999</v>
      </c>
      <c r="L672">
        <v>367.50900000000001</v>
      </c>
      <c r="M672">
        <v>0.99989720000000004</v>
      </c>
      <c r="N672">
        <v>0</v>
      </c>
      <c r="O672">
        <v>-9.7105830000000001E-4</v>
      </c>
      <c r="P672">
        <v>0.99901399999999996</v>
      </c>
      <c r="Q672">
        <v>4.2630500000000002E-2</v>
      </c>
      <c r="R672">
        <v>-1.2408809999999999E-2</v>
      </c>
      <c r="S672">
        <v>2.9993590000000001</v>
      </c>
      <c r="T672">
        <v>1.0777470000000001E-2</v>
      </c>
      <c r="U672">
        <v>-0.2589417</v>
      </c>
      <c r="V672">
        <v>1.144882E-2</v>
      </c>
      <c r="W672">
        <v>5.6917719999999998E-2</v>
      </c>
      <c r="X672">
        <v>0.99831320000000001</v>
      </c>
      <c r="Y672">
        <v>8.5044229999999998E-2</v>
      </c>
      <c r="Z672">
        <v>1.490257E-4</v>
      </c>
      <c r="AA672">
        <v>0.99637719999999996</v>
      </c>
      <c r="AB672">
        <v>31</v>
      </c>
      <c r="AC672">
        <v>2.9993590000000001</v>
      </c>
      <c r="AD672">
        <v>1.0777470000000001E-2</v>
      </c>
      <c r="AE672">
        <v>-0.2589417</v>
      </c>
      <c r="AF672">
        <v>0.25602544615363998</v>
      </c>
      <c r="AG672">
        <v>1.0777470000000001E-2</v>
      </c>
      <c r="AH672">
        <v>2.999570616363</v>
      </c>
      <c r="AI672">
        <v>89.794882715319105</v>
      </c>
      <c r="AJ672">
        <v>85.121398652786098</v>
      </c>
      <c r="AK672">
        <v>3.0104964815601498</v>
      </c>
      <c r="AL672">
        <v>86.737091391459003</v>
      </c>
      <c r="AM672">
        <v>89.342951379133098</v>
      </c>
      <c r="AN672">
        <v>0.99999997381181505</v>
      </c>
    </row>
    <row r="673" spans="1:40" x14ac:dyDescent="0.25">
      <c r="A673" t="str">
        <f>"20190312150647661"</f>
        <v>20190312150647661</v>
      </c>
      <c r="B673" t="str">
        <f>"1552374407651497"</f>
        <v>1552374407651497</v>
      </c>
      <c r="C673" t="s">
        <v>40</v>
      </c>
      <c r="D673">
        <v>4.406155</v>
      </c>
      <c r="E673">
        <v>0.52795899999999996</v>
      </c>
      <c r="F673" t="s">
        <v>48</v>
      </c>
      <c r="G673">
        <v>0</v>
      </c>
      <c r="H673">
        <v>0</v>
      </c>
      <c r="I673">
        <v>0</v>
      </c>
      <c r="J673">
        <v>-377.61180000000002</v>
      </c>
      <c r="K673">
        <v>1.110473</v>
      </c>
      <c r="L673">
        <v>367.50889999999998</v>
      </c>
      <c r="M673">
        <v>0.99989720000000004</v>
      </c>
      <c r="N673">
        <v>0</v>
      </c>
      <c r="O673">
        <v>-1.0029629999999999E-3</v>
      </c>
      <c r="P673">
        <v>0.99899459999999995</v>
      </c>
      <c r="Q673">
        <v>4.3027139999999998E-2</v>
      </c>
      <c r="R673">
        <v>-1.259091E-2</v>
      </c>
      <c r="S673">
        <v>2.9992070000000002</v>
      </c>
      <c r="T673">
        <v>1.197052E-2</v>
      </c>
      <c r="U673">
        <v>-0.26046750000000002</v>
      </c>
      <c r="V673">
        <v>1.159891E-2</v>
      </c>
      <c r="W673">
        <v>5.731236E-2</v>
      </c>
      <c r="X673">
        <v>0.99828890000000003</v>
      </c>
      <c r="Y673">
        <v>8.5519810000000002E-2</v>
      </c>
      <c r="Z673">
        <v>1.6634740000000001E-4</v>
      </c>
      <c r="AA673">
        <v>0.99633649999999996</v>
      </c>
      <c r="AB673">
        <v>31</v>
      </c>
      <c r="AC673">
        <v>2.9992070000000002</v>
      </c>
      <c r="AD673">
        <v>1.197052E-2</v>
      </c>
      <c r="AE673">
        <v>-0.26046750000000002</v>
      </c>
      <c r="AF673">
        <v>0.25745489703454399</v>
      </c>
      <c r="AG673">
        <v>1.197052E-2</v>
      </c>
      <c r="AH673">
        <v>2.9994193343873299</v>
      </c>
      <c r="AI673">
        <v>89.772174581205306</v>
      </c>
      <c r="AJ673">
        <v>85.094046600902104</v>
      </c>
      <c r="AK673">
        <v>3.01047216576614</v>
      </c>
      <c r="AL673">
        <v>86.714443248948001</v>
      </c>
      <c r="AM673">
        <v>89.334322271231599</v>
      </c>
      <c r="AN673">
        <v>0.99999998459258299</v>
      </c>
    </row>
    <row r="674" spans="1:40" x14ac:dyDescent="0.25">
      <c r="A674" t="str">
        <f>"20190312150647672"</f>
        <v>20190312150647672</v>
      </c>
      <c r="B674" t="str">
        <f>"1552374407661257"</f>
        <v>1552374407661257</v>
      </c>
      <c r="C674" t="s">
        <v>40</v>
      </c>
      <c r="D674">
        <v>4.659948</v>
      </c>
      <c r="E674">
        <v>0.52794960000000002</v>
      </c>
      <c r="F674" t="s">
        <v>48</v>
      </c>
      <c r="G674">
        <v>0</v>
      </c>
      <c r="H674">
        <v>0</v>
      </c>
      <c r="I674">
        <v>0</v>
      </c>
      <c r="J674">
        <v>-377.46179999999998</v>
      </c>
      <c r="K674">
        <v>1.110479</v>
      </c>
      <c r="L674">
        <v>367.50869999999998</v>
      </c>
      <c r="M674">
        <v>0.99989720000000004</v>
      </c>
      <c r="N674">
        <v>0</v>
      </c>
      <c r="O674">
        <v>-1.032605E-3</v>
      </c>
      <c r="P674">
        <v>0.99894479999999997</v>
      </c>
      <c r="Q674">
        <v>4.4092180000000002E-2</v>
      </c>
      <c r="R674">
        <v>-1.286327E-2</v>
      </c>
      <c r="S674">
        <v>2.9991460000000001</v>
      </c>
      <c r="T674">
        <v>1.447845E-2</v>
      </c>
      <c r="U674">
        <v>-0.2609863</v>
      </c>
      <c r="V674">
        <v>1.184179E-2</v>
      </c>
      <c r="W674">
        <v>5.8375360000000001E-2</v>
      </c>
      <c r="X674">
        <v>0.99822449999999996</v>
      </c>
      <c r="Y674">
        <v>8.5662769999999999E-2</v>
      </c>
      <c r="Z674">
        <v>2.0140239999999999E-4</v>
      </c>
      <c r="AA674">
        <v>0.99632419999999999</v>
      </c>
      <c r="AB674">
        <v>31</v>
      </c>
      <c r="AC674">
        <v>2.9991460000000001</v>
      </c>
      <c r="AD674">
        <v>1.447845E-2</v>
      </c>
      <c r="AE674">
        <v>-0.2609863</v>
      </c>
      <c r="AF674">
        <v>0.25788294613790502</v>
      </c>
      <c r="AG674">
        <v>1.447845E-2</v>
      </c>
      <c r="AH674">
        <v>2.99934454968272</v>
      </c>
      <c r="AI674">
        <v>89.724440343084396</v>
      </c>
      <c r="AJ674">
        <v>85.085807857912599</v>
      </c>
      <c r="AK674">
        <v>3.01044531043742</v>
      </c>
      <c r="AL674">
        <v>86.653435840217597</v>
      </c>
      <c r="AM674">
        <v>89.320340500084995</v>
      </c>
      <c r="AN674">
        <v>1.0000000315228901</v>
      </c>
    </row>
    <row r="675" spans="1:40" x14ac:dyDescent="0.25">
      <c r="A675" t="str">
        <f>"20190312150647682"</f>
        <v>20190312150647682</v>
      </c>
      <c r="B675" t="str">
        <f>"1552374407671017"</f>
        <v>1552374407671017</v>
      </c>
      <c r="C675" t="s">
        <v>40</v>
      </c>
      <c r="D675">
        <v>4.6856350000000004</v>
      </c>
      <c r="E675">
        <v>0.52794169999999996</v>
      </c>
      <c r="F675" t="s">
        <v>48</v>
      </c>
      <c r="G675">
        <v>0</v>
      </c>
      <c r="H675">
        <v>0</v>
      </c>
      <c r="I675">
        <v>0</v>
      </c>
      <c r="J675">
        <v>-377.3116</v>
      </c>
      <c r="K675">
        <v>1.110487</v>
      </c>
      <c r="L675">
        <v>367.50850000000003</v>
      </c>
      <c r="M675">
        <v>0.99989720000000004</v>
      </c>
      <c r="N675">
        <v>0</v>
      </c>
      <c r="O675">
        <v>-1.061651E-3</v>
      </c>
      <c r="P675">
        <v>0.99890420000000002</v>
      </c>
      <c r="Q675">
        <v>4.4898569999999999E-2</v>
      </c>
      <c r="R675">
        <v>-1.322487E-2</v>
      </c>
      <c r="S675">
        <v>2.9989620000000001</v>
      </c>
      <c r="T675">
        <v>1.972055E-2</v>
      </c>
      <c r="U675">
        <v>-0.26171879999999997</v>
      </c>
      <c r="V675">
        <v>1.217414E-2</v>
      </c>
      <c r="W675">
        <v>5.9179820000000001E-2</v>
      </c>
      <c r="X675">
        <v>0.99817310000000004</v>
      </c>
      <c r="Y675">
        <v>8.5879730000000001E-2</v>
      </c>
      <c r="Z675">
        <v>2.7485649999999998E-4</v>
      </c>
      <c r="AA675">
        <v>0.99630549999999996</v>
      </c>
      <c r="AB675">
        <v>31</v>
      </c>
      <c r="AC675">
        <v>2.9989620000000001</v>
      </c>
      <c r="AD675">
        <v>1.972055E-2</v>
      </c>
      <c r="AE675">
        <v>-0.26171879999999997</v>
      </c>
      <c r="AF675">
        <v>0.25852338160776001</v>
      </c>
      <c r="AG675">
        <v>1.972055E-2</v>
      </c>
      <c r="AH675">
        <v>2.9991094876246298</v>
      </c>
      <c r="AI675">
        <v>89.624650721348701</v>
      </c>
      <c r="AJ675">
        <v>85.073279554545707</v>
      </c>
      <c r="AK675">
        <v>3.0102958256108798</v>
      </c>
      <c r="AL675">
        <v>86.607263741123603</v>
      </c>
      <c r="AM675">
        <v>89.301231161254407</v>
      </c>
      <c r="AN675">
        <v>0.99999999917179105</v>
      </c>
    </row>
    <row r="676" spans="1:40" x14ac:dyDescent="0.25">
      <c r="A676" t="str">
        <f>"20190312150647693"</f>
        <v>20190312150647693</v>
      </c>
      <c r="B676" t="str">
        <f>"1552374407691513"</f>
        <v>1552374407691513</v>
      </c>
      <c r="C676" t="s">
        <v>40</v>
      </c>
      <c r="D676">
        <v>4.5870360000000003</v>
      </c>
      <c r="E676">
        <v>0.52789869999999905</v>
      </c>
      <c r="F676" t="s">
        <v>48</v>
      </c>
      <c r="G676">
        <v>0</v>
      </c>
      <c r="H676">
        <v>0</v>
      </c>
      <c r="I676">
        <v>0</v>
      </c>
      <c r="J676">
        <v>-377.17610000000002</v>
      </c>
      <c r="K676">
        <v>1.1104969999999901</v>
      </c>
      <c r="L676">
        <v>367.50830000000002</v>
      </c>
      <c r="M676">
        <v>0.99989720000000004</v>
      </c>
      <c r="N676">
        <v>0</v>
      </c>
      <c r="O676">
        <v>-1.0870089999999999E-3</v>
      </c>
      <c r="P676">
        <v>0.99885959999999996</v>
      </c>
      <c r="Q676">
        <v>4.5875359999999997E-2</v>
      </c>
      <c r="R676">
        <v>-1.3233679999999999E-2</v>
      </c>
      <c r="S676">
        <v>2.998688</v>
      </c>
      <c r="T676">
        <v>2.4026269999999999E-2</v>
      </c>
      <c r="U676">
        <v>-0.26278689999999999</v>
      </c>
      <c r="V676">
        <v>1.215784E-2</v>
      </c>
      <c r="W676">
        <v>6.015417E-2</v>
      </c>
      <c r="X676">
        <v>0.99811510000000003</v>
      </c>
      <c r="Y676">
        <v>8.6213639999999994E-2</v>
      </c>
      <c r="Z676">
        <v>3.3602369999999999E-4</v>
      </c>
      <c r="AA676">
        <v>0.99627659999999996</v>
      </c>
      <c r="AB676">
        <v>31</v>
      </c>
      <c r="AC676">
        <v>2.998688</v>
      </c>
      <c r="AD676">
        <v>2.4026269999999999E-2</v>
      </c>
      <c r="AE676">
        <v>-0.26278689999999999</v>
      </c>
      <c r="AF676">
        <v>0.25951027803660898</v>
      </c>
      <c r="AG676">
        <v>2.4026269999999999E-2</v>
      </c>
      <c r="AH676">
        <v>2.99878086541286</v>
      </c>
      <c r="AI676">
        <v>89.542664525370697</v>
      </c>
      <c r="AJ676">
        <v>85.054025953396305</v>
      </c>
      <c r="AK676">
        <v>3.0100846374849701</v>
      </c>
      <c r="AL676">
        <v>86.551338113596202</v>
      </c>
      <c r="AM676">
        <v>89.302126106035303</v>
      </c>
      <c r="AN676">
        <v>1.00000004504493</v>
      </c>
    </row>
    <row r="677" spans="1:40" x14ac:dyDescent="0.25">
      <c r="A677" t="str">
        <f>"20190312150647705"</f>
        <v>20190312150647705</v>
      </c>
      <c r="B677" t="str">
        <f>"1552374407701274"</f>
        <v>1552374407701274</v>
      </c>
      <c r="C677" t="s">
        <v>40</v>
      </c>
      <c r="D677">
        <v>4.7541159999999998</v>
      </c>
      <c r="E677">
        <v>0.52786929999999999</v>
      </c>
      <c r="F677" t="s">
        <v>48</v>
      </c>
      <c r="G677">
        <v>0</v>
      </c>
      <c r="H677">
        <v>0</v>
      </c>
      <c r="I677">
        <v>0</v>
      </c>
      <c r="J677">
        <v>-377.01859999999999</v>
      </c>
      <c r="K677">
        <v>1.110506</v>
      </c>
      <c r="L677">
        <v>367.50810000000001</v>
      </c>
      <c r="M677">
        <v>0.99989709999999998</v>
      </c>
      <c r="N677">
        <v>0</v>
      </c>
      <c r="O677">
        <v>-1.1160580000000001E-3</v>
      </c>
      <c r="P677">
        <v>0.99881370000000003</v>
      </c>
      <c r="Q677">
        <v>4.6879810000000001E-2</v>
      </c>
      <c r="R677">
        <v>-1.317654E-2</v>
      </c>
      <c r="S677">
        <v>2.9986269999999999</v>
      </c>
      <c r="T677">
        <v>3.0236010000000001E-2</v>
      </c>
      <c r="U677">
        <v>-0.26235960000000003</v>
      </c>
      <c r="V677">
        <v>1.207162E-2</v>
      </c>
      <c r="W677">
        <v>6.1157009999999998E-2</v>
      </c>
      <c r="X677">
        <v>0.99805520000000003</v>
      </c>
      <c r="Y677">
        <v>8.6044029999999994E-2</v>
      </c>
      <c r="Z677">
        <v>4.2173239999999999E-4</v>
      </c>
      <c r="AA677">
        <v>0.99629120000000004</v>
      </c>
      <c r="AB677">
        <v>31</v>
      </c>
      <c r="AC677">
        <v>2.9986269999999999</v>
      </c>
      <c r="AD677">
        <v>3.0236010000000001E-2</v>
      </c>
      <c r="AE677">
        <v>-0.26235960000000003</v>
      </c>
      <c r="AF677">
        <v>0.25898632081819101</v>
      </c>
      <c r="AG677">
        <v>3.0236010000000001E-2</v>
      </c>
      <c r="AH677">
        <v>2.9986154095791302</v>
      </c>
      <c r="AI677">
        <v>89.424430293445695</v>
      </c>
      <c r="AJ677">
        <v>85.063691590606297</v>
      </c>
      <c r="AK677">
        <v>3.00993064791153</v>
      </c>
      <c r="AL677">
        <v>86.4937736169191</v>
      </c>
      <c r="AM677">
        <v>89.307033165124096</v>
      </c>
      <c r="AN677">
        <v>1.0000000430642999</v>
      </c>
    </row>
    <row r="678" spans="1:40" x14ac:dyDescent="0.25">
      <c r="A678" t="str">
        <f>"20190312150647716"</f>
        <v>20190312150647716</v>
      </c>
      <c r="B678" t="str">
        <f>"1552374407711033"</f>
        <v>1552374407711033</v>
      </c>
      <c r="C678" t="s">
        <v>40</v>
      </c>
      <c r="D678">
        <v>4.3761169999999998</v>
      </c>
      <c r="E678">
        <v>0.52780579999999999</v>
      </c>
      <c r="F678" t="s">
        <v>48</v>
      </c>
      <c r="G678">
        <v>0</v>
      </c>
      <c r="H678">
        <v>0</v>
      </c>
      <c r="I678">
        <v>0</v>
      </c>
      <c r="J678">
        <v>-376.86149999999998</v>
      </c>
      <c r="K678">
        <v>1.1105119999999999</v>
      </c>
      <c r="L678">
        <v>367.50790000000001</v>
      </c>
      <c r="M678">
        <v>0.99989720000000004</v>
      </c>
      <c r="N678">
        <v>0</v>
      </c>
      <c r="O678">
        <v>-1.1442799999999999E-3</v>
      </c>
      <c r="P678">
        <v>0.99875369999999997</v>
      </c>
      <c r="Q678">
        <v>4.8127789999999997E-2</v>
      </c>
      <c r="R678">
        <v>-1.323129E-2</v>
      </c>
      <c r="S678">
        <v>2.9985050000000002</v>
      </c>
      <c r="T678">
        <v>3.46688E-2</v>
      </c>
      <c r="U678">
        <v>-0.26193240000000001</v>
      </c>
      <c r="V678">
        <v>1.2098329999999999E-2</v>
      </c>
      <c r="W678">
        <v>6.2402510000000001E-2</v>
      </c>
      <c r="X678">
        <v>0.99797769999999997</v>
      </c>
      <c r="Y678">
        <v>8.5877199999999904E-2</v>
      </c>
      <c r="Z678">
        <v>4.822917E-4</v>
      </c>
      <c r="AA678">
        <v>0.99630560000000001</v>
      </c>
      <c r="AB678">
        <v>31</v>
      </c>
      <c r="AC678">
        <v>2.9985050000000002</v>
      </c>
      <c r="AD678">
        <v>3.46688E-2</v>
      </c>
      <c r="AE678">
        <v>-0.26193240000000001</v>
      </c>
      <c r="AF678">
        <v>0.25846645840586002</v>
      </c>
      <c r="AG678">
        <v>3.46688E-2</v>
      </c>
      <c r="AH678">
        <v>2.9984049983239598</v>
      </c>
      <c r="AI678">
        <v>89.339999361572794</v>
      </c>
      <c r="AJ678">
        <v>85.073207404603394</v>
      </c>
      <c r="AK678">
        <v>3.0097241351639599</v>
      </c>
      <c r="AL678">
        <v>86.422274870895805</v>
      </c>
      <c r="AM678">
        <v>89.305446110039199</v>
      </c>
      <c r="AN678">
        <v>0.99999996627018894</v>
      </c>
    </row>
    <row r="679" spans="1:40" x14ac:dyDescent="0.25">
      <c r="A679" t="str">
        <f>"20190312150647729"</f>
        <v>20190312150647729</v>
      </c>
      <c r="B679" t="str">
        <f>"1552374407721768"</f>
        <v>1552374407721768</v>
      </c>
      <c r="C679" t="s">
        <v>40</v>
      </c>
      <c r="D679">
        <v>4.3626250000000004</v>
      </c>
      <c r="E679">
        <v>0.52776129999999999</v>
      </c>
      <c r="F679" t="s">
        <v>48</v>
      </c>
      <c r="G679">
        <v>0</v>
      </c>
      <c r="H679">
        <v>0</v>
      </c>
      <c r="I679">
        <v>0</v>
      </c>
      <c r="J679">
        <v>-376.69110000000001</v>
      </c>
      <c r="K679">
        <v>1.1105179999999999</v>
      </c>
      <c r="L679">
        <v>367.5077</v>
      </c>
      <c r="M679">
        <v>0.99989709999999998</v>
      </c>
      <c r="N679">
        <v>0</v>
      </c>
      <c r="O679">
        <v>-1.174528E-3</v>
      </c>
      <c r="P679">
        <v>0.9986969</v>
      </c>
      <c r="Q679">
        <v>4.9301810000000001E-2</v>
      </c>
      <c r="R679">
        <v>-1.318046E-2</v>
      </c>
      <c r="S679">
        <v>2.998383</v>
      </c>
      <c r="T679">
        <v>4.0045619999999997E-2</v>
      </c>
      <c r="U679">
        <v>-0.26156620000000003</v>
      </c>
      <c r="V679">
        <v>1.201724E-2</v>
      </c>
      <c r="W679">
        <v>6.3573679999999994E-2</v>
      </c>
      <c r="X679">
        <v>0.99790480000000004</v>
      </c>
      <c r="Y679">
        <v>8.5727949999999997E-2</v>
      </c>
      <c r="Z679">
        <v>5.5571220000000005E-4</v>
      </c>
      <c r="AA679">
        <v>0.99631840000000005</v>
      </c>
      <c r="AB679">
        <v>31</v>
      </c>
      <c r="AC679">
        <v>2.998383</v>
      </c>
      <c r="AD679">
        <v>4.0045619999999997E-2</v>
      </c>
      <c r="AE679">
        <v>-0.26156620000000003</v>
      </c>
      <c r="AF679">
        <v>0.257998301701718</v>
      </c>
      <c r="AG679">
        <v>4.0045619999999997E-2</v>
      </c>
      <c r="AH679">
        <v>2.9981574201671801</v>
      </c>
      <c r="AI679">
        <v>89.237577792846494</v>
      </c>
      <c r="AJ679">
        <v>85.081683316813098</v>
      </c>
      <c r="AK679">
        <v>3.0095040607159298</v>
      </c>
      <c r="AL679">
        <v>86.355038407034002</v>
      </c>
      <c r="AM679">
        <v>89.310050565795194</v>
      </c>
      <c r="AN679">
        <v>1.0000000083545</v>
      </c>
    </row>
    <row r="680" spans="1:40" x14ac:dyDescent="0.25">
      <c r="A680" t="str">
        <f>"20190312150647741"</f>
        <v>20190312150647741</v>
      </c>
      <c r="B680" t="str">
        <f>"1552374407731530"</f>
        <v>1552374407731530</v>
      </c>
      <c r="C680" t="s">
        <v>40</v>
      </c>
      <c r="D680">
        <v>4.358053</v>
      </c>
      <c r="E680">
        <v>0.52772089999999905</v>
      </c>
      <c r="F680" t="s">
        <v>48</v>
      </c>
      <c r="G680">
        <v>0</v>
      </c>
      <c r="H680">
        <v>0</v>
      </c>
      <c r="I680">
        <v>0</v>
      </c>
      <c r="J680">
        <v>-376.51549999999997</v>
      </c>
      <c r="K680">
        <v>1.1105240000000001</v>
      </c>
      <c r="L680">
        <v>367.50740000000002</v>
      </c>
      <c r="M680">
        <v>0.99989720000000004</v>
      </c>
      <c r="N680">
        <v>0</v>
      </c>
      <c r="O680">
        <v>-1.2057319999999999E-3</v>
      </c>
      <c r="P680">
        <v>0.9986275</v>
      </c>
      <c r="Q680">
        <v>5.0673709999999997E-2</v>
      </c>
      <c r="R680">
        <v>-1.324234E-2</v>
      </c>
      <c r="S680">
        <v>2.99823</v>
      </c>
      <c r="T680">
        <v>4.5339579999999997E-2</v>
      </c>
      <c r="U680">
        <v>-0.26092530000000003</v>
      </c>
      <c r="V680">
        <v>1.204825E-2</v>
      </c>
      <c r="W680">
        <v>6.4942719999999995E-2</v>
      </c>
      <c r="X680">
        <v>0.99781629999999999</v>
      </c>
      <c r="Y680">
        <v>8.5487820000000006E-2</v>
      </c>
      <c r="Z680">
        <v>6.2692309999999997E-4</v>
      </c>
      <c r="AA680">
        <v>0.99633899999999997</v>
      </c>
      <c r="AB680">
        <v>30</v>
      </c>
      <c r="AC680">
        <v>2.99823</v>
      </c>
      <c r="AD680">
        <v>4.5339579999999997E-2</v>
      </c>
      <c r="AE680">
        <v>-0.26092530000000003</v>
      </c>
      <c r="AF680">
        <v>0.25725129378558098</v>
      </c>
      <c r="AG680">
        <v>4.5339579999999997E-2</v>
      </c>
      <c r="AH680">
        <v>2.9978620650623</v>
      </c>
      <c r="AI680">
        <v>89.136698534668099</v>
      </c>
      <c r="AJ680">
        <v>85.095373443803595</v>
      </c>
      <c r="AK680">
        <v>3.0092209734096498</v>
      </c>
      <c r="AL680">
        <v>86.276435868568598</v>
      </c>
      <c r="AM680">
        <v>89.308209005975698</v>
      </c>
      <c r="AN680">
        <v>1.0000000428773701</v>
      </c>
    </row>
    <row r="681" spans="1:40" x14ac:dyDescent="0.25">
      <c r="A681" t="str">
        <f>"20190312150647754"</f>
        <v>20190312150647754</v>
      </c>
      <c r="B681" t="str">
        <f>"1552374407751049"</f>
        <v>1552374407751049</v>
      </c>
      <c r="C681" t="s">
        <v>40</v>
      </c>
      <c r="D681">
        <v>4.3832630000000004</v>
      </c>
      <c r="E681">
        <v>0.52760419999999997</v>
      </c>
      <c r="F681" t="s">
        <v>48</v>
      </c>
      <c r="G681">
        <v>0</v>
      </c>
      <c r="H681">
        <v>0</v>
      </c>
      <c r="I681">
        <v>0</v>
      </c>
      <c r="J681">
        <v>-376.34840000000003</v>
      </c>
      <c r="K681">
        <v>1.1105290000000001</v>
      </c>
      <c r="L681">
        <v>367.50720000000001</v>
      </c>
      <c r="M681">
        <v>0.99989709999999998</v>
      </c>
      <c r="N681">
        <v>0</v>
      </c>
      <c r="O681">
        <v>-1.2345609999999999E-3</v>
      </c>
      <c r="P681">
        <v>0.9985676</v>
      </c>
      <c r="Q681">
        <v>5.1833959999999998E-2</v>
      </c>
      <c r="R681">
        <v>-1.326632E-2</v>
      </c>
      <c r="S681">
        <v>2.9981080000000002</v>
      </c>
      <c r="T681">
        <v>5.093396E-2</v>
      </c>
      <c r="U681">
        <v>-0.26086429999999999</v>
      </c>
      <c r="V681">
        <v>1.2043440000000001E-2</v>
      </c>
      <c r="W681">
        <v>6.6100350000000002E-2</v>
      </c>
      <c r="X681">
        <v>0.99774030000000002</v>
      </c>
      <c r="Y681">
        <v>8.5439979999999999E-2</v>
      </c>
      <c r="Z681">
        <v>7.0340240000000003E-4</v>
      </c>
      <c r="AA681">
        <v>0.99634310000000004</v>
      </c>
      <c r="AB681">
        <v>30</v>
      </c>
      <c r="AC681">
        <v>2.9981080000000002</v>
      </c>
      <c r="AD681">
        <v>5.093396E-2</v>
      </c>
      <c r="AE681">
        <v>-0.26086429999999999</v>
      </c>
      <c r="AF681">
        <v>0.25708873347731298</v>
      </c>
      <c r="AG681">
        <v>5.093396E-2</v>
      </c>
      <c r="AH681">
        <v>2.9975691547898702</v>
      </c>
      <c r="AI681">
        <v>89.030097808629407</v>
      </c>
      <c r="AJ681">
        <v>85.097981009576301</v>
      </c>
      <c r="AK681">
        <v>3.0090047728293601</v>
      </c>
      <c r="AL681">
        <v>86.209965570871205</v>
      </c>
      <c r="AM681">
        <v>89.308432492517696</v>
      </c>
      <c r="AN681">
        <v>1.00000000348062</v>
      </c>
    </row>
    <row r="682" spans="1:40" x14ac:dyDescent="0.25">
      <c r="A682" t="str">
        <f>"20190312150647767"</f>
        <v>20190312150647767</v>
      </c>
      <c r="B682" t="str">
        <f>"1552374407761785"</f>
        <v>1552374407761785</v>
      </c>
      <c r="C682" t="s">
        <v>40</v>
      </c>
      <c r="D682">
        <v>4.3675389999999998</v>
      </c>
      <c r="E682">
        <v>0.52753779999999995</v>
      </c>
      <c r="F682" t="s">
        <v>48</v>
      </c>
      <c r="G682">
        <v>0</v>
      </c>
      <c r="H682">
        <v>0</v>
      </c>
      <c r="I682">
        <v>0</v>
      </c>
      <c r="J682">
        <v>-376.17349999999999</v>
      </c>
      <c r="K682">
        <v>1.110527</v>
      </c>
      <c r="L682">
        <v>367.50700000000001</v>
      </c>
      <c r="M682">
        <v>0.99989709999999998</v>
      </c>
      <c r="N682">
        <v>0</v>
      </c>
      <c r="O682">
        <v>-1.264584E-3</v>
      </c>
      <c r="P682">
        <v>0.99852510000000005</v>
      </c>
      <c r="Q682">
        <v>5.2660220000000001E-2</v>
      </c>
      <c r="R682">
        <v>-1.3220539999999999E-2</v>
      </c>
      <c r="S682">
        <v>2.9978639999999999</v>
      </c>
      <c r="T682">
        <v>5.6958439999999999E-2</v>
      </c>
      <c r="U682">
        <v>-0.2600403</v>
      </c>
      <c r="V682">
        <v>1.196785E-2</v>
      </c>
      <c r="W682">
        <v>6.6924880000000006E-2</v>
      </c>
      <c r="X682">
        <v>0.99768630000000003</v>
      </c>
      <c r="Y682">
        <v>8.5142300000000004E-2</v>
      </c>
      <c r="Z682">
        <v>7.8326830000000004E-4</v>
      </c>
      <c r="AA682">
        <v>0.99636849999999999</v>
      </c>
      <c r="AB682">
        <v>30</v>
      </c>
      <c r="AC682">
        <v>2.9978639999999999</v>
      </c>
      <c r="AD682">
        <v>5.6958439999999999E-2</v>
      </c>
      <c r="AE682">
        <v>-0.2600403</v>
      </c>
      <c r="AF682">
        <v>0.25615687517247698</v>
      </c>
      <c r="AG682">
        <v>5.6958439999999999E-2</v>
      </c>
      <c r="AH682">
        <v>2.9971166365628199</v>
      </c>
      <c r="AI682">
        <v>88.915212334850594</v>
      </c>
      <c r="AJ682">
        <v>85.114929139953006</v>
      </c>
      <c r="AK682">
        <v>3.0085825137009299</v>
      </c>
      <c r="AL682">
        <v>86.162618856236193</v>
      </c>
      <c r="AM682">
        <v>89.3127354682087</v>
      </c>
      <c r="AN682">
        <v>1.00000006110216</v>
      </c>
    </row>
    <row r="683" spans="1:40" x14ac:dyDescent="0.25">
      <c r="A683" t="str">
        <f>"20190312150647782"</f>
        <v>20190312150647782</v>
      </c>
      <c r="B683" t="str">
        <f>"1552374407771545"</f>
        <v>1552374407771545</v>
      </c>
      <c r="C683" t="s">
        <v>40</v>
      </c>
      <c r="D683">
        <v>4.5872469999999996</v>
      </c>
      <c r="E683">
        <v>0.5274894</v>
      </c>
      <c r="F683" t="s">
        <v>48</v>
      </c>
      <c r="G683">
        <v>0</v>
      </c>
      <c r="H683">
        <v>0</v>
      </c>
      <c r="I683">
        <v>0</v>
      </c>
      <c r="J683">
        <v>-375.95830000000001</v>
      </c>
      <c r="K683">
        <v>1.110528</v>
      </c>
      <c r="L683">
        <v>367.50659999999999</v>
      </c>
      <c r="M683">
        <v>0.99989720000000004</v>
      </c>
      <c r="N683">
        <v>0</v>
      </c>
      <c r="O683">
        <v>-1.3018750000000001E-3</v>
      </c>
      <c r="P683">
        <v>0.99849370000000004</v>
      </c>
      <c r="Q683">
        <v>5.3163009999999997E-2</v>
      </c>
      <c r="R683">
        <v>-1.357891E-2</v>
      </c>
      <c r="S683">
        <v>2.9977719999999999</v>
      </c>
      <c r="T683">
        <v>6.1762930000000001E-2</v>
      </c>
      <c r="U683">
        <v>-0.25927729999999999</v>
      </c>
      <c r="V683">
        <v>1.2289039999999999E-2</v>
      </c>
      <c r="W683">
        <v>6.7424899999999996E-2</v>
      </c>
      <c r="X683">
        <v>0.99764870000000005</v>
      </c>
      <c r="Y683">
        <v>8.4853479999999995E-2</v>
      </c>
      <c r="Z683">
        <v>8.4562299999999999E-4</v>
      </c>
      <c r="AA683">
        <v>0.99639310000000003</v>
      </c>
      <c r="AB683">
        <v>30</v>
      </c>
      <c r="AC683">
        <v>2.9977719999999999</v>
      </c>
      <c r="AD683">
        <v>6.1762930000000001E-2</v>
      </c>
      <c r="AE683">
        <v>-0.25927729999999999</v>
      </c>
      <c r="AF683">
        <v>0.25526640659611499</v>
      </c>
      <c r="AG683">
        <v>6.1762930000000001E-2</v>
      </c>
      <c r="AH683">
        <v>2.9968443809910399</v>
      </c>
      <c r="AI683">
        <v>88.823598678144194</v>
      </c>
      <c r="AJ683">
        <v>85.131389041500199</v>
      </c>
      <c r="AK683">
        <v>3.00833040767403</v>
      </c>
      <c r="AL683">
        <v>86.133904855222397</v>
      </c>
      <c r="AM683">
        <v>89.294266090645195</v>
      </c>
      <c r="AN683">
        <v>1.00000003312791</v>
      </c>
    </row>
    <row r="684" spans="1:40" x14ac:dyDescent="0.25">
      <c r="A684" t="str">
        <f>"20190312150647793"</f>
        <v>20190312150647793</v>
      </c>
      <c r="B684" t="str">
        <f>"1552374407791066"</f>
        <v>1552374407791066</v>
      </c>
      <c r="C684" t="s">
        <v>40</v>
      </c>
      <c r="D684">
        <v>4.364954</v>
      </c>
      <c r="E684">
        <v>0.52419340000000003</v>
      </c>
      <c r="F684" t="s">
        <v>48</v>
      </c>
      <c r="G684">
        <v>0</v>
      </c>
      <c r="H684">
        <v>0</v>
      </c>
      <c r="I684">
        <v>0</v>
      </c>
      <c r="J684">
        <v>-375.80860000000001</v>
      </c>
      <c r="K684">
        <v>1.110525</v>
      </c>
      <c r="L684">
        <v>367.50650000000002</v>
      </c>
      <c r="M684">
        <v>0.99989709999999998</v>
      </c>
      <c r="N684">
        <v>0</v>
      </c>
      <c r="O684">
        <v>-1.3274929999999999E-3</v>
      </c>
      <c r="P684">
        <v>0.99850989999999995</v>
      </c>
      <c r="Q684">
        <v>5.288706E-2</v>
      </c>
      <c r="R684">
        <v>-1.345735E-2</v>
      </c>
      <c r="S684">
        <v>2.9974669999999999</v>
      </c>
      <c r="T684">
        <v>6.5613270000000001E-2</v>
      </c>
      <c r="U684">
        <v>-0.26010129999999998</v>
      </c>
      <c r="V684">
        <v>1.214197E-2</v>
      </c>
      <c r="W684">
        <v>6.714755E-2</v>
      </c>
      <c r="X684">
        <v>0.99766920000000003</v>
      </c>
      <c r="Y684">
        <v>8.5106189999999998E-2</v>
      </c>
      <c r="Z684">
        <v>9.0060879999999996E-4</v>
      </c>
      <c r="AA684">
        <v>0.99637149999999997</v>
      </c>
      <c r="AB684">
        <v>30</v>
      </c>
      <c r="AC684">
        <v>2.9974669999999999</v>
      </c>
      <c r="AD684">
        <v>6.5613270000000001E-2</v>
      </c>
      <c r="AE684">
        <v>-0.26010129999999998</v>
      </c>
      <c r="AF684">
        <v>0.25599980187101201</v>
      </c>
      <c r="AG684">
        <v>6.5613270000000001E-2</v>
      </c>
      <c r="AH684">
        <v>2.99638467818516</v>
      </c>
      <c r="AI684">
        <v>88.750119267921093</v>
      </c>
      <c r="AJ684">
        <v>85.116723309853597</v>
      </c>
      <c r="AK684">
        <v>3.00801631302439</v>
      </c>
      <c r="AL684">
        <v>86.149831909985906</v>
      </c>
      <c r="AM684">
        <v>89.302725501117393</v>
      </c>
      <c r="AN684">
        <v>1.0000000267675599</v>
      </c>
    </row>
    <row r="685" spans="1:40" x14ac:dyDescent="0.25">
      <c r="A685" t="str">
        <f>"20190312150647805"</f>
        <v>20190312150647805</v>
      </c>
      <c r="B685" t="str">
        <f>"1552374407800826"</f>
        <v>1552374407800826</v>
      </c>
      <c r="C685" t="s">
        <v>40</v>
      </c>
      <c r="D685">
        <v>4.3481550000000002</v>
      </c>
      <c r="E685">
        <v>0.52459069999999997</v>
      </c>
      <c r="F685" t="s">
        <v>42</v>
      </c>
      <c r="G685">
        <v>-356.08350000000002</v>
      </c>
      <c r="H685" s="1">
        <v>-2.3081809999999999E-6</v>
      </c>
      <c r="I685">
        <v>365.97629999999998</v>
      </c>
      <c r="J685">
        <v>-375.65260000000001</v>
      </c>
      <c r="K685">
        <v>1.1105290000000001</v>
      </c>
      <c r="L685">
        <v>367.50619999999998</v>
      </c>
      <c r="M685">
        <v>0.99989720000000004</v>
      </c>
      <c r="N685">
        <v>0</v>
      </c>
      <c r="O685">
        <v>-1.3543019999999999E-3</v>
      </c>
      <c r="P685">
        <v>0.99850899999999998</v>
      </c>
      <c r="Q685">
        <v>5.283496E-2</v>
      </c>
      <c r="R685">
        <v>-1.3728789999999999E-2</v>
      </c>
      <c r="S685">
        <v>3.0103149999999999</v>
      </c>
      <c r="T685">
        <v>-0.16948060000000001</v>
      </c>
      <c r="U685">
        <v>-0.23352049999999999</v>
      </c>
      <c r="V685">
        <v>1.238657E-2</v>
      </c>
      <c r="W685">
        <v>6.709379E-2</v>
      </c>
      <c r="X685">
        <v>0.99766980000000005</v>
      </c>
      <c r="Y685">
        <v>7.5873339999999997E-2</v>
      </c>
      <c r="Z685">
        <v>-2.0548699999999999E-3</v>
      </c>
      <c r="AA685">
        <v>0.99711539999999999</v>
      </c>
      <c r="AB685">
        <v>30</v>
      </c>
      <c r="AC685">
        <v>19.569099999999899</v>
      </c>
      <c r="AD685">
        <v>-1.110531308181</v>
      </c>
      <c r="AE685">
        <v>-1.52989999999999</v>
      </c>
      <c r="AF685">
        <v>1.4985965511021</v>
      </c>
      <c r="AG685">
        <v>-1.110531308181</v>
      </c>
      <c r="AH685">
        <v>19.508708571750201</v>
      </c>
      <c r="AI685">
        <v>93.248490761315793</v>
      </c>
      <c r="AJ685">
        <v>85.607348133846401</v>
      </c>
      <c r="AK685">
        <v>19.597672860493098</v>
      </c>
      <c r="AL685">
        <v>86.152919054630402</v>
      </c>
      <c r="AM685">
        <v>89.288680762290596</v>
      </c>
      <c r="AN685">
        <v>1.0000000168024801</v>
      </c>
    </row>
    <row r="686" spans="1:40" x14ac:dyDescent="0.25">
      <c r="A686" t="str">
        <f>"20190312150647817"</f>
        <v>20190312150647817</v>
      </c>
      <c r="B686" t="str">
        <f>"1552374407811561"</f>
        <v>1552374407811561</v>
      </c>
      <c r="C686" t="s">
        <v>40</v>
      </c>
      <c r="D686">
        <v>4.4988060000000001</v>
      </c>
      <c r="E686">
        <v>0.52459069999999997</v>
      </c>
      <c r="F686" t="s">
        <v>42</v>
      </c>
      <c r="G686">
        <v>-354.94389999999999</v>
      </c>
      <c r="H686" s="1">
        <v>-2.815546E-6</v>
      </c>
      <c r="I686">
        <v>365.87209999999999</v>
      </c>
      <c r="J686">
        <v>-375.49239999999998</v>
      </c>
      <c r="K686">
        <v>1.1105309999999999</v>
      </c>
      <c r="L686">
        <v>367.5059</v>
      </c>
      <c r="M686">
        <v>0.99989689999999998</v>
      </c>
      <c r="N686">
        <v>0</v>
      </c>
      <c r="O686">
        <v>-1.382299E-3</v>
      </c>
      <c r="P686">
        <v>0.99851520000000005</v>
      </c>
      <c r="Q686">
        <v>5.2764640000000002E-2</v>
      </c>
      <c r="R686">
        <v>-1.3534879999999999E-2</v>
      </c>
      <c r="S686">
        <v>3.0097659999999999</v>
      </c>
      <c r="T686">
        <v>-0.1614013</v>
      </c>
      <c r="U686">
        <v>-0.2374878</v>
      </c>
      <c r="V686">
        <v>1.2164639999999999E-2</v>
      </c>
      <c r="W686">
        <v>6.7021940000000002E-2</v>
      </c>
      <c r="X686">
        <v>0.99767729999999999</v>
      </c>
      <c r="Y686">
        <v>7.7174789999999993E-2</v>
      </c>
      <c r="Z686">
        <v>-1.9906289999999998E-3</v>
      </c>
      <c r="AA686">
        <v>0.9970156</v>
      </c>
      <c r="AB686">
        <v>30</v>
      </c>
      <c r="AC686">
        <v>20.548499999999901</v>
      </c>
      <c r="AD686">
        <v>-1.1105338155459901</v>
      </c>
      <c r="AE686">
        <v>-1.6337999999999999</v>
      </c>
      <c r="AF686">
        <v>1.60074526469336</v>
      </c>
      <c r="AG686">
        <v>-1.1105338155459901</v>
      </c>
      <c r="AH686">
        <v>20.4912638911903</v>
      </c>
      <c r="AI686">
        <v>93.092733357298997</v>
      </c>
      <c r="AJ686">
        <v>85.533215364142094</v>
      </c>
      <c r="AK686">
        <v>20.583672330668001</v>
      </c>
      <c r="AL686">
        <v>86.157044813091801</v>
      </c>
      <c r="AM686">
        <v>89.301429435506293</v>
      </c>
      <c r="AN686">
        <v>0.99999995692149002</v>
      </c>
    </row>
    <row r="687" spans="1:40" x14ac:dyDescent="0.25">
      <c r="A687" t="str">
        <f>"20190312150647830"</f>
        <v>20190312150647830</v>
      </c>
      <c r="B687" t="str">
        <f>"1552374407821321"</f>
        <v>1552374407821321</v>
      </c>
      <c r="C687" t="s">
        <v>40</v>
      </c>
      <c r="D687">
        <v>4.38117</v>
      </c>
      <c r="E687">
        <v>0.52804479999999998</v>
      </c>
      <c r="F687" t="s">
        <v>42</v>
      </c>
      <c r="G687">
        <v>-354.8023</v>
      </c>
      <c r="H687" s="1">
        <v>-2.8753479999999999E-6</v>
      </c>
      <c r="I687">
        <v>365.87729999999999</v>
      </c>
      <c r="J687">
        <v>-375.32549999999998</v>
      </c>
      <c r="K687">
        <v>1.1105290000000001</v>
      </c>
      <c r="L687">
        <v>367.50569999999999</v>
      </c>
      <c r="M687">
        <v>0.99989700000000004</v>
      </c>
      <c r="N687">
        <v>0</v>
      </c>
      <c r="O687">
        <v>-1.4117260000000001E-3</v>
      </c>
      <c r="P687">
        <v>0.99851190000000001</v>
      </c>
      <c r="Q687">
        <v>5.2814569999999998E-2</v>
      </c>
      <c r="R687">
        <v>-1.3590990000000001E-2</v>
      </c>
      <c r="S687">
        <v>3.0097960000000001</v>
      </c>
      <c r="T687">
        <v>-0.16154930000000001</v>
      </c>
      <c r="U687">
        <v>-0.23690800000000001</v>
      </c>
      <c r="V687">
        <v>1.219129E-2</v>
      </c>
      <c r="W687">
        <v>6.7070469999999993E-2</v>
      </c>
      <c r="X687">
        <v>0.9976737</v>
      </c>
      <c r="Y687">
        <v>7.6953939999999998E-2</v>
      </c>
      <c r="Z687">
        <v>-1.9849580000000002E-3</v>
      </c>
      <c r="AA687">
        <v>0.99703269999999999</v>
      </c>
      <c r="AB687">
        <v>30</v>
      </c>
      <c r="AC687">
        <v>20.5231999999999</v>
      </c>
      <c r="AD687">
        <v>-1.110531875348</v>
      </c>
      <c r="AE687">
        <v>-1.6283999999999901</v>
      </c>
      <c r="AF687">
        <v>1.5947819689992699</v>
      </c>
      <c r="AG687">
        <v>-1.110531875348</v>
      </c>
      <c r="AH687">
        <v>20.465929173942001</v>
      </c>
      <c r="AI687">
        <v>93.096595655235106</v>
      </c>
      <c r="AJ687">
        <v>85.544301884736996</v>
      </c>
      <c r="AK687">
        <v>20.5579879250772</v>
      </c>
      <c r="AL687">
        <v>86.154257926688302</v>
      </c>
      <c r="AM687">
        <v>89.299896650130805</v>
      </c>
      <c r="AN687">
        <v>0.99999994358478494</v>
      </c>
    </row>
    <row r="688" spans="1:40" x14ac:dyDescent="0.25">
      <c r="A688" t="str">
        <f>"20190312150647839"</f>
        <v>20190312150647839</v>
      </c>
      <c r="B688" t="str">
        <f>"1552374407831081"</f>
        <v>1552374407831081</v>
      </c>
      <c r="C688" t="s">
        <v>40</v>
      </c>
      <c r="D688">
        <v>4.3894869999999999</v>
      </c>
      <c r="E688">
        <v>0.52781880000000003</v>
      </c>
      <c r="F688" t="s">
        <v>48</v>
      </c>
      <c r="G688">
        <v>0</v>
      </c>
      <c r="H688">
        <v>0</v>
      </c>
      <c r="I688">
        <v>0</v>
      </c>
      <c r="J688">
        <v>-375.17700000000002</v>
      </c>
      <c r="K688">
        <v>1.1105290000000001</v>
      </c>
      <c r="L688">
        <v>367.50540000000001</v>
      </c>
      <c r="M688">
        <v>0.99989709999999998</v>
      </c>
      <c r="N688">
        <v>0</v>
      </c>
      <c r="O688">
        <v>-1.437937E-3</v>
      </c>
      <c r="P688">
        <v>0.99850680000000003</v>
      </c>
      <c r="Q688">
        <v>5.2938190000000003E-2</v>
      </c>
      <c r="R688">
        <v>-1.3496620000000001E-2</v>
      </c>
      <c r="S688">
        <v>2.9926759999999999</v>
      </c>
      <c r="T688">
        <v>0.15505920000000001</v>
      </c>
      <c r="U688">
        <v>-0.26446530000000001</v>
      </c>
      <c r="V688">
        <v>1.2070839999999999E-2</v>
      </c>
      <c r="W688">
        <v>6.7192749999999996E-2</v>
      </c>
      <c r="X688">
        <v>0.99766699999999997</v>
      </c>
      <c r="Y688">
        <v>8.6482050000000005E-2</v>
      </c>
      <c r="Z688">
        <v>2.160281E-3</v>
      </c>
      <c r="AA688">
        <v>0.996251</v>
      </c>
      <c r="AB688">
        <v>30</v>
      </c>
      <c r="AC688">
        <v>2.9926759999999999</v>
      </c>
      <c r="AD688">
        <v>0.15505920000000001</v>
      </c>
      <c r="AE688">
        <v>-0.26446530000000001</v>
      </c>
      <c r="AF688">
        <v>0.25947013893910198</v>
      </c>
      <c r="AG688">
        <v>0.15505920000000001</v>
      </c>
      <c r="AH688">
        <v>2.9851015945636998</v>
      </c>
      <c r="AI688">
        <v>87.037629581915496</v>
      </c>
      <c r="AJ688">
        <v>85.032238802274904</v>
      </c>
      <c r="AK688">
        <v>3.0003665839981002</v>
      </c>
      <c r="AL688">
        <v>86.147236201864004</v>
      </c>
      <c r="AM688">
        <v>89.306808341299302</v>
      </c>
      <c r="AN688">
        <v>1.00000000685993</v>
      </c>
    </row>
    <row r="689" spans="1:40" x14ac:dyDescent="0.25">
      <c r="A689" t="str">
        <f>"20190312150647850"</f>
        <v>20190312150647850</v>
      </c>
      <c r="B689" t="str">
        <f>"1552374407840841"</f>
        <v>1552374407840841</v>
      </c>
      <c r="C689" t="s">
        <v>40</v>
      </c>
      <c r="D689">
        <v>4.410698</v>
      </c>
      <c r="E689">
        <v>0.52749869999999899</v>
      </c>
      <c r="F689" t="s">
        <v>48</v>
      </c>
      <c r="G689">
        <v>0</v>
      </c>
      <c r="H689">
        <v>0</v>
      </c>
      <c r="I689">
        <v>0</v>
      </c>
      <c r="J689">
        <v>-375.036</v>
      </c>
      <c r="K689">
        <v>1.11053</v>
      </c>
      <c r="L689">
        <v>367.5052</v>
      </c>
      <c r="M689">
        <v>0.99989709999999998</v>
      </c>
      <c r="N689">
        <v>0</v>
      </c>
      <c r="O689">
        <v>-1.46272E-3</v>
      </c>
      <c r="P689">
        <v>0.99849529999999997</v>
      </c>
      <c r="Q689">
        <v>5.31774E-2</v>
      </c>
      <c r="R689">
        <v>-1.339426E-2</v>
      </c>
      <c r="S689">
        <v>2.9923709999999999</v>
      </c>
      <c r="T689">
        <v>0.161969899999999</v>
      </c>
      <c r="U689">
        <v>-0.26229859999999999</v>
      </c>
      <c r="V689">
        <v>1.194375E-2</v>
      </c>
      <c r="W689">
        <v>6.7430149999999994E-2</v>
      </c>
      <c r="X689">
        <v>0.99765250000000005</v>
      </c>
      <c r="Y689">
        <v>8.5741139999999993E-2</v>
      </c>
      <c r="Z689">
        <v>2.2353859999999998E-3</v>
      </c>
      <c r="AA689">
        <v>0.9963149</v>
      </c>
      <c r="AB689">
        <v>30</v>
      </c>
      <c r="AC689">
        <v>2.9923709999999999</v>
      </c>
      <c r="AD689">
        <v>0.161969899999999</v>
      </c>
      <c r="AE689">
        <v>-0.26229859999999999</v>
      </c>
      <c r="AF689">
        <v>0.25717315229467202</v>
      </c>
      <c r="AG689">
        <v>0.161969899999999</v>
      </c>
      <c r="AH689">
        <v>2.9840754298573402</v>
      </c>
      <c r="AI689">
        <v>86.904595026685897</v>
      </c>
      <c r="AJ689">
        <v>85.074314317283793</v>
      </c>
      <c r="AK689">
        <v>2.9995130354518298</v>
      </c>
      <c r="AL689">
        <v>86.133603216771306</v>
      </c>
      <c r="AM689">
        <v>89.314096064904007</v>
      </c>
      <c r="AN689">
        <v>0.99999999452466704</v>
      </c>
    </row>
    <row r="690" spans="1:40" x14ac:dyDescent="0.25">
      <c r="A690" t="str">
        <f>"20190312150647861"</f>
        <v>20190312150647861</v>
      </c>
      <c r="B690" t="str">
        <f>"1552374407851579"</f>
        <v>1552374407851579</v>
      </c>
      <c r="C690" t="s">
        <v>40</v>
      </c>
      <c r="D690">
        <v>4.6850239999999896</v>
      </c>
      <c r="E690">
        <v>0.52735569999999998</v>
      </c>
      <c r="F690" t="s">
        <v>48</v>
      </c>
      <c r="G690">
        <v>0</v>
      </c>
      <c r="H690">
        <v>0</v>
      </c>
      <c r="I690">
        <v>0</v>
      </c>
      <c r="J690">
        <v>-374.88799999999998</v>
      </c>
      <c r="K690">
        <v>1.110535</v>
      </c>
      <c r="L690">
        <v>367.505</v>
      </c>
      <c r="M690">
        <v>0.99989689999999998</v>
      </c>
      <c r="N690">
        <v>0</v>
      </c>
      <c r="O690">
        <v>-1.4888130000000001E-3</v>
      </c>
      <c r="P690">
        <v>0.99850059999999996</v>
      </c>
      <c r="Q690">
        <v>5.3117159999999997E-2</v>
      </c>
      <c r="R690">
        <v>-1.322976E-2</v>
      </c>
      <c r="S690">
        <v>2.9921570000000002</v>
      </c>
      <c r="T690">
        <v>0.16680239999999999</v>
      </c>
      <c r="U690">
        <v>-0.259552</v>
      </c>
      <c r="V690">
        <v>1.17532E-2</v>
      </c>
      <c r="W690">
        <v>6.7368300000000006E-2</v>
      </c>
      <c r="X690">
        <v>0.99765899999999996</v>
      </c>
      <c r="Y690">
        <v>8.48077E-2</v>
      </c>
      <c r="Z690">
        <v>2.2748339999999999E-3</v>
      </c>
      <c r="AA690">
        <v>0.99639480000000002</v>
      </c>
      <c r="AB690">
        <v>30</v>
      </c>
      <c r="AC690">
        <v>2.9921570000000002</v>
      </c>
      <c r="AD690">
        <v>0.16680239999999999</v>
      </c>
      <c r="AE690">
        <v>-0.259552</v>
      </c>
      <c r="AF690">
        <v>0.254312078303431</v>
      </c>
      <c r="AG690">
        <v>0.16680239999999999</v>
      </c>
      <c r="AH690">
        <v>2.98333813737678</v>
      </c>
      <c r="AI690">
        <v>86.811388847158597</v>
      </c>
      <c r="AJ690">
        <v>85.127649811902998</v>
      </c>
      <c r="AK690">
        <v>2.9988004461356699</v>
      </c>
      <c r="AL690">
        <v>86.137155263192497</v>
      </c>
      <c r="AM690">
        <v>89.325042319105904</v>
      </c>
      <c r="AN690">
        <v>1.0000000529180599</v>
      </c>
    </row>
    <row r="691" spans="1:40" x14ac:dyDescent="0.25">
      <c r="A691" t="str">
        <f>"20190312150647873"</f>
        <v>20190312150647873</v>
      </c>
      <c r="B691" t="str">
        <f>"1552374407861337"</f>
        <v>1552374407861337</v>
      </c>
      <c r="C691" t="s">
        <v>40</v>
      </c>
      <c r="D691">
        <v>4.4099919999999999</v>
      </c>
      <c r="E691">
        <v>0.52727029999999997</v>
      </c>
      <c r="F691" t="s">
        <v>48</v>
      </c>
      <c r="G691">
        <v>0</v>
      </c>
      <c r="H691">
        <v>0</v>
      </c>
      <c r="I691">
        <v>0</v>
      </c>
      <c r="J691">
        <v>-374.74459999999999</v>
      </c>
      <c r="K691">
        <v>1.110536</v>
      </c>
      <c r="L691">
        <v>367.50479999999999</v>
      </c>
      <c r="M691">
        <v>0.99989689999999998</v>
      </c>
      <c r="N691">
        <v>0</v>
      </c>
      <c r="O691">
        <v>-1.5140729999999999E-3</v>
      </c>
      <c r="P691">
        <v>0.99848159999999997</v>
      </c>
      <c r="Q691">
        <v>5.345391E-2</v>
      </c>
      <c r="R691">
        <v>-1.3316059999999999E-2</v>
      </c>
      <c r="S691">
        <v>2.9922789999999999</v>
      </c>
      <c r="T691">
        <v>0.16638359999999999</v>
      </c>
      <c r="U691">
        <v>-0.25784299999999999</v>
      </c>
      <c r="V691">
        <v>1.181403E-2</v>
      </c>
      <c r="W691">
        <v>6.7703219999999995E-2</v>
      </c>
      <c r="X691">
        <v>0.99763550000000001</v>
      </c>
      <c r="Y691">
        <v>8.4215780000000004E-2</v>
      </c>
      <c r="Z691">
        <v>2.25128E-3</v>
      </c>
      <c r="AA691">
        <v>0.99644500000000003</v>
      </c>
      <c r="AB691">
        <v>30</v>
      </c>
      <c r="AC691">
        <v>2.9922789999999999</v>
      </c>
      <c r="AD691">
        <v>0.16638359999999999</v>
      </c>
      <c r="AE691">
        <v>-0.25784299999999999</v>
      </c>
      <c r="AF691">
        <v>0.25253666576781503</v>
      </c>
      <c r="AG691">
        <v>0.16638359999999999</v>
      </c>
      <c r="AH691">
        <v>2.9835094605897501</v>
      </c>
      <c r="AI691">
        <v>86.819399878409598</v>
      </c>
      <c r="AJ691">
        <v>85.161779310795396</v>
      </c>
      <c r="AK691">
        <v>2.9987975875898401</v>
      </c>
      <c r="AL691">
        <v>86.117921425798599</v>
      </c>
      <c r="AM691">
        <v>89.3215333460099</v>
      </c>
      <c r="AN691">
        <v>0.99999994408172799</v>
      </c>
    </row>
    <row r="692" spans="1:40" x14ac:dyDescent="0.25">
      <c r="A692" t="str">
        <f>"20190312150647883"</f>
        <v>20190312150647883</v>
      </c>
      <c r="B692" t="str">
        <f>"1552374407871097"</f>
        <v>1552374407871097</v>
      </c>
      <c r="C692" t="s">
        <v>40</v>
      </c>
      <c r="D692">
        <v>4.4066070000000002</v>
      </c>
      <c r="E692">
        <v>0.52730519999999903</v>
      </c>
      <c r="F692" t="s">
        <v>48</v>
      </c>
      <c r="G692">
        <v>0</v>
      </c>
      <c r="H692">
        <v>0</v>
      </c>
      <c r="I692">
        <v>0</v>
      </c>
      <c r="J692">
        <v>-374.59219999999999</v>
      </c>
      <c r="K692">
        <v>1.1105370000000001</v>
      </c>
      <c r="L692">
        <v>367.50450000000001</v>
      </c>
      <c r="M692">
        <v>0.99989689999999998</v>
      </c>
      <c r="N692">
        <v>0</v>
      </c>
      <c r="O692">
        <v>-1.54112E-3</v>
      </c>
      <c r="P692">
        <v>0.99847589999999997</v>
      </c>
      <c r="Q692">
        <v>5.3565649999999999E-2</v>
      </c>
      <c r="R692">
        <v>-1.329404E-2</v>
      </c>
      <c r="S692">
        <v>2.9921880000000001</v>
      </c>
      <c r="T692">
        <v>0.1678772</v>
      </c>
      <c r="U692">
        <v>-0.25741579999999997</v>
      </c>
      <c r="V692">
        <v>1.176526E-2</v>
      </c>
      <c r="W692">
        <v>6.7814070000000004E-2</v>
      </c>
      <c r="X692">
        <v>0.99762859999999998</v>
      </c>
      <c r="Y692">
        <v>8.4048200000000003E-2</v>
      </c>
      <c r="Z692">
        <v>2.2653389999999999E-3</v>
      </c>
      <c r="AA692">
        <v>0.99645910000000004</v>
      </c>
      <c r="AB692">
        <v>30</v>
      </c>
      <c r="AC692">
        <v>2.9921880000000001</v>
      </c>
      <c r="AD692">
        <v>0.1678772</v>
      </c>
      <c r="AE692">
        <v>-0.25741579999999997</v>
      </c>
      <c r="AF692">
        <v>0.25201623748414698</v>
      </c>
      <c r="AG692">
        <v>0.1678772</v>
      </c>
      <c r="AH692">
        <v>2.9832595122515801</v>
      </c>
      <c r="AI692">
        <v>86.790594220490703</v>
      </c>
      <c r="AJ692">
        <v>85.171300125466004</v>
      </c>
      <c r="AK692">
        <v>2.998588377166</v>
      </c>
      <c r="AL692">
        <v>86.111555761954904</v>
      </c>
      <c r="AM692">
        <v>89.324329220137699</v>
      </c>
      <c r="AN692">
        <v>0.99999999648539595</v>
      </c>
    </row>
    <row r="693" spans="1:40" x14ac:dyDescent="0.25">
      <c r="A693" t="str">
        <f>"20190312150647894"</f>
        <v>20190312150647894</v>
      </c>
      <c r="B693" t="str">
        <f>"1552374407891593"</f>
        <v>1552374407891593</v>
      </c>
      <c r="C693" t="s">
        <v>40</v>
      </c>
      <c r="D693">
        <v>4.4436660000000003</v>
      </c>
      <c r="E693">
        <v>0.52730310000000002</v>
      </c>
      <c r="F693" t="s">
        <v>48</v>
      </c>
      <c r="G693">
        <v>0</v>
      </c>
      <c r="H693">
        <v>0</v>
      </c>
      <c r="I693">
        <v>0</v>
      </c>
      <c r="J693">
        <v>-374.45119999999997</v>
      </c>
      <c r="K693">
        <v>1.1105400000000001</v>
      </c>
      <c r="L693">
        <v>367.50420000000003</v>
      </c>
      <c r="M693">
        <v>0.99989689999999998</v>
      </c>
      <c r="N693">
        <v>0</v>
      </c>
      <c r="O693">
        <v>-1.565669E-3</v>
      </c>
      <c r="P693">
        <v>0.99847319999999995</v>
      </c>
      <c r="Q693">
        <v>5.3577739999999999E-2</v>
      </c>
      <c r="R693">
        <v>-1.345696E-2</v>
      </c>
      <c r="S693">
        <v>2.9921880000000001</v>
      </c>
      <c r="T693">
        <v>0.16724120000000001</v>
      </c>
      <c r="U693">
        <v>-0.25772089999999998</v>
      </c>
      <c r="V693">
        <v>1.190364E-2</v>
      </c>
      <c r="W693">
        <v>6.7824540000000003E-2</v>
      </c>
      <c r="X693">
        <v>0.99762620000000002</v>
      </c>
      <c r="Y693">
        <v>8.4125500000000006E-2</v>
      </c>
      <c r="Z693">
        <v>2.257546E-3</v>
      </c>
      <c r="AA693">
        <v>0.99645260000000002</v>
      </c>
      <c r="AB693">
        <v>30</v>
      </c>
      <c r="AC693">
        <v>2.9921880000000001</v>
      </c>
      <c r="AD693">
        <v>0.16724120000000001</v>
      </c>
      <c r="AE693">
        <v>-0.25772089999999998</v>
      </c>
      <c r="AF693">
        <v>0.25225309917696498</v>
      </c>
      <c r="AG693">
        <v>0.16724120000000001</v>
      </c>
      <c r="AH693">
        <v>2.9833366141911801</v>
      </c>
      <c r="AI693">
        <v>86.802830859839005</v>
      </c>
      <c r="AJ693">
        <v>85.166907598503101</v>
      </c>
      <c r="AK693">
        <v>2.9986494624406399</v>
      </c>
      <c r="AL693">
        <v>86.110954309331206</v>
      </c>
      <c r="AM693">
        <v>89.316381257414093</v>
      </c>
      <c r="AN693">
        <v>0.99999994989894903</v>
      </c>
    </row>
    <row r="694" spans="1:40" x14ac:dyDescent="0.25">
      <c r="A694" t="str">
        <f>"20190312150647906"</f>
        <v>20190312150647906</v>
      </c>
      <c r="B694" t="str">
        <f>"1552374407901353"</f>
        <v>1552374407901353</v>
      </c>
      <c r="C694" t="s">
        <v>40</v>
      </c>
      <c r="D694">
        <v>4.434247</v>
      </c>
      <c r="E694">
        <v>0.52733079999999999</v>
      </c>
      <c r="F694" t="s">
        <v>48</v>
      </c>
      <c r="G694">
        <v>0</v>
      </c>
      <c r="H694">
        <v>0</v>
      </c>
      <c r="I694">
        <v>0</v>
      </c>
      <c r="J694">
        <v>-374.29500000000002</v>
      </c>
      <c r="K694">
        <v>1.110544</v>
      </c>
      <c r="L694">
        <v>367.50400000000002</v>
      </c>
      <c r="M694">
        <v>0.99989689999999998</v>
      </c>
      <c r="N694">
        <v>0</v>
      </c>
      <c r="O694">
        <v>-1.593077E-3</v>
      </c>
      <c r="P694">
        <v>0.99846190000000001</v>
      </c>
      <c r="Q694">
        <v>5.3757989999999999E-2</v>
      </c>
      <c r="R694">
        <v>-1.356628E-2</v>
      </c>
      <c r="S694">
        <v>2.9922179999999998</v>
      </c>
      <c r="T694">
        <v>0.16620289999999999</v>
      </c>
      <c r="U694">
        <v>-0.25802609999999998</v>
      </c>
      <c r="V694">
        <v>1.1985839999999999E-2</v>
      </c>
      <c r="W694">
        <v>6.8002930000000003E-2</v>
      </c>
      <c r="X694">
        <v>0.99761310000000003</v>
      </c>
      <c r="Y694">
        <v>8.419973E-2</v>
      </c>
      <c r="Z694">
        <v>2.2440569999999998E-3</v>
      </c>
      <c r="AA694">
        <v>0.99644639999999995</v>
      </c>
      <c r="AB694">
        <v>30</v>
      </c>
      <c r="AC694">
        <v>2.9922179999999998</v>
      </c>
      <c r="AD694">
        <v>0.16620289999999999</v>
      </c>
      <c r="AE694">
        <v>-0.25802609999999998</v>
      </c>
      <c r="AF694">
        <v>0.25248522244188998</v>
      </c>
      <c r="AG694">
        <v>0.16620289999999999</v>
      </c>
      <c r="AH694">
        <v>2.9834884260437602</v>
      </c>
      <c r="AI694">
        <v>86.822820282041107</v>
      </c>
      <c r="AJ694">
        <v>85.162726267812602</v>
      </c>
      <c r="AK694">
        <v>2.99876230799592</v>
      </c>
      <c r="AL694">
        <v>86.100709771841295</v>
      </c>
      <c r="AM694">
        <v>89.311651976554103</v>
      </c>
      <c r="AN694">
        <v>0.99999997807035002</v>
      </c>
    </row>
    <row r="695" spans="1:40" x14ac:dyDescent="0.25">
      <c r="A695" t="str">
        <f>"20190312150647917"</f>
        <v>20190312150647917</v>
      </c>
      <c r="B695" t="str">
        <f>"1552374407911119"</f>
        <v>1552374407911119</v>
      </c>
      <c r="C695" t="s">
        <v>40</v>
      </c>
      <c r="D695">
        <v>4.4306109999999999</v>
      </c>
      <c r="E695">
        <v>0.52743969999999996</v>
      </c>
      <c r="F695" t="s">
        <v>48</v>
      </c>
      <c r="G695">
        <v>0</v>
      </c>
      <c r="H695">
        <v>0</v>
      </c>
      <c r="I695">
        <v>0</v>
      </c>
      <c r="J695">
        <v>-374.125</v>
      </c>
      <c r="K695">
        <v>1.11054599999999</v>
      </c>
      <c r="L695">
        <v>367.50369999999998</v>
      </c>
      <c r="M695">
        <v>0.99989689999999998</v>
      </c>
      <c r="N695">
        <v>0</v>
      </c>
      <c r="O695">
        <v>-1.6234579999999999E-3</v>
      </c>
      <c r="P695">
        <v>0.99843850000000001</v>
      </c>
      <c r="Q695">
        <v>5.414211E-2</v>
      </c>
      <c r="R695">
        <v>-1.3760100000000001E-2</v>
      </c>
      <c r="S695">
        <v>2.9921259999999998</v>
      </c>
      <c r="T695">
        <v>0.16758729999999999</v>
      </c>
      <c r="U695">
        <v>-0.25848389999999999</v>
      </c>
      <c r="V695">
        <v>1.214938E-2</v>
      </c>
      <c r="W695">
        <v>6.8384479999999997E-2</v>
      </c>
      <c r="X695">
        <v>0.9975851</v>
      </c>
      <c r="Y695">
        <v>8.4321110000000005E-2</v>
      </c>
      <c r="Z695">
        <v>2.264467E-3</v>
      </c>
      <c r="AA695">
        <v>0.99643610000000005</v>
      </c>
      <c r="AB695">
        <v>30</v>
      </c>
      <c r="AC695">
        <v>2.9921259999999998</v>
      </c>
      <c r="AD695">
        <v>0.16758729999999999</v>
      </c>
      <c r="AE695">
        <v>-0.25848389999999999</v>
      </c>
      <c r="AF695">
        <v>0.252838181554988</v>
      </c>
      <c r="AG695">
        <v>0.16758729999999999</v>
      </c>
      <c r="AH695">
        <v>2.98325242791286</v>
      </c>
      <c r="AI695">
        <v>86.796191318378007</v>
      </c>
      <c r="AJ695">
        <v>85.155614830989293</v>
      </c>
      <c r="AK695">
        <v>2.9986343054499498</v>
      </c>
      <c r="AL695">
        <v>86.078797793017102</v>
      </c>
      <c r="AM695">
        <v>89.302241197776695</v>
      </c>
      <c r="AN695">
        <v>1.00000003814063</v>
      </c>
    </row>
    <row r="696" spans="1:40" x14ac:dyDescent="0.25">
      <c r="A696" t="str">
        <f>"20190312150647930"</f>
        <v>20190312150647930</v>
      </c>
      <c r="B696" t="str">
        <f>"1552374407920873"</f>
        <v>1552374407920873</v>
      </c>
      <c r="C696" t="s">
        <v>40</v>
      </c>
      <c r="D696">
        <v>4.432226</v>
      </c>
      <c r="E696">
        <v>0.52744279999999999</v>
      </c>
      <c r="F696" t="s">
        <v>48</v>
      </c>
      <c r="G696">
        <v>0</v>
      </c>
      <c r="H696">
        <v>0</v>
      </c>
      <c r="I696">
        <v>0</v>
      </c>
      <c r="J696">
        <v>-373.97160000000002</v>
      </c>
      <c r="K696">
        <v>1.110552</v>
      </c>
      <c r="L696">
        <v>367.5034</v>
      </c>
      <c r="M696">
        <v>0.99989689999999998</v>
      </c>
      <c r="N696">
        <v>0</v>
      </c>
      <c r="O696">
        <v>-1.65050299999999E-3</v>
      </c>
      <c r="P696">
        <v>0.99841040000000003</v>
      </c>
      <c r="Q696">
        <v>5.4589730000000003E-2</v>
      </c>
      <c r="R696">
        <v>-1.402222E-2</v>
      </c>
      <c r="S696">
        <v>2.991943</v>
      </c>
      <c r="T696">
        <v>0.16904649999999999</v>
      </c>
      <c r="U696">
        <v>-0.26007079999999999</v>
      </c>
      <c r="V696">
        <v>1.2384320000000001E-2</v>
      </c>
      <c r="W696">
        <v>6.8830219999999998E-2</v>
      </c>
      <c r="X696">
        <v>0.99755150000000004</v>
      </c>
      <c r="Y696">
        <v>8.4820939999999997E-2</v>
      </c>
      <c r="Z696">
        <v>2.296799E-3</v>
      </c>
      <c r="AA696">
        <v>0.99639359999999999</v>
      </c>
      <c r="AB696">
        <v>30</v>
      </c>
      <c r="AC696">
        <v>2.991943</v>
      </c>
      <c r="AD696">
        <v>0.16904649999999999</v>
      </c>
      <c r="AE696">
        <v>-0.26007079999999999</v>
      </c>
      <c r="AF696">
        <v>0.25432593226544797</v>
      </c>
      <c r="AG696">
        <v>0.16904649999999999</v>
      </c>
      <c r="AH696">
        <v>2.9829172131485699</v>
      </c>
      <c r="AI696">
        <v>86.768130246178501</v>
      </c>
      <c r="AJ696">
        <v>85.126701391252993</v>
      </c>
      <c r="AK696">
        <v>2.9985085458412399</v>
      </c>
      <c r="AL696">
        <v>86.053198235788003</v>
      </c>
      <c r="AM696">
        <v>89.2887256273589</v>
      </c>
      <c r="AN696">
        <v>0.99999998285967995</v>
      </c>
    </row>
    <row r="697" spans="1:40" x14ac:dyDescent="0.25">
      <c r="A697" t="str">
        <f>"20190312150647943"</f>
        <v>20190312150647943</v>
      </c>
      <c r="B697" t="str">
        <f>"1552374407931609"</f>
        <v>1552374407931609</v>
      </c>
      <c r="C697" t="s">
        <v>40</v>
      </c>
      <c r="D697">
        <v>4.4311759999999998</v>
      </c>
      <c r="E697">
        <v>0.52744279999999999</v>
      </c>
      <c r="F697" t="s">
        <v>48</v>
      </c>
      <c r="G697">
        <v>0</v>
      </c>
      <c r="H697">
        <v>0</v>
      </c>
      <c r="I697">
        <v>0</v>
      </c>
      <c r="J697">
        <v>-373.79419999999999</v>
      </c>
      <c r="K697">
        <v>1.1105579999999999</v>
      </c>
      <c r="L697">
        <v>367.50310000000002</v>
      </c>
      <c r="M697">
        <v>0.99989680000000003</v>
      </c>
      <c r="N697">
        <v>0</v>
      </c>
      <c r="O697">
        <v>-1.68172E-3</v>
      </c>
      <c r="P697">
        <v>0.99838360000000004</v>
      </c>
      <c r="Q697">
        <v>5.4963369999999998E-2</v>
      </c>
      <c r="R697">
        <v>-1.447172E-2</v>
      </c>
      <c r="S697">
        <v>2.9916689999999999</v>
      </c>
      <c r="T697">
        <v>0.17239949999999901</v>
      </c>
      <c r="U697">
        <v>-0.26089479999999998</v>
      </c>
      <c r="V697">
        <v>1.2802829999999999E-2</v>
      </c>
      <c r="W697">
        <v>6.9201730000000003E-2</v>
      </c>
      <c r="X697">
        <v>0.99752050000000003</v>
      </c>
      <c r="Y697">
        <v>8.5064459999999995E-2</v>
      </c>
      <c r="Z697">
        <v>2.347671E-3</v>
      </c>
      <c r="AA697">
        <v>0.9963727</v>
      </c>
      <c r="AB697">
        <v>30</v>
      </c>
      <c r="AC697">
        <v>2.9916689999999999</v>
      </c>
      <c r="AD697">
        <v>0.17239949999999901</v>
      </c>
      <c r="AE697">
        <v>-0.26089479999999998</v>
      </c>
      <c r="AF697">
        <v>0.25502227897292301</v>
      </c>
      <c r="AG697">
        <v>0.17239949999999901</v>
      </c>
      <c r="AH697">
        <v>2.98227472631056</v>
      </c>
      <c r="AI697">
        <v>86.703528521634993</v>
      </c>
      <c r="AJ697">
        <v>85.112375136516505</v>
      </c>
      <c r="AK697">
        <v>2.9981194928760799</v>
      </c>
      <c r="AL697">
        <v>86.031861352257394</v>
      </c>
      <c r="AM697">
        <v>89.264668896444107</v>
      </c>
      <c r="AN697">
        <v>0.99999996990562501</v>
      </c>
    </row>
    <row r="698" spans="1:40" x14ac:dyDescent="0.25">
      <c r="A698" t="str">
        <f>"20190312150647962"</f>
        <v>20190312150647962</v>
      </c>
      <c r="B698" t="str">
        <f>"1552374407951129"</f>
        <v>1552374407951129</v>
      </c>
      <c r="C698" t="s">
        <v>40</v>
      </c>
      <c r="D698">
        <v>4.4291660000000004</v>
      </c>
      <c r="E698">
        <v>0.5258062</v>
      </c>
      <c r="F698" t="s">
        <v>48</v>
      </c>
      <c r="G698">
        <v>0</v>
      </c>
      <c r="H698">
        <v>0</v>
      </c>
      <c r="I698">
        <v>0</v>
      </c>
      <c r="J698">
        <v>-373.53590000000003</v>
      </c>
      <c r="K698">
        <v>1.110573</v>
      </c>
      <c r="L698">
        <v>367.50259999999997</v>
      </c>
      <c r="M698">
        <v>0.99989669999999997</v>
      </c>
      <c r="N698">
        <v>0</v>
      </c>
      <c r="O698">
        <v>-1.727592E-3</v>
      </c>
      <c r="P698">
        <v>0.99830039999999998</v>
      </c>
      <c r="Q698">
        <v>5.5984939999999997E-2</v>
      </c>
      <c r="R698">
        <v>-1.6196749999999999E-2</v>
      </c>
      <c r="S698">
        <v>2.9915470000000002</v>
      </c>
      <c r="T698">
        <v>0.1733915</v>
      </c>
      <c r="U698">
        <v>-0.26229859999999999</v>
      </c>
      <c r="V698">
        <v>1.448227E-2</v>
      </c>
      <c r="W698">
        <v>7.0219229999999994E-2</v>
      </c>
      <c r="X698">
        <v>0.99742649999999999</v>
      </c>
      <c r="Y698">
        <v>8.5484039999999997E-2</v>
      </c>
      <c r="Z698">
        <v>2.3706780000000002E-3</v>
      </c>
      <c r="AA698">
        <v>0.99633669999999996</v>
      </c>
      <c r="AB698">
        <v>30</v>
      </c>
      <c r="AC698">
        <v>2.9915470000000002</v>
      </c>
      <c r="AD698">
        <v>0.1733915</v>
      </c>
      <c r="AE698">
        <v>-0.26229859999999999</v>
      </c>
      <c r="AF698">
        <v>0.25627514266064699</v>
      </c>
      <c r="AG698">
        <v>0.1733915</v>
      </c>
      <c r="AH698">
        <v>2.9820541899127702</v>
      </c>
      <c r="AI698">
        <v>86.6844779812442</v>
      </c>
      <c r="AJ698">
        <v>85.088119120689697</v>
      </c>
      <c r="AK698">
        <v>2.9980641675244799</v>
      </c>
      <c r="AL698">
        <v>85.973421043374699</v>
      </c>
      <c r="AM698">
        <v>89.1681445747857</v>
      </c>
      <c r="AN698">
        <v>1.0000000496541901</v>
      </c>
    </row>
    <row r="699" spans="1:40" x14ac:dyDescent="0.25">
      <c r="A699" t="str">
        <f>"20190312150647975"</f>
        <v>20190312150647975</v>
      </c>
      <c r="B699" t="str">
        <f>"1552374407971625"</f>
        <v>1552374407971625</v>
      </c>
      <c r="C699" t="s">
        <v>40</v>
      </c>
      <c r="D699">
        <v>4.431565</v>
      </c>
      <c r="E699">
        <v>0.52603059999999902</v>
      </c>
      <c r="F699" t="s">
        <v>42</v>
      </c>
      <c r="G699">
        <v>-351.07040000000001</v>
      </c>
      <c r="H699" s="1">
        <v>-4.5245319999999997E-6</v>
      </c>
      <c r="I699">
        <v>365.60550000000001</v>
      </c>
      <c r="J699">
        <v>-373.36439999999999</v>
      </c>
      <c r="K699">
        <v>1.1105780000000001</v>
      </c>
      <c r="L699">
        <v>367.50229999999999</v>
      </c>
      <c r="M699">
        <v>0.99989669999999997</v>
      </c>
      <c r="N699">
        <v>0</v>
      </c>
      <c r="O699">
        <v>-1.7579760000000001E-3</v>
      </c>
      <c r="P699">
        <v>0.99828300000000003</v>
      </c>
      <c r="Q699">
        <v>5.6196959999999997E-2</v>
      </c>
      <c r="R699">
        <v>-1.6524250000000001E-2</v>
      </c>
      <c r="S699">
        <v>3.0093079999999999</v>
      </c>
      <c r="T699">
        <v>-0.14876429999999999</v>
      </c>
      <c r="U699">
        <v>-0.25411990000000001</v>
      </c>
      <c r="V699">
        <v>1.477939E-2</v>
      </c>
      <c r="W699">
        <v>7.0428980000000002E-2</v>
      </c>
      <c r="X699">
        <v>0.9974073</v>
      </c>
      <c r="Y699">
        <v>8.2295460000000001E-2</v>
      </c>
      <c r="Z699">
        <v>-1.942575E-3</v>
      </c>
      <c r="AA699">
        <v>0.99660610000000005</v>
      </c>
      <c r="AB699">
        <v>30</v>
      </c>
      <c r="AC699">
        <v>22.293999999999901</v>
      </c>
      <c r="AD699">
        <v>-1.110582524532</v>
      </c>
      <c r="AE699">
        <v>-1.8967999999999801</v>
      </c>
      <c r="AF699">
        <v>1.8530353829711399</v>
      </c>
      <c r="AG699">
        <v>-1.110582524532</v>
      </c>
      <c r="AH699">
        <v>22.242500880422799</v>
      </c>
      <c r="AI699">
        <v>92.848589553110401</v>
      </c>
      <c r="AJ699">
        <v>85.237653671406306</v>
      </c>
      <c r="AK699">
        <v>22.347169375335898</v>
      </c>
      <c r="AL699">
        <v>85.961373213014497</v>
      </c>
      <c r="AM699">
        <v>89.151064261694998</v>
      </c>
      <c r="AN699">
        <v>0.99999999684295104</v>
      </c>
    </row>
    <row r="700" spans="1:40" x14ac:dyDescent="0.25">
      <c r="A700" t="str">
        <f>"20190312150647989"</f>
        <v>20190312150647989</v>
      </c>
      <c r="B700" t="str">
        <f>"1552374407981386"</f>
        <v>1552374407981386</v>
      </c>
      <c r="C700" t="s">
        <v>40</v>
      </c>
      <c r="D700">
        <v>4.4498499999999996</v>
      </c>
      <c r="E700">
        <v>0.52603059999999902</v>
      </c>
      <c r="F700" t="s">
        <v>42</v>
      </c>
      <c r="G700">
        <v>-351.75459999999998</v>
      </c>
      <c r="H700" s="1">
        <v>-4.2216369999999999E-6</v>
      </c>
      <c r="I700">
        <v>365.6583</v>
      </c>
      <c r="J700">
        <v>-373.18669999999997</v>
      </c>
      <c r="K700">
        <v>1.1105799999999999</v>
      </c>
      <c r="L700">
        <v>367.50189999999998</v>
      </c>
      <c r="M700">
        <v>0.99989680000000003</v>
      </c>
      <c r="N700">
        <v>0</v>
      </c>
      <c r="O700">
        <v>-1.7899089999999999E-3</v>
      </c>
      <c r="P700">
        <v>0.99824480000000004</v>
      </c>
      <c r="Q700">
        <v>5.6702500000000003E-2</v>
      </c>
      <c r="R700">
        <v>-1.7107629999999999E-2</v>
      </c>
      <c r="S700">
        <v>3.0096440000000002</v>
      </c>
      <c r="T700">
        <v>-0.15467239999999999</v>
      </c>
      <c r="U700">
        <v>-0.25680540000000002</v>
      </c>
      <c r="V700">
        <v>1.5331239999999999E-2</v>
      </c>
      <c r="W700">
        <v>7.0932220000000004E-2</v>
      </c>
      <c r="X700">
        <v>0.99736329999999995</v>
      </c>
      <c r="Y700">
        <v>8.3128279999999999E-2</v>
      </c>
      <c r="Z700">
        <v>-2.0390360000000001E-3</v>
      </c>
      <c r="AA700">
        <v>0.9965368</v>
      </c>
      <c r="AB700">
        <v>30</v>
      </c>
      <c r="AC700">
        <v>21.432099999999899</v>
      </c>
      <c r="AD700">
        <v>-1.1105842216370001</v>
      </c>
      <c r="AE700">
        <v>-1.8435999999999799</v>
      </c>
      <c r="AF700">
        <v>1.80043266245388</v>
      </c>
      <c r="AG700">
        <v>-1.1105842216370001</v>
      </c>
      <c r="AH700">
        <v>21.378382697047901</v>
      </c>
      <c r="AI700">
        <v>92.963310174874906</v>
      </c>
      <c r="AJ700">
        <v>85.186055769920003</v>
      </c>
      <c r="AK700">
        <v>21.482788502119899</v>
      </c>
      <c r="AL700">
        <v>85.932467360999297</v>
      </c>
      <c r="AM700">
        <v>89.119331772887904</v>
      </c>
      <c r="AN700">
        <v>0.99999998947047797</v>
      </c>
    </row>
    <row r="701" spans="1:40" x14ac:dyDescent="0.25">
      <c r="A701" t="str">
        <f>"20190312150648000"</f>
        <v>20190312150648000</v>
      </c>
      <c r="B701" t="str">
        <f>"1552374407991146"</f>
        <v>1552374407991146</v>
      </c>
      <c r="C701" t="s">
        <v>40</v>
      </c>
      <c r="D701">
        <v>4.4674809999999896</v>
      </c>
      <c r="E701">
        <v>0.51720979999999905</v>
      </c>
      <c r="F701" t="s">
        <v>42</v>
      </c>
      <c r="G701">
        <v>-351.36540000000002</v>
      </c>
      <c r="H701" s="1">
        <v>-4.3941570000000001E-6</v>
      </c>
      <c r="I701">
        <v>365.62700000000001</v>
      </c>
      <c r="J701">
        <v>-373.01519999999999</v>
      </c>
      <c r="K701">
        <v>1.1105830000000001</v>
      </c>
      <c r="L701">
        <v>367.5016</v>
      </c>
      <c r="M701">
        <v>0.99989680000000003</v>
      </c>
      <c r="N701">
        <v>0</v>
      </c>
      <c r="O701">
        <v>-1.819818E-3</v>
      </c>
      <c r="P701">
        <v>0.99823550000000005</v>
      </c>
      <c r="Q701">
        <v>5.6758370000000002E-2</v>
      </c>
      <c r="R701">
        <v>-1.7454799999999999E-2</v>
      </c>
      <c r="S701">
        <v>3.0095830000000001</v>
      </c>
      <c r="T701">
        <v>-0.153170899999999</v>
      </c>
      <c r="U701">
        <v>-0.25857540000000001</v>
      </c>
      <c r="V701">
        <v>1.5648410000000001E-2</v>
      </c>
      <c r="W701">
        <v>7.0985960000000001E-2</v>
      </c>
      <c r="X701">
        <v>0.99735459999999998</v>
      </c>
      <c r="Y701">
        <v>8.3683389999999996E-2</v>
      </c>
      <c r="Z701">
        <v>-2.0318290000000002E-3</v>
      </c>
      <c r="AA701">
        <v>0.99649030000000005</v>
      </c>
      <c r="AB701">
        <v>30</v>
      </c>
      <c r="AC701">
        <v>21.6497999999999</v>
      </c>
      <c r="AD701">
        <v>-1.1105873941569999</v>
      </c>
      <c r="AE701">
        <v>-1.87460000000004</v>
      </c>
      <c r="AF701">
        <v>1.83041337222114</v>
      </c>
      <c r="AG701">
        <v>-1.1105873941569999</v>
      </c>
      <c r="AH701">
        <v>21.5967676827884</v>
      </c>
      <c r="AI701">
        <v>92.933274547604597</v>
      </c>
      <c r="AJ701">
        <v>85.155528594826393</v>
      </c>
      <c r="AK701">
        <v>21.702630988375599</v>
      </c>
      <c r="AL701">
        <v>85.929380705229505</v>
      </c>
      <c r="AM701">
        <v>89.101107782619394</v>
      </c>
      <c r="AN701">
        <v>1.0000000386968999</v>
      </c>
    </row>
    <row r="702" spans="1:40" x14ac:dyDescent="0.25">
      <c r="A702" t="str">
        <f>"20190312150648018"</f>
        <v>20190312150648018</v>
      </c>
      <c r="B702" t="str">
        <f>"1552374408011641"</f>
        <v>1552374408011641</v>
      </c>
      <c r="C702" t="s">
        <v>40</v>
      </c>
      <c r="D702">
        <v>4.460229</v>
      </c>
      <c r="E702">
        <v>0.51501419999999998</v>
      </c>
      <c r="F702" t="s">
        <v>42</v>
      </c>
      <c r="G702">
        <v>-357.47739999999999</v>
      </c>
      <c r="H702" s="1">
        <v>-1.666988E-6</v>
      </c>
      <c r="I702">
        <v>366.52530000000002</v>
      </c>
      <c r="J702">
        <v>-372.78149999999999</v>
      </c>
      <c r="K702">
        <v>1.110582</v>
      </c>
      <c r="L702">
        <v>367.50110000000001</v>
      </c>
      <c r="M702">
        <v>0.99989660000000002</v>
      </c>
      <c r="N702">
        <v>0</v>
      </c>
      <c r="O702">
        <v>-1.861398E-3</v>
      </c>
      <c r="P702">
        <v>0.99825229999999998</v>
      </c>
      <c r="Q702">
        <v>5.6257950000000001E-2</v>
      </c>
      <c r="R702">
        <v>-1.809413E-2</v>
      </c>
      <c r="S702">
        <v>3.014221</v>
      </c>
      <c r="T702">
        <v>-0.21544379999999999</v>
      </c>
      <c r="U702">
        <v>-0.18939210000000001</v>
      </c>
      <c r="V702">
        <v>1.6246420000000001E-2</v>
      </c>
      <c r="W702">
        <v>7.0483199999999996E-2</v>
      </c>
      <c r="X702">
        <v>0.99738070000000001</v>
      </c>
      <c r="Y702">
        <v>6.0701619999999998E-2</v>
      </c>
      <c r="Z702">
        <v>-2.0317019999999998E-3</v>
      </c>
      <c r="AA702">
        <v>0.99815390000000004</v>
      </c>
      <c r="AB702">
        <v>30</v>
      </c>
      <c r="AC702">
        <v>15.3041</v>
      </c>
      <c r="AD702">
        <v>-1.110583666988</v>
      </c>
      <c r="AE702">
        <v>-0.97579999999999201</v>
      </c>
      <c r="AF702">
        <v>0.94236591597307195</v>
      </c>
      <c r="AG702">
        <v>-1.110583666988</v>
      </c>
      <c r="AH702">
        <v>15.226033249388999</v>
      </c>
      <c r="AI702">
        <v>94.163815174138605</v>
      </c>
      <c r="AJ702">
        <v>86.458381217335599</v>
      </c>
      <c r="AK702">
        <v>15.295539811084399</v>
      </c>
      <c r="AL702">
        <v>85.9582590880716</v>
      </c>
      <c r="AM702">
        <v>89.066786651908998</v>
      </c>
      <c r="AN702">
        <v>1.00000004418877</v>
      </c>
    </row>
    <row r="703" spans="1:40" x14ac:dyDescent="0.25">
      <c r="A703" t="str">
        <f>"20190312150648030"</f>
        <v>20190312150648030</v>
      </c>
      <c r="B703" t="str">
        <f>"1552374408021401"</f>
        <v>1552374408021401</v>
      </c>
      <c r="C703" t="s">
        <v>40</v>
      </c>
      <c r="D703">
        <v>4.4661549999999997</v>
      </c>
      <c r="E703">
        <v>0.5138568</v>
      </c>
      <c r="F703" t="s">
        <v>41</v>
      </c>
      <c r="G703">
        <v>-371.9615</v>
      </c>
      <c r="H703">
        <v>1.0515330000000001</v>
      </c>
      <c r="I703">
        <v>367.45359999999999</v>
      </c>
      <c r="J703">
        <v>-372.62459999999999</v>
      </c>
      <c r="K703">
        <v>1.1105799999999999</v>
      </c>
      <c r="L703">
        <v>367.50080000000003</v>
      </c>
      <c r="M703">
        <v>0.99989669999999997</v>
      </c>
      <c r="N703">
        <v>0</v>
      </c>
      <c r="O703">
        <v>-1.889396E-3</v>
      </c>
      <c r="P703">
        <v>0.99826649999999995</v>
      </c>
      <c r="Q703">
        <v>5.595924E-2</v>
      </c>
      <c r="R703">
        <v>-1.8244929999999999E-2</v>
      </c>
      <c r="S703">
        <v>3.014313</v>
      </c>
      <c r="T703">
        <v>-0.2172288</v>
      </c>
      <c r="U703">
        <v>-0.17391970000000001</v>
      </c>
      <c r="V703">
        <v>1.6369020000000001E-2</v>
      </c>
      <c r="W703">
        <v>7.0183079999999995E-2</v>
      </c>
      <c r="X703">
        <v>0.99739979999999995</v>
      </c>
      <c r="Y703">
        <v>5.5576830000000001E-2</v>
      </c>
      <c r="Z703">
        <v>-1.8624620000000001E-3</v>
      </c>
      <c r="AA703">
        <v>0.99845269999999997</v>
      </c>
      <c r="AB703">
        <v>30</v>
      </c>
      <c r="AC703">
        <v>0.66309999999998503</v>
      </c>
      <c r="AD703">
        <v>-5.9046999999999801E-2</v>
      </c>
      <c r="AE703">
        <v>-4.7200000000032098E-2</v>
      </c>
      <c r="AF703">
        <v>4.5587274835661301E-2</v>
      </c>
      <c r="AG703">
        <v>-5.9046999999999801E-2</v>
      </c>
      <c r="AH703">
        <v>0.65799681950305899</v>
      </c>
      <c r="AI703">
        <v>95.115648297869299</v>
      </c>
      <c r="AJ703">
        <v>86.036772144594295</v>
      </c>
      <c r="AK703">
        <v>0.66221187116517599</v>
      </c>
      <c r="AL703">
        <v>85.975497148920795</v>
      </c>
      <c r="AM703">
        <v>89.059763626650806</v>
      </c>
      <c r="AN703">
        <v>0.99999998528704304</v>
      </c>
    </row>
    <row r="704" spans="1:40" x14ac:dyDescent="0.25">
      <c r="A704" t="str">
        <f>"20190312150648040"</f>
        <v>20190312150648040</v>
      </c>
      <c r="B704" t="str">
        <f>"1552374408031162"</f>
        <v>1552374408031162</v>
      </c>
      <c r="C704" t="s">
        <v>40</v>
      </c>
      <c r="D704">
        <v>4.4658920000000002</v>
      </c>
      <c r="E704">
        <v>0.51333519999999999</v>
      </c>
      <c r="F704" t="s">
        <v>41</v>
      </c>
      <c r="G704">
        <v>-371.7045</v>
      </c>
      <c r="H704">
        <v>1.044889</v>
      </c>
      <c r="I704">
        <v>367.45030000000003</v>
      </c>
      <c r="J704">
        <v>-372.4726</v>
      </c>
      <c r="K704">
        <v>1.1105750000000001</v>
      </c>
      <c r="L704">
        <v>367.50049999999999</v>
      </c>
      <c r="M704">
        <v>0.99989660000000002</v>
      </c>
      <c r="N704">
        <v>0</v>
      </c>
      <c r="O704">
        <v>-1.9163229999999999E-3</v>
      </c>
      <c r="P704">
        <v>0.99830560000000002</v>
      </c>
      <c r="Q704">
        <v>5.5335790000000003E-2</v>
      </c>
      <c r="R704">
        <v>-1.7999680000000001E-2</v>
      </c>
      <c r="S704">
        <v>3.0142820000000001</v>
      </c>
      <c r="T704">
        <v>-0.21518229999999999</v>
      </c>
      <c r="U704">
        <v>-0.16522220000000001</v>
      </c>
      <c r="V704">
        <v>1.6096599999999999E-2</v>
      </c>
      <c r="W704">
        <v>6.9558980000000006E-2</v>
      </c>
      <c r="X704">
        <v>0.997448</v>
      </c>
      <c r="Y704">
        <v>5.2688400000000003E-2</v>
      </c>
      <c r="Z704">
        <v>-1.7403179999999901E-3</v>
      </c>
      <c r="AA704">
        <v>0.99860950000000004</v>
      </c>
      <c r="AB704">
        <v>30</v>
      </c>
      <c r="AC704">
        <v>0.768100000000004</v>
      </c>
      <c r="AD704">
        <v>-6.5686000000000105E-2</v>
      </c>
      <c r="AE704">
        <v>-5.0199999999961102E-2</v>
      </c>
      <c r="AF704">
        <v>4.8375553070357798E-2</v>
      </c>
      <c r="AG704">
        <v>-6.5686000000000105E-2</v>
      </c>
      <c r="AH704">
        <v>0.76264113931759203</v>
      </c>
      <c r="AI704">
        <v>94.912890308908302</v>
      </c>
      <c r="AJ704">
        <v>86.370499264847098</v>
      </c>
      <c r="AK704">
        <v>0.76699175491689497</v>
      </c>
      <c r="AL704">
        <v>86.011343240726305</v>
      </c>
      <c r="AM704">
        <v>89.075453361383296</v>
      </c>
      <c r="AN704">
        <v>1.0000000324670899</v>
      </c>
    </row>
    <row r="705" spans="1:40" x14ac:dyDescent="0.25">
      <c r="A705" t="str">
        <f>"20190312150648052"</f>
        <v>20190312150648052</v>
      </c>
      <c r="B705" t="str">
        <f>"1552374408040921"</f>
        <v>1552374408040921</v>
      </c>
      <c r="C705" t="s">
        <v>40</v>
      </c>
      <c r="D705">
        <v>4.4736529999999997</v>
      </c>
      <c r="E705">
        <v>0.51292190000000004</v>
      </c>
      <c r="F705" t="s">
        <v>42</v>
      </c>
      <c r="G705">
        <v>-356.17219999999998</v>
      </c>
      <c r="H705" s="1">
        <v>-2.1535089999999998E-6</v>
      </c>
      <c r="I705">
        <v>366.63380000000001</v>
      </c>
      <c r="J705">
        <v>-372.32960000000003</v>
      </c>
      <c r="K705">
        <v>1.1105719999999999</v>
      </c>
      <c r="L705">
        <v>367.50020000000001</v>
      </c>
      <c r="M705">
        <v>0.99989660000000002</v>
      </c>
      <c r="N705">
        <v>0</v>
      </c>
      <c r="O705">
        <v>-1.941821E-3</v>
      </c>
      <c r="P705">
        <v>0.99834529999999999</v>
      </c>
      <c r="Q705">
        <v>5.461071E-2</v>
      </c>
      <c r="R705">
        <v>-1.8027600000000001E-2</v>
      </c>
      <c r="S705">
        <v>3.01355</v>
      </c>
      <c r="T705">
        <v>-0.2053171</v>
      </c>
      <c r="U705">
        <v>-0.16021729999999901</v>
      </c>
      <c r="V705">
        <v>1.6098870000000001E-2</v>
      </c>
      <c r="W705">
        <v>6.8833060000000001E-2</v>
      </c>
      <c r="X705">
        <v>0.99749829999999995</v>
      </c>
      <c r="Y705">
        <v>5.1037779999999998E-2</v>
      </c>
      <c r="Z705">
        <v>-1.603337E-3</v>
      </c>
      <c r="AA705">
        <v>0.99869540000000001</v>
      </c>
      <c r="AB705">
        <v>30</v>
      </c>
      <c r="AC705">
        <v>16.157399999999999</v>
      </c>
      <c r="AD705">
        <v>-1.1105741535089999</v>
      </c>
      <c r="AE705">
        <v>-0.86639999999999795</v>
      </c>
      <c r="AF705">
        <v>0.83110513718887602</v>
      </c>
      <c r="AG705">
        <v>-1.1105741535089999</v>
      </c>
      <c r="AH705">
        <v>16.083285118237299</v>
      </c>
      <c r="AI705">
        <v>93.944839642564602</v>
      </c>
      <c r="AJ705">
        <v>87.041866858366006</v>
      </c>
      <c r="AK705">
        <v>16.1429913861719</v>
      </c>
      <c r="AL705">
        <v>86.053035240702201</v>
      </c>
      <c r="AM705">
        <v>89.075369620958796</v>
      </c>
      <c r="AN705">
        <v>1.0000000111335601</v>
      </c>
    </row>
    <row r="706" spans="1:40" x14ac:dyDescent="0.25">
      <c r="A706" t="str">
        <f>"20190312150648063"</f>
        <v>20190312150648063</v>
      </c>
      <c r="B706" t="str">
        <f>"1552374408061417"</f>
        <v>1552374408061417</v>
      </c>
      <c r="C706" t="s">
        <v>40</v>
      </c>
      <c r="D706">
        <v>4.4813080000000003</v>
      </c>
      <c r="E706">
        <v>0.51243720000000004</v>
      </c>
      <c r="F706" t="s">
        <v>41</v>
      </c>
      <c r="G706">
        <v>-371.43259999999998</v>
      </c>
      <c r="H706">
        <v>1.0500160000000001</v>
      </c>
      <c r="I706">
        <v>367.45319999999998</v>
      </c>
      <c r="J706">
        <v>-372.17450000000002</v>
      </c>
      <c r="K706">
        <v>1.1105700000000001</v>
      </c>
      <c r="L706">
        <v>367.49979999999999</v>
      </c>
      <c r="M706">
        <v>0.99989660000000002</v>
      </c>
      <c r="N706">
        <v>0</v>
      </c>
      <c r="O706">
        <v>-1.969344E-3</v>
      </c>
      <c r="P706">
        <v>0.99838660000000001</v>
      </c>
      <c r="Q706">
        <v>5.3884769999999999E-2</v>
      </c>
      <c r="R706">
        <v>-1.7922179999999999E-2</v>
      </c>
      <c r="S706">
        <v>3.0132750000000001</v>
      </c>
      <c r="T706">
        <v>-0.20361799999999999</v>
      </c>
      <c r="U706">
        <v>-0.15686040000000001</v>
      </c>
      <c r="V706">
        <v>1.596593E-2</v>
      </c>
      <c r="W706">
        <v>6.8106169999999994E-2</v>
      </c>
      <c r="X706">
        <v>0.9975503</v>
      </c>
      <c r="Y706">
        <v>4.9910030000000001E-2</v>
      </c>
      <c r="Z706">
        <v>-1.550399E-3</v>
      </c>
      <c r="AA706">
        <v>0.99875250000000004</v>
      </c>
      <c r="AB706">
        <v>30</v>
      </c>
      <c r="AC706">
        <v>0.74190000000004297</v>
      </c>
      <c r="AD706">
        <v>-6.0553999999999997E-2</v>
      </c>
      <c r="AE706">
        <v>-4.6600000000012097E-2</v>
      </c>
      <c r="AF706">
        <v>4.4841153883182203E-2</v>
      </c>
      <c r="AG706">
        <v>-6.0553999999999997E-2</v>
      </c>
      <c r="AH706">
        <v>0.73709919370129995</v>
      </c>
      <c r="AI706">
        <v>94.687775536574804</v>
      </c>
      <c r="AJ706">
        <v>86.518723006690706</v>
      </c>
      <c r="AK706">
        <v>0.74094044116425595</v>
      </c>
      <c r="AL706">
        <v>86.094780821864504</v>
      </c>
      <c r="AM706">
        <v>89.083051445523395</v>
      </c>
      <c r="AN706">
        <v>0.99999998117146105</v>
      </c>
    </row>
    <row r="707" spans="1:40" x14ac:dyDescent="0.25">
      <c r="A707" t="str">
        <f>"20190312150648075"</f>
        <v>20190312150648075</v>
      </c>
      <c r="B707" t="str">
        <f>"1552374408071177"</f>
        <v>1552374408071177</v>
      </c>
      <c r="C707" t="s">
        <v>40</v>
      </c>
      <c r="D707">
        <v>4.4879860000000003</v>
      </c>
      <c r="E707">
        <v>0.51235229999999998</v>
      </c>
      <c r="F707" t="s">
        <v>42</v>
      </c>
      <c r="G707">
        <v>-356.02710000000002</v>
      </c>
      <c r="H707" s="1">
        <v>-2.207505E-6</v>
      </c>
      <c r="I707">
        <v>366.68029999999999</v>
      </c>
      <c r="J707">
        <v>-372.03359999999998</v>
      </c>
      <c r="K707">
        <v>1.1105670000000001</v>
      </c>
      <c r="L707">
        <v>367.49950000000001</v>
      </c>
      <c r="M707">
        <v>0.99989649999999997</v>
      </c>
      <c r="N707">
        <v>0</v>
      </c>
      <c r="O707">
        <v>-1.9942459999999999E-3</v>
      </c>
      <c r="P707">
        <v>0.9984518</v>
      </c>
      <c r="Q707">
        <v>5.2685080000000002E-2</v>
      </c>
      <c r="R707">
        <v>-1.7845989999999999E-2</v>
      </c>
      <c r="S707">
        <v>3.0133359999999998</v>
      </c>
      <c r="T707">
        <v>-0.20724680000000001</v>
      </c>
      <c r="U707">
        <v>-0.15292359999999999</v>
      </c>
      <c r="V707">
        <v>1.5864530000000002E-2</v>
      </c>
      <c r="W707">
        <v>6.6905850000000003E-2</v>
      </c>
      <c r="X707">
        <v>0.9976332</v>
      </c>
      <c r="Y707">
        <v>4.8581949999999999E-2</v>
      </c>
      <c r="Z707">
        <v>-1.530689E-3</v>
      </c>
      <c r="AA707">
        <v>0.99881799999999998</v>
      </c>
      <c r="AB707">
        <v>30</v>
      </c>
      <c r="AC707">
        <v>16.0064999999999</v>
      </c>
      <c r="AD707">
        <v>-1.110569207505</v>
      </c>
      <c r="AE707">
        <v>-0.81920000000002302</v>
      </c>
      <c r="AF707">
        <v>0.78351232261591297</v>
      </c>
      <c r="AG707">
        <v>-1.110569207505</v>
      </c>
      <c r="AH707">
        <v>15.931608950366799</v>
      </c>
      <c r="AI707">
        <v>93.9827566193037</v>
      </c>
      <c r="AJ707">
        <v>87.184477144183603</v>
      </c>
      <c r="AK707">
        <v>15.989478392735601</v>
      </c>
      <c r="AL707">
        <v>86.163711558902307</v>
      </c>
      <c r="AM707">
        <v>89.088949721455407</v>
      </c>
      <c r="AN707">
        <v>1.00000003890929</v>
      </c>
    </row>
    <row r="708" spans="1:40" x14ac:dyDescent="0.25">
      <c r="A708" t="str">
        <f>"20190312150648087"</f>
        <v>20190312150648087</v>
      </c>
      <c r="B708" t="str">
        <f>"1552374408080937"</f>
        <v>1552374408080937</v>
      </c>
      <c r="C708" t="s">
        <v>40</v>
      </c>
      <c r="D708">
        <v>4.494707</v>
      </c>
      <c r="E708">
        <v>0.51220180000000004</v>
      </c>
      <c r="F708" t="s">
        <v>41</v>
      </c>
      <c r="G708">
        <v>-371.16559999999998</v>
      </c>
      <c r="H708">
        <v>1.0500659999999999</v>
      </c>
      <c r="I708">
        <v>367.45549999999997</v>
      </c>
      <c r="J708">
        <v>-371.86369999999999</v>
      </c>
      <c r="K708">
        <v>1.1105640000000001</v>
      </c>
      <c r="L708">
        <v>367.49919999999997</v>
      </c>
      <c r="M708">
        <v>0.99989649999999997</v>
      </c>
      <c r="N708">
        <v>0</v>
      </c>
      <c r="O708">
        <v>-2.0245100000000002E-3</v>
      </c>
      <c r="P708">
        <v>0.99850740000000004</v>
      </c>
      <c r="Q708">
        <v>5.1761399999999999E-2</v>
      </c>
      <c r="R708">
        <v>-1.742546E-2</v>
      </c>
      <c r="S708">
        <v>3.0129999999999999</v>
      </c>
      <c r="T708">
        <v>-0.21012130000000001</v>
      </c>
      <c r="U708">
        <v>-0.1520996</v>
      </c>
      <c r="V708">
        <v>1.541351E-2</v>
      </c>
      <c r="W708">
        <v>6.5981419999999999E-2</v>
      </c>
      <c r="X708">
        <v>0.99770179999999997</v>
      </c>
      <c r="Y708">
        <v>4.8282619999999998E-2</v>
      </c>
      <c r="Z708">
        <v>-1.539527E-3</v>
      </c>
      <c r="AA708">
        <v>0.99883250000000001</v>
      </c>
      <c r="AB708">
        <v>30</v>
      </c>
      <c r="AC708">
        <v>0.69810000000001005</v>
      </c>
      <c r="AD708">
        <v>-6.0497999999999899E-2</v>
      </c>
      <c r="AE708">
        <v>-4.3700000000001099E-2</v>
      </c>
      <c r="AF708">
        <v>4.1972468790862298E-2</v>
      </c>
      <c r="AG708">
        <v>-6.0497999999999899E-2</v>
      </c>
      <c r="AH708">
        <v>0.69300283084816305</v>
      </c>
      <c r="AI708">
        <v>94.9800984424852</v>
      </c>
      <c r="AJ708">
        <v>86.534052762285697</v>
      </c>
      <c r="AK708">
        <v>0.69690359426822301</v>
      </c>
      <c r="AL708">
        <v>86.216794664183894</v>
      </c>
      <c r="AM708">
        <v>89.1149070582711</v>
      </c>
      <c r="AN708">
        <v>1.00000000289948</v>
      </c>
    </row>
    <row r="709" spans="1:40" x14ac:dyDescent="0.25">
      <c r="A709" t="str">
        <f>"20190312150648098"</f>
        <v>20190312150648098</v>
      </c>
      <c r="B709" t="str">
        <f>"1552374408091673"</f>
        <v>1552374408091673</v>
      </c>
      <c r="C709" t="s">
        <v>40</v>
      </c>
      <c r="D709">
        <v>4.4761189999999997</v>
      </c>
      <c r="E709">
        <v>0.51216340000000005</v>
      </c>
      <c r="F709" t="s">
        <v>41</v>
      </c>
      <c r="G709">
        <v>-370.90480000000002</v>
      </c>
      <c r="H709">
        <v>1.0439989999999999</v>
      </c>
      <c r="I709">
        <v>367.45119999999997</v>
      </c>
      <c r="J709">
        <v>-371.71789999999999</v>
      </c>
      <c r="K709">
        <v>1.1105590000000001</v>
      </c>
      <c r="L709">
        <v>367.49880000000002</v>
      </c>
      <c r="M709">
        <v>0.99989649999999997</v>
      </c>
      <c r="N709">
        <v>0</v>
      </c>
      <c r="O709">
        <v>-2.0504849999999999E-3</v>
      </c>
      <c r="P709">
        <v>0.99853610000000004</v>
      </c>
      <c r="Q709">
        <v>5.1234309999999998E-2</v>
      </c>
      <c r="R709">
        <v>-1.7345409999999999E-2</v>
      </c>
      <c r="S709">
        <v>3.0127259999999998</v>
      </c>
      <c r="T709">
        <v>-0.20938609999999999</v>
      </c>
      <c r="U709">
        <v>-0.1496277</v>
      </c>
      <c r="V709">
        <v>1.530745E-2</v>
      </c>
      <c r="W709">
        <v>6.5453259999999999E-2</v>
      </c>
      <c r="X709">
        <v>0.99773820000000002</v>
      </c>
      <c r="Y709">
        <v>4.7446580000000002E-2</v>
      </c>
      <c r="Z709">
        <v>-1.503522E-3</v>
      </c>
      <c r="AA709">
        <v>0.9988726</v>
      </c>
      <c r="AB709">
        <v>30</v>
      </c>
      <c r="AC709">
        <v>0.81309999999996296</v>
      </c>
      <c r="AD709">
        <v>-6.6560000000000105E-2</v>
      </c>
      <c r="AE709">
        <v>-4.7600000000045301E-2</v>
      </c>
      <c r="AF709">
        <v>4.5627774671056401E-2</v>
      </c>
      <c r="AG709">
        <v>-6.6560000000000105E-2</v>
      </c>
      <c r="AH709">
        <v>0.80780132572553298</v>
      </c>
      <c r="AI709">
        <v>94.702868610796102</v>
      </c>
      <c r="AJ709">
        <v>86.767145685561005</v>
      </c>
      <c r="AK709">
        <v>0.81182209212693901</v>
      </c>
      <c r="AL709">
        <v>86.247121481242402</v>
      </c>
      <c r="AM709">
        <v>89.121028466348506</v>
      </c>
      <c r="AN709">
        <v>0.99999998150468405</v>
      </c>
    </row>
    <row r="710" spans="1:40" x14ac:dyDescent="0.25">
      <c r="A710" t="str">
        <f>"20190312150648110"</f>
        <v>20190312150648110</v>
      </c>
      <c r="B710" t="str">
        <f>"1552374408101433"</f>
        <v>1552374408101433</v>
      </c>
      <c r="C710" t="s">
        <v>40</v>
      </c>
      <c r="D710">
        <v>4.4868800000000002</v>
      </c>
      <c r="E710">
        <v>0.51216579999999901</v>
      </c>
      <c r="F710" t="s">
        <v>42</v>
      </c>
      <c r="G710">
        <v>-355.98570000000001</v>
      </c>
      <c r="H710" s="1">
        <v>-2.2182429999999999E-6</v>
      </c>
      <c r="I710">
        <v>366.71980000000002</v>
      </c>
      <c r="J710">
        <v>-371.5643</v>
      </c>
      <c r="K710">
        <v>1.110557</v>
      </c>
      <c r="L710">
        <v>367.49849999999998</v>
      </c>
      <c r="M710">
        <v>0.99989649999999997</v>
      </c>
      <c r="N710">
        <v>0</v>
      </c>
      <c r="O710">
        <v>-2.0777700000000001E-3</v>
      </c>
      <c r="P710">
        <v>0.99856469999999997</v>
      </c>
      <c r="Q710">
        <v>5.0770740000000002E-2</v>
      </c>
      <c r="R710">
        <v>-1.706827E-2</v>
      </c>
      <c r="S710">
        <v>3.0127259999999998</v>
      </c>
      <c r="T710">
        <v>-0.2126719</v>
      </c>
      <c r="U710">
        <v>-0.14916989999999999</v>
      </c>
      <c r="V710">
        <v>1.500278E-2</v>
      </c>
      <c r="W710">
        <v>6.4988389999999993E-2</v>
      </c>
      <c r="X710">
        <v>0.99777320000000003</v>
      </c>
      <c r="Y710">
        <v>4.7264979999999998E-2</v>
      </c>
      <c r="Z710">
        <v>-1.5187429999999999E-3</v>
      </c>
      <c r="AA710">
        <v>0.99888120000000002</v>
      </c>
      <c r="AB710">
        <v>30</v>
      </c>
      <c r="AC710">
        <v>15.5785999999999</v>
      </c>
      <c r="AD710">
        <v>-1.110559218243</v>
      </c>
      <c r="AE710">
        <v>-0.77869999999995798</v>
      </c>
      <c r="AF710">
        <v>0.74256206516127798</v>
      </c>
      <c r="AG710">
        <v>-1.110559218243</v>
      </c>
      <c r="AH710">
        <v>15.501603143413501</v>
      </c>
      <c r="AI710">
        <v>94.0930813026104</v>
      </c>
      <c r="AJ710">
        <v>87.257498174013605</v>
      </c>
      <c r="AK710">
        <v>15.5590629606583</v>
      </c>
      <c r="AL710">
        <v>86.273813345751407</v>
      </c>
      <c r="AM710">
        <v>89.138550522341404</v>
      </c>
      <c r="AN710">
        <v>0.99999996644037903</v>
      </c>
    </row>
    <row r="711" spans="1:40" x14ac:dyDescent="0.25">
      <c r="A711" t="str">
        <f>"20190312150648119"</f>
        <v>20190312150648119</v>
      </c>
      <c r="B711" t="str">
        <f>"1552374408111193"</f>
        <v>1552374408111193</v>
      </c>
      <c r="C711" t="s">
        <v>40</v>
      </c>
      <c r="D711">
        <v>4.5062199999999999</v>
      </c>
      <c r="E711">
        <v>0.51219049999999999</v>
      </c>
      <c r="F711" t="s">
        <v>41</v>
      </c>
      <c r="G711">
        <v>-370.63810000000001</v>
      </c>
      <c r="H711">
        <v>1.0444530000000001</v>
      </c>
      <c r="I711">
        <v>367.45260000000002</v>
      </c>
      <c r="J711">
        <v>-371.41820000000001</v>
      </c>
      <c r="K711">
        <v>1.1105560000000001</v>
      </c>
      <c r="L711">
        <v>367.49810000000002</v>
      </c>
      <c r="M711">
        <v>0.99989649999999997</v>
      </c>
      <c r="N711">
        <v>0</v>
      </c>
      <c r="O711">
        <v>-2.1035060000000002E-3</v>
      </c>
      <c r="P711">
        <v>0.99856420000000001</v>
      </c>
      <c r="Q711">
        <v>5.0816470000000002E-2</v>
      </c>
      <c r="R711">
        <v>-1.6963470000000001E-2</v>
      </c>
      <c r="S711">
        <v>3.0126949999999999</v>
      </c>
      <c r="T711">
        <v>-0.21525559999999999</v>
      </c>
      <c r="U711">
        <v>-0.14837649999999999</v>
      </c>
      <c r="V711">
        <v>1.4872120000000001E-2</v>
      </c>
      <c r="W711">
        <v>6.5032629999999994E-2</v>
      </c>
      <c r="X711">
        <v>0.99777229999999995</v>
      </c>
      <c r="Y711">
        <v>4.6975389999999999E-2</v>
      </c>
      <c r="Z711">
        <v>-1.5250109999999999E-3</v>
      </c>
      <c r="AA711">
        <v>0.99889490000000003</v>
      </c>
      <c r="AB711">
        <v>30</v>
      </c>
      <c r="AC711">
        <v>0.78010000000000401</v>
      </c>
      <c r="AD711">
        <v>-6.6102999999999801E-2</v>
      </c>
      <c r="AE711">
        <v>-4.5500000000004003E-2</v>
      </c>
      <c r="AF711">
        <v>4.3547167024446103E-2</v>
      </c>
      <c r="AG711">
        <v>-6.6102999999999801E-2</v>
      </c>
      <c r="AH711">
        <v>0.77465063732135597</v>
      </c>
      <c r="AI711">
        <v>94.869734298542596</v>
      </c>
      <c r="AJ711">
        <v>86.782490756117397</v>
      </c>
      <c r="AK711">
        <v>0.77868451395108496</v>
      </c>
      <c r="AL711">
        <v>86.271273305279905</v>
      </c>
      <c r="AM711">
        <v>89.146051045126299</v>
      </c>
      <c r="AN711">
        <v>0.99999999278264995</v>
      </c>
    </row>
    <row r="712" spans="1:40" x14ac:dyDescent="0.25">
      <c r="A712" t="str">
        <f>"20190312150648133"</f>
        <v>20190312150648133</v>
      </c>
      <c r="B712" t="str">
        <f>"1552374408120954"</f>
        <v>1552374408120954</v>
      </c>
      <c r="C712" t="s">
        <v>40</v>
      </c>
      <c r="D712">
        <v>4.5053080000000003</v>
      </c>
      <c r="E712">
        <v>0.51220259999999995</v>
      </c>
      <c r="F712" t="s">
        <v>42</v>
      </c>
      <c r="G712">
        <v>-355.8965</v>
      </c>
      <c r="H712" s="1">
        <v>-2.2537799999999998E-6</v>
      </c>
      <c r="I712">
        <v>366.73500000000001</v>
      </c>
      <c r="J712">
        <v>-371.25709999999998</v>
      </c>
      <c r="K712">
        <v>1.1105560000000001</v>
      </c>
      <c r="L712">
        <v>367.49779999999998</v>
      </c>
      <c r="M712">
        <v>0.99989629999999996</v>
      </c>
      <c r="N712">
        <v>0</v>
      </c>
      <c r="O712">
        <v>-2.1318629999999999E-3</v>
      </c>
      <c r="P712">
        <v>0.99855939999999999</v>
      </c>
      <c r="Q712">
        <v>5.0902709999999997E-2</v>
      </c>
      <c r="R712">
        <v>-1.6979190000000002E-2</v>
      </c>
      <c r="S712">
        <v>3.012756</v>
      </c>
      <c r="T712">
        <v>-0.21555879999999999</v>
      </c>
      <c r="U712">
        <v>-0.14810179999999901</v>
      </c>
      <c r="V712">
        <v>1.485974E-2</v>
      </c>
      <c r="W712">
        <v>6.5117330000000001E-2</v>
      </c>
      <c r="X712">
        <v>0.99776699999999996</v>
      </c>
      <c r="Y712">
        <v>4.6855290000000001E-2</v>
      </c>
      <c r="Z712">
        <v>-1.5208120000000001E-3</v>
      </c>
      <c r="AA712">
        <v>0.99890049999999997</v>
      </c>
      <c r="AB712">
        <v>30</v>
      </c>
      <c r="AC712">
        <v>15.3605999999999</v>
      </c>
      <c r="AD712">
        <v>-1.1105582537799901</v>
      </c>
      <c r="AE712">
        <v>-0.76279999999996995</v>
      </c>
      <c r="AF712">
        <v>0.72626129988478705</v>
      </c>
      <c r="AG712">
        <v>-1.1105582537799901</v>
      </c>
      <c r="AH712">
        <v>15.282503761708201</v>
      </c>
      <c r="AI712">
        <v>94.151629721515505</v>
      </c>
      <c r="AJ712">
        <v>87.279213842540898</v>
      </c>
      <c r="AK712">
        <v>15.3400037919609</v>
      </c>
      <c r="AL712">
        <v>86.266410192616704</v>
      </c>
      <c r="AM712">
        <v>89.146757261173207</v>
      </c>
      <c r="AN712">
        <v>1.0000000324140901</v>
      </c>
    </row>
    <row r="713" spans="1:40" x14ac:dyDescent="0.25">
      <c r="A713" t="str">
        <f>"20190312150648146"</f>
        <v>20190312150648146</v>
      </c>
      <c r="B713" t="str">
        <f>"1552374408141449"</f>
        <v>1552374408141449</v>
      </c>
      <c r="C713" t="s">
        <v>40</v>
      </c>
      <c r="D713">
        <v>4.5298910000000001</v>
      </c>
      <c r="E713">
        <v>0.51212789999999997</v>
      </c>
      <c r="F713" t="s">
        <v>41</v>
      </c>
      <c r="G713">
        <v>-370.36989999999997</v>
      </c>
      <c r="H713">
        <v>1.0469550000000001</v>
      </c>
      <c r="I713">
        <v>367.45389999999998</v>
      </c>
      <c r="J713">
        <v>-371.08269999999999</v>
      </c>
      <c r="K713">
        <v>1.1105560000000001</v>
      </c>
      <c r="L713">
        <v>367.49740000000003</v>
      </c>
      <c r="M713">
        <v>0.99989649999999997</v>
      </c>
      <c r="N713">
        <v>0</v>
      </c>
      <c r="O713">
        <v>-2.163079E-3</v>
      </c>
      <c r="P713">
        <v>0.99855070000000001</v>
      </c>
      <c r="Q713">
        <v>5.1071470000000001E-2</v>
      </c>
      <c r="R713">
        <v>-1.699111E-2</v>
      </c>
      <c r="S713">
        <v>3.0128780000000002</v>
      </c>
      <c r="T713">
        <v>-0.2161592</v>
      </c>
      <c r="U713">
        <v>-0.14840699999999901</v>
      </c>
      <c r="V713">
        <v>1.484046E-2</v>
      </c>
      <c r="W713">
        <v>6.5284339999999996E-2</v>
      </c>
      <c r="X713">
        <v>0.99775639999999999</v>
      </c>
      <c r="Y713">
        <v>4.692234E-2</v>
      </c>
      <c r="Z713">
        <v>-1.525137E-3</v>
      </c>
      <c r="AA713">
        <v>0.99889740000000005</v>
      </c>
      <c r="AB713">
        <v>30</v>
      </c>
      <c r="AC713">
        <v>0.71280000000001498</v>
      </c>
      <c r="AD713">
        <v>-6.3601000000000005E-2</v>
      </c>
      <c r="AE713">
        <v>-4.3500000000051303E-2</v>
      </c>
      <c r="AF713">
        <v>4.1627712022784903E-2</v>
      </c>
      <c r="AG713">
        <v>-6.3601000000000005E-2</v>
      </c>
      <c r="AH713">
        <v>0.70728233193331203</v>
      </c>
      <c r="AI713">
        <v>95.129563012687498</v>
      </c>
      <c r="AJ713">
        <v>86.631693150758096</v>
      </c>
      <c r="AK713">
        <v>0.71135522116188599</v>
      </c>
      <c r="AL713">
        <v>86.256820919885101</v>
      </c>
      <c r="AM713">
        <v>89.147855099226902</v>
      </c>
      <c r="AN713">
        <v>1.0000000590216001</v>
      </c>
    </row>
    <row r="714" spans="1:40" x14ac:dyDescent="0.25">
      <c r="A714" t="str">
        <f>"20190312150648162"</f>
        <v>20190312150648162</v>
      </c>
      <c r="B714" t="str">
        <f>"1552374408151209"</f>
        <v>1552374408151209</v>
      </c>
      <c r="C714" t="s">
        <v>40</v>
      </c>
      <c r="D714">
        <v>4.4745679999999997</v>
      </c>
      <c r="E714">
        <v>0.51205519999999904</v>
      </c>
      <c r="F714" t="s">
        <v>41</v>
      </c>
      <c r="G714">
        <v>-370.10930000000002</v>
      </c>
      <c r="H714">
        <v>1.041285</v>
      </c>
      <c r="I714">
        <v>367.4495</v>
      </c>
      <c r="J714">
        <v>-370.8544</v>
      </c>
      <c r="K714">
        <v>1.110552</v>
      </c>
      <c r="L714">
        <v>367.49680000000001</v>
      </c>
      <c r="M714">
        <v>0.99989629999999996</v>
      </c>
      <c r="N714">
        <v>0</v>
      </c>
      <c r="O714">
        <v>-2.2034709999999998E-3</v>
      </c>
      <c r="P714">
        <v>0.99850430000000001</v>
      </c>
      <c r="Q714">
        <v>5.1865849999999998E-2</v>
      </c>
      <c r="R714">
        <v>-1.7297969999999999E-2</v>
      </c>
      <c r="S714">
        <v>3.0128170000000001</v>
      </c>
      <c r="T714">
        <v>-0.21450559999999999</v>
      </c>
      <c r="U714">
        <v>-0.1478882</v>
      </c>
      <c r="V714">
        <v>1.510736E-2</v>
      </c>
      <c r="W714">
        <v>6.6075610000000007E-2</v>
      </c>
      <c r="X714">
        <v>0.99770029999999998</v>
      </c>
      <c r="Y714">
        <v>4.6713749999999998E-2</v>
      </c>
      <c r="Z714">
        <v>-1.5032540000000001E-3</v>
      </c>
      <c r="AA714">
        <v>0.9989072</v>
      </c>
      <c r="AB714">
        <v>30</v>
      </c>
      <c r="AC714">
        <v>0.745099999999979</v>
      </c>
      <c r="AD714">
        <v>-6.9266999999999898E-2</v>
      </c>
      <c r="AE714">
        <v>-4.7300000000007003E-2</v>
      </c>
      <c r="AF714">
        <v>4.5268266059537397E-2</v>
      </c>
      <c r="AG714">
        <v>-6.9266999999999898E-2</v>
      </c>
      <c r="AH714">
        <v>0.73884283644540505</v>
      </c>
      <c r="AI714">
        <v>95.345895895559707</v>
      </c>
      <c r="AJ714">
        <v>86.493919579980002</v>
      </c>
      <c r="AK714">
        <v>0.74346208388036095</v>
      </c>
      <c r="AL714">
        <v>86.211386364302996</v>
      </c>
      <c r="AM714">
        <v>89.132483150461496</v>
      </c>
      <c r="AN714">
        <v>1.0000000535915601</v>
      </c>
    </row>
    <row r="715" spans="1:40" x14ac:dyDescent="0.25">
      <c r="A715" t="str">
        <f>"20190312150648176"</f>
        <v>20190312150648176</v>
      </c>
      <c r="B715" t="str">
        <f>"1552374408171706"</f>
        <v>1552374408171706</v>
      </c>
      <c r="C715" t="s">
        <v>40</v>
      </c>
      <c r="D715">
        <v>4.5108810000000004</v>
      </c>
      <c r="E715">
        <v>0.51200500000000004</v>
      </c>
      <c r="F715" t="s">
        <v>42</v>
      </c>
      <c r="G715">
        <v>-355.30239999999998</v>
      </c>
      <c r="H715" s="1">
        <v>-2.5091919999999998E-6</v>
      </c>
      <c r="I715">
        <v>366.73219999999998</v>
      </c>
      <c r="J715">
        <v>-370.68400000000003</v>
      </c>
      <c r="K715">
        <v>1.110549</v>
      </c>
      <c r="L715">
        <v>367.49639999999999</v>
      </c>
      <c r="M715">
        <v>0.99989629999999996</v>
      </c>
      <c r="N715">
        <v>0</v>
      </c>
      <c r="O715">
        <v>-2.233615E-3</v>
      </c>
      <c r="P715">
        <v>0.99847140000000001</v>
      </c>
      <c r="Q715">
        <v>5.2424829999999999E-2</v>
      </c>
      <c r="R715">
        <v>-1.7510620000000001E-2</v>
      </c>
      <c r="S715">
        <v>3.0131230000000002</v>
      </c>
      <c r="T715">
        <v>-0.21516279999999999</v>
      </c>
      <c r="U715">
        <v>-0.14813229999999999</v>
      </c>
      <c r="V715">
        <v>1.5290069999999999E-2</v>
      </c>
      <c r="W715">
        <v>6.6631819999999994E-2</v>
      </c>
      <c r="X715">
        <v>0.99766049999999995</v>
      </c>
      <c r="Y715">
        <v>4.6758719999999997E-2</v>
      </c>
      <c r="Z715">
        <v>-1.5071469999999999E-3</v>
      </c>
      <c r="AA715">
        <v>0.99890509999999999</v>
      </c>
      <c r="AB715">
        <v>30</v>
      </c>
      <c r="AC715">
        <v>15.381600000000001</v>
      </c>
      <c r="AD715">
        <v>-1.110551509192</v>
      </c>
      <c r="AE715">
        <v>-0.76420000000001598</v>
      </c>
      <c r="AF715">
        <v>0.72606251516990905</v>
      </c>
      <c r="AG715">
        <v>-1.110551509192</v>
      </c>
      <c r="AH715">
        <v>15.303689472172501</v>
      </c>
      <c r="AI715">
        <v>94.145892782651501</v>
      </c>
      <c r="AJ715">
        <v>87.283717285408102</v>
      </c>
      <c r="AK715">
        <v>15.361100315120201</v>
      </c>
      <c r="AL715">
        <v>86.179447399735096</v>
      </c>
      <c r="AM715">
        <v>89.121957921977298</v>
      </c>
      <c r="AN715">
        <v>1.0000000294686799</v>
      </c>
    </row>
    <row r="716" spans="1:40" x14ac:dyDescent="0.25">
      <c r="A716" t="str">
        <f>"20190312150648191"</f>
        <v>20190312150648191</v>
      </c>
      <c r="B716" t="str">
        <f>"1552374408181466"</f>
        <v>1552374408181466</v>
      </c>
      <c r="C716" t="s">
        <v>40</v>
      </c>
      <c r="D716">
        <v>4.5307339999999998</v>
      </c>
      <c r="E716">
        <v>0.51190670000000005</v>
      </c>
      <c r="F716" t="s">
        <v>41</v>
      </c>
      <c r="G716">
        <v>-369.83589999999998</v>
      </c>
      <c r="H716">
        <v>1.0505059999999999</v>
      </c>
      <c r="I716">
        <v>367.4545</v>
      </c>
      <c r="J716">
        <v>-370.49020000000002</v>
      </c>
      <c r="K716">
        <v>1.1105480000000001</v>
      </c>
      <c r="L716">
        <v>367.49599999999998</v>
      </c>
      <c r="M716">
        <v>0.99989609999999995</v>
      </c>
      <c r="N716">
        <v>0</v>
      </c>
      <c r="O716">
        <v>-2.2680489999999998E-3</v>
      </c>
      <c r="P716">
        <v>0.99845229999999996</v>
      </c>
      <c r="Q716">
        <v>5.267053E-2</v>
      </c>
      <c r="R716">
        <v>-1.786047E-2</v>
      </c>
      <c r="S716">
        <v>3.013153</v>
      </c>
      <c r="T716">
        <v>-0.2133601</v>
      </c>
      <c r="U716">
        <v>-0.1485901</v>
      </c>
      <c r="V716">
        <v>1.5605340000000001E-2</v>
      </c>
      <c r="W716">
        <v>6.6875399999999904E-2</v>
      </c>
      <c r="X716">
        <v>0.99763930000000001</v>
      </c>
      <c r="Y716">
        <v>4.6876899999999999E-2</v>
      </c>
      <c r="Z716">
        <v>-1.49627299999999E-3</v>
      </c>
      <c r="AA716">
        <v>0.9988996</v>
      </c>
      <c r="AB716">
        <v>30</v>
      </c>
      <c r="AC716">
        <v>0.65430000000003397</v>
      </c>
      <c r="AD716">
        <v>-6.0041999999999901E-2</v>
      </c>
      <c r="AE716">
        <v>-4.1499999999984903E-2</v>
      </c>
      <c r="AF716">
        <v>3.9682932895839303E-2</v>
      </c>
      <c r="AG716">
        <v>-6.0041999999999901E-2</v>
      </c>
      <c r="AH716">
        <v>0.64894963226449198</v>
      </c>
      <c r="AI716">
        <v>95.276260913959604</v>
      </c>
      <c r="AJ716">
        <v>86.500750040242494</v>
      </c>
      <c r="AK716">
        <v>0.65292832848899696</v>
      </c>
      <c r="AL716">
        <v>86.165460017993297</v>
      </c>
      <c r="AM716">
        <v>89.103837222548705</v>
      </c>
      <c r="AN716">
        <v>1.0000000093330801</v>
      </c>
    </row>
    <row r="717" spans="1:40" x14ac:dyDescent="0.25">
      <c r="A717" t="str">
        <f>"20190312150648201"</f>
        <v>20190312150648201</v>
      </c>
      <c r="B717" t="str">
        <f>"1552374408191226"</f>
        <v>1552374408191226</v>
      </c>
      <c r="C717" t="s">
        <v>40</v>
      </c>
      <c r="D717">
        <v>4.4681850000000001</v>
      </c>
      <c r="E717">
        <v>0.51184890000000005</v>
      </c>
      <c r="F717" t="s">
        <v>41</v>
      </c>
      <c r="G717">
        <v>-369.5752</v>
      </c>
      <c r="H717">
        <v>1.0460069999999999</v>
      </c>
      <c r="I717">
        <v>367.45060000000001</v>
      </c>
      <c r="J717">
        <v>-370.33749999999998</v>
      </c>
      <c r="K717">
        <v>1.11054599999999</v>
      </c>
      <c r="L717">
        <v>367.49560000000002</v>
      </c>
      <c r="M717">
        <v>0.99989600000000001</v>
      </c>
      <c r="N717">
        <v>0</v>
      </c>
      <c r="O717">
        <v>-2.2952139999999998E-3</v>
      </c>
      <c r="P717">
        <v>0.99842839999999999</v>
      </c>
      <c r="Q717">
        <v>5.293817E-2</v>
      </c>
      <c r="R717">
        <v>-1.8394819999999999E-2</v>
      </c>
      <c r="S717">
        <v>3.0131839999999999</v>
      </c>
      <c r="T717">
        <v>-0.21270159999999999</v>
      </c>
      <c r="U717">
        <v>-0.14880370000000001</v>
      </c>
      <c r="V717">
        <v>1.6112620000000001E-2</v>
      </c>
      <c r="W717">
        <v>6.7140409999999998E-2</v>
      </c>
      <c r="X717">
        <v>0.99761339999999998</v>
      </c>
      <c r="Y717">
        <v>4.692056E-2</v>
      </c>
      <c r="Z717">
        <v>-1.491273E-3</v>
      </c>
      <c r="AA717">
        <v>0.99889749999999999</v>
      </c>
      <c r="AB717">
        <v>30</v>
      </c>
      <c r="AC717">
        <v>0.76229999999998199</v>
      </c>
      <c r="AD717">
        <v>-6.4538999999999902E-2</v>
      </c>
      <c r="AE717">
        <v>-4.5000000000015902E-2</v>
      </c>
      <c r="AF717">
        <v>4.2943317483151298E-2</v>
      </c>
      <c r="AG717">
        <v>-6.4538999999999902E-2</v>
      </c>
      <c r="AH717">
        <v>0.75699406335525099</v>
      </c>
      <c r="AI717">
        <v>94.865294075915003</v>
      </c>
      <c r="AJ717">
        <v>86.753162718268896</v>
      </c>
      <c r="AK717">
        <v>0.76095297028959197</v>
      </c>
      <c r="AL717">
        <v>86.150241721824102</v>
      </c>
      <c r="AM717">
        <v>89.074686786101395</v>
      </c>
      <c r="AN717">
        <v>0.99999997351889502</v>
      </c>
    </row>
    <row r="718" spans="1:40" x14ac:dyDescent="0.25">
      <c r="A718" t="str">
        <f>"20190312150648220"</f>
        <v>20190312150648220</v>
      </c>
      <c r="B718" t="str">
        <f>"1552374408211721"</f>
        <v>1552374408211721</v>
      </c>
      <c r="C718" t="s">
        <v>40</v>
      </c>
      <c r="D718">
        <v>4.4970589999999904</v>
      </c>
      <c r="E718">
        <v>0.51174470000000005</v>
      </c>
      <c r="F718" t="s">
        <v>42</v>
      </c>
      <c r="G718">
        <v>-354.5949</v>
      </c>
      <c r="H718" s="1">
        <v>-2.8163189999999999E-6</v>
      </c>
      <c r="I718">
        <v>366.71170000000001</v>
      </c>
      <c r="J718">
        <v>-370.0992</v>
      </c>
      <c r="K718">
        <v>1.1105400000000001</v>
      </c>
      <c r="L718">
        <v>367.495</v>
      </c>
      <c r="M718">
        <v>0.99989620000000001</v>
      </c>
      <c r="N718">
        <v>0</v>
      </c>
      <c r="O718">
        <v>-2.3375100000000001E-3</v>
      </c>
      <c r="P718">
        <v>0.99844469999999996</v>
      </c>
      <c r="Q718">
        <v>5.2425609999999997E-2</v>
      </c>
      <c r="R718">
        <v>-1.897513E-2</v>
      </c>
      <c r="S718">
        <v>3.0132750000000001</v>
      </c>
      <c r="T718">
        <v>-0.21256800000000001</v>
      </c>
      <c r="U718">
        <v>-0.1500244</v>
      </c>
      <c r="V718">
        <v>1.6650539999999998E-2</v>
      </c>
      <c r="W718">
        <v>6.6625630000000005E-2</v>
      </c>
      <c r="X718">
        <v>0.9976391</v>
      </c>
      <c r="Y718">
        <v>4.7279830000000002E-2</v>
      </c>
      <c r="Z718">
        <v>-1.499949E-3</v>
      </c>
      <c r="AA718">
        <v>0.99888060000000001</v>
      </c>
      <c r="AB718">
        <v>30</v>
      </c>
      <c r="AC718">
        <v>15.504300000000001</v>
      </c>
      <c r="AD718">
        <v>-1.1105428163190001</v>
      </c>
      <c r="AE718">
        <v>-0.783299999999997</v>
      </c>
      <c r="AF718">
        <v>0.74324915077039</v>
      </c>
      <c r="AG718">
        <v>-1.1105428163190001</v>
      </c>
      <c r="AH718">
        <v>15.4271401559278</v>
      </c>
      <c r="AI718">
        <v>94.112655258813106</v>
      </c>
      <c r="AJ718">
        <v>87.241735247955106</v>
      </c>
      <c r="AK718">
        <v>15.4849080732705</v>
      </c>
      <c r="AL718">
        <v>86.179802716499793</v>
      </c>
      <c r="AM718">
        <v>89.043825464888599</v>
      </c>
      <c r="AN718">
        <v>0.99999999445199905</v>
      </c>
    </row>
    <row r="719" spans="1:40" x14ac:dyDescent="0.25">
      <c r="A719" t="str">
        <f>"20190312150648241"</f>
        <v>20190312150648241</v>
      </c>
      <c r="B719" t="str">
        <f>"1552374408231242"</f>
        <v>1552374408231242</v>
      </c>
      <c r="C719" t="s">
        <v>40</v>
      </c>
      <c r="D719">
        <v>4.5111140000000001</v>
      </c>
      <c r="E719">
        <v>0.51173100000000005</v>
      </c>
      <c r="F719" t="s">
        <v>42</v>
      </c>
      <c r="G719">
        <v>-354.47859999999997</v>
      </c>
      <c r="H719" s="1">
        <v>-2.865502E-6</v>
      </c>
      <c r="I719">
        <v>366.71570000000003</v>
      </c>
      <c r="J719">
        <v>-369.82470000000001</v>
      </c>
      <c r="K719">
        <v>1.11054599999999</v>
      </c>
      <c r="L719">
        <v>367.49430000000001</v>
      </c>
      <c r="M719">
        <v>0.99989600000000001</v>
      </c>
      <c r="N719">
        <v>0</v>
      </c>
      <c r="O719">
        <v>-2.3862380000000002E-3</v>
      </c>
      <c r="P719">
        <v>0.99845059999999997</v>
      </c>
      <c r="Q719">
        <v>5.2339820000000002E-2</v>
      </c>
      <c r="R719">
        <v>-1.8894859999999999E-2</v>
      </c>
      <c r="S719">
        <v>3.0130309999999998</v>
      </c>
      <c r="T719">
        <v>-0.2142085</v>
      </c>
      <c r="U719">
        <v>-0.15029909999999999</v>
      </c>
      <c r="V719">
        <v>1.6521790000000001E-2</v>
      </c>
      <c r="W719">
        <v>6.6536650000000003E-2</v>
      </c>
      <c r="X719">
        <v>0.99764719999999996</v>
      </c>
      <c r="Y719">
        <v>4.7324270000000002E-2</v>
      </c>
      <c r="Z719">
        <v>-1.5097330000000001E-3</v>
      </c>
      <c r="AA719">
        <v>0.99887840000000006</v>
      </c>
      <c r="AB719">
        <v>30</v>
      </c>
      <c r="AC719">
        <v>15.3461</v>
      </c>
      <c r="AD719">
        <v>-1.1105488655019899</v>
      </c>
      <c r="AE719">
        <v>-0.77859999999998297</v>
      </c>
      <c r="AF719">
        <v>0.73811905579111803</v>
      </c>
      <c r="AG719">
        <v>-1.1105488655019899</v>
      </c>
      <c r="AH719">
        <v>15.2681609536961</v>
      </c>
      <c r="AI719">
        <v>94.155318436866494</v>
      </c>
      <c r="AJ719">
        <v>87.232266113377705</v>
      </c>
      <c r="AK719">
        <v>15.3262806130894</v>
      </c>
      <c r="AL719">
        <v>86.184912313366794</v>
      </c>
      <c r="AM719">
        <v>89.051225412270099</v>
      </c>
      <c r="AN719">
        <v>1.0000000155029301</v>
      </c>
    </row>
    <row r="720" spans="1:40" x14ac:dyDescent="0.25">
      <c r="A720" t="str">
        <f>"20190312150648252"</f>
        <v>20190312150648252</v>
      </c>
      <c r="B720" t="str">
        <f>"1552374408241001"</f>
        <v>1552374408241001</v>
      </c>
      <c r="C720" t="s">
        <v>40</v>
      </c>
      <c r="D720">
        <v>4.4845699999999997</v>
      </c>
      <c r="E720">
        <v>0.51165939999999999</v>
      </c>
      <c r="F720" t="s">
        <v>42</v>
      </c>
      <c r="G720">
        <v>-354.19150000000002</v>
      </c>
      <c r="H720" s="1">
        <v>-2.9890329999999999E-6</v>
      </c>
      <c r="I720">
        <v>366.71370000000002</v>
      </c>
      <c r="J720">
        <v>-369.67349999999999</v>
      </c>
      <c r="K720">
        <v>1.110549</v>
      </c>
      <c r="L720">
        <v>367.4939</v>
      </c>
      <c r="M720">
        <v>0.99989589999999995</v>
      </c>
      <c r="N720">
        <v>0</v>
      </c>
      <c r="O720">
        <v>-2.4129289999999999E-3</v>
      </c>
      <c r="P720">
        <v>0.99842819999999999</v>
      </c>
      <c r="Q720">
        <v>5.2858519999999999E-2</v>
      </c>
      <c r="R720">
        <v>-1.8633250000000001E-2</v>
      </c>
      <c r="S720">
        <v>3.0129999999999999</v>
      </c>
      <c r="T720">
        <v>-0.2140349</v>
      </c>
      <c r="U720">
        <v>-0.1504211</v>
      </c>
      <c r="V720">
        <v>1.623343E-2</v>
      </c>
      <c r="W720">
        <v>6.7053340000000003E-2</v>
      </c>
      <c r="X720">
        <v>0.99761730000000004</v>
      </c>
      <c r="Y720">
        <v>4.7338690000000003E-2</v>
      </c>
      <c r="Z720">
        <v>-1.5071450000000001E-3</v>
      </c>
      <c r="AA720">
        <v>0.99887780000000004</v>
      </c>
      <c r="AB720">
        <v>30</v>
      </c>
      <c r="AC720">
        <v>15.4819999999999</v>
      </c>
      <c r="AD720">
        <v>-1.110551989033</v>
      </c>
      <c r="AE720">
        <v>-0.78019999999997902</v>
      </c>
      <c r="AF720">
        <v>0.73904389772406298</v>
      </c>
      <c r="AG720">
        <v>-1.110551989033</v>
      </c>
      <c r="AH720">
        <v>15.4047739168189</v>
      </c>
      <c r="AI720">
        <v>94.118679775726605</v>
      </c>
      <c r="AJ720">
        <v>87.253341409370407</v>
      </c>
      <c r="AK720">
        <v>15.4624244874926</v>
      </c>
      <c r="AL720">
        <v>86.155241742566901</v>
      </c>
      <c r="AM720">
        <v>89.067753790552999</v>
      </c>
      <c r="AN720">
        <v>0.99999997595700496</v>
      </c>
    </row>
    <row r="721" spans="1:40" x14ac:dyDescent="0.25">
      <c r="A721" t="str">
        <f>"20190312150648263"</f>
        <v>20190312150648263</v>
      </c>
      <c r="B721" t="str">
        <f>"1552374408251737"</f>
        <v>1552374408251737</v>
      </c>
      <c r="C721" t="s">
        <v>40</v>
      </c>
      <c r="D721">
        <v>4.4910110000000003</v>
      </c>
      <c r="E721">
        <v>0.51162240000000003</v>
      </c>
      <c r="F721" t="s">
        <v>41</v>
      </c>
      <c r="G721">
        <v>-368.78089999999997</v>
      </c>
      <c r="H721">
        <v>1.0475779999999999</v>
      </c>
      <c r="I721">
        <v>367.44929999999999</v>
      </c>
      <c r="J721">
        <v>-369.524</v>
      </c>
      <c r="K721">
        <v>1.1105499999999999</v>
      </c>
      <c r="L721">
        <v>367.49349999999998</v>
      </c>
      <c r="M721">
        <v>0.99989589999999995</v>
      </c>
      <c r="N721">
        <v>0</v>
      </c>
      <c r="O721">
        <v>-2.4392630000000001E-3</v>
      </c>
      <c r="P721">
        <v>0.99841219999999997</v>
      </c>
      <c r="Q721">
        <v>5.3213660000000003E-2</v>
      </c>
      <c r="R721">
        <v>-1.8475990000000001E-2</v>
      </c>
      <c r="S721">
        <v>3.0131839999999999</v>
      </c>
      <c r="T721">
        <v>-0.21290410000000001</v>
      </c>
      <c r="U721">
        <v>-0.14904790000000001</v>
      </c>
      <c r="V721">
        <v>1.6050149999999999E-2</v>
      </c>
      <c r="W721">
        <v>6.7406830000000001E-2</v>
      </c>
      <c r="X721">
        <v>0.99759640000000005</v>
      </c>
      <c r="Y721">
        <v>4.6857709999999997E-2</v>
      </c>
      <c r="Z721">
        <v>-1.4803100000000001E-3</v>
      </c>
      <c r="AA721">
        <v>0.99890049999999997</v>
      </c>
      <c r="AB721">
        <v>30</v>
      </c>
      <c r="AC721">
        <v>0.74310000000002596</v>
      </c>
      <c r="AD721">
        <v>-6.2971999999999806E-2</v>
      </c>
      <c r="AE721">
        <v>-4.4199999999989303E-2</v>
      </c>
      <c r="AF721">
        <v>4.2085904639244297E-2</v>
      </c>
      <c r="AG721">
        <v>-6.2971999999999806E-2</v>
      </c>
      <c r="AH721">
        <v>0.73792506805792601</v>
      </c>
      <c r="AI721">
        <v>94.869733132217405</v>
      </c>
      <c r="AJ721">
        <v>86.735799583701194</v>
      </c>
      <c r="AK721">
        <v>0.74180192923825605</v>
      </c>
      <c r="AL721">
        <v>86.134942161851399</v>
      </c>
      <c r="AM721">
        <v>89.0782579797159</v>
      </c>
      <c r="AN721">
        <v>0.99999993266931297</v>
      </c>
    </row>
    <row r="722" spans="1:40" x14ac:dyDescent="0.25">
      <c r="A722" t="str">
        <f>"20190312150648274"</f>
        <v>20190312150648274</v>
      </c>
      <c r="B722" t="str">
        <f>"1552374408271258"</f>
        <v>1552374408271258</v>
      </c>
      <c r="C722" t="s">
        <v>40</v>
      </c>
      <c r="D722">
        <v>4.4755919999999998</v>
      </c>
      <c r="E722">
        <v>0.51154089999999997</v>
      </c>
      <c r="F722" t="s">
        <v>42</v>
      </c>
      <c r="G722">
        <v>-353.7054</v>
      </c>
      <c r="H722" s="1">
        <v>-3.1974020000000001E-6</v>
      </c>
      <c r="I722">
        <v>366.71460000000002</v>
      </c>
      <c r="J722">
        <v>-369.38529999999997</v>
      </c>
      <c r="K722">
        <v>1.110552</v>
      </c>
      <c r="L722">
        <v>367.4932</v>
      </c>
      <c r="M722">
        <v>0.99989600000000001</v>
      </c>
      <c r="N722">
        <v>0</v>
      </c>
      <c r="O722">
        <v>-2.4643999999999998E-3</v>
      </c>
      <c r="P722">
        <v>0.99840379999999995</v>
      </c>
      <c r="Q722">
        <v>5.3443249999999998E-2</v>
      </c>
      <c r="R722">
        <v>-1.8265340000000001E-2</v>
      </c>
      <c r="S722">
        <v>3.013306</v>
      </c>
      <c r="T722">
        <v>-0.21155009999999999</v>
      </c>
      <c r="U722">
        <v>-0.14837649999999999</v>
      </c>
      <c r="V722">
        <v>1.5814580000000002E-2</v>
      </c>
      <c r="W722">
        <v>6.7634719999999995E-2</v>
      </c>
      <c r="X722">
        <v>0.99758480000000005</v>
      </c>
      <c r="Y722">
        <v>4.661063E-2</v>
      </c>
      <c r="Z722">
        <v>-1.4604489999999999E-3</v>
      </c>
      <c r="AA722">
        <v>0.99891200000000002</v>
      </c>
      <c r="AB722">
        <v>30</v>
      </c>
      <c r="AC722">
        <v>15.6798999999999</v>
      </c>
      <c r="AD722">
        <v>-1.110555197402</v>
      </c>
      <c r="AE722">
        <v>-0.77859999999998297</v>
      </c>
      <c r="AF722">
        <v>0.73626784510098797</v>
      </c>
      <c r="AG722">
        <v>-1.110555197402</v>
      </c>
      <c r="AH722">
        <v>15.603689251499301</v>
      </c>
      <c r="AI722">
        <v>94.066515843335097</v>
      </c>
      <c r="AJ722">
        <v>87.298473888599204</v>
      </c>
      <c r="AK722">
        <v>15.6604770503188</v>
      </c>
      <c r="AL722">
        <v>86.121855400574205</v>
      </c>
      <c r="AM722">
        <v>89.091773657278907</v>
      </c>
      <c r="AN722">
        <v>0.99999999474054702</v>
      </c>
    </row>
    <row r="723" spans="1:40" x14ac:dyDescent="0.25">
      <c r="A723" t="str">
        <f>"20190312150648285"</f>
        <v>20190312150648285</v>
      </c>
      <c r="B723" t="str">
        <f>"1552374408281018"</f>
        <v>1552374408281018</v>
      </c>
      <c r="C723" t="s">
        <v>40</v>
      </c>
      <c r="D723">
        <v>4.4691549999999998</v>
      </c>
      <c r="E723">
        <v>0.51160090000000003</v>
      </c>
      <c r="F723" t="s">
        <v>41</v>
      </c>
      <c r="G723">
        <v>-368.51499999999999</v>
      </c>
      <c r="H723">
        <v>1.0499780000000001</v>
      </c>
      <c r="I723">
        <v>367.45060000000001</v>
      </c>
      <c r="J723">
        <v>-369.23200000000003</v>
      </c>
      <c r="K723">
        <v>1.110552</v>
      </c>
      <c r="L723">
        <v>367.49270000000001</v>
      </c>
      <c r="M723">
        <v>0.99989589999999995</v>
      </c>
      <c r="N723">
        <v>0</v>
      </c>
      <c r="O723">
        <v>-2.4916819999999998E-3</v>
      </c>
      <c r="P723">
        <v>0.99840890000000004</v>
      </c>
      <c r="Q723">
        <v>5.3395520000000002E-2</v>
      </c>
      <c r="R723">
        <v>-1.814499E-2</v>
      </c>
      <c r="S723">
        <v>3.0133359999999998</v>
      </c>
      <c r="T723">
        <v>-0.2098941</v>
      </c>
      <c r="U723">
        <v>-0.1470032</v>
      </c>
      <c r="V723">
        <v>1.5666670000000001E-2</v>
      </c>
      <c r="W723">
        <v>6.7585240000000005E-2</v>
      </c>
      <c r="X723">
        <v>0.99759050000000005</v>
      </c>
      <c r="Y723">
        <v>4.6131640000000002E-2</v>
      </c>
      <c r="Z723">
        <v>-1.4304960000000001E-3</v>
      </c>
      <c r="AA723">
        <v>0.99893430000000005</v>
      </c>
      <c r="AB723">
        <v>30</v>
      </c>
      <c r="AC723">
        <v>0.71699999999998398</v>
      </c>
      <c r="AD723">
        <v>-6.0573999999999899E-2</v>
      </c>
      <c r="AE723">
        <v>-4.2100000000004897E-2</v>
      </c>
      <c r="AF723">
        <v>4.0028439299538997E-2</v>
      </c>
      <c r="AG723">
        <v>-6.0573999999999899E-2</v>
      </c>
      <c r="AH723">
        <v>0.71203811272359896</v>
      </c>
      <c r="AI723">
        <v>94.854889427010704</v>
      </c>
      <c r="AJ723">
        <v>86.782406530732899</v>
      </c>
      <c r="AK723">
        <v>0.71573022808858699</v>
      </c>
      <c r="AL723">
        <v>86.124696946933298</v>
      </c>
      <c r="AM723">
        <v>89.100271818991502</v>
      </c>
      <c r="AN723">
        <v>1.00000000745249</v>
      </c>
    </row>
    <row r="724" spans="1:40" x14ac:dyDescent="0.25">
      <c r="A724" t="str">
        <f>"20190312150648297"</f>
        <v>20190312150648297</v>
      </c>
      <c r="B724" t="str">
        <f>"1552374408291753"</f>
        <v>1552374408291753</v>
      </c>
      <c r="C724" t="s">
        <v>40</v>
      </c>
      <c r="D724">
        <v>4.4717149999999997</v>
      </c>
      <c r="E724">
        <v>0.51160090000000003</v>
      </c>
      <c r="F724" t="s">
        <v>41</v>
      </c>
      <c r="G724">
        <v>-368.25880000000001</v>
      </c>
      <c r="H724">
        <v>1.042381</v>
      </c>
      <c r="I724">
        <v>367.44490000000002</v>
      </c>
      <c r="J724">
        <v>-369.07279999999997</v>
      </c>
      <c r="K724">
        <v>1.11054599999999</v>
      </c>
      <c r="L724">
        <v>367.4923</v>
      </c>
      <c r="M724">
        <v>0.9998958</v>
      </c>
      <c r="N724">
        <v>0</v>
      </c>
      <c r="O724">
        <v>-2.5199189999999998E-3</v>
      </c>
      <c r="P724">
        <v>0.99842839999999999</v>
      </c>
      <c r="Q724">
        <v>5.3113609999999999E-2</v>
      </c>
      <c r="R724">
        <v>-1.7887199999999999E-2</v>
      </c>
      <c r="S724">
        <v>3.0133670000000001</v>
      </c>
      <c r="T724">
        <v>-0.2112955</v>
      </c>
      <c r="U724">
        <v>-0.1472473</v>
      </c>
      <c r="V724">
        <v>1.5380710000000001E-2</v>
      </c>
      <c r="W724">
        <v>6.7302169999999994E-2</v>
      </c>
      <c r="X724">
        <v>0.99761409999999995</v>
      </c>
      <c r="Y724">
        <v>4.6182210000000001E-2</v>
      </c>
      <c r="Z724">
        <v>-1.4398E-3</v>
      </c>
      <c r="AA724">
        <v>0.99893200000000004</v>
      </c>
      <c r="AB724">
        <v>29</v>
      </c>
      <c r="AC724">
        <v>0.81399999999996397</v>
      </c>
      <c r="AD724">
        <v>-6.8164999999999795E-2</v>
      </c>
      <c r="AE724">
        <v>-4.7399999999981901E-2</v>
      </c>
      <c r="AF724">
        <v>4.5033695713694297E-2</v>
      </c>
      <c r="AG724">
        <v>-6.8164999999999795E-2</v>
      </c>
      <c r="AH724">
        <v>0.80846664238588895</v>
      </c>
      <c r="AI724">
        <v>94.812009315058305</v>
      </c>
      <c r="AJ724">
        <v>86.811770724201594</v>
      </c>
      <c r="AK724">
        <v>0.81258403431604997</v>
      </c>
      <c r="AL724">
        <v>86.140952726278897</v>
      </c>
      <c r="AM724">
        <v>89.116712609848506</v>
      </c>
      <c r="AN724">
        <v>1.0000000204228101</v>
      </c>
    </row>
    <row r="725" spans="1:40" x14ac:dyDescent="0.25">
      <c r="A725" t="str">
        <f>"20190312150648309"</f>
        <v>20190312150648309</v>
      </c>
      <c r="B725" t="str">
        <f>"1552374408301513"</f>
        <v>1552374408301513</v>
      </c>
      <c r="C725" t="s">
        <v>40</v>
      </c>
      <c r="D725">
        <v>4.4905089999999896</v>
      </c>
      <c r="E725">
        <v>0.53158039999999995</v>
      </c>
      <c r="F725" t="s">
        <v>42</v>
      </c>
      <c r="G725">
        <v>-353.29680000000002</v>
      </c>
      <c r="H725" s="1">
        <v>-3.3705519999999999E-6</v>
      </c>
      <c r="I725">
        <v>366.72669999999999</v>
      </c>
      <c r="J725">
        <v>-368.92559999999997</v>
      </c>
      <c r="K725">
        <v>1.110541</v>
      </c>
      <c r="L725">
        <v>367.49189999999999</v>
      </c>
      <c r="M725">
        <v>0.99989570000000005</v>
      </c>
      <c r="N725">
        <v>0</v>
      </c>
      <c r="O725">
        <v>-2.5460109999999999E-3</v>
      </c>
      <c r="P725">
        <v>0.99845839999999997</v>
      </c>
      <c r="Q725">
        <v>5.2569169999999998E-2</v>
      </c>
      <c r="R725">
        <v>-1.7812209999999998E-2</v>
      </c>
      <c r="S725">
        <v>3.0134280000000002</v>
      </c>
      <c r="T725">
        <v>-0.2121285</v>
      </c>
      <c r="U725">
        <v>-0.14624019999999999</v>
      </c>
      <c r="V725">
        <v>1.5279549999999999E-2</v>
      </c>
      <c r="W725">
        <v>6.6756460000000004E-2</v>
      </c>
      <c r="X725">
        <v>0.99765230000000005</v>
      </c>
      <c r="Y725">
        <v>4.5822219999999997E-2</v>
      </c>
      <c r="Z725">
        <v>-1.4309639999999901E-3</v>
      </c>
      <c r="AA725">
        <v>0.99894859999999996</v>
      </c>
      <c r="AB725">
        <v>29</v>
      </c>
      <c r="AC725">
        <v>15.628799999999901</v>
      </c>
      <c r="AD725">
        <v>-1.1105443705519999</v>
      </c>
      <c r="AE725">
        <v>-0.765199999999992</v>
      </c>
      <c r="AF725">
        <v>0.72176678824497298</v>
      </c>
      <c r="AG725">
        <v>-1.1105443705519999</v>
      </c>
      <c r="AH725">
        <v>15.552358924191701</v>
      </c>
      <c r="AI725">
        <v>94.079999892656801</v>
      </c>
      <c r="AJ725">
        <v>87.342876408773705</v>
      </c>
      <c r="AK725">
        <v>15.608655425835501</v>
      </c>
      <c r="AL725">
        <v>86.172290007577104</v>
      </c>
      <c r="AM725">
        <v>89.122554734448201</v>
      </c>
      <c r="AN725">
        <v>1.00000000064761</v>
      </c>
    </row>
    <row r="726" spans="1:40" x14ac:dyDescent="0.25">
      <c r="A726" t="str">
        <f>"20190312150648321"</f>
        <v>20190312150648321</v>
      </c>
      <c r="B726" t="str">
        <f>"1552374408311273"</f>
        <v>1552374408311273</v>
      </c>
      <c r="C726" t="s">
        <v>40</v>
      </c>
      <c r="D726">
        <v>4.4852809999999996</v>
      </c>
      <c r="E726">
        <v>0.53284619999999905</v>
      </c>
      <c r="F726" t="s">
        <v>42</v>
      </c>
      <c r="G726">
        <v>-347.29320000000001</v>
      </c>
      <c r="H726" s="1">
        <v>-2.1731629999999998E-6</v>
      </c>
      <c r="I726">
        <v>365.29629999999997</v>
      </c>
      <c r="J726">
        <v>-368.76920000000001</v>
      </c>
      <c r="K726">
        <v>1.1105370000000001</v>
      </c>
      <c r="L726">
        <v>367.49149999999997</v>
      </c>
      <c r="M726">
        <v>0.9998958</v>
      </c>
      <c r="N726">
        <v>0</v>
      </c>
      <c r="O726">
        <v>-2.5740099999999998E-3</v>
      </c>
      <c r="P726">
        <v>0.99848990000000004</v>
      </c>
      <c r="Q726">
        <v>5.191954E-2</v>
      </c>
      <c r="R726">
        <v>-1.7959610000000001E-2</v>
      </c>
      <c r="S726">
        <v>3.007355</v>
      </c>
      <c r="T726">
        <v>-0.15438829999999901</v>
      </c>
      <c r="U726">
        <v>-0.30523679999999997</v>
      </c>
      <c r="V726">
        <v>1.53985999999999E-2</v>
      </c>
      <c r="W726">
        <v>6.6105120000000003E-2</v>
      </c>
      <c r="X726">
        <v>0.99769379999999996</v>
      </c>
      <c r="Y726">
        <v>9.8291809999999993E-2</v>
      </c>
      <c r="Z726">
        <v>-2.3831659999999999E-3</v>
      </c>
      <c r="AA726">
        <v>0.99515480000000001</v>
      </c>
      <c r="AB726">
        <v>29</v>
      </c>
      <c r="AC726">
        <v>21.475999999999999</v>
      </c>
      <c r="AD726">
        <v>-1.1105391731630001</v>
      </c>
      <c r="AE726">
        <v>-2.1951999999999998</v>
      </c>
      <c r="AF726">
        <v>2.1342597165524602</v>
      </c>
      <c r="AG726">
        <v>-1.1105391731630001</v>
      </c>
      <c r="AH726">
        <v>21.4248821877386</v>
      </c>
      <c r="AI726">
        <v>92.952631058706203</v>
      </c>
      <c r="AJ726">
        <v>84.311194999668999</v>
      </c>
      <c r="AK726">
        <v>21.559544024661299</v>
      </c>
      <c r="AL726">
        <v>86.209691510313604</v>
      </c>
      <c r="AM726">
        <v>89.115756012935407</v>
      </c>
      <c r="AN726">
        <v>0.99999996116530598</v>
      </c>
    </row>
    <row r="727" spans="1:40" x14ac:dyDescent="0.25">
      <c r="A727" t="str">
        <f>"20190312150648334"</f>
        <v>20190312150648334</v>
      </c>
      <c r="B727" t="str">
        <f>"1552374408331770"</f>
        <v>1552374408331770</v>
      </c>
      <c r="C727" t="s">
        <v>40</v>
      </c>
      <c r="D727">
        <v>4.3799260000000002</v>
      </c>
      <c r="E727">
        <v>0.53294989999999998</v>
      </c>
      <c r="F727" t="s">
        <v>42</v>
      </c>
      <c r="G727">
        <v>-348.96409999999997</v>
      </c>
      <c r="H727" s="1">
        <v>-1.5003400000000001E-6</v>
      </c>
      <c r="I727">
        <v>365.41340000000002</v>
      </c>
      <c r="J727">
        <v>-368.60989999999998</v>
      </c>
      <c r="K727">
        <v>1.1105339999999999</v>
      </c>
      <c r="L727">
        <v>367.49110000000002</v>
      </c>
      <c r="M727">
        <v>0.9998958</v>
      </c>
      <c r="N727">
        <v>0</v>
      </c>
      <c r="O727">
        <v>-2.6024860000000002E-3</v>
      </c>
      <c r="P727">
        <v>0.99850510000000003</v>
      </c>
      <c r="Q727">
        <v>5.1641909999999999E-2</v>
      </c>
      <c r="R727">
        <v>-1.7921070000000001E-2</v>
      </c>
      <c r="S727">
        <v>3.00766</v>
      </c>
      <c r="T727">
        <v>-0.1686494</v>
      </c>
      <c r="U727">
        <v>-0.31558229999999998</v>
      </c>
      <c r="V727">
        <v>1.5331610000000001E-2</v>
      </c>
      <c r="W727">
        <v>6.5826300000000004E-2</v>
      </c>
      <c r="X727">
        <v>0.99771330000000003</v>
      </c>
      <c r="Y727">
        <v>0.1016106</v>
      </c>
      <c r="Z727">
        <v>-2.693385E-3</v>
      </c>
      <c r="AA727">
        <v>0.99482060000000005</v>
      </c>
      <c r="AB727">
        <v>29</v>
      </c>
      <c r="AC727">
        <v>19.645800000000001</v>
      </c>
      <c r="AD727">
        <v>-1.1105355003399999</v>
      </c>
      <c r="AE727">
        <v>-2.0776999999999899</v>
      </c>
      <c r="AF727">
        <v>2.02017601638501</v>
      </c>
      <c r="AG727">
        <v>-1.1105355003399999</v>
      </c>
      <c r="AH727">
        <v>19.589238074045401</v>
      </c>
      <c r="AI727">
        <v>93.227606700638205</v>
      </c>
      <c r="AJ727">
        <v>84.112081991718995</v>
      </c>
      <c r="AK727">
        <v>19.724417572043102</v>
      </c>
      <c r="AL727">
        <v>86.225701718005695</v>
      </c>
      <c r="AM727">
        <v>89.119619421580097</v>
      </c>
      <c r="AN727">
        <v>0.99999999451688604</v>
      </c>
    </row>
    <row r="728" spans="1:40" x14ac:dyDescent="0.25">
      <c r="A728" t="str">
        <f>"20190312150648348"</f>
        <v>20190312150648348</v>
      </c>
      <c r="B728" t="str">
        <f>"1552374408341529"</f>
        <v>1552374408341529</v>
      </c>
      <c r="C728" t="s">
        <v>40</v>
      </c>
      <c r="D728">
        <v>4.4541820000000003</v>
      </c>
      <c r="E728">
        <v>0.53363570000000005</v>
      </c>
      <c r="F728" t="s">
        <v>42</v>
      </c>
      <c r="G728">
        <v>-351.00970000000001</v>
      </c>
      <c r="H728" s="1">
        <v>-4.5447860000000001E-6</v>
      </c>
      <c r="I728">
        <v>365.63810000000001</v>
      </c>
      <c r="J728">
        <v>-368.41289999999998</v>
      </c>
      <c r="K728">
        <v>1.1105309999999999</v>
      </c>
      <c r="L728">
        <v>367.4905</v>
      </c>
      <c r="M728">
        <v>0.9998956</v>
      </c>
      <c r="N728">
        <v>0</v>
      </c>
      <c r="O728">
        <v>-2.6372790000000002E-3</v>
      </c>
      <c r="P728">
        <v>0.99854149999999997</v>
      </c>
      <c r="Q728">
        <v>5.0810840000000003E-2</v>
      </c>
      <c r="R728">
        <v>-1.8257639999999999E-2</v>
      </c>
      <c r="S728">
        <v>3.0086360000000001</v>
      </c>
      <c r="T728">
        <v>-0.18983810000000001</v>
      </c>
      <c r="U728">
        <v>-0.31674190000000002</v>
      </c>
      <c r="V728">
        <v>1.5633310000000001E-2</v>
      </c>
      <c r="W728">
        <v>6.4994099999999999E-2</v>
      </c>
      <c r="X728">
        <v>0.99776319999999996</v>
      </c>
      <c r="Y728">
        <v>0.1018804</v>
      </c>
      <c r="Z728">
        <v>-3.036399E-3</v>
      </c>
      <c r="AA728">
        <v>0.99479200000000001</v>
      </c>
      <c r="AB728">
        <v>29</v>
      </c>
      <c r="AC728">
        <v>17.403199999999899</v>
      </c>
      <c r="AD728">
        <v>-1.1105355447859999</v>
      </c>
      <c r="AE728">
        <v>-1.8523999999999801</v>
      </c>
      <c r="AF728">
        <v>1.7992473889578</v>
      </c>
      <c r="AG728">
        <v>-1.1105355447859999</v>
      </c>
      <c r="AH728">
        <v>17.338215130578799</v>
      </c>
      <c r="AI728">
        <v>93.645341459120999</v>
      </c>
      <c r="AJ728">
        <v>84.075422434985398</v>
      </c>
      <c r="AK728">
        <v>17.466662081724099</v>
      </c>
      <c r="AL728">
        <v>86.273485687403394</v>
      </c>
      <c r="AM728">
        <v>89.102342725794102</v>
      </c>
      <c r="AN728">
        <v>1.0000000183452999</v>
      </c>
    </row>
    <row r="729" spans="1:40" x14ac:dyDescent="0.25">
      <c r="A729" t="str">
        <f>"20190312150648363"</f>
        <v>20190312150648363</v>
      </c>
      <c r="B729" t="str">
        <f>"1552374408361050"</f>
        <v>1552374408361050</v>
      </c>
      <c r="C729" t="s">
        <v>40</v>
      </c>
      <c r="D729">
        <v>4.4861490000000002</v>
      </c>
      <c r="E729">
        <v>0.53454559999999995</v>
      </c>
      <c r="F729" t="s">
        <v>41</v>
      </c>
      <c r="G729">
        <v>-367.46409999999997</v>
      </c>
      <c r="H729">
        <v>1.04942</v>
      </c>
      <c r="I729">
        <v>367.38850000000002</v>
      </c>
      <c r="J729">
        <v>-368.2029</v>
      </c>
      <c r="K729">
        <v>1.1105210000000001</v>
      </c>
      <c r="L729">
        <v>367.48989999999998</v>
      </c>
      <c r="M729">
        <v>0.99989550000000005</v>
      </c>
      <c r="N729">
        <v>0</v>
      </c>
      <c r="O729">
        <v>-2.6742189999999998E-3</v>
      </c>
      <c r="P729">
        <v>0.99856160000000005</v>
      </c>
      <c r="Q729">
        <v>5.0165139999999997E-2</v>
      </c>
      <c r="R729">
        <v>-1.892926E-2</v>
      </c>
      <c r="S729">
        <v>3.0083920000000002</v>
      </c>
      <c r="T729">
        <v>-0.19393250000000001</v>
      </c>
      <c r="U729">
        <v>-0.32284550000000001</v>
      </c>
      <c r="V729">
        <v>1.626783E-2</v>
      </c>
      <c r="W729">
        <v>6.4346E-2</v>
      </c>
      <c r="X729">
        <v>0.99779499999999999</v>
      </c>
      <c r="Y729">
        <v>0.1038351</v>
      </c>
      <c r="Z729">
        <v>-3.1620620000000002E-3</v>
      </c>
      <c r="AA729">
        <v>0.99458950000000002</v>
      </c>
      <c r="AB729">
        <v>29</v>
      </c>
      <c r="AC729">
        <v>0.73880000000002599</v>
      </c>
      <c r="AD729">
        <v>-6.1100999999999801E-2</v>
      </c>
      <c r="AE729">
        <v>-0.101399999999955</v>
      </c>
      <c r="AF729">
        <v>9.8760711736423798E-2</v>
      </c>
      <c r="AG729">
        <v>-6.1100999999999801E-2</v>
      </c>
      <c r="AH729">
        <v>0.73414002701000902</v>
      </c>
      <c r="AI729">
        <v>94.715365674577995</v>
      </c>
      <c r="AJ729">
        <v>82.338242067518607</v>
      </c>
      <c r="AK729">
        <v>0.743268854212217</v>
      </c>
      <c r="AL729">
        <v>86.310696746156594</v>
      </c>
      <c r="AM729">
        <v>89.065944980900994</v>
      </c>
      <c r="AN729">
        <v>0.99999995601695302</v>
      </c>
    </row>
    <row r="730" spans="1:40" x14ac:dyDescent="0.25">
      <c r="A730" t="str">
        <f>"20190312150648377"</f>
        <v>20190312150648377</v>
      </c>
      <c r="B730" t="str">
        <f>"1552374408371786"</f>
        <v>1552374408371786</v>
      </c>
      <c r="C730" t="s">
        <v>40</v>
      </c>
      <c r="D730">
        <v>4.5970870000000001</v>
      </c>
      <c r="E730">
        <v>0.53543560000000001</v>
      </c>
      <c r="F730" t="s">
        <v>42</v>
      </c>
      <c r="G730">
        <v>-351.33960000000002</v>
      </c>
      <c r="H730" s="1">
        <v>-4.404847E-6</v>
      </c>
      <c r="I730">
        <v>365.62920000000003</v>
      </c>
      <c r="J730">
        <v>-368.0292</v>
      </c>
      <c r="K730">
        <v>1.11052</v>
      </c>
      <c r="L730">
        <v>367.48930000000001</v>
      </c>
      <c r="M730">
        <v>0.99989550000000005</v>
      </c>
      <c r="N730">
        <v>0</v>
      </c>
      <c r="O730">
        <v>-2.7053139999999999E-3</v>
      </c>
      <c r="P730">
        <v>0.99856869999999998</v>
      </c>
      <c r="Q730">
        <v>4.9815890000000002E-2</v>
      </c>
      <c r="R730">
        <v>-1.946055E-2</v>
      </c>
      <c r="S730">
        <v>3.0079959999999999</v>
      </c>
      <c r="T730">
        <v>-0.19808880000000001</v>
      </c>
      <c r="U730">
        <v>-0.33187870000000003</v>
      </c>
      <c r="V730">
        <v>1.6768109999999999E-2</v>
      </c>
      <c r="W730">
        <v>6.3995299999999894E-2</v>
      </c>
      <c r="X730">
        <v>0.99780930000000001</v>
      </c>
      <c r="Y730">
        <v>0.1067544</v>
      </c>
      <c r="Z730">
        <v>-3.3232769999999999E-3</v>
      </c>
      <c r="AA730">
        <v>0.99427989999999999</v>
      </c>
      <c r="AB730">
        <v>29</v>
      </c>
      <c r="AC730">
        <v>16.689599999999899</v>
      </c>
      <c r="AD730">
        <v>-1.110524404847</v>
      </c>
      <c r="AE730">
        <v>-1.8600999999999801</v>
      </c>
      <c r="AF730">
        <v>1.8070354373773601</v>
      </c>
      <c r="AG730">
        <v>-1.110524404847</v>
      </c>
      <c r="AH730">
        <v>16.621880171253299</v>
      </c>
      <c r="AI730">
        <v>93.799984275187697</v>
      </c>
      <c r="AJ730">
        <v>83.795498281331305</v>
      </c>
      <c r="AK730">
        <v>16.756656646037801</v>
      </c>
      <c r="AL730">
        <v>86.3308319779036</v>
      </c>
      <c r="AM730">
        <v>89.037239371156502</v>
      </c>
      <c r="AN730">
        <v>0.99999998355077502</v>
      </c>
    </row>
    <row r="731" spans="1:40" x14ac:dyDescent="0.25">
      <c r="A731" t="str">
        <f>"20190312150648391"</f>
        <v>20190312150648391</v>
      </c>
      <c r="B731" t="str">
        <f>"1552374408381546"</f>
        <v>1552374408381546</v>
      </c>
      <c r="C731" t="s">
        <v>40</v>
      </c>
      <c r="D731">
        <v>4.5585250000000004</v>
      </c>
      <c r="E731">
        <v>0.53543560000000001</v>
      </c>
      <c r="F731" t="s">
        <v>42</v>
      </c>
      <c r="G731">
        <v>-352.18470000000002</v>
      </c>
      <c r="H731" s="1">
        <v>-4.0304649999999999E-6</v>
      </c>
      <c r="I731">
        <v>365.69589999999999</v>
      </c>
      <c r="J731">
        <v>-367.8553</v>
      </c>
      <c r="K731">
        <v>1.1105179999999999</v>
      </c>
      <c r="L731">
        <v>367.4889</v>
      </c>
      <c r="M731">
        <v>0.99989550000000005</v>
      </c>
      <c r="N731">
        <v>0</v>
      </c>
      <c r="O731">
        <v>-2.7365290000000001E-3</v>
      </c>
      <c r="P731">
        <v>0.99856020000000001</v>
      </c>
      <c r="Q731">
        <v>4.9790099999999997E-2</v>
      </c>
      <c r="R731">
        <v>-1.9967349999999998E-2</v>
      </c>
      <c r="S731">
        <v>3.0081790000000002</v>
      </c>
      <c r="T731">
        <v>-0.21083840000000001</v>
      </c>
      <c r="U731">
        <v>-0.34048460000000003</v>
      </c>
      <c r="V731">
        <v>1.7243669999999999E-2</v>
      </c>
      <c r="W731">
        <v>6.3967209999999997E-2</v>
      </c>
      <c r="X731">
        <v>0.997803</v>
      </c>
      <c r="Y731">
        <v>0.1094897</v>
      </c>
      <c r="Z731">
        <v>-3.6291600000000002E-3</v>
      </c>
      <c r="AA731">
        <v>0.99398129999999996</v>
      </c>
      <c r="AB731">
        <v>29</v>
      </c>
      <c r="AC731">
        <v>15.670599999999901</v>
      </c>
      <c r="AD731">
        <v>-1.1105220304649901</v>
      </c>
      <c r="AE731">
        <v>-1.7929999999999999</v>
      </c>
      <c r="AF731">
        <v>1.74147312192768</v>
      </c>
      <c r="AG731">
        <v>-1.1105220304649901</v>
      </c>
      <c r="AH731">
        <v>15.598125731704901</v>
      </c>
      <c r="AI731">
        <v>94.047289001527403</v>
      </c>
      <c r="AJ731">
        <v>83.629519571394198</v>
      </c>
      <c r="AK731">
        <v>15.7342783169937</v>
      </c>
      <c r="AL731">
        <v>86.332444735080301</v>
      </c>
      <c r="AM731">
        <v>89.009933648291906</v>
      </c>
      <c r="AN731">
        <v>0.99999998745962604</v>
      </c>
    </row>
    <row r="732" spans="1:40" x14ac:dyDescent="0.25">
      <c r="A732" t="str">
        <f>"20190312150648403"</f>
        <v>20190312150648403</v>
      </c>
      <c r="B732" t="str">
        <f>"1552374408391307"</f>
        <v>1552374408391307</v>
      </c>
      <c r="C732" t="s">
        <v>40</v>
      </c>
      <c r="D732">
        <v>4.4179629999999896</v>
      </c>
      <c r="E732">
        <v>0.53507839999999995</v>
      </c>
      <c r="F732" t="s">
        <v>41</v>
      </c>
      <c r="G732">
        <v>-366.94279999999998</v>
      </c>
      <c r="H732">
        <v>1.046516</v>
      </c>
      <c r="I732">
        <v>367.38510000000002</v>
      </c>
      <c r="J732">
        <v>-367.69290000000001</v>
      </c>
      <c r="K732">
        <v>1.1105149999999999</v>
      </c>
      <c r="L732">
        <v>367.48840000000001</v>
      </c>
      <c r="M732">
        <v>0.99989539999999999</v>
      </c>
      <c r="N732">
        <v>0</v>
      </c>
      <c r="O732">
        <v>-2.7652419999999998E-3</v>
      </c>
      <c r="P732">
        <v>0.99856310000000004</v>
      </c>
      <c r="Q732">
        <v>4.9527000000000002E-2</v>
      </c>
      <c r="R732">
        <v>-2.0475230000000001E-2</v>
      </c>
      <c r="S732">
        <v>3.0079959999999999</v>
      </c>
      <c r="T732">
        <v>-0.21099850000000001</v>
      </c>
      <c r="U732">
        <v>-0.34228520000000001</v>
      </c>
      <c r="V732">
        <v>1.772286E-2</v>
      </c>
      <c r="W732">
        <v>6.3702170000000002E-2</v>
      </c>
      <c r="X732">
        <v>0.99781160000000002</v>
      </c>
      <c r="Y732">
        <v>0.1100537</v>
      </c>
      <c r="Z732">
        <v>-3.649692E-3</v>
      </c>
      <c r="AA732">
        <v>0.993919</v>
      </c>
      <c r="AB732">
        <v>29</v>
      </c>
      <c r="AC732">
        <v>0.75010000000003096</v>
      </c>
      <c r="AD732">
        <v>-6.3998999999999903E-2</v>
      </c>
      <c r="AE732">
        <v>-0.10329999999999</v>
      </c>
      <c r="AF732">
        <v>0.100507152965793</v>
      </c>
      <c r="AG732">
        <v>-6.3998999999999903E-2</v>
      </c>
      <c r="AH732">
        <v>0.74506001341667805</v>
      </c>
      <c r="AI732">
        <v>94.865671523543995</v>
      </c>
      <c r="AJ732">
        <v>82.317288303035497</v>
      </c>
      <c r="AK732">
        <v>0.75452765581570902</v>
      </c>
      <c r="AL732">
        <v>86.347661590434498</v>
      </c>
      <c r="AM732">
        <v>88.982434845186702</v>
      </c>
      <c r="AN732">
        <v>1.0000000276619201</v>
      </c>
    </row>
    <row r="733" spans="1:40" x14ac:dyDescent="0.25">
      <c r="A733" t="str">
        <f>"20190312150648420"</f>
        <v>20190312150648420</v>
      </c>
      <c r="B733" t="str">
        <f>"1552374408410825"</f>
        <v>1552374408410825</v>
      </c>
      <c r="C733" t="s">
        <v>40</v>
      </c>
      <c r="D733">
        <v>4.3576839999999999</v>
      </c>
      <c r="E733">
        <v>0.53265739999999995</v>
      </c>
      <c r="F733" t="s">
        <v>50</v>
      </c>
      <c r="G733">
        <v>-149.97020000000001</v>
      </c>
      <c r="H733">
        <v>14.627079999999999</v>
      </c>
      <c r="I733">
        <v>342.61750000000001</v>
      </c>
      <c r="J733">
        <v>-367.46089999999998</v>
      </c>
      <c r="K733">
        <v>1.1105069999999999</v>
      </c>
      <c r="L733">
        <v>367.48770000000002</v>
      </c>
      <c r="M733">
        <v>0.99989519999999998</v>
      </c>
      <c r="N733">
        <v>0</v>
      </c>
      <c r="O733">
        <v>-2.8062320000000001E-3</v>
      </c>
      <c r="P733">
        <v>0.99854710000000002</v>
      </c>
      <c r="Q733">
        <v>4.9360080000000001E-2</v>
      </c>
      <c r="R733">
        <v>-2.1616239999999998E-2</v>
      </c>
      <c r="S733">
        <v>2.9881289999999998</v>
      </c>
      <c r="T733">
        <v>0.1855078</v>
      </c>
      <c r="U733">
        <v>-0.34133909999999901</v>
      </c>
      <c r="V733">
        <v>1.8823030000000001E-2</v>
      </c>
      <c r="W733">
        <v>6.3532759999999994E-2</v>
      </c>
      <c r="X733">
        <v>0.99780219999999997</v>
      </c>
      <c r="Y733">
        <v>0.11050020000000001</v>
      </c>
      <c r="Z733">
        <v>3.2421440000000002E-3</v>
      </c>
      <c r="AA733">
        <v>0.99387080000000005</v>
      </c>
      <c r="AB733">
        <v>29</v>
      </c>
      <c r="AC733">
        <v>217.4907</v>
      </c>
      <c r="AD733">
        <v>13.516572999999999</v>
      </c>
      <c r="AE733">
        <v>-24.870200000000001</v>
      </c>
      <c r="AF733">
        <v>24.1675722793745</v>
      </c>
      <c r="AG733">
        <v>13.516572999999999</v>
      </c>
      <c r="AH733">
        <v>216.73334636491001</v>
      </c>
      <c r="AI733">
        <v>86.453296380981698</v>
      </c>
      <c r="AJ733">
        <v>83.637328138747904</v>
      </c>
      <c r="AK733">
        <v>218.49510914909499</v>
      </c>
      <c r="AL733">
        <v>86.357387574900102</v>
      </c>
      <c r="AM733">
        <v>88.919272505708506</v>
      </c>
      <c r="AN733">
        <v>0.99999997418821795</v>
      </c>
    </row>
    <row r="734" spans="1:40" x14ac:dyDescent="0.25">
      <c r="A734" t="str">
        <f>"20190312150648434"</f>
        <v>20190312150648434</v>
      </c>
      <c r="B734" t="str">
        <f>"1552374408431321"</f>
        <v>1552374408431321</v>
      </c>
      <c r="C734" t="s">
        <v>40</v>
      </c>
      <c r="D734">
        <v>4.5066290000000002</v>
      </c>
      <c r="E734">
        <v>0.53327139999999995</v>
      </c>
      <c r="F734" t="s">
        <v>42</v>
      </c>
      <c r="G734">
        <v>-340.10570000000001</v>
      </c>
      <c r="H734" s="1">
        <v>-5.5601469999999997E-6</v>
      </c>
      <c r="I734">
        <v>364.5283</v>
      </c>
      <c r="J734">
        <v>-367.29489999999998</v>
      </c>
      <c r="K734">
        <v>1.110509</v>
      </c>
      <c r="L734">
        <v>367.48719999999997</v>
      </c>
      <c r="M734">
        <v>0.99989530000000004</v>
      </c>
      <c r="N734">
        <v>0</v>
      </c>
      <c r="O734">
        <v>-2.835901E-3</v>
      </c>
      <c r="P734">
        <v>0.99852490000000005</v>
      </c>
      <c r="Q734">
        <v>4.9512309999999997E-2</v>
      </c>
      <c r="R734">
        <v>-2.2292909999999999E-2</v>
      </c>
      <c r="S734">
        <v>3.0033569999999998</v>
      </c>
      <c r="T734">
        <v>-0.12192409999999999</v>
      </c>
      <c r="U734">
        <v>-0.32492070000000001</v>
      </c>
      <c r="V734">
        <v>1.9469940000000002E-2</v>
      </c>
      <c r="W734">
        <v>6.3682649999999993E-2</v>
      </c>
      <c r="X734">
        <v>0.99778029999999995</v>
      </c>
      <c r="Y734">
        <v>0.1046552</v>
      </c>
      <c r="Z734">
        <v>-2.0024919999999998E-3</v>
      </c>
      <c r="AA734">
        <v>0.99450649999999996</v>
      </c>
      <c r="AB734">
        <v>29</v>
      </c>
      <c r="AC734">
        <v>27.1891999999999</v>
      </c>
      <c r="AD734">
        <v>-1.1105145601469999</v>
      </c>
      <c r="AE734">
        <v>-2.9588999999999701</v>
      </c>
      <c r="AF734">
        <v>2.8770310861370998</v>
      </c>
      <c r="AG734">
        <v>-1.1105145601469999</v>
      </c>
      <c r="AH734">
        <v>27.152715871052301</v>
      </c>
      <c r="AI734">
        <v>92.329002753234306</v>
      </c>
      <c r="AJ734">
        <v>83.951655852100302</v>
      </c>
      <c r="AK734">
        <v>27.327285442081401</v>
      </c>
      <c r="AL734">
        <v>86.348782334734807</v>
      </c>
      <c r="AM734">
        <v>88.882114796149594</v>
      </c>
      <c r="AN734">
        <v>1.00000004277135</v>
      </c>
    </row>
    <row r="735" spans="1:40" x14ac:dyDescent="0.25">
      <c r="A735" t="str">
        <f>"20190312150648446"</f>
        <v>20190312150648446</v>
      </c>
      <c r="B735" t="str">
        <f>"1552374408441082"</f>
        <v>1552374408441082</v>
      </c>
      <c r="C735" t="s">
        <v>40</v>
      </c>
      <c r="D735">
        <v>4.4345129999999999</v>
      </c>
      <c r="E735">
        <v>0.53337500000000004</v>
      </c>
      <c r="F735" t="s">
        <v>42</v>
      </c>
      <c r="G735">
        <v>-344.13670000000002</v>
      </c>
      <c r="H735" s="1">
        <v>-3.5832350000000002E-6</v>
      </c>
      <c r="I735">
        <v>364.9307</v>
      </c>
      <c r="J735">
        <v>-367.12479999999999</v>
      </c>
      <c r="K735">
        <v>1.1105130000000001</v>
      </c>
      <c r="L735">
        <v>367.48669999999998</v>
      </c>
      <c r="M735">
        <v>0.99989519999999998</v>
      </c>
      <c r="N735">
        <v>0</v>
      </c>
      <c r="O735">
        <v>-2.8660439999999999E-3</v>
      </c>
      <c r="P735">
        <v>0.99848110000000001</v>
      </c>
      <c r="Q735">
        <v>5.0140190000000001E-2</v>
      </c>
      <c r="R735">
        <v>-2.2837659999999999E-2</v>
      </c>
      <c r="S735">
        <v>3.0042110000000002</v>
      </c>
      <c r="T735">
        <v>-0.14406240000000001</v>
      </c>
      <c r="U735">
        <v>-0.3316345</v>
      </c>
      <c r="V735">
        <v>1.998494E-2</v>
      </c>
      <c r="W735">
        <v>6.4308409999999996E-2</v>
      </c>
      <c r="X735">
        <v>0.99773000000000001</v>
      </c>
      <c r="Y735">
        <v>0.106756</v>
      </c>
      <c r="Z735">
        <v>-2.4135060000000002E-3</v>
      </c>
      <c r="AA735">
        <v>0.99428229999999995</v>
      </c>
      <c r="AB735">
        <v>29</v>
      </c>
      <c r="AC735">
        <v>22.9880999999999</v>
      </c>
      <c r="AD735">
        <v>-1.1105165832349999</v>
      </c>
      <c r="AE735">
        <v>-2.5559999999999801</v>
      </c>
      <c r="AF735">
        <v>2.4843709981975102</v>
      </c>
      <c r="AG735">
        <v>-1.1105165832349999</v>
      </c>
      <c r="AH735">
        <v>22.942445089375099</v>
      </c>
      <c r="AI735">
        <v>92.755126777165302</v>
      </c>
      <c r="AJ735">
        <v>83.819687717266106</v>
      </c>
      <c r="AK735">
        <v>23.103271045835001</v>
      </c>
      <c r="AL735">
        <v>86.312855352795196</v>
      </c>
      <c r="AM735">
        <v>88.852495550537299</v>
      </c>
      <c r="AN735">
        <v>1.0000000611617601</v>
      </c>
    </row>
    <row r="736" spans="1:40" x14ac:dyDescent="0.25">
      <c r="A736" t="str">
        <f>"20190312150648459"</f>
        <v>20190312150648459</v>
      </c>
      <c r="B736" t="str">
        <f>"1552374408450842"</f>
        <v>1552374408450842</v>
      </c>
      <c r="C736" t="s">
        <v>40</v>
      </c>
      <c r="D736">
        <v>4.3978989999999998</v>
      </c>
      <c r="E736">
        <v>0.53377059999999998</v>
      </c>
      <c r="F736" t="s">
        <v>42</v>
      </c>
      <c r="G736">
        <v>-342.91120000000001</v>
      </c>
      <c r="H736" s="1">
        <v>-4.1870209999999998E-6</v>
      </c>
      <c r="I736">
        <v>364.79289999999997</v>
      </c>
      <c r="J736">
        <v>-366.94709999999998</v>
      </c>
      <c r="K736">
        <v>1.110517</v>
      </c>
      <c r="L736">
        <v>367.48610000000002</v>
      </c>
      <c r="M736">
        <v>0.99989519999999998</v>
      </c>
      <c r="N736">
        <v>0</v>
      </c>
      <c r="O736">
        <v>-2.8982119999999998E-3</v>
      </c>
      <c r="P736">
        <v>0.99842949999999997</v>
      </c>
      <c r="Q736">
        <v>5.097732E-2</v>
      </c>
      <c r="R736">
        <v>-2.3244629999999999E-2</v>
      </c>
      <c r="S736">
        <v>3.003784</v>
      </c>
      <c r="T736">
        <v>-0.1377631</v>
      </c>
      <c r="U736">
        <v>-0.33416750000000001</v>
      </c>
      <c r="V736">
        <v>2.036E-2</v>
      </c>
      <c r="W736">
        <v>6.5142549999999994E-2</v>
      </c>
      <c r="X736">
        <v>0.99766829999999995</v>
      </c>
      <c r="Y736">
        <v>0.1075769</v>
      </c>
      <c r="Z736">
        <v>-2.3255929999999999E-3</v>
      </c>
      <c r="AA736">
        <v>0.99419400000000002</v>
      </c>
      <c r="AB736">
        <v>29</v>
      </c>
      <c r="AC736">
        <v>24.035899999999899</v>
      </c>
      <c r="AD736">
        <v>-1.1105211870209999</v>
      </c>
      <c r="AE736">
        <v>-2.69320000000004</v>
      </c>
      <c r="AF736">
        <v>2.61800124245375</v>
      </c>
      <c r="AG736">
        <v>-1.1105211870209999</v>
      </c>
      <c r="AH736">
        <v>23.993022901820499</v>
      </c>
      <c r="AI736">
        <v>92.634439332348606</v>
      </c>
      <c r="AJ736">
        <v>83.772800850997896</v>
      </c>
      <c r="AK736">
        <v>24.1609671946219</v>
      </c>
      <c r="AL736">
        <v>86.264962218440303</v>
      </c>
      <c r="AM736">
        <v>88.830893826859295</v>
      </c>
      <c r="AN736">
        <v>1.0000000591226901</v>
      </c>
    </row>
    <row r="737" spans="1:40" x14ac:dyDescent="0.25">
      <c r="A737" t="str">
        <f>"20190312150648476"</f>
        <v>20190312150648476</v>
      </c>
      <c r="B737" t="str">
        <f>"1552374408471338"</f>
        <v>1552374408471338</v>
      </c>
      <c r="C737" t="s">
        <v>40</v>
      </c>
      <c r="D737">
        <v>4.5058280000000002</v>
      </c>
      <c r="E737">
        <v>0.53355920000000001</v>
      </c>
      <c r="F737" t="s">
        <v>42</v>
      </c>
      <c r="G737">
        <v>-344.78550000000001</v>
      </c>
      <c r="H737" s="1">
        <v>-3.2660300000000001E-6</v>
      </c>
      <c r="I737">
        <v>364.99020000000002</v>
      </c>
      <c r="J737">
        <v>-366.74950000000001</v>
      </c>
      <c r="K737">
        <v>1.110533</v>
      </c>
      <c r="L737">
        <v>367.4855</v>
      </c>
      <c r="M737">
        <v>0.99989499999999998</v>
      </c>
      <c r="N737">
        <v>0</v>
      </c>
      <c r="O737">
        <v>-2.9334780000000002E-3</v>
      </c>
      <c r="P737">
        <v>0.99828119999999998</v>
      </c>
      <c r="Q737">
        <v>5.3571050000000002E-2</v>
      </c>
      <c r="R737">
        <v>-2.3763510000000002E-2</v>
      </c>
      <c r="S737">
        <v>3.0045169999999999</v>
      </c>
      <c r="T737">
        <v>-0.15055660000000001</v>
      </c>
      <c r="U737">
        <v>-0.33837889999999998</v>
      </c>
      <c r="V737">
        <v>2.0844390000000001E-2</v>
      </c>
      <c r="W737">
        <v>6.7731760000000002E-2</v>
      </c>
      <c r="X737">
        <v>0.99748579999999998</v>
      </c>
      <c r="Y737">
        <v>0.1088688</v>
      </c>
      <c r="Z737">
        <v>-2.5709790000000001E-3</v>
      </c>
      <c r="AA737">
        <v>0.99405279999999996</v>
      </c>
      <c r="AB737">
        <v>29</v>
      </c>
      <c r="AC737">
        <v>21.963999999999999</v>
      </c>
      <c r="AD737">
        <v>-1.11053626602999</v>
      </c>
      <c r="AE737">
        <v>-2.4952999999999799</v>
      </c>
      <c r="AF737">
        <v>2.42473206748847</v>
      </c>
      <c r="AG737">
        <v>-1.11053626602999</v>
      </c>
      <c r="AH737">
        <v>21.915912431308499</v>
      </c>
      <c r="AI737">
        <v>92.883281825844094</v>
      </c>
      <c r="AJ737">
        <v>83.686588020251193</v>
      </c>
      <c r="AK737">
        <v>22.077586690896599</v>
      </c>
      <c r="AL737">
        <v>86.116282661591697</v>
      </c>
      <c r="AM737">
        <v>88.802868394978105</v>
      </c>
      <c r="AN737">
        <v>1.0000000005544001</v>
      </c>
    </row>
    <row r="738" spans="1:40" x14ac:dyDescent="0.25">
      <c r="A738" t="str">
        <f>"20190312150648487"</f>
        <v>20190312150648487</v>
      </c>
      <c r="B738" t="str">
        <f>"1552374408481097"</f>
        <v>1552374408481097</v>
      </c>
      <c r="C738" t="s">
        <v>40</v>
      </c>
      <c r="D738">
        <v>4.3962770000000004</v>
      </c>
      <c r="E738">
        <v>0.53379540000000003</v>
      </c>
      <c r="F738" t="s">
        <v>42</v>
      </c>
      <c r="G738">
        <v>-342.89319999999998</v>
      </c>
      <c r="H738" s="1">
        <v>-4.1940510000000003E-6</v>
      </c>
      <c r="I738">
        <v>364.80099999999999</v>
      </c>
      <c r="J738">
        <v>-366.59390000000002</v>
      </c>
      <c r="K738">
        <v>1.1105430000000001</v>
      </c>
      <c r="L738">
        <v>367.48500000000001</v>
      </c>
      <c r="M738">
        <v>0.99989499999999998</v>
      </c>
      <c r="N738">
        <v>0</v>
      </c>
      <c r="O738">
        <v>-2.96124E-3</v>
      </c>
      <c r="P738">
        <v>0.99820850000000005</v>
      </c>
      <c r="Q738">
        <v>5.4945460000000002E-2</v>
      </c>
      <c r="R738">
        <v>-2.369543E-2</v>
      </c>
      <c r="S738">
        <v>3.0046390000000001</v>
      </c>
      <c r="T738">
        <v>-0.13986949999999901</v>
      </c>
      <c r="U738">
        <v>-0.33810420000000002</v>
      </c>
      <c r="V738">
        <v>2.0748849999999999E-2</v>
      </c>
      <c r="W738">
        <v>6.910326E-2</v>
      </c>
      <c r="X738">
        <v>0.99739370000000005</v>
      </c>
      <c r="Y738">
        <v>0.1087651</v>
      </c>
      <c r="Z738">
        <v>-2.3849050000000001E-3</v>
      </c>
      <c r="AA738">
        <v>0.99406459999999996</v>
      </c>
      <c r="AB738">
        <v>29</v>
      </c>
      <c r="AC738">
        <v>23.700700000000001</v>
      </c>
      <c r="AD738">
        <v>-1.1105471940510001</v>
      </c>
      <c r="AE738">
        <v>-2.6840000000000201</v>
      </c>
      <c r="AF738">
        <v>2.60814379520885</v>
      </c>
      <c r="AG738">
        <v>-1.1105471940510001</v>
      </c>
      <c r="AH738">
        <v>23.657260827952001</v>
      </c>
      <c r="AI738">
        <v>92.671510718432103</v>
      </c>
      <c r="AJ738">
        <v>83.708714808093006</v>
      </c>
      <c r="AK738">
        <v>23.826491957660298</v>
      </c>
      <c r="AL738">
        <v>86.037516862599304</v>
      </c>
      <c r="AM738">
        <v>88.808243841169599</v>
      </c>
      <c r="AN738">
        <v>0.999999984059319</v>
      </c>
    </row>
    <row r="739" spans="1:40" x14ac:dyDescent="0.25">
      <c r="A739" t="str">
        <f>"20190312150648498"</f>
        <v>20190312150648498</v>
      </c>
      <c r="B739" t="str">
        <f>"1552374408490857"</f>
        <v>1552374408490857</v>
      </c>
      <c r="C739" t="s">
        <v>40</v>
      </c>
      <c r="D739">
        <v>4.4074</v>
      </c>
      <c r="E739">
        <v>0.53382439999999998</v>
      </c>
      <c r="F739" t="s">
        <v>50</v>
      </c>
      <c r="G739">
        <v>-148.59129999999999</v>
      </c>
      <c r="H739">
        <v>13.43271</v>
      </c>
      <c r="I739">
        <v>342.64400000000001</v>
      </c>
      <c r="J739">
        <v>-366.44650000000001</v>
      </c>
      <c r="K739">
        <v>1.1105449999999999</v>
      </c>
      <c r="L739">
        <v>367.4846</v>
      </c>
      <c r="M739">
        <v>0.99989490000000003</v>
      </c>
      <c r="N739">
        <v>0</v>
      </c>
      <c r="O739">
        <v>-2.9874519999999998E-3</v>
      </c>
      <c r="P739">
        <v>0.99815759999999998</v>
      </c>
      <c r="Q739">
        <v>5.5908659999999999E-2</v>
      </c>
      <c r="R739">
        <v>-2.357745E-2</v>
      </c>
      <c r="S739">
        <v>2.9880680000000002</v>
      </c>
      <c r="T739">
        <v>0.16889460000000001</v>
      </c>
      <c r="U739">
        <v>-0.34048460000000003</v>
      </c>
      <c r="V739">
        <v>2.0605160000000001E-2</v>
      </c>
      <c r="W739">
        <v>7.0064139999999997E-2</v>
      </c>
      <c r="X739">
        <v>0.99732969999999999</v>
      </c>
      <c r="Y739">
        <v>0.1100777</v>
      </c>
      <c r="Z739">
        <v>2.930289E-3</v>
      </c>
      <c r="AA739">
        <v>0.99391870000000004</v>
      </c>
      <c r="AB739">
        <v>29</v>
      </c>
      <c r="AC739">
        <v>217.8552</v>
      </c>
      <c r="AD739">
        <v>12.322165</v>
      </c>
      <c r="AE739">
        <v>-24.840599999999899</v>
      </c>
      <c r="AF739">
        <v>24.113438620413</v>
      </c>
      <c r="AG739">
        <v>12.322165</v>
      </c>
      <c r="AH739">
        <v>217.24236848296201</v>
      </c>
      <c r="AI739">
        <v>86.773388644248897</v>
      </c>
      <c r="AJ739">
        <v>83.666217851719693</v>
      </c>
      <c r="AK739">
        <v>218.923594745918</v>
      </c>
      <c r="AL739">
        <v>85.982328960200505</v>
      </c>
      <c r="AM739">
        <v>88.816418713474803</v>
      </c>
      <c r="AN739">
        <v>1.00000004341732</v>
      </c>
    </row>
    <row r="740" spans="1:40" x14ac:dyDescent="0.25">
      <c r="A740" t="str">
        <f>"20190312150648510"</f>
        <v>20190312150648510</v>
      </c>
      <c r="B740" t="str">
        <f>"1552374408501593"</f>
        <v>1552374408501593</v>
      </c>
      <c r="C740" t="s">
        <v>40</v>
      </c>
      <c r="D740">
        <v>4.4178350000000002</v>
      </c>
      <c r="E740">
        <v>0.53379670000000001</v>
      </c>
      <c r="F740" t="s">
        <v>50</v>
      </c>
      <c r="G740">
        <v>-148.5197</v>
      </c>
      <c r="H740">
        <v>13.57572</v>
      </c>
      <c r="I740">
        <v>342.64400000000001</v>
      </c>
      <c r="J740">
        <v>-366.30130000000003</v>
      </c>
      <c r="K740">
        <v>1.1105480000000001</v>
      </c>
      <c r="L740">
        <v>367.48410000000001</v>
      </c>
      <c r="M740">
        <v>0.99989499999999998</v>
      </c>
      <c r="N740">
        <v>0</v>
      </c>
      <c r="O740">
        <v>-3.0134279999999999E-3</v>
      </c>
      <c r="P740">
        <v>0.99807219999999996</v>
      </c>
      <c r="Q740">
        <v>5.7511050000000001E-2</v>
      </c>
      <c r="R740">
        <v>-2.334429E-2</v>
      </c>
      <c r="S740">
        <v>2.9878849999999999</v>
      </c>
      <c r="T740">
        <v>0.170903799999999</v>
      </c>
      <c r="U740">
        <v>-0.3405762</v>
      </c>
      <c r="V740">
        <v>2.0346380000000001E-2</v>
      </c>
      <c r="W740">
        <v>7.166372E-2</v>
      </c>
      <c r="X740">
        <v>0.99722129999999998</v>
      </c>
      <c r="Y740">
        <v>0.1100848</v>
      </c>
      <c r="Z740">
        <v>2.963987E-3</v>
      </c>
      <c r="AA740">
        <v>0.99391779999999996</v>
      </c>
      <c r="AB740">
        <v>29</v>
      </c>
      <c r="AC740">
        <v>217.7816</v>
      </c>
      <c r="AD740">
        <v>12.465172000000001</v>
      </c>
      <c r="AE740">
        <v>-24.8401</v>
      </c>
      <c r="AF740">
        <v>24.105694164676599</v>
      </c>
      <c r="AG740">
        <v>12.465172000000001</v>
      </c>
      <c r="AH740">
        <v>217.15319794804901</v>
      </c>
      <c r="AI740">
        <v>86.734688295251104</v>
      </c>
      <c r="AJ740">
        <v>83.6656566241289</v>
      </c>
      <c r="AK740">
        <v>218.84235509428899</v>
      </c>
      <c r="AL740">
        <v>85.890448574335196</v>
      </c>
      <c r="AM740">
        <v>88.8311521429019</v>
      </c>
      <c r="AN740">
        <v>0.99999999255851602</v>
      </c>
    </row>
    <row r="741" spans="1:40" x14ac:dyDescent="0.25">
      <c r="A741" t="str">
        <f>"20190312150648521"</f>
        <v>20190312150648521</v>
      </c>
      <c r="B741" t="str">
        <f>"1552374408511355"</f>
        <v>1552374408511355</v>
      </c>
      <c r="C741" t="s">
        <v>40</v>
      </c>
      <c r="D741">
        <v>4.4085700000000001</v>
      </c>
      <c r="E741">
        <v>0.53392980000000001</v>
      </c>
      <c r="F741" t="s">
        <v>50</v>
      </c>
      <c r="G741">
        <v>-147.8158</v>
      </c>
      <c r="H741">
        <v>13.789949999999999</v>
      </c>
      <c r="I741">
        <v>342.64400000000001</v>
      </c>
      <c r="J741">
        <v>-366.1454</v>
      </c>
      <c r="K741">
        <v>1.1105529999999999</v>
      </c>
      <c r="L741">
        <v>367.48360000000002</v>
      </c>
      <c r="M741">
        <v>0.99989490000000003</v>
      </c>
      <c r="N741">
        <v>0</v>
      </c>
      <c r="O741">
        <v>-3.0409550000000001E-3</v>
      </c>
      <c r="P741">
        <v>0.99804159999999997</v>
      </c>
      <c r="Q741">
        <v>5.819415E-2</v>
      </c>
      <c r="R741">
        <v>-2.294945E-2</v>
      </c>
      <c r="S741">
        <v>2.9878230000000001</v>
      </c>
      <c r="T741">
        <v>0.17339289999999999</v>
      </c>
      <c r="U741">
        <v>-0.33969120000000003</v>
      </c>
      <c r="V741">
        <v>1.992441E-2</v>
      </c>
      <c r="W741">
        <v>7.2344779999999997E-2</v>
      </c>
      <c r="X741">
        <v>0.99718059999999997</v>
      </c>
      <c r="Y741">
        <v>0.1097645</v>
      </c>
      <c r="Z741">
        <v>2.9963500000000001E-3</v>
      </c>
      <c r="AA741">
        <v>0.99395310000000003</v>
      </c>
      <c r="AB741">
        <v>29</v>
      </c>
      <c r="AC741">
        <v>218.3296</v>
      </c>
      <c r="AD741">
        <v>12.679397</v>
      </c>
      <c r="AE741">
        <v>-24.839600000000001</v>
      </c>
      <c r="AF741">
        <v>24.095261351228999</v>
      </c>
      <c r="AG741">
        <v>12.679397</v>
      </c>
      <c r="AH741">
        <v>217.679357953215</v>
      </c>
      <c r="AI741">
        <v>86.686591238060302</v>
      </c>
      <c r="AJ741">
        <v>83.683556355505502</v>
      </c>
      <c r="AK741">
        <v>219.37559482948799</v>
      </c>
      <c r="AL741">
        <v>85.851324977659004</v>
      </c>
      <c r="AM741">
        <v>88.855340025318199</v>
      </c>
      <c r="AN741">
        <v>0.99999994916172696</v>
      </c>
    </row>
    <row r="742" spans="1:40" x14ac:dyDescent="0.25">
      <c r="A742" t="str">
        <f>"20190312150648532"</f>
        <v>20190312150648532</v>
      </c>
      <c r="B742" t="str">
        <f>"1552374408521114"</f>
        <v>1552374408521114</v>
      </c>
      <c r="C742" t="s">
        <v>40</v>
      </c>
      <c r="D742">
        <v>4.4004089999999998</v>
      </c>
      <c r="E742">
        <v>0.53446079999999996</v>
      </c>
      <c r="F742" t="s">
        <v>50</v>
      </c>
      <c r="G742">
        <v>-147.4888</v>
      </c>
      <c r="H742">
        <v>13.695600000000001</v>
      </c>
      <c r="I742">
        <v>342.64400000000001</v>
      </c>
      <c r="J742">
        <v>-366.00069999999999</v>
      </c>
      <c r="K742">
        <v>1.110557</v>
      </c>
      <c r="L742">
        <v>367.48309999999998</v>
      </c>
      <c r="M742">
        <v>0.99989470000000003</v>
      </c>
      <c r="N742">
        <v>0</v>
      </c>
      <c r="O742">
        <v>-3.0666909999999999E-3</v>
      </c>
      <c r="P742">
        <v>0.99802139999999995</v>
      </c>
      <c r="Q742">
        <v>5.8636470000000003E-2</v>
      </c>
      <c r="R742">
        <v>-2.270119E-2</v>
      </c>
      <c r="S742">
        <v>2.9880680000000002</v>
      </c>
      <c r="T742">
        <v>0.17198189999999999</v>
      </c>
      <c r="U742">
        <v>-0.339447</v>
      </c>
      <c r="V742">
        <v>1.965051E-2</v>
      </c>
      <c r="W742">
        <v>7.2785150000000007E-2</v>
      </c>
      <c r="X742">
        <v>0.99715410000000004</v>
      </c>
      <c r="Y742">
        <v>0.10965279999999999</v>
      </c>
      <c r="Z742">
        <v>2.9671020000000001E-3</v>
      </c>
      <c r="AA742">
        <v>0.99396549999999995</v>
      </c>
      <c r="AB742">
        <v>29</v>
      </c>
      <c r="AC742">
        <v>218.5119</v>
      </c>
      <c r="AD742">
        <v>12.585042999999899</v>
      </c>
      <c r="AE742">
        <v>-24.839099999999899</v>
      </c>
      <c r="AF742">
        <v>24.0899178825529</v>
      </c>
      <c r="AG742">
        <v>12.585042999999899</v>
      </c>
      <c r="AH742">
        <v>217.87356384261099</v>
      </c>
      <c r="AI742">
        <v>86.714074684222993</v>
      </c>
      <c r="AJ742">
        <v>83.690529429544299</v>
      </c>
      <c r="AK742">
        <v>219.56228563298501</v>
      </c>
      <c r="AL742">
        <v>85.826027403148402</v>
      </c>
      <c r="AM742">
        <v>88.871041521390097</v>
      </c>
      <c r="AN742">
        <v>1.0000000598752901</v>
      </c>
    </row>
    <row r="743" spans="1:40" x14ac:dyDescent="0.25">
      <c r="A743" t="str">
        <f>"20190312150648545"</f>
        <v>20190312150648545</v>
      </c>
      <c r="B743" t="str">
        <f>"1552374408541610"</f>
        <v>1552374408541610</v>
      </c>
      <c r="C743" t="s">
        <v>40</v>
      </c>
      <c r="D743">
        <v>4.4276220000000004</v>
      </c>
      <c r="E743">
        <v>0.53452429999999995</v>
      </c>
      <c r="F743" t="s">
        <v>50</v>
      </c>
      <c r="G743">
        <v>-149.4873</v>
      </c>
      <c r="H743">
        <v>13.5009</v>
      </c>
      <c r="I743">
        <v>342.64400000000001</v>
      </c>
      <c r="J743">
        <v>-365.84269999999998</v>
      </c>
      <c r="K743">
        <v>1.1105590000000001</v>
      </c>
      <c r="L743">
        <v>367.48259999999999</v>
      </c>
      <c r="M743">
        <v>0.99989470000000003</v>
      </c>
      <c r="N743">
        <v>0</v>
      </c>
      <c r="O743">
        <v>-3.095286E-3</v>
      </c>
      <c r="P743">
        <v>0.99805239999999995</v>
      </c>
      <c r="Q743">
        <v>5.8219279999999998E-2</v>
      </c>
      <c r="R743">
        <v>-2.2407949999999999E-2</v>
      </c>
      <c r="S743">
        <v>2.9880979999999999</v>
      </c>
      <c r="T743">
        <v>0.17099890000000001</v>
      </c>
      <c r="U743">
        <v>-0.342804</v>
      </c>
      <c r="V743">
        <v>1.9328720000000001E-2</v>
      </c>
      <c r="W743">
        <v>7.2367119999999993E-2</v>
      </c>
      <c r="X743">
        <v>0.99719080000000004</v>
      </c>
      <c r="Y743">
        <v>0.1107258</v>
      </c>
      <c r="Z743">
        <v>2.9789009999999999E-3</v>
      </c>
      <c r="AA743">
        <v>0.99384649999999997</v>
      </c>
      <c r="AB743">
        <v>29</v>
      </c>
      <c r="AC743">
        <v>216.3554</v>
      </c>
      <c r="AD743">
        <v>12.390340999999999</v>
      </c>
      <c r="AE743">
        <v>-24.8385999999999</v>
      </c>
      <c r="AF743">
        <v>24.090749772308701</v>
      </c>
      <c r="AG743">
        <v>12.390340999999999</v>
      </c>
      <c r="AH743">
        <v>215.73292347164099</v>
      </c>
      <c r="AI743">
        <v>86.733163548116707</v>
      </c>
      <c r="AJ743">
        <v>83.628216978283106</v>
      </c>
      <c r="AK743">
        <v>217.427181015413</v>
      </c>
      <c r="AL743">
        <v>85.850042026715499</v>
      </c>
      <c r="AM743">
        <v>88.889565148639306</v>
      </c>
      <c r="AN743">
        <v>1.0000000455392799</v>
      </c>
    </row>
    <row r="744" spans="1:40" x14ac:dyDescent="0.25">
      <c r="A744" t="str">
        <f>"20190312150648558"</f>
        <v>20190312150648558</v>
      </c>
      <c r="B744" t="str">
        <f>"1552374408551370"</f>
        <v>1552374408551370</v>
      </c>
      <c r="C744" t="s">
        <v>40</v>
      </c>
      <c r="D744">
        <v>4.4332750000000001</v>
      </c>
      <c r="E744">
        <v>0.53452429999999995</v>
      </c>
      <c r="F744" t="s">
        <v>50</v>
      </c>
      <c r="G744">
        <v>-149.23320000000001</v>
      </c>
      <c r="H744">
        <v>13.544600000000001</v>
      </c>
      <c r="I744">
        <v>342.64400000000001</v>
      </c>
      <c r="J744">
        <v>-365.6748</v>
      </c>
      <c r="K744">
        <v>1.110555</v>
      </c>
      <c r="L744">
        <v>367.4821</v>
      </c>
      <c r="M744">
        <v>0.99989459999999997</v>
      </c>
      <c r="N744">
        <v>0</v>
      </c>
      <c r="O744">
        <v>-3.1250739999999998E-3</v>
      </c>
      <c r="P744">
        <v>0.99808750000000002</v>
      </c>
      <c r="Q744">
        <v>5.7786200000000003E-2</v>
      </c>
      <c r="R744">
        <v>-2.1959820000000001E-2</v>
      </c>
      <c r="S744">
        <v>2.988159</v>
      </c>
      <c r="T744">
        <v>0.1715295</v>
      </c>
      <c r="U744">
        <v>-0.34265139999999999</v>
      </c>
      <c r="V744">
        <v>1.885065E-2</v>
      </c>
      <c r="W744">
        <v>7.1933380000000005E-2</v>
      </c>
      <c r="X744">
        <v>0.99723130000000004</v>
      </c>
      <c r="Y744">
        <v>0.1106429</v>
      </c>
      <c r="Z744">
        <v>2.9840050000000001E-3</v>
      </c>
      <c r="AA744">
        <v>0.99385579999999996</v>
      </c>
      <c r="AB744">
        <v>29</v>
      </c>
      <c r="AC744">
        <v>216.44159999999999</v>
      </c>
      <c r="AD744">
        <v>12.434044999999999</v>
      </c>
      <c r="AE744">
        <v>-24.838100000000001</v>
      </c>
      <c r="AF744">
        <v>24.083068228432399</v>
      </c>
      <c r="AG744">
        <v>12.434044999999999</v>
      </c>
      <c r="AH744">
        <v>215.81519076272801</v>
      </c>
      <c r="AI744">
        <v>86.722884418986197</v>
      </c>
      <c r="AJ744">
        <v>83.632640140842298</v>
      </c>
      <c r="AK744">
        <v>217.510450816299</v>
      </c>
      <c r="AL744">
        <v>85.874958296088295</v>
      </c>
      <c r="AM744">
        <v>88.917067615166999</v>
      </c>
      <c r="AN744">
        <v>1.0000000119316601</v>
      </c>
    </row>
    <row r="745" spans="1:40" x14ac:dyDescent="0.25">
      <c r="A745" t="str">
        <f>"20190312150648570"</f>
        <v>20190312150648570</v>
      </c>
      <c r="B745" t="str">
        <f>"1552374408561130"</f>
        <v>1552374408561130</v>
      </c>
      <c r="C745" t="s">
        <v>40</v>
      </c>
      <c r="D745">
        <v>4.4622219999999997</v>
      </c>
      <c r="E745">
        <v>0.53802479999999997</v>
      </c>
      <c r="F745" t="s">
        <v>50</v>
      </c>
      <c r="G745">
        <v>-148.06370000000001</v>
      </c>
      <c r="H745">
        <v>13.511629999999901</v>
      </c>
      <c r="I745">
        <v>342.64400000000001</v>
      </c>
      <c r="J745">
        <v>-365.51</v>
      </c>
      <c r="K745">
        <v>1.1105449999999999</v>
      </c>
      <c r="L745">
        <v>367.48149999999998</v>
      </c>
      <c r="M745">
        <v>0.99989439999999996</v>
      </c>
      <c r="N745">
        <v>0</v>
      </c>
      <c r="O745">
        <v>-3.1541490000000002E-3</v>
      </c>
      <c r="P745">
        <v>0.99813479999999999</v>
      </c>
      <c r="Q745">
        <v>5.7053270000000003E-2</v>
      </c>
      <c r="R745">
        <v>-2.1720349999999999E-2</v>
      </c>
      <c r="S745">
        <v>2.9884029999999999</v>
      </c>
      <c r="T745">
        <v>0.17030120000000001</v>
      </c>
      <c r="U745">
        <v>-0.34109499999999998</v>
      </c>
      <c r="V745">
        <v>1.8581750000000001E-2</v>
      </c>
      <c r="W745">
        <v>7.1199509999999994E-2</v>
      </c>
      <c r="X745">
        <v>0.99728899999999998</v>
      </c>
      <c r="Y745">
        <v>0.1100973</v>
      </c>
      <c r="Z745">
        <v>2.9453840000000001E-3</v>
      </c>
      <c r="AA745">
        <v>0.99391649999999998</v>
      </c>
      <c r="AB745">
        <v>29</v>
      </c>
      <c r="AC745">
        <v>217.44630000000001</v>
      </c>
      <c r="AD745">
        <v>12.401084999999901</v>
      </c>
      <c r="AE745">
        <v>-24.837499999999899</v>
      </c>
      <c r="AF745">
        <v>24.074156971796501</v>
      </c>
      <c r="AG745">
        <v>12.401084999999901</v>
      </c>
      <c r="AH745">
        <v>216.827421847952</v>
      </c>
      <c r="AI745">
        <v>86.746577363853206</v>
      </c>
      <c r="AJ745">
        <v>83.664448977428904</v>
      </c>
      <c r="AK745">
        <v>218.511974061628</v>
      </c>
      <c r="AL745">
        <v>85.9171139981854</v>
      </c>
      <c r="AM745">
        <v>88.932573532620594</v>
      </c>
      <c r="AN745">
        <v>1.0000000005891501</v>
      </c>
    </row>
    <row r="746" spans="1:40" x14ac:dyDescent="0.25">
      <c r="A746" t="str">
        <f>"20190312150648588"</f>
        <v>20190312150648588</v>
      </c>
      <c r="B746" t="str">
        <f>"1552374408581625"</f>
        <v>1552374408581625</v>
      </c>
      <c r="C746" t="s">
        <v>40</v>
      </c>
      <c r="D746">
        <v>4.3624980000000004</v>
      </c>
      <c r="E746">
        <v>0.5326516</v>
      </c>
      <c r="F746" t="s">
        <v>41</v>
      </c>
      <c r="G746">
        <v>-364.6071</v>
      </c>
      <c r="H746">
        <v>1.0382020000000001</v>
      </c>
      <c r="I746">
        <v>367.37110000000001</v>
      </c>
      <c r="J746">
        <v>-365.28070000000002</v>
      </c>
      <c r="K746">
        <v>1.1105339999999999</v>
      </c>
      <c r="L746">
        <v>367.48079999999999</v>
      </c>
      <c r="M746">
        <v>0.99989450000000002</v>
      </c>
      <c r="N746">
        <v>0</v>
      </c>
      <c r="O746">
        <v>-3.1947830000000001E-3</v>
      </c>
      <c r="P746">
        <v>0.99826740000000003</v>
      </c>
      <c r="Q746">
        <v>5.4969730000000001E-2</v>
      </c>
      <c r="R746">
        <v>-2.0995980000000001E-2</v>
      </c>
      <c r="S746">
        <v>3.0114139999999998</v>
      </c>
      <c r="T746">
        <v>-0.2414895</v>
      </c>
      <c r="U746">
        <v>-0.36706539999999999</v>
      </c>
      <c r="V746">
        <v>1.7816120000000001E-2</v>
      </c>
      <c r="W746">
        <v>6.9115640000000006E-2</v>
      </c>
      <c r="X746">
        <v>0.99744960000000005</v>
      </c>
      <c r="Y746">
        <v>0.1174622</v>
      </c>
      <c r="Z746">
        <v>-4.4300700000000004E-3</v>
      </c>
      <c r="AA746">
        <v>0.99306740000000004</v>
      </c>
      <c r="AB746">
        <v>29</v>
      </c>
      <c r="AC746">
        <v>0.67360000000002096</v>
      </c>
      <c r="AD746">
        <v>-7.2331999999999799E-2</v>
      </c>
      <c r="AE746">
        <v>-0.109699999999975</v>
      </c>
      <c r="AF746">
        <v>0.10635257970971999</v>
      </c>
      <c r="AG746">
        <v>-7.2331999999999799E-2</v>
      </c>
      <c r="AH746">
        <v>0.66646083590899896</v>
      </c>
      <c r="AI746">
        <v>96.117350704693806</v>
      </c>
      <c r="AJ746">
        <v>80.933292172022604</v>
      </c>
      <c r="AK746">
        <v>0.678758303990039</v>
      </c>
      <c r="AL746">
        <v>86.036806083473394</v>
      </c>
      <c r="AM746">
        <v>88.976710255012804</v>
      </c>
      <c r="AN746">
        <v>1.0000000451823099</v>
      </c>
    </row>
    <row r="747" spans="1:40" x14ac:dyDescent="0.25">
      <c r="A747" t="str">
        <f>"20190312150648600"</f>
        <v>20190312150648600</v>
      </c>
      <c r="B747" t="str">
        <f>"1552374408591386"</f>
        <v>1552374408591386</v>
      </c>
      <c r="C747" t="s">
        <v>40</v>
      </c>
      <c r="D747">
        <v>4.3492030000000002</v>
      </c>
      <c r="E747">
        <v>0.5326516</v>
      </c>
      <c r="F747" t="s">
        <v>42</v>
      </c>
      <c r="G747">
        <v>-334.32159999999999</v>
      </c>
      <c r="H747" s="1">
        <v>-3.3872029999999998E-6</v>
      </c>
      <c r="I747">
        <v>364.15449999999998</v>
      </c>
      <c r="J747">
        <v>-365.12209999999999</v>
      </c>
      <c r="K747">
        <v>1.1105259999999999</v>
      </c>
      <c r="L747">
        <v>367.48020000000002</v>
      </c>
      <c r="M747">
        <v>0.99989439999999996</v>
      </c>
      <c r="N747">
        <v>0</v>
      </c>
      <c r="O747">
        <v>-3.2230219999999999E-3</v>
      </c>
      <c r="P747">
        <v>0.99832359999999998</v>
      </c>
      <c r="Q747">
        <v>5.4018450000000003E-2</v>
      </c>
      <c r="R747">
        <v>-2.078756E-2</v>
      </c>
      <c r="S747">
        <v>3.0043639999999998</v>
      </c>
      <c r="T747">
        <v>-0.1077694</v>
      </c>
      <c r="U747">
        <v>-0.32278440000000003</v>
      </c>
      <c r="V747">
        <v>1.7579230000000001E-2</v>
      </c>
      <c r="W747">
        <v>6.8164210000000003E-2</v>
      </c>
      <c r="X747">
        <v>0.9975193</v>
      </c>
      <c r="Y747">
        <v>0.10355449999999999</v>
      </c>
      <c r="Z747">
        <v>-1.7361290000000001E-3</v>
      </c>
      <c r="AA747">
        <v>0.99462229999999996</v>
      </c>
      <c r="AB747">
        <v>29</v>
      </c>
      <c r="AC747">
        <v>30.8005</v>
      </c>
      <c r="AD747">
        <v>-1.110529387203</v>
      </c>
      <c r="AE747">
        <v>-3.3257000000000398</v>
      </c>
      <c r="AF747">
        <v>3.2222613889132399</v>
      </c>
      <c r="AG747">
        <v>-1.110529387203</v>
      </c>
      <c r="AH747">
        <v>30.7715177959644</v>
      </c>
      <c r="AI747">
        <v>92.055650259667502</v>
      </c>
      <c r="AJ747">
        <v>84.022018418072506</v>
      </c>
      <c r="AK747">
        <v>30.959692366780398</v>
      </c>
      <c r="AL747">
        <v>86.091447981806795</v>
      </c>
      <c r="AM747">
        <v>88.990384009842202</v>
      </c>
      <c r="AN747">
        <v>1.0000000713624</v>
      </c>
    </row>
    <row r="748" spans="1:40" x14ac:dyDescent="0.25">
      <c r="A748" t="str">
        <f>"20190312150648611"</f>
        <v>20190312150648611</v>
      </c>
      <c r="B748" t="str">
        <f>"1552374408601147"</f>
        <v>1552374408601147</v>
      </c>
      <c r="C748" t="s">
        <v>40</v>
      </c>
      <c r="D748">
        <v>4.5084460000000002</v>
      </c>
      <c r="E748">
        <v>0.53404090000000004</v>
      </c>
      <c r="F748" t="s">
        <v>42</v>
      </c>
      <c r="G748">
        <v>-334.92169999999999</v>
      </c>
      <c r="H748" s="1">
        <v>-3.1450840000000002E-6</v>
      </c>
      <c r="I748">
        <v>364.23880000000003</v>
      </c>
      <c r="J748">
        <v>-364.98340000000002</v>
      </c>
      <c r="K748">
        <v>1.11052</v>
      </c>
      <c r="L748">
        <v>367.47980000000001</v>
      </c>
      <c r="M748">
        <v>0.99989439999999996</v>
      </c>
      <c r="N748">
        <v>0</v>
      </c>
      <c r="O748">
        <v>-3.248042E-3</v>
      </c>
      <c r="P748">
        <v>0.99838260000000001</v>
      </c>
      <c r="Q748">
        <v>5.3086809999999998E-2</v>
      </c>
      <c r="R748">
        <v>-2.0361859999999999E-2</v>
      </c>
      <c r="S748">
        <v>3.0043030000000002</v>
      </c>
      <c r="T748">
        <v>-0.1104739</v>
      </c>
      <c r="U748">
        <v>-0.32244869999999998</v>
      </c>
      <c r="V748">
        <v>1.7128259999999999E-2</v>
      </c>
      <c r="W748">
        <v>6.7231750000000007E-2</v>
      </c>
      <c r="X748">
        <v>0.99759039999999999</v>
      </c>
      <c r="Y748">
        <v>0.10341880000000001</v>
      </c>
      <c r="Z748">
        <v>-1.776311E-3</v>
      </c>
      <c r="AA748">
        <v>0.99463630000000003</v>
      </c>
      <c r="AB748">
        <v>29</v>
      </c>
      <c r="AC748">
        <v>30.061699999999998</v>
      </c>
      <c r="AD748">
        <v>-1.1105231450839901</v>
      </c>
      <c r="AE748">
        <v>-3.2409999999999801</v>
      </c>
      <c r="AF748">
        <v>3.13909682365767</v>
      </c>
      <c r="AG748">
        <v>-1.1105231450839901</v>
      </c>
      <c r="AH748">
        <v>30.031557031360599</v>
      </c>
      <c r="AI748">
        <v>92.106284614584993</v>
      </c>
      <c r="AJ748">
        <v>84.032735892867606</v>
      </c>
      <c r="AK748">
        <v>30.215585518932599</v>
      </c>
      <c r="AL748">
        <v>86.144996752549005</v>
      </c>
      <c r="AM748">
        <v>89.016349205012204</v>
      </c>
      <c r="AN748">
        <v>1.0000000458354199</v>
      </c>
    </row>
    <row r="749" spans="1:40" x14ac:dyDescent="0.25">
      <c r="A749" t="str">
        <f>"20190312150648622"</f>
        <v>20190312150648622</v>
      </c>
      <c r="B749" t="str">
        <f>"1552374408610906"</f>
        <v>1552374408610906</v>
      </c>
      <c r="C749" t="s">
        <v>40</v>
      </c>
      <c r="D749">
        <v>4.3539199999999996</v>
      </c>
      <c r="E749">
        <v>0.53437040000000002</v>
      </c>
      <c r="F749" t="s">
        <v>43</v>
      </c>
      <c r="G749">
        <v>-310.66890000000001</v>
      </c>
      <c r="H749">
        <v>-0.05</v>
      </c>
      <c r="I749">
        <v>361.4674</v>
      </c>
      <c r="J749">
        <v>-364.83280000000002</v>
      </c>
      <c r="K749">
        <v>1.1105080000000001</v>
      </c>
      <c r="L749">
        <v>367.47919999999999</v>
      </c>
      <c r="M749">
        <v>0.99989430000000001</v>
      </c>
      <c r="N749">
        <v>0</v>
      </c>
      <c r="O749">
        <v>-3.2749659999999998E-3</v>
      </c>
      <c r="P749">
        <v>0.99843630000000005</v>
      </c>
      <c r="Q749">
        <v>5.2268620000000002E-2</v>
      </c>
      <c r="R749">
        <v>-1.982188E-2</v>
      </c>
      <c r="S749">
        <v>3.001465</v>
      </c>
      <c r="T749">
        <v>-6.4131259999999995E-2</v>
      </c>
      <c r="U749">
        <v>-0.33224490000000001</v>
      </c>
      <c r="V749">
        <v>1.6561070000000001E-2</v>
      </c>
      <c r="W749">
        <v>6.6412959999999993E-2</v>
      </c>
      <c r="X749">
        <v>0.99765479999999995</v>
      </c>
      <c r="Y749">
        <v>0.1067429</v>
      </c>
      <c r="Z749">
        <v>-1.0670110000000001E-3</v>
      </c>
      <c r="AA749">
        <v>0.99428609999999995</v>
      </c>
      <c r="AB749">
        <v>29</v>
      </c>
      <c r="AC749">
        <v>54.163899999999998</v>
      </c>
      <c r="AD749">
        <v>-1.1605080000000001</v>
      </c>
      <c r="AE749">
        <v>-6.0117999999999903</v>
      </c>
      <c r="AF749">
        <v>5.8317204499883797</v>
      </c>
      <c r="AG749">
        <v>-1.1605080000000001</v>
      </c>
      <c r="AH749">
        <v>54.158739945780702</v>
      </c>
      <c r="AI749">
        <v>91.220487316847993</v>
      </c>
      <c r="AJ749">
        <v>83.854168346732493</v>
      </c>
      <c r="AK749">
        <v>54.484170680479103</v>
      </c>
      <c r="AL749">
        <v>86.192014975208807</v>
      </c>
      <c r="AM749">
        <v>89.048977389887099</v>
      </c>
      <c r="AN749">
        <v>1.00000002512927</v>
      </c>
    </row>
    <row r="750" spans="1:40" x14ac:dyDescent="0.25">
      <c r="A750" t="str">
        <f>"20190312150648635"</f>
        <v>20190312150648635</v>
      </c>
      <c r="B750" t="str">
        <f>"1552374408631402"</f>
        <v>1552374408631402</v>
      </c>
      <c r="C750" t="s">
        <v>40</v>
      </c>
      <c r="D750">
        <v>4.5025110000000002</v>
      </c>
      <c r="E750">
        <v>0.53472849999999905</v>
      </c>
      <c r="F750" t="s">
        <v>43</v>
      </c>
      <c r="G750">
        <v>-226.64189999999999</v>
      </c>
      <c r="H750">
        <v>-0.05</v>
      </c>
      <c r="I750">
        <v>352.11950000000002</v>
      </c>
      <c r="J750">
        <v>-364.68990000000002</v>
      </c>
      <c r="K750">
        <v>1.110501</v>
      </c>
      <c r="L750">
        <v>367.4787</v>
      </c>
      <c r="M750">
        <v>0.99989430000000001</v>
      </c>
      <c r="N750">
        <v>0</v>
      </c>
      <c r="O750">
        <v>-3.3004670000000001E-3</v>
      </c>
      <c r="P750">
        <v>0.99848429999999999</v>
      </c>
      <c r="Q750">
        <v>5.1496239999999999E-2</v>
      </c>
      <c r="R750">
        <v>-1.9432080000000001E-2</v>
      </c>
      <c r="S750">
        <v>2.9993590000000001</v>
      </c>
      <c r="T750">
        <v>-2.5188209999999999E-2</v>
      </c>
      <c r="U750">
        <v>-0.333374</v>
      </c>
      <c r="V750">
        <v>1.614552E-2</v>
      </c>
      <c r="W750">
        <v>6.5640260000000006E-2</v>
      </c>
      <c r="X750">
        <v>0.99771270000000001</v>
      </c>
      <c r="Y750">
        <v>0.107183399999999</v>
      </c>
      <c r="Z750">
        <v>-4.2103350000000003E-4</v>
      </c>
      <c r="AA750">
        <v>0.99423919999999999</v>
      </c>
      <c r="AB750">
        <v>29</v>
      </c>
      <c r="AC750">
        <v>138.048</v>
      </c>
      <c r="AD750">
        <v>-1.160501</v>
      </c>
      <c r="AE750">
        <v>-15.3591999999999</v>
      </c>
      <c r="AF750">
        <v>14.902407512431401</v>
      </c>
      <c r="AG750">
        <v>-1.160501</v>
      </c>
      <c r="AH750">
        <v>138.08830629650799</v>
      </c>
      <c r="AI750">
        <v>90.478725685323099</v>
      </c>
      <c r="AJ750">
        <v>83.840512248978996</v>
      </c>
      <c r="AK750">
        <v>138.894956164994</v>
      </c>
      <c r="AL750">
        <v>86.236384061147206</v>
      </c>
      <c r="AM750">
        <v>89.072890005315202</v>
      </c>
      <c r="AN750">
        <v>0.99999997664511298</v>
      </c>
    </row>
    <row r="751" spans="1:40" x14ac:dyDescent="0.25">
      <c r="A751" t="str">
        <f>"20190312150648653"</f>
        <v>20190312150648653</v>
      </c>
      <c r="B751" t="str">
        <f>"1552374408650922"</f>
        <v>1552374408650922</v>
      </c>
      <c r="C751" t="s">
        <v>40</v>
      </c>
      <c r="D751">
        <v>4.3588190000000004</v>
      </c>
      <c r="E751">
        <v>0.53501239999999906</v>
      </c>
      <c r="F751" t="s">
        <v>50</v>
      </c>
      <c r="G751">
        <v>-142.7955</v>
      </c>
      <c r="H751">
        <v>2.3022079999999998</v>
      </c>
      <c r="I751">
        <v>342.64400000000001</v>
      </c>
      <c r="J751">
        <v>-364.43619999999999</v>
      </c>
      <c r="K751">
        <v>1.1104909999999999</v>
      </c>
      <c r="L751">
        <v>367.4778</v>
      </c>
      <c r="M751">
        <v>0.99989410000000001</v>
      </c>
      <c r="N751">
        <v>0</v>
      </c>
      <c r="O751">
        <v>-3.3455080000000001E-3</v>
      </c>
      <c r="P751">
        <v>0.99858020000000003</v>
      </c>
      <c r="Q751">
        <v>4.974671E-2</v>
      </c>
      <c r="R751">
        <v>-1.905546E-2</v>
      </c>
      <c r="S751">
        <v>2.9971920000000001</v>
      </c>
      <c r="T751">
        <v>1.6096829999999999E-2</v>
      </c>
      <c r="U751">
        <v>-0.3354492</v>
      </c>
      <c r="V751">
        <v>1.572341E-2</v>
      </c>
      <c r="W751">
        <v>6.3890139999999998E-2</v>
      </c>
      <c r="X751">
        <v>0.99783310000000003</v>
      </c>
      <c r="Y751">
        <v>0.1078995</v>
      </c>
      <c r="Z751">
        <v>2.7092830000000003E-4</v>
      </c>
      <c r="AA751">
        <v>0.99416179999999998</v>
      </c>
      <c r="AB751">
        <v>29</v>
      </c>
      <c r="AC751">
        <v>221.64070000000001</v>
      </c>
      <c r="AD751">
        <v>1.1917169999999999</v>
      </c>
      <c r="AE751">
        <v>-24.8338</v>
      </c>
      <c r="AF751">
        <v>24.091398033540901</v>
      </c>
      <c r="AG751">
        <v>1.1917169999999999</v>
      </c>
      <c r="AH751">
        <v>221.71621907867799</v>
      </c>
      <c r="AI751">
        <v>89.693842155911597</v>
      </c>
      <c r="AJ751">
        <v>83.798644102938894</v>
      </c>
      <c r="AK751">
        <v>223.02443240856499</v>
      </c>
      <c r="AL751">
        <v>86.336869748340902</v>
      </c>
      <c r="AM751">
        <v>89.097233314622798</v>
      </c>
      <c r="AN751">
        <v>1.00000003553342</v>
      </c>
    </row>
    <row r="752" spans="1:40" x14ac:dyDescent="0.25">
      <c r="A752" t="str">
        <f>"20190312150648665"</f>
        <v>20190312150648665</v>
      </c>
      <c r="B752" t="str">
        <f>"1552374408661658"</f>
        <v>1552374408661658</v>
      </c>
      <c r="C752" t="s">
        <v>40</v>
      </c>
      <c r="D752">
        <v>4.435066</v>
      </c>
      <c r="E752">
        <v>0.53531209999999996</v>
      </c>
      <c r="F752" t="s">
        <v>50</v>
      </c>
      <c r="G752">
        <v>-143.33959999999999</v>
      </c>
      <c r="H752">
        <v>3.8287990000000001</v>
      </c>
      <c r="I752">
        <v>342.64400000000001</v>
      </c>
      <c r="J752">
        <v>-364.2894</v>
      </c>
      <c r="K752">
        <v>1.110487</v>
      </c>
      <c r="L752">
        <v>367.47739999999999</v>
      </c>
      <c r="M752">
        <v>0.99989399999999995</v>
      </c>
      <c r="N752">
        <v>0</v>
      </c>
      <c r="O752">
        <v>-3.371841E-3</v>
      </c>
      <c r="P752">
        <v>0.99862390000000001</v>
      </c>
      <c r="Q752">
        <v>4.8938250000000003E-2</v>
      </c>
      <c r="R752">
        <v>-1.8860330000000002E-2</v>
      </c>
      <c r="S752">
        <v>2.9960330000000002</v>
      </c>
      <c r="T752">
        <v>3.6835310000000003E-2</v>
      </c>
      <c r="U752">
        <v>-0.33651730000000002</v>
      </c>
      <c r="V752">
        <v>1.550136E-2</v>
      </c>
      <c r="W752">
        <v>6.3080189999999994E-2</v>
      </c>
      <c r="X752">
        <v>0.99788809999999994</v>
      </c>
      <c r="Y752">
        <v>0.10825949999999999</v>
      </c>
      <c r="Z752">
        <v>6.2207199999999999E-4</v>
      </c>
      <c r="AA752">
        <v>0.99412239999999996</v>
      </c>
      <c r="AB752">
        <v>29</v>
      </c>
      <c r="AC752">
        <v>220.94980000000001</v>
      </c>
      <c r="AD752">
        <v>2.7183120000000001</v>
      </c>
      <c r="AE752">
        <v>-24.833399999999902</v>
      </c>
      <c r="AF752">
        <v>24.084576497075101</v>
      </c>
      <c r="AG752">
        <v>2.7183120000000001</v>
      </c>
      <c r="AH752">
        <v>220.999253218376</v>
      </c>
      <c r="AI752">
        <v>89.299439440295004</v>
      </c>
      <c r="AJ752">
        <v>83.780430943259205</v>
      </c>
      <c r="AK752">
        <v>222.324371062312</v>
      </c>
      <c r="AL752">
        <v>86.383370251023905</v>
      </c>
      <c r="AM752">
        <v>89.110029396958296</v>
      </c>
      <c r="AN752">
        <v>1.0000000313269399</v>
      </c>
    </row>
    <row r="753" spans="1:40" x14ac:dyDescent="0.25">
      <c r="A753" t="str">
        <f>"20190312150648678"</f>
        <v>20190312150648678</v>
      </c>
      <c r="B753" t="str">
        <f>"1552374408671419"</f>
        <v>1552374408671419</v>
      </c>
      <c r="C753" t="s">
        <v>40</v>
      </c>
      <c r="D753">
        <v>4.3385490000000004</v>
      </c>
      <c r="E753">
        <v>0.5355221</v>
      </c>
      <c r="F753" t="s">
        <v>50</v>
      </c>
      <c r="G753">
        <v>-143.63059999999999</v>
      </c>
      <c r="H753">
        <v>1.9771430000000001</v>
      </c>
      <c r="I753">
        <v>342.57850000000002</v>
      </c>
      <c r="J753">
        <v>-364.12729999999999</v>
      </c>
      <c r="K753">
        <v>1.1104849999999999</v>
      </c>
      <c r="L753">
        <v>367.47669999999999</v>
      </c>
      <c r="M753">
        <v>0.99989399999999995</v>
      </c>
      <c r="N753">
        <v>0</v>
      </c>
      <c r="O753">
        <v>-3.400794E-3</v>
      </c>
      <c r="P753">
        <v>0.99865130000000002</v>
      </c>
      <c r="Q753">
        <v>4.8369540000000003E-2</v>
      </c>
      <c r="R753">
        <v>-1.8867120000000001E-2</v>
      </c>
      <c r="S753">
        <v>2.9971619999999999</v>
      </c>
      <c r="T753">
        <v>1.177168E-2</v>
      </c>
      <c r="U753">
        <v>-0.33819579999999999</v>
      </c>
      <c r="V753">
        <v>1.547946E-2</v>
      </c>
      <c r="W753">
        <v>6.2510540000000003E-2</v>
      </c>
      <c r="X753">
        <v>0.99792429999999999</v>
      </c>
      <c r="Y753">
        <v>0.108746</v>
      </c>
      <c r="Z753">
        <v>1.9956419999999999E-4</v>
      </c>
      <c r="AA753">
        <v>0.9940696</v>
      </c>
      <c r="AB753">
        <v>29</v>
      </c>
      <c r="AC753">
        <v>220.4967</v>
      </c>
      <c r="AD753">
        <v>0.86665800000000004</v>
      </c>
      <c r="AE753">
        <v>-24.8981999999999</v>
      </c>
      <c r="AF753">
        <v>24.147748627067902</v>
      </c>
      <c r="AG753">
        <v>0.86665800000000004</v>
      </c>
      <c r="AH753">
        <v>220.57674209346499</v>
      </c>
      <c r="AI753">
        <v>89.776219910315803</v>
      </c>
      <c r="AJ753">
        <v>83.752395688121993</v>
      </c>
      <c r="AK753">
        <v>221.8962911191</v>
      </c>
      <c r="AL753">
        <v>86.416073382028301</v>
      </c>
      <c r="AM753">
        <v>89.111318760347103</v>
      </c>
      <c r="AN753">
        <v>1.0000000449117299</v>
      </c>
    </row>
    <row r="754" spans="1:40" x14ac:dyDescent="0.25">
      <c r="A754" t="str">
        <f>"20190312150648690"</f>
        <v>20190312150648690</v>
      </c>
      <c r="B754" t="str">
        <f>"1552374408681180"</f>
        <v>1552374408681180</v>
      </c>
      <c r="C754" t="s">
        <v>40</v>
      </c>
      <c r="D754">
        <v>4.3879489999999999</v>
      </c>
      <c r="E754">
        <v>0.53564179999999995</v>
      </c>
      <c r="F754" t="s">
        <v>50</v>
      </c>
      <c r="G754">
        <v>-143.6301</v>
      </c>
      <c r="H754">
        <v>0.38584429999999997</v>
      </c>
      <c r="I754">
        <v>342.48050000000001</v>
      </c>
      <c r="J754">
        <v>-363.96800000000002</v>
      </c>
      <c r="K754">
        <v>1.1104830000000001</v>
      </c>
      <c r="L754">
        <v>367.47620000000001</v>
      </c>
      <c r="M754">
        <v>0.99989380000000005</v>
      </c>
      <c r="N754">
        <v>0</v>
      </c>
      <c r="O754">
        <v>-3.4292699999999999E-3</v>
      </c>
      <c r="P754">
        <v>0.99864839999999999</v>
      </c>
      <c r="Q754">
        <v>4.8533390000000003E-2</v>
      </c>
      <c r="R754">
        <v>-1.859806E-2</v>
      </c>
      <c r="S754">
        <v>2.9981080000000002</v>
      </c>
      <c r="T754">
        <v>-9.8528859999999999E-3</v>
      </c>
      <c r="U754">
        <v>-0.33987430000000002</v>
      </c>
      <c r="V754">
        <v>1.5181899999999899E-2</v>
      </c>
      <c r="W754">
        <v>6.2673309999999996E-2</v>
      </c>
      <c r="X754">
        <v>0.99791859999999999</v>
      </c>
      <c r="Y754">
        <v>0.10923239999999899</v>
      </c>
      <c r="Z754">
        <v>-1.6768109999999999E-4</v>
      </c>
      <c r="AA754">
        <v>0.99401620000000002</v>
      </c>
      <c r="AB754">
        <v>29</v>
      </c>
      <c r="AC754">
        <v>220.33789999999999</v>
      </c>
      <c r="AD754">
        <v>-0.72463869999999897</v>
      </c>
      <c r="AE754">
        <v>-24.995699999999999</v>
      </c>
      <c r="AF754">
        <v>24.239620194185999</v>
      </c>
      <c r="AG754">
        <v>-0.72463869999999897</v>
      </c>
      <c r="AH754">
        <v>220.41997600506201</v>
      </c>
      <c r="AI754">
        <v>90.187232551551801</v>
      </c>
      <c r="AJ754">
        <v>83.724390739262603</v>
      </c>
      <c r="AK754">
        <v>221.749972064205</v>
      </c>
      <c r="AL754">
        <v>86.406728803444693</v>
      </c>
      <c r="AM754">
        <v>89.128394145619694</v>
      </c>
      <c r="AN754">
        <v>0.99999998304996196</v>
      </c>
    </row>
    <row r="755" spans="1:40" x14ac:dyDescent="0.25">
      <c r="A755" t="str">
        <f>"20190312150648701"</f>
        <v>20190312150648701</v>
      </c>
      <c r="B755" t="str">
        <f>"1552374408690939"</f>
        <v>1552374408690939</v>
      </c>
      <c r="C755" t="s">
        <v>40</v>
      </c>
      <c r="D755">
        <v>4.3730820000000001</v>
      </c>
      <c r="E755">
        <v>0.53572169999999997</v>
      </c>
      <c r="F755" t="s">
        <v>43</v>
      </c>
      <c r="G755">
        <v>-214.2216</v>
      </c>
      <c r="H755">
        <v>-0.05</v>
      </c>
      <c r="I755">
        <v>350.5034</v>
      </c>
      <c r="J755">
        <v>-363.81959999999998</v>
      </c>
      <c r="K755">
        <v>1.110482</v>
      </c>
      <c r="L755">
        <v>367.47559999999999</v>
      </c>
      <c r="M755">
        <v>0.99989380000000005</v>
      </c>
      <c r="N755">
        <v>0</v>
      </c>
      <c r="O755">
        <v>-3.4560760000000002E-3</v>
      </c>
      <c r="P755">
        <v>0.9986585</v>
      </c>
      <c r="Q755">
        <v>4.8347759999999997E-2</v>
      </c>
      <c r="R755">
        <v>-1.8548740000000001E-2</v>
      </c>
      <c r="S755">
        <v>2.998901</v>
      </c>
      <c r="T755">
        <v>-2.3240449999999999E-2</v>
      </c>
      <c r="U755">
        <v>-0.33990479999999901</v>
      </c>
      <c r="V755">
        <v>1.510567E-2</v>
      </c>
      <c r="W755">
        <v>6.2486260000000002E-2</v>
      </c>
      <c r="X755">
        <v>0.99793149999999997</v>
      </c>
      <c r="Y755">
        <v>0.1091838</v>
      </c>
      <c r="Z755">
        <v>-3.9501299999999999E-4</v>
      </c>
      <c r="AA755">
        <v>0.9940215</v>
      </c>
      <c r="AB755">
        <v>29</v>
      </c>
      <c r="AC755">
        <v>149.59799999999899</v>
      </c>
      <c r="AD755">
        <v>-1.160482</v>
      </c>
      <c r="AE755">
        <v>-16.972199999999901</v>
      </c>
      <c r="AF755">
        <v>16.454047174599101</v>
      </c>
      <c r="AG755">
        <v>-1.160482</v>
      </c>
      <c r="AH755">
        <v>149.64687872282599</v>
      </c>
      <c r="AI755">
        <v>90.441647021762805</v>
      </c>
      <c r="AJ755">
        <v>83.725391012724799</v>
      </c>
      <c r="AK755">
        <v>150.553215503291</v>
      </c>
      <c r="AL755">
        <v>86.417467074115805</v>
      </c>
      <c r="AM755">
        <v>89.132781113735902</v>
      </c>
      <c r="AN755">
        <v>0.99999999632359304</v>
      </c>
    </row>
    <row r="756" spans="1:40" x14ac:dyDescent="0.25">
      <c r="A756" t="str">
        <f>"20190312150648712"</f>
        <v>20190312150648712</v>
      </c>
      <c r="B756" t="str">
        <f>"1552374408701673"</f>
        <v>1552374408701673</v>
      </c>
      <c r="C756" t="s">
        <v>40</v>
      </c>
      <c r="D756">
        <v>4.3231029999999997</v>
      </c>
      <c r="E756">
        <v>0.53535080000000002</v>
      </c>
      <c r="F756" t="s">
        <v>42</v>
      </c>
      <c r="G756">
        <v>-279.60469999999998</v>
      </c>
      <c r="H756">
        <v>7.9985539999999994E-2</v>
      </c>
      <c r="I756">
        <v>357.91419999999999</v>
      </c>
      <c r="J756">
        <v>-363.68040000000002</v>
      </c>
      <c r="K756">
        <v>1.1104860000000001</v>
      </c>
      <c r="L756">
        <v>367.4751</v>
      </c>
      <c r="M756">
        <v>0.99989380000000005</v>
      </c>
      <c r="N756">
        <v>0</v>
      </c>
      <c r="O756">
        <v>-3.4810969999999998E-3</v>
      </c>
      <c r="P756">
        <v>0.99865720000000002</v>
      </c>
      <c r="Q756">
        <v>4.8418570000000001E-2</v>
      </c>
      <c r="R756">
        <v>-1.8434320000000001E-2</v>
      </c>
      <c r="S756">
        <v>2.9994510000000001</v>
      </c>
      <c r="T756">
        <v>-3.6702749999999999E-2</v>
      </c>
      <c r="U756">
        <v>-0.34054570000000001</v>
      </c>
      <c r="V756">
        <v>1.4966230000000001E-2</v>
      </c>
      <c r="W756">
        <v>6.255529E-2</v>
      </c>
      <c r="X756">
        <v>0.99792930000000002</v>
      </c>
      <c r="Y756">
        <v>0.1093435</v>
      </c>
      <c r="Z756">
        <v>-6.2436309999999999E-4</v>
      </c>
      <c r="AA756">
        <v>0.99400379999999999</v>
      </c>
      <c r="AB756">
        <v>29</v>
      </c>
      <c r="AC756">
        <v>84.075699999999998</v>
      </c>
      <c r="AD756">
        <v>-1.0305004600000001</v>
      </c>
      <c r="AE756">
        <v>-9.5609000000000002</v>
      </c>
      <c r="AF756">
        <v>9.2667627112048692</v>
      </c>
      <c r="AG756">
        <v>-1.0305004600000001</v>
      </c>
      <c r="AH756">
        <v>84.096003817987395</v>
      </c>
      <c r="AI756">
        <v>90.697835684858205</v>
      </c>
      <c r="AJ756">
        <v>83.711794865250795</v>
      </c>
      <c r="AK756">
        <v>84.611303503130003</v>
      </c>
      <c r="AL756">
        <v>86.413504278998303</v>
      </c>
      <c r="AM756">
        <v>89.140783286410496</v>
      </c>
      <c r="AN756">
        <v>1.00000002007294</v>
      </c>
    </row>
    <row r="757" spans="1:40" x14ac:dyDescent="0.25">
      <c r="A757" t="str">
        <f>"20190312150648724"</f>
        <v>20190312150648724</v>
      </c>
      <c r="B757" t="str">
        <f>"1552374408721194"</f>
        <v>1552374408721194</v>
      </c>
      <c r="C757" t="s">
        <v>40</v>
      </c>
      <c r="D757">
        <v>4.3737190000000004</v>
      </c>
      <c r="E757">
        <v>0.53523769999999904</v>
      </c>
      <c r="F757" t="s">
        <v>43</v>
      </c>
      <c r="G757">
        <v>-277.48840000000001</v>
      </c>
      <c r="H757">
        <v>-0.05</v>
      </c>
      <c r="I757">
        <v>357.78930000000003</v>
      </c>
      <c r="J757">
        <v>-363.5376</v>
      </c>
      <c r="K757">
        <v>1.110487</v>
      </c>
      <c r="L757">
        <v>367.47460000000001</v>
      </c>
      <c r="M757">
        <v>0.9998937</v>
      </c>
      <c r="N757">
        <v>0</v>
      </c>
      <c r="O757">
        <v>-3.5065949999999999E-3</v>
      </c>
      <c r="P757">
        <v>0.99864830000000004</v>
      </c>
      <c r="Q757">
        <v>4.8624210000000001E-2</v>
      </c>
      <c r="R757">
        <v>-1.8371419999999999E-2</v>
      </c>
      <c r="S757">
        <v>2.9997560000000001</v>
      </c>
      <c r="T757">
        <v>-4.038858E-2</v>
      </c>
      <c r="U757">
        <v>-0.33709719999999999</v>
      </c>
      <c r="V757">
        <v>1.487789E-2</v>
      </c>
      <c r="W757">
        <v>6.2759430000000005E-2</v>
      </c>
      <c r="X757">
        <v>0.99791779999999997</v>
      </c>
      <c r="Y757">
        <v>0.10817690000000001</v>
      </c>
      <c r="Z757">
        <v>-6.7886259999999903E-4</v>
      </c>
      <c r="AA757">
        <v>0.9941314</v>
      </c>
      <c r="AB757">
        <v>29</v>
      </c>
      <c r="AC757">
        <v>86.0491999999999</v>
      </c>
      <c r="AD757">
        <v>-1.160487</v>
      </c>
      <c r="AE757">
        <v>-9.6852999999999803</v>
      </c>
      <c r="AF757">
        <v>9.3817855048030108</v>
      </c>
      <c r="AG757">
        <v>-1.160487</v>
      </c>
      <c r="AH757">
        <v>86.067178545505598</v>
      </c>
      <c r="AI757">
        <v>90.767952512875496</v>
      </c>
      <c r="AJ757">
        <v>83.779013801299101</v>
      </c>
      <c r="AK757">
        <v>86.584778408905393</v>
      </c>
      <c r="AL757">
        <v>86.401784878851998</v>
      </c>
      <c r="AM757">
        <v>89.145844322657595</v>
      </c>
      <c r="AN757">
        <v>1.0000000166108001</v>
      </c>
    </row>
    <row r="758" spans="1:40" x14ac:dyDescent="0.25">
      <c r="A758" t="str">
        <f>"20190312150648736"</f>
        <v>20190312150648736</v>
      </c>
      <c r="B758" t="str">
        <f>"1552374408730954"</f>
        <v>1552374408730954</v>
      </c>
      <c r="C758" t="s">
        <v>40</v>
      </c>
      <c r="D758">
        <v>4.3710259999999996</v>
      </c>
      <c r="E758">
        <v>0.53526200000000002</v>
      </c>
      <c r="F758" t="s">
        <v>43</v>
      </c>
      <c r="G758">
        <v>-295.79309999999998</v>
      </c>
      <c r="H758">
        <v>-0.05</v>
      </c>
      <c r="I758">
        <v>359.88130000000001</v>
      </c>
      <c r="J758">
        <v>-363.37950000000001</v>
      </c>
      <c r="K758">
        <v>1.1104959999999999</v>
      </c>
      <c r="L758">
        <v>367.47410000000002</v>
      </c>
      <c r="M758">
        <v>0.99989349999999999</v>
      </c>
      <c r="N758">
        <v>0</v>
      </c>
      <c r="O758">
        <v>-3.5344730000000002E-3</v>
      </c>
      <c r="P758">
        <v>0.99864200000000003</v>
      </c>
      <c r="Q758">
        <v>4.8689040000000003E-2</v>
      </c>
      <c r="R758">
        <v>-1.8536879999999999E-2</v>
      </c>
      <c r="S758">
        <v>3.0003660000000001</v>
      </c>
      <c r="T758">
        <v>-5.1397320000000003E-2</v>
      </c>
      <c r="U758">
        <v>-0.33630369999999998</v>
      </c>
      <c r="V758">
        <v>1.50156E-2</v>
      </c>
      <c r="W758">
        <v>6.2822729999999993E-2</v>
      </c>
      <c r="X758">
        <v>0.99791180000000002</v>
      </c>
      <c r="Y758">
        <v>0.1078614</v>
      </c>
      <c r="Z758">
        <v>-8.6054449999999896E-4</v>
      </c>
      <c r="AA758">
        <v>0.99416559999999998</v>
      </c>
      <c r="AB758">
        <v>29</v>
      </c>
      <c r="AC758">
        <v>67.586399999999998</v>
      </c>
      <c r="AD758">
        <v>-1.160496</v>
      </c>
      <c r="AE758">
        <v>-7.5928000000000102</v>
      </c>
      <c r="AF758">
        <v>7.3517058327192402</v>
      </c>
      <c r="AG758">
        <v>-1.160496</v>
      </c>
      <c r="AH758">
        <v>67.593137019182194</v>
      </c>
      <c r="AI758">
        <v>90.977840034043894</v>
      </c>
      <c r="AJ758">
        <v>83.792676887298896</v>
      </c>
      <c r="AK758">
        <v>68.001665433361197</v>
      </c>
      <c r="AL758">
        <v>86.398151049194396</v>
      </c>
      <c r="AM758">
        <v>89.1379342485818</v>
      </c>
      <c r="AN758">
        <v>1.00000006211362</v>
      </c>
    </row>
    <row r="759" spans="1:40" x14ac:dyDescent="0.25">
      <c r="A759" t="str">
        <f>"20190312150648751"</f>
        <v>20190312150648751</v>
      </c>
      <c r="B759" t="str">
        <f>"1552374408741690"</f>
        <v>1552374408741690</v>
      </c>
      <c r="C759" t="s">
        <v>40</v>
      </c>
      <c r="D759">
        <v>4.3742539999999996</v>
      </c>
      <c r="E759">
        <v>0.53532740000000001</v>
      </c>
      <c r="F759" t="s">
        <v>43</v>
      </c>
      <c r="G759">
        <v>-305.83920000000001</v>
      </c>
      <c r="H759">
        <v>-0.05</v>
      </c>
      <c r="I759">
        <v>361.0154</v>
      </c>
      <c r="J759">
        <v>-363.19499999999999</v>
      </c>
      <c r="K759">
        <v>1.1104989999999999</v>
      </c>
      <c r="L759">
        <v>367.47329999999999</v>
      </c>
      <c r="M759">
        <v>0.99989340000000004</v>
      </c>
      <c r="N759">
        <v>0</v>
      </c>
      <c r="O759">
        <v>-3.566278E-3</v>
      </c>
      <c r="P759">
        <v>0.99862609999999996</v>
      </c>
      <c r="Q759">
        <v>4.8968400000000002E-2</v>
      </c>
      <c r="R759">
        <v>-1.8655129999999999E-2</v>
      </c>
      <c r="S759">
        <v>3.0007630000000001</v>
      </c>
      <c r="T759">
        <v>-6.0520650000000002E-2</v>
      </c>
      <c r="U759">
        <v>-0.33682250000000002</v>
      </c>
      <c r="V759">
        <v>1.5101989999999999E-2</v>
      </c>
      <c r="W759">
        <v>6.3099699999999995E-2</v>
      </c>
      <c r="X759">
        <v>0.99789300000000003</v>
      </c>
      <c r="Y759">
        <v>0.10797909999999999</v>
      </c>
      <c r="Z759">
        <v>-1.013669E-3</v>
      </c>
      <c r="AA759">
        <v>0.9941527</v>
      </c>
      <c r="AB759">
        <v>29</v>
      </c>
      <c r="AC759">
        <v>57.355799999999903</v>
      </c>
      <c r="AD759">
        <v>-1.1604989999999999</v>
      </c>
      <c r="AE759">
        <v>-6.4578999999999898</v>
      </c>
      <c r="AF759">
        <v>6.2507647396002497</v>
      </c>
      <c r="AG759">
        <v>-1.1604989999999999</v>
      </c>
      <c r="AH759">
        <v>57.355281559892603</v>
      </c>
      <c r="AI759">
        <v>91.152315728750196</v>
      </c>
      <c r="AJ759">
        <v>83.780267118277294</v>
      </c>
      <c r="AK759">
        <v>57.706560637187401</v>
      </c>
      <c r="AL759">
        <v>86.382250213525495</v>
      </c>
      <c r="AM759">
        <v>89.132958905692206</v>
      </c>
      <c r="AN759">
        <v>1.0000000408455201</v>
      </c>
    </row>
    <row r="760" spans="1:40" x14ac:dyDescent="0.25">
      <c r="A760" t="str">
        <f>"20190312150648769"</f>
        <v>20190312150648769</v>
      </c>
      <c r="B760" t="str">
        <f>"1552374408761210"</f>
        <v>1552374408761210</v>
      </c>
      <c r="C760" t="s">
        <v>40</v>
      </c>
      <c r="D760">
        <v>4.3951520000000004</v>
      </c>
      <c r="E760">
        <v>0.53542970000000001</v>
      </c>
      <c r="F760" t="s">
        <v>43</v>
      </c>
      <c r="G760">
        <v>-311.34800000000001</v>
      </c>
      <c r="H760">
        <v>-0.05</v>
      </c>
      <c r="I760">
        <v>361.64179999999999</v>
      </c>
      <c r="J760">
        <v>-362.95760000000001</v>
      </c>
      <c r="K760">
        <v>1.1105050000000001</v>
      </c>
      <c r="L760">
        <v>367.47239999999999</v>
      </c>
      <c r="M760">
        <v>0.99989340000000004</v>
      </c>
      <c r="N760">
        <v>0</v>
      </c>
      <c r="O760">
        <v>-3.6055710000000001E-3</v>
      </c>
      <c r="P760">
        <v>0.99859699999999996</v>
      </c>
      <c r="Q760">
        <v>4.936989E-2</v>
      </c>
      <c r="R760">
        <v>-1.9153659999999999E-2</v>
      </c>
      <c r="S760">
        <v>3.0011290000000002</v>
      </c>
      <c r="T760">
        <v>-6.7174670000000006E-2</v>
      </c>
      <c r="U760">
        <v>-0.33755489999999999</v>
      </c>
      <c r="V760">
        <v>1.5561220000000001E-2</v>
      </c>
      <c r="W760">
        <v>6.3498020000000002E-2</v>
      </c>
      <c r="X760">
        <v>0.99786059999999999</v>
      </c>
      <c r="Y760">
        <v>0.1081613</v>
      </c>
      <c r="Z760">
        <v>-1.126096E-3</v>
      </c>
      <c r="AA760">
        <v>0.99413269999999998</v>
      </c>
      <c r="AB760">
        <v>29</v>
      </c>
      <c r="AC760">
        <v>51.6096</v>
      </c>
      <c r="AD760">
        <v>-1.1605049999999999</v>
      </c>
      <c r="AE760">
        <v>-5.8305999999999996</v>
      </c>
      <c r="AF760">
        <v>5.6416447509063801</v>
      </c>
      <c r="AG760">
        <v>-1.1605049999999999</v>
      </c>
      <c r="AH760">
        <v>51.604525238902902</v>
      </c>
      <c r="AI760">
        <v>91.2806474853558</v>
      </c>
      <c r="AJ760">
        <v>83.760938502290898</v>
      </c>
      <c r="AK760">
        <v>51.924964636319402</v>
      </c>
      <c r="AL760">
        <v>86.359382018771896</v>
      </c>
      <c r="AM760">
        <v>89.106568628045395</v>
      </c>
      <c r="AN760">
        <v>0.99999996357208298</v>
      </c>
    </row>
    <row r="761" spans="1:40" x14ac:dyDescent="0.25">
      <c r="A761" t="str">
        <f>"20190312150648782"</f>
        <v>20190312150648782</v>
      </c>
      <c r="B761" t="str">
        <f>"1552374408770970"</f>
        <v>1552374408770970</v>
      </c>
      <c r="C761" t="s">
        <v>40</v>
      </c>
      <c r="D761">
        <v>4.4671599999999998</v>
      </c>
      <c r="E761">
        <v>0.53551629999999995</v>
      </c>
      <c r="F761" t="s">
        <v>43</v>
      </c>
      <c r="G761">
        <v>-288.72289999999998</v>
      </c>
      <c r="H761">
        <v>-0.05</v>
      </c>
      <c r="I761">
        <v>359.06819999999999</v>
      </c>
      <c r="J761">
        <v>-362.77839999999998</v>
      </c>
      <c r="K761">
        <v>1.1105050000000001</v>
      </c>
      <c r="L761">
        <v>367.47179999999997</v>
      </c>
      <c r="M761">
        <v>0.99989329999999998</v>
      </c>
      <c r="N761">
        <v>0</v>
      </c>
      <c r="O761">
        <v>-3.633655E-3</v>
      </c>
      <c r="P761">
        <v>0.99859010000000004</v>
      </c>
      <c r="Q761">
        <v>4.9473349999999999E-2</v>
      </c>
      <c r="R761">
        <v>-1.9246079999999999E-2</v>
      </c>
      <c r="S761">
        <v>2.9999690000000001</v>
      </c>
      <c r="T761">
        <v>-4.6898250000000002E-2</v>
      </c>
      <c r="U761">
        <v>-0.33963009999999999</v>
      </c>
      <c r="V761">
        <v>1.5625529999999999E-2</v>
      </c>
      <c r="W761">
        <v>6.3599849999999999E-2</v>
      </c>
      <c r="X761">
        <v>0.9978532</v>
      </c>
      <c r="Y761">
        <v>0.1088682</v>
      </c>
      <c r="Z761">
        <v>-7.9157969999999996E-4</v>
      </c>
      <c r="AA761">
        <v>0.99405589999999999</v>
      </c>
      <c r="AB761">
        <v>29</v>
      </c>
      <c r="AC761">
        <v>74.055499999999995</v>
      </c>
      <c r="AD761">
        <v>-1.1605049999999999</v>
      </c>
      <c r="AE761">
        <v>-8.4035999999999795</v>
      </c>
      <c r="AF761">
        <v>8.1324537188550092</v>
      </c>
      <c r="AG761">
        <v>-1.1605049999999999</v>
      </c>
      <c r="AH761">
        <v>74.067592139002599</v>
      </c>
      <c r="AI761">
        <v>90.892286118425304</v>
      </c>
      <c r="AJ761">
        <v>83.734152246320207</v>
      </c>
      <c r="AK761">
        <v>74.521753740864099</v>
      </c>
      <c r="AL761">
        <v>86.353536100551906</v>
      </c>
      <c r="AM761">
        <v>89.102870286129999</v>
      </c>
      <c r="AN761">
        <v>1.0000000534290201</v>
      </c>
    </row>
    <row r="762" spans="1:40" x14ac:dyDescent="0.25">
      <c r="A762" t="str">
        <f>"20190312150648800"</f>
        <v>20190312150648800</v>
      </c>
      <c r="B762" t="str">
        <f>"1552374408791469"</f>
        <v>1552374408791469</v>
      </c>
      <c r="C762" t="s">
        <v>40</v>
      </c>
      <c r="D762">
        <v>4.456874</v>
      </c>
      <c r="E762">
        <v>0.53557509999999997</v>
      </c>
      <c r="F762" t="s">
        <v>43</v>
      </c>
      <c r="G762">
        <v>-298.80259999999998</v>
      </c>
      <c r="H762">
        <v>-0.05</v>
      </c>
      <c r="I762">
        <v>360.2072</v>
      </c>
      <c r="J762">
        <v>-362.56099999999998</v>
      </c>
      <c r="K762">
        <v>1.110509</v>
      </c>
      <c r="L762">
        <v>367.47089999999997</v>
      </c>
      <c r="M762">
        <v>0.99989320000000004</v>
      </c>
      <c r="N762">
        <v>0</v>
      </c>
      <c r="O762">
        <v>-3.66374E-3</v>
      </c>
      <c r="P762">
        <v>0.99860040000000005</v>
      </c>
      <c r="Q762">
        <v>4.8981450000000003E-2</v>
      </c>
      <c r="R762">
        <v>-1.9955629999999999E-2</v>
      </c>
      <c r="S762">
        <v>3.0003660000000001</v>
      </c>
      <c r="T762">
        <v>-5.4425840000000003E-2</v>
      </c>
      <c r="U762">
        <v>-0.34069820000000001</v>
      </c>
      <c r="V762">
        <v>1.630409E-2</v>
      </c>
      <c r="W762">
        <v>6.3105889999999998E-2</v>
      </c>
      <c r="X762">
        <v>0.99787369999999997</v>
      </c>
      <c r="Y762">
        <v>0.1091685</v>
      </c>
      <c r="Z762">
        <v>-9.2064809999999996E-4</v>
      </c>
      <c r="AA762">
        <v>0.99402279999999998</v>
      </c>
      <c r="AB762">
        <v>29</v>
      </c>
      <c r="AC762">
        <v>63.758400000000002</v>
      </c>
      <c r="AD762">
        <v>-1.160509</v>
      </c>
      <c r="AE762">
        <v>-7.2636999999999698</v>
      </c>
      <c r="AF762">
        <v>7.0277351960105099</v>
      </c>
      <c r="AG762">
        <v>-1.160509</v>
      </c>
      <c r="AH762">
        <v>63.763732676405198</v>
      </c>
      <c r="AI762">
        <v>91.0364018049561</v>
      </c>
      <c r="AJ762">
        <v>83.710516804372304</v>
      </c>
      <c r="AK762">
        <v>64.1603417069485</v>
      </c>
      <c r="AL762">
        <v>86.381894873706401</v>
      </c>
      <c r="AM762">
        <v>89.063937217171897</v>
      </c>
      <c r="AN762">
        <v>1.00000004892755</v>
      </c>
    </row>
    <row r="763" spans="1:40" x14ac:dyDescent="0.25">
      <c r="A763" t="str">
        <f>"20190312150648811"</f>
        <v>20190312150648811</v>
      </c>
      <c r="B763" t="str">
        <f>"1552374408801226"</f>
        <v>1552374408801226</v>
      </c>
      <c r="C763" t="s">
        <v>40</v>
      </c>
      <c r="D763">
        <v>4.366352</v>
      </c>
      <c r="E763">
        <v>0.53556969999999904</v>
      </c>
      <c r="F763" t="s">
        <v>43</v>
      </c>
      <c r="G763">
        <v>-308.84160000000003</v>
      </c>
      <c r="H763">
        <v>-0.05</v>
      </c>
      <c r="I763">
        <v>361.32170000000002</v>
      </c>
      <c r="J763">
        <v>-362.41669999999999</v>
      </c>
      <c r="K763">
        <v>1.1105119999999999</v>
      </c>
      <c r="L763">
        <v>367.47039999999998</v>
      </c>
      <c r="M763">
        <v>0.99989309999999998</v>
      </c>
      <c r="N763">
        <v>0</v>
      </c>
      <c r="O763">
        <v>-3.680245E-3</v>
      </c>
      <c r="P763">
        <v>0.99861180000000005</v>
      </c>
      <c r="Q763">
        <v>4.8590210000000002E-2</v>
      </c>
      <c r="R763">
        <v>-2.0326250000000001E-2</v>
      </c>
      <c r="S763">
        <v>3.0005489999999999</v>
      </c>
      <c r="T763">
        <v>-6.4821359999999995E-2</v>
      </c>
      <c r="U763">
        <v>-0.34347529999999998</v>
      </c>
      <c r="V763">
        <v>1.66579E-2</v>
      </c>
      <c r="W763">
        <v>6.2713290000000005E-2</v>
      </c>
      <c r="X763">
        <v>0.99789260000000002</v>
      </c>
      <c r="Y763">
        <v>0.11004609999999999</v>
      </c>
      <c r="Z763">
        <v>-1.1054260000000001E-3</v>
      </c>
      <c r="AA763">
        <v>0.99392590000000003</v>
      </c>
      <c r="AB763">
        <v>29</v>
      </c>
      <c r="AC763">
        <v>53.5750999999999</v>
      </c>
      <c r="AD763">
        <v>-1.160512</v>
      </c>
      <c r="AE763">
        <v>-6.1486999999999599</v>
      </c>
      <c r="AF763">
        <v>5.9487141663014498</v>
      </c>
      <c r="AG763">
        <v>-1.160512</v>
      </c>
      <c r="AH763">
        <v>53.572557762981397</v>
      </c>
      <c r="AI763">
        <v>91.233393771396095</v>
      </c>
      <c r="AJ763">
        <v>83.663814632415097</v>
      </c>
      <c r="AK763">
        <v>53.914311027801098</v>
      </c>
      <c r="AL763">
        <v>86.404433814469797</v>
      </c>
      <c r="AM763">
        <v>89.043645852120505</v>
      </c>
      <c r="AN763">
        <v>1.00000004175489</v>
      </c>
    </row>
    <row r="764" spans="1:40" x14ac:dyDescent="0.25">
      <c r="A764" t="str">
        <f>"20190312150648822"</f>
        <v>20190312150648822</v>
      </c>
      <c r="B764" t="str">
        <f>"1552374408810987"</f>
        <v>1552374408810987</v>
      </c>
      <c r="C764" t="s">
        <v>40</v>
      </c>
      <c r="D764">
        <v>4.3873089999999904</v>
      </c>
      <c r="E764">
        <v>0.53557030000000005</v>
      </c>
      <c r="F764" t="s">
        <v>43</v>
      </c>
      <c r="G764">
        <v>-313.11770000000001</v>
      </c>
      <c r="H764">
        <v>-0.05</v>
      </c>
      <c r="I764">
        <v>361.80709999999999</v>
      </c>
      <c r="J764">
        <v>-362.27249999999998</v>
      </c>
      <c r="K764">
        <v>1.1105119999999999</v>
      </c>
      <c r="L764">
        <v>367.46980000000002</v>
      </c>
      <c r="M764">
        <v>0.99989320000000004</v>
      </c>
      <c r="N764">
        <v>0</v>
      </c>
      <c r="O764">
        <v>-3.6950709999999999E-3</v>
      </c>
      <c r="P764">
        <v>0.99863449999999998</v>
      </c>
      <c r="Q764">
        <v>4.7898620000000003E-2</v>
      </c>
      <c r="R764">
        <v>-2.0860239999999999E-2</v>
      </c>
      <c r="S764">
        <v>3.00061</v>
      </c>
      <c r="T764">
        <v>-7.0635080000000003E-2</v>
      </c>
      <c r="U764">
        <v>-0.344696</v>
      </c>
      <c r="V764">
        <v>1.717639E-2</v>
      </c>
      <c r="W764">
        <v>6.2020829999999999E-2</v>
      </c>
      <c r="X764">
        <v>0.99792709999999996</v>
      </c>
      <c r="Y764">
        <v>0.11042349999999999</v>
      </c>
      <c r="Z764">
        <v>-1.20857E-3</v>
      </c>
      <c r="AA764">
        <v>0.99388390000000004</v>
      </c>
      <c r="AB764">
        <v>29</v>
      </c>
      <c r="AC764">
        <v>49.154799999999902</v>
      </c>
      <c r="AD764">
        <v>-1.160512</v>
      </c>
      <c r="AE764">
        <v>-5.6627000000000196</v>
      </c>
      <c r="AF764">
        <v>5.4779992509487601</v>
      </c>
      <c r="AG764">
        <v>-1.160512</v>
      </c>
      <c r="AH764">
        <v>49.148354024398401</v>
      </c>
      <c r="AI764">
        <v>91.344319777475803</v>
      </c>
      <c r="AJ764">
        <v>83.640150772747205</v>
      </c>
      <c r="AK764">
        <v>49.466311437210898</v>
      </c>
      <c r="AL764">
        <v>86.444186280664894</v>
      </c>
      <c r="AM764">
        <v>89.013918465085098</v>
      </c>
      <c r="AN764">
        <v>1.00000005432086</v>
      </c>
    </row>
    <row r="765" spans="1:40" x14ac:dyDescent="0.25">
      <c r="A765" t="str">
        <f>"20190312150648834"</f>
        <v>20190312150648834</v>
      </c>
      <c r="B765" t="str">
        <f>"1552374408831013"</f>
        <v>1552374408831013</v>
      </c>
      <c r="C765" t="s">
        <v>40</v>
      </c>
      <c r="D765">
        <v>4.3804249999999998</v>
      </c>
      <c r="E765">
        <v>0.5356805</v>
      </c>
      <c r="F765" t="s">
        <v>43</v>
      </c>
      <c r="G765">
        <v>-316.33600000000001</v>
      </c>
      <c r="H765">
        <v>-0.05</v>
      </c>
      <c r="I765">
        <v>362.16930000000002</v>
      </c>
      <c r="J765">
        <v>-362.1191</v>
      </c>
      <c r="K765">
        <v>1.110511</v>
      </c>
      <c r="L765">
        <v>367.4692</v>
      </c>
      <c r="M765">
        <v>0.99989309999999998</v>
      </c>
      <c r="N765">
        <v>0</v>
      </c>
      <c r="O765">
        <v>-3.7065409999999998E-3</v>
      </c>
      <c r="P765">
        <v>0.99865979999999999</v>
      </c>
      <c r="Q765">
        <v>4.7122120000000003E-2</v>
      </c>
      <c r="R765">
        <v>-2.139711E-2</v>
      </c>
      <c r="S765">
        <v>3.0004879999999998</v>
      </c>
      <c r="T765">
        <v>-7.5802560000000005E-2</v>
      </c>
      <c r="U765">
        <v>-0.34622190000000003</v>
      </c>
      <c r="V765">
        <v>1.770074E-2</v>
      </c>
      <c r="W765">
        <v>6.1243159999999998E-2</v>
      </c>
      <c r="X765">
        <v>0.99796589999999996</v>
      </c>
      <c r="Y765">
        <v>0.11091090000000001</v>
      </c>
      <c r="Z765">
        <v>-1.3028219999999999E-3</v>
      </c>
      <c r="AA765">
        <v>0.99382950000000003</v>
      </c>
      <c r="AB765">
        <v>29</v>
      </c>
      <c r="AC765">
        <v>45.783099999999898</v>
      </c>
      <c r="AD765">
        <v>-1.1605110000000001</v>
      </c>
      <c r="AE765">
        <v>-5.2998999999999796</v>
      </c>
      <c r="AF765">
        <v>5.1268990860944204</v>
      </c>
      <c r="AG765">
        <v>-1.1605110000000001</v>
      </c>
      <c r="AH765">
        <v>45.773410178245399</v>
      </c>
      <c r="AI765">
        <v>91.443309617849195</v>
      </c>
      <c r="AJ765">
        <v>83.609162072234398</v>
      </c>
      <c r="AK765">
        <v>46.074254843307202</v>
      </c>
      <c r="AL765">
        <v>86.488828126494695</v>
      </c>
      <c r="AM765">
        <v>88.983861708425195</v>
      </c>
      <c r="AN765">
        <v>0.99999998920307098</v>
      </c>
    </row>
    <row r="766" spans="1:40" x14ac:dyDescent="0.25">
      <c r="A766" t="str">
        <f>"20190312150648846"</f>
        <v>20190312150648846</v>
      </c>
      <c r="B766" t="str">
        <f>"1552374408841749"</f>
        <v>1552374408841749</v>
      </c>
      <c r="C766" t="s">
        <v>40</v>
      </c>
      <c r="D766">
        <v>4.3859059999999896</v>
      </c>
      <c r="E766">
        <v>0.53559319999999999</v>
      </c>
      <c r="F766" t="s">
        <v>42</v>
      </c>
      <c r="G766">
        <v>-323.6259</v>
      </c>
      <c r="H766" s="1">
        <v>-3.9170169999999998E-6</v>
      </c>
      <c r="I766">
        <v>362.9948</v>
      </c>
      <c r="J766">
        <v>-361.97070000000002</v>
      </c>
      <c r="K766">
        <v>1.110511</v>
      </c>
      <c r="L766">
        <v>367.46870000000001</v>
      </c>
      <c r="M766">
        <v>0.99989320000000004</v>
      </c>
      <c r="N766">
        <v>0</v>
      </c>
      <c r="O766">
        <v>-3.716582E-3</v>
      </c>
      <c r="P766">
        <v>0.99870199999999998</v>
      </c>
      <c r="Q766">
        <v>4.6099469999999997E-2</v>
      </c>
      <c r="R766">
        <v>-2.166968E-2</v>
      </c>
      <c r="S766">
        <v>3.0006409999999999</v>
      </c>
      <c r="T766">
        <v>-8.6567279999999996E-2</v>
      </c>
      <c r="U766">
        <v>-0.34878540000000002</v>
      </c>
      <c r="V766">
        <v>1.79623E-2</v>
      </c>
      <c r="W766">
        <v>6.0219849999999998E-2</v>
      </c>
      <c r="X766">
        <v>0.99802349999999995</v>
      </c>
      <c r="Y766">
        <v>0.1117224</v>
      </c>
      <c r="Z766">
        <v>-1.49899E-3</v>
      </c>
      <c r="AA766">
        <v>0.99373840000000002</v>
      </c>
      <c r="AB766">
        <v>29</v>
      </c>
      <c r="AC766">
        <v>38.344799999999999</v>
      </c>
      <c r="AD766">
        <v>-1.1105149170169999</v>
      </c>
      <c r="AE766">
        <v>-4.4739000000000102</v>
      </c>
      <c r="AF766">
        <v>4.3277620772562999</v>
      </c>
      <c r="AG766">
        <v>-1.1105149170169999</v>
      </c>
      <c r="AH766">
        <v>38.329447100266002</v>
      </c>
      <c r="AI766">
        <v>91.649087527605502</v>
      </c>
      <c r="AJ766">
        <v>83.558039966848597</v>
      </c>
      <c r="AK766">
        <v>38.5889787762043</v>
      </c>
      <c r="AL766">
        <v>86.547567904011103</v>
      </c>
      <c r="AM766">
        <v>88.968909170475797</v>
      </c>
      <c r="AN766">
        <v>0.99999999055378097</v>
      </c>
    </row>
    <row r="767" spans="1:40" x14ac:dyDescent="0.25">
      <c r="A767" t="str">
        <f>"20190312150648858"</f>
        <v>20190312150648858</v>
      </c>
      <c r="B767" t="str">
        <f>"1552374408851508"</f>
        <v>1552374408851508</v>
      </c>
      <c r="C767" t="s">
        <v>40</v>
      </c>
      <c r="D767">
        <v>4.3793930000000003</v>
      </c>
      <c r="E767">
        <v>0.53552939999999905</v>
      </c>
      <c r="F767" t="s">
        <v>42</v>
      </c>
      <c r="G767">
        <v>-325.56779999999998</v>
      </c>
      <c r="H767" s="1">
        <v>-3.192504E-6</v>
      </c>
      <c r="I767">
        <v>363.23419999999999</v>
      </c>
      <c r="J767">
        <v>-361.81970000000001</v>
      </c>
      <c r="K767">
        <v>1.110509</v>
      </c>
      <c r="L767">
        <v>367.46809999999999</v>
      </c>
      <c r="M767">
        <v>0.99989320000000004</v>
      </c>
      <c r="N767">
        <v>0</v>
      </c>
      <c r="O767">
        <v>-3.7229310000000001E-3</v>
      </c>
      <c r="P767">
        <v>0.9987509</v>
      </c>
      <c r="Q767">
        <v>4.4841449999999998E-2</v>
      </c>
      <c r="R767">
        <v>-2.205789E-2</v>
      </c>
      <c r="S767">
        <v>3.0005489999999999</v>
      </c>
      <c r="T767">
        <v>-9.153509E-2</v>
      </c>
      <c r="U767">
        <v>-0.34902949999999999</v>
      </c>
      <c r="V767">
        <v>1.8343229999999999E-2</v>
      </c>
      <c r="W767">
        <v>5.8961340000000001E-2</v>
      </c>
      <c r="X767">
        <v>0.99809170000000003</v>
      </c>
      <c r="Y767">
        <v>0.11179409999999999</v>
      </c>
      <c r="Z767">
        <v>-1.585911E-3</v>
      </c>
      <c r="AA767">
        <v>0.99373009999999995</v>
      </c>
      <c r="AB767">
        <v>29</v>
      </c>
      <c r="AC767">
        <v>36.251899999999999</v>
      </c>
      <c r="AD767">
        <v>-1.110512192504</v>
      </c>
      <c r="AE767">
        <v>-4.2339000000000002</v>
      </c>
      <c r="AF767">
        <v>4.0951027427497904</v>
      </c>
      <c r="AG767">
        <v>-1.110512192504</v>
      </c>
      <c r="AH767">
        <v>36.233868721573799</v>
      </c>
      <c r="AI767">
        <v>91.744379366763496</v>
      </c>
      <c r="AJ767">
        <v>83.551870193372196</v>
      </c>
      <c r="AK767">
        <v>36.481452086445501</v>
      </c>
      <c r="AL767">
        <v>86.619803547279901</v>
      </c>
      <c r="AM767">
        <v>88.947119430506206</v>
      </c>
      <c r="AN767">
        <v>0.99999997765515902</v>
      </c>
    </row>
    <row r="768" spans="1:40" x14ac:dyDescent="0.25">
      <c r="A768" t="str">
        <f>"20190312150648869"</f>
        <v>20190312150648869</v>
      </c>
      <c r="B768" t="str">
        <f>"1552374408861268"</f>
        <v>1552374408861268</v>
      </c>
      <c r="C768" t="s">
        <v>40</v>
      </c>
      <c r="D768">
        <v>4.414974</v>
      </c>
      <c r="E768">
        <v>0.53559659999999998</v>
      </c>
      <c r="F768" t="s">
        <v>42</v>
      </c>
      <c r="G768">
        <v>-328.6071</v>
      </c>
      <c r="H768" s="1">
        <v>-2.0614409999999999E-6</v>
      </c>
      <c r="I768">
        <v>363.59789999999998</v>
      </c>
      <c r="J768">
        <v>-361.67689999999999</v>
      </c>
      <c r="K768">
        <v>1.110509</v>
      </c>
      <c r="L768">
        <v>367.4676</v>
      </c>
      <c r="M768">
        <v>0.99989320000000004</v>
      </c>
      <c r="N768">
        <v>0</v>
      </c>
      <c r="O768">
        <v>-3.7276240000000001E-3</v>
      </c>
      <c r="P768">
        <v>0.99879039999999997</v>
      </c>
      <c r="Q768">
        <v>4.3770129999999997E-2</v>
      </c>
      <c r="R768">
        <v>-2.2409930000000002E-2</v>
      </c>
      <c r="S768">
        <v>3.0005190000000002</v>
      </c>
      <c r="T768">
        <v>-0.1003264</v>
      </c>
      <c r="U768">
        <v>-0.3496399</v>
      </c>
      <c r="V768">
        <v>1.8690129999999999E-2</v>
      </c>
      <c r="W768">
        <v>5.7889339999999997E-2</v>
      </c>
      <c r="X768">
        <v>0.99814800000000004</v>
      </c>
      <c r="Y768">
        <v>0.11197989999999999</v>
      </c>
      <c r="Z768">
        <v>-1.7410829999999901E-3</v>
      </c>
      <c r="AA768">
        <v>0.99370899999999995</v>
      </c>
      <c r="AB768">
        <v>29</v>
      </c>
      <c r="AC768">
        <v>33.069799999999901</v>
      </c>
      <c r="AD768">
        <v>-1.1105110614410001</v>
      </c>
      <c r="AE768">
        <v>-3.8697000000000199</v>
      </c>
      <c r="AF768">
        <v>3.7422260201908801</v>
      </c>
      <c r="AG768">
        <v>-1.1105110614410001</v>
      </c>
      <c r="AH768">
        <v>33.047233386606102</v>
      </c>
      <c r="AI768">
        <v>91.912415752784597</v>
      </c>
      <c r="AJ768">
        <v>83.539420820640501</v>
      </c>
      <c r="AK768">
        <v>33.2769758979477</v>
      </c>
      <c r="AL768">
        <v>86.6813296796998</v>
      </c>
      <c r="AM768">
        <v>88.927272870557204</v>
      </c>
      <c r="AN768">
        <v>0.99999996327452501</v>
      </c>
    </row>
    <row r="769" spans="1:40" x14ac:dyDescent="0.25">
      <c r="A769" t="str">
        <f>"20190312150648879"</f>
        <v>20190312150648879</v>
      </c>
      <c r="B769" t="str">
        <f>"1552374408871028"</f>
        <v>1552374408871028</v>
      </c>
      <c r="C769" t="s">
        <v>40</v>
      </c>
      <c r="D769">
        <v>4.4617719999999998</v>
      </c>
      <c r="E769">
        <v>0.53559659999999998</v>
      </c>
      <c r="F769" t="s">
        <v>42</v>
      </c>
      <c r="G769">
        <v>-330.27089999999998</v>
      </c>
      <c r="H769" s="1">
        <v>-5.1892390000000002E-6</v>
      </c>
      <c r="I769">
        <v>363.79180000000002</v>
      </c>
      <c r="J769">
        <v>-361.53949999999998</v>
      </c>
      <c r="K769">
        <v>1.110509</v>
      </c>
      <c r="L769">
        <v>367.46710000000002</v>
      </c>
      <c r="M769">
        <v>0.99989309999999998</v>
      </c>
      <c r="N769">
        <v>0</v>
      </c>
      <c r="O769">
        <v>-3.730302E-3</v>
      </c>
      <c r="P769">
        <v>0.99881799999999998</v>
      </c>
      <c r="Q769">
        <v>4.285079E-2</v>
      </c>
      <c r="R769">
        <v>-2.294962E-2</v>
      </c>
      <c r="S769">
        <v>3.0004270000000002</v>
      </c>
      <c r="T769">
        <v>-0.1060946</v>
      </c>
      <c r="U769">
        <v>-0.35116579999999997</v>
      </c>
      <c r="V769">
        <v>1.9226409999999999E-2</v>
      </c>
      <c r="W769">
        <v>5.696913E-2</v>
      </c>
      <c r="X769">
        <v>0.99819080000000004</v>
      </c>
      <c r="Y769">
        <v>0.1124719</v>
      </c>
      <c r="Z769">
        <v>-1.8496980000000001E-3</v>
      </c>
      <c r="AA769">
        <v>0.99365320000000001</v>
      </c>
      <c r="AB769">
        <v>28</v>
      </c>
      <c r="AC769">
        <v>31.2685999999999</v>
      </c>
      <c r="AD769">
        <v>-1.110514189239</v>
      </c>
      <c r="AE769">
        <v>-3.6752999999999898</v>
      </c>
      <c r="AF769">
        <v>3.55419949026258</v>
      </c>
      <c r="AG769">
        <v>-1.110514189239</v>
      </c>
      <c r="AH769">
        <v>31.243222527294101</v>
      </c>
      <c r="AI769">
        <v>92.022638925917505</v>
      </c>
      <c r="AJ769">
        <v>83.509986287187402</v>
      </c>
      <c r="AK769">
        <v>31.464337426221199</v>
      </c>
      <c r="AL769">
        <v>86.734141129787801</v>
      </c>
      <c r="AM769">
        <v>88.896547684340803</v>
      </c>
      <c r="AN769">
        <v>1.0000000049095401</v>
      </c>
    </row>
    <row r="770" spans="1:40" x14ac:dyDescent="0.25">
      <c r="A770" t="str">
        <f>"20190312150648891"</f>
        <v>20190312150648891</v>
      </c>
      <c r="B770" t="str">
        <f>"1552374408881765"</f>
        <v>1552374408881765</v>
      </c>
      <c r="C770" t="s">
        <v>40</v>
      </c>
      <c r="D770">
        <v>4.2845040000000001</v>
      </c>
      <c r="E770">
        <v>0.53629289999999996</v>
      </c>
      <c r="F770" t="s">
        <v>42</v>
      </c>
      <c r="G770">
        <v>-330.89510000000001</v>
      </c>
      <c r="H770" s="1">
        <v>-4.9095470000000004E-6</v>
      </c>
      <c r="I770">
        <v>363.85910000000001</v>
      </c>
      <c r="J770">
        <v>-361.40100000000001</v>
      </c>
      <c r="K770">
        <v>1.1105020000000001</v>
      </c>
      <c r="L770">
        <v>367.46660000000003</v>
      </c>
      <c r="M770">
        <v>0.99989309999999998</v>
      </c>
      <c r="N770">
        <v>0</v>
      </c>
      <c r="O770">
        <v>-3.7314409999999998E-3</v>
      </c>
      <c r="P770">
        <v>0.99884269999999997</v>
      </c>
      <c r="Q770">
        <v>4.2089290000000001E-2</v>
      </c>
      <c r="R770">
        <v>-2.3276720000000001E-2</v>
      </c>
      <c r="S770">
        <v>3.0001220000000002</v>
      </c>
      <c r="T770">
        <v>-0.10872030000000001</v>
      </c>
      <c r="U770">
        <v>-0.35321039999999998</v>
      </c>
      <c r="V770">
        <v>1.955177E-2</v>
      </c>
      <c r="W770">
        <v>5.6206939999999997E-2</v>
      </c>
      <c r="X770">
        <v>0.99822770000000005</v>
      </c>
      <c r="Y770">
        <v>0.1131466</v>
      </c>
      <c r="Z770">
        <v>-1.9077020000000001E-3</v>
      </c>
      <c r="AA770">
        <v>0.99357649999999997</v>
      </c>
      <c r="AB770">
        <v>28</v>
      </c>
      <c r="AC770">
        <v>30.5059</v>
      </c>
      <c r="AD770">
        <v>-1.1105069095469999</v>
      </c>
      <c r="AE770">
        <v>-3.6075000000000101</v>
      </c>
      <c r="AF770">
        <v>3.4890726553558502</v>
      </c>
      <c r="AG770">
        <v>-1.1105069095469999</v>
      </c>
      <c r="AH770">
        <v>30.479316570137101</v>
      </c>
      <c r="AI770">
        <v>92.073108536878607</v>
      </c>
      <c r="AJ770">
        <v>83.469580441976902</v>
      </c>
      <c r="AK770">
        <v>30.698462374736899</v>
      </c>
      <c r="AL770">
        <v>86.777881526962503</v>
      </c>
      <c r="AM770">
        <v>88.877920654698698</v>
      </c>
      <c r="AN770">
        <v>1.0000000164307901</v>
      </c>
    </row>
    <row r="771" spans="1:40" x14ac:dyDescent="0.25">
      <c r="A771" t="str">
        <f>"20190312150648902"</f>
        <v>20190312150648902</v>
      </c>
      <c r="B771" t="str">
        <f>"1552374408891524"</f>
        <v>1552374408891524</v>
      </c>
      <c r="C771" t="s">
        <v>40</v>
      </c>
      <c r="D771">
        <v>4.0432319999999997</v>
      </c>
      <c r="E771">
        <v>0.53629289999999996</v>
      </c>
      <c r="F771" t="s">
        <v>42</v>
      </c>
      <c r="G771">
        <v>-331.59690000000001</v>
      </c>
      <c r="H771" s="1">
        <v>-4.602392E-6</v>
      </c>
      <c r="I771">
        <v>363.89319999999998</v>
      </c>
      <c r="J771">
        <v>-361.2525</v>
      </c>
      <c r="K771">
        <v>1.110503</v>
      </c>
      <c r="L771">
        <v>367.46600000000001</v>
      </c>
      <c r="M771">
        <v>0.99989320000000004</v>
      </c>
      <c r="N771">
        <v>0</v>
      </c>
      <c r="O771">
        <v>-3.73187E-3</v>
      </c>
      <c r="P771">
        <v>0.99885729999999995</v>
      </c>
      <c r="Q771">
        <v>4.145215E-2</v>
      </c>
      <c r="R771">
        <v>-2.3798639999999999E-2</v>
      </c>
      <c r="S771">
        <v>2.9998170000000002</v>
      </c>
      <c r="T771">
        <v>-0.1117736</v>
      </c>
      <c r="U771">
        <v>-0.35964970000000002</v>
      </c>
      <c r="V771">
        <v>2.0072929999999999E-2</v>
      </c>
      <c r="W771">
        <v>5.5568489999999998E-2</v>
      </c>
      <c r="X771">
        <v>0.9982531</v>
      </c>
      <c r="Y771">
        <v>0.1152553</v>
      </c>
      <c r="Z771">
        <v>-2.000305E-3</v>
      </c>
      <c r="AA771">
        <v>0.99333389999999999</v>
      </c>
      <c r="AB771">
        <v>28</v>
      </c>
      <c r="AC771">
        <v>29.6556</v>
      </c>
      <c r="AD771">
        <v>-1.110507602392</v>
      </c>
      <c r="AE771">
        <v>-3.57280000000002</v>
      </c>
      <c r="AF771">
        <v>3.45731451675465</v>
      </c>
      <c r="AG771">
        <v>-1.110507602392</v>
      </c>
      <c r="AH771">
        <v>29.6277764531775</v>
      </c>
      <c r="AI771">
        <v>92.132100397073899</v>
      </c>
      <c r="AJ771">
        <v>83.344161983681403</v>
      </c>
      <c r="AK771">
        <v>29.849478862489299</v>
      </c>
      <c r="AL771">
        <v>86.8145192774641</v>
      </c>
      <c r="AM771">
        <v>88.848048454160903</v>
      </c>
      <c r="AN771">
        <v>1.00000001562963</v>
      </c>
    </row>
    <row r="772" spans="1:40" x14ac:dyDescent="0.25">
      <c r="A772" t="str">
        <f>"20190312150648913"</f>
        <v>20190312150648913</v>
      </c>
      <c r="B772" t="str">
        <f>"1552374408911044"</f>
        <v>1552374408911044</v>
      </c>
      <c r="C772" t="s">
        <v>40</v>
      </c>
      <c r="D772">
        <v>4.1570739999999997</v>
      </c>
      <c r="E772">
        <v>0.53757270000000001</v>
      </c>
      <c r="F772" t="s">
        <v>42</v>
      </c>
      <c r="G772">
        <v>-331.89710000000002</v>
      </c>
      <c r="H772" s="1">
        <v>-4.4672540000000004E-6</v>
      </c>
      <c r="I772">
        <v>363.92919999999998</v>
      </c>
      <c r="J772">
        <v>-361.1164</v>
      </c>
      <c r="K772">
        <v>1.110503</v>
      </c>
      <c r="L772">
        <v>367.46550000000002</v>
      </c>
      <c r="M772">
        <v>0.99989320000000004</v>
      </c>
      <c r="N772">
        <v>0</v>
      </c>
      <c r="O772">
        <v>-3.73041E-3</v>
      </c>
      <c r="P772">
        <v>0.99886090000000005</v>
      </c>
      <c r="Q772">
        <v>4.104439E-2</v>
      </c>
      <c r="R772">
        <v>-2.4344299999999999E-2</v>
      </c>
      <c r="S772">
        <v>2.9995729999999998</v>
      </c>
      <c r="T772">
        <v>-0.11347260000000001</v>
      </c>
      <c r="U772">
        <v>-0.36138920000000002</v>
      </c>
      <c r="V772">
        <v>2.0619749999999999E-2</v>
      </c>
      <c r="W772">
        <v>5.5159519999999997E-2</v>
      </c>
      <c r="X772">
        <v>0.99826459999999995</v>
      </c>
      <c r="Y772">
        <v>0.1158314</v>
      </c>
      <c r="Z772">
        <v>-2.0416929999999998E-3</v>
      </c>
      <c r="AA772">
        <v>0.99326680000000001</v>
      </c>
      <c r="AB772">
        <v>28</v>
      </c>
      <c r="AC772">
        <v>29.219299999999901</v>
      </c>
      <c r="AD772">
        <v>-1.1105074672540001</v>
      </c>
      <c r="AE772">
        <v>-3.5363000000000402</v>
      </c>
      <c r="AF772">
        <v>3.42239241611178</v>
      </c>
      <c r="AG772">
        <v>-1.1105074672540001</v>
      </c>
      <c r="AH772">
        <v>29.1907338645204</v>
      </c>
      <c r="AI772">
        <v>92.1638543476286</v>
      </c>
      <c r="AJ772">
        <v>83.313031591368997</v>
      </c>
      <c r="AK772">
        <v>29.4116463366801</v>
      </c>
      <c r="AL772">
        <v>86.837987411548696</v>
      </c>
      <c r="AM772">
        <v>88.816689810590702</v>
      </c>
      <c r="AN772">
        <v>0.999999979174926</v>
      </c>
    </row>
    <row r="773" spans="1:40" x14ac:dyDescent="0.25">
      <c r="A773" t="str">
        <f>"20190312150648926"</f>
        <v>20190312150648926</v>
      </c>
      <c r="B773" t="str">
        <f>"1552374408921780"</f>
        <v>1552374408921780</v>
      </c>
      <c r="C773" t="s">
        <v>40</v>
      </c>
      <c r="D773">
        <v>3.9944199999999999</v>
      </c>
      <c r="E773">
        <v>0.53774929999999999</v>
      </c>
      <c r="F773" t="s">
        <v>42</v>
      </c>
      <c r="G773">
        <v>-329.77530000000002</v>
      </c>
      <c r="H773" s="1">
        <v>-1.673449E-6</v>
      </c>
      <c r="I773">
        <v>363.56200000000001</v>
      </c>
      <c r="J773">
        <v>-360.96409999999997</v>
      </c>
      <c r="K773">
        <v>1.110506</v>
      </c>
      <c r="L773">
        <v>367.4649</v>
      </c>
      <c r="M773">
        <v>0.99989340000000004</v>
      </c>
      <c r="N773">
        <v>0</v>
      </c>
      <c r="O773">
        <v>-3.7290679999999999E-3</v>
      </c>
      <c r="P773">
        <v>0.99886870000000005</v>
      </c>
      <c r="Q773">
        <v>4.0709210000000003E-2</v>
      </c>
      <c r="R773">
        <v>-2.4582340000000001E-2</v>
      </c>
      <c r="S773">
        <v>2.998688</v>
      </c>
      <c r="T773">
        <v>-0.106252</v>
      </c>
      <c r="U773">
        <v>-0.37347409999999998</v>
      </c>
      <c r="V773">
        <v>2.085907E-2</v>
      </c>
      <c r="W773">
        <v>5.4822910000000002E-2</v>
      </c>
      <c r="X773">
        <v>0.9982782</v>
      </c>
      <c r="Y773">
        <v>0.1198176</v>
      </c>
      <c r="Z773">
        <v>-1.9823250000000001E-3</v>
      </c>
      <c r="AA773">
        <v>0.99279399999999995</v>
      </c>
      <c r="AB773">
        <v>28</v>
      </c>
      <c r="AC773">
        <v>31.188799999999901</v>
      </c>
      <c r="AD773">
        <v>-1.110507673449</v>
      </c>
      <c r="AE773">
        <v>-3.9029000000000398</v>
      </c>
      <c r="AF773">
        <v>3.7818354774976899</v>
      </c>
      <c r="AG773">
        <v>-1.110507673449</v>
      </c>
      <c r="AH773">
        <v>31.164238320515999</v>
      </c>
      <c r="AI773">
        <v>92.025966113187096</v>
      </c>
      <c r="AJ773">
        <v>83.080887588293393</v>
      </c>
      <c r="AK773">
        <v>31.412501603176601</v>
      </c>
      <c r="AL773">
        <v>86.8573030639797</v>
      </c>
      <c r="AM773">
        <v>88.802976176679806</v>
      </c>
      <c r="AN773">
        <v>1.00000000842868</v>
      </c>
    </row>
    <row r="774" spans="1:40" x14ac:dyDescent="0.25">
      <c r="A774" t="str">
        <f>"20190312150648937"</f>
        <v>20190312150648937</v>
      </c>
      <c r="B774" t="str">
        <f>"1552374408931071"</f>
        <v>1552374408931071</v>
      </c>
      <c r="C774" t="s">
        <v>40</v>
      </c>
      <c r="D774">
        <v>4.123621</v>
      </c>
      <c r="E774">
        <v>0.53792499999999999</v>
      </c>
      <c r="F774" t="s">
        <v>42</v>
      </c>
      <c r="G774">
        <v>-327.45999999999998</v>
      </c>
      <c r="H774" s="1">
        <v>-2.539907E-6</v>
      </c>
      <c r="I774">
        <v>363.26679999999999</v>
      </c>
      <c r="J774">
        <v>-360.80579999999998</v>
      </c>
      <c r="K774">
        <v>1.1105069999999999</v>
      </c>
      <c r="L774">
        <v>367.46440000000001</v>
      </c>
      <c r="M774">
        <v>0.99989320000000004</v>
      </c>
      <c r="N774">
        <v>0</v>
      </c>
      <c r="O774">
        <v>-3.7263050000000001E-3</v>
      </c>
      <c r="P774">
        <v>0.9988707</v>
      </c>
      <c r="Q774">
        <v>4.0480549999999997E-2</v>
      </c>
      <c r="R774">
        <v>-2.4872490000000001E-2</v>
      </c>
      <c r="S774">
        <v>2.99823</v>
      </c>
      <c r="T774">
        <v>-9.9377160000000006E-2</v>
      </c>
      <c r="U774">
        <v>-0.37567139999999999</v>
      </c>
      <c r="V774">
        <v>2.115189E-2</v>
      </c>
      <c r="W774">
        <v>5.459294E-2</v>
      </c>
      <c r="X774">
        <v>0.99828459999999997</v>
      </c>
      <c r="Y774">
        <v>0.1205638</v>
      </c>
      <c r="Z774">
        <v>-1.8667390000000001E-3</v>
      </c>
      <c r="AA774">
        <v>0.99270380000000003</v>
      </c>
      <c r="AB774">
        <v>28</v>
      </c>
      <c r="AC774">
        <v>33.345799999999997</v>
      </c>
      <c r="AD774">
        <v>-1.110509539907</v>
      </c>
      <c r="AE774">
        <v>-4.19760000000002</v>
      </c>
      <c r="AF774">
        <v>4.0688595289241203</v>
      </c>
      <c r="AG774">
        <v>-1.110509539907</v>
      </c>
      <c r="AH774">
        <v>33.324828222080697</v>
      </c>
      <c r="AI774">
        <v>91.894547156544505</v>
      </c>
      <c r="AJ774">
        <v>83.038815896060399</v>
      </c>
      <c r="AK774">
        <v>33.590668724149097</v>
      </c>
      <c r="AL774">
        <v>86.870499007197793</v>
      </c>
      <c r="AM774">
        <v>88.786185106813704</v>
      </c>
      <c r="AN774">
        <v>0.99999996707278704</v>
      </c>
    </row>
    <row r="775" spans="1:40" x14ac:dyDescent="0.25">
      <c r="A775" t="str">
        <f>"20190312150648951"</f>
        <v>20190312150648951</v>
      </c>
      <c r="B775" t="str">
        <f>"1552374408941805"</f>
        <v>1552374408941805</v>
      </c>
      <c r="C775" t="s">
        <v>40</v>
      </c>
      <c r="D775">
        <v>4.473274</v>
      </c>
      <c r="E775">
        <v>0.53852199999999995</v>
      </c>
      <c r="F775" t="s">
        <v>42</v>
      </c>
      <c r="G775">
        <v>-326.07330000000002</v>
      </c>
      <c r="H775" s="1">
        <v>-3.059326E-6</v>
      </c>
      <c r="I775">
        <v>363.0881</v>
      </c>
      <c r="J775">
        <v>-360.63720000000001</v>
      </c>
      <c r="K775">
        <v>1.1105069999999999</v>
      </c>
      <c r="L775">
        <v>367.46370000000002</v>
      </c>
      <c r="M775">
        <v>0.99989340000000004</v>
      </c>
      <c r="N775">
        <v>0</v>
      </c>
      <c r="O775">
        <v>-3.723662E-3</v>
      </c>
      <c r="P775">
        <v>0.99886850000000005</v>
      </c>
      <c r="Q775">
        <v>4.0399119999999997E-2</v>
      </c>
      <c r="R775">
        <v>-2.5100709999999998E-2</v>
      </c>
      <c r="S775">
        <v>2.9978639999999999</v>
      </c>
      <c r="T775">
        <v>-9.58513E-2</v>
      </c>
      <c r="U775">
        <v>-0.3777161</v>
      </c>
      <c r="V775">
        <v>2.1382580000000002E-2</v>
      </c>
      <c r="W775">
        <v>5.4509620000000002E-2</v>
      </c>
      <c r="X775">
        <v>0.99828430000000001</v>
      </c>
      <c r="Y775">
        <v>0.121252</v>
      </c>
      <c r="Z775">
        <v>-1.8117229999999999E-3</v>
      </c>
      <c r="AA775">
        <v>0.99262010000000001</v>
      </c>
      <c r="AB775">
        <v>28</v>
      </c>
      <c r="AC775">
        <v>34.563899999999897</v>
      </c>
      <c r="AD775">
        <v>-1.110510059326</v>
      </c>
      <c r="AE775">
        <v>-4.3756000000000199</v>
      </c>
      <c r="AF775">
        <v>4.2425421169413902</v>
      </c>
      <c r="AG775">
        <v>-1.110510059326</v>
      </c>
      <c r="AH775">
        <v>34.544857556334897</v>
      </c>
      <c r="AI775">
        <v>91.827526347212896</v>
      </c>
      <c r="AJ775">
        <v>82.998420049838302</v>
      </c>
      <c r="AK775">
        <v>34.822113373449199</v>
      </c>
      <c r="AL775">
        <v>86.875280202936906</v>
      </c>
      <c r="AM775">
        <v>88.7729504688795</v>
      </c>
      <c r="AN775">
        <v>1.00000002851324</v>
      </c>
    </row>
    <row r="776" spans="1:40" x14ac:dyDescent="0.25">
      <c r="A776" t="str">
        <f>"20190312150648968"</f>
        <v>20190312150648968</v>
      </c>
      <c r="B776" t="str">
        <f>"1552374408961326"</f>
        <v>1552374408961326</v>
      </c>
      <c r="C776" t="s">
        <v>40</v>
      </c>
      <c r="D776">
        <v>4.1412420000000001</v>
      </c>
      <c r="E776">
        <v>0.539516</v>
      </c>
      <c r="F776" t="s">
        <v>42</v>
      </c>
      <c r="G776">
        <v>-323.39670000000001</v>
      </c>
      <c r="H776" s="1">
        <v>-4.0731330000000003E-6</v>
      </c>
      <c r="I776">
        <v>362.70139999999998</v>
      </c>
      <c r="J776">
        <v>-360.42860000000002</v>
      </c>
      <c r="K776">
        <v>1.1105080000000001</v>
      </c>
      <c r="L776">
        <v>367.46289999999999</v>
      </c>
      <c r="M776">
        <v>0.99989320000000004</v>
      </c>
      <c r="N776">
        <v>0</v>
      </c>
      <c r="O776">
        <v>-3.7204209999999998E-3</v>
      </c>
      <c r="P776">
        <v>0.99886319999999995</v>
      </c>
      <c r="Q776">
        <v>4.0399829999999998E-2</v>
      </c>
      <c r="R776">
        <v>-2.5301540000000001E-2</v>
      </c>
      <c r="S776">
        <v>2.9973749999999999</v>
      </c>
      <c r="T776">
        <v>-8.9381340000000004E-2</v>
      </c>
      <c r="U776">
        <v>-0.3833008</v>
      </c>
      <c r="V776">
        <v>2.1586640000000001E-2</v>
      </c>
      <c r="W776">
        <v>5.4508189999999998E-2</v>
      </c>
      <c r="X776">
        <v>0.9982799</v>
      </c>
      <c r="Y776">
        <v>0.12310210000000001</v>
      </c>
      <c r="Z776">
        <v>-1.7171269999999999E-3</v>
      </c>
      <c r="AA776">
        <v>0.99239250000000001</v>
      </c>
      <c r="AB776">
        <v>28</v>
      </c>
      <c r="AC776">
        <v>37.0319</v>
      </c>
      <c r="AD776">
        <v>-1.110512073133</v>
      </c>
      <c r="AE776">
        <v>-4.7615000000000096</v>
      </c>
      <c r="AF776">
        <v>4.6195922796114299</v>
      </c>
      <c r="AG776">
        <v>-1.110512073133</v>
      </c>
      <c r="AH776">
        <v>37.016613324402499</v>
      </c>
      <c r="AI776">
        <v>91.705159849026799</v>
      </c>
      <c r="AJ776">
        <v>82.886390338589905</v>
      </c>
      <c r="AK776">
        <v>37.320283116594297</v>
      </c>
      <c r="AL776">
        <v>86.875361988157096</v>
      </c>
      <c r="AM776">
        <v>88.761238562030698</v>
      </c>
      <c r="AN776">
        <v>0.99999994227378597</v>
      </c>
    </row>
    <row r="777" spans="1:40" x14ac:dyDescent="0.25">
      <c r="A777" t="str">
        <f>"20190312150648980"</f>
        <v>20190312150648980</v>
      </c>
      <c r="B777" t="str">
        <f>"1552374408971087"</f>
        <v>1552374408971087</v>
      </c>
      <c r="C777" t="s">
        <v>40</v>
      </c>
      <c r="D777">
        <v>4.760027</v>
      </c>
      <c r="E777">
        <v>0.53997090000000003</v>
      </c>
      <c r="F777" t="s">
        <v>43</v>
      </c>
      <c r="G777">
        <v>-315.96809999999999</v>
      </c>
      <c r="H777">
        <v>-0.05</v>
      </c>
      <c r="I777">
        <v>361.6515</v>
      </c>
      <c r="J777">
        <v>-360.26159999999999</v>
      </c>
      <c r="K777">
        <v>1.1105100000000001</v>
      </c>
      <c r="L777">
        <v>367.46230000000003</v>
      </c>
      <c r="M777">
        <v>0.99989340000000004</v>
      </c>
      <c r="N777">
        <v>0</v>
      </c>
      <c r="O777">
        <v>-3.7187370000000002E-3</v>
      </c>
      <c r="P777">
        <v>0.99885060000000003</v>
      </c>
      <c r="Q777">
        <v>4.0784569999999999E-2</v>
      </c>
      <c r="R777">
        <v>-2.5192949999999999E-2</v>
      </c>
      <c r="S777">
        <v>2.9966740000000001</v>
      </c>
      <c r="T777">
        <v>-7.8219289999999997E-2</v>
      </c>
      <c r="U777">
        <v>-0.39169310000000002</v>
      </c>
      <c r="V777">
        <v>2.1479769999999999E-2</v>
      </c>
      <c r="W777">
        <v>5.4890510000000003E-2</v>
      </c>
      <c r="X777">
        <v>0.99826130000000002</v>
      </c>
      <c r="Y777">
        <v>0.1258773</v>
      </c>
      <c r="Z777">
        <v>-1.5389519999999999E-3</v>
      </c>
      <c r="AA777">
        <v>0.99204460000000005</v>
      </c>
      <c r="AB777">
        <v>28</v>
      </c>
      <c r="AC777">
        <v>44.293500000000002</v>
      </c>
      <c r="AD777">
        <v>-1.1605099999999999</v>
      </c>
      <c r="AE777">
        <v>-5.8108000000000199</v>
      </c>
      <c r="AF777">
        <v>5.6422198648483999</v>
      </c>
      <c r="AG777">
        <v>-1.1605099999999999</v>
      </c>
      <c r="AH777">
        <v>44.284919003469298</v>
      </c>
      <c r="AI777">
        <v>91.489091223644095</v>
      </c>
      <c r="AJ777">
        <v>82.739220640172107</v>
      </c>
      <c r="AK777">
        <v>44.657983380435198</v>
      </c>
      <c r="AL777">
        <v>86.853423957267793</v>
      </c>
      <c r="AM777">
        <v>88.767346500298203</v>
      </c>
      <c r="AN777">
        <v>0.99999998584250105</v>
      </c>
    </row>
    <row r="778" spans="1:40" x14ac:dyDescent="0.25">
      <c r="A778" t="str">
        <f>"20190312150648996"</f>
        <v>20190312150648996</v>
      </c>
      <c r="B778" t="str">
        <f>"1552374408991582"</f>
        <v>1552374408991582</v>
      </c>
      <c r="C778" t="s">
        <v>40</v>
      </c>
      <c r="D778">
        <v>4.128342</v>
      </c>
      <c r="E778">
        <v>0.54089299999999996</v>
      </c>
      <c r="F778" t="s">
        <v>43</v>
      </c>
      <c r="G778">
        <v>-312.17579999999998</v>
      </c>
      <c r="H778">
        <v>-0.05</v>
      </c>
      <c r="I778">
        <v>361.12119999999999</v>
      </c>
      <c r="J778">
        <v>-360.07209999999998</v>
      </c>
      <c r="K778">
        <v>1.1105119999999999</v>
      </c>
      <c r="L778">
        <v>367.46159999999998</v>
      </c>
      <c r="M778">
        <v>0.99989340000000004</v>
      </c>
      <c r="N778">
        <v>0</v>
      </c>
      <c r="O778">
        <v>-3.7171700000000001E-3</v>
      </c>
      <c r="P778">
        <v>0.99883809999999995</v>
      </c>
      <c r="Q778">
        <v>4.1041130000000002E-2</v>
      </c>
      <c r="R778">
        <v>-2.526691E-2</v>
      </c>
      <c r="S778">
        <v>2.996429</v>
      </c>
      <c r="T778">
        <v>-7.2316290000000005E-2</v>
      </c>
      <c r="U778">
        <v>-0.39514159999999998</v>
      </c>
      <c r="V778">
        <v>2.1555299999999999E-2</v>
      </c>
      <c r="W778">
        <v>5.5144760000000001E-2</v>
      </c>
      <c r="X778">
        <v>0.99824570000000001</v>
      </c>
      <c r="Y778">
        <v>0.12701709999999999</v>
      </c>
      <c r="Z778">
        <v>-1.436585E-3</v>
      </c>
      <c r="AA778">
        <v>0.99189950000000005</v>
      </c>
      <c r="AB778">
        <v>28</v>
      </c>
      <c r="AC778">
        <v>47.896299999999997</v>
      </c>
      <c r="AD778">
        <v>-1.160512</v>
      </c>
      <c r="AE778">
        <v>-6.3403999999999803</v>
      </c>
      <c r="AF778">
        <v>6.1587463557793596</v>
      </c>
      <c r="AG778">
        <v>-1.160512</v>
      </c>
      <c r="AH778">
        <v>47.891907691534797</v>
      </c>
      <c r="AI778">
        <v>91.3767811340836</v>
      </c>
      <c r="AJ778">
        <v>82.672162977603506</v>
      </c>
      <c r="AK778">
        <v>48.300225331891099</v>
      </c>
      <c r="AL778">
        <v>86.838834536283699</v>
      </c>
      <c r="AM778">
        <v>88.762994100987299</v>
      </c>
      <c r="AN778">
        <v>1.0000000265410101</v>
      </c>
    </row>
    <row r="779" spans="1:40" x14ac:dyDescent="0.25">
      <c r="A779" t="str">
        <f>"20190312150649012"</f>
        <v>20190312150649012</v>
      </c>
      <c r="B779" t="str">
        <f>"1552374409001342"</f>
        <v>1552374409001342</v>
      </c>
      <c r="C779" t="s">
        <v>40</v>
      </c>
      <c r="D779">
        <v>4.5232869999999998</v>
      </c>
      <c r="E779">
        <v>0.54129229999999995</v>
      </c>
      <c r="F779" t="s">
        <v>43</v>
      </c>
      <c r="G779">
        <v>-304.2946</v>
      </c>
      <c r="H779">
        <v>-0.05</v>
      </c>
      <c r="I779">
        <v>359.96730000000002</v>
      </c>
      <c r="J779">
        <v>-359.87639999999999</v>
      </c>
      <c r="K779">
        <v>1.110517</v>
      </c>
      <c r="L779">
        <v>367.46080000000001</v>
      </c>
      <c r="M779">
        <v>0.99989340000000004</v>
      </c>
      <c r="N779">
        <v>0</v>
      </c>
      <c r="O779">
        <v>-3.716081E-3</v>
      </c>
      <c r="P779">
        <v>0.99880860000000005</v>
      </c>
      <c r="Q779">
        <v>4.1719949999999999E-2</v>
      </c>
      <c r="R779">
        <v>-2.5312879999999999E-2</v>
      </c>
      <c r="S779">
        <v>2.9958800000000001</v>
      </c>
      <c r="T779">
        <v>-6.233263E-2</v>
      </c>
      <c r="U779">
        <v>-0.40252690000000002</v>
      </c>
      <c r="V779">
        <v>2.1602469999999999E-2</v>
      </c>
      <c r="W779">
        <v>5.5821309999999999E-2</v>
      </c>
      <c r="X779">
        <v>0.99820699999999996</v>
      </c>
      <c r="Y779">
        <v>0.1294525</v>
      </c>
      <c r="Z779">
        <v>-1.263569E-3</v>
      </c>
      <c r="AA779">
        <v>0.99158480000000004</v>
      </c>
      <c r="AB779">
        <v>28</v>
      </c>
      <c r="AC779">
        <v>55.581799999999902</v>
      </c>
      <c r="AD779">
        <v>-1.160517</v>
      </c>
      <c r="AE779">
        <v>-7.4934999999999796</v>
      </c>
      <c r="AF779">
        <v>7.2837625065464202</v>
      </c>
      <c r="AG779">
        <v>-1.160517</v>
      </c>
      <c r="AH779">
        <v>55.585465427651798</v>
      </c>
      <c r="AI779">
        <v>91.185916024729295</v>
      </c>
      <c r="AJ779">
        <v>82.534657345905998</v>
      </c>
      <c r="AK779">
        <v>56.0726668062768</v>
      </c>
      <c r="AL779">
        <v>86.800011029901697</v>
      </c>
      <c r="AM779">
        <v>88.760239925995293</v>
      </c>
      <c r="AN779">
        <v>0.99999995010460696</v>
      </c>
    </row>
    <row r="780" spans="1:40" x14ac:dyDescent="0.25">
      <c r="A780" t="str">
        <f>"20190312150649021"</f>
        <v>20190312150649021</v>
      </c>
      <c r="B780" t="str">
        <f>"1552374409011102"</f>
        <v>1552374409011102</v>
      </c>
      <c r="C780" t="s">
        <v>40</v>
      </c>
      <c r="D780">
        <v>4.714556</v>
      </c>
      <c r="E780">
        <v>0.54170090000000004</v>
      </c>
      <c r="F780" t="s">
        <v>43</v>
      </c>
      <c r="G780">
        <v>-298.149</v>
      </c>
      <c r="H780">
        <v>-0.05</v>
      </c>
      <c r="I780">
        <v>359.09609999999998</v>
      </c>
      <c r="J780">
        <v>-359.73880000000003</v>
      </c>
      <c r="K780">
        <v>1.110522</v>
      </c>
      <c r="L780">
        <v>367.46039999999999</v>
      </c>
      <c r="M780">
        <v>0.99989340000000004</v>
      </c>
      <c r="N780">
        <v>0</v>
      </c>
      <c r="O780">
        <v>-3.715594E-3</v>
      </c>
      <c r="P780">
        <v>0.99878350000000005</v>
      </c>
      <c r="Q780">
        <v>4.236732E-2</v>
      </c>
      <c r="R780">
        <v>-2.5229959999999999E-2</v>
      </c>
      <c r="S780">
        <v>2.9956670000000001</v>
      </c>
      <c r="T780">
        <v>-5.6320549999999997E-2</v>
      </c>
      <c r="U780">
        <v>-0.40594479999999999</v>
      </c>
      <c r="V780">
        <v>2.1520299999999999E-2</v>
      </c>
      <c r="W780">
        <v>5.64664E-2</v>
      </c>
      <c r="X780">
        <v>0.99817250000000002</v>
      </c>
      <c r="Y780">
        <v>0.1305781</v>
      </c>
      <c r="Z780">
        <v>-1.1522539999999999E-3</v>
      </c>
      <c r="AA780">
        <v>0.99143740000000002</v>
      </c>
      <c r="AB780">
        <v>28</v>
      </c>
      <c r="AC780">
        <v>61.589799999999997</v>
      </c>
      <c r="AD780">
        <v>-1.1605219999999901</v>
      </c>
      <c r="AE780">
        <v>-8.3643000000000107</v>
      </c>
      <c r="AF780">
        <v>8.1325415762276005</v>
      </c>
      <c r="AG780">
        <v>-1.1605219999999901</v>
      </c>
      <c r="AH780">
        <v>61.598981577112497</v>
      </c>
      <c r="AI780">
        <v>91.070039090399703</v>
      </c>
      <c r="AJ780">
        <v>82.479080294098793</v>
      </c>
      <c r="AK780">
        <v>62.144344675432897</v>
      </c>
      <c r="AL780">
        <v>86.762991729882501</v>
      </c>
      <c r="AM780">
        <v>88.764911503418105</v>
      </c>
      <c r="AN780">
        <v>0.99999995869864899</v>
      </c>
    </row>
    <row r="781" spans="1:40" x14ac:dyDescent="0.25">
      <c r="A781" t="str">
        <f>"20190312150649035"</f>
        <v>20190312150649035</v>
      </c>
      <c r="B781" t="str">
        <f>"1552374409031598"</f>
        <v>1552374409031598</v>
      </c>
      <c r="C781" t="s">
        <v>40</v>
      </c>
      <c r="D781">
        <v>4.4513600000000002</v>
      </c>
      <c r="E781">
        <v>0.54242250000000003</v>
      </c>
      <c r="F781" t="s">
        <v>43</v>
      </c>
      <c r="G781">
        <v>-291.37290000000002</v>
      </c>
      <c r="H781">
        <v>-0.05</v>
      </c>
      <c r="I781">
        <v>358.12790000000001</v>
      </c>
      <c r="J781">
        <v>-359.5881</v>
      </c>
      <c r="K781">
        <v>1.110525</v>
      </c>
      <c r="L781">
        <v>367.45979999999997</v>
      </c>
      <c r="M781">
        <v>0.99989349999999999</v>
      </c>
      <c r="N781">
        <v>0</v>
      </c>
      <c r="O781">
        <v>-3.7154639999999999E-3</v>
      </c>
      <c r="P781">
        <v>0.9987665</v>
      </c>
      <c r="Q781">
        <v>4.2773369999999998E-2</v>
      </c>
      <c r="R781">
        <v>-2.521793E-2</v>
      </c>
      <c r="S781">
        <v>2.9954830000000001</v>
      </c>
      <c r="T781">
        <v>-5.084872E-2</v>
      </c>
      <c r="U781">
        <v>-0.40890500000000002</v>
      </c>
      <c r="V781">
        <v>2.1508599999999999E-2</v>
      </c>
      <c r="W781">
        <v>5.6870579999999997E-2</v>
      </c>
      <c r="X781">
        <v>0.99814990000000003</v>
      </c>
      <c r="Y781">
        <v>0.13155210000000001</v>
      </c>
      <c r="Z781">
        <v>-1.0485480000000001E-3</v>
      </c>
      <c r="AA781">
        <v>0.99130870000000004</v>
      </c>
      <c r="AB781">
        <v>28</v>
      </c>
      <c r="AC781">
        <v>68.215199999999896</v>
      </c>
      <c r="AD781">
        <v>-1.160525</v>
      </c>
      <c r="AE781">
        <v>-9.3318999999999601</v>
      </c>
      <c r="AF781">
        <v>9.0757806440297095</v>
      </c>
      <c r="AG781">
        <v>-1.160525</v>
      </c>
      <c r="AH781">
        <v>68.230019678433493</v>
      </c>
      <c r="AI781">
        <v>90.965944023288102</v>
      </c>
      <c r="AJ781">
        <v>82.423142147329202</v>
      </c>
      <c r="AK781">
        <v>68.840774239498401</v>
      </c>
      <c r="AL781">
        <v>86.739796954404198</v>
      </c>
      <c r="AM781">
        <v>88.765554838621696</v>
      </c>
      <c r="AN781">
        <v>1.0000000528067501</v>
      </c>
    </row>
    <row r="782" spans="1:40" x14ac:dyDescent="0.25">
      <c r="A782" t="str">
        <f>"20190312150649046"</f>
        <v>20190312150649046</v>
      </c>
      <c r="B782" t="str">
        <f>"1552374409041358"</f>
        <v>1552374409041358</v>
      </c>
      <c r="C782" t="s">
        <v>40</v>
      </c>
      <c r="D782">
        <v>4.330241</v>
      </c>
      <c r="E782">
        <v>0.54273559999999998</v>
      </c>
      <c r="F782" t="s">
        <v>43</v>
      </c>
      <c r="G782">
        <v>-276.68490000000003</v>
      </c>
      <c r="H782">
        <v>-0.05</v>
      </c>
      <c r="I782">
        <v>355.97140000000002</v>
      </c>
      <c r="J782">
        <v>-359.44529999999997</v>
      </c>
      <c r="K782">
        <v>1.1105309999999999</v>
      </c>
      <c r="L782">
        <v>367.45929999999998</v>
      </c>
      <c r="M782">
        <v>0.99989360000000005</v>
      </c>
      <c r="N782">
        <v>0</v>
      </c>
      <c r="O782">
        <v>-3.7154549999999999E-3</v>
      </c>
      <c r="P782">
        <v>0.9987511</v>
      </c>
      <c r="Q782">
        <v>4.3000120000000003E-2</v>
      </c>
      <c r="R782">
        <v>-2.5445949999999998E-2</v>
      </c>
      <c r="S782">
        <v>2.9950260000000002</v>
      </c>
      <c r="T782">
        <v>-4.1926030000000003E-2</v>
      </c>
      <c r="U782">
        <v>-0.41503909999999999</v>
      </c>
      <c r="V782">
        <v>2.1736620000000002E-2</v>
      </c>
      <c r="W782">
        <v>5.7095279999999998E-2</v>
      </c>
      <c r="X782">
        <v>0.99813209999999997</v>
      </c>
      <c r="Y782">
        <v>0.13357040000000001</v>
      </c>
      <c r="Z782">
        <v>-8.7864240000000004E-4</v>
      </c>
      <c r="AA782">
        <v>0.99103889999999994</v>
      </c>
      <c r="AB782">
        <v>28</v>
      </c>
      <c r="AC782">
        <v>82.760399999999905</v>
      </c>
      <c r="AD782">
        <v>-1.160531</v>
      </c>
      <c r="AE782">
        <v>-11.4878999999999</v>
      </c>
      <c r="AF782">
        <v>11.178141051012499</v>
      </c>
      <c r="AG782">
        <v>-1.160531</v>
      </c>
      <c r="AH782">
        <v>82.786544390418399</v>
      </c>
      <c r="AI782">
        <v>90.795918220674807</v>
      </c>
      <c r="AJ782">
        <v>82.310221676215207</v>
      </c>
      <c r="AK782">
        <v>83.5458532882692</v>
      </c>
      <c r="AL782">
        <v>86.726901534133702</v>
      </c>
      <c r="AM782">
        <v>88.752449938252795</v>
      </c>
      <c r="AN782">
        <v>1.0000000203488499</v>
      </c>
    </row>
    <row r="783" spans="1:40" x14ac:dyDescent="0.25">
      <c r="A783" t="str">
        <f>"20190312150649056"</f>
        <v>20190312150649056</v>
      </c>
      <c r="B783" t="str">
        <f>"1552374409051118"</f>
        <v>1552374409051118</v>
      </c>
      <c r="C783" t="s">
        <v>40</v>
      </c>
      <c r="D783">
        <v>4.3473959999999998</v>
      </c>
      <c r="E783">
        <v>0.54307260000000002</v>
      </c>
      <c r="F783" t="s">
        <v>42</v>
      </c>
      <c r="G783">
        <v>-276.91719999999998</v>
      </c>
      <c r="H783">
        <v>7.9986429999999997E-2</v>
      </c>
      <c r="I783">
        <v>355.95089999999999</v>
      </c>
      <c r="J783">
        <v>-359.30720000000002</v>
      </c>
      <c r="K783">
        <v>1.110535</v>
      </c>
      <c r="L783">
        <v>367.45870000000002</v>
      </c>
      <c r="M783">
        <v>0.99989349999999999</v>
      </c>
      <c r="N783">
        <v>0</v>
      </c>
      <c r="O783">
        <v>-3.7152079999999998E-3</v>
      </c>
      <c r="P783">
        <v>0.99873820000000002</v>
      </c>
      <c r="Q783">
        <v>4.3386719999999997E-2</v>
      </c>
      <c r="R783">
        <v>-2.5290070000000001E-2</v>
      </c>
      <c r="S783">
        <v>2.99472</v>
      </c>
      <c r="T783">
        <v>-3.7395600000000001E-2</v>
      </c>
      <c r="U783">
        <v>-0.41760249999999999</v>
      </c>
      <c r="V783">
        <v>2.1581119999999999E-2</v>
      </c>
      <c r="W783">
        <v>5.7480410000000003E-2</v>
      </c>
      <c r="X783">
        <v>0.99811329999999998</v>
      </c>
      <c r="Y783">
        <v>0.13441900000000001</v>
      </c>
      <c r="Z783">
        <v>-7.8901539999999895E-4</v>
      </c>
      <c r="AA783">
        <v>0.99092420000000003</v>
      </c>
      <c r="AB783">
        <v>28</v>
      </c>
      <c r="AC783">
        <v>82.39</v>
      </c>
      <c r="AD783">
        <v>-1.0305485700000001</v>
      </c>
      <c r="AE783">
        <v>-11.5078</v>
      </c>
      <c r="AF783">
        <v>11.1998753480463</v>
      </c>
      <c r="AG783">
        <v>-1.0305485700000001</v>
      </c>
      <c r="AH783">
        <v>82.419541257867607</v>
      </c>
      <c r="AI783">
        <v>90.709848187544097</v>
      </c>
      <c r="AJ783">
        <v>82.261556880800697</v>
      </c>
      <c r="AK783">
        <v>83.183411924038296</v>
      </c>
      <c r="AL783">
        <v>86.704798682890896</v>
      </c>
      <c r="AM783">
        <v>88.761348581146095</v>
      </c>
      <c r="AN783">
        <v>0.99999995095555505</v>
      </c>
    </row>
    <row r="784" spans="1:40" x14ac:dyDescent="0.25">
      <c r="A784" t="str">
        <f>"20190312150649068"</f>
        <v>20190312150649068</v>
      </c>
      <c r="B784" t="str">
        <f>"1552374409060878"</f>
        <v>1552374409060878</v>
      </c>
      <c r="C784" t="s">
        <v>40</v>
      </c>
      <c r="D784">
        <v>4.370476</v>
      </c>
      <c r="E784">
        <v>0.54336809999999902</v>
      </c>
      <c r="F784" t="s">
        <v>43</v>
      </c>
      <c r="G784">
        <v>-270.48149999999998</v>
      </c>
      <c r="H784">
        <v>-0.05</v>
      </c>
      <c r="I784">
        <v>355.00310000000002</v>
      </c>
      <c r="J784">
        <v>-359.16750000000002</v>
      </c>
      <c r="K784">
        <v>1.110538</v>
      </c>
      <c r="L784">
        <v>367.45819999999998</v>
      </c>
      <c r="M784">
        <v>0.99989360000000005</v>
      </c>
      <c r="N784">
        <v>0</v>
      </c>
      <c r="O784">
        <v>-3.7152000000000001E-3</v>
      </c>
      <c r="P784">
        <v>0.99870999999999999</v>
      </c>
      <c r="Q784">
        <v>4.3926890000000003E-2</v>
      </c>
      <c r="R784">
        <v>-2.5481E-2</v>
      </c>
      <c r="S784">
        <v>2.9948429999999999</v>
      </c>
      <c r="T784">
        <v>-3.9128540000000003E-2</v>
      </c>
      <c r="U784">
        <v>-0.4199524</v>
      </c>
      <c r="V784">
        <v>2.1772039999999999E-2</v>
      </c>
      <c r="W784">
        <v>5.8018340000000002E-2</v>
      </c>
      <c r="X784">
        <v>0.99807809999999997</v>
      </c>
      <c r="Y784">
        <v>0.13517509999999999</v>
      </c>
      <c r="Z784">
        <v>-8.3041300000000001E-4</v>
      </c>
      <c r="AA784">
        <v>0.99082139999999996</v>
      </c>
      <c r="AB784">
        <v>28</v>
      </c>
      <c r="AC784">
        <v>88.686000000000007</v>
      </c>
      <c r="AD784">
        <v>-1.1605379999999901</v>
      </c>
      <c r="AE784">
        <v>-12.4550999999999</v>
      </c>
      <c r="AF784">
        <v>12.123459129336901</v>
      </c>
      <c r="AG784">
        <v>-1.1605379999999901</v>
      </c>
      <c r="AH784">
        <v>88.716767480696504</v>
      </c>
      <c r="AI784">
        <v>90.742564736499702</v>
      </c>
      <c r="AJ784">
        <v>82.218528353336794</v>
      </c>
      <c r="AK784">
        <v>89.548813179930605</v>
      </c>
      <c r="AL784">
        <v>86.673926274583394</v>
      </c>
      <c r="AM784">
        <v>88.750350103326596</v>
      </c>
      <c r="AN784">
        <v>1.00000002160086</v>
      </c>
    </row>
    <row r="785" spans="1:40" x14ac:dyDescent="0.25">
      <c r="A785" t="str">
        <f>"20190312150649079"</f>
        <v>20190312150649079</v>
      </c>
      <c r="B785" t="str">
        <f>"1552374409071614"</f>
        <v>1552374409071614</v>
      </c>
      <c r="C785" t="s">
        <v>40</v>
      </c>
      <c r="D785">
        <v>4.4163480000000002</v>
      </c>
      <c r="E785">
        <v>0.54363600000000001</v>
      </c>
      <c r="F785" t="s">
        <v>42</v>
      </c>
      <c r="G785">
        <v>-271.47800000000001</v>
      </c>
      <c r="H785">
        <v>7.9986589999999996E-2</v>
      </c>
      <c r="I785">
        <v>355.06979999999999</v>
      </c>
      <c r="J785">
        <v>-359.0179</v>
      </c>
      <c r="K785">
        <v>1.1105430000000001</v>
      </c>
      <c r="L785">
        <v>367.45769999999999</v>
      </c>
      <c r="M785">
        <v>0.99989349999999999</v>
      </c>
      <c r="N785">
        <v>0</v>
      </c>
      <c r="O785">
        <v>-3.715192E-3</v>
      </c>
      <c r="P785">
        <v>0.99869770000000002</v>
      </c>
      <c r="Q785">
        <v>4.4147069999999997E-2</v>
      </c>
      <c r="R785">
        <v>-2.5574739999999999E-2</v>
      </c>
      <c r="S785">
        <v>2.9946290000000002</v>
      </c>
      <c r="T785">
        <v>-3.5193679999999998E-2</v>
      </c>
      <c r="U785">
        <v>-0.42306519999999997</v>
      </c>
      <c r="V785">
        <v>2.1865820000000001E-2</v>
      </c>
      <c r="W785">
        <v>5.8236830000000003E-2</v>
      </c>
      <c r="X785">
        <v>0.99806329999999999</v>
      </c>
      <c r="Y785">
        <v>0.1361966</v>
      </c>
      <c r="Z785">
        <v>-7.5288239999999999E-4</v>
      </c>
      <c r="AA785">
        <v>0.99068149999999999</v>
      </c>
      <c r="AB785">
        <v>28</v>
      </c>
      <c r="AC785">
        <v>87.539899999999903</v>
      </c>
      <c r="AD785">
        <v>-1.03055641</v>
      </c>
      <c r="AE785">
        <v>-12.3879</v>
      </c>
      <c r="AF785">
        <v>12.0609158536276</v>
      </c>
      <c r="AG785">
        <v>-1.03055641</v>
      </c>
      <c r="AH785">
        <v>87.573425232672804</v>
      </c>
      <c r="AI785">
        <v>90.667916498600405</v>
      </c>
      <c r="AJ785">
        <v>82.158357658769006</v>
      </c>
      <c r="AK785">
        <v>88.406066221300705</v>
      </c>
      <c r="AL785">
        <v>86.661386433808104</v>
      </c>
      <c r="AM785">
        <v>88.744950525517595</v>
      </c>
      <c r="AN785">
        <v>0.99999999662980499</v>
      </c>
    </row>
    <row r="786" spans="1:40" x14ac:dyDescent="0.25">
      <c r="A786" t="str">
        <f>"20190312150649091"</f>
        <v>20190312150649091</v>
      </c>
      <c r="B786" t="str">
        <f>"1552374409081375"</f>
        <v>1552374409081375</v>
      </c>
      <c r="C786" t="s">
        <v>40</v>
      </c>
      <c r="D786">
        <v>4.4786950000000001</v>
      </c>
      <c r="E786">
        <v>0.54388819999999904</v>
      </c>
      <c r="F786" t="s">
        <v>43</v>
      </c>
      <c r="G786">
        <v>-256.26819999999998</v>
      </c>
      <c r="H786">
        <v>-0.05</v>
      </c>
      <c r="I786">
        <v>352.8689</v>
      </c>
      <c r="J786">
        <v>-358.87880000000001</v>
      </c>
      <c r="K786">
        <v>1.110547</v>
      </c>
      <c r="L786">
        <v>367.45710000000003</v>
      </c>
      <c r="M786">
        <v>0.99989349999999999</v>
      </c>
      <c r="N786">
        <v>0</v>
      </c>
      <c r="O786">
        <v>-3.7151850000000002E-3</v>
      </c>
      <c r="P786">
        <v>0.99867059999999996</v>
      </c>
      <c r="Q786">
        <v>4.4725979999999999E-2</v>
      </c>
      <c r="R786">
        <v>-2.563317E-2</v>
      </c>
      <c r="S786">
        <v>2.994507</v>
      </c>
      <c r="T786">
        <v>-3.3822539999999998E-2</v>
      </c>
      <c r="U786">
        <v>-0.42517090000000002</v>
      </c>
      <c r="V786">
        <v>2.192444E-2</v>
      </c>
      <c r="W786">
        <v>5.8813780000000003E-2</v>
      </c>
      <c r="X786">
        <v>0.99802820000000003</v>
      </c>
      <c r="Y786">
        <v>0.1368858</v>
      </c>
      <c r="Z786">
        <v>-7.2741850000000003E-4</v>
      </c>
      <c r="AA786">
        <v>0.99058659999999998</v>
      </c>
      <c r="AB786">
        <v>28</v>
      </c>
      <c r="AC786">
        <v>102.61060000000001</v>
      </c>
      <c r="AD786">
        <v>-1.160547</v>
      </c>
      <c r="AE786">
        <v>-14.588200000000001</v>
      </c>
      <c r="AF786">
        <v>14.205062846300599</v>
      </c>
      <c r="AG786">
        <v>-1.160547</v>
      </c>
      <c r="AH786">
        <v>102.651223904085</v>
      </c>
      <c r="AI786">
        <v>90.641629207396804</v>
      </c>
      <c r="AJ786">
        <v>82.121342531265199</v>
      </c>
      <c r="AK786">
        <v>103.635922579062</v>
      </c>
      <c r="AL786">
        <v>86.628272935770596</v>
      </c>
      <c r="AM786">
        <v>88.7415427049676</v>
      </c>
      <c r="AN786">
        <v>1.00000001489122</v>
      </c>
    </row>
    <row r="787" spans="1:40" x14ac:dyDescent="0.25">
      <c r="A787" t="str">
        <f>"20190312150649102"</f>
        <v>20190312150649102</v>
      </c>
      <c r="B787" t="str">
        <f>"1552374409091135"</f>
        <v>1552374409091135</v>
      </c>
      <c r="C787" t="s">
        <v>40</v>
      </c>
      <c r="D787">
        <v>4.4578800000000003</v>
      </c>
      <c r="E787">
        <v>0.54413679999999998</v>
      </c>
      <c r="F787" t="s">
        <v>43</v>
      </c>
      <c r="G787">
        <v>-246.2474</v>
      </c>
      <c r="H787">
        <v>-0.05</v>
      </c>
      <c r="I787">
        <v>351.36919999999998</v>
      </c>
      <c r="J787">
        <v>-358.7269</v>
      </c>
      <c r="K787">
        <v>1.110549</v>
      </c>
      <c r="L787">
        <v>367.45650000000001</v>
      </c>
      <c r="M787">
        <v>0.9998937</v>
      </c>
      <c r="N787">
        <v>0</v>
      </c>
      <c r="O787">
        <v>-3.7151760000000002E-3</v>
      </c>
      <c r="P787">
        <v>0.99865619999999999</v>
      </c>
      <c r="Q787">
        <v>4.4927050000000003E-2</v>
      </c>
      <c r="R787">
        <v>-2.5837639999999999E-2</v>
      </c>
      <c r="S787">
        <v>2.994354</v>
      </c>
      <c r="T787">
        <v>-3.085363E-2</v>
      </c>
      <c r="U787">
        <v>-0.42770390000000003</v>
      </c>
      <c r="V787">
        <v>2.2129119999999999E-2</v>
      </c>
      <c r="W787">
        <v>5.9012740000000001E-2</v>
      </c>
      <c r="X787">
        <v>0.99801189999999995</v>
      </c>
      <c r="Y787">
        <v>0.13771539999999999</v>
      </c>
      <c r="Z787">
        <v>-6.6781640000000003E-4</v>
      </c>
      <c r="AA787">
        <v>0.99047160000000001</v>
      </c>
      <c r="AB787">
        <v>28</v>
      </c>
      <c r="AC787">
        <v>112.4795</v>
      </c>
      <c r="AD787">
        <v>-1.1605490000000001</v>
      </c>
      <c r="AE787">
        <v>-16.087299999999999</v>
      </c>
      <c r="AF787">
        <v>15.667631758737899</v>
      </c>
      <c r="AG787">
        <v>-1.1605490000000001</v>
      </c>
      <c r="AH787">
        <v>112.52675739630401</v>
      </c>
      <c r="AI787">
        <v>90.585255908549598</v>
      </c>
      <c r="AJ787">
        <v>82.073398444358403</v>
      </c>
      <c r="AK787">
        <v>113.61818819641201</v>
      </c>
      <c r="AL787">
        <v>86.616853404951101</v>
      </c>
      <c r="AM787">
        <v>88.729777217385404</v>
      </c>
      <c r="AN787">
        <v>0.99999997698794496</v>
      </c>
    </row>
    <row r="788" spans="1:40" x14ac:dyDescent="0.25">
      <c r="A788" t="str">
        <f>"20190312150649114"</f>
        <v>20190312150649114</v>
      </c>
      <c r="B788" t="str">
        <f>"1552374409111630"</f>
        <v>1552374409111630</v>
      </c>
      <c r="C788" t="s">
        <v>40</v>
      </c>
      <c r="D788">
        <v>4.1501739999999998</v>
      </c>
      <c r="E788">
        <v>0.54466059999999905</v>
      </c>
      <c r="F788" t="s">
        <v>43</v>
      </c>
      <c r="G788">
        <v>-234.42850000000001</v>
      </c>
      <c r="H788">
        <v>-0.05</v>
      </c>
      <c r="I788">
        <v>349.59739999999999</v>
      </c>
      <c r="J788">
        <v>-358.58850000000001</v>
      </c>
      <c r="K788">
        <v>1.1105510000000001</v>
      </c>
      <c r="L788">
        <v>367.45600000000002</v>
      </c>
      <c r="M788">
        <v>0.9998937</v>
      </c>
      <c r="N788">
        <v>0</v>
      </c>
      <c r="O788">
        <v>-3.715168E-3</v>
      </c>
      <c r="P788">
        <v>0.9986526</v>
      </c>
      <c r="Q788">
        <v>4.4935049999999997E-2</v>
      </c>
      <c r="R788">
        <v>-2.5968629999999999E-2</v>
      </c>
      <c r="S788">
        <v>2.994202</v>
      </c>
      <c r="T788">
        <v>-2.7956249999999998E-2</v>
      </c>
      <c r="U788">
        <v>-0.43020629999999999</v>
      </c>
      <c r="V788">
        <v>2.226005E-2</v>
      </c>
      <c r="W788">
        <v>5.9019410000000001E-2</v>
      </c>
      <c r="X788">
        <v>0.99800860000000002</v>
      </c>
      <c r="Y788">
        <v>0.13853480000000001</v>
      </c>
      <c r="Z788">
        <v>-6.08907E-4</v>
      </c>
      <c r="AA788">
        <v>0.99035740000000005</v>
      </c>
      <c r="AB788">
        <v>28</v>
      </c>
      <c r="AC788">
        <v>124.16</v>
      </c>
      <c r="AD788">
        <v>-1.1605510000000001</v>
      </c>
      <c r="AE788">
        <v>-17.8585999999999</v>
      </c>
      <c r="AF788">
        <v>17.3956665530858</v>
      </c>
      <c r="AG788">
        <v>-1.1605510000000001</v>
      </c>
      <c r="AH788">
        <v>124.21486452000801</v>
      </c>
      <c r="AI788">
        <v>90.530131125659096</v>
      </c>
      <c r="AJ788">
        <v>82.0278627514585</v>
      </c>
      <c r="AK788">
        <v>125.432406742331</v>
      </c>
      <c r="AL788">
        <v>86.616470595632904</v>
      </c>
      <c r="AM788">
        <v>88.722260029174393</v>
      </c>
      <c r="AN788">
        <v>0.99999998312835503</v>
      </c>
    </row>
    <row r="789" spans="1:40" x14ac:dyDescent="0.25">
      <c r="A789" t="str">
        <f>"20190312150649125"</f>
        <v>20190312150649125</v>
      </c>
      <c r="B789" t="str">
        <f>"1552374409121390"</f>
        <v>1552374409121390</v>
      </c>
      <c r="C789" t="s">
        <v>40</v>
      </c>
      <c r="D789">
        <v>4.6728889999999996</v>
      </c>
      <c r="E789">
        <v>0.54492589999999996</v>
      </c>
      <c r="F789" t="s">
        <v>44</v>
      </c>
      <c r="G789">
        <v>-228.1388</v>
      </c>
      <c r="H789">
        <v>5.5774459999999998E-2</v>
      </c>
      <c r="I789">
        <v>348.51170000000002</v>
      </c>
      <c r="J789">
        <v>-358.44959999999998</v>
      </c>
      <c r="K789">
        <v>1.1105510000000001</v>
      </c>
      <c r="L789">
        <v>367.45549999999997</v>
      </c>
      <c r="M789">
        <v>0.99989349999999999</v>
      </c>
      <c r="N789">
        <v>0</v>
      </c>
      <c r="O789">
        <v>-3.7151609999999998E-3</v>
      </c>
      <c r="P789">
        <v>0.99864920000000001</v>
      </c>
      <c r="Q789">
        <v>4.5041379999999999E-2</v>
      </c>
      <c r="R789">
        <v>-2.5907050000000001E-2</v>
      </c>
      <c r="S789">
        <v>2.9938959999999999</v>
      </c>
      <c r="T789">
        <v>-2.4205919999999999E-2</v>
      </c>
      <c r="U789">
        <v>-0.4347839</v>
      </c>
      <c r="V789">
        <v>2.21984E-2</v>
      </c>
      <c r="W789">
        <v>5.9124610000000001E-2</v>
      </c>
      <c r="X789">
        <v>0.9980038</v>
      </c>
      <c r="Y789">
        <v>0.14003350000000001</v>
      </c>
      <c r="Z789">
        <v>-5.3324809999999998E-4</v>
      </c>
      <c r="AA789">
        <v>0.99014659999999999</v>
      </c>
      <c r="AB789">
        <v>28</v>
      </c>
      <c r="AC789">
        <v>130.31079999999901</v>
      </c>
      <c r="AD789">
        <v>-1.05477654</v>
      </c>
      <c r="AE789">
        <v>-18.9437999999999</v>
      </c>
      <c r="AF789">
        <v>18.458311092341798</v>
      </c>
      <c r="AG789">
        <v>-1.05477654</v>
      </c>
      <c r="AH789">
        <v>130.37192187634599</v>
      </c>
      <c r="AI789">
        <v>90.458965430914006</v>
      </c>
      <c r="AJ789">
        <v>81.941512226796604</v>
      </c>
      <c r="AK789">
        <v>131.67634493584299</v>
      </c>
      <c r="AL789">
        <v>86.610432717005196</v>
      </c>
      <c r="AM789">
        <v>88.725791480787194</v>
      </c>
      <c r="AN789">
        <v>1.0000000366423201</v>
      </c>
    </row>
    <row r="790" spans="1:40" x14ac:dyDescent="0.25">
      <c r="A790" t="str">
        <f>"20190312150649137"</f>
        <v>20190312150649137</v>
      </c>
      <c r="B790" t="str">
        <f>"1552374409131152"</f>
        <v>1552374409131152</v>
      </c>
      <c r="C790" t="s">
        <v>40</v>
      </c>
      <c r="D790">
        <v>4.5048629999999896</v>
      </c>
      <c r="E790">
        <v>0.54514549999999995</v>
      </c>
      <c r="F790" t="s">
        <v>44</v>
      </c>
      <c r="G790">
        <v>-228.6842</v>
      </c>
      <c r="H790">
        <v>0.1505792</v>
      </c>
      <c r="I790">
        <v>348.51170000000002</v>
      </c>
      <c r="J790">
        <v>-358.29950000000002</v>
      </c>
      <c r="K790">
        <v>1.110554</v>
      </c>
      <c r="L790">
        <v>367.45499999999998</v>
      </c>
      <c r="M790">
        <v>0.99989380000000005</v>
      </c>
      <c r="N790">
        <v>0</v>
      </c>
      <c r="O790">
        <v>-3.7155090000000001E-3</v>
      </c>
      <c r="P790">
        <v>0.99864850000000005</v>
      </c>
      <c r="Q790">
        <v>4.5058220000000003E-2</v>
      </c>
      <c r="R790">
        <v>-2.5909870000000002E-2</v>
      </c>
      <c r="S790">
        <v>2.993744</v>
      </c>
      <c r="T790">
        <v>-2.2145149999999999E-2</v>
      </c>
      <c r="U790">
        <v>-0.43704219999999999</v>
      </c>
      <c r="V790">
        <v>2.2201100000000001E-2</v>
      </c>
      <c r="W790">
        <v>5.9139360000000002E-2</v>
      </c>
      <c r="X790">
        <v>0.99800279999999997</v>
      </c>
      <c r="Y790">
        <v>0.14077239999999999</v>
      </c>
      <c r="Z790">
        <v>-4.9056540000000002E-4</v>
      </c>
      <c r="AA790">
        <v>0.99004190000000003</v>
      </c>
      <c r="AB790">
        <v>28</v>
      </c>
      <c r="AC790">
        <v>129.61529999999999</v>
      </c>
      <c r="AD790">
        <v>-0.95997479999999902</v>
      </c>
      <c r="AE790">
        <v>-18.943299999999901</v>
      </c>
      <c r="AF790">
        <v>18.460543124376802</v>
      </c>
      <c r="AG790">
        <v>-0.95997479999999902</v>
      </c>
      <c r="AH790">
        <v>129.67783157413399</v>
      </c>
      <c r="AI790">
        <v>90.419906258533302</v>
      </c>
      <c r="AJ790">
        <v>81.897984271885306</v>
      </c>
      <c r="AK790">
        <v>130.98875221114599</v>
      </c>
      <c r="AL790">
        <v>86.609585899317295</v>
      </c>
      <c r="AM790">
        <v>88.725635272923199</v>
      </c>
      <c r="AN790">
        <v>0.99999997077512903</v>
      </c>
    </row>
    <row r="791" spans="1:40" x14ac:dyDescent="0.25">
      <c r="A791" t="str">
        <f>"20190312150649149"</f>
        <v>20190312150649149</v>
      </c>
      <c r="B791" t="str">
        <f>"1552374409140911"</f>
        <v>1552374409140911</v>
      </c>
      <c r="C791" t="s">
        <v>40</v>
      </c>
      <c r="D791">
        <v>4.1741229999999998</v>
      </c>
      <c r="E791">
        <v>0.54536689999999999</v>
      </c>
      <c r="F791" t="s">
        <v>44</v>
      </c>
      <c r="G791">
        <v>-228.99189999999999</v>
      </c>
      <c r="H791">
        <v>0.1539343</v>
      </c>
      <c r="I791">
        <v>348.51170000000002</v>
      </c>
      <c r="J791">
        <v>-358.15109999999999</v>
      </c>
      <c r="K791">
        <v>1.1105560000000001</v>
      </c>
      <c r="L791">
        <v>367.45440000000002</v>
      </c>
      <c r="M791">
        <v>0.99989380000000005</v>
      </c>
      <c r="N791">
        <v>0</v>
      </c>
      <c r="O791">
        <v>-3.7154990000000001E-3</v>
      </c>
      <c r="P791">
        <v>0.99864410000000003</v>
      </c>
      <c r="Q791">
        <v>4.5049800000000001E-2</v>
      </c>
      <c r="R791">
        <v>-2.6099319999999999E-2</v>
      </c>
      <c r="S791">
        <v>2.9936829999999999</v>
      </c>
      <c r="T791">
        <v>-2.214551E-2</v>
      </c>
      <c r="U791">
        <v>-0.43856810000000002</v>
      </c>
      <c r="V791">
        <v>2.2390420000000001E-2</v>
      </c>
      <c r="W791">
        <v>5.9129359999999999E-2</v>
      </c>
      <c r="X791">
        <v>0.99799919999999998</v>
      </c>
      <c r="Y791">
        <v>0.14126939999999999</v>
      </c>
      <c r="Z791">
        <v>-4.9239369999999995E-4</v>
      </c>
      <c r="AA791">
        <v>0.98997100000000005</v>
      </c>
      <c r="AB791">
        <v>28</v>
      </c>
      <c r="AC791">
        <v>129.1592</v>
      </c>
      <c r="AD791">
        <v>-0.95662170000000002</v>
      </c>
      <c r="AE791">
        <v>-18.942699999999999</v>
      </c>
      <c r="AF791">
        <v>18.461639267686799</v>
      </c>
      <c r="AG791">
        <v>-0.95662170000000002</v>
      </c>
      <c r="AH791">
        <v>129.221757458821</v>
      </c>
      <c r="AI791">
        <v>90.419886418363802</v>
      </c>
      <c r="AJ791">
        <v>81.869294440581896</v>
      </c>
      <c r="AK791">
        <v>130.537388706353</v>
      </c>
      <c r="AL791">
        <v>86.610159986728505</v>
      </c>
      <c r="AM791">
        <v>88.714767115882495</v>
      </c>
      <c r="AN791">
        <v>1.0000000076612101</v>
      </c>
    </row>
    <row r="792" spans="1:40" x14ac:dyDescent="0.25">
      <c r="A792" t="str">
        <f>"20190312150649161"</f>
        <v>20190312150649161</v>
      </c>
      <c r="B792" t="str">
        <f>"1552374409151647"</f>
        <v>1552374409151647</v>
      </c>
      <c r="C792" t="s">
        <v>40</v>
      </c>
      <c r="D792">
        <v>4.327909</v>
      </c>
      <c r="E792">
        <v>0.54558379999999995</v>
      </c>
      <c r="F792" t="s">
        <v>44</v>
      </c>
      <c r="G792">
        <v>-229.5634</v>
      </c>
      <c r="H792">
        <v>0.22787830000000001</v>
      </c>
      <c r="I792">
        <v>348.51170000000002</v>
      </c>
      <c r="J792">
        <v>-357.99290000000002</v>
      </c>
      <c r="K792">
        <v>1.110554</v>
      </c>
      <c r="L792">
        <v>367.4538</v>
      </c>
      <c r="M792">
        <v>0.99989380000000005</v>
      </c>
      <c r="N792">
        <v>0</v>
      </c>
      <c r="O792">
        <v>-3.7154879999999999E-3</v>
      </c>
      <c r="P792">
        <v>0.99863840000000004</v>
      </c>
      <c r="Q792">
        <v>4.5066790000000002E-2</v>
      </c>
      <c r="R792">
        <v>-2.628664E-2</v>
      </c>
      <c r="S792">
        <v>2.9934690000000002</v>
      </c>
      <c r="T792">
        <v>-2.0546559999999998E-2</v>
      </c>
      <c r="U792">
        <v>-0.44097900000000001</v>
      </c>
      <c r="V792">
        <v>2.2577719999999999E-2</v>
      </c>
      <c r="W792">
        <v>5.9144599999999999E-2</v>
      </c>
      <c r="X792">
        <v>0.9979941</v>
      </c>
      <c r="Y792">
        <v>0.1420604</v>
      </c>
      <c r="Z792">
        <v>-4.5954840000000003E-4</v>
      </c>
      <c r="AA792">
        <v>0.98985789999999996</v>
      </c>
      <c r="AB792">
        <v>28</v>
      </c>
      <c r="AC792">
        <v>128.42949999999999</v>
      </c>
      <c r="AD792">
        <v>-0.88267569999999995</v>
      </c>
      <c r="AE792">
        <v>-18.9420999999999</v>
      </c>
      <c r="AF792">
        <v>18.463889982933299</v>
      </c>
      <c r="AG792">
        <v>-0.88267569999999995</v>
      </c>
      <c r="AH792">
        <v>128.49305920797801</v>
      </c>
      <c r="AI792">
        <v>90.389582423327298</v>
      </c>
      <c r="AJ792">
        <v>81.822822728759704</v>
      </c>
      <c r="AK792">
        <v>129.81587196609701</v>
      </c>
      <c r="AL792">
        <v>86.609285345355005</v>
      </c>
      <c r="AM792">
        <v>88.7040129363115</v>
      </c>
      <c r="AN792">
        <v>1.0000000303921801</v>
      </c>
    </row>
    <row r="793" spans="1:40" x14ac:dyDescent="0.25">
      <c r="A793" t="str">
        <f>"20190312150649180"</f>
        <v>20190312150649180</v>
      </c>
      <c r="B793" t="str">
        <f>"1552374409171166"</f>
        <v>1552374409171166</v>
      </c>
      <c r="C793" t="s">
        <v>40</v>
      </c>
      <c r="D793">
        <v>4.613022</v>
      </c>
      <c r="E793">
        <v>0.54603819999999903</v>
      </c>
      <c r="F793" t="s">
        <v>44</v>
      </c>
      <c r="G793">
        <v>-230.10720000000001</v>
      </c>
      <c r="H793">
        <v>0.28906799999999999</v>
      </c>
      <c r="I793">
        <v>348.51170000000002</v>
      </c>
      <c r="J793">
        <v>-357.7552</v>
      </c>
      <c r="K793">
        <v>1.1105590000000001</v>
      </c>
      <c r="L793">
        <v>367.45299999999997</v>
      </c>
      <c r="M793">
        <v>0.9998937</v>
      </c>
      <c r="N793">
        <v>0</v>
      </c>
      <c r="O793">
        <v>-3.7154710000000001E-3</v>
      </c>
      <c r="P793">
        <v>0.99861169999999999</v>
      </c>
      <c r="Q793">
        <v>4.5460470000000003E-2</v>
      </c>
      <c r="R793">
        <v>-2.6608320000000001E-2</v>
      </c>
      <c r="S793">
        <v>2.9932859999999999</v>
      </c>
      <c r="T793">
        <v>-1.9225840000000001E-2</v>
      </c>
      <c r="U793">
        <v>-0.44335940000000001</v>
      </c>
      <c r="V793">
        <v>2.289975E-2</v>
      </c>
      <c r="W793">
        <v>5.9535400000000002E-2</v>
      </c>
      <c r="X793">
        <v>0.9979635</v>
      </c>
      <c r="Y793">
        <v>0.14283979999999999</v>
      </c>
      <c r="Z793">
        <v>-4.3250040000000002E-4</v>
      </c>
      <c r="AA793">
        <v>0.98974569999999995</v>
      </c>
      <c r="AB793">
        <v>28</v>
      </c>
      <c r="AC793">
        <v>127.648</v>
      </c>
      <c r="AD793">
        <v>-0.82149099999999997</v>
      </c>
      <c r="AE793">
        <v>-18.941299999999998</v>
      </c>
      <c r="AF793">
        <v>18.466101314326199</v>
      </c>
      <c r="AG793">
        <v>-0.82149099999999997</v>
      </c>
      <c r="AH793">
        <v>127.71232610461701</v>
      </c>
      <c r="AI793">
        <v>90.364748689594094</v>
      </c>
      <c r="AJ793">
        <v>81.772544267106895</v>
      </c>
      <c r="AK793">
        <v>129.04305476958501</v>
      </c>
      <c r="AL793">
        <v>86.586854541292098</v>
      </c>
      <c r="AM793">
        <v>88.685494193571898</v>
      </c>
      <c r="AN793">
        <v>1.00000000486773</v>
      </c>
    </row>
    <row r="794" spans="1:40" x14ac:dyDescent="0.25">
      <c r="A794" t="str">
        <f>"20190312150649194"</f>
        <v>20190312150649194</v>
      </c>
      <c r="B794" t="str">
        <f>"1552374409191662"</f>
        <v>1552374409191662</v>
      </c>
      <c r="C794" t="s">
        <v>40</v>
      </c>
      <c r="D794">
        <v>4.4438199999999997</v>
      </c>
      <c r="E794">
        <v>0.54649060000000005</v>
      </c>
      <c r="F794" t="s">
        <v>44</v>
      </c>
      <c r="G794">
        <v>-231.16319999999999</v>
      </c>
      <c r="H794">
        <v>0.44124770000000002</v>
      </c>
      <c r="I794">
        <v>348.51170000000002</v>
      </c>
      <c r="J794">
        <v>-357.59179999999998</v>
      </c>
      <c r="K794">
        <v>1.1105640000000001</v>
      </c>
      <c r="L794">
        <v>367.45240000000001</v>
      </c>
      <c r="M794">
        <v>0.9998937</v>
      </c>
      <c r="N794">
        <v>0</v>
      </c>
      <c r="O794">
        <v>-3.7154589999999999E-3</v>
      </c>
      <c r="P794">
        <v>0.99859469999999995</v>
      </c>
      <c r="Q794">
        <v>4.5700579999999998E-2</v>
      </c>
      <c r="R794">
        <v>-2.6833760000000002E-2</v>
      </c>
      <c r="S794">
        <v>2.9929199999999998</v>
      </c>
      <c r="T794">
        <v>-1.582217E-2</v>
      </c>
      <c r="U794">
        <v>-0.44781490000000002</v>
      </c>
      <c r="V794">
        <v>2.312525E-2</v>
      </c>
      <c r="W794">
        <v>5.9773859999999998E-2</v>
      </c>
      <c r="X794">
        <v>0.9979441</v>
      </c>
      <c r="Y794">
        <v>0.1442996</v>
      </c>
      <c r="Z794">
        <v>-3.59775E-4</v>
      </c>
      <c r="AA794">
        <v>0.98953400000000002</v>
      </c>
      <c r="AB794">
        <v>28</v>
      </c>
      <c r="AC794">
        <v>126.4286</v>
      </c>
      <c r="AD794">
        <v>-0.66931629999999998</v>
      </c>
      <c r="AE794">
        <v>-18.9407</v>
      </c>
      <c r="AF794">
        <v>18.470275965971499</v>
      </c>
      <c r="AG794">
        <v>-0.66931629999999998</v>
      </c>
      <c r="AH794">
        <v>126.494640156847</v>
      </c>
      <c r="AI794">
        <v>90.299983151609794</v>
      </c>
      <c r="AJ794">
        <v>81.692591878166297</v>
      </c>
      <c r="AK794">
        <v>127.837760724204</v>
      </c>
      <c r="AL794">
        <v>86.573167600175097</v>
      </c>
      <c r="AM794">
        <v>88.672528713937496</v>
      </c>
      <c r="AN794">
        <v>1.00000005912583</v>
      </c>
    </row>
    <row r="795" spans="1:40" x14ac:dyDescent="0.25">
      <c r="A795" t="str">
        <f>"20190312150649207"</f>
        <v>20190312150649207</v>
      </c>
      <c r="B795" t="str">
        <f>"1552374409201423"</f>
        <v>1552374409201423</v>
      </c>
      <c r="C795" t="s">
        <v>40</v>
      </c>
      <c r="D795">
        <v>4.6031620000000002</v>
      </c>
      <c r="E795">
        <v>0.54680660000000003</v>
      </c>
      <c r="F795" t="s">
        <v>44</v>
      </c>
      <c r="G795">
        <v>-232.24039999999999</v>
      </c>
      <c r="H795">
        <v>0.48448730000000001</v>
      </c>
      <c r="I795">
        <v>348.51170000000002</v>
      </c>
      <c r="J795">
        <v>-357.43630000000002</v>
      </c>
      <c r="K795">
        <v>1.1105689999999999</v>
      </c>
      <c r="L795">
        <v>367.45179999999999</v>
      </c>
      <c r="M795">
        <v>0.99989380000000005</v>
      </c>
      <c r="N795">
        <v>0</v>
      </c>
      <c r="O795">
        <v>-3.7156860000000002E-3</v>
      </c>
      <c r="P795">
        <v>0.99860170000000004</v>
      </c>
      <c r="Q795">
        <v>4.5561600000000001E-2</v>
      </c>
      <c r="R795">
        <v>-2.6818660000000001E-2</v>
      </c>
      <c r="S795">
        <v>2.9927670000000002</v>
      </c>
      <c r="T795">
        <v>-1.4945750000000001E-2</v>
      </c>
      <c r="U795">
        <v>-0.45220949999999999</v>
      </c>
      <c r="V795">
        <v>2.3109790000000002E-2</v>
      </c>
      <c r="W795">
        <v>5.963297E-2</v>
      </c>
      <c r="X795">
        <v>0.99795279999999997</v>
      </c>
      <c r="Y795">
        <v>0.14572779999999999</v>
      </c>
      <c r="Z795">
        <v>-3.4337149999999998E-4</v>
      </c>
      <c r="AA795">
        <v>0.98932469999999995</v>
      </c>
      <c r="AB795">
        <v>28</v>
      </c>
      <c r="AC795">
        <v>125.19589999999999</v>
      </c>
      <c r="AD795">
        <v>-0.62608169999999996</v>
      </c>
      <c r="AE795">
        <v>-18.940099999999902</v>
      </c>
      <c r="AF795">
        <v>18.474282707495899</v>
      </c>
      <c r="AG795">
        <v>-0.62608169999999996</v>
      </c>
      <c r="AH795">
        <v>125.26235553997201</v>
      </c>
      <c r="AI795">
        <v>90.283306693418893</v>
      </c>
      <c r="AJ795">
        <v>81.610230151511601</v>
      </c>
      <c r="AK795">
        <v>126.618911759949</v>
      </c>
      <c r="AL795">
        <v>86.581254130380799</v>
      </c>
      <c r="AM795">
        <v>88.6734274163056</v>
      </c>
      <c r="AN795">
        <v>0.99999997226635196</v>
      </c>
    </row>
    <row r="796" spans="1:40" x14ac:dyDescent="0.25">
      <c r="A796" t="str">
        <f>"20190312150649218"</f>
        <v>20190312150649218</v>
      </c>
      <c r="B796" t="str">
        <f>"1552374409211183"</f>
        <v>1552374409211183</v>
      </c>
      <c r="C796" t="s">
        <v>40</v>
      </c>
      <c r="D796">
        <v>4.5879279999999998</v>
      </c>
      <c r="E796">
        <v>0.54707519999999998</v>
      </c>
      <c r="F796" t="s">
        <v>44</v>
      </c>
      <c r="G796">
        <v>-232.7449</v>
      </c>
      <c r="H796">
        <v>0.43345430000000001</v>
      </c>
      <c r="I796">
        <v>348.51170000000002</v>
      </c>
      <c r="J796">
        <v>-357.28539999999998</v>
      </c>
      <c r="K796">
        <v>1.110573</v>
      </c>
      <c r="L796">
        <v>367.4513</v>
      </c>
      <c r="M796">
        <v>0.99989380000000005</v>
      </c>
      <c r="N796">
        <v>0</v>
      </c>
      <c r="O796">
        <v>-3.7156749999999999E-3</v>
      </c>
      <c r="P796">
        <v>0.9985889</v>
      </c>
      <c r="Q796">
        <v>4.572992E-2</v>
      </c>
      <c r="R796">
        <v>-2.700346E-2</v>
      </c>
      <c r="S796">
        <v>2.9927670000000002</v>
      </c>
      <c r="T796">
        <v>-1.6249779999999998E-2</v>
      </c>
      <c r="U796">
        <v>-0.45458979999999999</v>
      </c>
      <c r="V796">
        <v>2.3294820000000001E-2</v>
      </c>
      <c r="W796">
        <v>5.9799570000000003E-2</v>
      </c>
      <c r="X796">
        <v>0.99793860000000001</v>
      </c>
      <c r="Y796">
        <v>0.1464966</v>
      </c>
      <c r="Z796">
        <v>-3.753839E-4</v>
      </c>
      <c r="AA796">
        <v>0.98921110000000001</v>
      </c>
      <c r="AB796">
        <v>28</v>
      </c>
      <c r="AC796">
        <v>124.540499999999</v>
      </c>
      <c r="AD796">
        <v>-0.67711869999999996</v>
      </c>
      <c r="AE796">
        <v>-18.939599999999899</v>
      </c>
      <c r="AF796">
        <v>18.476137440763999</v>
      </c>
      <c r="AG796">
        <v>-0.67711869999999996</v>
      </c>
      <c r="AH796">
        <v>124.606420356058</v>
      </c>
      <c r="AI796">
        <v>90.307978510919398</v>
      </c>
      <c r="AJ796">
        <v>81.565864927764693</v>
      </c>
      <c r="AK796">
        <v>125.970576478853</v>
      </c>
      <c r="AL796">
        <v>86.571691831622502</v>
      </c>
      <c r="AM796">
        <v>88.662790949398897</v>
      </c>
      <c r="AN796">
        <v>1.0000000432904801</v>
      </c>
    </row>
    <row r="797" spans="1:40" x14ac:dyDescent="0.25">
      <c r="A797" t="str">
        <f>"20190312150649230"</f>
        <v>20190312150649230</v>
      </c>
      <c r="B797" t="str">
        <f>"1552374409220943"</f>
        <v>1552374409220943</v>
      </c>
      <c r="C797" t="s">
        <v>40</v>
      </c>
      <c r="D797">
        <v>4.4840410000000004</v>
      </c>
      <c r="E797">
        <v>0.54730570000000001</v>
      </c>
      <c r="F797" t="s">
        <v>44</v>
      </c>
      <c r="G797">
        <v>-233.32669999999999</v>
      </c>
      <c r="H797">
        <v>0.40794350000000001</v>
      </c>
      <c r="I797">
        <v>348.51170000000002</v>
      </c>
      <c r="J797">
        <v>-357.13709999999998</v>
      </c>
      <c r="K797">
        <v>1.1105780000000001</v>
      </c>
      <c r="L797">
        <v>367.45069999999998</v>
      </c>
      <c r="M797">
        <v>0.99989380000000005</v>
      </c>
      <c r="N797">
        <v>0</v>
      </c>
      <c r="O797">
        <v>-3.715426E-3</v>
      </c>
      <c r="P797">
        <v>0.9985695</v>
      </c>
      <c r="Q797">
        <v>4.6059349999999999E-2</v>
      </c>
      <c r="R797">
        <v>-2.7156199999999998E-2</v>
      </c>
      <c r="S797">
        <v>2.992645</v>
      </c>
      <c r="T797">
        <v>-1.6961219999999999E-2</v>
      </c>
      <c r="U797">
        <v>-0.45724490000000001</v>
      </c>
      <c r="V797">
        <v>2.3447860000000001E-2</v>
      </c>
      <c r="W797">
        <v>6.012704E-2</v>
      </c>
      <c r="X797">
        <v>0.99791529999999995</v>
      </c>
      <c r="Y797">
        <v>0.147360299999999</v>
      </c>
      <c r="Z797">
        <v>-3.9424309999999999E-4</v>
      </c>
      <c r="AA797">
        <v>0.98908280000000004</v>
      </c>
      <c r="AB797">
        <v>28</v>
      </c>
      <c r="AC797">
        <v>123.8104</v>
      </c>
      <c r="AD797">
        <v>-0.70263450000000005</v>
      </c>
      <c r="AE797">
        <v>-18.938999999999901</v>
      </c>
      <c r="AF797">
        <v>18.478233677753298</v>
      </c>
      <c r="AG797">
        <v>-0.70263450000000005</v>
      </c>
      <c r="AH797">
        <v>123.876020300287</v>
      </c>
      <c r="AI797">
        <v>90.321426414612006</v>
      </c>
      <c r="AJ797">
        <v>81.515908474379401</v>
      </c>
      <c r="AK797">
        <v>125.248581710642</v>
      </c>
      <c r="AL797">
        <v>86.5528952269418</v>
      </c>
      <c r="AM797">
        <v>88.653977691609896</v>
      </c>
      <c r="AN797">
        <v>1.0000000045259101</v>
      </c>
    </row>
    <row r="798" spans="1:40" x14ac:dyDescent="0.25">
      <c r="A798" t="str">
        <f>"20190312150649246"</f>
        <v>20190312150649246</v>
      </c>
      <c r="B798" t="str">
        <f>"1552374409241438"</f>
        <v>1552374409241438</v>
      </c>
      <c r="C798" t="s">
        <v>40</v>
      </c>
      <c r="D798">
        <v>4.6008110000000002</v>
      </c>
      <c r="E798">
        <v>0.54777679999999995</v>
      </c>
      <c r="F798" t="s">
        <v>44</v>
      </c>
      <c r="G798">
        <v>-233.76349999999999</v>
      </c>
      <c r="H798">
        <v>0.44088339999999998</v>
      </c>
      <c r="I798">
        <v>348.51170000000002</v>
      </c>
      <c r="J798">
        <v>-356.94229999999999</v>
      </c>
      <c r="K798">
        <v>1.1105849999999999</v>
      </c>
      <c r="L798">
        <v>367.45</v>
      </c>
      <c r="M798">
        <v>0.99989380000000005</v>
      </c>
      <c r="N798">
        <v>0</v>
      </c>
      <c r="O798">
        <v>-3.7154110000000001E-3</v>
      </c>
      <c r="P798">
        <v>0.99854160000000003</v>
      </c>
      <c r="Q798">
        <v>4.6351099999999999E-2</v>
      </c>
      <c r="R798">
        <v>-2.7681549999999999E-2</v>
      </c>
      <c r="S798">
        <v>2.9925229999999998</v>
      </c>
      <c r="T798">
        <v>-1.6242030000000001E-2</v>
      </c>
      <c r="U798">
        <v>-0.45938109999999999</v>
      </c>
      <c r="V798">
        <v>2.3973370000000001E-2</v>
      </c>
      <c r="W798">
        <v>6.0416419999999998E-2</v>
      </c>
      <c r="X798">
        <v>0.99788529999999998</v>
      </c>
      <c r="Y798">
        <v>0.14805639999999901</v>
      </c>
      <c r="Z798">
        <v>-3.7939970000000001E-4</v>
      </c>
      <c r="AA798">
        <v>0.98897889999999999</v>
      </c>
      <c r="AB798">
        <v>28</v>
      </c>
      <c r="AC798">
        <v>123.1788</v>
      </c>
      <c r="AD798">
        <v>-0.66970160000000001</v>
      </c>
      <c r="AE798">
        <v>-18.938299999999899</v>
      </c>
      <c r="AF798">
        <v>18.479930306017401</v>
      </c>
      <c r="AG798">
        <v>-0.66970160000000001</v>
      </c>
      <c r="AH798">
        <v>123.24476131098</v>
      </c>
      <c r="AI798">
        <v>90.307895377167497</v>
      </c>
      <c r="AJ798">
        <v>81.472318807787801</v>
      </c>
      <c r="AK798">
        <v>124.624345594866</v>
      </c>
      <c r="AL798">
        <v>86.536284653794596</v>
      </c>
      <c r="AM798">
        <v>88.623780953946806</v>
      </c>
      <c r="AN798">
        <v>0.99999996911543099</v>
      </c>
    </row>
    <row r="799" spans="1:40" x14ac:dyDescent="0.25">
      <c r="A799" t="str">
        <f>"20190312150649258"</f>
        <v>20190312150649258</v>
      </c>
      <c r="B799" t="str">
        <f>"1552374409251198"</f>
        <v>1552374409251198</v>
      </c>
      <c r="C799" t="s">
        <v>40</v>
      </c>
      <c r="D799">
        <v>4.3118819999999998</v>
      </c>
      <c r="E799">
        <v>0.54794259999999995</v>
      </c>
      <c r="F799" t="s">
        <v>44</v>
      </c>
      <c r="G799">
        <v>-235.00360000000001</v>
      </c>
      <c r="H799">
        <v>0.48400660000000001</v>
      </c>
      <c r="I799">
        <v>348.51170000000002</v>
      </c>
      <c r="J799">
        <v>-356.79469999999998</v>
      </c>
      <c r="K799">
        <v>1.1105849999999999</v>
      </c>
      <c r="L799">
        <v>367.44940000000003</v>
      </c>
      <c r="M799">
        <v>0.99989380000000005</v>
      </c>
      <c r="N799">
        <v>0</v>
      </c>
      <c r="O799">
        <v>-3.715281E-3</v>
      </c>
      <c r="P799">
        <v>0.99853550000000002</v>
      </c>
      <c r="Q799">
        <v>4.631565E-2</v>
      </c>
      <c r="R799">
        <v>-2.795957E-2</v>
      </c>
      <c r="S799">
        <v>2.9922179999999998</v>
      </c>
      <c r="T799">
        <v>-1.537347E-2</v>
      </c>
      <c r="U799">
        <v>-0.46472170000000002</v>
      </c>
      <c r="V799">
        <v>2.4251519999999999E-2</v>
      </c>
      <c r="W799">
        <v>6.0379299999999997E-2</v>
      </c>
      <c r="X799">
        <v>0.99788089999999996</v>
      </c>
      <c r="Y799">
        <v>0.1497956</v>
      </c>
      <c r="Z799">
        <v>-3.635407E-4</v>
      </c>
      <c r="AA799">
        <v>0.98871690000000001</v>
      </c>
      <c r="AB799">
        <v>28</v>
      </c>
      <c r="AC799">
        <v>121.79109999999901</v>
      </c>
      <c r="AD799">
        <v>-0.62657839999999998</v>
      </c>
      <c r="AE799">
        <v>-18.9377</v>
      </c>
      <c r="AF799">
        <v>18.484558478957801</v>
      </c>
      <c r="AG799">
        <v>-0.62657839999999998</v>
      </c>
      <c r="AH799">
        <v>121.857475961847</v>
      </c>
      <c r="AI799">
        <v>90.291274338275798</v>
      </c>
      <c r="AJ799">
        <v>81.374559753641293</v>
      </c>
      <c r="AK799">
        <v>123.253056556199</v>
      </c>
      <c r="AL799">
        <v>86.538415620295694</v>
      </c>
      <c r="AM799">
        <v>88.607813543195704</v>
      </c>
      <c r="AN799">
        <v>1.0000000433378</v>
      </c>
    </row>
    <row r="800" spans="1:40" x14ac:dyDescent="0.25">
      <c r="A800" t="str">
        <f>"20190312150649268"</f>
        <v>20190312150649268</v>
      </c>
      <c r="B800" t="str">
        <f>"1552374409260959"</f>
        <v>1552374409260959</v>
      </c>
      <c r="C800" t="s">
        <v>40</v>
      </c>
      <c r="D800">
        <v>4.5853299999999999</v>
      </c>
      <c r="E800">
        <v>0.54811560000000004</v>
      </c>
      <c r="F800" t="s">
        <v>44</v>
      </c>
      <c r="G800">
        <v>-235.40110000000001</v>
      </c>
      <c r="H800">
        <v>0.49167420000000001</v>
      </c>
      <c r="I800">
        <v>348.51170000000002</v>
      </c>
      <c r="J800">
        <v>-356.65899999999999</v>
      </c>
      <c r="K800">
        <v>1.110587</v>
      </c>
      <c r="L800">
        <v>367.44889999999998</v>
      </c>
      <c r="M800">
        <v>0.99989399999999995</v>
      </c>
      <c r="N800">
        <v>0</v>
      </c>
      <c r="O800">
        <v>-3.7153899999999998E-3</v>
      </c>
      <c r="P800">
        <v>0.99852989999999997</v>
      </c>
      <c r="Q800">
        <v>4.6157669999999998E-2</v>
      </c>
      <c r="R800">
        <v>-2.8417890000000001E-2</v>
      </c>
      <c r="S800">
        <v>2.992035</v>
      </c>
      <c r="T800">
        <v>-1.525259E-2</v>
      </c>
      <c r="U800">
        <v>-0.46676640000000003</v>
      </c>
      <c r="V800">
        <v>2.4709809999999999E-2</v>
      </c>
      <c r="W800">
        <v>6.0219849999999998E-2</v>
      </c>
      <c r="X800">
        <v>0.99787930000000002</v>
      </c>
      <c r="Y800">
        <v>0.150464299999999</v>
      </c>
      <c r="Z800">
        <v>-3.6237900000000002E-4</v>
      </c>
      <c r="AA800">
        <v>0.98861540000000003</v>
      </c>
      <c r="AB800">
        <v>28</v>
      </c>
      <c r="AC800">
        <v>121.257899999999</v>
      </c>
      <c r="AD800">
        <v>-0.61891279999999904</v>
      </c>
      <c r="AE800">
        <v>-18.937199999999901</v>
      </c>
      <c r="AF800">
        <v>18.486034099844101</v>
      </c>
      <c r="AG800">
        <v>-0.61891279999999904</v>
      </c>
      <c r="AH800">
        <v>121.32434348730401</v>
      </c>
      <c r="AI800">
        <v>90.288946046329798</v>
      </c>
      <c r="AJ800">
        <v>81.336549906679195</v>
      </c>
      <c r="AK800">
        <v>122.726170120394</v>
      </c>
      <c r="AL800">
        <v>86.5475681136638</v>
      </c>
      <c r="AM800">
        <v>88.581513253214894</v>
      </c>
      <c r="AN800">
        <v>1.00000005120637</v>
      </c>
    </row>
    <row r="801" spans="1:40" x14ac:dyDescent="0.25">
      <c r="A801" t="str">
        <f>"20190312150649279"</f>
        <v>20190312150649279</v>
      </c>
      <c r="B801" t="str">
        <f>"1552374409271695"</f>
        <v>1552374409271695</v>
      </c>
      <c r="C801" t="s">
        <v>40</v>
      </c>
      <c r="D801">
        <v>4.5066949999999997</v>
      </c>
      <c r="E801">
        <v>0.54826409999999903</v>
      </c>
      <c r="F801" t="s">
        <v>44</v>
      </c>
      <c r="G801">
        <v>-236.01490000000001</v>
      </c>
      <c r="H801">
        <v>0.5101869</v>
      </c>
      <c r="I801">
        <v>348.51170000000002</v>
      </c>
      <c r="J801">
        <v>-356.5163</v>
      </c>
      <c r="K801">
        <v>1.11059</v>
      </c>
      <c r="L801">
        <v>367.44839999999999</v>
      </c>
      <c r="M801">
        <v>0.99989399999999995</v>
      </c>
      <c r="N801">
        <v>0</v>
      </c>
      <c r="O801">
        <v>-3.7153799999999999E-3</v>
      </c>
      <c r="P801">
        <v>0.99852320000000006</v>
      </c>
      <c r="Q801">
        <v>4.6125489999999998E-2</v>
      </c>
      <c r="R801">
        <v>-2.8706039999999999E-2</v>
      </c>
      <c r="S801">
        <v>2.99173</v>
      </c>
      <c r="T801">
        <v>-1.4886740000000001E-2</v>
      </c>
      <c r="U801">
        <v>-0.46960449999999998</v>
      </c>
      <c r="V801">
        <v>2.499782E-2</v>
      </c>
      <c r="W801">
        <v>6.018606E-2</v>
      </c>
      <c r="X801">
        <v>0.99787409999999999</v>
      </c>
      <c r="Y801">
        <v>0.15139520000000001</v>
      </c>
      <c r="Z801">
        <v>-3.5599870000000002E-4</v>
      </c>
      <c r="AA801">
        <v>0.98847320000000005</v>
      </c>
      <c r="AB801">
        <v>28</v>
      </c>
      <c r="AC801">
        <v>120.5014</v>
      </c>
      <c r="AD801">
        <v>-0.60040309999999897</v>
      </c>
      <c r="AE801">
        <v>-18.936699999999899</v>
      </c>
      <c r="AF801">
        <v>18.488368484496501</v>
      </c>
      <c r="AG801">
        <v>-0.60040309999999897</v>
      </c>
      <c r="AH801">
        <v>120.568011089452</v>
      </c>
      <c r="AI801">
        <v>90.282021998684201</v>
      </c>
      <c r="AJ801">
        <v>81.281951774104797</v>
      </c>
      <c r="AK801">
        <v>121.978791399027</v>
      </c>
      <c r="AL801">
        <v>86.549507431185802</v>
      </c>
      <c r="AM801">
        <v>88.564979203485393</v>
      </c>
      <c r="AN801">
        <v>0.99999998613694296</v>
      </c>
    </row>
    <row r="802" spans="1:40" x14ac:dyDescent="0.25">
      <c r="A802" t="str">
        <f>"20190312150649291"</f>
        <v>20190312150649291</v>
      </c>
      <c r="B802" t="str">
        <f>"1552374409281455"</f>
        <v>1552374409281455</v>
      </c>
      <c r="C802" t="s">
        <v>40</v>
      </c>
      <c r="D802">
        <v>4.2510139999999996</v>
      </c>
      <c r="E802">
        <v>0.54840819999999901</v>
      </c>
      <c r="F802" t="s">
        <v>44</v>
      </c>
      <c r="G802">
        <v>-236.44470000000001</v>
      </c>
      <c r="H802">
        <v>0.52471519999999905</v>
      </c>
      <c r="I802">
        <v>348.51170000000002</v>
      </c>
      <c r="J802">
        <v>-356.37759999999997</v>
      </c>
      <c r="K802">
        <v>1.110589</v>
      </c>
      <c r="L802">
        <v>367.4479</v>
      </c>
      <c r="M802">
        <v>0.99989399999999995</v>
      </c>
      <c r="N802">
        <v>0</v>
      </c>
      <c r="O802">
        <v>-3.715608E-3</v>
      </c>
      <c r="P802">
        <v>0.99850890000000003</v>
      </c>
      <c r="Q802">
        <v>4.6141160000000001E-2</v>
      </c>
      <c r="R802">
        <v>-2.9171369999999999E-2</v>
      </c>
      <c r="S802">
        <v>2.9915470000000002</v>
      </c>
      <c r="T802">
        <v>-1.4594909999999999E-2</v>
      </c>
      <c r="U802">
        <v>-0.47180179999999999</v>
      </c>
      <c r="V802">
        <v>2.5463110000000001E-2</v>
      </c>
      <c r="W802">
        <v>6.0199870000000003E-2</v>
      </c>
      <c r="X802">
        <v>0.99786149999999996</v>
      </c>
      <c r="Y802">
        <v>0.15211269999999999</v>
      </c>
      <c r="Z802">
        <v>-3.507599E-4</v>
      </c>
      <c r="AA802">
        <v>0.98836310000000005</v>
      </c>
      <c r="AB802">
        <v>28</v>
      </c>
      <c r="AC802">
        <v>119.93289999999899</v>
      </c>
      <c r="AD802">
        <v>-0.5858738</v>
      </c>
      <c r="AE802">
        <v>-18.9361999999999</v>
      </c>
      <c r="AF802">
        <v>18.489970952028202</v>
      </c>
      <c r="AG802">
        <v>-0.5858738</v>
      </c>
      <c r="AH802">
        <v>119.999644477801</v>
      </c>
      <c r="AI802">
        <v>90.276470102844897</v>
      </c>
      <c r="AJ802">
        <v>81.240551031398198</v>
      </c>
      <c r="AK802">
        <v>121.41720202967601</v>
      </c>
      <c r="AL802">
        <v>86.548714730872405</v>
      </c>
      <c r="AM802">
        <v>88.538261874522206</v>
      </c>
      <c r="AN802">
        <v>0.99999998375056898</v>
      </c>
    </row>
    <row r="803" spans="1:40" x14ac:dyDescent="0.25">
      <c r="A803" t="str">
        <f>"20190312150649301"</f>
        <v>20190312150649301</v>
      </c>
      <c r="B803" t="str">
        <f>"1552374409291215"</f>
        <v>1552374409291215</v>
      </c>
      <c r="C803" t="s">
        <v>40</v>
      </c>
      <c r="D803">
        <v>4.5704570000000002</v>
      </c>
      <c r="E803">
        <v>0.54852119999999904</v>
      </c>
      <c r="F803" t="s">
        <v>44</v>
      </c>
      <c r="G803">
        <v>-236.99189999999999</v>
      </c>
      <c r="H803">
        <v>0.53545359999999997</v>
      </c>
      <c r="I803">
        <v>348.51170000000002</v>
      </c>
      <c r="J803">
        <v>-356.24029999999999</v>
      </c>
      <c r="K803">
        <v>1.110592</v>
      </c>
      <c r="L803">
        <v>367.44729999999998</v>
      </c>
      <c r="M803">
        <v>0.99989399999999995</v>
      </c>
      <c r="N803">
        <v>0</v>
      </c>
      <c r="O803">
        <v>-3.7153590000000001E-3</v>
      </c>
      <c r="P803">
        <v>0.99851310000000004</v>
      </c>
      <c r="Q803">
        <v>4.5883359999999998E-2</v>
      </c>
      <c r="R803">
        <v>-2.943459E-2</v>
      </c>
      <c r="S803">
        <v>2.9912719999999999</v>
      </c>
      <c r="T803">
        <v>-1.440835E-2</v>
      </c>
      <c r="U803">
        <v>-0.47445680000000001</v>
      </c>
      <c r="V803">
        <v>2.5726479999999999E-2</v>
      </c>
      <c r="W803">
        <v>5.9940930000000003E-2</v>
      </c>
      <c r="X803">
        <v>0.99787029999999999</v>
      </c>
      <c r="Y803">
        <v>0.1529828</v>
      </c>
      <c r="Z803">
        <v>-3.4836739999999898E-4</v>
      </c>
      <c r="AA803">
        <v>0.98822880000000002</v>
      </c>
      <c r="AB803">
        <v>28</v>
      </c>
      <c r="AC803">
        <v>119.2484</v>
      </c>
      <c r="AD803">
        <v>-0.57513840000000005</v>
      </c>
      <c r="AE803">
        <v>-18.935599999999901</v>
      </c>
      <c r="AF803">
        <v>18.491955182383101</v>
      </c>
      <c r="AG803">
        <v>-0.57513840000000005</v>
      </c>
      <c r="AH803">
        <v>119.315229110158</v>
      </c>
      <c r="AI803">
        <v>90.272923921639105</v>
      </c>
      <c r="AJ803">
        <v>81.190160499246701</v>
      </c>
      <c r="AK803">
        <v>120.741074569742</v>
      </c>
      <c r="AL803">
        <v>86.563577628928101</v>
      </c>
      <c r="AM803">
        <v>88.523162506818494</v>
      </c>
      <c r="AN803">
        <v>0.99999995124227103</v>
      </c>
    </row>
    <row r="804" spans="1:40" x14ac:dyDescent="0.25">
      <c r="A804" t="str">
        <f>"20190312150649313"</f>
        <v>20190312150649313</v>
      </c>
      <c r="B804" t="str">
        <f>"1552374409300975"</f>
        <v>1552374409300975</v>
      </c>
      <c r="C804" t="s">
        <v>40</v>
      </c>
      <c r="D804">
        <v>4.3810979999999997</v>
      </c>
      <c r="E804">
        <v>0.54858430000000002</v>
      </c>
      <c r="F804" t="s">
        <v>44</v>
      </c>
      <c r="G804">
        <v>-237.26329999999999</v>
      </c>
      <c r="H804">
        <v>0.51628469999999904</v>
      </c>
      <c r="I804">
        <v>348.51170000000002</v>
      </c>
      <c r="J804">
        <v>-356.10309999999998</v>
      </c>
      <c r="K804">
        <v>1.110592</v>
      </c>
      <c r="L804">
        <v>367.4468</v>
      </c>
      <c r="M804">
        <v>0.99989410000000001</v>
      </c>
      <c r="N804">
        <v>0</v>
      </c>
      <c r="O804">
        <v>-3.7153500000000001E-3</v>
      </c>
      <c r="P804">
        <v>0.99849829999999995</v>
      </c>
      <c r="Q804">
        <v>4.6001239999999999E-2</v>
      </c>
      <c r="R804">
        <v>-2.9758529999999998E-2</v>
      </c>
      <c r="S804">
        <v>2.9910890000000001</v>
      </c>
      <c r="T804">
        <v>-1.4938949999999999E-2</v>
      </c>
      <c r="U804">
        <v>-0.47604370000000001</v>
      </c>
      <c r="V804">
        <v>2.605041E-2</v>
      </c>
      <c r="W804">
        <v>6.0057069999999997E-2</v>
      </c>
      <c r="X804">
        <v>0.99785489999999999</v>
      </c>
      <c r="Y804">
        <v>0.15350339999999901</v>
      </c>
      <c r="Z804">
        <v>-3.6249509999999998E-4</v>
      </c>
      <c r="AA804">
        <v>0.98814800000000003</v>
      </c>
      <c r="AB804">
        <v>28</v>
      </c>
      <c r="AC804">
        <v>118.8398</v>
      </c>
      <c r="AD804">
        <v>-0.59430729999999998</v>
      </c>
      <c r="AE804">
        <v>-18.935099999999899</v>
      </c>
      <c r="AF804">
        <v>18.4929430780163</v>
      </c>
      <c r="AG804">
        <v>-0.59430729999999998</v>
      </c>
      <c r="AH804">
        <v>118.906436982496</v>
      </c>
      <c r="AI804">
        <v>90.282966447704695</v>
      </c>
      <c r="AJ804">
        <v>81.159885631811306</v>
      </c>
      <c r="AK804">
        <v>120.337371172574</v>
      </c>
      <c r="AL804">
        <v>86.556911242958606</v>
      </c>
      <c r="AM804">
        <v>88.504552515748998</v>
      </c>
      <c r="AN804">
        <v>0.99999993848607904</v>
      </c>
    </row>
    <row r="805" spans="1:40" x14ac:dyDescent="0.25">
      <c r="A805" t="str">
        <f>"20190312150649326"</f>
        <v>20190312150649326</v>
      </c>
      <c r="B805" t="str">
        <f>"1552374409321471"</f>
        <v>1552374409321471</v>
      </c>
      <c r="C805" t="s">
        <v>40</v>
      </c>
      <c r="D805">
        <v>4.4506560000000004</v>
      </c>
      <c r="E805">
        <v>0.54861300000000002</v>
      </c>
      <c r="F805" t="s">
        <v>44</v>
      </c>
      <c r="G805">
        <v>-237.56229999999999</v>
      </c>
      <c r="H805">
        <v>0.40537430000000002</v>
      </c>
      <c r="I805">
        <v>348.51170000000002</v>
      </c>
      <c r="J805">
        <v>-355.95389999999998</v>
      </c>
      <c r="K805">
        <v>1.1105910000000001</v>
      </c>
      <c r="L805">
        <v>367.44630000000001</v>
      </c>
      <c r="M805">
        <v>0.9998939</v>
      </c>
      <c r="N805">
        <v>0</v>
      </c>
      <c r="O805">
        <v>-3.71522E-3</v>
      </c>
      <c r="P805">
        <v>0.99848360000000003</v>
      </c>
      <c r="Q805">
        <v>4.6222010000000001E-2</v>
      </c>
      <c r="R805">
        <v>-2.9901799999999999E-2</v>
      </c>
      <c r="S805">
        <v>2.9910890000000001</v>
      </c>
      <c r="T805">
        <v>-1.779246E-2</v>
      </c>
      <c r="U805">
        <v>-0.47778320000000002</v>
      </c>
      <c r="V805">
        <v>2.6193859999999999E-2</v>
      </c>
      <c r="W805">
        <v>6.027602E-2</v>
      </c>
      <c r="X805">
        <v>0.997838</v>
      </c>
      <c r="Y805">
        <v>0.15406310000000001</v>
      </c>
      <c r="Z805">
        <v>-4.3337019999999999E-4</v>
      </c>
      <c r="AA805">
        <v>0.98806090000000002</v>
      </c>
      <c r="AB805">
        <v>28</v>
      </c>
      <c r="AC805">
        <v>118.391599999999</v>
      </c>
      <c r="AD805">
        <v>-0.70521669999999903</v>
      </c>
      <c r="AE805">
        <v>-18.9345999999999</v>
      </c>
      <c r="AF805">
        <v>18.493934992049098</v>
      </c>
      <c r="AG805">
        <v>-0.70521669999999903</v>
      </c>
      <c r="AH805">
        <v>118.457037725318</v>
      </c>
      <c r="AI805">
        <v>90.337015558022799</v>
      </c>
      <c r="AJ805">
        <v>81.126412549973296</v>
      </c>
      <c r="AK805">
        <v>119.894089715638</v>
      </c>
      <c r="AL805">
        <v>86.544343760516497</v>
      </c>
      <c r="AM805">
        <v>88.496295952809007</v>
      </c>
      <c r="AN805">
        <v>0.99999999556636998</v>
      </c>
    </row>
    <row r="806" spans="1:40" x14ac:dyDescent="0.25">
      <c r="A806" t="str">
        <f>"20190312150649337"</f>
        <v>20190312150649337</v>
      </c>
      <c r="B806" t="str">
        <f>"1552374409331231"</f>
        <v>1552374409331231</v>
      </c>
      <c r="C806" t="s">
        <v>40</v>
      </c>
      <c r="D806">
        <v>4.3532529999999996</v>
      </c>
      <c r="E806">
        <v>0.5485833</v>
      </c>
      <c r="F806" t="s">
        <v>44</v>
      </c>
      <c r="G806">
        <v>-237.55029999999999</v>
      </c>
      <c r="H806">
        <v>0.33265660000000002</v>
      </c>
      <c r="I806">
        <v>348.51170000000002</v>
      </c>
      <c r="J806">
        <v>-355.81400000000002</v>
      </c>
      <c r="K806">
        <v>1.1105929999999999</v>
      </c>
      <c r="L806">
        <v>367.44580000000002</v>
      </c>
      <c r="M806">
        <v>0.99989399999999995</v>
      </c>
      <c r="N806">
        <v>0</v>
      </c>
      <c r="O806">
        <v>-3.71521E-3</v>
      </c>
      <c r="P806">
        <v>0.99848809999999999</v>
      </c>
      <c r="Q806">
        <v>4.6135490000000001E-2</v>
      </c>
      <c r="R806">
        <v>-2.9883489999999999E-2</v>
      </c>
      <c r="S806">
        <v>2.9911500000000002</v>
      </c>
      <c r="T806">
        <v>-1.9650460000000002E-2</v>
      </c>
      <c r="U806">
        <v>-0.47833249999999999</v>
      </c>
      <c r="V806">
        <v>2.6175589999999999E-2</v>
      </c>
      <c r="W806">
        <v>6.0188440000000003E-2</v>
      </c>
      <c r="X806">
        <v>0.9978437</v>
      </c>
      <c r="Y806">
        <v>0.15423629999999999</v>
      </c>
      <c r="Z806">
        <v>-4.791733E-4</v>
      </c>
      <c r="AA806">
        <v>0.98803390000000002</v>
      </c>
      <c r="AB806">
        <v>28</v>
      </c>
      <c r="AC806">
        <v>118.2637</v>
      </c>
      <c r="AD806">
        <v>-0.77793639999999997</v>
      </c>
      <c r="AE806">
        <v>-18.934100000000001</v>
      </c>
      <c r="AF806">
        <v>18.4937710521158</v>
      </c>
      <c r="AG806">
        <v>-0.77793639999999997</v>
      </c>
      <c r="AH806">
        <v>118.328242694963</v>
      </c>
      <c r="AI806">
        <v>90.372161674277194</v>
      </c>
      <c r="AJ806">
        <v>81.116985484557304</v>
      </c>
      <c r="AK806">
        <v>119.767265027004</v>
      </c>
      <c r="AL806">
        <v>86.549370624675703</v>
      </c>
      <c r="AM806">
        <v>88.497352872581899</v>
      </c>
      <c r="AN806">
        <v>0.99999992972558305</v>
      </c>
    </row>
    <row r="807" spans="1:40" x14ac:dyDescent="0.25">
      <c r="A807" t="str">
        <f>"20190312150649347"</f>
        <v>20190312150649347</v>
      </c>
      <c r="B807" t="str">
        <f>"1552374409340990"</f>
        <v>1552374409340990</v>
      </c>
      <c r="C807" t="s">
        <v>40</v>
      </c>
      <c r="D807">
        <v>4.4260900000000003</v>
      </c>
      <c r="E807">
        <v>0.54853819999999998</v>
      </c>
      <c r="F807" t="s">
        <v>44</v>
      </c>
      <c r="G807">
        <v>-237.39609999999999</v>
      </c>
      <c r="H807">
        <v>0.25127579999999999</v>
      </c>
      <c r="I807">
        <v>348.51170000000002</v>
      </c>
      <c r="J807">
        <v>-355.68669999999997</v>
      </c>
      <c r="K807">
        <v>1.1105940000000001</v>
      </c>
      <c r="L807">
        <v>367.44529999999997</v>
      </c>
      <c r="M807">
        <v>0.99989399999999995</v>
      </c>
      <c r="N807">
        <v>0</v>
      </c>
      <c r="O807">
        <v>-3.715201E-3</v>
      </c>
      <c r="P807">
        <v>0.9984826</v>
      </c>
      <c r="Q807">
        <v>4.6159409999999998E-2</v>
      </c>
      <c r="R807">
        <v>-3.0025719999999999E-2</v>
      </c>
      <c r="S807">
        <v>2.9912109999999998</v>
      </c>
      <c r="T807">
        <v>-2.17042E-2</v>
      </c>
      <c r="U807">
        <v>-0.47827150000000002</v>
      </c>
      <c r="V807">
        <v>2.6318009999999999E-2</v>
      </c>
      <c r="W807">
        <v>6.0210800000000002E-2</v>
      </c>
      <c r="X807">
        <v>0.99783869999999997</v>
      </c>
      <c r="Y807">
        <v>0.15421290000000001</v>
      </c>
      <c r="Z807">
        <v>-5.2915790000000002E-4</v>
      </c>
      <c r="AA807">
        <v>0.98803750000000001</v>
      </c>
      <c r="AB807">
        <v>28</v>
      </c>
      <c r="AC807">
        <v>118.290599999999</v>
      </c>
      <c r="AD807">
        <v>-0.85931820000000003</v>
      </c>
      <c r="AE807">
        <v>-18.933599999999899</v>
      </c>
      <c r="AF807">
        <v>18.493000851632701</v>
      </c>
      <c r="AG807">
        <v>-0.85931820000000003</v>
      </c>
      <c r="AH807">
        <v>118.35404274997001</v>
      </c>
      <c r="AI807">
        <v>90.411006062989202</v>
      </c>
      <c r="AJ807">
        <v>81.119254997210305</v>
      </c>
      <c r="AK807">
        <v>119.79319239226</v>
      </c>
      <c r="AL807">
        <v>86.548087491291994</v>
      </c>
      <c r="AM807">
        <v>88.489173261190899</v>
      </c>
      <c r="AN807">
        <v>1.0000000246523399</v>
      </c>
    </row>
    <row r="808" spans="1:40" x14ac:dyDescent="0.25">
      <c r="A808" t="str">
        <f>"20190312150649359"</f>
        <v>20190312150649359</v>
      </c>
      <c r="B808" t="str">
        <f>"1552374409351726"</f>
        <v>1552374409351726</v>
      </c>
      <c r="C808" t="s">
        <v>40</v>
      </c>
      <c r="D808">
        <v>4.3570000000000002</v>
      </c>
      <c r="E808">
        <v>0.54850659999999996</v>
      </c>
      <c r="F808" t="s">
        <v>44</v>
      </c>
      <c r="G808">
        <v>-237.21119999999999</v>
      </c>
      <c r="H808">
        <v>0.23048950000000001</v>
      </c>
      <c r="I808">
        <v>348.51170000000002</v>
      </c>
      <c r="J808">
        <v>-355.52910000000003</v>
      </c>
      <c r="K808">
        <v>1.1105989999999999</v>
      </c>
      <c r="L808">
        <v>367.44470000000001</v>
      </c>
      <c r="M808">
        <v>0.99989399999999995</v>
      </c>
      <c r="N808">
        <v>0</v>
      </c>
      <c r="O808">
        <v>-3.7151889999999998E-3</v>
      </c>
      <c r="P808">
        <v>0.99847390000000003</v>
      </c>
      <c r="Q808">
        <v>4.6336299999999997E-2</v>
      </c>
      <c r="R808">
        <v>-3.004863E-2</v>
      </c>
      <c r="S808">
        <v>2.9912109999999998</v>
      </c>
      <c r="T808">
        <v>-2.2218470000000001E-2</v>
      </c>
      <c r="U808">
        <v>-0.47802729999999999</v>
      </c>
      <c r="V808">
        <v>2.6340769999999999E-2</v>
      </c>
      <c r="W808">
        <v>6.0385969999999997E-2</v>
      </c>
      <c r="X808">
        <v>0.99782749999999998</v>
      </c>
      <c r="Y808">
        <v>0.1541341</v>
      </c>
      <c r="Z808">
        <v>-5.4140830000000005E-4</v>
      </c>
      <c r="AA808">
        <v>0.98804979999999998</v>
      </c>
      <c r="AB808">
        <v>28</v>
      </c>
      <c r="AC808">
        <v>118.31789999999999</v>
      </c>
      <c r="AD808">
        <v>-0.88010949999999899</v>
      </c>
      <c r="AE808">
        <v>-18.933</v>
      </c>
      <c r="AF808">
        <v>18.4922547267957</v>
      </c>
      <c r="AG808">
        <v>-0.88010949999999899</v>
      </c>
      <c r="AH808">
        <v>118.381043264638</v>
      </c>
      <c r="AI808">
        <v>90.420856731454805</v>
      </c>
      <c r="AJ808">
        <v>81.121600772875496</v>
      </c>
      <c r="AK808">
        <v>119.81990436499601</v>
      </c>
      <c r="AL808">
        <v>86.538032645543495</v>
      </c>
      <c r="AM808">
        <v>88.487850329088403</v>
      </c>
      <c r="AN808">
        <v>1.00000001064664</v>
      </c>
    </row>
    <row r="809" spans="1:40" x14ac:dyDescent="0.25">
      <c r="A809" t="str">
        <f>"20190312150649372"</f>
        <v>20190312150649372</v>
      </c>
      <c r="B809" t="str">
        <f>"1552374409361486"</f>
        <v>1552374409361486</v>
      </c>
      <c r="C809" t="s">
        <v>40</v>
      </c>
      <c r="D809">
        <v>4.4489330000000002</v>
      </c>
      <c r="E809">
        <v>0.54844930000000003</v>
      </c>
      <c r="F809" t="s">
        <v>44</v>
      </c>
      <c r="G809">
        <v>-237.0146</v>
      </c>
      <c r="H809">
        <v>0.1814935</v>
      </c>
      <c r="I809">
        <v>348.51170000000002</v>
      </c>
      <c r="J809">
        <v>-355.38229999999999</v>
      </c>
      <c r="K809">
        <v>1.1106</v>
      </c>
      <c r="L809">
        <v>367.44420000000002</v>
      </c>
      <c r="M809">
        <v>0.99989410000000001</v>
      </c>
      <c r="N809">
        <v>0</v>
      </c>
      <c r="O809">
        <v>-3.7152980000000001E-3</v>
      </c>
      <c r="P809">
        <v>0.99846290000000004</v>
      </c>
      <c r="Q809">
        <v>4.6430680000000002E-2</v>
      </c>
      <c r="R809">
        <v>-3.0269839999999999E-2</v>
      </c>
      <c r="S809">
        <v>2.991333</v>
      </c>
      <c r="T809">
        <v>-2.3448819999999999E-2</v>
      </c>
      <c r="U809">
        <v>-0.47787479999999899</v>
      </c>
      <c r="V809">
        <v>2.6562019999999999E-2</v>
      </c>
      <c r="W809">
        <v>6.0478780000000003E-2</v>
      </c>
      <c r="X809">
        <v>0.99781600000000004</v>
      </c>
      <c r="Y809">
        <v>0.1540781</v>
      </c>
      <c r="Z809">
        <v>-5.7114860000000004E-4</v>
      </c>
      <c r="AA809">
        <v>0.98805849999999995</v>
      </c>
      <c r="AB809">
        <v>28</v>
      </c>
      <c r="AC809">
        <v>118.3677</v>
      </c>
      <c r="AD809">
        <v>-0.92910649999999995</v>
      </c>
      <c r="AE809">
        <v>-18.932500000000001</v>
      </c>
      <c r="AF809">
        <v>18.491443613628299</v>
      </c>
      <c r="AG809">
        <v>-0.92910649999999995</v>
      </c>
      <c r="AH809">
        <v>118.43011504854699</v>
      </c>
      <c r="AI809">
        <v>90.444106297404801</v>
      </c>
      <c r="AJ809">
        <v>81.1256040583241</v>
      </c>
      <c r="AK809">
        <v>119.868631744157</v>
      </c>
      <c r="AL809">
        <v>86.532705239374593</v>
      </c>
      <c r="AM809">
        <v>88.475137393418294</v>
      </c>
      <c r="AN809">
        <v>0.99999999679638396</v>
      </c>
    </row>
    <row r="810" spans="1:40" x14ac:dyDescent="0.25">
      <c r="A810" t="str">
        <f>"20190312150649386"</f>
        <v>20190312150649386</v>
      </c>
      <c r="B810" t="str">
        <f>"1552374409381007"</f>
        <v>1552374409381007</v>
      </c>
      <c r="C810" t="s">
        <v>40</v>
      </c>
      <c r="D810">
        <v>4.3866899999999998</v>
      </c>
      <c r="E810">
        <v>0.54842630000000003</v>
      </c>
      <c r="F810" t="s">
        <v>44</v>
      </c>
      <c r="G810">
        <v>-236.92019999999999</v>
      </c>
      <c r="H810">
        <v>0.14724519999999999</v>
      </c>
      <c r="I810">
        <v>348.51170000000002</v>
      </c>
      <c r="J810">
        <v>-355.20769999999999</v>
      </c>
      <c r="K810">
        <v>1.110603</v>
      </c>
      <c r="L810">
        <v>367.44349999999997</v>
      </c>
      <c r="M810">
        <v>0.99989410000000001</v>
      </c>
      <c r="N810">
        <v>0</v>
      </c>
      <c r="O810">
        <v>-3.7151660000000002E-3</v>
      </c>
      <c r="P810">
        <v>0.99845740000000005</v>
      </c>
      <c r="Q810">
        <v>4.646078E-2</v>
      </c>
      <c r="R810">
        <v>-3.0401399999999999E-2</v>
      </c>
      <c r="S810">
        <v>2.991241</v>
      </c>
      <c r="T810">
        <v>-2.4323339999999999E-2</v>
      </c>
      <c r="U810">
        <v>-0.47805789999999998</v>
      </c>
      <c r="V810">
        <v>2.6693850000000002E-2</v>
      </c>
      <c r="W810">
        <v>6.0506860000000003E-2</v>
      </c>
      <c r="X810">
        <v>0.9978108</v>
      </c>
      <c r="Y810">
        <v>0.15414159999999999</v>
      </c>
      <c r="Z810">
        <v>-5.927215E-4</v>
      </c>
      <c r="AA810">
        <v>0.98804860000000005</v>
      </c>
      <c r="AB810">
        <v>28</v>
      </c>
      <c r="AC810">
        <v>118.28749999999999</v>
      </c>
      <c r="AD810">
        <v>-0.96335780000000004</v>
      </c>
      <c r="AE810">
        <v>-18.9317999999999</v>
      </c>
      <c r="AF810">
        <v>18.490972274247799</v>
      </c>
      <c r="AG810">
        <v>-0.96335780000000004</v>
      </c>
      <c r="AH810">
        <v>118.349371419465</v>
      </c>
      <c r="AI810">
        <v>90.460784425105601</v>
      </c>
      <c r="AJ810">
        <v>81.119868733904696</v>
      </c>
      <c r="AK810">
        <v>119.789055548828</v>
      </c>
      <c r="AL810">
        <v>86.5310934927966</v>
      </c>
      <c r="AM810">
        <v>88.467564963053803</v>
      </c>
      <c r="AN810">
        <v>1.0000000171657599</v>
      </c>
    </row>
    <row r="811" spans="1:40" x14ac:dyDescent="0.25">
      <c r="A811" t="str">
        <f>"20190312150649400"</f>
        <v>20190312150649400</v>
      </c>
      <c r="B811" t="str">
        <f>"1552374409391742"</f>
        <v>1552374409391742</v>
      </c>
      <c r="C811" t="s">
        <v>40</v>
      </c>
      <c r="D811">
        <v>4.4649839999999896</v>
      </c>
      <c r="E811">
        <v>0.54838790000000004</v>
      </c>
      <c r="F811" t="s">
        <v>44</v>
      </c>
      <c r="G811">
        <v>-236.8143</v>
      </c>
      <c r="H811">
        <v>3.391052E-2</v>
      </c>
      <c r="I811">
        <v>348.51170000000002</v>
      </c>
      <c r="J811">
        <v>-355.03250000000003</v>
      </c>
      <c r="K811">
        <v>1.1106049999999901</v>
      </c>
      <c r="L811">
        <v>367.44290000000001</v>
      </c>
      <c r="M811">
        <v>0.99989430000000001</v>
      </c>
      <c r="N811">
        <v>0</v>
      </c>
      <c r="O811">
        <v>-3.715154E-3</v>
      </c>
      <c r="P811">
        <v>0.99845150000000005</v>
      </c>
      <c r="Q811">
        <v>4.6494630000000002E-2</v>
      </c>
      <c r="R811">
        <v>-3.0545260000000001E-2</v>
      </c>
      <c r="S811">
        <v>2.991333</v>
      </c>
      <c r="T811">
        <v>-2.720177E-2</v>
      </c>
      <c r="U811">
        <v>-0.47833249999999999</v>
      </c>
      <c r="V811">
        <v>2.6837699999999999E-2</v>
      </c>
      <c r="W811">
        <v>6.0538750000000002E-2</v>
      </c>
      <c r="X811">
        <v>0.99780500000000005</v>
      </c>
      <c r="Y811">
        <v>0.1542241</v>
      </c>
      <c r="Z811">
        <v>-6.6320959999999999E-4</v>
      </c>
      <c r="AA811">
        <v>0.98803569999999996</v>
      </c>
      <c r="AB811">
        <v>28</v>
      </c>
      <c r="AC811">
        <v>118.2182</v>
      </c>
      <c r="AD811">
        <v>-1.07669447999999</v>
      </c>
      <c r="AE811">
        <v>-18.931199999999901</v>
      </c>
      <c r="AF811">
        <v>18.490331687278601</v>
      </c>
      <c r="AG811">
        <v>-1.07669447999999</v>
      </c>
      <c r="AH811">
        <v>118.278157400295</v>
      </c>
      <c r="AI811">
        <v>90.515294900699104</v>
      </c>
      <c r="AJ811">
        <v>81.114910295307993</v>
      </c>
      <c r="AK811">
        <v>119.719564628835</v>
      </c>
      <c r="AL811">
        <v>86.529262950565695</v>
      </c>
      <c r="AM811">
        <v>88.459301870176304</v>
      </c>
      <c r="AN811">
        <v>1.0000000102089199</v>
      </c>
    </row>
    <row r="812" spans="1:40" x14ac:dyDescent="0.25">
      <c r="A812" t="str">
        <f>"20190312150649414"</f>
        <v>20190312150649414</v>
      </c>
      <c r="B812" t="str">
        <f>"1552374409411264"</f>
        <v>1552374409411264</v>
      </c>
      <c r="C812" t="s">
        <v>40</v>
      </c>
      <c r="D812">
        <v>4.5780279999999998</v>
      </c>
      <c r="E812">
        <v>0.54841379999999995</v>
      </c>
      <c r="F812" t="s">
        <v>43</v>
      </c>
      <c r="G812">
        <v>-232.3862</v>
      </c>
      <c r="H812">
        <v>-0.05</v>
      </c>
      <c r="I812">
        <v>347.82220000000001</v>
      </c>
      <c r="J812">
        <v>-354.86399999999998</v>
      </c>
      <c r="K812">
        <v>1.1106039999999999</v>
      </c>
      <c r="L812">
        <v>367.44229999999999</v>
      </c>
      <c r="M812">
        <v>0.99989419999999996</v>
      </c>
      <c r="N812">
        <v>0</v>
      </c>
      <c r="O812">
        <v>-3.7151409999999999E-3</v>
      </c>
      <c r="P812">
        <v>0.99845759999999995</v>
      </c>
      <c r="Q812">
        <v>4.642342E-2</v>
      </c>
      <c r="R812">
        <v>-3.0456049999999998E-2</v>
      </c>
      <c r="S812">
        <v>2.991333</v>
      </c>
      <c r="T812">
        <v>-2.8307079999999998E-2</v>
      </c>
      <c r="U812">
        <v>-0.47854609999999898</v>
      </c>
      <c r="V812">
        <v>2.6748330000000001E-2</v>
      </c>
      <c r="W812">
        <v>6.0465919999999999E-2</v>
      </c>
      <c r="X812">
        <v>0.99781180000000003</v>
      </c>
      <c r="Y812">
        <v>0.1542924</v>
      </c>
      <c r="Z812">
        <v>-6.9047439999999998E-4</v>
      </c>
      <c r="AA812">
        <v>0.98802500000000004</v>
      </c>
      <c r="AB812">
        <v>28</v>
      </c>
      <c r="AC812">
        <v>122.4778</v>
      </c>
      <c r="AD812">
        <v>-1.160604</v>
      </c>
      <c r="AE812">
        <v>-19.620099999999901</v>
      </c>
      <c r="AF812">
        <v>19.1632195571393</v>
      </c>
      <c r="AG812">
        <v>-1.160604</v>
      </c>
      <c r="AH812">
        <v>122.53912511319901</v>
      </c>
      <c r="AI812">
        <v>90.5361330320939</v>
      </c>
      <c r="AJ812">
        <v>81.1118184953108</v>
      </c>
      <c r="AK812">
        <v>124.033919429115</v>
      </c>
      <c r="AL812">
        <v>86.533443405839193</v>
      </c>
      <c r="AM812">
        <v>88.464440420533506</v>
      </c>
      <c r="AN812">
        <v>0.99999999442923704</v>
      </c>
    </row>
    <row r="813" spans="1:40" x14ac:dyDescent="0.25">
      <c r="A813" t="str">
        <f>"20190312150649426"</f>
        <v>20190312150649426</v>
      </c>
      <c r="B813" t="str">
        <f>"1552374409421023"</f>
        <v>1552374409421023</v>
      </c>
      <c r="C813" t="s">
        <v>40</v>
      </c>
      <c r="D813">
        <v>4.3656920000000001</v>
      </c>
      <c r="E813">
        <v>0.54839819999999995</v>
      </c>
      <c r="F813" t="s">
        <v>43</v>
      </c>
      <c r="G813">
        <v>-245.5325</v>
      </c>
      <c r="H813">
        <v>-0.05</v>
      </c>
      <c r="I813">
        <v>349.96519999999998</v>
      </c>
      <c r="J813">
        <v>-354.70589999999999</v>
      </c>
      <c r="K813">
        <v>1.1106039999999999</v>
      </c>
      <c r="L813">
        <v>367.44170000000003</v>
      </c>
      <c r="M813">
        <v>0.99989430000000001</v>
      </c>
      <c r="N813">
        <v>0</v>
      </c>
      <c r="O813">
        <v>-3.7151290000000002E-3</v>
      </c>
      <c r="P813">
        <v>0.99847280000000005</v>
      </c>
      <c r="Q813">
        <v>4.614828E-2</v>
      </c>
      <c r="R813">
        <v>-3.037714E-2</v>
      </c>
      <c r="S813">
        <v>2.9915470000000002</v>
      </c>
      <c r="T813">
        <v>-3.1756640000000003E-2</v>
      </c>
      <c r="U813">
        <v>-0.47821039999999998</v>
      </c>
      <c r="V813">
        <v>2.6669579999999998E-2</v>
      </c>
      <c r="W813">
        <v>6.0189390000000002E-2</v>
      </c>
      <c r="X813">
        <v>0.99783060000000001</v>
      </c>
      <c r="Y813">
        <v>0.15417159999999999</v>
      </c>
      <c r="Z813">
        <v>-7.7392779999999896E-4</v>
      </c>
      <c r="AA813">
        <v>0.98804380000000003</v>
      </c>
      <c r="AB813">
        <v>28</v>
      </c>
      <c r="AC813">
        <v>109.1734</v>
      </c>
      <c r="AD813">
        <v>-1.160604</v>
      </c>
      <c r="AE813">
        <v>-17.476500000000001</v>
      </c>
      <c r="AF813">
        <v>17.068865195673599</v>
      </c>
      <c r="AG813">
        <v>-1.160604</v>
      </c>
      <c r="AH813">
        <v>109.225544643497</v>
      </c>
      <c r="AI813">
        <v>90.601488483458198</v>
      </c>
      <c r="AJ813">
        <v>81.118125296691701</v>
      </c>
      <c r="AK813">
        <v>110.55728272430299</v>
      </c>
      <c r="AL813">
        <v>86.549316226122897</v>
      </c>
      <c r="AM813">
        <v>88.468987952838603</v>
      </c>
      <c r="AN813">
        <v>0.99999996773115296</v>
      </c>
    </row>
    <row r="814" spans="1:40" x14ac:dyDescent="0.25">
      <c r="A814" t="str">
        <f>"20190312150649439"</f>
        <v>20190312150649439</v>
      </c>
      <c r="B814" t="str">
        <f>"1552374409430784"</f>
        <v>1552374409430784</v>
      </c>
      <c r="C814" t="s">
        <v>40</v>
      </c>
      <c r="D814">
        <v>4.4394989999999996</v>
      </c>
      <c r="E814">
        <v>0.54836779999999996</v>
      </c>
      <c r="F814" t="s">
        <v>43</v>
      </c>
      <c r="G814">
        <v>-254.3416</v>
      </c>
      <c r="H814">
        <v>-0.05</v>
      </c>
      <c r="I814">
        <v>351.40379999999999</v>
      </c>
      <c r="J814">
        <v>-354.541</v>
      </c>
      <c r="K814">
        <v>1.1106020000000001</v>
      </c>
      <c r="L814">
        <v>367.44099999999997</v>
      </c>
      <c r="M814">
        <v>0.99989419999999996</v>
      </c>
      <c r="N814">
        <v>0</v>
      </c>
      <c r="O814">
        <v>-3.714878E-3</v>
      </c>
      <c r="P814">
        <v>0.99849489999999996</v>
      </c>
      <c r="Q814">
        <v>4.5764409999999998E-2</v>
      </c>
      <c r="R814">
        <v>-3.0228580000000001E-2</v>
      </c>
      <c r="S814">
        <v>2.9916689999999999</v>
      </c>
      <c r="T814">
        <v>-3.459537E-2</v>
      </c>
      <c r="U814">
        <v>-0.47805789999999998</v>
      </c>
      <c r="V814">
        <v>2.6520780000000001E-2</v>
      </c>
      <c r="W814">
        <v>5.9803849999999999E-2</v>
      </c>
      <c r="X814">
        <v>0.99785780000000002</v>
      </c>
      <c r="Y814">
        <v>0.1541149</v>
      </c>
      <c r="Z814">
        <v>-8.4275140000000001E-4</v>
      </c>
      <c r="AA814">
        <v>0.98805259999999995</v>
      </c>
      <c r="AB814">
        <v>28</v>
      </c>
      <c r="AC814">
        <v>100.1994</v>
      </c>
      <c r="AD814">
        <v>-1.1606019999999999</v>
      </c>
      <c r="AE814">
        <v>-16.037199999999899</v>
      </c>
      <c r="AF814">
        <v>15.662775059057999</v>
      </c>
      <c r="AG814">
        <v>-1.1606019999999999</v>
      </c>
      <c r="AH814">
        <v>100.245177221484</v>
      </c>
      <c r="AI814">
        <v>90.655369317427301</v>
      </c>
      <c r="AJ814">
        <v>81.119638721067801</v>
      </c>
      <c r="AK814">
        <v>101.468049531465</v>
      </c>
      <c r="AL814">
        <v>86.571446088250497</v>
      </c>
      <c r="AM814">
        <v>88.477567515846502</v>
      </c>
      <c r="AN814">
        <v>1.0000000206337301</v>
      </c>
    </row>
    <row r="815" spans="1:40" x14ac:dyDescent="0.25">
      <c r="A815" t="str">
        <f>"20190312150649451"</f>
        <v>20190312150649451</v>
      </c>
      <c r="B815" t="str">
        <f>"1552374409441519"</f>
        <v>1552374409441519</v>
      </c>
      <c r="C815" t="s">
        <v>40</v>
      </c>
      <c r="D815">
        <v>4.4217279999999999</v>
      </c>
      <c r="E815">
        <v>0.5483498</v>
      </c>
      <c r="F815" t="s">
        <v>43</v>
      </c>
      <c r="G815">
        <v>-259.91660000000002</v>
      </c>
      <c r="H815">
        <v>-0.05</v>
      </c>
      <c r="I815">
        <v>352.34410000000003</v>
      </c>
      <c r="J815">
        <v>-354.39850000000001</v>
      </c>
      <c r="K815">
        <v>1.1105969999999901</v>
      </c>
      <c r="L815">
        <v>367.44049999999999</v>
      </c>
      <c r="M815">
        <v>0.99989419999999996</v>
      </c>
      <c r="N815">
        <v>0</v>
      </c>
      <c r="O815">
        <v>-3.7148680000000001E-3</v>
      </c>
      <c r="P815">
        <v>0.99852149999999995</v>
      </c>
      <c r="Q815">
        <v>4.5424739999999998E-2</v>
      </c>
      <c r="R815">
        <v>-2.985759E-2</v>
      </c>
      <c r="S815">
        <v>2.9917600000000002</v>
      </c>
      <c r="T815">
        <v>-3.6694999999999998E-2</v>
      </c>
      <c r="U815">
        <v>-0.47732540000000001</v>
      </c>
      <c r="V815">
        <v>2.6149909999999998E-2</v>
      </c>
      <c r="W815">
        <v>5.9463040000000002E-2</v>
      </c>
      <c r="X815">
        <v>0.99788790000000005</v>
      </c>
      <c r="Y815">
        <v>0.15387310000000001</v>
      </c>
      <c r="Z815">
        <v>-8.9241229999999997E-4</v>
      </c>
      <c r="AA815">
        <v>0.98809020000000003</v>
      </c>
      <c r="AB815">
        <v>28</v>
      </c>
      <c r="AC815">
        <v>94.481899999999996</v>
      </c>
      <c r="AD815">
        <v>-1.1605970000000001</v>
      </c>
      <c r="AE815">
        <v>-15.0963999999999</v>
      </c>
      <c r="AF815">
        <v>14.743104076097801</v>
      </c>
      <c r="AG815">
        <v>-1.1605970000000001</v>
      </c>
      <c r="AH815">
        <v>94.5234268656707</v>
      </c>
      <c r="AI815">
        <v>90.695062533962897</v>
      </c>
      <c r="AJ815">
        <v>81.134833237866104</v>
      </c>
      <c r="AK815">
        <v>95.673320887407499</v>
      </c>
      <c r="AL815">
        <v>86.5910076891778</v>
      </c>
      <c r="AM815">
        <v>88.498892856653896</v>
      </c>
      <c r="AN815">
        <v>0.999999965942729</v>
      </c>
    </row>
    <row r="816" spans="1:40" x14ac:dyDescent="0.25">
      <c r="A816" t="str">
        <f>"20190312150649463"</f>
        <v>20190312150649463</v>
      </c>
      <c r="B816" t="str">
        <f>"1552374409451279"</f>
        <v>1552374409451279</v>
      </c>
      <c r="C816" t="s">
        <v>40</v>
      </c>
      <c r="D816">
        <v>4.3597859999999997</v>
      </c>
      <c r="E816">
        <v>0.54833189999999998</v>
      </c>
      <c r="F816" t="s">
        <v>42</v>
      </c>
      <c r="G816">
        <v>-274.31670000000003</v>
      </c>
      <c r="H816">
        <v>7.9985780000000006E-2</v>
      </c>
      <c r="I816">
        <v>354.69549999999998</v>
      </c>
      <c r="J816">
        <v>-354.2525</v>
      </c>
      <c r="K816">
        <v>1.1105929999999999</v>
      </c>
      <c r="L816">
        <v>367.44</v>
      </c>
      <c r="M816">
        <v>0.99989430000000001</v>
      </c>
      <c r="N816">
        <v>0</v>
      </c>
      <c r="O816">
        <v>-3.7148569999999998E-3</v>
      </c>
      <c r="P816">
        <v>0.99854120000000002</v>
      </c>
      <c r="Q816">
        <v>4.520706E-2</v>
      </c>
      <c r="R816">
        <v>-2.9527919999999999E-2</v>
      </c>
      <c r="S816">
        <v>2.991943</v>
      </c>
      <c r="T816">
        <v>-3.8504719999999999E-2</v>
      </c>
      <c r="U816">
        <v>-0.47616579999999997</v>
      </c>
      <c r="V816">
        <v>2.5820249999999999E-2</v>
      </c>
      <c r="W816">
        <v>5.924455E-2</v>
      </c>
      <c r="X816">
        <v>0.9979095</v>
      </c>
      <c r="Y816">
        <v>0.15348909999999999</v>
      </c>
      <c r="Z816">
        <v>-9.3393730000000002E-4</v>
      </c>
      <c r="AA816">
        <v>0.98814990000000003</v>
      </c>
      <c r="AB816">
        <v>28</v>
      </c>
      <c r="AC816">
        <v>79.935799999999901</v>
      </c>
      <c r="AD816">
        <v>-1.0306072199999901</v>
      </c>
      <c r="AE816">
        <v>-12.7445</v>
      </c>
      <c r="AF816">
        <v>12.445415145625301</v>
      </c>
      <c r="AG816">
        <v>-1.0306072199999901</v>
      </c>
      <c r="AH816">
        <v>79.969633347256206</v>
      </c>
      <c r="AI816">
        <v>90.729576227782303</v>
      </c>
      <c r="AJ816">
        <v>81.154202008948403</v>
      </c>
      <c r="AK816">
        <v>80.938821137223499</v>
      </c>
      <c r="AL816">
        <v>86.603548422121705</v>
      </c>
      <c r="AM816">
        <v>88.517840203127903</v>
      </c>
      <c r="AN816">
        <v>0.99999998610250695</v>
      </c>
    </row>
    <row r="817" spans="1:40" x14ac:dyDescent="0.25">
      <c r="A817" t="str">
        <f>"20190312150649475"</f>
        <v>20190312150649475</v>
      </c>
      <c r="B817" t="str">
        <f>"1552374409470801"</f>
        <v>1552374409470801</v>
      </c>
      <c r="C817" t="s">
        <v>40</v>
      </c>
      <c r="D817">
        <v>4.3967330000000002</v>
      </c>
      <c r="E817">
        <v>0.54829419999999995</v>
      </c>
      <c r="F817" t="s">
        <v>42</v>
      </c>
      <c r="G817">
        <v>-275.2167</v>
      </c>
      <c r="H817">
        <v>7.9986979999999999E-2</v>
      </c>
      <c r="I817">
        <v>354.89749999999998</v>
      </c>
      <c r="J817">
        <v>-354.10930000000002</v>
      </c>
      <c r="K817">
        <v>1.110589</v>
      </c>
      <c r="L817">
        <v>367.43950000000001</v>
      </c>
      <c r="M817">
        <v>0.99989430000000001</v>
      </c>
      <c r="N817">
        <v>0</v>
      </c>
      <c r="O817">
        <v>-3.7147270000000001E-3</v>
      </c>
      <c r="P817">
        <v>0.99856619999999996</v>
      </c>
      <c r="Q817">
        <v>4.4833280000000003E-2</v>
      </c>
      <c r="R817">
        <v>-2.925527E-2</v>
      </c>
      <c r="S817">
        <v>2.9920960000000001</v>
      </c>
      <c r="T817">
        <v>-3.9016130000000003E-2</v>
      </c>
      <c r="U817">
        <v>-0.474823</v>
      </c>
      <c r="V817">
        <v>2.554758E-2</v>
      </c>
      <c r="W817">
        <v>5.8869940000000003E-2</v>
      </c>
      <c r="X817">
        <v>0.99793869999999896</v>
      </c>
      <c r="Y817">
        <v>0.15304860000000001</v>
      </c>
      <c r="Z817">
        <v>-9.4347349999999996E-4</v>
      </c>
      <c r="AA817">
        <v>0.98821820000000005</v>
      </c>
      <c r="AB817">
        <v>28</v>
      </c>
      <c r="AC817">
        <v>78.892600000000002</v>
      </c>
      <c r="AD817">
        <v>-1.0306020199999999</v>
      </c>
      <c r="AE817">
        <v>-12.542</v>
      </c>
      <c r="AF817">
        <v>12.2467816078148</v>
      </c>
      <c r="AG817">
        <v>-1.0306020199999999</v>
      </c>
      <c r="AH817">
        <v>78.925513544153404</v>
      </c>
      <c r="AI817">
        <v>90.739274486606604</v>
      </c>
      <c r="AJ817">
        <v>81.179819528675793</v>
      </c>
      <c r="AK817">
        <v>79.876670489458206</v>
      </c>
      <c r="AL817">
        <v>86.625049565547798</v>
      </c>
      <c r="AM817">
        <v>88.533528299279695</v>
      </c>
      <c r="AN817">
        <v>0.99999999881857404</v>
      </c>
    </row>
    <row r="818" spans="1:40" x14ac:dyDescent="0.25">
      <c r="A818" t="str">
        <f>"20190312150649488"</f>
        <v>20190312150649488</v>
      </c>
      <c r="B818" t="str">
        <f>"1552374409481535"</f>
        <v>1552374409481535</v>
      </c>
      <c r="C818" t="s">
        <v>40</v>
      </c>
      <c r="D818">
        <v>4.3698750000000004</v>
      </c>
      <c r="E818">
        <v>0.54829649999999996</v>
      </c>
      <c r="F818" t="s">
        <v>43</v>
      </c>
      <c r="G818">
        <v>-271.84449999999998</v>
      </c>
      <c r="H818">
        <v>-0.05</v>
      </c>
      <c r="I818">
        <v>354.41250000000002</v>
      </c>
      <c r="J818">
        <v>-353.95780000000002</v>
      </c>
      <c r="K818">
        <v>1.1105860000000001</v>
      </c>
      <c r="L818">
        <v>367.43889999999999</v>
      </c>
      <c r="M818">
        <v>0.99989430000000001</v>
      </c>
      <c r="N818">
        <v>0</v>
      </c>
      <c r="O818">
        <v>-3.7147149999999999E-3</v>
      </c>
      <c r="P818">
        <v>0.9985849</v>
      </c>
      <c r="Q818">
        <v>4.455721E-2</v>
      </c>
      <c r="R818">
        <v>-2.9033099999999999E-2</v>
      </c>
      <c r="S818">
        <v>2.99234</v>
      </c>
      <c r="T818">
        <v>-4.2215820000000001E-2</v>
      </c>
      <c r="U818">
        <v>-0.4738464</v>
      </c>
      <c r="V818">
        <v>2.532529E-2</v>
      </c>
      <c r="W818">
        <v>5.8592419999999999E-2</v>
      </c>
      <c r="X818">
        <v>0.99796070000000003</v>
      </c>
      <c r="Y818">
        <v>0.15271940000000001</v>
      </c>
      <c r="Z818">
        <v>-1.0184759999999999E-3</v>
      </c>
      <c r="AA818">
        <v>0.98826910000000001</v>
      </c>
      <c r="AB818">
        <v>27</v>
      </c>
      <c r="AC818">
        <v>82.113299999999995</v>
      </c>
      <c r="AD818">
        <v>-1.1605859999999999</v>
      </c>
      <c r="AE818">
        <v>-13.026399999999899</v>
      </c>
      <c r="AF818">
        <v>12.7187740181671</v>
      </c>
      <c r="AG818">
        <v>-1.1605859999999999</v>
      </c>
      <c r="AH818">
        <v>82.145120298277106</v>
      </c>
      <c r="AI818">
        <v>90.799918360858598</v>
      </c>
      <c r="AJ818">
        <v>81.198612106770995</v>
      </c>
      <c r="AK818">
        <v>83.132033303697099</v>
      </c>
      <c r="AL818">
        <v>86.640977790309606</v>
      </c>
      <c r="AM818">
        <v>88.546314632645604</v>
      </c>
      <c r="AN818">
        <v>1.00000000036976</v>
      </c>
    </row>
    <row r="819" spans="1:40" x14ac:dyDescent="0.25">
      <c r="A819" t="str">
        <f>"20190312150649502"</f>
        <v>20190312150649502</v>
      </c>
      <c r="B819" t="str">
        <f>"1552374409491295"</f>
        <v>1552374409491295</v>
      </c>
      <c r="C819" t="s">
        <v>40</v>
      </c>
      <c r="D819">
        <v>4.4252390000000004</v>
      </c>
      <c r="E819">
        <v>0.54828949999999999</v>
      </c>
      <c r="F819" t="s">
        <v>43</v>
      </c>
      <c r="G819">
        <v>-276.1429</v>
      </c>
      <c r="H819">
        <v>-0.05</v>
      </c>
      <c r="I819">
        <v>355.13139999999999</v>
      </c>
      <c r="J819">
        <v>-353.774</v>
      </c>
      <c r="K819">
        <v>1.110579</v>
      </c>
      <c r="L819">
        <v>367.43819999999999</v>
      </c>
      <c r="M819">
        <v>0.99989430000000001</v>
      </c>
      <c r="N819">
        <v>0</v>
      </c>
      <c r="O819">
        <v>-3.7147009999999999E-3</v>
      </c>
      <c r="P819">
        <v>0.99863349999999995</v>
      </c>
      <c r="Q819">
        <v>4.3941180000000003E-2</v>
      </c>
      <c r="R819">
        <v>-2.8291259999999999E-2</v>
      </c>
      <c r="S819">
        <v>2.9924620000000002</v>
      </c>
      <c r="T819">
        <v>-4.463172E-2</v>
      </c>
      <c r="U819">
        <v>-0.47329710000000003</v>
      </c>
      <c r="V819">
        <v>2.4583299999999999E-2</v>
      </c>
      <c r="W819">
        <v>5.7975020000000002E-2</v>
      </c>
      <c r="X819">
        <v>0.99801530000000005</v>
      </c>
      <c r="Y819">
        <v>0.15253449999999999</v>
      </c>
      <c r="Z819">
        <v>-1.0753570000000001E-3</v>
      </c>
      <c r="AA819">
        <v>0.9882976</v>
      </c>
      <c r="AB819">
        <v>27</v>
      </c>
      <c r="AC819">
        <v>77.631100000000004</v>
      </c>
      <c r="AD819">
        <v>-1.160579</v>
      </c>
      <c r="AE819">
        <v>-12.306800000000001</v>
      </c>
      <c r="AF819">
        <v>12.0156905800012</v>
      </c>
      <c r="AG819">
        <v>-1.160579</v>
      </c>
      <c r="AH819">
        <v>77.659353505132799</v>
      </c>
      <c r="AI819">
        <v>90.846125743491598</v>
      </c>
      <c r="AJ819">
        <v>81.204764491893698</v>
      </c>
      <c r="AK819">
        <v>78.591977647624802</v>
      </c>
      <c r="AL819">
        <v>86.676412408474206</v>
      </c>
      <c r="AM819">
        <v>88.588964949098397</v>
      </c>
      <c r="AN819">
        <v>0.99999999030848996</v>
      </c>
    </row>
    <row r="820" spans="1:40" x14ac:dyDescent="0.25">
      <c r="A820" t="str">
        <f>"20190312150649514"</f>
        <v>20190312150649514</v>
      </c>
      <c r="B820" t="str">
        <f>"1552374409510815"</f>
        <v>1552374409510815</v>
      </c>
      <c r="C820" t="s">
        <v>40</v>
      </c>
      <c r="D820">
        <v>4.3609450000000001</v>
      </c>
      <c r="E820">
        <v>0.54828690000000002</v>
      </c>
      <c r="F820" t="s">
        <v>43</v>
      </c>
      <c r="G820">
        <v>-280.03160000000003</v>
      </c>
      <c r="H820">
        <v>-0.05</v>
      </c>
      <c r="I820">
        <v>355.83499999999998</v>
      </c>
      <c r="J820">
        <v>-353.63119999999998</v>
      </c>
      <c r="K820">
        <v>1.1105750000000001</v>
      </c>
      <c r="L820">
        <v>367.43770000000001</v>
      </c>
      <c r="M820">
        <v>0.99989439999999996</v>
      </c>
      <c r="N820">
        <v>0</v>
      </c>
      <c r="O820">
        <v>-3.7146900000000001E-3</v>
      </c>
      <c r="P820">
        <v>0.99865139999999997</v>
      </c>
      <c r="Q820">
        <v>4.366022E-2</v>
      </c>
      <c r="R820">
        <v>-2.8093590000000002E-2</v>
      </c>
      <c r="S820">
        <v>2.9928279999999998</v>
      </c>
      <c r="T820">
        <v>-4.710197E-2</v>
      </c>
      <c r="U820">
        <v>-0.47091670000000002</v>
      </c>
      <c r="V820">
        <v>2.4385690000000002E-2</v>
      </c>
      <c r="W820">
        <v>5.7692729999999998E-2</v>
      </c>
      <c r="X820">
        <v>0.99803649999999999</v>
      </c>
      <c r="Y820">
        <v>0.1517471</v>
      </c>
      <c r="Z820">
        <v>-1.1286429999999999E-3</v>
      </c>
      <c r="AA820">
        <v>0.98841869999999998</v>
      </c>
      <c r="AB820">
        <v>27</v>
      </c>
      <c r="AC820">
        <v>73.599599999999896</v>
      </c>
      <c r="AD820">
        <v>-1.1605749999999999</v>
      </c>
      <c r="AE820">
        <v>-11.6027</v>
      </c>
      <c r="AF820">
        <v>11.326445175903601</v>
      </c>
      <c r="AG820">
        <v>-1.1605749999999999</v>
      </c>
      <c r="AH820">
        <v>73.624333739231602</v>
      </c>
      <c r="AI820">
        <v>90.892606330564007</v>
      </c>
      <c r="AJ820">
        <v>81.254123125452693</v>
      </c>
      <c r="AK820">
        <v>74.499515523251006</v>
      </c>
      <c r="AL820">
        <v>86.692613531037907</v>
      </c>
      <c r="AM820">
        <v>88.600332580046796</v>
      </c>
      <c r="AN820">
        <v>0.99999998415193903</v>
      </c>
    </row>
    <row r="821" spans="1:40" x14ac:dyDescent="0.25">
      <c r="A821" t="str">
        <f>"20190312150649525"</f>
        <v>20190312150649525</v>
      </c>
      <c r="B821" t="str">
        <f>"1552374409521551"</f>
        <v>1552374409521551</v>
      </c>
      <c r="C821" t="s">
        <v>40</v>
      </c>
      <c r="D821">
        <v>4.1841970000000002</v>
      </c>
      <c r="E821">
        <v>0.54822879999999996</v>
      </c>
      <c r="F821" t="s">
        <v>43</v>
      </c>
      <c r="G821">
        <v>-284.24599999999998</v>
      </c>
      <c r="H821">
        <v>-0.05</v>
      </c>
      <c r="I821">
        <v>356.53489999999999</v>
      </c>
      <c r="J821">
        <v>-353.5</v>
      </c>
      <c r="K821">
        <v>1.110571</v>
      </c>
      <c r="L821">
        <v>367.43720000000002</v>
      </c>
      <c r="M821">
        <v>0.99989450000000002</v>
      </c>
      <c r="N821">
        <v>0</v>
      </c>
      <c r="O821">
        <v>-3.7146800000000002E-3</v>
      </c>
      <c r="P821">
        <v>0.9986739</v>
      </c>
      <c r="Q821">
        <v>4.326315E-2</v>
      </c>
      <c r="R821">
        <v>-2.791184E-2</v>
      </c>
      <c r="S821">
        <v>2.9930110000000001</v>
      </c>
      <c r="T821">
        <v>-5.0062780000000001E-2</v>
      </c>
      <c r="U821">
        <v>-0.47030640000000001</v>
      </c>
      <c r="V821">
        <v>2.4203809999999999E-2</v>
      </c>
      <c r="W821">
        <v>5.7294270000000001E-2</v>
      </c>
      <c r="X821">
        <v>0.9980639</v>
      </c>
      <c r="Y821">
        <v>0.1515388</v>
      </c>
      <c r="Z821">
        <v>-1.197795E-3</v>
      </c>
      <c r="AA821">
        <v>0.98845059999999996</v>
      </c>
      <c r="AB821">
        <v>27</v>
      </c>
      <c r="AC821">
        <v>69.254000000000005</v>
      </c>
      <c r="AD821">
        <v>-1.160571</v>
      </c>
      <c r="AE821">
        <v>-10.9023</v>
      </c>
      <c r="AF821">
        <v>10.642026553898299</v>
      </c>
      <c r="AG821">
        <v>-1.160571</v>
      </c>
      <c r="AH821">
        <v>69.275040158588098</v>
      </c>
      <c r="AI821">
        <v>90.948665108311303</v>
      </c>
      <c r="AJ821">
        <v>81.266500362467397</v>
      </c>
      <c r="AK821">
        <v>70.097295548358503</v>
      </c>
      <c r="AL821">
        <v>86.715481496528497</v>
      </c>
      <c r="AM821">
        <v>88.610805978532895</v>
      </c>
      <c r="AN821">
        <v>1.0000000031382701</v>
      </c>
    </row>
    <row r="822" spans="1:40" x14ac:dyDescent="0.25">
      <c r="A822" t="str">
        <f>"20190312150649537"</f>
        <v>20190312150649537</v>
      </c>
      <c r="B822" t="str">
        <f>"1552374409531311"</f>
        <v>1552374409531311</v>
      </c>
      <c r="C822" t="s">
        <v>40</v>
      </c>
      <c r="D822">
        <v>4.329942</v>
      </c>
      <c r="E822">
        <v>0.54804839999999999</v>
      </c>
      <c r="F822" t="s">
        <v>43</v>
      </c>
      <c r="G822">
        <v>-284.22949999999997</v>
      </c>
      <c r="H822">
        <v>-0.05</v>
      </c>
      <c r="I822">
        <v>356.57299999999998</v>
      </c>
      <c r="J822">
        <v>-353.34980000000002</v>
      </c>
      <c r="K822">
        <v>1.110571</v>
      </c>
      <c r="L822">
        <v>367.4366</v>
      </c>
      <c r="M822">
        <v>0.99989439999999996</v>
      </c>
      <c r="N822">
        <v>0</v>
      </c>
      <c r="O822">
        <v>-3.7145500000000001E-3</v>
      </c>
      <c r="P822">
        <v>0.998691</v>
      </c>
      <c r="Q822">
        <v>4.3010729999999997E-2</v>
      </c>
      <c r="R822">
        <v>-2.7680650000000001E-2</v>
      </c>
      <c r="S822">
        <v>2.993042</v>
      </c>
      <c r="T822">
        <v>-5.014598E-2</v>
      </c>
      <c r="U822">
        <v>-0.46942139999999999</v>
      </c>
      <c r="V822">
        <v>2.397268E-2</v>
      </c>
      <c r="W822">
        <v>5.7040529999999999E-2</v>
      </c>
      <c r="X822">
        <v>0.99808399999999997</v>
      </c>
      <c r="Y822">
        <v>0.1512522</v>
      </c>
      <c r="Z822">
        <v>-1.197416E-3</v>
      </c>
      <c r="AA822">
        <v>0.98849450000000005</v>
      </c>
      <c r="AB822">
        <v>27</v>
      </c>
      <c r="AC822">
        <v>69.1203</v>
      </c>
      <c r="AD822">
        <v>-1.160571</v>
      </c>
      <c r="AE822">
        <v>-10.8635999999999</v>
      </c>
      <c r="AF822">
        <v>10.603831474256999</v>
      </c>
      <c r="AG822">
        <v>-1.160571</v>
      </c>
      <c r="AH822">
        <v>69.141157759654803</v>
      </c>
      <c r="AI822">
        <v>90.950538066765802</v>
      </c>
      <c r="AJ822">
        <v>81.280772124834797</v>
      </c>
      <c r="AK822">
        <v>69.959187125966196</v>
      </c>
      <c r="AL822">
        <v>86.730043503376393</v>
      </c>
      <c r="AM822">
        <v>88.624094415422405</v>
      </c>
      <c r="AN822">
        <v>0.99999999125253103</v>
      </c>
    </row>
    <row r="823" spans="1:40" x14ac:dyDescent="0.25">
      <c r="A823" t="str">
        <f>"20190312150649548"</f>
        <v>20190312150649548</v>
      </c>
      <c r="B823" t="str">
        <f>"1552374409541071"</f>
        <v>1552374409541071</v>
      </c>
      <c r="C823" t="s">
        <v>40</v>
      </c>
      <c r="D823">
        <v>4.4045489999999896</v>
      </c>
      <c r="E823">
        <v>0.54773719999999904</v>
      </c>
      <c r="F823" t="s">
        <v>43</v>
      </c>
      <c r="G823">
        <v>-284.84050000000002</v>
      </c>
      <c r="H823">
        <v>-0.05</v>
      </c>
      <c r="I823">
        <v>356.73899999999998</v>
      </c>
      <c r="J823">
        <v>-353.20819999999998</v>
      </c>
      <c r="K823">
        <v>1.1105750000000001</v>
      </c>
      <c r="L823">
        <v>367.43610000000001</v>
      </c>
      <c r="M823">
        <v>0.99989439999999996</v>
      </c>
      <c r="N823">
        <v>0</v>
      </c>
      <c r="O823">
        <v>-3.7145390000000002E-3</v>
      </c>
      <c r="P823">
        <v>0.99870110000000001</v>
      </c>
      <c r="Q823">
        <v>4.2879149999999998E-2</v>
      </c>
      <c r="R823">
        <v>-2.7526129999999999E-2</v>
      </c>
      <c r="S823">
        <v>2.9931640000000002</v>
      </c>
      <c r="T823">
        <v>-5.0705189999999997E-2</v>
      </c>
      <c r="U823">
        <v>-0.46737669999999998</v>
      </c>
      <c r="V823">
        <v>2.381813E-2</v>
      </c>
      <c r="W823">
        <v>5.6907720000000002E-2</v>
      </c>
      <c r="X823">
        <v>0.99809530000000002</v>
      </c>
      <c r="Y823">
        <v>0.15058650000000001</v>
      </c>
      <c r="Z823">
        <v>-1.2051779999999999E-3</v>
      </c>
      <c r="AA823">
        <v>0.98859609999999998</v>
      </c>
      <c r="AB823">
        <v>27</v>
      </c>
      <c r="AC823">
        <v>68.3676999999999</v>
      </c>
      <c r="AD823">
        <v>-1.1605749999999999</v>
      </c>
      <c r="AE823">
        <v>-10.697099999999899</v>
      </c>
      <c r="AF823">
        <v>10.4401100254589</v>
      </c>
      <c r="AG823">
        <v>-1.1605749999999999</v>
      </c>
      <c r="AH823">
        <v>68.387730784625603</v>
      </c>
      <c r="AI823">
        <v>90.961112690151495</v>
      </c>
      <c r="AJ823">
        <v>81.320207821203496</v>
      </c>
      <c r="AK823">
        <v>69.189772029865395</v>
      </c>
      <c r="AL823">
        <v>86.7376653973011</v>
      </c>
      <c r="AM823">
        <v>88.632976865723904</v>
      </c>
      <c r="AN823">
        <v>1.00000000989719</v>
      </c>
    </row>
    <row r="824" spans="1:40" x14ac:dyDescent="0.25">
      <c r="A824" t="str">
        <f>"20190312150649560"</f>
        <v>20190312150649560</v>
      </c>
      <c r="B824" t="str">
        <f>"1552374409550831"</f>
        <v>1552374409550831</v>
      </c>
      <c r="C824" t="s">
        <v>40</v>
      </c>
      <c r="D824">
        <v>4.3800650000000001</v>
      </c>
      <c r="E824">
        <v>0.54741589999999996</v>
      </c>
      <c r="F824" t="s">
        <v>43</v>
      </c>
      <c r="G824">
        <v>-285.77499999999998</v>
      </c>
      <c r="H824">
        <v>-0.05</v>
      </c>
      <c r="I824">
        <v>356.97449999999998</v>
      </c>
      <c r="J824">
        <v>-353.05849999999998</v>
      </c>
      <c r="K824">
        <v>1.110579</v>
      </c>
      <c r="L824">
        <v>367.43549999999999</v>
      </c>
      <c r="M824">
        <v>0.99989450000000002</v>
      </c>
      <c r="N824">
        <v>0</v>
      </c>
      <c r="O824">
        <v>-3.7145279999999999E-3</v>
      </c>
      <c r="P824">
        <v>0.99869870000000005</v>
      </c>
      <c r="Q824">
        <v>4.309843E-2</v>
      </c>
      <c r="R824">
        <v>-2.727108E-2</v>
      </c>
      <c r="S824">
        <v>2.993347</v>
      </c>
      <c r="T824">
        <v>-5.1517720000000003E-2</v>
      </c>
      <c r="U824">
        <v>-0.46438600000000002</v>
      </c>
      <c r="V824">
        <v>2.356308E-2</v>
      </c>
      <c r="W824">
        <v>5.7125280000000001E-2</v>
      </c>
      <c r="X824">
        <v>0.99808889999999995</v>
      </c>
      <c r="Y824">
        <v>0.149612299999999</v>
      </c>
      <c r="Z824">
        <v>-1.2161749999999999E-3</v>
      </c>
      <c r="AA824">
        <v>0.98874399999999996</v>
      </c>
      <c r="AB824">
        <v>27</v>
      </c>
      <c r="AC824">
        <v>67.283500000000004</v>
      </c>
      <c r="AD824">
        <v>-1.160579</v>
      </c>
      <c r="AE824">
        <v>-10.461</v>
      </c>
      <c r="AF824">
        <v>10.208011211660301</v>
      </c>
      <c r="AG824">
        <v>-1.160579</v>
      </c>
      <c r="AH824">
        <v>67.302345327363199</v>
      </c>
      <c r="AI824">
        <v>90.976756237011998</v>
      </c>
      <c r="AJ824">
        <v>81.375458849219996</v>
      </c>
      <c r="AK824">
        <v>68.081980898592207</v>
      </c>
      <c r="AL824">
        <v>86.7251797326945</v>
      </c>
      <c r="AM824">
        <v>88.647601128575801</v>
      </c>
      <c r="AN824">
        <v>0.99999998432868697</v>
      </c>
    </row>
    <row r="825" spans="1:40" x14ac:dyDescent="0.25">
      <c r="A825" t="str">
        <f>"20190312150649574"</f>
        <v>20190312150649574</v>
      </c>
      <c r="B825" t="str">
        <f>"1552374409571327"</f>
        <v>1552374409571327</v>
      </c>
      <c r="C825" t="s">
        <v>40</v>
      </c>
      <c r="D825">
        <v>4.2753670000000001</v>
      </c>
      <c r="E825">
        <v>0.54681369999999996</v>
      </c>
      <c r="F825" t="s">
        <v>43</v>
      </c>
      <c r="G825">
        <v>-285.52030000000002</v>
      </c>
      <c r="H825">
        <v>-0.05</v>
      </c>
      <c r="I825">
        <v>357.03269999999998</v>
      </c>
      <c r="J825">
        <v>-352.90370000000001</v>
      </c>
      <c r="K825">
        <v>1.110582</v>
      </c>
      <c r="L825">
        <v>367.43490000000003</v>
      </c>
      <c r="M825">
        <v>0.99989439999999996</v>
      </c>
      <c r="N825">
        <v>0</v>
      </c>
      <c r="O825">
        <v>-3.7145160000000002E-3</v>
      </c>
      <c r="P825">
        <v>0.99868780000000001</v>
      </c>
      <c r="Q825">
        <v>4.333016E-2</v>
      </c>
      <c r="R825">
        <v>-2.7299090000000002E-2</v>
      </c>
      <c r="S825">
        <v>2.9935299999999998</v>
      </c>
      <c r="T825">
        <v>-5.1440949999999999E-2</v>
      </c>
      <c r="U825">
        <v>-0.4610901</v>
      </c>
      <c r="V825">
        <v>2.3591000000000001E-2</v>
      </c>
      <c r="W825">
        <v>5.7355209999999997E-2</v>
      </c>
      <c r="X825">
        <v>0.99807509999999999</v>
      </c>
      <c r="Y825">
        <v>0.14854010000000001</v>
      </c>
      <c r="Z825">
        <v>-1.205233E-3</v>
      </c>
      <c r="AA825">
        <v>0.9889057</v>
      </c>
      <c r="AB825">
        <v>27</v>
      </c>
      <c r="AC825">
        <v>67.383399999999995</v>
      </c>
      <c r="AD825">
        <v>-1.160582</v>
      </c>
      <c r="AE825">
        <v>-10.402200000000001</v>
      </c>
      <c r="AF825">
        <v>10.1488662047823</v>
      </c>
      <c r="AG825">
        <v>-1.160582</v>
      </c>
      <c r="AH825">
        <v>67.402048517597393</v>
      </c>
      <c r="AI825">
        <v>90.975472950205798</v>
      </c>
      <c r="AJ825">
        <v>81.437180948191497</v>
      </c>
      <c r="AK825">
        <v>68.171713930264801</v>
      </c>
      <c r="AL825">
        <v>86.711984230095297</v>
      </c>
      <c r="AM825">
        <v>88.645980546951805</v>
      </c>
      <c r="AN825">
        <v>1.00000003031757</v>
      </c>
    </row>
    <row r="826" spans="1:40" x14ac:dyDescent="0.25">
      <c r="A826" t="str">
        <f>"20190312150649586"</f>
        <v>20190312150649586</v>
      </c>
      <c r="B826" t="str">
        <f>"1552374409581086"</f>
        <v>1552374409581086</v>
      </c>
      <c r="C826" t="s">
        <v>40</v>
      </c>
      <c r="D826">
        <v>4.2607059999999999</v>
      </c>
      <c r="E826">
        <v>0.54651470000000002</v>
      </c>
      <c r="F826" t="s">
        <v>43</v>
      </c>
      <c r="G826">
        <v>-284.4402</v>
      </c>
      <c r="H826">
        <v>-0.05</v>
      </c>
      <c r="I826">
        <v>356.99250000000001</v>
      </c>
      <c r="J826">
        <v>-352.75470000000001</v>
      </c>
      <c r="K826">
        <v>1.1105849999999999</v>
      </c>
      <c r="L826">
        <v>367.43439999999998</v>
      </c>
      <c r="M826">
        <v>0.99989450000000002</v>
      </c>
      <c r="N826">
        <v>0</v>
      </c>
      <c r="O826">
        <v>-3.7145049999999999E-3</v>
      </c>
      <c r="P826">
        <v>0.99867189999999995</v>
      </c>
      <c r="Q826">
        <v>4.3610469999999998E-2</v>
      </c>
      <c r="R826">
        <v>-2.7435709999999999E-2</v>
      </c>
      <c r="S826">
        <v>2.9936219999999998</v>
      </c>
      <c r="T826">
        <v>-5.0747390000000003E-2</v>
      </c>
      <c r="U826">
        <v>-0.45660400000000001</v>
      </c>
      <c r="V826">
        <v>2.3727890000000001E-2</v>
      </c>
      <c r="W826">
        <v>5.7634159999999997E-2</v>
      </c>
      <c r="X826">
        <v>0.99805580000000005</v>
      </c>
      <c r="Y826">
        <v>0.1470882</v>
      </c>
      <c r="Z826">
        <v>-1.1768499999999999E-3</v>
      </c>
      <c r="AA826">
        <v>0.98912270000000002</v>
      </c>
      <c r="AB826">
        <v>27</v>
      </c>
      <c r="AC826">
        <v>68.314499999999995</v>
      </c>
      <c r="AD826">
        <v>-1.160585</v>
      </c>
      <c r="AE826">
        <v>-10.441899999999899</v>
      </c>
      <c r="AF826">
        <v>10.185175829677499</v>
      </c>
      <c r="AG826">
        <v>-1.160585</v>
      </c>
      <c r="AH826">
        <v>68.333546690632502</v>
      </c>
      <c r="AI826">
        <v>90.962395102415798</v>
      </c>
      <c r="AJ826">
        <v>81.522425251751301</v>
      </c>
      <c r="AK826">
        <v>69.0981791912386</v>
      </c>
      <c r="AL826">
        <v>86.695975137751802</v>
      </c>
      <c r="AM826">
        <v>88.638100289102297</v>
      </c>
      <c r="AN826">
        <v>1.00000004453819</v>
      </c>
    </row>
    <row r="827" spans="1:40" x14ac:dyDescent="0.25">
      <c r="A827" t="str">
        <f>"20190312150649599"</f>
        <v>20190312150649599</v>
      </c>
      <c r="B827" t="str">
        <f>"1552374409590847"</f>
        <v>1552374409590847</v>
      </c>
      <c r="C827" t="s">
        <v>40</v>
      </c>
      <c r="D827">
        <v>4.2054729999999996</v>
      </c>
      <c r="E827">
        <v>0.54626859999999999</v>
      </c>
      <c r="F827" t="s">
        <v>43</v>
      </c>
      <c r="G827">
        <v>-282.28469999999999</v>
      </c>
      <c r="H827">
        <v>-0.05</v>
      </c>
      <c r="I827">
        <v>356.73770000000002</v>
      </c>
      <c r="J827">
        <v>-352.59379999999999</v>
      </c>
      <c r="K827">
        <v>1.1105910000000001</v>
      </c>
      <c r="L827">
        <v>367.43380000000002</v>
      </c>
      <c r="M827">
        <v>0.99989459999999997</v>
      </c>
      <c r="N827">
        <v>0</v>
      </c>
      <c r="O827">
        <v>-3.7144930000000001E-3</v>
      </c>
      <c r="P827">
        <v>0.99864620000000004</v>
      </c>
      <c r="Q827">
        <v>4.4144460000000003E-2</v>
      </c>
      <c r="R827">
        <v>-2.7513840000000001E-2</v>
      </c>
      <c r="S827">
        <v>2.993652</v>
      </c>
      <c r="T827">
        <v>-4.9303050000000001E-2</v>
      </c>
      <c r="U827">
        <v>-0.4544067</v>
      </c>
      <c r="V827">
        <v>2.3806239999999999E-2</v>
      </c>
      <c r="W827">
        <v>5.81659E-2</v>
      </c>
      <c r="X827">
        <v>0.99802299999999999</v>
      </c>
      <c r="Y827">
        <v>0.14637839999999999</v>
      </c>
      <c r="Z827">
        <v>-1.137599E-3</v>
      </c>
      <c r="AA827">
        <v>0.989228</v>
      </c>
      <c r="AB827">
        <v>27</v>
      </c>
      <c r="AC827">
        <v>70.309100000000001</v>
      </c>
      <c r="AD827">
        <v>-1.1605909999999999</v>
      </c>
      <c r="AE827">
        <v>-10.696099999999999</v>
      </c>
      <c r="AF827">
        <v>10.432059574503301</v>
      </c>
      <c r="AG827">
        <v>-1.1605909999999999</v>
      </c>
      <c r="AH827">
        <v>70.329619392524904</v>
      </c>
      <c r="AI827">
        <v>90.935188389060698</v>
      </c>
      <c r="AJ827">
        <v>81.562782163154296</v>
      </c>
      <c r="AK827">
        <v>71.108580370674503</v>
      </c>
      <c r="AL827">
        <v>86.665457197747102</v>
      </c>
      <c r="AM827">
        <v>88.633560079700004</v>
      </c>
      <c r="AN827">
        <v>0.99999995875737202</v>
      </c>
    </row>
    <row r="828" spans="1:40" x14ac:dyDescent="0.25">
      <c r="A828" t="str">
        <f>"20190312150649615"</f>
        <v>20190312150649615</v>
      </c>
      <c r="B828" t="str">
        <f>"1552374409611343"</f>
        <v>1552374409611343</v>
      </c>
      <c r="C828" t="s">
        <v>40</v>
      </c>
      <c r="D828">
        <v>4.2205019999999998</v>
      </c>
      <c r="E828">
        <v>0.54580830000000002</v>
      </c>
      <c r="F828" t="s">
        <v>43</v>
      </c>
      <c r="G828">
        <v>-278.3777</v>
      </c>
      <c r="H828">
        <v>-0.05</v>
      </c>
      <c r="I828">
        <v>356.21780000000001</v>
      </c>
      <c r="J828">
        <v>-352.40719999999999</v>
      </c>
      <c r="K828">
        <v>1.1105940000000001</v>
      </c>
      <c r="L828">
        <v>367.43299999999999</v>
      </c>
      <c r="M828">
        <v>0.99989459999999997</v>
      </c>
      <c r="N828">
        <v>0</v>
      </c>
      <c r="O828">
        <v>-3.7142410000000001E-3</v>
      </c>
      <c r="P828">
        <v>0.99859889999999996</v>
      </c>
      <c r="Q828">
        <v>4.5110249999999998E-2</v>
      </c>
      <c r="R828">
        <v>-2.7668470000000001E-2</v>
      </c>
      <c r="S828">
        <v>2.9936829999999999</v>
      </c>
      <c r="T828">
        <v>-4.6815160000000001E-2</v>
      </c>
      <c r="U828">
        <v>-0.45242310000000002</v>
      </c>
      <c r="V828">
        <v>2.3961059999999999E-2</v>
      </c>
      <c r="W828">
        <v>5.9128890000000003E-2</v>
      </c>
      <c r="X828">
        <v>0.99796280000000004</v>
      </c>
      <c r="Y828">
        <v>0.14573820000000001</v>
      </c>
      <c r="Z828">
        <v>-1.075271E-3</v>
      </c>
      <c r="AA828">
        <v>0.98932260000000005</v>
      </c>
      <c r="AB828">
        <v>27</v>
      </c>
      <c r="AC828">
        <v>74.029499999999899</v>
      </c>
      <c r="AD828">
        <v>-1.1605939999999999</v>
      </c>
      <c r="AE828">
        <v>-11.215199999999999</v>
      </c>
      <c r="AF828">
        <v>10.937504199912199</v>
      </c>
      <c r="AG828">
        <v>-1.1605939999999999</v>
      </c>
      <c r="AH828">
        <v>74.052856777427095</v>
      </c>
      <c r="AI828">
        <v>90.888260253471003</v>
      </c>
      <c r="AJ828">
        <v>81.598235953503405</v>
      </c>
      <c r="AK828">
        <v>74.865222723598805</v>
      </c>
      <c r="AL828">
        <v>86.610187120568199</v>
      </c>
      <c r="AM828">
        <v>88.6245941309881</v>
      </c>
      <c r="AN828">
        <v>1.00000005410639</v>
      </c>
    </row>
    <row r="829" spans="1:40" x14ac:dyDescent="0.25">
      <c r="A829" t="str">
        <f>"20190312150649625"</f>
        <v>20190312150649625</v>
      </c>
      <c r="B829" t="str">
        <f>"1552374409621103"</f>
        <v>1552374409621103</v>
      </c>
      <c r="C829" t="s">
        <v>40</v>
      </c>
      <c r="D829">
        <v>4.2419099999999998</v>
      </c>
      <c r="E829">
        <v>0.5455776</v>
      </c>
      <c r="F829" t="s">
        <v>43</v>
      </c>
      <c r="G829">
        <v>-270.88600000000002</v>
      </c>
      <c r="H829">
        <v>-0.05</v>
      </c>
      <c r="I829">
        <v>355.19799999999998</v>
      </c>
      <c r="J829">
        <v>-352.27269999999999</v>
      </c>
      <c r="K829">
        <v>1.110592</v>
      </c>
      <c r="L829">
        <v>367.4325</v>
      </c>
      <c r="M829">
        <v>0.99989459999999997</v>
      </c>
      <c r="N829">
        <v>0</v>
      </c>
      <c r="O829">
        <v>-3.7142310000000001E-3</v>
      </c>
      <c r="P829">
        <v>0.99858590000000003</v>
      </c>
      <c r="Q829">
        <v>4.5330309999999999E-2</v>
      </c>
      <c r="R829">
        <v>-2.7775520000000001E-2</v>
      </c>
      <c r="S829">
        <v>2.9937130000000001</v>
      </c>
      <c r="T829">
        <v>-4.2620659999999998E-2</v>
      </c>
      <c r="U829">
        <v>-0.4493103</v>
      </c>
      <c r="V829">
        <v>2.4068269999999999E-2</v>
      </c>
      <c r="W829">
        <v>5.9347379999999998E-2</v>
      </c>
      <c r="X829">
        <v>0.99794720000000003</v>
      </c>
      <c r="Y829">
        <v>0.1447338</v>
      </c>
      <c r="Z829">
        <v>-9.7189650000000004E-4</v>
      </c>
      <c r="AA829">
        <v>0.98947010000000002</v>
      </c>
      <c r="AB829">
        <v>27</v>
      </c>
      <c r="AC829">
        <v>81.386700000000005</v>
      </c>
      <c r="AD829">
        <v>-1.1605920000000001</v>
      </c>
      <c r="AE829">
        <v>-12.234499999999899</v>
      </c>
      <c r="AF829">
        <v>11.9297244645382</v>
      </c>
      <c r="AG829">
        <v>-1.1605920000000001</v>
      </c>
      <c r="AH829">
        <v>81.415394472567996</v>
      </c>
      <c r="AI829">
        <v>90.808079153959</v>
      </c>
      <c r="AJ829">
        <v>81.663824587210698</v>
      </c>
      <c r="AK829">
        <v>82.292962984170899</v>
      </c>
      <c r="AL829">
        <v>86.597646371418506</v>
      </c>
      <c r="AM829">
        <v>88.618420884983195</v>
      </c>
      <c r="AN829">
        <v>1.0000000035607399</v>
      </c>
    </row>
    <row r="830" spans="1:40" x14ac:dyDescent="0.25">
      <c r="A830" t="str">
        <f>"20190312150649637"</f>
        <v>20190312150649637</v>
      </c>
      <c r="B830" t="str">
        <f>"1552374409630863"</f>
        <v>1552374409630863</v>
      </c>
      <c r="C830" t="s">
        <v>40</v>
      </c>
      <c r="D830">
        <v>4.437074</v>
      </c>
      <c r="E830">
        <v>0.54540909999999998</v>
      </c>
      <c r="F830" t="s">
        <v>42</v>
      </c>
      <c r="G830">
        <v>-277.53489999999999</v>
      </c>
      <c r="H830">
        <v>7.998624E-2</v>
      </c>
      <c r="I830">
        <v>356.25119999999998</v>
      </c>
      <c r="J830">
        <v>-352.1309</v>
      </c>
      <c r="K830">
        <v>1.1105929999999999</v>
      </c>
      <c r="L830">
        <v>367.43200000000002</v>
      </c>
      <c r="M830">
        <v>0.99989459999999997</v>
      </c>
      <c r="N830">
        <v>0</v>
      </c>
      <c r="O830">
        <v>-3.7142210000000002E-3</v>
      </c>
      <c r="P830">
        <v>0.99856730000000005</v>
      </c>
      <c r="Q830">
        <v>4.5633239999999999E-2</v>
      </c>
      <c r="R830">
        <v>-2.7952540000000001E-2</v>
      </c>
      <c r="S830">
        <v>2.9936829999999999</v>
      </c>
      <c r="T830">
        <v>-4.1281699999999998E-2</v>
      </c>
      <c r="U830">
        <v>-0.447876</v>
      </c>
      <c r="V830">
        <v>2.4245349999999999E-2</v>
      </c>
      <c r="W830">
        <v>5.9648199999999998E-2</v>
      </c>
      <c r="X830">
        <v>0.99792499999999995</v>
      </c>
      <c r="Y830">
        <v>0.1442726</v>
      </c>
      <c r="Z830">
        <v>-9.3824700000000002E-4</v>
      </c>
      <c r="AA830">
        <v>0.98953749999999996</v>
      </c>
      <c r="AB830">
        <v>27</v>
      </c>
      <c r="AC830">
        <v>74.596000000000004</v>
      </c>
      <c r="AD830">
        <v>-1.03060676</v>
      </c>
      <c r="AE830">
        <v>-11.1807999999999</v>
      </c>
      <c r="AF830">
        <v>10.9015943893522</v>
      </c>
      <c r="AG830">
        <v>-1.03060676</v>
      </c>
      <c r="AH830">
        <v>74.623086498299898</v>
      </c>
      <c r="AI830">
        <v>90.7829423731758</v>
      </c>
      <c r="AJ830">
        <v>81.688525284731398</v>
      </c>
      <c r="AK830">
        <v>75.422224503500701</v>
      </c>
      <c r="AL830">
        <v>86.580380140739294</v>
      </c>
      <c r="AM830">
        <v>88.608229083058106</v>
      </c>
      <c r="AN830">
        <v>1.0000000251924299</v>
      </c>
    </row>
    <row r="831" spans="1:40" x14ac:dyDescent="0.25">
      <c r="A831" t="str">
        <f>"20190312150649651"</f>
        <v>20190312150649651</v>
      </c>
      <c r="B831" t="str">
        <f>"1552374409641599"</f>
        <v>1552374409641599</v>
      </c>
      <c r="C831" t="s">
        <v>40</v>
      </c>
      <c r="D831">
        <v>4.4772280000000002</v>
      </c>
      <c r="E831">
        <v>0.5452825</v>
      </c>
      <c r="F831" t="s">
        <v>42</v>
      </c>
      <c r="G831">
        <v>-274.56209999999999</v>
      </c>
      <c r="H831">
        <v>7.998566E-2</v>
      </c>
      <c r="I831">
        <v>355.84899999999999</v>
      </c>
      <c r="J831">
        <v>-351.96859999999998</v>
      </c>
      <c r="K831">
        <v>1.11059</v>
      </c>
      <c r="L831">
        <v>367.4314</v>
      </c>
      <c r="M831">
        <v>0.99989459999999997</v>
      </c>
      <c r="N831">
        <v>0</v>
      </c>
      <c r="O831">
        <v>-3.714209E-3</v>
      </c>
      <c r="P831">
        <v>0.9985387</v>
      </c>
      <c r="Q831">
        <v>4.603633E-2</v>
      </c>
      <c r="R831">
        <v>-2.830299E-2</v>
      </c>
      <c r="S831">
        <v>2.9936219999999998</v>
      </c>
      <c r="T831">
        <v>-3.9774299999999999E-2</v>
      </c>
      <c r="U831">
        <v>-0.44702150000000002</v>
      </c>
      <c r="V831">
        <v>2.459596E-2</v>
      </c>
      <c r="W831">
        <v>6.0048980000000002E-2</v>
      </c>
      <c r="X831">
        <v>0.99789240000000001</v>
      </c>
      <c r="Y831">
        <v>0.14400019999999999</v>
      </c>
      <c r="Z831">
        <v>-9.0222749999999997E-4</v>
      </c>
      <c r="AA831">
        <v>0.98957720000000005</v>
      </c>
      <c r="AB831">
        <v>27</v>
      </c>
      <c r="AC831">
        <v>77.406499999999994</v>
      </c>
      <c r="AD831">
        <v>-1.03060434</v>
      </c>
      <c r="AE831">
        <v>-11.5824</v>
      </c>
      <c r="AF831">
        <v>11.2928298382281</v>
      </c>
      <c r="AG831">
        <v>-1.03060434</v>
      </c>
      <c r="AH831">
        <v>77.435563457610399</v>
      </c>
      <c r="AI831">
        <v>90.754534650189001</v>
      </c>
      <c r="AJ831">
        <v>81.702751062926595</v>
      </c>
      <c r="AK831">
        <v>78.261463307674006</v>
      </c>
      <c r="AL831">
        <v>86.557375959381105</v>
      </c>
      <c r="AM831">
        <v>88.588064781429907</v>
      </c>
      <c r="AN831">
        <v>1.0000000416125601</v>
      </c>
    </row>
    <row r="832" spans="1:40" x14ac:dyDescent="0.25">
      <c r="A832" t="str">
        <f>"20190312150649661"</f>
        <v>20190312150649661</v>
      </c>
      <c r="B832" t="str">
        <f>"1552374409651359"</f>
        <v>1552374409651359</v>
      </c>
      <c r="C832" t="s">
        <v>40</v>
      </c>
      <c r="D832">
        <v>4.2069989999999997</v>
      </c>
      <c r="E832">
        <v>0.54506460000000001</v>
      </c>
      <c r="F832" t="s">
        <v>42</v>
      </c>
      <c r="G832">
        <v>-271.35090000000002</v>
      </c>
      <c r="H832">
        <v>7.998661E-2</v>
      </c>
      <c r="I832">
        <v>355.39089999999999</v>
      </c>
      <c r="J832">
        <v>-351.83339999999998</v>
      </c>
      <c r="K832">
        <v>1.110595</v>
      </c>
      <c r="L832">
        <v>367.43090000000001</v>
      </c>
      <c r="M832">
        <v>0.99989479999999997</v>
      </c>
      <c r="N832">
        <v>0</v>
      </c>
      <c r="O832">
        <v>-3.7144370000000001E-3</v>
      </c>
      <c r="P832">
        <v>0.9985328</v>
      </c>
      <c r="Q832">
        <v>4.6045790000000003E-2</v>
      </c>
      <c r="R832">
        <v>-2.8498559999999999E-2</v>
      </c>
      <c r="S832">
        <v>2.9934690000000002</v>
      </c>
      <c r="T832">
        <v>-3.8267969999999998E-2</v>
      </c>
      <c r="U832">
        <v>-0.44708249999999999</v>
      </c>
      <c r="V832">
        <v>2.4791420000000002E-2</v>
      </c>
      <c r="W832">
        <v>6.0057069999999997E-2</v>
      </c>
      <c r="X832">
        <v>0.99788699999999997</v>
      </c>
      <c r="Y832">
        <v>0.14402789999999999</v>
      </c>
      <c r="Z832">
        <v>-8.6827729999999997E-4</v>
      </c>
      <c r="AA832">
        <v>0.98957320000000004</v>
      </c>
      <c r="AB832">
        <v>27</v>
      </c>
      <c r="AC832">
        <v>80.482499999999902</v>
      </c>
      <c r="AD832">
        <v>-1.03060839</v>
      </c>
      <c r="AE832">
        <v>-12.04</v>
      </c>
      <c r="AF832">
        <v>11.7390575538652</v>
      </c>
      <c r="AG832">
        <v>-1.03060839</v>
      </c>
      <c r="AH832">
        <v>80.513757443379106</v>
      </c>
      <c r="AI832">
        <v>90.725696804380505</v>
      </c>
      <c r="AJ832">
        <v>81.7046194068391</v>
      </c>
      <c r="AK832">
        <v>81.371572207729798</v>
      </c>
      <c r="AL832">
        <v>86.556911335964102</v>
      </c>
      <c r="AM832">
        <v>88.576841265430303</v>
      </c>
      <c r="AN832">
        <v>0.99999996546579994</v>
      </c>
    </row>
    <row r="833" spans="1:40" x14ac:dyDescent="0.25">
      <c r="A833" t="str">
        <f>"20190312150649672"</f>
        <v>20190312150649672</v>
      </c>
      <c r="B833" t="str">
        <f>"1552374409661119"</f>
        <v>1552374409661119</v>
      </c>
      <c r="C833" t="s">
        <v>40</v>
      </c>
      <c r="D833">
        <v>4.2127939999999997</v>
      </c>
      <c r="E833">
        <v>0.54484390000000005</v>
      </c>
      <c r="F833" t="s">
        <v>42</v>
      </c>
      <c r="G833">
        <v>-270.36669999999998</v>
      </c>
      <c r="H833">
        <v>7.9986899999999903E-2</v>
      </c>
      <c r="I833">
        <v>355.30160000000001</v>
      </c>
      <c r="J833">
        <v>-351.70830000000001</v>
      </c>
      <c r="K833">
        <v>1.110595</v>
      </c>
      <c r="L833">
        <v>367.43049999999999</v>
      </c>
      <c r="M833">
        <v>0.99989479999999997</v>
      </c>
      <c r="N833">
        <v>0</v>
      </c>
      <c r="O833">
        <v>-3.7144280000000001E-3</v>
      </c>
      <c r="P833">
        <v>0.99851710000000005</v>
      </c>
      <c r="Q833">
        <v>4.6194689999999997E-2</v>
      </c>
      <c r="R833">
        <v>-2.8810329999999999E-2</v>
      </c>
      <c r="S833">
        <v>2.993439</v>
      </c>
      <c r="T833">
        <v>-3.7868979999999997E-2</v>
      </c>
      <c r="U833">
        <v>-0.44567869999999998</v>
      </c>
      <c r="V833">
        <v>2.5103239999999999E-2</v>
      </c>
      <c r="W833">
        <v>6.0204140000000003E-2</v>
      </c>
      <c r="X833">
        <v>0.99787040000000005</v>
      </c>
      <c r="Y833">
        <v>0.1435757</v>
      </c>
      <c r="Z833">
        <v>-8.5641869999999998E-4</v>
      </c>
      <c r="AA833">
        <v>0.98963900000000005</v>
      </c>
      <c r="AB833">
        <v>27</v>
      </c>
      <c r="AC833">
        <v>81.3416</v>
      </c>
      <c r="AD833">
        <v>-1.0306081</v>
      </c>
      <c r="AE833">
        <v>-12.1288999999999</v>
      </c>
      <c r="AF833">
        <v>11.8247921223434</v>
      </c>
      <c r="AG833">
        <v>-1.0306081</v>
      </c>
      <c r="AH833">
        <v>81.373316211273007</v>
      </c>
      <c r="AI833">
        <v>90.718081554748096</v>
      </c>
      <c r="AJ833">
        <v>81.731917266415195</v>
      </c>
      <c r="AK833">
        <v>82.234448092099697</v>
      </c>
      <c r="AL833">
        <v>86.548469769536595</v>
      </c>
      <c r="AM833">
        <v>88.558924685506099</v>
      </c>
      <c r="AN833">
        <v>1.0000000231638899</v>
      </c>
    </row>
    <row r="834" spans="1:40" x14ac:dyDescent="0.25">
      <c r="A834" t="str">
        <f>"20190312150649682"</f>
        <v>20190312150649682</v>
      </c>
      <c r="B834" t="str">
        <f>"1552374409670880"</f>
        <v>1552374409670880</v>
      </c>
      <c r="C834" t="s">
        <v>40</v>
      </c>
      <c r="D834">
        <v>4.2071050000000003</v>
      </c>
      <c r="E834">
        <v>0.54462889999999997</v>
      </c>
      <c r="F834" t="s">
        <v>42</v>
      </c>
      <c r="G834">
        <v>-268.13490000000002</v>
      </c>
      <c r="H834">
        <v>7.9986109999999999E-2</v>
      </c>
      <c r="I834">
        <v>355.00670000000002</v>
      </c>
      <c r="J834">
        <v>-351.57729999999998</v>
      </c>
      <c r="K834">
        <v>1.1105940000000001</v>
      </c>
      <c r="L834">
        <v>367.43</v>
      </c>
      <c r="M834">
        <v>0.99989470000000003</v>
      </c>
      <c r="N834">
        <v>0</v>
      </c>
      <c r="O834">
        <v>-3.7141800000000001E-3</v>
      </c>
      <c r="P834">
        <v>0.9985077</v>
      </c>
      <c r="Q834">
        <v>4.6223399999999998E-2</v>
      </c>
      <c r="R834">
        <v>-2.908469E-2</v>
      </c>
      <c r="S834">
        <v>2.9933169999999998</v>
      </c>
      <c r="T834">
        <v>-3.6912920000000002E-2</v>
      </c>
      <c r="U834">
        <v>-0.44497680000000001</v>
      </c>
      <c r="V834">
        <v>2.5377759999999999E-2</v>
      </c>
      <c r="W834">
        <v>6.0231750000000001E-2</v>
      </c>
      <c r="X834">
        <v>0.99786169999999996</v>
      </c>
      <c r="Y834">
        <v>0.14335539999999999</v>
      </c>
      <c r="Z834">
        <v>-8.3349849999999996E-4</v>
      </c>
      <c r="AA834">
        <v>0.98967090000000002</v>
      </c>
      <c r="AB834">
        <v>27</v>
      </c>
      <c r="AC834">
        <v>83.442399999999907</v>
      </c>
      <c r="AD834">
        <v>-1.03060789</v>
      </c>
      <c r="AE834">
        <v>-12.4232999999999</v>
      </c>
      <c r="AF834">
        <v>12.111456159047799</v>
      </c>
      <c r="AG834">
        <v>-1.03060789</v>
      </c>
      <c r="AH834">
        <v>83.475513179440597</v>
      </c>
      <c r="AI834">
        <v>90.700021939695802</v>
      </c>
      <c r="AJ834">
        <v>81.7445664666281</v>
      </c>
      <c r="AK834">
        <v>84.35585826418</v>
      </c>
      <c r="AL834">
        <v>86.546884646618295</v>
      </c>
      <c r="AM834">
        <v>88.5431596629263</v>
      </c>
      <c r="AN834">
        <v>0.99999993336878201</v>
      </c>
    </row>
    <row r="835" spans="1:40" x14ac:dyDescent="0.25">
      <c r="A835" t="str">
        <f>"20190312150649694"</f>
        <v>20190312150649694</v>
      </c>
      <c r="B835" t="str">
        <f>"1552374409691375"</f>
        <v>1552374409691375</v>
      </c>
      <c r="C835" t="s">
        <v>40</v>
      </c>
      <c r="D835">
        <v>4.1908029999999998</v>
      </c>
      <c r="E835">
        <v>0.54423669999999902</v>
      </c>
      <c r="F835" t="s">
        <v>42</v>
      </c>
      <c r="G835">
        <v>-266.71140000000003</v>
      </c>
      <c r="H835">
        <v>7.9986539999999995E-2</v>
      </c>
      <c r="I835">
        <v>354.84129999999999</v>
      </c>
      <c r="J835">
        <v>-351.44889999999998</v>
      </c>
      <c r="K835">
        <v>1.110595</v>
      </c>
      <c r="L835">
        <v>367.42950000000002</v>
      </c>
      <c r="M835">
        <v>0.99989470000000003</v>
      </c>
      <c r="N835">
        <v>0</v>
      </c>
      <c r="O835">
        <v>-3.7141700000000001E-3</v>
      </c>
      <c r="P835">
        <v>0.99848970000000004</v>
      </c>
      <c r="Q835">
        <v>4.6379249999999997E-2</v>
      </c>
      <c r="R835">
        <v>-2.945335E-2</v>
      </c>
      <c r="S835">
        <v>2.9932249999999998</v>
      </c>
      <c r="T835">
        <v>-3.6349529999999998E-2</v>
      </c>
      <c r="U835">
        <v>-0.44400020000000001</v>
      </c>
      <c r="V835">
        <v>2.574653E-2</v>
      </c>
      <c r="W835">
        <v>6.0385960000000002E-2</v>
      </c>
      <c r="X835">
        <v>0.99784300000000004</v>
      </c>
      <c r="Y835">
        <v>0.14304420000000001</v>
      </c>
      <c r="Z835">
        <v>-8.1894369999999995E-4</v>
      </c>
      <c r="AA835">
        <v>0.98971589999999998</v>
      </c>
      <c r="AB835">
        <v>27</v>
      </c>
      <c r="AC835">
        <v>84.737499999999898</v>
      </c>
      <c r="AD835">
        <v>-1.0306084600000001</v>
      </c>
      <c r="AE835">
        <v>-12.588200000000001</v>
      </c>
      <c r="AF835">
        <v>12.2715766467938</v>
      </c>
      <c r="AG835">
        <v>-1.0306084600000001</v>
      </c>
      <c r="AH835">
        <v>84.771405825202095</v>
      </c>
      <c r="AI835">
        <v>90.689354391861599</v>
      </c>
      <c r="AJ835">
        <v>81.763036079086802</v>
      </c>
      <c r="AK835">
        <v>85.6612222232269</v>
      </c>
      <c r="AL835">
        <v>86.538033183722106</v>
      </c>
      <c r="AM835">
        <v>88.521971621592499</v>
      </c>
      <c r="AN835">
        <v>1.00000000031058</v>
      </c>
    </row>
    <row r="836" spans="1:40" x14ac:dyDescent="0.25">
      <c r="A836" t="str">
        <f>"20190312150649705"</f>
        <v>20190312150649705</v>
      </c>
      <c r="B836" t="str">
        <f>"1552374409701135"</f>
        <v>1552374409701135</v>
      </c>
      <c r="C836" t="s">
        <v>40</v>
      </c>
      <c r="D836">
        <v>4.2000149999999996</v>
      </c>
      <c r="E836">
        <v>0.54402969999999995</v>
      </c>
      <c r="F836" t="s">
        <v>43</v>
      </c>
      <c r="G836">
        <v>-252.12110000000001</v>
      </c>
      <c r="H836">
        <v>-0.05</v>
      </c>
      <c r="I836">
        <v>352.75619999999998</v>
      </c>
      <c r="J836">
        <v>-351.3175</v>
      </c>
      <c r="K836">
        <v>1.110595</v>
      </c>
      <c r="L836">
        <v>367.42899999999997</v>
      </c>
      <c r="M836">
        <v>0.99989479999999997</v>
      </c>
      <c r="N836">
        <v>0</v>
      </c>
      <c r="O836">
        <v>-3.7141610000000001E-3</v>
      </c>
      <c r="P836">
        <v>0.99847319999999995</v>
      </c>
      <c r="Q836">
        <v>4.649884E-2</v>
      </c>
      <c r="R836">
        <v>-2.9824050000000001E-2</v>
      </c>
      <c r="S836">
        <v>2.9931640000000002</v>
      </c>
      <c r="T836">
        <v>-3.4973619999999997E-2</v>
      </c>
      <c r="U836">
        <v>-0.44216919999999998</v>
      </c>
      <c r="V836">
        <v>2.6117319999999999E-2</v>
      </c>
      <c r="W836">
        <v>6.0504000000000002E-2</v>
      </c>
      <c r="X836">
        <v>0.9978262</v>
      </c>
      <c r="Y836">
        <v>0.14245539999999901</v>
      </c>
      <c r="Z836">
        <v>-7.8457679999999902E-4</v>
      </c>
      <c r="AA836">
        <v>0.98980089999999998</v>
      </c>
      <c r="AB836">
        <v>27</v>
      </c>
      <c r="AC836">
        <v>99.196399999999898</v>
      </c>
      <c r="AD836">
        <v>-1.160595</v>
      </c>
      <c r="AE836">
        <v>-14.672800000000001</v>
      </c>
      <c r="AF836">
        <v>14.302315237661</v>
      </c>
      <c r="AG836">
        <v>-1.160595</v>
      </c>
      <c r="AH836">
        <v>99.236924535960895</v>
      </c>
      <c r="AI836">
        <v>90.663202850959294</v>
      </c>
      <c r="AJ836">
        <v>81.798837116107904</v>
      </c>
      <c r="AK836">
        <v>100.26899018773101</v>
      </c>
      <c r="AL836">
        <v>86.531257554431505</v>
      </c>
      <c r="AM836">
        <v>88.500670133656598</v>
      </c>
      <c r="AN836">
        <v>0.99999998691321101</v>
      </c>
    </row>
    <row r="837" spans="1:40" x14ac:dyDescent="0.25">
      <c r="A837" t="str">
        <f>"20190312150649715"</f>
        <v>20190312150649715</v>
      </c>
      <c r="B837" t="str">
        <f>"1552374409710896"</f>
        <v>1552374409710896</v>
      </c>
      <c r="C837" t="s">
        <v>40</v>
      </c>
      <c r="D837">
        <v>4.1800759999999997</v>
      </c>
      <c r="E837">
        <v>0.54382799999999998</v>
      </c>
      <c r="F837" t="s">
        <v>43</v>
      </c>
      <c r="G837">
        <v>-250.33789999999999</v>
      </c>
      <c r="H837">
        <v>-0.05</v>
      </c>
      <c r="I837">
        <v>352.52859999999998</v>
      </c>
      <c r="J837">
        <v>-351.17570000000001</v>
      </c>
      <c r="K837">
        <v>1.110598</v>
      </c>
      <c r="L837">
        <v>367.42840000000001</v>
      </c>
      <c r="M837">
        <v>0.99989470000000003</v>
      </c>
      <c r="N837">
        <v>0</v>
      </c>
      <c r="O837">
        <v>-3.7140319999999999E-3</v>
      </c>
      <c r="P837">
        <v>0.99847810000000004</v>
      </c>
      <c r="Q837">
        <v>4.6163740000000002E-2</v>
      </c>
      <c r="R837">
        <v>-3.0182199999999999E-2</v>
      </c>
      <c r="S837">
        <v>2.993042</v>
      </c>
      <c r="T837">
        <v>-3.4400109999999998E-2</v>
      </c>
      <c r="U837">
        <v>-0.4416504</v>
      </c>
      <c r="V837">
        <v>2.6475390000000001E-2</v>
      </c>
      <c r="W837">
        <v>6.0167499999999999E-2</v>
      </c>
      <c r="X837">
        <v>0.99783710000000003</v>
      </c>
      <c r="Y837">
        <v>0.1422938</v>
      </c>
      <c r="Z837">
        <v>-7.7083030000000001E-4</v>
      </c>
      <c r="AA837">
        <v>0.98982420000000004</v>
      </c>
      <c r="AB837">
        <v>27</v>
      </c>
      <c r="AC837">
        <v>100.8378</v>
      </c>
      <c r="AD837">
        <v>-1.160598</v>
      </c>
      <c r="AE837">
        <v>-14.899800000000001</v>
      </c>
      <c r="AF837">
        <v>14.5232627556042</v>
      </c>
      <c r="AG837">
        <v>-1.160598</v>
      </c>
      <c r="AH837">
        <v>100.879370220843</v>
      </c>
      <c r="AI837">
        <v>90.652422072167496</v>
      </c>
      <c r="AJ837">
        <v>81.807609911098396</v>
      </c>
      <c r="AK837">
        <v>101.92604909903901</v>
      </c>
      <c r="AL837">
        <v>86.550572737346698</v>
      </c>
      <c r="AM837">
        <v>88.480140403978695</v>
      </c>
      <c r="AN837">
        <v>0.99999997623415504</v>
      </c>
    </row>
    <row r="838" spans="1:40" x14ac:dyDescent="0.25">
      <c r="A838" t="str">
        <f>"20190312150649727"</f>
        <v>20190312150649727</v>
      </c>
      <c r="B838" t="str">
        <f>"1552374409721631"</f>
        <v>1552374409721631</v>
      </c>
      <c r="C838" t="s">
        <v>40</v>
      </c>
      <c r="D838">
        <v>4.1810609999999997</v>
      </c>
      <c r="E838">
        <v>0.54363600000000001</v>
      </c>
      <c r="F838" t="s">
        <v>43</v>
      </c>
      <c r="G838">
        <v>-252.2517</v>
      </c>
      <c r="H838">
        <v>-0.05</v>
      </c>
      <c r="I838">
        <v>352.8528</v>
      </c>
      <c r="J838">
        <v>-351.05040000000002</v>
      </c>
      <c r="K838">
        <v>1.1106</v>
      </c>
      <c r="L838">
        <v>367.428</v>
      </c>
      <c r="M838">
        <v>0.99989490000000003</v>
      </c>
      <c r="N838">
        <v>0</v>
      </c>
      <c r="O838">
        <v>-3.7141420000000001E-3</v>
      </c>
      <c r="P838">
        <v>0.99846829999999998</v>
      </c>
      <c r="Q838">
        <v>4.610831E-2</v>
      </c>
      <c r="R838">
        <v>-3.0583059999999999E-2</v>
      </c>
      <c r="S838">
        <v>2.9928889999999999</v>
      </c>
      <c r="T838">
        <v>-3.5113220000000001E-2</v>
      </c>
      <c r="U838">
        <v>-0.44097900000000001</v>
      </c>
      <c r="V838">
        <v>2.6876440000000001E-2</v>
      </c>
      <c r="W838">
        <v>6.011085E-2</v>
      </c>
      <c r="X838">
        <v>0.99782979999999999</v>
      </c>
      <c r="Y838">
        <v>0.1420833</v>
      </c>
      <c r="Z838">
        <v>-7.8563149999999905E-4</v>
      </c>
      <c r="AA838">
        <v>0.98985440000000002</v>
      </c>
      <c r="AB838">
        <v>27</v>
      </c>
      <c r="AC838">
        <v>98.798699999999997</v>
      </c>
      <c r="AD838">
        <v>-1.1606000000000001</v>
      </c>
      <c r="AE838">
        <v>-14.575200000000001</v>
      </c>
      <c r="AF838">
        <v>14.206192383709499</v>
      </c>
      <c r="AG838">
        <v>-1.1606000000000001</v>
      </c>
      <c r="AH838">
        <v>98.838809359608405</v>
      </c>
      <c r="AI838">
        <v>90.665913613869904</v>
      </c>
      <c r="AJ838">
        <v>81.820841541751406</v>
      </c>
      <c r="AK838">
        <v>99.861269419269803</v>
      </c>
      <c r="AL838">
        <v>86.553824454102497</v>
      </c>
      <c r="AM838">
        <v>88.457117288434702</v>
      </c>
      <c r="AN838">
        <v>0.99999998354141795</v>
      </c>
    </row>
    <row r="839" spans="1:40" x14ac:dyDescent="0.25">
      <c r="A839" t="str">
        <f>"20190312150649737"</f>
        <v>20190312150649737</v>
      </c>
      <c r="B839" t="str">
        <f>"1552374409731391"</f>
        <v>1552374409731391</v>
      </c>
      <c r="C839" t="s">
        <v>40</v>
      </c>
      <c r="D839">
        <v>4.1664389999999996</v>
      </c>
      <c r="E839">
        <v>0.54345019999999999</v>
      </c>
      <c r="F839" t="s">
        <v>43</v>
      </c>
      <c r="G839">
        <v>-251.57329999999999</v>
      </c>
      <c r="H839">
        <v>-0.05</v>
      </c>
      <c r="I839">
        <v>352.77089999999998</v>
      </c>
      <c r="J839">
        <v>-350.91590000000002</v>
      </c>
      <c r="K839">
        <v>1.1106</v>
      </c>
      <c r="L839">
        <v>367.42750000000001</v>
      </c>
      <c r="M839">
        <v>0.99989490000000003</v>
      </c>
      <c r="N839">
        <v>0</v>
      </c>
      <c r="O839">
        <v>-3.7141320000000002E-3</v>
      </c>
      <c r="P839">
        <v>0.9984558</v>
      </c>
      <c r="Q839">
        <v>4.6148179999999997E-2</v>
      </c>
      <c r="R839">
        <v>-3.092932E-2</v>
      </c>
      <c r="S839">
        <v>2.9927060000000001</v>
      </c>
      <c r="T839">
        <v>-3.4915920000000003E-2</v>
      </c>
      <c r="U839">
        <v>-0.44094850000000002</v>
      </c>
      <c r="V839">
        <v>2.7222570000000001E-2</v>
      </c>
      <c r="W839">
        <v>6.0148930000000003E-2</v>
      </c>
      <c r="X839">
        <v>0.99781810000000004</v>
      </c>
      <c r="Y839">
        <v>0.14208229999999999</v>
      </c>
      <c r="Z839">
        <v>-7.8125959999999996E-4</v>
      </c>
      <c r="AA839">
        <v>0.98985460000000003</v>
      </c>
      <c r="AB839">
        <v>27</v>
      </c>
      <c r="AC839">
        <v>99.342600000000004</v>
      </c>
      <c r="AD839">
        <v>-1.1606000000000001</v>
      </c>
      <c r="AE839">
        <v>-14.656599999999999</v>
      </c>
      <c r="AF839">
        <v>14.2855828487767</v>
      </c>
      <c r="AG839">
        <v>-1.1606000000000001</v>
      </c>
      <c r="AH839">
        <v>99.383080934177997</v>
      </c>
      <c r="AI839">
        <v>90.662265972594696</v>
      </c>
      <c r="AJ839">
        <v>81.820185297217606</v>
      </c>
      <c r="AK839">
        <v>100.411262543893</v>
      </c>
      <c r="AL839">
        <v>86.551638599280594</v>
      </c>
      <c r="AM839">
        <v>88.437238647525206</v>
      </c>
      <c r="AN839">
        <v>0.99999996139257896</v>
      </c>
    </row>
    <row r="840" spans="1:40" x14ac:dyDescent="0.25">
      <c r="A840" t="str">
        <f>"20190312150649749"</f>
        <v>20190312150649749</v>
      </c>
      <c r="B840" t="str">
        <f>"1552374409741151"</f>
        <v>1552374409741151</v>
      </c>
      <c r="C840" t="s">
        <v>40</v>
      </c>
      <c r="D840">
        <v>4.1752949999999904</v>
      </c>
      <c r="E840">
        <v>0.543267099999999</v>
      </c>
      <c r="F840" t="s">
        <v>43</v>
      </c>
      <c r="G840">
        <v>-249.9734</v>
      </c>
      <c r="H840">
        <v>-0.05</v>
      </c>
      <c r="I840">
        <v>352.58620000000002</v>
      </c>
      <c r="J840">
        <v>-350.77260000000001</v>
      </c>
      <c r="K840">
        <v>1.1106009999999999</v>
      </c>
      <c r="L840">
        <v>367.42700000000002</v>
      </c>
      <c r="M840">
        <v>0.99989490000000003</v>
      </c>
      <c r="N840">
        <v>0</v>
      </c>
      <c r="O840">
        <v>-3.7141209999999999E-3</v>
      </c>
      <c r="P840">
        <v>0.99845459999999997</v>
      </c>
      <c r="Q840">
        <v>4.6100820000000001E-2</v>
      </c>
      <c r="R840">
        <v>-3.1039890000000001E-2</v>
      </c>
      <c r="S840">
        <v>2.992645</v>
      </c>
      <c r="T840">
        <v>-3.4408330000000001E-2</v>
      </c>
      <c r="U840">
        <v>-0.44000240000000002</v>
      </c>
      <c r="V840">
        <v>2.7333179999999999E-2</v>
      </c>
      <c r="W840">
        <v>6.0099909999999999E-2</v>
      </c>
      <c r="X840">
        <v>0.99781810000000004</v>
      </c>
      <c r="Y840">
        <v>0.14177919999999999</v>
      </c>
      <c r="Z840">
        <v>-7.682028E-4</v>
      </c>
      <c r="AA840">
        <v>0.98989799999999994</v>
      </c>
      <c r="AB840">
        <v>27</v>
      </c>
      <c r="AC840">
        <v>100.7992</v>
      </c>
      <c r="AD840">
        <v>-1.160601</v>
      </c>
      <c r="AE840">
        <v>-14.8407999999999</v>
      </c>
      <c r="AF840">
        <v>14.464403534354</v>
      </c>
      <c r="AG840">
        <v>-1.160601</v>
      </c>
      <c r="AH840">
        <v>100.84054556862</v>
      </c>
      <c r="AI840">
        <v>90.652723467578994</v>
      </c>
      <c r="AJ840">
        <v>81.837264453044995</v>
      </c>
      <c r="AK840">
        <v>101.879250070182</v>
      </c>
      <c r="AL840">
        <v>86.554452570003505</v>
      </c>
      <c r="AM840">
        <v>88.430892046431694</v>
      </c>
      <c r="AN840">
        <v>1.0000000312992601</v>
      </c>
    </row>
    <row r="841" spans="1:40" x14ac:dyDescent="0.25">
      <c r="A841" t="str">
        <f>"20190312150649761"</f>
        <v>20190312150649761</v>
      </c>
      <c r="B841" t="str">
        <f>"1552374409750912"</f>
        <v>1552374409750912</v>
      </c>
      <c r="C841" t="s">
        <v>40</v>
      </c>
      <c r="D841">
        <v>4.1597189999999999</v>
      </c>
      <c r="E841">
        <v>0.54309730000000001</v>
      </c>
      <c r="F841" t="s">
        <v>43</v>
      </c>
      <c r="G841">
        <v>-249.91419999999999</v>
      </c>
      <c r="H841">
        <v>-0.05</v>
      </c>
      <c r="I841">
        <v>352.62849999999997</v>
      </c>
      <c r="J841">
        <v>-350.63040000000001</v>
      </c>
      <c r="K841">
        <v>1.1105969999999901</v>
      </c>
      <c r="L841">
        <v>367.42649999999998</v>
      </c>
      <c r="M841">
        <v>0.99989490000000003</v>
      </c>
      <c r="N841">
        <v>0</v>
      </c>
      <c r="O841">
        <v>-3.7141100000000001E-3</v>
      </c>
      <c r="P841">
        <v>0.99845680000000003</v>
      </c>
      <c r="Q841">
        <v>4.6079910000000002E-2</v>
      </c>
      <c r="R841">
        <v>-3.100166E-2</v>
      </c>
      <c r="S841">
        <v>2.9925839999999999</v>
      </c>
      <c r="T841">
        <v>-3.4436349999999998E-2</v>
      </c>
      <c r="U841">
        <v>-0.4390869</v>
      </c>
      <c r="V841">
        <v>2.7295010000000001E-2</v>
      </c>
      <c r="W841">
        <v>6.0078010000000001E-2</v>
      </c>
      <c r="X841">
        <v>0.99782040000000005</v>
      </c>
      <c r="Y841">
        <v>0.14148559999999999</v>
      </c>
      <c r="Z841">
        <v>-7.6718119999999999E-4</v>
      </c>
      <c r="AA841">
        <v>0.98994000000000004</v>
      </c>
      <c r="AB841">
        <v>27</v>
      </c>
      <c r="AC841">
        <v>100.7162</v>
      </c>
      <c r="AD841">
        <v>-1.1605970000000001</v>
      </c>
      <c r="AE841">
        <v>-14.798</v>
      </c>
      <c r="AF841">
        <v>14.421915517105001</v>
      </c>
      <c r="AG841">
        <v>-1.1605970000000001</v>
      </c>
      <c r="AH841">
        <v>100.757375182324</v>
      </c>
      <c r="AI841">
        <v>90.653287777175805</v>
      </c>
      <c r="AJ841">
        <v>81.854291808772999</v>
      </c>
      <c r="AK841">
        <v>101.79089982022199</v>
      </c>
      <c r="AL841">
        <v>86.555709399866103</v>
      </c>
      <c r="AM841">
        <v>88.433085777409005</v>
      </c>
      <c r="AN841">
        <v>0.99999996775630895</v>
      </c>
    </row>
    <row r="842" spans="1:40" x14ac:dyDescent="0.25">
      <c r="A842" t="str">
        <f>"20190312150649774"</f>
        <v>20190312150649774</v>
      </c>
      <c r="B842" t="str">
        <f>"1552374409771407"</f>
        <v>1552374409771407</v>
      </c>
      <c r="C842" t="s">
        <v>40</v>
      </c>
      <c r="D842">
        <v>4.1665999999999999</v>
      </c>
      <c r="E842">
        <v>0.54276080000000004</v>
      </c>
      <c r="F842" t="s">
        <v>43</v>
      </c>
      <c r="G842">
        <v>-249.39</v>
      </c>
      <c r="H842">
        <v>-0.05</v>
      </c>
      <c r="I842">
        <v>352.62180000000001</v>
      </c>
      <c r="J842">
        <v>-350.4821</v>
      </c>
      <c r="K842">
        <v>1.1105969999999901</v>
      </c>
      <c r="L842">
        <v>367.42590000000001</v>
      </c>
      <c r="M842">
        <v>0.99989470000000003</v>
      </c>
      <c r="N842">
        <v>0</v>
      </c>
      <c r="O842">
        <v>-3.7139780000000002E-3</v>
      </c>
      <c r="P842">
        <v>0.99845110000000004</v>
      </c>
      <c r="Q842">
        <v>4.6188420000000001E-2</v>
      </c>
      <c r="R842">
        <v>-3.1020329999999999E-2</v>
      </c>
      <c r="S842">
        <v>2.992645</v>
      </c>
      <c r="T842">
        <v>-3.4306999999999997E-2</v>
      </c>
      <c r="U842">
        <v>-0.43762210000000001</v>
      </c>
      <c r="V842">
        <v>2.7313759999999999E-2</v>
      </c>
      <c r="W842">
        <v>6.0184630000000003E-2</v>
      </c>
      <c r="X842">
        <v>0.99781350000000002</v>
      </c>
      <c r="Y842">
        <v>0.14100860000000001</v>
      </c>
      <c r="Z842">
        <v>-7.6159280000000001E-4</v>
      </c>
      <c r="AA842">
        <v>0.99000809999999995</v>
      </c>
      <c r="AB842">
        <v>27</v>
      </c>
      <c r="AC842">
        <v>101.0921</v>
      </c>
      <c r="AD842">
        <v>-1.1605970000000001</v>
      </c>
      <c r="AE842">
        <v>-14.8041</v>
      </c>
      <c r="AF842">
        <v>14.426645526455401</v>
      </c>
      <c r="AG842">
        <v>-1.1605970000000001</v>
      </c>
      <c r="AH842">
        <v>101.133340242589</v>
      </c>
      <c r="AI842">
        <v>90.6509036093736</v>
      </c>
      <c r="AJ842">
        <v>81.881543162134605</v>
      </c>
      <c r="AK842">
        <v>102.16372935227901</v>
      </c>
      <c r="AL842">
        <v>86.549589581490295</v>
      </c>
      <c r="AM842">
        <v>88.431999103042699</v>
      </c>
      <c r="AN842">
        <v>1.0000000059779099</v>
      </c>
    </row>
    <row r="843" spans="1:40" x14ac:dyDescent="0.25">
      <c r="A843" t="str">
        <f>"20190312150649787"</f>
        <v>20190312150649787</v>
      </c>
      <c r="B843" t="str">
        <f>"1552374409781167"</f>
        <v>1552374409781167</v>
      </c>
      <c r="C843" t="s">
        <v>40</v>
      </c>
      <c r="D843">
        <v>4.161842</v>
      </c>
      <c r="E843">
        <v>0.54259849999999998</v>
      </c>
      <c r="F843" t="s">
        <v>43</v>
      </c>
      <c r="G843">
        <v>-247.30250000000001</v>
      </c>
      <c r="H843">
        <v>-0.05</v>
      </c>
      <c r="I843">
        <v>352.43060000000003</v>
      </c>
      <c r="J843">
        <v>-350.33139999999997</v>
      </c>
      <c r="K843">
        <v>1.1105969999999901</v>
      </c>
      <c r="L843">
        <v>367.42540000000002</v>
      </c>
      <c r="M843">
        <v>0.99989490000000003</v>
      </c>
      <c r="N843">
        <v>0</v>
      </c>
      <c r="O843">
        <v>-3.713966E-3</v>
      </c>
      <c r="P843">
        <v>0.998448</v>
      </c>
      <c r="Q843">
        <v>4.6325610000000003E-2</v>
      </c>
      <c r="R843">
        <v>-3.0912450000000001E-2</v>
      </c>
      <c r="S843">
        <v>2.9927060000000001</v>
      </c>
      <c r="T843">
        <v>-3.3662919999999999E-2</v>
      </c>
      <c r="U843">
        <v>-0.4349365</v>
      </c>
      <c r="V843">
        <v>2.7206089999999999E-2</v>
      </c>
      <c r="W843">
        <v>6.0319810000000001E-2</v>
      </c>
      <c r="X843">
        <v>0.99780829999999998</v>
      </c>
      <c r="Y843">
        <v>0.14013610000000001</v>
      </c>
      <c r="Z843">
        <v>-7.4244749999999998E-4</v>
      </c>
      <c r="AA843">
        <v>0.99013200000000001</v>
      </c>
      <c r="AB843">
        <v>27</v>
      </c>
      <c r="AC843">
        <v>103.028899999999</v>
      </c>
      <c r="AD843">
        <v>-1.1605970000000001</v>
      </c>
      <c r="AE843">
        <v>-14.9947999999999</v>
      </c>
      <c r="AF843">
        <v>14.610197645144</v>
      </c>
      <c r="AG843">
        <v>-1.1605970000000001</v>
      </c>
      <c r="AH843">
        <v>103.071077021077</v>
      </c>
      <c r="AI843">
        <v>90.638747843859093</v>
      </c>
      <c r="AJ843">
        <v>81.932142671169501</v>
      </c>
      <c r="AK843">
        <v>104.107885286905</v>
      </c>
      <c r="AL843">
        <v>86.541830314176593</v>
      </c>
      <c r="AM843">
        <v>88.438168911492397</v>
      </c>
      <c r="AN843">
        <v>1.0000000271802001</v>
      </c>
    </row>
    <row r="844" spans="1:40" x14ac:dyDescent="0.25">
      <c r="A844" t="str">
        <f>"20190312150649799"</f>
        <v>20190312150649799</v>
      </c>
      <c r="B844" t="str">
        <f>"1552374409791904"</f>
        <v>1552374409791904</v>
      </c>
      <c r="C844" t="s">
        <v>40</v>
      </c>
      <c r="D844">
        <v>4.5169600000000001</v>
      </c>
      <c r="E844">
        <v>0.54250810000000005</v>
      </c>
      <c r="F844" t="s">
        <v>43</v>
      </c>
      <c r="G844">
        <v>-245.53989999999999</v>
      </c>
      <c r="H844">
        <v>-0.05</v>
      </c>
      <c r="I844">
        <v>352.255</v>
      </c>
      <c r="J844">
        <v>-350.1628</v>
      </c>
      <c r="K844">
        <v>1.110598</v>
      </c>
      <c r="L844">
        <v>367.42469999999997</v>
      </c>
      <c r="M844">
        <v>0.99989490000000003</v>
      </c>
      <c r="N844">
        <v>0</v>
      </c>
      <c r="O844">
        <v>-3.7139529999999999E-3</v>
      </c>
      <c r="P844">
        <v>0.9984556</v>
      </c>
      <c r="Q844">
        <v>4.6352020000000001E-2</v>
      </c>
      <c r="R844">
        <v>-3.0629739999999999E-2</v>
      </c>
      <c r="S844">
        <v>2.9927980000000001</v>
      </c>
      <c r="T844">
        <v>-3.3146139999999998E-2</v>
      </c>
      <c r="U844">
        <v>-0.43325809999999998</v>
      </c>
      <c r="V844">
        <v>2.692309E-2</v>
      </c>
      <c r="W844">
        <v>6.0344549999999997E-2</v>
      </c>
      <c r="X844">
        <v>0.99781450000000005</v>
      </c>
      <c r="Y844">
        <v>0.1395882</v>
      </c>
      <c r="Z844">
        <v>-7.2803989999999997E-4</v>
      </c>
      <c r="AA844">
        <v>0.99020929999999996</v>
      </c>
      <c r="AB844">
        <v>27</v>
      </c>
      <c r="AC844">
        <v>104.6229</v>
      </c>
      <c r="AD844">
        <v>-1.160598</v>
      </c>
      <c r="AE844">
        <v>-15.169699999999899</v>
      </c>
      <c r="AF844">
        <v>14.779211409194501</v>
      </c>
      <c r="AG844">
        <v>-1.160598</v>
      </c>
      <c r="AH844">
        <v>104.66590860515601</v>
      </c>
      <c r="AI844">
        <v>90.629063899889402</v>
      </c>
      <c r="AJ844">
        <v>81.9627608056513</v>
      </c>
      <c r="AK844">
        <v>105.710569489234</v>
      </c>
      <c r="AL844">
        <v>86.540410298218902</v>
      </c>
      <c r="AM844">
        <v>88.454416885030795</v>
      </c>
      <c r="AN844">
        <v>1.0000000469500401</v>
      </c>
    </row>
    <row r="845" spans="1:40" x14ac:dyDescent="0.25">
      <c r="A845" t="str">
        <f>"20190312150649812"</f>
        <v>20190312150649812</v>
      </c>
      <c r="B845" t="str">
        <f>"1552374409801662"</f>
        <v>1552374409801662</v>
      </c>
      <c r="C845" t="s">
        <v>40</v>
      </c>
      <c r="D845">
        <v>4.2046400000000004</v>
      </c>
      <c r="E845">
        <v>0.54229159999999998</v>
      </c>
      <c r="F845" t="s">
        <v>43</v>
      </c>
      <c r="G845">
        <v>-245.61070000000001</v>
      </c>
      <c r="H845">
        <v>-0.05</v>
      </c>
      <c r="I845">
        <v>352.34530000000001</v>
      </c>
      <c r="J845">
        <v>-350.01389999999998</v>
      </c>
      <c r="K845">
        <v>1.1105969999999901</v>
      </c>
      <c r="L845">
        <v>367.42419999999998</v>
      </c>
      <c r="M845">
        <v>0.99989490000000003</v>
      </c>
      <c r="N845">
        <v>0</v>
      </c>
      <c r="O845">
        <v>-3.7139410000000001E-3</v>
      </c>
      <c r="P845">
        <v>0.99846400000000002</v>
      </c>
      <c r="Q845">
        <v>4.624934E-2</v>
      </c>
      <c r="R845">
        <v>-3.0504969999999999E-2</v>
      </c>
      <c r="S845">
        <v>2.99295</v>
      </c>
      <c r="T845">
        <v>-3.3223750000000003E-2</v>
      </c>
      <c r="U845">
        <v>-0.43167109999999898</v>
      </c>
      <c r="V845">
        <v>2.6798430000000002E-2</v>
      </c>
      <c r="W845">
        <v>6.024032E-2</v>
      </c>
      <c r="X845">
        <v>0.99782409999999999</v>
      </c>
      <c r="Y845">
        <v>0.13906679999999999</v>
      </c>
      <c r="Z845">
        <v>-7.2685580000000005E-4</v>
      </c>
      <c r="AA845">
        <v>0.99028269999999996</v>
      </c>
      <c r="AB845">
        <v>27</v>
      </c>
      <c r="AC845">
        <v>104.403199999999</v>
      </c>
      <c r="AD845">
        <v>-1.1605970000000001</v>
      </c>
      <c r="AE845">
        <v>-15.0788999999999</v>
      </c>
      <c r="AF845">
        <v>14.689232428977199</v>
      </c>
      <c r="AG845">
        <v>-1.1605970000000001</v>
      </c>
      <c r="AH845">
        <v>104.445844170021</v>
      </c>
      <c r="AI845">
        <v>90.630437793267802</v>
      </c>
      <c r="AJ845">
        <v>81.994445100836003</v>
      </c>
      <c r="AK845">
        <v>105.480116131606</v>
      </c>
      <c r="AL845">
        <v>86.546392935645898</v>
      </c>
      <c r="AM845">
        <v>88.461584631533796</v>
      </c>
      <c r="AN845">
        <v>0.99999999327248801</v>
      </c>
    </row>
    <row r="846" spans="1:40" x14ac:dyDescent="0.25">
      <c r="A846" t="str">
        <f>"20190312150649828"</f>
        <v>20190312150649828</v>
      </c>
      <c r="B846" t="str">
        <f>"1552374409821186"</f>
        <v>1552374409821186</v>
      </c>
      <c r="C846" t="s">
        <v>40</v>
      </c>
      <c r="D846">
        <v>4.2760069999999999</v>
      </c>
      <c r="E846">
        <v>0.50085009999999996</v>
      </c>
      <c r="F846" t="s">
        <v>43</v>
      </c>
      <c r="G846">
        <v>-246.9614</v>
      </c>
      <c r="H846">
        <v>-0.05</v>
      </c>
      <c r="I846">
        <v>352.63499999999999</v>
      </c>
      <c r="J846">
        <v>-349.83920000000001</v>
      </c>
      <c r="K846">
        <v>1.110592</v>
      </c>
      <c r="L846">
        <v>367.42360000000002</v>
      </c>
      <c r="M846">
        <v>0.99989490000000003</v>
      </c>
      <c r="N846">
        <v>0</v>
      </c>
      <c r="O846">
        <v>-3.7136890000000001E-3</v>
      </c>
      <c r="P846">
        <v>0.99847059999999999</v>
      </c>
      <c r="Q846">
        <v>4.620349E-2</v>
      </c>
      <c r="R846">
        <v>-3.0361300000000001E-2</v>
      </c>
      <c r="S846">
        <v>2.993042</v>
      </c>
      <c r="T846">
        <v>-3.3708210000000002E-2</v>
      </c>
      <c r="U846">
        <v>-0.4295349</v>
      </c>
      <c r="V846">
        <v>2.6654919999999999E-2</v>
      </c>
      <c r="W846">
        <v>6.0192719999999998E-2</v>
      </c>
      <c r="X846">
        <v>0.99783080000000002</v>
      </c>
      <c r="Y846">
        <v>0.13836999999999999</v>
      </c>
      <c r="Z846">
        <v>-7.335687E-4</v>
      </c>
      <c r="AA846">
        <v>0.99038029999999999</v>
      </c>
      <c r="AB846">
        <v>27</v>
      </c>
      <c r="AC846">
        <v>102.87779999999999</v>
      </c>
      <c r="AD846">
        <v>-1.1605920000000001</v>
      </c>
      <c r="AE846">
        <v>-14.788600000000001</v>
      </c>
      <c r="AF846">
        <v>14.4046082074361</v>
      </c>
      <c r="AG846">
        <v>-1.1605920000000001</v>
      </c>
      <c r="AH846">
        <v>102.919183058309</v>
      </c>
      <c r="AI846">
        <v>90.639845720008594</v>
      </c>
      <c r="AJ846">
        <v>82.032615909152298</v>
      </c>
      <c r="AK846">
        <v>103.928811947361</v>
      </c>
      <c r="AL846">
        <v>86.549125116165101</v>
      </c>
      <c r="AM846">
        <v>88.469829441103897</v>
      </c>
      <c r="AN846">
        <v>0.99999997686492204</v>
      </c>
    </row>
    <row r="847" spans="1:40" x14ac:dyDescent="0.25">
      <c r="A847" t="str">
        <f>"20190312150649838"</f>
        <v>20190312150649838</v>
      </c>
      <c r="B847" t="str">
        <f>"1552374409831919"</f>
        <v>1552374409831919</v>
      </c>
      <c r="C847" t="s">
        <v>40</v>
      </c>
      <c r="D847">
        <v>4.2462780000000002</v>
      </c>
      <c r="E847">
        <v>0.49901450000000003</v>
      </c>
      <c r="F847" t="s">
        <v>42</v>
      </c>
      <c r="G847">
        <v>-241.2518</v>
      </c>
      <c r="H847" s="1">
        <v>-5.1376060000000003E-6</v>
      </c>
      <c r="I847">
        <v>363.85599999999999</v>
      </c>
      <c r="J847">
        <v>-349.69409999999999</v>
      </c>
      <c r="K847">
        <v>1.110592</v>
      </c>
      <c r="L847">
        <v>367.423</v>
      </c>
      <c r="M847">
        <v>0.99989499999999998</v>
      </c>
      <c r="N847">
        <v>0</v>
      </c>
      <c r="O847">
        <v>-3.7136780000000002E-3</v>
      </c>
      <c r="P847">
        <v>0.99848159999999997</v>
      </c>
      <c r="Q847">
        <v>4.6114429999999998E-2</v>
      </c>
      <c r="R847">
        <v>-3.013764E-2</v>
      </c>
      <c r="S847">
        <v>3.0030519999999998</v>
      </c>
      <c r="T847">
        <v>-3.0714269999999998E-2</v>
      </c>
      <c r="U847">
        <v>-9.8663329999999994E-2</v>
      </c>
      <c r="V847">
        <v>2.643123E-2</v>
      </c>
      <c r="W847">
        <v>6.0102290000000003E-2</v>
      </c>
      <c r="X847">
        <v>0.99784229999999996</v>
      </c>
      <c r="Y847">
        <v>2.9123050000000001E-2</v>
      </c>
      <c r="Z847">
        <v>-1.1091250000000001E-4</v>
      </c>
      <c r="AA847">
        <v>0.99957589999999996</v>
      </c>
      <c r="AB847">
        <v>27</v>
      </c>
      <c r="AC847">
        <v>108.4423</v>
      </c>
      <c r="AD847">
        <v>-1.110597137606</v>
      </c>
      <c r="AE847">
        <v>-3.5670000000000002</v>
      </c>
      <c r="AF847">
        <v>3.1638846150797999</v>
      </c>
      <c r="AG847">
        <v>-1.110597137606</v>
      </c>
      <c r="AH847">
        <v>108.44343819734</v>
      </c>
      <c r="AI847">
        <v>90.586510748587799</v>
      </c>
      <c r="AJ847">
        <v>88.328844697158203</v>
      </c>
      <c r="AK847">
        <v>108.495266624493</v>
      </c>
      <c r="AL847">
        <v>86.554316111330394</v>
      </c>
      <c r="AM847">
        <v>88.482682192600805</v>
      </c>
      <c r="AN847">
        <v>1.00000007542592</v>
      </c>
    </row>
    <row r="848" spans="1:40" x14ac:dyDescent="0.25">
      <c r="A848" t="str">
        <f>"20190312150649850"</f>
        <v>20190312150649850</v>
      </c>
      <c r="B848" t="str">
        <f>"1552374409841679"</f>
        <v>1552374409841679</v>
      </c>
      <c r="C848" t="s">
        <v>40</v>
      </c>
      <c r="D848">
        <v>4.2383040000000003</v>
      </c>
      <c r="E848">
        <v>0.49818699999999999</v>
      </c>
      <c r="F848" t="s">
        <v>43</v>
      </c>
      <c r="G848">
        <v>-279.27699999999999</v>
      </c>
      <c r="H848">
        <v>-0.05</v>
      </c>
      <c r="I848">
        <v>365.46530000000001</v>
      </c>
      <c r="J848">
        <v>-349.56</v>
      </c>
      <c r="K848">
        <v>1.1105910000000001</v>
      </c>
      <c r="L848">
        <v>367.42250000000001</v>
      </c>
      <c r="M848">
        <v>0.99989499999999998</v>
      </c>
      <c r="N848">
        <v>0</v>
      </c>
      <c r="O848">
        <v>-3.7136669999999999E-3</v>
      </c>
      <c r="P848">
        <v>0.99847640000000004</v>
      </c>
      <c r="Q848">
        <v>4.6211229999999999E-2</v>
      </c>
      <c r="R848">
        <v>-3.0154130000000001E-2</v>
      </c>
      <c r="S848">
        <v>3.0043030000000002</v>
      </c>
      <c r="T848">
        <v>-4.9515959999999998E-2</v>
      </c>
      <c r="U848">
        <v>-8.3526610000000001E-2</v>
      </c>
      <c r="V848">
        <v>2.644788E-2</v>
      </c>
      <c r="W848">
        <v>6.0197479999999998E-2</v>
      </c>
      <c r="X848">
        <v>0.9978361</v>
      </c>
      <c r="Y848">
        <v>2.407604E-2</v>
      </c>
      <c r="Z848">
        <v>-1.3715839999999999E-4</v>
      </c>
      <c r="AA848">
        <v>0.99971010000000005</v>
      </c>
      <c r="AB848">
        <v>27</v>
      </c>
      <c r="AC848">
        <v>70.283000000000001</v>
      </c>
      <c r="AD848">
        <v>-1.1605909999999999</v>
      </c>
      <c r="AE848">
        <v>-1.9572000000000001</v>
      </c>
      <c r="AF848">
        <v>1.6956912074339601</v>
      </c>
      <c r="AG848">
        <v>-1.1605909999999999</v>
      </c>
      <c r="AH848">
        <v>70.270637608213093</v>
      </c>
      <c r="AI848">
        <v>90.945936683566799</v>
      </c>
      <c r="AJ848">
        <v>88.617671597826501</v>
      </c>
      <c r="AK848">
        <v>70.300674605618497</v>
      </c>
      <c r="AL848">
        <v>86.548852161770299</v>
      </c>
      <c r="AM848">
        <v>88.481717396478601</v>
      </c>
      <c r="AN848">
        <v>1.00000005470902</v>
      </c>
    </row>
    <row r="849" spans="1:40" x14ac:dyDescent="0.25">
      <c r="A849" t="str">
        <f>"20190312150649861"</f>
        <v>20190312150649861</v>
      </c>
      <c r="B849" t="str">
        <f>"1552374409851440"</f>
        <v>1552374409851440</v>
      </c>
      <c r="C849" t="s">
        <v>40</v>
      </c>
      <c r="D849">
        <v>4.2305609999999998</v>
      </c>
      <c r="E849">
        <v>0.49785020000000002</v>
      </c>
      <c r="F849" t="s">
        <v>43</v>
      </c>
      <c r="G849">
        <v>-284.42720000000003</v>
      </c>
      <c r="H849">
        <v>-0.05</v>
      </c>
      <c r="I849">
        <v>365.75479999999999</v>
      </c>
      <c r="J849">
        <v>-349.42399999999998</v>
      </c>
      <c r="K849">
        <v>1.110587</v>
      </c>
      <c r="L849">
        <v>367.42200000000003</v>
      </c>
      <c r="M849">
        <v>0.99989499999999998</v>
      </c>
      <c r="N849">
        <v>0</v>
      </c>
      <c r="O849">
        <v>-3.713657E-3</v>
      </c>
      <c r="P849">
        <v>0.99847750000000002</v>
      </c>
      <c r="Q849">
        <v>4.6278560000000003E-2</v>
      </c>
      <c r="R849">
        <v>-3.0021260000000001E-2</v>
      </c>
      <c r="S849">
        <v>3.0047299999999999</v>
      </c>
      <c r="T849">
        <v>-5.3540829999999998E-2</v>
      </c>
      <c r="U849">
        <v>-7.6934810000000006E-2</v>
      </c>
      <c r="V849">
        <v>2.6314980000000002E-2</v>
      </c>
      <c r="W849">
        <v>6.0262690000000001E-2</v>
      </c>
      <c r="X849">
        <v>0.99783560000000004</v>
      </c>
      <c r="Y849">
        <v>2.1880320000000002E-2</v>
      </c>
      <c r="Z849">
        <v>-1.2873100000000001E-4</v>
      </c>
      <c r="AA849">
        <v>0.9997606</v>
      </c>
      <c r="AB849">
        <v>27</v>
      </c>
      <c r="AC849">
        <v>64.996799999999993</v>
      </c>
      <c r="AD849">
        <v>-1.160587</v>
      </c>
      <c r="AE849">
        <v>-1.66719999999997</v>
      </c>
      <c r="AF849">
        <v>1.4253348443018601</v>
      </c>
      <c r="AG849">
        <v>-1.160587</v>
      </c>
      <c r="AH849">
        <v>64.981838611190597</v>
      </c>
      <c r="AI849">
        <v>91.022957855156704</v>
      </c>
      <c r="AJ849">
        <v>88.743455408334</v>
      </c>
      <c r="AK849">
        <v>65.007829458410399</v>
      </c>
      <c r="AL849">
        <v>86.545108841002204</v>
      </c>
      <c r="AM849">
        <v>88.489342431492304</v>
      </c>
      <c r="AN849">
        <v>0.99999997730289802</v>
      </c>
    </row>
    <row r="850" spans="1:40" x14ac:dyDescent="0.25">
      <c r="A850" t="str">
        <f>"20190312150649872"</f>
        <v>20190312150649872</v>
      </c>
      <c r="B850" t="str">
        <f>"1552374409861200"</f>
        <v>1552374409861200</v>
      </c>
      <c r="C850" t="s">
        <v>40</v>
      </c>
      <c r="D850">
        <v>4.2781699999999896</v>
      </c>
      <c r="E850">
        <v>0.49808229999999998</v>
      </c>
      <c r="F850" t="s">
        <v>43</v>
      </c>
      <c r="G850">
        <v>-290.54309999999998</v>
      </c>
      <c r="H850">
        <v>-0.05</v>
      </c>
      <c r="I850">
        <v>365.97800000000001</v>
      </c>
      <c r="J850">
        <v>-349.29759999999999</v>
      </c>
      <c r="K850">
        <v>1.110587</v>
      </c>
      <c r="L850">
        <v>367.42149999999998</v>
      </c>
      <c r="M850">
        <v>0.99989499999999998</v>
      </c>
      <c r="N850">
        <v>0</v>
      </c>
      <c r="O850">
        <v>-3.713647E-3</v>
      </c>
      <c r="P850">
        <v>0.99848789999999998</v>
      </c>
      <c r="Q850">
        <v>4.5994809999999997E-2</v>
      </c>
      <c r="R850">
        <v>-3.0110709999999999E-2</v>
      </c>
      <c r="S850">
        <v>3.0051269999999999</v>
      </c>
      <c r="T850">
        <v>-5.9233309999999997E-2</v>
      </c>
      <c r="U850">
        <v>-7.369995E-2</v>
      </c>
      <c r="V850">
        <v>2.6404339999999998E-2</v>
      </c>
      <c r="W850">
        <v>5.997806E-2</v>
      </c>
      <c r="X850">
        <v>0.99785040000000003</v>
      </c>
      <c r="Y850">
        <v>2.0800989999999998E-2</v>
      </c>
      <c r="Z850">
        <v>-1.3176400000000001E-4</v>
      </c>
      <c r="AA850">
        <v>0.99978359999999999</v>
      </c>
      <c r="AB850">
        <v>27</v>
      </c>
      <c r="AC850">
        <v>58.7545</v>
      </c>
      <c r="AD850">
        <v>-1.160587</v>
      </c>
      <c r="AE850">
        <v>-1.44349999999997</v>
      </c>
      <c r="AF850">
        <v>1.2247975517149601</v>
      </c>
      <c r="AG850">
        <v>-1.160587</v>
      </c>
      <c r="AH850">
        <v>58.736551516247303</v>
      </c>
      <c r="AI850">
        <v>91.131725243945695</v>
      </c>
      <c r="AJ850">
        <v>88.805419113133993</v>
      </c>
      <c r="AK850">
        <v>58.760782629642001</v>
      </c>
      <c r="AL850">
        <v>86.561446531405807</v>
      </c>
      <c r="AM850">
        <v>88.484237424644306</v>
      </c>
      <c r="AN850">
        <v>0.99999998881617902</v>
      </c>
    </row>
    <row r="851" spans="1:40" x14ac:dyDescent="0.25">
      <c r="A851" t="str">
        <f>"20190312150649882"</f>
        <v>20190312150649882</v>
      </c>
      <c r="B851" t="str">
        <f>"1552374409871935"</f>
        <v>1552374409871935</v>
      </c>
      <c r="C851" t="s">
        <v>40</v>
      </c>
      <c r="D851">
        <v>4.2159760000000004</v>
      </c>
      <c r="E851">
        <v>0.49841049999999998</v>
      </c>
      <c r="F851" t="s">
        <v>42</v>
      </c>
      <c r="G851">
        <v>-276.6223</v>
      </c>
      <c r="H851" s="1">
        <v>-2.2072109999999999E-6</v>
      </c>
      <c r="I851">
        <v>365.58850000000001</v>
      </c>
      <c r="J851">
        <v>-349.1712</v>
      </c>
      <c r="K851">
        <v>1.1105830000000001</v>
      </c>
      <c r="L851">
        <v>367.42110000000002</v>
      </c>
      <c r="M851">
        <v>0.99989499999999998</v>
      </c>
      <c r="N851">
        <v>0</v>
      </c>
      <c r="O851">
        <v>-3.7135179999999999E-3</v>
      </c>
      <c r="P851">
        <v>0.99848150000000002</v>
      </c>
      <c r="Q851">
        <v>4.6140460000000001E-2</v>
      </c>
      <c r="R851">
        <v>-3.009411E-2</v>
      </c>
      <c r="S851">
        <v>3.0043950000000001</v>
      </c>
      <c r="T851">
        <v>-4.5911670000000002E-2</v>
      </c>
      <c r="U851">
        <v>-7.5775149999999999E-2</v>
      </c>
      <c r="V851">
        <v>2.6388040000000001E-2</v>
      </c>
      <c r="W851">
        <v>6.012228E-2</v>
      </c>
      <c r="X851">
        <v>0.99784220000000001</v>
      </c>
      <c r="Y851">
        <v>2.1498469999999999E-2</v>
      </c>
      <c r="Z851">
        <v>-1.074882E-4</v>
      </c>
      <c r="AA851">
        <v>0.99976889999999996</v>
      </c>
      <c r="AB851">
        <v>27</v>
      </c>
      <c r="AC851">
        <v>72.548900000000003</v>
      </c>
      <c r="AD851">
        <v>-1.1105852072110001</v>
      </c>
      <c r="AE851">
        <v>-1.83260000000001</v>
      </c>
      <c r="AF851">
        <v>1.5627832969995501</v>
      </c>
      <c r="AG851">
        <v>-1.1105852072110001</v>
      </c>
      <c r="AH851">
        <v>72.538218130886904</v>
      </c>
      <c r="AI851">
        <v>90.876946203595494</v>
      </c>
      <c r="AJ851">
        <v>88.765794918382596</v>
      </c>
      <c r="AK851">
        <v>72.563549945823297</v>
      </c>
      <c r="AL851">
        <v>86.553168560018193</v>
      </c>
      <c r="AM851">
        <v>88.485160260613</v>
      </c>
      <c r="AN851">
        <v>1.00000003665413</v>
      </c>
    </row>
    <row r="852" spans="1:40" x14ac:dyDescent="0.25">
      <c r="A852" t="str">
        <f>"20190312150649894"</f>
        <v>20190312150649894</v>
      </c>
      <c r="B852" t="str">
        <f>"1552374409891454"</f>
        <v>1552374409891454</v>
      </c>
      <c r="C852" t="s">
        <v>40</v>
      </c>
      <c r="D852">
        <v>4.3370860000000002</v>
      </c>
      <c r="E852">
        <v>0.4989479</v>
      </c>
      <c r="F852" t="s">
        <v>42</v>
      </c>
      <c r="G852">
        <v>-261.79180000000002</v>
      </c>
      <c r="H852" s="1">
        <v>-4.2995629999999999E-6</v>
      </c>
      <c r="I852">
        <v>365.12900000000002</v>
      </c>
      <c r="J852">
        <v>-349.041</v>
      </c>
      <c r="K852">
        <v>1.110582</v>
      </c>
      <c r="L852">
        <v>367.42059999999998</v>
      </c>
      <c r="M852">
        <v>0.99989499999999998</v>
      </c>
      <c r="N852">
        <v>0</v>
      </c>
      <c r="O852">
        <v>-3.7136270000000002E-3</v>
      </c>
      <c r="P852">
        <v>0.99848060000000005</v>
      </c>
      <c r="Q852">
        <v>4.622594E-2</v>
      </c>
      <c r="R852">
        <v>-2.9995790000000001E-2</v>
      </c>
      <c r="S852">
        <v>3.0039370000000001</v>
      </c>
      <c r="T852">
        <v>-3.8179869999999998E-2</v>
      </c>
      <c r="U852">
        <v>-7.8796389999999994E-2</v>
      </c>
      <c r="V852">
        <v>2.6289630000000001E-2</v>
      </c>
      <c r="W852">
        <v>6.0206530000000001E-2</v>
      </c>
      <c r="X852">
        <v>0.9978397</v>
      </c>
      <c r="Y852">
        <v>2.2507610000000001E-2</v>
      </c>
      <c r="Z852" s="1">
        <v>-9.5810960000000005E-5</v>
      </c>
      <c r="AA852">
        <v>0.99974669999999999</v>
      </c>
      <c r="AB852">
        <v>27</v>
      </c>
      <c r="AC852">
        <v>87.249199999999902</v>
      </c>
      <c r="AD852">
        <v>-1.110586299563</v>
      </c>
      <c r="AE852">
        <v>-2.2915999999999599</v>
      </c>
      <c r="AF852">
        <v>1.96722290108631</v>
      </c>
      <c r="AG852">
        <v>-1.110586299563</v>
      </c>
      <c r="AH852">
        <v>87.242983444989306</v>
      </c>
      <c r="AI852">
        <v>90.729139473165901</v>
      </c>
      <c r="AJ852">
        <v>88.708268929014594</v>
      </c>
      <c r="AK852">
        <v>87.272226557215802</v>
      </c>
      <c r="AL852">
        <v>86.5483325690318</v>
      </c>
      <c r="AM852">
        <v>88.490803217590397</v>
      </c>
      <c r="AN852">
        <v>1.0000000188981299</v>
      </c>
    </row>
    <row r="853" spans="1:40" x14ac:dyDescent="0.25">
      <c r="A853" t="str">
        <f>"20190312150649906"</f>
        <v>20190312150649906</v>
      </c>
      <c r="B853" t="str">
        <f>"1552374409901215"</f>
        <v>1552374409901215</v>
      </c>
      <c r="C853" t="s">
        <v>40</v>
      </c>
      <c r="D853">
        <v>4.2475769999999997</v>
      </c>
      <c r="E853">
        <v>0.4991892</v>
      </c>
      <c r="F853" t="s">
        <v>42</v>
      </c>
      <c r="G853">
        <v>-232.46539999999999</v>
      </c>
      <c r="H853" s="1">
        <v>-4.1707989999999997E-6</v>
      </c>
      <c r="I853">
        <v>364.22590000000002</v>
      </c>
      <c r="J853">
        <v>-348.9</v>
      </c>
      <c r="K853">
        <v>1.1105830000000001</v>
      </c>
      <c r="L853">
        <v>367.42009999999999</v>
      </c>
      <c r="M853">
        <v>0.99989499999999998</v>
      </c>
      <c r="N853">
        <v>0</v>
      </c>
      <c r="O853">
        <v>-3.7134970000000001E-3</v>
      </c>
      <c r="P853">
        <v>0.99848409999999999</v>
      </c>
      <c r="Q853">
        <v>4.6076069999999997E-2</v>
      </c>
      <c r="R853">
        <v>-3.01085E-2</v>
      </c>
      <c r="S853">
        <v>3.0034480000000001</v>
      </c>
      <c r="T853">
        <v>-2.8613090000000001E-2</v>
      </c>
      <c r="U853">
        <v>-8.2305909999999996E-2</v>
      </c>
      <c r="V853">
        <v>2.6402430000000001E-2</v>
      </c>
      <c r="W853">
        <v>6.0055160000000003E-2</v>
      </c>
      <c r="X853">
        <v>0.9978458</v>
      </c>
      <c r="Y853">
        <v>2.367996E-2</v>
      </c>
      <c r="Z853" s="1">
        <v>-7.7399690000000003E-5</v>
      </c>
      <c r="AA853">
        <v>0.99971960000000004</v>
      </c>
      <c r="AB853">
        <v>27</v>
      </c>
      <c r="AC853">
        <v>116.4346</v>
      </c>
      <c r="AD853">
        <v>-1.110587170799</v>
      </c>
      <c r="AE853">
        <v>-3.19419999999996</v>
      </c>
      <c r="AF853">
        <v>2.7615049612190301</v>
      </c>
      <c r="AG853">
        <v>-1.110587170799</v>
      </c>
      <c r="AH853">
        <v>116.43507465437</v>
      </c>
      <c r="AI853">
        <v>90.546331428725196</v>
      </c>
      <c r="AJ853">
        <v>88.641363669616496</v>
      </c>
      <c r="AK853">
        <v>116.473112447825</v>
      </c>
      <c r="AL853">
        <v>86.557021003607304</v>
      </c>
      <c r="AM853">
        <v>88.484340034803395</v>
      </c>
      <c r="AN853">
        <v>0.99999997556508502</v>
      </c>
    </row>
    <row r="854" spans="1:40" x14ac:dyDescent="0.25">
      <c r="A854" t="str">
        <f>"20190312150649917"</f>
        <v>20190312150649917</v>
      </c>
      <c r="B854" t="str">
        <f>"1552374409911952"</f>
        <v>1552374409911952</v>
      </c>
      <c r="C854" t="s">
        <v>40</v>
      </c>
      <c r="D854">
        <v>4.2109930000000002</v>
      </c>
      <c r="E854">
        <v>0.49929620000000002</v>
      </c>
      <c r="F854" t="s">
        <v>42</v>
      </c>
      <c r="G854">
        <v>-212.45869999999999</v>
      </c>
      <c r="H854" s="1">
        <v>-4.2888829999999999E-6</v>
      </c>
      <c r="I854">
        <v>363.57670000000002</v>
      </c>
      <c r="J854">
        <v>-348.75869999999998</v>
      </c>
      <c r="K854">
        <v>1.1105830000000001</v>
      </c>
      <c r="L854">
        <v>367.4196</v>
      </c>
      <c r="M854">
        <v>0.99989519999999998</v>
      </c>
      <c r="N854">
        <v>0</v>
      </c>
      <c r="O854">
        <v>-3.7134859999999998E-3</v>
      </c>
      <c r="P854">
        <v>0.99849080000000001</v>
      </c>
      <c r="Q854">
        <v>4.5890630000000002E-2</v>
      </c>
      <c r="R854">
        <v>-3.01739E-2</v>
      </c>
      <c r="S854">
        <v>3.0031430000000001</v>
      </c>
      <c r="T854">
        <v>-2.444458E-2</v>
      </c>
      <c r="U854">
        <v>-8.4594730000000007E-2</v>
      </c>
      <c r="V854">
        <v>2.6467620000000001E-2</v>
      </c>
      <c r="W854">
        <v>5.9867629999999998E-2</v>
      </c>
      <c r="X854">
        <v>0.99785539999999995</v>
      </c>
      <c r="Y854">
        <v>2.4444299999999999E-2</v>
      </c>
      <c r="Z854" s="1">
        <v>-6.924028E-5</v>
      </c>
      <c r="AA854">
        <v>0.99970119999999896</v>
      </c>
      <c r="AB854">
        <v>27</v>
      </c>
      <c r="AC854">
        <v>136.29999999999899</v>
      </c>
      <c r="AD854">
        <v>-1.110587288883</v>
      </c>
      <c r="AE854">
        <v>-3.8428999999999802</v>
      </c>
      <c r="AF854">
        <v>3.3364544603439001</v>
      </c>
      <c r="AG854">
        <v>-1.110587288883</v>
      </c>
      <c r="AH854">
        <v>136.30428969492499</v>
      </c>
      <c r="AI854">
        <v>90.466687461545405</v>
      </c>
      <c r="AJ854">
        <v>88.597794734953794</v>
      </c>
      <c r="AK854">
        <v>136.34964144335001</v>
      </c>
      <c r="AL854">
        <v>86.567785248866997</v>
      </c>
      <c r="AM854">
        <v>88.480614095365993</v>
      </c>
      <c r="AN854">
        <v>1.0000000336697199</v>
      </c>
    </row>
    <row r="855" spans="1:40" x14ac:dyDescent="0.25">
      <c r="A855" t="str">
        <f>"20190312150649929"</f>
        <v>20190312150649929</v>
      </c>
      <c r="B855" t="str">
        <f>"1552374409921711"</f>
        <v>1552374409921711</v>
      </c>
      <c r="C855" t="s">
        <v>40</v>
      </c>
      <c r="D855">
        <v>4.2741480000000003</v>
      </c>
      <c r="E855">
        <v>0.49913479999999999</v>
      </c>
      <c r="F855" t="s">
        <v>49</v>
      </c>
      <c r="G855">
        <v>-198.53129999999999</v>
      </c>
      <c r="H855" s="1">
        <v>-9.3185700000000005E-6</v>
      </c>
      <c r="I855">
        <v>363.13260000000002</v>
      </c>
      <c r="J855">
        <v>-348.61970000000002</v>
      </c>
      <c r="K855">
        <v>1.110587</v>
      </c>
      <c r="L855">
        <v>367.41899999999998</v>
      </c>
      <c r="M855">
        <v>0.99989510000000004</v>
      </c>
      <c r="N855">
        <v>0</v>
      </c>
      <c r="O855">
        <v>-3.7134749999999999E-3</v>
      </c>
      <c r="P855">
        <v>0.99847160000000001</v>
      </c>
      <c r="Q855">
        <v>4.6309950000000003E-2</v>
      </c>
      <c r="R855">
        <v>-3.0162930000000001E-2</v>
      </c>
      <c r="S855">
        <v>3.0029599999999999</v>
      </c>
      <c r="T855">
        <v>-2.2200109999999999E-2</v>
      </c>
      <c r="U855">
        <v>-8.5693359999999996E-2</v>
      </c>
      <c r="V855">
        <v>2.6456960000000002E-2</v>
      </c>
      <c r="W855">
        <v>6.0285539999999999E-2</v>
      </c>
      <c r="X855">
        <v>0.99783049999999995</v>
      </c>
      <c r="Y855">
        <v>2.481158E-2</v>
      </c>
      <c r="Z855" s="1">
        <v>-6.4243830000000005E-5</v>
      </c>
      <c r="AA855">
        <v>0.99969209999999997</v>
      </c>
      <c r="AB855">
        <v>27</v>
      </c>
      <c r="AC855">
        <v>150.08840000000001</v>
      </c>
      <c r="AD855">
        <v>-1.1105963185700001</v>
      </c>
      <c r="AE855">
        <v>-4.2864000000000102</v>
      </c>
      <c r="AF855">
        <v>3.72876229100663</v>
      </c>
      <c r="AG855">
        <v>-1.1105963185700001</v>
      </c>
      <c r="AH855">
        <v>150.095072288724</v>
      </c>
      <c r="AI855">
        <v>90.423809350217198</v>
      </c>
      <c r="AJ855">
        <v>88.576912588029799</v>
      </c>
      <c r="AK855">
        <v>150.14548883587199</v>
      </c>
      <c r="AL855">
        <v>86.543797367466397</v>
      </c>
      <c r="AM855">
        <v>88.481187868947501</v>
      </c>
      <c r="AN855">
        <v>1.00000001189789</v>
      </c>
    </row>
    <row r="856" spans="1:40" x14ac:dyDescent="0.25">
      <c r="A856" t="str">
        <f>"20190312150649941"</f>
        <v>20190312150649941</v>
      </c>
      <c r="B856" t="str">
        <f>"1552374409931471"</f>
        <v>1552374409931471</v>
      </c>
      <c r="C856" t="s">
        <v>40</v>
      </c>
      <c r="D856">
        <v>4.2176460000000002</v>
      </c>
      <c r="E856">
        <v>0.49923610000000002</v>
      </c>
      <c r="F856" t="s">
        <v>42</v>
      </c>
      <c r="G856">
        <v>-232.19030000000001</v>
      </c>
      <c r="H856" s="1">
        <v>-4.3035210000000003E-6</v>
      </c>
      <c r="I856">
        <v>364.1431</v>
      </c>
      <c r="J856">
        <v>-348.476</v>
      </c>
      <c r="K856">
        <v>1.110587</v>
      </c>
      <c r="L856">
        <v>367.41849999999999</v>
      </c>
      <c r="M856">
        <v>0.99989519999999998</v>
      </c>
      <c r="N856">
        <v>0</v>
      </c>
      <c r="O856">
        <v>-3.7134640000000001E-3</v>
      </c>
      <c r="P856">
        <v>0.99847699999999995</v>
      </c>
      <c r="Q856">
        <v>4.6131690000000003E-2</v>
      </c>
      <c r="R856">
        <v>-3.025572E-2</v>
      </c>
      <c r="S856">
        <v>3.0033569999999998</v>
      </c>
      <c r="T856">
        <v>-2.8648259999999998E-2</v>
      </c>
      <c r="U856">
        <v>-8.4503170000000002E-2</v>
      </c>
      <c r="V856">
        <v>2.6549909999999999E-2</v>
      </c>
      <c r="W856">
        <v>6.0106090000000001E-2</v>
      </c>
      <c r="X856">
        <v>0.99783889999999997</v>
      </c>
      <c r="Y856">
        <v>2.4411619999999998E-2</v>
      </c>
      <c r="Z856" s="1">
        <v>-8.0985509999999898E-5</v>
      </c>
      <c r="AA856">
        <v>0.99970199999999998</v>
      </c>
      <c r="AB856">
        <v>27</v>
      </c>
      <c r="AC856">
        <v>116.28570000000001</v>
      </c>
      <c r="AD856">
        <v>-1.110591303521</v>
      </c>
      <c r="AE856">
        <v>-3.2753999999999901</v>
      </c>
      <c r="AF856">
        <v>2.84325323419628</v>
      </c>
      <c r="AG856">
        <v>-1.110591303521</v>
      </c>
      <c r="AH856">
        <v>116.286463923407</v>
      </c>
      <c r="AI856">
        <v>90.5470219628899</v>
      </c>
      <c r="AJ856">
        <v>88.599373018371494</v>
      </c>
      <c r="AK856">
        <v>116.326519735644</v>
      </c>
      <c r="AL856">
        <v>86.554097922802995</v>
      </c>
      <c r="AM856">
        <v>88.475867234343397</v>
      </c>
      <c r="AN856">
        <v>1.00000005506465</v>
      </c>
    </row>
    <row r="857" spans="1:40" x14ac:dyDescent="0.25">
      <c r="A857" t="str">
        <f>"20190312150649952"</f>
        <v>20190312150649952</v>
      </c>
      <c r="B857" t="str">
        <f>"1552374409941232"</f>
        <v>1552374409941232</v>
      </c>
      <c r="C857" t="s">
        <v>40</v>
      </c>
      <c r="D857">
        <v>4.2258550000000001</v>
      </c>
      <c r="E857">
        <v>0.49923909999999999</v>
      </c>
      <c r="F857" t="s">
        <v>42</v>
      </c>
      <c r="G857">
        <v>-247.5556</v>
      </c>
      <c r="H857" s="1">
        <v>-2.2729910000000001E-6</v>
      </c>
      <c r="I857">
        <v>364.54219999999998</v>
      </c>
      <c r="J857">
        <v>-348.34210000000002</v>
      </c>
      <c r="K857">
        <v>1.110587</v>
      </c>
      <c r="L857">
        <v>367.41800000000001</v>
      </c>
      <c r="M857">
        <v>0.99989519999999998</v>
      </c>
      <c r="N857">
        <v>0</v>
      </c>
      <c r="O857">
        <v>-3.7134540000000001E-3</v>
      </c>
      <c r="P857">
        <v>0.99845220000000001</v>
      </c>
      <c r="Q857">
        <v>4.6496009999999997E-2</v>
      </c>
      <c r="R857">
        <v>-3.0523399999999999E-2</v>
      </c>
      <c r="S857">
        <v>3.0035099999999999</v>
      </c>
      <c r="T857">
        <v>-3.3052440000000002E-2</v>
      </c>
      <c r="U857">
        <v>-8.560181E-2</v>
      </c>
      <c r="V857">
        <v>2.6817290000000001E-2</v>
      </c>
      <c r="W857">
        <v>6.0468790000000001E-2</v>
      </c>
      <c r="X857">
        <v>0.99780979999999997</v>
      </c>
      <c r="Y857">
        <v>2.4775249999999999E-2</v>
      </c>
      <c r="Z857" s="1">
        <v>-9.5430179999999998E-5</v>
      </c>
      <c r="AA857">
        <v>0.99969300000000005</v>
      </c>
      <c r="AB857">
        <v>27</v>
      </c>
      <c r="AC857">
        <v>100.7865</v>
      </c>
      <c r="AD857">
        <v>-1.1105892729910001</v>
      </c>
      <c r="AE857">
        <v>-2.8758000000000199</v>
      </c>
      <c r="AF857">
        <v>2.5011740364427202</v>
      </c>
      <c r="AG857">
        <v>-1.1105892729910001</v>
      </c>
      <c r="AH857">
        <v>100.784257541138</v>
      </c>
      <c r="AI857">
        <v>90.631149353510494</v>
      </c>
      <c r="AJ857">
        <v>88.578376126025702</v>
      </c>
      <c r="AK857">
        <v>100.821405704405</v>
      </c>
      <c r="AL857">
        <v>86.533278751801106</v>
      </c>
      <c r="AM857">
        <v>88.460480405323096</v>
      </c>
      <c r="AN857">
        <v>1.0000000192915199</v>
      </c>
    </row>
    <row r="858" spans="1:40" x14ac:dyDescent="0.25">
      <c r="A858" t="str">
        <f>"20190312150649964"</f>
        <v>20190312150649964</v>
      </c>
      <c r="B858" t="str">
        <f>"1552374409961728"</f>
        <v>1552374409961728</v>
      </c>
      <c r="C858" t="s">
        <v>40</v>
      </c>
      <c r="D858">
        <v>4.2417509999999998</v>
      </c>
      <c r="E858">
        <v>0.49922</v>
      </c>
      <c r="F858" t="s">
        <v>42</v>
      </c>
      <c r="G858">
        <v>-251.8991</v>
      </c>
      <c r="H858" s="1">
        <v>-4.3385680000000002E-6</v>
      </c>
      <c r="I858">
        <v>364.6497</v>
      </c>
      <c r="J858">
        <v>-348.19959999999998</v>
      </c>
      <c r="K858">
        <v>1.1105929999999999</v>
      </c>
      <c r="L858">
        <v>367.41739999999999</v>
      </c>
      <c r="M858">
        <v>0.99989519999999998</v>
      </c>
      <c r="N858">
        <v>0</v>
      </c>
      <c r="O858">
        <v>-3.7134429999999999E-3</v>
      </c>
      <c r="P858">
        <v>0.99844469999999996</v>
      </c>
      <c r="Q858">
        <v>4.6595039999999997E-2</v>
      </c>
      <c r="R858">
        <v>-3.0611269999999999E-2</v>
      </c>
      <c r="S858">
        <v>3.0036320000000001</v>
      </c>
      <c r="T858">
        <v>-3.4588340000000002E-2</v>
      </c>
      <c r="U858">
        <v>-8.6212159999999996E-2</v>
      </c>
      <c r="V858">
        <v>2.6905410000000001E-2</v>
      </c>
      <c r="W858">
        <v>6.0565880000000002E-2</v>
      </c>
      <c r="X858">
        <v>0.99780150000000001</v>
      </c>
      <c r="Y858">
        <v>2.497694E-2</v>
      </c>
      <c r="Z858">
        <v>-1.0102119999999999E-4</v>
      </c>
      <c r="AA858">
        <v>0.99968800000000002</v>
      </c>
      <c r="AB858">
        <v>27</v>
      </c>
      <c r="AC858">
        <v>96.3004999999999</v>
      </c>
      <c r="AD858">
        <v>-1.1105973385679999</v>
      </c>
      <c r="AE858">
        <v>-2.7676999999999898</v>
      </c>
      <c r="AF858">
        <v>2.4097192495678401</v>
      </c>
      <c r="AG858">
        <v>-1.1105973385679999</v>
      </c>
      <c r="AH858">
        <v>96.297317488237297</v>
      </c>
      <c r="AI858">
        <v>90.660556388352703</v>
      </c>
      <c r="AJ858">
        <v>88.566544337156898</v>
      </c>
      <c r="AK858">
        <v>96.333864911258203</v>
      </c>
      <c r="AL858">
        <v>86.527705554006801</v>
      </c>
      <c r="AM858">
        <v>88.455411241182802</v>
      </c>
      <c r="AN858">
        <v>0.99999998015484604</v>
      </c>
    </row>
    <row r="859" spans="1:40" x14ac:dyDescent="0.25">
      <c r="A859" t="str">
        <f>"20190312150649978"</f>
        <v>20190312150649978</v>
      </c>
      <c r="B859" t="str">
        <f>"1552374409971487"</f>
        <v>1552374409971487</v>
      </c>
      <c r="C859" t="s">
        <v>40</v>
      </c>
      <c r="D859">
        <v>4.24831</v>
      </c>
      <c r="E859">
        <v>0.49928850000000002</v>
      </c>
      <c r="F859" t="s">
        <v>42</v>
      </c>
      <c r="G859">
        <v>-266.19159999999999</v>
      </c>
      <c r="H859" s="1">
        <v>-2.4938350000000001E-6</v>
      </c>
      <c r="I859">
        <v>365.06209999999999</v>
      </c>
      <c r="J859">
        <v>-348.03910000000002</v>
      </c>
      <c r="K859">
        <v>1.1105959999999999</v>
      </c>
      <c r="L859">
        <v>367.4169</v>
      </c>
      <c r="M859">
        <v>0.99989519999999998</v>
      </c>
      <c r="N859">
        <v>0</v>
      </c>
      <c r="O859">
        <v>-3.7134310000000001E-3</v>
      </c>
      <c r="P859">
        <v>0.99842739999999996</v>
      </c>
      <c r="Q859">
        <v>4.6764119999999999E-2</v>
      </c>
      <c r="R859">
        <v>-3.091758E-2</v>
      </c>
      <c r="S859">
        <v>3.0039370000000001</v>
      </c>
      <c r="T859">
        <v>-4.0680889999999997E-2</v>
      </c>
      <c r="U859">
        <v>-8.627319E-2</v>
      </c>
      <c r="V859">
        <v>2.7211849999999999E-2</v>
      </c>
      <c r="W859">
        <v>6.0732939999999999E-2</v>
      </c>
      <c r="X859">
        <v>0.99778310000000003</v>
      </c>
      <c r="Y859">
        <v>2.49938E-2</v>
      </c>
      <c r="Z859">
        <v>-1.189161E-4</v>
      </c>
      <c r="AA859">
        <v>0.99968760000000001</v>
      </c>
      <c r="AB859">
        <v>27</v>
      </c>
      <c r="AC859">
        <v>81.847499999999997</v>
      </c>
      <c r="AD859">
        <v>-1.110598493835</v>
      </c>
      <c r="AE859">
        <v>-2.3548000000000102</v>
      </c>
      <c r="AF859">
        <v>2.0504417404834099</v>
      </c>
      <c r="AG859">
        <v>-1.110598493835</v>
      </c>
      <c r="AH859">
        <v>81.840624695196396</v>
      </c>
      <c r="AI859">
        <v>90.777226992464804</v>
      </c>
      <c r="AJ859">
        <v>88.564807072233606</v>
      </c>
      <c r="AK859">
        <v>81.873839477855299</v>
      </c>
      <c r="AL859">
        <v>86.518116292946303</v>
      </c>
      <c r="AM859">
        <v>88.437798974270294</v>
      </c>
      <c r="AN859">
        <v>1.00000004471353</v>
      </c>
    </row>
    <row r="860" spans="1:40" x14ac:dyDescent="0.25">
      <c r="A860" t="str">
        <f>"20190312150649993"</f>
        <v>20190312150649993</v>
      </c>
      <c r="B860" t="str">
        <f>"1552374409983200"</f>
        <v>1552374409983200</v>
      </c>
      <c r="C860" t="s">
        <v>40</v>
      </c>
      <c r="D860">
        <v>4.2427039999999998</v>
      </c>
      <c r="E860">
        <v>0.49933379999999999</v>
      </c>
      <c r="F860" t="s">
        <v>42</v>
      </c>
      <c r="G860">
        <v>-268.03550000000001</v>
      </c>
      <c r="H860" s="1">
        <v>-1.8619830000000001E-6</v>
      </c>
      <c r="I860">
        <v>365.07850000000002</v>
      </c>
      <c r="J860">
        <v>-347.85239999999999</v>
      </c>
      <c r="K860">
        <v>1.1105959999999999</v>
      </c>
      <c r="L860">
        <v>367.41609999999997</v>
      </c>
      <c r="M860">
        <v>0.99989530000000004</v>
      </c>
      <c r="N860">
        <v>0</v>
      </c>
      <c r="O860">
        <v>-3.7134160000000002E-3</v>
      </c>
      <c r="P860">
        <v>0.99840370000000001</v>
      </c>
      <c r="Q860">
        <v>4.7162750000000003E-2</v>
      </c>
      <c r="R860">
        <v>-3.1080159999999999E-2</v>
      </c>
      <c r="S860">
        <v>3.0039669999999998</v>
      </c>
      <c r="T860">
        <v>-4.1700599999999997E-2</v>
      </c>
      <c r="U860">
        <v>-8.7799070000000007E-2</v>
      </c>
      <c r="V860">
        <v>2.7374490000000001E-2</v>
      </c>
      <c r="W860">
        <v>6.1129410000000002E-2</v>
      </c>
      <c r="X860">
        <v>0.99775440000000004</v>
      </c>
      <c r="Y860">
        <v>2.5500740000000001E-2</v>
      </c>
      <c r="Z860">
        <v>-1.2541249999999999E-4</v>
      </c>
      <c r="AA860">
        <v>0.99967479999999997</v>
      </c>
      <c r="AB860">
        <v>27</v>
      </c>
      <c r="AC860">
        <v>79.816899999999904</v>
      </c>
      <c r="AD860">
        <v>-1.1105978619829999</v>
      </c>
      <c r="AE860">
        <v>-2.3375999999999499</v>
      </c>
      <c r="AF860">
        <v>2.0407667639203901</v>
      </c>
      <c r="AG860">
        <v>-1.1105978619829999</v>
      </c>
      <c r="AH860">
        <v>79.809592348101205</v>
      </c>
      <c r="AI860">
        <v>90.796992851374299</v>
      </c>
      <c r="AJ860">
        <v>88.535240628615398</v>
      </c>
      <c r="AK860">
        <v>79.843404156923697</v>
      </c>
      <c r="AL860">
        <v>86.495357811400098</v>
      </c>
      <c r="AM860">
        <v>88.4284214853121</v>
      </c>
      <c r="AN860">
        <v>1.0000000050945299</v>
      </c>
    </row>
    <row r="861" spans="1:40" x14ac:dyDescent="0.25">
      <c r="A861" t="str">
        <f>"20190312150650007"</f>
        <v>20190312150650007</v>
      </c>
      <c r="B861" t="str">
        <f>"1552374410001743"</f>
        <v>1552374410001743</v>
      </c>
      <c r="C861" t="s">
        <v>40</v>
      </c>
      <c r="D861">
        <v>4.1614879999999896</v>
      </c>
      <c r="E861">
        <v>0.49952489999999999</v>
      </c>
      <c r="F861" t="s">
        <v>42</v>
      </c>
      <c r="G861">
        <v>-267.149</v>
      </c>
      <c r="H861" s="1">
        <v>-2.1758259999999999E-6</v>
      </c>
      <c r="I861">
        <v>365.03280000000001</v>
      </c>
      <c r="J861">
        <v>-347.69209999999998</v>
      </c>
      <c r="K861">
        <v>1.110598</v>
      </c>
      <c r="L861">
        <v>367.41559999999998</v>
      </c>
      <c r="M861">
        <v>0.99989530000000004</v>
      </c>
      <c r="N861">
        <v>0</v>
      </c>
      <c r="O861">
        <v>-3.713404E-3</v>
      </c>
      <c r="P861">
        <v>0.99838819999999995</v>
      </c>
      <c r="Q861">
        <v>4.7270449999999999E-2</v>
      </c>
      <c r="R861">
        <v>-3.1412000000000002E-2</v>
      </c>
      <c r="S861">
        <v>3.0040279999999999</v>
      </c>
      <c r="T861">
        <v>-4.1339870000000001E-2</v>
      </c>
      <c r="U861">
        <v>-8.8714600000000005E-2</v>
      </c>
      <c r="V861">
        <v>2.7706209999999998E-2</v>
      </c>
      <c r="W861">
        <v>6.1234589999999998E-2</v>
      </c>
      <c r="X861">
        <v>0.99773880000000004</v>
      </c>
      <c r="Y861">
        <v>2.5804569999999999E-2</v>
      </c>
      <c r="Z861">
        <v>-1.2641489999999999E-4</v>
      </c>
      <c r="AA861">
        <v>0.99966699999999997</v>
      </c>
      <c r="AB861">
        <v>27</v>
      </c>
      <c r="AC861">
        <v>80.543099999999896</v>
      </c>
      <c r="AD861">
        <v>-1.110600175826</v>
      </c>
      <c r="AE861">
        <v>-2.3827999999999698</v>
      </c>
      <c r="AF861">
        <v>2.0832694901238198</v>
      </c>
      <c r="AG861">
        <v>-1.110600175826</v>
      </c>
      <c r="AH861">
        <v>80.536094510089598</v>
      </c>
      <c r="AI861">
        <v>90.789799847201394</v>
      </c>
      <c r="AJ861">
        <v>88.518230393398497</v>
      </c>
      <c r="AK861">
        <v>80.570689232853894</v>
      </c>
      <c r="AL861">
        <v>86.489320151460902</v>
      </c>
      <c r="AM861">
        <v>88.409362198322995</v>
      </c>
      <c r="AN861">
        <v>1.0000000110552301</v>
      </c>
    </row>
    <row r="862" spans="1:40" x14ac:dyDescent="0.25">
      <c r="A862" t="str">
        <f>"20190312150650019"</f>
        <v>20190312150650019</v>
      </c>
      <c r="B862" t="str">
        <f>"1552374410011503"</f>
        <v>1552374410011503</v>
      </c>
      <c r="C862" t="s">
        <v>40</v>
      </c>
      <c r="D862">
        <v>4.1659949999999997</v>
      </c>
      <c r="E862">
        <v>0.49942880000000001</v>
      </c>
      <c r="F862" t="s">
        <v>42</v>
      </c>
      <c r="G862">
        <v>-268.27940000000001</v>
      </c>
      <c r="H862" s="1">
        <v>-1.799443E-6</v>
      </c>
      <c r="I862">
        <v>365.0016</v>
      </c>
      <c r="J862">
        <v>-347.5428</v>
      </c>
      <c r="K862">
        <v>1.110598</v>
      </c>
      <c r="L862">
        <v>367.41500000000002</v>
      </c>
      <c r="M862">
        <v>0.99989519999999998</v>
      </c>
      <c r="N862">
        <v>0</v>
      </c>
      <c r="O862">
        <v>-3.7131540000000002E-3</v>
      </c>
      <c r="P862">
        <v>0.99839350000000004</v>
      </c>
      <c r="Q862">
        <v>4.708474E-2</v>
      </c>
      <c r="R862">
        <v>-3.1522269999999998E-2</v>
      </c>
      <c r="S862">
        <v>3.0039669999999998</v>
      </c>
      <c r="T862">
        <v>-4.2010899999999997E-2</v>
      </c>
      <c r="U862">
        <v>-9.1308589999999995E-2</v>
      </c>
      <c r="V862">
        <v>2.781668E-2</v>
      </c>
      <c r="W862">
        <v>6.1047549999999999E-2</v>
      </c>
      <c r="X862">
        <v>0.99774719999999995</v>
      </c>
      <c r="Y862">
        <v>2.6667719999999999E-2</v>
      </c>
      <c r="Z862">
        <v>-1.3450499999999999E-4</v>
      </c>
      <c r="AA862">
        <v>0.99964430000000004</v>
      </c>
      <c r="AB862">
        <v>27</v>
      </c>
      <c r="AC862">
        <v>79.263399999999905</v>
      </c>
      <c r="AD862">
        <v>-1.1105997994429999</v>
      </c>
      <c r="AE862">
        <v>-2.4134000000000202</v>
      </c>
      <c r="AF862">
        <v>2.11862178281535</v>
      </c>
      <c r="AG862">
        <v>-1.1105997994429999</v>
      </c>
      <c r="AH862">
        <v>79.256270304756001</v>
      </c>
      <c r="AI862">
        <v>90.802533332246099</v>
      </c>
      <c r="AJ862">
        <v>88.468774957752501</v>
      </c>
      <c r="AK862">
        <v>79.292360116178202</v>
      </c>
      <c r="AL862">
        <v>86.500056882987295</v>
      </c>
      <c r="AM862">
        <v>88.403036734422301</v>
      </c>
      <c r="AN862">
        <v>1.0000000230775301</v>
      </c>
    </row>
    <row r="863" spans="1:40" x14ac:dyDescent="0.25">
      <c r="A863" t="str">
        <f>"20190312150650030"</f>
        <v>20190312150650030</v>
      </c>
      <c r="B863" t="str">
        <f>"1552374410021263"</f>
        <v>1552374410021263</v>
      </c>
      <c r="C863" t="s">
        <v>40</v>
      </c>
      <c r="D863">
        <v>4.2851660000000003</v>
      </c>
      <c r="E863">
        <v>0.49943789999999999</v>
      </c>
      <c r="F863" t="s">
        <v>42</v>
      </c>
      <c r="G863">
        <v>-269.64139999999998</v>
      </c>
      <c r="H863" s="1">
        <v>-1.320288E-6</v>
      </c>
      <c r="I863">
        <v>365.06049999999999</v>
      </c>
      <c r="J863">
        <v>-347.41520000000003</v>
      </c>
      <c r="K863">
        <v>1.110598</v>
      </c>
      <c r="L863">
        <v>367.41449999999998</v>
      </c>
      <c r="M863">
        <v>0.99989519999999998</v>
      </c>
      <c r="N863">
        <v>0</v>
      </c>
      <c r="O863">
        <v>-3.7131439999999998E-3</v>
      </c>
      <c r="P863">
        <v>0.99838579999999999</v>
      </c>
      <c r="Q863">
        <v>4.6977449999999997E-2</v>
      </c>
      <c r="R863">
        <v>-3.1920240000000003E-2</v>
      </c>
      <c r="S863">
        <v>3.0039669999999998</v>
      </c>
      <c r="T863">
        <v>-4.282594E-2</v>
      </c>
      <c r="U863">
        <v>-9.0789789999999995E-2</v>
      </c>
      <c r="V863">
        <v>2.8214800000000002E-2</v>
      </c>
      <c r="W863">
        <v>6.0939029999999998E-2</v>
      </c>
      <c r="X863">
        <v>0.99774269999999998</v>
      </c>
      <c r="Y863">
        <v>2.6495169999999998E-2</v>
      </c>
      <c r="Z863">
        <v>-1.3588510000000001E-4</v>
      </c>
      <c r="AA863">
        <v>0.99964889999999995</v>
      </c>
      <c r="AB863">
        <v>27</v>
      </c>
      <c r="AC863">
        <v>77.773799999999994</v>
      </c>
      <c r="AD863">
        <v>-1.110599320288</v>
      </c>
      <c r="AE863">
        <v>-2.3539999999999801</v>
      </c>
      <c r="AF863">
        <v>2.0647495265929501</v>
      </c>
      <c r="AG863">
        <v>-1.110599320288</v>
      </c>
      <c r="AH863">
        <v>77.766162202979203</v>
      </c>
      <c r="AI863">
        <v>90.817912498275703</v>
      </c>
      <c r="AJ863">
        <v>88.479111692346095</v>
      </c>
      <c r="AK863">
        <v>77.801494877912603</v>
      </c>
      <c r="AL863">
        <v>86.506286375416096</v>
      </c>
      <c r="AM863">
        <v>88.380185344480296</v>
      </c>
      <c r="AN863">
        <v>1.00000006785983</v>
      </c>
    </row>
    <row r="864" spans="1:40" x14ac:dyDescent="0.25">
      <c r="A864" t="str">
        <f>"20190312150650041"</f>
        <v>20190312150650041</v>
      </c>
      <c r="B864" t="str">
        <f>"1552374410031024"</f>
        <v>1552374410031024</v>
      </c>
      <c r="C864" t="s">
        <v>40</v>
      </c>
      <c r="D864">
        <v>4.2375339999999904</v>
      </c>
      <c r="E864">
        <v>0.49945519999999999</v>
      </c>
      <c r="F864" t="s">
        <v>42</v>
      </c>
      <c r="G864">
        <v>-272.60980000000001</v>
      </c>
      <c r="H864" s="1">
        <v>-3.9495619999999996E-6</v>
      </c>
      <c r="I864">
        <v>365.12400000000002</v>
      </c>
      <c r="J864">
        <v>-347.27420000000001</v>
      </c>
      <c r="K864">
        <v>1.1105969999999901</v>
      </c>
      <c r="L864">
        <v>367.41399999999999</v>
      </c>
      <c r="M864">
        <v>0.99989519999999998</v>
      </c>
      <c r="N864">
        <v>0</v>
      </c>
      <c r="O864">
        <v>-3.713133E-3</v>
      </c>
      <c r="P864">
        <v>0.99837849999999995</v>
      </c>
      <c r="Q864">
        <v>4.6941719999999999E-2</v>
      </c>
      <c r="R864">
        <v>-3.2202599999999998E-2</v>
      </c>
      <c r="S864">
        <v>3.0039980000000002</v>
      </c>
      <c r="T864">
        <v>-4.4598939999999997E-2</v>
      </c>
      <c r="U864">
        <v>-9.1979980000000003E-2</v>
      </c>
      <c r="V864">
        <v>2.8497149999999999E-2</v>
      </c>
      <c r="W864">
        <v>6.0901900000000002E-2</v>
      </c>
      <c r="X864">
        <v>0.99773690000000004</v>
      </c>
      <c r="Y864">
        <v>2.689033E-2</v>
      </c>
      <c r="Z864">
        <v>-1.444405E-4</v>
      </c>
      <c r="AA864">
        <v>0.99963840000000004</v>
      </c>
      <c r="AB864">
        <v>27</v>
      </c>
      <c r="AC864">
        <v>74.664400000000001</v>
      </c>
      <c r="AD864">
        <v>-1.11060094956199</v>
      </c>
      <c r="AE864">
        <v>-2.2899999999999601</v>
      </c>
      <c r="AF864">
        <v>2.0122734140071001</v>
      </c>
      <c r="AG864">
        <v>-1.11060094956199</v>
      </c>
      <c r="AH864">
        <v>74.655886786115403</v>
      </c>
      <c r="AI864">
        <v>90.851975095396597</v>
      </c>
      <c r="AJ864">
        <v>88.456024437370104</v>
      </c>
      <c r="AK864">
        <v>74.691258595522299</v>
      </c>
      <c r="AL864">
        <v>86.508417577505995</v>
      </c>
      <c r="AM864">
        <v>88.363974861581198</v>
      </c>
      <c r="AN864">
        <v>1.0000000253016701</v>
      </c>
    </row>
    <row r="865" spans="1:40" x14ac:dyDescent="0.25">
      <c r="A865" t="str">
        <f>"20190312150650053"</f>
        <v>20190312150650053</v>
      </c>
      <c r="B865" t="str">
        <f>"1552374410051519"</f>
        <v>1552374410051519</v>
      </c>
      <c r="C865" t="s">
        <v>40</v>
      </c>
      <c r="D865">
        <v>4.3310930000000001</v>
      </c>
      <c r="E865">
        <v>0.49948029999999999</v>
      </c>
      <c r="F865" t="s">
        <v>42</v>
      </c>
      <c r="G865">
        <v>-273.54629999999997</v>
      </c>
      <c r="H865" s="1">
        <v>-3.5461580000000001E-6</v>
      </c>
      <c r="I865">
        <v>365.13319999999999</v>
      </c>
      <c r="J865">
        <v>-347.1386</v>
      </c>
      <c r="K865">
        <v>1.1105969999999901</v>
      </c>
      <c r="L865">
        <v>367.4135</v>
      </c>
      <c r="M865">
        <v>0.99989550000000005</v>
      </c>
      <c r="N865">
        <v>0</v>
      </c>
      <c r="O865">
        <v>-3.7133610000000001E-3</v>
      </c>
      <c r="P865">
        <v>0.99838139999999997</v>
      </c>
      <c r="Q865">
        <v>4.673778E-2</v>
      </c>
      <c r="R865">
        <v>-3.2414529999999997E-2</v>
      </c>
      <c r="S865">
        <v>3.0040279999999999</v>
      </c>
      <c r="T865">
        <v>-4.5251130000000001E-2</v>
      </c>
      <c r="U865">
        <v>-9.2926030000000007E-2</v>
      </c>
      <c r="V865">
        <v>2.870874E-2</v>
      </c>
      <c r="W865">
        <v>6.0696300000000002E-2</v>
      </c>
      <c r="X865">
        <v>0.9977433</v>
      </c>
      <c r="Y865">
        <v>2.720419E-2</v>
      </c>
      <c r="Z865">
        <v>-1.489102E-4</v>
      </c>
      <c r="AA865">
        <v>0.99962989999999996</v>
      </c>
      <c r="AB865">
        <v>27</v>
      </c>
      <c r="AC865">
        <v>73.592299999999994</v>
      </c>
      <c r="AD865">
        <v>-1.11060054615799</v>
      </c>
      <c r="AE865">
        <v>-2.2803000000000102</v>
      </c>
      <c r="AF865">
        <v>2.0065262827672301</v>
      </c>
      <c r="AG865">
        <v>-1.11060054615799</v>
      </c>
      <c r="AH865">
        <v>73.583518631387903</v>
      </c>
      <c r="AI865">
        <v>90.864381787073796</v>
      </c>
      <c r="AJ865">
        <v>88.438006133386097</v>
      </c>
      <c r="AK865">
        <v>73.619248810840006</v>
      </c>
      <c r="AL865">
        <v>86.520219204316106</v>
      </c>
      <c r="AM865">
        <v>88.351844693441805</v>
      </c>
      <c r="AN865">
        <v>0.99999996264048296</v>
      </c>
    </row>
    <row r="866" spans="1:40" x14ac:dyDescent="0.25">
      <c r="A866" t="str">
        <f>"20190312150650065"</f>
        <v>20190312150650065</v>
      </c>
      <c r="B866" t="str">
        <f>"1552374410061280"</f>
        <v>1552374410061280</v>
      </c>
      <c r="C866" t="s">
        <v>40</v>
      </c>
      <c r="D866">
        <v>4.2778720000000003</v>
      </c>
      <c r="E866">
        <v>0.49949719999999997</v>
      </c>
      <c r="F866" t="s">
        <v>42</v>
      </c>
      <c r="G866">
        <v>-271.9708</v>
      </c>
      <c r="H866" s="1">
        <v>-4.2339530000000002E-6</v>
      </c>
      <c r="I866">
        <v>365.06599999999997</v>
      </c>
      <c r="J866">
        <v>-347.00199999999899</v>
      </c>
      <c r="K866">
        <v>1.1105969999999901</v>
      </c>
      <c r="L866">
        <v>367.41300000000001</v>
      </c>
      <c r="M866">
        <v>0.99989550000000005</v>
      </c>
      <c r="N866">
        <v>0</v>
      </c>
      <c r="O866">
        <v>-3.7131130000000001E-3</v>
      </c>
      <c r="P866">
        <v>0.9983746</v>
      </c>
      <c r="Q866">
        <v>4.6771800000000002E-2</v>
      </c>
      <c r="R866">
        <v>-3.2573829999999998E-2</v>
      </c>
      <c r="S866">
        <v>3.0039060000000002</v>
      </c>
      <c r="T866">
        <v>-4.4382570000000003E-2</v>
      </c>
      <c r="U866">
        <v>-9.3811039999999998E-2</v>
      </c>
      <c r="V866">
        <v>2.886828E-2</v>
      </c>
      <c r="W866">
        <v>6.0728669999999998E-2</v>
      </c>
      <c r="X866">
        <v>0.99773679999999998</v>
      </c>
      <c r="Y866">
        <v>2.7499989999999998E-2</v>
      </c>
      <c r="Z866">
        <v>-1.482458E-4</v>
      </c>
      <c r="AA866">
        <v>0.9996218</v>
      </c>
      <c r="AB866">
        <v>27</v>
      </c>
      <c r="AC866">
        <v>75.031199999999899</v>
      </c>
      <c r="AD866">
        <v>-1.11060123395299</v>
      </c>
      <c r="AE866">
        <v>-2.3470000000000302</v>
      </c>
      <c r="AF866">
        <v>2.0679046730805699</v>
      </c>
      <c r="AG866">
        <v>-1.11060123395299</v>
      </c>
      <c r="AH866">
        <v>75.022977094960893</v>
      </c>
      <c r="AI866">
        <v>90.847793099383694</v>
      </c>
      <c r="AJ866">
        <v>88.421120798974897</v>
      </c>
      <c r="AK866">
        <v>75.059687962506402</v>
      </c>
      <c r="AL866">
        <v>86.518361366258702</v>
      </c>
      <c r="AM866">
        <v>88.342679879804805</v>
      </c>
      <c r="AN866">
        <v>1.0000000355121801</v>
      </c>
    </row>
    <row r="867" spans="1:40" x14ac:dyDescent="0.25">
      <c r="A867" t="str">
        <f>"20190312150650075"</f>
        <v>20190312150650075</v>
      </c>
      <c r="B867" t="str">
        <f>"1552374410071041"</f>
        <v>1552374410071041</v>
      </c>
      <c r="C867" t="s">
        <v>40</v>
      </c>
      <c r="D867">
        <v>4.2494079999999999</v>
      </c>
      <c r="E867">
        <v>0.49952809999999997</v>
      </c>
      <c r="F867" t="s">
        <v>42</v>
      </c>
      <c r="G867">
        <v>-267.93220000000002</v>
      </c>
      <c r="H867" s="1">
        <v>-1.9379679999999999E-6</v>
      </c>
      <c r="I867">
        <v>364.92500000000001</v>
      </c>
      <c r="J867">
        <v>-346.87180000000001</v>
      </c>
      <c r="K867">
        <v>1.110595</v>
      </c>
      <c r="L867">
        <v>367.41250000000002</v>
      </c>
      <c r="M867">
        <v>0.99989539999999999</v>
      </c>
      <c r="N867">
        <v>0</v>
      </c>
      <c r="O867">
        <v>-3.712983E-3</v>
      </c>
      <c r="P867">
        <v>0.99837759999999998</v>
      </c>
      <c r="Q867">
        <v>4.6665970000000001E-2</v>
      </c>
      <c r="R867">
        <v>-3.2626130000000003E-2</v>
      </c>
      <c r="S867">
        <v>3.003784</v>
      </c>
      <c r="T867">
        <v>-4.219055E-2</v>
      </c>
      <c r="U867">
        <v>-9.4512940000000004E-2</v>
      </c>
      <c r="V867">
        <v>2.8920789999999998E-2</v>
      </c>
      <c r="W867">
        <v>6.0621559999999998E-2</v>
      </c>
      <c r="X867">
        <v>0.99774180000000001</v>
      </c>
      <c r="Y867">
        <v>2.7734970000000001E-2</v>
      </c>
      <c r="Z867">
        <v>-1.425815E-4</v>
      </c>
      <c r="AA867">
        <v>0.99961529999999998</v>
      </c>
      <c r="AB867">
        <v>26</v>
      </c>
      <c r="AC867">
        <v>78.939599999999899</v>
      </c>
      <c r="AD867">
        <v>-1.1105969379680001</v>
      </c>
      <c r="AE867">
        <v>-2.48750000000001</v>
      </c>
      <c r="AF867">
        <v>2.1939189934197101</v>
      </c>
      <c r="AG867">
        <v>-1.1105969379680001</v>
      </c>
      <c r="AH867">
        <v>78.932684638486506</v>
      </c>
      <c r="AI867">
        <v>90.805797476205598</v>
      </c>
      <c r="AJ867">
        <v>88.407884591919895</v>
      </c>
      <c r="AK867">
        <v>78.970978279030305</v>
      </c>
      <c r="AL867">
        <v>86.524509669259004</v>
      </c>
      <c r="AM867">
        <v>88.339675296585</v>
      </c>
      <c r="AN867">
        <v>1.00000004254914</v>
      </c>
    </row>
    <row r="868" spans="1:40" x14ac:dyDescent="0.25">
      <c r="A868" t="str">
        <f>"20190312150650088"</f>
        <v>20190312150650088</v>
      </c>
      <c r="B868" t="str">
        <f>"1552374410081775"</f>
        <v>1552374410081775</v>
      </c>
      <c r="C868" t="s">
        <v>40</v>
      </c>
      <c r="D868">
        <v>4.2586380000000004</v>
      </c>
      <c r="E868">
        <v>0.49956699999999998</v>
      </c>
      <c r="F868" t="s">
        <v>42</v>
      </c>
      <c r="G868">
        <v>-264.72859999999997</v>
      </c>
      <c r="H868" s="1">
        <v>-3.0941900000000001E-6</v>
      </c>
      <c r="I868">
        <v>364.82190000000003</v>
      </c>
      <c r="J868">
        <v>-346.73059999999998</v>
      </c>
      <c r="K868">
        <v>1.1105929999999999</v>
      </c>
      <c r="L868">
        <v>367.41199999999998</v>
      </c>
      <c r="M868">
        <v>0.99989550000000005</v>
      </c>
      <c r="N868">
        <v>0</v>
      </c>
      <c r="O868">
        <v>-3.713091E-3</v>
      </c>
      <c r="P868">
        <v>0.99838300000000002</v>
      </c>
      <c r="Q868">
        <v>4.6524749999999997E-2</v>
      </c>
      <c r="R868">
        <v>-3.2665649999999997E-2</v>
      </c>
      <c r="S868">
        <v>3.0036320000000001</v>
      </c>
      <c r="T868">
        <v>-4.0609840000000001E-2</v>
      </c>
      <c r="U868">
        <v>-9.4726560000000001E-2</v>
      </c>
      <c r="V868">
        <v>2.896023E-2</v>
      </c>
      <c r="W868">
        <v>6.0478780000000003E-2</v>
      </c>
      <c r="X868">
        <v>0.99774929999999995</v>
      </c>
      <c r="Y868">
        <v>2.780765E-2</v>
      </c>
      <c r="Z868">
        <v>-1.377366E-4</v>
      </c>
      <c r="AA868">
        <v>0.99961330000000004</v>
      </c>
      <c r="AB868">
        <v>26</v>
      </c>
      <c r="AC868">
        <v>82.001999999999995</v>
      </c>
      <c r="AD868">
        <v>-1.1105960941899999</v>
      </c>
      <c r="AE868">
        <v>-2.5900999999999499</v>
      </c>
      <c r="AF868">
        <v>2.28515279027777</v>
      </c>
      <c r="AG868">
        <v>-1.1105960941899999</v>
      </c>
      <c r="AH868">
        <v>81.996027521179002</v>
      </c>
      <c r="AI868">
        <v>90.775694723401003</v>
      </c>
      <c r="AJ868">
        <v>88.403633283793098</v>
      </c>
      <c r="AK868">
        <v>82.035381855716906</v>
      </c>
      <c r="AL868">
        <v>86.532705325832595</v>
      </c>
      <c r="AM868">
        <v>88.337424830990997</v>
      </c>
      <c r="AN868">
        <v>1.0000000217012099</v>
      </c>
    </row>
    <row r="869" spans="1:40" x14ac:dyDescent="0.25">
      <c r="A869" t="str">
        <f>"20190312150650098"</f>
        <v>20190312150650098</v>
      </c>
      <c r="B869" t="str">
        <f>"1552374410091536"</f>
        <v>1552374410091536</v>
      </c>
      <c r="C869" t="s">
        <v>40</v>
      </c>
      <c r="D869">
        <v>4.2482240000000004</v>
      </c>
      <c r="E869">
        <v>0.49955090000000002</v>
      </c>
      <c r="F869" t="s">
        <v>42</v>
      </c>
      <c r="G869">
        <v>-261.40809999999999</v>
      </c>
      <c r="H869" s="1">
        <v>-4.5396130000000003E-6</v>
      </c>
      <c r="I869">
        <v>364.70370000000003</v>
      </c>
      <c r="J869">
        <v>-346.60070000000002</v>
      </c>
      <c r="K869">
        <v>1.110587</v>
      </c>
      <c r="L869">
        <v>367.41149999999999</v>
      </c>
      <c r="M869">
        <v>0.9998956</v>
      </c>
      <c r="N869">
        <v>0</v>
      </c>
      <c r="O869">
        <v>-3.7130819999999999E-3</v>
      </c>
      <c r="P869">
        <v>0.99838979999999999</v>
      </c>
      <c r="Q869">
        <v>4.6535069999999998E-2</v>
      </c>
      <c r="R869">
        <v>-3.2450050000000001E-2</v>
      </c>
      <c r="S869">
        <v>3.003571</v>
      </c>
      <c r="T869">
        <v>-3.909588E-2</v>
      </c>
      <c r="U869">
        <v>-9.5336909999999997E-2</v>
      </c>
      <c r="V869">
        <v>2.8744510000000001E-2</v>
      </c>
      <c r="W869">
        <v>6.0487819999999998E-2</v>
      </c>
      <c r="X869">
        <v>0.99775499999999995</v>
      </c>
      <c r="Y869">
        <v>2.8011370000000001E-2</v>
      </c>
      <c r="Z869">
        <v>-1.3392999999999999E-4</v>
      </c>
      <c r="AA869">
        <v>0.99960760000000004</v>
      </c>
      <c r="AB869">
        <v>26</v>
      </c>
      <c r="AC869">
        <v>85.192599999999999</v>
      </c>
      <c r="AD869">
        <v>-1.1105915396129999</v>
      </c>
      <c r="AE869">
        <v>-2.7077999999999598</v>
      </c>
      <c r="AF869">
        <v>2.3910174455973299</v>
      </c>
      <c r="AG869">
        <v>-1.1105915396129999</v>
      </c>
      <c r="AH869">
        <v>85.187605390072903</v>
      </c>
      <c r="AI869">
        <v>90.746629248763398</v>
      </c>
      <c r="AJ869">
        <v>88.392263169332793</v>
      </c>
      <c r="AK869">
        <v>85.228390164825896</v>
      </c>
      <c r="AL869">
        <v>86.532186456445999</v>
      </c>
      <c r="AM869">
        <v>88.349811629435493</v>
      </c>
      <c r="AN869">
        <v>1.0000000316242399</v>
      </c>
    </row>
    <row r="870" spans="1:40" x14ac:dyDescent="0.25">
      <c r="A870" t="str">
        <f>"20190312150650109"</f>
        <v>20190312150650109</v>
      </c>
      <c r="B870" t="str">
        <f>"1552374410101296"</f>
        <v>1552374410101296</v>
      </c>
      <c r="C870" t="s">
        <v>40</v>
      </c>
      <c r="D870">
        <v>4.2743209999999996</v>
      </c>
      <c r="E870">
        <v>0.49956139999999999</v>
      </c>
      <c r="F870" t="s">
        <v>42</v>
      </c>
      <c r="G870">
        <v>-257.01299999999998</v>
      </c>
      <c r="H870" s="1">
        <v>-2.341971E-6</v>
      </c>
      <c r="I870">
        <v>364.58229999999998</v>
      </c>
      <c r="J870">
        <v>-346.48180000000002</v>
      </c>
      <c r="K870">
        <v>1.110587</v>
      </c>
      <c r="L870">
        <v>367.411</v>
      </c>
      <c r="M870">
        <v>0.9998956</v>
      </c>
      <c r="N870">
        <v>0</v>
      </c>
      <c r="O870">
        <v>-3.7130729999999999E-3</v>
      </c>
      <c r="P870">
        <v>0.99839509999999998</v>
      </c>
      <c r="Q870">
        <v>4.6536359999999999E-2</v>
      </c>
      <c r="R870">
        <v>-3.2277670000000001E-2</v>
      </c>
      <c r="S870">
        <v>3.0035099999999999</v>
      </c>
      <c r="T870">
        <v>-3.7233469999999998E-2</v>
      </c>
      <c r="U870">
        <v>-9.4848630000000003E-2</v>
      </c>
      <c r="V870">
        <v>2.857227E-2</v>
      </c>
      <c r="W870">
        <v>6.048829E-2</v>
      </c>
      <c r="X870">
        <v>0.99775990000000003</v>
      </c>
      <c r="Y870">
        <v>2.784988E-2</v>
      </c>
      <c r="Z870">
        <v>-1.265529E-4</v>
      </c>
      <c r="AA870">
        <v>0.9996121</v>
      </c>
      <c r="AB870">
        <v>26</v>
      </c>
      <c r="AC870">
        <v>89.468800000000002</v>
      </c>
      <c r="AD870">
        <v>-1.110589341971</v>
      </c>
      <c r="AE870">
        <v>-2.82870000000002</v>
      </c>
      <c r="AF870">
        <v>2.4960596916721798</v>
      </c>
      <c r="AG870">
        <v>-1.110589341971</v>
      </c>
      <c r="AH870">
        <v>89.464915778422196</v>
      </c>
      <c r="AI870">
        <v>90.710938649195498</v>
      </c>
      <c r="AJ870">
        <v>88.401869666983302</v>
      </c>
      <c r="AK870">
        <v>89.506619184901993</v>
      </c>
      <c r="AL870">
        <v>86.532159413171698</v>
      </c>
      <c r="AM870">
        <v>88.359702357287802</v>
      </c>
      <c r="AN870">
        <v>1.0000000129440401</v>
      </c>
    </row>
    <row r="871" spans="1:40" x14ac:dyDescent="0.25">
      <c r="A871" t="str">
        <f>"20190312150650119"</f>
        <v>20190312150650119</v>
      </c>
      <c r="B871" t="str">
        <f>"1552374410111055"</f>
        <v>1552374410111055</v>
      </c>
      <c r="C871" t="s">
        <v>40</v>
      </c>
      <c r="D871">
        <v>4.4594379999999996</v>
      </c>
      <c r="E871">
        <v>0.49955620000000001</v>
      </c>
      <c r="F871" t="s">
        <v>42</v>
      </c>
      <c r="G871">
        <v>-253.30240000000001</v>
      </c>
      <c r="H871" s="1">
        <v>-3.7652169999999998E-6</v>
      </c>
      <c r="I871">
        <v>364.48829999999998</v>
      </c>
      <c r="J871">
        <v>-346.35199999999998</v>
      </c>
      <c r="K871">
        <v>1.110587</v>
      </c>
      <c r="L871">
        <v>367.41059999999999</v>
      </c>
      <c r="M871">
        <v>0.9998956</v>
      </c>
      <c r="N871">
        <v>0</v>
      </c>
      <c r="O871">
        <v>-3.713063E-3</v>
      </c>
      <c r="P871">
        <v>0.99839809999999996</v>
      </c>
      <c r="Q871">
        <v>4.6415690000000003E-2</v>
      </c>
      <c r="R871">
        <v>-3.236261E-2</v>
      </c>
      <c r="S871">
        <v>3.0034480000000001</v>
      </c>
      <c r="T871">
        <v>-3.5797599999999999E-2</v>
      </c>
      <c r="U871">
        <v>-9.4207760000000001E-2</v>
      </c>
      <c r="V871">
        <v>2.8657040000000002E-2</v>
      </c>
      <c r="W871">
        <v>6.0365969999999998E-2</v>
      </c>
      <c r="X871">
        <v>0.99776489999999995</v>
      </c>
      <c r="Y871">
        <v>2.7637599999999998E-2</v>
      </c>
      <c r="Z871">
        <v>-1.204111E-4</v>
      </c>
      <c r="AA871">
        <v>0.99961800000000001</v>
      </c>
      <c r="AB871">
        <v>26</v>
      </c>
      <c r="AC871">
        <v>93.049599999999899</v>
      </c>
      <c r="AD871">
        <v>-1.110590765217</v>
      </c>
      <c r="AE871">
        <v>-2.9222999999999999</v>
      </c>
      <c r="AF871">
        <v>2.5763804751488202</v>
      </c>
      <c r="AG871">
        <v>-1.110590765217</v>
      </c>
      <c r="AH871">
        <v>93.046568254294797</v>
      </c>
      <c r="AI871">
        <v>90.683579929180297</v>
      </c>
      <c r="AJ871">
        <v>88.413933768465498</v>
      </c>
      <c r="AK871">
        <v>93.088855466707997</v>
      </c>
      <c r="AL871">
        <v>86.539180743187302</v>
      </c>
      <c r="AM871">
        <v>88.354846729684297</v>
      </c>
      <c r="AN871">
        <v>1.0000000359737999</v>
      </c>
    </row>
    <row r="872" spans="1:40" x14ac:dyDescent="0.25">
      <c r="A872" t="str">
        <f>"20190312150650130"</f>
        <v>20190312150650130</v>
      </c>
      <c r="B872" t="str">
        <f>"1552374410121791"</f>
        <v>1552374410121791</v>
      </c>
      <c r="C872" t="s">
        <v>40</v>
      </c>
      <c r="D872">
        <v>4.2566030000000001</v>
      </c>
      <c r="E872">
        <v>0.49951000000000001</v>
      </c>
      <c r="F872" t="s">
        <v>42</v>
      </c>
      <c r="G872">
        <v>-250.1088</v>
      </c>
      <c r="H872" s="1">
        <v>-5.1524E-6</v>
      </c>
      <c r="I872">
        <v>364.39159999999998</v>
      </c>
      <c r="J872">
        <v>-346.22930000000002</v>
      </c>
      <c r="K872">
        <v>1.1105860000000001</v>
      </c>
      <c r="L872">
        <v>367.4101</v>
      </c>
      <c r="M872">
        <v>0.99989550000000005</v>
      </c>
      <c r="N872">
        <v>0</v>
      </c>
      <c r="O872">
        <v>-3.7129350000000001E-3</v>
      </c>
      <c r="P872">
        <v>0.99841610000000003</v>
      </c>
      <c r="Q872">
        <v>4.6345409999999997E-2</v>
      </c>
      <c r="R872">
        <v>-3.1898379999999997E-2</v>
      </c>
      <c r="S872">
        <v>3.0033569999999998</v>
      </c>
      <c r="T872">
        <v>-3.4657E-2</v>
      </c>
      <c r="U872">
        <v>-9.4207760000000001E-2</v>
      </c>
      <c r="V872">
        <v>2.8192869999999998E-2</v>
      </c>
      <c r="W872">
        <v>6.029458E-2</v>
      </c>
      <c r="X872">
        <v>0.99778239999999996</v>
      </c>
      <c r="Y872">
        <v>2.763879E-2</v>
      </c>
      <c r="Z872">
        <v>-1.1658670000000001E-4</v>
      </c>
      <c r="AA872">
        <v>0.99961800000000001</v>
      </c>
      <c r="AB872">
        <v>26</v>
      </c>
      <c r="AC872">
        <v>96.120500000000007</v>
      </c>
      <c r="AD872">
        <v>-1.1105911523999901</v>
      </c>
      <c r="AE872">
        <v>-3.0185000000000102</v>
      </c>
      <c r="AF872">
        <v>2.6612002665672398</v>
      </c>
      <c r="AG872">
        <v>-1.1105911523999901</v>
      </c>
      <c r="AH872">
        <v>96.1182269063858</v>
      </c>
      <c r="AI872">
        <v>90.661736954583603</v>
      </c>
      <c r="AJ872">
        <v>88.414071854987398</v>
      </c>
      <c r="AK872">
        <v>96.161473279032293</v>
      </c>
      <c r="AL872">
        <v>86.543278414756998</v>
      </c>
      <c r="AM872">
        <v>88.381508043392301</v>
      </c>
      <c r="AN872">
        <v>0.99999999602298595</v>
      </c>
    </row>
    <row r="873" spans="1:40" x14ac:dyDescent="0.25">
      <c r="A873" t="str">
        <f>"20190312150650141"</f>
        <v>20190312150650141</v>
      </c>
      <c r="B873" t="str">
        <f>"1552374410131552"</f>
        <v>1552374410131552</v>
      </c>
      <c r="C873" t="s">
        <v>40</v>
      </c>
      <c r="D873">
        <v>4.2841839999999998</v>
      </c>
      <c r="E873">
        <v>0.49951000000000001</v>
      </c>
      <c r="F873" t="s">
        <v>42</v>
      </c>
      <c r="G873">
        <v>-254.6275</v>
      </c>
      <c r="H873" s="1">
        <v>-3.1795490000000001E-6</v>
      </c>
      <c r="I873">
        <v>364.58519999999999</v>
      </c>
      <c r="J873">
        <v>-346.09969999999998</v>
      </c>
      <c r="K873">
        <v>1.1105830000000001</v>
      </c>
      <c r="L873">
        <v>367.40960000000001</v>
      </c>
      <c r="M873">
        <v>0.99989550000000005</v>
      </c>
      <c r="N873">
        <v>0</v>
      </c>
      <c r="O873">
        <v>-3.7129250000000002E-3</v>
      </c>
      <c r="P873">
        <v>0.9984208</v>
      </c>
      <c r="Q873">
        <v>4.6432790000000002E-2</v>
      </c>
      <c r="R873">
        <v>-3.1619950000000001E-2</v>
      </c>
      <c r="S873">
        <v>3.0034480000000001</v>
      </c>
      <c r="T873">
        <v>-3.641403E-2</v>
      </c>
      <c r="U873">
        <v>-9.2620850000000005E-2</v>
      </c>
      <c r="V873">
        <v>2.7914720000000001E-2</v>
      </c>
      <c r="W873">
        <v>6.0380719999999999E-2</v>
      </c>
      <c r="X873">
        <v>0.99778500000000003</v>
      </c>
      <c r="Y873">
        <v>2.711007E-2</v>
      </c>
      <c r="Z873">
        <v>-1.1929E-4</v>
      </c>
      <c r="AA873">
        <v>0.99963239999999998</v>
      </c>
      <c r="AB873">
        <v>26</v>
      </c>
      <c r="AC873">
        <v>91.472200000000001</v>
      </c>
      <c r="AD873">
        <v>-1.110586179549</v>
      </c>
      <c r="AE873">
        <v>-2.8244000000000198</v>
      </c>
      <c r="AF873">
        <v>2.48435208742199</v>
      </c>
      <c r="AG873">
        <v>-1.110586179549</v>
      </c>
      <c r="AH873">
        <v>91.468586653567399</v>
      </c>
      <c r="AI873">
        <v>90.695378842555101</v>
      </c>
      <c r="AJ873">
        <v>88.444188242091698</v>
      </c>
      <c r="AK873">
        <v>91.509058302212097</v>
      </c>
      <c r="AL873">
        <v>86.538333907938195</v>
      </c>
      <c r="AM873">
        <v>88.397471841694099</v>
      </c>
      <c r="AN873">
        <v>0.99999998458269801</v>
      </c>
    </row>
    <row r="874" spans="1:40" x14ac:dyDescent="0.25">
      <c r="A874" t="str">
        <f>"20190312150650153"</f>
        <v>20190312150650153</v>
      </c>
      <c r="B874" t="str">
        <f>"1552374410141311"</f>
        <v>1552374410141311</v>
      </c>
      <c r="C874" t="s">
        <v>40</v>
      </c>
      <c r="D874">
        <v>4.2799339999999999</v>
      </c>
      <c r="E874">
        <v>0.4717461</v>
      </c>
      <c r="F874" t="s">
        <v>42</v>
      </c>
      <c r="G874">
        <v>-253.82429999999999</v>
      </c>
      <c r="H874" s="1">
        <v>-3.5237159999999998E-6</v>
      </c>
      <c r="I874">
        <v>364.58749999999998</v>
      </c>
      <c r="J874">
        <v>-345.97089999999997</v>
      </c>
      <c r="K874">
        <v>1.110581</v>
      </c>
      <c r="L874">
        <v>367.40910000000002</v>
      </c>
      <c r="M874">
        <v>0.9998956</v>
      </c>
      <c r="N874">
        <v>0</v>
      </c>
      <c r="O874">
        <v>-3.7129160000000001E-3</v>
      </c>
      <c r="P874">
        <v>0.9984267</v>
      </c>
      <c r="Q874">
        <v>4.6524679999999999E-2</v>
      </c>
      <c r="R874">
        <v>-3.1307620000000001E-2</v>
      </c>
      <c r="S874">
        <v>3.0035099999999999</v>
      </c>
      <c r="T874">
        <v>-3.6148909999999999E-2</v>
      </c>
      <c r="U874">
        <v>-9.1857910000000001E-2</v>
      </c>
      <c r="V874">
        <v>2.760197E-2</v>
      </c>
      <c r="W874">
        <v>6.0471629999999998E-2</v>
      </c>
      <c r="X874">
        <v>0.99778820000000001</v>
      </c>
      <c r="Y874">
        <v>2.6855810000000001E-2</v>
      </c>
      <c r="Z874">
        <v>-1.1689009999999999E-4</v>
      </c>
      <c r="AA874">
        <v>0.99963930000000001</v>
      </c>
      <c r="AB874">
        <v>26</v>
      </c>
      <c r="AC874">
        <v>92.146599999999907</v>
      </c>
      <c r="AD874">
        <v>-1.1105845237159999</v>
      </c>
      <c r="AE874">
        <v>-2.8216000000000401</v>
      </c>
      <c r="AF874">
        <v>2.4790548293611998</v>
      </c>
      <c r="AG874">
        <v>-1.1105845237159999</v>
      </c>
      <c r="AH874">
        <v>92.143069984591904</v>
      </c>
      <c r="AI874">
        <v>90.690292943212896</v>
      </c>
      <c r="AJ874">
        <v>88.458862699046193</v>
      </c>
      <c r="AK874">
        <v>92.183102882343306</v>
      </c>
      <c r="AL874">
        <v>86.533115629782998</v>
      </c>
      <c r="AM874">
        <v>88.415422066511496</v>
      </c>
      <c r="AN874">
        <v>0.999999989420988</v>
      </c>
    </row>
    <row r="875" spans="1:40" x14ac:dyDescent="0.25">
      <c r="A875" t="str">
        <f>"20190312150650165"</f>
        <v>20190312150650165</v>
      </c>
      <c r="B875" t="str">
        <f>"1552374410161807"</f>
        <v>1552374410161807</v>
      </c>
      <c r="C875" t="s">
        <v>40</v>
      </c>
      <c r="D875">
        <v>4.2276920000000002</v>
      </c>
      <c r="E875">
        <v>0.4623604</v>
      </c>
      <c r="F875" t="s">
        <v>42</v>
      </c>
      <c r="G875">
        <v>-320.61739999999998</v>
      </c>
      <c r="H875" s="1">
        <v>-4.2050000000000004E-6</v>
      </c>
      <c r="I875">
        <v>368.50259999999997</v>
      </c>
      <c r="J875">
        <v>-345.8279</v>
      </c>
      <c r="K875">
        <v>1.1105860000000001</v>
      </c>
      <c r="L875">
        <v>367.40859999999998</v>
      </c>
      <c r="M875">
        <v>0.9998956</v>
      </c>
      <c r="N875">
        <v>0</v>
      </c>
      <c r="O875">
        <v>-3.7129060000000002E-3</v>
      </c>
      <c r="P875">
        <v>0.99843899999999997</v>
      </c>
      <c r="Q875">
        <v>4.6469249999999997E-2</v>
      </c>
      <c r="R875">
        <v>-3.0992760000000001E-2</v>
      </c>
      <c r="S875">
        <v>3.014923</v>
      </c>
      <c r="T875">
        <v>-0.132065299999999</v>
      </c>
      <c r="U875">
        <v>0.1300354</v>
      </c>
      <c r="V875">
        <v>2.728738E-2</v>
      </c>
      <c r="W875">
        <v>6.0415000000000003E-2</v>
      </c>
      <c r="X875">
        <v>0.99780029999999997</v>
      </c>
      <c r="Y875">
        <v>-4.675174E-2</v>
      </c>
      <c r="Z875">
        <v>1.1854929999999999E-3</v>
      </c>
      <c r="AA875">
        <v>0.99890579999999995</v>
      </c>
      <c r="AB875">
        <v>26</v>
      </c>
      <c r="AC875">
        <v>25.2105</v>
      </c>
      <c r="AD875">
        <v>-1.1105902050000001</v>
      </c>
      <c r="AE875">
        <v>1.0939999999999901</v>
      </c>
      <c r="AF875">
        <v>-1.18530986724052</v>
      </c>
      <c r="AG875">
        <v>-1.1105902050000001</v>
      </c>
      <c r="AH875">
        <v>25.157533949361</v>
      </c>
      <c r="AI875">
        <v>92.524908478070898</v>
      </c>
      <c r="AJ875">
        <v>92.697524602106199</v>
      </c>
      <c r="AK875">
        <v>25.209916392127798</v>
      </c>
      <c r="AL875">
        <v>86.536366290627996</v>
      </c>
      <c r="AM875">
        <v>88.433492031771493</v>
      </c>
      <c r="AN875">
        <v>1.00000000600617</v>
      </c>
    </row>
    <row r="876" spans="1:40" x14ac:dyDescent="0.25">
      <c r="A876" t="str">
        <f>"20190312150650178"</f>
        <v>20190312150650178</v>
      </c>
      <c r="B876" t="str">
        <f>"1552374410171567"</f>
        <v>1552374410171567</v>
      </c>
      <c r="C876" t="s">
        <v>40</v>
      </c>
      <c r="D876">
        <v>4.2508819999999998</v>
      </c>
      <c r="E876">
        <v>0.45967360000000002</v>
      </c>
      <c r="F876" t="s">
        <v>42</v>
      </c>
      <c r="G876">
        <v>-323.06740000000002</v>
      </c>
      <c r="H876" s="1">
        <v>-3.0724079999999998E-6</v>
      </c>
      <c r="I876">
        <v>368.96230000000003</v>
      </c>
      <c r="J876">
        <v>-345.66989999999998</v>
      </c>
      <c r="K876">
        <v>1.1105849999999999</v>
      </c>
      <c r="L876">
        <v>367.40800000000002</v>
      </c>
      <c r="M876">
        <v>0.99989550000000005</v>
      </c>
      <c r="N876">
        <v>0</v>
      </c>
      <c r="O876">
        <v>-3.7127750000000002E-3</v>
      </c>
      <c r="P876">
        <v>0.9984461</v>
      </c>
      <c r="Q876">
        <v>4.6405210000000002E-2</v>
      </c>
      <c r="R876">
        <v>-3.0856339999999999E-2</v>
      </c>
      <c r="S876">
        <v>3.017944</v>
      </c>
      <c r="T876">
        <v>-0.1472589</v>
      </c>
      <c r="U876">
        <v>0.20602419999999999</v>
      </c>
      <c r="V876">
        <v>2.715101E-2</v>
      </c>
      <c r="W876">
        <v>6.0349319999999998E-2</v>
      </c>
      <c r="X876">
        <v>0.99780800000000003</v>
      </c>
      <c r="Y876">
        <v>-7.1722579999999994E-2</v>
      </c>
      <c r="Z876">
        <v>1.927631E-3</v>
      </c>
      <c r="AA876">
        <v>0.99742280000000005</v>
      </c>
      <c r="AB876">
        <v>26</v>
      </c>
      <c r="AC876">
        <v>22.6024999999999</v>
      </c>
      <c r="AD876">
        <v>-1.1105880724079999</v>
      </c>
      <c r="AE876">
        <v>1.55430000000001</v>
      </c>
      <c r="AF876">
        <v>-1.6342883656349301</v>
      </c>
      <c r="AG876">
        <v>-1.1105880724079999</v>
      </c>
      <c r="AH876">
        <v>22.542404653653499</v>
      </c>
      <c r="AI876">
        <v>92.813117575365794</v>
      </c>
      <c r="AJ876">
        <v>94.146597875006506</v>
      </c>
      <c r="AK876">
        <v>22.6288380589389</v>
      </c>
      <c r="AL876">
        <v>86.540136374914994</v>
      </c>
      <c r="AM876">
        <v>88.441328881702901</v>
      </c>
      <c r="AN876">
        <v>1.0000000113162399</v>
      </c>
    </row>
    <row r="877" spans="1:40" x14ac:dyDescent="0.25">
      <c r="A877" t="str">
        <f>"20190312150650191"</f>
        <v>20190312150650191</v>
      </c>
      <c r="B877" t="str">
        <f>"1552374410181327"</f>
        <v>1552374410181327</v>
      </c>
      <c r="C877" t="s">
        <v>40</v>
      </c>
      <c r="D877">
        <v>4.2595489999999998</v>
      </c>
      <c r="E877">
        <v>0.45818229999999999</v>
      </c>
      <c r="F877" t="s">
        <v>42</v>
      </c>
      <c r="G877">
        <v>-322.7944</v>
      </c>
      <c r="H877" s="1">
        <v>-3.158893E-6</v>
      </c>
      <c r="I877">
        <v>369.13510000000002</v>
      </c>
      <c r="J877">
        <v>-345.51909999999998</v>
      </c>
      <c r="K877">
        <v>1.1105849999999999</v>
      </c>
      <c r="L877">
        <v>367.4074</v>
      </c>
      <c r="M877">
        <v>0.9998958</v>
      </c>
      <c r="N877">
        <v>0</v>
      </c>
      <c r="O877">
        <v>-3.7128830000000002E-3</v>
      </c>
      <c r="P877">
        <v>0.99846040000000003</v>
      </c>
      <c r="Q877">
        <v>4.6200900000000003E-2</v>
      </c>
      <c r="R877">
        <v>-3.0705E-2</v>
      </c>
      <c r="S877">
        <v>3.0185550000000001</v>
      </c>
      <c r="T877">
        <v>-0.1465477</v>
      </c>
      <c r="U877">
        <v>0.22790530000000001</v>
      </c>
      <c r="V877">
        <v>2.699961E-2</v>
      </c>
      <c r="W877">
        <v>6.014369E-2</v>
      </c>
      <c r="X877">
        <v>0.9978245</v>
      </c>
      <c r="Y877">
        <v>-7.8892630000000005E-2</v>
      </c>
      <c r="Z877">
        <v>2.091154E-3</v>
      </c>
      <c r="AA877">
        <v>0.99688089999999996</v>
      </c>
      <c r="AB877">
        <v>26</v>
      </c>
      <c r="AC877">
        <v>22.724699999999899</v>
      </c>
      <c r="AD877">
        <v>-1.110588158893</v>
      </c>
      <c r="AE877">
        <v>1.72770000000002</v>
      </c>
      <c r="AF877">
        <v>-1.8077775433277601</v>
      </c>
      <c r="AG877">
        <v>-1.110588158893</v>
      </c>
      <c r="AH877">
        <v>22.664307285770899</v>
      </c>
      <c r="AI877">
        <v>92.796475514439607</v>
      </c>
      <c r="AJ877">
        <v>94.560439315987495</v>
      </c>
      <c r="AK877">
        <v>22.763398042662299</v>
      </c>
      <c r="AL877">
        <v>86.551939464159304</v>
      </c>
      <c r="AM877">
        <v>88.450041740760696</v>
      </c>
      <c r="AN877">
        <v>0.99999998759360897</v>
      </c>
    </row>
    <row r="878" spans="1:40" x14ac:dyDescent="0.25">
      <c r="A878" t="str">
        <f>"20190312150650207"</f>
        <v>20190312150650207</v>
      </c>
      <c r="B878" t="str">
        <f>"1552374410201823"</f>
        <v>1552374410201823</v>
      </c>
      <c r="C878" t="s">
        <v>40</v>
      </c>
      <c r="D878">
        <v>4.3589869999999999</v>
      </c>
      <c r="E878">
        <v>0.45562599999999998</v>
      </c>
      <c r="F878" t="s">
        <v>42</v>
      </c>
      <c r="G878">
        <v>-322.70600000000002</v>
      </c>
      <c r="H878" s="1">
        <v>-3.1811159999999999E-6</v>
      </c>
      <c r="I878">
        <v>369.2235</v>
      </c>
      <c r="J878">
        <v>-345.32560000000001</v>
      </c>
      <c r="K878">
        <v>1.1105860000000001</v>
      </c>
      <c r="L878">
        <v>367.4067</v>
      </c>
      <c r="M878">
        <v>0.99989570000000005</v>
      </c>
      <c r="N878">
        <v>0</v>
      </c>
      <c r="O878">
        <v>-3.7128690000000002E-3</v>
      </c>
      <c r="P878">
        <v>0.99846619999999997</v>
      </c>
      <c r="Q878">
        <v>4.6231260000000003E-2</v>
      </c>
      <c r="R878">
        <v>-3.0467020000000001E-2</v>
      </c>
      <c r="S878">
        <v>3.0188899999999999</v>
      </c>
      <c r="T878">
        <v>-0.14696509999999999</v>
      </c>
      <c r="U878">
        <v>0.24032590000000001</v>
      </c>
      <c r="V878">
        <v>2.6761469999999999E-2</v>
      </c>
      <c r="W878">
        <v>6.0171780000000001E-2</v>
      </c>
      <c r="X878">
        <v>0.99782930000000003</v>
      </c>
      <c r="Y878">
        <v>-8.2955310000000004E-2</v>
      </c>
      <c r="Z878">
        <v>2.1952130000000001E-3</v>
      </c>
      <c r="AA878">
        <v>0.99655090000000002</v>
      </c>
      <c r="AB878">
        <v>26</v>
      </c>
      <c r="AC878">
        <v>22.619599999999998</v>
      </c>
      <c r="AD878">
        <v>-1.110589181116</v>
      </c>
      <c r="AE878">
        <v>1.8168</v>
      </c>
      <c r="AF878">
        <v>-1.8962373738899101</v>
      </c>
      <c r="AG878">
        <v>-1.110589181116</v>
      </c>
      <c r="AH878">
        <v>22.558665035268898</v>
      </c>
      <c r="AI878">
        <v>92.808573010452704</v>
      </c>
      <c r="AJ878">
        <v>94.8048760005383</v>
      </c>
      <c r="AK878">
        <v>22.665447109660398</v>
      </c>
      <c r="AL878">
        <v>86.550327375158403</v>
      </c>
      <c r="AM878">
        <v>88.463713376101396</v>
      </c>
      <c r="AN878">
        <v>1.0000000656617001</v>
      </c>
    </row>
    <row r="879" spans="1:40" x14ac:dyDescent="0.25">
      <c r="A879" t="str">
        <f>"20190312150650220"</f>
        <v>20190312150650220</v>
      </c>
      <c r="B879" t="str">
        <f>"1552374410211584"</f>
        <v>1552374410211584</v>
      </c>
      <c r="C879" t="s">
        <v>40</v>
      </c>
      <c r="D879">
        <v>4.2374589999999897</v>
      </c>
      <c r="E879">
        <v>0.45524530000000002</v>
      </c>
      <c r="F879" t="s">
        <v>42</v>
      </c>
      <c r="G879">
        <v>-323.63310000000001</v>
      </c>
      <c r="H879" s="1">
        <v>-2.7724229999999999E-6</v>
      </c>
      <c r="I879">
        <v>369.28539999999998</v>
      </c>
      <c r="J879">
        <v>-345.17200000000003</v>
      </c>
      <c r="K879">
        <v>1.110587</v>
      </c>
      <c r="L879">
        <v>367.40609999999998</v>
      </c>
      <c r="M879">
        <v>0.99989570000000005</v>
      </c>
      <c r="N879">
        <v>0</v>
      </c>
      <c r="O879">
        <v>-3.7127390000000001E-3</v>
      </c>
      <c r="P879">
        <v>0.998448</v>
      </c>
      <c r="Q879">
        <v>4.6480500000000001E-2</v>
      </c>
      <c r="R879">
        <v>-3.0681779999999999E-2</v>
      </c>
      <c r="S879">
        <v>3.0197449999999999</v>
      </c>
      <c r="T879">
        <v>-0.15460070000000001</v>
      </c>
      <c r="U879">
        <v>0.26153559999999998</v>
      </c>
      <c r="V879">
        <v>2.6976529999999999E-2</v>
      </c>
      <c r="W879">
        <v>6.0419760000000003E-2</v>
      </c>
      <c r="X879">
        <v>0.99780849999999999</v>
      </c>
      <c r="Y879">
        <v>-8.9862540000000005E-2</v>
      </c>
      <c r="Z879">
        <v>2.4841640000000001E-3</v>
      </c>
      <c r="AA879">
        <v>0.99595109999999998</v>
      </c>
      <c r="AB879">
        <v>26</v>
      </c>
      <c r="AC879">
        <v>21.538899999999899</v>
      </c>
      <c r="AD879">
        <v>-1.1105897724230001</v>
      </c>
      <c r="AE879">
        <v>1.8793</v>
      </c>
      <c r="AF879">
        <v>-1.95410712451574</v>
      </c>
      <c r="AG879">
        <v>-1.1105897724230001</v>
      </c>
      <c r="AH879">
        <v>21.475110169536201</v>
      </c>
      <c r="AI879">
        <v>92.948266890219898</v>
      </c>
      <c r="AJ879">
        <v>95.199256439969304</v>
      </c>
      <c r="AK879">
        <v>21.592413044641599</v>
      </c>
      <c r="AL879">
        <v>86.536093187104598</v>
      </c>
      <c r="AM879">
        <v>88.451341221231999</v>
      </c>
      <c r="AN879">
        <v>1.0000000416207699</v>
      </c>
    </row>
    <row r="880" spans="1:40" x14ac:dyDescent="0.25">
      <c r="A880" t="str">
        <f>"20190312150650233"</f>
        <v>20190312150650233</v>
      </c>
      <c r="B880" t="str">
        <f>"1552374410221344"</f>
        <v>1552374410221344</v>
      </c>
      <c r="C880" t="s">
        <v>40</v>
      </c>
      <c r="D880">
        <v>4.1975040000000003</v>
      </c>
      <c r="E880">
        <v>0.45495999999999998</v>
      </c>
      <c r="F880" t="s">
        <v>42</v>
      </c>
      <c r="G880">
        <v>-322.97129999999999</v>
      </c>
      <c r="H880" s="1">
        <v>-3.045757E-6</v>
      </c>
      <c r="I880">
        <v>369.34500000000003</v>
      </c>
      <c r="J880">
        <v>-345.03320000000002</v>
      </c>
      <c r="K880">
        <v>1.11059</v>
      </c>
      <c r="L880">
        <v>367.40559999999999</v>
      </c>
      <c r="M880">
        <v>0.9998958</v>
      </c>
      <c r="N880">
        <v>0</v>
      </c>
      <c r="O880">
        <v>-3.7127290000000001E-3</v>
      </c>
      <c r="P880">
        <v>0.99843159999999997</v>
      </c>
      <c r="Q880">
        <v>4.6736899999999998E-2</v>
      </c>
      <c r="R880">
        <v>-3.0829499999999999E-2</v>
      </c>
      <c r="S880">
        <v>3.0197750000000001</v>
      </c>
      <c r="T880">
        <v>-0.15106359999999999</v>
      </c>
      <c r="U880">
        <v>0.26373289999999999</v>
      </c>
      <c r="V880">
        <v>2.7124309999999999E-2</v>
      </c>
      <c r="W880">
        <v>6.0674400000000003E-2</v>
      </c>
      <c r="X880">
        <v>0.99778900000000004</v>
      </c>
      <c r="Y880">
        <v>-9.0585479999999996E-2</v>
      </c>
      <c r="Z880">
        <v>2.4453360000000002E-3</v>
      </c>
      <c r="AA880">
        <v>0.99588569999999998</v>
      </c>
      <c r="AB880">
        <v>26</v>
      </c>
      <c r="AC880">
        <v>22.061900000000001</v>
      </c>
      <c r="AD880">
        <v>-1.1105930457569999</v>
      </c>
      <c r="AE880">
        <v>1.93940000000003</v>
      </c>
      <c r="AF880">
        <v>-2.01623429517874</v>
      </c>
      <c r="AG880">
        <v>-1.1105930457569999</v>
      </c>
      <c r="AH880">
        <v>21.9992259685867</v>
      </c>
      <c r="AI880">
        <v>92.8779837970811</v>
      </c>
      <c r="AJ880">
        <v>95.236542614026405</v>
      </c>
      <c r="AK880">
        <v>22.119325506517601</v>
      </c>
      <c r="AL880">
        <v>86.521476428124203</v>
      </c>
      <c r="AM880">
        <v>88.442831269868904</v>
      </c>
      <c r="AN880">
        <v>0.99999999976466802</v>
      </c>
    </row>
    <row r="881" spans="1:40" x14ac:dyDescent="0.25">
      <c r="A881" t="str">
        <f>"20190312150650251"</f>
        <v>20190312150650251</v>
      </c>
      <c r="B881" t="str">
        <f>"1552374410240864"</f>
        <v>1552374410240864</v>
      </c>
      <c r="C881" t="s">
        <v>40</v>
      </c>
      <c r="D881">
        <v>4.2371369999999997</v>
      </c>
      <c r="E881">
        <v>0.45429330000000001</v>
      </c>
      <c r="F881" t="s">
        <v>42</v>
      </c>
      <c r="G881">
        <v>-322.52550000000002</v>
      </c>
      <c r="H881" s="1">
        <v>-3.2302840000000002E-6</v>
      </c>
      <c r="I881">
        <v>369.38299999999998</v>
      </c>
      <c r="J881">
        <v>-344.81299999999999</v>
      </c>
      <c r="K881">
        <v>1.1105929999999999</v>
      </c>
      <c r="L881">
        <v>367.40480000000002</v>
      </c>
      <c r="M881">
        <v>0.9998958</v>
      </c>
      <c r="N881">
        <v>0</v>
      </c>
      <c r="O881">
        <v>-3.7127129999999999E-3</v>
      </c>
      <c r="P881">
        <v>0.99839389999999995</v>
      </c>
      <c r="Q881">
        <v>4.7252349999999999E-2</v>
      </c>
      <c r="R881">
        <v>-3.1260969999999999E-2</v>
      </c>
      <c r="S881">
        <v>3.0198360000000002</v>
      </c>
      <c r="T881">
        <v>-0.14900649999999999</v>
      </c>
      <c r="U881">
        <v>0.26531979999999999</v>
      </c>
      <c r="V881">
        <v>2.7555940000000001E-2</v>
      </c>
      <c r="W881">
        <v>6.1186999999999998E-2</v>
      </c>
      <c r="X881">
        <v>0.99774589999999996</v>
      </c>
      <c r="Y881">
        <v>-9.1105610000000004E-2</v>
      </c>
      <c r="Z881">
        <v>2.4247729999999999E-3</v>
      </c>
      <c r="AA881">
        <v>0.99583829999999995</v>
      </c>
      <c r="AB881">
        <v>26</v>
      </c>
      <c r="AC881">
        <v>22.287500000000001</v>
      </c>
      <c r="AD881">
        <v>-1.110596230284</v>
      </c>
      <c r="AE881">
        <v>1.97820000000001</v>
      </c>
      <c r="AF881">
        <v>-2.0558765154266698</v>
      </c>
      <c r="AG881">
        <v>-1.110596230284</v>
      </c>
      <c r="AH881">
        <v>22.225245592512501</v>
      </c>
      <c r="AI881">
        <v>92.848551624064697</v>
      </c>
      <c r="AJ881">
        <v>95.284926654151406</v>
      </c>
      <c r="AK881">
        <v>22.347742478400399</v>
      </c>
      <c r="AL881">
        <v>86.492052046263694</v>
      </c>
      <c r="AM881">
        <v>88.417996186612996</v>
      </c>
      <c r="AN881">
        <v>1.00000002988254</v>
      </c>
    </row>
    <row r="882" spans="1:40" x14ac:dyDescent="0.25">
      <c r="A882" t="str">
        <f>"20190312150650262"</f>
        <v>20190312150650262</v>
      </c>
      <c r="B882" t="str">
        <f>"1552374410251599"</f>
        <v>1552374410251599</v>
      </c>
      <c r="C882" t="s">
        <v>40</v>
      </c>
      <c r="D882">
        <v>4.2904179999999998</v>
      </c>
      <c r="E882">
        <v>0.45397149999999997</v>
      </c>
      <c r="F882" t="s">
        <v>42</v>
      </c>
      <c r="G882">
        <v>-322.03219999999999</v>
      </c>
      <c r="H882" s="1">
        <v>-3.4321889999999998E-6</v>
      </c>
      <c r="I882">
        <v>369.43779999999998</v>
      </c>
      <c r="J882">
        <v>-344.68360000000001</v>
      </c>
      <c r="K882">
        <v>1.1105969999999901</v>
      </c>
      <c r="L882">
        <v>367.40429999999998</v>
      </c>
      <c r="M882">
        <v>0.9998958</v>
      </c>
      <c r="N882">
        <v>0</v>
      </c>
      <c r="O882">
        <v>-3.7124649999999999E-3</v>
      </c>
      <c r="P882">
        <v>0.99840180000000001</v>
      </c>
      <c r="Q882">
        <v>4.7139689999999998E-2</v>
      </c>
      <c r="R882">
        <v>-3.117462E-2</v>
      </c>
      <c r="S882">
        <v>3.020203</v>
      </c>
      <c r="T882">
        <v>-0.1472386</v>
      </c>
      <c r="U882">
        <v>0.26953129999999997</v>
      </c>
      <c r="V882">
        <v>2.7469759999999999E-2</v>
      </c>
      <c r="W882">
        <v>6.1073250000000003E-2</v>
      </c>
      <c r="X882">
        <v>0.99775519999999995</v>
      </c>
      <c r="Y882">
        <v>-9.2473689999999997E-2</v>
      </c>
      <c r="Z882">
        <v>2.428852E-3</v>
      </c>
      <c r="AA882">
        <v>0.99571220000000005</v>
      </c>
      <c r="AB882">
        <v>26</v>
      </c>
      <c r="AC882">
        <v>22.651399999999999</v>
      </c>
      <c r="AD882">
        <v>-1.11060043218899</v>
      </c>
      <c r="AE882">
        <v>2.0335000000000001</v>
      </c>
      <c r="AF882">
        <v>-2.11254883558748</v>
      </c>
      <c r="AG882">
        <v>-1.11060043218899</v>
      </c>
      <c r="AH882">
        <v>22.589823178474202</v>
      </c>
      <c r="AI882">
        <v>92.802401171511207</v>
      </c>
      <c r="AJ882">
        <v>95.342632239138993</v>
      </c>
      <c r="AK882">
        <v>22.715554299586199</v>
      </c>
      <c r="AL882">
        <v>86.498581493013106</v>
      </c>
      <c r="AM882">
        <v>88.422956024241898</v>
      </c>
      <c r="AN882">
        <v>0.99999998435352899</v>
      </c>
    </row>
    <row r="883" spans="1:40" x14ac:dyDescent="0.25">
      <c r="A883" t="str">
        <f>"20190312150650274"</f>
        <v>20190312150650274</v>
      </c>
      <c r="B883" t="str">
        <f>"1552374410271119"</f>
        <v>1552374410271119</v>
      </c>
      <c r="C883" t="s">
        <v>40</v>
      </c>
      <c r="D883">
        <v>4.2472940000000001</v>
      </c>
      <c r="E883">
        <v>0.45368350000000002</v>
      </c>
      <c r="F883" t="s">
        <v>42</v>
      </c>
      <c r="G883">
        <v>-322.18579999999997</v>
      </c>
      <c r="H883" s="1">
        <v>-3.367026E-6</v>
      </c>
      <c r="I883">
        <v>369.43349999999998</v>
      </c>
      <c r="J883">
        <v>-344.54719999999998</v>
      </c>
      <c r="K883">
        <v>1.1105940000000001</v>
      </c>
      <c r="L883">
        <v>367.40379999999999</v>
      </c>
      <c r="M883">
        <v>0.9998958</v>
      </c>
      <c r="N883">
        <v>0</v>
      </c>
      <c r="O883">
        <v>-3.7124559999999998E-3</v>
      </c>
      <c r="P883">
        <v>0.99839619999999996</v>
      </c>
      <c r="Q883">
        <v>4.7196599999999998E-2</v>
      </c>
      <c r="R883">
        <v>-3.1265519999999998E-2</v>
      </c>
      <c r="S883">
        <v>3.0203549999999999</v>
      </c>
      <c r="T883">
        <v>-0.14909890000000001</v>
      </c>
      <c r="U883">
        <v>0.27243040000000002</v>
      </c>
      <c r="V883">
        <v>2.7560660000000001E-2</v>
      </c>
      <c r="W883">
        <v>6.1128460000000003E-2</v>
      </c>
      <c r="X883">
        <v>0.99774929999999995</v>
      </c>
      <c r="Y883">
        <v>-9.3413309999999999E-2</v>
      </c>
      <c r="Z883">
        <v>2.482405E-3</v>
      </c>
      <c r="AA883">
        <v>0.99562430000000002</v>
      </c>
      <c r="AB883">
        <v>26</v>
      </c>
      <c r="AC883">
        <v>22.3614</v>
      </c>
      <c r="AD883">
        <v>-1.1105973670260001</v>
      </c>
      <c r="AE883">
        <v>2.0296999999999898</v>
      </c>
      <c r="AF883">
        <v>-2.10755359381234</v>
      </c>
      <c r="AG883">
        <v>-1.1105973670260001</v>
      </c>
      <c r="AH883">
        <v>22.299154250950799</v>
      </c>
      <c r="AI883">
        <v>92.838600417093502</v>
      </c>
      <c r="AJ883">
        <v>95.399141533556602</v>
      </c>
      <c r="AK883">
        <v>22.426044880231</v>
      </c>
      <c r="AL883">
        <v>86.495412228688394</v>
      </c>
      <c r="AM883">
        <v>88.417730735317804</v>
      </c>
      <c r="AN883">
        <v>0.99999997212604796</v>
      </c>
    </row>
    <row r="884" spans="1:40" x14ac:dyDescent="0.25">
      <c r="A884" t="str">
        <f>"20190312150650285"</f>
        <v>20190312150650285</v>
      </c>
      <c r="B884" t="str">
        <f>"1552374410280880"</f>
        <v>1552374410280880</v>
      </c>
      <c r="C884" t="s">
        <v>40</v>
      </c>
      <c r="D884">
        <v>4.220478</v>
      </c>
      <c r="E884">
        <v>0.45355990000000002</v>
      </c>
      <c r="F884" t="s">
        <v>42</v>
      </c>
      <c r="G884">
        <v>-321.23820000000001</v>
      </c>
      <c r="H884" s="1">
        <v>-3.7579329999999999E-6</v>
      </c>
      <c r="I884">
        <v>369.52159999999998</v>
      </c>
      <c r="J884">
        <v>-344.41649999999998</v>
      </c>
      <c r="K884">
        <v>1.110595</v>
      </c>
      <c r="L884">
        <v>367.40339999999998</v>
      </c>
      <c r="M884">
        <v>0.9998958</v>
      </c>
      <c r="N884">
        <v>0</v>
      </c>
      <c r="O884">
        <v>-3.7126839999999999E-3</v>
      </c>
      <c r="P884">
        <v>0.99838720000000003</v>
      </c>
      <c r="Q884">
        <v>4.7341790000000002E-2</v>
      </c>
      <c r="R884">
        <v>-3.1343330000000003E-2</v>
      </c>
      <c r="S884">
        <v>3.020203</v>
      </c>
      <c r="T884">
        <v>-0.14390210000000001</v>
      </c>
      <c r="U884">
        <v>0.27441409999999899</v>
      </c>
      <c r="V884">
        <v>2.7638179999999998E-2</v>
      </c>
      <c r="W884">
        <v>6.1271720000000002E-2</v>
      </c>
      <c r="X884">
        <v>0.99773840000000003</v>
      </c>
      <c r="Y884">
        <v>-9.4073909999999997E-2</v>
      </c>
      <c r="Z884">
        <v>2.4117380000000001E-3</v>
      </c>
      <c r="AA884">
        <v>0.99556230000000001</v>
      </c>
      <c r="AB884">
        <v>26</v>
      </c>
      <c r="AC884">
        <v>23.178299999999901</v>
      </c>
      <c r="AD884">
        <v>-1.1105987579329999</v>
      </c>
      <c r="AE884">
        <v>2.1181999999999999</v>
      </c>
      <c r="AF884">
        <v>-2.1992400815050299</v>
      </c>
      <c r="AG884">
        <v>-1.1105987579329999</v>
      </c>
      <c r="AH884">
        <v>23.117639273560901</v>
      </c>
      <c r="AI884">
        <v>92.738099082169398</v>
      </c>
      <c r="AJ884">
        <v>95.434339296233802</v>
      </c>
      <c r="AK884">
        <v>23.248555484582401</v>
      </c>
      <c r="AL884">
        <v>86.487188731297806</v>
      </c>
      <c r="AM884">
        <v>88.413265225351196</v>
      </c>
      <c r="AN884">
        <v>1.0000000037500101</v>
      </c>
    </row>
    <row r="885" spans="1:40" x14ac:dyDescent="0.25">
      <c r="A885" t="str">
        <f>"20190312150650296"</f>
        <v>20190312150650296</v>
      </c>
      <c r="B885" t="str">
        <f>"1552374410291616"</f>
        <v>1552374410291616</v>
      </c>
      <c r="C885" t="s">
        <v>40</v>
      </c>
      <c r="D885">
        <v>4.2327500000000002</v>
      </c>
      <c r="E885">
        <v>0.45338650000000003</v>
      </c>
      <c r="F885" t="s">
        <v>42</v>
      </c>
      <c r="G885">
        <v>-321.08600000000001</v>
      </c>
      <c r="H885" s="1">
        <v>-3.8220269999999997E-6</v>
      </c>
      <c r="I885">
        <v>369.52820000000003</v>
      </c>
      <c r="J885">
        <v>-344.28660000000002</v>
      </c>
      <c r="K885">
        <v>1.1105969999999901</v>
      </c>
      <c r="L885">
        <v>367.40289999999999</v>
      </c>
      <c r="M885">
        <v>0.9998958</v>
      </c>
      <c r="N885">
        <v>0</v>
      </c>
      <c r="O885">
        <v>-3.7124359999999999E-3</v>
      </c>
      <c r="P885">
        <v>0.99838439999999995</v>
      </c>
      <c r="Q885">
        <v>4.7375630000000002E-2</v>
      </c>
      <c r="R885">
        <v>-3.1378690000000001E-2</v>
      </c>
      <c r="S885">
        <v>3.0202939999999998</v>
      </c>
      <c r="T885">
        <v>-0.1437745</v>
      </c>
      <c r="U885">
        <v>0.27508539999999998</v>
      </c>
      <c r="V885">
        <v>2.7673900000000001E-2</v>
      </c>
      <c r="W885">
        <v>6.1304079999999997E-2</v>
      </c>
      <c r="X885">
        <v>0.99773540000000005</v>
      </c>
      <c r="Y885">
        <v>-9.4290390000000002E-2</v>
      </c>
      <c r="Z885">
        <v>2.4146319999999999E-3</v>
      </c>
      <c r="AA885">
        <v>0.99554180000000003</v>
      </c>
      <c r="AB885">
        <v>26</v>
      </c>
      <c r="AC885">
        <v>23.200600000000001</v>
      </c>
      <c r="AD885">
        <v>-1.1106008220269901</v>
      </c>
      <c r="AE885">
        <v>2.1253000000000299</v>
      </c>
      <c r="AF885">
        <v>-2.2064105875253501</v>
      </c>
      <c r="AG885">
        <v>-1.1106008220269901</v>
      </c>
      <c r="AH885">
        <v>23.139965592650899</v>
      </c>
      <c r="AI885">
        <v>92.735410129220895</v>
      </c>
      <c r="AJ885">
        <v>95.446722484363406</v>
      </c>
      <c r="AK885">
        <v>23.271435054497498</v>
      </c>
      <c r="AL885">
        <v>86.485331070230998</v>
      </c>
      <c r="AM885">
        <v>88.411210781108096</v>
      </c>
      <c r="AN885">
        <v>0.99999998168950799</v>
      </c>
    </row>
    <row r="886" spans="1:40" x14ac:dyDescent="0.25">
      <c r="A886" t="str">
        <f>"20190312150650308"</f>
        <v>20190312150650308</v>
      </c>
      <c r="B886" t="str">
        <f>"1552374410301375"</f>
        <v>1552374410301375</v>
      </c>
      <c r="C886" t="s">
        <v>40</v>
      </c>
      <c r="D886">
        <v>4.2505480000000002</v>
      </c>
      <c r="E886">
        <v>0.45326850000000002</v>
      </c>
      <c r="F886" t="s">
        <v>42</v>
      </c>
      <c r="G886">
        <v>-321.04520000000002</v>
      </c>
      <c r="H886" s="1">
        <v>-3.8391689999999998E-6</v>
      </c>
      <c r="I886">
        <v>369.53030000000001</v>
      </c>
      <c r="J886">
        <v>-344.1551</v>
      </c>
      <c r="K886">
        <v>1.1105969999999901</v>
      </c>
      <c r="L886">
        <v>367.4024</v>
      </c>
      <c r="M886">
        <v>0.9998958</v>
      </c>
      <c r="N886">
        <v>0</v>
      </c>
      <c r="O886">
        <v>-3.7123070000000002E-3</v>
      </c>
      <c r="P886">
        <v>0.99837529999999997</v>
      </c>
      <c r="Q886">
        <v>4.7465760000000003E-2</v>
      </c>
      <c r="R886">
        <v>-3.152949E-2</v>
      </c>
      <c r="S886">
        <v>3.020416</v>
      </c>
      <c r="T886">
        <v>-0.1443316</v>
      </c>
      <c r="U886">
        <v>0.27648929999999999</v>
      </c>
      <c r="V886">
        <v>2.7824890000000001E-2</v>
      </c>
      <c r="W886">
        <v>6.1393080000000003E-2</v>
      </c>
      <c r="X886">
        <v>0.99772570000000005</v>
      </c>
      <c r="Y886">
        <v>-9.4744140000000004E-2</v>
      </c>
      <c r="Z886">
        <v>2.4346350000000001E-3</v>
      </c>
      <c r="AA886">
        <v>0.99549869999999996</v>
      </c>
      <c r="AB886">
        <v>26</v>
      </c>
      <c r="AC886">
        <v>23.1098999999999</v>
      </c>
      <c r="AD886">
        <v>-1.1106008391690001</v>
      </c>
      <c r="AE886">
        <v>2.1279000000000101</v>
      </c>
      <c r="AF886">
        <v>-2.2086267640375001</v>
      </c>
      <c r="AG886">
        <v>-1.1106008391690001</v>
      </c>
      <c r="AH886">
        <v>23.049056033366</v>
      </c>
      <c r="AI886">
        <v>92.746059983358194</v>
      </c>
      <c r="AJ886">
        <v>95.473534308906494</v>
      </c>
      <c r="AK886">
        <v>23.181252132618599</v>
      </c>
      <c r="AL886">
        <v>86.480222023589306</v>
      </c>
      <c r="AM886">
        <v>88.402531234948995</v>
      </c>
      <c r="AN886">
        <v>0.99999995360794303</v>
      </c>
    </row>
    <row r="887" spans="1:40" x14ac:dyDescent="0.25">
      <c r="A887" t="str">
        <f>"20190312150650318"</f>
        <v>20190312150650318</v>
      </c>
      <c r="B887" t="str">
        <f>"1552374410311136"</f>
        <v>1552374410311136</v>
      </c>
      <c r="C887" t="s">
        <v>40</v>
      </c>
      <c r="D887">
        <v>4.2336199999999904</v>
      </c>
      <c r="E887">
        <v>0.45321699999999998</v>
      </c>
      <c r="F887" t="s">
        <v>42</v>
      </c>
      <c r="G887">
        <v>-320.80360000000002</v>
      </c>
      <c r="H887" s="1">
        <v>-3.9402949999999999E-6</v>
      </c>
      <c r="I887">
        <v>369.5446</v>
      </c>
      <c r="J887">
        <v>-344.01859999999999</v>
      </c>
      <c r="K887">
        <v>1.1105969999999901</v>
      </c>
      <c r="L887">
        <v>367.40190000000001</v>
      </c>
      <c r="M887">
        <v>0.9998958</v>
      </c>
      <c r="N887">
        <v>0</v>
      </c>
      <c r="O887">
        <v>-3.7122969999999998E-3</v>
      </c>
      <c r="P887">
        <v>0.99836579999999997</v>
      </c>
      <c r="Q887">
        <v>4.7589020000000003E-2</v>
      </c>
      <c r="R887">
        <v>-3.1645050000000001E-2</v>
      </c>
      <c r="S887">
        <v>3.0204770000000001</v>
      </c>
      <c r="T887">
        <v>-0.1436539</v>
      </c>
      <c r="U887">
        <v>0.277099599999999</v>
      </c>
      <c r="V887">
        <v>2.794052E-2</v>
      </c>
      <c r="W887">
        <v>6.1514920000000001E-2</v>
      </c>
      <c r="X887">
        <v>0.99771500000000002</v>
      </c>
      <c r="Y887">
        <v>-9.4942620000000005E-2</v>
      </c>
      <c r="Z887">
        <v>2.4278530000000002E-3</v>
      </c>
      <c r="AA887">
        <v>0.99547980000000003</v>
      </c>
      <c r="AB887">
        <v>26</v>
      </c>
      <c r="AC887">
        <v>23.2149999999999</v>
      </c>
      <c r="AD887">
        <v>-1.1106009402949999</v>
      </c>
      <c r="AE887">
        <v>2.1426999999999898</v>
      </c>
      <c r="AF887">
        <v>-2.2238280298316702</v>
      </c>
      <c r="AG887">
        <v>-1.1106009402949999</v>
      </c>
      <c r="AH887">
        <v>23.154340416039901</v>
      </c>
      <c r="AI887">
        <v>92.7335354016938</v>
      </c>
      <c r="AJ887">
        <v>95.486070182016704</v>
      </c>
      <c r="AK887">
        <v>23.2873855479036</v>
      </c>
      <c r="AL887">
        <v>86.473228013193506</v>
      </c>
      <c r="AM887">
        <v>88.395879009820405</v>
      </c>
      <c r="AN887">
        <v>0.99999998963273795</v>
      </c>
    </row>
    <row r="888" spans="1:40" x14ac:dyDescent="0.25">
      <c r="A888" t="str">
        <f>"20190312150650330"</f>
        <v>20190312150650330</v>
      </c>
      <c r="B888" t="str">
        <f>"1552374410321871"</f>
        <v>1552374410321871</v>
      </c>
      <c r="C888" t="s">
        <v>40</v>
      </c>
      <c r="D888">
        <v>4.2219160000000002</v>
      </c>
      <c r="E888">
        <v>0.4531501</v>
      </c>
      <c r="F888" t="s">
        <v>42</v>
      </c>
      <c r="G888">
        <v>-320.56209999999999</v>
      </c>
      <c r="H888" s="1">
        <v>-4.0420789999999999E-6</v>
      </c>
      <c r="I888">
        <v>369.55489999999998</v>
      </c>
      <c r="J888">
        <v>-343.89159999999998</v>
      </c>
      <c r="K888">
        <v>1.110592</v>
      </c>
      <c r="L888">
        <v>367.40140000000002</v>
      </c>
      <c r="M888">
        <v>0.9998958</v>
      </c>
      <c r="N888">
        <v>0</v>
      </c>
      <c r="O888">
        <v>-3.7122879999999998E-3</v>
      </c>
      <c r="P888">
        <v>0.99837260000000005</v>
      </c>
      <c r="Q888">
        <v>4.7388899999999998E-2</v>
      </c>
      <c r="R888">
        <v>-3.1722689999999998E-2</v>
      </c>
      <c r="S888">
        <v>3.020508</v>
      </c>
      <c r="T888">
        <v>-0.14301229999999901</v>
      </c>
      <c r="U888">
        <v>0.2772522</v>
      </c>
      <c r="V888">
        <v>2.8018230000000002E-2</v>
      </c>
      <c r="W888">
        <v>6.1313119999999999E-2</v>
      </c>
      <c r="X888">
        <v>0.99772519999999998</v>
      </c>
      <c r="Y888">
        <v>-9.4992499999999994E-2</v>
      </c>
      <c r="Z888">
        <v>2.4181680000000001E-3</v>
      </c>
      <c r="AA888">
        <v>0.99547509999999995</v>
      </c>
      <c r="AB888">
        <v>26</v>
      </c>
      <c r="AC888">
        <v>23.329499999999999</v>
      </c>
      <c r="AD888">
        <v>-1.110596042079</v>
      </c>
      <c r="AE888">
        <v>2.15349999999995</v>
      </c>
      <c r="AF888">
        <v>-2.2350770357342902</v>
      </c>
      <c r="AG888">
        <v>-1.110596042079</v>
      </c>
      <c r="AH888">
        <v>23.269056833720899</v>
      </c>
      <c r="AI888">
        <v>92.720064818473801</v>
      </c>
      <c r="AJ888">
        <v>95.4866343124162</v>
      </c>
      <c r="AK888">
        <v>23.4025212072392</v>
      </c>
      <c r="AL888">
        <v>86.484812019176601</v>
      </c>
      <c r="AM888">
        <v>88.391436300752403</v>
      </c>
      <c r="AN888">
        <v>0.99999994730575203</v>
      </c>
    </row>
    <row r="889" spans="1:40" x14ac:dyDescent="0.25">
      <c r="A889" t="str">
        <f>"20190312150650341"</f>
        <v>20190312150650341</v>
      </c>
      <c r="B889" t="str">
        <f>"1552374410331631"</f>
        <v>1552374410331631</v>
      </c>
      <c r="C889" t="s">
        <v>40</v>
      </c>
      <c r="D889">
        <v>4.2368160000000001</v>
      </c>
      <c r="E889">
        <v>0.45309159999999998</v>
      </c>
      <c r="F889" t="s">
        <v>42</v>
      </c>
      <c r="G889">
        <v>-320.55059999999997</v>
      </c>
      <c r="H889" s="1">
        <v>-4.0485890000000004E-6</v>
      </c>
      <c r="I889">
        <v>369.54599999999999</v>
      </c>
      <c r="J889">
        <v>-343.76029999999997</v>
      </c>
      <c r="K889">
        <v>1.110592</v>
      </c>
      <c r="L889">
        <v>367.40089999999998</v>
      </c>
      <c r="M889">
        <v>0.99989589999999995</v>
      </c>
      <c r="N889">
        <v>0</v>
      </c>
      <c r="O889">
        <v>-3.7122779999999998E-3</v>
      </c>
      <c r="P889">
        <v>0.99838260000000001</v>
      </c>
      <c r="Q889">
        <v>4.7188510000000003E-2</v>
      </c>
      <c r="R889">
        <v>-3.1714010000000001E-2</v>
      </c>
      <c r="S889">
        <v>3.0204770000000001</v>
      </c>
      <c r="T889">
        <v>-0.14371779999999901</v>
      </c>
      <c r="U889">
        <v>0.27752690000000002</v>
      </c>
      <c r="V889">
        <v>2.800938E-2</v>
      </c>
      <c r="W889">
        <v>6.1111800000000001E-2</v>
      </c>
      <c r="X889">
        <v>0.99773780000000001</v>
      </c>
      <c r="Y889">
        <v>-9.5081970000000002E-2</v>
      </c>
      <c r="Z889">
        <v>2.4322219999999999E-3</v>
      </c>
      <c r="AA889">
        <v>0.99546650000000003</v>
      </c>
      <c r="AB889">
        <v>26</v>
      </c>
      <c r="AC889">
        <v>23.209700000000002</v>
      </c>
      <c r="AD889">
        <v>-1.1105960485889901</v>
      </c>
      <c r="AE889">
        <v>2.14510000000001</v>
      </c>
      <c r="AF889">
        <v>-2.22620035540616</v>
      </c>
      <c r="AG889">
        <v>-1.1105960485889901</v>
      </c>
      <c r="AH889">
        <v>23.149021322751999</v>
      </c>
      <c r="AI889">
        <v>92.734118146830596</v>
      </c>
      <c r="AJ889">
        <v>95.493141013769105</v>
      </c>
      <c r="AK889">
        <v>23.282323333524499</v>
      </c>
      <c r="AL889">
        <v>86.496368477990401</v>
      </c>
      <c r="AM889">
        <v>88.391964420944305</v>
      </c>
      <c r="AN889">
        <v>0.99999994750803001</v>
      </c>
    </row>
    <row r="890" spans="1:40" x14ac:dyDescent="0.25">
      <c r="A890" t="str">
        <f>"20190312150650353"</f>
        <v>20190312150650353</v>
      </c>
      <c r="B890" t="str">
        <f>"1552374410341391"</f>
        <v>1552374410341391</v>
      </c>
      <c r="C890" t="s">
        <v>40</v>
      </c>
      <c r="D890">
        <v>4.3573620000000002</v>
      </c>
      <c r="E890">
        <v>0.45309149999999998</v>
      </c>
      <c r="F890" t="s">
        <v>42</v>
      </c>
      <c r="G890">
        <v>-320.5401</v>
      </c>
      <c r="H890" s="1">
        <v>-4.0547350000000002E-6</v>
      </c>
      <c r="I890">
        <v>369.5367</v>
      </c>
      <c r="J890">
        <v>-343.63229999999999</v>
      </c>
      <c r="K890">
        <v>1.110592</v>
      </c>
      <c r="L890">
        <v>367.40050000000002</v>
      </c>
      <c r="M890">
        <v>0.99989589999999995</v>
      </c>
      <c r="N890">
        <v>0</v>
      </c>
      <c r="O890">
        <v>-3.7122689999999998E-3</v>
      </c>
      <c r="P890">
        <v>0.99836990000000003</v>
      </c>
      <c r="Q890">
        <v>4.7422140000000002E-2</v>
      </c>
      <c r="R890">
        <v>-3.1762209999999999E-2</v>
      </c>
      <c r="S890">
        <v>3.0205380000000002</v>
      </c>
      <c r="T890">
        <v>-0.14446809999999999</v>
      </c>
      <c r="U890">
        <v>0.27783200000000002</v>
      </c>
      <c r="V890">
        <v>2.8057849999999999E-2</v>
      </c>
      <c r="W890">
        <v>6.1343580000000002E-2</v>
      </c>
      <c r="X890">
        <v>0.99772229999999995</v>
      </c>
      <c r="Y890">
        <v>-9.5178609999999997E-2</v>
      </c>
      <c r="Z890">
        <v>2.4471480000000001E-3</v>
      </c>
      <c r="AA890">
        <v>0.99545720000000004</v>
      </c>
      <c r="AB890">
        <v>26</v>
      </c>
      <c r="AC890">
        <v>23.092199999999899</v>
      </c>
      <c r="AD890">
        <v>-1.110596054735</v>
      </c>
      <c r="AE890">
        <v>2.1361999999999699</v>
      </c>
      <c r="AF890">
        <v>-2.2168339698606698</v>
      </c>
      <c r="AG890">
        <v>-1.110596054735</v>
      </c>
      <c r="AH890">
        <v>23.031289837599999</v>
      </c>
      <c r="AI890">
        <v>92.748050863061195</v>
      </c>
      <c r="AJ890">
        <v>95.497961516543697</v>
      </c>
      <c r="AK890">
        <v>23.164371090756099</v>
      </c>
      <c r="AL890">
        <v>86.483063799484697</v>
      </c>
      <c r="AM890">
        <v>88.389158182021205</v>
      </c>
      <c r="AN890">
        <v>1.00000003283556</v>
      </c>
    </row>
    <row r="891" spans="1:40" x14ac:dyDescent="0.25">
      <c r="A891" t="str">
        <f>"20190312150650363"</f>
        <v>20190312150650363</v>
      </c>
      <c r="B891" t="str">
        <f>"1552374410351152"</f>
        <v>1552374410351152</v>
      </c>
      <c r="C891" t="s">
        <v>40</v>
      </c>
      <c r="D891">
        <v>4.2489879999999998</v>
      </c>
      <c r="E891">
        <v>0.45308870000000001</v>
      </c>
      <c r="F891" t="s">
        <v>43</v>
      </c>
      <c r="G891">
        <v>-318.81729999999999</v>
      </c>
      <c r="H891">
        <v>-0.05</v>
      </c>
      <c r="I891">
        <v>369.6798</v>
      </c>
      <c r="J891">
        <v>-343.50330000000002</v>
      </c>
      <c r="K891">
        <v>1.110589</v>
      </c>
      <c r="L891">
        <v>367.4</v>
      </c>
      <c r="M891">
        <v>0.99989589999999995</v>
      </c>
      <c r="N891">
        <v>0</v>
      </c>
      <c r="O891">
        <v>-3.7122589999999999E-3</v>
      </c>
      <c r="P891">
        <v>0.99837189999999998</v>
      </c>
      <c r="Q891">
        <v>4.7276550000000001E-2</v>
      </c>
      <c r="R891">
        <v>-3.1914150000000002E-2</v>
      </c>
      <c r="S891">
        <v>3.020416</v>
      </c>
      <c r="T891">
        <v>-0.1412641</v>
      </c>
      <c r="U891">
        <v>0.2774353</v>
      </c>
      <c r="V891">
        <v>2.8209809999999998E-2</v>
      </c>
      <c r="W891">
        <v>6.119699E-2</v>
      </c>
      <c r="X891">
        <v>0.99772700000000003</v>
      </c>
      <c r="Y891">
        <v>-9.5057639999999999E-2</v>
      </c>
      <c r="Z891">
        <v>2.3902239999999998E-3</v>
      </c>
      <c r="AA891">
        <v>0.99546889999999999</v>
      </c>
      <c r="AB891">
        <v>26</v>
      </c>
      <c r="AC891">
        <v>24.686</v>
      </c>
      <c r="AD891">
        <v>-1.1605889999999901</v>
      </c>
      <c r="AE891">
        <v>2.2798000000000198</v>
      </c>
      <c r="AF891">
        <v>-2.3662480841306999</v>
      </c>
      <c r="AG891">
        <v>-1.1605889999999901</v>
      </c>
      <c r="AH891">
        <v>24.623400470653198</v>
      </c>
      <c r="AI891">
        <v>92.6862015762173</v>
      </c>
      <c r="AJ891">
        <v>95.489127694877197</v>
      </c>
      <c r="AK891">
        <v>24.764045460318801</v>
      </c>
      <c r="AL891">
        <v>86.491478537132096</v>
      </c>
      <c r="AM891">
        <v>88.380446197379698</v>
      </c>
      <c r="AN891">
        <v>1.00000001574714</v>
      </c>
    </row>
    <row r="892" spans="1:40" x14ac:dyDescent="0.25">
      <c r="A892" t="str">
        <f>"20190312150650377"</f>
        <v>20190312150650377</v>
      </c>
      <c r="B892" t="str">
        <f>"1552374410371647"</f>
        <v>1552374410371647</v>
      </c>
      <c r="C892" t="s">
        <v>40</v>
      </c>
      <c r="D892">
        <v>4.2107320000000001</v>
      </c>
      <c r="E892">
        <v>0.4529976</v>
      </c>
      <c r="F892" t="s">
        <v>43</v>
      </c>
      <c r="G892">
        <v>-318.76479999999998</v>
      </c>
      <c r="H892">
        <v>-0.05</v>
      </c>
      <c r="I892">
        <v>369.66879999999998</v>
      </c>
      <c r="J892">
        <v>-343.35160000000002</v>
      </c>
      <c r="K892">
        <v>1.1105879999999999</v>
      </c>
      <c r="L892">
        <v>367.39940000000001</v>
      </c>
      <c r="M892">
        <v>0.99989589999999995</v>
      </c>
      <c r="N892">
        <v>0</v>
      </c>
      <c r="O892">
        <v>-3.712248E-3</v>
      </c>
      <c r="P892">
        <v>0.99837710000000002</v>
      </c>
      <c r="Q892">
        <v>4.7217370000000002E-2</v>
      </c>
      <c r="R892">
        <v>-3.1845190000000002E-2</v>
      </c>
      <c r="S892">
        <v>3.0204770000000001</v>
      </c>
      <c r="T892">
        <v>-0.14170339999999901</v>
      </c>
      <c r="U892">
        <v>0.27700809999999998</v>
      </c>
      <c r="V892">
        <v>2.814061E-2</v>
      </c>
      <c r="W892">
        <v>6.1136549999999998E-2</v>
      </c>
      <c r="X892">
        <v>0.99773259999999997</v>
      </c>
      <c r="Y892">
        <v>-9.4915669999999994E-2</v>
      </c>
      <c r="Z892">
        <v>2.3942939999999999E-3</v>
      </c>
      <c r="AA892">
        <v>0.99548239999999999</v>
      </c>
      <c r="AB892">
        <v>26</v>
      </c>
      <c r="AC892">
        <v>24.5868</v>
      </c>
      <c r="AD892">
        <v>-1.160588</v>
      </c>
      <c r="AE892">
        <v>2.2693999999999601</v>
      </c>
      <c r="AF892">
        <v>-2.35546145425094</v>
      </c>
      <c r="AG892">
        <v>-1.160588</v>
      </c>
      <c r="AH892">
        <v>24.524022600590001</v>
      </c>
      <c r="AI892">
        <v>92.697081347013096</v>
      </c>
      <c r="AJ892">
        <v>95.486264890463005</v>
      </c>
      <c r="AK892">
        <v>24.664201744278198</v>
      </c>
      <c r="AL892">
        <v>86.494947782024099</v>
      </c>
      <c r="AM892">
        <v>88.384425994500504</v>
      </c>
      <c r="AN892">
        <v>0.99999995638991601</v>
      </c>
    </row>
    <row r="893" spans="1:40" x14ac:dyDescent="0.25">
      <c r="A893" t="str">
        <f>"20190312150650391"</f>
        <v>20190312150650391</v>
      </c>
      <c r="B893" t="str">
        <f>"1552374410381408"</f>
        <v>1552374410381408</v>
      </c>
      <c r="C893" t="s">
        <v>40</v>
      </c>
      <c r="D893">
        <v>4.2602840000000004</v>
      </c>
      <c r="E893">
        <v>0.45296439999999999</v>
      </c>
      <c r="F893" t="s">
        <v>42</v>
      </c>
      <c r="G893">
        <v>-319.9975</v>
      </c>
      <c r="H893" s="1">
        <v>-4.2854889999999998E-6</v>
      </c>
      <c r="I893">
        <v>369.548</v>
      </c>
      <c r="J893">
        <v>-343.19389999999999</v>
      </c>
      <c r="K893">
        <v>1.1105879999999999</v>
      </c>
      <c r="L893">
        <v>367.39879999999999</v>
      </c>
      <c r="M893">
        <v>0.99989589999999995</v>
      </c>
      <c r="N893">
        <v>0</v>
      </c>
      <c r="O893">
        <v>-3.7119980000000002E-3</v>
      </c>
      <c r="P893">
        <v>0.998367</v>
      </c>
      <c r="Q893">
        <v>4.7333199999999999E-2</v>
      </c>
      <c r="R893">
        <v>-3.1989730000000001E-2</v>
      </c>
      <c r="S893">
        <v>3.0205690000000001</v>
      </c>
      <c r="T893">
        <v>-0.1436414</v>
      </c>
      <c r="U893">
        <v>0.277893099999999</v>
      </c>
      <c r="V893">
        <v>2.8285339999999999E-2</v>
      </c>
      <c r="W893">
        <v>6.1250289999999999E-2</v>
      </c>
      <c r="X893">
        <v>0.99772159999999999</v>
      </c>
      <c r="Y893">
        <v>-9.5198619999999998E-2</v>
      </c>
      <c r="Z893">
        <v>2.4335950000000002E-3</v>
      </c>
      <c r="AA893">
        <v>0.99545530000000004</v>
      </c>
      <c r="AB893">
        <v>26</v>
      </c>
      <c r="AC893">
        <v>23.196399999999901</v>
      </c>
      <c r="AD893">
        <v>-1.110592285489</v>
      </c>
      <c r="AE893">
        <v>2.1492</v>
      </c>
      <c r="AF893">
        <v>-2.2302297481206401</v>
      </c>
      <c r="AG893">
        <v>-1.110592285489</v>
      </c>
      <c r="AH893">
        <v>23.135679432931401</v>
      </c>
      <c r="AI893">
        <v>92.735623373670194</v>
      </c>
      <c r="AJ893">
        <v>95.506176534531804</v>
      </c>
      <c r="AK893">
        <v>23.269443542494798</v>
      </c>
      <c r="AL893">
        <v>86.488418964351396</v>
      </c>
      <c r="AM893">
        <v>88.376103477843301</v>
      </c>
      <c r="AN893">
        <v>1.0000000247952701</v>
      </c>
    </row>
    <row r="894" spans="1:40" x14ac:dyDescent="0.25">
      <c r="A894" t="str">
        <f>"20190312150650403"</f>
        <v>20190312150650403</v>
      </c>
      <c r="B894" t="str">
        <f>"1552374410391170"</f>
        <v>1552374410391170</v>
      </c>
      <c r="C894" t="s">
        <v>40</v>
      </c>
      <c r="D894">
        <v>4.3048489999999999</v>
      </c>
      <c r="E894">
        <v>0.45282610000000001</v>
      </c>
      <c r="F894" t="s">
        <v>42</v>
      </c>
      <c r="G894">
        <v>-320.16160000000002</v>
      </c>
      <c r="H894" s="1">
        <v>-4.2208439999999998E-6</v>
      </c>
      <c r="I894">
        <v>369.51560000000001</v>
      </c>
      <c r="J894">
        <v>-343.04059999999998</v>
      </c>
      <c r="K894">
        <v>1.1105940000000001</v>
      </c>
      <c r="L894">
        <v>367.39830000000001</v>
      </c>
      <c r="M894">
        <v>0.99989600000000001</v>
      </c>
      <c r="N894">
        <v>0</v>
      </c>
      <c r="O894">
        <v>-3.7119869999999999E-3</v>
      </c>
      <c r="P894">
        <v>0.99837229999999999</v>
      </c>
      <c r="Q894">
        <v>4.7203729999999999E-2</v>
      </c>
      <c r="R894">
        <v>-3.2013920000000001E-2</v>
      </c>
      <c r="S894">
        <v>3.020721</v>
      </c>
      <c r="T894">
        <v>-0.14565520000000001</v>
      </c>
      <c r="U894">
        <v>0.27761839999999999</v>
      </c>
      <c r="V894">
        <v>2.830978E-2</v>
      </c>
      <c r="W894">
        <v>6.1119409999999999E-2</v>
      </c>
      <c r="X894">
        <v>0.99772890000000003</v>
      </c>
      <c r="Y894">
        <v>-9.5101270000000002E-2</v>
      </c>
      <c r="Z894">
        <v>2.4652189999999998E-3</v>
      </c>
      <c r="AA894">
        <v>0.99546460000000003</v>
      </c>
      <c r="AB894">
        <v>26</v>
      </c>
      <c r="AC894">
        <v>22.878999999999898</v>
      </c>
      <c r="AD894">
        <v>-1.110598220844</v>
      </c>
      <c r="AE894">
        <v>2.1173000000000002</v>
      </c>
      <c r="AF894">
        <v>-2.1970870634463702</v>
      </c>
      <c r="AG894">
        <v>-1.110598220844</v>
      </c>
      <c r="AH894">
        <v>22.817672321829601</v>
      </c>
      <c r="AI894">
        <v>92.773733911593993</v>
      </c>
      <c r="AJ894">
        <v>95.499987842572494</v>
      </c>
      <c r="AK894">
        <v>22.9500934673237</v>
      </c>
      <c r="AL894">
        <v>86.495931796280104</v>
      </c>
      <c r="AM894">
        <v>88.374712984645498</v>
      </c>
      <c r="AN894">
        <v>0.99999999190880295</v>
      </c>
    </row>
    <row r="895" spans="1:40" x14ac:dyDescent="0.25">
      <c r="A895" t="str">
        <f>"20190312150650421"</f>
        <v>20190312150650421</v>
      </c>
      <c r="B895" t="str">
        <f>"1552374410411663"</f>
        <v>1552374410411663</v>
      </c>
      <c r="C895" t="s">
        <v>40</v>
      </c>
      <c r="D895">
        <v>4.2313900000000002</v>
      </c>
      <c r="E895">
        <v>0.4528219</v>
      </c>
      <c r="F895" t="s">
        <v>42</v>
      </c>
      <c r="G895">
        <v>-320.5018</v>
      </c>
      <c r="H895" s="1">
        <v>-4.0816559999999999E-6</v>
      </c>
      <c r="I895">
        <v>369.47750000000002</v>
      </c>
      <c r="J895">
        <v>-342.83949999999999</v>
      </c>
      <c r="K895">
        <v>1.1105969999999901</v>
      </c>
      <c r="L895">
        <v>367.39760000000001</v>
      </c>
      <c r="M895">
        <v>0.99989600000000001</v>
      </c>
      <c r="N895">
        <v>0</v>
      </c>
      <c r="O895">
        <v>-3.711972E-3</v>
      </c>
      <c r="P895">
        <v>0.99837849999999995</v>
      </c>
      <c r="Q895">
        <v>4.7037589999999997E-2</v>
      </c>
      <c r="R895">
        <v>-3.2067289999999998E-2</v>
      </c>
      <c r="S895">
        <v>3.0208740000000001</v>
      </c>
      <c r="T895">
        <v>-0.14885279999999901</v>
      </c>
      <c r="U895">
        <v>0.2786865</v>
      </c>
      <c r="V895">
        <v>2.836284E-2</v>
      </c>
      <c r="W895">
        <v>6.0951400000000003E-2</v>
      </c>
      <c r="X895">
        <v>0.99773769999999995</v>
      </c>
      <c r="Y895">
        <v>-9.5440250000000004E-2</v>
      </c>
      <c r="Z895">
        <v>2.5274360000000001E-3</v>
      </c>
      <c r="AA895">
        <v>0.99543199999999998</v>
      </c>
      <c r="AB895">
        <v>26</v>
      </c>
      <c r="AC895">
        <v>22.337699999999899</v>
      </c>
      <c r="AD895">
        <v>-1.1106010816559999</v>
      </c>
      <c r="AE895">
        <v>2.0798999999999999</v>
      </c>
      <c r="AF895">
        <v>-2.1575231942409201</v>
      </c>
      <c r="AG895">
        <v>-1.1106010816559999</v>
      </c>
      <c r="AH895">
        <v>22.275234863814799</v>
      </c>
      <c r="AI895">
        <v>92.841022370936003</v>
      </c>
      <c r="AJ895">
        <v>95.532268001243295</v>
      </c>
      <c r="AK895">
        <v>22.407017412729701</v>
      </c>
      <c r="AL895">
        <v>86.505576142530998</v>
      </c>
      <c r="AM895">
        <v>88.371682760318294</v>
      </c>
      <c r="AN895">
        <v>1.00000002092805</v>
      </c>
    </row>
    <row r="896" spans="1:40" x14ac:dyDescent="0.25">
      <c r="A896" t="str">
        <f>"20190312150650434"</f>
        <v>20190312150650434</v>
      </c>
      <c r="B896" t="str">
        <f>"1552374410431184"</f>
        <v>1552374410431184</v>
      </c>
      <c r="C896" t="s">
        <v>40</v>
      </c>
      <c r="D896">
        <v>4.2451840000000001</v>
      </c>
      <c r="E896">
        <v>0.45486959999999999</v>
      </c>
      <c r="F896" t="s">
        <v>42</v>
      </c>
      <c r="G896">
        <v>-320.43099999999998</v>
      </c>
      <c r="H896" s="1">
        <v>-4.1142719999999998E-6</v>
      </c>
      <c r="I896">
        <v>369.46480000000003</v>
      </c>
      <c r="J896">
        <v>-342.68680000000001</v>
      </c>
      <c r="K896">
        <v>1.1105969999999901</v>
      </c>
      <c r="L896">
        <v>367.39699999999999</v>
      </c>
      <c r="M896">
        <v>0.99989600000000001</v>
      </c>
      <c r="N896">
        <v>0</v>
      </c>
      <c r="O896">
        <v>-3.7119610000000002E-3</v>
      </c>
      <c r="P896">
        <v>0.99838499999999997</v>
      </c>
      <c r="Q896">
        <v>4.7014260000000002E-2</v>
      </c>
      <c r="R896">
        <v>-3.1892320000000002E-2</v>
      </c>
      <c r="S896">
        <v>3.0208439999999999</v>
      </c>
      <c r="T896">
        <v>-0.1497175</v>
      </c>
      <c r="U896">
        <v>0.2786865</v>
      </c>
      <c r="V896">
        <v>2.8188049999999999E-2</v>
      </c>
      <c r="W896">
        <v>6.0926180000000003E-2</v>
      </c>
      <c r="X896">
        <v>0.99774419999999997</v>
      </c>
      <c r="Y896">
        <v>-9.5439780000000002E-2</v>
      </c>
      <c r="Z896">
        <v>2.5421129999999999E-3</v>
      </c>
      <c r="AA896">
        <v>0.99543199999999998</v>
      </c>
      <c r="AB896">
        <v>26</v>
      </c>
      <c r="AC896">
        <v>22.255800000000001</v>
      </c>
      <c r="AD896">
        <v>-1.11060111427199</v>
      </c>
      <c r="AE896">
        <v>2.0678000000000298</v>
      </c>
      <c r="AF896">
        <v>-2.1451104538380199</v>
      </c>
      <c r="AG896">
        <v>-1.11060111427199</v>
      </c>
      <c r="AH896">
        <v>22.193178400431901</v>
      </c>
      <c r="AI896">
        <v>92.851564372526298</v>
      </c>
      <c r="AJ896">
        <v>95.520847804535094</v>
      </c>
      <c r="AK896">
        <v>22.3242491745542</v>
      </c>
      <c r="AL896">
        <v>86.507023854180204</v>
      </c>
      <c r="AM896">
        <v>88.381722679431903</v>
      </c>
      <c r="AN896">
        <v>1.0000000271029099</v>
      </c>
    </row>
    <row r="897" spans="1:40" x14ac:dyDescent="0.25">
      <c r="A897" t="str">
        <f>"20190312150650448"</f>
        <v>20190312150650448</v>
      </c>
      <c r="B897" t="str">
        <f>"1552374410441452"</f>
        <v>1552374410441452</v>
      </c>
      <c r="C897" t="s">
        <v>40</v>
      </c>
      <c r="D897">
        <v>4.1959269999999904</v>
      </c>
      <c r="E897">
        <v>0.52523229999999999</v>
      </c>
      <c r="F897" t="s">
        <v>43</v>
      </c>
      <c r="G897">
        <v>-318.05540000000002</v>
      </c>
      <c r="H897">
        <v>-0.05</v>
      </c>
      <c r="I897">
        <v>369.54149999999998</v>
      </c>
      <c r="J897">
        <v>-342.52980000000002</v>
      </c>
      <c r="K897">
        <v>1.110598</v>
      </c>
      <c r="L897">
        <v>367.39640000000003</v>
      </c>
      <c r="M897">
        <v>0.99989609999999995</v>
      </c>
      <c r="N897">
        <v>0</v>
      </c>
      <c r="O897">
        <v>-3.712187E-3</v>
      </c>
      <c r="P897">
        <v>0.99838059999999995</v>
      </c>
      <c r="Q897">
        <v>4.7086969999999999E-2</v>
      </c>
      <c r="R897">
        <v>-3.1925340000000003E-2</v>
      </c>
      <c r="S897">
        <v>3.0199889999999998</v>
      </c>
      <c r="T897">
        <v>-0.1422977</v>
      </c>
      <c r="U897">
        <v>0.26293949999999999</v>
      </c>
      <c r="V897">
        <v>2.822092E-2</v>
      </c>
      <c r="W897">
        <v>6.0997089999999997E-2</v>
      </c>
      <c r="X897">
        <v>0.99773889999999998</v>
      </c>
      <c r="Y897">
        <v>-9.0332629999999997E-2</v>
      </c>
      <c r="Z897">
        <v>2.2974950000000001E-3</v>
      </c>
      <c r="AA897">
        <v>0.99590900000000004</v>
      </c>
      <c r="AB897">
        <v>26</v>
      </c>
      <c r="AC897">
        <v>24.474399999999999</v>
      </c>
      <c r="AD897">
        <v>-1.160598</v>
      </c>
      <c r="AE897">
        <v>2.14509999999995</v>
      </c>
      <c r="AF897">
        <v>-2.2309689541000299</v>
      </c>
      <c r="AG897">
        <v>-1.160598</v>
      </c>
      <c r="AH897">
        <v>24.411790235668001</v>
      </c>
      <c r="AI897">
        <v>92.710656985664201</v>
      </c>
      <c r="AJ897">
        <v>95.2216987732277</v>
      </c>
      <c r="AK897">
        <v>24.540980271823202</v>
      </c>
      <c r="AL897">
        <v>86.502953306431095</v>
      </c>
      <c r="AM897">
        <v>88.379828014581705</v>
      </c>
      <c r="AN897">
        <v>0.99999998894366204</v>
      </c>
    </row>
    <row r="898" spans="1:40" x14ac:dyDescent="0.25">
      <c r="A898" t="str">
        <f>"20190312150650459"</f>
        <v>20190312150650459</v>
      </c>
      <c r="B898" t="str">
        <f>"1552374410451211"</f>
        <v>1552374410451211</v>
      </c>
      <c r="C898" t="s">
        <v>40</v>
      </c>
      <c r="D898">
        <v>4.4330439999999998</v>
      </c>
      <c r="E898">
        <v>0.52902099999999996</v>
      </c>
      <c r="F898" t="s">
        <v>48</v>
      </c>
      <c r="G898">
        <v>0</v>
      </c>
      <c r="H898">
        <v>0</v>
      </c>
      <c r="I898">
        <v>0</v>
      </c>
      <c r="J898">
        <v>-342.37759999999997</v>
      </c>
      <c r="K898">
        <v>1.1105989999999999</v>
      </c>
      <c r="L898">
        <v>367.39580000000001</v>
      </c>
      <c r="M898">
        <v>0.99989609999999995</v>
      </c>
      <c r="N898">
        <v>0</v>
      </c>
      <c r="O898">
        <v>-3.7119380000000001E-3</v>
      </c>
      <c r="P898">
        <v>0.99838689999999997</v>
      </c>
      <c r="Q898">
        <v>4.7090140000000003E-2</v>
      </c>
      <c r="R898">
        <v>-3.1720599999999897E-2</v>
      </c>
      <c r="S898">
        <v>2.9932249999999998</v>
      </c>
      <c r="T898">
        <v>4.4591550000000001E-2</v>
      </c>
      <c r="U898">
        <v>-0.29718020000000001</v>
      </c>
      <c r="V898">
        <v>2.801648E-2</v>
      </c>
      <c r="W898">
        <v>6.0998990000000003E-2</v>
      </c>
      <c r="X898">
        <v>0.99774459999999998</v>
      </c>
      <c r="Y898">
        <v>9.509368E-2</v>
      </c>
      <c r="Z898">
        <v>6.5139019999999905E-4</v>
      </c>
      <c r="AA898">
        <v>0.99546809999999997</v>
      </c>
      <c r="AB898">
        <v>26</v>
      </c>
      <c r="AC898">
        <v>2.9932249999999998</v>
      </c>
      <c r="AD898">
        <v>4.4591550000000001E-2</v>
      </c>
      <c r="AE898">
        <v>-0.29718020000000001</v>
      </c>
      <c r="AF898">
        <v>0.28600355397218802</v>
      </c>
      <c r="AG898">
        <v>4.4591550000000001E-2</v>
      </c>
      <c r="AH898">
        <v>2.9936496850726302</v>
      </c>
      <c r="AI898">
        <v>89.150488180043098</v>
      </c>
      <c r="AJ898">
        <v>84.542710746467407</v>
      </c>
      <c r="AK898">
        <v>3.0076111577382498</v>
      </c>
      <c r="AL898">
        <v>86.502844431969393</v>
      </c>
      <c r="AM898">
        <v>88.391567976087103</v>
      </c>
      <c r="AN898">
        <v>1.00000004338088</v>
      </c>
    </row>
    <row r="899" spans="1:40" x14ac:dyDescent="0.25">
      <c r="A899" t="str">
        <f>"20190312150650474"</f>
        <v>20190312150650474</v>
      </c>
      <c r="B899" t="str">
        <f>"1552374410471709"</f>
        <v>1552374410471709</v>
      </c>
      <c r="C899" t="s">
        <v>40</v>
      </c>
      <c r="D899">
        <v>4.1946729999999999</v>
      </c>
      <c r="E899">
        <v>0.53008359999999999</v>
      </c>
      <c r="F899" t="s">
        <v>48</v>
      </c>
      <c r="G899">
        <v>0</v>
      </c>
      <c r="H899">
        <v>0</v>
      </c>
      <c r="I899">
        <v>0</v>
      </c>
      <c r="J899">
        <v>-342.21879999999999</v>
      </c>
      <c r="K899">
        <v>1.110603</v>
      </c>
      <c r="L899">
        <v>367.39530000000002</v>
      </c>
      <c r="M899">
        <v>0.99989620000000001</v>
      </c>
      <c r="N899">
        <v>0</v>
      </c>
      <c r="O899">
        <v>-3.7118059999999998E-3</v>
      </c>
      <c r="P899">
        <v>0.99837830000000005</v>
      </c>
      <c r="Q899">
        <v>4.738088E-2</v>
      </c>
      <c r="R899">
        <v>-3.1565419999999997E-2</v>
      </c>
      <c r="S899">
        <v>2.993042</v>
      </c>
      <c r="T899">
        <v>2.903354E-2</v>
      </c>
      <c r="U899">
        <v>-0.32711790000000002</v>
      </c>
      <c r="V899">
        <v>2.786131E-2</v>
      </c>
      <c r="W899">
        <v>6.1287899999999999E-2</v>
      </c>
      <c r="X899">
        <v>0.99773120000000004</v>
      </c>
      <c r="Y899">
        <v>0.10495019999999999</v>
      </c>
      <c r="Z899">
        <v>4.7160399999999998E-4</v>
      </c>
      <c r="AA899">
        <v>0.99447739999999996</v>
      </c>
      <c r="AB899">
        <v>26</v>
      </c>
      <c r="AC899">
        <v>2.993042</v>
      </c>
      <c r="AD899">
        <v>2.903354E-2</v>
      </c>
      <c r="AE899">
        <v>-0.32711790000000002</v>
      </c>
      <c r="AF899">
        <v>0.31597559682481202</v>
      </c>
      <c r="AG899">
        <v>2.903354E-2</v>
      </c>
      <c r="AH899">
        <v>2.9939572974080999</v>
      </c>
      <c r="AI899">
        <v>89.447466905641306</v>
      </c>
      <c r="AJ899">
        <v>83.975432419843997</v>
      </c>
      <c r="AK899">
        <v>3.0107248002660301</v>
      </c>
      <c r="AL899">
        <v>86.486259938696904</v>
      </c>
      <c r="AM899">
        <v>88.400450206547902</v>
      </c>
      <c r="AN899">
        <v>1.0000000033673799</v>
      </c>
    </row>
    <row r="900" spans="1:40" x14ac:dyDescent="0.25">
      <c r="A900" t="str">
        <f>"20190312150650486"</f>
        <v>20190312150650486</v>
      </c>
      <c r="B900" t="str">
        <f>"1552374410481468"</f>
        <v>1552374410481468</v>
      </c>
      <c r="C900" t="s">
        <v>40</v>
      </c>
      <c r="D900">
        <v>4.1905769999999896</v>
      </c>
      <c r="E900">
        <v>0.53042650000000002</v>
      </c>
      <c r="F900" t="s">
        <v>48</v>
      </c>
      <c r="G900">
        <v>0</v>
      </c>
      <c r="H900">
        <v>0</v>
      </c>
      <c r="I900">
        <v>0</v>
      </c>
      <c r="J900">
        <v>-342.09010000000001</v>
      </c>
      <c r="K900">
        <v>1.110603</v>
      </c>
      <c r="L900">
        <v>367.39479999999998</v>
      </c>
      <c r="M900">
        <v>0.99989600000000001</v>
      </c>
      <c r="N900">
        <v>0</v>
      </c>
      <c r="O900">
        <v>-3.7117959999999998E-3</v>
      </c>
      <c r="P900">
        <v>0.99836480000000005</v>
      </c>
      <c r="Q900">
        <v>4.7649169999999998E-2</v>
      </c>
      <c r="R900">
        <v>-3.1575800000000001E-2</v>
      </c>
      <c r="S900">
        <v>2.992737</v>
      </c>
      <c r="T900">
        <v>3.2194140000000003E-2</v>
      </c>
      <c r="U900">
        <v>-0.3348083</v>
      </c>
      <c r="V900">
        <v>2.787195E-2</v>
      </c>
      <c r="W900">
        <v>6.1553940000000001E-2</v>
      </c>
      <c r="X900">
        <v>0.99771449999999995</v>
      </c>
      <c r="Y900">
        <v>0.1074842</v>
      </c>
      <c r="Z900">
        <v>5.3650650000000002E-4</v>
      </c>
      <c r="AA900">
        <v>0.9942067</v>
      </c>
      <c r="AB900">
        <v>26</v>
      </c>
      <c r="AC900">
        <v>2.992737</v>
      </c>
      <c r="AD900">
        <v>3.2194140000000003E-2</v>
      </c>
      <c r="AE900">
        <v>-0.3348083</v>
      </c>
      <c r="AF900">
        <v>0.32365949346721201</v>
      </c>
      <c r="AG900">
        <v>3.2194140000000003E-2</v>
      </c>
      <c r="AH900">
        <v>2.9936170949586902</v>
      </c>
      <c r="AI900">
        <v>89.3874195837287</v>
      </c>
      <c r="AJ900">
        <v>83.829347921857305</v>
      </c>
      <c r="AK900">
        <v>3.0112348366726001</v>
      </c>
      <c r="AL900">
        <v>86.470988047127605</v>
      </c>
      <c r="AM900">
        <v>88.399812899490698</v>
      </c>
      <c r="AN900">
        <v>0.99999997831828702</v>
      </c>
    </row>
    <row r="901" spans="1:40" x14ac:dyDescent="0.25">
      <c r="A901" t="str">
        <f>"20190312150650498"</f>
        <v>20190312150650498</v>
      </c>
      <c r="B901" t="str">
        <f>"1552374410491227"</f>
        <v>1552374410491227</v>
      </c>
      <c r="C901" t="s">
        <v>40</v>
      </c>
      <c r="D901">
        <v>4.1794789999999997</v>
      </c>
      <c r="E901">
        <v>0.53049919999999995</v>
      </c>
      <c r="F901" t="s">
        <v>48</v>
      </c>
      <c r="G901">
        <v>0</v>
      </c>
      <c r="H901">
        <v>0</v>
      </c>
      <c r="I901">
        <v>0</v>
      </c>
      <c r="J901">
        <v>-341.94830000000002</v>
      </c>
      <c r="K901">
        <v>1.110598</v>
      </c>
      <c r="L901">
        <v>367.39429999999999</v>
      </c>
      <c r="M901">
        <v>0.99989620000000001</v>
      </c>
      <c r="N901">
        <v>0</v>
      </c>
      <c r="O901">
        <v>-3.7117859999999999E-3</v>
      </c>
      <c r="P901">
        <v>0.99837260000000005</v>
      </c>
      <c r="Q901">
        <v>4.742151E-2</v>
      </c>
      <c r="R901">
        <v>-3.1684730000000001E-2</v>
      </c>
      <c r="S901">
        <v>2.9927670000000002</v>
      </c>
      <c r="T901">
        <v>3.1356450000000001E-2</v>
      </c>
      <c r="U901">
        <v>-0.33743289999999998</v>
      </c>
      <c r="V901">
        <v>2.798049E-2</v>
      </c>
      <c r="W901">
        <v>6.1325499999999998E-2</v>
      </c>
      <c r="X901">
        <v>0.99772550000000004</v>
      </c>
      <c r="Y901">
        <v>0.10834439999999999</v>
      </c>
      <c r="Z901">
        <v>5.2700869999999995E-4</v>
      </c>
      <c r="AA901">
        <v>0.99411329999999998</v>
      </c>
      <c r="AB901">
        <v>26</v>
      </c>
      <c r="AC901">
        <v>2.9927670000000002</v>
      </c>
      <c r="AD901">
        <v>3.1356450000000001E-2</v>
      </c>
      <c r="AE901">
        <v>-0.33743289999999998</v>
      </c>
      <c r="AF901">
        <v>0.326285619032749</v>
      </c>
      <c r="AG901">
        <v>3.1356450000000001E-2</v>
      </c>
      <c r="AH901">
        <v>2.9936744710947298</v>
      </c>
      <c r="AI901">
        <v>89.4034251777652</v>
      </c>
      <c r="AJ901">
        <v>83.779789367204202</v>
      </c>
      <c r="AK901">
        <v>3.0115664314486699</v>
      </c>
      <c r="AL901">
        <v>86.484101366248296</v>
      </c>
      <c r="AM901">
        <v>88.393602350870495</v>
      </c>
      <c r="AN901">
        <v>0.99999994906056799</v>
      </c>
    </row>
    <row r="902" spans="1:40" x14ac:dyDescent="0.25">
      <c r="A902" t="str">
        <f>"20190312150650508"</f>
        <v>20190312150650508</v>
      </c>
      <c r="B902" t="str">
        <f>"1552374410500987"</f>
        <v>1552374410500987</v>
      </c>
      <c r="C902" t="s">
        <v>40</v>
      </c>
      <c r="D902">
        <v>4.1696260000000001</v>
      </c>
      <c r="E902">
        <v>0.53041130000000003</v>
      </c>
      <c r="F902" t="s">
        <v>48</v>
      </c>
      <c r="G902">
        <v>0</v>
      </c>
      <c r="H902">
        <v>0</v>
      </c>
      <c r="I902">
        <v>0</v>
      </c>
      <c r="J902">
        <v>-341.82400000000001</v>
      </c>
      <c r="K902">
        <v>1.1105989999999999</v>
      </c>
      <c r="L902">
        <v>367.3938</v>
      </c>
      <c r="M902">
        <v>0.99989620000000001</v>
      </c>
      <c r="N902">
        <v>0</v>
      </c>
      <c r="O902">
        <v>-3.7118960000000001E-3</v>
      </c>
      <c r="P902">
        <v>0.99837520000000002</v>
      </c>
      <c r="Q902">
        <v>4.7472180000000003E-2</v>
      </c>
      <c r="R902">
        <v>-3.1524679999999999E-2</v>
      </c>
      <c r="S902">
        <v>2.9928279999999998</v>
      </c>
      <c r="T902">
        <v>2.7991410000000001E-2</v>
      </c>
      <c r="U902">
        <v>-0.33862300000000001</v>
      </c>
      <c r="V902">
        <v>2.7820439999999998E-2</v>
      </c>
      <c r="W902">
        <v>6.1374989999999997E-2</v>
      </c>
      <c r="X902">
        <v>0.99772700000000003</v>
      </c>
      <c r="Y902">
        <v>0.1087335</v>
      </c>
      <c r="Z902">
        <v>4.7224769999999999E-4</v>
      </c>
      <c r="AA902">
        <v>0.99407080000000003</v>
      </c>
      <c r="AB902">
        <v>26</v>
      </c>
      <c r="AC902">
        <v>2.9928279999999998</v>
      </c>
      <c r="AD902">
        <v>2.7991410000000001E-2</v>
      </c>
      <c r="AE902">
        <v>-0.33862300000000001</v>
      </c>
      <c r="AF902">
        <v>0.32748223921402297</v>
      </c>
      <c r="AG902">
        <v>2.7991410000000001E-2</v>
      </c>
      <c r="AH902">
        <v>2.9938058590427001</v>
      </c>
      <c r="AI902">
        <v>89.4674891867231</v>
      </c>
      <c r="AJ902">
        <v>83.757428969430705</v>
      </c>
      <c r="AK902">
        <v>3.0117937608131098</v>
      </c>
      <c r="AL902">
        <v>86.481260683795995</v>
      </c>
      <c r="AM902">
        <v>88.402788663821198</v>
      </c>
      <c r="AN902">
        <v>1.00000001640414</v>
      </c>
    </row>
    <row r="903" spans="1:40" x14ac:dyDescent="0.25">
      <c r="A903" t="str">
        <f>"20190312150650519"</f>
        <v>20190312150650519</v>
      </c>
      <c r="B903" t="str">
        <f>"1552374410511724"</f>
        <v>1552374410511724</v>
      </c>
      <c r="C903" t="s">
        <v>40</v>
      </c>
      <c r="D903">
        <v>4.1967610000000004</v>
      </c>
      <c r="E903">
        <v>0.53041850000000001</v>
      </c>
      <c r="F903" t="s">
        <v>48</v>
      </c>
      <c r="G903">
        <v>0</v>
      </c>
      <c r="H903">
        <v>0</v>
      </c>
      <c r="I903">
        <v>0</v>
      </c>
      <c r="J903">
        <v>-341.69119999999998</v>
      </c>
      <c r="K903">
        <v>1.1105989999999999</v>
      </c>
      <c r="L903">
        <v>367.39330000000001</v>
      </c>
      <c r="M903">
        <v>0.99989620000000001</v>
      </c>
      <c r="N903">
        <v>0</v>
      </c>
      <c r="O903">
        <v>-3.7118870000000001E-3</v>
      </c>
      <c r="P903">
        <v>0.99837010000000004</v>
      </c>
      <c r="Q903">
        <v>4.7623789999999999E-2</v>
      </c>
      <c r="R903">
        <v>-3.1463810000000002E-2</v>
      </c>
      <c r="S903">
        <v>2.9928889999999999</v>
      </c>
      <c r="T903">
        <v>2.818406E-2</v>
      </c>
      <c r="U903">
        <v>-0.33718870000000001</v>
      </c>
      <c r="V903">
        <v>2.775946E-2</v>
      </c>
      <c r="W903">
        <v>6.1524910000000002E-2</v>
      </c>
      <c r="X903">
        <v>0.99771949999999998</v>
      </c>
      <c r="Y903">
        <v>0.1082607</v>
      </c>
      <c r="Z903">
        <v>4.73282E-4</v>
      </c>
      <c r="AA903">
        <v>0.99412239999999996</v>
      </c>
      <c r="AB903">
        <v>26</v>
      </c>
      <c r="AC903">
        <v>2.9928889999999999</v>
      </c>
      <c r="AD903">
        <v>2.818406E-2</v>
      </c>
      <c r="AE903">
        <v>-0.33718870000000001</v>
      </c>
      <c r="AF903">
        <v>0.32604748265357197</v>
      </c>
      <c r="AG903">
        <v>2.818406E-2</v>
      </c>
      <c r="AH903">
        <v>2.9938579376719399</v>
      </c>
      <c r="AI903">
        <v>89.4638059134152</v>
      </c>
      <c r="AJ903">
        <v>83.7846715029888</v>
      </c>
      <c r="AK903">
        <v>3.0116916597062402</v>
      </c>
      <c r="AL903">
        <v>86.472654760352299</v>
      </c>
      <c r="AM903">
        <v>88.406275831542104</v>
      </c>
      <c r="AN903">
        <v>1.0000000514251199</v>
      </c>
    </row>
    <row r="904" spans="1:40" x14ac:dyDescent="0.25">
      <c r="A904" t="str">
        <f>"20190312150650530"</f>
        <v>20190312150650530</v>
      </c>
      <c r="B904" t="str">
        <f>"1552374410521483"</f>
        <v>1552374410521483</v>
      </c>
      <c r="C904" t="s">
        <v>40</v>
      </c>
      <c r="D904">
        <v>4.196663</v>
      </c>
      <c r="E904">
        <v>0.53051649999999995</v>
      </c>
      <c r="F904" t="s">
        <v>48</v>
      </c>
      <c r="G904">
        <v>0</v>
      </c>
      <c r="H904">
        <v>0</v>
      </c>
      <c r="I904">
        <v>0</v>
      </c>
      <c r="J904">
        <v>-341.57490000000001</v>
      </c>
      <c r="K904">
        <v>1.1106049999999901</v>
      </c>
      <c r="L904">
        <v>367.3929</v>
      </c>
      <c r="M904">
        <v>0.99989600000000001</v>
      </c>
      <c r="N904">
        <v>0</v>
      </c>
      <c r="O904">
        <v>-3.7117589999999998E-3</v>
      </c>
      <c r="P904">
        <v>0.99836309999999995</v>
      </c>
      <c r="Q904">
        <v>4.7661340000000003E-2</v>
      </c>
      <c r="R904">
        <v>-3.1614870000000003E-2</v>
      </c>
      <c r="S904">
        <v>2.9931030000000001</v>
      </c>
      <c r="T904">
        <v>2.5293349999999999E-2</v>
      </c>
      <c r="U904">
        <v>-0.3375244</v>
      </c>
      <c r="V904">
        <v>2.7910910000000001E-2</v>
      </c>
      <c r="W904">
        <v>6.1561089999999999E-2</v>
      </c>
      <c r="X904">
        <v>0.99771299999999996</v>
      </c>
      <c r="Y904">
        <v>0.1083639</v>
      </c>
      <c r="Z904">
        <v>4.2514449999999997E-4</v>
      </c>
      <c r="AA904">
        <v>0.99411119999999997</v>
      </c>
      <c r="AB904">
        <v>26</v>
      </c>
      <c r="AC904">
        <v>2.9931030000000001</v>
      </c>
      <c r="AD904">
        <v>2.5293349999999999E-2</v>
      </c>
      <c r="AE904">
        <v>-0.3375244</v>
      </c>
      <c r="AF904">
        <v>0.32638830323470203</v>
      </c>
      <c r="AG904">
        <v>2.5293349999999999E-2</v>
      </c>
      <c r="AH904">
        <v>2.9941241779410901</v>
      </c>
      <c r="AI904">
        <v>89.518846334729403</v>
      </c>
      <c r="AJ904">
        <v>83.778774395171894</v>
      </c>
      <c r="AK904">
        <v>3.0119675746883598</v>
      </c>
      <c r="AL904">
        <v>86.470577710684296</v>
      </c>
      <c r="AM904">
        <v>88.397574881683099</v>
      </c>
      <c r="AN904">
        <v>1.000000008534</v>
      </c>
    </row>
    <row r="905" spans="1:40" x14ac:dyDescent="0.25">
      <c r="A905" t="str">
        <f>"20190312150650541"</f>
        <v>20190312150650541</v>
      </c>
      <c r="B905" t="str">
        <f>"1552374410531243"</f>
        <v>1552374410531243</v>
      </c>
      <c r="C905" t="s">
        <v>40</v>
      </c>
      <c r="D905">
        <v>4.1937860000000002</v>
      </c>
      <c r="E905">
        <v>0.53050739999999996</v>
      </c>
      <c r="F905" t="s">
        <v>48</v>
      </c>
      <c r="G905">
        <v>0</v>
      </c>
      <c r="H905">
        <v>0</v>
      </c>
      <c r="I905">
        <v>0</v>
      </c>
      <c r="J905">
        <v>-341.44760000000002</v>
      </c>
      <c r="K905">
        <v>1.1106020000000001</v>
      </c>
      <c r="L905">
        <v>367.39240000000001</v>
      </c>
      <c r="M905">
        <v>0.99989620000000001</v>
      </c>
      <c r="N905">
        <v>0</v>
      </c>
      <c r="O905">
        <v>-3.7117500000000002E-3</v>
      </c>
      <c r="P905">
        <v>0.99835799999999997</v>
      </c>
      <c r="Q905">
        <v>4.7829110000000001E-2</v>
      </c>
      <c r="R905">
        <v>-3.1526329999999998E-2</v>
      </c>
      <c r="S905">
        <v>2.9929809999999999</v>
      </c>
      <c r="T905">
        <v>2.472806E-2</v>
      </c>
      <c r="U905">
        <v>-0.338653599999999</v>
      </c>
      <c r="V905">
        <v>2.7822380000000001E-2</v>
      </c>
      <c r="W905">
        <v>6.1727659999999997E-2</v>
      </c>
      <c r="X905">
        <v>0.99770519999999996</v>
      </c>
      <c r="Y905">
        <v>0.108739</v>
      </c>
      <c r="Z905">
        <v>4.171957E-4</v>
      </c>
      <c r="AA905">
        <v>0.99407020000000001</v>
      </c>
      <c r="AB905">
        <v>26</v>
      </c>
      <c r="AC905">
        <v>2.9929809999999999</v>
      </c>
      <c r="AD905">
        <v>2.472806E-2</v>
      </c>
      <c r="AE905">
        <v>-0.338653599999999</v>
      </c>
      <c r="AF905">
        <v>0.32751891864289301</v>
      </c>
      <c r="AG905">
        <v>2.472806E-2</v>
      </c>
      <c r="AH905">
        <v>2.9940157071745901</v>
      </c>
      <c r="AI905">
        <v>89.5296016466298</v>
      </c>
      <c r="AJ905">
        <v>83.757169425756103</v>
      </c>
      <c r="AK905">
        <v>3.0119777844181601</v>
      </c>
      <c r="AL905">
        <v>86.461015834747002</v>
      </c>
      <c r="AM905">
        <v>88.402642459694704</v>
      </c>
      <c r="AN905">
        <v>1.0000000274724801</v>
      </c>
    </row>
    <row r="906" spans="1:40" x14ac:dyDescent="0.25">
      <c r="A906" t="str">
        <f>"20190312150650552"</f>
        <v>20190312150650552</v>
      </c>
      <c r="B906" t="str">
        <f>"1552374410541003"</f>
        <v>1552374410541003</v>
      </c>
      <c r="C906" t="s">
        <v>40</v>
      </c>
      <c r="D906">
        <v>4.1731829999999999</v>
      </c>
      <c r="E906">
        <v>0.53035900000000002</v>
      </c>
      <c r="F906" t="s">
        <v>48</v>
      </c>
      <c r="G906">
        <v>0</v>
      </c>
      <c r="H906">
        <v>0</v>
      </c>
      <c r="I906">
        <v>0</v>
      </c>
      <c r="J906">
        <v>-341.31970000000001</v>
      </c>
      <c r="K906">
        <v>1.110603</v>
      </c>
      <c r="L906">
        <v>367.39190000000002</v>
      </c>
      <c r="M906">
        <v>0.99989620000000001</v>
      </c>
      <c r="N906">
        <v>0</v>
      </c>
      <c r="O906">
        <v>-3.7117410000000002E-3</v>
      </c>
      <c r="P906">
        <v>0.99836279999999999</v>
      </c>
      <c r="Q906">
        <v>4.7649610000000002E-2</v>
      </c>
      <c r="R906">
        <v>-3.1638289999999999E-2</v>
      </c>
      <c r="S906">
        <v>2.9930110000000001</v>
      </c>
      <c r="T906">
        <v>2.450836E-2</v>
      </c>
      <c r="U906">
        <v>-0.33840940000000003</v>
      </c>
      <c r="V906">
        <v>2.7934520000000001E-2</v>
      </c>
      <c r="W906">
        <v>6.154681E-2</v>
      </c>
      <c r="X906">
        <v>0.99771319999999997</v>
      </c>
      <c r="Y906">
        <v>0.1086579</v>
      </c>
      <c r="Z906">
        <v>4.1315589999999999E-4</v>
      </c>
      <c r="AA906">
        <v>0.99407909999999999</v>
      </c>
      <c r="AB906">
        <v>26</v>
      </c>
      <c r="AC906">
        <v>2.9930110000000001</v>
      </c>
      <c r="AD906">
        <v>2.450836E-2</v>
      </c>
      <c r="AE906">
        <v>-0.33840940000000003</v>
      </c>
      <c r="AF906">
        <v>0.32727504259194401</v>
      </c>
      <c r="AG906">
        <v>2.450836E-2</v>
      </c>
      <c r="AH906">
        <v>2.9940483654237502</v>
      </c>
      <c r="AI906">
        <v>89.533781704788893</v>
      </c>
      <c r="AJ906">
        <v>83.761848786760495</v>
      </c>
      <c r="AK906">
        <v>3.01198194345685</v>
      </c>
      <c r="AL906">
        <v>86.471397377489396</v>
      </c>
      <c r="AM906">
        <v>88.396220409964101</v>
      </c>
      <c r="AN906">
        <v>0.99999998834152304</v>
      </c>
    </row>
    <row r="907" spans="1:40" x14ac:dyDescent="0.25">
      <c r="A907" t="str">
        <f>"20190312150650563"</f>
        <v>20190312150650563</v>
      </c>
      <c r="B907" t="str">
        <f>"1552374410551739"</f>
        <v>1552374410551739</v>
      </c>
      <c r="C907" t="s">
        <v>40</v>
      </c>
      <c r="D907">
        <v>4.1652750000000003</v>
      </c>
      <c r="E907">
        <v>0.53016350000000001</v>
      </c>
      <c r="F907" t="s">
        <v>48</v>
      </c>
      <c r="G907">
        <v>0</v>
      </c>
      <c r="H907">
        <v>0</v>
      </c>
      <c r="I907">
        <v>0</v>
      </c>
      <c r="J907">
        <v>-341.19490000000002</v>
      </c>
      <c r="K907">
        <v>1.1105989999999999</v>
      </c>
      <c r="L907">
        <v>367.39139999999998</v>
      </c>
      <c r="M907">
        <v>0.99989629999999996</v>
      </c>
      <c r="N907">
        <v>0</v>
      </c>
      <c r="O907">
        <v>-3.7117320000000001E-3</v>
      </c>
      <c r="P907">
        <v>0.99836069999999999</v>
      </c>
      <c r="Q907">
        <v>4.7720409999999998E-2</v>
      </c>
      <c r="R907">
        <v>-3.1601280000000002E-2</v>
      </c>
      <c r="S907">
        <v>2.993042</v>
      </c>
      <c r="T907">
        <v>2.4881839999999999E-2</v>
      </c>
      <c r="U907">
        <v>-0.33734130000000001</v>
      </c>
      <c r="V907">
        <v>2.789755E-2</v>
      </c>
      <c r="W907">
        <v>6.1616289999999997E-2</v>
      </c>
      <c r="X907">
        <v>0.99770990000000004</v>
      </c>
      <c r="Y907">
        <v>0.10830629999999999</v>
      </c>
      <c r="Z907">
        <v>4.1799920000000002E-4</v>
      </c>
      <c r="AA907">
        <v>0.99411749999999999</v>
      </c>
      <c r="AB907">
        <v>26</v>
      </c>
      <c r="AC907">
        <v>2.993042</v>
      </c>
      <c r="AD907">
        <v>2.4881839999999999E-2</v>
      </c>
      <c r="AE907">
        <v>-0.33734130000000001</v>
      </c>
      <c r="AF907">
        <v>0.32620626914728801</v>
      </c>
      <c r="AG907">
        <v>2.4881839999999999E-2</v>
      </c>
      <c r="AH907">
        <v>2.9940692963310398</v>
      </c>
      <c r="AI907">
        <v>89.526662429046894</v>
      </c>
      <c r="AJ907">
        <v>83.782103847779695</v>
      </c>
      <c r="AK907">
        <v>3.0118898697039098</v>
      </c>
      <c r="AL907">
        <v>86.467408734704307</v>
      </c>
      <c r="AM907">
        <v>88.398336534327399</v>
      </c>
      <c r="AN907">
        <v>0.99999994252368596</v>
      </c>
    </row>
    <row r="908" spans="1:40" x14ac:dyDescent="0.25">
      <c r="A908" t="str">
        <f>"20190312150650576"</f>
        <v>20190312150650576</v>
      </c>
      <c r="B908" t="str">
        <f>"1552374410571261"</f>
        <v>1552374410571261</v>
      </c>
      <c r="C908" t="s">
        <v>40</v>
      </c>
      <c r="D908">
        <v>4.2106589999999997</v>
      </c>
      <c r="E908">
        <v>0.52996809999999905</v>
      </c>
      <c r="F908" t="s">
        <v>48</v>
      </c>
      <c r="G908">
        <v>0</v>
      </c>
      <c r="H908">
        <v>0</v>
      </c>
      <c r="I908">
        <v>0</v>
      </c>
      <c r="J908">
        <v>-341.05860000000001</v>
      </c>
      <c r="K908">
        <v>1.1106009999999999</v>
      </c>
      <c r="L908">
        <v>367.39089999999999</v>
      </c>
      <c r="M908">
        <v>0.99989620000000001</v>
      </c>
      <c r="N908">
        <v>0</v>
      </c>
      <c r="O908">
        <v>-3.7116039999999999E-3</v>
      </c>
      <c r="P908">
        <v>0.99836599999999998</v>
      </c>
      <c r="Q908">
        <v>4.7575300000000001E-2</v>
      </c>
      <c r="R908">
        <v>-3.165142E-2</v>
      </c>
      <c r="S908">
        <v>2.9929809999999999</v>
      </c>
      <c r="T908">
        <v>2.6642320000000001E-2</v>
      </c>
      <c r="U908">
        <v>-0.33596799999999999</v>
      </c>
      <c r="V908">
        <v>2.7947699999999999E-2</v>
      </c>
      <c r="W908">
        <v>6.1470190000000001E-2</v>
      </c>
      <c r="X908">
        <v>0.99771759999999998</v>
      </c>
      <c r="Y908">
        <v>0.1078577</v>
      </c>
      <c r="Z908">
        <v>4.4560450000000001E-4</v>
      </c>
      <c r="AA908">
        <v>0.99416629999999995</v>
      </c>
      <c r="AB908">
        <v>26</v>
      </c>
      <c r="AC908">
        <v>2.9929809999999999</v>
      </c>
      <c r="AD908">
        <v>2.6642320000000001E-2</v>
      </c>
      <c r="AE908">
        <v>-0.33596799999999999</v>
      </c>
      <c r="AF908">
        <v>0.32483042969326897</v>
      </c>
      <c r="AG908">
        <v>2.6642320000000001E-2</v>
      </c>
      <c r="AH908">
        <v>2.9939731955241</v>
      </c>
      <c r="AI908">
        <v>89.493132673289196</v>
      </c>
      <c r="AJ908">
        <v>83.807927715050695</v>
      </c>
      <c r="AK908">
        <v>3.01166069084592</v>
      </c>
      <c r="AL908">
        <v>86.475795868452806</v>
      </c>
      <c r="AM908">
        <v>88.395471186299602</v>
      </c>
      <c r="AN908">
        <v>1.00000003377184</v>
      </c>
    </row>
    <row r="909" spans="1:40" x14ac:dyDescent="0.25">
      <c r="A909" t="str">
        <f>"20190312150650588"</f>
        <v>20190312150650588</v>
      </c>
      <c r="B909" t="str">
        <f>"1552374410581019"</f>
        <v>1552374410581019</v>
      </c>
      <c r="C909" t="s">
        <v>40</v>
      </c>
      <c r="D909">
        <v>4.6591290000000001</v>
      </c>
      <c r="E909">
        <v>0.52967940000000002</v>
      </c>
      <c r="F909" t="s">
        <v>48</v>
      </c>
      <c r="G909">
        <v>0</v>
      </c>
      <c r="H909">
        <v>0</v>
      </c>
      <c r="I909">
        <v>0</v>
      </c>
      <c r="J909">
        <v>-340.90719999999999</v>
      </c>
      <c r="K909">
        <v>1.1106020000000001</v>
      </c>
      <c r="L909">
        <v>367.3904</v>
      </c>
      <c r="M909">
        <v>0.99989620000000001</v>
      </c>
      <c r="N909">
        <v>0</v>
      </c>
      <c r="O909">
        <v>-3.7117130000000002E-3</v>
      </c>
      <c r="P909">
        <v>0.99835180000000001</v>
      </c>
      <c r="Q909">
        <v>4.777613E-2</v>
      </c>
      <c r="R909">
        <v>-3.179328E-2</v>
      </c>
      <c r="S909">
        <v>2.9929809999999999</v>
      </c>
      <c r="T909">
        <v>2.8119559999999998E-2</v>
      </c>
      <c r="U909">
        <v>-0.33428960000000002</v>
      </c>
      <c r="V909">
        <v>2.8089579999999999E-2</v>
      </c>
      <c r="W909">
        <v>6.1669120000000001E-2</v>
      </c>
      <c r="X909">
        <v>0.99770130000000001</v>
      </c>
      <c r="Y909">
        <v>0.1073065</v>
      </c>
      <c r="Z909">
        <v>4.677433E-4</v>
      </c>
      <c r="AA909">
        <v>0.9942259</v>
      </c>
      <c r="AB909">
        <v>26</v>
      </c>
      <c r="AC909">
        <v>2.9929809999999999</v>
      </c>
      <c r="AD909">
        <v>2.8119559999999998E-2</v>
      </c>
      <c r="AE909">
        <v>-0.33428960000000002</v>
      </c>
      <c r="AF909">
        <v>0.323148960996335</v>
      </c>
      <c r="AG909">
        <v>2.8119559999999998E-2</v>
      </c>
      <c r="AH909">
        <v>2.99394026986326</v>
      </c>
      <c r="AI909">
        <v>89.464991977575295</v>
      </c>
      <c r="AJ909">
        <v>83.839666363673999</v>
      </c>
      <c r="AK909">
        <v>3.0114604928765898</v>
      </c>
      <c r="AL909">
        <v>86.464376214948899</v>
      </c>
      <c r="AM909">
        <v>88.387303552138704</v>
      </c>
      <c r="AN909">
        <v>0.99999999444391996</v>
      </c>
    </row>
    <row r="910" spans="1:40" x14ac:dyDescent="0.25">
      <c r="A910" t="str">
        <f>"20190312150650600"</f>
        <v>20190312150650600</v>
      </c>
      <c r="B910" t="str">
        <f>"1552374410591755"</f>
        <v>1552374410591755</v>
      </c>
      <c r="C910" t="s">
        <v>40</v>
      </c>
      <c r="D910">
        <v>4.2823589999999996</v>
      </c>
      <c r="E910">
        <v>0.52948109999999904</v>
      </c>
      <c r="F910" t="s">
        <v>48</v>
      </c>
      <c r="G910">
        <v>0</v>
      </c>
      <c r="H910">
        <v>0</v>
      </c>
      <c r="I910">
        <v>0</v>
      </c>
      <c r="J910">
        <v>-340.76620000000003</v>
      </c>
      <c r="K910">
        <v>1.1106039999999999</v>
      </c>
      <c r="L910">
        <v>367.38990000000001</v>
      </c>
      <c r="M910">
        <v>0.99989620000000001</v>
      </c>
      <c r="N910">
        <v>0</v>
      </c>
      <c r="O910">
        <v>-3.7117019999999999E-3</v>
      </c>
      <c r="P910">
        <v>0.99835070000000004</v>
      </c>
      <c r="Q910">
        <v>4.7833380000000002E-2</v>
      </c>
      <c r="R910">
        <v>-3.174606E-2</v>
      </c>
      <c r="S910">
        <v>2.9932249999999998</v>
      </c>
      <c r="T910">
        <v>2.408445E-2</v>
      </c>
      <c r="U910">
        <v>-0.33251950000000002</v>
      </c>
      <c r="V910">
        <v>2.8042230000000001E-2</v>
      </c>
      <c r="W910">
        <v>6.1724800000000003E-2</v>
      </c>
      <c r="X910">
        <v>0.99769920000000001</v>
      </c>
      <c r="Y910">
        <v>0.1067181</v>
      </c>
      <c r="Z910">
        <v>3.9824579999999998E-4</v>
      </c>
      <c r="AA910">
        <v>0.99428919999999998</v>
      </c>
      <c r="AB910">
        <v>26</v>
      </c>
      <c r="AC910">
        <v>2.9932249999999998</v>
      </c>
      <c r="AD910">
        <v>2.408445E-2</v>
      </c>
      <c r="AE910">
        <v>-0.33251950000000002</v>
      </c>
      <c r="AF910">
        <v>0.32138561912983599</v>
      </c>
      <c r="AG910">
        <v>2.408445E-2</v>
      </c>
      <c r="AH910">
        <v>2.9942472162699398</v>
      </c>
      <c r="AI910">
        <v>89.541778912357799</v>
      </c>
      <c r="AJ910">
        <v>83.873648678030506</v>
      </c>
      <c r="AK910">
        <v>3.01154199191304</v>
      </c>
      <c r="AL910">
        <v>86.461179936380503</v>
      </c>
      <c r="AM910">
        <v>88.390017220881802</v>
      </c>
      <c r="AN910">
        <v>1.00000000563952</v>
      </c>
    </row>
    <row r="911" spans="1:40" x14ac:dyDescent="0.25">
      <c r="A911" t="str">
        <f>"20190312150650614"</f>
        <v>20190312150650614</v>
      </c>
      <c r="B911" t="str">
        <f>"1552374410611275"</f>
        <v>1552374410611275</v>
      </c>
      <c r="C911" t="s">
        <v>40</v>
      </c>
      <c r="D911">
        <v>4.1579639999999998</v>
      </c>
      <c r="E911">
        <v>0.52953539999999999</v>
      </c>
      <c r="F911" t="s">
        <v>48</v>
      </c>
      <c r="G911">
        <v>0</v>
      </c>
      <c r="H911">
        <v>0</v>
      </c>
      <c r="I911">
        <v>0</v>
      </c>
      <c r="J911">
        <v>-340.62029999999999</v>
      </c>
      <c r="K911">
        <v>1.110603</v>
      </c>
      <c r="L911">
        <v>367.38929999999999</v>
      </c>
      <c r="M911">
        <v>0.99989629999999996</v>
      </c>
      <c r="N911">
        <v>0</v>
      </c>
      <c r="O911">
        <v>-3.711691E-3</v>
      </c>
      <c r="P911">
        <v>0.9983457</v>
      </c>
      <c r="Q911">
        <v>4.7923210000000001E-2</v>
      </c>
      <c r="R911">
        <v>-3.1770600000000003E-2</v>
      </c>
      <c r="S911">
        <v>2.9935</v>
      </c>
      <c r="T911">
        <v>1.991594E-2</v>
      </c>
      <c r="U911">
        <v>-0.33074949999999997</v>
      </c>
      <c r="V911">
        <v>2.8066839999999999E-2</v>
      </c>
      <c r="W911">
        <v>6.1812840000000001E-2</v>
      </c>
      <c r="X911">
        <v>0.9976931</v>
      </c>
      <c r="Y911">
        <v>0.10612829999999999</v>
      </c>
      <c r="Z911">
        <v>3.273444E-4</v>
      </c>
      <c r="AA911">
        <v>0.99435240000000003</v>
      </c>
      <c r="AB911">
        <v>26</v>
      </c>
      <c r="AC911">
        <v>2.9935</v>
      </c>
      <c r="AD911">
        <v>1.991594E-2</v>
      </c>
      <c r="AE911">
        <v>-0.33074949999999997</v>
      </c>
      <c r="AF911">
        <v>0.319621221626605</v>
      </c>
      <c r="AG911">
        <v>1.991594E-2</v>
      </c>
      <c r="AH911">
        <v>2.9945761835585398</v>
      </c>
      <c r="AI911">
        <v>89.621102286404195</v>
      </c>
      <c r="AJ911">
        <v>83.907692785843196</v>
      </c>
      <c r="AK911">
        <v>3.0116508577715599</v>
      </c>
      <c r="AL911">
        <v>86.456126116507704</v>
      </c>
      <c r="AM911">
        <v>88.388595189584095</v>
      </c>
      <c r="AN911">
        <v>1.0000000482420199</v>
      </c>
    </row>
    <row r="912" spans="1:40" x14ac:dyDescent="0.25">
      <c r="A912" t="str">
        <f>"20190312150650626"</f>
        <v>20190312150650626</v>
      </c>
      <c r="B912" t="str">
        <f>"1552374410621035"</f>
        <v>1552374410621035</v>
      </c>
      <c r="C912" t="s">
        <v>40</v>
      </c>
      <c r="D912">
        <v>4.1742629999999998</v>
      </c>
      <c r="E912">
        <v>0.52951389999999998</v>
      </c>
      <c r="F912" t="s">
        <v>48</v>
      </c>
      <c r="G912">
        <v>0</v>
      </c>
      <c r="H912">
        <v>0</v>
      </c>
      <c r="I912">
        <v>0</v>
      </c>
      <c r="J912">
        <v>-340.4751</v>
      </c>
      <c r="K912">
        <v>1.1106049999999901</v>
      </c>
      <c r="L912">
        <v>367.3888</v>
      </c>
      <c r="M912">
        <v>0.99989629999999996</v>
      </c>
      <c r="N912">
        <v>0</v>
      </c>
      <c r="O912">
        <v>-3.7116800000000002E-3</v>
      </c>
      <c r="P912">
        <v>0.99835949999999996</v>
      </c>
      <c r="Q912">
        <v>4.7640019999999998E-2</v>
      </c>
      <c r="R912">
        <v>-3.1758300000000003E-2</v>
      </c>
      <c r="S912">
        <v>2.9930729999999999</v>
      </c>
      <c r="T912">
        <v>2.9193759999999999E-2</v>
      </c>
      <c r="U912">
        <v>-0.33117679999999999</v>
      </c>
      <c r="V912">
        <v>2.8054610000000001E-2</v>
      </c>
      <c r="W912">
        <v>6.1528720000000002E-2</v>
      </c>
      <c r="X912">
        <v>0.99771089999999996</v>
      </c>
      <c r="Y912">
        <v>0.1062815</v>
      </c>
      <c r="Z912">
        <v>4.8064050000000001E-4</v>
      </c>
      <c r="AA912">
        <v>0.99433590000000005</v>
      </c>
      <c r="AB912">
        <v>26</v>
      </c>
      <c r="AC912">
        <v>2.9930729999999999</v>
      </c>
      <c r="AD912">
        <v>2.9193759999999999E-2</v>
      </c>
      <c r="AE912">
        <v>-0.33117679999999999</v>
      </c>
      <c r="AF912">
        <v>0.32003403496028199</v>
      </c>
      <c r="AG912">
        <v>2.9193759999999999E-2</v>
      </c>
      <c r="AH912">
        <v>2.9940003276023202</v>
      </c>
      <c r="AI912">
        <v>89.4445049552657</v>
      </c>
      <c r="AJ912">
        <v>83.898719004055096</v>
      </c>
      <c r="AK912">
        <v>3.0111977717909402</v>
      </c>
      <c r="AL912">
        <v>86.472435663480795</v>
      </c>
      <c r="AM912">
        <v>88.389325703217295</v>
      </c>
      <c r="AN912">
        <v>0.99999994225294797</v>
      </c>
    </row>
    <row r="913" spans="1:40" x14ac:dyDescent="0.25">
      <c r="A913" t="str">
        <f>"20190312150650641"</f>
        <v>20190312150650641</v>
      </c>
      <c r="B913" t="str">
        <f>"1552374410631771"</f>
        <v>1552374410631771</v>
      </c>
      <c r="C913" t="s">
        <v>40</v>
      </c>
      <c r="D913">
        <v>4.1637510000000004</v>
      </c>
      <c r="E913">
        <v>0.52957069999999995</v>
      </c>
      <c r="F913" t="s">
        <v>48</v>
      </c>
      <c r="G913">
        <v>0</v>
      </c>
      <c r="H913">
        <v>0</v>
      </c>
      <c r="I913">
        <v>0</v>
      </c>
      <c r="J913">
        <v>-340.30149999999998</v>
      </c>
      <c r="K913">
        <v>1.110598</v>
      </c>
      <c r="L913">
        <v>367.38810000000001</v>
      </c>
      <c r="M913">
        <v>0.99989649999999997</v>
      </c>
      <c r="N913">
        <v>0</v>
      </c>
      <c r="O913">
        <v>-3.7116660000000002E-3</v>
      </c>
      <c r="P913">
        <v>0.99834080000000003</v>
      </c>
      <c r="Q913">
        <v>4.7857589999999998E-2</v>
      </c>
      <c r="R913">
        <v>-3.202547E-2</v>
      </c>
      <c r="S913">
        <v>2.9928279999999998</v>
      </c>
      <c r="T913">
        <v>3.2737259999999997E-2</v>
      </c>
      <c r="U913">
        <v>-0.330841099999999</v>
      </c>
      <c r="V913">
        <v>2.832165E-2</v>
      </c>
      <c r="W913">
        <v>6.1743359999999997E-2</v>
      </c>
      <c r="X913">
        <v>0.99769010000000002</v>
      </c>
      <c r="Y913">
        <v>0.106179</v>
      </c>
      <c r="Z913">
        <v>5.3846489999999998E-4</v>
      </c>
      <c r="AA913">
        <v>0.99434690000000003</v>
      </c>
      <c r="AB913">
        <v>26</v>
      </c>
      <c r="AC913">
        <v>2.9928279999999998</v>
      </c>
      <c r="AD913">
        <v>3.2737259999999997E-2</v>
      </c>
      <c r="AE913">
        <v>-0.330841099999999</v>
      </c>
      <c r="AF913">
        <v>0.31969157937221299</v>
      </c>
      <c r="AG913">
        <v>3.2737259999999997E-2</v>
      </c>
      <c r="AH913">
        <v>2.99368159441299</v>
      </c>
      <c r="AI913">
        <v>89.377011632146804</v>
      </c>
      <c r="AJ913">
        <v>83.904554554566005</v>
      </c>
      <c r="AK913">
        <v>3.0108809213984</v>
      </c>
      <c r="AL913">
        <v>86.460114286689503</v>
      </c>
      <c r="AM913">
        <v>88.373968684551102</v>
      </c>
      <c r="AN913">
        <v>0.99999994700040895</v>
      </c>
    </row>
    <row r="914" spans="1:40" x14ac:dyDescent="0.25">
      <c r="A914" t="str">
        <f>"20190312150650653"</f>
        <v>20190312150650653</v>
      </c>
      <c r="B914" t="str">
        <f>"1552374410641531"</f>
        <v>1552374410641531</v>
      </c>
      <c r="C914" t="s">
        <v>40</v>
      </c>
      <c r="D914">
        <v>4.2648099999999998</v>
      </c>
      <c r="E914">
        <v>0.529412199999999</v>
      </c>
      <c r="F914" t="s">
        <v>48</v>
      </c>
      <c r="G914">
        <v>0</v>
      </c>
      <c r="H914">
        <v>0</v>
      </c>
      <c r="I914">
        <v>0</v>
      </c>
      <c r="J914">
        <v>-340.17559999999997</v>
      </c>
      <c r="K914">
        <v>1.1106009999999999</v>
      </c>
      <c r="L914">
        <v>367.38760000000002</v>
      </c>
      <c r="M914">
        <v>0.99989629999999996</v>
      </c>
      <c r="N914">
        <v>0</v>
      </c>
      <c r="O914">
        <v>-3.7116559999999998E-3</v>
      </c>
      <c r="P914">
        <v>0.99833530000000004</v>
      </c>
      <c r="Q914">
        <v>4.796052E-2</v>
      </c>
      <c r="R914">
        <v>-3.2040560000000003E-2</v>
      </c>
      <c r="S914">
        <v>2.9925540000000002</v>
      </c>
      <c r="T914">
        <v>3.692579E-2</v>
      </c>
      <c r="U914">
        <v>-0.33230589999999999</v>
      </c>
      <c r="V914">
        <v>2.8336790000000001E-2</v>
      </c>
      <c r="W914">
        <v>6.1844740000000002E-2</v>
      </c>
      <c r="X914">
        <v>0.99768349999999995</v>
      </c>
      <c r="Y914">
        <v>0.1066681</v>
      </c>
      <c r="Z914">
        <v>6.1040070000000001E-4</v>
      </c>
      <c r="AA914">
        <v>0.99429449999999997</v>
      </c>
      <c r="AB914">
        <v>26</v>
      </c>
      <c r="AC914">
        <v>2.9925540000000002</v>
      </c>
      <c r="AD914">
        <v>3.692579E-2</v>
      </c>
      <c r="AE914">
        <v>-0.33230589999999999</v>
      </c>
      <c r="AF914">
        <v>0.32114690305044102</v>
      </c>
      <c r="AG914">
        <v>3.692579E-2</v>
      </c>
      <c r="AH914">
        <v>2.99331670691882</v>
      </c>
      <c r="AI914">
        <v>89.297263134255402</v>
      </c>
      <c r="AJ914">
        <v>83.876276000343097</v>
      </c>
      <c r="AK914">
        <v>3.01072146755978</v>
      </c>
      <c r="AL914">
        <v>86.454294904668501</v>
      </c>
      <c r="AM914">
        <v>88.373089161836702</v>
      </c>
      <c r="AN914">
        <v>1.0000000558527</v>
      </c>
    </row>
    <row r="915" spans="1:40" x14ac:dyDescent="0.25">
      <c r="A915" t="str">
        <f>"20190312150650663"</f>
        <v>20190312150650663</v>
      </c>
      <c r="B915" t="str">
        <f>"1552374410661051"</f>
        <v>1552374410661051</v>
      </c>
      <c r="C915" t="s">
        <v>40</v>
      </c>
      <c r="D915">
        <v>4.1134810000000002</v>
      </c>
      <c r="E915">
        <v>0.52955439999999998</v>
      </c>
      <c r="F915" t="s">
        <v>48</v>
      </c>
      <c r="G915">
        <v>0</v>
      </c>
      <c r="H915">
        <v>0</v>
      </c>
      <c r="I915">
        <v>0</v>
      </c>
      <c r="J915">
        <v>-340.04590000000002</v>
      </c>
      <c r="K915">
        <v>1.1106009999999999</v>
      </c>
      <c r="L915">
        <v>367.38720000000001</v>
      </c>
      <c r="M915">
        <v>0.99989629999999996</v>
      </c>
      <c r="N915">
        <v>0</v>
      </c>
      <c r="O915">
        <v>-3.7115270000000001E-3</v>
      </c>
      <c r="P915">
        <v>0.99833689999999997</v>
      </c>
      <c r="Q915">
        <v>4.7881750000000001E-2</v>
      </c>
      <c r="R915">
        <v>-3.2106610000000001E-2</v>
      </c>
      <c r="S915">
        <v>2.9928279999999998</v>
      </c>
      <c r="T915">
        <v>3.3026699999999999E-2</v>
      </c>
      <c r="U915">
        <v>-0.33093260000000002</v>
      </c>
      <c r="V915">
        <v>2.8403009999999999E-2</v>
      </c>
      <c r="W915">
        <v>6.1764779999999998E-2</v>
      </c>
      <c r="X915">
        <v>0.99768650000000003</v>
      </c>
      <c r="Y915">
        <v>0.106209</v>
      </c>
      <c r="Z915">
        <v>5.4339120000000002E-4</v>
      </c>
      <c r="AA915">
        <v>0.99434370000000005</v>
      </c>
      <c r="AB915">
        <v>26</v>
      </c>
      <c r="AC915">
        <v>2.9928279999999998</v>
      </c>
      <c r="AD915">
        <v>3.3026699999999999E-2</v>
      </c>
      <c r="AE915">
        <v>-0.33093260000000002</v>
      </c>
      <c r="AF915">
        <v>0.31978281082801802</v>
      </c>
      <c r="AG915">
        <v>3.3026699999999999E-2</v>
      </c>
      <c r="AH915">
        <v>2.99367560784636</v>
      </c>
      <c r="AI915">
        <v>89.371504823638901</v>
      </c>
      <c r="AJ915">
        <v>83.902816076692204</v>
      </c>
      <c r="AK915">
        <v>3.0108878182403598</v>
      </c>
      <c r="AL915">
        <v>86.458884801215504</v>
      </c>
      <c r="AM915">
        <v>88.369294199189497</v>
      </c>
      <c r="AN915">
        <v>0.99999998565387904</v>
      </c>
    </row>
    <row r="916" spans="1:40" x14ac:dyDescent="0.25">
      <c r="A916" t="str">
        <f>"20190312150650675"</f>
        <v>20190312150650675</v>
      </c>
      <c r="B916" t="str">
        <f>"1552374410671787"</f>
        <v>1552374410671787</v>
      </c>
      <c r="C916" t="s">
        <v>40</v>
      </c>
      <c r="D916">
        <v>4.1327769999999999</v>
      </c>
      <c r="E916">
        <v>0.52956559999999997</v>
      </c>
      <c r="F916" t="s">
        <v>48</v>
      </c>
      <c r="G916">
        <v>0</v>
      </c>
      <c r="H916">
        <v>0</v>
      </c>
      <c r="I916">
        <v>0</v>
      </c>
      <c r="J916">
        <v>-339.9178</v>
      </c>
      <c r="K916">
        <v>1.1106009999999999</v>
      </c>
      <c r="L916">
        <v>367.38670000000002</v>
      </c>
      <c r="M916">
        <v>0.99989640000000002</v>
      </c>
      <c r="N916">
        <v>0</v>
      </c>
      <c r="O916">
        <v>-3.7116359999999999E-3</v>
      </c>
      <c r="P916">
        <v>0.9983379</v>
      </c>
      <c r="Q916">
        <v>4.7975120000000003E-2</v>
      </c>
      <c r="R916">
        <v>-3.1939889999999999E-2</v>
      </c>
      <c r="S916">
        <v>2.992645</v>
      </c>
      <c r="T916">
        <v>3.3998010000000002E-2</v>
      </c>
      <c r="U916">
        <v>-0.33245849999999999</v>
      </c>
      <c r="V916">
        <v>2.8236170000000001E-2</v>
      </c>
      <c r="W916">
        <v>6.1856630000000003E-2</v>
      </c>
      <c r="X916">
        <v>0.99768559999999995</v>
      </c>
      <c r="Y916">
        <v>0.10671600000000001</v>
      </c>
      <c r="Z916">
        <v>5.6225939999999999E-4</v>
      </c>
      <c r="AA916">
        <v>0.99428939999999999</v>
      </c>
      <c r="AB916">
        <v>26</v>
      </c>
      <c r="AC916">
        <v>2.992645</v>
      </c>
      <c r="AD916">
        <v>3.3998010000000002E-2</v>
      </c>
      <c r="AE916">
        <v>-0.33245849999999999</v>
      </c>
      <c r="AF916">
        <v>0.32130656352562298</v>
      </c>
      <c r="AG916">
        <v>3.3998010000000002E-2</v>
      </c>
      <c r="AH916">
        <v>2.9934768339034199</v>
      </c>
      <c r="AI916">
        <v>89.353014819910499</v>
      </c>
      <c r="AJ916">
        <v>83.873579935586307</v>
      </c>
      <c r="AK916">
        <v>3.0108632196705698</v>
      </c>
      <c r="AL916">
        <v>86.453612295531897</v>
      </c>
      <c r="AM916">
        <v>88.3788664182199</v>
      </c>
      <c r="AN916">
        <v>1.0000000402092899</v>
      </c>
    </row>
    <row r="917" spans="1:40" x14ac:dyDescent="0.25">
      <c r="A917" t="str">
        <f>"20190312150650687"</f>
        <v>20190312150650687</v>
      </c>
      <c r="B917" t="str">
        <f>"1552374410681547"</f>
        <v>1552374410681547</v>
      </c>
      <c r="C917" t="s">
        <v>40</v>
      </c>
      <c r="D917">
        <v>4.1365360000000004</v>
      </c>
      <c r="E917">
        <v>0.52954990000000002</v>
      </c>
      <c r="F917" t="s">
        <v>48</v>
      </c>
      <c r="G917">
        <v>0</v>
      </c>
      <c r="H917">
        <v>0</v>
      </c>
      <c r="I917">
        <v>0</v>
      </c>
      <c r="J917">
        <v>-339.78629999999998</v>
      </c>
      <c r="K917">
        <v>1.1106009999999999</v>
      </c>
      <c r="L917">
        <v>367.38619999999997</v>
      </c>
      <c r="M917">
        <v>0.99989649999999997</v>
      </c>
      <c r="N917">
        <v>0</v>
      </c>
      <c r="O917">
        <v>-3.7117449999999998E-3</v>
      </c>
      <c r="P917">
        <v>0.99833689999999997</v>
      </c>
      <c r="Q917">
        <v>4.7985739999999999E-2</v>
      </c>
      <c r="R917">
        <v>-3.1952059999999997E-2</v>
      </c>
      <c r="S917">
        <v>2.9927670000000002</v>
      </c>
      <c r="T917">
        <v>3.4260390000000002E-2</v>
      </c>
      <c r="U917">
        <v>-0.33215329999999998</v>
      </c>
      <c r="V917">
        <v>2.8248410000000002E-2</v>
      </c>
      <c r="W917">
        <v>6.1866160000000003E-2</v>
      </c>
      <c r="X917">
        <v>0.99768460000000003</v>
      </c>
      <c r="Y917">
        <v>0.1066112</v>
      </c>
      <c r="Z917">
        <v>5.6597899999999998E-4</v>
      </c>
      <c r="AA917">
        <v>0.99430059999999998</v>
      </c>
      <c r="AB917">
        <v>26</v>
      </c>
      <c r="AC917">
        <v>2.9927670000000002</v>
      </c>
      <c r="AD917">
        <v>3.4260390000000002E-2</v>
      </c>
      <c r="AE917">
        <v>-0.33215329999999998</v>
      </c>
      <c r="AF917">
        <v>0.32099999490921</v>
      </c>
      <c r="AG917">
        <v>3.4260390000000002E-2</v>
      </c>
      <c r="AH917">
        <v>2.9935918294566699</v>
      </c>
      <c r="AI917">
        <v>89.348039811436095</v>
      </c>
      <c r="AJ917">
        <v>83.879614286719899</v>
      </c>
      <c r="AK917">
        <v>3.0109478262574401</v>
      </c>
      <c r="AL917">
        <v>86.453064997160396</v>
      </c>
      <c r="AM917">
        <v>88.3781624291193</v>
      </c>
      <c r="AN917">
        <v>0.99999997774891602</v>
      </c>
    </row>
    <row r="918" spans="1:40" x14ac:dyDescent="0.25">
      <c r="A918" t="str">
        <f>"20190312150650698"</f>
        <v>20190312150650698</v>
      </c>
      <c r="B918" t="str">
        <f>"1552374410691307"</f>
        <v>1552374410691307</v>
      </c>
      <c r="C918" t="s">
        <v>40</v>
      </c>
      <c r="D918">
        <v>4.2266260000000004</v>
      </c>
      <c r="E918">
        <v>0.52948479999999998</v>
      </c>
      <c r="F918" t="s">
        <v>48</v>
      </c>
      <c r="G918">
        <v>0</v>
      </c>
      <c r="H918">
        <v>0</v>
      </c>
      <c r="I918">
        <v>0</v>
      </c>
      <c r="J918">
        <v>-339.64909999999998</v>
      </c>
      <c r="K918">
        <v>1.1106020000000001</v>
      </c>
      <c r="L918">
        <v>367.38569999999999</v>
      </c>
      <c r="M918">
        <v>0.99989640000000002</v>
      </c>
      <c r="N918">
        <v>0</v>
      </c>
      <c r="O918">
        <v>-3.7116150000000001E-3</v>
      </c>
      <c r="P918">
        <v>0.99833340000000004</v>
      </c>
      <c r="Q918">
        <v>4.7962230000000002E-2</v>
      </c>
      <c r="R918">
        <v>-3.2096270000000003E-2</v>
      </c>
      <c r="S918">
        <v>2.9927980000000001</v>
      </c>
      <c r="T918">
        <v>3.3344029999999997E-2</v>
      </c>
      <c r="U918">
        <v>-0.3319397</v>
      </c>
      <c r="V918">
        <v>2.8392580000000001E-2</v>
      </c>
      <c r="W918">
        <v>6.1840930000000002E-2</v>
      </c>
      <c r="X918">
        <v>0.99768210000000002</v>
      </c>
      <c r="Y918">
        <v>0.10654039999999999</v>
      </c>
      <c r="Z918">
        <v>5.5044700000000002E-4</v>
      </c>
      <c r="AA918">
        <v>0.99430819999999998</v>
      </c>
      <c r="AB918">
        <v>25</v>
      </c>
      <c r="AC918">
        <v>2.9927980000000001</v>
      </c>
      <c r="AD918">
        <v>3.3344029999999997E-2</v>
      </c>
      <c r="AE918">
        <v>-0.3319397</v>
      </c>
      <c r="AF918">
        <v>0.32078888875348999</v>
      </c>
      <c r="AG918">
        <v>3.3344029999999997E-2</v>
      </c>
      <c r="AH918">
        <v>2.9936424439731302</v>
      </c>
      <c r="AI918">
        <v>89.3654821586792</v>
      </c>
      <c r="AJ918">
        <v>83.883711476457805</v>
      </c>
      <c r="AK918">
        <v>3.0109653631089399</v>
      </c>
      <c r="AL918">
        <v>86.454513443033505</v>
      </c>
      <c r="AM918">
        <v>88.369885509765894</v>
      </c>
      <c r="AN918">
        <v>1.0000000059413601</v>
      </c>
    </row>
    <row r="919" spans="1:40" x14ac:dyDescent="0.25">
      <c r="A919" t="str">
        <f>"20190312150650710"</f>
        <v>20190312150650710</v>
      </c>
      <c r="B919" t="str">
        <f>"1552374410701068"</f>
        <v>1552374410701068</v>
      </c>
      <c r="C919" t="s">
        <v>40</v>
      </c>
      <c r="D919">
        <v>4.6173400000000004</v>
      </c>
      <c r="E919">
        <v>0.52948479999999998</v>
      </c>
      <c r="F919" t="s">
        <v>48</v>
      </c>
      <c r="G919">
        <v>0</v>
      </c>
      <c r="H919">
        <v>0</v>
      </c>
      <c r="I919">
        <v>0</v>
      </c>
      <c r="J919">
        <v>-339.51729999999998</v>
      </c>
      <c r="K919">
        <v>1.110606</v>
      </c>
      <c r="L919">
        <v>367.3852</v>
      </c>
      <c r="M919">
        <v>0.99989649999999997</v>
      </c>
      <c r="N919">
        <v>0</v>
      </c>
      <c r="O919">
        <v>-3.7116050000000002E-3</v>
      </c>
      <c r="P919">
        <v>0.99833830000000001</v>
      </c>
      <c r="Q919">
        <v>4.7824029999999997E-2</v>
      </c>
      <c r="R919">
        <v>-3.2150560000000002E-2</v>
      </c>
      <c r="S919">
        <v>2.9931640000000002</v>
      </c>
      <c r="T919">
        <v>2.5065299999999999E-2</v>
      </c>
      <c r="U919">
        <v>-0.33203129999999997</v>
      </c>
      <c r="V919">
        <v>2.844698E-2</v>
      </c>
      <c r="W919">
        <v>6.1701480000000003E-2</v>
      </c>
      <c r="X919">
        <v>0.99768920000000005</v>
      </c>
      <c r="Y919">
        <v>0.1065599</v>
      </c>
      <c r="Z919">
        <v>4.1381669999999998E-4</v>
      </c>
      <c r="AA919">
        <v>0.99430620000000003</v>
      </c>
      <c r="AB919">
        <v>25</v>
      </c>
      <c r="AC919">
        <v>2.9931640000000002</v>
      </c>
      <c r="AD919">
        <v>2.5065299999999999E-2</v>
      </c>
      <c r="AE919">
        <v>-0.33203129999999997</v>
      </c>
      <c r="AF919">
        <v>0.32089626672782101</v>
      </c>
      <c r="AG919">
        <v>2.5065299999999999E-2</v>
      </c>
      <c r="AH919">
        <v>2.9941684476837001</v>
      </c>
      <c r="AI919">
        <v>89.523097832294894</v>
      </c>
      <c r="AJ919">
        <v>83.882746383120903</v>
      </c>
      <c r="AK919">
        <v>3.0114194952494699</v>
      </c>
      <c r="AL919">
        <v>86.462518681947799</v>
      </c>
      <c r="AM919">
        <v>88.366775527469201</v>
      </c>
      <c r="AN919">
        <v>1.0000000215509699</v>
      </c>
    </row>
    <row r="920" spans="1:40" x14ac:dyDescent="0.25">
      <c r="A920" t="str">
        <f>"20190312150650721"</f>
        <v>20190312150650721</v>
      </c>
      <c r="B920" t="str">
        <f>"1552374410711803"</f>
        <v>1552374410711803</v>
      </c>
      <c r="C920" t="s">
        <v>40</v>
      </c>
      <c r="D920">
        <v>4.2182979999999999</v>
      </c>
      <c r="E920">
        <v>0.53188709999999995</v>
      </c>
      <c r="F920" t="s">
        <v>48</v>
      </c>
      <c r="G920">
        <v>0</v>
      </c>
      <c r="H920">
        <v>0</v>
      </c>
      <c r="I920">
        <v>0</v>
      </c>
      <c r="J920">
        <v>-339.38920000000002</v>
      </c>
      <c r="K920">
        <v>1.1106069999999999</v>
      </c>
      <c r="L920">
        <v>367.38470000000001</v>
      </c>
      <c r="M920">
        <v>0.99989660000000002</v>
      </c>
      <c r="N920">
        <v>0</v>
      </c>
      <c r="O920">
        <v>-3.7115949999999998E-3</v>
      </c>
      <c r="P920">
        <v>0.99833870000000002</v>
      </c>
      <c r="Q920">
        <v>4.7721600000000003E-2</v>
      </c>
      <c r="R920">
        <v>-3.2295490000000003E-2</v>
      </c>
      <c r="S920">
        <v>2.9931030000000001</v>
      </c>
      <c r="T920">
        <v>2.4605269999999999E-2</v>
      </c>
      <c r="U920">
        <v>-0.33215329999999998</v>
      </c>
      <c r="V920">
        <v>2.8591700000000001E-2</v>
      </c>
      <c r="W920">
        <v>6.1597260000000001E-2</v>
      </c>
      <c r="X920">
        <v>0.99769149999999995</v>
      </c>
      <c r="Y920">
        <v>0.1066023</v>
      </c>
      <c r="Z920">
        <v>4.064033E-4</v>
      </c>
      <c r="AA920">
        <v>0.99430169999999996</v>
      </c>
      <c r="AB920">
        <v>25</v>
      </c>
      <c r="AC920">
        <v>2.9931030000000001</v>
      </c>
      <c r="AD920">
        <v>2.4605269999999999E-2</v>
      </c>
      <c r="AE920">
        <v>-0.33215329999999998</v>
      </c>
      <c r="AF920">
        <v>0.321019322983568</v>
      </c>
      <c r="AG920">
        <v>2.4605269999999999E-2</v>
      </c>
      <c r="AH920">
        <v>2.9941154386888198</v>
      </c>
      <c r="AI920">
        <v>89.531843994400901</v>
      </c>
      <c r="AJ920">
        <v>83.880310833535901</v>
      </c>
      <c r="AK920">
        <v>3.0113761115535498</v>
      </c>
      <c r="AL920">
        <v>86.468501417003097</v>
      </c>
      <c r="AM920">
        <v>88.358475044899706</v>
      </c>
      <c r="AN920">
        <v>1.0000000184603199</v>
      </c>
    </row>
    <row r="921" spans="1:40" x14ac:dyDescent="0.25">
      <c r="A921" t="str">
        <f>"20190312150650732"</f>
        <v>20190312150650732</v>
      </c>
      <c r="B921" t="str">
        <f>"1552374410721563"</f>
        <v>1552374410721563</v>
      </c>
      <c r="C921" t="s">
        <v>40</v>
      </c>
      <c r="D921">
        <v>4.105982</v>
      </c>
      <c r="E921">
        <v>0.53133869999999905</v>
      </c>
      <c r="F921" t="s">
        <v>43</v>
      </c>
      <c r="G921">
        <v>-318.60250000000002</v>
      </c>
      <c r="H921">
        <v>-0.05</v>
      </c>
      <c r="I921">
        <v>364.94499999999999</v>
      </c>
      <c r="J921">
        <v>-339.2747</v>
      </c>
      <c r="K921">
        <v>1.1106039999999999</v>
      </c>
      <c r="L921">
        <v>367.3843</v>
      </c>
      <c r="M921">
        <v>0.99989649999999997</v>
      </c>
      <c r="N921">
        <v>0</v>
      </c>
      <c r="O921">
        <v>-3.7115859999999998E-3</v>
      </c>
      <c r="P921">
        <v>0.99832339999999997</v>
      </c>
      <c r="Q921">
        <v>4.7959729999999999E-2</v>
      </c>
      <c r="R921">
        <v>-3.2410710000000002E-2</v>
      </c>
      <c r="S921">
        <v>3.001617</v>
      </c>
      <c r="T921">
        <v>-0.16759250000000001</v>
      </c>
      <c r="U921">
        <v>-0.35229490000000002</v>
      </c>
      <c r="V921">
        <v>2.870706E-2</v>
      </c>
      <c r="W921">
        <v>6.1834269999999997E-2</v>
      </c>
      <c r="X921">
        <v>0.99767349999999999</v>
      </c>
      <c r="Y921">
        <v>0.11271340000000001</v>
      </c>
      <c r="Z921">
        <v>-2.9270699999999999E-3</v>
      </c>
      <c r="AA921">
        <v>0.99362329999999999</v>
      </c>
      <c r="AB921">
        <v>25</v>
      </c>
      <c r="AC921">
        <v>20.672199999999901</v>
      </c>
      <c r="AD921">
        <v>-1.160604</v>
      </c>
      <c r="AE921">
        <v>-2.4392999999999998</v>
      </c>
      <c r="AF921">
        <v>2.3552272596148298</v>
      </c>
      <c r="AG921">
        <v>-1.160604</v>
      </c>
      <c r="AH921">
        <v>20.617018438759199</v>
      </c>
      <c r="AI921">
        <v>93.2012024635752</v>
      </c>
      <c r="AJ921">
        <v>83.482950865599506</v>
      </c>
      <c r="AK921">
        <v>20.783540275741899</v>
      </c>
      <c r="AL921">
        <v>86.454895716609002</v>
      </c>
      <c r="AM921">
        <v>88.3518258490937</v>
      </c>
      <c r="AN921">
        <v>0.99999999242126303</v>
      </c>
    </row>
    <row r="922" spans="1:40" x14ac:dyDescent="0.25">
      <c r="A922" t="str">
        <f>"20190312150650742"</f>
        <v>20190312150650742</v>
      </c>
      <c r="B922" t="str">
        <f>"1552374410731324"</f>
        <v>1552374410731324</v>
      </c>
      <c r="C922" t="s">
        <v>40</v>
      </c>
      <c r="D922">
        <v>4.110919</v>
      </c>
      <c r="E922">
        <v>0.53108339999999998</v>
      </c>
      <c r="F922" t="s">
        <v>43</v>
      </c>
      <c r="G922">
        <v>-303.58690000000001</v>
      </c>
      <c r="H922">
        <v>-0.05</v>
      </c>
      <c r="I922">
        <v>363.24209999999999</v>
      </c>
      <c r="J922">
        <v>-339.15440000000001</v>
      </c>
      <c r="K922">
        <v>1.1106039999999999</v>
      </c>
      <c r="L922">
        <v>367.38380000000001</v>
      </c>
      <c r="M922">
        <v>0.99989649999999997</v>
      </c>
      <c r="N922">
        <v>0</v>
      </c>
      <c r="O922">
        <v>-3.711457E-3</v>
      </c>
      <c r="P922">
        <v>0.99833139999999998</v>
      </c>
      <c r="Q922">
        <v>4.7770050000000001E-2</v>
      </c>
      <c r="R922">
        <v>-3.2438960000000003E-2</v>
      </c>
      <c r="S922">
        <v>2.9984440000000001</v>
      </c>
      <c r="T922">
        <v>-9.7512479999999999E-2</v>
      </c>
      <c r="U922">
        <v>-0.34802250000000001</v>
      </c>
      <c r="V922">
        <v>2.8735690000000001E-2</v>
      </c>
      <c r="W922">
        <v>6.164294E-2</v>
      </c>
      <c r="X922">
        <v>0.99768449999999997</v>
      </c>
      <c r="Y922">
        <v>0.1115496</v>
      </c>
      <c r="Z922">
        <v>-1.6870429999999901E-3</v>
      </c>
      <c r="AA922">
        <v>0.99375740000000001</v>
      </c>
      <c r="AB922">
        <v>25</v>
      </c>
      <c r="AC922">
        <v>35.567499999999903</v>
      </c>
      <c r="AD922">
        <v>-1.160604</v>
      </c>
      <c r="AE922">
        <v>-4.1417000000000099</v>
      </c>
      <c r="AF922">
        <v>4.0054435930876098</v>
      </c>
      <c r="AG922">
        <v>-1.160604</v>
      </c>
      <c r="AH922">
        <v>35.545286505624503</v>
      </c>
      <c r="AI922">
        <v>91.858370732294404</v>
      </c>
      <c r="AJ922">
        <v>83.570709659521</v>
      </c>
      <c r="AK922">
        <v>35.789076165628401</v>
      </c>
      <c r="AL922">
        <v>86.465879015064203</v>
      </c>
      <c r="AM922">
        <v>88.350201187276994</v>
      </c>
      <c r="AN922">
        <v>0.99999997673593399</v>
      </c>
    </row>
    <row r="923" spans="1:40" x14ac:dyDescent="0.25">
      <c r="A923" t="str">
        <f>"20190312150650753"</f>
        <v>20190312150650753</v>
      </c>
      <c r="B923" t="str">
        <f>"1552374410751819"</f>
        <v>1552374410751819</v>
      </c>
      <c r="C923" t="s">
        <v>40</v>
      </c>
      <c r="D923">
        <v>4.2329220000000003</v>
      </c>
      <c r="E923">
        <v>0.5310203</v>
      </c>
      <c r="F923" t="s">
        <v>43</v>
      </c>
      <c r="G923">
        <v>-285.9128</v>
      </c>
      <c r="H923">
        <v>-0.05</v>
      </c>
      <c r="I923">
        <v>361.23840000000001</v>
      </c>
      <c r="J923">
        <v>-339.02640000000002</v>
      </c>
      <c r="K923">
        <v>1.1106049999999901</v>
      </c>
      <c r="L923">
        <v>367.38330000000002</v>
      </c>
      <c r="M923">
        <v>0.99989660000000002</v>
      </c>
      <c r="N923">
        <v>0</v>
      </c>
      <c r="O923">
        <v>-3.7115669999999998E-3</v>
      </c>
      <c r="P923">
        <v>0.99833229999999995</v>
      </c>
      <c r="Q923">
        <v>4.7644239999999997E-2</v>
      </c>
      <c r="R923">
        <v>-3.2599490000000002E-2</v>
      </c>
      <c r="S923">
        <v>2.996918</v>
      </c>
      <c r="T923">
        <v>-6.5329310000000002E-2</v>
      </c>
      <c r="U923">
        <v>-0.34591670000000002</v>
      </c>
      <c r="V923">
        <v>2.8895879999999999E-2</v>
      </c>
      <c r="W923">
        <v>6.151587E-2</v>
      </c>
      <c r="X923">
        <v>0.99768780000000001</v>
      </c>
      <c r="Y923">
        <v>0.11094950000000001</v>
      </c>
      <c r="Z923">
        <v>-1.1245090000000001E-3</v>
      </c>
      <c r="AA923">
        <v>0.99382539999999997</v>
      </c>
      <c r="AB923">
        <v>25</v>
      </c>
      <c r="AC923">
        <v>53.113599999999998</v>
      </c>
      <c r="AD923">
        <v>-1.1606050000000001</v>
      </c>
      <c r="AE923">
        <v>-6.1448999999999998</v>
      </c>
      <c r="AF923">
        <v>5.9449028597911999</v>
      </c>
      <c r="AG923">
        <v>-1.1606050000000001</v>
      </c>
      <c r="AH923">
        <v>53.111018874212199</v>
      </c>
      <c r="AI923">
        <v>91.244086041742406</v>
      </c>
      <c r="AJ923">
        <v>83.613267009935996</v>
      </c>
      <c r="AK923">
        <v>53.4553009516858</v>
      </c>
      <c r="AL923">
        <v>86.473173728135706</v>
      </c>
      <c r="AM923">
        <v>88.341014827108296</v>
      </c>
      <c r="AN923">
        <v>1.0000000602058301</v>
      </c>
    </row>
    <row r="924" spans="1:40" x14ac:dyDescent="0.25">
      <c r="A924" t="str">
        <f>"20190312150650765"</f>
        <v>20190312150650765</v>
      </c>
      <c r="B924" t="str">
        <f>"1552374410761579"</f>
        <v>1552374410761579</v>
      </c>
      <c r="C924" t="s">
        <v>40</v>
      </c>
      <c r="D924">
        <v>4.2164239999999999</v>
      </c>
      <c r="E924">
        <v>0.53036989999999995</v>
      </c>
      <c r="F924" t="s">
        <v>43</v>
      </c>
      <c r="G924">
        <v>-283.23759999999999</v>
      </c>
      <c r="H924">
        <v>-0.05</v>
      </c>
      <c r="I924">
        <v>360.94</v>
      </c>
      <c r="J924">
        <v>-338.8981</v>
      </c>
      <c r="K924">
        <v>1.1106049999999901</v>
      </c>
      <c r="L924">
        <v>367.38279999999997</v>
      </c>
      <c r="M924">
        <v>0.99989660000000002</v>
      </c>
      <c r="N924">
        <v>0</v>
      </c>
      <c r="O924">
        <v>-3.7115569999999999E-3</v>
      </c>
      <c r="P924">
        <v>0.99833939999999999</v>
      </c>
      <c r="Q924">
        <v>4.7638979999999997E-2</v>
      </c>
      <c r="R924">
        <v>-3.2393829999999998E-2</v>
      </c>
      <c r="S924">
        <v>2.9966740000000001</v>
      </c>
      <c r="T924">
        <v>-6.234145E-2</v>
      </c>
      <c r="U924">
        <v>-0.34609990000000002</v>
      </c>
      <c r="V924">
        <v>2.8690219999999999E-2</v>
      </c>
      <c r="W924">
        <v>6.1509689999999999E-2</v>
      </c>
      <c r="X924">
        <v>0.99769410000000003</v>
      </c>
      <c r="Y924">
        <v>0.11102089999999901</v>
      </c>
      <c r="Z924">
        <v>-1.0739129999999999E-3</v>
      </c>
      <c r="AA924">
        <v>0.99381750000000002</v>
      </c>
      <c r="AB924">
        <v>25</v>
      </c>
      <c r="AC924">
        <v>55.660499999999999</v>
      </c>
      <c r="AD924">
        <v>-1.1606050000000001</v>
      </c>
      <c r="AE924">
        <v>-6.4427999999999699</v>
      </c>
      <c r="AF924">
        <v>6.2334741669590601</v>
      </c>
      <c r="AG924">
        <v>-1.1606050000000001</v>
      </c>
      <c r="AH924">
        <v>55.6601514255835</v>
      </c>
      <c r="AI924">
        <v>91.187118251337495</v>
      </c>
      <c r="AJ924">
        <v>83.609975176276393</v>
      </c>
      <c r="AK924">
        <v>56.020136209001201</v>
      </c>
      <c r="AL924">
        <v>86.473528430376902</v>
      </c>
      <c r="AM924">
        <v>88.352826152593096</v>
      </c>
      <c r="AN924">
        <v>1.00000004393117</v>
      </c>
    </row>
    <row r="925" spans="1:40" x14ac:dyDescent="0.25">
      <c r="A925" t="str">
        <f>"20190312150650776"</f>
        <v>20190312150650776</v>
      </c>
      <c r="B925" t="str">
        <f>"1552374410771339"</f>
        <v>1552374410771339</v>
      </c>
      <c r="C925" t="s">
        <v>40</v>
      </c>
      <c r="D925">
        <v>4.0895260000000002</v>
      </c>
      <c r="E925">
        <v>0.53042919999999905</v>
      </c>
      <c r="F925" t="s">
        <v>43</v>
      </c>
      <c r="G925">
        <v>-289.99189999999999</v>
      </c>
      <c r="H925">
        <v>-0.05</v>
      </c>
      <c r="I925">
        <v>361.8263</v>
      </c>
      <c r="J925">
        <v>-338.76690000000002</v>
      </c>
      <c r="K925">
        <v>1.1106069999999999</v>
      </c>
      <c r="L925">
        <v>367.38229999999999</v>
      </c>
      <c r="M925">
        <v>0.99989660000000002</v>
      </c>
      <c r="N925">
        <v>0</v>
      </c>
      <c r="O925">
        <v>-3.7114270000000002E-3</v>
      </c>
      <c r="P925">
        <v>0.99833349999999998</v>
      </c>
      <c r="Q925">
        <v>4.7690469999999999E-2</v>
      </c>
      <c r="R925">
        <v>-3.2500769999999998E-2</v>
      </c>
      <c r="S925">
        <v>2.9973450000000001</v>
      </c>
      <c r="T925">
        <v>-7.1130750000000006E-2</v>
      </c>
      <c r="U925">
        <v>-0.34054570000000001</v>
      </c>
      <c r="V925">
        <v>2.8797280000000001E-2</v>
      </c>
      <c r="W925">
        <v>6.1559660000000002E-2</v>
      </c>
      <c r="X925">
        <v>0.99768789999999996</v>
      </c>
      <c r="Y925">
        <v>0.1091714</v>
      </c>
      <c r="Z925">
        <v>-1.2032670000000001E-3</v>
      </c>
      <c r="AA925">
        <v>0.99402219999999997</v>
      </c>
      <c r="AB925">
        <v>25</v>
      </c>
      <c r="AC925">
        <v>48.774999999999999</v>
      </c>
      <c r="AD925">
        <v>-1.1606069999999999</v>
      </c>
      <c r="AE925">
        <v>-5.5559999999999796</v>
      </c>
      <c r="AF925">
        <v>5.37191674231308</v>
      </c>
      <c r="AG925">
        <v>-1.1606069999999999</v>
      </c>
      <c r="AH925">
        <v>48.768027552546101</v>
      </c>
      <c r="AI925">
        <v>91.355104312178298</v>
      </c>
      <c r="AJ925">
        <v>83.714072469592494</v>
      </c>
      <c r="AK925">
        <v>49.076725741034203</v>
      </c>
      <c r="AL925">
        <v>86.470659806078203</v>
      </c>
      <c r="AM925">
        <v>88.346672719535604</v>
      </c>
      <c r="AN925">
        <v>1.00000001044056</v>
      </c>
    </row>
    <row r="926" spans="1:40" x14ac:dyDescent="0.25">
      <c r="A926" t="str">
        <f>"20190312150650789"</f>
        <v>20190312150650789</v>
      </c>
      <c r="B926" t="str">
        <f>"1552374410781099"</f>
        <v>1552374410781099</v>
      </c>
      <c r="C926" t="s">
        <v>40</v>
      </c>
      <c r="D926">
        <v>4.0694030000000003</v>
      </c>
      <c r="E926">
        <v>0.53053640000000002</v>
      </c>
      <c r="F926" t="s">
        <v>43</v>
      </c>
      <c r="G926">
        <v>-280.37270000000001</v>
      </c>
      <c r="H926">
        <v>-0.05</v>
      </c>
      <c r="I926">
        <v>360.73939999999999</v>
      </c>
      <c r="J926">
        <v>-338.61900000000003</v>
      </c>
      <c r="K926">
        <v>1.1106009999999999</v>
      </c>
      <c r="L926">
        <v>367.3818</v>
      </c>
      <c r="M926">
        <v>0.99989660000000002</v>
      </c>
      <c r="N926">
        <v>0</v>
      </c>
      <c r="O926">
        <v>-3.7114159999999999E-3</v>
      </c>
      <c r="P926">
        <v>0.99833070000000002</v>
      </c>
      <c r="Q926">
        <v>4.7721470000000002E-2</v>
      </c>
      <c r="R926">
        <v>-3.2536570000000001E-2</v>
      </c>
      <c r="S926">
        <v>2.9967649999999999</v>
      </c>
      <c r="T926">
        <v>-5.956185E-2</v>
      </c>
      <c r="U926">
        <v>-0.34091189999999999</v>
      </c>
      <c r="V926">
        <v>2.883314E-2</v>
      </c>
      <c r="W926">
        <v>6.1588690000000001E-2</v>
      </c>
      <c r="X926">
        <v>0.99768509999999999</v>
      </c>
      <c r="Y926">
        <v>0.1093216</v>
      </c>
      <c r="Z926">
        <v>-1.0092809999999999E-3</v>
      </c>
      <c r="AA926">
        <v>0.9940059</v>
      </c>
      <c r="AB926">
        <v>25</v>
      </c>
      <c r="AC926">
        <v>58.246299999999998</v>
      </c>
      <c r="AD926">
        <v>-1.160601</v>
      </c>
      <c r="AE926">
        <v>-6.6424000000000003</v>
      </c>
      <c r="AF926">
        <v>6.4236394578656997</v>
      </c>
      <c r="AG926">
        <v>-1.160601</v>
      </c>
      <c r="AH926">
        <v>58.247724343458998</v>
      </c>
      <c r="AI926">
        <v>91.134605346848602</v>
      </c>
      <c r="AJ926">
        <v>83.706772819727504</v>
      </c>
      <c r="AK926">
        <v>58.6123496351873</v>
      </c>
      <c r="AL926">
        <v>86.468993444009996</v>
      </c>
      <c r="AM926">
        <v>88.344610404570105</v>
      </c>
      <c r="AN926">
        <v>1.0000000377300899</v>
      </c>
    </row>
    <row r="927" spans="1:40" x14ac:dyDescent="0.25">
      <c r="A927" t="str">
        <f>"20190312150650801"</f>
        <v>20190312150650801</v>
      </c>
      <c r="B927" t="str">
        <f>"1552374410791835"</f>
        <v>1552374410791835</v>
      </c>
      <c r="C927" t="s">
        <v>40</v>
      </c>
      <c r="D927">
        <v>4.2081339999999896</v>
      </c>
      <c r="E927">
        <v>0.53018269999999901</v>
      </c>
      <c r="F927" t="s">
        <v>42</v>
      </c>
      <c r="G927">
        <v>-273.3503</v>
      </c>
      <c r="H927" s="1">
        <v>-4.8240669999999998E-6</v>
      </c>
      <c r="I927">
        <v>359.93830000000003</v>
      </c>
      <c r="J927">
        <v>-338.48329999999999</v>
      </c>
      <c r="K927">
        <v>1.1106020000000001</v>
      </c>
      <c r="L927">
        <v>367.38130000000001</v>
      </c>
      <c r="M927">
        <v>0.99989660000000002</v>
      </c>
      <c r="N927">
        <v>0</v>
      </c>
      <c r="O927">
        <v>-3.711406E-3</v>
      </c>
      <c r="P927">
        <v>0.99834409999999896</v>
      </c>
      <c r="Q927">
        <v>4.7483329999999997E-2</v>
      </c>
      <c r="R927">
        <v>-3.2472679999999997E-2</v>
      </c>
      <c r="S927">
        <v>2.9963069999999998</v>
      </c>
      <c r="T927">
        <v>-5.0984740000000001E-2</v>
      </c>
      <c r="U927">
        <v>-0.34170529999999999</v>
      </c>
      <c r="V927">
        <v>2.8769300000000001E-2</v>
      </c>
      <c r="W927">
        <v>6.1349300000000002E-2</v>
      </c>
      <c r="X927">
        <v>0.99770159999999997</v>
      </c>
      <c r="Y927">
        <v>0.1096039</v>
      </c>
      <c r="Z927">
        <v>-8.6647669999999897E-4</v>
      </c>
      <c r="AA927">
        <v>0.99397500000000005</v>
      </c>
      <c r="AB927">
        <v>25</v>
      </c>
      <c r="AC927">
        <v>65.132999999999896</v>
      </c>
      <c r="AD927">
        <v>-1.110606824067</v>
      </c>
      <c r="AE927">
        <v>-7.4429999999999801</v>
      </c>
      <c r="AF927">
        <v>7.1991242298478104</v>
      </c>
      <c r="AG927">
        <v>-1.110606824067</v>
      </c>
      <c r="AH927">
        <v>65.141482289590499</v>
      </c>
      <c r="AI927">
        <v>90.970840042696807</v>
      </c>
      <c r="AJ927">
        <v>83.693537018687707</v>
      </c>
      <c r="AK927">
        <v>65.547490814519193</v>
      </c>
      <c r="AL927">
        <v>86.482735143172803</v>
      </c>
      <c r="AM927">
        <v>88.348300902495197</v>
      </c>
      <c r="AN927">
        <v>0.99999994593776798</v>
      </c>
    </row>
    <row r="928" spans="1:40" x14ac:dyDescent="0.25">
      <c r="A928" t="str">
        <f>"20190312150650814"</f>
        <v>20190312150650814</v>
      </c>
      <c r="B928" t="str">
        <f>"1552374410811356"</f>
        <v>1552374410811356</v>
      </c>
      <c r="C928" t="s">
        <v>40</v>
      </c>
      <c r="D928">
        <v>4.1932850000000004</v>
      </c>
      <c r="E928">
        <v>0.53073249999999905</v>
      </c>
      <c r="F928" t="s">
        <v>42</v>
      </c>
      <c r="G928">
        <v>-278.17509999999999</v>
      </c>
      <c r="H928" s="1">
        <v>-3.0164020000000001E-6</v>
      </c>
      <c r="I928">
        <v>360.56119999999999</v>
      </c>
      <c r="J928">
        <v>-338.34449999999998</v>
      </c>
      <c r="K928">
        <v>1.1106009999999999</v>
      </c>
      <c r="L928">
        <v>367.38069999999999</v>
      </c>
      <c r="M928">
        <v>0.99989660000000002</v>
      </c>
      <c r="N928">
        <v>0</v>
      </c>
      <c r="O928">
        <v>-3.7113960000000001E-3</v>
      </c>
      <c r="P928">
        <v>0.9983535</v>
      </c>
      <c r="Q928">
        <v>4.7242230000000003E-2</v>
      </c>
      <c r="R928">
        <v>-3.2529639999999999E-2</v>
      </c>
      <c r="S928">
        <v>2.9965820000000001</v>
      </c>
      <c r="T928">
        <v>-5.5183410000000002E-2</v>
      </c>
      <c r="U928">
        <v>-0.33886719999999998</v>
      </c>
      <c r="V928">
        <v>2.8826259999999999E-2</v>
      </c>
      <c r="W928">
        <v>6.1107040000000001E-2</v>
      </c>
      <c r="X928">
        <v>0.99771489999999996</v>
      </c>
      <c r="Y928">
        <v>0.1086618</v>
      </c>
      <c r="Z928">
        <v>-9.2913860000000002E-4</v>
      </c>
      <c r="AA928">
        <v>0.99407829999999997</v>
      </c>
      <c r="AB928">
        <v>25</v>
      </c>
      <c r="AC928">
        <v>60.169400000000003</v>
      </c>
      <c r="AD928">
        <v>-1.1106040164019999</v>
      </c>
      <c r="AE928">
        <v>-6.8194999999999997</v>
      </c>
      <c r="AF928">
        <v>6.5939009740825201</v>
      </c>
      <c r="AG928">
        <v>-1.1106040164019999</v>
      </c>
      <c r="AH928">
        <v>60.174056769760803</v>
      </c>
      <c r="AI928">
        <v>91.0510706599554</v>
      </c>
      <c r="AJ928">
        <v>83.746452938333206</v>
      </c>
      <c r="AK928">
        <v>60.544447139829899</v>
      </c>
      <c r="AL928">
        <v>86.496641980129993</v>
      </c>
      <c r="AM928">
        <v>88.345054588838195</v>
      </c>
      <c r="AN928">
        <v>1.00000002264257</v>
      </c>
    </row>
    <row r="929" spans="1:40" x14ac:dyDescent="0.25">
      <c r="A929" t="str">
        <f>"20190312150650827"</f>
        <v>20190312150650827</v>
      </c>
      <c r="B929" t="str">
        <f>"1552374410821116"</f>
        <v>1552374410821116</v>
      </c>
      <c r="C929" t="s">
        <v>40</v>
      </c>
      <c r="D929">
        <v>4.1817190000000002</v>
      </c>
      <c r="E929">
        <v>0.53073249999999905</v>
      </c>
      <c r="F929" t="s">
        <v>43</v>
      </c>
      <c r="G929">
        <v>-285.8424</v>
      </c>
      <c r="H929">
        <v>-0.05</v>
      </c>
      <c r="I929">
        <v>361.36500000000001</v>
      </c>
      <c r="J929">
        <v>-338.19459999999998</v>
      </c>
      <c r="K929">
        <v>1.1106049999999901</v>
      </c>
      <c r="L929">
        <v>367.3802</v>
      </c>
      <c r="M929">
        <v>0.99989680000000003</v>
      </c>
      <c r="N929">
        <v>0</v>
      </c>
      <c r="O929">
        <v>-3.711504E-3</v>
      </c>
      <c r="P929">
        <v>0.99835209999999996</v>
      </c>
      <c r="Q929">
        <v>4.726064E-2</v>
      </c>
      <c r="R929">
        <v>-3.2559390000000001E-2</v>
      </c>
      <c r="S929">
        <v>2.9968870000000001</v>
      </c>
      <c r="T929">
        <v>-6.6248660000000001E-2</v>
      </c>
      <c r="U929">
        <v>-0.34338380000000002</v>
      </c>
      <c r="V929">
        <v>2.8855639999999998E-2</v>
      </c>
      <c r="W929">
        <v>6.1123700000000003E-2</v>
      </c>
      <c r="X929">
        <v>0.99771299999999996</v>
      </c>
      <c r="Y929">
        <v>0.1101212</v>
      </c>
      <c r="Z929">
        <v>-1.131272E-3</v>
      </c>
      <c r="AA929">
        <v>0.99391750000000001</v>
      </c>
      <c r="AB929">
        <v>25</v>
      </c>
      <c r="AC929">
        <v>52.352199999999897</v>
      </c>
      <c r="AD929">
        <v>-1.1606050000000001</v>
      </c>
      <c r="AE929">
        <v>-6.0151999999999903</v>
      </c>
      <c r="AF929">
        <v>5.8180123114176396</v>
      </c>
      <c r="AG929">
        <v>-1.1606050000000001</v>
      </c>
      <c r="AH929">
        <v>52.348774193793602</v>
      </c>
      <c r="AI929">
        <v>91.262305610642002</v>
      </c>
      <c r="AJ929">
        <v>83.658206156964994</v>
      </c>
      <c r="AK929">
        <v>52.6838725874875</v>
      </c>
      <c r="AL929">
        <v>86.4956855390882</v>
      </c>
      <c r="AM929">
        <v>88.343365639023801</v>
      </c>
      <c r="AN929">
        <v>0.99999999251524896</v>
      </c>
    </row>
    <row r="930" spans="1:40" x14ac:dyDescent="0.25">
      <c r="A930" t="str">
        <f>"20190312150650842"</f>
        <v>20190312150650842</v>
      </c>
      <c r="B930" t="str">
        <f>"1552374410831851"</f>
        <v>1552374410831851</v>
      </c>
      <c r="C930" t="s">
        <v>40</v>
      </c>
      <c r="D930">
        <v>4.1303679999999998</v>
      </c>
      <c r="E930">
        <v>0.54779940000000005</v>
      </c>
      <c r="F930" t="s">
        <v>43</v>
      </c>
      <c r="G930">
        <v>-285.66160000000002</v>
      </c>
      <c r="H930">
        <v>-0.05</v>
      </c>
      <c r="I930">
        <v>361.3562</v>
      </c>
      <c r="J930">
        <v>-338.0197</v>
      </c>
      <c r="K930">
        <v>1.110606</v>
      </c>
      <c r="L930">
        <v>367.37950000000001</v>
      </c>
      <c r="M930">
        <v>0.99989669999999997</v>
      </c>
      <c r="N930">
        <v>0</v>
      </c>
      <c r="O930">
        <v>-3.7113720000000001E-3</v>
      </c>
      <c r="P930">
        <v>0.99836290000000005</v>
      </c>
      <c r="Q930">
        <v>4.7076630000000001E-2</v>
      </c>
      <c r="R930">
        <v>-3.248939E-2</v>
      </c>
      <c r="S930">
        <v>2.9968870000000001</v>
      </c>
      <c r="T930">
        <v>-6.6209790000000004E-2</v>
      </c>
      <c r="U930">
        <v>-0.34365839999999998</v>
      </c>
      <c r="V930">
        <v>2.878588E-2</v>
      </c>
      <c r="W930">
        <v>6.0938079999999999E-2</v>
      </c>
      <c r="X930">
        <v>0.99772640000000001</v>
      </c>
      <c r="Y930">
        <v>0.1102112</v>
      </c>
      <c r="Z930">
        <v>-1.131597E-3</v>
      </c>
      <c r="AA930">
        <v>0.9939076</v>
      </c>
      <c r="AB930">
        <v>25</v>
      </c>
      <c r="AC930">
        <v>52.358099999999901</v>
      </c>
      <c r="AD930">
        <v>-1.160606</v>
      </c>
      <c r="AE930">
        <v>-6.0232999999999999</v>
      </c>
      <c r="AF930">
        <v>5.8260940536814401</v>
      </c>
      <c r="AG930">
        <v>-1.160606</v>
      </c>
      <c r="AH930">
        <v>52.3547070702</v>
      </c>
      <c r="AI930">
        <v>91.262144048491905</v>
      </c>
      <c r="AJ930">
        <v>83.650182525742395</v>
      </c>
      <c r="AK930">
        <v>52.690660753268403</v>
      </c>
      <c r="AL930">
        <v>86.506340750373298</v>
      </c>
      <c r="AM930">
        <v>88.347390597895796</v>
      </c>
      <c r="AN930">
        <v>1.0000000228692101</v>
      </c>
    </row>
    <row r="931" spans="1:40" x14ac:dyDescent="0.25">
      <c r="A931" t="str">
        <f>"20190312150650854"</f>
        <v>20190312150650854</v>
      </c>
      <c r="B931" t="str">
        <f>"1552374410851373"</f>
        <v>1552374410851373</v>
      </c>
      <c r="C931" t="s">
        <v>40</v>
      </c>
      <c r="D931">
        <v>4.2323729999999999</v>
      </c>
      <c r="E931">
        <v>0.54936739999999995</v>
      </c>
      <c r="F931" t="s">
        <v>41</v>
      </c>
      <c r="G931">
        <v>-337.29259999999999</v>
      </c>
      <c r="H931">
        <v>0.99735649999999998</v>
      </c>
      <c r="I931">
        <v>367.26339999999999</v>
      </c>
      <c r="J931">
        <v>-337.89</v>
      </c>
      <c r="K931">
        <v>1.110606</v>
      </c>
      <c r="L931">
        <v>367.37909999999999</v>
      </c>
      <c r="M931">
        <v>0.99989669999999997</v>
      </c>
      <c r="N931">
        <v>0</v>
      </c>
      <c r="O931">
        <v>-3.7113630000000001E-3</v>
      </c>
      <c r="P931">
        <v>0.99834699999999998</v>
      </c>
      <c r="Q931">
        <v>4.721997E-2</v>
      </c>
      <c r="R931">
        <v>-3.2767440000000002E-2</v>
      </c>
      <c r="S931">
        <v>3.0113530000000002</v>
      </c>
      <c r="T931">
        <v>-0.46905200000000002</v>
      </c>
      <c r="U931">
        <v>-0.48098750000000001</v>
      </c>
      <c r="V931">
        <v>2.9064E-2</v>
      </c>
      <c r="W931">
        <v>6.1079910000000001E-2</v>
      </c>
      <c r="X931">
        <v>0.99770959999999997</v>
      </c>
      <c r="Y931">
        <v>0.1523119</v>
      </c>
      <c r="Z931">
        <v>-1.1147020000000001E-2</v>
      </c>
      <c r="AA931">
        <v>0.98826959999999997</v>
      </c>
      <c r="AB931">
        <v>25</v>
      </c>
      <c r="AC931">
        <v>0.59739999999999305</v>
      </c>
      <c r="AD931">
        <v>-0.113249499999999</v>
      </c>
      <c r="AE931">
        <v>-0.11570000000000299</v>
      </c>
      <c r="AF931">
        <v>0.109682655533311</v>
      </c>
      <c r="AG931">
        <v>-0.113249499999999</v>
      </c>
      <c r="AH931">
        <v>0.57781122371767701</v>
      </c>
      <c r="AI931">
        <v>100.89940298959201</v>
      </c>
      <c r="AJ931">
        <v>79.251745086005997</v>
      </c>
      <c r="AK931">
        <v>0.59893367281294896</v>
      </c>
      <c r="AL931">
        <v>86.498199099499999</v>
      </c>
      <c r="AM931">
        <v>88.331404515006795</v>
      </c>
      <c r="AN931">
        <v>0.99999995871688296</v>
      </c>
    </row>
    <row r="932" spans="1:40" x14ac:dyDescent="0.25">
      <c r="A932" t="str">
        <f>"20190312150650866"</f>
        <v>20190312150650866</v>
      </c>
      <c r="B932" t="str">
        <f>"1552374410861132"</f>
        <v>1552374410861132</v>
      </c>
      <c r="C932" t="s">
        <v>40</v>
      </c>
      <c r="D932">
        <v>4.1937419999999896</v>
      </c>
      <c r="E932">
        <v>0.54936209999999996</v>
      </c>
      <c r="F932" t="s">
        <v>41</v>
      </c>
      <c r="G932">
        <v>-337.08420000000001</v>
      </c>
      <c r="H932">
        <v>0.96145780000000003</v>
      </c>
      <c r="I932">
        <v>367.2466</v>
      </c>
      <c r="J932">
        <v>-337.76069999999999</v>
      </c>
      <c r="K932">
        <v>1.1106069999999999</v>
      </c>
      <c r="L932">
        <v>367.37860000000001</v>
      </c>
      <c r="M932">
        <v>0.99989680000000003</v>
      </c>
      <c r="N932">
        <v>0</v>
      </c>
      <c r="O932">
        <v>-3.7113530000000001E-3</v>
      </c>
      <c r="P932">
        <v>0.99835430000000003</v>
      </c>
      <c r="Q932">
        <v>4.7015439999999999E-2</v>
      </c>
      <c r="R932">
        <v>-3.284198E-2</v>
      </c>
      <c r="S932">
        <v>3.0151370000000002</v>
      </c>
      <c r="T932">
        <v>-0.55814160000000002</v>
      </c>
      <c r="U932">
        <v>-0.494751</v>
      </c>
      <c r="V932">
        <v>2.913835E-2</v>
      </c>
      <c r="W932">
        <v>6.0873820000000002E-2</v>
      </c>
      <c r="X932">
        <v>0.9977201</v>
      </c>
      <c r="Y932">
        <v>0.15574449999999901</v>
      </c>
      <c r="Z932">
        <v>-1.3524319999999999E-2</v>
      </c>
      <c r="AA932">
        <v>0.98770480000000005</v>
      </c>
      <c r="AB932">
        <v>25</v>
      </c>
      <c r="AC932">
        <v>0.67649999999997501</v>
      </c>
      <c r="AD932">
        <v>-0.14914919999999901</v>
      </c>
      <c r="AE932">
        <v>-0.132000000000005</v>
      </c>
      <c r="AF932">
        <v>0.123696041434011</v>
      </c>
      <c r="AG932">
        <v>-0.14914919999999901</v>
      </c>
      <c r="AH932">
        <v>0.64670334909882898</v>
      </c>
      <c r="AI932">
        <v>102.763443866963</v>
      </c>
      <c r="AJ932">
        <v>79.171725653445804</v>
      </c>
      <c r="AK932">
        <v>0.67510844777911505</v>
      </c>
      <c r="AL932">
        <v>86.5100294558342</v>
      </c>
      <c r="AM932">
        <v>88.327156019082494</v>
      </c>
      <c r="AN932">
        <v>1.00000003167306</v>
      </c>
    </row>
    <row r="933" spans="1:40" x14ac:dyDescent="0.25">
      <c r="A933" t="str">
        <f>"20190312150650876"</f>
        <v>20190312150650876</v>
      </c>
      <c r="B933" t="str">
        <f>"1552374410871867"</f>
        <v>1552374410871867</v>
      </c>
      <c r="C933" t="s">
        <v>40</v>
      </c>
      <c r="D933">
        <v>4.202032</v>
      </c>
      <c r="E933">
        <v>0.54868600000000001</v>
      </c>
      <c r="F933" t="s">
        <v>41</v>
      </c>
      <c r="G933">
        <v>-336.86810000000003</v>
      </c>
      <c r="H933">
        <v>0.94169890000000001</v>
      </c>
      <c r="I933">
        <v>367.2321</v>
      </c>
      <c r="J933">
        <v>-337.63990000000001</v>
      </c>
      <c r="K933">
        <v>1.1106049999999901</v>
      </c>
      <c r="L933">
        <v>367.37819999999999</v>
      </c>
      <c r="M933">
        <v>0.99989669999999997</v>
      </c>
      <c r="N933">
        <v>0</v>
      </c>
      <c r="O933">
        <v>-3.711106E-3</v>
      </c>
      <c r="P933">
        <v>0.9983495</v>
      </c>
      <c r="Q933">
        <v>4.7077210000000001E-2</v>
      </c>
      <c r="R933">
        <v>-3.2893550000000001E-2</v>
      </c>
      <c r="S933">
        <v>3.015533</v>
      </c>
      <c r="T933">
        <v>-0.57067019999999902</v>
      </c>
      <c r="U933">
        <v>-0.49484250000000002</v>
      </c>
      <c r="V933">
        <v>2.9190279999999999E-2</v>
      </c>
      <c r="W933">
        <v>6.0934269999999999E-2</v>
      </c>
      <c r="X933">
        <v>0.99771489999999996</v>
      </c>
      <c r="Y933">
        <v>0.15564239999999999</v>
      </c>
      <c r="Z933">
        <v>-1.3811500000000001E-2</v>
      </c>
      <c r="AA933">
        <v>0.98771690000000001</v>
      </c>
      <c r="AB933">
        <v>25</v>
      </c>
      <c r="AC933">
        <v>0.77179999999998405</v>
      </c>
      <c r="AD933">
        <v>-0.168906099999999</v>
      </c>
      <c r="AE933">
        <v>-0.14609999999998899</v>
      </c>
      <c r="AF933">
        <v>0.13690441518724</v>
      </c>
      <c r="AG933">
        <v>-0.168906099999999</v>
      </c>
      <c r="AH933">
        <v>0.73820445477486196</v>
      </c>
      <c r="AI933">
        <v>102.678778119238</v>
      </c>
      <c r="AJ933">
        <v>79.493523908160398</v>
      </c>
      <c r="AK933">
        <v>0.76955695472422403</v>
      </c>
      <c r="AL933">
        <v>86.5065595125633</v>
      </c>
      <c r="AM933">
        <v>88.324167666880996</v>
      </c>
      <c r="AN933">
        <v>1.0000000396944499</v>
      </c>
    </row>
    <row r="934" spans="1:40" x14ac:dyDescent="0.25">
      <c r="A934" t="str">
        <f>"20190312150650888"</f>
        <v>20190312150650888</v>
      </c>
      <c r="B934" t="str">
        <f>"1552374410881628"</f>
        <v>1552374410881628</v>
      </c>
      <c r="C934" t="s">
        <v>40</v>
      </c>
      <c r="D934">
        <v>4.1923199999999996</v>
      </c>
      <c r="E934">
        <v>0.54888289999999995</v>
      </c>
      <c r="F934" t="s">
        <v>41</v>
      </c>
      <c r="G934">
        <v>-336.86160000000001</v>
      </c>
      <c r="H934">
        <v>0.95668470000000005</v>
      </c>
      <c r="I934">
        <v>367.2518</v>
      </c>
      <c r="J934">
        <v>-337.5068</v>
      </c>
      <c r="K934">
        <v>1.1106020000000001</v>
      </c>
      <c r="L934">
        <v>367.3777</v>
      </c>
      <c r="M934">
        <v>0.99989689999999998</v>
      </c>
      <c r="N934">
        <v>0</v>
      </c>
      <c r="O934">
        <v>-3.7113340000000002E-3</v>
      </c>
      <c r="P934">
        <v>0.99834009999999995</v>
      </c>
      <c r="Q934">
        <v>4.714637E-2</v>
      </c>
      <c r="R934">
        <v>-3.3077769999999999E-2</v>
      </c>
      <c r="S934">
        <v>3.0169980000000001</v>
      </c>
      <c r="T934">
        <v>-0.59668529999999997</v>
      </c>
      <c r="U934">
        <v>-0.48959350000000001</v>
      </c>
      <c r="V934">
        <v>2.9374540000000001E-2</v>
      </c>
      <c r="W934">
        <v>6.1001850000000003E-2</v>
      </c>
      <c r="X934">
        <v>0.99770530000000002</v>
      </c>
      <c r="Y934">
        <v>0.153687299999999</v>
      </c>
      <c r="Z934">
        <v>-1.4234480000000001E-2</v>
      </c>
      <c r="AA934">
        <v>0.98801700000000003</v>
      </c>
      <c r="AB934">
        <v>25</v>
      </c>
      <c r="AC934">
        <v>0.64519999999998801</v>
      </c>
      <c r="AD934">
        <v>-0.15391730000000001</v>
      </c>
      <c r="AE934">
        <v>-0.12590000000000101</v>
      </c>
      <c r="AF934">
        <v>0.11708546500650199</v>
      </c>
      <c r="AG934">
        <v>-0.15391730000000001</v>
      </c>
      <c r="AH934">
        <v>0.61210585802184303</v>
      </c>
      <c r="AI934">
        <v>103.873143515275</v>
      </c>
      <c r="AJ934">
        <v>79.171098597230696</v>
      </c>
      <c r="AK934">
        <v>0.64192921944692205</v>
      </c>
      <c r="AL934">
        <v>86.502680029539306</v>
      </c>
      <c r="AM934">
        <v>88.313579056413801</v>
      </c>
      <c r="AN934">
        <v>0.999999977475861</v>
      </c>
    </row>
    <row r="935" spans="1:40" x14ac:dyDescent="0.25">
      <c r="A935" t="str">
        <f>"20190312150650899"</f>
        <v>20190312150650899</v>
      </c>
      <c r="B935" t="str">
        <f>"1552374410891388"</f>
        <v>1552374410891388</v>
      </c>
      <c r="C935" t="s">
        <v>40</v>
      </c>
      <c r="D935">
        <v>4.1779199999999896</v>
      </c>
      <c r="E935">
        <v>0.54889270000000001</v>
      </c>
      <c r="F935" t="s">
        <v>41</v>
      </c>
      <c r="G935">
        <v>-336.64440000000002</v>
      </c>
      <c r="H935">
        <v>0.93963030000000003</v>
      </c>
      <c r="I935">
        <v>367.23680000000002</v>
      </c>
      <c r="J935">
        <v>-337.37849999999997</v>
      </c>
      <c r="K935">
        <v>1.110603</v>
      </c>
      <c r="L935">
        <v>367.37720000000002</v>
      </c>
      <c r="M935">
        <v>0.99989680000000003</v>
      </c>
      <c r="N935">
        <v>0</v>
      </c>
      <c r="O935">
        <v>-3.7110870000000001E-3</v>
      </c>
      <c r="P935">
        <v>0.99833490000000003</v>
      </c>
      <c r="Q935">
        <v>4.7176089999999997E-2</v>
      </c>
      <c r="R935">
        <v>-3.3198659999999998E-2</v>
      </c>
      <c r="S935">
        <v>3.016937</v>
      </c>
      <c r="T935">
        <v>-0.59816119999999995</v>
      </c>
      <c r="U935">
        <v>-0.49191279999999998</v>
      </c>
      <c r="V935">
        <v>2.9495380000000002E-2</v>
      </c>
      <c r="W935">
        <v>6.103041E-2</v>
      </c>
      <c r="X935">
        <v>0.99770000000000003</v>
      </c>
      <c r="Y935">
        <v>0.1544035</v>
      </c>
      <c r="Z935">
        <v>-1.433837E-2</v>
      </c>
      <c r="AA935">
        <v>0.9879038</v>
      </c>
      <c r="AB935">
        <v>25</v>
      </c>
      <c r="AC935">
        <v>0.73409999999995501</v>
      </c>
      <c r="AD935">
        <v>-0.17097269999999901</v>
      </c>
      <c r="AE935">
        <v>-0.140399999999999</v>
      </c>
      <c r="AF935">
        <v>0.13082836710024501</v>
      </c>
      <c r="AG935">
        <v>-0.17097269999999901</v>
      </c>
      <c r="AH935">
        <v>0.69808601110466395</v>
      </c>
      <c r="AI935">
        <v>103.535026580523</v>
      </c>
      <c r="AJ935">
        <v>79.385320922037394</v>
      </c>
      <c r="AK935">
        <v>0.73052844207698597</v>
      </c>
      <c r="AL935">
        <v>86.501040648484505</v>
      </c>
      <c r="AM935">
        <v>88.306636554994597</v>
      </c>
      <c r="AN935">
        <v>0.99999998919305599</v>
      </c>
    </row>
    <row r="936" spans="1:40" x14ac:dyDescent="0.25">
      <c r="A936" t="str">
        <f>"20190312150650910"</f>
        <v>20190312150650910</v>
      </c>
      <c r="B936" t="str">
        <f>"1552374410901148"</f>
        <v>1552374410901148</v>
      </c>
      <c r="C936" t="s">
        <v>40</v>
      </c>
      <c r="D936">
        <v>4.108867</v>
      </c>
      <c r="E936">
        <v>0.54909929999999996</v>
      </c>
      <c r="F936" t="s">
        <v>41</v>
      </c>
      <c r="G936">
        <v>-336.63400000000001</v>
      </c>
      <c r="H936">
        <v>0.96255089999999999</v>
      </c>
      <c r="I936">
        <v>367.25549999999998</v>
      </c>
      <c r="J936">
        <v>-337.25729999999999</v>
      </c>
      <c r="K936">
        <v>1.1106039999999999</v>
      </c>
      <c r="L936">
        <v>367.3768</v>
      </c>
      <c r="M936">
        <v>0.99989689999999998</v>
      </c>
      <c r="N936">
        <v>0</v>
      </c>
      <c r="O936">
        <v>-3.711317E-3</v>
      </c>
      <c r="P936">
        <v>0.99833989999999995</v>
      </c>
      <c r="Q936">
        <v>4.7055729999999997E-2</v>
      </c>
      <c r="R936">
        <v>-3.3219930000000002E-2</v>
      </c>
      <c r="S936">
        <v>3.0169980000000001</v>
      </c>
      <c r="T936">
        <v>-0.6000896</v>
      </c>
      <c r="U936">
        <v>-0.49215700000000001</v>
      </c>
      <c r="V936">
        <v>2.9516509999999999E-2</v>
      </c>
      <c r="W936">
        <v>6.0908570000000002E-2</v>
      </c>
      <c r="X936">
        <v>0.9977068</v>
      </c>
      <c r="Y936">
        <v>0.15445880000000001</v>
      </c>
      <c r="Z936">
        <v>-1.4388720000000001E-2</v>
      </c>
      <c r="AA936">
        <v>0.98789450000000001</v>
      </c>
      <c r="AB936">
        <v>25</v>
      </c>
      <c r="AC936">
        <v>0.62329999999997199</v>
      </c>
      <c r="AD936">
        <v>-0.14805309999999999</v>
      </c>
      <c r="AE936">
        <v>-0.121300000000019</v>
      </c>
      <c r="AF936">
        <v>0.11285086240867701</v>
      </c>
      <c r="AG936">
        <v>-0.14805309999999999</v>
      </c>
      <c r="AH936">
        <v>0.59158604307353202</v>
      </c>
      <c r="AI936">
        <v>103.811253796858</v>
      </c>
      <c r="AJ936">
        <v>79.200019699157195</v>
      </c>
      <c r="AK936">
        <v>0.62018471758452098</v>
      </c>
      <c r="AL936">
        <v>86.5080345053358</v>
      </c>
      <c r="AM936">
        <v>88.305435707484193</v>
      </c>
      <c r="AN936">
        <v>0.99999996851413198</v>
      </c>
    </row>
    <row r="937" spans="1:40" x14ac:dyDescent="0.25">
      <c r="A937" t="str">
        <f>"20190312150650921"</f>
        <v>20190312150650921</v>
      </c>
      <c r="B937" t="str">
        <f>"1552374410911884"</f>
        <v>1552374410911884</v>
      </c>
      <c r="C937" t="s">
        <v>40</v>
      </c>
      <c r="D937">
        <v>4.1040839999999896</v>
      </c>
      <c r="E937">
        <v>0.54922749999999998</v>
      </c>
      <c r="F937" t="s">
        <v>41</v>
      </c>
      <c r="G937">
        <v>-336.41860000000003</v>
      </c>
      <c r="H937">
        <v>0.94244130000000004</v>
      </c>
      <c r="I937">
        <v>367.23939999999999</v>
      </c>
      <c r="J937">
        <v>-337.13099999999997</v>
      </c>
      <c r="K937">
        <v>1.110609</v>
      </c>
      <c r="L937">
        <v>367.37630000000001</v>
      </c>
      <c r="M937">
        <v>0.99989689999999998</v>
      </c>
      <c r="N937">
        <v>0</v>
      </c>
      <c r="O937">
        <v>-3.711308E-3</v>
      </c>
      <c r="P937">
        <v>0.99832730000000003</v>
      </c>
      <c r="Q937">
        <v>4.715391E-2</v>
      </c>
      <c r="R937">
        <v>-3.3454579999999998E-2</v>
      </c>
      <c r="S937">
        <v>3.0170590000000002</v>
      </c>
      <c r="T937">
        <v>-0.60495940000000004</v>
      </c>
      <c r="U937">
        <v>-0.49407960000000001</v>
      </c>
      <c r="V937">
        <v>2.9751360000000001E-2</v>
      </c>
      <c r="W937">
        <v>6.1005660000000003E-2</v>
      </c>
      <c r="X937">
        <v>0.99769390000000002</v>
      </c>
      <c r="Y937">
        <v>0.15501210000000001</v>
      </c>
      <c r="Z937">
        <v>-1.455683E-2</v>
      </c>
      <c r="AA937">
        <v>0.9878053</v>
      </c>
      <c r="AB937">
        <v>25</v>
      </c>
      <c r="AC937">
        <v>0.71239999999994497</v>
      </c>
      <c r="AD937">
        <v>-0.168167699999999</v>
      </c>
      <c r="AE937">
        <v>-0.136900000000025</v>
      </c>
      <c r="AF937">
        <v>0.127408098007915</v>
      </c>
      <c r="AG937">
        <v>-0.168167699999999</v>
      </c>
      <c r="AH937">
        <v>0.67654637388858496</v>
      </c>
      <c r="AI937">
        <v>103.72705512804301</v>
      </c>
      <c r="AJ937">
        <v>79.334892195409793</v>
      </c>
      <c r="AK937">
        <v>0.70868060138759104</v>
      </c>
      <c r="AL937">
        <v>86.502461320241906</v>
      </c>
      <c r="AM937">
        <v>88.291938681909699</v>
      </c>
      <c r="AN937">
        <v>0.99999997603554702</v>
      </c>
    </row>
    <row r="938" spans="1:40" x14ac:dyDescent="0.25">
      <c r="A938" t="str">
        <f>"20190312150650933"</f>
        <v>20190312150650933</v>
      </c>
      <c r="B938" t="str">
        <f>"1552374410921644"</f>
        <v>1552374410921644</v>
      </c>
      <c r="C938" t="s">
        <v>40</v>
      </c>
      <c r="D938">
        <v>4.1161279999999998</v>
      </c>
      <c r="E938">
        <v>0.54926350000000002</v>
      </c>
      <c r="F938" t="s">
        <v>41</v>
      </c>
      <c r="G938">
        <v>-336.40839999999997</v>
      </c>
      <c r="H938">
        <v>0.96494400000000002</v>
      </c>
      <c r="I938">
        <v>367.25740000000002</v>
      </c>
      <c r="J938">
        <v>-337.00650000000002</v>
      </c>
      <c r="K938">
        <v>1.1106100000000001</v>
      </c>
      <c r="L938">
        <v>367.37580000000003</v>
      </c>
      <c r="M938">
        <v>0.99989689999999998</v>
      </c>
      <c r="N938">
        <v>0</v>
      </c>
      <c r="O938">
        <v>-3.7112999999999998E-3</v>
      </c>
      <c r="P938">
        <v>0.99830649999999999</v>
      </c>
      <c r="Q938">
        <v>4.7438639999999997E-2</v>
      </c>
      <c r="R938">
        <v>-3.3679319999999999E-2</v>
      </c>
      <c r="S938">
        <v>3.0171199999999998</v>
      </c>
      <c r="T938">
        <v>-0.60816059999999905</v>
      </c>
      <c r="U938">
        <v>-0.49612430000000002</v>
      </c>
      <c r="V938">
        <v>2.9975990000000001E-2</v>
      </c>
      <c r="W938">
        <v>6.1288849999999999E-2</v>
      </c>
      <c r="X938">
        <v>0.99766980000000005</v>
      </c>
      <c r="Y938">
        <v>0.1556186</v>
      </c>
      <c r="Z938">
        <v>-1.469144E-2</v>
      </c>
      <c r="AA938">
        <v>0.98770800000000003</v>
      </c>
      <c r="AB938">
        <v>25</v>
      </c>
      <c r="AC938">
        <v>0.59810000000004404</v>
      </c>
      <c r="AD938">
        <v>-0.14566599999999999</v>
      </c>
      <c r="AE938">
        <v>-0.118400000000008</v>
      </c>
      <c r="AF938">
        <v>0.109905946732742</v>
      </c>
      <c r="AG938">
        <v>-0.14566599999999999</v>
      </c>
      <c r="AH938">
        <v>0.566216407699627</v>
      </c>
      <c r="AI938">
        <v>104.17358464637</v>
      </c>
      <c r="AJ938">
        <v>79.015150709560999</v>
      </c>
      <c r="AK938">
        <v>0.59489404185240502</v>
      </c>
      <c r="AL938">
        <v>86.486205240199297</v>
      </c>
      <c r="AM938">
        <v>88.279008583042398</v>
      </c>
      <c r="AN938">
        <v>0.99999995647142004</v>
      </c>
    </row>
    <row r="939" spans="1:40" x14ac:dyDescent="0.25">
      <c r="A939" t="str">
        <f>"20190312150650943"</f>
        <v>20190312150650943</v>
      </c>
      <c r="B939" t="str">
        <f>"1552374410931404"</f>
        <v>1552374410931404</v>
      </c>
      <c r="C939" t="s">
        <v>40</v>
      </c>
      <c r="D939">
        <v>4.1295109999999999</v>
      </c>
      <c r="E939">
        <v>0.54931439999999998</v>
      </c>
      <c r="F939" t="s">
        <v>41</v>
      </c>
      <c r="G939">
        <v>-336.19290000000001</v>
      </c>
      <c r="H939">
        <v>0.94545760000000001</v>
      </c>
      <c r="I939">
        <v>367.24169999999998</v>
      </c>
      <c r="J939">
        <v>-336.88869999999997</v>
      </c>
      <c r="K939">
        <v>1.110611</v>
      </c>
      <c r="L939">
        <v>367.37540000000001</v>
      </c>
      <c r="M939">
        <v>0.99989689999999998</v>
      </c>
      <c r="N939">
        <v>0</v>
      </c>
      <c r="O939">
        <v>-3.7112920000000001E-3</v>
      </c>
      <c r="P939">
        <v>0.99830490000000005</v>
      </c>
      <c r="Q939">
        <v>4.7561529999999998E-2</v>
      </c>
      <c r="R939">
        <v>-3.3546199999999998E-2</v>
      </c>
      <c r="S939">
        <v>3.0174560000000001</v>
      </c>
      <c r="T939">
        <v>-0.61268219999999995</v>
      </c>
      <c r="U939">
        <v>-0.49655149999999998</v>
      </c>
      <c r="V939">
        <v>2.984299E-2</v>
      </c>
      <c r="W939">
        <v>6.1410699999999999E-2</v>
      </c>
      <c r="X939">
        <v>0.99766639999999995</v>
      </c>
      <c r="Y939">
        <v>0.15569240000000001</v>
      </c>
      <c r="Z939">
        <v>-1.480415E-2</v>
      </c>
      <c r="AA939">
        <v>0.98769459999999998</v>
      </c>
      <c r="AB939">
        <v>25</v>
      </c>
      <c r="AC939">
        <v>0.695799999999962</v>
      </c>
      <c r="AD939">
        <v>-0.16515340000000001</v>
      </c>
      <c r="AE939">
        <v>-0.13370000000003299</v>
      </c>
      <c r="AF939">
        <v>0.124359736652776</v>
      </c>
      <c r="AG939">
        <v>-0.16515340000000001</v>
      </c>
      <c r="AH939">
        <v>0.66040973451930296</v>
      </c>
      <c r="AI939">
        <v>103.807259206239</v>
      </c>
      <c r="AJ939">
        <v>79.335687190405807</v>
      </c>
      <c r="AK939">
        <v>0.69201301077347099</v>
      </c>
      <c r="AL939">
        <v>86.479210945188697</v>
      </c>
      <c r="AM939">
        <v>88.286634025825606</v>
      </c>
      <c r="AN939">
        <v>1.00000006190779</v>
      </c>
    </row>
    <row r="940" spans="1:40" x14ac:dyDescent="0.25">
      <c r="A940" t="str">
        <f>"20190312150650954"</f>
        <v>20190312150650954</v>
      </c>
      <c r="B940" t="str">
        <f>"1552374410951900"</f>
        <v>1552374410951900</v>
      </c>
      <c r="C940" t="s">
        <v>40</v>
      </c>
      <c r="D940">
        <v>4.1787460000000003</v>
      </c>
      <c r="E940">
        <v>0.54918059999999902</v>
      </c>
      <c r="F940" t="s">
        <v>41</v>
      </c>
      <c r="G940">
        <v>-336.18299999999999</v>
      </c>
      <c r="H940">
        <v>0.96730450000000001</v>
      </c>
      <c r="I940">
        <v>367.25889999999998</v>
      </c>
      <c r="J940">
        <v>-336.76240000000001</v>
      </c>
      <c r="K940">
        <v>1.110608</v>
      </c>
      <c r="L940">
        <v>367.37490000000003</v>
      </c>
      <c r="M940">
        <v>0.99989689999999998</v>
      </c>
      <c r="N940">
        <v>0</v>
      </c>
      <c r="O940">
        <v>-3.7110450000000001E-3</v>
      </c>
      <c r="P940">
        <v>0.99829100000000004</v>
      </c>
      <c r="Q940">
        <v>4.7794820000000002E-2</v>
      </c>
      <c r="R940">
        <v>-3.3622529999999998E-2</v>
      </c>
      <c r="S940">
        <v>3.0175779999999999</v>
      </c>
      <c r="T940">
        <v>-0.61288500000000001</v>
      </c>
      <c r="U940">
        <v>-0.4969788</v>
      </c>
      <c r="V940">
        <v>2.9919870000000001E-2</v>
      </c>
      <c r="W940">
        <v>6.1642469999999998E-2</v>
      </c>
      <c r="X940">
        <v>0.99764969999999997</v>
      </c>
      <c r="Y940">
        <v>0.15581829999999999</v>
      </c>
      <c r="Z940">
        <v>-1.482083E-2</v>
      </c>
      <c r="AA940">
        <v>0.98767450000000001</v>
      </c>
      <c r="AB940">
        <v>25</v>
      </c>
      <c r="AC940">
        <v>0.57939999999996405</v>
      </c>
      <c r="AD940">
        <v>-0.1433035</v>
      </c>
      <c r="AE940">
        <v>-0.116000000000042</v>
      </c>
      <c r="AF940">
        <v>0.107524739009477</v>
      </c>
      <c r="AG940">
        <v>-0.1433035</v>
      </c>
      <c r="AH940">
        <v>0.54761831909338599</v>
      </c>
      <c r="AI940">
        <v>104.401374065581</v>
      </c>
      <c r="AJ940">
        <v>78.891305976141595</v>
      </c>
      <c r="AK940">
        <v>0.57617990768333105</v>
      </c>
      <c r="AL940">
        <v>86.465905930221396</v>
      </c>
      <c r="AM940">
        <v>88.282194042996593</v>
      </c>
      <c r="AN940">
        <v>0.999999958319303</v>
      </c>
    </row>
    <row r="941" spans="1:40" x14ac:dyDescent="0.25">
      <c r="A941" t="str">
        <f>"20190312150650966"</f>
        <v>20190312150650966</v>
      </c>
      <c r="B941" t="str">
        <f>"1552374410961660"</f>
        <v>1552374410961660</v>
      </c>
      <c r="C941" t="s">
        <v>40</v>
      </c>
      <c r="D941">
        <v>4.1141920000000001</v>
      </c>
      <c r="E941">
        <v>0.54908749999999995</v>
      </c>
      <c r="F941" t="s">
        <v>41</v>
      </c>
      <c r="G941">
        <v>-335.96789999999999</v>
      </c>
      <c r="H941">
        <v>0.94792080000000001</v>
      </c>
      <c r="I941">
        <v>367.24430000000001</v>
      </c>
      <c r="J941">
        <v>-336.63490000000002</v>
      </c>
      <c r="K941">
        <v>1.110609</v>
      </c>
      <c r="L941">
        <v>367.37450000000001</v>
      </c>
      <c r="M941">
        <v>0.99989700000000004</v>
      </c>
      <c r="N941">
        <v>0</v>
      </c>
      <c r="O941">
        <v>-3.711275E-3</v>
      </c>
      <c r="P941">
        <v>0.9982972</v>
      </c>
      <c r="Q941">
        <v>4.7814780000000001E-2</v>
      </c>
      <c r="R941">
        <v>-3.3416620000000001E-2</v>
      </c>
      <c r="S941">
        <v>3.0180359999999999</v>
      </c>
      <c r="T941">
        <v>-0.61793669999999901</v>
      </c>
      <c r="U941">
        <v>-0.49627690000000002</v>
      </c>
      <c r="V941">
        <v>2.9713429999999999E-2</v>
      </c>
      <c r="W941">
        <v>6.1661029999999999E-2</v>
      </c>
      <c r="X941">
        <v>0.99765470000000001</v>
      </c>
      <c r="Y941">
        <v>0.15552750000000001</v>
      </c>
      <c r="Z941">
        <v>-1.490932E-2</v>
      </c>
      <c r="AA941">
        <v>0.98771909999999896</v>
      </c>
      <c r="AB941">
        <v>25</v>
      </c>
      <c r="AC941">
        <v>0.66700000000003001</v>
      </c>
      <c r="AD941">
        <v>-0.16268819999999901</v>
      </c>
      <c r="AE941">
        <v>-0.13020000000000201</v>
      </c>
      <c r="AF941">
        <v>0.12080053846213699</v>
      </c>
      <c r="AG941">
        <v>-0.16268819999999901</v>
      </c>
      <c r="AH941">
        <v>0.63129977174847296</v>
      </c>
      <c r="AI941">
        <v>104.20389883817801</v>
      </c>
      <c r="AJ941">
        <v>79.1672809536649</v>
      </c>
      <c r="AK941">
        <v>0.66302309335471599</v>
      </c>
      <c r="AL941">
        <v>86.4648404129358</v>
      </c>
      <c r="AM941">
        <v>88.294048013003902</v>
      </c>
      <c r="AN941">
        <v>0.99999993548755495</v>
      </c>
    </row>
    <row r="942" spans="1:40" x14ac:dyDescent="0.25">
      <c r="A942" t="str">
        <f>"20190312150650977"</f>
        <v>20190312150650977</v>
      </c>
      <c r="B942" t="str">
        <f>"1552374410971419"</f>
        <v>1552374410971419</v>
      </c>
      <c r="C942" t="s">
        <v>40</v>
      </c>
      <c r="D942">
        <v>4.1742400000000002</v>
      </c>
      <c r="E942">
        <v>0.54896440000000002</v>
      </c>
      <c r="F942" t="s">
        <v>41</v>
      </c>
      <c r="G942">
        <v>-335.75220000000002</v>
      </c>
      <c r="H942">
        <v>0.92974520000000005</v>
      </c>
      <c r="I942">
        <v>367.22949999999997</v>
      </c>
      <c r="J942">
        <v>-336.5043</v>
      </c>
      <c r="K942">
        <v>1.110608</v>
      </c>
      <c r="L942">
        <v>367.37400000000002</v>
      </c>
      <c r="M942">
        <v>0.99989689999999998</v>
      </c>
      <c r="N942">
        <v>0</v>
      </c>
      <c r="O942">
        <v>-3.7110279999999999E-3</v>
      </c>
      <c r="P942">
        <v>0.99829570000000001</v>
      </c>
      <c r="Q942">
        <v>4.7922909999999999E-2</v>
      </c>
      <c r="R942">
        <v>-3.330578E-2</v>
      </c>
      <c r="S942">
        <v>3.0181879999999999</v>
      </c>
      <c r="T942">
        <v>-0.61846409999999996</v>
      </c>
      <c r="U942">
        <v>-0.494751</v>
      </c>
      <c r="V942">
        <v>2.9602699999999999E-2</v>
      </c>
      <c r="W942">
        <v>6.1768110000000001E-2</v>
      </c>
      <c r="X942">
        <v>0.99765150000000002</v>
      </c>
      <c r="Y942">
        <v>0.15503810000000001</v>
      </c>
      <c r="Z942">
        <v>-1.4872399999999999E-2</v>
      </c>
      <c r="AA942">
        <v>0.98779649999999997</v>
      </c>
      <c r="AB942">
        <v>25</v>
      </c>
      <c r="AC942">
        <v>0.752099999999984</v>
      </c>
      <c r="AD942">
        <v>-0.18086279999999999</v>
      </c>
      <c r="AE942">
        <v>-0.14450000000005001</v>
      </c>
      <c r="AF942">
        <v>0.13422203711037201</v>
      </c>
      <c r="AG942">
        <v>-0.18086279999999999</v>
      </c>
      <c r="AH942">
        <v>0.71287376332610897</v>
      </c>
      <c r="AI942">
        <v>104.000027532595</v>
      </c>
      <c r="AJ942">
        <v>79.337009874028894</v>
      </c>
      <c r="AK942">
        <v>0.74760678843134298</v>
      </c>
      <c r="AL942">
        <v>86.458693930974107</v>
      </c>
      <c r="AM942">
        <v>88.300396225760693</v>
      </c>
      <c r="AN942">
        <v>1.0000000673562499</v>
      </c>
    </row>
    <row r="943" spans="1:40" x14ac:dyDescent="0.25">
      <c r="A943" t="str">
        <f>"20190312150650991"</f>
        <v>20190312150650991</v>
      </c>
      <c r="B943" t="str">
        <f>"1552374410981180"</f>
        <v>1552374410981180</v>
      </c>
      <c r="C943" t="s">
        <v>40</v>
      </c>
      <c r="D943">
        <v>4.163322</v>
      </c>
      <c r="E943">
        <v>0.54872390000000004</v>
      </c>
      <c r="F943" t="s">
        <v>41</v>
      </c>
      <c r="G943">
        <v>-335.74119999999999</v>
      </c>
      <c r="H943">
        <v>0.95425139999999997</v>
      </c>
      <c r="I943">
        <v>367.2491</v>
      </c>
      <c r="J943">
        <v>-336.35059999999999</v>
      </c>
      <c r="K943">
        <v>1.1106069999999999</v>
      </c>
      <c r="L943">
        <v>367.3734</v>
      </c>
      <c r="M943">
        <v>0.99989700000000004</v>
      </c>
      <c r="N943">
        <v>0</v>
      </c>
      <c r="O943">
        <v>-3.711256E-3</v>
      </c>
      <c r="P943">
        <v>0.99829319999999999</v>
      </c>
      <c r="Q943">
        <v>4.7912780000000002E-2</v>
      </c>
      <c r="R943">
        <v>-3.3395620000000001E-2</v>
      </c>
      <c r="S943">
        <v>3.018402</v>
      </c>
      <c r="T943">
        <v>-0.61861619999999995</v>
      </c>
      <c r="U943">
        <v>-0.49316409999999999</v>
      </c>
      <c r="V943">
        <v>2.9692469999999999E-2</v>
      </c>
      <c r="W943">
        <v>6.1756690000000003E-2</v>
      </c>
      <c r="X943">
        <v>0.99764949999999997</v>
      </c>
      <c r="Y943">
        <v>0.1545299</v>
      </c>
      <c r="Z943">
        <v>-1.482431E-2</v>
      </c>
      <c r="AA943">
        <v>0.98787689999999995</v>
      </c>
      <c r="AB943">
        <v>25</v>
      </c>
      <c r="AC943">
        <v>0.60939999999999295</v>
      </c>
      <c r="AD943">
        <v>-0.15635559999999901</v>
      </c>
      <c r="AE943">
        <v>-0.124300000000005</v>
      </c>
      <c r="AF943">
        <v>0.114782967188613</v>
      </c>
      <c r="AG943">
        <v>-0.15635559999999901</v>
      </c>
      <c r="AH943">
        <v>0.57360513024595405</v>
      </c>
      <c r="AI943">
        <v>104.964492389298</v>
      </c>
      <c r="AJ943">
        <v>78.684118492185803</v>
      </c>
      <c r="AK943">
        <v>0.60551222006864602</v>
      </c>
      <c r="AL943">
        <v>86.459349361449497</v>
      </c>
      <c r="AM943">
        <v>88.295241809266997</v>
      </c>
      <c r="AN943">
        <v>1.00000002819235</v>
      </c>
    </row>
    <row r="944" spans="1:40" x14ac:dyDescent="0.25">
      <c r="A944" t="str">
        <f>"20190312150651003"</f>
        <v>20190312150651003</v>
      </c>
      <c r="B944" t="str">
        <f>"1552374410991916"</f>
        <v>1552374410991916</v>
      </c>
      <c r="C944" t="s">
        <v>40</v>
      </c>
      <c r="D944">
        <v>4.2341689999999996</v>
      </c>
      <c r="E944">
        <v>0.54850480000000001</v>
      </c>
      <c r="F944" t="s">
        <v>41</v>
      </c>
      <c r="G944">
        <v>-335.52359999999999</v>
      </c>
      <c r="H944">
        <v>0.9412836</v>
      </c>
      <c r="I944">
        <v>367.23860000000002</v>
      </c>
      <c r="J944">
        <v>-336.20699999999999</v>
      </c>
      <c r="K944">
        <v>1.1106069999999999</v>
      </c>
      <c r="L944">
        <v>367.37290000000002</v>
      </c>
      <c r="M944">
        <v>0.99989700000000004</v>
      </c>
      <c r="N944">
        <v>0</v>
      </c>
      <c r="O944">
        <v>-3.7112479999999999E-3</v>
      </c>
      <c r="P944">
        <v>0.99830110000000005</v>
      </c>
      <c r="Q944">
        <v>4.7778029999999999E-2</v>
      </c>
      <c r="R944">
        <v>-3.3354080000000001E-2</v>
      </c>
      <c r="S944">
        <v>3.0183409999999999</v>
      </c>
      <c r="T944">
        <v>-0.61798900000000001</v>
      </c>
      <c r="U944">
        <v>-0.49179079999999997</v>
      </c>
      <c r="V944">
        <v>2.9650940000000001E-2</v>
      </c>
      <c r="W944">
        <v>6.1620580000000001E-2</v>
      </c>
      <c r="X944">
        <v>0.99765910000000002</v>
      </c>
      <c r="Y944">
        <v>0.15410940000000001</v>
      </c>
      <c r="Z944">
        <v>-1.476806E-2</v>
      </c>
      <c r="AA944">
        <v>0.98794340000000003</v>
      </c>
      <c r="AB944">
        <v>25</v>
      </c>
      <c r="AC944">
        <v>0.683400000000006</v>
      </c>
      <c r="AD944">
        <v>-0.16932339999999901</v>
      </c>
      <c r="AE944">
        <v>-0.13429999999999601</v>
      </c>
      <c r="AF944">
        <v>0.124409293889217</v>
      </c>
      <c r="AG944">
        <v>-0.16932339999999901</v>
      </c>
      <c r="AH944">
        <v>0.64572771793013795</v>
      </c>
      <c r="AI944">
        <v>104.43919524917401</v>
      </c>
      <c r="AJ944">
        <v>79.094718184042605</v>
      </c>
      <c r="AK944">
        <v>0.67905255459120295</v>
      </c>
      <c r="AL944">
        <v>86.467162589673705</v>
      </c>
      <c r="AM944">
        <v>88.297641172768806</v>
      </c>
      <c r="AN944">
        <v>0.999999976967614</v>
      </c>
    </row>
    <row r="945" spans="1:40" x14ac:dyDescent="0.25">
      <c r="A945" t="str">
        <f>"20190312150651017"</f>
        <v>20190312150651017</v>
      </c>
      <c r="B945" t="str">
        <f>"1552374411011437"</f>
        <v>1552374411011437</v>
      </c>
      <c r="C945" t="s">
        <v>40</v>
      </c>
      <c r="D945">
        <v>4.2264679999999997</v>
      </c>
      <c r="E945">
        <v>0.54811849999999995</v>
      </c>
      <c r="F945" t="s">
        <v>41</v>
      </c>
      <c r="G945">
        <v>-335.51179999999999</v>
      </c>
      <c r="H945">
        <v>0.96710300000000005</v>
      </c>
      <c r="I945">
        <v>367.26010000000002</v>
      </c>
      <c r="J945">
        <v>-336.06529999999998</v>
      </c>
      <c r="K945">
        <v>1.110606</v>
      </c>
      <c r="L945">
        <v>367.37240000000003</v>
      </c>
      <c r="M945">
        <v>0.99989689999999998</v>
      </c>
      <c r="N945">
        <v>0</v>
      </c>
      <c r="O945">
        <v>-3.711238E-3</v>
      </c>
      <c r="P945">
        <v>0.99832430000000005</v>
      </c>
      <c r="Q945">
        <v>4.738879E-2</v>
      </c>
      <c r="R945">
        <v>-3.3211530000000003E-2</v>
      </c>
      <c r="S945">
        <v>3.0185240000000002</v>
      </c>
      <c r="T945">
        <v>-0.62306729999999999</v>
      </c>
      <c r="U945">
        <v>-0.48956300000000003</v>
      </c>
      <c r="V945">
        <v>2.950821E-2</v>
      </c>
      <c r="W945">
        <v>6.1230310000000003E-2</v>
      </c>
      <c r="X945">
        <v>0.9976874</v>
      </c>
      <c r="Y945">
        <v>0.1533553</v>
      </c>
      <c r="Z945">
        <v>-1.481041E-2</v>
      </c>
      <c r="AA945">
        <v>0.9880601</v>
      </c>
      <c r="AB945">
        <v>25</v>
      </c>
      <c r="AC945">
        <v>0.553499999999985</v>
      </c>
      <c r="AD945">
        <v>-0.14350299999999899</v>
      </c>
      <c r="AE945">
        <v>-0.11230000000000399</v>
      </c>
      <c r="AF945">
        <v>0.10355902944680299</v>
      </c>
      <c r="AG945">
        <v>-0.14350299999999899</v>
      </c>
      <c r="AH945">
        <v>0.52032079657324504</v>
      </c>
      <c r="AI945">
        <v>105.135832681075</v>
      </c>
      <c r="AJ945">
        <v>78.743561162023894</v>
      </c>
      <c r="AK945">
        <v>0.54959195312120501</v>
      </c>
      <c r="AL945">
        <v>86.489565858326699</v>
      </c>
      <c r="AM945">
        <v>88.305879016514098</v>
      </c>
      <c r="AN945">
        <v>1.0000000167194301</v>
      </c>
    </row>
    <row r="946" spans="1:40" x14ac:dyDescent="0.25">
      <c r="A946" t="str">
        <f>"20190312150651030"</f>
        <v>20190312150651030</v>
      </c>
      <c r="B946" t="str">
        <f>"1552374411021196"</f>
        <v>1552374411021196</v>
      </c>
      <c r="C946" t="s">
        <v>40</v>
      </c>
      <c r="D946">
        <v>4.2641410000000004</v>
      </c>
      <c r="E946">
        <v>0.54801690000000003</v>
      </c>
      <c r="F946" t="s">
        <v>41</v>
      </c>
      <c r="G946">
        <v>-335.29649999999998</v>
      </c>
      <c r="H946">
        <v>0.95024500000000001</v>
      </c>
      <c r="I946">
        <v>367.24829999999997</v>
      </c>
      <c r="J946">
        <v>-335.916</v>
      </c>
      <c r="K946">
        <v>1.110606</v>
      </c>
      <c r="L946">
        <v>367.37180000000001</v>
      </c>
      <c r="M946">
        <v>0.99989700000000004</v>
      </c>
      <c r="N946">
        <v>0</v>
      </c>
      <c r="O946">
        <v>-3.711228E-3</v>
      </c>
      <c r="P946">
        <v>0.99834579999999995</v>
      </c>
      <c r="Q946">
        <v>4.707488E-2</v>
      </c>
      <c r="R946">
        <v>-3.3012930000000003E-2</v>
      </c>
      <c r="S946">
        <v>3.0187379999999999</v>
      </c>
      <c r="T946">
        <v>-0.62972689999999998</v>
      </c>
      <c r="U946">
        <v>-0.4862976</v>
      </c>
      <c r="V946">
        <v>2.930961E-2</v>
      </c>
      <c r="W946">
        <v>6.0915230000000001E-2</v>
      </c>
      <c r="X946">
        <v>0.99771259999999995</v>
      </c>
      <c r="Y946">
        <v>0.15225999999999901</v>
      </c>
      <c r="Z946">
        <v>-1.485335E-2</v>
      </c>
      <c r="AA946">
        <v>0.98822889999999997</v>
      </c>
      <c r="AB946">
        <v>25</v>
      </c>
      <c r="AC946">
        <v>0.61950000000001604</v>
      </c>
      <c r="AD946">
        <v>-0.160360999999999</v>
      </c>
      <c r="AE946">
        <v>-0.123500000000035</v>
      </c>
      <c r="AF946">
        <v>0.113861986624192</v>
      </c>
      <c r="AG946">
        <v>-0.160360999999999</v>
      </c>
      <c r="AH946">
        <v>0.58242005211492798</v>
      </c>
      <c r="AI946">
        <v>105.12133499110099</v>
      </c>
      <c r="AJ946">
        <v>78.938302542148804</v>
      </c>
      <c r="AK946">
        <v>0.61473028185096201</v>
      </c>
      <c r="AL946">
        <v>86.507652579098504</v>
      </c>
      <c r="AM946">
        <v>88.317316910237906</v>
      </c>
      <c r="AN946">
        <v>1.0000000753415199</v>
      </c>
    </row>
    <row r="947" spans="1:40" x14ac:dyDescent="0.25">
      <c r="A947" t="str">
        <f>"20190312150651043"</f>
        <v>20190312150651043</v>
      </c>
      <c r="B947" t="str">
        <f>"1552374411041692"</f>
        <v>1552374411041692</v>
      </c>
      <c r="C947" t="s">
        <v>40</v>
      </c>
      <c r="D947">
        <v>4.2249480000000004</v>
      </c>
      <c r="E947">
        <v>0.54825009999999996</v>
      </c>
      <c r="F947" t="s">
        <v>41</v>
      </c>
      <c r="G947">
        <v>-335.08109999999999</v>
      </c>
      <c r="H947">
        <v>0.93383910000000003</v>
      </c>
      <c r="I947">
        <v>367.23759999999999</v>
      </c>
      <c r="J947">
        <v>-335.76299999999998</v>
      </c>
      <c r="K947">
        <v>1.110608</v>
      </c>
      <c r="L947">
        <v>367.37130000000002</v>
      </c>
      <c r="M947">
        <v>0.99989709999999998</v>
      </c>
      <c r="N947">
        <v>0</v>
      </c>
      <c r="O947">
        <v>-3.7112180000000001E-3</v>
      </c>
      <c r="P947">
        <v>0.99835260000000003</v>
      </c>
      <c r="Q947">
        <v>4.6909510000000001E-2</v>
      </c>
      <c r="R947">
        <v>-3.3046350000000002E-2</v>
      </c>
      <c r="S947">
        <v>3.0190429999999999</v>
      </c>
      <c r="T947">
        <v>-0.63919169999999903</v>
      </c>
      <c r="U947">
        <v>-0.4855042</v>
      </c>
      <c r="V947">
        <v>2.9342779999999999E-2</v>
      </c>
      <c r="W947">
        <v>6.0748650000000001E-2</v>
      </c>
      <c r="X947">
        <v>0.99772169999999905</v>
      </c>
      <c r="Y947">
        <v>0.15190580000000001</v>
      </c>
      <c r="Z947">
        <v>-1.503385E-2</v>
      </c>
      <c r="AA947">
        <v>0.98828070000000001</v>
      </c>
      <c r="AB947">
        <v>25</v>
      </c>
      <c r="AC947">
        <v>0.68190000000004103</v>
      </c>
      <c r="AD947">
        <v>-0.17676890000000001</v>
      </c>
      <c r="AE947">
        <v>-0.13370000000003299</v>
      </c>
      <c r="AF947">
        <v>0.123195856719143</v>
      </c>
      <c r="AG947">
        <v>-0.17676890000000001</v>
      </c>
      <c r="AH947">
        <v>0.64091630688707601</v>
      </c>
      <c r="AI947">
        <v>105.15486561281</v>
      </c>
      <c r="AJ947">
        <v>79.119410981733097</v>
      </c>
      <c r="AK947">
        <v>0.67616431106184705</v>
      </c>
      <c r="AL947">
        <v>86.517214334140505</v>
      </c>
      <c r="AM947">
        <v>88.315429052273501</v>
      </c>
      <c r="AN947">
        <v>0.99999999393292005</v>
      </c>
    </row>
    <row r="948" spans="1:40" x14ac:dyDescent="0.25">
      <c r="A948" t="str">
        <f>"20190312150651056"</f>
        <v>20190312150651056</v>
      </c>
      <c r="B948" t="str">
        <f>"1552374411051452"</f>
        <v>1552374411051452</v>
      </c>
      <c r="C948" t="s">
        <v>40</v>
      </c>
      <c r="D948">
        <v>4.2039619999999998</v>
      </c>
      <c r="E948">
        <v>0.54825570000000001</v>
      </c>
      <c r="F948" t="s">
        <v>41</v>
      </c>
      <c r="G948">
        <v>-335.06880000000001</v>
      </c>
      <c r="H948">
        <v>0.96082480000000003</v>
      </c>
      <c r="I948">
        <v>367.25920000000002</v>
      </c>
      <c r="J948">
        <v>-335.62970000000001</v>
      </c>
      <c r="K948">
        <v>1.1106020000000001</v>
      </c>
      <c r="L948">
        <v>367.37079999999997</v>
      </c>
      <c r="M948">
        <v>0.99989709999999998</v>
      </c>
      <c r="N948">
        <v>0</v>
      </c>
      <c r="O948">
        <v>-3.710971E-3</v>
      </c>
      <c r="P948">
        <v>0.99836440000000004</v>
      </c>
      <c r="Q948">
        <v>4.6719219999999999E-2</v>
      </c>
      <c r="R948">
        <v>-3.2955680000000001E-2</v>
      </c>
      <c r="S948">
        <v>3.019409</v>
      </c>
      <c r="T948">
        <v>-0.65145600000000004</v>
      </c>
      <c r="U948">
        <v>-0.48782350000000002</v>
      </c>
      <c r="V948">
        <v>2.925237E-2</v>
      </c>
      <c r="W948">
        <v>6.0557310000000003E-2</v>
      </c>
      <c r="X948">
        <v>0.99773599999999996</v>
      </c>
      <c r="Y948">
        <v>0.15249260000000001</v>
      </c>
      <c r="Z948">
        <v>-1.537555E-2</v>
      </c>
      <c r="AA948">
        <v>0.98818499999999998</v>
      </c>
      <c r="AB948">
        <v>25</v>
      </c>
      <c r="AC948">
        <v>0.56090000000000295</v>
      </c>
      <c r="AD948">
        <v>-0.1497772</v>
      </c>
      <c r="AE948">
        <v>-0.111599999999953</v>
      </c>
      <c r="AF948">
        <v>0.10248792228376299</v>
      </c>
      <c r="AG948">
        <v>-0.1497772</v>
      </c>
      <c r="AH948">
        <v>0.52528137889347204</v>
      </c>
      <c r="AI948">
        <v>105.634806105393</v>
      </c>
      <c r="AJ948">
        <v>78.959690833577397</v>
      </c>
      <c r="AK948">
        <v>0.55574950370298104</v>
      </c>
      <c r="AL948">
        <v>86.528197576228607</v>
      </c>
      <c r="AM948">
        <v>88.320640575377396</v>
      </c>
      <c r="AN948">
        <v>1.00000000732052</v>
      </c>
    </row>
    <row r="949" spans="1:40" x14ac:dyDescent="0.25">
      <c r="A949" t="str">
        <f>"20190312150651067"</f>
        <v>20190312150651067</v>
      </c>
      <c r="B949" t="str">
        <f>"1552374411061211"</f>
        <v>1552374411061211</v>
      </c>
      <c r="C949" t="s">
        <v>40</v>
      </c>
      <c r="D949">
        <v>4.2233710000000002</v>
      </c>
      <c r="E949">
        <v>0.54823569999999999</v>
      </c>
      <c r="F949" t="s">
        <v>41</v>
      </c>
      <c r="G949">
        <v>-334.85480000000001</v>
      </c>
      <c r="H949">
        <v>0.94195130000000005</v>
      </c>
      <c r="I949">
        <v>367.24540000000002</v>
      </c>
      <c r="J949">
        <v>-335.50920000000002</v>
      </c>
      <c r="K949">
        <v>1.1106020000000001</v>
      </c>
      <c r="L949">
        <v>367.37029999999999</v>
      </c>
      <c r="M949">
        <v>0.99989709999999998</v>
      </c>
      <c r="N949">
        <v>0</v>
      </c>
      <c r="O949">
        <v>-3.7112009999999999E-3</v>
      </c>
      <c r="P949">
        <v>0.99838020000000005</v>
      </c>
      <c r="Q949">
        <v>4.6360510000000001E-2</v>
      </c>
      <c r="R949">
        <v>-3.2987339999999997E-2</v>
      </c>
      <c r="S949">
        <v>3.0195919999999998</v>
      </c>
      <c r="T949">
        <v>-0.65732400000000002</v>
      </c>
      <c r="U949">
        <v>-0.48760989999999999</v>
      </c>
      <c r="V949">
        <v>2.928381E-2</v>
      </c>
      <c r="W949">
        <v>6.0197479999999998E-2</v>
      </c>
      <c r="X949">
        <v>0.9977568</v>
      </c>
      <c r="Y949">
        <v>0.15235850000000001</v>
      </c>
      <c r="Z949">
        <v>-1.5495729999999999E-2</v>
      </c>
      <c r="AA949">
        <v>0.98820379999999997</v>
      </c>
      <c r="AB949">
        <v>25</v>
      </c>
      <c r="AC949">
        <v>0.65440000000000897</v>
      </c>
      <c r="AD949">
        <v>-0.16865069999999999</v>
      </c>
      <c r="AE949">
        <v>-0.12489999999996799</v>
      </c>
      <c r="AF949">
        <v>0.115094562028213</v>
      </c>
      <c r="AG949">
        <v>-0.16865069999999999</v>
      </c>
      <c r="AH949">
        <v>0.61542038773941199</v>
      </c>
      <c r="AI949">
        <v>105.07599152408901</v>
      </c>
      <c r="AJ949">
        <v>79.407037214197899</v>
      </c>
      <c r="AK949">
        <v>0.64840733375269899</v>
      </c>
      <c r="AL949">
        <v>86.548851817368501</v>
      </c>
      <c r="AM949">
        <v>88.3188716874878</v>
      </c>
      <c r="AN949">
        <v>0.99999995503635197</v>
      </c>
    </row>
    <row r="950" spans="1:40" x14ac:dyDescent="0.25">
      <c r="A950" t="str">
        <f>"20190312150651077"</f>
        <v>20190312150651077</v>
      </c>
      <c r="B950" t="str">
        <f>"1552374411070972"</f>
        <v>1552374411070972</v>
      </c>
      <c r="C950" t="s">
        <v>40</v>
      </c>
      <c r="D950">
        <v>4.2315649999999998</v>
      </c>
      <c r="E950">
        <v>0.54814969999999996</v>
      </c>
      <c r="F950" t="s">
        <v>41</v>
      </c>
      <c r="G950">
        <v>-334.642</v>
      </c>
      <c r="H950">
        <v>0.9201279</v>
      </c>
      <c r="I950">
        <v>367.23020000000002</v>
      </c>
      <c r="J950">
        <v>-335.38529999999997</v>
      </c>
      <c r="K950">
        <v>1.1105989999999999</v>
      </c>
      <c r="L950">
        <v>367.36989999999997</v>
      </c>
      <c r="M950">
        <v>0.99989709999999998</v>
      </c>
      <c r="N950">
        <v>0</v>
      </c>
      <c r="O950">
        <v>-3.7109550000000002E-3</v>
      </c>
      <c r="P950">
        <v>0.99837319999999996</v>
      </c>
      <c r="Q950">
        <v>4.6411910000000001E-2</v>
      </c>
      <c r="R950">
        <v>-3.3129989999999998E-2</v>
      </c>
      <c r="S950">
        <v>3.0195620000000001</v>
      </c>
      <c r="T950">
        <v>-0.66321719999999995</v>
      </c>
      <c r="U950">
        <v>-0.48770140000000001</v>
      </c>
      <c r="V950">
        <v>2.9426480000000001E-2</v>
      </c>
      <c r="W950">
        <v>6.024794E-2</v>
      </c>
      <c r="X950">
        <v>0.99774960000000001</v>
      </c>
      <c r="Y950">
        <v>0.15232970000000001</v>
      </c>
      <c r="Z950">
        <v>-1.562856E-2</v>
      </c>
      <c r="AA950">
        <v>0.98820609999999998</v>
      </c>
      <c r="AB950">
        <v>25</v>
      </c>
      <c r="AC950">
        <v>0.74329999999997598</v>
      </c>
      <c r="AD950">
        <v>-0.19047109999999901</v>
      </c>
      <c r="AE950">
        <v>-0.13969999999994701</v>
      </c>
      <c r="AF950">
        <v>0.12877311089412799</v>
      </c>
      <c r="AG950">
        <v>-0.19047109999999901</v>
      </c>
      <c r="AH950">
        <v>0.69945133091754796</v>
      </c>
      <c r="AI950">
        <v>104.992775970902</v>
      </c>
      <c r="AJ950">
        <v>79.568323126728302</v>
      </c>
      <c r="AK950">
        <v>0.73627027533840494</v>
      </c>
      <c r="AL950">
        <v>86.5459555642298</v>
      </c>
      <c r="AM950">
        <v>88.310673822748797</v>
      </c>
      <c r="AN950">
        <v>0.99999999814979601</v>
      </c>
    </row>
    <row r="951" spans="1:40" x14ac:dyDescent="0.25">
      <c r="A951" t="str">
        <f>"20190312150651089"</f>
        <v>20190312150651089</v>
      </c>
      <c r="B951" t="str">
        <f>"1552374411081708"</f>
        <v>1552374411081708</v>
      </c>
      <c r="C951" t="s">
        <v>40</v>
      </c>
      <c r="D951">
        <v>4.1265499999999999</v>
      </c>
      <c r="E951">
        <v>0.54805979999999999</v>
      </c>
      <c r="F951" t="s">
        <v>41</v>
      </c>
      <c r="G951">
        <v>-334.63170000000002</v>
      </c>
      <c r="H951">
        <v>0.94374440000000004</v>
      </c>
      <c r="I951">
        <v>367.2482</v>
      </c>
      <c r="J951">
        <v>-335.25779999999997</v>
      </c>
      <c r="K951">
        <v>1.110603</v>
      </c>
      <c r="L951">
        <v>367.36939999999998</v>
      </c>
      <c r="M951">
        <v>0.99989709999999998</v>
      </c>
      <c r="N951">
        <v>0</v>
      </c>
      <c r="O951">
        <v>-3.7111840000000002E-3</v>
      </c>
      <c r="P951">
        <v>0.99838680000000002</v>
      </c>
      <c r="Q951">
        <v>4.6218929999999998E-2</v>
      </c>
      <c r="R951">
        <v>-3.2983289999999998E-2</v>
      </c>
      <c r="S951">
        <v>3.019806</v>
      </c>
      <c r="T951">
        <v>-0.66868689999999997</v>
      </c>
      <c r="U951">
        <v>-0.48715209999999998</v>
      </c>
      <c r="V951">
        <v>2.927985E-2</v>
      </c>
      <c r="W951">
        <v>6.0053740000000001E-2</v>
      </c>
      <c r="X951">
        <v>0.99776560000000003</v>
      </c>
      <c r="Y951">
        <v>0.15209120000000001</v>
      </c>
      <c r="Z951">
        <v>-1.5727499999999998E-2</v>
      </c>
      <c r="AA951">
        <v>0.98824129999999999</v>
      </c>
      <c r="AB951">
        <v>25</v>
      </c>
      <c r="AC951">
        <v>0.62609999999995103</v>
      </c>
      <c r="AD951">
        <v>-0.1668586</v>
      </c>
      <c r="AE951">
        <v>-0.121199999999987</v>
      </c>
      <c r="AF951">
        <v>0.11125866952482601</v>
      </c>
      <c r="AG951">
        <v>-0.1668586</v>
      </c>
      <c r="AH951">
        <v>0.58640088164589699</v>
      </c>
      <c r="AI951">
        <v>105.618848927166</v>
      </c>
      <c r="AJ951">
        <v>79.256886204162498</v>
      </c>
      <c r="AK951">
        <v>0.61974694669153396</v>
      </c>
      <c r="AL951">
        <v>86.557102515411401</v>
      </c>
      <c r="AM951">
        <v>88.319113709742595</v>
      </c>
      <c r="AN951">
        <v>0.99999997692368403</v>
      </c>
    </row>
    <row r="952" spans="1:40" x14ac:dyDescent="0.25">
      <c r="A952" t="str">
        <f>"20190312150651100"</f>
        <v>20190312150651100</v>
      </c>
      <c r="B952" t="str">
        <f>"1552374411091467"</f>
        <v>1552374411091467</v>
      </c>
      <c r="C952" t="s">
        <v>40</v>
      </c>
      <c r="D952">
        <v>4.7068009999999996</v>
      </c>
      <c r="E952">
        <v>0.54781899999999994</v>
      </c>
      <c r="F952" t="s">
        <v>41</v>
      </c>
      <c r="G952">
        <v>-334.41860000000003</v>
      </c>
      <c r="H952">
        <v>0.92351780000000006</v>
      </c>
      <c r="I952">
        <v>367.23410000000001</v>
      </c>
      <c r="J952">
        <v>-335.1388</v>
      </c>
      <c r="K952">
        <v>1.1106020000000001</v>
      </c>
      <c r="L952">
        <v>367.36900000000003</v>
      </c>
      <c r="M952">
        <v>0.99989709999999998</v>
      </c>
      <c r="N952">
        <v>0</v>
      </c>
      <c r="O952">
        <v>-3.711177E-3</v>
      </c>
      <c r="P952">
        <v>0.99836919999999996</v>
      </c>
      <c r="Q952">
        <v>4.6611760000000002E-2</v>
      </c>
      <c r="R952">
        <v>-3.2964380000000001E-2</v>
      </c>
      <c r="S952">
        <v>3.0199889999999998</v>
      </c>
      <c r="T952">
        <v>-0.67349579999999998</v>
      </c>
      <c r="U952">
        <v>-0.48577880000000001</v>
      </c>
      <c r="V952">
        <v>2.9260890000000001E-2</v>
      </c>
      <c r="W952">
        <v>6.0444989999999997E-2</v>
      </c>
      <c r="X952">
        <v>0.99774249999999998</v>
      </c>
      <c r="Y952">
        <v>0.1516055</v>
      </c>
      <c r="Z952">
        <v>-1.5784400000000001E-2</v>
      </c>
      <c r="AA952">
        <v>0.98831500000000005</v>
      </c>
      <c r="AB952">
        <v>25</v>
      </c>
      <c r="AC952">
        <v>0.72019999999997697</v>
      </c>
      <c r="AD952">
        <v>-0.18708420000000001</v>
      </c>
      <c r="AE952">
        <v>-0.13490000000001601</v>
      </c>
      <c r="AF952">
        <v>0.12413355109128001</v>
      </c>
      <c r="AG952">
        <v>-0.18708420000000001</v>
      </c>
      <c r="AH952">
        <v>0.67658783481879103</v>
      </c>
      <c r="AI952">
        <v>105.214820159108</v>
      </c>
      <c r="AJ952">
        <v>79.603568129364206</v>
      </c>
      <c r="AK952">
        <v>0.71286796436714095</v>
      </c>
      <c r="AL952">
        <v>86.534644637361794</v>
      </c>
      <c r="AM952">
        <v>88.320162665412894</v>
      </c>
      <c r="AN952">
        <v>0.99999994640296896</v>
      </c>
    </row>
    <row r="953" spans="1:40" x14ac:dyDescent="0.25">
      <c r="A953" t="str">
        <f>"20190312150651111"</f>
        <v>20190312150651111</v>
      </c>
      <c r="B953" t="str">
        <f>"1552374411101228"</f>
        <v>1552374411101228</v>
      </c>
      <c r="C953" t="s">
        <v>40</v>
      </c>
      <c r="D953">
        <v>4.1965190000000003</v>
      </c>
      <c r="E953">
        <v>0.54788419999999904</v>
      </c>
      <c r="F953" t="s">
        <v>41</v>
      </c>
      <c r="G953">
        <v>-334.4076</v>
      </c>
      <c r="H953">
        <v>0.94820789999999999</v>
      </c>
      <c r="I953">
        <v>367.25139999999999</v>
      </c>
      <c r="J953">
        <v>-335.00819999999999</v>
      </c>
      <c r="K953">
        <v>1.1106039999999999</v>
      </c>
      <c r="L953">
        <v>367.36849999999998</v>
      </c>
      <c r="M953">
        <v>0.99989709999999998</v>
      </c>
      <c r="N953">
        <v>0</v>
      </c>
      <c r="O953">
        <v>-3.711167E-3</v>
      </c>
      <c r="P953">
        <v>0.99837100000000001</v>
      </c>
      <c r="Q953">
        <v>4.6599790000000002E-2</v>
      </c>
      <c r="R953">
        <v>-3.2923889999999997E-2</v>
      </c>
      <c r="S953">
        <v>3.0202330000000002</v>
      </c>
      <c r="T953">
        <v>-0.67094709999999902</v>
      </c>
      <c r="U953">
        <v>-0.4842224</v>
      </c>
      <c r="V953">
        <v>2.922046E-2</v>
      </c>
      <c r="W953">
        <v>6.0431659999999998E-2</v>
      </c>
      <c r="X953">
        <v>0.99774459999999998</v>
      </c>
      <c r="Y953">
        <v>0.151134299999999</v>
      </c>
      <c r="Z953">
        <v>-1.567406E-2</v>
      </c>
      <c r="AA953">
        <v>0.98838899999999996</v>
      </c>
      <c r="AB953">
        <v>25</v>
      </c>
      <c r="AC953">
        <v>0.60059999999998503</v>
      </c>
      <c r="AD953">
        <v>-0.16239609999999999</v>
      </c>
      <c r="AE953">
        <v>-0.117099999999993</v>
      </c>
      <c r="AF953">
        <v>0.10731174436617701</v>
      </c>
      <c r="AG953">
        <v>-0.16239609999999999</v>
      </c>
      <c r="AH953">
        <v>0.56148341618625597</v>
      </c>
      <c r="AI953">
        <v>105.859050626236</v>
      </c>
      <c r="AJ953">
        <v>79.180008467348003</v>
      </c>
      <c r="AK953">
        <v>0.59426587519923202</v>
      </c>
      <c r="AL953">
        <v>86.535410161505595</v>
      </c>
      <c r="AM953">
        <v>88.322485911387403</v>
      </c>
      <c r="AN953">
        <v>1.0000000538210601</v>
      </c>
    </row>
    <row r="954" spans="1:40" x14ac:dyDescent="0.25">
      <c r="A954" t="str">
        <f>"20190312150651122"</f>
        <v>20190312150651122</v>
      </c>
      <c r="B954" t="str">
        <f>"1552374411110988"</f>
        <v>1552374411110988</v>
      </c>
      <c r="C954" t="s">
        <v>40</v>
      </c>
      <c r="D954">
        <v>4.188523</v>
      </c>
      <c r="E954">
        <v>0.54783689999999996</v>
      </c>
      <c r="F954" t="s">
        <v>41</v>
      </c>
      <c r="G954">
        <v>-334.19459999999998</v>
      </c>
      <c r="H954">
        <v>0.9287839</v>
      </c>
      <c r="I954">
        <v>367.23790000000002</v>
      </c>
      <c r="J954">
        <v>-334.88729999999998</v>
      </c>
      <c r="K954">
        <v>1.1106039999999999</v>
      </c>
      <c r="L954">
        <v>367.36799999999999</v>
      </c>
      <c r="M954">
        <v>0.99989709999999998</v>
      </c>
      <c r="N954">
        <v>0</v>
      </c>
      <c r="O954">
        <v>-3.7109209999999998E-3</v>
      </c>
      <c r="P954">
        <v>0.99836970000000003</v>
      </c>
      <c r="Q954">
        <v>4.6728230000000003E-2</v>
      </c>
      <c r="R954">
        <v>-3.2777800000000003E-2</v>
      </c>
      <c r="S954">
        <v>3.020416</v>
      </c>
      <c r="T954">
        <v>-0.67498419999999903</v>
      </c>
      <c r="U954">
        <v>-0.48440549999999999</v>
      </c>
      <c r="V954">
        <v>2.907469E-2</v>
      </c>
      <c r="W954">
        <v>6.055874E-2</v>
      </c>
      <c r="X954">
        <v>0.99774110000000005</v>
      </c>
      <c r="Y954">
        <v>0.1511421</v>
      </c>
      <c r="Z954">
        <v>-1.576607E-2</v>
      </c>
      <c r="AA954">
        <v>0.98838630000000005</v>
      </c>
      <c r="AB954">
        <v>25</v>
      </c>
      <c r="AC954">
        <v>0.69270000000000198</v>
      </c>
      <c r="AD954">
        <v>-0.18182010000000001</v>
      </c>
      <c r="AE954">
        <v>-0.130100000000027</v>
      </c>
      <c r="AF954">
        <v>0.119571038021763</v>
      </c>
      <c r="AG954">
        <v>-0.18182010000000001</v>
      </c>
      <c r="AH954">
        <v>0.64992648319670498</v>
      </c>
      <c r="AI954">
        <v>105.383564490867</v>
      </c>
      <c r="AJ954">
        <v>79.575507618756205</v>
      </c>
      <c r="AK954">
        <v>0.68539055687837502</v>
      </c>
      <c r="AL954">
        <v>86.528115469284799</v>
      </c>
      <c r="AM954">
        <v>88.330843807063701</v>
      </c>
      <c r="AN954">
        <v>1.0000000006090899</v>
      </c>
    </row>
    <row r="955" spans="1:40" x14ac:dyDescent="0.25">
      <c r="A955" t="str">
        <f>"20190312150651134"</f>
        <v>20190312150651134</v>
      </c>
      <c r="B955" t="str">
        <f>"1552374411131484"</f>
        <v>1552374411131484</v>
      </c>
      <c r="C955" t="s">
        <v>40</v>
      </c>
      <c r="D955">
        <v>4.1590350000000003</v>
      </c>
      <c r="E955">
        <v>0.5476955</v>
      </c>
      <c r="F955" t="s">
        <v>41</v>
      </c>
      <c r="G955">
        <v>-334.18369999999999</v>
      </c>
      <c r="H955">
        <v>0.95271620000000001</v>
      </c>
      <c r="I955">
        <v>367.25529999999998</v>
      </c>
      <c r="J955">
        <v>-334.76130000000001</v>
      </c>
      <c r="K955">
        <v>1.1106039999999999</v>
      </c>
      <c r="L955">
        <v>367.36759999999998</v>
      </c>
      <c r="M955">
        <v>0.99989709999999998</v>
      </c>
      <c r="N955">
        <v>0</v>
      </c>
      <c r="O955">
        <v>-3.7109119999999998E-3</v>
      </c>
      <c r="P955">
        <v>0.99835779999999996</v>
      </c>
      <c r="Q955">
        <v>4.6916720000000002E-2</v>
      </c>
      <c r="R955">
        <v>-3.2870410000000003E-2</v>
      </c>
      <c r="S955">
        <v>3.020721</v>
      </c>
      <c r="T955">
        <v>-0.67795669999999897</v>
      </c>
      <c r="U955">
        <v>-0.4832458</v>
      </c>
      <c r="V955">
        <v>2.916732E-2</v>
      </c>
      <c r="W955">
        <v>6.0746260000000003E-2</v>
      </c>
      <c r="X955">
        <v>0.99772700000000003</v>
      </c>
      <c r="Y955">
        <v>0.15073590000000001</v>
      </c>
      <c r="Z955">
        <v>-1.5788010000000002E-2</v>
      </c>
      <c r="AA955">
        <v>0.98844799999999999</v>
      </c>
      <c r="AB955">
        <v>25</v>
      </c>
      <c r="AC955">
        <v>0.57760000000001799</v>
      </c>
      <c r="AD955">
        <v>-0.15788779999999999</v>
      </c>
      <c r="AE955">
        <v>-0.11230000000000399</v>
      </c>
      <c r="AF955">
        <v>0.10275714922993</v>
      </c>
      <c r="AG955">
        <v>-0.15788779999999999</v>
      </c>
      <c r="AH955">
        <v>0.53919136537390899</v>
      </c>
      <c r="AI955">
        <v>106.047687026947</v>
      </c>
      <c r="AJ955">
        <v>79.2101616795903</v>
      </c>
      <c r="AK955">
        <v>0.57115227181591599</v>
      </c>
      <c r="AL955">
        <v>86.517351558111102</v>
      </c>
      <c r="AM955">
        <v>88.325505360387695</v>
      </c>
      <c r="AN955">
        <v>1.00000000359448</v>
      </c>
    </row>
    <row r="956" spans="1:40" x14ac:dyDescent="0.25">
      <c r="A956" t="str">
        <f>"20190312150651147"</f>
        <v>20190312150651147</v>
      </c>
      <c r="B956" t="str">
        <f>"1552374411141244"</f>
        <v>1552374411141244</v>
      </c>
      <c r="C956" t="s">
        <v>40</v>
      </c>
      <c r="D956">
        <v>4.1826499999999998</v>
      </c>
      <c r="E956">
        <v>0.54765240000000004</v>
      </c>
      <c r="F956" t="s">
        <v>41</v>
      </c>
      <c r="G956">
        <v>-333.97199999999998</v>
      </c>
      <c r="H956">
        <v>0.93109500000000001</v>
      </c>
      <c r="I956">
        <v>367.24130000000002</v>
      </c>
      <c r="J956">
        <v>-334.62360000000001</v>
      </c>
      <c r="K956">
        <v>1.110606</v>
      </c>
      <c r="L956">
        <v>367.36700000000002</v>
      </c>
      <c r="M956">
        <v>0.99989709999999998</v>
      </c>
      <c r="N956">
        <v>0</v>
      </c>
      <c r="O956">
        <v>-3.7109030000000002E-3</v>
      </c>
      <c r="P956">
        <v>0.99835980000000002</v>
      </c>
      <c r="Q956">
        <v>4.6750640000000003E-2</v>
      </c>
      <c r="R956">
        <v>-3.3045779999999997E-2</v>
      </c>
      <c r="S956">
        <v>3.0213619999999999</v>
      </c>
      <c r="T956">
        <v>-0.68728339999999999</v>
      </c>
      <c r="U956">
        <v>-0.4824524</v>
      </c>
      <c r="V956">
        <v>2.934266E-2</v>
      </c>
      <c r="W956">
        <v>6.0578729999999997E-2</v>
      </c>
      <c r="X956">
        <v>0.99773199999999995</v>
      </c>
      <c r="Y956">
        <v>0.1503631</v>
      </c>
      <c r="Z956">
        <v>-1.5955359999999998E-2</v>
      </c>
      <c r="AA956">
        <v>0.98850210000000005</v>
      </c>
      <c r="AB956">
        <v>25</v>
      </c>
      <c r="AC956">
        <v>0.65160000000003004</v>
      </c>
      <c r="AD956">
        <v>-0.179510999999999</v>
      </c>
      <c r="AE956">
        <v>-0.125699999999937</v>
      </c>
      <c r="AF956">
        <v>0.11487510835543401</v>
      </c>
      <c r="AG956">
        <v>-0.179510999999999</v>
      </c>
      <c r="AH956">
        <v>0.60760189515376395</v>
      </c>
      <c r="AI956">
        <v>106.187960655284</v>
      </c>
      <c r="AJ956">
        <v>79.293850917437993</v>
      </c>
      <c r="AK956">
        <v>0.64389483041496598</v>
      </c>
      <c r="AL956">
        <v>86.526967875366097</v>
      </c>
      <c r="AM956">
        <v>88.315453317943394</v>
      </c>
      <c r="AN956">
        <v>0.99999995902414296</v>
      </c>
    </row>
    <row r="957" spans="1:40" x14ac:dyDescent="0.25">
      <c r="A957" t="str">
        <f>"20190312150651157"</f>
        <v>20190312150651157</v>
      </c>
      <c r="B957" t="str">
        <f>"1552374411151004"</f>
        <v>1552374411151004</v>
      </c>
      <c r="C957" t="s">
        <v>40</v>
      </c>
      <c r="D957">
        <v>4.2001189999999999</v>
      </c>
      <c r="E957">
        <v>0.54767480000000002</v>
      </c>
      <c r="F957" t="s">
        <v>41</v>
      </c>
      <c r="G957">
        <v>-333.75850000000003</v>
      </c>
      <c r="H957">
        <v>0.91280879999999998</v>
      </c>
      <c r="I957">
        <v>367.22890000000001</v>
      </c>
      <c r="J957">
        <v>-334.50229999999999</v>
      </c>
      <c r="K957">
        <v>1.110609</v>
      </c>
      <c r="L957">
        <v>367.36660000000001</v>
      </c>
      <c r="M957">
        <v>0.99989720000000004</v>
      </c>
      <c r="N957">
        <v>0</v>
      </c>
      <c r="O957">
        <v>-3.7108940000000002E-3</v>
      </c>
      <c r="P957">
        <v>0.9983649</v>
      </c>
      <c r="Q957">
        <v>4.6632979999999997E-2</v>
      </c>
      <c r="R957">
        <v>-3.3067270000000003E-2</v>
      </c>
      <c r="S957">
        <v>3.0213009999999998</v>
      </c>
      <c r="T957">
        <v>-0.69070849999999995</v>
      </c>
      <c r="U957">
        <v>-0.4826355</v>
      </c>
      <c r="V957">
        <v>2.9364040000000001E-2</v>
      </c>
      <c r="W957">
        <v>6.046021E-2</v>
      </c>
      <c r="X957">
        <v>0.99773860000000003</v>
      </c>
      <c r="Y957">
        <v>0.15038779999999999</v>
      </c>
      <c r="Z957">
        <v>-1.6035939999999999E-2</v>
      </c>
      <c r="AA957">
        <v>0.98849699999999996</v>
      </c>
      <c r="AB957">
        <v>25</v>
      </c>
      <c r="AC957">
        <v>0.74379999999996405</v>
      </c>
      <c r="AD957">
        <v>-0.19780020000000001</v>
      </c>
      <c r="AE957">
        <v>-0.13769999999999499</v>
      </c>
      <c r="AF957">
        <v>0.12630252079402501</v>
      </c>
      <c r="AG957">
        <v>-0.19780020000000001</v>
      </c>
      <c r="AH957">
        <v>0.69667016573571805</v>
      </c>
      <c r="AI957">
        <v>105.608679730454</v>
      </c>
      <c r="AJ957">
        <v>79.724196716420096</v>
      </c>
      <c r="AK957">
        <v>0.73513710673941501</v>
      </c>
      <c r="AL957">
        <v>86.533771179858206</v>
      </c>
      <c r="AM957">
        <v>88.314237756251003</v>
      </c>
      <c r="AN957">
        <v>0.99999999888416202</v>
      </c>
    </row>
    <row r="958" spans="1:40" x14ac:dyDescent="0.25">
      <c r="A958" t="str">
        <f>"20190312150651167"</f>
        <v>20190312150651167</v>
      </c>
      <c r="B958" t="str">
        <f>"1552374411161740"</f>
        <v>1552374411161740</v>
      </c>
      <c r="C958" t="s">
        <v>40</v>
      </c>
      <c r="D958">
        <v>4.2125810000000001</v>
      </c>
      <c r="E958">
        <v>0.54768559999999999</v>
      </c>
      <c r="F958" t="s">
        <v>41</v>
      </c>
      <c r="G958">
        <v>-333.74799999999999</v>
      </c>
      <c r="H958">
        <v>0.93726929999999997</v>
      </c>
      <c r="I958">
        <v>367.24610000000001</v>
      </c>
      <c r="J958">
        <v>-334.39049999999997</v>
      </c>
      <c r="K958">
        <v>1.110609</v>
      </c>
      <c r="L958">
        <v>367.36619999999999</v>
      </c>
      <c r="M958">
        <v>0.99989709999999998</v>
      </c>
      <c r="N958">
        <v>0</v>
      </c>
      <c r="O958">
        <v>-3.710887E-3</v>
      </c>
      <c r="P958">
        <v>0.99836440000000004</v>
      </c>
      <c r="Q958">
        <v>4.67261E-2</v>
      </c>
      <c r="R958">
        <v>-3.2942859999999997E-2</v>
      </c>
      <c r="S958">
        <v>3.0213619999999999</v>
      </c>
      <c r="T958">
        <v>-0.6942545</v>
      </c>
      <c r="U958">
        <v>-0.48284909999999998</v>
      </c>
      <c r="V958">
        <v>2.9239640000000001E-2</v>
      </c>
      <c r="W958">
        <v>6.0552080000000001E-2</v>
      </c>
      <c r="X958">
        <v>0.99773670000000003</v>
      </c>
      <c r="Y958">
        <v>0.15041489999999999</v>
      </c>
      <c r="Z958">
        <v>-1.6118859999999999E-2</v>
      </c>
      <c r="AA958">
        <v>0.98849149999999997</v>
      </c>
      <c r="AB958">
        <v>25</v>
      </c>
      <c r="AC958">
        <v>0.64249999999992702</v>
      </c>
      <c r="AD958">
        <v>-0.17333969999999899</v>
      </c>
      <c r="AE958">
        <v>-0.120099999999979</v>
      </c>
      <c r="AF958">
        <v>0.109979927290298</v>
      </c>
      <c r="AG958">
        <v>-0.17333969999999899</v>
      </c>
      <c r="AH958">
        <v>0.60069504917028405</v>
      </c>
      <c r="AI958">
        <v>105.846434056921</v>
      </c>
      <c r="AJ958">
        <v>79.624754048495802</v>
      </c>
      <c r="AK958">
        <v>0.63480451959682704</v>
      </c>
      <c r="AL958">
        <v>86.528497816786896</v>
      </c>
      <c r="AM958">
        <v>88.321372155162294</v>
      </c>
      <c r="AN958">
        <v>1.0000000167332701</v>
      </c>
    </row>
    <row r="959" spans="1:40" x14ac:dyDescent="0.25">
      <c r="A959" t="str">
        <f>"20190312150651178"</f>
        <v>20190312150651178</v>
      </c>
      <c r="B959" t="str">
        <f>"1552374411171500"</f>
        <v>1552374411171500</v>
      </c>
      <c r="C959" t="s">
        <v>40</v>
      </c>
      <c r="D959">
        <v>4.2273940000000003</v>
      </c>
      <c r="E959">
        <v>0.54750529999999997</v>
      </c>
      <c r="F959" t="s">
        <v>41</v>
      </c>
      <c r="G959">
        <v>-333.53719999999998</v>
      </c>
      <c r="H959">
        <v>0.91374310000000003</v>
      </c>
      <c r="I959">
        <v>367.2296</v>
      </c>
      <c r="J959">
        <v>-334.26670000000001</v>
      </c>
      <c r="K959">
        <v>1.110609</v>
      </c>
      <c r="L959">
        <v>367.3657</v>
      </c>
      <c r="M959">
        <v>0.99989720000000004</v>
      </c>
      <c r="N959">
        <v>0</v>
      </c>
      <c r="O959">
        <v>-3.7108779999999999E-3</v>
      </c>
      <c r="P959">
        <v>0.99836190000000002</v>
      </c>
      <c r="Q959">
        <v>4.6635749999999997E-2</v>
      </c>
      <c r="R959">
        <v>-3.3146309999999998E-2</v>
      </c>
      <c r="S959">
        <v>3.0216669999999999</v>
      </c>
      <c r="T959">
        <v>-0.69723559999999996</v>
      </c>
      <c r="U959">
        <v>-0.48257450000000002</v>
      </c>
      <c r="V959">
        <v>2.944312E-2</v>
      </c>
      <c r="W959">
        <v>6.0460689999999997E-2</v>
      </c>
      <c r="X959">
        <v>0.99773619999999996</v>
      </c>
      <c r="Y959">
        <v>0.150284</v>
      </c>
      <c r="Z959">
        <v>-1.6170070000000002E-2</v>
      </c>
      <c r="AA959">
        <v>0.98851060000000002</v>
      </c>
      <c r="AB959">
        <v>25</v>
      </c>
      <c r="AC959">
        <v>0.72950000000003001</v>
      </c>
      <c r="AD959">
        <v>-0.19686589999999901</v>
      </c>
      <c r="AE959">
        <v>-0.136099999999999</v>
      </c>
      <c r="AF959">
        <v>0.12462124186364899</v>
      </c>
      <c r="AG959">
        <v>-0.19686589999999901</v>
      </c>
      <c r="AH959">
        <v>0.68200273294173896</v>
      </c>
      <c r="AI959">
        <v>105.852257827914</v>
      </c>
      <c r="AJ959">
        <v>79.644680963058207</v>
      </c>
      <c r="AK959">
        <v>0.72070407536411896</v>
      </c>
      <c r="AL959">
        <v>86.5337434875714</v>
      </c>
      <c r="AM959">
        <v>88.309696413530702</v>
      </c>
      <c r="AN959">
        <v>0.99999995857052404</v>
      </c>
    </row>
    <row r="960" spans="1:40" x14ac:dyDescent="0.25">
      <c r="A960" t="str">
        <f>"20190312150651190"</f>
        <v>20190312150651190</v>
      </c>
      <c r="B960" t="str">
        <f>"1552374411181260"</f>
        <v>1552374411181260</v>
      </c>
      <c r="C960" t="s">
        <v>40</v>
      </c>
      <c r="D960">
        <v>4.2156890000000002</v>
      </c>
      <c r="E960">
        <v>0.5474696</v>
      </c>
      <c r="F960" t="s">
        <v>41</v>
      </c>
      <c r="G960">
        <v>-333.52629999999999</v>
      </c>
      <c r="H960">
        <v>0.93897090000000005</v>
      </c>
      <c r="I960">
        <v>367.2473</v>
      </c>
      <c r="J960">
        <v>-334.14429999999999</v>
      </c>
      <c r="K960">
        <v>1.1106100000000001</v>
      </c>
      <c r="L960">
        <v>367.36520000000002</v>
      </c>
      <c r="M960">
        <v>0.99989720000000004</v>
      </c>
      <c r="N960">
        <v>0</v>
      </c>
      <c r="O960">
        <v>-3.7108699999999998E-3</v>
      </c>
      <c r="P960">
        <v>0.99836499999999995</v>
      </c>
      <c r="Q960">
        <v>4.649532E-2</v>
      </c>
      <c r="R960">
        <v>-3.3249699999999903E-2</v>
      </c>
      <c r="S960">
        <v>3.0216059999999998</v>
      </c>
      <c r="T960">
        <v>-0.70060279999999997</v>
      </c>
      <c r="U960">
        <v>-0.48190309999999997</v>
      </c>
      <c r="V960">
        <v>2.9546579999999999E-2</v>
      </c>
      <c r="W960">
        <v>6.031885E-2</v>
      </c>
      <c r="X960">
        <v>0.99774180000000001</v>
      </c>
      <c r="Y960">
        <v>0.15004300000000001</v>
      </c>
      <c r="Z960">
        <v>-1.6219359999999999E-2</v>
      </c>
      <c r="AA960">
        <v>0.98854640000000005</v>
      </c>
      <c r="AB960">
        <v>25</v>
      </c>
      <c r="AC960">
        <v>0.617999999999995</v>
      </c>
      <c r="AD960">
        <v>-0.17163909999999999</v>
      </c>
      <c r="AE960">
        <v>-0.11790000000002</v>
      </c>
      <c r="AF960">
        <v>0.107597502702199</v>
      </c>
      <c r="AG960">
        <v>-0.17163909999999999</v>
      </c>
      <c r="AH960">
        <v>0.57559365105418303</v>
      </c>
      <c r="AI960">
        <v>106.336786576959</v>
      </c>
      <c r="AJ960">
        <v>79.411726065066802</v>
      </c>
      <c r="AK960">
        <v>0.61020099505854997</v>
      </c>
      <c r="AL960">
        <v>86.541885434321699</v>
      </c>
      <c r="AM960">
        <v>88.303769844751002</v>
      </c>
      <c r="AN960">
        <v>1.00000003176112</v>
      </c>
    </row>
    <row r="961" spans="1:40" x14ac:dyDescent="0.25">
      <c r="A961" t="str">
        <f>"20190312150651201"</f>
        <v>20190312150651201</v>
      </c>
      <c r="B961" t="str">
        <f>"1552374411191020"</f>
        <v>1552374411191020</v>
      </c>
      <c r="C961" t="s">
        <v>40</v>
      </c>
      <c r="D961">
        <v>4.115291</v>
      </c>
      <c r="E961">
        <v>0.54756719999999903</v>
      </c>
      <c r="F961" t="s">
        <v>41</v>
      </c>
      <c r="G961">
        <v>-333.3152</v>
      </c>
      <c r="H961">
        <v>0.91722510000000002</v>
      </c>
      <c r="I961">
        <v>367.23289999999997</v>
      </c>
      <c r="J961">
        <v>-334.00990000000002</v>
      </c>
      <c r="K961">
        <v>1.110609</v>
      </c>
      <c r="L961">
        <v>367.36470000000003</v>
      </c>
      <c r="M961">
        <v>0.99989720000000004</v>
      </c>
      <c r="N961">
        <v>0</v>
      </c>
      <c r="O961">
        <v>-3.7108599999999999E-3</v>
      </c>
      <c r="P961">
        <v>0.99835600000000002</v>
      </c>
      <c r="Q961">
        <v>4.655807E-2</v>
      </c>
      <c r="R961">
        <v>-3.3433650000000002E-2</v>
      </c>
      <c r="S961">
        <v>3.0216980000000002</v>
      </c>
      <c r="T961">
        <v>-0.70476419999999995</v>
      </c>
      <c r="U961">
        <v>-0.48217769999999999</v>
      </c>
      <c r="V961">
        <v>2.9730530000000002E-2</v>
      </c>
      <c r="W961">
        <v>6.0380259999999998E-2</v>
      </c>
      <c r="X961">
        <v>0.99773259999999997</v>
      </c>
      <c r="Y961">
        <v>0.15008070000000001</v>
      </c>
      <c r="Z961">
        <v>-1.6316959999999998E-2</v>
      </c>
      <c r="AA961">
        <v>0.9885391</v>
      </c>
      <c r="AB961">
        <v>25</v>
      </c>
      <c r="AC961">
        <v>0.69470000000001098</v>
      </c>
      <c r="AD961">
        <v>-0.193383899999999</v>
      </c>
      <c r="AE961">
        <v>-0.13180000000005501</v>
      </c>
      <c r="AF961">
        <v>0.120228117054272</v>
      </c>
      <c r="AG961">
        <v>-0.193383899999999</v>
      </c>
      <c r="AH961">
        <v>0.64680480506521298</v>
      </c>
      <c r="AI961">
        <v>106.38061272278</v>
      </c>
      <c r="AJ961">
        <v>79.470034368025793</v>
      </c>
      <c r="AK961">
        <v>0.68571757215713303</v>
      </c>
      <c r="AL961">
        <v>86.5383604025442</v>
      </c>
      <c r="AM961">
        <v>88.293200016249102</v>
      </c>
      <c r="AN961">
        <v>1.00000001065725</v>
      </c>
    </row>
    <row r="962" spans="1:40" x14ac:dyDescent="0.25">
      <c r="A962" t="str">
        <f>"20190312150651215"</f>
        <v>20190312150651215</v>
      </c>
      <c r="B962" t="str">
        <f>"1552374411211516"</f>
        <v>1552374411211516</v>
      </c>
      <c r="C962" t="s">
        <v>40</v>
      </c>
      <c r="D962">
        <v>4.5414450000000004</v>
      </c>
      <c r="E962">
        <v>0.54760359999999997</v>
      </c>
      <c r="F962" t="s">
        <v>41</v>
      </c>
      <c r="G962">
        <v>-333.30309999999997</v>
      </c>
      <c r="H962">
        <v>0.94464649999999994</v>
      </c>
      <c r="I962">
        <v>367.2516</v>
      </c>
      <c r="J962">
        <v>-333.87349999999998</v>
      </c>
      <c r="K962">
        <v>1.110608</v>
      </c>
      <c r="L962">
        <v>367.36430000000001</v>
      </c>
      <c r="M962">
        <v>0.99989740000000005</v>
      </c>
      <c r="N962">
        <v>0</v>
      </c>
      <c r="O962">
        <v>-3.7108509999999998E-3</v>
      </c>
      <c r="P962">
        <v>0.99836250000000004</v>
      </c>
      <c r="Q962">
        <v>4.6443480000000002E-2</v>
      </c>
      <c r="R962">
        <v>-3.3399430000000001E-2</v>
      </c>
      <c r="S962">
        <v>3.02182</v>
      </c>
      <c r="T962">
        <v>-0.70953880000000003</v>
      </c>
      <c r="U962">
        <v>-0.48348999999999998</v>
      </c>
      <c r="V962">
        <v>2.9696230000000001E-2</v>
      </c>
      <c r="W962">
        <v>6.0264600000000002E-2</v>
      </c>
      <c r="X962">
        <v>0.99774059999999998</v>
      </c>
      <c r="Y962">
        <v>0.15043299999999901</v>
      </c>
      <c r="Z962">
        <v>-1.6464019999999999E-2</v>
      </c>
      <c r="AA962">
        <v>0.98848309999999995</v>
      </c>
      <c r="AB962">
        <v>25</v>
      </c>
      <c r="AC962">
        <v>0.57040000000000601</v>
      </c>
      <c r="AD962">
        <v>-0.16596149999999901</v>
      </c>
      <c r="AE962">
        <v>-0.11270000000001799</v>
      </c>
      <c r="AF962">
        <v>0.102251420759328</v>
      </c>
      <c r="AG962">
        <v>-0.16596149999999901</v>
      </c>
      <c r="AH962">
        <v>0.527810945632046</v>
      </c>
      <c r="AI962">
        <v>107.15515732056301</v>
      </c>
      <c r="AJ962">
        <v>79.036053596801807</v>
      </c>
      <c r="AK962">
        <v>0.56265705972514601</v>
      </c>
      <c r="AL962">
        <v>86.544999273168102</v>
      </c>
      <c r="AM962">
        <v>88.295181643690597</v>
      </c>
      <c r="AN962">
        <v>0.99999999648886595</v>
      </c>
    </row>
    <row r="963" spans="1:40" x14ac:dyDescent="0.25">
      <c r="A963" t="str">
        <f>"20190312150651229"</f>
        <v>20190312150651229</v>
      </c>
      <c r="B963" t="str">
        <f>"1552374411221276"</f>
        <v>1552374411221276</v>
      </c>
      <c r="C963" t="s">
        <v>40</v>
      </c>
      <c r="D963">
        <v>4.5449869999999999</v>
      </c>
      <c r="E963">
        <v>0.54762230000000001</v>
      </c>
      <c r="F963" t="s">
        <v>41</v>
      </c>
      <c r="G963">
        <v>-333.09089999999998</v>
      </c>
      <c r="H963">
        <v>0.92650189999999999</v>
      </c>
      <c r="I963">
        <v>367.23880000000003</v>
      </c>
      <c r="J963">
        <v>-333.72129999999999</v>
      </c>
      <c r="K963">
        <v>1.1106020000000001</v>
      </c>
      <c r="L963">
        <v>367.36369999999999</v>
      </c>
      <c r="M963">
        <v>0.99989740000000005</v>
      </c>
      <c r="N963">
        <v>0</v>
      </c>
      <c r="O963">
        <v>-3.71084E-3</v>
      </c>
      <c r="P963">
        <v>0.99836290000000005</v>
      </c>
      <c r="Q963">
        <v>4.64042E-2</v>
      </c>
      <c r="R963">
        <v>-3.3443269999999997E-2</v>
      </c>
      <c r="S963">
        <v>3.02182</v>
      </c>
      <c r="T963">
        <v>-0.71097580000000005</v>
      </c>
      <c r="U963">
        <v>-0.48361209999999999</v>
      </c>
      <c r="V963">
        <v>2.974017E-2</v>
      </c>
      <c r="W963">
        <v>6.0223659999999998E-2</v>
      </c>
      <c r="X963">
        <v>0.99774180000000001</v>
      </c>
      <c r="Y963">
        <v>0.1504557</v>
      </c>
      <c r="Z963">
        <v>-1.6499070000000001E-2</v>
      </c>
      <c r="AA963">
        <v>0.98847910000000005</v>
      </c>
      <c r="AB963">
        <v>25</v>
      </c>
      <c r="AC963">
        <v>0.63040000000000795</v>
      </c>
      <c r="AD963">
        <v>-0.18410009999999999</v>
      </c>
      <c r="AE963">
        <v>-0.12489999999996799</v>
      </c>
      <c r="AF963">
        <v>0.11326463360610201</v>
      </c>
      <c r="AG963">
        <v>-0.18410009999999999</v>
      </c>
      <c r="AH963">
        <v>0.58301457633126996</v>
      </c>
      <c r="AI963">
        <v>107.22224713578601</v>
      </c>
      <c r="AJ963">
        <v>79.005863754352902</v>
      </c>
      <c r="AK963">
        <v>0.62179395321976605</v>
      </c>
      <c r="AL963">
        <v>86.547349357590306</v>
      </c>
      <c r="AM963">
        <v>88.292662654881397</v>
      </c>
      <c r="AN963">
        <v>1.0000000332013299</v>
      </c>
    </row>
    <row r="964" spans="1:40" x14ac:dyDescent="0.25">
      <c r="A964" t="str">
        <f>"20190312150651246"</f>
        <v>20190312150651246</v>
      </c>
      <c r="B964" t="str">
        <f>"1552374411241772"</f>
        <v>1552374411241772</v>
      </c>
      <c r="C964" t="s">
        <v>40</v>
      </c>
      <c r="D964">
        <v>4.1401019999999997</v>
      </c>
      <c r="E964">
        <v>0.54766550000000003</v>
      </c>
      <c r="F964" t="s">
        <v>41</v>
      </c>
      <c r="G964">
        <v>-332.87670000000003</v>
      </c>
      <c r="H964">
        <v>0.91196580000000005</v>
      </c>
      <c r="I964">
        <v>367.22840000000002</v>
      </c>
      <c r="J964">
        <v>-333.5274</v>
      </c>
      <c r="K964">
        <v>1.1106049999999901</v>
      </c>
      <c r="L964">
        <v>367.363</v>
      </c>
      <c r="M964">
        <v>0.99989740000000005</v>
      </c>
      <c r="N964">
        <v>0</v>
      </c>
      <c r="O964">
        <v>-3.710826E-3</v>
      </c>
      <c r="P964">
        <v>0.99837200000000004</v>
      </c>
      <c r="Q964">
        <v>4.6253009999999997E-2</v>
      </c>
      <c r="R964">
        <v>-3.3384079999999997E-2</v>
      </c>
      <c r="S964">
        <v>3.0216980000000002</v>
      </c>
      <c r="T964">
        <v>-0.7106481</v>
      </c>
      <c r="U964">
        <v>-0.48410029999999998</v>
      </c>
      <c r="V964">
        <v>2.9680709999999999E-2</v>
      </c>
      <c r="W964">
        <v>6.0070400000000003E-2</v>
      </c>
      <c r="X964">
        <v>0.9977528</v>
      </c>
      <c r="Y964">
        <v>0.1506169</v>
      </c>
      <c r="Z964">
        <v>-1.6510690000000001E-2</v>
      </c>
      <c r="AA964">
        <v>0.98845430000000001</v>
      </c>
      <c r="AB964">
        <v>25</v>
      </c>
      <c r="AC964">
        <v>0.65069999999997197</v>
      </c>
      <c r="AD964">
        <v>-0.19863919999999899</v>
      </c>
      <c r="AE964">
        <v>-0.134600000000034</v>
      </c>
      <c r="AF964">
        <v>0.121340500085268</v>
      </c>
      <c r="AG964">
        <v>-0.19863919999999899</v>
      </c>
      <c r="AH964">
        <v>0.59777437715519499</v>
      </c>
      <c r="AI964">
        <v>108.03817796133301</v>
      </c>
      <c r="AJ964">
        <v>78.525595678443196</v>
      </c>
      <c r="AK964">
        <v>0.64149454769379299</v>
      </c>
      <c r="AL964">
        <v>86.556146402590002</v>
      </c>
      <c r="AM964">
        <v>88.296092921912901</v>
      </c>
      <c r="AN964">
        <v>1.0000000237050499</v>
      </c>
    </row>
    <row r="965" spans="1:40" x14ac:dyDescent="0.25">
      <c r="A965" t="str">
        <f>"20190312150651257"</f>
        <v>20190312150651257</v>
      </c>
      <c r="B965" t="str">
        <f>"1552374411251532"</f>
        <v>1552374411251532</v>
      </c>
      <c r="C965" t="s">
        <v>40</v>
      </c>
      <c r="D965">
        <v>4.1634159999999998</v>
      </c>
      <c r="E965">
        <v>0.54767670000000002</v>
      </c>
      <c r="F965" t="s">
        <v>41</v>
      </c>
      <c r="G965">
        <v>-332.65910000000002</v>
      </c>
      <c r="H965">
        <v>0.90626719999999905</v>
      </c>
      <c r="I965">
        <v>367.2235</v>
      </c>
      <c r="J965">
        <v>-333.39749999999998</v>
      </c>
      <c r="K965">
        <v>1.1106039999999999</v>
      </c>
      <c r="L965">
        <v>367.36250000000001</v>
      </c>
      <c r="M965">
        <v>0.99989740000000005</v>
      </c>
      <c r="N965">
        <v>0</v>
      </c>
      <c r="O965">
        <v>-3.7108169999999999E-3</v>
      </c>
      <c r="P965">
        <v>0.99836230000000004</v>
      </c>
      <c r="Q965">
        <v>4.6411599999999997E-2</v>
      </c>
      <c r="R965">
        <v>-3.3453780000000002E-2</v>
      </c>
      <c r="S965">
        <v>3.0216059999999998</v>
      </c>
      <c r="T965">
        <v>-0.71119100000000002</v>
      </c>
      <c r="U965">
        <v>-0.48449710000000001</v>
      </c>
      <c r="V965">
        <v>2.9750680000000002E-2</v>
      </c>
      <c r="W965">
        <v>6.0227000000000003E-2</v>
      </c>
      <c r="X965">
        <v>0.99774130000000005</v>
      </c>
      <c r="Y965">
        <v>0.15073879999999901</v>
      </c>
      <c r="Z965">
        <v>-1.6537360000000001E-2</v>
      </c>
      <c r="AA965">
        <v>0.98843530000000002</v>
      </c>
      <c r="AB965">
        <v>25</v>
      </c>
      <c r="AC965">
        <v>0.73839999999995498</v>
      </c>
      <c r="AD965">
        <v>-0.20433680000000001</v>
      </c>
      <c r="AE965">
        <v>-0.13900000000001</v>
      </c>
      <c r="AF965">
        <v>0.12687524514082901</v>
      </c>
      <c r="AG965">
        <v>-0.20433680000000001</v>
      </c>
      <c r="AH965">
        <v>0.68802561398139706</v>
      </c>
      <c r="AI965">
        <v>106.281275605647</v>
      </c>
      <c r="AJ965">
        <v>79.551757716579502</v>
      </c>
      <c r="AK965">
        <v>0.72885533623501997</v>
      </c>
      <c r="AL965">
        <v>86.547157693223198</v>
      </c>
      <c r="AM965">
        <v>88.292058793876095</v>
      </c>
      <c r="AN965">
        <v>1.0000000481075699</v>
      </c>
    </row>
    <row r="966" spans="1:40" x14ac:dyDescent="0.25">
      <c r="A966" t="str">
        <f>"20190312150651268"</f>
        <v>20190312150651268</v>
      </c>
      <c r="B966" t="str">
        <f>"1552374411261292"</f>
        <v>1552374411261292</v>
      </c>
      <c r="C966" t="s">
        <v>40</v>
      </c>
      <c r="D966">
        <v>4.5382499999999997</v>
      </c>
      <c r="E966">
        <v>0.54766429999999999</v>
      </c>
      <c r="F966" t="s">
        <v>41</v>
      </c>
      <c r="G966">
        <v>-332.6474</v>
      </c>
      <c r="H966">
        <v>0.93415210000000004</v>
      </c>
      <c r="I966">
        <v>367.24200000000002</v>
      </c>
      <c r="J966">
        <v>-333.28539999999998</v>
      </c>
      <c r="K966">
        <v>1.1106039999999999</v>
      </c>
      <c r="L966">
        <v>367.3621</v>
      </c>
      <c r="M966">
        <v>0.99989740000000005</v>
      </c>
      <c r="N966">
        <v>0</v>
      </c>
      <c r="O966">
        <v>-3.7108089999999998E-3</v>
      </c>
      <c r="P966">
        <v>0.99837489999999995</v>
      </c>
      <c r="Q966">
        <v>4.6171669999999998E-2</v>
      </c>
      <c r="R966">
        <v>-3.340564E-2</v>
      </c>
      <c r="S966">
        <v>3.0216980000000002</v>
      </c>
      <c r="T966">
        <v>-0.7109396</v>
      </c>
      <c r="U966">
        <v>-0.48471069999999999</v>
      </c>
      <c r="V966">
        <v>2.9702429999999998E-2</v>
      </c>
      <c r="W966">
        <v>5.9986150000000002E-2</v>
      </c>
      <c r="X966">
        <v>0.99775720000000001</v>
      </c>
      <c r="Y966">
        <v>0.15080350000000001</v>
      </c>
      <c r="Z966">
        <v>-1.6538560000000001E-2</v>
      </c>
      <c r="AA966">
        <v>0.98842540000000001</v>
      </c>
      <c r="AB966">
        <v>25</v>
      </c>
      <c r="AC966">
        <v>0.63799999999997603</v>
      </c>
      <c r="AD966">
        <v>-0.17645189999999999</v>
      </c>
      <c r="AE966">
        <v>-0.120100000000036</v>
      </c>
      <c r="AF966">
        <v>0.109632523410476</v>
      </c>
      <c r="AG966">
        <v>-0.17645189999999999</v>
      </c>
      <c r="AH966">
        <v>0.59452196129392199</v>
      </c>
      <c r="AI966">
        <v>106.27121254814099</v>
      </c>
      <c r="AJ966">
        <v>79.551776051639806</v>
      </c>
      <c r="AK966">
        <v>0.629770534134243</v>
      </c>
      <c r="AL966">
        <v>86.560982215585298</v>
      </c>
      <c r="AM966">
        <v>88.294854273381802</v>
      </c>
      <c r="AN966">
        <v>1.0000000013457799</v>
      </c>
    </row>
    <row r="967" spans="1:40" x14ac:dyDescent="0.25">
      <c r="A967" t="str">
        <f>"20190312150651278"</f>
        <v>20190312150651278</v>
      </c>
      <c r="B967" t="str">
        <f>"1552374411271052"</f>
        <v>1552374411271052</v>
      </c>
      <c r="C967" t="s">
        <v>40</v>
      </c>
      <c r="D967">
        <v>4.5579349999999996</v>
      </c>
      <c r="E967">
        <v>0.54765900000000001</v>
      </c>
      <c r="F967" t="s">
        <v>41</v>
      </c>
      <c r="G967">
        <v>-332.43770000000001</v>
      </c>
      <c r="H967">
        <v>0.91096220000000006</v>
      </c>
      <c r="I967">
        <v>367.22609999999997</v>
      </c>
      <c r="J967">
        <v>-333.16570000000002</v>
      </c>
      <c r="K967">
        <v>1.1106039999999999</v>
      </c>
      <c r="L967">
        <v>367.36160000000001</v>
      </c>
      <c r="M967">
        <v>0.99989740000000005</v>
      </c>
      <c r="N967">
        <v>0</v>
      </c>
      <c r="O967">
        <v>-3.7108010000000001E-3</v>
      </c>
      <c r="P967">
        <v>0.99838910000000003</v>
      </c>
      <c r="Q967">
        <v>4.5967180000000003E-2</v>
      </c>
      <c r="R967">
        <v>-3.3265259999999998E-2</v>
      </c>
      <c r="S967">
        <v>3.021576</v>
      </c>
      <c r="T967">
        <v>-0.71160219999999996</v>
      </c>
      <c r="U967">
        <v>-0.48446660000000002</v>
      </c>
      <c r="V967">
        <v>2.9562109999999999E-2</v>
      </c>
      <c r="W967">
        <v>5.9781000000000001E-2</v>
      </c>
      <c r="X967">
        <v>0.99777369999999999</v>
      </c>
      <c r="Y967">
        <v>0.15072639999999901</v>
      </c>
      <c r="Z967">
        <v>-1.6545420000000002E-2</v>
      </c>
      <c r="AA967">
        <v>0.98843709999999996</v>
      </c>
      <c r="AB967">
        <v>25</v>
      </c>
      <c r="AC967">
        <v>0.72800000000000797</v>
      </c>
      <c r="AD967">
        <v>-0.19964180000000001</v>
      </c>
      <c r="AE967">
        <v>-0.13550000000003501</v>
      </c>
      <c r="AF967">
        <v>0.123798919880071</v>
      </c>
      <c r="AG967">
        <v>-0.19964180000000001</v>
      </c>
      <c r="AH967">
        <v>0.67913441075446501</v>
      </c>
      <c r="AI967">
        <v>106.129836727664</v>
      </c>
      <c r="AJ967">
        <v>79.669027738812304</v>
      </c>
      <c r="AK967">
        <v>0.718614339365369</v>
      </c>
      <c r="AL967">
        <v>86.572757645869899</v>
      </c>
      <c r="AM967">
        <v>88.302933036436698</v>
      </c>
      <c r="AN967">
        <v>1.0000000213601701</v>
      </c>
    </row>
    <row r="968" spans="1:40" x14ac:dyDescent="0.25">
      <c r="A968" t="str">
        <f>"20190312150651289"</f>
        <v>20190312150651289</v>
      </c>
      <c r="B968" t="str">
        <f>"1552374411281788"</f>
        <v>1552374411281788</v>
      </c>
      <c r="C968" t="s">
        <v>40</v>
      </c>
      <c r="D968">
        <v>4.5000770000000001</v>
      </c>
      <c r="E968">
        <v>0.54765580000000003</v>
      </c>
      <c r="F968" t="s">
        <v>41</v>
      </c>
      <c r="G968">
        <v>-332.42680000000001</v>
      </c>
      <c r="H968">
        <v>0.93639399999999995</v>
      </c>
      <c r="I968">
        <v>367.2432</v>
      </c>
      <c r="J968">
        <v>-333.04410000000001</v>
      </c>
      <c r="K968">
        <v>1.1106009999999999</v>
      </c>
      <c r="L968">
        <v>367.36110000000002</v>
      </c>
      <c r="M968">
        <v>0.99989740000000005</v>
      </c>
      <c r="N968">
        <v>0</v>
      </c>
      <c r="O968">
        <v>-3.7107920000000001E-3</v>
      </c>
      <c r="P968">
        <v>0.99840130000000005</v>
      </c>
      <c r="Q968">
        <v>4.5879799999999998E-2</v>
      </c>
      <c r="R968">
        <v>-3.3013580000000001E-2</v>
      </c>
      <c r="S968">
        <v>3.0215450000000001</v>
      </c>
      <c r="T968">
        <v>-0.71238829999999997</v>
      </c>
      <c r="U968">
        <v>-0.48419190000000001</v>
      </c>
      <c r="V968">
        <v>2.9310369999999999E-2</v>
      </c>
      <c r="W968">
        <v>5.9692460000000003E-2</v>
      </c>
      <c r="X968">
        <v>0.99778639999999996</v>
      </c>
      <c r="Y968">
        <v>0.15063409999999999</v>
      </c>
      <c r="Z968">
        <v>-1.6552830000000001E-2</v>
      </c>
      <c r="AA968">
        <v>0.98845099999999997</v>
      </c>
      <c r="AB968">
        <v>25</v>
      </c>
      <c r="AC968">
        <v>0.61729999999999996</v>
      </c>
      <c r="AD968">
        <v>-0.174206999999999</v>
      </c>
      <c r="AE968">
        <v>-0.11790000000002</v>
      </c>
      <c r="AF968">
        <v>0.107359001041871</v>
      </c>
      <c r="AG968">
        <v>-0.174206999999999</v>
      </c>
      <c r="AH968">
        <v>0.57365458226892696</v>
      </c>
      <c r="AI968">
        <v>106.620198561398</v>
      </c>
      <c r="AJ968">
        <v>79.399762224384006</v>
      </c>
      <c r="AK968">
        <v>0.60905961425122102</v>
      </c>
      <c r="AL968">
        <v>86.577839595327305</v>
      </c>
      <c r="AM968">
        <v>88.317397692434497</v>
      </c>
      <c r="AN968">
        <v>0.99999999379767401</v>
      </c>
    </row>
    <row r="969" spans="1:40" x14ac:dyDescent="0.25">
      <c r="A969" t="str">
        <f>"20190312150651301"</f>
        <v>20190312150651301</v>
      </c>
      <c r="B969" t="str">
        <f>"1552374411291547"</f>
        <v>1552374411291547</v>
      </c>
      <c r="C969" t="s">
        <v>40</v>
      </c>
      <c r="D969">
        <v>4.6383140000000003</v>
      </c>
      <c r="E969">
        <v>0.54766599999999999</v>
      </c>
      <c r="F969" t="s">
        <v>41</v>
      </c>
      <c r="G969">
        <v>-332.2165</v>
      </c>
      <c r="H969">
        <v>0.91544709999999996</v>
      </c>
      <c r="I969">
        <v>367.2285</v>
      </c>
      <c r="J969">
        <v>-332.92160000000001</v>
      </c>
      <c r="K969">
        <v>1.1106</v>
      </c>
      <c r="L969">
        <v>367.36070000000001</v>
      </c>
      <c r="M969">
        <v>0.99989749999999999</v>
      </c>
      <c r="N969">
        <v>0</v>
      </c>
      <c r="O969">
        <v>-3.7107820000000001E-3</v>
      </c>
      <c r="P969">
        <v>0.99842149999999996</v>
      </c>
      <c r="Q969">
        <v>4.5665549999999999E-2</v>
      </c>
      <c r="R969">
        <v>-3.270468E-2</v>
      </c>
      <c r="S969">
        <v>3.0215450000000001</v>
      </c>
      <c r="T969">
        <v>-0.7125821</v>
      </c>
      <c r="U969">
        <v>-0.48330689999999998</v>
      </c>
      <c r="V969">
        <v>2.9001180000000001E-2</v>
      </c>
      <c r="W969">
        <v>5.947732E-2</v>
      </c>
      <c r="X969">
        <v>0.99780829999999998</v>
      </c>
      <c r="Y969">
        <v>0.15035689999999999</v>
      </c>
      <c r="Z969">
        <v>-1.6525539999999998E-2</v>
      </c>
      <c r="AA969">
        <v>0.98849370000000003</v>
      </c>
      <c r="AB969">
        <v>25</v>
      </c>
      <c r="AC969">
        <v>0.70510000000001505</v>
      </c>
      <c r="AD969">
        <v>-0.19515289999999999</v>
      </c>
      <c r="AE969">
        <v>-0.132200000000011</v>
      </c>
      <c r="AF969">
        <v>0.120653736531872</v>
      </c>
      <c r="AG969">
        <v>-0.19515289999999999</v>
      </c>
      <c r="AH969">
        <v>0.65696869054773299</v>
      </c>
      <c r="AI969">
        <v>106.28647891979401</v>
      </c>
      <c r="AJ969">
        <v>79.593468311608305</v>
      </c>
      <c r="AK969">
        <v>0.69588062113951399</v>
      </c>
      <c r="AL969">
        <v>86.590188211256404</v>
      </c>
      <c r="AM969">
        <v>88.335173649371399</v>
      </c>
      <c r="AN969">
        <v>1.00000001179233</v>
      </c>
    </row>
    <row r="970" spans="1:40" x14ac:dyDescent="0.25">
      <c r="A970" t="str">
        <f>"20190312150651312"</f>
        <v>20190312150651312</v>
      </c>
      <c r="B970" t="str">
        <f>"1552374411301308"</f>
        <v>1552374411301308</v>
      </c>
      <c r="C970" t="s">
        <v>40</v>
      </c>
      <c r="D970">
        <v>4.4839890000000002</v>
      </c>
      <c r="E970">
        <v>0.54766919999999897</v>
      </c>
      <c r="F970" t="s">
        <v>41</v>
      </c>
      <c r="G970">
        <v>-332.20510000000002</v>
      </c>
      <c r="H970">
        <v>0.94145619999999997</v>
      </c>
      <c r="I970">
        <v>367.24599999999998</v>
      </c>
      <c r="J970">
        <v>-332.80500000000001</v>
      </c>
      <c r="K970">
        <v>1.1106</v>
      </c>
      <c r="L970">
        <v>367.3603</v>
      </c>
      <c r="M970">
        <v>0.99989749999999999</v>
      </c>
      <c r="N970">
        <v>0</v>
      </c>
      <c r="O970">
        <v>-3.710774E-3</v>
      </c>
      <c r="P970">
        <v>0.99844129999999998</v>
      </c>
      <c r="Q970">
        <v>4.5431199999999998E-2</v>
      </c>
      <c r="R970">
        <v>-3.2422449999999998E-2</v>
      </c>
      <c r="S970">
        <v>3.021576</v>
      </c>
      <c r="T970">
        <v>-0.71346100000000001</v>
      </c>
      <c r="U970">
        <v>-0.4826355</v>
      </c>
      <c r="V970">
        <v>2.871903E-2</v>
      </c>
      <c r="W970">
        <v>5.9242179999999998E-2</v>
      </c>
      <c r="X970">
        <v>0.99783049999999995</v>
      </c>
      <c r="Y970">
        <v>0.1501374</v>
      </c>
      <c r="Z970">
        <v>-1.6520090000000001E-2</v>
      </c>
      <c r="AA970">
        <v>0.98852709999999999</v>
      </c>
      <c r="AB970">
        <v>25</v>
      </c>
      <c r="AC970">
        <v>0.599899999999991</v>
      </c>
      <c r="AD970">
        <v>-0.16914380000000001</v>
      </c>
      <c r="AE970">
        <v>-0.114300000000014</v>
      </c>
      <c r="AF970">
        <v>0.10408802088287999</v>
      </c>
      <c r="AG970">
        <v>-0.16914380000000001</v>
      </c>
      <c r="AH970">
        <v>0.55754890128577195</v>
      </c>
      <c r="AI970">
        <v>106.60552805392599</v>
      </c>
      <c r="AJ970">
        <v>79.425262503902005</v>
      </c>
      <c r="AK970">
        <v>0.59186545641279498</v>
      </c>
      <c r="AL970">
        <v>86.603684712341902</v>
      </c>
      <c r="AM970">
        <v>88.351398279066899</v>
      </c>
      <c r="AN970">
        <v>1.0000000626527601</v>
      </c>
    </row>
    <row r="971" spans="1:40" x14ac:dyDescent="0.25">
      <c r="A971" t="str">
        <f>"20190312150651322"</f>
        <v>20190312150651322</v>
      </c>
      <c r="B971" t="str">
        <f>"1552374411311068"</f>
        <v>1552374411311068</v>
      </c>
      <c r="C971" t="s">
        <v>40</v>
      </c>
      <c r="D971">
        <v>4.5680120000000004</v>
      </c>
      <c r="E971">
        <v>0.54764049999999997</v>
      </c>
      <c r="F971" t="s">
        <v>41</v>
      </c>
      <c r="G971">
        <v>-331.99590000000001</v>
      </c>
      <c r="H971">
        <v>0.91940029999999995</v>
      </c>
      <c r="I971">
        <v>367.23129999999998</v>
      </c>
      <c r="J971">
        <v>-332.68169999999998</v>
      </c>
      <c r="K971">
        <v>1.1105989999999999</v>
      </c>
      <c r="L971">
        <v>367.35980000000001</v>
      </c>
      <c r="M971">
        <v>0.99989740000000005</v>
      </c>
      <c r="N971">
        <v>0</v>
      </c>
      <c r="O971">
        <v>-3.7106460000000002E-3</v>
      </c>
      <c r="P971">
        <v>0.99843530000000003</v>
      </c>
      <c r="Q971">
        <v>4.5415089999999998E-2</v>
      </c>
      <c r="R971">
        <v>-3.2624649999999998E-2</v>
      </c>
      <c r="S971">
        <v>3.021576</v>
      </c>
      <c r="T971">
        <v>-0.71401859999999995</v>
      </c>
      <c r="U971">
        <v>-0.48168949999999999</v>
      </c>
      <c r="V971">
        <v>2.8921599999999999E-2</v>
      </c>
      <c r="W971">
        <v>5.9224560000000002E-2</v>
      </c>
      <c r="X971">
        <v>0.99782559999999998</v>
      </c>
      <c r="Y971">
        <v>0.14983750000000001</v>
      </c>
      <c r="Z971">
        <v>-1.649834E-2</v>
      </c>
      <c r="AA971">
        <v>0.98857300000000004</v>
      </c>
      <c r="AB971">
        <v>25</v>
      </c>
      <c r="AC971">
        <v>0.68579999999997199</v>
      </c>
      <c r="AD971">
        <v>-0.191198699999999</v>
      </c>
      <c r="AE971">
        <v>-0.12850000000003001</v>
      </c>
      <c r="AF971">
        <v>0.11715667480299</v>
      </c>
      <c r="AG971">
        <v>-0.191198699999999</v>
      </c>
      <c r="AH971">
        <v>0.63833853250196904</v>
      </c>
      <c r="AI971">
        <v>106.415227317131</v>
      </c>
      <c r="AJ971">
        <v>79.600032074675099</v>
      </c>
      <c r="AK971">
        <v>0.67657868087115403</v>
      </c>
      <c r="AL971">
        <v>86.604695716985901</v>
      </c>
      <c r="AM971">
        <v>88.339768185278203</v>
      </c>
      <c r="AN971">
        <v>0.99999996773455602</v>
      </c>
    </row>
    <row r="972" spans="1:40" x14ac:dyDescent="0.25">
      <c r="A972" t="str">
        <f>"20190312150651334"</f>
        <v>20190312150651334</v>
      </c>
      <c r="B972" t="str">
        <f>"1552374411331564"</f>
        <v>1552374411331564</v>
      </c>
      <c r="C972" t="s">
        <v>40</v>
      </c>
      <c r="D972">
        <v>4.6933170000000004</v>
      </c>
      <c r="E972">
        <v>0.5476145</v>
      </c>
      <c r="F972" t="s">
        <v>41</v>
      </c>
      <c r="G972">
        <v>-331.98399999999998</v>
      </c>
      <c r="H972">
        <v>0.94581380000000004</v>
      </c>
      <c r="I972">
        <v>367.24849999999998</v>
      </c>
      <c r="J972">
        <v>-332.55840000000001</v>
      </c>
      <c r="K972">
        <v>1.1105989999999999</v>
      </c>
      <c r="L972">
        <v>367.35930000000002</v>
      </c>
      <c r="M972">
        <v>0.99989749999999999</v>
      </c>
      <c r="N972">
        <v>0</v>
      </c>
      <c r="O972">
        <v>-3.710756E-3</v>
      </c>
      <c r="P972">
        <v>0.99844520000000003</v>
      </c>
      <c r="Q972">
        <v>4.5329309999999998E-2</v>
      </c>
      <c r="R972">
        <v>-3.244184E-2</v>
      </c>
      <c r="S972">
        <v>3.0213930000000002</v>
      </c>
      <c r="T972">
        <v>-0.71368769999999904</v>
      </c>
      <c r="U972">
        <v>-0.48205569999999998</v>
      </c>
      <c r="V972">
        <v>2.8738590000000001E-2</v>
      </c>
      <c r="W972">
        <v>5.9137929999999998E-2</v>
      </c>
      <c r="X972">
        <v>0.9978361</v>
      </c>
      <c r="Y972">
        <v>0.1499634</v>
      </c>
      <c r="Z972">
        <v>-1.6506259999999998E-2</v>
      </c>
      <c r="AA972">
        <v>0.98855380000000004</v>
      </c>
      <c r="AB972">
        <v>25</v>
      </c>
      <c r="AC972">
        <v>0.57439999999996805</v>
      </c>
      <c r="AD972">
        <v>-0.16478519999999899</v>
      </c>
      <c r="AE972">
        <v>-0.11080000000004001</v>
      </c>
      <c r="AF972">
        <v>0.100678816765122</v>
      </c>
      <c r="AG972">
        <v>-0.16478519999999899</v>
      </c>
      <c r="AH972">
        <v>0.532549956896612</v>
      </c>
      <c r="AI972">
        <v>106.911433434225</v>
      </c>
      <c r="AJ972">
        <v>79.294550845679893</v>
      </c>
      <c r="AK972">
        <v>0.56648022284528898</v>
      </c>
      <c r="AL972">
        <v>86.6096682173267</v>
      </c>
      <c r="AM972">
        <v>88.350285320578493</v>
      </c>
      <c r="AN972">
        <v>1.00000004189154</v>
      </c>
    </row>
    <row r="973" spans="1:40" x14ac:dyDescent="0.25">
      <c r="A973" t="str">
        <f>"20190312150651346"</f>
        <v>20190312150651346</v>
      </c>
      <c r="B973" t="str">
        <f>"1552374411341324"</f>
        <v>1552374411341324</v>
      </c>
      <c r="C973" t="s">
        <v>40</v>
      </c>
      <c r="D973">
        <v>4.158118</v>
      </c>
      <c r="E973">
        <v>0.54759780000000002</v>
      </c>
      <c r="F973" t="s">
        <v>41</v>
      </c>
      <c r="G973">
        <v>-331.77460000000002</v>
      </c>
      <c r="H973">
        <v>0.92523999999999995</v>
      </c>
      <c r="I973">
        <v>367.23419999999999</v>
      </c>
      <c r="J973">
        <v>-332.43389999999999</v>
      </c>
      <c r="K973">
        <v>1.110598</v>
      </c>
      <c r="L973">
        <v>367.35890000000001</v>
      </c>
      <c r="M973">
        <v>0.99989749999999999</v>
      </c>
      <c r="N973">
        <v>0</v>
      </c>
      <c r="O973">
        <v>-3.7107479999999998E-3</v>
      </c>
      <c r="P973">
        <v>0.99844929999999998</v>
      </c>
      <c r="Q973">
        <v>4.5260790000000002E-2</v>
      </c>
      <c r="R973">
        <v>-3.2413869999999997E-2</v>
      </c>
      <c r="S973">
        <v>3.021515</v>
      </c>
      <c r="T973">
        <v>-0.71457419999999905</v>
      </c>
      <c r="U973">
        <v>-0.4812012</v>
      </c>
      <c r="V973">
        <v>2.8710530000000001E-2</v>
      </c>
      <c r="W973">
        <v>5.9067960000000003E-2</v>
      </c>
      <c r="X973">
        <v>0.99784099999999998</v>
      </c>
      <c r="Y973">
        <v>0.1496826</v>
      </c>
      <c r="Z973">
        <v>-1.649337E-2</v>
      </c>
      <c r="AA973">
        <v>0.98859660000000005</v>
      </c>
      <c r="AB973">
        <v>25</v>
      </c>
      <c r="AC973">
        <v>0.65929999999997302</v>
      </c>
      <c r="AD973">
        <v>-0.18535799999999999</v>
      </c>
      <c r="AE973">
        <v>-0.124700000000018</v>
      </c>
      <c r="AF973">
        <v>0.113584571278951</v>
      </c>
      <c r="AG973">
        <v>-0.18535799999999999</v>
      </c>
      <c r="AH973">
        <v>0.61298059872585797</v>
      </c>
      <c r="AI973">
        <v>106.55861737089</v>
      </c>
      <c r="AJ973">
        <v>79.502229130760298</v>
      </c>
      <c r="AK973">
        <v>0.65038777464750497</v>
      </c>
      <c r="AL973">
        <v>86.613684046846103</v>
      </c>
      <c r="AM973">
        <v>88.351903281290205</v>
      </c>
      <c r="AN973">
        <v>0.99999998985622096</v>
      </c>
    </row>
    <row r="974" spans="1:40" x14ac:dyDescent="0.25">
      <c r="A974" t="str">
        <f>"20190312150651356"</f>
        <v>20190312150651356</v>
      </c>
      <c r="B974" t="str">
        <f>"1552374411351084"</f>
        <v>1552374411351084</v>
      </c>
      <c r="C974" t="s">
        <v>40</v>
      </c>
      <c r="D974">
        <v>4.1867409999999996</v>
      </c>
      <c r="E974">
        <v>0.54756329999999998</v>
      </c>
      <c r="F974" t="s">
        <v>41</v>
      </c>
      <c r="G974">
        <v>-331.56439999999998</v>
      </c>
      <c r="H974">
        <v>0.90480760000000005</v>
      </c>
      <c r="I974">
        <v>367.22039999999998</v>
      </c>
      <c r="J974">
        <v>-332.30529999999999</v>
      </c>
      <c r="K974">
        <v>1.1105940000000001</v>
      </c>
      <c r="L974">
        <v>367.35840000000002</v>
      </c>
      <c r="M974">
        <v>0.99989749999999999</v>
      </c>
      <c r="N974">
        <v>0</v>
      </c>
      <c r="O974">
        <v>-3.7107389999999998E-3</v>
      </c>
      <c r="P974">
        <v>0.99846080000000004</v>
      </c>
      <c r="Q974">
        <v>4.5108820000000001E-2</v>
      </c>
      <c r="R974">
        <v>-3.2273179999999999E-2</v>
      </c>
      <c r="S974">
        <v>3.0214539999999999</v>
      </c>
      <c r="T974">
        <v>-0.71516849999999998</v>
      </c>
      <c r="U974">
        <v>-0.48104859999999999</v>
      </c>
      <c r="V974">
        <v>2.8569810000000001E-2</v>
      </c>
      <c r="W974">
        <v>5.8915170000000003E-2</v>
      </c>
      <c r="X974">
        <v>0.99785409999999997</v>
      </c>
      <c r="Y974">
        <v>0.14963170000000001</v>
      </c>
      <c r="Z974">
        <v>-1.6501209999999999E-2</v>
      </c>
      <c r="AA974">
        <v>0.98860409999999999</v>
      </c>
      <c r="AB974">
        <v>24</v>
      </c>
      <c r="AC974">
        <v>0.74090000000001</v>
      </c>
      <c r="AD974">
        <v>-0.20578640000000001</v>
      </c>
      <c r="AE974">
        <v>-0.13800000000003301</v>
      </c>
      <c r="AF974">
        <v>0.12586506910968601</v>
      </c>
      <c r="AG974">
        <v>-0.20578640000000001</v>
      </c>
      <c r="AH974">
        <v>0.68996370961729003</v>
      </c>
      <c r="AI974">
        <v>106.352462286788</v>
      </c>
      <c r="AJ974">
        <v>79.661627010732104</v>
      </c>
      <c r="AK974">
        <v>0.730917217361719</v>
      </c>
      <c r="AL974">
        <v>86.622453636817596</v>
      </c>
      <c r="AM974">
        <v>88.359998256054197</v>
      </c>
      <c r="AN974">
        <v>1.0000000180931801</v>
      </c>
    </row>
    <row r="975" spans="1:40" x14ac:dyDescent="0.25">
      <c r="A975" t="str">
        <f>"20190312150651369"</f>
        <v>20190312150651369</v>
      </c>
      <c r="B975" t="str">
        <f>"1552374411361820"</f>
        <v>1552374411361820</v>
      </c>
      <c r="C975" t="s">
        <v>40</v>
      </c>
      <c r="D975">
        <v>4.710013</v>
      </c>
      <c r="E975">
        <v>0.54755489999999996</v>
      </c>
      <c r="F975" t="s">
        <v>41</v>
      </c>
      <c r="G975">
        <v>-331.55290000000002</v>
      </c>
      <c r="H975">
        <v>0.93236980000000003</v>
      </c>
      <c r="I975">
        <v>367.23860000000002</v>
      </c>
      <c r="J975">
        <v>-332.17599999999999</v>
      </c>
      <c r="K975">
        <v>1.1105940000000001</v>
      </c>
      <c r="L975">
        <v>367.35789999999997</v>
      </c>
      <c r="M975">
        <v>0.9998977</v>
      </c>
      <c r="N975">
        <v>0</v>
      </c>
      <c r="O975">
        <v>-3.7109679999999998E-3</v>
      </c>
      <c r="P975">
        <v>0.99845050000000002</v>
      </c>
      <c r="Q975">
        <v>4.5208470000000001E-2</v>
      </c>
      <c r="R975">
        <v>-3.2450739999999999E-2</v>
      </c>
      <c r="S975">
        <v>3.0214539999999999</v>
      </c>
      <c r="T975">
        <v>-0.71571560000000001</v>
      </c>
      <c r="U975">
        <v>-0.48080440000000002</v>
      </c>
      <c r="V975">
        <v>2.8747180000000001E-2</v>
      </c>
      <c r="W975">
        <v>5.9012740000000001E-2</v>
      </c>
      <c r="X975">
        <v>0.99784320000000004</v>
      </c>
      <c r="Y975">
        <v>0.14954979999999901</v>
      </c>
      <c r="Z975">
        <v>-1.6504040000000001E-2</v>
      </c>
      <c r="AA975">
        <v>0.98861650000000001</v>
      </c>
      <c r="AB975">
        <v>24</v>
      </c>
      <c r="AC975">
        <v>0.62309999999996502</v>
      </c>
      <c r="AD975">
        <v>-0.1782242</v>
      </c>
      <c r="AE975">
        <v>-0.119299999999952</v>
      </c>
      <c r="AF975">
        <v>0.1084294892214</v>
      </c>
      <c r="AG975">
        <v>-0.1782242</v>
      </c>
      <c r="AH975">
        <v>0.57792881226854997</v>
      </c>
      <c r="AI975">
        <v>106.861843788269</v>
      </c>
      <c r="AJ975">
        <v>79.373847927246899</v>
      </c>
      <c r="AK975">
        <v>0.61442862209421101</v>
      </c>
      <c r="AL975">
        <v>86.616853407746504</v>
      </c>
      <c r="AM975">
        <v>88.349804226740602</v>
      </c>
      <c r="AN975">
        <v>0.99999997781324901</v>
      </c>
    </row>
    <row r="976" spans="1:40" x14ac:dyDescent="0.25">
      <c r="A976" t="str">
        <f>"20190312150651380"</f>
        <v>20190312150651380</v>
      </c>
      <c r="B976" t="str">
        <f>"1552374411371580"</f>
        <v>1552374411371580</v>
      </c>
      <c r="C976" t="s">
        <v>40</v>
      </c>
      <c r="D976">
        <v>6.9541919999999999</v>
      </c>
      <c r="E976">
        <v>0.54754360000000002</v>
      </c>
      <c r="F976" t="s">
        <v>41</v>
      </c>
      <c r="G976">
        <v>-331.34280000000001</v>
      </c>
      <c r="H976">
        <v>0.91324439999999996</v>
      </c>
      <c r="I976">
        <v>367.22500000000002</v>
      </c>
      <c r="J976">
        <v>-332.04880000000003</v>
      </c>
      <c r="K976">
        <v>1.110595</v>
      </c>
      <c r="L976">
        <v>367.35739999999998</v>
      </c>
      <c r="M976">
        <v>0.9998977</v>
      </c>
      <c r="N976">
        <v>0</v>
      </c>
      <c r="O976">
        <v>-3.7107199999999998E-3</v>
      </c>
      <c r="P976">
        <v>0.99843899999999997</v>
      </c>
      <c r="Q976">
        <v>4.5431249999999999E-2</v>
      </c>
      <c r="R976">
        <v>-3.2493540000000001E-2</v>
      </c>
      <c r="S976">
        <v>3.0214539999999999</v>
      </c>
      <c r="T976">
        <v>-0.71562109999999901</v>
      </c>
      <c r="U976">
        <v>-0.48126219999999997</v>
      </c>
      <c r="V976">
        <v>2.8790389999999999E-2</v>
      </c>
      <c r="W976">
        <v>5.9234090000000003E-2</v>
      </c>
      <c r="X976">
        <v>0.99782879999999996</v>
      </c>
      <c r="Y976">
        <v>0.1496934</v>
      </c>
      <c r="Z976">
        <v>-1.651845E-2</v>
      </c>
      <c r="AA976">
        <v>0.98859450000000004</v>
      </c>
      <c r="AB976">
        <v>24</v>
      </c>
      <c r="AC976">
        <v>0.70600000000001695</v>
      </c>
      <c r="AD976">
        <v>-0.19735059999999999</v>
      </c>
      <c r="AE976">
        <v>-0.13239999999996099</v>
      </c>
      <c r="AF976">
        <v>0.120670364799095</v>
      </c>
      <c r="AG976">
        <v>-0.19735059999999999</v>
      </c>
      <c r="AH976">
        <v>0.65690085345190996</v>
      </c>
      <c r="AI976">
        <v>106.46149782041</v>
      </c>
      <c r="AJ976">
        <v>79.591014125566502</v>
      </c>
      <c r="AK976">
        <v>0.69643903360377102</v>
      </c>
      <c r="AL976">
        <v>86.604148630346799</v>
      </c>
      <c r="AM976">
        <v>88.347301348434101</v>
      </c>
      <c r="AN976">
        <v>0.99999993904195805</v>
      </c>
    </row>
    <row r="977" spans="1:40" x14ac:dyDescent="0.25">
      <c r="A977" t="str">
        <f>"20190312150651392"</f>
        <v>20190312150651392</v>
      </c>
      <c r="B977" t="str">
        <f>"1552374411381340"</f>
        <v>1552374411381340</v>
      </c>
      <c r="C977" t="s">
        <v>40</v>
      </c>
      <c r="D977">
        <v>4.1527180000000001</v>
      </c>
      <c r="E977">
        <v>0.54755100000000001</v>
      </c>
      <c r="F977" t="s">
        <v>41</v>
      </c>
      <c r="G977">
        <v>-331.33080000000001</v>
      </c>
      <c r="H977">
        <v>0.94075070000000005</v>
      </c>
      <c r="I977">
        <v>367.24290000000002</v>
      </c>
      <c r="J977">
        <v>-331.92529999999999</v>
      </c>
      <c r="K977">
        <v>1.1105959999999999</v>
      </c>
      <c r="L977">
        <v>367.3569</v>
      </c>
      <c r="M977">
        <v>0.9998977</v>
      </c>
      <c r="N977">
        <v>0</v>
      </c>
      <c r="O977">
        <v>-3.7107120000000001E-3</v>
      </c>
      <c r="P977">
        <v>0.99843000000000004</v>
      </c>
      <c r="Q977">
        <v>4.5662220000000003E-2</v>
      </c>
      <c r="R977">
        <v>-3.244623E-2</v>
      </c>
      <c r="S977">
        <v>3.0216059999999998</v>
      </c>
      <c r="T977">
        <v>-0.71475869999999997</v>
      </c>
      <c r="U977">
        <v>-0.48126219999999997</v>
      </c>
      <c r="V977">
        <v>2.8743080000000001E-2</v>
      </c>
      <c r="W977">
        <v>5.9463519999999999E-2</v>
      </c>
      <c r="X977">
        <v>0.99781660000000005</v>
      </c>
      <c r="Y977">
        <v>0.1496953</v>
      </c>
      <c r="Z977">
        <v>-1.6498499999999999E-2</v>
      </c>
      <c r="AA977">
        <v>0.98859450000000004</v>
      </c>
      <c r="AB977">
        <v>24</v>
      </c>
      <c r="AC977">
        <v>0.59449999999998204</v>
      </c>
      <c r="AD977">
        <v>-0.16984529999999901</v>
      </c>
      <c r="AE977">
        <v>-0.113999999999975</v>
      </c>
      <c r="AF977">
        <v>0.103634234214426</v>
      </c>
      <c r="AG977">
        <v>-0.16984529999999901</v>
      </c>
      <c r="AH977">
        <v>0.55150125013260198</v>
      </c>
      <c r="AI977">
        <v>106.83956909520801</v>
      </c>
      <c r="AJ977">
        <v>79.357488959628398</v>
      </c>
      <c r="AK977">
        <v>0.58629438794100996</v>
      </c>
      <c r="AL977">
        <v>86.590980326525496</v>
      </c>
      <c r="AM977">
        <v>88.349995491314601</v>
      </c>
      <c r="AN977">
        <v>1.0000000210471101</v>
      </c>
    </row>
    <row r="978" spans="1:40" x14ac:dyDescent="0.25">
      <c r="A978" t="str">
        <f>"20190312150651405"</f>
        <v>20190312150651405</v>
      </c>
      <c r="B978" t="str">
        <f>"1552374411401836"</f>
        <v>1552374411401836</v>
      </c>
      <c r="C978" t="s">
        <v>40</v>
      </c>
      <c r="D978">
        <v>4.2123059999999999</v>
      </c>
      <c r="E978">
        <v>0.54747480000000004</v>
      </c>
      <c r="F978" t="s">
        <v>41</v>
      </c>
      <c r="G978">
        <v>-331.12180000000001</v>
      </c>
      <c r="H978">
        <v>0.92066040000000005</v>
      </c>
      <c r="I978">
        <v>367.22910000000002</v>
      </c>
      <c r="J978">
        <v>-331.78750000000002</v>
      </c>
      <c r="K978">
        <v>1.110595</v>
      </c>
      <c r="L978">
        <v>367.35640000000001</v>
      </c>
      <c r="M978">
        <v>0.9998977</v>
      </c>
      <c r="N978">
        <v>0</v>
      </c>
      <c r="O978">
        <v>-3.7107020000000002E-3</v>
      </c>
      <c r="P978">
        <v>0.99842200000000003</v>
      </c>
      <c r="Q978">
        <v>4.5865999999999997E-2</v>
      </c>
      <c r="R978">
        <v>-3.2402340000000002E-2</v>
      </c>
      <c r="S978">
        <v>3.0217589999999999</v>
      </c>
      <c r="T978">
        <v>-0.71427830000000003</v>
      </c>
      <c r="U978">
        <v>-0.48107909999999998</v>
      </c>
      <c r="V978">
        <v>2.869932E-2</v>
      </c>
      <c r="W978">
        <v>5.9666289999999997E-2</v>
      </c>
      <c r="X978">
        <v>0.99780570000000002</v>
      </c>
      <c r="Y978">
        <v>0.149636299999999</v>
      </c>
      <c r="Z978">
        <v>-1.6480140000000001E-2</v>
      </c>
      <c r="AA978">
        <v>0.98860380000000003</v>
      </c>
      <c r="AB978">
        <v>24</v>
      </c>
      <c r="AC978">
        <v>0.66570000000001495</v>
      </c>
      <c r="AD978">
        <v>-0.18993460000000001</v>
      </c>
      <c r="AE978">
        <v>-0.127299999999991</v>
      </c>
      <c r="AF978">
        <v>0.115739295681569</v>
      </c>
      <c r="AG978">
        <v>-0.18993460000000001</v>
      </c>
      <c r="AH978">
        <v>0.61766094089707502</v>
      </c>
      <c r="AI978">
        <v>106.817217921075</v>
      </c>
      <c r="AJ978">
        <v>79.386808646293005</v>
      </c>
      <c r="AK978">
        <v>0.65648745209020198</v>
      </c>
      <c r="AL978">
        <v>86.579341608190404</v>
      </c>
      <c r="AM978">
        <v>88.352488173564495</v>
      </c>
      <c r="AN978">
        <v>0.99999996604165697</v>
      </c>
    </row>
    <row r="979" spans="1:40" x14ac:dyDescent="0.25">
      <c r="A979" t="str">
        <f>"20190312150651418"</f>
        <v>20190312150651418</v>
      </c>
      <c r="B979" t="str">
        <f>"1552374411411596"</f>
        <v>1552374411411596</v>
      </c>
      <c r="C979" t="s">
        <v>40</v>
      </c>
      <c r="D979">
        <v>4.5849780000000004</v>
      </c>
      <c r="E979">
        <v>0.54746759999999905</v>
      </c>
      <c r="F979" t="s">
        <v>41</v>
      </c>
      <c r="G979">
        <v>-330.91090000000003</v>
      </c>
      <c r="H979">
        <v>0.90370879999999998</v>
      </c>
      <c r="I979">
        <v>367.21660000000003</v>
      </c>
      <c r="J979">
        <v>-331.63940000000002</v>
      </c>
      <c r="K979">
        <v>1.1105959999999999</v>
      </c>
      <c r="L979">
        <v>367.35590000000002</v>
      </c>
      <c r="M979">
        <v>0.99989749999999999</v>
      </c>
      <c r="N979">
        <v>0</v>
      </c>
      <c r="O979">
        <v>-3.7105720000000001E-3</v>
      </c>
      <c r="P979">
        <v>0.99842640000000005</v>
      </c>
      <c r="Q979">
        <v>4.5823580000000003E-2</v>
      </c>
      <c r="R979">
        <v>-3.2326050000000002E-2</v>
      </c>
      <c r="S979">
        <v>3.0219119999999999</v>
      </c>
      <c r="T979">
        <v>-0.71325729999999998</v>
      </c>
      <c r="U979">
        <v>-0.48065190000000002</v>
      </c>
      <c r="V979">
        <v>2.8623039999999999E-2</v>
      </c>
      <c r="W979">
        <v>5.9622019999999998E-2</v>
      </c>
      <c r="X979">
        <v>0.99781050000000004</v>
      </c>
      <c r="Y979">
        <v>0.14950720000000001</v>
      </c>
      <c r="Z979">
        <v>-1.644166E-2</v>
      </c>
      <c r="AA979">
        <v>0.9886239</v>
      </c>
      <c r="AB979">
        <v>24</v>
      </c>
      <c r="AC979">
        <v>0.72849999999999604</v>
      </c>
      <c r="AD979">
        <v>-0.20688719999999899</v>
      </c>
      <c r="AE979">
        <v>-0.13929999999999099</v>
      </c>
      <c r="AF979">
        <v>0.12673491025435299</v>
      </c>
      <c r="AG979">
        <v>-0.20688719999999899</v>
      </c>
      <c r="AH979">
        <v>0.67638517648100305</v>
      </c>
      <c r="AI979">
        <v>106.73287894771001</v>
      </c>
      <c r="AJ979">
        <v>79.387489661664006</v>
      </c>
      <c r="AK979">
        <v>0.718582603438364</v>
      </c>
      <c r="AL979">
        <v>86.581882488734806</v>
      </c>
      <c r="AM979">
        <v>88.356872595991206</v>
      </c>
      <c r="AN979">
        <v>0.99999992879898303</v>
      </c>
    </row>
    <row r="980" spans="1:40" x14ac:dyDescent="0.25">
      <c r="A980" t="str">
        <f>"20190312150651432"</f>
        <v>20190312150651432</v>
      </c>
      <c r="B980" t="str">
        <f>"1552374411421356"</f>
        <v>1552374411421356</v>
      </c>
      <c r="C980" t="s">
        <v>40</v>
      </c>
      <c r="D980">
        <v>4.3704179999999999</v>
      </c>
      <c r="E980">
        <v>0.54747650000000003</v>
      </c>
      <c r="F980" t="s">
        <v>41</v>
      </c>
      <c r="G980">
        <v>-330.89749999999998</v>
      </c>
      <c r="H980">
        <v>0.93542979999999998</v>
      </c>
      <c r="I980">
        <v>367.23770000000002</v>
      </c>
      <c r="J980">
        <v>-331.49939999999998</v>
      </c>
      <c r="K980">
        <v>1.1105940000000001</v>
      </c>
      <c r="L980">
        <v>367.35539999999997</v>
      </c>
      <c r="M980">
        <v>0.9998977</v>
      </c>
      <c r="N980">
        <v>0</v>
      </c>
      <c r="O980">
        <v>-3.710681E-3</v>
      </c>
      <c r="P980">
        <v>0.99841999999999997</v>
      </c>
      <c r="Q980">
        <v>4.5967429999999997E-2</v>
      </c>
      <c r="R980">
        <v>-3.2321660000000002E-2</v>
      </c>
      <c r="S980">
        <v>3.021973</v>
      </c>
      <c r="T980">
        <v>-0.71355210000000002</v>
      </c>
      <c r="U980">
        <v>-0.4802246</v>
      </c>
      <c r="V980">
        <v>2.8618569999999999E-2</v>
      </c>
      <c r="W980">
        <v>5.9764810000000002E-2</v>
      </c>
      <c r="X980">
        <v>0.99780210000000003</v>
      </c>
      <c r="Y980">
        <v>0.14936820000000001</v>
      </c>
      <c r="Z980">
        <v>-1.643203E-2</v>
      </c>
      <c r="AA980">
        <v>0.98864510000000005</v>
      </c>
      <c r="AB980">
        <v>24</v>
      </c>
      <c r="AC980">
        <v>0.60189999999999999</v>
      </c>
      <c r="AD980">
        <v>-0.17516419999999999</v>
      </c>
      <c r="AE980">
        <v>-0.11769999999995601</v>
      </c>
      <c r="AF980">
        <v>0.106757057645186</v>
      </c>
      <c r="AG980">
        <v>-0.17516419999999999</v>
      </c>
      <c r="AH980">
        <v>0.55690445256415699</v>
      </c>
      <c r="AI980">
        <v>107.166297476152</v>
      </c>
      <c r="AJ980">
        <v>79.148204622044702</v>
      </c>
      <c r="AK980">
        <v>0.59348305418476899</v>
      </c>
      <c r="AL980">
        <v>86.573686656969301</v>
      </c>
      <c r="AM980">
        <v>88.357115236174295</v>
      </c>
      <c r="AN980">
        <v>0.99999994291379302</v>
      </c>
    </row>
    <row r="981" spans="1:40" x14ac:dyDescent="0.25">
      <c r="A981" t="str">
        <f>"20190312150651447"</f>
        <v>20190312150651447</v>
      </c>
      <c r="B981" t="str">
        <f>"1552374411441852"</f>
        <v>1552374411441852</v>
      </c>
      <c r="C981" t="s">
        <v>40</v>
      </c>
      <c r="D981">
        <v>4.5374059999999998</v>
      </c>
      <c r="E981">
        <v>0.54749939999999997</v>
      </c>
      <c r="F981" t="s">
        <v>41</v>
      </c>
      <c r="G981">
        <v>-330.68740000000003</v>
      </c>
      <c r="H981">
        <v>0.91879370000000005</v>
      </c>
      <c r="I981">
        <v>367.22609999999997</v>
      </c>
      <c r="J981">
        <v>-331.32530000000003</v>
      </c>
      <c r="K981">
        <v>1.110595</v>
      </c>
      <c r="L981">
        <v>367.35480000000001</v>
      </c>
      <c r="M981">
        <v>0.9998977</v>
      </c>
      <c r="N981">
        <v>0</v>
      </c>
      <c r="O981">
        <v>-3.7106690000000002E-3</v>
      </c>
      <c r="P981">
        <v>0.99844239999999995</v>
      </c>
      <c r="Q981">
        <v>4.5421679999999999E-2</v>
      </c>
      <c r="R981">
        <v>-3.240258E-2</v>
      </c>
      <c r="S981">
        <v>3.0220340000000001</v>
      </c>
      <c r="T981">
        <v>-0.71386539999999998</v>
      </c>
      <c r="U981">
        <v>-0.48040769999999999</v>
      </c>
      <c r="V981">
        <v>2.8699410000000002E-2</v>
      </c>
      <c r="W981">
        <v>5.9216949999999997E-2</v>
      </c>
      <c r="X981">
        <v>0.99783250000000001</v>
      </c>
      <c r="Y981">
        <v>0.149419</v>
      </c>
      <c r="Z981">
        <v>-1.6444540000000001E-2</v>
      </c>
      <c r="AA981">
        <v>0.98863719999999999</v>
      </c>
      <c r="AB981">
        <v>24</v>
      </c>
      <c r="AC981">
        <v>0.63790000000000102</v>
      </c>
      <c r="AD981">
        <v>-0.19180130000000001</v>
      </c>
      <c r="AE981">
        <v>-0.12870000000003701</v>
      </c>
      <c r="AF981">
        <v>0.116234550603977</v>
      </c>
      <c r="AG981">
        <v>-0.19180130000000001</v>
      </c>
      <c r="AH981">
        <v>0.58735008337178196</v>
      </c>
      <c r="AI981">
        <v>107.762398203883</v>
      </c>
      <c r="AJ981">
        <v>78.805998157341094</v>
      </c>
      <c r="AK981">
        <v>0.62871164286391101</v>
      </c>
      <c r="AL981">
        <v>86.605132616456004</v>
      </c>
      <c r="AM981">
        <v>88.352527234855998</v>
      </c>
      <c r="AN981">
        <v>1.00000000067895</v>
      </c>
    </row>
    <row r="982" spans="1:40" x14ac:dyDescent="0.25">
      <c r="A982" t="str">
        <f>"20190312150651460"</f>
        <v>20190312150651460</v>
      </c>
      <c r="B982" t="str">
        <f>"1552374411451612"</f>
        <v>1552374411451612</v>
      </c>
      <c r="C982" t="s">
        <v>40</v>
      </c>
      <c r="D982">
        <v>4.1395569999999999</v>
      </c>
      <c r="E982">
        <v>0.54748940000000001</v>
      </c>
      <c r="F982" t="s">
        <v>41</v>
      </c>
      <c r="G982">
        <v>-330.47430000000003</v>
      </c>
      <c r="H982">
        <v>0.90882799999999997</v>
      </c>
      <c r="I982">
        <v>367.21929999999998</v>
      </c>
      <c r="J982">
        <v>-331.18200000000002</v>
      </c>
      <c r="K982">
        <v>1.1105969999999901</v>
      </c>
      <c r="L982">
        <v>367.35419999999999</v>
      </c>
      <c r="M982">
        <v>0.99989760000000005</v>
      </c>
      <c r="N982">
        <v>0</v>
      </c>
      <c r="O982">
        <v>-3.71054E-3</v>
      </c>
      <c r="P982">
        <v>0.99843820000000005</v>
      </c>
      <c r="Q982">
        <v>4.538176E-2</v>
      </c>
      <c r="R982">
        <v>-3.258755E-2</v>
      </c>
      <c r="S982">
        <v>3.0216980000000002</v>
      </c>
      <c r="T982">
        <v>-0.71646809999999905</v>
      </c>
      <c r="U982">
        <v>-0.4802246</v>
      </c>
      <c r="V982">
        <v>2.8884380000000001E-2</v>
      </c>
      <c r="W982">
        <v>5.9176010000000001E-2</v>
      </c>
      <c r="X982">
        <v>0.99782959999999998</v>
      </c>
      <c r="Y982">
        <v>0.14935039999999999</v>
      </c>
      <c r="Z982">
        <v>-1.6496810000000001E-2</v>
      </c>
      <c r="AA982">
        <v>0.98864669999999999</v>
      </c>
      <c r="AB982">
        <v>24</v>
      </c>
      <c r="AC982">
        <v>0.70769999999993105</v>
      </c>
      <c r="AD982">
        <v>-0.201768999999999</v>
      </c>
      <c r="AE982">
        <v>-0.13490000000001601</v>
      </c>
      <c r="AF982">
        <v>0.122652604938519</v>
      </c>
      <c r="AG982">
        <v>-0.201768999999999</v>
      </c>
      <c r="AH982">
        <v>0.65668832879146899</v>
      </c>
      <c r="AI982">
        <v>106.80585770109199</v>
      </c>
      <c r="AJ982">
        <v>79.420508809153503</v>
      </c>
      <c r="AK982">
        <v>0.69784951961732899</v>
      </c>
      <c r="AL982">
        <v>86.607482455018598</v>
      </c>
      <c r="AM982">
        <v>88.341910232748702</v>
      </c>
      <c r="AN982">
        <v>1.00000000910183</v>
      </c>
    </row>
    <row r="983" spans="1:40" x14ac:dyDescent="0.25">
      <c r="A983" t="str">
        <f>"20190312150651473"</f>
        <v>20190312150651473</v>
      </c>
      <c r="B983" t="str">
        <f>"1552374411461372"</f>
        <v>1552374411461372</v>
      </c>
      <c r="C983" t="s">
        <v>40</v>
      </c>
      <c r="D983">
        <v>4.1826949999999998</v>
      </c>
      <c r="E983">
        <v>0.54746609999999996</v>
      </c>
      <c r="F983" t="s">
        <v>41</v>
      </c>
      <c r="G983">
        <v>-330.46109999999999</v>
      </c>
      <c r="H983">
        <v>0.93954850000000001</v>
      </c>
      <c r="I983">
        <v>367.23930000000001</v>
      </c>
      <c r="J983">
        <v>-331.0471</v>
      </c>
      <c r="K983">
        <v>1.1105959999999999</v>
      </c>
      <c r="L983">
        <v>367.3537</v>
      </c>
      <c r="M983">
        <v>0.99989779999999995</v>
      </c>
      <c r="N983">
        <v>0</v>
      </c>
      <c r="O983">
        <v>-3.7106499999999998E-3</v>
      </c>
      <c r="P983">
        <v>0.99843419999999905</v>
      </c>
      <c r="Q983">
        <v>4.5424260000000001E-2</v>
      </c>
      <c r="R983">
        <v>-3.2654469999999998E-2</v>
      </c>
      <c r="S983">
        <v>3.021576</v>
      </c>
      <c r="T983">
        <v>-0.71703549999999905</v>
      </c>
      <c r="U983">
        <v>-0.48040769999999999</v>
      </c>
      <c r="V983">
        <v>2.895114E-2</v>
      </c>
      <c r="W983">
        <v>5.9216949999999997E-2</v>
      </c>
      <c r="X983">
        <v>0.99782519999999997</v>
      </c>
      <c r="Y983">
        <v>0.14940699999999901</v>
      </c>
      <c r="Z983">
        <v>-1.6516659999999999E-2</v>
      </c>
      <c r="AA983">
        <v>0.98863780000000001</v>
      </c>
      <c r="AB983">
        <v>24</v>
      </c>
      <c r="AC983">
        <v>0.58600000000001196</v>
      </c>
      <c r="AD983">
        <v>-0.17104749999999899</v>
      </c>
      <c r="AE983">
        <v>-0.114399999999989</v>
      </c>
      <c r="AF983">
        <v>0.103712673564071</v>
      </c>
      <c r="AG983">
        <v>-0.17104749999999899</v>
      </c>
      <c r="AH983">
        <v>0.54194229908970803</v>
      </c>
      <c r="AI983">
        <v>107.22311915762801</v>
      </c>
      <c r="AJ983">
        <v>79.166171796022894</v>
      </c>
      <c r="AK983">
        <v>0.57768072622920097</v>
      </c>
      <c r="AL983">
        <v>86.605132521410297</v>
      </c>
      <c r="AM983">
        <v>88.338072739130098</v>
      </c>
      <c r="AN983">
        <v>0.99999997271482</v>
      </c>
    </row>
    <row r="984" spans="1:40" x14ac:dyDescent="0.25">
      <c r="A984" t="str">
        <f>"20190312150651484"</f>
        <v>20190312150651484</v>
      </c>
      <c r="B984" t="str">
        <f>"1552374411481869"</f>
        <v>1552374411481869</v>
      </c>
      <c r="C984" t="s">
        <v>40</v>
      </c>
      <c r="D984">
        <v>4.5175409999999996</v>
      </c>
      <c r="E984">
        <v>0.54751309999999997</v>
      </c>
      <c r="F984" t="s">
        <v>41</v>
      </c>
      <c r="G984">
        <v>-330.25209999999998</v>
      </c>
      <c r="H984">
        <v>0.92201999999999995</v>
      </c>
      <c r="I984">
        <v>367.22730000000001</v>
      </c>
      <c r="J984">
        <v>-330.92110000000002</v>
      </c>
      <c r="K984">
        <v>1.110598</v>
      </c>
      <c r="L984">
        <v>367.35320000000002</v>
      </c>
      <c r="M984">
        <v>0.9998977</v>
      </c>
      <c r="N984">
        <v>0</v>
      </c>
      <c r="O984">
        <v>-3.710521E-3</v>
      </c>
      <c r="P984">
        <v>0.99844279999999996</v>
      </c>
      <c r="Q984">
        <v>4.5157269999999999E-2</v>
      </c>
      <c r="R984">
        <v>-3.2759120000000003E-2</v>
      </c>
      <c r="S984">
        <v>3.0216059999999998</v>
      </c>
      <c r="T984">
        <v>-0.71676229999999996</v>
      </c>
      <c r="U984">
        <v>-0.48052980000000001</v>
      </c>
      <c r="V984">
        <v>2.905601E-2</v>
      </c>
      <c r="W984">
        <v>5.8948960000000002E-2</v>
      </c>
      <c r="X984">
        <v>0.997838</v>
      </c>
      <c r="Y984">
        <v>0.14944660000000001</v>
      </c>
      <c r="Z984">
        <v>-1.6514939999999999E-2</v>
      </c>
      <c r="AA984">
        <v>0.98863179999999995</v>
      </c>
      <c r="AB984">
        <v>24</v>
      </c>
      <c r="AC984">
        <v>0.66900000000003901</v>
      </c>
      <c r="AD984">
        <v>-0.188577999999999</v>
      </c>
      <c r="AE984">
        <v>-0.12590000000000101</v>
      </c>
      <c r="AF984">
        <v>0.114620703491614</v>
      </c>
      <c r="AG984">
        <v>-0.188577999999999</v>
      </c>
      <c r="AH984">
        <v>0.621750231738458</v>
      </c>
      <c r="AI984">
        <v>106.60856220173</v>
      </c>
      <c r="AJ984">
        <v>79.554702433501802</v>
      </c>
      <c r="AK984">
        <v>0.65975216439185602</v>
      </c>
      <c r="AL984">
        <v>86.6205140212885</v>
      </c>
      <c r="AM984">
        <v>88.332077501901495</v>
      </c>
      <c r="AN984">
        <v>0.99999995292309896</v>
      </c>
    </row>
    <row r="985" spans="1:40" x14ac:dyDescent="0.25">
      <c r="A985" t="str">
        <f>"20190312150651495"</f>
        <v>20190312150651495</v>
      </c>
      <c r="B985" t="str">
        <f>"1552374411491628"</f>
        <v>1552374411491628</v>
      </c>
      <c r="C985" t="s">
        <v>40</v>
      </c>
      <c r="D985">
        <v>4.5458059999999998</v>
      </c>
      <c r="E985">
        <v>0.54750350000000003</v>
      </c>
      <c r="F985" t="s">
        <v>41</v>
      </c>
      <c r="G985">
        <v>-330.04349999999999</v>
      </c>
      <c r="H985">
        <v>0.90206350000000002</v>
      </c>
      <c r="I985">
        <v>367.21319999999997</v>
      </c>
      <c r="J985">
        <v>-330.79910000000001</v>
      </c>
      <c r="K985">
        <v>1.1106009999999999</v>
      </c>
      <c r="L985">
        <v>367.3528</v>
      </c>
      <c r="M985">
        <v>0.99989760000000005</v>
      </c>
      <c r="N985">
        <v>0</v>
      </c>
      <c r="O985">
        <v>-3.710274E-3</v>
      </c>
      <c r="P985">
        <v>0.99843499999999996</v>
      </c>
      <c r="Q985">
        <v>4.5298320000000003E-2</v>
      </c>
      <c r="R985">
        <v>-3.2793429999999998E-2</v>
      </c>
      <c r="S985">
        <v>3.0213619999999999</v>
      </c>
      <c r="T985">
        <v>-0.71796599999999999</v>
      </c>
      <c r="U985">
        <v>-0.48129270000000002</v>
      </c>
      <c r="V985">
        <v>2.9090640000000001E-2</v>
      </c>
      <c r="W985">
        <v>5.9088420000000003E-2</v>
      </c>
      <c r="X985">
        <v>0.99782879999999996</v>
      </c>
      <c r="Y985">
        <v>0.1496827</v>
      </c>
      <c r="Z985">
        <v>-1.657047E-2</v>
      </c>
      <c r="AA985">
        <v>0.98859520000000001</v>
      </c>
      <c r="AB985">
        <v>24</v>
      </c>
      <c r="AC985">
        <v>0.75560000000001504</v>
      </c>
      <c r="AD985">
        <v>-0.20853749999999999</v>
      </c>
      <c r="AE985">
        <v>-0.13960000000002901</v>
      </c>
      <c r="AF985">
        <v>0.12741073412748399</v>
      </c>
      <c r="AG985">
        <v>-0.20853749999999999</v>
      </c>
      <c r="AH985">
        <v>0.70424126816421795</v>
      </c>
      <c r="AI985">
        <v>106.24539210465601</v>
      </c>
      <c r="AJ985">
        <v>79.745023598444305</v>
      </c>
      <c r="AK985">
        <v>0.74543755463667105</v>
      </c>
      <c r="AL985">
        <v>86.612509793776496</v>
      </c>
      <c r="AM985">
        <v>88.330075348762406</v>
      </c>
      <c r="AN985">
        <v>1.0000000104115701</v>
      </c>
    </row>
    <row r="986" spans="1:40" x14ac:dyDescent="0.25">
      <c r="A986" t="str">
        <f>"20190312150651507"</f>
        <v>20190312150651507</v>
      </c>
      <c r="B986" t="str">
        <f>"1552374411501388"</f>
        <v>1552374411501388</v>
      </c>
      <c r="C986" t="s">
        <v>40</v>
      </c>
      <c r="D986">
        <v>4.5280310000000004</v>
      </c>
      <c r="E986">
        <v>0.54753750000000001</v>
      </c>
      <c r="F986" t="s">
        <v>41</v>
      </c>
      <c r="G986">
        <v>-330.03250000000003</v>
      </c>
      <c r="H986">
        <v>0.92866179999999998</v>
      </c>
      <c r="I986">
        <v>367.23039999999997</v>
      </c>
      <c r="J986">
        <v>-330.68439999999998</v>
      </c>
      <c r="K986">
        <v>1.1106009999999999</v>
      </c>
      <c r="L986">
        <v>367.35239999999999</v>
      </c>
      <c r="M986">
        <v>0.99989779999999995</v>
      </c>
      <c r="N986">
        <v>0</v>
      </c>
      <c r="O986">
        <v>-3.710503E-3</v>
      </c>
      <c r="P986">
        <v>0.99843999999999999</v>
      </c>
      <c r="Q986">
        <v>4.5145169999999998E-2</v>
      </c>
      <c r="R986">
        <v>-3.2855080000000002E-2</v>
      </c>
      <c r="S986">
        <v>3.021423</v>
      </c>
      <c r="T986">
        <v>-0.71710180000000001</v>
      </c>
      <c r="U986">
        <v>-0.48141479999999998</v>
      </c>
      <c r="V986">
        <v>2.9152150000000002E-2</v>
      </c>
      <c r="W986">
        <v>5.8934199999999999E-2</v>
      </c>
      <c r="X986">
        <v>0.9978361</v>
      </c>
      <c r="Y986">
        <v>0.14972679999999999</v>
      </c>
      <c r="Z986">
        <v>-1.6555759999999999E-2</v>
      </c>
      <c r="AA986">
        <v>0.98858880000000005</v>
      </c>
      <c r="AB986">
        <v>24</v>
      </c>
      <c r="AC986">
        <v>0.65189999999995496</v>
      </c>
      <c r="AD986">
        <v>-0.181939199999999</v>
      </c>
      <c r="AE986">
        <v>-0.122000000000014</v>
      </c>
      <c r="AF986">
        <v>0.111210786652178</v>
      </c>
      <c r="AG986">
        <v>-0.181939199999999</v>
      </c>
      <c r="AH986">
        <v>0.60669115770646298</v>
      </c>
      <c r="AI986">
        <v>106.434628471925</v>
      </c>
      <c r="AJ986">
        <v>79.612597293305697</v>
      </c>
      <c r="AK986">
        <v>0.64307376902159896</v>
      </c>
      <c r="AL986">
        <v>86.621361288787497</v>
      </c>
      <c r="AM986">
        <v>88.326558658340701</v>
      </c>
      <c r="AN986">
        <v>0.999999985121236</v>
      </c>
    </row>
    <row r="987" spans="1:40" x14ac:dyDescent="0.25">
      <c r="A987" t="str">
        <f>"20190312150651517"</f>
        <v>20190312150651517</v>
      </c>
      <c r="B987" t="str">
        <f>"1552374411511148"</f>
        <v>1552374411511148</v>
      </c>
      <c r="C987" t="s">
        <v>40</v>
      </c>
      <c r="D987">
        <v>4.1153259999999996</v>
      </c>
      <c r="E987">
        <v>0.54753479999999999</v>
      </c>
      <c r="F987" t="s">
        <v>41</v>
      </c>
      <c r="G987">
        <v>-329.82530000000003</v>
      </c>
      <c r="H987">
        <v>0.90654950000000001</v>
      </c>
      <c r="I987">
        <v>367.21530000000001</v>
      </c>
      <c r="J987">
        <v>-330.55950000000001</v>
      </c>
      <c r="K987">
        <v>1.1105989999999999</v>
      </c>
      <c r="L987">
        <v>367.3519</v>
      </c>
      <c r="M987">
        <v>0.99989779999999995</v>
      </c>
      <c r="N987">
        <v>0</v>
      </c>
      <c r="O987">
        <v>-3.710493E-3</v>
      </c>
      <c r="P987">
        <v>0.99843320000000002</v>
      </c>
      <c r="Q987">
        <v>4.5171030000000001E-2</v>
      </c>
      <c r="R987">
        <v>-3.3032409999999998E-2</v>
      </c>
      <c r="S987">
        <v>3.0213009999999998</v>
      </c>
      <c r="T987">
        <v>-0.71766660000000004</v>
      </c>
      <c r="U987">
        <v>-0.4819946</v>
      </c>
      <c r="V987">
        <v>2.9329379999999999E-2</v>
      </c>
      <c r="W987">
        <v>5.8958480000000001E-2</v>
      </c>
      <c r="X987">
        <v>0.99782950000000004</v>
      </c>
      <c r="Y987">
        <v>0.14990680000000001</v>
      </c>
      <c r="Z987">
        <v>-1.6589820000000002E-2</v>
      </c>
      <c r="AA987">
        <v>0.98856089999999996</v>
      </c>
      <c r="AB987">
        <v>24</v>
      </c>
      <c r="AC987">
        <v>0.73419999999998697</v>
      </c>
      <c r="AD987">
        <v>-0.204049499999999</v>
      </c>
      <c r="AE987">
        <v>-0.13659999999998701</v>
      </c>
      <c r="AF987">
        <v>0.124574363340931</v>
      </c>
      <c r="AG987">
        <v>-0.204049499999999</v>
      </c>
      <c r="AH987">
        <v>0.68366250934543804</v>
      </c>
      <c r="AI987">
        <v>106.36384175665199</v>
      </c>
      <c r="AJ987">
        <v>79.673081788159905</v>
      </c>
      <c r="AK987">
        <v>0.724257825043368</v>
      </c>
      <c r="AL987">
        <v>86.619967818325804</v>
      </c>
      <c r="AM987">
        <v>88.316379708202206</v>
      </c>
      <c r="AN987">
        <v>1.0000000129826701</v>
      </c>
    </row>
    <row r="988" spans="1:40" x14ac:dyDescent="0.25">
      <c r="A988" t="str">
        <f>"20190312150651528"</f>
        <v>20190312150651528</v>
      </c>
      <c r="B988" t="str">
        <f>"1552374411521884"</f>
        <v>1552374411521884</v>
      </c>
      <c r="C988" t="s">
        <v>40</v>
      </c>
      <c r="D988">
        <v>7.037712</v>
      </c>
      <c r="E988">
        <v>0.54754259999999999</v>
      </c>
      <c r="F988" t="s">
        <v>41</v>
      </c>
      <c r="G988">
        <v>-329.81389999999999</v>
      </c>
      <c r="H988">
        <v>0.93353260000000005</v>
      </c>
      <c r="I988">
        <v>367.23270000000002</v>
      </c>
      <c r="J988">
        <v>-330.44970000000001</v>
      </c>
      <c r="K988">
        <v>1.1105959999999999</v>
      </c>
      <c r="L988">
        <v>367.35149999999999</v>
      </c>
      <c r="M988">
        <v>0.99989779999999995</v>
      </c>
      <c r="N988">
        <v>0</v>
      </c>
      <c r="O988">
        <v>-3.7104849999999999E-3</v>
      </c>
      <c r="P988">
        <v>0.99843280000000001</v>
      </c>
      <c r="Q988">
        <v>4.5161979999999997E-2</v>
      </c>
      <c r="R988">
        <v>-3.3055069999999999E-2</v>
      </c>
      <c r="S988">
        <v>3.02121</v>
      </c>
      <c r="T988">
        <v>-0.71754879999999999</v>
      </c>
      <c r="U988">
        <v>-0.48248289999999999</v>
      </c>
      <c r="V988">
        <v>2.9352019999999999E-2</v>
      </c>
      <c r="W988">
        <v>5.8948E-2</v>
      </c>
      <c r="X988">
        <v>0.99782939999999998</v>
      </c>
      <c r="Y988">
        <v>0.15006420000000001</v>
      </c>
      <c r="Z988">
        <v>-1.6605769999999999E-2</v>
      </c>
      <c r="AA988">
        <v>0.98853679999999999</v>
      </c>
      <c r="AB988">
        <v>24</v>
      </c>
      <c r="AC988">
        <v>0.63580000000001702</v>
      </c>
      <c r="AD988">
        <v>-0.17706339999999901</v>
      </c>
      <c r="AE988">
        <v>-0.118799999999964</v>
      </c>
      <c r="AF988">
        <v>0.108322187327286</v>
      </c>
      <c r="AG988">
        <v>-0.17706339999999901</v>
      </c>
      <c r="AH988">
        <v>0.59188102234142304</v>
      </c>
      <c r="AI988">
        <v>106.397375222625</v>
      </c>
      <c r="AJ988">
        <v>79.628875216245106</v>
      </c>
      <c r="AK988">
        <v>0.62722267855591396</v>
      </c>
      <c r="AL988">
        <v>86.620569143793006</v>
      </c>
      <c r="AM988">
        <v>88.315080664388205</v>
      </c>
      <c r="AN988">
        <v>0.99999995964321897</v>
      </c>
    </row>
    <row r="989" spans="1:40" x14ac:dyDescent="0.25">
      <c r="A989" t="str">
        <f>"20190312150651538"</f>
        <v>20190312150651538</v>
      </c>
      <c r="B989" t="str">
        <f>"1552374411531644"</f>
        <v>1552374411531644</v>
      </c>
      <c r="C989" t="s">
        <v>40</v>
      </c>
      <c r="D989">
        <v>4.4356260000000001</v>
      </c>
      <c r="E989">
        <v>0.54754040000000004</v>
      </c>
      <c r="F989" t="s">
        <v>41</v>
      </c>
      <c r="G989">
        <v>-329.60770000000002</v>
      </c>
      <c r="H989">
        <v>0.91051009999999999</v>
      </c>
      <c r="I989">
        <v>367.21679999999998</v>
      </c>
      <c r="J989">
        <v>-330.3331</v>
      </c>
      <c r="K989">
        <v>1.110595</v>
      </c>
      <c r="L989">
        <v>367.35109999999997</v>
      </c>
      <c r="M989">
        <v>0.99989799999999995</v>
      </c>
      <c r="N989">
        <v>0</v>
      </c>
      <c r="O989">
        <v>-3.7105939999999998E-3</v>
      </c>
      <c r="P989">
        <v>0.99844829999999996</v>
      </c>
      <c r="Q989">
        <v>4.5018349999999999E-2</v>
      </c>
      <c r="R989">
        <v>-3.2789039999999998E-2</v>
      </c>
      <c r="S989">
        <v>3.0211489999999999</v>
      </c>
      <c r="T989">
        <v>-0.71793809999999902</v>
      </c>
      <c r="U989">
        <v>-0.48275760000000001</v>
      </c>
      <c r="V989">
        <v>2.9085710000000001E-2</v>
      </c>
      <c r="W989">
        <v>5.8803300000000003E-2</v>
      </c>
      <c r="X989">
        <v>0.9978458</v>
      </c>
      <c r="Y989">
        <v>0.15014820000000001</v>
      </c>
      <c r="Z989">
        <v>-1.662452E-2</v>
      </c>
      <c r="AA989">
        <v>0.98852370000000001</v>
      </c>
      <c r="AB989">
        <v>24</v>
      </c>
      <c r="AC989">
        <v>0.72539999999997895</v>
      </c>
      <c r="AD989">
        <v>-0.20008489999999901</v>
      </c>
      <c r="AE989">
        <v>-0.13429999999999601</v>
      </c>
      <c r="AF989">
        <v>0.122589566837943</v>
      </c>
      <c r="AG989">
        <v>-0.20008489999999901</v>
      </c>
      <c r="AH989">
        <v>0.67615591365434202</v>
      </c>
      <c r="AI989">
        <v>106.23389703197201</v>
      </c>
      <c r="AJ989">
        <v>79.723690636310806</v>
      </c>
      <c r="AK989">
        <v>0.71571571777854803</v>
      </c>
      <c r="AL989">
        <v>86.628874465943795</v>
      </c>
      <c r="AM989">
        <v>88.330386620310094</v>
      </c>
      <c r="AN989">
        <v>1.0000000235973601</v>
      </c>
    </row>
    <row r="990" spans="1:40" x14ac:dyDescent="0.25">
      <c r="A990" t="str">
        <f>"20190312150651549"</f>
        <v>20190312150651549</v>
      </c>
      <c r="B990" t="str">
        <f>"1552374411541404"</f>
        <v>1552374411541404</v>
      </c>
      <c r="C990" t="s">
        <v>40</v>
      </c>
      <c r="D990">
        <v>4.4990230000000002</v>
      </c>
      <c r="E990">
        <v>0.54757319999999998</v>
      </c>
      <c r="F990" t="s">
        <v>41</v>
      </c>
      <c r="G990">
        <v>-329.59699999999998</v>
      </c>
      <c r="H990">
        <v>0.9355639</v>
      </c>
      <c r="I990">
        <v>367.23349999999999</v>
      </c>
      <c r="J990">
        <v>-330.22379999999998</v>
      </c>
      <c r="K990">
        <v>1.1105959999999999</v>
      </c>
      <c r="L990">
        <v>367.35070000000002</v>
      </c>
      <c r="M990">
        <v>0.99989779999999995</v>
      </c>
      <c r="N990">
        <v>0</v>
      </c>
      <c r="O990">
        <v>-3.7104669999999998E-3</v>
      </c>
      <c r="P990">
        <v>0.99845490000000003</v>
      </c>
      <c r="Q990">
        <v>4.4848550000000001E-2</v>
      </c>
      <c r="R990">
        <v>-3.2812800000000003E-2</v>
      </c>
      <c r="S990">
        <v>3.021271</v>
      </c>
      <c r="T990">
        <v>-0.71848199999999995</v>
      </c>
      <c r="U990">
        <v>-0.48178100000000001</v>
      </c>
      <c r="V990">
        <v>2.9109759999999998E-2</v>
      </c>
      <c r="W990">
        <v>5.8632410000000003E-2</v>
      </c>
      <c r="X990">
        <v>0.99785509999999999</v>
      </c>
      <c r="Y990">
        <v>0.1498332</v>
      </c>
      <c r="Z990">
        <v>-1.6599849999999999E-2</v>
      </c>
      <c r="AA990">
        <v>0.98857189999999995</v>
      </c>
      <c r="AB990">
        <v>24</v>
      </c>
      <c r="AC990">
        <v>0.62680000000000202</v>
      </c>
      <c r="AD990">
        <v>-0.175032099999999</v>
      </c>
      <c r="AE990">
        <v>-0.11720000000002501</v>
      </c>
      <c r="AF990">
        <v>0.106824579462235</v>
      </c>
      <c r="AG990">
        <v>-0.175032099999999</v>
      </c>
      <c r="AH990">
        <v>0.58328326133786801</v>
      </c>
      <c r="AI990">
        <v>106.44509096756001</v>
      </c>
      <c r="AJ990">
        <v>79.621661555929805</v>
      </c>
      <c r="AK990">
        <v>0.61827751840466705</v>
      </c>
      <c r="AL990">
        <v>86.638682481020993</v>
      </c>
      <c r="AM990">
        <v>88.329022420072903</v>
      </c>
      <c r="AN990">
        <v>0.99999996911283695</v>
      </c>
    </row>
    <row r="991" spans="1:40" x14ac:dyDescent="0.25">
      <c r="A991" t="str">
        <f>"20190312150651559"</f>
        <v>20190312150651559</v>
      </c>
      <c r="B991" t="str">
        <f>"1552374411551163"</f>
        <v>1552374411551163</v>
      </c>
      <c r="C991" t="s">
        <v>40</v>
      </c>
      <c r="D991">
        <v>4.4162939999999997</v>
      </c>
      <c r="E991">
        <v>0.54757339999999999</v>
      </c>
      <c r="F991" t="s">
        <v>41</v>
      </c>
      <c r="G991">
        <v>-329.39109999999999</v>
      </c>
      <c r="H991">
        <v>0.91237199999999996</v>
      </c>
      <c r="I991">
        <v>367.21780000000001</v>
      </c>
      <c r="J991">
        <v>-330.10270000000003</v>
      </c>
      <c r="K991">
        <v>1.110592</v>
      </c>
      <c r="L991">
        <v>367.3503</v>
      </c>
      <c r="M991">
        <v>0.99989779999999995</v>
      </c>
      <c r="N991">
        <v>0</v>
      </c>
      <c r="O991">
        <v>-3.7102189999999998E-3</v>
      </c>
      <c r="P991">
        <v>0.99846400000000002</v>
      </c>
      <c r="Q991">
        <v>4.4738729999999997E-2</v>
      </c>
      <c r="R991">
        <v>-3.2681689999999999E-2</v>
      </c>
      <c r="S991">
        <v>3.021118</v>
      </c>
      <c r="T991">
        <v>-0.719302</v>
      </c>
      <c r="U991">
        <v>-0.48226930000000001</v>
      </c>
      <c r="V991">
        <v>2.897885E-2</v>
      </c>
      <c r="W991">
        <v>5.8521499999999997E-2</v>
      </c>
      <c r="X991">
        <v>0.99786540000000001</v>
      </c>
      <c r="Y991">
        <v>0.1499837</v>
      </c>
      <c r="Z991">
        <v>-1.663651E-2</v>
      </c>
      <c r="AA991">
        <v>0.98854850000000005</v>
      </c>
      <c r="AB991">
        <v>24</v>
      </c>
      <c r="AC991">
        <v>0.71160000000003198</v>
      </c>
      <c r="AD991">
        <v>-0.19822000000000001</v>
      </c>
      <c r="AE991">
        <v>-0.13249999999999301</v>
      </c>
      <c r="AF991">
        <v>0.12079952011155</v>
      </c>
      <c r="AG991">
        <v>-0.19822000000000001</v>
      </c>
      <c r="AH991">
        <v>0.66241056478239102</v>
      </c>
      <c r="AI991">
        <v>106.40365510228099</v>
      </c>
      <c r="AJ991">
        <v>79.664910900380605</v>
      </c>
      <c r="AK991">
        <v>0.70190558396019798</v>
      </c>
      <c r="AL991">
        <v>86.645048016001297</v>
      </c>
      <c r="AM991">
        <v>88.336549931088996</v>
      </c>
      <c r="AN991">
        <v>0.99999994811336401</v>
      </c>
    </row>
    <row r="992" spans="1:40" x14ac:dyDescent="0.25">
      <c r="A992" t="str">
        <f>"20190312150651570"</f>
        <v>20190312150651570</v>
      </c>
      <c r="B992" t="str">
        <f>"1552374411560924"</f>
        <v>1552374411560924</v>
      </c>
      <c r="C992" t="s">
        <v>40</v>
      </c>
      <c r="D992">
        <v>4.16899</v>
      </c>
      <c r="E992">
        <v>0.54758869999999904</v>
      </c>
      <c r="F992" t="s">
        <v>41</v>
      </c>
      <c r="G992">
        <v>-329.37990000000002</v>
      </c>
      <c r="H992">
        <v>0.9383283</v>
      </c>
      <c r="I992">
        <v>367.23500000000001</v>
      </c>
      <c r="J992">
        <v>-329.99439999999998</v>
      </c>
      <c r="K992">
        <v>1.110592</v>
      </c>
      <c r="L992">
        <v>367.34989999999999</v>
      </c>
      <c r="M992">
        <v>0.99989779999999995</v>
      </c>
      <c r="N992">
        <v>0</v>
      </c>
      <c r="O992">
        <v>-3.7102099999999998E-3</v>
      </c>
      <c r="P992">
        <v>0.99847609999999998</v>
      </c>
      <c r="Q992">
        <v>4.4474939999999998E-2</v>
      </c>
      <c r="R992">
        <v>-3.2670079999999997E-2</v>
      </c>
      <c r="S992">
        <v>3.0211489999999999</v>
      </c>
      <c r="T992">
        <v>-0.72009209999999901</v>
      </c>
      <c r="U992">
        <v>-0.48168949999999999</v>
      </c>
      <c r="V992">
        <v>2.896717E-2</v>
      </c>
      <c r="W992">
        <v>5.8256830000000003E-2</v>
      </c>
      <c r="X992">
        <v>0.99788129999999997</v>
      </c>
      <c r="Y992">
        <v>0.1497936</v>
      </c>
      <c r="Z992">
        <v>-1.6632170000000002E-2</v>
      </c>
      <c r="AA992">
        <v>0.98857740000000005</v>
      </c>
      <c r="AB992">
        <v>24</v>
      </c>
      <c r="AC992">
        <v>0.61449999999996396</v>
      </c>
      <c r="AD992">
        <v>-0.17226369999999899</v>
      </c>
      <c r="AE992">
        <v>-0.11489999999997701</v>
      </c>
      <c r="AF992">
        <v>0.104671269047014</v>
      </c>
      <c r="AG992">
        <v>-0.17226369999999899</v>
      </c>
      <c r="AH992">
        <v>0.57152558029894696</v>
      </c>
      <c r="AI992">
        <v>106.513990757686</v>
      </c>
      <c r="AJ992">
        <v>79.621658328013396</v>
      </c>
      <c r="AK992">
        <v>0.60602998757293403</v>
      </c>
      <c r="AL992">
        <v>86.660238654325795</v>
      </c>
      <c r="AM992">
        <v>88.337246491918407</v>
      </c>
      <c r="AN992">
        <v>1.0000000220345699</v>
      </c>
    </row>
    <row r="993" spans="1:40" x14ac:dyDescent="0.25">
      <c r="A993" t="str">
        <f>"20190312150651580"</f>
        <v>20190312150651580</v>
      </c>
      <c r="B993" t="str">
        <f>"1552374411571660"</f>
        <v>1552374411571660</v>
      </c>
      <c r="C993" t="s">
        <v>40</v>
      </c>
      <c r="D993">
        <v>4.4730699999999999</v>
      </c>
      <c r="E993">
        <v>0.54759969999999902</v>
      </c>
      <c r="F993" t="s">
        <v>41</v>
      </c>
      <c r="G993">
        <v>-329.1746</v>
      </c>
      <c r="H993">
        <v>0.91488360000000002</v>
      </c>
      <c r="I993">
        <v>367.21890000000002</v>
      </c>
      <c r="J993">
        <v>-329.88279999999997</v>
      </c>
      <c r="K993">
        <v>1.1105910000000001</v>
      </c>
      <c r="L993">
        <v>367.34949999999998</v>
      </c>
      <c r="M993">
        <v>0.99989790000000001</v>
      </c>
      <c r="N993">
        <v>0</v>
      </c>
      <c r="O993">
        <v>-3.7102010000000002E-3</v>
      </c>
      <c r="P993">
        <v>0.99848029999999999</v>
      </c>
      <c r="Q993">
        <v>4.4566799999999997E-2</v>
      </c>
      <c r="R993">
        <v>-3.2417920000000003E-2</v>
      </c>
      <c r="S993">
        <v>3.0209350000000001</v>
      </c>
      <c r="T993">
        <v>-0.72123119999999996</v>
      </c>
      <c r="U993">
        <v>-0.48171999999999998</v>
      </c>
      <c r="V993">
        <v>2.8715089999999999E-2</v>
      </c>
      <c r="W993">
        <v>5.834727E-2</v>
      </c>
      <c r="X993">
        <v>0.99788330000000003</v>
      </c>
      <c r="Y993">
        <v>0.14980099999999999</v>
      </c>
      <c r="Z993">
        <v>-1.6659750000000001E-2</v>
      </c>
      <c r="AA993">
        <v>0.9885758</v>
      </c>
      <c r="AB993">
        <v>24</v>
      </c>
      <c r="AC993">
        <v>0.70819999999997596</v>
      </c>
      <c r="AD993">
        <v>-0.1957074</v>
      </c>
      <c r="AE993">
        <v>-0.130599999999958</v>
      </c>
      <c r="AF993">
        <v>0.11917000463024099</v>
      </c>
      <c r="AG993">
        <v>-0.1957074</v>
      </c>
      <c r="AH993">
        <v>0.65993996208837102</v>
      </c>
      <c r="AI993">
        <v>106.26901088206201</v>
      </c>
      <c r="AJ993">
        <v>79.764005161394607</v>
      </c>
      <c r="AK993">
        <v>0.69858688076683295</v>
      </c>
      <c r="AL993">
        <v>86.655047989176595</v>
      </c>
      <c r="AM993">
        <v>88.351711498767102</v>
      </c>
      <c r="AN993">
        <v>1.0000000203645201</v>
      </c>
    </row>
    <row r="994" spans="1:40" x14ac:dyDescent="0.25">
      <c r="A994" t="str">
        <f>"20190312150651592"</f>
        <v>20190312150651592</v>
      </c>
      <c r="B994" t="str">
        <f>"1552374411581420"</f>
        <v>1552374411581420</v>
      </c>
      <c r="C994" t="s">
        <v>40</v>
      </c>
      <c r="D994">
        <v>4.1412230000000001</v>
      </c>
      <c r="E994">
        <v>0.54768509999999904</v>
      </c>
      <c r="F994" t="s">
        <v>41</v>
      </c>
      <c r="G994">
        <v>-329.16399999999999</v>
      </c>
      <c r="H994">
        <v>0.93906060000000002</v>
      </c>
      <c r="I994">
        <v>367.23480000000001</v>
      </c>
      <c r="J994">
        <v>-329.77019999999999</v>
      </c>
      <c r="K994">
        <v>1.1105929999999999</v>
      </c>
      <c r="L994">
        <v>367.34899999999999</v>
      </c>
      <c r="M994">
        <v>0.99989779999999995</v>
      </c>
      <c r="N994">
        <v>0</v>
      </c>
      <c r="O994">
        <v>-3.7101930000000001E-3</v>
      </c>
      <c r="P994">
        <v>0.99847439999999998</v>
      </c>
      <c r="Q994">
        <v>4.4717859999999998E-2</v>
      </c>
      <c r="R994">
        <v>-3.2388299999999898E-2</v>
      </c>
      <c r="S994">
        <v>3.0211489999999999</v>
      </c>
      <c r="T994">
        <v>-0.72116179999999996</v>
      </c>
      <c r="U994">
        <v>-0.48083500000000001</v>
      </c>
      <c r="V994">
        <v>2.8685390000000002E-2</v>
      </c>
      <c r="W994">
        <v>5.8497220000000003E-2</v>
      </c>
      <c r="X994">
        <v>0.99787530000000002</v>
      </c>
      <c r="Y994">
        <v>0.1495166</v>
      </c>
      <c r="Z994">
        <v>-1.6624159999999999E-2</v>
      </c>
      <c r="AA994">
        <v>0.98861940000000004</v>
      </c>
      <c r="AB994">
        <v>24</v>
      </c>
      <c r="AC994">
        <v>0.60620000000000096</v>
      </c>
      <c r="AD994">
        <v>-0.171532399999999</v>
      </c>
      <c r="AE994">
        <v>-0.114199999999982</v>
      </c>
      <c r="AF994">
        <v>0.10391476692368</v>
      </c>
      <c r="AG994">
        <v>-0.171532399999999</v>
      </c>
      <c r="AH994">
        <v>0.56307993464428097</v>
      </c>
      <c r="AI994">
        <v>106.676835251586</v>
      </c>
      <c r="AJ994">
        <v>79.543874627074999</v>
      </c>
      <c r="AK994">
        <v>0.59772958420473898</v>
      </c>
      <c r="AL994">
        <v>86.646441535628199</v>
      </c>
      <c r="AM994">
        <v>88.353402190100596</v>
      </c>
      <c r="AN994">
        <v>0.99999994534863301</v>
      </c>
    </row>
    <row r="995" spans="1:40" x14ac:dyDescent="0.25">
      <c r="A995" t="str">
        <f>"20190312150651603"</f>
        <v>20190312150651603</v>
      </c>
      <c r="B995" t="str">
        <f>"1552374411591180"</f>
        <v>1552374411591180</v>
      </c>
      <c r="C995" t="s">
        <v>40</v>
      </c>
      <c r="D995">
        <v>4.4954910000000003</v>
      </c>
      <c r="E995">
        <v>0.54768509999999904</v>
      </c>
      <c r="F995" t="s">
        <v>41</v>
      </c>
      <c r="G995">
        <v>-328.95870000000002</v>
      </c>
      <c r="H995">
        <v>0.91637749999999996</v>
      </c>
      <c r="I995">
        <v>367.21960000000001</v>
      </c>
      <c r="J995">
        <v>-329.63279999999997</v>
      </c>
      <c r="K995">
        <v>1.1105929999999999</v>
      </c>
      <c r="L995">
        <v>367.3485</v>
      </c>
      <c r="M995">
        <v>0.99989790000000001</v>
      </c>
      <c r="N995">
        <v>0</v>
      </c>
      <c r="O995">
        <v>-3.7101819999999998E-3</v>
      </c>
      <c r="P995">
        <v>0.99847839999999999</v>
      </c>
      <c r="Q995">
        <v>4.4719830000000002E-2</v>
      </c>
      <c r="R995">
        <v>-3.2262569999999997E-2</v>
      </c>
      <c r="S995">
        <v>3.0213930000000002</v>
      </c>
      <c r="T995">
        <v>-0.72314259999999997</v>
      </c>
      <c r="U995">
        <v>-0.48147580000000001</v>
      </c>
      <c r="V995">
        <v>2.8559749999999998E-2</v>
      </c>
      <c r="W995">
        <v>5.8497689999999998E-2</v>
      </c>
      <c r="X995">
        <v>0.99787890000000001</v>
      </c>
      <c r="Y995">
        <v>0.14968319999999999</v>
      </c>
      <c r="Z995">
        <v>-1.6686579999999999E-2</v>
      </c>
      <c r="AA995">
        <v>0.98859319999999895</v>
      </c>
      <c r="AB995">
        <v>24</v>
      </c>
      <c r="AC995">
        <v>0.67409999999995296</v>
      </c>
      <c r="AD995">
        <v>-0.19421550000000001</v>
      </c>
      <c r="AE995">
        <v>-0.128899999999987</v>
      </c>
      <c r="AF995">
        <v>0.11702639290255699</v>
      </c>
      <c r="AG995">
        <v>-0.19421550000000001</v>
      </c>
      <c r="AH995">
        <v>0.62455909224253203</v>
      </c>
      <c r="AI995">
        <v>106.99550955262001</v>
      </c>
      <c r="AJ995">
        <v>79.387296142543505</v>
      </c>
      <c r="AK995">
        <v>0.66444630842442798</v>
      </c>
      <c r="AL995">
        <v>86.646414640026904</v>
      </c>
      <c r="AM995">
        <v>88.360616140099793</v>
      </c>
      <c r="AN995">
        <v>0.99999996906030297</v>
      </c>
    </row>
    <row r="996" spans="1:40" x14ac:dyDescent="0.25">
      <c r="A996" t="str">
        <f>"20190312150651616"</f>
        <v>20190312150651616</v>
      </c>
      <c r="B996" t="str">
        <f>"1552374411611678"</f>
        <v>1552374411611678</v>
      </c>
      <c r="C996" t="s">
        <v>40</v>
      </c>
      <c r="D996">
        <v>4.1391239999999998</v>
      </c>
      <c r="E996">
        <v>0.56341280000000005</v>
      </c>
      <c r="F996" t="s">
        <v>41</v>
      </c>
      <c r="G996">
        <v>-328.94549999999998</v>
      </c>
      <c r="H996">
        <v>0.94611299999999998</v>
      </c>
      <c r="I996">
        <v>367.2389</v>
      </c>
      <c r="J996">
        <v>-329.50490000000002</v>
      </c>
      <c r="K996">
        <v>1.1105959999999999</v>
      </c>
      <c r="L996">
        <v>367.34809999999999</v>
      </c>
      <c r="M996">
        <v>0.99989799999999995</v>
      </c>
      <c r="N996">
        <v>0</v>
      </c>
      <c r="O996">
        <v>-3.7104099999999999E-3</v>
      </c>
      <c r="P996">
        <v>0.99849399999999999</v>
      </c>
      <c r="Q996">
        <v>4.4438789999999999E-2</v>
      </c>
      <c r="R996">
        <v>-3.21737E-2</v>
      </c>
      <c r="S996">
        <v>3.0213930000000002</v>
      </c>
      <c r="T996">
        <v>-0.7231706</v>
      </c>
      <c r="U996">
        <v>-0.4813538</v>
      </c>
      <c r="V996">
        <v>2.8470530000000001E-2</v>
      </c>
      <c r="W996">
        <v>5.8215410000000002E-2</v>
      </c>
      <c r="X996">
        <v>0.99789799999999995</v>
      </c>
      <c r="Y996">
        <v>0.14964479999999999</v>
      </c>
      <c r="Z996">
        <v>-1.6682699999999901E-2</v>
      </c>
      <c r="AA996">
        <v>0.98859909999999995</v>
      </c>
      <c r="AB996">
        <v>24</v>
      </c>
      <c r="AC996">
        <v>0.55940000000003898</v>
      </c>
      <c r="AD996">
        <v>-0.16448299999999999</v>
      </c>
      <c r="AE996">
        <v>-0.109199999999987</v>
      </c>
      <c r="AF996">
        <v>9.8887797775035605E-2</v>
      </c>
      <c r="AG996">
        <v>-0.16448299999999999</v>
      </c>
      <c r="AH996">
        <v>0.51676384045622603</v>
      </c>
      <c r="AI996">
        <v>107.360387929338</v>
      </c>
      <c r="AJ996">
        <v>79.166858412185704</v>
      </c>
      <c r="AK996">
        <v>0.551251594683285</v>
      </c>
      <c r="AL996">
        <v>86.662615845544394</v>
      </c>
      <c r="AM996">
        <v>88.365766019033899</v>
      </c>
      <c r="AN996">
        <v>1.0000000117219701</v>
      </c>
    </row>
    <row r="997" spans="1:40" x14ac:dyDescent="0.25">
      <c r="A997" t="str">
        <f>"20190312150651629"</f>
        <v>20190312150651629</v>
      </c>
      <c r="B997" t="str">
        <f>"1552374411621436"</f>
        <v>1552374411621436</v>
      </c>
      <c r="C997" t="s">
        <v>40</v>
      </c>
      <c r="D997">
        <v>4.0832079999999999</v>
      </c>
      <c r="E997">
        <v>0.55269250000000003</v>
      </c>
      <c r="F997" t="s">
        <v>41</v>
      </c>
      <c r="G997">
        <v>-328.7593</v>
      </c>
      <c r="H997">
        <v>0.87819190000000003</v>
      </c>
      <c r="I997">
        <v>367.19819999999999</v>
      </c>
      <c r="J997">
        <v>-329.37049999999999</v>
      </c>
      <c r="K997">
        <v>1.1106</v>
      </c>
      <c r="L997">
        <v>367.34750000000003</v>
      </c>
      <c r="M997">
        <v>0.99989790000000001</v>
      </c>
      <c r="N997">
        <v>0</v>
      </c>
      <c r="O997">
        <v>-3.710161E-3</v>
      </c>
      <c r="P997">
        <v>0.99849480000000002</v>
      </c>
      <c r="Q997">
        <v>4.4511009999999997E-2</v>
      </c>
      <c r="R997">
        <v>-3.2046720000000001E-2</v>
      </c>
      <c r="S997">
        <v>3.0269469999999998</v>
      </c>
      <c r="T997">
        <v>-0.94345809999999997</v>
      </c>
      <c r="U997">
        <v>-0.60760499999999995</v>
      </c>
      <c r="V997">
        <v>2.834358E-2</v>
      </c>
      <c r="W997">
        <v>5.8285869999999997E-2</v>
      </c>
      <c r="X997">
        <v>0.99789749999999999</v>
      </c>
      <c r="Y997">
        <v>0.18489710000000001</v>
      </c>
      <c r="Z997">
        <v>-2.676837E-2</v>
      </c>
      <c r="AA997">
        <v>0.98239330000000002</v>
      </c>
      <c r="AB997">
        <v>24</v>
      </c>
      <c r="AC997">
        <v>0.61119999999999597</v>
      </c>
      <c r="AD997">
        <v>-0.23240810000000001</v>
      </c>
      <c r="AE997">
        <v>-0.14930000000003901</v>
      </c>
      <c r="AF997">
        <v>0.129377832873662</v>
      </c>
      <c r="AG997">
        <v>-0.23240810000000001</v>
      </c>
      <c r="AH997">
        <v>0.53830010545764295</v>
      </c>
      <c r="AI997">
        <v>112.772174476685</v>
      </c>
      <c r="AJ997">
        <v>76.485568248761993</v>
      </c>
      <c r="AK997">
        <v>0.60043247090776597</v>
      </c>
      <c r="AL997">
        <v>86.658571915378502</v>
      </c>
      <c r="AM997">
        <v>88.373048323026694</v>
      </c>
      <c r="AN997">
        <v>1.00000001083756</v>
      </c>
    </row>
    <row r="998" spans="1:40" x14ac:dyDescent="0.25">
      <c r="A998" t="str">
        <f>"20190312150651640"</f>
        <v>20190312150651640</v>
      </c>
      <c r="B998" t="str">
        <f>"1552374411631196"</f>
        <v>1552374411631196</v>
      </c>
      <c r="C998" t="s">
        <v>40</v>
      </c>
      <c r="D998">
        <v>4.5533580000000002</v>
      </c>
      <c r="E998">
        <v>0.55269250000000003</v>
      </c>
      <c r="F998" t="s">
        <v>41</v>
      </c>
      <c r="G998">
        <v>-328.54820000000001</v>
      </c>
      <c r="H998">
        <v>0.870973</v>
      </c>
      <c r="I998">
        <v>367.20589999999999</v>
      </c>
      <c r="J998">
        <v>-329.23009999999999</v>
      </c>
      <c r="K998">
        <v>1.1106020000000001</v>
      </c>
      <c r="L998">
        <v>367.34699999999998</v>
      </c>
      <c r="M998">
        <v>0.99989799999999995</v>
      </c>
      <c r="N998">
        <v>0</v>
      </c>
      <c r="O998">
        <v>-3.7101500000000002E-3</v>
      </c>
      <c r="P998">
        <v>0.99849710000000003</v>
      </c>
      <c r="Q998">
        <v>4.456019E-2</v>
      </c>
      <c r="R998">
        <v>-3.1907690000000002E-2</v>
      </c>
      <c r="S998">
        <v>3.027069</v>
      </c>
      <c r="T998">
        <v>-0.88201580000000002</v>
      </c>
      <c r="U998">
        <v>-0.52142330000000003</v>
      </c>
      <c r="V998">
        <v>2.820487E-2</v>
      </c>
      <c r="W998">
        <v>5.8333469999999998E-2</v>
      </c>
      <c r="X998">
        <v>0.99789859999999997</v>
      </c>
      <c r="Y998">
        <v>0.1597895</v>
      </c>
      <c r="Z998">
        <v>-2.1596549999999999E-2</v>
      </c>
      <c r="AA998">
        <v>0.98691479999999998</v>
      </c>
      <c r="AB998">
        <v>24</v>
      </c>
      <c r="AC998">
        <v>0.68189999999998396</v>
      </c>
      <c r="AD998">
        <v>-0.23962900000000001</v>
      </c>
      <c r="AE998">
        <v>-0.14109999999999401</v>
      </c>
      <c r="AF998">
        <v>0.123896827218266</v>
      </c>
      <c r="AG998">
        <v>-0.23962900000000001</v>
      </c>
      <c r="AH998">
        <v>0.61016266941890895</v>
      </c>
      <c r="AI998">
        <v>111.050485219181</v>
      </c>
      <c r="AJ998">
        <v>78.521838259336306</v>
      </c>
      <c r="AK998">
        <v>0.66713639129353597</v>
      </c>
      <c r="AL998">
        <v>86.655839825037106</v>
      </c>
      <c r="AM998">
        <v>88.381007960506196</v>
      </c>
      <c r="AN998">
        <v>0.99999996214795805</v>
      </c>
    </row>
    <row r="999" spans="1:40" x14ac:dyDescent="0.25">
      <c r="A999" t="str">
        <f>"20190312150651654"</f>
        <v>20190312150651654</v>
      </c>
      <c r="B999" t="str">
        <f>"1552374411651692"</f>
        <v>1552374411651692</v>
      </c>
      <c r="C999" t="s">
        <v>40</v>
      </c>
      <c r="D999">
        <v>4.1681140000000001</v>
      </c>
      <c r="E999">
        <v>0.54824139999999999</v>
      </c>
      <c r="F999" t="s">
        <v>41</v>
      </c>
      <c r="G999">
        <v>-328.5333</v>
      </c>
      <c r="H999">
        <v>0.90764710000000004</v>
      </c>
      <c r="I999">
        <v>367.22699999999998</v>
      </c>
      <c r="J999">
        <v>-329.09809999999999</v>
      </c>
      <c r="K999">
        <v>1.1106049999999901</v>
      </c>
      <c r="L999">
        <v>367.34660000000002</v>
      </c>
      <c r="M999">
        <v>0.99989810000000001</v>
      </c>
      <c r="N999">
        <v>0</v>
      </c>
      <c r="O999">
        <v>-3.7101399999999998E-3</v>
      </c>
      <c r="P999">
        <v>0.99848559999999997</v>
      </c>
      <c r="Q999">
        <v>4.4858130000000003E-2</v>
      </c>
      <c r="R999">
        <v>-3.1853979999999997E-2</v>
      </c>
      <c r="S999">
        <v>3.0272220000000001</v>
      </c>
      <c r="T999">
        <v>-0.88170110000000002</v>
      </c>
      <c r="U999">
        <v>-0.52145390000000003</v>
      </c>
      <c r="V999">
        <v>2.8151079999999998E-2</v>
      </c>
      <c r="W999">
        <v>5.8629550000000002E-2</v>
      </c>
      <c r="X999">
        <v>0.99788279999999996</v>
      </c>
      <c r="Y999">
        <v>0.15979570000000001</v>
      </c>
      <c r="Z999">
        <v>-2.1588980000000001E-2</v>
      </c>
      <c r="AA999">
        <v>0.98691399999999996</v>
      </c>
      <c r="AB999">
        <v>24</v>
      </c>
      <c r="AC999">
        <v>0.56479999999999098</v>
      </c>
      <c r="AD999">
        <v>-0.202957899999999</v>
      </c>
      <c r="AE999">
        <v>-0.119600000000048</v>
      </c>
      <c r="AF999">
        <v>0.104578907525451</v>
      </c>
      <c r="AG999">
        <v>-0.202957899999999</v>
      </c>
      <c r="AH999">
        <v>0.50306735242004996</v>
      </c>
      <c r="AI999">
        <v>111.55383015599899</v>
      </c>
      <c r="AJ999">
        <v>78.256468705074894</v>
      </c>
      <c r="AK999">
        <v>0.55245399640381398</v>
      </c>
      <c r="AL999">
        <v>86.638846716403194</v>
      </c>
      <c r="AM999">
        <v>88.384068358007298</v>
      </c>
      <c r="AN999">
        <v>0.99999999498710401</v>
      </c>
    </row>
    <row r="1000" spans="1:40" x14ac:dyDescent="0.25">
      <c r="A1000" t="str">
        <f>"20190312150651666"</f>
        <v>20190312150651666</v>
      </c>
      <c r="B1000" t="str">
        <f>"1552374411661452"</f>
        <v>1552374411661452</v>
      </c>
      <c r="C1000" t="s">
        <v>40</v>
      </c>
      <c r="D1000">
        <v>4.134277</v>
      </c>
      <c r="E1000">
        <v>0.54778230000000006</v>
      </c>
      <c r="F1000" t="s">
        <v>41</v>
      </c>
      <c r="G1000">
        <v>-328.31439999999998</v>
      </c>
      <c r="H1000">
        <v>0.91735199999999995</v>
      </c>
      <c r="I1000">
        <v>367.22070000000002</v>
      </c>
      <c r="J1000">
        <v>-328.96449999999999</v>
      </c>
      <c r="K1000">
        <v>1.110603</v>
      </c>
      <c r="L1000">
        <v>367.34609999999998</v>
      </c>
      <c r="M1000">
        <v>0.99989810000000001</v>
      </c>
      <c r="N1000">
        <v>0</v>
      </c>
      <c r="O1000">
        <v>-3.7101299999999999E-3</v>
      </c>
      <c r="P1000">
        <v>0.99847529999999995</v>
      </c>
      <c r="Q1000">
        <v>4.5032429999999998E-2</v>
      </c>
      <c r="R1000">
        <v>-3.1928039999999998E-2</v>
      </c>
      <c r="S1000">
        <v>3.0226139999999999</v>
      </c>
      <c r="T1000">
        <v>-0.74540819999999997</v>
      </c>
      <c r="U1000">
        <v>-0.48455809999999999</v>
      </c>
      <c r="V1000">
        <v>2.8225210000000001E-2</v>
      </c>
      <c r="W1000">
        <v>5.8802350000000003E-2</v>
      </c>
      <c r="X1000">
        <v>0.99787060000000005</v>
      </c>
      <c r="Y1000">
        <v>0.15034129999999901</v>
      </c>
      <c r="Z1000">
        <v>-1.7257370000000001E-2</v>
      </c>
      <c r="AA1000">
        <v>0.98848349999999996</v>
      </c>
      <c r="AB1000">
        <v>24</v>
      </c>
      <c r="AC1000">
        <v>0.650100000000009</v>
      </c>
      <c r="AD1000">
        <v>-0.19325099999999901</v>
      </c>
      <c r="AE1000">
        <v>-0.12539999999995599</v>
      </c>
      <c r="AF1000">
        <v>0.11333159440092901</v>
      </c>
      <c r="AG1000">
        <v>-0.19325099999999901</v>
      </c>
      <c r="AH1000">
        <v>0.59948712995266096</v>
      </c>
      <c r="AI1000">
        <v>107.575601958965</v>
      </c>
      <c r="AJ1000">
        <v>79.2947101179372</v>
      </c>
      <c r="AK1000">
        <v>0.63998032647053704</v>
      </c>
      <c r="AL1000">
        <v>86.628929102647604</v>
      </c>
      <c r="AM1000">
        <v>88.379795606091406</v>
      </c>
      <c r="AN1000">
        <v>1.00000005659471</v>
      </c>
    </row>
    <row r="1001" spans="1:40" x14ac:dyDescent="0.25">
      <c r="A1001" t="str">
        <f>"20190312150651680"</f>
        <v>20190312150651680</v>
      </c>
      <c r="B1001" t="str">
        <f>"1552374411671212"</f>
        <v>1552374411671212</v>
      </c>
      <c r="C1001" t="s">
        <v>40</v>
      </c>
      <c r="D1001">
        <v>4.1791</v>
      </c>
      <c r="E1001">
        <v>0.54774330000000004</v>
      </c>
      <c r="F1001" t="s">
        <v>41</v>
      </c>
      <c r="G1001">
        <v>-328.10660000000001</v>
      </c>
      <c r="H1001">
        <v>0.90134619999999999</v>
      </c>
      <c r="I1001">
        <v>367.20929999999998</v>
      </c>
      <c r="J1001">
        <v>-328.80790000000002</v>
      </c>
      <c r="K1001">
        <v>1.1106069999999999</v>
      </c>
      <c r="L1001">
        <v>367.34550000000002</v>
      </c>
      <c r="M1001">
        <v>0.99989810000000001</v>
      </c>
      <c r="N1001">
        <v>0</v>
      </c>
      <c r="O1001">
        <v>-3.7101180000000001E-3</v>
      </c>
      <c r="P1001">
        <v>0.99846369999999895</v>
      </c>
      <c r="Q1001">
        <v>4.5438159999999998E-2</v>
      </c>
      <c r="R1001">
        <v>-3.1717620000000002E-2</v>
      </c>
      <c r="S1001">
        <v>3.0224000000000002</v>
      </c>
      <c r="T1001">
        <v>-0.73722980000000005</v>
      </c>
      <c r="U1001">
        <v>-0.48147580000000001</v>
      </c>
      <c r="V1001">
        <v>2.8014899999999999E-2</v>
      </c>
      <c r="W1001">
        <v>5.9206469999999997E-2</v>
      </c>
      <c r="X1001">
        <v>0.99785259999999998</v>
      </c>
      <c r="Y1001">
        <v>0.14948449999999999</v>
      </c>
      <c r="Z1001">
        <v>-1.6973450000000001E-2</v>
      </c>
      <c r="AA1001">
        <v>0.98861840000000001</v>
      </c>
      <c r="AB1001">
        <v>24</v>
      </c>
      <c r="AC1001">
        <v>0.70130000000000303</v>
      </c>
      <c r="AD1001">
        <v>-0.209260799999999</v>
      </c>
      <c r="AE1001">
        <v>-0.13620000000002999</v>
      </c>
      <c r="AF1001">
        <v>0.123040037186607</v>
      </c>
      <c r="AG1001">
        <v>-0.209260799999999</v>
      </c>
      <c r="AH1001">
        <v>0.64634402640101296</v>
      </c>
      <c r="AI1001">
        <v>107.643226177892</v>
      </c>
      <c r="AJ1001">
        <v>79.221956324992803</v>
      </c>
      <c r="AK1001">
        <v>0.69042706612052496</v>
      </c>
      <c r="AL1001">
        <v>86.605734217727601</v>
      </c>
      <c r="AM1001">
        <v>88.391832619836407</v>
      </c>
      <c r="AN1001">
        <v>1.00000002601931</v>
      </c>
    </row>
    <row r="1002" spans="1:40" x14ac:dyDescent="0.25">
      <c r="A1002" t="str">
        <f>"20190312150651692"</f>
        <v>20190312150651692</v>
      </c>
      <c r="B1002" t="str">
        <f>"1552374411680972"</f>
        <v>1552374411680972</v>
      </c>
      <c r="C1002" t="s">
        <v>40</v>
      </c>
      <c r="D1002">
        <v>4.1839219999999999</v>
      </c>
      <c r="E1002">
        <v>0.54774330000000004</v>
      </c>
      <c r="F1002" t="s">
        <v>41</v>
      </c>
      <c r="G1002">
        <v>-328.09129999999999</v>
      </c>
      <c r="H1002">
        <v>0.937276</v>
      </c>
      <c r="I1002">
        <v>367.23140000000001</v>
      </c>
      <c r="J1002">
        <v>-328.68959999999998</v>
      </c>
      <c r="K1002">
        <v>1.110608</v>
      </c>
      <c r="L1002">
        <v>367.34500000000003</v>
      </c>
      <c r="M1002">
        <v>0.99989810000000001</v>
      </c>
      <c r="N1002">
        <v>0</v>
      </c>
      <c r="O1002">
        <v>-3.7101090000000001E-3</v>
      </c>
      <c r="P1002">
        <v>0.99844999999999995</v>
      </c>
      <c r="Q1002">
        <v>4.582029E-2</v>
      </c>
      <c r="R1002">
        <v>-3.1595860000000003E-2</v>
      </c>
      <c r="S1002">
        <v>3.0226440000000001</v>
      </c>
      <c r="T1002">
        <v>-0.73113019999999995</v>
      </c>
      <c r="U1002">
        <v>-0.48083500000000001</v>
      </c>
      <c r="V1002">
        <v>2.7893230000000001E-2</v>
      </c>
      <c r="W1002">
        <v>5.9586319999999998E-2</v>
      </c>
      <c r="X1002">
        <v>0.99783339999999998</v>
      </c>
      <c r="Y1002">
        <v>0.1493399</v>
      </c>
      <c r="Z1002">
        <v>-1.6818739999999999E-2</v>
      </c>
      <c r="AA1002">
        <v>0.98864289999999999</v>
      </c>
      <c r="AB1002">
        <v>24</v>
      </c>
      <c r="AC1002">
        <v>0.59829999999999395</v>
      </c>
      <c r="AD1002">
        <v>-0.17333200000000001</v>
      </c>
      <c r="AE1002">
        <v>-0.11360000000001901</v>
      </c>
      <c r="AF1002">
        <v>0.103032585313008</v>
      </c>
      <c r="AG1002">
        <v>-0.17333200000000001</v>
      </c>
      <c r="AH1002">
        <v>0.55385003207448202</v>
      </c>
      <c r="AI1002">
        <v>107.102069027285</v>
      </c>
      <c r="AJ1002">
        <v>79.461744284370198</v>
      </c>
      <c r="AK1002">
        <v>0.589414585745201</v>
      </c>
      <c r="AL1002">
        <v>86.583931930550094</v>
      </c>
      <c r="AM1002">
        <v>88.398782527514996</v>
      </c>
      <c r="AN1002">
        <v>1.0000000279832599</v>
      </c>
    </row>
    <row r="1003" spans="1:40" x14ac:dyDescent="0.25">
      <c r="A1003" t="str">
        <f>"20190312150651703"</f>
        <v>20190312150651703</v>
      </c>
      <c r="B1003" t="str">
        <f>"1552374411691709"</f>
        <v>1552374411691709</v>
      </c>
      <c r="C1003" t="s">
        <v>40</v>
      </c>
      <c r="D1003">
        <v>4.0929849999999997</v>
      </c>
      <c r="E1003">
        <v>0.54644669999999995</v>
      </c>
      <c r="F1003" t="s">
        <v>41</v>
      </c>
      <c r="G1003">
        <v>-327.88639999999998</v>
      </c>
      <c r="H1003">
        <v>0.91668309999999997</v>
      </c>
      <c r="I1003">
        <v>367.21719999999999</v>
      </c>
      <c r="J1003">
        <v>-328.57130000000001</v>
      </c>
      <c r="K1003">
        <v>1.110611</v>
      </c>
      <c r="L1003">
        <v>367.34460000000001</v>
      </c>
      <c r="M1003">
        <v>0.99989810000000001</v>
      </c>
      <c r="N1003">
        <v>0</v>
      </c>
      <c r="O1003">
        <v>-3.7101009999999999E-3</v>
      </c>
      <c r="P1003">
        <v>0.9984499</v>
      </c>
      <c r="Q1003">
        <v>4.5979579999999999E-2</v>
      </c>
      <c r="R1003">
        <v>-3.1368269999999997E-2</v>
      </c>
      <c r="S1003">
        <v>3.022888</v>
      </c>
      <c r="T1003">
        <v>-0.72988529999999996</v>
      </c>
      <c r="U1003">
        <v>-0.48028559999999998</v>
      </c>
      <c r="V1003">
        <v>2.766559E-2</v>
      </c>
      <c r="W1003">
        <v>5.9744829999999999E-2</v>
      </c>
      <c r="X1003">
        <v>0.9978302</v>
      </c>
      <c r="Y1003">
        <v>0.14917130000000001</v>
      </c>
      <c r="Z1003">
        <v>-1.6769869999999999E-2</v>
      </c>
      <c r="AA1003">
        <v>0.98866920000000003</v>
      </c>
      <c r="AB1003">
        <v>24</v>
      </c>
      <c r="AC1003">
        <v>0.68490000000002704</v>
      </c>
      <c r="AD1003">
        <v>-0.19392789999999999</v>
      </c>
      <c r="AE1003">
        <v>-0.127400000000022</v>
      </c>
      <c r="AF1003">
        <v>0.115878264547513</v>
      </c>
      <c r="AG1003">
        <v>-0.19392789999999999</v>
      </c>
      <c r="AH1003">
        <v>0.636077464562252</v>
      </c>
      <c r="AI1003">
        <v>106.696314483091</v>
      </c>
      <c r="AJ1003">
        <v>79.675290493903105</v>
      </c>
      <c r="AK1003">
        <v>0.675003958149059</v>
      </c>
      <c r="AL1003">
        <v>86.574833564772604</v>
      </c>
      <c r="AM1003">
        <v>88.411838445136198</v>
      </c>
      <c r="AN1003">
        <v>0.999999968806908</v>
      </c>
    </row>
    <row r="1004" spans="1:40" x14ac:dyDescent="0.25">
      <c r="A1004" t="str">
        <f>"20190312150651715"</f>
        <v>20190312150651715</v>
      </c>
      <c r="B1004" t="str">
        <f>"1552374411711228"</f>
        <v>1552374411711228</v>
      </c>
      <c r="C1004" t="s">
        <v>40</v>
      </c>
      <c r="D1004">
        <v>4.1568139999999998</v>
      </c>
      <c r="E1004">
        <v>0.52067770000000002</v>
      </c>
      <c r="F1004" t="s">
        <v>41</v>
      </c>
      <c r="G1004">
        <v>-327.87470000000002</v>
      </c>
      <c r="H1004">
        <v>0.94325959999999998</v>
      </c>
      <c r="I1004">
        <v>367.23630000000003</v>
      </c>
      <c r="J1004">
        <v>-328.4409</v>
      </c>
      <c r="K1004">
        <v>1.1106100000000001</v>
      </c>
      <c r="L1004">
        <v>367.34410000000003</v>
      </c>
      <c r="M1004">
        <v>0.99989810000000001</v>
      </c>
      <c r="N1004">
        <v>0</v>
      </c>
      <c r="O1004">
        <v>-3.7099720000000002E-3</v>
      </c>
      <c r="P1004">
        <v>0.99842569999999997</v>
      </c>
      <c r="Q1004">
        <v>4.6500260000000002E-2</v>
      </c>
      <c r="R1004">
        <v>-3.1367369999999999E-2</v>
      </c>
      <c r="S1004">
        <v>3.0233759999999998</v>
      </c>
      <c r="T1004">
        <v>-0.72638049999999998</v>
      </c>
      <c r="U1004">
        <v>-0.46899410000000002</v>
      </c>
      <c r="V1004">
        <v>2.7664939999999999E-2</v>
      </c>
      <c r="W1004">
        <v>6.026364E-2</v>
      </c>
      <c r="X1004">
        <v>0.99779899999999999</v>
      </c>
      <c r="Y1004">
        <v>0.14567620000000001</v>
      </c>
      <c r="Z1004">
        <v>-1.6281980000000001E-2</v>
      </c>
      <c r="AA1004">
        <v>0.98919829999999997</v>
      </c>
      <c r="AB1004">
        <v>24</v>
      </c>
      <c r="AC1004">
        <v>0.56619999999998005</v>
      </c>
      <c r="AD1004">
        <v>-0.16735040000000001</v>
      </c>
      <c r="AE1004">
        <v>-0.107799999999997</v>
      </c>
      <c r="AF1004">
        <v>9.7480453363549699E-2</v>
      </c>
      <c r="AG1004">
        <v>-0.16735040000000001</v>
      </c>
      <c r="AH1004">
        <v>0.52254343102606304</v>
      </c>
      <c r="AI1004">
        <v>107.475560441939</v>
      </c>
      <c r="AJ1004">
        <v>79.4329386602939</v>
      </c>
      <c r="AK1004">
        <v>0.55727931280159104</v>
      </c>
      <c r="AL1004">
        <v>86.545054215788099</v>
      </c>
      <c r="AM1004">
        <v>88.411826106364799</v>
      </c>
      <c r="AN1004">
        <v>0.99999994980612505</v>
      </c>
    </row>
    <row r="1005" spans="1:40" x14ac:dyDescent="0.25">
      <c r="A1005" t="str">
        <f>"20190312150651725"</f>
        <v>20190312150651725</v>
      </c>
      <c r="B1005" t="str">
        <f>"1552374411720988"</f>
        <v>1552374411720988</v>
      </c>
      <c r="C1005" t="s">
        <v>40</v>
      </c>
      <c r="D1005">
        <v>4.2079269999999998</v>
      </c>
      <c r="E1005">
        <v>0.51466440000000002</v>
      </c>
      <c r="F1005" t="s">
        <v>41</v>
      </c>
      <c r="G1005">
        <v>-327.63749999999999</v>
      </c>
      <c r="H1005">
        <v>0.9917861</v>
      </c>
      <c r="I1005">
        <v>367.27429999999998</v>
      </c>
      <c r="J1005">
        <v>-328.32900000000001</v>
      </c>
      <c r="K1005">
        <v>1.1106100000000001</v>
      </c>
      <c r="L1005">
        <v>367.34370000000001</v>
      </c>
      <c r="M1005">
        <v>0.99989810000000001</v>
      </c>
      <c r="N1005">
        <v>0</v>
      </c>
      <c r="O1005">
        <v>-3.7099640000000001E-3</v>
      </c>
      <c r="P1005">
        <v>0.99840770000000001</v>
      </c>
      <c r="Q1005">
        <v>4.6800399999999999E-2</v>
      </c>
      <c r="R1005">
        <v>-3.1493819999999999E-2</v>
      </c>
      <c r="S1005">
        <v>3.0172729999999999</v>
      </c>
      <c r="T1005">
        <v>-0.44632880000000003</v>
      </c>
      <c r="U1005">
        <v>-0.26208500000000001</v>
      </c>
      <c r="V1005">
        <v>2.7791590000000001E-2</v>
      </c>
      <c r="W1005">
        <v>6.056255E-2</v>
      </c>
      <c r="X1005">
        <v>0.99777749999999998</v>
      </c>
      <c r="Y1005">
        <v>8.1993269999999993E-2</v>
      </c>
      <c r="Z1005">
        <v>-5.4755949999999998E-3</v>
      </c>
      <c r="AA1005">
        <v>0.99661789999999995</v>
      </c>
      <c r="AB1005">
        <v>24</v>
      </c>
      <c r="AC1005">
        <v>0.69150000000001899</v>
      </c>
      <c r="AD1005">
        <v>-0.1188239</v>
      </c>
      <c r="AE1005">
        <v>-6.9400000000030104E-2</v>
      </c>
      <c r="AF1005">
        <v>6.4935588040018505E-2</v>
      </c>
      <c r="AG1005">
        <v>-0.1188239</v>
      </c>
      <c r="AH1005">
        <v>0.67210520554995201</v>
      </c>
      <c r="AI1005">
        <v>99.980395126305496</v>
      </c>
      <c r="AJ1005">
        <v>84.4814843467841</v>
      </c>
      <c r="AK1005">
        <v>0.68561006201240704</v>
      </c>
      <c r="AL1005">
        <v>86.527897002518003</v>
      </c>
      <c r="AM1005">
        <v>88.404524840359301</v>
      </c>
      <c r="AN1005">
        <v>1.00000006722173</v>
      </c>
    </row>
    <row r="1006" spans="1:40" x14ac:dyDescent="0.25">
      <c r="A1006" t="str">
        <f>"20190312150651737"</f>
        <v>20190312150651737</v>
      </c>
      <c r="B1006" t="str">
        <f>"1552374411731724"</f>
        <v>1552374411731724</v>
      </c>
      <c r="C1006" t="s">
        <v>40</v>
      </c>
      <c r="D1006">
        <v>4.1712629999999997</v>
      </c>
      <c r="E1006">
        <v>0.51220889999999997</v>
      </c>
      <c r="F1006" t="s">
        <v>41</v>
      </c>
      <c r="G1006">
        <v>-327.4203</v>
      </c>
      <c r="H1006">
        <v>0.99960939999999998</v>
      </c>
      <c r="I1006">
        <v>367.279</v>
      </c>
      <c r="J1006">
        <v>-328.20749999999998</v>
      </c>
      <c r="K1006">
        <v>1.1106119999999999</v>
      </c>
      <c r="L1006">
        <v>367.3433</v>
      </c>
      <c r="M1006">
        <v>0.99989819999999996</v>
      </c>
      <c r="N1006">
        <v>0</v>
      </c>
      <c r="O1006">
        <v>-3.7099559999999999E-3</v>
      </c>
      <c r="P1006">
        <v>0.99841279999999999</v>
      </c>
      <c r="Q1006">
        <v>4.6749789999999999E-2</v>
      </c>
      <c r="R1006">
        <v>-3.141008E-2</v>
      </c>
      <c r="S1006">
        <v>3.0152890000000001</v>
      </c>
      <c r="T1006">
        <v>-0.36847010000000002</v>
      </c>
      <c r="U1006">
        <v>-0.21398929999999999</v>
      </c>
      <c r="V1006">
        <v>2.7707590000000001E-2</v>
      </c>
      <c r="W1006">
        <v>6.0510670000000003E-2</v>
      </c>
      <c r="X1006">
        <v>0.99778290000000003</v>
      </c>
      <c r="Y1006">
        <v>6.6622909999999994E-2</v>
      </c>
      <c r="Z1006">
        <v>-3.5994120000000002E-3</v>
      </c>
      <c r="AA1006">
        <v>0.99777170000000004</v>
      </c>
      <c r="AB1006">
        <v>24</v>
      </c>
      <c r="AC1006">
        <v>0.78719999999998402</v>
      </c>
      <c r="AD1006">
        <v>-0.11100260000000001</v>
      </c>
      <c r="AE1006">
        <v>-6.4300000000002897E-2</v>
      </c>
      <c r="AF1006">
        <v>6.0189939093480402E-2</v>
      </c>
      <c r="AG1006">
        <v>-0.11100260000000001</v>
      </c>
      <c r="AH1006">
        <v>0.77218113463166804</v>
      </c>
      <c r="AI1006">
        <v>98.1559380261006</v>
      </c>
      <c r="AJ1006">
        <v>85.542923561857094</v>
      </c>
      <c r="AK1006">
        <v>0.78243728864100404</v>
      </c>
      <c r="AL1006">
        <v>86.530874678670898</v>
      </c>
      <c r="AM1006">
        <v>88.409353282393695</v>
      </c>
      <c r="AN1006">
        <v>0.99999998362993303</v>
      </c>
    </row>
    <row r="1007" spans="1:40" x14ac:dyDescent="0.25">
      <c r="A1007" t="str">
        <f>"20190312150651748"</f>
        <v>20190312150651748</v>
      </c>
      <c r="B1007" t="str">
        <f>"1552374411741486"</f>
        <v>1552374411741486</v>
      </c>
      <c r="C1007" t="s">
        <v>40</v>
      </c>
      <c r="D1007">
        <v>4.1353920000000004</v>
      </c>
      <c r="E1007">
        <v>0.51055819999999996</v>
      </c>
      <c r="F1007" t="s">
        <v>41</v>
      </c>
      <c r="G1007">
        <v>-327.40309999999999</v>
      </c>
      <c r="H1007">
        <v>1.0340180000000001</v>
      </c>
      <c r="I1007">
        <v>367.29140000000001</v>
      </c>
      <c r="J1007">
        <v>-328.09399999999999</v>
      </c>
      <c r="K1007">
        <v>1.110611</v>
      </c>
      <c r="L1007">
        <v>367.34280000000001</v>
      </c>
      <c r="M1007">
        <v>0.99989810000000001</v>
      </c>
      <c r="N1007">
        <v>0</v>
      </c>
      <c r="O1007">
        <v>-3.7099469999999999E-3</v>
      </c>
      <c r="P1007">
        <v>0.99840759999999995</v>
      </c>
      <c r="Q1007">
        <v>4.6931819999999999E-2</v>
      </c>
      <c r="R1007">
        <v>-3.1304510000000001E-2</v>
      </c>
      <c r="S1007">
        <v>3.012146</v>
      </c>
      <c r="T1007">
        <v>-0.28697230000000001</v>
      </c>
      <c r="U1007">
        <v>-0.19369510000000001</v>
      </c>
      <c r="V1007">
        <v>2.760203E-2</v>
      </c>
      <c r="W1007">
        <v>6.0691540000000002E-2</v>
      </c>
      <c r="X1007">
        <v>0.99777479999999996</v>
      </c>
      <c r="Y1007">
        <v>6.0214249999999997E-2</v>
      </c>
      <c r="Z1007">
        <v>-2.5066300000000001E-3</v>
      </c>
      <c r="AA1007">
        <v>0.99818240000000003</v>
      </c>
      <c r="AB1007">
        <v>24</v>
      </c>
      <c r="AC1007">
        <v>0.69089999999999896</v>
      </c>
      <c r="AD1007">
        <v>-7.6592999999999897E-2</v>
      </c>
      <c r="AE1007">
        <v>-5.1400000000000903E-2</v>
      </c>
      <c r="AF1007">
        <v>4.8246519846470298E-2</v>
      </c>
      <c r="AG1007">
        <v>-7.6592999999999897E-2</v>
      </c>
      <c r="AH1007">
        <v>0.68274132744239102</v>
      </c>
      <c r="AI1007">
        <v>96.3851448746328</v>
      </c>
      <c r="AJ1007">
        <v>85.957862484527496</v>
      </c>
      <c r="AK1007">
        <v>0.68871614945788395</v>
      </c>
      <c r="AL1007">
        <v>86.520492368586503</v>
      </c>
      <c r="AM1007">
        <v>88.415397353884302</v>
      </c>
      <c r="AN1007">
        <v>0.99999994330136399</v>
      </c>
    </row>
    <row r="1008" spans="1:40" x14ac:dyDescent="0.25">
      <c r="A1008" t="str">
        <f>"20190312150651759"</f>
        <v>20190312150651759</v>
      </c>
      <c r="B1008" t="str">
        <f>"1552374411751244"</f>
        <v>1552374411751244</v>
      </c>
      <c r="C1008" t="s">
        <v>40</v>
      </c>
      <c r="D1008">
        <v>4.1160160000000001</v>
      </c>
      <c r="E1008">
        <v>0.50953329999999997</v>
      </c>
      <c r="F1008" t="s">
        <v>41</v>
      </c>
      <c r="G1008">
        <v>-327.1866</v>
      </c>
      <c r="H1008">
        <v>1.040907</v>
      </c>
      <c r="I1008">
        <v>367.2885</v>
      </c>
      <c r="J1008">
        <v>-327.9742</v>
      </c>
      <c r="K1008">
        <v>1.1106119999999999</v>
      </c>
      <c r="L1008">
        <v>367.3424</v>
      </c>
      <c r="M1008">
        <v>0.99989819999999996</v>
      </c>
      <c r="N1008">
        <v>0</v>
      </c>
      <c r="O1008">
        <v>-3.7099379999999999E-3</v>
      </c>
      <c r="P1008">
        <v>0.99841550000000001</v>
      </c>
      <c r="Q1008">
        <v>4.6888220000000001E-2</v>
      </c>
      <c r="R1008">
        <v>-3.1117249999999999E-2</v>
      </c>
      <c r="S1008">
        <v>3.01004</v>
      </c>
      <c r="T1008">
        <v>-0.2312854</v>
      </c>
      <c r="U1008">
        <v>-0.18005370000000001</v>
      </c>
      <c r="V1008">
        <v>2.7414979999999999E-2</v>
      </c>
      <c r="W1008">
        <v>6.0646789999999999E-2</v>
      </c>
      <c r="X1008">
        <v>0.99778270000000002</v>
      </c>
      <c r="Y1008">
        <v>5.5853750000000001E-2</v>
      </c>
      <c r="Z1008">
        <v>-1.856372E-3</v>
      </c>
      <c r="AA1008">
        <v>0.99843720000000002</v>
      </c>
      <c r="AB1008">
        <v>24</v>
      </c>
      <c r="AC1008">
        <v>0.78759999999999697</v>
      </c>
      <c r="AD1008">
        <v>-6.97050000000001E-2</v>
      </c>
      <c r="AE1008">
        <v>-5.3899999999998699E-2</v>
      </c>
      <c r="AF1008">
        <v>5.0583045084711897E-2</v>
      </c>
      <c r="AG1008">
        <v>-6.97050000000001E-2</v>
      </c>
      <c r="AH1008">
        <v>0.78170021295390302</v>
      </c>
      <c r="AI1008">
        <v>95.085066092130305</v>
      </c>
      <c r="AJ1008">
        <v>86.297608825302703</v>
      </c>
      <c r="AK1008">
        <v>0.78643032393672296</v>
      </c>
      <c r="AL1008">
        <v>86.523061163355194</v>
      </c>
      <c r="AM1008">
        <v>88.426142727330898</v>
      </c>
      <c r="AN1008">
        <v>0.99999996534249602</v>
      </c>
    </row>
    <row r="1009" spans="1:40" x14ac:dyDescent="0.25">
      <c r="A1009" t="str">
        <f>"20190312150651770"</f>
        <v>20190312150651770</v>
      </c>
      <c r="B1009" t="str">
        <f>"1552374411761004"</f>
        <v>1552374411761004</v>
      </c>
      <c r="C1009" t="s">
        <v>40</v>
      </c>
      <c r="D1009">
        <v>4.1276950000000001</v>
      </c>
      <c r="E1009">
        <v>0.50894280000000003</v>
      </c>
      <c r="F1009" t="s">
        <v>43</v>
      </c>
      <c r="G1009">
        <v>-310.09100000000001</v>
      </c>
      <c r="H1009">
        <v>-0.05</v>
      </c>
      <c r="I1009">
        <v>366.32510000000002</v>
      </c>
      <c r="J1009">
        <v>-327.85289999999998</v>
      </c>
      <c r="K1009">
        <v>1.110611</v>
      </c>
      <c r="L1009">
        <v>367.34190000000001</v>
      </c>
      <c r="M1009">
        <v>0.99989810000000001</v>
      </c>
      <c r="N1009">
        <v>0</v>
      </c>
      <c r="O1009">
        <v>-3.7099300000000002E-3</v>
      </c>
      <c r="P1009">
        <v>0.99840879999999999</v>
      </c>
      <c r="Q1009">
        <v>4.7057439999999999E-2</v>
      </c>
      <c r="R1009">
        <v>-3.1069429999999999E-2</v>
      </c>
      <c r="S1009">
        <v>3.0086059999999999</v>
      </c>
      <c r="T1009">
        <v>-0.19525719999999999</v>
      </c>
      <c r="U1009">
        <v>-0.17114260000000001</v>
      </c>
      <c r="V1009">
        <v>2.7367200000000001E-2</v>
      </c>
      <c r="W1009">
        <v>6.0814809999999997E-2</v>
      </c>
      <c r="X1009">
        <v>0.99777380000000004</v>
      </c>
      <c r="Y1009">
        <v>5.2984530000000002E-2</v>
      </c>
      <c r="Z1009">
        <v>-1.475805E-3</v>
      </c>
      <c r="AA1009">
        <v>0.99859419999999999</v>
      </c>
      <c r="AB1009">
        <v>24</v>
      </c>
      <c r="AC1009">
        <v>17.761899999999901</v>
      </c>
      <c r="AD1009">
        <v>-1.1606110000000001</v>
      </c>
      <c r="AE1009">
        <v>-1.0167999999999799</v>
      </c>
      <c r="AF1009">
        <v>0.94686174999135797</v>
      </c>
      <c r="AG1009">
        <v>-1.1606110000000001</v>
      </c>
      <c r="AH1009">
        <v>17.6902654428165</v>
      </c>
      <c r="AI1009">
        <v>93.748293372472105</v>
      </c>
      <c r="AJ1009">
        <v>86.936198406315597</v>
      </c>
      <c r="AK1009">
        <v>17.753564614021101</v>
      </c>
      <c r="AL1009">
        <v>86.513416576300898</v>
      </c>
      <c r="AM1009">
        <v>88.428870330019805</v>
      </c>
      <c r="AN1009">
        <v>0.99999998035880799</v>
      </c>
    </row>
    <row r="1010" spans="1:40" x14ac:dyDescent="0.25">
      <c r="A1010" t="str">
        <f>"20190312150651780"</f>
        <v>20190312150651780</v>
      </c>
      <c r="B1010" t="str">
        <f>"1552374411771741"</f>
        <v>1552374411771741</v>
      </c>
      <c r="C1010" t="s">
        <v>40</v>
      </c>
      <c r="D1010">
        <v>4.1499870000000003</v>
      </c>
      <c r="E1010">
        <v>0.50853369999999998</v>
      </c>
      <c r="F1010" t="s">
        <v>43</v>
      </c>
      <c r="G1010">
        <v>-307.40230000000003</v>
      </c>
      <c r="H1010">
        <v>-0.05</v>
      </c>
      <c r="I1010">
        <v>366.21159999999998</v>
      </c>
      <c r="J1010">
        <v>-327.73689999999999</v>
      </c>
      <c r="K1010">
        <v>1.1106119999999999</v>
      </c>
      <c r="L1010">
        <v>367.3415</v>
      </c>
      <c r="M1010">
        <v>0.99989830000000002</v>
      </c>
      <c r="N1010">
        <v>0</v>
      </c>
      <c r="O1010">
        <v>-3.7100409999999999E-3</v>
      </c>
      <c r="P1010">
        <v>0.99841100000000005</v>
      </c>
      <c r="Q1010">
        <v>4.7019350000000001E-2</v>
      </c>
      <c r="R1010">
        <v>-3.1065780000000001E-2</v>
      </c>
      <c r="S1010">
        <v>3.0076290000000001</v>
      </c>
      <c r="T1010">
        <v>-0.17068820000000001</v>
      </c>
      <c r="U1010">
        <v>-0.16622919999999999</v>
      </c>
      <c r="V1010">
        <v>2.736326E-2</v>
      </c>
      <c r="W1010">
        <v>6.0775299999999997E-2</v>
      </c>
      <c r="X1010">
        <v>0.99777629999999995</v>
      </c>
      <c r="Y1010">
        <v>5.140335E-2</v>
      </c>
      <c r="Z1010">
        <v>-1.246097E-3</v>
      </c>
      <c r="AA1010">
        <v>0.99867720000000004</v>
      </c>
      <c r="AB1010">
        <v>24</v>
      </c>
      <c r="AC1010">
        <v>20.334599999999899</v>
      </c>
      <c r="AD1010">
        <v>-1.160612</v>
      </c>
      <c r="AE1010">
        <v>-1.1299000000000201</v>
      </c>
      <c r="AF1010">
        <v>1.0510295334753501</v>
      </c>
      <c r="AG1010">
        <v>-1.160612</v>
      </c>
      <c r="AH1010">
        <v>20.272814181954001</v>
      </c>
      <c r="AI1010">
        <v>93.272203070913605</v>
      </c>
      <c r="AJ1010">
        <v>87.032198420509701</v>
      </c>
      <c r="AK1010">
        <v>20.333191538733299</v>
      </c>
      <c r="AL1010">
        <v>86.515684473988401</v>
      </c>
      <c r="AM1010">
        <v>88.4291003430491</v>
      </c>
      <c r="AN1010">
        <v>0.99999996496480303</v>
      </c>
    </row>
    <row r="1011" spans="1:40" x14ac:dyDescent="0.25">
      <c r="A1011" t="str">
        <f>"20190312150651792"</f>
        <v>20190312150651792</v>
      </c>
      <c r="B1011" t="str">
        <f>"1552374411781500"</f>
        <v>1552374411781500</v>
      </c>
      <c r="C1011" t="s">
        <v>40</v>
      </c>
      <c r="D1011">
        <v>4.1161000000000003</v>
      </c>
      <c r="E1011">
        <v>0.50818660000000004</v>
      </c>
      <c r="F1011" t="s">
        <v>43</v>
      </c>
      <c r="G1011">
        <v>-304.899</v>
      </c>
      <c r="H1011">
        <v>-0.05</v>
      </c>
      <c r="I1011">
        <v>366.10449999999997</v>
      </c>
      <c r="J1011">
        <v>-327.62369999999999</v>
      </c>
      <c r="K1011">
        <v>1.110611</v>
      </c>
      <c r="L1011">
        <v>367.34109999999998</v>
      </c>
      <c r="M1011">
        <v>0.99989830000000002</v>
      </c>
      <c r="N1011">
        <v>0</v>
      </c>
      <c r="O1011">
        <v>-3.7100319999999998E-3</v>
      </c>
      <c r="P1011">
        <v>0.99841139999999995</v>
      </c>
      <c r="Q1011">
        <v>4.6970100000000001E-2</v>
      </c>
      <c r="R1011">
        <v>-3.1126959999999999E-2</v>
      </c>
      <c r="S1011">
        <v>3.0068969999999999</v>
      </c>
      <c r="T1011">
        <v>-0.1528091</v>
      </c>
      <c r="U1011">
        <v>-0.1628723</v>
      </c>
      <c r="V1011">
        <v>2.7424500000000001E-2</v>
      </c>
      <c r="W1011">
        <v>6.0724849999999997E-2</v>
      </c>
      <c r="X1011">
        <v>0.99777769999999999</v>
      </c>
      <c r="Y1011">
        <v>5.0321659999999997E-2</v>
      </c>
      <c r="Z1011">
        <v>-1.088608E-3</v>
      </c>
      <c r="AA1011">
        <v>0.99873239999999996</v>
      </c>
      <c r="AB1011">
        <v>24</v>
      </c>
      <c r="AC1011">
        <v>22.724699999999899</v>
      </c>
      <c r="AD1011">
        <v>-1.1606110000000001</v>
      </c>
      <c r="AE1011">
        <v>-1.2366000000000099</v>
      </c>
      <c r="AF1011">
        <v>1.1492851646140001</v>
      </c>
      <c r="AG1011">
        <v>-1.1606110000000001</v>
      </c>
      <c r="AH1011">
        <v>22.6701731528774</v>
      </c>
      <c r="AI1011">
        <v>92.926975475714997</v>
      </c>
      <c r="AJ1011">
        <v>87.097822618810696</v>
      </c>
      <c r="AK1011">
        <v>22.728938054039499</v>
      </c>
      <c r="AL1011">
        <v>86.518580428537305</v>
      </c>
      <c r="AM1011">
        <v>88.425588586328601</v>
      </c>
      <c r="AN1011">
        <v>0.99999997461253098</v>
      </c>
    </row>
    <row r="1012" spans="1:40" x14ac:dyDescent="0.25">
      <c r="A1012" t="str">
        <f>"20190312150651802"</f>
        <v>20190312150651802</v>
      </c>
      <c r="B1012" t="str">
        <f>"1552374411791260"</f>
        <v>1552374411791260</v>
      </c>
      <c r="C1012" t="s">
        <v>40</v>
      </c>
      <c r="D1012">
        <v>4.1250929999999997</v>
      </c>
      <c r="E1012">
        <v>0.50796300000000005</v>
      </c>
      <c r="F1012" t="s">
        <v>43</v>
      </c>
      <c r="G1012">
        <v>-302.59989999999999</v>
      </c>
      <c r="H1012">
        <v>-0.05</v>
      </c>
      <c r="I1012">
        <v>366.00619999999998</v>
      </c>
      <c r="J1012">
        <v>-327.50529999999998</v>
      </c>
      <c r="K1012">
        <v>1.110611</v>
      </c>
      <c r="L1012">
        <v>367.34059999999999</v>
      </c>
      <c r="M1012">
        <v>0.99989830000000002</v>
      </c>
      <c r="N1012">
        <v>0</v>
      </c>
      <c r="O1012">
        <v>-3.7099049999999999E-3</v>
      </c>
      <c r="P1012">
        <v>0.99842059999999999</v>
      </c>
      <c r="Q1012">
        <v>4.687061E-2</v>
      </c>
      <c r="R1012">
        <v>-3.0976790000000001E-2</v>
      </c>
      <c r="S1012">
        <v>3.006348</v>
      </c>
      <c r="T1012">
        <v>-0.13943529999999901</v>
      </c>
      <c r="U1012">
        <v>-0.16036989999999901</v>
      </c>
      <c r="V1012">
        <v>2.727452E-2</v>
      </c>
      <c r="W1012">
        <v>6.0624419999999998E-2</v>
      </c>
      <c r="X1012">
        <v>0.99778800000000001</v>
      </c>
      <c r="Y1012">
        <v>4.951357E-2</v>
      </c>
      <c r="Z1012">
        <v>-9.7493229999999996E-4</v>
      </c>
      <c r="AA1012">
        <v>0.99877300000000002</v>
      </c>
      <c r="AB1012">
        <v>24</v>
      </c>
      <c r="AC1012">
        <v>24.905399999999901</v>
      </c>
      <c r="AD1012">
        <v>-1.1606110000000001</v>
      </c>
      <c r="AE1012">
        <v>-1.33440000000001</v>
      </c>
      <c r="AF1012">
        <v>1.2393017814497</v>
      </c>
      <c r="AG1012">
        <v>-1.1606110000000001</v>
      </c>
      <c r="AH1012">
        <v>24.856355187244599</v>
      </c>
      <c r="AI1012">
        <v>92.670042650444799</v>
      </c>
      <c r="AJ1012">
        <v>87.145679215041497</v>
      </c>
      <c r="AK1012">
        <v>24.9142786368236</v>
      </c>
      <c r="AL1012">
        <v>86.524345549389196</v>
      </c>
      <c r="AM1012">
        <v>88.434210636197903</v>
      </c>
      <c r="AN1012">
        <v>1.00000005634278</v>
      </c>
    </row>
    <row r="1013" spans="1:40" x14ac:dyDescent="0.25">
      <c r="A1013" t="str">
        <f>"20190312150651815"</f>
        <v>20190312150651815</v>
      </c>
      <c r="B1013" t="str">
        <f>"1552374411811756"</f>
        <v>1552374411811756</v>
      </c>
      <c r="C1013" t="s">
        <v>40</v>
      </c>
      <c r="D1013">
        <v>4.1491249999999997</v>
      </c>
      <c r="E1013">
        <v>0.50782570000000005</v>
      </c>
      <c r="F1013" t="s">
        <v>43</v>
      </c>
      <c r="G1013">
        <v>-300.77949999999998</v>
      </c>
      <c r="H1013">
        <v>-0.05</v>
      </c>
      <c r="I1013">
        <v>365.9357</v>
      </c>
      <c r="J1013">
        <v>-327.3827</v>
      </c>
      <c r="K1013">
        <v>1.1106100000000001</v>
      </c>
      <c r="L1013">
        <v>367.34010000000001</v>
      </c>
      <c r="M1013">
        <v>0.99989830000000002</v>
      </c>
      <c r="N1013">
        <v>0</v>
      </c>
      <c r="O1013">
        <v>-3.7096579999999998E-3</v>
      </c>
      <c r="P1013">
        <v>0.99841670000000005</v>
      </c>
      <c r="Q1013">
        <v>4.6877990000000001E-2</v>
      </c>
      <c r="R1013">
        <v>-3.1095149999999998E-2</v>
      </c>
      <c r="S1013">
        <v>3.0059809999999998</v>
      </c>
      <c r="T1013">
        <v>-0.1305395</v>
      </c>
      <c r="U1013">
        <v>-0.15801999999999999</v>
      </c>
      <c r="V1013">
        <v>2.739306E-2</v>
      </c>
      <c r="W1013">
        <v>6.0630129999999997E-2</v>
      </c>
      <c r="X1013">
        <v>0.99778440000000002</v>
      </c>
      <c r="Y1013">
        <v>4.874846E-2</v>
      </c>
      <c r="Z1013">
        <v>-8.9634019999999999E-4</v>
      </c>
      <c r="AA1013">
        <v>0.99881070000000005</v>
      </c>
      <c r="AB1013">
        <v>24</v>
      </c>
      <c r="AC1013">
        <v>26.603200000000001</v>
      </c>
      <c r="AD1013">
        <v>-1.1606099999999999</v>
      </c>
      <c r="AE1013">
        <v>-1.4044000000000001</v>
      </c>
      <c r="AF1013">
        <v>1.30321869346121</v>
      </c>
      <c r="AG1013">
        <v>-1.1606099999999999</v>
      </c>
      <c r="AH1013">
        <v>26.557820506129101</v>
      </c>
      <c r="AI1013">
        <v>92.499301645603197</v>
      </c>
      <c r="AJ1013">
        <v>87.190692511417595</v>
      </c>
      <c r="AK1013">
        <v>26.6150939237655</v>
      </c>
      <c r="AL1013">
        <v>86.524017767739295</v>
      </c>
      <c r="AM1013">
        <v>88.427403171015499</v>
      </c>
      <c r="AN1013">
        <v>1.00000005064166</v>
      </c>
    </row>
    <row r="1014" spans="1:40" x14ac:dyDescent="0.25">
      <c r="A1014" t="str">
        <f>"20190312150651826"</f>
        <v>20190312150651826</v>
      </c>
      <c r="B1014" t="str">
        <f>"1552374411821516"</f>
        <v>1552374411821516</v>
      </c>
      <c r="C1014" t="s">
        <v>40</v>
      </c>
      <c r="D1014">
        <v>4.0962009999999998</v>
      </c>
      <c r="E1014">
        <v>0.50766120000000003</v>
      </c>
      <c r="F1014" t="s">
        <v>43</v>
      </c>
      <c r="G1014">
        <v>-297.57979999999998</v>
      </c>
      <c r="H1014">
        <v>-0.05</v>
      </c>
      <c r="I1014">
        <v>365.78160000000003</v>
      </c>
      <c r="J1014">
        <v>-327.2559</v>
      </c>
      <c r="K1014">
        <v>1.1106049999999901</v>
      </c>
      <c r="L1014">
        <v>367.33969999999999</v>
      </c>
      <c r="M1014">
        <v>0.99989830000000002</v>
      </c>
      <c r="N1014">
        <v>0</v>
      </c>
      <c r="O1014">
        <v>-3.7096490000000002E-3</v>
      </c>
      <c r="P1014">
        <v>0.99843689999999996</v>
      </c>
      <c r="Q1014">
        <v>4.6778309999999997E-2</v>
      </c>
      <c r="R1014">
        <v>-3.058402E-2</v>
      </c>
      <c r="S1014">
        <v>3.0054020000000001</v>
      </c>
      <c r="T1014">
        <v>-0.117039</v>
      </c>
      <c r="U1014">
        <v>-0.15716550000000001</v>
      </c>
      <c r="V1014">
        <v>2.688188E-2</v>
      </c>
      <c r="W1014">
        <v>6.0529689999999997E-2</v>
      </c>
      <c r="X1014">
        <v>0.99780429999999998</v>
      </c>
      <c r="Y1014">
        <v>4.8483850000000002E-2</v>
      </c>
      <c r="Z1014">
        <v>-7.9872769999999997E-4</v>
      </c>
      <c r="AA1014">
        <v>0.99882360000000003</v>
      </c>
      <c r="AB1014">
        <v>24</v>
      </c>
      <c r="AC1014">
        <v>29.676100000000002</v>
      </c>
      <c r="AD1014">
        <v>-1.1606050000000001</v>
      </c>
      <c r="AE1014">
        <v>-1.5580999999999601</v>
      </c>
      <c r="AF1014">
        <v>1.44578564372061</v>
      </c>
      <c r="AG1014">
        <v>-1.1606050000000001</v>
      </c>
      <c r="AH1014">
        <v>29.636471349785001</v>
      </c>
      <c r="AI1014">
        <v>92.239974460547202</v>
      </c>
      <c r="AJ1014">
        <v>87.207096829095605</v>
      </c>
      <c r="AK1014">
        <v>29.6944057721356</v>
      </c>
      <c r="AL1014">
        <v>86.529782794742999</v>
      </c>
      <c r="AM1014">
        <v>88.456765729003706</v>
      </c>
      <c r="AN1014">
        <v>0.99999994997115904</v>
      </c>
    </row>
    <row r="1015" spans="1:40" x14ac:dyDescent="0.25">
      <c r="A1015" t="str">
        <f>"20190312150651838"</f>
        <v>20190312150651838</v>
      </c>
      <c r="B1015" t="str">
        <f>"1552374411831276"</f>
        <v>1552374411831276</v>
      </c>
      <c r="C1015" t="s">
        <v>40</v>
      </c>
      <c r="D1015">
        <v>4.1519620000000002</v>
      </c>
      <c r="E1015">
        <v>0.5076292</v>
      </c>
      <c r="F1015" t="s">
        <v>43</v>
      </c>
      <c r="G1015">
        <v>-296.30939999999998</v>
      </c>
      <c r="H1015">
        <v>-0.05</v>
      </c>
      <c r="I1015">
        <v>365.74869999999999</v>
      </c>
      <c r="J1015">
        <v>-327.12779999999998</v>
      </c>
      <c r="K1015">
        <v>1.110606</v>
      </c>
      <c r="L1015">
        <v>367.33920000000001</v>
      </c>
      <c r="M1015">
        <v>0.99989830000000002</v>
      </c>
      <c r="N1015">
        <v>0</v>
      </c>
      <c r="O1015">
        <v>-3.7096400000000002E-3</v>
      </c>
      <c r="P1015">
        <v>0.99844829999999996</v>
      </c>
      <c r="Q1015">
        <v>4.6650629999999998E-2</v>
      </c>
      <c r="R1015">
        <v>-3.041483E-2</v>
      </c>
      <c r="S1015">
        <v>3.0052490000000001</v>
      </c>
      <c r="T1015">
        <v>-0.11270769999999999</v>
      </c>
      <c r="U1015">
        <v>-0.1545105</v>
      </c>
      <c r="V1015">
        <v>2.6712690000000001E-2</v>
      </c>
      <c r="W1015">
        <v>6.0401200000000002E-2</v>
      </c>
      <c r="X1015">
        <v>0.9978167</v>
      </c>
      <c r="Y1015">
        <v>4.7609499999999999E-2</v>
      </c>
      <c r="Z1015">
        <v>-7.5286820000000003E-4</v>
      </c>
      <c r="AA1015">
        <v>0.99886569999999997</v>
      </c>
      <c r="AB1015">
        <v>24</v>
      </c>
      <c r="AC1015">
        <v>30.8184</v>
      </c>
      <c r="AD1015">
        <v>-1.160606</v>
      </c>
      <c r="AE1015">
        <v>-1.59050000000002</v>
      </c>
      <c r="AF1015">
        <v>1.47406801608993</v>
      </c>
      <c r="AG1015">
        <v>-1.160606</v>
      </c>
      <c r="AH1015">
        <v>30.780550431485899</v>
      </c>
      <c r="AI1015">
        <v>92.156892024516495</v>
      </c>
      <c r="AJ1015">
        <v>87.258223197591406</v>
      </c>
      <c r="AK1015">
        <v>30.8376744854171</v>
      </c>
      <c r="AL1015">
        <v>86.537158466761994</v>
      </c>
      <c r="AM1015">
        <v>88.466492979700305</v>
      </c>
      <c r="AN1015">
        <v>1.00000001978368</v>
      </c>
    </row>
    <row r="1016" spans="1:40" x14ac:dyDescent="0.25">
      <c r="A1016" t="str">
        <f>"20190312150651850"</f>
        <v>20190312150651850</v>
      </c>
      <c r="B1016" t="str">
        <f>"1552374411841037"</f>
        <v>1552374411841037</v>
      </c>
      <c r="C1016" t="s">
        <v>40</v>
      </c>
      <c r="D1016">
        <v>4.1432609999999999</v>
      </c>
      <c r="E1016">
        <v>0.50757739999999996</v>
      </c>
      <c r="F1016" t="s">
        <v>43</v>
      </c>
      <c r="G1016">
        <v>-294.96050000000002</v>
      </c>
      <c r="H1016">
        <v>-0.05</v>
      </c>
      <c r="I1016">
        <v>365.69369999999998</v>
      </c>
      <c r="J1016">
        <v>-327.00040000000001</v>
      </c>
      <c r="K1016">
        <v>1.110606</v>
      </c>
      <c r="L1016">
        <v>367.33870000000002</v>
      </c>
      <c r="M1016">
        <v>0.99989830000000002</v>
      </c>
      <c r="N1016">
        <v>0</v>
      </c>
      <c r="O1016">
        <v>-3.709632E-3</v>
      </c>
      <c r="P1016">
        <v>0.99845010000000001</v>
      </c>
      <c r="Q1016">
        <v>4.6643469999999999E-2</v>
      </c>
      <c r="R1016">
        <v>-3.0367479999999999E-2</v>
      </c>
      <c r="S1016">
        <v>3.0050050000000001</v>
      </c>
      <c r="T1016">
        <v>-0.10842160000000001</v>
      </c>
      <c r="U1016">
        <v>-0.15371699999999999</v>
      </c>
      <c r="V1016">
        <v>2.6665290000000001E-2</v>
      </c>
      <c r="W1016">
        <v>6.0392630000000003E-2</v>
      </c>
      <c r="X1016">
        <v>0.99781850000000005</v>
      </c>
      <c r="Y1016">
        <v>4.7353069999999997E-2</v>
      </c>
      <c r="Z1016">
        <v>-7.1969899999999997E-4</v>
      </c>
      <c r="AA1016">
        <v>0.99887789999999999</v>
      </c>
      <c r="AB1016">
        <v>24</v>
      </c>
      <c r="AC1016">
        <v>32.039899999999903</v>
      </c>
      <c r="AD1016">
        <v>-1.160606</v>
      </c>
      <c r="AE1016">
        <v>-1.64500000000003</v>
      </c>
      <c r="AF1016">
        <v>1.5241265275631599</v>
      </c>
      <c r="AG1016">
        <v>-1.160606</v>
      </c>
      <c r="AH1016">
        <v>32.003898545011303</v>
      </c>
      <c r="AI1016">
        <v>92.074544668972095</v>
      </c>
      <c r="AJ1016">
        <v>87.273454369902495</v>
      </c>
      <c r="AK1016">
        <v>32.061183540827599</v>
      </c>
      <c r="AL1016">
        <v>86.537650436110994</v>
      </c>
      <c r="AM1016">
        <v>88.469215556381002</v>
      </c>
      <c r="AN1016">
        <v>1.00000003319567</v>
      </c>
    </row>
    <row r="1017" spans="1:40" x14ac:dyDescent="0.25">
      <c r="A1017" t="str">
        <f>"20190312150651861"</f>
        <v>20190312150651861</v>
      </c>
      <c r="B1017" t="str">
        <f>"1552374411851772"</f>
        <v>1552374411851772</v>
      </c>
      <c r="C1017" t="s">
        <v>40</v>
      </c>
      <c r="D1017">
        <v>4.1525879999999997</v>
      </c>
      <c r="E1017">
        <v>0.50754650000000001</v>
      </c>
      <c r="F1017" t="s">
        <v>43</v>
      </c>
      <c r="G1017">
        <v>-293.6508</v>
      </c>
      <c r="H1017">
        <v>-0.05</v>
      </c>
      <c r="I1017">
        <v>365.63839999999999</v>
      </c>
      <c r="J1017">
        <v>-326.8768</v>
      </c>
      <c r="K1017">
        <v>1.1106100000000001</v>
      </c>
      <c r="L1017">
        <v>367.3383</v>
      </c>
      <c r="M1017">
        <v>0.99989839999999997</v>
      </c>
      <c r="N1017">
        <v>0</v>
      </c>
      <c r="O1017">
        <v>-3.709623E-3</v>
      </c>
      <c r="P1017">
        <v>0.99845519999999999</v>
      </c>
      <c r="Q1017">
        <v>4.6741199999999997E-2</v>
      </c>
      <c r="R1017">
        <v>-3.0045869999999999E-2</v>
      </c>
      <c r="S1017">
        <v>3.0048520000000001</v>
      </c>
      <c r="T1017">
        <v>-0.10457230000000001</v>
      </c>
      <c r="U1017">
        <v>-0.15319820000000001</v>
      </c>
      <c r="V1017">
        <v>2.6343760000000001E-2</v>
      </c>
      <c r="W1017">
        <v>6.0488769999999997E-2</v>
      </c>
      <c r="X1017">
        <v>0.99782119999999996</v>
      </c>
      <c r="Y1017">
        <v>4.718572E-2</v>
      </c>
      <c r="Z1017">
        <v>-6.9129249999999999E-4</v>
      </c>
      <c r="AA1017">
        <v>0.99888589999999999</v>
      </c>
      <c r="AB1017">
        <v>24</v>
      </c>
      <c r="AC1017">
        <v>33.225999999999999</v>
      </c>
      <c r="AD1017">
        <v>-1.1606099999999999</v>
      </c>
      <c r="AE1017">
        <v>-1.69990000000001</v>
      </c>
      <c r="AF1017">
        <v>1.5747043179923199</v>
      </c>
      <c r="AG1017">
        <v>-1.1606099999999999</v>
      </c>
      <c r="AH1017">
        <v>33.191684516707802</v>
      </c>
      <c r="AI1017">
        <v>92.000391162780005</v>
      </c>
      <c r="AJ1017">
        <v>87.283768160724094</v>
      </c>
      <c r="AK1017">
        <v>33.2492801473635</v>
      </c>
      <c r="AL1017">
        <v>86.532131871628707</v>
      </c>
      <c r="AM1017">
        <v>88.487669217295704</v>
      </c>
      <c r="AN1017">
        <v>1.0000000160782401</v>
      </c>
    </row>
    <row r="1018" spans="1:40" x14ac:dyDescent="0.25">
      <c r="A1018" t="str">
        <f>"20190312150651874"</f>
        <v>20190312150651874</v>
      </c>
      <c r="B1018" t="str">
        <f>"1552374411871292"</f>
        <v>1552374411871292</v>
      </c>
      <c r="C1018" t="s">
        <v>40</v>
      </c>
      <c r="D1018">
        <v>4.3934739999999897</v>
      </c>
      <c r="E1018">
        <v>0.50755019999999995</v>
      </c>
      <c r="F1018" t="s">
        <v>43</v>
      </c>
      <c r="G1018">
        <v>-292.37920000000003</v>
      </c>
      <c r="H1018">
        <v>-0.05</v>
      </c>
      <c r="I1018">
        <v>365.59379999999999</v>
      </c>
      <c r="J1018">
        <v>-326.75569999999999</v>
      </c>
      <c r="K1018">
        <v>1.1106100000000001</v>
      </c>
      <c r="L1018">
        <v>367.33780000000002</v>
      </c>
      <c r="M1018">
        <v>0.99989830000000002</v>
      </c>
      <c r="N1018">
        <v>0</v>
      </c>
      <c r="O1018">
        <v>-3.7094950000000002E-3</v>
      </c>
      <c r="P1018">
        <v>0.99845609999999996</v>
      </c>
      <c r="Q1018">
        <v>4.675265E-2</v>
      </c>
      <c r="R1018">
        <v>-2.9994980000000001E-2</v>
      </c>
      <c r="S1018">
        <v>3.0047609999999998</v>
      </c>
      <c r="T1018">
        <v>-0.1010895</v>
      </c>
      <c r="U1018">
        <v>-0.151947</v>
      </c>
      <c r="V1018">
        <v>2.6293E-2</v>
      </c>
      <c r="W1018">
        <v>6.0499240000000003E-2</v>
      </c>
      <c r="X1018">
        <v>0.99782190000000004</v>
      </c>
      <c r="Y1018">
        <v>4.6774459999999997E-2</v>
      </c>
      <c r="Z1018">
        <v>-6.6140190000000003E-4</v>
      </c>
      <c r="AA1018">
        <v>0.99890520000000005</v>
      </c>
      <c r="AB1018">
        <v>24</v>
      </c>
      <c r="AC1018">
        <v>34.376499999999901</v>
      </c>
      <c r="AD1018">
        <v>-1.1606099999999999</v>
      </c>
      <c r="AE1018">
        <v>-1.74400000000002</v>
      </c>
      <c r="AF1018">
        <v>1.6146207438165701</v>
      </c>
      <c r="AG1018">
        <v>-1.1606099999999999</v>
      </c>
      <c r="AH1018">
        <v>34.343687111081302</v>
      </c>
      <c r="AI1018">
        <v>91.933382196277805</v>
      </c>
      <c r="AJ1018">
        <v>87.308300482580805</v>
      </c>
      <c r="AK1018">
        <v>34.401204340870301</v>
      </c>
      <c r="AL1018">
        <v>86.531530870008197</v>
      </c>
      <c r="AM1018">
        <v>88.490582933693005</v>
      </c>
      <c r="AN1018">
        <v>1.00000001200459</v>
      </c>
    </row>
    <row r="1019" spans="1:40" x14ac:dyDescent="0.25">
      <c r="A1019" t="str">
        <f>"20190312150651885"</f>
        <v>20190312150651885</v>
      </c>
      <c r="B1019" t="str">
        <f>"1552374411881052"</f>
        <v>1552374411881052</v>
      </c>
      <c r="C1019" t="s">
        <v>40</v>
      </c>
      <c r="D1019">
        <v>4.1525410000000003</v>
      </c>
      <c r="E1019">
        <v>0.50755969999999995</v>
      </c>
      <c r="F1019" t="s">
        <v>43</v>
      </c>
      <c r="G1019">
        <v>-289.38929999999999</v>
      </c>
      <c r="H1019">
        <v>-0.05</v>
      </c>
      <c r="I1019">
        <v>365.45420000000001</v>
      </c>
      <c r="J1019">
        <v>-326.63229999999999</v>
      </c>
      <c r="K1019">
        <v>1.110611</v>
      </c>
      <c r="L1019">
        <v>367.3374</v>
      </c>
      <c r="M1019">
        <v>0.99989830000000002</v>
      </c>
      <c r="N1019">
        <v>0</v>
      </c>
      <c r="O1019">
        <v>-3.7093669999999999E-3</v>
      </c>
      <c r="P1019">
        <v>0.99845799999999996</v>
      </c>
      <c r="Q1019">
        <v>4.6823549999999999E-2</v>
      </c>
      <c r="R1019">
        <v>-2.982247E-2</v>
      </c>
      <c r="S1019">
        <v>3.004486</v>
      </c>
      <c r="T1019">
        <v>-9.3320130000000001E-2</v>
      </c>
      <c r="U1019">
        <v>-0.1514587</v>
      </c>
      <c r="V1019">
        <v>2.6120580000000001E-2</v>
      </c>
      <c r="W1019">
        <v>6.0569209999999998E-2</v>
      </c>
      <c r="X1019">
        <v>0.99782219999999999</v>
      </c>
      <c r="Y1019">
        <v>4.6620929999999998E-2</v>
      </c>
      <c r="Z1019">
        <v>-6.0827440000000004E-4</v>
      </c>
      <c r="AA1019">
        <v>0.99891249999999998</v>
      </c>
      <c r="AB1019">
        <v>24</v>
      </c>
      <c r="AC1019">
        <v>37.243000000000002</v>
      </c>
      <c r="AD1019">
        <v>-1.1606110000000001</v>
      </c>
      <c r="AE1019">
        <v>-1.88319999999998</v>
      </c>
      <c r="AF1019">
        <v>1.7433372706935699</v>
      </c>
      <c r="AG1019">
        <v>-1.1606110000000001</v>
      </c>
      <c r="AH1019">
        <v>37.213682161331199</v>
      </c>
      <c r="AI1019">
        <v>91.784391711901407</v>
      </c>
      <c r="AJ1019">
        <v>87.317844192218701</v>
      </c>
      <c r="AK1019">
        <v>37.272568770307402</v>
      </c>
      <c r="AL1019">
        <v>86.527514575716395</v>
      </c>
      <c r="AM1019">
        <v>88.500477062255797</v>
      </c>
      <c r="AN1019">
        <v>1.0000000283561901</v>
      </c>
    </row>
    <row r="1020" spans="1:40" x14ac:dyDescent="0.25">
      <c r="A1020" t="str">
        <f>"20190312150651895"</f>
        <v>20190312150651895</v>
      </c>
      <c r="B1020" t="str">
        <f>"1552374411891788"</f>
        <v>1552374411891788</v>
      </c>
      <c r="C1020" t="s">
        <v>40</v>
      </c>
      <c r="D1020">
        <v>4.1703349999999997</v>
      </c>
      <c r="E1020">
        <v>0.50755209999999995</v>
      </c>
      <c r="F1020" t="s">
        <v>43</v>
      </c>
      <c r="G1020">
        <v>-287.2235</v>
      </c>
      <c r="H1020">
        <v>-0.05</v>
      </c>
      <c r="I1020">
        <v>365.35860000000002</v>
      </c>
      <c r="J1020">
        <v>-326.52080000000001</v>
      </c>
      <c r="K1020">
        <v>1.110611</v>
      </c>
      <c r="L1020">
        <v>367.33690000000001</v>
      </c>
      <c r="M1020">
        <v>0.99989839999999997</v>
      </c>
      <c r="N1020">
        <v>0</v>
      </c>
      <c r="O1020">
        <v>-3.7093590000000002E-3</v>
      </c>
      <c r="P1020">
        <v>0.99847039999999998</v>
      </c>
      <c r="Q1020">
        <v>4.6593929999999999E-2</v>
      </c>
      <c r="R1020">
        <v>-2.9769810000000001E-2</v>
      </c>
      <c r="S1020">
        <v>3.0043030000000002</v>
      </c>
      <c r="T1020">
        <v>-8.847845E-2</v>
      </c>
      <c r="U1020">
        <v>-0.15084839999999999</v>
      </c>
      <c r="V1020">
        <v>2.6067770000000001E-2</v>
      </c>
      <c r="W1020">
        <v>6.0338370000000002E-2</v>
      </c>
      <c r="X1020">
        <v>0.99783750000000004</v>
      </c>
      <c r="Y1020">
        <v>4.6423739999999998E-2</v>
      </c>
      <c r="Z1020">
        <v>-5.7386679999999997E-4</v>
      </c>
      <c r="AA1020">
        <v>0.99892170000000002</v>
      </c>
      <c r="AB1020">
        <v>24</v>
      </c>
      <c r="AC1020">
        <v>39.2973</v>
      </c>
      <c r="AD1020">
        <v>-1.1606110000000001</v>
      </c>
      <c r="AE1020">
        <v>-1.97829999999999</v>
      </c>
      <c r="AF1020">
        <v>1.83091178425172</v>
      </c>
      <c r="AG1020">
        <v>-1.1606110000000001</v>
      </c>
      <c r="AH1020">
        <v>39.270201123910297</v>
      </c>
      <c r="AI1020">
        <v>91.691019256853195</v>
      </c>
      <c r="AJ1020">
        <v>87.330606854120106</v>
      </c>
      <c r="AK1020">
        <v>39.329987950257497</v>
      </c>
      <c r="AL1020">
        <v>86.540764738183398</v>
      </c>
      <c r="AM1020">
        <v>88.503530319462001</v>
      </c>
      <c r="AN1020">
        <v>0.99999996196663898</v>
      </c>
    </row>
    <row r="1021" spans="1:40" x14ac:dyDescent="0.25">
      <c r="A1021" t="str">
        <f>"20190312150651906"</f>
        <v>20190312150651906</v>
      </c>
      <c r="B1021" t="str">
        <f>"1552374411901549"</f>
        <v>1552374411901549</v>
      </c>
      <c r="C1021" t="s">
        <v>40</v>
      </c>
      <c r="D1021">
        <v>4.1510590000000001</v>
      </c>
      <c r="E1021">
        <v>0.50753859999999995</v>
      </c>
      <c r="F1021" t="s">
        <v>43</v>
      </c>
      <c r="G1021">
        <v>-285.50069999999999</v>
      </c>
      <c r="H1021">
        <v>-0.05</v>
      </c>
      <c r="I1021">
        <v>365.27879999999999</v>
      </c>
      <c r="J1021">
        <v>-326.41730000000001</v>
      </c>
      <c r="K1021">
        <v>1.1106119999999999</v>
      </c>
      <c r="L1021">
        <v>367.3365</v>
      </c>
      <c r="M1021">
        <v>0.99989830000000002</v>
      </c>
      <c r="N1021">
        <v>0</v>
      </c>
      <c r="O1021">
        <v>-3.709113E-3</v>
      </c>
      <c r="P1021">
        <v>0.99846820000000003</v>
      </c>
      <c r="Q1021">
        <v>4.6558090000000003E-2</v>
      </c>
      <c r="R1021">
        <v>-2.9896470000000001E-2</v>
      </c>
      <c r="S1021">
        <v>3.0040589999999998</v>
      </c>
      <c r="T1021">
        <v>-8.4995989999999993E-2</v>
      </c>
      <c r="U1021">
        <v>-0.15072629999999901</v>
      </c>
      <c r="V1021">
        <v>2.619471E-2</v>
      </c>
      <c r="W1021">
        <v>6.0301720000000003E-2</v>
      </c>
      <c r="X1021">
        <v>0.99783639999999996</v>
      </c>
      <c r="Y1021">
        <v>4.6389010000000001E-2</v>
      </c>
      <c r="Z1021">
        <v>-5.5085019999999896E-4</v>
      </c>
      <c r="AA1021">
        <v>0.99892329999999996</v>
      </c>
      <c r="AB1021">
        <v>24</v>
      </c>
      <c r="AC1021">
        <v>40.916600000000003</v>
      </c>
      <c r="AD1021">
        <v>-1.160612</v>
      </c>
      <c r="AE1021">
        <v>-2.0577000000000099</v>
      </c>
      <c r="AF1021">
        <v>1.9043787779919901</v>
      </c>
      <c r="AG1021">
        <v>-1.160612</v>
      </c>
      <c r="AH1021">
        <v>40.891133826558402</v>
      </c>
      <c r="AI1021">
        <v>91.624028840091796</v>
      </c>
      <c r="AJ1021">
        <v>87.333551987881293</v>
      </c>
      <c r="AK1021">
        <v>40.951904770915299</v>
      </c>
      <c r="AL1021">
        <v>86.542868489557605</v>
      </c>
      <c r="AM1021">
        <v>88.496244769371998</v>
      </c>
      <c r="AN1021">
        <v>0.99999997071595004</v>
      </c>
    </row>
    <row r="1022" spans="1:40" x14ac:dyDescent="0.25">
      <c r="A1022" t="str">
        <f>"20190312150651917"</f>
        <v>20190312150651917</v>
      </c>
      <c r="B1022" t="str">
        <f>"1552374411911308"</f>
        <v>1552374411911308</v>
      </c>
      <c r="C1022" t="s">
        <v>40</v>
      </c>
      <c r="D1022">
        <v>4.1402700000000001</v>
      </c>
      <c r="E1022">
        <v>0.50750740000000005</v>
      </c>
      <c r="F1022" t="s">
        <v>43</v>
      </c>
      <c r="G1022">
        <v>-284.75040000000001</v>
      </c>
      <c r="H1022">
        <v>-0.05</v>
      </c>
      <c r="I1022">
        <v>365.24250000000001</v>
      </c>
      <c r="J1022">
        <v>-326.29860000000002</v>
      </c>
      <c r="K1022">
        <v>1.1106119999999999</v>
      </c>
      <c r="L1022">
        <v>367.33609999999999</v>
      </c>
      <c r="M1022">
        <v>0.99989839999999997</v>
      </c>
      <c r="N1022">
        <v>0</v>
      </c>
      <c r="O1022">
        <v>-3.7091049999999999E-3</v>
      </c>
      <c r="P1022">
        <v>0.9984769</v>
      </c>
      <c r="Q1022">
        <v>4.6279019999999997E-2</v>
      </c>
      <c r="R1022">
        <v>-3.0043299999999998E-2</v>
      </c>
      <c r="S1022">
        <v>3.0040279999999999</v>
      </c>
      <c r="T1022">
        <v>-8.3675860000000005E-2</v>
      </c>
      <c r="U1022">
        <v>-0.15097049999999901</v>
      </c>
      <c r="V1022">
        <v>2.6341369999999999E-2</v>
      </c>
      <c r="W1022">
        <v>6.0021369999999998E-2</v>
      </c>
      <c r="X1022">
        <v>0.99784949999999994</v>
      </c>
      <c r="Y1022">
        <v>4.6470989999999997E-2</v>
      </c>
      <c r="Z1022">
        <v>-5.4344349999999996E-4</v>
      </c>
      <c r="AA1022">
        <v>0.99891949999999996</v>
      </c>
      <c r="AB1022">
        <v>24</v>
      </c>
      <c r="AC1022">
        <v>41.548200000000001</v>
      </c>
      <c r="AD1022">
        <v>-1.160612</v>
      </c>
      <c r="AE1022">
        <v>-2.0935999999999799</v>
      </c>
      <c r="AF1022">
        <v>1.93795597588614</v>
      </c>
      <c r="AG1022">
        <v>-1.160612</v>
      </c>
      <c r="AH1022">
        <v>41.523361044807203</v>
      </c>
      <c r="AI1022">
        <v>91.599307208879793</v>
      </c>
      <c r="AJ1022">
        <v>87.327861239400093</v>
      </c>
      <c r="AK1022">
        <v>41.584759299969903</v>
      </c>
      <c r="AL1022">
        <v>86.558960709649995</v>
      </c>
      <c r="AM1022">
        <v>88.487849225033003</v>
      </c>
      <c r="AN1022">
        <v>1.0000000286402</v>
      </c>
    </row>
    <row r="1023" spans="1:40" x14ac:dyDescent="0.25">
      <c r="A1023" t="str">
        <f>"20190312150651926"</f>
        <v>20190312150651926</v>
      </c>
      <c r="B1023" t="str">
        <f>"1552374411922044"</f>
        <v>1552374411922044</v>
      </c>
      <c r="C1023" t="s">
        <v>40</v>
      </c>
      <c r="D1023">
        <v>4.1390310000000001</v>
      </c>
      <c r="E1023">
        <v>0.50750090000000003</v>
      </c>
      <c r="F1023" t="s">
        <v>43</v>
      </c>
      <c r="G1023">
        <v>-284.48860000000002</v>
      </c>
      <c r="H1023">
        <v>-0.05</v>
      </c>
      <c r="I1023">
        <v>365.23140000000001</v>
      </c>
      <c r="J1023">
        <v>-326.19659999999999</v>
      </c>
      <c r="K1023">
        <v>1.1106069999999999</v>
      </c>
      <c r="L1023">
        <v>367.33569999999997</v>
      </c>
      <c r="M1023">
        <v>0.99989839999999997</v>
      </c>
      <c r="N1023">
        <v>0</v>
      </c>
      <c r="O1023">
        <v>-3.7090980000000001E-3</v>
      </c>
      <c r="P1023">
        <v>0.99846820000000003</v>
      </c>
      <c r="Q1023">
        <v>4.6281129999999997E-2</v>
      </c>
      <c r="R1023">
        <v>-3.0325700000000001E-2</v>
      </c>
      <c r="S1023">
        <v>3.0039370000000001</v>
      </c>
      <c r="T1023">
        <v>-8.3386899999999903E-2</v>
      </c>
      <c r="U1023">
        <v>-0.1512146</v>
      </c>
      <c r="V1023">
        <v>2.6623939999999999E-2</v>
      </c>
      <c r="W1023">
        <v>6.0021850000000002E-2</v>
      </c>
      <c r="X1023">
        <v>0.99784200000000001</v>
      </c>
      <c r="Y1023">
        <v>4.6553589999999999E-2</v>
      </c>
      <c r="Z1023">
        <v>-5.4272849999999998E-4</v>
      </c>
      <c r="AA1023">
        <v>0.99891569999999996</v>
      </c>
      <c r="AB1023">
        <v>24</v>
      </c>
      <c r="AC1023">
        <v>41.707999999999899</v>
      </c>
      <c r="AD1023">
        <v>-1.1606069999999999</v>
      </c>
      <c r="AE1023">
        <v>-2.1042999999999599</v>
      </c>
      <c r="AF1023">
        <v>1.94806717231834</v>
      </c>
      <c r="AG1023">
        <v>-1.1606069999999999</v>
      </c>
      <c r="AH1023">
        <v>41.683323734277302</v>
      </c>
      <c r="AI1023">
        <v>91.593161354484195</v>
      </c>
      <c r="AJ1023">
        <v>87.324232778591195</v>
      </c>
      <c r="AK1023">
        <v>41.7449572026715</v>
      </c>
      <c r="AL1023">
        <v>86.558933255058406</v>
      </c>
      <c r="AM1023">
        <v>88.471624202996907</v>
      </c>
      <c r="AN1023">
        <v>1.0000000568112699</v>
      </c>
    </row>
    <row r="1024" spans="1:40" x14ac:dyDescent="0.25">
      <c r="A1024" t="str">
        <f>"20190312150651937"</f>
        <v>20190312150651937</v>
      </c>
      <c r="B1024" t="str">
        <f>"1552374411931804"</f>
        <v>1552374411931804</v>
      </c>
      <c r="C1024" t="s">
        <v>40</v>
      </c>
      <c r="D1024">
        <v>4.1558349999999997</v>
      </c>
      <c r="E1024">
        <v>0.50751959999999996</v>
      </c>
      <c r="F1024" t="s">
        <v>43</v>
      </c>
      <c r="G1024">
        <v>-283.86160000000001</v>
      </c>
      <c r="H1024">
        <v>-0.05</v>
      </c>
      <c r="I1024">
        <v>365.19029999999998</v>
      </c>
      <c r="J1024">
        <v>-326.07569999999998</v>
      </c>
      <c r="K1024">
        <v>1.1106069999999999</v>
      </c>
      <c r="L1024">
        <v>367.33530000000002</v>
      </c>
      <c r="M1024">
        <v>0.99989850000000002</v>
      </c>
      <c r="N1024">
        <v>0</v>
      </c>
      <c r="O1024">
        <v>-3.709089E-3</v>
      </c>
      <c r="P1024">
        <v>0.99848029999999999</v>
      </c>
      <c r="Q1024">
        <v>4.6046740000000003E-2</v>
      </c>
      <c r="R1024">
        <v>-3.028337E-2</v>
      </c>
      <c r="S1024">
        <v>3.0038149999999999</v>
      </c>
      <c r="T1024">
        <v>-8.2348939999999995E-2</v>
      </c>
      <c r="U1024">
        <v>-0.15222169999999999</v>
      </c>
      <c r="V1024">
        <v>2.6581670000000002E-2</v>
      </c>
      <c r="W1024">
        <v>5.9787189999999997E-2</v>
      </c>
      <c r="X1024">
        <v>0.9978572</v>
      </c>
      <c r="Y1024">
        <v>4.6889960000000001E-2</v>
      </c>
      <c r="Z1024">
        <v>-5.4059989999999999E-4</v>
      </c>
      <c r="AA1024">
        <v>0.99889989999999995</v>
      </c>
      <c r="AB1024">
        <v>24</v>
      </c>
      <c r="AC1024">
        <v>42.214099999999902</v>
      </c>
      <c r="AD1024">
        <v>-1.1606069999999999</v>
      </c>
      <c r="AE1024">
        <v>-2.1450000000000302</v>
      </c>
      <c r="AF1024">
        <v>1.98689657557096</v>
      </c>
      <c r="AG1024">
        <v>-1.1606069999999999</v>
      </c>
      <c r="AH1024">
        <v>42.189957717600002</v>
      </c>
      <c r="AI1024">
        <v>91.574013266276495</v>
      </c>
      <c r="AJ1024">
        <v>87.303701035769706</v>
      </c>
      <c r="AK1024">
        <v>42.252660257353497</v>
      </c>
      <c r="AL1024">
        <v>86.572402421799893</v>
      </c>
      <c r="AM1024">
        <v>88.474072842692905</v>
      </c>
      <c r="AN1024">
        <v>1.00000004242996</v>
      </c>
    </row>
    <row r="1025" spans="1:40" x14ac:dyDescent="0.25">
      <c r="A1025" t="str">
        <f>"20190312150651950"</f>
        <v>20190312150651950</v>
      </c>
      <c r="B1025" t="str">
        <f>"1552374411941564"</f>
        <v>1552374411941564</v>
      </c>
      <c r="C1025" t="s">
        <v>40</v>
      </c>
      <c r="D1025">
        <v>4.1606880000000004</v>
      </c>
      <c r="E1025">
        <v>0.50757470000000005</v>
      </c>
      <c r="F1025" t="s">
        <v>43</v>
      </c>
      <c r="G1025">
        <v>-283.51620000000003</v>
      </c>
      <c r="H1025">
        <v>-0.05</v>
      </c>
      <c r="I1025">
        <v>365.17759999999998</v>
      </c>
      <c r="J1025">
        <v>-325.96019999999999</v>
      </c>
      <c r="K1025">
        <v>1.110606</v>
      </c>
      <c r="L1025">
        <v>367.33479999999997</v>
      </c>
      <c r="M1025">
        <v>0.99989850000000002</v>
      </c>
      <c r="N1025">
        <v>0</v>
      </c>
      <c r="O1025">
        <v>-3.7090809999999999E-3</v>
      </c>
      <c r="P1025">
        <v>0.99847439999999998</v>
      </c>
      <c r="Q1025">
        <v>4.5950850000000001E-2</v>
      </c>
      <c r="R1025">
        <v>-3.0617749999999999E-2</v>
      </c>
      <c r="S1025">
        <v>3.0037229999999999</v>
      </c>
      <c r="T1025">
        <v>-8.1912159999999998E-2</v>
      </c>
      <c r="U1025">
        <v>-0.15228269999999999</v>
      </c>
      <c r="V1025">
        <v>2.691609E-2</v>
      </c>
      <c r="W1025">
        <v>5.9689609999999997E-2</v>
      </c>
      <c r="X1025">
        <v>0.99785409999999997</v>
      </c>
      <c r="Y1025">
        <v>4.6911920000000003E-2</v>
      </c>
      <c r="Z1025">
        <v>-5.380491E-4</v>
      </c>
      <c r="AA1025">
        <v>0.99889890000000003</v>
      </c>
      <c r="AB1025">
        <v>24</v>
      </c>
      <c r="AC1025">
        <v>42.443999999999903</v>
      </c>
      <c r="AD1025">
        <v>-1.160606</v>
      </c>
      <c r="AE1025">
        <v>-2.15719999999998</v>
      </c>
      <c r="AF1025">
        <v>1.99825175082438</v>
      </c>
      <c r="AG1025">
        <v>-1.160606</v>
      </c>
      <c r="AH1025">
        <v>42.420073502572599</v>
      </c>
      <c r="AI1025">
        <v>91.565476745107404</v>
      </c>
      <c r="AJ1025">
        <v>87.303002816027202</v>
      </c>
      <c r="AK1025">
        <v>42.482968967700103</v>
      </c>
      <c r="AL1025">
        <v>86.5780034244966</v>
      </c>
      <c r="AM1025">
        <v>88.454879832651898</v>
      </c>
      <c r="AN1025">
        <v>1.00000006516482</v>
      </c>
    </row>
    <row r="1026" spans="1:40" x14ac:dyDescent="0.25">
      <c r="A1026" t="str">
        <f>"20190312150651960"</f>
        <v>20190312150651960</v>
      </c>
      <c r="B1026" t="str">
        <f>"1552374411951325"</f>
        <v>1552374411951325</v>
      </c>
      <c r="C1026" t="s">
        <v>40</v>
      </c>
      <c r="D1026">
        <v>4.1538139999999997</v>
      </c>
      <c r="E1026">
        <v>0.50756270000000003</v>
      </c>
      <c r="F1026" t="s">
        <v>43</v>
      </c>
      <c r="G1026">
        <v>-282.7756</v>
      </c>
      <c r="H1026">
        <v>-0.05</v>
      </c>
      <c r="I1026">
        <v>365.12299999999999</v>
      </c>
      <c r="J1026">
        <v>-325.8424</v>
      </c>
      <c r="K1026">
        <v>1.110611</v>
      </c>
      <c r="L1026">
        <v>367.33440000000002</v>
      </c>
      <c r="M1026">
        <v>0.99989859999999997</v>
      </c>
      <c r="N1026">
        <v>0</v>
      </c>
      <c r="O1026">
        <v>-3.7090719999999999E-3</v>
      </c>
      <c r="P1026">
        <v>0.99847379999999997</v>
      </c>
      <c r="Q1026">
        <v>4.5775360000000001E-2</v>
      </c>
      <c r="R1026">
        <v>-3.0905809999999999E-2</v>
      </c>
      <c r="S1026">
        <v>3.003571</v>
      </c>
      <c r="T1026">
        <v>-8.0722450000000001E-2</v>
      </c>
      <c r="U1026">
        <v>-0.15383910000000001</v>
      </c>
      <c r="V1026">
        <v>2.7203939999999999E-2</v>
      </c>
      <c r="W1026">
        <v>5.951302E-2</v>
      </c>
      <c r="X1026">
        <v>0.99785679999999999</v>
      </c>
      <c r="Y1026">
        <v>4.7431029999999999E-2</v>
      </c>
      <c r="Z1026">
        <v>-5.3722730000000003E-4</v>
      </c>
      <c r="AA1026">
        <v>0.99887440000000005</v>
      </c>
      <c r="AB1026">
        <v>24</v>
      </c>
      <c r="AC1026">
        <v>43.066800000000001</v>
      </c>
      <c r="AD1026">
        <v>-1.1606110000000001</v>
      </c>
      <c r="AE1026">
        <v>-2.2113999999999598</v>
      </c>
      <c r="AF1026">
        <v>2.0501468131477498</v>
      </c>
      <c r="AG1026">
        <v>-1.1606110000000001</v>
      </c>
      <c r="AH1026">
        <v>43.043528418852901</v>
      </c>
      <c r="AI1026">
        <v>91.542781468654695</v>
      </c>
      <c r="AJ1026">
        <v>87.273084742140696</v>
      </c>
      <c r="AK1026">
        <v>43.107951222406498</v>
      </c>
      <c r="AL1026">
        <v>86.588139162528293</v>
      </c>
      <c r="AM1026">
        <v>88.438368144210699</v>
      </c>
      <c r="AN1026">
        <v>1.0000000236036399</v>
      </c>
    </row>
    <row r="1027" spans="1:40" x14ac:dyDescent="0.25">
      <c r="A1027" t="str">
        <f>"20190312150651970"</f>
        <v>20190312150651970</v>
      </c>
      <c r="B1027" t="str">
        <f>"1552374411962061"</f>
        <v>1552374411962061</v>
      </c>
      <c r="C1027" t="s">
        <v>40</v>
      </c>
      <c r="D1027">
        <v>4.143332</v>
      </c>
      <c r="E1027">
        <v>0.50760050000000001</v>
      </c>
      <c r="F1027" t="s">
        <v>43</v>
      </c>
      <c r="G1027">
        <v>-282.30450000000002</v>
      </c>
      <c r="H1027">
        <v>-0.05</v>
      </c>
      <c r="I1027">
        <v>365.09019999999998</v>
      </c>
      <c r="J1027">
        <v>-325.72949999999997</v>
      </c>
      <c r="K1027">
        <v>1.110609</v>
      </c>
      <c r="L1027">
        <v>367.334</v>
      </c>
      <c r="M1027">
        <v>0.99989839999999997</v>
      </c>
      <c r="N1027">
        <v>0</v>
      </c>
      <c r="O1027">
        <v>-3.708945E-3</v>
      </c>
      <c r="P1027">
        <v>0.9984632</v>
      </c>
      <c r="Q1027">
        <v>4.5852370000000003E-2</v>
      </c>
      <c r="R1027">
        <v>-3.1129130000000001E-2</v>
      </c>
      <c r="S1027">
        <v>3.003479</v>
      </c>
      <c r="T1027">
        <v>-8.0065250000000004E-2</v>
      </c>
      <c r="U1027">
        <v>-0.1548157</v>
      </c>
      <c r="V1027">
        <v>2.7427529999999999E-2</v>
      </c>
      <c r="W1027">
        <v>5.9588700000000001E-2</v>
      </c>
      <c r="X1027">
        <v>0.99784609999999996</v>
      </c>
      <c r="Y1027">
        <v>4.7756779999999999E-2</v>
      </c>
      <c r="Z1027">
        <v>-5.3720829999999995E-4</v>
      </c>
      <c r="AA1027">
        <v>0.99885889999999999</v>
      </c>
      <c r="AB1027">
        <v>24</v>
      </c>
      <c r="AC1027">
        <v>43.424999999999898</v>
      </c>
      <c r="AD1027">
        <v>-1.160609</v>
      </c>
      <c r="AE1027">
        <v>-2.2438000000000198</v>
      </c>
      <c r="AF1027">
        <v>2.08122566943132</v>
      </c>
      <c r="AG1027">
        <v>-1.160609</v>
      </c>
      <c r="AH1027">
        <v>43.402103783390501</v>
      </c>
      <c r="AI1027">
        <v>91.530015390802006</v>
      </c>
      <c r="AJ1027">
        <v>87.254645179822901</v>
      </c>
      <c r="AK1027">
        <v>43.467472049363302</v>
      </c>
      <c r="AL1027">
        <v>86.5837950945118</v>
      </c>
      <c r="AM1027">
        <v>88.425522604593297</v>
      </c>
      <c r="AN1027">
        <v>0.99999996092739896</v>
      </c>
    </row>
    <row r="1028" spans="1:40" x14ac:dyDescent="0.25">
      <c r="A1028" t="str">
        <f>"20190312150651982"</f>
        <v>20190312150651982</v>
      </c>
      <c r="B1028" t="str">
        <f>"1552374411971821"</f>
        <v>1552374411971821</v>
      </c>
      <c r="C1028" t="s">
        <v>40</v>
      </c>
      <c r="D1028">
        <v>4.1675779999999998</v>
      </c>
      <c r="E1028">
        <v>0.50764679999999995</v>
      </c>
      <c r="F1028" t="s">
        <v>43</v>
      </c>
      <c r="G1028">
        <v>-281.76339999999999</v>
      </c>
      <c r="H1028">
        <v>-0.05</v>
      </c>
      <c r="I1028">
        <v>365.05599999999998</v>
      </c>
      <c r="J1028">
        <v>-325.608</v>
      </c>
      <c r="K1028">
        <v>1.110608</v>
      </c>
      <c r="L1028">
        <v>367.33350000000002</v>
      </c>
      <c r="M1028">
        <v>0.99989859999999997</v>
      </c>
      <c r="N1028">
        <v>0</v>
      </c>
      <c r="O1028">
        <v>-3.7090560000000001E-3</v>
      </c>
      <c r="P1028">
        <v>0.99846710000000005</v>
      </c>
      <c r="Q1028">
        <v>4.5684170000000003E-2</v>
      </c>
      <c r="R1028">
        <v>-3.1251290000000001E-2</v>
      </c>
      <c r="S1028">
        <v>3.0034179999999999</v>
      </c>
      <c r="T1028">
        <v>-7.9283599999999996E-2</v>
      </c>
      <c r="U1028">
        <v>-0.1556091</v>
      </c>
      <c r="V1028">
        <v>2.754962E-2</v>
      </c>
      <c r="W1028">
        <v>5.9419239999999998E-2</v>
      </c>
      <c r="X1028">
        <v>0.99785290000000004</v>
      </c>
      <c r="Y1028">
        <v>4.8021099999999997E-2</v>
      </c>
      <c r="Z1028">
        <v>-5.3545559999999999E-4</v>
      </c>
      <c r="AA1028">
        <v>0.99884620000000002</v>
      </c>
      <c r="AB1028">
        <v>24</v>
      </c>
      <c r="AC1028">
        <v>43.8446</v>
      </c>
      <c r="AD1028">
        <v>-1.1606080000000001</v>
      </c>
      <c r="AE1028">
        <v>-2.2775000000000301</v>
      </c>
      <c r="AF1028">
        <v>2.1133700053058999</v>
      </c>
      <c r="AG1028">
        <v>-1.1606080000000001</v>
      </c>
      <c r="AH1028">
        <v>43.822122519549197</v>
      </c>
      <c r="AI1028">
        <v>91.515336422999994</v>
      </c>
      <c r="AJ1028">
        <v>87.238987238145299</v>
      </c>
      <c r="AK1028">
        <v>43.888401267617098</v>
      </c>
      <c r="AL1028">
        <v>86.593521870042096</v>
      </c>
      <c r="AM1028">
        <v>88.418528351079502</v>
      </c>
      <c r="AN1028">
        <v>1.00000001884136</v>
      </c>
    </row>
    <row r="1029" spans="1:40" x14ac:dyDescent="0.25">
      <c r="A1029" t="str">
        <f>"20190312150651995"</f>
        <v>20190312150651995</v>
      </c>
      <c r="B1029" t="str">
        <f>"1552374411991341"</f>
        <v>1552374411991341</v>
      </c>
      <c r="C1029" t="s">
        <v>40</v>
      </c>
      <c r="D1029">
        <v>4.1824979999999998</v>
      </c>
      <c r="E1029">
        <v>0.5077545</v>
      </c>
      <c r="F1029" t="s">
        <v>43</v>
      </c>
      <c r="G1029">
        <v>-281.52019999999999</v>
      </c>
      <c r="H1029">
        <v>-0.05</v>
      </c>
      <c r="I1029">
        <v>365.03980000000001</v>
      </c>
      <c r="J1029">
        <v>-325.48180000000002</v>
      </c>
      <c r="K1029">
        <v>1.1106049999999901</v>
      </c>
      <c r="L1029">
        <v>367.33300000000003</v>
      </c>
      <c r="M1029">
        <v>0.99989859999999997</v>
      </c>
      <c r="N1029">
        <v>0</v>
      </c>
      <c r="O1029">
        <v>-3.7089279999999998E-3</v>
      </c>
      <c r="P1029">
        <v>0.99846710000000005</v>
      </c>
      <c r="Q1029">
        <v>4.5631749999999999E-2</v>
      </c>
      <c r="R1029">
        <v>-3.1327649999999999E-2</v>
      </c>
      <c r="S1029">
        <v>3.0032960000000002</v>
      </c>
      <c r="T1029">
        <v>-7.9061510000000002E-2</v>
      </c>
      <c r="U1029">
        <v>-0.15625</v>
      </c>
      <c r="V1029">
        <v>2.7626270000000001E-2</v>
      </c>
      <c r="W1029">
        <v>5.9365460000000002E-2</v>
      </c>
      <c r="X1029">
        <v>0.99785389999999996</v>
      </c>
      <c r="Y1029">
        <v>4.8235899999999998E-2</v>
      </c>
      <c r="Z1029">
        <v>-5.3680329999999997E-4</v>
      </c>
      <c r="AA1029">
        <v>0.99883580000000005</v>
      </c>
      <c r="AB1029">
        <v>24</v>
      </c>
      <c r="AC1029">
        <v>43.961599999999997</v>
      </c>
      <c r="AD1029">
        <v>-1.1606050000000001</v>
      </c>
      <c r="AE1029">
        <v>-2.2932000000000099</v>
      </c>
      <c r="AF1029">
        <v>2.1286388038155799</v>
      </c>
      <c r="AG1029">
        <v>-1.1606050000000001</v>
      </c>
      <c r="AH1029">
        <v>43.939261896184398</v>
      </c>
      <c r="AI1029">
        <v>91.511278652510399</v>
      </c>
      <c r="AJ1029">
        <v>87.226472710214495</v>
      </c>
      <c r="AK1029">
        <v>44.006100066975101</v>
      </c>
      <c r="AL1029">
        <v>86.596608407894294</v>
      </c>
      <c r="AM1029">
        <v>88.414132129865294</v>
      </c>
      <c r="AN1029">
        <v>0.999999937190165</v>
      </c>
    </row>
    <row r="1030" spans="1:40" x14ac:dyDescent="0.25">
      <c r="A1030" t="str">
        <f>"20190312150652006"</f>
        <v>20190312150652006</v>
      </c>
      <c r="B1030" t="str">
        <f>"1552374412002076"</f>
        <v>1552374412002076</v>
      </c>
      <c r="C1030" t="s">
        <v>40</v>
      </c>
      <c r="D1030">
        <v>4.1612920000000004</v>
      </c>
      <c r="E1030">
        <v>0.50774079999999999</v>
      </c>
      <c r="F1030" t="s">
        <v>43</v>
      </c>
      <c r="G1030">
        <v>-280.44290000000001</v>
      </c>
      <c r="H1030">
        <v>-0.05</v>
      </c>
      <c r="I1030">
        <v>364.97280000000001</v>
      </c>
      <c r="J1030">
        <v>-325.36070000000001</v>
      </c>
      <c r="K1030">
        <v>1.1106049999999901</v>
      </c>
      <c r="L1030">
        <v>367.33260000000001</v>
      </c>
      <c r="M1030">
        <v>0.99989859999999997</v>
      </c>
      <c r="N1030">
        <v>0</v>
      </c>
      <c r="O1030">
        <v>-3.7089190000000002E-3</v>
      </c>
      <c r="P1030">
        <v>0.99847819999999998</v>
      </c>
      <c r="Q1030">
        <v>4.5308420000000002E-2</v>
      </c>
      <c r="R1030">
        <v>-3.1443890000000002E-2</v>
      </c>
      <c r="S1030">
        <v>3.0032040000000002</v>
      </c>
      <c r="T1030">
        <v>-7.7389479999999997E-2</v>
      </c>
      <c r="U1030">
        <v>-0.1573792</v>
      </c>
      <c r="V1030">
        <v>2.7742309999999999E-2</v>
      </c>
      <c r="W1030">
        <v>5.9040830000000002E-2</v>
      </c>
      <c r="X1030">
        <v>0.99787000000000003</v>
      </c>
      <c r="Y1030">
        <v>4.8612530000000001E-2</v>
      </c>
      <c r="Z1030">
        <v>-5.3031400000000005E-4</v>
      </c>
      <c r="AA1030">
        <v>0.99881759999999997</v>
      </c>
      <c r="AB1030">
        <v>24</v>
      </c>
      <c r="AC1030">
        <v>44.9178</v>
      </c>
      <c r="AD1030">
        <v>-1.1606050000000001</v>
      </c>
      <c r="AE1030">
        <v>-2.3597999999999999</v>
      </c>
      <c r="AF1030">
        <v>2.1917123236018101</v>
      </c>
      <c r="AG1030">
        <v>-1.1606050000000001</v>
      </c>
      <c r="AH1030">
        <v>44.896352748333904</v>
      </c>
      <c r="AI1030">
        <v>91.4790493124341</v>
      </c>
      <c r="AJ1030">
        <v>87.205201606447403</v>
      </c>
      <c r="AK1030">
        <v>44.964798420300802</v>
      </c>
      <c r="AL1030">
        <v>86.6152412202335</v>
      </c>
      <c r="AM1030">
        <v>88.407500034150999</v>
      </c>
      <c r="AN1030">
        <v>0.99999999613561197</v>
      </c>
    </row>
    <row r="1031" spans="1:40" x14ac:dyDescent="0.25">
      <c r="A1031" t="str">
        <f>"20190312150652016"</f>
        <v>20190312150652016</v>
      </c>
      <c r="B1031" t="str">
        <f>"1552374412011837"</f>
        <v>1552374412011837</v>
      </c>
      <c r="C1031" t="s">
        <v>40</v>
      </c>
      <c r="D1031">
        <v>4.1541519999999998</v>
      </c>
      <c r="E1031">
        <v>0.50775509999999902</v>
      </c>
      <c r="F1031" t="s">
        <v>43</v>
      </c>
      <c r="G1031">
        <v>-280.56560000000002</v>
      </c>
      <c r="H1031">
        <v>-0.05</v>
      </c>
      <c r="I1031">
        <v>364.98009999999999</v>
      </c>
      <c r="J1031">
        <v>-325.2432</v>
      </c>
      <c r="K1031">
        <v>1.1106039999999999</v>
      </c>
      <c r="L1031">
        <v>367.3322</v>
      </c>
      <c r="M1031">
        <v>0.99989859999999997</v>
      </c>
      <c r="N1031">
        <v>0</v>
      </c>
      <c r="O1031">
        <v>-3.7086720000000001E-3</v>
      </c>
      <c r="P1031">
        <v>0.99848219999999999</v>
      </c>
      <c r="Q1031">
        <v>4.521294E-2</v>
      </c>
      <c r="R1031">
        <v>-3.1447879999999998E-2</v>
      </c>
      <c r="S1031">
        <v>3.0031430000000001</v>
      </c>
      <c r="T1031">
        <v>-7.780898E-2</v>
      </c>
      <c r="U1031">
        <v>-0.15771479999999999</v>
      </c>
      <c r="V1031">
        <v>2.7746610000000001E-2</v>
      </c>
      <c r="W1031">
        <v>5.8944679999999999E-2</v>
      </c>
      <c r="X1031">
        <v>0.99787559999999997</v>
      </c>
      <c r="Y1031">
        <v>4.8724980000000001E-2</v>
      </c>
      <c r="Z1031">
        <v>-5.3465900000000005E-4</v>
      </c>
      <c r="AA1031">
        <v>0.99881209999999998</v>
      </c>
      <c r="AB1031">
        <v>23</v>
      </c>
      <c r="AC1031">
        <v>44.677599999999899</v>
      </c>
      <c r="AD1031">
        <v>-1.160604</v>
      </c>
      <c r="AE1031">
        <v>-2.3521000000000001</v>
      </c>
      <c r="AF1031">
        <v>2.1849032508336999</v>
      </c>
      <c r="AG1031">
        <v>-1.160604</v>
      </c>
      <c r="AH1031">
        <v>44.6559651966435</v>
      </c>
      <c r="AI1031">
        <v>91.486998343942005</v>
      </c>
      <c r="AJ1031">
        <v>87.198896414296698</v>
      </c>
      <c r="AK1031">
        <v>44.724445569555797</v>
      </c>
      <c r="AL1031">
        <v>86.620759939799001</v>
      </c>
      <c r="AM1031">
        <v>88.407262260888501</v>
      </c>
      <c r="AN1031">
        <v>1.00000003137107</v>
      </c>
    </row>
    <row r="1032" spans="1:40" x14ac:dyDescent="0.25">
      <c r="A1032" t="str">
        <f>"20190312150652028"</f>
        <v>20190312150652028</v>
      </c>
      <c r="B1032" t="str">
        <f>"1552374412021596"</f>
        <v>1552374412021596</v>
      </c>
      <c r="C1032" t="s">
        <v>40</v>
      </c>
      <c r="D1032">
        <v>4.1681549999999996</v>
      </c>
      <c r="E1032">
        <v>0.50776829999999995</v>
      </c>
      <c r="F1032" t="s">
        <v>43</v>
      </c>
      <c r="G1032">
        <v>-280.13049999999998</v>
      </c>
      <c r="H1032">
        <v>-0.05</v>
      </c>
      <c r="I1032">
        <v>364.96519999999998</v>
      </c>
      <c r="J1032">
        <v>-325.13299999999998</v>
      </c>
      <c r="K1032">
        <v>1.1106020000000001</v>
      </c>
      <c r="L1032">
        <v>367.33179999999999</v>
      </c>
      <c r="M1032">
        <v>0.99989859999999997</v>
      </c>
      <c r="N1032">
        <v>0</v>
      </c>
      <c r="O1032">
        <v>-3.7086649999999999E-3</v>
      </c>
      <c r="P1032">
        <v>0.99849560000000004</v>
      </c>
      <c r="Q1032">
        <v>4.5060950000000002E-2</v>
      </c>
      <c r="R1032">
        <v>-3.1242039999999999E-2</v>
      </c>
      <c r="S1032">
        <v>3.0031129999999999</v>
      </c>
      <c r="T1032">
        <v>-7.7260380000000003E-2</v>
      </c>
      <c r="U1032">
        <v>-0.15756229999999999</v>
      </c>
      <c r="V1032">
        <v>2.7540499999999999E-2</v>
      </c>
      <c r="W1032">
        <v>5.8791389999999999E-2</v>
      </c>
      <c r="X1032">
        <v>0.99789030000000001</v>
      </c>
      <c r="Y1032">
        <v>4.8675139999999999E-2</v>
      </c>
      <c r="Z1032">
        <v>-5.3025610000000003E-4</v>
      </c>
      <c r="AA1032">
        <v>0.99881450000000005</v>
      </c>
      <c r="AB1032">
        <v>23</v>
      </c>
      <c r="AC1032">
        <v>45.002499999999998</v>
      </c>
      <c r="AD1032">
        <v>-1.1606019999999999</v>
      </c>
      <c r="AE1032">
        <v>-2.3666</v>
      </c>
      <c r="AF1032">
        <v>2.1982107283653201</v>
      </c>
      <c r="AG1032">
        <v>-1.1606019999999999</v>
      </c>
      <c r="AH1032">
        <v>44.981133326327203</v>
      </c>
      <c r="AI1032">
        <v>91.476255244405493</v>
      </c>
      <c r="AJ1032">
        <v>87.202203089988998</v>
      </c>
      <c r="AK1032">
        <v>45.049766733353202</v>
      </c>
      <c r="AL1032">
        <v>86.629557889979296</v>
      </c>
      <c r="AM1032">
        <v>88.419110836622906</v>
      </c>
      <c r="AN1032">
        <v>0.99999997875623503</v>
      </c>
    </row>
    <row r="1033" spans="1:40" x14ac:dyDescent="0.25">
      <c r="A1033" t="str">
        <f>"20190312150652040"</f>
        <v>20190312150652040</v>
      </c>
      <c r="B1033" t="str">
        <f>"1552374412031357"</f>
        <v>1552374412031357</v>
      </c>
      <c r="C1033" t="s">
        <v>40</v>
      </c>
      <c r="D1033">
        <v>4.1598240000000004</v>
      </c>
      <c r="E1033">
        <v>0.50776339999999998</v>
      </c>
      <c r="F1033" t="s">
        <v>43</v>
      </c>
      <c r="G1033">
        <v>-280.01260000000002</v>
      </c>
      <c r="H1033">
        <v>-0.05</v>
      </c>
      <c r="I1033">
        <v>364.96809999999999</v>
      </c>
      <c r="J1033">
        <v>-325.00580000000002</v>
      </c>
      <c r="K1033">
        <v>1.1105989999999999</v>
      </c>
      <c r="L1033">
        <v>367.3313</v>
      </c>
      <c r="M1033">
        <v>0.99989870000000003</v>
      </c>
      <c r="N1033">
        <v>0</v>
      </c>
      <c r="O1033">
        <v>-3.7086559999999998E-3</v>
      </c>
      <c r="P1033">
        <v>0.99849140000000003</v>
      </c>
      <c r="Q1033">
        <v>4.5119510000000002E-2</v>
      </c>
      <c r="R1033">
        <v>-3.1295839999999998E-2</v>
      </c>
      <c r="S1033">
        <v>3.0030519999999998</v>
      </c>
      <c r="T1033">
        <v>-7.7245590000000003E-2</v>
      </c>
      <c r="U1033">
        <v>-0.15731809999999999</v>
      </c>
      <c r="V1033">
        <v>2.7594489999999999E-2</v>
      </c>
      <c r="W1033">
        <v>5.8848999999999999E-2</v>
      </c>
      <c r="X1033">
        <v>0.99788540000000003</v>
      </c>
      <c r="Y1033">
        <v>4.8595260000000001E-2</v>
      </c>
      <c r="Z1033">
        <v>-5.2914040000000002E-4</v>
      </c>
      <c r="AA1033">
        <v>0.9988184</v>
      </c>
      <c r="AB1033">
        <v>23</v>
      </c>
      <c r="AC1033">
        <v>44.993200000000002</v>
      </c>
      <c r="AD1033">
        <v>-1.1605989999999999</v>
      </c>
      <c r="AE1033">
        <v>-2.3632</v>
      </c>
      <c r="AF1033">
        <v>2.1948472939969599</v>
      </c>
      <c r="AG1033">
        <v>-1.1605989999999999</v>
      </c>
      <c r="AH1033">
        <v>44.971814559532802</v>
      </c>
      <c r="AI1033">
        <v>91.476561843779393</v>
      </c>
      <c r="AJ1033">
        <v>87.205899213550893</v>
      </c>
      <c r="AK1033">
        <v>45.0402980614003</v>
      </c>
      <c r="AL1033">
        <v>86.626251312367302</v>
      </c>
      <c r="AM1033">
        <v>88.416005487544894</v>
      </c>
      <c r="AN1033">
        <v>0.99999996610625896</v>
      </c>
    </row>
    <row r="1034" spans="1:40" x14ac:dyDescent="0.25">
      <c r="A1034" t="str">
        <f>"20190312150652051"</f>
        <v>20190312150652051</v>
      </c>
      <c r="B1034" t="str">
        <f>"1552374412041116"</f>
        <v>1552374412041116</v>
      </c>
      <c r="C1034" t="s">
        <v>40</v>
      </c>
      <c r="D1034">
        <v>4.1720189999999997</v>
      </c>
      <c r="E1034">
        <v>0.50778619999999997</v>
      </c>
      <c r="F1034" t="s">
        <v>43</v>
      </c>
      <c r="G1034">
        <v>-279.43119999999999</v>
      </c>
      <c r="H1034">
        <v>-0.05</v>
      </c>
      <c r="I1034">
        <v>364.94619999999998</v>
      </c>
      <c r="J1034">
        <v>-324.88560000000001</v>
      </c>
      <c r="K1034">
        <v>1.1105969999999901</v>
      </c>
      <c r="L1034">
        <v>367.33089999999999</v>
      </c>
      <c r="M1034">
        <v>0.99989850000000002</v>
      </c>
      <c r="N1034">
        <v>0</v>
      </c>
      <c r="O1034">
        <v>-3.7084090000000002E-3</v>
      </c>
      <c r="P1034">
        <v>0.99850260000000002</v>
      </c>
      <c r="Q1034">
        <v>4.5215789999999999E-2</v>
      </c>
      <c r="R1034">
        <v>-3.0789299999999999E-2</v>
      </c>
      <c r="S1034">
        <v>3.0030519999999998</v>
      </c>
      <c r="T1034">
        <v>-7.6475500000000002E-2</v>
      </c>
      <c r="U1034">
        <v>-0.15716550000000001</v>
      </c>
      <c r="V1034">
        <v>2.7088250000000001E-2</v>
      </c>
      <c r="W1034">
        <v>5.8944200000000002E-2</v>
      </c>
      <c r="X1034">
        <v>0.99789369999999999</v>
      </c>
      <c r="Y1034">
        <v>4.8545199999999997E-2</v>
      </c>
      <c r="Z1034">
        <v>-5.2323699999999996E-4</v>
      </c>
      <c r="AA1034">
        <v>0.99882079999999995</v>
      </c>
      <c r="AB1034">
        <v>23</v>
      </c>
      <c r="AC1034">
        <v>45.4544</v>
      </c>
      <c r="AD1034">
        <v>-1.1605970000000001</v>
      </c>
      <c r="AE1034">
        <v>-2.3847</v>
      </c>
      <c r="AF1034">
        <v>2.2146642653424702</v>
      </c>
      <c r="AG1034">
        <v>-1.1605970000000001</v>
      </c>
      <c r="AH1034">
        <v>45.433392893593599</v>
      </c>
      <c r="AI1034">
        <v>91.461569049285799</v>
      </c>
      <c r="AJ1034">
        <v>87.209309091828501</v>
      </c>
      <c r="AK1034">
        <v>45.5021418509968</v>
      </c>
      <c r="AL1034">
        <v>86.620787431753598</v>
      </c>
      <c r="AM1034">
        <v>88.4450634893619</v>
      </c>
      <c r="AN1034">
        <v>1.00000001425069</v>
      </c>
    </row>
    <row r="1035" spans="1:40" x14ac:dyDescent="0.25">
      <c r="A1035" t="str">
        <f>"20190312150652064"</f>
        <v>20190312150652064</v>
      </c>
      <c r="B1035" t="str">
        <f>"1552374412061612"</f>
        <v>1552374412061612</v>
      </c>
      <c r="C1035" t="s">
        <v>40</v>
      </c>
      <c r="D1035">
        <v>4.1783140000000003</v>
      </c>
      <c r="E1035">
        <v>0.50781089999999995</v>
      </c>
      <c r="F1035" t="s">
        <v>43</v>
      </c>
      <c r="G1035">
        <v>-278.91019999999997</v>
      </c>
      <c r="H1035">
        <v>-0.05</v>
      </c>
      <c r="I1035">
        <v>364.94310000000002</v>
      </c>
      <c r="J1035">
        <v>-324.75110000000001</v>
      </c>
      <c r="K1035">
        <v>1.1105969999999901</v>
      </c>
      <c r="L1035">
        <v>367.3304</v>
      </c>
      <c r="M1035">
        <v>0.99989870000000003</v>
      </c>
      <c r="N1035">
        <v>0</v>
      </c>
      <c r="O1035">
        <v>-3.708519E-3</v>
      </c>
      <c r="P1035">
        <v>0.99851489999999998</v>
      </c>
      <c r="Q1035">
        <v>4.5029479999999997E-2</v>
      </c>
      <c r="R1035">
        <v>-3.0670269999999999E-2</v>
      </c>
      <c r="S1035">
        <v>3.003174</v>
      </c>
      <c r="T1035">
        <v>-7.5811740000000002E-2</v>
      </c>
      <c r="U1035">
        <v>-0.15597529999999901</v>
      </c>
      <c r="V1035">
        <v>2.6968860000000001E-2</v>
      </c>
      <c r="W1035">
        <v>5.8756650000000001E-2</v>
      </c>
      <c r="X1035">
        <v>0.99790800000000002</v>
      </c>
      <c r="Y1035">
        <v>4.8148580000000003E-2</v>
      </c>
      <c r="Z1035">
        <v>-5.1367669999999896E-4</v>
      </c>
      <c r="AA1035">
        <v>0.99883999999999995</v>
      </c>
      <c r="AB1035">
        <v>23</v>
      </c>
      <c r="AC1035">
        <v>45.840899999999998</v>
      </c>
      <c r="AD1035">
        <v>-1.1605970000000001</v>
      </c>
      <c r="AE1035">
        <v>-2.3872999999999802</v>
      </c>
      <c r="AF1035">
        <v>2.2158491653013499</v>
      </c>
      <c r="AG1035">
        <v>-1.1605970000000001</v>
      </c>
      <c r="AH1035">
        <v>45.8201477171582</v>
      </c>
      <c r="AI1035">
        <v>91.449264700859999</v>
      </c>
      <c r="AJ1035">
        <v>87.231349549508394</v>
      </c>
      <c r="AK1035">
        <v>45.888374450855999</v>
      </c>
      <c r="AL1035">
        <v>86.631551930973401</v>
      </c>
      <c r="AM1035">
        <v>88.451935619036007</v>
      </c>
      <c r="AN1035">
        <v>1.00000001989646</v>
      </c>
    </row>
    <row r="1036" spans="1:40" x14ac:dyDescent="0.25">
      <c r="A1036" t="str">
        <f>"20190312150652077"</f>
        <v>20190312150652077</v>
      </c>
      <c r="B1036" t="str">
        <f>"1552374412071372"</f>
        <v>1552374412071372</v>
      </c>
      <c r="C1036" t="s">
        <v>40</v>
      </c>
      <c r="D1036">
        <v>4.1613939999999996</v>
      </c>
      <c r="E1036">
        <v>0.50784229999999997</v>
      </c>
      <c r="F1036" t="s">
        <v>43</v>
      </c>
      <c r="G1036">
        <v>-278.7124</v>
      </c>
      <c r="H1036">
        <v>-0.05</v>
      </c>
      <c r="I1036">
        <v>364.93869999999998</v>
      </c>
      <c r="J1036">
        <v>-324.62869999999998</v>
      </c>
      <c r="K1036">
        <v>1.110595</v>
      </c>
      <c r="L1036">
        <v>367.32990000000001</v>
      </c>
      <c r="M1036">
        <v>0.99989859999999997</v>
      </c>
      <c r="N1036">
        <v>0</v>
      </c>
      <c r="O1036">
        <v>-3.7081520000000001E-3</v>
      </c>
      <c r="P1036">
        <v>0.99852399999999997</v>
      </c>
      <c r="Q1036">
        <v>4.4894080000000003E-2</v>
      </c>
      <c r="R1036">
        <v>-3.0569450000000001E-2</v>
      </c>
      <c r="S1036">
        <v>3.0030519999999998</v>
      </c>
      <c r="T1036">
        <v>-7.5704339999999995E-2</v>
      </c>
      <c r="U1036">
        <v>-0.1560059</v>
      </c>
      <c r="V1036">
        <v>2.6868469999999998E-2</v>
      </c>
      <c r="W1036">
        <v>5.8620039999999998E-2</v>
      </c>
      <c r="X1036">
        <v>0.99791870000000005</v>
      </c>
      <c r="Y1036">
        <v>4.8161200000000001E-2</v>
      </c>
      <c r="Z1036">
        <v>-5.1313800000000001E-4</v>
      </c>
      <c r="AA1036">
        <v>0.99883940000000004</v>
      </c>
      <c r="AB1036">
        <v>23</v>
      </c>
      <c r="AC1036">
        <v>45.9162999999999</v>
      </c>
      <c r="AD1036">
        <v>-1.160595</v>
      </c>
      <c r="AE1036">
        <v>-2.39120000000002</v>
      </c>
      <c r="AF1036">
        <v>2.2194886627709001</v>
      </c>
      <c r="AG1036">
        <v>-1.160595</v>
      </c>
      <c r="AH1036">
        <v>45.895608986655802</v>
      </c>
      <c r="AI1036">
        <v>91.446880365374298</v>
      </c>
      <c r="AJ1036">
        <v>87.231361740049707</v>
      </c>
      <c r="AK1036">
        <v>45.963899257288801</v>
      </c>
      <c r="AL1036">
        <v>86.639392480174394</v>
      </c>
      <c r="AM1036">
        <v>88.457711938531304</v>
      </c>
      <c r="AN1036">
        <v>0.99999997778971605</v>
      </c>
    </row>
    <row r="1037" spans="1:40" x14ac:dyDescent="0.25">
      <c r="A1037" t="str">
        <f>"20190312150652093"</f>
        <v>20190312150652093</v>
      </c>
      <c r="B1037" t="str">
        <f>"1552374412081133"</f>
        <v>1552374412081133</v>
      </c>
      <c r="C1037" t="s">
        <v>40</v>
      </c>
      <c r="D1037">
        <v>4.1733449999999896</v>
      </c>
      <c r="E1037">
        <v>0.50786900000000001</v>
      </c>
      <c r="F1037" t="s">
        <v>43</v>
      </c>
      <c r="G1037">
        <v>-278.53809999999999</v>
      </c>
      <c r="H1037">
        <v>-0.05</v>
      </c>
      <c r="I1037">
        <v>364.93740000000003</v>
      </c>
      <c r="J1037">
        <v>-324.447</v>
      </c>
      <c r="K1037">
        <v>1.1105959999999999</v>
      </c>
      <c r="L1037">
        <v>367.32929999999999</v>
      </c>
      <c r="M1037">
        <v>0.99989859999999997</v>
      </c>
      <c r="N1037">
        <v>0</v>
      </c>
      <c r="O1037">
        <v>-3.7080199999999998E-3</v>
      </c>
      <c r="P1037">
        <v>0.99854299999999996</v>
      </c>
      <c r="Q1037">
        <v>4.4874999999999998E-2</v>
      </c>
      <c r="R1037">
        <v>-2.9972950000000002E-2</v>
      </c>
      <c r="S1037">
        <v>3.0030519999999998</v>
      </c>
      <c r="T1037">
        <v>-7.5618980000000002E-2</v>
      </c>
      <c r="U1037">
        <v>-0.15588379999999999</v>
      </c>
      <c r="V1037">
        <v>2.6271880000000001E-2</v>
      </c>
      <c r="W1037">
        <v>5.8599079999999998E-2</v>
      </c>
      <c r="X1037">
        <v>0.99793580000000004</v>
      </c>
      <c r="Y1037">
        <v>4.8120889999999999E-2</v>
      </c>
      <c r="Z1037">
        <v>-5.1205640000000002E-4</v>
      </c>
      <c r="AA1037">
        <v>0.99884139999999999</v>
      </c>
      <c r="AB1037">
        <v>23</v>
      </c>
      <c r="AC1037">
        <v>45.908900000000003</v>
      </c>
      <c r="AD1037">
        <v>-1.160596</v>
      </c>
      <c r="AE1037">
        <v>-2.3918999999999602</v>
      </c>
      <c r="AF1037">
        <v>2.2202212406895301</v>
      </c>
      <c r="AG1037">
        <v>-1.160596</v>
      </c>
      <c r="AH1037">
        <v>45.888206651616102</v>
      </c>
      <c r="AI1037">
        <v>91.447113253206297</v>
      </c>
      <c r="AJ1037">
        <v>87.230003262050801</v>
      </c>
      <c r="AK1037">
        <v>45.956543333177798</v>
      </c>
      <c r="AL1037">
        <v>86.640595415898801</v>
      </c>
      <c r="AM1037">
        <v>88.491966881617202</v>
      </c>
      <c r="AN1037">
        <v>0.999999962388609</v>
      </c>
    </row>
    <row r="1038" spans="1:40" x14ac:dyDescent="0.25">
      <c r="A1038" t="str">
        <f>"20190312150652104"</f>
        <v>20190312150652104</v>
      </c>
      <c r="B1038" t="str">
        <f>"1552374412101628"</f>
        <v>1552374412101628</v>
      </c>
      <c r="C1038" t="s">
        <v>40</v>
      </c>
      <c r="D1038">
        <v>4.1529119999999997</v>
      </c>
      <c r="E1038">
        <v>0.50796649999999999</v>
      </c>
      <c r="F1038" t="s">
        <v>43</v>
      </c>
      <c r="G1038">
        <v>-278.20690000000002</v>
      </c>
      <c r="H1038">
        <v>-0.05</v>
      </c>
      <c r="I1038">
        <v>364.95159999999998</v>
      </c>
      <c r="J1038">
        <v>-324.33240000000001</v>
      </c>
      <c r="K1038">
        <v>1.1105989999999999</v>
      </c>
      <c r="L1038">
        <v>367.32889999999998</v>
      </c>
      <c r="M1038">
        <v>0.99989870000000003</v>
      </c>
      <c r="N1038">
        <v>0</v>
      </c>
      <c r="O1038">
        <v>-3.7080120000000001E-3</v>
      </c>
      <c r="P1038">
        <v>0.99855139999999998</v>
      </c>
      <c r="Q1038">
        <v>4.4753330000000001E-2</v>
      </c>
      <c r="R1038">
        <v>-2.9875269999999999E-2</v>
      </c>
      <c r="S1038">
        <v>3.0031430000000001</v>
      </c>
      <c r="T1038">
        <v>-7.5376869999999999E-2</v>
      </c>
      <c r="U1038">
        <v>-0.1544189</v>
      </c>
      <c r="V1038">
        <v>2.617417E-2</v>
      </c>
      <c r="W1038">
        <v>5.8476279999999999E-2</v>
      </c>
      <c r="X1038">
        <v>0.99794559999999999</v>
      </c>
      <c r="Y1038">
        <v>4.7633660000000001E-2</v>
      </c>
      <c r="Z1038">
        <v>-5.0429900000000004E-4</v>
      </c>
      <c r="AA1038">
        <v>0.9988648</v>
      </c>
      <c r="AB1038">
        <v>23</v>
      </c>
      <c r="AC1038">
        <v>46.125499999999903</v>
      </c>
      <c r="AD1038">
        <v>-1.1605989999999999</v>
      </c>
      <c r="AE1038">
        <v>-2.3772999999999902</v>
      </c>
      <c r="AF1038">
        <v>2.2048413761799401</v>
      </c>
      <c r="AG1038">
        <v>-1.1605989999999999</v>
      </c>
      <c r="AH1038">
        <v>46.104886394396502</v>
      </c>
      <c r="AI1038">
        <v>91.440357589466799</v>
      </c>
      <c r="AJ1038">
        <v>87.262070374332197</v>
      </c>
      <c r="AK1038">
        <v>46.172165478490598</v>
      </c>
      <c r="AL1038">
        <v>86.647643521618093</v>
      </c>
      <c r="AM1038">
        <v>88.497587708654095</v>
      </c>
      <c r="AN1038">
        <v>0.99999999152859298</v>
      </c>
    </row>
    <row r="1039" spans="1:40" x14ac:dyDescent="0.25">
      <c r="A1039" t="str">
        <f>"20190312150652116"</f>
        <v>20190312150652116</v>
      </c>
      <c r="B1039" t="str">
        <f>"1552374412111397"</f>
        <v>1552374412111397</v>
      </c>
      <c r="C1039" t="s">
        <v>40</v>
      </c>
      <c r="D1039">
        <v>4.1607089999999998</v>
      </c>
      <c r="E1039">
        <v>0.50800259999999997</v>
      </c>
      <c r="F1039" t="s">
        <v>42</v>
      </c>
      <c r="G1039">
        <v>-279.57080000000002</v>
      </c>
      <c r="H1039" s="1">
        <v>-1.3546220000000001E-6</v>
      </c>
      <c r="I1039">
        <v>365.02170000000001</v>
      </c>
      <c r="J1039">
        <v>-324.20979999999997</v>
      </c>
      <c r="K1039">
        <v>1.1105989999999999</v>
      </c>
      <c r="L1039">
        <v>367.32839999999999</v>
      </c>
      <c r="M1039">
        <v>0.99989870000000003</v>
      </c>
      <c r="N1039">
        <v>0</v>
      </c>
      <c r="O1039">
        <v>-3.7080030000000001E-3</v>
      </c>
      <c r="P1039">
        <v>0.99854960000000004</v>
      </c>
      <c r="Q1039">
        <v>4.4875039999999998E-2</v>
      </c>
      <c r="R1039">
        <v>-2.975034E-2</v>
      </c>
      <c r="S1039">
        <v>3.0030519999999998</v>
      </c>
      <c r="T1039">
        <v>-7.4509980000000003E-2</v>
      </c>
      <c r="U1039">
        <v>-0.15478520000000001</v>
      </c>
      <c r="V1039">
        <v>2.6049550000000001E-2</v>
      </c>
      <c r="W1039">
        <v>5.8597179999999999E-2</v>
      </c>
      <c r="X1039">
        <v>0.99794179999999999</v>
      </c>
      <c r="Y1039">
        <v>4.7756979999999997E-2</v>
      </c>
      <c r="Z1039">
        <v>-5.0004339999999996E-4</v>
      </c>
      <c r="AA1039">
        <v>0.99885889999999999</v>
      </c>
      <c r="AB1039">
        <v>23</v>
      </c>
      <c r="AC1039">
        <v>44.638999999999903</v>
      </c>
      <c r="AD1039">
        <v>-1.11060035462199</v>
      </c>
      <c r="AE1039">
        <v>-2.30669999999997</v>
      </c>
      <c r="AF1039">
        <v>2.1398259497203198</v>
      </c>
      <c r="AG1039">
        <v>-1.11060035462199</v>
      </c>
      <c r="AH1039">
        <v>44.619701332318897</v>
      </c>
      <c r="AI1039">
        <v>91.424181983701104</v>
      </c>
      <c r="AJ1039">
        <v>87.254371247242602</v>
      </c>
      <c r="AK1039">
        <v>44.684785276737301</v>
      </c>
      <c r="AL1039">
        <v>86.640704667005807</v>
      </c>
      <c r="AM1039">
        <v>88.504732021407506</v>
      </c>
      <c r="AN1039">
        <v>1.00000002237319</v>
      </c>
    </row>
    <row r="1040" spans="1:40" x14ac:dyDescent="0.25">
      <c r="A1040" t="str">
        <f>"20190312150652127"</f>
        <v>20190312150652127</v>
      </c>
      <c r="B1040" t="str">
        <f>"1552374412121148"</f>
        <v>1552374412121148</v>
      </c>
      <c r="C1040" t="s">
        <v>40</v>
      </c>
      <c r="D1040">
        <v>4.1311730000000004</v>
      </c>
      <c r="E1040">
        <v>0.50804519999999997</v>
      </c>
      <c r="F1040" t="s">
        <v>42</v>
      </c>
      <c r="G1040">
        <v>-278.98349999999999</v>
      </c>
      <c r="H1040" s="1">
        <v>-1.560747E-6</v>
      </c>
      <c r="I1040">
        <v>364.9982</v>
      </c>
      <c r="J1040">
        <v>-324.09019999999998</v>
      </c>
      <c r="K1040">
        <v>1.1105969999999901</v>
      </c>
      <c r="L1040">
        <v>367.32799999999997</v>
      </c>
      <c r="M1040">
        <v>0.99989890000000003</v>
      </c>
      <c r="N1040">
        <v>0</v>
      </c>
      <c r="O1040">
        <v>-3.707994E-3</v>
      </c>
      <c r="P1040">
        <v>0.99855269999999996</v>
      </c>
      <c r="Q1040">
        <v>4.4808069999999998E-2</v>
      </c>
      <c r="R1040">
        <v>-2.9746990000000001E-2</v>
      </c>
      <c r="S1040">
        <v>3.003082</v>
      </c>
      <c r="T1040">
        <v>-7.374501E-2</v>
      </c>
      <c r="U1040">
        <v>-0.1547241</v>
      </c>
      <c r="V1040">
        <v>2.6046179999999999E-2</v>
      </c>
      <c r="W1040">
        <v>5.8529110000000002E-2</v>
      </c>
      <c r="X1040">
        <v>0.99794579999999999</v>
      </c>
      <c r="Y1040">
        <v>4.7736500000000001E-2</v>
      </c>
      <c r="Z1040">
        <v>-4.9465540000000001E-4</v>
      </c>
      <c r="AA1040">
        <v>0.99885979999999996</v>
      </c>
      <c r="AB1040">
        <v>23</v>
      </c>
      <c r="AC1040">
        <v>45.106699999999897</v>
      </c>
      <c r="AD1040">
        <v>-1.1105985607469999</v>
      </c>
      <c r="AE1040">
        <v>-2.3298000000000298</v>
      </c>
      <c r="AF1040">
        <v>2.1612061604623798</v>
      </c>
      <c r="AG1040">
        <v>-1.1105985607469999</v>
      </c>
      <c r="AH1040">
        <v>45.087769050628602</v>
      </c>
      <c r="AI1040">
        <v>91.409402498288898</v>
      </c>
      <c r="AJ1040">
        <v>87.255723914823704</v>
      </c>
      <c r="AK1040">
        <v>45.153196555659001</v>
      </c>
      <c r="AL1040">
        <v>86.644611219098195</v>
      </c>
      <c r="AM1040">
        <v>88.504931364573693</v>
      </c>
      <c r="AN1040">
        <v>0.99999993997380998</v>
      </c>
    </row>
    <row r="1041" spans="1:40" x14ac:dyDescent="0.25">
      <c r="A1041" t="str">
        <f>"20190312150652138"</f>
        <v>20190312150652138</v>
      </c>
      <c r="B1041" t="str">
        <f>"1552374412131884"</f>
        <v>1552374412131884</v>
      </c>
      <c r="C1041" t="s">
        <v>40</v>
      </c>
      <c r="D1041">
        <v>4.1180240000000001</v>
      </c>
      <c r="E1041">
        <v>0.50809749999999998</v>
      </c>
      <c r="F1041" t="s">
        <v>42</v>
      </c>
      <c r="G1041">
        <v>-278.46109999999999</v>
      </c>
      <c r="H1041" s="1">
        <v>-1.7460080000000001E-6</v>
      </c>
      <c r="I1041">
        <v>364.97</v>
      </c>
      <c r="J1041">
        <v>-323.9717</v>
      </c>
      <c r="K1041">
        <v>1.110598</v>
      </c>
      <c r="L1041">
        <v>367.32749999999999</v>
      </c>
      <c r="M1041">
        <v>0.99989870000000003</v>
      </c>
      <c r="N1041">
        <v>0</v>
      </c>
      <c r="O1041">
        <v>-3.7079859999999999E-3</v>
      </c>
      <c r="P1041">
        <v>0.99856730000000005</v>
      </c>
      <c r="Q1041">
        <v>4.4694310000000001E-2</v>
      </c>
      <c r="R1041">
        <v>-2.9426330000000001E-2</v>
      </c>
      <c r="S1041">
        <v>3.0030209999999999</v>
      </c>
      <c r="T1041">
        <v>-7.3092459999999998E-2</v>
      </c>
      <c r="U1041">
        <v>-0.15518189999999901</v>
      </c>
      <c r="V1041">
        <v>2.57253E-2</v>
      </c>
      <c r="W1041">
        <v>5.8413920000000001E-2</v>
      </c>
      <c r="X1041">
        <v>0.99796090000000004</v>
      </c>
      <c r="Y1041">
        <v>4.7889590000000003E-2</v>
      </c>
      <c r="Z1041">
        <v>-4.9214940000000002E-4</v>
      </c>
      <c r="AA1041">
        <v>0.99885250000000003</v>
      </c>
      <c r="AB1041">
        <v>23</v>
      </c>
      <c r="AC1041">
        <v>45.510599999999997</v>
      </c>
      <c r="AD1041">
        <v>-1.1105997460079999</v>
      </c>
      <c r="AE1041">
        <v>-2.3574999999999502</v>
      </c>
      <c r="AF1041">
        <v>2.1874160415424</v>
      </c>
      <c r="AG1041">
        <v>-1.1105997460079999</v>
      </c>
      <c r="AH1041">
        <v>45.492010969082799</v>
      </c>
      <c r="AI1041">
        <v>91.396874979084004</v>
      </c>
      <c r="AJ1041">
        <v>87.247137467651598</v>
      </c>
      <c r="AK1041">
        <v>45.558108858311698</v>
      </c>
      <c r="AL1041">
        <v>86.651222523963895</v>
      </c>
      <c r="AM1041">
        <v>88.523364224491502</v>
      </c>
      <c r="AN1041">
        <v>0.99999996751933196</v>
      </c>
    </row>
    <row r="1042" spans="1:40" x14ac:dyDescent="0.25">
      <c r="A1042" t="str">
        <f>"20190312150652150"</f>
        <v>20190312150652150</v>
      </c>
      <c r="B1042" t="str">
        <f>"1552374412141645"</f>
        <v>1552374412141645</v>
      </c>
      <c r="C1042" t="s">
        <v>40</v>
      </c>
      <c r="D1042">
        <v>4.1327360000000004</v>
      </c>
      <c r="E1042">
        <v>0.50813699999999995</v>
      </c>
      <c r="F1042" t="s">
        <v>42</v>
      </c>
      <c r="G1042">
        <v>-278.10570000000001</v>
      </c>
      <c r="H1042" s="1">
        <v>-1.8676069999999999E-6</v>
      </c>
      <c r="I1042">
        <v>364.9676</v>
      </c>
      <c r="J1042">
        <v>-323.8562</v>
      </c>
      <c r="K1042">
        <v>1.110598</v>
      </c>
      <c r="L1042">
        <v>367.32709999999997</v>
      </c>
      <c r="M1042">
        <v>0.99989870000000003</v>
      </c>
      <c r="N1042">
        <v>0</v>
      </c>
      <c r="O1042">
        <v>-3.7077389999999998E-3</v>
      </c>
      <c r="P1042">
        <v>0.99857890000000005</v>
      </c>
      <c r="Q1042">
        <v>4.4574709999999997E-2</v>
      </c>
      <c r="R1042">
        <v>-2.9211870000000001E-2</v>
      </c>
      <c r="S1042">
        <v>3.0029910000000002</v>
      </c>
      <c r="T1042">
        <v>-7.2714329999999994E-2</v>
      </c>
      <c r="U1042">
        <v>-0.1545105</v>
      </c>
      <c r="V1042">
        <v>2.5511160000000001E-2</v>
      </c>
      <c r="W1042">
        <v>5.8293480000000002E-2</v>
      </c>
      <c r="X1042">
        <v>0.99797340000000001</v>
      </c>
      <c r="Y1042">
        <v>4.7667840000000003E-2</v>
      </c>
      <c r="Z1042">
        <v>-4.8693530000000002E-4</v>
      </c>
      <c r="AA1042">
        <v>0.9988631</v>
      </c>
      <c r="AB1042">
        <v>23</v>
      </c>
      <c r="AC1042">
        <v>45.750499999999903</v>
      </c>
      <c r="AD1042">
        <v>-1.1105998676069999</v>
      </c>
      <c r="AE1042">
        <v>-2.3594999999999602</v>
      </c>
      <c r="AF1042">
        <v>2.1885505929293898</v>
      </c>
      <c r="AG1042">
        <v>-1.1105998676069999</v>
      </c>
      <c r="AH1042">
        <v>45.732057090216799</v>
      </c>
      <c r="AI1042">
        <v>91.389560989783902</v>
      </c>
      <c r="AJ1042">
        <v>87.260146917200899</v>
      </c>
      <c r="AK1042">
        <v>45.797862739068798</v>
      </c>
      <c r="AL1042">
        <v>86.658134875069706</v>
      </c>
      <c r="AM1042">
        <v>88.535668849308294</v>
      </c>
      <c r="AN1042">
        <v>0.999999928101305</v>
      </c>
    </row>
    <row r="1043" spans="1:40" x14ac:dyDescent="0.25">
      <c r="A1043" t="str">
        <f>"20190312150652160"</f>
        <v>20190312150652160</v>
      </c>
      <c r="B1043" t="str">
        <f>"1552374412152000"</f>
        <v>1552374412152000</v>
      </c>
      <c r="C1043" t="s">
        <v>40</v>
      </c>
      <c r="D1043">
        <v>4.1270920000000002</v>
      </c>
      <c r="E1043">
        <v>0.50818920000000001</v>
      </c>
      <c r="F1043" t="s">
        <v>42</v>
      </c>
      <c r="G1043">
        <v>-277.52339999999998</v>
      </c>
      <c r="H1043" s="1">
        <v>-2.0716569999999999E-6</v>
      </c>
      <c r="I1043">
        <v>364.94540000000001</v>
      </c>
      <c r="J1043">
        <v>-323.74489999999997</v>
      </c>
      <c r="K1043">
        <v>1.110598</v>
      </c>
      <c r="L1043">
        <v>367.32670000000002</v>
      </c>
      <c r="M1043">
        <v>0.99989890000000003</v>
      </c>
      <c r="N1043">
        <v>0</v>
      </c>
      <c r="O1043">
        <v>-3.7077310000000001E-3</v>
      </c>
      <c r="P1043">
        <v>0.9985752</v>
      </c>
      <c r="Q1043">
        <v>4.4654659999999999E-2</v>
      </c>
      <c r="R1043">
        <v>-2.9223499999999999E-2</v>
      </c>
      <c r="S1043">
        <v>3.0029599999999999</v>
      </c>
      <c r="T1043">
        <v>-7.1980950000000002E-2</v>
      </c>
      <c r="U1043">
        <v>-0.15435789999999999</v>
      </c>
      <c r="V1043">
        <v>2.5522659999999999E-2</v>
      </c>
      <c r="W1043">
        <v>5.8372019999999997E-2</v>
      </c>
      <c r="X1043">
        <v>0.99796859999999998</v>
      </c>
      <c r="Y1043">
        <v>4.7618029999999999E-2</v>
      </c>
      <c r="Z1043">
        <v>-4.8143470000000001E-4</v>
      </c>
      <c r="AA1043">
        <v>0.99886549999999996</v>
      </c>
      <c r="AB1043">
        <v>23</v>
      </c>
      <c r="AC1043">
        <v>46.221499999999899</v>
      </c>
      <c r="AD1043">
        <v>-1.1106000716569999</v>
      </c>
      <c r="AE1043">
        <v>-2.3813</v>
      </c>
      <c r="AF1043">
        <v>2.2086188548062902</v>
      </c>
      <c r="AG1043">
        <v>-1.1106000716569999</v>
      </c>
      <c r="AH1043">
        <v>46.203408085059102</v>
      </c>
      <c r="AI1043">
        <v>91.375394434755407</v>
      </c>
      <c r="AJ1043">
        <v>87.263226031924106</v>
      </c>
      <c r="AK1043">
        <v>46.269496954683603</v>
      </c>
      <c r="AL1043">
        <v>86.653627472063704</v>
      </c>
      <c r="AM1043">
        <v>88.535001997958901</v>
      </c>
      <c r="AN1043">
        <v>1.00000001273915</v>
      </c>
    </row>
    <row r="1044" spans="1:40" x14ac:dyDescent="0.25">
      <c r="A1044" t="str">
        <f>"20190312150652171"</f>
        <v>20190312150652171</v>
      </c>
      <c r="B1044" t="str">
        <f>"1552374412161759"</f>
        <v>1552374412161759</v>
      </c>
      <c r="C1044" t="s">
        <v>40</v>
      </c>
      <c r="D1044">
        <v>4.085915</v>
      </c>
      <c r="E1044">
        <v>0.5082219</v>
      </c>
      <c r="F1044" t="s">
        <v>42</v>
      </c>
      <c r="G1044">
        <v>-276.72890000000001</v>
      </c>
      <c r="H1044" s="1">
        <v>-2.3521159999999999E-6</v>
      </c>
      <c r="I1044">
        <v>364.90750000000003</v>
      </c>
      <c r="J1044">
        <v>-323.63260000000002</v>
      </c>
      <c r="K1044">
        <v>1.1105969999999901</v>
      </c>
      <c r="L1044">
        <v>367.3263</v>
      </c>
      <c r="M1044">
        <v>0.99989890000000003</v>
      </c>
      <c r="N1044">
        <v>0</v>
      </c>
      <c r="O1044">
        <v>-3.7076040000000002E-3</v>
      </c>
      <c r="P1044">
        <v>0.99858619999999998</v>
      </c>
      <c r="Q1044">
        <v>4.4388599999999903E-2</v>
      </c>
      <c r="R1044">
        <v>-2.924881E-2</v>
      </c>
      <c r="S1044">
        <v>3.0029300000000001</v>
      </c>
      <c r="T1044">
        <v>-7.0934300000000006E-2</v>
      </c>
      <c r="U1044">
        <v>-0.1545105</v>
      </c>
      <c r="V1044">
        <v>2.5548060000000001E-2</v>
      </c>
      <c r="W1044">
        <v>5.8104980000000001E-2</v>
      </c>
      <c r="X1044">
        <v>0.99798350000000002</v>
      </c>
      <c r="Y1044">
        <v>4.7669639999999999E-2</v>
      </c>
      <c r="Z1044">
        <v>-4.7505270000000003E-4</v>
      </c>
      <c r="AA1044">
        <v>0.99886299999999995</v>
      </c>
      <c r="AB1044">
        <v>23</v>
      </c>
      <c r="AC1044">
        <v>46.903700000000001</v>
      </c>
      <c r="AD1044">
        <v>-1.11059935211599</v>
      </c>
      <c r="AE1044">
        <v>-2.4187999999999699</v>
      </c>
      <c r="AF1044">
        <v>2.2436120685894099</v>
      </c>
      <c r="AG1044">
        <v>-1.11059935211599</v>
      </c>
      <c r="AH1044">
        <v>46.886128841490098</v>
      </c>
      <c r="AI1044">
        <v>91.355370366154105</v>
      </c>
      <c r="AJ1044">
        <v>87.260351397728002</v>
      </c>
      <c r="AK1044">
        <v>46.9529158176151</v>
      </c>
      <c r="AL1044">
        <v>86.668953638253797</v>
      </c>
      <c r="AM1044">
        <v>88.533566561718601</v>
      </c>
      <c r="AN1044">
        <v>0.99999997917140604</v>
      </c>
    </row>
    <row r="1045" spans="1:40" x14ac:dyDescent="0.25">
      <c r="A1045" t="str">
        <f>"20190312150652183"</f>
        <v>20190312150652183</v>
      </c>
      <c r="B1045" t="str">
        <f>"1552374412171519"</f>
        <v>1552374412171519</v>
      </c>
      <c r="C1045" t="s">
        <v>40</v>
      </c>
      <c r="D1045">
        <v>4.1280890000000001</v>
      </c>
      <c r="E1045">
        <v>0.5082392</v>
      </c>
      <c r="F1045" t="s">
        <v>42</v>
      </c>
      <c r="G1045">
        <v>-276.22579999999999</v>
      </c>
      <c r="H1045" s="1">
        <v>-2.5323969999999998E-6</v>
      </c>
      <c r="I1045">
        <v>364.8734</v>
      </c>
      <c r="J1045">
        <v>-323.51310000000001</v>
      </c>
      <c r="K1045">
        <v>1.110595</v>
      </c>
      <c r="L1045">
        <v>367.32589999999999</v>
      </c>
      <c r="M1045">
        <v>0.99989870000000003</v>
      </c>
      <c r="N1045">
        <v>0</v>
      </c>
      <c r="O1045">
        <v>-3.7073570000000001E-3</v>
      </c>
      <c r="P1045">
        <v>0.99858639999999999</v>
      </c>
      <c r="Q1045">
        <v>4.4445369999999998E-2</v>
      </c>
      <c r="R1045">
        <v>-2.9155029999999998E-2</v>
      </c>
      <c r="S1045">
        <v>3.002869</v>
      </c>
      <c r="T1045">
        <v>-7.0348019999999997E-2</v>
      </c>
      <c r="U1045">
        <v>-0.155365</v>
      </c>
      <c r="V1045">
        <v>2.545451E-2</v>
      </c>
      <c r="W1045">
        <v>5.8160669999999998E-2</v>
      </c>
      <c r="X1045">
        <v>0.9979827</v>
      </c>
      <c r="Y1045">
        <v>4.7954530000000002E-2</v>
      </c>
      <c r="Z1045">
        <v>-4.7447370000000002E-4</v>
      </c>
      <c r="AA1045">
        <v>0.9988494</v>
      </c>
      <c r="AB1045">
        <v>23</v>
      </c>
      <c r="AC1045">
        <v>47.287300000000002</v>
      </c>
      <c r="AD1045">
        <v>-1.1105975323970001</v>
      </c>
      <c r="AE1045">
        <v>-2.4524999999999801</v>
      </c>
      <c r="AF1045">
        <v>2.2759036632048399</v>
      </c>
      <c r="AG1045">
        <v>-1.1105975323970001</v>
      </c>
      <c r="AH1045">
        <v>47.270063892549103</v>
      </c>
      <c r="AI1045">
        <v>91.344344734176005</v>
      </c>
      <c r="AJ1045">
        <v>87.243518559281199</v>
      </c>
      <c r="AK1045">
        <v>47.337850656412698</v>
      </c>
      <c r="AL1045">
        <v>86.665757609184098</v>
      </c>
      <c r="AM1045">
        <v>88.538932736912102</v>
      </c>
      <c r="AN1045">
        <v>1.00000003255673</v>
      </c>
    </row>
    <row r="1046" spans="1:40" x14ac:dyDescent="0.25">
      <c r="A1046" t="str">
        <f>"20190312150652193"</f>
        <v>20190312150652193</v>
      </c>
      <c r="B1046" t="str">
        <f>"1552374412191039"</f>
        <v>1552374412191039</v>
      </c>
      <c r="C1046" t="s">
        <v>40</v>
      </c>
      <c r="D1046">
        <v>4.1340349999999999</v>
      </c>
      <c r="E1046">
        <v>0.50835209999999997</v>
      </c>
      <c r="F1046" t="s">
        <v>42</v>
      </c>
      <c r="G1046">
        <v>-275.2115</v>
      </c>
      <c r="H1046" s="1">
        <v>-2.887748E-6</v>
      </c>
      <c r="I1046">
        <v>364.83510000000001</v>
      </c>
      <c r="J1046">
        <v>-323.40350000000001</v>
      </c>
      <c r="K1046">
        <v>1.1105969999999901</v>
      </c>
      <c r="L1046">
        <v>367.32549999999998</v>
      </c>
      <c r="M1046">
        <v>0.99989890000000003</v>
      </c>
      <c r="N1046">
        <v>0</v>
      </c>
      <c r="O1046">
        <v>-3.707349E-3</v>
      </c>
      <c r="P1046">
        <v>0.99859960000000003</v>
      </c>
      <c r="Q1046">
        <v>4.4149470000000003E-2</v>
      </c>
      <c r="R1046">
        <v>-2.915272E-2</v>
      </c>
      <c r="S1046">
        <v>3.0028380000000001</v>
      </c>
      <c r="T1046">
        <v>-6.9044229999999998E-2</v>
      </c>
      <c r="U1046">
        <v>-0.15484619999999999</v>
      </c>
      <c r="V1046">
        <v>2.5452180000000001E-2</v>
      </c>
      <c r="W1046">
        <v>5.7863629999999999E-2</v>
      </c>
      <c r="X1046">
        <v>0.998</v>
      </c>
      <c r="Y1046">
        <v>4.7783440000000003E-2</v>
      </c>
      <c r="Z1046">
        <v>-4.6372409999999997E-4</v>
      </c>
      <c r="AA1046">
        <v>0.99885760000000001</v>
      </c>
      <c r="AB1046">
        <v>23</v>
      </c>
      <c r="AC1046">
        <v>48.192</v>
      </c>
      <c r="AD1046">
        <v>-1.1105998877479999</v>
      </c>
      <c r="AE1046">
        <v>-2.4903999999999602</v>
      </c>
      <c r="AF1046">
        <v>2.3104776868599899</v>
      </c>
      <c r="AG1046">
        <v>-1.1105998877479999</v>
      </c>
      <c r="AH1046">
        <v>48.175385243480697</v>
      </c>
      <c r="AI1046">
        <v>91.319105179578898</v>
      </c>
      <c r="AJ1046">
        <v>87.254214749610099</v>
      </c>
      <c r="AK1046">
        <v>48.243543429249897</v>
      </c>
      <c r="AL1046">
        <v>86.682805371416705</v>
      </c>
      <c r="AM1046">
        <v>88.539091732796706</v>
      </c>
      <c r="AN1046">
        <v>1.00000000657176</v>
      </c>
    </row>
    <row r="1047" spans="1:40" x14ac:dyDescent="0.25">
      <c r="A1047" t="str">
        <f>"20190312150652206"</f>
        <v>20190312150652206</v>
      </c>
      <c r="B1047" t="str">
        <f>"1552374412201775"</f>
        <v>1552374412201775</v>
      </c>
      <c r="C1047" t="s">
        <v>40</v>
      </c>
      <c r="D1047">
        <v>4.1042170000000002</v>
      </c>
      <c r="E1047">
        <v>0.50838459999999996</v>
      </c>
      <c r="F1047" t="s">
        <v>42</v>
      </c>
      <c r="G1047">
        <v>-274.11790000000002</v>
      </c>
      <c r="H1047" s="1">
        <v>-3.3663880000000002E-6</v>
      </c>
      <c r="I1047">
        <v>364.76420000000002</v>
      </c>
      <c r="J1047">
        <v>-323.28339999999997</v>
      </c>
      <c r="K1047">
        <v>1.1105969999999901</v>
      </c>
      <c r="L1047">
        <v>367.32499999999999</v>
      </c>
      <c r="M1047">
        <v>0.99989890000000003</v>
      </c>
      <c r="N1047">
        <v>0</v>
      </c>
      <c r="O1047">
        <v>-3.7072210000000001E-3</v>
      </c>
      <c r="P1047">
        <v>0.99860479999999996</v>
      </c>
      <c r="Q1047">
        <v>4.3995060000000002E-2</v>
      </c>
      <c r="R1047">
        <v>-2.9207219999999999E-2</v>
      </c>
      <c r="S1047">
        <v>3.0026549999999999</v>
      </c>
      <c r="T1047">
        <v>-6.7661639999999995E-2</v>
      </c>
      <c r="U1047">
        <v>-0.15603639999999999</v>
      </c>
      <c r="V1047">
        <v>2.550678E-2</v>
      </c>
      <c r="W1047">
        <v>5.7707960000000003E-2</v>
      </c>
      <c r="X1047">
        <v>0.99800759999999999</v>
      </c>
      <c r="Y1047">
        <v>4.8181920000000003E-2</v>
      </c>
      <c r="Z1047">
        <v>-4.589525E-4</v>
      </c>
      <c r="AA1047">
        <v>0.99883849999999996</v>
      </c>
      <c r="AB1047">
        <v>23</v>
      </c>
      <c r="AC1047">
        <v>49.165499999999902</v>
      </c>
      <c r="AD1047">
        <v>-1.11060036638799</v>
      </c>
      <c r="AE1047">
        <v>-2.5607999999999702</v>
      </c>
      <c r="AF1047">
        <v>2.37728808718966</v>
      </c>
      <c r="AG1047">
        <v>-1.11060036638799</v>
      </c>
      <c r="AH1047">
        <v>49.149645000104201</v>
      </c>
      <c r="AI1047">
        <v>91.292941602907206</v>
      </c>
      <c r="AJ1047">
        <v>87.230854810951698</v>
      </c>
      <c r="AK1047">
        <v>49.219635669715998</v>
      </c>
      <c r="AL1047">
        <v>86.691739469703293</v>
      </c>
      <c r="AM1047">
        <v>88.535970299910204</v>
      </c>
      <c r="AN1047">
        <v>0.99999998706554405</v>
      </c>
    </row>
    <row r="1048" spans="1:40" x14ac:dyDescent="0.25">
      <c r="A1048" t="str">
        <f>"20190312150652216"</f>
        <v>20190312150652216</v>
      </c>
      <c r="B1048" t="str">
        <f>"1552374412211535"</f>
        <v>1552374412211535</v>
      </c>
      <c r="C1048" t="s">
        <v>40</v>
      </c>
      <c r="D1048">
        <v>4.0698439999999998</v>
      </c>
      <c r="E1048">
        <v>0.50843329999999998</v>
      </c>
      <c r="F1048" t="s">
        <v>42</v>
      </c>
      <c r="G1048">
        <v>-273.63780000000003</v>
      </c>
      <c r="H1048" s="1">
        <v>-3.577031E-6</v>
      </c>
      <c r="I1048">
        <v>364.73790000000002</v>
      </c>
      <c r="J1048">
        <v>-323.16750000000002</v>
      </c>
      <c r="K1048">
        <v>1.1105959999999999</v>
      </c>
      <c r="L1048">
        <v>367.32459999999998</v>
      </c>
      <c r="M1048">
        <v>0.99989879999999998</v>
      </c>
      <c r="N1048">
        <v>0</v>
      </c>
      <c r="O1048">
        <v>-3.7070929999999998E-3</v>
      </c>
      <c r="P1048">
        <v>0.99860190000000004</v>
      </c>
      <c r="Q1048">
        <v>4.4107220000000003E-2</v>
      </c>
      <c r="R1048">
        <v>-2.913721E-2</v>
      </c>
      <c r="S1048">
        <v>3.0025330000000001</v>
      </c>
      <c r="T1048">
        <v>-6.7168240000000004E-2</v>
      </c>
      <c r="U1048">
        <v>-0.15646360000000001</v>
      </c>
      <c r="V1048">
        <v>2.5436879999999999E-2</v>
      </c>
      <c r="W1048">
        <v>5.7818880000000003E-2</v>
      </c>
      <c r="X1048">
        <v>0.99800299999999997</v>
      </c>
      <c r="Y1048">
        <v>4.8326019999999997E-2</v>
      </c>
      <c r="Z1048">
        <v>-4.5723669999999999E-4</v>
      </c>
      <c r="AA1048">
        <v>0.99883149999999998</v>
      </c>
      <c r="AB1048">
        <v>23</v>
      </c>
      <c r="AC1048">
        <v>49.529699999999899</v>
      </c>
      <c r="AD1048">
        <v>-1.110599577031</v>
      </c>
      <c r="AE1048">
        <v>-2.5866999999999498</v>
      </c>
      <c r="AF1048">
        <v>2.4018493645279499</v>
      </c>
      <c r="AG1048">
        <v>-1.110599577031</v>
      </c>
      <c r="AH1048">
        <v>49.514122328149099</v>
      </c>
      <c r="AI1048">
        <v>91.283417761621806</v>
      </c>
      <c r="AJ1048">
        <v>87.222852031716002</v>
      </c>
      <c r="AK1048">
        <v>49.5847821586149</v>
      </c>
      <c r="AL1048">
        <v>86.685373711487301</v>
      </c>
      <c r="AM1048">
        <v>88.539973931347404</v>
      </c>
      <c r="AN1048">
        <v>1.00000002287879</v>
      </c>
    </row>
    <row r="1049" spans="1:40" x14ac:dyDescent="0.25">
      <c r="A1049" t="str">
        <f>"20190312150652229"</f>
        <v>20190312150652229</v>
      </c>
      <c r="B1049" t="str">
        <f>"1552374412221294"</f>
        <v>1552374412221294</v>
      </c>
      <c r="C1049" t="s">
        <v>40</v>
      </c>
      <c r="D1049">
        <v>4.0791130000000004</v>
      </c>
      <c r="E1049">
        <v>0.50846579999999997</v>
      </c>
      <c r="F1049" t="s">
        <v>42</v>
      </c>
      <c r="G1049">
        <v>-272.3442</v>
      </c>
      <c r="H1049" s="1">
        <v>-4.1427500000000003E-6</v>
      </c>
      <c r="I1049">
        <v>364.6771</v>
      </c>
      <c r="J1049">
        <v>-323.04610000000002</v>
      </c>
      <c r="K1049">
        <v>1.1105940000000001</v>
      </c>
      <c r="L1049">
        <v>367.32420000000002</v>
      </c>
      <c r="M1049">
        <v>0.99989890000000003</v>
      </c>
      <c r="N1049">
        <v>0</v>
      </c>
      <c r="O1049">
        <v>-3.7070839999999998E-3</v>
      </c>
      <c r="P1049">
        <v>0.9985965</v>
      </c>
      <c r="Q1049">
        <v>4.4204889999999997E-2</v>
      </c>
      <c r="R1049">
        <v>-2.917788E-2</v>
      </c>
      <c r="S1049">
        <v>3.0025330000000001</v>
      </c>
      <c r="T1049">
        <v>-6.5611719999999998E-2</v>
      </c>
      <c r="U1049">
        <v>-0.1564026</v>
      </c>
      <c r="V1049">
        <v>2.5477489999999998E-2</v>
      </c>
      <c r="W1049">
        <v>5.7915519999999998E-2</v>
      </c>
      <c r="X1049">
        <v>0.99799629999999995</v>
      </c>
      <c r="Y1049">
        <v>4.8306300000000003E-2</v>
      </c>
      <c r="Z1049">
        <v>-4.4642850000000002E-4</v>
      </c>
      <c r="AA1049">
        <v>0.99883250000000001</v>
      </c>
      <c r="AB1049">
        <v>23</v>
      </c>
      <c r="AC1049">
        <v>50.701900000000002</v>
      </c>
      <c r="AD1049">
        <v>-1.11059814275</v>
      </c>
      <c r="AE1049">
        <v>-2.64710000000002</v>
      </c>
      <c r="AF1049">
        <v>2.45793176913189</v>
      </c>
      <c r="AG1049">
        <v>-1.11059814275</v>
      </c>
      <c r="AH1049">
        <v>50.687111640252802</v>
      </c>
      <c r="AI1049">
        <v>91.253726158442205</v>
      </c>
      <c r="AJ1049">
        <v>87.223773831576395</v>
      </c>
      <c r="AK1049">
        <v>50.758823304405396</v>
      </c>
      <c r="AL1049">
        <v>86.679827152310494</v>
      </c>
      <c r="AM1049">
        <v>88.537634196664698</v>
      </c>
      <c r="AN1049">
        <v>0.99999996238362898</v>
      </c>
    </row>
    <row r="1050" spans="1:40" x14ac:dyDescent="0.25">
      <c r="A1050" t="str">
        <f>"20190312150652240"</f>
        <v>20190312150652240</v>
      </c>
      <c r="B1050" t="str">
        <f>"1552374412231056"</f>
        <v>1552374412231056</v>
      </c>
      <c r="C1050" t="s">
        <v>40</v>
      </c>
      <c r="D1050">
        <v>4.0587019999999896</v>
      </c>
      <c r="E1050">
        <v>0.50849279999999997</v>
      </c>
      <c r="F1050" t="s">
        <v>42</v>
      </c>
      <c r="G1050">
        <v>-271.28730000000002</v>
      </c>
      <c r="H1050" s="1">
        <v>-4.6056480000000001E-6</v>
      </c>
      <c r="I1050">
        <v>364.62369999999999</v>
      </c>
      <c r="J1050">
        <v>-322.92200000000003</v>
      </c>
      <c r="K1050">
        <v>1.1105940000000001</v>
      </c>
      <c r="L1050">
        <v>367.32369999999997</v>
      </c>
      <c r="M1050">
        <v>0.99989890000000003</v>
      </c>
      <c r="N1050">
        <v>0</v>
      </c>
      <c r="O1050">
        <v>-3.7070750000000002E-3</v>
      </c>
      <c r="P1050">
        <v>0.99859980000000004</v>
      </c>
      <c r="Q1050">
        <v>4.4144290000000003E-2</v>
      </c>
      <c r="R1050">
        <v>-2.9154550000000001E-2</v>
      </c>
      <c r="S1050">
        <v>3.0024410000000001</v>
      </c>
      <c r="T1050">
        <v>-6.4423919999999996E-2</v>
      </c>
      <c r="U1050">
        <v>-0.1566467</v>
      </c>
      <c r="V1050">
        <v>2.5454259999999999E-2</v>
      </c>
      <c r="W1050">
        <v>5.7853149999999999E-2</v>
      </c>
      <c r="X1050">
        <v>0.99800060000000002</v>
      </c>
      <c r="Y1050">
        <v>4.8389260000000003E-2</v>
      </c>
      <c r="Z1050">
        <v>-4.392504E-4</v>
      </c>
      <c r="AA1050">
        <v>0.99882850000000001</v>
      </c>
      <c r="AB1050">
        <v>23</v>
      </c>
      <c r="AC1050">
        <v>51.634700000000002</v>
      </c>
      <c r="AD1050">
        <v>-1.1105986056479999</v>
      </c>
      <c r="AE1050">
        <v>-2.6999999999999802</v>
      </c>
      <c r="AF1050">
        <v>2.5073928760000199</v>
      </c>
      <c r="AG1050">
        <v>-1.1105986056479999</v>
      </c>
      <c r="AH1050">
        <v>51.620539251978002</v>
      </c>
      <c r="AI1050">
        <v>91.231058383185896</v>
      </c>
      <c r="AJ1050">
        <v>87.219126234689696</v>
      </c>
      <c r="AK1050">
        <v>51.693331494134597</v>
      </c>
      <c r="AL1050">
        <v>86.683406989458405</v>
      </c>
      <c r="AM1050">
        <v>88.538973274363599</v>
      </c>
      <c r="AN1050">
        <v>1.00000005195871</v>
      </c>
    </row>
    <row r="1051" spans="1:40" x14ac:dyDescent="0.25">
      <c r="A1051" t="str">
        <f>"20190312150652252"</f>
        <v>20190312150652252</v>
      </c>
      <c r="B1051" t="str">
        <f>"1552374412241791"</f>
        <v>1552374412241791</v>
      </c>
      <c r="C1051" t="s">
        <v>40</v>
      </c>
      <c r="D1051">
        <v>4.0473420000000004</v>
      </c>
      <c r="E1051">
        <v>0.50851270000000004</v>
      </c>
      <c r="F1051" t="s">
        <v>42</v>
      </c>
      <c r="G1051">
        <v>-270.41809999999998</v>
      </c>
      <c r="H1051" s="1">
        <v>-4.9868329999999997E-6</v>
      </c>
      <c r="I1051">
        <v>364.57690000000002</v>
      </c>
      <c r="J1051">
        <v>-322.80040000000002</v>
      </c>
      <c r="K1051">
        <v>1.1105940000000001</v>
      </c>
      <c r="L1051">
        <v>367.32319999999999</v>
      </c>
      <c r="M1051">
        <v>0.99989890000000003</v>
      </c>
      <c r="N1051">
        <v>0</v>
      </c>
      <c r="O1051">
        <v>-3.7068280000000001E-3</v>
      </c>
      <c r="P1051">
        <v>0.9985967</v>
      </c>
      <c r="Q1051">
        <v>4.4269210000000003E-2</v>
      </c>
      <c r="R1051">
        <v>-2.9075759999999999E-2</v>
      </c>
      <c r="S1051">
        <v>3.002472</v>
      </c>
      <c r="T1051">
        <v>-6.3510179999999999E-2</v>
      </c>
      <c r="U1051">
        <v>-0.15707399999999999</v>
      </c>
      <c r="V1051">
        <v>2.5375669999999999E-2</v>
      </c>
      <c r="W1051">
        <v>5.7976930000000003E-2</v>
      </c>
      <c r="X1051">
        <v>0.99799539999999998</v>
      </c>
      <c r="Y1051">
        <v>4.8530980000000001E-2</v>
      </c>
      <c r="Z1051">
        <v>-4.345188E-4</v>
      </c>
      <c r="AA1051">
        <v>0.99882159999999998</v>
      </c>
      <c r="AB1051">
        <v>23</v>
      </c>
      <c r="AC1051">
        <v>52.382300000000001</v>
      </c>
      <c r="AD1051">
        <v>-1.110598986833</v>
      </c>
      <c r="AE1051">
        <v>-2.7462999999999602</v>
      </c>
      <c r="AF1051">
        <v>2.55094710481564</v>
      </c>
      <c r="AG1051">
        <v>-1.110598986833</v>
      </c>
      <c r="AH1051">
        <v>52.368645040898599</v>
      </c>
      <c r="AI1051">
        <v>91.213469852287702</v>
      </c>
      <c r="AJ1051">
        <v>87.211249867898204</v>
      </c>
      <c r="AK1051">
        <v>52.442499412792699</v>
      </c>
      <c r="AL1051">
        <v>86.676302933636507</v>
      </c>
      <c r="AM1051">
        <v>88.543474660803895</v>
      </c>
      <c r="AN1051">
        <v>1.00000003373066</v>
      </c>
    </row>
    <row r="1052" spans="1:40" x14ac:dyDescent="0.25">
      <c r="A1052" t="str">
        <f>"20190312150652266"</f>
        <v>20190312150652266</v>
      </c>
      <c r="B1052" t="str">
        <f>"1552374412261310"</f>
        <v>1552374412261310</v>
      </c>
      <c r="C1052" t="s">
        <v>40</v>
      </c>
      <c r="D1052">
        <v>4.1112679999999999</v>
      </c>
      <c r="E1052">
        <v>0.49693209999999999</v>
      </c>
      <c r="F1052" t="s">
        <v>42</v>
      </c>
      <c r="G1052">
        <v>-268.90550000000002</v>
      </c>
      <c r="H1052" s="1">
        <v>-1.7181459999999999E-6</v>
      </c>
      <c r="I1052">
        <v>364.50630000000001</v>
      </c>
      <c r="J1052">
        <v>-322.66699999999997</v>
      </c>
      <c r="K1052">
        <v>1.1105929999999999</v>
      </c>
      <c r="L1052">
        <v>367.32279999999997</v>
      </c>
      <c r="M1052">
        <v>0.99989890000000003</v>
      </c>
      <c r="N1052">
        <v>0</v>
      </c>
      <c r="O1052">
        <v>-3.7066989999999999E-3</v>
      </c>
      <c r="P1052">
        <v>0.99858829999999998</v>
      </c>
      <c r="Q1052">
        <v>4.4387320000000001E-2</v>
      </c>
      <c r="R1052">
        <v>-2.9174559999999999E-2</v>
      </c>
      <c r="S1052">
        <v>3.00238</v>
      </c>
      <c r="T1052">
        <v>-6.1869140000000003E-2</v>
      </c>
      <c r="U1052">
        <v>-0.15692139999999999</v>
      </c>
      <c r="V1052">
        <v>2.547491E-2</v>
      </c>
      <c r="W1052">
        <v>5.8093560000000002E-2</v>
      </c>
      <c r="X1052">
        <v>0.99798609999999999</v>
      </c>
      <c r="Y1052">
        <v>4.8482589999999999E-2</v>
      </c>
      <c r="Z1052">
        <v>-4.2281159999999998E-4</v>
      </c>
      <c r="AA1052">
        <v>0.99882389999999999</v>
      </c>
      <c r="AB1052">
        <v>23</v>
      </c>
      <c r="AC1052">
        <v>53.761499999999998</v>
      </c>
      <c r="AD1052">
        <v>-1.1105947181460001</v>
      </c>
      <c r="AE1052">
        <v>-2.81649999999996</v>
      </c>
      <c r="AF1052">
        <v>2.61607083005077</v>
      </c>
      <c r="AG1052">
        <v>-1.1105947181460001</v>
      </c>
      <c r="AH1052">
        <v>53.748697291277502</v>
      </c>
      <c r="AI1052">
        <v>91.182319445930702</v>
      </c>
      <c r="AJ1052">
        <v>87.213483665439895</v>
      </c>
      <c r="AK1052">
        <v>53.823783848083401</v>
      </c>
      <c r="AL1052">
        <v>86.669609280264893</v>
      </c>
      <c r="AM1052">
        <v>88.537767281874594</v>
      </c>
      <c r="AN1052">
        <v>1.0000000442730901</v>
      </c>
    </row>
    <row r="1053" spans="1:40" x14ac:dyDescent="0.25">
      <c r="A1053" t="str">
        <f>"20190312150652277"</f>
        <v>20190312150652277</v>
      </c>
      <c r="B1053" t="str">
        <f>"1552374412271070"</f>
        <v>1552374412271070</v>
      </c>
      <c r="C1053" t="s">
        <v>40</v>
      </c>
      <c r="D1053">
        <v>4.0790959999999998</v>
      </c>
      <c r="E1053">
        <v>0.49587009999999998</v>
      </c>
      <c r="F1053" t="s">
        <v>42</v>
      </c>
      <c r="G1053">
        <v>-259.92959999999999</v>
      </c>
      <c r="H1053" s="1">
        <v>-9.8107450000000005E-7</v>
      </c>
      <c r="I1053">
        <v>365.96679999999998</v>
      </c>
      <c r="J1053">
        <v>-322.53530000000001</v>
      </c>
      <c r="K1053">
        <v>1.1105940000000001</v>
      </c>
      <c r="L1053">
        <v>367.32229999999998</v>
      </c>
      <c r="M1053">
        <v>0.99989899999999998</v>
      </c>
      <c r="N1053">
        <v>0</v>
      </c>
      <c r="O1053">
        <v>-3.706689E-3</v>
      </c>
      <c r="P1053">
        <v>0.99859640000000005</v>
      </c>
      <c r="Q1053">
        <v>4.414506E-2</v>
      </c>
      <c r="R1053">
        <v>-2.9275929999999999E-2</v>
      </c>
      <c r="S1053">
        <v>3.0047299999999999</v>
      </c>
      <c r="T1053">
        <v>-5.3190469999999997E-2</v>
      </c>
      <c r="U1053">
        <v>-6.4941410000000005E-2</v>
      </c>
      <c r="V1053">
        <v>2.5575819999999999E-2</v>
      </c>
      <c r="W1053">
        <v>5.7849820000000003E-2</v>
      </c>
      <c r="X1053">
        <v>0.99799760000000004</v>
      </c>
      <c r="Y1053">
        <v>1.7899470000000001E-2</v>
      </c>
      <c r="Z1053" s="1">
        <v>-9.279023E-5</v>
      </c>
      <c r="AA1053">
        <v>0.99983979999999995</v>
      </c>
      <c r="AB1053">
        <v>23</v>
      </c>
      <c r="AC1053">
        <v>62.605699999999999</v>
      </c>
      <c r="AD1053">
        <v>-1.1105949810744999</v>
      </c>
      <c r="AE1053">
        <v>-1.3554999999999999</v>
      </c>
      <c r="AF1053">
        <v>1.1230557315673799</v>
      </c>
      <c r="AG1053">
        <v>-1.1105949810744999</v>
      </c>
      <c r="AH1053">
        <v>62.590607278921297</v>
      </c>
      <c r="AI1053">
        <v>91.016374400245496</v>
      </c>
      <c r="AJ1053">
        <v>88.972059030305303</v>
      </c>
      <c r="AK1053">
        <v>62.610532619778603</v>
      </c>
      <c r="AL1053">
        <v>86.683597822149693</v>
      </c>
      <c r="AM1053">
        <v>88.531994593617398</v>
      </c>
      <c r="AN1053">
        <v>0.99999996692423099</v>
      </c>
    </row>
    <row r="1054" spans="1:40" x14ac:dyDescent="0.25">
      <c r="A1054" t="str">
        <f>"20190312150652290"</f>
        <v>20190312150652290</v>
      </c>
      <c r="B1054" t="str">
        <f>"1552374412281807"</f>
        <v>1552374412281807</v>
      </c>
      <c r="C1054" t="s">
        <v>40</v>
      </c>
      <c r="D1054">
        <v>4.0679089999999896</v>
      </c>
      <c r="E1054">
        <v>0.49543769999999998</v>
      </c>
      <c r="F1054" t="s">
        <v>42</v>
      </c>
      <c r="G1054">
        <v>-251.95070000000001</v>
      </c>
      <c r="H1054" s="1">
        <v>-4.0788039999999999E-6</v>
      </c>
      <c r="I1054">
        <v>365.98950000000002</v>
      </c>
      <c r="J1054">
        <v>-322.40589999999997</v>
      </c>
      <c r="K1054">
        <v>1.1105940000000001</v>
      </c>
      <c r="L1054">
        <v>367.3218</v>
      </c>
      <c r="M1054">
        <v>0.99989899999999998</v>
      </c>
      <c r="N1054">
        <v>0</v>
      </c>
      <c r="O1054">
        <v>-3.7064400000000001E-3</v>
      </c>
      <c r="P1054">
        <v>0.99858809999999998</v>
      </c>
      <c r="Q1054">
        <v>4.4137099999999999E-2</v>
      </c>
      <c r="R1054">
        <v>-2.9556619999999999E-2</v>
      </c>
      <c r="S1054">
        <v>3.0046080000000002</v>
      </c>
      <c r="T1054">
        <v>-4.7275299999999999E-2</v>
      </c>
      <c r="U1054">
        <v>-5.673218E-2</v>
      </c>
      <c r="V1054">
        <v>2.5857069999999999E-2</v>
      </c>
      <c r="W1054">
        <v>5.7840299999999997E-2</v>
      </c>
      <c r="X1054">
        <v>0.99799099999999996</v>
      </c>
      <c r="Y1054">
        <v>1.5170680000000001E-2</v>
      </c>
      <c r="Z1054" s="1">
        <v>-6.1017570000000001E-5</v>
      </c>
      <c r="AA1054">
        <v>0.99988489999999997</v>
      </c>
      <c r="AB1054">
        <v>23</v>
      </c>
      <c r="AC1054">
        <v>70.455199999999905</v>
      </c>
      <c r="AD1054">
        <v>-1.110598078804</v>
      </c>
      <c r="AE1054">
        <v>-1.3322999999999701</v>
      </c>
      <c r="AF1054">
        <v>1.07086230155368</v>
      </c>
      <c r="AG1054">
        <v>-1.110598078804</v>
      </c>
      <c r="AH1054">
        <v>70.442157454763105</v>
      </c>
      <c r="AI1054">
        <v>90.90315180108</v>
      </c>
      <c r="AJ1054">
        <v>89.129056140242994</v>
      </c>
      <c r="AK1054">
        <v>70.459049958420394</v>
      </c>
      <c r="AL1054">
        <v>86.684144509210398</v>
      </c>
      <c r="AM1054">
        <v>88.515848726993497</v>
      </c>
      <c r="AN1054">
        <v>1.00000006222703</v>
      </c>
    </row>
    <row r="1055" spans="1:40" x14ac:dyDescent="0.25">
      <c r="A1055" t="str">
        <f>"20190312150652301"</f>
        <v>20190312150652301</v>
      </c>
      <c r="B1055" t="str">
        <f>"1552374412291567"</f>
        <v>1552374412291567</v>
      </c>
      <c r="C1055" t="s">
        <v>40</v>
      </c>
      <c r="D1055">
        <v>4.0763999999999996</v>
      </c>
      <c r="E1055">
        <v>0.4953206</v>
      </c>
      <c r="F1055" t="s">
        <v>42</v>
      </c>
      <c r="G1055">
        <v>-245.31630000000001</v>
      </c>
      <c r="H1055" s="1">
        <v>-2.8466349999999999E-6</v>
      </c>
      <c r="I1055">
        <v>365.93979999999999</v>
      </c>
      <c r="J1055">
        <v>-322.29199999999997</v>
      </c>
      <c r="K1055">
        <v>1.110592</v>
      </c>
      <c r="L1055">
        <v>367.32139999999998</v>
      </c>
      <c r="M1055">
        <v>0.99989899999999998</v>
      </c>
      <c r="N1055">
        <v>0</v>
      </c>
      <c r="O1055">
        <v>-3.706432E-3</v>
      </c>
      <c r="P1055">
        <v>0.99859580000000003</v>
      </c>
      <c r="Q1055">
        <v>4.3977330000000002E-2</v>
      </c>
      <c r="R1055">
        <v>-2.9538249999999999E-2</v>
      </c>
      <c r="S1055">
        <v>3.004578</v>
      </c>
      <c r="T1055">
        <v>-4.3285730000000001E-2</v>
      </c>
      <c r="U1055">
        <v>-5.386353E-2</v>
      </c>
      <c r="V1055">
        <v>2.5838509999999999E-2</v>
      </c>
      <c r="W1055">
        <v>5.7679880000000003E-2</v>
      </c>
      <c r="X1055">
        <v>0.99800069999999996</v>
      </c>
      <c r="Y1055">
        <v>1.421687E-2</v>
      </c>
      <c r="Z1055" s="1">
        <v>-4.9000350000000003E-5</v>
      </c>
      <c r="AA1055">
        <v>0.99989890000000003</v>
      </c>
      <c r="AB1055">
        <v>23</v>
      </c>
      <c r="AC1055">
        <v>76.975700000000003</v>
      </c>
      <c r="AD1055">
        <v>-1.110594846635</v>
      </c>
      <c r="AE1055">
        <v>-1.3815999999999899</v>
      </c>
      <c r="AF1055">
        <v>1.0960303723209801</v>
      </c>
      <c r="AG1055">
        <v>-1.110594846635</v>
      </c>
      <c r="AH1055">
        <v>76.964276482295205</v>
      </c>
      <c r="AI1055">
        <v>90.826637166198594</v>
      </c>
      <c r="AJ1055">
        <v>89.184119271811397</v>
      </c>
      <c r="AK1055">
        <v>76.9800919584642</v>
      </c>
      <c r="AL1055">
        <v>86.693351053017693</v>
      </c>
      <c r="AM1055">
        <v>88.516927971379104</v>
      </c>
      <c r="AN1055">
        <v>0.99999999717816201</v>
      </c>
    </row>
    <row r="1056" spans="1:40" x14ac:dyDescent="0.25">
      <c r="A1056" t="str">
        <f>"20190312150652312"</f>
        <v>20190312150652312</v>
      </c>
      <c r="B1056" t="str">
        <f>"1552374412301327"</f>
        <v>1552374412301327</v>
      </c>
      <c r="C1056" t="s">
        <v>40</v>
      </c>
      <c r="D1056">
        <v>4.0756839999999999</v>
      </c>
      <c r="E1056">
        <v>0.49537799999999999</v>
      </c>
      <c r="F1056" t="s">
        <v>42</v>
      </c>
      <c r="G1056">
        <v>-242.72569999999999</v>
      </c>
      <c r="H1056" s="1">
        <v>-4.074466E-6</v>
      </c>
      <c r="I1056">
        <v>365.92160000000001</v>
      </c>
      <c r="J1056">
        <v>-322.18560000000002</v>
      </c>
      <c r="K1056">
        <v>1.1105910000000001</v>
      </c>
      <c r="L1056">
        <v>367.32100000000003</v>
      </c>
      <c r="M1056">
        <v>0.99989899999999998</v>
      </c>
      <c r="N1056">
        <v>0</v>
      </c>
      <c r="O1056">
        <v>-3.7064239999999998E-3</v>
      </c>
      <c r="P1056">
        <v>0.99858530000000001</v>
      </c>
      <c r="Q1056">
        <v>4.4055520000000001E-2</v>
      </c>
      <c r="R1056">
        <v>-2.9777479999999999E-2</v>
      </c>
      <c r="S1056">
        <v>3.004486</v>
      </c>
      <c r="T1056">
        <v>-4.193699E-2</v>
      </c>
      <c r="U1056">
        <v>-5.2856449999999999E-2</v>
      </c>
      <c r="V1056">
        <v>2.607785E-2</v>
      </c>
      <c r="W1056">
        <v>5.7756519999999999E-2</v>
      </c>
      <c r="X1056">
        <v>0.99799009999999999</v>
      </c>
      <c r="Y1056">
        <v>1.3882480000000001E-2</v>
      </c>
      <c r="Z1056" s="1">
        <v>-4.5141900000000002E-5</v>
      </c>
      <c r="AA1056">
        <v>0.9999036</v>
      </c>
      <c r="AB1056">
        <v>23</v>
      </c>
      <c r="AC1056">
        <v>79.459900000000005</v>
      </c>
      <c r="AD1056">
        <v>-1.11059507446599</v>
      </c>
      <c r="AE1056">
        <v>-1.39939999999995</v>
      </c>
      <c r="AF1056">
        <v>1.1046348558601</v>
      </c>
      <c r="AG1056">
        <v>-1.11059507446599</v>
      </c>
      <c r="AH1056">
        <v>79.449025732252593</v>
      </c>
      <c r="AI1056">
        <v>90.800791669214306</v>
      </c>
      <c r="AJ1056">
        <v>89.203428403036597</v>
      </c>
      <c r="AK1056">
        <v>79.464465828371004</v>
      </c>
      <c r="AL1056">
        <v>86.688952762757594</v>
      </c>
      <c r="AM1056">
        <v>88.503180726737398</v>
      </c>
      <c r="AN1056">
        <v>1.0000000547805601</v>
      </c>
    </row>
    <row r="1057" spans="1:40" x14ac:dyDescent="0.25">
      <c r="A1057" t="str">
        <f>"20190312150652321"</f>
        <v>20190312150652321</v>
      </c>
      <c r="B1057" t="str">
        <f>"1552374412311087"</f>
        <v>1552374412311087</v>
      </c>
      <c r="C1057" t="s">
        <v>40</v>
      </c>
      <c r="D1057">
        <v>4.4883680000000004</v>
      </c>
      <c r="E1057">
        <v>0.49547720000000001</v>
      </c>
      <c r="F1057" t="s">
        <v>42</v>
      </c>
      <c r="G1057">
        <v>-240.71299999999999</v>
      </c>
      <c r="H1057" s="1">
        <v>-5.0383910000000003E-6</v>
      </c>
      <c r="I1057">
        <v>365.85120000000001</v>
      </c>
      <c r="J1057">
        <v>-322.0736</v>
      </c>
      <c r="K1057">
        <v>1.1105910000000001</v>
      </c>
      <c r="L1057">
        <v>367.32060000000001</v>
      </c>
      <c r="M1057">
        <v>0.99989899999999998</v>
      </c>
      <c r="N1057">
        <v>0</v>
      </c>
      <c r="O1057">
        <v>-3.7064149999999998E-3</v>
      </c>
      <c r="P1057">
        <v>0.99858329999999995</v>
      </c>
      <c r="Q1057">
        <v>4.4087389999999997E-2</v>
      </c>
      <c r="R1057">
        <v>-2.980031E-2</v>
      </c>
      <c r="S1057">
        <v>3.0044559999999998</v>
      </c>
      <c r="T1057">
        <v>-4.0955310000000002E-2</v>
      </c>
      <c r="U1057">
        <v>-5.4199219999999999E-2</v>
      </c>
      <c r="V1057">
        <v>2.6100669999999999E-2</v>
      </c>
      <c r="W1057">
        <v>5.7786990000000003E-2</v>
      </c>
      <c r="X1057">
        <v>0.99798770000000003</v>
      </c>
      <c r="Y1057">
        <v>1.4329410000000001E-2</v>
      </c>
      <c r="Z1057" s="1">
        <v>-4.7131469999999999E-5</v>
      </c>
      <c r="AA1057">
        <v>0.99989729999999999</v>
      </c>
      <c r="AB1057">
        <v>23</v>
      </c>
      <c r="AC1057">
        <v>81.360600000000005</v>
      </c>
      <c r="AD1057">
        <v>-1.1105960383910001</v>
      </c>
      <c r="AE1057">
        <v>-1.4694</v>
      </c>
      <c r="AF1057">
        <v>1.16758788224257</v>
      </c>
      <c r="AG1057">
        <v>-1.1105960383910001</v>
      </c>
      <c r="AH1057">
        <v>81.350334659505805</v>
      </c>
      <c r="AI1057">
        <v>90.782073748347202</v>
      </c>
      <c r="AJ1057">
        <v>89.177713710345898</v>
      </c>
      <c r="AK1057">
        <v>81.366292985712704</v>
      </c>
      <c r="AL1057">
        <v>86.6872039087269</v>
      </c>
      <c r="AM1057">
        <v>88.501867897435105</v>
      </c>
      <c r="AN1057">
        <v>1.0000000152694899</v>
      </c>
    </row>
    <row r="1058" spans="1:40" x14ac:dyDescent="0.25">
      <c r="A1058" t="str">
        <f>"20190312150652333"</f>
        <v>20190312150652333</v>
      </c>
      <c r="B1058" t="str">
        <f>"1552374412331582"</f>
        <v>1552374412331582</v>
      </c>
      <c r="C1058" t="s">
        <v>40</v>
      </c>
      <c r="D1058">
        <v>4.0412520000000001</v>
      </c>
      <c r="E1058">
        <v>0.4956393</v>
      </c>
      <c r="F1058" t="s">
        <v>42</v>
      </c>
      <c r="G1058">
        <v>-225.52350000000001</v>
      </c>
      <c r="H1058" s="1">
        <v>-2.6246779999999999E-6</v>
      </c>
      <c r="I1058">
        <v>365.54629999999997</v>
      </c>
      <c r="J1058">
        <v>-321.96260000000001</v>
      </c>
      <c r="K1058">
        <v>1.1105910000000001</v>
      </c>
      <c r="L1058">
        <v>367.32010000000002</v>
      </c>
      <c r="M1058">
        <v>0.99989899999999998</v>
      </c>
      <c r="N1058">
        <v>0</v>
      </c>
      <c r="O1058">
        <v>-3.7062879999999999E-3</v>
      </c>
      <c r="P1058">
        <v>0.99858780000000003</v>
      </c>
      <c r="Q1058">
        <v>4.4087800000000003E-2</v>
      </c>
      <c r="R1058">
        <v>-2.9644589999999998E-2</v>
      </c>
      <c r="S1058">
        <v>3.004181</v>
      </c>
      <c r="T1058">
        <v>-3.4556389999999999E-2</v>
      </c>
      <c r="U1058">
        <v>-5.52063E-2</v>
      </c>
      <c r="V1058">
        <v>2.594515E-2</v>
      </c>
      <c r="W1058">
        <v>5.7786509999999999E-2</v>
      </c>
      <c r="X1058">
        <v>0.99799170000000004</v>
      </c>
      <c r="Y1058">
        <v>1.4666530000000001E-2</v>
      </c>
      <c r="Z1058" s="1">
        <v>-4.1711780000000001E-5</v>
      </c>
      <c r="AA1058">
        <v>0.99989240000000001</v>
      </c>
      <c r="AB1058">
        <v>23</v>
      </c>
      <c r="AC1058">
        <v>96.439099999999996</v>
      </c>
      <c r="AD1058">
        <v>-1.1105936246779999</v>
      </c>
      <c r="AE1058">
        <v>-1.77380000000005</v>
      </c>
      <c r="AF1058">
        <v>1.41613534490337</v>
      </c>
      <c r="AG1058">
        <v>-1.1105936246779999</v>
      </c>
      <c r="AH1058">
        <v>96.432227963508396</v>
      </c>
      <c r="AI1058">
        <v>90.659765477683095</v>
      </c>
      <c r="AJ1058">
        <v>89.158655272947001</v>
      </c>
      <c r="AK1058">
        <v>96.449019940693603</v>
      </c>
      <c r="AL1058">
        <v>86.687231181926407</v>
      </c>
      <c r="AM1058">
        <v>88.510796403557094</v>
      </c>
      <c r="AN1058">
        <v>0.99999993240769403</v>
      </c>
    </row>
    <row r="1059" spans="1:40" x14ac:dyDescent="0.25">
      <c r="A1059" t="str">
        <f>"20190312150652346"</f>
        <v>20190312150652346</v>
      </c>
      <c r="B1059" t="str">
        <f>"1552374412341343"</f>
        <v>1552374412341343</v>
      </c>
      <c r="C1059" t="s">
        <v>40</v>
      </c>
      <c r="D1059">
        <v>4.0487390000000003</v>
      </c>
      <c r="E1059">
        <v>0.49555300000000002</v>
      </c>
      <c r="F1059" t="s">
        <v>49</v>
      </c>
      <c r="G1059">
        <v>-185.44630000000001</v>
      </c>
      <c r="H1059" s="1">
        <v>-7.4324759999999998E-6</v>
      </c>
      <c r="I1059">
        <v>364.77359999999999</v>
      </c>
      <c r="J1059">
        <v>-321.84449999999998</v>
      </c>
      <c r="K1059">
        <v>1.110592</v>
      </c>
      <c r="L1059">
        <v>367.31970000000001</v>
      </c>
      <c r="M1059">
        <v>0.99989899999999998</v>
      </c>
      <c r="N1059">
        <v>0</v>
      </c>
      <c r="O1059">
        <v>-3.705921E-3</v>
      </c>
      <c r="P1059">
        <v>0.99857940000000001</v>
      </c>
      <c r="Q1059">
        <v>4.4200110000000001E-2</v>
      </c>
      <c r="R1059">
        <v>-2.9757619999999999E-2</v>
      </c>
      <c r="S1059">
        <v>3.0036619999999998</v>
      </c>
      <c r="T1059">
        <v>-2.4435640000000002E-2</v>
      </c>
      <c r="U1059">
        <v>-5.603027E-2</v>
      </c>
      <c r="V1059">
        <v>2.6058560000000001E-2</v>
      </c>
      <c r="W1059">
        <v>5.789743E-2</v>
      </c>
      <c r="X1059">
        <v>0.99798240000000005</v>
      </c>
      <c r="Y1059">
        <v>1.494462E-2</v>
      </c>
      <c r="Z1059" s="1">
        <v>-3.0634920000000002E-5</v>
      </c>
      <c r="AA1059">
        <v>0.99988829999999995</v>
      </c>
      <c r="AB1059">
        <v>23</v>
      </c>
      <c r="AC1059">
        <v>136.39819999999901</v>
      </c>
      <c r="AD1059">
        <v>-1.110599432476</v>
      </c>
      <c r="AE1059">
        <v>-2.54610000000002</v>
      </c>
      <c r="AF1059">
        <v>2.04041874472325</v>
      </c>
      <c r="AG1059">
        <v>-1.110599432476</v>
      </c>
      <c r="AH1059">
        <v>136.39766003422</v>
      </c>
      <c r="AI1059">
        <v>90.466460610541006</v>
      </c>
      <c r="AJ1059">
        <v>89.142956975421797</v>
      </c>
      <c r="AK1059">
        <v>136.41744170949599</v>
      </c>
      <c r="AL1059">
        <v>86.680865552719993</v>
      </c>
      <c r="AM1059">
        <v>88.504275898086902</v>
      </c>
      <c r="AN1059">
        <v>1.0000000158298099</v>
      </c>
    </row>
    <row r="1060" spans="1:40" x14ac:dyDescent="0.25">
      <c r="A1060" t="str">
        <f>"20190312150652356"</f>
        <v>20190312150652356</v>
      </c>
      <c r="B1060" t="str">
        <f>"1552374412351103"</f>
        <v>1552374412351103</v>
      </c>
      <c r="C1060" t="s">
        <v>40</v>
      </c>
      <c r="D1060">
        <v>4.0576910000000002</v>
      </c>
      <c r="E1060">
        <v>0.4956546</v>
      </c>
      <c r="F1060" t="s">
        <v>49</v>
      </c>
      <c r="G1060">
        <v>-180.01329999999999</v>
      </c>
      <c r="H1060" s="1">
        <v>-7.8754609999999994E-6</v>
      </c>
      <c r="I1060">
        <v>364.70710000000003</v>
      </c>
      <c r="J1060">
        <v>-321.71699999999998</v>
      </c>
      <c r="K1060">
        <v>1.1105940000000001</v>
      </c>
      <c r="L1060">
        <v>367.31920000000002</v>
      </c>
      <c r="M1060">
        <v>0.99989919999999999</v>
      </c>
      <c r="N1060">
        <v>0</v>
      </c>
      <c r="O1060">
        <v>-3.7061500000000001E-3</v>
      </c>
      <c r="P1060">
        <v>0.99857870000000004</v>
      </c>
      <c r="Q1060">
        <v>4.425946E-2</v>
      </c>
      <c r="R1060">
        <v>-2.9702739999999998E-2</v>
      </c>
      <c r="S1060">
        <v>3.0036619999999998</v>
      </c>
      <c r="T1060">
        <v>-2.3519990000000001E-2</v>
      </c>
      <c r="U1060">
        <v>-5.5328370000000002E-2</v>
      </c>
      <c r="V1060">
        <v>2.6003430000000001E-2</v>
      </c>
      <c r="W1060">
        <v>5.7955029999999998E-2</v>
      </c>
      <c r="X1060">
        <v>0.99798050000000005</v>
      </c>
      <c r="Y1060">
        <v>1.4710849999999999E-2</v>
      </c>
      <c r="Z1060" s="1">
        <v>-2.8570139999999999E-5</v>
      </c>
      <c r="AA1060">
        <v>0.9998918</v>
      </c>
      <c r="AB1060">
        <v>23</v>
      </c>
      <c r="AC1060">
        <v>141.7037</v>
      </c>
      <c r="AD1060">
        <v>-1.1106018754610001</v>
      </c>
      <c r="AE1060">
        <v>-2.6120999999999901</v>
      </c>
      <c r="AF1060">
        <v>2.0867294177978302</v>
      </c>
      <c r="AG1060">
        <v>-1.1106018754610001</v>
      </c>
      <c r="AH1060">
        <v>141.70370698956901</v>
      </c>
      <c r="AI1060">
        <v>90.448997423337005</v>
      </c>
      <c r="AJ1060">
        <v>89.156323078415397</v>
      </c>
      <c r="AK1060">
        <v>141.723422378853</v>
      </c>
      <c r="AL1060">
        <v>86.677559782631903</v>
      </c>
      <c r="AM1060">
        <v>88.507436008071494</v>
      </c>
      <c r="AN1060">
        <v>1.00000002112715</v>
      </c>
    </row>
    <row r="1061" spans="1:40" x14ac:dyDescent="0.25">
      <c r="A1061" t="str">
        <f>"20190312150652369"</f>
        <v>20190312150652369</v>
      </c>
      <c r="B1061" t="str">
        <f>"1552374412361839"</f>
        <v>1552374412361839</v>
      </c>
      <c r="C1061" t="s">
        <v>40</v>
      </c>
      <c r="D1061">
        <v>3.9803169999999999</v>
      </c>
      <c r="E1061">
        <v>0.49579859999999998</v>
      </c>
      <c r="F1061" t="s">
        <v>49</v>
      </c>
      <c r="G1061">
        <v>-180</v>
      </c>
      <c r="H1061">
        <v>1.191125E-2</v>
      </c>
      <c r="I1061">
        <v>364.66989999999998</v>
      </c>
      <c r="J1061">
        <v>-321.5942</v>
      </c>
      <c r="K1061">
        <v>1.110587</v>
      </c>
      <c r="L1061">
        <v>367.31880000000001</v>
      </c>
      <c r="M1061">
        <v>0.99989919999999999</v>
      </c>
      <c r="N1061">
        <v>0</v>
      </c>
      <c r="O1061">
        <v>-3.7059020000000001E-3</v>
      </c>
      <c r="P1061">
        <v>0.99856319999999998</v>
      </c>
      <c r="Q1061">
        <v>4.4433960000000002E-2</v>
      </c>
      <c r="R1061">
        <v>-2.995368E-2</v>
      </c>
      <c r="S1061">
        <v>3.0036320000000001</v>
      </c>
      <c r="T1061">
        <v>-2.3286100000000001E-2</v>
      </c>
      <c r="U1061">
        <v>-5.6152340000000002E-2</v>
      </c>
      <c r="V1061">
        <v>2.625481E-2</v>
      </c>
      <c r="W1061">
        <v>5.8128779999999998E-2</v>
      </c>
      <c r="X1061">
        <v>0.99796379999999996</v>
      </c>
      <c r="Y1061">
        <v>1.4985480000000001E-2</v>
      </c>
      <c r="Z1061" s="1">
        <v>-2.935264E-5</v>
      </c>
      <c r="AA1061">
        <v>0.99988770000000005</v>
      </c>
      <c r="AB1061">
        <v>23</v>
      </c>
      <c r="AC1061">
        <v>141.5942</v>
      </c>
      <c r="AD1061">
        <v>-1.09867575</v>
      </c>
      <c r="AE1061">
        <v>-2.6489000000000198</v>
      </c>
      <c r="AF1061">
        <v>2.1239704502316301</v>
      </c>
      <c r="AG1061">
        <v>-1.09867575</v>
      </c>
      <c r="AH1061">
        <v>141.59452297141101</v>
      </c>
      <c r="AI1061">
        <v>90.444516767851198</v>
      </c>
      <c r="AJ1061">
        <v>89.140606474428395</v>
      </c>
      <c r="AK1061">
        <v>141.61471418739799</v>
      </c>
      <c r="AL1061">
        <v>86.667587786476503</v>
      </c>
      <c r="AM1061">
        <v>88.492988529380398</v>
      </c>
      <c r="AN1061">
        <v>1.00000000811143</v>
      </c>
    </row>
    <row r="1062" spans="1:40" x14ac:dyDescent="0.25">
      <c r="A1062" t="str">
        <f>"20190312150652385"</f>
        <v>20190312150652385</v>
      </c>
      <c r="B1062" t="str">
        <f>"1552374412381359"</f>
        <v>1552374412381359</v>
      </c>
      <c r="C1062" t="s">
        <v>40</v>
      </c>
      <c r="D1062">
        <v>4.0291169999999896</v>
      </c>
      <c r="E1062">
        <v>0.49597799999999997</v>
      </c>
      <c r="F1062" t="s">
        <v>49</v>
      </c>
      <c r="G1062">
        <v>-177.9092</v>
      </c>
      <c r="H1062">
        <v>7.9987970000000005E-2</v>
      </c>
      <c r="I1062">
        <v>364.54349999999999</v>
      </c>
      <c r="J1062">
        <v>-321.43639999999999</v>
      </c>
      <c r="K1062">
        <v>1.1105849999999999</v>
      </c>
      <c r="L1062">
        <v>367.31819999999999</v>
      </c>
      <c r="M1062">
        <v>0.99989910000000004</v>
      </c>
      <c r="N1062">
        <v>0</v>
      </c>
      <c r="O1062">
        <v>-3.7057700000000002E-3</v>
      </c>
      <c r="P1062">
        <v>0.99856730000000005</v>
      </c>
      <c r="Q1062">
        <v>4.4372210000000002E-2</v>
      </c>
      <c r="R1062">
        <v>-2.9911569999999998E-2</v>
      </c>
      <c r="S1062">
        <v>3.0035400000000001</v>
      </c>
      <c r="T1062">
        <v>-2.1543260000000002E-2</v>
      </c>
      <c r="U1062">
        <v>-5.8013919999999997E-2</v>
      </c>
      <c r="V1062">
        <v>2.6212679999999999E-2</v>
      </c>
      <c r="W1062">
        <v>5.8065470000000001E-2</v>
      </c>
      <c r="X1062">
        <v>0.99796859999999998</v>
      </c>
      <c r="Y1062">
        <v>1.560572E-2</v>
      </c>
      <c r="Z1062" s="1">
        <v>-2.9381529999999999E-5</v>
      </c>
      <c r="AA1062">
        <v>0.99987820000000005</v>
      </c>
      <c r="AB1062">
        <v>23</v>
      </c>
      <c r="AC1062">
        <v>143.52719999999999</v>
      </c>
      <c r="AD1062">
        <v>-1.03059703</v>
      </c>
      <c r="AE1062">
        <v>-2.77469999999999</v>
      </c>
      <c r="AF1062">
        <v>2.2426365472651701</v>
      </c>
      <c r="AG1062">
        <v>-1.03059703</v>
      </c>
      <c r="AH1062">
        <v>143.529100132992</v>
      </c>
      <c r="AI1062">
        <v>90.411349607647693</v>
      </c>
      <c r="AJ1062">
        <v>89.104828541609606</v>
      </c>
      <c r="AK1062">
        <v>143.55031917034501</v>
      </c>
      <c r="AL1062">
        <v>86.671221342451503</v>
      </c>
      <c r="AM1062">
        <v>88.495412888867193</v>
      </c>
      <c r="AN1062">
        <v>1.0000000149925301</v>
      </c>
    </row>
    <row r="1063" spans="1:40" x14ac:dyDescent="0.25">
      <c r="A1063" t="str">
        <f>"20190312150652395"</f>
        <v>20190312150652395</v>
      </c>
      <c r="B1063" t="str">
        <f>"1552374412391119"</f>
        <v>1552374412391119</v>
      </c>
      <c r="C1063" t="s">
        <v>40</v>
      </c>
      <c r="D1063">
        <v>4.0617900000000002</v>
      </c>
      <c r="E1063">
        <v>0.49587599999999998</v>
      </c>
      <c r="F1063" t="s">
        <v>47</v>
      </c>
      <c r="G1063">
        <v>-158.19499999999999</v>
      </c>
      <c r="H1063">
        <v>8.5137840000000006E-2</v>
      </c>
      <c r="I1063">
        <v>364.09199999999998</v>
      </c>
      <c r="J1063">
        <v>-321.32139999999998</v>
      </c>
      <c r="K1063">
        <v>1.110582</v>
      </c>
      <c r="L1063">
        <v>367.3177</v>
      </c>
      <c r="M1063">
        <v>0.99989919999999999</v>
      </c>
      <c r="N1063">
        <v>0</v>
      </c>
      <c r="O1063">
        <v>-3.7058809999999998E-3</v>
      </c>
      <c r="P1063">
        <v>0.9985676</v>
      </c>
      <c r="Q1063">
        <v>4.4526679999999999E-2</v>
      </c>
      <c r="R1063">
        <v>-2.967067E-2</v>
      </c>
      <c r="S1063">
        <v>3.0033259999999999</v>
      </c>
      <c r="T1063">
        <v>-1.886463E-2</v>
      </c>
      <c r="U1063">
        <v>-5.9356689999999997E-2</v>
      </c>
      <c r="V1063">
        <v>2.5971669999999999E-2</v>
      </c>
      <c r="W1063">
        <v>5.8218270000000003E-2</v>
      </c>
      <c r="X1063">
        <v>0.99796600000000002</v>
      </c>
      <c r="Y1063">
        <v>1.6053910000000001E-2</v>
      </c>
      <c r="Z1063" s="1">
        <v>-2.713688E-5</v>
      </c>
      <c r="AA1063">
        <v>0.99987110000000001</v>
      </c>
      <c r="AB1063">
        <v>23</v>
      </c>
      <c r="AC1063">
        <v>163.12639999999999</v>
      </c>
      <c r="AD1063">
        <v>-1.0254441599999999</v>
      </c>
      <c r="AE1063">
        <v>-3.22570000000001</v>
      </c>
      <c r="AF1063">
        <v>2.6209904979527598</v>
      </c>
      <c r="AG1063">
        <v>-1.0254441599999999</v>
      </c>
      <c r="AH1063">
        <v>163.13079102184199</v>
      </c>
      <c r="AI1063">
        <v>90.360111458123896</v>
      </c>
      <c r="AJ1063">
        <v>89.079519121723095</v>
      </c>
      <c r="AK1063">
        <v>163.155067669771</v>
      </c>
      <c r="AL1063">
        <v>86.662451715115694</v>
      </c>
      <c r="AM1063">
        <v>88.509236518752104</v>
      </c>
      <c r="AN1063">
        <v>1.0000000158801901</v>
      </c>
    </row>
    <row r="1064" spans="1:40" x14ac:dyDescent="0.25">
      <c r="A1064" t="str">
        <f>"20190312150652407"</f>
        <v>20190312150652407</v>
      </c>
      <c r="B1064" t="str">
        <f>"1552374412401855"</f>
        <v>1552374412401855</v>
      </c>
      <c r="C1064" t="s">
        <v>40</v>
      </c>
      <c r="D1064">
        <v>4.0415910000000004</v>
      </c>
      <c r="E1064">
        <v>0.49578860000000002</v>
      </c>
      <c r="F1064" t="s">
        <v>47</v>
      </c>
      <c r="G1064">
        <v>-158.19499999999999</v>
      </c>
      <c r="H1064">
        <v>6.76012E-2</v>
      </c>
      <c r="I1064">
        <v>364.17849999999999</v>
      </c>
      <c r="J1064">
        <v>-321.2079</v>
      </c>
      <c r="K1064">
        <v>1.110554</v>
      </c>
      <c r="L1064">
        <v>367.31729999999999</v>
      </c>
      <c r="M1064">
        <v>0.99990029999999996</v>
      </c>
      <c r="N1064">
        <v>0</v>
      </c>
      <c r="O1064">
        <v>-3.7059800000000002E-3</v>
      </c>
      <c r="P1064">
        <v>0.99857260000000003</v>
      </c>
      <c r="Q1064">
        <v>4.4566380000000003E-2</v>
      </c>
      <c r="R1064">
        <v>-2.9442449999999998E-2</v>
      </c>
      <c r="S1064">
        <v>3.0034480000000001</v>
      </c>
      <c r="T1064">
        <v>-1.920152E-2</v>
      </c>
      <c r="U1064">
        <v>-5.7800289999999997E-2</v>
      </c>
      <c r="V1064">
        <v>2.5743289999999999E-2</v>
      </c>
      <c r="W1064">
        <v>5.816781E-2</v>
      </c>
      <c r="X1064">
        <v>0.9979749</v>
      </c>
      <c r="Y1064">
        <v>1.553507E-2</v>
      </c>
      <c r="Z1064" s="1">
        <v>-2.5961540000000001E-5</v>
      </c>
      <c r="AA1064">
        <v>0.99987930000000003</v>
      </c>
      <c r="AB1064">
        <v>23</v>
      </c>
      <c r="AC1064">
        <v>163.0129</v>
      </c>
      <c r="AD1064">
        <v>-1.0429527999999999</v>
      </c>
      <c r="AE1064">
        <v>-3.1387999999999998</v>
      </c>
      <c r="AF1064">
        <v>2.53449609806745</v>
      </c>
      <c r="AG1064">
        <v>-1.0429527999999999</v>
      </c>
      <c r="AH1064">
        <v>163.01674329287201</v>
      </c>
      <c r="AI1064">
        <v>90.366519146769093</v>
      </c>
      <c r="AJ1064">
        <v>89.109267994958103</v>
      </c>
      <c r="AK1064">
        <v>163.03978046730899</v>
      </c>
      <c r="AL1064">
        <v>86.665347902056794</v>
      </c>
      <c r="AM1064">
        <v>88.522352773814205</v>
      </c>
      <c r="AN1064">
        <v>1.0000000560651101</v>
      </c>
    </row>
    <row r="1065" spans="1:40" x14ac:dyDescent="0.25">
      <c r="A1065" t="str">
        <f>"20190312150652418"</f>
        <v>20190312150652418</v>
      </c>
      <c r="B1065" t="str">
        <f>"1552374412411615"</f>
        <v>1552374412411615</v>
      </c>
      <c r="C1065" t="s">
        <v>40</v>
      </c>
      <c r="D1065">
        <v>4.0507900000000001</v>
      </c>
      <c r="E1065">
        <v>0.4956855</v>
      </c>
      <c r="F1065" t="s">
        <v>43</v>
      </c>
      <c r="G1065">
        <v>-152.91460000000001</v>
      </c>
      <c r="H1065">
        <v>-0.05</v>
      </c>
      <c r="I1065">
        <v>364.14530000000002</v>
      </c>
      <c r="J1065">
        <v>-321.08620000000002</v>
      </c>
      <c r="K1065">
        <v>1.110449</v>
      </c>
      <c r="L1065">
        <v>367.31689999999998</v>
      </c>
      <c r="M1065">
        <v>0.9999055</v>
      </c>
      <c r="N1065">
        <v>0</v>
      </c>
      <c r="O1065">
        <v>-3.7060320000000002E-3</v>
      </c>
      <c r="P1065">
        <v>0.99856199999999995</v>
      </c>
      <c r="Q1065">
        <v>4.4834440000000003E-2</v>
      </c>
      <c r="R1065">
        <v>-2.9397610000000001E-2</v>
      </c>
      <c r="S1065">
        <v>3.0035099999999999</v>
      </c>
      <c r="T1065">
        <v>-2.071226E-2</v>
      </c>
      <c r="U1065">
        <v>-5.6610109999999998E-2</v>
      </c>
      <c r="V1065">
        <v>2.5698430000000001E-2</v>
      </c>
      <c r="W1065">
        <v>5.8053559999999997E-2</v>
      </c>
      <c r="X1065">
        <v>0.9979827</v>
      </c>
      <c r="Y1065">
        <v>1.5138540000000001E-2</v>
      </c>
      <c r="Z1065" s="1">
        <v>-2.6636309999999998E-5</v>
      </c>
      <c r="AA1065">
        <v>0.99988540000000004</v>
      </c>
      <c r="AB1065">
        <v>23</v>
      </c>
      <c r="AC1065">
        <v>168.17160000000001</v>
      </c>
      <c r="AD1065">
        <v>-1.1604490000000001</v>
      </c>
      <c r="AE1065">
        <v>-3.17159999999995</v>
      </c>
      <c r="AF1065">
        <v>2.5481529751680698</v>
      </c>
      <c r="AG1065">
        <v>-1.1604490000000001</v>
      </c>
      <c r="AH1065">
        <v>168.17419516101</v>
      </c>
      <c r="AI1065">
        <v>90.395305261897704</v>
      </c>
      <c r="AJ1065">
        <v>89.131928416819605</v>
      </c>
      <c r="AK1065">
        <v>168.19750189441001</v>
      </c>
      <c r="AL1065">
        <v>86.671904995929907</v>
      </c>
      <c r="AM1065">
        <v>88.524938092229206</v>
      </c>
      <c r="AN1065">
        <v>1.0000000473162101</v>
      </c>
    </row>
    <row r="1066" spans="1:40" x14ac:dyDescent="0.25">
      <c r="A1066" t="str">
        <f>"20190312150652430"</f>
        <v>20190312150652430</v>
      </c>
      <c r="B1066" t="str">
        <f>"1552374412421375"</f>
        <v>1552374412421375</v>
      </c>
      <c r="C1066" t="s">
        <v>40</v>
      </c>
      <c r="D1066">
        <v>4.0213109999999999</v>
      </c>
      <c r="E1066">
        <v>0.49553380000000002</v>
      </c>
      <c r="F1066" t="s">
        <v>43</v>
      </c>
      <c r="G1066">
        <v>-155.89070000000001</v>
      </c>
      <c r="H1066">
        <v>-0.05</v>
      </c>
      <c r="I1066">
        <v>364.26220000000001</v>
      </c>
      <c r="J1066">
        <v>-320.97179999999997</v>
      </c>
      <c r="K1066">
        <v>1.110344</v>
      </c>
      <c r="L1066">
        <v>367.31650000000002</v>
      </c>
      <c r="M1066">
        <v>0.99990959999999995</v>
      </c>
      <c r="N1066">
        <v>0</v>
      </c>
      <c r="O1066">
        <v>-3.7063970000000002E-3</v>
      </c>
      <c r="P1066">
        <v>0.99855660000000002</v>
      </c>
      <c r="Q1066">
        <v>4.5173209999999998E-2</v>
      </c>
      <c r="R1066">
        <v>-2.9060869999999999E-2</v>
      </c>
      <c r="S1066">
        <v>3.0036930000000002</v>
      </c>
      <c r="T1066">
        <v>-2.110004E-2</v>
      </c>
      <c r="U1066">
        <v>-5.5541989999999999E-2</v>
      </c>
      <c r="V1066">
        <v>2.536132E-2</v>
      </c>
      <c r="W1066">
        <v>5.8084030000000002E-2</v>
      </c>
      <c r="X1066">
        <v>0.99798949999999997</v>
      </c>
      <c r="Y1066">
        <v>1.4781600000000001E-2</v>
      </c>
      <c r="Z1066" s="1">
        <v>-2.5877410000000001E-5</v>
      </c>
      <c r="AA1066">
        <v>0.99989070000000002</v>
      </c>
      <c r="AB1066">
        <v>23</v>
      </c>
      <c r="AC1066">
        <v>165.081099999999</v>
      </c>
      <c r="AD1066">
        <v>-1.160344</v>
      </c>
      <c r="AE1066">
        <v>-3.0543000000000098</v>
      </c>
      <c r="AF1066">
        <v>2.4422511902153698</v>
      </c>
      <c r="AG1066">
        <v>-1.160344</v>
      </c>
      <c r="AH1066">
        <v>165.083134020122</v>
      </c>
      <c r="AI1066">
        <v>90.402672542818607</v>
      </c>
      <c r="AJ1066">
        <v>89.152424145186302</v>
      </c>
      <c r="AK1066">
        <v>165.105275890809</v>
      </c>
      <c r="AL1066">
        <v>86.670156073674804</v>
      </c>
      <c r="AM1066">
        <v>88.544289372497104</v>
      </c>
      <c r="AN1066">
        <v>0.99999999660171601</v>
      </c>
    </row>
    <row r="1067" spans="1:40" x14ac:dyDescent="0.25">
      <c r="A1067" t="str">
        <f>"20190312150652442"</f>
        <v>20190312150652442</v>
      </c>
      <c r="B1067" t="str">
        <f>"1552374412431135"</f>
        <v>1552374412431135</v>
      </c>
      <c r="C1067" t="s">
        <v>40</v>
      </c>
      <c r="D1067">
        <v>4.226324</v>
      </c>
      <c r="E1067">
        <v>0.4956238</v>
      </c>
      <c r="F1067" t="s">
        <v>47</v>
      </c>
      <c r="G1067">
        <v>-158.19499999999999</v>
      </c>
      <c r="H1067">
        <v>7.0838449999999997E-2</v>
      </c>
      <c r="I1067">
        <v>364.43709999999999</v>
      </c>
      <c r="J1067">
        <v>-320.83870000000002</v>
      </c>
      <c r="K1067">
        <v>1.110204</v>
      </c>
      <c r="L1067">
        <v>367.31599999999997</v>
      </c>
      <c r="M1067">
        <v>0.9999133</v>
      </c>
      <c r="N1067">
        <v>0</v>
      </c>
      <c r="O1067">
        <v>-3.70674E-3</v>
      </c>
      <c r="P1067">
        <v>0.99854609999999999</v>
      </c>
      <c r="Q1067">
        <v>4.5510599999999998E-2</v>
      </c>
      <c r="R1067">
        <v>-2.8887650000000001E-2</v>
      </c>
      <c r="S1067">
        <v>3.0036320000000001</v>
      </c>
      <c r="T1067">
        <v>-1.917982E-2</v>
      </c>
      <c r="U1067">
        <v>-5.3131100000000001E-2</v>
      </c>
      <c r="V1067">
        <v>2.5187930000000001E-2</v>
      </c>
      <c r="W1067">
        <v>5.8121159999999998E-2</v>
      </c>
      <c r="X1067">
        <v>0.99799170000000004</v>
      </c>
      <c r="Y1067">
        <v>1.3979399999999901E-2</v>
      </c>
      <c r="Z1067" s="1">
        <v>-2.0959980000000001E-5</v>
      </c>
      <c r="AA1067">
        <v>0.99990230000000002</v>
      </c>
      <c r="AB1067">
        <v>23</v>
      </c>
      <c r="AC1067">
        <v>162.6437</v>
      </c>
      <c r="AD1067">
        <v>-1.0393655500000001</v>
      </c>
      <c r="AE1067">
        <v>-2.8788999999999798</v>
      </c>
      <c r="AF1067">
        <v>2.2758612670261398</v>
      </c>
      <c r="AG1067">
        <v>-1.0393655500000001</v>
      </c>
      <c r="AH1067">
        <v>162.64661460110401</v>
      </c>
      <c r="AI1067">
        <v>90.366098120823494</v>
      </c>
      <c r="AJ1067">
        <v>89.198331079298896</v>
      </c>
      <c r="AK1067">
        <v>162.66585710115501</v>
      </c>
      <c r="AL1067">
        <v>86.668024983113099</v>
      </c>
      <c r="AM1067">
        <v>88.554240706413594</v>
      </c>
      <c r="AN1067">
        <v>0.99999996716315898</v>
      </c>
    </row>
    <row r="1068" spans="1:40" x14ac:dyDescent="0.25">
      <c r="A1068" t="str">
        <f>"20190312150652459"</f>
        <v>20190312150652459</v>
      </c>
      <c r="B1068" t="str">
        <f>"1552374412451632"</f>
        <v>1552374412451632</v>
      </c>
      <c r="C1068" t="s">
        <v>40</v>
      </c>
      <c r="D1068">
        <v>4.1918879999999996</v>
      </c>
      <c r="E1068">
        <v>0.4956874</v>
      </c>
      <c r="F1068" t="s">
        <v>47</v>
      </c>
      <c r="G1068">
        <v>-158.19499999999999</v>
      </c>
      <c r="H1068">
        <v>0.1587644</v>
      </c>
      <c r="I1068">
        <v>364.41750000000002</v>
      </c>
      <c r="J1068">
        <v>-320.6816</v>
      </c>
      <c r="K1068">
        <v>1.110039</v>
      </c>
      <c r="L1068">
        <v>367.31540000000001</v>
      </c>
      <c r="M1068">
        <v>0.99991220000000003</v>
      </c>
      <c r="N1068">
        <v>0</v>
      </c>
      <c r="O1068">
        <v>-3.707063E-3</v>
      </c>
      <c r="P1068">
        <v>0.99855240000000001</v>
      </c>
      <c r="Q1068">
        <v>4.5511599999999999E-2</v>
      </c>
      <c r="R1068">
        <v>-2.867248E-2</v>
      </c>
      <c r="S1068">
        <v>3.0036619999999998</v>
      </c>
      <c r="T1068">
        <v>-1.75693E-2</v>
      </c>
      <c r="U1068">
        <v>-5.3527829999999998E-2</v>
      </c>
      <c r="V1068">
        <v>2.4972379999999999E-2</v>
      </c>
      <c r="W1068">
        <v>5.8210650000000003E-2</v>
      </c>
      <c r="X1068">
        <v>0.99799190000000004</v>
      </c>
      <c r="Y1068">
        <v>1.4110950000000001E-2</v>
      </c>
      <c r="Z1068" s="1">
        <v>-1.9582600000000001E-5</v>
      </c>
      <c r="AA1068">
        <v>0.99990049999999997</v>
      </c>
      <c r="AB1068">
        <v>23</v>
      </c>
      <c r="AC1068">
        <v>162.48660000000001</v>
      </c>
      <c r="AD1068">
        <v>-0.95127459999999997</v>
      </c>
      <c r="AE1068">
        <v>-2.8978999999999902</v>
      </c>
      <c r="AF1068">
        <v>2.2954046211580401</v>
      </c>
      <c r="AG1068">
        <v>-0.95127459999999997</v>
      </c>
      <c r="AH1068">
        <v>162.49065932502299</v>
      </c>
      <c r="AI1068">
        <v>90.335391339032498</v>
      </c>
      <c r="AJ1068">
        <v>89.190671941466107</v>
      </c>
      <c r="AK1068">
        <v>162.50965563196499</v>
      </c>
      <c r="AL1068">
        <v>86.662888883984806</v>
      </c>
      <c r="AM1068">
        <v>88.566608140952098</v>
      </c>
      <c r="AN1068">
        <v>0.99999996600094798</v>
      </c>
    </row>
    <row r="1069" spans="1:40" x14ac:dyDescent="0.25">
      <c r="A1069" t="str">
        <f>"20190312150652475"</f>
        <v>20190312150652475</v>
      </c>
      <c r="B1069" t="str">
        <f>"1552374412471152"</f>
        <v>1552374412471152</v>
      </c>
      <c r="C1069" t="s">
        <v>40</v>
      </c>
      <c r="D1069">
        <v>4.0495999999999999</v>
      </c>
      <c r="E1069">
        <v>0.4957877</v>
      </c>
      <c r="F1069" t="s">
        <v>47</v>
      </c>
      <c r="G1069">
        <v>-158.19499999999999</v>
      </c>
      <c r="H1069">
        <v>0.25177959999999999</v>
      </c>
      <c r="I1069">
        <v>364.42129999999997</v>
      </c>
      <c r="J1069">
        <v>-320.51409999999998</v>
      </c>
      <c r="K1069">
        <v>1.109801</v>
      </c>
      <c r="L1069">
        <v>367.31479999999999</v>
      </c>
      <c r="M1069">
        <v>0.99990749999999995</v>
      </c>
      <c r="N1069">
        <v>0</v>
      </c>
      <c r="O1069">
        <v>-3.707297E-3</v>
      </c>
      <c r="P1069">
        <v>0.9985695</v>
      </c>
      <c r="Q1069">
        <v>4.535513E-2</v>
      </c>
      <c r="R1069">
        <v>-2.8319380000000002E-2</v>
      </c>
      <c r="S1069">
        <v>3.0035400000000001</v>
      </c>
      <c r="T1069">
        <v>-1.5863180000000001E-2</v>
      </c>
      <c r="U1069">
        <v>-5.3497309999999999E-2</v>
      </c>
      <c r="V1069">
        <v>2.461905E-2</v>
      </c>
      <c r="W1069">
        <v>5.8422010000000003E-2</v>
      </c>
      <c r="X1069">
        <v>0.99798830000000005</v>
      </c>
      <c r="Y1069">
        <v>1.4101300000000001E-2</v>
      </c>
      <c r="Z1069" s="1">
        <v>-1.765491E-5</v>
      </c>
      <c r="AA1069">
        <v>0.99990060000000003</v>
      </c>
      <c r="AB1069">
        <v>23</v>
      </c>
      <c r="AC1069">
        <v>162.31909999999999</v>
      </c>
      <c r="AD1069">
        <v>-0.85802139999999905</v>
      </c>
      <c r="AE1069">
        <v>-2.8935000000000102</v>
      </c>
      <c r="AF1069">
        <v>2.2915994564180302</v>
      </c>
      <c r="AG1069">
        <v>-0.85802139999999905</v>
      </c>
      <c r="AH1069">
        <v>162.32417811046</v>
      </c>
      <c r="AI1069">
        <v>90.302823951480903</v>
      </c>
      <c r="AJ1069">
        <v>89.191184843469003</v>
      </c>
      <c r="AK1069">
        <v>162.34262049143999</v>
      </c>
      <c r="AL1069">
        <v>86.650758108844698</v>
      </c>
      <c r="AM1069">
        <v>88.586875583189396</v>
      </c>
      <c r="AN1069">
        <v>0.99999993790611397</v>
      </c>
    </row>
    <row r="1070" spans="1:40" x14ac:dyDescent="0.25">
      <c r="A1070" t="str">
        <f>"20190312150652487"</f>
        <v>20190312150652487</v>
      </c>
      <c r="B1070" t="str">
        <f>"1552374412481890"</f>
        <v>1552374412481890</v>
      </c>
      <c r="C1070" t="s">
        <v>40</v>
      </c>
      <c r="D1070">
        <v>4.0638820000000004</v>
      </c>
      <c r="E1070">
        <v>0.4958014</v>
      </c>
      <c r="F1070" t="s">
        <v>47</v>
      </c>
      <c r="G1070">
        <v>-158.19499999999999</v>
      </c>
      <c r="H1070">
        <v>0.30516529999999997</v>
      </c>
      <c r="I1070">
        <v>364.43849999999998</v>
      </c>
      <c r="J1070">
        <v>-320.37959999999998</v>
      </c>
      <c r="K1070">
        <v>1.1095440000000001</v>
      </c>
      <c r="L1070">
        <v>367.3143</v>
      </c>
      <c r="M1070">
        <v>0.99990179999999995</v>
      </c>
      <c r="N1070">
        <v>0</v>
      </c>
      <c r="O1070">
        <v>-3.7070699999999998E-3</v>
      </c>
      <c r="P1070">
        <v>0.99858329999999995</v>
      </c>
      <c r="Q1070">
        <v>4.5166119999999997E-2</v>
      </c>
      <c r="R1070">
        <v>-2.8137410000000002E-2</v>
      </c>
      <c r="S1070">
        <v>3.003479</v>
      </c>
      <c r="T1070">
        <v>-1.4886979999999999E-2</v>
      </c>
      <c r="U1070">
        <v>-5.3222659999999998E-2</v>
      </c>
      <c r="V1070">
        <v>2.4437130000000001E-2</v>
      </c>
      <c r="W1070">
        <v>5.866478E-2</v>
      </c>
      <c r="X1070">
        <v>0.99797860000000005</v>
      </c>
      <c r="Y1070">
        <v>1.4010480000000001E-2</v>
      </c>
      <c r="Z1070" s="1">
        <v>-1.634475E-5</v>
      </c>
      <c r="AA1070">
        <v>0.99990179999999995</v>
      </c>
      <c r="AB1070">
        <v>23</v>
      </c>
      <c r="AC1070">
        <v>162.18459999999999</v>
      </c>
      <c r="AD1070">
        <v>-0.8043787</v>
      </c>
      <c r="AE1070">
        <v>-2.8758000000000199</v>
      </c>
      <c r="AF1070">
        <v>2.2744397274782702</v>
      </c>
      <c r="AG1070">
        <v>-0.8043787</v>
      </c>
      <c r="AH1070">
        <v>162.19015883915401</v>
      </c>
      <c r="AI1070">
        <v>90.2841269549087</v>
      </c>
      <c r="AJ1070">
        <v>89.196577296890496</v>
      </c>
      <c r="AK1070">
        <v>162.208100061116</v>
      </c>
      <c r="AL1070">
        <v>86.636824749209296</v>
      </c>
      <c r="AM1070">
        <v>88.597299908815202</v>
      </c>
      <c r="AN1070">
        <v>1.0000000078965201</v>
      </c>
    </row>
    <row r="1071" spans="1:40" x14ac:dyDescent="0.25">
      <c r="A1071" t="str">
        <f>"20190312150652499"</f>
        <v>20190312150652499</v>
      </c>
      <c r="B1071" t="str">
        <f>"1552374412491647"</f>
        <v>1552374412491647</v>
      </c>
      <c r="C1071" t="s">
        <v>40</v>
      </c>
      <c r="D1071">
        <v>4.0358989999999997</v>
      </c>
      <c r="E1071">
        <v>0.49583660000000002</v>
      </c>
      <c r="F1071" t="s">
        <v>47</v>
      </c>
      <c r="G1071">
        <v>-158.19499999999999</v>
      </c>
      <c r="H1071">
        <v>0.33593030000000002</v>
      </c>
      <c r="I1071">
        <v>364.47649999999999</v>
      </c>
      <c r="J1071">
        <v>-320.25319999999999</v>
      </c>
      <c r="K1071">
        <v>1.109191</v>
      </c>
      <c r="L1071">
        <v>367.31380000000001</v>
      </c>
      <c r="M1071">
        <v>0.99989530000000004</v>
      </c>
      <c r="N1071">
        <v>0</v>
      </c>
      <c r="O1071">
        <v>-3.7073840000000002E-3</v>
      </c>
      <c r="P1071">
        <v>0.99859900000000001</v>
      </c>
      <c r="Q1071">
        <v>4.4847659999999998E-2</v>
      </c>
      <c r="R1071">
        <v>-2.8085969999999998E-2</v>
      </c>
      <c r="S1071">
        <v>3.0034179999999999</v>
      </c>
      <c r="T1071">
        <v>-1.432455E-2</v>
      </c>
      <c r="U1071">
        <v>-5.2551269999999997E-2</v>
      </c>
      <c r="V1071">
        <v>2.4385690000000002E-2</v>
      </c>
      <c r="W1071">
        <v>5.882424E-2</v>
      </c>
      <c r="X1071">
        <v>0.99797049999999998</v>
      </c>
      <c r="Y1071">
        <v>1.378706E-2</v>
      </c>
      <c r="Z1071" s="1">
        <v>-1.519326E-5</v>
      </c>
      <c r="AA1071">
        <v>0.99990489999999999</v>
      </c>
      <c r="AB1071">
        <v>23</v>
      </c>
      <c r="AC1071">
        <v>162.0582</v>
      </c>
      <c r="AD1071">
        <v>-0.77326070000000002</v>
      </c>
      <c r="AE1071">
        <v>-2.8373000000000199</v>
      </c>
      <c r="AF1071">
        <v>2.2363588380442301</v>
      </c>
      <c r="AG1071">
        <v>-0.77326070000000002</v>
      </c>
      <c r="AH1071">
        <v>162.06391743470499</v>
      </c>
      <c r="AI1071">
        <v>90.273349068404102</v>
      </c>
      <c r="AJ1071">
        <v>89.209411985044198</v>
      </c>
      <c r="AK1071">
        <v>162.081191281548</v>
      </c>
      <c r="AL1071">
        <v>86.627672653710405</v>
      </c>
      <c r="AM1071">
        <v>88.600240050960593</v>
      </c>
      <c r="AN1071">
        <v>1.0000000359793</v>
      </c>
    </row>
    <row r="1072" spans="1:40" x14ac:dyDescent="0.25">
      <c r="A1072" t="str">
        <f>"20190312150652510"</f>
        <v>20190312150652510</v>
      </c>
      <c r="B1072" t="str">
        <f>"1552374412501407"</f>
        <v>1552374412501407</v>
      </c>
      <c r="C1072" t="s">
        <v>40</v>
      </c>
      <c r="D1072">
        <v>4.0449909999999996</v>
      </c>
      <c r="E1072">
        <v>0.49579220000000002</v>
      </c>
      <c r="F1072" t="s">
        <v>47</v>
      </c>
      <c r="G1072">
        <v>-158.19499999999999</v>
      </c>
      <c r="H1072">
        <v>0.3281579</v>
      </c>
      <c r="I1072">
        <v>364.4667</v>
      </c>
      <c r="J1072">
        <v>-320.14139999999998</v>
      </c>
      <c r="K1072">
        <v>1.10880499999999</v>
      </c>
      <c r="L1072">
        <v>367.3134</v>
      </c>
      <c r="M1072">
        <v>0.9998882</v>
      </c>
      <c r="N1072">
        <v>0</v>
      </c>
      <c r="O1072">
        <v>-3.7069360000000001E-3</v>
      </c>
      <c r="P1072">
        <v>0.9986024</v>
      </c>
      <c r="Q1072">
        <v>4.4762150000000001E-2</v>
      </c>
      <c r="R1072">
        <v>-2.8103119999999999E-2</v>
      </c>
      <c r="S1072">
        <v>3.003387</v>
      </c>
      <c r="T1072">
        <v>-1.4473079999999999E-2</v>
      </c>
      <c r="U1072">
        <v>-5.2764890000000002E-2</v>
      </c>
      <c r="V1072">
        <v>2.4402920000000002E-2</v>
      </c>
      <c r="W1072">
        <v>5.922695E-2</v>
      </c>
      <c r="X1072">
        <v>0.99794620000000001</v>
      </c>
      <c r="Y1072">
        <v>1.3858759999999999E-2</v>
      </c>
      <c r="Z1072" s="1">
        <v>-1.552571E-5</v>
      </c>
      <c r="AA1072">
        <v>0.99990400000000002</v>
      </c>
      <c r="AB1072">
        <v>23</v>
      </c>
      <c r="AC1072">
        <v>161.94639999999899</v>
      </c>
      <c r="AD1072">
        <v>-0.78064709999999904</v>
      </c>
      <c r="AE1072">
        <v>-2.84669999999999</v>
      </c>
      <c r="AF1072">
        <v>2.2462403207819701</v>
      </c>
      <c r="AG1072">
        <v>-0.78064709999999904</v>
      </c>
      <c r="AH1072">
        <v>161.95207871759001</v>
      </c>
      <c r="AI1072">
        <v>90.276150430576706</v>
      </c>
      <c r="AJ1072">
        <v>89.205370876330505</v>
      </c>
      <c r="AK1072">
        <v>161.96953666175</v>
      </c>
      <c r="AL1072">
        <v>86.604558567715301</v>
      </c>
      <c r="AM1072">
        <v>88.599217333125097</v>
      </c>
      <c r="AN1072">
        <v>0.99999997610263403</v>
      </c>
    </row>
    <row r="1073" spans="1:40" x14ac:dyDescent="0.25">
      <c r="A1073" t="str">
        <f>"20190312150652520"</f>
        <v>20190312150652520</v>
      </c>
      <c r="B1073" t="str">
        <f>"1552374412511167"</f>
        <v>1552374412511167</v>
      </c>
      <c r="C1073" t="s">
        <v>40</v>
      </c>
      <c r="D1073">
        <v>4.0645030000000002</v>
      </c>
      <c r="E1073">
        <v>0.49587029999999899</v>
      </c>
      <c r="F1073" t="s">
        <v>47</v>
      </c>
      <c r="G1073">
        <v>-158.19499999999999</v>
      </c>
      <c r="H1073">
        <v>0.2471199</v>
      </c>
      <c r="I1073">
        <v>364.4914</v>
      </c>
      <c r="J1073">
        <v>-320.03269999999998</v>
      </c>
      <c r="K1073">
        <v>1.108376</v>
      </c>
      <c r="L1073">
        <v>367.31299999999999</v>
      </c>
      <c r="M1073">
        <v>0.9998804</v>
      </c>
      <c r="N1073">
        <v>0</v>
      </c>
      <c r="O1073">
        <v>-3.7061709999999999E-3</v>
      </c>
      <c r="P1073">
        <v>0.99860059999999995</v>
      </c>
      <c r="Q1073">
        <v>4.4788630000000003E-2</v>
      </c>
      <c r="R1073">
        <v>-2.8121940000000002E-2</v>
      </c>
      <c r="S1073">
        <v>3.003479</v>
      </c>
      <c r="T1073">
        <v>-1.597929E-2</v>
      </c>
      <c r="U1073">
        <v>-5.2337649999999999E-2</v>
      </c>
      <c r="V1073">
        <v>2.4422659999999999E-2</v>
      </c>
      <c r="W1073">
        <v>5.9779100000000002E-2</v>
      </c>
      <c r="X1073">
        <v>0.99791280000000004</v>
      </c>
      <c r="Y1073">
        <v>1.371674E-2</v>
      </c>
      <c r="Z1073" s="1">
        <v>-1.6767110000000001E-5</v>
      </c>
      <c r="AA1073">
        <v>0.99990590000000001</v>
      </c>
      <c r="AB1073">
        <v>23</v>
      </c>
      <c r="AC1073">
        <v>161.83769999999899</v>
      </c>
      <c r="AD1073">
        <v>-0.86125609999999997</v>
      </c>
      <c r="AE1073">
        <v>-2.8216000000000401</v>
      </c>
      <c r="AF1073">
        <v>2.22165190330578</v>
      </c>
      <c r="AG1073">
        <v>-0.86125609999999997</v>
      </c>
      <c r="AH1073">
        <v>161.84246466713</v>
      </c>
      <c r="AI1073">
        <v>90.304871934232693</v>
      </c>
      <c r="AJ1073">
        <v>89.213535932649194</v>
      </c>
      <c r="AK1073">
        <v>161.860003919376</v>
      </c>
      <c r="AL1073">
        <v>86.572866567015595</v>
      </c>
      <c r="AM1073">
        <v>88.598037761423598</v>
      </c>
      <c r="AN1073">
        <v>0.99999998176106197</v>
      </c>
    </row>
    <row r="1074" spans="1:40" x14ac:dyDescent="0.25">
      <c r="A1074" t="str">
        <f>"20190312150652531"</f>
        <v>20190312150652531</v>
      </c>
      <c r="B1074" t="str">
        <f>"1552374412521903"</f>
        <v>1552374412521903</v>
      </c>
      <c r="C1074" t="s">
        <v>40</v>
      </c>
      <c r="D1074">
        <v>4.0135990000000001</v>
      </c>
      <c r="E1074">
        <v>0.49587029999999899</v>
      </c>
      <c r="F1074" t="s">
        <v>47</v>
      </c>
      <c r="G1074">
        <v>-158.19499999999999</v>
      </c>
      <c r="H1074">
        <v>0.23361779999999999</v>
      </c>
      <c r="I1074">
        <v>364.45830000000001</v>
      </c>
      <c r="J1074">
        <v>-319.92689999999999</v>
      </c>
      <c r="K1074">
        <v>1.1079049999999999</v>
      </c>
      <c r="L1074">
        <v>367.31259999999997</v>
      </c>
      <c r="M1074">
        <v>0.9998705</v>
      </c>
      <c r="N1074">
        <v>0</v>
      </c>
      <c r="O1074">
        <v>-3.7053070000000001E-3</v>
      </c>
      <c r="P1074">
        <v>0.99860499999999996</v>
      </c>
      <c r="Q1074">
        <v>4.4685999999999997E-2</v>
      </c>
      <c r="R1074">
        <v>-2.8131949999999999E-2</v>
      </c>
      <c r="S1074">
        <v>3.0034480000000001</v>
      </c>
      <c r="T1074">
        <v>-1.6232489999999999E-2</v>
      </c>
      <c r="U1074">
        <v>-5.2978520000000001E-2</v>
      </c>
      <c r="V1074">
        <v>2.4433409999999999E-2</v>
      </c>
      <c r="W1074">
        <v>6.0324559999999999E-2</v>
      </c>
      <c r="X1074">
        <v>0.99787969999999904</v>
      </c>
      <c r="Y1074">
        <v>1.393103E-2</v>
      </c>
      <c r="Z1074" s="1">
        <v>-1.7616420000000001E-5</v>
      </c>
      <c r="AA1074">
        <v>0.99990299999999999</v>
      </c>
      <c r="AB1074">
        <v>23</v>
      </c>
      <c r="AC1074">
        <v>161.7319</v>
      </c>
      <c r="AD1074">
        <v>-0.87428719999999904</v>
      </c>
      <c r="AE1074">
        <v>-2.8542999999999599</v>
      </c>
      <c r="AF1074">
        <v>2.25487468794771</v>
      </c>
      <c r="AG1074">
        <v>-0.87428719999999904</v>
      </c>
      <c r="AH1074">
        <v>161.73664197395999</v>
      </c>
      <c r="AI1074">
        <v>90.309686232522097</v>
      </c>
      <c r="AJ1074">
        <v>89.201254385879693</v>
      </c>
      <c r="AK1074">
        <v>161.754722326674</v>
      </c>
      <c r="AL1074">
        <v>86.541557464269005</v>
      </c>
      <c r="AM1074">
        <v>88.597374407741697</v>
      </c>
      <c r="AN1074">
        <v>0.99999996986775497</v>
      </c>
    </row>
    <row r="1075" spans="1:40" x14ac:dyDescent="0.25">
      <c r="A1075" t="str">
        <f>"20190312150652541"</f>
        <v>20190312150652541</v>
      </c>
      <c r="B1075" t="str">
        <f>"1552374412531664"</f>
        <v>1552374412531664</v>
      </c>
      <c r="C1075" t="s">
        <v>40</v>
      </c>
      <c r="D1075">
        <v>4.0477629999999998</v>
      </c>
      <c r="E1075">
        <v>0.50832100000000002</v>
      </c>
      <c r="F1075" t="s">
        <v>47</v>
      </c>
      <c r="G1075">
        <v>-158.19499999999999</v>
      </c>
      <c r="H1075">
        <v>0.2170753</v>
      </c>
      <c r="I1075">
        <v>364.44990000000001</v>
      </c>
      <c r="J1075">
        <v>-319.82600000000002</v>
      </c>
      <c r="K1075">
        <v>1.1074250000000001</v>
      </c>
      <c r="L1075">
        <v>367.31220000000002</v>
      </c>
      <c r="M1075">
        <v>0.99985959999999996</v>
      </c>
      <c r="N1075">
        <v>0</v>
      </c>
      <c r="O1075">
        <v>-3.7044439999999999E-3</v>
      </c>
      <c r="P1075">
        <v>0.99859299999999995</v>
      </c>
      <c r="Q1075">
        <v>4.4780500000000001E-2</v>
      </c>
      <c r="R1075">
        <v>-2.841136E-2</v>
      </c>
      <c r="S1075">
        <v>3.0034179999999999</v>
      </c>
      <c r="T1075">
        <v>-1.6541360000000001E-2</v>
      </c>
      <c r="U1075">
        <v>-5.316162E-2</v>
      </c>
      <c r="V1075">
        <v>2.4713889999999999E-2</v>
      </c>
      <c r="W1075">
        <v>6.1098949999999999E-2</v>
      </c>
      <c r="X1075">
        <v>0.99782570000000004</v>
      </c>
      <c r="Y1075">
        <v>1.399297E-2</v>
      </c>
      <c r="Z1075" s="1">
        <v>-1.8126879999999999E-5</v>
      </c>
      <c r="AA1075">
        <v>0.99990210000000002</v>
      </c>
      <c r="AB1075">
        <v>23</v>
      </c>
      <c r="AC1075">
        <v>161.63099999999901</v>
      </c>
      <c r="AD1075">
        <v>-0.89034970000000002</v>
      </c>
      <c r="AE1075">
        <v>-2.8622999999999998</v>
      </c>
      <c r="AF1075">
        <v>2.26337874197809</v>
      </c>
      <c r="AG1075">
        <v>-0.89034970000000002</v>
      </c>
      <c r="AH1075">
        <v>161.635592200236</v>
      </c>
      <c r="AI1075">
        <v>90.315572597139294</v>
      </c>
      <c r="AJ1075">
        <v>89.197741212636203</v>
      </c>
      <c r="AK1075">
        <v>161.65389037025699</v>
      </c>
      <c r="AL1075">
        <v>86.497106266092899</v>
      </c>
      <c r="AM1075">
        <v>88.581202955220505</v>
      </c>
      <c r="AN1075">
        <v>0.99999999281526197</v>
      </c>
    </row>
    <row r="1076" spans="1:40" x14ac:dyDescent="0.25">
      <c r="A1076" t="str">
        <f>"20190312150652552"</f>
        <v>20190312150652552</v>
      </c>
      <c r="B1076" t="str">
        <f>"1552374412541423"</f>
        <v>1552374412541423</v>
      </c>
      <c r="C1076" t="s">
        <v>40</v>
      </c>
      <c r="D1076">
        <v>4.4589230000000004</v>
      </c>
      <c r="E1076">
        <v>0.50832100000000002</v>
      </c>
      <c r="F1076" t="s">
        <v>47</v>
      </c>
      <c r="G1076">
        <v>-158.19499999999999</v>
      </c>
      <c r="H1076">
        <v>1.7987419999999901</v>
      </c>
      <c r="I1076">
        <v>359.07459999999998</v>
      </c>
      <c r="J1076">
        <v>-319.7174</v>
      </c>
      <c r="K1076">
        <v>1.1068530000000001</v>
      </c>
      <c r="L1076">
        <v>367.31180000000001</v>
      </c>
      <c r="M1076">
        <v>0.99984550000000005</v>
      </c>
      <c r="N1076">
        <v>0</v>
      </c>
      <c r="O1076">
        <v>-3.703558E-3</v>
      </c>
      <c r="P1076">
        <v>0.99860070000000001</v>
      </c>
      <c r="Q1076">
        <v>4.446717E-2</v>
      </c>
      <c r="R1076">
        <v>-2.862404E-2</v>
      </c>
      <c r="S1076">
        <v>2.999298</v>
      </c>
      <c r="T1076">
        <v>1.2830019999999999E-2</v>
      </c>
      <c r="U1076">
        <v>-0.15286250000000001</v>
      </c>
      <c r="V1076">
        <v>2.492718E-2</v>
      </c>
      <c r="W1076">
        <v>6.161867E-2</v>
      </c>
      <c r="X1076">
        <v>0.99778840000000002</v>
      </c>
      <c r="Y1076">
        <v>4.7199999999999999E-2</v>
      </c>
      <c r="Z1076" s="1">
        <v>8.5052979999999999E-5</v>
      </c>
      <c r="AA1076">
        <v>0.99888549999999998</v>
      </c>
      <c r="AB1076">
        <v>23</v>
      </c>
      <c r="AC1076">
        <v>161.5224</v>
      </c>
      <c r="AD1076">
        <v>0.69188899999999898</v>
      </c>
      <c r="AE1076">
        <v>-8.2372000000000298</v>
      </c>
      <c r="AF1076">
        <v>7.6387077839743096</v>
      </c>
      <c r="AG1076">
        <v>0.69188899999999898</v>
      </c>
      <c r="AH1076">
        <v>161.548846837409</v>
      </c>
      <c r="AI1076">
        <v>89.754886296555696</v>
      </c>
      <c r="AJ1076">
        <v>87.292831330139407</v>
      </c>
      <c r="AK1076">
        <v>161.73082106232499</v>
      </c>
      <c r="AL1076">
        <v>86.4672721658239</v>
      </c>
      <c r="AM1076">
        <v>88.568909808789897</v>
      </c>
      <c r="AN1076">
        <v>0.99999995798493901</v>
      </c>
    </row>
    <row r="1077" spans="1:40" x14ac:dyDescent="0.25">
      <c r="A1077" t="str">
        <f>"20190312150652561"</f>
        <v>20190312150652561</v>
      </c>
      <c r="B1077" t="str">
        <f>"1552374412551183"</f>
        <v>1552374412551183</v>
      </c>
      <c r="C1077" t="s">
        <v>40</v>
      </c>
      <c r="D1077">
        <v>4.0470810000000004</v>
      </c>
      <c r="E1077">
        <v>0.51388809999999996</v>
      </c>
      <c r="F1077" t="s">
        <v>47</v>
      </c>
      <c r="G1077">
        <v>-158.19499999999999</v>
      </c>
      <c r="H1077">
        <v>1.7464440000000001</v>
      </c>
      <c r="I1077">
        <v>359.04500000000002</v>
      </c>
      <c r="J1077">
        <v>-319.60809999999998</v>
      </c>
      <c r="K1077">
        <v>1.1062590000000001</v>
      </c>
      <c r="L1077">
        <v>367.31139999999999</v>
      </c>
      <c r="M1077">
        <v>0.99982990000000005</v>
      </c>
      <c r="N1077">
        <v>0</v>
      </c>
      <c r="O1077">
        <v>-3.7030890000000001E-3</v>
      </c>
      <c r="P1077">
        <v>0.99860190000000004</v>
      </c>
      <c r="Q1077">
        <v>4.429106E-2</v>
      </c>
      <c r="R1077">
        <v>-2.8854060000000001E-2</v>
      </c>
      <c r="S1077">
        <v>2.9992679999999998</v>
      </c>
      <c r="T1077">
        <v>1.187801E-2</v>
      </c>
      <c r="U1077">
        <v>-0.15350339999999901</v>
      </c>
      <c r="V1077">
        <v>2.5157869999999999E-2</v>
      </c>
      <c r="W1077">
        <v>6.2322549999999997E-2</v>
      </c>
      <c r="X1077">
        <v>0.99773900000000004</v>
      </c>
      <c r="Y1077">
        <v>4.7413869999999997E-2</v>
      </c>
      <c r="Z1077" s="1">
        <v>7.9167179999999995E-5</v>
      </c>
      <c r="AA1077">
        <v>0.99887530000000002</v>
      </c>
      <c r="AB1077">
        <v>23</v>
      </c>
      <c r="AC1077">
        <v>161.41309999999999</v>
      </c>
      <c r="AD1077">
        <v>0.640184999999999</v>
      </c>
      <c r="AE1077">
        <v>-8.2663999999999707</v>
      </c>
      <c r="AF1077">
        <v>7.6683983281845496</v>
      </c>
      <c r="AG1077">
        <v>0.640184999999999</v>
      </c>
      <c r="AH1077">
        <v>161.440076292323</v>
      </c>
      <c r="AI1077">
        <v>89.7730526504089</v>
      </c>
      <c r="AJ1077">
        <v>87.280496413963505</v>
      </c>
      <c r="AK1077">
        <v>161.62336589436899</v>
      </c>
      <c r="AL1077">
        <v>86.426865530954402</v>
      </c>
      <c r="AM1077">
        <v>88.555599806577106</v>
      </c>
      <c r="AN1077">
        <v>1.00000006539121</v>
      </c>
    </row>
    <row r="1078" spans="1:40" x14ac:dyDescent="0.25">
      <c r="A1078" t="str">
        <f>"20190312150652574"</f>
        <v>20190312150652574</v>
      </c>
      <c r="B1078" t="str">
        <f>"1552374412571679"</f>
        <v>1552374412571679</v>
      </c>
      <c r="C1078" t="s">
        <v>40</v>
      </c>
      <c r="D1078">
        <v>4.0672470000000001</v>
      </c>
      <c r="E1078">
        <v>0.51429119999999995</v>
      </c>
      <c r="F1078" t="s">
        <v>47</v>
      </c>
      <c r="G1078">
        <v>-158.19499999999999</v>
      </c>
      <c r="H1078">
        <v>5.4098379999999997</v>
      </c>
      <c r="I1078">
        <v>356.64350000000002</v>
      </c>
      <c r="J1078">
        <v>-319.4907</v>
      </c>
      <c r="K1078">
        <v>1.105539</v>
      </c>
      <c r="L1078">
        <v>367.3109</v>
      </c>
      <c r="M1078">
        <v>0.99981249999999999</v>
      </c>
      <c r="N1078">
        <v>0</v>
      </c>
      <c r="O1078">
        <v>-3.703034E-3</v>
      </c>
      <c r="P1078">
        <v>0.99859790000000004</v>
      </c>
      <c r="Q1078">
        <v>4.4117000000000003E-2</v>
      </c>
      <c r="R1078">
        <v>-2.925792E-2</v>
      </c>
      <c r="S1078">
        <v>2.9949340000000002</v>
      </c>
      <c r="T1078">
        <v>7.9852220000000002E-2</v>
      </c>
      <c r="U1078">
        <v>-0.197937</v>
      </c>
      <c r="V1078">
        <v>2.556172E-2</v>
      </c>
      <c r="W1078">
        <v>6.309352E-2</v>
      </c>
      <c r="X1078">
        <v>0.99768020000000002</v>
      </c>
      <c r="Y1078">
        <v>6.2229939999999997E-2</v>
      </c>
      <c r="Z1078">
        <v>7.2992849999999998E-4</v>
      </c>
      <c r="AA1078">
        <v>0.99806159999999999</v>
      </c>
      <c r="AB1078">
        <v>23</v>
      </c>
      <c r="AC1078">
        <v>161.29570000000001</v>
      </c>
      <c r="AD1078">
        <v>4.3042989999999897</v>
      </c>
      <c r="AE1078">
        <v>-10.667399999999899</v>
      </c>
      <c r="AF1078">
        <v>10.062800644622801</v>
      </c>
      <c r="AG1078">
        <v>4.3042989999999897</v>
      </c>
      <c r="AH1078">
        <v>161.21979312713799</v>
      </c>
      <c r="AI1078">
        <v>88.473630703321703</v>
      </c>
      <c r="AJ1078">
        <v>86.428422230420097</v>
      </c>
      <c r="AK1078">
        <v>161.590868067017</v>
      </c>
      <c r="AL1078">
        <v>86.382604815639795</v>
      </c>
      <c r="AM1078">
        <v>88.532336987198903</v>
      </c>
      <c r="AN1078">
        <v>0.99999998763369402</v>
      </c>
    </row>
    <row r="1079" spans="1:40" x14ac:dyDescent="0.25">
      <c r="A1079" t="str">
        <f>"20190312150652585"</f>
        <v>20190312150652585</v>
      </c>
      <c r="B1079" t="str">
        <f>"1552374412581440"</f>
        <v>1552374412581440</v>
      </c>
      <c r="C1079" t="s">
        <v>40</v>
      </c>
      <c r="D1079">
        <v>4.0731149999999996</v>
      </c>
      <c r="E1079">
        <v>0.51500199999999996</v>
      </c>
      <c r="F1079" t="s">
        <v>47</v>
      </c>
      <c r="G1079">
        <v>-158.19499999999999</v>
      </c>
      <c r="H1079">
        <v>4.6544030000000003</v>
      </c>
      <c r="I1079">
        <v>356.41570000000002</v>
      </c>
      <c r="J1079">
        <v>-319.37979999999999</v>
      </c>
      <c r="K1079">
        <v>1.104841</v>
      </c>
      <c r="L1079">
        <v>367.31049999999999</v>
      </c>
      <c r="M1079">
        <v>0.9997952</v>
      </c>
      <c r="N1079">
        <v>0</v>
      </c>
      <c r="O1079">
        <v>-3.7029710000000002E-3</v>
      </c>
      <c r="P1079">
        <v>0.99859410000000004</v>
      </c>
      <c r="Q1079">
        <v>4.4128130000000002E-2</v>
      </c>
      <c r="R1079">
        <v>-2.9371499999999998E-2</v>
      </c>
      <c r="S1079">
        <v>2.9953609999999999</v>
      </c>
      <c r="T1079">
        <v>6.590617E-2</v>
      </c>
      <c r="U1079">
        <v>-0.2023315</v>
      </c>
      <c r="V1079">
        <v>2.5675340000000001E-2</v>
      </c>
      <c r="W1079">
        <v>6.3992919999999995E-2</v>
      </c>
      <c r="X1079">
        <v>0.99761999999999995</v>
      </c>
      <c r="Y1079">
        <v>6.3684519999999994E-2</v>
      </c>
      <c r="Z1079">
        <v>6.1834889999999999E-4</v>
      </c>
      <c r="AA1079">
        <v>0.99796989999999997</v>
      </c>
      <c r="AB1079">
        <v>23</v>
      </c>
      <c r="AC1079">
        <v>161.1848</v>
      </c>
      <c r="AD1079">
        <v>3.5495619999999999</v>
      </c>
      <c r="AE1079">
        <v>-10.894799999999901</v>
      </c>
      <c r="AF1079">
        <v>10.292775636326899</v>
      </c>
      <c r="AG1079">
        <v>3.5495619999999999</v>
      </c>
      <c r="AH1079">
        <v>161.14625233713099</v>
      </c>
      <c r="AI1079">
        <v>88.740717509281495</v>
      </c>
      <c r="AJ1079">
        <v>86.345353481055795</v>
      </c>
      <c r="AK1079">
        <v>161.51363800928399</v>
      </c>
      <c r="AL1079">
        <v>86.330968648015997</v>
      </c>
      <c r="AM1079">
        <v>88.525727285098796</v>
      </c>
      <c r="AN1079">
        <v>0.99999999064712097</v>
      </c>
    </row>
    <row r="1080" spans="1:40" x14ac:dyDescent="0.25">
      <c r="A1080" t="str">
        <f>"20190312150652597"</f>
        <v>20190312150652597</v>
      </c>
      <c r="B1080" t="str">
        <f>"1552374412591202"</f>
        <v>1552374412591202</v>
      </c>
      <c r="C1080" t="s">
        <v>40</v>
      </c>
      <c r="D1080">
        <v>4.0597300000000001</v>
      </c>
      <c r="E1080">
        <v>0.51500199999999996</v>
      </c>
      <c r="F1080" t="s">
        <v>47</v>
      </c>
      <c r="G1080">
        <v>-158.19499999999999</v>
      </c>
      <c r="H1080">
        <v>4.5362289999999996</v>
      </c>
      <c r="I1080">
        <v>356.10210000000001</v>
      </c>
      <c r="J1080">
        <v>-319.26499999999999</v>
      </c>
      <c r="K1080">
        <v>1.104047</v>
      </c>
      <c r="L1080">
        <v>367.31009999999998</v>
      </c>
      <c r="M1080">
        <v>0.99977819999999995</v>
      </c>
      <c r="N1080">
        <v>0</v>
      </c>
      <c r="O1080">
        <v>-3.7036959999999998E-3</v>
      </c>
      <c r="P1080">
        <v>0.99859310000000001</v>
      </c>
      <c r="Q1080">
        <v>4.3979570000000003E-2</v>
      </c>
      <c r="R1080">
        <v>-2.9633799999999901E-2</v>
      </c>
      <c r="S1080">
        <v>2.9952390000000002</v>
      </c>
      <c r="T1080">
        <v>6.3765879999999997E-2</v>
      </c>
      <c r="U1080">
        <v>-0.20828250000000001</v>
      </c>
      <c r="V1080">
        <v>2.593664E-2</v>
      </c>
      <c r="W1080">
        <v>6.4678139999999995E-2</v>
      </c>
      <c r="X1080">
        <v>0.99756909999999999</v>
      </c>
      <c r="Y1080">
        <v>6.566031E-2</v>
      </c>
      <c r="Z1080">
        <v>6.1924349999999996E-4</v>
      </c>
      <c r="AA1080">
        <v>0.9978418</v>
      </c>
      <c r="AB1080">
        <v>23</v>
      </c>
      <c r="AC1080">
        <v>161.07</v>
      </c>
      <c r="AD1080">
        <v>3.4321820000000001</v>
      </c>
      <c r="AE1080">
        <v>-11.207999999999901</v>
      </c>
      <c r="AF1080">
        <v>10.606447793415301</v>
      </c>
      <c r="AG1080">
        <v>3.4321820000000001</v>
      </c>
      <c r="AH1080">
        <v>161.037646660467</v>
      </c>
      <c r="AI1080">
        <v>88.781683496092199</v>
      </c>
      <c r="AJ1080">
        <v>86.2317616104786</v>
      </c>
      <c r="AK1080">
        <v>161.423047456109</v>
      </c>
      <c r="AL1080">
        <v>86.291627113478498</v>
      </c>
      <c r="AM1080">
        <v>88.510654261756002</v>
      </c>
      <c r="AN1080">
        <v>1.0000000401815701</v>
      </c>
    </row>
    <row r="1081" spans="1:40" x14ac:dyDescent="0.25">
      <c r="A1081" t="str">
        <f>"20190312150652690"</f>
        <v>20190312150652690</v>
      </c>
      <c r="B1081" t="str">
        <f>"1552374412681967"</f>
        <v>1552374412681967</v>
      </c>
      <c r="C1081" t="s">
        <v>40</v>
      </c>
      <c r="D1081">
        <v>4.1187649999999998</v>
      </c>
      <c r="E1081">
        <v>0.52513069999999995</v>
      </c>
      <c r="F1081" t="s">
        <v>47</v>
      </c>
      <c r="G1081">
        <v>-158.19499999999999</v>
      </c>
      <c r="H1081">
        <v>4.5128380000000003</v>
      </c>
      <c r="I1081">
        <v>356.0752</v>
      </c>
      <c r="J1081">
        <v>-318.3116</v>
      </c>
      <c r="K1081">
        <v>1.0972459999999999</v>
      </c>
      <c r="L1081">
        <v>367.30650000000003</v>
      </c>
      <c r="M1081">
        <v>0.99966500000000003</v>
      </c>
      <c r="N1081">
        <v>0</v>
      </c>
      <c r="O1081">
        <v>-3.7040329999999998E-3</v>
      </c>
      <c r="P1081">
        <v>0.99850119999999998</v>
      </c>
      <c r="Q1081">
        <v>4.514133E-2</v>
      </c>
      <c r="R1081">
        <v>-3.0952670000000002E-2</v>
      </c>
      <c r="S1081">
        <v>2.9952390000000002</v>
      </c>
      <c r="T1081">
        <v>6.3391089999999997E-2</v>
      </c>
      <c r="U1081">
        <v>-0.20892330000000001</v>
      </c>
      <c r="V1081">
        <v>2.7255370000000001E-2</v>
      </c>
      <c r="W1081">
        <v>7.0707229999999996E-2</v>
      </c>
      <c r="X1081">
        <v>0.99712469999999997</v>
      </c>
      <c r="Y1081">
        <v>6.5872139999999996E-2</v>
      </c>
      <c r="Z1081">
        <v>6.1782269999999999E-4</v>
      </c>
      <c r="AA1081">
        <v>0.99782789999999999</v>
      </c>
      <c r="AB1081">
        <v>23</v>
      </c>
      <c r="AC1081">
        <v>160.11660000000001</v>
      </c>
      <c r="AD1081">
        <v>3.41559199999999</v>
      </c>
      <c r="AE1081">
        <v>-11.231299999999999</v>
      </c>
      <c r="AF1081">
        <v>10.633136138533301</v>
      </c>
      <c r="AG1081">
        <v>3.41559199999999</v>
      </c>
      <c r="AH1081">
        <v>160.084625783864</v>
      </c>
      <c r="AI1081">
        <v>88.780399831322896</v>
      </c>
      <c r="AJ1081">
        <v>86.199883468531198</v>
      </c>
      <c r="AK1081">
        <v>160.473727647895</v>
      </c>
      <c r="AL1081">
        <v>85.945390901299504</v>
      </c>
      <c r="AM1081">
        <v>88.434269128268198</v>
      </c>
      <c r="AN1081">
        <v>1.00000001745909</v>
      </c>
    </row>
    <row r="1082" spans="1:40" x14ac:dyDescent="0.25">
      <c r="A1082" t="str">
        <f>"20190312150652701"</f>
        <v>20190312150652701</v>
      </c>
      <c r="B1082" t="str">
        <f>"1552374412691728"</f>
        <v>1552374412691728</v>
      </c>
      <c r="C1082" t="s">
        <v>40</v>
      </c>
      <c r="D1082">
        <v>4.0923059999999998</v>
      </c>
      <c r="E1082">
        <v>0.52651910000000002</v>
      </c>
      <c r="F1082" t="s">
        <v>47</v>
      </c>
      <c r="G1082">
        <v>-158.78319999999999</v>
      </c>
      <c r="H1082">
        <v>6.1280609999999998</v>
      </c>
      <c r="I1082">
        <v>351.63249999999999</v>
      </c>
      <c r="J1082">
        <v>-318.19319999999999</v>
      </c>
      <c r="K1082">
        <v>1.0963540000000001</v>
      </c>
      <c r="L1082">
        <v>367.30610000000001</v>
      </c>
      <c r="M1082">
        <v>0.99965720000000002</v>
      </c>
      <c r="N1082">
        <v>0</v>
      </c>
      <c r="O1082">
        <v>-3.704143E-3</v>
      </c>
      <c r="P1082">
        <v>0.99847969999999997</v>
      </c>
      <c r="Q1082">
        <v>4.5305030000000003E-2</v>
      </c>
      <c r="R1082">
        <v>-3.139919E-2</v>
      </c>
      <c r="S1082">
        <v>2.9911189999999999</v>
      </c>
      <c r="T1082">
        <v>9.4328170000000003E-2</v>
      </c>
      <c r="U1082">
        <v>-0.29388429999999999</v>
      </c>
      <c r="V1082">
        <v>2.770212E-2</v>
      </c>
      <c r="W1082">
        <v>7.1174790000000002E-2</v>
      </c>
      <c r="X1082">
        <v>0.9970791</v>
      </c>
      <c r="Y1082">
        <v>9.4048660000000006E-2</v>
      </c>
      <c r="Z1082">
        <v>1.362498E-3</v>
      </c>
      <c r="AA1082">
        <v>0.99556670000000003</v>
      </c>
      <c r="AB1082">
        <v>23</v>
      </c>
      <c r="AC1082">
        <v>159.41</v>
      </c>
      <c r="AD1082">
        <v>5.0317069999999999</v>
      </c>
      <c r="AE1082">
        <v>-15.6736</v>
      </c>
      <c r="AF1082">
        <v>15.067947754369101</v>
      </c>
      <c r="AG1082">
        <v>5.0317069999999999</v>
      </c>
      <c r="AH1082">
        <v>159.309778383321</v>
      </c>
      <c r="AI1082">
        <v>88.198980007262904</v>
      </c>
      <c r="AJ1082">
        <v>84.596884541838193</v>
      </c>
      <c r="AK1082">
        <v>160.09986450151999</v>
      </c>
      <c r="AL1082">
        <v>85.918533929135094</v>
      </c>
      <c r="AM1082">
        <v>88.408545166678707</v>
      </c>
      <c r="AN1082">
        <v>0.99999999492042402</v>
      </c>
    </row>
    <row r="1083" spans="1:40" x14ac:dyDescent="0.25">
      <c r="A1083" t="str">
        <f>"20190312150652720"</f>
        <v>20190312150652720</v>
      </c>
      <c r="B1083" t="str">
        <f>"1552374412711250"</f>
        <v>1552374412711250</v>
      </c>
      <c r="C1083" t="s">
        <v>40</v>
      </c>
      <c r="D1083">
        <v>4.1283839999999996</v>
      </c>
      <c r="E1083">
        <v>0.52625749999999905</v>
      </c>
      <c r="F1083" t="s">
        <v>47</v>
      </c>
      <c r="G1083">
        <v>-158.78319999999999</v>
      </c>
      <c r="H1083">
        <v>5.7248429999999999</v>
      </c>
      <c r="I1083">
        <v>350.98590000000002</v>
      </c>
      <c r="J1083">
        <v>-318.0127</v>
      </c>
      <c r="K1083">
        <v>1.0949199999999999</v>
      </c>
      <c r="L1083">
        <v>367.30540000000002</v>
      </c>
      <c r="M1083">
        <v>0.99964730000000002</v>
      </c>
      <c r="N1083">
        <v>0</v>
      </c>
      <c r="O1083">
        <v>-3.7039690000000001E-3</v>
      </c>
      <c r="P1083">
        <v>0.99843499999999996</v>
      </c>
      <c r="Q1083">
        <v>4.5711839999999997E-2</v>
      </c>
      <c r="R1083">
        <v>-3.2225440000000001E-2</v>
      </c>
      <c r="S1083">
        <v>2.9909970000000001</v>
      </c>
      <c r="T1083">
        <v>8.6845519999999995E-2</v>
      </c>
      <c r="U1083">
        <v>-0.30621340000000002</v>
      </c>
      <c r="V1083">
        <v>2.852845E-2</v>
      </c>
      <c r="W1083">
        <v>7.1958599999999998E-2</v>
      </c>
      <c r="X1083">
        <v>0.99699959999999999</v>
      </c>
      <c r="Y1083">
        <v>9.8119949999999997E-2</v>
      </c>
      <c r="Z1083">
        <v>1.313201E-3</v>
      </c>
      <c r="AA1083">
        <v>0.9951738</v>
      </c>
      <c r="AB1083">
        <v>23</v>
      </c>
      <c r="AC1083">
        <v>159.2295</v>
      </c>
      <c r="AD1083">
        <v>4.6299229999999998</v>
      </c>
      <c r="AE1083">
        <v>-16.319500000000001</v>
      </c>
      <c r="AF1083">
        <v>15.7162532409231</v>
      </c>
      <c r="AG1083">
        <v>4.6299229999999998</v>
      </c>
      <c r="AH1083">
        <v>159.15571151134401</v>
      </c>
      <c r="AI1083">
        <v>88.341766351175195</v>
      </c>
      <c r="AJ1083">
        <v>84.360459300792499</v>
      </c>
      <c r="AK1083">
        <v>159.996804060584</v>
      </c>
      <c r="AL1083">
        <v>85.873509730451403</v>
      </c>
      <c r="AM1083">
        <v>88.360968363482996</v>
      </c>
      <c r="AN1083">
        <v>1.00000005748675</v>
      </c>
    </row>
    <row r="1084" spans="1:40" x14ac:dyDescent="0.25">
      <c r="A1084" t="str">
        <f>"20190312150652731"</f>
        <v>20190312150652731</v>
      </c>
      <c r="B1084" t="str">
        <f>"1552374412721984"</f>
        <v>1552374412721984</v>
      </c>
      <c r="C1084" t="s">
        <v>40</v>
      </c>
      <c r="D1084">
        <v>4.4459400000000002</v>
      </c>
      <c r="E1084">
        <v>0.52625889999999997</v>
      </c>
      <c r="F1084" t="s">
        <v>47</v>
      </c>
      <c r="G1084">
        <v>-158.78319999999999</v>
      </c>
      <c r="H1084">
        <v>5.2233039999999997</v>
      </c>
      <c r="I1084">
        <v>350.95310000000001</v>
      </c>
      <c r="J1084">
        <v>-317.89699999999999</v>
      </c>
      <c r="K1084">
        <v>1.093953</v>
      </c>
      <c r="L1084">
        <v>367.30489999999998</v>
      </c>
      <c r="M1084">
        <v>0.99964310000000001</v>
      </c>
      <c r="N1084">
        <v>0</v>
      </c>
      <c r="O1084">
        <v>-3.7037300000000001E-3</v>
      </c>
      <c r="P1084">
        <v>0.99843649999999995</v>
      </c>
      <c r="Q1084">
        <v>4.5443619999999997E-2</v>
      </c>
      <c r="R1084">
        <v>-3.2556080000000001E-2</v>
      </c>
      <c r="S1084">
        <v>2.991241</v>
      </c>
      <c r="T1084">
        <v>7.7556249999999993E-2</v>
      </c>
      <c r="U1084">
        <v>-0.30718990000000002</v>
      </c>
      <c r="V1084">
        <v>2.8859510000000001E-2</v>
      </c>
      <c r="W1084">
        <v>7.1853020000000004E-2</v>
      </c>
      <c r="X1084">
        <v>0.99699769999999999</v>
      </c>
      <c r="Y1084">
        <v>9.8441340000000002E-2</v>
      </c>
      <c r="Z1084">
        <v>1.176833E-3</v>
      </c>
      <c r="AA1084">
        <v>0.99514219999999998</v>
      </c>
      <c r="AB1084">
        <v>23</v>
      </c>
      <c r="AC1084">
        <v>159.1138</v>
      </c>
      <c r="AD1084">
        <v>4.1293509999999998</v>
      </c>
      <c r="AE1084">
        <v>-16.351799999999901</v>
      </c>
      <c r="AF1084">
        <v>15.751668730327101</v>
      </c>
      <c r="AG1084">
        <v>4.1293509999999998</v>
      </c>
      <c r="AH1084">
        <v>159.067277054838</v>
      </c>
      <c r="AI1084">
        <v>88.520182935103307</v>
      </c>
      <c r="AJ1084">
        <v>84.344711188528706</v>
      </c>
      <c r="AK1084">
        <v>159.89860924070501</v>
      </c>
      <c r="AL1084">
        <v>85.879574773132802</v>
      </c>
      <c r="AM1084">
        <v>88.341955526866201</v>
      </c>
      <c r="AN1084">
        <v>1.00000007080292</v>
      </c>
    </row>
    <row r="1085" spans="1:40" x14ac:dyDescent="0.25">
      <c r="A1085" t="str">
        <f>"20190312150652741"</f>
        <v>20190312150652741</v>
      </c>
      <c r="B1085" t="str">
        <f>"1552374412731744"</f>
        <v>1552374412731744</v>
      </c>
      <c r="C1085" t="s">
        <v>40</v>
      </c>
      <c r="D1085">
        <v>4.1070849999999997</v>
      </c>
      <c r="E1085">
        <v>0.52557710000000002</v>
      </c>
      <c r="F1085" t="s">
        <v>47</v>
      </c>
      <c r="G1085">
        <v>-158.78319999999999</v>
      </c>
      <c r="H1085">
        <v>5.584937</v>
      </c>
      <c r="I1085">
        <v>350.92140000000001</v>
      </c>
      <c r="J1085">
        <v>-317.7876</v>
      </c>
      <c r="K1085">
        <v>1.093008</v>
      </c>
      <c r="L1085">
        <v>367.30450000000002</v>
      </c>
      <c r="M1085">
        <v>0.99964010000000003</v>
      </c>
      <c r="N1085">
        <v>0</v>
      </c>
      <c r="O1085">
        <v>-3.7034720000000002E-3</v>
      </c>
      <c r="P1085">
        <v>0.99842419999999998</v>
      </c>
      <c r="Q1085">
        <v>4.5387329999999997E-2</v>
      </c>
      <c r="R1085">
        <v>-3.3004579999999999E-2</v>
      </c>
      <c r="S1085">
        <v>2.9907840000000001</v>
      </c>
      <c r="T1085">
        <v>8.4416389999999994E-2</v>
      </c>
      <c r="U1085">
        <v>-0.30795289999999997</v>
      </c>
      <c r="V1085">
        <v>2.930818E-2</v>
      </c>
      <c r="W1085">
        <v>7.1902480000000005E-2</v>
      </c>
      <c r="X1085">
        <v>0.99698100000000001</v>
      </c>
      <c r="Y1085">
        <v>9.8702310000000001E-2</v>
      </c>
      <c r="Z1085">
        <v>1.2847469999999999E-3</v>
      </c>
      <c r="AA1085">
        <v>0.99511620000000001</v>
      </c>
      <c r="AB1085">
        <v>23</v>
      </c>
      <c r="AC1085">
        <v>159.0044</v>
      </c>
      <c r="AD1085">
        <v>4.4919289999999998</v>
      </c>
      <c r="AE1085">
        <v>-16.383099999999999</v>
      </c>
      <c r="AF1085">
        <v>15.781448674357099</v>
      </c>
      <c r="AG1085">
        <v>4.4919289999999998</v>
      </c>
      <c r="AH1085">
        <v>158.93849112904601</v>
      </c>
      <c r="AI1085">
        <v>88.389051768061194</v>
      </c>
      <c r="AJ1085">
        <v>84.329527748735003</v>
      </c>
      <c r="AK1085">
        <v>159.783214108305</v>
      </c>
      <c r="AL1085">
        <v>85.876733386831503</v>
      </c>
      <c r="AM1085">
        <v>88.316164952257196</v>
      </c>
      <c r="AN1085">
        <v>1.0000000252030301</v>
      </c>
    </row>
    <row r="1086" spans="1:40" x14ac:dyDescent="0.25">
      <c r="A1086" t="str">
        <f>"20190312150652752"</f>
        <v>20190312150652752</v>
      </c>
      <c r="B1086" t="str">
        <f>"1552374412741504"</f>
        <v>1552374412741504</v>
      </c>
      <c r="C1086" t="s">
        <v>40</v>
      </c>
      <c r="D1086">
        <v>4.1028469999999997</v>
      </c>
      <c r="E1086">
        <v>0.5256459</v>
      </c>
      <c r="F1086" t="s">
        <v>47</v>
      </c>
      <c r="G1086">
        <v>-158.78319999999999</v>
      </c>
      <c r="H1086">
        <v>5.0650269999999997</v>
      </c>
      <c r="I1086">
        <v>351.14449999999999</v>
      </c>
      <c r="J1086">
        <v>-317.68110000000001</v>
      </c>
      <c r="K1086">
        <v>1.0920299999999901</v>
      </c>
      <c r="L1086">
        <v>367.30410000000001</v>
      </c>
      <c r="M1086">
        <v>0.99964019999999998</v>
      </c>
      <c r="N1086">
        <v>0</v>
      </c>
      <c r="O1086">
        <v>-3.7034569999999998E-3</v>
      </c>
      <c r="P1086">
        <v>0.99840689999999999</v>
      </c>
      <c r="Q1086">
        <v>4.5474979999999998E-2</v>
      </c>
      <c r="R1086">
        <v>-3.3398459999999998E-2</v>
      </c>
      <c r="S1086">
        <v>2.991333</v>
      </c>
      <c r="T1086">
        <v>7.4726819999999999E-2</v>
      </c>
      <c r="U1086">
        <v>-0.30401610000000001</v>
      </c>
      <c r="V1086">
        <v>2.9702340000000001E-2</v>
      </c>
      <c r="W1086">
        <v>7.1988090000000005E-2</v>
      </c>
      <c r="X1086">
        <v>0.99696309999999999</v>
      </c>
      <c r="Y1086">
        <v>9.7396070000000001E-2</v>
      </c>
      <c r="Z1086">
        <v>1.120925E-3</v>
      </c>
      <c r="AA1086">
        <v>0.99524509999999999</v>
      </c>
      <c r="AB1086">
        <v>23</v>
      </c>
      <c r="AC1086">
        <v>158.89789999999999</v>
      </c>
      <c r="AD1086">
        <v>3.9729969999999999</v>
      </c>
      <c r="AE1086">
        <v>-16.159600000000001</v>
      </c>
      <c r="AF1086">
        <v>15.5611809509265</v>
      </c>
      <c r="AG1086">
        <v>3.9729969999999999</v>
      </c>
      <c r="AH1086">
        <v>158.85837973164399</v>
      </c>
      <c r="AI1086">
        <v>88.574171184255306</v>
      </c>
      <c r="AJ1086">
        <v>84.405365532185598</v>
      </c>
      <c r="AK1086">
        <v>159.668155462236</v>
      </c>
      <c r="AL1086">
        <v>85.871815316327698</v>
      </c>
      <c r="AM1086">
        <v>88.293502063001398</v>
      </c>
      <c r="AN1086">
        <v>0.99999996843246597</v>
      </c>
    </row>
    <row r="1087" spans="1:40" x14ac:dyDescent="0.25">
      <c r="A1087" t="str">
        <f>"20190312150652763"</f>
        <v>20190312150652763</v>
      </c>
      <c r="B1087" t="str">
        <f>"1552374412751262"</f>
        <v>1552374412751262</v>
      </c>
      <c r="C1087" t="s">
        <v>40</v>
      </c>
      <c r="D1087">
        <v>4.1337409999999997</v>
      </c>
      <c r="E1087">
        <v>0.52538980000000002</v>
      </c>
      <c r="F1087" t="s">
        <v>47</v>
      </c>
      <c r="G1087">
        <v>-158.78319999999999</v>
      </c>
      <c r="H1087">
        <v>4.7215309999999997</v>
      </c>
      <c r="I1087">
        <v>351.06470000000002</v>
      </c>
      <c r="J1087">
        <v>-317.5693</v>
      </c>
      <c r="K1087">
        <v>1.090984</v>
      </c>
      <c r="L1087">
        <v>367.30369999999999</v>
      </c>
      <c r="M1087">
        <v>0.99964109999999995</v>
      </c>
      <c r="N1087">
        <v>0</v>
      </c>
      <c r="O1087">
        <v>-3.7033560000000001E-3</v>
      </c>
      <c r="P1087">
        <v>0.99840309999999999</v>
      </c>
      <c r="Q1087">
        <v>4.5341760000000002E-2</v>
      </c>
      <c r="R1087">
        <v>-3.3698850000000002E-2</v>
      </c>
      <c r="S1087">
        <v>2.991425</v>
      </c>
      <c r="T1087">
        <v>6.8330879999999997E-2</v>
      </c>
      <c r="U1087">
        <v>-0.30572510000000003</v>
      </c>
      <c r="V1087">
        <v>3.0002939999999999E-2</v>
      </c>
      <c r="W1087">
        <v>7.1820190000000006E-2</v>
      </c>
      <c r="X1087">
        <v>0.99696620000000002</v>
      </c>
      <c r="Y1087">
        <v>9.7960420000000006E-2</v>
      </c>
      <c r="Z1087">
        <v>1.0313799999999999E-3</v>
      </c>
      <c r="AA1087">
        <v>0.99518980000000001</v>
      </c>
      <c r="AB1087">
        <v>23</v>
      </c>
      <c r="AC1087">
        <v>158.7861</v>
      </c>
      <c r="AD1087">
        <v>3.630547</v>
      </c>
      <c r="AE1087">
        <v>-16.238999999999901</v>
      </c>
      <c r="AF1087">
        <v>15.642547050786501</v>
      </c>
      <c r="AG1087">
        <v>3.630547</v>
      </c>
      <c r="AH1087">
        <v>158.76303126658999</v>
      </c>
      <c r="AI1087">
        <v>88.696315438142406</v>
      </c>
      <c r="AJ1087">
        <v>84.372943654205301</v>
      </c>
      <c r="AK1087">
        <v>159.57308747627701</v>
      </c>
      <c r="AL1087">
        <v>85.881460208761297</v>
      </c>
      <c r="AM1087">
        <v>88.276247320003193</v>
      </c>
      <c r="AN1087">
        <v>0.99999996002135905</v>
      </c>
    </row>
    <row r="1088" spans="1:40" x14ac:dyDescent="0.25">
      <c r="A1088" t="str">
        <f>"20190312150652775"</f>
        <v>20190312150652775</v>
      </c>
      <c r="B1088" t="str">
        <f>"1552374412771758"</f>
        <v>1552374412771758</v>
      </c>
      <c r="C1088" t="s">
        <v>40</v>
      </c>
      <c r="D1088">
        <v>4.1738999999999997</v>
      </c>
      <c r="E1088">
        <v>0.52476109999999998</v>
      </c>
      <c r="F1088" t="s">
        <v>47</v>
      </c>
      <c r="G1088">
        <v>-158.78319999999999</v>
      </c>
      <c r="H1088">
        <v>4.4171820000000004</v>
      </c>
      <c r="I1088">
        <v>351.12240000000003</v>
      </c>
      <c r="J1088">
        <v>-317.45389999999998</v>
      </c>
      <c r="K1088">
        <v>1.089834</v>
      </c>
      <c r="L1088">
        <v>367.30329999999998</v>
      </c>
      <c r="M1088">
        <v>0.99964549999999996</v>
      </c>
      <c r="N1088">
        <v>0</v>
      </c>
      <c r="O1088">
        <v>-3.7039299999999998E-3</v>
      </c>
      <c r="P1088">
        <v>0.9984075</v>
      </c>
      <c r="Q1088">
        <v>4.5110879999999999E-2</v>
      </c>
      <c r="R1088">
        <v>-3.3881699999999897E-2</v>
      </c>
      <c r="S1088">
        <v>2.9916689999999999</v>
      </c>
      <c r="T1088">
        <v>6.2670110000000001E-2</v>
      </c>
      <c r="U1088">
        <v>-0.30487059999999999</v>
      </c>
      <c r="V1088">
        <v>3.0185030000000002E-2</v>
      </c>
      <c r="W1088">
        <v>7.1425920000000004E-2</v>
      </c>
      <c r="X1088">
        <v>0.99698909999999996</v>
      </c>
      <c r="Y1088">
        <v>9.7674269999999994E-2</v>
      </c>
      <c r="Z1088">
        <v>9.4289229999999996E-4</v>
      </c>
      <c r="AA1088">
        <v>0.99521800000000005</v>
      </c>
      <c r="AB1088">
        <v>23</v>
      </c>
      <c r="AC1088">
        <v>158.67069999999899</v>
      </c>
      <c r="AD1088">
        <v>3.3273480000000002</v>
      </c>
      <c r="AE1088">
        <v>-16.180899999999902</v>
      </c>
      <c r="AF1088">
        <v>15.586095986632399</v>
      </c>
      <c r="AG1088">
        <v>3.3273480000000002</v>
      </c>
      <c r="AH1088">
        <v>158.660512203574</v>
      </c>
      <c r="AI1088">
        <v>88.804351600390902</v>
      </c>
      <c r="AJ1088">
        <v>84.389521236116806</v>
      </c>
      <c r="AK1088">
        <v>159.45894695976801</v>
      </c>
      <c r="AL1088">
        <v>85.904108677006505</v>
      </c>
      <c r="AM1088">
        <v>88.265831919049305</v>
      </c>
      <c r="AN1088">
        <v>1.00000003180137</v>
      </c>
    </row>
    <row r="1089" spans="1:40" x14ac:dyDescent="0.25">
      <c r="A1089" t="str">
        <f>"20190312150652787"</f>
        <v>20190312150652787</v>
      </c>
      <c r="B1089" t="str">
        <f>"1552374412781519"</f>
        <v>1552374412781519</v>
      </c>
      <c r="C1089" t="s">
        <v>40</v>
      </c>
      <c r="D1089">
        <v>4.2250069999999997</v>
      </c>
      <c r="E1089">
        <v>0.52453130000000003</v>
      </c>
      <c r="F1089" t="s">
        <v>47</v>
      </c>
      <c r="G1089">
        <v>-158.78319999999999</v>
      </c>
      <c r="H1089">
        <v>3.8795480000000002</v>
      </c>
      <c r="I1089">
        <v>351.37450000000001</v>
      </c>
      <c r="J1089">
        <v>-317.33760000000001</v>
      </c>
      <c r="K1089">
        <v>1.088657</v>
      </c>
      <c r="L1089">
        <v>367.30290000000002</v>
      </c>
      <c r="M1089">
        <v>0.99965040000000005</v>
      </c>
      <c r="N1089">
        <v>0</v>
      </c>
      <c r="O1089">
        <v>-3.7040760000000002E-3</v>
      </c>
      <c r="P1089">
        <v>0.99842399999999998</v>
      </c>
      <c r="Q1089">
        <v>4.4742400000000002E-2</v>
      </c>
      <c r="R1089">
        <v>-3.388008E-2</v>
      </c>
      <c r="S1089">
        <v>2.9922179999999998</v>
      </c>
      <c r="T1089">
        <v>5.2610160000000003E-2</v>
      </c>
      <c r="U1089">
        <v>-0.3003845</v>
      </c>
      <c r="V1089">
        <v>3.0183249999999998E-2</v>
      </c>
      <c r="W1089">
        <v>7.0869420000000002E-2</v>
      </c>
      <c r="X1089">
        <v>0.99702880000000005</v>
      </c>
      <c r="Y1089">
        <v>9.6184870000000006E-2</v>
      </c>
      <c r="Z1089">
        <v>7.7841539999999902E-4</v>
      </c>
      <c r="AA1089">
        <v>0.9953632</v>
      </c>
      <c r="AB1089">
        <v>23</v>
      </c>
      <c r="AC1089">
        <v>158.55439999999999</v>
      </c>
      <c r="AD1089">
        <v>2.7908909999999998</v>
      </c>
      <c r="AE1089">
        <v>-15.9284</v>
      </c>
      <c r="AF1089">
        <v>15.336087582137999</v>
      </c>
      <c r="AG1089">
        <v>2.7908909999999998</v>
      </c>
      <c r="AH1089">
        <v>158.563694215092</v>
      </c>
      <c r="AI1089">
        <v>88.996319563361993</v>
      </c>
      <c r="AJ1089">
        <v>84.475605181012298</v>
      </c>
      <c r="AK1089">
        <v>159.32805709616301</v>
      </c>
      <c r="AL1089">
        <v>85.936074517147205</v>
      </c>
      <c r="AM1089">
        <v>88.266003125274395</v>
      </c>
      <c r="AN1089">
        <v>0.99999996565056803</v>
      </c>
    </row>
    <row r="1090" spans="1:40" x14ac:dyDescent="0.25">
      <c r="A1090" t="str">
        <f>"20190312150652798"</f>
        <v>20190312150652798</v>
      </c>
      <c r="B1090" t="str">
        <f>"1552374412791279"</f>
        <v>1552374412791279</v>
      </c>
      <c r="C1090" t="s">
        <v>40</v>
      </c>
      <c r="D1090">
        <v>4.1421150000000004</v>
      </c>
      <c r="E1090">
        <v>0.52440880000000001</v>
      </c>
      <c r="F1090" t="s">
        <v>47</v>
      </c>
      <c r="G1090">
        <v>-158.78319999999999</v>
      </c>
      <c r="H1090">
        <v>3.8537919999999999</v>
      </c>
      <c r="I1090">
        <v>351.48660000000001</v>
      </c>
      <c r="J1090">
        <v>-317.22000000000003</v>
      </c>
      <c r="K1090">
        <v>1.087415</v>
      </c>
      <c r="L1090">
        <v>367.30239999999998</v>
      </c>
      <c r="M1090">
        <v>0.99965689999999996</v>
      </c>
      <c r="N1090">
        <v>0</v>
      </c>
      <c r="O1090">
        <v>-3.7035779999999999E-3</v>
      </c>
      <c r="P1090">
        <v>0.99842489999999995</v>
      </c>
      <c r="Q1090">
        <v>4.461619E-2</v>
      </c>
      <c r="R1090">
        <v>-3.4016749999999998E-2</v>
      </c>
      <c r="S1090">
        <v>2.9923099999999998</v>
      </c>
      <c r="T1090">
        <v>5.2186490000000002E-2</v>
      </c>
      <c r="U1090">
        <v>-0.29849239999999999</v>
      </c>
      <c r="V1090">
        <v>3.032052E-2</v>
      </c>
      <c r="W1090">
        <v>7.0494150000000005E-2</v>
      </c>
      <c r="X1090">
        <v>0.99705129999999997</v>
      </c>
      <c r="Y1090">
        <v>9.5559519999999995E-2</v>
      </c>
      <c r="Z1090">
        <v>7.6671819999999996E-4</v>
      </c>
      <c r="AA1090">
        <v>0.99542339999999996</v>
      </c>
      <c r="AB1090">
        <v>23</v>
      </c>
      <c r="AC1090">
        <v>158.43680000000001</v>
      </c>
      <c r="AD1090">
        <v>2.7663769999999999</v>
      </c>
      <c r="AE1090">
        <v>-15.8157999999999</v>
      </c>
      <c r="AF1090">
        <v>15.2241155065451</v>
      </c>
      <c r="AG1090">
        <v>2.7663769999999999</v>
      </c>
      <c r="AH1090">
        <v>158.446478897335</v>
      </c>
      <c r="AI1090">
        <v>89.004337466086497</v>
      </c>
      <c r="AJ1090">
        <v>84.511660753117695</v>
      </c>
      <c r="AK1090">
        <v>159.20022992956501</v>
      </c>
      <c r="AL1090">
        <v>85.957630065140606</v>
      </c>
      <c r="AM1090">
        <v>88.258161235197505</v>
      </c>
      <c r="AN1090">
        <v>1.00000002697449</v>
      </c>
    </row>
    <row r="1091" spans="1:40" x14ac:dyDescent="0.25">
      <c r="A1091" t="str">
        <f>"20190312150652808"</f>
        <v>20190312150652808</v>
      </c>
      <c r="B1091" t="str">
        <f>"1552374412802015"</f>
        <v>1552374412802015</v>
      </c>
      <c r="C1091" t="s">
        <v>40</v>
      </c>
      <c r="D1091">
        <v>4.1367229999999999</v>
      </c>
      <c r="E1091">
        <v>0.52417360000000002</v>
      </c>
      <c r="F1091" t="s">
        <v>47</v>
      </c>
      <c r="G1091">
        <v>-158.78319999999999</v>
      </c>
      <c r="H1091">
        <v>3.852611</v>
      </c>
      <c r="I1091">
        <v>351.52330000000001</v>
      </c>
      <c r="J1091">
        <v>-317.11559999999997</v>
      </c>
      <c r="K1091">
        <v>1.0863020000000001</v>
      </c>
      <c r="L1091">
        <v>367.3021</v>
      </c>
      <c r="M1091">
        <v>0.99966299999999997</v>
      </c>
      <c r="N1091">
        <v>0</v>
      </c>
      <c r="O1091">
        <v>-3.702716E-3</v>
      </c>
      <c r="P1091">
        <v>0.99844180000000005</v>
      </c>
      <c r="Q1091">
        <v>4.4190140000000003E-2</v>
      </c>
      <c r="R1091">
        <v>-3.4082370000000001E-2</v>
      </c>
      <c r="S1091">
        <v>2.9922179999999998</v>
      </c>
      <c r="T1091">
        <v>5.2224760000000002E-2</v>
      </c>
      <c r="U1091">
        <v>-0.2980042</v>
      </c>
      <c r="V1091">
        <v>3.038691E-2</v>
      </c>
      <c r="W1091">
        <v>6.9834380000000001E-2</v>
      </c>
      <c r="X1091">
        <v>0.99709570000000003</v>
      </c>
      <c r="Y1091">
        <v>9.5402580000000001E-2</v>
      </c>
      <c r="Z1091">
        <v>7.6595929999999997E-4</v>
      </c>
      <c r="AA1091">
        <v>0.9954385</v>
      </c>
      <c r="AB1091">
        <v>23</v>
      </c>
      <c r="AC1091">
        <v>158.33239999999901</v>
      </c>
      <c r="AD1091">
        <v>2.7663090000000001</v>
      </c>
      <c r="AE1091">
        <v>-15.778799999999899</v>
      </c>
      <c r="AF1091">
        <v>15.1876477346876</v>
      </c>
      <c r="AG1091">
        <v>2.7663090000000001</v>
      </c>
      <c r="AH1091">
        <v>158.341898373916</v>
      </c>
      <c r="AI1091">
        <v>89.003688666552705</v>
      </c>
      <c r="AJ1091">
        <v>84.521133236299804</v>
      </c>
      <c r="AK1091">
        <v>159.09265818966</v>
      </c>
      <c r="AL1091">
        <v>85.9955254682136</v>
      </c>
      <c r="AM1091">
        <v>88.254427335903301</v>
      </c>
      <c r="AN1091">
        <v>1.0000000199439101</v>
      </c>
    </row>
    <row r="1092" spans="1:40" x14ac:dyDescent="0.25">
      <c r="A1092" t="str">
        <f>"20190312150652819"</f>
        <v>20190312150652819</v>
      </c>
      <c r="B1092" t="str">
        <f>"1552374412811775"</f>
        <v>1552374412811775</v>
      </c>
      <c r="C1092" t="s">
        <v>40</v>
      </c>
      <c r="D1092">
        <v>4.1237320000000004</v>
      </c>
      <c r="E1092">
        <v>0.52412829999999999</v>
      </c>
      <c r="F1092" t="s">
        <v>47</v>
      </c>
      <c r="G1092">
        <v>-158.78319999999999</v>
      </c>
      <c r="H1092">
        <v>3.6200929999999998</v>
      </c>
      <c r="I1092">
        <v>351.63630000000001</v>
      </c>
      <c r="J1092">
        <v>-317.0018</v>
      </c>
      <c r="K1092">
        <v>1.0850679999999999</v>
      </c>
      <c r="L1092">
        <v>367.30160000000001</v>
      </c>
      <c r="M1092">
        <v>0.99966999999999995</v>
      </c>
      <c r="N1092">
        <v>0</v>
      </c>
      <c r="O1092">
        <v>-3.70186E-3</v>
      </c>
      <c r="P1092">
        <v>0.99845850000000003</v>
      </c>
      <c r="Q1092">
        <v>4.3919840000000002E-2</v>
      </c>
      <c r="R1092">
        <v>-3.3937839999999997E-2</v>
      </c>
      <c r="S1092">
        <v>2.9924620000000002</v>
      </c>
      <c r="T1092">
        <v>4.7889950000000001E-2</v>
      </c>
      <c r="U1092">
        <v>-0.2960815</v>
      </c>
      <c r="V1092">
        <v>3.0243490000000001E-2</v>
      </c>
      <c r="W1092">
        <v>6.9291640000000002E-2</v>
      </c>
      <c r="X1092">
        <v>0.99713790000000002</v>
      </c>
      <c r="Y1092">
        <v>9.4764399999999901E-2</v>
      </c>
      <c r="Z1092">
        <v>6.9727649999999999E-4</v>
      </c>
      <c r="AA1092">
        <v>0.99549949999999998</v>
      </c>
      <c r="AB1092">
        <v>22</v>
      </c>
      <c r="AC1092">
        <v>158.21860000000001</v>
      </c>
      <c r="AD1092">
        <v>2.5350250000000001</v>
      </c>
      <c r="AE1092">
        <v>-15.6653</v>
      </c>
      <c r="AF1092">
        <v>15.0754676460999</v>
      </c>
      <c r="AG1092">
        <v>2.5350250000000001</v>
      </c>
      <c r="AH1092">
        <v>158.23529783614899</v>
      </c>
      <c r="AI1092">
        <v>89.086302212715793</v>
      </c>
      <c r="AJ1092">
        <v>84.557716157331797</v>
      </c>
      <c r="AK1092">
        <v>158.972027595404</v>
      </c>
      <c r="AL1092">
        <v>86.026697596273195</v>
      </c>
      <c r="AM1092">
        <v>88.262734501874306</v>
      </c>
      <c r="AN1092">
        <v>0.99999999583883903</v>
      </c>
    </row>
    <row r="1093" spans="1:40" x14ac:dyDescent="0.25">
      <c r="A1093" t="str">
        <f>"20190312150652831"</f>
        <v>20190312150652831</v>
      </c>
      <c r="B1093" t="str">
        <f>"1552374412821548"</f>
        <v>1552374412821548</v>
      </c>
      <c r="C1093" t="s">
        <v>40</v>
      </c>
      <c r="D1093">
        <v>4.1066669999999998</v>
      </c>
      <c r="E1093">
        <v>0.52400179999999996</v>
      </c>
      <c r="F1093" t="s">
        <v>47</v>
      </c>
      <c r="G1093">
        <v>-158.78319999999999</v>
      </c>
      <c r="H1093">
        <v>3.4836719999999999</v>
      </c>
      <c r="I1093">
        <v>351.6687</v>
      </c>
      <c r="J1093">
        <v>-316.89190000000002</v>
      </c>
      <c r="K1093">
        <v>1.083874</v>
      </c>
      <c r="L1093">
        <v>367.30119999999999</v>
      </c>
      <c r="M1093">
        <v>0.99967720000000004</v>
      </c>
      <c r="N1093">
        <v>0</v>
      </c>
      <c r="O1093">
        <v>-3.7008100000000001E-3</v>
      </c>
      <c r="P1093">
        <v>0.99847629999999998</v>
      </c>
      <c r="Q1093">
        <v>4.3649340000000002E-2</v>
      </c>
      <c r="R1093">
        <v>-3.375997E-2</v>
      </c>
      <c r="S1093">
        <v>2.9925839999999999</v>
      </c>
      <c r="T1093">
        <v>4.5369390000000002E-2</v>
      </c>
      <c r="U1093">
        <v>-0.29568480000000003</v>
      </c>
      <c r="V1093">
        <v>3.006644E-2</v>
      </c>
      <c r="W1093">
        <v>6.873079E-2</v>
      </c>
      <c r="X1093">
        <v>0.99718209999999996</v>
      </c>
      <c r="Y1093">
        <v>9.4631999999999994E-2</v>
      </c>
      <c r="Z1093">
        <v>6.5957399999999904E-4</v>
      </c>
      <c r="AA1093">
        <v>0.99551210000000001</v>
      </c>
      <c r="AB1093">
        <v>22</v>
      </c>
      <c r="AC1093">
        <v>158.1087</v>
      </c>
      <c r="AD1093">
        <v>2.3997980000000001</v>
      </c>
      <c r="AE1093">
        <v>-15.632499999999901</v>
      </c>
      <c r="AF1093">
        <v>15.0436455441068</v>
      </c>
      <c r="AG1093">
        <v>2.3997980000000001</v>
      </c>
      <c r="AH1093">
        <v>158.12941118053601</v>
      </c>
      <c r="AI1093">
        <v>89.134444065933295</v>
      </c>
      <c r="AJ1093">
        <v>84.5655204115873</v>
      </c>
      <c r="AK1093">
        <v>158.861515106713</v>
      </c>
      <c r="AL1093">
        <v>86.0589088506227</v>
      </c>
      <c r="AM1093">
        <v>88.272975048438695</v>
      </c>
      <c r="AN1093">
        <v>1.00000002643435</v>
      </c>
    </row>
    <row r="1094" spans="1:40" x14ac:dyDescent="0.25">
      <c r="A1094" t="str">
        <f>"20190312150652842"</f>
        <v>20190312150652842</v>
      </c>
      <c r="B1094" t="str">
        <f>"1552374412831296"</f>
        <v>1552374412831296</v>
      </c>
      <c r="C1094" t="s">
        <v>40</v>
      </c>
      <c r="D1094">
        <v>4.1941879999999996</v>
      </c>
      <c r="E1094">
        <v>0.52383100000000005</v>
      </c>
      <c r="F1094" t="s">
        <v>47</v>
      </c>
      <c r="G1094">
        <v>-158.78319999999999</v>
      </c>
      <c r="H1094">
        <v>3.3522280000000002</v>
      </c>
      <c r="I1094">
        <v>351.77699999999999</v>
      </c>
      <c r="J1094">
        <v>-316.77960000000002</v>
      </c>
      <c r="K1094">
        <v>1.0826439999999999</v>
      </c>
      <c r="L1094">
        <v>367.30079999999998</v>
      </c>
      <c r="M1094">
        <v>0.9996853</v>
      </c>
      <c r="N1094">
        <v>0</v>
      </c>
      <c r="O1094">
        <v>-3.7003359999999998E-3</v>
      </c>
      <c r="P1094">
        <v>0.9984788</v>
      </c>
      <c r="Q1094">
        <v>4.3599220000000001E-2</v>
      </c>
      <c r="R1094">
        <v>-3.3756179999999997E-2</v>
      </c>
      <c r="S1094">
        <v>2.9927980000000001</v>
      </c>
      <c r="T1094">
        <v>4.2938709999999998E-2</v>
      </c>
      <c r="U1094">
        <v>-0.2938538</v>
      </c>
      <c r="V1094">
        <v>3.0063179999999998E-2</v>
      </c>
      <c r="W1094">
        <v>6.8365899999999993E-2</v>
      </c>
      <c r="X1094">
        <v>0.99720730000000002</v>
      </c>
      <c r="Y1094">
        <v>9.4023430000000005E-2</v>
      </c>
      <c r="Z1094">
        <v>6.1986739999999999E-4</v>
      </c>
      <c r="AA1094">
        <v>0.99556979999999995</v>
      </c>
      <c r="AB1094">
        <v>22</v>
      </c>
      <c r="AC1094">
        <v>157.99639999999999</v>
      </c>
      <c r="AD1094">
        <v>2.269584</v>
      </c>
      <c r="AE1094">
        <v>-15.5237999999999</v>
      </c>
      <c r="AF1094">
        <v>14.935821356543901</v>
      </c>
      <c r="AG1094">
        <v>2.269584</v>
      </c>
      <c r="AH1094">
        <v>158.02048333705699</v>
      </c>
      <c r="AI1094">
        <v>89.180791221493706</v>
      </c>
      <c r="AJ1094">
        <v>84.600543450296399</v>
      </c>
      <c r="AK1094">
        <v>158.74099320970899</v>
      </c>
      <c r="AL1094">
        <v>86.079864873224807</v>
      </c>
      <c r="AM1094">
        <v>88.273205802153797</v>
      </c>
      <c r="AN1094">
        <v>1.0000000451238999</v>
      </c>
    </row>
    <row r="1095" spans="1:40" x14ac:dyDescent="0.25">
      <c r="A1095" t="str">
        <f>"20190312150652855"</f>
        <v>20190312150652855</v>
      </c>
      <c r="B1095" t="str">
        <f>"1552374412851791"</f>
        <v>1552374412851791</v>
      </c>
      <c r="C1095" t="s">
        <v>40</v>
      </c>
      <c r="D1095">
        <v>4.0904339999999904</v>
      </c>
      <c r="E1095">
        <v>0.5236729</v>
      </c>
      <c r="F1095" t="s">
        <v>47</v>
      </c>
      <c r="G1095">
        <v>-158.78319999999999</v>
      </c>
      <c r="H1095">
        <v>3.2772039999999998</v>
      </c>
      <c r="I1095">
        <v>351.85419999999999</v>
      </c>
      <c r="J1095">
        <v>-316.65159999999997</v>
      </c>
      <c r="K1095">
        <v>1.081256</v>
      </c>
      <c r="L1095">
        <v>367.30040000000002</v>
      </c>
      <c r="M1095">
        <v>0.99969549999999996</v>
      </c>
      <c r="N1095">
        <v>0</v>
      </c>
      <c r="O1095">
        <v>-3.7002110000000001E-3</v>
      </c>
      <c r="P1095">
        <v>0.99848250000000005</v>
      </c>
      <c r="Q1095">
        <v>4.355382E-2</v>
      </c>
      <c r="R1095">
        <v>-3.3707880000000003E-2</v>
      </c>
      <c r="S1095">
        <v>2.9928889999999999</v>
      </c>
      <c r="T1095">
        <v>4.1572690000000002E-2</v>
      </c>
      <c r="U1095">
        <v>-0.29260249999999999</v>
      </c>
      <c r="V1095">
        <v>3.0014800000000001E-2</v>
      </c>
      <c r="W1095">
        <v>6.7903999999999895E-2</v>
      </c>
      <c r="X1095">
        <v>0.99724020000000002</v>
      </c>
      <c r="Y1095">
        <v>9.3608999999999998E-2</v>
      </c>
      <c r="Z1095">
        <v>5.9727420000000003E-4</v>
      </c>
      <c r="AA1095">
        <v>0.99560890000000002</v>
      </c>
      <c r="AB1095">
        <v>22</v>
      </c>
      <c r="AC1095">
        <v>157.86839999999901</v>
      </c>
      <c r="AD1095">
        <v>2.195948</v>
      </c>
      <c r="AE1095">
        <v>-15.446199999999999</v>
      </c>
      <c r="AF1095">
        <v>14.8589261212332</v>
      </c>
      <c r="AG1095">
        <v>2.195948</v>
      </c>
      <c r="AH1095">
        <v>157.89422891334499</v>
      </c>
      <c r="AI1095">
        <v>89.206702540983599</v>
      </c>
      <c r="AJ1095">
        <v>84.623908628162397</v>
      </c>
      <c r="AK1095">
        <v>158.607053428386</v>
      </c>
      <c r="AL1095">
        <v>86.106390984558502</v>
      </c>
      <c r="AM1095">
        <v>88.276039857682704</v>
      </c>
      <c r="AN1095">
        <v>0.99999992896553702</v>
      </c>
    </row>
    <row r="1096" spans="1:40" x14ac:dyDescent="0.25">
      <c r="A1096" t="str">
        <f>"20190312150652868"</f>
        <v>20190312150652868</v>
      </c>
      <c r="B1096" t="str">
        <f>"1552374412861551"</f>
        <v>1552374412861551</v>
      </c>
      <c r="C1096" t="s">
        <v>40</v>
      </c>
      <c r="D1096">
        <v>4.0969519999999999</v>
      </c>
      <c r="E1096">
        <v>0.52362569999999997</v>
      </c>
      <c r="F1096" t="s">
        <v>47</v>
      </c>
      <c r="G1096">
        <v>-158.78319999999999</v>
      </c>
      <c r="H1096">
        <v>3.1195870000000001</v>
      </c>
      <c r="I1096">
        <v>351.94119999999998</v>
      </c>
      <c r="J1096">
        <v>-316.53050000000002</v>
      </c>
      <c r="K1096">
        <v>1.079952</v>
      </c>
      <c r="L1096">
        <v>367.29989999999998</v>
      </c>
      <c r="M1096">
        <v>0.99970579999999998</v>
      </c>
      <c r="N1096">
        <v>0</v>
      </c>
      <c r="O1096">
        <v>-3.7005240000000002E-3</v>
      </c>
      <c r="P1096">
        <v>0.99848219999999999</v>
      </c>
      <c r="Q1096">
        <v>4.3601279999999999E-2</v>
      </c>
      <c r="R1096">
        <v>-3.3659370000000001E-2</v>
      </c>
      <c r="S1096">
        <v>2.9930729999999999</v>
      </c>
      <c r="T1096">
        <v>3.8646939999999998E-2</v>
      </c>
      <c r="U1096">
        <v>-0.29119869999999998</v>
      </c>
      <c r="V1096">
        <v>2.9966050000000001E-2</v>
      </c>
      <c r="W1096">
        <v>6.7534810000000001E-2</v>
      </c>
      <c r="X1096">
        <v>0.99726680000000001</v>
      </c>
      <c r="Y1096">
        <v>9.3141450000000001E-2</v>
      </c>
      <c r="Z1096">
        <v>5.5220750000000004E-4</v>
      </c>
      <c r="AA1096">
        <v>0.99565269999999995</v>
      </c>
      <c r="AB1096">
        <v>22</v>
      </c>
      <c r="AC1096">
        <v>157.7473</v>
      </c>
      <c r="AD1096">
        <v>2.0396349999999899</v>
      </c>
      <c r="AE1096">
        <v>-15.358700000000001</v>
      </c>
      <c r="AF1096">
        <v>14.7722329082721</v>
      </c>
      <c r="AG1096">
        <v>2.0396349999999899</v>
      </c>
      <c r="AH1096">
        <v>157.77694160559199</v>
      </c>
      <c r="AI1096">
        <v>89.262584367539006</v>
      </c>
      <c r="AJ1096">
        <v>84.651142587450295</v>
      </c>
      <c r="AK1096">
        <v>158.480100575574</v>
      </c>
      <c r="AL1096">
        <v>86.127592932115604</v>
      </c>
      <c r="AM1096">
        <v>88.278884106748393</v>
      </c>
      <c r="AN1096">
        <v>0.99999999254828897</v>
      </c>
    </row>
    <row r="1097" spans="1:40" x14ac:dyDescent="0.25">
      <c r="A1097" t="str">
        <f>"20190312150652880"</f>
        <v>20190312150652880</v>
      </c>
      <c r="B1097" t="str">
        <f>"1552374412871312"</f>
        <v>1552374412871312</v>
      </c>
      <c r="C1097" t="s">
        <v>40</v>
      </c>
      <c r="D1097">
        <v>4.083666</v>
      </c>
      <c r="E1097">
        <v>0.52358099999999996</v>
      </c>
      <c r="F1097" t="s">
        <v>47</v>
      </c>
      <c r="G1097">
        <v>-158.78319999999999</v>
      </c>
      <c r="H1097">
        <v>3.0967880000000001</v>
      </c>
      <c r="I1097">
        <v>351.97519999999997</v>
      </c>
      <c r="J1097">
        <v>-316.40519999999998</v>
      </c>
      <c r="K1097">
        <v>1.0786340000000001</v>
      </c>
      <c r="L1097">
        <v>367.29939999999999</v>
      </c>
      <c r="M1097">
        <v>0.99971670000000001</v>
      </c>
      <c r="N1097">
        <v>0</v>
      </c>
      <c r="O1097">
        <v>-3.7013749999999998E-3</v>
      </c>
      <c r="P1097">
        <v>0.99848000000000003</v>
      </c>
      <c r="Q1097">
        <v>4.3787310000000003E-2</v>
      </c>
      <c r="R1097">
        <v>-3.3470729999999997E-2</v>
      </c>
      <c r="S1097">
        <v>2.9931030000000001</v>
      </c>
      <c r="T1097">
        <v>3.8269160000000003E-2</v>
      </c>
      <c r="U1097">
        <v>-0.29077150000000002</v>
      </c>
      <c r="V1097">
        <v>2.977664E-2</v>
      </c>
      <c r="W1097">
        <v>6.7251259999999993E-2</v>
      </c>
      <c r="X1097">
        <v>0.99729159999999994</v>
      </c>
      <c r="Y1097">
        <v>9.2999029999999996E-2</v>
      </c>
      <c r="Z1097">
        <v>5.4588960000000002E-4</v>
      </c>
      <c r="AA1097">
        <v>0.99566600000000005</v>
      </c>
      <c r="AB1097">
        <v>22</v>
      </c>
      <c r="AC1097">
        <v>157.62200000000001</v>
      </c>
      <c r="AD1097">
        <v>2.018154</v>
      </c>
      <c r="AE1097">
        <v>-15.324199999999999</v>
      </c>
      <c r="AF1097">
        <v>14.7381220208638</v>
      </c>
      <c r="AG1097">
        <v>2.018154</v>
      </c>
      <c r="AH1097">
        <v>157.65205308440099</v>
      </c>
      <c r="AI1097">
        <v>89.269762247533507</v>
      </c>
      <c r="AJ1097">
        <v>84.659219276623702</v>
      </c>
      <c r="AK1097">
        <v>158.352312985938</v>
      </c>
      <c r="AL1097">
        <v>86.143876036414994</v>
      </c>
      <c r="AM1097">
        <v>88.289798992691502</v>
      </c>
      <c r="AN1097">
        <v>0.999999957845917</v>
      </c>
    </row>
    <row r="1098" spans="1:40" x14ac:dyDescent="0.25">
      <c r="A1098" t="str">
        <f>"20190312150652891"</f>
        <v>20190312150652891</v>
      </c>
      <c r="B1098" t="str">
        <f>"1552374412881071"</f>
        <v>1552374412881071</v>
      </c>
      <c r="C1098" t="s">
        <v>40</v>
      </c>
      <c r="D1098">
        <v>4.0642529999999999</v>
      </c>
      <c r="E1098">
        <v>0.52355119999999999</v>
      </c>
      <c r="F1098" t="s">
        <v>47</v>
      </c>
      <c r="G1098">
        <v>-158.78319999999999</v>
      </c>
      <c r="H1098">
        <v>3.108749</v>
      </c>
      <c r="I1098">
        <v>352.04349999999999</v>
      </c>
      <c r="J1098">
        <v>-316.28949999999998</v>
      </c>
      <c r="K1098">
        <v>1.0774549999999901</v>
      </c>
      <c r="L1098">
        <v>367.29899999999998</v>
      </c>
      <c r="M1098">
        <v>0.99972720000000004</v>
      </c>
      <c r="N1098">
        <v>0</v>
      </c>
      <c r="O1098">
        <v>-3.7021329999999998E-3</v>
      </c>
      <c r="P1098">
        <v>0.99848380000000003</v>
      </c>
      <c r="Q1098">
        <v>4.3888709999999997E-2</v>
      </c>
      <c r="R1098">
        <v>-3.3226430000000001E-2</v>
      </c>
      <c r="S1098">
        <v>2.9931640000000002</v>
      </c>
      <c r="T1098">
        <v>3.855252E-2</v>
      </c>
      <c r="U1098">
        <v>-0.2897034</v>
      </c>
      <c r="V1098">
        <v>2.953159E-2</v>
      </c>
      <c r="W1098">
        <v>6.6906809999999997E-2</v>
      </c>
      <c r="X1098">
        <v>0.99732209999999999</v>
      </c>
      <c r="Y1098">
        <v>9.2644290000000004E-2</v>
      </c>
      <c r="Z1098">
        <v>5.4764120000000004E-4</v>
      </c>
      <c r="AA1098">
        <v>0.99569909999999995</v>
      </c>
      <c r="AB1098">
        <v>22</v>
      </c>
      <c r="AC1098">
        <v>157.50629999999899</v>
      </c>
      <c r="AD1098">
        <v>2.0312939999999999</v>
      </c>
      <c r="AE1098">
        <v>-15.2555</v>
      </c>
      <c r="AF1098">
        <v>14.6697137924844</v>
      </c>
      <c r="AG1098">
        <v>2.0312939999999999</v>
      </c>
      <c r="AH1098">
        <v>157.53575481707699</v>
      </c>
      <c r="AI1098">
        <v>89.264440879879501</v>
      </c>
      <c r="AJ1098">
        <v>84.679964559317398</v>
      </c>
      <c r="AK1098">
        <v>158.23034065517899</v>
      </c>
      <c r="AL1098">
        <v>86.163656295731499</v>
      </c>
      <c r="AM1098">
        <v>88.303916857752796</v>
      </c>
      <c r="AN1098">
        <v>1.00000000359035</v>
      </c>
    </row>
    <row r="1099" spans="1:40" x14ac:dyDescent="0.25">
      <c r="A1099" t="str">
        <f>"20190312150652903"</f>
        <v>20190312150652903</v>
      </c>
      <c r="B1099" t="str">
        <f>"1552374412891807"</f>
        <v>1552374412891807</v>
      </c>
      <c r="C1099" t="s">
        <v>40</v>
      </c>
      <c r="D1099">
        <v>4.1310349999999998</v>
      </c>
      <c r="E1099">
        <v>0.52353739999999904</v>
      </c>
      <c r="F1099" t="s">
        <v>47</v>
      </c>
      <c r="G1099">
        <v>-158.78319999999999</v>
      </c>
      <c r="H1099">
        <v>3.1013850000000001</v>
      </c>
      <c r="I1099">
        <v>352.09789999999998</v>
      </c>
      <c r="J1099">
        <v>-316.17250000000001</v>
      </c>
      <c r="K1099">
        <v>1.07629</v>
      </c>
      <c r="L1099">
        <v>367.29860000000002</v>
      </c>
      <c r="M1099">
        <v>0.99973769999999995</v>
      </c>
      <c r="N1099">
        <v>0</v>
      </c>
      <c r="O1099">
        <v>-3.7027319999999998E-3</v>
      </c>
      <c r="P1099">
        <v>0.99849080000000001</v>
      </c>
      <c r="Q1099">
        <v>4.3938930000000001E-2</v>
      </c>
      <c r="R1099">
        <v>-3.295008E-2</v>
      </c>
      <c r="S1099">
        <v>2.9932249999999998</v>
      </c>
      <c r="T1099">
        <v>3.8464070000000003E-2</v>
      </c>
      <c r="U1099">
        <v>-0.28887940000000001</v>
      </c>
      <c r="V1099">
        <v>2.9254539999999999E-2</v>
      </c>
      <c r="W1099">
        <v>6.6498589999999996E-2</v>
      </c>
      <c r="X1099">
        <v>0.99735750000000001</v>
      </c>
      <c r="Y1099">
        <v>9.2370270000000004E-2</v>
      </c>
      <c r="Z1099">
        <v>5.4461720000000002E-4</v>
      </c>
      <c r="AA1099">
        <v>0.99572459999999996</v>
      </c>
      <c r="AB1099">
        <v>22</v>
      </c>
      <c r="AC1099">
        <v>157.38929999999999</v>
      </c>
      <c r="AD1099">
        <v>2.0250949999999999</v>
      </c>
      <c r="AE1099">
        <v>-15.200699999999999</v>
      </c>
      <c r="AF1099">
        <v>14.615279182715501</v>
      </c>
      <c r="AG1099">
        <v>2.0250949999999999</v>
      </c>
      <c r="AH1099">
        <v>157.418698531742</v>
      </c>
      <c r="AI1099">
        <v>89.266121437402404</v>
      </c>
      <c r="AJ1099">
        <v>84.695673962555603</v>
      </c>
      <c r="AK1099">
        <v>158.108677948983</v>
      </c>
      <c r="AL1099">
        <v>86.187097530141799</v>
      </c>
      <c r="AM1099">
        <v>88.319879064767207</v>
      </c>
      <c r="AN1099">
        <v>0.999999936694422</v>
      </c>
    </row>
    <row r="1100" spans="1:40" x14ac:dyDescent="0.25">
      <c r="A1100" t="str">
        <f>"20190312150652914"</f>
        <v>20190312150652914</v>
      </c>
      <c r="B1100" t="str">
        <f>"1552374412911328"</f>
        <v>1552374412911328</v>
      </c>
      <c r="C1100" t="s">
        <v>40</v>
      </c>
      <c r="D1100">
        <v>4.3075070000000002</v>
      </c>
      <c r="E1100">
        <v>0.52361689999999905</v>
      </c>
      <c r="F1100" t="s">
        <v>47</v>
      </c>
      <c r="G1100">
        <v>-158.78319999999999</v>
      </c>
      <c r="H1100">
        <v>3.0904790000000002</v>
      </c>
      <c r="I1100">
        <v>352.17520000000002</v>
      </c>
      <c r="J1100">
        <v>-316.06700000000001</v>
      </c>
      <c r="K1100">
        <v>1.075304</v>
      </c>
      <c r="L1100">
        <v>367.29820000000001</v>
      </c>
      <c r="M1100">
        <v>0.99974700000000005</v>
      </c>
      <c r="N1100">
        <v>0</v>
      </c>
      <c r="O1100">
        <v>-3.7029979999999999E-3</v>
      </c>
      <c r="P1100">
        <v>0.99848870000000001</v>
      </c>
      <c r="Q1100">
        <v>4.4068280000000001E-2</v>
      </c>
      <c r="R1100">
        <v>-3.2842639999999999E-2</v>
      </c>
      <c r="S1100">
        <v>2.993347</v>
      </c>
      <c r="T1100">
        <v>3.8308979999999999E-2</v>
      </c>
      <c r="U1100">
        <v>-0.2876282</v>
      </c>
      <c r="V1100">
        <v>2.914696E-2</v>
      </c>
      <c r="W1100">
        <v>6.6215499999999997E-2</v>
      </c>
      <c r="X1100">
        <v>0.99737949999999997</v>
      </c>
      <c r="Y1100">
        <v>9.1953839999999995E-2</v>
      </c>
      <c r="Z1100">
        <v>5.397488E-4</v>
      </c>
      <c r="AA1100">
        <v>0.99576310000000001</v>
      </c>
      <c r="AB1100">
        <v>22</v>
      </c>
      <c r="AC1100">
        <v>157.28380000000001</v>
      </c>
      <c r="AD1100">
        <v>2.0151750000000002</v>
      </c>
      <c r="AE1100">
        <v>-15.1229999999999</v>
      </c>
      <c r="AF1100">
        <v>14.537966635526599</v>
      </c>
      <c r="AG1100">
        <v>2.0151750000000002</v>
      </c>
      <c r="AH1100">
        <v>157.31314795056201</v>
      </c>
      <c r="AI1100">
        <v>89.269197239694194</v>
      </c>
      <c r="AJ1100">
        <v>84.720053970029099</v>
      </c>
      <c r="AK1100">
        <v>157.99632882536201</v>
      </c>
      <c r="AL1100">
        <v>86.203353281529999</v>
      </c>
      <c r="AM1100">
        <v>88.326090885302904</v>
      </c>
      <c r="AN1100">
        <v>0.99999995236886896</v>
      </c>
    </row>
    <row r="1101" spans="1:40" x14ac:dyDescent="0.25">
      <c r="A1101" t="str">
        <f>"20190312150652926"</f>
        <v>20190312150652926</v>
      </c>
      <c r="B1101" t="str">
        <f>"1552374412921088"</f>
        <v>1552374412921088</v>
      </c>
      <c r="C1101" t="s">
        <v>40</v>
      </c>
      <c r="D1101">
        <v>4.0884239999999998</v>
      </c>
      <c r="E1101">
        <v>0.5364778</v>
      </c>
      <c r="F1101" t="s">
        <v>47</v>
      </c>
      <c r="G1101">
        <v>-158.78319999999999</v>
      </c>
      <c r="H1101">
        <v>3.076406</v>
      </c>
      <c r="I1101">
        <v>352.15800000000002</v>
      </c>
      <c r="J1101">
        <v>-315.94779999999997</v>
      </c>
      <c r="K1101">
        <v>1.0742100000000001</v>
      </c>
      <c r="L1101">
        <v>367.29770000000002</v>
      </c>
      <c r="M1101">
        <v>0.99975720000000001</v>
      </c>
      <c r="N1101">
        <v>0</v>
      </c>
      <c r="O1101">
        <v>-3.70316E-3</v>
      </c>
      <c r="P1101">
        <v>0.99848689999999996</v>
      </c>
      <c r="Q1101">
        <v>4.4197430000000003E-2</v>
      </c>
      <c r="R1101">
        <v>-3.271918E-2</v>
      </c>
      <c r="S1101">
        <v>2.9934080000000001</v>
      </c>
      <c r="T1101">
        <v>3.8086410000000001E-2</v>
      </c>
      <c r="U1101">
        <v>-0.28814699999999999</v>
      </c>
      <c r="V1101">
        <v>2.9023440000000001E-2</v>
      </c>
      <c r="W1101">
        <v>6.5881969999999998E-2</v>
      </c>
      <c r="X1101">
        <v>0.99740519999999999</v>
      </c>
      <c r="Y1101">
        <v>9.2122850000000006E-2</v>
      </c>
      <c r="Z1101">
        <v>5.3766909999999998E-4</v>
      </c>
      <c r="AA1101">
        <v>0.99574750000000001</v>
      </c>
      <c r="AB1101">
        <v>22</v>
      </c>
      <c r="AC1101">
        <v>157.16459999999901</v>
      </c>
      <c r="AD1101">
        <v>2.0021960000000001</v>
      </c>
      <c r="AE1101">
        <v>-15.139699999999999</v>
      </c>
      <c r="AF1101">
        <v>14.5551126347774</v>
      </c>
      <c r="AG1101">
        <v>2.0021960000000001</v>
      </c>
      <c r="AH1101">
        <v>157.19432261136799</v>
      </c>
      <c r="AI1101">
        <v>89.273366682099606</v>
      </c>
      <c r="AJ1101">
        <v>84.709888884634097</v>
      </c>
      <c r="AK1101">
        <v>157.879432333285</v>
      </c>
      <c r="AL1101">
        <v>86.222505005682706</v>
      </c>
      <c r="AM1101">
        <v>88.3332235498019</v>
      </c>
      <c r="AN1101">
        <v>0.99999996351377596</v>
      </c>
    </row>
    <row r="1102" spans="1:40" x14ac:dyDescent="0.25">
      <c r="A1102" t="str">
        <f>"20190312150652937"</f>
        <v>20190312150652937</v>
      </c>
      <c r="B1102" t="str">
        <f>"1552374412931823"</f>
        <v>1552374412931823</v>
      </c>
      <c r="C1102" t="s">
        <v>40</v>
      </c>
      <c r="D1102">
        <v>4.1274649999999999</v>
      </c>
      <c r="E1102">
        <v>0.54258229999999996</v>
      </c>
      <c r="F1102" t="s">
        <v>41</v>
      </c>
      <c r="G1102">
        <v>-315.05500000000001</v>
      </c>
      <c r="H1102">
        <v>0.97319089999999997</v>
      </c>
      <c r="I1102">
        <v>367.17989999999998</v>
      </c>
      <c r="J1102">
        <v>-315.83089999999999</v>
      </c>
      <c r="K1102">
        <v>1.073215</v>
      </c>
      <c r="L1102">
        <v>367.29730000000001</v>
      </c>
      <c r="M1102">
        <v>0.99976659999999995</v>
      </c>
      <c r="N1102">
        <v>0</v>
      </c>
      <c r="O1102">
        <v>-3.7030589999999999E-3</v>
      </c>
      <c r="P1102">
        <v>0.9984809</v>
      </c>
      <c r="Q1102">
        <v>4.4485110000000001E-2</v>
      </c>
      <c r="R1102">
        <v>-3.2512949999999999E-2</v>
      </c>
      <c r="S1102">
        <v>3.006653</v>
      </c>
      <c r="T1102">
        <v>-0.34040169999999997</v>
      </c>
      <c r="U1102">
        <v>-0.395874</v>
      </c>
      <c r="V1102">
        <v>2.8817260000000001E-2</v>
      </c>
      <c r="W1102">
        <v>6.5727800000000003E-2</v>
      </c>
      <c r="X1102">
        <v>0.99742140000000001</v>
      </c>
      <c r="Y1102">
        <v>0.12609780000000001</v>
      </c>
      <c r="Z1102">
        <v>-6.6689360000000003E-3</v>
      </c>
      <c r="AA1102">
        <v>0.99199539999999997</v>
      </c>
      <c r="AB1102">
        <v>22</v>
      </c>
      <c r="AC1102">
        <v>0.77589999999997805</v>
      </c>
      <c r="AD1102">
        <v>-0.1000241</v>
      </c>
      <c r="AE1102">
        <v>-0.11740000000003099</v>
      </c>
      <c r="AF1102">
        <v>0.11269441956272799</v>
      </c>
      <c r="AG1102">
        <v>-0.1000241</v>
      </c>
      <c r="AH1102">
        <v>0.76391830832899299</v>
      </c>
      <c r="AI1102">
        <v>97.380636878508298</v>
      </c>
      <c r="AJ1102">
        <v>81.608164069679404</v>
      </c>
      <c r="AK1102">
        <v>0.77863729334114296</v>
      </c>
      <c r="AL1102">
        <v>86.231357673307897</v>
      </c>
      <c r="AM1102">
        <v>88.345084441372705</v>
      </c>
      <c r="AN1102">
        <v>1.0000000136723499</v>
      </c>
    </row>
    <row r="1103" spans="1:40" x14ac:dyDescent="0.25">
      <c r="A1103" t="str">
        <f>"20190312150652949"</f>
        <v>20190312150652949</v>
      </c>
      <c r="B1103" t="str">
        <f>"1552374412941583"</f>
        <v>1552374412941583</v>
      </c>
      <c r="C1103" t="s">
        <v>40</v>
      </c>
      <c r="D1103">
        <v>4.3167689999999999</v>
      </c>
      <c r="E1103">
        <v>0.54436079999999998</v>
      </c>
      <c r="F1103" t="s">
        <v>41</v>
      </c>
      <c r="G1103">
        <v>-315.06630000000001</v>
      </c>
      <c r="H1103">
        <v>0.95057139999999996</v>
      </c>
      <c r="I1103">
        <v>367.18380000000002</v>
      </c>
      <c r="J1103">
        <v>-315.71710000000002</v>
      </c>
      <c r="K1103">
        <v>1.072289</v>
      </c>
      <c r="L1103">
        <v>367.29689999999999</v>
      </c>
      <c r="M1103">
        <v>0.99977539999999998</v>
      </c>
      <c r="N1103">
        <v>0</v>
      </c>
      <c r="O1103">
        <v>-3.702805E-3</v>
      </c>
      <c r="P1103">
        <v>0.99847229999999998</v>
      </c>
      <c r="Q1103">
        <v>4.4871679999999997E-2</v>
      </c>
      <c r="R1103">
        <v>-3.2238889999999999E-2</v>
      </c>
      <c r="S1103">
        <v>3.0115660000000002</v>
      </c>
      <c r="T1103">
        <v>-0.48328019999999999</v>
      </c>
      <c r="U1103">
        <v>-0.44589230000000002</v>
      </c>
      <c r="V1103">
        <v>2.8543659999999998E-2</v>
      </c>
      <c r="W1103">
        <v>6.569498E-2</v>
      </c>
      <c r="X1103">
        <v>0.99743139999999997</v>
      </c>
      <c r="Y1103">
        <v>0.1410787</v>
      </c>
      <c r="Z1103">
        <v>-1.060062E-2</v>
      </c>
      <c r="AA1103">
        <v>0.98994159999999998</v>
      </c>
      <c r="AB1103">
        <v>22</v>
      </c>
      <c r="AC1103">
        <v>0.65080000000000304</v>
      </c>
      <c r="AD1103">
        <v>-0.1217176</v>
      </c>
      <c r="AE1103">
        <v>-0.113099999999974</v>
      </c>
      <c r="AF1103">
        <v>0.107054014513767</v>
      </c>
      <c r="AG1103">
        <v>-0.1217176</v>
      </c>
      <c r="AH1103">
        <v>0.62982926583250398</v>
      </c>
      <c r="AI1103">
        <v>100.786849087532</v>
      </c>
      <c r="AJ1103">
        <v>80.353454271235606</v>
      </c>
      <c r="AK1103">
        <v>0.65035424214222304</v>
      </c>
      <c r="AL1103">
        <v>86.233242083091895</v>
      </c>
      <c r="AM1103">
        <v>88.360804534651805</v>
      </c>
      <c r="AN1103">
        <v>0.99999998431467696</v>
      </c>
    </row>
    <row r="1104" spans="1:40" x14ac:dyDescent="0.25">
      <c r="A1104" t="str">
        <f>"20190312150652960"</f>
        <v>20190312150652960</v>
      </c>
      <c r="B1104" t="str">
        <f>"1552374412951343"</f>
        <v>1552374412951343</v>
      </c>
      <c r="C1104" t="s">
        <v>40</v>
      </c>
      <c r="D1104">
        <v>4.1117610000000004</v>
      </c>
      <c r="E1104">
        <v>0.54460200000000003</v>
      </c>
      <c r="F1104" t="s">
        <v>41</v>
      </c>
      <c r="G1104">
        <v>-314.88420000000002</v>
      </c>
      <c r="H1104">
        <v>0.91882810000000004</v>
      </c>
      <c r="I1104">
        <v>367.16950000000003</v>
      </c>
      <c r="J1104">
        <v>-315.6096</v>
      </c>
      <c r="K1104">
        <v>1.071464</v>
      </c>
      <c r="L1104">
        <v>367.29649999999998</v>
      </c>
      <c r="M1104">
        <v>0.99978359999999999</v>
      </c>
      <c r="N1104">
        <v>0</v>
      </c>
      <c r="O1104">
        <v>-3.7028619999999999E-3</v>
      </c>
      <c r="P1104">
        <v>0.99845930000000005</v>
      </c>
      <c r="Q1104">
        <v>4.5263480000000002E-2</v>
      </c>
      <c r="R1104">
        <v>-3.2103989999999999E-2</v>
      </c>
      <c r="S1104">
        <v>3.014618</v>
      </c>
      <c r="T1104">
        <v>-0.55553999999999903</v>
      </c>
      <c r="U1104">
        <v>-0.46066279999999998</v>
      </c>
      <c r="V1104">
        <v>2.8408470000000002E-2</v>
      </c>
      <c r="W1104">
        <v>6.5700209999999995E-2</v>
      </c>
      <c r="X1104">
        <v>0.99743490000000001</v>
      </c>
      <c r="Y1104">
        <v>0.1450679</v>
      </c>
      <c r="Z1104">
        <v>-1.2507539999999999E-2</v>
      </c>
      <c r="AA1104">
        <v>0.98934259999999996</v>
      </c>
      <c r="AB1104">
        <v>22</v>
      </c>
      <c r="AC1104">
        <v>0.72539999999997895</v>
      </c>
      <c r="AD1104">
        <v>-0.15263589999999999</v>
      </c>
      <c r="AE1104">
        <v>-0.12699999999995201</v>
      </c>
      <c r="AF1104">
        <v>0.119192222482571</v>
      </c>
      <c r="AG1104">
        <v>-0.15263589999999999</v>
      </c>
      <c r="AH1104">
        <v>0.69596783739160395</v>
      </c>
      <c r="AI1104">
        <v>102.19779474658</v>
      </c>
      <c r="AJ1104">
        <v>80.281742770698202</v>
      </c>
      <c r="AK1104">
        <v>0.72240967224469699</v>
      </c>
      <c r="AL1104">
        <v>86.232941720541803</v>
      </c>
      <c r="AM1104">
        <v>88.368569695358403</v>
      </c>
      <c r="AN1104">
        <v>0.99999996924989698</v>
      </c>
    </row>
    <row r="1105" spans="1:40" x14ac:dyDescent="0.25">
      <c r="A1105" t="str">
        <f>"20190312150652971"</f>
        <v>20190312150652971</v>
      </c>
      <c r="B1105" t="str">
        <f>"1552374412961104"</f>
        <v>1552374412961104</v>
      </c>
      <c r="C1105" t="s">
        <v>40</v>
      </c>
      <c r="D1105">
        <v>4.341475</v>
      </c>
      <c r="E1105">
        <v>0.54490850000000002</v>
      </c>
      <c r="F1105" t="s">
        <v>41</v>
      </c>
      <c r="G1105">
        <v>-314.8802</v>
      </c>
      <c r="H1105">
        <v>0.9276991</v>
      </c>
      <c r="I1105">
        <v>367.18450000000001</v>
      </c>
      <c r="J1105">
        <v>-315.50360000000001</v>
      </c>
      <c r="K1105">
        <v>1.0707009999999999</v>
      </c>
      <c r="L1105">
        <v>367.29610000000002</v>
      </c>
      <c r="M1105">
        <v>0.99979079999999998</v>
      </c>
      <c r="N1105">
        <v>0</v>
      </c>
      <c r="O1105">
        <v>-3.7027399999999999E-3</v>
      </c>
      <c r="P1105">
        <v>0.99845059999999997</v>
      </c>
      <c r="Q1105">
        <v>4.5703880000000002E-2</v>
      </c>
      <c r="R1105">
        <v>-3.174399E-2</v>
      </c>
      <c r="S1105">
        <v>3.016724</v>
      </c>
      <c r="T1105">
        <v>-0.59470679999999998</v>
      </c>
      <c r="U1105">
        <v>-0.46243289999999998</v>
      </c>
      <c r="V1105">
        <v>2.8048799999999999E-2</v>
      </c>
      <c r="W1105">
        <v>6.5776829999999994E-2</v>
      </c>
      <c r="X1105">
        <v>0.99743999999999999</v>
      </c>
      <c r="Y1105">
        <v>0.1451972</v>
      </c>
      <c r="Z1105">
        <v>-1.337642E-2</v>
      </c>
      <c r="AA1105">
        <v>0.98931230000000003</v>
      </c>
      <c r="AB1105">
        <v>22</v>
      </c>
      <c r="AC1105">
        <v>0.62340000000000295</v>
      </c>
      <c r="AD1105">
        <v>-0.14300189999999999</v>
      </c>
      <c r="AE1105">
        <v>-0.111600000000009</v>
      </c>
      <c r="AF1105">
        <v>0.103988527955776</v>
      </c>
      <c r="AG1105">
        <v>-0.14300189999999999</v>
      </c>
      <c r="AH1105">
        <v>0.59354651530005997</v>
      </c>
      <c r="AI1105">
        <v>103.350091436005</v>
      </c>
      <c r="AJ1105">
        <v>80.062713164848802</v>
      </c>
      <c r="AK1105">
        <v>0.61932271327221899</v>
      </c>
      <c r="AL1105">
        <v>86.228542090909698</v>
      </c>
      <c r="AM1105">
        <v>88.389221961296698</v>
      </c>
      <c r="AN1105">
        <v>0.99999994007314197</v>
      </c>
    </row>
    <row r="1106" spans="1:40" x14ac:dyDescent="0.25">
      <c r="A1106" t="str">
        <f>"20190312150652983"</f>
        <v>20190312150652983</v>
      </c>
      <c r="B1106" t="str">
        <f>"1552374412971840"</f>
        <v>1552374412971840</v>
      </c>
      <c r="C1106" t="s">
        <v>40</v>
      </c>
      <c r="D1106">
        <v>4.1558089999999996</v>
      </c>
      <c r="E1106">
        <v>0.54530970000000001</v>
      </c>
      <c r="F1106" t="s">
        <v>41</v>
      </c>
      <c r="G1106">
        <v>-314.6943</v>
      </c>
      <c r="H1106">
        <v>0.90383020000000003</v>
      </c>
      <c r="I1106">
        <v>367.17140000000001</v>
      </c>
      <c r="J1106">
        <v>-315.3886</v>
      </c>
      <c r="K1106">
        <v>1.069903</v>
      </c>
      <c r="L1106">
        <v>367.29570000000001</v>
      </c>
      <c r="M1106">
        <v>0.99979870000000004</v>
      </c>
      <c r="N1106">
        <v>0</v>
      </c>
      <c r="O1106">
        <v>-3.7027090000000002E-3</v>
      </c>
      <c r="P1106">
        <v>0.99843990000000005</v>
      </c>
      <c r="Q1106">
        <v>4.6129320000000001E-2</v>
      </c>
      <c r="R1106">
        <v>-3.1466389999999997E-2</v>
      </c>
      <c r="S1106">
        <v>3.0183719999999998</v>
      </c>
      <c r="T1106">
        <v>-0.62243649999999995</v>
      </c>
      <c r="U1106">
        <v>-0.46453860000000002</v>
      </c>
      <c r="V1106">
        <v>2.777116E-2</v>
      </c>
      <c r="W1106">
        <v>6.5816780000000005E-2</v>
      </c>
      <c r="X1106">
        <v>0.99744520000000003</v>
      </c>
      <c r="Y1106">
        <v>0.14553579999999999</v>
      </c>
      <c r="Z1106">
        <v>-1.4014E-2</v>
      </c>
      <c r="AA1106">
        <v>0.98925370000000001</v>
      </c>
      <c r="AB1106">
        <v>22</v>
      </c>
      <c r="AC1106">
        <v>0.69429999999999803</v>
      </c>
      <c r="AD1106">
        <v>-0.16607279999999999</v>
      </c>
      <c r="AE1106">
        <v>-0.124300000000005</v>
      </c>
      <c r="AF1106">
        <v>0.11533405884381499</v>
      </c>
      <c r="AG1106">
        <v>-0.16607279999999999</v>
      </c>
      <c r="AH1106">
        <v>0.65826329729205102</v>
      </c>
      <c r="AI1106">
        <v>103.95553279364</v>
      </c>
      <c r="AJ1106">
        <v>80.062101735623799</v>
      </c>
      <c r="AK1106">
        <v>0.68861650328105894</v>
      </c>
      <c r="AL1106">
        <v>86.226248404292804</v>
      </c>
      <c r="AM1106">
        <v>88.405166222139002</v>
      </c>
      <c r="AN1106">
        <v>1.00000000643017</v>
      </c>
    </row>
    <row r="1107" spans="1:40" x14ac:dyDescent="0.25">
      <c r="A1107" t="str">
        <f>"20190312150652999"</f>
        <v>20190312150652999</v>
      </c>
      <c r="B1107" t="str">
        <f>"1552374412991360"</f>
        <v>1552374412991360</v>
      </c>
      <c r="C1107" t="s">
        <v>40</v>
      </c>
      <c r="D1107">
        <v>4.1372970000000002</v>
      </c>
      <c r="E1107">
        <v>0.54605530000000002</v>
      </c>
      <c r="F1107" t="s">
        <v>41</v>
      </c>
      <c r="G1107">
        <v>-314.68650000000002</v>
      </c>
      <c r="H1107">
        <v>0.92059429999999998</v>
      </c>
      <c r="I1107">
        <v>367.18689999999998</v>
      </c>
      <c r="J1107">
        <v>-315.23559999999998</v>
      </c>
      <c r="K1107">
        <v>1.068943</v>
      </c>
      <c r="L1107">
        <v>367.29509999999999</v>
      </c>
      <c r="M1107">
        <v>0.99980800000000003</v>
      </c>
      <c r="N1107">
        <v>0</v>
      </c>
      <c r="O1107">
        <v>-3.7028349999999998E-3</v>
      </c>
      <c r="P1107">
        <v>0.99844710000000003</v>
      </c>
      <c r="Q1107">
        <v>4.6196639999999997E-2</v>
      </c>
      <c r="R1107">
        <v>-3.1139190000000001E-2</v>
      </c>
      <c r="S1107">
        <v>3.0196839999999998</v>
      </c>
      <c r="T1107">
        <v>-0.6421888</v>
      </c>
      <c r="U1107">
        <v>-0.4668274</v>
      </c>
      <c r="V1107">
        <v>2.7443789999999999E-2</v>
      </c>
      <c r="W1107">
        <v>6.5408540000000001E-2</v>
      </c>
      <c r="X1107">
        <v>0.99748110000000001</v>
      </c>
      <c r="Y1107">
        <v>0.14601020000000001</v>
      </c>
      <c r="Z1107">
        <v>-1.4491999999999901E-2</v>
      </c>
      <c r="AA1107">
        <v>0.98917690000000003</v>
      </c>
      <c r="AB1107">
        <v>22</v>
      </c>
      <c r="AC1107">
        <v>0.54909999999995296</v>
      </c>
      <c r="AD1107">
        <v>-0.148348699999999</v>
      </c>
      <c r="AE1107">
        <v>-0.10820000000001</v>
      </c>
      <c r="AF1107">
        <v>9.9195945977253203E-2</v>
      </c>
      <c r="AG1107">
        <v>-0.148348699999999</v>
      </c>
      <c r="AH1107">
        <v>0.51342282405677198</v>
      </c>
      <c r="AI1107">
        <v>105.83833234963799</v>
      </c>
      <c r="AJ1107">
        <v>79.064893182190104</v>
      </c>
      <c r="AK1107">
        <v>0.54355328050931895</v>
      </c>
      <c r="AL1107">
        <v>86.249689289629799</v>
      </c>
      <c r="AM1107">
        <v>88.424013483335202</v>
      </c>
      <c r="AN1107">
        <v>0.99999999178585197</v>
      </c>
    </row>
    <row r="1108" spans="1:40" x14ac:dyDescent="0.25">
      <c r="A1108" t="str">
        <f>"20190312150653009"</f>
        <v>20190312150653009</v>
      </c>
      <c r="B1108" t="str">
        <f>"1552374413001119"</f>
        <v>1552374413001119</v>
      </c>
      <c r="C1108" t="s">
        <v>40</v>
      </c>
      <c r="D1108">
        <v>4.1683250000000003</v>
      </c>
      <c r="E1108">
        <v>0.5466415</v>
      </c>
      <c r="F1108" t="s">
        <v>41</v>
      </c>
      <c r="G1108">
        <v>-314.49799999999999</v>
      </c>
      <c r="H1108">
        <v>0.90280990000000005</v>
      </c>
      <c r="I1108">
        <v>367.17959999999999</v>
      </c>
      <c r="J1108">
        <v>-315.12490000000003</v>
      </c>
      <c r="K1108">
        <v>1.0683</v>
      </c>
      <c r="L1108">
        <v>367.29469999999998</v>
      </c>
      <c r="M1108">
        <v>0.99981419999999999</v>
      </c>
      <c r="N1108">
        <v>0</v>
      </c>
      <c r="O1108">
        <v>-3.7030460000000002E-3</v>
      </c>
      <c r="P1108">
        <v>0.99846679999999999</v>
      </c>
      <c r="Q1108">
        <v>4.5993470000000002E-2</v>
      </c>
      <c r="R1108">
        <v>-3.0803150000000001E-2</v>
      </c>
      <c r="S1108">
        <v>3.021423</v>
      </c>
      <c r="T1108">
        <v>-0.68066019999999905</v>
      </c>
      <c r="U1108">
        <v>-0.47265629999999997</v>
      </c>
      <c r="V1108">
        <v>2.710746E-2</v>
      </c>
      <c r="W1108">
        <v>6.4878950000000005E-2</v>
      </c>
      <c r="X1108">
        <v>0.99752490000000005</v>
      </c>
      <c r="Y1108">
        <v>0.14737979999999901</v>
      </c>
      <c r="Z1108">
        <v>-1.5480570000000001E-2</v>
      </c>
      <c r="AA1108">
        <v>0.98895880000000003</v>
      </c>
      <c r="AB1108">
        <v>22</v>
      </c>
      <c r="AC1108">
        <v>0.62690000000003399</v>
      </c>
      <c r="AD1108">
        <v>-0.165490099999999</v>
      </c>
      <c r="AE1108">
        <v>-0.11509999999998401</v>
      </c>
      <c r="AF1108">
        <v>0.105654764374705</v>
      </c>
      <c r="AG1108">
        <v>-0.165490099999999</v>
      </c>
      <c r="AH1108">
        <v>0.58770271279187702</v>
      </c>
      <c r="AI1108">
        <v>105.490455212844</v>
      </c>
      <c r="AJ1108">
        <v>79.808465653782406</v>
      </c>
      <c r="AK1108">
        <v>0.61963245642559395</v>
      </c>
      <c r="AL1108">
        <v>86.280097217103105</v>
      </c>
      <c r="AM1108">
        <v>88.443386318994996</v>
      </c>
      <c r="AN1108">
        <v>1.00000000933038</v>
      </c>
    </row>
    <row r="1109" spans="1:40" x14ac:dyDescent="0.25">
      <c r="A1109" t="str">
        <f>"20190312150653021"</f>
        <v>20190312150653021</v>
      </c>
      <c r="B1109" t="str">
        <f>"1552374413011855"</f>
        <v>1552374413011855</v>
      </c>
      <c r="C1109" t="s">
        <v>40</v>
      </c>
      <c r="D1109">
        <v>4.3308280000000003</v>
      </c>
      <c r="E1109">
        <v>0.54764869999999899</v>
      </c>
      <c r="F1109" t="s">
        <v>41</v>
      </c>
      <c r="G1109">
        <v>-314.31229999999999</v>
      </c>
      <c r="H1109">
        <v>0.87911839999999997</v>
      </c>
      <c r="I1109">
        <v>367.16629999999998</v>
      </c>
      <c r="J1109">
        <v>-315.0138</v>
      </c>
      <c r="K1109">
        <v>1.0676840000000001</v>
      </c>
      <c r="L1109">
        <v>367.29430000000002</v>
      </c>
      <c r="M1109">
        <v>0.99982009999999999</v>
      </c>
      <c r="N1109">
        <v>0</v>
      </c>
      <c r="O1109">
        <v>-3.703076E-3</v>
      </c>
      <c r="P1109">
        <v>0.99846109999999999</v>
      </c>
      <c r="Q1109">
        <v>4.605774E-2</v>
      </c>
      <c r="R1109">
        <v>-3.08895E-2</v>
      </c>
      <c r="S1109">
        <v>3.022278</v>
      </c>
      <c r="T1109">
        <v>-0.7036422</v>
      </c>
      <c r="U1109">
        <v>-0.47659299999999999</v>
      </c>
      <c r="V1109">
        <v>2.7194050000000001E-2</v>
      </c>
      <c r="W1109">
        <v>6.4629130000000007E-2</v>
      </c>
      <c r="X1109">
        <v>0.9975387</v>
      </c>
      <c r="Y1109">
        <v>0.14833399999999999</v>
      </c>
      <c r="Z1109">
        <v>-1.6093150000000001E-2</v>
      </c>
      <c r="AA1109">
        <v>0.98880639999999997</v>
      </c>
      <c r="AB1109">
        <v>22</v>
      </c>
      <c r="AC1109">
        <v>0.70150000000001</v>
      </c>
      <c r="AD1109">
        <v>-0.1885656</v>
      </c>
      <c r="AE1109">
        <v>-0.128000000000042</v>
      </c>
      <c r="AF1109">
        <v>0.117205144941557</v>
      </c>
      <c r="AG1109">
        <v>-0.1885656</v>
      </c>
      <c r="AH1109">
        <v>0.65609072136083602</v>
      </c>
      <c r="AI1109">
        <v>105.797732714501</v>
      </c>
      <c r="AJ1109">
        <v>79.871427984789804</v>
      </c>
      <c r="AK1109">
        <v>0.69263920345293295</v>
      </c>
      <c r="AL1109">
        <v>86.294440730100604</v>
      </c>
      <c r="AM1109">
        <v>88.438438041550498</v>
      </c>
      <c r="AN1109">
        <v>0.99999994939882297</v>
      </c>
    </row>
    <row r="1110" spans="1:40" x14ac:dyDescent="0.25">
      <c r="A1110" t="str">
        <f>"20190312150653032"</f>
        <v>20190312150653032</v>
      </c>
      <c r="B1110" t="str">
        <f>"1552374413021616"</f>
        <v>1552374413021616</v>
      </c>
      <c r="C1110" t="s">
        <v>40</v>
      </c>
      <c r="D1110">
        <v>4.156606</v>
      </c>
      <c r="E1110">
        <v>0.5480623</v>
      </c>
      <c r="F1110" t="s">
        <v>41</v>
      </c>
      <c r="G1110">
        <v>-314.30349999999999</v>
      </c>
      <c r="H1110">
        <v>0.89821459999999997</v>
      </c>
      <c r="I1110">
        <v>367.18009999999998</v>
      </c>
      <c r="J1110">
        <v>-314.90649999999999</v>
      </c>
      <c r="K1110">
        <v>1.0671459999999999</v>
      </c>
      <c r="L1110">
        <v>367.29390000000001</v>
      </c>
      <c r="M1110">
        <v>0.99982530000000003</v>
      </c>
      <c r="N1110">
        <v>0</v>
      </c>
      <c r="O1110">
        <v>-3.7030750000000001E-3</v>
      </c>
      <c r="P1110">
        <v>0.99845589999999995</v>
      </c>
      <c r="Q1110">
        <v>4.6119239999999999E-2</v>
      </c>
      <c r="R1110">
        <v>-3.096658E-2</v>
      </c>
      <c r="S1110">
        <v>3.0229189999999999</v>
      </c>
      <c r="T1110">
        <v>-0.72134670000000001</v>
      </c>
      <c r="U1110">
        <v>-0.48526000000000002</v>
      </c>
      <c r="V1110">
        <v>2.727079E-2</v>
      </c>
      <c r="W1110">
        <v>6.4406909999999998E-2</v>
      </c>
      <c r="X1110">
        <v>0.99755099999999997</v>
      </c>
      <c r="Y1110">
        <v>0.15081249999999999</v>
      </c>
      <c r="Z1110">
        <v>-1.6770259999999999E-2</v>
      </c>
      <c r="AA1110">
        <v>0.98842010000000002</v>
      </c>
      <c r="AB1110">
        <v>22</v>
      </c>
      <c r="AC1110">
        <v>0.60300000000000797</v>
      </c>
      <c r="AD1110">
        <v>-0.16893139999999901</v>
      </c>
      <c r="AE1110">
        <v>-0.11380000000002601</v>
      </c>
      <c r="AF1110">
        <v>0.103706427023964</v>
      </c>
      <c r="AG1110">
        <v>-0.16893139999999901</v>
      </c>
      <c r="AH1110">
        <v>0.56090850539828696</v>
      </c>
      <c r="AI1110">
        <v>106.496929787742</v>
      </c>
      <c r="AJ1110">
        <v>79.524870664969498</v>
      </c>
      <c r="AK1110">
        <v>0.59490435562380695</v>
      </c>
      <c r="AL1110">
        <v>86.307199664345703</v>
      </c>
      <c r="AM1110">
        <v>88.434052896249497</v>
      </c>
      <c r="AN1110">
        <v>0.99999997182198497</v>
      </c>
    </row>
    <row r="1111" spans="1:40" x14ac:dyDescent="0.25">
      <c r="A1111" t="str">
        <f>"20190312150653044"</f>
        <v>20190312150653044</v>
      </c>
      <c r="B1111" t="str">
        <f>"1552374413031376"</f>
        <v>1552374413031376</v>
      </c>
      <c r="C1111" t="s">
        <v>40</v>
      </c>
      <c r="D1111">
        <v>4.1820639999999996</v>
      </c>
      <c r="E1111">
        <v>0.54843549999999996</v>
      </c>
      <c r="F1111" t="s">
        <v>41</v>
      </c>
      <c r="G1111">
        <v>-314.11750000000001</v>
      </c>
      <c r="H1111">
        <v>0.87552229999999998</v>
      </c>
      <c r="I1111">
        <v>367.1662</v>
      </c>
      <c r="J1111">
        <v>-314.79469999999998</v>
      </c>
      <c r="K1111">
        <v>1.0666059999999999</v>
      </c>
      <c r="L1111">
        <v>367.29349999999999</v>
      </c>
      <c r="M1111">
        <v>0.99983060000000001</v>
      </c>
      <c r="N1111">
        <v>0</v>
      </c>
      <c r="O1111">
        <v>-3.703198E-3</v>
      </c>
      <c r="P1111">
        <v>0.99843499999999996</v>
      </c>
      <c r="Q1111">
        <v>4.6446679999999997E-2</v>
      </c>
      <c r="R1111">
        <v>-3.115265E-2</v>
      </c>
      <c r="S1111">
        <v>3.0234070000000002</v>
      </c>
      <c r="T1111">
        <v>-0.73439659999999995</v>
      </c>
      <c r="U1111">
        <v>-0.48904419999999998</v>
      </c>
      <c r="V1111">
        <v>2.7456959999999999E-2</v>
      </c>
      <c r="W1111">
        <v>6.4446400000000001E-2</v>
      </c>
      <c r="X1111">
        <v>0.99754339999999997</v>
      </c>
      <c r="Y1111">
        <v>0.15182179999999901</v>
      </c>
      <c r="Z1111">
        <v>-1.7181099999999901E-2</v>
      </c>
      <c r="AA1111">
        <v>0.98825850000000004</v>
      </c>
      <c r="AB1111">
        <v>22</v>
      </c>
      <c r="AC1111">
        <v>0.67719999999997005</v>
      </c>
      <c r="AD1111">
        <v>-0.1910837</v>
      </c>
      <c r="AE1111">
        <v>-0.127299999999991</v>
      </c>
      <c r="AF1111">
        <v>0.115879654335254</v>
      </c>
      <c r="AG1111">
        <v>-0.1910837</v>
      </c>
      <c r="AH1111">
        <v>0.62927498494044498</v>
      </c>
      <c r="AI1111">
        <v>106.627502622176</v>
      </c>
      <c r="AJ1111">
        <v>79.565996261558695</v>
      </c>
      <c r="AK1111">
        <v>0.66777846728263601</v>
      </c>
      <c r="AL1111">
        <v>86.304932555051195</v>
      </c>
      <c r="AM1111">
        <v>88.423355988134304</v>
      </c>
      <c r="AN1111">
        <v>1.0000000290044799</v>
      </c>
    </row>
    <row r="1112" spans="1:40" x14ac:dyDescent="0.25">
      <c r="A1112" t="str">
        <f>"20190312150653055"</f>
        <v>20190312150653055</v>
      </c>
      <c r="B1112" t="str">
        <f>"1552374413051871"</f>
        <v>1552374413051871</v>
      </c>
      <c r="C1112" t="s">
        <v>40</v>
      </c>
      <c r="D1112">
        <v>4.1793209999999998</v>
      </c>
      <c r="E1112">
        <v>0.54932460000000005</v>
      </c>
      <c r="F1112" t="s">
        <v>41</v>
      </c>
      <c r="G1112">
        <v>-314.10759999999999</v>
      </c>
      <c r="H1112">
        <v>0.89723770000000003</v>
      </c>
      <c r="I1112">
        <v>367.1814</v>
      </c>
      <c r="J1112">
        <v>-314.68029999999999</v>
      </c>
      <c r="K1112">
        <v>1.0661179999999999</v>
      </c>
      <c r="L1112">
        <v>367.29309999999998</v>
      </c>
      <c r="M1112">
        <v>0.99983540000000004</v>
      </c>
      <c r="N1112">
        <v>0</v>
      </c>
      <c r="O1112">
        <v>-3.7031690000000001E-3</v>
      </c>
      <c r="P1112">
        <v>0.9984246</v>
      </c>
      <c r="Q1112">
        <v>4.649963E-2</v>
      </c>
      <c r="R1112">
        <v>-3.1403050000000002E-2</v>
      </c>
      <c r="S1112">
        <v>3.023987</v>
      </c>
      <c r="T1112">
        <v>-0.74547819999999998</v>
      </c>
      <c r="U1112">
        <v>-0.49279790000000001</v>
      </c>
      <c r="V1112">
        <v>2.7707590000000001E-2</v>
      </c>
      <c r="W1112">
        <v>6.4230369999999995E-2</v>
      </c>
      <c r="X1112">
        <v>0.99755039999999995</v>
      </c>
      <c r="Y1112">
        <v>0.15283440000000001</v>
      </c>
      <c r="Z1112">
        <v>-1.7550360000000001E-2</v>
      </c>
      <c r="AA1112">
        <v>0.98809590000000003</v>
      </c>
      <c r="AB1112">
        <v>22</v>
      </c>
      <c r="AC1112">
        <v>0.57269999999999699</v>
      </c>
      <c r="AD1112">
        <v>-0.16888030000000001</v>
      </c>
      <c r="AE1112">
        <v>-0.11169999999998401</v>
      </c>
      <c r="AF1112">
        <v>0.10110824512984699</v>
      </c>
      <c r="AG1112">
        <v>-0.16888030000000001</v>
      </c>
      <c r="AH1112">
        <v>0.52881120597523101</v>
      </c>
      <c r="AI1112">
        <v>107.415405594557</v>
      </c>
      <c r="AJ1112">
        <v>79.1757359945627</v>
      </c>
      <c r="AK1112">
        <v>0.56425590340403697</v>
      </c>
      <c r="AL1112">
        <v>86.317335847901305</v>
      </c>
      <c r="AM1112">
        <v>88.408982739410504</v>
      </c>
      <c r="AN1112">
        <v>1.00000002575705</v>
      </c>
    </row>
    <row r="1113" spans="1:40" x14ac:dyDescent="0.25">
      <c r="A1113" t="str">
        <f>"20190312150653068"</f>
        <v>20190312150653068</v>
      </c>
      <c r="B1113" t="str">
        <f>"1552374413061633"</f>
        <v>1552374413061633</v>
      </c>
      <c r="C1113" t="s">
        <v>40</v>
      </c>
      <c r="D1113">
        <v>4.3245529999999999</v>
      </c>
      <c r="E1113">
        <v>0.54977310000000001</v>
      </c>
      <c r="F1113" t="s">
        <v>41</v>
      </c>
      <c r="G1113">
        <v>-313.92189999999999</v>
      </c>
      <c r="H1113">
        <v>0.87444949999999999</v>
      </c>
      <c r="I1113">
        <v>367.1671</v>
      </c>
      <c r="J1113">
        <v>-314.55990000000003</v>
      </c>
      <c r="K1113">
        <v>1.0656270000000001</v>
      </c>
      <c r="L1113">
        <v>367.29259999999999</v>
      </c>
      <c r="M1113">
        <v>0.99984030000000002</v>
      </c>
      <c r="N1113">
        <v>0</v>
      </c>
      <c r="O1113">
        <v>-3.703132E-3</v>
      </c>
      <c r="P1113">
        <v>0.99840930000000006</v>
      </c>
      <c r="Q1113">
        <v>4.6751130000000002E-2</v>
      </c>
      <c r="R1113">
        <v>-3.1519360000000003E-2</v>
      </c>
      <c r="S1113">
        <v>3.024597</v>
      </c>
      <c r="T1113">
        <v>-0.76449469999999997</v>
      </c>
      <c r="U1113">
        <v>-0.50103759999999997</v>
      </c>
      <c r="V1113">
        <v>2.782391E-2</v>
      </c>
      <c r="W1113">
        <v>6.4207040000000007E-2</v>
      </c>
      <c r="X1113">
        <v>0.99754860000000001</v>
      </c>
      <c r="Y1113">
        <v>0.15513579999999999</v>
      </c>
      <c r="Z1113">
        <v>-1.8262069999999998E-2</v>
      </c>
      <c r="AA1113">
        <v>0.98772439999999995</v>
      </c>
      <c r="AB1113">
        <v>22</v>
      </c>
      <c r="AC1113">
        <v>0.63800000000003299</v>
      </c>
      <c r="AD1113">
        <v>-0.1911775</v>
      </c>
      <c r="AE1113">
        <v>-0.12549999999998801</v>
      </c>
      <c r="AF1113">
        <v>0.11333852699458299</v>
      </c>
      <c r="AG1113">
        <v>-0.1911775</v>
      </c>
      <c r="AH1113">
        <v>0.58765966022874505</v>
      </c>
      <c r="AI1113">
        <v>107.715219642376</v>
      </c>
      <c r="AJ1113">
        <v>79.083726149408093</v>
      </c>
      <c r="AK1113">
        <v>0.62828205009192895</v>
      </c>
      <c r="AL1113">
        <v>86.318675086986602</v>
      </c>
      <c r="AM1113">
        <v>88.402304019078102</v>
      </c>
      <c r="AN1113">
        <v>0.99999996165760396</v>
      </c>
    </row>
    <row r="1114" spans="1:40" x14ac:dyDescent="0.25">
      <c r="A1114" t="str">
        <f>"20190312150653081"</f>
        <v>20190312150653081</v>
      </c>
      <c r="B1114" t="str">
        <f>"1552374413071391"</f>
        <v>1552374413071391</v>
      </c>
      <c r="C1114" t="s">
        <v>40</v>
      </c>
      <c r="D1114">
        <v>4.1864429999999997</v>
      </c>
      <c r="E1114">
        <v>0.54992750000000001</v>
      </c>
      <c r="F1114" t="s">
        <v>41</v>
      </c>
      <c r="G1114">
        <v>-313.73390000000001</v>
      </c>
      <c r="H1114">
        <v>0.85503719999999905</v>
      </c>
      <c r="I1114">
        <v>367.15460000000002</v>
      </c>
      <c r="J1114">
        <v>-314.43079999999998</v>
      </c>
      <c r="K1114">
        <v>1.0651489999999999</v>
      </c>
      <c r="L1114">
        <v>367.2921</v>
      </c>
      <c r="M1114">
        <v>0.99984510000000004</v>
      </c>
      <c r="N1114">
        <v>0</v>
      </c>
      <c r="O1114">
        <v>-3.7030180000000002E-3</v>
      </c>
      <c r="P1114">
        <v>0.99838859999999996</v>
      </c>
      <c r="Q1114">
        <v>4.698045E-2</v>
      </c>
      <c r="R1114">
        <v>-3.1831039999999998E-2</v>
      </c>
      <c r="S1114">
        <v>3.0249630000000001</v>
      </c>
      <c r="T1114">
        <v>-0.77127159999999995</v>
      </c>
      <c r="U1114">
        <v>-0.50494380000000005</v>
      </c>
      <c r="V1114">
        <v>2.8135830000000001E-2</v>
      </c>
      <c r="W1114">
        <v>6.4162319999999995E-2</v>
      </c>
      <c r="X1114">
        <v>0.9975427</v>
      </c>
      <c r="Y1114">
        <v>0.1562442</v>
      </c>
      <c r="Z1114">
        <v>-1.855327E-2</v>
      </c>
      <c r="AA1114">
        <v>0.98754419999999998</v>
      </c>
      <c r="AB1114">
        <v>22</v>
      </c>
      <c r="AC1114">
        <v>0.69689999999997099</v>
      </c>
      <c r="AD1114">
        <v>-0.21011179999999999</v>
      </c>
      <c r="AE1114">
        <v>-0.13749999999998799</v>
      </c>
      <c r="AF1114">
        <v>0.12406334010343401</v>
      </c>
      <c r="AG1114">
        <v>-0.21011179999999999</v>
      </c>
      <c r="AH1114">
        <v>0.641295454341404</v>
      </c>
      <c r="AI1114">
        <v>107.831548958881</v>
      </c>
      <c r="AJ1114">
        <v>79.050963337561299</v>
      </c>
      <c r="AK1114">
        <v>0.68614760847488798</v>
      </c>
      <c r="AL1114">
        <v>86.321242544024301</v>
      </c>
      <c r="AM1114">
        <v>88.384392934484694</v>
      </c>
      <c r="AN1114">
        <v>0.99999993328042802</v>
      </c>
    </row>
    <row r="1115" spans="1:40" x14ac:dyDescent="0.25">
      <c r="A1115" t="str">
        <f>"20190312150653093"</f>
        <v>20190312150653093</v>
      </c>
      <c r="B1115" t="str">
        <f>"1552374413081151"</f>
        <v>1552374413081151</v>
      </c>
      <c r="C1115" t="s">
        <v>40</v>
      </c>
      <c r="D1115">
        <v>4.378679</v>
      </c>
      <c r="E1115">
        <v>0.54968289999999997</v>
      </c>
      <c r="F1115" t="s">
        <v>41</v>
      </c>
      <c r="G1115">
        <v>-313.72199999999998</v>
      </c>
      <c r="H1115">
        <v>0.88335079999999999</v>
      </c>
      <c r="I1115">
        <v>367.17320000000001</v>
      </c>
      <c r="J1115">
        <v>-314.31060000000002</v>
      </c>
      <c r="K1115">
        <v>1.0647420000000001</v>
      </c>
      <c r="L1115">
        <v>367.29169999999999</v>
      </c>
      <c r="M1115">
        <v>0.99984899999999999</v>
      </c>
      <c r="N1115">
        <v>0</v>
      </c>
      <c r="O1115">
        <v>-3.7030180000000002E-3</v>
      </c>
      <c r="P1115">
        <v>0.99837750000000003</v>
      </c>
      <c r="Q1115">
        <v>4.7092099999999998E-2</v>
      </c>
      <c r="R1115">
        <v>-3.2012220000000001E-2</v>
      </c>
      <c r="S1115">
        <v>3.0251769999999998</v>
      </c>
      <c r="T1115">
        <v>-0.77600409999999997</v>
      </c>
      <c r="U1115">
        <v>-0.50741579999999997</v>
      </c>
      <c r="V1115">
        <v>2.8316819999999999E-2</v>
      </c>
      <c r="W1115">
        <v>6.4037170000000004E-2</v>
      </c>
      <c r="X1115">
        <v>0.99754569999999998</v>
      </c>
      <c r="Y1115">
        <v>0.15693979999999999</v>
      </c>
      <c r="Z1115">
        <v>-1.8748379999999999E-2</v>
      </c>
      <c r="AA1115">
        <v>0.98743020000000004</v>
      </c>
      <c r="AB1115">
        <v>22</v>
      </c>
      <c r="AC1115">
        <v>0.58860000000004198</v>
      </c>
      <c r="AD1115">
        <v>-0.1813912</v>
      </c>
      <c r="AE1115">
        <v>-0.11849999999998299</v>
      </c>
      <c r="AF1115">
        <v>0.106590565527669</v>
      </c>
      <c r="AG1115">
        <v>-0.1813912</v>
      </c>
      <c r="AH1115">
        <v>0.53976914123640096</v>
      </c>
      <c r="AI1115">
        <v>108.246691536559</v>
      </c>
      <c r="AJ1115">
        <v>78.829277686067101</v>
      </c>
      <c r="AK1115">
        <v>0.57932291679859305</v>
      </c>
      <c r="AL1115">
        <v>86.328428179303998</v>
      </c>
      <c r="AM1115">
        <v>88.374010630418198</v>
      </c>
      <c r="AN1115">
        <v>1.0000000125124999</v>
      </c>
    </row>
    <row r="1116" spans="1:40" x14ac:dyDescent="0.25">
      <c r="A1116" t="str">
        <f>"20190312150653107"</f>
        <v>20190312150653107</v>
      </c>
      <c r="B1116" t="str">
        <f>"1552374413101647"</f>
        <v>1552374413101647</v>
      </c>
      <c r="C1116" t="s">
        <v>40</v>
      </c>
      <c r="D1116">
        <v>4.1867869999999998</v>
      </c>
      <c r="E1116">
        <v>0.54999609999999999</v>
      </c>
      <c r="F1116" t="s">
        <v>41</v>
      </c>
      <c r="G1116">
        <v>-313.53489999999999</v>
      </c>
      <c r="H1116">
        <v>0.86365759999999903</v>
      </c>
      <c r="I1116">
        <v>367.1617</v>
      </c>
      <c r="J1116">
        <v>-314.18150000000003</v>
      </c>
      <c r="K1116">
        <v>1.0643320000000001</v>
      </c>
      <c r="L1116">
        <v>367.2912</v>
      </c>
      <c r="M1116">
        <v>0.9998532</v>
      </c>
      <c r="N1116">
        <v>0</v>
      </c>
      <c r="O1116">
        <v>-3.7029910000000001E-3</v>
      </c>
      <c r="P1116">
        <v>0.99836939999999996</v>
      </c>
      <c r="Q1116">
        <v>4.7181460000000001E-2</v>
      </c>
      <c r="R1116">
        <v>-3.214148E-2</v>
      </c>
      <c r="S1116">
        <v>3.0256349999999999</v>
      </c>
      <c r="T1116">
        <v>-0.78436479999999997</v>
      </c>
      <c r="U1116">
        <v>-0.50634769999999996</v>
      </c>
      <c r="V1116">
        <v>2.8445970000000001E-2</v>
      </c>
      <c r="W1116">
        <v>6.3882999999999995E-2</v>
      </c>
      <c r="X1116">
        <v>0.99755190000000005</v>
      </c>
      <c r="Y1116">
        <v>0.15648899999999999</v>
      </c>
      <c r="Z1116">
        <v>-1.8884769999999999E-2</v>
      </c>
      <c r="AA1116">
        <v>0.98749909999999996</v>
      </c>
      <c r="AB1116">
        <v>22</v>
      </c>
      <c r="AC1116">
        <v>0.64660000000003404</v>
      </c>
      <c r="AD1116">
        <v>-0.2006744</v>
      </c>
      <c r="AE1116">
        <v>-0.129500000000007</v>
      </c>
      <c r="AF1116">
        <v>0.116331580413948</v>
      </c>
      <c r="AG1116">
        <v>-0.2006744</v>
      </c>
      <c r="AH1116">
        <v>0.59223176919651699</v>
      </c>
      <c r="AI1116">
        <v>108.391481341195</v>
      </c>
      <c r="AJ1116">
        <v>78.886927789231606</v>
      </c>
      <c r="AK1116">
        <v>0.63603594227260696</v>
      </c>
      <c r="AL1116">
        <v>86.337279554786605</v>
      </c>
      <c r="AM1116">
        <v>88.366608820828603</v>
      </c>
      <c r="AN1116">
        <v>1.0000000020459201</v>
      </c>
    </row>
    <row r="1117" spans="1:40" x14ac:dyDescent="0.25">
      <c r="A1117" t="str">
        <f>"20190312150653118"</f>
        <v>20190312150653118</v>
      </c>
      <c r="B1117" t="str">
        <f>"1552374413111407"</f>
        <v>1552374413111407</v>
      </c>
      <c r="C1117" t="s">
        <v>40</v>
      </c>
      <c r="D1117">
        <v>4.2262230000000001</v>
      </c>
      <c r="E1117">
        <v>0.55014359999999995</v>
      </c>
      <c r="F1117" t="s">
        <v>41</v>
      </c>
      <c r="G1117">
        <v>-313.34660000000002</v>
      </c>
      <c r="H1117">
        <v>0.84611209999999903</v>
      </c>
      <c r="I1117">
        <v>367.15039999999999</v>
      </c>
      <c r="J1117">
        <v>-314.05889999999999</v>
      </c>
      <c r="K1117">
        <v>1.063987</v>
      </c>
      <c r="L1117">
        <v>367.29070000000002</v>
      </c>
      <c r="M1117">
        <v>0.99985670000000004</v>
      </c>
      <c r="N1117">
        <v>0</v>
      </c>
      <c r="O1117">
        <v>-3.7030209999999999E-3</v>
      </c>
      <c r="P1117">
        <v>0.99838419999999894</v>
      </c>
      <c r="Q1117">
        <v>4.7017669999999998E-2</v>
      </c>
      <c r="R1117">
        <v>-3.1909159999999999E-2</v>
      </c>
      <c r="S1117">
        <v>3.0258790000000002</v>
      </c>
      <c r="T1117">
        <v>-0.79103669999999904</v>
      </c>
      <c r="U1117">
        <v>-0.509552</v>
      </c>
      <c r="V1117">
        <v>2.821386E-2</v>
      </c>
      <c r="W1117">
        <v>6.3508480000000006E-2</v>
      </c>
      <c r="X1117">
        <v>0.99758239999999998</v>
      </c>
      <c r="Y1117">
        <v>0.157383</v>
      </c>
      <c r="Z1117">
        <v>-1.9151419999999999E-2</v>
      </c>
      <c r="AA1117">
        <v>0.98735189999999995</v>
      </c>
      <c r="AB1117">
        <v>22</v>
      </c>
      <c r="AC1117">
        <v>0.71229999999996996</v>
      </c>
      <c r="AD1117">
        <v>-0.21787490000000001</v>
      </c>
      <c r="AE1117">
        <v>-0.14030000000002399</v>
      </c>
      <c r="AF1117">
        <v>0.12628692883814699</v>
      </c>
      <c r="AG1117">
        <v>-0.21787490000000001</v>
      </c>
      <c r="AH1117">
        <v>0.65391920234365897</v>
      </c>
      <c r="AI1117">
        <v>108.114912809708</v>
      </c>
      <c r="AJ1117">
        <v>79.069424377736894</v>
      </c>
      <c r="AK1117">
        <v>0.70073403202580897</v>
      </c>
      <c r="AL1117">
        <v>86.358781614181694</v>
      </c>
      <c r="AM1117">
        <v>88.379979143029502</v>
      </c>
      <c r="AN1117">
        <v>0.99999999685888497</v>
      </c>
    </row>
    <row r="1118" spans="1:40" x14ac:dyDescent="0.25">
      <c r="A1118" t="str">
        <f>"20190312150653132"</f>
        <v>20190312150653132</v>
      </c>
      <c r="B1118" t="str">
        <f>"1552374413121168"</f>
        <v>1552374413121168</v>
      </c>
      <c r="C1118" t="s">
        <v>40</v>
      </c>
      <c r="D1118">
        <v>4.2387819999999996</v>
      </c>
      <c r="E1118">
        <v>0.55021430000000005</v>
      </c>
      <c r="F1118" t="s">
        <v>41</v>
      </c>
      <c r="G1118">
        <v>-313.33539999999999</v>
      </c>
      <c r="H1118">
        <v>0.87380809999999998</v>
      </c>
      <c r="I1118">
        <v>367.16849999999999</v>
      </c>
      <c r="J1118">
        <v>-313.9271</v>
      </c>
      <c r="K1118">
        <v>1.0636479999999999</v>
      </c>
      <c r="L1118">
        <v>367.2903</v>
      </c>
      <c r="M1118">
        <v>0.99986019999999998</v>
      </c>
      <c r="N1118">
        <v>0</v>
      </c>
      <c r="O1118">
        <v>-3.7029369999999999E-3</v>
      </c>
      <c r="P1118">
        <v>0.99841250000000004</v>
      </c>
      <c r="Q1118">
        <v>4.6408419999999999E-2</v>
      </c>
      <c r="R1118">
        <v>-3.1922249999999999E-2</v>
      </c>
      <c r="S1118">
        <v>3.0260009999999999</v>
      </c>
      <c r="T1118">
        <v>-0.79548649999999999</v>
      </c>
      <c r="U1118">
        <v>-0.5105286</v>
      </c>
      <c r="V1118">
        <v>2.8226790000000002E-2</v>
      </c>
      <c r="W1118">
        <v>6.2686629999999993E-2</v>
      </c>
      <c r="X1118">
        <v>0.99763400000000002</v>
      </c>
      <c r="Y1118">
        <v>0.1576234</v>
      </c>
      <c r="Z1118">
        <v>-1.928535E-2</v>
      </c>
      <c r="AA1118">
        <v>0.98731089999999999</v>
      </c>
      <c r="AB1118">
        <v>22</v>
      </c>
      <c r="AC1118">
        <v>0.591700000000002</v>
      </c>
      <c r="AD1118">
        <v>-0.18983989999999901</v>
      </c>
      <c r="AE1118">
        <v>-0.121800000000007</v>
      </c>
      <c r="AF1118">
        <v>0.108857848267517</v>
      </c>
      <c r="AG1118">
        <v>-0.18983989999999901</v>
      </c>
      <c r="AH1118">
        <v>0.53892660751028398</v>
      </c>
      <c r="AI1118">
        <v>109.048883679792</v>
      </c>
      <c r="AJ1118">
        <v>78.580469912451903</v>
      </c>
      <c r="AK1118">
        <v>0.58166236516039804</v>
      </c>
      <c r="AL1118">
        <v>86.405964114835101</v>
      </c>
      <c r="AM1118">
        <v>88.379320892031103</v>
      </c>
      <c r="AN1118">
        <v>0.99999998160522996</v>
      </c>
    </row>
    <row r="1119" spans="1:40" x14ac:dyDescent="0.25">
      <c r="A1119" t="str">
        <f>"20190312150653142"</f>
        <v>20190312150653142</v>
      </c>
      <c r="B1119" t="str">
        <f>"1552374413131904"</f>
        <v>1552374413131904</v>
      </c>
      <c r="C1119" t="s">
        <v>40</v>
      </c>
      <c r="D1119">
        <v>4.2033740000000002</v>
      </c>
      <c r="E1119">
        <v>0.55019249999999997</v>
      </c>
      <c r="F1119" t="s">
        <v>41</v>
      </c>
      <c r="G1119">
        <v>-313.14710000000002</v>
      </c>
      <c r="H1119">
        <v>0.85724339999999999</v>
      </c>
      <c r="I1119">
        <v>367.15839999999997</v>
      </c>
      <c r="J1119">
        <v>-313.82279999999997</v>
      </c>
      <c r="K1119">
        <v>1.063393</v>
      </c>
      <c r="L1119">
        <v>367.28989999999999</v>
      </c>
      <c r="M1119">
        <v>0.99986280000000005</v>
      </c>
      <c r="N1119">
        <v>0</v>
      </c>
      <c r="O1119">
        <v>-3.7029350000000001E-3</v>
      </c>
      <c r="P1119">
        <v>0.99842489999999995</v>
      </c>
      <c r="Q1119">
        <v>4.6192370000000003E-2</v>
      </c>
      <c r="R1119">
        <v>-3.1843940000000001E-2</v>
      </c>
      <c r="S1119">
        <v>3.0256349999999999</v>
      </c>
      <c r="T1119">
        <v>-0.800597</v>
      </c>
      <c r="U1119">
        <v>-0.51095579999999996</v>
      </c>
      <c r="V1119">
        <v>2.814852E-2</v>
      </c>
      <c r="W1119">
        <v>6.230923E-2</v>
      </c>
      <c r="X1119">
        <v>0.99765990000000004</v>
      </c>
      <c r="Y1119">
        <v>0.15771009999999999</v>
      </c>
      <c r="Z1119">
        <v>-1.9418439999999999E-2</v>
      </c>
      <c r="AA1119">
        <v>0.98729449999999996</v>
      </c>
      <c r="AB1119">
        <v>22</v>
      </c>
      <c r="AC1119">
        <v>0.67569999999994901</v>
      </c>
      <c r="AD1119">
        <v>-0.20614959999999999</v>
      </c>
      <c r="AE1119">
        <v>-0.13150000000001599</v>
      </c>
      <c r="AF1119">
        <v>0.118379971550513</v>
      </c>
      <c r="AG1119">
        <v>-0.20614959999999999</v>
      </c>
      <c r="AH1119">
        <v>0.62053098969479203</v>
      </c>
      <c r="AI1119">
        <v>108.073041655173</v>
      </c>
      <c r="AJ1119">
        <v>79.199344780508099</v>
      </c>
      <c r="AK1119">
        <v>0.66450747506409502</v>
      </c>
      <c r="AL1119">
        <v>86.427630061993</v>
      </c>
      <c r="AM1119">
        <v>88.383854417754193</v>
      </c>
      <c r="AN1119">
        <v>1.0000000276946901</v>
      </c>
    </row>
    <row r="1120" spans="1:40" x14ac:dyDescent="0.25">
      <c r="A1120" t="str">
        <f>"20190312150653155"</f>
        <v>20190312150653155</v>
      </c>
      <c r="B1120" t="str">
        <f>"1552374413151424"</f>
        <v>1552374413151424</v>
      </c>
      <c r="C1120" t="s">
        <v>40</v>
      </c>
      <c r="D1120">
        <v>4.1955049999999998</v>
      </c>
      <c r="E1120">
        <v>0.55022490000000002</v>
      </c>
      <c r="F1120" t="s">
        <v>41</v>
      </c>
      <c r="G1120">
        <v>-313.13690000000003</v>
      </c>
      <c r="H1120">
        <v>0.88126729999999998</v>
      </c>
      <c r="I1120">
        <v>367.17419999999998</v>
      </c>
      <c r="J1120">
        <v>-313.71230000000003</v>
      </c>
      <c r="K1120">
        <v>1.063159</v>
      </c>
      <c r="L1120">
        <v>367.28949999999998</v>
      </c>
      <c r="M1120">
        <v>0.99986529999999996</v>
      </c>
      <c r="N1120">
        <v>0</v>
      </c>
      <c r="O1120">
        <v>-3.7029929999999999E-3</v>
      </c>
      <c r="P1120">
        <v>0.99843999999999999</v>
      </c>
      <c r="Q1120">
        <v>4.5885219999999997E-2</v>
      </c>
      <c r="R1120">
        <v>-3.1815759999999998E-2</v>
      </c>
      <c r="S1120">
        <v>3.025665</v>
      </c>
      <c r="T1120">
        <v>-0.80338229999999999</v>
      </c>
      <c r="U1120">
        <v>-0.50994870000000003</v>
      </c>
      <c r="V1120">
        <v>2.8120269999999999E-2</v>
      </c>
      <c r="W1120">
        <v>6.1846650000000003E-2</v>
      </c>
      <c r="X1120">
        <v>0.99768939999999995</v>
      </c>
      <c r="Y1120">
        <v>0.157365</v>
      </c>
      <c r="Z1120">
        <v>-1.9439350000000001E-2</v>
      </c>
      <c r="AA1120">
        <v>0.98734920000000004</v>
      </c>
      <c r="AB1120">
        <v>22</v>
      </c>
      <c r="AC1120">
        <v>0.57540000000000102</v>
      </c>
      <c r="AD1120">
        <v>-0.18189169999999899</v>
      </c>
      <c r="AE1120">
        <v>-0.11529999999998999</v>
      </c>
      <c r="AF1120">
        <v>0.103249073422943</v>
      </c>
      <c r="AG1120">
        <v>-0.18189169999999899</v>
      </c>
      <c r="AH1120">
        <v>0.52535234771783201</v>
      </c>
      <c r="AI1120">
        <v>108.764119959748</v>
      </c>
      <c r="AJ1120">
        <v>78.881198496916198</v>
      </c>
      <c r="AK1120">
        <v>0.56545561359334395</v>
      </c>
      <c r="AL1120">
        <v>86.454184877948506</v>
      </c>
      <c r="AM1120">
        <v>88.385523244410805</v>
      </c>
      <c r="AN1120">
        <v>0.999999948286726</v>
      </c>
    </row>
    <row r="1121" spans="1:40" x14ac:dyDescent="0.25">
      <c r="A1121" t="str">
        <f>"20190312150653166"</f>
        <v>20190312150653166</v>
      </c>
      <c r="B1121" t="str">
        <f>"1552374413161187"</f>
        <v>1552374413161187</v>
      </c>
      <c r="C1121" t="s">
        <v>40</v>
      </c>
      <c r="D1121">
        <v>4.2362719999999996</v>
      </c>
      <c r="E1121">
        <v>0.55028569999999999</v>
      </c>
      <c r="F1121" t="s">
        <v>41</v>
      </c>
      <c r="G1121">
        <v>-312.95139999999998</v>
      </c>
      <c r="H1121">
        <v>0.85959039999999998</v>
      </c>
      <c r="I1121">
        <v>367.16120000000001</v>
      </c>
      <c r="J1121">
        <v>-313.60289999999998</v>
      </c>
      <c r="K1121">
        <v>1.062934</v>
      </c>
      <c r="L1121">
        <v>367.28910000000002</v>
      </c>
      <c r="M1121">
        <v>0.99986779999999997</v>
      </c>
      <c r="N1121">
        <v>0</v>
      </c>
      <c r="O1121">
        <v>-3.7029849999999998E-3</v>
      </c>
      <c r="P1121">
        <v>0.99844310000000003</v>
      </c>
      <c r="Q1121">
        <v>4.5966609999999998E-2</v>
      </c>
      <c r="R1121">
        <v>-3.1602600000000002E-2</v>
      </c>
      <c r="S1121">
        <v>3.0256349999999999</v>
      </c>
      <c r="T1121">
        <v>-0.80952290000000005</v>
      </c>
      <c r="U1121">
        <v>-0.50982669999999997</v>
      </c>
      <c r="V1121">
        <v>2.7906940000000002E-2</v>
      </c>
      <c r="W1121">
        <v>6.177763E-2</v>
      </c>
      <c r="X1121">
        <v>0.99769969999999997</v>
      </c>
      <c r="Y1121">
        <v>0.15725339999999999</v>
      </c>
      <c r="Z1121">
        <v>-1.9568680000000001E-2</v>
      </c>
      <c r="AA1121">
        <v>0.98736440000000003</v>
      </c>
      <c r="AB1121">
        <v>22</v>
      </c>
      <c r="AC1121">
        <v>0.65149999999999797</v>
      </c>
      <c r="AD1121">
        <v>-0.20334360000000001</v>
      </c>
      <c r="AE1121">
        <v>-0.127900000000011</v>
      </c>
      <c r="AF1121">
        <v>0.11472497243336301</v>
      </c>
      <c r="AG1121">
        <v>-0.20334360000000001</v>
      </c>
      <c r="AH1121">
        <v>0.59605816362011199</v>
      </c>
      <c r="AI1121">
        <v>108.52077390081899</v>
      </c>
      <c r="AJ1121">
        <v>79.105351670735999</v>
      </c>
      <c r="AK1121">
        <v>0.64015292968085102</v>
      </c>
      <c r="AL1121">
        <v>86.458147129239094</v>
      </c>
      <c r="AM1121">
        <v>88.397781341853403</v>
      </c>
      <c r="AN1121">
        <v>0.99999998212433505</v>
      </c>
    </row>
    <row r="1122" spans="1:40" x14ac:dyDescent="0.25">
      <c r="A1122" t="str">
        <f>"20190312150653177"</f>
        <v>20190312150653177</v>
      </c>
      <c r="B1122" t="str">
        <f>"1552374413171919"</f>
        <v>1552374413171919</v>
      </c>
      <c r="C1122" t="s">
        <v>40</v>
      </c>
      <c r="D1122">
        <v>4.4155899999999999</v>
      </c>
      <c r="E1122">
        <v>0.54987959999999902</v>
      </c>
      <c r="F1122" t="s">
        <v>41</v>
      </c>
      <c r="G1122">
        <v>-312.76549999999997</v>
      </c>
      <c r="H1122">
        <v>0.8381786</v>
      </c>
      <c r="I1122">
        <v>367.14769999999999</v>
      </c>
      <c r="J1122">
        <v>-313.48930000000001</v>
      </c>
      <c r="K1122">
        <v>1.06273</v>
      </c>
      <c r="L1122">
        <v>367.28859999999997</v>
      </c>
      <c r="M1122">
        <v>0.99986989999999998</v>
      </c>
      <c r="N1122">
        <v>0</v>
      </c>
      <c r="O1122">
        <v>-3.7026960000000001E-3</v>
      </c>
      <c r="P1122">
        <v>0.99845059999999997</v>
      </c>
      <c r="Q1122">
        <v>4.5987779999999999E-2</v>
      </c>
      <c r="R1122">
        <v>-3.1332159999999998E-2</v>
      </c>
      <c r="S1122">
        <v>3.02597</v>
      </c>
      <c r="T1122">
        <v>-0.81220389999999998</v>
      </c>
      <c r="U1122">
        <v>-0.51010129999999998</v>
      </c>
      <c r="V1122">
        <v>2.763678E-2</v>
      </c>
      <c r="W1122">
        <v>6.1656269999999999E-2</v>
      </c>
      <c r="X1122">
        <v>0.99771480000000001</v>
      </c>
      <c r="Y1122">
        <v>0.1572886</v>
      </c>
      <c r="Z1122">
        <v>-1.96338E-2</v>
      </c>
      <c r="AA1122">
        <v>0.9873575</v>
      </c>
      <c r="AB1122">
        <v>22</v>
      </c>
      <c r="AC1122">
        <v>0.72380000000003897</v>
      </c>
      <c r="AD1122">
        <v>-0.22455140000000001</v>
      </c>
      <c r="AE1122">
        <v>-0.14089999999998701</v>
      </c>
      <c r="AF1122">
        <v>0.12648882713332599</v>
      </c>
      <c r="AG1122">
        <v>-0.22455140000000001</v>
      </c>
      <c r="AH1122">
        <v>0.66284800182875903</v>
      </c>
      <c r="AI1122">
        <v>108.40553418453101</v>
      </c>
      <c r="AJ1122">
        <v>79.196346269937706</v>
      </c>
      <c r="AK1122">
        <v>0.71118930543133396</v>
      </c>
      <c r="AL1122">
        <v>86.465114082673097</v>
      </c>
      <c r="AM1122">
        <v>88.413308048000602</v>
      </c>
      <c r="AN1122">
        <v>1.00000005468905</v>
      </c>
    </row>
    <row r="1123" spans="1:40" x14ac:dyDescent="0.25">
      <c r="A1123" t="str">
        <f>"20190312150653188"</f>
        <v>20190312150653188</v>
      </c>
      <c r="B1123" t="str">
        <f>"1552374413181680"</f>
        <v>1552374413181680</v>
      </c>
      <c r="C1123" t="s">
        <v>40</v>
      </c>
      <c r="D1123">
        <v>4.2122070000000003</v>
      </c>
      <c r="E1123">
        <v>0.54990499999999998</v>
      </c>
      <c r="F1123" t="s">
        <v>41</v>
      </c>
      <c r="G1123">
        <v>-312.75490000000002</v>
      </c>
      <c r="H1123">
        <v>0.86459459999999999</v>
      </c>
      <c r="I1123">
        <v>367.16550000000001</v>
      </c>
      <c r="J1123">
        <v>-313.3811</v>
      </c>
      <c r="K1123">
        <v>1.062548</v>
      </c>
      <c r="L1123">
        <v>367.28820000000002</v>
      </c>
      <c r="M1123">
        <v>0.99987199999999998</v>
      </c>
      <c r="N1123">
        <v>0</v>
      </c>
      <c r="O1123">
        <v>-3.7025119999999998E-3</v>
      </c>
      <c r="P1123">
        <v>0.99845569999999895</v>
      </c>
      <c r="Q1123">
        <v>4.5998270000000001E-2</v>
      </c>
      <c r="R1123">
        <v>-3.1151120000000001E-2</v>
      </c>
      <c r="S1123">
        <v>3.0263979999999999</v>
      </c>
      <c r="T1123">
        <v>-0.81658140000000001</v>
      </c>
      <c r="U1123">
        <v>-0.50650019999999996</v>
      </c>
      <c r="V1123">
        <v>2.745595E-2</v>
      </c>
      <c r="W1123">
        <v>6.1536819999999999E-2</v>
      </c>
      <c r="X1123">
        <v>0.99772709999999998</v>
      </c>
      <c r="Y1123">
        <v>0.15610829999999901</v>
      </c>
      <c r="Z1123">
        <v>-1.9579860000000001E-2</v>
      </c>
      <c r="AA1123">
        <v>0.98754580000000003</v>
      </c>
      <c r="AB1123">
        <v>22</v>
      </c>
      <c r="AC1123">
        <v>0.62619999999998299</v>
      </c>
      <c r="AD1123">
        <v>-0.1979534</v>
      </c>
      <c r="AE1123">
        <v>-0.122700000000008</v>
      </c>
      <c r="AF1123">
        <v>0.109812451694841</v>
      </c>
      <c r="AG1123">
        <v>-0.1979534</v>
      </c>
      <c r="AH1123">
        <v>0.57163790404146098</v>
      </c>
      <c r="AI1123">
        <v>108.781812031668</v>
      </c>
      <c r="AJ1123">
        <v>79.125870560587401</v>
      </c>
      <c r="AK1123">
        <v>0.61482860738233902</v>
      </c>
      <c r="AL1123">
        <v>86.471970847221897</v>
      </c>
      <c r="AM1123">
        <v>88.423704087635102</v>
      </c>
      <c r="AN1123">
        <v>0.999999987740262</v>
      </c>
    </row>
    <row r="1124" spans="1:40" x14ac:dyDescent="0.25">
      <c r="A1124" t="str">
        <f>"20190312150653200"</f>
        <v>20190312150653200</v>
      </c>
      <c r="B1124" t="str">
        <f>"1552374413191439"</f>
        <v>1552374413191439</v>
      </c>
      <c r="C1124" t="s">
        <v>40</v>
      </c>
      <c r="D1124">
        <v>4.2162459999999999</v>
      </c>
      <c r="E1124">
        <v>0.54998419999999903</v>
      </c>
      <c r="F1124" t="s">
        <v>41</v>
      </c>
      <c r="G1124">
        <v>-312.5693</v>
      </c>
      <c r="H1124">
        <v>0.84311150000000001</v>
      </c>
      <c r="I1124">
        <v>367.15219999999999</v>
      </c>
      <c r="J1124">
        <v>-313.26780000000002</v>
      </c>
      <c r="K1124">
        <v>1.062373</v>
      </c>
      <c r="L1124">
        <v>367.2878</v>
      </c>
      <c r="M1124">
        <v>0.99987409999999999</v>
      </c>
      <c r="N1124">
        <v>0</v>
      </c>
      <c r="O1124">
        <v>-3.7027150000000001E-3</v>
      </c>
      <c r="P1124">
        <v>0.99846170000000001</v>
      </c>
      <c r="Q1124">
        <v>4.5954149999999999E-2</v>
      </c>
      <c r="R1124">
        <v>-3.1027720000000002E-2</v>
      </c>
      <c r="S1124">
        <v>3.0264890000000002</v>
      </c>
      <c r="T1124">
        <v>-0.81807229999999997</v>
      </c>
      <c r="U1124">
        <v>-0.50628660000000003</v>
      </c>
      <c r="V1124">
        <v>2.733238E-2</v>
      </c>
      <c r="W1124">
        <v>6.136548E-2</v>
      </c>
      <c r="X1124">
        <v>0.99774099999999999</v>
      </c>
      <c r="Y1124">
        <v>0.15601970000000001</v>
      </c>
      <c r="Z1124">
        <v>-1.96022E-2</v>
      </c>
      <c r="AA1124">
        <v>0.98755939999999998</v>
      </c>
      <c r="AB1124">
        <v>22</v>
      </c>
      <c r="AC1124">
        <v>0.69850000000002399</v>
      </c>
      <c r="AD1124">
        <v>-0.219261499999999</v>
      </c>
      <c r="AE1124">
        <v>-0.13560000000000999</v>
      </c>
      <c r="AF1124">
        <v>0.121477326302405</v>
      </c>
      <c r="AG1124">
        <v>-0.219261499999999</v>
      </c>
      <c r="AH1124">
        <v>0.63837897872751503</v>
      </c>
      <c r="AI1124">
        <v>108.644984466384</v>
      </c>
      <c r="AJ1124">
        <v>79.225980423799498</v>
      </c>
      <c r="AK1124">
        <v>0.68582801537194105</v>
      </c>
      <c r="AL1124">
        <v>86.481806333933093</v>
      </c>
      <c r="AM1124">
        <v>88.4308167608758</v>
      </c>
      <c r="AN1124">
        <v>0.99999994210654497</v>
      </c>
    </row>
    <row r="1125" spans="1:40" x14ac:dyDescent="0.25">
      <c r="A1125" t="str">
        <f>"20190312150653210"</f>
        <v>20190312150653210</v>
      </c>
      <c r="B1125" t="str">
        <f>"1552374413201200"</f>
        <v>1552374413201200</v>
      </c>
      <c r="C1125" t="s">
        <v>40</v>
      </c>
      <c r="D1125">
        <v>4.3788239999999998</v>
      </c>
      <c r="E1125">
        <v>0.5501646</v>
      </c>
      <c r="F1125" t="s">
        <v>41</v>
      </c>
      <c r="G1125">
        <v>-312.55829999999997</v>
      </c>
      <c r="H1125">
        <v>0.87008129999999995</v>
      </c>
      <c r="I1125">
        <v>367.16879999999998</v>
      </c>
      <c r="J1125">
        <v>-313.16570000000002</v>
      </c>
      <c r="K1125">
        <v>1.062227</v>
      </c>
      <c r="L1125">
        <v>367.28739999999999</v>
      </c>
      <c r="M1125">
        <v>0.99987570000000003</v>
      </c>
      <c r="N1125">
        <v>0</v>
      </c>
      <c r="O1125">
        <v>-3.7027219999999999E-3</v>
      </c>
      <c r="P1125">
        <v>0.99846800000000002</v>
      </c>
      <c r="Q1125">
        <v>4.5946189999999998E-2</v>
      </c>
      <c r="R1125">
        <v>-3.0834859999999999E-2</v>
      </c>
      <c r="S1125">
        <v>3.0266419999999998</v>
      </c>
      <c r="T1125">
        <v>-0.82036730000000002</v>
      </c>
      <c r="U1125">
        <v>-0.50665280000000001</v>
      </c>
      <c r="V1125">
        <v>2.7139460000000001E-2</v>
      </c>
      <c r="W1125">
        <v>6.1250300000000001E-2</v>
      </c>
      <c r="X1125">
        <v>0.99775340000000001</v>
      </c>
      <c r="Y1125">
        <v>0.1560964</v>
      </c>
      <c r="Z1125">
        <v>-1.9664330000000001E-2</v>
      </c>
      <c r="AA1125">
        <v>0.98754609999999998</v>
      </c>
      <c r="AB1125">
        <v>22</v>
      </c>
      <c r="AC1125">
        <v>0.60740000000004102</v>
      </c>
      <c r="AD1125">
        <v>-0.1921457</v>
      </c>
      <c r="AE1125">
        <v>-0.118600000000014</v>
      </c>
      <c r="AF1125">
        <v>0.106120256577445</v>
      </c>
      <c r="AG1125">
        <v>-0.1921457</v>
      </c>
      <c r="AH1125">
        <v>0.55439338790246795</v>
      </c>
      <c r="AI1125">
        <v>108.798936665163</v>
      </c>
      <c r="AJ1125">
        <v>79.163700206063595</v>
      </c>
      <c r="AK1125">
        <v>0.59626630580180295</v>
      </c>
      <c r="AL1125">
        <v>86.488418297423806</v>
      </c>
      <c r="AM1125">
        <v>88.441906394470394</v>
      </c>
      <c r="AN1125">
        <v>0.99999999837537001</v>
      </c>
    </row>
    <row r="1126" spans="1:40" x14ac:dyDescent="0.25">
      <c r="A1126" t="str">
        <f>"20190312150653222"</f>
        <v>20190312150653222</v>
      </c>
      <c r="B1126" t="str">
        <f>"1552374413211936"</f>
        <v>1552374413211936</v>
      </c>
      <c r="C1126" t="s">
        <v>40</v>
      </c>
      <c r="D1126">
        <v>4.1424070000000004</v>
      </c>
      <c r="E1126">
        <v>0.55012479999999997</v>
      </c>
      <c r="F1126" t="s">
        <v>41</v>
      </c>
      <c r="G1126">
        <v>-312.37369999999999</v>
      </c>
      <c r="H1126">
        <v>0.8469373</v>
      </c>
      <c r="I1126">
        <v>367.15440000000001</v>
      </c>
      <c r="J1126">
        <v>-313.05220000000003</v>
      </c>
      <c r="K1126">
        <v>1.0620719999999999</v>
      </c>
      <c r="L1126">
        <v>367.28699999999998</v>
      </c>
      <c r="M1126">
        <v>0.99987749999999997</v>
      </c>
      <c r="N1126">
        <v>0</v>
      </c>
      <c r="O1126">
        <v>-3.7028009999999999E-3</v>
      </c>
      <c r="P1126">
        <v>0.99848250000000005</v>
      </c>
      <c r="Q1126">
        <v>4.5718189999999999E-2</v>
      </c>
      <c r="R1126">
        <v>-3.070647E-2</v>
      </c>
      <c r="S1126">
        <v>3.0268250000000001</v>
      </c>
      <c r="T1126">
        <v>-0.82289310000000004</v>
      </c>
      <c r="U1126">
        <v>-0.50769039999999999</v>
      </c>
      <c r="V1126">
        <v>2.70111E-2</v>
      </c>
      <c r="W1126">
        <v>6.0908089999999998E-2</v>
      </c>
      <c r="X1126">
        <v>0.99777780000000005</v>
      </c>
      <c r="Y1126">
        <v>0.1563746</v>
      </c>
      <c r="Z1126">
        <v>-1.9758009999999999E-2</v>
      </c>
      <c r="AA1126">
        <v>0.98750020000000005</v>
      </c>
      <c r="AB1126">
        <v>22</v>
      </c>
      <c r="AC1126">
        <v>0.67850000000004196</v>
      </c>
      <c r="AD1126">
        <v>-0.21513469999999901</v>
      </c>
      <c r="AE1126">
        <v>-0.13259999999996799</v>
      </c>
      <c r="AF1126">
        <v>0.118601401568489</v>
      </c>
      <c r="AG1126">
        <v>-0.21513469999999901</v>
      </c>
      <c r="AH1126">
        <v>0.61904017180289905</v>
      </c>
      <c r="AI1126">
        <v>108.84588018570599</v>
      </c>
      <c r="AJ1126">
        <v>79.154177535913803</v>
      </c>
      <c r="AK1126">
        <v>0.666002977398647</v>
      </c>
      <c r="AL1126">
        <v>86.508062051640906</v>
      </c>
      <c r="AM1126">
        <v>88.449309920162193</v>
      </c>
      <c r="AN1126">
        <v>0.99999996656174805</v>
      </c>
    </row>
    <row r="1127" spans="1:40" x14ac:dyDescent="0.25">
      <c r="A1127" t="str">
        <f>"20190312150653233"</f>
        <v>20190312150653233</v>
      </c>
      <c r="B1127" t="str">
        <f>"1552374413221695"</f>
        <v>1552374413221695</v>
      </c>
      <c r="C1127" t="s">
        <v>40</v>
      </c>
      <c r="D1127">
        <v>4.1774149999999999</v>
      </c>
      <c r="E1127">
        <v>0.55019810000000002</v>
      </c>
      <c r="F1127" t="s">
        <v>41</v>
      </c>
      <c r="G1127">
        <v>-312.36239999999998</v>
      </c>
      <c r="H1127">
        <v>0.874067499999999</v>
      </c>
      <c r="I1127">
        <v>367.1712</v>
      </c>
      <c r="J1127">
        <v>-312.94490000000002</v>
      </c>
      <c r="K1127">
        <v>1.0619449999999999</v>
      </c>
      <c r="L1127">
        <v>367.28660000000002</v>
      </c>
      <c r="M1127">
        <v>0.99987890000000001</v>
      </c>
      <c r="N1127">
        <v>0</v>
      </c>
      <c r="O1127">
        <v>-3.7026469999999999E-3</v>
      </c>
      <c r="P1127">
        <v>0.99848510000000001</v>
      </c>
      <c r="Q1127">
        <v>4.5667899999999997E-2</v>
      </c>
      <c r="R1127">
        <v>-3.0687389999999998E-2</v>
      </c>
      <c r="S1127">
        <v>3.0267330000000001</v>
      </c>
      <c r="T1127">
        <v>-0.82510139999999998</v>
      </c>
      <c r="U1127">
        <v>-0.50708009999999903</v>
      </c>
      <c r="V1127">
        <v>2.6992149999999999E-2</v>
      </c>
      <c r="W1127">
        <v>6.0759599999999997E-2</v>
      </c>
      <c r="X1127">
        <v>0.99778739999999999</v>
      </c>
      <c r="Y1127">
        <v>0.15616440000000001</v>
      </c>
      <c r="Z1127">
        <v>-1.978218E-2</v>
      </c>
      <c r="AA1127">
        <v>0.98753299999999999</v>
      </c>
      <c r="AB1127">
        <v>22</v>
      </c>
      <c r="AC1127">
        <v>0.58250000000003799</v>
      </c>
      <c r="AD1127">
        <v>-0.1878775</v>
      </c>
      <c r="AE1127">
        <v>-0.115400000000022</v>
      </c>
      <c r="AF1127">
        <v>0.102937976372699</v>
      </c>
      <c r="AG1127">
        <v>-0.1878775</v>
      </c>
      <c r="AH1127">
        <v>0.52988165802824605</v>
      </c>
      <c r="AI1127">
        <v>109.190866474183</v>
      </c>
      <c r="AJ1127">
        <v>79.006312552609401</v>
      </c>
      <c r="AK1127">
        <v>0.57154943224599597</v>
      </c>
      <c r="AL1127">
        <v>86.516585806742398</v>
      </c>
      <c r="AM1127">
        <v>88.450412198898704</v>
      </c>
      <c r="AN1127">
        <v>1.0000000003762699</v>
      </c>
    </row>
    <row r="1128" spans="1:40" x14ac:dyDescent="0.25">
      <c r="A1128" t="str">
        <f>"20190312150653246"</f>
        <v>20190312150653246</v>
      </c>
      <c r="B1128" t="str">
        <f>"1552374413241216"</f>
        <v>1552374413241216</v>
      </c>
      <c r="C1128" t="s">
        <v>40</v>
      </c>
      <c r="D1128">
        <v>4.1518569999999997</v>
      </c>
      <c r="E1128">
        <v>0.55022979999999999</v>
      </c>
      <c r="F1128" t="s">
        <v>41</v>
      </c>
      <c r="G1128">
        <v>-312.17770000000002</v>
      </c>
      <c r="H1128">
        <v>0.85227640000000005</v>
      </c>
      <c r="I1128">
        <v>367.1576</v>
      </c>
      <c r="J1128">
        <v>-312.82859999999999</v>
      </c>
      <c r="K1128">
        <v>1.061815</v>
      </c>
      <c r="L1128">
        <v>367.28620000000001</v>
      </c>
      <c r="M1128">
        <v>0.99988049999999995</v>
      </c>
      <c r="N1128">
        <v>0</v>
      </c>
      <c r="O1128">
        <v>-3.702936E-3</v>
      </c>
      <c r="P1128">
        <v>0.99850700000000003</v>
      </c>
      <c r="Q1128">
        <v>4.5340220000000001E-2</v>
      </c>
      <c r="R1128">
        <v>-3.046842E-2</v>
      </c>
      <c r="S1128">
        <v>3.0267940000000002</v>
      </c>
      <c r="T1128">
        <v>-0.82726250000000001</v>
      </c>
      <c r="U1128">
        <v>-0.50802609999999904</v>
      </c>
      <c r="V1128">
        <v>2.677262E-2</v>
      </c>
      <c r="W1128">
        <v>6.0328380000000001E-2</v>
      </c>
      <c r="X1128">
        <v>0.99781949999999997</v>
      </c>
      <c r="Y1128">
        <v>0.15642449999999999</v>
      </c>
      <c r="Z1128">
        <v>-1.986593E-2</v>
      </c>
      <c r="AA1128">
        <v>0.98749010000000004</v>
      </c>
      <c r="AB1128">
        <v>22</v>
      </c>
      <c r="AC1128">
        <v>0.65089999999997805</v>
      </c>
      <c r="AD1128">
        <v>-0.20953859999999899</v>
      </c>
      <c r="AE1128">
        <v>-0.12860000000000499</v>
      </c>
      <c r="AF1128">
        <v>0.114744034951452</v>
      </c>
      <c r="AG1128">
        <v>-0.20953859999999899</v>
      </c>
      <c r="AH1128">
        <v>0.59229616526742601</v>
      </c>
      <c r="AI1128">
        <v>109.15292924827401</v>
      </c>
      <c r="AJ1128">
        <v>79.036047734888996</v>
      </c>
      <c r="AK1128">
        <v>0.63866060301023597</v>
      </c>
      <c r="AL1128">
        <v>86.541338370700601</v>
      </c>
      <c r="AM1128">
        <v>88.463058511223693</v>
      </c>
      <c r="AN1128">
        <v>1.00000002059766</v>
      </c>
    </row>
    <row r="1129" spans="1:40" x14ac:dyDescent="0.25">
      <c r="A1129" t="str">
        <f>"20190312150653258"</f>
        <v>20190312150653258</v>
      </c>
      <c r="B1129" t="str">
        <f>"1552374413251952"</f>
        <v>1552374413251952</v>
      </c>
      <c r="C1129" t="s">
        <v>40</v>
      </c>
      <c r="D1129">
        <v>4.0904210000000001</v>
      </c>
      <c r="E1129">
        <v>0.55018859999999903</v>
      </c>
      <c r="F1129" t="s">
        <v>41</v>
      </c>
      <c r="G1129">
        <v>-311.99220000000003</v>
      </c>
      <c r="H1129">
        <v>0.83228359999999901</v>
      </c>
      <c r="I1129">
        <v>367.14569999999998</v>
      </c>
      <c r="J1129">
        <v>-312.70370000000003</v>
      </c>
      <c r="K1129">
        <v>1.061693</v>
      </c>
      <c r="L1129">
        <v>367.28570000000002</v>
      </c>
      <c r="M1129">
        <v>0.99988189999999999</v>
      </c>
      <c r="N1129">
        <v>0</v>
      </c>
      <c r="O1129">
        <v>-3.7027750000000002E-3</v>
      </c>
      <c r="P1129">
        <v>0.99851699999999999</v>
      </c>
      <c r="Q1129">
        <v>4.5243520000000002E-2</v>
      </c>
      <c r="R1129">
        <v>-3.028314E-2</v>
      </c>
      <c r="S1129">
        <v>3.0267330000000001</v>
      </c>
      <c r="T1129">
        <v>-0.83066260000000003</v>
      </c>
      <c r="U1129">
        <v>-0.50796509999999995</v>
      </c>
      <c r="V1129">
        <v>2.6587389999999999E-2</v>
      </c>
      <c r="W1129">
        <v>6.0130370000000002E-2</v>
      </c>
      <c r="X1129">
        <v>0.99783639999999996</v>
      </c>
      <c r="Y1129">
        <v>0.15636630000000001</v>
      </c>
      <c r="Z1129">
        <v>-1.9937400000000001E-2</v>
      </c>
      <c r="AA1129">
        <v>0.98749790000000004</v>
      </c>
      <c r="AB1129">
        <v>22</v>
      </c>
      <c r="AC1129">
        <v>0.71150000000000002</v>
      </c>
      <c r="AD1129">
        <v>-0.22940940000000001</v>
      </c>
      <c r="AE1129">
        <v>-0.14000000000004301</v>
      </c>
      <c r="AF1129">
        <v>0.12486675478312401</v>
      </c>
      <c r="AG1129">
        <v>-0.22940940000000001</v>
      </c>
      <c r="AH1129">
        <v>0.647234206306884</v>
      </c>
      <c r="AI1129">
        <v>109.189336654256</v>
      </c>
      <c r="AJ1129">
        <v>79.080446303261695</v>
      </c>
      <c r="AK1129">
        <v>0.697948778258212</v>
      </c>
      <c r="AL1129">
        <v>86.552704125528095</v>
      </c>
      <c r="AM1129">
        <v>88.473712840114999</v>
      </c>
      <c r="AN1129">
        <v>1.00000001593415</v>
      </c>
    </row>
    <row r="1130" spans="1:40" x14ac:dyDescent="0.25">
      <c r="A1130" t="str">
        <f>"20190312150653270"</f>
        <v>20190312150653270</v>
      </c>
      <c r="B1130" t="str">
        <f>"1552374413261235"</f>
        <v>1552374413261235</v>
      </c>
      <c r="C1130" t="s">
        <v>40</v>
      </c>
      <c r="D1130">
        <v>4.1093780000000004</v>
      </c>
      <c r="E1130">
        <v>0.55018420000000001</v>
      </c>
      <c r="F1130" t="s">
        <v>41</v>
      </c>
      <c r="G1130">
        <v>-311.97989999999999</v>
      </c>
      <c r="H1130">
        <v>0.86275840000000004</v>
      </c>
      <c r="I1130">
        <v>367.16430000000003</v>
      </c>
      <c r="J1130">
        <v>-312.58679999999998</v>
      </c>
      <c r="K1130">
        <v>1.0615870000000001</v>
      </c>
      <c r="L1130">
        <v>367.28530000000001</v>
      </c>
      <c r="M1130">
        <v>0.99988319999999997</v>
      </c>
      <c r="N1130">
        <v>0</v>
      </c>
      <c r="O1130">
        <v>-3.7029430000000002E-3</v>
      </c>
      <c r="P1130">
        <v>0.99852540000000001</v>
      </c>
      <c r="Q1130">
        <v>4.5254870000000003E-2</v>
      </c>
      <c r="R1130">
        <v>-2.9989410000000001E-2</v>
      </c>
      <c r="S1130">
        <v>3.026764</v>
      </c>
      <c r="T1130">
        <v>-0.83198470000000002</v>
      </c>
      <c r="U1130">
        <v>-0.50738530000000004</v>
      </c>
      <c r="V1130">
        <v>2.629343E-2</v>
      </c>
      <c r="W1130">
        <v>6.0052309999999998E-2</v>
      </c>
      <c r="X1130">
        <v>0.99784890000000004</v>
      </c>
      <c r="Y1130">
        <v>0.15617020000000001</v>
      </c>
      <c r="Z1130">
        <v>-1.9941799999999999E-2</v>
      </c>
      <c r="AA1130">
        <v>0.98752879999999998</v>
      </c>
      <c r="AB1130">
        <v>22</v>
      </c>
      <c r="AC1130">
        <v>0.606899999999996</v>
      </c>
      <c r="AD1130">
        <v>-0.19882859999999999</v>
      </c>
      <c r="AE1130">
        <v>-0.12099999999998</v>
      </c>
      <c r="AF1130">
        <v>0.107640200709993</v>
      </c>
      <c r="AG1130">
        <v>-0.19882859999999999</v>
      </c>
      <c r="AH1130">
        <v>0.55051569926722199</v>
      </c>
      <c r="AI1130">
        <v>109.51717418980201</v>
      </c>
      <c r="AJ1130">
        <v>78.9367534634885</v>
      </c>
      <c r="AK1130">
        <v>0.59513591735546101</v>
      </c>
      <c r="AL1130">
        <v>86.557184765043303</v>
      </c>
      <c r="AM1130">
        <v>88.490599083750297</v>
      </c>
      <c r="AN1130">
        <v>1.00000002581435</v>
      </c>
    </row>
    <row r="1131" spans="1:40" x14ac:dyDescent="0.25">
      <c r="A1131" t="str">
        <f>"20190312150653281"</f>
        <v>20190312150653281</v>
      </c>
      <c r="B1131" t="str">
        <f>"1552374413271971"</f>
        <v>1552374413271971</v>
      </c>
      <c r="C1131" t="s">
        <v>40</v>
      </c>
      <c r="D1131">
        <v>4.1366839999999998</v>
      </c>
      <c r="E1131">
        <v>0.55016830000000005</v>
      </c>
      <c r="F1131" t="s">
        <v>41</v>
      </c>
      <c r="G1131">
        <v>-311.7944</v>
      </c>
      <c r="H1131">
        <v>0.84354280000000004</v>
      </c>
      <c r="I1131">
        <v>367.15260000000001</v>
      </c>
      <c r="J1131">
        <v>-312.4735</v>
      </c>
      <c r="K1131">
        <v>1.0614939999999999</v>
      </c>
      <c r="L1131">
        <v>367.28489999999999</v>
      </c>
      <c r="M1131">
        <v>0.99988449999999995</v>
      </c>
      <c r="N1131">
        <v>0</v>
      </c>
      <c r="O1131">
        <v>-3.7029319999999999E-3</v>
      </c>
      <c r="P1131">
        <v>0.99854149999999997</v>
      </c>
      <c r="Q1131">
        <v>4.5108420000000003E-2</v>
      </c>
      <c r="R1131">
        <v>-2.9670889999999998E-2</v>
      </c>
      <c r="S1131">
        <v>3.0269780000000002</v>
      </c>
      <c r="T1131">
        <v>-0.83297929999999998</v>
      </c>
      <c r="U1131">
        <v>-0.50628660000000003</v>
      </c>
      <c r="V1131">
        <v>2.5975000000000002E-2</v>
      </c>
      <c r="W1131">
        <v>5.982432E-2</v>
      </c>
      <c r="X1131">
        <v>0.99787090000000001</v>
      </c>
      <c r="Y1131">
        <v>0.1558107</v>
      </c>
      <c r="Z1131">
        <v>-1.9915769999999999E-2</v>
      </c>
      <c r="AA1131">
        <v>0.98758610000000002</v>
      </c>
      <c r="AB1131">
        <v>22</v>
      </c>
      <c r="AC1131">
        <v>0.67910000000000503</v>
      </c>
      <c r="AD1131">
        <v>-0.21795120000000001</v>
      </c>
      <c r="AE1131">
        <v>-0.13229999999998601</v>
      </c>
      <c r="AF1131">
        <v>0.118067506025931</v>
      </c>
      <c r="AG1131">
        <v>-0.21795120000000001</v>
      </c>
      <c r="AH1131">
        <v>0.61823370284420098</v>
      </c>
      <c r="AI1131">
        <v>109.099965377742</v>
      </c>
      <c r="AJ1131">
        <v>79.188096557416202</v>
      </c>
      <c r="AK1131">
        <v>0.66607475022933804</v>
      </c>
      <c r="AL1131">
        <v>86.570271039846901</v>
      </c>
      <c r="AM1131">
        <v>88.508903436192796</v>
      </c>
      <c r="AN1131">
        <v>0.99999999147763596</v>
      </c>
    </row>
    <row r="1132" spans="1:40" x14ac:dyDescent="0.25">
      <c r="A1132" t="str">
        <f>"20190312150653295"</f>
        <v>20190312150653295</v>
      </c>
      <c r="B1132" t="str">
        <f>"1552374413291492"</f>
        <v>1552374413291492</v>
      </c>
      <c r="C1132" t="s">
        <v>40</v>
      </c>
      <c r="D1132">
        <v>4.0662820000000002</v>
      </c>
      <c r="E1132">
        <v>0.55013279999999998</v>
      </c>
      <c r="F1132" t="s">
        <v>41</v>
      </c>
      <c r="G1132">
        <v>-311.78309999999999</v>
      </c>
      <c r="H1132">
        <v>0.87118980000000001</v>
      </c>
      <c r="I1132">
        <v>367.1694</v>
      </c>
      <c r="J1132">
        <v>-312.3562</v>
      </c>
      <c r="K1132">
        <v>1.061409</v>
      </c>
      <c r="L1132">
        <v>367.28449999999998</v>
      </c>
      <c r="M1132">
        <v>0.99988560000000004</v>
      </c>
      <c r="N1132">
        <v>0</v>
      </c>
      <c r="O1132">
        <v>-3.7028370000000001E-3</v>
      </c>
      <c r="P1132">
        <v>0.998552</v>
      </c>
      <c r="Q1132">
        <v>4.5120510000000003E-2</v>
      </c>
      <c r="R1132">
        <v>-2.9301230000000001E-2</v>
      </c>
      <c r="S1132">
        <v>3.027069</v>
      </c>
      <c r="T1132">
        <v>-0.83432209999999996</v>
      </c>
      <c r="U1132">
        <v>-0.50540160000000001</v>
      </c>
      <c r="V1132">
        <v>2.5605340000000001E-2</v>
      </c>
      <c r="W1132">
        <v>5.975863E-2</v>
      </c>
      <c r="X1132">
        <v>0.9978844</v>
      </c>
      <c r="Y1132">
        <v>0.1555182</v>
      </c>
      <c r="Z1132">
        <v>-1.9907339999999999E-2</v>
      </c>
      <c r="AA1132">
        <v>0.98763239999999997</v>
      </c>
      <c r="AB1132">
        <v>22</v>
      </c>
      <c r="AC1132">
        <v>0.57310000000001005</v>
      </c>
      <c r="AD1132">
        <v>-0.19021919999999901</v>
      </c>
      <c r="AE1132">
        <v>-0.11509999999998401</v>
      </c>
      <c r="AF1132">
        <v>0.102158806718079</v>
      </c>
      <c r="AG1132">
        <v>-0.19021919999999901</v>
      </c>
      <c r="AH1132">
        <v>0.51860479458545605</v>
      </c>
      <c r="AI1132">
        <v>109.792506407739</v>
      </c>
      <c r="AJ1132">
        <v>78.856112808815993</v>
      </c>
      <c r="AK1132">
        <v>0.56175679684871205</v>
      </c>
      <c r="AL1132">
        <v>86.574041579967002</v>
      </c>
      <c r="AM1132">
        <v>88.530134292683101</v>
      </c>
      <c r="AN1132">
        <v>1.0000000015296699</v>
      </c>
    </row>
    <row r="1133" spans="1:40" x14ac:dyDescent="0.25">
      <c r="A1133" t="str">
        <f>"20190312150653307"</f>
        <v>20190312150653307</v>
      </c>
      <c r="B1133" t="str">
        <f>"1552374413301251"</f>
        <v>1552374413301251</v>
      </c>
      <c r="C1133" t="s">
        <v>40</v>
      </c>
      <c r="D1133">
        <v>4.086138</v>
      </c>
      <c r="E1133">
        <v>0.55015259999999999</v>
      </c>
      <c r="F1133" t="s">
        <v>41</v>
      </c>
      <c r="G1133">
        <v>-311.59800000000001</v>
      </c>
      <c r="H1133">
        <v>0.8519002</v>
      </c>
      <c r="I1133">
        <v>367.15780000000001</v>
      </c>
      <c r="J1133">
        <v>-312.23689999999999</v>
      </c>
      <c r="K1133">
        <v>1.0613269999999999</v>
      </c>
      <c r="L1133">
        <v>367.28410000000002</v>
      </c>
      <c r="M1133">
        <v>0.99988679999999996</v>
      </c>
      <c r="N1133">
        <v>0</v>
      </c>
      <c r="O1133">
        <v>-3.7029979999999999E-3</v>
      </c>
      <c r="P1133">
        <v>0.99856160000000005</v>
      </c>
      <c r="Q1133">
        <v>4.5103259999999999E-2</v>
      </c>
      <c r="R1133">
        <v>-2.8996330000000001E-2</v>
      </c>
      <c r="S1133">
        <v>3.0273439999999998</v>
      </c>
      <c r="T1133">
        <v>-0.8366036</v>
      </c>
      <c r="U1133">
        <v>-0.50418090000000004</v>
      </c>
      <c r="V1133">
        <v>2.530021E-2</v>
      </c>
      <c r="W1133">
        <v>5.966581E-2</v>
      </c>
      <c r="X1133">
        <v>0.9978977</v>
      </c>
      <c r="Y1133">
        <v>0.15510209999999999</v>
      </c>
      <c r="Z1133">
        <v>-1.9902639999999999E-2</v>
      </c>
      <c r="AA1133">
        <v>0.98769799999999996</v>
      </c>
      <c r="AB1133">
        <v>22</v>
      </c>
      <c r="AC1133">
        <v>0.63889999999997804</v>
      </c>
      <c r="AD1133">
        <v>-0.2094268</v>
      </c>
      <c r="AE1133">
        <v>-0.12630000000001401</v>
      </c>
      <c r="AF1133">
        <v>0.112318508165453</v>
      </c>
      <c r="AG1133">
        <v>-0.2094268</v>
      </c>
      <c r="AH1133">
        <v>0.57944467649432596</v>
      </c>
      <c r="AI1133">
        <v>109.53581948788</v>
      </c>
      <c r="AJ1133">
        <v>79.029933216334499</v>
      </c>
      <c r="AK1133">
        <v>0.62628361383032105</v>
      </c>
      <c r="AL1133">
        <v>86.579369154269401</v>
      </c>
      <c r="AM1133">
        <v>88.547661976427506</v>
      </c>
      <c r="AN1133">
        <v>0.99999996458714402</v>
      </c>
    </row>
    <row r="1134" spans="1:40" x14ac:dyDescent="0.25">
      <c r="A1134" t="str">
        <f>"20190312150653318"</f>
        <v>20190312150653318</v>
      </c>
      <c r="B1134" t="str">
        <f>"1552374413311011"</f>
        <v>1552374413311011</v>
      </c>
      <c r="C1134" t="s">
        <v>40</v>
      </c>
      <c r="D1134">
        <v>4.0833690000000002</v>
      </c>
      <c r="E1134">
        <v>0.5501161</v>
      </c>
      <c r="F1134" t="s">
        <v>41</v>
      </c>
      <c r="G1134">
        <v>-311.41269999999997</v>
      </c>
      <c r="H1134">
        <v>0.83329189999999997</v>
      </c>
      <c r="I1134">
        <v>367.14670000000001</v>
      </c>
      <c r="J1134">
        <v>-312.12169999999998</v>
      </c>
      <c r="K1134">
        <v>1.0612600000000001</v>
      </c>
      <c r="L1134">
        <v>367.28359999999998</v>
      </c>
      <c r="M1134">
        <v>0.99988770000000005</v>
      </c>
      <c r="N1134">
        <v>0</v>
      </c>
      <c r="O1134">
        <v>-3.7027499999999999E-3</v>
      </c>
      <c r="P1134">
        <v>0.99857280000000004</v>
      </c>
      <c r="Q1134">
        <v>4.5007489999999997E-2</v>
      </c>
      <c r="R1134">
        <v>-2.8757339999999999E-2</v>
      </c>
      <c r="S1134">
        <v>3.0275270000000001</v>
      </c>
      <c r="T1134">
        <v>-0.83766289999999999</v>
      </c>
      <c r="U1134">
        <v>-0.50381469999999995</v>
      </c>
      <c r="V1134">
        <v>2.506131E-2</v>
      </c>
      <c r="W1134">
        <v>5.9503510000000003E-2</v>
      </c>
      <c r="X1134">
        <v>0.99791350000000001</v>
      </c>
      <c r="Y1134">
        <v>0.1549681</v>
      </c>
      <c r="Z1134">
        <v>-1.9907970000000001E-2</v>
      </c>
      <c r="AA1134">
        <v>0.98771889999999996</v>
      </c>
      <c r="AB1134">
        <v>22</v>
      </c>
      <c r="AC1134">
        <v>0.70900000000000296</v>
      </c>
      <c r="AD1134">
        <v>-0.22796810000000001</v>
      </c>
      <c r="AE1134">
        <v>-0.13689999999996799</v>
      </c>
      <c r="AF1134">
        <v>0.122103637724403</v>
      </c>
      <c r="AG1134">
        <v>-0.22796810000000001</v>
      </c>
      <c r="AH1134">
        <v>0.64519629563095504</v>
      </c>
      <c r="AI1134">
        <v>109.145417348618</v>
      </c>
      <c r="AJ1134">
        <v>79.283492739859</v>
      </c>
      <c r="AK1134">
        <v>0.69509496679162397</v>
      </c>
      <c r="AL1134">
        <v>86.588685086560702</v>
      </c>
      <c r="AM1134">
        <v>88.561392814674093</v>
      </c>
      <c r="AN1134">
        <v>1.0000000452217399</v>
      </c>
    </row>
    <row r="1135" spans="1:40" x14ac:dyDescent="0.25">
      <c r="A1135" t="str">
        <f>"20190312150653334"</f>
        <v>20190312150653334</v>
      </c>
      <c r="B1135" t="str">
        <f>"1552374413321747"</f>
        <v>1552374413321747</v>
      </c>
      <c r="C1135" t="s">
        <v>40</v>
      </c>
      <c r="D1135">
        <v>4.0644479999999996</v>
      </c>
      <c r="E1135">
        <v>0.55011919999999903</v>
      </c>
      <c r="F1135" t="s">
        <v>41</v>
      </c>
      <c r="G1135">
        <v>-311.40120000000002</v>
      </c>
      <c r="H1135">
        <v>0.86163029999999996</v>
      </c>
      <c r="I1135">
        <v>367.16370000000001</v>
      </c>
      <c r="J1135">
        <v>-311.97829999999999</v>
      </c>
      <c r="K1135">
        <v>1.0611809999999999</v>
      </c>
      <c r="L1135">
        <v>367.28309999999999</v>
      </c>
      <c r="M1135">
        <v>0.99988889999999997</v>
      </c>
      <c r="N1135">
        <v>0</v>
      </c>
      <c r="O1135">
        <v>-3.7029020000000001E-3</v>
      </c>
      <c r="P1135">
        <v>0.99860300000000002</v>
      </c>
      <c r="Q1135">
        <v>4.4809019999999998E-2</v>
      </c>
      <c r="R1135">
        <v>-2.8010940000000002E-2</v>
      </c>
      <c r="S1135">
        <v>3.0276489999999998</v>
      </c>
      <c r="T1135">
        <v>-0.83894919999999995</v>
      </c>
      <c r="U1135">
        <v>-0.50311279999999903</v>
      </c>
      <c r="V1135">
        <v>2.4314880000000001E-2</v>
      </c>
      <c r="W1135">
        <v>5.9228370000000002E-2</v>
      </c>
      <c r="X1135">
        <v>0.99794830000000001</v>
      </c>
      <c r="Y1135">
        <v>0.1547308</v>
      </c>
      <c r="Z1135">
        <v>-1.9904950000000001E-2</v>
      </c>
      <c r="AA1135">
        <v>0.98775610000000003</v>
      </c>
      <c r="AB1135">
        <v>22</v>
      </c>
      <c r="AC1135">
        <v>0.57709999999997297</v>
      </c>
      <c r="AD1135">
        <v>-0.1995507</v>
      </c>
      <c r="AE1135">
        <v>-0.11939999999998401</v>
      </c>
      <c r="AF1135">
        <v>0.105200082558717</v>
      </c>
      <c r="AG1135">
        <v>-0.1995507</v>
      </c>
      <c r="AH1135">
        <v>0.51813085928714497</v>
      </c>
      <c r="AI1135">
        <v>110.678239222664</v>
      </c>
      <c r="AJ1135">
        <v>78.522814084785793</v>
      </c>
      <c r="AK1135">
        <v>0.56510806629040999</v>
      </c>
      <c r="AL1135">
        <v>86.604477184409205</v>
      </c>
      <c r="AM1135">
        <v>88.604271960993799</v>
      </c>
      <c r="AN1135">
        <v>1.00000001133758</v>
      </c>
    </row>
    <row r="1136" spans="1:40" x14ac:dyDescent="0.25">
      <c r="A1136" t="str">
        <f>"20190312150653344"</f>
        <v>20190312150653344</v>
      </c>
      <c r="B1136" t="str">
        <f>"1552374413341269"</f>
        <v>1552374413341269</v>
      </c>
      <c r="C1136" t="s">
        <v>40</v>
      </c>
      <c r="D1136">
        <v>4.0600949999999996</v>
      </c>
      <c r="E1136">
        <v>0.55015009999999998</v>
      </c>
      <c r="F1136" t="s">
        <v>41</v>
      </c>
      <c r="G1136">
        <v>-311.21379999999999</v>
      </c>
      <c r="H1136">
        <v>0.848966</v>
      </c>
      <c r="I1136">
        <v>367.15640000000002</v>
      </c>
      <c r="J1136">
        <v>-311.87459999999999</v>
      </c>
      <c r="K1136">
        <v>1.0611299999999999</v>
      </c>
      <c r="L1136">
        <v>367.28269999999998</v>
      </c>
      <c r="M1136">
        <v>0.99988960000000005</v>
      </c>
      <c r="N1136">
        <v>0</v>
      </c>
      <c r="O1136">
        <v>-3.702992E-3</v>
      </c>
      <c r="P1136">
        <v>0.99860539999999998</v>
      </c>
      <c r="Q1136">
        <v>4.4902600000000001E-2</v>
      </c>
      <c r="R1136">
        <v>-2.7768270000000001E-2</v>
      </c>
      <c r="S1136">
        <v>3.0278930000000002</v>
      </c>
      <c r="T1136">
        <v>-0.84059619999999902</v>
      </c>
      <c r="U1136">
        <v>-0.500946</v>
      </c>
      <c r="V1136">
        <v>2.4072099999999999E-2</v>
      </c>
      <c r="W1136">
        <v>5.9267880000000002E-2</v>
      </c>
      <c r="X1136">
        <v>0.99795180000000006</v>
      </c>
      <c r="Y1136">
        <v>0.15403420000000001</v>
      </c>
      <c r="Z1136">
        <v>-1.9847879999999998E-2</v>
      </c>
      <c r="AA1136">
        <v>0.98786620000000003</v>
      </c>
      <c r="AB1136">
        <v>22</v>
      </c>
      <c r="AC1136">
        <v>0.66079999999999395</v>
      </c>
      <c r="AD1136">
        <v>-0.21216399999999899</v>
      </c>
      <c r="AE1136">
        <v>-0.126299999999957</v>
      </c>
      <c r="AF1136">
        <v>0.11264862351537</v>
      </c>
      <c r="AG1136">
        <v>-0.21216399999999899</v>
      </c>
      <c r="AH1136">
        <v>0.60144708084671705</v>
      </c>
      <c r="AI1136">
        <v>109.12279990780701</v>
      </c>
      <c r="AJ1136">
        <v>79.391637340192702</v>
      </c>
      <c r="AK1136">
        <v>0.64764331721630997</v>
      </c>
      <c r="AL1136">
        <v>86.602209308424904</v>
      </c>
      <c r="AM1136">
        <v>88.618207485451094</v>
      </c>
      <c r="AN1136">
        <v>0.99999997136067098</v>
      </c>
    </row>
    <row r="1137" spans="1:40" x14ac:dyDescent="0.25">
      <c r="A1137" t="str">
        <f>"20190312150653355"</f>
        <v>20190312150653355</v>
      </c>
      <c r="B1137" t="str">
        <f>"1552374413352004"</f>
        <v>1552374413352004</v>
      </c>
      <c r="C1137" t="s">
        <v>40</v>
      </c>
      <c r="D1137">
        <v>4.0522679999999998</v>
      </c>
      <c r="E1137">
        <v>0.55009359999999996</v>
      </c>
      <c r="F1137" t="s">
        <v>41</v>
      </c>
      <c r="G1137">
        <v>-311.03059999999999</v>
      </c>
      <c r="H1137">
        <v>0.82634719999999995</v>
      </c>
      <c r="I1137">
        <v>367.1431</v>
      </c>
      <c r="J1137">
        <v>-311.76409999999998</v>
      </c>
      <c r="K1137">
        <v>1.0610839999999999</v>
      </c>
      <c r="L1137">
        <v>367.28230000000002</v>
      </c>
      <c r="M1137">
        <v>0.99989039999999996</v>
      </c>
      <c r="N1137">
        <v>0</v>
      </c>
      <c r="O1137">
        <v>-3.7029799999999998E-3</v>
      </c>
      <c r="P1137">
        <v>0.99860660000000001</v>
      </c>
      <c r="Q1137">
        <v>4.5222329999999998E-2</v>
      </c>
      <c r="R1137">
        <v>-2.7201099999999898E-2</v>
      </c>
      <c r="S1137">
        <v>3.0281370000000001</v>
      </c>
      <c r="T1137">
        <v>-0.84242419999999996</v>
      </c>
      <c r="U1137">
        <v>-0.50064090000000006</v>
      </c>
      <c r="V1137">
        <v>2.3504850000000001E-2</v>
      </c>
      <c r="W1137">
        <v>5.953634E-2</v>
      </c>
      <c r="X1137">
        <v>0.99794939999999999</v>
      </c>
      <c r="Y1137">
        <v>0.1539063</v>
      </c>
      <c r="Z1137">
        <v>-1.9870780000000001E-2</v>
      </c>
      <c r="AA1137">
        <v>0.98788560000000003</v>
      </c>
      <c r="AB1137">
        <v>22</v>
      </c>
      <c r="AC1137">
        <v>0.73349999999999205</v>
      </c>
      <c r="AD1137">
        <v>-0.2347368</v>
      </c>
      <c r="AE1137">
        <v>-0.13920000000001601</v>
      </c>
      <c r="AF1137">
        <v>0.124204465385719</v>
      </c>
      <c r="AG1137">
        <v>-0.2347368</v>
      </c>
      <c r="AH1137">
        <v>0.66797788583556394</v>
      </c>
      <c r="AI1137">
        <v>109.059634263747</v>
      </c>
      <c r="AJ1137">
        <v>79.466660389281202</v>
      </c>
      <c r="AK1137">
        <v>0.71883417452242904</v>
      </c>
      <c r="AL1137">
        <v>86.586800671241207</v>
      </c>
      <c r="AM1137">
        <v>88.650753482079296</v>
      </c>
      <c r="AN1137">
        <v>1.00000002935723</v>
      </c>
    </row>
    <row r="1138" spans="1:40" x14ac:dyDescent="0.25">
      <c r="A1138" t="str">
        <f>"20190312150653368"</f>
        <v>20190312150653368</v>
      </c>
      <c r="B1138" t="str">
        <f>"1552374413361763"</f>
        <v>1552374413361763</v>
      </c>
      <c r="C1138" t="s">
        <v>40</v>
      </c>
      <c r="D1138">
        <v>4.1532559999999998</v>
      </c>
      <c r="E1138">
        <v>0.55019969999999996</v>
      </c>
      <c r="F1138" t="s">
        <v>41</v>
      </c>
      <c r="G1138">
        <v>-311.01940000000002</v>
      </c>
      <c r="H1138">
        <v>0.85407049999999995</v>
      </c>
      <c r="I1138">
        <v>367.15969999999999</v>
      </c>
      <c r="J1138">
        <v>-311.65030000000002</v>
      </c>
      <c r="K1138">
        <v>1.0610379999999999</v>
      </c>
      <c r="L1138">
        <v>367.28199999999998</v>
      </c>
      <c r="M1138">
        <v>0.99989099999999997</v>
      </c>
      <c r="N1138">
        <v>0</v>
      </c>
      <c r="O1138">
        <v>-3.7029699999999999E-3</v>
      </c>
      <c r="P1138">
        <v>0.99860819999999995</v>
      </c>
      <c r="Q1138">
        <v>4.5495750000000001E-2</v>
      </c>
      <c r="R1138">
        <v>-2.668179E-2</v>
      </c>
      <c r="S1138">
        <v>3.028778</v>
      </c>
      <c r="T1138">
        <v>-0.84196789999999999</v>
      </c>
      <c r="U1138">
        <v>-0.49853520000000001</v>
      </c>
      <c r="V1138">
        <v>2.2985700000000001E-2</v>
      </c>
      <c r="W1138">
        <v>5.9758150000000003E-2</v>
      </c>
      <c r="X1138">
        <v>0.99794819999999995</v>
      </c>
      <c r="Y1138">
        <v>0.15323619999999999</v>
      </c>
      <c r="Z1138">
        <v>-1.976663E-2</v>
      </c>
      <c r="AA1138">
        <v>0.98799190000000003</v>
      </c>
      <c r="AB1138">
        <v>22</v>
      </c>
      <c r="AC1138">
        <v>0.63089999999999602</v>
      </c>
      <c r="AD1138">
        <v>-0.2069675</v>
      </c>
      <c r="AE1138">
        <v>-0.122299999999995</v>
      </c>
      <c r="AF1138">
        <v>0.108689447939798</v>
      </c>
      <c r="AG1138">
        <v>-0.2069675</v>
      </c>
      <c r="AH1138">
        <v>0.57201879607891903</v>
      </c>
      <c r="AI1138">
        <v>109.568242836895</v>
      </c>
      <c r="AJ1138">
        <v>79.241464788783702</v>
      </c>
      <c r="AK1138">
        <v>0.61794372334160397</v>
      </c>
      <c r="AL1138">
        <v>86.574069106688</v>
      </c>
      <c r="AM1138">
        <v>88.680541956879793</v>
      </c>
      <c r="AN1138">
        <v>0.99999999438957599</v>
      </c>
    </row>
    <row r="1139" spans="1:40" x14ac:dyDescent="0.25">
      <c r="A1139" t="str">
        <f>"20190312150653378"</f>
        <v>20190312150653378</v>
      </c>
      <c r="B1139" t="str">
        <f>"1552374413371524"</f>
        <v>1552374413371524</v>
      </c>
      <c r="C1139" t="s">
        <v>40</v>
      </c>
      <c r="D1139">
        <v>4.1275760000000004</v>
      </c>
      <c r="E1139">
        <v>0.55027649999999995</v>
      </c>
      <c r="F1139" t="s">
        <v>41</v>
      </c>
      <c r="G1139">
        <v>-310.83539999999999</v>
      </c>
      <c r="H1139">
        <v>0.83428910000000001</v>
      </c>
      <c r="I1139">
        <v>367.14780000000002</v>
      </c>
      <c r="J1139">
        <v>-311.54360000000003</v>
      </c>
      <c r="K1139">
        <v>1.0610010000000001</v>
      </c>
      <c r="L1139">
        <v>367.28160000000003</v>
      </c>
      <c r="M1139">
        <v>0.99989189999999994</v>
      </c>
      <c r="N1139">
        <v>0</v>
      </c>
      <c r="O1139">
        <v>-3.7031299999999998E-3</v>
      </c>
      <c r="P1139">
        <v>0.99860740000000003</v>
      </c>
      <c r="Q1139">
        <v>4.5931510000000002E-2</v>
      </c>
      <c r="R1139">
        <v>-2.5965019999999998E-2</v>
      </c>
      <c r="S1139">
        <v>3.0292970000000001</v>
      </c>
      <c r="T1139">
        <v>-0.84293069999999903</v>
      </c>
      <c r="U1139">
        <v>-0.49783329999999998</v>
      </c>
      <c r="V1139">
        <v>2.22686E-2</v>
      </c>
      <c r="W1139">
        <v>6.014941E-2</v>
      </c>
      <c r="X1139">
        <v>0.99794099999999997</v>
      </c>
      <c r="Y1139">
        <v>0.1529845</v>
      </c>
      <c r="Z1139">
        <v>-1.9751350000000001E-2</v>
      </c>
      <c r="AA1139">
        <v>0.9880312</v>
      </c>
      <c r="AB1139">
        <v>22</v>
      </c>
      <c r="AC1139">
        <v>0.70820000000003303</v>
      </c>
      <c r="AD1139">
        <v>-0.22671189999999999</v>
      </c>
      <c r="AE1139">
        <v>-0.133800000000007</v>
      </c>
      <c r="AF1139">
        <v>0.119365348545419</v>
      </c>
      <c r="AG1139">
        <v>-0.22671189999999999</v>
      </c>
      <c r="AH1139">
        <v>0.64488123815628495</v>
      </c>
      <c r="AI1139">
        <v>109.069459846109</v>
      </c>
      <c r="AJ1139">
        <v>79.513428276859301</v>
      </c>
      <c r="AK1139">
        <v>0.69391511250365701</v>
      </c>
      <c r="AL1139">
        <v>86.551611321492899</v>
      </c>
      <c r="AM1139">
        <v>88.721682858996701</v>
      </c>
      <c r="AN1139">
        <v>1.0000000407751499</v>
      </c>
    </row>
    <row r="1140" spans="1:40" x14ac:dyDescent="0.25">
      <c r="A1140" t="str">
        <f>"20190312150653391"</f>
        <v>20190312150653391</v>
      </c>
      <c r="B1140" t="str">
        <f>"1552374413381284"</f>
        <v>1552374413381284</v>
      </c>
      <c r="C1140" t="s">
        <v>40</v>
      </c>
      <c r="D1140">
        <v>4.1801219999999999</v>
      </c>
      <c r="E1140">
        <v>0.55027649999999995</v>
      </c>
      <c r="F1140" t="s">
        <v>41</v>
      </c>
      <c r="G1140">
        <v>-310.82459999999998</v>
      </c>
      <c r="H1140">
        <v>0.86077340000000002</v>
      </c>
      <c r="I1140">
        <v>367.16340000000002</v>
      </c>
      <c r="J1140">
        <v>-311.43180000000001</v>
      </c>
      <c r="K1140">
        <v>1.0609649999999999</v>
      </c>
      <c r="L1140">
        <v>367.28109999999998</v>
      </c>
      <c r="M1140">
        <v>0.99989240000000001</v>
      </c>
      <c r="N1140">
        <v>0</v>
      </c>
      <c r="O1140">
        <v>-3.7030560000000001E-3</v>
      </c>
      <c r="P1140">
        <v>0.99861089999999997</v>
      </c>
      <c r="Q1140">
        <v>4.6054970000000001E-2</v>
      </c>
      <c r="R1140">
        <v>-2.560308E-2</v>
      </c>
      <c r="S1140">
        <v>3.0301209999999998</v>
      </c>
      <c r="T1140">
        <v>-0.84404330000000005</v>
      </c>
      <c r="U1140">
        <v>-0.49707030000000002</v>
      </c>
      <c r="V1140">
        <v>2.19069E-2</v>
      </c>
      <c r="W1140">
        <v>6.0229379999999999E-2</v>
      </c>
      <c r="X1140">
        <v>0.9979441</v>
      </c>
      <c r="Y1140">
        <v>0.15269820000000001</v>
      </c>
      <c r="Z1140">
        <v>-1.9732889999999999E-2</v>
      </c>
      <c r="AA1140">
        <v>0.98807590000000001</v>
      </c>
      <c r="AB1140">
        <v>22</v>
      </c>
      <c r="AC1140">
        <v>0.60720000000003405</v>
      </c>
      <c r="AD1140">
        <v>-0.200191599999999</v>
      </c>
      <c r="AE1140">
        <v>-0.11769999999995601</v>
      </c>
      <c r="AF1140">
        <v>0.104502452598081</v>
      </c>
      <c r="AG1140">
        <v>-0.200191599999999</v>
      </c>
      <c r="AH1140">
        <v>0.55001080233098898</v>
      </c>
      <c r="AI1140">
        <v>109.67605572083799</v>
      </c>
      <c r="AJ1140">
        <v>79.241992679006202</v>
      </c>
      <c r="AK1140">
        <v>0.59456649921632199</v>
      </c>
      <c r="AL1140">
        <v>86.547020771844601</v>
      </c>
      <c r="AM1140">
        <v>88.742443237686899</v>
      </c>
      <c r="AN1140">
        <v>0.99999995860380098</v>
      </c>
    </row>
    <row r="1141" spans="1:40" x14ac:dyDescent="0.25">
      <c r="A1141" t="str">
        <f>"20190312150653402"</f>
        <v>20190312150653402</v>
      </c>
      <c r="B1141" t="str">
        <f>"1552374413391044"</f>
        <v>1552374413391044</v>
      </c>
      <c r="C1141" t="s">
        <v>40</v>
      </c>
      <c r="D1141">
        <v>4.071205</v>
      </c>
      <c r="E1141">
        <v>0.55001499999999903</v>
      </c>
      <c r="F1141" t="s">
        <v>41</v>
      </c>
      <c r="G1141">
        <v>-310.64089999999999</v>
      </c>
      <c r="H1141">
        <v>0.84084029999999998</v>
      </c>
      <c r="I1141">
        <v>367.15159999999997</v>
      </c>
      <c r="J1141">
        <v>-311.3116</v>
      </c>
      <c r="K1141">
        <v>1.0609280000000001</v>
      </c>
      <c r="L1141">
        <v>367.28070000000002</v>
      </c>
      <c r="M1141">
        <v>0.99989309999999998</v>
      </c>
      <c r="N1141">
        <v>0</v>
      </c>
      <c r="O1141">
        <v>-3.7030969999999998E-3</v>
      </c>
      <c r="P1141">
        <v>0.99858559999999996</v>
      </c>
      <c r="Q1141">
        <v>4.6701949999999999E-2</v>
      </c>
      <c r="R1141">
        <v>-2.5417120000000001E-2</v>
      </c>
      <c r="S1141">
        <v>3.0303960000000001</v>
      </c>
      <c r="T1141">
        <v>-0.84349409999999903</v>
      </c>
      <c r="U1141">
        <v>-0.4960022</v>
      </c>
      <c r="V1141">
        <v>2.1721000000000001E-2</v>
      </c>
      <c r="W1141">
        <v>6.0830990000000001E-2</v>
      </c>
      <c r="X1141">
        <v>0.99791169999999996</v>
      </c>
      <c r="Y1141">
        <v>0.15236469999999999</v>
      </c>
      <c r="Z1141">
        <v>-1.9674069999999998E-2</v>
      </c>
      <c r="AA1141">
        <v>0.98812849999999997</v>
      </c>
      <c r="AB1141">
        <v>21</v>
      </c>
      <c r="AC1141">
        <v>0.67070000000000995</v>
      </c>
      <c r="AD1141">
        <v>-0.2200877</v>
      </c>
      <c r="AE1141">
        <v>-0.12910000000005001</v>
      </c>
      <c r="AF1141">
        <v>0.11470504240511099</v>
      </c>
      <c r="AG1141">
        <v>-0.2200877</v>
      </c>
      <c r="AH1141">
        <v>0.608039062173375</v>
      </c>
      <c r="AI1141">
        <v>109.579929012801</v>
      </c>
      <c r="AJ1141">
        <v>79.316844553642596</v>
      </c>
      <c r="AK1141">
        <v>0.65673993602728797</v>
      </c>
      <c r="AL1141">
        <v>86.512487831045704</v>
      </c>
      <c r="AM1141">
        <v>88.753070897854698</v>
      </c>
      <c r="AN1141">
        <v>0.99999998609113505</v>
      </c>
    </row>
    <row r="1142" spans="1:40" x14ac:dyDescent="0.25">
      <c r="A1142" t="str">
        <f>"20190312150653529"</f>
        <v>20190312150653529</v>
      </c>
      <c r="B1142" t="str">
        <f>"1552374413521827"</f>
        <v>1552374413521827</v>
      </c>
      <c r="C1142" t="s">
        <v>40</v>
      </c>
      <c r="D1142">
        <v>4.1648959999999997</v>
      </c>
      <c r="E1142">
        <v>0.51334639999999998</v>
      </c>
      <c r="F1142" t="s">
        <v>41</v>
      </c>
      <c r="G1142">
        <v>-309.48759999999999</v>
      </c>
      <c r="H1142">
        <v>0.85901949999999905</v>
      </c>
      <c r="I1142">
        <v>367.15780000000001</v>
      </c>
      <c r="J1142">
        <v>-310.10680000000002</v>
      </c>
      <c r="K1142">
        <v>1.0606979999999999</v>
      </c>
      <c r="L1142">
        <v>367.27620000000002</v>
      </c>
      <c r="M1142">
        <v>0.99989740000000005</v>
      </c>
      <c r="N1142">
        <v>0</v>
      </c>
      <c r="O1142">
        <v>-3.7032240000000002E-3</v>
      </c>
      <c r="P1142">
        <v>0.99855099999999997</v>
      </c>
      <c r="Q1142">
        <v>4.7096590000000001E-2</v>
      </c>
      <c r="R1142">
        <v>-2.604983E-2</v>
      </c>
      <c r="S1142">
        <v>3.0310359999999998</v>
      </c>
      <c r="T1142">
        <v>-0.84092489999999998</v>
      </c>
      <c r="U1142">
        <v>-0.4949036</v>
      </c>
      <c r="V1142">
        <v>2.2353439999999999E-2</v>
      </c>
      <c r="W1142">
        <v>6.0920469999999997E-2</v>
      </c>
      <c r="X1142">
        <v>0.99789229999999995</v>
      </c>
      <c r="Y1142">
        <v>0.15202959999999999</v>
      </c>
      <c r="Z1142">
        <v>-1.956751E-2</v>
      </c>
      <c r="AA1142">
        <v>0.98818220000000001</v>
      </c>
      <c r="AB1142">
        <v>21</v>
      </c>
      <c r="AC1142">
        <v>0.61920000000003395</v>
      </c>
      <c r="AD1142">
        <v>-0.20167850000000001</v>
      </c>
      <c r="AE1142">
        <v>-0.118400000000008</v>
      </c>
      <c r="AF1142">
        <v>0.10532642369189101</v>
      </c>
      <c r="AG1142">
        <v>-0.20167850000000001</v>
      </c>
      <c r="AH1142">
        <v>0.56210616548936698</v>
      </c>
      <c r="AI1142">
        <v>109.425363462709</v>
      </c>
      <c r="AJ1142">
        <v>79.387088242008602</v>
      </c>
      <c r="AK1142">
        <v>0.60640845489746797</v>
      </c>
      <c r="AL1142">
        <v>86.507351566207703</v>
      </c>
      <c r="AM1142">
        <v>88.716751686969801</v>
      </c>
      <c r="AN1142">
        <v>1.0000000111720699</v>
      </c>
    </row>
    <row r="1143" spans="1:40" x14ac:dyDescent="0.25">
      <c r="A1143" t="str">
        <f>"20190312150653539"</f>
        <v>20190312150653539</v>
      </c>
      <c r="B1143" t="str">
        <f>"1552374413531587"</f>
        <v>1552374413531587</v>
      </c>
      <c r="C1143" t="s">
        <v>40</v>
      </c>
      <c r="D1143">
        <v>4.1860549999999996</v>
      </c>
      <c r="E1143">
        <v>0.51081909999999997</v>
      </c>
      <c r="F1143" t="s">
        <v>47</v>
      </c>
      <c r="G1143">
        <v>-158.19499999999999</v>
      </c>
      <c r="H1143">
        <v>6.6714209999999996</v>
      </c>
      <c r="I1143">
        <v>357.8784</v>
      </c>
      <c r="J1143">
        <v>-310.00400000000002</v>
      </c>
      <c r="K1143">
        <v>1.0606899999999999</v>
      </c>
      <c r="L1143">
        <v>367.27589999999998</v>
      </c>
      <c r="M1143">
        <v>0.99989749999999999</v>
      </c>
      <c r="N1143">
        <v>0</v>
      </c>
      <c r="O1143">
        <v>-3.703104E-3</v>
      </c>
      <c r="P1143">
        <v>0.99855559999999999</v>
      </c>
      <c r="Q1143">
        <v>4.7212249999999997E-2</v>
      </c>
      <c r="R1143">
        <v>-2.5648939999999999E-2</v>
      </c>
      <c r="S1143">
        <v>2.9943240000000002</v>
      </c>
      <c r="T1143">
        <v>0.11059430000000001</v>
      </c>
      <c r="U1143">
        <v>-0.18524170000000001</v>
      </c>
      <c r="V1143">
        <v>2.1952920000000001E-2</v>
      </c>
      <c r="W1143">
        <v>6.1018990000000002E-2</v>
      </c>
      <c r="X1143">
        <v>0.99789519999999998</v>
      </c>
      <c r="Y1143">
        <v>5.8012540000000001E-2</v>
      </c>
      <c r="Z1143">
        <v>9.333446E-4</v>
      </c>
      <c r="AA1143">
        <v>0.99831539999999996</v>
      </c>
      <c r="AB1143">
        <v>21</v>
      </c>
      <c r="AC1143">
        <v>151.809</v>
      </c>
      <c r="AD1143">
        <v>5.6107309999999897</v>
      </c>
      <c r="AE1143">
        <v>-9.3974999999999795</v>
      </c>
      <c r="AF1143">
        <v>8.8232109586607805</v>
      </c>
      <c r="AG1143">
        <v>5.6107309999999897</v>
      </c>
      <c r="AH1143">
        <v>151.63642078977901</v>
      </c>
      <c r="AI1143">
        <v>87.884528423359598</v>
      </c>
      <c r="AJ1143">
        <v>86.6699070137349</v>
      </c>
      <c r="AK1143">
        <v>151.99649161711</v>
      </c>
      <c r="AL1143">
        <v>86.501696362543498</v>
      </c>
      <c r="AM1143">
        <v>88.739740595425502</v>
      </c>
      <c r="AN1143">
        <v>1.00000003901009</v>
      </c>
    </row>
    <row r="1144" spans="1:40" x14ac:dyDescent="0.25">
      <c r="A1144" t="str">
        <f>"20190312150653551"</f>
        <v>20190312150653551</v>
      </c>
      <c r="B1144" t="str">
        <f>"1552374413541348"</f>
        <v>1552374413541348</v>
      </c>
      <c r="C1144" t="s">
        <v>40</v>
      </c>
      <c r="D1144">
        <v>4.2061849999999996</v>
      </c>
      <c r="E1144">
        <v>0.51065669999999996</v>
      </c>
      <c r="F1144" t="s">
        <v>47</v>
      </c>
      <c r="G1144">
        <v>-158.19499999999999</v>
      </c>
      <c r="H1144">
        <v>5.783074</v>
      </c>
      <c r="I1144">
        <v>358.95580000000001</v>
      </c>
      <c r="J1144">
        <v>-309.90379999999999</v>
      </c>
      <c r="K1144">
        <v>1.060681</v>
      </c>
      <c r="L1144">
        <v>367.27550000000002</v>
      </c>
      <c r="M1144">
        <v>0.9998977</v>
      </c>
      <c r="N1144">
        <v>0</v>
      </c>
      <c r="O1144">
        <v>-3.7032329999999998E-3</v>
      </c>
      <c r="P1144">
        <v>0.99855050000000001</v>
      </c>
      <c r="Q1144">
        <v>4.7360430000000002E-2</v>
      </c>
      <c r="R1144">
        <v>-2.557413E-2</v>
      </c>
      <c r="S1144">
        <v>2.9957280000000002</v>
      </c>
      <c r="T1144">
        <v>9.3191029999999994E-2</v>
      </c>
      <c r="U1144">
        <v>-0.16418460000000001</v>
      </c>
      <c r="V1144">
        <v>2.1878020000000001E-2</v>
      </c>
      <c r="W1144">
        <v>6.1151299999999999E-2</v>
      </c>
      <c r="X1144">
        <v>0.99788869999999996</v>
      </c>
      <c r="Y1144">
        <v>5.1002899999999997E-2</v>
      </c>
      <c r="Z1144">
        <v>6.7741869999999997E-4</v>
      </c>
      <c r="AA1144">
        <v>0.99869830000000004</v>
      </c>
      <c r="AB1144">
        <v>21</v>
      </c>
      <c r="AC1144">
        <v>151.7088</v>
      </c>
      <c r="AD1144">
        <v>4.7223930000000003</v>
      </c>
      <c r="AE1144">
        <v>-8.3197000000000099</v>
      </c>
      <c r="AF1144">
        <v>7.75028913174281</v>
      </c>
      <c r="AG1144">
        <v>4.7223930000000003</v>
      </c>
      <c r="AH1144">
        <v>151.59212704140501</v>
      </c>
      <c r="AI1144">
        <v>88.218026675227605</v>
      </c>
      <c r="AJ1144">
        <v>87.073248005446601</v>
      </c>
      <c r="AK1144">
        <v>151.863560336934</v>
      </c>
      <c r="AL1144">
        <v>86.494101215018603</v>
      </c>
      <c r="AM1144">
        <v>88.744030849411899</v>
      </c>
      <c r="AN1144">
        <v>0.99999999341925006</v>
      </c>
    </row>
    <row r="1145" spans="1:40" x14ac:dyDescent="0.25">
      <c r="A1145" t="str">
        <f>"20190312150653560"</f>
        <v>20190312150653560</v>
      </c>
      <c r="B1145" t="str">
        <f>"1552374413551108"</f>
        <v>1552374413551108</v>
      </c>
      <c r="C1145" t="s">
        <v>40</v>
      </c>
      <c r="D1145">
        <v>4.1906879999999997</v>
      </c>
      <c r="E1145">
        <v>0.50877709999999998</v>
      </c>
      <c r="F1145" t="s">
        <v>47</v>
      </c>
      <c r="G1145">
        <v>-158.19499999999999</v>
      </c>
      <c r="H1145">
        <v>5.1067679999999998</v>
      </c>
      <c r="I1145">
        <v>359.03070000000002</v>
      </c>
      <c r="J1145">
        <v>-309.80130000000003</v>
      </c>
      <c r="K1145">
        <v>1.060678</v>
      </c>
      <c r="L1145">
        <v>367.27510000000001</v>
      </c>
      <c r="M1145">
        <v>0.99989799999999995</v>
      </c>
      <c r="N1145">
        <v>0</v>
      </c>
      <c r="O1145">
        <v>-3.703245E-3</v>
      </c>
      <c r="P1145">
        <v>0.99854080000000001</v>
      </c>
      <c r="Q1145">
        <v>4.75941E-2</v>
      </c>
      <c r="R1145">
        <v>-2.552113E-2</v>
      </c>
      <c r="S1145">
        <v>2.9963679999999999</v>
      </c>
      <c r="T1145">
        <v>7.9915050000000001E-2</v>
      </c>
      <c r="U1145">
        <v>-0.16284179999999901</v>
      </c>
      <c r="V1145">
        <v>2.1825029999999999E-2</v>
      </c>
      <c r="W1145">
        <v>6.136929E-2</v>
      </c>
      <c r="X1145">
        <v>0.99787650000000006</v>
      </c>
      <c r="Y1145">
        <v>5.0551180000000001E-2</v>
      </c>
      <c r="Z1145">
        <v>5.7481510000000004E-4</v>
      </c>
      <c r="AA1145">
        <v>0.99872130000000003</v>
      </c>
      <c r="AB1145">
        <v>21</v>
      </c>
      <c r="AC1145">
        <v>151.6063</v>
      </c>
      <c r="AD1145">
        <v>4.0460900000000004</v>
      </c>
      <c r="AE1145">
        <v>-8.2443999999999793</v>
      </c>
      <c r="AF1145">
        <v>7.6774026046464297</v>
      </c>
      <c r="AG1145">
        <v>4.0460900000000004</v>
      </c>
      <c r="AH1145">
        <v>151.52818541881001</v>
      </c>
      <c r="AI1145">
        <v>88.472415983531405</v>
      </c>
      <c r="AJ1145">
        <v>87.099503715829101</v>
      </c>
      <c r="AK1145">
        <v>151.776494660271</v>
      </c>
      <c r="AL1145">
        <v>86.481587883238603</v>
      </c>
      <c r="AM1145">
        <v>88.747056604858699</v>
      </c>
      <c r="AN1145">
        <v>1.0000000154709201</v>
      </c>
    </row>
    <row r="1146" spans="1:40" x14ac:dyDescent="0.25">
      <c r="A1146" t="str">
        <f>"20190312150653571"</f>
        <v>20190312150653571</v>
      </c>
      <c r="B1146" t="str">
        <f>"1552374413561843"</f>
        <v>1552374413561843</v>
      </c>
      <c r="C1146" t="s">
        <v>40</v>
      </c>
      <c r="D1146">
        <v>4.1489419999999999</v>
      </c>
      <c r="E1146">
        <v>0.5074883</v>
      </c>
      <c r="F1146" t="s">
        <v>47</v>
      </c>
      <c r="G1146">
        <v>-158.19499999999999</v>
      </c>
      <c r="H1146">
        <v>4.2789780000000004</v>
      </c>
      <c r="I1146">
        <v>359.79539999999997</v>
      </c>
      <c r="J1146">
        <v>-309.7072</v>
      </c>
      <c r="K1146">
        <v>1.0606719999999901</v>
      </c>
      <c r="L1146">
        <v>367.27480000000003</v>
      </c>
      <c r="M1146">
        <v>0.99989819999999996</v>
      </c>
      <c r="N1146">
        <v>0</v>
      </c>
      <c r="O1146">
        <v>-3.7033930000000001E-3</v>
      </c>
      <c r="P1146">
        <v>0.99854449999999995</v>
      </c>
      <c r="Q1146">
        <v>4.7687430000000003E-2</v>
      </c>
      <c r="R1146">
        <v>-2.520588E-2</v>
      </c>
      <c r="S1146">
        <v>2.9975589999999999</v>
      </c>
      <c r="T1146">
        <v>6.3633919999999997E-2</v>
      </c>
      <c r="U1146">
        <v>-0.1478882</v>
      </c>
      <c r="V1146">
        <v>2.150958E-2</v>
      </c>
      <c r="W1146">
        <v>6.1449249999999997E-2</v>
      </c>
      <c r="X1146">
        <v>0.99787840000000005</v>
      </c>
      <c r="Y1146">
        <v>4.5567280000000002E-2</v>
      </c>
      <c r="Z1146">
        <v>4.0474940000000001E-4</v>
      </c>
      <c r="AA1146">
        <v>0.99896119999999999</v>
      </c>
      <c r="AB1146">
        <v>21</v>
      </c>
      <c r="AC1146">
        <v>151.51220000000001</v>
      </c>
      <c r="AD1146">
        <v>3.2183060000000001</v>
      </c>
      <c r="AE1146">
        <v>-7.4794000000000498</v>
      </c>
      <c r="AF1146">
        <v>6.9150737735777197</v>
      </c>
      <c r="AG1146">
        <v>3.2183060000000001</v>
      </c>
      <c r="AH1146">
        <v>151.47068666249999</v>
      </c>
      <c r="AI1146">
        <v>88.7840826225748</v>
      </c>
      <c r="AJ1146">
        <v>87.386097336501805</v>
      </c>
      <c r="AK1146">
        <v>151.66260137823301</v>
      </c>
      <c r="AL1146">
        <v>86.476997748635796</v>
      </c>
      <c r="AM1146">
        <v>88.765162835046794</v>
      </c>
      <c r="AN1146">
        <v>0.99999998677194901</v>
      </c>
    </row>
    <row r="1147" spans="1:40" x14ac:dyDescent="0.25">
      <c r="A1147" t="str">
        <f>"20190312150653582"</f>
        <v>20190312150653582</v>
      </c>
      <c r="B1147" t="str">
        <f>"1552374413571603"</f>
        <v>1552374413571603</v>
      </c>
      <c r="C1147" t="s">
        <v>40</v>
      </c>
      <c r="D1147">
        <v>4.1836830000000003</v>
      </c>
      <c r="E1147">
        <v>0.50722420000000001</v>
      </c>
      <c r="F1147" t="s">
        <v>47</v>
      </c>
      <c r="G1147">
        <v>-158.19499999999999</v>
      </c>
      <c r="H1147">
        <v>3.6742569999999999</v>
      </c>
      <c r="I1147">
        <v>360.36180000000002</v>
      </c>
      <c r="J1147">
        <v>-309.59809999999999</v>
      </c>
      <c r="K1147">
        <v>1.0606660000000001</v>
      </c>
      <c r="L1147">
        <v>367.27440000000001</v>
      </c>
      <c r="M1147">
        <v>0.99989839999999997</v>
      </c>
      <c r="N1147">
        <v>0</v>
      </c>
      <c r="O1147">
        <v>-3.703292E-3</v>
      </c>
      <c r="P1147">
        <v>0.99853970000000003</v>
      </c>
      <c r="Q1147">
        <v>4.7794660000000003E-2</v>
      </c>
      <c r="R1147">
        <v>-2.5184600000000001E-2</v>
      </c>
      <c r="S1147">
        <v>2.9984739999999999</v>
      </c>
      <c r="T1147">
        <v>5.1725390000000003E-2</v>
      </c>
      <c r="U1147">
        <v>-0.1368103</v>
      </c>
      <c r="V1147">
        <v>2.148854E-2</v>
      </c>
      <c r="W1147">
        <v>6.1542050000000001E-2</v>
      </c>
      <c r="X1147">
        <v>0.99787309999999996</v>
      </c>
      <c r="Y1147">
        <v>4.1873460000000001E-2</v>
      </c>
      <c r="Z1147">
        <v>2.9710540000000001E-4</v>
      </c>
      <c r="AA1147">
        <v>0.99912290000000004</v>
      </c>
      <c r="AB1147">
        <v>21</v>
      </c>
      <c r="AC1147">
        <v>151.40309999999999</v>
      </c>
      <c r="AD1147">
        <v>2.613591</v>
      </c>
      <c r="AE1147">
        <v>-6.9125999999999896</v>
      </c>
      <c r="AF1147">
        <v>6.3499212805388998</v>
      </c>
      <c r="AG1147">
        <v>2.613591</v>
      </c>
      <c r="AH1147">
        <v>151.38264630990699</v>
      </c>
      <c r="AI1147">
        <v>89.0117669692021</v>
      </c>
      <c r="AJ1147">
        <v>87.598069902921296</v>
      </c>
      <c r="AK1147">
        <v>151.538305262976</v>
      </c>
      <c r="AL1147">
        <v>86.471670496714793</v>
      </c>
      <c r="AM1147">
        <v>88.766363790636305</v>
      </c>
      <c r="AN1147">
        <v>0.99999995248657003</v>
      </c>
    </row>
    <row r="1148" spans="1:40" x14ac:dyDescent="0.25">
      <c r="A1148" t="str">
        <f>"20190312150653594"</f>
        <v>20190312150653594</v>
      </c>
      <c r="B1148" t="str">
        <f>"1552374413581364"</f>
        <v>1552374413581364</v>
      </c>
      <c r="C1148" t="s">
        <v>40</v>
      </c>
      <c r="D1148">
        <v>4.209085</v>
      </c>
      <c r="E1148">
        <v>0.50649330000000004</v>
      </c>
      <c r="F1148" t="s">
        <v>47</v>
      </c>
      <c r="G1148">
        <v>-158.19499999999999</v>
      </c>
      <c r="H1148">
        <v>3.3502689999999999</v>
      </c>
      <c r="I1148">
        <v>360.46420000000001</v>
      </c>
      <c r="J1148">
        <v>-309.49369999999999</v>
      </c>
      <c r="K1148">
        <v>1.0606599999999999</v>
      </c>
      <c r="L1148">
        <v>367.274</v>
      </c>
      <c r="M1148">
        <v>0.99989859999999997</v>
      </c>
      <c r="N1148">
        <v>0</v>
      </c>
      <c r="O1148">
        <v>-3.7032039999999999E-3</v>
      </c>
      <c r="P1148">
        <v>0.99852839999999998</v>
      </c>
      <c r="Q1148">
        <v>4.8057900000000001E-2</v>
      </c>
      <c r="R1148">
        <v>-2.5135540000000001E-2</v>
      </c>
      <c r="S1148">
        <v>2.9988100000000002</v>
      </c>
      <c r="T1148">
        <v>4.5351389999999998E-2</v>
      </c>
      <c r="U1148">
        <v>-0.1348877</v>
      </c>
      <c r="V1148">
        <v>2.1439639999999999E-2</v>
      </c>
      <c r="W1148">
        <v>6.1792390000000003E-2</v>
      </c>
      <c r="X1148">
        <v>0.99785869999999999</v>
      </c>
      <c r="Y1148">
        <v>4.1230559999999999E-2</v>
      </c>
      <c r="Z1148">
        <v>2.5561570000000002E-4</v>
      </c>
      <c r="AA1148">
        <v>0.99914959999999997</v>
      </c>
      <c r="AB1148">
        <v>21</v>
      </c>
      <c r="AC1148">
        <v>151.2987</v>
      </c>
      <c r="AD1148">
        <v>2.289609</v>
      </c>
      <c r="AE1148">
        <v>-6.8097999999999903</v>
      </c>
      <c r="AF1148">
        <v>6.2479824194502003</v>
      </c>
      <c r="AG1148">
        <v>2.289609</v>
      </c>
      <c r="AH1148">
        <v>151.28830651408401</v>
      </c>
      <c r="AI1148">
        <v>89.133685759458203</v>
      </c>
      <c r="AJ1148">
        <v>87.635113261674604</v>
      </c>
      <c r="AK1148">
        <v>151.434577562676</v>
      </c>
      <c r="AL1148">
        <v>86.457299786669495</v>
      </c>
      <c r="AM1148">
        <v>88.769152471044904</v>
      </c>
      <c r="AN1148">
        <v>0.99999997139546504</v>
      </c>
    </row>
    <row r="1149" spans="1:40" x14ac:dyDescent="0.25">
      <c r="A1149" t="str">
        <f>"20190312150653605"</f>
        <v>20190312150653605</v>
      </c>
      <c r="B1149" t="str">
        <f>"1552374413601860"</f>
        <v>1552374413601860</v>
      </c>
      <c r="C1149" t="s">
        <v>40</v>
      </c>
      <c r="D1149">
        <v>4.3840250000000003</v>
      </c>
      <c r="E1149">
        <v>0.50620279999999995</v>
      </c>
      <c r="F1149" t="s">
        <v>47</v>
      </c>
      <c r="G1149">
        <v>-158.19499999999999</v>
      </c>
      <c r="H1149">
        <v>2.7244190000000001</v>
      </c>
      <c r="I1149">
        <v>360.7706</v>
      </c>
      <c r="J1149">
        <v>-309.38589999999999</v>
      </c>
      <c r="K1149">
        <v>1.0606549999999999</v>
      </c>
      <c r="L1149">
        <v>367.27359999999999</v>
      </c>
      <c r="M1149">
        <v>0.99989859999999997</v>
      </c>
      <c r="N1149">
        <v>0</v>
      </c>
      <c r="O1149">
        <v>-3.7028769999999998E-3</v>
      </c>
      <c r="P1149">
        <v>0.99853230000000004</v>
      </c>
      <c r="Q1149">
        <v>4.7981120000000002E-2</v>
      </c>
      <c r="R1149">
        <v>-2.5118499999999998E-2</v>
      </c>
      <c r="S1149">
        <v>2.9996640000000001</v>
      </c>
      <c r="T1149">
        <v>3.2987589999999997E-2</v>
      </c>
      <c r="U1149">
        <v>-0.12893679999999999</v>
      </c>
      <c r="V1149">
        <v>2.1422770000000001E-2</v>
      </c>
      <c r="W1149">
        <v>6.1702439999999997E-2</v>
      </c>
      <c r="X1149">
        <v>0.99786470000000005</v>
      </c>
      <c r="Y1149">
        <v>3.9241829999999998E-2</v>
      </c>
      <c r="Z1149">
        <v>1.7496309999999999E-4</v>
      </c>
      <c r="AA1149">
        <v>0.9992297</v>
      </c>
      <c r="AB1149">
        <v>21</v>
      </c>
      <c r="AC1149">
        <v>151.1909</v>
      </c>
      <c r="AD1149">
        <v>1.66376399999999</v>
      </c>
      <c r="AE1149">
        <v>-6.5029999999999797</v>
      </c>
      <c r="AF1149">
        <v>5.9423428994222798</v>
      </c>
      <c r="AG1149">
        <v>1.66376399999999</v>
      </c>
      <c r="AH1149">
        <v>151.19566989496801</v>
      </c>
      <c r="AI1149">
        <v>89.3700264182106</v>
      </c>
      <c r="AJ1149">
        <v>87.749300456259107</v>
      </c>
      <c r="AK1149">
        <v>151.32154554051499</v>
      </c>
      <c r="AL1149">
        <v>86.462463648408104</v>
      </c>
      <c r="AM1149">
        <v>88.770128071214401</v>
      </c>
      <c r="AN1149">
        <v>1.0000000428412501</v>
      </c>
    </row>
    <row r="1150" spans="1:40" x14ac:dyDescent="0.25">
      <c r="A1150" t="str">
        <f>"20190312150653616"</f>
        <v>20190312150653616</v>
      </c>
      <c r="B1150" t="str">
        <f>"1552374413611619"</f>
        <v>1552374413611619</v>
      </c>
      <c r="C1150" t="s">
        <v>40</v>
      </c>
      <c r="D1150">
        <v>4.4867080000000001</v>
      </c>
      <c r="E1150">
        <v>0.50604870000000002</v>
      </c>
      <c r="F1150" t="s">
        <v>47</v>
      </c>
      <c r="G1150">
        <v>-158.19499999999999</v>
      </c>
      <c r="H1150">
        <v>2.3467449999999999</v>
      </c>
      <c r="I1150">
        <v>360.89249999999998</v>
      </c>
      <c r="J1150">
        <v>-309.27519999999998</v>
      </c>
      <c r="K1150">
        <v>1.060654</v>
      </c>
      <c r="L1150">
        <v>367.27319999999997</v>
      </c>
      <c r="M1150">
        <v>0.99989890000000003</v>
      </c>
      <c r="N1150">
        <v>0</v>
      </c>
      <c r="O1150">
        <v>-3.7030330000000001E-3</v>
      </c>
      <c r="P1150">
        <v>0.9985309</v>
      </c>
      <c r="Q1150">
        <v>4.8032079999999998E-2</v>
      </c>
      <c r="R1150">
        <v>-2.5079239999999999E-2</v>
      </c>
      <c r="S1150">
        <v>3</v>
      </c>
      <c r="T1150">
        <v>2.5520919999999999E-2</v>
      </c>
      <c r="U1150">
        <v>-0.12661739999999999</v>
      </c>
      <c r="V1150">
        <v>2.1383570000000001E-2</v>
      </c>
      <c r="W1150">
        <v>6.1741940000000002E-2</v>
      </c>
      <c r="X1150">
        <v>0.9978631</v>
      </c>
      <c r="Y1150">
        <v>3.8466640000000003E-2</v>
      </c>
      <c r="Z1150">
        <v>1.320522E-4</v>
      </c>
      <c r="AA1150">
        <v>0.99925989999999998</v>
      </c>
      <c r="AB1150">
        <v>21</v>
      </c>
      <c r="AC1150">
        <v>151.08019999999999</v>
      </c>
      <c r="AD1150">
        <v>1.2860910000000001</v>
      </c>
      <c r="AE1150">
        <v>-6.3806999999999903</v>
      </c>
      <c r="AF1150">
        <v>5.8207275000940397</v>
      </c>
      <c r="AG1150">
        <v>1.2860910000000001</v>
      </c>
      <c r="AH1150">
        <v>151.091864753474</v>
      </c>
      <c r="AI1150">
        <v>89.512672699949903</v>
      </c>
      <c r="AJ1150">
        <v>87.7938039267314</v>
      </c>
      <c r="AK1150">
        <v>151.20941271419801</v>
      </c>
      <c r="AL1150">
        <v>86.460196150562197</v>
      </c>
      <c r="AM1150">
        <v>88.772375869083007</v>
      </c>
      <c r="AN1150">
        <v>1.0000000452812501</v>
      </c>
    </row>
    <row r="1151" spans="1:40" x14ac:dyDescent="0.25">
      <c r="A1151" t="str">
        <f>"20190312150653628"</f>
        <v>20190312150653628</v>
      </c>
      <c r="B1151" t="str">
        <f>"1552374413621380"</f>
        <v>1552374413621380</v>
      </c>
      <c r="C1151" t="s">
        <v>40</v>
      </c>
      <c r="D1151">
        <v>4.2040069999999998</v>
      </c>
      <c r="E1151">
        <v>0.50606890000000004</v>
      </c>
      <c r="F1151" t="s">
        <v>47</v>
      </c>
      <c r="G1151">
        <v>-158.19499999999999</v>
      </c>
      <c r="H1151">
        <v>2.4235959999999999</v>
      </c>
      <c r="I1151">
        <v>360.9581</v>
      </c>
      <c r="J1151">
        <v>-309.17099999999999</v>
      </c>
      <c r="K1151">
        <v>1.0606500000000001</v>
      </c>
      <c r="L1151">
        <v>367.27280000000002</v>
      </c>
      <c r="M1151">
        <v>0.99989899999999998</v>
      </c>
      <c r="N1151">
        <v>0</v>
      </c>
      <c r="O1151">
        <v>-3.7029580000000001E-3</v>
      </c>
      <c r="P1151">
        <v>0.99852479999999999</v>
      </c>
      <c r="Q1151">
        <v>4.8109319999999997E-2</v>
      </c>
      <c r="R1151">
        <v>-2.5178430000000002E-2</v>
      </c>
      <c r="S1151">
        <v>2.9999690000000001</v>
      </c>
      <c r="T1151">
        <v>2.70654E-2</v>
      </c>
      <c r="U1151">
        <v>-0.1253967</v>
      </c>
      <c r="V1151">
        <v>2.1482770000000002E-2</v>
      </c>
      <c r="W1151">
        <v>6.1807609999999999E-2</v>
      </c>
      <c r="X1151">
        <v>0.99785690000000005</v>
      </c>
      <c r="Y1151">
        <v>3.8061110000000002E-2</v>
      </c>
      <c r="Z1151">
        <v>1.382183E-4</v>
      </c>
      <c r="AA1151">
        <v>0.99927540000000004</v>
      </c>
      <c r="AB1151">
        <v>21</v>
      </c>
      <c r="AC1151">
        <v>150.976</v>
      </c>
      <c r="AD1151">
        <v>1.36294599999999</v>
      </c>
      <c r="AE1151">
        <v>-6.31470000000001</v>
      </c>
      <c r="AF1151">
        <v>5.75507807252544</v>
      </c>
      <c r="AG1151">
        <v>1.36294599999999</v>
      </c>
      <c r="AH1151">
        <v>150.98606656973499</v>
      </c>
      <c r="AI1151">
        <v>89.483182307517296</v>
      </c>
      <c r="AJ1151">
        <v>87.817135451232701</v>
      </c>
      <c r="AK1151">
        <v>151.10185585763099</v>
      </c>
      <c r="AL1151">
        <v>86.456426323455005</v>
      </c>
      <c r="AM1151">
        <v>88.766674922139799</v>
      </c>
      <c r="AN1151">
        <v>1.0000000414691901</v>
      </c>
    </row>
    <row r="1152" spans="1:40" x14ac:dyDescent="0.25">
      <c r="A1152" t="str">
        <f>"20190312150653638"</f>
        <v>20190312150653638</v>
      </c>
      <c r="B1152" t="str">
        <f>"1552374413631140"</f>
        <v>1552374413631140</v>
      </c>
      <c r="C1152" t="s">
        <v>40</v>
      </c>
      <c r="D1152">
        <v>4.3074830000000004</v>
      </c>
      <c r="E1152">
        <v>0.50588549999999999</v>
      </c>
      <c r="F1152" t="s">
        <v>47</v>
      </c>
      <c r="G1152">
        <v>-158.19499999999999</v>
      </c>
      <c r="H1152">
        <v>2.5733229999999998</v>
      </c>
      <c r="I1152">
        <v>360.94639999999998</v>
      </c>
      <c r="J1152">
        <v>-309.06610000000001</v>
      </c>
      <c r="K1152">
        <v>1.060646</v>
      </c>
      <c r="L1152">
        <v>367.2724</v>
      </c>
      <c r="M1152">
        <v>0.99989919999999999</v>
      </c>
      <c r="N1152">
        <v>0</v>
      </c>
      <c r="O1152">
        <v>-3.7028880000000001E-3</v>
      </c>
      <c r="P1152">
        <v>0.99851630000000002</v>
      </c>
      <c r="Q1152">
        <v>4.831742E-2</v>
      </c>
      <c r="R1152">
        <v>-2.511971E-2</v>
      </c>
      <c r="S1152">
        <v>2.9998170000000002</v>
      </c>
      <c r="T1152">
        <v>3.0057790000000001E-2</v>
      </c>
      <c r="U1152">
        <v>-0.12570190000000001</v>
      </c>
      <c r="V1152">
        <v>2.1424019999999998E-2</v>
      </c>
      <c r="W1152">
        <v>6.2005610000000003E-2</v>
      </c>
      <c r="X1152">
        <v>0.9978458</v>
      </c>
      <c r="Y1152">
        <v>3.8164450000000003E-2</v>
      </c>
      <c r="Z1152">
        <v>1.540248E-4</v>
      </c>
      <c r="AA1152">
        <v>0.99927149999999998</v>
      </c>
      <c r="AB1152">
        <v>21</v>
      </c>
      <c r="AC1152">
        <v>150.87110000000001</v>
      </c>
      <c r="AD1152">
        <v>1.5126769999999901</v>
      </c>
      <c r="AE1152">
        <v>-6.3260000000000201</v>
      </c>
      <c r="AF1152">
        <v>5.7666666644337399</v>
      </c>
      <c r="AG1152">
        <v>1.5126769999999901</v>
      </c>
      <c r="AH1152">
        <v>150.878351502615</v>
      </c>
      <c r="AI1152">
        <v>89.426001978683502</v>
      </c>
      <c r="AJ1152">
        <v>87.811184229542206</v>
      </c>
      <c r="AK1152">
        <v>150.99609130130301</v>
      </c>
      <c r="AL1152">
        <v>86.4450596769653</v>
      </c>
      <c r="AM1152">
        <v>88.770033042336607</v>
      </c>
      <c r="AN1152">
        <v>0.99999996244103495</v>
      </c>
    </row>
    <row r="1153" spans="1:40" x14ac:dyDescent="0.25">
      <c r="A1153" t="str">
        <f>"20190312150653649"</f>
        <v>20190312150653649</v>
      </c>
      <c r="B1153" t="str">
        <f>"1552374413641875"</f>
        <v>1552374413641875</v>
      </c>
      <c r="C1153" t="s">
        <v>40</v>
      </c>
      <c r="D1153">
        <v>4.2088939999999999</v>
      </c>
      <c r="E1153">
        <v>0.50579030000000003</v>
      </c>
      <c r="F1153" t="s">
        <v>47</v>
      </c>
      <c r="G1153">
        <v>-158.19499999999999</v>
      </c>
      <c r="H1153">
        <v>2.7185860000000002</v>
      </c>
      <c r="I1153">
        <v>361.0317</v>
      </c>
      <c r="J1153">
        <v>-308.96879999999999</v>
      </c>
      <c r="K1153">
        <v>1.060643</v>
      </c>
      <c r="L1153">
        <v>367.27199999999999</v>
      </c>
      <c r="M1153">
        <v>0.99989930000000005</v>
      </c>
      <c r="N1153">
        <v>0</v>
      </c>
      <c r="O1153">
        <v>-3.7028260000000002E-3</v>
      </c>
      <c r="P1153">
        <v>0.99850139999999998</v>
      </c>
      <c r="Q1153">
        <v>4.8549740000000001E-2</v>
      </c>
      <c r="R1153">
        <v>-2.5259239999999999E-2</v>
      </c>
      <c r="S1153">
        <v>2.9997859999999998</v>
      </c>
      <c r="T1153">
        <v>3.296673E-2</v>
      </c>
      <c r="U1153">
        <v>-0.1240845</v>
      </c>
      <c r="V1153">
        <v>2.1563840000000001E-2</v>
      </c>
      <c r="W1153">
        <v>6.2228810000000002E-2</v>
      </c>
      <c r="X1153">
        <v>0.99782899999999997</v>
      </c>
      <c r="Y1153">
        <v>3.762675E-2</v>
      </c>
      <c r="Z1153">
        <v>1.659814E-4</v>
      </c>
      <c r="AA1153">
        <v>0.99929179999999995</v>
      </c>
      <c r="AB1153">
        <v>21</v>
      </c>
      <c r="AC1153">
        <v>150.77379999999999</v>
      </c>
      <c r="AD1153">
        <v>1.6579429999999999</v>
      </c>
      <c r="AE1153">
        <v>-6.2402999999999897</v>
      </c>
      <c r="AF1153">
        <v>5.6812298853750303</v>
      </c>
      <c r="AG1153">
        <v>1.6579429999999999</v>
      </c>
      <c r="AH1153">
        <v>150.77767468293399</v>
      </c>
      <c r="AI1153">
        <v>89.370450862301993</v>
      </c>
      <c r="AJ1153">
        <v>87.842143545138399</v>
      </c>
      <c r="AK1153">
        <v>150.893778303793</v>
      </c>
      <c r="AL1153">
        <v>86.432246893770795</v>
      </c>
      <c r="AM1153">
        <v>88.761987538008</v>
      </c>
      <c r="AN1153">
        <v>1.0000000686152699</v>
      </c>
    </row>
    <row r="1154" spans="1:40" x14ac:dyDescent="0.25">
      <c r="A1154" t="str">
        <f>"20190312150653659"</f>
        <v>20190312150653659</v>
      </c>
      <c r="B1154" t="str">
        <f>"1552374413651636"</f>
        <v>1552374413651636</v>
      </c>
      <c r="C1154" t="s">
        <v>40</v>
      </c>
      <c r="D1154">
        <v>4.1900599999999999</v>
      </c>
      <c r="E1154">
        <v>0.50570550000000003</v>
      </c>
      <c r="F1154" t="s">
        <v>47</v>
      </c>
      <c r="G1154">
        <v>-158.19499999999999</v>
      </c>
      <c r="H1154">
        <v>2.6614580000000001</v>
      </c>
      <c r="I1154">
        <v>361.0385</v>
      </c>
      <c r="J1154">
        <v>-308.8732</v>
      </c>
      <c r="K1154">
        <v>1.0606390000000001</v>
      </c>
      <c r="L1154">
        <v>367.27170000000001</v>
      </c>
      <c r="M1154">
        <v>0.99989939999999999</v>
      </c>
      <c r="N1154">
        <v>0</v>
      </c>
      <c r="O1154">
        <v>-3.7027689999999999E-3</v>
      </c>
      <c r="P1154">
        <v>0.99850430000000001</v>
      </c>
      <c r="Q1154">
        <v>4.8412530000000002E-2</v>
      </c>
      <c r="R1154">
        <v>-2.5409770000000002E-2</v>
      </c>
      <c r="S1154">
        <v>2.9998170000000002</v>
      </c>
      <c r="T1154">
        <v>3.1851770000000001E-2</v>
      </c>
      <c r="U1154">
        <v>-0.12402340000000001</v>
      </c>
      <c r="V1154">
        <v>2.1714199999999999E-2</v>
      </c>
      <c r="W1154">
        <v>6.2083649999999997E-2</v>
      </c>
      <c r="X1154">
        <v>0.99783469999999996</v>
      </c>
      <c r="Y1154">
        <v>3.7606239999999999E-2</v>
      </c>
      <c r="Z1154">
        <v>1.602582E-4</v>
      </c>
      <c r="AA1154">
        <v>0.99929259999999998</v>
      </c>
      <c r="AB1154">
        <v>21</v>
      </c>
      <c r="AC1154">
        <v>150.6782</v>
      </c>
      <c r="AD1154">
        <v>1.600819</v>
      </c>
      <c r="AE1154">
        <v>-6.2332000000000098</v>
      </c>
      <c r="AF1154">
        <v>5.6745389880177504</v>
      </c>
      <c r="AG1154">
        <v>1.600819</v>
      </c>
      <c r="AH1154">
        <v>150.68327036515601</v>
      </c>
      <c r="AI1154">
        <v>89.391758883035095</v>
      </c>
      <c r="AJ1154">
        <v>87.843333447810394</v>
      </c>
      <c r="AK1154">
        <v>150.798577520267</v>
      </c>
      <c r="AL1154">
        <v>86.440579771501206</v>
      </c>
      <c r="AM1154">
        <v>88.753364978231104</v>
      </c>
      <c r="AN1154">
        <v>0.99999998730152595</v>
      </c>
    </row>
    <row r="1155" spans="1:40" x14ac:dyDescent="0.25">
      <c r="A1155" t="str">
        <f>"20190312150653671"</f>
        <v>20190312150653671</v>
      </c>
      <c r="B1155" t="str">
        <f>"1552374413661395"</f>
        <v>1552374413661395</v>
      </c>
      <c r="C1155" t="s">
        <v>40</v>
      </c>
      <c r="D1155">
        <v>4.1621030000000001</v>
      </c>
      <c r="E1155">
        <v>0.50571499999999903</v>
      </c>
      <c r="F1155" t="s">
        <v>47</v>
      </c>
      <c r="G1155">
        <v>-158.19499999999999</v>
      </c>
      <c r="H1155">
        <v>2.5542020000000001</v>
      </c>
      <c r="I1155">
        <v>361.05619999999999</v>
      </c>
      <c r="J1155">
        <v>-308.76339999999999</v>
      </c>
      <c r="K1155">
        <v>1.060635</v>
      </c>
      <c r="L1155">
        <v>367.2713</v>
      </c>
      <c r="M1155">
        <v>0.99989939999999999</v>
      </c>
      <c r="N1155">
        <v>0</v>
      </c>
      <c r="O1155">
        <v>-3.7024689999999999E-3</v>
      </c>
      <c r="P1155">
        <v>0.99848400000000004</v>
      </c>
      <c r="Q1155">
        <v>4.8703580000000003E-2</v>
      </c>
      <c r="R1155">
        <v>-2.5643289999999999E-2</v>
      </c>
      <c r="S1155">
        <v>2.9999389999999999</v>
      </c>
      <c r="T1155">
        <v>2.9737949999999999E-2</v>
      </c>
      <c r="U1155">
        <v>-0.12374880000000001</v>
      </c>
      <c r="V1155">
        <v>2.1948249999999999E-2</v>
      </c>
      <c r="W1155">
        <v>6.236539E-2</v>
      </c>
      <c r="X1155">
        <v>0.99781200000000003</v>
      </c>
      <c r="Y1155">
        <v>3.7513770000000002E-2</v>
      </c>
      <c r="Z1155">
        <v>1.4916239999999999E-4</v>
      </c>
      <c r="AA1155">
        <v>0.99929610000000002</v>
      </c>
      <c r="AB1155">
        <v>21</v>
      </c>
      <c r="AC1155">
        <v>150.5684</v>
      </c>
      <c r="AD1155">
        <v>1.4935670000000001</v>
      </c>
      <c r="AE1155">
        <v>-6.2150999999999996</v>
      </c>
      <c r="AF1155">
        <v>5.65697461144714</v>
      </c>
      <c r="AG1155">
        <v>1.4935670000000001</v>
      </c>
      <c r="AH1155">
        <v>150.575590177615</v>
      </c>
      <c r="AI1155">
        <v>89.432099470810698</v>
      </c>
      <c r="AJ1155">
        <v>87.848466624458098</v>
      </c>
      <c r="AK1155">
        <v>150.68921813280201</v>
      </c>
      <c r="AL1155">
        <v>86.424405880966802</v>
      </c>
      <c r="AM1155">
        <v>88.739903574124398</v>
      </c>
      <c r="AN1155">
        <v>0.99999997744595703</v>
      </c>
    </row>
    <row r="1156" spans="1:40" x14ac:dyDescent="0.25">
      <c r="A1156" t="str">
        <f>"20190312150653683"</f>
        <v>20190312150653683</v>
      </c>
      <c r="B1156" t="str">
        <f>"1552374413671156"</f>
        <v>1552374413671156</v>
      </c>
      <c r="C1156" t="s">
        <v>40</v>
      </c>
      <c r="D1156">
        <v>4.1850579999999997</v>
      </c>
      <c r="E1156">
        <v>0.50571820000000001</v>
      </c>
      <c r="F1156" t="s">
        <v>47</v>
      </c>
      <c r="G1156">
        <v>-158.19499999999999</v>
      </c>
      <c r="H1156">
        <v>2.7251620000000001</v>
      </c>
      <c r="I1156">
        <v>361.01850000000002</v>
      </c>
      <c r="J1156">
        <v>-308.6397</v>
      </c>
      <c r="K1156">
        <v>1.0606329999999999</v>
      </c>
      <c r="L1156">
        <v>367.27080000000001</v>
      </c>
      <c r="M1156">
        <v>0.99989969999999995</v>
      </c>
      <c r="N1156">
        <v>0</v>
      </c>
      <c r="O1156">
        <v>-3.702641E-3</v>
      </c>
      <c r="P1156">
        <v>0.99848400000000004</v>
      </c>
      <c r="Q1156">
        <v>4.8669650000000002E-2</v>
      </c>
      <c r="R1156">
        <v>-2.5716470000000002E-2</v>
      </c>
      <c r="S1156">
        <v>2.9997250000000002</v>
      </c>
      <c r="T1156">
        <v>3.316355E-2</v>
      </c>
      <c r="U1156">
        <v>-0.1245728</v>
      </c>
      <c r="V1156">
        <v>2.202115E-2</v>
      </c>
      <c r="W1156">
        <v>6.232161E-2</v>
      </c>
      <c r="X1156">
        <v>0.99781319999999996</v>
      </c>
      <c r="Y1156">
        <v>3.7790129999999998E-2</v>
      </c>
      <c r="Z1156">
        <v>1.6787979999999901E-4</v>
      </c>
      <c r="AA1156">
        <v>0.99928570000000005</v>
      </c>
      <c r="AB1156">
        <v>21</v>
      </c>
      <c r="AC1156">
        <v>150.44470000000001</v>
      </c>
      <c r="AD1156">
        <v>1.6645289999999999</v>
      </c>
      <c r="AE1156">
        <v>-6.2522999999999902</v>
      </c>
      <c r="AF1156">
        <v>5.6944664846934003</v>
      </c>
      <c r="AG1156">
        <v>1.6645289999999999</v>
      </c>
      <c r="AH1156">
        <v>150.44843557454399</v>
      </c>
      <c r="AI1156">
        <v>89.366571263956303</v>
      </c>
      <c r="AJ1156">
        <v>87.832392059460801</v>
      </c>
      <c r="AK1156">
        <v>150.56536577900201</v>
      </c>
      <c r="AL1156">
        <v>86.426919432045693</v>
      </c>
      <c r="AM1156">
        <v>88.735721103866993</v>
      </c>
      <c r="AN1156">
        <v>1.0000000481072699</v>
      </c>
    </row>
    <row r="1157" spans="1:40" x14ac:dyDescent="0.25">
      <c r="A1157" t="str">
        <f>"20190312150653703"</f>
        <v>20190312150653703</v>
      </c>
      <c r="B1157" t="str">
        <f>"1552374413691652"</f>
        <v>1552374413691652</v>
      </c>
      <c r="C1157" t="s">
        <v>40</v>
      </c>
      <c r="D1157">
        <v>4.1562710000000003</v>
      </c>
      <c r="E1157">
        <v>0.50574549999999996</v>
      </c>
      <c r="F1157" t="s">
        <v>47</v>
      </c>
      <c r="G1157">
        <v>-158.19499999999999</v>
      </c>
      <c r="H1157">
        <v>2.6320410000000001</v>
      </c>
      <c r="I1157">
        <v>361.01100000000002</v>
      </c>
      <c r="J1157">
        <v>-308.46589999999998</v>
      </c>
      <c r="K1157">
        <v>1.060627</v>
      </c>
      <c r="L1157">
        <v>367.27019999999999</v>
      </c>
      <c r="M1157">
        <v>0.99989980000000001</v>
      </c>
      <c r="N1157">
        <v>0</v>
      </c>
      <c r="O1157">
        <v>-3.702557E-3</v>
      </c>
      <c r="P1157">
        <v>0.99846979999999996</v>
      </c>
      <c r="Q1157">
        <v>4.88858E-2</v>
      </c>
      <c r="R1157">
        <v>-2.5855610000000001E-2</v>
      </c>
      <c r="S1157">
        <v>2.9997859999999998</v>
      </c>
      <c r="T1157">
        <v>3.1334760000000003E-2</v>
      </c>
      <c r="U1157">
        <v>-0.124816899999999</v>
      </c>
      <c r="V1157">
        <v>2.2160409999999998E-2</v>
      </c>
      <c r="W1157">
        <v>6.2525300000000006E-2</v>
      </c>
      <c r="X1157">
        <v>0.9977973</v>
      </c>
      <c r="Y1157">
        <v>3.787078E-2</v>
      </c>
      <c r="Z1157">
        <v>1.5904109999999999E-4</v>
      </c>
      <c r="AA1157">
        <v>0.99928269999999997</v>
      </c>
      <c r="AB1157">
        <v>21</v>
      </c>
      <c r="AC1157">
        <v>150.27089999999899</v>
      </c>
      <c r="AD1157">
        <v>1.5714139999999901</v>
      </c>
      <c r="AE1157">
        <v>-6.2592000000000203</v>
      </c>
      <c r="AF1157">
        <v>5.7020961125441696</v>
      </c>
      <c r="AG1157">
        <v>1.5714139999999901</v>
      </c>
      <c r="AH1157">
        <v>150.27664221702901</v>
      </c>
      <c r="AI1157">
        <v>89.401321654396</v>
      </c>
      <c r="AJ1157">
        <v>87.827011697923894</v>
      </c>
      <c r="AK1157">
        <v>150.39299331438599</v>
      </c>
      <c r="AL1157">
        <v>86.415225785722001</v>
      </c>
      <c r="AM1157">
        <v>88.727708257289905</v>
      </c>
      <c r="AN1157">
        <v>0.99999997439937305</v>
      </c>
    </row>
    <row r="1158" spans="1:40" x14ac:dyDescent="0.25">
      <c r="A1158" t="str">
        <f>"20190312150653716"</f>
        <v>20190312150653716</v>
      </c>
      <c r="B1158" t="str">
        <f>"1552374413711171"</f>
        <v>1552374413711171</v>
      </c>
      <c r="C1158" t="s">
        <v>40</v>
      </c>
      <c r="D1158">
        <v>4.1407259999999999</v>
      </c>
      <c r="E1158">
        <v>0.50560059999999996</v>
      </c>
      <c r="F1158" t="s">
        <v>47</v>
      </c>
      <c r="G1158">
        <v>-158.19499999999999</v>
      </c>
      <c r="H1158">
        <v>2.5691679999999999</v>
      </c>
      <c r="I1158">
        <v>360.98880000000003</v>
      </c>
      <c r="J1158">
        <v>-308.34649999999999</v>
      </c>
      <c r="K1158">
        <v>1.060627</v>
      </c>
      <c r="L1158">
        <v>367.2697</v>
      </c>
      <c r="M1158">
        <v>0.99990000000000001</v>
      </c>
      <c r="N1158">
        <v>0</v>
      </c>
      <c r="O1158">
        <v>-3.7025040000000001E-3</v>
      </c>
      <c r="P1158">
        <v>0.99847960000000002</v>
      </c>
      <c r="Q1158">
        <v>4.8802409999999997E-2</v>
      </c>
      <c r="R1158">
        <v>-2.5636929999999999E-2</v>
      </c>
      <c r="S1158">
        <v>2.9998779999999998</v>
      </c>
      <c r="T1158">
        <v>3.0116919999999998E-2</v>
      </c>
      <c r="U1158">
        <v>-0.1253967</v>
      </c>
      <c r="V1158">
        <v>2.1941809999999999E-2</v>
      </c>
      <c r="W1158">
        <v>6.2434410000000003E-2</v>
      </c>
      <c r="X1158">
        <v>0.99780789999999997</v>
      </c>
      <c r="Y1158">
        <v>3.8062510000000001E-2</v>
      </c>
      <c r="Z1158">
        <v>1.538174E-4</v>
      </c>
      <c r="AA1158">
        <v>0.99927529999999998</v>
      </c>
      <c r="AB1158">
        <v>21</v>
      </c>
      <c r="AC1158">
        <v>150.1515</v>
      </c>
      <c r="AD1158">
        <v>1.5085409999999999</v>
      </c>
      <c r="AE1158">
        <v>-6.2808999999999697</v>
      </c>
      <c r="AF1158">
        <v>5.7242918343671096</v>
      </c>
      <c r="AG1158">
        <v>1.5085409999999999</v>
      </c>
      <c r="AH1158">
        <v>150.15859760924201</v>
      </c>
      <c r="AI1158">
        <v>89.424825510409207</v>
      </c>
      <c r="AJ1158">
        <v>87.816848135873897</v>
      </c>
      <c r="AK1158">
        <v>150.27523964022799</v>
      </c>
      <c r="AL1158">
        <v>86.420443871602799</v>
      </c>
      <c r="AM1158">
        <v>88.740268014712498</v>
      </c>
      <c r="AN1158">
        <v>1.0000000519402601</v>
      </c>
    </row>
    <row r="1159" spans="1:40" x14ac:dyDescent="0.25">
      <c r="A1159" t="str">
        <f>"20190312150653727"</f>
        <v>20190312150653727</v>
      </c>
      <c r="B1159" t="str">
        <f>"1552374413721907"</f>
        <v>1552374413721907</v>
      </c>
      <c r="C1159" t="s">
        <v>40</v>
      </c>
      <c r="D1159">
        <v>4.1514280000000001</v>
      </c>
      <c r="E1159">
        <v>0.50567850000000003</v>
      </c>
      <c r="F1159" t="s">
        <v>47</v>
      </c>
      <c r="G1159">
        <v>-158.19499999999999</v>
      </c>
      <c r="H1159">
        <v>2.7081249999999999</v>
      </c>
      <c r="I1159">
        <v>361.08179999999999</v>
      </c>
      <c r="J1159">
        <v>-308.23270000000002</v>
      </c>
      <c r="K1159">
        <v>1.06062099999999</v>
      </c>
      <c r="L1159">
        <v>367.26929999999999</v>
      </c>
      <c r="M1159">
        <v>0.99990009999999996</v>
      </c>
      <c r="N1159">
        <v>0</v>
      </c>
      <c r="O1159">
        <v>-3.7022180000000002E-3</v>
      </c>
      <c r="P1159">
        <v>0.99847560000000002</v>
      </c>
      <c r="Q1159">
        <v>4.8873729999999997E-2</v>
      </c>
      <c r="R1159">
        <v>-2.5655750000000001E-2</v>
      </c>
      <c r="S1159">
        <v>2.9998170000000002</v>
      </c>
      <c r="T1159">
        <v>3.2916430000000003E-2</v>
      </c>
      <c r="U1159">
        <v>-0.12362670000000001</v>
      </c>
      <c r="V1159">
        <v>2.196101E-2</v>
      </c>
      <c r="W1159">
        <v>6.2498650000000003E-2</v>
      </c>
      <c r="X1159">
        <v>0.99780340000000001</v>
      </c>
      <c r="Y1159">
        <v>3.7474729999999998E-2</v>
      </c>
      <c r="Z1159">
        <v>1.6489989999999999E-4</v>
      </c>
      <c r="AA1159">
        <v>0.99929760000000001</v>
      </c>
      <c r="AB1159">
        <v>21</v>
      </c>
      <c r="AC1159">
        <v>150.0377</v>
      </c>
      <c r="AD1159">
        <v>1.6475040000000001</v>
      </c>
      <c r="AE1159">
        <v>-6.1875</v>
      </c>
      <c r="AF1159">
        <v>5.6312557968683397</v>
      </c>
      <c r="AG1159">
        <v>1.6475040000000001</v>
      </c>
      <c r="AH1159">
        <v>150.041520842777</v>
      </c>
      <c r="AI1159">
        <v>89.371341827446997</v>
      </c>
      <c r="AJ1159">
        <v>87.850622794041996</v>
      </c>
      <c r="AK1159">
        <v>150.15619630269401</v>
      </c>
      <c r="AL1159">
        <v>86.416755788465196</v>
      </c>
      <c r="AM1159">
        <v>88.739160367889497</v>
      </c>
      <c r="AN1159">
        <v>0.99999999613180102</v>
      </c>
    </row>
    <row r="1160" spans="1:40" x14ac:dyDescent="0.25">
      <c r="A1160" t="str">
        <f>"20190312150653738"</f>
        <v>20190312150653738</v>
      </c>
      <c r="B1160" t="str">
        <f>"1552374413731668"</f>
        <v>1552374413731668</v>
      </c>
      <c r="C1160" t="s">
        <v>40</v>
      </c>
      <c r="D1160">
        <v>4.1602680000000003</v>
      </c>
      <c r="E1160">
        <v>0.50577529999999904</v>
      </c>
      <c r="F1160" t="s">
        <v>47</v>
      </c>
      <c r="G1160">
        <v>-158.19499999999999</v>
      </c>
      <c r="H1160">
        <v>2.6856969999999998</v>
      </c>
      <c r="I1160">
        <v>361.03559999999999</v>
      </c>
      <c r="J1160">
        <v>-308.12889999999999</v>
      </c>
      <c r="K1160">
        <v>1.060619</v>
      </c>
      <c r="L1160">
        <v>367.26889999999997</v>
      </c>
      <c r="M1160">
        <v>0.99990009999999996</v>
      </c>
      <c r="N1160">
        <v>0</v>
      </c>
      <c r="O1160">
        <v>-3.7020590000000002E-3</v>
      </c>
      <c r="P1160">
        <v>0.99848159999999997</v>
      </c>
      <c r="Q1160">
        <v>4.8809569999999997E-2</v>
      </c>
      <c r="R1160">
        <v>-2.553652E-2</v>
      </c>
      <c r="S1160">
        <v>2.9997859999999998</v>
      </c>
      <c r="T1160">
        <v>3.2492760000000002E-2</v>
      </c>
      <c r="U1160">
        <v>-0.1246338</v>
      </c>
      <c r="V1160">
        <v>2.1841889999999999E-2</v>
      </c>
      <c r="W1160">
        <v>6.2428690000000002E-2</v>
      </c>
      <c r="X1160">
        <v>0.99781039999999999</v>
      </c>
      <c r="Y1160">
        <v>3.7810249999999997E-2</v>
      </c>
      <c r="Z1160">
        <v>1.6459619999999999E-4</v>
      </c>
      <c r="AA1160">
        <v>0.99928490000000003</v>
      </c>
      <c r="AB1160">
        <v>21</v>
      </c>
      <c r="AC1160">
        <v>149.93389999999999</v>
      </c>
      <c r="AD1160">
        <v>1.625078</v>
      </c>
      <c r="AE1160">
        <v>-6.2332999999999803</v>
      </c>
      <c r="AF1160">
        <v>5.6774756661260097</v>
      </c>
      <c r="AG1160">
        <v>1.625078</v>
      </c>
      <c r="AH1160">
        <v>149.938366804883</v>
      </c>
      <c r="AI1160">
        <v>89.379479738234494</v>
      </c>
      <c r="AJ1160">
        <v>87.831508597443005</v>
      </c>
      <c r="AK1160">
        <v>150.054618218039</v>
      </c>
      <c r="AL1160">
        <v>86.420772064754104</v>
      </c>
      <c r="AM1160">
        <v>88.746005966681196</v>
      </c>
      <c r="AN1160">
        <v>1.00000000192102</v>
      </c>
    </row>
    <row r="1161" spans="1:40" x14ac:dyDescent="0.25">
      <c r="A1161" t="str">
        <f>"20190312150653749"</f>
        <v>20190312150653749</v>
      </c>
      <c r="B1161" t="str">
        <f>"1552374413741428"</f>
        <v>1552374413741428</v>
      </c>
      <c r="C1161" t="s">
        <v>40</v>
      </c>
      <c r="D1161">
        <v>4.1666790000000002</v>
      </c>
      <c r="E1161">
        <v>0.50582059999999995</v>
      </c>
      <c r="F1161" t="s">
        <v>47</v>
      </c>
      <c r="G1161">
        <v>-158.19499999999999</v>
      </c>
      <c r="H1161">
        <v>2.572438</v>
      </c>
      <c r="I1161">
        <v>361.04300000000001</v>
      </c>
      <c r="J1161">
        <v>-308.03309999999999</v>
      </c>
      <c r="K1161">
        <v>1.0606150000000001</v>
      </c>
      <c r="L1161">
        <v>367.26850000000002</v>
      </c>
      <c r="M1161">
        <v>0.99990029999999996</v>
      </c>
      <c r="N1161">
        <v>0</v>
      </c>
      <c r="O1161">
        <v>-3.702023E-3</v>
      </c>
      <c r="P1161">
        <v>0.99847989999999998</v>
      </c>
      <c r="Q1161">
        <v>4.8914689999999997E-2</v>
      </c>
      <c r="R1161">
        <v>-2.5409830000000001E-2</v>
      </c>
      <c r="S1161">
        <v>2.9999690000000001</v>
      </c>
      <c r="T1161">
        <v>3.0251150000000001E-2</v>
      </c>
      <c r="U1161">
        <v>-0.1245728</v>
      </c>
      <c r="V1161">
        <v>2.17153E-2</v>
      </c>
      <c r="W1161">
        <v>6.2528630000000002E-2</v>
      </c>
      <c r="X1161">
        <v>0.99780690000000005</v>
      </c>
      <c r="Y1161">
        <v>3.7787729999999999E-2</v>
      </c>
      <c r="Z1161">
        <v>1.531192E-4</v>
      </c>
      <c r="AA1161">
        <v>0.9992858</v>
      </c>
      <c r="AB1161">
        <v>21</v>
      </c>
      <c r="AC1161">
        <v>149.8381</v>
      </c>
      <c r="AD1161">
        <v>1.5118229999999999</v>
      </c>
      <c r="AE1161">
        <v>-6.22550000000001</v>
      </c>
      <c r="AF1161">
        <v>5.6701254951741102</v>
      </c>
      <c r="AG1161">
        <v>1.5118229999999999</v>
      </c>
      <c r="AH1161">
        <v>149.844893866642</v>
      </c>
      <c r="AI1161">
        <v>89.422361388896306</v>
      </c>
      <c r="AJ1161">
        <v>87.832963630515906</v>
      </c>
      <c r="AK1161">
        <v>149.95975510055899</v>
      </c>
      <c r="AL1161">
        <v>86.415034696957505</v>
      </c>
      <c r="AM1161">
        <v>88.753267122585001</v>
      </c>
      <c r="AN1161">
        <v>0.99999999675568796</v>
      </c>
    </row>
    <row r="1162" spans="1:40" x14ac:dyDescent="0.25">
      <c r="A1162" t="str">
        <f>"20190312150653758"</f>
        <v>20190312150653758</v>
      </c>
      <c r="B1162" t="str">
        <f>"1552374413751187"</f>
        <v>1552374413751187</v>
      </c>
      <c r="C1162" t="s">
        <v>40</v>
      </c>
      <c r="D1162">
        <v>4.1654150000000003</v>
      </c>
      <c r="E1162">
        <v>0.50586189999999998</v>
      </c>
      <c r="F1162" t="s">
        <v>47</v>
      </c>
      <c r="G1162">
        <v>-158.19499999999999</v>
      </c>
      <c r="H1162">
        <v>2.5253610000000002</v>
      </c>
      <c r="I1162">
        <v>361.04199999999997</v>
      </c>
      <c r="J1162">
        <v>-307.93619999999999</v>
      </c>
      <c r="K1162">
        <v>1.0606120000000001</v>
      </c>
      <c r="L1162">
        <v>367.26819999999998</v>
      </c>
      <c r="M1162">
        <v>0.99990020000000002</v>
      </c>
      <c r="N1162">
        <v>0</v>
      </c>
      <c r="O1162">
        <v>-3.7017510000000001E-3</v>
      </c>
      <c r="P1162">
        <v>0.99848340000000002</v>
      </c>
      <c r="Q1162">
        <v>4.8878230000000002E-2</v>
      </c>
      <c r="R1162">
        <v>-2.5345579999999999E-2</v>
      </c>
      <c r="S1162">
        <v>2.9999690000000001</v>
      </c>
      <c r="T1162">
        <v>2.9327990000000002E-2</v>
      </c>
      <c r="U1162">
        <v>-0.12466430000000001</v>
      </c>
      <c r="V1162">
        <v>2.1651070000000001E-2</v>
      </c>
      <c r="W1162">
        <v>6.2487220000000003E-2</v>
      </c>
      <c r="X1162">
        <v>0.99781089999999995</v>
      </c>
      <c r="Y1162">
        <v>3.7818549999999999E-2</v>
      </c>
      <c r="Z1162">
        <v>1.485999E-4</v>
      </c>
      <c r="AA1162">
        <v>0.99928459999999997</v>
      </c>
      <c r="AB1162">
        <v>21</v>
      </c>
      <c r="AC1162">
        <v>149.74119999999999</v>
      </c>
      <c r="AD1162">
        <v>1.4647490000000001</v>
      </c>
      <c r="AE1162">
        <v>-6.2262000000000004</v>
      </c>
      <c r="AF1162">
        <v>5.6712594523519799</v>
      </c>
      <c r="AG1162">
        <v>1.4647490000000001</v>
      </c>
      <c r="AH1162">
        <v>149.748919847758</v>
      </c>
      <c r="AI1162">
        <v>89.439988314927604</v>
      </c>
      <c r="AJ1162">
        <v>87.831142858519996</v>
      </c>
      <c r="AK1162">
        <v>149.86343005876699</v>
      </c>
      <c r="AL1162">
        <v>86.417412000146697</v>
      </c>
      <c r="AM1162">
        <v>88.756958559763007</v>
      </c>
      <c r="AN1162">
        <v>1.00000000682714</v>
      </c>
    </row>
    <row r="1163" spans="1:40" x14ac:dyDescent="0.25">
      <c r="A1163" t="str">
        <f>"20190312150653770"</f>
        <v>20190312150653770</v>
      </c>
      <c r="B1163" t="str">
        <f>"1552374413761924"</f>
        <v>1552374413761924</v>
      </c>
      <c r="C1163" t="s">
        <v>40</v>
      </c>
      <c r="D1163">
        <v>4.1833989999999996</v>
      </c>
      <c r="E1163">
        <v>0.50587870000000001</v>
      </c>
      <c r="F1163" t="s">
        <v>47</v>
      </c>
      <c r="G1163">
        <v>-158.19499999999999</v>
      </c>
      <c r="H1163">
        <v>2.482726</v>
      </c>
      <c r="I1163">
        <v>361.02589999999998</v>
      </c>
      <c r="J1163">
        <v>-307.83409999999998</v>
      </c>
      <c r="K1163">
        <v>1.0606100000000001</v>
      </c>
      <c r="L1163">
        <v>367.26780000000002</v>
      </c>
      <c r="M1163">
        <v>0.99990049999999997</v>
      </c>
      <c r="N1163">
        <v>0</v>
      </c>
      <c r="O1163">
        <v>-3.7017159999999999E-3</v>
      </c>
      <c r="P1163">
        <v>0.99849279999999996</v>
      </c>
      <c r="Q1163">
        <v>4.8779820000000002E-2</v>
      </c>
      <c r="R1163">
        <v>-2.5160229999999999E-2</v>
      </c>
      <c r="S1163">
        <v>3</v>
      </c>
      <c r="T1163">
        <v>2.8493170000000002E-2</v>
      </c>
      <c r="U1163">
        <v>-0.12506099999999901</v>
      </c>
      <c r="V1163">
        <v>2.146586E-2</v>
      </c>
      <c r="W1163">
        <v>6.2383470000000003E-2</v>
      </c>
      <c r="X1163">
        <v>0.99782139999999997</v>
      </c>
      <c r="Y1163">
        <v>3.7950169999999998E-2</v>
      </c>
      <c r="Z1163">
        <v>1.449934E-4</v>
      </c>
      <c r="AA1163">
        <v>0.99927960000000005</v>
      </c>
      <c r="AB1163">
        <v>21</v>
      </c>
      <c r="AC1163">
        <v>149.63909999999899</v>
      </c>
      <c r="AD1163">
        <v>1.4221159999999999</v>
      </c>
      <c r="AE1163">
        <v>-6.2419000000000402</v>
      </c>
      <c r="AF1163">
        <v>5.68737166495014</v>
      </c>
      <c r="AG1163">
        <v>1.4221159999999999</v>
      </c>
      <c r="AH1163">
        <v>149.64768988227101</v>
      </c>
      <c r="AI1163">
        <v>89.455921999520598</v>
      </c>
      <c r="AJ1163">
        <v>87.823517097542805</v>
      </c>
      <c r="AK1163">
        <v>149.76247760194499</v>
      </c>
      <c r="AL1163">
        <v>86.423368080927901</v>
      </c>
      <c r="AM1163">
        <v>88.767601594566798</v>
      </c>
      <c r="AN1163">
        <v>1.00000001338637</v>
      </c>
    </row>
    <row r="1164" spans="1:40" x14ac:dyDescent="0.25">
      <c r="A1164" t="str">
        <f>"20190312150653780"</f>
        <v>20190312150653780</v>
      </c>
      <c r="B1164" t="str">
        <f>"1552374413771684"</f>
        <v>1552374413771684</v>
      </c>
      <c r="C1164" t="s">
        <v>40</v>
      </c>
      <c r="D1164">
        <v>4.1633139999999997</v>
      </c>
      <c r="E1164">
        <v>0.50597399999999904</v>
      </c>
      <c r="F1164" t="s">
        <v>47</v>
      </c>
      <c r="G1164">
        <v>-158.19499999999999</v>
      </c>
      <c r="H1164">
        <v>2.40801</v>
      </c>
      <c r="I1164">
        <v>361.06049999999999</v>
      </c>
      <c r="J1164">
        <v>-307.73309999999998</v>
      </c>
      <c r="K1164">
        <v>1.060611</v>
      </c>
      <c r="L1164">
        <v>367.26749999999998</v>
      </c>
      <c r="M1164">
        <v>0.99990049999999997</v>
      </c>
      <c r="N1164">
        <v>0</v>
      </c>
      <c r="O1164">
        <v>-3.7016839999999998E-3</v>
      </c>
      <c r="P1164">
        <v>0.99849129999999997</v>
      </c>
      <c r="Q1164">
        <v>4.869805E-2</v>
      </c>
      <c r="R1164">
        <v>-2.5377E-2</v>
      </c>
      <c r="S1164">
        <v>3.000092</v>
      </c>
      <c r="T1164">
        <v>2.7015569999999999E-2</v>
      </c>
      <c r="U1164">
        <v>-0.1244507</v>
      </c>
      <c r="V1164">
        <v>2.1682529999999998E-2</v>
      </c>
      <c r="W1164">
        <v>6.229734E-2</v>
      </c>
      <c r="X1164">
        <v>0.99782210000000005</v>
      </c>
      <c r="Y1164">
        <v>3.7746149999999999E-2</v>
      </c>
      <c r="Z1164">
        <v>1.3655319999999999E-4</v>
      </c>
      <c r="AA1164">
        <v>0.99928740000000005</v>
      </c>
      <c r="AB1164">
        <v>21</v>
      </c>
      <c r="AC1164">
        <v>149.53809999999999</v>
      </c>
      <c r="AD1164">
        <v>1.347399</v>
      </c>
      <c r="AE1164">
        <v>-6.2069999999999901</v>
      </c>
      <c r="AF1164">
        <v>5.6529052293503703</v>
      </c>
      <c r="AG1164">
        <v>1.347399</v>
      </c>
      <c r="AH1164">
        <v>149.54793323989</v>
      </c>
      <c r="AI1164">
        <v>89.484158050827901</v>
      </c>
      <c r="AJ1164">
        <v>87.835252711956102</v>
      </c>
      <c r="AK1164">
        <v>149.66080033836499</v>
      </c>
      <c r="AL1164">
        <v>86.428312596473205</v>
      </c>
      <c r="AM1164">
        <v>88.755166899672503</v>
      </c>
      <c r="AN1164">
        <v>1.0000000169633401</v>
      </c>
    </row>
    <row r="1165" spans="1:40" x14ac:dyDescent="0.25">
      <c r="A1165" t="str">
        <f>"20190312150653792"</f>
        <v>20190312150653792</v>
      </c>
      <c r="B1165" t="str">
        <f>"1552374413781444"</f>
        <v>1552374413781444</v>
      </c>
      <c r="C1165" t="s">
        <v>40</v>
      </c>
      <c r="D1165">
        <v>4.1548720000000001</v>
      </c>
      <c r="E1165">
        <v>0.50602599999999998</v>
      </c>
      <c r="F1165" t="s">
        <v>47</v>
      </c>
      <c r="G1165">
        <v>-158.19499999999999</v>
      </c>
      <c r="H1165">
        <v>2.4173900000000001</v>
      </c>
      <c r="I1165">
        <v>360.99270000000001</v>
      </c>
      <c r="J1165">
        <v>-307.63150000000002</v>
      </c>
      <c r="K1165">
        <v>1.0606059999999999</v>
      </c>
      <c r="L1165">
        <v>367.26710000000003</v>
      </c>
      <c r="M1165">
        <v>0.99990049999999997</v>
      </c>
      <c r="N1165">
        <v>0</v>
      </c>
      <c r="O1165">
        <v>-3.7014130000000002E-3</v>
      </c>
      <c r="P1165">
        <v>0.99849900000000003</v>
      </c>
      <c r="Q1165">
        <v>4.8529610000000001E-2</v>
      </c>
      <c r="R1165">
        <v>-2.5397300000000001E-2</v>
      </c>
      <c r="S1165">
        <v>3.0000309999999999</v>
      </c>
      <c r="T1165">
        <v>2.722144E-2</v>
      </c>
      <c r="U1165">
        <v>-0.125885</v>
      </c>
      <c r="V1165">
        <v>2.1703320000000002E-2</v>
      </c>
      <c r="W1165">
        <v>6.2124110000000003E-2</v>
      </c>
      <c r="X1165">
        <v>0.99783239999999995</v>
      </c>
      <c r="Y1165">
        <v>3.8224139999999997E-2</v>
      </c>
      <c r="Z1165">
        <v>1.3976519999999999E-4</v>
      </c>
      <c r="AA1165">
        <v>0.99926919999999997</v>
      </c>
      <c r="AB1165">
        <v>21</v>
      </c>
      <c r="AC1165">
        <v>149.4365</v>
      </c>
      <c r="AD1165">
        <v>1.356784</v>
      </c>
      <c r="AE1165">
        <v>-6.2744000000000097</v>
      </c>
      <c r="AF1165">
        <v>5.7207088027994404</v>
      </c>
      <c r="AG1165">
        <v>1.356784</v>
      </c>
      <c r="AH1165">
        <v>149.446404597628</v>
      </c>
      <c r="AI1165">
        <v>89.480221865580504</v>
      </c>
      <c r="AJ1165">
        <v>87.807826050386794</v>
      </c>
      <c r="AK1165">
        <v>149.562011283571</v>
      </c>
      <c r="AL1165">
        <v>86.438257034834606</v>
      </c>
      <c r="AM1165">
        <v>88.753986542341195</v>
      </c>
      <c r="AN1165">
        <v>0.99999996881603603</v>
      </c>
    </row>
    <row r="1166" spans="1:40" x14ac:dyDescent="0.25">
      <c r="A1166" t="str">
        <f>"20190312150653802"</f>
        <v>20190312150653802</v>
      </c>
      <c r="B1166" t="str">
        <f>"1552374413791203"</f>
        <v>1552374413791203</v>
      </c>
      <c r="C1166" t="s">
        <v>40</v>
      </c>
      <c r="D1166">
        <v>4.173972</v>
      </c>
      <c r="E1166">
        <v>0.50607040000000003</v>
      </c>
      <c r="F1166" t="s">
        <v>47</v>
      </c>
      <c r="G1166">
        <v>-158.19499999999999</v>
      </c>
      <c r="H1166">
        <v>2.392239</v>
      </c>
      <c r="I1166">
        <v>360.95850000000002</v>
      </c>
      <c r="J1166">
        <v>-307.52859999999998</v>
      </c>
      <c r="K1166">
        <v>1.0606040000000001</v>
      </c>
      <c r="L1166">
        <v>367.26670000000001</v>
      </c>
      <c r="M1166">
        <v>0.99990049999999997</v>
      </c>
      <c r="N1166">
        <v>0</v>
      </c>
      <c r="O1166">
        <v>-3.7007839999999999E-3</v>
      </c>
      <c r="P1166">
        <v>0.99850819999999996</v>
      </c>
      <c r="Q1166">
        <v>4.8297970000000003E-2</v>
      </c>
      <c r="R1166">
        <v>-2.5472290000000002E-2</v>
      </c>
      <c r="S1166">
        <v>3</v>
      </c>
      <c r="T1166">
        <v>2.6734830000000001E-2</v>
      </c>
      <c r="U1166">
        <v>-0.12664790000000001</v>
      </c>
      <c r="V1166">
        <v>2.177867E-2</v>
      </c>
      <c r="W1166">
        <v>6.1888529999999997E-2</v>
      </c>
      <c r="X1166">
        <v>0.99784539999999999</v>
      </c>
      <c r="Y1166">
        <v>3.8478909999999998E-2</v>
      </c>
      <c r="Z1166">
        <v>1.3840780000000001E-4</v>
      </c>
      <c r="AA1166">
        <v>0.99925940000000002</v>
      </c>
      <c r="AB1166">
        <v>21</v>
      </c>
      <c r="AC1166">
        <v>149.33359999999999</v>
      </c>
      <c r="AD1166">
        <v>1.3316349999999999</v>
      </c>
      <c r="AE1166">
        <v>-6.3081999999999896</v>
      </c>
      <c r="AF1166">
        <v>5.7549973875782703</v>
      </c>
      <c r="AG1166">
        <v>1.3316349999999999</v>
      </c>
      <c r="AH1166">
        <v>149.34407052149999</v>
      </c>
      <c r="AI1166">
        <v>89.489511289559502</v>
      </c>
      <c r="AJ1166">
        <v>87.793189978968101</v>
      </c>
      <c r="AK1166">
        <v>149.460846533916</v>
      </c>
      <c r="AL1166">
        <v>86.451780807418302</v>
      </c>
      <c r="AM1166">
        <v>88.749678264291106</v>
      </c>
      <c r="AN1166">
        <v>0.99999997145684405</v>
      </c>
    </row>
    <row r="1167" spans="1:40" x14ac:dyDescent="0.25">
      <c r="A1167" t="str">
        <f>"20190312150653814"</f>
        <v>20190312150653814</v>
      </c>
      <c r="B1167" t="str">
        <f>"1552374413801940"</f>
        <v>1552374413801940</v>
      </c>
      <c r="C1167" t="s">
        <v>40</v>
      </c>
      <c r="D1167">
        <v>4.1921839999999904</v>
      </c>
      <c r="E1167">
        <v>0.50606600000000002</v>
      </c>
      <c r="F1167" t="s">
        <v>47</v>
      </c>
      <c r="G1167">
        <v>-158.19499999999999</v>
      </c>
      <c r="H1167">
        <v>2.3805149999999999</v>
      </c>
      <c r="I1167">
        <v>360.94260000000003</v>
      </c>
      <c r="J1167">
        <v>-307.42829999999998</v>
      </c>
      <c r="K1167">
        <v>1.0606040000000001</v>
      </c>
      <c r="L1167">
        <v>367.2663</v>
      </c>
      <c r="M1167">
        <v>0.99990060000000003</v>
      </c>
      <c r="N1167">
        <v>0</v>
      </c>
      <c r="O1167">
        <v>-3.699435E-3</v>
      </c>
      <c r="P1167">
        <v>0.99852879999999999</v>
      </c>
      <c r="Q1167">
        <v>4.7934320000000002E-2</v>
      </c>
      <c r="R1167">
        <v>-2.5354979999999999E-2</v>
      </c>
      <c r="S1167">
        <v>2.9999690000000001</v>
      </c>
      <c r="T1167">
        <v>2.6517510000000001E-2</v>
      </c>
      <c r="U1167">
        <v>-0.12704469999999901</v>
      </c>
      <c r="V1167">
        <v>2.1662689999999998E-2</v>
      </c>
      <c r="W1167">
        <v>6.1521109999999997E-2</v>
      </c>
      <c r="X1167">
        <v>0.9978707</v>
      </c>
      <c r="Y1167">
        <v>3.861262E-2</v>
      </c>
      <c r="Z1167">
        <v>1.3788639999999999E-4</v>
      </c>
      <c r="AA1167">
        <v>0.99925419999999998</v>
      </c>
      <c r="AB1167">
        <v>21</v>
      </c>
      <c r="AC1167">
        <v>149.23330000000001</v>
      </c>
      <c r="AD1167">
        <v>1.3199109999999901</v>
      </c>
      <c r="AE1167">
        <v>-6.3236999999999703</v>
      </c>
      <c r="AF1167">
        <v>5.77107607699749</v>
      </c>
      <c r="AG1167">
        <v>1.3199109999999901</v>
      </c>
      <c r="AH1167">
        <v>149.24402088350601</v>
      </c>
      <c r="AI1167">
        <v>89.493668924480801</v>
      </c>
      <c r="AJ1167">
        <v>87.785548524114404</v>
      </c>
      <c r="AK1167">
        <v>149.361391442403</v>
      </c>
      <c r="AL1167">
        <v>86.472872809559505</v>
      </c>
      <c r="AM1167">
        <v>88.756366145384007</v>
      </c>
      <c r="AN1167">
        <v>1.00000002651607</v>
      </c>
    </row>
    <row r="1168" spans="1:40" x14ac:dyDescent="0.25">
      <c r="A1168" t="str">
        <f>"20190312150653825"</f>
        <v>20190312150653825</v>
      </c>
      <c r="B1168" t="str">
        <f>"1552374413821460"</f>
        <v>1552374413821460</v>
      </c>
      <c r="C1168" t="s">
        <v>40</v>
      </c>
      <c r="D1168">
        <v>4.2085350000000004</v>
      </c>
      <c r="E1168">
        <v>0.50606289999999998</v>
      </c>
      <c r="F1168" t="s">
        <v>47</v>
      </c>
      <c r="G1168">
        <v>-158.19499999999999</v>
      </c>
      <c r="H1168">
        <v>2.2868930000000001</v>
      </c>
      <c r="I1168">
        <v>360.95569999999998</v>
      </c>
      <c r="J1168">
        <v>-307.32479999999998</v>
      </c>
      <c r="K1168">
        <v>1.060597</v>
      </c>
      <c r="L1168">
        <v>367.26600000000002</v>
      </c>
      <c r="M1168">
        <v>0.99990069999999998</v>
      </c>
      <c r="N1168">
        <v>0</v>
      </c>
      <c r="O1168">
        <v>-3.697727E-3</v>
      </c>
      <c r="P1168">
        <v>0.99853179999999997</v>
      </c>
      <c r="Q1168">
        <v>4.7856219999999998E-2</v>
      </c>
      <c r="R1168">
        <v>-2.5383369999999999E-2</v>
      </c>
      <c r="S1168">
        <v>3.0000309999999999</v>
      </c>
      <c r="T1168">
        <v>2.4653789999999998E-2</v>
      </c>
      <c r="U1168">
        <v>-0.12686159999999999</v>
      </c>
      <c r="V1168">
        <v>2.1692599999999999E-2</v>
      </c>
      <c r="W1168">
        <v>6.1438769999999997E-2</v>
      </c>
      <c r="X1168">
        <v>0.99787510000000001</v>
      </c>
      <c r="Y1168">
        <v>3.855277E-2</v>
      </c>
      <c r="Z1168">
        <v>1.2796149999999901E-4</v>
      </c>
      <c r="AA1168">
        <v>0.99925660000000005</v>
      </c>
      <c r="AB1168">
        <v>21</v>
      </c>
      <c r="AC1168">
        <v>149.12979999999999</v>
      </c>
      <c r="AD1168">
        <v>1.2262959999999901</v>
      </c>
      <c r="AE1168">
        <v>-6.3102999999999803</v>
      </c>
      <c r="AF1168">
        <v>5.75837589702848</v>
      </c>
      <c r="AG1168">
        <v>1.2262959999999901</v>
      </c>
      <c r="AH1168">
        <v>149.14204954297199</v>
      </c>
      <c r="AI1168">
        <v>89.529256212348599</v>
      </c>
      <c r="AJ1168">
        <v>87.788907708434607</v>
      </c>
      <c r="AK1168">
        <v>149.25821128745099</v>
      </c>
      <c r="AL1168">
        <v>86.477599403320994</v>
      </c>
      <c r="AM1168">
        <v>88.754655071390403</v>
      </c>
      <c r="AN1168">
        <v>1.0000000032769401</v>
      </c>
    </row>
    <row r="1169" spans="1:40" x14ac:dyDescent="0.25">
      <c r="A1169" t="str">
        <f>"20190312150653836"</f>
        <v>20190312150653836</v>
      </c>
      <c r="B1169" t="str">
        <f>"1552374413831223"</f>
        <v>1552374413831223</v>
      </c>
      <c r="C1169" t="s">
        <v>40</v>
      </c>
      <c r="D1169">
        <v>4.1942789999999999</v>
      </c>
      <c r="E1169">
        <v>0.50608770000000003</v>
      </c>
      <c r="F1169" t="s">
        <v>47</v>
      </c>
      <c r="G1169">
        <v>-158.19499999999999</v>
      </c>
      <c r="H1169">
        <v>2.1981139999999999</v>
      </c>
      <c r="I1169">
        <v>360.95839999999998</v>
      </c>
      <c r="J1169">
        <v>-307.2165</v>
      </c>
      <c r="K1169">
        <v>1.060597</v>
      </c>
      <c r="L1169">
        <v>367.26560000000001</v>
      </c>
      <c r="M1169">
        <v>0.99990060000000003</v>
      </c>
      <c r="N1169">
        <v>0</v>
      </c>
      <c r="O1169">
        <v>-3.6939870000000001E-3</v>
      </c>
      <c r="P1169">
        <v>0.9985311</v>
      </c>
      <c r="Q1169">
        <v>4.7874090000000001E-2</v>
      </c>
      <c r="R1169">
        <v>-2.5376010000000001E-2</v>
      </c>
      <c r="S1169">
        <v>3.000092</v>
      </c>
      <c r="T1169">
        <v>2.2885559999999999E-2</v>
      </c>
      <c r="U1169">
        <v>-0.12689210000000001</v>
      </c>
      <c r="V1169">
        <v>2.1688720000000002E-2</v>
      </c>
      <c r="W1169">
        <v>6.1453050000000002E-2</v>
      </c>
      <c r="X1169">
        <v>0.99787429999999999</v>
      </c>
      <c r="Y1169">
        <v>3.8565960000000003E-2</v>
      </c>
      <c r="Z1169">
        <v>1.188604E-4</v>
      </c>
      <c r="AA1169">
        <v>0.99925609999999998</v>
      </c>
      <c r="AB1169">
        <v>21</v>
      </c>
      <c r="AC1169">
        <v>149.0215</v>
      </c>
      <c r="AD1169">
        <v>1.1375169999999999</v>
      </c>
      <c r="AE1169">
        <v>-6.3072000000000203</v>
      </c>
      <c r="AF1169">
        <v>5.7562877107639903</v>
      </c>
      <c r="AG1169">
        <v>1.1375169999999999</v>
      </c>
      <c r="AH1169">
        <v>149.03511573380499</v>
      </c>
      <c r="AI1169">
        <v>89.563021769492195</v>
      </c>
      <c r="AJ1169">
        <v>87.788124405689501</v>
      </c>
      <c r="AK1169">
        <v>149.15057664964999</v>
      </c>
      <c r="AL1169">
        <v>86.476779652957106</v>
      </c>
      <c r="AM1169">
        <v>88.754876749284605</v>
      </c>
      <c r="AN1169">
        <v>0.99999999826501496</v>
      </c>
    </row>
    <row r="1170" spans="1:40" x14ac:dyDescent="0.25">
      <c r="A1170" t="str">
        <f>"20190312150653847"</f>
        <v>20190312150653847</v>
      </c>
      <c r="B1170" t="str">
        <f>"1552374413841955"</f>
        <v>1552374413841955</v>
      </c>
      <c r="C1170" t="s">
        <v>40</v>
      </c>
      <c r="D1170">
        <v>4.2516780000000001</v>
      </c>
      <c r="E1170">
        <v>0.50607769999999996</v>
      </c>
      <c r="F1170" t="s">
        <v>47</v>
      </c>
      <c r="G1170">
        <v>-158.19499999999999</v>
      </c>
      <c r="H1170">
        <v>2.1845569999999999</v>
      </c>
      <c r="I1170">
        <v>360.93979999999999</v>
      </c>
      <c r="J1170">
        <v>-307.10860000000002</v>
      </c>
      <c r="K1170">
        <v>1.0605960000000001</v>
      </c>
      <c r="L1170">
        <v>367.26519999999999</v>
      </c>
      <c r="M1170">
        <v>0.99990080000000003</v>
      </c>
      <c r="N1170">
        <v>0</v>
      </c>
      <c r="O1170">
        <v>-3.6900079999999998E-3</v>
      </c>
      <c r="P1170">
        <v>0.99852779999999997</v>
      </c>
      <c r="Q1170">
        <v>4.7879520000000002E-2</v>
      </c>
      <c r="R1170">
        <v>-2.5491719999999999E-2</v>
      </c>
      <c r="S1170">
        <v>3.000092</v>
      </c>
      <c r="T1170">
        <v>2.2629259999999998E-2</v>
      </c>
      <c r="U1170">
        <v>-0.12734989999999999</v>
      </c>
      <c r="V1170">
        <v>2.1808399999999999E-2</v>
      </c>
      <c r="W1170">
        <v>6.1454950000000001E-2</v>
      </c>
      <c r="X1170">
        <v>0.99787159999999997</v>
      </c>
      <c r="Y1170">
        <v>3.8722149999999997E-2</v>
      </c>
      <c r="Z1170">
        <v>1.1814779999999999E-4</v>
      </c>
      <c r="AA1170">
        <v>0.99924999999999997</v>
      </c>
      <c r="AB1170">
        <v>21</v>
      </c>
      <c r="AC1170">
        <v>148.9136</v>
      </c>
      <c r="AD1170">
        <v>1.123961</v>
      </c>
      <c r="AE1170">
        <v>-6.3254000000000001</v>
      </c>
      <c r="AF1170">
        <v>5.7754853523909899</v>
      </c>
      <c r="AG1170">
        <v>1.123961</v>
      </c>
      <c r="AH1170">
        <v>148.92746005321601</v>
      </c>
      <c r="AI1170">
        <v>89.567919636061205</v>
      </c>
      <c r="AJ1170">
        <v>87.779152374821393</v>
      </c>
      <c r="AK1170">
        <v>149.04364420292299</v>
      </c>
      <c r="AL1170">
        <v>86.476670674339303</v>
      </c>
      <c r="AM1170">
        <v>88.748004859234996</v>
      </c>
      <c r="AN1170">
        <v>1.00000002363831</v>
      </c>
    </row>
    <row r="1171" spans="1:40" x14ac:dyDescent="0.25">
      <c r="A1171" t="str">
        <f>"20190312150653859"</f>
        <v>20190312150653859</v>
      </c>
      <c r="B1171" t="str">
        <f>"1552374413851716"</f>
        <v>1552374413851716</v>
      </c>
      <c r="C1171" t="s">
        <v>40</v>
      </c>
      <c r="D1171">
        <v>4.2168929999999998</v>
      </c>
      <c r="E1171">
        <v>0.50610069999999996</v>
      </c>
      <c r="F1171" t="s">
        <v>47</v>
      </c>
      <c r="G1171">
        <v>-158.19499999999999</v>
      </c>
      <c r="H1171">
        <v>2.155548</v>
      </c>
      <c r="I1171">
        <v>360.94869999999997</v>
      </c>
      <c r="J1171">
        <v>-307.00389999999999</v>
      </c>
      <c r="K1171">
        <v>1.060602</v>
      </c>
      <c r="L1171">
        <v>367.26479999999998</v>
      </c>
      <c r="M1171">
        <v>0.99990089999999998</v>
      </c>
      <c r="N1171">
        <v>0</v>
      </c>
      <c r="O1171">
        <v>-3.6854320000000002E-3</v>
      </c>
      <c r="P1171">
        <v>0.99852129999999995</v>
      </c>
      <c r="Q1171">
        <v>4.800016E-2</v>
      </c>
      <c r="R1171">
        <v>-2.552343E-2</v>
      </c>
      <c r="S1171">
        <v>3.0001530000000001</v>
      </c>
      <c r="T1171">
        <v>2.2061709999999998E-2</v>
      </c>
      <c r="U1171">
        <v>-0.12725829999999999</v>
      </c>
      <c r="V1171">
        <v>2.1844570000000001E-2</v>
      </c>
      <c r="W1171">
        <v>6.1571559999999997E-2</v>
      </c>
      <c r="X1171">
        <v>0.99786359999999996</v>
      </c>
      <c r="Y1171">
        <v>3.8695479999999997E-2</v>
      </c>
      <c r="Z1171">
        <v>1.15118E-4</v>
      </c>
      <c r="AA1171">
        <v>0.99925109999999995</v>
      </c>
      <c r="AB1171">
        <v>21</v>
      </c>
      <c r="AC1171">
        <v>148.80889999999999</v>
      </c>
      <c r="AD1171">
        <v>1.094946</v>
      </c>
      <c r="AE1171">
        <v>-6.3160999999999996</v>
      </c>
      <c r="AF1171">
        <v>5.7672697020996697</v>
      </c>
      <c r="AG1171">
        <v>1.094946</v>
      </c>
      <c r="AH1171">
        <v>148.82312595656501</v>
      </c>
      <c r="AI1171">
        <v>89.578777822117601</v>
      </c>
      <c r="AJ1171">
        <v>87.780755199376699</v>
      </c>
      <c r="AK1171">
        <v>148.93885700529401</v>
      </c>
      <c r="AL1171">
        <v>86.469976664951702</v>
      </c>
      <c r="AM1171">
        <v>88.745918992906496</v>
      </c>
      <c r="AN1171">
        <v>1.0000000032221299</v>
      </c>
    </row>
    <row r="1172" spans="1:40" x14ac:dyDescent="0.25">
      <c r="A1172" t="str">
        <f>"20190312150653870"</f>
        <v>20190312150653870</v>
      </c>
      <c r="B1172" t="str">
        <f>"1552374413862008"</f>
        <v>1552374413862008</v>
      </c>
      <c r="C1172" t="s">
        <v>40</v>
      </c>
      <c r="D1172">
        <v>4.2270130000000004</v>
      </c>
      <c r="E1172">
        <v>0.50610299999999997</v>
      </c>
      <c r="F1172" t="s">
        <v>47</v>
      </c>
      <c r="G1172">
        <v>-158.19499999999999</v>
      </c>
      <c r="H1172">
        <v>2.1387909999999999</v>
      </c>
      <c r="I1172">
        <v>360.93759999999997</v>
      </c>
      <c r="J1172">
        <v>-306.90050000000002</v>
      </c>
      <c r="K1172">
        <v>1.060602</v>
      </c>
      <c r="L1172">
        <v>367.26440000000002</v>
      </c>
      <c r="M1172">
        <v>0.99990080000000003</v>
      </c>
      <c r="N1172">
        <v>0</v>
      </c>
      <c r="O1172">
        <v>-3.6802620000000001E-3</v>
      </c>
      <c r="P1172">
        <v>0.99851279999999998</v>
      </c>
      <c r="Q1172">
        <v>4.8203429999999999E-2</v>
      </c>
      <c r="R1172">
        <v>-2.5466019999999999E-2</v>
      </c>
      <c r="S1172">
        <v>3.0001530000000001</v>
      </c>
      <c r="T1172">
        <v>2.173924E-2</v>
      </c>
      <c r="U1172">
        <v>-0.1275635</v>
      </c>
      <c r="V1172">
        <v>2.1792010000000001E-2</v>
      </c>
      <c r="W1172">
        <v>6.1771449999999999E-2</v>
      </c>
      <c r="X1172">
        <v>0.99785239999999997</v>
      </c>
      <c r="Y1172">
        <v>3.8802129999999997E-2</v>
      </c>
      <c r="Z1172">
        <v>1.1385879999999999E-4</v>
      </c>
      <c r="AA1172">
        <v>0.99924690000000005</v>
      </c>
      <c r="AB1172">
        <v>21</v>
      </c>
      <c r="AC1172">
        <v>148.7055</v>
      </c>
      <c r="AD1172">
        <v>1.0781889999999901</v>
      </c>
      <c r="AE1172">
        <v>-6.3268000000000404</v>
      </c>
      <c r="AF1172">
        <v>5.7791280989310598</v>
      </c>
      <c r="AG1172">
        <v>1.0781889999999901</v>
      </c>
      <c r="AH1172">
        <v>148.71997514408801</v>
      </c>
      <c r="AI1172">
        <v>89.584937998532695</v>
      </c>
      <c r="AJ1172">
        <v>87.774655806588598</v>
      </c>
      <c r="AK1172">
        <v>148.83612404239</v>
      </c>
      <c r="AL1172">
        <v>86.458501986333999</v>
      </c>
      <c r="AM1172">
        <v>88.748921426821397</v>
      </c>
      <c r="AN1172">
        <v>1.0000000079603499</v>
      </c>
    </row>
    <row r="1173" spans="1:40" x14ac:dyDescent="0.25">
      <c r="A1173" t="str">
        <f>"20190312150653883"</f>
        <v>20190312150653883</v>
      </c>
      <c r="B1173" t="str">
        <f>"1552374413871769"</f>
        <v>1552374413871769</v>
      </c>
      <c r="C1173" t="s">
        <v>40</v>
      </c>
      <c r="D1173">
        <v>4.2798379999999998</v>
      </c>
      <c r="E1173">
        <v>0.50608929999999996</v>
      </c>
      <c r="F1173" t="s">
        <v>47</v>
      </c>
      <c r="G1173">
        <v>-158.19499999999999</v>
      </c>
      <c r="H1173">
        <v>2.1312660000000001</v>
      </c>
      <c r="I1173">
        <v>360.94170000000003</v>
      </c>
      <c r="J1173">
        <v>-306.77429999999998</v>
      </c>
      <c r="K1173">
        <v>1.060603</v>
      </c>
      <c r="L1173">
        <v>367.26389999999998</v>
      </c>
      <c r="M1173">
        <v>0.99990100000000004</v>
      </c>
      <c r="N1173">
        <v>0</v>
      </c>
      <c r="O1173">
        <v>-3.6737710000000002E-3</v>
      </c>
      <c r="P1173">
        <v>0.99851610000000002</v>
      </c>
      <c r="Q1173">
        <v>4.8272799999999998E-2</v>
      </c>
      <c r="R1173">
        <v>-2.5209450000000001E-2</v>
      </c>
      <c r="S1173">
        <v>3.0002140000000002</v>
      </c>
      <c r="T1173">
        <v>2.1602989999999999E-2</v>
      </c>
      <c r="U1173">
        <v>-0.1275635</v>
      </c>
      <c r="V1173">
        <v>2.1541629999999999E-2</v>
      </c>
      <c r="W1173">
        <v>6.18376E-2</v>
      </c>
      <c r="X1173">
        <v>0.99785380000000001</v>
      </c>
      <c r="Y1173">
        <v>3.8807769999999998E-2</v>
      </c>
      <c r="Z1173">
        <v>1.132099E-4</v>
      </c>
      <c r="AA1173">
        <v>0.99924669999999904</v>
      </c>
      <c r="AB1173">
        <v>21</v>
      </c>
      <c r="AC1173">
        <v>148.57929999999999</v>
      </c>
      <c r="AD1173">
        <v>1.0706629999999999</v>
      </c>
      <c r="AE1173">
        <v>-6.3221999999999499</v>
      </c>
      <c r="AF1173">
        <v>5.7759612614763798</v>
      </c>
      <c r="AG1173">
        <v>1.0706629999999999</v>
      </c>
      <c r="AH1173">
        <v>148.59382360163801</v>
      </c>
      <c r="AI1173">
        <v>89.587485407536903</v>
      </c>
      <c r="AJ1173">
        <v>87.773987706982993</v>
      </c>
      <c r="AK1173">
        <v>148.70989361945001</v>
      </c>
      <c r="AL1173">
        <v>86.4547048255031</v>
      </c>
      <c r="AM1173">
        <v>88.763292978772796</v>
      </c>
      <c r="AN1173">
        <v>1.0000000683856201</v>
      </c>
    </row>
    <row r="1174" spans="1:40" x14ac:dyDescent="0.25">
      <c r="A1174" t="str">
        <f>"20190312150653896"</f>
        <v>20190312150653896</v>
      </c>
      <c r="B1174" t="str">
        <f>"1552374413891288"</f>
        <v>1552374413891288</v>
      </c>
      <c r="C1174" t="s">
        <v>40</v>
      </c>
      <c r="D1174">
        <v>4.248405</v>
      </c>
      <c r="E1174">
        <v>0.50608960000000003</v>
      </c>
      <c r="F1174" t="s">
        <v>47</v>
      </c>
      <c r="G1174">
        <v>-158.19499999999999</v>
      </c>
      <c r="H1174">
        <v>2.110465</v>
      </c>
      <c r="I1174">
        <v>360.98599999999999</v>
      </c>
      <c r="J1174">
        <v>-306.66059999999999</v>
      </c>
      <c r="K1174">
        <v>1.060597</v>
      </c>
      <c r="L1174">
        <v>367.26350000000002</v>
      </c>
      <c r="M1174">
        <v>0.99990100000000004</v>
      </c>
      <c r="N1174">
        <v>0</v>
      </c>
      <c r="O1174">
        <v>-3.6665819999999998E-3</v>
      </c>
      <c r="P1174">
        <v>0.99853170000000002</v>
      </c>
      <c r="Q1174">
        <v>4.8042059999999998E-2</v>
      </c>
      <c r="R1174">
        <v>-2.502602E-2</v>
      </c>
      <c r="S1174">
        <v>3.0002439999999999</v>
      </c>
      <c r="T1174">
        <v>2.120149E-2</v>
      </c>
      <c r="U1174">
        <v>-0.12676999999999999</v>
      </c>
      <c r="V1174">
        <v>2.13654E-2</v>
      </c>
      <c r="W1174">
        <v>6.1603440000000002E-2</v>
      </c>
      <c r="X1174">
        <v>0.99787199999999998</v>
      </c>
      <c r="Y1174">
        <v>3.8550769999999998E-2</v>
      </c>
      <c r="Z1174">
        <v>1.1024859999999999E-4</v>
      </c>
      <c r="AA1174">
        <v>0.99925660000000005</v>
      </c>
      <c r="AB1174">
        <v>21</v>
      </c>
      <c r="AC1174">
        <v>148.46559999999999</v>
      </c>
      <c r="AD1174">
        <v>1.049868</v>
      </c>
      <c r="AE1174">
        <v>-6.2775000000000301</v>
      </c>
      <c r="AF1174">
        <v>5.7327601038791904</v>
      </c>
      <c r="AG1174">
        <v>1.049868</v>
      </c>
      <c r="AH1174">
        <v>148.480209356708</v>
      </c>
      <c r="AI1174">
        <v>89.595183624013998</v>
      </c>
      <c r="AJ1174">
        <v>87.7889316504628</v>
      </c>
      <c r="AK1174">
        <v>148.594546776919</v>
      </c>
      <c r="AL1174">
        <v>86.468146576856697</v>
      </c>
      <c r="AM1174">
        <v>88.773429620850393</v>
      </c>
      <c r="AN1174">
        <v>0.99999999626049596</v>
      </c>
    </row>
    <row r="1175" spans="1:40" x14ac:dyDescent="0.25">
      <c r="A1175" t="str">
        <f>"20190312150653908"</f>
        <v>20190312150653908</v>
      </c>
      <c r="B1175" t="str">
        <f>"1552374413902024"</f>
        <v>1552374413902024</v>
      </c>
      <c r="C1175" t="s">
        <v>40</v>
      </c>
      <c r="D1175">
        <v>4.2557429999999998</v>
      </c>
      <c r="E1175">
        <v>0.50610630000000001</v>
      </c>
      <c r="F1175" t="s">
        <v>47</v>
      </c>
      <c r="G1175">
        <v>-158.19499999999999</v>
      </c>
      <c r="H1175">
        <v>2.0430999999999999</v>
      </c>
      <c r="I1175">
        <v>361.01620000000003</v>
      </c>
      <c r="J1175">
        <v>-306.54500000000002</v>
      </c>
      <c r="K1175">
        <v>1.060597</v>
      </c>
      <c r="L1175">
        <v>367.26310000000001</v>
      </c>
      <c r="M1175">
        <v>0.99990100000000004</v>
      </c>
      <c r="N1175">
        <v>0</v>
      </c>
      <c r="O1175">
        <v>-3.6589190000000001E-3</v>
      </c>
      <c r="P1175">
        <v>0.99854480000000001</v>
      </c>
      <c r="Q1175">
        <v>4.7878869999999997E-2</v>
      </c>
      <c r="R1175">
        <v>-2.4817849999999999E-2</v>
      </c>
      <c r="S1175">
        <v>3.000305</v>
      </c>
      <c r="T1175">
        <v>1.9856929999999998E-2</v>
      </c>
      <c r="U1175">
        <v>-0.12625120000000001</v>
      </c>
      <c r="V1175">
        <v>2.1164619999999999E-2</v>
      </c>
      <c r="W1175">
        <v>6.1437819999999997E-2</v>
      </c>
      <c r="X1175">
        <v>0.99788650000000001</v>
      </c>
      <c r="Y1175">
        <v>3.838519E-2</v>
      </c>
      <c r="Z1175">
        <v>1.027583E-4</v>
      </c>
      <c r="AA1175">
        <v>0.99926300000000001</v>
      </c>
      <c r="AB1175">
        <v>21</v>
      </c>
      <c r="AC1175">
        <v>148.35</v>
      </c>
      <c r="AD1175">
        <v>0.98250300000000002</v>
      </c>
      <c r="AE1175">
        <v>-6.2468999999999797</v>
      </c>
      <c r="AF1175">
        <v>5.7037576967664796</v>
      </c>
      <c r="AG1175">
        <v>0.98250300000000002</v>
      </c>
      <c r="AH1175">
        <v>148.36536964617801</v>
      </c>
      <c r="AI1175">
        <v>89.620862325611398</v>
      </c>
      <c r="AJ1175">
        <v>87.7984054557284</v>
      </c>
      <c r="AK1175">
        <v>148.47821750767201</v>
      </c>
      <c r="AL1175">
        <v>86.477653950019103</v>
      </c>
      <c r="AM1175">
        <v>88.784970416997695</v>
      </c>
      <c r="AN1175">
        <v>1.0000000068741699</v>
      </c>
    </row>
    <row r="1176" spans="1:40" x14ac:dyDescent="0.25">
      <c r="A1176" t="str">
        <f>"20190312150653920"</f>
        <v>20190312150653920</v>
      </c>
      <c r="B1176" t="str">
        <f>"1552374413911784"</f>
        <v>1552374413911784</v>
      </c>
      <c r="C1176" t="s">
        <v>40</v>
      </c>
      <c r="D1176">
        <v>4.2898009999999998</v>
      </c>
      <c r="E1176">
        <v>0.50610920000000004</v>
      </c>
      <c r="F1176" t="s">
        <v>47</v>
      </c>
      <c r="G1176">
        <v>-158.19499999999999</v>
      </c>
      <c r="H1176">
        <v>1.9944729999999999</v>
      </c>
      <c r="I1176">
        <v>361.03890000000001</v>
      </c>
      <c r="J1176">
        <v>-306.42790000000002</v>
      </c>
      <c r="K1176">
        <v>1.060595</v>
      </c>
      <c r="L1176">
        <v>367.2627</v>
      </c>
      <c r="M1176">
        <v>0.99990140000000005</v>
      </c>
      <c r="N1176">
        <v>0</v>
      </c>
      <c r="O1176">
        <v>-3.650787E-3</v>
      </c>
      <c r="P1176">
        <v>0.99855050000000001</v>
      </c>
      <c r="Q1176">
        <v>4.7775339999999999E-2</v>
      </c>
      <c r="R1176">
        <v>-2.4793720000000002E-2</v>
      </c>
      <c r="S1176">
        <v>3.0003660000000001</v>
      </c>
      <c r="T1176">
        <v>1.8889309999999999E-2</v>
      </c>
      <c r="U1176">
        <v>-0.125885</v>
      </c>
      <c r="V1176">
        <v>2.1148489999999999E-2</v>
      </c>
      <c r="W1176">
        <v>6.1330740000000002E-2</v>
      </c>
      <c r="X1176">
        <v>0.99789340000000004</v>
      </c>
      <c r="Y1176">
        <v>3.8270789999999999E-2</v>
      </c>
      <c r="Z1176" s="1">
        <v>9.74404699999999E-5</v>
      </c>
      <c r="AA1176">
        <v>0.99926740000000003</v>
      </c>
      <c r="AB1176">
        <v>21</v>
      </c>
      <c r="AC1176">
        <v>148.2329</v>
      </c>
      <c r="AD1176">
        <v>0.93387799999999899</v>
      </c>
      <c r="AE1176">
        <v>-6.2237999999999802</v>
      </c>
      <c r="AF1176">
        <v>5.6823168754578797</v>
      </c>
      <c r="AG1176">
        <v>0.93387799999999899</v>
      </c>
      <c r="AH1176">
        <v>148.248762056206</v>
      </c>
      <c r="AI1176">
        <v>89.639340666557104</v>
      </c>
      <c r="AJ1176">
        <v>87.804949792949699</v>
      </c>
      <c r="AK1176">
        <v>148.36056182284199</v>
      </c>
      <c r="AL1176">
        <v>86.483800672141001</v>
      </c>
      <c r="AM1176">
        <v>88.785904531693106</v>
      </c>
      <c r="AN1176">
        <v>0.99999997803089302</v>
      </c>
    </row>
    <row r="1177" spans="1:40" x14ac:dyDescent="0.25">
      <c r="A1177" t="str">
        <f>"20190312150653933"</f>
        <v>20190312150653933</v>
      </c>
      <c r="B1177" t="str">
        <f>"1552374413921545"</f>
        <v>1552374413921545</v>
      </c>
      <c r="C1177" t="s">
        <v>40</v>
      </c>
      <c r="D1177">
        <v>4.2723040000000001</v>
      </c>
      <c r="E1177">
        <v>0.50615569999999999</v>
      </c>
      <c r="F1177" t="s">
        <v>47</v>
      </c>
      <c r="G1177">
        <v>-158.19499999999999</v>
      </c>
      <c r="H1177">
        <v>1.94876</v>
      </c>
      <c r="I1177">
        <v>361.06150000000002</v>
      </c>
      <c r="J1177">
        <v>-306.32</v>
      </c>
      <c r="K1177">
        <v>1.0605990000000001</v>
      </c>
      <c r="L1177">
        <v>367.26229999999998</v>
      </c>
      <c r="M1177">
        <v>0.99990120000000005</v>
      </c>
      <c r="N1177">
        <v>0</v>
      </c>
      <c r="O1177">
        <v>-3.6423039999999999E-3</v>
      </c>
      <c r="P1177">
        <v>0.99855870000000002</v>
      </c>
      <c r="Q1177">
        <v>4.750907E-2</v>
      </c>
      <c r="R1177">
        <v>-2.4969120000000001E-2</v>
      </c>
      <c r="S1177">
        <v>3.0003660000000001</v>
      </c>
      <c r="T1177">
        <v>1.797903E-2</v>
      </c>
      <c r="U1177">
        <v>-0.12551880000000001</v>
      </c>
      <c r="V1177">
        <v>2.1332480000000001E-2</v>
      </c>
      <c r="W1177">
        <v>6.10623E-2</v>
      </c>
      <c r="X1177">
        <v>0.99790599999999996</v>
      </c>
      <c r="Y1177">
        <v>3.8157580000000003E-2</v>
      </c>
      <c r="Z1177" s="1">
        <v>9.2456870000000004E-5</v>
      </c>
      <c r="AA1177">
        <v>0.99927180000000004</v>
      </c>
      <c r="AB1177">
        <v>21</v>
      </c>
      <c r="AC1177">
        <v>148.125</v>
      </c>
      <c r="AD1177">
        <v>0.88816099999999898</v>
      </c>
      <c r="AE1177">
        <v>-6.2007999999999504</v>
      </c>
      <c r="AF1177">
        <v>5.66098968190754</v>
      </c>
      <c r="AG1177">
        <v>0.88816099999999898</v>
      </c>
      <c r="AH1177">
        <v>148.14128785205401</v>
      </c>
      <c r="AI1177">
        <v>89.656745564452706</v>
      </c>
      <c r="AJ1177">
        <v>87.811595404323896</v>
      </c>
      <c r="AK1177">
        <v>148.25207182567701</v>
      </c>
      <c r="AL1177">
        <v>86.499210221986601</v>
      </c>
      <c r="AM1177">
        <v>88.775360669287195</v>
      </c>
      <c r="AN1177">
        <v>1.0000000320101099</v>
      </c>
    </row>
    <row r="1178" spans="1:40" x14ac:dyDescent="0.25">
      <c r="A1178" t="str">
        <f>"20190312150653943"</f>
        <v>20190312150653943</v>
      </c>
      <c r="B1178" t="str">
        <f>"1552374413931306"</f>
        <v>1552374413931306</v>
      </c>
      <c r="C1178" t="s">
        <v>40</v>
      </c>
      <c r="D1178">
        <v>4.2702809999999998</v>
      </c>
      <c r="E1178">
        <v>0.50616289999999997</v>
      </c>
      <c r="F1178" t="s">
        <v>47</v>
      </c>
      <c r="G1178">
        <v>-158.19499999999999</v>
      </c>
      <c r="H1178">
        <v>1.8965639999999999</v>
      </c>
      <c r="I1178">
        <v>361.0249</v>
      </c>
      <c r="J1178">
        <v>-306.21629999999999</v>
      </c>
      <c r="K1178">
        <v>1.0606</v>
      </c>
      <c r="L1178">
        <v>367.26190000000003</v>
      </c>
      <c r="M1178">
        <v>0.99990129999999999</v>
      </c>
      <c r="N1178">
        <v>0</v>
      </c>
      <c r="O1178">
        <v>-3.6343009999999999E-3</v>
      </c>
      <c r="P1178">
        <v>0.99856789999999995</v>
      </c>
      <c r="Q1178">
        <v>4.7346619999999999E-2</v>
      </c>
      <c r="R1178">
        <v>-2.4911280000000001E-2</v>
      </c>
      <c r="S1178">
        <v>3.0003660000000001</v>
      </c>
      <c r="T1178">
        <v>1.6934749999999998E-2</v>
      </c>
      <c r="U1178">
        <v>-0.12634280000000001</v>
      </c>
      <c r="V1178">
        <v>2.1282309999999999E-2</v>
      </c>
      <c r="W1178">
        <v>6.089762E-2</v>
      </c>
      <c r="X1178">
        <v>0.9979171</v>
      </c>
      <c r="Y1178">
        <v>3.8439580000000001E-2</v>
      </c>
      <c r="Z1178" s="1">
        <v>8.7926939999999996E-5</v>
      </c>
      <c r="AA1178">
        <v>0.99926090000000001</v>
      </c>
      <c r="AB1178">
        <v>21</v>
      </c>
      <c r="AC1178">
        <v>148.0213</v>
      </c>
      <c r="AD1178">
        <v>0.83596399999999904</v>
      </c>
      <c r="AE1178">
        <v>-6.2370000000000196</v>
      </c>
      <c r="AF1178">
        <v>5.69877385449771</v>
      </c>
      <c r="AG1178">
        <v>0.83596399999999904</v>
      </c>
      <c r="AH1178">
        <v>148.03827813904701</v>
      </c>
      <c r="AI1178">
        <v>89.676696784485301</v>
      </c>
      <c r="AJ1178">
        <v>87.795471878799503</v>
      </c>
      <c r="AK1178">
        <v>148.150284014672</v>
      </c>
      <c r="AL1178">
        <v>86.508663162811303</v>
      </c>
      <c r="AM1178">
        <v>88.778253503478695</v>
      </c>
      <c r="AN1178">
        <v>0.99999999765650505</v>
      </c>
    </row>
    <row r="1179" spans="1:40" x14ac:dyDescent="0.25">
      <c r="A1179" t="str">
        <f>"20190312150653959"</f>
        <v>20190312150653959</v>
      </c>
      <c r="B1179" t="str">
        <f>"1552374413951800"</f>
        <v>1552374413951800</v>
      </c>
      <c r="C1179" t="s">
        <v>40</v>
      </c>
      <c r="D1179">
        <v>4.2801010000000002</v>
      </c>
      <c r="E1179">
        <v>0.50621779999999905</v>
      </c>
      <c r="F1179" t="s">
        <v>47</v>
      </c>
      <c r="G1179">
        <v>-158.19499999999999</v>
      </c>
      <c r="H1179">
        <v>1.8495919999999999</v>
      </c>
      <c r="I1179">
        <v>361.04399999999998</v>
      </c>
      <c r="J1179">
        <v>-306.07580000000002</v>
      </c>
      <c r="K1179">
        <v>1.0606</v>
      </c>
      <c r="L1179">
        <v>367.26150000000001</v>
      </c>
      <c r="M1179">
        <v>0.99990140000000005</v>
      </c>
      <c r="N1179">
        <v>0</v>
      </c>
      <c r="O1179">
        <v>-3.622845E-3</v>
      </c>
      <c r="P1179">
        <v>0.99855340000000004</v>
      </c>
      <c r="Q1179">
        <v>4.7455299999999999E-2</v>
      </c>
      <c r="R1179">
        <v>-2.5289989999999998E-2</v>
      </c>
      <c r="S1179">
        <v>3.000397</v>
      </c>
      <c r="T1179">
        <v>1.5994669999999999E-2</v>
      </c>
      <c r="U1179">
        <v>-0.1260376</v>
      </c>
      <c r="V1179">
        <v>2.167258E-2</v>
      </c>
      <c r="W1179">
        <v>6.1002809999999998E-2</v>
      </c>
      <c r="X1179">
        <v>0.99790230000000002</v>
      </c>
      <c r="Y1179">
        <v>3.8349210000000002E-2</v>
      </c>
      <c r="Z1179" s="1">
        <v>8.2865610000000002E-5</v>
      </c>
      <c r="AA1179">
        <v>0.99926440000000005</v>
      </c>
      <c r="AB1179">
        <v>21</v>
      </c>
      <c r="AC1179">
        <v>147.88079999999999</v>
      </c>
      <c r="AD1179">
        <v>0.78899199999999903</v>
      </c>
      <c r="AE1179">
        <v>-6.2174999999999701</v>
      </c>
      <c r="AF1179">
        <v>5.6814992175184598</v>
      </c>
      <c r="AG1179">
        <v>0.78899199999999903</v>
      </c>
      <c r="AH1179">
        <v>147.89815386895</v>
      </c>
      <c r="AI1179">
        <v>89.694572487106797</v>
      </c>
      <c r="AJ1179">
        <v>87.8000675969772</v>
      </c>
      <c r="AK1179">
        <v>148.00934382524099</v>
      </c>
      <c r="AL1179">
        <v>86.502625078691494</v>
      </c>
      <c r="AM1179">
        <v>88.755837935618104</v>
      </c>
      <c r="AN1179">
        <v>1.0000000219485199</v>
      </c>
    </row>
    <row r="1180" spans="1:40" x14ac:dyDescent="0.25">
      <c r="A1180" t="str">
        <f>"20190312150653970"</f>
        <v>20190312150653970</v>
      </c>
      <c r="B1180" t="str">
        <f>"1552374413961561"</f>
        <v>1552374413961561</v>
      </c>
      <c r="C1180" t="s">
        <v>40</v>
      </c>
      <c r="D1180">
        <v>4.2413550000000004</v>
      </c>
      <c r="E1180">
        <v>0.50625969999999998</v>
      </c>
      <c r="F1180" t="s">
        <v>47</v>
      </c>
      <c r="G1180">
        <v>-158.19499999999999</v>
      </c>
      <c r="H1180">
        <v>1.8907050000000001</v>
      </c>
      <c r="I1180">
        <v>360.96510000000001</v>
      </c>
      <c r="J1180">
        <v>-305.97199999999998</v>
      </c>
      <c r="K1180">
        <v>1.0606009999999999</v>
      </c>
      <c r="L1180">
        <v>367.2611</v>
      </c>
      <c r="M1180">
        <v>0.9999015</v>
      </c>
      <c r="N1180">
        <v>0</v>
      </c>
      <c r="O1180">
        <v>-3.6142510000000002E-3</v>
      </c>
      <c r="P1180">
        <v>0.99855760000000005</v>
      </c>
      <c r="Q1180">
        <v>4.7349349999999998E-2</v>
      </c>
      <c r="R1180">
        <v>-2.5316209999999999E-2</v>
      </c>
      <c r="S1180">
        <v>3.0003359999999999</v>
      </c>
      <c r="T1180">
        <v>1.684368E-2</v>
      </c>
      <c r="U1180">
        <v>-0.12774659999999999</v>
      </c>
      <c r="V1180">
        <v>2.1707540000000001E-2</v>
      </c>
      <c r="W1180">
        <v>6.0894759999999999E-2</v>
      </c>
      <c r="X1180">
        <v>0.99790809999999996</v>
      </c>
      <c r="Y1180">
        <v>3.8926750000000003E-2</v>
      </c>
      <c r="Z1180" s="1">
        <v>8.8933460000000002E-5</v>
      </c>
      <c r="AA1180">
        <v>0.99924210000000002</v>
      </c>
      <c r="AB1180">
        <v>21</v>
      </c>
      <c r="AC1180">
        <v>147.77699999999999</v>
      </c>
      <c r="AD1180">
        <v>0.83010399999999895</v>
      </c>
      <c r="AE1180">
        <v>-6.2959999999999896</v>
      </c>
      <c r="AF1180">
        <v>5.7616251040229596</v>
      </c>
      <c r="AG1180">
        <v>0.83010399999999895</v>
      </c>
      <c r="AH1180">
        <v>147.794137031773</v>
      </c>
      <c r="AI1180">
        <v>89.678438821575</v>
      </c>
      <c r="AJ1180">
        <v>87.767504668581495</v>
      </c>
      <c r="AK1180">
        <v>147.90872975405</v>
      </c>
      <c r="AL1180">
        <v>86.5088272806791</v>
      </c>
      <c r="AM1180">
        <v>88.753838853022799</v>
      </c>
      <c r="AN1180">
        <v>0.99999998256695899</v>
      </c>
    </row>
    <row r="1181" spans="1:40" x14ac:dyDescent="0.25">
      <c r="A1181" t="str">
        <f>"20190312150653982"</f>
        <v>20190312150653982</v>
      </c>
      <c r="B1181" t="str">
        <f>"1552374413971321"</f>
        <v>1552374413971321</v>
      </c>
      <c r="C1181" t="s">
        <v>40</v>
      </c>
      <c r="D1181">
        <v>4.2811769999999996</v>
      </c>
      <c r="E1181">
        <v>0.50626210000000005</v>
      </c>
      <c r="F1181" t="s">
        <v>47</v>
      </c>
      <c r="G1181">
        <v>-158.19499999999999</v>
      </c>
      <c r="H1181">
        <v>1.8599349999999999</v>
      </c>
      <c r="I1181">
        <v>360.94349999999997</v>
      </c>
      <c r="J1181">
        <v>-305.86180000000002</v>
      </c>
      <c r="K1181">
        <v>1.060602</v>
      </c>
      <c r="L1181">
        <v>367.26069999999999</v>
      </c>
      <c r="M1181">
        <v>0.9999015</v>
      </c>
      <c r="N1181">
        <v>0</v>
      </c>
      <c r="O1181">
        <v>-3.6052969999999999E-3</v>
      </c>
      <c r="P1181">
        <v>0.99855459999999996</v>
      </c>
      <c r="Q1181">
        <v>4.7382819999999999E-2</v>
      </c>
      <c r="R1181">
        <v>-2.5371930000000001E-2</v>
      </c>
      <c r="S1181">
        <v>3.000305</v>
      </c>
      <c r="T1181">
        <v>1.6230580000000001E-2</v>
      </c>
      <c r="U1181">
        <v>-0.1282654</v>
      </c>
      <c r="V1181">
        <v>2.1772050000000001E-2</v>
      </c>
      <c r="W1181">
        <v>6.0925710000000001E-2</v>
      </c>
      <c r="X1181">
        <v>0.99790480000000004</v>
      </c>
      <c r="Y1181">
        <v>3.9108629999999998E-2</v>
      </c>
      <c r="Z1181" s="1">
        <v>8.6237109999999894E-5</v>
      </c>
      <c r="AA1181">
        <v>0.99923499999999998</v>
      </c>
      <c r="AB1181">
        <v>21</v>
      </c>
      <c r="AC1181">
        <v>147.66679999999999</v>
      </c>
      <c r="AD1181">
        <v>0.79933299999999896</v>
      </c>
      <c r="AE1181">
        <v>-6.3172000000000104</v>
      </c>
      <c r="AF1181">
        <v>5.7845580948347299</v>
      </c>
      <c r="AG1181">
        <v>0.79933299999999896</v>
      </c>
      <c r="AH1181">
        <v>147.684298133884</v>
      </c>
      <c r="AI1181">
        <v>89.690130427091702</v>
      </c>
      <c r="AJ1181">
        <v>87.756962415642207</v>
      </c>
      <c r="AK1181">
        <v>147.799702167817</v>
      </c>
      <c r="AL1181">
        <v>86.507050658376599</v>
      </c>
      <c r="AM1181">
        <v>88.750132579248799</v>
      </c>
      <c r="AN1181">
        <v>0.99999997708162303</v>
      </c>
    </row>
    <row r="1182" spans="1:40" x14ac:dyDescent="0.25">
      <c r="A1182" t="str">
        <f>"20190312150653994"</f>
        <v>20190312150653994</v>
      </c>
      <c r="B1182" t="str">
        <f>"1552374413991817"</f>
        <v>1552374413991817</v>
      </c>
      <c r="C1182" t="s">
        <v>40</v>
      </c>
      <c r="D1182">
        <v>4.2461979999999997</v>
      </c>
      <c r="E1182">
        <v>0.50635859999999899</v>
      </c>
      <c r="F1182" t="s">
        <v>47</v>
      </c>
      <c r="G1182">
        <v>-158.19499999999999</v>
      </c>
      <c r="H1182">
        <v>1.8453619999999999</v>
      </c>
      <c r="I1182">
        <v>360.94490000000002</v>
      </c>
      <c r="J1182">
        <v>-305.74849999999998</v>
      </c>
      <c r="K1182">
        <v>1.0606009999999999</v>
      </c>
      <c r="L1182">
        <v>367.26029999999997</v>
      </c>
      <c r="M1182">
        <v>0.99990159999999995</v>
      </c>
      <c r="N1182">
        <v>0</v>
      </c>
      <c r="O1182">
        <v>-3.595984E-3</v>
      </c>
      <c r="P1182">
        <v>0.99855590000000005</v>
      </c>
      <c r="Q1182">
        <v>4.7413579999999997E-2</v>
      </c>
      <c r="R1182">
        <v>-2.5265530000000001E-2</v>
      </c>
      <c r="S1182">
        <v>3.0003359999999999</v>
      </c>
      <c r="T1182">
        <v>1.5946749999999999E-2</v>
      </c>
      <c r="U1182">
        <v>-0.12832639999999901</v>
      </c>
      <c r="V1182">
        <v>2.1675090000000001E-2</v>
      </c>
      <c r="W1182">
        <v>6.0954260000000003E-2</v>
      </c>
      <c r="X1182">
        <v>0.99790520000000005</v>
      </c>
      <c r="Y1182">
        <v>3.9137810000000002E-2</v>
      </c>
      <c r="Z1182" s="1">
        <v>8.4855139999999996E-5</v>
      </c>
      <c r="AA1182">
        <v>0.99923379999999995</v>
      </c>
      <c r="AB1182">
        <v>21</v>
      </c>
      <c r="AC1182">
        <v>147.55350000000001</v>
      </c>
      <c r="AD1182">
        <v>0.78476099999999904</v>
      </c>
      <c r="AE1182">
        <v>-6.3153999999999497</v>
      </c>
      <c r="AF1182">
        <v>5.7845470259915102</v>
      </c>
      <c r="AG1182">
        <v>0.78476099999999904</v>
      </c>
      <c r="AH1182">
        <v>147.571091368271</v>
      </c>
      <c r="AI1182">
        <v>89.695546287473405</v>
      </c>
      <c r="AJ1182">
        <v>87.755247756362294</v>
      </c>
      <c r="AK1182">
        <v>147.68650527975001</v>
      </c>
      <c r="AL1182">
        <v>86.505411932286705</v>
      </c>
      <c r="AM1182">
        <v>88.755697503779302</v>
      </c>
      <c r="AN1182">
        <v>1.0000000097628401</v>
      </c>
    </row>
    <row r="1183" spans="1:40" x14ac:dyDescent="0.25">
      <c r="A1183" t="str">
        <f>"20190312150654006"</f>
        <v>20190312150654006</v>
      </c>
      <c r="B1183" t="str">
        <f>"1552374414001576"</f>
        <v>1552374414001576</v>
      </c>
      <c r="C1183" t="s">
        <v>40</v>
      </c>
      <c r="D1183">
        <v>4.260364</v>
      </c>
      <c r="E1183">
        <v>0.50639219999999996</v>
      </c>
      <c r="F1183" t="s">
        <v>47</v>
      </c>
      <c r="G1183">
        <v>-158.19499999999999</v>
      </c>
      <c r="H1183">
        <v>1.825391</v>
      </c>
      <c r="I1183">
        <v>360.9178</v>
      </c>
      <c r="J1183">
        <v>-305.64679999999998</v>
      </c>
      <c r="K1183">
        <v>1.060602</v>
      </c>
      <c r="L1183">
        <v>367.26</v>
      </c>
      <c r="M1183">
        <v>0.9999017</v>
      </c>
      <c r="N1183">
        <v>0</v>
      </c>
      <c r="O1183">
        <v>-3.5872679999999998E-3</v>
      </c>
      <c r="P1183">
        <v>0.99855039999999995</v>
      </c>
      <c r="Q1183">
        <v>4.7459929999999997E-2</v>
      </c>
      <c r="R1183">
        <v>-2.5399229999999998E-2</v>
      </c>
      <c r="S1183">
        <v>3.000305</v>
      </c>
      <c r="T1183">
        <v>1.5552760000000001E-2</v>
      </c>
      <c r="U1183">
        <v>-0.12896730000000001</v>
      </c>
      <c r="V1183">
        <v>2.1817389999999999E-2</v>
      </c>
      <c r="W1183">
        <v>6.0998999999999998E-2</v>
      </c>
      <c r="X1183">
        <v>0.99789939999999999</v>
      </c>
      <c r="Y1183">
        <v>3.9360020000000003E-2</v>
      </c>
      <c r="Z1183" s="1">
        <v>8.3379979999999895E-5</v>
      </c>
      <c r="AA1183">
        <v>0.99922509999999998</v>
      </c>
      <c r="AB1183">
        <v>21</v>
      </c>
      <c r="AC1183">
        <v>147.45179999999999</v>
      </c>
      <c r="AD1183">
        <v>0.76478899999999905</v>
      </c>
      <c r="AE1183">
        <v>-6.3421999999999903</v>
      </c>
      <c r="AF1183">
        <v>5.8130053727937101</v>
      </c>
      <c r="AG1183">
        <v>0.76478899999999905</v>
      </c>
      <c r="AH1183">
        <v>147.46964445370699</v>
      </c>
      <c r="AI1183">
        <v>89.703092886873804</v>
      </c>
      <c r="AJ1183">
        <v>87.742665398179696</v>
      </c>
      <c r="AK1183">
        <v>147.58615100673001</v>
      </c>
      <c r="AL1183">
        <v>86.502843861909895</v>
      </c>
      <c r="AM1183">
        <v>88.747523800047205</v>
      </c>
      <c r="AN1183">
        <v>1.0000000445138799</v>
      </c>
    </row>
    <row r="1184" spans="1:40" x14ac:dyDescent="0.25">
      <c r="A1184" t="str">
        <f>"20190312150654016"</f>
        <v>20190312150654016</v>
      </c>
      <c r="B1184" t="str">
        <f>"1552374414011337"</f>
        <v>1552374414011337</v>
      </c>
      <c r="C1184" t="s">
        <v>40</v>
      </c>
      <c r="D1184">
        <v>4.243417</v>
      </c>
      <c r="E1184">
        <v>0.50643720000000003</v>
      </c>
      <c r="F1184" t="s">
        <v>47</v>
      </c>
      <c r="G1184">
        <v>-158.19499999999999</v>
      </c>
      <c r="H1184">
        <v>1.8220190000000001</v>
      </c>
      <c r="I1184">
        <v>360.8904</v>
      </c>
      <c r="J1184">
        <v>-305.54469999999998</v>
      </c>
      <c r="K1184">
        <v>1.060602</v>
      </c>
      <c r="L1184">
        <v>367.25959999999998</v>
      </c>
      <c r="M1184">
        <v>0.99990179999999995</v>
      </c>
      <c r="N1184">
        <v>0</v>
      </c>
      <c r="O1184">
        <v>-3.579025E-3</v>
      </c>
      <c r="P1184">
        <v>0.998552</v>
      </c>
      <c r="Q1184">
        <v>4.7468620000000003E-2</v>
      </c>
      <c r="R1184">
        <v>-2.5313459999999999E-2</v>
      </c>
      <c r="S1184">
        <v>3.0003660000000001</v>
      </c>
      <c r="T1184">
        <v>1.5495180000000001E-2</v>
      </c>
      <c r="U1184">
        <v>-0.12960819999999901</v>
      </c>
      <c r="V1184">
        <v>2.1739939999999999E-2</v>
      </c>
      <c r="W1184">
        <v>6.100614E-2</v>
      </c>
      <c r="X1184">
        <v>0.99790060000000003</v>
      </c>
      <c r="Y1184">
        <v>3.9580419999999998E-2</v>
      </c>
      <c r="Z1184" s="1">
        <v>8.3680630000000002E-5</v>
      </c>
      <c r="AA1184">
        <v>0.9992164</v>
      </c>
      <c r="AB1184">
        <v>21</v>
      </c>
      <c r="AC1184">
        <v>147.34969999999899</v>
      </c>
      <c r="AD1184">
        <v>0.76141699999999901</v>
      </c>
      <c r="AE1184">
        <v>-6.36919999999997</v>
      </c>
      <c r="AF1184">
        <v>5.8415868332387504</v>
      </c>
      <c r="AG1184">
        <v>0.76141699999999901</v>
      </c>
      <c r="AH1184">
        <v>147.36762601283101</v>
      </c>
      <c r="AI1184">
        <v>89.704199896854306</v>
      </c>
      <c r="AJ1184">
        <v>87.730009350127801</v>
      </c>
      <c r="AK1184">
        <v>147.48532499620401</v>
      </c>
      <c r="AL1184">
        <v>86.502433818631502</v>
      </c>
      <c r="AM1184">
        <v>88.751970082547899</v>
      </c>
      <c r="AN1184">
        <v>0.99999999079463098</v>
      </c>
    </row>
    <row r="1185" spans="1:40" x14ac:dyDescent="0.25">
      <c r="A1185" t="str">
        <f>"20190312150654026"</f>
        <v>20190312150654026</v>
      </c>
      <c r="B1185" t="str">
        <f>"1552374414021096"</f>
        <v>1552374414021096</v>
      </c>
      <c r="C1185" t="s">
        <v>40</v>
      </c>
      <c r="D1185">
        <v>4.2232900000000004</v>
      </c>
      <c r="E1185">
        <v>0.50648729999999997</v>
      </c>
      <c r="F1185" t="s">
        <v>47</v>
      </c>
      <c r="G1185">
        <v>-158.19499999999999</v>
      </c>
      <c r="H1185">
        <v>1.8005930000000001</v>
      </c>
      <c r="I1185">
        <v>360.89139999999998</v>
      </c>
      <c r="J1185">
        <v>-305.45409999999998</v>
      </c>
      <c r="K1185">
        <v>1.060603</v>
      </c>
      <c r="L1185">
        <v>367.2593</v>
      </c>
      <c r="M1185">
        <v>0.99990179999999995</v>
      </c>
      <c r="N1185">
        <v>0</v>
      </c>
      <c r="O1185">
        <v>-3.5716189999999998E-3</v>
      </c>
      <c r="P1185">
        <v>0.99855419999999995</v>
      </c>
      <c r="Q1185">
        <v>4.7481599999999999E-2</v>
      </c>
      <c r="R1185">
        <v>-2.5201990000000001E-2</v>
      </c>
      <c r="S1185">
        <v>3.0003359999999999</v>
      </c>
      <c r="T1185">
        <v>1.506948E-2</v>
      </c>
      <c r="U1185">
        <v>-0.12966920000000001</v>
      </c>
      <c r="V1185">
        <v>2.163576E-2</v>
      </c>
      <c r="W1185">
        <v>6.1017090000000003E-2</v>
      </c>
      <c r="X1185">
        <v>0.99790219999999996</v>
      </c>
      <c r="Y1185">
        <v>3.9608570000000003E-2</v>
      </c>
      <c r="Z1185" s="1">
        <v>8.1490350000000005E-5</v>
      </c>
      <c r="AA1185">
        <v>0.99921519999999997</v>
      </c>
      <c r="AB1185">
        <v>21</v>
      </c>
      <c r="AC1185">
        <v>147.25909999999999</v>
      </c>
      <c r="AD1185">
        <v>0.73999000000000004</v>
      </c>
      <c r="AE1185">
        <v>-6.3679000000000103</v>
      </c>
      <c r="AF1185">
        <v>5.8417104421946702</v>
      </c>
      <c r="AG1185">
        <v>0.73999000000000004</v>
      </c>
      <c r="AH1185">
        <v>147.277194342276</v>
      </c>
      <c r="AI1185">
        <v>89.712347624492693</v>
      </c>
      <c r="AJ1185">
        <v>87.728568969264401</v>
      </c>
      <c r="AK1185">
        <v>147.394861306027</v>
      </c>
      <c r="AL1185">
        <v>86.501805277359196</v>
      </c>
      <c r="AM1185">
        <v>88.757950881471999</v>
      </c>
      <c r="AN1185">
        <v>0.99999999607384205</v>
      </c>
    </row>
    <row r="1186" spans="1:40" x14ac:dyDescent="0.25">
      <c r="A1186" t="str">
        <f>"20190312150654037"</f>
        <v>20190312150654037</v>
      </c>
      <c r="B1186" t="str">
        <f>"1552374414031832"</f>
        <v>1552374414031832</v>
      </c>
      <c r="C1186" t="s">
        <v>40</v>
      </c>
      <c r="D1186">
        <v>4.228478</v>
      </c>
      <c r="E1186">
        <v>0.50652569999999997</v>
      </c>
      <c r="F1186" t="s">
        <v>47</v>
      </c>
      <c r="G1186">
        <v>-158.19499999999999</v>
      </c>
      <c r="H1186">
        <v>1.788225</v>
      </c>
      <c r="I1186">
        <v>360.88459999999998</v>
      </c>
      <c r="J1186">
        <v>-305.34859999999998</v>
      </c>
      <c r="K1186">
        <v>1.060602</v>
      </c>
      <c r="L1186">
        <v>367.25889999999998</v>
      </c>
      <c r="M1186">
        <v>0.99990190000000001</v>
      </c>
      <c r="N1186">
        <v>0</v>
      </c>
      <c r="O1186">
        <v>-3.5631370000000001E-3</v>
      </c>
      <c r="P1186">
        <v>0.998552</v>
      </c>
      <c r="Q1186">
        <v>4.7570340000000003E-2</v>
      </c>
      <c r="R1186">
        <v>-2.5122410000000001E-2</v>
      </c>
      <c r="S1186">
        <v>3.0003660000000001</v>
      </c>
      <c r="T1186">
        <v>1.4826890000000001E-2</v>
      </c>
      <c r="U1186">
        <v>-0.12988279999999999</v>
      </c>
      <c r="V1186">
        <v>2.1564679999999999E-2</v>
      </c>
      <c r="W1186">
        <v>6.1104180000000001E-2</v>
      </c>
      <c r="X1186">
        <v>0.99789839999999996</v>
      </c>
      <c r="Y1186">
        <v>3.9687640000000003E-2</v>
      </c>
      <c r="Z1186" s="1">
        <v>8.0414759999999897E-5</v>
      </c>
      <c r="AA1186">
        <v>0.99921210000000005</v>
      </c>
      <c r="AB1186">
        <v>21</v>
      </c>
      <c r="AC1186">
        <v>147.15359999999899</v>
      </c>
      <c r="AD1186">
        <v>0.72762299999999902</v>
      </c>
      <c r="AE1186">
        <v>-6.3742999999999999</v>
      </c>
      <c r="AF1186">
        <v>5.8497402237132299</v>
      </c>
      <c r="AG1186">
        <v>0.72762299999999902</v>
      </c>
      <c r="AH1186">
        <v>147.17178874045101</v>
      </c>
      <c r="AI1186">
        <v>89.7169532622123</v>
      </c>
      <c r="AJ1186">
        <v>87.723822690195206</v>
      </c>
      <c r="AK1186">
        <v>147.289796988723</v>
      </c>
      <c r="AL1186">
        <v>86.496806026000797</v>
      </c>
      <c r="AM1186">
        <v>88.762025402922404</v>
      </c>
      <c r="AN1186">
        <v>0.99999998647976696</v>
      </c>
    </row>
    <row r="1187" spans="1:40" x14ac:dyDescent="0.25">
      <c r="A1187" t="str">
        <f>"20190312150654049"</f>
        <v>20190312150654049</v>
      </c>
      <c r="B1187" t="str">
        <f>"1552374414041592"</f>
        <v>1552374414041592</v>
      </c>
      <c r="C1187" t="s">
        <v>40</v>
      </c>
      <c r="D1187">
        <v>4.2461190000000002</v>
      </c>
      <c r="E1187">
        <v>0.50656829999999997</v>
      </c>
      <c r="F1187" t="s">
        <v>47</v>
      </c>
      <c r="G1187">
        <v>-158.19499999999999</v>
      </c>
      <c r="H1187">
        <v>1.8028789999999999</v>
      </c>
      <c r="I1187">
        <v>360.89789999999999</v>
      </c>
      <c r="J1187">
        <v>-305.24790000000002</v>
      </c>
      <c r="K1187">
        <v>1.060602</v>
      </c>
      <c r="L1187">
        <v>367.2586</v>
      </c>
      <c r="M1187">
        <v>0.99990190000000001</v>
      </c>
      <c r="N1187">
        <v>0</v>
      </c>
      <c r="O1187">
        <v>-3.555014E-3</v>
      </c>
      <c r="P1187">
        <v>0.99856259999999997</v>
      </c>
      <c r="Q1187">
        <v>4.735495E-2</v>
      </c>
      <c r="R1187">
        <v>-2.5115229999999999E-2</v>
      </c>
      <c r="S1187">
        <v>3.000397</v>
      </c>
      <c r="T1187">
        <v>1.5136480000000001E-2</v>
      </c>
      <c r="U1187">
        <v>-0.1296997</v>
      </c>
      <c r="V1187">
        <v>2.1565359999999999E-2</v>
      </c>
      <c r="W1187">
        <v>6.0887629999999998E-2</v>
      </c>
      <c r="X1187">
        <v>0.99791160000000001</v>
      </c>
      <c r="Y1187">
        <v>3.963444E-2</v>
      </c>
      <c r="Z1187" s="1">
        <v>8.1999909999999995E-5</v>
      </c>
      <c r="AA1187">
        <v>0.99921420000000005</v>
      </c>
      <c r="AB1187">
        <v>21</v>
      </c>
      <c r="AC1187">
        <v>147.05289999999999</v>
      </c>
      <c r="AD1187">
        <v>0.74227699999999996</v>
      </c>
      <c r="AE1187">
        <v>-6.3606999999999996</v>
      </c>
      <c r="AF1187">
        <v>5.8376882341826297</v>
      </c>
      <c r="AG1187">
        <v>0.74227699999999996</v>
      </c>
      <c r="AH1187">
        <v>147.07084480183701</v>
      </c>
      <c r="AI1187">
        <v>89.711054115511701</v>
      </c>
      <c r="AJ1187">
        <v>87.726949858402904</v>
      </c>
      <c r="AK1187">
        <v>147.188528662359</v>
      </c>
      <c r="AL1187">
        <v>86.509236497043602</v>
      </c>
      <c r="AM1187">
        <v>88.762002748847195</v>
      </c>
      <c r="AN1187">
        <v>0.99999996482675202</v>
      </c>
    </row>
    <row r="1188" spans="1:40" x14ac:dyDescent="0.25">
      <c r="A1188" t="str">
        <f>"20190312150654060"</f>
        <v>20190312150654060</v>
      </c>
      <c r="B1188" t="str">
        <f>"1552374414051352"</f>
        <v>1552374414051352</v>
      </c>
      <c r="C1188" t="s">
        <v>40</v>
      </c>
      <c r="D1188">
        <v>4.2219660000000001</v>
      </c>
      <c r="E1188">
        <v>0.50661460000000003</v>
      </c>
      <c r="F1188" t="s">
        <v>47</v>
      </c>
      <c r="G1188">
        <v>-158.19499999999999</v>
      </c>
      <c r="H1188">
        <v>1.7559340000000001</v>
      </c>
      <c r="I1188">
        <v>360.88690000000003</v>
      </c>
      <c r="J1188">
        <v>-305.14170000000001</v>
      </c>
      <c r="K1188">
        <v>1.060595</v>
      </c>
      <c r="L1188">
        <v>367.25819999999999</v>
      </c>
      <c r="M1188">
        <v>0.99990179999999995</v>
      </c>
      <c r="N1188">
        <v>0</v>
      </c>
      <c r="O1188">
        <v>-3.5461749999999999E-3</v>
      </c>
      <c r="P1188">
        <v>0.99856699999999998</v>
      </c>
      <c r="Q1188">
        <v>4.7284630000000001E-2</v>
      </c>
      <c r="R1188">
        <v>-2.5058790000000001E-2</v>
      </c>
      <c r="S1188">
        <v>3.000397</v>
      </c>
      <c r="T1188">
        <v>1.41889999999999E-2</v>
      </c>
      <c r="U1188">
        <v>-0.13000490000000001</v>
      </c>
      <c r="V1188">
        <v>2.151784E-2</v>
      </c>
      <c r="W1188">
        <v>6.0815290000000001E-2</v>
      </c>
      <c r="X1188">
        <v>0.9979171</v>
      </c>
      <c r="Y1188">
        <v>3.9744759999999997E-2</v>
      </c>
      <c r="Z1188" s="1">
        <v>7.7169519999999893E-5</v>
      </c>
      <c r="AA1188">
        <v>0.99920989999999998</v>
      </c>
      <c r="AB1188">
        <v>21</v>
      </c>
      <c r="AC1188">
        <v>146.94669999999999</v>
      </c>
      <c r="AD1188">
        <v>0.69533899999999904</v>
      </c>
      <c r="AE1188">
        <v>-6.3712999999999598</v>
      </c>
      <c r="AF1188">
        <v>5.8499825772840701</v>
      </c>
      <c r="AG1188">
        <v>0.69533899999999904</v>
      </c>
      <c r="AH1188">
        <v>146.965087174443</v>
      </c>
      <c r="AI1188">
        <v>89.729131800722399</v>
      </c>
      <c r="AJ1188">
        <v>87.720530361489296</v>
      </c>
      <c r="AK1188">
        <v>147.08311473677401</v>
      </c>
      <c r="AL1188">
        <v>86.513389188606197</v>
      </c>
      <c r="AM1188">
        <v>88.764736677525207</v>
      </c>
      <c r="AN1188">
        <v>1.00000002770422</v>
      </c>
    </row>
    <row r="1189" spans="1:40" x14ac:dyDescent="0.25">
      <c r="A1189" t="str">
        <f>"20190312150654070"</f>
        <v>20190312150654070</v>
      </c>
      <c r="B1189" t="str">
        <f>"1552374414062088"</f>
        <v>1552374414062088</v>
      </c>
      <c r="C1189" t="s">
        <v>40</v>
      </c>
      <c r="D1189">
        <v>4.1948930000000004</v>
      </c>
      <c r="E1189">
        <v>0.50664620000000005</v>
      </c>
      <c r="F1189" t="s">
        <v>47</v>
      </c>
      <c r="G1189">
        <v>-158.19499999999999</v>
      </c>
      <c r="H1189">
        <v>1.733134</v>
      </c>
      <c r="I1189">
        <v>360.87020000000001</v>
      </c>
      <c r="J1189">
        <v>-305.04570000000001</v>
      </c>
      <c r="K1189">
        <v>1.0605960000000001</v>
      </c>
      <c r="L1189">
        <v>367.25790000000001</v>
      </c>
      <c r="M1189">
        <v>0.99990210000000002</v>
      </c>
      <c r="N1189">
        <v>0</v>
      </c>
      <c r="O1189">
        <v>-3.5380400000000001E-3</v>
      </c>
      <c r="P1189">
        <v>0.99859160000000002</v>
      </c>
      <c r="Q1189">
        <v>4.6830120000000003E-2</v>
      </c>
      <c r="R1189">
        <v>-2.493679E-2</v>
      </c>
      <c r="S1189">
        <v>3.000397</v>
      </c>
      <c r="T1189">
        <v>1.3733860000000001E-2</v>
      </c>
      <c r="U1189">
        <v>-0.1304321</v>
      </c>
      <c r="V1189">
        <v>2.140388E-2</v>
      </c>
      <c r="W1189">
        <v>6.035741E-2</v>
      </c>
      <c r="X1189">
        <v>0.99794729999999998</v>
      </c>
      <c r="Y1189">
        <v>3.9894930000000002E-2</v>
      </c>
      <c r="Z1189" s="1">
        <v>7.5074690000000001E-5</v>
      </c>
      <c r="AA1189">
        <v>0.99920390000000003</v>
      </c>
      <c r="AB1189">
        <v>21</v>
      </c>
      <c r="AC1189">
        <v>146.85069999999999</v>
      </c>
      <c r="AD1189">
        <v>0.67253799999999997</v>
      </c>
      <c r="AE1189">
        <v>-6.3876999999999899</v>
      </c>
      <c r="AF1189">
        <v>5.8679259031644104</v>
      </c>
      <c r="AG1189">
        <v>0.67253799999999997</v>
      </c>
      <c r="AH1189">
        <v>146.86930809756501</v>
      </c>
      <c r="AI1189">
        <v>89.737844465370003</v>
      </c>
      <c r="AJ1189">
        <v>87.712056580606003</v>
      </c>
      <c r="AK1189">
        <v>146.98802169845001</v>
      </c>
      <c r="AL1189">
        <v>86.539671891163906</v>
      </c>
      <c r="AM1189">
        <v>88.771313880733899</v>
      </c>
      <c r="AN1189">
        <v>0.99999997829912501</v>
      </c>
    </row>
    <row r="1190" spans="1:40" x14ac:dyDescent="0.25">
      <c r="A1190" t="str">
        <f>"20190312150654082"</f>
        <v>20190312150654082</v>
      </c>
      <c r="B1190" t="str">
        <f>"1552374414071849"</f>
        <v>1552374414071849</v>
      </c>
      <c r="C1190" t="s">
        <v>40</v>
      </c>
      <c r="D1190">
        <v>4.2153650000000003</v>
      </c>
      <c r="E1190">
        <v>0.50667019999999996</v>
      </c>
      <c r="F1190" t="s">
        <v>47</v>
      </c>
      <c r="G1190">
        <v>-158.19499999999999</v>
      </c>
      <c r="H1190">
        <v>1.662523</v>
      </c>
      <c r="I1190">
        <v>360.88</v>
      </c>
      <c r="J1190">
        <v>-304.9375</v>
      </c>
      <c r="K1190">
        <v>1.0605929999999999</v>
      </c>
      <c r="L1190">
        <v>367.25749999999999</v>
      </c>
      <c r="M1190">
        <v>0.99990210000000002</v>
      </c>
      <c r="N1190">
        <v>0</v>
      </c>
      <c r="O1190">
        <v>-3.5285830000000001E-3</v>
      </c>
      <c r="P1190">
        <v>0.99860380000000004</v>
      </c>
      <c r="Q1190">
        <v>4.6633590000000003E-2</v>
      </c>
      <c r="R1190">
        <v>-2.481713E-2</v>
      </c>
      <c r="S1190">
        <v>3.0003660000000001</v>
      </c>
      <c r="T1190">
        <v>1.230001E-2</v>
      </c>
      <c r="U1190">
        <v>-0.13031010000000001</v>
      </c>
      <c r="V1190">
        <v>2.129356E-2</v>
      </c>
      <c r="W1190">
        <v>6.0156069999999999E-2</v>
      </c>
      <c r="X1190">
        <v>0.99796180000000001</v>
      </c>
      <c r="Y1190">
        <v>3.9864330000000003E-2</v>
      </c>
      <c r="Z1190" s="1">
        <v>6.7213559999999993E-5</v>
      </c>
      <c r="AA1190">
        <v>0.99920509999999996</v>
      </c>
      <c r="AB1190">
        <v>21</v>
      </c>
      <c r="AC1190">
        <v>146.74250000000001</v>
      </c>
      <c r="AD1190">
        <v>0.60192999999999897</v>
      </c>
      <c r="AE1190">
        <v>-6.3774999999999897</v>
      </c>
      <c r="AF1190">
        <v>5.8595213201539602</v>
      </c>
      <c r="AG1190">
        <v>0.60192999999999897</v>
      </c>
      <c r="AH1190">
        <v>146.76162714143999</v>
      </c>
      <c r="AI1190">
        <v>89.765194748325399</v>
      </c>
      <c r="AJ1190">
        <v>87.713655594114002</v>
      </c>
      <c r="AK1190">
        <v>146.87978591701901</v>
      </c>
      <c r="AL1190">
        <v>86.551228765149204</v>
      </c>
      <c r="AM1190">
        <v>88.777662610285404</v>
      </c>
      <c r="AN1190">
        <v>0.99999996135727798</v>
      </c>
    </row>
    <row r="1191" spans="1:40" x14ac:dyDescent="0.25">
      <c r="A1191" t="str">
        <f>"20190312150654095"</f>
        <v>20190312150654095</v>
      </c>
      <c r="B1191" t="str">
        <f>"1552374414091369"</f>
        <v>1552374414091369</v>
      </c>
      <c r="C1191" t="s">
        <v>40</v>
      </c>
      <c r="D1191">
        <v>4.192393</v>
      </c>
      <c r="E1191">
        <v>0.50669520000000001</v>
      </c>
      <c r="F1191" t="s">
        <v>47</v>
      </c>
      <c r="G1191">
        <v>-158.19499999999999</v>
      </c>
      <c r="H1191">
        <v>1.62551</v>
      </c>
      <c r="I1191">
        <v>360.88889999999998</v>
      </c>
      <c r="J1191">
        <v>-304.82470000000001</v>
      </c>
      <c r="K1191">
        <v>1.060589</v>
      </c>
      <c r="L1191">
        <v>367.25709999999998</v>
      </c>
      <c r="M1191">
        <v>0.99990230000000002</v>
      </c>
      <c r="N1191">
        <v>0</v>
      </c>
      <c r="O1191">
        <v>-3.517657E-3</v>
      </c>
      <c r="P1191">
        <v>0.99860340000000003</v>
      </c>
      <c r="Q1191">
        <v>4.6596980000000003E-2</v>
      </c>
      <c r="R1191">
        <v>-2.4897880000000001E-2</v>
      </c>
      <c r="S1191">
        <v>3.0004270000000002</v>
      </c>
      <c r="T1191">
        <v>1.155257E-2</v>
      </c>
      <c r="U1191">
        <v>-0.13021849999999999</v>
      </c>
      <c r="V1191">
        <v>2.13852E-2</v>
      </c>
      <c r="W1191">
        <v>6.0107519999999998E-2</v>
      </c>
      <c r="X1191">
        <v>0.99796280000000004</v>
      </c>
      <c r="Y1191">
        <v>3.9843959999999998E-2</v>
      </c>
      <c r="Z1191" s="1">
        <v>6.3130810000000003E-5</v>
      </c>
      <c r="AA1191">
        <v>0.99920589999999998</v>
      </c>
      <c r="AB1191">
        <v>21</v>
      </c>
      <c r="AC1191">
        <v>146.62970000000001</v>
      </c>
      <c r="AD1191">
        <v>0.56492100000000001</v>
      </c>
      <c r="AE1191">
        <v>-6.3681999999999999</v>
      </c>
      <c r="AF1191">
        <v>5.8522336933422796</v>
      </c>
      <c r="AG1191">
        <v>0.56492100000000001</v>
      </c>
      <c r="AH1191">
        <v>146.64902317042501</v>
      </c>
      <c r="AI1191">
        <v>89.779461967369301</v>
      </c>
      <c r="AJ1191">
        <v>87.714744640597104</v>
      </c>
      <c r="AK1191">
        <v>146.76683471335701</v>
      </c>
      <c r="AL1191">
        <v>86.554015635797001</v>
      </c>
      <c r="AM1191">
        <v>88.772404935715201</v>
      </c>
      <c r="AN1191">
        <v>0.99999999546171503</v>
      </c>
    </row>
    <row r="1192" spans="1:40" x14ac:dyDescent="0.25">
      <c r="A1192" t="str">
        <f>"20190312150654116"</f>
        <v>20190312150654116</v>
      </c>
      <c r="B1192" t="str">
        <f>"1552374414111865"</f>
        <v>1552374414111865</v>
      </c>
      <c r="C1192" t="s">
        <v>40</v>
      </c>
      <c r="D1192">
        <v>4.1812959999999997</v>
      </c>
      <c r="E1192">
        <v>0.50673279999999998</v>
      </c>
      <c r="F1192" t="s">
        <v>47</v>
      </c>
      <c r="G1192">
        <v>-158.19499999999999</v>
      </c>
      <c r="H1192">
        <v>1.5854569999999999</v>
      </c>
      <c r="I1192">
        <v>360.87860000000001</v>
      </c>
      <c r="J1192">
        <v>-304.63130000000001</v>
      </c>
      <c r="K1192">
        <v>1.0605819999999999</v>
      </c>
      <c r="L1192">
        <v>367.25650000000002</v>
      </c>
      <c r="M1192">
        <v>0.99990279999999998</v>
      </c>
      <c r="N1192">
        <v>0</v>
      </c>
      <c r="O1192">
        <v>-3.4987590000000002E-3</v>
      </c>
      <c r="P1192">
        <v>0.99862090000000003</v>
      </c>
      <c r="Q1192">
        <v>4.6309629999999997E-2</v>
      </c>
      <c r="R1192">
        <v>-2.4740140000000001E-2</v>
      </c>
      <c r="S1192">
        <v>3.0004580000000001</v>
      </c>
      <c r="T1192">
        <v>1.0742069999999999E-2</v>
      </c>
      <c r="U1192">
        <v>-0.13052369999999999</v>
      </c>
      <c r="V1192">
        <v>2.124624E-2</v>
      </c>
      <c r="W1192">
        <v>5.9792900000000003E-2</v>
      </c>
      <c r="X1192">
        <v>0.9979846</v>
      </c>
      <c r="Y1192">
        <v>3.9963890000000002E-2</v>
      </c>
      <c r="Z1192" s="1">
        <v>5.8983200000000001E-5</v>
      </c>
      <c r="AA1192">
        <v>0.99920109999999995</v>
      </c>
      <c r="AB1192">
        <v>21</v>
      </c>
      <c r="AC1192">
        <v>146.43629999999999</v>
      </c>
      <c r="AD1192">
        <v>0.52487499999999998</v>
      </c>
      <c r="AE1192">
        <v>-6.3779000000000101</v>
      </c>
      <c r="AF1192">
        <v>5.8653937530286697</v>
      </c>
      <c r="AG1192">
        <v>0.52487499999999998</v>
      </c>
      <c r="AH1192">
        <v>146.45584230507299</v>
      </c>
      <c r="AI1192">
        <v>89.794826174319098</v>
      </c>
      <c r="AJ1192">
        <v>87.706593311475402</v>
      </c>
      <c r="AK1192">
        <v>146.57418627757099</v>
      </c>
      <c r="AL1192">
        <v>86.572074282884202</v>
      </c>
      <c r="AM1192">
        <v>88.780406005460804</v>
      </c>
      <c r="AN1192">
        <v>0.999999927720851</v>
      </c>
    </row>
    <row r="1193" spans="1:40" x14ac:dyDescent="0.25">
      <c r="A1193" t="str">
        <f>"20190312150654128"</f>
        <v>20190312150654128</v>
      </c>
      <c r="B1193" t="str">
        <f>"1552374414121624"</f>
        <v>1552374414121624</v>
      </c>
      <c r="C1193" t="s">
        <v>40</v>
      </c>
      <c r="D1193">
        <v>4.1807169999999996</v>
      </c>
      <c r="E1193">
        <v>0.50673469999999998</v>
      </c>
      <c r="F1193" t="s">
        <v>47</v>
      </c>
      <c r="G1193">
        <v>-158.19499999999999</v>
      </c>
      <c r="H1193">
        <v>1.53189</v>
      </c>
      <c r="I1193">
        <v>360.88639999999998</v>
      </c>
      <c r="J1193">
        <v>-304.5197</v>
      </c>
      <c r="K1193">
        <v>1.0605800000000001</v>
      </c>
      <c r="L1193">
        <v>367.2561</v>
      </c>
      <c r="M1193">
        <v>0.99990310000000004</v>
      </c>
      <c r="N1193">
        <v>0</v>
      </c>
      <c r="O1193">
        <v>-3.4874189999999998E-3</v>
      </c>
      <c r="P1193">
        <v>0.99862930000000005</v>
      </c>
      <c r="Q1193">
        <v>4.6268589999999998E-2</v>
      </c>
      <c r="R1193">
        <v>-2.447448E-2</v>
      </c>
      <c r="S1193">
        <v>3.0004879999999998</v>
      </c>
      <c r="T1193">
        <v>9.6589329999999998E-3</v>
      </c>
      <c r="U1193">
        <v>-0.13052369999999999</v>
      </c>
      <c r="V1193">
        <v>2.099179E-2</v>
      </c>
      <c r="W1193">
        <v>5.97315E-2</v>
      </c>
      <c r="X1193">
        <v>0.99799369999999998</v>
      </c>
      <c r="Y1193">
        <v>3.9974820000000001E-2</v>
      </c>
      <c r="Z1193" s="1">
        <v>5.30894199999999E-5</v>
      </c>
      <c r="AA1193">
        <v>0.99920070000000005</v>
      </c>
      <c r="AB1193">
        <v>21</v>
      </c>
      <c r="AC1193">
        <v>146.32470000000001</v>
      </c>
      <c r="AD1193">
        <v>0.47131000000000001</v>
      </c>
      <c r="AE1193">
        <v>-6.3697000000000203</v>
      </c>
      <c r="AF1193">
        <v>5.8592586976111596</v>
      </c>
      <c r="AG1193">
        <v>0.47131000000000001</v>
      </c>
      <c r="AH1193">
        <v>146.344510441501</v>
      </c>
      <c r="AI1193">
        <v>89.815624358595301</v>
      </c>
      <c r="AJ1193">
        <v>87.707248568927099</v>
      </c>
      <c r="AK1193">
        <v>146.462516644923</v>
      </c>
      <c r="AL1193">
        <v>86.575598675348004</v>
      </c>
      <c r="AM1193">
        <v>88.795018803460295</v>
      </c>
      <c r="AN1193">
        <v>0.99999996628967103</v>
      </c>
    </row>
    <row r="1194" spans="1:40" x14ac:dyDescent="0.25">
      <c r="A1194" t="str">
        <f>"20190312150654140"</f>
        <v>20190312150654140</v>
      </c>
      <c r="B1194" t="str">
        <f>"1552374414131384"</f>
        <v>1552374414131384</v>
      </c>
      <c r="C1194" t="s">
        <v>40</v>
      </c>
      <c r="D1194">
        <v>4.1791869999999998</v>
      </c>
      <c r="E1194">
        <v>0.50674640000000004</v>
      </c>
      <c r="F1194" t="s">
        <v>47</v>
      </c>
      <c r="G1194">
        <v>-158.19499999999999</v>
      </c>
      <c r="H1194">
        <v>1.5289010000000001</v>
      </c>
      <c r="I1194">
        <v>360.93990000000002</v>
      </c>
      <c r="J1194">
        <v>-304.40910000000002</v>
      </c>
      <c r="K1194">
        <v>1.060575</v>
      </c>
      <c r="L1194">
        <v>367.25569999999999</v>
      </c>
      <c r="M1194">
        <v>0.99990330000000005</v>
      </c>
      <c r="N1194">
        <v>0</v>
      </c>
      <c r="O1194">
        <v>-3.4762959999999998E-3</v>
      </c>
      <c r="P1194">
        <v>0.99862799999999996</v>
      </c>
      <c r="Q1194">
        <v>4.6290280000000003E-2</v>
      </c>
      <c r="R1194">
        <v>-2.447877E-2</v>
      </c>
      <c r="S1194">
        <v>3.0004879999999998</v>
      </c>
      <c r="T1194">
        <v>9.6050500000000004E-3</v>
      </c>
      <c r="U1194">
        <v>-0.12951660000000001</v>
      </c>
      <c r="V1194">
        <v>2.1007330000000001E-2</v>
      </c>
      <c r="W1194">
        <v>5.9730539999999999E-2</v>
      </c>
      <c r="X1194">
        <v>0.99799349999999998</v>
      </c>
      <c r="Y1194">
        <v>3.9651190000000003E-2</v>
      </c>
      <c r="Z1194" s="1">
        <v>5.2311490000000002E-5</v>
      </c>
      <c r="AA1194">
        <v>0.99921360000000004</v>
      </c>
      <c r="AB1194">
        <v>20</v>
      </c>
      <c r="AC1194">
        <v>146.2141</v>
      </c>
      <c r="AD1194">
        <v>0.46832600000000002</v>
      </c>
      <c r="AE1194">
        <v>-6.3157999999999603</v>
      </c>
      <c r="AF1194">
        <v>5.8073727875711896</v>
      </c>
      <c r="AG1194">
        <v>0.46832600000000002</v>
      </c>
      <c r="AH1194">
        <v>146.23367648393901</v>
      </c>
      <c r="AI1194">
        <v>89.816650460760101</v>
      </c>
      <c r="AJ1194">
        <v>87.725809802413096</v>
      </c>
      <c r="AK1194">
        <v>146.34969438282201</v>
      </c>
      <c r="AL1194">
        <v>86.5756540155908</v>
      </c>
      <c r="AM1194">
        <v>88.794126790342602</v>
      </c>
      <c r="AN1194">
        <v>1.00000003568233</v>
      </c>
    </row>
    <row r="1195" spans="1:40" x14ac:dyDescent="0.25">
      <c r="A1195" t="str">
        <f>"20190312150654150"</f>
        <v>20190312150654150</v>
      </c>
      <c r="B1195" t="str">
        <f>"1552374414142121"</f>
        <v>1552374414142121</v>
      </c>
      <c r="C1195" t="s">
        <v>40</v>
      </c>
      <c r="D1195">
        <v>4.1380309999999998</v>
      </c>
      <c r="E1195">
        <v>0.50676109999999996</v>
      </c>
      <c r="F1195" t="s">
        <v>47</v>
      </c>
      <c r="G1195">
        <v>-158.19499999999999</v>
      </c>
      <c r="H1195">
        <v>1.534753</v>
      </c>
      <c r="I1195">
        <v>360.9221</v>
      </c>
      <c r="J1195">
        <v>-304.31439999999998</v>
      </c>
      <c r="K1195">
        <v>1.06057</v>
      </c>
      <c r="L1195">
        <v>367.25540000000001</v>
      </c>
      <c r="M1195">
        <v>0.99990369999999995</v>
      </c>
      <c r="N1195">
        <v>0</v>
      </c>
      <c r="O1195">
        <v>-3.4668400000000001E-3</v>
      </c>
      <c r="P1195">
        <v>0.99862649999999997</v>
      </c>
      <c r="Q1195">
        <v>4.648244E-2</v>
      </c>
      <c r="R1195">
        <v>-2.4178760000000001E-2</v>
      </c>
      <c r="S1195">
        <v>3.0004879999999998</v>
      </c>
      <c r="T1195">
        <v>9.7324850000000008E-3</v>
      </c>
      <c r="U1195">
        <v>-0.12997439999999999</v>
      </c>
      <c r="V1195">
        <v>2.0716869999999998E-2</v>
      </c>
      <c r="W1195">
        <v>5.9899040000000001E-2</v>
      </c>
      <c r="X1195">
        <v>0.99798940000000003</v>
      </c>
      <c r="Y1195">
        <v>3.9812800000000002E-2</v>
      </c>
      <c r="Z1195" s="1">
        <v>5.3297980000000002E-5</v>
      </c>
      <c r="AA1195">
        <v>0.99920710000000001</v>
      </c>
      <c r="AB1195">
        <v>20</v>
      </c>
      <c r="AC1195">
        <v>146.11939999999899</v>
      </c>
      <c r="AD1195">
        <v>0.47418299999999902</v>
      </c>
      <c r="AE1195">
        <v>-6.3333000000000004</v>
      </c>
      <c r="AF1195">
        <v>5.8265823642604602</v>
      </c>
      <c r="AG1195">
        <v>0.47418299999999902</v>
      </c>
      <c r="AH1195">
        <v>146.13894412940601</v>
      </c>
      <c r="AI1195">
        <v>89.814238283287295</v>
      </c>
      <c r="AJ1195">
        <v>87.716817678003395</v>
      </c>
      <c r="AK1195">
        <v>146.25582006478501</v>
      </c>
      <c r="AL1195">
        <v>86.565982110370399</v>
      </c>
      <c r="AM1195">
        <v>88.810790214055899</v>
      </c>
      <c r="AN1195">
        <v>0.99999996310393802</v>
      </c>
    </row>
    <row r="1196" spans="1:40" x14ac:dyDescent="0.25">
      <c r="A1196" t="str">
        <f>"20190312150654161"</f>
        <v>20190312150654161</v>
      </c>
      <c r="B1196" t="str">
        <f>"1552374414151880"</f>
        <v>1552374414151880</v>
      </c>
      <c r="C1196" t="s">
        <v>40</v>
      </c>
      <c r="D1196">
        <v>4.5089629999999996</v>
      </c>
      <c r="E1196">
        <v>0.50676690000000002</v>
      </c>
      <c r="F1196" t="s">
        <v>47</v>
      </c>
      <c r="G1196">
        <v>-158.19499999999999</v>
      </c>
      <c r="H1196">
        <v>1.555307</v>
      </c>
      <c r="I1196">
        <v>360.96469999999999</v>
      </c>
      <c r="J1196">
        <v>-304.20960000000002</v>
      </c>
      <c r="K1196">
        <v>1.060562</v>
      </c>
      <c r="L1196">
        <v>367.25510000000003</v>
      </c>
      <c r="M1196">
        <v>0.99990420000000002</v>
      </c>
      <c r="N1196">
        <v>0</v>
      </c>
      <c r="O1196">
        <v>-3.4565170000000001E-3</v>
      </c>
      <c r="P1196">
        <v>0.99861979999999995</v>
      </c>
      <c r="Q1196">
        <v>4.6716029999999999E-2</v>
      </c>
      <c r="R1196">
        <v>-2.4005350000000002E-2</v>
      </c>
      <c r="S1196">
        <v>3.0005489999999999</v>
      </c>
      <c r="T1196">
        <v>1.0161160000000001E-2</v>
      </c>
      <c r="U1196">
        <v>-0.12918089999999999</v>
      </c>
      <c r="V1196">
        <v>2.0553539999999999E-2</v>
      </c>
      <c r="W1196">
        <v>6.0104669999999999E-2</v>
      </c>
      <c r="X1196">
        <v>0.99798050000000005</v>
      </c>
      <c r="Y1196">
        <v>3.955848E-2</v>
      </c>
      <c r="Z1196" s="1">
        <v>5.5249259999999997E-5</v>
      </c>
      <c r="AA1196">
        <v>0.99921729999999997</v>
      </c>
      <c r="AB1196">
        <v>20</v>
      </c>
      <c r="AC1196">
        <v>146.0146</v>
      </c>
      <c r="AD1196">
        <v>0.49474499999999999</v>
      </c>
      <c r="AE1196">
        <v>-6.2904000000000302</v>
      </c>
      <c r="AF1196">
        <v>5.7855488300142399</v>
      </c>
      <c r="AG1196">
        <v>0.49474499999999999</v>
      </c>
      <c r="AH1196">
        <v>146.03379894134099</v>
      </c>
      <c r="AI1196">
        <v>89.806041667284802</v>
      </c>
      <c r="AJ1196">
        <v>87.731249450156</v>
      </c>
      <c r="AK1196">
        <v>146.14919699101901</v>
      </c>
      <c r="AL1196">
        <v>86.554179408800707</v>
      </c>
      <c r="AM1196">
        <v>88.820152661006503</v>
      </c>
      <c r="AN1196">
        <v>1.0000000488712899</v>
      </c>
    </row>
    <row r="1197" spans="1:40" x14ac:dyDescent="0.25">
      <c r="A1197" t="str">
        <f>"20190312150654174"</f>
        <v>20190312150654174</v>
      </c>
      <c r="B1197" t="str">
        <f>"1552374414161641"</f>
        <v>1552374414161641</v>
      </c>
      <c r="C1197" t="s">
        <v>40</v>
      </c>
      <c r="D1197">
        <v>4.1345150000000004</v>
      </c>
      <c r="E1197">
        <v>0.50676509999999997</v>
      </c>
      <c r="F1197" t="s">
        <v>47</v>
      </c>
      <c r="G1197">
        <v>-158.19499999999999</v>
      </c>
      <c r="H1197">
        <v>1.619318</v>
      </c>
      <c r="I1197">
        <v>360.99400000000003</v>
      </c>
      <c r="J1197">
        <v>-304.10559999999998</v>
      </c>
      <c r="K1197">
        <v>1.0605549999999999</v>
      </c>
      <c r="L1197">
        <v>367.25470000000001</v>
      </c>
      <c r="M1197">
        <v>0.99990449999999997</v>
      </c>
      <c r="N1197">
        <v>0</v>
      </c>
      <c r="O1197">
        <v>-3.4463979999999998E-3</v>
      </c>
      <c r="P1197">
        <v>0.99863139999999995</v>
      </c>
      <c r="Q1197">
        <v>4.658694E-2</v>
      </c>
      <c r="R1197">
        <v>-2.377371E-2</v>
      </c>
      <c r="S1197">
        <v>3.0005489999999999</v>
      </c>
      <c r="T1197">
        <v>1.1484029999999999E-2</v>
      </c>
      <c r="U1197">
        <v>-0.1286621</v>
      </c>
      <c r="V1197">
        <v>2.0331999999999999E-2</v>
      </c>
      <c r="W1197">
        <v>5.9942839999999997E-2</v>
      </c>
      <c r="X1197">
        <v>0.99799470000000001</v>
      </c>
      <c r="Y1197">
        <v>3.9396100000000003E-2</v>
      </c>
      <c r="Z1197" s="1">
        <v>6.2170369999999995E-5</v>
      </c>
      <c r="AA1197">
        <v>0.99922359999999999</v>
      </c>
      <c r="AB1197">
        <v>20</v>
      </c>
      <c r="AC1197">
        <v>145.91059999999999</v>
      </c>
      <c r="AD1197">
        <v>0.55876300000000001</v>
      </c>
      <c r="AE1197">
        <v>-6.2606999999999804</v>
      </c>
      <c r="AF1197">
        <v>5.7576674900204203</v>
      </c>
      <c r="AG1197">
        <v>0.55876300000000001</v>
      </c>
      <c r="AH1197">
        <v>145.92917598429099</v>
      </c>
      <c r="AI1197">
        <v>89.780786018438604</v>
      </c>
      <c r="AJ1197">
        <v>87.740554464228694</v>
      </c>
      <c r="AK1197">
        <v>146.04378574410501</v>
      </c>
      <c r="AL1197">
        <v>86.563468088088399</v>
      </c>
      <c r="AM1197">
        <v>88.8328829213104</v>
      </c>
      <c r="AN1197">
        <v>0.99999997775967697</v>
      </c>
    </row>
    <row r="1198" spans="1:40" x14ac:dyDescent="0.25">
      <c r="A1198" t="str">
        <f>"20190312150654185"</f>
        <v>20190312150654185</v>
      </c>
      <c r="B1198" t="str">
        <f>"1552374414181161"</f>
        <v>1552374414181161</v>
      </c>
      <c r="C1198" t="s">
        <v>40</v>
      </c>
      <c r="D1198">
        <v>4.1481170000000001</v>
      </c>
      <c r="E1198">
        <v>0.50680069999999999</v>
      </c>
      <c r="F1198" t="s">
        <v>47</v>
      </c>
      <c r="G1198">
        <v>-158.19499999999999</v>
      </c>
      <c r="H1198">
        <v>1.631799</v>
      </c>
      <c r="I1198">
        <v>361.04109999999997</v>
      </c>
      <c r="J1198">
        <v>-304.0009</v>
      </c>
      <c r="K1198">
        <v>1.0605469999999999</v>
      </c>
      <c r="L1198">
        <v>367.25439999999998</v>
      </c>
      <c r="M1198">
        <v>0.99990509999999999</v>
      </c>
      <c r="N1198">
        <v>0</v>
      </c>
      <c r="O1198">
        <v>-3.436503E-3</v>
      </c>
      <c r="P1198">
        <v>0.99861610000000001</v>
      </c>
      <c r="Q1198">
        <v>4.704299E-2</v>
      </c>
      <c r="R1198">
        <v>-2.3517429999999999E-2</v>
      </c>
      <c r="S1198">
        <v>3.0004879999999998</v>
      </c>
      <c r="T1198">
        <v>1.174879E-2</v>
      </c>
      <c r="U1198">
        <v>-0.1277771</v>
      </c>
      <c r="V1198">
        <v>2.008561E-2</v>
      </c>
      <c r="W1198">
        <v>6.0363119999999999E-2</v>
      </c>
      <c r="X1198">
        <v>0.99797440000000004</v>
      </c>
      <c r="Y1198">
        <v>3.9112649999999999E-2</v>
      </c>
      <c r="Z1198" s="1">
        <v>6.3089429999999995E-5</v>
      </c>
      <c r="AA1198">
        <v>0.99923479999999998</v>
      </c>
      <c r="AB1198">
        <v>20</v>
      </c>
      <c r="AC1198">
        <v>145.80590000000001</v>
      </c>
      <c r="AD1198">
        <v>0.57125199999999998</v>
      </c>
      <c r="AE1198">
        <v>-6.2133000000000003</v>
      </c>
      <c r="AF1198">
        <v>5.7120687758890201</v>
      </c>
      <c r="AG1198">
        <v>0.57125199999999998</v>
      </c>
      <c r="AH1198">
        <v>145.824158489957</v>
      </c>
      <c r="AI1198">
        <v>89.775722481752595</v>
      </c>
      <c r="AJ1198">
        <v>87.756817504805994</v>
      </c>
      <c r="AK1198">
        <v>145.93710719982101</v>
      </c>
      <c r="AL1198">
        <v>86.539344280934003</v>
      </c>
      <c r="AM1198">
        <v>88.846999149840201</v>
      </c>
      <c r="AN1198">
        <v>1.0000000205202799</v>
      </c>
    </row>
    <row r="1199" spans="1:40" x14ac:dyDescent="0.25">
      <c r="A1199" t="str">
        <f>"20190312150654195"</f>
        <v>20190312150654195</v>
      </c>
      <c r="B1199" t="str">
        <f>"1552374414191899"</f>
        <v>1552374414191899</v>
      </c>
      <c r="C1199" t="s">
        <v>40</v>
      </c>
      <c r="D1199">
        <v>4.437481</v>
      </c>
      <c r="E1199">
        <v>0.50682209999999905</v>
      </c>
      <c r="F1199" t="s">
        <v>47</v>
      </c>
      <c r="G1199">
        <v>-158.19499999999999</v>
      </c>
      <c r="H1199">
        <v>1.7247079999999999</v>
      </c>
      <c r="I1199">
        <v>361.06009999999998</v>
      </c>
      <c r="J1199">
        <v>-303.90429999999998</v>
      </c>
      <c r="K1199">
        <v>1.060543</v>
      </c>
      <c r="L1199">
        <v>367.25409999999999</v>
      </c>
      <c r="M1199">
        <v>0.99990579999999996</v>
      </c>
      <c r="N1199">
        <v>0</v>
      </c>
      <c r="O1199">
        <v>-3.4294289999999999E-3</v>
      </c>
      <c r="P1199">
        <v>0.99861319999999998</v>
      </c>
      <c r="Q1199">
        <v>4.7164020000000001E-2</v>
      </c>
      <c r="R1199">
        <v>-2.3391929999999998E-2</v>
      </c>
      <c r="S1199">
        <v>3.0005190000000002</v>
      </c>
      <c r="T1199">
        <v>1.3669489999999999E-2</v>
      </c>
      <c r="U1199">
        <v>-0.1274719</v>
      </c>
      <c r="V1199">
        <v>1.9967169999999999E-2</v>
      </c>
      <c r="W1199">
        <v>6.0445930000000002E-2</v>
      </c>
      <c r="X1199">
        <v>0.99797179999999996</v>
      </c>
      <c r="Y1199">
        <v>3.9017749999999997E-2</v>
      </c>
      <c r="Z1199" s="1">
        <v>7.3218800000000004E-5</v>
      </c>
      <c r="AA1199">
        <v>0.99923850000000003</v>
      </c>
      <c r="AB1199">
        <v>20</v>
      </c>
      <c r="AC1199">
        <v>145.70929999999899</v>
      </c>
      <c r="AD1199">
        <v>0.66416500000000001</v>
      </c>
      <c r="AE1199">
        <v>-6.1940000000000097</v>
      </c>
      <c r="AF1199">
        <v>5.6941016423622699</v>
      </c>
      <c r="AG1199">
        <v>0.66416500000000001</v>
      </c>
      <c r="AH1199">
        <v>145.726664499419</v>
      </c>
      <c r="AI1199">
        <v>89.739069221001103</v>
      </c>
      <c r="AJ1199">
        <v>87.762371694054806</v>
      </c>
      <c r="AK1199">
        <v>145.83937964345199</v>
      </c>
      <c r="AL1199">
        <v>86.534591060801503</v>
      </c>
      <c r="AM1199">
        <v>88.8537933133005</v>
      </c>
      <c r="AN1199">
        <v>1.0000000559633</v>
      </c>
    </row>
    <row r="1200" spans="1:40" x14ac:dyDescent="0.25">
      <c r="A1200" t="str">
        <f>"20190312150654206"</f>
        <v>20190312150654206</v>
      </c>
      <c r="B1200" t="str">
        <f>"1552374414201657"</f>
        <v>1552374414201657</v>
      </c>
      <c r="C1200" t="s">
        <v>40</v>
      </c>
      <c r="D1200">
        <v>4.535768</v>
      </c>
      <c r="E1200">
        <v>0.50683800000000001</v>
      </c>
      <c r="F1200" t="s">
        <v>47</v>
      </c>
      <c r="G1200">
        <v>-158.19499999999999</v>
      </c>
      <c r="H1200">
        <v>1.755358</v>
      </c>
      <c r="I1200">
        <v>361.08010000000002</v>
      </c>
      <c r="J1200">
        <v>-303.81200000000001</v>
      </c>
      <c r="K1200">
        <v>1.06054</v>
      </c>
      <c r="L1200">
        <v>367.25380000000001</v>
      </c>
      <c r="M1200">
        <v>0.99990619999999997</v>
      </c>
      <c r="N1200">
        <v>0</v>
      </c>
      <c r="O1200">
        <v>-3.4222509999999999E-3</v>
      </c>
      <c r="P1200">
        <v>0.99861129999999998</v>
      </c>
      <c r="Q1200">
        <v>4.7187590000000001E-2</v>
      </c>
      <c r="R1200">
        <v>-2.3431850000000001E-2</v>
      </c>
      <c r="S1200">
        <v>3.0004879999999998</v>
      </c>
      <c r="T1200">
        <v>1.430964E-2</v>
      </c>
      <c r="U1200">
        <v>-0.1271362</v>
      </c>
      <c r="V1200">
        <v>2.001379E-2</v>
      </c>
      <c r="W1200">
        <v>6.0431659999999998E-2</v>
      </c>
      <c r="X1200">
        <v>0.99797170000000002</v>
      </c>
      <c r="Y1200">
        <v>3.8913730000000001E-2</v>
      </c>
      <c r="Z1200" s="1">
        <v>7.6434900000000002E-5</v>
      </c>
      <c r="AA1200">
        <v>0.99924250000000003</v>
      </c>
      <c r="AB1200">
        <v>20</v>
      </c>
      <c r="AC1200">
        <v>145.61699999999999</v>
      </c>
      <c r="AD1200">
        <v>0.69481800000000005</v>
      </c>
      <c r="AE1200">
        <v>-6.1736999999999904</v>
      </c>
      <c r="AF1200">
        <v>5.6751531096324603</v>
      </c>
      <c r="AG1200">
        <v>0.69481800000000005</v>
      </c>
      <c r="AH1200">
        <v>145.63396714599401</v>
      </c>
      <c r="AI1200">
        <v>89.726851875062806</v>
      </c>
      <c r="AJ1200">
        <v>87.768392323387801</v>
      </c>
      <c r="AK1200">
        <v>145.74615782775001</v>
      </c>
      <c r="AL1200">
        <v>86.535410063822397</v>
      </c>
      <c r="AM1200">
        <v>88.851117713899995</v>
      </c>
      <c r="AN1200">
        <v>1.0000000256607</v>
      </c>
    </row>
    <row r="1201" spans="1:40" x14ac:dyDescent="0.25">
      <c r="A1201" t="str">
        <f>"20190312150654216"</f>
        <v>20190312150654216</v>
      </c>
      <c r="B1201" t="str">
        <f>"1552374414211416"</f>
        <v>1552374414211416</v>
      </c>
      <c r="C1201" t="s">
        <v>40</v>
      </c>
      <c r="D1201">
        <v>4.1476449999999998</v>
      </c>
      <c r="E1201">
        <v>0.50685309999999995</v>
      </c>
      <c r="F1201" t="s">
        <v>47</v>
      </c>
      <c r="G1201">
        <v>-158.19499999999999</v>
      </c>
      <c r="H1201">
        <v>1.7727349999999999</v>
      </c>
      <c r="I1201">
        <v>361.07639999999998</v>
      </c>
      <c r="J1201">
        <v>-303.71350000000001</v>
      </c>
      <c r="K1201">
        <v>1.060532</v>
      </c>
      <c r="L1201">
        <v>367.2534</v>
      </c>
      <c r="M1201">
        <v>0.99990679999999998</v>
      </c>
      <c r="N1201">
        <v>0</v>
      </c>
      <c r="O1201">
        <v>-3.4122079999999999E-3</v>
      </c>
      <c r="P1201">
        <v>0.99860550000000003</v>
      </c>
      <c r="Q1201">
        <v>4.7306059999999997E-2</v>
      </c>
      <c r="R1201">
        <v>-2.342907E-2</v>
      </c>
      <c r="S1201">
        <v>3.0004879999999998</v>
      </c>
      <c r="T1201">
        <v>1.467681E-2</v>
      </c>
      <c r="U1201">
        <v>-0.12728879999999901</v>
      </c>
      <c r="V1201">
        <v>2.0021489999999999E-2</v>
      </c>
      <c r="W1201">
        <v>6.0508289999999999E-2</v>
      </c>
      <c r="X1201">
        <v>0.99796689999999999</v>
      </c>
      <c r="Y1201">
        <v>3.8974469999999997E-2</v>
      </c>
      <c r="Z1201" s="1">
        <v>7.8593630000000001E-5</v>
      </c>
      <c r="AA1201">
        <v>0.99924020000000002</v>
      </c>
      <c r="AB1201">
        <v>20</v>
      </c>
      <c r="AC1201">
        <v>145.51849999999999</v>
      </c>
      <c r="AD1201">
        <v>0.71220299999999903</v>
      </c>
      <c r="AE1201">
        <v>-6.17700000000002</v>
      </c>
      <c r="AF1201">
        <v>5.6802454357705301</v>
      </c>
      <c r="AG1201">
        <v>0.71220299999999903</v>
      </c>
      <c r="AH1201">
        <v>145.53525192610999</v>
      </c>
      <c r="AI1201">
        <v>89.719828323108402</v>
      </c>
      <c r="AJ1201">
        <v>87.764878424941401</v>
      </c>
      <c r="AK1201">
        <v>145.64780113177201</v>
      </c>
      <c r="AL1201">
        <v>86.531011430942399</v>
      </c>
      <c r="AM1201">
        <v>88.850670291017494</v>
      </c>
      <c r="AN1201">
        <v>1.0000000233580699</v>
      </c>
    </row>
    <row r="1202" spans="1:40" x14ac:dyDescent="0.25">
      <c r="A1202" t="str">
        <f>"20190312150654228"</f>
        <v>20190312150654228</v>
      </c>
      <c r="B1202" t="str">
        <f>"1552374414221177"</f>
        <v>1552374414221177</v>
      </c>
      <c r="C1202" t="s">
        <v>40</v>
      </c>
      <c r="D1202">
        <v>4.1597089999999897</v>
      </c>
      <c r="E1202">
        <v>0.50688789999999995</v>
      </c>
      <c r="F1202" t="s">
        <v>47</v>
      </c>
      <c r="G1202">
        <v>-158.19499999999999</v>
      </c>
      <c r="H1202">
        <v>1.80362</v>
      </c>
      <c r="I1202">
        <v>361.0772</v>
      </c>
      <c r="J1202">
        <v>-303.61380000000003</v>
      </c>
      <c r="K1202">
        <v>1.0605169999999999</v>
      </c>
      <c r="L1202">
        <v>367.25310000000002</v>
      </c>
      <c r="M1202">
        <v>0.9999074</v>
      </c>
      <c r="N1202">
        <v>0</v>
      </c>
      <c r="O1202">
        <v>-3.4016860000000001E-3</v>
      </c>
      <c r="P1202">
        <v>0.9986003</v>
      </c>
      <c r="Q1202">
        <v>4.7449600000000001E-2</v>
      </c>
      <c r="R1202">
        <v>-2.337127E-2</v>
      </c>
      <c r="S1202">
        <v>3.0004879999999998</v>
      </c>
      <c r="T1202">
        <v>1.5323760000000001E-2</v>
      </c>
      <c r="U1202">
        <v>-0.12734989999999999</v>
      </c>
      <c r="V1202">
        <v>1.9974160000000001E-2</v>
      </c>
      <c r="W1202">
        <v>6.0609669999999997E-2</v>
      </c>
      <c r="X1202">
        <v>0.99796169999999995</v>
      </c>
      <c r="Y1202">
        <v>3.9005239999999997E-2</v>
      </c>
      <c r="Z1202" s="1">
        <v>8.2190189999999997E-5</v>
      </c>
      <c r="AA1202">
        <v>0.99923899999999999</v>
      </c>
      <c r="AB1202">
        <v>20</v>
      </c>
      <c r="AC1202">
        <v>145.4188</v>
      </c>
      <c r="AD1202">
        <v>0.74310299999999996</v>
      </c>
      <c r="AE1202">
        <v>-6.1759000000000102</v>
      </c>
      <c r="AF1202">
        <v>5.6810041366544697</v>
      </c>
      <c r="AG1202">
        <v>0.74310299999999996</v>
      </c>
      <c r="AH1202">
        <v>145.435177881046</v>
      </c>
      <c r="AI1202">
        <v>89.707472078196204</v>
      </c>
      <c r="AJ1202">
        <v>87.7630435545381</v>
      </c>
      <c r="AK1202">
        <v>145.54798856514901</v>
      </c>
      <c r="AL1202">
        <v>86.525192116655603</v>
      </c>
      <c r="AM1202">
        <v>88.853380561208397</v>
      </c>
      <c r="AN1202">
        <v>1.0000000269160501</v>
      </c>
    </row>
    <row r="1203" spans="1:40" x14ac:dyDescent="0.25">
      <c r="A1203" t="str">
        <f>"20190312150654238"</f>
        <v>20190312150654238</v>
      </c>
      <c r="B1203" t="str">
        <f>"1552374414231913"</f>
        <v>1552374414231913</v>
      </c>
      <c r="C1203" t="s">
        <v>40</v>
      </c>
      <c r="D1203">
        <v>4.1438059999999997</v>
      </c>
      <c r="E1203">
        <v>0.50690449999999998</v>
      </c>
      <c r="F1203" t="s">
        <v>47</v>
      </c>
      <c r="G1203">
        <v>-158.19499999999999</v>
      </c>
      <c r="H1203">
        <v>1.8365100000000001</v>
      </c>
      <c r="I1203">
        <v>361.0736</v>
      </c>
      <c r="J1203">
        <v>-303.5095</v>
      </c>
      <c r="K1203">
        <v>1.0605100000000001</v>
      </c>
      <c r="L1203">
        <v>367.2527</v>
      </c>
      <c r="M1203">
        <v>0.99990809999999997</v>
      </c>
      <c r="N1203">
        <v>0</v>
      </c>
      <c r="O1203">
        <v>-3.3892470000000002E-3</v>
      </c>
      <c r="P1203">
        <v>0.99859889999999996</v>
      </c>
      <c r="Q1203">
        <v>4.7484779999999997E-2</v>
      </c>
      <c r="R1203">
        <v>-2.336512E-2</v>
      </c>
      <c r="S1203">
        <v>3.0004580000000001</v>
      </c>
      <c r="T1203">
        <v>1.6013030000000001E-2</v>
      </c>
      <c r="U1203">
        <v>-0.12750239999999999</v>
      </c>
      <c r="V1203">
        <v>1.998045E-2</v>
      </c>
      <c r="W1203">
        <v>6.0599670000000001E-2</v>
      </c>
      <c r="X1203">
        <v>0.99796220000000002</v>
      </c>
      <c r="Y1203">
        <v>3.9068779999999997E-2</v>
      </c>
      <c r="Z1203" s="1">
        <v>8.6123679999999995E-5</v>
      </c>
      <c r="AA1203">
        <v>0.99923649999999997</v>
      </c>
      <c r="AB1203">
        <v>20</v>
      </c>
      <c r="AC1203">
        <v>145.31450000000001</v>
      </c>
      <c r="AD1203">
        <v>0.77599999999999902</v>
      </c>
      <c r="AE1203">
        <v>-6.1791</v>
      </c>
      <c r="AF1203">
        <v>5.6863534691909701</v>
      </c>
      <c r="AG1203">
        <v>0.77599999999999902</v>
      </c>
      <c r="AH1203">
        <v>145.330472615709</v>
      </c>
      <c r="AI1203">
        <v>89.694302867817299</v>
      </c>
      <c r="AJ1203">
        <v>87.7593278229118</v>
      </c>
      <c r="AK1203">
        <v>145.443745353597</v>
      </c>
      <c r="AL1203">
        <v>86.525766194229007</v>
      </c>
      <c r="AM1203">
        <v>88.8530201538331</v>
      </c>
      <c r="AN1203">
        <v>1.0000000455075699</v>
      </c>
    </row>
    <row r="1204" spans="1:40" x14ac:dyDescent="0.25">
      <c r="A1204" t="str">
        <f>"20190312150654250"</f>
        <v>20190312150654250</v>
      </c>
      <c r="B1204" t="str">
        <f>"1552374414241673"</f>
        <v>1552374414241673</v>
      </c>
      <c r="C1204" t="s">
        <v>40</v>
      </c>
      <c r="D1204">
        <v>4.1280229999999998</v>
      </c>
      <c r="E1204">
        <v>0.50691809999999904</v>
      </c>
      <c r="F1204" t="s">
        <v>47</v>
      </c>
      <c r="G1204">
        <v>-158.19499999999999</v>
      </c>
      <c r="H1204">
        <v>1.853734</v>
      </c>
      <c r="I1204">
        <v>361.07330000000002</v>
      </c>
      <c r="J1204">
        <v>-303.4074</v>
      </c>
      <c r="K1204">
        <v>1.0605020000000001</v>
      </c>
      <c r="L1204">
        <v>367.25240000000002</v>
      </c>
      <c r="M1204">
        <v>0.99990869999999998</v>
      </c>
      <c r="N1204">
        <v>0</v>
      </c>
      <c r="O1204">
        <v>-3.3760909999999999E-3</v>
      </c>
      <c r="P1204">
        <v>0.99859350000000002</v>
      </c>
      <c r="Q1204">
        <v>4.7479449999999999E-2</v>
      </c>
      <c r="R1204">
        <v>-2.3598439999999998E-2</v>
      </c>
      <c r="S1204">
        <v>3.0004580000000001</v>
      </c>
      <c r="T1204">
        <v>1.6380309999999999E-2</v>
      </c>
      <c r="U1204">
        <v>-0.12759400000000001</v>
      </c>
      <c r="V1204">
        <v>2.0227160000000001E-2</v>
      </c>
      <c r="W1204">
        <v>6.0550649999999998E-2</v>
      </c>
      <c r="X1204">
        <v>0.99796019999999996</v>
      </c>
      <c r="Y1204">
        <v>3.9112340000000002E-2</v>
      </c>
      <c r="Z1204" s="1">
        <v>8.828966E-5</v>
      </c>
      <c r="AA1204">
        <v>0.99923479999999998</v>
      </c>
      <c r="AB1204">
        <v>20</v>
      </c>
      <c r="AC1204">
        <v>145.2124</v>
      </c>
      <c r="AD1204">
        <v>0.79323199999999905</v>
      </c>
      <c r="AE1204">
        <v>-6.1791</v>
      </c>
      <c r="AF1204">
        <v>5.6886030943593902</v>
      </c>
      <c r="AG1204">
        <v>0.79323199999999905</v>
      </c>
      <c r="AH1204">
        <v>145.22810956428401</v>
      </c>
      <c r="AI1204">
        <v>89.687294911326106</v>
      </c>
      <c r="AJ1204">
        <v>87.756863942735507</v>
      </c>
      <c r="AK1204">
        <v>145.34164313708101</v>
      </c>
      <c r="AL1204">
        <v>86.528579981236305</v>
      </c>
      <c r="AM1204">
        <v>88.838859267491998</v>
      </c>
      <c r="AN1204">
        <v>1.00000004000056</v>
      </c>
    </row>
    <row r="1205" spans="1:40" x14ac:dyDescent="0.25">
      <c r="A1205" t="str">
        <f>"20190312150654260"</f>
        <v>20190312150654260</v>
      </c>
      <c r="B1205" t="str">
        <f>"1552374414251433"</f>
        <v>1552374414251433</v>
      </c>
      <c r="C1205" t="s">
        <v>40</v>
      </c>
      <c r="D1205">
        <v>4.1360380000000001</v>
      </c>
      <c r="E1205">
        <v>0.5069205</v>
      </c>
      <c r="F1205" t="s">
        <v>47</v>
      </c>
      <c r="G1205">
        <v>-158.19499999999999</v>
      </c>
      <c r="H1205">
        <v>1.8524929999999999</v>
      </c>
      <c r="I1205">
        <v>361.02699999999999</v>
      </c>
      <c r="J1205">
        <v>-303.30739999999997</v>
      </c>
      <c r="K1205">
        <v>1.0604990000000001</v>
      </c>
      <c r="L1205">
        <v>367.25209999999998</v>
      </c>
      <c r="M1205">
        <v>0.99990919999999905</v>
      </c>
      <c r="N1205">
        <v>0</v>
      </c>
      <c r="O1205">
        <v>-3.3623379999999999E-3</v>
      </c>
      <c r="P1205">
        <v>0.99860749999999998</v>
      </c>
      <c r="Q1205">
        <v>4.7133639999999997E-2</v>
      </c>
      <c r="R1205">
        <v>-2.3696579999999998E-2</v>
      </c>
      <c r="S1205">
        <v>3.000397</v>
      </c>
      <c r="T1205">
        <v>1.6365999999999999E-2</v>
      </c>
      <c r="U1205">
        <v>-0.12863160000000001</v>
      </c>
      <c r="V1205">
        <v>2.0339019999999999E-2</v>
      </c>
      <c r="W1205">
        <v>6.0160829999999998E-2</v>
      </c>
      <c r="X1205">
        <v>0.99798149999999997</v>
      </c>
      <c r="Y1205">
        <v>3.9471859999999998E-2</v>
      </c>
      <c r="Z1205" s="1">
        <v>8.9268769999999999E-5</v>
      </c>
      <c r="AA1205">
        <v>0.99922069999999996</v>
      </c>
      <c r="AB1205">
        <v>20</v>
      </c>
      <c r="AC1205">
        <v>145.11239999999901</v>
      </c>
      <c r="AD1205">
        <v>0.79199399999999898</v>
      </c>
      <c r="AE1205">
        <v>-6.2250999999999896</v>
      </c>
      <c r="AF1205">
        <v>5.7369357452931498</v>
      </c>
      <c r="AG1205">
        <v>0.79199399999999898</v>
      </c>
      <c r="AH1205">
        <v>145.12819718779701</v>
      </c>
      <c r="AI1205">
        <v>89.687572421429195</v>
      </c>
      <c r="AJ1205">
        <v>87.736269320069596</v>
      </c>
      <c r="AK1205">
        <v>145.24370315170901</v>
      </c>
      <c r="AL1205">
        <v>86.5509558062531</v>
      </c>
      <c r="AM1205">
        <v>88.832464625858705</v>
      </c>
      <c r="AN1205">
        <v>1.0000000377715399</v>
      </c>
    </row>
    <row r="1206" spans="1:40" x14ac:dyDescent="0.25">
      <c r="A1206" t="str">
        <f>"20190312150654272"</f>
        <v>20190312150654272</v>
      </c>
      <c r="B1206" t="str">
        <f>"1552374414261193"</f>
        <v>1552374414261193</v>
      </c>
      <c r="C1206" t="s">
        <v>40</v>
      </c>
      <c r="D1206">
        <v>4.1415829999999998</v>
      </c>
      <c r="E1206">
        <v>0.50694810000000001</v>
      </c>
      <c r="F1206" t="s">
        <v>47</v>
      </c>
      <c r="G1206">
        <v>-158.19499999999999</v>
      </c>
      <c r="H1206">
        <v>1.786146</v>
      </c>
      <c r="I1206">
        <v>361.01920000000001</v>
      </c>
      <c r="J1206">
        <v>-303.20920000000001</v>
      </c>
      <c r="K1206">
        <v>1.060495</v>
      </c>
      <c r="L1206">
        <v>367.2518</v>
      </c>
      <c r="M1206">
        <v>0.99990990000000002</v>
      </c>
      <c r="N1206">
        <v>0</v>
      </c>
      <c r="O1206">
        <v>-3.3462840000000002E-3</v>
      </c>
      <c r="P1206">
        <v>0.99859359999999997</v>
      </c>
      <c r="Q1206">
        <v>4.7342830000000002E-2</v>
      </c>
      <c r="R1206">
        <v>-2.3866510000000001E-2</v>
      </c>
      <c r="S1206">
        <v>3.0004270000000002</v>
      </c>
      <c r="T1206">
        <v>1.500571E-2</v>
      </c>
      <c r="U1206">
        <v>-0.12887570000000001</v>
      </c>
      <c r="V1206">
        <v>2.0524810000000001E-2</v>
      </c>
      <c r="W1206">
        <v>6.0325040000000003E-2</v>
      </c>
      <c r="X1206">
        <v>0.99796770000000001</v>
      </c>
      <c r="Y1206">
        <v>3.956871E-2</v>
      </c>
      <c r="Z1206" s="1">
        <v>8.2170459999999999E-5</v>
      </c>
      <c r="AA1206">
        <v>0.99921689999999996</v>
      </c>
      <c r="AB1206">
        <v>20</v>
      </c>
      <c r="AC1206">
        <v>145.01419999999999</v>
      </c>
      <c r="AD1206">
        <v>0.72565100000000005</v>
      </c>
      <c r="AE1206">
        <v>-6.2325999999999899</v>
      </c>
      <c r="AF1206">
        <v>5.7471217508133501</v>
      </c>
      <c r="AG1206">
        <v>0.72565100000000005</v>
      </c>
      <c r="AH1206">
        <v>145.03062089336601</v>
      </c>
      <c r="AI1206">
        <v>89.713551608430194</v>
      </c>
      <c r="AJ1206">
        <v>87.730730088768794</v>
      </c>
      <c r="AK1206">
        <v>145.14626062874601</v>
      </c>
      <c r="AL1206">
        <v>86.541529858071101</v>
      </c>
      <c r="AM1206">
        <v>88.821786294048096</v>
      </c>
      <c r="AN1206">
        <v>0.99999995425991195</v>
      </c>
    </row>
    <row r="1207" spans="1:40" x14ac:dyDescent="0.25">
      <c r="A1207" t="str">
        <f>"20190312150654284"</f>
        <v>20190312150654284</v>
      </c>
      <c r="B1207" t="str">
        <f>"1552374414271929"</f>
        <v>1552374414271929</v>
      </c>
      <c r="C1207" t="s">
        <v>40</v>
      </c>
      <c r="D1207">
        <v>4.1435550000000001</v>
      </c>
      <c r="E1207">
        <v>0.50697729999999996</v>
      </c>
      <c r="F1207" t="s">
        <v>47</v>
      </c>
      <c r="G1207">
        <v>-158.19499999999999</v>
      </c>
      <c r="H1207">
        <v>1.8097650000000001</v>
      </c>
      <c r="I1207">
        <v>360.99650000000003</v>
      </c>
      <c r="J1207">
        <v>-303.09460000000001</v>
      </c>
      <c r="K1207">
        <v>1.060489</v>
      </c>
      <c r="L1207">
        <v>367.25139999999999</v>
      </c>
      <c r="M1207">
        <v>0.99991079999999999</v>
      </c>
      <c r="N1207">
        <v>0</v>
      </c>
      <c r="O1207">
        <v>-3.3264620000000001E-3</v>
      </c>
      <c r="P1207">
        <v>0.99858360000000002</v>
      </c>
      <c r="Q1207">
        <v>4.7468299999999998E-2</v>
      </c>
      <c r="R1207">
        <v>-2.4044260000000001E-2</v>
      </c>
      <c r="S1207">
        <v>3.000397</v>
      </c>
      <c r="T1207">
        <v>1.5504479999999999E-2</v>
      </c>
      <c r="U1207">
        <v>-0.12942500000000001</v>
      </c>
      <c r="V1207">
        <v>2.0721819999999998E-2</v>
      </c>
      <c r="W1207">
        <v>6.0396909999999998E-2</v>
      </c>
      <c r="X1207">
        <v>0.99795929999999999</v>
      </c>
      <c r="Y1207">
        <v>3.9771529999999999E-2</v>
      </c>
      <c r="Z1207" s="1">
        <v>8.5528369999999997E-5</v>
      </c>
      <c r="AA1207">
        <v>0.99920880000000001</v>
      </c>
      <c r="AB1207">
        <v>20</v>
      </c>
      <c r="AC1207">
        <v>144.89959999999999</v>
      </c>
      <c r="AD1207">
        <v>0.74927600000000005</v>
      </c>
      <c r="AE1207">
        <v>-6.2548999999999602</v>
      </c>
      <c r="AF1207">
        <v>5.7726679737877999</v>
      </c>
      <c r="AG1207">
        <v>0.74927600000000005</v>
      </c>
      <c r="AH1207">
        <v>144.91573887792899</v>
      </c>
      <c r="AI1207">
        <v>89.703993846818094</v>
      </c>
      <c r="AJ1207">
        <v>87.718848649723995</v>
      </c>
      <c r="AK1207">
        <v>145.03260490177999</v>
      </c>
      <c r="AL1207">
        <v>86.537404551332102</v>
      </c>
      <c r="AM1207">
        <v>88.810470284330805</v>
      </c>
      <c r="AN1207">
        <v>0.99999997250907402</v>
      </c>
    </row>
    <row r="1208" spans="1:40" x14ac:dyDescent="0.25">
      <c r="A1208" t="str">
        <f>"20190312150654296"</f>
        <v>20190312150654296</v>
      </c>
      <c r="B1208" t="str">
        <f>"1552374414291449"</f>
        <v>1552374414291449</v>
      </c>
      <c r="C1208" t="s">
        <v>40</v>
      </c>
      <c r="D1208">
        <v>4.109273</v>
      </c>
      <c r="E1208">
        <v>0.50698540000000003</v>
      </c>
      <c r="F1208" t="s">
        <v>47</v>
      </c>
      <c r="G1208">
        <v>-158.19499999999999</v>
      </c>
      <c r="H1208">
        <v>1.817639</v>
      </c>
      <c r="I1208">
        <v>360.95819999999998</v>
      </c>
      <c r="J1208">
        <v>-302.9896</v>
      </c>
      <c r="K1208">
        <v>1.060487</v>
      </c>
      <c r="L1208">
        <v>367.25110000000001</v>
      </c>
      <c r="M1208">
        <v>0.99991149999999995</v>
      </c>
      <c r="N1208">
        <v>0</v>
      </c>
      <c r="O1208">
        <v>-3.3115520000000002E-3</v>
      </c>
      <c r="P1208">
        <v>0.99858740000000001</v>
      </c>
      <c r="Q1208">
        <v>4.7225040000000003E-2</v>
      </c>
      <c r="R1208">
        <v>-2.436108E-2</v>
      </c>
      <c r="S1208">
        <v>3.0003359999999999</v>
      </c>
      <c r="T1208">
        <v>1.5679599999999998E-2</v>
      </c>
      <c r="U1208">
        <v>-0.13031010000000001</v>
      </c>
      <c r="V1208">
        <v>2.1053369999999998E-2</v>
      </c>
      <c r="W1208">
        <v>6.009896E-2</v>
      </c>
      <c r="X1208">
        <v>0.99797040000000004</v>
      </c>
      <c r="Y1208">
        <v>4.0081470000000001E-2</v>
      </c>
      <c r="Z1208" s="1">
        <v>8.7382959999999997E-5</v>
      </c>
      <c r="AA1208">
        <v>0.99919639999999998</v>
      </c>
      <c r="AB1208">
        <v>20</v>
      </c>
      <c r="AC1208">
        <v>144.7946</v>
      </c>
      <c r="AD1208">
        <v>0.75715199999999905</v>
      </c>
      <c r="AE1208">
        <v>-6.2929000000000297</v>
      </c>
      <c r="AF1208">
        <v>5.8131721771140299</v>
      </c>
      <c r="AG1208">
        <v>0.75715199999999905</v>
      </c>
      <c r="AH1208">
        <v>144.81069469291199</v>
      </c>
      <c r="AI1208">
        <v>89.700669155307594</v>
      </c>
      <c r="AJ1208">
        <v>87.701195393423802</v>
      </c>
      <c r="AK1208">
        <v>144.92930534352101</v>
      </c>
      <c r="AL1208">
        <v>86.554507075514607</v>
      </c>
      <c r="AM1208">
        <v>88.791456797098405</v>
      </c>
      <c r="AN1208">
        <v>1.0000000243287901</v>
      </c>
    </row>
    <row r="1209" spans="1:40" x14ac:dyDescent="0.25">
      <c r="A1209" t="str">
        <f>"20190312150654309"</f>
        <v>20190312150654309</v>
      </c>
      <c r="B1209" t="str">
        <f>"1552374414301208"</f>
        <v>1552374414301208</v>
      </c>
      <c r="C1209" t="s">
        <v>40</v>
      </c>
      <c r="D1209">
        <v>4.3468920000000004</v>
      </c>
      <c r="E1209">
        <v>0.50700519999999905</v>
      </c>
      <c r="F1209" t="s">
        <v>47</v>
      </c>
      <c r="G1209">
        <v>-158.19499999999999</v>
      </c>
      <c r="H1209">
        <v>1.78259399999999</v>
      </c>
      <c r="I1209">
        <v>360.91230000000002</v>
      </c>
      <c r="J1209">
        <v>-302.87459999999999</v>
      </c>
      <c r="K1209">
        <v>1.0604800000000001</v>
      </c>
      <c r="L1209">
        <v>367.25069999999999</v>
      </c>
      <c r="M1209">
        <v>0.99991220000000003</v>
      </c>
      <c r="N1209">
        <v>0</v>
      </c>
      <c r="O1209">
        <v>-3.2961280000000002E-3</v>
      </c>
      <c r="P1209">
        <v>0.99857989999999996</v>
      </c>
      <c r="Q1209">
        <v>4.7317240000000003E-2</v>
      </c>
      <c r="R1209">
        <v>-2.4482429999999999E-2</v>
      </c>
      <c r="S1209">
        <v>3.0003359999999999</v>
      </c>
      <c r="T1209">
        <v>1.496482E-2</v>
      </c>
      <c r="U1209">
        <v>-0.13134770000000001</v>
      </c>
      <c r="V1209">
        <v>2.119006E-2</v>
      </c>
      <c r="W1209">
        <v>6.0130370000000002E-2</v>
      </c>
      <c r="X1209">
        <v>0.99796560000000001</v>
      </c>
      <c r="Y1209">
        <v>4.0441820000000003E-2</v>
      </c>
      <c r="Z1209" s="1">
        <v>8.4374010000000003E-5</v>
      </c>
      <c r="AA1209">
        <v>0.99918189999999996</v>
      </c>
      <c r="AB1209">
        <v>20</v>
      </c>
      <c r="AC1209">
        <v>144.67959999999999</v>
      </c>
      <c r="AD1209">
        <v>0.72211399999999903</v>
      </c>
      <c r="AE1209">
        <v>-6.3383999999999698</v>
      </c>
      <c r="AF1209">
        <v>5.8612980662078904</v>
      </c>
      <c r="AG1209">
        <v>0.72211399999999903</v>
      </c>
      <c r="AH1209">
        <v>144.696110166566</v>
      </c>
      <c r="AI1209">
        <v>89.714298892781997</v>
      </c>
      <c r="AJ1209">
        <v>87.680351331824397</v>
      </c>
      <c r="AK1209">
        <v>144.81657557401701</v>
      </c>
      <c r="AL1209">
        <v>86.552704103014506</v>
      </c>
      <c r="AM1209">
        <v>88.783606774283001</v>
      </c>
      <c r="AN1209">
        <v>1.00000000941125</v>
      </c>
    </row>
    <row r="1210" spans="1:40" x14ac:dyDescent="0.25">
      <c r="A1210" t="str">
        <f>"20190312150654320"</f>
        <v>20190312150654320</v>
      </c>
      <c r="B1210" t="str">
        <f>"1552374414311945"</f>
        <v>1552374414311945</v>
      </c>
      <c r="C1210" t="s">
        <v>40</v>
      </c>
      <c r="D1210">
        <v>4.1072550000000003</v>
      </c>
      <c r="E1210">
        <v>0.50703529999999997</v>
      </c>
      <c r="F1210" t="s">
        <v>47</v>
      </c>
      <c r="G1210">
        <v>-158.19499999999999</v>
      </c>
      <c r="H1210">
        <v>1.8000339999999999</v>
      </c>
      <c r="I1210">
        <v>360.88459999999998</v>
      </c>
      <c r="J1210">
        <v>-302.76499999999999</v>
      </c>
      <c r="K1210">
        <v>1.06047</v>
      </c>
      <c r="L1210">
        <v>367.25040000000001</v>
      </c>
      <c r="M1210">
        <v>0.99991319999999995</v>
      </c>
      <c r="N1210">
        <v>0</v>
      </c>
      <c r="O1210">
        <v>-3.2832209999999998E-3</v>
      </c>
      <c r="P1210">
        <v>0.99857799999999997</v>
      </c>
      <c r="Q1210">
        <v>4.7348769999999998E-2</v>
      </c>
      <c r="R1210">
        <v>-2.4503500000000001E-2</v>
      </c>
      <c r="S1210">
        <v>3.0003359999999999</v>
      </c>
      <c r="T1210">
        <v>1.5338539999999999E-2</v>
      </c>
      <c r="U1210">
        <v>-0.132019</v>
      </c>
      <c r="V1210">
        <v>2.1224079999999999E-2</v>
      </c>
      <c r="W1210">
        <v>6.0100859999999999E-2</v>
      </c>
      <c r="X1210">
        <v>0.99796660000000004</v>
      </c>
      <c r="Y1210">
        <v>4.0677850000000002E-2</v>
      </c>
      <c r="Z1210" s="1">
        <v>8.7149649999999993E-5</v>
      </c>
      <c r="AA1210">
        <v>0.99917230000000001</v>
      </c>
      <c r="AB1210">
        <v>20</v>
      </c>
      <c r="AC1210">
        <v>144.57</v>
      </c>
      <c r="AD1210">
        <v>0.739563999999999</v>
      </c>
      <c r="AE1210">
        <v>-6.3658000000000303</v>
      </c>
      <c r="AF1210">
        <v>5.8909179154668001</v>
      </c>
      <c r="AG1210">
        <v>0.739563999999999</v>
      </c>
      <c r="AH1210">
        <v>144.58634627373701</v>
      </c>
      <c r="AI1210">
        <v>89.707175667193795</v>
      </c>
      <c r="AJ1210">
        <v>87.666874062405995</v>
      </c>
      <c r="AK1210">
        <v>144.70819395454299</v>
      </c>
      <c r="AL1210">
        <v>86.554397776643199</v>
      </c>
      <c r="AM1210">
        <v>88.7816557003909</v>
      </c>
      <c r="AN1210">
        <v>0.99999995483007198</v>
      </c>
    </row>
    <row r="1211" spans="1:40" x14ac:dyDescent="0.25">
      <c r="A1211" t="str">
        <f>"20190312150654332"</f>
        <v>20190312150654332</v>
      </c>
      <c r="B1211" t="str">
        <f>"1552374414321706"</f>
        <v>1552374414321706</v>
      </c>
      <c r="C1211" t="s">
        <v>40</v>
      </c>
      <c r="D1211">
        <v>4.1495110000000004</v>
      </c>
      <c r="E1211">
        <v>0.50703920000000002</v>
      </c>
      <c r="F1211" t="s">
        <v>47</v>
      </c>
      <c r="G1211">
        <v>-158.19499999999999</v>
      </c>
      <c r="H1211">
        <v>1.8171539999999999</v>
      </c>
      <c r="I1211">
        <v>360.88310000000001</v>
      </c>
      <c r="J1211">
        <v>-302.65480000000002</v>
      </c>
      <c r="K1211">
        <v>1.0604610000000001</v>
      </c>
      <c r="L1211">
        <v>367.25009999999997</v>
      </c>
      <c r="M1211">
        <v>0.99991390000000002</v>
      </c>
      <c r="N1211">
        <v>0</v>
      </c>
      <c r="O1211">
        <v>-3.2696169999999998E-3</v>
      </c>
      <c r="P1211">
        <v>0.99857180000000001</v>
      </c>
      <c r="Q1211">
        <v>4.739645E-2</v>
      </c>
      <c r="R1211">
        <v>-2.4662099999999999E-2</v>
      </c>
      <c r="S1211">
        <v>3.0002749999999998</v>
      </c>
      <c r="T1211">
        <v>1.570535E-2</v>
      </c>
      <c r="U1211">
        <v>-0.13214110000000001</v>
      </c>
      <c r="V1211">
        <v>2.1396370000000001E-2</v>
      </c>
      <c r="W1211">
        <v>6.008753E-2</v>
      </c>
      <c r="X1211">
        <v>0.99796379999999996</v>
      </c>
      <c r="Y1211">
        <v>4.0732890000000001E-2</v>
      </c>
      <c r="Z1211" s="1">
        <v>8.9450639999999996E-5</v>
      </c>
      <c r="AA1211">
        <v>0.99917009999999995</v>
      </c>
      <c r="AB1211">
        <v>20</v>
      </c>
      <c r="AC1211">
        <v>144.4598</v>
      </c>
      <c r="AD1211">
        <v>0.75669299999999995</v>
      </c>
      <c r="AE1211">
        <v>-6.36699999999996</v>
      </c>
      <c r="AF1211">
        <v>5.8944381825858096</v>
      </c>
      <c r="AG1211">
        <v>0.75669299999999995</v>
      </c>
      <c r="AH1211">
        <v>144.47589065998801</v>
      </c>
      <c r="AI1211">
        <v>89.700165326409206</v>
      </c>
      <c r="AJ1211">
        <v>87.663698562219196</v>
      </c>
      <c r="AK1211">
        <v>144.59806349941701</v>
      </c>
      <c r="AL1211">
        <v>86.555163174986106</v>
      </c>
      <c r="AM1211">
        <v>88.771765160267094</v>
      </c>
      <c r="AN1211">
        <v>1.0000000310105499</v>
      </c>
    </row>
    <row r="1212" spans="1:40" x14ac:dyDescent="0.25">
      <c r="A1212" t="str">
        <f>"20190312150654345"</f>
        <v>20190312150654345</v>
      </c>
      <c r="B1212" t="str">
        <f>"1552374414341224"</f>
        <v>1552374414341224</v>
      </c>
      <c r="C1212" t="s">
        <v>40</v>
      </c>
      <c r="D1212">
        <v>4.1099360000000003</v>
      </c>
      <c r="E1212">
        <v>0.50708589999999998</v>
      </c>
      <c r="F1212" t="s">
        <v>47</v>
      </c>
      <c r="G1212">
        <v>-158.19499999999999</v>
      </c>
      <c r="H1212">
        <v>1.8126819999999999</v>
      </c>
      <c r="I1212">
        <v>360.86559999999997</v>
      </c>
      <c r="J1212">
        <v>-302.53980000000001</v>
      </c>
      <c r="K1212">
        <v>1.060452</v>
      </c>
      <c r="L1212">
        <v>367.24970000000002</v>
      </c>
      <c r="M1212">
        <v>0.99991479999999999</v>
      </c>
      <c r="N1212">
        <v>0</v>
      </c>
      <c r="O1212">
        <v>-3.2551749999999999E-3</v>
      </c>
      <c r="P1212">
        <v>0.99856</v>
      </c>
      <c r="Q1212">
        <v>4.7588610000000003E-2</v>
      </c>
      <c r="R1212">
        <v>-2.4769679999999999E-2</v>
      </c>
      <c r="S1212">
        <v>3.0002749999999998</v>
      </c>
      <c r="T1212">
        <v>1.562464E-2</v>
      </c>
      <c r="U1212">
        <v>-0.13259889999999999</v>
      </c>
      <c r="V1212">
        <v>2.1518570000000001E-2</v>
      </c>
      <c r="W1212">
        <v>6.0216529999999997E-2</v>
      </c>
      <c r="X1212">
        <v>0.99795339999999999</v>
      </c>
      <c r="Y1212">
        <v>4.089947E-2</v>
      </c>
      <c r="Z1212" s="1">
        <v>8.9499459999999996E-5</v>
      </c>
      <c r="AA1212">
        <v>0.99916329999999998</v>
      </c>
      <c r="AB1212">
        <v>20</v>
      </c>
      <c r="AC1212">
        <v>144.34479999999999</v>
      </c>
      <c r="AD1212">
        <v>0.75222999999999995</v>
      </c>
      <c r="AE1212">
        <v>-6.3841000000000401</v>
      </c>
      <c r="AF1212">
        <v>5.9140007412419999</v>
      </c>
      <c r="AG1212">
        <v>0.75222999999999995</v>
      </c>
      <c r="AH1212">
        <v>144.36090523804299</v>
      </c>
      <c r="AI1212">
        <v>89.701698365028307</v>
      </c>
      <c r="AJ1212">
        <v>87.654088461312895</v>
      </c>
      <c r="AK1212">
        <v>144.483951412908</v>
      </c>
      <c r="AL1212">
        <v>86.547758621851997</v>
      </c>
      <c r="AM1212">
        <v>88.7647397034021</v>
      </c>
      <c r="AN1212">
        <v>1.0000000339558199</v>
      </c>
    </row>
    <row r="1213" spans="1:40" x14ac:dyDescent="0.25">
      <c r="A1213" t="str">
        <f>"20190312150654356"</f>
        <v>20190312150654356</v>
      </c>
      <c r="B1213" t="str">
        <f>"1552374414351961"</f>
        <v>1552374414351961</v>
      </c>
      <c r="C1213" t="s">
        <v>40</v>
      </c>
      <c r="D1213">
        <v>4.1001969999999996</v>
      </c>
      <c r="E1213">
        <v>0.50708589999999998</v>
      </c>
      <c r="F1213" t="s">
        <v>47</v>
      </c>
      <c r="G1213">
        <v>-158.19499999999999</v>
      </c>
      <c r="H1213">
        <v>1.841831</v>
      </c>
      <c r="I1213">
        <v>360.8306</v>
      </c>
      <c r="J1213">
        <v>-302.42899999999997</v>
      </c>
      <c r="K1213">
        <v>1.0604439999999999</v>
      </c>
      <c r="L1213">
        <v>367.24930000000001</v>
      </c>
      <c r="M1213">
        <v>0.99991549999999996</v>
      </c>
      <c r="N1213">
        <v>0</v>
      </c>
      <c r="O1213">
        <v>-3.2405260000000001E-3</v>
      </c>
      <c r="P1213">
        <v>0.99855729999999998</v>
      </c>
      <c r="Q1213">
        <v>4.747879E-2</v>
      </c>
      <c r="R1213">
        <v>-2.50932E-2</v>
      </c>
      <c r="S1213">
        <v>3.0002439999999999</v>
      </c>
      <c r="T1213">
        <v>1.6242980000000001E-2</v>
      </c>
      <c r="U1213">
        <v>-0.13342290000000001</v>
      </c>
      <c r="V1213">
        <v>2.1856899999999999E-2</v>
      </c>
      <c r="W1213">
        <v>6.0048980000000002E-2</v>
      </c>
      <c r="X1213">
        <v>0.99795610000000001</v>
      </c>
      <c r="Y1213">
        <v>4.1188389999999998E-2</v>
      </c>
      <c r="Z1213" s="1">
        <v>9.3902640000000001E-5</v>
      </c>
      <c r="AA1213">
        <v>0.99915140000000002</v>
      </c>
      <c r="AB1213">
        <v>20</v>
      </c>
      <c r="AC1213">
        <v>144.23400000000001</v>
      </c>
      <c r="AD1213">
        <v>0.78138700000000005</v>
      </c>
      <c r="AE1213">
        <v>-6.4187000000000003</v>
      </c>
      <c r="AF1213">
        <v>5.9510609086148802</v>
      </c>
      <c r="AG1213">
        <v>0.78138700000000005</v>
      </c>
      <c r="AH1213">
        <v>144.24981893269401</v>
      </c>
      <c r="AI1213">
        <v>89.6899012415697</v>
      </c>
      <c r="AJ1213">
        <v>87.637588524735705</v>
      </c>
      <c r="AK1213">
        <v>144.374637501525</v>
      </c>
      <c r="AL1213">
        <v>86.557375784248407</v>
      </c>
      <c r="AM1213">
        <v>88.745327631235298</v>
      </c>
      <c r="AN1213">
        <v>0.99999999080193003</v>
      </c>
    </row>
    <row r="1214" spans="1:40" x14ac:dyDescent="0.25">
      <c r="A1214" t="str">
        <f>"20190312150654368"</f>
        <v>20190312150654368</v>
      </c>
      <c r="B1214" t="str">
        <f>"1552374414361721"</f>
        <v>1552374414361721</v>
      </c>
      <c r="C1214" t="s">
        <v>40</v>
      </c>
      <c r="D1214">
        <v>4.1088979999999999</v>
      </c>
      <c r="E1214">
        <v>0.5070789</v>
      </c>
      <c r="F1214" t="s">
        <v>47</v>
      </c>
      <c r="G1214">
        <v>-158.19499999999999</v>
      </c>
      <c r="H1214">
        <v>1.8083469999999999</v>
      </c>
      <c r="I1214">
        <v>360.8057</v>
      </c>
      <c r="J1214">
        <v>-302.33</v>
      </c>
      <c r="K1214">
        <v>1.060438</v>
      </c>
      <c r="L1214">
        <v>367.24900000000002</v>
      </c>
      <c r="M1214">
        <v>0.99991609999999997</v>
      </c>
      <c r="N1214">
        <v>0</v>
      </c>
      <c r="O1214">
        <v>-3.2272249999999998E-3</v>
      </c>
      <c r="P1214">
        <v>0.99854670000000001</v>
      </c>
      <c r="Q1214">
        <v>4.7638949999999999E-2</v>
      </c>
      <c r="R1214">
        <v>-2.5205200000000001E-2</v>
      </c>
      <c r="S1214">
        <v>3.0002140000000002</v>
      </c>
      <c r="T1214">
        <v>1.555896E-2</v>
      </c>
      <c r="U1214">
        <v>-0.13403319999999999</v>
      </c>
      <c r="V1214">
        <v>2.1982459999999999E-2</v>
      </c>
      <c r="W1214">
        <v>6.0157500000000003E-2</v>
      </c>
      <c r="X1214">
        <v>0.99794680000000002</v>
      </c>
      <c r="Y1214">
        <v>4.1405030000000002E-2</v>
      </c>
      <c r="Z1214" s="1">
        <v>9.0579190000000001E-5</v>
      </c>
      <c r="AA1214">
        <v>0.99914250000000004</v>
      </c>
      <c r="AB1214">
        <v>20</v>
      </c>
      <c r="AC1214">
        <v>144.13499999999999</v>
      </c>
      <c r="AD1214">
        <v>0.74790900000000005</v>
      </c>
      <c r="AE1214">
        <v>-6.4433000000000202</v>
      </c>
      <c r="AF1214">
        <v>5.9779131234734599</v>
      </c>
      <c r="AG1214">
        <v>0.74790900000000005</v>
      </c>
      <c r="AH1214">
        <v>144.15117135814401</v>
      </c>
      <c r="AI1214">
        <v>89.702986486214797</v>
      </c>
      <c r="AJ1214">
        <v>87.625318968173204</v>
      </c>
      <c r="AK1214">
        <v>144.27700792957</v>
      </c>
      <c r="AL1214">
        <v>86.551146763411694</v>
      </c>
      <c r="AM1214">
        <v>88.738110559464502</v>
      </c>
      <c r="AN1214">
        <v>0.99999998449206995</v>
      </c>
    </row>
    <row r="1215" spans="1:40" x14ac:dyDescent="0.25">
      <c r="A1215" t="str">
        <f>"20190312150654379"</f>
        <v>20190312150654379</v>
      </c>
      <c r="B1215" t="str">
        <f>"1552374414371482"</f>
        <v>1552374414371482</v>
      </c>
      <c r="C1215" t="s">
        <v>40</v>
      </c>
      <c r="D1215">
        <v>4.1095059999999997</v>
      </c>
      <c r="E1215">
        <v>0.50708299999999995</v>
      </c>
      <c r="F1215" t="s">
        <v>47</v>
      </c>
      <c r="G1215">
        <v>-158.19499999999999</v>
      </c>
      <c r="H1215">
        <v>1.820937</v>
      </c>
      <c r="I1215">
        <v>360.78489999999999</v>
      </c>
      <c r="J1215">
        <v>-302.22550000000001</v>
      </c>
      <c r="K1215">
        <v>1.060432</v>
      </c>
      <c r="L1215">
        <v>367.24869999999999</v>
      </c>
      <c r="M1215">
        <v>0.9999169</v>
      </c>
      <c r="N1215">
        <v>0</v>
      </c>
      <c r="O1215">
        <v>-3.2129509999999999E-3</v>
      </c>
      <c r="P1215">
        <v>0.99853840000000005</v>
      </c>
      <c r="Q1215">
        <v>4.7649660000000003E-2</v>
      </c>
      <c r="R1215">
        <v>-2.5510419999999999E-2</v>
      </c>
      <c r="S1215">
        <v>3.0002140000000002</v>
      </c>
      <c r="T1215">
        <v>1.5831830000000002E-2</v>
      </c>
      <c r="U1215">
        <v>-0.134552</v>
      </c>
      <c r="V1215">
        <v>2.2302019999999999E-2</v>
      </c>
      <c r="W1215">
        <v>6.0113720000000002E-2</v>
      </c>
      <c r="X1215">
        <v>0.99794240000000001</v>
      </c>
      <c r="Y1215">
        <v>4.1591700000000002E-2</v>
      </c>
      <c r="Z1215" s="1">
        <v>9.2734929999999994E-5</v>
      </c>
      <c r="AA1215">
        <v>0.99913470000000004</v>
      </c>
      <c r="AB1215">
        <v>20</v>
      </c>
      <c r="AC1215">
        <v>144.03049999999999</v>
      </c>
      <c r="AD1215">
        <v>0.76050499999999899</v>
      </c>
      <c r="AE1215">
        <v>-6.4637999999999902</v>
      </c>
      <c r="AF1215">
        <v>6.0008006559874598</v>
      </c>
      <c r="AG1215">
        <v>0.76050499999999899</v>
      </c>
      <c r="AH1215">
        <v>144.04651798895699</v>
      </c>
      <c r="AI1215">
        <v>89.697767341613897</v>
      </c>
      <c r="AJ1215">
        <v>87.614507673472005</v>
      </c>
      <c r="AK1215">
        <v>144.17346261053299</v>
      </c>
      <c r="AL1215">
        <v>86.553659900291805</v>
      </c>
      <c r="AM1215">
        <v>88.719766835103698</v>
      </c>
      <c r="AN1215">
        <v>1.0000000365730299</v>
      </c>
    </row>
    <row r="1216" spans="1:40" x14ac:dyDescent="0.25">
      <c r="A1216" t="str">
        <f>"20190312150654391"</f>
        <v>20190312150654391</v>
      </c>
      <c r="B1216" t="str">
        <f>"1552374414381241"</f>
        <v>1552374414381241</v>
      </c>
      <c r="C1216" t="s">
        <v>40</v>
      </c>
      <c r="D1216">
        <v>4.0882059999999996</v>
      </c>
      <c r="E1216">
        <v>0.50708149999999996</v>
      </c>
      <c r="F1216" t="s">
        <v>47</v>
      </c>
      <c r="G1216">
        <v>-158.19499999999999</v>
      </c>
      <c r="H1216">
        <v>1.8096680000000001</v>
      </c>
      <c r="I1216">
        <v>360.7423</v>
      </c>
      <c r="J1216">
        <v>-302.12009999999998</v>
      </c>
      <c r="K1216">
        <v>1.060424</v>
      </c>
      <c r="L1216">
        <v>367.2484</v>
      </c>
      <c r="M1216">
        <v>0.99991770000000002</v>
      </c>
      <c r="N1216">
        <v>0</v>
      </c>
      <c r="O1216">
        <v>-3.199131E-3</v>
      </c>
      <c r="P1216">
        <v>0.99852039999999997</v>
      </c>
      <c r="Q1216">
        <v>4.7934980000000002E-2</v>
      </c>
      <c r="R1216">
        <v>-2.5680999999999999E-2</v>
      </c>
      <c r="S1216">
        <v>3.0001829999999998</v>
      </c>
      <c r="T1216">
        <v>1.5608550000000001E-2</v>
      </c>
      <c r="U1216">
        <v>-0.1355286</v>
      </c>
      <c r="V1216">
        <v>2.248675E-2</v>
      </c>
      <c r="W1216">
        <v>6.0341699999999901E-2</v>
      </c>
      <c r="X1216">
        <v>0.99792440000000004</v>
      </c>
      <c r="Y1216">
        <v>4.1930540000000002E-2</v>
      </c>
      <c r="Z1216" s="1">
        <v>9.2380209999999994E-5</v>
      </c>
      <c r="AA1216">
        <v>0.99912049999999997</v>
      </c>
      <c r="AB1216">
        <v>20</v>
      </c>
      <c r="AC1216">
        <v>143.92509999999999</v>
      </c>
      <c r="AD1216">
        <v>0.74924399999999902</v>
      </c>
      <c r="AE1216">
        <v>-6.5061</v>
      </c>
      <c r="AF1216">
        <v>6.0454324136272701</v>
      </c>
      <c r="AG1216">
        <v>0.74924399999999902</v>
      </c>
      <c r="AH1216">
        <v>143.94128596950199</v>
      </c>
      <c r="AI1216">
        <v>89.702029057216393</v>
      </c>
      <c r="AJ1216">
        <v>87.5950311107716</v>
      </c>
      <c r="AK1216">
        <v>144.07013023591401</v>
      </c>
      <c r="AL1216">
        <v>86.540573523708701</v>
      </c>
      <c r="AM1216">
        <v>88.709142825574403</v>
      </c>
      <c r="AN1216">
        <v>0.999999941399904</v>
      </c>
    </row>
    <row r="1217" spans="1:40" x14ac:dyDescent="0.25">
      <c r="A1217" t="str">
        <f>"20190312150654406"</f>
        <v>20190312150654406</v>
      </c>
      <c r="B1217" t="str">
        <f>"1552374414401737"</f>
        <v>1552374414401737</v>
      </c>
      <c r="C1217" t="s">
        <v>40</v>
      </c>
      <c r="D1217">
        <v>4.1252500000000003</v>
      </c>
      <c r="E1217">
        <v>0.50709329999999997</v>
      </c>
      <c r="F1217" t="s">
        <v>47</v>
      </c>
      <c r="G1217">
        <v>-158.19499999999999</v>
      </c>
      <c r="H1217">
        <v>1.8364549999999999</v>
      </c>
      <c r="I1217">
        <v>360.7321</v>
      </c>
      <c r="J1217">
        <v>-301.98649999999998</v>
      </c>
      <c r="K1217">
        <v>1.0604119999999999</v>
      </c>
      <c r="L1217">
        <v>367.24799999999999</v>
      </c>
      <c r="M1217">
        <v>0.99991859999999999</v>
      </c>
      <c r="N1217">
        <v>0</v>
      </c>
      <c r="O1217">
        <v>-3.1819769999999999E-3</v>
      </c>
      <c r="P1217">
        <v>0.99849140000000003</v>
      </c>
      <c r="Q1217">
        <v>4.8111800000000003E-2</v>
      </c>
      <c r="R1217">
        <v>-2.6457339999999999E-2</v>
      </c>
      <c r="S1217">
        <v>3.0001530000000001</v>
      </c>
      <c r="T1217">
        <v>1.6178370000000001E-2</v>
      </c>
      <c r="U1217">
        <v>-0.1358337</v>
      </c>
      <c r="V1217">
        <v>2.3280269999999999E-2</v>
      </c>
      <c r="W1217">
        <v>6.0442129999999997E-2</v>
      </c>
      <c r="X1217">
        <v>0.99790020000000001</v>
      </c>
      <c r="Y1217">
        <v>4.204952E-2</v>
      </c>
      <c r="Z1217" s="1">
        <v>9.6166559999999999E-5</v>
      </c>
      <c r="AA1217">
        <v>0.99911550000000005</v>
      </c>
      <c r="AB1217">
        <v>20</v>
      </c>
      <c r="AC1217">
        <v>143.79149999999899</v>
      </c>
      <c r="AD1217">
        <v>0.77604299999999904</v>
      </c>
      <c r="AE1217">
        <v>-6.5159000000000402</v>
      </c>
      <c r="AF1217">
        <v>6.0581147354522704</v>
      </c>
      <c r="AG1217">
        <v>0.77604299999999904</v>
      </c>
      <c r="AH1217">
        <v>143.807326788144</v>
      </c>
      <c r="AI1217">
        <v>89.691085582663703</v>
      </c>
      <c r="AJ1217">
        <v>87.587749508159703</v>
      </c>
      <c r="AK1217">
        <v>143.936966186028</v>
      </c>
      <c r="AL1217">
        <v>86.534809043550098</v>
      </c>
      <c r="AM1217">
        <v>88.663574464277204</v>
      </c>
      <c r="AN1217">
        <v>1.0000000156051201</v>
      </c>
    </row>
    <row r="1218" spans="1:40" x14ac:dyDescent="0.25">
      <c r="A1218" t="str">
        <f>"20190312150654417"</f>
        <v>20190312150654417</v>
      </c>
      <c r="B1218" t="str">
        <f>"1552374414411497"</f>
        <v>1552374414411497</v>
      </c>
      <c r="C1218" t="s">
        <v>40</v>
      </c>
      <c r="D1218">
        <v>4.0950980000000001</v>
      </c>
      <c r="E1218">
        <v>0.50708869999999995</v>
      </c>
      <c r="F1218" t="s">
        <v>47</v>
      </c>
      <c r="G1218">
        <v>-158.19499999999999</v>
      </c>
      <c r="H1218">
        <v>1.8325499999999999</v>
      </c>
      <c r="I1218">
        <v>360.62790000000001</v>
      </c>
      <c r="J1218">
        <v>-301.87689999999998</v>
      </c>
      <c r="K1218">
        <v>1.0604020000000001</v>
      </c>
      <c r="L1218">
        <v>367.24759999999998</v>
      </c>
      <c r="M1218">
        <v>0.99991960000000002</v>
      </c>
      <c r="N1218">
        <v>0</v>
      </c>
      <c r="O1218">
        <v>-3.169407E-3</v>
      </c>
      <c r="P1218">
        <v>0.99847169999999996</v>
      </c>
      <c r="Q1218">
        <v>4.83373E-2</v>
      </c>
      <c r="R1218">
        <v>-2.679867E-2</v>
      </c>
      <c r="S1218">
        <v>3.000092</v>
      </c>
      <c r="T1218">
        <v>1.611185E-2</v>
      </c>
      <c r="U1218">
        <v>-0.13812260000000001</v>
      </c>
      <c r="V1218">
        <v>2.363409E-2</v>
      </c>
      <c r="W1218">
        <v>6.060111E-2</v>
      </c>
      <c r="X1218">
        <v>0.99788220000000005</v>
      </c>
      <c r="Y1218">
        <v>4.2823640000000003E-2</v>
      </c>
      <c r="Z1218" s="1">
        <v>9.7916489999999996E-5</v>
      </c>
      <c r="AA1218">
        <v>0.99908260000000004</v>
      </c>
      <c r="AB1218">
        <v>20</v>
      </c>
      <c r="AC1218">
        <v>143.68189999999899</v>
      </c>
      <c r="AD1218">
        <v>0.77214799999999895</v>
      </c>
      <c r="AE1218">
        <v>-6.6196999999999599</v>
      </c>
      <c r="AF1218">
        <v>6.1640683579515398</v>
      </c>
      <c r="AG1218">
        <v>0.77214799999999895</v>
      </c>
      <c r="AH1218">
        <v>143.69801913545999</v>
      </c>
      <c r="AI1218">
        <v>89.692412252538901</v>
      </c>
      <c r="AJ1218">
        <v>87.543746805191105</v>
      </c>
      <c r="AK1218">
        <v>143.83223788396799</v>
      </c>
      <c r="AL1218">
        <v>86.525683290814996</v>
      </c>
      <c r="AM1218">
        <v>88.643246169461193</v>
      </c>
      <c r="AN1218">
        <v>0.99999997491009995</v>
      </c>
    </row>
    <row r="1219" spans="1:40" x14ac:dyDescent="0.25">
      <c r="A1219" t="str">
        <f>"20190312150654430"</f>
        <v>20190312150654430</v>
      </c>
      <c r="B1219" t="str">
        <f>"1552374414421256"</f>
        <v>1552374414421256</v>
      </c>
      <c r="C1219" t="s">
        <v>40</v>
      </c>
      <c r="D1219">
        <v>4.1051719999999996</v>
      </c>
      <c r="E1219">
        <v>0.50708929999999997</v>
      </c>
      <c r="F1219" t="s">
        <v>47</v>
      </c>
      <c r="G1219">
        <v>-158.19499999999999</v>
      </c>
      <c r="H1219">
        <v>1.852387</v>
      </c>
      <c r="I1219">
        <v>360.56819999999999</v>
      </c>
      <c r="J1219">
        <v>-301.76409999999998</v>
      </c>
      <c r="K1219">
        <v>1.0603880000000001</v>
      </c>
      <c r="L1219">
        <v>367.2473</v>
      </c>
      <c r="M1219">
        <v>0.99992049999999999</v>
      </c>
      <c r="N1219">
        <v>0</v>
      </c>
      <c r="O1219">
        <v>-3.156584E-3</v>
      </c>
      <c r="P1219">
        <v>0.99847260000000004</v>
      </c>
      <c r="Q1219">
        <v>4.8167790000000002E-2</v>
      </c>
      <c r="R1219">
        <v>-2.7068080000000001E-2</v>
      </c>
      <c r="S1219">
        <v>3.0000610000000001</v>
      </c>
      <c r="T1219">
        <v>1.6538379999999998E-2</v>
      </c>
      <c r="U1219">
        <v>-0.13946529999999999</v>
      </c>
      <c r="V1219">
        <v>2.3916E-2</v>
      </c>
      <c r="W1219">
        <v>6.0363130000000001E-2</v>
      </c>
      <c r="X1219">
        <v>0.9978899</v>
      </c>
      <c r="Y1219">
        <v>4.3283099999999998E-2</v>
      </c>
      <c r="Z1219">
        <v>1.01845E-4</v>
      </c>
      <c r="AA1219">
        <v>0.99906280000000003</v>
      </c>
      <c r="AB1219">
        <v>20</v>
      </c>
      <c r="AC1219">
        <v>143.56909999999999</v>
      </c>
      <c r="AD1219">
        <v>0.79199900000000001</v>
      </c>
      <c r="AE1219">
        <v>-6.6791</v>
      </c>
      <c r="AF1219">
        <v>6.2256559740372897</v>
      </c>
      <c r="AG1219">
        <v>0.79199900000000001</v>
      </c>
      <c r="AH1219">
        <v>143.585109226622</v>
      </c>
      <c r="AI1219">
        <v>89.684262897551207</v>
      </c>
      <c r="AJ1219">
        <v>87.517287588880606</v>
      </c>
      <c r="AK1219">
        <v>143.72219608099499</v>
      </c>
      <c r="AL1219">
        <v>86.5393435232928</v>
      </c>
      <c r="AM1219">
        <v>88.627079409542603</v>
      </c>
      <c r="AN1219">
        <v>0.99999996752070297</v>
      </c>
    </row>
    <row r="1220" spans="1:40" x14ac:dyDescent="0.25">
      <c r="A1220" t="str">
        <f>"20190312150654440"</f>
        <v>20190312150654440</v>
      </c>
      <c r="B1220" t="str">
        <f>"1552374414431994"</f>
        <v>1552374414431994</v>
      </c>
      <c r="C1220" t="s">
        <v>40</v>
      </c>
      <c r="D1220">
        <v>4.0739749999999999</v>
      </c>
      <c r="E1220">
        <v>0.50707690000000005</v>
      </c>
      <c r="F1220" t="s">
        <v>47</v>
      </c>
      <c r="G1220">
        <v>-158.19499999999999</v>
      </c>
      <c r="H1220">
        <v>1.808146</v>
      </c>
      <c r="I1220">
        <v>360.541</v>
      </c>
      <c r="J1220">
        <v>-301.65910000000002</v>
      </c>
      <c r="K1220">
        <v>1.0603819999999999</v>
      </c>
      <c r="L1220">
        <v>367.24689999999998</v>
      </c>
      <c r="M1220">
        <v>0.99992130000000001</v>
      </c>
      <c r="N1220">
        <v>0</v>
      </c>
      <c r="O1220">
        <v>-3.1449809999999998E-3</v>
      </c>
      <c r="P1220">
        <v>0.99847640000000004</v>
      </c>
      <c r="Q1220">
        <v>4.7990289999999998E-2</v>
      </c>
      <c r="R1220">
        <v>-2.7243409999999999E-2</v>
      </c>
      <c r="S1220">
        <v>3.0000309999999999</v>
      </c>
      <c r="T1220">
        <v>1.562703E-2</v>
      </c>
      <c r="U1220">
        <v>-0.1401367</v>
      </c>
      <c r="V1220">
        <v>2.4103200000000002E-2</v>
      </c>
      <c r="W1220">
        <v>6.0121330000000001E-2</v>
      </c>
      <c r="X1220">
        <v>0.99790000000000001</v>
      </c>
      <c r="Y1220">
        <v>4.3518319999999999E-2</v>
      </c>
      <c r="Z1220" s="1">
        <v>9.6906080000000002E-5</v>
      </c>
      <c r="AA1220">
        <v>0.99905259999999996</v>
      </c>
      <c r="AB1220">
        <v>20</v>
      </c>
      <c r="AC1220">
        <v>143.4641</v>
      </c>
      <c r="AD1220">
        <v>0.74776399999999899</v>
      </c>
      <c r="AE1220">
        <v>-6.7058999999999802</v>
      </c>
      <c r="AF1220">
        <v>6.2544721377164496</v>
      </c>
      <c r="AG1220">
        <v>0.74776399999999899</v>
      </c>
      <c r="AH1220">
        <v>143.48059243455</v>
      </c>
      <c r="AI1220">
        <v>89.701683089898694</v>
      </c>
      <c r="AJ1220">
        <v>87.503995981512901</v>
      </c>
      <c r="AK1220">
        <v>143.618793958488</v>
      </c>
      <c r="AL1220">
        <v>86.553222874418097</v>
      </c>
      <c r="AM1220">
        <v>88.616351176996702</v>
      </c>
      <c r="AN1220">
        <v>0.99999997428560405</v>
      </c>
    </row>
    <row r="1221" spans="1:40" x14ac:dyDescent="0.25">
      <c r="A1221" t="str">
        <f>"20190312150654453"</f>
        <v>20190312150654453</v>
      </c>
      <c r="B1221" t="str">
        <f>"1552374414441753"</f>
        <v>1552374414441753</v>
      </c>
      <c r="C1221" t="s">
        <v>40</v>
      </c>
      <c r="D1221">
        <v>4.1387320000000001</v>
      </c>
      <c r="E1221">
        <v>0.50707550000000001</v>
      </c>
      <c r="F1221" t="s">
        <v>47</v>
      </c>
      <c r="G1221">
        <v>-158.19499999999999</v>
      </c>
      <c r="H1221">
        <v>1.769552</v>
      </c>
      <c r="I1221">
        <v>360.5163</v>
      </c>
      <c r="J1221">
        <v>-301.55680000000001</v>
      </c>
      <c r="K1221">
        <v>1.0603720000000001</v>
      </c>
      <c r="L1221">
        <v>367.2466</v>
      </c>
      <c r="M1221">
        <v>0.99992199999999998</v>
      </c>
      <c r="N1221">
        <v>0</v>
      </c>
      <c r="O1221">
        <v>-3.133622E-3</v>
      </c>
      <c r="P1221">
        <v>0.99846860000000004</v>
      </c>
      <c r="Q1221">
        <v>4.8067819999999997E-2</v>
      </c>
      <c r="R1221">
        <v>-2.738554E-2</v>
      </c>
      <c r="S1221">
        <v>3.0000309999999999</v>
      </c>
      <c r="T1221">
        <v>1.4831540000000001E-2</v>
      </c>
      <c r="U1221">
        <v>-0.14074710000000001</v>
      </c>
      <c r="V1221">
        <v>2.4256639999999999E-2</v>
      </c>
      <c r="W1221">
        <v>6.0135130000000002E-2</v>
      </c>
      <c r="X1221">
        <v>0.99789550000000005</v>
      </c>
      <c r="Y1221">
        <v>4.373254E-2</v>
      </c>
      <c r="Z1221" s="1">
        <v>9.2558089999999997E-5</v>
      </c>
      <c r="AA1221">
        <v>0.99904329999999997</v>
      </c>
      <c r="AB1221">
        <v>20</v>
      </c>
      <c r="AC1221">
        <v>143.36179999999999</v>
      </c>
      <c r="AD1221">
        <v>0.70918000000000003</v>
      </c>
      <c r="AE1221">
        <v>-6.7302999999999997</v>
      </c>
      <c r="AF1221">
        <v>6.2808390644450904</v>
      </c>
      <c r="AG1221">
        <v>0.70918000000000003</v>
      </c>
      <c r="AH1221">
        <v>143.378686917794</v>
      </c>
      <c r="AI1221">
        <v>89.716877307124406</v>
      </c>
      <c r="AJ1221">
        <v>87.491707775590996</v>
      </c>
      <c r="AK1221">
        <v>143.51794221593599</v>
      </c>
      <c r="AL1221">
        <v>86.552430929940101</v>
      </c>
      <c r="AM1221">
        <v>88.607540104470999</v>
      </c>
      <c r="AN1221">
        <v>1.00000002368222</v>
      </c>
    </row>
    <row r="1222" spans="1:40" x14ac:dyDescent="0.25">
      <c r="A1222" t="str">
        <f>"20190312150654465"</f>
        <v>20190312150654465</v>
      </c>
      <c r="B1222" t="str">
        <f>"1552374414451513"</f>
        <v>1552374414451513</v>
      </c>
      <c r="C1222" t="s">
        <v>40</v>
      </c>
      <c r="D1222">
        <v>4.1146580000000004</v>
      </c>
      <c r="E1222">
        <v>0.50706739999999995</v>
      </c>
      <c r="F1222" t="s">
        <v>47</v>
      </c>
      <c r="G1222">
        <v>-158.19499999999999</v>
      </c>
      <c r="H1222">
        <v>1.766262</v>
      </c>
      <c r="I1222">
        <v>360.50479999999999</v>
      </c>
      <c r="J1222">
        <v>-301.44889999999998</v>
      </c>
      <c r="K1222">
        <v>1.0603670000000001</v>
      </c>
      <c r="L1222">
        <v>367.24630000000002</v>
      </c>
      <c r="M1222">
        <v>0.99992289999999995</v>
      </c>
      <c r="N1222">
        <v>0</v>
      </c>
      <c r="O1222">
        <v>-3.1215280000000001E-3</v>
      </c>
      <c r="P1222">
        <v>0.99847019999999997</v>
      </c>
      <c r="Q1222">
        <v>4.7954419999999998E-2</v>
      </c>
      <c r="R1222">
        <v>-2.7523780000000001E-2</v>
      </c>
      <c r="S1222">
        <v>3.0000610000000001</v>
      </c>
      <c r="T1222">
        <v>1.477361E-2</v>
      </c>
      <c r="U1222">
        <v>-0.14108280000000001</v>
      </c>
      <c r="V1222">
        <v>2.4407040000000001E-2</v>
      </c>
      <c r="W1222">
        <v>5.9953779999999998E-2</v>
      </c>
      <c r="X1222">
        <v>0.99790270000000003</v>
      </c>
      <c r="Y1222">
        <v>4.3855690000000003E-2</v>
      </c>
      <c r="Z1222" s="1">
        <v>9.2557970000000002E-5</v>
      </c>
      <c r="AA1222">
        <v>0.99903790000000003</v>
      </c>
      <c r="AB1222">
        <v>20</v>
      </c>
      <c r="AC1222">
        <v>143.25389999999999</v>
      </c>
      <c r="AD1222">
        <v>0.70589499999999905</v>
      </c>
      <c r="AE1222">
        <v>-6.7415000000000296</v>
      </c>
      <c r="AF1222">
        <v>6.2941113005172502</v>
      </c>
      <c r="AG1222">
        <v>0.70589499999999905</v>
      </c>
      <c r="AH1222">
        <v>143.27077619357701</v>
      </c>
      <c r="AI1222">
        <v>89.717978037586605</v>
      </c>
      <c r="AJ1222">
        <v>87.484523428949103</v>
      </c>
      <c r="AK1222">
        <v>143.41070195743501</v>
      </c>
      <c r="AL1222">
        <v>86.562840147153395</v>
      </c>
      <c r="AM1222">
        <v>88.598919882007294</v>
      </c>
      <c r="AN1222">
        <v>0.99999997900256898</v>
      </c>
    </row>
    <row r="1223" spans="1:40" x14ac:dyDescent="0.25">
      <c r="A1223" t="str">
        <f>"20190312150654476"</f>
        <v>20190312150654476</v>
      </c>
      <c r="B1223" t="str">
        <f>"1552374414472008"</f>
        <v>1552374414472008</v>
      </c>
      <c r="C1223" t="s">
        <v>40</v>
      </c>
      <c r="D1223">
        <v>4.0933590000000004</v>
      </c>
      <c r="E1223">
        <v>0.50705270000000002</v>
      </c>
      <c r="F1223" t="s">
        <v>47</v>
      </c>
      <c r="G1223">
        <v>-158.19499999999999</v>
      </c>
      <c r="H1223">
        <v>1.735968</v>
      </c>
      <c r="I1223">
        <v>360.4803</v>
      </c>
      <c r="J1223">
        <v>-301.33850000000001</v>
      </c>
      <c r="K1223">
        <v>1.0603560000000001</v>
      </c>
      <c r="L1223">
        <v>367.24599999999998</v>
      </c>
      <c r="M1223">
        <v>0.99992380000000003</v>
      </c>
      <c r="N1223">
        <v>0</v>
      </c>
      <c r="O1223">
        <v>-3.108937E-3</v>
      </c>
      <c r="P1223">
        <v>0.99845459999999997</v>
      </c>
      <c r="Q1223">
        <v>4.8173380000000002E-2</v>
      </c>
      <c r="R1223">
        <v>-2.7711260000000001E-2</v>
      </c>
      <c r="S1223">
        <v>3</v>
      </c>
      <c r="T1223">
        <v>1.415014E-2</v>
      </c>
      <c r="U1223">
        <v>-0.14169309999999999</v>
      </c>
      <c r="V1223">
        <v>2.4606909999999999E-2</v>
      </c>
      <c r="W1223">
        <v>6.0101340000000003E-2</v>
      </c>
      <c r="X1223">
        <v>0.99788889999999997</v>
      </c>
      <c r="Y1223">
        <v>4.4072069999999998E-2</v>
      </c>
      <c r="Z1223" s="1">
        <v>8.9222739999999896E-5</v>
      </c>
      <c r="AA1223">
        <v>0.99902829999999998</v>
      </c>
      <c r="AB1223">
        <v>20</v>
      </c>
      <c r="AC1223">
        <v>143.14349999999999</v>
      </c>
      <c r="AD1223">
        <v>0.67561199999999999</v>
      </c>
      <c r="AE1223">
        <v>-6.7656999999999803</v>
      </c>
      <c r="AF1223">
        <v>6.3204709270535897</v>
      </c>
      <c r="AG1223">
        <v>0.67561199999999999</v>
      </c>
      <c r="AH1223">
        <v>143.16066171713101</v>
      </c>
      <c r="AI1223">
        <v>89.729871612821299</v>
      </c>
      <c r="AJ1223">
        <v>87.472061879712001</v>
      </c>
      <c r="AK1223">
        <v>143.30170922777299</v>
      </c>
      <c r="AL1223">
        <v>86.554370256208102</v>
      </c>
      <c r="AM1223">
        <v>88.587431497036306</v>
      </c>
      <c r="AN1223">
        <v>0.99999996391637602</v>
      </c>
    </row>
    <row r="1224" spans="1:40" x14ac:dyDescent="0.25">
      <c r="A1224" t="str">
        <f>"20190312150654488"</f>
        <v>20190312150654488</v>
      </c>
      <c r="B1224" t="str">
        <f>"1552374414481768"</f>
        <v>1552374414481768</v>
      </c>
      <c r="C1224" t="s">
        <v>40</v>
      </c>
      <c r="D1224">
        <v>4.105893</v>
      </c>
      <c r="E1224">
        <v>0.50705429999999996</v>
      </c>
      <c r="F1224" t="s">
        <v>47</v>
      </c>
      <c r="G1224">
        <v>-158.19499999999999</v>
      </c>
      <c r="H1224">
        <v>1.7551129999999999</v>
      </c>
      <c r="I1224">
        <v>360.4778</v>
      </c>
      <c r="J1224">
        <v>-301.22859999999997</v>
      </c>
      <c r="K1224">
        <v>1.0603469999999999</v>
      </c>
      <c r="L1224">
        <v>367.24560000000002</v>
      </c>
      <c r="M1224">
        <v>0.9999247</v>
      </c>
      <c r="N1224">
        <v>0</v>
      </c>
      <c r="O1224">
        <v>-3.0959989999999999E-3</v>
      </c>
      <c r="P1224">
        <v>0.99845600000000001</v>
      </c>
      <c r="Q1224">
        <v>4.808722E-2</v>
      </c>
      <c r="R1224">
        <v>-2.780616E-2</v>
      </c>
      <c r="S1224">
        <v>2.9999690000000001</v>
      </c>
      <c r="T1224">
        <v>1.456237E-2</v>
      </c>
      <c r="U1224">
        <v>-0.14184569999999999</v>
      </c>
      <c r="V1224">
        <v>2.4714750000000001E-2</v>
      </c>
      <c r="W1224">
        <v>5.9944740000000003E-2</v>
      </c>
      <c r="X1224">
        <v>0.99789570000000005</v>
      </c>
      <c r="Y1224">
        <v>4.4136149999999999E-2</v>
      </c>
      <c r="Z1224" s="1">
        <v>9.2040989999999994E-5</v>
      </c>
      <c r="AA1224">
        <v>0.99902550000000001</v>
      </c>
      <c r="AB1224">
        <v>20</v>
      </c>
      <c r="AC1224">
        <v>143.03359999999901</v>
      </c>
      <c r="AD1224">
        <v>0.69476599999999999</v>
      </c>
      <c r="AE1224">
        <v>-6.7678000000000198</v>
      </c>
      <c r="AF1224">
        <v>6.3247555596879899</v>
      </c>
      <c r="AG1224">
        <v>0.69476599999999999</v>
      </c>
      <c r="AH1224">
        <v>143.05050138818001</v>
      </c>
      <c r="AI1224">
        <v>89.722000300953695</v>
      </c>
      <c r="AJ1224">
        <v>87.468404922574294</v>
      </c>
      <c r="AK1224">
        <v>143.191938251056</v>
      </c>
      <c r="AL1224">
        <v>86.563359138858203</v>
      </c>
      <c r="AM1224">
        <v>88.581253091760402</v>
      </c>
      <c r="AN1224">
        <v>1.00000000939986</v>
      </c>
    </row>
    <row r="1225" spans="1:40" x14ac:dyDescent="0.25">
      <c r="A1225" t="str">
        <f>"20190312150654500"</f>
        <v>20190312150654500</v>
      </c>
      <c r="B1225" t="str">
        <f>"1552374414491529"</f>
        <v>1552374414491529</v>
      </c>
      <c r="C1225" t="s">
        <v>40</v>
      </c>
      <c r="D1225">
        <v>4.1027040000000001</v>
      </c>
      <c r="E1225">
        <v>0.50705429999999996</v>
      </c>
      <c r="F1225" t="s">
        <v>47</v>
      </c>
      <c r="G1225">
        <v>-158.19499999999999</v>
      </c>
      <c r="H1225">
        <v>1.7348920000000001</v>
      </c>
      <c r="I1225">
        <v>360.46820000000002</v>
      </c>
      <c r="J1225">
        <v>-301.1139</v>
      </c>
      <c r="K1225">
        <v>1.060341</v>
      </c>
      <c r="L1225">
        <v>367.24529999999999</v>
      </c>
      <c r="M1225">
        <v>0.99992559999999997</v>
      </c>
      <c r="N1225">
        <v>0</v>
      </c>
      <c r="O1225">
        <v>-3.0821020000000002E-3</v>
      </c>
      <c r="P1225">
        <v>0.99844900000000003</v>
      </c>
      <c r="Q1225">
        <v>4.8187479999999998E-2</v>
      </c>
      <c r="R1225">
        <v>-2.7890640000000001E-2</v>
      </c>
      <c r="S1225">
        <v>3</v>
      </c>
      <c r="T1225">
        <v>1.4149790000000001E-2</v>
      </c>
      <c r="U1225">
        <v>-0.1421509</v>
      </c>
      <c r="V1225">
        <v>2.4813290000000002E-2</v>
      </c>
      <c r="W1225">
        <v>5.9972339999999999E-2</v>
      </c>
      <c r="X1225">
        <v>0.99789159999999999</v>
      </c>
      <c r="Y1225">
        <v>4.4250980000000002E-2</v>
      </c>
      <c r="Z1225" s="1">
        <v>8.9768359999999996E-5</v>
      </c>
      <c r="AA1225">
        <v>0.99902049999999998</v>
      </c>
      <c r="AB1225">
        <v>21</v>
      </c>
      <c r="AC1225">
        <v>142.91890000000001</v>
      </c>
      <c r="AD1225">
        <v>0.67455099999999901</v>
      </c>
      <c r="AE1225">
        <v>-6.7770999999999599</v>
      </c>
      <c r="AF1225">
        <v>6.3364056592513203</v>
      </c>
      <c r="AG1225">
        <v>0.67455099999999901</v>
      </c>
      <c r="AH1225">
        <v>142.935933260947</v>
      </c>
      <c r="AI1225">
        <v>89.729873949972301</v>
      </c>
      <c r="AJ1225">
        <v>87.461717611469098</v>
      </c>
      <c r="AK1225">
        <v>143.07790211247899</v>
      </c>
      <c r="AL1225">
        <v>86.561774938017805</v>
      </c>
      <c r="AM1225">
        <v>88.575592892110393</v>
      </c>
      <c r="AN1225">
        <v>1.0000000131381199</v>
      </c>
    </row>
    <row r="1226" spans="1:40" x14ac:dyDescent="0.25">
      <c r="A1226" t="str">
        <f>"20190312150654513"</f>
        <v>20190312150654513</v>
      </c>
      <c r="B1226" t="str">
        <f>"1552374414501289"</f>
        <v>1552374414501289</v>
      </c>
      <c r="C1226" t="s">
        <v>40</v>
      </c>
      <c r="D1226">
        <v>4.1680400000000004</v>
      </c>
      <c r="E1226">
        <v>0.5073396</v>
      </c>
      <c r="F1226" t="s">
        <v>47</v>
      </c>
      <c r="G1226">
        <v>-158.19499999999999</v>
      </c>
      <c r="H1226">
        <v>1.7487140000000001</v>
      </c>
      <c r="I1226">
        <v>360.4529</v>
      </c>
      <c r="J1226">
        <v>-301.00450000000001</v>
      </c>
      <c r="K1226">
        <v>1.060333</v>
      </c>
      <c r="L1226">
        <v>367.24489999999997</v>
      </c>
      <c r="M1226">
        <v>0.99992650000000005</v>
      </c>
      <c r="N1226">
        <v>0</v>
      </c>
      <c r="O1226">
        <v>-3.0684779999999999E-3</v>
      </c>
      <c r="P1226">
        <v>0.99843959999999998</v>
      </c>
      <c r="Q1226">
        <v>4.8231240000000002E-2</v>
      </c>
      <c r="R1226">
        <v>-2.8152859999999998E-2</v>
      </c>
      <c r="S1226">
        <v>2.9999690000000001</v>
      </c>
      <c r="T1226">
        <v>1.445127E-2</v>
      </c>
      <c r="U1226">
        <v>-0.14257810000000001</v>
      </c>
      <c r="V1226">
        <v>2.5088909999999999E-2</v>
      </c>
      <c r="W1226">
        <v>5.994903E-2</v>
      </c>
      <c r="X1226">
        <v>0.9978861</v>
      </c>
      <c r="Y1226">
        <v>4.4407009999999997E-2</v>
      </c>
      <c r="Z1226" s="1">
        <v>9.2122809999999999E-5</v>
      </c>
      <c r="AA1226">
        <v>0.9990135</v>
      </c>
      <c r="AB1226">
        <v>21</v>
      </c>
      <c r="AC1226">
        <v>142.80950000000001</v>
      </c>
      <c r="AD1226">
        <v>0.68838099999999902</v>
      </c>
      <c r="AE1226">
        <v>-6.7919999999999696</v>
      </c>
      <c r="AF1226">
        <v>6.35358277150966</v>
      </c>
      <c r="AG1226">
        <v>0.68838099999999902</v>
      </c>
      <c r="AH1226">
        <v>142.82635903910901</v>
      </c>
      <c r="AI1226">
        <v>89.7241261720864</v>
      </c>
      <c r="AJ1226">
        <v>87.452895684662707</v>
      </c>
      <c r="AK1226">
        <v>142.96926494461701</v>
      </c>
      <c r="AL1226">
        <v>86.563112878839505</v>
      </c>
      <c r="AM1226">
        <v>88.559769616496496</v>
      </c>
      <c r="AN1226">
        <v>1.0000000040880599</v>
      </c>
    </row>
    <row r="1227" spans="1:40" x14ac:dyDescent="0.25">
      <c r="A1227" t="str">
        <f>"20190312150654525"</f>
        <v>20190312150654525</v>
      </c>
      <c r="B1227" t="str">
        <f>"1552374414521785"</f>
        <v>1552374414521785</v>
      </c>
      <c r="C1227" t="s">
        <v>40</v>
      </c>
      <c r="D1227">
        <v>4.1283909999999997</v>
      </c>
      <c r="E1227">
        <v>0.5076659</v>
      </c>
      <c r="F1227" t="s">
        <v>47</v>
      </c>
      <c r="G1227">
        <v>-158.19499999999999</v>
      </c>
      <c r="H1227">
        <v>1.7571490000000001</v>
      </c>
      <c r="I1227">
        <v>360.32389999999998</v>
      </c>
      <c r="J1227">
        <v>-300.88900000000001</v>
      </c>
      <c r="K1227">
        <v>1.060325</v>
      </c>
      <c r="L1227">
        <v>367.24459999999999</v>
      </c>
      <c r="M1227">
        <v>0.99992729999999996</v>
      </c>
      <c r="N1227">
        <v>0</v>
      </c>
      <c r="O1227">
        <v>-3.0538879999999998E-3</v>
      </c>
      <c r="P1227">
        <v>0.99844489999999997</v>
      </c>
      <c r="Q1227">
        <v>4.811605E-2</v>
      </c>
      <c r="R1227">
        <v>-2.8157270000000002E-2</v>
      </c>
      <c r="S1227">
        <v>2.9998779999999998</v>
      </c>
      <c r="T1227">
        <v>1.4639259999999999E-2</v>
      </c>
      <c r="U1227">
        <v>-0.14538570000000001</v>
      </c>
      <c r="V1227">
        <v>2.5107790000000001E-2</v>
      </c>
      <c r="W1227">
        <v>5.9764820000000003E-2</v>
      </c>
      <c r="X1227">
        <v>0.99789669999999997</v>
      </c>
      <c r="Y1227">
        <v>4.535583E-2</v>
      </c>
      <c r="Z1227" s="1">
        <v>9.5706860000000001E-5</v>
      </c>
      <c r="AA1227">
        <v>0.99897089999999999</v>
      </c>
      <c r="AB1227">
        <v>21</v>
      </c>
      <c r="AC1227">
        <v>142.69399999999999</v>
      </c>
      <c r="AD1227">
        <v>0.696824</v>
      </c>
      <c r="AE1227">
        <v>-6.9207000000000098</v>
      </c>
      <c r="AF1227">
        <v>6.4847123004321299</v>
      </c>
      <c r="AG1227">
        <v>0.696824</v>
      </c>
      <c r="AH1227">
        <v>142.71107573749001</v>
      </c>
      <c r="AI1227">
        <v>89.720529020218294</v>
      </c>
      <c r="AJ1227">
        <v>87.398301116930796</v>
      </c>
      <c r="AK1227">
        <v>142.860030083498</v>
      </c>
      <c r="AL1227">
        <v>86.5736863794952</v>
      </c>
      <c r="AM1227">
        <v>88.558701569631594</v>
      </c>
      <c r="AN1227">
        <v>1.0000000293496001</v>
      </c>
    </row>
    <row r="1228" spans="1:40" x14ac:dyDescent="0.25">
      <c r="A1228" t="str">
        <f>"20190312150654540"</f>
        <v>20190312150654540</v>
      </c>
      <c r="B1228" t="str">
        <f>"1552374414531546"</f>
        <v>1552374414531546</v>
      </c>
      <c r="C1228" t="s">
        <v>40</v>
      </c>
      <c r="D1228">
        <v>4.1053819999999996</v>
      </c>
      <c r="E1228">
        <v>0.50782870000000002</v>
      </c>
      <c r="F1228" t="s">
        <v>47</v>
      </c>
      <c r="G1228">
        <v>-158.19499999999999</v>
      </c>
      <c r="H1228">
        <v>1.684274</v>
      </c>
      <c r="I1228">
        <v>360.2029</v>
      </c>
      <c r="J1228">
        <v>-300.74930000000001</v>
      </c>
      <c r="K1228">
        <v>1.0603209999999901</v>
      </c>
      <c r="L1228">
        <v>367.24419999999998</v>
      </c>
      <c r="M1228">
        <v>0.9999285</v>
      </c>
      <c r="N1228">
        <v>0</v>
      </c>
      <c r="O1228">
        <v>-3.03638E-3</v>
      </c>
      <c r="P1228">
        <v>0.99843479999999996</v>
      </c>
      <c r="Q1228">
        <v>4.8012119999999998E-2</v>
      </c>
      <c r="R1228">
        <v>-2.8693639999999999E-2</v>
      </c>
      <c r="S1228">
        <v>2.9998779999999998</v>
      </c>
      <c r="T1228">
        <v>1.3119219999999999E-2</v>
      </c>
      <c r="U1228">
        <v>-0.1480408</v>
      </c>
      <c r="V1228">
        <v>2.5661690000000001E-2</v>
      </c>
      <c r="W1228">
        <v>5.9581090000000003E-2</v>
      </c>
      <c r="X1228">
        <v>0.99789360000000005</v>
      </c>
      <c r="Y1228">
        <v>4.6255419999999998E-2</v>
      </c>
      <c r="Z1228" s="1">
        <v>8.780998E-5</v>
      </c>
      <c r="AA1228">
        <v>0.99892959999999997</v>
      </c>
      <c r="AB1228">
        <v>21</v>
      </c>
      <c r="AC1228">
        <v>142.55430000000001</v>
      </c>
      <c r="AD1228">
        <v>0.62395299999999998</v>
      </c>
      <c r="AE1228">
        <v>-7.0412999999999704</v>
      </c>
      <c r="AF1228">
        <v>6.6082632650634503</v>
      </c>
      <c r="AG1228">
        <v>0.62395299999999998</v>
      </c>
      <c r="AH1228">
        <v>142.572299548079</v>
      </c>
      <c r="AI1228">
        <v>89.749521426462806</v>
      </c>
      <c r="AJ1228">
        <v>87.346224999630294</v>
      </c>
      <c r="AK1228">
        <v>142.726728608043</v>
      </c>
      <c r="AL1228">
        <v>86.584232137182795</v>
      </c>
      <c r="AM1228">
        <v>88.526914539263103</v>
      </c>
      <c r="AN1228">
        <v>1.0000000327701</v>
      </c>
    </row>
    <row r="1229" spans="1:40" x14ac:dyDescent="0.25">
      <c r="A1229" t="str">
        <f>"20190312150654552"</f>
        <v>20190312150654552</v>
      </c>
      <c r="B1229" t="str">
        <f>"1552374414541305"</f>
        <v>1552374414541305</v>
      </c>
      <c r="C1229" t="s">
        <v>40</v>
      </c>
      <c r="D1229">
        <v>4.1364530000000004</v>
      </c>
      <c r="E1229">
        <v>0.50797799999999904</v>
      </c>
      <c r="F1229" t="s">
        <v>47</v>
      </c>
      <c r="G1229">
        <v>-158.19499999999999</v>
      </c>
      <c r="H1229">
        <v>1.6476200000000001</v>
      </c>
      <c r="I1229">
        <v>360.05689999999998</v>
      </c>
      <c r="J1229">
        <v>-300.64870000000002</v>
      </c>
      <c r="K1229">
        <v>1.060316</v>
      </c>
      <c r="L1229">
        <v>367.24400000000003</v>
      </c>
      <c r="M1229">
        <v>0.99992899999999996</v>
      </c>
      <c r="N1229">
        <v>0</v>
      </c>
      <c r="O1229">
        <v>-3.0234319999999999E-3</v>
      </c>
      <c r="P1229">
        <v>0.99841990000000003</v>
      </c>
      <c r="Q1229">
        <v>4.8036049999999997E-2</v>
      </c>
      <c r="R1229">
        <v>-2.9160709999999999E-2</v>
      </c>
      <c r="S1229">
        <v>2.9998170000000002</v>
      </c>
      <c r="T1229">
        <v>1.236057E-2</v>
      </c>
      <c r="U1229">
        <v>-0.15124509999999999</v>
      </c>
      <c r="V1229">
        <v>2.6141950000000001E-2</v>
      </c>
      <c r="W1229">
        <v>5.9550150000000003E-2</v>
      </c>
      <c r="X1229">
        <v>0.99788299999999996</v>
      </c>
      <c r="Y1229">
        <v>4.7333750000000001E-2</v>
      </c>
      <c r="Z1229" s="1">
        <v>8.5005210000000005E-5</v>
      </c>
      <c r="AA1229">
        <v>0.99887910000000002</v>
      </c>
      <c r="AB1229">
        <v>21</v>
      </c>
      <c r="AC1229">
        <v>142.4537</v>
      </c>
      <c r="AD1229">
        <v>0.58730400000000005</v>
      </c>
      <c r="AE1229">
        <v>-7.18710000000004</v>
      </c>
      <c r="AF1229">
        <v>6.7562249128343597</v>
      </c>
      <c r="AG1229">
        <v>0.58730400000000005</v>
      </c>
      <c r="AH1229">
        <v>142.472364480251</v>
      </c>
      <c r="AI1229">
        <v>89.764080012413601</v>
      </c>
      <c r="AJ1229">
        <v>87.284993512155197</v>
      </c>
      <c r="AK1229">
        <v>142.633678146694</v>
      </c>
      <c r="AL1229">
        <v>86.586008086869001</v>
      </c>
      <c r="AM1229">
        <v>88.499342217409605</v>
      </c>
      <c r="AN1229">
        <v>1.0000000518019101</v>
      </c>
    </row>
    <row r="1230" spans="1:40" x14ac:dyDescent="0.25">
      <c r="A1230" t="str">
        <f>"20190312150654561"</f>
        <v>20190312150654561</v>
      </c>
      <c r="B1230" t="str">
        <f>"1552374414552041"</f>
        <v>1552374414552041</v>
      </c>
      <c r="C1230" t="s">
        <v>40</v>
      </c>
      <c r="D1230">
        <v>4.1124660000000004</v>
      </c>
      <c r="E1230">
        <v>0.5081251</v>
      </c>
      <c r="F1230" t="s">
        <v>47</v>
      </c>
      <c r="G1230">
        <v>-158.19499999999999</v>
      </c>
      <c r="H1230">
        <v>1.628628</v>
      </c>
      <c r="I1230">
        <v>359.94400000000002</v>
      </c>
      <c r="J1230">
        <v>-300.5514</v>
      </c>
      <c r="K1230">
        <v>1.0603119999999999</v>
      </c>
      <c r="L1230">
        <v>367.24369999999999</v>
      </c>
      <c r="M1230">
        <v>0.99992959999999997</v>
      </c>
      <c r="N1230">
        <v>0</v>
      </c>
      <c r="O1230">
        <v>-3.0109809999999998E-3</v>
      </c>
      <c r="P1230">
        <v>0.99841409999999997</v>
      </c>
      <c r="Q1230">
        <v>4.8020769999999997E-2</v>
      </c>
      <c r="R1230">
        <v>-2.9384500000000001E-2</v>
      </c>
      <c r="S1230">
        <v>2.999695</v>
      </c>
      <c r="T1230">
        <v>1.1968970000000001E-2</v>
      </c>
      <c r="U1230">
        <v>-0.15371699999999999</v>
      </c>
      <c r="V1230">
        <v>2.637811E-2</v>
      </c>
      <c r="W1230">
        <v>5.9483979999999999E-2</v>
      </c>
      <c r="X1230">
        <v>0.99788069999999895</v>
      </c>
      <c r="Y1230">
        <v>4.8169259999999998E-2</v>
      </c>
      <c r="Z1230" s="1">
        <v>8.4029159999999894E-5</v>
      </c>
      <c r="AA1230">
        <v>0.99883920000000004</v>
      </c>
      <c r="AB1230">
        <v>21</v>
      </c>
      <c r="AC1230">
        <v>142.35640000000001</v>
      </c>
      <c r="AD1230">
        <v>0.56831599999999904</v>
      </c>
      <c r="AE1230">
        <v>-7.2996999999999703</v>
      </c>
      <c r="AF1230">
        <v>6.8708970367689801</v>
      </c>
      <c r="AG1230">
        <v>0.56831599999999904</v>
      </c>
      <c r="AH1230">
        <v>142.37547212989401</v>
      </c>
      <c r="AI1230">
        <v>89.771561182106097</v>
      </c>
      <c r="AJ1230">
        <v>87.237106859280402</v>
      </c>
      <c r="AK1230">
        <v>142.54229994417801</v>
      </c>
      <c r="AL1230">
        <v>86.589805972566893</v>
      </c>
      <c r="AM1230">
        <v>88.485788435720707</v>
      </c>
      <c r="AN1230">
        <v>1.00000001999815</v>
      </c>
    </row>
    <row r="1231" spans="1:40" x14ac:dyDescent="0.25">
      <c r="A1231" t="str">
        <f>"20190312150654572"</f>
        <v>20190312150654572</v>
      </c>
      <c r="B1231" t="str">
        <f>"1552374414561801"</f>
        <v>1552374414561801</v>
      </c>
      <c r="C1231" t="s">
        <v>40</v>
      </c>
      <c r="D1231">
        <v>4.1508849999999997</v>
      </c>
      <c r="E1231">
        <v>0.50825849999999995</v>
      </c>
      <c r="F1231" t="s">
        <v>47</v>
      </c>
      <c r="G1231">
        <v>-158.19499999999999</v>
      </c>
      <c r="H1231">
        <v>1.6037840000000001</v>
      </c>
      <c r="I1231">
        <v>359.86309999999997</v>
      </c>
      <c r="J1231">
        <v>-300.45319999999998</v>
      </c>
      <c r="K1231">
        <v>1.0603089999999999</v>
      </c>
      <c r="L1231">
        <v>367.24340000000001</v>
      </c>
      <c r="M1231">
        <v>0.99993019999999999</v>
      </c>
      <c r="N1231">
        <v>0</v>
      </c>
      <c r="O1231">
        <v>-2.9985480000000002E-3</v>
      </c>
      <c r="P1231">
        <v>0.99839750000000005</v>
      </c>
      <c r="Q1231">
        <v>4.8144949999999999E-2</v>
      </c>
      <c r="R1231">
        <v>-2.9742290000000001E-2</v>
      </c>
      <c r="S1231">
        <v>2.9996339999999999</v>
      </c>
      <c r="T1231">
        <v>1.145351E-2</v>
      </c>
      <c r="U1231">
        <v>-0.15551760000000001</v>
      </c>
      <c r="V1231">
        <v>2.674847E-2</v>
      </c>
      <c r="W1231">
        <v>5.9560620000000002E-2</v>
      </c>
      <c r="X1231">
        <v>0.99786629999999998</v>
      </c>
      <c r="Y1231">
        <v>4.8780690000000002E-2</v>
      </c>
      <c r="Z1231" s="1">
        <v>8.162473E-5</v>
      </c>
      <c r="AA1231">
        <v>0.99880950000000002</v>
      </c>
      <c r="AB1231">
        <v>21</v>
      </c>
      <c r="AC1231">
        <v>142.25819999999999</v>
      </c>
      <c r="AD1231">
        <v>0.54347500000000004</v>
      </c>
      <c r="AE1231">
        <v>-7.3803000000000303</v>
      </c>
      <c r="AF1231">
        <v>6.9535697018188802</v>
      </c>
      <c r="AG1231">
        <v>0.54347500000000004</v>
      </c>
      <c r="AH1231">
        <v>142.277621031834</v>
      </c>
      <c r="AI1231">
        <v>89.781402372937805</v>
      </c>
      <c r="AJ1231">
        <v>87.201995409070193</v>
      </c>
      <c r="AK1231">
        <v>142.44847820581299</v>
      </c>
      <c r="AL1231">
        <v>86.585407128567397</v>
      </c>
      <c r="AM1231">
        <v>88.464516214537994</v>
      </c>
      <c r="AN1231">
        <v>1.0000000503888999</v>
      </c>
    </row>
    <row r="1232" spans="1:40" x14ac:dyDescent="0.25">
      <c r="A1232" t="str">
        <f>"20190312150654583"</f>
        <v>20190312150654583</v>
      </c>
      <c r="B1232" t="str">
        <f>"1552374414571561"</f>
        <v>1552374414571561</v>
      </c>
      <c r="C1232" t="s">
        <v>40</v>
      </c>
      <c r="D1232">
        <v>4.4522930000000001</v>
      </c>
      <c r="E1232">
        <v>0.50838799999999995</v>
      </c>
      <c r="F1232" t="s">
        <v>47</v>
      </c>
      <c r="G1232">
        <v>-158.19499999999999</v>
      </c>
      <c r="H1232">
        <v>1.5948850000000001</v>
      </c>
      <c r="I1232">
        <v>359.7636</v>
      </c>
      <c r="J1232">
        <v>-300.35140000000001</v>
      </c>
      <c r="K1232">
        <v>1.060306</v>
      </c>
      <c r="L1232">
        <v>367.24310000000003</v>
      </c>
      <c r="M1232">
        <v>0.99993069999999895</v>
      </c>
      <c r="N1232">
        <v>0</v>
      </c>
      <c r="O1232">
        <v>-2.9857529999999998E-3</v>
      </c>
      <c r="P1232">
        <v>0.99839290000000003</v>
      </c>
      <c r="Q1232">
        <v>4.8101049999999999E-2</v>
      </c>
      <c r="R1232">
        <v>-2.9968270000000002E-2</v>
      </c>
      <c r="S1232">
        <v>2.9995729999999998</v>
      </c>
      <c r="T1232">
        <v>1.127362E-2</v>
      </c>
      <c r="U1232">
        <v>-0.15771479999999999</v>
      </c>
      <c r="V1232">
        <v>2.698712E-2</v>
      </c>
      <c r="W1232">
        <v>5.9467800000000001E-2</v>
      </c>
      <c r="X1232">
        <v>0.99786540000000001</v>
      </c>
      <c r="Y1232">
        <v>4.9524180000000001E-2</v>
      </c>
      <c r="Z1232" s="1">
        <v>8.1787119999999895E-5</v>
      </c>
      <c r="AA1232">
        <v>0.99877289999999996</v>
      </c>
      <c r="AB1232">
        <v>21</v>
      </c>
      <c r="AC1232">
        <v>142.15639999999999</v>
      </c>
      <c r="AD1232">
        <v>0.53457900000000003</v>
      </c>
      <c r="AE1232">
        <v>-7.47950000000003</v>
      </c>
      <c r="AF1232">
        <v>7.05489574493373</v>
      </c>
      <c r="AG1232">
        <v>0.53457900000000003</v>
      </c>
      <c r="AH1232">
        <v>142.17609464995701</v>
      </c>
      <c r="AI1232">
        <v>89.784834867230302</v>
      </c>
      <c r="AJ1232">
        <v>87.159265877997001</v>
      </c>
      <c r="AK1232">
        <v>142.35202569191901</v>
      </c>
      <c r="AL1232">
        <v>86.590734731235599</v>
      </c>
      <c r="AM1232">
        <v>88.450821869396904</v>
      </c>
      <c r="AN1232">
        <v>1.00000004019994</v>
      </c>
    </row>
    <row r="1233" spans="1:40" x14ac:dyDescent="0.25">
      <c r="A1233" t="str">
        <f>"20190312150654595"</f>
        <v>20190312150654595</v>
      </c>
      <c r="B1233" t="str">
        <f>"1552374414592057"</f>
        <v>1552374414592057</v>
      </c>
      <c r="C1233" t="s">
        <v>40</v>
      </c>
      <c r="D1233">
        <v>4.1280020000000004</v>
      </c>
      <c r="E1233">
        <v>0.50866</v>
      </c>
      <c r="F1233" t="s">
        <v>47</v>
      </c>
      <c r="G1233">
        <v>-158.19499999999999</v>
      </c>
      <c r="H1233">
        <v>1.580139</v>
      </c>
      <c r="I1233">
        <v>359.68180000000001</v>
      </c>
      <c r="J1233">
        <v>-300.2473</v>
      </c>
      <c r="K1233">
        <v>1.0603039999999999</v>
      </c>
      <c r="L1233">
        <v>367.24279999999999</v>
      </c>
      <c r="M1233">
        <v>0.99993129999999997</v>
      </c>
      <c r="N1233">
        <v>0</v>
      </c>
      <c r="O1233">
        <v>-2.9728609999999998E-3</v>
      </c>
      <c r="P1233">
        <v>0.99836899999999995</v>
      </c>
      <c r="Q1233">
        <v>4.8408310000000003E-2</v>
      </c>
      <c r="R1233">
        <v>-3.0271860000000001E-2</v>
      </c>
      <c r="S1233">
        <v>2.9995419999999999</v>
      </c>
      <c r="T1233">
        <v>1.097047E-2</v>
      </c>
      <c r="U1233">
        <v>-0.15954589999999999</v>
      </c>
      <c r="V1233">
        <v>2.730372E-2</v>
      </c>
      <c r="W1233">
        <v>5.9729589999999999E-2</v>
      </c>
      <c r="X1233">
        <v>0.99784110000000004</v>
      </c>
      <c r="Y1233">
        <v>5.0145589999999997E-2</v>
      </c>
      <c r="Z1233" s="1">
        <v>8.0770109999999995E-5</v>
      </c>
      <c r="AA1233">
        <v>0.99874189999999996</v>
      </c>
      <c r="AB1233">
        <v>21</v>
      </c>
      <c r="AC1233">
        <v>142.0523</v>
      </c>
      <c r="AD1233">
        <v>0.51983499999999905</v>
      </c>
      <c r="AE1233">
        <v>-7.5609999999999697</v>
      </c>
      <c r="AF1233">
        <v>7.1385423668104497</v>
      </c>
      <c r="AG1233">
        <v>0.51983499999999905</v>
      </c>
      <c r="AH1233">
        <v>142.07225423402801</v>
      </c>
      <c r="AI1233">
        <v>89.790622786593303</v>
      </c>
      <c r="AJ1233">
        <v>87.123543427398204</v>
      </c>
      <c r="AK1233">
        <v>142.25243210113601</v>
      </c>
      <c r="AL1233">
        <v>86.575708383714399</v>
      </c>
      <c r="AM1233">
        <v>88.432618514599497</v>
      </c>
      <c r="AN1233">
        <v>0.99999998894830799</v>
      </c>
    </row>
    <row r="1234" spans="1:40" x14ac:dyDescent="0.25">
      <c r="A1234" t="str">
        <f>"20190312150654607"</f>
        <v>20190312150654607</v>
      </c>
      <c r="B1234" t="str">
        <f>"1552374414601817"</f>
        <v>1552374414601817</v>
      </c>
      <c r="C1234" t="s">
        <v>40</v>
      </c>
      <c r="D1234">
        <v>4.1176529999999998</v>
      </c>
      <c r="E1234">
        <v>0.50879529999999995</v>
      </c>
      <c r="F1234" t="s">
        <v>47</v>
      </c>
      <c r="G1234">
        <v>-158.19499999999999</v>
      </c>
      <c r="H1234">
        <v>1.589132</v>
      </c>
      <c r="I1234">
        <v>359.54079999999999</v>
      </c>
      <c r="J1234">
        <v>-300.14120000000003</v>
      </c>
      <c r="K1234">
        <v>1.060298</v>
      </c>
      <c r="L1234">
        <v>367.24250000000001</v>
      </c>
      <c r="M1234">
        <v>0.99993189999999998</v>
      </c>
      <c r="N1234">
        <v>0</v>
      </c>
      <c r="O1234">
        <v>-2.9596129999999998E-3</v>
      </c>
      <c r="P1234">
        <v>0.99835620000000003</v>
      </c>
      <c r="Q1234">
        <v>4.8644189999999997E-2</v>
      </c>
      <c r="R1234">
        <v>-3.0317650000000002E-2</v>
      </c>
      <c r="S1234">
        <v>2.9994510000000001</v>
      </c>
      <c r="T1234">
        <v>1.116812E-2</v>
      </c>
      <c r="U1234">
        <v>-0.1626282</v>
      </c>
      <c r="V1234">
        <v>2.7362589999999999E-2</v>
      </c>
      <c r="W1234">
        <v>5.9920929999999997E-2</v>
      </c>
      <c r="X1234">
        <v>0.99782800000000005</v>
      </c>
      <c r="Y1234">
        <v>5.1183770000000003E-2</v>
      </c>
      <c r="Z1234" s="1">
        <v>8.4206159999999997E-5</v>
      </c>
      <c r="AA1234">
        <v>0.99868920000000005</v>
      </c>
      <c r="AB1234">
        <v>21</v>
      </c>
      <c r="AC1234">
        <v>141.9462</v>
      </c>
      <c r="AD1234">
        <v>0.52883400000000003</v>
      </c>
      <c r="AE1234">
        <v>-7.7017000000000104</v>
      </c>
      <c r="AF1234">
        <v>7.2814329051156399</v>
      </c>
      <c r="AG1234">
        <v>0.52883400000000003</v>
      </c>
      <c r="AH1234">
        <v>141.966409030411</v>
      </c>
      <c r="AI1234">
        <v>89.786850698732707</v>
      </c>
      <c r="AJ1234">
        <v>87.063882067171605</v>
      </c>
      <c r="AK1234">
        <v>142.15400178518101</v>
      </c>
      <c r="AL1234">
        <v>86.564725684190194</v>
      </c>
      <c r="AM1234">
        <v>88.429220137389805</v>
      </c>
      <c r="AN1234">
        <v>0.99999997338378599</v>
      </c>
    </row>
    <row r="1235" spans="1:40" x14ac:dyDescent="0.25">
      <c r="A1235" t="str">
        <f>"20190312150654618"</f>
        <v>20190312150654618</v>
      </c>
      <c r="B1235" t="str">
        <f>"1552374414611577"</f>
        <v>1552374414611577</v>
      </c>
      <c r="C1235" t="s">
        <v>40</v>
      </c>
      <c r="D1235">
        <v>4.1348159999999998</v>
      </c>
      <c r="E1235">
        <v>0.50892349999999997</v>
      </c>
      <c r="F1235" t="s">
        <v>47</v>
      </c>
      <c r="G1235">
        <v>-158.19499999999999</v>
      </c>
      <c r="H1235">
        <v>1.600894</v>
      </c>
      <c r="I1235">
        <v>359.49130000000002</v>
      </c>
      <c r="J1235">
        <v>-300.03440000000001</v>
      </c>
      <c r="K1235">
        <v>1.060295</v>
      </c>
      <c r="L1235">
        <v>367.24220000000003</v>
      </c>
      <c r="M1235">
        <v>0.99993240000000005</v>
      </c>
      <c r="N1235">
        <v>0</v>
      </c>
      <c r="O1235">
        <v>-2.9463850000000001E-3</v>
      </c>
      <c r="P1235">
        <v>0.99835940000000001</v>
      </c>
      <c r="Q1235">
        <v>4.8629190000000003E-2</v>
      </c>
      <c r="R1235">
        <v>-3.0231770000000002E-2</v>
      </c>
      <c r="S1235">
        <v>2.9994200000000002</v>
      </c>
      <c r="T1235">
        <v>1.1425019999999999E-2</v>
      </c>
      <c r="U1235">
        <v>-0.16378779999999901</v>
      </c>
      <c r="V1235">
        <v>2.7290189999999999E-2</v>
      </c>
      <c r="W1235">
        <v>5.9864769999999998E-2</v>
      </c>
      <c r="X1235">
        <v>0.99783339999999998</v>
      </c>
      <c r="Y1235">
        <v>5.1582490000000002E-2</v>
      </c>
      <c r="Z1235" s="1">
        <v>8.6952219999999897E-5</v>
      </c>
      <c r="AA1235">
        <v>0.99866869999999996</v>
      </c>
      <c r="AB1235">
        <v>21</v>
      </c>
      <c r="AC1235">
        <v>141.83940000000001</v>
      </c>
      <c r="AD1235">
        <v>0.54059899999999905</v>
      </c>
      <c r="AE1235">
        <v>-7.7508999999999997</v>
      </c>
      <c r="AF1235">
        <v>7.3328202310631303</v>
      </c>
      <c r="AG1235">
        <v>0.54059899999999905</v>
      </c>
      <c r="AH1235">
        <v>141.85956826653899</v>
      </c>
      <c r="AI1235">
        <v>89.781949186226697</v>
      </c>
      <c r="AJ1235">
        <v>87.0409746716537</v>
      </c>
      <c r="AK1235">
        <v>142.04998982255799</v>
      </c>
      <c r="AL1235">
        <v>86.567949361075307</v>
      </c>
      <c r="AM1235">
        <v>88.433382739743195</v>
      </c>
      <c r="AN1235">
        <v>1.00000001965647</v>
      </c>
    </row>
    <row r="1236" spans="1:40" x14ac:dyDescent="0.25">
      <c r="A1236" t="str">
        <f>"20190312150654630"</f>
        <v>20190312150654630</v>
      </c>
      <c r="B1236" t="str">
        <f>"1552374414621338"</f>
        <v>1552374414621338</v>
      </c>
      <c r="C1236" t="s">
        <v>40</v>
      </c>
      <c r="D1236">
        <v>4.4765319999999997</v>
      </c>
      <c r="E1236">
        <v>0.50905579999999995</v>
      </c>
      <c r="F1236" t="s">
        <v>47</v>
      </c>
      <c r="G1236">
        <v>-158.19499999999999</v>
      </c>
      <c r="H1236">
        <v>1.57325</v>
      </c>
      <c r="I1236">
        <v>359.45639999999997</v>
      </c>
      <c r="J1236">
        <v>-299.92869999999999</v>
      </c>
      <c r="K1236">
        <v>1.060289</v>
      </c>
      <c r="L1236">
        <v>367.24189999999999</v>
      </c>
      <c r="M1236">
        <v>0.99993290000000001</v>
      </c>
      <c r="N1236">
        <v>0</v>
      </c>
      <c r="O1236">
        <v>-2.9335289999999998E-3</v>
      </c>
      <c r="P1236">
        <v>0.99836469999999999</v>
      </c>
      <c r="Q1236">
        <v>4.8553909999999999E-2</v>
      </c>
      <c r="R1236">
        <v>-3.017746E-2</v>
      </c>
      <c r="S1236">
        <v>2.99939</v>
      </c>
      <c r="T1236">
        <v>1.0848999999999999E-2</v>
      </c>
      <c r="U1236">
        <v>-0.16464229999999899</v>
      </c>
      <c r="V1236">
        <v>2.7248540000000002E-2</v>
      </c>
      <c r="W1236">
        <v>5.9750060000000001E-2</v>
      </c>
      <c r="X1236">
        <v>0.99784139999999999</v>
      </c>
      <c r="Y1236">
        <v>5.187957E-2</v>
      </c>
      <c r="Z1236" s="1">
        <v>8.3151909999999905E-5</v>
      </c>
      <c r="AA1236">
        <v>0.99865340000000002</v>
      </c>
      <c r="AB1236">
        <v>21</v>
      </c>
      <c r="AC1236">
        <v>141.7337</v>
      </c>
      <c r="AD1236">
        <v>0.512961</v>
      </c>
      <c r="AE1236">
        <v>-7.7855000000000096</v>
      </c>
      <c r="AF1236">
        <v>7.3695642256910903</v>
      </c>
      <c r="AG1236">
        <v>0.512961</v>
      </c>
      <c r="AH1236">
        <v>141.754079311309</v>
      </c>
      <c r="AI1236">
        <v>89.792946101661997</v>
      </c>
      <c r="AJ1236">
        <v>87.023964802499606</v>
      </c>
      <c r="AK1236">
        <v>141.94644274253901</v>
      </c>
      <c r="AL1236">
        <v>86.574533499372293</v>
      </c>
      <c r="AM1236">
        <v>88.435785040354503</v>
      </c>
      <c r="AN1236">
        <v>1.0000000060780401</v>
      </c>
    </row>
    <row r="1237" spans="1:40" x14ac:dyDescent="0.25">
      <c r="A1237" t="str">
        <f>"20190312150654641"</f>
        <v>20190312150654641</v>
      </c>
      <c r="B1237" t="str">
        <f>"1552374414632073"</f>
        <v>1552374414632073</v>
      </c>
      <c r="C1237" t="s">
        <v>40</v>
      </c>
      <c r="D1237">
        <v>4.141273</v>
      </c>
      <c r="E1237">
        <v>0.50918850000000004</v>
      </c>
      <c r="F1237" t="s">
        <v>47</v>
      </c>
      <c r="G1237">
        <v>-158.19499999999999</v>
      </c>
      <c r="H1237">
        <v>1.5584579999999999</v>
      </c>
      <c r="I1237">
        <v>359.42290000000003</v>
      </c>
      <c r="J1237">
        <v>-299.81990000000002</v>
      </c>
      <c r="K1237">
        <v>1.060287</v>
      </c>
      <c r="L1237">
        <v>367.24149999999997</v>
      </c>
      <c r="M1237">
        <v>0.99993330000000002</v>
      </c>
      <c r="N1237">
        <v>0</v>
      </c>
      <c r="O1237">
        <v>-2.920321E-3</v>
      </c>
      <c r="P1237">
        <v>0.99836619999999998</v>
      </c>
      <c r="Q1237">
        <v>4.8540970000000003E-2</v>
      </c>
      <c r="R1237">
        <v>-3.0143349999999999E-2</v>
      </c>
      <c r="S1237">
        <v>2.99939</v>
      </c>
      <c r="T1237">
        <v>1.054418E-2</v>
      </c>
      <c r="U1237">
        <v>-0.16546629999999901</v>
      </c>
      <c r="V1237">
        <v>2.7227769999999998E-2</v>
      </c>
      <c r="W1237">
        <v>5.9699599999999999E-2</v>
      </c>
      <c r="X1237">
        <v>0.99784499999999998</v>
      </c>
      <c r="Y1237">
        <v>5.2166289999999997E-2</v>
      </c>
      <c r="Z1237" s="1">
        <v>8.1365030000000007E-5</v>
      </c>
      <c r="AA1237">
        <v>0.99863840000000004</v>
      </c>
      <c r="AB1237">
        <v>21</v>
      </c>
      <c r="AC1237">
        <v>141.6249</v>
      </c>
      <c r="AD1237">
        <v>0.49817099999999898</v>
      </c>
      <c r="AE1237">
        <v>-7.8185999999999396</v>
      </c>
      <c r="AF1237">
        <v>7.4048593197379802</v>
      </c>
      <c r="AG1237">
        <v>0.49817099999999898</v>
      </c>
      <c r="AH1237">
        <v>141.64538299894599</v>
      </c>
      <c r="AI1237">
        <v>89.798764671579306</v>
      </c>
      <c r="AJ1237">
        <v>87.007446958628293</v>
      </c>
      <c r="AK1237">
        <v>141.83967935951</v>
      </c>
      <c r="AL1237">
        <v>86.577429858469003</v>
      </c>
      <c r="AM1237">
        <v>88.436982396309801</v>
      </c>
      <c r="AN1237">
        <v>1.0000000188621601</v>
      </c>
    </row>
    <row r="1238" spans="1:40" x14ac:dyDescent="0.25">
      <c r="A1238" t="str">
        <f>"20190312150654651"</f>
        <v>20190312150654651</v>
      </c>
      <c r="B1238" t="str">
        <f>"1552374414641833"</f>
        <v>1552374414641833</v>
      </c>
      <c r="C1238" t="s">
        <v>40</v>
      </c>
      <c r="D1238">
        <v>4.0960890000000001</v>
      </c>
      <c r="E1238">
        <v>0.50931949999999904</v>
      </c>
      <c r="F1238" t="s">
        <v>47</v>
      </c>
      <c r="G1238">
        <v>-158.19499999999999</v>
      </c>
      <c r="H1238">
        <v>1.548602</v>
      </c>
      <c r="I1238">
        <v>359.38119999999998</v>
      </c>
      <c r="J1238">
        <v>-299.72669999999999</v>
      </c>
      <c r="K1238">
        <v>1.0602849999999999</v>
      </c>
      <c r="L1238">
        <v>367.24130000000002</v>
      </c>
      <c r="M1238">
        <v>0.99993370000000004</v>
      </c>
      <c r="N1238">
        <v>0</v>
      </c>
      <c r="O1238">
        <v>-2.9088299999999998E-3</v>
      </c>
      <c r="P1238">
        <v>0.99836579999999997</v>
      </c>
      <c r="Q1238">
        <v>4.848769E-2</v>
      </c>
      <c r="R1238">
        <v>-3.0243800000000001E-2</v>
      </c>
      <c r="S1238">
        <v>2.9994510000000001</v>
      </c>
      <c r="T1238">
        <v>1.034379E-2</v>
      </c>
      <c r="U1238">
        <v>-0.16647339999999999</v>
      </c>
      <c r="V1238">
        <v>2.7339599999999901E-2</v>
      </c>
      <c r="W1238">
        <v>5.9616790000000003E-2</v>
      </c>
      <c r="X1238">
        <v>0.99784689999999998</v>
      </c>
      <c r="Y1238">
        <v>5.2510939999999999E-2</v>
      </c>
      <c r="Z1238" s="1">
        <v>8.0449770000000001E-5</v>
      </c>
      <c r="AA1238">
        <v>0.99862030000000002</v>
      </c>
      <c r="AB1238">
        <v>21</v>
      </c>
      <c r="AC1238">
        <v>141.5317</v>
      </c>
      <c r="AD1238">
        <v>0.488316999999999</v>
      </c>
      <c r="AE1238">
        <v>-7.8601000000000401</v>
      </c>
      <c r="AF1238">
        <v>7.4482611405242602</v>
      </c>
      <c r="AG1238">
        <v>0.488316999999999</v>
      </c>
      <c r="AH1238">
        <v>141.552286397595</v>
      </c>
      <c r="AI1238">
        <v>89.802618936503507</v>
      </c>
      <c r="AJ1238">
        <v>86.987962959871396</v>
      </c>
      <c r="AK1238">
        <v>141.748950020438</v>
      </c>
      <c r="AL1238">
        <v>86.582183010939801</v>
      </c>
      <c r="AM1238">
        <v>88.430568955456806</v>
      </c>
      <c r="AN1238">
        <v>1.0000000256088299</v>
      </c>
    </row>
    <row r="1239" spans="1:40" x14ac:dyDescent="0.25">
      <c r="A1239" t="str">
        <f>"20190312150654662"</f>
        <v>20190312150654662</v>
      </c>
      <c r="B1239" t="str">
        <f>"1552374414651593"</f>
        <v>1552374414651593</v>
      </c>
      <c r="C1239" t="s">
        <v>40</v>
      </c>
      <c r="D1239">
        <v>4.1004300000000002</v>
      </c>
      <c r="E1239">
        <v>0.50944999999999996</v>
      </c>
      <c r="F1239" t="s">
        <v>47</v>
      </c>
      <c r="G1239">
        <v>-158.19499999999999</v>
      </c>
      <c r="H1239">
        <v>1.5327</v>
      </c>
      <c r="I1239">
        <v>359.32679999999999</v>
      </c>
      <c r="J1239">
        <v>-299.6266</v>
      </c>
      <c r="K1239">
        <v>1.060281</v>
      </c>
      <c r="L1239">
        <v>367.24099999999999</v>
      </c>
      <c r="M1239">
        <v>0.99993399999999999</v>
      </c>
      <c r="N1239">
        <v>0</v>
      </c>
      <c r="O1239">
        <v>-2.896498E-3</v>
      </c>
      <c r="P1239">
        <v>0.99837529999999997</v>
      </c>
      <c r="Q1239">
        <v>4.8255640000000002E-2</v>
      </c>
      <c r="R1239">
        <v>-3.0304250000000001E-2</v>
      </c>
      <c r="S1239">
        <v>2.9993590000000001</v>
      </c>
      <c r="T1239">
        <v>1.0013340000000001E-2</v>
      </c>
      <c r="U1239">
        <v>-0.1677246</v>
      </c>
      <c r="V1239">
        <v>2.741213E-2</v>
      </c>
      <c r="W1239">
        <v>5.9354030000000002E-2</v>
      </c>
      <c r="X1239">
        <v>0.99786059999999999</v>
      </c>
      <c r="Y1239">
        <v>5.2940250000000001E-2</v>
      </c>
      <c r="Z1239" s="1">
        <v>7.863836E-5</v>
      </c>
      <c r="AA1239">
        <v>0.99859770000000003</v>
      </c>
      <c r="AB1239">
        <v>21</v>
      </c>
      <c r="AC1239">
        <v>141.4316</v>
      </c>
      <c r="AD1239">
        <v>0.47241899999999898</v>
      </c>
      <c r="AE1239">
        <v>-7.9141999999999904</v>
      </c>
      <c r="AF1239">
        <v>7.5044016620595997</v>
      </c>
      <c r="AG1239">
        <v>0.47241899999999898</v>
      </c>
      <c r="AH1239">
        <v>141.45235821264399</v>
      </c>
      <c r="AI1239">
        <v>89.808914440256203</v>
      </c>
      <c r="AJ1239">
        <v>86.963162477404197</v>
      </c>
      <c r="AK1239">
        <v>141.652069762271</v>
      </c>
      <c r="AL1239">
        <v>86.597264844583904</v>
      </c>
      <c r="AM1239">
        <v>88.426429051540396</v>
      </c>
      <c r="AN1239">
        <v>1.00000005139036</v>
      </c>
    </row>
    <row r="1240" spans="1:40" x14ac:dyDescent="0.25">
      <c r="A1240" t="str">
        <f>"20190312150654674"</f>
        <v>20190312150654674</v>
      </c>
      <c r="B1240" t="str">
        <f>"1552374414661353"</f>
        <v>1552374414661353</v>
      </c>
      <c r="C1240" t="s">
        <v>40</v>
      </c>
      <c r="D1240">
        <v>4.3248160000000002</v>
      </c>
      <c r="E1240">
        <v>0.50957589999999997</v>
      </c>
      <c r="F1240" t="s">
        <v>47</v>
      </c>
      <c r="G1240">
        <v>-158.19499999999999</v>
      </c>
      <c r="H1240">
        <v>1.491555</v>
      </c>
      <c r="I1240">
        <v>359.27440000000001</v>
      </c>
      <c r="J1240">
        <v>-299.52449999999999</v>
      </c>
      <c r="K1240">
        <v>1.060279</v>
      </c>
      <c r="L1240">
        <v>367.24079999999998</v>
      </c>
      <c r="M1240">
        <v>0.9999344</v>
      </c>
      <c r="N1240">
        <v>0</v>
      </c>
      <c r="O1240">
        <v>-2.8839429999999999E-3</v>
      </c>
      <c r="P1240">
        <v>0.99838749999999998</v>
      </c>
      <c r="Q1240">
        <v>4.8003499999999998E-2</v>
      </c>
      <c r="R1240">
        <v>-3.0303170000000001E-2</v>
      </c>
      <c r="S1240">
        <v>2.999298</v>
      </c>
      <c r="T1240">
        <v>9.1477629999999997E-3</v>
      </c>
      <c r="U1240">
        <v>-0.16894529999999999</v>
      </c>
      <c r="V1240">
        <v>2.7423449999999999E-2</v>
      </c>
      <c r="W1240">
        <v>5.9074149999999999E-2</v>
      </c>
      <c r="X1240">
        <v>0.99787680000000001</v>
      </c>
      <c r="Y1240">
        <v>5.3359120000000003E-2</v>
      </c>
      <c r="Z1240" s="1">
        <v>7.2517880000000004E-5</v>
      </c>
      <c r="AA1240">
        <v>0.9985754</v>
      </c>
      <c r="AB1240">
        <v>21</v>
      </c>
      <c r="AC1240">
        <v>141.3295</v>
      </c>
      <c r="AD1240">
        <v>0.43127599999999899</v>
      </c>
      <c r="AE1240">
        <v>-7.9663999999999602</v>
      </c>
      <c r="AF1240">
        <v>7.5586854368799203</v>
      </c>
      <c r="AG1240">
        <v>0.43127599999999899</v>
      </c>
      <c r="AH1240">
        <v>141.350576160408</v>
      </c>
      <c r="AI1240">
        <v>89.825434289828706</v>
      </c>
      <c r="AJ1240">
        <v>86.939038469483293</v>
      </c>
      <c r="AK1240">
        <v>141.55318825586801</v>
      </c>
      <c r="AL1240">
        <v>86.613328645326504</v>
      </c>
      <c r="AM1240">
        <v>88.425805106864303</v>
      </c>
      <c r="AN1240">
        <v>0.99999995439318101</v>
      </c>
    </row>
    <row r="1241" spans="1:40" x14ac:dyDescent="0.25">
      <c r="A1241" t="str">
        <f>"20190312150654686"</f>
        <v>20190312150654686</v>
      </c>
      <c r="B1241" t="str">
        <f>"1552374414681848"</f>
        <v>1552374414681848</v>
      </c>
      <c r="C1241" t="s">
        <v>40</v>
      </c>
      <c r="D1241">
        <v>4.1122100000000001</v>
      </c>
      <c r="E1241">
        <v>0.50982090000000002</v>
      </c>
      <c r="F1241" t="s">
        <v>47</v>
      </c>
      <c r="G1241">
        <v>-158.19499999999999</v>
      </c>
      <c r="H1241">
        <v>1.449568</v>
      </c>
      <c r="I1241">
        <v>359.24110000000002</v>
      </c>
      <c r="J1241">
        <v>-299.40780000000001</v>
      </c>
      <c r="K1241">
        <v>1.0602750000000001</v>
      </c>
      <c r="L1241">
        <v>367.24040000000002</v>
      </c>
      <c r="M1241">
        <v>0.99993480000000001</v>
      </c>
      <c r="N1241">
        <v>0</v>
      </c>
      <c r="O1241">
        <v>-2.8695840000000001E-3</v>
      </c>
      <c r="P1241">
        <v>0.99839169999999999</v>
      </c>
      <c r="Q1241">
        <v>4.7817419999999999E-2</v>
      </c>
      <c r="R1241">
        <v>-3.0457640000000001E-2</v>
      </c>
      <c r="S1241">
        <v>2.999298</v>
      </c>
      <c r="T1241">
        <v>8.2633499999999992E-3</v>
      </c>
      <c r="U1241">
        <v>-0.16976930000000001</v>
      </c>
      <c r="V1241">
        <v>2.759238E-2</v>
      </c>
      <c r="W1241">
        <v>5.8856609999999997E-2</v>
      </c>
      <c r="X1241">
        <v>0.99788500000000002</v>
      </c>
      <c r="Y1241">
        <v>5.3646949999999999E-2</v>
      </c>
      <c r="Z1241" s="1">
        <v>6.5942010000000001E-5</v>
      </c>
      <c r="AA1241">
        <v>0.99856</v>
      </c>
      <c r="AB1241">
        <v>21</v>
      </c>
      <c r="AC1241">
        <v>141.21279999999999</v>
      </c>
      <c r="AD1241">
        <v>0.389292999999999</v>
      </c>
      <c r="AE1241">
        <v>-7.9992999999999999</v>
      </c>
      <c r="AF1241">
        <v>7.5939627874073796</v>
      </c>
      <c r="AG1241">
        <v>0.389292999999999</v>
      </c>
      <c r="AH1241">
        <v>141.23410465917101</v>
      </c>
      <c r="AI1241">
        <v>89.842300009090195</v>
      </c>
      <c r="AJ1241">
        <v>86.922248760420501</v>
      </c>
      <c r="AK1241">
        <v>141.43865150210601</v>
      </c>
      <c r="AL1241">
        <v>86.625814502277194</v>
      </c>
      <c r="AM1241">
        <v>88.416125910691093</v>
      </c>
      <c r="AN1241">
        <v>0.99999995659987695</v>
      </c>
    </row>
    <row r="1242" spans="1:40" x14ac:dyDescent="0.25">
      <c r="A1242" t="str">
        <f>"20190312150654696"</f>
        <v>20190312150654696</v>
      </c>
      <c r="B1242" t="str">
        <f>"1552374414691608"</f>
        <v>1552374414691608</v>
      </c>
      <c r="C1242" t="s">
        <v>40</v>
      </c>
      <c r="D1242">
        <v>4.1382260000000004</v>
      </c>
      <c r="E1242">
        <v>0.50993509999999997</v>
      </c>
      <c r="F1242" t="s">
        <v>47</v>
      </c>
      <c r="G1242">
        <v>-158.19499999999999</v>
      </c>
      <c r="H1242">
        <v>1.409945</v>
      </c>
      <c r="I1242">
        <v>359.12939999999998</v>
      </c>
      <c r="J1242">
        <v>-299.31259999999997</v>
      </c>
      <c r="K1242">
        <v>1.06027</v>
      </c>
      <c r="L1242">
        <v>367.24020000000002</v>
      </c>
      <c r="M1242">
        <v>0.99993509999999997</v>
      </c>
      <c r="N1242">
        <v>0</v>
      </c>
      <c r="O1242">
        <v>-2.857896E-3</v>
      </c>
      <c r="P1242">
        <v>0.99840930000000006</v>
      </c>
      <c r="Q1242">
        <v>4.7556880000000003E-2</v>
      </c>
      <c r="R1242">
        <v>-3.0293779999999999E-2</v>
      </c>
      <c r="S1242">
        <v>2.9992369999999999</v>
      </c>
      <c r="T1242">
        <v>7.4285269999999999E-3</v>
      </c>
      <c r="U1242">
        <v>-0.1722717</v>
      </c>
      <c r="V1242">
        <v>2.7440079999999999E-2</v>
      </c>
      <c r="W1242">
        <v>5.8573859999999998E-2</v>
      </c>
      <c r="X1242">
        <v>0.99790590000000001</v>
      </c>
      <c r="Y1242">
        <v>5.4490249999999997E-2</v>
      </c>
      <c r="Z1242" s="1">
        <v>6.0352310000000002E-5</v>
      </c>
      <c r="AA1242">
        <v>0.99851429999999997</v>
      </c>
      <c r="AB1242">
        <v>21</v>
      </c>
      <c r="AC1242">
        <v>141.11759999999899</v>
      </c>
      <c r="AD1242">
        <v>0.34967500000000001</v>
      </c>
      <c r="AE1242">
        <v>-8.1108000000000402</v>
      </c>
      <c r="AF1242">
        <v>7.7073957526144401</v>
      </c>
      <c r="AG1242">
        <v>0.34967500000000001</v>
      </c>
      <c r="AH1242">
        <v>141.139341128354</v>
      </c>
      <c r="AI1242">
        <v>89.858260251543598</v>
      </c>
      <c r="AJ1242">
        <v>86.874272866743794</v>
      </c>
      <c r="AK1242">
        <v>141.350061323082</v>
      </c>
      <c r="AL1242">
        <v>86.642043096021894</v>
      </c>
      <c r="AM1242">
        <v>88.424896881633302</v>
      </c>
      <c r="AN1242">
        <v>1.0000000201602499</v>
      </c>
    </row>
    <row r="1243" spans="1:40" x14ac:dyDescent="0.25">
      <c r="A1243" t="str">
        <f>"20190312150654709"</f>
        <v>20190312150654709</v>
      </c>
      <c r="B1243" t="str">
        <f>"1552374414701369"</f>
        <v>1552374414701369</v>
      </c>
      <c r="C1243" t="s">
        <v>40</v>
      </c>
      <c r="D1243">
        <v>4.1544379999999999</v>
      </c>
      <c r="E1243">
        <v>0.51004879999999997</v>
      </c>
      <c r="F1243" t="s">
        <v>47</v>
      </c>
      <c r="G1243">
        <v>-158.19499999999999</v>
      </c>
      <c r="H1243">
        <v>1.3494740000000001</v>
      </c>
      <c r="I1243">
        <v>359.12180000000001</v>
      </c>
      <c r="J1243">
        <v>-299.20350000000002</v>
      </c>
      <c r="K1243">
        <v>1.0602659999999999</v>
      </c>
      <c r="L1243">
        <v>367.23989999999998</v>
      </c>
      <c r="M1243">
        <v>0.99993540000000003</v>
      </c>
      <c r="N1243">
        <v>0</v>
      </c>
      <c r="O1243">
        <v>-2.8441690000000001E-3</v>
      </c>
      <c r="P1243">
        <v>0.99843009999999999</v>
      </c>
      <c r="Q1243">
        <v>4.7200180000000001E-2</v>
      </c>
      <c r="R1243">
        <v>-3.0167619999999999E-2</v>
      </c>
      <c r="S1243">
        <v>2.999298</v>
      </c>
      <c r="T1243">
        <v>6.1485769999999997E-3</v>
      </c>
      <c r="U1243">
        <v>-0.17254639999999999</v>
      </c>
      <c r="V1243">
        <v>2.7327480000000001E-2</v>
      </c>
      <c r="W1243">
        <v>5.8192569999999999E-2</v>
      </c>
      <c r="X1243">
        <v>0.99793129999999997</v>
      </c>
      <c r="Y1243">
        <v>5.4593969999999999E-2</v>
      </c>
      <c r="Z1243" s="1">
        <v>5.0086709999999997E-5</v>
      </c>
      <c r="AA1243">
        <v>0.99850859999999997</v>
      </c>
      <c r="AB1243">
        <v>21</v>
      </c>
      <c r="AC1243">
        <v>141.0085</v>
      </c>
      <c r="AD1243">
        <v>0.28920800000000002</v>
      </c>
      <c r="AE1243">
        <v>-8.1180999999999699</v>
      </c>
      <c r="AF1243">
        <v>7.7169585146156301</v>
      </c>
      <c r="AG1243">
        <v>0.28920800000000002</v>
      </c>
      <c r="AH1243">
        <v>141.030428949433</v>
      </c>
      <c r="AI1243">
        <v>89.882680470929301</v>
      </c>
      <c r="AJ1243">
        <v>86.867990348390094</v>
      </c>
      <c r="AK1243">
        <v>141.24169702904501</v>
      </c>
      <c r="AL1243">
        <v>86.663926740892904</v>
      </c>
      <c r="AM1243">
        <v>88.431396966368993</v>
      </c>
      <c r="AN1243">
        <v>1.0000000229430199</v>
      </c>
    </row>
    <row r="1244" spans="1:40" x14ac:dyDescent="0.25">
      <c r="A1244" t="str">
        <f>"20190312150654719"</f>
        <v>20190312150654719</v>
      </c>
      <c r="B1244" t="str">
        <f>"1552374414712106"</f>
        <v>1552374414712106</v>
      </c>
      <c r="C1244" t="s">
        <v>40</v>
      </c>
      <c r="D1244">
        <v>4.1258369999999998</v>
      </c>
      <c r="E1244">
        <v>0.51016170000000005</v>
      </c>
      <c r="F1244" t="s">
        <v>47</v>
      </c>
      <c r="G1244">
        <v>-158.19499999999999</v>
      </c>
      <c r="H1244">
        <v>1.2791920000000001</v>
      </c>
      <c r="I1244">
        <v>359.08609999999999</v>
      </c>
      <c r="J1244">
        <v>-299.09010000000001</v>
      </c>
      <c r="K1244">
        <v>1.0602609999999999</v>
      </c>
      <c r="L1244">
        <v>367.2396</v>
      </c>
      <c r="M1244">
        <v>0.99993560000000004</v>
      </c>
      <c r="N1244">
        <v>0</v>
      </c>
      <c r="O1244">
        <v>-2.8297349999999999E-3</v>
      </c>
      <c r="P1244">
        <v>0.99844259999999996</v>
      </c>
      <c r="Q1244">
        <v>4.6933959999999997E-2</v>
      </c>
      <c r="R1244">
        <v>-3.015638E-2</v>
      </c>
      <c r="S1244">
        <v>2.9992679999999998</v>
      </c>
      <c r="T1244">
        <v>4.658461E-3</v>
      </c>
      <c r="U1244">
        <v>-0.17343140000000001</v>
      </c>
      <c r="V1244">
        <v>2.7330799999999999E-2</v>
      </c>
      <c r="W1244">
        <v>5.7902179999999998E-2</v>
      </c>
      <c r="X1244">
        <v>0.9979481</v>
      </c>
      <c r="Y1244">
        <v>5.4902680000000002E-2</v>
      </c>
      <c r="Z1244" s="1">
        <v>3.8210159999999999E-5</v>
      </c>
      <c r="AA1244">
        <v>0.99849169999999998</v>
      </c>
      <c r="AB1244">
        <v>21</v>
      </c>
      <c r="AC1244">
        <v>140.89510000000001</v>
      </c>
      <c r="AD1244">
        <v>0.21893099999999999</v>
      </c>
      <c r="AE1244">
        <v>-8.1534999999999993</v>
      </c>
      <c r="AF1244">
        <v>7.7547288138115498</v>
      </c>
      <c r="AG1244">
        <v>0.21893099999999999</v>
      </c>
      <c r="AH1244">
        <v>140.91727036124601</v>
      </c>
      <c r="AI1244">
        <v>89.911119043321406</v>
      </c>
      <c r="AJ1244">
        <v>86.850169367599193</v>
      </c>
      <c r="AK1244">
        <v>141.13065165237199</v>
      </c>
      <c r="AL1244">
        <v>86.680592963219297</v>
      </c>
      <c r="AM1244">
        <v>88.431232889628802</v>
      </c>
      <c r="AN1244">
        <v>1.0000000226854999</v>
      </c>
    </row>
    <row r="1245" spans="1:40" x14ac:dyDescent="0.25">
      <c r="A1245" t="str">
        <f>"20190312150654732"</f>
        <v>20190312150654732</v>
      </c>
      <c r="B1245" t="str">
        <f>"1552374414721865"</f>
        <v>1552374414721865</v>
      </c>
      <c r="C1245" t="s">
        <v>40</v>
      </c>
      <c r="D1245">
        <v>4.0664540000000002</v>
      </c>
      <c r="E1245">
        <v>0.51030589999999998</v>
      </c>
      <c r="F1245" t="s">
        <v>47</v>
      </c>
      <c r="G1245">
        <v>-158.19499999999999</v>
      </c>
      <c r="H1245">
        <v>1.2198420000000001</v>
      </c>
      <c r="I1245">
        <v>359.06509999999997</v>
      </c>
      <c r="J1245">
        <v>-298.98099999999999</v>
      </c>
      <c r="K1245">
        <v>1.06026</v>
      </c>
      <c r="L1245">
        <v>367.23930000000001</v>
      </c>
      <c r="M1245">
        <v>0.99993600000000005</v>
      </c>
      <c r="N1245">
        <v>0</v>
      </c>
      <c r="O1245">
        <v>-2.8162690000000002E-3</v>
      </c>
      <c r="P1245">
        <v>0.99845300000000003</v>
      </c>
      <c r="Q1245">
        <v>4.6826109999999997E-2</v>
      </c>
      <c r="R1245">
        <v>-2.9984770000000001E-2</v>
      </c>
      <c r="S1245">
        <v>2.9992679999999998</v>
      </c>
      <c r="T1245">
        <v>3.3988949999999999E-3</v>
      </c>
      <c r="U1245">
        <v>-0.1740112</v>
      </c>
      <c r="V1245">
        <v>2.7172600000000002E-2</v>
      </c>
      <c r="W1245">
        <v>5.7772700000000003E-2</v>
      </c>
      <c r="X1245">
        <v>0.99795990000000001</v>
      </c>
      <c r="Y1245">
        <v>5.5108539999999998E-2</v>
      </c>
      <c r="Z1245" s="1">
        <v>2.8010449999999999E-5</v>
      </c>
      <c r="AA1245">
        <v>0.99848040000000005</v>
      </c>
      <c r="AB1245">
        <v>21</v>
      </c>
      <c r="AC1245">
        <v>140.786</v>
      </c>
      <c r="AD1245">
        <v>0.159582</v>
      </c>
      <c r="AE1245">
        <v>-8.1742000000000399</v>
      </c>
      <c r="AF1245">
        <v>7.7776425684428796</v>
      </c>
      <c r="AG1245">
        <v>0.159582</v>
      </c>
      <c r="AH1245">
        <v>140.80828343881501</v>
      </c>
      <c r="AI1245">
        <v>89.935163935894096</v>
      </c>
      <c r="AJ1245">
        <v>86.838440809652298</v>
      </c>
      <c r="AK1245">
        <v>141.023011864458</v>
      </c>
      <c r="AL1245">
        <v>86.688023980053202</v>
      </c>
      <c r="AM1245">
        <v>88.440327383724906</v>
      </c>
      <c r="AN1245">
        <v>0.99999999853202903</v>
      </c>
    </row>
    <row r="1246" spans="1:40" x14ac:dyDescent="0.25">
      <c r="A1246" t="str">
        <f>"20190312150654745"</f>
        <v>20190312150654745</v>
      </c>
      <c r="B1246" t="str">
        <f>"1552374414742361"</f>
        <v>1552374414742361</v>
      </c>
      <c r="C1246" t="s">
        <v>40</v>
      </c>
      <c r="D1246">
        <v>4.0395589999999997</v>
      </c>
      <c r="E1246">
        <v>0.53563640000000001</v>
      </c>
      <c r="F1246" t="s">
        <v>47</v>
      </c>
      <c r="G1246">
        <v>-158.19499999999999</v>
      </c>
      <c r="H1246">
        <v>1.2164680000000001</v>
      </c>
      <c r="I1246">
        <v>359.01949999999999</v>
      </c>
      <c r="J1246">
        <v>-298.86270000000002</v>
      </c>
      <c r="K1246">
        <v>1.0602579999999999</v>
      </c>
      <c r="L1246">
        <v>367.23899999999998</v>
      </c>
      <c r="M1246">
        <v>0.99993620000000005</v>
      </c>
      <c r="N1246">
        <v>0</v>
      </c>
      <c r="O1246">
        <v>-2.8016069999999998E-3</v>
      </c>
      <c r="P1246">
        <v>0.99846979999999996</v>
      </c>
      <c r="Q1246">
        <v>4.6472819999999998E-2</v>
      </c>
      <c r="R1246">
        <v>-2.9979559999999999E-2</v>
      </c>
      <c r="S1246">
        <v>2.9992369999999999</v>
      </c>
      <c r="T1246">
        <v>3.3296350000000001E-3</v>
      </c>
      <c r="U1246">
        <v>-0.17510990000000001</v>
      </c>
      <c r="V1246">
        <v>2.7181819999999999E-2</v>
      </c>
      <c r="W1246">
        <v>5.7398060000000001E-2</v>
      </c>
      <c r="X1246">
        <v>0.99798129999999996</v>
      </c>
      <c r="Y1246">
        <v>5.5488269999999999E-2</v>
      </c>
      <c r="Z1246" s="1">
        <v>2.7666520000000002E-5</v>
      </c>
      <c r="AA1246">
        <v>0.99845930000000005</v>
      </c>
      <c r="AB1246">
        <v>21</v>
      </c>
      <c r="AC1246">
        <v>140.6677</v>
      </c>
      <c r="AD1246">
        <v>0.15620999999999999</v>
      </c>
      <c r="AE1246">
        <v>-8.2195000000000302</v>
      </c>
      <c r="AF1246">
        <v>7.8253389103868196</v>
      </c>
      <c r="AG1246">
        <v>0.15620999999999999</v>
      </c>
      <c r="AH1246">
        <v>140.69000416319301</v>
      </c>
      <c r="AI1246">
        <v>89.936481930449006</v>
      </c>
      <c r="AJ1246">
        <v>86.816423544230702</v>
      </c>
      <c r="AK1246">
        <v>140.90754984054499</v>
      </c>
      <c r="AL1246">
        <v>86.709525059961507</v>
      </c>
      <c r="AM1246">
        <v>88.439831868317697</v>
      </c>
      <c r="AN1246">
        <v>1.00000003188998</v>
      </c>
    </row>
    <row r="1247" spans="1:40" x14ac:dyDescent="0.25">
      <c r="A1247" t="str">
        <f>"20190312150654758"</f>
        <v>20190312150654758</v>
      </c>
      <c r="B1247" t="str">
        <f>"1552374414752121"</f>
        <v>1552374414752121</v>
      </c>
      <c r="C1247" t="s">
        <v>40</v>
      </c>
      <c r="D1247">
        <v>4.0103359999999997</v>
      </c>
      <c r="E1247">
        <v>0.53563640000000001</v>
      </c>
      <c r="F1247" t="s">
        <v>41</v>
      </c>
      <c r="G1247">
        <v>-297.95600000000002</v>
      </c>
      <c r="H1247">
        <v>0.98641880000000004</v>
      </c>
      <c r="I1247">
        <v>367.1234</v>
      </c>
      <c r="J1247">
        <v>-298.73480000000001</v>
      </c>
      <c r="K1247">
        <v>1.0602529999999999</v>
      </c>
      <c r="L1247">
        <v>367.23860000000002</v>
      </c>
      <c r="M1247">
        <v>0.99993659999999995</v>
      </c>
      <c r="N1247">
        <v>0</v>
      </c>
      <c r="O1247">
        <v>-2.785877E-3</v>
      </c>
      <c r="P1247">
        <v>0.99849049999999995</v>
      </c>
      <c r="Q1247">
        <v>4.6090249999999999E-2</v>
      </c>
      <c r="R1247">
        <v>-2.9878809999999999E-2</v>
      </c>
      <c r="S1247">
        <v>3.0045470000000001</v>
      </c>
      <c r="T1247">
        <v>-0.24493300000000001</v>
      </c>
      <c r="U1247">
        <v>-0.38177489999999997</v>
      </c>
      <c r="V1247">
        <v>2.7096869999999999E-2</v>
      </c>
      <c r="W1247">
        <v>5.6994839999999998E-2</v>
      </c>
      <c r="X1247">
        <v>0.99800670000000002</v>
      </c>
      <c r="Y1247">
        <v>0.1228958</v>
      </c>
      <c r="Z1247">
        <v>-4.7552280000000002E-3</v>
      </c>
      <c r="AA1247">
        <v>0.99240819999999996</v>
      </c>
      <c r="AB1247">
        <v>21</v>
      </c>
      <c r="AC1247">
        <v>0.77880000000004601</v>
      </c>
      <c r="AD1247">
        <v>-7.3834200000000003E-2</v>
      </c>
      <c r="AE1247">
        <v>-0.115200000000015</v>
      </c>
      <c r="AF1247">
        <v>0.11204429105288</v>
      </c>
      <c r="AG1247">
        <v>-7.3834200000000003E-2</v>
      </c>
      <c r="AH1247">
        <v>0.77232490357491601</v>
      </c>
      <c r="AI1247">
        <v>95.404638198737203</v>
      </c>
      <c r="AJ1247">
        <v>81.745458201257307</v>
      </c>
      <c r="AK1247">
        <v>0.78389487109508804</v>
      </c>
      <c r="AL1247">
        <v>86.732665683440999</v>
      </c>
      <c r="AM1247">
        <v>88.444744950077094</v>
      </c>
      <c r="AN1247">
        <v>1.00000001269765</v>
      </c>
    </row>
    <row r="1248" spans="1:40" x14ac:dyDescent="0.25">
      <c r="A1248" t="str">
        <f>"20190312150654774"</f>
        <v>20190312150654774</v>
      </c>
      <c r="B1248" t="str">
        <f>"1552374414771641"</f>
        <v>1552374414771641</v>
      </c>
      <c r="C1248" t="s">
        <v>40</v>
      </c>
      <c r="D1248">
        <v>4.0057</v>
      </c>
      <c r="E1248">
        <v>0.54398809999999997</v>
      </c>
      <c r="F1248" t="s">
        <v>41</v>
      </c>
      <c r="G1248">
        <v>-297.95049999999998</v>
      </c>
      <c r="H1248">
        <v>0.99608929999999996</v>
      </c>
      <c r="I1248">
        <v>367.13869999999997</v>
      </c>
      <c r="J1248">
        <v>-298.59210000000002</v>
      </c>
      <c r="K1248">
        <v>1.060246</v>
      </c>
      <c r="L1248">
        <v>367.23829999999998</v>
      </c>
      <c r="M1248">
        <v>0.99993679999999996</v>
      </c>
      <c r="N1248">
        <v>0</v>
      </c>
      <c r="O1248">
        <v>-2.7681170000000001E-3</v>
      </c>
      <c r="P1248">
        <v>0.99853800000000004</v>
      </c>
      <c r="Q1248">
        <v>4.5426130000000002E-2</v>
      </c>
      <c r="R1248">
        <v>-2.9299059999999998E-2</v>
      </c>
      <c r="S1248">
        <v>3.0044559999999998</v>
      </c>
      <c r="T1248">
        <v>-0.24609039999999999</v>
      </c>
      <c r="U1248">
        <v>-0.38156129999999999</v>
      </c>
      <c r="V1248">
        <v>2.6534809999999999E-2</v>
      </c>
      <c r="W1248">
        <v>5.6309770000000002E-2</v>
      </c>
      <c r="X1248">
        <v>0.99806070000000002</v>
      </c>
      <c r="Y1248">
        <v>0.1228441</v>
      </c>
      <c r="Z1248">
        <v>-4.7771330000000002E-3</v>
      </c>
      <c r="AA1248">
        <v>0.99241449999999998</v>
      </c>
      <c r="AB1248">
        <v>21</v>
      </c>
      <c r="AC1248">
        <v>0.64160000000003903</v>
      </c>
      <c r="AD1248">
        <v>-6.4156699999999997E-2</v>
      </c>
      <c r="AE1248">
        <v>-9.9600000000009403E-2</v>
      </c>
      <c r="AF1248">
        <v>9.6877606970063895E-2</v>
      </c>
      <c r="AG1248">
        <v>-6.4156699999999997E-2</v>
      </c>
      <c r="AH1248">
        <v>0.63566681421873295</v>
      </c>
      <c r="AI1248">
        <v>95.697891596074697</v>
      </c>
      <c r="AJ1248">
        <v>81.334623176694095</v>
      </c>
      <c r="AK1248">
        <v>0.64619938996112403</v>
      </c>
      <c r="AL1248">
        <v>86.771980479402103</v>
      </c>
      <c r="AM1248">
        <v>88.477072018854997</v>
      </c>
      <c r="AN1248">
        <v>1.00000002361183</v>
      </c>
    </row>
    <row r="1249" spans="1:40" x14ac:dyDescent="0.25">
      <c r="A1249" t="str">
        <f>"20190312150654785"</f>
        <v>20190312150654785</v>
      </c>
      <c r="B1249" t="str">
        <f>"1552374414781401"</f>
        <v>1552374414781401</v>
      </c>
      <c r="C1249" t="s">
        <v>40</v>
      </c>
      <c r="D1249">
        <v>4.0801959999999999</v>
      </c>
      <c r="E1249">
        <v>0.54391060000000002</v>
      </c>
      <c r="F1249" t="s">
        <v>41</v>
      </c>
      <c r="G1249">
        <v>-297.82560000000001</v>
      </c>
      <c r="H1249">
        <v>0.87091339999999995</v>
      </c>
      <c r="I1249">
        <v>367.12240000000003</v>
      </c>
      <c r="J1249">
        <v>-298.488</v>
      </c>
      <c r="K1249">
        <v>1.0602419999999999</v>
      </c>
      <c r="L1249">
        <v>367.238</v>
      </c>
      <c r="M1249">
        <v>0.99993699999999996</v>
      </c>
      <c r="N1249">
        <v>0</v>
      </c>
      <c r="O1249">
        <v>-2.755282E-3</v>
      </c>
      <c r="P1249">
        <v>0.99856690000000004</v>
      </c>
      <c r="Q1249">
        <v>4.5082949999999997E-2</v>
      </c>
      <c r="R1249">
        <v>-2.884051E-2</v>
      </c>
      <c r="S1249">
        <v>3.025055</v>
      </c>
      <c r="T1249">
        <v>-0.74736789999999997</v>
      </c>
      <c r="U1249">
        <v>-0.45574949999999997</v>
      </c>
      <c r="V1249">
        <v>2.6089009999999999E-2</v>
      </c>
      <c r="W1249">
        <v>5.5952229999999999E-2</v>
      </c>
      <c r="X1249">
        <v>0.99809250000000005</v>
      </c>
      <c r="Y1249">
        <v>0.14215259999999999</v>
      </c>
      <c r="Z1249">
        <v>-1.6540050000000001E-2</v>
      </c>
      <c r="AA1249">
        <v>0.98970659999999999</v>
      </c>
      <c r="AB1249">
        <v>21</v>
      </c>
      <c r="AC1249">
        <v>0.662399999999991</v>
      </c>
      <c r="AD1249">
        <v>-0.18932860000000001</v>
      </c>
      <c r="AE1249">
        <v>-0.115600000000029</v>
      </c>
      <c r="AF1249">
        <v>0.10541692650012199</v>
      </c>
      <c r="AG1249">
        <v>-0.18932860000000001</v>
      </c>
      <c r="AH1249">
        <v>0.61403543756770296</v>
      </c>
      <c r="AI1249">
        <v>106.903456843409</v>
      </c>
      <c r="AJ1249">
        <v>80.258488907235503</v>
      </c>
      <c r="AK1249">
        <v>0.65115095466385697</v>
      </c>
      <c r="AL1249">
        <v>86.792498167322094</v>
      </c>
      <c r="AM1249">
        <v>88.502694018410807</v>
      </c>
      <c r="AN1249">
        <v>0.99999996352050002</v>
      </c>
    </row>
    <row r="1250" spans="1:40" x14ac:dyDescent="0.25">
      <c r="A1250" t="str">
        <f>"20190312150654797"</f>
        <v>20190312150654797</v>
      </c>
      <c r="B1250" t="str">
        <f>"1552374414792137"</f>
        <v>1552374414792137</v>
      </c>
      <c r="C1250" t="s">
        <v>40</v>
      </c>
      <c r="D1250">
        <v>4.0672119999999996</v>
      </c>
      <c r="E1250">
        <v>0.54438629999999999</v>
      </c>
      <c r="F1250" t="s">
        <v>41</v>
      </c>
      <c r="G1250">
        <v>-297.64729999999997</v>
      </c>
      <c r="H1250">
        <v>0.85158310000000004</v>
      </c>
      <c r="I1250">
        <v>367.11169999999998</v>
      </c>
      <c r="J1250">
        <v>-298.3725</v>
      </c>
      <c r="K1250">
        <v>1.060244</v>
      </c>
      <c r="L1250">
        <v>367.23770000000002</v>
      </c>
      <c r="M1250">
        <v>0.99993710000000002</v>
      </c>
      <c r="N1250">
        <v>0</v>
      </c>
      <c r="O1250">
        <v>-2.7413730000000001E-3</v>
      </c>
      <c r="P1250">
        <v>0.99857620000000002</v>
      </c>
      <c r="Q1250">
        <v>4.5078609999999998E-2</v>
      </c>
      <c r="R1250">
        <v>-2.852561E-2</v>
      </c>
      <c r="S1250">
        <v>3.0251160000000001</v>
      </c>
      <c r="T1250">
        <v>-0.75092959999999997</v>
      </c>
      <c r="U1250">
        <v>-0.45349119999999998</v>
      </c>
      <c r="V1250">
        <v>2.578795E-2</v>
      </c>
      <c r="W1250">
        <v>5.5933660000000003E-2</v>
      </c>
      <c r="X1250">
        <v>0.99810140000000003</v>
      </c>
      <c r="Y1250">
        <v>0.1414232</v>
      </c>
      <c r="Z1250">
        <v>-1.6531819999999999E-2</v>
      </c>
      <c r="AA1250">
        <v>0.9898112</v>
      </c>
      <c r="AB1250">
        <v>21</v>
      </c>
      <c r="AC1250">
        <v>0.72520000000002904</v>
      </c>
      <c r="AD1250">
        <v>-0.20866089999999901</v>
      </c>
      <c r="AE1250">
        <v>-0.126000000000033</v>
      </c>
      <c r="AF1250">
        <v>0.114786871214348</v>
      </c>
      <c r="AG1250">
        <v>-0.20866089999999901</v>
      </c>
      <c r="AH1250">
        <v>0.67157374857047303</v>
      </c>
      <c r="AI1250">
        <v>107.027884795997</v>
      </c>
      <c r="AJ1250">
        <v>80.300607768337102</v>
      </c>
      <c r="AK1250">
        <v>0.71254943460856501</v>
      </c>
      <c r="AL1250">
        <v>86.793563931699495</v>
      </c>
      <c r="AM1250">
        <v>88.5199779790902</v>
      </c>
      <c r="AN1250">
        <v>0.99999999868407896</v>
      </c>
    </row>
    <row r="1251" spans="1:40" x14ac:dyDescent="0.25">
      <c r="A1251" t="str">
        <f>"20190312150654808"</f>
        <v>20190312150654808</v>
      </c>
      <c r="B1251" t="str">
        <f>"1552374414801897"</f>
        <v>1552374414801897</v>
      </c>
      <c r="C1251" t="s">
        <v>40</v>
      </c>
      <c r="D1251">
        <v>4.0115080000000001</v>
      </c>
      <c r="E1251">
        <v>0.54471800000000004</v>
      </c>
      <c r="F1251" t="s">
        <v>41</v>
      </c>
      <c r="G1251">
        <v>-297.63720000000001</v>
      </c>
      <c r="H1251">
        <v>0.875959499999999</v>
      </c>
      <c r="I1251">
        <v>367.12650000000002</v>
      </c>
      <c r="J1251">
        <v>-298.27019999999999</v>
      </c>
      <c r="K1251">
        <v>1.060243</v>
      </c>
      <c r="L1251">
        <v>367.23739999999998</v>
      </c>
      <c r="M1251">
        <v>0.99993739999999998</v>
      </c>
      <c r="N1251">
        <v>0</v>
      </c>
      <c r="O1251">
        <v>-2.729146E-3</v>
      </c>
      <c r="P1251">
        <v>0.99859260000000005</v>
      </c>
      <c r="Q1251">
        <v>4.4830549999999997E-2</v>
      </c>
      <c r="R1251">
        <v>-2.834074E-2</v>
      </c>
      <c r="S1251">
        <v>3.0254819999999998</v>
      </c>
      <c r="T1251">
        <v>-0.75835050000000004</v>
      </c>
      <c r="U1251">
        <v>-0.45626830000000002</v>
      </c>
      <c r="V1251">
        <v>2.5615240000000001E-2</v>
      </c>
      <c r="W1251">
        <v>5.5673229999999997E-2</v>
      </c>
      <c r="X1251">
        <v>0.99812040000000002</v>
      </c>
      <c r="Y1251">
        <v>0.1422032</v>
      </c>
      <c r="Z1251">
        <v>-1.678613E-2</v>
      </c>
      <c r="AA1251">
        <v>0.98969510000000005</v>
      </c>
      <c r="AB1251">
        <v>21</v>
      </c>
      <c r="AC1251">
        <v>0.63299999999998102</v>
      </c>
      <c r="AD1251">
        <v>-0.18428349999999999</v>
      </c>
      <c r="AE1251">
        <v>-0.110899999999958</v>
      </c>
      <c r="AF1251">
        <v>0.100876738805039</v>
      </c>
      <c r="AG1251">
        <v>-0.18428349999999999</v>
      </c>
      <c r="AH1251">
        <v>0.585180346391447</v>
      </c>
      <c r="AI1251">
        <v>107.24120923461101</v>
      </c>
      <c r="AJ1251">
        <v>80.219154682744403</v>
      </c>
      <c r="AK1251">
        <v>0.62174959799504803</v>
      </c>
      <c r="AL1251">
        <v>86.808508734422205</v>
      </c>
      <c r="AM1251">
        <v>88.529913759328906</v>
      </c>
      <c r="AN1251">
        <v>0.99999999097752501</v>
      </c>
    </row>
    <row r="1252" spans="1:40" x14ac:dyDescent="0.25">
      <c r="A1252" t="str">
        <f>"20190312150654819"</f>
        <v>20190312150654819</v>
      </c>
      <c r="B1252" t="str">
        <f>"1552374414811658"</f>
        <v>1552374414811658</v>
      </c>
      <c r="C1252" t="s">
        <v>40</v>
      </c>
      <c r="D1252">
        <v>4.0335039999999998</v>
      </c>
      <c r="E1252">
        <v>0.54491350000000005</v>
      </c>
      <c r="F1252" t="s">
        <v>41</v>
      </c>
      <c r="G1252">
        <v>-297.45999999999998</v>
      </c>
      <c r="H1252">
        <v>0.85416409999999998</v>
      </c>
      <c r="I1252">
        <v>367.11419999999998</v>
      </c>
      <c r="J1252">
        <v>-298.16469999999998</v>
      </c>
      <c r="K1252">
        <v>1.060241</v>
      </c>
      <c r="L1252">
        <v>367.2371</v>
      </c>
      <c r="M1252">
        <v>0.99993759999999998</v>
      </c>
      <c r="N1252">
        <v>0</v>
      </c>
      <c r="O1252">
        <v>-2.7163270000000002E-3</v>
      </c>
      <c r="P1252">
        <v>0.99859739999999997</v>
      </c>
      <c r="Q1252">
        <v>4.4925079999999999E-2</v>
      </c>
      <c r="R1252">
        <v>-2.802284E-2</v>
      </c>
      <c r="S1252">
        <v>3.0257260000000001</v>
      </c>
      <c r="T1252">
        <v>-0.76966820000000002</v>
      </c>
      <c r="U1252">
        <v>-0.45877079999999998</v>
      </c>
      <c r="V1252">
        <v>2.531011E-2</v>
      </c>
      <c r="W1252">
        <v>5.5756550000000002E-2</v>
      </c>
      <c r="X1252">
        <v>0.99812350000000005</v>
      </c>
      <c r="Y1252">
        <v>0.14285980000000001</v>
      </c>
      <c r="Z1252">
        <v>-1.711172E-2</v>
      </c>
      <c r="AA1252">
        <v>0.989595</v>
      </c>
      <c r="AB1252">
        <v>21</v>
      </c>
      <c r="AC1252">
        <v>0.70470000000000199</v>
      </c>
      <c r="AD1252">
        <v>-0.20607689999999901</v>
      </c>
      <c r="AE1252">
        <v>-0.122900000000015</v>
      </c>
      <c r="AF1252">
        <v>0.11171385137136899</v>
      </c>
      <c r="AG1252">
        <v>-0.20607689999999901</v>
      </c>
      <c r="AH1252">
        <v>0.65100303079987698</v>
      </c>
      <c r="AI1252">
        <v>107.327532135789</v>
      </c>
      <c r="AJ1252">
        <v>80.262731982724404</v>
      </c>
      <c r="AK1252">
        <v>0.69191951801669804</v>
      </c>
      <c r="AL1252">
        <v>86.803727317456506</v>
      </c>
      <c r="AM1252">
        <v>88.547422460636199</v>
      </c>
      <c r="AN1252">
        <v>0.99999995789418095</v>
      </c>
    </row>
    <row r="1253" spans="1:40" x14ac:dyDescent="0.25">
      <c r="A1253" t="str">
        <f>"20190312150654831"</f>
        <v>20190312150654831</v>
      </c>
      <c r="B1253" t="str">
        <f>"1552374414821899"</f>
        <v>1552374414821899</v>
      </c>
      <c r="C1253" t="s">
        <v>40</v>
      </c>
      <c r="D1253">
        <v>4.0429050000000002</v>
      </c>
      <c r="E1253">
        <v>0.54505769999999998</v>
      </c>
      <c r="F1253" t="s">
        <v>41</v>
      </c>
      <c r="G1253">
        <v>-297.45060000000001</v>
      </c>
      <c r="H1253">
        <v>0.87674279999999905</v>
      </c>
      <c r="I1253">
        <v>367.12830000000002</v>
      </c>
      <c r="J1253">
        <v>-298.05579999999998</v>
      </c>
      <c r="K1253">
        <v>1.0602370000000001</v>
      </c>
      <c r="L1253">
        <v>367.23680000000002</v>
      </c>
      <c r="M1253">
        <v>0.99993770000000004</v>
      </c>
      <c r="N1253">
        <v>0</v>
      </c>
      <c r="O1253">
        <v>-2.7030349999999999E-3</v>
      </c>
      <c r="P1253">
        <v>0.99861219999999995</v>
      </c>
      <c r="Q1253">
        <v>4.482117E-2</v>
      </c>
      <c r="R1253">
        <v>-2.7660400000000002E-2</v>
      </c>
      <c r="S1253">
        <v>3.0263059999999999</v>
      </c>
      <c r="T1253">
        <v>-0.77776009999999995</v>
      </c>
      <c r="U1253">
        <v>-0.45971679999999998</v>
      </c>
      <c r="V1253">
        <v>2.4960989999999999E-2</v>
      </c>
      <c r="W1253">
        <v>5.564181E-2</v>
      </c>
      <c r="X1253">
        <v>0.99813870000000005</v>
      </c>
      <c r="Y1253">
        <v>0.14305179999999901</v>
      </c>
      <c r="Z1253">
        <v>-1.7309999999999999E-2</v>
      </c>
      <c r="AA1253">
        <v>0.98956379999999999</v>
      </c>
      <c r="AB1253">
        <v>21</v>
      </c>
      <c r="AC1253">
        <v>0.60519999999996799</v>
      </c>
      <c r="AD1253">
        <v>-0.1834942</v>
      </c>
      <c r="AE1253">
        <v>-0.10849999999999201</v>
      </c>
      <c r="AF1253">
        <v>9.8124186654778095E-2</v>
      </c>
      <c r="AG1253">
        <v>-0.1834942</v>
      </c>
      <c r="AH1253">
        <v>0.55597325112920704</v>
      </c>
      <c r="AI1253">
        <v>108.005106590312</v>
      </c>
      <c r="AJ1253">
        <v>79.990894851145001</v>
      </c>
      <c r="AK1253">
        <v>0.59363686998996501</v>
      </c>
      <c r="AL1253">
        <v>86.810311674104597</v>
      </c>
      <c r="AM1253">
        <v>88.567472274398398</v>
      </c>
      <c r="AN1253">
        <v>0.99999996323977203</v>
      </c>
    </row>
    <row r="1254" spans="1:40" x14ac:dyDescent="0.25">
      <c r="A1254" t="str">
        <f>"20190312150654842"</f>
        <v>20190312150654842</v>
      </c>
      <c r="B1254" t="str">
        <f>"1552374414831659"</f>
        <v>1552374414831659</v>
      </c>
      <c r="C1254" t="s">
        <v>40</v>
      </c>
      <c r="D1254">
        <v>4.0521379999999896</v>
      </c>
      <c r="E1254">
        <v>0.54510719999999901</v>
      </c>
      <c r="F1254" t="s">
        <v>41</v>
      </c>
      <c r="G1254">
        <v>-297.2724</v>
      </c>
      <c r="H1254">
        <v>0.85719590000000001</v>
      </c>
      <c r="I1254">
        <v>367.11790000000002</v>
      </c>
      <c r="J1254">
        <v>-297.9554</v>
      </c>
      <c r="K1254">
        <v>1.060233</v>
      </c>
      <c r="L1254">
        <v>367.23660000000001</v>
      </c>
      <c r="M1254">
        <v>0.99993770000000004</v>
      </c>
      <c r="N1254">
        <v>0</v>
      </c>
      <c r="O1254">
        <v>-2.6904659999999999E-3</v>
      </c>
      <c r="P1254">
        <v>0.99859290000000001</v>
      </c>
      <c r="Q1254">
        <v>4.5284980000000002E-2</v>
      </c>
      <c r="R1254">
        <v>-2.760547E-2</v>
      </c>
      <c r="S1254">
        <v>3.026672</v>
      </c>
      <c r="T1254">
        <v>-0.78452690000000003</v>
      </c>
      <c r="U1254">
        <v>-0.45993040000000002</v>
      </c>
      <c r="V1254">
        <v>2.491838E-2</v>
      </c>
      <c r="W1254">
        <v>5.6095529999999998E-2</v>
      </c>
      <c r="X1254">
        <v>0.99811439999999996</v>
      </c>
      <c r="Y1254">
        <v>0.14303920000000001</v>
      </c>
      <c r="Z1254">
        <v>-1.7455350000000001E-2</v>
      </c>
      <c r="AA1254">
        <v>0.98956310000000003</v>
      </c>
      <c r="AB1254">
        <v>21</v>
      </c>
      <c r="AC1254">
        <v>0.68299999999999195</v>
      </c>
      <c r="AD1254">
        <v>-0.203037099999999</v>
      </c>
      <c r="AE1254">
        <v>-0.11869999999998899</v>
      </c>
      <c r="AF1254">
        <v>0.107629417431862</v>
      </c>
      <c r="AG1254">
        <v>-0.203037099999999</v>
      </c>
      <c r="AH1254">
        <v>0.62933271327106599</v>
      </c>
      <c r="AI1254">
        <v>107.640964421693</v>
      </c>
      <c r="AJ1254">
        <v>80.295081237858</v>
      </c>
      <c r="AK1254">
        <v>0.669975984245894</v>
      </c>
      <c r="AL1254">
        <v>86.784274867124694</v>
      </c>
      <c r="AM1254">
        <v>88.569881871885798</v>
      </c>
      <c r="AN1254">
        <v>0.99999999481758195</v>
      </c>
    </row>
    <row r="1255" spans="1:40" x14ac:dyDescent="0.25">
      <c r="A1255" t="str">
        <f>"20190312150654853"</f>
        <v>20190312150654853</v>
      </c>
      <c r="B1255" t="str">
        <f>"1552374414841420"</f>
        <v>1552374414841420</v>
      </c>
      <c r="C1255" t="s">
        <v>40</v>
      </c>
      <c r="D1255">
        <v>4.0467750000000002</v>
      </c>
      <c r="E1255">
        <v>0.54513999999999996</v>
      </c>
      <c r="F1255" t="s">
        <v>41</v>
      </c>
      <c r="G1255">
        <v>-297.262</v>
      </c>
      <c r="H1255">
        <v>0.88142140000000002</v>
      </c>
      <c r="I1255">
        <v>367.13119999999998</v>
      </c>
      <c r="J1255">
        <v>-297.85809999999998</v>
      </c>
      <c r="K1255">
        <v>1.060233</v>
      </c>
      <c r="L1255">
        <v>367.2364</v>
      </c>
      <c r="M1255">
        <v>0.99993790000000005</v>
      </c>
      <c r="N1255">
        <v>0</v>
      </c>
      <c r="O1255">
        <v>-2.6783800000000002E-3</v>
      </c>
      <c r="P1255">
        <v>0.99858170000000002</v>
      </c>
      <c r="Q1255">
        <v>4.5507100000000002E-2</v>
      </c>
      <c r="R1255">
        <v>-2.7632879999999999E-2</v>
      </c>
      <c r="S1255">
        <v>3.0269469999999998</v>
      </c>
      <c r="T1255">
        <v>-0.78061759999999902</v>
      </c>
      <c r="U1255">
        <v>-0.46041870000000001</v>
      </c>
      <c r="V1255">
        <v>2.495816E-2</v>
      </c>
      <c r="W1255">
        <v>5.6309289999999998E-2</v>
      </c>
      <c r="X1255">
        <v>0.99810140000000003</v>
      </c>
      <c r="Y1255">
        <v>0.14323250000000001</v>
      </c>
      <c r="Z1255">
        <v>-1.739684E-2</v>
      </c>
      <c r="AA1255">
        <v>0.98953619999999998</v>
      </c>
      <c r="AB1255">
        <v>21</v>
      </c>
      <c r="AC1255">
        <v>0.59609999999997798</v>
      </c>
      <c r="AD1255">
        <v>-0.17881159999999899</v>
      </c>
      <c r="AE1255">
        <v>-0.105200000000024</v>
      </c>
      <c r="AF1255">
        <v>9.5287789047507301E-2</v>
      </c>
      <c r="AG1255">
        <v>-0.17881159999999899</v>
      </c>
      <c r="AH1255">
        <v>0.548514298043287</v>
      </c>
      <c r="AI1255">
        <v>107.806094308486</v>
      </c>
      <c r="AJ1255">
        <v>80.144940910210707</v>
      </c>
      <c r="AK1255">
        <v>0.58474035793165702</v>
      </c>
      <c r="AL1255">
        <v>86.772008030492003</v>
      </c>
      <c r="AM1255">
        <v>88.567581115747203</v>
      </c>
      <c r="AN1255">
        <v>1.0000000252864201</v>
      </c>
    </row>
    <row r="1256" spans="1:40" x14ac:dyDescent="0.25">
      <c r="A1256" t="str">
        <f>"20190312150654863"</f>
        <v>20190312150654863</v>
      </c>
      <c r="B1256" t="str">
        <f>"1552374414851179"</f>
        <v>1552374414851179</v>
      </c>
      <c r="C1256" t="s">
        <v>40</v>
      </c>
      <c r="D1256">
        <v>4.0009509999999997</v>
      </c>
      <c r="E1256">
        <v>0.54534229999999995</v>
      </c>
      <c r="F1256" t="s">
        <v>41</v>
      </c>
      <c r="G1256">
        <v>-297.08390000000003</v>
      </c>
      <c r="H1256">
        <v>0.86155400000000004</v>
      </c>
      <c r="I1256">
        <v>367.11829999999998</v>
      </c>
      <c r="J1256">
        <v>-297.75749999999999</v>
      </c>
      <c r="K1256">
        <v>1.0602309999999999</v>
      </c>
      <c r="L1256">
        <v>367.23610000000002</v>
      </c>
      <c r="M1256">
        <v>0.99993810000000005</v>
      </c>
      <c r="N1256">
        <v>0</v>
      </c>
      <c r="O1256">
        <v>-2.665817E-3</v>
      </c>
      <c r="P1256">
        <v>0.99856979999999995</v>
      </c>
      <c r="Q1256">
        <v>4.5835420000000002E-2</v>
      </c>
      <c r="R1256">
        <v>-2.7525999999999998E-2</v>
      </c>
      <c r="S1256">
        <v>3.0269469999999998</v>
      </c>
      <c r="T1256">
        <v>-0.77686619999999995</v>
      </c>
      <c r="U1256">
        <v>-0.46035769999999998</v>
      </c>
      <c r="V1256">
        <v>2.4863639999999999E-2</v>
      </c>
      <c r="W1256">
        <v>5.6629220000000001E-2</v>
      </c>
      <c r="X1256">
        <v>0.99808560000000002</v>
      </c>
      <c r="Y1256">
        <v>0.14326639999999999</v>
      </c>
      <c r="Z1256">
        <v>-1.732326E-2</v>
      </c>
      <c r="AA1256">
        <v>0.98953250000000004</v>
      </c>
      <c r="AB1256">
        <v>21</v>
      </c>
      <c r="AC1256">
        <v>0.67359999999996401</v>
      </c>
      <c r="AD1256">
        <v>-0.19867699999999899</v>
      </c>
      <c r="AE1256">
        <v>-0.11780000000004499</v>
      </c>
      <c r="AF1256">
        <v>0.10697383079473601</v>
      </c>
      <c r="AG1256">
        <v>-0.19867699999999899</v>
      </c>
      <c r="AH1256">
        <v>0.62145311337489195</v>
      </c>
      <c r="AI1256">
        <v>107.487753826844</v>
      </c>
      <c r="AJ1256">
        <v>80.2331063049959</v>
      </c>
      <c r="AK1256">
        <v>0.66115045407777395</v>
      </c>
      <c r="AL1256">
        <v>86.753647906606105</v>
      </c>
      <c r="AM1256">
        <v>88.572981056211006</v>
      </c>
      <c r="AN1256">
        <v>0.99999996703960803</v>
      </c>
    </row>
    <row r="1257" spans="1:40" x14ac:dyDescent="0.25">
      <c r="A1257" t="str">
        <f>"20190312150654874"</f>
        <v>20190312150654874</v>
      </c>
      <c r="B1257" t="str">
        <f>"1552374414871675"</f>
        <v>1552374414871675</v>
      </c>
      <c r="C1257" t="s">
        <v>40</v>
      </c>
      <c r="D1257">
        <v>4.053102</v>
      </c>
      <c r="E1257">
        <v>0.5451918</v>
      </c>
      <c r="F1257" t="s">
        <v>41</v>
      </c>
      <c r="G1257">
        <v>-297.07400000000001</v>
      </c>
      <c r="H1257">
        <v>0.8842082</v>
      </c>
      <c r="I1257">
        <v>367.13139999999999</v>
      </c>
      <c r="J1257">
        <v>-297.6558</v>
      </c>
      <c r="K1257">
        <v>1.06023</v>
      </c>
      <c r="L1257">
        <v>367.23579999999998</v>
      </c>
      <c r="M1257">
        <v>0.9999382</v>
      </c>
      <c r="N1257">
        <v>0</v>
      </c>
      <c r="O1257">
        <v>-2.6525329999999999E-3</v>
      </c>
      <c r="P1257">
        <v>0.99857209999999996</v>
      </c>
      <c r="Q1257">
        <v>4.5753969999999998E-2</v>
      </c>
      <c r="R1257">
        <v>-2.7574390000000001E-2</v>
      </c>
      <c r="S1257">
        <v>3.0273439999999998</v>
      </c>
      <c r="T1257">
        <v>-0.77979869999999996</v>
      </c>
      <c r="U1257">
        <v>-0.4618835</v>
      </c>
      <c r="V1257">
        <v>2.4925570000000001E-2</v>
      </c>
      <c r="W1257">
        <v>5.6538280000000003E-2</v>
      </c>
      <c r="X1257">
        <v>0.99808929999999996</v>
      </c>
      <c r="Y1257">
        <v>0.14370179999999999</v>
      </c>
      <c r="Z1257">
        <v>-1.7442030000000001E-2</v>
      </c>
      <c r="AA1257">
        <v>0.98946730000000005</v>
      </c>
      <c r="AB1257">
        <v>21</v>
      </c>
      <c r="AC1257">
        <v>0.58179999999998699</v>
      </c>
      <c r="AD1257">
        <v>-0.17602179999999901</v>
      </c>
      <c r="AE1257">
        <v>-0.10439999999999799</v>
      </c>
      <c r="AF1257">
        <v>9.4478061431380794E-2</v>
      </c>
      <c r="AG1257">
        <v>-0.17602179999999901</v>
      </c>
      <c r="AH1257">
        <v>0.53466154305831504</v>
      </c>
      <c r="AI1257">
        <v>107.962607468432</v>
      </c>
      <c r="AJ1257">
        <v>79.978923481402106</v>
      </c>
      <c r="AK1257">
        <v>0.57076505130620103</v>
      </c>
      <c r="AL1257">
        <v>86.758867034810905</v>
      </c>
      <c r="AM1257">
        <v>88.569433434032604</v>
      </c>
      <c r="AN1257">
        <v>1.0000000559598301</v>
      </c>
    </row>
    <row r="1258" spans="1:40" x14ac:dyDescent="0.25">
      <c r="A1258" t="str">
        <f>"20190312150654886"</f>
        <v>20190312150654886</v>
      </c>
      <c r="B1258" t="str">
        <f>"1552374414881436"</f>
        <v>1552374414881436</v>
      </c>
      <c r="C1258" t="s">
        <v>40</v>
      </c>
      <c r="D1258">
        <v>4.0337239999999897</v>
      </c>
      <c r="E1258">
        <v>0.54521699999999995</v>
      </c>
      <c r="F1258" t="s">
        <v>41</v>
      </c>
      <c r="G1258">
        <v>-296.89600000000002</v>
      </c>
      <c r="H1258">
        <v>0.8643305</v>
      </c>
      <c r="I1258">
        <v>367.12</v>
      </c>
      <c r="J1258">
        <v>-297.54649999999998</v>
      </c>
      <c r="K1258">
        <v>1.060227</v>
      </c>
      <c r="L1258">
        <v>367.23559999999998</v>
      </c>
      <c r="M1258">
        <v>0.99993840000000001</v>
      </c>
      <c r="N1258">
        <v>0</v>
      </c>
      <c r="O1258">
        <v>-2.6384059999999998E-3</v>
      </c>
      <c r="P1258">
        <v>0.99857059999999997</v>
      </c>
      <c r="Q1258">
        <v>4.581619E-2</v>
      </c>
      <c r="R1258">
        <v>-2.7531159999999999E-2</v>
      </c>
      <c r="S1258">
        <v>3.0272830000000002</v>
      </c>
      <c r="T1258">
        <v>-0.78052869999999996</v>
      </c>
      <c r="U1258">
        <v>-0.46099849999999998</v>
      </c>
      <c r="V1258">
        <v>2.489628E-2</v>
      </c>
      <c r="W1258">
        <v>5.658875E-2</v>
      </c>
      <c r="X1258">
        <v>0.9980871</v>
      </c>
      <c r="Y1258">
        <v>0.14343529999999999</v>
      </c>
      <c r="Z1258">
        <v>-1.74285E-2</v>
      </c>
      <c r="AA1258">
        <v>0.9895062</v>
      </c>
      <c r="AB1258">
        <v>21</v>
      </c>
      <c r="AC1258">
        <v>0.65050000000002195</v>
      </c>
      <c r="AD1258">
        <v>-0.1958965</v>
      </c>
      <c r="AE1258">
        <v>-0.115599999999972</v>
      </c>
      <c r="AF1258">
        <v>0.104680394964997</v>
      </c>
      <c r="AG1258">
        <v>-0.1958965</v>
      </c>
      <c r="AH1258">
        <v>0.59821185582193004</v>
      </c>
      <c r="AI1258">
        <v>107.87807375201101</v>
      </c>
      <c r="AJ1258">
        <v>80.074375264427999</v>
      </c>
      <c r="AK1258">
        <v>0.638115074456164</v>
      </c>
      <c r="AL1258">
        <v>86.755970450409606</v>
      </c>
      <c r="AM1258">
        <v>88.571110645057999</v>
      </c>
      <c r="AN1258">
        <v>0.99999998528540501</v>
      </c>
    </row>
    <row r="1259" spans="1:40" x14ac:dyDescent="0.25">
      <c r="A1259" t="str">
        <f>"20190312150654898"</f>
        <v>20190312150654898</v>
      </c>
      <c r="B1259" t="str">
        <f>"1552374414891195"</f>
        <v>1552374414891195</v>
      </c>
      <c r="C1259" t="s">
        <v>40</v>
      </c>
      <c r="D1259">
        <v>4.049067</v>
      </c>
      <c r="E1259">
        <v>0.54533659999999995</v>
      </c>
      <c r="F1259" t="s">
        <v>41</v>
      </c>
      <c r="G1259">
        <v>-296.71640000000002</v>
      </c>
      <c r="H1259">
        <v>0.8456439</v>
      </c>
      <c r="I1259">
        <v>367.10890000000001</v>
      </c>
      <c r="J1259">
        <v>-297.43990000000002</v>
      </c>
      <c r="K1259">
        <v>1.0602259999999999</v>
      </c>
      <c r="L1259">
        <v>367.2353</v>
      </c>
      <c r="M1259">
        <v>0.99993849999999995</v>
      </c>
      <c r="N1259">
        <v>0</v>
      </c>
      <c r="O1259">
        <v>-2.6244979999999998E-3</v>
      </c>
      <c r="P1259">
        <v>0.99857470000000004</v>
      </c>
      <c r="Q1259">
        <v>4.5920929999999999E-2</v>
      </c>
      <c r="R1259">
        <v>-2.7198190000000001E-2</v>
      </c>
      <c r="S1259">
        <v>3.0274960000000002</v>
      </c>
      <c r="T1259">
        <v>-0.78267629999999999</v>
      </c>
      <c r="U1259">
        <v>-0.4609375</v>
      </c>
      <c r="V1259">
        <v>2.4577290000000002E-2</v>
      </c>
      <c r="W1259">
        <v>5.6679199999999902E-2</v>
      </c>
      <c r="X1259">
        <v>0.99808989999999997</v>
      </c>
      <c r="Y1259">
        <v>0.1433962</v>
      </c>
      <c r="Z1259">
        <v>-1.7472370000000001E-2</v>
      </c>
      <c r="AA1259">
        <v>0.98951109999999998</v>
      </c>
      <c r="AB1259">
        <v>21</v>
      </c>
      <c r="AC1259">
        <v>0.72350000000000103</v>
      </c>
      <c r="AD1259">
        <v>-0.2145821</v>
      </c>
      <c r="AE1259">
        <v>-0.12639999999998899</v>
      </c>
      <c r="AF1259">
        <v>0.114709103478978</v>
      </c>
      <c r="AG1259">
        <v>-0.2145821</v>
      </c>
      <c r="AH1259">
        <v>0.66690269653039502</v>
      </c>
      <c r="AI1259">
        <v>107.593961334325</v>
      </c>
      <c r="AJ1259">
        <v>80.240465221345303</v>
      </c>
      <c r="AK1259">
        <v>0.70990341786814404</v>
      </c>
      <c r="AL1259">
        <v>86.750779801873307</v>
      </c>
      <c r="AM1259">
        <v>88.589415168638794</v>
      </c>
      <c r="AN1259">
        <v>1.0000000116891901</v>
      </c>
    </row>
    <row r="1260" spans="1:40" x14ac:dyDescent="0.25">
      <c r="A1260" t="str">
        <f>"20190312150654910"</f>
        <v>20190312150654910</v>
      </c>
      <c r="B1260" t="str">
        <f>"1552374414901932"</f>
        <v>1552374414901932</v>
      </c>
      <c r="C1260" t="s">
        <v>40</v>
      </c>
      <c r="D1260">
        <v>4.0470169999999897</v>
      </c>
      <c r="E1260">
        <v>0.54546090000000003</v>
      </c>
      <c r="F1260" t="s">
        <v>41</v>
      </c>
      <c r="G1260">
        <v>-296.70650000000001</v>
      </c>
      <c r="H1260">
        <v>0.87006039999999996</v>
      </c>
      <c r="I1260">
        <v>367.1232</v>
      </c>
      <c r="J1260">
        <v>-297.32089999999999</v>
      </c>
      <c r="K1260">
        <v>1.0602240000000001</v>
      </c>
      <c r="L1260">
        <v>367.23500000000001</v>
      </c>
      <c r="M1260">
        <v>0.99993889999999996</v>
      </c>
      <c r="N1260">
        <v>0</v>
      </c>
      <c r="O1260">
        <v>-2.6090179999999998E-3</v>
      </c>
      <c r="P1260">
        <v>0.99859520000000002</v>
      </c>
      <c r="Q1260">
        <v>4.560927E-2</v>
      </c>
      <c r="R1260">
        <v>-2.6979670000000001E-2</v>
      </c>
      <c r="S1260">
        <v>3.0278320000000001</v>
      </c>
      <c r="T1260">
        <v>-0.78515040000000003</v>
      </c>
      <c r="U1260">
        <v>-0.46133420000000003</v>
      </c>
      <c r="V1260">
        <v>2.4373869999999999E-2</v>
      </c>
      <c r="W1260">
        <v>5.6348820000000001E-2</v>
      </c>
      <c r="X1260">
        <v>0.99811360000000005</v>
      </c>
      <c r="Y1260">
        <v>0.14349120000000001</v>
      </c>
      <c r="Z1260">
        <v>-1.7539820000000001E-2</v>
      </c>
      <c r="AA1260">
        <v>0.98949620000000005</v>
      </c>
      <c r="AB1260">
        <v>21</v>
      </c>
      <c r="AC1260">
        <v>0.61439999999998895</v>
      </c>
      <c r="AD1260">
        <v>-0.19016359999999999</v>
      </c>
      <c r="AE1260">
        <v>-0.111800000000016</v>
      </c>
      <c r="AF1260">
        <v>0.100845472166626</v>
      </c>
      <c r="AG1260">
        <v>-0.19016359999999999</v>
      </c>
      <c r="AH1260">
        <v>0.56252819542171595</v>
      </c>
      <c r="AI1260">
        <v>108.404707695669</v>
      </c>
      <c r="AJ1260">
        <v>79.836441833205299</v>
      </c>
      <c r="AK1260">
        <v>0.60230388896792098</v>
      </c>
      <c r="AL1260">
        <v>86.769739499078398</v>
      </c>
      <c r="AM1260">
        <v>88.601118766845104</v>
      </c>
      <c r="AN1260">
        <v>1.00000001677956</v>
      </c>
    </row>
    <row r="1261" spans="1:40" x14ac:dyDescent="0.25">
      <c r="A1261" t="str">
        <f>"20190312150654925"</f>
        <v>20190312150654925</v>
      </c>
      <c r="B1261" t="str">
        <f>"1552374414921451"</f>
        <v>1552374414921451</v>
      </c>
      <c r="C1261" t="s">
        <v>40</v>
      </c>
      <c r="D1261">
        <v>4.105213</v>
      </c>
      <c r="E1261">
        <v>0.54609589999999997</v>
      </c>
      <c r="F1261" t="s">
        <v>41</v>
      </c>
      <c r="G1261">
        <v>-296.52600000000001</v>
      </c>
      <c r="H1261">
        <v>0.85326239999999998</v>
      </c>
      <c r="I1261">
        <v>367.11380000000003</v>
      </c>
      <c r="J1261">
        <v>-297.18709999999999</v>
      </c>
      <c r="K1261">
        <v>1.060217</v>
      </c>
      <c r="L1261">
        <v>367.23469999999998</v>
      </c>
      <c r="M1261">
        <v>0.99993909999999997</v>
      </c>
      <c r="N1261">
        <v>0</v>
      </c>
      <c r="O1261">
        <v>-2.5914810000000001E-3</v>
      </c>
      <c r="P1261">
        <v>0.9985927</v>
      </c>
      <c r="Q1261">
        <v>4.568374E-2</v>
      </c>
      <c r="R1261">
        <v>-2.6941090000000001E-2</v>
      </c>
      <c r="S1261">
        <v>3.0277099999999999</v>
      </c>
      <c r="T1261">
        <v>-0.78837990000000002</v>
      </c>
      <c r="U1261">
        <v>-0.46182250000000002</v>
      </c>
      <c r="V1261">
        <v>2.435271E-2</v>
      </c>
      <c r="W1261">
        <v>5.6399270000000001E-2</v>
      </c>
      <c r="X1261">
        <v>0.99811119999999998</v>
      </c>
      <c r="Y1261">
        <v>0.14362829999999999</v>
      </c>
      <c r="Z1261">
        <v>-1.763207E-2</v>
      </c>
      <c r="AA1261">
        <v>0.98947470000000004</v>
      </c>
      <c r="AB1261">
        <v>21</v>
      </c>
      <c r="AC1261">
        <v>0.66109999999997604</v>
      </c>
      <c r="AD1261">
        <v>-0.20695459999999999</v>
      </c>
      <c r="AE1261">
        <v>-0.12089999999994901</v>
      </c>
      <c r="AF1261">
        <v>0.108863173073643</v>
      </c>
      <c r="AG1261">
        <v>-0.20695459999999999</v>
      </c>
      <c r="AH1261">
        <v>0.60412422959279399</v>
      </c>
      <c r="AI1261">
        <v>108.63099548306</v>
      </c>
      <c r="AJ1261">
        <v>79.784928337590401</v>
      </c>
      <c r="AK1261">
        <v>0.64780203897016997</v>
      </c>
      <c r="AL1261">
        <v>86.766844106293306</v>
      </c>
      <c r="AM1261">
        <v>88.602329354188399</v>
      </c>
      <c r="AN1261">
        <v>0.99999994985315699</v>
      </c>
    </row>
    <row r="1262" spans="1:40" x14ac:dyDescent="0.25">
      <c r="A1262" t="str">
        <f>"20190312150654938"</f>
        <v>20190312150654938</v>
      </c>
      <c r="B1262" t="str">
        <f>"1552374414931212"</f>
        <v>1552374414931212</v>
      </c>
      <c r="C1262" t="s">
        <v>40</v>
      </c>
      <c r="D1262">
        <v>4.1175519999999999</v>
      </c>
      <c r="E1262">
        <v>0.54625230000000002</v>
      </c>
      <c r="F1262" t="s">
        <v>41</v>
      </c>
      <c r="G1262">
        <v>-296.34429999999998</v>
      </c>
      <c r="H1262">
        <v>0.83865239999999996</v>
      </c>
      <c r="I1262">
        <v>367.10449999999997</v>
      </c>
      <c r="J1262">
        <v>-297.05700000000002</v>
      </c>
      <c r="K1262">
        <v>1.060206</v>
      </c>
      <c r="L1262">
        <v>367.23439999999999</v>
      </c>
      <c r="M1262">
        <v>0.99993949999999998</v>
      </c>
      <c r="N1262">
        <v>0</v>
      </c>
      <c r="O1262">
        <v>-2.5746219999999999E-3</v>
      </c>
      <c r="P1262">
        <v>0.99860020000000005</v>
      </c>
      <c r="Q1262">
        <v>4.5683260000000003E-2</v>
      </c>
      <c r="R1262">
        <v>-2.665886E-2</v>
      </c>
      <c r="S1262">
        <v>3.0280149999999999</v>
      </c>
      <c r="T1262">
        <v>-0.79607899999999998</v>
      </c>
      <c r="U1262">
        <v>-0.46673579999999998</v>
      </c>
      <c r="V1262">
        <v>2.4087580000000001E-2</v>
      </c>
      <c r="W1262">
        <v>5.6367380000000002E-2</v>
      </c>
      <c r="X1262">
        <v>0.99811950000000005</v>
      </c>
      <c r="Y1262">
        <v>0.1450639</v>
      </c>
      <c r="Z1262">
        <v>-1.7983789999999999E-2</v>
      </c>
      <c r="AA1262">
        <v>0.98925879999999999</v>
      </c>
      <c r="AB1262">
        <v>21</v>
      </c>
      <c r="AC1262">
        <v>0.71270000000003997</v>
      </c>
      <c r="AD1262">
        <v>-0.22155359999999999</v>
      </c>
      <c r="AE1262">
        <v>-0.12990000000002</v>
      </c>
      <c r="AF1262">
        <v>0.117111122989851</v>
      </c>
      <c r="AG1262">
        <v>-0.22155359999999999</v>
      </c>
      <c r="AH1262">
        <v>0.65204619165656397</v>
      </c>
      <c r="AI1262">
        <v>108.49152311412701</v>
      </c>
      <c r="AJ1262">
        <v>79.817918142487301</v>
      </c>
      <c r="AK1262">
        <v>0.69854509436022305</v>
      </c>
      <c r="AL1262">
        <v>86.768674389716494</v>
      </c>
      <c r="AM1262">
        <v>88.617551465846503</v>
      </c>
      <c r="AN1262">
        <v>1.00000001465928</v>
      </c>
    </row>
    <row r="1263" spans="1:40" x14ac:dyDescent="0.25">
      <c r="A1263" t="str">
        <f>"20190312150654953"</f>
        <v>20190312150654953</v>
      </c>
      <c r="B1263" t="str">
        <f>"1552374414941947"</f>
        <v>1552374414941947</v>
      </c>
      <c r="C1263" t="s">
        <v>40</v>
      </c>
      <c r="D1263">
        <v>4.0611040000000003</v>
      </c>
      <c r="E1263">
        <v>0.54650089999999996</v>
      </c>
      <c r="F1263" t="s">
        <v>41</v>
      </c>
      <c r="G1263">
        <v>-296.33199999999999</v>
      </c>
      <c r="H1263">
        <v>0.86918320000000004</v>
      </c>
      <c r="I1263">
        <v>367.12240000000003</v>
      </c>
      <c r="J1263">
        <v>-296.91609999999997</v>
      </c>
      <c r="K1263">
        <v>1.0601969999999901</v>
      </c>
      <c r="L1263">
        <v>367.23399999999998</v>
      </c>
      <c r="M1263">
        <v>0.99994000000000005</v>
      </c>
      <c r="N1263">
        <v>0</v>
      </c>
      <c r="O1263">
        <v>-2.5565430000000001E-3</v>
      </c>
      <c r="P1263">
        <v>0.99861929999999999</v>
      </c>
      <c r="Q1263">
        <v>4.535459E-2</v>
      </c>
      <c r="R1263">
        <v>-2.6512580000000001E-2</v>
      </c>
      <c r="S1263">
        <v>3.0282589999999998</v>
      </c>
      <c r="T1263">
        <v>-0.79793630000000004</v>
      </c>
      <c r="U1263">
        <v>-0.46664430000000001</v>
      </c>
      <c r="V1263">
        <v>2.3959250000000001E-2</v>
      </c>
      <c r="W1263">
        <v>5.600223E-2</v>
      </c>
      <c r="X1263">
        <v>0.99814309999999995</v>
      </c>
      <c r="Y1263">
        <v>0.14502039999999999</v>
      </c>
      <c r="Z1263">
        <v>-1.8022090000000001E-2</v>
      </c>
      <c r="AA1263">
        <v>0.98926449999999999</v>
      </c>
      <c r="AB1263">
        <v>21</v>
      </c>
      <c r="AC1263">
        <v>0.58409999999997797</v>
      </c>
      <c r="AD1263">
        <v>-0.19101379999999901</v>
      </c>
      <c r="AE1263">
        <v>-0.111600000000009</v>
      </c>
      <c r="AF1263">
        <v>9.9808332346200901E-2</v>
      </c>
      <c r="AG1263">
        <v>-0.19101379999999901</v>
      </c>
      <c r="AH1263">
        <v>0.52972761988459205</v>
      </c>
      <c r="AI1263">
        <v>109.511974092297</v>
      </c>
      <c r="AJ1263">
        <v>79.329739023062402</v>
      </c>
      <c r="AK1263">
        <v>0.57189100907844703</v>
      </c>
      <c r="AL1263">
        <v>86.7896289057812</v>
      </c>
      <c r="AM1263">
        <v>88.624946321053201</v>
      </c>
      <c r="AN1263">
        <v>0.99999997175157196</v>
      </c>
    </row>
    <row r="1264" spans="1:40" x14ac:dyDescent="0.25">
      <c r="A1264" t="str">
        <f>"20190312150654965"</f>
        <v>20190312150654965</v>
      </c>
      <c r="B1264" t="str">
        <f>"1552374414961466"</f>
        <v>1552374414961466</v>
      </c>
      <c r="C1264" t="s">
        <v>40</v>
      </c>
      <c r="D1264">
        <v>4.1116070000000002</v>
      </c>
      <c r="E1264">
        <v>0.54700539999999997</v>
      </c>
      <c r="F1264" t="s">
        <v>41</v>
      </c>
      <c r="G1264">
        <v>-296.14929999999998</v>
      </c>
      <c r="H1264">
        <v>0.85645559999999998</v>
      </c>
      <c r="I1264">
        <v>367.11509999999998</v>
      </c>
      <c r="J1264">
        <v>-296.80549999999999</v>
      </c>
      <c r="K1264">
        <v>1.060195</v>
      </c>
      <c r="L1264">
        <v>367.23379999999997</v>
      </c>
      <c r="M1264">
        <v>0.9999403</v>
      </c>
      <c r="N1264">
        <v>0</v>
      </c>
      <c r="O1264">
        <v>-2.5423109999999998E-3</v>
      </c>
      <c r="P1264">
        <v>0.99863000000000002</v>
      </c>
      <c r="Q1264">
        <v>4.520395E-2</v>
      </c>
      <c r="R1264">
        <v>-2.6362159999999999E-2</v>
      </c>
      <c r="S1264">
        <v>3.0282290000000001</v>
      </c>
      <c r="T1264">
        <v>-0.80462049999999996</v>
      </c>
      <c r="U1264">
        <v>-0.46878049999999999</v>
      </c>
      <c r="V1264">
        <v>2.3822920000000001E-2</v>
      </c>
      <c r="W1264">
        <v>5.5821309999999999E-2</v>
      </c>
      <c r="X1264">
        <v>0.9981565</v>
      </c>
      <c r="Y1264">
        <v>0.14561859999999999</v>
      </c>
      <c r="Z1264">
        <v>-1.8248730000000001E-2</v>
      </c>
      <c r="AA1264">
        <v>0.98917250000000001</v>
      </c>
      <c r="AB1264">
        <v>21</v>
      </c>
      <c r="AC1264">
        <v>0.656200000000012</v>
      </c>
      <c r="AD1264">
        <v>-0.20373939999999899</v>
      </c>
      <c r="AE1264">
        <v>-0.11869999999998899</v>
      </c>
      <c r="AF1264">
        <v>0.107039569694775</v>
      </c>
      <c r="AG1264">
        <v>-0.20373939999999899</v>
      </c>
      <c r="AH1264">
        <v>0.60045019954103596</v>
      </c>
      <c r="AI1264">
        <v>108.471630858251</v>
      </c>
      <c r="AJ1264">
        <v>79.892314635489598</v>
      </c>
      <c r="AK1264">
        <v>0.64304560858594795</v>
      </c>
      <c r="AL1264">
        <v>86.800011107502897</v>
      </c>
      <c r="AM1264">
        <v>88.632785853093296</v>
      </c>
      <c r="AN1264">
        <v>0.999999974329846</v>
      </c>
    </row>
    <row r="1265" spans="1:40" x14ac:dyDescent="0.25">
      <c r="A1265" t="str">
        <f>"20190312150654976"</f>
        <v>20190312150654976</v>
      </c>
      <c r="B1265" t="str">
        <f>"1552374414971227"</f>
        <v>1552374414971227</v>
      </c>
      <c r="C1265" t="s">
        <v>40</v>
      </c>
      <c r="D1265">
        <v>4.1767430000000001</v>
      </c>
      <c r="E1265">
        <v>0.547261199999999</v>
      </c>
      <c r="F1265" t="s">
        <v>41</v>
      </c>
      <c r="G1265">
        <v>-295.96980000000002</v>
      </c>
      <c r="H1265">
        <v>0.83479519999999996</v>
      </c>
      <c r="I1265">
        <v>367.10300000000001</v>
      </c>
      <c r="J1265">
        <v>-296.70150000000001</v>
      </c>
      <c r="K1265">
        <v>1.0601860000000001</v>
      </c>
      <c r="L1265">
        <v>367.23349999999999</v>
      </c>
      <c r="M1265">
        <v>0.99994070000000002</v>
      </c>
      <c r="N1265">
        <v>0</v>
      </c>
      <c r="O1265">
        <v>-2.528658E-3</v>
      </c>
      <c r="P1265">
        <v>0.99863170000000001</v>
      </c>
      <c r="Q1265">
        <v>4.522292E-2</v>
      </c>
      <c r="R1265">
        <v>-2.6265759999999999E-2</v>
      </c>
      <c r="S1265">
        <v>3.0286559999999998</v>
      </c>
      <c r="T1265">
        <v>-0.81694500000000003</v>
      </c>
      <c r="U1265">
        <v>-0.47268680000000002</v>
      </c>
      <c r="V1265">
        <v>2.3740089999999998E-2</v>
      </c>
      <c r="W1265">
        <v>5.5805590000000002E-2</v>
      </c>
      <c r="X1265">
        <v>0.99815929999999997</v>
      </c>
      <c r="Y1265">
        <v>0.14667469999999999</v>
      </c>
      <c r="Z1265">
        <v>-1.865733E-2</v>
      </c>
      <c r="AA1265">
        <v>0.98900880000000002</v>
      </c>
      <c r="AB1265">
        <v>21</v>
      </c>
      <c r="AC1265">
        <v>0.73169999999998903</v>
      </c>
      <c r="AD1265">
        <v>-0.2253908</v>
      </c>
      <c r="AE1265">
        <v>-0.13049999999998299</v>
      </c>
      <c r="AF1265">
        <v>0.117814814110885</v>
      </c>
      <c r="AG1265">
        <v>-0.2253908</v>
      </c>
      <c r="AH1265">
        <v>0.67037854562563204</v>
      </c>
      <c r="AI1265">
        <v>108.321738926463</v>
      </c>
      <c r="AJ1265">
        <v>80.032414359071893</v>
      </c>
      <c r="AK1265">
        <v>0.71699981700399396</v>
      </c>
      <c r="AL1265">
        <v>86.800913035651902</v>
      </c>
      <c r="AM1265">
        <v>88.637541550646802</v>
      </c>
      <c r="AN1265">
        <v>0.99999992196247001</v>
      </c>
    </row>
    <row r="1266" spans="1:40" x14ac:dyDescent="0.25">
      <c r="A1266" t="str">
        <f>"20190312150654988"</f>
        <v>20190312150654988</v>
      </c>
      <c r="B1266" t="str">
        <f>"1552374414981963"</f>
        <v>1552374414981963</v>
      </c>
      <c r="C1266" t="s">
        <v>40</v>
      </c>
      <c r="D1266">
        <v>4.1951109999999998</v>
      </c>
      <c r="E1266">
        <v>0.54752270000000003</v>
      </c>
      <c r="F1266" t="s">
        <v>41</v>
      </c>
      <c r="G1266">
        <v>-295.96019999999999</v>
      </c>
      <c r="H1266">
        <v>0.85895350000000004</v>
      </c>
      <c r="I1266">
        <v>367.11709999999999</v>
      </c>
      <c r="J1266">
        <v>-296.58940000000001</v>
      </c>
      <c r="K1266">
        <v>1.060176</v>
      </c>
      <c r="L1266">
        <v>367.23320000000001</v>
      </c>
      <c r="M1266">
        <v>0.99994110000000003</v>
      </c>
      <c r="N1266">
        <v>0</v>
      </c>
      <c r="O1266">
        <v>-2.514142E-3</v>
      </c>
      <c r="P1266">
        <v>0.998637</v>
      </c>
      <c r="Q1266">
        <v>4.5171839999999998E-2</v>
      </c>
      <c r="R1266">
        <v>-2.6150570000000001E-2</v>
      </c>
      <c r="S1266">
        <v>3.02887</v>
      </c>
      <c r="T1266">
        <v>-0.82216350000000005</v>
      </c>
      <c r="U1266">
        <v>-0.47445680000000001</v>
      </c>
      <c r="V1266">
        <v>2.3639440000000001E-2</v>
      </c>
      <c r="W1266">
        <v>5.5714659999999999E-2</v>
      </c>
      <c r="X1266">
        <v>0.99816689999999997</v>
      </c>
      <c r="Y1266">
        <v>0.14716270000000001</v>
      </c>
      <c r="Z1266">
        <v>-1.8838899999999999E-2</v>
      </c>
      <c r="AA1266">
        <v>0.98893279999999995</v>
      </c>
      <c r="AB1266">
        <v>21</v>
      </c>
      <c r="AC1266">
        <v>0.62920000000002496</v>
      </c>
      <c r="AD1266">
        <v>-0.2012225</v>
      </c>
      <c r="AE1266">
        <v>-0.116100000000017</v>
      </c>
      <c r="AF1266">
        <v>0.10421032447265099</v>
      </c>
      <c r="AG1266">
        <v>-0.2012225</v>
      </c>
      <c r="AH1266">
        <v>0.57283179176347898</v>
      </c>
      <c r="AI1266">
        <v>109.065373006163</v>
      </c>
      <c r="AJ1266">
        <v>79.689432503026595</v>
      </c>
      <c r="AK1266">
        <v>0.61602479486454398</v>
      </c>
      <c r="AL1266">
        <v>86.806131479624298</v>
      </c>
      <c r="AM1266">
        <v>88.643326078812393</v>
      </c>
      <c r="AN1266">
        <v>1.0000000533590101</v>
      </c>
    </row>
    <row r="1267" spans="1:40" x14ac:dyDescent="0.25">
      <c r="A1267" t="str">
        <f>"20190312150654999"</f>
        <v>20190312150654999</v>
      </c>
      <c r="B1267" t="str">
        <f>"1552374414991723"</f>
        <v>1552374414991723</v>
      </c>
      <c r="C1267" t="s">
        <v>40</v>
      </c>
      <c r="D1267">
        <v>4.1321219999999999</v>
      </c>
      <c r="E1267">
        <v>0.54765900000000001</v>
      </c>
      <c r="F1267" t="s">
        <v>41</v>
      </c>
      <c r="G1267">
        <v>-295.77969999999999</v>
      </c>
      <c r="H1267">
        <v>0.83888949999999995</v>
      </c>
      <c r="I1267">
        <v>367.10550000000001</v>
      </c>
      <c r="J1267">
        <v>-296.47809999999998</v>
      </c>
      <c r="K1267">
        <v>1.060165</v>
      </c>
      <c r="L1267">
        <v>367.233</v>
      </c>
      <c r="M1267">
        <v>0.99994159999999999</v>
      </c>
      <c r="N1267">
        <v>0</v>
      </c>
      <c r="O1267">
        <v>-2.4998389999999998E-3</v>
      </c>
      <c r="P1267">
        <v>0.99864750000000002</v>
      </c>
      <c r="Q1267">
        <v>4.4892069999999999E-2</v>
      </c>
      <c r="R1267">
        <v>-2.6232220000000001E-2</v>
      </c>
      <c r="S1267">
        <v>3.0290530000000002</v>
      </c>
      <c r="T1267">
        <v>-0.82790569999999897</v>
      </c>
      <c r="U1267">
        <v>-0.47714230000000002</v>
      </c>
      <c r="V1267">
        <v>2.3735340000000001E-2</v>
      </c>
      <c r="W1267">
        <v>5.5390429999999997E-2</v>
      </c>
      <c r="X1267">
        <v>0.99818260000000003</v>
      </c>
      <c r="Y1267">
        <v>0.14792659999999999</v>
      </c>
      <c r="Z1267">
        <v>-1.9069320000000001E-2</v>
      </c>
      <c r="AA1267">
        <v>0.98881450000000004</v>
      </c>
      <c r="AB1267">
        <v>21</v>
      </c>
      <c r="AC1267">
        <v>0.69839999999999203</v>
      </c>
      <c r="AD1267">
        <v>-0.22127550000000001</v>
      </c>
      <c r="AE1267">
        <v>-0.127499999999997</v>
      </c>
      <c r="AF1267">
        <v>0.114618971272546</v>
      </c>
      <c r="AG1267">
        <v>-0.22127550000000001</v>
      </c>
      <c r="AH1267">
        <v>0.63684986117809295</v>
      </c>
      <c r="AI1267">
        <v>108.878580799207</v>
      </c>
      <c r="AJ1267">
        <v>79.797246625068198</v>
      </c>
      <c r="AK1267">
        <v>0.68386994462279405</v>
      </c>
      <c r="AL1267">
        <v>86.824737002139202</v>
      </c>
      <c r="AM1267">
        <v>88.637845838102507</v>
      </c>
      <c r="AN1267">
        <v>0.99999998452162997</v>
      </c>
    </row>
    <row r="1268" spans="1:40" x14ac:dyDescent="0.25">
      <c r="A1268" t="str">
        <f>"20190312150655010"</f>
        <v>20190312150655010</v>
      </c>
      <c r="B1268" t="str">
        <f>"1552374415001483"</f>
        <v>1552374415001483</v>
      </c>
      <c r="C1268" t="s">
        <v>40</v>
      </c>
      <c r="D1268">
        <v>4.1569190000000003</v>
      </c>
      <c r="E1268">
        <v>0.54782619999999904</v>
      </c>
      <c r="F1268" t="s">
        <v>41</v>
      </c>
      <c r="G1268">
        <v>-295.76909999999998</v>
      </c>
      <c r="H1268">
        <v>0.86534739999999999</v>
      </c>
      <c r="I1268">
        <v>367.12079999999997</v>
      </c>
      <c r="J1268">
        <v>-296.38260000000002</v>
      </c>
      <c r="K1268">
        <v>1.0601579999999999</v>
      </c>
      <c r="L1268">
        <v>367.2328</v>
      </c>
      <c r="M1268">
        <v>0.999942</v>
      </c>
      <c r="N1268">
        <v>0</v>
      </c>
      <c r="O1268">
        <v>-2.4873500000000002E-3</v>
      </c>
      <c r="P1268">
        <v>0.99866449999999996</v>
      </c>
      <c r="Q1268">
        <v>4.4600540000000001E-2</v>
      </c>
      <c r="R1268">
        <v>-2.607775E-2</v>
      </c>
      <c r="S1268">
        <v>3.02887</v>
      </c>
      <c r="T1268">
        <v>-0.83236339999999998</v>
      </c>
      <c r="U1268">
        <v>-0.47866819999999999</v>
      </c>
      <c r="V1268">
        <v>2.359319E-2</v>
      </c>
      <c r="W1268">
        <v>5.505906E-2</v>
      </c>
      <c r="X1268">
        <v>0.99820430000000004</v>
      </c>
      <c r="Y1268">
        <v>0.14836250000000001</v>
      </c>
      <c r="Z1268">
        <v>-1.9230609999999999E-2</v>
      </c>
      <c r="AA1268">
        <v>0.98874600000000001</v>
      </c>
      <c r="AB1268">
        <v>21</v>
      </c>
      <c r="AC1268">
        <v>0.61350000000004401</v>
      </c>
      <c r="AD1268">
        <v>-0.194810599999999</v>
      </c>
      <c r="AE1268">
        <v>-0.112000000000023</v>
      </c>
      <c r="AF1268">
        <v>0.10065202182013699</v>
      </c>
      <c r="AG1268">
        <v>-0.194810599999999</v>
      </c>
      <c r="AH1268">
        <v>0.55920941078380304</v>
      </c>
      <c r="AI1268">
        <v>108.92471245000699</v>
      </c>
      <c r="AJ1268">
        <v>79.796589197927204</v>
      </c>
      <c r="AK1268">
        <v>0.60066393638873405</v>
      </c>
      <c r="AL1268">
        <v>86.843752113850599</v>
      </c>
      <c r="AM1268">
        <v>88.6460301024334</v>
      </c>
      <c r="AN1268">
        <v>0.99999998162047399</v>
      </c>
    </row>
    <row r="1269" spans="1:40" x14ac:dyDescent="0.25">
      <c r="A1269" t="str">
        <f>"20190312150655021"</f>
        <v>20190312150655021</v>
      </c>
      <c r="B1269" t="str">
        <f>"1552374415011243"</f>
        <v>1552374415011243</v>
      </c>
      <c r="C1269" t="s">
        <v>40</v>
      </c>
      <c r="D1269">
        <v>4.1637420000000001</v>
      </c>
      <c r="E1269">
        <v>0.54789259999999995</v>
      </c>
      <c r="F1269" t="s">
        <v>41</v>
      </c>
      <c r="G1269">
        <v>-295.58999999999997</v>
      </c>
      <c r="H1269">
        <v>0.84119769999999905</v>
      </c>
      <c r="I1269">
        <v>367.1069</v>
      </c>
      <c r="J1269">
        <v>-296.2801</v>
      </c>
      <c r="K1269">
        <v>1.060147</v>
      </c>
      <c r="L1269">
        <v>367.23250000000002</v>
      </c>
      <c r="M1269">
        <v>0.99994260000000001</v>
      </c>
      <c r="N1269">
        <v>0</v>
      </c>
      <c r="O1269">
        <v>-2.4737660000000001E-3</v>
      </c>
      <c r="P1269">
        <v>0.99866869999999996</v>
      </c>
      <c r="Q1269">
        <v>4.4561139999999999E-2</v>
      </c>
      <c r="R1269">
        <v>-2.5982720000000001E-2</v>
      </c>
      <c r="S1269">
        <v>3.02887</v>
      </c>
      <c r="T1269">
        <v>-0.83683790000000002</v>
      </c>
      <c r="U1269">
        <v>-0.4797363</v>
      </c>
      <c r="V1269">
        <v>2.351195E-2</v>
      </c>
      <c r="W1269">
        <v>5.4974799999999997E-2</v>
      </c>
      <c r="X1269">
        <v>0.99821090000000001</v>
      </c>
      <c r="Y1269">
        <v>0.14864959999999999</v>
      </c>
      <c r="Z1269">
        <v>-1.9372179999999999E-2</v>
      </c>
      <c r="AA1269">
        <v>0.98870020000000003</v>
      </c>
      <c r="AB1269">
        <v>21</v>
      </c>
      <c r="AC1269">
        <v>0.69010000000002902</v>
      </c>
      <c r="AD1269">
        <v>-0.21894929999999899</v>
      </c>
      <c r="AE1269">
        <v>-0.125600000000019</v>
      </c>
      <c r="AF1269">
        <v>0.112892788933872</v>
      </c>
      <c r="AG1269">
        <v>-0.21894929999999899</v>
      </c>
      <c r="AH1269">
        <v>0.62911177758216996</v>
      </c>
      <c r="AI1269">
        <v>108.909281065733</v>
      </c>
      <c r="AJ1269">
        <v>79.826669341086301</v>
      </c>
      <c r="AK1269">
        <v>0.67562208849056704</v>
      </c>
      <c r="AL1269">
        <v>86.848587302540906</v>
      </c>
      <c r="AM1269">
        <v>88.650699508568906</v>
      </c>
      <c r="AN1269">
        <v>1.0000000206533199</v>
      </c>
    </row>
    <row r="1270" spans="1:40" x14ac:dyDescent="0.25">
      <c r="A1270" t="str">
        <f>"20190312150655031"</f>
        <v>20190312150655031</v>
      </c>
      <c r="B1270" t="str">
        <f>"1552374415021980"</f>
        <v>1552374415021980</v>
      </c>
      <c r="C1270" t="s">
        <v>40</v>
      </c>
      <c r="D1270">
        <v>4.2588509999999999</v>
      </c>
      <c r="E1270">
        <v>0.5481355</v>
      </c>
      <c r="F1270" t="s">
        <v>41</v>
      </c>
      <c r="G1270">
        <v>-295.57990000000001</v>
      </c>
      <c r="H1270">
        <v>0.86640479999999997</v>
      </c>
      <c r="I1270">
        <v>367.12130000000002</v>
      </c>
      <c r="J1270">
        <v>-296.18360000000001</v>
      </c>
      <c r="K1270">
        <v>1.060135</v>
      </c>
      <c r="L1270">
        <v>367.23230000000001</v>
      </c>
      <c r="M1270">
        <v>0.99994300000000003</v>
      </c>
      <c r="N1270">
        <v>0</v>
      </c>
      <c r="O1270">
        <v>-2.4609150000000002E-3</v>
      </c>
      <c r="P1270">
        <v>0.99867810000000001</v>
      </c>
      <c r="Q1270">
        <v>4.4399760000000003E-2</v>
      </c>
      <c r="R1270">
        <v>-2.5907860000000001E-2</v>
      </c>
      <c r="S1270">
        <v>3.0289609999999998</v>
      </c>
      <c r="T1270">
        <v>-0.83815989999999996</v>
      </c>
      <c r="U1270">
        <v>-0.47970580000000002</v>
      </c>
      <c r="V1270">
        <v>2.3449749999999998E-2</v>
      </c>
      <c r="W1270">
        <v>5.4771500000000001E-2</v>
      </c>
      <c r="X1270">
        <v>0.99822350000000004</v>
      </c>
      <c r="Y1270">
        <v>0.14863180000000001</v>
      </c>
      <c r="Z1270">
        <v>-1.9402229999999999E-2</v>
      </c>
      <c r="AA1270">
        <v>0.98870219999999998</v>
      </c>
      <c r="AB1270">
        <v>21</v>
      </c>
      <c r="AC1270">
        <v>0.60370000000000301</v>
      </c>
      <c r="AD1270">
        <v>-0.19373019999999999</v>
      </c>
      <c r="AE1270">
        <v>-0.11099999999999</v>
      </c>
      <c r="AF1270">
        <v>9.9593220342554994E-2</v>
      </c>
      <c r="AG1270">
        <v>-0.19373019999999999</v>
      </c>
      <c r="AH1270">
        <v>0.54925845458067901</v>
      </c>
      <c r="AI1270">
        <v>109.139494648743</v>
      </c>
      <c r="AJ1270">
        <v>79.722616864967605</v>
      </c>
      <c r="AK1270">
        <v>0.59087650982129702</v>
      </c>
      <c r="AL1270">
        <v>86.860252989196894</v>
      </c>
      <c r="AM1270">
        <v>88.654284699235504</v>
      </c>
      <c r="AN1270">
        <v>0.99999998196978102</v>
      </c>
    </row>
    <row r="1271" spans="1:40" x14ac:dyDescent="0.25">
      <c r="A1271" t="str">
        <f>"20190312150655041"</f>
        <v>20190312150655041</v>
      </c>
      <c r="B1271" t="str">
        <f>"1552374415031739"</f>
        <v>1552374415031739</v>
      </c>
      <c r="C1271" t="s">
        <v>40</v>
      </c>
      <c r="D1271">
        <v>4.1978</v>
      </c>
      <c r="E1271">
        <v>0.54831430000000003</v>
      </c>
      <c r="F1271" t="s">
        <v>41</v>
      </c>
      <c r="G1271">
        <v>-295.40039999999999</v>
      </c>
      <c r="H1271">
        <v>0.84225589999999995</v>
      </c>
      <c r="I1271">
        <v>367.10750000000002</v>
      </c>
      <c r="J1271">
        <v>-296.08100000000002</v>
      </c>
      <c r="K1271">
        <v>1.0601259999999999</v>
      </c>
      <c r="L1271">
        <v>367.2321</v>
      </c>
      <c r="M1271">
        <v>0.99994349999999999</v>
      </c>
      <c r="N1271">
        <v>0</v>
      </c>
      <c r="O1271">
        <v>-2.4469790000000002E-3</v>
      </c>
      <c r="P1271">
        <v>0.99868889999999999</v>
      </c>
      <c r="Q1271">
        <v>4.4296839999999997E-2</v>
      </c>
      <c r="R1271">
        <v>-2.5653680000000002E-2</v>
      </c>
      <c r="S1271">
        <v>3.0289609999999998</v>
      </c>
      <c r="T1271">
        <v>-0.84258480000000002</v>
      </c>
      <c r="U1271">
        <v>-0.48184199999999999</v>
      </c>
      <c r="V1271">
        <v>2.32097E-2</v>
      </c>
      <c r="W1271">
        <v>5.462388E-2</v>
      </c>
      <c r="X1271">
        <v>0.99823720000000005</v>
      </c>
      <c r="Y1271">
        <v>0.1492474</v>
      </c>
      <c r="Z1271">
        <v>-1.9587279999999999E-2</v>
      </c>
      <c r="AA1271">
        <v>0.98860590000000004</v>
      </c>
      <c r="AB1271">
        <v>21</v>
      </c>
      <c r="AC1271">
        <v>0.68059999999996901</v>
      </c>
      <c r="AD1271">
        <v>-0.21787010000000001</v>
      </c>
      <c r="AE1271">
        <v>-0.124599999999986</v>
      </c>
      <c r="AF1271">
        <v>0.11184468617782301</v>
      </c>
      <c r="AG1271">
        <v>-0.21787010000000001</v>
      </c>
      <c r="AH1271">
        <v>0.61948111415235096</v>
      </c>
      <c r="AI1271">
        <v>109.090842178982</v>
      </c>
      <c r="AJ1271">
        <v>79.765740975816698</v>
      </c>
      <c r="AK1271">
        <v>0.666133218727053</v>
      </c>
      <c r="AL1271">
        <v>86.868723676354506</v>
      </c>
      <c r="AM1271">
        <v>88.668073779699299</v>
      </c>
      <c r="AN1271">
        <v>0.99999998295209203</v>
      </c>
    </row>
    <row r="1272" spans="1:40" x14ac:dyDescent="0.25">
      <c r="A1272" t="str">
        <f>"20190312150655053"</f>
        <v>20190312150655053</v>
      </c>
      <c r="B1272" t="str">
        <f>"1552374415041499"</f>
        <v>1552374415041499</v>
      </c>
      <c r="C1272" t="s">
        <v>40</v>
      </c>
      <c r="D1272">
        <v>4.3120200000000004</v>
      </c>
      <c r="E1272">
        <v>0.54858589999999996</v>
      </c>
      <c r="F1272" t="s">
        <v>41</v>
      </c>
      <c r="G1272">
        <v>-295.3904</v>
      </c>
      <c r="H1272">
        <v>0.86703410000000003</v>
      </c>
      <c r="I1272">
        <v>367.12189999999998</v>
      </c>
      <c r="J1272">
        <v>-295.97590000000002</v>
      </c>
      <c r="K1272">
        <v>1.060122</v>
      </c>
      <c r="L1272">
        <v>367.23180000000002</v>
      </c>
      <c r="M1272">
        <v>0.99994419999999995</v>
      </c>
      <c r="N1272">
        <v>0</v>
      </c>
      <c r="O1272">
        <v>-2.4332910000000002E-3</v>
      </c>
      <c r="P1272">
        <v>0.99867709999999998</v>
      </c>
      <c r="Q1272">
        <v>4.4561370000000003E-2</v>
      </c>
      <c r="R1272">
        <v>-2.5663720000000001E-2</v>
      </c>
      <c r="S1272">
        <v>3.0291440000000001</v>
      </c>
      <c r="T1272">
        <v>-0.84702520000000003</v>
      </c>
      <c r="U1272">
        <v>-0.48269649999999997</v>
      </c>
      <c r="V1272">
        <v>2.323327E-2</v>
      </c>
      <c r="W1272">
        <v>5.484576E-2</v>
      </c>
      <c r="X1272">
        <v>0.99822449999999996</v>
      </c>
      <c r="Y1272">
        <v>0.1494596</v>
      </c>
      <c r="Z1272">
        <v>-1.97179E-2</v>
      </c>
      <c r="AA1272">
        <v>0.98857119999999998</v>
      </c>
      <c r="AB1272">
        <v>21</v>
      </c>
      <c r="AC1272">
        <v>0.585500000000024</v>
      </c>
      <c r="AD1272">
        <v>-0.19308790000000001</v>
      </c>
      <c r="AE1272">
        <v>-0.109900000000038</v>
      </c>
      <c r="AF1272">
        <v>9.8162413353265199E-2</v>
      </c>
      <c r="AG1272">
        <v>-0.19308790000000001</v>
      </c>
      <c r="AH1272">
        <v>0.53007811718150799</v>
      </c>
      <c r="AI1272">
        <v>109.70617225881099</v>
      </c>
      <c r="AJ1272">
        <v>79.508543986953796</v>
      </c>
      <c r="AK1272">
        <v>0.57262693513005503</v>
      </c>
      <c r="AL1272">
        <v>86.855991847727793</v>
      </c>
      <c r="AM1272">
        <v>88.666704708437607</v>
      </c>
      <c r="AN1272">
        <v>0.99999999731255995</v>
      </c>
    </row>
    <row r="1273" spans="1:40" x14ac:dyDescent="0.25">
      <c r="A1273" t="str">
        <f>"20190312150655063"</f>
        <v>20190312150655063</v>
      </c>
      <c r="B1273" t="str">
        <f>"1552374415051259"</f>
        <v>1552374415051259</v>
      </c>
      <c r="C1273" t="s">
        <v>40</v>
      </c>
      <c r="D1273">
        <v>4.2122289999999998</v>
      </c>
      <c r="E1273">
        <v>0.54874699999999998</v>
      </c>
      <c r="F1273" t="s">
        <v>41</v>
      </c>
      <c r="G1273">
        <v>-295.2097</v>
      </c>
      <c r="H1273">
        <v>0.84505509999999995</v>
      </c>
      <c r="I1273">
        <v>367.10890000000001</v>
      </c>
      <c r="J1273">
        <v>-295.87110000000001</v>
      </c>
      <c r="K1273">
        <v>1.0601160000000001</v>
      </c>
      <c r="L1273">
        <v>367.23160000000001</v>
      </c>
      <c r="M1273">
        <v>0.99994459999999996</v>
      </c>
      <c r="N1273">
        <v>0</v>
      </c>
      <c r="O1273">
        <v>-2.4193690000000002E-3</v>
      </c>
      <c r="P1273">
        <v>0.9986739</v>
      </c>
      <c r="Q1273">
        <v>4.4692419999999997E-2</v>
      </c>
      <c r="R1273">
        <v>-2.5563059999999999E-2</v>
      </c>
      <c r="S1273">
        <v>3.0294490000000001</v>
      </c>
      <c r="T1273">
        <v>-0.85031880000000004</v>
      </c>
      <c r="U1273">
        <v>-0.4851685</v>
      </c>
      <c r="V1273">
        <v>2.3146650000000001E-2</v>
      </c>
      <c r="W1273">
        <v>5.4935749999999998E-2</v>
      </c>
      <c r="X1273">
        <v>0.99822160000000004</v>
      </c>
      <c r="Y1273">
        <v>0.1501767</v>
      </c>
      <c r="Z1273">
        <v>-1.9890629999999999E-2</v>
      </c>
      <c r="AA1273">
        <v>0.98845910000000003</v>
      </c>
      <c r="AB1273">
        <v>21</v>
      </c>
      <c r="AC1273">
        <v>0.66140000000001398</v>
      </c>
      <c r="AD1273">
        <v>-0.2150609</v>
      </c>
      <c r="AE1273">
        <v>-0.122700000000008</v>
      </c>
      <c r="AF1273">
        <v>0.109869474495135</v>
      </c>
      <c r="AG1273">
        <v>-0.2150609</v>
      </c>
      <c r="AH1273">
        <v>0.60033396686453999</v>
      </c>
      <c r="AI1273">
        <v>109.411574426535</v>
      </c>
      <c r="AJ1273">
        <v>79.628848931024905</v>
      </c>
      <c r="AK1273">
        <v>0.64708837410817599</v>
      </c>
      <c r="AL1273">
        <v>86.850828129011504</v>
      </c>
      <c r="AM1273">
        <v>88.671669956867206</v>
      </c>
      <c r="AN1273">
        <v>1.00000003337042</v>
      </c>
    </row>
    <row r="1274" spans="1:40" x14ac:dyDescent="0.25">
      <c r="A1274" t="str">
        <f>"20190312150655076"</f>
        <v>20190312150655076</v>
      </c>
      <c r="B1274" t="str">
        <f>"1552374415071756"</f>
        <v>1552374415071756</v>
      </c>
      <c r="C1274" t="s">
        <v>40</v>
      </c>
      <c r="D1274">
        <v>4.2304469999999998</v>
      </c>
      <c r="E1274">
        <v>0.54893080000000005</v>
      </c>
      <c r="F1274" t="s">
        <v>41</v>
      </c>
      <c r="G1274">
        <v>-295.19909999999999</v>
      </c>
      <c r="H1274">
        <v>0.87099119999999997</v>
      </c>
      <c r="I1274">
        <v>367.12360000000001</v>
      </c>
      <c r="J1274">
        <v>-295.75670000000002</v>
      </c>
      <c r="K1274">
        <v>1.0601119999999999</v>
      </c>
      <c r="L1274">
        <v>367.23140000000001</v>
      </c>
      <c r="M1274">
        <v>0.99994510000000003</v>
      </c>
      <c r="N1274">
        <v>0</v>
      </c>
      <c r="O1274">
        <v>-2.4046129999999999E-3</v>
      </c>
      <c r="P1274">
        <v>0.99867519999999999</v>
      </c>
      <c r="Q1274">
        <v>4.4715909999999998E-2</v>
      </c>
      <c r="R1274">
        <v>-2.5470590000000001E-2</v>
      </c>
      <c r="S1274">
        <v>3.0296630000000002</v>
      </c>
      <c r="T1274">
        <v>-0.85266439999999999</v>
      </c>
      <c r="U1274">
        <v>-0.48587039999999998</v>
      </c>
      <c r="V1274">
        <v>2.30689E-2</v>
      </c>
      <c r="W1274">
        <v>5.491766E-2</v>
      </c>
      <c r="X1274">
        <v>0.99822440000000001</v>
      </c>
      <c r="Y1274">
        <v>0.15036669999999999</v>
      </c>
      <c r="Z1274">
        <v>-1.9971920000000001E-2</v>
      </c>
      <c r="AA1274">
        <v>0.98842850000000004</v>
      </c>
      <c r="AB1274">
        <v>21</v>
      </c>
      <c r="AC1274">
        <v>0.55760000000003596</v>
      </c>
      <c r="AD1274">
        <v>-0.18912080000000001</v>
      </c>
      <c r="AE1274">
        <v>-0.107799999999997</v>
      </c>
      <c r="AF1274">
        <v>9.5831896895020904E-2</v>
      </c>
      <c r="AG1274">
        <v>-0.18912080000000001</v>
      </c>
      <c r="AH1274">
        <v>0.50217126800103495</v>
      </c>
      <c r="AI1274">
        <v>110.30096319194899</v>
      </c>
      <c r="AJ1274">
        <v>79.195860204590403</v>
      </c>
      <c r="AK1274">
        <v>0.54509303046443902</v>
      </c>
      <c r="AL1274">
        <v>86.851866191710599</v>
      </c>
      <c r="AM1274">
        <v>88.676133962112203</v>
      </c>
      <c r="AN1274">
        <v>1.00000003814122</v>
      </c>
    </row>
    <row r="1275" spans="1:40" x14ac:dyDescent="0.25">
      <c r="A1275" t="str">
        <f>"20190312150655087"</f>
        <v>20190312150655087</v>
      </c>
      <c r="B1275" t="str">
        <f>"1552374415081515"</f>
        <v>1552374415081515</v>
      </c>
      <c r="C1275" t="s">
        <v>40</v>
      </c>
      <c r="D1275">
        <v>4.1661929999999998</v>
      </c>
      <c r="E1275">
        <v>0.54898939999999996</v>
      </c>
      <c r="F1275" t="s">
        <v>41</v>
      </c>
      <c r="G1275">
        <v>-295.01749999999998</v>
      </c>
      <c r="H1275">
        <v>0.85076169999999995</v>
      </c>
      <c r="I1275">
        <v>367.1123</v>
      </c>
      <c r="J1275">
        <v>-295.65320000000003</v>
      </c>
      <c r="K1275">
        <v>1.0601100000000001</v>
      </c>
      <c r="L1275">
        <v>367.23110000000003</v>
      </c>
      <c r="M1275">
        <v>0.99994530000000004</v>
      </c>
      <c r="N1275">
        <v>0</v>
      </c>
      <c r="O1275">
        <v>-2.3911929999999998E-3</v>
      </c>
      <c r="P1275">
        <v>0.99867289999999997</v>
      </c>
      <c r="Q1275">
        <v>4.47491E-2</v>
      </c>
      <c r="R1275">
        <v>-2.548978E-2</v>
      </c>
      <c r="S1275">
        <v>3.0299990000000001</v>
      </c>
      <c r="T1275">
        <v>-0.85827989999999998</v>
      </c>
      <c r="U1275">
        <v>-0.48712159999999899</v>
      </c>
      <c r="V1275">
        <v>2.310152E-2</v>
      </c>
      <c r="W1275">
        <v>5.4913839999999998E-2</v>
      </c>
      <c r="X1275">
        <v>0.99822379999999999</v>
      </c>
      <c r="Y1275">
        <v>0.15067729999999999</v>
      </c>
      <c r="Z1275">
        <v>-2.0142429999999999E-2</v>
      </c>
      <c r="AA1275">
        <v>0.98837770000000003</v>
      </c>
      <c r="AB1275">
        <v>21</v>
      </c>
      <c r="AC1275">
        <v>0.63570000000004201</v>
      </c>
      <c r="AD1275">
        <v>-0.20934829999999999</v>
      </c>
      <c r="AE1275">
        <v>-0.118800000000021</v>
      </c>
      <c r="AF1275">
        <v>0.106155329367926</v>
      </c>
      <c r="AG1275">
        <v>-0.20934829999999999</v>
      </c>
      <c r="AH1275">
        <v>0.57565821273527995</v>
      </c>
      <c r="AI1275">
        <v>109.67896244480001</v>
      </c>
      <c r="AJ1275">
        <v>79.551644561067903</v>
      </c>
      <c r="AK1275">
        <v>0.621673581999171</v>
      </c>
      <c r="AL1275">
        <v>86.852085216924905</v>
      </c>
      <c r="AM1275">
        <v>88.674261853556203</v>
      </c>
      <c r="AN1275">
        <v>0.99999998246814703</v>
      </c>
    </row>
    <row r="1276" spans="1:40" x14ac:dyDescent="0.25">
      <c r="A1276" t="str">
        <f>"20190312150655098"</f>
        <v>20190312150655098</v>
      </c>
      <c r="B1276" t="str">
        <f>"1552374415091275"</f>
        <v>1552374415091275</v>
      </c>
      <c r="C1276" t="s">
        <v>40</v>
      </c>
      <c r="D1276">
        <v>4.2812789999999996</v>
      </c>
      <c r="E1276">
        <v>0.54911889999999997</v>
      </c>
      <c r="F1276" t="s">
        <v>41</v>
      </c>
      <c r="G1276">
        <v>-294.83620000000002</v>
      </c>
      <c r="H1276">
        <v>0.82841719999999897</v>
      </c>
      <c r="I1276">
        <v>367.0994</v>
      </c>
      <c r="J1276">
        <v>-295.54239999999999</v>
      </c>
      <c r="K1276">
        <v>1.0601050000000001</v>
      </c>
      <c r="L1276">
        <v>367.23090000000002</v>
      </c>
      <c r="M1276">
        <v>0.99994590000000005</v>
      </c>
      <c r="N1276">
        <v>0</v>
      </c>
      <c r="O1276">
        <v>-2.377054E-3</v>
      </c>
      <c r="P1276">
        <v>0.99866820000000001</v>
      </c>
      <c r="Q1276">
        <v>4.4823300000000003E-2</v>
      </c>
      <c r="R1276">
        <v>-2.5557759999999999E-2</v>
      </c>
      <c r="S1276">
        <v>3.0300600000000002</v>
      </c>
      <c r="T1276">
        <v>-0.8593423</v>
      </c>
      <c r="U1276">
        <v>-0.4877319</v>
      </c>
      <c r="V1276">
        <v>2.3183450000000001E-2</v>
      </c>
      <c r="W1276">
        <v>5.4950510000000001E-2</v>
      </c>
      <c r="X1276">
        <v>0.99821990000000005</v>
      </c>
      <c r="Y1276">
        <v>0.1508612</v>
      </c>
      <c r="Z1276">
        <v>-2.0195069999999999E-2</v>
      </c>
      <c r="AA1276">
        <v>0.98834869999999997</v>
      </c>
      <c r="AB1276">
        <v>21</v>
      </c>
      <c r="AC1276">
        <v>0.70619999999996697</v>
      </c>
      <c r="AD1276">
        <v>-0.231687799999999</v>
      </c>
      <c r="AE1276">
        <v>-0.13150000000001599</v>
      </c>
      <c r="AF1276">
        <v>0.117588449323732</v>
      </c>
      <c r="AG1276">
        <v>-0.231687799999999</v>
      </c>
      <c r="AH1276">
        <v>0.63993938951629104</v>
      </c>
      <c r="AI1276">
        <v>109.60005081903699</v>
      </c>
      <c r="AJ1276">
        <v>79.588082777342507</v>
      </c>
      <c r="AK1276">
        <v>0.69067264484535895</v>
      </c>
      <c r="AL1276">
        <v>86.849981058220294</v>
      </c>
      <c r="AM1276">
        <v>88.6695565877028</v>
      </c>
      <c r="AN1276">
        <v>0.99999999982958598</v>
      </c>
    </row>
    <row r="1277" spans="1:40" x14ac:dyDescent="0.25">
      <c r="A1277" t="str">
        <f>"20190312150655110"</f>
        <v>20190312150655110</v>
      </c>
      <c r="B1277" t="str">
        <f>"1552374415102012"</f>
        <v>1552374415102012</v>
      </c>
      <c r="C1277" t="s">
        <v>40</v>
      </c>
      <c r="D1277">
        <v>4.2046419999999998</v>
      </c>
      <c r="E1277">
        <v>0.54919640000000003</v>
      </c>
      <c r="F1277" t="s">
        <v>41</v>
      </c>
      <c r="G1277">
        <v>-294.8252</v>
      </c>
      <c r="H1277">
        <v>0.85606090000000001</v>
      </c>
      <c r="I1277">
        <v>367.11489999999998</v>
      </c>
      <c r="J1277">
        <v>-295.42809999999997</v>
      </c>
      <c r="K1277">
        <v>1.060098</v>
      </c>
      <c r="L1277">
        <v>367.23059999999998</v>
      </c>
      <c r="M1277">
        <v>0.99994620000000001</v>
      </c>
      <c r="N1277">
        <v>0</v>
      </c>
      <c r="O1277">
        <v>-2.3624420000000002E-3</v>
      </c>
      <c r="P1277">
        <v>0.99868469999999998</v>
      </c>
      <c r="Q1277">
        <v>4.4556119999999998E-2</v>
      </c>
      <c r="R1277">
        <v>-2.536689E-2</v>
      </c>
      <c r="S1277">
        <v>3.0301819999999999</v>
      </c>
      <c r="T1277">
        <v>-0.86204910000000001</v>
      </c>
      <c r="U1277">
        <v>-0.48925780000000002</v>
      </c>
      <c r="V1277">
        <v>2.3007489999999998E-2</v>
      </c>
      <c r="W1277">
        <v>5.4647220000000003E-2</v>
      </c>
      <c r="X1277">
        <v>0.99824060000000003</v>
      </c>
      <c r="Y1277">
        <v>0.15130250000000001</v>
      </c>
      <c r="Z1277">
        <v>-2.0319980000000001E-2</v>
      </c>
      <c r="AA1277">
        <v>0.98827860000000001</v>
      </c>
      <c r="AB1277">
        <v>21</v>
      </c>
      <c r="AC1277">
        <v>0.60289999999997601</v>
      </c>
      <c r="AD1277">
        <v>-0.2040371</v>
      </c>
      <c r="AE1277">
        <v>-0.11570000000000299</v>
      </c>
      <c r="AF1277">
        <v>0.10290768559791701</v>
      </c>
      <c r="AG1277">
        <v>-0.2040371</v>
      </c>
      <c r="AH1277">
        <v>0.54317080405939899</v>
      </c>
      <c r="AI1277">
        <v>110.257860953272</v>
      </c>
      <c r="AJ1277">
        <v>79.2720457340736</v>
      </c>
      <c r="AK1277">
        <v>0.58928401667961805</v>
      </c>
      <c r="AL1277">
        <v>86.867384381198207</v>
      </c>
      <c r="AM1277">
        <v>88.6796782977502</v>
      </c>
      <c r="AN1277">
        <v>0.99999997936909402</v>
      </c>
    </row>
    <row r="1278" spans="1:40" x14ac:dyDescent="0.25">
      <c r="A1278" t="str">
        <f>"20190312150655123"</f>
        <v>20190312150655123</v>
      </c>
      <c r="B1278" t="str">
        <f>"1552374415111771"</f>
        <v>1552374415111771</v>
      </c>
      <c r="C1278" t="s">
        <v>40</v>
      </c>
      <c r="D1278">
        <v>4.2771939999999997</v>
      </c>
      <c r="E1278">
        <v>0.54934329999999998</v>
      </c>
      <c r="F1278" t="s">
        <v>41</v>
      </c>
      <c r="G1278">
        <v>-294.64269999999999</v>
      </c>
      <c r="H1278">
        <v>0.83589669999999905</v>
      </c>
      <c r="I1278">
        <v>367.1037</v>
      </c>
      <c r="J1278">
        <v>-295.3073</v>
      </c>
      <c r="K1278">
        <v>1.0600940000000001</v>
      </c>
      <c r="L1278">
        <v>367.2303</v>
      </c>
      <c r="M1278">
        <v>0.99994660000000002</v>
      </c>
      <c r="N1278">
        <v>0</v>
      </c>
      <c r="O1278">
        <v>-2.3468730000000002E-3</v>
      </c>
      <c r="P1278">
        <v>0.99868219999999996</v>
      </c>
      <c r="Q1278">
        <v>4.4617499999999997E-2</v>
      </c>
      <c r="R1278">
        <v>-2.536617E-2</v>
      </c>
      <c r="S1278">
        <v>3.03009</v>
      </c>
      <c r="T1278">
        <v>-0.86503580000000002</v>
      </c>
      <c r="U1278">
        <v>-0.48928830000000001</v>
      </c>
      <c r="V1278">
        <v>2.3022020000000001E-2</v>
      </c>
      <c r="W1278">
        <v>5.4671020000000001E-2</v>
      </c>
      <c r="X1278">
        <v>0.99823899999999999</v>
      </c>
      <c r="Y1278">
        <v>0.15129239999999999</v>
      </c>
      <c r="Z1278">
        <v>-2.0391240000000001E-2</v>
      </c>
      <c r="AA1278">
        <v>0.98827869999999995</v>
      </c>
      <c r="AB1278">
        <v>21</v>
      </c>
      <c r="AC1278">
        <v>0.66460000000000696</v>
      </c>
      <c r="AD1278">
        <v>-0.22419729999999999</v>
      </c>
      <c r="AE1278">
        <v>-0.12659999999999599</v>
      </c>
      <c r="AF1278">
        <v>0.112667320904796</v>
      </c>
      <c r="AG1278">
        <v>-0.22419729999999999</v>
      </c>
      <c r="AH1278">
        <v>0.59910482671610599</v>
      </c>
      <c r="AI1278">
        <v>110.192189074141</v>
      </c>
      <c r="AJ1278">
        <v>79.349382675978404</v>
      </c>
      <c r="AK1278">
        <v>0.64952671070687296</v>
      </c>
      <c r="AL1278">
        <v>86.866018819572105</v>
      </c>
      <c r="AM1278">
        <v>88.678842649013404</v>
      </c>
      <c r="AN1278">
        <v>1.00000001747686</v>
      </c>
    </row>
    <row r="1279" spans="1:40" x14ac:dyDescent="0.25">
      <c r="A1279" t="str">
        <f>"20190312150655136"</f>
        <v>20190312150655136</v>
      </c>
      <c r="B1279" t="str">
        <f>"1552374415131881"</f>
        <v>1552374415131881</v>
      </c>
      <c r="C1279" t="s">
        <v>40</v>
      </c>
      <c r="D1279">
        <v>4.2835380000000001</v>
      </c>
      <c r="E1279">
        <v>0.54957460000000002</v>
      </c>
      <c r="F1279" t="s">
        <v>41</v>
      </c>
      <c r="G1279">
        <v>-294.63049999999998</v>
      </c>
      <c r="H1279">
        <v>0.86637649999999999</v>
      </c>
      <c r="I1279">
        <v>367.12060000000002</v>
      </c>
      <c r="J1279">
        <v>-295.18959999999998</v>
      </c>
      <c r="K1279">
        <v>1.0600909999999999</v>
      </c>
      <c r="L1279">
        <v>367.23</v>
      </c>
      <c r="M1279">
        <v>0.99994689999999997</v>
      </c>
      <c r="N1279">
        <v>0</v>
      </c>
      <c r="O1279">
        <v>-2.3316840000000001E-3</v>
      </c>
      <c r="P1279">
        <v>0.99867470000000003</v>
      </c>
      <c r="Q1279">
        <v>4.4759019999999997E-2</v>
      </c>
      <c r="R1279">
        <v>-2.5411360000000001E-2</v>
      </c>
      <c r="S1279">
        <v>3.030243</v>
      </c>
      <c r="T1279">
        <v>-0.86729299999999998</v>
      </c>
      <c r="U1279">
        <v>-0.49047849999999998</v>
      </c>
      <c r="V1279">
        <v>2.308232E-2</v>
      </c>
      <c r="W1279">
        <v>5.4779109999999999E-2</v>
      </c>
      <c r="X1279">
        <v>0.9982316</v>
      </c>
      <c r="Y1279">
        <v>0.15163509999999999</v>
      </c>
      <c r="Z1279">
        <v>-2.049287E-2</v>
      </c>
      <c r="AA1279">
        <v>0.98822410000000005</v>
      </c>
      <c r="AB1279">
        <v>21</v>
      </c>
      <c r="AC1279">
        <v>0.55910000000000004</v>
      </c>
      <c r="AD1279">
        <v>-0.19371449999999901</v>
      </c>
      <c r="AE1279">
        <v>-0.109399999999993</v>
      </c>
      <c r="AF1279">
        <v>9.6893322274414703E-2</v>
      </c>
      <c r="AG1279">
        <v>-0.19371449999999901</v>
      </c>
      <c r="AH1279">
        <v>0.50138423649295805</v>
      </c>
      <c r="AI1279">
        <v>110.77378187734</v>
      </c>
      <c r="AJ1279">
        <v>79.062327100484794</v>
      </c>
      <c r="AK1279">
        <v>0.54616826712584698</v>
      </c>
      <c r="AL1279">
        <v>86.859816167643501</v>
      </c>
      <c r="AM1279">
        <v>88.675373647318096</v>
      </c>
      <c r="AN1279">
        <v>0.99999993581376501</v>
      </c>
    </row>
    <row r="1280" spans="1:40" x14ac:dyDescent="0.25">
      <c r="A1280" t="str">
        <f>"20190312150655149"</f>
        <v>20190312150655149</v>
      </c>
      <c r="B1280" t="str">
        <f>"1552374415141640"</f>
        <v>1552374415141640</v>
      </c>
      <c r="C1280" t="s">
        <v>40</v>
      </c>
      <c r="D1280">
        <v>4.2207809999999997</v>
      </c>
      <c r="E1280">
        <v>0.54960319999999996</v>
      </c>
      <c r="F1280" t="s">
        <v>41</v>
      </c>
      <c r="G1280">
        <v>-294.44740000000002</v>
      </c>
      <c r="H1280">
        <v>0.84678030000000004</v>
      </c>
      <c r="I1280">
        <v>367.10899999999998</v>
      </c>
      <c r="J1280">
        <v>-295.06450000000001</v>
      </c>
      <c r="K1280">
        <v>1.0600889999999901</v>
      </c>
      <c r="L1280">
        <v>367.22969999999998</v>
      </c>
      <c r="M1280">
        <v>0.99994740000000004</v>
      </c>
      <c r="N1280">
        <v>0</v>
      </c>
      <c r="O1280">
        <v>-2.3157770000000002E-3</v>
      </c>
      <c r="P1280">
        <v>0.9986775</v>
      </c>
      <c r="Q1280">
        <v>4.4755820000000002E-2</v>
      </c>
      <c r="R1280">
        <v>-2.530686E-2</v>
      </c>
      <c r="S1280">
        <v>3.0304869999999999</v>
      </c>
      <c r="T1280">
        <v>-0.87106859999999997</v>
      </c>
      <c r="U1280">
        <v>-0.49264530000000001</v>
      </c>
      <c r="V1280">
        <v>2.2993710000000001E-2</v>
      </c>
      <c r="W1280">
        <v>5.4741489999999997E-2</v>
      </c>
      <c r="X1280">
        <v>0.99823580000000001</v>
      </c>
      <c r="Y1280">
        <v>0.15225339999999901</v>
      </c>
      <c r="Z1280">
        <v>-2.0667020000000001E-2</v>
      </c>
      <c r="AA1280">
        <v>0.98812540000000004</v>
      </c>
      <c r="AB1280">
        <v>21</v>
      </c>
      <c r="AC1280">
        <v>0.61709999999999299</v>
      </c>
      <c r="AD1280">
        <v>-0.21330869999999899</v>
      </c>
      <c r="AE1280">
        <v>-0.12069999999994201</v>
      </c>
      <c r="AF1280">
        <v>0.106961378263482</v>
      </c>
      <c r="AG1280">
        <v>-0.21330869999999899</v>
      </c>
      <c r="AH1280">
        <v>0.55366219354952795</v>
      </c>
      <c r="AI1280">
        <v>110.720345816783</v>
      </c>
      <c r="AJ1280">
        <v>79.065793239433205</v>
      </c>
      <c r="AK1280">
        <v>0.60289564810320895</v>
      </c>
      <c r="AL1280">
        <v>86.861975160246004</v>
      </c>
      <c r="AM1280">
        <v>88.680462462773505</v>
      </c>
      <c r="AN1280">
        <v>1.0000000269143099</v>
      </c>
    </row>
    <row r="1281" spans="1:40" x14ac:dyDescent="0.25">
      <c r="A1281" t="str">
        <f>"20190312150655162"</f>
        <v>20190312150655162</v>
      </c>
      <c r="B1281" t="str">
        <f>"1552374415151400"</f>
        <v>1552374415151400</v>
      </c>
      <c r="C1281" t="s">
        <v>40</v>
      </c>
      <c r="D1281">
        <v>4.2518390000000004</v>
      </c>
      <c r="E1281">
        <v>0.54966309999999996</v>
      </c>
      <c r="F1281" t="s">
        <v>41</v>
      </c>
      <c r="G1281">
        <v>-294.26310000000001</v>
      </c>
      <c r="H1281">
        <v>0.82938789999999996</v>
      </c>
      <c r="I1281">
        <v>367.09910000000002</v>
      </c>
      <c r="J1281">
        <v>-294.94029999999998</v>
      </c>
      <c r="K1281">
        <v>1.0600879999999999</v>
      </c>
      <c r="L1281">
        <v>367.22949999999997</v>
      </c>
      <c r="M1281">
        <v>0.99994780000000005</v>
      </c>
      <c r="N1281">
        <v>0</v>
      </c>
      <c r="O1281">
        <v>-2.3002410000000002E-3</v>
      </c>
      <c r="P1281">
        <v>0.99867669999999997</v>
      </c>
      <c r="Q1281">
        <v>4.4795990000000001E-2</v>
      </c>
      <c r="R1281">
        <v>-2.5273940000000002E-2</v>
      </c>
      <c r="S1281">
        <v>3.0305789999999999</v>
      </c>
      <c r="T1281">
        <v>-0.87246499999999905</v>
      </c>
      <c r="U1281">
        <v>-0.49279790000000001</v>
      </c>
      <c r="V1281">
        <v>2.297623E-2</v>
      </c>
      <c r="W1281">
        <v>5.475054E-2</v>
      </c>
      <c r="X1281">
        <v>0.99823569999999995</v>
      </c>
      <c r="Y1281">
        <v>0.15229210000000001</v>
      </c>
      <c r="Z1281">
        <v>-2.0707989999999999E-2</v>
      </c>
      <c r="AA1281">
        <v>0.98811859999999996</v>
      </c>
      <c r="AB1281">
        <v>21</v>
      </c>
      <c r="AC1281">
        <v>0.67719999999997005</v>
      </c>
      <c r="AD1281">
        <v>-0.23070009999999899</v>
      </c>
      <c r="AE1281">
        <v>-0.130399999999951</v>
      </c>
      <c r="AF1281">
        <v>0.115874861074271</v>
      </c>
      <c r="AG1281">
        <v>-0.23070009999999899</v>
      </c>
      <c r="AH1281">
        <v>0.60931292169384899</v>
      </c>
      <c r="AI1281">
        <v>110.40303843762401</v>
      </c>
      <c r="AJ1281">
        <v>79.232466877475005</v>
      </c>
      <c r="AK1281">
        <v>0.66174901292868304</v>
      </c>
      <c r="AL1281">
        <v>86.861455835339697</v>
      </c>
      <c r="AM1281">
        <v>88.681465099335995</v>
      </c>
      <c r="AN1281">
        <v>1.00000002076489</v>
      </c>
    </row>
    <row r="1282" spans="1:40" x14ac:dyDescent="0.25">
      <c r="A1282" t="str">
        <f>"20190312150655176"</f>
        <v>20190312150655176</v>
      </c>
      <c r="B1282" t="str">
        <f>"1552374415171896"</f>
        <v>1552374415171896</v>
      </c>
      <c r="C1282" t="s">
        <v>40</v>
      </c>
      <c r="D1282">
        <v>4.2939990000000003</v>
      </c>
      <c r="E1282">
        <v>0.54983789999999999</v>
      </c>
      <c r="F1282" t="s">
        <v>41</v>
      </c>
      <c r="G1282">
        <v>-294.25040000000001</v>
      </c>
      <c r="H1282">
        <v>0.86121170000000002</v>
      </c>
      <c r="I1282">
        <v>367.11689999999999</v>
      </c>
      <c r="J1282">
        <v>-294.79750000000001</v>
      </c>
      <c r="K1282">
        <v>1.0600830000000001</v>
      </c>
      <c r="L1282">
        <v>367.22919999999999</v>
      </c>
      <c r="M1282">
        <v>0.99994799999999995</v>
      </c>
      <c r="N1282">
        <v>0</v>
      </c>
      <c r="O1282">
        <v>-2.2813659999999999E-3</v>
      </c>
      <c r="P1282">
        <v>0.99868330000000005</v>
      </c>
      <c r="Q1282">
        <v>4.4596940000000002E-2</v>
      </c>
      <c r="R1282">
        <v>-2.5350709999999999E-2</v>
      </c>
      <c r="S1282">
        <v>3.0306700000000002</v>
      </c>
      <c r="T1282">
        <v>-0.87363080000000004</v>
      </c>
      <c r="U1282">
        <v>-0.49340820000000002</v>
      </c>
      <c r="V1282">
        <v>2.3072059999999998E-2</v>
      </c>
      <c r="W1282">
        <v>5.4518669999999998E-2</v>
      </c>
      <c r="X1282">
        <v>0.99824610000000003</v>
      </c>
      <c r="Y1282">
        <v>0.152476799999999</v>
      </c>
      <c r="Z1282">
        <v>-2.0764919999999999E-2</v>
      </c>
      <c r="AA1282">
        <v>0.98808890000000005</v>
      </c>
      <c r="AB1282">
        <v>21</v>
      </c>
      <c r="AC1282">
        <v>0.54710000000000003</v>
      </c>
      <c r="AD1282">
        <v>-0.198871299999999</v>
      </c>
      <c r="AE1282">
        <v>-0.11230000000000399</v>
      </c>
      <c r="AF1282">
        <v>9.8555577274902897E-2</v>
      </c>
      <c r="AG1282">
        <v>-0.198871299999999</v>
      </c>
      <c r="AH1282">
        <v>0.48576436799762002</v>
      </c>
      <c r="AI1282">
        <v>111.86184592344701</v>
      </c>
      <c r="AJ1282">
        <v>78.531071102139705</v>
      </c>
      <c r="AK1282">
        <v>0.53406929980275597</v>
      </c>
      <c r="AL1282">
        <v>86.874760629389598</v>
      </c>
      <c r="AM1282">
        <v>88.675981454288305</v>
      </c>
      <c r="AN1282">
        <v>0.99999994074820897</v>
      </c>
    </row>
    <row r="1283" spans="1:40" x14ac:dyDescent="0.25">
      <c r="A1283" t="str">
        <f>"20190312150655188"</f>
        <v>20190312150655188</v>
      </c>
      <c r="B1283" t="str">
        <f>"1552374415181657"</f>
        <v>1552374415181657</v>
      </c>
      <c r="C1283" t="s">
        <v>40</v>
      </c>
      <c r="D1283">
        <v>4.2383509999999998</v>
      </c>
      <c r="E1283">
        <v>0.54977039999999999</v>
      </c>
      <c r="F1283" t="s">
        <v>41</v>
      </c>
      <c r="G1283">
        <v>-294.0641</v>
      </c>
      <c r="H1283">
        <v>0.84785909999999998</v>
      </c>
      <c r="I1283">
        <v>367.10930000000002</v>
      </c>
      <c r="J1283">
        <v>-294.6859</v>
      </c>
      <c r="K1283">
        <v>1.0600810000000001</v>
      </c>
      <c r="L1283">
        <v>367.22899999999998</v>
      </c>
      <c r="M1283">
        <v>0.99994830000000001</v>
      </c>
      <c r="N1283">
        <v>0</v>
      </c>
      <c r="O1283">
        <v>-2.2667059999999998E-3</v>
      </c>
      <c r="P1283">
        <v>0.9986893</v>
      </c>
      <c r="Q1283">
        <v>4.4561969999999999E-2</v>
      </c>
      <c r="R1283">
        <v>-2.518374E-2</v>
      </c>
      <c r="S1283">
        <v>3.0305789999999999</v>
      </c>
      <c r="T1283">
        <v>-0.87705540000000004</v>
      </c>
      <c r="U1283">
        <v>-0.49472050000000001</v>
      </c>
      <c r="V1283">
        <v>2.2919510000000001E-2</v>
      </c>
      <c r="W1283">
        <v>5.4460099999999997E-2</v>
      </c>
      <c r="X1283">
        <v>0.9982529</v>
      </c>
      <c r="Y1283">
        <v>0.1528514</v>
      </c>
      <c r="Z1283">
        <v>-2.090001E-2</v>
      </c>
      <c r="AA1283">
        <v>0.98802820000000002</v>
      </c>
      <c r="AB1283">
        <v>21</v>
      </c>
      <c r="AC1283">
        <v>0.62180000000000701</v>
      </c>
      <c r="AD1283">
        <v>-0.21222189999999999</v>
      </c>
      <c r="AE1283">
        <v>-0.119700000000023</v>
      </c>
      <c r="AF1283">
        <v>0.106345001960965</v>
      </c>
      <c r="AG1283">
        <v>-0.21222189999999999</v>
      </c>
      <c r="AH1283">
        <v>0.55925187314954306</v>
      </c>
      <c r="AI1283">
        <v>110.44517860278999</v>
      </c>
      <c r="AJ1283">
        <v>79.233416054969396</v>
      </c>
      <c r="AK1283">
        <v>0.60754427978786896</v>
      </c>
      <c r="AL1283">
        <v>86.878121713396197</v>
      </c>
      <c r="AM1283">
        <v>88.684741594651101</v>
      </c>
      <c r="AN1283">
        <v>1.0000000293945199</v>
      </c>
    </row>
    <row r="1284" spans="1:40" x14ac:dyDescent="0.25">
      <c r="A1284" t="str">
        <f>"20190312150655199"</f>
        <v>20190312150655199</v>
      </c>
      <c r="B1284" t="str">
        <f>"1552374415191417"</f>
        <v>1552374415191417</v>
      </c>
      <c r="C1284" t="s">
        <v>40</v>
      </c>
      <c r="D1284">
        <v>4.2642860000000002</v>
      </c>
      <c r="E1284">
        <v>0.54982449999999905</v>
      </c>
      <c r="F1284" t="s">
        <v>41</v>
      </c>
      <c r="G1284">
        <v>-293.88049999999998</v>
      </c>
      <c r="H1284">
        <v>0.82712439999999998</v>
      </c>
      <c r="I1284">
        <v>367.0976</v>
      </c>
      <c r="J1284">
        <v>-294.57940000000002</v>
      </c>
      <c r="K1284">
        <v>1.0600780000000001</v>
      </c>
      <c r="L1284">
        <v>367.2287</v>
      </c>
      <c r="M1284">
        <v>0.99994859999999997</v>
      </c>
      <c r="N1284">
        <v>0</v>
      </c>
      <c r="O1284">
        <v>-2.2527739999999999E-3</v>
      </c>
      <c r="P1284">
        <v>0.99869439999999998</v>
      </c>
      <c r="Q1284">
        <v>4.4549079999999998E-2</v>
      </c>
      <c r="R1284">
        <v>-2.499873E-2</v>
      </c>
      <c r="S1284">
        <v>3.03064</v>
      </c>
      <c r="T1284">
        <v>-0.87655349999999999</v>
      </c>
      <c r="U1284">
        <v>-0.4937744</v>
      </c>
      <c r="V1284">
        <v>2.2748480000000001E-2</v>
      </c>
      <c r="W1284">
        <v>5.4426290000000002E-2</v>
      </c>
      <c r="X1284">
        <v>0.99825870000000005</v>
      </c>
      <c r="Y1284">
        <v>0.15257850000000001</v>
      </c>
      <c r="Z1284">
        <v>-2.08541E-2</v>
      </c>
      <c r="AA1284">
        <v>0.98807129999999999</v>
      </c>
      <c r="AB1284">
        <v>21</v>
      </c>
      <c r="AC1284">
        <v>0.69890000000003705</v>
      </c>
      <c r="AD1284">
        <v>-0.23295360000000001</v>
      </c>
      <c r="AE1284">
        <v>-0.13110000000000299</v>
      </c>
      <c r="AF1284">
        <v>0.116971472591231</v>
      </c>
      <c r="AG1284">
        <v>-0.23295360000000001</v>
      </c>
      <c r="AH1284">
        <v>0.63142731262479601</v>
      </c>
      <c r="AI1284">
        <v>109.938736712791</v>
      </c>
      <c r="AJ1284">
        <v>79.504970888615205</v>
      </c>
      <c r="AK1284">
        <v>0.683117966592661</v>
      </c>
      <c r="AL1284">
        <v>86.880061897967593</v>
      </c>
      <c r="AM1284">
        <v>88.694560490832899</v>
      </c>
      <c r="AN1284">
        <v>1.0000000732555701</v>
      </c>
    </row>
    <row r="1285" spans="1:40" x14ac:dyDescent="0.25">
      <c r="A1285" t="str">
        <f>"20190312150655209"</f>
        <v>20190312150655209</v>
      </c>
      <c r="B1285" t="str">
        <f>"1552374415202152"</f>
        <v>1552374415202152</v>
      </c>
      <c r="C1285" t="s">
        <v>40</v>
      </c>
      <c r="D1285">
        <v>4.2829639999999998</v>
      </c>
      <c r="E1285">
        <v>0.54987280000000005</v>
      </c>
      <c r="F1285" t="s">
        <v>41</v>
      </c>
      <c r="G1285">
        <v>-293.86950000000002</v>
      </c>
      <c r="H1285">
        <v>0.85455170000000003</v>
      </c>
      <c r="I1285">
        <v>367.11290000000002</v>
      </c>
      <c r="J1285">
        <v>-294.47859999999997</v>
      </c>
      <c r="K1285">
        <v>1.0600769999999999</v>
      </c>
      <c r="L1285">
        <v>367.2285</v>
      </c>
      <c r="M1285">
        <v>0.99994879999999997</v>
      </c>
      <c r="N1285">
        <v>0</v>
      </c>
      <c r="O1285">
        <v>-2.2395649999999998E-3</v>
      </c>
      <c r="P1285">
        <v>0.9987085</v>
      </c>
      <c r="Q1285">
        <v>4.429379E-2</v>
      </c>
      <c r="R1285">
        <v>-2.488713E-2</v>
      </c>
      <c r="S1285">
        <v>3.0307010000000001</v>
      </c>
      <c r="T1285">
        <v>-0.87739829999999996</v>
      </c>
      <c r="U1285">
        <v>-0.49374390000000001</v>
      </c>
      <c r="V1285">
        <v>2.265029E-2</v>
      </c>
      <c r="W1285">
        <v>5.4151089999999999E-2</v>
      </c>
      <c r="X1285">
        <v>0.99827580000000005</v>
      </c>
      <c r="Y1285">
        <v>0.15256749999999999</v>
      </c>
      <c r="Z1285">
        <v>-2.08752E-2</v>
      </c>
      <c r="AA1285">
        <v>0.98807259999999997</v>
      </c>
      <c r="AB1285">
        <v>21</v>
      </c>
      <c r="AC1285">
        <v>0.60909999999995501</v>
      </c>
      <c r="AD1285">
        <v>-0.20552529999999899</v>
      </c>
      <c r="AE1285">
        <v>-0.115599999999972</v>
      </c>
      <c r="AF1285">
        <v>0.10292444733448999</v>
      </c>
      <c r="AG1285">
        <v>-0.20552529999999899</v>
      </c>
      <c r="AH1285">
        <v>0.54902160817805601</v>
      </c>
      <c r="AI1285">
        <v>110.20051664947999</v>
      </c>
      <c r="AJ1285">
        <v>79.382069101850703</v>
      </c>
      <c r="AK1285">
        <v>0.59519645248070796</v>
      </c>
      <c r="AL1285">
        <v>86.895852676010605</v>
      </c>
      <c r="AM1285">
        <v>88.700215521796494</v>
      </c>
      <c r="AN1285">
        <v>0.99999997452545497</v>
      </c>
    </row>
    <row r="1286" spans="1:40" x14ac:dyDescent="0.25">
      <c r="A1286" t="str">
        <f>"20190312150655221"</f>
        <v>20190312150655221</v>
      </c>
      <c r="B1286" t="str">
        <f>"1552374415211913"</f>
        <v>1552374415211913</v>
      </c>
      <c r="C1286" t="s">
        <v>40</v>
      </c>
      <c r="D1286">
        <v>4.3201269999999896</v>
      </c>
      <c r="E1286">
        <v>0.54996149999999999</v>
      </c>
      <c r="F1286" t="s">
        <v>41</v>
      </c>
      <c r="G1286">
        <v>-293.68689999999998</v>
      </c>
      <c r="H1286">
        <v>0.83035680000000001</v>
      </c>
      <c r="I1286">
        <v>367.09899999999999</v>
      </c>
      <c r="J1286">
        <v>-294.36689999999999</v>
      </c>
      <c r="K1286">
        <v>1.060071</v>
      </c>
      <c r="L1286">
        <v>367.22829999999999</v>
      </c>
      <c r="M1286">
        <v>0.99994910000000004</v>
      </c>
      <c r="N1286">
        <v>0</v>
      </c>
      <c r="O1286">
        <v>-2.2247959999999998E-3</v>
      </c>
      <c r="P1286">
        <v>0.99871460000000001</v>
      </c>
      <c r="Q1286">
        <v>4.4183800000000002E-2</v>
      </c>
      <c r="R1286">
        <v>-2.4845800000000001E-2</v>
      </c>
      <c r="S1286">
        <v>3.030548</v>
      </c>
      <c r="T1286">
        <v>-0.87933229999999996</v>
      </c>
      <c r="U1286">
        <v>-0.49429319999999999</v>
      </c>
      <c r="V1286">
        <v>2.2623529999999999E-2</v>
      </c>
      <c r="W1286">
        <v>5.4019200000000003E-2</v>
      </c>
      <c r="X1286">
        <v>0.99828360000000005</v>
      </c>
      <c r="Y1286">
        <v>0.1527309</v>
      </c>
      <c r="Z1286">
        <v>-2.094739E-2</v>
      </c>
      <c r="AA1286">
        <v>0.98804579999999997</v>
      </c>
      <c r="AB1286">
        <v>21</v>
      </c>
      <c r="AC1286">
        <v>0.68000000000000604</v>
      </c>
      <c r="AD1286">
        <v>-0.22971419999999901</v>
      </c>
      <c r="AE1286">
        <v>-0.1293</v>
      </c>
      <c r="AF1286">
        <v>0.11510899979806501</v>
      </c>
      <c r="AG1286">
        <v>-0.22971419999999901</v>
      </c>
      <c r="AH1286">
        <v>0.61279470283712401</v>
      </c>
      <c r="AI1286">
        <v>110.224793810034</v>
      </c>
      <c r="AJ1286">
        <v>79.361378555515003</v>
      </c>
      <c r="AK1286">
        <v>0.66448178556028903</v>
      </c>
      <c r="AL1286">
        <v>86.903420640694506</v>
      </c>
      <c r="AM1286">
        <v>88.701760755962994</v>
      </c>
      <c r="AN1286">
        <v>1.00000002205363</v>
      </c>
    </row>
    <row r="1287" spans="1:40" x14ac:dyDescent="0.25">
      <c r="A1287" t="str">
        <f>"20190312150655234"</f>
        <v>20190312150655234</v>
      </c>
      <c r="B1287" t="str">
        <f>"1552374415221673"</f>
        <v>1552374415221673</v>
      </c>
      <c r="C1287" t="s">
        <v>40</v>
      </c>
      <c r="D1287">
        <v>4.2508229999999996</v>
      </c>
      <c r="E1287">
        <v>0.54991639999999997</v>
      </c>
      <c r="F1287" t="s">
        <v>41</v>
      </c>
      <c r="G1287">
        <v>-293.67540000000002</v>
      </c>
      <c r="H1287">
        <v>0.85909279999999999</v>
      </c>
      <c r="I1287">
        <v>367.11509999999998</v>
      </c>
      <c r="J1287">
        <v>-294.24950000000001</v>
      </c>
      <c r="K1287">
        <v>1.060068</v>
      </c>
      <c r="L1287">
        <v>367.22809999999998</v>
      </c>
      <c r="M1287">
        <v>0.99994930000000004</v>
      </c>
      <c r="N1287">
        <v>0</v>
      </c>
      <c r="O1287">
        <v>-2.209421E-3</v>
      </c>
      <c r="P1287">
        <v>0.99872369999999999</v>
      </c>
      <c r="Q1287">
        <v>4.3979690000000002E-2</v>
      </c>
      <c r="R1287">
        <v>-2.4831240000000001E-2</v>
      </c>
      <c r="S1287">
        <v>3.0304869999999999</v>
      </c>
      <c r="T1287">
        <v>-0.88080349999999996</v>
      </c>
      <c r="U1287">
        <v>-0.49450680000000002</v>
      </c>
      <c r="V1287">
        <v>2.2624470000000001E-2</v>
      </c>
      <c r="W1287">
        <v>5.3792079999999999E-2</v>
      </c>
      <c r="X1287">
        <v>0.99829579999999996</v>
      </c>
      <c r="Y1287">
        <v>0.15279389999999901</v>
      </c>
      <c r="Z1287">
        <v>-2.099463E-2</v>
      </c>
      <c r="AA1287">
        <v>0.988035</v>
      </c>
      <c r="AB1287">
        <v>21</v>
      </c>
      <c r="AC1287">
        <v>0.57409999999998695</v>
      </c>
      <c r="AD1287">
        <v>-0.20097519999999999</v>
      </c>
      <c r="AE1287">
        <v>-0.112999999999999</v>
      </c>
      <c r="AF1287">
        <v>9.9940431385981604E-2</v>
      </c>
      <c r="AG1287">
        <v>-0.20097519999999999</v>
      </c>
      <c r="AH1287">
        <v>0.51373829999463505</v>
      </c>
      <c r="AI1287">
        <v>111.006932203098</v>
      </c>
      <c r="AJ1287">
        <v>78.991422063847494</v>
      </c>
      <c r="AK1287">
        <v>0.56063014699713898</v>
      </c>
      <c r="AL1287">
        <v>86.916452474278202</v>
      </c>
      <c r="AM1287">
        <v>88.701722693810098</v>
      </c>
      <c r="AN1287">
        <v>0.99999997940557295</v>
      </c>
    </row>
    <row r="1288" spans="1:40" x14ac:dyDescent="0.25">
      <c r="A1288" t="str">
        <f>"20190312150655245"</f>
        <v>20190312150655245</v>
      </c>
      <c r="B1288" t="str">
        <f>"1552374415242169"</f>
        <v>1552374415242169</v>
      </c>
      <c r="C1288" t="s">
        <v>40</v>
      </c>
      <c r="D1288">
        <v>4.3270210000000002</v>
      </c>
      <c r="E1288">
        <v>0.55001899999999904</v>
      </c>
      <c r="F1288" t="s">
        <v>41</v>
      </c>
      <c r="G1288">
        <v>-293.49059999999997</v>
      </c>
      <c r="H1288">
        <v>0.83947939999999999</v>
      </c>
      <c r="I1288">
        <v>367.10419999999999</v>
      </c>
      <c r="J1288">
        <v>-294.1463</v>
      </c>
      <c r="K1288">
        <v>1.060063</v>
      </c>
      <c r="L1288">
        <v>367.2278</v>
      </c>
      <c r="M1288">
        <v>0.99994959999999999</v>
      </c>
      <c r="N1288">
        <v>0</v>
      </c>
      <c r="O1288">
        <v>-2.1963249999999998E-3</v>
      </c>
      <c r="P1288">
        <v>0.99872989999999995</v>
      </c>
      <c r="Q1288">
        <v>4.3863230000000003E-2</v>
      </c>
      <c r="R1288">
        <v>-2.4792749999999999E-2</v>
      </c>
      <c r="S1288">
        <v>3.0303339999999999</v>
      </c>
      <c r="T1288">
        <v>-0.88088979999999995</v>
      </c>
      <c r="U1288">
        <v>-0.4941101</v>
      </c>
      <c r="V1288">
        <v>2.259895E-2</v>
      </c>
      <c r="W1288">
        <v>5.365495E-2</v>
      </c>
      <c r="X1288">
        <v>0.99830379999999996</v>
      </c>
      <c r="Y1288">
        <v>0.15269050000000001</v>
      </c>
      <c r="Z1288">
        <v>-2.0986890000000001E-2</v>
      </c>
      <c r="AA1288">
        <v>0.98805120000000002</v>
      </c>
      <c r="AB1288">
        <v>22</v>
      </c>
      <c r="AC1288">
        <v>0.65570000000002404</v>
      </c>
      <c r="AD1288">
        <v>-0.22058359999999999</v>
      </c>
      <c r="AE1288">
        <v>-0.12360000000000999</v>
      </c>
      <c r="AF1288">
        <v>0.110124248219532</v>
      </c>
      <c r="AG1288">
        <v>-0.22058359999999999</v>
      </c>
      <c r="AH1288">
        <v>0.591343205673169</v>
      </c>
      <c r="AI1288">
        <v>110.13882039407</v>
      </c>
      <c r="AJ1288">
        <v>79.450804762469602</v>
      </c>
      <c r="AK1288">
        <v>0.64068031148982296</v>
      </c>
      <c r="AL1288">
        <v>86.924320937799095</v>
      </c>
      <c r="AM1288">
        <v>88.703197015752394</v>
      </c>
      <c r="AN1288">
        <v>1.00000002164752</v>
      </c>
    </row>
    <row r="1289" spans="1:40" x14ac:dyDescent="0.25">
      <c r="A1289" t="str">
        <f>"20190312150655256"</f>
        <v>20190312150655256</v>
      </c>
      <c r="B1289" t="str">
        <f>"1552374415251929"</f>
        <v>1552374415251929</v>
      </c>
      <c r="C1289" t="s">
        <v>40</v>
      </c>
      <c r="D1289">
        <v>4.3643229999999997</v>
      </c>
      <c r="E1289">
        <v>0.5501258</v>
      </c>
      <c r="F1289" t="s">
        <v>41</v>
      </c>
      <c r="G1289">
        <v>-293.30720000000002</v>
      </c>
      <c r="H1289">
        <v>0.81536719999999996</v>
      </c>
      <c r="I1289">
        <v>367.09059999999999</v>
      </c>
      <c r="J1289">
        <v>-294.0283</v>
      </c>
      <c r="K1289">
        <v>1.0600579999999999</v>
      </c>
      <c r="L1289">
        <v>367.2276</v>
      </c>
      <c r="M1289">
        <v>0.99994989999999995</v>
      </c>
      <c r="N1289">
        <v>0</v>
      </c>
      <c r="O1289">
        <v>-2.1808270000000002E-3</v>
      </c>
      <c r="P1289">
        <v>0.99874169999999995</v>
      </c>
      <c r="Q1289">
        <v>4.3694450000000003E-2</v>
      </c>
      <c r="R1289">
        <v>-2.4619950000000002E-2</v>
      </c>
      <c r="S1289">
        <v>3.0303339999999999</v>
      </c>
      <c r="T1289">
        <v>-0.88377059999999996</v>
      </c>
      <c r="U1289">
        <v>-0.49484250000000002</v>
      </c>
      <c r="V1289">
        <v>2.2441490000000001E-2</v>
      </c>
      <c r="W1289">
        <v>5.346211E-2</v>
      </c>
      <c r="X1289">
        <v>0.99831769999999997</v>
      </c>
      <c r="Y1289">
        <v>0.1528909</v>
      </c>
      <c r="Z1289">
        <v>-2.1085300000000001E-2</v>
      </c>
      <c r="AA1289">
        <v>0.98801810000000001</v>
      </c>
      <c r="AB1289">
        <v>22</v>
      </c>
      <c r="AC1289">
        <v>0.72109999999997798</v>
      </c>
      <c r="AD1289">
        <v>-0.24469080000000001</v>
      </c>
      <c r="AE1289">
        <v>-0.13700000000000001</v>
      </c>
      <c r="AF1289">
        <v>0.12188185925502799</v>
      </c>
      <c r="AG1289">
        <v>-0.24469080000000001</v>
      </c>
      <c r="AH1289">
        <v>0.64924434098710904</v>
      </c>
      <c r="AI1289">
        <v>110.325382853284</v>
      </c>
      <c r="AJ1289">
        <v>79.367681347338504</v>
      </c>
      <c r="AK1289">
        <v>0.70444800342103897</v>
      </c>
      <c r="AL1289">
        <v>86.935385743800794</v>
      </c>
      <c r="AM1289">
        <v>88.712247465559599</v>
      </c>
      <c r="AN1289">
        <v>1.0000000239061799</v>
      </c>
    </row>
    <row r="1290" spans="1:40" x14ac:dyDescent="0.25">
      <c r="A1290" t="str">
        <f>"20190312150655268"</f>
        <v>20190312150655268</v>
      </c>
      <c r="B1290" t="str">
        <f>"1552374415261688"</f>
        <v>1552374415261688</v>
      </c>
      <c r="C1290" t="s">
        <v>40</v>
      </c>
      <c r="D1290">
        <v>4.3250999999999999</v>
      </c>
      <c r="E1290">
        <v>0.55019499999999999</v>
      </c>
      <c r="F1290" t="s">
        <v>41</v>
      </c>
      <c r="G1290">
        <v>-293.29500000000002</v>
      </c>
      <c r="H1290">
        <v>0.84579219999999899</v>
      </c>
      <c r="I1290">
        <v>367.10750000000002</v>
      </c>
      <c r="J1290">
        <v>-293.91609999999997</v>
      </c>
      <c r="K1290">
        <v>1.0600529999999999</v>
      </c>
      <c r="L1290">
        <v>367.22739999999999</v>
      </c>
      <c r="M1290">
        <v>0.99995009999999995</v>
      </c>
      <c r="N1290">
        <v>0</v>
      </c>
      <c r="O1290">
        <v>-2.1662890000000001E-3</v>
      </c>
      <c r="P1290">
        <v>0.99874770000000002</v>
      </c>
      <c r="Q1290">
        <v>4.3547269999999999E-2</v>
      </c>
      <c r="R1290">
        <v>-2.462982E-2</v>
      </c>
      <c r="S1290">
        <v>3.030243</v>
      </c>
      <c r="T1290">
        <v>-0.8855016</v>
      </c>
      <c r="U1290">
        <v>-0.49514770000000002</v>
      </c>
      <c r="V1290">
        <v>2.246596E-2</v>
      </c>
      <c r="W1290">
        <v>5.3291640000000001E-2</v>
      </c>
      <c r="X1290">
        <v>0.99832619999999905</v>
      </c>
      <c r="Y1290">
        <v>0.1529789</v>
      </c>
      <c r="Z1290">
        <v>-2.1142080000000001E-2</v>
      </c>
      <c r="AA1290">
        <v>0.98800330000000003</v>
      </c>
      <c r="AB1290">
        <v>22</v>
      </c>
      <c r="AC1290">
        <v>0.62109999999995502</v>
      </c>
      <c r="AD1290">
        <v>-0.2142608</v>
      </c>
      <c r="AE1290">
        <v>-0.119899999999972</v>
      </c>
      <c r="AF1290">
        <v>0.106352487663815</v>
      </c>
      <c r="AG1290">
        <v>-0.2142608</v>
      </c>
      <c r="AH1290">
        <v>0.55740762857233705</v>
      </c>
      <c r="AI1290">
        <v>110.685371540003</v>
      </c>
      <c r="AJ1290">
        <v>79.197887892609899</v>
      </c>
      <c r="AK1290">
        <v>0.60656558296655605</v>
      </c>
      <c r="AL1290">
        <v>86.945166703126702</v>
      </c>
      <c r="AM1290">
        <v>88.710854757805194</v>
      </c>
      <c r="AN1290">
        <v>0.99999995992952395</v>
      </c>
    </row>
    <row r="1291" spans="1:40" x14ac:dyDescent="0.25">
      <c r="A1291" t="str">
        <f>"20190312150655278"</f>
        <v>20190312150655278</v>
      </c>
      <c r="B1291" t="str">
        <f>"1552374415271449"</f>
        <v>1552374415271449</v>
      </c>
      <c r="C1291" t="s">
        <v>40</v>
      </c>
      <c r="D1291">
        <v>4.7254849999999999</v>
      </c>
      <c r="E1291">
        <v>0.55019499999999999</v>
      </c>
      <c r="F1291" t="s">
        <v>41</v>
      </c>
      <c r="G1291">
        <v>-293.1103</v>
      </c>
      <c r="H1291">
        <v>0.824188699999999</v>
      </c>
      <c r="I1291">
        <v>367.09539999999998</v>
      </c>
      <c r="J1291">
        <v>-293.81670000000003</v>
      </c>
      <c r="K1291">
        <v>1.060049</v>
      </c>
      <c r="L1291">
        <v>367.22710000000001</v>
      </c>
      <c r="M1291">
        <v>0.99995029999999996</v>
      </c>
      <c r="N1291">
        <v>0</v>
      </c>
      <c r="O1291">
        <v>-2.1534330000000002E-3</v>
      </c>
      <c r="P1291">
        <v>0.99874989999999997</v>
      </c>
      <c r="Q1291">
        <v>4.3484750000000003E-2</v>
      </c>
      <c r="R1291">
        <v>-2.4653129999999999E-2</v>
      </c>
      <c r="S1291">
        <v>3.0301819999999999</v>
      </c>
      <c r="T1291">
        <v>-0.88685630000000004</v>
      </c>
      <c r="U1291">
        <v>-0.49545289999999997</v>
      </c>
      <c r="V1291">
        <v>2.2502060000000001E-2</v>
      </c>
      <c r="W1291">
        <v>5.3208310000000002E-2</v>
      </c>
      <c r="X1291">
        <v>0.99832989999999999</v>
      </c>
      <c r="Y1291">
        <v>0.15306889999999901</v>
      </c>
      <c r="Z1291">
        <v>-2.118987E-2</v>
      </c>
      <c r="AA1291">
        <v>0.98798830000000004</v>
      </c>
      <c r="AB1291">
        <v>22</v>
      </c>
      <c r="AC1291">
        <v>0.70640000000003</v>
      </c>
      <c r="AD1291">
        <v>-0.23586029999999999</v>
      </c>
      <c r="AE1291">
        <v>-0.13170000000002299</v>
      </c>
      <c r="AF1291">
        <v>0.117517350439425</v>
      </c>
      <c r="AG1291">
        <v>-0.23586029999999999</v>
      </c>
      <c r="AH1291">
        <v>0.63795046101524699</v>
      </c>
      <c r="AI1291">
        <v>109.98116846391</v>
      </c>
      <c r="AJ1291">
        <v>79.562510728613603</v>
      </c>
      <c r="AK1291">
        <v>0.69023271400300901</v>
      </c>
      <c r="AL1291">
        <v>86.949948152293402</v>
      </c>
      <c r="AM1291">
        <v>88.708788746545196</v>
      </c>
      <c r="AN1291">
        <v>1.00000002809565</v>
      </c>
    </row>
    <row r="1292" spans="1:40" x14ac:dyDescent="0.25">
      <c r="A1292" t="str">
        <f>"20190312150655289"</f>
        <v>20190312150655289</v>
      </c>
      <c r="B1292" t="str">
        <f>"1552374415282185"</f>
        <v>1552374415282185</v>
      </c>
      <c r="C1292" t="s">
        <v>40</v>
      </c>
      <c r="D1292">
        <v>4.2650819999999996</v>
      </c>
      <c r="E1292">
        <v>0.55022669999999996</v>
      </c>
      <c r="F1292" t="s">
        <v>41</v>
      </c>
      <c r="G1292">
        <v>-293.09980000000002</v>
      </c>
      <c r="H1292">
        <v>0.85021389999999997</v>
      </c>
      <c r="I1292">
        <v>367.1096</v>
      </c>
      <c r="J1292">
        <v>-293.71660000000003</v>
      </c>
      <c r="K1292">
        <v>1.060041</v>
      </c>
      <c r="L1292">
        <v>367.2269</v>
      </c>
      <c r="M1292">
        <v>0.99995049999999996</v>
      </c>
      <c r="N1292">
        <v>0</v>
      </c>
      <c r="O1292">
        <v>-2.1405700000000001E-3</v>
      </c>
      <c r="P1292">
        <v>0.99876580000000004</v>
      </c>
      <c r="Q1292">
        <v>4.3192069999999999E-2</v>
      </c>
      <c r="R1292">
        <v>-2.4519300000000001E-2</v>
      </c>
      <c r="S1292">
        <v>3.030151</v>
      </c>
      <c r="T1292">
        <v>-0.88699329999999998</v>
      </c>
      <c r="U1292">
        <v>-0.49591059999999998</v>
      </c>
      <c r="V1292">
        <v>2.2381100000000001E-2</v>
      </c>
      <c r="W1292">
        <v>5.2894049999999998E-2</v>
      </c>
      <c r="X1292">
        <v>0.9983493</v>
      </c>
      <c r="Y1292">
        <v>0.1532201</v>
      </c>
      <c r="Z1292">
        <v>-2.1218170000000001E-2</v>
      </c>
      <c r="AA1292">
        <v>0.98796430000000002</v>
      </c>
      <c r="AB1292">
        <v>22</v>
      </c>
      <c r="AC1292">
        <v>0.61680000000001201</v>
      </c>
      <c r="AD1292">
        <v>-0.20982709999999999</v>
      </c>
      <c r="AE1292">
        <v>-0.1173</v>
      </c>
      <c r="AF1292">
        <v>0.10432730221642</v>
      </c>
      <c r="AG1292">
        <v>-0.20982709999999999</v>
      </c>
      <c r="AH1292">
        <v>0.55505674691121798</v>
      </c>
      <c r="AI1292">
        <v>110.38116673518201</v>
      </c>
      <c r="AJ1292">
        <v>79.355001946914797</v>
      </c>
      <c r="AK1292">
        <v>0.60249447314795301</v>
      </c>
      <c r="AL1292">
        <v>86.967979258635296</v>
      </c>
      <c r="AM1292">
        <v>88.715752279597396</v>
      </c>
      <c r="AN1292">
        <v>1.00000000948655</v>
      </c>
    </row>
    <row r="1293" spans="1:40" x14ac:dyDescent="0.25">
      <c r="A1293" t="str">
        <f>"20190312150655299"</f>
        <v>20190312150655299</v>
      </c>
      <c r="B1293" t="str">
        <f>"1552374415291945"</f>
        <v>1552374415291945</v>
      </c>
      <c r="C1293" t="s">
        <v>40</v>
      </c>
      <c r="D1293">
        <v>4.2389669999999997</v>
      </c>
      <c r="E1293">
        <v>0.55023299999999997</v>
      </c>
      <c r="F1293" t="s">
        <v>41</v>
      </c>
      <c r="G1293">
        <v>-292.916</v>
      </c>
      <c r="H1293">
        <v>0.82520099999999996</v>
      </c>
      <c r="I1293">
        <v>367.09559999999999</v>
      </c>
      <c r="J1293">
        <v>-293.60520000000002</v>
      </c>
      <c r="K1293">
        <v>1.0600369999999999</v>
      </c>
      <c r="L1293">
        <v>367.22669999999999</v>
      </c>
      <c r="M1293">
        <v>0.99995080000000003</v>
      </c>
      <c r="N1293">
        <v>0</v>
      </c>
      <c r="O1293">
        <v>-2.126373E-3</v>
      </c>
      <c r="P1293">
        <v>0.99876120000000002</v>
      </c>
      <c r="Q1293">
        <v>4.3244459999999998E-2</v>
      </c>
      <c r="R1293">
        <v>-2.4615310000000001E-2</v>
      </c>
      <c r="S1293">
        <v>3.029938</v>
      </c>
      <c r="T1293">
        <v>-0.8887275</v>
      </c>
      <c r="U1293">
        <v>-0.49591059999999998</v>
      </c>
      <c r="V1293">
        <v>2.2491299999999999E-2</v>
      </c>
      <c r="W1293">
        <v>5.2920229999999999E-2</v>
      </c>
      <c r="X1293">
        <v>0.99834540000000005</v>
      </c>
      <c r="Y1293">
        <v>0.15322</v>
      </c>
      <c r="Z1293">
        <v>-2.1263480000000001E-2</v>
      </c>
      <c r="AA1293">
        <v>0.98796329999999999</v>
      </c>
      <c r="AB1293">
        <v>22</v>
      </c>
      <c r="AC1293">
        <v>0.68920000000002801</v>
      </c>
      <c r="AD1293">
        <v>-0.23483599999999999</v>
      </c>
      <c r="AE1293">
        <v>-0.13110000000000299</v>
      </c>
      <c r="AF1293">
        <v>0.116572488119646</v>
      </c>
      <c r="AG1293">
        <v>-0.23483599999999999</v>
      </c>
      <c r="AH1293">
        <v>0.62000701531351599</v>
      </c>
      <c r="AI1293">
        <v>110.41733448403301</v>
      </c>
      <c r="AJ1293">
        <v>79.351675362095705</v>
      </c>
      <c r="AK1293">
        <v>0.67316104382263497</v>
      </c>
      <c r="AL1293">
        <v>86.966477042107499</v>
      </c>
      <c r="AM1293">
        <v>88.709425997639002</v>
      </c>
      <c r="AN1293">
        <v>0.99999997351005099</v>
      </c>
    </row>
    <row r="1294" spans="1:40" x14ac:dyDescent="0.25">
      <c r="A1294" t="str">
        <f>"20190312150655311"</f>
        <v>20190312150655311</v>
      </c>
      <c r="B1294" t="str">
        <f>"1552374415301705"</f>
        <v>1552374415301705</v>
      </c>
      <c r="C1294" t="s">
        <v>40</v>
      </c>
      <c r="D1294">
        <v>4.3270540000000004</v>
      </c>
      <c r="E1294">
        <v>0.5502667</v>
      </c>
      <c r="F1294" t="s">
        <v>41</v>
      </c>
      <c r="G1294">
        <v>-292.90429999999998</v>
      </c>
      <c r="H1294">
        <v>0.85434750000000004</v>
      </c>
      <c r="I1294">
        <v>367.11160000000001</v>
      </c>
      <c r="J1294">
        <v>-293.50380000000001</v>
      </c>
      <c r="K1294">
        <v>1.0600309999999999</v>
      </c>
      <c r="L1294">
        <v>367.22649999999999</v>
      </c>
      <c r="M1294">
        <v>0.99995120000000004</v>
      </c>
      <c r="N1294">
        <v>0</v>
      </c>
      <c r="O1294">
        <v>-2.113495E-3</v>
      </c>
      <c r="P1294">
        <v>0.99875309999999995</v>
      </c>
      <c r="Q1294">
        <v>4.3448220000000003E-2</v>
      </c>
      <c r="R1294">
        <v>-2.459513E-2</v>
      </c>
      <c r="S1294">
        <v>3.0299990000000001</v>
      </c>
      <c r="T1294">
        <v>-0.88915869999999997</v>
      </c>
      <c r="U1294">
        <v>-0.49639889999999998</v>
      </c>
      <c r="V1294">
        <v>2.2483779999999998E-2</v>
      </c>
      <c r="W1294">
        <v>5.3098319999999997E-2</v>
      </c>
      <c r="X1294">
        <v>0.99833609999999995</v>
      </c>
      <c r="Y1294">
        <v>0.15337239999999999</v>
      </c>
      <c r="Z1294">
        <v>-2.129816E-2</v>
      </c>
      <c r="AA1294">
        <v>0.98793889999999995</v>
      </c>
      <c r="AB1294">
        <v>22</v>
      </c>
      <c r="AC1294">
        <v>0.59950000000003401</v>
      </c>
      <c r="AD1294">
        <v>-0.20568349999999899</v>
      </c>
      <c r="AE1294">
        <v>-0.11489999999997701</v>
      </c>
      <c r="AF1294">
        <v>0.10204619785781301</v>
      </c>
      <c r="AG1294">
        <v>-0.20568349999999899</v>
      </c>
      <c r="AH1294">
        <v>0.53858943058427899</v>
      </c>
      <c r="AI1294">
        <v>110.566965988094</v>
      </c>
      <c r="AJ1294">
        <v>79.271379552135997</v>
      </c>
      <c r="AK1294">
        <v>0.58548928547547696</v>
      </c>
      <c r="AL1294">
        <v>86.956258829525297</v>
      </c>
      <c r="AM1294">
        <v>88.709845342871006</v>
      </c>
      <c r="AN1294">
        <v>0.99999996025655902</v>
      </c>
    </row>
    <row r="1295" spans="1:40" x14ac:dyDescent="0.25">
      <c r="A1295" t="str">
        <f>"20190312150655322"</f>
        <v>20190312150655322</v>
      </c>
      <c r="B1295" t="str">
        <f>"1552374415311465"</f>
        <v>1552374415311465</v>
      </c>
      <c r="C1295" t="s">
        <v>40</v>
      </c>
      <c r="D1295">
        <v>4.2270779999999997</v>
      </c>
      <c r="E1295">
        <v>0.5502667</v>
      </c>
      <c r="F1295" t="s">
        <v>41</v>
      </c>
      <c r="G1295">
        <v>-292.72000000000003</v>
      </c>
      <c r="H1295">
        <v>0.82965549999999999</v>
      </c>
      <c r="I1295">
        <v>367.09829999999999</v>
      </c>
      <c r="J1295">
        <v>-293.3947</v>
      </c>
      <c r="K1295">
        <v>1.0600309999999999</v>
      </c>
      <c r="L1295">
        <v>367.22629999999998</v>
      </c>
      <c r="M1295">
        <v>0.99995149999999999</v>
      </c>
      <c r="N1295">
        <v>0</v>
      </c>
      <c r="O1295">
        <v>-2.0989350000000001E-3</v>
      </c>
      <c r="P1295">
        <v>0.99874540000000001</v>
      </c>
      <c r="Q1295">
        <v>4.3623580000000002E-2</v>
      </c>
      <c r="R1295">
        <v>-2.4598169999999999E-2</v>
      </c>
      <c r="S1295">
        <v>3.0302730000000002</v>
      </c>
      <c r="T1295">
        <v>-0.89068380000000003</v>
      </c>
      <c r="U1295">
        <v>-0.49612430000000002</v>
      </c>
      <c r="V1295">
        <v>2.2501380000000001E-2</v>
      </c>
      <c r="W1295">
        <v>5.3244970000000003E-2</v>
      </c>
      <c r="X1295">
        <v>0.99832790000000005</v>
      </c>
      <c r="Y1295">
        <v>0.15326899999999999</v>
      </c>
      <c r="Z1295">
        <v>-2.132092E-2</v>
      </c>
      <c r="AA1295">
        <v>0.98795440000000001</v>
      </c>
      <c r="AB1295">
        <v>22</v>
      </c>
      <c r="AC1295">
        <v>0.67469999999997299</v>
      </c>
      <c r="AD1295">
        <v>-0.23037550000000001</v>
      </c>
      <c r="AE1295">
        <v>-0.12799999999998499</v>
      </c>
      <c r="AF1295">
        <v>0.11377914648341</v>
      </c>
      <c r="AG1295">
        <v>-0.23037550000000001</v>
      </c>
      <c r="AH1295">
        <v>0.60669194756850398</v>
      </c>
      <c r="AI1295">
        <v>110.46645186930699</v>
      </c>
      <c r="AJ1295">
        <v>79.378118096551006</v>
      </c>
      <c r="AK1295">
        <v>0.65885786359366405</v>
      </c>
      <c r="AL1295">
        <v>86.947844522002697</v>
      </c>
      <c r="AM1295">
        <v>88.708825167242907</v>
      </c>
      <c r="AN1295">
        <v>0.99999996742530695</v>
      </c>
    </row>
    <row r="1296" spans="1:40" x14ac:dyDescent="0.25">
      <c r="A1296" t="str">
        <f>"20190312150655333"</f>
        <v>20190312150655333</v>
      </c>
      <c r="B1296" t="str">
        <f>"1552374415322200"</f>
        <v>1552374415322200</v>
      </c>
      <c r="C1296" t="s">
        <v>40</v>
      </c>
      <c r="D1296">
        <v>4.2612819999999996</v>
      </c>
      <c r="E1296">
        <v>0.55030389999999996</v>
      </c>
      <c r="F1296" t="s">
        <v>41</v>
      </c>
      <c r="G1296">
        <v>-292.70850000000002</v>
      </c>
      <c r="H1296">
        <v>0.85836199999999996</v>
      </c>
      <c r="I1296">
        <v>367.11410000000001</v>
      </c>
      <c r="J1296">
        <v>-293.28250000000003</v>
      </c>
      <c r="K1296">
        <v>1.060025</v>
      </c>
      <c r="L1296">
        <v>367.22609999999997</v>
      </c>
      <c r="M1296">
        <v>0.9999517</v>
      </c>
      <c r="N1296">
        <v>0</v>
      </c>
      <c r="O1296">
        <v>-2.084355E-3</v>
      </c>
      <c r="P1296">
        <v>0.99873690000000004</v>
      </c>
      <c r="Q1296">
        <v>4.374604E-2</v>
      </c>
      <c r="R1296">
        <v>-2.47187E-2</v>
      </c>
      <c r="S1296">
        <v>3.0304570000000002</v>
      </c>
      <c r="T1296">
        <v>-0.89069900000000002</v>
      </c>
      <c r="U1296">
        <v>-0.495697</v>
      </c>
      <c r="V1296">
        <v>2.2636610000000001E-2</v>
      </c>
      <c r="W1296">
        <v>5.3334970000000002E-2</v>
      </c>
      <c r="X1296">
        <v>0.99831999999999999</v>
      </c>
      <c r="Y1296">
        <v>0.15314320000000001</v>
      </c>
      <c r="Z1296">
        <v>-2.1306459999999999E-2</v>
      </c>
      <c r="AA1296">
        <v>0.98797429999999997</v>
      </c>
      <c r="AB1296">
        <v>22</v>
      </c>
      <c r="AC1296">
        <v>0.57400000000001195</v>
      </c>
      <c r="AD1296">
        <v>-0.20166299999999901</v>
      </c>
      <c r="AE1296">
        <v>-0.111999999999966</v>
      </c>
      <c r="AF1296">
        <v>9.9028299357285396E-2</v>
      </c>
      <c r="AG1296">
        <v>-0.20166299999999901</v>
      </c>
      <c r="AH1296">
        <v>0.51320898135829496</v>
      </c>
      <c r="AI1296">
        <v>111.098012312206</v>
      </c>
      <c r="AJ1296">
        <v>79.078490159707499</v>
      </c>
      <c r="AK1296">
        <v>0.56023033494216901</v>
      </c>
      <c r="AL1296">
        <v>86.942680445807198</v>
      </c>
      <c r="AM1296">
        <v>88.701057770781105</v>
      </c>
      <c r="AN1296">
        <v>0.999999928768593</v>
      </c>
    </row>
    <row r="1297" spans="1:40" x14ac:dyDescent="0.25">
      <c r="A1297" t="str">
        <f>"20190312150655347"</f>
        <v>20190312150655347</v>
      </c>
      <c r="B1297" t="str">
        <f>"1552374415341722"</f>
        <v>1552374415341722</v>
      </c>
      <c r="C1297" t="s">
        <v>40</v>
      </c>
      <c r="D1297">
        <v>4.224507</v>
      </c>
      <c r="E1297">
        <v>0.55035400000000001</v>
      </c>
      <c r="F1297" t="s">
        <v>41</v>
      </c>
      <c r="G1297">
        <v>-292.52260000000001</v>
      </c>
      <c r="H1297">
        <v>0.83646669999999901</v>
      </c>
      <c r="I1297">
        <v>367.10160000000002</v>
      </c>
      <c r="J1297">
        <v>-293.15359999999998</v>
      </c>
      <c r="K1297">
        <v>1.060019</v>
      </c>
      <c r="L1297">
        <v>367.22579999999999</v>
      </c>
      <c r="M1297">
        <v>0.99995210000000001</v>
      </c>
      <c r="N1297">
        <v>0</v>
      </c>
      <c r="O1297">
        <v>-2.067597E-3</v>
      </c>
      <c r="P1297">
        <v>0.99874090000000004</v>
      </c>
      <c r="Q1297">
        <v>4.3723419999999999E-2</v>
      </c>
      <c r="R1297">
        <v>-2.4597049999999999E-2</v>
      </c>
      <c r="S1297">
        <v>3.0305789999999999</v>
      </c>
      <c r="T1297">
        <v>-0.89159330000000003</v>
      </c>
      <c r="U1297">
        <v>-0.49606319999999998</v>
      </c>
      <c r="V1297">
        <v>2.2531789999999999E-2</v>
      </c>
      <c r="W1297">
        <v>5.3272590000000002E-2</v>
      </c>
      <c r="X1297">
        <v>0.99832580000000004</v>
      </c>
      <c r="Y1297">
        <v>0.153252799999999</v>
      </c>
      <c r="Z1297">
        <v>-2.1346480000000001E-2</v>
      </c>
      <c r="AA1297">
        <v>0.98795639999999996</v>
      </c>
      <c r="AB1297">
        <v>22</v>
      </c>
      <c r="AC1297">
        <v>0.63099999999997103</v>
      </c>
      <c r="AD1297">
        <v>-0.22355230000000001</v>
      </c>
      <c r="AE1297">
        <v>-0.124199999999973</v>
      </c>
      <c r="AF1297">
        <v>0.109645978634948</v>
      </c>
      <c r="AG1297">
        <v>-0.22355230000000001</v>
      </c>
      <c r="AH1297">
        <v>0.56320119314595196</v>
      </c>
      <c r="AI1297">
        <v>111.286714933281</v>
      </c>
      <c r="AJ1297">
        <v>78.983261942520997</v>
      </c>
      <c r="AK1297">
        <v>0.61578685876456396</v>
      </c>
      <c r="AL1297">
        <v>86.946259944449594</v>
      </c>
      <c r="AM1297">
        <v>88.707078052907605</v>
      </c>
      <c r="AN1297">
        <v>1.00000002667577</v>
      </c>
    </row>
    <row r="1298" spans="1:40" x14ac:dyDescent="0.25">
      <c r="A1298" t="str">
        <f>"20190312150655359"</f>
        <v>20190312150655359</v>
      </c>
      <c r="B1298" t="str">
        <f>"1552374415351481"</f>
        <v>1552374415351481</v>
      </c>
      <c r="C1298" t="s">
        <v>40</v>
      </c>
      <c r="D1298">
        <v>4.2538019999999896</v>
      </c>
      <c r="E1298">
        <v>0.55036790000000002</v>
      </c>
      <c r="F1298" t="s">
        <v>41</v>
      </c>
      <c r="G1298">
        <v>-292.33460000000002</v>
      </c>
      <c r="H1298">
        <v>0.8186253</v>
      </c>
      <c r="I1298">
        <v>367.0915</v>
      </c>
      <c r="J1298">
        <v>-293.02969999999999</v>
      </c>
      <c r="K1298">
        <v>1.060012</v>
      </c>
      <c r="L1298">
        <v>367.22559999999999</v>
      </c>
      <c r="M1298">
        <v>0.99995270000000003</v>
      </c>
      <c r="N1298">
        <v>0</v>
      </c>
      <c r="O1298">
        <v>-2.0510680000000001E-3</v>
      </c>
      <c r="P1298">
        <v>0.99873789999999996</v>
      </c>
      <c r="Q1298">
        <v>4.3937089999999998E-2</v>
      </c>
      <c r="R1298">
        <v>-2.4335740000000002E-2</v>
      </c>
      <c r="S1298">
        <v>3.03064</v>
      </c>
      <c r="T1298">
        <v>-0.89320299999999997</v>
      </c>
      <c r="U1298">
        <v>-0.49652099999999999</v>
      </c>
      <c r="V1298">
        <v>2.2287120000000001E-2</v>
      </c>
      <c r="W1298">
        <v>5.3444489999999997E-2</v>
      </c>
      <c r="X1298">
        <v>0.99832209999999999</v>
      </c>
      <c r="Y1298">
        <v>0.15338350000000001</v>
      </c>
      <c r="Z1298">
        <v>-2.14063E-2</v>
      </c>
      <c r="AA1298">
        <v>0.9879348</v>
      </c>
      <c r="AB1298">
        <v>22</v>
      </c>
      <c r="AC1298">
        <v>0.69509999999996797</v>
      </c>
      <c r="AD1298">
        <v>-0.24138670000000001</v>
      </c>
      <c r="AE1298">
        <v>-0.13409999999998901</v>
      </c>
      <c r="AF1298">
        <v>0.11885488838906</v>
      </c>
      <c r="AG1298">
        <v>-0.24138670000000001</v>
      </c>
      <c r="AH1298">
        <v>0.62294480288321796</v>
      </c>
      <c r="AI1298">
        <v>110.83817102640501</v>
      </c>
      <c r="AJ1298">
        <v>79.198064294932095</v>
      </c>
      <c r="AK1298">
        <v>0.67856779386445798</v>
      </c>
      <c r="AL1298">
        <v>86.936396735823394</v>
      </c>
      <c r="AM1298">
        <v>88.721108310374902</v>
      </c>
      <c r="AN1298">
        <v>1.0000000222888299</v>
      </c>
    </row>
    <row r="1299" spans="1:40" x14ac:dyDescent="0.25">
      <c r="A1299" t="str">
        <f>"20190312150655371"</f>
        <v>20190312150655371</v>
      </c>
      <c r="B1299" t="str">
        <f>"1552374415361241"</f>
        <v>1552374415361241</v>
      </c>
      <c r="C1299" t="s">
        <v>40</v>
      </c>
      <c r="D1299">
        <v>4.3013909999999997</v>
      </c>
      <c r="E1299">
        <v>0.5504</v>
      </c>
      <c r="F1299" t="s">
        <v>41</v>
      </c>
      <c r="G1299">
        <v>-292.32150000000001</v>
      </c>
      <c r="H1299">
        <v>0.85126859999999904</v>
      </c>
      <c r="I1299">
        <v>367.1096</v>
      </c>
      <c r="J1299">
        <v>-292.92270000000002</v>
      </c>
      <c r="K1299">
        <v>1.0600050000000001</v>
      </c>
      <c r="L1299">
        <v>367.22539999999998</v>
      </c>
      <c r="M1299">
        <v>0.99995310000000004</v>
      </c>
      <c r="N1299">
        <v>0</v>
      </c>
      <c r="O1299">
        <v>-2.0367110000000001E-3</v>
      </c>
      <c r="P1299">
        <v>0.99873849999999997</v>
      </c>
      <c r="Q1299">
        <v>4.4065899999999998E-2</v>
      </c>
      <c r="R1299">
        <v>-2.408356E-2</v>
      </c>
      <c r="S1299">
        <v>3.0310060000000001</v>
      </c>
      <c r="T1299">
        <v>-0.89347219999999905</v>
      </c>
      <c r="U1299">
        <v>-0.49572749999999999</v>
      </c>
      <c r="V1299">
        <v>2.2049099999999999E-2</v>
      </c>
      <c r="W1299">
        <v>5.3536849999999997E-2</v>
      </c>
      <c r="X1299">
        <v>0.99832240000000005</v>
      </c>
      <c r="Y1299">
        <v>0.15313389999999999</v>
      </c>
      <c r="Z1299">
        <v>-2.137878E-2</v>
      </c>
      <c r="AA1299">
        <v>0.98797420000000002</v>
      </c>
      <c r="AB1299">
        <v>22</v>
      </c>
      <c r="AC1299">
        <v>0.60120000000000495</v>
      </c>
      <c r="AD1299">
        <v>-0.20873639999999999</v>
      </c>
      <c r="AE1299">
        <v>-0.115799999999978</v>
      </c>
      <c r="AF1299">
        <v>0.102644349308556</v>
      </c>
      <c r="AG1299">
        <v>-0.20873639999999999</v>
      </c>
      <c r="AH1299">
        <v>0.53880635788216902</v>
      </c>
      <c r="AI1299">
        <v>110.834883196294</v>
      </c>
      <c r="AJ1299">
        <v>79.214207357032194</v>
      </c>
      <c r="AK1299">
        <v>0.58687225051469705</v>
      </c>
      <c r="AL1299">
        <v>86.931097198516298</v>
      </c>
      <c r="AM1299">
        <v>88.734762420366394</v>
      </c>
      <c r="AN1299">
        <v>0.99999998573024595</v>
      </c>
    </row>
    <row r="1300" spans="1:40" x14ac:dyDescent="0.25">
      <c r="A1300" t="str">
        <f>"20190312150655383"</f>
        <v>20190312150655383</v>
      </c>
      <c r="B1300" t="str">
        <f>"1552374415371978"</f>
        <v>1552374415371978</v>
      </c>
      <c r="C1300" t="s">
        <v>40</v>
      </c>
      <c r="D1300">
        <v>4.2948760000000004</v>
      </c>
      <c r="E1300">
        <v>0.55041759999999995</v>
      </c>
      <c r="F1300" t="s">
        <v>41</v>
      </c>
      <c r="G1300">
        <v>-292.13529999999997</v>
      </c>
      <c r="H1300">
        <v>0.82779469999999999</v>
      </c>
      <c r="I1300">
        <v>367.09629999999999</v>
      </c>
      <c r="J1300">
        <v>-292.79500000000002</v>
      </c>
      <c r="K1300">
        <v>1.0599989999999999</v>
      </c>
      <c r="L1300">
        <v>367.22519999999997</v>
      </c>
      <c r="M1300">
        <v>0.99995339999999999</v>
      </c>
      <c r="N1300">
        <v>0</v>
      </c>
      <c r="O1300">
        <v>-2.0195780000000002E-3</v>
      </c>
      <c r="P1300">
        <v>0.99874359999999995</v>
      </c>
      <c r="Q1300">
        <v>4.3991009999999997E-2</v>
      </c>
      <c r="R1300">
        <v>-2.4004359999999999E-2</v>
      </c>
      <c r="S1300">
        <v>3.0312809999999999</v>
      </c>
      <c r="T1300">
        <v>-0.89395829999999998</v>
      </c>
      <c r="U1300">
        <v>-0.49551390000000001</v>
      </c>
      <c r="V1300">
        <v>2.1986950000000002E-2</v>
      </c>
      <c r="W1300">
        <v>5.3418300000000002E-2</v>
      </c>
      <c r="X1300">
        <v>0.9983301</v>
      </c>
      <c r="Y1300">
        <v>0.15306520000000001</v>
      </c>
      <c r="Z1300">
        <v>-2.1383289999999999E-2</v>
      </c>
      <c r="AA1300">
        <v>0.98798470000000005</v>
      </c>
      <c r="AB1300">
        <v>22</v>
      </c>
      <c r="AC1300">
        <v>0.65970000000004303</v>
      </c>
      <c r="AD1300">
        <v>-0.232204299999999</v>
      </c>
      <c r="AE1300">
        <v>-0.128899999999987</v>
      </c>
      <c r="AF1300">
        <v>0.113966877419428</v>
      </c>
      <c r="AG1300">
        <v>-0.232204299999999</v>
      </c>
      <c r="AH1300">
        <v>0.58959802907444003</v>
      </c>
      <c r="AI1300">
        <v>111.140360009177</v>
      </c>
      <c r="AJ1300">
        <v>79.059882497118494</v>
      </c>
      <c r="AK1300">
        <v>0.64384246673832302</v>
      </c>
      <c r="AL1300">
        <v>86.937899282214104</v>
      </c>
      <c r="AM1300">
        <v>88.738337330712596</v>
      </c>
      <c r="AN1300">
        <v>0.99999996465560004</v>
      </c>
    </row>
    <row r="1301" spans="1:40" x14ac:dyDescent="0.25">
      <c r="A1301" t="str">
        <f>"20190312150655395"</f>
        <v>20190312150655395</v>
      </c>
      <c r="B1301" t="str">
        <f>"1552374415391497"</f>
        <v>1552374415391497</v>
      </c>
      <c r="C1301" t="s">
        <v>40</v>
      </c>
      <c r="D1301">
        <v>4.2151160000000001</v>
      </c>
      <c r="E1301">
        <v>0.55033189999999998</v>
      </c>
      <c r="F1301" t="s">
        <v>41</v>
      </c>
      <c r="G1301">
        <v>-292.12189999999998</v>
      </c>
      <c r="H1301">
        <v>0.86125609999999997</v>
      </c>
      <c r="I1301">
        <v>367.1148</v>
      </c>
      <c r="J1301">
        <v>-292.68639999999999</v>
      </c>
      <c r="K1301">
        <v>1.0599940000000001</v>
      </c>
      <c r="L1301">
        <v>367.22489999999999</v>
      </c>
      <c r="M1301">
        <v>0.99995389999999995</v>
      </c>
      <c r="N1301">
        <v>0</v>
      </c>
      <c r="O1301">
        <v>-2.005574E-3</v>
      </c>
      <c r="P1301">
        <v>0.99873559999999995</v>
      </c>
      <c r="Q1301">
        <v>4.4122729999999999E-2</v>
      </c>
      <c r="R1301">
        <v>-2.4103429999999999E-2</v>
      </c>
      <c r="S1301">
        <v>3.03125</v>
      </c>
      <c r="T1301">
        <v>-0.8949935</v>
      </c>
      <c r="U1301">
        <v>-0.49539179999999999</v>
      </c>
      <c r="V1301">
        <v>2.2099980000000002E-2</v>
      </c>
      <c r="W1301">
        <v>5.351305E-2</v>
      </c>
      <c r="X1301">
        <v>0.9983225</v>
      </c>
      <c r="Y1301">
        <v>0.15302839999999901</v>
      </c>
      <c r="Z1301">
        <v>-2.1406060000000001E-2</v>
      </c>
      <c r="AA1301">
        <v>0.98798989999999998</v>
      </c>
      <c r="AB1301">
        <v>22</v>
      </c>
      <c r="AC1301">
        <v>0.56450000000000899</v>
      </c>
      <c r="AD1301">
        <v>-0.1987379</v>
      </c>
      <c r="AE1301">
        <v>-0.110099999999988</v>
      </c>
      <c r="AF1301">
        <v>9.7344277752788796E-2</v>
      </c>
      <c r="AG1301">
        <v>-0.1987379</v>
      </c>
      <c r="AH1301">
        <v>0.50448242586563496</v>
      </c>
      <c r="AI1301">
        <v>111.146914801676</v>
      </c>
      <c r="AJ1301">
        <v>79.078507028218496</v>
      </c>
      <c r="AK1301">
        <v>0.55088581331787601</v>
      </c>
      <c r="AL1301">
        <v>86.932462639340201</v>
      </c>
      <c r="AM1301">
        <v>88.731843866333705</v>
      </c>
      <c r="AN1301">
        <v>0.99999993482127403</v>
      </c>
    </row>
    <row r="1302" spans="1:40" x14ac:dyDescent="0.25">
      <c r="A1302" t="str">
        <f>"20190312150655407"</f>
        <v>20190312150655407</v>
      </c>
      <c r="B1302" t="str">
        <f>"1552374415401256"</f>
        <v>1552374415401256</v>
      </c>
      <c r="C1302" t="s">
        <v>40</v>
      </c>
      <c r="D1302">
        <v>4.2442149999999996</v>
      </c>
      <c r="E1302">
        <v>0.55032159999999997</v>
      </c>
      <c r="F1302" t="s">
        <v>41</v>
      </c>
      <c r="G1302">
        <v>-291.93490000000003</v>
      </c>
      <c r="H1302">
        <v>0.83849059999999898</v>
      </c>
      <c r="I1302">
        <v>367.10230000000001</v>
      </c>
      <c r="J1302">
        <v>-292.56889999999999</v>
      </c>
      <c r="K1302">
        <v>1.0599889999999901</v>
      </c>
      <c r="L1302">
        <v>367.22469999999998</v>
      </c>
      <c r="M1302">
        <v>0.99995420000000002</v>
      </c>
      <c r="N1302">
        <v>0</v>
      </c>
      <c r="O1302">
        <v>-1.9900069999999998E-3</v>
      </c>
      <c r="P1302">
        <v>0.99873999999999996</v>
      </c>
      <c r="Q1302">
        <v>4.405324E-2</v>
      </c>
      <c r="R1302">
        <v>-2.4036519999999999E-2</v>
      </c>
      <c r="S1302">
        <v>3.0313110000000001</v>
      </c>
      <c r="T1302">
        <v>-0.893424</v>
      </c>
      <c r="U1302">
        <v>-0.49407960000000001</v>
      </c>
      <c r="V1302">
        <v>2.2048709999999999E-2</v>
      </c>
      <c r="W1302">
        <v>5.3404010000000002E-2</v>
      </c>
      <c r="X1302">
        <v>0.99832949999999998</v>
      </c>
      <c r="Y1302">
        <v>0.15265989999999999</v>
      </c>
      <c r="Z1302">
        <v>-2.1321940000000001E-2</v>
      </c>
      <c r="AA1302">
        <v>0.9880487</v>
      </c>
      <c r="AB1302">
        <v>22</v>
      </c>
      <c r="AC1302">
        <v>0.63399999999995704</v>
      </c>
      <c r="AD1302">
        <v>-0.22149840000000001</v>
      </c>
      <c r="AE1302">
        <v>-0.12239999999997001</v>
      </c>
      <c r="AF1302">
        <v>0.108384330275325</v>
      </c>
      <c r="AG1302">
        <v>-0.22149840000000001</v>
      </c>
      <c r="AH1302">
        <v>0.56746775487303502</v>
      </c>
      <c r="AI1302">
        <v>110.976687296718</v>
      </c>
      <c r="AJ1302">
        <v>79.186939488926996</v>
      </c>
      <c r="AK1302">
        <v>0.61873124785518496</v>
      </c>
      <c r="AL1302">
        <v>86.938719201869901</v>
      </c>
      <c r="AM1302">
        <v>88.734793787491597</v>
      </c>
      <c r="AN1302">
        <v>0.99999996223349596</v>
      </c>
    </row>
    <row r="1303" spans="1:40" x14ac:dyDescent="0.25">
      <c r="A1303" t="str">
        <f>"20190312150655418"</f>
        <v>20190312150655418</v>
      </c>
      <c r="B1303" t="str">
        <f>"1552374415411993"</f>
        <v>1552374415411993</v>
      </c>
      <c r="C1303" t="s">
        <v>40</v>
      </c>
      <c r="D1303">
        <v>4.2472539999999999</v>
      </c>
      <c r="E1303">
        <v>0.55029799999999995</v>
      </c>
      <c r="F1303" t="s">
        <v>41</v>
      </c>
      <c r="G1303">
        <v>-291.74680000000001</v>
      </c>
      <c r="H1303">
        <v>0.81734240000000002</v>
      </c>
      <c r="I1303">
        <v>367.09059999999999</v>
      </c>
      <c r="J1303">
        <v>-292.44909999999999</v>
      </c>
      <c r="K1303">
        <v>1.059985</v>
      </c>
      <c r="L1303">
        <v>367.22449999999998</v>
      </c>
      <c r="M1303">
        <v>0.99995460000000003</v>
      </c>
      <c r="N1303">
        <v>0</v>
      </c>
      <c r="O1303">
        <v>-1.9744440000000001E-3</v>
      </c>
      <c r="P1303">
        <v>0.99874110000000005</v>
      </c>
      <c r="Q1303">
        <v>4.4027070000000001E-2</v>
      </c>
      <c r="R1303">
        <v>-2.4040280000000001E-2</v>
      </c>
      <c r="S1303">
        <v>3.0313720000000002</v>
      </c>
      <c r="T1303">
        <v>-0.89474310000000001</v>
      </c>
      <c r="U1303">
        <v>-0.49353029999999998</v>
      </c>
      <c r="V1303">
        <v>2.2067949999999999E-2</v>
      </c>
      <c r="W1303">
        <v>5.3338299999999998E-2</v>
      </c>
      <c r="X1303">
        <v>0.99833260000000001</v>
      </c>
      <c r="Y1303">
        <v>0.15248619999999999</v>
      </c>
      <c r="Z1303">
        <v>-2.1331559999999999E-2</v>
      </c>
      <c r="AA1303">
        <v>0.98807540000000005</v>
      </c>
      <c r="AB1303">
        <v>22</v>
      </c>
      <c r="AC1303">
        <v>0.70229999999997905</v>
      </c>
      <c r="AD1303">
        <v>-0.24264259999999899</v>
      </c>
      <c r="AE1303">
        <v>-0.13389999999998201</v>
      </c>
      <c r="AF1303">
        <v>0.118826444339416</v>
      </c>
      <c r="AG1303">
        <v>-0.24264259999999899</v>
      </c>
      <c r="AH1303">
        <v>0.62999893464192502</v>
      </c>
      <c r="AI1303">
        <v>110.73036780312999</v>
      </c>
      <c r="AJ1303">
        <v>79.318712758993101</v>
      </c>
      <c r="AK1303">
        <v>0.68548801073327903</v>
      </c>
      <c r="AL1303">
        <v>86.942489518664999</v>
      </c>
      <c r="AM1303">
        <v>88.733694041753196</v>
      </c>
      <c r="AN1303">
        <v>0.99999997444342503</v>
      </c>
    </row>
    <row r="1304" spans="1:40" x14ac:dyDescent="0.25">
      <c r="A1304" t="str">
        <f>"20190312150655433"</f>
        <v>20190312150655433</v>
      </c>
      <c r="B1304" t="str">
        <f>"1552374415421752"</f>
        <v>1552374415421752</v>
      </c>
      <c r="C1304" t="s">
        <v>40</v>
      </c>
      <c r="D1304">
        <v>4.2541209999999996</v>
      </c>
      <c r="E1304">
        <v>0.55030389999999996</v>
      </c>
      <c r="F1304" t="s">
        <v>41</v>
      </c>
      <c r="G1304">
        <v>-291.73410000000001</v>
      </c>
      <c r="H1304">
        <v>0.84908079999999997</v>
      </c>
      <c r="I1304">
        <v>367.10789999999997</v>
      </c>
      <c r="J1304">
        <v>-292.3075</v>
      </c>
      <c r="K1304">
        <v>1.0599769999999999</v>
      </c>
      <c r="L1304">
        <v>367.2242</v>
      </c>
      <c r="M1304">
        <v>0.99995509999999999</v>
      </c>
      <c r="N1304">
        <v>0</v>
      </c>
      <c r="O1304">
        <v>-1.9563509999999998E-3</v>
      </c>
      <c r="P1304">
        <v>0.99873979999999996</v>
      </c>
      <c r="Q1304">
        <v>4.4055030000000002E-2</v>
      </c>
      <c r="R1304">
        <v>-2.4043999999999999E-2</v>
      </c>
      <c r="S1304">
        <v>3.031342</v>
      </c>
      <c r="T1304">
        <v>-0.89419649999999995</v>
      </c>
      <c r="U1304">
        <v>-0.49325560000000002</v>
      </c>
      <c r="V1304">
        <v>2.2089649999999999E-2</v>
      </c>
      <c r="W1304">
        <v>5.3321159999999999E-2</v>
      </c>
      <c r="X1304">
        <v>0.99833300000000003</v>
      </c>
      <c r="Y1304">
        <v>0.15242739999999999</v>
      </c>
      <c r="Z1304">
        <v>-2.1316149999999999E-2</v>
      </c>
      <c r="AA1304">
        <v>0.98808479999999999</v>
      </c>
      <c r="AB1304">
        <v>22</v>
      </c>
      <c r="AC1304">
        <v>0.57339999999999203</v>
      </c>
      <c r="AD1304">
        <v>-0.21089619999999901</v>
      </c>
      <c r="AE1304">
        <v>-0.116300000000023</v>
      </c>
      <c r="AF1304">
        <v>0.101933592831288</v>
      </c>
      <c r="AG1304">
        <v>-0.21089619999999901</v>
      </c>
      <c r="AH1304">
        <v>0.50766487630895996</v>
      </c>
      <c r="AI1304">
        <v>112.160815589075</v>
      </c>
      <c r="AJ1304">
        <v>78.6465988730113</v>
      </c>
      <c r="AK1304">
        <v>0.55909864170799595</v>
      </c>
      <c r="AL1304">
        <v>86.943472858838206</v>
      </c>
      <c r="AM1304">
        <v>88.732449763296202</v>
      </c>
      <c r="AN1304">
        <v>0.99999993881493199</v>
      </c>
    </row>
    <row r="1305" spans="1:40" x14ac:dyDescent="0.25">
      <c r="A1305" t="str">
        <f>"20190312150655445"</f>
        <v>20190312150655445</v>
      </c>
      <c r="B1305" t="str">
        <f>"1552374415441274"</f>
        <v>1552374415441274</v>
      </c>
      <c r="C1305" t="s">
        <v>40</v>
      </c>
      <c r="D1305">
        <v>4.220599</v>
      </c>
      <c r="E1305">
        <v>0.55027469999999901</v>
      </c>
      <c r="F1305" t="s">
        <v>41</v>
      </c>
      <c r="G1305">
        <v>-291.54289999999997</v>
      </c>
      <c r="H1305">
        <v>0.83449390000000001</v>
      </c>
      <c r="I1305">
        <v>367.09980000000002</v>
      </c>
      <c r="J1305">
        <v>-292.19119999999998</v>
      </c>
      <c r="K1305">
        <v>1.0599749999999999</v>
      </c>
      <c r="L1305">
        <v>367.22410000000002</v>
      </c>
      <c r="M1305">
        <v>0.9999555</v>
      </c>
      <c r="N1305">
        <v>0</v>
      </c>
      <c r="O1305">
        <v>-1.9414E-3</v>
      </c>
      <c r="P1305">
        <v>0.99875040000000004</v>
      </c>
      <c r="Q1305">
        <v>4.3795960000000002E-2</v>
      </c>
      <c r="R1305">
        <v>-2.407567E-2</v>
      </c>
      <c r="S1305">
        <v>3.031342</v>
      </c>
      <c r="T1305">
        <v>-0.89392260000000001</v>
      </c>
      <c r="U1305">
        <v>-0.49356080000000002</v>
      </c>
      <c r="V1305">
        <v>2.2136240000000001E-2</v>
      </c>
      <c r="W1305">
        <v>5.3026419999999998E-2</v>
      </c>
      <c r="X1305">
        <v>0.99834769999999995</v>
      </c>
      <c r="Y1305">
        <v>0.1525377</v>
      </c>
      <c r="Z1305">
        <v>-2.1329839999999999E-2</v>
      </c>
      <c r="AA1305">
        <v>0.98806740000000004</v>
      </c>
      <c r="AB1305">
        <v>22</v>
      </c>
      <c r="AC1305">
        <v>0.64830000000000598</v>
      </c>
      <c r="AD1305">
        <v>-0.22548109999999899</v>
      </c>
      <c r="AE1305">
        <v>-0.124300000000005</v>
      </c>
      <c r="AF1305">
        <v>0.110184929954279</v>
      </c>
      <c r="AG1305">
        <v>-0.22548109999999899</v>
      </c>
      <c r="AH1305">
        <v>0.58077621660759104</v>
      </c>
      <c r="AI1305">
        <v>110.87869926201</v>
      </c>
      <c r="AJ1305">
        <v>79.257511259332304</v>
      </c>
      <c r="AK1305">
        <v>0.63267958638102595</v>
      </c>
      <c r="AL1305">
        <v>86.960384244460599</v>
      </c>
      <c r="AM1305">
        <v>88.729795903843296</v>
      </c>
      <c r="AN1305">
        <v>0.99999997221732095</v>
      </c>
    </row>
    <row r="1306" spans="1:40" x14ac:dyDescent="0.25">
      <c r="A1306" t="str">
        <f>"20190312150655456"</f>
        <v>20190312150655456</v>
      </c>
      <c r="B1306" t="str">
        <f>"1552374415452010"</f>
        <v>1552374415452010</v>
      </c>
      <c r="C1306" t="s">
        <v>40</v>
      </c>
      <c r="D1306">
        <v>4.2605029999999999</v>
      </c>
      <c r="E1306">
        <v>0.55025609999999903</v>
      </c>
      <c r="F1306" t="s">
        <v>41</v>
      </c>
      <c r="G1306">
        <v>-291.35390000000001</v>
      </c>
      <c r="H1306">
        <v>0.81302949999999996</v>
      </c>
      <c r="I1306">
        <v>367.08749999999998</v>
      </c>
      <c r="J1306">
        <v>-292.07619999999997</v>
      </c>
      <c r="K1306">
        <v>1.059966</v>
      </c>
      <c r="L1306">
        <v>367.22379999999998</v>
      </c>
      <c r="M1306">
        <v>0.99995579999999995</v>
      </c>
      <c r="N1306">
        <v>0</v>
      </c>
      <c r="O1306">
        <v>-1.9263500000000001E-3</v>
      </c>
      <c r="P1306">
        <v>0.99874549999999995</v>
      </c>
      <c r="Q1306">
        <v>4.3852870000000002E-2</v>
      </c>
      <c r="R1306">
        <v>-2.4179829999999999E-2</v>
      </c>
      <c r="S1306">
        <v>3.0310670000000002</v>
      </c>
      <c r="T1306">
        <v>-0.89404309999999998</v>
      </c>
      <c r="U1306">
        <v>-0.4937744</v>
      </c>
      <c r="V1306">
        <v>2.2255359999999998E-2</v>
      </c>
      <c r="W1306">
        <v>5.3050699999999902E-2</v>
      </c>
      <c r="X1306">
        <v>0.9983438</v>
      </c>
      <c r="Y1306">
        <v>0.1526276</v>
      </c>
      <c r="Z1306">
        <v>-2.1351539999999999E-2</v>
      </c>
      <c r="AA1306">
        <v>0.98805310000000002</v>
      </c>
      <c r="AB1306">
        <v>22</v>
      </c>
      <c r="AC1306">
        <v>0.72229999999996097</v>
      </c>
      <c r="AD1306">
        <v>-0.246936499999999</v>
      </c>
      <c r="AE1306">
        <v>-0.136300000000005</v>
      </c>
      <c r="AF1306">
        <v>0.121226657636024</v>
      </c>
      <c r="AG1306">
        <v>-0.246936499999999</v>
      </c>
      <c r="AH1306">
        <v>0.64928319836654003</v>
      </c>
      <c r="AI1306">
        <v>110.498816175252</v>
      </c>
      <c r="AJ1306">
        <v>79.424163364945002</v>
      </c>
      <c r="AK1306">
        <v>0.70515403227588203</v>
      </c>
      <c r="AL1306">
        <v>86.958991258304707</v>
      </c>
      <c r="AM1306">
        <v>88.722957925257802</v>
      </c>
      <c r="AN1306">
        <v>1.00000001040882</v>
      </c>
    </row>
    <row r="1307" spans="1:40" x14ac:dyDescent="0.25">
      <c r="A1307" t="str">
        <f>"20190312150655467"</f>
        <v>20190312150655467</v>
      </c>
      <c r="B1307" t="str">
        <f>"1552374415461768"</f>
        <v>1552374415461768</v>
      </c>
      <c r="C1307" t="s">
        <v>40</v>
      </c>
      <c r="D1307">
        <v>4.4751960000000004</v>
      </c>
      <c r="E1307">
        <v>0.550378699999999</v>
      </c>
      <c r="F1307" t="s">
        <v>41</v>
      </c>
      <c r="G1307">
        <v>-291.34179999999998</v>
      </c>
      <c r="H1307">
        <v>0.84347309999999998</v>
      </c>
      <c r="I1307">
        <v>367.10390000000001</v>
      </c>
      <c r="J1307">
        <v>-291.96910000000003</v>
      </c>
      <c r="K1307">
        <v>1.0599620000000001</v>
      </c>
      <c r="L1307">
        <v>367.22359999999998</v>
      </c>
      <c r="M1307">
        <v>0.99995610000000001</v>
      </c>
      <c r="N1307">
        <v>0</v>
      </c>
      <c r="O1307">
        <v>-1.9123860000000001E-3</v>
      </c>
      <c r="P1307">
        <v>0.99873469999999998</v>
      </c>
      <c r="Q1307">
        <v>4.3935139999999998E-2</v>
      </c>
      <c r="R1307">
        <v>-2.44697E-2</v>
      </c>
      <c r="S1307">
        <v>3.0310359999999998</v>
      </c>
      <c r="T1307">
        <v>-0.89344000000000001</v>
      </c>
      <c r="U1307">
        <v>-0.49417109999999898</v>
      </c>
      <c r="V1307">
        <v>2.2559369999999999E-2</v>
      </c>
      <c r="W1307">
        <v>5.3103560000000001E-2</v>
      </c>
      <c r="X1307">
        <v>0.99833419999999895</v>
      </c>
      <c r="Y1307">
        <v>0.15277070000000001</v>
      </c>
      <c r="Z1307">
        <v>-2.1362240000000001E-2</v>
      </c>
      <c r="AA1307">
        <v>0.98803070000000004</v>
      </c>
      <c r="AB1307">
        <v>22</v>
      </c>
      <c r="AC1307">
        <v>0.62730000000004704</v>
      </c>
      <c r="AD1307">
        <v>-0.21648890000000001</v>
      </c>
      <c r="AE1307">
        <v>-0.119699999999966</v>
      </c>
      <c r="AF1307">
        <v>0.106285913867816</v>
      </c>
      <c r="AG1307">
        <v>-0.21648890000000001</v>
      </c>
      <c r="AH1307">
        <v>0.56284651387013895</v>
      </c>
      <c r="AI1307">
        <v>110.70421077560501</v>
      </c>
      <c r="AJ1307">
        <v>79.306392643527204</v>
      </c>
      <c r="AK1307">
        <v>0.61234005053213303</v>
      </c>
      <c r="AL1307">
        <v>86.955958430836702</v>
      </c>
      <c r="AM1307">
        <v>88.705506880409104</v>
      </c>
      <c r="AN1307">
        <v>1.00000004407455</v>
      </c>
    </row>
    <row r="1308" spans="1:40" x14ac:dyDescent="0.25">
      <c r="A1308" t="str">
        <f>"20190312150655478"</f>
        <v>20190312150655478</v>
      </c>
      <c r="B1308" t="str">
        <f>"1552374415471529"</f>
        <v>1552374415471529</v>
      </c>
      <c r="C1308" t="s">
        <v>40</v>
      </c>
      <c r="D1308">
        <v>4.2427390000000003</v>
      </c>
      <c r="E1308">
        <v>0.55036870000000004</v>
      </c>
      <c r="F1308" t="s">
        <v>41</v>
      </c>
      <c r="G1308">
        <v>-291.15339999999998</v>
      </c>
      <c r="H1308">
        <v>0.81940440000000003</v>
      </c>
      <c r="I1308">
        <v>367.09</v>
      </c>
      <c r="J1308">
        <v>-291.86430000000001</v>
      </c>
      <c r="K1308">
        <v>1.0599590000000001</v>
      </c>
      <c r="L1308">
        <v>367.2235</v>
      </c>
      <c r="M1308">
        <v>0.99995639999999997</v>
      </c>
      <c r="N1308">
        <v>0</v>
      </c>
      <c r="O1308">
        <v>-1.8987920000000001E-3</v>
      </c>
      <c r="P1308">
        <v>0.9987393</v>
      </c>
      <c r="Q1308">
        <v>4.384155E-2</v>
      </c>
      <c r="R1308">
        <v>-2.4451049999999998E-2</v>
      </c>
      <c r="S1308">
        <v>3.0309750000000002</v>
      </c>
      <c r="T1308">
        <v>-0.89375689999999997</v>
      </c>
      <c r="U1308">
        <v>-0.4960022</v>
      </c>
      <c r="V1308">
        <v>2.2554279999999999E-2</v>
      </c>
      <c r="W1308">
        <v>5.2982609999999999E-2</v>
      </c>
      <c r="X1308">
        <v>0.99834069999999997</v>
      </c>
      <c r="Y1308">
        <v>0.15334059999999999</v>
      </c>
      <c r="Z1308">
        <v>-2.1454609999999999E-2</v>
      </c>
      <c r="AA1308">
        <v>0.9879405</v>
      </c>
      <c r="AB1308">
        <v>22</v>
      </c>
      <c r="AC1308">
        <v>0.71090000000003695</v>
      </c>
      <c r="AD1308">
        <v>-0.24055460000000001</v>
      </c>
      <c r="AE1308">
        <v>-0.13350000000002599</v>
      </c>
      <c r="AF1308">
        <v>0.11898950375942</v>
      </c>
      <c r="AG1308">
        <v>-0.24055460000000001</v>
      </c>
      <c r="AH1308">
        <v>0.64033102128831998</v>
      </c>
      <c r="AI1308">
        <v>110.271678263345</v>
      </c>
      <c r="AJ1308">
        <v>79.473084552559698</v>
      </c>
      <c r="AK1308">
        <v>0.69429736742279002</v>
      </c>
      <c r="AL1308">
        <v>86.962897999405499</v>
      </c>
      <c r="AM1308">
        <v>88.705807276912097</v>
      </c>
      <c r="AN1308">
        <v>1.0000000028926099</v>
      </c>
    </row>
    <row r="1309" spans="1:40" x14ac:dyDescent="0.25">
      <c r="A1309" t="str">
        <f>"20190312150655490"</f>
        <v>20190312150655490</v>
      </c>
      <c r="B1309" t="str">
        <f>"1552374415481289"</f>
        <v>1552374415481289</v>
      </c>
      <c r="C1309" t="s">
        <v>40</v>
      </c>
      <c r="D1309">
        <v>4.2034630000000002</v>
      </c>
      <c r="E1309">
        <v>0.55037349999999996</v>
      </c>
      <c r="F1309" t="s">
        <v>41</v>
      </c>
      <c r="G1309">
        <v>-291.14229999999998</v>
      </c>
      <c r="H1309">
        <v>0.84703099999999998</v>
      </c>
      <c r="I1309">
        <v>367.1053</v>
      </c>
      <c r="J1309">
        <v>-291.75310000000002</v>
      </c>
      <c r="K1309">
        <v>1.0599590000000001</v>
      </c>
      <c r="L1309">
        <v>367.22329999999999</v>
      </c>
      <c r="M1309">
        <v>0.99995659999999997</v>
      </c>
      <c r="N1309">
        <v>0</v>
      </c>
      <c r="O1309">
        <v>-1.884124E-3</v>
      </c>
      <c r="P1309">
        <v>0.99872559999999999</v>
      </c>
      <c r="Q1309">
        <v>4.4062200000000003E-2</v>
      </c>
      <c r="R1309">
        <v>-2.4615540000000002E-2</v>
      </c>
      <c r="S1309">
        <v>3.0308839999999999</v>
      </c>
      <c r="T1309">
        <v>-0.89390340000000001</v>
      </c>
      <c r="U1309">
        <v>-0.495697</v>
      </c>
      <c r="V1309">
        <v>2.2733380000000001E-2</v>
      </c>
      <c r="W1309">
        <v>5.317641E-2</v>
      </c>
      <c r="X1309">
        <v>0.9983263</v>
      </c>
      <c r="Y1309">
        <v>0.15326300000000001</v>
      </c>
      <c r="Z1309">
        <v>-2.145184E-2</v>
      </c>
      <c r="AA1309">
        <v>0.98795259999999996</v>
      </c>
      <c r="AB1309">
        <v>22</v>
      </c>
      <c r="AC1309">
        <v>0.61080000000003998</v>
      </c>
      <c r="AD1309">
        <v>-0.21292800000000001</v>
      </c>
      <c r="AE1309">
        <v>-0.117999999999994</v>
      </c>
      <c r="AF1309">
        <v>0.10459525860315</v>
      </c>
      <c r="AG1309">
        <v>-0.21292800000000001</v>
      </c>
      <c r="AH1309">
        <v>0.54694494391816395</v>
      </c>
      <c r="AI1309">
        <v>110.925610870021</v>
      </c>
      <c r="AJ1309">
        <v>79.173729081495296</v>
      </c>
      <c r="AK1309">
        <v>0.59617721608922902</v>
      </c>
      <c r="AL1309">
        <v>86.951778299162001</v>
      </c>
      <c r="AM1309">
        <v>88.695515023191305</v>
      </c>
      <c r="AN1309">
        <v>0.99999996920919998</v>
      </c>
    </row>
    <row r="1310" spans="1:40" x14ac:dyDescent="0.25">
      <c r="A1310" t="str">
        <f>"20190312150655499"</f>
        <v>20190312150655499</v>
      </c>
      <c r="B1310" t="str">
        <f>"1552374415492025"</f>
        <v>1552374415492025</v>
      </c>
      <c r="C1310" t="s">
        <v>40</v>
      </c>
      <c r="D1310">
        <v>4.2186130000000004</v>
      </c>
      <c r="E1310">
        <v>0.55037879999999995</v>
      </c>
      <c r="F1310" t="s">
        <v>41</v>
      </c>
      <c r="G1310">
        <v>-290.95299999999997</v>
      </c>
      <c r="H1310">
        <v>0.8240963</v>
      </c>
      <c r="I1310">
        <v>367.09190000000001</v>
      </c>
      <c r="J1310">
        <v>-291.64260000000002</v>
      </c>
      <c r="K1310">
        <v>1.0599559999999999</v>
      </c>
      <c r="L1310">
        <v>367.22309999999999</v>
      </c>
      <c r="M1310">
        <v>0.99995690000000004</v>
      </c>
      <c r="N1310">
        <v>0</v>
      </c>
      <c r="O1310">
        <v>-1.869466E-3</v>
      </c>
      <c r="P1310">
        <v>0.99873120000000004</v>
      </c>
      <c r="Q1310">
        <v>4.3998830000000003E-2</v>
      </c>
      <c r="R1310">
        <v>-2.4500580000000001E-2</v>
      </c>
      <c r="S1310">
        <v>3.0310969999999999</v>
      </c>
      <c r="T1310">
        <v>-0.89352489999999996</v>
      </c>
      <c r="U1310">
        <v>-0.49603269999999999</v>
      </c>
      <c r="V1310">
        <v>2.2632969999999999E-2</v>
      </c>
      <c r="W1310">
        <v>5.3087370000000002E-2</v>
      </c>
      <c r="X1310">
        <v>0.99833329999999998</v>
      </c>
      <c r="Y1310">
        <v>0.15337400000000001</v>
      </c>
      <c r="Z1310">
        <v>-2.1461629999999999E-2</v>
      </c>
      <c r="AA1310">
        <v>0.98793509999999995</v>
      </c>
      <c r="AB1310">
        <v>22</v>
      </c>
      <c r="AC1310">
        <v>0.68960000000004096</v>
      </c>
      <c r="AD1310">
        <v>-0.23585969999999901</v>
      </c>
      <c r="AE1310">
        <v>-0.131199999999978</v>
      </c>
      <c r="AF1310">
        <v>0.116732178223622</v>
      </c>
      <c r="AG1310">
        <v>-0.23585969999999901</v>
      </c>
      <c r="AH1310">
        <v>0.61986506950351405</v>
      </c>
      <c r="AI1310">
        <v>110.502225418965</v>
      </c>
      <c r="AJ1310">
        <v>79.335037022611999</v>
      </c>
      <c r="AK1310">
        <v>0.67341584768070195</v>
      </c>
      <c r="AL1310">
        <v>86.956887070291998</v>
      </c>
      <c r="AM1310">
        <v>88.701283867113503</v>
      </c>
      <c r="AN1310">
        <v>0.99999994903671197</v>
      </c>
    </row>
    <row r="1311" spans="1:40" x14ac:dyDescent="0.25">
      <c r="A1311" t="str">
        <f>"20190312150655511"</f>
        <v>20190312150655511</v>
      </c>
      <c r="B1311" t="str">
        <f>"1552374415501784"</f>
        <v>1552374415501784</v>
      </c>
      <c r="C1311" t="s">
        <v>40</v>
      </c>
      <c r="D1311">
        <v>4.1961890000000004</v>
      </c>
      <c r="E1311">
        <v>0.55037740000000002</v>
      </c>
      <c r="F1311" t="s">
        <v>41</v>
      </c>
      <c r="G1311">
        <v>-290.94139999999999</v>
      </c>
      <c r="H1311">
        <v>0.85307980000000005</v>
      </c>
      <c r="I1311">
        <v>367.10789999999997</v>
      </c>
      <c r="J1311">
        <v>-291.53500000000003</v>
      </c>
      <c r="K1311">
        <v>1.059952</v>
      </c>
      <c r="L1311">
        <v>367.22289999999998</v>
      </c>
      <c r="M1311">
        <v>0.99995710000000004</v>
      </c>
      <c r="N1311">
        <v>0</v>
      </c>
      <c r="O1311">
        <v>-1.854697E-3</v>
      </c>
      <c r="P1311">
        <v>0.99873080000000003</v>
      </c>
      <c r="Q1311">
        <v>4.403265E-2</v>
      </c>
      <c r="R1311">
        <v>-2.4451000000000001E-2</v>
      </c>
      <c r="S1311">
        <v>3.0310359999999998</v>
      </c>
      <c r="T1311">
        <v>-0.89424359999999903</v>
      </c>
      <c r="U1311">
        <v>-0.49603269999999999</v>
      </c>
      <c r="V1311">
        <v>2.259831E-2</v>
      </c>
      <c r="W1311">
        <v>5.309784E-2</v>
      </c>
      <c r="X1311">
        <v>0.99833360000000004</v>
      </c>
      <c r="Y1311">
        <v>0.15338070000000001</v>
      </c>
      <c r="Z1311">
        <v>-2.1483809999999999E-2</v>
      </c>
      <c r="AA1311">
        <v>0.98793359999999997</v>
      </c>
      <c r="AB1311">
        <v>22</v>
      </c>
      <c r="AC1311">
        <v>0.59360000000003699</v>
      </c>
      <c r="AD1311">
        <v>-0.20687219999999901</v>
      </c>
      <c r="AE1311">
        <v>-0.115000000000009</v>
      </c>
      <c r="AF1311">
        <v>0.101962864378126</v>
      </c>
      <c r="AG1311">
        <v>-0.20687219999999901</v>
      </c>
      <c r="AH1311">
        <v>0.53158414422246103</v>
      </c>
      <c r="AI1311">
        <v>110.916585592499</v>
      </c>
      <c r="AJ1311">
        <v>79.142004368025098</v>
      </c>
      <c r="AK1311">
        <v>0.57946029651198505</v>
      </c>
      <c r="AL1311">
        <v>86.956286554066295</v>
      </c>
      <c r="AM1311">
        <v>88.703272423463901</v>
      </c>
      <c r="AN1311">
        <v>1.00000002055824</v>
      </c>
    </row>
    <row r="1312" spans="1:40" x14ac:dyDescent="0.25">
      <c r="A1312" t="str">
        <f>"20190312150655522"</f>
        <v>20190312150655522</v>
      </c>
      <c r="B1312" t="str">
        <f>"1552374415511545"</f>
        <v>1552374415511545</v>
      </c>
      <c r="C1312" t="s">
        <v>40</v>
      </c>
      <c r="D1312">
        <v>4.2022250000000003</v>
      </c>
      <c r="E1312">
        <v>0.55036560000000001</v>
      </c>
      <c r="F1312" t="s">
        <v>41</v>
      </c>
      <c r="G1312">
        <v>-290.75209999999998</v>
      </c>
      <c r="H1312">
        <v>0.82894129999999999</v>
      </c>
      <c r="I1312">
        <v>367.09480000000002</v>
      </c>
      <c r="J1312">
        <v>-291.42669999999998</v>
      </c>
      <c r="K1312">
        <v>1.0599459999999901</v>
      </c>
      <c r="L1312">
        <v>367.22269999999997</v>
      </c>
      <c r="M1312">
        <v>0.9999574</v>
      </c>
      <c r="N1312">
        <v>0</v>
      </c>
      <c r="O1312">
        <v>-1.8398119999999999E-3</v>
      </c>
      <c r="P1312">
        <v>0.99873160000000005</v>
      </c>
      <c r="Q1312">
        <v>4.4150420000000003E-2</v>
      </c>
      <c r="R1312">
        <v>-2.4220889999999998E-2</v>
      </c>
      <c r="S1312">
        <v>3.0310969999999999</v>
      </c>
      <c r="T1312">
        <v>-0.89442969999999899</v>
      </c>
      <c r="U1312">
        <v>-0.49578860000000002</v>
      </c>
      <c r="V1312">
        <v>2.2382929999999999E-2</v>
      </c>
      <c r="W1312">
        <v>5.3193070000000002E-2</v>
      </c>
      <c r="X1312">
        <v>0.99833329999999998</v>
      </c>
      <c r="Y1312">
        <v>0.15331439999999999</v>
      </c>
      <c r="Z1312">
        <v>-2.1482580000000001E-2</v>
      </c>
      <c r="AA1312">
        <v>0.98794389999999999</v>
      </c>
      <c r="AB1312">
        <v>22</v>
      </c>
      <c r="AC1312">
        <v>0.67459999999999798</v>
      </c>
      <c r="AD1312">
        <v>-0.23100469999999901</v>
      </c>
      <c r="AE1312">
        <v>-0.12789999999995399</v>
      </c>
      <c r="AF1312">
        <v>0.11377975119758001</v>
      </c>
      <c r="AG1312">
        <v>-0.23100469999999901</v>
      </c>
      <c r="AH1312">
        <v>0.60621598343173899</v>
      </c>
      <c r="AI1312">
        <v>110.531957453149</v>
      </c>
      <c r="AJ1312">
        <v>79.369913216215394</v>
      </c>
      <c r="AK1312">
        <v>0.65864013070324201</v>
      </c>
      <c r="AL1312">
        <v>86.950822303511998</v>
      </c>
      <c r="AM1312">
        <v>88.715626730661498</v>
      </c>
      <c r="AN1312">
        <v>0.99999993807014798</v>
      </c>
    </row>
    <row r="1313" spans="1:40" x14ac:dyDescent="0.25">
      <c r="A1313" t="str">
        <f>"20190312150655534"</f>
        <v>20190312150655534</v>
      </c>
      <c r="B1313" t="str">
        <f>"1552374415532041"</f>
        <v>1552374415532041</v>
      </c>
      <c r="C1313" t="s">
        <v>40</v>
      </c>
      <c r="D1313">
        <v>4.2721210000000003</v>
      </c>
      <c r="E1313">
        <v>0.55031540000000001</v>
      </c>
      <c r="F1313" t="s">
        <v>41</v>
      </c>
      <c r="G1313">
        <v>-290.74079999999998</v>
      </c>
      <c r="H1313">
        <v>0.85745079999999996</v>
      </c>
      <c r="I1313">
        <v>367.11059999999998</v>
      </c>
      <c r="J1313">
        <v>-291.30430000000001</v>
      </c>
      <c r="K1313">
        <v>1.0599449999999999</v>
      </c>
      <c r="L1313">
        <v>367.22250000000003</v>
      </c>
      <c r="M1313">
        <v>0.99995750000000005</v>
      </c>
      <c r="N1313">
        <v>0</v>
      </c>
      <c r="O1313">
        <v>-1.822286E-3</v>
      </c>
      <c r="P1313">
        <v>0.99874499999999999</v>
      </c>
      <c r="Q1313">
        <v>4.3884869999999999E-2</v>
      </c>
      <c r="R1313">
        <v>-2.4133129999999999E-2</v>
      </c>
      <c r="S1313">
        <v>3.0313720000000002</v>
      </c>
      <c r="T1313">
        <v>-0.89487229999999995</v>
      </c>
      <c r="U1313">
        <v>-0.49523929999999999</v>
      </c>
      <c r="V1313">
        <v>2.2312700000000001E-2</v>
      </c>
      <c r="W1313">
        <v>5.2902610000000003E-2</v>
      </c>
      <c r="X1313">
        <v>0.99835039999999997</v>
      </c>
      <c r="Y1313">
        <v>0.15314420000000001</v>
      </c>
      <c r="Z1313">
        <v>-2.1471819999999999E-2</v>
      </c>
      <c r="AA1313">
        <v>0.98797049999999997</v>
      </c>
      <c r="AB1313">
        <v>22</v>
      </c>
      <c r="AC1313">
        <v>0.56350000000003297</v>
      </c>
      <c r="AD1313">
        <v>-0.20249420000000001</v>
      </c>
      <c r="AE1313">
        <v>-0.111900000000048</v>
      </c>
      <c r="AF1313">
        <v>9.8620853969529895E-2</v>
      </c>
      <c r="AG1313">
        <v>-0.20249420000000001</v>
      </c>
      <c r="AH1313">
        <v>0.50141074006827002</v>
      </c>
      <c r="AI1313">
        <v>111.616290657064</v>
      </c>
      <c r="AJ1313">
        <v>78.872716611356196</v>
      </c>
      <c r="AK1313">
        <v>0.54967508960032896</v>
      </c>
      <c r="AL1313">
        <v>86.967488187318295</v>
      </c>
      <c r="AM1313">
        <v>88.719677235129694</v>
      </c>
      <c r="AN1313">
        <v>1.0000000319531299</v>
      </c>
    </row>
    <row r="1314" spans="1:40" x14ac:dyDescent="0.25">
      <c r="A1314" t="str">
        <f>"20190312150655547"</f>
        <v>20190312150655547</v>
      </c>
      <c r="B1314" t="str">
        <f>"1552374415541801"</f>
        <v>1552374415541801</v>
      </c>
      <c r="C1314" t="s">
        <v>40</v>
      </c>
      <c r="D1314">
        <v>4.1891910000000001</v>
      </c>
      <c r="E1314">
        <v>0.55031609999999997</v>
      </c>
      <c r="F1314" t="s">
        <v>41</v>
      </c>
      <c r="G1314">
        <v>-290.54939999999999</v>
      </c>
      <c r="H1314">
        <v>0.83717830000000004</v>
      </c>
      <c r="I1314">
        <v>367.0992</v>
      </c>
      <c r="J1314">
        <v>-291.1789</v>
      </c>
      <c r="K1314">
        <v>1.0599430000000001</v>
      </c>
      <c r="L1314">
        <v>367.22230000000002</v>
      </c>
      <c r="M1314">
        <v>0.99995780000000001</v>
      </c>
      <c r="N1314">
        <v>0</v>
      </c>
      <c r="O1314">
        <v>-1.804398E-3</v>
      </c>
      <c r="P1314">
        <v>0.99874160000000001</v>
      </c>
      <c r="Q1314">
        <v>4.3968279999999998E-2</v>
      </c>
      <c r="R1314">
        <v>-2.4122350000000001E-2</v>
      </c>
      <c r="S1314">
        <v>3.0311279999999998</v>
      </c>
      <c r="T1314">
        <v>-0.89446899999999996</v>
      </c>
      <c r="U1314">
        <v>-0.49386600000000003</v>
      </c>
      <c r="V1314">
        <v>2.231963E-2</v>
      </c>
      <c r="W1314">
        <v>5.2959760000000002E-2</v>
      </c>
      <c r="X1314">
        <v>0.99834719999999999</v>
      </c>
      <c r="Y1314">
        <v>0.1527578</v>
      </c>
      <c r="Z1314">
        <v>-2.1414570000000001E-2</v>
      </c>
      <c r="AA1314">
        <v>0.98803160000000001</v>
      </c>
      <c r="AB1314">
        <v>22</v>
      </c>
      <c r="AC1314">
        <v>0.62950000000000705</v>
      </c>
      <c r="AD1314">
        <v>-0.22276469999999901</v>
      </c>
      <c r="AE1314">
        <v>-0.123100000000022</v>
      </c>
      <c r="AF1314">
        <v>0.108836510352274</v>
      </c>
      <c r="AG1314">
        <v>-0.22276469999999901</v>
      </c>
      <c r="AH1314">
        <v>0.56194214906913897</v>
      </c>
      <c r="AI1314">
        <v>111.2653385221</v>
      </c>
      <c r="AJ1314">
        <v>79.038712698856997</v>
      </c>
      <c r="AK1314">
        <v>0.614205565305455</v>
      </c>
      <c r="AL1314">
        <v>86.964209091201894</v>
      </c>
      <c r="AM1314">
        <v>88.719275614205998</v>
      </c>
      <c r="AN1314">
        <v>1.0000000169052099</v>
      </c>
    </row>
    <row r="1315" spans="1:40" x14ac:dyDescent="0.25">
      <c r="A1315" t="str">
        <f>"20190312150655559"</f>
        <v>20190312150655559</v>
      </c>
      <c r="B1315" t="str">
        <f>"1552374415551560"</f>
        <v>1552374415551560</v>
      </c>
      <c r="C1315" t="s">
        <v>40</v>
      </c>
      <c r="D1315">
        <v>4.2460649999999998</v>
      </c>
      <c r="E1315">
        <v>0.55029790000000001</v>
      </c>
      <c r="F1315" t="s">
        <v>41</v>
      </c>
      <c r="G1315">
        <v>-290.35739999999998</v>
      </c>
      <c r="H1315">
        <v>0.81749150000000004</v>
      </c>
      <c r="I1315">
        <v>367.08819999999997</v>
      </c>
      <c r="J1315">
        <v>-291.05549999999999</v>
      </c>
      <c r="K1315">
        <v>1.0599419999999999</v>
      </c>
      <c r="L1315">
        <v>367.22210000000001</v>
      </c>
      <c r="M1315">
        <v>0.99995820000000002</v>
      </c>
      <c r="N1315">
        <v>0</v>
      </c>
      <c r="O1315">
        <v>-1.7863929999999901E-3</v>
      </c>
      <c r="P1315">
        <v>0.99874079999999998</v>
      </c>
      <c r="Q1315">
        <v>4.4060370000000001E-2</v>
      </c>
      <c r="R1315">
        <v>-2.3994129999999999E-2</v>
      </c>
      <c r="S1315">
        <v>3.0312190000000001</v>
      </c>
      <c r="T1315">
        <v>-0.89464549999999998</v>
      </c>
      <c r="U1315">
        <v>-0.49414059999999999</v>
      </c>
      <c r="V1315">
        <v>2.2209340000000001E-2</v>
      </c>
      <c r="W1315">
        <v>5.3026419999999998E-2</v>
      </c>
      <c r="X1315">
        <v>0.99834610000000001</v>
      </c>
      <c r="Y1315">
        <v>0.1528515</v>
      </c>
      <c r="Z1315">
        <v>-2.1436489999999999E-2</v>
      </c>
      <c r="AA1315">
        <v>0.98801669999999997</v>
      </c>
      <c r="AB1315">
        <v>22</v>
      </c>
      <c r="AC1315">
        <v>0.69810000000001005</v>
      </c>
      <c r="AD1315">
        <v>-0.24245049999999899</v>
      </c>
      <c r="AE1315">
        <v>-0.13390000000003899</v>
      </c>
      <c r="AF1315">
        <v>0.11882843601226099</v>
      </c>
      <c r="AG1315">
        <v>-0.24245049999999899</v>
      </c>
      <c r="AH1315">
        <v>0.62556172229157703</v>
      </c>
      <c r="AI1315">
        <v>110.845023184277</v>
      </c>
      <c r="AJ1315">
        <v>79.244533867992899</v>
      </c>
      <c r="AK1315">
        <v>0.68134419389305301</v>
      </c>
      <c r="AL1315">
        <v>86.960384315885406</v>
      </c>
      <c r="AM1315">
        <v>88.7256006771416</v>
      </c>
      <c r="AN1315">
        <v>0.99999999569323095</v>
      </c>
    </row>
    <row r="1316" spans="1:40" x14ac:dyDescent="0.25">
      <c r="A1316" t="str">
        <f>"20190312150655571"</f>
        <v>20190312150655571</v>
      </c>
      <c r="B1316" t="str">
        <f>"1552374415561321"</f>
        <v>1552374415561321</v>
      </c>
      <c r="C1316" t="s">
        <v>40</v>
      </c>
      <c r="D1316">
        <v>4.219665</v>
      </c>
      <c r="E1316">
        <v>0.5502861</v>
      </c>
      <c r="F1316" t="s">
        <v>41</v>
      </c>
      <c r="G1316">
        <v>-290.34429999999998</v>
      </c>
      <c r="H1316">
        <v>0.85028110000000001</v>
      </c>
      <c r="I1316">
        <v>367.10610000000003</v>
      </c>
      <c r="J1316">
        <v>-290.9393</v>
      </c>
      <c r="K1316">
        <v>1.059941</v>
      </c>
      <c r="L1316">
        <v>367.22190000000001</v>
      </c>
      <c r="M1316">
        <v>0.99995829999999997</v>
      </c>
      <c r="N1316">
        <v>0</v>
      </c>
      <c r="O1316">
        <v>-1.7689909999999999E-3</v>
      </c>
      <c r="P1316">
        <v>0.99875559999999997</v>
      </c>
      <c r="Q1316">
        <v>4.3876610000000003E-2</v>
      </c>
      <c r="R1316">
        <v>-2.3706339999999999E-2</v>
      </c>
      <c r="S1316">
        <v>3.031342</v>
      </c>
      <c r="T1316">
        <v>-0.89368749999999997</v>
      </c>
      <c r="U1316">
        <v>-0.49340820000000002</v>
      </c>
      <c r="V1316">
        <v>2.1938929999999999E-2</v>
      </c>
      <c r="W1316">
        <v>5.2818339999999998E-2</v>
      </c>
      <c r="X1316">
        <v>0.99836309999999995</v>
      </c>
      <c r="Y1316">
        <v>0.152650799999999</v>
      </c>
      <c r="Z1316">
        <v>-2.139023E-2</v>
      </c>
      <c r="AA1316">
        <v>0.9880487</v>
      </c>
      <c r="AB1316">
        <v>22</v>
      </c>
      <c r="AC1316">
        <v>0.59500000000002695</v>
      </c>
      <c r="AD1316">
        <v>-0.20965990000000001</v>
      </c>
      <c r="AE1316">
        <v>-0.115799999999978</v>
      </c>
      <c r="AF1316">
        <v>0.10248647240853601</v>
      </c>
      <c r="AG1316">
        <v>-0.20965990000000001</v>
      </c>
      <c r="AH1316">
        <v>0.53160631779882905</v>
      </c>
      <c r="AI1316">
        <v>111.169318958696</v>
      </c>
      <c r="AJ1316">
        <v>79.088025101614804</v>
      </c>
      <c r="AK1316">
        <v>0.58057387800208904</v>
      </c>
      <c r="AL1316">
        <v>86.972323124839207</v>
      </c>
      <c r="AM1316">
        <v>88.741133541694296</v>
      </c>
      <c r="AN1316">
        <v>0.99999998656575495</v>
      </c>
    </row>
    <row r="1317" spans="1:40" x14ac:dyDescent="0.25">
      <c r="A1317" t="str">
        <f>"20190312150655583"</f>
        <v>20190312150655583</v>
      </c>
      <c r="B1317" t="str">
        <f>"1552374415571590"</f>
        <v>1552374415571590</v>
      </c>
      <c r="C1317" t="s">
        <v>40</v>
      </c>
      <c r="D1317">
        <v>4.2251349999999999</v>
      </c>
      <c r="E1317">
        <v>0.5502861</v>
      </c>
      <c r="F1317" t="s">
        <v>41</v>
      </c>
      <c r="G1317">
        <v>-290.15269999999998</v>
      </c>
      <c r="H1317">
        <v>0.8280052</v>
      </c>
      <c r="I1317">
        <v>367.09410000000003</v>
      </c>
      <c r="J1317">
        <v>-290.81700000000001</v>
      </c>
      <c r="K1317">
        <v>1.059939</v>
      </c>
      <c r="L1317">
        <v>367.2217</v>
      </c>
      <c r="M1317">
        <v>0.99995880000000004</v>
      </c>
      <c r="N1317">
        <v>0</v>
      </c>
      <c r="O1317">
        <v>-1.7508669999999999E-3</v>
      </c>
      <c r="P1317">
        <v>0.99874540000000001</v>
      </c>
      <c r="Q1317">
        <v>4.4079819999999999E-2</v>
      </c>
      <c r="R1317">
        <v>-2.376404E-2</v>
      </c>
      <c r="S1317">
        <v>3.0313110000000001</v>
      </c>
      <c r="T1317">
        <v>-0.89387890000000003</v>
      </c>
      <c r="U1317">
        <v>-0.49243160000000002</v>
      </c>
      <c r="V1317">
        <v>2.2014550000000001E-2</v>
      </c>
      <c r="W1317">
        <v>5.2995470000000003E-2</v>
      </c>
      <c r="X1317">
        <v>0.99835209999999996</v>
      </c>
      <c r="Y1317">
        <v>0.152367899999999</v>
      </c>
      <c r="Z1317">
        <v>-2.1359960000000001E-2</v>
      </c>
      <c r="AA1317">
        <v>0.988093</v>
      </c>
      <c r="AB1317">
        <v>22</v>
      </c>
      <c r="AC1317">
        <v>0.66430000000002498</v>
      </c>
      <c r="AD1317">
        <v>-0.2319338</v>
      </c>
      <c r="AE1317">
        <v>-0.12759999999997201</v>
      </c>
      <c r="AF1317">
        <v>0.113136210246004</v>
      </c>
      <c r="AG1317">
        <v>-0.2319338</v>
      </c>
      <c r="AH1317">
        <v>0.594618267283201</v>
      </c>
      <c r="AI1317">
        <v>110.965870781745</v>
      </c>
      <c r="AJ1317">
        <v>79.227270872683107</v>
      </c>
      <c r="AK1317">
        <v>0.64820056574963303</v>
      </c>
      <c r="AL1317">
        <v>86.962160245545704</v>
      </c>
      <c r="AM1317">
        <v>88.736781919231206</v>
      </c>
      <c r="AN1317">
        <v>1.00000003791331</v>
      </c>
    </row>
    <row r="1318" spans="1:40" x14ac:dyDescent="0.25">
      <c r="A1318" t="str">
        <f>"20190312150655595"</f>
        <v>20190312150655595</v>
      </c>
      <c r="B1318" t="str">
        <f>"1552374415592085"</f>
        <v>1552374415592085</v>
      </c>
      <c r="C1318" t="s">
        <v>40</v>
      </c>
      <c r="D1318">
        <v>4.4231369999999997</v>
      </c>
      <c r="E1318">
        <v>0.53522650000000005</v>
      </c>
      <c r="F1318" t="s">
        <v>41</v>
      </c>
      <c r="G1318">
        <v>-290.13979999999998</v>
      </c>
      <c r="H1318">
        <v>0.86038939999999997</v>
      </c>
      <c r="I1318">
        <v>367.11149999999998</v>
      </c>
      <c r="J1318">
        <v>-290.70359999999999</v>
      </c>
      <c r="K1318">
        <v>1.05992999999999</v>
      </c>
      <c r="L1318">
        <v>367.22160000000002</v>
      </c>
      <c r="M1318">
        <v>0.99995889999999998</v>
      </c>
      <c r="N1318">
        <v>0</v>
      </c>
      <c r="O1318">
        <v>-1.7331040000000001E-3</v>
      </c>
      <c r="P1318">
        <v>0.99875630000000004</v>
      </c>
      <c r="Q1318">
        <v>4.3989510000000002E-2</v>
      </c>
      <c r="R1318">
        <v>-2.3468610000000001E-2</v>
      </c>
      <c r="S1318">
        <v>3.0314640000000002</v>
      </c>
      <c r="T1318">
        <v>-0.89321289999999998</v>
      </c>
      <c r="U1318">
        <v>-0.49325560000000002</v>
      </c>
      <c r="V1318">
        <v>2.1736950000000001E-2</v>
      </c>
      <c r="W1318">
        <v>5.2879290000000002E-2</v>
      </c>
      <c r="X1318">
        <v>0.99836429999999998</v>
      </c>
      <c r="Y1318">
        <v>0.15263740000000001</v>
      </c>
      <c r="Z1318">
        <v>-2.138696E-2</v>
      </c>
      <c r="AA1318">
        <v>0.98805080000000001</v>
      </c>
      <c r="AB1318">
        <v>22</v>
      </c>
      <c r="AC1318">
        <v>0.56380000000001396</v>
      </c>
      <c r="AD1318">
        <v>-0.19954059999999901</v>
      </c>
      <c r="AE1318">
        <v>-0.110100000000045</v>
      </c>
      <c r="AF1318">
        <v>9.7373691522914294E-2</v>
      </c>
      <c r="AG1318">
        <v>-0.19954059999999901</v>
      </c>
      <c r="AH1318">
        <v>0.50326650674558104</v>
      </c>
      <c r="AI1318">
        <v>111.269546098966</v>
      </c>
      <c r="AJ1318">
        <v>79.049528995471306</v>
      </c>
      <c r="AK1318">
        <v>0.55006841725467204</v>
      </c>
      <c r="AL1318">
        <v>86.968826085286693</v>
      </c>
      <c r="AM1318">
        <v>88.7527210727051</v>
      </c>
      <c r="AN1318">
        <v>0.99999999491034797</v>
      </c>
    </row>
    <row r="1319" spans="1:40" x14ac:dyDescent="0.25">
      <c r="A1319" t="str">
        <f>"20190312150655605"</f>
        <v>20190312150655605</v>
      </c>
      <c r="B1319" t="str">
        <f>"1552374415601845"</f>
        <v>1552374415601845</v>
      </c>
      <c r="C1319" t="s">
        <v>40</v>
      </c>
      <c r="D1319">
        <v>4.329834</v>
      </c>
      <c r="E1319">
        <v>0.53052679999999997</v>
      </c>
      <c r="F1319" t="s">
        <v>41</v>
      </c>
      <c r="G1319">
        <v>-289.90159999999997</v>
      </c>
      <c r="H1319">
        <v>0.93987419999999999</v>
      </c>
      <c r="I1319">
        <v>367.12479999999999</v>
      </c>
      <c r="J1319">
        <v>-290.59280000000001</v>
      </c>
      <c r="K1319">
        <v>1.0599270000000001</v>
      </c>
      <c r="L1319">
        <v>367.22140000000002</v>
      </c>
      <c r="M1319">
        <v>0.99995919999999905</v>
      </c>
      <c r="N1319">
        <v>0</v>
      </c>
      <c r="O1319">
        <v>-1.716057E-3</v>
      </c>
      <c r="P1319">
        <v>0.99875860000000005</v>
      </c>
      <c r="Q1319">
        <v>4.3993280000000003E-2</v>
      </c>
      <c r="R1319">
        <v>-2.3369999999999998E-2</v>
      </c>
      <c r="S1319">
        <v>3.0150760000000001</v>
      </c>
      <c r="T1319">
        <v>-0.45146310000000001</v>
      </c>
      <c r="U1319">
        <v>-0.36309809999999998</v>
      </c>
      <c r="V1319">
        <v>2.1654989999999999E-2</v>
      </c>
      <c r="W1319">
        <v>5.2856899999999998E-2</v>
      </c>
      <c r="X1319">
        <v>0.99836720000000001</v>
      </c>
      <c r="Y1319">
        <v>0.1165972</v>
      </c>
      <c r="Z1319">
        <v>-8.3956050000000004E-3</v>
      </c>
      <c r="AA1319">
        <v>0.99314380000000002</v>
      </c>
      <c r="AB1319">
        <v>22</v>
      </c>
      <c r="AC1319">
        <v>0.69120000000003701</v>
      </c>
      <c r="AD1319">
        <v>-0.1200528</v>
      </c>
      <c r="AE1319">
        <v>-9.66000000000235E-2</v>
      </c>
      <c r="AF1319">
        <v>9.2671575515870103E-2</v>
      </c>
      <c r="AG1319">
        <v>-0.1200528</v>
      </c>
      <c r="AH1319">
        <v>0.67149560294249899</v>
      </c>
      <c r="AI1319">
        <v>100.04325846907599</v>
      </c>
      <c r="AJ1319">
        <v>82.142375153760796</v>
      </c>
      <c r="AK1319">
        <v>0.68840906477729003</v>
      </c>
      <c r="AL1319">
        <v>86.970110532218897</v>
      </c>
      <c r="AM1319">
        <v>88.757426116503396</v>
      </c>
      <c r="AN1319">
        <v>0.99999992825267203</v>
      </c>
    </row>
    <row r="1320" spans="1:40" x14ac:dyDescent="0.25">
      <c r="A1320" t="str">
        <f>"20190312150655617"</f>
        <v>20190312150655617</v>
      </c>
      <c r="B1320" t="str">
        <f>"1552374415611604"</f>
        <v>1552374415611604</v>
      </c>
      <c r="C1320" t="s">
        <v>40</v>
      </c>
      <c r="D1320">
        <v>4.3068429999999998</v>
      </c>
      <c r="E1320">
        <v>0.53052679999999997</v>
      </c>
      <c r="F1320" t="s">
        <v>41</v>
      </c>
      <c r="G1320">
        <v>-289.69380000000001</v>
      </c>
      <c r="H1320">
        <v>0.95296130000000001</v>
      </c>
      <c r="I1320">
        <v>367.12470000000002</v>
      </c>
      <c r="J1320">
        <v>-290.47160000000002</v>
      </c>
      <c r="K1320">
        <v>1.0599209999999999</v>
      </c>
      <c r="L1320">
        <v>367.22120000000001</v>
      </c>
      <c r="M1320">
        <v>0.9999595</v>
      </c>
      <c r="N1320">
        <v>0</v>
      </c>
      <c r="O1320">
        <v>-1.696831E-3</v>
      </c>
      <c r="P1320">
        <v>0.99876419999999999</v>
      </c>
      <c r="Q1320">
        <v>4.3992049999999998E-2</v>
      </c>
      <c r="R1320">
        <v>-2.3135269999999999E-2</v>
      </c>
      <c r="S1320">
        <v>3.0119929999999999</v>
      </c>
      <c r="T1320">
        <v>-0.3584022</v>
      </c>
      <c r="U1320">
        <v>-0.32345580000000002</v>
      </c>
      <c r="V1320">
        <v>2.1439429999999999E-2</v>
      </c>
      <c r="W1320">
        <v>5.2821659999999999E-2</v>
      </c>
      <c r="X1320">
        <v>0.99837379999999998</v>
      </c>
      <c r="Y1320">
        <v>0.10437200000000001</v>
      </c>
      <c r="Z1320">
        <v>-5.9696860000000001E-3</v>
      </c>
      <c r="AA1320">
        <v>0.99452039999999997</v>
      </c>
      <c r="AB1320">
        <v>22</v>
      </c>
      <c r="AC1320">
        <v>0.77780000000001304</v>
      </c>
      <c r="AD1320">
        <v>-0.10695969999999901</v>
      </c>
      <c r="AE1320">
        <v>-9.6499999999991801E-2</v>
      </c>
      <c r="AF1320">
        <v>9.3439801848445705E-2</v>
      </c>
      <c r="AG1320">
        <v>-0.10695969999999901</v>
      </c>
      <c r="AH1320">
        <v>0.76373884320748897</v>
      </c>
      <c r="AI1320">
        <v>97.914024449800706</v>
      </c>
      <c r="AJ1320">
        <v>83.024799458733</v>
      </c>
      <c r="AK1320">
        <v>0.77683228216744404</v>
      </c>
      <c r="AL1320">
        <v>86.9721327101566</v>
      </c>
      <c r="AM1320">
        <v>88.769799364261502</v>
      </c>
      <c r="AN1320">
        <v>1.0000000107251601</v>
      </c>
    </row>
    <row r="1321" spans="1:40" x14ac:dyDescent="0.25">
      <c r="A1321" t="str">
        <f>"20190312150655628"</f>
        <v>20190312150655628</v>
      </c>
      <c r="B1321" t="str">
        <f>"1552374415621364"</f>
        <v>1552374415621364</v>
      </c>
      <c r="C1321" t="s">
        <v>40</v>
      </c>
      <c r="D1321">
        <v>4.6738759999999999</v>
      </c>
      <c r="E1321">
        <v>0.52360490000000004</v>
      </c>
      <c r="F1321" t="s">
        <v>41</v>
      </c>
      <c r="G1321">
        <v>-289.68720000000002</v>
      </c>
      <c r="H1321">
        <v>0.96661079999999999</v>
      </c>
      <c r="I1321">
        <v>367.137</v>
      </c>
      <c r="J1321">
        <v>-290.36610000000002</v>
      </c>
      <c r="K1321">
        <v>1.059911</v>
      </c>
      <c r="L1321">
        <v>367.221</v>
      </c>
      <c r="M1321">
        <v>0.99995979999999995</v>
      </c>
      <c r="N1321">
        <v>0</v>
      </c>
      <c r="O1321">
        <v>-1.6802410000000001E-3</v>
      </c>
      <c r="P1321">
        <v>0.99877419999999995</v>
      </c>
      <c r="Q1321">
        <v>4.3887530000000001E-2</v>
      </c>
      <c r="R1321">
        <v>-2.2897810000000001E-2</v>
      </c>
      <c r="S1321">
        <v>3.0119929999999999</v>
      </c>
      <c r="T1321">
        <v>-0.35836849999999998</v>
      </c>
      <c r="U1321">
        <v>-0.32284550000000001</v>
      </c>
      <c r="V1321">
        <v>2.1218580000000001E-2</v>
      </c>
      <c r="W1321">
        <v>5.2685959999999997E-2</v>
      </c>
      <c r="X1321">
        <v>0.99838570000000004</v>
      </c>
      <c r="Y1321">
        <v>0.10419050000000001</v>
      </c>
      <c r="Z1321">
        <v>-5.9604259999999996E-3</v>
      </c>
      <c r="AA1321">
        <v>0.99453950000000002</v>
      </c>
      <c r="AB1321">
        <v>22</v>
      </c>
      <c r="AC1321">
        <v>0.67889999999999795</v>
      </c>
      <c r="AD1321">
        <v>-9.33002E-2</v>
      </c>
      <c r="AE1321">
        <v>-8.4000000000059999E-2</v>
      </c>
      <c r="AF1321">
        <v>8.13459395278813E-2</v>
      </c>
      <c r="AG1321">
        <v>-9.33002E-2</v>
      </c>
      <c r="AH1321">
        <v>0.66663948372028103</v>
      </c>
      <c r="AI1321">
        <v>97.909222882130706</v>
      </c>
      <c r="AJ1321">
        <v>83.042940167803295</v>
      </c>
      <c r="AK1321">
        <v>0.678034136642512</v>
      </c>
      <c r="AL1321">
        <v>86.979918623631093</v>
      </c>
      <c r="AM1321">
        <v>88.782482473816003</v>
      </c>
      <c r="AN1321">
        <v>1.00000002224141</v>
      </c>
    </row>
    <row r="1322" spans="1:40" x14ac:dyDescent="0.25">
      <c r="A1322" t="str">
        <f>"20190312150655638"</f>
        <v>20190312150655638</v>
      </c>
      <c r="B1322" t="str">
        <f>"1552374415632101"</f>
        <v>1552374415632101</v>
      </c>
      <c r="C1322" t="s">
        <v>40</v>
      </c>
      <c r="D1322">
        <v>4.3545480000000003</v>
      </c>
      <c r="E1322">
        <v>0.52210999999999996</v>
      </c>
      <c r="F1322" t="s">
        <v>41</v>
      </c>
      <c r="G1322">
        <v>-289.47019999999998</v>
      </c>
      <c r="H1322">
        <v>0.99716830000000001</v>
      </c>
      <c r="I1322">
        <v>367.1422</v>
      </c>
      <c r="J1322">
        <v>-290.25389999999999</v>
      </c>
      <c r="K1322">
        <v>1.059904</v>
      </c>
      <c r="L1322">
        <v>367.22089999999997</v>
      </c>
      <c r="M1322">
        <v>0.99996010000000002</v>
      </c>
      <c r="N1322">
        <v>0</v>
      </c>
      <c r="O1322">
        <v>-1.661959E-3</v>
      </c>
      <c r="P1322">
        <v>0.99878480000000003</v>
      </c>
      <c r="Q1322">
        <v>4.3824759999999997E-2</v>
      </c>
      <c r="R1322">
        <v>-2.2545809999999999E-2</v>
      </c>
      <c r="S1322">
        <v>3.0068969999999999</v>
      </c>
      <c r="T1322">
        <v>-0.21067440000000001</v>
      </c>
      <c r="U1322">
        <v>-0.26385500000000001</v>
      </c>
      <c r="V1322">
        <v>2.0884839999999998E-2</v>
      </c>
      <c r="W1322">
        <v>5.2586430000000003E-2</v>
      </c>
      <c r="X1322">
        <v>0.99839789999999995</v>
      </c>
      <c r="Y1322">
        <v>8.5554160000000004E-2</v>
      </c>
      <c r="Z1322">
        <v>-2.8716530000000001E-3</v>
      </c>
      <c r="AA1322">
        <v>0.99632940000000003</v>
      </c>
      <c r="AB1322">
        <v>23</v>
      </c>
      <c r="AC1322">
        <v>0.78370000000001006</v>
      </c>
      <c r="AD1322">
        <v>-6.2735700000000005E-2</v>
      </c>
      <c r="AE1322">
        <v>-7.8699999999969295E-2</v>
      </c>
      <c r="AF1322">
        <v>7.6909440298218695E-2</v>
      </c>
      <c r="AG1322">
        <v>-6.2735700000000005E-2</v>
      </c>
      <c r="AH1322">
        <v>0.77888834907708804</v>
      </c>
      <c r="AI1322">
        <v>94.582766227046605</v>
      </c>
      <c r="AJ1322">
        <v>84.360747602199396</v>
      </c>
      <c r="AK1322">
        <v>0.785186532226265</v>
      </c>
      <c r="AL1322">
        <v>86.985628934344703</v>
      </c>
      <c r="AM1322">
        <v>88.801641413096306</v>
      </c>
      <c r="AN1322">
        <v>0.99999993794318798</v>
      </c>
    </row>
    <row r="1323" spans="1:40" x14ac:dyDescent="0.25">
      <c r="A1323" t="str">
        <f>"20190312150655648"</f>
        <v>20190312150655648</v>
      </c>
      <c r="B1323" t="str">
        <f>"1552374415641862"</f>
        <v>1552374415641862</v>
      </c>
      <c r="C1323" t="s">
        <v>40</v>
      </c>
      <c r="D1323">
        <v>4.3123719999999999</v>
      </c>
      <c r="E1323">
        <v>0.52102329999999997</v>
      </c>
      <c r="F1323" t="s">
        <v>42</v>
      </c>
      <c r="G1323">
        <v>-271.31310000000002</v>
      </c>
      <c r="H1323" s="1">
        <v>-4.413676E-6</v>
      </c>
      <c r="I1323">
        <v>365.64350000000002</v>
      </c>
      <c r="J1323">
        <v>-290.15350000000001</v>
      </c>
      <c r="K1323">
        <v>1.059893</v>
      </c>
      <c r="L1323">
        <v>367.22070000000002</v>
      </c>
      <c r="M1323">
        <v>0.99996050000000003</v>
      </c>
      <c r="N1323">
        <v>0</v>
      </c>
      <c r="O1323">
        <v>-1.6458270000000001E-3</v>
      </c>
      <c r="P1323">
        <v>0.99878769999999994</v>
      </c>
      <c r="Q1323">
        <v>4.3885220000000003E-2</v>
      </c>
      <c r="R1323">
        <v>-2.2305800000000001E-2</v>
      </c>
      <c r="S1323">
        <v>3.0053709999999998</v>
      </c>
      <c r="T1323">
        <v>-0.16817679999999999</v>
      </c>
      <c r="U1323">
        <v>-0.25027470000000002</v>
      </c>
      <c r="V1323">
        <v>2.066076E-2</v>
      </c>
      <c r="W1323">
        <v>5.2610249999999997E-2</v>
      </c>
      <c r="X1323">
        <v>0.99840130000000005</v>
      </c>
      <c r="Y1323">
        <v>8.1224580000000005E-2</v>
      </c>
      <c r="Z1323">
        <v>-2.1750519999999998E-3</v>
      </c>
      <c r="AA1323">
        <v>0.99669339999999995</v>
      </c>
      <c r="AB1323">
        <v>23</v>
      </c>
      <c r="AC1323">
        <v>18.840399999999899</v>
      </c>
      <c r="AD1323">
        <v>-1.059897413676</v>
      </c>
      <c r="AE1323">
        <v>-1.5771999999999999</v>
      </c>
      <c r="AF1323">
        <v>1.5413445291630601</v>
      </c>
      <c r="AG1323">
        <v>-1.059897413676</v>
      </c>
      <c r="AH1323">
        <v>18.783936526283501</v>
      </c>
      <c r="AI1323">
        <v>93.218736604622705</v>
      </c>
      <c r="AJ1323">
        <v>85.309017239292203</v>
      </c>
      <c r="AK1323">
        <v>18.876848171994801</v>
      </c>
      <c r="AL1323">
        <v>86.984262234878202</v>
      </c>
      <c r="AM1323">
        <v>88.814499325062201</v>
      </c>
      <c r="AN1323">
        <v>0.99999993062526205</v>
      </c>
    </row>
    <row r="1324" spans="1:40" x14ac:dyDescent="0.25">
      <c r="A1324" t="str">
        <f>"20190312150655659"</f>
        <v>20190312150655659</v>
      </c>
      <c r="B1324" t="str">
        <f>"1552374415651620"</f>
        <v>1552374415651620</v>
      </c>
      <c r="C1324" t="s">
        <v>40</v>
      </c>
      <c r="D1324">
        <v>4.2748589999999904</v>
      </c>
      <c r="E1324">
        <v>0.52013580000000004</v>
      </c>
      <c r="F1324" t="s">
        <v>42</v>
      </c>
      <c r="G1324">
        <v>-266.98590000000002</v>
      </c>
      <c r="H1324" s="1">
        <v>-2.1423019999999999E-6</v>
      </c>
      <c r="I1324">
        <v>365.36739999999998</v>
      </c>
      <c r="J1324">
        <v>-290.05270000000002</v>
      </c>
      <c r="K1324">
        <v>1.0598890000000001</v>
      </c>
      <c r="L1324">
        <v>367.22059999999999</v>
      </c>
      <c r="M1324">
        <v>0.99996099999999999</v>
      </c>
      <c r="N1324">
        <v>0</v>
      </c>
      <c r="O1324">
        <v>-1.629917E-3</v>
      </c>
      <c r="P1324">
        <v>0.99879209999999996</v>
      </c>
      <c r="Q1324">
        <v>4.4015079999999998E-2</v>
      </c>
      <c r="R1324">
        <v>-2.184898E-2</v>
      </c>
      <c r="S1324">
        <v>3.0043030000000002</v>
      </c>
      <c r="T1324">
        <v>-0.1374437</v>
      </c>
      <c r="U1324">
        <v>-0.24032590000000001</v>
      </c>
      <c r="V1324">
        <v>2.0220100000000001E-2</v>
      </c>
      <c r="W1324">
        <v>5.270072E-2</v>
      </c>
      <c r="X1324">
        <v>0.9984056</v>
      </c>
      <c r="Y1324">
        <v>7.8034889999999996E-2</v>
      </c>
      <c r="Z1324">
        <v>-1.706822E-3</v>
      </c>
      <c r="AA1324">
        <v>0.99694919999999998</v>
      </c>
      <c r="AB1324">
        <v>23</v>
      </c>
      <c r="AC1324">
        <v>23.066800000000001</v>
      </c>
      <c r="AD1324">
        <v>-1.0598911423020001</v>
      </c>
      <c r="AE1324">
        <v>-1.85320000000001</v>
      </c>
      <c r="AF1324">
        <v>1.8117984529781599</v>
      </c>
      <c r="AG1324">
        <v>-1.0598911423020001</v>
      </c>
      <c r="AH1324">
        <v>23.021496699791399</v>
      </c>
      <c r="AI1324">
        <v>92.627875934292007</v>
      </c>
      <c r="AJ1324">
        <v>85.5000807118263</v>
      </c>
      <c r="AK1324">
        <v>23.116991438469</v>
      </c>
      <c r="AL1324">
        <v>86.979071634377803</v>
      </c>
      <c r="AM1324">
        <v>88.839782111762602</v>
      </c>
      <c r="AN1324">
        <v>0.99999998022194403</v>
      </c>
    </row>
    <row r="1325" spans="1:40" x14ac:dyDescent="0.25">
      <c r="A1325" t="str">
        <f>"20190312150655669"</f>
        <v>20190312150655669</v>
      </c>
      <c r="B1325" t="str">
        <f>"1552374415661380"</f>
        <v>1552374415661380</v>
      </c>
      <c r="C1325" t="s">
        <v>40</v>
      </c>
      <c r="D1325">
        <v>4.5115429999999996</v>
      </c>
      <c r="E1325">
        <v>0.519354599999999</v>
      </c>
      <c r="F1325" t="s">
        <v>42</v>
      </c>
      <c r="G1325">
        <v>-262.2672</v>
      </c>
      <c r="H1325" s="1">
        <v>-4.1039779999999998E-6</v>
      </c>
      <c r="I1325">
        <v>365.08199999999999</v>
      </c>
      <c r="J1325">
        <v>-289.94220000000001</v>
      </c>
      <c r="K1325">
        <v>1.0598799999999999</v>
      </c>
      <c r="L1325">
        <v>367.22039999999998</v>
      </c>
      <c r="M1325">
        <v>0.99996130000000005</v>
      </c>
      <c r="N1325">
        <v>0</v>
      </c>
      <c r="O1325">
        <v>-1.6120710000000001E-3</v>
      </c>
      <c r="P1325">
        <v>0.99879289999999998</v>
      </c>
      <c r="Q1325">
        <v>4.4154649999999997E-2</v>
      </c>
      <c r="R1325">
        <v>-2.1518249999999999E-2</v>
      </c>
      <c r="S1325">
        <v>3.0036010000000002</v>
      </c>
      <c r="T1325">
        <v>-0.1145736</v>
      </c>
      <c r="U1325">
        <v>-0.23117070000000001</v>
      </c>
      <c r="V1325">
        <v>1.9907250000000001E-2</v>
      </c>
      <c r="W1325">
        <v>5.2793569999999998E-2</v>
      </c>
      <c r="X1325">
        <v>0.99840700000000004</v>
      </c>
      <c r="Y1325">
        <v>7.5076980000000001E-2</v>
      </c>
      <c r="Z1325">
        <v>-1.3679079999999999E-3</v>
      </c>
      <c r="AA1325">
        <v>0.99717679999999997</v>
      </c>
      <c r="AB1325">
        <v>23</v>
      </c>
      <c r="AC1325">
        <v>27.675000000000001</v>
      </c>
      <c r="AD1325">
        <v>-1.059884103978</v>
      </c>
      <c r="AE1325">
        <v>-2.1383999999999901</v>
      </c>
      <c r="AF1325">
        <v>2.0907332071720801</v>
      </c>
      <c r="AG1325">
        <v>-1.059884103978</v>
      </c>
      <c r="AH1325">
        <v>27.638115159904</v>
      </c>
      <c r="AI1325">
        <v>92.189888348391506</v>
      </c>
      <c r="AJ1325">
        <v>85.6740004674445</v>
      </c>
      <c r="AK1325">
        <v>27.737338178879899</v>
      </c>
      <c r="AL1325">
        <v>86.973744360766403</v>
      </c>
      <c r="AM1325">
        <v>88.857730075360294</v>
      </c>
      <c r="AN1325">
        <v>0.99999999864245304</v>
      </c>
    </row>
    <row r="1326" spans="1:40" x14ac:dyDescent="0.25">
      <c r="A1326" t="str">
        <f>"20190312150655679"</f>
        <v>20190312150655679</v>
      </c>
      <c r="B1326" t="str">
        <f>"1552374415671647"</f>
        <v>1552374415671647</v>
      </c>
      <c r="C1326" t="s">
        <v>40</v>
      </c>
      <c r="D1326">
        <v>4.3182710000000002</v>
      </c>
      <c r="E1326">
        <v>0.51868059999999905</v>
      </c>
      <c r="F1326" t="s">
        <v>42</v>
      </c>
      <c r="G1326">
        <v>-256.4085</v>
      </c>
      <c r="H1326" s="1">
        <v>-2.5090130000000002E-6</v>
      </c>
      <c r="I1326">
        <v>364.72770000000003</v>
      </c>
      <c r="J1326">
        <v>-289.8372</v>
      </c>
      <c r="K1326">
        <v>1.0598719999999999</v>
      </c>
      <c r="L1326">
        <v>367.22019999999998</v>
      </c>
      <c r="M1326">
        <v>0.99996180000000001</v>
      </c>
      <c r="N1326">
        <v>0</v>
      </c>
      <c r="O1326">
        <v>-1.59494E-3</v>
      </c>
      <c r="P1326">
        <v>0.99881260000000005</v>
      </c>
      <c r="Q1326">
        <v>4.3938739999999997E-2</v>
      </c>
      <c r="R1326">
        <v>-2.1044799999999999E-2</v>
      </c>
      <c r="S1326">
        <v>3.003082</v>
      </c>
      <c r="T1326">
        <v>-9.4916819999999999E-2</v>
      </c>
      <c r="U1326">
        <v>-0.22323609999999999</v>
      </c>
      <c r="V1326">
        <v>1.9450849999999999E-2</v>
      </c>
      <c r="W1326">
        <v>5.2530250000000001E-2</v>
      </c>
      <c r="X1326">
        <v>0.99842989999999998</v>
      </c>
      <c r="Y1326">
        <v>7.250521E-2</v>
      </c>
      <c r="Z1326">
        <v>-1.0936240000000001E-3</v>
      </c>
      <c r="AA1326">
        <v>0.99736740000000002</v>
      </c>
      <c r="AB1326">
        <v>23</v>
      </c>
      <c r="AC1326">
        <v>33.4286999999999</v>
      </c>
      <c r="AD1326">
        <v>-1.059874509013</v>
      </c>
      <c r="AE1326">
        <v>-2.49249999999995</v>
      </c>
      <c r="AF1326">
        <v>2.4367421208734399</v>
      </c>
      <c r="AG1326">
        <v>-1.059874509013</v>
      </c>
      <c r="AH1326">
        <v>33.399244366816703</v>
      </c>
      <c r="AI1326">
        <v>91.8127700257361</v>
      </c>
      <c r="AJ1326">
        <v>85.827207695619506</v>
      </c>
      <c r="AK1326">
        <v>33.504784291393797</v>
      </c>
      <c r="AL1326">
        <v>86.988852495696193</v>
      </c>
      <c r="AM1326">
        <v>88.883937012407898</v>
      </c>
      <c r="AN1326">
        <v>1.0000000139723899</v>
      </c>
    </row>
    <row r="1327" spans="1:40" x14ac:dyDescent="0.25">
      <c r="A1327" t="str">
        <f>"20190312150655691"</f>
        <v>20190312150655691</v>
      </c>
      <c r="B1327" t="str">
        <f>"1552374415681407"</f>
        <v>1552374415681407</v>
      </c>
      <c r="C1327" t="s">
        <v>40</v>
      </c>
      <c r="D1327">
        <v>4.2967060000000004</v>
      </c>
      <c r="E1327">
        <v>0.51816240000000002</v>
      </c>
      <c r="F1327" t="s">
        <v>42</v>
      </c>
      <c r="G1327">
        <v>-249.60149999999999</v>
      </c>
      <c r="H1327" s="1">
        <v>-1.5463060000000001E-6</v>
      </c>
      <c r="I1327">
        <v>364.32069999999999</v>
      </c>
      <c r="J1327">
        <v>-289.72280000000001</v>
      </c>
      <c r="K1327">
        <v>1.059858</v>
      </c>
      <c r="L1327">
        <v>367.2201</v>
      </c>
      <c r="M1327">
        <v>0.99996229999999997</v>
      </c>
      <c r="N1327">
        <v>0</v>
      </c>
      <c r="O1327">
        <v>-1.57646E-3</v>
      </c>
      <c r="P1327">
        <v>0.99880539999999995</v>
      </c>
      <c r="Q1327">
        <v>4.4231630000000001E-2</v>
      </c>
      <c r="R1327">
        <v>-2.0775979999999999E-2</v>
      </c>
      <c r="S1327">
        <v>3.002472</v>
      </c>
      <c r="T1327">
        <v>-7.9089880000000001E-2</v>
      </c>
      <c r="U1327">
        <v>-0.2163696</v>
      </c>
      <c r="V1327">
        <v>1.9200330000000002E-2</v>
      </c>
      <c r="W1327">
        <v>5.2766430000000003E-2</v>
      </c>
      <c r="X1327">
        <v>0.99842229999999998</v>
      </c>
      <c r="Y1327">
        <v>7.0281200000000002E-2</v>
      </c>
      <c r="Z1327">
        <v>-8.8283449999999896E-4</v>
      </c>
      <c r="AA1327">
        <v>0.99752680000000005</v>
      </c>
      <c r="AB1327">
        <v>23</v>
      </c>
      <c r="AC1327">
        <v>40.121299999999998</v>
      </c>
      <c r="AD1327">
        <v>-1.0598595463060001</v>
      </c>
      <c r="AE1327">
        <v>-2.8994000000000102</v>
      </c>
      <c r="AF1327">
        <v>2.8341769811369302</v>
      </c>
      <c r="AG1327">
        <v>-1.0598595463060001</v>
      </c>
      <c r="AH1327">
        <v>40.097985081535498</v>
      </c>
      <c r="AI1327">
        <v>91.5103084790927</v>
      </c>
      <c r="AJ1327">
        <v>85.956984676420902</v>
      </c>
      <c r="AK1327">
        <v>40.211991607197703</v>
      </c>
      <c r="AL1327">
        <v>86.975301600223005</v>
      </c>
      <c r="AM1327">
        <v>88.898299555113397</v>
      </c>
      <c r="AN1327">
        <v>1.0000000189721701</v>
      </c>
    </row>
    <row r="1328" spans="1:40" x14ac:dyDescent="0.25">
      <c r="A1328" t="str">
        <f>"20190312150655702"</f>
        <v>20190312150655702</v>
      </c>
      <c r="B1328" t="str">
        <f>"1552374415692143"</f>
        <v>1552374415692143</v>
      </c>
      <c r="C1328" t="s">
        <v>40</v>
      </c>
      <c r="D1328">
        <v>4.3926350000000003</v>
      </c>
      <c r="E1328">
        <v>0.51786730000000003</v>
      </c>
      <c r="F1328" t="s">
        <v>42</v>
      </c>
      <c r="G1328">
        <v>-241.83789999999999</v>
      </c>
      <c r="H1328" s="1">
        <v>-4.8605390000000003E-6</v>
      </c>
      <c r="I1328">
        <v>363.85610000000003</v>
      </c>
      <c r="J1328">
        <v>-289.60849999999999</v>
      </c>
      <c r="K1328">
        <v>1.059849</v>
      </c>
      <c r="L1328">
        <v>367.2199</v>
      </c>
      <c r="M1328">
        <v>0.99996289999999999</v>
      </c>
      <c r="N1328">
        <v>0</v>
      </c>
      <c r="O1328">
        <v>-1.558327E-3</v>
      </c>
      <c r="P1328">
        <v>0.99881569999999997</v>
      </c>
      <c r="Q1328">
        <v>4.406359E-2</v>
      </c>
      <c r="R1328">
        <v>-2.063858E-2</v>
      </c>
      <c r="S1328">
        <v>3.0021360000000001</v>
      </c>
      <c r="T1328">
        <v>-6.6447969999999995E-2</v>
      </c>
      <c r="U1328">
        <v>-0.21090700000000001</v>
      </c>
      <c r="V1328">
        <v>1.908106E-2</v>
      </c>
      <c r="W1328">
        <v>5.2539290000000002E-2</v>
      </c>
      <c r="X1328">
        <v>0.99843660000000001</v>
      </c>
      <c r="Y1328">
        <v>6.8508639999999996E-2</v>
      </c>
      <c r="Z1328">
        <v>-7.226992E-4</v>
      </c>
      <c r="AA1328">
        <v>0.99765029999999999</v>
      </c>
      <c r="AB1328">
        <v>23</v>
      </c>
      <c r="AC1328">
        <v>47.770600000000002</v>
      </c>
      <c r="AD1328">
        <v>-1.059853860539</v>
      </c>
      <c r="AE1328">
        <v>-3.3637999999999599</v>
      </c>
      <c r="AF1328">
        <v>3.2877406789029902</v>
      </c>
      <c r="AG1328">
        <v>-1.059853860539</v>
      </c>
      <c r="AH1328">
        <v>47.752394757921699</v>
      </c>
      <c r="AI1328">
        <v>91.268456542820402</v>
      </c>
      <c r="AJ1328">
        <v>86.061415114912194</v>
      </c>
      <c r="AK1328">
        <v>47.8771734137867</v>
      </c>
      <c r="AL1328">
        <v>86.988333946380195</v>
      </c>
      <c r="AM1328">
        <v>88.905157183829104</v>
      </c>
      <c r="AN1328">
        <v>1.00000005403199</v>
      </c>
    </row>
    <row r="1329" spans="1:40" x14ac:dyDescent="0.25">
      <c r="A1329" t="str">
        <f>"20190312150655714"</f>
        <v>20190312150655714</v>
      </c>
      <c r="B1329" t="str">
        <f>"1552374415711664"</f>
        <v>1552374415711664</v>
      </c>
      <c r="C1329" t="s">
        <v>40</v>
      </c>
      <c r="D1329">
        <v>4.5947399999999998</v>
      </c>
      <c r="E1329">
        <v>0.51726110000000003</v>
      </c>
      <c r="F1329" t="s">
        <v>42</v>
      </c>
      <c r="G1329">
        <v>-235.93610000000001</v>
      </c>
      <c r="H1329" s="1">
        <v>-2.9973889999999998E-6</v>
      </c>
      <c r="I1329">
        <v>363.49639999999999</v>
      </c>
      <c r="J1329">
        <v>-289.49259999999998</v>
      </c>
      <c r="K1329">
        <v>1.0598339999999999</v>
      </c>
      <c r="L1329">
        <v>367.21980000000002</v>
      </c>
      <c r="M1329">
        <v>0.99996339999999995</v>
      </c>
      <c r="N1329">
        <v>0</v>
      </c>
      <c r="O1329">
        <v>-1.5394499999999999E-3</v>
      </c>
      <c r="P1329">
        <v>0.99881509999999996</v>
      </c>
      <c r="Q1329">
        <v>4.4257049999999999E-2</v>
      </c>
      <c r="R1329">
        <v>-2.0243790000000001E-2</v>
      </c>
      <c r="S1329">
        <v>3.0018919999999998</v>
      </c>
      <c r="T1329">
        <v>-5.9277299999999998E-2</v>
      </c>
      <c r="U1329">
        <v>-0.20825199999999999</v>
      </c>
      <c r="V1329">
        <v>1.8705119999999999E-2</v>
      </c>
      <c r="W1329">
        <v>5.2665959999999998E-2</v>
      </c>
      <c r="X1329">
        <v>0.99843700000000002</v>
      </c>
      <c r="Y1329">
        <v>6.765852E-2</v>
      </c>
      <c r="Z1329">
        <v>-6.3678759999999997E-4</v>
      </c>
      <c r="AA1329">
        <v>0.99770829999999999</v>
      </c>
      <c r="AB1329">
        <v>23</v>
      </c>
      <c r="AC1329">
        <v>53.5564999999999</v>
      </c>
      <c r="AD1329">
        <v>-1.0598369973889901</v>
      </c>
      <c r="AE1329">
        <v>-3.7234000000000198</v>
      </c>
      <c r="AF1329">
        <v>3.6395266944831999</v>
      </c>
      <c r="AG1329">
        <v>-1.0598369973889901</v>
      </c>
      <c r="AH1329">
        <v>53.5413022715301</v>
      </c>
      <c r="AI1329">
        <v>91.131397602936602</v>
      </c>
      <c r="AJ1329">
        <v>86.111241032243697</v>
      </c>
      <c r="AK1329">
        <v>53.675324479245099</v>
      </c>
      <c r="AL1329">
        <v>86.981066107164196</v>
      </c>
      <c r="AM1329">
        <v>88.926723394815298</v>
      </c>
      <c r="AN1329">
        <v>1.0000000139129599</v>
      </c>
    </row>
    <row r="1330" spans="1:40" x14ac:dyDescent="0.25">
      <c r="A1330" t="str">
        <f>"20190312150655726"</f>
        <v>20190312150655726</v>
      </c>
      <c r="B1330" t="str">
        <f>"1552374415721423"</f>
        <v>1552374415721423</v>
      </c>
      <c r="C1330" t="s">
        <v>40</v>
      </c>
      <c r="D1330">
        <v>4.2983820000000001</v>
      </c>
      <c r="E1330">
        <v>0.51701900000000001</v>
      </c>
      <c r="F1330" t="s">
        <v>42</v>
      </c>
      <c r="G1330">
        <v>-217.37979999999999</v>
      </c>
      <c r="H1330" s="1">
        <v>-2.8055769999999999E-6</v>
      </c>
      <c r="I1330">
        <v>362.37090000000001</v>
      </c>
      <c r="J1330">
        <v>-289.37150000000003</v>
      </c>
      <c r="K1330">
        <v>1.059822</v>
      </c>
      <c r="L1330">
        <v>367.21960000000001</v>
      </c>
      <c r="M1330">
        <v>0.99996410000000002</v>
      </c>
      <c r="N1330">
        <v>0</v>
      </c>
      <c r="O1330">
        <v>-1.5201990000000001E-3</v>
      </c>
      <c r="P1330">
        <v>0.99881509999999996</v>
      </c>
      <c r="Q1330">
        <v>4.4226670000000003E-2</v>
      </c>
      <c r="R1330">
        <v>-2.03121E-2</v>
      </c>
      <c r="S1330">
        <v>3.001404</v>
      </c>
      <c r="T1330">
        <v>-4.4111369999999997E-2</v>
      </c>
      <c r="U1330">
        <v>-0.20181270000000001</v>
      </c>
      <c r="V1330">
        <v>1.879289E-2</v>
      </c>
      <c r="W1330">
        <v>5.2564050000000001E-2</v>
      </c>
      <c r="X1330">
        <v>0.99844069999999996</v>
      </c>
      <c r="Y1330">
        <v>6.5564170000000005E-2</v>
      </c>
      <c r="Z1330">
        <v>-4.589099E-4</v>
      </c>
      <c r="AA1330">
        <v>0.99784830000000002</v>
      </c>
      <c r="AB1330">
        <v>23</v>
      </c>
      <c r="AC1330">
        <v>71.991699999999994</v>
      </c>
      <c r="AD1330">
        <v>-1.0598248055769901</v>
      </c>
      <c r="AE1330">
        <v>-4.8487</v>
      </c>
      <c r="AF1330">
        <v>4.7382266423041903</v>
      </c>
      <c r="AG1330">
        <v>-1.0598248055769901</v>
      </c>
      <c r="AH1330">
        <v>71.983458088701994</v>
      </c>
      <c r="AI1330">
        <v>90.841693446146394</v>
      </c>
      <c r="AJ1330">
        <v>86.234005361545897</v>
      </c>
      <c r="AK1330">
        <v>72.147018363479603</v>
      </c>
      <c r="AL1330">
        <v>86.986913152112095</v>
      </c>
      <c r="AM1330">
        <v>88.921692442349396</v>
      </c>
      <c r="AN1330">
        <v>0.99999999174172205</v>
      </c>
    </row>
    <row r="1331" spans="1:40" x14ac:dyDescent="0.25">
      <c r="A1331" t="str">
        <f>"20190312150655747"</f>
        <v>20190312150655747</v>
      </c>
      <c r="B1331" t="str">
        <f>"1552374415741919"</f>
        <v>1552374415741919</v>
      </c>
      <c r="C1331" t="s">
        <v>40</v>
      </c>
      <c r="D1331">
        <v>4.3218040000000002</v>
      </c>
      <c r="E1331">
        <v>0.51645859999999899</v>
      </c>
      <c r="F1331" t="s">
        <v>49</v>
      </c>
      <c r="G1331">
        <v>-205.65379999999999</v>
      </c>
      <c r="H1331" s="1">
        <v>-5.0274100000000002E-6</v>
      </c>
      <c r="I1331">
        <v>361.6429</v>
      </c>
      <c r="J1331">
        <v>-289.15719999999999</v>
      </c>
      <c r="K1331">
        <v>1.0597970000000001</v>
      </c>
      <c r="L1331">
        <v>367.21929999999998</v>
      </c>
      <c r="M1331">
        <v>0.9999652</v>
      </c>
      <c r="N1331">
        <v>0</v>
      </c>
      <c r="O1331">
        <v>-1.4861519999999999E-3</v>
      </c>
      <c r="P1331">
        <v>0.99878529999999999</v>
      </c>
      <c r="Q1331">
        <v>4.4819589999999999E-2</v>
      </c>
      <c r="R1331">
        <v>-2.0474010000000001E-2</v>
      </c>
      <c r="S1331">
        <v>3.0011899999999998</v>
      </c>
      <c r="T1331">
        <v>-3.799367E-2</v>
      </c>
      <c r="U1331">
        <v>-0.19992070000000001</v>
      </c>
      <c r="V1331">
        <v>1.8988560000000002E-2</v>
      </c>
      <c r="W1331">
        <v>5.3023559999999997E-2</v>
      </c>
      <c r="X1331">
        <v>0.99841270000000004</v>
      </c>
      <c r="Y1331">
        <v>6.4978439999999998E-2</v>
      </c>
      <c r="Z1331">
        <v>-3.9203399999999998E-4</v>
      </c>
      <c r="AA1331">
        <v>0.99788659999999996</v>
      </c>
      <c r="AB1331">
        <v>23</v>
      </c>
      <c r="AC1331">
        <v>83.503399999999999</v>
      </c>
      <c r="AD1331">
        <v>-1.05980202741</v>
      </c>
      <c r="AE1331">
        <v>-5.5763999999999703</v>
      </c>
      <c r="AF1331">
        <v>5.4514167001671998</v>
      </c>
      <c r="AG1331">
        <v>-1.05980202741</v>
      </c>
      <c r="AH1331">
        <v>83.498205274402906</v>
      </c>
      <c r="AI1331">
        <v>90.725643640361696</v>
      </c>
      <c r="AJ1331">
        <v>86.264584225140695</v>
      </c>
      <c r="AK1331">
        <v>83.682682846706697</v>
      </c>
      <c r="AL1331">
        <v>86.960548399679695</v>
      </c>
      <c r="AM1331">
        <v>88.910437338569096</v>
      </c>
      <c r="AN1331">
        <v>0.99999999142361795</v>
      </c>
    </row>
    <row r="1332" spans="1:40" x14ac:dyDescent="0.25">
      <c r="A1332" t="str">
        <f>"20190312150655760"</f>
        <v>20190312150655760</v>
      </c>
      <c r="B1332" t="str">
        <f>"1552374415751680"</f>
        <v>1552374415751680</v>
      </c>
      <c r="C1332" t="s">
        <v>40</v>
      </c>
      <c r="D1332">
        <v>4.3296799999999998</v>
      </c>
      <c r="E1332">
        <v>0.5162426</v>
      </c>
      <c r="F1332" t="s">
        <v>49</v>
      </c>
      <c r="G1332">
        <v>-183.80119999999999</v>
      </c>
      <c r="H1332" s="1">
        <v>-5.9151450000000001E-6</v>
      </c>
      <c r="I1332">
        <v>360.33780000000002</v>
      </c>
      <c r="J1332">
        <v>-289.00940000000003</v>
      </c>
      <c r="K1332">
        <v>1.059787</v>
      </c>
      <c r="L1332">
        <v>367.21910000000003</v>
      </c>
      <c r="M1332">
        <v>0.99996600000000002</v>
      </c>
      <c r="N1332">
        <v>0</v>
      </c>
      <c r="O1332">
        <v>-1.463018E-3</v>
      </c>
      <c r="P1332">
        <v>0.99878480000000003</v>
      </c>
      <c r="Q1332">
        <v>4.4775040000000002E-2</v>
      </c>
      <c r="R1332">
        <v>-2.0598890000000002E-2</v>
      </c>
      <c r="S1332">
        <v>3.0009769999999998</v>
      </c>
      <c r="T1332">
        <v>-3.018761E-2</v>
      </c>
      <c r="U1332">
        <v>-0.19601440000000001</v>
      </c>
      <c r="V1332">
        <v>1.91367E-2</v>
      </c>
      <c r="W1332">
        <v>5.2889760000000001E-2</v>
      </c>
      <c r="X1332">
        <v>0.998417</v>
      </c>
      <c r="Y1332">
        <v>6.3714820000000005E-2</v>
      </c>
      <c r="Z1332">
        <v>-3.0541169999999997E-4</v>
      </c>
      <c r="AA1332">
        <v>0.99796810000000002</v>
      </c>
      <c r="AB1332">
        <v>23</v>
      </c>
      <c r="AC1332">
        <v>105.20820000000001</v>
      </c>
      <c r="AD1332">
        <v>-1.0597929151450001</v>
      </c>
      <c r="AE1332">
        <v>-6.8813000000000004</v>
      </c>
      <c r="AF1332">
        <v>6.7266864185230801</v>
      </c>
      <c r="AG1332">
        <v>-1.0597929151450001</v>
      </c>
      <c r="AH1332">
        <v>105.20752513539099</v>
      </c>
      <c r="AI1332">
        <v>90.575965309389801</v>
      </c>
      <c r="AJ1332">
        <v>86.341641512662903</v>
      </c>
      <c r="AK1332">
        <v>105.427675760732</v>
      </c>
      <c r="AL1332">
        <v>86.968225442907098</v>
      </c>
      <c r="AM1332">
        <v>88.901943873631694</v>
      </c>
      <c r="AN1332">
        <v>1.00000002294437</v>
      </c>
    </row>
    <row r="1333" spans="1:40" x14ac:dyDescent="0.25">
      <c r="A1333" t="str">
        <f>"20190312150655775"</f>
        <v>20190312150655775</v>
      </c>
      <c r="B1333" t="str">
        <f>"1552374415771706"</f>
        <v>1552374415771706</v>
      </c>
      <c r="C1333" t="s">
        <v>40</v>
      </c>
      <c r="D1333">
        <v>4.3181399999999996</v>
      </c>
      <c r="E1333">
        <v>0.51578610000000003</v>
      </c>
      <c r="F1333" t="s">
        <v>49</v>
      </c>
      <c r="G1333">
        <v>-179.97970000000001</v>
      </c>
      <c r="H1333">
        <v>7.0293640000000004E-2</v>
      </c>
      <c r="I1333">
        <v>360.15170000000001</v>
      </c>
      <c r="J1333">
        <v>-288.86700000000002</v>
      </c>
      <c r="K1333">
        <v>1.059774</v>
      </c>
      <c r="L1333">
        <v>367.21890000000002</v>
      </c>
      <c r="M1333">
        <v>0.99996660000000004</v>
      </c>
      <c r="N1333">
        <v>0</v>
      </c>
      <c r="O1333">
        <v>-1.4409829999999901E-3</v>
      </c>
      <c r="P1333">
        <v>0.99876750000000003</v>
      </c>
      <c r="Q1333">
        <v>4.4990479999999999E-2</v>
      </c>
      <c r="R1333">
        <v>-2.095882E-2</v>
      </c>
      <c r="S1333">
        <v>3.0008539999999999</v>
      </c>
      <c r="T1333">
        <v>-2.7234080000000001E-2</v>
      </c>
      <c r="U1333">
        <v>-0.194519</v>
      </c>
      <c r="V1333">
        <v>1.951874E-2</v>
      </c>
      <c r="W1333">
        <v>5.3021659999999998E-2</v>
      </c>
      <c r="X1333">
        <v>0.99840260000000003</v>
      </c>
      <c r="Y1333">
        <v>6.3244839999999997E-2</v>
      </c>
      <c r="Z1333">
        <v>-2.736169E-4</v>
      </c>
      <c r="AA1333">
        <v>0.99799800000000005</v>
      </c>
      <c r="AB1333">
        <v>23</v>
      </c>
      <c r="AC1333">
        <v>108.8873</v>
      </c>
      <c r="AD1333">
        <v>-0.98948035999999995</v>
      </c>
      <c r="AE1333">
        <v>-7.0672000000000104</v>
      </c>
      <c r="AF1333">
        <v>6.9097146451014</v>
      </c>
      <c r="AG1333">
        <v>-0.98948035999999995</v>
      </c>
      <c r="AH1333">
        <v>108.88841701205099</v>
      </c>
      <c r="AI1333">
        <v>90.519593338700403</v>
      </c>
      <c r="AJ1333">
        <v>86.369059430032394</v>
      </c>
      <c r="AK1333">
        <v>109.111917714106</v>
      </c>
      <c r="AL1333">
        <v>86.960657485712701</v>
      </c>
      <c r="AM1333">
        <v>88.880011952194394</v>
      </c>
      <c r="AN1333">
        <v>1.0000000146635499</v>
      </c>
    </row>
    <row r="1334" spans="1:40" x14ac:dyDescent="0.25">
      <c r="A1334" t="str">
        <f>"20190312150655791"</f>
        <v>20190312150655791</v>
      </c>
      <c r="B1334" t="str">
        <f>"1552374415781466"</f>
        <v>1552374415781466</v>
      </c>
      <c r="C1334" t="s">
        <v>40</v>
      </c>
      <c r="D1334">
        <v>4.2954999999999997</v>
      </c>
      <c r="E1334">
        <v>0.51561299999999999</v>
      </c>
      <c r="F1334" t="s">
        <v>47</v>
      </c>
      <c r="G1334">
        <v>-158.19499999999999</v>
      </c>
      <c r="H1334">
        <v>0.11019710000000001</v>
      </c>
      <c r="I1334">
        <v>358.8544</v>
      </c>
      <c r="J1334">
        <v>-288.69920000000002</v>
      </c>
      <c r="K1334">
        <v>1.0597529999999999</v>
      </c>
      <c r="L1334">
        <v>367.21870000000001</v>
      </c>
      <c r="M1334">
        <v>0.99996750000000001</v>
      </c>
      <c r="N1334">
        <v>0</v>
      </c>
      <c r="O1334">
        <v>-1.415209E-3</v>
      </c>
      <c r="P1334">
        <v>0.99877280000000002</v>
      </c>
      <c r="Q1334">
        <v>4.4746180000000003E-2</v>
      </c>
      <c r="R1334">
        <v>-2.123825E-2</v>
      </c>
      <c r="S1334">
        <v>3.0006409999999999</v>
      </c>
      <c r="T1334">
        <v>-2.1803260000000001E-2</v>
      </c>
      <c r="U1334">
        <v>-0.19207759999999999</v>
      </c>
      <c r="V1334">
        <v>1.982364E-2</v>
      </c>
      <c r="W1334">
        <v>5.2682149999999997E-2</v>
      </c>
      <c r="X1334">
        <v>0.99841460000000004</v>
      </c>
      <c r="Y1334">
        <v>6.2467429999999997E-2</v>
      </c>
      <c r="Z1334">
        <v>-2.1644270000000001E-4</v>
      </c>
      <c r="AA1334">
        <v>0.99804700000000002</v>
      </c>
      <c r="AB1334">
        <v>23</v>
      </c>
      <c r="AC1334">
        <v>130.5042</v>
      </c>
      <c r="AD1334">
        <v>-0.94955590000000001</v>
      </c>
      <c r="AE1334">
        <v>-8.3643000000000107</v>
      </c>
      <c r="AF1334">
        <v>8.1791638457259204</v>
      </c>
      <c r="AG1334">
        <v>-0.94955590000000001</v>
      </c>
      <c r="AH1334">
        <v>130.50902589747599</v>
      </c>
      <c r="AI1334">
        <v>90.416048319372294</v>
      </c>
      <c r="AJ1334">
        <v>86.413891980979997</v>
      </c>
      <c r="AK1334">
        <v>130.76852151160301</v>
      </c>
      <c r="AL1334">
        <v>86.980137306713701</v>
      </c>
      <c r="AM1334">
        <v>88.862534976362497</v>
      </c>
      <c r="AN1334">
        <v>1.00000004956231</v>
      </c>
    </row>
    <row r="1335" spans="1:40" x14ac:dyDescent="0.25">
      <c r="A1335" t="str">
        <f>"20190312150655801"</f>
        <v>20190312150655801</v>
      </c>
      <c r="B1335" t="str">
        <f>"1552374415791225"</f>
        <v>1552374415791225</v>
      </c>
      <c r="C1335" t="s">
        <v>40</v>
      </c>
      <c r="D1335">
        <v>4.3012839999999999</v>
      </c>
      <c r="E1335">
        <v>0.51550609999999997</v>
      </c>
      <c r="F1335" t="s">
        <v>47</v>
      </c>
      <c r="G1335">
        <v>-158.19499999999999</v>
      </c>
      <c r="H1335">
        <v>0.161430399999999</v>
      </c>
      <c r="I1335">
        <v>358.9058</v>
      </c>
      <c r="J1335">
        <v>-288.5822</v>
      </c>
      <c r="K1335">
        <v>1.0597430000000001</v>
      </c>
      <c r="L1335">
        <v>367.21859999999998</v>
      </c>
      <c r="M1335">
        <v>0.99996810000000003</v>
      </c>
      <c r="N1335">
        <v>0</v>
      </c>
      <c r="O1335">
        <v>-1.397311E-3</v>
      </c>
      <c r="P1335">
        <v>0.99876390000000004</v>
      </c>
      <c r="Q1335">
        <v>4.4707780000000003E-2</v>
      </c>
      <c r="R1335">
        <v>-2.1733769999999999E-2</v>
      </c>
      <c r="S1335">
        <v>3.0005489999999999</v>
      </c>
      <c r="T1335">
        <v>-2.0652170000000001E-2</v>
      </c>
      <c r="U1335">
        <v>-0.19113160000000001</v>
      </c>
      <c r="V1335">
        <v>2.03371E-2</v>
      </c>
      <c r="W1335">
        <v>5.257978E-2</v>
      </c>
      <c r="X1335">
        <v>0.99840960000000001</v>
      </c>
      <c r="Y1335">
        <v>6.2174020000000003E-2</v>
      </c>
      <c r="Z1335">
        <v>-2.041387E-4</v>
      </c>
      <c r="AA1335">
        <v>0.99806530000000004</v>
      </c>
      <c r="AB1335">
        <v>23</v>
      </c>
      <c r="AC1335">
        <v>130.38720000000001</v>
      </c>
      <c r="AD1335">
        <v>-0.89831260000000002</v>
      </c>
      <c r="AE1335">
        <v>-8.3127999999999798</v>
      </c>
      <c r="AF1335">
        <v>8.1302104327018405</v>
      </c>
      <c r="AG1335">
        <v>-0.89831260000000002</v>
      </c>
      <c r="AH1335">
        <v>130.39252443826601</v>
      </c>
      <c r="AI1335">
        <v>90.393956262822996</v>
      </c>
      <c r="AJ1335">
        <v>86.432123097799703</v>
      </c>
      <c r="AK1335">
        <v>130.648833582972</v>
      </c>
      <c r="AL1335">
        <v>86.986010606438001</v>
      </c>
      <c r="AM1335">
        <v>88.8330752428827</v>
      </c>
      <c r="AN1335">
        <v>0.99999998013670899</v>
      </c>
    </row>
    <row r="1336" spans="1:40" x14ac:dyDescent="0.25">
      <c r="A1336" t="str">
        <f>"20190312150655813"</f>
        <v>20190312150655813</v>
      </c>
      <c r="B1336" t="str">
        <f>"1552374415801961"</f>
        <v>1552374415801961</v>
      </c>
      <c r="C1336" t="s">
        <v>40</v>
      </c>
      <c r="D1336">
        <v>4.308046</v>
      </c>
      <c r="E1336">
        <v>0.51539840000000003</v>
      </c>
      <c r="F1336" t="s">
        <v>47</v>
      </c>
      <c r="G1336">
        <v>-158.19499999999999</v>
      </c>
      <c r="H1336">
        <v>0.2414818</v>
      </c>
      <c r="I1336">
        <v>358.88350000000003</v>
      </c>
      <c r="J1336">
        <v>-288.47000000000003</v>
      </c>
      <c r="K1336">
        <v>1.059733</v>
      </c>
      <c r="L1336">
        <v>367.21839999999997</v>
      </c>
      <c r="M1336">
        <v>0.99996839999999998</v>
      </c>
      <c r="N1336">
        <v>0</v>
      </c>
      <c r="O1336">
        <v>-1.3795599999999999E-3</v>
      </c>
      <c r="P1336">
        <v>0.99876779999999998</v>
      </c>
      <c r="Q1336">
        <v>4.454723E-2</v>
      </c>
      <c r="R1336">
        <v>-2.1877810000000001E-2</v>
      </c>
      <c r="S1336">
        <v>3.000397</v>
      </c>
      <c r="T1336">
        <v>-1.8827320000000002E-2</v>
      </c>
      <c r="U1336">
        <v>-0.191803</v>
      </c>
      <c r="V1336">
        <v>2.0498909999999999E-2</v>
      </c>
      <c r="W1336">
        <v>5.2360249999999997E-2</v>
      </c>
      <c r="X1336">
        <v>0.99841789999999997</v>
      </c>
      <c r="Y1336">
        <v>6.2417609999999998E-2</v>
      </c>
      <c r="Z1336">
        <v>-1.8698400000000001E-4</v>
      </c>
      <c r="AA1336">
        <v>0.99805010000000005</v>
      </c>
      <c r="AB1336">
        <v>23</v>
      </c>
      <c r="AC1336">
        <v>130.27500000000001</v>
      </c>
      <c r="AD1336">
        <v>-0.81825119999999996</v>
      </c>
      <c r="AE1336">
        <v>-8.3348999999999407</v>
      </c>
      <c r="AF1336">
        <v>8.1548439805706892</v>
      </c>
      <c r="AG1336">
        <v>-0.81825119999999996</v>
      </c>
      <c r="AH1336">
        <v>130.281256178788</v>
      </c>
      <c r="AI1336">
        <v>90.359147238431504</v>
      </c>
      <c r="AJ1336">
        <v>86.418292472544707</v>
      </c>
      <c r="AK1336">
        <v>130.538793953739</v>
      </c>
      <c r="AL1336">
        <v>86.9986063155674</v>
      </c>
      <c r="AM1336">
        <v>88.823803101846394</v>
      </c>
      <c r="AN1336">
        <v>1.0000000520658201</v>
      </c>
    </row>
    <row r="1337" spans="1:40" x14ac:dyDescent="0.25">
      <c r="A1337" t="str">
        <f>"20190312150655823"</f>
        <v>20190312150655823</v>
      </c>
      <c r="B1337" t="str">
        <f>"1552374415811722"</f>
        <v>1552374415811722</v>
      </c>
      <c r="C1337" t="s">
        <v>40</v>
      </c>
      <c r="D1337">
        <v>4.3034499999999998</v>
      </c>
      <c r="E1337">
        <v>0.51533240000000002</v>
      </c>
      <c r="F1337" t="s">
        <v>47</v>
      </c>
      <c r="G1337">
        <v>-158.19499999999999</v>
      </c>
      <c r="H1337">
        <v>0.29301739999999998</v>
      </c>
      <c r="I1337">
        <v>358.90219999999999</v>
      </c>
      <c r="J1337">
        <v>-288.35910000000001</v>
      </c>
      <c r="K1337">
        <v>1.0597240000000001</v>
      </c>
      <c r="L1337">
        <v>367.2183</v>
      </c>
      <c r="M1337">
        <v>0.99996910000000006</v>
      </c>
      <c r="N1337">
        <v>0</v>
      </c>
      <c r="O1337">
        <v>-1.362292E-3</v>
      </c>
      <c r="P1337">
        <v>0.99877550000000004</v>
      </c>
      <c r="Q1337">
        <v>4.4197720000000003E-2</v>
      </c>
      <c r="R1337">
        <v>-2.2235250000000002E-2</v>
      </c>
      <c r="S1337">
        <v>3.000305</v>
      </c>
      <c r="T1337">
        <v>-1.7655850000000001E-2</v>
      </c>
      <c r="U1337">
        <v>-0.19152830000000001</v>
      </c>
      <c r="V1337">
        <v>2.0873599999999999E-2</v>
      </c>
      <c r="W1337">
        <v>5.195454E-2</v>
      </c>
      <c r="X1337">
        <v>0.99843130000000002</v>
      </c>
      <c r="Y1337">
        <v>6.2345930000000001E-2</v>
      </c>
      <c r="Z1337">
        <v>-1.752464E-4</v>
      </c>
      <c r="AA1337">
        <v>0.99805460000000001</v>
      </c>
      <c r="AB1337">
        <v>23</v>
      </c>
      <c r="AC1337">
        <v>130.16409999999999</v>
      </c>
      <c r="AD1337">
        <v>-0.76670659999999902</v>
      </c>
      <c r="AE1337">
        <v>-8.3161000000000005</v>
      </c>
      <c r="AF1337">
        <v>8.1384842331941396</v>
      </c>
      <c r="AG1337">
        <v>-0.76670659999999902</v>
      </c>
      <c r="AH1337">
        <v>130.170810496516</v>
      </c>
      <c r="AI1337">
        <v>90.336810839769399</v>
      </c>
      <c r="AJ1337">
        <v>86.422434217934594</v>
      </c>
      <c r="AK1337">
        <v>130.42723132054999</v>
      </c>
      <c r="AL1337">
        <v>87.021883376026807</v>
      </c>
      <c r="AM1337">
        <v>88.8023262239182</v>
      </c>
      <c r="AN1337">
        <v>1.00000002111163</v>
      </c>
    </row>
    <row r="1338" spans="1:40" x14ac:dyDescent="0.25">
      <c r="A1338" t="str">
        <f>"20190312150655835"</f>
        <v>20190312150655835</v>
      </c>
      <c r="B1338" t="str">
        <f>"1552374415831242"</f>
        <v>1552374415831242</v>
      </c>
      <c r="C1338" t="s">
        <v>40</v>
      </c>
      <c r="D1338">
        <v>4.3994330000000001</v>
      </c>
      <c r="E1338">
        <v>0.51515859999999902</v>
      </c>
      <c r="F1338" t="s">
        <v>47</v>
      </c>
      <c r="G1338">
        <v>-158.19499999999999</v>
      </c>
      <c r="H1338">
        <v>0.30848880000000001</v>
      </c>
      <c r="I1338">
        <v>358.89159999999998</v>
      </c>
      <c r="J1338">
        <v>-288.2405</v>
      </c>
      <c r="K1338">
        <v>1.059717</v>
      </c>
      <c r="L1338">
        <v>367.21820000000002</v>
      </c>
      <c r="M1338">
        <v>0.99996949999999996</v>
      </c>
      <c r="N1338">
        <v>0</v>
      </c>
      <c r="O1338">
        <v>-1.3438390000000001E-3</v>
      </c>
      <c r="P1338">
        <v>0.99876989999999999</v>
      </c>
      <c r="Q1338">
        <v>4.4225189999999998E-2</v>
      </c>
      <c r="R1338">
        <v>-2.243529E-2</v>
      </c>
      <c r="S1338">
        <v>3.0001829999999998</v>
      </c>
      <c r="T1338">
        <v>-1.731336E-2</v>
      </c>
      <c r="U1338">
        <v>-0.19192500000000001</v>
      </c>
      <c r="V1338">
        <v>2.109202E-2</v>
      </c>
      <c r="W1338">
        <v>5.1926449999999999E-2</v>
      </c>
      <c r="X1338">
        <v>0.99842819999999999</v>
      </c>
      <c r="Y1338">
        <v>6.2498419999999999E-2</v>
      </c>
      <c r="Z1338">
        <v>-1.7239919999999999E-4</v>
      </c>
      <c r="AA1338">
        <v>0.99804499999999996</v>
      </c>
      <c r="AB1338">
        <v>23</v>
      </c>
      <c r="AC1338">
        <v>130.0455</v>
      </c>
      <c r="AD1338">
        <v>-0.75122819999999901</v>
      </c>
      <c r="AE1338">
        <v>-8.32660000000004</v>
      </c>
      <c r="AF1338">
        <v>8.1515561889464898</v>
      </c>
      <c r="AG1338">
        <v>-0.75122819999999901</v>
      </c>
      <c r="AH1338">
        <v>130.052250415571</v>
      </c>
      <c r="AI1338">
        <v>90.330308997493006</v>
      </c>
      <c r="AJ1338">
        <v>86.413444792380702</v>
      </c>
      <c r="AK1338">
        <v>130.30963145625199</v>
      </c>
      <c r="AL1338">
        <v>87.023495075997303</v>
      </c>
      <c r="AM1338">
        <v>88.789793794430906</v>
      </c>
      <c r="AN1338">
        <v>1.00000005003626</v>
      </c>
    </row>
    <row r="1339" spans="1:40" x14ac:dyDescent="0.25">
      <c r="A1339" t="str">
        <f>"20190312150655846"</f>
        <v>20190312150655846</v>
      </c>
      <c r="B1339" t="str">
        <f>"1552374415841977"</f>
        <v>1552374415841977</v>
      </c>
      <c r="C1339" t="s">
        <v>40</v>
      </c>
      <c r="D1339">
        <v>4.3571589999999896</v>
      </c>
      <c r="E1339">
        <v>0.51494719999999905</v>
      </c>
      <c r="F1339" t="s">
        <v>47</v>
      </c>
      <c r="G1339">
        <v>-158.19499999999999</v>
      </c>
      <c r="H1339">
        <v>0.5582743</v>
      </c>
      <c r="I1339">
        <v>358.94060000000002</v>
      </c>
      <c r="J1339">
        <v>-288.1148</v>
      </c>
      <c r="K1339">
        <v>1.059712</v>
      </c>
      <c r="L1339">
        <v>367.21800000000002</v>
      </c>
      <c r="M1339">
        <v>0.99997000000000003</v>
      </c>
      <c r="N1339">
        <v>0</v>
      </c>
      <c r="O1339">
        <v>-1.32418799999999E-3</v>
      </c>
      <c r="P1339">
        <v>0.99877190000000005</v>
      </c>
      <c r="Q1339">
        <v>4.412054E-2</v>
      </c>
      <c r="R1339">
        <v>-2.254917E-2</v>
      </c>
      <c r="S1339">
        <v>2.999908</v>
      </c>
      <c r="T1339">
        <v>-1.156533E-2</v>
      </c>
      <c r="U1339">
        <v>-0.19094849999999999</v>
      </c>
      <c r="V1339">
        <v>2.122541E-2</v>
      </c>
      <c r="W1339">
        <v>5.1764060000000001E-2</v>
      </c>
      <c r="X1339">
        <v>0.99843380000000004</v>
      </c>
      <c r="Y1339">
        <v>6.220084E-2</v>
      </c>
      <c r="Z1339">
        <v>-1.146776E-4</v>
      </c>
      <c r="AA1339">
        <v>0.99806360000000005</v>
      </c>
      <c r="AB1339">
        <v>23</v>
      </c>
      <c r="AC1339">
        <v>129.91980000000001</v>
      </c>
      <c r="AD1339">
        <v>-0.50143769999999999</v>
      </c>
      <c r="AE1339">
        <v>-8.2774000000000001</v>
      </c>
      <c r="AF1339">
        <v>8.1052292407329904</v>
      </c>
      <c r="AG1339">
        <v>-0.50143769999999999</v>
      </c>
      <c r="AH1339">
        <v>129.92871958659501</v>
      </c>
      <c r="AI1339">
        <v>90.220693180705098</v>
      </c>
      <c r="AJ1339">
        <v>86.430393304593494</v>
      </c>
      <c r="AK1339">
        <v>130.182250534487</v>
      </c>
      <c r="AL1339">
        <v>87.032811850483796</v>
      </c>
      <c r="AM1339">
        <v>88.782149343577998</v>
      </c>
      <c r="AN1339">
        <v>1.00000004445989</v>
      </c>
    </row>
    <row r="1340" spans="1:40" x14ac:dyDescent="0.25">
      <c r="A1340" t="str">
        <f>"20190312150655857"</f>
        <v>20190312150655857</v>
      </c>
      <c r="B1340" t="str">
        <f>"1552374415851737"</f>
        <v>1552374415851737</v>
      </c>
      <c r="C1340" t="s">
        <v>40</v>
      </c>
      <c r="D1340">
        <v>4.3009309999999896</v>
      </c>
      <c r="E1340">
        <v>0.51486779999999999</v>
      </c>
      <c r="F1340" t="s">
        <v>47</v>
      </c>
      <c r="G1340">
        <v>-158.19499999999999</v>
      </c>
      <c r="H1340">
        <v>0.48848530000000001</v>
      </c>
      <c r="I1340">
        <v>359.00540000000001</v>
      </c>
      <c r="J1340">
        <v>-287.99849999999998</v>
      </c>
      <c r="K1340">
        <v>1.0597099999999999</v>
      </c>
      <c r="L1340">
        <v>367.21789999999999</v>
      </c>
      <c r="M1340">
        <v>0.99997020000000003</v>
      </c>
      <c r="N1340">
        <v>0</v>
      </c>
      <c r="O1340">
        <v>-1.306003E-3</v>
      </c>
      <c r="P1340">
        <v>0.9987665</v>
      </c>
      <c r="Q1340">
        <v>4.4151120000000002E-2</v>
      </c>
      <c r="R1340">
        <v>-2.272339E-2</v>
      </c>
      <c r="S1340">
        <v>2.9999690000000001</v>
      </c>
      <c r="T1340">
        <v>-1.3188119999999999E-2</v>
      </c>
      <c r="U1340">
        <v>-0.1896362</v>
      </c>
      <c r="V1340">
        <v>2.1417990000000001E-2</v>
      </c>
      <c r="W1340">
        <v>5.1746439999999998E-2</v>
      </c>
      <c r="X1340">
        <v>0.99843059999999995</v>
      </c>
      <c r="Y1340">
        <v>6.1782730000000001E-2</v>
      </c>
      <c r="Z1340">
        <v>-1.2992940000000001E-4</v>
      </c>
      <c r="AA1340">
        <v>0.99808960000000002</v>
      </c>
      <c r="AB1340">
        <v>23</v>
      </c>
      <c r="AC1340">
        <v>129.80350000000001</v>
      </c>
      <c r="AD1340">
        <v>-0.57122469999999903</v>
      </c>
      <c r="AE1340">
        <v>-8.2124999999999702</v>
      </c>
      <c r="AF1340">
        <v>8.0428091915275992</v>
      </c>
      <c r="AG1340">
        <v>-0.57122469999999903</v>
      </c>
      <c r="AH1340">
        <v>129.811611238648</v>
      </c>
      <c r="AI1340">
        <v>90.251640942010397</v>
      </c>
      <c r="AJ1340">
        <v>86.4546259179061</v>
      </c>
      <c r="AK1340">
        <v>130.06178335592401</v>
      </c>
      <c r="AL1340">
        <v>87.033822754583099</v>
      </c>
      <c r="AM1340">
        <v>88.771099113933403</v>
      </c>
      <c r="AN1340">
        <v>1.00000004368233</v>
      </c>
    </row>
    <row r="1341" spans="1:40" x14ac:dyDescent="0.25">
      <c r="A1341" t="str">
        <f>"20190312150655869"</f>
        <v>20190312150655869</v>
      </c>
      <c r="B1341" t="str">
        <f>"1552374415861498"</f>
        <v>1552374415861498</v>
      </c>
      <c r="C1341" t="s">
        <v>40</v>
      </c>
      <c r="D1341">
        <v>4.2900999999999998</v>
      </c>
      <c r="E1341">
        <v>0.51482620000000001</v>
      </c>
      <c r="F1341" t="s">
        <v>47</v>
      </c>
      <c r="G1341">
        <v>-158.19499999999999</v>
      </c>
      <c r="H1341">
        <v>0.53451439999999995</v>
      </c>
      <c r="I1341">
        <v>359.02050000000003</v>
      </c>
      <c r="J1341">
        <v>-287.88029999999998</v>
      </c>
      <c r="K1341">
        <v>1.0597049999999999</v>
      </c>
      <c r="L1341">
        <v>367.21769999999998</v>
      </c>
      <c r="M1341">
        <v>0.99997069999999999</v>
      </c>
      <c r="N1341">
        <v>0</v>
      </c>
      <c r="O1341">
        <v>-1.2875849999999999E-3</v>
      </c>
      <c r="P1341">
        <v>0.99876430000000005</v>
      </c>
      <c r="Q1341">
        <v>4.4089749999999997E-2</v>
      </c>
      <c r="R1341">
        <v>-2.2940209999999999E-2</v>
      </c>
      <c r="S1341">
        <v>2.9999389999999999</v>
      </c>
      <c r="T1341">
        <v>-1.2135979999999999E-2</v>
      </c>
      <c r="U1341">
        <v>-0.18945310000000001</v>
      </c>
      <c r="V1341">
        <v>2.1653209999999999E-2</v>
      </c>
      <c r="W1341">
        <v>5.1638339999999998E-2</v>
      </c>
      <c r="X1341">
        <v>0.99843110000000002</v>
      </c>
      <c r="Y1341">
        <v>6.1741169999999998E-2</v>
      </c>
      <c r="Z1341">
        <v>-1.195557E-4</v>
      </c>
      <c r="AA1341">
        <v>0.99809219999999998</v>
      </c>
      <c r="AB1341">
        <v>23</v>
      </c>
      <c r="AC1341">
        <v>129.68529999999899</v>
      </c>
      <c r="AD1341">
        <v>-0.52519059999999895</v>
      </c>
      <c r="AE1341">
        <v>-8.1971999999999507</v>
      </c>
      <c r="AF1341">
        <v>8.0300764316172604</v>
      </c>
      <c r="AG1341">
        <v>-0.52519059999999895</v>
      </c>
      <c r="AH1341">
        <v>129.69362883201401</v>
      </c>
      <c r="AI1341">
        <v>90.231572889624104</v>
      </c>
      <c r="AJ1341">
        <v>86.457012462156897</v>
      </c>
      <c r="AK1341">
        <v>129.943046417575</v>
      </c>
      <c r="AL1341">
        <v>87.040024651248999</v>
      </c>
      <c r="AM1341">
        <v>88.757607715532103</v>
      </c>
      <c r="AN1341">
        <v>1.0000000205542301</v>
      </c>
    </row>
    <row r="1342" spans="1:40" x14ac:dyDescent="0.25">
      <c r="A1342" t="str">
        <f>"20190312150655879"</f>
        <v>20190312150655879</v>
      </c>
      <c r="B1342" t="str">
        <f>"1552374415871766"</f>
        <v>1552374415871766</v>
      </c>
      <c r="C1342" t="s">
        <v>40</v>
      </c>
      <c r="D1342">
        <v>4.3984100000000002</v>
      </c>
      <c r="E1342">
        <v>0.51490590000000003</v>
      </c>
      <c r="F1342" t="s">
        <v>47</v>
      </c>
      <c r="G1342">
        <v>-158.19499999999999</v>
      </c>
      <c r="H1342">
        <v>0.5805998</v>
      </c>
      <c r="I1342">
        <v>359.00639999999999</v>
      </c>
      <c r="J1342">
        <v>-287.76589999999999</v>
      </c>
      <c r="K1342">
        <v>1.059701</v>
      </c>
      <c r="L1342">
        <v>367.2176</v>
      </c>
      <c r="M1342">
        <v>0.99997100000000005</v>
      </c>
      <c r="N1342">
        <v>0</v>
      </c>
      <c r="O1342">
        <v>-1.2700189999999901E-3</v>
      </c>
      <c r="P1342">
        <v>0.99876860000000001</v>
      </c>
      <c r="Q1342">
        <v>4.4085109999999997E-2</v>
      </c>
      <c r="R1342">
        <v>-2.2763209999999999E-2</v>
      </c>
      <c r="S1342">
        <v>2.9998469999999999</v>
      </c>
      <c r="T1342">
        <v>-1.10805E-2</v>
      </c>
      <c r="U1342">
        <v>-0.18994140000000001</v>
      </c>
      <c r="V1342">
        <v>2.149355E-2</v>
      </c>
      <c r="W1342">
        <v>5.159072E-2</v>
      </c>
      <c r="X1342">
        <v>0.99843700000000002</v>
      </c>
      <c r="Y1342">
        <v>6.1922489999999997E-2</v>
      </c>
      <c r="Z1342">
        <v>-1.0956E-4</v>
      </c>
      <c r="AA1342">
        <v>0.998081</v>
      </c>
      <c r="AB1342">
        <v>23</v>
      </c>
      <c r="AC1342">
        <v>129.57089999999999</v>
      </c>
      <c r="AD1342">
        <v>-0.47910119999999901</v>
      </c>
      <c r="AE1342">
        <v>-8.2112000000000194</v>
      </c>
      <c r="AF1342">
        <v>8.0465216591783708</v>
      </c>
      <c r="AG1342">
        <v>-0.47910119999999901</v>
      </c>
      <c r="AH1342">
        <v>129.57945961801099</v>
      </c>
      <c r="AI1342">
        <v>90.211434587189402</v>
      </c>
      <c r="AJ1342">
        <v>86.446655122372405</v>
      </c>
      <c r="AK1342">
        <v>129.82993646947199</v>
      </c>
      <c r="AL1342">
        <v>87.042756683710607</v>
      </c>
      <c r="AM1342">
        <v>88.766772943886593</v>
      </c>
      <c r="AN1342">
        <v>1.00000000902536</v>
      </c>
    </row>
    <row r="1343" spans="1:40" x14ac:dyDescent="0.25">
      <c r="A1343" t="str">
        <f>"20190312150655891"</f>
        <v>20190312150655891</v>
      </c>
      <c r="B1343" t="str">
        <f>"1552374415881525"</f>
        <v>1552374415881525</v>
      </c>
      <c r="C1343" t="s">
        <v>40</v>
      </c>
      <c r="D1343">
        <v>4.2626569999999999</v>
      </c>
      <c r="E1343">
        <v>0.51490590000000003</v>
      </c>
      <c r="F1343" t="s">
        <v>47</v>
      </c>
      <c r="G1343">
        <v>-158.19499999999999</v>
      </c>
      <c r="H1343">
        <v>0.64595409999999998</v>
      </c>
      <c r="I1343">
        <v>359.01339999999999</v>
      </c>
      <c r="J1343">
        <v>-287.65120000000002</v>
      </c>
      <c r="K1343">
        <v>1.059693</v>
      </c>
      <c r="L1343">
        <v>367.21749999999997</v>
      </c>
      <c r="M1343">
        <v>0.99997139999999995</v>
      </c>
      <c r="N1343">
        <v>0</v>
      </c>
      <c r="O1343">
        <v>-1.251989E-3</v>
      </c>
      <c r="P1343">
        <v>0.99877439999999995</v>
      </c>
      <c r="Q1343">
        <v>4.4009270000000003E-2</v>
      </c>
      <c r="R1343">
        <v>-2.2657190000000001E-2</v>
      </c>
      <c r="S1343">
        <v>2.9997859999999998</v>
      </c>
      <c r="T1343">
        <v>-9.5769170000000008E-3</v>
      </c>
      <c r="U1343">
        <v>-0.18994140000000001</v>
      </c>
      <c r="V1343">
        <v>2.140539E-2</v>
      </c>
      <c r="W1343">
        <v>5.1475479999999997E-2</v>
      </c>
      <c r="X1343">
        <v>0.99844489999999997</v>
      </c>
      <c r="Y1343">
        <v>6.1941879999999998E-2</v>
      </c>
      <c r="Z1343" s="1">
        <v>-9.4783499999999998E-5</v>
      </c>
      <c r="AA1343">
        <v>0.99807979999999996</v>
      </c>
      <c r="AB1343">
        <v>23</v>
      </c>
      <c r="AC1343">
        <v>129.4562</v>
      </c>
      <c r="AD1343">
        <v>-0.41373890000000002</v>
      </c>
      <c r="AE1343">
        <v>-8.2040999999999809</v>
      </c>
      <c r="AF1343">
        <v>8.0419295090772405</v>
      </c>
      <c r="AG1343">
        <v>-0.41373890000000002</v>
      </c>
      <c r="AH1343">
        <v>129.46505316297001</v>
      </c>
      <c r="AI1343">
        <v>90.182750560113107</v>
      </c>
      <c r="AJ1343">
        <v>86.445547613499102</v>
      </c>
      <c r="AK1343">
        <v>129.71524120394201</v>
      </c>
      <c r="AL1343">
        <v>87.049368405496594</v>
      </c>
      <c r="AM1343">
        <v>88.771839428057405</v>
      </c>
      <c r="AN1343">
        <v>1.00000006704914</v>
      </c>
    </row>
    <row r="1344" spans="1:40" x14ac:dyDescent="0.25">
      <c r="A1344" t="str">
        <f>"20190312150655902"</f>
        <v>20190312150655902</v>
      </c>
      <c r="B1344" t="str">
        <f>"1552374415891286"</f>
        <v>1552374415891286</v>
      </c>
      <c r="C1344" t="s">
        <v>40</v>
      </c>
      <c r="D1344">
        <v>4.2695509999999999</v>
      </c>
      <c r="E1344">
        <v>0.51490630000000004</v>
      </c>
      <c r="F1344" t="s">
        <v>47</v>
      </c>
      <c r="G1344">
        <v>-158.19499999999999</v>
      </c>
      <c r="H1344">
        <v>0.7264891</v>
      </c>
      <c r="I1344">
        <v>359.04</v>
      </c>
      <c r="J1344">
        <v>-287.53289999999998</v>
      </c>
      <c r="K1344">
        <v>1.0596890000000001</v>
      </c>
      <c r="L1344">
        <v>367.2174</v>
      </c>
      <c r="M1344">
        <v>0.99997159999999996</v>
      </c>
      <c r="N1344">
        <v>0</v>
      </c>
      <c r="O1344">
        <v>-1.233247E-3</v>
      </c>
      <c r="P1344">
        <v>0.9987897</v>
      </c>
      <c r="Q1344">
        <v>4.3742679999999999E-2</v>
      </c>
      <c r="R1344">
        <v>-2.2496180000000001E-2</v>
      </c>
      <c r="S1344">
        <v>2.999695</v>
      </c>
      <c r="T1344">
        <v>-7.718801E-3</v>
      </c>
      <c r="U1344">
        <v>-0.1894836</v>
      </c>
      <c r="V1344">
        <v>2.12631E-2</v>
      </c>
      <c r="W1344">
        <v>5.1170239999999999E-2</v>
      </c>
      <c r="X1344">
        <v>0.99846360000000001</v>
      </c>
      <c r="Y1344">
        <v>6.1810919999999998E-2</v>
      </c>
      <c r="Z1344" s="1">
        <v>-7.6276210000000001E-5</v>
      </c>
      <c r="AA1344">
        <v>0.99808790000000003</v>
      </c>
      <c r="AB1344">
        <v>24</v>
      </c>
      <c r="AC1344">
        <v>129.33789999999999</v>
      </c>
      <c r="AD1344">
        <v>-0.33319989999999899</v>
      </c>
      <c r="AE1344">
        <v>-8.1773999999999702</v>
      </c>
      <c r="AF1344">
        <v>8.0178307944173195</v>
      </c>
      <c r="AG1344">
        <v>-0.33319989999999899</v>
      </c>
      <c r="AH1344">
        <v>129.34703164115101</v>
      </c>
      <c r="AI1344">
        <v>90.147311722215704</v>
      </c>
      <c r="AJ1344">
        <v>86.452946537075803</v>
      </c>
      <c r="AK1344">
        <v>129.59572225655501</v>
      </c>
      <c r="AL1344">
        <v>87.066880357925797</v>
      </c>
      <c r="AM1344">
        <v>88.780023858244107</v>
      </c>
      <c r="AN1344">
        <v>1.00000003670411</v>
      </c>
    </row>
    <row r="1345" spans="1:40" x14ac:dyDescent="0.25">
      <c r="A1345" t="str">
        <f>"20190312150655913"</f>
        <v>20190312150655913</v>
      </c>
      <c r="B1345" t="str">
        <f>"1552374415902020"</f>
        <v>1552374415902020</v>
      </c>
      <c r="C1345" t="s">
        <v>40</v>
      </c>
      <c r="D1345">
        <v>4.2802259999999999</v>
      </c>
      <c r="E1345">
        <v>0.51492450000000001</v>
      </c>
      <c r="F1345" t="s">
        <v>47</v>
      </c>
      <c r="G1345">
        <v>-158.19499999999999</v>
      </c>
      <c r="H1345">
        <v>0.77731039999999996</v>
      </c>
      <c r="I1345">
        <v>359.04739999999998</v>
      </c>
      <c r="J1345">
        <v>-287.4171</v>
      </c>
      <c r="K1345">
        <v>1.0596840000000001</v>
      </c>
      <c r="L1345">
        <v>367.21719999999999</v>
      </c>
      <c r="M1345">
        <v>0.99997199999999997</v>
      </c>
      <c r="N1345">
        <v>0</v>
      </c>
      <c r="O1345">
        <v>-1.2152370000000001E-3</v>
      </c>
      <c r="P1345">
        <v>0.99880579999999997</v>
      </c>
      <c r="Q1345">
        <v>4.3530890000000003E-2</v>
      </c>
      <c r="R1345">
        <v>-2.2185940000000001E-2</v>
      </c>
      <c r="S1345">
        <v>2.999695</v>
      </c>
      <c r="T1345">
        <v>-6.5470930000000004E-3</v>
      </c>
      <c r="U1345">
        <v>-0.1894836</v>
      </c>
      <c r="V1345">
        <v>2.097104E-2</v>
      </c>
      <c r="W1345">
        <v>5.092356E-2</v>
      </c>
      <c r="X1345">
        <v>0.99848230000000004</v>
      </c>
      <c r="Y1345">
        <v>6.1828950000000001E-2</v>
      </c>
      <c r="Z1345" s="1">
        <v>-6.4756489999999995E-5</v>
      </c>
      <c r="AA1345">
        <v>0.99808680000000005</v>
      </c>
      <c r="AB1345">
        <v>24</v>
      </c>
      <c r="AC1345">
        <v>129.22210000000001</v>
      </c>
      <c r="AD1345">
        <v>-0.2823736</v>
      </c>
      <c r="AE1345">
        <v>-8.1698000000000093</v>
      </c>
      <c r="AF1345">
        <v>8.0127161002935203</v>
      </c>
      <c r="AG1345">
        <v>-0.2823736</v>
      </c>
      <c r="AH1345">
        <v>129.23131846647601</v>
      </c>
      <c r="AI1345">
        <v>90.124952534012394</v>
      </c>
      <c r="AJ1345">
        <v>86.452037592354301</v>
      </c>
      <c r="AK1345">
        <v>129.47979389363201</v>
      </c>
      <c r="AL1345">
        <v>87.081032273285899</v>
      </c>
      <c r="AM1345">
        <v>88.796798447470593</v>
      </c>
      <c r="AN1345">
        <v>0.99999994844752105</v>
      </c>
    </row>
    <row r="1346" spans="1:40" x14ac:dyDescent="0.25">
      <c r="A1346" t="str">
        <f>"20190312150655923"</f>
        <v>20190312150655923</v>
      </c>
      <c r="B1346" t="str">
        <f>"1552374415911781"</f>
        <v>1552374415911781</v>
      </c>
      <c r="C1346" t="s">
        <v>40</v>
      </c>
      <c r="D1346">
        <v>4.2928290000000002</v>
      </c>
      <c r="E1346">
        <v>0.51493650000000002</v>
      </c>
      <c r="F1346" t="s">
        <v>47</v>
      </c>
      <c r="G1346">
        <v>-158.19499999999999</v>
      </c>
      <c r="H1346">
        <v>0.83912279999999995</v>
      </c>
      <c r="I1346">
        <v>359.10180000000003</v>
      </c>
      <c r="J1346">
        <v>-287.2998</v>
      </c>
      <c r="K1346">
        <v>1.0596779999999999</v>
      </c>
      <c r="L1346">
        <v>367.21710000000002</v>
      </c>
      <c r="M1346">
        <v>0.99997219999999998</v>
      </c>
      <c r="N1346">
        <v>0</v>
      </c>
      <c r="O1346">
        <v>-1.1969909999999999E-3</v>
      </c>
      <c r="P1346">
        <v>0.99882789999999999</v>
      </c>
      <c r="Q1346">
        <v>4.3177340000000002E-2</v>
      </c>
      <c r="R1346">
        <v>-2.1880429999999999E-2</v>
      </c>
      <c r="S1346">
        <v>2.9996640000000001</v>
      </c>
      <c r="T1346">
        <v>-5.1178930000000001E-3</v>
      </c>
      <c r="U1346">
        <v>-0.188385</v>
      </c>
      <c r="V1346">
        <v>2.0683770000000001E-2</v>
      </c>
      <c r="W1346">
        <v>5.0535910000000003E-2</v>
      </c>
      <c r="X1346">
        <v>0.99850799999999995</v>
      </c>
      <c r="Y1346">
        <v>6.1483740000000002E-2</v>
      </c>
      <c r="Z1346" s="1">
        <v>-5.0358480000000001E-5</v>
      </c>
      <c r="AA1346">
        <v>0.99810810000000005</v>
      </c>
      <c r="AB1346">
        <v>24</v>
      </c>
      <c r="AC1346">
        <v>129.10480000000001</v>
      </c>
      <c r="AD1346">
        <v>-0.22055520000000001</v>
      </c>
      <c r="AE1346">
        <v>-8.1152999999999906</v>
      </c>
      <c r="AF1346">
        <v>7.9607295753132297</v>
      </c>
      <c r="AG1346">
        <v>-0.22055520000000001</v>
      </c>
      <c r="AH1346">
        <v>129.114046381447</v>
      </c>
      <c r="AI1346">
        <v>90.097688196964299</v>
      </c>
      <c r="AJ1346">
        <v>86.471804937009196</v>
      </c>
      <c r="AK1346">
        <v>129.359417256564</v>
      </c>
      <c r="AL1346">
        <v>87.103271655750902</v>
      </c>
      <c r="AM1346">
        <v>88.813306190688806</v>
      </c>
      <c r="AN1346">
        <v>0.99999996130246904</v>
      </c>
    </row>
    <row r="1347" spans="1:40" x14ac:dyDescent="0.25">
      <c r="A1347" t="str">
        <f>"20190312150655936"</f>
        <v>20190312150655936</v>
      </c>
      <c r="B1347" t="str">
        <f>"1552374415931305"</f>
        <v>1552374415931305</v>
      </c>
      <c r="C1347" t="s">
        <v>40</v>
      </c>
      <c r="D1347">
        <v>4.2655760000000003</v>
      </c>
      <c r="E1347">
        <v>0.51492280000000001</v>
      </c>
      <c r="F1347" t="s">
        <v>47</v>
      </c>
      <c r="G1347">
        <v>-158.19499999999999</v>
      </c>
      <c r="H1347">
        <v>0.85642909999999906</v>
      </c>
      <c r="I1347">
        <v>359.1431</v>
      </c>
      <c r="J1347">
        <v>-287.17450000000002</v>
      </c>
      <c r="K1347">
        <v>1.0596749999999999</v>
      </c>
      <c r="L1347">
        <v>367.21699999999998</v>
      </c>
      <c r="M1347">
        <v>0.99997230000000004</v>
      </c>
      <c r="N1347">
        <v>0</v>
      </c>
      <c r="O1347">
        <v>-1.176966E-3</v>
      </c>
      <c r="P1347">
        <v>0.99883849999999996</v>
      </c>
      <c r="Q1347">
        <v>4.3053380000000002E-2</v>
      </c>
      <c r="R1347">
        <v>-2.162857E-2</v>
      </c>
      <c r="S1347">
        <v>2.999603</v>
      </c>
      <c r="T1347">
        <v>-4.7202110000000002E-3</v>
      </c>
      <c r="U1347">
        <v>-0.1875916</v>
      </c>
      <c r="V1347">
        <v>2.0452049999999999E-2</v>
      </c>
      <c r="W1347">
        <v>5.0380179999999997E-2</v>
      </c>
      <c r="X1347">
        <v>0.99852070000000004</v>
      </c>
      <c r="Y1347">
        <v>6.1242030000000003E-2</v>
      </c>
      <c r="Z1347" s="1">
        <v>-4.6288220000000003E-5</v>
      </c>
      <c r="AA1347">
        <v>0.99812290000000004</v>
      </c>
      <c r="AB1347">
        <v>24</v>
      </c>
      <c r="AC1347">
        <v>128.9795</v>
      </c>
      <c r="AD1347">
        <v>-0.20324590000000001</v>
      </c>
      <c r="AE1347">
        <v>-8.0738999999999805</v>
      </c>
      <c r="AF1347">
        <v>7.9220662265080097</v>
      </c>
      <c r="AG1347">
        <v>-0.20324590000000001</v>
      </c>
      <c r="AH1347">
        <v>128.988594575945</v>
      </c>
      <c r="AI1347">
        <v>90.090110461428097</v>
      </c>
      <c r="AJ1347">
        <v>86.485491285549202</v>
      </c>
      <c r="AK1347">
        <v>129.23179938726599</v>
      </c>
      <c r="AL1347">
        <v>87.112205873835407</v>
      </c>
      <c r="AM1347">
        <v>88.826611887703393</v>
      </c>
      <c r="AN1347">
        <v>1.00000001860726</v>
      </c>
    </row>
    <row r="1348" spans="1:40" x14ac:dyDescent="0.25">
      <c r="A1348" t="str">
        <f>"20190312150655947"</f>
        <v>20190312150655947</v>
      </c>
      <c r="B1348" t="str">
        <f>"1552374415942038"</f>
        <v>1552374415942038</v>
      </c>
      <c r="C1348" t="s">
        <v>40</v>
      </c>
      <c r="D1348">
        <v>4.2749379999999997</v>
      </c>
      <c r="E1348">
        <v>0.51488970000000001</v>
      </c>
      <c r="F1348" t="s">
        <v>47</v>
      </c>
      <c r="G1348">
        <v>-158.19499999999999</v>
      </c>
      <c r="H1348">
        <v>0.95251560000000002</v>
      </c>
      <c r="I1348">
        <v>359.18869999999998</v>
      </c>
      <c r="J1348">
        <v>-287.04969999999997</v>
      </c>
      <c r="K1348">
        <v>1.05967099999999</v>
      </c>
      <c r="L1348">
        <v>367.21690000000001</v>
      </c>
      <c r="M1348">
        <v>0.99997259999999999</v>
      </c>
      <c r="N1348">
        <v>0</v>
      </c>
      <c r="O1348">
        <v>-1.1571839999999999E-3</v>
      </c>
      <c r="P1348">
        <v>0.99884850000000003</v>
      </c>
      <c r="Q1348">
        <v>4.2898390000000002E-2</v>
      </c>
      <c r="R1348">
        <v>-2.14811E-2</v>
      </c>
      <c r="S1348">
        <v>2.9995419999999999</v>
      </c>
      <c r="T1348">
        <v>-2.4900439999999999E-3</v>
      </c>
      <c r="U1348">
        <v>-0.1867065</v>
      </c>
      <c r="V1348">
        <v>2.0324129999999999E-2</v>
      </c>
      <c r="W1348">
        <v>5.0194450000000002E-2</v>
      </c>
      <c r="X1348">
        <v>0.99853270000000005</v>
      </c>
      <c r="Y1348">
        <v>6.0969740000000001E-2</v>
      </c>
      <c r="Z1348" s="1">
        <v>-2.432256E-5</v>
      </c>
      <c r="AA1348">
        <v>0.99813960000000002</v>
      </c>
      <c r="AB1348">
        <v>24</v>
      </c>
      <c r="AC1348">
        <v>128.85469999999901</v>
      </c>
      <c r="AD1348">
        <v>-0.107155399999999</v>
      </c>
      <c r="AE1348">
        <v>-8.0282000000000195</v>
      </c>
      <c r="AF1348">
        <v>7.8790766137640897</v>
      </c>
      <c r="AG1348">
        <v>-0.107155399999999</v>
      </c>
      <c r="AH1348">
        <v>128.863815303244</v>
      </c>
      <c r="AI1348">
        <v>90.047554906703098</v>
      </c>
      <c r="AJ1348">
        <v>86.501139296951095</v>
      </c>
      <c r="AK1348">
        <v>129.104508926195</v>
      </c>
      <c r="AL1348">
        <v>87.122860998692801</v>
      </c>
      <c r="AM1348">
        <v>88.833962972498199</v>
      </c>
      <c r="AN1348">
        <v>1.00000005302017</v>
      </c>
    </row>
    <row r="1349" spans="1:40" x14ac:dyDescent="0.25">
      <c r="A1349" t="str">
        <f>"20190312150655959"</f>
        <v>20190312150655959</v>
      </c>
      <c r="B1349" t="str">
        <f>"1552374415951797"</f>
        <v>1552374415951797</v>
      </c>
      <c r="C1349" t="s">
        <v>40</v>
      </c>
      <c r="D1349">
        <v>4.5963310000000002</v>
      </c>
      <c r="E1349">
        <v>0.51491220000000004</v>
      </c>
      <c r="F1349" t="s">
        <v>47</v>
      </c>
      <c r="G1349">
        <v>-158.19499999999999</v>
      </c>
      <c r="H1349">
        <v>0.95380969999999998</v>
      </c>
      <c r="I1349">
        <v>359.2226</v>
      </c>
      <c r="J1349">
        <v>-286.92020000000002</v>
      </c>
      <c r="K1349">
        <v>1.0596719999999999</v>
      </c>
      <c r="L1349">
        <v>367.2167</v>
      </c>
      <c r="M1349">
        <v>0.99997290000000005</v>
      </c>
      <c r="N1349">
        <v>0</v>
      </c>
      <c r="O1349">
        <v>-1.1374079999999999E-3</v>
      </c>
      <c r="P1349">
        <v>0.99884640000000002</v>
      </c>
      <c r="Q1349">
        <v>4.3132440000000001E-2</v>
      </c>
      <c r="R1349">
        <v>-2.1111729999999999E-2</v>
      </c>
      <c r="S1349">
        <v>2.9995729999999998</v>
      </c>
      <c r="T1349">
        <v>-2.4622680000000001E-3</v>
      </c>
      <c r="U1349">
        <v>-0.18609619999999999</v>
      </c>
      <c r="V1349">
        <v>1.997442E-2</v>
      </c>
      <c r="W1349">
        <v>5.039971E-2</v>
      </c>
      <c r="X1349">
        <v>0.99852940000000001</v>
      </c>
      <c r="Y1349">
        <v>6.0786529999999998E-2</v>
      </c>
      <c r="Z1349" s="1">
        <v>-2.3992250000000001E-5</v>
      </c>
      <c r="AA1349">
        <v>0.9981508</v>
      </c>
      <c r="AB1349">
        <v>24</v>
      </c>
      <c r="AC1349">
        <v>128.7252</v>
      </c>
      <c r="AD1349">
        <v>-0.10586229999999899</v>
      </c>
      <c r="AE1349">
        <v>-7.9941000000000004</v>
      </c>
      <c r="AF1349">
        <v>7.8476725960976204</v>
      </c>
      <c r="AG1349">
        <v>-0.10586229999999899</v>
      </c>
      <c r="AH1349">
        <v>128.73412279207</v>
      </c>
      <c r="AI1349">
        <v>90.047028889524697</v>
      </c>
      <c r="AJ1349">
        <v>86.511548209579104</v>
      </c>
      <c r="AK1349">
        <v>128.97314271989299</v>
      </c>
      <c r="AL1349">
        <v>87.111085512615205</v>
      </c>
      <c r="AM1349">
        <v>88.854017368975093</v>
      </c>
      <c r="AN1349">
        <v>1.00000003544338</v>
      </c>
    </row>
    <row r="1350" spans="1:40" x14ac:dyDescent="0.25">
      <c r="A1350" t="str">
        <f>"20190312150655971"</f>
        <v>20190312150655971</v>
      </c>
      <c r="B1350" t="str">
        <f>"1552374415961558"</f>
        <v>1552374415961558</v>
      </c>
      <c r="C1350" t="s">
        <v>40</v>
      </c>
      <c r="D1350">
        <v>4.2396200000000004</v>
      </c>
      <c r="E1350">
        <v>0.51491480000000001</v>
      </c>
      <c r="F1350" t="s">
        <v>47</v>
      </c>
      <c r="G1350">
        <v>-158.19499999999999</v>
      </c>
      <c r="H1350">
        <v>1.055998</v>
      </c>
      <c r="I1350">
        <v>359.28030000000001</v>
      </c>
      <c r="J1350">
        <v>-286.79640000000001</v>
      </c>
      <c r="K1350">
        <v>1.0596699999999999</v>
      </c>
      <c r="L1350">
        <v>367.21660000000003</v>
      </c>
      <c r="M1350">
        <v>0.99997309999999995</v>
      </c>
      <c r="N1350">
        <v>0</v>
      </c>
      <c r="O1350">
        <v>-1.118122E-3</v>
      </c>
      <c r="P1350">
        <v>0.99884689999999998</v>
      </c>
      <c r="Q1350">
        <v>4.3220160000000001E-2</v>
      </c>
      <c r="R1350">
        <v>-2.0904160000000001E-2</v>
      </c>
      <c r="S1350">
        <v>2.9995729999999998</v>
      </c>
      <c r="T1350" s="1">
        <v>-8.3565709999999999E-5</v>
      </c>
      <c r="U1350">
        <v>-0.1849365</v>
      </c>
      <c r="V1350">
        <v>1.9786290000000002E-2</v>
      </c>
      <c r="W1350">
        <v>5.0462090000000001E-2</v>
      </c>
      <c r="X1350">
        <v>0.99853000000000003</v>
      </c>
      <c r="Y1350">
        <v>6.0421370000000002E-2</v>
      </c>
      <c r="Z1350" s="1">
        <v>-8.097264E-7</v>
      </c>
      <c r="AA1350">
        <v>0.99817290000000003</v>
      </c>
      <c r="AB1350">
        <v>24</v>
      </c>
      <c r="AC1350">
        <v>128.60140000000001</v>
      </c>
      <c r="AD1350">
        <v>-3.67200000000012E-3</v>
      </c>
      <c r="AE1350">
        <v>-7.9363000000000099</v>
      </c>
      <c r="AF1350">
        <v>7.79249919965046</v>
      </c>
      <c r="AG1350">
        <v>-3.67200000000012E-3</v>
      </c>
      <c r="AH1350">
        <v>128.610193487554</v>
      </c>
      <c r="AI1350">
        <v>90.001632879706705</v>
      </c>
      <c r="AJ1350">
        <v>86.532684216419895</v>
      </c>
      <c r="AK1350">
        <v>128.846051263383</v>
      </c>
      <c r="AL1350">
        <v>87.107506862556704</v>
      </c>
      <c r="AM1350">
        <v>88.864808703561593</v>
      </c>
      <c r="AN1350">
        <v>1.0000000403495599</v>
      </c>
    </row>
    <row r="1351" spans="1:40" x14ac:dyDescent="0.25">
      <c r="A1351" t="str">
        <f>"20190312150655983"</f>
        <v>20190312150655983</v>
      </c>
      <c r="B1351" t="str">
        <f>"1552374415971824"</f>
        <v>1552374415971824</v>
      </c>
      <c r="C1351" t="s">
        <v>40</v>
      </c>
      <c r="D1351">
        <v>4.2453250000000002</v>
      </c>
      <c r="E1351">
        <v>0.5148935</v>
      </c>
      <c r="F1351" t="s">
        <v>47</v>
      </c>
      <c r="G1351">
        <v>-158.19499999999999</v>
      </c>
      <c r="H1351">
        <v>1.113011</v>
      </c>
      <c r="I1351">
        <v>359.31130000000002</v>
      </c>
      <c r="J1351">
        <v>-286.66340000000002</v>
      </c>
      <c r="K1351">
        <v>1.05967099999999</v>
      </c>
      <c r="L1351">
        <v>367.2165</v>
      </c>
      <c r="M1351">
        <v>0.99997340000000001</v>
      </c>
      <c r="N1351">
        <v>0</v>
      </c>
      <c r="O1351">
        <v>-1.0974050000000001E-3</v>
      </c>
      <c r="P1351">
        <v>0.99885570000000001</v>
      </c>
      <c r="Q1351">
        <v>4.3110250000000003E-2</v>
      </c>
      <c r="R1351">
        <v>-2.0711460000000001E-2</v>
      </c>
      <c r="S1351">
        <v>2.9995419999999999</v>
      </c>
      <c r="T1351">
        <v>1.246214E-3</v>
      </c>
      <c r="U1351">
        <v>-0.1843872</v>
      </c>
      <c r="V1351">
        <v>1.9614070000000001E-2</v>
      </c>
      <c r="W1351">
        <v>5.0326360000000001E-2</v>
      </c>
      <c r="X1351">
        <v>0.99854019999999999</v>
      </c>
      <c r="Y1351">
        <v>6.0260559999999998E-2</v>
      </c>
      <c r="Z1351" s="1">
        <v>1.205085E-5</v>
      </c>
      <c r="AA1351">
        <v>0.99818269999999998</v>
      </c>
      <c r="AB1351">
        <v>24</v>
      </c>
      <c r="AC1351">
        <v>128.4684</v>
      </c>
      <c r="AD1351">
        <v>5.3340000000000103E-2</v>
      </c>
      <c r="AE1351">
        <v>-7.9051999999999696</v>
      </c>
      <c r="AF1351">
        <v>7.7642083763962297</v>
      </c>
      <c r="AG1351">
        <v>5.3340000000000103E-2</v>
      </c>
      <c r="AH1351">
        <v>128.476976005734</v>
      </c>
      <c r="AI1351">
        <v>89.976255736009804</v>
      </c>
      <c r="AJ1351">
        <v>86.541668289803198</v>
      </c>
      <c r="AK1351">
        <v>128.71137921895499</v>
      </c>
      <c r="AL1351">
        <v>87.115293374327905</v>
      </c>
      <c r="AM1351">
        <v>88.8746983562704</v>
      </c>
      <c r="AN1351">
        <v>0.99999999263442696</v>
      </c>
    </row>
    <row r="1352" spans="1:40" x14ac:dyDescent="0.25">
      <c r="A1352" t="str">
        <f>"20190312150655997"</f>
        <v>20190312150655997</v>
      </c>
      <c r="B1352" t="str">
        <f>"1552374415991345"</f>
        <v>1552374415991345</v>
      </c>
      <c r="C1352" t="s">
        <v>40</v>
      </c>
      <c r="D1352">
        <v>4.3029019999999996</v>
      </c>
      <c r="E1352">
        <v>0.51484269999999999</v>
      </c>
      <c r="F1352" t="s">
        <v>47</v>
      </c>
      <c r="G1352">
        <v>-158.19499999999999</v>
      </c>
      <c r="H1352">
        <v>1.1148530000000001</v>
      </c>
      <c r="I1352">
        <v>359.3494</v>
      </c>
      <c r="J1352">
        <v>-286.52980000000002</v>
      </c>
      <c r="K1352">
        <v>1.05967099999999</v>
      </c>
      <c r="L1352">
        <v>367.21629999999999</v>
      </c>
      <c r="M1352">
        <v>0.99997349999999996</v>
      </c>
      <c r="N1352">
        <v>0</v>
      </c>
      <c r="O1352">
        <v>-1.0765799999999999E-3</v>
      </c>
      <c r="P1352">
        <v>0.99885049999999997</v>
      </c>
      <c r="Q1352">
        <v>4.3352389999999998E-2</v>
      </c>
      <c r="R1352">
        <v>-2.0461099999999999E-2</v>
      </c>
      <c r="S1352">
        <v>2.9995419999999999</v>
      </c>
      <c r="T1352">
        <v>1.290441E-3</v>
      </c>
      <c r="U1352">
        <v>-0.1836853</v>
      </c>
      <c r="V1352">
        <v>1.9384499999999999E-2</v>
      </c>
      <c r="W1352">
        <v>5.0545899999999998E-2</v>
      </c>
      <c r="X1352">
        <v>0.99853360000000002</v>
      </c>
      <c r="Y1352">
        <v>6.0048650000000002E-2</v>
      </c>
      <c r="Z1352" s="1">
        <v>1.244202E-5</v>
      </c>
      <c r="AA1352">
        <v>0.99819550000000001</v>
      </c>
      <c r="AB1352">
        <v>24</v>
      </c>
      <c r="AC1352">
        <v>128.3348</v>
      </c>
      <c r="AD1352">
        <v>5.5182000000000203E-2</v>
      </c>
      <c r="AE1352">
        <v>-7.8668999999999798</v>
      </c>
      <c r="AF1352">
        <v>7.72872775688798</v>
      </c>
      <c r="AG1352">
        <v>5.5182000000000203E-2</v>
      </c>
      <c r="AH1352">
        <v>128.34317155113999</v>
      </c>
      <c r="AI1352">
        <v>89.975409846116904</v>
      </c>
      <c r="AJ1352">
        <v>86.553853553727194</v>
      </c>
      <c r="AK1352">
        <v>128.57568184380099</v>
      </c>
      <c r="AL1352">
        <v>87.102698646562402</v>
      </c>
      <c r="AM1352">
        <v>88.887858607428299</v>
      </c>
      <c r="AN1352">
        <v>0.99999999858800903</v>
      </c>
    </row>
    <row r="1353" spans="1:40" x14ac:dyDescent="0.25">
      <c r="A1353" t="str">
        <f>"20190312150656009"</f>
        <v>20190312150656009</v>
      </c>
      <c r="B1353" t="str">
        <f>"1552374416002081"</f>
        <v>1552374416002081</v>
      </c>
      <c r="C1353" t="s">
        <v>40</v>
      </c>
      <c r="D1353">
        <v>4.290934</v>
      </c>
      <c r="E1353">
        <v>0.51471259999999996</v>
      </c>
      <c r="F1353" t="s">
        <v>47</v>
      </c>
      <c r="G1353">
        <v>-158.19499999999999</v>
      </c>
      <c r="H1353">
        <v>1.1853959999999999</v>
      </c>
      <c r="I1353">
        <v>359.41629999999998</v>
      </c>
      <c r="J1353">
        <v>-286.38760000000002</v>
      </c>
      <c r="K1353">
        <v>1.059669</v>
      </c>
      <c r="L1353">
        <v>367.21620000000001</v>
      </c>
      <c r="M1353">
        <v>0.99997369999999997</v>
      </c>
      <c r="N1353">
        <v>0</v>
      </c>
      <c r="O1353">
        <v>-1.0542069999999999E-3</v>
      </c>
      <c r="P1353">
        <v>0.99884490000000004</v>
      </c>
      <c r="Q1353">
        <v>4.359499E-2</v>
      </c>
      <c r="R1353">
        <v>-2.0219460000000002E-2</v>
      </c>
      <c r="S1353">
        <v>2.999603</v>
      </c>
      <c r="T1353">
        <v>2.9406549999999999E-3</v>
      </c>
      <c r="U1353">
        <v>-0.182312</v>
      </c>
      <c r="V1353">
        <v>1.9164960000000002E-2</v>
      </c>
      <c r="W1353">
        <v>5.0765919999999999E-2</v>
      </c>
      <c r="X1353">
        <v>0.99852669999999999</v>
      </c>
      <c r="Y1353">
        <v>5.961441E-2</v>
      </c>
      <c r="Z1353" s="1">
        <v>2.8161930000000001E-5</v>
      </c>
      <c r="AA1353">
        <v>0.99822149999999998</v>
      </c>
      <c r="AB1353">
        <v>24</v>
      </c>
      <c r="AC1353">
        <v>128.1926</v>
      </c>
      <c r="AD1353">
        <v>0.12572699999999901</v>
      </c>
      <c r="AE1353">
        <v>-7.7999000000000303</v>
      </c>
      <c r="AF1353">
        <v>7.6647433045296403</v>
      </c>
      <c r="AG1353">
        <v>0.12572699999999901</v>
      </c>
      <c r="AH1353">
        <v>128.200628821913</v>
      </c>
      <c r="AI1353">
        <v>89.943909916959001</v>
      </c>
      <c r="AJ1353">
        <v>86.578524534801105</v>
      </c>
      <c r="AK1353">
        <v>128.42961234675099</v>
      </c>
      <c r="AL1353">
        <v>87.0900762935578</v>
      </c>
      <c r="AM1353">
        <v>88.900443507057503</v>
      </c>
      <c r="AN1353">
        <v>1.0000000224690599</v>
      </c>
    </row>
    <row r="1354" spans="1:40" x14ac:dyDescent="0.25">
      <c r="A1354" t="str">
        <f>"20190312150656020"</f>
        <v>20190312150656020</v>
      </c>
      <c r="B1354" t="str">
        <f>"1552374416011840"</f>
        <v>1552374416011840</v>
      </c>
      <c r="C1354" t="s">
        <v>40</v>
      </c>
      <c r="D1354">
        <v>4.2319909999999998</v>
      </c>
      <c r="E1354">
        <v>0.51472499999999999</v>
      </c>
      <c r="F1354" t="s">
        <v>47</v>
      </c>
      <c r="G1354">
        <v>-158.19499999999999</v>
      </c>
      <c r="H1354">
        <v>1.1547000000000001</v>
      </c>
      <c r="I1354">
        <v>359.48899999999998</v>
      </c>
      <c r="J1354">
        <v>-286.2604</v>
      </c>
      <c r="K1354">
        <v>1.059669</v>
      </c>
      <c r="L1354">
        <v>367.21609999999998</v>
      </c>
      <c r="M1354">
        <v>0.99997380000000002</v>
      </c>
      <c r="N1354">
        <v>0</v>
      </c>
      <c r="O1354">
        <v>-1.034234E-3</v>
      </c>
      <c r="P1354">
        <v>0.99885000000000002</v>
      </c>
      <c r="Q1354">
        <v>4.353725E-2</v>
      </c>
      <c r="R1354">
        <v>-2.0074990000000001E-2</v>
      </c>
      <c r="S1354">
        <v>2.999695</v>
      </c>
      <c r="T1354">
        <v>2.2257570000000001E-3</v>
      </c>
      <c r="U1354">
        <v>-0.1808167</v>
      </c>
      <c r="V1354">
        <v>1.9040850000000002E-2</v>
      </c>
      <c r="W1354">
        <v>5.0690199999999998E-2</v>
      </c>
      <c r="X1354">
        <v>0.99853289999999995</v>
      </c>
      <c r="Y1354">
        <v>5.9136699999999903E-2</v>
      </c>
      <c r="Z1354" s="1">
        <v>2.1152940000000001E-5</v>
      </c>
      <c r="AA1354">
        <v>0.99824990000000002</v>
      </c>
      <c r="AB1354">
        <v>24</v>
      </c>
      <c r="AC1354">
        <v>128.06540000000001</v>
      </c>
      <c r="AD1354">
        <v>9.5031000000000004E-2</v>
      </c>
      <c r="AE1354">
        <v>-7.7270999999999503</v>
      </c>
      <c r="AF1354">
        <v>7.5946387101125401</v>
      </c>
      <c r="AG1354">
        <v>9.5031000000000004E-2</v>
      </c>
      <c r="AH1354">
        <v>128.073253072863</v>
      </c>
      <c r="AI1354">
        <v>89.957560801240405</v>
      </c>
      <c r="AJ1354">
        <v>86.606381378619801</v>
      </c>
      <c r="AK1354">
        <v>128.29826858026499</v>
      </c>
      <c r="AL1354">
        <v>87.094420261433598</v>
      </c>
      <c r="AM1354">
        <v>88.907569154233101</v>
      </c>
      <c r="AN1354">
        <v>1.0000000013635799</v>
      </c>
    </row>
    <row r="1355" spans="1:40" x14ac:dyDescent="0.25">
      <c r="A1355" t="str">
        <f>"20190312150656031"</f>
        <v>20190312150656031</v>
      </c>
      <c r="B1355" t="str">
        <f>"1552374416021601"</f>
        <v>1552374416021601</v>
      </c>
      <c r="C1355" t="s">
        <v>40</v>
      </c>
      <c r="D1355">
        <v>4.246677</v>
      </c>
      <c r="E1355">
        <v>0.51470640000000001</v>
      </c>
      <c r="F1355" t="s">
        <v>47</v>
      </c>
      <c r="G1355">
        <v>-158.19499999999999</v>
      </c>
      <c r="H1355">
        <v>1.173287</v>
      </c>
      <c r="I1355">
        <v>359.524</v>
      </c>
      <c r="J1355">
        <v>-286.14920000000001</v>
      </c>
      <c r="K1355">
        <v>1.0596680000000001</v>
      </c>
      <c r="L1355">
        <v>367.21600000000001</v>
      </c>
      <c r="M1355">
        <v>0.99997409999999998</v>
      </c>
      <c r="N1355">
        <v>0</v>
      </c>
      <c r="O1355">
        <v>-1.0167830000000001E-3</v>
      </c>
      <c r="P1355">
        <v>0.99883809999999995</v>
      </c>
      <c r="Q1355">
        <v>4.3896570000000003E-2</v>
      </c>
      <c r="R1355">
        <v>-1.989047E-2</v>
      </c>
      <c r="S1355">
        <v>2.9997250000000002</v>
      </c>
      <c r="T1355">
        <v>2.663374E-3</v>
      </c>
      <c r="U1355">
        <v>-0.1801758</v>
      </c>
      <c r="V1355">
        <v>1.8873649999999999E-2</v>
      </c>
      <c r="W1355">
        <v>5.1036419999999999E-2</v>
      </c>
      <c r="X1355">
        <v>0.99851849999999998</v>
      </c>
      <c r="Y1355">
        <v>5.8940999999999903E-2</v>
      </c>
      <c r="Z1355" s="1">
        <v>2.5240510000000001E-5</v>
      </c>
      <c r="AA1355">
        <v>0.99826150000000002</v>
      </c>
      <c r="AB1355">
        <v>24</v>
      </c>
      <c r="AC1355">
        <v>127.9542</v>
      </c>
      <c r="AD1355">
        <v>0.113619</v>
      </c>
      <c r="AE1355">
        <v>-7.6920000000000002</v>
      </c>
      <c r="AF1355">
        <v>7.5618851248630099</v>
      </c>
      <c r="AG1355">
        <v>0.113619</v>
      </c>
      <c r="AH1355">
        <v>127.96185461485901</v>
      </c>
      <c r="AI1355">
        <v>89.949214941763401</v>
      </c>
      <c r="AJ1355">
        <v>86.618048324071196</v>
      </c>
      <c r="AK1355">
        <v>128.185144429427</v>
      </c>
      <c r="AL1355">
        <v>87.074557786828905</v>
      </c>
      <c r="AM1355">
        <v>88.917144014747393</v>
      </c>
      <c r="AN1355">
        <v>1.00000006283649</v>
      </c>
    </row>
    <row r="1356" spans="1:40" x14ac:dyDescent="0.25">
      <c r="A1356" t="str">
        <f>"20190312150656043"</f>
        <v>20190312150656043</v>
      </c>
      <c r="B1356" t="str">
        <f>"1552374416031361"</f>
        <v>1552374416031361</v>
      </c>
      <c r="C1356" t="s">
        <v>40</v>
      </c>
      <c r="D1356">
        <v>4.3823860000000003</v>
      </c>
      <c r="E1356">
        <v>0.51471619999999996</v>
      </c>
      <c r="F1356" t="s">
        <v>47</v>
      </c>
      <c r="G1356">
        <v>-158.19499999999999</v>
      </c>
      <c r="H1356">
        <v>1.2504949999999999</v>
      </c>
      <c r="I1356">
        <v>359.54480000000001</v>
      </c>
      <c r="J1356">
        <v>-286.02390000000003</v>
      </c>
      <c r="K1356">
        <v>1.0596669999999999</v>
      </c>
      <c r="L1356">
        <v>367.21589999999998</v>
      </c>
      <c r="M1356">
        <v>0.99997409999999998</v>
      </c>
      <c r="N1356">
        <v>0</v>
      </c>
      <c r="O1356">
        <v>-9.9742439999999993E-4</v>
      </c>
      <c r="P1356">
        <v>0.99883739999999999</v>
      </c>
      <c r="Q1356">
        <v>4.398494E-2</v>
      </c>
      <c r="R1356">
        <v>-1.973594E-2</v>
      </c>
      <c r="S1356">
        <v>2.999695</v>
      </c>
      <c r="T1356">
        <v>4.4757130000000001E-3</v>
      </c>
      <c r="U1356">
        <v>-0.1798401</v>
      </c>
      <c r="V1356">
        <v>1.8738319999999999E-2</v>
      </c>
      <c r="W1356">
        <v>5.1111660000000003E-2</v>
      </c>
      <c r="X1356">
        <v>0.99851719999999999</v>
      </c>
      <c r="Y1356">
        <v>5.884959E-2</v>
      </c>
      <c r="Z1356" s="1">
        <v>4.2377140000000001E-5</v>
      </c>
      <c r="AA1356">
        <v>0.99826689999999996</v>
      </c>
      <c r="AB1356">
        <v>24</v>
      </c>
      <c r="AC1356">
        <v>127.8289</v>
      </c>
      <c r="AD1356">
        <v>0.190828</v>
      </c>
      <c r="AE1356">
        <v>-7.6710999999999601</v>
      </c>
      <c r="AF1356">
        <v>7.5435765301462903</v>
      </c>
      <c r="AG1356">
        <v>0.190828</v>
      </c>
      <c r="AH1356">
        <v>127.836204078286</v>
      </c>
      <c r="AI1356">
        <v>89.914620084934796</v>
      </c>
      <c r="AJ1356">
        <v>86.622909232106494</v>
      </c>
      <c r="AK1356">
        <v>128.05872494811501</v>
      </c>
      <c r="AL1356">
        <v>87.070241218154294</v>
      </c>
      <c r="AM1356">
        <v>88.924905204053999</v>
      </c>
      <c r="AN1356">
        <v>1.0000000625601</v>
      </c>
    </row>
    <row r="1357" spans="1:40" x14ac:dyDescent="0.25">
      <c r="A1357" t="str">
        <f>"20190312150656055"</f>
        <v>20190312150656055</v>
      </c>
      <c r="B1357" t="str">
        <f>"1552374416051858"</f>
        <v>1552374416051858</v>
      </c>
      <c r="C1357" t="s">
        <v>40</v>
      </c>
      <c r="D1357">
        <v>4.2196040000000004</v>
      </c>
      <c r="E1357">
        <v>0.51476390000000005</v>
      </c>
      <c r="F1357" t="s">
        <v>47</v>
      </c>
      <c r="G1357">
        <v>-158.19499999999999</v>
      </c>
      <c r="H1357">
        <v>1.306853</v>
      </c>
      <c r="I1357">
        <v>359.58350000000002</v>
      </c>
      <c r="J1357">
        <v>-285.89339999999999</v>
      </c>
      <c r="K1357">
        <v>1.059669</v>
      </c>
      <c r="L1357">
        <v>367.2158</v>
      </c>
      <c r="M1357">
        <v>0.99997420000000004</v>
      </c>
      <c r="N1357">
        <v>0</v>
      </c>
      <c r="O1357">
        <v>-9.7724310000000007E-4</v>
      </c>
      <c r="P1357">
        <v>0.99882570000000004</v>
      </c>
      <c r="Q1357">
        <v>4.43215E-2</v>
      </c>
      <c r="R1357">
        <v>-1.9563850000000001E-2</v>
      </c>
      <c r="S1357">
        <v>2.999695</v>
      </c>
      <c r="T1357">
        <v>5.8026309999999999E-3</v>
      </c>
      <c r="U1357">
        <v>-0.17910770000000001</v>
      </c>
      <c r="V1357">
        <v>1.8586680000000001E-2</v>
      </c>
      <c r="W1357">
        <v>5.1438820000000003E-2</v>
      </c>
      <c r="X1357">
        <v>0.99850309999999998</v>
      </c>
      <c r="Y1357">
        <v>5.8626820000000003E-2</v>
      </c>
      <c r="Z1357" s="1">
        <v>5.4764839999999997E-5</v>
      </c>
      <c r="AA1357">
        <v>0.99827999999999995</v>
      </c>
      <c r="AB1357">
        <v>24</v>
      </c>
      <c r="AC1357">
        <v>127.69840000000001</v>
      </c>
      <c r="AD1357">
        <v>0.24718399999999999</v>
      </c>
      <c r="AE1357">
        <v>-7.6322999999999803</v>
      </c>
      <c r="AF1357">
        <v>7.5074727854885897</v>
      </c>
      <c r="AG1357">
        <v>0.24718399999999999</v>
      </c>
      <c r="AH1357">
        <v>127.705321028725</v>
      </c>
      <c r="AI1357">
        <v>89.889290651573504</v>
      </c>
      <c r="AJ1357">
        <v>86.635598243371007</v>
      </c>
      <c r="AK1357">
        <v>127.926042175174</v>
      </c>
      <c r="AL1357">
        <v>87.051471246998005</v>
      </c>
      <c r="AM1357">
        <v>88.933588344487404</v>
      </c>
      <c r="AN1357">
        <v>0.99999992879300903</v>
      </c>
    </row>
    <row r="1358" spans="1:40" x14ac:dyDescent="0.25">
      <c r="A1358" t="str">
        <f>"20190312150656069"</f>
        <v>20190312150656069</v>
      </c>
      <c r="B1358" t="str">
        <f>"1552374416061626"</f>
        <v>1552374416061626</v>
      </c>
      <c r="C1358" t="s">
        <v>40</v>
      </c>
      <c r="D1358">
        <v>4.2291119999999998</v>
      </c>
      <c r="E1358">
        <v>0.51478579999999996</v>
      </c>
      <c r="F1358" t="s">
        <v>47</v>
      </c>
      <c r="G1358">
        <v>-158.19499999999999</v>
      </c>
      <c r="H1358">
        <v>1.437708</v>
      </c>
      <c r="I1358">
        <v>359.58580000000001</v>
      </c>
      <c r="J1358">
        <v>-285.72829999999999</v>
      </c>
      <c r="K1358">
        <v>1.0596719999999999</v>
      </c>
      <c r="L1358">
        <v>367.21559999999999</v>
      </c>
      <c r="M1358">
        <v>0.99997429999999998</v>
      </c>
      <c r="N1358">
        <v>0</v>
      </c>
      <c r="O1358">
        <v>-9.5181919999999998E-4</v>
      </c>
      <c r="P1358">
        <v>0.99879180000000001</v>
      </c>
      <c r="Q1358">
        <v>4.5351469999999998E-2</v>
      </c>
      <c r="R1358">
        <v>-1.8929080000000001E-2</v>
      </c>
      <c r="S1358">
        <v>2.9996339999999999</v>
      </c>
      <c r="T1358">
        <v>8.8821649999999992E-3</v>
      </c>
      <c r="U1358">
        <v>-0.17922969999999999</v>
      </c>
      <c r="V1358">
        <v>1.7977050000000001E-2</v>
      </c>
      <c r="W1358">
        <v>5.2459779999999998E-2</v>
      </c>
      <c r="X1358">
        <v>0.99846120000000005</v>
      </c>
      <c r="Y1358">
        <v>5.8693740000000001E-2</v>
      </c>
      <c r="Z1358" s="1">
        <v>8.4004969999999896E-5</v>
      </c>
      <c r="AA1358">
        <v>0.9982761</v>
      </c>
      <c r="AB1358">
        <v>24</v>
      </c>
      <c r="AC1358">
        <v>127.5333</v>
      </c>
      <c r="AD1358">
        <v>0.37803599999999998</v>
      </c>
      <c r="AE1358">
        <v>-7.6297999999999799</v>
      </c>
      <c r="AF1358">
        <v>7.5083390980956501</v>
      </c>
      <c r="AG1358">
        <v>0.37803599999999998</v>
      </c>
      <c r="AH1358">
        <v>127.53938796401999</v>
      </c>
      <c r="AI1358">
        <v>89.830465177672295</v>
      </c>
      <c r="AJ1358">
        <v>86.630843278969095</v>
      </c>
      <c r="AK1358">
        <v>127.760766863174</v>
      </c>
      <c r="AL1358">
        <v>86.992895617979798</v>
      </c>
      <c r="AM1358">
        <v>88.968514935815406</v>
      </c>
      <c r="AN1358">
        <v>0.99999998537489498</v>
      </c>
    </row>
    <row r="1359" spans="1:40" x14ac:dyDescent="0.25">
      <c r="A1359" t="str">
        <f>"20190312150656080"</f>
        <v>20190312150656080</v>
      </c>
      <c r="B1359" t="str">
        <f>"1552374416071882"</f>
        <v>1552374416071882</v>
      </c>
      <c r="C1359" t="s">
        <v>40</v>
      </c>
      <c r="D1359">
        <v>4.3311710000000003</v>
      </c>
      <c r="E1359">
        <v>0.51485599999999998</v>
      </c>
      <c r="F1359" t="s">
        <v>47</v>
      </c>
      <c r="G1359">
        <v>-158.19499999999999</v>
      </c>
      <c r="H1359">
        <v>1.627926</v>
      </c>
      <c r="I1359">
        <v>359.65910000000002</v>
      </c>
      <c r="J1359">
        <v>-285.60770000000002</v>
      </c>
      <c r="K1359">
        <v>1.059674</v>
      </c>
      <c r="L1359">
        <v>367.21559999999999</v>
      </c>
      <c r="M1359">
        <v>0.99997429999999998</v>
      </c>
      <c r="N1359">
        <v>0</v>
      </c>
      <c r="O1359">
        <v>-9.3309130000000004E-4</v>
      </c>
      <c r="P1359">
        <v>0.99876699999999996</v>
      </c>
      <c r="Q1359">
        <v>4.5902800000000001E-2</v>
      </c>
      <c r="R1359">
        <v>-1.8907130000000001E-2</v>
      </c>
      <c r="S1359">
        <v>2.9996640000000001</v>
      </c>
      <c r="T1359">
        <v>1.3367769999999999E-2</v>
      </c>
      <c r="U1359">
        <v>-0.17773439999999999</v>
      </c>
      <c r="V1359">
        <v>1.7973929999999999E-2</v>
      </c>
      <c r="W1359">
        <v>5.3008329999999999E-2</v>
      </c>
      <c r="X1359">
        <v>0.99843230000000005</v>
      </c>
      <c r="Y1359">
        <v>5.8215620000000003E-2</v>
      </c>
      <c r="Z1359">
        <v>1.254478E-4</v>
      </c>
      <c r="AA1359">
        <v>0.99830399999999997</v>
      </c>
      <c r="AB1359">
        <v>24</v>
      </c>
      <c r="AC1359">
        <v>127.4127</v>
      </c>
      <c r="AD1359">
        <v>0.56825199999999998</v>
      </c>
      <c r="AE1359">
        <v>-7.5564999999999696</v>
      </c>
      <c r="AF1359">
        <v>7.4374586047281204</v>
      </c>
      <c r="AG1359">
        <v>0.56825199999999998</v>
      </c>
      <c r="AH1359">
        <v>127.41717004223899</v>
      </c>
      <c r="AI1359">
        <v>89.744909560694694</v>
      </c>
      <c r="AJ1359">
        <v>86.659382684445006</v>
      </c>
      <c r="AK1359">
        <v>127.63531612529999</v>
      </c>
      <c r="AL1359">
        <v>86.961422273808196</v>
      </c>
      <c r="AM1359">
        <v>88.968664071044998</v>
      </c>
      <c r="AN1359">
        <v>1.0000000014461601</v>
      </c>
    </row>
    <row r="1360" spans="1:40" x14ac:dyDescent="0.25">
      <c r="A1360" t="str">
        <f>"20190312150656092"</f>
        <v>20190312150656092</v>
      </c>
      <c r="B1360" t="str">
        <f>"1552374416081642"</f>
        <v>1552374416081642</v>
      </c>
      <c r="C1360" t="s">
        <v>40</v>
      </c>
      <c r="D1360">
        <v>4.2022849999999998</v>
      </c>
      <c r="E1360">
        <v>0.51486480000000001</v>
      </c>
      <c r="F1360" t="s">
        <v>47</v>
      </c>
      <c r="G1360">
        <v>-158.19499999999999</v>
      </c>
      <c r="H1360">
        <v>1.71692</v>
      </c>
      <c r="I1360">
        <v>359.66750000000002</v>
      </c>
      <c r="J1360">
        <v>-285.48860000000002</v>
      </c>
      <c r="K1360">
        <v>1.0596779999999999</v>
      </c>
      <c r="L1360">
        <v>367.21550000000002</v>
      </c>
      <c r="M1360">
        <v>0.99997429999999998</v>
      </c>
      <c r="N1360">
        <v>0</v>
      </c>
      <c r="O1360">
        <v>-9.1449140000000005E-4</v>
      </c>
      <c r="P1360">
        <v>0.99875879999999995</v>
      </c>
      <c r="Q1360">
        <v>4.6163460000000003E-2</v>
      </c>
      <c r="R1360">
        <v>-1.870755E-2</v>
      </c>
      <c r="S1360">
        <v>2.9996640000000001</v>
      </c>
      <c r="T1360">
        <v>1.547551E-2</v>
      </c>
      <c r="U1360">
        <v>-0.1777039</v>
      </c>
      <c r="V1360">
        <v>1.7792849999999999E-2</v>
      </c>
      <c r="W1360">
        <v>5.3267839999999997E-2</v>
      </c>
      <c r="X1360">
        <v>0.99842169999999997</v>
      </c>
      <c r="Y1360">
        <v>5.8223879999999999E-2</v>
      </c>
      <c r="Z1360">
        <v>1.453445E-4</v>
      </c>
      <c r="AA1360">
        <v>0.99830350000000001</v>
      </c>
      <c r="AB1360">
        <v>24</v>
      </c>
      <c r="AC1360">
        <v>127.2936</v>
      </c>
      <c r="AD1360">
        <v>0.65724199999999899</v>
      </c>
      <c r="AE1360">
        <v>-7.548</v>
      </c>
      <c r="AF1360">
        <v>7.4313875817487398</v>
      </c>
      <c r="AG1360">
        <v>0.65724199999999899</v>
      </c>
      <c r="AH1360">
        <v>127.29706785272499</v>
      </c>
      <c r="AI1360">
        <v>89.704684046246598</v>
      </c>
      <c r="AJ1360">
        <v>86.6589612771036</v>
      </c>
      <c r="AK1360">
        <v>127.515493067854</v>
      </c>
      <c r="AL1360">
        <v>86.946532312107607</v>
      </c>
      <c r="AM1360">
        <v>88.979041311813603</v>
      </c>
      <c r="AN1360">
        <v>0.99999996966013804</v>
      </c>
    </row>
    <row r="1361" spans="1:40" x14ac:dyDescent="0.25">
      <c r="A1361" t="str">
        <f>"20190312150656103"</f>
        <v>20190312150656103</v>
      </c>
      <c r="B1361" t="str">
        <f>"1552374416091402"</f>
        <v>1552374416091402</v>
      </c>
      <c r="C1361" t="s">
        <v>40</v>
      </c>
      <c r="D1361">
        <v>4.2404900000000003</v>
      </c>
      <c r="E1361">
        <v>0.51490089999999999</v>
      </c>
      <c r="F1361" t="s">
        <v>47</v>
      </c>
      <c r="G1361">
        <v>-158.19499999999999</v>
      </c>
      <c r="H1361">
        <v>1.7623660000000001</v>
      </c>
      <c r="I1361">
        <v>359.68869999999998</v>
      </c>
      <c r="J1361">
        <v>-285.36720000000003</v>
      </c>
      <c r="K1361">
        <v>1.0596779999999999</v>
      </c>
      <c r="L1361">
        <v>367.21539999999999</v>
      </c>
      <c r="M1361">
        <v>0.99997440000000004</v>
      </c>
      <c r="N1361">
        <v>0</v>
      </c>
      <c r="O1361">
        <v>-8.9589520000000003E-4</v>
      </c>
      <c r="P1361">
        <v>0.99875270000000005</v>
      </c>
      <c r="Q1361">
        <v>4.623215E-2</v>
      </c>
      <c r="R1361">
        <v>-1.8870120000000001E-2</v>
      </c>
      <c r="S1361">
        <v>2.9996339999999999</v>
      </c>
      <c r="T1361">
        <v>1.656067E-2</v>
      </c>
      <c r="U1361">
        <v>-0.1773682</v>
      </c>
      <c r="V1361">
        <v>1.7973889999999999E-2</v>
      </c>
      <c r="W1361">
        <v>5.3336880000000003E-2</v>
      </c>
      <c r="X1361">
        <v>0.99841480000000005</v>
      </c>
      <c r="Y1361">
        <v>5.8131599999999999E-2</v>
      </c>
      <c r="Z1361">
        <v>1.5538619999999999E-4</v>
      </c>
      <c r="AA1361">
        <v>0.99830890000000005</v>
      </c>
      <c r="AB1361">
        <v>24</v>
      </c>
      <c r="AC1361">
        <v>127.1722</v>
      </c>
      <c r="AD1361">
        <v>0.70268799999999898</v>
      </c>
      <c r="AE1361">
        <v>-7.5266999999999999</v>
      </c>
      <c r="AF1361">
        <v>7.41253562271008</v>
      </c>
      <c r="AG1361">
        <v>0.70268799999999898</v>
      </c>
      <c r="AH1361">
        <v>127.175023041427</v>
      </c>
      <c r="AI1361">
        <v>89.683959687515696</v>
      </c>
      <c r="AJ1361">
        <v>86.664226775699902</v>
      </c>
      <c r="AK1361">
        <v>127.39280176042401</v>
      </c>
      <c r="AL1361">
        <v>86.942571067276802</v>
      </c>
      <c r="AM1361">
        <v>88.968648292641404</v>
      </c>
      <c r="AN1361">
        <v>0.99999999817445295</v>
      </c>
    </row>
    <row r="1362" spans="1:40" x14ac:dyDescent="0.25">
      <c r="A1362" t="str">
        <f>"20190312150656114"</f>
        <v>20190312150656114</v>
      </c>
      <c r="B1362" t="str">
        <f>"1552374416111898"</f>
        <v>1552374416111898</v>
      </c>
      <c r="C1362" t="s">
        <v>40</v>
      </c>
      <c r="D1362">
        <v>4.195786</v>
      </c>
      <c r="E1362">
        <v>0.51490369999999996</v>
      </c>
      <c r="F1362" t="s">
        <v>47</v>
      </c>
      <c r="G1362">
        <v>-158.19499999999999</v>
      </c>
      <c r="H1362">
        <v>1.790084</v>
      </c>
      <c r="I1362">
        <v>359.65410000000003</v>
      </c>
      <c r="J1362">
        <v>-285.245</v>
      </c>
      <c r="K1362">
        <v>1.0596779999999999</v>
      </c>
      <c r="L1362">
        <v>367.21530000000001</v>
      </c>
      <c r="M1362">
        <v>0.99997440000000004</v>
      </c>
      <c r="N1362">
        <v>0</v>
      </c>
      <c r="O1362">
        <v>-8.7670969999999995E-4</v>
      </c>
      <c r="P1362">
        <v>0.99875440000000004</v>
      </c>
      <c r="Q1362">
        <v>4.6240660000000003E-2</v>
      </c>
      <c r="R1362">
        <v>-1.874986E-2</v>
      </c>
      <c r="S1362">
        <v>2.9995729999999998</v>
      </c>
      <c r="T1362">
        <v>1.7229910000000001E-2</v>
      </c>
      <c r="U1362">
        <v>-0.17834469999999999</v>
      </c>
      <c r="V1362">
        <v>1.7872840000000001E-2</v>
      </c>
      <c r="W1362">
        <v>5.3347360000000003E-2</v>
      </c>
      <c r="X1362">
        <v>0.99841610000000003</v>
      </c>
      <c r="Y1362">
        <v>5.847575E-2</v>
      </c>
      <c r="Z1362">
        <v>1.6276490000000001E-4</v>
      </c>
      <c r="AA1362">
        <v>0.99828879999999998</v>
      </c>
      <c r="AB1362">
        <v>24</v>
      </c>
      <c r="AC1362">
        <v>127.05</v>
      </c>
      <c r="AD1362">
        <v>0.730405999999999</v>
      </c>
      <c r="AE1362">
        <v>-7.5611999999999799</v>
      </c>
      <c r="AF1362">
        <v>7.4495629743404201</v>
      </c>
      <c r="AG1362">
        <v>0.730405999999999</v>
      </c>
      <c r="AH1362">
        <v>127.052395978153</v>
      </c>
      <c r="AI1362">
        <v>89.671183136484402</v>
      </c>
      <c r="AJ1362">
        <v>86.644373475703304</v>
      </c>
      <c r="AK1362">
        <v>127.272702514022</v>
      </c>
      <c r="AL1362">
        <v>86.941969891630293</v>
      </c>
      <c r="AM1362">
        <v>88.974446690465101</v>
      </c>
      <c r="AN1362">
        <v>1.0000000439839201</v>
      </c>
    </row>
    <row r="1363" spans="1:40" x14ac:dyDescent="0.25">
      <c r="A1363" t="str">
        <f>"20190312150656125"</f>
        <v>20190312150656125</v>
      </c>
      <c r="B1363" t="str">
        <f>"1552374416121658"</f>
        <v>1552374416121658</v>
      </c>
      <c r="C1363" t="s">
        <v>40</v>
      </c>
      <c r="D1363">
        <v>4.2136820000000004</v>
      </c>
      <c r="E1363">
        <v>0.51489319999999905</v>
      </c>
      <c r="F1363" t="s">
        <v>47</v>
      </c>
      <c r="G1363">
        <v>-158.19499999999999</v>
      </c>
      <c r="H1363">
        <v>1.8120449999999999</v>
      </c>
      <c r="I1363">
        <v>359.69229999999999</v>
      </c>
      <c r="J1363">
        <v>-285.11900000000003</v>
      </c>
      <c r="K1363">
        <v>1.0596730000000001</v>
      </c>
      <c r="L1363">
        <v>367.21519999999998</v>
      </c>
      <c r="M1363">
        <v>0.99997440000000004</v>
      </c>
      <c r="N1363">
        <v>0</v>
      </c>
      <c r="O1363">
        <v>-8.5681119999999895E-4</v>
      </c>
      <c r="P1363">
        <v>0.99875400000000003</v>
      </c>
      <c r="Q1363">
        <v>4.6286149999999998E-2</v>
      </c>
      <c r="R1363">
        <v>-1.8666350000000002E-2</v>
      </c>
      <c r="S1363">
        <v>2.9995419999999999</v>
      </c>
      <c r="T1363">
        <v>1.7764809999999999E-2</v>
      </c>
      <c r="U1363">
        <v>-0.177612299999999</v>
      </c>
      <c r="V1363">
        <v>1.7809180000000001E-2</v>
      </c>
      <c r="W1363">
        <v>5.3395440000000002E-2</v>
      </c>
      <c r="X1363">
        <v>0.99841460000000004</v>
      </c>
      <c r="Y1363">
        <v>5.8253249999999999E-2</v>
      </c>
      <c r="Z1363">
        <v>1.6728009999999999E-4</v>
      </c>
      <c r="AA1363">
        <v>0.99830180000000002</v>
      </c>
      <c r="AB1363">
        <v>24</v>
      </c>
      <c r="AC1363">
        <v>126.92400000000001</v>
      </c>
      <c r="AD1363">
        <v>0.75237200000000004</v>
      </c>
      <c r="AE1363">
        <v>-7.5228999999999902</v>
      </c>
      <c r="AF1363">
        <v>7.4138849920472403</v>
      </c>
      <c r="AG1363">
        <v>0.75237200000000004</v>
      </c>
      <c r="AH1363">
        <v>126.925954957768</v>
      </c>
      <c r="AI1363">
        <v>89.660952822035995</v>
      </c>
      <c r="AJ1363">
        <v>86.657088729936007</v>
      </c>
      <c r="AK1363">
        <v>127.144523264838</v>
      </c>
      <c r="AL1363">
        <v>86.939210972624295</v>
      </c>
      <c r="AM1363">
        <v>88.978097225036393</v>
      </c>
      <c r="AN1363">
        <v>0.999999976699112</v>
      </c>
    </row>
    <row r="1364" spans="1:40" x14ac:dyDescent="0.25">
      <c r="A1364" t="str">
        <f>"20190312150656137"</f>
        <v>20190312150656137</v>
      </c>
      <c r="B1364" t="str">
        <f>"1552374416131418"</f>
        <v>1552374416131418</v>
      </c>
      <c r="C1364" t="s">
        <v>40</v>
      </c>
      <c r="D1364">
        <v>4.2291999999999996</v>
      </c>
      <c r="E1364">
        <v>0.51488020000000001</v>
      </c>
      <c r="F1364" t="s">
        <v>47</v>
      </c>
      <c r="G1364">
        <v>-158.19499999999999</v>
      </c>
      <c r="H1364">
        <v>1.8342560000000001</v>
      </c>
      <c r="I1364">
        <v>359.70609999999999</v>
      </c>
      <c r="J1364">
        <v>-284.99110000000002</v>
      </c>
      <c r="K1364">
        <v>1.059674</v>
      </c>
      <c r="L1364">
        <v>367.21510000000001</v>
      </c>
      <c r="M1364">
        <v>0.99997440000000004</v>
      </c>
      <c r="N1364">
        <v>0</v>
      </c>
      <c r="O1364">
        <v>-8.3692149999999997E-4</v>
      </c>
      <c r="P1364">
        <v>0.99874660000000004</v>
      </c>
      <c r="Q1364">
        <v>4.6415680000000001E-2</v>
      </c>
      <c r="R1364">
        <v>-1.873739E-2</v>
      </c>
      <c r="S1364">
        <v>2.9995419999999999</v>
      </c>
      <c r="T1364">
        <v>1.8307449999999999E-2</v>
      </c>
      <c r="U1364">
        <v>-0.1774597</v>
      </c>
      <c r="V1364">
        <v>1.7900070000000001E-2</v>
      </c>
      <c r="W1364">
        <v>5.35302E-2</v>
      </c>
      <c r="X1364">
        <v>0.99840580000000001</v>
      </c>
      <c r="Y1364">
        <v>5.822244E-2</v>
      </c>
      <c r="Z1364">
        <v>1.7241730000000001E-4</v>
      </c>
      <c r="AA1364">
        <v>0.99830359999999996</v>
      </c>
      <c r="AB1364">
        <v>25</v>
      </c>
      <c r="AC1364">
        <v>126.7961</v>
      </c>
      <c r="AD1364">
        <v>0.77458199999999999</v>
      </c>
      <c r="AE1364">
        <v>-7.5090000000000101</v>
      </c>
      <c r="AF1364">
        <v>7.4026010205839299</v>
      </c>
      <c r="AG1364">
        <v>0.77458199999999999</v>
      </c>
      <c r="AH1364">
        <v>126.797624846536</v>
      </c>
      <c r="AI1364">
        <v>89.650590530054004</v>
      </c>
      <c r="AJ1364">
        <v>86.658794619155699</v>
      </c>
      <c r="AK1364">
        <v>127.01588934407999</v>
      </c>
      <c r="AL1364">
        <v>86.931478862161399</v>
      </c>
      <c r="AM1364">
        <v>88.972873958767707</v>
      </c>
      <c r="AN1364">
        <v>1.0000000181458399</v>
      </c>
    </row>
    <row r="1365" spans="1:40" x14ac:dyDescent="0.25">
      <c r="A1365" t="str">
        <f>"20190312150656149"</f>
        <v>20190312150656149</v>
      </c>
      <c r="B1365" t="str">
        <f>"1552374416142155"</f>
        <v>1552374416142155</v>
      </c>
      <c r="C1365" t="s">
        <v>40</v>
      </c>
      <c r="D1365">
        <v>4.3897199999999996</v>
      </c>
      <c r="E1365">
        <v>0.51491209999999998</v>
      </c>
      <c r="F1365" t="s">
        <v>47</v>
      </c>
      <c r="G1365">
        <v>-158.19499999999999</v>
      </c>
      <c r="H1365">
        <v>1.8589659999999999</v>
      </c>
      <c r="I1365">
        <v>359.70580000000001</v>
      </c>
      <c r="J1365">
        <v>-284.85770000000002</v>
      </c>
      <c r="K1365">
        <v>1.0596730000000001</v>
      </c>
      <c r="L1365">
        <v>367.21510000000001</v>
      </c>
      <c r="M1365">
        <v>0.99997429999999998</v>
      </c>
      <c r="N1365">
        <v>0</v>
      </c>
      <c r="O1365">
        <v>-8.1608349999999995E-4</v>
      </c>
      <c r="P1365">
        <v>0.99873619999999996</v>
      </c>
      <c r="Q1365">
        <v>4.6551460000000003E-2</v>
      </c>
      <c r="R1365">
        <v>-1.8949799999999999E-2</v>
      </c>
      <c r="S1365">
        <v>2.9995120000000002</v>
      </c>
      <c r="T1365">
        <v>1.891029E-2</v>
      </c>
      <c r="U1365">
        <v>-0.17764279999999999</v>
      </c>
      <c r="V1365">
        <v>1.8133300000000002E-2</v>
      </c>
      <c r="W1365">
        <v>5.3672570000000003E-2</v>
      </c>
      <c r="X1365">
        <v>0.998394</v>
      </c>
      <c r="Y1365">
        <v>5.830449E-2</v>
      </c>
      <c r="Z1365">
        <v>1.7848589999999999E-4</v>
      </c>
      <c r="AA1365">
        <v>0.99829880000000004</v>
      </c>
      <c r="AB1365">
        <v>25</v>
      </c>
      <c r="AC1365">
        <v>126.6627</v>
      </c>
      <c r="AD1365">
        <v>0.79929300000000003</v>
      </c>
      <c r="AE1365">
        <v>-7.5092999999999899</v>
      </c>
      <c r="AF1365">
        <v>7.4056336691242404</v>
      </c>
      <c r="AG1365">
        <v>0.79929300000000003</v>
      </c>
      <c r="AH1365">
        <v>126.663759952045</v>
      </c>
      <c r="AI1365">
        <v>89.639064585523798</v>
      </c>
      <c r="AJ1365">
        <v>86.653904337625306</v>
      </c>
      <c r="AK1365">
        <v>126.88258495369</v>
      </c>
      <c r="AL1365">
        <v>86.923310079180396</v>
      </c>
      <c r="AM1365">
        <v>88.959481588758294</v>
      </c>
      <c r="AN1365">
        <v>1.0000000702876399</v>
      </c>
    </row>
    <row r="1366" spans="1:40" x14ac:dyDescent="0.25">
      <c r="A1366" t="str">
        <f>"20190312150656161"</f>
        <v>20190312150656161</v>
      </c>
      <c r="B1366" t="str">
        <f>"1552374416151914"</f>
        <v>1552374416151914</v>
      </c>
      <c r="C1366" t="s">
        <v>40</v>
      </c>
      <c r="D1366">
        <v>4.1970130000000001</v>
      </c>
      <c r="E1366">
        <v>0.514903</v>
      </c>
      <c r="F1366" t="s">
        <v>47</v>
      </c>
      <c r="G1366">
        <v>-158.19499999999999</v>
      </c>
      <c r="H1366">
        <v>1.907794</v>
      </c>
      <c r="I1366">
        <v>359.67099999999999</v>
      </c>
      <c r="J1366">
        <v>-284.72280000000001</v>
      </c>
      <c r="K1366">
        <v>1.059679</v>
      </c>
      <c r="L1366">
        <v>367.21499999999997</v>
      </c>
      <c r="M1366">
        <v>0.99997429999999998</v>
      </c>
      <c r="N1366">
        <v>0</v>
      </c>
      <c r="O1366">
        <v>-7.9501369999999895E-4</v>
      </c>
      <c r="P1366">
        <v>0.99874130000000005</v>
      </c>
      <c r="Q1366">
        <v>4.6312989999999998E-2</v>
      </c>
      <c r="R1366">
        <v>-1.926201E-2</v>
      </c>
      <c r="S1366">
        <v>2.9994809999999998</v>
      </c>
      <c r="T1366">
        <v>2.008629E-2</v>
      </c>
      <c r="U1366">
        <v>-0.1786499</v>
      </c>
      <c r="V1366">
        <v>1.8466710000000001E-2</v>
      </c>
      <c r="W1366">
        <v>5.3443060000000001E-2</v>
      </c>
      <c r="X1366">
        <v>0.99840019999999996</v>
      </c>
      <c r="Y1366">
        <v>5.8659969999999999E-2</v>
      </c>
      <c r="Z1366">
        <v>1.9091560000000001E-4</v>
      </c>
      <c r="AA1366">
        <v>0.998278</v>
      </c>
      <c r="AB1366">
        <v>25</v>
      </c>
      <c r="AC1366">
        <v>126.5278</v>
      </c>
      <c r="AD1366">
        <v>0.84811499999999895</v>
      </c>
      <c r="AE1366">
        <v>-7.5439999999999801</v>
      </c>
      <c r="AF1366">
        <v>7.4430704944699198</v>
      </c>
      <c r="AG1366">
        <v>0.84811499999999895</v>
      </c>
      <c r="AH1366">
        <v>126.52809296339299</v>
      </c>
      <c r="AI1366">
        <v>89.616616156926099</v>
      </c>
      <c r="AJ1366">
        <v>86.633430356639096</v>
      </c>
      <c r="AK1366">
        <v>126.749662352182</v>
      </c>
      <c r="AL1366">
        <v>86.936478931431793</v>
      </c>
      <c r="AM1366">
        <v>88.940360879338201</v>
      </c>
      <c r="AN1366">
        <v>1.00000006970021</v>
      </c>
    </row>
    <row r="1367" spans="1:40" x14ac:dyDescent="0.25">
      <c r="A1367" t="str">
        <f>"20190312150656172"</f>
        <v>20190312150656172</v>
      </c>
      <c r="B1367" t="str">
        <f>"1552374416161675"</f>
        <v>1552374416161675</v>
      </c>
      <c r="C1367" t="s">
        <v>40</v>
      </c>
      <c r="D1367">
        <v>4.2394889999999998</v>
      </c>
      <c r="E1367">
        <v>0.51491480000000001</v>
      </c>
      <c r="F1367" t="s">
        <v>47</v>
      </c>
      <c r="G1367">
        <v>-158.19499999999999</v>
      </c>
      <c r="H1367">
        <v>1.8935789999999999</v>
      </c>
      <c r="I1367">
        <v>359.64929999999998</v>
      </c>
      <c r="J1367">
        <v>-284.5994</v>
      </c>
      <c r="K1367">
        <v>1.05968</v>
      </c>
      <c r="L1367">
        <v>367.2149</v>
      </c>
      <c r="M1367">
        <v>0.99997420000000004</v>
      </c>
      <c r="N1367">
        <v>0</v>
      </c>
      <c r="O1367">
        <v>-7.7561320000000004E-4</v>
      </c>
      <c r="P1367">
        <v>0.99872680000000003</v>
      </c>
      <c r="Q1367">
        <v>4.6636499999999997E-2</v>
      </c>
      <c r="R1367">
        <v>-1.9226739999999999E-2</v>
      </c>
      <c r="S1367">
        <v>2.9994510000000001</v>
      </c>
      <c r="T1367">
        <v>1.9770380000000001E-2</v>
      </c>
      <c r="U1367">
        <v>-0.17935179999999901</v>
      </c>
      <c r="V1367">
        <v>1.845076E-2</v>
      </c>
      <c r="W1367">
        <v>5.3775410000000003E-2</v>
      </c>
      <c r="X1367">
        <v>0.99838260000000001</v>
      </c>
      <c r="Y1367">
        <v>5.8912760000000002E-2</v>
      </c>
      <c r="Z1367">
        <v>1.8887369999999999E-4</v>
      </c>
      <c r="AA1367">
        <v>0.99826309999999996</v>
      </c>
      <c r="AB1367">
        <v>25</v>
      </c>
      <c r="AC1367">
        <v>126.4044</v>
      </c>
      <c r="AD1367">
        <v>0.83389899999999995</v>
      </c>
      <c r="AE1367">
        <v>-7.5656000000000097</v>
      </c>
      <c r="AF1367">
        <v>7.4672304789968003</v>
      </c>
      <c r="AG1367">
        <v>0.83389899999999995</v>
      </c>
      <c r="AH1367">
        <v>126.40474843561999</v>
      </c>
      <c r="AI1367">
        <v>89.622679890744607</v>
      </c>
      <c r="AJ1367">
        <v>86.619239764835498</v>
      </c>
      <c r="AK1367">
        <v>126.627861648379</v>
      </c>
      <c r="AL1367">
        <v>86.917409106563596</v>
      </c>
      <c r="AM1367">
        <v>88.941257239117107</v>
      </c>
      <c r="AN1367">
        <v>1.0000000206240001</v>
      </c>
    </row>
    <row r="1368" spans="1:40" x14ac:dyDescent="0.25">
      <c r="A1368" t="str">
        <f>"20190312150656185"</f>
        <v>20190312150656185</v>
      </c>
      <c r="B1368" t="str">
        <f>"1552374416181702"</f>
        <v>1552374416181702</v>
      </c>
      <c r="C1368" t="s">
        <v>40</v>
      </c>
      <c r="D1368">
        <v>4.1944520000000001</v>
      </c>
      <c r="E1368">
        <v>0.51494430000000002</v>
      </c>
      <c r="F1368" t="s">
        <v>47</v>
      </c>
      <c r="G1368">
        <v>-158.19499999999999</v>
      </c>
      <c r="H1368">
        <v>1.9435439999999999</v>
      </c>
      <c r="I1368">
        <v>359.65629999999999</v>
      </c>
      <c r="J1368">
        <v>-284.46780000000001</v>
      </c>
      <c r="K1368">
        <v>1.05968</v>
      </c>
      <c r="L1368">
        <v>367.21480000000003</v>
      </c>
      <c r="M1368">
        <v>0.99997409999999998</v>
      </c>
      <c r="N1368">
        <v>0</v>
      </c>
      <c r="O1368">
        <v>-7.5514319999999996E-4</v>
      </c>
      <c r="P1368">
        <v>0.99871949999999998</v>
      </c>
      <c r="Q1368">
        <v>4.6712249999999997E-2</v>
      </c>
      <c r="R1368">
        <v>-1.9426470000000001E-2</v>
      </c>
      <c r="S1368">
        <v>2.9993590000000001</v>
      </c>
      <c r="T1368">
        <v>2.0974639999999999E-2</v>
      </c>
      <c r="U1368">
        <v>-0.17935179999999901</v>
      </c>
      <c r="V1368">
        <v>1.8670909999999999E-2</v>
      </c>
      <c r="W1368">
        <v>5.3860169999999999E-2</v>
      </c>
      <c r="X1368">
        <v>0.99837390000000004</v>
      </c>
      <c r="Y1368">
        <v>5.8934849999999997E-2</v>
      </c>
      <c r="Z1368">
        <v>2.0060440000000001E-4</v>
      </c>
      <c r="AA1368">
        <v>0.99826179999999998</v>
      </c>
      <c r="AB1368">
        <v>25</v>
      </c>
      <c r="AC1368">
        <v>126.2728</v>
      </c>
      <c r="AD1368">
        <v>0.88386399999999998</v>
      </c>
      <c r="AE1368">
        <v>-7.5585000000000298</v>
      </c>
      <c r="AF1368">
        <v>7.4627770230697701</v>
      </c>
      <c r="AG1368">
        <v>0.88386399999999998</v>
      </c>
      <c r="AH1368">
        <v>126.272307274645</v>
      </c>
      <c r="AI1368">
        <v>89.599653769045403</v>
      </c>
      <c r="AJ1368">
        <v>86.617715787863304</v>
      </c>
      <c r="AK1368">
        <v>126.49573052450801</v>
      </c>
      <c r="AL1368">
        <v>86.912545550333206</v>
      </c>
      <c r="AM1368">
        <v>88.928618170079304</v>
      </c>
      <c r="AN1368">
        <v>0.999999982496933</v>
      </c>
    </row>
    <row r="1369" spans="1:40" x14ac:dyDescent="0.25">
      <c r="A1369" t="str">
        <f>"20190312150656203"</f>
        <v>20190312150656203</v>
      </c>
      <c r="B1369" t="str">
        <f>"1552374416191461"</f>
        <v>1552374416191461</v>
      </c>
      <c r="C1369" t="s">
        <v>40</v>
      </c>
      <c r="D1369">
        <v>4.1786620000000001</v>
      </c>
      <c r="E1369">
        <v>0.51496560000000002</v>
      </c>
      <c r="F1369" t="s">
        <v>47</v>
      </c>
      <c r="G1369">
        <v>-158.19499999999999</v>
      </c>
      <c r="H1369">
        <v>2.0215480000000001</v>
      </c>
      <c r="I1369">
        <v>359.6266</v>
      </c>
      <c r="J1369">
        <v>-284.25540000000001</v>
      </c>
      <c r="K1369">
        <v>1.059682</v>
      </c>
      <c r="L1369">
        <v>367.21469999999999</v>
      </c>
      <c r="M1369">
        <v>0.99997409999999998</v>
      </c>
      <c r="N1369">
        <v>0</v>
      </c>
      <c r="O1369">
        <v>-7.219549E-4</v>
      </c>
      <c r="P1369">
        <v>0.99874229999999997</v>
      </c>
      <c r="Q1369">
        <v>4.6422270000000002E-2</v>
      </c>
      <c r="R1369">
        <v>-1.8950749999999999E-2</v>
      </c>
      <c r="S1369">
        <v>2.9992679999999998</v>
      </c>
      <c r="T1369">
        <v>2.2848609999999998E-2</v>
      </c>
      <c r="U1369">
        <v>-0.1802368</v>
      </c>
      <c r="V1369">
        <v>1.822822E-2</v>
      </c>
      <c r="W1369">
        <v>5.3590190000000003E-2</v>
      </c>
      <c r="X1369">
        <v>0.99839659999999997</v>
      </c>
      <c r="Y1369">
        <v>5.926302E-2</v>
      </c>
      <c r="Z1369">
        <v>2.2003300000000001E-4</v>
      </c>
      <c r="AA1369">
        <v>0.99824239999999997</v>
      </c>
      <c r="AB1369">
        <v>25</v>
      </c>
      <c r="AC1369">
        <v>126.0604</v>
      </c>
      <c r="AD1369">
        <v>0.961866</v>
      </c>
      <c r="AE1369">
        <v>-7.5880999999999901</v>
      </c>
      <c r="AF1369">
        <v>7.4966508865095198</v>
      </c>
      <c r="AG1369">
        <v>0.961866</v>
      </c>
      <c r="AH1369">
        <v>126.05853292755999</v>
      </c>
      <c r="AI1369">
        <v>89.563594773119604</v>
      </c>
      <c r="AJ1369">
        <v>86.596651104429498</v>
      </c>
      <c r="AK1369">
        <v>126.28491075565999</v>
      </c>
      <c r="AL1369">
        <v>86.928036610948894</v>
      </c>
      <c r="AM1369">
        <v>88.954038854071101</v>
      </c>
      <c r="AN1369">
        <v>0.99999997368008098</v>
      </c>
    </row>
    <row r="1370" spans="1:40" x14ac:dyDescent="0.25">
      <c r="A1370" t="str">
        <f>"20190312150656214"</f>
        <v>20190312150656214</v>
      </c>
      <c r="B1370" t="str">
        <f>"1552374416211958"</f>
        <v>1552374416211958</v>
      </c>
      <c r="C1370" t="s">
        <v>40</v>
      </c>
      <c r="D1370">
        <v>4.2153769999999904</v>
      </c>
      <c r="E1370">
        <v>0.51498569999999999</v>
      </c>
      <c r="F1370" t="s">
        <v>47</v>
      </c>
      <c r="G1370">
        <v>-158.19499999999999</v>
      </c>
      <c r="H1370">
        <v>2.0152830000000002</v>
      </c>
      <c r="I1370">
        <v>359.69330000000002</v>
      </c>
      <c r="J1370">
        <v>-284.1336</v>
      </c>
      <c r="K1370">
        <v>1.059682</v>
      </c>
      <c r="L1370">
        <v>367.21460000000002</v>
      </c>
      <c r="M1370">
        <v>0.99997400000000003</v>
      </c>
      <c r="N1370">
        <v>0</v>
      </c>
      <c r="O1370">
        <v>-7.0281589999999995E-4</v>
      </c>
      <c r="P1370">
        <v>0.99873880000000004</v>
      </c>
      <c r="Q1370">
        <v>4.6525299999999999E-2</v>
      </c>
      <c r="R1370">
        <v>-1.8881499999999999E-2</v>
      </c>
      <c r="S1370">
        <v>2.9993289999999999</v>
      </c>
      <c r="T1370">
        <v>2.2738459999999999E-2</v>
      </c>
      <c r="U1370">
        <v>-0.17895510000000001</v>
      </c>
      <c r="V1370">
        <v>1.8178139999999999E-2</v>
      </c>
      <c r="W1370">
        <v>5.3708279999999997E-2</v>
      </c>
      <c r="X1370">
        <v>0.99839120000000003</v>
      </c>
      <c r="Y1370">
        <v>5.8855869999999998E-2</v>
      </c>
      <c r="Z1370">
        <v>2.1757370000000001E-4</v>
      </c>
      <c r="AA1370">
        <v>0.99826649999999995</v>
      </c>
      <c r="AB1370">
        <v>25</v>
      </c>
      <c r="AC1370">
        <v>125.93859999999999</v>
      </c>
      <c r="AD1370">
        <v>0.95560100000000003</v>
      </c>
      <c r="AE1370">
        <v>-7.5212999999999903</v>
      </c>
      <c r="AF1370">
        <v>7.4323578136661599</v>
      </c>
      <c r="AG1370">
        <v>0.95560100000000003</v>
      </c>
      <c r="AH1370">
        <v>125.93663006287299</v>
      </c>
      <c r="AI1370">
        <v>89.566005873487597</v>
      </c>
      <c r="AJ1370">
        <v>86.6225127149618</v>
      </c>
      <c r="AK1370">
        <v>126.15937502831299</v>
      </c>
      <c r="AL1370">
        <v>86.921260894064304</v>
      </c>
      <c r="AM1370">
        <v>88.956906239289594</v>
      </c>
      <c r="AN1370">
        <v>1.00000000617592</v>
      </c>
    </row>
    <row r="1371" spans="1:40" x14ac:dyDescent="0.25">
      <c r="A1371" t="str">
        <f>"20190312150656226"</f>
        <v>20190312150656226</v>
      </c>
      <c r="B1371" t="str">
        <f>"1552374416221718"</f>
        <v>1552374416221718</v>
      </c>
      <c r="C1371" t="s">
        <v>40</v>
      </c>
      <c r="D1371">
        <v>4.1748120000000002</v>
      </c>
      <c r="E1371">
        <v>0.51498580000000005</v>
      </c>
      <c r="F1371" t="s">
        <v>47</v>
      </c>
      <c r="G1371">
        <v>-158.19499999999999</v>
      </c>
      <c r="H1371">
        <v>2.095478</v>
      </c>
      <c r="I1371">
        <v>359.7106</v>
      </c>
      <c r="J1371">
        <v>-284.00630000000001</v>
      </c>
      <c r="K1371">
        <v>1.0596779999999999</v>
      </c>
      <c r="L1371">
        <v>367.21449999999999</v>
      </c>
      <c r="M1371">
        <v>0.99997380000000002</v>
      </c>
      <c r="N1371">
        <v>0</v>
      </c>
      <c r="O1371">
        <v>-6.8308539999999997E-4</v>
      </c>
      <c r="P1371">
        <v>0.99874589999999996</v>
      </c>
      <c r="Q1371">
        <v>4.6367720000000001E-2</v>
      </c>
      <c r="R1371">
        <v>-1.8886920000000001E-2</v>
      </c>
      <c r="S1371">
        <v>2.9992679999999998</v>
      </c>
      <c r="T1371">
        <v>2.466989E-2</v>
      </c>
      <c r="U1371">
        <v>-0.17871090000000001</v>
      </c>
      <c r="V1371">
        <v>1.8203159999999999E-2</v>
      </c>
      <c r="W1371">
        <v>5.3567339999999998E-2</v>
      </c>
      <c r="X1371">
        <v>0.99839829999999996</v>
      </c>
      <c r="Y1371">
        <v>5.8795489999999999E-2</v>
      </c>
      <c r="Z1371">
        <v>2.359734E-4</v>
      </c>
      <c r="AA1371">
        <v>0.99826999999999999</v>
      </c>
      <c r="AB1371">
        <v>25</v>
      </c>
      <c r="AC1371">
        <v>125.8113</v>
      </c>
      <c r="AD1371">
        <v>1.0357999999999901</v>
      </c>
      <c r="AE1371">
        <v>-7.5038999999999803</v>
      </c>
      <c r="AF1371">
        <v>7.4174551698389202</v>
      </c>
      <c r="AG1371">
        <v>1.0357999999999901</v>
      </c>
      <c r="AH1371">
        <v>125.80789933782199</v>
      </c>
      <c r="AI1371">
        <v>89.529101475227506</v>
      </c>
      <c r="AJ1371">
        <v>86.625828218383603</v>
      </c>
      <c r="AK1371">
        <v>126.030627462662</v>
      </c>
      <c r="AL1371">
        <v>86.929347753525605</v>
      </c>
      <c r="AM1371">
        <v>88.9554782917957</v>
      </c>
      <c r="AN1371">
        <v>0.99999999019577501</v>
      </c>
    </row>
    <row r="1372" spans="1:40" x14ac:dyDescent="0.25">
      <c r="A1372" t="str">
        <f>"20190312150656237"</f>
        <v>20190312150656237</v>
      </c>
      <c r="B1372" t="str">
        <f>"1552374416231478"</f>
        <v>1552374416231478</v>
      </c>
      <c r="C1372" t="s">
        <v>40</v>
      </c>
      <c r="D1372">
        <v>4.308872</v>
      </c>
      <c r="E1372">
        <v>0.51498559999999904</v>
      </c>
      <c r="F1372" t="s">
        <v>47</v>
      </c>
      <c r="G1372">
        <v>-158.19499999999999</v>
      </c>
      <c r="H1372">
        <v>2.081251</v>
      </c>
      <c r="I1372">
        <v>359.70269999999999</v>
      </c>
      <c r="J1372">
        <v>-283.8768</v>
      </c>
      <c r="K1372">
        <v>1.05968</v>
      </c>
      <c r="L1372">
        <v>367.21449999999999</v>
      </c>
      <c r="M1372">
        <v>0.99997380000000002</v>
      </c>
      <c r="N1372">
        <v>0</v>
      </c>
      <c r="O1372">
        <v>-6.6348190000000004E-4</v>
      </c>
      <c r="P1372">
        <v>0.99873820000000002</v>
      </c>
      <c r="Q1372">
        <v>4.6552469999999999E-2</v>
      </c>
      <c r="R1372">
        <v>-1.8846789999999999E-2</v>
      </c>
      <c r="S1372">
        <v>2.9992369999999999</v>
      </c>
      <c r="T1372">
        <v>2.435553E-2</v>
      </c>
      <c r="U1372">
        <v>-0.17907709999999999</v>
      </c>
      <c r="V1372">
        <v>1.8182839999999999E-2</v>
      </c>
      <c r="W1372">
        <v>5.377113E-2</v>
      </c>
      <c r="X1372">
        <v>0.99838780000000005</v>
      </c>
      <c r="Y1372">
        <v>5.8937179999999999E-2</v>
      </c>
      <c r="Z1372">
        <v>2.337021E-4</v>
      </c>
      <c r="AA1372">
        <v>0.99826170000000003</v>
      </c>
      <c r="AB1372">
        <v>25</v>
      </c>
      <c r="AC1372">
        <v>125.6818</v>
      </c>
      <c r="AD1372">
        <v>1.021571</v>
      </c>
      <c r="AE1372">
        <v>-7.5117999999999903</v>
      </c>
      <c r="AF1372">
        <v>7.4279195783533698</v>
      </c>
      <c r="AG1372">
        <v>1.021571</v>
      </c>
      <c r="AH1372">
        <v>125.678482616137</v>
      </c>
      <c r="AI1372">
        <v>89.535095734971804</v>
      </c>
      <c r="AJ1372">
        <v>86.617607669652301</v>
      </c>
      <c r="AK1372">
        <v>125.901940371327</v>
      </c>
      <c r="AL1372">
        <v>86.917654854466804</v>
      </c>
      <c r="AM1372">
        <v>88.9566330522252</v>
      </c>
      <c r="AN1372">
        <v>1.0000000746403801</v>
      </c>
    </row>
    <row r="1373" spans="1:40" x14ac:dyDescent="0.25">
      <c r="A1373" t="str">
        <f>"20190312150656249"</f>
        <v>20190312150656249</v>
      </c>
      <c r="B1373" t="str">
        <f>"1552374416242214"</f>
        <v>1552374416242214</v>
      </c>
      <c r="C1373" t="s">
        <v>40</v>
      </c>
      <c r="D1373">
        <v>4.1646789999999996</v>
      </c>
      <c r="E1373">
        <v>0.5149958</v>
      </c>
      <c r="F1373" t="s">
        <v>47</v>
      </c>
      <c r="G1373">
        <v>-158.19499999999999</v>
      </c>
      <c r="H1373">
        <v>2.12371</v>
      </c>
      <c r="I1373">
        <v>359.71170000000001</v>
      </c>
      <c r="J1373">
        <v>-283.74790000000002</v>
      </c>
      <c r="K1373">
        <v>1.05968</v>
      </c>
      <c r="L1373">
        <v>367.21440000000001</v>
      </c>
      <c r="M1373">
        <v>0.99997349999999996</v>
      </c>
      <c r="N1373">
        <v>0</v>
      </c>
      <c r="O1373">
        <v>-6.4328699999999998E-4</v>
      </c>
      <c r="P1373">
        <v>0.99872510000000003</v>
      </c>
      <c r="Q1373">
        <v>4.6893700000000003E-2</v>
      </c>
      <c r="R1373">
        <v>-1.8689669999999999E-2</v>
      </c>
      <c r="S1373">
        <v>2.9992679999999998</v>
      </c>
      <c r="T1373">
        <v>2.5394079999999999E-2</v>
      </c>
      <c r="U1373">
        <v>-0.1790466</v>
      </c>
      <c r="V1373">
        <v>1.804559E-2</v>
      </c>
      <c r="W1373">
        <v>5.4132039999999999E-2</v>
      </c>
      <c r="X1373">
        <v>0.99837070000000006</v>
      </c>
      <c r="Y1373">
        <v>5.8946440000000003E-2</v>
      </c>
      <c r="Z1373">
        <v>2.438746E-4</v>
      </c>
      <c r="AA1373">
        <v>0.99826110000000001</v>
      </c>
      <c r="AB1373">
        <v>25</v>
      </c>
      <c r="AC1373">
        <v>125.55289999999999</v>
      </c>
      <c r="AD1373">
        <v>1.06403</v>
      </c>
      <c r="AE1373">
        <v>-7.5026999999999999</v>
      </c>
      <c r="AF1373">
        <v>7.4213986563812302</v>
      </c>
      <c r="AG1373">
        <v>1.06403</v>
      </c>
      <c r="AH1373">
        <v>125.548715529272</v>
      </c>
      <c r="AI1373">
        <v>89.515273862906</v>
      </c>
      <c r="AJ1373">
        <v>86.617085295845797</v>
      </c>
      <c r="AK1373">
        <v>125.77237092822899</v>
      </c>
      <c r="AL1373">
        <v>86.896945805277298</v>
      </c>
      <c r="AM1373">
        <v>88.964489272560499</v>
      </c>
      <c r="AN1373">
        <v>0.99999998784574895</v>
      </c>
    </row>
    <row r="1374" spans="1:40" x14ac:dyDescent="0.25">
      <c r="A1374" t="str">
        <f>"20190312150656259"</f>
        <v>20190312150656259</v>
      </c>
      <c r="B1374" t="str">
        <f>"1552374416251974"</f>
        <v>1552374416251974</v>
      </c>
      <c r="C1374" t="s">
        <v>40</v>
      </c>
      <c r="D1374">
        <v>4.2466780000000002</v>
      </c>
      <c r="E1374">
        <v>0.51499490000000003</v>
      </c>
      <c r="F1374" t="s">
        <v>47</v>
      </c>
      <c r="G1374">
        <v>-158.19499999999999</v>
      </c>
      <c r="H1374">
        <v>2.1933790000000002</v>
      </c>
      <c r="I1374">
        <v>359.75110000000001</v>
      </c>
      <c r="J1374">
        <v>-283.62920000000003</v>
      </c>
      <c r="K1374">
        <v>1.059685</v>
      </c>
      <c r="L1374">
        <v>367.21440000000001</v>
      </c>
      <c r="M1374">
        <v>0.99997340000000001</v>
      </c>
      <c r="N1374">
        <v>0</v>
      </c>
      <c r="O1374">
        <v>-6.2476169999999996E-4</v>
      </c>
      <c r="P1374">
        <v>0.99873630000000002</v>
      </c>
      <c r="Q1374">
        <v>4.6816480000000001E-2</v>
      </c>
      <c r="R1374">
        <v>-1.8283609999999999E-2</v>
      </c>
      <c r="S1374">
        <v>2.9992070000000002</v>
      </c>
      <c r="T1374">
        <v>2.7083869999999999E-2</v>
      </c>
      <c r="U1374">
        <v>-0.17828369999999999</v>
      </c>
      <c r="V1374">
        <v>1.7658110000000001E-2</v>
      </c>
      <c r="W1374">
        <v>5.4074909999999997E-2</v>
      </c>
      <c r="X1374">
        <v>0.99838070000000001</v>
      </c>
      <c r="Y1374">
        <v>5.8712840000000002E-2</v>
      </c>
      <c r="Z1374">
        <v>2.5922260000000002E-4</v>
      </c>
      <c r="AA1374">
        <v>0.99827489999999997</v>
      </c>
      <c r="AB1374">
        <v>25</v>
      </c>
      <c r="AC1374">
        <v>125.4342</v>
      </c>
      <c r="AD1374">
        <v>1.133694</v>
      </c>
      <c r="AE1374">
        <v>-7.4633000000000003</v>
      </c>
      <c r="AF1374">
        <v>7.3843289048424996</v>
      </c>
      <c r="AG1374">
        <v>1.133694</v>
      </c>
      <c r="AH1374">
        <v>125.428628521606</v>
      </c>
      <c r="AI1374">
        <v>89.483037917313695</v>
      </c>
      <c r="AJ1374">
        <v>86.630728657320304</v>
      </c>
      <c r="AK1374">
        <v>125.65092291054501</v>
      </c>
      <c r="AL1374">
        <v>86.9002238387977</v>
      </c>
      <c r="AM1374">
        <v>88.986729511504294</v>
      </c>
      <c r="AN1374">
        <v>0.99999996343638398</v>
      </c>
    </row>
    <row r="1375" spans="1:40" x14ac:dyDescent="0.25">
      <c r="A1375" t="str">
        <f>"20190312150656272"</f>
        <v>20190312150656272</v>
      </c>
      <c r="B1375" t="str">
        <f>"1552374416261733"</f>
        <v>1552374416261733</v>
      </c>
      <c r="C1375" t="s">
        <v>40</v>
      </c>
      <c r="D1375">
        <v>4.1837999999999997</v>
      </c>
      <c r="E1375">
        <v>0.51499139999999999</v>
      </c>
      <c r="F1375" t="s">
        <v>47</v>
      </c>
      <c r="G1375">
        <v>-158.19499999999999</v>
      </c>
      <c r="H1375">
        <v>2.191656</v>
      </c>
      <c r="I1375">
        <v>359.80169999999998</v>
      </c>
      <c r="J1375">
        <v>-283.4966</v>
      </c>
      <c r="K1375">
        <v>1.059688</v>
      </c>
      <c r="L1375">
        <v>367.21429999999998</v>
      </c>
      <c r="M1375">
        <v>0.99997320000000001</v>
      </c>
      <c r="N1375">
        <v>0</v>
      </c>
      <c r="O1375">
        <v>-6.0410089999999997E-4</v>
      </c>
      <c r="P1375">
        <v>0.99873780000000001</v>
      </c>
      <c r="Q1375">
        <v>4.6868220000000002E-2</v>
      </c>
      <c r="R1375">
        <v>-1.806207E-2</v>
      </c>
      <c r="S1375">
        <v>2.9992679999999998</v>
      </c>
      <c r="T1375">
        <v>2.7068729999999999E-2</v>
      </c>
      <c r="U1375">
        <v>-0.17724609999999999</v>
      </c>
      <c r="V1375">
        <v>1.7457170000000001E-2</v>
      </c>
      <c r="W1375">
        <v>5.4148710000000003E-2</v>
      </c>
      <c r="X1375">
        <v>0.99838020000000005</v>
      </c>
      <c r="Y1375">
        <v>5.8388130000000003E-2</v>
      </c>
      <c r="Z1375">
        <v>2.5779749999999999E-4</v>
      </c>
      <c r="AA1375">
        <v>0.99829389999999996</v>
      </c>
      <c r="AB1375">
        <v>25</v>
      </c>
      <c r="AC1375">
        <v>125.30159999999999</v>
      </c>
      <c r="AD1375">
        <v>1.1319680000000001</v>
      </c>
      <c r="AE1375">
        <v>-7.4125999999999896</v>
      </c>
      <c r="AF1375">
        <v>7.3363051792459704</v>
      </c>
      <c r="AG1375">
        <v>1.1319680000000001</v>
      </c>
      <c r="AH1375">
        <v>125.29586520362299</v>
      </c>
      <c r="AI1375">
        <v>89.4832683167498</v>
      </c>
      <c r="AJ1375">
        <v>86.649051774656598</v>
      </c>
      <c r="AK1375">
        <v>125.515563028497</v>
      </c>
      <c r="AL1375">
        <v>86.895989100951994</v>
      </c>
      <c r="AM1375">
        <v>88.998257131760596</v>
      </c>
      <c r="AN1375">
        <v>0.99999992966555395</v>
      </c>
    </row>
    <row r="1376" spans="1:40" x14ac:dyDescent="0.25">
      <c r="A1376" t="str">
        <f>"20190312150656281"</f>
        <v>20190312150656281</v>
      </c>
      <c r="B1376" t="str">
        <f>"1552374416272002"</f>
        <v>1552374416272002</v>
      </c>
      <c r="C1376" t="s">
        <v>40</v>
      </c>
      <c r="D1376">
        <v>4.1755190000000004</v>
      </c>
      <c r="E1376">
        <v>0.51499110000000003</v>
      </c>
      <c r="F1376" t="s">
        <v>47</v>
      </c>
      <c r="G1376">
        <v>-158.19499999999999</v>
      </c>
      <c r="H1376">
        <v>2.207319</v>
      </c>
      <c r="I1376">
        <v>359.83370000000002</v>
      </c>
      <c r="J1376">
        <v>-283.37799999999999</v>
      </c>
      <c r="K1376">
        <v>1.0596890000000001</v>
      </c>
      <c r="L1376">
        <v>367.21429999999998</v>
      </c>
      <c r="M1376">
        <v>0.99997329999999995</v>
      </c>
      <c r="N1376">
        <v>0</v>
      </c>
      <c r="O1376">
        <v>-5.8593589999999997E-4</v>
      </c>
      <c r="P1376">
        <v>0.99873920000000005</v>
      </c>
      <c r="Q1376">
        <v>4.6957640000000002E-2</v>
      </c>
      <c r="R1376">
        <v>-1.775728E-2</v>
      </c>
      <c r="S1376">
        <v>2.999298</v>
      </c>
      <c r="T1376">
        <v>2.74725E-2</v>
      </c>
      <c r="U1376">
        <v>-0.176666299999999</v>
      </c>
      <c r="V1376">
        <v>1.7170520000000002E-2</v>
      </c>
      <c r="W1376">
        <v>5.4258689999999998E-2</v>
      </c>
      <c r="X1376">
        <v>0.99837929999999997</v>
      </c>
      <c r="Y1376">
        <v>5.8213269999999998E-2</v>
      </c>
      <c r="Z1376">
        <v>2.6100759999999999E-4</v>
      </c>
      <c r="AA1376">
        <v>0.99830410000000003</v>
      </c>
      <c r="AB1376">
        <v>25</v>
      </c>
      <c r="AC1376">
        <v>125.18300000000001</v>
      </c>
      <c r="AD1376">
        <v>1.1476299999999999</v>
      </c>
      <c r="AE1376">
        <v>-7.3805999999999496</v>
      </c>
      <c r="AF1376">
        <v>7.3066356126826602</v>
      </c>
      <c r="AG1376">
        <v>1.1476299999999999</v>
      </c>
      <c r="AH1376">
        <v>125.176819112161</v>
      </c>
      <c r="AI1376">
        <v>89.475615436536003</v>
      </c>
      <c r="AJ1376">
        <v>86.659406234688106</v>
      </c>
      <c r="AK1376">
        <v>125.39513555809199</v>
      </c>
      <c r="AL1376">
        <v>86.889678743967906</v>
      </c>
      <c r="AM1376">
        <v>89.014701779428194</v>
      </c>
      <c r="AN1376">
        <v>1.00000002943303</v>
      </c>
    </row>
    <row r="1377" spans="1:40" x14ac:dyDescent="0.25">
      <c r="A1377" t="str">
        <f>"20190312150656293"</f>
        <v>20190312150656293</v>
      </c>
      <c r="B1377" t="str">
        <f>"1552374416281763"</f>
        <v>1552374416281763</v>
      </c>
      <c r="C1377" t="s">
        <v>40</v>
      </c>
      <c r="D1377">
        <v>4.1721729999999999</v>
      </c>
      <c r="E1377">
        <v>0.51498129999999998</v>
      </c>
      <c r="F1377" t="s">
        <v>47</v>
      </c>
      <c r="G1377">
        <v>-158.19499999999999</v>
      </c>
      <c r="H1377">
        <v>2.2221630000000001</v>
      </c>
      <c r="I1377">
        <v>359.88150000000002</v>
      </c>
      <c r="J1377">
        <v>-283.25200000000001</v>
      </c>
      <c r="K1377">
        <v>1.059696</v>
      </c>
      <c r="L1377">
        <v>367.21420000000001</v>
      </c>
      <c r="M1377">
        <v>0.999973</v>
      </c>
      <c r="N1377">
        <v>0</v>
      </c>
      <c r="O1377">
        <v>-5.6623269999999998E-4</v>
      </c>
      <c r="P1377">
        <v>0.99873959999999995</v>
      </c>
      <c r="Q1377">
        <v>4.704171E-2</v>
      </c>
      <c r="R1377">
        <v>-1.7505010000000001E-2</v>
      </c>
      <c r="S1377">
        <v>2.9993289999999999</v>
      </c>
      <c r="T1377">
        <v>2.7854440000000001E-2</v>
      </c>
      <c r="U1377">
        <v>-0.1756897</v>
      </c>
      <c r="V1377">
        <v>1.693805E-2</v>
      </c>
      <c r="W1377">
        <v>5.4366299999999999E-2</v>
      </c>
      <c r="X1377">
        <v>0.99837739999999997</v>
      </c>
      <c r="Y1377">
        <v>5.7908359999999999E-2</v>
      </c>
      <c r="Z1377">
        <v>2.6340430000000001E-4</v>
      </c>
      <c r="AA1377">
        <v>0.99832189999999998</v>
      </c>
      <c r="AB1377">
        <v>25</v>
      </c>
      <c r="AC1377">
        <v>125.057</v>
      </c>
      <c r="AD1377">
        <v>1.1624669999999999</v>
      </c>
      <c r="AE1377">
        <v>-7.3326999999999796</v>
      </c>
      <c r="AF1377">
        <v>7.2612602923557699</v>
      </c>
      <c r="AG1377">
        <v>1.1624669999999999</v>
      </c>
      <c r="AH1377">
        <v>125.050363962901</v>
      </c>
      <c r="AI1377">
        <v>89.468289905529105</v>
      </c>
      <c r="AJ1377">
        <v>86.676755614419093</v>
      </c>
      <c r="AK1377">
        <v>125.26639915721</v>
      </c>
      <c r="AL1377">
        <v>86.883503978447493</v>
      </c>
      <c r="AM1377">
        <v>89.028037210162196</v>
      </c>
      <c r="AN1377">
        <v>1.00000001247212</v>
      </c>
    </row>
    <row r="1378" spans="1:40" x14ac:dyDescent="0.25">
      <c r="A1378" t="str">
        <f>"20190312150656303"</f>
        <v>20190312150656303</v>
      </c>
      <c r="B1378" t="str">
        <f>"1552374416291522"</f>
        <v>1552374416291522</v>
      </c>
      <c r="C1378" t="s">
        <v>40</v>
      </c>
      <c r="D1378">
        <v>4.2047400000000001</v>
      </c>
      <c r="E1378">
        <v>0.51496419999999998</v>
      </c>
      <c r="F1378" t="s">
        <v>47</v>
      </c>
      <c r="G1378">
        <v>-158.19499999999999</v>
      </c>
      <c r="H1378">
        <v>2.2356259999999999</v>
      </c>
      <c r="I1378">
        <v>359.93360000000001</v>
      </c>
      <c r="J1378">
        <v>-283.13099999999997</v>
      </c>
      <c r="K1378">
        <v>1.0596969999999999</v>
      </c>
      <c r="L1378">
        <v>367.21409999999997</v>
      </c>
      <c r="M1378">
        <v>0.99997290000000005</v>
      </c>
      <c r="N1378">
        <v>0</v>
      </c>
      <c r="O1378">
        <v>-5.4736230000000002E-4</v>
      </c>
      <c r="P1378">
        <v>0.99874490000000005</v>
      </c>
      <c r="Q1378">
        <v>4.7073539999999997E-2</v>
      </c>
      <c r="R1378">
        <v>-1.7123570000000001E-2</v>
      </c>
      <c r="S1378">
        <v>2.9994200000000002</v>
      </c>
      <c r="T1378">
        <v>2.820611E-2</v>
      </c>
      <c r="U1378">
        <v>-0.17462159999999999</v>
      </c>
      <c r="V1378">
        <v>1.6575329999999999E-2</v>
      </c>
      <c r="W1378">
        <v>5.4420589999999998E-2</v>
      </c>
      <c r="X1378">
        <v>0.9983805</v>
      </c>
      <c r="Y1378">
        <v>5.757106E-2</v>
      </c>
      <c r="Z1378">
        <v>2.6531699999999999E-4</v>
      </c>
      <c r="AA1378">
        <v>0.99834140000000005</v>
      </c>
      <c r="AB1378">
        <v>25</v>
      </c>
      <c r="AC1378">
        <v>124.935999999999</v>
      </c>
      <c r="AD1378">
        <v>1.175929</v>
      </c>
      <c r="AE1378">
        <v>-7.28049999999996</v>
      </c>
      <c r="AF1378">
        <v>7.2114751041242604</v>
      </c>
      <c r="AG1378">
        <v>1.175929</v>
      </c>
      <c r="AH1378">
        <v>124.928936404944</v>
      </c>
      <c r="AI1378">
        <v>89.4615993851979</v>
      </c>
      <c r="AJ1378">
        <v>86.696289238313895</v>
      </c>
      <c r="AK1378">
        <v>125.142428190686</v>
      </c>
      <c r="AL1378">
        <v>86.880388685159602</v>
      </c>
      <c r="AM1378">
        <v>89.048850401851695</v>
      </c>
      <c r="AN1378">
        <v>0.999999982480403</v>
      </c>
    </row>
    <row r="1379" spans="1:40" x14ac:dyDescent="0.25">
      <c r="A1379" t="str">
        <f>"20190312150656315"</f>
        <v>20190312150656315</v>
      </c>
      <c r="B1379" t="str">
        <f>"1552374416312019"</f>
        <v>1552374416312019</v>
      </c>
      <c r="C1379" t="s">
        <v>40</v>
      </c>
      <c r="D1379">
        <v>4.1434189999999997</v>
      </c>
      <c r="E1379">
        <v>0.51497440000000005</v>
      </c>
      <c r="F1379" t="s">
        <v>47</v>
      </c>
      <c r="G1379">
        <v>-158.19499999999999</v>
      </c>
      <c r="H1379">
        <v>2.272751</v>
      </c>
      <c r="I1379">
        <v>359.98750000000001</v>
      </c>
      <c r="J1379">
        <v>-283.00540000000001</v>
      </c>
      <c r="K1379">
        <v>1.0597000000000001</v>
      </c>
      <c r="L1379">
        <v>367.21409999999997</v>
      </c>
      <c r="M1379">
        <v>0.99997270000000005</v>
      </c>
      <c r="N1379">
        <v>0</v>
      </c>
      <c r="O1379">
        <v>-5.2801949999999997E-4</v>
      </c>
      <c r="P1379">
        <v>0.9987547</v>
      </c>
      <c r="Q1379">
        <v>4.6940030000000001E-2</v>
      </c>
      <c r="R1379">
        <v>-1.6908260000000001E-2</v>
      </c>
      <c r="S1379">
        <v>2.99939</v>
      </c>
      <c r="T1379">
        <v>2.9124379999999998E-2</v>
      </c>
      <c r="U1379">
        <v>-0.17349239999999999</v>
      </c>
      <c r="V1379">
        <v>1.6379339999999999E-2</v>
      </c>
      <c r="W1379">
        <v>5.431155E-2</v>
      </c>
      <c r="X1379">
        <v>0.99838970000000005</v>
      </c>
      <c r="Y1379">
        <v>5.721623E-2</v>
      </c>
      <c r="Z1379">
        <v>2.7242629999999998E-4</v>
      </c>
      <c r="AA1379">
        <v>0.99836179999999997</v>
      </c>
      <c r="AB1379">
        <v>25</v>
      </c>
      <c r="AC1379">
        <v>124.8104</v>
      </c>
      <c r="AD1379">
        <v>1.2130510000000001</v>
      </c>
      <c r="AE1379">
        <v>-7.2265999999999604</v>
      </c>
      <c r="AF1379">
        <v>7.1600207884126696</v>
      </c>
      <c r="AG1379">
        <v>1.2130510000000001</v>
      </c>
      <c r="AH1379">
        <v>124.80244880661</v>
      </c>
      <c r="AI1379">
        <v>89.444029936963901</v>
      </c>
      <c r="AJ1379">
        <v>86.7164925488877</v>
      </c>
      <c r="AK1379">
        <v>125.013553739367</v>
      </c>
      <c r="AL1379">
        <v>86.886645556651104</v>
      </c>
      <c r="AM1379">
        <v>89.060103613837697</v>
      </c>
      <c r="AN1379">
        <v>1.00000001015416</v>
      </c>
    </row>
    <row r="1380" spans="1:40" x14ac:dyDescent="0.25">
      <c r="A1380" t="str">
        <f>"20190312150656327"</f>
        <v>20190312150656327</v>
      </c>
      <c r="B1380" t="str">
        <f>"1552374416321779"</f>
        <v>1552374416321779</v>
      </c>
      <c r="C1380" t="s">
        <v>40</v>
      </c>
      <c r="D1380">
        <v>4.2038960000000003</v>
      </c>
      <c r="E1380">
        <v>0.51498149999999998</v>
      </c>
      <c r="F1380" t="s">
        <v>47</v>
      </c>
      <c r="G1380">
        <v>-158.19499999999999</v>
      </c>
      <c r="H1380">
        <v>2.2840590000000001</v>
      </c>
      <c r="I1380">
        <v>360.01769999999999</v>
      </c>
      <c r="J1380">
        <v>-282.87389999999999</v>
      </c>
      <c r="K1380">
        <v>1.059706</v>
      </c>
      <c r="L1380">
        <v>367.21409999999997</v>
      </c>
      <c r="M1380">
        <v>0.99997250000000004</v>
      </c>
      <c r="N1380">
        <v>0</v>
      </c>
      <c r="O1380">
        <v>-5.0796800000000003E-4</v>
      </c>
      <c r="P1380">
        <v>0.99875550000000002</v>
      </c>
      <c r="Q1380">
        <v>4.6959149999999998E-2</v>
      </c>
      <c r="R1380">
        <v>-1.6809359999999999E-2</v>
      </c>
      <c r="S1380">
        <v>2.9994200000000002</v>
      </c>
      <c r="T1380">
        <v>2.942562E-2</v>
      </c>
      <c r="U1380">
        <v>-0.17294309999999999</v>
      </c>
      <c r="V1380">
        <v>1.630036E-2</v>
      </c>
      <c r="W1380">
        <v>5.435678E-2</v>
      </c>
      <c r="X1380">
        <v>0.99838850000000001</v>
      </c>
      <c r="Y1380">
        <v>5.7053380000000001E-2</v>
      </c>
      <c r="Z1380">
        <v>2.7464109999999998E-4</v>
      </c>
      <c r="AA1380">
        <v>0.99837109999999996</v>
      </c>
      <c r="AB1380">
        <v>25</v>
      </c>
      <c r="AC1380">
        <v>124.6789</v>
      </c>
      <c r="AD1380">
        <v>1.224353</v>
      </c>
      <c r="AE1380">
        <v>-7.1963999999999801</v>
      </c>
      <c r="AF1380">
        <v>7.1323789309286498</v>
      </c>
      <c r="AG1380">
        <v>1.224353</v>
      </c>
      <c r="AH1380">
        <v>124.67055707180999</v>
      </c>
      <c r="AI1380">
        <v>89.438251512265495</v>
      </c>
      <c r="AJ1380">
        <v>86.725688438482507</v>
      </c>
      <c r="AK1380">
        <v>124.880413476567</v>
      </c>
      <c r="AL1380">
        <v>86.884050137923595</v>
      </c>
      <c r="AM1380">
        <v>89.064633795444905</v>
      </c>
      <c r="AN1380">
        <v>0.99999997910017302</v>
      </c>
    </row>
    <row r="1381" spans="1:40" x14ac:dyDescent="0.25">
      <c r="A1381" t="str">
        <f>"20190312150656338"</f>
        <v>20190312150656338</v>
      </c>
      <c r="B1381" t="str">
        <f>"1552374416331538"</f>
        <v>1552374416331538</v>
      </c>
      <c r="C1381" t="s">
        <v>40</v>
      </c>
      <c r="D1381">
        <v>4.1618339999999998</v>
      </c>
      <c r="E1381">
        <v>0.51497879999999996</v>
      </c>
      <c r="F1381" t="s">
        <v>47</v>
      </c>
      <c r="G1381">
        <v>-158.19499999999999</v>
      </c>
      <c r="H1381">
        <v>2.2841369999999999</v>
      </c>
      <c r="I1381">
        <v>360.03789999999998</v>
      </c>
      <c r="J1381">
        <v>-282.74189999999999</v>
      </c>
      <c r="K1381">
        <v>1.059709</v>
      </c>
      <c r="L1381">
        <v>367.21409999999997</v>
      </c>
      <c r="M1381">
        <v>0.99997230000000004</v>
      </c>
      <c r="N1381">
        <v>0</v>
      </c>
      <c r="O1381">
        <v>-4.873287E-4</v>
      </c>
      <c r="P1381">
        <v>0.99875780000000003</v>
      </c>
      <c r="Q1381">
        <v>4.6941919999999998E-2</v>
      </c>
      <c r="R1381">
        <v>-1.6719390000000001E-2</v>
      </c>
      <c r="S1381">
        <v>2.9994200000000002</v>
      </c>
      <c r="T1381">
        <v>2.9458399999999999E-2</v>
      </c>
      <c r="U1381">
        <v>-0.17263789999999901</v>
      </c>
      <c r="V1381">
        <v>1.6231289999999999E-2</v>
      </c>
      <c r="W1381">
        <v>5.4367249999999999E-2</v>
      </c>
      <c r="X1381">
        <v>0.99838910000000003</v>
      </c>
      <c r="Y1381">
        <v>5.6972740000000001E-2</v>
      </c>
      <c r="Z1381">
        <v>2.7475470000000001E-4</v>
      </c>
      <c r="AA1381">
        <v>0.99837569999999998</v>
      </c>
      <c r="AB1381">
        <v>25</v>
      </c>
      <c r="AC1381">
        <v>124.54689999999999</v>
      </c>
      <c r="AD1381">
        <v>1.2244279999999901</v>
      </c>
      <c r="AE1381">
        <v>-7.1761999999999899</v>
      </c>
      <c r="AF1381">
        <v>7.1148168250546302</v>
      </c>
      <c r="AG1381">
        <v>1.2244279999999901</v>
      </c>
      <c r="AH1381">
        <v>124.53838570073999</v>
      </c>
      <c r="AI1381">
        <v>89.437618353907098</v>
      </c>
      <c r="AJ1381">
        <v>86.730274381263996</v>
      </c>
      <c r="AK1381">
        <v>124.747462320191</v>
      </c>
      <c r="AL1381">
        <v>86.883449502247899</v>
      </c>
      <c r="AM1381">
        <v>89.068597110413194</v>
      </c>
      <c r="AN1381">
        <v>1.0000000238232101</v>
      </c>
    </row>
    <row r="1382" spans="1:40" x14ac:dyDescent="0.25">
      <c r="A1382" t="str">
        <f>"20190312150656350"</f>
        <v>20190312150656350</v>
      </c>
      <c r="B1382" t="str">
        <f>"1552374416341299"</f>
        <v>1552374416341299</v>
      </c>
      <c r="C1382" t="s">
        <v>40</v>
      </c>
      <c r="D1382">
        <v>4.1910449999999999</v>
      </c>
      <c r="E1382">
        <v>0.5149823</v>
      </c>
      <c r="F1382" t="s">
        <v>47</v>
      </c>
      <c r="G1382">
        <v>-158.19499999999999</v>
      </c>
      <c r="H1382">
        <v>2.2778360000000002</v>
      </c>
      <c r="I1382">
        <v>360.05700000000002</v>
      </c>
      <c r="J1382">
        <v>-282.61759999999998</v>
      </c>
      <c r="K1382">
        <v>1.059712</v>
      </c>
      <c r="L1382">
        <v>367.214</v>
      </c>
      <c r="M1382">
        <v>0.99997199999999997</v>
      </c>
      <c r="N1382">
        <v>0</v>
      </c>
      <c r="O1382">
        <v>-4.6787579999999998E-4</v>
      </c>
      <c r="P1382">
        <v>0.99876339999999997</v>
      </c>
      <c r="Q1382">
        <v>4.6797690000000003E-2</v>
      </c>
      <c r="R1382">
        <v>-1.6779740000000001E-2</v>
      </c>
      <c r="S1382">
        <v>2.9994510000000001</v>
      </c>
      <c r="T1382">
        <v>2.9338119999999999E-2</v>
      </c>
      <c r="U1382">
        <v>-0.172363299999999</v>
      </c>
      <c r="V1382">
        <v>1.6311019999999999E-2</v>
      </c>
      <c r="W1382">
        <v>5.4249169999999999E-2</v>
      </c>
      <c r="X1382">
        <v>0.99839420000000001</v>
      </c>
      <c r="Y1382">
        <v>5.6900489999999998E-2</v>
      </c>
      <c r="Z1382">
        <v>2.7346789999999998E-4</v>
      </c>
      <c r="AA1382">
        <v>0.99837980000000004</v>
      </c>
      <c r="AB1382">
        <v>25</v>
      </c>
      <c r="AC1382">
        <v>124.4226</v>
      </c>
      <c r="AD1382">
        <v>1.218124</v>
      </c>
      <c r="AE1382">
        <v>-7.1570000000000302</v>
      </c>
      <c r="AF1382">
        <v>7.0981051716831596</v>
      </c>
      <c r="AG1382">
        <v>1.218124</v>
      </c>
      <c r="AH1382">
        <v>124.414049511212</v>
      </c>
      <c r="AI1382">
        <v>89.439952044405899</v>
      </c>
      <c r="AJ1382">
        <v>86.734684908515604</v>
      </c>
      <c r="AK1382">
        <v>124.622319986774</v>
      </c>
      <c r="AL1382">
        <v>86.890224913343204</v>
      </c>
      <c r="AM1382">
        <v>89.064027542423304</v>
      </c>
      <c r="AN1382">
        <v>1.00000000020638</v>
      </c>
    </row>
    <row r="1383" spans="1:40" x14ac:dyDescent="0.25">
      <c r="A1383" t="str">
        <f>"20190312150656360"</f>
        <v>20190312150656360</v>
      </c>
      <c r="B1383" t="str">
        <f>"1552374416352034"</f>
        <v>1552374416352034</v>
      </c>
      <c r="C1383" t="s">
        <v>40</v>
      </c>
      <c r="D1383">
        <v>4.167503</v>
      </c>
      <c r="E1383">
        <v>0.51499090000000003</v>
      </c>
      <c r="F1383" t="s">
        <v>47</v>
      </c>
      <c r="G1383">
        <v>-158.19499999999999</v>
      </c>
      <c r="H1383">
        <v>2.257911</v>
      </c>
      <c r="I1383">
        <v>360.05770000000001</v>
      </c>
      <c r="J1383">
        <v>-282.47770000000003</v>
      </c>
      <c r="K1383">
        <v>1.0597160000000001</v>
      </c>
      <c r="L1383">
        <v>367.21390000000002</v>
      </c>
      <c r="M1383">
        <v>0.99997190000000002</v>
      </c>
      <c r="N1383">
        <v>0</v>
      </c>
      <c r="O1383">
        <v>-4.4640899999999999E-4</v>
      </c>
      <c r="P1383">
        <v>0.99877289999999996</v>
      </c>
      <c r="Q1383">
        <v>4.6618310000000003E-2</v>
      </c>
      <c r="R1383">
        <v>-1.672007E-2</v>
      </c>
      <c r="S1383">
        <v>2.9994510000000001</v>
      </c>
      <c r="T1383">
        <v>2.8887030000000001E-2</v>
      </c>
      <c r="U1383">
        <v>-0.1725159</v>
      </c>
      <c r="V1383">
        <v>1.6272680000000001E-2</v>
      </c>
      <c r="W1383">
        <v>5.4099679999999997E-2</v>
      </c>
      <c r="X1383">
        <v>0.99840300000000004</v>
      </c>
      <c r="Y1383">
        <v>5.6972620000000002E-2</v>
      </c>
      <c r="Z1383">
        <v>2.6981660000000002E-4</v>
      </c>
      <c r="AA1383">
        <v>0.99837569999999998</v>
      </c>
      <c r="AB1383">
        <v>25</v>
      </c>
      <c r="AC1383">
        <v>124.28270000000001</v>
      </c>
      <c r="AD1383">
        <v>1.1981949999999999</v>
      </c>
      <c r="AE1383">
        <v>-7.1562000000000099</v>
      </c>
      <c r="AF1383">
        <v>7.1000590717267897</v>
      </c>
      <c r="AG1383">
        <v>1.1981949999999999</v>
      </c>
      <c r="AH1383">
        <v>124.274369583362</v>
      </c>
      <c r="AI1383">
        <v>89.448497453530507</v>
      </c>
      <c r="AJ1383">
        <v>86.730124865454002</v>
      </c>
      <c r="AK1383">
        <v>124.482791764252</v>
      </c>
      <c r="AL1383">
        <v>86.898802850720301</v>
      </c>
      <c r="AM1383">
        <v>89.066235438938506</v>
      </c>
      <c r="AN1383">
        <v>1.0000000629497401</v>
      </c>
    </row>
    <row r="1384" spans="1:40" x14ac:dyDescent="0.25">
      <c r="A1384" t="str">
        <f>"20190312150656373"</f>
        <v>20190312150656373</v>
      </c>
      <c r="B1384" t="str">
        <f>"1552374416361795"</f>
        <v>1552374416361795</v>
      </c>
      <c r="C1384" t="s">
        <v>40</v>
      </c>
      <c r="D1384">
        <v>4.1848260000000002</v>
      </c>
      <c r="E1384">
        <v>0.51500069999999998</v>
      </c>
      <c r="F1384" t="s">
        <v>47</v>
      </c>
      <c r="G1384">
        <v>-158.19499999999999</v>
      </c>
      <c r="H1384">
        <v>2.231932</v>
      </c>
      <c r="I1384">
        <v>360.06580000000002</v>
      </c>
      <c r="J1384">
        <v>-282.34989999999999</v>
      </c>
      <c r="K1384">
        <v>1.059715</v>
      </c>
      <c r="L1384">
        <v>367.21390000000002</v>
      </c>
      <c r="M1384">
        <v>0.99997170000000002</v>
      </c>
      <c r="N1384">
        <v>0</v>
      </c>
      <c r="O1384">
        <v>-4.2672519999999999E-4</v>
      </c>
      <c r="P1384">
        <v>0.99877539999999998</v>
      </c>
      <c r="Q1384">
        <v>4.6536979999999999E-2</v>
      </c>
      <c r="R1384">
        <v>-1.680591E-2</v>
      </c>
      <c r="S1384">
        <v>2.9994809999999998</v>
      </c>
      <c r="T1384">
        <v>2.829278E-2</v>
      </c>
      <c r="U1384">
        <v>-0.1725159</v>
      </c>
      <c r="V1384">
        <v>1.63781E-2</v>
      </c>
      <c r="W1384">
        <v>5.4046339999999998E-2</v>
      </c>
      <c r="X1384">
        <v>0.99840410000000002</v>
      </c>
      <c r="Y1384">
        <v>5.6991800000000002E-2</v>
      </c>
      <c r="Z1384">
        <v>2.645395E-4</v>
      </c>
      <c r="AA1384">
        <v>0.9983746</v>
      </c>
      <c r="AB1384">
        <v>25</v>
      </c>
      <c r="AC1384">
        <v>124.1549</v>
      </c>
      <c r="AD1384">
        <v>1.1722170000000001</v>
      </c>
      <c r="AE1384">
        <v>-7.1481000000000003</v>
      </c>
      <c r="AF1384">
        <v>7.0944874940448601</v>
      </c>
      <c r="AG1384">
        <v>1.1722170000000001</v>
      </c>
      <c r="AH1384">
        <v>124.146908763941</v>
      </c>
      <c r="AI1384">
        <v>89.459900343334496</v>
      </c>
      <c r="AJ1384">
        <v>86.729337997560194</v>
      </c>
      <c r="AK1384">
        <v>124.35497899617999</v>
      </c>
      <c r="AL1384">
        <v>86.901863283624706</v>
      </c>
      <c r="AM1384">
        <v>89.060188308733899</v>
      </c>
      <c r="AN1384">
        <v>0.99999999796190697</v>
      </c>
    </row>
    <row r="1385" spans="1:40" x14ac:dyDescent="0.25">
      <c r="A1385" t="str">
        <f>"20190312150656385"</f>
        <v>20190312150656385</v>
      </c>
      <c r="B1385" t="str">
        <f>"1552374416381824"</f>
        <v>1552374416381824</v>
      </c>
      <c r="C1385" t="s">
        <v>40</v>
      </c>
      <c r="D1385">
        <v>4.1725260000000004</v>
      </c>
      <c r="E1385">
        <v>0.51508909999999997</v>
      </c>
      <c r="F1385" t="s">
        <v>47</v>
      </c>
      <c r="G1385">
        <v>-158.19499999999999</v>
      </c>
      <c r="H1385">
        <v>2.2275130000000001</v>
      </c>
      <c r="I1385">
        <v>360.0591</v>
      </c>
      <c r="J1385">
        <v>-282.20710000000003</v>
      </c>
      <c r="K1385">
        <v>1.0597160000000001</v>
      </c>
      <c r="L1385">
        <v>367.21390000000002</v>
      </c>
      <c r="M1385">
        <v>0.99997150000000001</v>
      </c>
      <c r="N1385">
        <v>0</v>
      </c>
      <c r="O1385">
        <v>-4.0479060000000002E-4</v>
      </c>
      <c r="P1385">
        <v>0.99878990000000001</v>
      </c>
      <c r="Q1385">
        <v>4.618705E-2</v>
      </c>
      <c r="R1385">
        <v>-1.6902469999999999E-2</v>
      </c>
      <c r="S1385">
        <v>2.9994200000000002</v>
      </c>
      <c r="T1385">
        <v>2.8214570000000001E-2</v>
      </c>
      <c r="U1385">
        <v>-0.17285159999999999</v>
      </c>
      <c r="V1385">
        <v>1.6496650000000002E-2</v>
      </c>
      <c r="W1385">
        <v>5.3728280000000003E-2</v>
      </c>
      <c r="X1385">
        <v>0.99841930000000001</v>
      </c>
      <c r="Y1385">
        <v>5.7126240000000002E-2</v>
      </c>
      <c r="Z1385">
        <v>2.6465080000000001E-4</v>
      </c>
      <c r="AA1385">
        <v>0.998367</v>
      </c>
      <c r="AB1385">
        <v>25</v>
      </c>
      <c r="AC1385">
        <v>124.0121</v>
      </c>
      <c r="AD1385">
        <v>1.167797</v>
      </c>
      <c r="AE1385">
        <v>-7.1548000000000203</v>
      </c>
      <c r="AF1385">
        <v>7.1039711922919997</v>
      </c>
      <c r="AG1385">
        <v>1.167797</v>
      </c>
      <c r="AH1385">
        <v>124.00402640492101</v>
      </c>
      <c r="AI1385">
        <v>89.461321171720698</v>
      </c>
      <c r="AJ1385">
        <v>86.721210000404298</v>
      </c>
      <c r="AK1385">
        <v>124.212836378397</v>
      </c>
      <c r="AL1385">
        <v>86.920113250312696</v>
      </c>
      <c r="AM1385">
        <v>89.053401288955001</v>
      </c>
      <c r="AN1385">
        <v>0.99999998307273497</v>
      </c>
    </row>
    <row r="1386" spans="1:40" x14ac:dyDescent="0.25">
      <c r="A1386" t="str">
        <f>"20190312150656398"</f>
        <v>20190312150656398</v>
      </c>
      <c r="B1386" t="str">
        <f>"1552374416391583"</f>
        <v>1552374416391583</v>
      </c>
      <c r="C1386" t="s">
        <v>40</v>
      </c>
      <c r="D1386">
        <v>4.1802720000000004</v>
      </c>
      <c r="E1386">
        <v>0.51509910000000003</v>
      </c>
      <c r="F1386" t="s">
        <v>47</v>
      </c>
      <c r="G1386">
        <v>-158.19499999999999</v>
      </c>
      <c r="H1386">
        <v>2.214251</v>
      </c>
      <c r="I1386">
        <v>360.02300000000002</v>
      </c>
      <c r="J1386">
        <v>-282.06150000000002</v>
      </c>
      <c r="K1386">
        <v>1.059717</v>
      </c>
      <c r="L1386">
        <v>367.21390000000002</v>
      </c>
      <c r="M1386">
        <v>0.99997119999999995</v>
      </c>
      <c r="N1386">
        <v>0</v>
      </c>
      <c r="O1386">
        <v>-3.8226379999999998E-4</v>
      </c>
      <c r="P1386">
        <v>0.998803</v>
      </c>
      <c r="Q1386">
        <v>4.5885530000000001E-2</v>
      </c>
      <c r="R1386">
        <v>-1.69482E-2</v>
      </c>
      <c r="S1386">
        <v>2.99939</v>
      </c>
      <c r="T1386">
        <v>2.7925970000000001E-2</v>
      </c>
      <c r="U1386">
        <v>-0.17391970000000001</v>
      </c>
      <c r="V1386">
        <v>1.6565E-2</v>
      </c>
      <c r="W1386">
        <v>5.3459720000000002E-2</v>
      </c>
      <c r="X1386">
        <v>0.9984326</v>
      </c>
      <c r="Y1386">
        <v>5.7503680000000001E-2</v>
      </c>
      <c r="Z1386">
        <v>2.63909E-4</v>
      </c>
      <c r="AA1386">
        <v>0.99834529999999999</v>
      </c>
      <c r="AB1386">
        <v>25</v>
      </c>
      <c r="AC1386">
        <v>123.8665</v>
      </c>
      <c r="AD1386">
        <v>1.1545339999999999</v>
      </c>
      <c r="AE1386">
        <v>-7.1908999999999903</v>
      </c>
      <c r="AF1386">
        <v>7.1429299621220297</v>
      </c>
      <c r="AG1386">
        <v>1.1545339999999999</v>
      </c>
      <c r="AH1386">
        <v>123.858515513885</v>
      </c>
      <c r="AI1386">
        <v>89.466824782828894</v>
      </c>
      <c r="AJ1386">
        <v>86.699403902549506</v>
      </c>
      <c r="AK1386">
        <v>124.069683091819</v>
      </c>
      <c r="AL1386">
        <v>86.935522799854198</v>
      </c>
      <c r="AM1386">
        <v>89.049492656740895</v>
      </c>
      <c r="AN1386">
        <v>0.99999999881511903</v>
      </c>
    </row>
    <row r="1387" spans="1:40" x14ac:dyDescent="0.25">
      <c r="A1387" t="str">
        <f>"20190312150656411"</f>
        <v>20190312150656411</v>
      </c>
      <c r="B1387" t="str">
        <f>"1552374416401345"</f>
        <v>1552374416401345</v>
      </c>
      <c r="C1387" t="s">
        <v>40</v>
      </c>
      <c r="D1387">
        <v>4.2017410000000002</v>
      </c>
      <c r="E1387">
        <v>0.51511079999999998</v>
      </c>
      <c r="F1387" t="s">
        <v>47</v>
      </c>
      <c r="G1387">
        <v>-158.19499999999999</v>
      </c>
      <c r="H1387">
        <v>2.203935</v>
      </c>
      <c r="I1387">
        <v>360.02269999999999</v>
      </c>
      <c r="J1387">
        <v>-281.91320000000002</v>
      </c>
      <c r="K1387">
        <v>1.0597160000000001</v>
      </c>
      <c r="L1387">
        <v>367.21379999999999</v>
      </c>
      <c r="M1387">
        <v>0.99997100000000005</v>
      </c>
      <c r="N1387">
        <v>0</v>
      </c>
      <c r="O1387">
        <v>-3.5950370000000003E-4</v>
      </c>
      <c r="P1387">
        <v>0.99881120000000001</v>
      </c>
      <c r="Q1387">
        <v>4.5723069999999998E-2</v>
      </c>
      <c r="R1387">
        <v>-1.690324E-2</v>
      </c>
      <c r="S1387">
        <v>2.99939</v>
      </c>
      <c r="T1387">
        <v>2.7709009999999999E-2</v>
      </c>
      <c r="U1387">
        <v>-0.17413329999999999</v>
      </c>
      <c r="V1387">
        <v>1.654255E-2</v>
      </c>
      <c r="W1387">
        <v>5.3331629999999998E-2</v>
      </c>
      <c r="X1387">
        <v>0.99843979999999999</v>
      </c>
      <c r="Y1387">
        <v>5.7597309999999999E-2</v>
      </c>
      <c r="Z1387">
        <v>2.6250029999999998E-4</v>
      </c>
      <c r="AA1387">
        <v>0.99833989999999995</v>
      </c>
      <c r="AB1387">
        <v>25</v>
      </c>
      <c r="AC1387">
        <v>123.7182</v>
      </c>
      <c r="AD1387">
        <v>1.1442190000000001</v>
      </c>
      <c r="AE1387">
        <v>-7.1910999999999996</v>
      </c>
      <c r="AF1387">
        <v>7.1460119113958998</v>
      </c>
      <c r="AG1387">
        <v>1.1442190000000001</v>
      </c>
      <c r="AH1387">
        <v>123.71023120488201</v>
      </c>
      <c r="AI1387">
        <v>89.470957601385393</v>
      </c>
      <c r="AJ1387">
        <v>86.694033786358204</v>
      </c>
      <c r="AK1387">
        <v>123.92173347772</v>
      </c>
      <c r="AL1387">
        <v>86.942872232446206</v>
      </c>
      <c r="AM1387">
        <v>89.050787456049903</v>
      </c>
      <c r="AN1387">
        <v>0.99999997647149896</v>
      </c>
    </row>
    <row r="1388" spans="1:40" x14ac:dyDescent="0.25">
      <c r="A1388" t="str">
        <f>"20190312150656423"</f>
        <v>20190312150656423</v>
      </c>
      <c r="B1388" t="str">
        <f>"1552374416412079"</f>
        <v>1552374416412079</v>
      </c>
      <c r="C1388" t="s">
        <v>40</v>
      </c>
      <c r="D1388">
        <v>4.1972950000000004</v>
      </c>
      <c r="E1388">
        <v>0.51511470000000004</v>
      </c>
      <c r="F1388" t="s">
        <v>47</v>
      </c>
      <c r="G1388">
        <v>-158.19499999999999</v>
      </c>
      <c r="H1388">
        <v>2.1985980000000001</v>
      </c>
      <c r="I1388">
        <v>360.03870000000001</v>
      </c>
      <c r="J1388">
        <v>-281.7704</v>
      </c>
      <c r="K1388">
        <v>1.0597179999999999</v>
      </c>
      <c r="L1388">
        <v>367.21379999999999</v>
      </c>
      <c r="M1388">
        <v>0.99997060000000004</v>
      </c>
      <c r="N1388">
        <v>0</v>
      </c>
      <c r="O1388">
        <v>-3.3757600000000002E-4</v>
      </c>
      <c r="P1388">
        <v>0.99882660000000001</v>
      </c>
      <c r="Q1388">
        <v>4.5247999999999997E-2</v>
      </c>
      <c r="R1388">
        <v>-1.7263839999999999E-2</v>
      </c>
      <c r="S1388">
        <v>2.9993590000000001</v>
      </c>
      <c r="T1388">
        <v>2.7612569999999999E-2</v>
      </c>
      <c r="U1388">
        <v>-0.1739502</v>
      </c>
      <c r="V1388">
        <v>1.692515E-2</v>
      </c>
      <c r="W1388">
        <v>5.2889760000000001E-2</v>
      </c>
      <c r="X1388">
        <v>0.99845689999999998</v>
      </c>
      <c r="Y1388">
        <v>5.7559069999999997E-2</v>
      </c>
      <c r="Z1388">
        <v>2.616157E-4</v>
      </c>
      <c r="AA1388">
        <v>0.99834210000000001</v>
      </c>
      <c r="AB1388">
        <v>26</v>
      </c>
      <c r="AC1388">
        <v>123.5754</v>
      </c>
      <c r="AD1388">
        <v>1.1388799999999999</v>
      </c>
      <c r="AE1388">
        <v>-7.17509999999998</v>
      </c>
      <c r="AF1388">
        <v>7.1327784835679999</v>
      </c>
      <c r="AG1388">
        <v>1.1388799999999999</v>
      </c>
      <c r="AH1388">
        <v>123.567355115807</v>
      </c>
      <c r="AI1388">
        <v>89.472815962862299</v>
      </c>
      <c r="AJ1388">
        <v>86.6963353881698</v>
      </c>
      <c r="AK1388">
        <v>123.778288996358</v>
      </c>
      <c r="AL1388">
        <v>86.968225325595597</v>
      </c>
      <c r="AM1388">
        <v>89.028854630816298</v>
      </c>
      <c r="AN1388">
        <v>0.99999998428649395</v>
      </c>
    </row>
    <row r="1389" spans="1:40" x14ac:dyDescent="0.25">
      <c r="A1389" t="str">
        <f>"20190312150656435"</f>
        <v>20190312150656435</v>
      </c>
      <c r="B1389" t="str">
        <f>"1552374416431600"</f>
        <v>1552374416431600</v>
      </c>
      <c r="C1389" t="s">
        <v>40</v>
      </c>
      <c r="D1389">
        <v>4.2459199999999999</v>
      </c>
      <c r="E1389">
        <v>0.51529879999999995</v>
      </c>
      <c r="F1389" t="s">
        <v>47</v>
      </c>
      <c r="G1389">
        <v>-158.19499999999999</v>
      </c>
      <c r="H1389">
        <v>2.10826</v>
      </c>
      <c r="I1389">
        <v>360.00170000000003</v>
      </c>
      <c r="J1389">
        <v>-281.6397</v>
      </c>
      <c r="K1389">
        <v>1.059717</v>
      </c>
      <c r="L1389">
        <v>367.21379999999999</v>
      </c>
      <c r="M1389">
        <v>0.99997040000000004</v>
      </c>
      <c r="N1389">
        <v>0</v>
      </c>
      <c r="O1389">
        <v>-3.1720769999999998E-4</v>
      </c>
      <c r="P1389">
        <v>0.99884189999999995</v>
      </c>
      <c r="Q1389">
        <v>4.4888839999999999E-2</v>
      </c>
      <c r="R1389">
        <v>-1.7314449999999999E-2</v>
      </c>
      <c r="S1389">
        <v>2.9993590000000001</v>
      </c>
      <c r="T1389">
        <v>2.545178E-2</v>
      </c>
      <c r="U1389">
        <v>-0.17504879999999901</v>
      </c>
      <c r="V1389">
        <v>1.6995940000000001E-2</v>
      </c>
      <c r="W1389">
        <v>5.2566439999999999E-2</v>
      </c>
      <c r="X1389">
        <v>0.99847280000000005</v>
      </c>
      <c r="Y1389">
        <v>5.794419E-2</v>
      </c>
      <c r="Z1389">
        <v>2.4294679999999999E-4</v>
      </c>
      <c r="AA1389">
        <v>0.99831979999999998</v>
      </c>
      <c r="AB1389">
        <v>26</v>
      </c>
      <c r="AC1389">
        <v>123.4447</v>
      </c>
      <c r="AD1389">
        <v>1.048543</v>
      </c>
      <c r="AE1389">
        <v>-7.2120999999999604</v>
      </c>
      <c r="AF1389">
        <v>7.17242515090647</v>
      </c>
      <c r="AG1389">
        <v>1.048543</v>
      </c>
      <c r="AH1389">
        <v>123.438106005585</v>
      </c>
      <c r="AI1389">
        <v>89.514133102453101</v>
      </c>
      <c r="AJ1389">
        <v>86.674542818112002</v>
      </c>
      <c r="AK1389">
        <v>123.65075470539701</v>
      </c>
      <c r="AL1389">
        <v>86.9867760881218</v>
      </c>
      <c r="AM1389">
        <v>89.0248090924688</v>
      </c>
      <c r="AN1389">
        <v>1.0000000124652899</v>
      </c>
    </row>
    <row r="1390" spans="1:40" x14ac:dyDescent="0.25">
      <c r="A1390" t="str">
        <f>"20190312150656451"</f>
        <v>20190312150656451</v>
      </c>
      <c r="B1390" t="str">
        <f>"1552374416441358"</f>
        <v>1552374416441358</v>
      </c>
      <c r="C1390" t="s">
        <v>40</v>
      </c>
      <c r="D1390">
        <v>4.3302069999999997</v>
      </c>
      <c r="E1390">
        <v>0.51541769999999998</v>
      </c>
      <c r="F1390" t="s">
        <v>47</v>
      </c>
      <c r="G1390">
        <v>-158.19499999999999</v>
      </c>
      <c r="H1390">
        <v>2.0441240000000001</v>
      </c>
      <c r="I1390">
        <v>359.935</v>
      </c>
      <c r="J1390">
        <v>-281.46260000000001</v>
      </c>
      <c r="K1390">
        <v>1.0597209999999999</v>
      </c>
      <c r="L1390">
        <v>367.21370000000002</v>
      </c>
      <c r="M1390">
        <v>0.99997009999999997</v>
      </c>
      <c r="N1390">
        <v>0</v>
      </c>
      <c r="O1390">
        <v>-2.8999229999999998E-4</v>
      </c>
      <c r="P1390">
        <v>0.99884269999999997</v>
      </c>
      <c r="Q1390">
        <v>4.4510870000000001E-2</v>
      </c>
      <c r="R1390">
        <v>-1.8230619999999999E-2</v>
      </c>
      <c r="S1390">
        <v>2.999298</v>
      </c>
      <c r="T1390">
        <v>2.3919940000000001E-2</v>
      </c>
      <c r="U1390">
        <v>-0.17684939999999999</v>
      </c>
      <c r="V1390">
        <v>1.7939420000000001E-2</v>
      </c>
      <c r="W1390">
        <v>5.2240729999999999E-2</v>
      </c>
      <c r="X1390">
        <v>0.99847339999999996</v>
      </c>
      <c r="Y1390">
        <v>5.8569999999999997E-2</v>
      </c>
      <c r="Z1390">
        <v>2.3103610000000001E-4</v>
      </c>
      <c r="AA1390">
        <v>0.99828329999999998</v>
      </c>
      <c r="AB1390">
        <v>26</v>
      </c>
      <c r="AC1390">
        <v>123.2676</v>
      </c>
      <c r="AD1390">
        <v>0.98440300000000003</v>
      </c>
      <c r="AE1390">
        <v>-7.2787000000000104</v>
      </c>
      <c r="AF1390">
        <v>7.2424916893260702</v>
      </c>
      <c r="AG1390">
        <v>0.98440300000000003</v>
      </c>
      <c r="AH1390">
        <v>123.26187197909</v>
      </c>
      <c r="AI1390">
        <v>89.543217752309403</v>
      </c>
      <c r="AJ1390">
        <v>86.637340897712704</v>
      </c>
      <c r="AK1390">
        <v>123.47838603952501</v>
      </c>
      <c r="AL1390">
        <v>87.005463606468794</v>
      </c>
      <c r="AM1390">
        <v>88.970686174789293</v>
      </c>
      <c r="AN1390">
        <v>1.0000000235842099</v>
      </c>
    </row>
    <row r="1391" spans="1:40" x14ac:dyDescent="0.25">
      <c r="A1391" t="str">
        <f>"20190312150656461"</f>
        <v>20190312150656461</v>
      </c>
      <c r="B1391" t="str">
        <f>"1552374416452096"</f>
        <v>1552374416452096</v>
      </c>
      <c r="C1391" t="s">
        <v>40</v>
      </c>
      <c r="D1391">
        <v>4.2492070000000002</v>
      </c>
      <c r="E1391">
        <v>0.51553640000000001</v>
      </c>
      <c r="F1391" t="s">
        <v>47</v>
      </c>
      <c r="G1391">
        <v>-158.19499999999999</v>
      </c>
      <c r="H1391">
        <v>1.9707870000000001</v>
      </c>
      <c r="I1391">
        <v>359.78710000000001</v>
      </c>
      <c r="J1391">
        <v>-281.3229</v>
      </c>
      <c r="K1391">
        <v>1.0597289999999999</v>
      </c>
      <c r="L1391">
        <v>367.21370000000002</v>
      </c>
      <c r="M1391">
        <v>0.99996969999999996</v>
      </c>
      <c r="N1391">
        <v>0</v>
      </c>
      <c r="O1391">
        <v>-2.683575E-4</v>
      </c>
      <c r="P1391">
        <v>0.99884779999999995</v>
      </c>
      <c r="Q1391">
        <v>4.4206219999999997E-2</v>
      </c>
      <c r="R1391">
        <v>-1.8683720000000001E-2</v>
      </c>
      <c r="S1391">
        <v>2.9991759999999998</v>
      </c>
      <c r="T1391">
        <v>2.216887E-2</v>
      </c>
      <c r="U1391">
        <v>-0.18069460000000001</v>
      </c>
      <c r="V1391">
        <v>1.8413990000000002E-2</v>
      </c>
      <c r="W1391">
        <v>5.1982630000000002E-2</v>
      </c>
      <c r="X1391">
        <v>0.99847819999999998</v>
      </c>
      <c r="Y1391">
        <v>5.9869529999999997E-2</v>
      </c>
      <c r="Z1391">
        <v>2.1908219999999999E-4</v>
      </c>
      <c r="AA1391">
        <v>0.99820620000000004</v>
      </c>
      <c r="AB1391">
        <v>26</v>
      </c>
      <c r="AC1391">
        <v>123.1279</v>
      </c>
      <c r="AD1391">
        <v>0.91105799999999904</v>
      </c>
      <c r="AE1391">
        <v>-7.4265999999999996</v>
      </c>
      <c r="AF1391">
        <v>7.3931531338948897</v>
      </c>
      <c r="AG1391">
        <v>0.91105799999999904</v>
      </c>
      <c r="AH1391">
        <v>123.123172129279</v>
      </c>
      <c r="AI1391">
        <v>89.576806077095199</v>
      </c>
      <c r="AJ1391">
        <v>86.563697523575499</v>
      </c>
      <c r="AK1391">
        <v>123.348304630087</v>
      </c>
      <c r="AL1391">
        <v>87.0202716741274</v>
      </c>
      <c r="AM1391">
        <v>88.943467844082704</v>
      </c>
      <c r="AN1391">
        <v>0.99999999236233805</v>
      </c>
    </row>
    <row r="1392" spans="1:40" x14ac:dyDescent="0.25">
      <c r="A1392" t="str">
        <f>"20190312150656474"</f>
        <v>20190312150656474</v>
      </c>
      <c r="B1392" t="str">
        <f>"1552374416461856"</f>
        <v>1552374416461856</v>
      </c>
      <c r="C1392" t="s">
        <v>40</v>
      </c>
      <c r="D1392">
        <v>4.2113440000000004</v>
      </c>
      <c r="E1392">
        <v>0.51564690000000002</v>
      </c>
      <c r="F1392" t="s">
        <v>47</v>
      </c>
      <c r="G1392">
        <v>-158.19499999999999</v>
      </c>
      <c r="H1392">
        <v>1.912474</v>
      </c>
      <c r="I1392">
        <v>359.69760000000002</v>
      </c>
      <c r="J1392">
        <v>-281.19310000000002</v>
      </c>
      <c r="K1392">
        <v>1.059882</v>
      </c>
      <c r="L1392">
        <v>367.21370000000002</v>
      </c>
      <c r="M1392">
        <v>0.99996510000000005</v>
      </c>
      <c r="N1392">
        <v>0</v>
      </c>
      <c r="O1392">
        <v>-2.5090570000000002E-4</v>
      </c>
      <c r="P1392">
        <v>0.99887130000000002</v>
      </c>
      <c r="Q1392">
        <v>4.3414189999999998E-2</v>
      </c>
      <c r="R1392">
        <v>-1.9279129999999998E-2</v>
      </c>
      <c r="S1392">
        <v>2.9991150000000002</v>
      </c>
      <c r="T1392">
        <v>2.0773050000000001E-2</v>
      </c>
      <c r="U1392">
        <v>-0.18307499999999999</v>
      </c>
      <c r="V1392">
        <v>1.9027140000000001E-2</v>
      </c>
      <c r="W1392">
        <v>5.1770249999999997E-2</v>
      </c>
      <c r="X1392">
        <v>0.99847779999999997</v>
      </c>
      <c r="Y1392">
        <v>6.0677679999999998E-2</v>
      </c>
      <c r="Z1392">
        <v>2.0820459999999999E-4</v>
      </c>
      <c r="AA1392">
        <v>0.99815739999999997</v>
      </c>
      <c r="AB1392">
        <v>26</v>
      </c>
      <c r="AC1392">
        <v>122.99809999999999</v>
      </c>
      <c r="AD1392">
        <v>0.85259200000000002</v>
      </c>
      <c r="AE1392">
        <v>-7.51609999999999</v>
      </c>
      <c r="AF1392">
        <v>7.4848794587706697</v>
      </c>
      <c r="AG1392">
        <v>0.85259200000000002</v>
      </c>
      <c r="AH1392">
        <v>122.994094250321</v>
      </c>
      <c r="AI1392">
        <v>89.603566818296699</v>
      </c>
      <c r="AJ1392">
        <v>86.517525699685294</v>
      </c>
      <c r="AK1392">
        <v>123.224581776882</v>
      </c>
      <c r="AL1392">
        <v>87.032456741689003</v>
      </c>
      <c r="AM1392">
        <v>88.908295321034998</v>
      </c>
      <c r="AN1392">
        <v>1.00000005396723</v>
      </c>
    </row>
    <row r="1393" spans="1:40" x14ac:dyDescent="0.25">
      <c r="A1393" t="str">
        <f>"20190312150656486"</f>
        <v>20190312150656486</v>
      </c>
      <c r="B1393" t="str">
        <f>"1552374416481377"</f>
        <v>1552374416481377</v>
      </c>
      <c r="C1393" t="s">
        <v>40</v>
      </c>
      <c r="D1393">
        <v>4.4182129999999997</v>
      </c>
      <c r="E1393">
        <v>0.51584070000000004</v>
      </c>
      <c r="F1393" t="s">
        <v>47</v>
      </c>
      <c r="G1393">
        <v>-158.19499999999999</v>
      </c>
      <c r="H1393">
        <v>1.7968409999999999</v>
      </c>
      <c r="I1393">
        <v>359.59890000000001</v>
      </c>
      <c r="J1393">
        <v>-281.05329999999998</v>
      </c>
      <c r="K1393">
        <v>1.060109</v>
      </c>
      <c r="L1393">
        <v>367.21370000000002</v>
      </c>
      <c r="M1393">
        <v>0.99995849999999997</v>
      </c>
      <c r="N1393">
        <v>0</v>
      </c>
      <c r="O1393">
        <v>-2.3202809999999999E-4</v>
      </c>
      <c r="P1393">
        <v>0.99890020000000002</v>
      </c>
      <c r="Q1393">
        <v>4.2467779999999997E-2</v>
      </c>
      <c r="R1393">
        <v>-1.9868810000000001E-2</v>
      </c>
      <c r="S1393">
        <v>2.9990230000000002</v>
      </c>
      <c r="T1393">
        <v>1.797116E-2</v>
      </c>
      <c r="U1393">
        <v>-0.1856689</v>
      </c>
      <c r="V1393">
        <v>1.9635799999999998E-2</v>
      </c>
      <c r="W1393">
        <v>5.1576909999999997E-2</v>
      </c>
      <c r="X1393">
        <v>0.99847600000000003</v>
      </c>
      <c r="Y1393">
        <v>6.1558799999999997E-2</v>
      </c>
      <c r="Z1393">
        <v>1.8287340000000001E-4</v>
      </c>
      <c r="AA1393">
        <v>0.99810339999999997</v>
      </c>
      <c r="AB1393">
        <v>26</v>
      </c>
      <c r="AC1393">
        <v>122.8583</v>
      </c>
      <c r="AD1393">
        <v>0.73673199999999905</v>
      </c>
      <c r="AE1393">
        <v>-7.6147999999999998</v>
      </c>
      <c r="AF1393">
        <v>7.5860202914521997</v>
      </c>
      <c r="AG1393">
        <v>0.73673199999999905</v>
      </c>
      <c r="AH1393">
        <v>122.855662727911</v>
      </c>
      <c r="AI1393">
        <v>89.657070024233704</v>
      </c>
      <c r="AJ1393">
        <v>86.466619466684804</v>
      </c>
      <c r="AK1393">
        <v>123.091853273141</v>
      </c>
      <c r="AL1393">
        <v>87.043549062505207</v>
      </c>
      <c r="AM1393">
        <v>88.873379564146006</v>
      </c>
      <c r="AN1393">
        <v>1.00000003243139</v>
      </c>
    </row>
    <row r="1394" spans="1:40" x14ac:dyDescent="0.25">
      <c r="A1394" t="str">
        <f>"20190312150656496"</f>
        <v>20190312150656496</v>
      </c>
      <c r="B1394" t="str">
        <f>"1552374416492111"</f>
        <v>1552374416492111</v>
      </c>
      <c r="C1394" t="s">
        <v>40</v>
      </c>
      <c r="D1394">
        <v>4.2236609999999999</v>
      </c>
      <c r="E1394">
        <v>0.51593889999999998</v>
      </c>
      <c r="F1394" t="s">
        <v>47</v>
      </c>
      <c r="G1394">
        <v>-158.19499999999999</v>
      </c>
      <c r="H1394">
        <v>1.6492690000000001</v>
      </c>
      <c r="I1394">
        <v>359.45850000000002</v>
      </c>
      <c r="J1394">
        <v>-280.93950000000001</v>
      </c>
      <c r="K1394">
        <v>1.0604370000000001</v>
      </c>
      <c r="L1394">
        <v>367.21370000000002</v>
      </c>
      <c r="M1394">
        <v>0.9999519</v>
      </c>
      <c r="N1394">
        <v>0</v>
      </c>
      <c r="O1394">
        <v>-2.1664310000000001E-4</v>
      </c>
      <c r="P1394">
        <v>0.99892650000000005</v>
      </c>
      <c r="Q1394">
        <v>4.1548620000000001E-2</v>
      </c>
      <c r="R1394">
        <v>-2.049695E-2</v>
      </c>
      <c r="S1394">
        <v>2.998901</v>
      </c>
      <c r="T1394">
        <v>1.43832E-2</v>
      </c>
      <c r="U1394">
        <v>-0.18930050000000001</v>
      </c>
      <c r="V1394">
        <v>2.027926E-2</v>
      </c>
      <c r="W1394">
        <v>5.1359759999999997E-2</v>
      </c>
      <c r="X1394">
        <v>0.99847430000000004</v>
      </c>
      <c r="Y1394">
        <v>6.2780970000000005E-2</v>
      </c>
      <c r="Z1394">
        <v>1.4936499999999999E-4</v>
      </c>
      <c r="AA1394">
        <v>0.99802729999999995</v>
      </c>
      <c r="AB1394">
        <v>25</v>
      </c>
      <c r="AC1394">
        <v>122.7445</v>
      </c>
      <c r="AD1394">
        <v>0.58883199999999902</v>
      </c>
      <c r="AE1394">
        <v>-7.7552000000000003</v>
      </c>
      <c r="AF1394">
        <v>7.7284296410697104</v>
      </c>
      <c r="AG1394">
        <v>0.58883199999999902</v>
      </c>
      <c r="AH1394">
        <v>122.743363813146</v>
      </c>
      <c r="AI1394">
        <v>89.725682494926005</v>
      </c>
      <c r="AJ1394">
        <v>86.397176931398405</v>
      </c>
      <c r="AK1394">
        <v>122.98783967534099</v>
      </c>
      <c r="AL1394">
        <v>87.056007258578305</v>
      </c>
      <c r="AM1394">
        <v>88.836468516668603</v>
      </c>
      <c r="AN1394">
        <v>1.00000000054694</v>
      </c>
    </row>
    <row r="1395" spans="1:40" x14ac:dyDescent="0.25">
      <c r="A1395" t="str">
        <f>"20190312150656507"</f>
        <v>20190312150656507</v>
      </c>
      <c r="B1395" t="str">
        <f>"1552374416501871"</f>
        <v>1552374416501871</v>
      </c>
      <c r="C1395" t="s">
        <v>40</v>
      </c>
      <c r="D1395">
        <v>4.3255929999999996</v>
      </c>
      <c r="E1395">
        <v>0.51604369999999999</v>
      </c>
      <c r="F1395" t="s">
        <v>47</v>
      </c>
      <c r="G1395">
        <v>-158.19499999999999</v>
      </c>
      <c r="H1395">
        <v>1.5208930000000001</v>
      </c>
      <c r="I1395">
        <v>359.35930000000002</v>
      </c>
      <c r="J1395">
        <v>-280.82299999999998</v>
      </c>
      <c r="K1395">
        <v>1.0607549999999999</v>
      </c>
      <c r="L1395">
        <v>367.21370000000002</v>
      </c>
      <c r="M1395">
        <v>0.99994689999999997</v>
      </c>
      <c r="N1395">
        <v>0</v>
      </c>
      <c r="O1395">
        <v>-2.0059860000000001E-4</v>
      </c>
      <c r="P1395">
        <v>0.99893799999999999</v>
      </c>
      <c r="Q1395">
        <v>4.0858539999999999E-2</v>
      </c>
      <c r="R1395">
        <v>-2.1295379999999999E-2</v>
      </c>
      <c r="S1395">
        <v>2.9988100000000002</v>
      </c>
      <c r="T1395">
        <v>1.125169E-2</v>
      </c>
      <c r="U1395">
        <v>-0.1918945</v>
      </c>
      <c r="V1395">
        <v>2.1093810000000001E-2</v>
      </c>
      <c r="W1395">
        <v>5.1152610000000001E-2</v>
      </c>
      <c r="X1395">
        <v>0.99846800000000002</v>
      </c>
      <c r="Y1395">
        <v>6.3658989999999999E-2</v>
      </c>
      <c r="Z1395">
        <v>1.185516E-4</v>
      </c>
      <c r="AA1395">
        <v>0.99797170000000002</v>
      </c>
      <c r="AB1395">
        <v>25</v>
      </c>
      <c r="AC1395">
        <v>122.628</v>
      </c>
      <c r="AD1395">
        <v>0.46013799999999999</v>
      </c>
      <c r="AE1395">
        <v>-7.8543999999999903</v>
      </c>
      <c r="AF1395">
        <v>7.82968974088993</v>
      </c>
      <c r="AG1395">
        <v>0.46013799999999999</v>
      </c>
      <c r="AH1395">
        <v>122.627853674725</v>
      </c>
      <c r="AI1395">
        <v>89.785446241366998</v>
      </c>
      <c r="AJ1395">
        <v>86.346669750466603</v>
      </c>
      <c r="AK1395">
        <v>122.87842066566201</v>
      </c>
      <c r="AL1395">
        <v>87.067891531140106</v>
      </c>
      <c r="AM1395">
        <v>88.789739349208205</v>
      </c>
      <c r="AN1395">
        <v>0.99999994267706205</v>
      </c>
    </row>
    <row r="1396" spans="1:40" x14ac:dyDescent="0.25">
      <c r="A1396" t="str">
        <f>"20190312150656517"</f>
        <v>20190312150656517</v>
      </c>
      <c r="B1396" t="str">
        <f>"1552374416511631"</f>
        <v>1552374416511631</v>
      </c>
      <c r="C1396" t="s">
        <v>40</v>
      </c>
      <c r="D1396">
        <v>4.241123</v>
      </c>
      <c r="E1396">
        <v>0.51613260000000005</v>
      </c>
      <c r="F1396" t="s">
        <v>47</v>
      </c>
      <c r="G1396">
        <v>-158.19499999999999</v>
      </c>
      <c r="H1396">
        <v>1.4209540000000001</v>
      </c>
      <c r="I1396">
        <v>359.2328</v>
      </c>
      <c r="J1396">
        <v>-280.70639999999997</v>
      </c>
      <c r="K1396">
        <v>1.0610189999999999</v>
      </c>
      <c r="L1396">
        <v>367.21370000000002</v>
      </c>
      <c r="M1396">
        <v>0.99994919999999998</v>
      </c>
      <c r="N1396">
        <v>0</v>
      </c>
      <c r="O1396">
        <v>-1.8376859999999999E-4</v>
      </c>
      <c r="P1396">
        <v>0.99891609999999997</v>
      </c>
      <c r="Q1396">
        <v>4.104845E-2</v>
      </c>
      <c r="R1396">
        <v>-2.1951450000000001E-2</v>
      </c>
      <c r="S1396">
        <v>2.9986570000000001</v>
      </c>
      <c r="T1396">
        <v>8.8101629999999993E-3</v>
      </c>
      <c r="U1396">
        <v>-0.1951599</v>
      </c>
      <c r="V1396">
        <v>2.176664E-2</v>
      </c>
      <c r="W1396">
        <v>5.1127850000000002E-2</v>
      </c>
      <c r="X1396">
        <v>0.99845490000000003</v>
      </c>
      <c r="Y1396">
        <v>6.4761369999999999E-2</v>
      </c>
      <c r="Z1396" s="1">
        <v>9.4495510000000004E-5</v>
      </c>
      <c r="AA1396">
        <v>0.99790080000000003</v>
      </c>
      <c r="AB1396">
        <v>25</v>
      </c>
      <c r="AC1396">
        <v>122.511399999999</v>
      </c>
      <c r="AD1396">
        <v>0.35993499999999901</v>
      </c>
      <c r="AE1396">
        <v>-7.9809000000000099</v>
      </c>
      <c r="AF1396">
        <v>7.9583165700603598</v>
      </c>
      <c r="AG1396">
        <v>0.35993499999999901</v>
      </c>
      <c r="AH1396">
        <v>122.511811630849</v>
      </c>
      <c r="AI1396">
        <v>89.832021721250001</v>
      </c>
      <c r="AJ1396">
        <v>86.283311839474706</v>
      </c>
      <c r="AK1396">
        <v>122.770551619296</v>
      </c>
      <c r="AL1396">
        <v>87.069312247077406</v>
      </c>
      <c r="AM1396">
        <v>88.751131279374604</v>
      </c>
      <c r="AN1396">
        <v>1.00000001549826</v>
      </c>
    </row>
    <row r="1397" spans="1:40" x14ac:dyDescent="0.25">
      <c r="A1397" t="str">
        <f>"20190312150656528"</f>
        <v>20190312150656528</v>
      </c>
      <c r="B1397" t="str">
        <f>"1552374416521390"</f>
        <v>1552374416521390</v>
      </c>
      <c r="C1397" t="s">
        <v>40</v>
      </c>
      <c r="D1397">
        <v>4.2176460000000002</v>
      </c>
      <c r="E1397">
        <v>0.51622409999999996</v>
      </c>
      <c r="F1397" t="s">
        <v>47</v>
      </c>
      <c r="G1397">
        <v>-158.19499999999999</v>
      </c>
      <c r="H1397">
        <v>1.4329829999999999</v>
      </c>
      <c r="I1397">
        <v>359.13409999999999</v>
      </c>
      <c r="J1397">
        <v>-280.58510000000001</v>
      </c>
      <c r="K1397">
        <v>1.0613030000000001</v>
      </c>
      <c r="L1397">
        <v>367.21370000000002</v>
      </c>
      <c r="M1397">
        <v>0.99995339999999999</v>
      </c>
      <c r="N1397">
        <v>0</v>
      </c>
      <c r="O1397">
        <v>-1.667843E-4</v>
      </c>
      <c r="P1397">
        <v>0.99888319999999997</v>
      </c>
      <c r="Q1397">
        <v>4.1423880000000003E-2</v>
      </c>
      <c r="R1397">
        <v>-2.2726099999999999E-2</v>
      </c>
      <c r="S1397">
        <v>2.9985659999999998</v>
      </c>
      <c r="T1397">
        <v>9.1062780000000006E-3</v>
      </c>
      <c r="U1397">
        <v>-0.19775390000000001</v>
      </c>
      <c r="V1397">
        <v>2.255801E-2</v>
      </c>
      <c r="W1397">
        <v>5.1058319999999997E-2</v>
      </c>
      <c r="X1397">
        <v>0.99844089999999996</v>
      </c>
      <c r="Y1397">
        <v>6.5639820000000001E-2</v>
      </c>
      <c r="Z1397" s="1">
        <v>9.9055720000000002E-5</v>
      </c>
      <c r="AA1397">
        <v>0.99784340000000005</v>
      </c>
      <c r="AB1397">
        <v>25</v>
      </c>
      <c r="AC1397">
        <v>122.3901</v>
      </c>
      <c r="AD1397">
        <v>0.37167999999999901</v>
      </c>
      <c r="AE1397">
        <v>-8.0796000000000205</v>
      </c>
      <c r="AF1397">
        <v>8.0591121872930103</v>
      </c>
      <c r="AG1397">
        <v>0.37167999999999901</v>
      </c>
      <c r="AH1397">
        <v>122.39032207116399</v>
      </c>
      <c r="AI1397">
        <v>89.826378332738997</v>
      </c>
      <c r="AJ1397">
        <v>86.232647608927905</v>
      </c>
      <c r="AK1397">
        <v>122.65593492348</v>
      </c>
      <c r="AL1397">
        <v>87.073301255523504</v>
      </c>
      <c r="AM1397">
        <v>88.705723175562099</v>
      </c>
      <c r="AN1397">
        <v>1.00000002332459</v>
      </c>
    </row>
    <row r="1398" spans="1:40" x14ac:dyDescent="0.25">
      <c r="A1398" t="str">
        <f>"20190312150656538"</f>
        <v>20190312150656538</v>
      </c>
      <c r="B1398" t="str">
        <f>"1552374416532127"</f>
        <v>1552374416532127</v>
      </c>
      <c r="C1398" t="s">
        <v>40</v>
      </c>
      <c r="D1398">
        <v>4.5647120000000001</v>
      </c>
      <c r="E1398">
        <v>0.5163143</v>
      </c>
      <c r="F1398" t="s">
        <v>47</v>
      </c>
      <c r="G1398">
        <v>-158.19499999999999</v>
      </c>
      <c r="H1398">
        <v>1.468998</v>
      </c>
      <c r="I1398">
        <v>359.01710000000003</v>
      </c>
      <c r="J1398">
        <v>-280.45530000000002</v>
      </c>
      <c r="K1398">
        <v>1.061626</v>
      </c>
      <c r="L1398">
        <v>367.21370000000002</v>
      </c>
      <c r="M1398">
        <v>0.99996220000000002</v>
      </c>
      <c r="N1398">
        <v>0</v>
      </c>
      <c r="O1398">
        <v>-1.4949089999999999E-4</v>
      </c>
      <c r="P1398">
        <v>0.99881509999999996</v>
      </c>
      <c r="Q1398">
        <v>4.2677649999999998E-2</v>
      </c>
      <c r="R1398">
        <v>-2.3400549999999999E-2</v>
      </c>
      <c r="S1398">
        <v>2.998383</v>
      </c>
      <c r="T1398">
        <v>9.9900960000000004E-3</v>
      </c>
      <c r="U1398">
        <v>-0.2008057</v>
      </c>
      <c r="V1398">
        <v>2.3249590000000001E-2</v>
      </c>
      <c r="W1398">
        <v>5.1376430000000001E-2</v>
      </c>
      <c r="X1398">
        <v>0.99840870000000004</v>
      </c>
      <c r="Y1398">
        <v>6.6672120000000001E-2</v>
      </c>
      <c r="Z1398">
        <v>1.104479E-4</v>
      </c>
      <c r="AA1398">
        <v>0.99777499999999997</v>
      </c>
      <c r="AB1398">
        <v>25</v>
      </c>
      <c r="AC1398">
        <v>122.2603</v>
      </c>
      <c r="AD1398">
        <v>0.40737200000000001</v>
      </c>
      <c r="AE1398">
        <v>-8.1965999999999894</v>
      </c>
      <c r="AF1398">
        <v>8.1782320248474694</v>
      </c>
      <c r="AG1398">
        <v>0.40737200000000001</v>
      </c>
      <c r="AH1398">
        <v>122.260172706435</v>
      </c>
      <c r="AI1398">
        <v>89.809516336561899</v>
      </c>
      <c r="AJ1398">
        <v>86.173069712121602</v>
      </c>
      <c r="AK1398">
        <v>122.53407387827301</v>
      </c>
      <c r="AL1398">
        <v>87.055050893192103</v>
      </c>
      <c r="AM1398">
        <v>88.666014553865494</v>
      </c>
      <c r="AN1398">
        <v>1.0000000066151999</v>
      </c>
    </row>
    <row r="1399" spans="1:40" x14ac:dyDescent="0.25">
      <c r="A1399" t="str">
        <f>"20190312150656550"</f>
        <v>20190312150656550</v>
      </c>
      <c r="B1399" t="str">
        <f>"1552374416541887"</f>
        <v>1552374416541887</v>
      </c>
      <c r="C1399" t="s">
        <v>40</v>
      </c>
      <c r="D1399">
        <v>4.2539870000000004</v>
      </c>
      <c r="E1399">
        <v>0.51640229999999998</v>
      </c>
      <c r="F1399" t="s">
        <v>47</v>
      </c>
      <c r="G1399">
        <v>-158.19499999999999</v>
      </c>
      <c r="H1399">
        <v>1.6108629999999999</v>
      </c>
      <c r="I1399">
        <v>358.91079999999999</v>
      </c>
      <c r="J1399">
        <v>-280.32560000000001</v>
      </c>
      <c r="K1399">
        <v>1.062047</v>
      </c>
      <c r="L1399">
        <v>367.21370000000002</v>
      </c>
      <c r="M1399">
        <v>0.99997009999999997</v>
      </c>
      <c r="N1399">
        <v>0</v>
      </c>
      <c r="O1399">
        <v>-1.314032E-4</v>
      </c>
      <c r="P1399">
        <v>0.99874560000000001</v>
      </c>
      <c r="Q1399">
        <v>4.3926090000000001E-2</v>
      </c>
      <c r="R1399">
        <v>-2.4037599999999999E-2</v>
      </c>
      <c r="S1399">
        <v>2.9981990000000001</v>
      </c>
      <c r="T1399">
        <v>1.347113E-2</v>
      </c>
      <c r="U1399">
        <v>-0.2036133</v>
      </c>
      <c r="V1399">
        <v>2.3904740000000001E-2</v>
      </c>
      <c r="W1399">
        <v>5.1645480000000001E-2</v>
      </c>
      <c r="X1399">
        <v>0.99837929999999997</v>
      </c>
      <c r="Y1399">
        <v>6.7624020000000007E-2</v>
      </c>
      <c r="Z1399">
        <v>1.511545E-4</v>
      </c>
      <c r="AA1399">
        <v>0.99771089999999996</v>
      </c>
      <c r="AB1399">
        <v>25</v>
      </c>
      <c r="AC1399">
        <v>122.1306</v>
      </c>
      <c r="AD1399">
        <v>0.54881599999999997</v>
      </c>
      <c r="AE1399">
        <v>-8.3029000000000206</v>
      </c>
      <c r="AF1399">
        <v>8.2866845323144904</v>
      </c>
      <c r="AG1399">
        <v>0.54881599999999997</v>
      </c>
      <c r="AH1399">
        <v>122.129235174835</v>
      </c>
      <c r="AI1399">
        <v>89.743120511664799</v>
      </c>
      <c r="AJ1399">
        <v>86.118329656932701</v>
      </c>
      <c r="AK1399">
        <v>122.411275722174</v>
      </c>
      <c r="AL1399">
        <v>87.0396148316958</v>
      </c>
      <c r="AM1399">
        <v>88.628397977560297</v>
      </c>
      <c r="AN1399">
        <v>0.99999995943369302</v>
      </c>
    </row>
    <row r="1400" spans="1:40" x14ac:dyDescent="0.25">
      <c r="A1400" t="str">
        <f>"20190312150656561"</f>
        <v>20190312150656561</v>
      </c>
      <c r="B1400" t="str">
        <f>"1552374416551647"</f>
        <v>1552374416551647</v>
      </c>
      <c r="C1400" t="s">
        <v>40</v>
      </c>
      <c r="D1400">
        <v>4.2416150000000004</v>
      </c>
      <c r="E1400">
        <v>0.51647109999999996</v>
      </c>
      <c r="F1400" t="s">
        <v>47</v>
      </c>
      <c r="G1400">
        <v>-158.19499999999999</v>
      </c>
      <c r="H1400">
        <v>1.7481249999999999</v>
      </c>
      <c r="I1400">
        <v>358.80099999999999</v>
      </c>
      <c r="J1400">
        <v>-280.19510000000002</v>
      </c>
      <c r="K1400">
        <v>1.0625519999999999</v>
      </c>
      <c r="L1400">
        <v>367.21370000000002</v>
      </c>
      <c r="M1400">
        <v>0.99997749999999996</v>
      </c>
      <c r="N1400">
        <v>0</v>
      </c>
      <c r="O1400">
        <v>-1.1294570000000001E-4</v>
      </c>
      <c r="P1400">
        <v>0.99867620000000001</v>
      </c>
      <c r="Q1400">
        <v>4.5283999999999998E-2</v>
      </c>
      <c r="R1400">
        <v>-2.4399669999999998E-2</v>
      </c>
      <c r="S1400">
        <v>2.9980470000000001</v>
      </c>
      <c r="T1400">
        <v>1.684391E-2</v>
      </c>
      <c r="U1400">
        <v>-0.20651249999999999</v>
      </c>
      <c r="V1400">
        <v>2.4285350000000001E-2</v>
      </c>
      <c r="W1400">
        <v>5.1982159999999999E-2</v>
      </c>
      <c r="X1400">
        <v>0.99835269999999998</v>
      </c>
      <c r="Y1400">
        <v>6.8605730000000004E-2</v>
      </c>
      <c r="Z1400">
        <v>1.9186029999999999E-4</v>
      </c>
      <c r="AA1400">
        <v>0.99764379999999997</v>
      </c>
      <c r="AB1400">
        <v>26</v>
      </c>
      <c r="AC1400">
        <v>122.0001</v>
      </c>
      <c r="AD1400">
        <v>0.68557299999999999</v>
      </c>
      <c r="AE1400">
        <v>-8.4127000000000294</v>
      </c>
      <c r="AF1400">
        <v>8.3986562905694502</v>
      </c>
      <c r="AG1400">
        <v>0.68557299999999999</v>
      </c>
      <c r="AH1400">
        <v>121.997215203667</v>
      </c>
      <c r="AI1400">
        <v>89.678785484602201</v>
      </c>
      <c r="AJ1400">
        <v>86.061799384204406</v>
      </c>
      <c r="AK1400">
        <v>122.287889650918</v>
      </c>
      <c r="AL1400">
        <v>87.020298717226197</v>
      </c>
      <c r="AM1400">
        <v>88.6065308338991</v>
      </c>
      <c r="AN1400">
        <v>1.0000000183900799</v>
      </c>
    </row>
    <row r="1401" spans="1:40" x14ac:dyDescent="0.25">
      <c r="A1401" t="str">
        <f>"20190312150656575"</f>
        <v>20190312150656575</v>
      </c>
      <c r="B1401" t="str">
        <f>"1552374416572143"</f>
        <v>1552374416572143</v>
      </c>
      <c r="C1401" t="s">
        <v>40</v>
      </c>
      <c r="D1401">
        <v>4.1864970000000001</v>
      </c>
      <c r="E1401">
        <v>0.51671129999999998</v>
      </c>
      <c r="F1401" t="s">
        <v>47</v>
      </c>
      <c r="G1401">
        <v>-158.19499999999999</v>
      </c>
      <c r="H1401">
        <v>1.8883300000000001</v>
      </c>
      <c r="I1401">
        <v>358.74400000000003</v>
      </c>
      <c r="J1401">
        <v>-280.0453</v>
      </c>
      <c r="K1401">
        <v>1.0633060000000001</v>
      </c>
      <c r="L1401">
        <v>367.21370000000002</v>
      </c>
      <c r="M1401">
        <v>0.99998379999999998</v>
      </c>
      <c r="N1401">
        <v>0</v>
      </c>
      <c r="O1401" s="1">
        <v>-9.0387179999999999E-5</v>
      </c>
      <c r="P1401">
        <v>0.99861409999999995</v>
      </c>
      <c r="Q1401">
        <v>4.6461549999999997E-2</v>
      </c>
      <c r="R1401">
        <v>-2.472299E-2</v>
      </c>
      <c r="S1401">
        <v>2.9979550000000001</v>
      </c>
      <c r="T1401">
        <v>2.0294309999999999E-2</v>
      </c>
      <c r="U1401">
        <v>-0.20812990000000001</v>
      </c>
      <c r="V1401">
        <v>2.4631150000000001E-2</v>
      </c>
      <c r="W1401">
        <v>5.2145009999999999E-2</v>
      </c>
      <c r="X1401">
        <v>0.99833570000000005</v>
      </c>
      <c r="Y1401">
        <v>6.9165499999999894E-2</v>
      </c>
      <c r="Z1401">
        <v>2.3320869999999999E-4</v>
      </c>
      <c r="AA1401">
        <v>0.99760510000000002</v>
      </c>
      <c r="AB1401">
        <v>26</v>
      </c>
      <c r="AC1401">
        <v>121.8503</v>
      </c>
      <c r="AD1401">
        <v>0.82502399999999998</v>
      </c>
      <c r="AE1401">
        <v>-8.46969999999998</v>
      </c>
      <c r="AF1401">
        <v>8.4583001864381906</v>
      </c>
      <c r="AG1401">
        <v>0.82502399999999998</v>
      </c>
      <c r="AH1401">
        <v>121.845506072615</v>
      </c>
      <c r="AI1401">
        <v>89.612983752450205</v>
      </c>
      <c r="AJ1401">
        <v>86.028998446011201</v>
      </c>
      <c r="AK1401">
        <v>122.14151979051201</v>
      </c>
      <c r="AL1401">
        <v>87.010955321455</v>
      </c>
      <c r="AM1401">
        <v>88.586673109295006</v>
      </c>
      <c r="AN1401">
        <v>0.99999998275635604</v>
      </c>
    </row>
    <row r="1402" spans="1:40" x14ac:dyDescent="0.25">
      <c r="A1402" t="str">
        <f>"20190312150656587"</f>
        <v>20190312150656587</v>
      </c>
      <c r="B1402" t="str">
        <f>"1552374416581903"</f>
        <v>1552374416581903</v>
      </c>
      <c r="C1402" t="s">
        <v>40</v>
      </c>
      <c r="D1402">
        <v>4.1587949999999996</v>
      </c>
      <c r="E1402">
        <v>0.51683040000000002</v>
      </c>
      <c r="F1402" t="s">
        <v>47</v>
      </c>
      <c r="G1402">
        <v>-158.19499999999999</v>
      </c>
      <c r="H1402">
        <v>2.0485150000000001</v>
      </c>
      <c r="I1402">
        <v>358.64229999999998</v>
      </c>
      <c r="J1402">
        <v>-279.90050000000002</v>
      </c>
      <c r="K1402">
        <v>1.0641069999999999</v>
      </c>
      <c r="L1402">
        <v>367.21370000000002</v>
      </c>
      <c r="M1402">
        <v>0.99998869999999895</v>
      </c>
      <c r="N1402">
        <v>0</v>
      </c>
      <c r="O1402" s="1">
        <v>-6.811354E-5</v>
      </c>
      <c r="P1402">
        <v>0.99856129999999999</v>
      </c>
      <c r="Q1402">
        <v>4.7309450000000003E-2</v>
      </c>
      <c r="R1402">
        <v>-2.5245440000000001E-2</v>
      </c>
      <c r="S1402">
        <v>2.9978030000000002</v>
      </c>
      <c r="T1402">
        <v>2.4240609999999999E-2</v>
      </c>
      <c r="U1402">
        <v>-0.21087649999999999</v>
      </c>
      <c r="V1402">
        <v>2.5175969999999999E-2</v>
      </c>
      <c r="W1402">
        <v>5.2082639999999999E-2</v>
      </c>
      <c r="X1402">
        <v>0.99832540000000003</v>
      </c>
      <c r="Y1402">
        <v>7.0100049999999997E-2</v>
      </c>
      <c r="Z1402">
        <v>2.8251449999999999E-4</v>
      </c>
      <c r="AA1402">
        <v>0.99753990000000003</v>
      </c>
      <c r="AB1402">
        <v>26</v>
      </c>
      <c r="AC1402">
        <v>121.7055</v>
      </c>
      <c r="AD1402">
        <v>0.98440799999999995</v>
      </c>
      <c r="AE1402">
        <v>-8.5714000000000397</v>
      </c>
      <c r="AF1402">
        <v>8.5625526717262996</v>
      </c>
      <c r="AG1402">
        <v>0.98440799999999995</v>
      </c>
      <c r="AH1402">
        <v>121.69816100078801</v>
      </c>
      <c r="AI1402">
        <v>89.537691352655301</v>
      </c>
      <c r="AJ1402">
        <v>85.9753625441504</v>
      </c>
      <c r="AK1402">
        <v>122.002986677951</v>
      </c>
      <c r="AL1402">
        <v>87.0145338258191</v>
      </c>
      <c r="AM1402">
        <v>88.555409731076196</v>
      </c>
      <c r="AN1402">
        <v>1.0000000175699799</v>
      </c>
    </row>
    <row r="1403" spans="1:40" x14ac:dyDescent="0.25">
      <c r="A1403" t="str">
        <f>"20190312150656599"</f>
        <v>20190312150656599</v>
      </c>
      <c r="B1403" t="str">
        <f>"1552374416591663"</f>
        <v>1552374416591663</v>
      </c>
      <c r="C1403" t="s">
        <v>40</v>
      </c>
      <c r="D1403">
        <v>4.1706200000000004</v>
      </c>
      <c r="E1403">
        <v>0.51683040000000002</v>
      </c>
      <c r="F1403" t="s">
        <v>47</v>
      </c>
      <c r="G1403">
        <v>-158.19499999999999</v>
      </c>
      <c r="H1403">
        <v>2.1577229999999998</v>
      </c>
      <c r="I1403">
        <v>358.56040000000002</v>
      </c>
      <c r="J1403">
        <v>-279.75959999999998</v>
      </c>
      <c r="K1403">
        <v>1.0649850000000001</v>
      </c>
      <c r="L1403">
        <v>367.21370000000002</v>
      </c>
      <c r="M1403">
        <v>0.99999199999999999</v>
      </c>
      <c r="N1403">
        <v>0</v>
      </c>
      <c r="O1403" s="1">
        <v>-4.5672369999999998E-5</v>
      </c>
      <c r="P1403">
        <v>0.99853069999999999</v>
      </c>
      <c r="Q1403">
        <v>4.77594E-2</v>
      </c>
      <c r="R1403">
        <v>-2.5606670000000002E-2</v>
      </c>
      <c r="S1403">
        <v>2.9976500000000001</v>
      </c>
      <c r="T1403">
        <v>2.6938320000000002E-2</v>
      </c>
      <c r="U1403">
        <v>-0.21313480000000001</v>
      </c>
      <c r="V1403">
        <v>2.555963E-2</v>
      </c>
      <c r="W1403">
        <v>5.1753109999999998E-2</v>
      </c>
      <c r="X1403">
        <v>0.99833280000000002</v>
      </c>
      <c r="Y1403">
        <v>7.0873179999999994E-2</v>
      </c>
      <c r="Z1403">
        <v>3.1763240000000001E-4</v>
      </c>
      <c r="AA1403">
        <v>0.99748530000000002</v>
      </c>
      <c r="AB1403">
        <v>26</v>
      </c>
      <c r="AC1403">
        <v>121.564599999999</v>
      </c>
      <c r="AD1403">
        <v>1.09273799999999</v>
      </c>
      <c r="AE1403">
        <v>-8.6532999999999998</v>
      </c>
      <c r="AF1403">
        <v>8.6470526333070605</v>
      </c>
      <c r="AG1403">
        <v>1.09273799999999</v>
      </c>
      <c r="AH1403">
        <v>121.555222800552</v>
      </c>
      <c r="AI1403">
        <v>89.486243506920005</v>
      </c>
      <c r="AJ1403">
        <v>85.931014541550496</v>
      </c>
      <c r="AK1403">
        <v>121.86729580027399</v>
      </c>
      <c r="AL1403">
        <v>87.033440036346505</v>
      </c>
      <c r="AM1403">
        <v>88.533415833955203</v>
      </c>
      <c r="AN1403">
        <v>1.0000000293181199</v>
      </c>
    </row>
    <row r="1404" spans="1:40" x14ac:dyDescent="0.25">
      <c r="A1404" t="str">
        <f>"20190312150656611"</f>
        <v>20190312150656611</v>
      </c>
      <c r="B1404" t="str">
        <f>"1552374416601422"</f>
        <v>1552374416601422</v>
      </c>
      <c r="C1404" t="s">
        <v>40</v>
      </c>
      <c r="D1404">
        <v>4.2003659999999998</v>
      </c>
      <c r="E1404">
        <v>0.52803940000000005</v>
      </c>
      <c r="F1404" t="s">
        <v>47</v>
      </c>
      <c r="G1404">
        <v>-158.19499999999999</v>
      </c>
      <c r="H1404">
        <v>2.2142529999999998</v>
      </c>
      <c r="I1404">
        <v>358.50569999999999</v>
      </c>
      <c r="J1404">
        <v>-279.6266</v>
      </c>
      <c r="K1404">
        <v>1.065833</v>
      </c>
      <c r="L1404">
        <v>367.21370000000002</v>
      </c>
      <c r="M1404">
        <v>0.99999479999999996</v>
      </c>
      <c r="N1404">
        <v>0</v>
      </c>
      <c r="O1404" s="1">
        <v>-2.432822E-5</v>
      </c>
      <c r="P1404">
        <v>0.99849549999999998</v>
      </c>
      <c r="Q1404">
        <v>4.8443470000000002E-2</v>
      </c>
      <c r="R1404">
        <v>-2.5696299999999998E-2</v>
      </c>
      <c r="S1404">
        <v>2.997528</v>
      </c>
      <c r="T1404">
        <v>2.83407E-2</v>
      </c>
      <c r="U1404">
        <v>-0.21472169999999999</v>
      </c>
      <c r="V1404">
        <v>2.56709E-2</v>
      </c>
      <c r="W1404">
        <v>5.1706439999999999E-2</v>
      </c>
      <c r="X1404">
        <v>0.99833229999999995</v>
      </c>
      <c r="Y1404">
        <v>7.1422410000000006E-2</v>
      </c>
      <c r="Z1404">
        <v>3.3696909999999999E-4</v>
      </c>
      <c r="AA1404">
        <v>0.9974461</v>
      </c>
      <c r="AB1404">
        <v>26</v>
      </c>
      <c r="AC1404">
        <v>121.4316</v>
      </c>
      <c r="AD1404">
        <v>1.14841999999999</v>
      </c>
      <c r="AE1404">
        <v>-8.7080000000000197</v>
      </c>
      <c r="AF1404">
        <v>8.7042712291798399</v>
      </c>
      <c r="AG1404">
        <v>1.14841999999999</v>
      </c>
      <c r="AH1404">
        <v>121.421007325617</v>
      </c>
      <c r="AI1404">
        <v>89.459490158118001</v>
      </c>
      <c r="AJ1404">
        <v>85.899668932445195</v>
      </c>
      <c r="AK1404">
        <v>121.73801471231199</v>
      </c>
      <c r="AL1404">
        <v>87.036117427819605</v>
      </c>
      <c r="AM1404">
        <v>88.527033349862606</v>
      </c>
      <c r="AN1404">
        <v>0.99999996613378594</v>
      </c>
    </row>
    <row r="1405" spans="1:40" x14ac:dyDescent="0.25">
      <c r="A1405" t="str">
        <f>"20190312150656622"</f>
        <v>20190312150656622</v>
      </c>
      <c r="B1405" t="str">
        <f>"1552374416612159"</f>
        <v>1552374416612159</v>
      </c>
      <c r="C1405" t="s">
        <v>40</v>
      </c>
      <c r="D1405">
        <v>4.1871559999999999</v>
      </c>
      <c r="E1405">
        <v>0.52637080000000003</v>
      </c>
      <c r="F1405" t="s">
        <v>47</v>
      </c>
      <c r="G1405">
        <v>-169.2955</v>
      </c>
      <c r="H1405">
        <v>3.000766</v>
      </c>
      <c r="I1405">
        <v>356.02910000000003</v>
      </c>
      <c r="J1405">
        <v>-279.48360000000002</v>
      </c>
      <c r="K1405">
        <v>1.0667580000000001</v>
      </c>
      <c r="L1405">
        <v>367.21370000000002</v>
      </c>
      <c r="M1405">
        <v>0.99999709999999997</v>
      </c>
      <c r="N1405">
        <v>0</v>
      </c>
      <c r="O1405" s="1">
        <v>-8.0339959999999898E-7</v>
      </c>
      <c r="P1405">
        <v>0.99843999999999999</v>
      </c>
      <c r="Q1405">
        <v>4.937735E-2</v>
      </c>
      <c r="R1405">
        <v>-2.6074719999999999E-2</v>
      </c>
      <c r="S1405">
        <v>2.9941710000000001</v>
      </c>
      <c r="T1405">
        <v>5.2512650000000001E-2</v>
      </c>
      <c r="U1405">
        <v>-0.30352780000000001</v>
      </c>
      <c r="V1405">
        <v>2.607282E-2</v>
      </c>
      <c r="W1405">
        <v>5.185882E-2</v>
      </c>
      <c r="X1405">
        <v>0.99831400000000003</v>
      </c>
      <c r="Y1405">
        <v>0.100839899999999</v>
      </c>
      <c r="Z1405">
        <v>8.8193769999999998E-4</v>
      </c>
      <c r="AA1405">
        <v>0.99490230000000002</v>
      </c>
      <c r="AB1405">
        <v>26</v>
      </c>
      <c r="AC1405">
        <v>110.18810000000001</v>
      </c>
      <c r="AD1405">
        <v>1.9340079999999999</v>
      </c>
      <c r="AE1405">
        <v>-11.1845999999999</v>
      </c>
      <c r="AF1405">
        <v>11.181102058367699</v>
      </c>
      <c r="AG1405">
        <v>1.9340079999999999</v>
      </c>
      <c r="AH1405">
        <v>110.15451993396699</v>
      </c>
      <c r="AI1405">
        <v>88.999289199723606</v>
      </c>
      <c r="AJ1405">
        <v>84.204111470671506</v>
      </c>
      <c r="AK1405">
        <v>110.73741775961101</v>
      </c>
      <c r="AL1405">
        <v>87.027375026306501</v>
      </c>
      <c r="AM1405">
        <v>88.503954632143902</v>
      </c>
      <c r="AN1405">
        <v>0.99999998587527195</v>
      </c>
    </row>
    <row r="1406" spans="1:40" x14ac:dyDescent="0.25">
      <c r="A1406" t="str">
        <f>"20190312150656634"</f>
        <v>20190312150656634</v>
      </c>
      <c r="B1406" t="str">
        <f>"1552374416631679"</f>
        <v>1552374416631679</v>
      </c>
      <c r="C1406" t="s">
        <v>40</v>
      </c>
      <c r="D1406">
        <v>4.1914809999999996</v>
      </c>
      <c r="E1406">
        <v>0.52643830000000003</v>
      </c>
      <c r="F1406" t="s">
        <v>47</v>
      </c>
      <c r="G1406">
        <v>-169.2955</v>
      </c>
      <c r="H1406">
        <v>3.7825129999999998</v>
      </c>
      <c r="I1406">
        <v>356.5093</v>
      </c>
      <c r="J1406">
        <v>-279.35910000000001</v>
      </c>
      <c r="K1406">
        <v>1.067558</v>
      </c>
      <c r="L1406">
        <v>367.21379999999999</v>
      </c>
      <c r="M1406">
        <v>0.99999839999999995</v>
      </c>
      <c r="N1406">
        <v>0</v>
      </c>
      <c r="O1406" s="1">
        <v>1.9292530000000001E-5</v>
      </c>
      <c r="P1406">
        <v>0.99838320000000003</v>
      </c>
      <c r="Q1406">
        <v>5.0467169999999999E-2</v>
      </c>
      <c r="R1406">
        <v>-2.61576E-2</v>
      </c>
      <c r="S1406">
        <v>2.993439</v>
      </c>
      <c r="T1406">
        <v>7.3780180000000001E-2</v>
      </c>
      <c r="U1406">
        <v>-0.290802</v>
      </c>
      <c r="V1406">
        <v>2.6175850000000001E-2</v>
      </c>
      <c r="W1406">
        <v>5.2266920000000001E-2</v>
      </c>
      <c r="X1406">
        <v>0.99829009999999996</v>
      </c>
      <c r="Y1406">
        <v>9.6681390000000006E-2</v>
      </c>
      <c r="Z1406">
        <v>1.1889649999999999E-3</v>
      </c>
      <c r="AA1406">
        <v>0.9953147</v>
      </c>
      <c r="AB1406">
        <v>26</v>
      </c>
      <c r="AC1406">
        <v>110.06359999999999</v>
      </c>
      <c r="AD1406">
        <v>2.7149549999999998</v>
      </c>
      <c r="AE1406">
        <v>-10.7044999999999</v>
      </c>
      <c r="AF1406">
        <v>10.700173699707101</v>
      </c>
      <c r="AG1406">
        <v>2.7149549999999998</v>
      </c>
      <c r="AH1406">
        <v>109.997090893077</v>
      </c>
      <c r="AI1406">
        <v>88.5927489899953</v>
      </c>
      <c r="AJ1406">
        <v>84.443926704600202</v>
      </c>
      <c r="AK1406">
        <v>110.549648135106</v>
      </c>
      <c r="AL1406">
        <v>87.003961101108203</v>
      </c>
      <c r="AM1406">
        <v>88.498009583169207</v>
      </c>
      <c r="AN1406">
        <v>1.0000000649037499</v>
      </c>
    </row>
    <row r="1407" spans="1:40" x14ac:dyDescent="0.25">
      <c r="A1407" t="str">
        <f>"20190312150656645"</f>
        <v>20190312150656645</v>
      </c>
      <c r="B1407" t="str">
        <f>"1552374416641439"</f>
        <v>1552374416641439</v>
      </c>
      <c r="C1407" t="s">
        <v>40</v>
      </c>
      <c r="D1407">
        <v>4.2281069999999996</v>
      </c>
      <c r="E1407">
        <v>0.5266151</v>
      </c>
      <c r="F1407" t="s">
        <v>47</v>
      </c>
      <c r="G1407">
        <v>-169.2955</v>
      </c>
      <c r="H1407">
        <v>3.5653239999999999</v>
      </c>
      <c r="I1407">
        <v>356.48899999999998</v>
      </c>
      <c r="J1407">
        <v>-279.23390000000001</v>
      </c>
      <c r="K1407">
        <v>1.068363</v>
      </c>
      <c r="L1407">
        <v>367.21379999999999</v>
      </c>
      <c r="M1407">
        <v>0.99999939999999998</v>
      </c>
      <c r="N1407">
        <v>0</v>
      </c>
      <c r="O1407" s="1">
        <v>3.9156039999999999E-5</v>
      </c>
      <c r="P1407">
        <v>0.99832120000000002</v>
      </c>
      <c r="Q1407">
        <v>5.1677870000000001E-2</v>
      </c>
      <c r="R1407">
        <v>-2.6159200000000001E-2</v>
      </c>
      <c r="S1407">
        <v>2.9937740000000002</v>
      </c>
      <c r="T1407">
        <v>6.7942499999999906E-2</v>
      </c>
      <c r="U1407">
        <v>-0.29171750000000002</v>
      </c>
      <c r="V1407">
        <v>2.619728E-2</v>
      </c>
      <c r="W1407">
        <v>5.2795469999999997E-2</v>
      </c>
      <c r="X1407">
        <v>0.99826159999999997</v>
      </c>
      <c r="Y1407">
        <v>9.6996269999999996E-2</v>
      </c>
      <c r="Z1407">
        <v>1.098791E-3</v>
      </c>
      <c r="AA1407">
        <v>0.9952841</v>
      </c>
      <c r="AB1407">
        <v>26</v>
      </c>
      <c r="AC1407">
        <v>109.9384</v>
      </c>
      <c r="AD1407">
        <v>2.4969610000000002</v>
      </c>
      <c r="AE1407">
        <v>-10.724799999999901</v>
      </c>
      <c r="AF1407">
        <v>10.7236250960761</v>
      </c>
      <c r="AG1407">
        <v>2.4969610000000002</v>
      </c>
      <c r="AH1407">
        <v>109.881831606402</v>
      </c>
      <c r="AI1407">
        <v>88.704384639884296</v>
      </c>
      <c r="AJ1407">
        <v>84.426022084037598</v>
      </c>
      <c r="AK1407">
        <v>110.43209617957299</v>
      </c>
      <c r="AL1407">
        <v>86.973635170881906</v>
      </c>
      <c r="AM1407">
        <v>88.496737580581893</v>
      </c>
      <c r="AN1407">
        <v>0.99999994058323705</v>
      </c>
    </row>
    <row r="1408" spans="1:40" x14ac:dyDescent="0.25">
      <c r="A1408" t="str">
        <f>"20190312150656656"</f>
        <v>20190312150656656</v>
      </c>
      <c r="B1408" t="str">
        <f>"1552374416652176"</f>
        <v>1552374416652176</v>
      </c>
      <c r="C1408" t="s">
        <v>40</v>
      </c>
      <c r="D1408">
        <v>4.1975210000000001</v>
      </c>
      <c r="E1408">
        <v>0.52660209999999996</v>
      </c>
      <c r="F1408" t="s">
        <v>47</v>
      </c>
      <c r="G1408">
        <v>-169.2955</v>
      </c>
      <c r="H1408">
        <v>3.5674039999999998</v>
      </c>
      <c r="I1408">
        <v>356.43439999999998</v>
      </c>
      <c r="J1408">
        <v>-279.10919999999999</v>
      </c>
      <c r="K1408">
        <v>1.06915</v>
      </c>
      <c r="L1408">
        <v>367.21379999999999</v>
      </c>
      <c r="M1408">
        <v>0.99999990000000005</v>
      </c>
      <c r="N1408">
        <v>0</v>
      </c>
      <c r="O1408" s="1">
        <v>5.8121480000000001E-5</v>
      </c>
      <c r="P1408">
        <v>0.9982529</v>
      </c>
      <c r="Q1408">
        <v>5.2918550000000002E-2</v>
      </c>
      <c r="R1408">
        <v>-2.6290560000000001E-2</v>
      </c>
      <c r="S1408">
        <v>2.9938959999999999</v>
      </c>
      <c r="T1408">
        <v>6.8057419999999993E-2</v>
      </c>
      <c r="U1408">
        <v>-0.29354859999999999</v>
      </c>
      <c r="V1408">
        <v>2.634736E-2</v>
      </c>
      <c r="W1408">
        <v>5.3397819999999999E-2</v>
      </c>
      <c r="X1408">
        <v>0.99822569999999999</v>
      </c>
      <c r="Y1408">
        <v>9.7613930000000002E-2</v>
      </c>
      <c r="Z1408">
        <v>1.108005E-3</v>
      </c>
      <c r="AA1408">
        <v>0.99522379999999999</v>
      </c>
      <c r="AB1408">
        <v>26</v>
      </c>
      <c r="AC1408">
        <v>109.813699999999</v>
      </c>
      <c r="AD1408">
        <v>2.4982540000000002</v>
      </c>
      <c r="AE1408">
        <v>-10.779400000000001</v>
      </c>
      <c r="AF1408">
        <v>10.7802563427304</v>
      </c>
      <c r="AG1408">
        <v>2.4982540000000002</v>
      </c>
      <c r="AH1408">
        <v>109.756809769531</v>
      </c>
      <c r="AI1408">
        <v>88.702316788541793</v>
      </c>
      <c r="AJ1408">
        <v>84.390431013523198</v>
      </c>
      <c r="AK1408">
        <v>110.31324712222199</v>
      </c>
      <c r="AL1408">
        <v>86.939074575163005</v>
      </c>
      <c r="AM1408">
        <v>88.488075270405204</v>
      </c>
      <c r="AN1408">
        <v>1.0000000293500999</v>
      </c>
    </row>
    <row r="1409" spans="1:40" x14ac:dyDescent="0.25">
      <c r="A1409" t="str">
        <f>"20190312150656665"</f>
        <v>20190312150656665</v>
      </c>
      <c r="B1409" t="str">
        <f>"1552374416661935"</f>
        <v>1552374416661935</v>
      </c>
      <c r="C1409" t="s">
        <v>40</v>
      </c>
      <c r="D1409">
        <v>4.7641720000000003</v>
      </c>
      <c r="E1409">
        <v>0.52680400000000005</v>
      </c>
      <c r="F1409" t="s">
        <v>47</v>
      </c>
      <c r="G1409">
        <v>-169.2955</v>
      </c>
      <c r="H1409">
        <v>3.5411830000000002</v>
      </c>
      <c r="I1409">
        <v>356.44130000000001</v>
      </c>
      <c r="J1409">
        <v>-278.99310000000003</v>
      </c>
      <c r="K1409">
        <v>1.0698749999999999</v>
      </c>
      <c r="L1409">
        <v>367.21379999999999</v>
      </c>
      <c r="M1409">
        <v>1</v>
      </c>
      <c r="N1409">
        <v>0</v>
      </c>
      <c r="O1409" s="1">
        <v>7.5753439999999995E-5</v>
      </c>
      <c r="P1409">
        <v>0.99818079999999998</v>
      </c>
      <c r="Q1409">
        <v>5.4225219999999998E-2</v>
      </c>
      <c r="R1409">
        <v>-2.63632E-2</v>
      </c>
      <c r="S1409">
        <v>2.9939580000000001</v>
      </c>
      <c r="T1409">
        <v>6.739974E-2</v>
      </c>
      <c r="U1409">
        <v>-0.2937012</v>
      </c>
      <c r="V1409">
        <v>2.643771E-2</v>
      </c>
      <c r="W1409">
        <v>5.4120139999999997E-2</v>
      </c>
      <c r="X1409">
        <v>0.99818439999999997</v>
      </c>
      <c r="Y1409">
        <v>9.7680199999999995E-2</v>
      </c>
      <c r="Z1409">
        <v>1.0984149999999999E-3</v>
      </c>
      <c r="AA1409">
        <v>0.99521729999999997</v>
      </c>
      <c r="AB1409">
        <v>26</v>
      </c>
      <c r="AC1409">
        <v>109.69759999999999</v>
      </c>
      <c r="AD1409">
        <v>2.4713080000000001</v>
      </c>
      <c r="AE1409">
        <v>-10.7724999999999</v>
      </c>
      <c r="AF1409">
        <v>10.7753933673944</v>
      </c>
      <c r="AG1409">
        <v>2.4713080000000001</v>
      </c>
      <c r="AH1409">
        <v>109.64166898264899</v>
      </c>
      <c r="AI1409">
        <v>88.714968529486299</v>
      </c>
      <c r="AJ1409">
        <v>84.387094664702303</v>
      </c>
      <c r="AK1409">
        <v>110.197604523663</v>
      </c>
      <c r="AL1409">
        <v>86.897628723474497</v>
      </c>
      <c r="AM1409">
        <v>88.482830276908501</v>
      </c>
      <c r="AN1409">
        <v>1.0000000192335099</v>
      </c>
    </row>
    <row r="1410" spans="1:40" x14ac:dyDescent="0.25">
      <c r="A1410" t="str">
        <f>"20190312150656676"</f>
        <v>20190312150656676</v>
      </c>
      <c r="B1410" t="str">
        <f>"1552374416671697"</f>
        <v>1552374416671697</v>
      </c>
      <c r="C1410" t="s">
        <v>40</v>
      </c>
      <c r="D1410">
        <v>4.1931690000000001</v>
      </c>
      <c r="E1410">
        <v>0.52694839999999998</v>
      </c>
      <c r="F1410" t="s">
        <v>47</v>
      </c>
      <c r="G1410">
        <v>-169.2955</v>
      </c>
      <c r="H1410">
        <v>3.7504689999999998</v>
      </c>
      <c r="I1410">
        <v>356.38350000000003</v>
      </c>
      <c r="J1410">
        <v>-278.87209999999999</v>
      </c>
      <c r="K1410">
        <v>1.0706119999999999</v>
      </c>
      <c r="L1410">
        <v>367.21379999999999</v>
      </c>
      <c r="M1410">
        <v>0.99999979999999999</v>
      </c>
      <c r="N1410">
        <v>0</v>
      </c>
      <c r="O1410" s="1">
        <v>9.4178770000000005E-5</v>
      </c>
      <c r="P1410">
        <v>0.9981101</v>
      </c>
      <c r="Q1410">
        <v>5.5374640000000003E-2</v>
      </c>
      <c r="R1410">
        <v>-2.6647569999999999E-2</v>
      </c>
      <c r="S1410">
        <v>2.9936829999999999</v>
      </c>
      <c r="T1410">
        <v>7.3156600000000002E-2</v>
      </c>
      <c r="U1410">
        <v>-0.29556270000000001</v>
      </c>
      <c r="V1410">
        <v>2.6740300000000002E-2</v>
      </c>
      <c r="W1410">
        <v>5.4718160000000002E-2</v>
      </c>
      <c r="X1410">
        <v>0.99814369999999997</v>
      </c>
      <c r="Y1410">
        <v>9.8315749999999993E-2</v>
      </c>
      <c r="Z1410">
        <v>1.2004749999999999E-3</v>
      </c>
      <c r="AA1410">
        <v>0.9951546</v>
      </c>
      <c r="AB1410">
        <v>26</v>
      </c>
      <c r="AC1410">
        <v>109.576599999999</v>
      </c>
      <c r="AD1410">
        <v>2.6798570000000002</v>
      </c>
      <c r="AE1410">
        <v>-10.8302999999999</v>
      </c>
      <c r="AF1410">
        <v>10.834202292538</v>
      </c>
      <c r="AG1410">
        <v>2.6798570000000002</v>
      </c>
      <c r="AH1410">
        <v>109.510712767876</v>
      </c>
      <c r="AI1410">
        <v>88.604991736391696</v>
      </c>
      <c r="AJ1410">
        <v>84.349953447382504</v>
      </c>
      <c r="AK1410">
        <v>110.07796229847401</v>
      </c>
      <c r="AL1410">
        <v>86.863313740160095</v>
      </c>
      <c r="AM1410">
        <v>88.4654113863145</v>
      </c>
      <c r="AN1410">
        <v>0.99999998326378203</v>
      </c>
    </row>
    <row r="1411" spans="1:40" x14ac:dyDescent="0.25">
      <c r="A1411" t="str">
        <f>"20190312150656687"</f>
        <v>20190312150656687</v>
      </c>
      <c r="B1411" t="str">
        <f>"1552374416681457"</f>
        <v>1552374416681457</v>
      </c>
      <c r="C1411" t="s">
        <v>40</v>
      </c>
      <c r="D1411">
        <v>4.2244809999999999</v>
      </c>
      <c r="E1411">
        <v>0.52706649999999999</v>
      </c>
      <c r="F1411" t="s">
        <v>47</v>
      </c>
      <c r="G1411">
        <v>-169.2955</v>
      </c>
      <c r="H1411">
        <v>3.915943</v>
      </c>
      <c r="I1411">
        <v>356.3152</v>
      </c>
      <c r="J1411">
        <v>-278.75450000000001</v>
      </c>
      <c r="K1411">
        <v>1.071342</v>
      </c>
      <c r="L1411">
        <v>367.21390000000002</v>
      </c>
      <c r="M1411">
        <v>0.99999939999999998</v>
      </c>
      <c r="N1411">
        <v>0</v>
      </c>
      <c r="O1411">
        <v>1.123301E-4</v>
      </c>
      <c r="P1411">
        <v>0.99805869999999997</v>
      </c>
      <c r="Q1411">
        <v>5.6321450000000002E-2</v>
      </c>
      <c r="R1411">
        <v>-2.6582740000000001E-2</v>
      </c>
      <c r="S1411">
        <v>2.9934080000000001</v>
      </c>
      <c r="T1411">
        <v>7.7730889999999997E-2</v>
      </c>
      <c r="U1411">
        <v>-0.29772949999999998</v>
      </c>
      <c r="V1411">
        <v>2.6693629999999999E-2</v>
      </c>
      <c r="W1411">
        <v>5.521094E-2</v>
      </c>
      <c r="X1411">
        <v>0.99811780000000005</v>
      </c>
      <c r="Y1411">
        <v>9.9052029999999999E-2</v>
      </c>
      <c r="Z1411">
        <v>1.285589E-3</v>
      </c>
      <c r="AA1411">
        <v>0.9950814</v>
      </c>
      <c r="AB1411">
        <v>26</v>
      </c>
      <c r="AC1411">
        <v>109.459</v>
      </c>
      <c r="AD1411">
        <v>2.8446009999999999</v>
      </c>
      <c r="AE1411">
        <v>-10.8987</v>
      </c>
      <c r="AF1411">
        <v>10.9037037680803</v>
      </c>
      <c r="AG1411">
        <v>2.8446009999999999</v>
      </c>
      <c r="AH1411">
        <v>109.38462550302</v>
      </c>
      <c r="AI1411">
        <v>88.517673914910901</v>
      </c>
      <c r="AJ1411">
        <v>84.307433850786197</v>
      </c>
      <c r="AK1411">
        <v>109.963533988078</v>
      </c>
      <c r="AL1411">
        <v>86.8350367377694</v>
      </c>
      <c r="AM1411">
        <v>88.4680487029418</v>
      </c>
      <c r="AN1411">
        <v>0.99999997022754905</v>
      </c>
    </row>
    <row r="1412" spans="1:40" x14ac:dyDescent="0.25">
      <c r="A1412" t="str">
        <f>"20190312150656697"</f>
        <v>20190312150656697</v>
      </c>
      <c r="B1412" t="str">
        <f>"1552374416692191"</f>
        <v>1552374416692191</v>
      </c>
      <c r="C1412" t="s">
        <v>40</v>
      </c>
      <c r="D1412">
        <v>4.1563949999999998</v>
      </c>
      <c r="E1412">
        <v>0.52707959999999998</v>
      </c>
      <c r="F1412" t="s">
        <v>47</v>
      </c>
      <c r="G1412">
        <v>-169.2955</v>
      </c>
      <c r="H1412">
        <v>3.9431120000000002</v>
      </c>
      <c r="I1412">
        <v>356.29899999999998</v>
      </c>
      <c r="J1412">
        <v>-278.63679999999999</v>
      </c>
      <c r="K1412">
        <v>1.072128</v>
      </c>
      <c r="L1412">
        <v>367.21390000000002</v>
      </c>
      <c r="M1412">
        <v>0.99999950000000004</v>
      </c>
      <c r="N1412">
        <v>0</v>
      </c>
      <c r="O1412">
        <v>1.303113E-4</v>
      </c>
      <c r="P1412">
        <v>0.99801119999999999</v>
      </c>
      <c r="Q1412">
        <v>5.7107640000000001E-2</v>
      </c>
      <c r="R1412">
        <v>-2.670057E-2</v>
      </c>
      <c r="S1412">
        <v>2.9934080000000001</v>
      </c>
      <c r="T1412">
        <v>7.8537460000000003E-2</v>
      </c>
      <c r="U1412">
        <v>-0.29849239999999999</v>
      </c>
      <c r="V1412">
        <v>2.6829180000000001E-2</v>
      </c>
      <c r="W1412">
        <v>5.5866060000000002E-2</v>
      </c>
      <c r="X1412">
        <v>0.99807780000000001</v>
      </c>
      <c r="Y1412">
        <v>9.9320270000000002E-2</v>
      </c>
      <c r="Z1412">
        <v>1.3028880000000001E-3</v>
      </c>
      <c r="AA1412">
        <v>0.99505469999999896</v>
      </c>
      <c r="AB1412">
        <v>26</v>
      </c>
      <c r="AC1412">
        <v>109.3413</v>
      </c>
      <c r="AD1412">
        <v>2.870984</v>
      </c>
      <c r="AE1412">
        <v>-10.9148999999999</v>
      </c>
      <c r="AF1412">
        <v>10.9216928212907</v>
      </c>
      <c r="AG1412">
        <v>2.870984</v>
      </c>
      <c r="AH1412">
        <v>109.265288723822</v>
      </c>
      <c r="AI1412">
        <v>88.502339154123206</v>
      </c>
      <c r="AJ1412">
        <v>84.291917660790602</v>
      </c>
      <c r="AK1412">
        <v>109.847299662355</v>
      </c>
      <c r="AL1412">
        <v>86.797443382909606</v>
      </c>
      <c r="AM1412">
        <v>88.460211526118698</v>
      </c>
      <c r="AN1412">
        <v>1.0000000582061099</v>
      </c>
    </row>
    <row r="1413" spans="1:40" x14ac:dyDescent="0.25">
      <c r="A1413" t="str">
        <f>"20190312150656706"</f>
        <v>20190312150656706</v>
      </c>
      <c r="B1413" t="str">
        <f>"1552374416701951"</f>
        <v>1552374416701951</v>
      </c>
      <c r="C1413" t="s">
        <v>40</v>
      </c>
      <c r="D1413">
        <v>4.1580059999999897</v>
      </c>
      <c r="E1413">
        <v>0.52717460000000005</v>
      </c>
      <c r="F1413" t="s">
        <v>47</v>
      </c>
      <c r="G1413">
        <v>-169.2955</v>
      </c>
      <c r="H1413">
        <v>3.9784009999999999</v>
      </c>
      <c r="I1413">
        <v>356.29750000000001</v>
      </c>
      <c r="J1413">
        <v>-278.52229999999997</v>
      </c>
      <c r="K1413">
        <v>1.0729379999999999</v>
      </c>
      <c r="L1413">
        <v>367.214</v>
      </c>
      <c r="M1413">
        <v>0.99999910000000003</v>
      </c>
      <c r="N1413">
        <v>0</v>
      </c>
      <c r="O1413">
        <v>1.4846609999999999E-4</v>
      </c>
      <c r="P1413">
        <v>0.99795849999999997</v>
      </c>
      <c r="Q1413">
        <v>5.7815770000000002E-2</v>
      </c>
      <c r="R1413">
        <v>-2.713345E-2</v>
      </c>
      <c r="S1413">
        <v>2.993439</v>
      </c>
      <c r="T1413">
        <v>7.9567429999999995E-2</v>
      </c>
      <c r="U1413">
        <v>-0.29885859999999997</v>
      </c>
      <c r="V1413">
        <v>2.7280249999999999E-2</v>
      </c>
      <c r="W1413">
        <v>5.6535910000000002E-2</v>
      </c>
      <c r="X1413">
        <v>0.99802780000000002</v>
      </c>
      <c r="Y1413">
        <v>9.9456909999999996E-2</v>
      </c>
      <c r="Z1413">
        <v>1.3222399999999999E-3</v>
      </c>
      <c r="AA1413">
        <v>0.99504099999999995</v>
      </c>
      <c r="AB1413">
        <v>26</v>
      </c>
      <c r="AC1413">
        <v>109.226799999999</v>
      </c>
      <c r="AD1413">
        <v>2.9054630000000001</v>
      </c>
      <c r="AE1413">
        <v>-10.9164999999999</v>
      </c>
      <c r="AF1413">
        <v>10.925062525471599</v>
      </c>
      <c r="AG1413">
        <v>2.9054630000000001</v>
      </c>
      <c r="AH1413">
        <v>109.148711006898</v>
      </c>
      <c r="AI1413">
        <v>88.482764007992898</v>
      </c>
      <c r="AJ1413">
        <v>84.284110062990294</v>
      </c>
      <c r="AK1413">
        <v>109.73258322347699</v>
      </c>
      <c r="AL1413">
        <v>86.759002879197695</v>
      </c>
      <c r="AM1413">
        <v>88.434257959212403</v>
      </c>
      <c r="AN1413">
        <v>1.0000000053662099</v>
      </c>
    </row>
    <row r="1414" spans="1:40" x14ac:dyDescent="0.25">
      <c r="A1414" t="str">
        <f>"20190312150656717"</f>
        <v>20190312150656717</v>
      </c>
      <c r="B1414" t="str">
        <f>"1552374416711711"</f>
        <v>1552374416711711</v>
      </c>
      <c r="C1414" t="s">
        <v>40</v>
      </c>
      <c r="D1414">
        <v>4.214251</v>
      </c>
      <c r="E1414">
        <v>0.52685550000000003</v>
      </c>
      <c r="F1414" t="s">
        <v>47</v>
      </c>
      <c r="G1414">
        <v>-169.2955</v>
      </c>
      <c r="H1414">
        <v>4.0106820000000001</v>
      </c>
      <c r="I1414">
        <v>356.22809999999998</v>
      </c>
      <c r="J1414">
        <v>-278.39249999999998</v>
      </c>
      <c r="K1414">
        <v>1.074031</v>
      </c>
      <c r="L1414">
        <v>367.214</v>
      </c>
      <c r="M1414">
        <v>0.99999950000000004</v>
      </c>
      <c r="N1414">
        <v>0</v>
      </c>
      <c r="O1414">
        <v>1.6956149999999999E-4</v>
      </c>
      <c r="P1414">
        <v>0.99792340000000002</v>
      </c>
      <c r="Q1414">
        <v>5.8322899999999997E-2</v>
      </c>
      <c r="R1414">
        <v>-2.733932E-2</v>
      </c>
      <c r="S1414">
        <v>2.9932249999999998</v>
      </c>
      <c r="T1414">
        <v>8.0507519999999999E-2</v>
      </c>
      <c r="U1414">
        <v>-0.30105589999999999</v>
      </c>
      <c r="V1414">
        <v>2.750729E-2</v>
      </c>
      <c r="W1414">
        <v>5.7343310000000002E-2</v>
      </c>
      <c r="X1414">
        <v>0.99797550000000002</v>
      </c>
      <c r="Y1414">
        <v>0.100207</v>
      </c>
      <c r="Z1414">
        <v>1.348529E-3</v>
      </c>
      <c r="AA1414">
        <v>0.99496569999999995</v>
      </c>
      <c r="AB1414">
        <v>26</v>
      </c>
      <c r="AC1414">
        <v>109.096999999999</v>
      </c>
      <c r="AD1414">
        <v>2.9366509999999999</v>
      </c>
      <c r="AE1414">
        <v>-10.985900000000001</v>
      </c>
      <c r="AF1414">
        <v>10.9965107669648</v>
      </c>
      <c r="AG1414">
        <v>2.9366509999999999</v>
      </c>
      <c r="AH1414">
        <v>109.01693841097899</v>
      </c>
      <c r="AI1414">
        <v>88.464751126450594</v>
      </c>
      <c r="AJ1414">
        <v>84.240071804438401</v>
      </c>
      <c r="AK1414">
        <v>109.60948877103201</v>
      </c>
      <c r="AL1414">
        <v>86.712667081988698</v>
      </c>
      <c r="AM1414">
        <v>88.421150936815096</v>
      </c>
      <c r="AN1414">
        <v>1.0000000024025699</v>
      </c>
    </row>
    <row r="1415" spans="1:40" x14ac:dyDescent="0.25">
      <c r="A1415" t="str">
        <f>"20190312150656729"</f>
        <v>20190312150656729</v>
      </c>
      <c r="B1415" t="str">
        <f>"1552374416721471"</f>
        <v>1552374416721471</v>
      </c>
      <c r="C1415" t="s">
        <v>40</v>
      </c>
      <c r="D1415">
        <v>4.752675</v>
      </c>
      <c r="E1415">
        <v>0.52659330000000004</v>
      </c>
      <c r="F1415" t="s">
        <v>47</v>
      </c>
      <c r="G1415">
        <v>-169.2955</v>
      </c>
      <c r="H1415">
        <v>3.7990409999999999</v>
      </c>
      <c r="I1415">
        <v>356.29509999999999</v>
      </c>
      <c r="J1415">
        <v>-278.26909999999998</v>
      </c>
      <c r="K1415">
        <v>1.075129</v>
      </c>
      <c r="L1415">
        <v>367.214</v>
      </c>
      <c r="M1415">
        <v>0.99999979999999999</v>
      </c>
      <c r="N1415">
        <v>0</v>
      </c>
      <c r="O1415">
        <v>1.8953859999999999E-4</v>
      </c>
      <c r="P1415">
        <v>0.99789209999999995</v>
      </c>
      <c r="Q1415">
        <v>5.8781439999999997E-2</v>
      </c>
      <c r="R1415">
        <v>-2.7499610000000001E-2</v>
      </c>
      <c r="S1415">
        <v>2.9936829999999999</v>
      </c>
      <c r="T1415">
        <v>7.4778079999999997E-2</v>
      </c>
      <c r="U1415">
        <v>-0.29962159999999999</v>
      </c>
      <c r="V1415">
        <v>2.7687509999999999E-2</v>
      </c>
      <c r="W1415">
        <v>5.810307E-2</v>
      </c>
      <c r="X1415">
        <v>0.9979266</v>
      </c>
      <c r="Y1415">
        <v>9.9744810000000003E-2</v>
      </c>
      <c r="Z1415">
        <v>1.2471699999999999E-3</v>
      </c>
      <c r="AA1415">
        <v>0.99501229999999996</v>
      </c>
      <c r="AB1415">
        <v>26</v>
      </c>
      <c r="AC1415">
        <v>108.973599999999</v>
      </c>
      <c r="AD1415">
        <v>2.7239119999999999</v>
      </c>
      <c r="AE1415">
        <v>-10.918900000000001</v>
      </c>
      <c r="AF1415">
        <v>10.9327915604035</v>
      </c>
      <c r="AG1415">
        <v>2.7239119999999999</v>
      </c>
      <c r="AH1415">
        <v>108.904161112757</v>
      </c>
      <c r="AI1415">
        <v>88.574378803900899</v>
      </c>
      <c r="AJ1415">
        <v>84.267334219137396</v>
      </c>
      <c r="AK1415">
        <v>109.485441660343</v>
      </c>
      <c r="AL1415">
        <v>86.669063434463297</v>
      </c>
      <c r="AM1415">
        <v>88.410734217807999</v>
      </c>
      <c r="AN1415">
        <v>1.00000003197049</v>
      </c>
    </row>
    <row r="1416" spans="1:40" x14ac:dyDescent="0.25">
      <c r="A1416" t="str">
        <f>"20190312150656740"</f>
        <v>20190312150656740</v>
      </c>
      <c r="B1416" t="str">
        <f>"1552374416732207"</f>
        <v>1552374416732207</v>
      </c>
      <c r="C1416" t="s">
        <v>40</v>
      </c>
      <c r="D1416">
        <v>4.2687229999999996</v>
      </c>
      <c r="E1416">
        <v>0.52645280000000005</v>
      </c>
      <c r="F1416" t="s">
        <v>47</v>
      </c>
      <c r="G1416">
        <v>-169.2955</v>
      </c>
      <c r="H1416">
        <v>3.6834600000000002</v>
      </c>
      <c r="I1416">
        <v>356.36149999999998</v>
      </c>
      <c r="J1416">
        <v>-278.13959999999997</v>
      </c>
      <c r="K1416">
        <v>1.076357</v>
      </c>
      <c r="L1416">
        <v>367.21409999999997</v>
      </c>
      <c r="M1416">
        <v>1</v>
      </c>
      <c r="N1416">
        <v>0</v>
      </c>
      <c r="O1416">
        <v>2.1072880000000001E-4</v>
      </c>
      <c r="P1416">
        <v>0.99786569999999997</v>
      </c>
      <c r="Q1416">
        <v>5.9059029999999998E-2</v>
      </c>
      <c r="R1416">
        <v>-2.786454E-2</v>
      </c>
      <c r="S1416">
        <v>2.9938959999999999</v>
      </c>
      <c r="T1416">
        <v>7.1662550000000005E-2</v>
      </c>
      <c r="U1416">
        <v>-0.2981567</v>
      </c>
      <c r="V1416">
        <v>2.8073420000000002E-2</v>
      </c>
      <c r="W1416">
        <v>5.8718100000000002E-2</v>
      </c>
      <c r="X1416">
        <v>0.99787979999999998</v>
      </c>
      <c r="Y1416">
        <v>9.927946E-2</v>
      </c>
      <c r="Z1416">
        <v>1.190118E-3</v>
      </c>
      <c r="AA1416">
        <v>0.99505889999999997</v>
      </c>
      <c r="AB1416">
        <v>25</v>
      </c>
      <c r="AC1416">
        <v>108.844099999999</v>
      </c>
      <c r="AD1416">
        <v>2.6071029999999902</v>
      </c>
      <c r="AE1416">
        <v>-10.852599999999899</v>
      </c>
      <c r="AF1416">
        <v>10.869361666509599</v>
      </c>
      <c r="AG1416">
        <v>2.6071029999999902</v>
      </c>
      <c r="AH1416">
        <v>108.780014760878</v>
      </c>
      <c r="AI1416">
        <v>88.633869699426398</v>
      </c>
      <c r="AJ1416">
        <v>84.293912536130406</v>
      </c>
      <c r="AK1416">
        <v>109.35278515185099</v>
      </c>
      <c r="AL1416">
        <v>86.633764482463604</v>
      </c>
      <c r="AM1416">
        <v>88.388519010627803</v>
      </c>
      <c r="AN1416">
        <v>1.00000001371307</v>
      </c>
    </row>
    <row r="1417" spans="1:40" x14ac:dyDescent="0.25">
      <c r="A1417" t="str">
        <f>"20190312150656751"</f>
        <v>20190312150656751</v>
      </c>
      <c r="B1417" t="str">
        <f>"1552374416741967"</f>
        <v>1552374416741967</v>
      </c>
      <c r="C1417" t="s">
        <v>40</v>
      </c>
      <c r="D1417">
        <v>4.2990919999999999</v>
      </c>
      <c r="E1417">
        <v>0.52621980000000002</v>
      </c>
      <c r="F1417" t="s">
        <v>47</v>
      </c>
      <c r="G1417">
        <v>-169.2955</v>
      </c>
      <c r="H1417">
        <v>3.5606330000000002</v>
      </c>
      <c r="I1417">
        <v>356.38170000000002</v>
      </c>
      <c r="J1417">
        <v>-278.012</v>
      </c>
      <c r="K1417">
        <v>1.0775920000000001</v>
      </c>
      <c r="L1417">
        <v>367.21409999999997</v>
      </c>
      <c r="M1417">
        <v>1</v>
      </c>
      <c r="N1417">
        <v>0</v>
      </c>
      <c r="O1417">
        <v>2.3167789999999999E-4</v>
      </c>
      <c r="P1417">
        <v>0.99782599999999999</v>
      </c>
      <c r="Q1417">
        <v>5.958575E-2</v>
      </c>
      <c r="R1417">
        <v>-2.8161780000000001E-2</v>
      </c>
      <c r="S1417">
        <v>2.994049</v>
      </c>
      <c r="T1417">
        <v>6.8338990000000002E-2</v>
      </c>
      <c r="U1417">
        <v>-0.29797360000000001</v>
      </c>
      <c r="V1417">
        <v>2.8391469999999999E-2</v>
      </c>
      <c r="W1417">
        <v>5.9462559999999998E-2</v>
      </c>
      <c r="X1417">
        <v>0.99782669999999996</v>
      </c>
      <c r="Y1417">
        <v>9.9237610000000004E-2</v>
      </c>
      <c r="Z1417">
        <v>1.1348839999999901E-3</v>
      </c>
      <c r="AA1417">
        <v>0.99506309999999998</v>
      </c>
      <c r="AB1417">
        <v>25</v>
      </c>
      <c r="AC1417">
        <v>108.7165</v>
      </c>
      <c r="AD1417">
        <v>2.4830410000000001</v>
      </c>
      <c r="AE1417">
        <v>-10.8323999999999</v>
      </c>
      <c r="AF1417">
        <v>10.8519816620563</v>
      </c>
      <c r="AG1417">
        <v>2.4830410000000001</v>
      </c>
      <c r="AH1417">
        <v>108.657863581112</v>
      </c>
      <c r="AI1417">
        <v>88.697387325024593</v>
      </c>
      <c r="AJ1417">
        <v>84.296614159295601</v>
      </c>
      <c r="AK1417">
        <v>109.226655705523</v>
      </c>
      <c r="AL1417">
        <v>86.591035347340807</v>
      </c>
      <c r="AM1417">
        <v>88.370185295560503</v>
      </c>
      <c r="AN1417">
        <v>0.99999999742170198</v>
      </c>
    </row>
    <row r="1418" spans="1:40" x14ac:dyDescent="0.25">
      <c r="A1418" t="str">
        <f>"20190312150656762"</f>
        <v>20190312150656762</v>
      </c>
      <c r="B1418" t="str">
        <f>"1552374416751727"</f>
        <v>1552374416751727</v>
      </c>
      <c r="C1418" t="s">
        <v>40</v>
      </c>
      <c r="D1418">
        <v>4.2481169999999997</v>
      </c>
      <c r="E1418">
        <v>0.52605729999999995</v>
      </c>
      <c r="F1418" t="s">
        <v>47</v>
      </c>
      <c r="G1418">
        <v>-169.2955</v>
      </c>
      <c r="H1418">
        <v>3.3893490000000002</v>
      </c>
      <c r="I1418">
        <v>356.40089999999998</v>
      </c>
      <c r="J1418">
        <v>-277.88330000000002</v>
      </c>
      <c r="K1418">
        <v>1.078856</v>
      </c>
      <c r="L1418">
        <v>367.21409999999997</v>
      </c>
      <c r="M1418">
        <v>1</v>
      </c>
      <c r="N1418">
        <v>0</v>
      </c>
      <c r="O1418">
        <v>2.5290250000000001E-4</v>
      </c>
      <c r="P1418">
        <v>0.99778049999999996</v>
      </c>
      <c r="Q1418">
        <v>6.0164259999999997E-2</v>
      </c>
      <c r="R1418">
        <v>-2.8544949999999999E-2</v>
      </c>
      <c r="S1418">
        <v>2.9943240000000002</v>
      </c>
      <c r="T1418">
        <v>6.3673850000000004E-2</v>
      </c>
      <c r="U1418">
        <v>-0.297821</v>
      </c>
      <c r="V1418">
        <v>2.8795830000000001E-2</v>
      </c>
      <c r="W1418">
        <v>6.0190349999999997E-2</v>
      </c>
      <c r="X1418">
        <v>0.99777150000000003</v>
      </c>
      <c r="Y1418">
        <v>9.9202910000000005E-2</v>
      </c>
      <c r="Z1418">
        <v>1.0574180000000001E-3</v>
      </c>
      <c r="AA1418">
        <v>0.99506660000000002</v>
      </c>
      <c r="AB1418">
        <v>26</v>
      </c>
      <c r="AC1418">
        <v>108.5878</v>
      </c>
      <c r="AD1418">
        <v>2.3104930000000001</v>
      </c>
      <c r="AE1418">
        <v>-10.813199999999901</v>
      </c>
      <c r="AF1418">
        <v>10.835804164941999</v>
      </c>
      <c r="AG1418">
        <v>2.3104930000000001</v>
      </c>
      <c r="AH1418">
        <v>108.53640573814501</v>
      </c>
      <c r="AI1418">
        <v>88.786518149585305</v>
      </c>
      <c r="AJ1418">
        <v>84.298729532360895</v>
      </c>
      <c r="AK1418">
        <v>109.100432631403</v>
      </c>
      <c r="AL1418">
        <v>86.549261310228601</v>
      </c>
      <c r="AM1418">
        <v>88.346894364665602</v>
      </c>
      <c r="AN1418">
        <v>1.00000002213538</v>
      </c>
    </row>
    <row r="1419" spans="1:40" x14ac:dyDescent="0.25">
      <c r="A1419" t="str">
        <f>"20190312150656775"</f>
        <v>20190312150656775</v>
      </c>
      <c r="B1419" t="str">
        <f>"1552374416772223"</f>
        <v>1552374416772223</v>
      </c>
      <c r="C1419" t="s">
        <v>40</v>
      </c>
      <c r="D1419">
        <v>4.2726300000000004</v>
      </c>
      <c r="E1419">
        <v>0.5257655</v>
      </c>
      <c r="F1419" t="s">
        <v>47</v>
      </c>
      <c r="G1419">
        <v>-169.2955</v>
      </c>
      <c r="H1419">
        <v>3.275687</v>
      </c>
      <c r="I1419">
        <v>356.41669999999999</v>
      </c>
      <c r="J1419">
        <v>-277.74549999999999</v>
      </c>
      <c r="K1419">
        <v>1.0802689999999999</v>
      </c>
      <c r="L1419">
        <v>367.21420000000001</v>
      </c>
      <c r="M1419">
        <v>0.99999990000000005</v>
      </c>
      <c r="N1419">
        <v>0</v>
      </c>
      <c r="O1419">
        <v>2.7483100000000001E-4</v>
      </c>
      <c r="P1419">
        <v>0.99772959999999999</v>
      </c>
      <c r="Q1419">
        <v>6.0774370000000001E-2</v>
      </c>
      <c r="R1419">
        <v>-2.902327E-2</v>
      </c>
      <c r="S1419">
        <v>2.994507</v>
      </c>
      <c r="T1419">
        <v>6.0583949999999998E-2</v>
      </c>
      <c r="U1419">
        <v>-0.29776000000000002</v>
      </c>
      <c r="V1419">
        <v>2.92959E-2</v>
      </c>
      <c r="W1419">
        <v>6.0953779999999999E-2</v>
      </c>
      <c r="X1419">
        <v>0.9977106</v>
      </c>
      <c r="Y1419">
        <v>9.9200780000000002E-2</v>
      </c>
      <c r="Z1419">
        <v>1.0064760000000001E-3</v>
      </c>
      <c r="AA1419">
        <v>0.99506689999999998</v>
      </c>
      <c r="AB1419">
        <v>26</v>
      </c>
      <c r="AC1419">
        <v>108.45</v>
      </c>
      <c r="AD1419">
        <v>2.1954180000000001</v>
      </c>
      <c r="AE1419">
        <v>-10.797499999999999</v>
      </c>
      <c r="AF1419">
        <v>10.8229132851444</v>
      </c>
      <c r="AG1419">
        <v>2.1954180000000001</v>
      </c>
      <c r="AH1419">
        <v>108.403040539141</v>
      </c>
      <c r="AI1419">
        <v>88.845521590976901</v>
      </c>
      <c r="AJ1419">
        <v>84.298507786136497</v>
      </c>
      <c r="AK1419">
        <v>108.96409734542399</v>
      </c>
      <c r="AL1419">
        <v>86.505439546514097</v>
      </c>
      <c r="AM1419">
        <v>88.318100188172806</v>
      </c>
      <c r="AN1419">
        <v>1.0000000272027201</v>
      </c>
    </row>
    <row r="1420" spans="1:40" x14ac:dyDescent="0.25">
      <c r="A1420" t="str">
        <f>"20190312150656788"</f>
        <v>20190312150656788</v>
      </c>
      <c r="B1420" t="str">
        <f>"1552374416781984"</f>
        <v>1552374416781984</v>
      </c>
      <c r="C1420" t="s">
        <v>40</v>
      </c>
      <c r="D1420">
        <v>4.2836869999999996</v>
      </c>
      <c r="E1420">
        <v>0.52560189999999996</v>
      </c>
      <c r="F1420" t="s">
        <v>47</v>
      </c>
      <c r="G1420">
        <v>-169.2955</v>
      </c>
      <c r="H1420">
        <v>2.9950079999999999</v>
      </c>
      <c r="I1420">
        <v>356.46089999999998</v>
      </c>
      <c r="J1420">
        <v>-277.58240000000001</v>
      </c>
      <c r="K1420">
        <v>1.0819749999999999</v>
      </c>
      <c r="L1420">
        <v>367.21429999999998</v>
      </c>
      <c r="M1420">
        <v>0.99999979999999999</v>
      </c>
      <c r="N1420">
        <v>0</v>
      </c>
      <c r="O1420">
        <v>3.003719E-4</v>
      </c>
      <c r="P1420">
        <v>0.99769229999999998</v>
      </c>
      <c r="Q1420">
        <v>6.1204679999999997E-2</v>
      </c>
      <c r="R1420">
        <v>-2.9387219999999999E-2</v>
      </c>
      <c r="S1420">
        <v>2.9949949999999999</v>
      </c>
      <c r="T1420">
        <v>5.2880530000000002E-2</v>
      </c>
      <c r="U1420">
        <v>-0.29696660000000002</v>
      </c>
      <c r="V1420">
        <v>2.968548E-2</v>
      </c>
      <c r="W1420">
        <v>6.1606300000000003E-2</v>
      </c>
      <c r="X1420">
        <v>0.99765899999999996</v>
      </c>
      <c r="Y1420">
        <v>9.8953990000000006E-2</v>
      </c>
      <c r="Z1420">
        <v>8.7666640000000004E-4</v>
      </c>
      <c r="AA1420">
        <v>0.99509159999999997</v>
      </c>
      <c r="AB1420">
        <v>26</v>
      </c>
      <c r="AC1420">
        <v>108.2869</v>
      </c>
      <c r="AD1420">
        <v>1.913033</v>
      </c>
      <c r="AE1420">
        <v>-10.753399999999999</v>
      </c>
      <c r="AF1420">
        <v>10.7825934817554</v>
      </c>
      <c r="AG1420">
        <v>1.913033</v>
      </c>
      <c r="AH1420">
        <v>108.250210171471</v>
      </c>
      <c r="AI1420">
        <v>88.992540217329903</v>
      </c>
      <c r="AJ1420">
        <v>84.311641863152303</v>
      </c>
      <c r="AK1420">
        <v>108.80272064438201</v>
      </c>
      <c r="AL1420">
        <v>86.467982490477695</v>
      </c>
      <c r="AM1420">
        <v>88.295659114967506</v>
      </c>
      <c r="AN1420">
        <v>1.00000002210176</v>
      </c>
    </row>
    <row r="1421" spans="1:40" x14ac:dyDescent="0.25">
      <c r="A1421" t="str">
        <f>"20190312150656800"</f>
        <v>20190312150656800</v>
      </c>
      <c r="B1421" t="str">
        <f>"1552374416791744"</f>
        <v>1552374416791744</v>
      </c>
      <c r="C1421" t="s">
        <v>40</v>
      </c>
      <c r="D1421">
        <v>4.2624620000000002</v>
      </c>
      <c r="E1421">
        <v>0.52552940000000004</v>
      </c>
      <c r="F1421" t="s">
        <v>47</v>
      </c>
      <c r="G1421">
        <v>-169.2955</v>
      </c>
      <c r="H1421">
        <v>2.8798949999999999</v>
      </c>
      <c r="I1421">
        <v>356.48099999999999</v>
      </c>
      <c r="J1421">
        <v>-277.4418</v>
      </c>
      <c r="K1421">
        <v>1.0834950000000001</v>
      </c>
      <c r="L1421">
        <v>367.21440000000001</v>
      </c>
      <c r="M1421">
        <v>0.99999979999999999</v>
      </c>
      <c r="N1421">
        <v>0</v>
      </c>
      <c r="O1421">
        <v>3.2187589999999999E-4</v>
      </c>
      <c r="P1421">
        <v>0.99766080000000001</v>
      </c>
      <c r="Q1421">
        <v>6.1497740000000002E-2</v>
      </c>
      <c r="R1421">
        <v>-2.985471E-2</v>
      </c>
      <c r="S1421">
        <v>2.9951479999999999</v>
      </c>
      <c r="T1421">
        <v>4.9731730000000002E-2</v>
      </c>
      <c r="U1421">
        <v>-0.296875</v>
      </c>
      <c r="V1421">
        <v>3.0174159999999998E-2</v>
      </c>
      <c r="W1421">
        <v>6.2180270000000003E-2</v>
      </c>
      <c r="X1421">
        <v>0.99760870000000001</v>
      </c>
      <c r="Y1421">
        <v>9.8942059999999998E-2</v>
      </c>
      <c r="Z1421">
        <v>8.2468919999999896E-4</v>
      </c>
      <c r="AA1421">
        <v>0.99509289999999995</v>
      </c>
      <c r="AB1421">
        <v>26</v>
      </c>
      <c r="AC1421">
        <v>108.1463</v>
      </c>
      <c r="AD1421">
        <v>1.79639999999999</v>
      </c>
      <c r="AE1421">
        <v>-10.7334</v>
      </c>
      <c r="AF1421">
        <v>10.7652677605417</v>
      </c>
      <c r="AG1421">
        <v>1.79639999999999</v>
      </c>
      <c r="AH1421">
        <v>108.113299956931</v>
      </c>
      <c r="AI1421">
        <v>89.052750075287193</v>
      </c>
      <c r="AJ1421">
        <v>84.313577351560696</v>
      </c>
      <c r="AK1421">
        <v>108.662798006004</v>
      </c>
      <c r="AL1421">
        <v>86.435033153972</v>
      </c>
      <c r="AM1421">
        <v>88.267532055306404</v>
      </c>
      <c r="AN1421">
        <v>0.99999999211233404</v>
      </c>
    </row>
    <row r="1422" spans="1:40" x14ac:dyDescent="0.25">
      <c r="A1422" t="str">
        <f>"20190312150656812"</f>
        <v>20190312150656812</v>
      </c>
      <c r="B1422" t="str">
        <f>"1552374416801504"</f>
        <v>1552374416801504</v>
      </c>
      <c r="C1422" t="s">
        <v>40</v>
      </c>
      <c r="D1422">
        <v>4.255611</v>
      </c>
      <c r="E1422">
        <v>0.525420199999999</v>
      </c>
      <c r="F1422" t="s">
        <v>47</v>
      </c>
      <c r="G1422">
        <v>-169.2955</v>
      </c>
      <c r="H1422">
        <v>2.7924820000000001</v>
      </c>
      <c r="I1422">
        <v>356.4522</v>
      </c>
      <c r="J1422">
        <v>-277.31319999999999</v>
      </c>
      <c r="K1422">
        <v>1.0848979999999999</v>
      </c>
      <c r="L1422">
        <v>367.21440000000001</v>
      </c>
      <c r="M1422">
        <v>0.99999950000000004</v>
      </c>
      <c r="N1422">
        <v>0</v>
      </c>
      <c r="O1422">
        <v>3.4163989999999898E-4</v>
      </c>
      <c r="P1422">
        <v>0.99765570000000003</v>
      </c>
      <c r="Q1422">
        <v>6.1463700000000003E-2</v>
      </c>
      <c r="R1422">
        <v>-3.010032E-2</v>
      </c>
      <c r="S1422">
        <v>2.9951780000000001</v>
      </c>
      <c r="T1422">
        <v>4.7333840000000002E-2</v>
      </c>
      <c r="U1422">
        <v>-0.29806519999999997</v>
      </c>
      <c r="V1422">
        <v>3.0439339999999999E-2</v>
      </c>
      <c r="W1422">
        <v>6.249246E-2</v>
      </c>
      <c r="X1422">
        <v>0.9975811</v>
      </c>
      <c r="Y1422">
        <v>9.9353529999999995E-2</v>
      </c>
      <c r="Z1422">
        <v>7.8846199999999997E-4</v>
      </c>
      <c r="AA1422">
        <v>0.99505189999999999</v>
      </c>
      <c r="AB1422">
        <v>26</v>
      </c>
      <c r="AC1422">
        <v>108.0177</v>
      </c>
      <c r="AD1422">
        <v>1.707584</v>
      </c>
      <c r="AE1422">
        <v>-10.7622</v>
      </c>
      <c r="AF1422">
        <v>10.796430986566801</v>
      </c>
      <c r="AG1422">
        <v>1.707584</v>
      </c>
      <c r="AH1422">
        <v>107.98729563099</v>
      </c>
      <c r="AI1422">
        <v>89.098560806538302</v>
      </c>
      <c r="AJ1422">
        <v>84.2906143662196</v>
      </c>
      <c r="AK1422">
        <v>108.53909333903501</v>
      </c>
      <c r="AL1422">
        <v>86.417111000096497</v>
      </c>
      <c r="AM1422">
        <v>88.2522676607893</v>
      </c>
      <c r="AN1422">
        <v>0.99999995602684699</v>
      </c>
    </row>
    <row r="1423" spans="1:40" x14ac:dyDescent="0.25">
      <c r="A1423" t="str">
        <f>"20190312150656824"</f>
        <v>20190312150656824</v>
      </c>
      <c r="B1423" t="str">
        <f>"1552374416821999"</f>
        <v>1552374416821999</v>
      </c>
      <c r="C1423" t="s">
        <v>40</v>
      </c>
      <c r="D1423">
        <v>4.2248080000000003</v>
      </c>
      <c r="E1423">
        <v>0.5256885</v>
      </c>
      <c r="F1423" t="s">
        <v>47</v>
      </c>
      <c r="G1423">
        <v>-169.2955</v>
      </c>
      <c r="H1423">
        <v>2.6516639999999998</v>
      </c>
      <c r="I1423">
        <v>356.47239999999999</v>
      </c>
      <c r="J1423">
        <v>-277.16230000000002</v>
      </c>
      <c r="K1423">
        <v>1.086554</v>
      </c>
      <c r="L1423">
        <v>367.21449999999999</v>
      </c>
      <c r="M1423">
        <v>0.99999899999999997</v>
      </c>
      <c r="N1423">
        <v>0</v>
      </c>
      <c r="O1423">
        <v>3.6430160000000002E-4</v>
      </c>
      <c r="P1423">
        <v>0.9976621</v>
      </c>
      <c r="Q1423">
        <v>6.1194999999999999E-2</v>
      </c>
      <c r="R1423">
        <v>-3.043102E-2</v>
      </c>
      <c r="S1423">
        <v>2.9953919999999998</v>
      </c>
      <c r="T1423">
        <v>4.3449639999999998E-2</v>
      </c>
      <c r="U1423">
        <v>-0.29788209999999998</v>
      </c>
      <c r="V1423">
        <v>3.0792750000000001E-2</v>
      </c>
      <c r="W1423">
        <v>6.2685190000000002E-2</v>
      </c>
      <c r="X1423">
        <v>0.99755819999999995</v>
      </c>
      <c r="Y1423">
        <v>9.9310780000000001E-2</v>
      </c>
      <c r="Z1423">
        <v>7.2373749999999997E-4</v>
      </c>
      <c r="AA1423">
        <v>0.99505619999999995</v>
      </c>
      <c r="AB1423">
        <v>26</v>
      </c>
      <c r="AC1423">
        <v>107.8668</v>
      </c>
      <c r="AD1423">
        <v>1.56510999999999</v>
      </c>
      <c r="AE1423">
        <v>-10.742099999999899</v>
      </c>
      <c r="AF1423">
        <v>10.7791483219466</v>
      </c>
      <c r="AG1423">
        <v>1.56510999999999</v>
      </c>
      <c r="AH1423">
        <v>107.840398779792</v>
      </c>
      <c r="AI1423">
        <v>89.172635107191496</v>
      </c>
      <c r="AJ1423">
        <v>84.291980034140906</v>
      </c>
      <c r="AK1423">
        <v>108.389073327726</v>
      </c>
      <c r="AL1423">
        <v>86.406046829540401</v>
      </c>
      <c r="AM1423">
        <v>88.231948200489995</v>
      </c>
      <c r="AN1423">
        <v>0.99999999444256904</v>
      </c>
    </row>
    <row r="1424" spans="1:40" x14ac:dyDescent="0.25">
      <c r="A1424" t="str">
        <f>"20190312150656836"</f>
        <v>20190312150656836</v>
      </c>
      <c r="B1424" t="str">
        <f>"1552374416831760"</f>
        <v>1552374416831760</v>
      </c>
      <c r="C1424" t="s">
        <v>40</v>
      </c>
      <c r="D1424">
        <v>4.2137000000000002</v>
      </c>
      <c r="E1424">
        <v>0.52577850000000004</v>
      </c>
      <c r="F1424" t="s">
        <v>47</v>
      </c>
      <c r="G1424">
        <v>-169.2955</v>
      </c>
      <c r="H1424">
        <v>2.655087</v>
      </c>
      <c r="I1424">
        <v>356.36689999999999</v>
      </c>
      <c r="J1424">
        <v>-277.01609999999999</v>
      </c>
      <c r="K1424">
        <v>1.0881259999999999</v>
      </c>
      <c r="L1424">
        <v>367.21460000000002</v>
      </c>
      <c r="M1424">
        <v>0.99999800000000005</v>
      </c>
      <c r="N1424">
        <v>0</v>
      </c>
      <c r="O1424">
        <v>3.8624619999999999E-4</v>
      </c>
      <c r="P1424">
        <v>0.99767110000000003</v>
      </c>
      <c r="Q1424">
        <v>6.0844589999999997E-2</v>
      </c>
      <c r="R1424">
        <v>-3.0827839999999999E-2</v>
      </c>
      <c r="S1424">
        <v>2.9951780000000001</v>
      </c>
      <c r="T1424">
        <v>4.3556449999999997E-2</v>
      </c>
      <c r="U1424">
        <v>-0.30120849999999999</v>
      </c>
      <c r="V1424">
        <v>3.1211679999999999E-2</v>
      </c>
      <c r="W1424">
        <v>6.2872230000000001E-2</v>
      </c>
      <c r="X1424">
        <v>0.99753340000000001</v>
      </c>
      <c r="Y1424">
        <v>0.1004335</v>
      </c>
      <c r="Z1424">
        <v>7.3398889999999996E-4</v>
      </c>
      <c r="AA1424">
        <v>0.99494349999999998</v>
      </c>
      <c r="AB1424">
        <v>26</v>
      </c>
      <c r="AC1424">
        <v>107.7206</v>
      </c>
      <c r="AD1424">
        <v>1.566961</v>
      </c>
      <c r="AE1424">
        <v>-10.8477</v>
      </c>
      <c r="AF1424">
        <v>10.8870253591453</v>
      </c>
      <c r="AG1424">
        <v>1.566961</v>
      </c>
      <c r="AH1424">
        <v>107.693842663022</v>
      </c>
      <c r="AI1424">
        <v>89.170623545029798</v>
      </c>
      <c r="AJ1424">
        <v>84.227445309042594</v>
      </c>
      <c r="AK1424">
        <v>108.25408276584299</v>
      </c>
      <c r="AL1424">
        <v>86.395309012899205</v>
      </c>
      <c r="AM1424">
        <v>88.207865218956997</v>
      </c>
      <c r="AN1424">
        <v>0.999999985194577</v>
      </c>
    </row>
    <row r="1425" spans="1:40" x14ac:dyDescent="0.25">
      <c r="A1425" t="str">
        <f>"20190312150656851"</f>
        <v>20190312150656851</v>
      </c>
      <c r="B1425" t="str">
        <f>"1552374416841519"</f>
        <v>1552374416841519</v>
      </c>
      <c r="C1425" t="s">
        <v>40</v>
      </c>
      <c r="D1425">
        <v>4.2839229999999997</v>
      </c>
      <c r="E1425">
        <v>0.52565069999999903</v>
      </c>
      <c r="F1425" t="s">
        <v>47</v>
      </c>
      <c r="G1425">
        <v>-169.2955</v>
      </c>
      <c r="H1425">
        <v>2.6224349999999998</v>
      </c>
      <c r="I1425">
        <v>356.31529999999998</v>
      </c>
      <c r="J1425">
        <v>-276.85359999999997</v>
      </c>
      <c r="K1425">
        <v>1.0898350000000001</v>
      </c>
      <c r="L1425">
        <v>367.21469999999999</v>
      </c>
      <c r="M1425">
        <v>0.99999660000000001</v>
      </c>
      <c r="N1425">
        <v>0</v>
      </c>
      <c r="O1425">
        <v>4.1045239999999998E-4</v>
      </c>
      <c r="P1425">
        <v>0.99766529999999998</v>
      </c>
      <c r="Q1425">
        <v>6.0427549999999997E-2</v>
      </c>
      <c r="R1425">
        <v>-3.1828179999999998E-2</v>
      </c>
      <c r="S1425">
        <v>2.9950260000000002</v>
      </c>
      <c r="T1425">
        <v>4.2661789999999998E-2</v>
      </c>
      <c r="U1425">
        <v>-0.30303960000000002</v>
      </c>
      <c r="V1425">
        <v>3.2235819999999998E-2</v>
      </c>
      <c r="W1425">
        <v>6.3066860000000002E-2</v>
      </c>
      <c r="X1425">
        <v>0.99748859999999995</v>
      </c>
      <c r="Y1425">
        <v>0.10106519999999999</v>
      </c>
      <c r="Z1425">
        <v>7.2375919999999999E-4</v>
      </c>
      <c r="AA1425">
        <v>0.99487950000000003</v>
      </c>
      <c r="AB1425">
        <v>26</v>
      </c>
      <c r="AC1425">
        <v>107.558099999999</v>
      </c>
      <c r="AD1425">
        <v>1.53259999999999</v>
      </c>
      <c r="AE1425">
        <v>-10.8994</v>
      </c>
      <c r="AF1425">
        <v>10.941347809505899</v>
      </c>
      <c r="AG1425">
        <v>1.53259999999999</v>
      </c>
      <c r="AH1425">
        <v>107.532006371802</v>
      </c>
      <c r="AI1425">
        <v>89.187640928715197</v>
      </c>
      <c r="AJ1425">
        <v>84.190167139842103</v>
      </c>
      <c r="AK1425">
        <v>108.098077452811</v>
      </c>
      <c r="AL1425">
        <v>86.384135566232302</v>
      </c>
      <c r="AM1425">
        <v>88.149017591234298</v>
      </c>
      <c r="AN1425">
        <v>1.0000000420256401</v>
      </c>
    </row>
    <row r="1426" spans="1:40" x14ac:dyDescent="0.25">
      <c r="A1426" t="str">
        <f>"20190312150656862"</f>
        <v>20190312150656862</v>
      </c>
      <c r="B1426" t="str">
        <f>"1552374416851279"</f>
        <v>1552374416851279</v>
      </c>
      <c r="C1426" t="s">
        <v>40</v>
      </c>
      <c r="D1426">
        <v>4.2907390000000003</v>
      </c>
      <c r="E1426">
        <v>0.52552519999999903</v>
      </c>
      <c r="F1426" t="s">
        <v>47</v>
      </c>
      <c r="G1426">
        <v>-169.2955</v>
      </c>
      <c r="H1426">
        <v>2.4464060000000001</v>
      </c>
      <c r="I1426">
        <v>356.25049999999999</v>
      </c>
      <c r="J1426">
        <v>-276.72239999999999</v>
      </c>
      <c r="K1426">
        <v>1.09117999999999</v>
      </c>
      <c r="L1426">
        <v>367.21469999999999</v>
      </c>
      <c r="M1426">
        <v>0.99999499999999997</v>
      </c>
      <c r="N1426">
        <v>0</v>
      </c>
      <c r="O1426">
        <v>4.3028750000000002E-4</v>
      </c>
      <c r="P1426">
        <v>0.99768319999999999</v>
      </c>
      <c r="Q1426">
        <v>5.9789290000000002E-2</v>
      </c>
      <c r="R1426">
        <v>-3.2457939999999998E-2</v>
      </c>
      <c r="S1426">
        <v>2.9949650000000001</v>
      </c>
      <c r="T1426">
        <v>3.7776230000000001E-2</v>
      </c>
      <c r="U1426">
        <v>-0.30529790000000001</v>
      </c>
      <c r="V1426">
        <v>3.2885589999999999E-2</v>
      </c>
      <c r="W1426">
        <v>6.2936000000000006E-2</v>
      </c>
      <c r="X1426">
        <v>0.99747560000000002</v>
      </c>
      <c r="Y1426">
        <v>0.10183150000000001</v>
      </c>
      <c r="Z1426">
        <v>6.4594139999999995E-4</v>
      </c>
      <c r="AA1426">
        <v>0.99480150000000001</v>
      </c>
      <c r="AB1426">
        <v>26</v>
      </c>
      <c r="AC1426">
        <v>107.4269</v>
      </c>
      <c r="AD1426">
        <v>1.355226</v>
      </c>
      <c r="AE1426">
        <v>-10.9642</v>
      </c>
      <c r="AF1426">
        <v>11.0086897303086</v>
      </c>
      <c r="AG1426">
        <v>1.355226</v>
      </c>
      <c r="AH1426">
        <v>107.405255310488</v>
      </c>
      <c r="AI1426">
        <v>89.280854677898304</v>
      </c>
      <c r="AJ1426">
        <v>84.147805218781102</v>
      </c>
      <c r="AK1426">
        <v>107.976463895612</v>
      </c>
      <c r="AL1426">
        <v>86.391648018470605</v>
      </c>
      <c r="AM1426">
        <v>88.111709916420494</v>
      </c>
      <c r="AN1426">
        <v>0.99999998736050399</v>
      </c>
    </row>
    <row r="1427" spans="1:40" x14ac:dyDescent="0.25">
      <c r="A1427" t="str">
        <f>"20190312150656874"</f>
        <v>20190312150656874</v>
      </c>
      <c r="B1427" t="str">
        <f>"1552374416871775"</f>
        <v>1552374416871775</v>
      </c>
      <c r="C1427" t="s">
        <v>40</v>
      </c>
      <c r="D1427">
        <v>4.2810300000000003</v>
      </c>
      <c r="E1427">
        <v>0.52538669999999899</v>
      </c>
      <c r="F1427" t="s">
        <v>47</v>
      </c>
      <c r="G1427">
        <v>-169.2955</v>
      </c>
      <c r="H1427">
        <v>2.258753</v>
      </c>
      <c r="I1427">
        <v>356.23910000000001</v>
      </c>
      <c r="J1427">
        <v>-276.59100000000001</v>
      </c>
      <c r="K1427">
        <v>1.092455</v>
      </c>
      <c r="L1427">
        <v>367.21480000000003</v>
      </c>
      <c r="M1427">
        <v>0.99999329999999997</v>
      </c>
      <c r="N1427">
        <v>0</v>
      </c>
      <c r="O1427">
        <v>4.4987E-4</v>
      </c>
      <c r="P1427">
        <v>0.99771270000000001</v>
      </c>
      <c r="Q1427">
        <v>5.9019009999999997E-2</v>
      </c>
      <c r="R1427">
        <v>-3.2957760000000003E-2</v>
      </c>
      <c r="S1427">
        <v>2.9950559999999999</v>
      </c>
      <c r="T1427">
        <v>3.2554270000000003E-2</v>
      </c>
      <c r="U1427">
        <v>-0.30599979999999999</v>
      </c>
      <c r="V1427">
        <v>3.3404669999999997E-2</v>
      </c>
      <c r="W1427">
        <v>6.26752E-2</v>
      </c>
      <c r="X1427">
        <v>0.99747479999999999</v>
      </c>
      <c r="Y1427">
        <v>0.1020807</v>
      </c>
      <c r="Z1427">
        <v>5.5819559999999895E-4</v>
      </c>
      <c r="AA1427">
        <v>0.99477599999999999</v>
      </c>
      <c r="AB1427">
        <v>26</v>
      </c>
      <c r="AC1427">
        <v>107.2955</v>
      </c>
      <c r="AD1427">
        <v>1.1662980000000001</v>
      </c>
      <c r="AE1427">
        <v>-10.9757</v>
      </c>
      <c r="AF1427">
        <v>11.0226793252088</v>
      </c>
      <c r="AG1427">
        <v>1.1662980000000001</v>
      </c>
      <c r="AH1427">
        <v>107.27800718824901</v>
      </c>
      <c r="AI1427">
        <v>89.380381946920707</v>
      </c>
      <c r="AJ1427">
        <v>84.133518183439804</v>
      </c>
      <c r="AK1427">
        <v>107.849110041823</v>
      </c>
      <c r="AL1427">
        <v>86.4066204148222</v>
      </c>
      <c r="AM1427">
        <v>88.081924904182301</v>
      </c>
      <c r="AN1427">
        <v>1.0000000146539401</v>
      </c>
    </row>
    <row r="1428" spans="1:40" x14ac:dyDescent="0.25">
      <c r="A1428" t="str">
        <f>"20190312150656885"</f>
        <v>20190312150656885</v>
      </c>
      <c r="B1428" t="str">
        <f>"1552374416881536"</f>
        <v>1552374416881536</v>
      </c>
      <c r="C1428" t="s">
        <v>40</v>
      </c>
      <c r="D1428">
        <v>4.290921</v>
      </c>
      <c r="E1428">
        <v>0.52528909999999995</v>
      </c>
      <c r="F1428" t="s">
        <v>47</v>
      </c>
      <c r="G1428">
        <v>-169.2955</v>
      </c>
      <c r="H1428">
        <v>1.974021</v>
      </c>
      <c r="I1428">
        <v>356.22730000000001</v>
      </c>
      <c r="J1428">
        <v>-276.46550000000002</v>
      </c>
      <c r="K1428">
        <v>1.0936520000000001</v>
      </c>
      <c r="L1428">
        <v>367.2149</v>
      </c>
      <c r="M1428">
        <v>0.99999139999999997</v>
      </c>
      <c r="N1428">
        <v>0</v>
      </c>
      <c r="O1428">
        <v>4.6847719999999998E-4</v>
      </c>
      <c r="P1428">
        <v>0.99770800000000004</v>
      </c>
      <c r="Q1428">
        <v>5.8722249999999997E-2</v>
      </c>
      <c r="R1428">
        <v>-3.3629649999999997E-2</v>
      </c>
      <c r="S1428">
        <v>2.9952999999999999</v>
      </c>
      <c r="T1428">
        <v>2.461255E-2</v>
      </c>
      <c r="U1428">
        <v>-0.30673220000000001</v>
      </c>
      <c r="V1428">
        <v>3.4095029999999998E-2</v>
      </c>
      <c r="W1428">
        <v>6.2864139999999999E-2</v>
      </c>
      <c r="X1428">
        <v>0.99743959999999998</v>
      </c>
      <c r="Y1428">
        <v>0.1023343</v>
      </c>
      <c r="Z1428">
        <v>4.231792E-4</v>
      </c>
      <c r="AA1428">
        <v>0.99475000000000002</v>
      </c>
      <c r="AB1428">
        <v>26</v>
      </c>
      <c r="AC1428">
        <v>107.17</v>
      </c>
      <c r="AD1428">
        <v>0.88036899999999896</v>
      </c>
      <c r="AE1428">
        <v>-10.987599999999899</v>
      </c>
      <c r="AF1428">
        <v>11.037068874387201</v>
      </c>
      <c r="AG1428">
        <v>0.88036899999999896</v>
      </c>
      <c r="AH1428">
        <v>107.157684841208</v>
      </c>
      <c r="AI1428">
        <v>89.531766077490303</v>
      </c>
      <c r="AJ1428">
        <v>84.119363766106702</v>
      </c>
      <c r="AK1428">
        <v>107.728182753826</v>
      </c>
      <c r="AL1428">
        <v>86.395773736775396</v>
      </c>
      <c r="AM1428">
        <v>88.042246367379406</v>
      </c>
      <c r="AN1428">
        <v>1.0000000634083901</v>
      </c>
    </row>
    <row r="1429" spans="1:40" x14ac:dyDescent="0.25">
      <c r="A1429" t="str">
        <f>"20190312150656896"</f>
        <v>20190312150656896</v>
      </c>
      <c r="B1429" t="str">
        <f>"1552374416891295"</f>
        <v>1552374416891295</v>
      </c>
      <c r="C1429" t="s">
        <v>40</v>
      </c>
      <c r="D1429">
        <v>4.2917589999999999</v>
      </c>
      <c r="E1429">
        <v>0.52520349999999905</v>
      </c>
      <c r="F1429" t="s">
        <v>47</v>
      </c>
      <c r="G1429">
        <v>-169.2955</v>
      </c>
      <c r="H1429">
        <v>1.8363080000000001</v>
      </c>
      <c r="I1429">
        <v>356.1866</v>
      </c>
      <c r="J1429">
        <v>-276.33300000000003</v>
      </c>
      <c r="K1429">
        <v>1.0948249999999999</v>
      </c>
      <c r="L1429">
        <v>367.21499999999997</v>
      </c>
      <c r="M1429">
        <v>0.99998920000000002</v>
      </c>
      <c r="N1429">
        <v>0</v>
      </c>
      <c r="O1429">
        <v>4.8823410000000002E-4</v>
      </c>
      <c r="P1429">
        <v>0.99774090000000004</v>
      </c>
      <c r="Q1429">
        <v>5.799025E-2</v>
      </c>
      <c r="R1429">
        <v>-3.3927520000000003E-2</v>
      </c>
      <c r="S1429">
        <v>2.9952700000000001</v>
      </c>
      <c r="T1429">
        <v>2.0758749999999999E-2</v>
      </c>
      <c r="U1429">
        <v>-0.30822749999999999</v>
      </c>
      <c r="V1429">
        <v>3.4412459999999999E-2</v>
      </c>
      <c r="W1429">
        <v>6.2636670000000005E-2</v>
      </c>
      <c r="X1429">
        <v>0.99744299999999997</v>
      </c>
      <c r="Y1429">
        <v>0.10284740000000001</v>
      </c>
      <c r="Z1429">
        <v>3.5882459999999998E-4</v>
      </c>
      <c r="AA1429">
        <v>0.9946971</v>
      </c>
      <c r="AB1429">
        <v>26</v>
      </c>
      <c r="AC1429">
        <v>107.037499999999</v>
      </c>
      <c r="AD1429">
        <v>0.741483</v>
      </c>
      <c r="AE1429">
        <v>-11.0283999999999</v>
      </c>
      <c r="AF1429">
        <v>11.080132475699299</v>
      </c>
      <c r="AG1429">
        <v>0.741483</v>
      </c>
      <c r="AH1429">
        <v>107.027020706766</v>
      </c>
      <c r="AI1429">
        <v>89.605171424585095</v>
      </c>
      <c r="AJ1429">
        <v>84.089424667457294</v>
      </c>
      <c r="AK1429">
        <v>107.60159057414</v>
      </c>
      <c r="AL1429">
        <v>86.408832508877197</v>
      </c>
      <c r="AM1429">
        <v>88.024040490904099</v>
      </c>
      <c r="AN1429">
        <v>1.0000000540404601</v>
      </c>
    </row>
    <row r="1430" spans="1:40" x14ac:dyDescent="0.25">
      <c r="A1430" t="str">
        <f>"20190312150656907"</f>
        <v>20190312150656907</v>
      </c>
      <c r="B1430" t="str">
        <f>"1552374416902031"</f>
        <v>1552374416902031</v>
      </c>
      <c r="C1430" t="s">
        <v>40</v>
      </c>
      <c r="D1430">
        <v>4.3146009999999997</v>
      </c>
      <c r="E1430">
        <v>0.52511529999999995</v>
      </c>
      <c r="F1430" t="s">
        <v>47</v>
      </c>
      <c r="G1430">
        <v>-169.2955</v>
      </c>
      <c r="H1430">
        <v>1.65425</v>
      </c>
      <c r="I1430">
        <v>356.20510000000002</v>
      </c>
      <c r="J1430">
        <v>-276.202</v>
      </c>
      <c r="K1430">
        <v>1.095953</v>
      </c>
      <c r="L1430">
        <v>367.21499999999997</v>
      </c>
      <c r="M1430">
        <v>0.99998670000000001</v>
      </c>
      <c r="N1430">
        <v>0</v>
      </c>
      <c r="O1430">
        <v>5.0795349999999996E-4</v>
      </c>
      <c r="P1430">
        <v>0.99775460000000005</v>
      </c>
      <c r="Q1430">
        <v>5.7501030000000002E-2</v>
      </c>
      <c r="R1430">
        <v>-3.4346010000000003E-2</v>
      </c>
      <c r="S1430">
        <v>2.9953919999999998</v>
      </c>
      <c r="T1430">
        <v>1.565766E-2</v>
      </c>
      <c r="U1430">
        <v>-0.30810549999999998</v>
      </c>
      <c r="V1430">
        <v>3.4850770000000003E-2</v>
      </c>
      <c r="W1430">
        <v>6.2639040000000007E-2</v>
      </c>
      <c r="X1430">
        <v>0.99742759999999997</v>
      </c>
      <c r="Y1430">
        <v>0.10282380000000001</v>
      </c>
      <c r="Z1430">
        <v>2.706823E-4</v>
      </c>
      <c r="AA1430">
        <v>0.99469949999999996</v>
      </c>
      <c r="AB1430">
        <v>26</v>
      </c>
      <c r="AC1430">
        <v>106.90649999999999</v>
      </c>
      <c r="AD1430">
        <v>0.55829700000000004</v>
      </c>
      <c r="AE1430">
        <v>-11.009899999999901</v>
      </c>
      <c r="AF1430">
        <v>11.0639042538519</v>
      </c>
      <c r="AG1430">
        <v>0.55829700000000004</v>
      </c>
      <c r="AH1430">
        <v>106.898008854583</v>
      </c>
      <c r="AI1430">
        <v>89.702353585248005</v>
      </c>
      <c r="AJ1430">
        <v>84.090947739243404</v>
      </c>
      <c r="AK1430">
        <v>107.470488832763</v>
      </c>
      <c r="AL1430">
        <v>86.408696333235397</v>
      </c>
      <c r="AM1430">
        <v>87.998862242733793</v>
      </c>
      <c r="AN1430">
        <v>1.0000000213717299</v>
      </c>
    </row>
    <row r="1431" spans="1:40" x14ac:dyDescent="0.25">
      <c r="A1431" t="str">
        <f>"20190312150656919"</f>
        <v>20190312150656919</v>
      </c>
      <c r="B1431" t="str">
        <f>"1552374416911791"</f>
        <v>1552374416911791</v>
      </c>
      <c r="C1431" t="s">
        <v>40</v>
      </c>
      <c r="D1431">
        <v>4.2923090000000004</v>
      </c>
      <c r="E1431">
        <v>0.52502550000000003</v>
      </c>
      <c r="F1431" t="s">
        <v>47</v>
      </c>
      <c r="G1431">
        <v>-169.2955</v>
      </c>
      <c r="H1431">
        <v>1.515048</v>
      </c>
      <c r="I1431">
        <v>356.18729999999999</v>
      </c>
      <c r="J1431">
        <v>-276.06729999999999</v>
      </c>
      <c r="K1431">
        <v>1.0970359999999999</v>
      </c>
      <c r="L1431">
        <v>367.21510000000001</v>
      </c>
      <c r="M1431">
        <v>0.99998399999999998</v>
      </c>
      <c r="N1431">
        <v>0</v>
      </c>
      <c r="O1431">
        <v>5.2803240000000003E-4</v>
      </c>
      <c r="P1431">
        <v>0.99775530000000001</v>
      </c>
      <c r="Q1431">
        <v>5.7220699999999999E-2</v>
      </c>
      <c r="R1431">
        <v>-3.4791120000000002E-2</v>
      </c>
      <c r="S1431">
        <v>2.9954529999999999</v>
      </c>
      <c r="T1431">
        <v>1.1745210000000001E-2</v>
      </c>
      <c r="U1431">
        <v>-0.3089905</v>
      </c>
      <c r="V1431">
        <v>3.5315920000000001E-2</v>
      </c>
      <c r="W1431">
        <v>6.2849379999999996E-2</v>
      </c>
      <c r="X1431">
        <v>0.99739800000000001</v>
      </c>
      <c r="Y1431">
        <v>0.10313310000000001</v>
      </c>
      <c r="Z1431">
        <v>2.0372249999999999E-4</v>
      </c>
      <c r="AA1431">
        <v>0.99466750000000004</v>
      </c>
      <c r="AB1431">
        <v>26</v>
      </c>
      <c r="AC1431">
        <v>106.771799999999</v>
      </c>
      <c r="AD1431">
        <v>0.418011999999999</v>
      </c>
      <c r="AE1431">
        <v>-11.027799999999999</v>
      </c>
      <c r="AF1431">
        <v>11.0840102323072</v>
      </c>
      <c r="AG1431">
        <v>0.418011999999999</v>
      </c>
      <c r="AH1431">
        <v>106.764342854416</v>
      </c>
      <c r="AI1431">
        <v>89.776871499094995</v>
      </c>
      <c r="AJ1431">
        <v>84.0729270583805</v>
      </c>
      <c r="AK1431">
        <v>107.33897205580701</v>
      </c>
      <c r="AL1431">
        <v>86.396620921883297</v>
      </c>
      <c r="AM1431">
        <v>87.972115264155406</v>
      </c>
      <c r="AN1431">
        <v>1.00000001458791</v>
      </c>
    </row>
    <row r="1432" spans="1:40" x14ac:dyDescent="0.25">
      <c r="A1432" t="str">
        <f>"20190312150656930"</f>
        <v>20190312150656930</v>
      </c>
      <c r="B1432" t="str">
        <f>"1552374416921552"</f>
        <v>1552374416921552</v>
      </c>
      <c r="C1432" t="s">
        <v>40</v>
      </c>
      <c r="D1432">
        <v>4.3025710000000004</v>
      </c>
      <c r="E1432">
        <v>0.52496589999999999</v>
      </c>
      <c r="F1432" t="s">
        <v>47</v>
      </c>
      <c r="G1432">
        <v>-169.2955</v>
      </c>
      <c r="H1432">
        <v>1.3909769999999999</v>
      </c>
      <c r="I1432">
        <v>356.17200000000003</v>
      </c>
      <c r="J1432">
        <v>-275.94209999999998</v>
      </c>
      <c r="K1432">
        <v>1.097993</v>
      </c>
      <c r="L1432">
        <v>367.21519999999998</v>
      </c>
      <c r="M1432">
        <v>0.99998149999999997</v>
      </c>
      <c r="N1432">
        <v>0</v>
      </c>
      <c r="O1432">
        <v>5.4647530000000004E-4</v>
      </c>
      <c r="P1432">
        <v>0.99774430000000003</v>
      </c>
      <c r="Q1432">
        <v>5.7101140000000002E-2</v>
      </c>
      <c r="R1432">
        <v>-3.5296180000000003E-2</v>
      </c>
      <c r="S1432">
        <v>2.9954830000000001</v>
      </c>
      <c r="T1432">
        <v>8.2489250000000007E-3</v>
      </c>
      <c r="U1432">
        <v>-0.30981449999999999</v>
      </c>
      <c r="V1432">
        <v>3.5839549999999998E-2</v>
      </c>
      <c r="W1432">
        <v>6.3169199999999995E-2</v>
      </c>
      <c r="X1432">
        <v>0.99735910000000005</v>
      </c>
      <c r="Y1432">
        <v>0.1034216</v>
      </c>
      <c r="Z1432">
        <v>1.4352240000000001E-4</v>
      </c>
      <c r="AA1432">
        <v>0.99463760000000001</v>
      </c>
      <c r="AB1432">
        <v>26</v>
      </c>
      <c r="AC1432">
        <v>106.646599999999</v>
      </c>
      <c r="AD1432">
        <v>0.29298400000000002</v>
      </c>
      <c r="AE1432">
        <v>-11.043200000000001</v>
      </c>
      <c r="AF1432">
        <v>11.101396256094301</v>
      </c>
      <c r="AG1432">
        <v>0.29298400000000002</v>
      </c>
      <c r="AH1432">
        <v>106.639752820604</v>
      </c>
      <c r="AI1432">
        <v>89.843431021436103</v>
      </c>
      <c r="AJ1432">
        <v>84.056810453943299</v>
      </c>
      <c r="AK1432">
        <v>107.21643400196901</v>
      </c>
      <c r="AL1432">
        <v>86.378260040808797</v>
      </c>
      <c r="AM1432">
        <v>87.941993236078403</v>
      </c>
      <c r="AN1432">
        <v>0.999999997762826</v>
      </c>
    </row>
    <row r="1433" spans="1:40" x14ac:dyDescent="0.25">
      <c r="A1433" t="str">
        <f>"20190312150656941"</f>
        <v>20190312150656941</v>
      </c>
      <c r="B1433" t="str">
        <f>"1552374416931311"</f>
        <v>1552374416931311</v>
      </c>
      <c r="C1433" t="s">
        <v>40</v>
      </c>
      <c r="D1433">
        <v>4.320646</v>
      </c>
      <c r="E1433">
        <v>0.52490029999999999</v>
      </c>
      <c r="F1433" t="s">
        <v>47</v>
      </c>
      <c r="G1433">
        <v>-169.2955</v>
      </c>
      <c r="H1433">
        <v>1.295984</v>
      </c>
      <c r="I1433">
        <v>356.14159999999998</v>
      </c>
      <c r="J1433">
        <v>-275.81049999999999</v>
      </c>
      <c r="K1433">
        <v>1.098949</v>
      </c>
      <c r="L1433">
        <v>367.21530000000001</v>
      </c>
      <c r="M1433">
        <v>0.99997860000000005</v>
      </c>
      <c r="N1433">
        <v>0</v>
      </c>
      <c r="O1433">
        <v>5.6592760000000002E-4</v>
      </c>
      <c r="P1433">
        <v>0.99774790000000002</v>
      </c>
      <c r="Q1433">
        <v>5.685047E-2</v>
      </c>
      <c r="R1433">
        <v>-3.5601590000000002E-2</v>
      </c>
      <c r="S1433">
        <v>2.9954830000000001</v>
      </c>
      <c r="T1433">
        <v>5.5636169999999999E-3</v>
      </c>
      <c r="U1433">
        <v>-0.31103520000000001</v>
      </c>
      <c r="V1433">
        <v>3.6164170000000002E-2</v>
      </c>
      <c r="W1433">
        <v>6.3366679999999995E-2</v>
      </c>
      <c r="X1433">
        <v>0.99733479999999997</v>
      </c>
      <c r="Y1433">
        <v>0.1038422</v>
      </c>
      <c r="Z1433" s="1">
        <v>9.7224580000000003E-5</v>
      </c>
      <c r="AA1433">
        <v>0.99459379999999997</v>
      </c>
      <c r="AB1433">
        <v>26</v>
      </c>
      <c r="AC1433">
        <v>106.515</v>
      </c>
      <c r="AD1433">
        <v>0.19703499999999999</v>
      </c>
      <c r="AE1433">
        <v>-11.073700000000001</v>
      </c>
      <c r="AF1433">
        <v>11.133941593628901</v>
      </c>
      <c r="AG1433">
        <v>0.19703499999999999</v>
      </c>
      <c r="AH1433">
        <v>106.50835533464701</v>
      </c>
      <c r="AI1433">
        <v>89.894580297994096</v>
      </c>
      <c r="AJ1433">
        <v>84.032212080628994</v>
      </c>
      <c r="AK1433">
        <v>107.088903413439</v>
      </c>
      <c r="AL1433">
        <v>86.366922358347693</v>
      </c>
      <c r="AM1433">
        <v>87.923318346151902</v>
      </c>
      <c r="AN1433">
        <v>0.99999994330852404</v>
      </c>
    </row>
    <row r="1434" spans="1:40" x14ac:dyDescent="0.25">
      <c r="A1434" t="str">
        <f>"20190312150656951"</f>
        <v>20190312150656951</v>
      </c>
      <c r="B1434" t="str">
        <f>"1552374416942048"</f>
        <v>1552374416942048</v>
      </c>
      <c r="C1434" t="s">
        <v>40</v>
      </c>
      <c r="D1434">
        <v>4.3194229999999996</v>
      </c>
      <c r="E1434">
        <v>0.52483760000000002</v>
      </c>
      <c r="F1434" t="s">
        <v>47</v>
      </c>
      <c r="G1434">
        <v>-169.2955</v>
      </c>
      <c r="H1434">
        <v>1.18363</v>
      </c>
      <c r="I1434">
        <v>356.13920000000002</v>
      </c>
      <c r="J1434">
        <v>-275.6891</v>
      </c>
      <c r="K1434">
        <v>1.0997589999999999</v>
      </c>
      <c r="L1434">
        <v>367.21539999999999</v>
      </c>
      <c r="M1434">
        <v>0.99997590000000003</v>
      </c>
      <c r="N1434">
        <v>0</v>
      </c>
      <c r="O1434">
        <v>5.843469E-4</v>
      </c>
      <c r="P1434">
        <v>0.99774839999999998</v>
      </c>
      <c r="Q1434">
        <v>5.6714960000000002E-2</v>
      </c>
      <c r="R1434">
        <v>-3.5795420000000001E-2</v>
      </c>
      <c r="S1434">
        <v>2.995514</v>
      </c>
      <c r="T1434">
        <v>2.383947E-3</v>
      </c>
      <c r="U1434">
        <v>-0.31149290000000002</v>
      </c>
      <c r="V1434">
        <v>3.6376520000000002E-2</v>
      </c>
      <c r="W1434">
        <v>6.3620309999999999E-2</v>
      </c>
      <c r="X1434">
        <v>0.99731099999999995</v>
      </c>
      <c r="Y1434">
        <v>0.10401000000000001</v>
      </c>
      <c r="Z1434" s="1">
        <v>4.1740119999999998E-5</v>
      </c>
      <c r="AA1434">
        <v>0.99457629999999997</v>
      </c>
      <c r="AB1434">
        <v>26</v>
      </c>
      <c r="AC1434">
        <v>106.39360000000001</v>
      </c>
      <c r="AD1434">
        <v>8.3871000000000001E-2</v>
      </c>
      <c r="AE1434">
        <v>-11.076199999999901</v>
      </c>
      <c r="AF1434">
        <v>11.1383635194323</v>
      </c>
      <c r="AG1434">
        <v>8.3871000000000001E-2</v>
      </c>
      <c r="AH1434">
        <v>106.387043933143</v>
      </c>
      <c r="AI1434">
        <v>89.955076008143294</v>
      </c>
      <c r="AJ1434">
        <v>84.023100643507803</v>
      </c>
      <c r="AK1434">
        <v>106.968562171641</v>
      </c>
      <c r="AL1434">
        <v>86.352361302012099</v>
      </c>
      <c r="AM1434">
        <v>87.9110853822352</v>
      </c>
      <c r="AN1434">
        <v>1.0000000128863999</v>
      </c>
    </row>
    <row r="1435" spans="1:40" x14ac:dyDescent="0.25">
      <c r="A1435" t="str">
        <f>"20190312150656964"</f>
        <v>20190312150656964</v>
      </c>
      <c r="B1435" t="str">
        <f>"1552374416951807"</f>
        <v>1552374416951807</v>
      </c>
      <c r="C1435" t="s">
        <v>40</v>
      </c>
      <c r="D1435">
        <v>4.3142670000000001</v>
      </c>
      <c r="E1435">
        <v>0.52478400000000003</v>
      </c>
      <c r="F1435" t="s">
        <v>47</v>
      </c>
      <c r="G1435">
        <v>-169.2955</v>
      </c>
      <c r="H1435">
        <v>1.0977490000000001</v>
      </c>
      <c r="I1435">
        <v>356.15219999999999</v>
      </c>
      <c r="J1435">
        <v>-275.54829999999998</v>
      </c>
      <c r="K1435">
        <v>1.1006750000000001</v>
      </c>
      <c r="L1435">
        <v>367.21550000000002</v>
      </c>
      <c r="M1435">
        <v>0.99997270000000005</v>
      </c>
      <c r="N1435">
        <v>0</v>
      </c>
      <c r="O1435">
        <v>6.0589349999999999E-4</v>
      </c>
      <c r="P1435">
        <v>0.99774050000000003</v>
      </c>
      <c r="Q1435">
        <v>5.665357E-2</v>
      </c>
      <c r="R1435">
        <v>-3.611897E-2</v>
      </c>
      <c r="S1435">
        <v>2.9956049999999999</v>
      </c>
      <c r="T1435" s="1">
        <v>-5.412102E-5</v>
      </c>
      <c r="U1435">
        <v>-0.31149290000000002</v>
      </c>
      <c r="V1435">
        <v>3.6721419999999998E-2</v>
      </c>
      <c r="W1435">
        <v>6.4001009999999997E-2</v>
      </c>
      <c r="X1435">
        <v>0.99727399999999999</v>
      </c>
      <c r="Y1435">
        <v>0.1040283</v>
      </c>
      <c r="Z1435" s="1">
        <v>-9.4812030000000003E-7</v>
      </c>
      <c r="AA1435">
        <v>0.99457439999999997</v>
      </c>
      <c r="AB1435">
        <v>26</v>
      </c>
      <c r="AC1435">
        <v>106.252799999999</v>
      </c>
      <c r="AD1435">
        <v>-2.9259999999999798E-3</v>
      </c>
      <c r="AE1435">
        <v>-11.0633</v>
      </c>
      <c r="AF1435">
        <v>11.127677587457599</v>
      </c>
      <c r="AG1435">
        <v>-2.9259999999999798E-3</v>
      </c>
      <c r="AH1435">
        <v>106.246077052833</v>
      </c>
      <c r="AI1435">
        <v>90.001569332768796</v>
      </c>
      <c r="AJ1435">
        <v>84.020928097318205</v>
      </c>
      <c r="AK1435">
        <v>106.827216130387</v>
      </c>
      <c r="AL1435">
        <v>86.330504249729799</v>
      </c>
      <c r="AM1435">
        <v>87.891219198103599</v>
      </c>
      <c r="AN1435">
        <v>1.0000000115219101</v>
      </c>
    </row>
    <row r="1436" spans="1:40" x14ac:dyDescent="0.25">
      <c r="A1436" t="str">
        <f>"20190312150656976"</f>
        <v>20190312150656976</v>
      </c>
      <c r="B1436" t="str">
        <f>"1552374416971327"</f>
        <v>1552374416971327</v>
      </c>
      <c r="C1436" t="s">
        <v>40</v>
      </c>
      <c r="D1436">
        <v>4.3272539999999999</v>
      </c>
      <c r="E1436">
        <v>0.52460419999999996</v>
      </c>
      <c r="F1436" t="s">
        <v>47</v>
      </c>
      <c r="G1436">
        <v>-169.2955</v>
      </c>
      <c r="H1436">
        <v>1.025663</v>
      </c>
      <c r="I1436">
        <v>356.14760000000001</v>
      </c>
      <c r="J1436">
        <v>-275.416</v>
      </c>
      <c r="K1436">
        <v>1.1014379999999999</v>
      </c>
      <c r="L1436">
        <v>367.21559999999999</v>
      </c>
      <c r="M1436">
        <v>0.99996989999999997</v>
      </c>
      <c r="N1436">
        <v>0</v>
      </c>
      <c r="O1436">
        <v>6.2567440000000003E-4</v>
      </c>
      <c r="P1436">
        <v>0.99773959999999995</v>
      </c>
      <c r="Q1436">
        <v>5.6654830000000003E-2</v>
      </c>
      <c r="R1436">
        <v>-3.6141779999999998E-2</v>
      </c>
      <c r="S1436">
        <v>2.9956360000000002</v>
      </c>
      <c r="T1436">
        <v>-2.1123890000000001E-3</v>
      </c>
      <c r="U1436">
        <v>-0.31204219999999999</v>
      </c>
      <c r="V1436">
        <v>3.6764110000000003E-2</v>
      </c>
      <c r="W1436">
        <v>6.4383109999999993E-2</v>
      </c>
      <c r="X1436">
        <v>0.99724780000000002</v>
      </c>
      <c r="Y1436">
        <v>0.10422729999999999</v>
      </c>
      <c r="Z1436" s="1">
        <v>-3.7089099999999997E-5</v>
      </c>
      <c r="AA1436">
        <v>0.99455349999999998</v>
      </c>
      <c r="AB1436">
        <v>26</v>
      </c>
      <c r="AC1436">
        <v>106.12050000000001</v>
      </c>
      <c r="AD1436">
        <v>-7.5774999999999898E-2</v>
      </c>
      <c r="AE1436">
        <v>-11.0679999999999</v>
      </c>
      <c r="AF1436">
        <v>11.134391083334901</v>
      </c>
      <c r="AG1436">
        <v>-7.5774999999999898E-2</v>
      </c>
      <c r="AH1436">
        <v>106.11350053485501</v>
      </c>
      <c r="AI1436">
        <v>90.040691164027706</v>
      </c>
      <c r="AJ1436">
        <v>84.009926668985699</v>
      </c>
      <c r="AK1436">
        <v>106.69608897428201</v>
      </c>
      <c r="AL1436">
        <v>86.308566168904093</v>
      </c>
      <c r="AM1436">
        <v>87.888714463439698</v>
      </c>
      <c r="AN1436">
        <v>0.99999997962110199</v>
      </c>
    </row>
    <row r="1437" spans="1:40" x14ac:dyDescent="0.25">
      <c r="A1437" t="str">
        <f>"20190312150656990"</f>
        <v>20190312150656990</v>
      </c>
      <c r="B1437" t="str">
        <f>"1552374416982065"</f>
        <v>1552374416982065</v>
      </c>
      <c r="C1437" t="s">
        <v>40</v>
      </c>
      <c r="D1437">
        <v>4.3104360000000002</v>
      </c>
      <c r="E1437">
        <v>0.52453809999999901</v>
      </c>
      <c r="F1437" t="s">
        <v>47</v>
      </c>
      <c r="G1437">
        <v>-169.2955</v>
      </c>
      <c r="H1437">
        <v>0.8667068</v>
      </c>
      <c r="I1437">
        <v>356.20370000000003</v>
      </c>
      <c r="J1437">
        <v>-275.24919999999997</v>
      </c>
      <c r="K1437">
        <v>1.1023499999999999</v>
      </c>
      <c r="L1437">
        <v>367.21570000000003</v>
      </c>
      <c r="M1437">
        <v>0.99996609999999997</v>
      </c>
      <c r="N1437">
        <v>0</v>
      </c>
      <c r="O1437">
        <v>6.5077069999999997E-4</v>
      </c>
      <c r="P1437">
        <v>0.99773630000000002</v>
      </c>
      <c r="Q1437">
        <v>5.6668700000000002E-2</v>
      </c>
      <c r="R1437">
        <v>-3.6209249999999998E-2</v>
      </c>
      <c r="S1437">
        <v>2.9959410000000002</v>
      </c>
      <c r="T1437">
        <v>-6.6243409999999997E-3</v>
      </c>
      <c r="U1437">
        <v>-0.31088259999999901</v>
      </c>
      <c r="V1437">
        <v>3.6856680000000003E-2</v>
      </c>
      <c r="W1437">
        <v>6.4859429999999996E-2</v>
      </c>
      <c r="X1437">
        <v>0.99721349999999997</v>
      </c>
      <c r="Y1437">
        <v>0.1038608</v>
      </c>
      <c r="Z1437">
        <v>-1.159511E-4</v>
      </c>
      <c r="AA1437">
        <v>0.99459180000000003</v>
      </c>
      <c r="AB1437">
        <v>26</v>
      </c>
      <c r="AC1437">
        <v>105.953699999999</v>
      </c>
      <c r="AD1437">
        <v>-0.235643199999999</v>
      </c>
      <c r="AE1437">
        <v>-11.012</v>
      </c>
      <c r="AF1437">
        <v>11.080897331126501</v>
      </c>
      <c r="AG1437">
        <v>-0.235643199999999</v>
      </c>
      <c r="AH1437">
        <v>105.945992597203</v>
      </c>
      <c r="AI1437">
        <v>90.126744700323499</v>
      </c>
      <c r="AJ1437">
        <v>84.029139950435294</v>
      </c>
      <c r="AK1437">
        <v>106.52415294564599</v>
      </c>
      <c r="AL1437">
        <v>86.281217817104704</v>
      </c>
      <c r="AM1437">
        <v>87.883330456200994</v>
      </c>
      <c r="AN1437">
        <v>0.999999962551397</v>
      </c>
    </row>
    <row r="1438" spans="1:40" x14ac:dyDescent="0.25">
      <c r="A1438" t="str">
        <f>"20190312150657004"</f>
        <v>20190312150657004</v>
      </c>
      <c r="B1438" t="str">
        <f>"1552374416991824"</f>
        <v>1552374416991824</v>
      </c>
      <c r="C1438" t="s">
        <v>40</v>
      </c>
      <c r="D1438">
        <v>4.31027</v>
      </c>
      <c r="E1438">
        <v>0.52445019999999998</v>
      </c>
      <c r="F1438" t="s">
        <v>47</v>
      </c>
      <c r="G1438">
        <v>-169.2955</v>
      </c>
      <c r="H1438">
        <v>0.79684160000000004</v>
      </c>
      <c r="I1438">
        <v>356.22890000000001</v>
      </c>
      <c r="J1438">
        <v>-275.09039999999999</v>
      </c>
      <c r="K1438">
        <v>1.103159</v>
      </c>
      <c r="L1438">
        <v>367.2158</v>
      </c>
      <c r="M1438">
        <v>0.99996260000000003</v>
      </c>
      <c r="N1438">
        <v>0</v>
      </c>
      <c r="O1438">
        <v>6.7464309999999998E-4</v>
      </c>
      <c r="P1438">
        <v>0.99773319999999999</v>
      </c>
      <c r="Q1438">
        <v>5.6566569999999997E-2</v>
      </c>
      <c r="R1438">
        <v>-3.6459900000000003E-2</v>
      </c>
      <c r="S1438">
        <v>2.9960019999999998</v>
      </c>
      <c r="T1438">
        <v>-8.6362360000000003E-3</v>
      </c>
      <c r="U1438">
        <v>-0.31066890000000003</v>
      </c>
      <c r="V1438">
        <v>3.7130780000000002E-2</v>
      </c>
      <c r="W1438">
        <v>6.517444E-2</v>
      </c>
      <c r="X1438">
        <v>0.99718280000000004</v>
      </c>
      <c r="Y1438">
        <v>0.1038121</v>
      </c>
      <c r="Z1438">
        <v>-1.511629E-4</v>
      </c>
      <c r="AA1438">
        <v>0.99459690000000001</v>
      </c>
      <c r="AB1438">
        <v>26</v>
      </c>
      <c r="AC1438">
        <v>105.794899999999</v>
      </c>
      <c r="AD1438">
        <v>-0.30631740000000002</v>
      </c>
      <c r="AE1438">
        <v>-10.986899999999901</v>
      </c>
      <c r="AF1438">
        <v>11.0581822373706</v>
      </c>
      <c r="AG1438">
        <v>-0.30631740000000002</v>
      </c>
      <c r="AH1438">
        <v>105.786586034622</v>
      </c>
      <c r="AI1438">
        <v>90.165007076698203</v>
      </c>
      <c r="AJ1438">
        <v>84.0323774104329</v>
      </c>
      <c r="AK1438">
        <v>106.363428910528</v>
      </c>
      <c r="AL1438">
        <v>86.263130829762702</v>
      </c>
      <c r="AM1438">
        <v>87.867537854024306</v>
      </c>
      <c r="AN1438">
        <v>0.99999996953428005</v>
      </c>
    </row>
    <row r="1439" spans="1:40" x14ac:dyDescent="0.25">
      <c r="A1439" t="str">
        <f>"20190312150657018"</f>
        <v>20190312150657018</v>
      </c>
      <c r="B1439" t="str">
        <f>"1552374417011343"</f>
        <v>1552374417011343</v>
      </c>
      <c r="C1439" t="s">
        <v>40</v>
      </c>
      <c r="D1439">
        <v>4.8838269999999904</v>
      </c>
      <c r="E1439">
        <v>0.5243198</v>
      </c>
      <c r="F1439" t="s">
        <v>47</v>
      </c>
      <c r="G1439">
        <v>-169.2955</v>
      </c>
      <c r="H1439">
        <v>0.71907619999999906</v>
      </c>
      <c r="I1439">
        <v>356.24689999999998</v>
      </c>
      <c r="J1439">
        <v>-274.94</v>
      </c>
      <c r="K1439">
        <v>1.1038330000000001</v>
      </c>
      <c r="L1439">
        <v>367.21600000000001</v>
      </c>
      <c r="M1439">
        <v>0.99995940000000005</v>
      </c>
      <c r="N1439">
        <v>0</v>
      </c>
      <c r="O1439">
        <v>6.9684269999999995E-4</v>
      </c>
      <c r="P1439">
        <v>0.99773849999999997</v>
      </c>
      <c r="Q1439">
        <v>5.6506679999999997E-2</v>
      </c>
      <c r="R1439">
        <v>-3.6402879999999999E-2</v>
      </c>
      <c r="S1439">
        <v>2.9960939999999998</v>
      </c>
      <c r="T1439">
        <v>-1.087463E-2</v>
      </c>
      <c r="U1439">
        <v>-0.31063839999999998</v>
      </c>
      <c r="V1439">
        <v>3.7096169999999998E-2</v>
      </c>
      <c r="W1439">
        <v>6.5474199999999996E-2</v>
      </c>
      <c r="X1439">
        <v>0.99716450000000001</v>
      </c>
      <c r="Y1439">
        <v>0.1038208</v>
      </c>
      <c r="Z1439">
        <v>-1.9043240000000001E-4</v>
      </c>
      <c r="AA1439">
        <v>0.99459600000000004</v>
      </c>
      <c r="AB1439">
        <v>26</v>
      </c>
      <c r="AC1439">
        <v>105.64449999999999</v>
      </c>
      <c r="AD1439">
        <v>-0.38475680000000001</v>
      </c>
      <c r="AE1439">
        <v>-10.969099999999999</v>
      </c>
      <c r="AF1439">
        <v>11.042572998354499</v>
      </c>
      <c r="AG1439">
        <v>-0.38475680000000001</v>
      </c>
      <c r="AH1439">
        <v>105.635444084235</v>
      </c>
      <c r="AI1439">
        <v>90.207556991350401</v>
      </c>
      <c r="AJ1439">
        <v>84.032275431042606</v>
      </c>
      <c r="AK1439">
        <v>106.21173900794901</v>
      </c>
      <c r="AL1439">
        <v>86.245919267110693</v>
      </c>
      <c r="AM1439">
        <v>87.869484649894702</v>
      </c>
      <c r="AN1439">
        <v>1.0000000183772699</v>
      </c>
    </row>
    <row r="1440" spans="1:40" x14ac:dyDescent="0.25">
      <c r="A1440" t="str">
        <f>"20190312150657030"</f>
        <v>20190312150657030</v>
      </c>
      <c r="B1440" t="str">
        <f>"1552374417022079"</f>
        <v>1552374417022079</v>
      </c>
      <c r="C1440" t="s">
        <v>40</v>
      </c>
      <c r="D1440">
        <v>4.3271600000000001</v>
      </c>
      <c r="E1440">
        <v>0.5242774</v>
      </c>
      <c r="F1440" t="s">
        <v>47</v>
      </c>
      <c r="G1440">
        <v>-169.2955</v>
      </c>
      <c r="H1440">
        <v>0.62118819999999997</v>
      </c>
      <c r="I1440">
        <v>356.30419999999998</v>
      </c>
      <c r="J1440">
        <v>-274.78620000000001</v>
      </c>
      <c r="K1440">
        <v>1.1044830000000001</v>
      </c>
      <c r="L1440">
        <v>367.21609999999998</v>
      </c>
      <c r="M1440">
        <v>0.99995619999999996</v>
      </c>
      <c r="N1440">
        <v>0</v>
      </c>
      <c r="O1440">
        <v>7.1985029999999995E-4</v>
      </c>
      <c r="P1440">
        <v>0.99772369999999999</v>
      </c>
      <c r="Q1440">
        <v>5.6660549999999997E-2</v>
      </c>
      <c r="R1440">
        <v>-3.65727E-2</v>
      </c>
      <c r="S1440">
        <v>2.9962770000000001</v>
      </c>
      <c r="T1440">
        <v>-1.3686179999999999E-2</v>
      </c>
      <c r="U1440">
        <v>-0.3094788</v>
      </c>
      <c r="V1440">
        <v>3.7288769999999999E-2</v>
      </c>
      <c r="W1440">
        <v>6.5978560000000006E-2</v>
      </c>
      <c r="X1440">
        <v>0.99712409999999996</v>
      </c>
      <c r="Y1440">
        <v>0.103456199999999</v>
      </c>
      <c r="Z1440">
        <v>-2.389313E-4</v>
      </c>
      <c r="AA1440">
        <v>0.99463400000000002</v>
      </c>
      <c r="AB1440">
        <v>26</v>
      </c>
      <c r="AC1440">
        <v>105.4907</v>
      </c>
      <c r="AD1440">
        <v>-0.48329480000000002</v>
      </c>
      <c r="AE1440">
        <v>-10.911899999999999</v>
      </c>
      <c r="AF1440">
        <v>10.9876098114517</v>
      </c>
      <c r="AG1440">
        <v>-0.48329480000000002</v>
      </c>
      <c r="AH1440">
        <v>105.480626873162</v>
      </c>
      <c r="AI1440">
        <v>90.261105199640994</v>
      </c>
      <c r="AJ1440">
        <v>84.053113027104303</v>
      </c>
      <c r="AK1440">
        <v>106.05245772158101</v>
      </c>
      <c r="AL1440">
        <v>86.216959054187001</v>
      </c>
      <c r="AM1440">
        <v>87.858346789499294</v>
      </c>
      <c r="AN1440">
        <v>1.00000004677429</v>
      </c>
    </row>
    <row r="1441" spans="1:40" x14ac:dyDescent="0.25">
      <c r="A1441" t="str">
        <f>"20190312150657041"</f>
        <v>20190312150657041</v>
      </c>
      <c r="B1441" t="str">
        <f>"1552374417031840"</f>
        <v>1552374417031840</v>
      </c>
      <c r="C1441" t="s">
        <v>40</v>
      </c>
      <c r="D1441">
        <v>4.284014</v>
      </c>
      <c r="E1441">
        <v>0.52429230000000004</v>
      </c>
      <c r="F1441" t="s">
        <v>47</v>
      </c>
      <c r="G1441">
        <v>-169.2955</v>
      </c>
      <c r="H1441">
        <v>0.61929319999999999</v>
      </c>
      <c r="I1441">
        <v>356.3211</v>
      </c>
      <c r="J1441">
        <v>-274.65710000000001</v>
      </c>
      <c r="K1441">
        <v>1.1049869999999999</v>
      </c>
      <c r="L1441">
        <v>367.21620000000001</v>
      </c>
      <c r="M1441">
        <v>0.99995350000000005</v>
      </c>
      <c r="N1441">
        <v>0</v>
      </c>
      <c r="O1441">
        <v>7.3903039999999895E-4</v>
      </c>
      <c r="P1441">
        <v>0.99770610000000004</v>
      </c>
      <c r="Q1441">
        <v>5.6874199999999903E-2</v>
      </c>
      <c r="R1441">
        <v>-3.6714129999999998E-2</v>
      </c>
      <c r="S1441">
        <v>2.9962460000000002</v>
      </c>
      <c r="T1441">
        <v>-1.377833E-2</v>
      </c>
      <c r="U1441">
        <v>-0.30944820000000001</v>
      </c>
      <c r="V1441">
        <v>3.744948E-2</v>
      </c>
      <c r="W1441">
        <v>6.6471459999999996E-2</v>
      </c>
      <c r="X1441">
        <v>0.99708529999999995</v>
      </c>
      <c r="Y1441">
        <v>0.10346619999999999</v>
      </c>
      <c r="Z1441">
        <v>-2.4065370000000001E-4</v>
      </c>
      <c r="AA1441">
        <v>0.99463299999999999</v>
      </c>
      <c r="AB1441">
        <v>26</v>
      </c>
      <c r="AC1441">
        <v>105.3616</v>
      </c>
      <c r="AD1441">
        <v>-0.48569380000000001</v>
      </c>
      <c r="AE1441">
        <v>-10.895099999999999</v>
      </c>
      <c r="AF1441">
        <v>10.972735344992</v>
      </c>
      <c r="AG1441">
        <v>-0.48569380000000001</v>
      </c>
      <c r="AH1441">
        <v>105.351304005043</v>
      </c>
      <c r="AI1441">
        <v>90.262723730995802</v>
      </c>
      <c r="AJ1441">
        <v>84.053868015944403</v>
      </c>
      <c r="AK1441">
        <v>105.922302066097</v>
      </c>
      <c r="AL1441">
        <v>86.188655680070198</v>
      </c>
      <c r="AM1441">
        <v>87.849041559755804</v>
      </c>
      <c r="AN1441">
        <v>1.0000000070114401</v>
      </c>
    </row>
    <row r="1442" spans="1:40" x14ac:dyDescent="0.25">
      <c r="A1442" t="str">
        <f>"20190312150657053"</f>
        <v>20190312150657053</v>
      </c>
      <c r="B1442" t="str">
        <f>"1552374417041599"</f>
        <v>1552374417041599</v>
      </c>
      <c r="C1442" t="s">
        <v>40</v>
      </c>
      <c r="D1442">
        <v>4.3237750000000004</v>
      </c>
      <c r="E1442">
        <v>0.52422950000000001</v>
      </c>
      <c r="F1442" t="s">
        <v>47</v>
      </c>
      <c r="G1442">
        <v>-169.2955</v>
      </c>
      <c r="H1442">
        <v>0.68038940000000003</v>
      </c>
      <c r="I1442">
        <v>356.31189999999998</v>
      </c>
      <c r="J1442">
        <v>-274.53309999999999</v>
      </c>
      <c r="K1442">
        <v>1.105424</v>
      </c>
      <c r="L1442">
        <v>367.21629999999999</v>
      </c>
      <c r="M1442">
        <v>0.99995109999999998</v>
      </c>
      <c r="N1442">
        <v>0</v>
      </c>
      <c r="O1442">
        <v>7.5754939999999997E-4</v>
      </c>
      <c r="P1442">
        <v>0.99769439999999998</v>
      </c>
      <c r="Q1442">
        <v>5.6903380000000003E-2</v>
      </c>
      <c r="R1442">
        <v>-3.6992579999999997E-2</v>
      </c>
      <c r="S1442">
        <v>2.9961850000000001</v>
      </c>
      <c r="T1442">
        <v>-1.207185E-2</v>
      </c>
      <c r="U1442">
        <v>-0.31008909999999901</v>
      </c>
      <c r="V1442">
        <v>3.7746309999999998E-2</v>
      </c>
      <c r="W1442">
        <v>6.6748379999999996E-2</v>
      </c>
      <c r="X1442">
        <v>0.99705560000000004</v>
      </c>
      <c r="Y1442">
        <v>0.103697499999999</v>
      </c>
      <c r="Z1442">
        <v>-2.113893E-4</v>
      </c>
      <c r="AA1442">
        <v>0.99460890000000002</v>
      </c>
      <c r="AB1442">
        <v>26</v>
      </c>
      <c r="AC1442">
        <v>105.2376</v>
      </c>
      <c r="AD1442">
        <v>-0.42503459999999899</v>
      </c>
      <c r="AE1442">
        <v>-10.904400000000001</v>
      </c>
      <c r="AF1442">
        <v>10.98394616057</v>
      </c>
      <c r="AG1442">
        <v>-0.42503459999999899</v>
      </c>
      <c r="AH1442">
        <v>105.227610539181</v>
      </c>
      <c r="AI1442">
        <v>90.230176873068899</v>
      </c>
      <c r="AJ1442">
        <v>84.040890100877107</v>
      </c>
      <c r="AK1442">
        <v>105.800178390469</v>
      </c>
      <c r="AL1442">
        <v>86.172753989193794</v>
      </c>
      <c r="AM1442">
        <v>87.831944438563895</v>
      </c>
      <c r="AN1442">
        <v>0.99999999982129995</v>
      </c>
    </row>
    <row r="1443" spans="1:40" x14ac:dyDescent="0.25">
      <c r="A1443" t="str">
        <f>"20190312150657063"</f>
        <v>20190312150657063</v>
      </c>
      <c r="B1443" t="str">
        <f>"1552374417051359"</f>
        <v>1552374417051359</v>
      </c>
      <c r="C1443" t="s">
        <v>40</v>
      </c>
      <c r="D1443">
        <v>4.257746</v>
      </c>
      <c r="E1443">
        <v>0.52423799999999998</v>
      </c>
      <c r="F1443" t="s">
        <v>47</v>
      </c>
      <c r="G1443">
        <v>-169.2955</v>
      </c>
      <c r="H1443">
        <v>0.6540918</v>
      </c>
      <c r="I1443">
        <v>356.30529999999999</v>
      </c>
      <c r="J1443">
        <v>-274.4117</v>
      </c>
      <c r="K1443">
        <v>1.1058330000000001</v>
      </c>
      <c r="L1443">
        <v>367.21640000000002</v>
      </c>
      <c r="M1443">
        <v>0.99994870000000002</v>
      </c>
      <c r="N1443">
        <v>0</v>
      </c>
      <c r="O1443">
        <v>7.7591300000000004E-4</v>
      </c>
      <c r="P1443">
        <v>0.99769609999999997</v>
      </c>
      <c r="Q1443">
        <v>5.6897990000000002E-2</v>
      </c>
      <c r="R1443">
        <v>-3.6948380000000003E-2</v>
      </c>
      <c r="S1443">
        <v>2.996124</v>
      </c>
      <c r="T1443">
        <v>-1.2846949999999999E-2</v>
      </c>
      <c r="U1443">
        <v>-0.31063839999999998</v>
      </c>
      <c r="V1443">
        <v>3.7720749999999997E-2</v>
      </c>
      <c r="W1443">
        <v>6.6979590000000006E-2</v>
      </c>
      <c r="X1443">
        <v>0.99704099999999996</v>
      </c>
      <c r="Y1443">
        <v>0.10389809999999999</v>
      </c>
      <c r="Z1443">
        <v>-2.2547189999999999E-4</v>
      </c>
      <c r="AA1443">
        <v>0.99458789999999997</v>
      </c>
      <c r="AB1443">
        <v>26</v>
      </c>
      <c r="AC1443">
        <v>105.11620000000001</v>
      </c>
      <c r="AD1443">
        <v>-0.45174120000000001</v>
      </c>
      <c r="AE1443">
        <v>-10.911099999999999</v>
      </c>
      <c r="AF1443">
        <v>10.992461046908399</v>
      </c>
      <c r="AG1443">
        <v>-0.45174120000000001</v>
      </c>
      <c r="AH1443">
        <v>105.10578136689</v>
      </c>
      <c r="AI1443">
        <v>90.244918070470902</v>
      </c>
      <c r="AJ1443">
        <v>84.029441132377002</v>
      </c>
      <c r="AK1443">
        <v>105.68000542545499</v>
      </c>
      <c r="AL1443">
        <v>86.159476681703893</v>
      </c>
      <c r="AM1443">
        <v>87.833379446924098</v>
      </c>
      <c r="AN1443">
        <v>0.99999993806906295</v>
      </c>
    </row>
    <row r="1444" spans="1:40" x14ac:dyDescent="0.25">
      <c r="A1444" t="str">
        <f>"20190312150657074"</f>
        <v>20190312150657074</v>
      </c>
      <c r="B1444" t="str">
        <f>"1552374417071856"</f>
        <v>1552374417071856</v>
      </c>
      <c r="C1444" t="s">
        <v>40</v>
      </c>
      <c r="D1444">
        <v>4.2879239999999896</v>
      </c>
      <c r="E1444">
        <v>0.52426139999999999</v>
      </c>
      <c r="F1444" t="s">
        <v>47</v>
      </c>
      <c r="G1444">
        <v>-169.2955</v>
      </c>
      <c r="H1444">
        <v>0.64099030000000001</v>
      </c>
      <c r="I1444">
        <v>356.31810000000002</v>
      </c>
      <c r="J1444">
        <v>-274.28370000000001</v>
      </c>
      <c r="K1444">
        <v>1.106217</v>
      </c>
      <c r="L1444">
        <v>367.21660000000003</v>
      </c>
      <c r="M1444">
        <v>0.99994629999999995</v>
      </c>
      <c r="N1444">
        <v>0</v>
      </c>
      <c r="O1444">
        <v>7.9495909999999996E-4</v>
      </c>
      <c r="P1444">
        <v>0.99768330000000005</v>
      </c>
      <c r="Q1444">
        <v>5.701175E-2</v>
      </c>
      <c r="R1444">
        <v>-3.7117610000000002E-2</v>
      </c>
      <c r="S1444">
        <v>2.9961549999999999</v>
      </c>
      <c r="T1444">
        <v>-1.324701E-2</v>
      </c>
      <c r="U1444">
        <v>-0.31063839999999998</v>
      </c>
      <c r="V1444">
        <v>3.7908789999999998E-2</v>
      </c>
      <c r="W1444">
        <v>6.7320249999999998E-2</v>
      </c>
      <c r="X1444">
        <v>0.99701099999999998</v>
      </c>
      <c r="Y1444">
        <v>0.10391590000000001</v>
      </c>
      <c r="Z1444">
        <v>-2.3261420000000001E-4</v>
      </c>
      <c r="AA1444">
        <v>0.99458610000000003</v>
      </c>
      <c r="AB1444">
        <v>26</v>
      </c>
      <c r="AC1444">
        <v>104.98820000000001</v>
      </c>
      <c r="AD1444">
        <v>-0.46522669999999999</v>
      </c>
      <c r="AE1444">
        <v>-10.8985</v>
      </c>
      <c r="AF1444">
        <v>10.981749000260001</v>
      </c>
      <c r="AG1444">
        <v>-0.46522669999999999</v>
      </c>
      <c r="AH1444">
        <v>104.97746315868901</v>
      </c>
      <c r="AI1444">
        <v>90.252536969717696</v>
      </c>
      <c r="AJ1444">
        <v>84.027979081809704</v>
      </c>
      <c r="AK1444">
        <v>105.551328832094</v>
      </c>
      <c r="AL1444">
        <v>86.139914436205501</v>
      </c>
      <c r="AM1444">
        <v>87.822523640360799</v>
      </c>
      <c r="AN1444">
        <v>1.0000000132701601</v>
      </c>
    </row>
    <row r="1445" spans="1:40" x14ac:dyDescent="0.25">
      <c r="A1445" t="str">
        <f>"20190312150657086"</f>
        <v>20190312150657086</v>
      </c>
      <c r="B1445" t="str">
        <f>"1552374417081615"</f>
        <v>1552374417081615</v>
      </c>
      <c r="C1445" t="s">
        <v>40</v>
      </c>
      <c r="D1445">
        <v>4.2561640000000001</v>
      </c>
      <c r="E1445">
        <v>0.52427690000000005</v>
      </c>
      <c r="F1445" t="s">
        <v>47</v>
      </c>
      <c r="G1445">
        <v>-169.2955</v>
      </c>
      <c r="H1445">
        <v>0.62864209999999998</v>
      </c>
      <c r="I1445">
        <v>356.30880000000002</v>
      </c>
      <c r="J1445">
        <v>-274.15289999999999</v>
      </c>
      <c r="K1445">
        <v>1.1065940000000001</v>
      </c>
      <c r="L1445">
        <v>367.2167</v>
      </c>
      <c r="M1445">
        <v>0.99994400000000006</v>
      </c>
      <c r="N1445">
        <v>0</v>
      </c>
      <c r="O1445">
        <v>8.1422089999999905E-4</v>
      </c>
      <c r="P1445">
        <v>0.99766469999999896</v>
      </c>
      <c r="Q1445">
        <v>5.7201130000000003E-2</v>
      </c>
      <c r="R1445">
        <v>-3.73292E-2</v>
      </c>
      <c r="S1445">
        <v>2.9960939999999998</v>
      </c>
      <c r="T1445">
        <v>-1.362622E-2</v>
      </c>
      <c r="U1445">
        <v>-0.31127929999999998</v>
      </c>
      <c r="V1445">
        <v>3.813954E-2</v>
      </c>
      <c r="W1445">
        <v>6.7735580000000004E-2</v>
      </c>
      <c r="X1445">
        <v>0.99697409999999997</v>
      </c>
      <c r="Y1445">
        <v>0.10414760000000001</v>
      </c>
      <c r="Z1445">
        <v>-2.398879E-4</v>
      </c>
      <c r="AA1445">
        <v>0.99456180000000005</v>
      </c>
      <c r="AB1445">
        <v>26</v>
      </c>
      <c r="AC1445">
        <v>104.857399999999</v>
      </c>
      <c r="AD1445">
        <v>-0.47795189999999999</v>
      </c>
      <c r="AE1445">
        <v>-10.9078999999999</v>
      </c>
      <c r="AF1445">
        <v>10.9930522726499</v>
      </c>
      <c r="AG1445">
        <v>-0.47795189999999999</v>
      </c>
      <c r="AH1445">
        <v>104.846328295028</v>
      </c>
      <c r="AI1445">
        <v>90.259762510658007</v>
      </c>
      <c r="AJ1445">
        <v>84.014453910368701</v>
      </c>
      <c r="AK1445">
        <v>105.422142803287</v>
      </c>
      <c r="AL1445">
        <v>86.116063459591999</v>
      </c>
      <c r="AM1445">
        <v>87.809201259263901</v>
      </c>
      <c r="AN1445">
        <v>1.0000000446900701</v>
      </c>
    </row>
    <row r="1446" spans="1:40" x14ac:dyDescent="0.25">
      <c r="A1446" t="str">
        <f>"20190312150657097"</f>
        <v>20190312150657097</v>
      </c>
      <c r="B1446" t="str">
        <f>"1552374417091375"</f>
        <v>1552374417091375</v>
      </c>
      <c r="C1446" t="s">
        <v>40</v>
      </c>
      <c r="D1446">
        <v>4.2511809999999999</v>
      </c>
      <c r="E1446">
        <v>0.52429619999999999</v>
      </c>
      <c r="F1446" t="s">
        <v>47</v>
      </c>
      <c r="G1446">
        <v>-169.2955</v>
      </c>
      <c r="H1446">
        <v>0.64338399999999996</v>
      </c>
      <c r="I1446">
        <v>356.30360000000002</v>
      </c>
      <c r="J1446">
        <v>-274.02460000000002</v>
      </c>
      <c r="K1446">
        <v>1.106922</v>
      </c>
      <c r="L1446">
        <v>367.21679999999998</v>
      </c>
      <c r="M1446">
        <v>0.99994179999999999</v>
      </c>
      <c r="N1446">
        <v>0</v>
      </c>
      <c r="O1446">
        <v>8.3352359999999996E-4</v>
      </c>
      <c r="P1446">
        <v>0.99764799999999998</v>
      </c>
      <c r="Q1446">
        <v>5.7322749999999999E-2</v>
      </c>
      <c r="R1446">
        <v>-3.7586880000000003E-2</v>
      </c>
      <c r="S1446">
        <v>2.9961850000000001</v>
      </c>
      <c r="T1446">
        <v>-1.3233180000000001E-2</v>
      </c>
      <c r="U1446">
        <v>-0.31182860000000001</v>
      </c>
      <c r="V1446">
        <v>3.8416680000000002E-2</v>
      </c>
      <c r="W1446">
        <v>6.8059529999999993E-2</v>
      </c>
      <c r="X1446">
        <v>0.99694130000000003</v>
      </c>
      <c r="Y1446">
        <v>0.1043441</v>
      </c>
      <c r="Z1446">
        <v>-2.3347719999999999E-4</v>
      </c>
      <c r="AA1446">
        <v>0.99454120000000001</v>
      </c>
      <c r="AB1446">
        <v>26</v>
      </c>
      <c r="AC1446">
        <v>104.7291</v>
      </c>
      <c r="AD1446">
        <v>-0.46353799999999901</v>
      </c>
      <c r="AE1446">
        <v>-10.9131999999999</v>
      </c>
      <c r="AF1446">
        <v>11.000282254020499</v>
      </c>
      <c r="AG1446">
        <v>-0.46353799999999901</v>
      </c>
      <c r="AH1446">
        <v>104.717937283537</v>
      </c>
      <c r="AI1446">
        <v>90.252232493176706</v>
      </c>
      <c r="AJ1446">
        <v>84.003255922643604</v>
      </c>
      <c r="AK1446">
        <v>105.295144551229</v>
      </c>
      <c r="AL1446">
        <v>86.097459183514601</v>
      </c>
      <c r="AM1446">
        <v>87.793225026936099</v>
      </c>
      <c r="AN1446">
        <v>0.99999994828586503</v>
      </c>
    </row>
    <row r="1447" spans="1:40" x14ac:dyDescent="0.25">
      <c r="A1447" t="str">
        <f>"20190312150657108"</f>
        <v>20190312150657108</v>
      </c>
      <c r="B1447" t="str">
        <f>"1552374417102111"</f>
        <v>1552374417102111</v>
      </c>
      <c r="C1447" t="s">
        <v>40</v>
      </c>
      <c r="D1447">
        <v>4.2704519999999997</v>
      </c>
      <c r="E1447">
        <v>0.52430100000000002</v>
      </c>
      <c r="F1447" t="s">
        <v>47</v>
      </c>
      <c r="G1447">
        <v>-169.2955</v>
      </c>
      <c r="H1447">
        <v>0.65196319999999996</v>
      </c>
      <c r="I1447">
        <v>356.2833</v>
      </c>
      <c r="J1447">
        <v>-273.8913</v>
      </c>
      <c r="K1447">
        <v>1.107245</v>
      </c>
      <c r="L1447">
        <v>367.21690000000001</v>
      </c>
      <c r="M1447">
        <v>0.99993960000000004</v>
      </c>
      <c r="N1447">
        <v>0</v>
      </c>
      <c r="O1447">
        <v>8.5346479999999904E-4</v>
      </c>
      <c r="P1447">
        <v>0.99763290000000004</v>
      </c>
      <c r="Q1447">
        <v>5.7517440000000003E-2</v>
      </c>
      <c r="R1447">
        <v>-3.7686440000000002E-2</v>
      </c>
      <c r="S1447">
        <v>2.9960019999999998</v>
      </c>
      <c r="T1447">
        <v>-1.301253E-2</v>
      </c>
      <c r="U1447">
        <v>-0.31277470000000002</v>
      </c>
      <c r="V1447">
        <v>3.8535949999999999E-2</v>
      </c>
      <c r="W1447">
        <v>6.8455829999999995E-2</v>
      </c>
      <c r="X1447">
        <v>0.99690959999999995</v>
      </c>
      <c r="Y1447">
        <v>0.10468089999999999</v>
      </c>
      <c r="Z1447">
        <v>-2.304102E-4</v>
      </c>
      <c r="AA1447">
        <v>0.9945058</v>
      </c>
      <c r="AB1447">
        <v>26</v>
      </c>
      <c r="AC1447">
        <v>104.5958</v>
      </c>
      <c r="AD1447">
        <v>-0.45528180000000001</v>
      </c>
      <c r="AE1447">
        <v>-10.9336</v>
      </c>
      <c r="AF1447">
        <v>11.022663625620501</v>
      </c>
      <c r="AG1447">
        <v>-0.45528180000000001</v>
      </c>
      <c r="AH1447">
        <v>104.584469792679</v>
      </c>
      <c r="AI1447">
        <v>90.248047138243294</v>
      </c>
      <c r="AJ1447">
        <v>83.9835319094515</v>
      </c>
      <c r="AK1447">
        <v>105.16471707153801</v>
      </c>
      <c r="AL1447">
        <v>86.074699929246407</v>
      </c>
      <c r="AM1447">
        <v>87.786310268776006</v>
      </c>
      <c r="AN1447">
        <v>0.99999998533777501</v>
      </c>
    </row>
    <row r="1448" spans="1:40" x14ac:dyDescent="0.25">
      <c r="A1448" t="str">
        <f>"20190312150657119"</f>
        <v>20190312150657119</v>
      </c>
      <c r="B1448" t="str">
        <f>"1552374417111872"</f>
        <v>1552374417111872</v>
      </c>
      <c r="C1448" t="s">
        <v>40</v>
      </c>
      <c r="D1448">
        <v>4.2739830000000003</v>
      </c>
      <c r="E1448">
        <v>0.52431539999999999</v>
      </c>
      <c r="F1448" t="s">
        <v>47</v>
      </c>
      <c r="G1448">
        <v>-169.2955</v>
      </c>
      <c r="H1448">
        <v>0.659983599999999</v>
      </c>
      <c r="I1448">
        <v>356.28370000000001</v>
      </c>
      <c r="J1448">
        <v>-273.7681</v>
      </c>
      <c r="K1448">
        <v>1.1075189999999999</v>
      </c>
      <c r="L1448">
        <v>367.21699999999998</v>
      </c>
      <c r="M1448">
        <v>0.99993750000000003</v>
      </c>
      <c r="N1448">
        <v>0</v>
      </c>
      <c r="O1448">
        <v>8.7204739999999995E-4</v>
      </c>
      <c r="P1448">
        <v>0.9976119</v>
      </c>
      <c r="Q1448">
        <v>5.7641030000000003E-2</v>
      </c>
      <c r="R1448">
        <v>-3.805186E-2</v>
      </c>
      <c r="S1448">
        <v>2.9960330000000002</v>
      </c>
      <c r="T1448">
        <v>-1.28088E-2</v>
      </c>
      <c r="U1448">
        <v>-0.31317139999999999</v>
      </c>
      <c r="V1448">
        <v>3.8919879999999997E-2</v>
      </c>
      <c r="W1448">
        <v>6.8753629999999996E-2</v>
      </c>
      <c r="X1448">
        <v>0.99687420000000004</v>
      </c>
      <c r="Y1448">
        <v>0.1048287</v>
      </c>
      <c r="Z1448">
        <v>-2.271931E-4</v>
      </c>
      <c r="AA1448">
        <v>0.99449030000000005</v>
      </c>
      <c r="AB1448">
        <v>25</v>
      </c>
      <c r="AC1448">
        <v>104.4726</v>
      </c>
      <c r="AD1448">
        <v>-0.44753540000000003</v>
      </c>
      <c r="AE1448">
        <v>-10.9332999999999</v>
      </c>
      <c r="AF1448">
        <v>11.0242064522002</v>
      </c>
      <c r="AG1448">
        <v>-0.44753540000000003</v>
      </c>
      <c r="AH1448">
        <v>104.461129166725</v>
      </c>
      <c r="AI1448">
        <v>90.244111133432497</v>
      </c>
      <c r="AJ1448">
        <v>83.975643364512905</v>
      </c>
      <c r="AK1448">
        <v>105.042186394906</v>
      </c>
      <c r="AL1448">
        <v>86.057596986619302</v>
      </c>
      <c r="AM1448">
        <v>87.764198446916694</v>
      </c>
      <c r="AN1448">
        <v>0.99999999466151501</v>
      </c>
    </row>
    <row r="1449" spans="1:40" x14ac:dyDescent="0.25">
      <c r="A1449" t="str">
        <f>"20190312150657131"</f>
        <v>20190312150657131</v>
      </c>
      <c r="B1449" t="str">
        <f>"1552374417121631"</f>
        <v>1552374417121631</v>
      </c>
      <c r="C1449" t="s">
        <v>40</v>
      </c>
      <c r="D1449">
        <v>4.2708159999999999</v>
      </c>
      <c r="E1449">
        <v>0.52431969999999894</v>
      </c>
      <c r="F1449" t="s">
        <v>47</v>
      </c>
      <c r="G1449">
        <v>-169.2955</v>
      </c>
      <c r="H1449">
        <v>0.66306019999999999</v>
      </c>
      <c r="I1449">
        <v>356.2516</v>
      </c>
      <c r="J1449">
        <v>-273.64030000000002</v>
      </c>
      <c r="K1449">
        <v>1.1077779999999999</v>
      </c>
      <c r="L1449">
        <v>367.21719999999999</v>
      </c>
      <c r="M1449">
        <v>0.99993560000000004</v>
      </c>
      <c r="N1449">
        <v>0</v>
      </c>
      <c r="O1449">
        <v>8.9147399999999996E-4</v>
      </c>
      <c r="P1449">
        <v>0.99758979999999997</v>
      </c>
      <c r="Q1449">
        <v>5.7829190000000003E-2</v>
      </c>
      <c r="R1449">
        <v>-3.8347909999999999E-2</v>
      </c>
      <c r="S1449">
        <v>2.9959410000000002</v>
      </c>
      <c r="T1449">
        <v>-1.274312E-2</v>
      </c>
      <c r="U1449">
        <v>-0.31445309999999999</v>
      </c>
      <c r="V1449">
        <v>3.9235249999999999E-2</v>
      </c>
      <c r="W1449">
        <v>6.9111350000000002E-2</v>
      </c>
      <c r="X1449">
        <v>0.99683710000000003</v>
      </c>
      <c r="Y1449">
        <v>0.105272</v>
      </c>
      <c r="Z1449">
        <v>-2.2705260000000001E-4</v>
      </c>
      <c r="AA1449">
        <v>0.99444339999999998</v>
      </c>
      <c r="AB1449">
        <v>25</v>
      </c>
      <c r="AC1449">
        <v>104.34480000000001</v>
      </c>
      <c r="AD1449">
        <v>-0.4447178</v>
      </c>
      <c r="AE1449">
        <v>-10.965599999999901</v>
      </c>
      <c r="AF1449">
        <v>11.0584235939235</v>
      </c>
      <c r="AG1449">
        <v>-0.4447178</v>
      </c>
      <c r="AH1449">
        <v>104.333107884475</v>
      </c>
      <c r="AI1449">
        <v>90.242860298867996</v>
      </c>
      <c r="AJ1449">
        <v>83.949723038242297</v>
      </c>
      <c r="AK1449">
        <v>104.918463137513</v>
      </c>
      <c r="AL1449">
        <v>86.037052267325294</v>
      </c>
      <c r="AM1449">
        <v>87.746016430841294</v>
      </c>
      <c r="AN1449">
        <v>0.99999999373889703</v>
      </c>
    </row>
    <row r="1450" spans="1:40" x14ac:dyDescent="0.25">
      <c r="A1450" t="str">
        <f>"20190312150657143"</f>
        <v>20190312150657143</v>
      </c>
      <c r="B1450" t="str">
        <f>"1552374417131392"</f>
        <v>1552374417131392</v>
      </c>
      <c r="C1450" t="s">
        <v>40</v>
      </c>
      <c r="D1450">
        <v>4.2824450000000001</v>
      </c>
      <c r="E1450">
        <v>0.52432599999999996</v>
      </c>
      <c r="F1450" t="s">
        <v>47</v>
      </c>
      <c r="G1450">
        <v>-169.2955</v>
      </c>
      <c r="H1450">
        <v>0.6607151</v>
      </c>
      <c r="I1450">
        <v>356.2373</v>
      </c>
      <c r="J1450">
        <v>-273.505</v>
      </c>
      <c r="K1450">
        <v>1.108034</v>
      </c>
      <c r="L1450">
        <v>367.21730000000002</v>
      </c>
      <c r="M1450">
        <v>0.99993379999999998</v>
      </c>
      <c r="N1450">
        <v>0</v>
      </c>
      <c r="O1450">
        <v>9.1206480000000003E-4</v>
      </c>
      <c r="P1450">
        <v>0.99757739999999995</v>
      </c>
      <c r="Q1450">
        <v>5.7781230000000003E-2</v>
      </c>
      <c r="R1450">
        <v>-3.87406E-2</v>
      </c>
      <c r="S1450">
        <v>2.9958800000000001</v>
      </c>
      <c r="T1450">
        <v>-1.2833239999999999E-2</v>
      </c>
      <c r="U1450">
        <v>-0.31524659999999999</v>
      </c>
      <c r="V1450">
        <v>3.9648530000000001E-2</v>
      </c>
      <c r="W1450">
        <v>6.9235989999999997E-2</v>
      </c>
      <c r="X1450">
        <v>0.99681209999999998</v>
      </c>
      <c r="Y1450">
        <v>0.105555</v>
      </c>
      <c r="Z1450">
        <v>-2.2935229999999999E-4</v>
      </c>
      <c r="AA1450">
        <v>0.9944134</v>
      </c>
      <c r="AB1450">
        <v>25</v>
      </c>
      <c r="AC1450">
        <v>104.20950000000001</v>
      </c>
      <c r="AD1450">
        <v>-0.44731890000000002</v>
      </c>
      <c r="AE1450">
        <v>-10.98</v>
      </c>
      <c r="AF1450">
        <v>11.074845682853301</v>
      </c>
      <c r="AG1450">
        <v>-0.44731890000000002</v>
      </c>
      <c r="AH1450">
        <v>104.19754270563701</v>
      </c>
      <c r="AI1450">
        <v>90.244590970983495</v>
      </c>
      <c r="AJ1450">
        <v>83.932980489324507</v>
      </c>
      <c r="AK1450">
        <v>104.785400734026</v>
      </c>
      <c r="AL1450">
        <v>86.029893780998506</v>
      </c>
      <c r="AM1450">
        <v>87.722242164858201</v>
      </c>
      <c r="AN1450">
        <v>0.99999999547442497</v>
      </c>
    </row>
    <row r="1451" spans="1:40" x14ac:dyDescent="0.25">
      <c r="A1451" t="str">
        <f>"20190312150657152"</f>
        <v>20190312150657152</v>
      </c>
      <c r="B1451" t="str">
        <f>"1552374417142128"</f>
        <v>1552374417142128</v>
      </c>
      <c r="C1451" t="s">
        <v>40</v>
      </c>
      <c r="D1451">
        <v>4.246416</v>
      </c>
      <c r="E1451">
        <v>0.5243276</v>
      </c>
      <c r="F1451" t="s">
        <v>47</v>
      </c>
      <c r="G1451">
        <v>-169.2955</v>
      </c>
      <c r="H1451">
        <v>0.64761639999999998</v>
      </c>
      <c r="I1451">
        <v>356.20569999999998</v>
      </c>
      <c r="J1451">
        <v>-273.39299999999997</v>
      </c>
      <c r="K1451">
        <v>1.1082209999999999</v>
      </c>
      <c r="L1451">
        <v>367.2174</v>
      </c>
      <c r="M1451">
        <v>0.99993220000000005</v>
      </c>
      <c r="N1451">
        <v>0</v>
      </c>
      <c r="O1451">
        <v>9.2883970000000001E-4</v>
      </c>
      <c r="P1451">
        <v>0.99756659999999997</v>
      </c>
      <c r="Q1451">
        <v>5.7793530000000003E-2</v>
      </c>
      <c r="R1451">
        <v>-3.9000239999999999E-2</v>
      </c>
      <c r="S1451">
        <v>2.9957889999999998</v>
      </c>
      <c r="T1451">
        <v>-1.3233419999999999E-2</v>
      </c>
      <c r="U1451">
        <v>-0.31655879999999997</v>
      </c>
      <c r="V1451">
        <v>3.9924910000000001E-2</v>
      </c>
      <c r="W1451">
        <v>6.9377270000000005E-2</v>
      </c>
      <c r="X1451">
        <v>0.99679119999999999</v>
      </c>
      <c r="Y1451">
        <v>0.10600560000000001</v>
      </c>
      <c r="Z1451">
        <v>-2.3757229999999999E-4</v>
      </c>
      <c r="AA1451">
        <v>0.99436550000000001</v>
      </c>
      <c r="AB1451">
        <v>25</v>
      </c>
      <c r="AC1451">
        <v>104.097499999999</v>
      </c>
      <c r="AD1451">
        <v>-0.46060459999999898</v>
      </c>
      <c r="AE1451">
        <v>-11.011699999999999</v>
      </c>
      <c r="AF1451">
        <v>11.108176581156901</v>
      </c>
      <c r="AG1451">
        <v>-0.46060459999999898</v>
      </c>
      <c r="AH1451">
        <v>104.08521103072</v>
      </c>
      <c r="AI1451">
        <v>90.252115668452802</v>
      </c>
      <c r="AJ1451">
        <v>83.908340053892104</v>
      </c>
      <c r="AK1451">
        <v>104.677289317527</v>
      </c>
      <c r="AL1451">
        <v>86.021779341369097</v>
      </c>
      <c r="AM1451">
        <v>87.7063333428937</v>
      </c>
      <c r="AN1451">
        <v>0.99999995021429899</v>
      </c>
    </row>
    <row r="1452" spans="1:40" x14ac:dyDescent="0.25">
      <c r="A1452" t="str">
        <f>"20190312150657163"</f>
        <v>20190312150657163</v>
      </c>
      <c r="B1452" t="str">
        <f>"1552374417151887"</f>
        <v>1552374417151887</v>
      </c>
      <c r="C1452" t="s">
        <v>40</v>
      </c>
      <c r="D1452">
        <v>4.2545599999999997</v>
      </c>
      <c r="E1452">
        <v>0.52431000000000005</v>
      </c>
      <c r="F1452" t="s">
        <v>47</v>
      </c>
      <c r="G1452">
        <v>-169.2955</v>
      </c>
      <c r="H1452">
        <v>0.63517669999999904</v>
      </c>
      <c r="I1452">
        <v>356.19490000000002</v>
      </c>
      <c r="J1452">
        <v>-273.26420000000002</v>
      </c>
      <c r="K1452">
        <v>1.1084309999999999</v>
      </c>
      <c r="L1452">
        <v>367.2176</v>
      </c>
      <c r="M1452">
        <v>0.9999304</v>
      </c>
      <c r="N1452">
        <v>0</v>
      </c>
      <c r="O1452">
        <v>9.4801010000000003E-4</v>
      </c>
      <c r="P1452">
        <v>0.99755289999999996</v>
      </c>
      <c r="Q1452">
        <v>5.7883959999999998E-2</v>
      </c>
      <c r="R1452">
        <v>-3.9219749999999998E-2</v>
      </c>
      <c r="S1452">
        <v>2.9956670000000001</v>
      </c>
      <c r="T1452">
        <v>-1.3610479999999999E-2</v>
      </c>
      <c r="U1452">
        <v>-0.31719969999999997</v>
      </c>
      <c r="V1452">
        <v>4.0163310000000001E-2</v>
      </c>
      <c r="W1452">
        <v>6.9614159999999994E-2</v>
      </c>
      <c r="X1452">
        <v>0.99676509999999996</v>
      </c>
      <c r="Y1452">
        <v>0.10623920000000001</v>
      </c>
      <c r="Z1452">
        <v>-2.4496460000000001E-4</v>
      </c>
      <c r="AA1452">
        <v>0.99434060000000002</v>
      </c>
      <c r="AB1452">
        <v>25</v>
      </c>
      <c r="AC1452">
        <v>103.9687</v>
      </c>
      <c r="AD1452">
        <v>-0.47325429999999902</v>
      </c>
      <c r="AE1452">
        <v>-11.022699999999899</v>
      </c>
      <c r="AF1452">
        <v>11.1210373764261</v>
      </c>
      <c r="AG1452">
        <v>-0.47325429999999902</v>
      </c>
      <c r="AH1452">
        <v>103.95607292098801</v>
      </c>
      <c r="AI1452">
        <v>90.259354253428796</v>
      </c>
      <c r="AJ1452">
        <v>83.893821604948997</v>
      </c>
      <c r="AK1452">
        <v>104.55030626026</v>
      </c>
      <c r="AL1452">
        <v>86.008173622080307</v>
      </c>
      <c r="AM1452">
        <v>87.692591785805504</v>
      </c>
      <c r="AN1452">
        <v>0.99999994366033396</v>
      </c>
    </row>
    <row r="1453" spans="1:40" x14ac:dyDescent="0.25">
      <c r="A1453" t="str">
        <f>"20190312150657176"</f>
        <v>20190312150657176</v>
      </c>
      <c r="B1453" t="str">
        <f>"1552374417171408"</f>
        <v>1552374417171408</v>
      </c>
      <c r="C1453" t="s">
        <v>40</v>
      </c>
      <c r="D1453">
        <v>4.436102</v>
      </c>
      <c r="E1453">
        <v>0.52431530000000004</v>
      </c>
      <c r="F1453" t="s">
        <v>47</v>
      </c>
      <c r="G1453">
        <v>-169.2955</v>
      </c>
      <c r="H1453">
        <v>0.63439559999999995</v>
      </c>
      <c r="I1453">
        <v>356.18329999999997</v>
      </c>
      <c r="J1453">
        <v>-273.13350000000003</v>
      </c>
      <c r="K1453">
        <v>1.108619</v>
      </c>
      <c r="L1453">
        <v>367.21769999999998</v>
      </c>
      <c r="M1453">
        <v>0.9999287</v>
      </c>
      <c r="N1453">
        <v>0</v>
      </c>
      <c r="O1453">
        <v>9.6760379999999999E-4</v>
      </c>
      <c r="P1453">
        <v>0.99755879999999997</v>
      </c>
      <c r="Q1453">
        <v>5.7663829999999999E-2</v>
      </c>
      <c r="R1453">
        <v>-3.9385339999999998E-2</v>
      </c>
      <c r="S1453">
        <v>2.9956670000000001</v>
      </c>
      <c r="T1453">
        <v>-1.36559E-2</v>
      </c>
      <c r="U1453">
        <v>-0.3179321</v>
      </c>
      <c r="V1453">
        <v>4.0348620000000002E-2</v>
      </c>
      <c r="W1453">
        <v>6.9527569999999997E-2</v>
      </c>
      <c r="X1453">
        <v>0.99676370000000003</v>
      </c>
      <c r="Y1453">
        <v>0.1064991</v>
      </c>
      <c r="Z1453">
        <v>-2.4645869999999999E-4</v>
      </c>
      <c r="AA1453">
        <v>0.9943128</v>
      </c>
      <c r="AB1453">
        <v>25</v>
      </c>
      <c r="AC1453">
        <v>103.83799999999999</v>
      </c>
      <c r="AD1453">
        <v>-0.47422340000000002</v>
      </c>
      <c r="AE1453">
        <v>-11.0344</v>
      </c>
      <c r="AF1453">
        <v>11.134646351494499</v>
      </c>
      <c r="AG1453">
        <v>-0.47422340000000002</v>
      </c>
      <c r="AH1453">
        <v>103.825132392089</v>
      </c>
      <c r="AI1453">
        <v>90.260205759420401</v>
      </c>
      <c r="AJ1453">
        <v>83.878754192464598</v>
      </c>
      <c r="AK1453">
        <v>104.421565557316</v>
      </c>
      <c r="AL1453">
        <v>86.013147074754599</v>
      </c>
      <c r="AM1453">
        <v>87.681953940587206</v>
      </c>
      <c r="AN1453">
        <v>0.99999998388184896</v>
      </c>
    </row>
    <row r="1454" spans="1:40" x14ac:dyDescent="0.25">
      <c r="A1454" t="str">
        <f>"20190312150657189"</f>
        <v>20190312150657189</v>
      </c>
      <c r="B1454" t="str">
        <f>"1552374417182144"</f>
        <v>1552374417182144</v>
      </c>
      <c r="C1454" t="s">
        <v>40</v>
      </c>
      <c r="D1454">
        <v>4.2509269999999999</v>
      </c>
      <c r="E1454">
        <v>0.52431879999999997</v>
      </c>
      <c r="F1454" t="s">
        <v>47</v>
      </c>
      <c r="G1454">
        <v>-169.2955</v>
      </c>
      <c r="H1454">
        <v>0.5959044</v>
      </c>
      <c r="I1454">
        <v>356.17720000000003</v>
      </c>
      <c r="J1454">
        <v>-272.98050000000001</v>
      </c>
      <c r="K1454">
        <v>1.1088229999999999</v>
      </c>
      <c r="L1454">
        <v>367.21789999999999</v>
      </c>
      <c r="M1454">
        <v>0.99992700000000001</v>
      </c>
      <c r="N1454">
        <v>0</v>
      </c>
      <c r="O1454">
        <v>9.9030629999999993E-4</v>
      </c>
      <c r="P1454">
        <v>0.99754609999999999</v>
      </c>
      <c r="Q1454">
        <v>5.7740359999999998E-2</v>
      </c>
      <c r="R1454">
        <v>-3.9601839999999999E-2</v>
      </c>
      <c r="S1454">
        <v>2.9956670000000001</v>
      </c>
      <c r="T1454">
        <v>-1.478899E-2</v>
      </c>
      <c r="U1454">
        <v>-0.31851200000000002</v>
      </c>
      <c r="V1454">
        <v>4.0587690000000003E-2</v>
      </c>
      <c r="W1454">
        <v>6.9754010000000005E-2</v>
      </c>
      <c r="X1454">
        <v>0.99673820000000002</v>
      </c>
      <c r="Y1454">
        <v>0.1067118</v>
      </c>
      <c r="Z1454">
        <v>-2.675407E-4</v>
      </c>
      <c r="AA1454">
        <v>0.99428989999999995</v>
      </c>
      <c r="AB1454">
        <v>25</v>
      </c>
      <c r="AC1454">
        <v>103.685</v>
      </c>
      <c r="AD1454">
        <v>-0.512918599999999</v>
      </c>
      <c r="AE1454">
        <v>-11.0406999999999</v>
      </c>
      <c r="AF1454">
        <v>11.1431123057313</v>
      </c>
      <c r="AG1454">
        <v>-0.512918599999999</v>
      </c>
      <c r="AH1454">
        <v>103.671506103406</v>
      </c>
      <c r="AI1454">
        <v>90.2818472824558</v>
      </c>
      <c r="AJ1454">
        <v>83.865126948557901</v>
      </c>
      <c r="AK1454">
        <v>104.269905606062</v>
      </c>
      <c r="AL1454">
        <v>86.000141550560699</v>
      </c>
      <c r="AM1454">
        <v>87.668174790357199</v>
      </c>
      <c r="AN1454">
        <v>1.0000000109149201</v>
      </c>
    </row>
    <row r="1455" spans="1:40" x14ac:dyDescent="0.25">
      <c r="A1455" t="str">
        <f>"20190312150657200"</f>
        <v>20190312150657200</v>
      </c>
      <c r="B1455" t="str">
        <f>"1552374417191904"</f>
        <v>1552374417191904</v>
      </c>
      <c r="C1455" t="s">
        <v>40</v>
      </c>
      <c r="D1455">
        <v>4.2796450000000004</v>
      </c>
      <c r="E1455">
        <v>0.52432319999999999</v>
      </c>
      <c r="F1455" t="s">
        <v>47</v>
      </c>
      <c r="G1455">
        <v>-169.2955</v>
      </c>
      <c r="H1455">
        <v>0.60661219999999905</v>
      </c>
      <c r="I1455">
        <v>356.173</v>
      </c>
      <c r="J1455">
        <v>-272.84410000000003</v>
      </c>
      <c r="K1455">
        <v>1.1089880000000001</v>
      </c>
      <c r="L1455">
        <v>367.21800000000002</v>
      </c>
      <c r="M1455">
        <v>0.99992550000000002</v>
      </c>
      <c r="N1455">
        <v>0</v>
      </c>
      <c r="O1455">
        <v>1.0107709999999999E-3</v>
      </c>
      <c r="P1455">
        <v>0.99753670000000005</v>
      </c>
      <c r="Q1455">
        <v>5.774758E-2</v>
      </c>
      <c r="R1455">
        <v>-3.9827069999999999E-2</v>
      </c>
      <c r="S1455">
        <v>2.995514</v>
      </c>
      <c r="T1455">
        <v>-1.450658E-2</v>
      </c>
      <c r="U1455">
        <v>-0.31909179999999998</v>
      </c>
      <c r="V1455">
        <v>4.0833359999999999E-2</v>
      </c>
      <c r="W1455">
        <v>6.9885310000000006E-2</v>
      </c>
      <c r="X1455">
        <v>0.99671889999999996</v>
      </c>
      <c r="Y1455">
        <v>0.1069278</v>
      </c>
      <c r="Z1455">
        <v>-2.6306289999999998E-4</v>
      </c>
      <c r="AA1455">
        <v>0.99426669999999995</v>
      </c>
      <c r="AB1455">
        <v>25</v>
      </c>
      <c r="AC1455">
        <v>103.54859999999999</v>
      </c>
      <c r="AD1455">
        <v>-0.50237579999999904</v>
      </c>
      <c r="AE1455">
        <v>-11.045</v>
      </c>
      <c r="AF1455">
        <v>11.149406541456701</v>
      </c>
      <c r="AG1455">
        <v>-0.50237579999999904</v>
      </c>
      <c r="AH1455">
        <v>103.534972716783</v>
      </c>
      <c r="AI1455">
        <v>90.276412212756895</v>
      </c>
      <c r="AJ1455">
        <v>83.853655304363897</v>
      </c>
      <c r="AK1455">
        <v>104.134779123673</v>
      </c>
      <c r="AL1455">
        <v>85.992599937436907</v>
      </c>
      <c r="AM1455">
        <v>87.654031017902</v>
      </c>
      <c r="AN1455">
        <v>0.99999994272994597</v>
      </c>
    </row>
    <row r="1456" spans="1:40" x14ac:dyDescent="0.25">
      <c r="A1456" t="str">
        <f>"20190312150657213"</f>
        <v>20190312150657213</v>
      </c>
      <c r="B1456" t="str">
        <f>"1552374417201663"</f>
        <v>1552374417201663</v>
      </c>
      <c r="C1456" t="s">
        <v>40</v>
      </c>
      <c r="D1456">
        <v>4.2510349999999999</v>
      </c>
      <c r="E1456">
        <v>0.52432330000000005</v>
      </c>
      <c r="F1456" t="s">
        <v>47</v>
      </c>
      <c r="G1456">
        <v>-169.2955</v>
      </c>
      <c r="H1456">
        <v>0.60877040000000004</v>
      </c>
      <c r="I1456">
        <v>356.15269999999998</v>
      </c>
      <c r="J1456">
        <v>-272.70839999999998</v>
      </c>
      <c r="K1456">
        <v>1.1091340000000001</v>
      </c>
      <c r="L1456">
        <v>367.21820000000002</v>
      </c>
      <c r="M1456">
        <v>0.99992420000000004</v>
      </c>
      <c r="N1456">
        <v>0</v>
      </c>
      <c r="O1456">
        <v>1.0309920000000001E-3</v>
      </c>
      <c r="P1456">
        <v>0.99751900000000004</v>
      </c>
      <c r="Q1456">
        <v>5.7835089999999999E-2</v>
      </c>
      <c r="R1456">
        <v>-4.0142629999999999E-2</v>
      </c>
      <c r="S1456">
        <v>2.9954529999999999</v>
      </c>
      <c r="T1456">
        <v>-1.446772E-2</v>
      </c>
      <c r="U1456">
        <v>-0.32009890000000002</v>
      </c>
      <c r="V1456">
        <v>4.1169039999999997E-2</v>
      </c>
      <c r="W1456">
        <v>7.0086499999999996E-2</v>
      </c>
      <c r="X1456">
        <v>0.99669099999999999</v>
      </c>
      <c r="Y1456">
        <v>0.1072806</v>
      </c>
      <c r="Z1456">
        <v>-2.633057E-4</v>
      </c>
      <c r="AA1456">
        <v>0.99422880000000002</v>
      </c>
      <c r="AB1456">
        <v>25</v>
      </c>
      <c r="AC1456">
        <v>103.412899999999</v>
      </c>
      <c r="AD1456">
        <v>-0.50036359999999902</v>
      </c>
      <c r="AE1456">
        <v>-11.0655</v>
      </c>
      <c r="AF1456">
        <v>11.171861431320799</v>
      </c>
      <c r="AG1456">
        <v>-0.50036359999999902</v>
      </c>
      <c r="AH1456">
        <v>103.39904244594899</v>
      </c>
      <c r="AI1456">
        <v>90.275656468663698</v>
      </c>
      <c r="AJ1456">
        <v>83.833337700500707</v>
      </c>
      <c r="AK1456">
        <v>104.002032818171</v>
      </c>
      <c r="AL1456">
        <v>85.981044407763207</v>
      </c>
      <c r="AM1456">
        <v>87.634701121487595</v>
      </c>
      <c r="AN1456">
        <v>0.99999997840888499</v>
      </c>
    </row>
    <row r="1457" spans="1:40" x14ac:dyDescent="0.25">
      <c r="A1457" t="str">
        <f>"20190312150657228"</f>
        <v>20190312150657228</v>
      </c>
      <c r="B1457" t="str">
        <f>"1552374417222162"</f>
        <v>1552374417222162</v>
      </c>
      <c r="C1457" t="s">
        <v>40</v>
      </c>
      <c r="D1457">
        <v>4.2725010000000001</v>
      </c>
      <c r="E1457">
        <v>0.52429419999999904</v>
      </c>
      <c r="F1457" t="s">
        <v>47</v>
      </c>
      <c r="G1457">
        <v>-169.2955</v>
      </c>
      <c r="H1457">
        <v>0.61568639999999997</v>
      </c>
      <c r="I1457">
        <v>356.13639999999998</v>
      </c>
      <c r="J1457">
        <v>-272.54270000000002</v>
      </c>
      <c r="K1457">
        <v>1.1092979999999999</v>
      </c>
      <c r="L1457">
        <v>367.21839999999997</v>
      </c>
      <c r="M1457">
        <v>0.99992230000000004</v>
      </c>
      <c r="N1457">
        <v>0</v>
      </c>
      <c r="O1457">
        <v>1.055985E-3</v>
      </c>
      <c r="P1457">
        <v>0.99750939999999999</v>
      </c>
      <c r="Q1457">
        <v>5.7873229999999998E-2</v>
      </c>
      <c r="R1457">
        <v>-4.0320059999999998E-2</v>
      </c>
      <c r="S1457">
        <v>2.9953609999999999</v>
      </c>
      <c r="T1457">
        <v>-1.4290209999999999E-2</v>
      </c>
      <c r="U1457">
        <v>-0.32098389999999999</v>
      </c>
      <c r="V1457">
        <v>4.1371459999999999E-2</v>
      </c>
      <c r="W1457">
        <v>7.025584E-2</v>
      </c>
      <c r="X1457">
        <v>0.99667070000000002</v>
      </c>
      <c r="Y1457">
        <v>0.1075991</v>
      </c>
      <c r="Z1457">
        <v>-2.6095570000000002E-4</v>
      </c>
      <c r="AA1457">
        <v>0.99419429999999998</v>
      </c>
      <c r="AB1457">
        <v>25</v>
      </c>
      <c r="AC1457">
        <v>103.24720000000001</v>
      </c>
      <c r="AD1457">
        <v>-0.49361159999999898</v>
      </c>
      <c r="AE1457">
        <v>-11.081999999999899</v>
      </c>
      <c r="AF1457">
        <v>11.1907768547013</v>
      </c>
      <c r="AG1457">
        <v>-0.49361159999999898</v>
      </c>
      <c r="AH1457">
        <v>103.23310639965</v>
      </c>
      <c r="AI1457">
        <v>90.272363468847004</v>
      </c>
      <c r="AJ1457">
        <v>83.813125425861003</v>
      </c>
      <c r="AK1457">
        <v>103.83906488381299</v>
      </c>
      <c r="AL1457">
        <v>85.971317980715995</v>
      </c>
      <c r="AM1457">
        <v>87.6230363652693</v>
      </c>
      <c r="AN1457">
        <v>0.99999998249756294</v>
      </c>
    </row>
    <row r="1458" spans="1:40" x14ac:dyDescent="0.25">
      <c r="A1458" t="str">
        <f>"20190312150657241"</f>
        <v>20190312150657241</v>
      </c>
      <c r="B1458" t="str">
        <f>"1552374417231919"</f>
        <v>1552374417231919</v>
      </c>
      <c r="C1458" t="s">
        <v>40</v>
      </c>
      <c r="D1458">
        <v>4.2615439999999998</v>
      </c>
      <c r="E1458">
        <v>0.52429720000000002</v>
      </c>
      <c r="F1458" t="s">
        <v>47</v>
      </c>
      <c r="G1458">
        <v>-169.2955</v>
      </c>
      <c r="H1458">
        <v>0.60130410000000001</v>
      </c>
      <c r="I1458">
        <v>356.14580000000001</v>
      </c>
      <c r="J1458">
        <v>-272.37889999999999</v>
      </c>
      <c r="K1458">
        <v>1.1094440000000001</v>
      </c>
      <c r="L1458">
        <v>367.21859999999998</v>
      </c>
      <c r="M1458">
        <v>0.99992080000000005</v>
      </c>
      <c r="N1458">
        <v>0</v>
      </c>
      <c r="O1458">
        <v>1.0806289999999901E-3</v>
      </c>
      <c r="P1458">
        <v>0.99747580000000002</v>
      </c>
      <c r="Q1458">
        <v>5.8163119999999999E-2</v>
      </c>
      <c r="R1458">
        <v>-4.0734279999999998E-2</v>
      </c>
      <c r="S1458">
        <v>2.9953310000000002</v>
      </c>
      <c r="T1458">
        <v>-1.473498E-2</v>
      </c>
      <c r="U1458">
        <v>-0.32122800000000001</v>
      </c>
      <c r="V1458">
        <v>4.1810340000000001E-2</v>
      </c>
      <c r="W1458">
        <v>7.0664420000000006E-2</v>
      </c>
      <c r="X1458">
        <v>0.9966235</v>
      </c>
      <c r="Y1458">
        <v>0.1077047</v>
      </c>
      <c r="Z1458">
        <v>-2.69459E-4</v>
      </c>
      <c r="AA1458">
        <v>0.99418289999999998</v>
      </c>
      <c r="AB1458">
        <v>25</v>
      </c>
      <c r="AC1458">
        <v>103.083399999999</v>
      </c>
      <c r="AD1458">
        <v>-0.50813989999999998</v>
      </c>
      <c r="AE1458">
        <v>-11.0727999999999</v>
      </c>
      <c r="AF1458">
        <v>11.183928544479899</v>
      </c>
      <c r="AG1458">
        <v>-0.50813989999999998</v>
      </c>
      <c r="AH1458">
        <v>103.068897364836</v>
      </c>
      <c r="AI1458">
        <v>90.280823216873998</v>
      </c>
      <c r="AJ1458">
        <v>83.807107772339904</v>
      </c>
      <c r="AK1458">
        <v>103.675146818556</v>
      </c>
      <c r="AL1458">
        <v>85.947849743601395</v>
      </c>
      <c r="AM1458">
        <v>87.597736622060495</v>
      </c>
      <c r="AN1458">
        <v>0.99999998276855095</v>
      </c>
    </row>
    <row r="1459" spans="1:40" x14ac:dyDescent="0.25">
      <c r="A1459" t="str">
        <f>"20190312150657254"</f>
        <v>20190312150657254</v>
      </c>
      <c r="B1459" t="str">
        <f>"1552374417241680"</f>
        <v>1552374417241680</v>
      </c>
      <c r="C1459" t="s">
        <v>40</v>
      </c>
      <c r="D1459">
        <v>4.2573749999999997</v>
      </c>
      <c r="E1459">
        <v>0.52430189999999999</v>
      </c>
      <c r="F1459" t="s">
        <v>47</v>
      </c>
      <c r="G1459">
        <v>-169.2955</v>
      </c>
      <c r="H1459">
        <v>0.61161330000000003</v>
      </c>
      <c r="I1459">
        <v>356.12869999999998</v>
      </c>
      <c r="J1459">
        <v>-272.24560000000002</v>
      </c>
      <c r="K1459">
        <v>1.1095569999999999</v>
      </c>
      <c r="L1459">
        <v>367.21879999999999</v>
      </c>
      <c r="M1459">
        <v>0.99991980000000003</v>
      </c>
      <c r="N1459">
        <v>0</v>
      </c>
      <c r="O1459">
        <v>1.1004579999999999E-3</v>
      </c>
      <c r="P1459">
        <v>0.99745240000000002</v>
      </c>
      <c r="Q1459">
        <v>5.8455430000000003E-2</v>
      </c>
      <c r="R1459">
        <v>-4.0889700000000001E-2</v>
      </c>
      <c r="S1459">
        <v>2.9952700000000001</v>
      </c>
      <c r="T1459">
        <v>-1.4462829999999999E-2</v>
      </c>
      <c r="U1459">
        <v>-0.322235099999999</v>
      </c>
      <c r="V1459">
        <v>4.1985389999999997E-2</v>
      </c>
      <c r="W1459">
        <v>7.1044940000000001E-2</v>
      </c>
      <c r="X1459">
        <v>0.99658910000000001</v>
      </c>
      <c r="Y1459">
        <v>0.108057</v>
      </c>
      <c r="Z1459">
        <v>-2.6542660000000002E-4</v>
      </c>
      <c r="AA1459">
        <v>0.99414469999999999</v>
      </c>
      <c r="AB1459">
        <v>25</v>
      </c>
      <c r="AC1459">
        <v>102.95010000000001</v>
      </c>
      <c r="AD1459">
        <v>-0.49794369999999899</v>
      </c>
      <c r="AE1459">
        <v>-11.0901</v>
      </c>
      <c r="AF1459">
        <v>11.2031354819417</v>
      </c>
      <c r="AG1459">
        <v>-0.49794369999999899</v>
      </c>
      <c r="AH1459">
        <v>102.93545203057</v>
      </c>
      <c r="AI1459">
        <v>90.275535443746904</v>
      </c>
      <c r="AJ1459">
        <v>83.788575828075096</v>
      </c>
      <c r="AK1459">
        <v>103.544509643404</v>
      </c>
      <c r="AL1459">
        <v>85.925992669802895</v>
      </c>
      <c r="AM1459">
        <v>87.587607601528404</v>
      </c>
      <c r="AN1459">
        <v>0.99999999535593198</v>
      </c>
    </row>
    <row r="1460" spans="1:40" x14ac:dyDescent="0.25">
      <c r="A1460" t="str">
        <f>"20190312150657266"</f>
        <v>20190312150657266</v>
      </c>
      <c r="B1460" t="str">
        <f>"1552374417262176"</f>
        <v>1552374417262176</v>
      </c>
      <c r="C1460" t="s">
        <v>40</v>
      </c>
      <c r="D1460">
        <v>4.3043579999999997</v>
      </c>
      <c r="E1460">
        <v>0.52428529999999995</v>
      </c>
      <c r="F1460" t="s">
        <v>47</v>
      </c>
      <c r="G1460">
        <v>-169.2955</v>
      </c>
      <c r="H1460">
        <v>0.62733839999999996</v>
      </c>
      <c r="I1460">
        <v>356.1189</v>
      </c>
      <c r="J1460">
        <v>-272.1157</v>
      </c>
      <c r="K1460">
        <v>1.1096549999999901</v>
      </c>
      <c r="L1460">
        <v>367.21890000000002</v>
      </c>
      <c r="M1460">
        <v>0.99991850000000004</v>
      </c>
      <c r="N1460">
        <v>0</v>
      </c>
      <c r="O1460">
        <v>1.1198359999999999E-3</v>
      </c>
      <c r="P1460">
        <v>0.99744140000000003</v>
      </c>
      <c r="Q1460">
        <v>5.8523289999999999E-2</v>
      </c>
      <c r="R1460">
        <v>-4.1058900000000002E-2</v>
      </c>
      <c r="S1460">
        <v>2.995209</v>
      </c>
      <c r="T1460">
        <v>-1.4027E-2</v>
      </c>
      <c r="U1460">
        <v>-0.32293699999999997</v>
      </c>
      <c r="V1460">
        <v>4.2173860000000001E-2</v>
      </c>
      <c r="W1460">
        <v>7.1196179999999998E-2</v>
      </c>
      <c r="X1460">
        <v>0.99657030000000002</v>
      </c>
      <c r="Y1460">
        <v>0.1083088</v>
      </c>
      <c r="Z1460">
        <v>-2.5810859999999999E-4</v>
      </c>
      <c r="AA1460">
        <v>0.99411729999999998</v>
      </c>
      <c r="AB1460">
        <v>25</v>
      </c>
      <c r="AC1460">
        <v>102.8202</v>
      </c>
      <c r="AD1460">
        <v>-0.48231659999999899</v>
      </c>
      <c r="AE1460">
        <v>-11.1</v>
      </c>
      <c r="AF1460">
        <v>11.214900179958899</v>
      </c>
      <c r="AG1460">
        <v>-0.48231659999999899</v>
      </c>
      <c r="AH1460">
        <v>102.80546823281</v>
      </c>
      <c r="AI1460">
        <v>90.267218555695393</v>
      </c>
      <c r="AJ1460">
        <v>83.774304116237005</v>
      </c>
      <c r="AK1460">
        <v>103.41649246574001</v>
      </c>
      <c r="AL1460">
        <v>85.917305058083699</v>
      </c>
      <c r="AM1460">
        <v>87.576745732129694</v>
      </c>
      <c r="AN1460">
        <v>0.99999994667798897</v>
      </c>
    </row>
    <row r="1461" spans="1:40" x14ac:dyDescent="0.25">
      <c r="A1461" t="str">
        <f>"20190312150657279"</f>
        <v>20190312150657279</v>
      </c>
      <c r="B1461" t="str">
        <f>"1552374417271936"</f>
        <v>1552374417271936</v>
      </c>
      <c r="C1461" t="s">
        <v>40</v>
      </c>
      <c r="D1461">
        <v>4.2829189999999997</v>
      </c>
      <c r="E1461">
        <v>0.52427669999999904</v>
      </c>
      <c r="F1461" t="s">
        <v>47</v>
      </c>
      <c r="G1461">
        <v>-169.2955</v>
      </c>
      <c r="H1461">
        <v>0.59883980000000003</v>
      </c>
      <c r="I1461">
        <v>356.12279999999998</v>
      </c>
      <c r="J1461">
        <v>-271.9599</v>
      </c>
      <c r="K1461">
        <v>1.1097549999999901</v>
      </c>
      <c r="L1461">
        <v>367.21910000000003</v>
      </c>
      <c r="M1461">
        <v>0.99991759999999996</v>
      </c>
      <c r="N1461">
        <v>0</v>
      </c>
      <c r="O1461">
        <v>1.1435149999999999E-3</v>
      </c>
      <c r="P1461">
        <v>0.99741329999999995</v>
      </c>
      <c r="Q1461">
        <v>5.8805160000000002E-2</v>
      </c>
      <c r="R1461">
        <v>-4.1336560000000001E-2</v>
      </c>
      <c r="S1461">
        <v>2.9952700000000001</v>
      </c>
      <c r="T1461">
        <v>-1.487803E-2</v>
      </c>
      <c r="U1461">
        <v>-0.32324219999999998</v>
      </c>
      <c r="V1461">
        <v>4.2475300000000001E-2</v>
      </c>
      <c r="W1461">
        <v>7.1567629999999993E-2</v>
      </c>
      <c r="X1461">
        <v>0.99653099999999994</v>
      </c>
      <c r="Y1461">
        <v>0.1084302</v>
      </c>
      <c r="Z1461">
        <v>-2.7417890000000001E-4</v>
      </c>
      <c r="AA1461">
        <v>0.99410399999999999</v>
      </c>
      <c r="AB1461">
        <v>25</v>
      </c>
      <c r="AC1461">
        <v>102.6644</v>
      </c>
      <c r="AD1461">
        <v>-0.51091519999999901</v>
      </c>
      <c r="AE1461">
        <v>-11.096299999999999</v>
      </c>
      <c r="AF1461">
        <v>11.213426116676599</v>
      </c>
      <c r="AG1461">
        <v>-0.51091519999999901</v>
      </c>
      <c r="AH1461">
        <v>102.649130177817</v>
      </c>
      <c r="AI1461">
        <v>90.283489293533407</v>
      </c>
      <c r="AJ1461">
        <v>83.765709875391806</v>
      </c>
      <c r="AK1461">
        <v>103.261056966691</v>
      </c>
      <c r="AL1461">
        <v>85.895968557034607</v>
      </c>
      <c r="AM1461">
        <v>87.559350125627304</v>
      </c>
      <c r="AN1461">
        <v>1.00000005536745</v>
      </c>
    </row>
    <row r="1462" spans="1:40" x14ac:dyDescent="0.25">
      <c r="A1462" t="str">
        <f>"20190312150657290"</f>
        <v>20190312150657290</v>
      </c>
      <c r="B1462" t="str">
        <f>"1552374417281696"</f>
        <v>1552374417281696</v>
      </c>
      <c r="C1462" t="s">
        <v>40</v>
      </c>
      <c r="D1462">
        <v>4.2883529999999999</v>
      </c>
      <c r="E1462">
        <v>0.52425849999999996</v>
      </c>
      <c r="F1462" t="s">
        <v>47</v>
      </c>
      <c r="G1462">
        <v>-169.2955</v>
      </c>
      <c r="H1462">
        <v>0.61347680000000004</v>
      </c>
      <c r="I1462">
        <v>356.1198</v>
      </c>
      <c r="J1462">
        <v>-271.84179999999998</v>
      </c>
      <c r="K1462">
        <v>1.1098239999999999</v>
      </c>
      <c r="L1462">
        <v>367.21929999999998</v>
      </c>
      <c r="M1462">
        <v>0.99991660000000004</v>
      </c>
      <c r="N1462">
        <v>0</v>
      </c>
      <c r="O1462">
        <v>1.161458E-3</v>
      </c>
      <c r="P1462">
        <v>0.99740300000000004</v>
      </c>
      <c r="Q1462">
        <v>5.884644E-2</v>
      </c>
      <c r="R1462">
        <v>-4.1526859999999999E-2</v>
      </c>
      <c r="S1462">
        <v>2.995209</v>
      </c>
      <c r="T1462">
        <v>-1.447618E-2</v>
      </c>
      <c r="U1462">
        <v>-0.323822</v>
      </c>
      <c r="V1462">
        <v>4.2683279999999997E-2</v>
      </c>
      <c r="W1462">
        <v>7.1672739999999999E-2</v>
      </c>
      <c r="X1462">
        <v>0.99651449999999997</v>
      </c>
      <c r="Y1462">
        <v>0.1086405</v>
      </c>
      <c r="Z1462">
        <v>-2.6736920000000001E-4</v>
      </c>
      <c r="AA1462">
        <v>0.99408110000000005</v>
      </c>
      <c r="AB1462">
        <v>25</v>
      </c>
      <c r="AC1462">
        <v>102.54629999999899</v>
      </c>
      <c r="AD1462">
        <v>-0.49634719999999899</v>
      </c>
      <c r="AE1462">
        <v>-11.0994999999999</v>
      </c>
      <c r="AF1462">
        <v>11.218345808931501</v>
      </c>
      <c r="AG1462">
        <v>-0.49634719999999899</v>
      </c>
      <c r="AH1462">
        <v>102.53096389520201</v>
      </c>
      <c r="AI1462">
        <v>90.275718356569897</v>
      </c>
      <c r="AJ1462">
        <v>83.755864882552402</v>
      </c>
      <c r="AK1462">
        <v>103.14405557525301</v>
      </c>
      <c r="AL1462">
        <v>85.889930449751304</v>
      </c>
      <c r="AM1462">
        <v>87.547373498980093</v>
      </c>
      <c r="AN1462">
        <v>0.999999996380457</v>
      </c>
    </row>
    <row r="1463" spans="1:40" x14ac:dyDescent="0.25">
      <c r="A1463" t="str">
        <f>"20190312150657300"</f>
        <v>20190312150657300</v>
      </c>
      <c r="B1463" t="str">
        <f>"1552374417291457"</f>
        <v>1552374417291457</v>
      </c>
      <c r="C1463" t="s">
        <v>40</v>
      </c>
      <c r="D1463">
        <v>4.2834589999999997</v>
      </c>
      <c r="E1463">
        <v>0.52425869999999997</v>
      </c>
      <c r="F1463" t="s">
        <v>47</v>
      </c>
      <c r="G1463">
        <v>-169.2955</v>
      </c>
      <c r="H1463">
        <v>0.6029291</v>
      </c>
      <c r="I1463">
        <v>356.1148</v>
      </c>
      <c r="J1463">
        <v>-271.7199</v>
      </c>
      <c r="K1463">
        <v>1.1098920000000001</v>
      </c>
      <c r="L1463">
        <v>367.21940000000001</v>
      </c>
      <c r="M1463">
        <v>0.99991580000000002</v>
      </c>
      <c r="N1463">
        <v>0</v>
      </c>
      <c r="O1463">
        <v>1.179945E-3</v>
      </c>
      <c r="P1463">
        <v>0.99739929999999999</v>
      </c>
      <c r="Q1463">
        <v>5.8743419999999998E-2</v>
      </c>
      <c r="R1463">
        <v>-4.176527E-2</v>
      </c>
      <c r="S1463">
        <v>2.9951780000000001</v>
      </c>
      <c r="T1463">
        <v>-1.480281E-2</v>
      </c>
      <c r="U1463">
        <v>-0.32434079999999998</v>
      </c>
      <c r="V1463">
        <v>4.2940100000000002E-2</v>
      </c>
      <c r="W1463">
        <v>7.1632329999999994E-2</v>
      </c>
      <c r="X1463">
        <v>0.99650640000000001</v>
      </c>
      <c r="Y1463">
        <v>0.1088301</v>
      </c>
      <c r="Z1463">
        <v>-2.7396050000000002E-4</v>
      </c>
      <c r="AA1463">
        <v>0.99406030000000001</v>
      </c>
      <c r="AB1463">
        <v>25</v>
      </c>
      <c r="AC1463">
        <v>102.42440000000001</v>
      </c>
      <c r="AD1463">
        <v>-0.50696289999999999</v>
      </c>
      <c r="AE1463">
        <v>-11.1046</v>
      </c>
      <c r="AF1463">
        <v>11.225185710697399</v>
      </c>
      <c r="AG1463">
        <v>-0.50696289999999999</v>
      </c>
      <c r="AH1463">
        <v>102.40874502788201</v>
      </c>
      <c r="AI1463">
        <v>90.281945294269704</v>
      </c>
      <c r="AJ1463">
        <v>83.744690447102897</v>
      </c>
      <c r="AK1463">
        <v>103.023360767388</v>
      </c>
      <c r="AL1463">
        <v>85.892251852643199</v>
      </c>
      <c r="AM1463">
        <v>87.532614502025098</v>
      </c>
      <c r="AN1463">
        <v>1.0000000240650899</v>
      </c>
    </row>
    <row r="1464" spans="1:40" x14ac:dyDescent="0.25">
      <c r="A1464" t="str">
        <f>"20190312150657311"</f>
        <v>20190312150657311</v>
      </c>
      <c r="B1464" t="str">
        <f>"1552374417302192"</f>
        <v>1552374417302192</v>
      </c>
      <c r="C1464" t="s">
        <v>40</v>
      </c>
      <c r="D1464">
        <v>4.2960719999999997</v>
      </c>
      <c r="E1464">
        <v>0.52423999999999904</v>
      </c>
      <c r="F1464" t="s">
        <v>47</v>
      </c>
      <c r="G1464">
        <v>-169.2955</v>
      </c>
      <c r="H1464">
        <v>0.57931140000000003</v>
      </c>
      <c r="I1464">
        <v>356.10090000000002</v>
      </c>
      <c r="J1464">
        <v>-271.59960000000001</v>
      </c>
      <c r="K1464">
        <v>1.109953</v>
      </c>
      <c r="L1464">
        <v>367.21949999999998</v>
      </c>
      <c r="M1464">
        <v>0.99991509999999995</v>
      </c>
      <c r="N1464">
        <v>0</v>
      </c>
      <c r="O1464">
        <v>1.198108E-3</v>
      </c>
      <c r="P1464">
        <v>0.9973843</v>
      </c>
      <c r="Q1464">
        <v>5.8659990000000002E-2</v>
      </c>
      <c r="R1464">
        <v>-4.223031E-2</v>
      </c>
      <c r="S1464">
        <v>2.9951479999999999</v>
      </c>
      <c r="T1464">
        <v>-1.5512939999999999E-2</v>
      </c>
      <c r="U1464">
        <v>-0.32513429999999999</v>
      </c>
      <c r="V1464">
        <v>4.342348E-2</v>
      </c>
      <c r="W1464">
        <v>7.1606639999999999E-2</v>
      </c>
      <c r="X1464">
        <v>0.99648729999999996</v>
      </c>
      <c r="Y1464">
        <v>0.1091094</v>
      </c>
      <c r="Z1464">
        <v>-2.8791670000000001E-4</v>
      </c>
      <c r="AA1464">
        <v>0.99402970000000002</v>
      </c>
      <c r="AB1464">
        <v>25</v>
      </c>
      <c r="AC1464">
        <v>102.30410000000001</v>
      </c>
      <c r="AD1464">
        <v>-0.53064159999999905</v>
      </c>
      <c r="AE1464">
        <v>-11.118599999999899</v>
      </c>
      <c r="AF1464">
        <v>11.240874804526699</v>
      </c>
      <c r="AG1464">
        <v>-0.53064159999999905</v>
      </c>
      <c r="AH1464">
        <v>102.287984327801</v>
      </c>
      <c r="AI1464">
        <v>90.295453219485196</v>
      </c>
      <c r="AJ1464">
        <v>83.728680707953202</v>
      </c>
      <c r="AK1464">
        <v>102.905153343859</v>
      </c>
      <c r="AL1464">
        <v>85.8937275716888</v>
      </c>
      <c r="AM1464">
        <v>87.504826097905294</v>
      </c>
      <c r="AN1464">
        <v>1.0000000242843401</v>
      </c>
    </row>
    <row r="1465" spans="1:40" x14ac:dyDescent="0.25">
      <c r="A1465" t="str">
        <f>"20190312150657322"</f>
        <v>20190312150657322</v>
      </c>
      <c r="B1465" t="str">
        <f>"1552374417311952"</f>
        <v>1552374417311952</v>
      </c>
      <c r="C1465" t="s">
        <v>40</v>
      </c>
      <c r="D1465">
        <v>4.2950100000000004</v>
      </c>
      <c r="E1465">
        <v>0.52422420000000003</v>
      </c>
      <c r="F1465" t="s">
        <v>47</v>
      </c>
      <c r="G1465">
        <v>-169.2955</v>
      </c>
      <c r="H1465">
        <v>0.54733750000000003</v>
      </c>
      <c r="I1465">
        <v>356.07900000000001</v>
      </c>
      <c r="J1465">
        <v>-271.47129999999999</v>
      </c>
      <c r="K1465">
        <v>1.110017</v>
      </c>
      <c r="L1465">
        <v>367.21969999999999</v>
      </c>
      <c r="M1465">
        <v>0.99991410000000003</v>
      </c>
      <c r="N1465">
        <v>0</v>
      </c>
      <c r="O1465">
        <v>1.217571E-3</v>
      </c>
      <c r="P1465">
        <v>0.99735810000000003</v>
      </c>
      <c r="Q1465">
        <v>5.8962720000000003E-2</v>
      </c>
      <c r="R1465">
        <v>-4.2425949999999997E-2</v>
      </c>
      <c r="S1465">
        <v>2.9949650000000001</v>
      </c>
      <c r="T1465">
        <v>-1.6468050000000001E-2</v>
      </c>
      <c r="U1465">
        <v>-0.32614140000000003</v>
      </c>
      <c r="V1465">
        <v>4.3638490000000002E-2</v>
      </c>
      <c r="W1465">
        <v>7.1967630000000005E-2</v>
      </c>
      <c r="X1465">
        <v>0.99645189999999995</v>
      </c>
      <c r="Y1465">
        <v>0.1094654</v>
      </c>
      <c r="Z1465">
        <v>-3.0673860000000002E-4</v>
      </c>
      <c r="AA1465">
        <v>0.9939905</v>
      </c>
      <c r="AB1465">
        <v>25</v>
      </c>
      <c r="AC1465">
        <v>102.175799999999</v>
      </c>
      <c r="AD1465">
        <v>-0.5626795</v>
      </c>
      <c r="AE1465">
        <v>-11.140699999999899</v>
      </c>
      <c r="AF1465">
        <v>11.2647710164535</v>
      </c>
      <c r="AG1465">
        <v>-0.5626795</v>
      </c>
      <c r="AH1465">
        <v>102.159096746706</v>
      </c>
      <c r="AI1465">
        <v>90.313673633535799</v>
      </c>
      <c r="AJ1465">
        <v>83.707590251289304</v>
      </c>
      <c r="AK1465">
        <v>102.779826436785</v>
      </c>
      <c r="AL1465">
        <v>85.872990863336497</v>
      </c>
      <c r="AM1465">
        <v>87.492398084971001</v>
      </c>
      <c r="AN1465">
        <v>1.00000002329545</v>
      </c>
    </row>
    <row r="1466" spans="1:40" x14ac:dyDescent="0.25">
      <c r="A1466" t="str">
        <f>"20190312150657333"</f>
        <v>20190312150657333</v>
      </c>
      <c r="B1466" t="str">
        <f>"1552374417321711"</f>
        <v>1552374417321711</v>
      </c>
      <c r="C1466" t="s">
        <v>40</v>
      </c>
      <c r="D1466">
        <v>4.3059310000000002</v>
      </c>
      <c r="E1466">
        <v>0.52421119999999999</v>
      </c>
      <c r="F1466" t="s">
        <v>47</v>
      </c>
      <c r="G1466">
        <v>-169.2955</v>
      </c>
      <c r="H1466">
        <v>0.56124879999999999</v>
      </c>
      <c r="I1466">
        <v>356.06709999999998</v>
      </c>
      <c r="J1466">
        <v>-271.35469999999998</v>
      </c>
      <c r="K1466">
        <v>1.110066</v>
      </c>
      <c r="L1466">
        <v>367.2199</v>
      </c>
      <c r="M1466">
        <v>0.99991359999999996</v>
      </c>
      <c r="N1466">
        <v>0</v>
      </c>
      <c r="O1466">
        <v>1.2347790000000001E-3</v>
      </c>
      <c r="P1466">
        <v>0.99731809999999999</v>
      </c>
      <c r="Q1466">
        <v>5.9380349999999998E-2</v>
      </c>
      <c r="R1466">
        <v>-4.2787180000000001E-2</v>
      </c>
      <c r="S1466">
        <v>2.9949650000000001</v>
      </c>
      <c r="T1466">
        <v>-1.6082880000000001E-2</v>
      </c>
      <c r="U1466">
        <v>-0.32690429999999998</v>
      </c>
      <c r="V1466">
        <v>4.401675E-2</v>
      </c>
      <c r="W1466">
        <v>7.2433239999999996E-2</v>
      </c>
      <c r="X1466">
        <v>0.99640150000000005</v>
      </c>
      <c r="Y1466">
        <v>0.10973280000000001</v>
      </c>
      <c r="Z1466">
        <v>-3.0036830000000002E-4</v>
      </c>
      <c r="AA1466">
        <v>0.99396110000000004</v>
      </c>
      <c r="AB1466">
        <v>25</v>
      </c>
      <c r="AC1466">
        <v>102.059199999999</v>
      </c>
      <c r="AD1466">
        <v>-0.54881720000000001</v>
      </c>
      <c r="AE1466">
        <v>-11.152799999999999</v>
      </c>
      <c r="AF1466">
        <v>11.2785005561232</v>
      </c>
      <c r="AG1466">
        <v>-0.54881720000000001</v>
      </c>
      <c r="AH1466">
        <v>102.042433834495</v>
      </c>
      <c r="AI1466">
        <v>90.3062871162047</v>
      </c>
      <c r="AJ1466">
        <v>83.692838010412203</v>
      </c>
      <c r="AK1466">
        <v>102.665301236498</v>
      </c>
      <c r="AL1466">
        <v>85.846243467564904</v>
      </c>
      <c r="AM1466">
        <v>87.470562436789606</v>
      </c>
      <c r="AN1466">
        <v>0.99999999886985502</v>
      </c>
    </row>
    <row r="1467" spans="1:40" x14ac:dyDescent="0.25">
      <c r="A1467" t="str">
        <f>"20190312150657344"</f>
        <v>20190312150657344</v>
      </c>
      <c r="B1467" t="str">
        <f>"1552374417331472"</f>
        <v>1552374417331472</v>
      </c>
      <c r="C1467" t="s">
        <v>40</v>
      </c>
      <c r="D1467">
        <v>4.2993449999999998</v>
      </c>
      <c r="E1467">
        <v>0.52418520000000002</v>
      </c>
      <c r="F1467" t="s">
        <v>47</v>
      </c>
      <c r="G1467">
        <v>-169.2955</v>
      </c>
      <c r="H1467">
        <v>0.59010790000000002</v>
      </c>
      <c r="I1467">
        <v>356.05279999999999</v>
      </c>
      <c r="J1467">
        <v>-271.23219999999998</v>
      </c>
      <c r="K1467">
        <v>1.1101160000000001</v>
      </c>
      <c r="L1467">
        <v>367.2201</v>
      </c>
      <c r="M1467">
        <v>0.99991289999999999</v>
      </c>
      <c r="N1467">
        <v>0</v>
      </c>
      <c r="O1467">
        <v>1.2531669999999999E-3</v>
      </c>
      <c r="P1467">
        <v>0.99729440000000003</v>
      </c>
      <c r="Q1467">
        <v>5.966602E-2</v>
      </c>
      <c r="R1467">
        <v>-4.2941090000000001E-2</v>
      </c>
      <c r="S1467">
        <v>2.994904</v>
      </c>
      <c r="T1467">
        <v>-1.525545E-2</v>
      </c>
      <c r="U1467">
        <v>-0.32769779999999998</v>
      </c>
      <c r="V1467">
        <v>4.4188819999999997E-2</v>
      </c>
      <c r="W1467">
        <v>7.2768520000000003E-2</v>
      </c>
      <c r="X1467">
        <v>0.99636950000000002</v>
      </c>
      <c r="Y1467">
        <v>0.1100136</v>
      </c>
      <c r="Z1467">
        <v>-2.8572340000000002E-4</v>
      </c>
      <c r="AA1467">
        <v>0.99392999999999998</v>
      </c>
      <c r="AB1467">
        <v>25</v>
      </c>
      <c r="AC1467">
        <v>101.93669999999901</v>
      </c>
      <c r="AD1467">
        <v>-0.52000809999999897</v>
      </c>
      <c r="AE1467">
        <v>-11.167299999999999</v>
      </c>
      <c r="AF1467">
        <v>11.2947555265237</v>
      </c>
      <c r="AG1467">
        <v>-0.52000809999999897</v>
      </c>
      <c r="AH1467">
        <v>101.920003423211</v>
      </c>
      <c r="AI1467">
        <v>90.290548768770606</v>
      </c>
      <c r="AJ1467">
        <v>83.676295502284603</v>
      </c>
      <c r="AK1467">
        <v>102.54525346702</v>
      </c>
      <c r="AL1467">
        <v>85.826982702779404</v>
      </c>
      <c r="AM1467">
        <v>87.460605846068702</v>
      </c>
      <c r="AN1467">
        <v>1.0000000449231099</v>
      </c>
    </row>
    <row r="1468" spans="1:40" x14ac:dyDescent="0.25">
      <c r="A1468" t="str">
        <f>"20190312150657354"</f>
        <v>20190312150657354</v>
      </c>
      <c r="B1468" t="str">
        <f>"1552374417351967"</f>
        <v>1552374417351967</v>
      </c>
      <c r="C1468" t="s">
        <v>40</v>
      </c>
      <c r="D1468">
        <v>4.304786</v>
      </c>
      <c r="E1468">
        <v>0.52414490000000002</v>
      </c>
      <c r="F1468" t="s">
        <v>47</v>
      </c>
      <c r="G1468">
        <v>-169.2955</v>
      </c>
      <c r="H1468">
        <v>0.59743400000000002</v>
      </c>
      <c r="I1468">
        <v>356.05270000000002</v>
      </c>
      <c r="J1468">
        <v>-271.11380000000003</v>
      </c>
      <c r="K1468">
        <v>1.110158</v>
      </c>
      <c r="L1468">
        <v>367.22019999999998</v>
      </c>
      <c r="M1468">
        <v>0.99991229999999998</v>
      </c>
      <c r="N1468">
        <v>0</v>
      </c>
      <c r="O1468">
        <v>1.271416E-3</v>
      </c>
      <c r="P1468">
        <v>0.99726029999999999</v>
      </c>
      <c r="Q1468">
        <v>6.0015819999999998E-2</v>
      </c>
      <c r="R1468">
        <v>-4.3243820000000002E-2</v>
      </c>
      <c r="S1468">
        <v>2.9948730000000001</v>
      </c>
      <c r="T1468">
        <v>-1.505983E-2</v>
      </c>
      <c r="U1468">
        <v>-0.32809450000000001</v>
      </c>
      <c r="V1468">
        <v>4.4509819999999999E-2</v>
      </c>
      <c r="W1468">
        <v>7.3160859999999994E-2</v>
      </c>
      <c r="X1468">
        <v>0.99632639999999995</v>
      </c>
      <c r="Y1468">
        <v>0.110163</v>
      </c>
      <c r="Z1468">
        <v>-2.8252650000000002E-4</v>
      </c>
      <c r="AA1468">
        <v>0.99391350000000001</v>
      </c>
      <c r="AB1468">
        <v>25</v>
      </c>
      <c r="AC1468">
        <v>101.81829999999999</v>
      </c>
      <c r="AD1468">
        <v>-0.51272399999999996</v>
      </c>
      <c r="AE1468">
        <v>-11.167499999999899</v>
      </c>
      <c r="AF1468">
        <v>11.2966725811158</v>
      </c>
      <c r="AG1468">
        <v>-0.51272399999999996</v>
      </c>
      <c r="AH1468">
        <v>101.801467119561</v>
      </c>
      <c r="AI1468">
        <v>90.286807847804894</v>
      </c>
      <c r="AJ1468">
        <v>83.667926185098594</v>
      </c>
      <c r="AK1468">
        <v>102.427615441345</v>
      </c>
      <c r="AL1468">
        <v>85.804442864883299</v>
      </c>
      <c r="AM1468">
        <v>87.442072883314694</v>
      </c>
      <c r="AN1468">
        <v>0.99999996542466496</v>
      </c>
    </row>
    <row r="1469" spans="1:40" x14ac:dyDescent="0.25">
      <c r="A1469" t="str">
        <f>"20190312150657366"</f>
        <v>20190312150657366</v>
      </c>
      <c r="B1469" t="str">
        <f>"1552374417361728"</f>
        <v>1552374417361728</v>
      </c>
      <c r="C1469" t="s">
        <v>40</v>
      </c>
      <c r="D1469">
        <v>4.3000489999999996</v>
      </c>
      <c r="E1469">
        <v>0.52410909999999999</v>
      </c>
      <c r="F1469" t="s">
        <v>47</v>
      </c>
      <c r="G1469">
        <v>-169.2955</v>
      </c>
      <c r="H1469">
        <v>0.59675690000000003</v>
      </c>
      <c r="I1469">
        <v>356.04730000000001</v>
      </c>
      <c r="J1469">
        <v>-270.9896</v>
      </c>
      <c r="K1469">
        <v>1.1102000000000001</v>
      </c>
      <c r="L1469">
        <v>367.22039999999998</v>
      </c>
      <c r="M1469">
        <v>0.99991169999999996</v>
      </c>
      <c r="N1469">
        <v>0</v>
      </c>
      <c r="O1469">
        <v>1.2903109999999999E-3</v>
      </c>
      <c r="P1469">
        <v>0.99723110000000004</v>
      </c>
      <c r="Q1469">
        <v>6.0354140000000001E-2</v>
      </c>
      <c r="R1469">
        <v>-4.344634E-2</v>
      </c>
      <c r="S1469">
        <v>2.994904</v>
      </c>
      <c r="T1469">
        <v>-1.509869E-2</v>
      </c>
      <c r="U1469">
        <v>-0.32864379999999999</v>
      </c>
      <c r="V1469">
        <v>4.4731229999999997E-2</v>
      </c>
      <c r="W1469">
        <v>7.3543189999999994E-2</v>
      </c>
      <c r="X1469">
        <v>0.99628839999999996</v>
      </c>
      <c r="Y1469">
        <v>0.1103608</v>
      </c>
      <c r="Z1469">
        <v>-2.8384200000000002E-4</v>
      </c>
      <c r="AA1469">
        <v>0.99389150000000004</v>
      </c>
      <c r="AB1469">
        <v>25</v>
      </c>
      <c r="AC1469">
        <v>101.69410000000001</v>
      </c>
      <c r="AD1469">
        <v>-0.51344309999999904</v>
      </c>
      <c r="AE1469">
        <v>-11.1730999999999</v>
      </c>
      <c r="AF1469">
        <v>11.3040344730392</v>
      </c>
      <c r="AG1469">
        <v>-0.51344309999999904</v>
      </c>
      <c r="AH1469">
        <v>101.677036322552</v>
      </c>
      <c r="AI1469">
        <v>90.287555000207703</v>
      </c>
      <c r="AJ1469">
        <v>83.656142282622397</v>
      </c>
      <c r="AK1469">
        <v>102.304763009951</v>
      </c>
      <c r="AL1469">
        <v>85.782478069387693</v>
      </c>
      <c r="AM1469">
        <v>87.429267820468297</v>
      </c>
      <c r="AN1469">
        <v>1.00000002985362</v>
      </c>
    </row>
    <row r="1470" spans="1:40" x14ac:dyDescent="0.25">
      <c r="A1470" t="str">
        <f>"20190312150657378"</f>
        <v>20190312150657378</v>
      </c>
      <c r="B1470" t="str">
        <f>"1552374417371488"</f>
        <v>1552374417371488</v>
      </c>
      <c r="C1470" t="s">
        <v>40</v>
      </c>
      <c r="D1470">
        <v>4.293139</v>
      </c>
      <c r="E1470">
        <v>0.52410299999999999</v>
      </c>
      <c r="F1470" t="s">
        <v>47</v>
      </c>
      <c r="G1470">
        <v>-169.2955</v>
      </c>
      <c r="H1470">
        <v>0.61274430000000002</v>
      </c>
      <c r="I1470">
        <v>356.05070000000001</v>
      </c>
      <c r="J1470">
        <v>-270.84500000000003</v>
      </c>
      <c r="K1470">
        <v>1.1102430000000001</v>
      </c>
      <c r="L1470">
        <v>367.22059999999999</v>
      </c>
      <c r="M1470">
        <v>0.99991110000000005</v>
      </c>
      <c r="N1470">
        <v>0</v>
      </c>
      <c r="O1470">
        <v>1.312054E-3</v>
      </c>
      <c r="P1470">
        <v>0.99720929999999997</v>
      </c>
      <c r="Q1470">
        <v>6.0553349999999999E-2</v>
      </c>
      <c r="R1470">
        <v>-4.3672379999999997E-2</v>
      </c>
      <c r="S1470">
        <v>2.994904</v>
      </c>
      <c r="T1470">
        <v>-1.4647479999999999E-2</v>
      </c>
      <c r="U1470">
        <v>-0.32894899999999999</v>
      </c>
      <c r="V1470">
        <v>4.4978860000000002E-2</v>
      </c>
      <c r="W1470">
        <v>7.3788099999999995E-2</v>
      </c>
      <c r="X1470">
        <v>0.99625909999999995</v>
      </c>
      <c r="Y1470">
        <v>0.1104826</v>
      </c>
      <c r="Z1470">
        <v>-2.757611E-4</v>
      </c>
      <c r="AA1470">
        <v>0.99387800000000004</v>
      </c>
      <c r="AB1470">
        <v>25</v>
      </c>
      <c r="AC1470">
        <v>101.54949999999999</v>
      </c>
      <c r="AD1470">
        <v>-0.49749870000000002</v>
      </c>
      <c r="AE1470">
        <v>-11.169899999999901</v>
      </c>
      <c r="AF1470">
        <v>11.302872506117501</v>
      </c>
      <c r="AG1470">
        <v>-0.49749870000000002</v>
      </c>
      <c r="AH1470">
        <v>101.532348032855</v>
      </c>
      <c r="AI1470">
        <v>90.279017986139493</v>
      </c>
      <c r="AJ1470">
        <v>83.647823534461907</v>
      </c>
      <c r="AK1470">
        <v>102.16075630549599</v>
      </c>
      <c r="AL1470">
        <v>85.768407353011199</v>
      </c>
      <c r="AM1470">
        <v>87.414979697629704</v>
      </c>
      <c r="AN1470">
        <v>0.99999998794065903</v>
      </c>
    </row>
    <row r="1471" spans="1:40" x14ac:dyDescent="0.25">
      <c r="A1471" t="str">
        <f>"20190312150657391"</f>
        <v>20190312150657391</v>
      </c>
      <c r="B1471" t="str">
        <f>"1552374417382224"</f>
        <v>1552374417382224</v>
      </c>
      <c r="C1471" t="s">
        <v>40</v>
      </c>
      <c r="D1471">
        <v>4.2956390000000004</v>
      </c>
      <c r="E1471">
        <v>0.52408659999999996</v>
      </c>
      <c r="F1471" t="s">
        <v>47</v>
      </c>
      <c r="G1471">
        <v>-169.2955</v>
      </c>
      <c r="H1471">
        <v>0.61984729999999999</v>
      </c>
      <c r="I1471">
        <v>356.04379999999998</v>
      </c>
      <c r="J1471">
        <v>-270.70600000000002</v>
      </c>
      <c r="K1471">
        <v>1.110282</v>
      </c>
      <c r="L1471">
        <v>367.2208</v>
      </c>
      <c r="M1471">
        <v>0.99991039999999998</v>
      </c>
      <c r="N1471">
        <v>0</v>
      </c>
      <c r="O1471">
        <v>1.333351E-3</v>
      </c>
      <c r="P1471">
        <v>0.99719519999999995</v>
      </c>
      <c r="Q1471">
        <v>6.0729819999999997E-2</v>
      </c>
      <c r="R1471">
        <v>-4.3743539999999997E-2</v>
      </c>
      <c r="S1471">
        <v>2.9948429999999999</v>
      </c>
      <c r="T1471">
        <v>-1.445985E-2</v>
      </c>
      <c r="U1471">
        <v>-0.32962039999999998</v>
      </c>
      <c r="V1471">
        <v>4.5071300000000002E-2</v>
      </c>
      <c r="W1471">
        <v>7.4006379999999997E-2</v>
      </c>
      <c r="X1471">
        <v>0.99623879999999998</v>
      </c>
      <c r="Y1471">
        <v>0.11072609999999999</v>
      </c>
      <c r="Z1471">
        <v>-2.729195E-4</v>
      </c>
      <c r="AA1471">
        <v>0.99385089999999998</v>
      </c>
      <c r="AB1471">
        <v>25</v>
      </c>
      <c r="AC1471">
        <v>101.410499999999</v>
      </c>
      <c r="AD1471">
        <v>-0.490434699999999</v>
      </c>
      <c r="AE1471">
        <v>-11.177</v>
      </c>
      <c r="AF1471">
        <v>11.3119564597286</v>
      </c>
      <c r="AG1471">
        <v>-0.490434699999999</v>
      </c>
      <c r="AH1471">
        <v>101.393162711233</v>
      </c>
      <c r="AI1471">
        <v>90.275426484649003</v>
      </c>
      <c r="AJ1471">
        <v>83.634104989104998</v>
      </c>
      <c r="AK1471">
        <v>102.023400892777</v>
      </c>
      <c r="AL1471">
        <v>85.755866833250195</v>
      </c>
      <c r="AM1471">
        <v>87.409621514236306</v>
      </c>
      <c r="AN1471">
        <v>1.0000000564949101</v>
      </c>
    </row>
    <row r="1472" spans="1:40" x14ac:dyDescent="0.25">
      <c r="A1472" t="str">
        <f>"20190312150657405"</f>
        <v>20190312150657405</v>
      </c>
      <c r="B1472" t="str">
        <f>"1552374417401743"</f>
        <v>1552374417401743</v>
      </c>
      <c r="C1472" t="s">
        <v>40</v>
      </c>
      <c r="D1472">
        <v>4.5512189999999997</v>
      </c>
      <c r="E1472">
        <v>0.52406730000000001</v>
      </c>
      <c r="F1472" t="s">
        <v>47</v>
      </c>
      <c r="G1472">
        <v>-169.2955</v>
      </c>
      <c r="H1472">
        <v>0.62456420000000001</v>
      </c>
      <c r="I1472">
        <v>356.06259999999997</v>
      </c>
      <c r="J1472">
        <v>-270.55459999999999</v>
      </c>
      <c r="K1472">
        <v>1.11032</v>
      </c>
      <c r="L1472">
        <v>367.221</v>
      </c>
      <c r="M1472">
        <v>0.99990990000000002</v>
      </c>
      <c r="N1472">
        <v>0</v>
      </c>
      <c r="O1472">
        <v>1.356129E-3</v>
      </c>
      <c r="P1472">
        <v>0.99719139999999995</v>
      </c>
      <c r="Q1472">
        <v>6.0710060000000003E-2</v>
      </c>
      <c r="R1472">
        <v>-4.386512E-2</v>
      </c>
      <c r="S1472">
        <v>2.9948730000000001</v>
      </c>
      <c r="T1472">
        <v>-1.4341710000000001E-2</v>
      </c>
      <c r="U1472">
        <v>-0.32952880000000001</v>
      </c>
      <c r="V1472">
        <v>4.5215529999999997E-2</v>
      </c>
      <c r="W1472">
        <v>7.4029209999999998E-2</v>
      </c>
      <c r="X1472">
        <v>0.99623050000000002</v>
      </c>
      <c r="Y1472">
        <v>0.1107176</v>
      </c>
      <c r="Z1472">
        <v>-2.707761E-4</v>
      </c>
      <c r="AA1472">
        <v>0.99385179999999995</v>
      </c>
      <c r="AB1472">
        <v>25</v>
      </c>
      <c r="AC1472">
        <v>101.2591</v>
      </c>
      <c r="AD1472">
        <v>-0.48575580000000002</v>
      </c>
      <c r="AE1472">
        <v>-11.1584</v>
      </c>
      <c r="AF1472">
        <v>11.2954655662489</v>
      </c>
      <c r="AG1472">
        <v>-0.48575580000000002</v>
      </c>
      <c r="AH1472">
        <v>101.24157140084</v>
      </c>
      <c r="AI1472">
        <v>90.273207206438599</v>
      </c>
      <c r="AJ1472">
        <v>83.633869418983195</v>
      </c>
      <c r="AK1472">
        <v>101.87089516032999</v>
      </c>
      <c r="AL1472">
        <v>85.754554883951897</v>
      </c>
      <c r="AM1472">
        <v>87.401321921683802</v>
      </c>
      <c r="AN1472">
        <v>0.99999998860832695</v>
      </c>
    </row>
    <row r="1473" spans="1:40" x14ac:dyDescent="0.25">
      <c r="A1473" t="str">
        <f>"20190312150657419"</f>
        <v>20190312150657419</v>
      </c>
      <c r="B1473" t="str">
        <f>"1552374417411504"</f>
        <v>1552374417411504</v>
      </c>
      <c r="C1473" t="s">
        <v>40</v>
      </c>
      <c r="D1473">
        <v>4.463679</v>
      </c>
      <c r="E1473">
        <v>0.52406869999999905</v>
      </c>
      <c r="F1473" t="s">
        <v>47</v>
      </c>
      <c r="G1473">
        <v>-169.2955</v>
      </c>
      <c r="H1473">
        <v>0.61831380000000002</v>
      </c>
      <c r="I1473">
        <v>356.07209999999998</v>
      </c>
      <c r="J1473">
        <v>-270.38920000000002</v>
      </c>
      <c r="K1473">
        <v>1.1103559999999999</v>
      </c>
      <c r="L1473">
        <v>367.22129999999999</v>
      </c>
      <c r="M1473">
        <v>0.9999093</v>
      </c>
      <c r="N1473">
        <v>0</v>
      </c>
      <c r="O1473">
        <v>1.3811209999999999E-3</v>
      </c>
      <c r="P1473">
        <v>0.99716479999999996</v>
      </c>
      <c r="Q1473">
        <v>6.0946750000000001E-2</v>
      </c>
      <c r="R1473">
        <v>-4.413951E-2</v>
      </c>
      <c r="S1473">
        <v>2.9948429999999999</v>
      </c>
      <c r="T1473">
        <v>-1.4549019999999999E-2</v>
      </c>
      <c r="U1473">
        <v>-0.32974239999999999</v>
      </c>
      <c r="V1473">
        <v>4.551471E-2</v>
      </c>
      <c r="W1473">
        <v>7.4307380000000006E-2</v>
      </c>
      <c r="X1473">
        <v>0.99619619999999998</v>
      </c>
      <c r="Y1473">
        <v>0.1108136</v>
      </c>
      <c r="Z1473">
        <v>-2.750451E-4</v>
      </c>
      <c r="AA1473">
        <v>0.99384119999999998</v>
      </c>
      <c r="AB1473">
        <v>25</v>
      </c>
      <c r="AC1473">
        <v>101.0937</v>
      </c>
      <c r="AD1473">
        <v>-0.49204219999999899</v>
      </c>
      <c r="AE1473">
        <v>-11.1492</v>
      </c>
      <c r="AF1473">
        <v>11.288560321127999</v>
      </c>
      <c r="AG1473">
        <v>-0.49204219999999899</v>
      </c>
      <c r="AH1473">
        <v>101.07583812243099</v>
      </c>
      <c r="AI1473">
        <v>90.277193121073594</v>
      </c>
      <c r="AJ1473">
        <v>83.6273828824867</v>
      </c>
      <c r="AK1473">
        <v>101.705450944392</v>
      </c>
      <c r="AL1473">
        <v>85.738573041675494</v>
      </c>
      <c r="AM1473">
        <v>87.384060974821693</v>
      </c>
      <c r="AN1473">
        <v>1.0000000222216401</v>
      </c>
    </row>
    <row r="1474" spans="1:40" x14ac:dyDescent="0.25">
      <c r="A1474" t="str">
        <f>"20190312150657433"</f>
        <v>20190312150657433</v>
      </c>
      <c r="B1474" t="str">
        <f>"1552374417422240"</f>
        <v>1552374417422240</v>
      </c>
      <c r="C1474" t="s">
        <v>40</v>
      </c>
      <c r="D1474">
        <v>4.2769940000000002</v>
      </c>
      <c r="E1474">
        <v>0.52406869999999905</v>
      </c>
      <c r="F1474" t="s">
        <v>47</v>
      </c>
      <c r="G1474">
        <v>-169.2955</v>
      </c>
      <c r="H1474">
        <v>0.63822840000000003</v>
      </c>
      <c r="I1474">
        <v>356.05419999999998</v>
      </c>
      <c r="J1474">
        <v>-270.23509999999999</v>
      </c>
      <c r="K1474">
        <v>1.110387</v>
      </c>
      <c r="L1474">
        <v>367.22160000000002</v>
      </c>
      <c r="M1474">
        <v>0.99990869999999998</v>
      </c>
      <c r="N1474">
        <v>0</v>
      </c>
      <c r="O1474">
        <v>1.404661E-3</v>
      </c>
      <c r="P1474">
        <v>0.9971373</v>
      </c>
      <c r="Q1474">
        <v>6.1292529999999998E-2</v>
      </c>
      <c r="R1474">
        <v>-4.427648E-2</v>
      </c>
      <c r="S1474">
        <v>2.9947509999999999</v>
      </c>
      <c r="T1474">
        <v>-1.3983489999999999E-2</v>
      </c>
      <c r="U1474">
        <v>-0.33081050000000001</v>
      </c>
      <c r="V1474">
        <v>4.5675199999999902E-2</v>
      </c>
      <c r="W1474">
        <v>7.4688729999999995E-2</v>
      </c>
      <c r="X1474">
        <v>0.9961603</v>
      </c>
      <c r="Y1474">
        <v>0.1111906</v>
      </c>
      <c r="Z1474">
        <v>-2.6534399999999999E-4</v>
      </c>
      <c r="AA1474">
        <v>0.99379910000000005</v>
      </c>
      <c r="AB1474">
        <v>25</v>
      </c>
      <c r="AC1474">
        <v>100.939599999999</v>
      </c>
      <c r="AD1474">
        <v>-0.47215859999999898</v>
      </c>
      <c r="AE1474">
        <v>-11.167400000000001</v>
      </c>
      <c r="AF1474">
        <v>11.308943256112499</v>
      </c>
      <c r="AG1474">
        <v>-0.47215859999999898</v>
      </c>
      <c r="AH1474">
        <v>100.921631082335</v>
      </c>
      <c r="AI1474">
        <v>90.266387272209002</v>
      </c>
      <c r="AJ1474">
        <v>83.606297224096906</v>
      </c>
      <c r="AK1474">
        <v>101.55437337521499</v>
      </c>
      <c r="AL1474">
        <v>85.716662258299905</v>
      </c>
      <c r="AM1474">
        <v>87.374755286079406</v>
      </c>
      <c r="AN1474">
        <v>0.99999998679007096</v>
      </c>
    </row>
    <row r="1475" spans="1:40" x14ac:dyDescent="0.25">
      <c r="A1475" t="str">
        <f>"20190312150657448"</f>
        <v>20190312150657448</v>
      </c>
      <c r="B1475" t="str">
        <f>"1552374417441760"</f>
        <v>1552374417441760</v>
      </c>
      <c r="C1475" t="s">
        <v>40</v>
      </c>
      <c r="D1475">
        <v>4.311617</v>
      </c>
      <c r="E1475">
        <v>0.52464489999999997</v>
      </c>
      <c r="F1475" t="s">
        <v>47</v>
      </c>
      <c r="G1475">
        <v>-169.2955</v>
      </c>
      <c r="H1475">
        <v>0.67370129999999995</v>
      </c>
      <c r="I1475">
        <v>356.05990000000003</v>
      </c>
      <c r="J1475">
        <v>-270.07510000000002</v>
      </c>
      <c r="K1475">
        <v>1.1104160000000001</v>
      </c>
      <c r="L1475">
        <v>367.22179999999997</v>
      </c>
      <c r="M1475">
        <v>0.99990829999999997</v>
      </c>
      <c r="N1475">
        <v>0</v>
      </c>
      <c r="O1475">
        <v>1.4290419999999999E-3</v>
      </c>
      <c r="P1475">
        <v>0.99710560000000004</v>
      </c>
      <c r="Q1475">
        <v>6.16477E-2</v>
      </c>
      <c r="R1475">
        <v>-4.4498570000000001E-2</v>
      </c>
      <c r="S1475">
        <v>2.9946899999999999</v>
      </c>
      <c r="T1475">
        <v>-1.2953040000000001E-2</v>
      </c>
      <c r="U1475">
        <v>-0.3311462</v>
      </c>
      <c r="V1475">
        <v>4.5921709999999998E-2</v>
      </c>
      <c r="W1475">
        <v>7.5077699999999997E-2</v>
      </c>
      <c r="X1475">
        <v>0.99611970000000005</v>
      </c>
      <c r="Y1475">
        <v>0.1113272</v>
      </c>
      <c r="Z1475">
        <v>-2.4619419999999999E-4</v>
      </c>
      <c r="AA1475">
        <v>0.99378379999999999</v>
      </c>
      <c r="AB1475">
        <v>25</v>
      </c>
      <c r="AC1475">
        <v>100.7796</v>
      </c>
      <c r="AD1475">
        <v>-0.43671470000000001</v>
      </c>
      <c r="AE1475">
        <v>-11.1618999999999</v>
      </c>
      <c r="AF1475">
        <v>11.305710216007199</v>
      </c>
      <c r="AG1475">
        <v>-0.43671470000000001</v>
      </c>
      <c r="AH1475">
        <v>100.76167562837</v>
      </c>
      <c r="AI1475">
        <v>90.246777573003698</v>
      </c>
      <c r="AJ1475">
        <v>83.598047235317395</v>
      </c>
      <c r="AK1475">
        <v>101.394896709126</v>
      </c>
      <c r="AL1475">
        <v>85.694313056252795</v>
      </c>
      <c r="AM1475">
        <v>87.360499343702699</v>
      </c>
      <c r="AN1475">
        <v>0.99999996060735097</v>
      </c>
    </row>
    <row r="1476" spans="1:40" x14ac:dyDescent="0.25">
      <c r="A1476" t="str">
        <f>"20190312150657460"</f>
        <v>20190312150657460</v>
      </c>
      <c r="B1476" t="str">
        <f>"1552374417451520"</f>
        <v>1552374417451520</v>
      </c>
      <c r="C1476" t="s">
        <v>40</v>
      </c>
      <c r="D1476">
        <v>4.2992839999999903</v>
      </c>
      <c r="E1476">
        <v>0.52495099999999995</v>
      </c>
      <c r="F1476" t="s">
        <v>47</v>
      </c>
      <c r="G1476">
        <v>-169.2955</v>
      </c>
      <c r="H1476">
        <v>0.70736980000000005</v>
      </c>
      <c r="I1476">
        <v>355.9076</v>
      </c>
      <c r="J1476">
        <v>-269.92989999999998</v>
      </c>
      <c r="K1476">
        <v>1.11043799999999</v>
      </c>
      <c r="L1476">
        <v>367.22199999999998</v>
      </c>
      <c r="M1476">
        <v>0.99990789999999996</v>
      </c>
      <c r="N1476">
        <v>0</v>
      </c>
      <c r="O1476">
        <v>1.4511960000000001E-3</v>
      </c>
      <c r="P1476">
        <v>0.99708149999999995</v>
      </c>
      <c r="Q1476">
        <v>6.1808149999999999E-2</v>
      </c>
      <c r="R1476">
        <v>-4.482013E-2</v>
      </c>
      <c r="S1476">
        <v>2.9944760000000001</v>
      </c>
      <c r="T1476">
        <v>-1.197314E-2</v>
      </c>
      <c r="U1476">
        <v>-0.33618160000000002</v>
      </c>
      <c r="V1476">
        <v>4.6264909999999999E-2</v>
      </c>
      <c r="W1476">
        <v>7.5266470000000002E-2</v>
      </c>
      <c r="X1476">
        <v>0.99608960000000002</v>
      </c>
      <c r="Y1476">
        <v>0.1130076</v>
      </c>
      <c r="Z1476">
        <v>-2.3100200000000001E-4</v>
      </c>
      <c r="AA1476">
        <v>0.99359410000000004</v>
      </c>
      <c r="AB1476">
        <v>25</v>
      </c>
      <c r="AC1476">
        <v>100.634399999999</v>
      </c>
      <c r="AD1476">
        <v>-0.40306819999999899</v>
      </c>
      <c r="AE1476">
        <v>-11.3143999999999</v>
      </c>
      <c r="AF1476">
        <v>11.460260067470999</v>
      </c>
      <c r="AG1476">
        <v>-0.40306819999999899</v>
      </c>
      <c r="AH1476">
        <v>100.61627914845199</v>
      </c>
      <c r="AI1476">
        <v>90.228050805334902</v>
      </c>
      <c r="AJ1476">
        <v>83.501977037738897</v>
      </c>
      <c r="AK1476">
        <v>101.26764366996601</v>
      </c>
      <c r="AL1476">
        <v>85.683466757912299</v>
      </c>
      <c r="AM1476">
        <v>87.340720770132293</v>
      </c>
      <c r="AN1476">
        <v>0.99999998731586404</v>
      </c>
    </row>
    <row r="1477" spans="1:40" x14ac:dyDescent="0.25">
      <c r="A1477" t="str">
        <f>"20190312150657472"</f>
        <v>20190312150657472</v>
      </c>
      <c r="B1477" t="str">
        <f>"1552374417462257"</f>
        <v>1552374417462257</v>
      </c>
      <c r="C1477" t="s">
        <v>40</v>
      </c>
      <c r="D1477">
        <v>4.2586360000000001</v>
      </c>
      <c r="E1477">
        <v>0.5252694</v>
      </c>
      <c r="F1477" t="s">
        <v>47</v>
      </c>
      <c r="G1477">
        <v>-169.2955</v>
      </c>
      <c r="H1477">
        <v>0.72606179999999998</v>
      </c>
      <c r="I1477">
        <v>355.80509999999998</v>
      </c>
      <c r="J1477">
        <v>-269.79930000000002</v>
      </c>
      <c r="K1477">
        <v>1.110457</v>
      </c>
      <c r="L1477">
        <v>367.22230000000002</v>
      </c>
      <c r="M1477">
        <v>0.99990760000000001</v>
      </c>
      <c r="N1477">
        <v>0</v>
      </c>
      <c r="O1477">
        <v>1.4711209999999999E-3</v>
      </c>
      <c r="P1477">
        <v>0.99705770000000005</v>
      </c>
      <c r="Q1477">
        <v>6.2079339999999997E-2</v>
      </c>
      <c r="R1477">
        <v>-4.4972230000000002E-2</v>
      </c>
      <c r="S1477">
        <v>2.994202</v>
      </c>
      <c r="T1477">
        <v>-1.1433840000000001E-2</v>
      </c>
      <c r="U1477">
        <v>-0.33969120000000003</v>
      </c>
      <c r="V1477">
        <v>4.6437050000000001E-2</v>
      </c>
      <c r="W1477">
        <v>7.5560779999999994E-2</v>
      </c>
      <c r="X1477">
        <v>0.99605929999999998</v>
      </c>
      <c r="Y1477">
        <v>0.1141875</v>
      </c>
      <c r="Z1477">
        <v>-2.229241E-4</v>
      </c>
      <c r="AA1477">
        <v>0.99345919999999999</v>
      </c>
      <c r="AB1477">
        <v>25</v>
      </c>
      <c r="AC1477">
        <v>100.5038</v>
      </c>
      <c r="AD1477">
        <v>-0.38439519999999999</v>
      </c>
      <c r="AE1477">
        <v>-11.417199999999999</v>
      </c>
      <c r="AF1477">
        <v>11.5648873786712</v>
      </c>
      <c r="AG1477">
        <v>-0.38439519999999999</v>
      </c>
      <c r="AH1477">
        <v>100.485442414614</v>
      </c>
      <c r="AI1477">
        <v>90.2177398671014</v>
      </c>
      <c r="AJ1477">
        <v>83.434704314461101</v>
      </c>
      <c r="AK1477">
        <v>101.149485994798</v>
      </c>
      <c r="AL1477">
        <v>85.666555848980806</v>
      </c>
      <c r="AM1477">
        <v>87.330759471115599</v>
      </c>
      <c r="AN1477">
        <v>0.99999998010169999</v>
      </c>
    </row>
    <row r="1478" spans="1:40" x14ac:dyDescent="0.25">
      <c r="A1478" t="str">
        <f>"20190312150657483"</f>
        <v>20190312150657483</v>
      </c>
      <c r="B1478" t="str">
        <f>"1552374417472016"</f>
        <v>1552374417472016</v>
      </c>
      <c r="C1478" t="s">
        <v>40</v>
      </c>
      <c r="D1478">
        <v>4.2946070000000001</v>
      </c>
      <c r="E1478">
        <v>0.52556369999999997</v>
      </c>
      <c r="F1478" t="s">
        <v>47</v>
      </c>
      <c r="G1478">
        <v>-169.2955</v>
      </c>
      <c r="H1478">
        <v>0.75724789999999997</v>
      </c>
      <c r="I1478">
        <v>355.72019999999998</v>
      </c>
      <c r="J1478">
        <v>-269.6687</v>
      </c>
      <c r="K1478">
        <v>1.1104750000000001</v>
      </c>
      <c r="L1478">
        <v>367.22239999999999</v>
      </c>
      <c r="M1478">
        <v>0.99990710000000005</v>
      </c>
      <c r="N1478">
        <v>0</v>
      </c>
      <c r="O1478">
        <v>1.490814E-3</v>
      </c>
      <c r="P1478">
        <v>0.99702360000000001</v>
      </c>
      <c r="Q1478">
        <v>6.243046E-2</v>
      </c>
      <c r="R1478">
        <v>-4.5241360000000001E-2</v>
      </c>
      <c r="S1478">
        <v>2.994049</v>
      </c>
      <c r="T1478">
        <v>-1.051962E-2</v>
      </c>
      <c r="U1478">
        <v>-0.34265139999999999</v>
      </c>
      <c r="V1478">
        <v>4.6725799999999998E-2</v>
      </c>
      <c r="W1478">
        <v>7.5934050000000003E-2</v>
      </c>
      <c r="X1478">
        <v>0.9960175</v>
      </c>
      <c r="Y1478">
        <v>0.1151824</v>
      </c>
      <c r="Z1478">
        <v>-2.069099E-4</v>
      </c>
      <c r="AA1478">
        <v>0.99334429999999996</v>
      </c>
      <c r="AB1478">
        <v>25</v>
      </c>
      <c r="AC1478">
        <v>100.3732</v>
      </c>
      <c r="AD1478">
        <v>-0.35322710000000002</v>
      </c>
      <c r="AE1478">
        <v>-11.5022</v>
      </c>
      <c r="AF1478">
        <v>11.651696295669201</v>
      </c>
      <c r="AG1478">
        <v>-0.35322710000000002</v>
      </c>
      <c r="AH1478">
        <v>100.35471250678999</v>
      </c>
      <c r="AI1478">
        <v>90.200322361124904</v>
      </c>
      <c r="AJ1478">
        <v>83.377319008398999</v>
      </c>
      <c r="AK1478">
        <v>101.029476482218</v>
      </c>
      <c r="AL1478">
        <v>85.645107825964502</v>
      </c>
      <c r="AM1478">
        <v>87.31407355703</v>
      </c>
      <c r="AN1478">
        <v>1.00000007032064</v>
      </c>
    </row>
    <row r="1479" spans="1:40" x14ac:dyDescent="0.25">
      <c r="A1479" t="str">
        <f>"20190312150657494"</f>
        <v>20190312150657494</v>
      </c>
      <c r="B1479" t="str">
        <f>"1552374417491536"</f>
        <v>1552374417491536</v>
      </c>
      <c r="C1479" t="s">
        <v>40</v>
      </c>
      <c r="D1479">
        <v>4.295947</v>
      </c>
      <c r="E1479">
        <v>0.52616240000000003</v>
      </c>
      <c r="F1479" t="s">
        <v>47</v>
      </c>
      <c r="G1479">
        <v>-169.2955</v>
      </c>
      <c r="H1479">
        <v>0.79472159999999903</v>
      </c>
      <c r="I1479">
        <v>355.63319999999999</v>
      </c>
      <c r="J1479">
        <v>-269.55079999999998</v>
      </c>
      <c r="K1479">
        <v>1.11049</v>
      </c>
      <c r="L1479">
        <v>367.2226</v>
      </c>
      <c r="M1479">
        <v>0.99990679999999998</v>
      </c>
      <c r="N1479">
        <v>0</v>
      </c>
      <c r="O1479">
        <v>1.5088689999999999E-3</v>
      </c>
      <c r="P1479">
        <v>0.99699839999999995</v>
      </c>
      <c r="Q1479">
        <v>6.2766719999999998E-2</v>
      </c>
      <c r="R1479">
        <v>-4.5329220000000003E-2</v>
      </c>
      <c r="S1479">
        <v>2.9938349999999998</v>
      </c>
      <c r="T1479">
        <v>-9.4153880000000002E-3</v>
      </c>
      <c r="U1479">
        <v>-0.345672599999999</v>
      </c>
      <c r="V1479">
        <v>4.6831619999999997E-2</v>
      </c>
      <c r="W1479">
        <v>7.6288239999999993E-2</v>
      </c>
      <c r="X1479">
        <v>0.99598540000000002</v>
      </c>
      <c r="Y1479">
        <v>0.1161978</v>
      </c>
      <c r="Z1479">
        <v>-1.8684140000000001E-4</v>
      </c>
      <c r="AA1479">
        <v>0.9932261</v>
      </c>
      <c r="AB1479">
        <v>25</v>
      </c>
      <c r="AC1479">
        <v>100.255299999999</v>
      </c>
      <c r="AD1479">
        <v>-0.3157684</v>
      </c>
      <c r="AE1479">
        <v>-11.589399999999999</v>
      </c>
      <c r="AF1479">
        <v>11.740557913324</v>
      </c>
      <c r="AG1479">
        <v>-0.3157684</v>
      </c>
      <c r="AH1479">
        <v>100.23671609693299</v>
      </c>
      <c r="AI1479">
        <v>90.179268609245995</v>
      </c>
      <c r="AJ1479">
        <v>83.319480883215405</v>
      </c>
      <c r="AK1479">
        <v>100.92244380560599</v>
      </c>
      <c r="AL1479">
        <v>85.624754919772002</v>
      </c>
      <c r="AM1479">
        <v>87.307913038822207</v>
      </c>
      <c r="AN1479">
        <v>1.0000000066036401</v>
      </c>
    </row>
    <row r="1480" spans="1:40" x14ac:dyDescent="0.25">
      <c r="A1480" t="str">
        <f>"20190312150657506"</f>
        <v>20190312150657506</v>
      </c>
      <c r="B1480" t="str">
        <f>"1552374417501296"</f>
        <v>1552374417501296</v>
      </c>
      <c r="C1480" t="s">
        <v>40</v>
      </c>
      <c r="D1480">
        <v>4.287102</v>
      </c>
      <c r="E1480">
        <v>0.52642840000000002</v>
      </c>
      <c r="F1480" t="s">
        <v>47</v>
      </c>
      <c r="G1480">
        <v>-169.2955</v>
      </c>
      <c r="H1480">
        <v>0.76598739999999998</v>
      </c>
      <c r="I1480">
        <v>355.46769999999998</v>
      </c>
      <c r="J1480">
        <v>-269.42669999999998</v>
      </c>
      <c r="K1480">
        <v>1.1105050000000001</v>
      </c>
      <c r="L1480">
        <v>367.22280000000001</v>
      </c>
      <c r="M1480">
        <v>0.99990670000000004</v>
      </c>
      <c r="N1480">
        <v>0</v>
      </c>
      <c r="O1480">
        <v>1.527814E-3</v>
      </c>
      <c r="P1480">
        <v>0.99696070000000003</v>
      </c>
      <c r="Q1480">
        <v>6.3259839999999998E-2</v>
      </c>
      <c r="R1480">
        <v>-4.5475969999999998E-2</v>
      </c>
      <c r="S1480">
        <v>2.9937130000000001</v>
      </c>
      <c r="T1480">
        <v>-1.028454E-2</v>
      </c>
      <c r="U1480">
        <v>-0.35101320000000003</v>
      </c>
      <c r="V1480">
        <v>4.699714E-2</v>
      </c>
      <c r="W1480">
        <v>7.6799829999999999E-2</v>
      </c>
      <c r="X1480">
        <v>0.99593830000000005</v>
      </c>
      <c r="Y1480">
        <v>0.11796909999999999</v>
      </c>
      <c r="Z1480">
        <v>-2.071733E-4</v>
      </c>
      <c r="AA1480">
        <v>0.99301729999999999</v>
      </c>
      <c r="AB1480">
        <v>25</v>
      </c>
      <c r="AC1480">
        <v>100.131199999999</v>
      </c>
      <c r="AD1480">
        <v>-0.34451759999999898</v>
      </c>
      <c r="AE1480">
        <v>-11.755100000000001</v>
      </c>
      <c r="AF1480">
        <v>11.9079431714857</v>
      </c>
      <c r="AG1480">
        <v>-0.34451759999999898</v>
      </c>
      <c r="AH1480">
        <v>100.11195282422101</v>
      </c>
      <c r="AI1480">
        <v>90.195792344511005</v>
      </c>
      <c r="AJ1480">
        <v>83.216751331951301</v>
      </c>
      <c r="AK1480">
        <v>100.81825678532201</v>
      </c>
      <c r="AL1480">
        <v>85.595356787979796</v>
      </c>
      <c r="AM1480">
        <v>87.298284720346402</v>
      </c>
      <c r="AN1480">
        <v>1.0000000212315401</v>
      </c>
    </row>
    <row r="1481" spans="1:40" x14ac:dyDescent="0.25">
      <c r="A1481" t="str">
        <f>"20190312150657516"</f>
        <v>20190312150657516</v>
      </c>
      <c r="B1481" t="str">
        <f>"1552374417512032"</f>
        <v>1552374417512032</v>
      </c>
      <c r="C1481" t="s">
        <v>40</v>
      </c>
      <c r="D1481">
        <v>4.338565</v>
      </c>
      <c r="E1481">
        <v>0.52668139999999997</v>
      </c>
      <c r="F1481" t="s">
        <v>47</v>
      </c>
      <c r="G1481">
        <v>-169.2955</v>
      </c>
      <c r="H1481">
        <v>0.79291919999999905</v>
      </c>
      <c r="I1481">
        <v>355.39339999999999</v>
      </c>
      <c r="J1481">
        <v>-269.30020000000002</v>
      </c>
      <c r="K1481">
        <v>1.1105179999999999</v>
      </c>
      <c r="L1481">
        <v>367.22309999999999</v>
      </c>
      <c r="M1481">
        <v>0.99990639999999997</v>
      </c>
      <c r="N1481">
        <v>0</v>
      </c>
      <c r="O1481">
        <v>1.5467129999999999E-3</v>
      </c>
      <c r="P1481">
        <v>0.99692899999999995</v>
      </c>
      <c r="Q1481">
        <v>6.3719429999999994E-2</v>
      </c>
      <c r="R1481">
        <v>-4.5522269999999997E-2</v>
      </c>
      <c r="S1481">
        <v>2.993652</v>
      </c>
      <c r="T1481">
        <v>-9.4922779999999998E-3</v>
      </c>
      <c r="U1481">
        <v>-0.35366819999999999</v>
      </c>
      <c r="V1481">
        <v>4.7062369999999999E-2</v>
      </c>
      <c r="W1481">
        <v>7.7275720000000006E-2</v>
      </c>
      <c r="X1481">
        <v>0.99589839999999996</v>
      </c>
      <c r="Y1481">
        <v>0.1188589</v>
      </c>
      <c r="Z1481">
        <v>-1.9267350000000001E-4</v>
      </c>
      <c r="AA1481">
        <v>0.99291119999999999</v>
      </c>
      <c r="AB1481">
        <v>25</v>
      </c>
      <c r="AC1481">
        <v>100.0047</v>
      </c>
      <c r="AD1481">
        <v>-0.31759880000000001</v>
      </c>
      <c r="AE1481">
        <v>-11.829700000000001</v>
      </c>
      <c r="AF1481">
        <v>11.984259506256301</v>
      </c>
      <c r="AG1481">
        <v>-0.31759880000000001</v>
      </c>
      <c r="AH1481">
        <v>99.985286984041295</v>
      </c>
      <c r="AI1481">
        <v>90.180703474968794</v>
      </c>
      <c r="AJ1481">
        <v>83.165121260812199</v>
      </c>
      <c r="AK1481">
        <v>100.70144466785</v>
      </c>
      <c r="AL1481">
        <v>85.568008992005502</v>
      </c>
      <c r="AM1481">
        <v>87.294432192479206</v>
      </c>
      <c r="AN1481">
        <v>1.0000000133470399</v>
      </c>
    </row>
    <row r="1482" spans="1:40" x14ac:dyDescent="0.25">
      <c r="A1482" t="str">
        <f>"20190312150657528"</f>
        <v>20190312150657528</v>
      </c>
      <c r="B1482" t="str">
        <f>"1552374417521792"</f>
        <v>1552374417521792</v>
      </c>
      <c r="C1482" t="s">
        <v>40</v>
      </c>
      <c r="D1482">
        <v>4.4961880000000001</v>
      </c>
      <c r="E1482">
        <v>0.52695879999999995</v>
      </c>
      <c r="F1482" t="s">
        <v>47</v>
      </c>
      <c r="G1482">
        <v>-169.2955</v>
      </c>
      <c r="H1482">
        <v>0.81125550000000002</v>
      </c>
      <c r="I1482">
        <v>355.33980000000003</v>
      </c>
      <c r="J1482">
        <v>-269.17200000000003</v>
      </c>
      <c r="K1482">
        <v>1.11053</v>
      </c>
      <c r="L1482">
        <v>367.22329999999999</v>
      </c>
      <c r="M1482">
        <v>0.99990619999999997</v>
      </c>
      <c r="N1482">
        <v>0</v>
      </c>
      <c r="O1482">
        <v>1.5659739999999999E-3</v>
      </c>
      <c r="P1482">
        <v>0.99689490000000003</v>
      </c>
      <c r="Q1482">
        <v>6.4061610000000005E-2</v>
      </c>
      <c r="R1482">
        <v>-4.5792689999999997E-2</v>
      </c>
      <c r="S1482">
        <v>2.9935299999999998</v>
      </c>
      <c r="T1482">
        <v>-8.9554790000000006E-3</v>
      </c>
      <c r="U1482">
        <v>-0.3557129</v>
      </c>
      <c r="V1482">
        <v>4.7351999999999998E-2</v>
      </c>
      <c r="W1482">
        <v>7.7634170000000002E-2</v>
      </c>
      <c r="X1482">
        <v>0.99585679999999999</v>
      </c>
      <c r="Y1482">
        <v>0.11955159999999999</v>
      </c>
      <c r="Z1482">
        <v>-1.8286760000000001E-4</v>
      </c>
      <c r="AA1482">
        <v>0.99282800000000004</v>
      </c>
      <c r="AB1482">
        <v>25</v>
      </c>
      <c r="AC1482">
        <v>99.876499999999993</v>
      </c>
      <c r="AD1482">
        <v>-0.2992745</v>
      </c>
      <c r="AE1482">
        <v>-11.8834999999999</v>
      </c>
      <c r="AF1482">
        <v>12.039797316382799</v>
      </c>
      <c r="AG1482">
        <v>-0.2992745</v>
      </c>
      <c r="AH1482">
        <v>99.856882471898501</v>
      </c>
      <c r="AI1482">
        <v>90.170482208225494</v>
      </c>
      <c r="AJ1482">
        <v>83.125003802270498</v>
      </c>
      <c r="AK1482">
        <v>100.58053122574201</v>
      </c>
      <c r="AL1482">
        <v>85.547409470865105</v>
      </c>
      <c r="AM1482">
        <v>87.277693084199001</v>
      </c>
      <c r="AN1482">
        <v>1.0000000211809099</v>
      </c>
    </row>
    <row r="1483" spans="1:40" x14ac:dyDescent="0.25">
      <c r="A1483" t="str">
        <f>"20190312150657539"</f>
        <v>20190312150657539</v>
      </c>
      <c r="B1483" t="str">
        <f>"1552374417531552"</f>
        <v>1552374417531552</v>
      </c>
      <c r="C1483" t="s">
        <v>40</v>
      </c>
      <c r="D1483">
        <v>4.2662009999999997</v>
      </c>
      <c r="E1483">
        <v>0.52719859999999996</v>
      </c>
      <c r="F1483" t="s">
        <v>47</v>
      </c>
      <c r="G1483">
        <v>-169.2955</v>
      </c>
      <c r="H1483">
        <v>0.84640689999999996</v>
      </c>
      <c r="I1483">
        <v>355.25490000000002</v>
      </c>
      <c r="J1483">
        <v>-269.04680000000002</v>
      </c>
      <c r="K1483">
        <v>1.1105430000000001</v>
      </c>
      <c r="L1483">
        <v>367.2235</v>
      </c>
      <c r="M1483">
        <v>0.99990579999999996</v>
      </c>
      <c r="N1483">
        <v>0</v>
      </c>
      <c r="O1483">
        <v>1.5849449999999999E-3</v>
      </c>
      <c r="P1483">
        <v>0.99686070000000004</v>
      </c>
      <c r="Q1483">
        <v>6.4478789999999994E-2</v>
      </c>
      <c r="R1483">
        <v>-4.594852E-2</v>
      </c>
      <c r="S1483">
        <v>2.9933779999999999</v>
      </c>
      <c r="T1483">
        <v>-7.9133509999999904E-3</v>
      </c>
      <c r="U1483">
        <v>-0.35870360000000001</v>
      </c>
      <c r="V1483">
        <v>4.7526520000000003E-2</v>
      </c>
      <c r="W1483">
        <v>7.8065339999999997E-2</v>
      </c>
      <c r="X1483">
        <v>0.99581470000000005</v>
      </c>
      <c r="Y1483">
        <v>0.12055440000000001</v>
      </c>
      <c r="Z1483">
        <v>-1.629573E-4</v>
      </c>
      <c r="AA1483">
        <v>0.99270670000000005</v>
      </c>
      <c r="AB1483">
        <v>25</v>
      </c>
      <c r="AC1483">
        <v>99.751300000000001</v>
      </c>
      <c r="AD1483">
        <v>-0.26413609999999998</v>
      </c>
      <c r="AE1483">
        <v>-11.968599999999901</v>
      </c>
      <c r="AF1483">
        <v>12.126616163802201</v>
      </c>
      <c r="AG1483">
        <v>-0.26413609999999998</v>
      </c>
      <c r="AH1483">
        <v>99.731513995095199</v>
      </c>
      <c r="AI1483">
        <v>90.150636428951898</v>
      </c>
      <c r="AJ1483">
        <v>83.067288508466405</v>
      </c>
      <c r="AK1483">
        <v>100.46640966620301</v>
      </c>
      <c r="AL1483">
        <v>85.522629692019606</v>
      </c>
      <c r="AM1483">
        <v>87.267559617824205</v>
      </c>
      <c r="AN1483">
        <v>0.99999994207435605</v>
      </c>
    </row>
    <row r="1484" spans="1:40" x14ac:dyDescent="0.25">
      <c r="A1484" t="str">
        <f>"20190312150657550"</f>
        <v>20190312150657550</v>
      </c>
      <c r="B1484" t="str">
        <f>"1552374417541312"</f>
        <v>1552374417541312</v>
      </c>
      <c r="C1484" t="s">
        <v>40</v>
      </c>
      <c r="D1484">
        <v>4.3581709999999996</v>
      </c>
      <c r="E1484">
        <v>0.52745159999999902</v>
      </c>
      <c r="F1484" t="s">
        <v>47</v>
      </c>
      <c r="G1484">
        <v>-169.2955</v>
      </c>
      <c r="H1484">
        <v>0.88952160000000002</v>
      </c>
      <c r="I1484">
        <v>355.18520000000001</v>
      </c>
      <c r="J1484">
        <v>-268.93340000000001</v>
      </c>
      <c r="K1484">
        <v>1.110554</v>
      </c>
      <c r="L1484">
        <v>367.22370000000001</v>
      </c>
      <c r="M1484">
        <v>0.99990579999999996</v>
      </c>
      <c r="N1484">
        <v>0</v>
      </c>
      <c r="O1484">
        <v>1.6022040000000001E-3</v>
      </c>
      <c r="P1484">
        <v>0.9968283</v>
      </c>
      <c r="Q1484">
        <v>6.4724069999999995E-2</v>
      </c>
      <c r="R1484">
        <v>-4.630952E-2</v>
      </c>
      <c r="S1484">
        <v>2.9932560000000001</v>
      </c>
      <c r="T1484">
        <v>-6.6295859999999998E-3</v>
      </c>
      <c r="U1484">
        <v>-0.36123660000000002</v>
      </c>
      <c r="V1484">
        <v>4.7904660000000002E-2</v>
      </c>
      <c r="W1484">
        <v>7.8322050000000004E-2</v>
      </c>
      <c r="X1484">
        <v>0.99577649999999995</v>
      </c>
      <c r="Y1484">
        <v>0.1214045</v>
      </c>
      <c r="Z1484">
        <v>-1.3749589999999999E-4</v>
      </c>
      <c r="AA1484">
        <v>0.99260309999999896</v>
      </c>
      <c r="AB1484">
        <v>25</v>
      </c>
      <c r="AC1484">
        <v>99.637900000000002</v>
      </c>
      <c r="AD1484">
        <v>-0.22103239999999999</v>
      </c>
      <c r="AE1484">
        <v>-12.038500000000001</v>
      </c>
      <c r="AF1484">
        <v>12.198080457490301</v>
      </c>
      <c r="AG1484">
        <v>-0.22103239999999999</v>
      </c>
      <c r="AH1484">
        <v>99.617998985523499</v>
      </c>
      <c r="AI1484">
        <v>90.126185192092805</v>
      </c>
      <c r="AJ1484">
        <v>83.018966317616801</v>
      </c>
      <c r="AK1484">
        <v>100.362282477278</v>
      </c>
      <c r="AL1484">
        <v>85.507876464945696</v>
      </c>
      <c r="AM1484">
        <v>87.245747079368201</v>
      </c>
      <c r="AN1484">
        <v>1.0000000189590801</v>
      </c>
    </row>
    <row r="1485" spans="1:40" x14ac:dyDescent="0.25">
      <c r="A1485" t="str">
        <f>"20190312150657560"</f>
        <v>20190312150657560</v>
      </c>
      <c r="B1485" t="str">
        <f>"1552374417552048"</f>
        <v>1552374417552048</v>
      </c>
      <c r="C1485" t="s">
        <v>40</v>
      </c>
      <c r="D1485">
        <v>4.2372719999999999</v>
      </c>
      <c r="E1485">
        <v>0.5277115</v>
      </c>
      <c r="F1485" t="s">
        <v>47</v>
      </c>
      <c r="G1485">
        <v>-169.2955</v>
      </c>
      <c r="H1485">
        <v>0.90379620000000005</v>
      </c>
      <c r="I1485">
        <v>355.10169999999999</v>
      </c>
      <c r="J1485">
        <v>-268.81319999999999</v>
      </c>
      <c r="K1485">
        <v>1.1105640000000001</v>
      </c>
      <c r="L1485">
        <v>367.22390000000001</v>
      </c>
      <c r="M1485">
        <v>0.99990540000000006</v>
      </c>
      <c r="N1485">
        <v>0</v>
      </c>
      <c r="O1485">
        <v>1.6206529999999999E-3</v>
      </c>
      <c r="P1485">
        <v>0.99679870000000004</v>
      </c>
      <c r="Q1485">
        <v>6.5068860000000006E-2</v>
      </c>
      <c r="R1485">
        <v>-4.6461519999999999E-2</v>
      </c>
      <c r="S1485">
        <v>2.993042</v>
      </c>
      <c r="T1485">
        <v>-6.2081810000000001E-3</v>
      </c>
      <c r="U1485">
        <v>-0.36413570000000001</v>
      </c>
      <c r="V1485">
        <v>4.8075010000000001E-2</v>
      </c>
      <c r="W1485">
        <v>7.8679040000000006E-2</v>
      </c>
      <c r="X1485">
        <v>0.99574010000000002</v>
      </c>
      <c r="Y1485">
        <v>0.1223788</v>
      </c>
      <c r="Z1485">
        <v>-1.298026E-4</v>
      </c>
      <c r="AA1485">
        <v>0.99248340000000002</v>
      </c>
      <c r="AB1485">
        <v>25</v>
      </c>
      <c r="AC1485">
        <v>99.517700000000005</v>
      </c>
      <c r="AD1485">
        <v>-0.206767799999999</v>
      </c>
      <c r="AE1485">
        <v>-12.122199999999999</v>
      </c>
      <c r="AF1485">
        <v>12.283430533269801</v>
      </c>
      <c r="AG1485">
        <v>-0.206767799999999</v>
      </c>
      <c r="AH1485">
        <v>99.497498336207698</v>
      </c>
      <c r="AI1485">
        <v>90.118170255970895</v>
      </c>
      <c r="AJ1485">
        <v>82.962179051602902</v>
      </c>
      <c r="AK1485">
        <v>100.25306775232499</v>
      </c>
      <c r="AL1485">
        <v>85.487358919017197</v>
      </c>
      <c r="AM1485">
        <v>87.235867174013904</v>
      </c>
      <c r="AN1485">
        <v>0.999999972334915</v>
      </c>
    </row>
    <row r="1486" spans="1:40" x14ac:dyDescent="0.25">
      <c r="A1486" t="str">
        <f>"20190312150657571"</f>
        <v>20190312150657571</v>
      </c>
      <c r="B1486" t="str">
        <f>"1552374417561809"</f>
        <v>1552374417561809</v>
      </c>
      <c r="C1486" t="s">
        <v>40</v>
      </c>
      <c r="D1486">
        <v>4.3589840000000004</v>
      </c>
      <c r="E1486">
        <v>0.52794770000000002</v>
      </c>
      <c r="F1486" t="s">
        <v>47</v>
      </c>
      <c r="G1486">
        <v>-169.2955</v>
      </c>
      <c r="H1486">
        <v>0.93037320000000001</v>
      </c>
      <c r="I1486">
        <v>355.02760000000001</v>
      </c>
      <c r="J1486">
        <v>-268.69499999999999</v>
      </c>
      <c r="K1486">
        <v>1.110573</v>
      </c>
      <c r="L1486">
        <v>367.22410000000002</v>
      </c>
      <c r="M1486">
        <v>0.99990520000000005</v>
      </c>
      <c r="N1486">
        <v>0</v>
      </c>
      <c r="O1486">
        <v>1.638577E-3</v>
      </c>
      <c r="P1486">
        <v>0.99678979999999995</v>
      </c>
      <c r="Q1486">
        <v>6.5234940000000005E-2</v>
      </c>
      <c r="R1486">
        <v>-4.6418019999999997E-2</v>
      </c>
      <c r="S1486">
        <v>2.9928889999999999</v>
      </c>
      <c r="T1486">
        <v>-5.4163930000000002E-3</v>
      </c>
      <c r="U1486">
        <v>-0.36679079999999997</v>
      </c>
      <c r="V1486">
        <v>4.8049380000000003E-2</v>
      </c>
      <c r="W1486">
        <v>7.8855880000000003E-2</v>
      </c>
      <c r="X1486">
        <v>0.99572740000000004</v>
      </c>
      <c r="Y1486">
        <v>0.1232702</v>
      </c>
      <c r="Z1486">
        <v>-1.1408330000000001E-4</v>
      </c>
      <c r="AA1486">
        <v>0.99237319999999996</v>
      </c>
      <c r="AB1486">
        <v>25</v>
      </c>
      <c r="AC1486">
        <v>99.399500000000003</v>
      </c>
      <c r="AD1486">
        <v>-0.18019979999999999</v>
      </c>
      <c r="AE1486">
        <v>-12.1965</v>
      </c>
      <c r="AF1486">
        <v>12.3593325641421</v>
      </c>
      <c r="AG1486">
        <v>-0.18019979999999999</v>
      </c>
      <c r="AH1486">
        <v>99.379057992358199</v>
      </c>
      <c r="AI1486">
        <v>90.103097641291598</v>
      </c>
      <c r="AJ1486">
        <v>82.910777726690597</v>
      </c>
      <c r="AK1486">
        <v>100.144808856213</v>
      </c>
      <c r="AL1486">
        <v>85.477195388222597</v>
      </c>
      <c r="AM1486">
        <v>87.237303337554707</v>
      </c>
      <c r="AN1486">
        <v>1.0000000239198501</v>
      </c>
    </row>
    <row r="1487" spans="1:40" x14ac:dyDescent="0.25">
      <c r="A1487" t="str">
        <f>"20190312150657582"</f>
        <v>20190312150657582</v>
      </c>
      <c r="B1487" t="str">
        <f>"1552374417571568"</f>
        <v>1552374417571568</v>
      </c>
      <c r="C1487" t="s">
        <v>40</v>
      </c>
      <c r="D1487">
        <v>4.3406060000000002</v>
      </c>
      <c r="E1487">
        <v>0.52816919999999901</v>
      </c>
      <c r="F1487" t="s">
        <v>47</v>
      </c>
      <c r="G1487">
        <v>-169.2955</v>
      </c>
      <c r="H1487">
        <v>0.94134240000000002</v>
      </c>
      <c r="I1487">
        <v>354.99239999999998</v>
      </c>
      <c r="J1487">
        <v>-268.57909999999998</v>
      </c>
      <c r="K1487">
        <v>1.110581</v>
      </c>
      <c r="L1487">
        <v>367.22430000000003</v>
      </c>
      <c r="M1487">
        <v>0.99990500000000004</v>
      </c>
      <c r="N1487">
        <v>0</v>
      </c>
      <c r="O1487">
        <v>1.6558510000000001E-3</v>
      </c>
      <c r="P1487">
        <v>0.99675480000000005</v>
      </c>
      <c r="Q1487">
        <v>6.5516870000000005E-2</v>
      </c>
      <c r="R1487">
        <v>-4.676918E-2</v>
      </c>
      <c r="S1487">
        <v>2.9928279999999998</v>
      </c>
      <c r="T1487">
        <v>-5.0927400000000001E-3</v>
      </c>
      <c r="U1487">
        <v>-0.36828610000000001</v>
      </c>
      <c r="V1487">
        <v>4.841765E-2</v>
      </c>
      <c r="W1487">
        <v>7.9147750000000003E-2</v>
      </c>
      <c r="X1487">
        <v>0.99568639999999997</v>
      </c>
      <c r="Y1487">
        <v>0.1237782</v>
      </c>
      <c r="Z1487">
        <v>-1.077251E-4</v>
      </c>
      <c r="AA1487">
        <v>0.99230989999999997</v>
      </c>
      <c r="AB1487">
        <v>25</v>
      </c>
      <c r="AC1487">
        <v>99.283599999999893</v>
      </c>
      <c r="AD1487">
        <v>-0.16923859999999899</v>
      </c>
      <c r="AE1487">
        <v>-12.2319</v>
      </c>
      <c r="AF1487">
        <v>12.396261989459701</v>
      </c>
      <c r="AG1487">
        <v>-0.16923859999999899</v>
      </c>
      <c r="AH1487">
        <v>99.262923652777502</v>
      </c>
      <c r="AI1487">
        <v>90.0969335534447</v>
      </c>
      <c r="AJ1487">
        <v>82.881578368809599</v>
      </c>
      <c r="AK1487">
        <v>100.03411400673301</v>
      </c>
      <c r="AL1487">
        <v>85.460420024986703</v>
      </c>
      <c r="AM1487">
        <v>87.216047637045406</v>
      </c>
      <c r="AN1487">
        <v>1.00000002115327</v>
      </c>
    </row>
    <row r="1488" spans="1:40" x14ac:dyDescent="0.25">
      <c r="A1488" t="str">
        <f>"20190312150657594"</f>
        <v>20190312150657594</v>
      </c>
      <c r="B1488" t="str">
        <f>"1552374417581327"</f>
        <v>1552374417581327</v>
      </c>
      <c r="C1488" t="s">
        <v>40</v>
      </c>
      <c r="D1488">
        <v>4.2832520000000001</v>
      </c>
      <c r="E1488">
        <v>0.52839449999999999</v>
      </c>
      <c r="F1488" t="s">
        <v>47</v>
      </c>
      <c r="G1488">
        <v>-169.2955</v>
      </c>
      <c r="H1488">
        <v>0.96782880000000004</v>
      </c>
      <c r="I1488">
        <v>354.90800000000002</v>
      </c>
      <c r="J1488">
        <v>-268.45339999999999</v>
      </c>
      <c r="K1488">
        <v>1.110587</v>
      </c>
      <c r="L1488">
        <v>367.22449999999998</v>
      </c>
      <c r="M1488">
        <v>0.99990489999999999</v>
      </c>
      <c r="N1488">
        <v>0</v>
      </c>
      <c r="O1488">
        <v>1.6747939999999901E-3</v>
      </c>
      <c r="P1488">
        <v>0.99675619999999998</v>
      </c>
      <c r="Q1488">
        <v>6.5402299999999997E-2</v>
      </c>
      <c r="R1488">
        <v>-4.6902039999999999E-2</v>
      </c>
      <c r="S1488">
        <v>2.9926759999999999</v>
      </c>
      <c r="T1488">
        <v>-4.3002370000000002E-3</v>
      </c>
      <c r="U1488">
        <v>-0.37124629999999997</v>
      </c>
      <c r="V1488">
        <v>4.856941E-2</v>
      </c>
      <c r="W1488">
        <v>7.9043169999999996E-2</v>
      </c>
      <c r="X1488">
        <v>0.99568730000000005</v>
      </c>
      <c r="Y1488">
        <v>0.1247699</v>
      </c>
      <c r="Z1488" s="1">
        <v>-9.169758E-5</v>
      </c>
      <c r="AA1488">
        <v>0.99218569999999995</v>
      </c>
      <c r="AB1488">
        <v>25</v>
      </c>
      <c r="AC1488">
        <v>99.157899999999898</v>
      </c>
      <c r="AD1488">
        <v>-0.142758199999999</v>
      </c>
      <c r="AE1488">
        <v>-12.3164999999999</v>
      </c>
      <c r="AF1488">
        <v>12.4825418608236</v>
      </c>
      <c r="AG1488">
        <v>-0.142758199999999</v>
      </c>
      <c r="AH1488">
        <v>99.136929010688206</v>
      </c>
      <c r="AI1488">
        <v>90.081860109317603</v>
      </c>
      <c r="AJ1488">
        <v>82.8235322785888</v>
      </c>
      <c r="AK1488">
        <v>99.919792458156707</v>
      </c>
      <c r="AL1488">
        <v>85.466430775033203</v>
      </c>
      <c r="AM1488">
        <v>87.207337945446696</v>
      </c>
      <c r="AN1488">
        <v>1.00000000484634</v>
      </c>
    </row>
    <row r="1489" spans="1:40" x14ac:dyDescent="0.25">
      <c r="A1489" t="str">
        <f>"20190312150657606"</f>
        <v>20190312150657606</v>
      </c>
      <c r="B1489" t="str">
        <f>"1552374417601825"</f>
        <v>1552374417601825</v>
      </c>
      <c r="C1489" t="s">
        <v>40</v>
      </c>
      <c r="D1489">
        <v>4.2689870000000001</v>
      </c>
      <c r="E1489">
        <v>0.52883269999999905</v>
      </c>
      <c r="F1489" t="s">
        <v>47</v>
      </c>
      <c r="G1489">
        <v>-169.2955</v>
      </c>
      <c r="H1489">
        <v>0.96040630000000005</v>
      </c>
      <c r="I1489">
        <v>354.84840000000003</v>
      </c>
      <c r="J1489">
        <v>-268.3152</v>
      </c>
      <c r="K1489">
        <v>1.110595</v>
      </c>
      <c r="L1489">
        <v>367.22480000000002</v>
      </c>
      <c r="M1489">
        <v>0.99990480000000004</v>
      </c>
      <c r="N1489">
        <v>0</v>
      </c>
      <c r="O1489">
        <v>1.69582E-3</v>
      </c>
      <c r="P1489">
        <v>0.99672660000000002</v>
      </c>
      <c r="Q1489">
        <v>6.5775449999999999E-2</v>
      </c>
      <c r="R1489">
        <v>-4.7008969999999997E-2</v>
      </c>
      <c r="S1489">
        <v>2.9925229999999998</v>
      </c>
      <c r="T1489">
        <v>-4.5297150000000001E-3</v>
      </c>
      <c r="U1489">
        <v>-0.37350460000000002</v>
      </c>
      <c r="V1489">
        <v>4.8697150000000002E-2</v>
      </c>
      <c r="W1489">
        <v>7.9426769999999994E-2</v>
      </c>
      <c r="X1489">
        <v>0.99565049999999999</v>
      </c>
      <c r="Y1489">
        <v>0.12553429999999999</v>
      </c>
      <c r="Z1489" s="1">
        <v>-9.7199299999999996E-5</v>
      </c>
      <c r="AA1489">
        <v>0.99208929999999995</v>
      </c>
      <c r="AB1489">
        <v>25</v>
      </c>
      <c r="AC1489">
        <v>99.0197</v>
      </c>
      <c r="AD1489">
        <v>-0.15018869999999901</v>
      </c>
      <c r="AE1489">
        <v>-12.376399999999901</v>
      </c>
      <c r="AF1489">
        <v>12.5442891193563</v>
      </c>
      <c r="AG1489">
        <v>-0.15018869999999901</v>
      </c>
      <c r="AH1489">
        <v>98.9983432305918</v>
      </c>
      <c r="AI1489">
        <v>90.086232866396102</v>
      </c>
      <c r="AJ1489">
        <v>82.778416501532504</v>
      </c>
      <c r="AK1489">
        <v>99.790048143878906</v>
      </c>
      <c r="AL1489">
        <v>85.4443826407161</v>
      </c>
      <c r="AM1489">
        <v>87.199901451075903</v>
      </c>
      <c r="AN1489">
        <v>0.99999997118050199</v>
      </c>
    </row>
    <row r="1490" spans="1:40" x14ac:dyDescent="0.25">
      <c r="A1490" t="str">
        <f>"20190312150657619"</f>
        <v>20190312150657619</v>
      </c>
      <c r="B1490" t="str">
        <f>"1552374417611584"</f>
        <v>1552374417611584</v>
      </c>
      <c r="C1490" t="s">
        <v>40</v>
      </c>
      <c r="D1490">
        <v>4.3416800000000002</v>
      </c>
      <c r="E1490">
        <v>0.52905630000000003</v>
      </c>
      <c r="F1490" t="s">
        <v>47</v>
      </c>
      <c r="G1490">
        <v>-169.2955</v>
      </c>
      <c r="H1490">
        <v>0.92140670000000002</v>
      </c>
      <c r="I1490">
        <v>354.74849999999998</v>
      </c>
      <c r="J1490">
        <v>-268.16820000000001</v>
      </c>
      <c r="K1490">
        <v>1.1106020000000001</v>
      </c>
      <c r="L1490">
        <v>367.2251</v>
      </c>
      <c r="M1490">
        <v>0.99990440000000003</v>
      </c>
      <c r="N1490">
        <v>0</v>
      </c>
      <c r="O1490">
        <v>1.71828E-3</v>
      </c>
      <c r="P1490">
        <v>0.99668909999999999</v>
      </c>
      <c r="Q1490">
        <v>6.6105549999999999E-2</v>
      </c>
      <c r="R1490">
        <v>-4.7336910000000003E-2</v>
      </c>
      <c r="S1490">
        <v>2.9924620000000002</v>
      </c>
      <c r="T1490">
        <v>-5.7147739999999997E-3</v>
      </c>
      <c r="U1490">
        <v>-0.37704470000000001</v>
      </c>
      <c r="V1490">
        <v>4.9047430000000003E-2</v>
      </c>
      <c r="W1490">
        <v>7.9766149999999994E-2</v>
      </c>
      <c r="X1490">
        <v>0.9956062</v>
      </c>
      <c r="Y1490">
        <v>0.1267143</v>
      </c>
      <c r="Z1490">
        <v>-1.2378700000000001E-4</v>
      </c>
      <c r="AA1490">
        <v>0.99193920000000002</v>
      </c>
      <c r="AB1490">
        <v>25</v>
      </c>
      <c r="AC1490">
        <v>98.872699999999995</v>
      </c>
      <c r="AD1490">
        <v>-0.18919530000000001</v>
      </c>
      <c r="AE1490">
        <v>-12.476599999999999</v>
      </c>
      <c r="AF1490">
        <v>12.646442973140299</v>
      </c>
      <c r="AG1490">
        <v>-0.18919530000000001</v>
      </c>
      <c r="AH1490">
        <v>98.850757425732695</v>
      </c>
      <c r="AI1490">
        <v>90.108774504322</v>
      </c>
      <c r="AJ1490">
        <v>82.709484267704497</v>
      </c>
      <c r="AK1490">
        <v>99.656613219472206</v>
      </c>
      <c r="AL1490">
        <v>85.424875825834803</v>
      </c>
      <c r="AM1490">
        <v>87.179667378183595</v>
      </c>
      <c r="AN1490">
        <v>0.99999999727693301</v>
      </c>
    </row>
    <row r="1491" spans="1:40" x14ac:dyDescent="0.25">
      <c r="A1491" t="str">
        <f>"20190312150657635"</f>
        <v>20190312150657635</v>
      </c>
      <c r="B1491" t="str">
        <f>"1552374417621346"</f>
        <v>1552374417621346</v>
      </c>
      <c r="C1491" t="s">
        <v>40</v>
      </c>
      <c r="D1491">
        <v>4.3189729999999997</v>
      </c>
      <c r="E1491">
        <v>0.52926430000000002</v>
      </c>
      <c r="F1491" t="s">
        <v>47</v>
      </c>
      <c r="G1491">
        <v>-169.2955</v>
      </c>
      <c r="H1491">
        <v>0.92315769999999997</v>
      </c>
      <c r="I1491">
        <v>354.66860000000003</v>
      </c>
      <c r="J1491">
        <v>-268.00650000000002</v>
      </c>
      <c r="K1491">
        <v>1.1106119999999999</v>
      </c>
      <c r="L1491">
        <v>367.22539999999998</v>
      </c>
      <c r="M1491">
        <v>0.99990449999999997</v>
      </c>
      <c r="N1491">
        <v>0</v>
      </c>
      <c r="O1491">
        <v>1.742822E-3</v>
      </c>
      <c r="P1491">
        <v>0.9966294</v>
      </c>
      <c r="Q1491">
        <v>6.6615209999999994E-2</v>
      </c>
      <c r="R1491">
        <v>-4.7885539999999997E-2</v>
      </c>
      <c r="S1491">
        <v>2.9922490000000002</v>
      </c>
      <c r="T1491">
        <v>-5.6700709999999996E-3</v>
      </c>
      <c r="U1491">
        <v>-0.38000489999999998</v>
      </c>
      <c r="V1491">
        <v>4.9620490000000003E-2</v>
      </c>
      <c r="W1491">
        <v>8.0285190000000006E-2</v>
      </c>
      <c r="X1491">
        <v>0.99553610000000003</v>
      </c>
      <c r="Y1491">
        <v>0.1277132</v>
      </c>
      <c r="Z1491">
        <v>-1.2380870000000001E-4</v>
      </c>
      <c r="AA1491">
        <v>0.9918112</v>
      </c>
      <c r="AB1491">
        <v>25</v>
      </c>
      <c r="AC1491">
        <v>98.710999999999999</v>
      </c>
      <c r="AD1491">
        <v>-0.18745429999999999</v>
      </c>
      <c r="AE1491">
        <v>-12.5567999999999</v>
      </c>
      <c r="AF1491">
        <v>12.7287876256565</v>
      </c>
      <c r="AG1491">
        <v>-0.18745429999999999</v>
      </c>
      <c r="AH1491">
        <v>98.688613502094896</v>
      </c>
      <c r="AI1491">
        <v>90.107936370208193</v>
      </c>
      <c r="AJ1491">
        <v>82.650605620419796</v>
      </c>
      <c r="AK1491">
        <v>99.506279241561003</v>
      </c>
      <c r="AL1491">
        <v>85.395041423412806</v>
      </c>
      <c r="AM1491">
        <v>87.146568757882605</v>
      </c>
      <c r="AN1491">
        <v>1.00000001558219</v>
      </c>
    </row>
    <row r="1492" spans="1:40" x14ac:dyDescent="0.25">
      <c r="A1492" t="str">
        <f>"20190312150657647"</f>
        <v>20190312150657647</v>
      </c>
      <c r="B1492" t="str">
        <f>"1552374417641840"</f>
        <v>1552374417641840</v>
      </c>
      <c r="C1492" t="s">
        <v>40</v>
      </c>
      <c r="D1492">
        <v>4.3184469999999999</v>
      </c>
      <c r="E1492">
        <v>0.52966380000000002</v>
      </c>
      <c r="F1492" t="s">
        <v>47</v>
      </c>
      <c r="G1492">
        <v>-169.2955</v>
      </c>
      <c r="H1492">
        <v>0.94835659999999999</v>
      </c>
      <c r="I1492">
        <v>354.57069999999999</v>
      </c>
      <c r="J1492">
        <v>-267.85849999999999</v>
      </c>
      <c r="K1492">
        <v>1.1106180000000001</v>
      </c>
      <c r="L1492">
        <v>367.22559999999999</v>
      </c>
      <c r="M1492">
        <v>0.99990429999999997</v>
      </c>
      <c r="N1492">
        <v>0</v>
      </c>
      <c r="O1492">
        <v>1.765469E-3</v>
      </c>
      <c r="P1492">
        <v>0.99660329999999997</v>
      </c>
      <c r="Q1492">
        <v>6.6807809999999995E-2</v>
      </c>
      <c r="R1492">
        <v>-4.8155749999999997E-2</v>
      </c>
      <c r="S1492">
        <v>2.992035</v>
      </c>
      <c r="T1492">
        <v>-4.9154759999999898E-3</v>
      </c>
      <c r="U1492">
        <v>-0.38357540000000001</v>
      </c>
      <c r="V1492">
        <v>4.9913310000000002E-2</v>
      </c>
      <c r="W1492">
        <v>8.0485760000000003E-2</v>
      </c>
      <c r="X1492">
        <v>0.99550530000000004</v>
      </c>
      <c r="Y1492">
        <v>0.128909199999999</v>
      </c>
      <c r="Z1492">
        <v>-1.083468E-4</v>
      </c>
      <c r="AA1492">
        <v>0.99165639999999999</v>
      </c>
      <c r="AB1492">
        <v>25</v>
      </c>
      <c r="AC1492">
        <v>98.563000000000002</v>
      </c>
      <c r="AD1492">
        <v>-0.1622614</v>
      </c>
      <c r="AE1492">
        <v>-12.6548999999999</v>
      </c>
      <c r="AF1492">
        <v>12.8288723734518</v>
      </c>
      <c r="AG1492">
        <v>-0.1622614</v>
      </c>
      <c r="AH1492">
        <v>98.540239695884694</v>
      </c>
      <c r="AI1492">
        <v>90.0935565539924</v>
      </c>
      <c r="AJ1492">
        <v>82.582429412196802</v>
      </c>
      <c r="AK1492">
        <v>99.371953460011298</v>
      </c>
      <c r="AL1492">
        <v>85.383512454663403</v>
      </c>
      <c r="AM1492">
        <v>87.129669535230306</v>
      </c>
      <c r="AN1492">
        <v>1.0000000492030101</v>
      </c>
    </row>
    <row r="1493" spans="1:40" x14ac:dyDescent="0.25">
      <c r="A1493" t="str">
        <f>"20190312150657658"</f>
        <v>20190312150657658</v>
      </c>
      <c r="B1493" t="str">
        <f>"1552374417651600"</f>
        <v>1552374417651600</v>
      </c>
      <c r="C1493" t="s">
        <v>40</v>
      </c>
      <c r="D1493">
        <v>4.3870009999999997</v>
      </c>
      <c r="E1493">
        <v>0.52984759999999997</v>
      </c>
      <c r="F1493" t="s">
        <v>47</v>
      </c>
      <c r="G1493">
        <v>-169.2955</v>
      </c>
      <c r="H1493">
        <v>0.90264800000000001</v>
      </c>
      <c r="I1493">
        <v>354.45979999999997</v>
      </c>
      <c r="J1493">
        <v>-267.73829999999998</v>
      </c>
      <c r="K1493">
        <v>1.1106240000000001</v>
      </c>
      <c r="L1493">
        <v>367.22590000000002</v>
      </c>
      <c r="M1493">
        <v>0.99990420000000002</v>
      </c>
      <c r="N1493">
        <v>0</v>
      </c>
      <c r="O1493">
        <v>1.78366299999999E-3</v>
      </c>
      <c r="P1493">
        <v>0.99659719999999996</v>
      </c>
      <c r="Q1493">
        <v>6.6761790000000001E-2</v>
      </c>
      <c r="R1493">
        <v>-4.8347710000000002E-2</v>
      </c>
      <c r="S1493">
        <v>2.9919129999999998</v>
      </c>
      <c r="T1493">
        <v>-6.3103439999999998E-3</v>
      </c>
      <c r="U1493">
        <v>-0.38751219999999997</v>
      </c>
      <c r="V1493">
        <v>5.0123180000000003E-2</v>
      </c>
      <c r="W1493">
        <v>8.0445840000000005E-2</v>
      </c>
      <c r="X1493">
        <v>0.99549790000000005</v>
      </c>
      <c r="Y1493">
        <v>0.13021559999999999</v>
      </c>
      <c r="Z1493">
        <v>-1.4049660000000001E-4</v>
      </c>
      <c r="AA1493">
        <v>0.99148570000000003</v>
      </c>
      <c r="AB1493">
        <v>25</v>
      </c>
      <c r="AC1493">
        <v>98.442799999999906</v>
      </c>
      <c r="AD1493">
        <v>-0.20797599999999999</v>
      </c>
      <c r="AE1493">
        <v>-12.7661</v>
      </c>
      <c r="AF1493">
        <v>12.9416282050136</v>
      </c>
      <c r="AG1493">
        <v>-0.20797599999999999</v>
      </c>
      <c r="AH1493">
        <v>98.419438796355706</v>
      </c>
      <c r="AI1493">
        <v>90.120041597694495</v>
      </c>
      <c r="AJ1493">
        <v>82.508890930001201</v>
      </c>
      <c r="AK1493">
        <v>99.266887367354201</v>
      </c>
      <c r="AL1493">
        <v>85.385806765662693</v>
      </c>
      <c r="AM1493">
        <v>87.117599604953099</v>
      </c>
      <c r="AN1493">
        <v>0.99999996762551302</v>
      </c>
    </row>
    <row r="1494" spans="1:40" x14ac:dyDescent="0.25">
      <c r="A1494" t="str">
        <f>"20190312150657669"</f>
        <v>20190312150657669</v>
      </c>
      <c r="B1494" t="str">
        <f>"1552374417661360"</f>
        <v>1552374417661360</v>
      </c>
      <c r="C1494" t="s">
        <v>40</v>
      </c>
      <c r="D1494">
        <v>4.3651720000000003</v>
      </c>
      <c r="E1494">
        <v>0.52992159999999999</v>
      </c>
      <c r="F1494" t="s">
        <v>47</v>
      </c>
      <c r="G1494">
        <v>-169.2955</v>
      </c>
      <c r="H1494">
        <v>0.87000080000000002</v>
      </c>
      <c r="I1494">
        <v>354.4058</v>
      </c>
      <c r="J1494">
        <v>-267.62259999999998</v>
      </c>
      <c r="K1494">
        <v>1.110627</v>
      </c>
      <c r="L1494">
        <v>367.22609999999997</v>
      </c>
      <c r="M1494">
        <v>0.99990409999999996</v>
      </c>
      <c r="N1494">
        <v>0</v>
      </c>
      <c r="O1494">
        <v>1.8012659999999999E-3</v>
      </c>
      <c r="P1494">
        <v>0.99658000000000002</v>
      </c>
      <c r="Q1494">
        <v>6.7029720000000001E-2</v>
      </c>
      <c r="R1494">
        <v>-4.8329410000000003E-2</v>
      </c>
      <c r="S1494">
        <v>2.9917910000000001</v>
      </c>
      <c r="T1494">
        <v>-7.3101519999999899E-3</v>
      </c>
      <c r="U1494">
        <v>-0.38961790000000002</v>
      </c>
      <c r="V1494">
        <v>5.0122550000000002E-2</v>
      </c>
      <c r="W1494">
        <v>8.0718650000000003E-2</v>
      </c>
      <c r="X1494">
        <v>0.99547589999999997</v>
      </c>
      <c r="Y1494">
        <v>0.13092429999999999</v>
      </c>
      <c r="Z1494">
        <v>-1.63661E-4</v>
      </c>
      <c r="AA1494">
        <v>0.99139239999999995</v>
      </c>
      <c r="AB1494">
        <v>25</v>
      </c>
      <c r="AC1494">
        <v>98.327099999999902</v>
      </c>
      <c r="AD1494">
        <v>-0.24062620000000001</v>
      </c>
      <c r="AE1494">
        <v>-12.8202999999999</v>
      </c>
      <c r="AF1494">
        <v>12.9973326222298</v>
      </c>
      <c r="AG1494">
        <v>-0.24062620000000001</v>
      </c>
      <c r="AH1494">
        <v>98.303266630838493</v>
      </c>
      <c r="AI1494">
        <v>90.139038007270301</v>
      </c>
      <c r="AJ1494">
        <v>82.468227164419702</v>
      </c>
      <c r="AK1494">
        <v>99.159068100475494</v>
      </c>
      <c r="AL1494">
        <v>85.370125143782701</v>
      </c>
      <c r="AM1494">
        <v>87.117572180073793</v>
      </c>
      <c r="AN1494">
        <v>1.0000000189785601</v>
      </c>
    </row>
    <row r="1495" spans="1:40" x14ac:dyDescent="0.25">
      <c r="A1495" t="str">
        <f>"20190312150657680"</f>
        <v>20190312150657680</v>
      </c>
      <c r="B1495" t="str">
        <f>"1552374417672097"</f>
        <v>1552374417672097</v>
      </c>
      <c r="C1495" t="s">
        <v>40</v>
      </c>
      <c r="D1495">
        <v>4.3101430000000001</v>
      </c>
      <c r="E1495">
        <v>0.52994200000000002</v>
      </c>
      <c r="F1495" t="s">
        <v>47</v>
      </c>
      <c r="G1495">
        <v>-169.2955</v>
      </c>
      <c r="H1495">
        <v>0.87888619999999995</v>
      </c>
      <c r="I1495">
        <v>354.40230000000003</v>
      </c>
      <c r="J1495">
        <v>-267.49849999999998</v>
      </c>
      <c r="K1495">
        <v>1.1106309999999999</v>
      </c>
      <c r="L1495">
        <v>367.22629999999998</v>
      </c>
      <c r="M1495">
        <v>0.99990389999999996</v>
      </c>
      <c r="N1495">
        <v>0</v>
      </c>
      <c r="O1495">
        <v>1.8203E-3</v>
      </c>
      <c r="P1495">
        <v>0.99656350000000005</v>
      </c>
      <c r="Q1495">
        <v>6.7109760000000004E-2</v>
      </c>
      <c r="R1495">
        <v>-4.8553499999999999E-2</v>
      </c>
      <c r="S1495">
        <v>2.9918520000000002</v>
      </c>
      <c r="T1495">
        <v>-7.0486069999999897E-3</v>
      </c>
      <c r="U1495">
        <v>-0.39019779999999998</v>
      </c>
      <c r="V1495">
        <v>5.0365880000000002E-2</v>
      </c>
      <c r="W1495">
        <v>8.0804199999999896E-2</v>
      </c>
      <c r="X1495">
        <v>0.99545660000000002</v>
      </c>
      <c r="Y1495">
        <v>0.13112950000000001</v>
      </c>
      <c r="Z1495">
        <v>-1.580857E-4</v>
      </c>
      <c r="AA1495">
        <v>0.9913653</v>
      </c>
      <c r="AB1495">
        <v>25</v>
      </c>
      <c r="AC1495">
        <v>98.202999999999903</v>
      </c>
      <c r="AD1495">
        <v>-0.2317448</v>
      </c>
      <c r="AE1495">
        <v>-12.8239999999999</v>
      </c>
      <c r="AF1495">
        <v>13.0026833581851</v>
      </c>
      <c r="AG1495">
        <v>-0.2317448</v>
      </c>
      <c r="AH1495">
        <v>98.178953956865399</v>
      </c>
      <c r="AI1495">
        <v>90.134071878828905</v>
      </c>
      <c r="AJ1495">
        <v>82.455731433939505</v>
      </c>
      <c r="AK1495">
        <v>99.036510844384296</v>
      </c>
      <c r="AL1495">
        <v>85.365207066345604</v>
      </c>
      <c r="AM1495">
        <v>87.103546564614902</v>
      </c>
      <c r="AN1495">
        <v>0.99999994154468497</v>
      </c>
    </row>
    <row r="1496" spans="1:40" x14ac:dyDescent="0.25">
      <c r="A1496" t="str">
        <f>"20190312150657691"</f>
        <v>20190312150657691</v>
      </c>
      <c r="B1496" t="str">
        <f>"1552374417682193"</f>
        <v>1552374417682193</v>
      </c>
      <c r="C1496" t="s">
        <v>40</v>
      </c>
      <c r="D1496">
        <v>4.2662199999999997</v>
      </c>
      <c r="E1496">
        <v>0.52991560000000004</v>
      </c>
      <c r="F1496" t="s">
        <v>47</v>
      </c>
      <c r="G1496">
        <v>-169.2955</v>
      </c>
      <c r="H1496">
        <v>0.87252619999999903</v>
      </c>
      <c r="I1496">
        <v>354.40539999999999</v>
      </c>
      <c r="J1496">
        <v>-267.37950000000001</v>
      </c>
      <c r="K1496">
        <v>1.1106309999999999</v>
      </c>
      <c r="L1496">
        <v>367.22660000000002</v>
      </c>
      <c r="M1496">
        <v>0.99990369999999995</v>
      </c>
      <c r="N1496">
        <v>0</v>
      </c>
      <c r="O1496">
        <v>1.8382680000000001E-3</v>
      </c>
      <c r="P1496">
        <v>0.99654980000000004</v>
      </c>
      <c r="Q1496">
        <v>6.7176749999999993E-2</v>
      </c>
      <c r="R1496">
        <v>-4.8740140000000001E-2</v>
      </c>
      <c r="S1496">
        <v>2.9917910000000001</v>
      </c>
      <c r="T1496">
        <v>-7.251263E-3</v>
      </c>
      <c r="U1496">
        <v>-0.39059450000000001</v>
      </c>
      <c r="V1496">
        <v>5.0570200000000003E-2</v>
      </c>
      <c r="W1496">
        <v>8.0875959999999997E-2</v>
      </c>
      <c r="X1496">
        <v>0.99544049999999995</v>
      </c>
      <c r="Y1496">
        <v>0.13127920000000001</v>
      </c>
      <c r="Z1496">
        <v>-1.6285670000000001E-4</v>
      </c>
      <c r="AA1496">
        <v>0.99134540000000004</v>
      </c>
      <c r="AB1496">
        <v>25</v>
      </c>
      <c r="AC1496">
        <v>98.084000000000003</v>
      </c>
      <c r="AD1496">
        <v>-0.23810479999999901</v>
      </c>
      <c r="AE1496">
        <v>-12.821199999999999</v>
      </c>
      <c r="AF1496">
        <v>13.0014247409338</v>
      </c>
      <c r="AG1496">
        <v>-0.23810479999999901</v>
      </c>
      <c r="AH1496">
        <v>98.059695050207594</v>
      </c>
      <c r="AI1496">
        <v>90.137916199348695</v>
      </c>
      <c r="AJ1496">
        <v>82.447384766188094</v>
      </c>
      <c r="AK1496">
        <v>98.918135508761296</v>
      </c>
      <c r="AL1496">
        <v>85.361082419823603</v>
      </c>
      <c r="AM1496">
        <v>87.091769654467299</v>
      </c>
      <c r="AN1496">
        <v>1.0000000275370999</v>
      </c>
    </row>
    <row r="1497" spans="1:40" x14ac:dyDescent="0.25">
      <c r="A1497" t="str">
        <f>"20190312150657702"</f>
        <v>20190312150657702</v>
      </c>
      <c r="B1497" t="str">
        <f>"1552374417691953"</f>
        <v>1552374417691953</v>
      </c>
      <c r="C1497" t="s">
        <v>40</v>
      </c>
      <c r="D1497">
        <v>4.2644780000000004</v>
      </c>
      <c r="E1497">
        <v>0.52987830000000002</v>
      </c>
      <c r="F1497" t="s">
        <v>47</v>
      </c>
      <c r="G1497">
        <v>-169.2955</v>
      </c>
      <c r="H1497">
        <v>0.85471529999999996</v>
      </c>
      <c r="I1497">
        <v>354.40129999999999</v>
      </c>
      <c r="J1497">
        <v>-267.25569999999999</v>
      </c>
      <c r="K1497">
        <v>1.110636</v>
      </c>
      <c r="L1497">
        <v>367.22680000000003</v>
      </c>
      <c r="M1497">
        <v>0.99990369999999995</v>
      </c>
      <c r="N1497">
        <v>0</v>
      </c>
      <c r="O1497">
        <v>1.8565949999999999E-3</v>
      </c>
      <c r="P1497">
        <v>0.99656350000000005</v>
      </c>
      <c r="Q1497">
        <v>6.6854040000000003E-2</v>
      </c>
      <c r="R1497">
        <v>-4.8911240000000002E-2</v>
      </c>
      <c r="S1497">
        <v>2.9918209999999998</v>
      </c>
      <c r="T1497">
        <v>-7.80344E-3</v>
      </c>
      <c r="U1497">
        <v>-0.39120480000000002</v>
      </c>
      <c r="V1497">
        <v>5.0759360000000003E-2</v>
      </c>
      <c r="W1497">
        <v>8.0558009999999999E-2</v>
      </c>
      <c r="X1497">
        <v>0.99545660000000002</v>
      </c>
      <c r="Y1497">
        <v>0.1314949</v>
      </c>
      <c r="Z1497">
        <v>-1.75581699999999E-4</v>
      </c>
      <c r="AA1497">
        <v>0.99131689999999995</v>
      </c>
      <c r="AB1497">
        <v>25</v>
      </c>
      <c r="AC1497">
        <v>97.9602</v>
      </c>
      <c r="AD1497">
        <v>-0.255920699999999</v>
      </c>
      <c r="AE1497">
        <v>-12.8255</v>
      </c>
      <c r="AF1497">
        <v>13.007280231002399</v>
      </c>
      <c r="AG1497">
        <v>-0.255920699999999</v>
      </c>
      <c r="AH1497">
        <v>97.935559965679602</v>
      </c>
      <c r="AI1497">
        <v>90.148419046109396</v>
      </c>
      <c r="AJ1497">
        <v>82.434556092062607</v>
      </c>
      <c r="AK1497">
        <v>98.795894348923895</v>
      </c>
      <c r="AL1497">
        <v>85.379359000961799</v>
      </c>
      <c r="AM1497">
        <v>87.080957204141299</v>
      </c>
      <c r="AN1497">
        <v>0.99999997404316399</v>
      </c>
    </row>
    <row r="1498" spans="1:40" x14ac:dyDescent="0.25">
      <c r="A1498" t="str">
        <f>"20190312150657713"</f>
        <v>20190312150657713</v>
      </c>
      <c r="B1498" t="str">
        <f>"1552374417701714"</f>
        <v>1552374417701714</v>
      </c>
      <c r="C1498" t="s">
        <v>40</v>
      </c>
      <c r="D1498">
        <v>4.3018150000000004</v>
      </c>
      <c r="E1498">
        <v>0.52984370000000003</v>
      </c>
      <c r="F1498" t="s">
        <v>47</v>
      </c>
      <c r="G1498">
        <v>-169.2955</v>
      </c>
      <c r="H1498">
        <v>0.78806500000000002</v>
      </c>
      <c r="I1498">
        <v>354.40370000000001</v>
      </c>
      <c r="J1498">
        <v>-267.13920000000002</v>
      </c>
      <c r="K1498">
        <v>1.1106389999999999</v>
      </c>
      <c r="L1498">
        <v>367.22710000000001</v>
      </c>
      <c r="M1498">
        <v>0.99990369999999995</v>
      </c>
      <c r="N1498">
        <v>0</v>
      </c>
      <c r="O1498">
        <v>1.8742679999999999E-3</v>
      </c>
      <c r="P1498">
        <v>0.99653990000000003</v>
      </c>
      <c r="Q1498">
        <v>6.7088380000000003E-2</v>
      </c>
      <c r="R1498">
        <v>-4.9070549999999998E-2</v>
      </c>
      <c r="S1498">
        <v>2.9917910000000001</v>
      </c>
      <c r="T1498">
        <v>-9.8489519999999994E-3</v>
      </c>
      <c r="U1498">
        <v>-0.39163209999999998</v>
      </c>
      <c r="V1498">
        <v>5.0936349999999998E-2</v>
      </c>
      <c r="W1498">
        <v>8.0795649999999997E-2</v>
      </c>
      <c r="X1498">
        <v>0.99542830000000004</v>
      </c>
      <c r="Y1498">
        <v>0.13165250000000001</v>
      </c>
      <c r="Z1498">
        <v>-2.219232E-4</v>
      </c>
      <c r="AA1498">
        <v>0.99129590000000001</v>
      </c>
      <c r="AB1498">
        <v>25</v>
      </c>
      <c r="AC1498">
        <v>97.843699999999998</v>
      </c>
      <c r="AD1498">
        <v>-0.32257399999999897</v>
      </c>
      <c r="AE1498">
        <v>-12.8233999999999</v>
      </c>
      <c r="AF1498">
        <v>13.006641144591899</v>
      </c>
      <c r="AG1498">
        <v>-0.32257399999999897</v>
      </c>
      <c r="AH1498">
        <v>97.818446106807599</v>
      </c>
      <c r="AI1498">
        <v>90.1872940621288</v>
      </c>
      <c r="AJ1498">
        <v>82.425971241906794</v>
      </c>
      <c r="AK1498">
        <v>98.679912680342795</v>
      </c>
      <c r="AL1498">
        <v>85.365698705922796</v>
      </c>
      <c r="AM1498">
        <v>87.070713518613402</v>
      </c>
      <c r="AN1498">
        <v>0.999999974625567</v>
      </c>
    </row>
    <row r="1499" spans="1:40" x14ac:dyDescent="0.25">
      <c r="A1499" t="str">
        <f>"20190312150657724"</f>
        <v>20190312150657724</v>
      </c>
      <c r="B1499" t="str">
        <f>"1552374417711473"</f>
        <v>1552374417711473</v>
      </c>
      <c r="C1499" t="s">
        <v>40</v>
      </c>
      <c r="D1499">
        <v>4.2755169999999998</v>
      </c>
      <c r="E1499">
        <v>0.52981559999999905</v>
      </c>
      <c r="F1499" t="s">
        <v>47</v>
      </c>
      <c r="G1499">
        <v>-169.2955</v>
      </c>
      <c r="H1499">
        <v>0.7921686</v>
      </c>
      <c r="I1499">
        <v>354.41609999999997</v>
      </c>
      <c r="J1499">
        <v>-267.02089999999998</v>
      </c>
      <c r="K1499">
        <v>1.110641</v>
      </c>
      <c r="L1499">
        <v>367.22730000000001</v>
      </c>
      <c r="M1499">
        <v>0.9999036</v>
      </c>
      <c r="N1499">
        <v>0</v>
      </c>
      <c r="O1499">
        <v>1.8924180000000001E-3</v>
      </c>
      <c r="P1499">
        <v>0.9965271</v>
      </c>
      <c r="Q1499">
        <v>6.7245620000000006E-2</v>
      </c>
      <c r="R1499">
        <v>-4.9114930000000001E-2</v>
      </c>
      <c r="S1499">
        <v>2.9917910000000001</v>
      </c>
      <c r="T1499">
        <v>-9.7352270000000008E-3</v>
      </c>
      <c r="U1499">
        <v>-0.39172360000000001</v>
      </c>
      <c r="V1499">
        <v>5.0998719999999997E-2</v>
      </c>
      <c r="W1499">
        <v>8.0956760000000003E-2</v>
      </c>
      <c r="X1499">
        <v>0.99541210000000002</v>
      </c>
      <c r="Y1499">
        <v>0.1317004</v>
      </c>
      <c r="Z1499">
        <v>-2.1949649999999999E-4</v>
      </c>
      <c r="AA1499">
        <v>0.99128959999999999</v>
      </c>
      <c r="AB1499">
        <v>25</v>
      </c>
      <c r="AC1499">
        <v>97.725399999999894</v>
      </c>
      <c r="AD1499">
        <v>-0.31847239999999999</v>
      </c>
      <c r="AE1499">
        <v>-12.811199999999999</v>
      </c>
      <c r="AF1499">
        <v>12.9959961731105</v>
      </c>
      <c r="AG1499">
        <v>-0.31847239999999999</v>
      </c>
      <c r="AH1499">
        <v>97.699958484669494</v>
      </c>
      <c r="AI1499">
        <v>90.1851355827677</v>
      </c>
      <c r="AJ1499">
        <v>82.423026589103301</v>
      </c>
      <c r="AK1499">
        <v>98.561043161622493</v>
      </c>
      <c r="AL1499">
        <v>85.356437830450702</v>
      </c>
      <c r="AM1499">
        <v>87.0670853073985</v>
      </c>
      <c r="AN1499">
        <v>1.0000000576288699</v>
      </c>
    </row>
    <row r="1500" spans="1:40" x14ac:dyDescent="0.25">
      <c r="A1500" t="str">
        <f>"20190312150657735"</f>
        <v>20190312150657735</v>
      </c>
      <c r="B1500" t="str">
        <f>"1552374417731970"</f>
        <v>1552374417731970</v>
      </c>
      <c r="C1500" t="s">
        <v>40</v>
      </c>
      <c r="D1500">
        <v>4.2576980000000004</v>
      </c>
      <c r="E1500">
        <v>0.52976459999999903</v>
      </c>
      <c r="F1500" t="s">
        <v>47</v>
      </c>
      <c r="G1500">
        <v>-169.2955</v>
      </c>
      <c r="H1500">
        <v>0.7768602</v>
      </c>
      <c r="I1500">
        <v>354.4359</v>
      </c>
      <c r="J1500">
        <v>-266.899</v>
      </c>
      <c r="K1500">
        <v>1.110646</v>
      </c>
      <c r="L1500">
        <v>367.22750000000002</v>
      </c>
      <c r="M1500">
        <v>0.9999036</v>
      </c>
      <c r="N1500">
        <v>0</v>
      </c>
      <c r="O1500">
        <v>1.910751E-3</v>
      </c>
      <c r="P1500">
        <v>0.99652289999999999</v>
      </c>
      <c r="Q1500">
        <v>6.7218769999999997E-2</v>
      </c>
      <c r="R1500">
        <v>-4.9234260000000002E-2</v>
      </c>
      <c r="S1500">
        <v>2.9918209999999998</v>
      </c>
      <c r="T1500">
        <v>-1.021588E-2</v>
      </c>
      <c r="U1500">
        <v>-0.39160159999999999</v>
      </c>
      <c r="V1500">
        <v>5.1136479999999998E-2</v>
      </c>
      <c r="W1500">
        <v>8.0933469999999993E-2</v>
      </c>
      <c r="X1500">
        <v>0.99540689999999998</v>
      </c>
      <c r="Y1500">
        <v>0.1316774</v>
      </c>
      <c r="Z1500">
        <v>-2.3035509999999999E-4</v>
      </c>
      <c r="AA1500">
        <v>0.99129259999999997</v>
      </c>
      <c r="AB1500">
        <v>25</v>
      </c>
      <c r="AC1500">
        <v>97.603499999999997</v>
      </c>
      <c r="AD1500">
        <v>-0.33378579999999902</v>
      </c>
      <c r="AE1500">
        <v>-12.791600000000001</v>
      </c>
      <c r="AF1500">
        <v>12.977941053569699</v>
      </c>
      <c r="AG1500">
        <v>-0.33378579999999902</v>
      </c>
      <c r="AH1500">
        <v>97.577756003827005</v>
      </c>
      <c r="AI1500">
        <v>90.194281031371702</v>
      </c>
      <c r="AJ1500">
        <v>82.424065031606602</v>
      </c>
      <c r="AK1500">
        <v>98.437578361582098</v>
      </c>
      <c r="AL1500">
        <v>85.357776520096607</v>
      </c>
      <c r="AM1500">
        <v>87.059161340919601</v>
      </c>
      <c r="AN1500">
        <v>1.0000000313603199</v>
      </c>
    </row>
    <row r="1501" spans="1:40" x14ac:dyDescent="0.25">
      <c r="A1501" t="str">
        <f>"20190312150657746"</f>
        <v>20190312150657746</v>
      </c>
      <c r="B1501" t="str">
        <f>"1552374417741730"</f>
        <v>1552374417741730</v>
      </c>
      <c r="C1501" t="s">
        <v>40</v>
      </c>
      <c r="D1501">
        <v>4.3018330000000002</v>
      </c>
      <c r="E1501">
        <v>0.52974449999999995</v>
      </c>
      <c r="F1501" t="s">
        <v>47</v>
      </c>
      <c r="G1501">
        <v>-169.2955</v>
      </c>
      <c r="H1501">
        <v>0.71162609999999904</v>
      </c>
      <c r="I1501">
        <v>354.45069999999998</v>
      </c>
      <c r="J1501">
        <v>-266.78089999999997</v>
      </c>
      <c r="K1501">
        <v>1.1106499999999999</v>
      </c>
      <c r="L1501">
        <v>367.2278</v>
      </c>
      <c r="M1501">
        <v>0.9999034</v>
      </c>
      <c r="N1501">
        <v>0</v>
      </c>
      <c r="O1501">
        <v>1.928728E-3</v>
      </c>
      <c r="P1501">
        <v>0.99650950000000005</v>
      </c>
      <c r="Q1501">
        <v>6.7427780000000007E-2</v>
      </c>
      <c r="R1501">
        <v>-4.9219970000000002E-2</v>
      </c>
      <c r="S1501">
        <v>2.991943</v>
      </c>
      <c r="T1501">
        <v>-1.2228849999999999E-2</v>
      </c>
      <c r="U1501">
        <v>-0.39166260000000003</v>
      </c>
      <c r="V1501">
        <v>5.1140100000000001E-2</v>
      </c>
      <c r="W1501">
        <v>8.1144969999999997E-2</v>
      </c>
      <c r="X1501">
        <v>0.99538950000000004</v>
      </c>
      <c r="Y1501">
        <v>0.13170960000000001</v>
      </c>
      <c r="Z1501">
        <v>-2.758719E-4</v>
      </c>
      <c r="AA1501">
        <v>0.99128830000000001</v>
      </c>
      <c r="AB1501">
        <v>25</v>
      </c>
      <c r="AC1501">
        <v>97.485399999999899</v>
      </c>
      <c r="AD1501">
        <v>-0.39902389999999999</v>
      </c>
      <c r="AE1501">
        <v>-12.777100000000001</v>
      </c>
      <c r="AF1501">
        <v>12.964903319959699</v>
      </c>
      <c r="AG1501">
        <v>-0.39902389999999999</v>
      </c>
      <c r="AH1501">
        <v>97.458967505283695</v>
      </c>
      <c r="AI1501">
        <v>90.232534900729704</v>
      </c>
      <c r="AJ1501">
        <v>82.422469920339793</v>
      </c>
      <c r="AK1501">
        <v>98.318351722171499</v>
      </c>
      <c r="AL1501">
        <v>85.345618497485106</v>
      </c>
      <c r="AM1501">
        <v>87.058902200666495</v>
      </c>
      <c r="AN1501">
        <v>1.0000000363472701</v>
      </c>
    </row>
    <row r="1502" spans="1:40" x14ac:dyDescent="0.25">
      <c r="A1502" t="str">
        <f>"20190312150657757"</f>
        <v>20190312150657757</v>
      </c>
      <c r="B1502" t="str">
        <f>"1552374417751489"</f>
        <v>1552374417751489</v>
      </c>
      <c r="C1502" t="s">
        <v>40</v>
      </c>
      <c r="D1502">
        <v>4.807137</v>
      </c>
      <c r="E1502">
        <v>0.52972799999999998</v>
      </c>
      <c r="F1502" t="s">
        <v>47</v>
      </c>
      <c r="G1502">
        <v>-169.2955</v>
      </c>
      <c r="H1502">
        <v>0.71525479999999997</v>
      </c>
      <c r="I1502">
        <v>354.4776</v>
      </c>
      <c r="J1502">
        <v>-266.65679999999998</v>
      </c>
      <c r="K1502">
        <v>1.110654</v>
      </c>
      <c r="L1502">
        <v>367.22809999999998</v>
      </c>
      <c r="M1502">
        <v>0.9999034</v>
      </c>
      <c r="N1502">
        <v>0</v>
      </c>
      <c r="O1502">
        <v>1.9472459999999999E-3</v>
      </c>
      <c r="P1502">
        <v>0.99648769999999998</v>
      </c>
      <c r="Q1502">
        <v>6.7646139999999993E-2</v>
      </c>
      <c r="R1502">
        <v>-4.9364070000000003E-2</v>
      </c>
      <c r="S1502">
        <v>2.9920040000000001</v>
      </c>
      <c r="T1502">
        <v>-1.213264E-2</v>
      </c>
      <c r="U1502">
        <v>-0.39132689999999998</v>
      </c>
      <c r="V1502">
        <v>5.1302510000000003E-2</v>
      </c>
      <c r="W1502">
        <v>8.1366439999999998E-2</v>
      </c>
      <c r="X1502">
        <v>0.99536309999999995</v>
      </c>
      <c r="Y1502">
        <v>0.13161600000000001</v>
      </c>
      <c r="Z1502">
        <v>-2.73584E-4</v>
      </c>
      <c r="AA1502">
        <v>0.99130079999999998</v>
      </c>
      <c r="AB1502">
        <v>24</v>
      </c>
      <c r="AC1502">
        <v>97.3612999999999</v>
      </c>
      <c r="AD1502">
        <v>-0.39539920000000001</v>
      </c>
      <c r="AE1502">
        <v>-12.750499999999899</v>
      </c>
      <c r="AF1502">
        <v>12.939870361842701</v>
      </c>
      <c r="AG1502">
        <v>-0.39539920000000001</v>
      </c>
      <c r="AH1502">
        <v>97.334706397609907</v>
      </c>
      <c r="AI1502">
        <v>90.230719392357003</v>
      </c>
      <c r="AJ1502">
        <v>82.427387963749098</v>
      </c>
      <c r="AK1502">
        <v>98.191861450008105</v>
      </c>
      <c r="AL1502">
        <v>85.332887273861203</v>
      </c>
      <c r="AM1502">
        <v>87.049500265432698</v>
      </c>
      <c r="AN1502">
        <v>1.0000000729660801</v>
      </c>
    </row>
    <row r="1503" spans="1:40" x14ac:dyDescent="0.25">
      <c r="A1503" t="str">
        <f>"20190312150657768"</f>
        <v>20190312150657768</v>
      </c>
      <c r="B1503" t="str">
        <f>"1552374417762226"</f>
        <v>1552374417762226</v>
      </c>
      <c r="C1503" t="s">
        <v>40</v>
      </c>
      <c r="D1503">
        <v>4.2997870000000002</v>
      </c>
      <c r="E1503">
        <v>0.52970589999999995</v>
      </c>
      <c r="F1503" t="s">
        <v>47</v>
      </c>
      <c r="G1503">
        <v>-169.2955</v>
      </c>
      <c r="H1503">
        <v>0.73326969999999903</v>
      </c>
      <c r="I1503">
        <v>354.48599999999999</v>
      </c>
      <c r="J1503">
        <v>-266.53919999999999</v>
      </c>
      <c r="K1503">
        <v>1.110657</v>
      </c>
      <c r="L1503">
        <v>367.22829999999999</v>
      </c>
      <c r="M1503">
        <v>0.99990330000000005</v>
      </c>
      <c r="N1503">
        <v>0</v>
      </c>
      <c r="O1503">
        <v>1.9649310000000001E-3</v>
      </c>
      <c r="P1503">
        <v>0.99646570000000001</v>
      </c>
      <c r="Q1503">
        <v>6.8046819999999994E-2</v>
      </c>
      <c r="R1503">
        <v>-4.925355E-2</v>
      </c>
      <c r="S1503">
        <v>2.9919739999999999</v>
      </c>
      <c r="T1503">
        <v>-1.159453E-2</v>
      </c>
      <c r="U1503">
        <v>-0.391571</v>
      </c>
      <c r="V1503">
        <v>5.120955E-2</v>
      </c>
      <c r="W1503">
        <v>8.1769449999999994E-2</v>
      </c>
      <c r="X1503">
        <v>0.99533479999999996</v>
      </c>
      <c r="Y1503">
        <v>0.13171449999999901</v>
      </c>
      <c r="Z1503">
        <v>-2.6170940000000003E-4</v>
      </c>
      <c r="AA1503">
        <v>0.99128760000000005</v>
      </c>
      <c r="AB1503">
        <v>24</v>
      </c>
      <c r="AC1503">
        <v>97.243700000000004</v>
      </c>
      <c r="AD1503">
        <v>-0.37738729999999998</v>
      </c>
      <c r="AE1503">
        <v>-12.7423</v>
      </c>
      <c r="AF1503">
        <v>12.933179169659599</v>
      </c>
      <c r="AG1503">
        <v>-0.37738729999999998</v>
      </c>
      <c r="AH1503">
        <v>97.217032661583104</v>
      </c>
      <c r="AI1503">
        <v>90.220473265057606</v>
      </c>
      <c r="AJ1503">
        <v>82.422203364227002</v>
      </c>
      <c r="AK1503">
        <v>98.0742625979519</v>
      </c>
      <c r="AL1503">
        <v>85.309719018487897</v>
      </c>
      <c r="AM1503">
        <v>87.054753550065996</v>
      </c>
      <c r="AN1503">
        <v>1.0000000125277699</v>
      </c>
    </row>
    <row r="1504" spans="1:40" x14ac:dyDescent="0.25">
      <c r="A1504" t="str">
        <f>"20190312150657779"</f>
        <v>20190312150657779</v>
      </c>
      <c r="B1504" t="str">
        <f>"1552374417771986"</f>
        <v>1552374417771986</v>
      </c>
      <c r="C1504" t="s">
        <v>40</v>
      </c>
      <c r="D1504">
        <v>4.2742559999999896</v>
      </c>
      <c r="E1504">
        <v>0.52967919999999902</v>
      </c>
      <c r="F1504" t="s">
        <v>47</v>
      </c>
      <c r="G1504">
        <v>-169.2955</v>
      </c>
      <c r="H1504">
        <v>0.76245309999999999</v>
      </c>
      <c r="I1504">
        <v>354.51690000000002</v>
      </c>
      <c r="J1504">
        <v>-266.40989999999999</v>
      </c>
      <c r="K1504">
        <v>1.11066</v>
      </c>
      <c r="L1504">
        <v>367.22859999999997</v>
      </c>
      <c r="M1504">
        <v>0.99990310000000004</v>
      </c>
      <c r="N1504">
        <v>0</v>
      </c>
      <c r="O1504">
        <v>1.984581E-3</v>
      </c>
      <c r="P1504">
        <v>0.99646219999999996</v>
      </c>
      <c r="Q1504">
        <v>6.8007890000000001E-2</v>
      </c>
      <c r="R1504">
        <v>-4.9373149999999998E-2</v>
      </c>
      <c r="S1504">
        <v>2.9920650000000002</v>
      </c>
      <c r="T1504">
        <v>-1.071107E-2</v>
      </c>
      <c r="U1504">
        <v>-0.3911133</v>
      </c>
      <c r="V1504">
        <v>5.1348810000000002E-2</v>
      </c>
      <c r="W1504">
        <v>8.1732869999999999E-2</v>
      </c>
      <c r="X1504">
        <v>0.99533059999999995</v>
      </c>
      <c r="Y1504">
        <v>0.13158110000000001</v>
      </c>
      <c r="Z1504">
        <v>-2.4159569999999999E-4</v>
      </c>
      <c r="AA1504">
        <v>0.9913054</v>
      </c>
      <c r="AB1504">
        <v>24</v>
      </c>
      <c r="AC1504">
        <v>97.114400000000003</v>
      </c>
      <c r="AD1504">
        <v>-0.34820689999999999</v>
      </c>
      <c r="AE1504">
        <v>-12.711699999999899</v>
      </c>
      <c r="AF1504">
        <v>12.9042615498974</v>
      </c>
      <c r="AG1504">
        <v>-0.34820689999999999</v>
      </c>
      <c r="AH1504">
        <v>97.087751784706995</v>
      </c>
      <c r="AI1504">
        <v>90.203700035808097</v>
      </c>
      <c r="AJ1504">
        <v>82.428999019173801</v>
      </c>
      <c r="AK1504">
        <v>97.942190912814795</v>
      </c>
      <c r="AL1504">
        <v>85.311821797397698</v>
      </c>
      <c r="AM1504">
        <v>87.046745923251905</v>
      </c>
      <c r="AN1504">
        <v>0.99999998281160596</v>
      </c>
    </row>
    <row r="1505" spans="1:40" x14ac:dyDescent="0.25">
      <c r="A1505" t="str">
        <f>"20190312150657791"</f>
        <v>20190312150657791</v>
      </c>
      <c r="B1505" t="str">
        <f>"1552374417781746"</f>
        <v>1552374417781746</v>
      </c>
      <c r="C1505" t="s">
        <v>40</v>
      </c>
      <c r="D1505">
        <v>4.4164830000000004</v>
      </c>
      <c r="E1505">
        <v>0.52965960000000001</v>
      </c>
      <c r="F1505" t="s">
        <v>47</v>
      </c>
      <c r="G1505">
        <v>-169.2955</v>
      </c>
      <c r="H1505">
        <v>0.73969549999999995</v>
      </c>
      <c r="I1505">
        <v>354.51920000000001</v>
      </c>
      <c r="J1505">
        <v>-266.28919999999999</v>
      </c>
      <c r="K1505">
        <v>1.110663</v>
      </c>
      <c r="L1505">
        <v>367.22879999999998</v>
      </c>
      <c r="M1505">
        <v>0.99990310000000004</v>
      </c>
      <c r="N1505">
        <v>0</v>
      </c>
      <c r="O1505">
        <v>2.002626E-3</v>
      </c>
      <c r="P1505">
        <v>0.99643159999999997</v>
      </c>
      <c r="Q1505">
        <v>6.8398619999999993E-2</v>
      </c>
      <c r="R1505">
        <v>-4.9454049999999999E-2</v>
      </c>
      <c r="S1505">
        <v>2.9920650000000002</v>
      </c>
      <c r="T1505">
        <v>-1.142657E-2</v>
      </c>
      <c r="U1505">
        <v>-0.391571</v>
      </c>
      <c r="V1505">
        <v>5.1447600000000003E-2</v>
      </c>
      <c r="W1505">
        <v>8.2124929999999999E-2</v>
      </c>
      <c r="X1505">
        <v>0.99529330000000005</v>
      </c>
      <c r="Y1505">
        <v>0.131748</v>
      </c>
      <c r="Z1505">
        <v>-2.5811740000000001E-4</v>
      </c>
      <c r="AA1505">
        <v>0.99128320000000003</v>
      </c>
      <c r="AB1505">
        <v>24</v>
      </c>
      <c r="AC1505">
        <v>96.993700000000004</v>
      </c>
      <c r="AD1505">
        <v>-0.37096750000000001</v>
      </c>
      <c r="AE1505">
        <v>-12.709599999999901</v>
      </c>
      <c r="AF1505">
        <v>12.903649480654799</v>
      </c>
      <c r="AG1505">
        <v>-0.37096750000000001</v>
      </c>
      <c r="AH1505">
        <v>96.966655991095195</v>
      </c>
      <c r="AI1505">
        <v>90.217281278083803</v>
      </c>
      <c r="AJ1505">
        <v>82.420009299875801</v>
      </c>
      <c r="AK1505">
        <v>97.822155777211606</v>
      </c>
      <c r="AL1505">
        <v>85.289282988081595</v>
      </c>
      <c r="AM1505">
        <v>87.040963550664699</v>
      </c>
      <c r="AN1505">
        <v>1.0000000563490701</v>
      </c>
    </row>
    <row r="1506" spans="1:40" x14ac:dyDescent="0.25">
      <c r="A1506" t="str">
        <f>"20190312150657803"</f>
        <v>20190312150657803</v>
      </c>
      <c r="B1506" t="str">
        <f>"1552374417791506"</f>
        <v>1552374417791506</v>
      </c>
      <c r="C1506" t="s">
        <v>40</v>
      </c>
      <c r="D1506">
        <v>4.2944909999999998</v>
      </c>
      <c r="E1506">
        <v>0.52964009999999995</v>
      </c>
      <c r="F1506" t="s">
        <v>47</v>
      </c>
      <c r="G1506">
        <v>-169.2955</v>
      </c>
      <c r="H1506">
        <v>0.78191949999999999</v>
      </c>
      <c r="I1506">
        <v>354.5342</v>
      </c>
      <c r="J1506">
        <v>-266.15190000000001</v>
      </c>
      <c r="K1506">
        <v>1.1106659999999999</v>
      </c>
      <c r="L1506">
        <v>367.22910000000002</v>
      </c>
      <c r="M1506">
        <v>0.99990299999999999</v>
      </c>
      <c r="N1506">
        <v>0</v>
      </c>
      <c r="O1506">
        <v>2.0234710000000002E-3</v>
      </c>
      <c r="P1506">
        <v>0.99640919999999999</v>
      </c>
      <c r="Q1506">
        <v>6.870648E-2</v>
      </c>
      <c r="R1506">
        <v>-4.948168E-2</v>
      </c>
      <c r="S1506">
        <v>2.992035</v>
      </c>
      <c r="T1506">
        <v>-1.013827E-2</v>
      </c>
      <c r="U1506">
        <v>-0.39160159999999999</v>
      </c>
      <c r="V1506">
        <v>5.1495939999999997E-2</v>
      </c>
      <c r="W1506">
        <v>8.2434770000000004E-2</v>
      </c>
      <c r="X1506">
        <v>0.99526510000000001</v>
      </c>
      <c r="Y1506">
        <v>0.13178010000000001</v>
      </c>
      <c r="Z1506">
        <v>-2.2914269999999999E-4</v>
      </c>
      <c r="AA1506">
        <v>0.99127889999999996</v>
      </c>
      <c r="AB1506">
        <v>24</v>
      </c>
      <c r="AC1506">
        <v>96.856399999999994</v>
      </c>
      <c r="AD1506">
        <v>-0.328746499999999</v>
      </c>
      <c r="AE1506">
        <v>-12.694900000000001</v>
      </c>
      <c r="AF1506">
        <v>12.890732735915201</v>
      </c>
      <c r="AG1506">
        <v>-0.328746499999999</v>
      </c>
      <c r="AH1506">
        <v>96.829414805887893</v>
      </c>
      <c r="AI1506">
        <v>90.192823516812695</v>
      </c>
      <c r="AJ1506">
        <v>82.416900827776502</v>
      </c>
      <c r="AK1506">
        <v>97.684259921344307</v>
      </c>
      <c r="AL1506">
        <v>85.271469662284801</v>
      </c>
      <c r="AM1506">
        <v>87.038104426543498</v>
      </c>
      <c r="AN1506">
        <v>0.99999997120972295</v>
      </c>
    </row>
    <row r="1507" spans="1:40" x14ac:dyDescent="0.25">
      <c r="A1507" t="str">
        <f>"20190312150657816"</f>
        <v>20190312150657816</v>
      </c>
      <c r="B1507" t="str">
        <f>"1552374417812001"</f>
        <v>1552374417812001</v>
      </c>
      <c r="C1507" t="s">
        <v>40</v>
      </c>
      <c r="D1507">
        <v>4.2911979999999996</v>
      </c>
      <c r="E1507">
        <v>0.52958969999999905</v>
      </c>
      <c r="F1507" t="s">
        <v>47</v>
      </c>
      <c r="G1507">
        <v>-169.2955</v>
      </c>
      <c r="H1507">
        <v>0.80804730000000002</v>
      </c>
      <c r="I1507">
        <v>354.55619999999999</v>
      </c>
      <c r="J1507">
        <v>-266.01209999999998</v>
      </c>
      <c r="K1507">
        <v>1.1106689999999999</v>
      </c>
      <c r="L1507">
        <v>367.2294</v>
      </c>
      <c r="M1507">
        <v>0.99990299999999999</v>
      </c>
      <c r="N1507">
        <v>0</v>
      </c>
      <c r="O1507">
        <v>2.0448509999999999E-3</v>
      </c>
      <c r="P1507">
        <v>0.99637540000000002</v>
      </c>
      <c r="Q1507">
        <v>6.9086380000000003E-2</v>
      </c>
      <c r="R1507">
        <v>-4.9634959999999999E-2</v>
      </c>
      <c r="S1507">
        <v>2.9920040000000001</v>
      </c>
      <c r="T1507">
        <v>-9.3455310000000007E-3</v>
      </c>
      <c r="U1507">
        <v>-0.39147949999999998</v>
      </c>
      <c r="V1507">
        <v>5.1670430000000003E-2</v>
      </c>
      <c r="W1507">
        <v>8.2815879999999994E-2</v>
      </c>
      <c r="X1507">
        <v>0.99522440000000001</v>
      </c>
      <c r="Y1507">
        <v>0.13176289999999999</v>
      </c>
      <c r="Z1507">
        <v>-2.1126789999999999E-4</v>
      </c>
      <c r="AA1507">
        <v>0.99128119999999997</v>
      </c>
      <c r="AB1507">
        <v>24</v>
      </c>
      <c r="AC1507">
        <v>96.7165999999999</v>
      </c>
      <c r="AD1507">
        <v>-0.30262169999999999</v>
      </c>
      <c r="AE1507">
        <v>-12.6732</v>
      </c>
      <c r="AF1507">
        <v>12.8708394243463</v>
      </c>
      <c r="AG1507">
        <v>-0.30262169999999999</v>
      </c>
      <c r="AH1507">
        <v>96.689549844698405</v>
      </c>
      <c r="AI1507">
        <v>90.177757400873503</v>
      </c>
      <c r="AJ1507">
        <v>82.417642232700004</v>
      </c>
      <c r="AK1507">
        <v>97.542909206928201</v>
      </c>
      <c r="AL1507">
        <v>85.249558668635302</v>
      </c>
      <c r="AM1507">
        <v>87.027964914923103</v>
      </c>
      <c r="AN1507">
        <v>0.99999995483595805</v>
      </c>
    </row>
    <row r="1508" spans="1:40" x14ac:dyDescent="0.25">
      <c r="A1508" t="str">
        <f>"20190312150657828"</f>
        <v>20190312150657828</v>
      </c>
      <c r="B1508" t="str">
        <f>"1552374417821761"</f>
        <v>1552374417821761</v>
      </c>
      <c r="C1508" t="s">
        <v>40</v>
      </c>
      <c r="D1508">
        <v>4.3112510000000004</v>
      </c>
      <c r="E1508">
        <v>0.52957379999999998</v>
      </c>
      <c r="F1508" t="s">
        <v>47</v>
      </c>
      <c r="G1508">
        <v>-169.2955</v>
      </c>
      <c r="H1508">
        <v>0.81190109999999904</v>
      </c>
      <c r="I1508">
        <v>354.58409999999998</v>
      </c>
      <c r="J1508">
        <v>-265.87790000000001</v>
      </c>
      <c r="K1508">
        <v>1.1106689999999999</v>
      </c>
      <c r="L1508">
        <v>367.22969999999998</v>
      </c>
      <c r="M1508">
        <v>0.99990290000000004</v>
      </c>
      <c r="N1508">
        <v>0</v>
      </c>
      <c r="O1508">
        <v>2.0653400000000001E-3</v>
      </c>
      <c r="P1508">
        <v>0.99636060000000004</v>
      </c>
      <c r="Q1508">
        <v>6.9250229999999996E-2</v>
      </c>
      <c r="R1508">
        <v>-4.9697209999999999E-2</v>
      </c>
      <c r="S1508">
        <v>2.9920960000000001</v>
      </c>
      <c r="T1508">
        <v>-9.2401500000000008E-3</v>
      </c>
      <c r="U1508">
        <v>-0.39120480000000002</v>
      </c>
      <c r="V1508">
        <v>5.1753309999999997E-2</v>
      </c>
      <c r="W1508">
        <v>8.2981250000000006E-2</v>
      </c>
      <c r="X1508">
        <v>0.99520640000000005</v>
      </c>
      <c r="Y1508">
        <v>0.1316899</v>
      </c>
      <c r="Z1508">
        <v>-2.088313E-4</v>
      </c>
      <c r="AA1508">
        <v>0.99129089999999997</v>
      </c>
      <c r="AB1508">
        <v>24</v>
      </c>
      <c r="AC1508">
        <v>96.582400000000007</v>
      </c>
      <c r="AD1508">
        <v>-0.29876789999999998</v>
      </c>
      <c r="AE1508">
        <v>-12.6456</v>
      </c>
      <c r="AF1508">
        <v>12.8449466203214</v>
      </c>
      <c r="AG1508">
        <v>-0.29876789999999998</v>
      </c>
      <c r="AH1508">
        <v>96.555165648680898</v>
      </c>
      <c r="AI1508">
        <v>90.175739879162194</v>
      </c>
      <c r="AJ1508">
        <v>82.422309295690098</v>
      </c>
      <c r="AK1508">
        <v>97.406272536121506</v>
      </c>
      <c r="AL1508">
        <v>85.240051325589405</v>
      </c>
      <c r="AM1508">
        <v>87.023152558101003</v>
      </c>
      <c r="AN1508">
        <v>1.00000003577423</v>
      </c>
    </row>
    <row r="1509" spans="1:40" x14ac:dyDescent="0.25">
      <c r="A1509" t="str">
        <f>"20190312150657841"</f>
        <v>20190312150657841</v>
      </c>
      <c r="B1509" t="str">
        <f>"1552374417831522"</f>
        <v>1552374417831522</v>
      </c>
      <c r="C1509" t="s">
        <v>40</v>
      </c>
      <c r="D1509">
        <v>4.2638699999999998</v>
      </c>
      <c r="E1509">
        <v>0.52957030000000005</v>
      </c>
      <c r="F1509" t="s">
        <v>47</v>
      </c>
      <c r="G1509">
        <v>-169.2955</v>
      </c>
      <c r="H1509">
        <v>0.81210419999999905</v>
      </c>
      <c r="I1509">
        <v>354.58800000000002</v>
      </c>
      <c r="J1509">
        <v>-265.7396</v>
      </c>
      <c r="K1509">
        <v>1.110671</v>
      </c>
      <c r="L1509">
        <v>367.23</v>
      </c>
      <c r="M1509">
        <v>0.99990279999999998</v>
      </c>
      <c r="N1509">
        <v>0</v>
      </c>
      <c r="O1509">
        <v>2.086428E-3</v>
      </c>
      <c r="P1509">
        <v>0.99634590000000001</v>
      </c>
      <c r="Q1509">
        <v>6.940209E-2</v>
      </c>
      <c r="R1509">
        <v>-4.9782779999999999E-2</v>
      </c>
      <c r="S1509">
        <v>2.9920650000000002</v>
      </c>
      <c r="T1509">
        <v>-9.246588E-3</v>
      </c>
      <c r="U1509">
        <v>-0.39163209999999998</v>
      </c>
      <c r="V1509">
        <v>5.1859839999999997E-2</v>
      </c>
      <c r="W1509">
        <v>8.3134260000000001E-2</v>
      </c>
      <c r="X1509">
        <v>0.99518810000000002</v>
      </c>
      <c r="Y1509">
        <v>0.1318512</v>
      </c>
      <c r="Z1509">
        <v>-2.092901E-4</v>
      </c>
      <c r="AA1509">
        <v>0.99126950000000003</v>
      </c>
      <c r="AB1509">
        <v>24</v>
      </c>
      <c r="AC1509">
        <v>96.444100000000006</v>
      </c>
      <c r="AD1509">
        <v>-0.29856679999999902</v>
      </c>
      <c r="AE1509">
        <v>-12.6419999999999</v>
      </c>
      <c r="AF1509">
        <v>12.843094266888601</v>
      </c>
      <c r="AG1509">
        <v>-0.29856679999999902</v>
      </c>
      <c r="AH1509">
        <v>96.416602495178594</v>
      </c>
      <c r="AI1509">
        <v>90.175870023135801</v>
      </c>
      <c r="AJ1509">
        <v>82.412627559477599</v>
      </c>
      <c r="AK1509">
        <v>97.268676608636596</v>
      </c>
      <c r="AL1509">
        <v>85.231254176079602</v>
      </c>
      <c r="AM1509">
        <v>87.016981260726993</v>
      </c>
      <c r="AN1509">
        <v>1.00000005128609</v>
      </c>
    </row>
    <row r="1510" spans="1:40" x14ac:dyDescent="0.25">
      <c r="A1510" t="str">
        <f>"20190312150657853"</f>
        <v>20190312150657853</v>
      </c>
      <c r="B1510" t="str">
        <f>"1552374417841282"</f>
        <v>1552374417841282</v>
      </c>
      <c r="C1510" t="s">
        <v>40</v>
      </c>
      <c r="D1510">
        <v>4.2774269999999897</v>
      </c>
      <c r="E1510">
        <v>0.5295588</v>
      </c>
      <c r="F1510" t="s">
        <v>47</v>
      </c>
      <c r="G1510">
        <v>-169.2955</v>
      </c>
      <c r="H1510">
        <v>0.79016690000000001</v>
      </c>
      <c r="I1510">
        <v>354.60860000000002</v>
      </c>
      <c r="J1510">
        <v>-265.6096</v>
      </c>
      <c r="K1510">
        <v>1.1106739999999999</v>
      </c>
      <c r="L1510">
        <v>367.2303</v>
      </c>
      <c r="M1510">
        <v>0.99990270000000003</v>
      </c>
      <c r="N1510">
        <v>0</v>
      </c>
      <c r="O1510">
        <v>2.1062670000000002E-3</v>
      </c>
      <c r="P1510">
        <v>0.99635370000000001</v>
      </c>
      <c r="Q1510">
        <v>6.9266889999999998E-2</v>
      </c>
      <c r="R1510">
        <v>-4.9815030000000003E-2</v>
      </c>
      <c r="S1510">
        <v>2.9920960000000001</v>
      </c>
      <c r="T1510">
        <v>-9.9406240000000003E-3</v>
      </c>
      <c r="U1510">
        <v>-0.391571</v>
      </c>
      <c r="V1510">
        <v>5.1911760000000001E-2</v>
      </c>
      <c r="W1510">
        <v>8.2999779999999995E-2</v>
      </c>
      <c r="X1510">
        <v>0.99519659999999999</v>
      </c>
      <c r="Y1510">
        <v>0.13184969999999999</v>
      </c>
      <c r="Z1510">
        <v>-2.250601E-4</v>
      </c>
      <c r="AA1510">
        <v>0.99126970000000003</v>
      </c>
      <c r="AB1510">
        <v>24</v>
      </c>
      <c r="AC1510">
        <v>96.314099999999996</v>
      </c>
      <c r="AD1510">
        <v>-0.32050709999999899</v>
      </c>
      <c r="AE1510">
        <v>-12.621699999999899</v>
      </c>
      <c r="AF1510">
        <v>12.8244148813487</v>
      </c>
      <c r="AG1510">
        <v>-0.32050709999999899</v>
      </c>
      <c r="AH1510">
        <v>96.286250868977703</v>
      </c>
      <c r="AI1510">
        <v>90.189049735357898</v>
      </c>
      <c r="AJ1510">
        <v>82.413397005536098</v>
      </c>
      <c r="AK1510">
        <v>97.137070412143999</v>
      </c>
      <c r="AL1510">
        <v>85.238985948726906</v>
      </c>
      <c r="AM1510">
        <v>87.014025640829104</v>
      </c>
      <c r="AN1510">
        <v>1.0000000334789501</v>
      </c>
    </row>
    <row r="1511" spans="1:40" x14ac:dyDescent="0.25">
      <c r="A1511" t="str">
        <f>"20190312150657864"</f>
        <v>20190312150657864</v>
      </c>
      <c r="B1511" t="str">
        <f>"1552374417861778"</f>
        <v>1552374417861778</v>
      </c>
      <c r="C1511" t="s">
        <v>40</v>
      </c>
      <c r="D1511">
        <v>4.2959500000000004</v>
      </c>
      <c r="E1511">
        <v>0.52953519999999998</v>
      </c>
      <c r="F1511" t="s">
        <v>47</v>
      </c>
      <c r="G1511">
        <v>-169.2955</v>
      </c>
      <c r="H1511">
        <v>0.7532063</v>
      </c>
      <c r="I1511">
        <v>354.6241</v>
      </c>
      <c r="J1511">
        <v>-265.48860000000002</v>
      </c>
      <c r="K1511">
        <v>1.11067</v>
      </c>
      <c r="L1511">
        <v>367.23059999999998</v>
      </c>
      <c r="M1511">
        <v>0.99990259999999997</v>
      </c>
      <c r="N1511">
        <v>0</v>
      </c>
      <c r="O1511">
        <v>2.1247969999999999E-3</v>
      </c>
      <c r="P1511">
        <v>0.99633240000000001</v>
      </c>
      <c r="Q1511">
        <v>6.9468070000000007E-2</v>
      </c>
      <c r="R1511">
        <v>-4.9960560000000001E-2</v>
      </c>
      <c r="S1511">
        <v>2.9921570000000002</v>
      </c>
      <c r="T1511">
        <v>-1.1102559999999999E-2</v>
      </c>
      <c r="U1511">
        <v>-0.39163209999999998</v>
      </c>
      <c r="V1511">
        <v>5.207581E-2</v>
      </c>
      <c r="W1511">
        <v>8.3201739999999996E-2</v>
      </c>
      <c r="X1511">
        <v>0.99517109999999998</v>
      </c>
      <c r="Y1511">
        <v>0.13188510000000001</v>
      </c>
      <c r="Z1511">
        <v>-2.5149519999999998E-4</v>
      </c>
      <c r="AA1511">
        <v>0.99126499999999995</v>
      </c>
      <c r="AB1511">
        <v>24</v>
      </c>
      <c r="AC1511">
        <v>96.193100000000001</v>
      </c>
      <c r="AD1511">
        <v>-0.3574637</v>
      </c>
      <c r="AE1511">
        <v>-12.606499999999899</v>
      </c>
      <c r="AF1511">
        <v>12.8107078736987</v>
      </c>
      <c r="AG1511">
        <v>-0.3574637</v>
      </c>
      <c r="AH1511">
        <v>96.164788453182595</v>
      </c>
      <c r="AI1511">
        <v>90.211113843223004</v>
      </c>
      <c r="AJ1511">
        <v>82.411950644567199</v>
      </c>
      <c r="AK1511">
        <v>97.014991391884493</v>
      </c>
      <c r="AL1511">
        <v>85.227374021698594</v>
      </c>
      <c r="AM1511">
        <v>87.004529997336306</v>
      </c>
      <c r="AN1511">
        <v>0.99999996890069598</v>
      </c>
    </row>
    <row r="1512" spans="1:40" x14ac:dyDescent="0.25">
      <c r="A1512" t="str">
        <f>"20190312150657875"</f>
        <v>20190312150657875</v>
      </c>
      <c r="B1512" t="str">
        <f>"1552374417871537"</f>
        <v>1552374417871537</v>
      </c>
      <c r="C1512" t="s">
        <v>40</v>
      </c>
      <c r="D1512">
        <v>4.3104329999999997</v>
      </c>
      <c r="E1512">
        <v>0.52953059999999996</v>
      </c>
      <c r="F1512" t="s">
        <v>47</v>
      </c>
      <c r="G1512">
        <v>-169.2955</v>
      </c>
      <c r="H1512">
        <v>0.74647519999999901</v>
      </c>
      <c r="I1512">
        <v>354.63150000000002</v>
      </c>
      <c r="J1512">
        <v>-265.36590000000001</v>
      </c>
      <c r="K1512">
        <v>1.110671</v>
      </c>
      <c r="L1512">
        <v>367.23090000000002</v>
      </c>
      <c r="M1512">
        <v>0.99990259999999997</v>
      </c>
      <c r="N1512">
        <v>0</v>
      </c>
      <c r="O1512">
        <v>2.1431520000000002E-3</v>
      </c>
      <c r="P1512">
        <v>0.99631820000000004</v>
      </c>
      <c r="Q1512">
        <v>6.9620760000000004E-2</v>
      </c>
      <c r="R1512">
        <v>-5.0031539999999999E-2</v>
      </c>
      <c r="S1512">
        <v>2.9921880000000001</v>
      </c>
      <c r="T1512">
        <v>-1.132596E-2</v>
      </c>
      <c r="U1512">
        <v>-0.3919067</v>
      </c>
      <c r="V1512">
        <v>5.21649E-2</v>
      </c>
      <c r="W1512">
        <v>8.335476E-2</v>
      </c>
      <c r="X1512">
        <v>0.99515370000000003</v>
      </c>
      <c r="Y1512">
        <v>0.13199140000000001</v>
      </c>
      <c r="Z1512">
        <v>-2.5682100000000001E-4</v>
      </c>
      <c r="AA1512">
        <v>0.99125079999999999</v>
      </c>
      <c r="AB1512">
        <v>24</v>
      </c>
      <c r="AC1512">
        <v>96.070400000000006</v>
      </c>
      <c r="AD1512">
        <v>-0.36419580000000001</v>
      </c>
      <c r="AE1512">
        <v>-12.599399999999999</v>
      </c>
      <c r="AF1512">
        <v>12.8051032001379</v>
      </c>
      <c r="AG1512">
        <v>-0.36419580000000001</v>
      </c>
      <c r="AH1512">
        <v>96.041817439144907</v>
      </c>
      <c r="AI1512">
        <v>90.215361936746405</v>
      </c>
      <c r="AJ1512">
        <v>82.405633563424104</v>
      </c>
      <c r="AK1512">
        <v>96.892383619977807</v>
      </c>
      <c r="AL1512">
        <v>85.218576399430603</v>
      </c>
      <c r="AM1512">
        <v>86.999362409977195</v>
      </c>
      <c r="AN1512">
        <v>1.00000003971517</v>
      </c>
    </row>
    <row r="1513" spans="1:40" x14ac:dyDescent="0.25">
      <c r="A1513" t="str">
        <f>"20190312150657890"</f>
        <v>20190312150657890</v>
      </c>
      <c r="B1513" t="str">
        <f>"1552374417881628"</f>
        <v>1552374417881628</v>
      </c>
      <c r="C1513" t="s">
        <v>40</v>
      </c>
      <c r="D1513">
        <v>4.3493629999999897</v>
      </c>
      <c r="E1513">
        <v>0.52951219999999999</v>
      </c>
      <c r="F1513" t="s">
        <v>47</v>
      </c>
      <c r="G1513">
        <v>-169.2955</v>
      </c>
      <c r="H1513">
        <v>0.73309519999999995</v>
      </c>
      <c r="I1513">
        <v>354.63709999999998</v>
      </c>
      <c r="J1513">
        <v>-265.20670000000001</v>
      </c>
      <c r="K1513">
        <v>1.110673</v>
      </c>
      <c r="L1513">
        <v>367.2312</v>
      </c>
      <c r="M1513">
        <v>0.99990270000000003</v>
      </c>
      <c r="N1513">
        <v>0</v>
      </c>
      <c r="O1513">
        <v>2.1668680000000002E-3</v>
      </c>
      <c r="P1513">
        <v>0.9962685</v>
      </c>
      <c r="Q1513">
        <v>7.0004159999999996E-2</v>
      </c>
      <c r="R1513">
        <v>-5.0488310000000002E-2</v>
      </c>
      <c r="S1513">
        <v>2.9921880000000001</v>
      </c>
      <c r="T1513">
        <v>-1.1757139999999999E-2</v>
      </c>
      <c r="U1513">
        <v>-0.39224239999999999</v>
      </c>
      <c r="V1513">
        <v>5.2645039999999997E-2</v>
      </c>
      <c r="W1513">
        <v>8.3738220000000002E-2</v>
      </c>
      <c r="X1513">
        <v>0.99509619999999999</v>
      </c>
      <c r="Y1513">
        <v>0.1321242</v>
      </c>
      <c r="Z1513">
        <v>-2.669487E-4</v>
      </c>
      <c r="AA1513">
        <v>0.99123309999999998</v>
      </c>
      <c r="AB1513">
        <v>24</v>
      </c>
      <c r="AC1513">
        <v>95.911199999999994</v>
      </c>
      <c r="AD1513">
        <v>-0.37757780000000002</v>
      </c>
      <c r="AE1513">
        <v>-12.594099999999999</v>
      </c>
      <c r="AF1513">
        <v>12.8017220357564</v>
      </c>
      <c r="AG1513">
        <v>-0.37757780000000002</v>
      </c>
      <c r="AH1513">
        <v>95.882221656024498</v>
      </c>
      <c r="AI1513">
        <v>90.223641275799693</v>
      </c>
      <c r="AJ1513">
        <v>82.395125719786506</v>
      </c>
      <c r="AK1513">
        <v>96.733794931093499</v>
      </c>
      <c r="AL1513">
        <v>85.196528576901002</v>
      </c>
      <c r="AM1513">
        <v>86.971620237142503</v>
      </c>
      <c r="AN1513">
        <v>1.0000000184899001</v>
      </c>
    </row>
    <row r="1514" spans="1:40" x14ac:dyDescent="0.25">
      <c r="A1514" t="str">
        <f>"20190312150657901"</f>
        <v>20190312150657901</v>
      </c>
      <c r="B1514" t="str">
        <f>"1552374417891387"</f>
        <v>1552374417891387</v>
      </c>
      <c r="C1514" t="s">
        <v>40</v>
      </c>
      <c r="D1514">
        <v>4.3082770000000004</v>
      </c>
      <c r="E1514">
        <v>0.52949789999999997</v>
      </c>
      <c r="F1514" t="s">
        <v>47</v>
      </c>
      <c r="G1514">
        <v>-169.2955</v>
      </c>
      <c r="H1514">
        <v>0.75448800000000005</v>
      </c>
      <c r="I1514">
        <v>354.61200000000002</v>
      </c>
      <c r="J1514">
        <v>-265.08</v>
      </c>
      <c r="K1514">
        <v>1.1106739999999999</v>
      </c>
      <c r="L1514">
        <v>367.23149999999998</v>
      </c>
      <c r="M1514">
        <v>0.99990250000000003</v>
      </c>
      <c r="N1514">
        <v>0</v>
      </c>
      <c r="O1514">
        <v>2.186412E-3</v>
      </c>
      <c r="P1514">
        <v>0.99626800000000004</v>
      </c>
      <c r="Q1514">
        <v>7.000207E-2</v>
      </c>
      <c r="R1514">
        <v>-5.0495169999999999E-2</v>
      </c>
      <c r="S1514">
        <v>2.9920960000000001</v>
      </c>
      <c r="T1514">
        <v>-1.1108989999999999E-2</v>
      </c>
      <c r="U1514">
        <v>-0.39367679999999999</v>
      </c>
      <c r="V1514">
        <v>5.2671570000000001E-2</v>
      </c>
      <c r="W1514">
        <v>8.3736779999999997E-2</v>
      </c>
      <c r="X1514">
        <v>0.9950949</v>
      </c>
      <c r="Y1514">
        <v>0.1326147</v>
      </c>
      <c r="Z1514">
        <v>-2.5321140000000001E-4</v>
      </c>
      <c r="AA1514">
        <v>0.99116760000000004</v>
      </c>
      <c r="AB1514">
        <v>24</v>
      </c>
      <c r="AC1514">
        <v>95.784499999999895</v>
      </c>
      <c r="AD1514">
        <v>-0.356185999999999</v>
      </c>
      <c r="AE1514">
        <v>-12.6195</v>
      </c>
      <c r="AF1514">
        <v>12.8287397607854</v>
      </c>
      <c r="AG1514">
        <v>-0.356185999999999</v>
      </c>
      <c r="AH1514">
        <v>95.755375436003604</v>
      </c>
      <c r="AI1514">
        <v>90.211237648493594</v>
      </c>
      <c r="AJ1514">
        <v>82.369288001466799</v>
      </c>
      <c r="AK1514">
        <v>96.611569479056499</v>
      </c>
      <c r="AL1514">
        <v>85.196611290893799</v>
      </c>
      <c r="AM1514">
        <v>86.970093004046504</v>
      </c>
      <c r="AN1514">
        <v>1.00000000130852</v>
      </c>
    </row>
    <row r="1515" spans="1:40" x14ac:dyDescent="0.25">
      <c r="A1515" t="str">
        <f>"20190312150657912"</f>
        <v>20190312150657912</v>
      </c>
      <c r="B1515" t="str">
        <f>"1552374417902124"</f>
        <v>1552374417902124</v>
      </c>
      <c r="C1515" t="s">
        <v>40</v>
      </c>
      <c r="D1515">
        <v>4.3366129999999998</v>
      </c>
      <c r="E1515">
        <v>0.52948649999999997</v>
      </c>
      <c r="F1515" t="s">
        <v>47</v>
      </c>
      <c r="G1515">
        <v>-169.2955</v>
      </c>
      <c r="H1515">
        <v>0.73743149999999902</v>
      </c>
      <c r="I1515">
        <v>354.63290000000001</v>
      </c>
      <c r="J1515">
        <v>-264.96539999999999</v>
      </c>
      <c r="K1515">
        <v>1.110676</v>
      </c>
      <c r="L1515">
        <v>367.23180000000002</v>
      </c>
      <c r="M1515">
        <v>0.99990250000000003</v>
      </c>
      <c r="N1515">
        <v>0</v>
      </c>
      <c r="O1515">
        <v>2.2035739999999998E-3</v>
      </c>
      <c r="P1515">
        <v>0.99626210000000004</v>
      </c>
      <c r="Q1515">
        <v>6.9975190000000007E-2</v>
      </c>
      <c r="R1515">
        <v>-5.0653549999999999E-2</v>
      </c>
      <c r="S1515">
        <v>2.9920960000000001</v>
      </c>
      <c r="T1515">
        <v>-1.165652E-2</v>
      </c>
      <c r="U1515">
        <v>-0.39355469999999998</v>
      </c>
      <c r="V1515">
        <v>5.2846919999999999E-2</v>
      </c>
      <c r="W1515">
        <v>8.3710190000000004E-2</v>
      </c>
      <c r="X1515">
        <v>0.99508790000000003</v>
      </c>
      <c r="Y1515">
        <v>0.13259189999999901</v>
      </c>
      <c r="Z1515">
        <v>-2.6571420000000002E-4</v>
      </c>
      <c r="AA1515">
        <v>0.99117069999999996</v>
      </c>
      <c r="AB1515">
        <v>24</v>
      </c>
      <c r="AC1515">
        <v>95.669899999999899</v>
      </c>
      <c r="AD1515">
        <v>-0.37324449999999998</v>
      </c>
      <c r="AE1515">
        <v>-12.5989</v>
      </c>
      <c r="AF1515">
        <v>12.809513507633</v>
      </c>
      <c r="AG1515">
        <v>-0.37324449999999998</v>
      </c>
      <c r="AH1515">
        <v>95.640471528829806</v>
      </c>
      <c r="AI1515">
        <v>90.221621271469502</v>
      </c>
      <c r="AJ1515">
        <v>82.371543251527598</v>
      </c>
      <c r="AK1515">
        <v>96.495195434881197</v>
      </c>
      <c r="AL1515">
        <v>85.198140439782307</v>
      </c>
      <c r="AM1515">
        <v>86.960003622553401</v>
      </c>
      <c r="AN1515">
        <v>1.00000006079486</v>
      </c>
    </row>
    <row r="1516" spans="1:40" x14ac:dyDescent="0.25">
      <c r="A1516" t="str">
        <f>"20190312150657924"</f>
        <v>20190312150657924</v>
      </c>
      <c r="B1516" t="str">
        <f>"1552374417911884"</f>
        <v>1552374417911884</v>
      </c>
      <c r="C1516" t="s">
        <v>40</v>
      </c>
      <c r="D1516">
        <v>4.3410849999999996</v>
      </c>
      <c r="E1516">
        <v>0.52945739999999997</v>
      </c>
      <c r="F1516" t="s">
        <v>47</v>
      </c>
      <c r="G1516">
        <v>-169.2955</v>
      </c>
      <c r="H1516">
        <v>0.71417810000000004</v>
      </c>
      <c r="I1516">
        <v>354.63929999999999</v>
      </c>
      <c r="J1516">
        <v>-264.8383</v>
      </c>
      <c r="K1516">
        <v>1.1106780000000001</v>
      </c>
      <c r="L1516">
        <v>367.2321</v>
      </c>
      <c r="M1516">
        <v>0.99990239999999997</v>
      </c>
      <c r="N1516">
        <v>0</v>
      </c>
      <c r="O1516">
        <v>2.222763E-3</v>
      </c>
      <c r="P1516">
        <v>0.99626000000000003</v>
      </c>
      <c r="Q1516">
        <v>7.0006769999999996E-2</v>
      </c>
      <c r="R1516">
        <v>-5.0648369999999998E-2</v>
      </c>
      <c r="S1516">
        <v>2.9920650000000002</v>
      </c>
      <c r="T1516">
        <v>-1.239765E-2</v>
      </c>
      <c r="U1516">
        <v>-0.39382929999999999</v>
      </c>
      <c r="V1516">
        <v>5.2860999999999998E-2</v>
      </c>
      <c r="W1516">
        <v>8.3741999999999997E-2</v>
      </c>
      <c r="X1516">
        <v>0.99508439999999998</v>
      </c>
      <c r="Y1516">
        <v>0.1327015</v>
      </c>
      <c r="Z1516">
        <v>-2.829148E-4</v>
      </c>
      <c r="AA1516">
        <v>0.99115600000000004</v>
      </c>
      <c r="AB1516">
        <v>24</v>
      </c>
      <c r="AC1516">
        <v>95.5428</v>
      </c>
      <c r="AD1516">
        <v>-0.39649990000000002</v>
      </c>
      <c r="AE1516">
        <v>-12.5928</v>
      </c>
      <c r="AF1516">
        <v>12.8049413263389</v>
      </c>
      <c r="AG1516">
        <v>-0.39649990000000002</v>
      </c>
      <c r="AH1516">
        <v>95.5129535976738</v>
      </c>
      <c r="AI1516">
        <v>90.235739723730603</v>
      </c>
      <c r="AJ1516">
        <v>82.364173074551999</v>
      </c>
      <c r="AK1516">
        <v>96.368293745884401</v>
      </c>
      <c r="AL1516">
        <v>85.196311076649195</v>
      </c>
      <c r="AM1516">
        <v>86.959184521108696</v>
      </c>
      <c r="AN1516">
        <v>0.99999998550417901</v>
      </c>
    </row>
    <row r="1517" spans="1:40" x14ac:dyDescent="0.25">
      <c r="A1517" t="str">
        <f>"20190312150657938"</f>
        <v>20190312150657938</v>
      </c>
      <c r="B1517" t="str">
        <f>"1552374417931404"</f>
        <v>1552374417931404</v>
      </c>
      <c r="C1517" t="s">
        <v>40</v>
      </c>
      <c r="D1517">
        <v>4.30863</v>
      </c>
      <c r="E1517">
        <v>0.52944290000000005</v>
      </c>
      <c r="F1517" t="s">
        <v>47</v>
      </c>
      <c r="G1517">
        <v>-169.2955</v>
      </c>
      <c r="H1517">
        <v>0.70585439999999999</v>
      </c>
      <c r="I1517">
        <v>354.66239999999999</v>
      </c>
      <c r="J1517">
        <v>-264.69349999999997</v>
      </c>
      <c r="K1517">
        <v>1.1106799999999999</v>
      </c>
      <c r="L1517">
        <v>367.23250000000002</v>
      </c>
      <c r="M1517">
        <v>0.99990250000000003</v>
      </c>
      <c r="N1517">
        <v>0</v>
      </c>
      <c r="O1517">
        <v>2.2445149999999999E-3</v>
      </c>
      <c r="P1517">
        <v>0.99624140000000005</v>
      </c>
      <c r="Q1517">
        <v>7.018576E-2</v>
      </c>
      <c r="R1517">
        <v>-5.0769929999999998E-2</v>
      </c>
      <c r="S1517">
        <v>2.9921259999999998</v>
      </c>
      <c r="T1517">
        <v>-1.2675169999999999E-2</v>
      </c>
      <c r="U1517">
        <v>-0.3936462</v>
      </c>
      <c r="V1517">
        <v>5.3004049999999997E-2</v>
      </c>
      <c r="W1517">
        <v>8.3920670000000003E-2</v>
      </c>
      <c r="X1517">
        <v>0.9950618</v>
      </c>
      <c r="Y1517">
        <v>0.1326608</v>
      </c>
      <c r="Z1517">
        <v>-2.8924890000000001E-4</v>
      </c>
      <c r="AA1517">
        <v>0.99116150000000003</v>
      </c>
      <c r="AB1517">
        <v>24</v>
      </c>
      <c r="AC1517">
        <v>95.397999999999897</v>
      </c>
      <c r="AD1517">
        <v>-0.40482559999999901</v>
      </c>
      <c r="AE1517">
        <v>-12.5701</v>
      </c>
      <c r="AF1517">
        <v>12.783984631205801</v>
      </c>
      <c r="AG1517">
        <v>-0.40482559999999901</v>
      </c>
      <c r="AH1517">
        <v>95.367855151138002</v>
      </c>
      <c r="AI1517">
        <v>90.241056422198696</v>
      </c>
      <c r="AJ1517">
        <v>82.365060751427706</v>
      </c>
      <c r="AK1517">
        <v>96.221733215244896</v>
      </c>
      <c r="AL1517">
        <v>85.186038174180794</v>
      </c>
      <c r="AM1517">
        <v>86.950901993115593</v>
      </c>
      <c r="AN1517">
        <v>1.0000000469944399</v>
      </c>
    </row>
    <row r="1518" spans="1:40" x14ac:dyDescent="0.25">
      <c r="A1518" t="str">
        <f>"20190312150657947"</f>
        <v>20190312150657947</v>
      </c>
      <c r="B1518" t="str">
        <f>"1552374417942140"</f>
        <v>1552374417942140</v>
      </c>
      <c r="C1518" t="s">
        <v>40</v>
      </c>
      <c r="D1518">
        <v>4.3182239999999998</v>
      </c>
      <c r="E1518">
        <v>0.52942919999999905</v>
      </c>
      <c r="F1518" t="s">
        <v>47</v>
      </c>
      <c r="G1518">
        <v>-169.2955</v>
      </c>
      <c r="H1518">
        <v>0.68495079999999997</v>
      </c>
      <c r="I1518">
        <v>354.67529999999999</v>
      </c>
      <c r="J1518">
        <v>-264.58449999999999</v>
      </c>
      <c r="K1518">
        <v>1.1106819999999999</v>
      </c>
      <c r="L1518">
        <v>367.23270000000002</v>
      </c>
      <c r="M1518">
        <v>0.99990230000000002</v>
      </c>
      <c r="N1518">
        <v>0</v>
      </c>
      <c r="O1518">
        <v>2.2609650000000002E-3</v>
      </c>
      <c r="P1518">
        <v>0.99623839999999997</v>
      </c>
      <c r="Q1518">
        <v>7.0078520000000005E-2</v>
      </c>
      <c r="R1518">
        <v>-5.0974029999999997E-2</v>
      </c>
      <c r="S1518">
        <v>2.9921880000000001</v>
      </c>
      <c r="T1518">
        <v>-1.335037E-2</v>
      </c>
      <c r="U1518">
        <v>-0.39385989999999999</v>
      </c>
      <c r="V1518">
        <v>5.3224609999999999E-2</v>
      </c>
      <c r="W1518">
        <v>8.3813760000000001E-2</v>
      </c>
      <c r="X1518">
        <v>0.99505900000000003</v>
      </c>
      <c r="Y1518">
        <v>0.1327439</v>
      </c>
      <c r="Z1518">
        <v>-3.049072E-4</v>
      </c>
      <c r="AA1518">
        <v>0.99115030000000004</v>
      </c>
      <c r="AB1518">
        <v>24</v>
      </c>
      <c r="AC1518">
        <v>95.289000000000001</v>
      </c>
      <c r="AD1518">
        <v>-0.42573119999999898</v>
      </c>
      <c r="AE1518">
        <v>-12.557399999999999</v>
      </c>
      <c r="AF1518">
        <v>12.772582888220599</v>
      </c>
      <c r="AG1518">
        <v>-0.42573119999999898</v>
      </c>
      <c r="AH1518">
        <v>95.258492842803093</v>
      </c>
      <c r="AI1518">
        <v>90.253794550243001</v>
      </c>
      <c r="AJ1518">
        <v>82.363135629107006</v>
      </c>
      <c r="AK1518">
        <v>96.111916947761898</v>
      </c>
      <c r="AL1518">
        <v>85.192185141662407</v>
      </c>
      <c r="AM1518">
        <v>86.938229604122498</v>
      </c>
      <c r="AN1518">
        <v>1.0000000094779899</v>
      </c>
    </row>
    <row r="1519" spans="1:40" x14ac:dyDescent="0.25">
      <c r="A1519" t="str">
        <f>"20190312150657958"</f>
        <v>20190312150657958</v>
      </c>
      <c r="B1519" t="str">
        <f>"1552374417951901"</f>
        <v>1552374417951901</v>
      </c>
      <c r="C1519" t="s">
        <v>40</v>
      </c>
      <c r="D1519">
        <v>4.3527670000000001</v>
      </c>
      <c r="E1519">
        <v>0.52942440000000002</v>
      </c>
      <c r="F1519" t="s">
        <v>47</v>
      </c>
      <c r="G1519">
        <v>-169.2955</v>
      </c>
      <c r="H1519">
        <v>0.65689949999999997</v>
      </c>
      <c r="I1519">
        <v>354.66550000000001</v>
      </c>
      <c r="J1519">
        <v>-264.46809999999999</v>
      </c>
      <c r="K1519">
        <v>1.1106819999999999</v>
      </c>
      <c r="L1519">
        <v>367.233</v>
      </c>
      <c r="M1519">
        <v>0.99990230000000002</v>
      </c>
      <c r="N1519">
        <v>0</v>
      </c>
      <c r="O1519">
        <v>2.2784910000000001E-3</v>
      </c>
      <c r="P1519">
        <v>0.9962299</v>
      </c>
      <c r="Q1519">
        <v>7.0204030000000001E-2</v>
      </c>
      <c r="R1519">
        <v>-5.0965879999999998E-2</v>
      </c>
      <c r="S1519">
        <v>2.9921570000000002</v>
      </c>
      <c r="T1519">
        <v>-1.424634E-2</v>
      </c>
      <c r="U1519">
        <v>-0.3946228</v>
      </c>
      <c r="V1519">
        <v>5.3233990000000002E-2</v>
      </c>
      <c r="W1519">
        <v>8.3938730000000003E-2</v>
      </c>
      <c r="X1519">
        <v>0.99504789999999999</v>
      </c>
      <c r="Y1519">
        <v>0.13301079999999901</v>
      </c>
      <c r="Z1519">
        <v>-3.2608350000000002E-4</v>
      </c>
      <c r="AA1519">
        <v>0.99111459999999996</v>
      </c>
      <c r="AB1519">
        <v>24</v>
      </c>
      <c r="AC1519">
        <v>95.172600000000003</v>
      </c>
      <c r="AD1519">
        <v>-0.45378249999999998</v>
      </c>
      <c r="AE1519">
        <v>-12.5674999999999</v>
      </c>
      <c r="AF1519">
        <v>12.784052260406</v>
      </c>
      <c r="AG1519">
        <v>-0.45378249999999998</v>
      </c>
      <c r="AH1519">
        <v>95.141589389190898</v>
      </c>
      <c r="AI1519">
        <v>90.270838954745201</v>
      </c>
      <c r="AJ1519">
        <v>82.347078268484694</v>
      </c>
      <c r="AK1519">
        <v>95.997708005220105</v>
      </c>
      <c r="AL1519">
        <v>85.184999259618806</v>
      </c>
      <c r="AM1519">
        <v>86.937656946415302</v>
      </c>
      <c r="AN1519">
        <v>0.99999994568986905</v>
      </c>
    </row>
    <row r="1520" spans="1:40" x14ac:dyDescent="0.25">
      <c r="A1520" t="str">
        <f>"20190312150657969"</f>
        <v>20190312150657969</v>
      </c>
      <c r="B1520" t="str">
        <f>"1552374417961660"</f>
        <v>1552374417961660</v>
      </c>
      <c r="C1520" t="s">
        <v>40</v>
      </c>
      <c r="D1520">
        <v>4.3672339999999998</v>
      </c>
      <c r="E1520">
        <v>0.52941640000000001</v>
      </c>
      <c r="F1520" t="s">
        <v>47</v>
      </c>
      <c r="G1520">
        <v>-169.2955</v>
      </c>
      <c r="H1520">
        <v>0.63935949999999997</v>
      </c>
      <c r="I1520">
        <v>354.69009999999997</v>
      </c>
      <c r="J1520">
        <v>-264.35309999999998</v>
      </c>
      <c r="K1520">
        <v>1.1106830000000001</v>
      </c>
      <c r="L1520">
        <v>367.23320000000001</v>
      </c>
      <c r="M1520">
        <v>0.99990230000000002</v>
      </c>
      <c r="N1520">
        <v>0</v>
      </c>
      <c r="O1520">
        <v>2.2956579999999999E-3</v>
      </c>
      <c r="P1520">
        <v>0.99622010000000005</v>
      </c>
      <c r="Q1520">
        <v>7.0292399999999894E-2</v>
      </c>
      <c r="R1520">
        <v>-5.1038020000000003E-2</v>
      </c>
      <c r="S1520">
        <v>2.9922179999999998</v>
      </c>
      <c r="T1520">
        <v>-1.481557E-2</v>
      </c>
      <c r="U1520">
        <v>-0.39434809999999998</v>
      </c>
      <c r="V1520">
        <v>5.3323139999999998E-2</v>
      </c>
      <c r="W1520">
        <v>8.4027110000000002E-2</v>
      </c>
      <c r="X1520">
        <v>0.99503569999999997</v>
      </c>
      <c r="Y1520">
        <v>0.13293559999999999</v>
      </c>
      <c r="Z1520">
        <v>-3.3900699999999903E-4</v>
      </c>
      <c r="AA1520">
        <v>0.99112460000000002</v>
      </c>
      <c r="AB1520">
        <v>24</v>
      </c>
      <c r="AC1520">
        <v>95.057599999999894</v>
      </c>
      <c r="AD1520">
        <v>-0.47132349999999901</v>
      </c>
      <c r="AE1520">
        <v>-12.543100000000001</v>
      </c>
      <c r="AF1520">
        <v>12.7609990730957</v>
      </c>
      <c r="AG1520">
        <v>-0.47132349999999901</v>
      </c>
      <c r="AH1520">
        <v>95.026255858296196</v>
      </c>
      <c r="AI1520">
        <v>90.281652465380802</v>
      </c>
      <c r="AJ1520">
        <v>82.351553366755894</v>
      </c>
      <c r="AK1520">
        <v>95.880417946688098</v>
      </c>
      <c r="AL1520">
        <v>85.179917663411501</v>
      </c>
      <c r="AM1520">
        <v>86.932500743803701</v>
      </c>
      <c r="AN1520">
        <v>0.99999997837444998</v>
      </c>
    </row>
    <row r="1521" spans="1:40" x14ac:dyDescent="0.25">
      <c r="A1521" t="str">
        <f>"20190312150657980"</f>
        <v>20190312150657980</v>
      </c>
      <c r="B1521" t="str">
        <f>"1552374417971420"</f>
        <v>1552374417971420</v>
      </c>
      <c r="C1521" t="s">
        <v>40</v>
      </c>
      <c r="D1521">
        <v>4.3748760000000004</v>
      </c>
      <c r="E1521">
        <v>0.52942290000000003</v>
      </c>
      <c r="F1521" t="s">
        <v>47</v>
      </c>
      <c r="G1521">
        <v>-169.2955</v>
      </c>
      <c r="H1521">
        <v>0.62973979999999996</v>
      </c>
      <c r="I1521">
        <v>354.7047</v>
      </c>
      <c r="J1521">
        <v>-264.23140000000001</v>
      </c>
      <c r="K1521">
        <v>1.1106849999999999</v>
      </c>
      <c r="L1521">
        <v>367.23360000000002</v>
      </c>
      <c r="M1521">
        <v>0.99990219999999996</v>
      </c>
      <c r="N1521">
        <v>0</v>
      </c>
      <c r="O1521">
        <v>2.3141960000000001E-3</v>
      </c>
      <c r="P1521">
        <v>0.99620399999999998</v>
      </c>
      <c r="Q1521">
        <v>7.0406969999999999E-2</v>
      </c>
      <c r="R1521">
        <v>-5.1186639999999999E-2</v>
      </c>
      <c r="S1521">
        <v>2.9922490000000002</v>
      </c>
      <c r="T1521">
        <v>-1.5136480000000001E-2</v>
      </c>
      <c r="U1521">
        <v>-0.39437870000000003</v>
      </c>
      <c r="V1521">
        <v>5.3490330000000003E-2</v>
      </c>
      <c r="W1521">
        <v>8.4141140000000003E-2</v>
      </c>
      <c r="X1521">
        <v>0.99501709999999999</v>
      </c>
      <c r="Y1521">
        <v>0.13296259999999999</v>
      </c>
      <c r="Z1521">
        <v>-3.465074E-4</v>
      </c>
      <c r="AA1521">
        <v>0.99112100000000003</v>
      </c>
      <c r="AB1521">
        <v>24</v>
      </c>
      <c r="AC1521">
        <v>94.935900000000004</v>
      </c>
      <c r="AD1521">
        <v>-0.48094520000000002</v>
      </c>
      <c r="AE1521">
        <v>-12.5289</v>
      </c>
      <c r="AF1521">
        <v>12.748266049464901</v>
      </c>
      <c r="AG1521">
        <v>-0.48094520000000002</v>
      </c>
      <c r="AH1521">
        <v>94.904254686947098</v>
      </c>
      <c r="AI1521">
        <v>90.287770078522001</v>
      </c>
      <c r="AJ1521">
        <v>82.349388581188506</v>
      </c>
      <c r="AK1521">
        <v>95.757856874714307</v>
      </c>
      <c r="AL1521">
        <v>85.173361053070593</v>
      </c>
      <c r="AM1521">
        <v>86.922843914767995</v>
      </c>
      <c r="AN1521">
        <v>0.999999988068209</v>
      </c>
    </row>
    <row r="1522" spans="1:40" x14ac:dyDescent="0.25">
      <c r="A1522" t="str">
        <f>"20190312150657993"</f>
        <v>20190312150657993</v>
      </c>
      <c r="B1522" t="str">
        <f>"1552374417981687"</f>
        <v>1552374417981687</v>
      </c>
      <c r="C1522" t="s">
        <v>40</v>
      </c>
      <c r="D1522">
        <v>4.3806149999999997</v>
      </c>
      <c r="E1522">
        <v>0.52938980000000002</v>
      </c>
      <c r="F1522" t="s">
        <v>47</v>
      </c>
      <c r="G1522">
        <v>-169.2955</v>
      </c>
      <c r="H1522">
        <v>0.6158342</v>
      </c>
      <c r="I1522">
        <v>354.70749999999998</v>
      </c>
      <c r="J1522">
        <v>-264.1003</v>
      </c>
      <c r="K1522">
        <v>1.1106780000000001</v>
      </c>
      <c r="L1522">
        <v>367.23390000000001</v>
      </c>
      <c r="M1522">
        <v>0.99990210000000002</v>
      </c>
      <c r="N1522">
        <v>0</v>
      </c>
      <c r="O1522">
        <v>2.3341019999999998E-3</v>
      </c>
      <c r="P1522">
        <v>0.99619930000000001</v>
      </c>
      <c r="Q1522">
        <v>7.0370820000000001E-2</v>
      </c>
      <c r="R1522">
        <v>-5.1331380000000003E-2</v>
      </c>
      <c r="S1522">
        <v>2.9922490000000002</v>
      </c>
      <c r="T1522">
        <v>-1.5594240000000001E-2</v>
      </c>
      <c r="U1522">
        <v>-0.39480589999999999</v>
      </c>
      <c r="V1522">
        <v>5.3654689999999998E-2</v>
      </c>
      <c r="W1522">
        <v>8.410455E-2</v>
      </c>
      <c r="X1522">
        <v>0.99501130000000004</v>
      </c>
      <c r="Y1522">
        <v>0.1331213</v>
      </c>
      <c r="Z1522">
        <v>-3.574982E-4</v>
      </c>
      <c r="AA1522">
        <v>0.99109970000000003</v>
      </c>
      <c r="AB1522">
        <v>24</v>
      </c>
      <c r="AC1522">
        <v>94.8048</v>
      </c>
      <c r="AD1522">
        <v>-0.4948438</v>
      </c>
      <c r="AE1522">
        <v>-12.526400000000001</v>
      </c>
      <c r="AF1522">
        <v>12.747329674423501</v>
      </c>
      <c r="AG1522">
        <v>-0.4948438</v>
      </c>
      <c r="AH1522">
        <v>94.772763308181595</v>
      </c>
      <c r="AI1522">
        <v>90.296489944274299</v>
      </c>
      <c r="AJ1522">
        <v>82.339455844476504</v>
      </c>
      <c r="AK1522">
        <v>95.627485323433305</v>
      </c>
      <c r="AL1522">
        <v>85.175464750619497</v>
      </c>
      <c r="AM1522">
        <v>86.913389019719901</v>
      </c>
      <c r="AN1522">
        <v>0.99999994410869297</v>
      </c>
    </row>
    <row r="1523" spans="1:40" x14ac:dyDescent="0.25">
      <c r="A1523" t="str">
        <f>"20190312150658006"</f>
        <v>20190312150658006</v>
      </c>
      <c r="B1523" t="str">
        <f>"1552374418002182"</f>
        <v>1552374418002182</v>
      </c>
      <c r="C1523" t="s">
        <v>40</v>
      </c>
      <c r="D1523">
        <v>4.4144220000000001</v>
      </c>
      <c r="E1523">
        <v>0.50801030000000003</v>
      </c>
      <c r="F1523" t="s">
        <v>47</v>
      </c>
      <c r="G1523">
        <v>-169.2955</v>
      </c>
      <c r="H1523">
        <v>0.58081629999999995</v>
      </c>
      <c r="I1523">
        <v>354.71559999999999</v>
      </c>
      <c r="J1523">
        <v>-263.9597</v>
      </c>
      <c r="K1523">
        <v>1.1106780000000001</v>
      </c>
      <c r="L1523">
        <v>367.23430000000002</v>
      </c>
      <c r="M1523">
        <v>0.99990210000000002</v>
      </c>
      <c r="N1523">
        <v>0</v>
      </c>
      <c r="O1523">
        <v>2.3556179999999999E-3</v>
      </c>
      <c r="P1523">
        <v>0.99616439999999995</v>
      </c>
      <c r="Q1523">
        <v>7.0418419999999995E-2</v>
      </c>
      <c r="R1523">
        <v>-5.1943400000000001E-2</v>
      </c>
      <c r="S1523">
        <v>2.9922789999999999</v>
      </c>
      <c r="T1523">
        <v>-1.6721010000000001E-2</v>
      </c>
      <c r="U1523">
        <v>-0.39511109999999999</v>
      </c>
      <c r="V1523">
        <v>5.4288129999999997E-2</v>
      </c>
      <c r="W1523">
        <v>8.4151119999999996E-2</v>
      </c>
      <c r="X1523">
        <v>0.99497310000000005</v>
      </c>
      <c r="Y1523">
        <v>0.13324040000000001</v>
      </c>
      <c r="Z1523">
        <v>-3.8377350000000002E-4</v>
      </c>
      <c r="AA1523">
        <v>0.99108370000000001</v>
      </c>
      <c r="AB1523">
        <v>24</v>
      </c>
      <c r="AC1523">
        <v>94.664199999999994</v>
      </c>
      <c r="AD1523">
        <v>-0.52986169999999899</v>
      </c>
      <c r="AE1523">
        <v>-12.518700000000001</v>
      </c>
      <c r="AF1523">
        <v>12.7412868510959</v>
      </c>
      <c r="AG1523">
        <v>-0.52986169999999899</v>
      </c>
      <c r="AH1523">
        <v>94.631531424778402</v>
      </c>
      <c r="AI1523">
        <v>90.317938850793098</v>
      </c>
      <c r="AJ1523">
        <v>82.331752529982396</v>
      </c>
      <c r="AK1523">
        <v>95.486899016785799</v>
      </c>
      <c r="AL1523">
        <v>85.172787461579105</v>
      </c>
      <c r="AM1523">
        <v>86.876900957258599</v>
      </c>
      <c r="AN1523">
        <v>1.0000000408898799</v>
      </c>
    </row>
    <row r="1524" spans="1:40" x14ac:dyDescent="0.25">
      <c r="A1524" t="str">
        <f>"20190312150658018"</f>
        <v>20190312150658018</v>
      </c>
      <c r="B1524" t="str">
        <f>"1552374418011942"</f>
        <v>1552374418011942</v>
      </c>
      <c r="C1524" t="s">
        <v>40</v>
      </c>
      <c r="D1524">
        <v>4.4721080000000004</v>
      </c>
      <c r="E1524">
        <v>0.5037258</v>
      </c>
      <c r="F1524" t="s">
        <v>42</v>
      </c>
      <c r="G1524">
        <v>-236.131</v>
      </c>
      <c r="H1524" s="1">
        <v>-2.5018330000000002E-6</v>
      </c>
      <c r="I1524">
        <v>365.10969999999998</v>
      </c>
      <c r="J1524">
        <v>-263.82350000000002</v>
      </c>
      <c r="K1524">
        <v>1.1106769999999999</v>
      </c>
      <c r="L1524">
        <v>367.2346</v>
      </c>
      <c r="M1524">
        <v>0.99990199999999996</v>
      </c>
      <c r="N1524">
        <v>0</v>
      </c>
      <c r="O1524">
        <v>2.3763619999999999E-3</v>
      </c>
      <c r="P1524">
        <v>0.99612639999999997</v>
      </c>
      <c r="Q1524">
        <v>7.0545620000000003E-2</v>
      </c>
      <c r="R1524">
        <v>-5.2495430000000003E-2</v>
      </c>
      <c r="S1524">
        <v>3.008057</v>
      </c>
      <c r="T1524">
        <v>-0.12005540000000001</v>
      </c>
      <c r="U1524">
        <v>-0.22964480000000001</v>
      </c>
      <c r="V1524">
        <v>5.486067E-2</v>
      </c>
      <c r="W1524">
        <v>8.4277030000000003E-2</v>
      </c>
      <c r="X1524">
        <v>0.99493100000000001</v>
      </c>
      <c r="Y1524">
        <v>7.8427239999999995E-2</v>
      </c>
      <c r="Z1524">
        <v>-1.6568520000000001E-3</v>
      </c>
      <c r="AA1524">
        <v>0.99691839999999998</v>
      </c>
      <c r="AB1524">
        <v>24</v>
      </c>
      <c r="AC1524">
        <v>27.692499999999999</v>
      </c>
      <c r="AD1524">
        <v>-1.110679501833</v>
      </c>
      <c r="AE1524">
        <v>-2.1249000000000202</v>
      </c>
      <c r="AF1524">
        <v>2.18720987467047</v>
      </c>
      <c r="AG1524">
        <v>-1.110679501833</v>
      </c>
      <c r="AH1524">
        <v>27.643164744512799</v>
      </c>
      <c r="AI1524">
        <v>92.293698538236598</v>
      </c>
      <c r="AJ1524">
        <v>85.476011576133402</v>
      </c>
      <c r="AK1524">
        <v>27.751793691290001</v>
      </c>
      <c r="AL1524">
        <v>85.165547447682499</v>
      </c>
      <c r="AM1524">
        <v>86.843896716555307</v>
      </c>
      <c r="AN1524">
        <v>1.00000000282973</v>
      </c>
    </row>
    <row r="1525" spans="1:40" x14ac:dyDescent="0.25">
      <c r="A1525" t="str">
        <f>"20190312150658030"</f>
        <v>20190312150658030</v>
      </c>
      <c r="B1525" t="str">
        <f>"1552374418021703"</f>
        <v>1552374418021703</v>
      </c>
      <c r="C1525" t="s">
        <v>40</v>
      </c>
      <c r="D1525">
        <v>4.4651160000000001</v>
      </c>
      <c r="E1525">
        <v>0.50117959999999995</v>
      </c>
      <c r="F1525" t="s">
        <v>42</v>
      </c>
      <c r="G1525">
        <v>-239.28</v>
      </c>
      <c r="H1525" s="1">
        <v>-1.2937469999999901E-6</v>
      </c>
      <c r="I1525">
        <v>365.62259999999998</v>
      </c>
      <c r="J1525">
        <v>-263.69389999999999</v>
      </c>
      <c r="K1525">
        <v>1.110679</v>
      </c>
      <c r="L1525">
        <v>367.23489999999998</v>
      </c>
      <c r="M1525">
        <v>0.99990219999999996</v>
      </c>
      <c r="N1525">
        <v>0</v>
      </c>
      <c r="O1525">
        <v>2.3957359999999999E-3</v>
      </c>
      <c r="P1525">
        <v>0.99612829999999997</v>
      </c>
      <c r="Q1525">
        <v>7.0323430000000006E-2</v>
      </c>
      <c r="R1525">
        <v>-5.2761710000000003E-2</v>
      </c>
      <c r="S1525">
        <v>3.0109249999999999</v>
      </c>
      <c r="T1525">
        <v>-0.13625429999999999</v>
      </c>
      <c r="U1525">
        <v>-0.19775390000000001</v>
      </c>
      <c r="V1525">
        <v>5.514608E-2</v>
      </c>
      <c r="W1525">
        <v>8.4054190000000001E-2</v>
      </c>
      <c r="X1525">
        <v>0.99493410000000004</v>
      </c>
      <c r="Y1525">
        <v>6.7856620000000006E-2</v>
      </c>
      <c r="Z1525">
        <v>-1.6411889999999999E-3</v>
      </c>
      <c r="AA1525">
        <v>0.99769370000000002</v>
      </c>
      <c r="AB1525">
        <v>24</v>
      </c>
      <c r="AC1525">
        <v>24.413899999999899</v>
      </c>
      <c r="AD1525">
        <v>-1.1106802937469999</v>
      </c>
      <c r="AE1525">
        <v>-1.6123000000000001</v>
      </c>
      <c r="AF1525">
        <v>1.6673542746765699</v>
      </c>
      <c r="AG1525">
        <v>-1.1106802937469999</v>
      </c>
      <c r="AH1525">
        <v>24.3597688449853</v>
      </c>
      <c r="AI1525">
        <v>92.604499620453197</v>
      </c>
      <c r="AJ1525">
        <v>86.084380282247594</v>
      </c>
      <c r="AK1525">
        <v>24.442013402609</v>
      </c>
      <c r="AL1525">
        <v>85.1783608355627</v>
      </c>
      <c r="AM1525">
        <v>86.8275205584589</v>
      </c>
      <c r="AN1525">
        <v>1.0000000301693599</v>
      </c>
    </row>
    <row r="1526" spans="1:40" x14ac:dyDescent="0.25">
      <c r="A1526" t="str">
        <f>"20190312150658042"</f>
        <v>20190312150658042</v>
      </c>
      <c r="B1526" t="str">
        <f>"1552374418031464"</f>
        <v>1552374418031464</v>
      </c>
      <c r="C1526" t="s">
        <v>40</v>
      </c>
      <c r="D1526">
        <v>4.4502439999999996</v>
      </c>
      <c r="E1526">
        <v>0.49958540000000001</v>
      </c>
      <c r="F1526" t="s">
        <v>42</v>
      </c>
      <c r="G1526">
        <v>-239.50540000000001</v>
      </c>
      <c r="H1526" s="1">
        <v>-1.1688120000000001E-6</v>
      </c>
      <c r="I1526">
        <v>365.80380000000002</v>
      </c>
      <c r="J1526">
        <v>-263.56580000000002</v>
      </c>
      <c r="K1526">
        <v>1.110679</v>
      </c>
      <c r="L1526">
        <v>367.2353</v>
      </c>
      <c r="M1526">
        <v>0.99990199999999996</v>
      </c>
      <c r="N1526">
        <v>0</v>
      </c>
      <c r="O1526">
        <v>2.4154070000000001E-3</v>
      </c>
      <c r="P1526">
        <v>0.99610679999999996</v>
      </c>
      <c r="Q1526">
        <v>7.0336129999999997E-2</v>
      </c>
      <c r="R1526">
        <v>-5.3141670000000002E-2</v>
      </c>
      <c r="S1526">
        <v>3.0119929999999999</v>
      </c>
      <c r="T1526">
        <v>-0.13830319999999999</v>
      </c>
      <c r="U1526">
        <v>-0.17819209999999999</v>
      </c>
      <c r="V1526">
        <v>5.5545940000000002E-2</v>
      </c>
      <c r="W1526">
        <v>8.4066080000000001E-2</v>
      </c>
      <c r="X1526">
        <v>0.99491079999999998</v>
      </c>
      <c r="Y1526">
        <v>6.1401839999999999E-2</v>
      </c>
      <c r="Z1526">
        <v>-1.518506E-3</v>
      </c>
      <c r="AA1526">
        <v>0.998112</v>
      </c>
      <c r="AB1526">
        <v>24</v>
      </c>
      <c r="AC1526">
        <v>24.060400000000001</v>
      </c>
      <c r="AD1526">
        <v>-1.110680168812</v>
      </c>
      <c r="AE1526">
        <v>-1.43149999999997</v>
      </c>
      <c r="AF1526">
        <v>1.48646061462898</v>
      </c>
      <c r="AG1526">
        <v>-1.110680168812</v>
      </c>
      <c r="AH1526">
        <v>24.005896997171899</v>
      </c>
      <c r="AI1526">
        <v>92.643956498362201</v>
      </c>
      <c r="AJ1526">
        <v>86.456732275214307</v>
      </c>
      <c r="AK1526">
        <v>24.077505398920799</v>
      </c>
      <c r="AL1526">
        <v>85.177676919812896</v>
      </c>
      <c r="AM1526">
        <v>86.804489972764799</v>
      </c>
      <c r="AN1526">
        <v>0.99999997860684398</v>
      </c>
    </row>
    <row r="1527" spans="1:40" x14ac:dyDescent="0.25">
      <c r="A1527" t="str">
        <f>"20190312150658054"</f>
        <v>20190312150658054</v>
      </c>
      <c r="B1527" t="str">
        <f>"1552374418051959"</f>
        <v>1552374418051959</v>
      </c>
      <c r="C1527" t="s">
        <v>40</v>
      </c>
      <c r="D1527">
        <v>4.4400389999999996</v>
      </c>
      <c r="E1527">
        <v>0.49767280000000003</v>
      </c>
      <c r="F1527" t="s">
        <v>42</v>
      </c>
      <c r="G1527">
        <v>-239.87790000000001</v>
      </c>
      <c r="H1527" s="1">
        <v>-1.0102840000000001E-6</v>
      </c>
      <c r="I1527">
        <v>365.92320000000001</v>
      </c>
      <c r="J1527">
        <v>-263.43759999999997</v>
      </c>
      <c r="K1527">
        <v>1.1106780000000001</v>
      </c>
      <c r="L1527">
        <v>367.23559999999998</v>
      </c>
      <c r="M1527">
        <v>0.99990199999999996</v>
      </c>
      <c r="N1527">
        <v>0</v>
      </c>
      <c r="O1527">
        <v>2.4346049999999998E-3</v>
      </c>
      <c r="P1527">
        <v>0.99606649999999997</v>
      </c>
      <c r="Q1527">
        <v>7.0518250000000005E-2</v>
      </c>
      <c r="R1527">
        <v>-5.365429E-2</v>
      </c>
      <c r="S1527">
        <v>3.0127869999999999</v>
      </c>
      <c r="T1527">
        <v>-0.1412631</v>
      </c>
      <c r="U1527">
        <v>-0.16687009999999999</v>
      </c>
      <c r="V1527">
        <v>5.607757E-2</v>
      </c>
      <c r="W1527">
        <v>8.4247100000000005E-2</v>
      </c>
      <c r="X1527">
        <v>0.99486569999999996</v>
      </c>
      <c r="Y1527">
        <v>5.7667650000000001E-2</v>
      </c>
      <c r="Z1527">
        <v>-1.4641960000000001E-3</v>
      </c>
      <c r="AA1527">
        <v>0.99833479999999997</v>
      </c>
      <c r="AB1527">
        <v>24</v>
      </c>
      <c r="AC1527">
        <v>23.5596999999999</v>
      </c>
      <c r="AD1527">
        <v>-1.1106790102840001</v>
      </c>
      <c r="AE1527">
        <v>-1.31239999999996</v>
      </c>
      <c r="AF1527">
        <v>1.3667319885749301</v>
      </c>
      <c r="AG1527">
        <v>-1.1106790102840001</v>
      </c>
      <c r="AH1527">
        <v>23.504358344694701</v>
      </c>
      <c r="AI1527">
        <v>92.700896643025303</v>
      </c>
      <c r="AJ1527">
        <v>86.672111017609495</v>
      </c>
      <c r="AK1527">
        <v>23.570244491483301</v>
      </c>
      <c r="AL1527">
        <v>85.167268486746906</v>
      </c>
      <c r="AM1527">
        <v>86.773824114712298</v>
      </c>
      <c r="AN1527">
        <v>1.0000000143759999</v>
      </c>
    </row>
    <row r="1528" spans="1:40" x14ac:dyDescent="0.25">
      <c r="A1528" t="str">
        <f>"20190312150658069"</f>
        <v>20190312150658069</v>
      </c>
      <c r="B1528" t="str">
        <f>"1552374418061719"</f>
        <v>1552374418061719</v>
      </c>
      <c r="C1528" t="s">
        <v>40</v>
      </c>
      <c r="D1528">
        <v>4.4651350000000001</v>
      </c>
      <c r="E1528">
        <v>0.49735170000000001</v>
      </c>
      <c r="F1528" t="s">
        <v>42</v>
      </c>
      <c r="G1528">
        <v>-240.1559</v>
      </c>
      <c r="H1528" s="1">
        <v>-5.2664339999999998E-6</v>
      </c>
      <c r="I1528">
        <v>366.05020000000002</v>
      </c>
      <c r="J1528">
        <v>-263.279</v>
      </c>
      <c r="K1528">
        <v>1.1106819999999999</v>
      </c>
      <c r="L1528">
        <v>367.23599999999999</v>
      </c>
      <c r="M1528">
        <v>0.99990179999999995</v>
      </c>
      <c r="N1528">
        <v>0</v>
      </c>
      <c r="O1528">
        <v>2.4585119999999999E-3</v>
      </c>
      <c r="P1528">
        <v>0.99603120000000001</v>
      </c>
      <c r="Q1528">
        <v>7.0418460000000002E-2</v>
      </c>
      <c r="R1528">
        <v>-5.4434469999999999E-2</v>
      </c>
      <c r="S1528">
        <v>3.013763</v>
      </c>
      <c r="T1528">
        <v>-0.14377570000000001</v>
      </c>
      <c r="U1528">
        <v>-0.15344240000000001</v>
      </c>
      <c r="V1528">
        <v>5.6881389999999997E-2</v>
      </c>
      <c r="W1528">
        <v>8.4145899999999996E-2</v>
      </c>
      <c r="X1528">
        <v>0.99482859999999995</v>
      </c>
      <c r="Y1528">
        <v>5.3240240000000001E-2</v>
      </c>
      <c r="Z1528">
        <v>-1.3855639999999999E-3</v>
      </c>
      <c r="AA1528">
        <v>0.99858080000000005</v>
      </c>
      <c r="AB1528">
        <v>24</v>
      </c>
      <c r="AC1528">
        <v>23.123099999999901</v>
      </c>
      <c r="AD1528">
        <v>-1.110687266434</v>
      </c>
      <c r="AE1528">
        <v>-1.18579999999997</v>
      </c>
      <c r="AF1528">
        <v>1.23979724741843</v>
      </c>
      <c r="AG1528">
        <v>-1.110687266434</v>
      </c>
      <c r="AH1528">
        <v>23.067033098450601</v>
      </c>
      <c r="AI1528">
        <v>92.752719536008698</v>
      </c>
      <c r="AJ1528">
        <v>86.923450641940704</v>
      </c>
      <c r="AK1528">
        <v>23.1270131963369</v>
      </c>
      <c r="AL1528">
        <v>85.173087335792303</v>
      </c>
      <c r="AM1528">
        <v>86.727557892575405</v>
      </c>
      <c r="AN1528">
        <v>0.99999998419655001</v>
      </c>
    </row>
    <row r="1529" spans="1:40" x14ac:dyDescent="0.25">
      <c r="A1529" t="str">
        <f>"20190312150658079"</f>
        <v>20190312150658079</v>
      </c>
      <c r="B1529" t="str">
        <f>"1552374418071480"</f>
        <v>1552374418071480</v>
      </c>
      <c r="C1529" t="s">
        <v>40</v>
      </c>
      <c r="D1529">
        <v>4.4846839999999997</v>
      </c>
      <c r="E1529">
        <v>0.4970213</v>
      </c>
      <c r="F1529" t="s">
        <v>42</v>
      </c>
      <c r="G1529">
        <v>-240.01130000000001</v>
      </c>
      <c r="H1529" s="1">
        <v>-5.3347650000000002E-6</v>
      </c>
      <c r="I1529">
        <v>366.05040000000002</v>
      </c>
      <c r="J1529">
        <v>-263.15589999999997</v>
      </c>
      <c r="K1529">
        <v>1.1106830000000001</v>
      </c>
      <c r="L1529">
        <v>367.23630000000003</v>
      </c>
      <c r="M1529">
        <v>0.99990199999999996</v>
      </c>
      <c r="N1529">
        <v>0</v>
      </c>
      <c r="O1529">
        <v>2.47723E-3</v>
      </c>
      <c r="P1529">
        <v>0.99600560000000005</v>
      </c>
      <c r="Q1529">
        <v>7.0398580000000002E-2</v>
      </c>
      <c r="R1529">
        <v>-5.4929220000000001E-2</v>
      </c>
      <c r="S1529">
        <v>3.0137330000000002</v>
      </c>
      <c r="T1529">
        <v>-0.14386090000000001</v>
      </c>
      <c r="U1529">
        <v>-0.15356449999999999</v>
      </c>
      <c r="V1529">
        <v>5.7394710000000002E-2</v>
      </c>
      <c r="W1529">
        <v>8.412451E-2</v>
      </c>
      <c r="X1529">
        <v>0.99480089999999999</v>
      </c>
      <c r="Y1529">
        <v>5.3299630000000001E-2</v>
      </c>
      <c r="Z1529">
        <v>-1.388706E-3</v>
      </c>
      <c r="AA1529">
        <v>0.99857759999999995</v>
      </c>
      <c r="AB1529">
        <v>24</v>
      </c>
      <c r="AC1529">
        <v>23.144599999999901</v>
      </c>
      <c r="AD1529">
        <v>-1.1106883347650001</v>
      </c>
      <c r="AE1529">
        <v>-1.1859</v>
      </c>
      <c r="AF1529">
        <v>1.24038722795602</v>
      </c>
      <c r="AG1529">
        <v>-1.1106883347650001</v>
      </c>
      <c r="AH1529">
        <v>23.088558314227999</v>
      </c>
      <c r="AI1529">
        <v>92.750163400861496</v>
      </c>
      <c r="AJ1529">
        <v>86.924853509419194</v>
      </c>
      <c r="AK1529">
        <v>23.148514295344501</v>
      </c>
      <c r="AL1529">
        <v>85.174317128032897</v>
      </c>
      <c r="AM1529">
        <v>86.697999403731799</v>
      </c>
      <c r="AN1529">
        <v>0.99999995827976595</v>
      </c>
    </row>
    <row r="1530" spans="1:40" x14ac:dyDescent="0.25">
      <c r="A1530" t="str">
        <f>"20190312150658091"</f>
        <v>20190312150658091</v>
      </c>
      <c r="B1530" t="str">
        <f>"1552374418081746"</f>
        <v>1552374418081746</v>
      </c>
      <c r="C1530" t="s">
        <v>40</v>
      </c>
      <c r="D1530">
        <v>4.4750459999999999</v>
      </c>
      <c r="E1530">
        <v>0.49687179999999997</v>
      </c>
      <c r="F1530" t="s">
        <v>42</v>
      </c>
      <c r="G1530">
        <v>-240.77680000000001</v>
      </c>
      <c r="H1530" s="1">
        <v>-4.9634260000000001E-6</v>
      </c>
      <c r="I1530">
        <v>366.10390000000001</v>
      </c>
      <c r="J1530">
        <v>-263.04239999999999</v>
      </c>
      <c r="K1530">
        <v>1.110684</v>
      </c>
      <c r="L1530">
        <v>367.23660000000001</v>
      </c>
      <c r="M1530">
        <v>0.99990199999999996</v>
      </c>
      <c r="N1530">
        <v>0</v>
      </c>
      <c r="O1530">
        <v>2.494577E-3</v>
      </c>
      <c r="P1530">
        <v>0.99598379999999997</v>
      </c>
      <c r="Q1530">
        <v>7.0533929999999995E-2</v>
      </c>
      <c r="R1530">
        <v>-5.5151869999999999E-2</v>
      </c>
      <c r="S1530">
        <v>3.014221</v>
      </c>
      <c r="T1530">
        <v>-0.14959710000000001</v>
      </c>
      <c r="U1530">
        <v>-0.15252689999999999</v>
      </c>
      <c r="V1530">
        <v>5.7634530000000003E-2</v>
      </c>
      <c r="W1530">
        <v>8.425945E-2</v>
      </c>
      <c r="X1530">
        <v>0.99477570000000004</v>
      </c>
      <c r="Y1530">
        <v>5.2961130000000002E-2</v>
      </c>
      <c r="Z1530">
        <v>-1.4362610000000001E-3</v>
      </c>
      <c r="AA1530">
        <v>0.99859549999999997</v>
      </c>
      <c r="AB1530">
        <v>24</v>
      </c>
      <c r="AC1530">
        <v>22.2655999999999</v>
      </c>
      <c r="AD1530">
        <v>-1.110688963426</v>
      </c>
      <c r="AE1530">
        <v>-1.13269999999999</v>
      </c>
      <c r="AF1530">
        <v>1.18530313245569</v>
      </c>
      <c r="AG1530">
        <v>-1.110688963426</v>
      </c>
      <c r="AH1530">
        <v>22.207586638810699</v>
      </c>
      <c r="AI1530">
        <v>92.859139245466494</v>
      </c>
      <c r="AJ1530">
        <v>86.944805896812198</v>
      </c>
      <c r="AK1530">
        <v>22.266914420493201</v>
      </c>
      <c r="AL1530">
        <v>85.166558500695103</v>
      </c>
      <c r="AM1530">
        <v>86.684149124505097</v>
      </c>
      <c r="AN1530">
        <v>1.0000000436365499</v>
      </c>
    </row>
    <row r="1531" spans="1:40" x14ac:dyDescent="0.25">
      <c r="A1531" t="str">
        <f>"20190312150658102"</f>
        <v>20190312150658102</v>
      </c>
      <c r="B1531" t="str">
        <f>"1552374418091507"</f>
        <v>1552374418091507</v>
      </c>
      <c r="C1531" t="s">
        <v>40</v>
      </c>
      <c r="D1531">
        <v>4.4538799999999998</v>
      </c>
      <c r="E1531">
        <v>0.49669049999999998</v>
      </c>
      <c r="F1531" t="s">
        <v>42</v>
      </c>
      <c r="G1531">
        <v>-241.00149999999999</v>
      </c>
      <c r="H1531" s="1">
        <v>-4.8534769999999998E-6</v>
      </c>
      <c r="I1531">
        <v>366.12479999999999</v>
      </c>
      <c r="J1531">
        <v>-262.91919999999999</v>
      </c>
      <c r="K1531">
        <v>1.1106849999999999</v>
      </c>
      <c r="L1531">
        <v>367.23689999999999</v>
      </c>
      <c r="M1531">
        <v>0.99990190000000001</v>
      </c>
      <c r="N1531">
        <v>0</v>
      </c>
      <c r="O1531">
        <v>2.5130590000000002E-3</v>
      </c>
      <c r="P1531">
        <v>0.99597290000000005</v>
      </c>
      <c r="Q1531">
        <v>7.0451360000000005E-2</v>
      </c>
      <c r="R1531">
        <v>-5.5450880000000001E-2</v>
      </c>
      <c r="S1531">
        <v>3.014465</v>
      </c>
      <c r="T1531">
        <v>-0.1519057</v>
      </c>
      <c r="U1531">
        <v>-0.15206910000000001</v>
      </c>
      <c r="V1531">
        <v>5.7952110000000001E-2</v>
      </c>
      <c r="W1531">
        <v>8.4175360000000005E-2</v>
      </c>
      <c r="X1531">
        <v>0.99476430000000005</v>
      </c>
      <c r="Y1531">
        <v>5.2822300000000003E-2</v>
      </c>
      <c r="Z1531">
        <v>-1.4557210000000001E-3</v>
      </c>
      <c r="AA1531">
        <v>0.99860289999999996</v>
      </c>
      <c r="AB1531">
        <v>24</v>
      </c>
      <c r="AC1531">
        <v>21.9177</v>
      </c>
      <c r="AD1531">
        <v>-1.110689853477</v>
      </c>
      <c r="AE1531">
        <v>-1.1120999999999901</v>
      </c>
      <c r="AF1531">
        <v>1.1642001975632099</v>
      </c>
      <c r="AG1531">
        <v>-1.110689853477</v>
      </c>
      <c r="AH1531">
        <v>21.858846285581802</v>
      </c>
      <c r="AI1531">
        <v>92.904696892993499</v>
      </c>
      <c r="AJ1531">
        <v>86.951312385942799</v>
      </c>
      <c r="AK1531">
        <v>21.917987019507901</v>
      </c>
      <c r="AL1531">
        <v>85.171393349848202</v>
      </c>
      <c r="AM1531">
        <v>86.665880978804395</v>
      </c>
      <c r="AN1531">
        <v>0.999999975419535</v>
      </c>
    </row>
    <row r="1532" spans="1:40" x14ac:dyDescent="0.25">
      <c r="A1532" t="str">
        <f>"20190312150658114"</f>
        <v>20190312150658114</v>
      </c>
      <c r="B1532" t="str">
        <f>"1552374418112003"</f>
        <v>1552374418112003</v>
      </c>
      <c r="C1532" t="s">
        <v>40</v>
      </c>
      <c r="D1532">
        <v>4.4827190000000003</v>
      </c>
      <c r="E1532">
        <v>0.49649379999999999</v>
      </c>
      <c r="F1532" t="s">
        <v>42</v>
      </c>
      <c r="G1532">
        <v>-240.79060000000001</v>
      </c>
      <c r="H1532" s="1">
        <v>-4.9530239999999997E-6</v>
      </c>
      <c r="I1532">
        <v>366.12569999999999</v>
      </c>
      <c r="J1532">
        <v>-262.79349999999999</v>
      </c>
      <c r="K1532">
        <v>1.110684</v>
      </c>
      <c r="L1532">
        <v>367.2373</v>
      </c>
      <c r="M1532">
        <v>0.99990190000000001</v>
      </c>
      <c r="N1532">
        <v>0</v>
      </c>
      <c r="O1532">
        <v>2.532313E-3</v>
      </c>
      <c r="P1532">
        <v>0.99594629999999995</v>
      </c>
      <c r="Q1532">
        <v>7.0748199999999997E-2</v>
      </c>
      <c r="R1532">
        <v>-5.5548800000000002E-2</v>
      </c>
      <c r="S1532">
        <v>3.0144039999999999</v>
      </c>
      <c r="T1532">
        <v>-0.1513003</v>
      </c>
      <c r="U1532">
        <v>-0.15136720000000001</v>
      </c>
      <c r="V1532">
        <v>5.8069170000000003E-2</v>
      </c>
      <c r="W1532">
        <v>8.4471359999999995E-2</v>
      </c>
      <c r="X1532">
        <v>0.99473239999999996</v>
      </c>
      <c r="Y1532">
        <v>5.2611400000000003E-2</v>
      </c>
      <c r="Z1532">
        <v>-1.445645E-3</v>
      </c>
      <c r="AA1532">
        <v>0.998614</v>
      </c>
      <c r="AB1532">
        <v>24</v>
      </c>
      <c r="AC1532">
        <v>22.002899999999901</v>
      </c>
      <c r="AD1532">
        <v>-1.1106889530239901</v>
      </c>
      <c r="AE1532">
        <v>-1.1116000000000099</v>
      </c>
      <c r="AF1532">
        <v>1.1643605403386701</v>
      </c>
      <c r="AG1532">
        <v>-1.1106889530239901</v>
      </c>
      <c r="AH1532">
        <v>21.9442393862413</v>
      </c>
      <c r="AI1532">
        <v>92.8934411687042</v>
      </c>
      <c r="AJ1532">
        <v>86.962736224980404</v>
      </c>
      <c r="AK1532">
        <v>22.003159038168398</v>
      </c>
      <c r="AL1532">
        <v>85.154373267600207</v>
      </c>
      <c r="AM1532">
        <v>86.659054590875996</v>
      </c>
      <c r="AN1532">
        <v>0.99999999338724899</v>
      </c>
    </row>
    <row r="1533" spans="1:40" x14ac:dyDescent="0.25">
      <c r="A1533" t="str">
        <f>"20190312150658125"</f>
        <v>20190312150658125</v>
      </c>
      <c r="B1533" t="str">
        <f>"1552374418121762"</f>
        <v>1552374418121762</v>
      </c>
      <c r="C1533" t="s">
        <v>40</v>
      </c>
      <c r="D1533">
        <v>4.4863</v>
      </c>
      <c r="E1533">
        <v>0.49642639999999999</v>
      </c>
      <c r="F1533" t="s">
        <v>42</v>
      </c>
      <c r="G1533">
        <v>-240.83170000000001</v>
      </c>
      <c r="H1533" s="1">
        <v>-4.9302760000000002E-6</v>
      </c>
      <c r="I1533">
        <v>366.14429999999999</v>
      </c>
      <c r="J1533">
        <v>-262.67689999999999</v>
      </c>
      <c r="K1533">
        <v>1.110681</v>
      </c>
      <c r="L1533">
        <v>367.23750000000001</v>
      </c>
      <c r="M1533">
        <v>0.99990179999999995</v>
      </c>
      <c r="N1533">
        <v>0</v>
      </c>
      <c r="O1533">
        <v>2.5501370000000001E-3</v>
      </c>
      <c r="P1533">
        <v>0.99592309999999995</v>
      </c>
      <c r="Q1533">
        <v>7.091211E-2</v>
      </c>
      <c r="R1533">
        <v>-5.5756550000000002E-2</v>
      </c>
      <c r="S1533">
        <v>3.0146790000000001</v>
      </c>
      <c r="T1533">
        <v>-0.152463299999999</v>
      </c>
      <c r="U1533">
        <v>-0.1500244</v>
      </c>
      <c r="V1533">
        <v>5.829467E-2</v>
      </c>
      <c r="W1533">
        <v>8.4633849999999997E-2</v>
      </c>
      <c r="X1533">
        <v>0.99470539999999996</v>
      </c>
      <c r="Y1533">
        <v>5.2180419999999998E-2</v>
      </c>
      <c r="Z1533">
        <v>-1.4466429999999901E-3</v>
      </c>
      <c r="AA1533">
        <v>0.99863659999999999</v>
      </c>
      <c r="AB1533">
        <v>24</v>
      </c>
      <c r="AC1533">
        <v>21.845199999999899</v>
      </c>
      <c r="AD1533">
        <v>-1.1106859302759999</v>
      </c>
      <c r="AE1533">
        <v>-1.0932000000000199</v>
      </c>
      <c r="AF1533">
        <v>1.14595502591772</v>
      </c>
      <c r="AG1533">
        <v>-1.1106859302759999</v>
      </c>
      <c r="AH1533">
        <v>21.786163045627902</v>
      </c>
      <c r="AI1533">
        <v>92.914461938184999</v>
      </c>
      <c r="AJ1533">
        <v>86.989009367194498</v>
      </c>
      <c r="AK1533">
        <v>21.8445356189557</v>
      </c>
      <c r="AL1533">
        <v>85.145029825195195</v>
      </c>
      <c r="AM1533">
        <v>86.646019428243704</v>
      </c>
      <c r="AN1533">
        <v>0.99999999495269498</v>
      </c>
    </row>
    <row r="1534" spans="1:40" x14ac:dyDescent="0.25">
      <c r="A1534" t="str">
        <f>"20190312150658136"</f>
        <v>20190312150658136</v>
      </c>
      <c r="B1534" t="str">
        <f>"1552374418131522"</f>
        <v>1552374418131522</v>
      </c>
      <c r="C1534" t="s">
        <v>40</v>
      </c>
      <c r="D1534">
        <v>4.4603590000000004</v>
      </c>
      <c r="E1534">
        <v>0.49604589999999998</v>
      </c>
      <c r="F1534" t="s">
        <v>42</v>
      </c>
      <c r="G1534">
        <v>-240.7876</v>
      </c>
      <c r="H1534" s="1">
        <v>-4.9507550000000003E-6</v>
      </c>
      <c r="I1534">
        <v>366.1465</v>
      </c>
      <c r="J1534">
        <v>-262.56200000000001</v>
      </c>
      <c r="K1534">
        <v>1.1106830000000001</v>
      </c>
      <c r="L1534">
        <v>367.23790000000002</v>
      </c>
      <c r="M1534">
        <v>0.99990179999999995</v>
      </c>
      <c r="N1534">
        <v>0</v>
      </c>
      <c r="O1534">
        <v>2.5673100000000002E-3</v>
      </c>
      <c r="P1534">
        <v>0.99592360000000002</v>
      </c>
      <c r="Q1534">
        <v>7.0908159999999998E-2</v>
      </c>
      <c r="R1534">
        <v>-5.5755180000000001E-2</v>
      </c>
      <c r="S1534">
        <v>3.0147710000000001</v>
      </c>
      <c r="T1534">
        <v>-0.15297259999999999</v>
      </c>
      <c r="U1534">
        <v>-0.1502686</v>
      </c>
      <c r="V1534">
        <v>5.8310260000000003E-2</v>
      </c>
      <c r="W1534">
        <v>8.4629120000000002E-2</v>
      </c>
      <c r="X1534">
        <v>0.9947049</v>
      </c>
      <c r="Y1534">
        <v>5.2276129999999997E-2</v>
      </c>
      <c r="Z1534">
        <v>-1.4547169999999999E-3</v>
      </c>
      <c r="AA1534">
        <v>0.99863159999999895</v>
      </c>
      <c r="AB1534">
        <v>24</v>
      </c>
      <c r="AC1534">
        <v>21.7744</v>
      </c>
      <c r="AD1534">
        <v>-1.110687950755</v>
      </c>
      <c r="AE1534">
        <v>-1.0914000000000199</v>
      </c>
      <c r="AF1534">
        <v>1.14433335610885</v>
      </c>
      <c r="AG1534">
        <v>-1.110687950755</v>
      </c>
      <c r="AH1534">
        <v>21.715166753496401</v>
      </c>
      <c r="AI1534">
        <v>92.923964468393606</v>
      </c>
      <c r="AJ1534">
        <v>86.983450269852199</v>
      </c>
      <c r="AK1534">
        <v>21.773644474134599</v>
      </c>
      <c r="AL1534">
        <v>85.145301864900802</v>
      </c>
      <c r="AM1534">
        <v>86.645122824463698</v>
      </c>
      <c r="AN1534">
        <v>1.0000000062286201</v>
      </c>
    </row>
    <row r="1535" spans="1:40" x14ac:dyDescent="0.25">
      <c r="A1535" t="str">
        <f>"20190312150658148"</f>
        <v>20190312150658148</v>
      </c>
      <c r="B1535" t="str">
        <f>"1552374418141282"</f>
        <v>1552374418141282</v>
      </c>
      <c r="C1535" t="s">
        <v>40</v>
      </c>
      <c r="D1535">
        <v>4.491295</v>
      </c>
      <c r="E1535">
        <v>0.49597360000000001</v>
      </c>
      <c r="F1535" t="s">
        <v>42</v>
      </c>
      <c r="G1535">
        <v>-240.0164</v>
      </c>
      <c r="H1535" s="1">
        <v>-5.3164849999999996E-6</v>
      </c>
      <c r="I1535">
        <v>366.13990000000001</v>
      </c>
      <c r="J1535">
        <v>-262.43990000000002</v>
      </c>
      <c r="K1535">
        <v>1.110684</v>
      </c>
      <c r="L1535">
        <v>367.23820000000001</v>
      </c>
      <c r="M1535">
        <v>0.9999017</v>
      </c>
      <c r="N1535">
        <v>0</v>
      </c>
      <c r="O1535">
        <v>2.585674E-3</v>
      </c>
      <c r="P1535">
        <v>0.99592139999999996</v>
      </c>
      <c r="Q1535">
        <v>7.0931729999999998E-2</v>
      </c>
      <c r="R1535">
        <v>-5.5763180000000002E-2</v>
      </c>
      <c r="S1535">
        <v>3.014618</v>
      </c>
      <c r="T1535">
        <v>-0.14851249999999999</v>
      </c>
      <c r="U1535">
        <v>-0.14682010000000001</v>
      </c>
      <c r="V1535">
        <v>5.8336680000000002E-2</v>
      </c>
      <c r="W1535">
        <v>8.4651439999999994E-2</v>
      </c>
      <c r="X1535">
        <v>0.99470139999999996</v>
      </c>
      <c r="Y1535">
        <v>5.1162720000000002E-2</v>
      </c>
      <c r="Z1535">
        <v>-1.3859779999999999E-3</v>
      </c>
      <c r="AA1535">
        <v>0.99868939999999995</v>
      </c>
      <c r="AB1535">
        <v>24</v>
      </c>
      <c r="AC1535">
        <v>22.423500000000001</v>
      </c>
      <c r="AD1535">
        <v>-1.110689316485</v>
      </c>
      <c r="AE1535">
        <v>-1.0982999999999901</v>
      </c>
      <c r="AF1535">
        <v>1.15345850735375</v>
      </c>
      <c r="AG1535">
        <v>-1.110689316485</v>
      </c>
      <c r="AH1535">
        <v>22.3658426148695</v>
      </c>
      <c r="AI1535">
        <v>92.839209893450104</v>
      </c>
      <c r="AJ1535">
        <v>87.047738956897803</v>
      </c>
      <c r="AK1535">
        <v>22.423091070569502</v>
      </c>
      <c r="AL1535">
        <v>85.144018167434595</v>
      </c>
      <c r="AM1535">
        <v>86.643594442838406</v>
      </c>
      <c r="AN1535">
        <v>0.99999995484472604</v>
      </c>
    </row>
    <row r="1536" spans="1:40" x14ac:dyDescent="0.25">
      <c r="A1536" t="str">
        <f>"20190312150658158"</f>
        <v>20190312150658158</v>
      </c>
      <c r="B1536" t="str">
        <f>"1552374418152018"</f>
        <v>1552374418152018</v>
      </c>
      <c r="C1536" t="s">
        <v>40</v>
      </c>
      <c r="D1536">
        <v>4.4085760000000001</v>
      </c>
      <c r="E1536">
        <v>0.49598330000000002</v>
      </c>
      <c r="F1536" t="s">
        <v>42</v>
      </c>
      <c r="G1536">
        <v>-239.87299999999999</v>
      </c>
      <c r="H1536" s="1">
        <v>-9.537930000000001E-7</v>
      </c>
      <c r="I1536">
        <v>366.14179999999999</v>
      </c>
      <c r="J1536">
        <v>-262.32010000000002</v>
      </c>
      <c r="K1536">
        <v>1.110689</v>
      </c>
      <c r="L1536">
        <v>367.23849999999999</v>
      </c>
      <c r="M1536">
        <v>0.9999017</v>
      </c>
      <c r="N1536">
        <v>0</v>
      </c>
      <c r="O1536">
        <v>2.603859E-3</v>
      </c>
      <c r="P1536">
        <v>0.99591770000000002</v>
      </c>
      <c r="Q1536">
        <v>7.1002930000000006E-2</v>
      </c>
      <c r="R1536">
        <v>-5.5739150000000001E-2</v>
      </c>
      <c r="S1536">
        <v>3.014618</v>
      </c>
      <c r="T1536">
        <v>-0.14837110000000001</v>
      </c>
      <c r="U1536">
        <v>-0.1464539</v>
      </c>
      <c r="V1536">
        <v>5.8330609999999998E-2</v>
      </c>
      <c r="W1536">
        <v>8.4722240000000004E-2</v>
      </c>
      <c r="X1536">
        <v>0.99469580000000002</v>
      </c>
      <c r="Y1536">
        <v>5.1060069999999999E-2</v>
      </c>
      <c r="Z1536">
        <v>-1.383034E-3</v>
      </c>
      <c r="AA1536">
        <v>0.99869459999999999</v>
      </c>
      <c r="AB1536">
        <v>24</v>
      </c>
      <c r="AC1536">
        <v>22.447099999999999</v>
      </c>
      <c r="AD1536">
        <v>-1.110689953793</v>
      </c>
      <c r="AE1536">
        <v>-1.09669999999999</v>
      </c>
      <c r="AF1536">
        <v>1.15233636223895</v>
      </c>
      <c r="AG1536">
        <v>-1.110689953793</v>
      </c>
      <c r="AH1536">
        <v>22.3894822596016</v>
      </c>
      <c r="AI1536">
        <v>92.836233887358802</v>
      </c>
      <c r="AJ1536">
        <v>87.053714588026907</v>
      </c>
      <c r="AK1536">
        <v>22.446612820606401</v>
      </c>
      <c r="AL1536">
        <v>85.139947348862904</v>
      </c>
      <c r="AM1536">
        <v>86.6439240315201</v>
      </c>
      <c r="AN1536">
        <v>1.0000000262756099</v>
      </c>
    </row>
    <row r="1537" spans="1:40" x14ac:dyDescent="0.25">
      <c r="A1537" t="str">
        <f>"20190312150658170"</f>
        <v>20190312150658170</v>
      </c>
      <c r="B1537" t="str">
        <f>"1552374418161778"</f>
        <v>1552374418161778</v>
      </c>
      <c r="C1537" t="s">
        <v>40</v>
      </c>
      <c r="D1537">
        <v>4.4806419999999996</v>
      </c>
      <c r="E1537">
        <v>0.49603619999999998</v>
      </c>
      <c r="F1537" t="s">
        <v>42</v>
      </c>
      <c r="G1537">
        <v>-238.99100000000001</v>
      </c>
      <c r="H1537" s="1">
        <v>-1.263105E-6</v>
      </c>
      <c r="I1537">
        <v>366.10739999999998</v>
      </c>
      <c r="J1537">
        <v>-262.19850000000002</v>
      </c>
      <c r="K1537">
        <v>1.11069</v>
      </c>
      <c r="L1537">
        <v>367.2389</v>
      </c>
      <c r="M1537">
        <v>0.99990159999999995</v>
      </c>
      <c r="N1537">
        <v>0</v>
      </c>
      <c r="O1537">
        <v>2.6224009999999999E-3</v>
      </c>
      <c r="P1537">
        <v>0.99591830000000003</v>
      </c>
      <c r="Q1537">
        <v>7.1042040000000001E-2</v>
      </c>
      <c r="R1537">
        <v>-5.567718E-2</v>
      </c>
      <c r="S1537">
        <v>3.0143430000000002</v>
      </c>
      <c r="T1537">
        <v>-0.1435109</v>
      </c>
      <c r="U1537">
        <v>-0.14614869999999999</v>
      </c>
      <c r="V1537">
        <v>5.8286919999999999E-2</v>
      </c>
      <c r="W1537">
        <v>8.4759760000000003E-2</v>
      </c>
      <c r="X1537">
        <v>0.99469510000000005</v>
      </c>
      <c r="Y1537">
        <v>5.0986360000000001E-2</v>
      </c>
      <c r="Z1537">
        <v>-1.3370369999999999E-3</v>
      </c>
      <c r="AA1537">
        <v>0.99869850000000004</v>
      </c>
      <c r="AB1537">
        <v>24</v>
      </c>
      <c r="AC1537">
        <v>23.2075</v>
      </c>
      <c r="AD1537">
        <v>-1.1106912631050001</v>
      </c>
      <c r="AE1537">
        <v>-1.1315000000000099</v>
      </c>
      <c r="AF1537">
        <v>1.18964284660722</v>
      </c>
      <c r="AG1537">
        <v>-1.1106912631050001</v>
      </c>
      <c r="AH1537">
        <v>23.151549826217199</v>
      </c>
      <c r="AI1537">
        <v>92.743034904073397</v>
      </c>
      <c r="AJ1537">
        <v>87.058442396656005</v>
      </c>
      <c r="AK1537">
        <v>23.208686833602599</v>
      </c>
      <c r="AL1537">
        <v>85.137789537315101</v>
      </c>
      <c r="AM1537">
        <v>86.646429659947998</v>
      </c>
      <c r="AN1537">
        <v>0.99999996196117602</v>
      </c>
    </row>
    <row r="1538" spans="1:40" x14ac:dyDescent="0.25">
      <c r="A1538" t="str">
        <f>"20190312150658181"</f>
        <v>20190312150658181</v>
      </c>
      <c r="B1538" t="str">
        <f>"1552374418171538"</f>
        <v>1552374418171538</v>
      </c>
      <c r="C1538" t="s">
        <v>40</v>
      </c>
      <c r="D1538">
        <v>4.5268459999999999</v>
      </c>
      <c r="E1538">
        <v>0.49610189999999998</v>
      </c>
      <c r="F1538" t="s">
        <v>42</v>
      </c>
      <c r="G1538">
        <v>-238.22800000000001</v>
      </c>
      <c r="H1538" s="1">
        <v>-1.5312090000000001E-6</v>
      </c>
      <c r="I1538">
        <v>366.07560000000001</v>
      </c>
      <c r="J1538">
        <v>-262.08010000000002</v>
      </c>
      <c r="K1538">
        <v>1.1106940000000001</v>
      </c>
      <c r="L1538">
        <v>367.23919999999998</v>
      </c>
      <c r="M1538">
        <v>0.9999017</v>
      </c>
      <c r="N1538">
        <v>0</v>
      </c>
      <c r="O1538">
        <v>2.6402280000000001E-3</v>
      </c>
      <c r="P1538">
        <v>0.99592049999999999</v>
      </c>
      <c r="Q1538">
        <v>7.0969939999999995E-2</v>
      </c>
      <c r="R1538">
        <v>-5.5732879999999999E-2</v>
      </c>
      <c r="S1538">
        <v>3.0140690000000001</v>
      </c>
      <c r="T1538">
        <v>-0.1396588</v>
      </c>
      <c r="U1538">
        <v>-0.14627079999999901</v>
      </c>
      <c r="V1538">
        <v>5.8360549999999997E-2</v>
      </c>
      <c r="W1538">
        <v>8.4687070000000003E-2</v>
      </c>
      <c r="X1538">
        <v>0.99469700000000005</v>
      </c>
      <c r="Y1538">
        <v>5.1052029999999998E-2</v>
      </c>
      <c r="Z1538">
        <v>-1.303649E-3</v>
      </c>
      <c r="AA1538">
        <v>0.99869509999999995</v>
      </c>
      <c r="AB1538">
        <v>24</v>
      </c>
      <c r="AC1538">
        <v>23.8521</v>
      </c>
      <c r="AD1538">
        <v>-1.1106955312090001</v>
      </c>
      <c r="AE1538">
        <v>-1.16359999999997</v>
      </c>
      <c r="AF1538">
        <v>1.2239292461262501</v>
      </c>
      <c r="AG1538">
        <v>-1.1106955312090001</v>
      </c>
      <c r="AH1538">
        <v>23.7974647897253</v>
      </c>
      <c r="AI1538">
        <v>92.668696048406801</v>
      </c>
      <c r="AJ1538">
        <v>87.055810464965703</v>
      </c>
      <c r="AK1538">
        <v>23.8547894096927</v>
      </c>
      <c r="AL1538">
        <v>85.141969521754206</v>
      </c>
      <c r="AM1538">
        <v>86.642209403185603</v>
      </c>
      <c r="AN1538">
        <v>0.99999998771524301</v>
      </c>
    </row>
    <row r="1539" spans="1:40" x14ac:dyDescent="0.25">
      <c r="A1539" t="str">
        <f>"20190312150658193"</f>
        <v>20190312150658193</v>
      </c>
      <c r="B1539" t="str">
        <f>"1552374418181299"</f>
        <v>1552374418181299</v>
      </c>
      <c r="C1539" t="s">
        <v>40</v>
      </c>
      <c r="D1539">
        <v>4.4801039999999999</v>
      </c>
      <c r="E1539">
        <v>0.49614219999999998</v>
      </c>
      <c r="F1539" t="s">
        <v>42</v>
      </c>
      <c r="G1539">
        <v>-237.49619999999999</v>
      </c>
      <c r="H1539" s="1">
        <v>-1.789185E-6</v>
      </c>
      <c r="I1539">
        <v>366.04199999999997</v>
      </c>
      <c r="J1539">
        <v>-261.95549999999997</v>
      </c>
      <c r="K1539">
        <v>1.110697</v>
      </c>
      <c r="L1539">
        <v>367.2396</v>
      </c>
      <c r="M1539">
        <v>0.9999017</v>
      </c>
      <c r="N1539">
        <v>0</v>
      </c>
      <c r="O1539">
        <v>2.6590680000000001E-3</v>
      </c>
      <c r="P1539">
        <v>0.99590670000000003</v>
      </c>
      <c r="Q1539">
        <v>7.1154129999999996E-2</v>
      </c>
      <c r="R1539">
        <v>-5.574457E-2</v>
      </c>
      <c r="S1539">
        <v>3.013763</v>
      </c>
      <c r="T1539">
        <v>-0.1361607</v>
      </c>
      <c r="U1539">
        <v>-0.146759</v>
      </c>
      <c r="V1539">
        <v>5.839097E-2</v>
      </c>
      <c r="W1539">
        <v>8.4869529999999999E-2</v>
      </c>
      <c r="X1539">
        <v>0.99467969999999895</v>
      </c>
      <c r="Y1539">
        <v>5.1239779999999999E-2</v>
      </c>
      <c r="Z1539">
        <v>-1.276239E-3</v>
      </c>
      <c r="AA1539">
        <v>0.9986855</v>
      </c>
      <c r="AB1539">
        <v>24</v>
      </c>
      <c r="AC1539">
        <v>24.459299999999899</v>
      </c>
      <c r="AD1539">
        <v>-1.110698789185</v>
      </c>
      <c r="AE1539">
        <v>-1.19760000000002</v>
      </c>
      <c r="AF1539">
        <v>1.26004876979201</v>
      </c>
      <c r="AG1539">
        <v>-1.110698789185</v>
      </c>
      <c r="AH1539">
        <v>24.4058224265302</v>
      </c>
      <c r="AI1539">
        <v>92.602247946255901</v>
      </c>
      <c r="AJ1539">
        <v>87.044499029880797</v>
      </c>
      <c r="AK1539">
        <v>24.463555404271801</v>
      </c>
      <c r="AL1539">
        <v>85.131477738239596</v>
      </c>
      <c r="AM1539">
        <v>86.640404890727297</v>
      </c>
      <c r="AN1539">
        <v>1.0000000240460201</v>
      </c>
    </row>
    <row r="1540" spans="1:40" x14ac:dyDescent="0.25">
      <c r="A1540" t="str">
        <f>"20190312150658204"</f>
        <v>20190312150658204</v>
      </c>
      <c r="B1540" t="str">
        <f>"1552374418201795"</f>
        <v>1552374418201795</v>
      </c>
      <c r="C1540" t="s">
        <v>40</v>
      </c>
      <c r="D1540">
        <v>4.4974970000000001</v>
      </c>
      <c r="E1540">
        <v>0.4962222</v>
      </c>
      <c r="F1540" t="s">
        <v>42</v>
      </c>
      <c r="G1540">
        <v>-236.60319999999999</v>
      </c>
      <c r="H1540" s="1">
        <v>-2.1037770000000001E-6</v>
      </c>
      <c r="I1540">
        <v>366.0018</v>
      </c>
      <c r="J1540">
        <v>-261.83159999999998</v>
      </c>
      <c r="K1540">
        <v>1.110698</v>
      </c>
      <c r="L1540">
        <v>367.23989999999998</v>
      </c>
      <c r="M1540">
        <v>0.99990159999999995</v>
      </c>
      <c r="N1540">
        <v>0</v>
      </c>
      <c r="O1540">
        <v>2.6781449999999998E-3</v>
      </c>
      <c r="P1540">
        <v>0.99590239999999997</v>
      </c>
      <c r="Q1540">
        <v>7.1299329999999994E-2</v>
      </c>
      <c r="R1540">
        <v>-5.5631670000000001E-2</v>
      </c>
      <c r="S1540">
        <v>3.013458</v>
      </c>
      <c r="T1540">
        <v>-0.132021</v>
      </c>
      <c r="U1540">
        <v>-0.14712520000000001</v>
      </c>
      <c r="V1540">
        <v>5.8297130000000003E-2</v>
      </c>
      <c r="W1540">
        <v>8.5013950000000005E-2</v>
      </c>
      <c r="X1540">
        <v>0.99467280000000002</v>
      </c>
      <c r="Y1540">
        <v>5.138794E-2</v>
      </c>
      <c r="Z1540">
        <v>-1.2416739999999999E-3</v>
      </c>
      <c r="AA1540">
        <v>0.99867799999999995</v>
      </c>
      <c r="AB1540">
        <v>24</v>
      </c>
      <c r="AC1540">
        <v>25.228399999999901</v>
      </c>
      <c r="AD1540">
        <v>-1.1107001037769999</v>
      </c>
      <c r="AE1540">
        <v>-1.23809999999997</v>
      </c>
      <c r="AF1540">
        <v>1.3031474964367999</v>
      </c>
      <c r="AG1540">
        <v>-1.1107001037769999</v>
      </c>
      <c r="AH1540">
        <v>25.176312143712401</v>
      </c>
      <c r="AI1540">
        <v>92.522699748154906</v>
      </c>
      <c r="AJ1540">
        <v>87.036965627142706</v>
      </c>
      <c r="AK1540">
        <v>25.234471289798002</v>
      </c>
      <c r="AL1540">
        <v>85.123172721186805</v>
      </c>
      <c r="AM1540">
        <v>86.645768536417805</v>
      </c>
      <c r="AN1540">
        <v>0.99999995306033795</v>
      </c>
    </row>
    <row r="1541" spans="1:40" x14ac:dyDescent="0.25">
      <c r="A1541" t="str">
        <f>"20190312150658216"</f>
        <v>20190312150658216</v>
      </c>
      <c r="B1541" t="str">
        <f>"1552374418211554"</f>
        <v>1552374418211554</v>
      </c>
      <c r="C1541" t="s">
        <v>40</v>
      </c>
      <c r="D1541">
        <v>4.4844629999999999</v>
      </c>
      <c r="E1541">
        <v>0.49628919999999999</v>
      </c>
      <c r="F1541" t="s">
        <v>42</v>
      </c>
      <c r="G1541">
        <v>-235.22649999999999</v>
      </c>
      <c r="H1541" s="1">
        <v>-2.6822069999999999E-6</v>
      </c>
      <c r="I1541">
        <v>365.94029999999998</v>
      </c>
      <c r="J1541">
        <v>-261.70209999999997</v>
      </c>
      <c r="K1541">
        <v>1.1106990000000001</v>
      </c>
      <c r="L1541">
        <v>367.24029999999999</v>
      </c>
      <c r="M1541">
        <v>0.9999015</v>
      </c>
      <c r="N1541">
        <v>0</v>
      </c>
      <c r="O1541">
        <v>2.697821E-3</v>
      </c>
      <c r="P1541">
        <v>0.99589950000000005</v>
      </c>
      <c r="Q1541">
        <v>7.1291679999999996E-2</v>
      </c>
      <c r="R1541">
        <v>-5.5696700000000002E-2</v>
      </c>
      <c r="S1541">
        <v>3.013153</v>
      </c>
      <c r="T1541">
        <v>-0.12579180000000001</v>
      </c>
      <c r="U1541">
        <v>-0.14718629999999999</v>
      </c>
      <c r="V1541">
        <v>5.8381740000000001E-2</v>
      </c>
      <c r="W1541">
        <v>8.5004919999999998E-2</v>
      </c>
      <c r="X1541">
        <v>0.99466869999999996</v>
      </c>
      <c r="Y1541">
        <v>5.1437410000000003E-2</v>
      </c>
      <c r="Z1541">
        <v>-1.185111E-3</v>
      </c>
      <c r="AA1541">
        <v>0.99867550000000005</v>
      </c>
      <c r="AB1541">
        <v>24</v>
      </c>
      <c r="AC1541">
        <v>26.475599999999901</v>
      </c>
      <c r="AD1541">
        <v>-1.1107016822069999</v>
      </c>
      <c r="AE1541">
        <v>-1.30000000000001</v>
      </c>
      <c r="AF1541">
        <v>1.3690248378432199</v>
      </c>
      <c r="AG1541">
        <v>-1.1107016822069999</v>
      </c>
      <c r="AH1541">
        <v>26.425599948329701</v>
      </c>
      <c r="AI1541">
        <v>92.403578495956197</v>
      </c>
      <c r="AJ1541">
        <v>87.034342354353299</v>
      </c>
      <c r="AK1541">
        <v>26.484339143400401</v>
      </c>
      <c r="AL1541">
        <v>85.123692423214393</v>
      </c>
      <c r="AM1541">
        <v>86.6408976711175</v>
      </c>
      <c r="AN1541">
        <v>1.0000000433746601</v>
      </c>
    </row>
    <row r="1542" spans="1:40" x14ac:dyDescent="0.25">
      <c r="A1542" t="str">
        <f>"20190312150658229"</f>
        <v>20190312150658229</v>
      </c>
      <c r="B1542" t="str">
        <f>"1552374418221314"</f>
        <v>1552374418221314</v>
      </c>
      <c r="C1542" t="s">
        <v>40</v>
      </c>
      <c r="D1542">
        <v>4.4763120000000001</v>
      </c>
      <c r="E1542">
        <v>0.4963301</v>
      </c>
      <c r="F1542" t="s">
        <v>42</v>
      </c>
      <c r="G1542">
        <v>-234.6636</v>
      </c>
      <c r="H1542" s="1">
        <v>-2.9287730000000001E-6</v>
      </c>
      <c r="I1542">
        <v>365.9117</v>
      </c>
      <c r="J1542">
        <v>-261.5806</v>
      </c>
      <c r="K1542">
        <v>1.1107</v>
      </c>
      <c r="L1542">
        <v>367.24059999999997</v>
      </c>
      <c r="M1542">
        <v>0.9999015</v>
      </c>
      <c r="N1542">
        <v>0</v>
      </c>
      <c r="O1542">
        <v>2.7163640000000002E-3</v>
      </c>
      <c r="P1542">
        <v>0.99589649999999996</v>
      </c>
      <c r="Q1542">
        <v>7.1513409999999999E-2</v>
      </c>
      <c r="R1542">
        <v>-5.546268E-2</v>
      </c>
      <c r="S1542">
        <v>3.0129090000000001</v>
      </c>
      <c r="T1542">
        <v>-0.1237656</v>
      </c>
      <c r="U1542">
        <v>-0.1480408</v>
      </c>
      <c r="V1542">
        <v>5.8166269999999999E-2</v>
      </c>
      <c r="W1542">
        <v>8.5225839999999997E-2</v>
      </c>
      <c r="X1542">
        <v>0.99466239999999995</v>
      </c>
      <c r="Y1542">
        <v>5.1743629999999999E-2</v>
      </c>
      <c r="Z1542">
        <v>-1.173168E-3</v>
      </c>
      <c r="AA1542">
        <v>0.99865970000000004</v>
      </c>
      <c r="AB1542">
        <v>24</v>
      </c>
      <c r="AC1542">
        <v>26.916999999999899</v>
      </c>
      <c r="AD1542">
        <v>-1.1107029287729999</v>
      </c>
      <c r="AE1542">
        <v>-1.32889999999997</v>
      </c>
      <c r="AF1542">
        <v>1.3996410008734199</v>
      </c>
      <c r="AG1542">
        <v>-1.1107029287729999</v>
      </c>
      <c r="AH1542">
        <v>26.8676537770679</v>
      </c>
      <c r="AI1542">
        <v>92.364045153727304</v>
      </c>
      <c r="AJ1542">
        <v>87.017934712569399</v>
      </c>
      <c r="AK1542">
        <v>26.927002718678199</v>
      </c>
      <c r="AL1542">
        <v>85.110988445893398</v>
      </c>
      <c r="AM1542">
        <v>86.653245758084495</v>
      </c>
      <c r="AN1542">
        <v>1.0000000243715801</v>
      </c>
    </row>
    <row r="1543" spans="1:40" x14ac:dyDescent="0.25">
      <c r="A1543" t="str">
        <f>"20190312150658249"</f>
        <v>20190312150658249</v>
      </c>
      <c r="B1543" t="str">
        <f>"1552374418241811"</f>
        <v>1552374418241811</v>
      </c>
      <c r="C1543" t="s">
        <v>40</v>
      </c>
      <c r="D1543">
        <v>4.5556199999999896</v>
      </c>
      <c r="E1543">
        <v>0.49638719999999997</v>
      </c>
      <c r="F1543" t="s">
        <v>42</v>
      </c>
      <c r="G1543">
        <v>-233.97290000000001</v>
      </c>
      <c r="H1543" s="1">
        <v>-3.228979E-6</v>
      </c>
      <c r="I1543">
        <v>365.88959999999997</v>
      </c>
      <c r="J1543">
        <v>-261.36500000000001</v>
      </c>
      <c r="K1543">
        <v>1.1107020000000001</v>
      </c>
      <c r="L1543">
        <v>367.24119999999999</v>
      </c>
      <c r="M1543">
        <v>0.99990129999999999</v>
      </c>
      <c r="N1543">
        <v>0</v>
      </c>
      <c r="O1543">
        <v>2.7492189999999998E-3</v>
      </c>
      <c r="P1543">
        <v>0.99584499999999998</v>
      </c>
      <c r="Q1543">
        <v>7.2143449999999998E-2</v>
      </c>
      <c r="R1543">
        <v>-5.5570719999999997E-2</v>
      </c>
      <c r="S1543">
        <v>3.012848</v>
      </c>
      <c r="T1543">
        <v>-0.1212114</v>
      </c>
      <c r="U1543">
        <v>-0.14743039999999999</v>
      </c>
      <c r="V1543">
        <v>5.8306860000000002E-2</v>
      </c>
      <c r="W1543">
        <v>8.5852970000000001E-2</v>
      </c>
      <c r="X1543">
        <v>0.99460020000000005</v>
      </c>
      <c r="Y1543">
        <v>5.157759E-2</v>
      </c>
      <c r="Z1543">
        <v>-1.1469900000000001E-3</v>
      </c>
      <c r="AA1543">
        <v>0.99866829999999995</v>
      </c>
      <c r="AB1543">
        <v>24</v>
      </c>
      <c r="AC1543">
        <v>27.392099999999999</v>
      </c>
      <c r="AD1543">
        <v>-1.110705228979</v>
      </c>
      <c r="AE1543">
        <v>-1.3516000000000099</v>
      </c>
      <c r="AF1543">
        <v>1.42457237007329</v>
      </c>
      <c r="AG1543">
        <v>-1.110705228979</v>
      </c>
      <c r="AH1543">
        <v>27.343432179733998</v>
      </c>
      <c r="AI1543">
        <v>92.322960157127994</v>
      </c>
      <c r="AJ1543">
        <v>87.017629162448998</v>
      </c>
      <c r="AK1543">
        <v>27.403035523660002</v>
      </c>
      <c r="AL1543">
        <v>85.074924192300202</v>
      </c>
      <c r="AM1543">
        <v>86.644965661023704</v>
      </c>
      <c r="AN1543">
        <v>0.99999999011046004</v>
      </c>
    </row>
    <row r="1544" spans="1:40" x14ac:dyDescent="0.25">
      <c r="A1544" t="str">
        <f>"20190312150658260"</f>
        <v>20190312150658260</v>
      </c>
      <c r="B1544" t="str">
        <f>"1552374418251571"</f>
        <v>1552374418251571</v>
      </c>
      <c r="C1544" t="s">
        <v>40</v>
      </c>
      <c r="D1544">
        <v>4.4438700000000004</v>
      </c>
      <c r="E1544">
        <v>0.4964074</v>
      </c>
      <c r="F1544" t="s">
        <v>42</v>
      </c>
      <c r="G1544">
        <v>-232.48159999999999</v>
      </c>
      <c r="H1544" s="1">
        <v>-3.8809210000000003E-6</v>
      </c>
      <c r="I1544">
        <v>365.82100000000003</v>
      </c>
      <c r="J1544">
        <v>-261.23219999999998</v>
      </c>
      <c r="K1544">
        <v>1.1107020000000001</v>
      </c>
      <c r="L1544">
        <v>367.24169999999998</v>
      </c>
      <c r="M1544">
        <v>0.99990129999999999</v>
      </c>
      <c r="N1544">
        <v>0</v>
      </c>
      <c r="O1544">
        <v>2.769077E-3</v>
      </c>
      <c r="P1544">
        <v>0.99586479999999999</v>
      </c>
      <c r="Q1544">
        <v>7.2115120000000005E-2</v>
      </c>
      <c r="R1544">
        <v>-5.5251330000000001E-2</v>
      </c>
      <c r="S1544">
        <v>3.0126339999999998</v>
      </c>
      <c r="T1544">
        <v>-0.1158502</v>
      </c>
      <c r="U1544">
        <v>-0.14813229999999999</v>
      </c>
      <c r="V1544">
        <v>5.8007309999999999E-2</v>
      </c>
      <c r="W1544">
        <v>8.5823979999999994E-2</v>
      </c>
      <c r="X1544">
        <v>0.99462019999999995</v>
      </c>
      <c r="Y1544">
        <v>5.183658E-2</v>
      </c>
      <c r="Z1544">
        <v>-1.102106E-3</v>
      </c>
      <c r="AA1544">
        <v>0.99865499999999996</v>
      </c>
      <c r="AB1544">
        <v>24</v>
      </c>
      <c r="AC1544">
        <v>28.750599999999899</v>
      </c>
      <c r="AD1544">
        <v>-1.110705880921</v>
      </c>
      <c r="AE1544">
        <v>-1.4207000000000101</v>
      </c>
      <c r="AF1544">
        <v>1.498084337473</v>
      </c>
      <c r="AG1544">
        <v>-1.110705880921</v>
      </c>
      <c r="AH1544">
        <v>28.703820238886401</v>
      </c>
      <c r="AI1544">
        <v>92.212968762189703</v>
      </c>
      <c r="AJ1544">
        <v>87.012380177214098</v>
      </c>
      <c r="AK1544">
        <v>28.7643393899877</v>
      </c>
      <c r="AL1544">
        <v>85.076591265402001</v>
      </c>
      <c r="AM1544">
        <v>86.662229958469197</v>
      </c>
      <c r="AN1544">
        <v>0.99999997290225695</v>
      </c>
    </row>
    <row r="1545" spans="1:40" x14ac:dyDescent="0.25">
      <c r="A1545" t="str">
        <f>"20190312150658272"</f>
        <v>20190312150658272</v>
      </c>
      <c r="B1545" t="str">
        <f>"1552374418261331"</f>
        <v>1552374418261331</v>
      </c>
      <c r="C1545" t="s">
        <v>40</v>
      </c>
      <c r="D1545">
        <v>4.6217439999999996</v>
      </c>
      <c r="E1545">
        <v>0.49646249999999997</v>
      </c>
      <c r="F1545" t="s">
        <v>42</v>
      </c>
      <c r="G1545">
        <v>-231.91679999999999</v>
      </c>
      <c r="H1545" s="1">
        <v>-4.1258099999999901E-6</v>
      </c>
      <c r="I1545">
        <v>365.80630000000002</v>
      </c>
      <c r="J1545">
        <v>-261.1157</v>
      </c>
      <c r="K1545">
        <v>1.1107</v>
      </c>
      <c r="L1545">
        <v>367.24200000000002</v>
      </c>
      <c r="M1545">
        <v>0.99990129999999999</v>
      </c>
      <c r="N1545">
        <v>0</v>
      </c>
      <c r="O1545">
        <v>2.7866079999999999E-3</v>
      </c>
      <c r="P1545">
        <v>0.99588310000000002</v>
      </c>
      <c r="Q1545">
        <v>7.1970279999999998E-2</v>
      </c>
      <c r="R1545">
        <v>-5.5112389999999997E-2</v>
      </c>
      <c r="S1545">
        <v>3.0124819999999999</v>
      </c>
      <c r="T1545">
        <v>-0.11413719999999999</v>
      </c>
      <c r="U1545">
        <v>-0.1474915</v>
      </c>
      <c r="V1545">
        <v>5.7885739999999998E-2</v>
      </c>
      <c r="W1545">
        <v>8.5678149999999995E-2</v>
      </c>
      <c r="X1545">
        <v>0.99463990000000002</v>
      </c>
      <c r="Y1545">
        <v>5.164593E-2</v>
      </c>
      <c r="Z1545">
        <v>-1.082937E-3</v>
      </c>
      <c r="AA1545">
        <v>0.99866489999999997</v>
      </c>
      <c r="AB1545">
        <v>24</v>
      </c>
      <c r="AC1545">
        <v>29.198899999999998</v>
      </c>
      <c r="AD1545">
        <v>-1.1107041258100001</v>
      </c>
      <c r="AE1545">
        <v>-1.43569999999994</v>
      </c>
      <c r="AF1545">
        <v>1.51488130605764</v>
      </c>
      <c r="AG1545">
        <v>-1.1107041258100001</v>
      </c>
      <c r="AH1545">
        <v>29.152703735916798</v>
      </c>
      <c r="AI1545">
        <v>92.178949591018593</v>
      </c>
      <c r="AJ1545">
        <v>87.0253768122803</v>
      </c>
      <c r="AK1545">
        <v>29.213159092105599</v>
      </c>
      <c r="AL1545">
        <v>85.084977819066694</v>
      </c>
      <c r="AM1545">
        <v>86.669275213688806</v>
      </c>
      <c r="AN1545">
        <v>1.00000001747739</v>
      </c>
    </row>
    <row r="1546" spans="1:40" x14ac:dyDescent="0.25">
      <c r="A1546" t="str">
        <f>"20190312150658282"</f>
        <v>20190312150658282</v>
      </c>
      <c r="B1546" t="str">
        <f>"1552374418272067"</f>
        <v>1552374418272067</v>
      </c>
      <c r="C1546" t="s">
        <v>40</v>
      </c>
      <c r="D1546">
        <v>4.475168</v>
      </c>
      <c r="E1546">
        <v>0.49648550000000002</v>
      </c>
      <c r="F1546" t="s">
        <v>42</v>
      </c>
      <c r="G1546">
        <v>-231.50210000000001</v>
      </c>
      <c r="H1546" s="1">
        <v>-4.3067380000000004E-6</v>
      </c>
      <c r="I1546">
        <v>365.78930000000003</v>
      </c>
      <c r="J1546">
        <v>-260.99970000000002</v>
      </c>
      <c r="K1546">
        <v>1.1107</v>
      </c>
      <c r="L1546">
        <v>367.2423</v>
      </c>
      <c r="M1546">
        <v>0.99990120000000005</v>
      </c>
      <c r="N1546">
        <v>0</v>
      </c>
      <c r="O1546">
        <v>2.8042570000000001E-3</v>
      </c>
      <c r="P1546">
        <v>0.99589349999999999</v>
      </c>
      <c r="Q1546">
        <v>7.2019029999999998E-2</v>
      </c>
      <c r="R1546">
        <v>-5.4856559999999999E-2</v>
      </c>
      <c r="S1546">
        <v>3.0123899999999999</v>
      </c>
      <c r="T1546">
        <v>-0.1129844</v>
      </c>
      <c r="U1546">
        <v>-0.14776610000000001</v>
      </c>
      <c r="V1546">
        <v>5.7647650000000002E-2</v>
      </c>
      <c r="W1546">
        <v>8.572565E-2</v>
      </c>
      <c r="X1546">
        <v>0.99464960000000002</v>
      </c>
      <c r="Y1546">
        <v>5.175656E-2</v>
      </c>
      <c r="Z1546">
        <v>-1.0747720000000001E-3</v>
      </c>
      <c r="AA1546">
        <v>0.99865910000000002</v>
      </c>
      <c r="AB1546">
        <v>24</v>
      </c>
      <c r="AC1546">
        <v>29.497599999999998</v>
      </c>
      <c r="AD1546">
        <v>-1.110704306738</v>
      </c>
      <c r="AE1546">
        <v>-1.4529999999999701</v>
      </c>
      <c r="AF1546">
        <v>1.53355193524752</v>
      </c>
      <c r="AG1546">
        <v>-1.110704306738</v>
      </c>
      <c r="AH1546">
        <v>29.4517525781148</v>
      </c>
      <c r="AI1546">
        <v>92.156834321789404</v>
      </c>
      <c r="AJ1546">
        <v>87.019302251372906</v>
      </c>
      <c r="AK1546">
        <v>29.512559623279</v>
      </c>
      <c r="AL1546">
        <v>85.0822460481007</v>
      </c>
      <c r="AM1546">
        <v>86.682976450043199</v>
      </c>
      <c r="AN1546">
        <v>0.99999998269930201</v>
      </c>
    </row>
    <row r="1547" spans="1:40" x14ac:dyDescent="0.25">
      <c r="A1547" t="str">
        <f>"20190312150658294"</f>
        <v>20190312150658294</v>
      </c>
      <c r="B1547" t="str">
        <f>"1552374418281827"</f>
        <v>1552374418281827</v>
      </c>
      <c r="C1547" t="s">
        <v>40</v>
      </c>
      <c r="D1547">
        <v>4.4814210000000001</v>
      </c>
      <c r="E1547">
        <v>0.49625409999999998</v>
      </c>
      <c r="F1547" t="s">
        <v>42</v>
      </c>
      <c r="G1547">
        <v>-231.0087</v>
      </c>
      <c r="H1547" s="1">
        <v>-4.5201689999999997E-6</v>
      </c>
      <c r="I1547">
        <v>365.77929999999998</v>
      </c>
      <c r="J1547">
        <v>-260.88659999999999</v>
      </c>
      <c r="K1547">
        <v>1.110697</v>
      </c>
      <c r="L1547">
        <v>367.24270000000001</v>
      </c>
      <c r="M1547">
        <v>0.99990129999999999</v>
      </c>
      <c r="N1547">
        <v>0</v>
      </c>
      <c r="O1547">
        <v>2.821427E-3</v>
      </c>
      <c r="P1547">
        <v>0.99592250000000004</v>
      </c>
      <c r="Q1547">
        <v>7.1535130000000002E-2</v>
      </c>
      <c r="R1547">
        <v>-5.4968320000000001E-2</v>
      </c>
      <c r="S1547">
        <v>3.0123600000000001</v>
      </c>
      <c r="T1547">
        <v>-0.11156140000000001</v>
      </c>
      <c r="U1547">
        <v>-0.14694209999999999</v>
      </c>
      <c r="V1547">
        <v>5.7776519999999998E-2</v>
      </c>
      <c r="W1547">
        <v>8.5241049999999999E-2</v>
      </c>
      <c r="X1547">
        <v>0.99468380000000001</v>
      </c>
      <c r="Y1547">
        <v>5.1502810000000003E-2</v>
      </c>
      <c r="Z1547">
        <v>-1.057203E-3</v>
      </c>
      <c r="AA1547">
        <v>0.99867229999999996</v>
      </c>
      <c r="AB1547">
        <v>24</v>
      </c>
      <c r="AC1547">
        <v>29.877899999999901</v>
      </c>
      <c r="AD1547">
        <v>-1.110701520169</v>
      </c>
      <c r="AE1547">
        <v>-1.46340000000003</v>
      </c>
      <c r="AF1547">
        <v>1.54556967402166</v>
      </c>
      <c r="AG1547">
        <v>-1.110701520169</v>
      </c>
      <c r="AH1547">
        <v>29.8325231853199</v>
      </c>
      <c r="AI1547">
        <v>92.129354348078806</v>
      </c>
      <c r="AJ1547">
        <v>87.034259672884403</v>
      </c>
      <c r="AK1547">
        <v>29.893174523406</v>
      </c>
      <c r="AL1547">
        <v>85.110113735701205</v>
      </c>
      <c r="AM1547">
        <v>86.6756919791424</v>
      </c>
      <c r="AN1547">
        <v>1.00000001242542</v>
      </c>
    </row>
    <row r="1548" spans="1:40" x14ac:dyDescent="0.25">
      <c r="A1548" t="str">
        <f>"20190312150658306"</f>
        <v>20190312150658306</v>
      </c>
      <c r="B1548" t="str">
        <f>"1552374418302322"</f>
        <v>1552374418302322</v>
      </c>
      <c r="C1548" t="s">
        <v>40</v>
      </c>
      <c r="D1548">
        <v>3.8508209999999998</v>
      </c>
      <c r="E1548">
        <v>0.47756280000000001</v>
      </c>
      <c r="F1548" t="s">
        <v>42</v>
      </c>
      <c r="G1548">
        <v>-230.9495</v>
      </c>
      <c r="H1548" s="1">
        <v>-4.5419289999999998E-6</v>
      </c>
      <c r="I1548">
        <v>365.7998</v>
      </c>
      <c r="J1548">
        <v>-260.76400000000001</v>
      </c>
      <c r="K1548">
        <v>1.110697</v>
      </c>
      <c r="L1548">
        <v>367.24299999999999</v>
      </c>
      <c r="M1548">
        <v>0.99990120000000005</v>
      </c>
      <c r="N1548">
        <v>0</v>
      </c>
      <c r="O1548">
        <v>2.8401469999999999E-3</v>
      </c>
      <c r="P1548">
        <v>0.99593620000000005</v>
      </c>
      <c r="Q1548">
        <v>7.1399399999999905E-2</v>
      </c>
      <c r="R1548">
        <v>-5.4897710000000002E-2</v>
      </c>
      <c r="S1548">
        <v>3.0122680000000002</v>
      </c>
      <c r="T1548">
        <v>-0.1117585</v>
      </c>
      <c r="U1548">
        <v>-0.1451721</v>
      </c>
      <c r="V1548">
        <v>5.7724520000000001E-2</v>
      </c>
      <c r="W1548">
        <v>8.5104700000000005E-2</v>
      </c>
      <c r="X1548">
        <v>0.99469850000000004</v>
      </c>
      <c r="Y1548">
        <v>5.093777E-2</v>
      </c>
      <c r="Z1548">
        <v>-1.0493379999999999E-3</v>
      </c>
      <c r="AA1548">
        <v>0.99870130000000001</v>
      </c>
      <c r="AB1548">
        <v>24</v>
      </c>
      <c r="AC1548">
        <v>29.814499999999999</v>
      </c>
      <c r="AD1548">
        <v>-1.1107015419290001</v>
      </c>
      <c r="AE1548">
        <v>-1.44320000000004</v>
      </c>
      <c r="AF1548">
        <v>1.5257671941261699</v>
      </c>
      <c r="AG1548">
        <v>-1.1107015419290001</v>
      </c>
      <c r="AH1548">
        <v>29.769062296967</v>
      </c>
      <c r="AI1548">
        <v>92.133950283462497</v>
      </c>
      <c r="AJ1548">
        <v>87.065960897989797</v>
      </c>
      <c r="AK1548">
        <v>29.8288231998283</v>
      </c>
      <c r="AL1548">
        <v>85.117954534493606</v>
      </c>
      <c r="AM1548">
        <v>86.678726194240198</v>
      </c>
      <c r="AN1548">
        <v>1.0000000180367801</v>
      </c>
    </row>
    <row r="1549" spans="1:40" x14ac:dyDescent="0.25">
      <c r="A1549" t="str">
        <f>"20190312150658316"</f>
        <v>20190312150658316</v>
      </c>
      <c r="B1549" t="str">
        <f>"1552374418312082"</f>
        <v>1552374418312082</v>
      </c>
      <c r="C1549" t="s">
        <v>40</v>
      </c>
      <c r="D1549">
        <v>4.4163579999999998</v>
      </c>
      <c r="E1549">
        <v>0.4769909</v>
      </c>
      <c r="F1549" t="s">
        <v>42</v>
      </c>
      <c r="G1549">
        <v>-228.24940000000001</v>
      </c>
      <c r="H1549" s="1">
        <v>-1.1998619999999999E-6</v>
      </c>
      <c r="I1549">
        <v>367.29360000000003</v>
      </c>
      <c r="J1549">
        <v>-260.64</v>
      </c>
      <c r="K1549">
        <v>1.110697</v>
      </c>
      <c r="L1549">
        <v>367.24340000000001</v>
      </c>
      <c r="M1549">
        <v>0.99990109999999999</v>
      </c>
      <c r="N1549">
        <v>0</v>
      </c>
      <c r="O1549">
        <v>2.8589900000000001E-3</v>
      </c>
      <c r="P1549">
        <v>0.99595330000000004</v>
      </c>
      <c r="Q1549">
        <v>7.1154010000000004E-2</v>
      </c>
      <c r="R1549">
        <v>-5.490341E-2</v>
      </c>
      <c r="S1549">
        <v>3.0198969999999998</v>
      </c>
      <c r="T1549">
        <v>-0.10315920000000001</v>
      </c>
      <c r="U1549">
        <v>4.699707E-3</v>
      </c>
      <c r="V1549">
        <v>5.7749130000000003E-2</v>
      </c>
      <c r="W1549">
        <v>8.4858580000000003E-2</v>
      </c>
      <c r="X1549">
        <v>0.99471810000000005</v>
      </c>
      <c r="Y1549">
        <v>1.3005919999999999E-3</v>
      </c>
      <c r="Z1549">
        <v>-1.1985069999999999E-4</v>
      </c>
      <c r="AA1549">
        <v>0.99999919999999998</v>
      </c>
      <c r="AB1549">
        <v>24</v>
      </c>
      <c r="AC1549">
        <v>32.3905999999999</v>
      </c>
      <c r="AD1549">
        <v>-1.110698199862</v>
      </c>
      <c r="AE1549">
        <v>5.0200000000018001E-2</v>
      </c>
      <c r="AF1549">
        <v>4.2363574256908898E-2</v>
      </c>
      <c r="AG1549">
        <v>-1.110698199862</v>
      </c>
      <c r="AH1549">
        <v>32.352569259768998</v>
      </c>
      <c r="AI1549">
        <v>91.966251273060706</v>
      </c>
      <c r="AJ1549">
        <v>89.924974965566093</v>
      </c>
      <c r="AK1549">
        <v>32.371657091841101</v>
      </c>
      <c r="AL1549">
        <v>85.132107376504194</v>
      </c>
      <c r="AM1549">
        <v>86.677378713648494</v>
      </c>
      <c r="AN1549">
        <v>1.00000001954149</v>
      </c>
    </row>
    <row r="1550" spans="1:40" x14ac:dyDescent="0.25">
      <c r="A1550" t="str">
        <f>"20190312150658327"</f>
        <v>20190312150658327</v>
      </c>
      <c r="B1550" t="str">
        <f>"1552374418321842"</f>
        <v>1552374418321842</v>
      </c>
      <c r="C1550" t="s">
        <v>40</v>
      </c>
      <c r="D1550">
        <v>4.4081330000000003</v>
      </c>
      <c r="E1550">
        <v>0.47650589999999998</v>
      </c>
      <c r="F1550" t="s">
        <v>42</v>
      </c>
      <c r="G1550">
        <v>-228.00450000000001</v>
      </c>
      <c r="H1550" s="1">
        <v>-1.2702370000000001E-6</v>
      </c>
      <c r="I1550">
        <v>367.34230000000002</v>
      </c>
      <c r="J1550">
        <v>-260.5385</v>
      </c>
      <c r="K1550">
        <v>1.1106940000000001</v>
      </c>
      <c r="L1550">
        <v>367.24369999999999</v>
      </c>
      <c r="M1550">
        <v>0.99990109999999999</v>
      </c>
      <c r="N1550">
        <v>0</v>
      </c>
      <c r="O1550">
        <v>2.8744930000000001E-3</v>
      </c>
      <c r="P1550">
        <v>0.9959595</v>
      </c>
      <c r="Q1550">
        <v>7.1020990000000006E-2</v>
      </c>
      <c r="R1550">
        <v>-5.49655E-2</v>
      </c>
      <c r="S1550">
        <v>3.0200809999999998</v>
      </c>
      <c r="T1550">
        <v>-0.102783399999999</v>
      </c>
      <c r="U1550">
        <v>9.1552730000000002E-3</v>
      </c>
      <c r="V1550">
        <v>5.7826509999999998E-2</v>
      </c>
      <c r="W1550">
        <v>8.4724129999999995E-2</v>
      </c>
      <c r="X1550">
        <v>0.99472499999999997</v>
      </c>
      <c r="Y1550">
        <v>-1.5826060000000001E-4</v>
      </c>
      <c r="Z1550" s="1">
        <v>-9.5116849999999994E-5</v>
      </c>
      <c r="AA1550">
        <v>1</v>
      </c>
      <c r="AB1550">
        <v>24</v>
      </c>
      <c r="AC1550">
        <v>32.533999999999899</v>
      </c>
      <c r="AD1550">
        <v>-1.1106952702370001</v>
      </c>
      <c r="AE1550">
        <v>9.8600000000033106E-2</v>
      </c>
      <c r="AF1550">
        <v>-5.0660693745449396E-3</v>
      </c>
      <c r="AG1550">
        <v>-1.1106952702370001</v>
      </c>
      <c r="AH1550">
        <v>32.496274725848401</v>
      </c>
      <c r="AI1550">
        <v>91.957559363956506</v>
      </c>
      <c r="AJ1550">
        <v>90.008932235894093</v>
      </c>
      <c r="AK1550">
        <v>32.515250894098898</v>
      </c>
      <c r="AL1550">
        <v>85.139838319621603</v>
      </c>
      <c r="AM1550">
        <v>86.672959643001604</v>
      </c>
      <c r="AN1550">
        <v>0.99999995454401702</v>
      </c>
    </row>
    <row r="1551" spans="1:40" x14ac:dyDescent="0.25">
      <c r="A1551" t="str">
        <f>"20190312150658337"</f>
        <v>20190312150658337</v>
      </c>
      <c r="B1551" t="str">
        <f>"1552374418331603"</f>
        <v>1552374418331603</v>
      </c>
      <c r="C1551" t="s">
        <v>40</v>
      </c>
      <c r="D1551">
        <v>4.5465309999999999</v>
      </c>
      <c r="E1551">
        <v>0.47636329999999999</v>
      </c>
      <c r="F1551" t="s">
        <v>42</v>
      </c>
      <c r="G1551">
        <v>-227.5625</v>
      </c>
      <c r="H1551" s="1">
        <v>-1.42456E-6</v>
      </c>
      <c r="I1551">
        <v>367.3809</v>
      </c>
      <c r="J1551">
        <v>-260.42869999999999</v>
      </c>
      <c r="K1551">
        <v>1.110695</v>
      </c>
      <c r="L1551">
        <v>367.24400000000003</v>
      </c>
      <c r="M1551">
        <v>0.99990120000000005</v>
      </c>
      <c r="N1551">
        <v>0</v>
      </c>
      <c r="O1551">
        <v>2.8911890000000002E-3</v>
      </c>
      <c r="P1551">
        <v>0.99597380000000002</v>
      </c>
      <c r="Q1551">
        <v>7.0814009999999997E-2</v>
      </c>
      <c r="R1551">
        <v>-5.4971020000000002E-2</v>
      </c>
      <c r="S1551">
        <v>3.020111</v>
      </c>
      <c r="T1551">
        <v>-0.1017227</v>
      </c>
      <c r="U1551">
        <v>1.2573239999999999E-2</v>
      </c>
      <c r="V1551">
        <v>5.7848980000000001E-2</v>
      </c>
      <c r="W1551">
        <v>8.4516030000000006E-2</v>
      </c>
      <c r="X1551">
        <v>0.9947414</v>
      </c>
      <c r="Y1551">
        <v>-1.2725999999999901E-3</v>
      </c>
      <c r="Z1551" s="1">
        <v>-7.5935789999999998E-5</v>
      </c>
      <c r="AA1551">
        <v>0.99999919999999998</v>
      </c>
      <c r="AB1551">
        <v>24</v>
      </c>
      <c r="AC1551">
        <v>32.8661999999999</v>
      </c>
      <c r="AD1551">
        <v>-1.11069642456</v>
      </c>
      <c r="AE1551">
        <v>0.13689999999996799</v>
      </c>
      <c r="AF1551">
        <v>-4.18202791750392E-2</v>
      </c>
      <c r="AG1551">
        <v>-1.11069642456</v>
      </c>
      <c r="AH1551">
        <v>32.828966207325799</v>
      </c>
      <c r="AI1551">
        <v>91.937736959729705</v>
      </c>
      <c r="AJ1551">
        <v>90.072988110058901</v>
      </c>
      <c r="AK1551">
        <v>32.847776450241199</v>
      </c>
      <c r="AL1551">
        <v>85.151804509574902</v>
      </c>
      <c r="AM1551">
        <v>86.671724490283395</v>
      </c>
      <c r="AN1551">
        <v>0.99999995834397903</v>
      </c>
    </row>
    <row r="1552" spans="1:40" x14ac:dyDescent="0.25">
      <c r="A1552" t="str">
        <f>"20190312150658349"</f>
        <v>20190312150658349</v>
      </c>
      <c r="B1552" t="str">
        <f>"1552374418342339"</f>
        <v>1552374418342339</v>
      </c>
      <c r="C1552" t="s">
        <v>40</v>
      </c>
      <c r="D1552">
        <v>4.416245</v>
      </c>
      <c r="E1552">
        <v>0.47623670000000001</v>
      </c>
      <c r="F1552" t="s">
        <v>42</v>
      </c>
      <c r="G1552">
        <v>-226.5154</v>
      </c>
      <c r="H1552" s="1">
        <v>-1.8704910000000001E-6</v>
      </c>
      <c r="I1552">
        <v>367.39920000000001</v>
      </c>
      <c r="J1552">
        <v>-260.31009999999998</v>
      </c>
      <c r="K1552">
        <v>1.110695</v>
      </c>
      <c r="L1552">
        <v>367.24439999999998</v>
      </c>
      <c r="M1552">
        <v>0.99990109999999999</v>
      </c>
      <c r="N1552">
        <v>0</v>
      </c>
      <c r="O1552">
        <v>2.909376E-3</v>
      </c>
      <c r="P1552">
        <v>0.99597729999999995</v>
      </c>
      <c r="Q1552">
        <v>7.0670979999999994E-2</v>
      </c>
      <c r="R1552">
        <v>-5.5089409999999998E-2</v>
      </c>
      <c r="S1552">
        <v>3.0199579999999999</v>
      </c>
      <c r="T1552">
        <v>-9.8906519999999998E-2</v>
      </c>
      <c r="U1552">
        <v>1.382446E-2</v>
      </c>
      <c r="V1552">
        <v>5.7985540000000002E-2</v>
      </c>
      <c r="W1552">
        <v>8.4372530000000001E-2</v>
      </c>
      <c r="X1552">
        <v>0.99474569999999995</v>
      </c>
      <c r="Y1552">
        <v>-1.668676E-3</v>
      </c>
      <c r="Z1552" s="1">
        <v>-6.7949680000000003E-5</v>
      </c>
      <c r="AA1552">
        <v>0.99999859999999896</v>
      </c>
      <c r="AB1552">
        <v>24</v>
      </c>
      <c r="AC1552">
        <v>33.794699999999899</v>
      </c>
      <c r="AD1552">
        <v>-1.1106968704910001</v>
      </c>
      <c r="AE1552">
        <v>0.154800000000022</v>
      </c>
      <c r="AF1552">
        <v>-5.6407618110695501E-2</v>
      </c>
      <c r="AG1552">
        <v>-1.1106968704910001</v>
      </c>
      <c r="AH1552">
        <v>33.758543008616897</v>
      </c>
      <c r="AI1552">
        <v>91.884418014283497</v>
      </c>
      <c r="AJ1552">
        <v>90.095736224206107</v>
      </c>
      <c r="AK1552">
        <v>33.77685680199</v>
      </c>
      <c r="AL1552">
        <v>85.160056260574095</v>
      </c>
      <c r="AM1552">
        <v>86.663899779004097</v>
      </c>
      <c r="AN1552">
        <v>1.00000002716809</v>
      </c>
    </row>
    <row r="1553" spans="1:40" x14ac:dyDescent="0.25">
      <c r="A1553" t="str">
        <f>"20190312150658358"</f>
        <v>20190312150658358</v>
      </c>
      <c r="B1553" t="str">
        <f>"1552374418352100"</f>
        <v>1552374418352100</v>
      </c>
      <c r="C1553" t="s">
        <v>40</v>
      </c>
      <c r="D1553">
        <v>4.499492</v>
      </c>
      <c r="E1553">
        <v>0.47623670000000001</v>
      </c>
      <c r="F1553" t="s">
        <v>42</v>
      </c>
      <c r="G1553">
        <v>-226.58199999999999</v>
      </c>
      <c r="H1553" s="1">
        <v>-1.8403829999999999E-6</v>
      </c>
      <c r="I1553">
        <v>367.40800000000002</v>
      </c>
      <c r="J1553">
        <v>-260.1902</v>
      </c>
      <c r="K1553">
        <v>1.1106910000000001</v>
      </c>
      <c r="L1553">
        <v>367.2448</v>
      </c>
      <c r="M1553">
        <v>0.99990109999999999</v>
      </c>
      <c r="N1553">
        <v>0</v>
      </c>
      <c r="O1553">
        <v>2.927387E-3</v>
      </c>
      <c r="P1553">
        <v>0.99597659999999999</v>
      </c>
      <c r="Q1553">
        <v>7.0524770000000001E-2</v>
      </c>
      <c r="R1553">
        <v>-5.5290699999999901E-2</v>
      </c>
      <c r="S1553">
        <v>3.0199889999999998</v>
      </c>
      <c r="T1553">
        <v>-9.9450590000000005E-2</v>
      </c>
      <c r="U1553">
        <v>1.464844E-2</v>
      </c>
      <c r="V1553">
        <v>5.820475E-2</v>
      </c>
      <c r="W1553">
        <v>8.4224759999999996E-2</v>
      </c>
      <c r="X1553">
        <v>0.9947454</v>
      </c>
      <c r="Y1553">
        <v>-1.92333E-3</v>
      </c>
      <c r="Z1553" s="1">
        <v>-6.4723669999999895E-5</v>
      </c>
      <c r="AA1553">
        <v>0.99999819999999995</v>
      </c>
      <c r="AB1553">
        <v>24</v>
      </c>
      <c r="AC1553">
        <v>33.608199999999997</v>
      </c>
      <c r="AD1553">
        <v>-1.1106928403829901</v>
      </c>
      <c r="AE1553">
        <v>0.163200000000017</v>
      </c>
      <c r="AF1553">
        <v>-6.4735082113149198E-2</v>
      </c>
      <c r="AG1553">
        <v>-1.1106928403829901</v>
      </c>
      <c r="AH1553">
        <v>33.571867833062299</v>
      </c>
      <c r="AI1553">
        <v>91.894880888476195</v>
      </c>
      <c r="AJ1553">
        <v>90.110480668308995</v>
      </c>
      <c r="AK1553">
        <v>33.5902982871117</v>
      </c>
      <c r="AL1553">
        <v>85.168553004087997</v>
      </c>
      <c r="AM1553">
        <v>86.651315540848998</v>
      </c>
      <c r="AN1553">
        <v>1.00000000697039</v>
      </c>
    </row>
    <row r="1554" spans="1:40" x14ac:dyDescent="0.25">
      <c r="A1554" t="str">
        <f>"20190312150658371"</f>
        <v>20190312150658371</v>
      </c>
      <c r="B1554" t="str">
        <f>"1552374418361858"</f>
        <v>1552374418361858</v>
      </c>
      <c r="C1554" t="s">
        <v>40</v>
      </c>
      <c r="D1554">
        <v>4.3823049999999997</v>
      </c>
      <c r="E1554">
        <v>0.47337499999999999</v>
      </c>
      <c r="F1554" t="s">
        <v>42</v>
      </c>
      <c r="G1554">
        <v>-226.60830000000001</v>
      </c>
      <c r="H1554" s="1">
        <v>-1.8306699999999999E-6</v>
      </c>
      <c r="I1554">
        <v>367.39909999999998</v>
      </c>
      <c r="J1554">
        <v>-260.06889999999999</v>
      </c>
      <c r="K1554">
        <v>1.110692</v>
      </c>
      <c r="L1554">
        <v>367.24509999999998</v>
      </c>
      <c r="M1554">
        <v>0.99990109999999999</v>
      </c>
      <c r="N1554">
        <v>0</v>
      </c>
      <c r="O1554">
        <v>2.9458710000000001E-3</v>
      </c>
      <c r="P1554">
        <v>0.99598129999999996</v>
      </c>
      <c r="Q1554">
        <v>7.0354570000000005E-2</v>
      </c>
      <c r="R1554">
        <v>-5.542395E-2</v>
      </c>
      <c r="S1554">
        <v>3.0199280000000002</v>
      </c>
      <c r="T1554">
        <v>-9.9881170000000005E-2</v>
      </c>
      <c r="U1554">
        <v>1.38855E-2</v>
      </c>
      <c r="V1554">
        <v>5.8356409999999997E-2</v>
      </c>
      <c r="W1554">
        <v>8.4053230000000007E-2</v>
      </c>
      <c r="X1554">
        <v>0.99475100000000005</v>
      </c>
      <c r="Y1554">
        <v>-1.6524770000000001E-3</v>
      </c>
      <c r="Z1554" s="1">
        <v>-7.0094189999999996E-5</v>
      </c>
      <c r="AA1554">
        <v>0.99999859999999896</v>
      </c>
      <c r="AB1554">
        <v>24</v>
      </c>
      <c r="AC1554">
        <v>33.4605999999999</v>
      </c>
      <c r="AD1554">
        <v>-1.11069383067</v>
      </c>
      <c r="AE1554">
        <v>0.153999999999996</v>
      </c>
      <c r="AF1554">
        <v>-5.5358403507978701E-2</v>
      </c>
      <c r="AG1554">
        <v>-1.11069383067</v>
      </c>
      <c r="AH1554">
        <v>33.424081049707098</v>
      </c>
      <c r="AI1554">
        <v>91.903255703998596</v>
      </c>
      <c r="AJ1554">
        <v>90.094895652527896</v>
      </c>
      <c r="AK1554">
        <v>33.442576147116903</v>
      </c>
      <c r="AL1554">
        <v>85.178415811861797</v>
      </c>
      <c r="AM1554">
        <v>86.642628901912005</v>
      </c>
      <c r="AN1554">
        <v>0.99999998403126</v>
      </c>
    </row>
    <row r="1555" spans="1:40" x14ac:dyDescent="0.25">
      <c r="A1555" t="str">
        <f>"20190312150658382"</f>
        <v>20190312150658382</v>
      </c>
      <c r="B1555" t="str">
        <f>"1552374418371619"</f>
        <v>1552374418371619</v>
      </c>
      <c r="C1555" t="s">
        <v>40</v>
      </c>
      <c r="D1555">
        <v>5.4832710000000002</v>
      </c>
      <c r="E1555">
        <v>0.47446890000000003</v>
      </c>
      <c r="F1555" t="s">
        <v>42</v>
      </c>
      <c r="G1555">
        <v>-241.80330000000001</v>
      </c>
      <c r="H1555" s="1">
        <v>-4.2397560000000001E-6</v>
      </c>
      <c r="I1555">
        <v>367.44810000000001</v>
      </c>
      <c r="J1555">
        <v>-259.95659999999998</v>
      </c>
      <c r="K1555">
        <v>1.110692</v>
      </c>
      <c r="L1555">
        <v>367.24549999999999</v>
      </c>
      <c r="M1555">
        <v>0.99990089999999998</v>
      </c>
      <c r="N1555">
        <v>0</v>
      </c>
      <c r="O1555">
        <v>2.9632199999999999E-3</v>
      </c>
      <c r="P1555">
        <v>0.99597279999999999</v>
      </c>
      <c r="Q1555">
        <v>7.0370989999999994E-2</v>
      </c>
      <c r="R1555">
        <v>-5.5554069999999997E-2</v>
      </c>
      <c r="S1555">
        <v>3.0269469999999998</v>
      </c>
      <c r="T1555">
        <v>-0.18406239999999999</v>
      </c>
      <c r="U1555">
        <v>3.363037E-2</v>
      </c>
      <c r="V1555">
        <v>5.8503640000000003E-2</v>
      </c>
      <c r="W1555">
        <v>8.4068420000000005E-2</v>
      </c>
      <c r="X1555">
        <v>0.99474110000000004</v>
      </c>
      <c r="Y1555">
        <v>-8.1367200000000001E-3</v>
      </c>
      <c r="Z1555" s="1">
        <v>6.7121099999999895E-5</v>
      </c>
      <c r="AA1555">
        <v>0.99996689999999999</v>
      </c>
      <c r="AB1555">
        <v>24</v>
      </c>
      <c r="AC1555">
        <v>18.153299999999899</v>
      </c>
      <c r="AD1555">
        <v>-1.1106962397560001</v>
      </c>
      <c r="AE1555">
        <v>0.20260000000001799</v>
      </c>
      <c r="AF1555">
        <v>-0.14824689843077701</v>
      </c>
      <c r="AG1555">
        <v>-1.1106962397560001</v>
      </c>
      <c r="AH1555">
        <v>18.086123470992401</v>
      </c>
      <c r="AI1555">
        <v>93.5140894992916</v>
      </c>
      <c r="AJ1555">
        <v>90.469626971331394</v>
      </c>
      <c r="AK1555">
        <v>18.120802561914399</v>
      </c>
      <c r="AL1555">
        <v>85.177542550128507</v>
      </c>
      <c r="AM1555">
        <v>86.634144468733197</v>
      </c>
      <c r="AN1555">
        <v>1.00000001558187</v>
      </c>
    </row>
    <row r="1556" spans="1:40" x14ac:dyDescent="0.25">
      <c r="A1556" t="str">
        <f>"20190312150658395"</f>
        <v>20190312150658395</v>
      </c>
      <c r="B1556" t="str">
        <f>"1552374418392115"</f>
        <v>1552374418392115</v>
      </c>
      <c r="C1556" t="s">
        <v>40</v>
      </c>
      <c r="D1556">
        <v>4.3719619999999999</v>
      </c>
      <c r="E1556">
        <v>0.47524119999999997</v>
      </c>
      <c r="F1556" t="s">
        <v>42</v>
      </c>
      <c r="G1556">
        <v>-238.09389999999999</v>
      </c>
      <c r="H1556" s="1">
        <v>-1.2169050000000001E-6</v>
      </c>
      <c r="I1556">
        <v>367.42829999999998</v>
      </c>
      <c r="J1556">
        <v>-259.81970000000001</v>
      </c>
      <c r="K1556">
        <v>1.110687</v>
      </c>
      <c r="L1556">
        <v>367.24590000000001</v>
      </c>
      <c r="M1556">
        <v>0.99990100000000004</v>
      </c>
      <c r="N1556">
        <v>0</v>
      </c>
      <c r="O1556">
        <v>2.9841490000000002E-3</v>
      </c>
      <c r="P1556">
        <v>0.9959578</v>
      </c>
      <c r="Q1556">
        <v>7.0351380000000005E-2</v>
      </c>
      <c r="R1556">
        <v>-5.5850169999999998E-2</v>
      </c>
      <c r="S1556">
        <v>3.0244140000000002</v>
      </c>
      <c r="T1556">
        <v>-0.15364920000000001</v>
      </c>
      <c r="U1556">
        <v>2.529907E-2</v>
      </c>
      <c r="V1556">
        <v>5.8820490000000003E-2</v>
      </c>
      <c r="W1556">
        <v>8.4047060000000007E-2</v>
      </c>
      <c r="X1556">
        <v>0.99472419999999995</v>
      </c>
      <c r="Y1556">
        <v>-5.3772069999999898E-3</v>
      </c>
      <c r="Z1556" s="1">
        <v>-1.501835E-5</v>
      </c>
      <c r="AA1556">
        <v>0.99998549999999997</v>
      </c>
      <c r="AB1556">
        <v>24</v>
      </c>
      <c r="AC1556">
        <v>21.7258</v>
      </c>
      <c r="AD1556">
        <v>-1.1106882169050001</v>
      </c>
      <c r="AE1556">
        <v>0.182399999999972</v>
      </c>
      <c r="AF1556">
        <v>-0.11725360505883201</v>
      </c>
      <c r="AG1556">
        <v>-1.1106882169050001</v>
      </c>
      <c r="AH1556">
        <v>21.669616715112099</v>
      </c>
      <c r="AI1556">
        <v>92.934116385052903</v>
      </c>
      <c r="AJ1556">
        <v>90.310022610284804</v>
      </c>
      <c r="AK1556">
        <v>21.6983793243398</v>
      </c>
      <c r="AL1556">
        <v>85.178770640989697</v>
      </c>
      <c r="AM1556">
        <v>86.615900214362199</v>
      </c>
      <c r="AN1556">
        <v>0.99999999620206104</v>
      </c>
    </row>
    <row r="1557" spans="1:40" x14ac:dyDescent="0.25">
      <c r="A1557" t="str">
        <f>"20190312150658407"</f>
        <v>20190312150658407</v>
      </c>
      <c r="B1557" t="str">
        <f>"1552374418401874"</f>
        <v>1552374418401874</v>
      </c>
      <c r="C1557" t="s">
        <v>40</v>
      </c>
      <c r="D1557">
        <v>4.5086029999999999</v>
      </c>
      <c r="E1557">
        <v>0.47448259999999998</v>
      </c>
      <c r="F1557" t="s">
        <v>42</v>
      </c>
      <c r="G1557">
        <v>-234.64080000000001</v>
      </c>
      <c r="H1557" s="1">
        <v>-2.6736129999999998E-6</v>
      </c>
      <c r="I1557">
        <v>367.40530000000001</v>
      </c>
      <c r="J1557">
        <v>-259.6891</v>
      </c>
      <c r="K1557">
        <v>1.110687</v>
      </c>
      <c r="L1557">
        <v>367.24630000000002</v>
      </c>
      <c r="M1557">
        <v>0.99990089999999998</v>
      </c>
      <c r="N1557">
        <v>0</v>
      </c>
      <c r="O1557">
        <v>3.004184E-3</v>
      </c>
      <c r="P1557">
        <v>0.99595619999999996</v>
      </c>
      <c r="Q1557">
        <v>7.0332969999999995E-2</v>
      </c>
      <c r="R1557">
        <v>-5.5898780000000002E-2</v>
      </c>
      <c r="S1557">
        <v>3.0227050000000002</v>
      </c>
      <c r="T1557">
        <v>-0.13333709999999999</v>
      </c>
      <c r="U1557">
        <v>1.9134519999999999E-2</v>
      </c>
      <c r="V1557">
        <v>5.888931E-2</v>
      </c>
      <c r="W1557">
        <v>8.4027580000000004E-2</v>
      </c>
      <c r="X1557">
        <v>0.99472179999999999</v>
      </c>
      <c r="Y1557">
        <v>-3.3253890000000002E-3</v>
      </c>
      <c r="Z1557" s="1">
        <v>-5.915831E-5</v>
      </c>
      <c r="AA1557">
        <v>0.99999450000000001</v>
      </c>
      <c r="AB1557">
        <v>24</v>
      </c>
      <c r="AC1557">
        <v>25.048299999999902</v>
      </c>
      <c r="AD1557">
        <v>-1.1106896736130001</v>
      </c>
      <c r="AE1557">
        <v>0.15899999999999101</v>
      </c>
      <c r="AF1557">
        <v>-8.3578136771608094E-2</v>
      </c>
      <c r="AG1557">
        <v>-1.1106896736130001</v>
      </c>
      <c r="AH1557">
        <v>24.999512452877301</v>
      </c>
      <c r="AI1557">
        <v>92.543875767452306</v>
      </c>
      <c r="AJ1557">
        <v>90.191550001818698</v>
      </c>
      <c r="AK1557">
        <v>25.024312972339199</v>
      </c>
      <c r="AL1557">
        <v>85.179890850632503</v>
      </c>
      <c r="AM1557">
        <v>86.611941878630702</v>
      </c>
      <c r="AN1557">
        <v>1.0000000222140799</v>
      </c>
    </row>
    <row r="1558" spans="1:40" x14ac:dyDescent="0.25">
      <c r="A1558" t="str">
        <f>"20190312150658422"</f>
        <v>20190312150658422</v>
      </c>
      <c r="B1558" t="str">
        <f>"1552374418411635"</f>
        <v>1552374418411635</v>
      </c>
      <c r="C1558" t="s">
        <v>40</v>
      </c>
      <c r="D1558">
        <v>4.3812290000000003</v>
      </c>
      <c r="E1558">
        <v>0.474744</v>
      </c>
      <c r="F1558" t="s">
        <v>42</v>
      </c>
      <c r="G1558">
        <v>-236.52010000000001</v>
      </c>
      <c r="H1558" s="1">
        <v>-1.8619839999999999E-6</v>
      </c>
      <c r="I1558">
        <v>367.4359</v>
      </c>
      <c r="J1558">
        <v>-259.52629999999999</v>
      </c>
      <c r="K1558">
        <v>1.1106849999999999</v>
      </c>
      <c r="L1558">
        <v>367.24689999999998</v>
      </c>
      <c r="M1558">
        <v>0.99990080000000003</v>
      </c>
      <c r="N1558">
        <v>0</v>
      </c>
      <c r="O1558">
        <v>3.0294039999999999E-3</v>
      </c>
      <c r="P1558">
        <v>0.99594649999999996</v>
      </c>
      <c r="Q1558">
        <v>7.0528309999999997E-2</v>
      </c>
      <c r="R1558">
        <v>-5.5826050000000002E-2</v>
      </c>
      <c r="S1558">
        <v>3.0238040000000002</v>
      </c>
      <c r="T1558">
        <v>-0.14495620000000001</v>
      </c>
      <c r="U1558">
        <v>2.4749759999999999E-2</v>
      </c>
      <c r="V1558">
        <v>5.8841619999999997E-2</v>
      </c>
      <c r="W1558">
        <v>8.422048E-2</v>
      </c>
      <c r="X1558">
        <v>0.99470829999999999</v>
      </c>
      <c r="Y1558">
        <v>-5.1526360000000004E-3</v>
      </c>
      <c r="Z1558" s="1">
        <v>-2.1720479999999998E-5</v>
      </c>
      <c r="AA1558">
        <v>0.99998670000000001</v>
      </c>
      <c r="AB1558">
        <v>24</v>
      </c>
      <c r="AC1558">
        <v>23.0061999999999</v>
      </c>
      <c r="AD1558">
        <v>-1.110686861984</v>
      </c>
      <c r="AE1558">
        <v>0.18900000000002101</v>
      </c>
      <c r="AF1558">
        <v>-0.119020077819707</v>
      </c>
      <c r="AG1558">
        <v>-1.110686861984</v>
      </c>
      <c r="AH1558">
        <v>22.953172798472401</v>
      </c>
      <c r="AI1558">
        <v>92.770301806824506</v>
      </c>
      <c r="AJ1558">
        <v>90.297095616287706</v>
      </c>
      <c r="AK1558">
        <v>22.980337956627999</v>
      </c>
      <c r="AL1558">
        <v>85.1687991374624</v>
      </c>
      <c r="AM1558">
        <v>86.614633388893395</v>
      </c>
      <c r="AN1558">
        <v>1.00000001379227</v>
      </c>
    </row>
    <row r="1559" spans="1:40" x14ac:dyDescent="0.25">
      <c r="A1559" t="str">
        <f>"20190312150658436"</f>
        <v>20190312150658436</v>
      </c>
      <c r="B1559" t="str">
        <f>"1552374418432131"</f>
        <v>1552374418432131</v>
      </c>
      <c r="C1559" t="s">
        <v>40</v>
      </c>
      <c r="D1559">
        <v>4.3808049999999996</v>
      </c>
      <c r="E1559">
        <v>0.47502220000000001</v>
      </c>
      <c r="F1559" t="s">
        <v>42</v>
      </c>
      <c r="G1559">
        <v>-237.24090000000001</v>
      </c>
      <c r="H1559" s="1">
        <v>-1.5567609999999901E-6</v>
      </c>
      <c r="I1559">
        <v>367.41320000000002</v>
      </c>
      <c r="J1559">
        <v>-259.39449999999999</v>
      </c>
      <c r="K1559">
        <v>1.110692</v>
      </c>
      <c r="L1559">
        <v>367.2473</v>
      </c>
      <c r="M1559">
        <v>0.99990080000000003</v>
      </c>
      <c r="N1559">
        <v>0</v>
      </c>
      <c r="O1559">
        <v>3.049441E-3</v>
      </c>
      <c r="P1559">
        <v>0.99595500000000003</v>
      </c>
      <c r="Q1559">
        <v>7.0307439999999999E-2</v>
      </c>
      <c r="R1559">
        <v>-5.595203E-2</v>
      </c>
      <c r="S1559">
        <v>3.0241389999999999</v>
      </c>
      <c r="T1559">
        <v>-0.1507201</v>
      </c>
      <c r="U1559">
        <v>2.2583010000000001E-2</v>
      </c>
      <c r="V1559">
        <v>5.8987499999999998E-2</v>
      </c>
      <c r="W1559">
        <v>8.3998600000000007E-2</v>
      </c>
      <c r="X1559">
        <v>0.9947184</v>
      </c>
      <c r="Y1559">
        <v>-4.415998E-3</v>
      </c>
      <c r="Z1559" s="1">
        <v>-4.1923810000000001E-5</v>
      </c>
      <c r="AA1559">
        <v>0.99999020000000005</v>
      </c>
      <c r="AB1559">
        <v>24</v>
      </c>
      <c r="AC1559">
        <v>22.153599999999901</v>
      </c>
      <c r="AD1559">
        <v>-1.1106935567609999</v>
      </c>
      <c r="AE1559">
        <v>0.165900000000021</v>
      </c>
      <c r="AF1559">
        <v>-9.8090196519847905E-2</v>
      </c>
      <c r="AG1559">
        <v>-1.1106935567609999</v>
      </c>
      <c r="AH1559">
        <v>22.098458879393402</v>
      </c>
      <c r="AI1559">
        <v>92.877301179041694</v>
      </c>
      <c r="AJ1559">
        <v>90.254321687880605</v>
      </c>
      <c r="AK1559">
        <v>22.126571056264599</v>
      </c>
      <c r="AL1559">
        <v>85.181557030423903</v>
      </c>
      <c r="AM1559">
        <v>86.6062943673642</v>
      </c>
      <c r="AN1559">
        <v>0.99999999262838501</v>
      </c>
    </row>
    <row r="1560" spans="1:40" x14ac:dyDescent="0.25">
      <c r="A1560" t="str">
        <f>"20190312150658450"</f>
        <v>20190312150658450</v>
      </c>
      <c r="B1560" t="str">
        <f>"1552374418441891"</f>
        <v>1552374418441891</v>
      </c>
      <c r="C1560" t="s">
        <v>40</v>
      </c>
      <c r="D1560">
        <v>4.3727809999999998</v>
      </c>
      <c r="E1560">
        <v>0.47508729999999899</v>
      </c>
      <c r="F1560" t="s">
        <v>42</v>
      </c>
      <c r="G1560">
        <v>-235.51490000000001</v>
      </c>
      <c r="H1560" s="1">
        <v>-2.2982470000000001E-6</v>
      </c>
      <c r="I1560">
        <v>367.40750000000003</v>
      </c>
      <c r="J1560">
        <v>-259.23779999999999</v>
      </c>
      <c r="K1560">
        <v>1.110692</v>
      </c>
      <c r="L1560">
        <v>367.24779999999998</v>
      </c>
      <c r="M1560">
        <v>0.99990080000000003</v>
      </c>
      <c r="N1560">
        <v>0</v>
      </c>
      <c r="O1560">
        <v>3.0731759999999999E-3</v>
      </c>
      <c r="P1560">
        <v>0.99592879999999995</v>
      </c>
      <c r="Q1560">
        <v>7.0382559999999997E-2</v>
      </c>
      <c r="R1560">
        <v>-5.6321450000000002E-2</v>
      </c>
      <c r="S1560">
        <v>3.0232540000000001</v>
      </c>
      <c r="T1560">
        <v>-0.14061770000000001</v>
      </c>
      <c r="U1560">
        <v>2.029419E-2</v>
      </c>
      <c r="V1560">
        <v>5.938073E-2</v>
      </c>
      <c r="W1560">
        <v>8.4071300000000002E-2</v>
      </c>
      <c r="X1560">
        <v>0.99468889999999999</v>
      </c>
      <c r="Y1560">
        <v>-3.6385060000000001E-3</v>
      </c>
      <c r="Z1560" s="1">
        <v>-5.8303359999999897E-5</v>
      </c>
      <c r="AA1560">
        <v>0.99999340000000003</v>
      </c>
      <c r="AB1560">
        <v>23</v>
      </c>
      <c r="AC1560">
        <v>23.7228999999999</v>
      </c>
      <c r="AD1560">
        <v>-1.1106942982470001</v>
      </c>
      <c r="AE1560">
        <v>0.159700000000043</v>
      </c>
      <c r="AF1560">
        <v>-8.65978906545702E-2</v>
      </c>
      <c r="AG1560">
        <v>-1.1106942982470001</v>
      </c>
      <c r="AH1560">
        <v>23.671391896465501</v>
      </c>
      <c r="AI1560">
        <v>92.686408571848901</v>
      </c>
      <c r="AJ1560">
        <v>90.209606242687997</v>
      </c>
      <c r="AK1560">
        <v>23.6975934502826</v>
      </c>
      <c r="AL1560">
        <v>85.177377027453602</v>
      </c>
      <c r="AM1560">
        <v>86.583623141078107</v>
      </c>
      <c r="AN1560">
        <v>1.0000000311811099</v>
      </c>
    </row>
    <row r="1561" spans="1:40" x14ac:dyDescent="0.25">
      <c r="A1561" t="str">
        <f>"20190312150658471"</f>
        <v>20190312150658471</v>
      </c>
      <c r="B1561" t="str">
        <f>"1552374418462387"</f>
        <v>1552374418462387</v>
      </c>
      <c r="C1561" t="s">
        <v>40</v>
      </c>
      <c r="D1561">
        <v>4.3754540000000004</v>
      </c>
      <c r="E1561">
        <v>0.47514800000000001</v>
      </c>
      <c r="F1561" t="s">
        <v>42</v>
      </c>
      <c r="G1561">
        <v>-234.58940000000001</v>
      </c>
      <c r="H1561" s="1">
        <v>-2.6960480000000002E-6</v>
      </c>
      <c r="I1561">
        <v>367.40320000000003</v>
      </c>
      <c r="J1561">
        <v>-259.01900000000001</v>
      </c>
      <c r="K1561">
        <v>1.110697</v>
      </c>
      <c r="L1561">
        <v>367.24849999999998</v>
      </c>
      <c r="M1561">
        <v>0.99990060000000003</v>
      </c>
      <c r="N1561">
        <v>0</v>
      </c>
      <c r="O1561">
        <v>3.106569E-3</v>
      </c>
      <c r="P1561">
        <v>0.99593140000000002</v>
      </c>
      <c r="Q1561">
        <v>7.0163320000000001E-2</v>
      </c>
      <c r="R1561">
        <v>-5.6548630000000003E-2</v>
      </c>
      <c r="S1561">
        <v>3.02298</v>
      </c>
      <c r="T1561">
        <v>-0.13621939999999999</v>
      </c>
      <c r="U1561">
        <v>1.9073489999999999E-2</v>
      </c>
      <c r="V1561">
        <v>5.9641E-2</v>
      </c>
      <c r="W1561">
        <v>8.3850330000000001E-2</v>
      </c>
      <c r="X1561">
        <v>0.99469200000000002</v>
      </c>
      <c r="Y1561">
        <v>-3.2024449999999999E-3</v>
      </c>
      <c r="Z1561" s="1">
        <v>-6.7810529999999999E-5</v>
      </c>
      <c r="AA1561">
        <v>0.99999490000000002</v>
      </c>
      <c r="AB1561">
        <v>23</v>
      </c>
      <c r="AC1561">
        <v>24.429599999999901</v>
      </c>
      <c r="AD1561">
        <v>-1.110699696048</v>
      </c>
      <c r="AE1561">
        <v>0.15470000000004799</v>
      </c>
      <c r="AF1561">
        <v>-7.86372929091749E-2</v>
      </c>
      <c r="AG1561">
        <v>-1.110699696048</v>
      </c>
      <c r="AH1561">
        <v>24.379569842440901</v>
      </c>
      <c r="AI1561">
        <v>92.608499684156797</v>
      </c>
      <c r="AJ1561">
        <v>90.184809223448497</v>
      </c>
      <c r="AK1561">
        <v>24.404984395428102</v>
      </c>
      <c r="AL1561">
        <v>85.190082632468901</v>
      </c>
      <c r="AM1561">
        <v>86.568695284834007</v>
      </c>
      <c r="AN1561">
        <v>1.00000005079305</v>
      </c>
    </row>
    <row r="1562" spans="1:40" x14ac:dyDescent="0.25">
      <c r="A1562" t="str">
        <f>"20190312150658483"</f>
        <v>20190312150658483</v>
      </c>
      <c r="B1562" t="str">
        <f>"1552374418472149"</f>
        <v>1552374418472149</v>
      </c>
      <c r="C1562" t="s">
        <v>40</v>
      </c>
      <c r="D1562">
        <v>4.3460970000000003</v>
      </c>
      <c r="E1562">
        <v>0.47515370000000001</v>
      </c>
      <c r="F1562" t="s">
        <v>42</v>
      </c>
      <c r="G1562">
        <v>-233.42310000000001</v>
      </c>
      <c r="H1562" s="1">
        <v>-3.1969050000000002E-6</v>
      </c>
      <c r="I1562">
        <v>367.40010000000001</v>
      </c>
      <c r="J1562">
        <v>-258.88709999999998</v>
      </c>
      <c r="K1562">
        <v>1.110698</v>
      </c>
      <c r="L1562">
        <v>367.24889999999999</v>
      </c>
      <c r="M1562">
        <v>0.99990069999999998</v>
      </c>
      <c r="N1562">
        <v>0</v>
      </c>
      <c r="O1562">
        <v>3.1264259999999999E-3</v>
      </c>
      <c r="P1562">
        <v>0.99591870000000005</v>
      </c>
      <c r="Q1562">
        <v>7.0172470000000001E-2</v>
      </c>
      <c r="R1562">
        <v>-5.6762739999999999E-2</v>
      </c>
      <c r="S1562">
        <v>3.0225219999999999</v>
      </c>
      <c r="T1562">
        <v>-0.1311582</v>
      </c>
      <c r="U1562">
        <v>1.791382E-2</v>
      </c>
      <c r="V1562">
        <v>5.9874759999999999E-2</v>
      </c>
      <c r="W1562">
        <v>8.3857470000000003E-2</v>
      </c>
      <c r="X1562">
        <v>0.99467729999999999</v>
      </c>
      <c r="Y1562">
        <v>-2.8002859999999999E-3</v>
      </c>
      <c r="Z1562" s="1">
        <v>-7.4886129999999997E-5</v>
      </c>
      <c r="AA1562">
        <v>0.99999610000000005</v>
      </c>
      <c r="AB1562">
        <v>23</v>
      </c>
      <c r="AC1562">
        <v>25.463999999999899</v>
      </c>
      <c r="AD1562">
        <v>-1.110701196905</v>
      </c>
      <c r="AE1562">
        <v>0.15120000000001699</v>
      </c>
      <c r="AF1562">
        <v>-7.1444508676804505E-2</v>
      </c>
      <c r="AG1562">
        <v>-1.110701196905</v>
      </c>
      <c r="AH1562">
        <v>25.415994218687999</v>
      </c>
      <c r="AI1562">
        <v>92.502273733337802</v>
      </c>
      <c r="AJ1562">
        <v>90.161058347729195</v>
      </c>
      <c r="AK1562">
        <v>25.4403522693969</v>
      </c>
      <c r="AL1562">
        <v>85.189671833663496</v>
      </c>
      <c r="AM1562">
        <v>86.5552279889381</v>
      </c>
      <c r="AN1562">
        <v>0.999999996647574</v>
      </c>
    </row>
    <row r="1563" spans="1:40" x14ac:dyDescent="0.25">
      <c r="A1563" t="str">
        <f>"20190312150658496"</f>
        <v>20190312150658496</v>
      </c>
      <c r="B1563" t="str">
        <f>"1552374418491666"</f>
        <v>1552374418491666</v>
      </c>
      <c r="C1563" t="s">
        <v>40</v>
      </c>
      <c r="D1563">
        <v>4.3575470000000003</v>
      </c>
      <c r="E1563">
        <v>0.47510599999999997</v>
      </c>
      <c r="F1563" t="s">
        <v>42</v>
      </c>
      <c r="G1563">
        <v>-232.51310000000001</v>
      </c>
      <c r="H1563" s="1">
        <v>-3.5864429999999998E-6</v>
      </c>
      <c r="I1563">
        <v>367.4049</v>
      </c>
      <c r="J1563">
        <v>-258.76420000000002</v>
      </c>
      <c r="K1563">
        <v>1.110698</v>
      </c>
      <c r="L1563">
        <v>367.24930000000001</v>
      </c>
      <c r="M1563">
        <v>0.99990060000000003</v>
      </c>
      <c r="N1563">
        <v>0</v>
      </c>
      <c r="O1563">
        <v>3.1456230000000002E-3</v>
      </c>
      <c r="P1563">
        <v>0.99590279999999998</v>
      </c>
      <c r="Q1563">
        <v>7.0286130000000002E-2</v>
      </c>
      <c r="R1563">
        <v>-5.689872E-2</v>
      </c>
      <c r="S1563">
        <v>3.022278</v>
      </c>
      <c r="T1563">
        <v>-0.12727849999999999</v>
      </c>
      <c r="U1563">
        <v>1.7883300000000001E-2</v>
      </c>
      <c r="V1563">
        <v>6.002996E-2</v>
      </c>
      <c r="W1563">
        <v>8.3969619999999995E-2</v>
      </c>
      <c r="X1563">
        <v>0.9946585</v>
      </c>
      <c r="Y1563">
        <v>-2.7714940000000002E-3</v>
      </c>
      <c r="Z1563" s="1">
        <v>-7.4092999999999997E-5</v>
      </c>
      <c r="AA1563">
        <v>0.9999962</v>
      </c>
      <c r="AB1563">
        <v>23</v>
      </c>
      <c r="AC1563">
        <v>26.251100000000001</v>
      </c>
      <c r="AD1563">
        <v>-1.1107015864430001</v>
      </c>
      <c r="AE1563">
        <v>0.15559999999999199</v>
      </c>
      <c r="AF1563">
        <v>-7.2884892460225795E-2</v>
      </c>
      <c r="AG1563">
        <v>-1.1107015864430001</v>
      </c>
      <c r="AH1563">
        <v>26.2045500587197</v>
      </c>
      <c r="AI1563">
        <v>92.427066989067498</v>
      </c>
      <c r="AJ1563">
        <v>90.159361101423002</v>
      </c>
      <c r="AK1563">
        <v>26.228179769126601</v>
      </c>
      <c r="AL1563">
        <v>85.183223444541099</v>
      </c>
      <c r="AM1563">
        <v>86.546255339551493</v>
      </c>
      <c r="AN1563">
        <v>1.0000000124013899</v>
      </c>
    </row>
    <row r="1564" spans="1:40" x14ac:dyDescent="0.25">
      <c r="A1564" t="str">
        <f>"20190312150658507"</f>
        <v>20190312150658507</v>
      </c>
      <c r="B1564" t="str">
        <f>"1552374418501427"</f>
        <v>1552374418501427</v>
      </c>
      <c r="C1564" t="s">
        <v>40</v>
      </c>
      <c r="D1564">
        <v>4.3789910000000001</v>
      </c>
      <c r="E1564">
        <v>0.4751783</v>
      </c>
      <c r="F1564" t="s">
        <v>42</v>
      </c>
      <c r="G1564">
        <v>-231.6232</v>
      </c>
      <c r="H1564" s="1">
        <v>-3.9681740000000001E-6</v>
      </c>
      <c r="I1564">
        <v>367.40519999999998</v>
      </c>
      <c r="J1564">
        <v>-258.64479999999998</v>
      </c>
      <c r="K1564">
        <v>1.1107</v>
      </c>
      <c r="L1564">
        <v>367.24979999999999</v>
      </c>
      <c r="M1564">
        <v>0.99990060000000003</v>
      </c>
      <c r="N1564">
        <v>0</v>
      </c>
      <c r="O1564">
        <v>3.1638080000000002E-3</v>
      </c>
      <c r="P1564">
        <v>0.99589030000000001</v>
      </c>
      <c r="Q1564">
        <v>7.0140820000000006E-2</v>
      </c>
      <c r="R1564">
        <v>-5.7298370000000001E-2</v>
      </c>
      <c r="S1564">
        <v>3.0220639999999999</v>
      </c>
      <c r="T1564">
        <v>-0.1236729</v>
      </c>
      <c r="U1564">
        <v>1.7364500000000001E-2</v>
      </c>
      <c r="V1564">
        <v>6.0447639999999997E-2</v>
      </c>
      <c r="W1564">
        <v>8.3823259999999997E-2</v>
      </c>
      <c r="X1564">
        <v>0.99464549999999996</v>
      </c>
      <c r="Y1564">
        <v>-2.5822169999999999E-3</v>
      </c>
      <c r="Z1564" s="1">
        <v>-7.6616139999999996E-5</v>
      </c>
      <c r="AA1564">
        <v>0.99999669999999896</v>
      </c>
      <c r="AB1564">
        <v>23</v>
      </c>
      <c r="AC1564">
        <v>27.0215999999999</v>
      </c>
      <c r="AD1564">
        <v>-1.1107039681739901</v>
      </c>
      <c r="AE1564">
        <v>0.15539999999998599</v>
      </c>
      <c r="AF1564">
        <v>-6.9782099783448306E-2</v>
      </c>
      <c r="AG1564">
        <v>-1.1107039681739901</v>
      </c>
      <c r="AH1564">
        <v>26.976379637814802</v>
      </c>
      <c r="AI1564">
        <v>92.357711217085793</v>
      </c>
      <c r="AJ1564">
        <v>90.1482115442804</v>
      </c>
      <c r="AK1564">
        <v>26.999325754727199</v>
      </c>
      <c r="AL1564">
        <v>85.191638687435599</v>
      </c>
      <c r="AM1564">
        <v>86.5222381049647</v>
      </c>
      <c r="AN1564">
        <v>0.99999996338442199</v>
      </c>
    </row>
    <row r="1565" spans="1:40" x14ac:dyDescent="0.25">
      <c r="A1565" t="str">
        <f>"20190312150658518"</f>
        <v>20190312150658518</v>
      </c>
      <c r="B1565" t="str">
        <f>"1552374418512163"</f>
        <v>1552374418512163</v>
      </c>
      <c r="C1565" t="s">
        <v>40</v>
      </c>
      <c r="D1565">
        <v>4.5642769999999997</v>
      </c>
      <c r="E1565">
        <v>0.4751783</v>
      </c>
      <c r="F1565" t="s">
        <v>42</v>
      </c>
      <c r="G1565">
        <v>-231.2484</v>
      </c>
      <c r="H1565" s="1">
        <v>-4.1309440000000001E-6</v>
      </c>
      <c r="I1565">
        <v>367.39409999999998</v>
      </c>
      <c r="J1565">
        <v>-258.53530000000001</v>
      </c>
      <c r="K1565">
        <v>1.1107009999999999</v>
      </c>
      <c r="L1565">
        <v>367.25009999999997</v>
      </c>
      <c r="M1565">
        <v>0.99990049999999997</v>
      </c>
      <c r="N1565">
        <v>0</v>
      </c>
      <c r="O1565">
        <v>3.1806220000000001E-3</v>
      </c>
      <c r="P1565">
        <v>0.99585069999999998</v>
      </c>
      <c r="Q1565">
        <v>7.0359809999999995E-2</v>
      </c>
      <c r="R1565">
        <v>-5.7715259999999997E-2</v>
      </c>
      <c r="S1565">
        <v>3.0218959999999999</v>
      </c>
      <c r="T1565">
        <v>-0.1225131</v>
      </c>
      <c r="U1565">
        <v>1.5930179999999999E-2</v>
      </c>
      <c r="V1565">
        <v>6.0881119999999997E-2</v>
      </c>
      <c r="W1565">
        <v>8.4040420000000005E-2</v>
      </c>
      <c r="X1565">
        <v>0.99460079999999995</v>
      </c>
      <c r="Y1565">
        <v>-2.0914990000000001E-3</v>
      </c>
      <c r="Z1565" s="1">
        <v>-8.6527160000000005E-5</v>
      </c>
      <c r="AA1565">
        <v>0.99999780000000005</v>
      </c>
      <c r="AB1565">
        <v>23</v>
      </c>
      <c r="AC1565">
        <v>27.286899999999999</v>
      </c>
      <c r="AD1565">
        <v>-1.1107051309439999</v>
      </c>
      <c r="AE1565">
        <v>0.14400000000000501</v>
      </c>
      <c r="AF1565">
        <v>-5.7107143123798297E-2</v>
      </c>
      <c r="AG1565">
        <v>-1.1107051309439999</v>
      </c>
      <c r="AH1565">
        <v>27.242084593544</v>
      </c>
      <c r="AI1565">
        <v>92.334746035424999</v>
      </c>
      <c r="AJ1565">
        <v>90.120108043750804</v>
      </c>
      <c r="AK1565">
        <v>27.264777646544498</v>
      </c>
      <c r="AL1565">
        <v>85.179152585344795</v>
      </c>
      <c r="AM1565">
        <v>86.497203344112805</v>
      </c>
      <c r="AN1565">
        <v>1.0000000271634299</v>
      </c>
    </row>
    <row r="1566" spans="1:40" x14ac:dyDescent="0.25">
      <c r="A1566" t="str">
        <f>"20190312150658527"</f>
        <v>20190312150658527</v>
      </c>
      <c r="B1566" t="str">
        <f>"1552374418521923"</f>
        <v>1552374418521923</v>
      </c>
      <c r="C1566" t="s">
        <v>40</v>
      </c>
      <c r="D1566">
        <v>4.4845370000000004</v>
      </c>
      <c r="E1566">
        <v>0.50569160000000002</v>
      </c>
      <c r="F1566" t="s">
        <v>42</v>
      </c>
      <c r="G1566">
        <v>-230.97829999999999</v>
      </c>
      <c r="H1566" s="1">
        <v>-4.2487009999999999E-6</v>
      </c>
      <c r="I1566">
        <v>367.38339999999999</v>
      </c>
      <c r="J1566">
        <v>-258.43599999999998</v>
      </c>
      <c r="K1566">
        <v>1.1107009999999999</v>
      </c>
      <c r="L1566">
        <v>367.25040000000001</v>
      </c>
      <c r="M1566">
        <v>0.99990049999999997</v>
      </c>
      <c r="N1566">
        <v>0</v>
      </c>
      <c r="O1566">
        <v>3.1959459999999999E-3</v>
      </c>
      <c r="P1566">
        <v>0.9958593</v>
      </c>
      <c r="Q1566">
        <v>7.0389469999999996E-2</v>
      </c>
      <c r="R1566">
        <v>-5.7529039999999997E-2</v>
      </c>
      <c r="S1566">
        <v>3.0219269999999998</v>
      </c>
      <c r="T1566">
        <v>-0.1218004</v>
      </c>
      <c r="U1566">
        <v>1.461792E-2</v>
      </c>
      <c r="V1566">
        <v>6.0710189999999997E-2</v>
      </c>
      <c r="W1566">
        <v>8.4069389999999994E-2</v>
      </c>
      <c r="X1566">
        <v>0.99460879999999996</v>
      </c>
      <c r="Y1566">
        <v>-1.6422539999999999E-3</v>
      </c>
      <c r="Z1566" s="1">
        <v>-9.5690759999999999E-5</v>
      </c>
      <c r="AA1566">
        <v>0.99999859999999896</v>
      </c>
      <c r="AB1566">
        <v>23</v>
      </c>
      <c r="AC1566">
        <v>27.4576999999999</v>
      </c>
      <c r="AD1566">
        <v>-1.1107052487009901</v>
      </c>
      <c r="AE1566">
        <v>0.13299999999998099</v>
      </c>
      <c r="AF1566">
        <v>-4.5163809217643298E-2</v>
      </c>
      <c r="AG1566">
        <v>-1.1107052487009901</v>
      </c>
      <c r="AH1566">
        <v>27.413129134177801</v>
      </c>
      <c r="AI1566">
        <v>92.320196523302101</v>
      </c>
      <c r="AJ1566">
        <v>90.094396130443499</v>
      </c>
      <c r="AK1566">
        <v>27.435658454760301</v>
      </c>
      <c r="AL1566">
        <v>85.177486832283904</v>
      </c>
      <c r="AM1566">
        <v>86.507041448077501</v>
      </c>
      <c r="AN1566">
        <v>1.00000002727112</v>
      </c>
    </row>
    <row r="1567" spans="1:40" x14ac:dyDescent="0.25">
      <c r="A1567" t="str">
        <f>"20190312150658538"</f>
        <v>20190312150658538</v>
      </c>
      <c r="B1567" t="str">
        <f>"1552374418531683"</f>
        <v>1552374418531683</v>
      </c>
      <c r="C1567" t="s">
        <v>40</v>
      </c>
      <c r="D1567">
        <v>4.4511269999999996</v>
      </c>
      <c r="E1567">
        <v>0.51216479999999998</v>
      </c>
      <c r="F1567" t="s">
        <v>47</v>
      </c>
      <c r="G1567">
        <v>-158.19499999999999</v>
      </c>
      <c r="H1567">
        <v>0.3407869</v>
      </c>
      <c r="I1567">
        <v>359.73590000000002</v>
      </c>
      <c r="J1567">
        <v>-258.31979999999999</v>
      </c>
      <c r="K1567">
        <v>1.1107009999999999</v>
      </c>
      <c r="L1567">
        <v>367.25080000000003</v>
      </c>
      <c r="M1567">
        <v>0.99990029999999996</v>
      </c>
      <c r="N1567">
        <v>0</v>
      </c>
      <c r="O1567">
        <v>3.2137749999999999E-3</v>
      </c>
      <c r="P1567">
        <v>0.99584989999999995</v>
      </c>
      <c r="Q1567">
        <v>7.0431809999999997E-2</v>
      </c>
      <c r="R1567">
        <v>-5.7639160000000002E-2</v>
      </c>
      <c r="S1567">
        <v>3.0011139999999998</v>
      </c>
      <c r="T1567">
        <v>-2.30478E-2</v>
      </c>
      <c r="U1567">
        <v>-0.2249756</v>
      </c>
      <c r="V1567">
        <v>6.0838160000000002E-2</v>
      </c>
      <c r="W1567">
        <v>8.4110260000000006E-2</v>
      </c>
      <c r="X1567">
        <v>0.99459750000000002</v>
      </c>
      <c r="Y1567">
        <v>7.7956600000000001E-2</v>
      </c>
      <c r="Z1567">
        <v>-3.2356900000000001E-4</v>
      </c>
      <c r="AA1567">
        <v>0.99695670000000003</v>
      </c>
      <c r="AB1567">
        <v>23</v>
      </c>
      <c r="AC1567">
        <v>100.12479999999999</v>
      </c>
      <c r="AD1567">
        <v>-0.76991409999999905</v>
      </c>
      <c r="AE1567">
        <v>-7.5149000000000097</v>
      </c>
      <c r="AF1567">
        <v>7.83620943333647</v>
      </c>
      <c r="AG1567">
        <v>-0.76991409999999905</v>
      </c>
      <c r="AH1567">
        <v>100.094244029696</v>
      </c>
      <c r="AI1567">
        <v>90.439359926323306</v>
      </c>
      <c r="AJ1567">
        <v>85.523540717406505</v>
      </c>
      <c r="AK1567">
        <v>100.403469232297</v>
      </c>
      <c r="AL1567">
        <v>85.175136709677602</v>
      </c>
      <c r="AM1567">
        <v>86.4996573161349</v>
      </c>
      <c r="AN1567">
        <v>1.0000000022778499</v>
      </c>
    </row>
    <row r="1568" spans="1:40" x14ac:dyDescent="0.25">
      <c r="A1568" t="str">
        <f>"20190312150658550"</f>
        <v>20190312150658550</v>
      </c>
      <c r="B1568" t="str">
        <f>"1552374418541443"</f>
        <v>1552374418541443</v>
      </c>
      <c r="C1568" t="s">
        <v>40</v>
      </c>
      <c r="D1568">
        <v>4.4037459999999999</v>
      </c>
      <c r="E1568">
        <v>0.51551099999999905</v>
      </c>
      <c r="F1568" t="s">
        <v>49</v>
      </c>
      <c r="G1568">
        <v>-189.8023</v>
      </c>
      <c r="H1568" s="1">
        <v>-5.775659E-6</v>
      </c>
      <c r="I1568">
        <v>360.91210000000001</v>
      </c>
      <c r="J1568">
        <v>-258.19819999999999</v>
      </c>
      <c r="K1568">
        <v>1.1107020000000001</v>
      </c>
      <c r="L1568">
        <v>367.25119999999998</v>
      </c>
      <c r="M1568">
        <v>0.99990040000000002</v>
      </c>
      <c r="N1568">
        <v>0</v>
      </c>
      <c r="O1568">
        <v>3.2323209999999998E-3</v>
      </c>
      <c r="P1568">
        <v>0.99582590000000004</v>
      </c>
      <c r="Q1568">
        <v>7.0773420000000004E-2</v>
      </c>
      <c r="R1568">
        <v>-5.7636670000000001E-2</v>
      </c>
      <c r="S1568">
        <v>2.999908</v>
      </c>
      <c r="T1568">
        <v>-4.8630239999999998E-2</v>
      </c>
      <c r="U1568">
        <v>-0.27752690000000002</v>
      </c>
      <c r="V1568">
        <v>6.0853949999999997E-2</v>
      </c>
      <c r="W1568">
        <v>8.4449999999999997E-2</v>
      </c>
      <c r="X1568">
        <v>0.9945678</v>
      </c>
      <c r="Y1568">
        <v>9.5323989999999997E-2</v>
      </c>
      <c r="Z1568">
        <v>-8.2322149999999904E-4</v>
      </c>
      <c r="AA1568">
        <v>0.99544600000000005</v>
      </c>
      <c r="AB1568">
        <v>23</v>
      </c>
      <c r="AC1568">
        <v>68.395899999999898</v>
      </c>
      <c r="AD1568">
        <v>-1.110707775659</v>
      </c>
      <c r="AE1568">
        <v>-6.33909999999997</v>
      </c>
      <c r="AF1568">
        <v>6.5584503990277003</v>
      </c>
      <c r="AG1568">
        <v>-1.110707775659</v>
      </c>
      <c r="AH1568">
        <v>68.357177222523106</v>
      </c>
      <c r="AI1568">
        <v>90.926639293864298</v>
      </c>
      <c r="AJ1568">
        <v>84.519597650027606</v>
      </c>
      <c r="AK1568">
        <v>68.680059851683694</v>
      </c>
      <c r="AL1568">
        <v>85.155601804324505</v>
      </c>
      <c r="AM1568">
        <v>86.498646798237104</v>
      </c>
      <c r="AN1568">
        <v>1.00000005726371</v>
      </c>
    </row>
    <row r="1569" spans="1:40" x14ac:dyDescent="0.25">
      <c r="A1569" t="str">
        <f>"20190312150658560"</f>
        <v>20190312150658560</v>
      </c>
      <c r="B1569" t="str">
        <f>"1552374418552179"</f>
        <v>1552374418552179</v>
      </c>
      <c r="C1569" t="s">
        <v>40</v>
      </c>
      <c r="D1569">
        <v>4.3936929999999998</v>
      </c>
      <c r="E1569">
        <v>0.51781750000000004</v>
      </c>
      <c r="F1569" t="s">
        <v>49</v>
      </c>
      <c r="G1569">
        <v>-201.6593</v>
      </c>
      <c r="H1569" s="1">
        <v>-3.0715300000000001E-6</v>
      </c>
      <c r="I1569">
        <v>361.50850000000003</v>
      </c>
      <c r="J1569">
        <v>-258.08319999999998</v>
      </c>
      <c r="K1569">
        <v>1.1107039999999999</v>
      </c>
      <c r="L1569">
        <v>367.2516</v>
      </c>
      <c r="M1569">
        <v>0.99990040000000002</v>
      </c>
      <c r="N1569">
        <v>0</v>
      </c>
      <c r="O1569">
        <v>3.2494970000000001E-3</v>
      </c>
      <c r="P1569">
        <v>0.9958245</v>
      </c>
      <c r="Q1569">
        <v>7.0905179999999998E-2</v>
      </c>
      <c r="R1569">
        <v>-5.7498319999999999E-2</v>
      </c>
      <c r="S1569">
        <v>2.9991300000000001</v>
      </c>
      <c r="T1569">
        <v>-5.8917879999999999E-2</v>
      </c>
      <c r="U1569">
        <v>-0.30462650000000002</v>
      </c>
      <c r="V1569">
        <v>6.073282E-2</v>
      </c>
      <c r="W1569">
        <v>8.4580639999999999E-2</v>
      </c>
      <c r="X1569">
        <v>0.99456409999999995</v>
      </c>
      <c r="Y1569">
        <v>0.1042638</v>
      </c>
      <c r="Z1569">
        <v>-1.08508E-3</v>
      </c>
      <c r="AA1569">
        <v>0.99454909999999996</v>
      </c>
      <c r="AB1569">
        <v>23</v>
      </c>
      <c r="AC1569">
        <v>56.423899999999897</v>
      </c>
      <c r="AD1569">
        <v>-1.11070707153</v>
      </c>
      <c r="AE1569">
        <v>-5.7430999999999699</v>
      </c>
      <c r="AF1569">
        <v>5.9241641810794201</v>
      </c>
      <c r="AG1569">
        <v>-1.11070707153</v>
      </c>
      <c r="AH1569">
        <v>56.383313541263497</v>
      </c>
      <c r="AI1569">
        <v>91.122359374932202</v>
      </c>
      <c r="AJ1569">
        <v>84.001970839239604</v>
      </c>
      <c r="AK1569">
        <v>56.704562755880197</v>
      </c>
      <c r="AL1569">
        <v>85.1480897943363</v>
      </c>
      <c r="AM1569">
        <v>86.505585999424298</v>
      </c>
      <c r="AN1569">
        <v>1.00000005454838</v>
      </c>
    </row>
    <row r="1570" spans="1:40" x14ac:dyDescent="0.25">
      <c r="A1570" t="str">
        <f>"20190312150658572"</f>
        <v>20190312150658572</v>
      </c>
      <c r="B1570" t="str">
        <f>"1552374418561939"</f>
        <v>1552374418561939</v>
      </c>
      <c r="C1570" t="s">
        <v>40</v>
      </c>
      <c r="D1570">
        <v>4.3952839999999904</v>
      </c>
      <c r="E1570">
        <v>0.5187001</v>
      </c>
      <c r="F1570" t="s">
        <v>49</v>
      </c>
      <c r="G1570">
        <v>-207.66650000000001</v>
      </c>
      <c r="H1570" s="1">
        <v>-5.7207750000000003E-6</v>
      </c>
      <c r="I1570">
        <v>361.82569999999998</v>
      </c>
      <c r="J1570">
        <v>-257.9658</v>
      </c>
      <c r="K1570">
        <v>1.110706</v>
      </c>
      <c r="L1570">
        <v>367.25200000000001</v>
      </c>
      <c r="M1570">
        <v>0.99990029999999996</v>
      </c>
      <c r="N1570">
        <v>0</v>
      </c>
      <c r="O1570">
        <v>3.2675040000000001E-3</v>
      </c>
      <c r="P1570">
        <v>0.99581730000000002</v>
      </c>
      <c r="Q1570">
        <v>7.1124000000000007E-2</v>
      </c>
      <c r="R1570">
        <v>-5.735324E-2</v>
      </c>
      <c r="S1570">
        <v>2.998672</v>
      </c>
      <c r="T1570">
        <v>-6.6062570000000001E-2</v>
      </c>
      <c r="U1570">
        <v>-0.32272339999999999</v>
      </c>
      <c r="V1570">
        <v>6.0605579999999999E-2</v>
      </c>
      <c r="W1570">
        <v>8.4798239999999997E-2</v>
      </c>
      <c r="X1570">
        <v>0.99455329999999997</v>
      </c>
      <c r="Y1570">
        <v>0.1102254</v>
      </c>
      <c r="Z1570">
        <v>-1.2823050000000001E-3</v>
      </c>
      <c r="AA1570">
        <v>0.99390579999999995</v>
      </c>
      <c r="AB1570">
        <v>23</v>
      </c>
      <c r="AC1570">
        <v>50.299299999999903</v>
      </c>
      <c r="AD1570">
        <v>-1.1107117207749999</v>
      </c>
      <c r="AE1570">
        <v>-5.4262999999999604</v>
      </c>
      <c r="AF1570">
        <v>5.5879462702660101</v>
      </c>
      <c r="AG1570">
        <v>-1.1107117207749999</v>
      </c>
      <c r="AH1570">
        <v>50.257075028204802</v>
      </c>
      <c r="AI1570">
        <v>91.258313628310006</v>
      </c>
      <c r="AJ1570">
        <v>83.655498710283993</v>
      </c>
      <c r="AK1570">
        <v>50.578972057927899</v>
      </c>
      <c r="AL1570">
        <v>85.135577123071698</v>
      </c>
      <c r="AM1570">
        <v>86.5128512116964</v>
      </c>
      <c r="AN1570">
        <v>1.00000002218756</v>
      </c>
    </row>
    <row r="1571" spans="1:40" x14ac:dyDescent="0.25">
      <c r="A1571" t="str">
        <f>"20190312150658583"</f>
        <v>20190312150658583</v>
      </c>
      <c r="B1571" t="str">
        <f>"1552374418571699"</f>
        <v>1552374418571699</v>
      </c>
      <c r="C1571" t="s">
        <v>40</v>
      </c>
      <c r="D1571">
        <v>4.386984</v>
      </c>
      <c r="E1571">
        <v>0.51943609999999996</v>
      </c>
      <c r="F1571" t="s">
        <v>42</v>
      </c>
      <c r="G1571">
        <v>-214.59479999999999</v>
      </c>
      <c r="H1571" s="1">
        <v>-3.7210060000000002E-6</v>
      </c>
      <c r="I1571">
        <v>362.49239999999998</v>
      </c>
      <c r="J1571">
        <v>-257.8537</v>
      </c>
      <c r="K1571">
        <v>1.110706</v>
      </c>
      <c r="L1571">
        <v>367.25240000000002</v>
      </c>
      <c r="M1571">
        <v>0.99990020000000002</v>
      </c>
      <c r="N1571">
        <v>0</v>
      </c>
      <c r="O1571">
        <v>3.2848539999999998E-3</v>
      </c>
      <c r="P1571">
        <v>0.99578580000000005</v>
      </c>
      <c r="Q1571">
        <v>7.1361149999999998E-2</v>
      </c>
      <c r="R1571">
        <v>-5.7606739999999997E-2</v>
      </c>
      <c r="S1571">
        <v>2.9991300000000001</v>
      </c>
      <c r="T1571">
        <v>-7.6806189999999996E-2</v>
      </c>
      <c r="U1571">
        <v>-0.32913209999999998</v>
      </c>
      <c r="V1571">
        <v>6.0876149999999997E-2</v>
      </c>
      <c r="W1571">
        <v>8.5033910000000004E-2</v>
      </c>
      <c r="X1571">
        <v>0.99451659999999997</v>
      </c>
      <c r="Y1571">
        <v>0.1123151</v>
      </c>
      <c r="Z1571">
        <v>-1.5174989999999901E-3</v>
      </c>
      <c r="AA1571">
        <v>0.99367150000000004</v>
      </c>
      <c r="AB1571">
        <v>23</v>
      </c>
      <c r="AC1571">
        <v>43.258899999999997</v>
      </c>
      <c r="AD1571">
        <v>-1.110709721006</v>
      </c>
      <c r="AE1571">
        <v>-4.7600000000000398</v>
      </c>
      <c r="AF1571">
        <v>4.8988959387055404</v>
      </c>
      <c r="AG1571">
        <v>-1.110709721006</v>
      </c>
      <c r="AH1571">
        <v>43.214880588126398</v>
      </c>
      <c r="AI1571">
        <v>91.462927358647903</v>
      </c>
      <c r="AJ1571">
        <v>83.532484681883503</v>
      </c>
      <c r="AK1571">
        <v>43.505847443172797</v>
      </c>
      <c r="AL1571">
        <v>85.122025021946499</v>
      </c>
      <c r="AM1571">
        <v>86.497192782106893</v>
      </c>
      <c r="AN1571">
        <v>0.999999969582134</v>
      </c>
    </row>
    <row r="1572" spans="1:40" x14ac:dyDescent="0.25">
      <c r="A1572" t="str">
        <f>"20190312150658595"</f>
        <v>20190312150658595</v>
      </c>
      <c r="B1572" t="str">
        <f>"1552374418592195"</f>
        <v>1552374418592195</v>
      </c>
      <c r="C1572" t="s">
        <v>40</v>
      </c>
      <c r="D1572">
        <v>4.3627379999999896</v>
      </c>
      <c r="E1572">
        <v>0.52058760000000004</v>
      </c>
      <c r="F1572" t="s">
        <v>42</v>
      </c>
      <c r="G1572">
        <v>-217.12469999999999</v>
      </c>
      <c r="H1572" s="1">
        <v>-2.8078750000000002E-6</v>
      </c>
      <c r="I1572">
        <v>362.68860000000001</v>
      </c>
      <c r="J1572">
        <v>-257.73</v>
      </c>
      <c r="K1572">
        <v>1.1107039999999999</v>
      </c>
      <c r="L1572">
        <v>367.25279999999998</v>
      </c>
      <c r="M1572">
        <v>0.99990020000000002</v>
      </c>
      <c r="N1572">
        <v>0</v>
      </c>
      <c r="O1572">
        <v>3.3036960000000001E-3</v>
      </c>
      <c r="P1572">
        <v>0.99579700000000004</v>
      </c>
      <c r="Q1572">
        <v>7.1254479999999995E-2</v>
      </c>
      <c r="R1572">
        <v>-5.7541729999999999E-2</v>
      </c>
      <c r="S1572">
        <v>2.9991150000000002</v>
      </c>
      <c r="T1572">
        <v>-8.1787940000000003E-2</v>
      </c>
      <c r="U1572">
        <v>-0.33605960000000001</v>
      </c>
      <c r="V1572">
        <v>6.0830120000000001E-2</v>
      </c>
      <c r="W1572">
        <v>8.4926050000000003E-2</v>
      </c>
      <c r="X1572">
        <v>0.99452870000000004</v>
      </c>
      <c r="Y1572">
        <v>0.11459560000000001</v>
      </c>
      <c r="Z1572">
        <v>-1.6471980000000001E-3</v>
      </c>
      <c r="AA1572">
        <v>0.99341089999999999</v>
      </c>
      <c r="AB1572">
        <v>23</v>
      </c>
      <c r="AC1572">
        <v>40.6053</v>
      </c>
      <c r="AD1572">
        <v>-1.110706807875</v>
      </c>
      <c r="AE1572">
        <v>-4.5641999999999703</v>
      </c>
      <c r="AF1572">
        <v>4.6948663151542203</v>
      </c>
      <c r="AG1572">
        <v>-1.110706807875</v>
      </c>
      <c r="AH1572">
        <v>40.560028756631397</v>
      </c>
      <c r="AI1572">
        <v>91.558212325483296</v>
      </c>
      <c r="AJ1572">
        <v>83.397336346512006</v>
      </c>
      <c r="AK1572">
        <v>40.845946825468403</v>
      </c>
      <c r="AL1572">
        <v>85.128227706764406</v>
      </c>
      <c r="AM1572">
        <v>86.499877235517502</v>
      </c>
      <c r="AN1572">
        <v>1.00000003629575</v>
      </c>
    </row>
    <row r="1573" spans="1:40" x14ac:dyDescent="0.25">
      <c r="A1573" t="str">
        <f>"20190312150658607"</f>
        <v>20190312150658607</v>
      </c>
      <c r="B1573" t="str">
        <f>"1552374418601955"</f>
        <v>1552374418601955</v>
      </c>
      <c r="C1573" t="s">
        <v>40</v>
      </c>
      <c r="D1573">
        <v>4.3455120000000003</v>
      </c>
      <c r="E1573">
        <v>0.52111399999999997</v>
      </c>
      <c r="F1573" t="s">
        <v>42</v>
      </c>
      <c r="G1573">
        <v>-218.47229999999999</v>
      </c>
      <c r="H1573" s="1">
        <v>-2.3369960000000001E-6</v>
      </c>
      <c r="I1573">
        <v>362.73480000000001</v>
      </c>
      <c r="J1573">
        <v>-257.60329999999999</v>
      </c>
      <c r="K1573">
        <v>1.1107039999999999</v>
      </c>
      <c r="L1573">
        <v>367.25330000000002</v>
      </c>
      <c r="M1573">
        <v>0.99990020000000002</v>
      </c>
      <c r="N1573">
        <v>0</v>
      </c>
      <c r="O1573">
        <v>3.3232539999999999E-3</v>
      </c>
      <c r="P1573">
        <v>0.99579209999999996</v>
      </c>
      <c r="Q1573">
        <v>7.1300409999999995E-2</v>
      </c>
      <c r="R1573">
        <v>-5.7571770000000001E-2</v>
      </c>
      <c r="S1573">
        <v>2.9987949999999999</v>
      </c>
      <c r="T1573">
        <v>-8.4843870000000002E-2</v>
      </c>
      <c r="U1573">
        <v>-0.34512330000000002</v>
      </c>
      <c r="V1573">
        <v>6.0879540000000003E-2</v>
      </c>
      <c r="W1573">
        <v>8.4970740000000003E-2</v>
      </c>
      <c r="X1573">
        <v>0.99452180000000001</v>
      </c>
      <c r="Y1573">
        <v>0.1175861</v>
      </c>
      <c r="Z1573">
        <v>-1.75132E-3</v>
      </c>
      <c r="AA1573">
        <v>0.99306110000000003</v>
      </c>
      <c r="AB1573">
        <v>23</v>
      </c>
      <c r="AC1573">
        <v>39.131</v>
      </c>
      <c r="AD1573">
        <v>-1.110706336996</v>
      </c>
      <c r="AE1573">
        <v>-4.5185000000000102</v>
      </c>
      <c r="AF1573">
        <v>4.6448365974305297</v>
      </c>
      <c r="AG1573">
        <v>-1.110706336996</v>
      </c>
      <c r="AH1573">
        <v>39.084691357785097</v>
      </c>
      <c r="AI1573">
        <v>91.616421558443193</v>
      </c>
      <c r="AJ1573">
        <v>83.2227380048528</v>
      </c>
      <c r="AK1573">
        <v>39.375389193215597</v>
      </c>
      <c r="AL1573">
        <v>85.125657583894395</v>
      </c>
      <c r="AM1573">
        <v>86.497016477914599</v>
      </c>
      <c r="AN1573">
        <v>0.99999997786099903</v>
      </c>
    </row>
    <row r="1574" spans="1:40" x14ac:dyDescent="0.25">
      <c r="A1574" t="str">
        <f>"20190312150658620"</f>
        <v>20190312150658620</v>
      </c>
      <c r="B1574" t="str">
        <f>"1552374418611715"</f>
        <v>1552374418611715</v>
      </c>
      <c r="C1574" t="s">
        <v>40</v>
      </c>
      <c r="D1574">
        <v>4.3500500000000004</v>
      </c>
      <c r="E1574">
        <v>0.52137420000000001</v>
      </c>
      <c r="F1574" t="s">
        <v>42</v>
      </c>
      <c r="G1574">
        <v>-218.8253</v>
      </c>
      <c r="H1574" s="1">
        <v>-2.2172390000000002E-6</v>
      </c>
      <c r="I1574">
        <v>362.73329999999999</v>
      </c>
      <c r="J1574">
        <v>-257.47149999999999</v>
      </c>
      <c r="K1574">
        <v>1.1107049999999901</v>
      </c>
      <c r="L1574">
        <v>367.25369999999998</v>
      </c>
      <c r="M1574">
        <v>0.99990020000000002</v>
      </c>
      <c r="N1574">
        <v>0</v>
      </c>
      <c r="O1574">
        <v>3.3431099999999998E-3</v>
      </c>
      <c r="P1574">
        <v>0.99579470000000003</v>
      </c>
      <c r="Q1574">
        <v>7.1317640000000002E-2</v>
      </c>
      <c r="R1574">
        <v>-5.750628E-2</v>
      </c>
      <c r="S1574">
        <v>2.9986269999999999</v>
      </c>
      <c r="T1574">
        <v>-8.5888619999999999E-2</v>
      </c>
      <c r="U1574">
        <v>-0.34951779999999999</v>
      </c>
      <c r="V1574">
        <v>6.08338E-2</v>
      </c>
      <c r="W1574">
        <v>8.4986399999999906E-2</v>
      </c>
      <c r="X1574">
        <v>0.9945233</v>
      </c>
      <c r="Y1574">
        <v>0.11904629999999999</v>
      </c>
      <c r="Z1574">
        <v>-1.7942310000000001E-3</v>
      </c>
      <c r="AA1574">
        <v>0.99288710000000002</v>
      </c>
      <c r="AB1574">
        <v>23</v>
      </c>
      <c r="AC1574">
        <v>38.646199999999901</v>
      </c>
      <c r="AD1574">
        <v>-1.11070721723899</v>
      </c>
      <c r="AE1574">
        <v>-4.5203999999999898</v>
      </c>
      <c r="AF1574">
        <v>4.6457997201266803</v>
      </c>
      <c r="AG1574">
        <v>-1.11070721723899</v>
      </c>
      <c r="AH1574">
        <v>38.599417185437602</v>
      </c>
      <c r="AI1574">
        <v>91.636440644416297</v>
      </c>
      <c r="AJ1574">
        <v>83.136932014526593</v>
      </c>
      <c r="AK1574">
        <v>38.893857260722001</v>
      </c>
      <c r="AL1574">
        <v>85.124757265045801</v>
      </c>
      <c r="AM1574">
        <v>86.499647058691593</v>
      </c>
      <c r="AN1574">
        <v>1.0000000168251399</v>
      </c>
    </row>
    <row r="1575" spans="1:40" x14ac:dyDescent="0.25">
      <c r="A1575" t="str">
        <f>"20190312150658632"</f>
        <v>20190312150658632</v>
      </c>
      <c r="B1575" t="str">
        <f>"1552374418621475"</f>
        <v>1552374418621475</v>
      </c>
      <c r="C1575" t="s">
        <v>40</v>
      </c>
      <c r="D1575">
        <v>4.358619</v>
      </c>
      <c r="E1575">
        <v>0.52166749999999995</v>
      </c>
      <c r="F1575" t="s">
        <v>42</v>
      </c>
      <c r="G1575">
        <v>-219.3058</v>
      </c>
      <c r="H1575" s="1">
        <v>-2.041161E-6</v>
      </c>
      <c r="I1575">
        <v>362.78059999999999</v>
      </c>
      <c r="J1575">
        <v>-257.3501</v>
      </c>
      <c r="K1575">
        <v>1.1107070000000001</v>
      </c>
      <c r="L1575">
        <v>367.25409999999999</v>
      </c>
      <c r="M1575">
        <v>0.99990020000000002</v>
      </c>
      <c r="N1575">
        <v>0</v>
      </c>
      <c r="O1575">
        <v>3.3616539999999999E-3</v>
      </c>
      <c r="P1575">
        <v>0.99576529999999996</v>
      </c>
      <c r="Q1575">
        <v>7.1614070000000002E-2</v>
      </c>
      <c r="R1575">
        <v>-5.7647709999999998E-2</v>
      </c>
      <c r="S1575">
        <v>2.9986269999999999</v>
      </c>
      <c r="T1575">
        <v>-8.7266449999999995E-2</v>
      </c>
      <c r="U1575">
        <v>-0.35144039999999999</v>
      </c>
      <c r="V1575">
        <v>6.0993459999999999E-2</v>
      </c>
      <c r="W1575">
        <v>8.5280960000000003E-2</v>
      </c>
      <c r="X1575">
        <v>0.99448829999999999</v>
      </c>
      <c r="Y1575">
        <v>0.1196908</v>
      </c>
      <c r="Z1575">
        <v>-1.8328159999999999E-3</v>
      </c>
      <c r="AA1575">
        <v>0.99280950000000001</v>
      </c>
      <c r="AB1575">
        <v>23</v>
      </c>
      <c r="AC1575">
        <v>38.0442999999999</v>
      </c>
      <c r="AD1575">
        <v>-1.1107090411610001</v>
      </c>
      <c r="AE1575">
        <v>-4.4734999999999996</v>
      </c>
      <c r="AF1575">
        <v>4.5975132556927996</v>
      </c>
      <c r="AG1575">
        <v>-1.1107090411610001</v>
      </c>
      <c r="AH1575">
        <v>37.997099830662698</v>
      </c>
      <c r="AI1575">
        <v>91.662243342469594</v>
      </c>
      <c r="AJ1575">
        <v>83.100952707377303</v>
      </c>
      <c r="AK1575">
        <v>38.290343407336202</v>
      </c>
      <c r="AL1575">
        <v>85.1078186999585</v>
      </c>
      <c r="AM1575">
        <v>86.490360011214193</v>
      </c>
      <c r="AN1575">
        <v>1.0000000115690899</v>
      </c>
    </row>
    <row r="1576" spans="1:40" x14ac:dyDescent="0.25">
      <c r="A1576" t="str">
        <f>"20190312150658645"</f>
        <v>20190312150658645</v>
      </c>
      <c r="B1576" t="str">
        <f>"1552374418641971"</f>
        <v>1552374418641971</v>
      </c>
      <c r="C1576" t="s">
        <v>40</v>
      </c>
      <c r="D1576">
        <v>4.3277519999999896</v>
      </c>
      <c r="E1576">
        <v>0.52208889999999997</v>
      </c>
      <c r="F1576" t="s">
        <v>42</v>
      </c>
      <c r="G1576">
        <v>-218.26750000000001</v>
      </c>
      <c r="H1576" s="1">
        <v>-2.4321540000000002E-6</v>
      </c>
      <c r="I1576">
        <v>362.63900000000001</v>
      </c>
      <c r="J1576">
        <v>-257.21550000000002</v>
      </c>
      <c r="K1576">
        <v>1.1107089999999999</v>
      </c>
      <c r="L1576">
        <v>367.25459999999998</v>
      </c>
      <c r="M1576">
        <v>0.99990000000000001</v>
      </c>
      <c r="N1576">
        <v>0</v>
      </c>
      <c r="O1576">
        <v>3.3823450000000001E-3</v>
      </c>
      <c r="P1576">
        <v>0.99575970000000003</v>
      </c>
      <c r="Q1576">
        <v>7.1533440000000004E-2</v>
      </c>
      <c r="R1576">
        <v>-5.784487E-2</v>
      </c>
      <c r="S1576">
        <v>2.998383</v>
      </c>
      <c r="T1576">
        <v>-8.5212590000000005E-2</v>
      </c>
      <c r="U1576">
        <v>-0.35406490000000002</v>
      </c>
      <c r="V1576">
        <v>6.1211199999999903E-2</v>
      </c>
      <c r="W1576">
        <v>8.5198769999999993E-2</v>
      </c>
      <c r="X1576">
        <v>0.99448199999999998</v>
      </c>
      <c r="Y1576">
        <v>0.1205798</v>
      </c>
      <c r="Z1576">
        <v>-1.802924E-3</v>
      </c>
      <c r="AA1576">
        <v>0.99270199999999997</v>
      </c>
      <c r="AB1576">
        <v>23</v>
      </c>
      <c r="AC1576">
        <v>38.948</v>
      </c>
      <c r="AD1576">
        <v>-1.1107114321539999</v>
      </c>
      <c r="AE1576">
        <v>-4.6155999999999704</v>
      </c>
      <c r="AF1576">
        <v>4.7435172771490297</v>
      </c>
      <c r="AG1576">
        <v>-1.1107114321539999</v>
      </c>
      <c r="AH1576">
        <v>38.900965495737097</v>
      </c>
      <c r="AI1576">
        <v>91.623462511163495</v>
      </c>
      <c r="AJ1576">
        <v>83.047772388845999</v>
      </c>
      <c r="AK1576">
        <v>39.204843483231201</v>
      </c>
      <c r="AL1576">
        <v>85.112545204885095</v>
      </c>
      <c r="AM1576">
        <v>86.477840207207905</v>
      </c>
      <c r="AN1576">
        <v>1.0000000448694699</v>
      </c>
    </row>
    <row r="1577" spans="1:40" x14ac:dyDescent="0.25">
      <c r="A1577" t="str">
        <f>"20190312150658658"</f>
        <v>20190312150658658</v>
      </c>
      <c r="B1577" t="str">
        <f>"1552374418651731"</f>
        <v>1552374418651731</v>
      </c>
      <c r="C1577" t="s">
        <v>40</v>
      </c>
      <c r="D1577">
        <v>4.3221759999999998</v>
      </c>
      <c r="E1577">
        <v>0.52231280000000002</v>
      </c>
      <c r="F1577" t="s">
        <v>42</v>
      </c>
      <c r="G1577">
        <v>-219.05099999999999</v>
      </c>
      <c r="H1577" s="1">
        <v>-2.1506560000000001E-6</v>
      </c>
      <c r="I1577">
        <v>362.69490000000002</v>
      </c>
      <c r="J1577">
        <v>-257.07249999999999</v>
      </c>
      <c r="K1577">
        <v>1.1107100000000001</v>
      </c>
      <c r="L1577">
        <v>367.25510000000003</v>
      </c>
      <c r="M1577">
        <v>0.99989989999999995</v>
      </c>
      <c r="N1577">
        <v>0</v>
      </c>
      <c r="O1577">
        <v>3.4038750000000002E-3</v>
      </c>
      <c r="P1577">
        <v>0.99573860000000003</v>
      </c>
      <c r="Q1577">
        <v>7.1639530000000007E-2</v>
      </c>
      <c r="R1577">
        <v>-5.807441E-2</v>
      </c>
      <c r="S1577">
        <v>2.99823</v>
      </c>
      <c r="T1577">
        <v>-8.7258219999999997E-2</v>
      </c>
      <c r="U1577">
        <v>-0.35821530000000001</v>
      </c>
      <c r="V1577">
        <v>6.1462179999999998E-2</v>
      </c>
      <c r="W1577">
        <v>8.5303279999999995E-2</v>
      </c>
      <c r="X1577">
        <v>0.99445749999999999</v>
      </c>
      <c r="Y1577">
        <v>0.121959</v>
      </c>
      <c r="Z1577">
        <v>-1.866749E-3</v>
      </c>
      <c r="AA1577">
        <v>0.99253340000000001</v>
      </c>
      <c r="AB1577">
        <v>23</v>
      </c>
      <c r="AC1577">
        <v>38.021500000000003</v>
      </c>
      <c r="AD1577">
        <v>-1.11071215065599</v>
      </c>
      <c r="AE1577">
        <v>-4.5602</v>
      </c>
      <c r="AF1577">
        <v>4.6856642501744101</v>
      </c>
      <c r="AG1577">
        <v>-1.11071215065599</v>
      </c>
      <c r="AH1577">
        <v>37.973809184694801</v>
      </c>
      <c r="AI1577">
        <v>91.662787556576603</v>
      </c>
      <c r="AJ1577">
        <v>82.965715754805998</v>
      </c>
      <c r="AK1577">
        <v>38.277922030102197</v>
      </c>
      <c r="AL1577">
        <v>85.106535046895303</v>
      </c>
      <c r="AM1577">
        <v>86.463348213036795</v>
      </c>
      <c r="AN1577">
        <v>0.99999998422767999</v>
      </c>
    </row>
    <row r="1578" spans="1:40" x14ac:dyDescent="0.25">
      <c r="A1578" t="str">
        <f>"20190312150658672"</f>
        <v>20190312150658672</v>
      </c>
      <c r="B1578" t="str">
        <f>"1552374418661490"</f>
        <v>1552374418661490</v>
      </c>
      <c r="C1578" t="s">
        <v>40</v>
      </c>
      <c r="D1578">
        <v>4.2854169999999998</v>
      </c>
      <c r="E1578">
        <v>0.52248159999999999</v>
      </c>
      <c r="F1578" t="s">
        <v>42</v>
      </c>
      <c r="G1578">
        <v>-218.9605</v>
      </c>
      <c r="H1578" s="1">
        <v>-2.1883069999999998E-6</v>
      </c>
      <c r="I1578">
        <v>362.66919999999999</v>
      </c>
      <c r="J1578">
        <v>-256.93540000000002</v>
      </c>
      <c r="K1578">
        <v>1.110711</v>
      </c>
      <c r="L1578">
        <v>367.25560000000002</v>
      </c>
      <c r="M1578">
        <v>0.99989989999999995</v>
      </c>
      <c r="N1578">
        <v>0</v>
      </c>
      <c r="O1578">
        <v>3.424627E-3</v>
      </c>
      <c r="P1578">
        <v>0.99572150000000004</v>
      </c>
      <c r="Q1578">
        <v>7.1407209999999999E-2</v>
      </c>
      <c r="R1578">
        <v>-5.8652320000000001E-2</v>
      </c>
      <c r="S1578">
        <v>2.9981080000000002</v>
      </c>
      <c r="T1578">
        <v>-8.7374690000000005E-2</v>
      </c>
      <c r="U1578">
        <v>-0.36074830000000002</v>
      </c>
      <c r="V1578">
        <v>6.2060549999999999E-2</v>
      </c>
      <c r="W1578">
        <v>8.5069080000000005E-2</v>
      </c>
      <c r="X1578">
        <v>0.9944404</v>
      </c>
      <c r="Y1578">
        <v>0.1228105</v>
      </c>
      <c r="Z1578">
        <v>-1.882185E-3</v>
      </c>
      <c r="AA1578">
        <v>0.99242839999999999</v>
      </c>
      <c r="AB1578">
        <v>23</v>
      </c>
      <c r="AC1578">
        <v>37.974899999999998</v>
      </c>
      <c r="AD1578">
        <v>-1.1107131883070001</v>
      </c>
      <c r="AE1578">
        <v>-4.5864000000000198</v>
      </c>
      <c r="AF1578">
        <v>4.7124617597743796</v>
      </c>
      <c r="AG1578">
        <v>-1.1107131883070001</v>
      </c>
      <c r="AH1578">
        <v>37.926989713340099</v>
      </c>
      <c r="AI1578">
        <v>91.664666335676998</v>
      </c>
      <c r="AJ1578">
        <v>82.917248755844199</v>
      </c>
      <c r="AK1578">
        <v>38.234768579655601</v>
      </c>
      <c r="AL1578">
        <v>85.120002675123601</v>
      </c>
      <c r="AM1578">
        <v>86.428944276748794</v>
      </c>
      <c r="AN1578">
        <v>0.99999998469525397</v>
      </c>
    </row>
    <row r="1579" spans="1:40" x14ac:dyDescent="0.25">
      <c r="A1579" t="str">
        <f>"20190312150658683"</f>
        <v>20190312150658683</v>
      </c>
      <c r="B1579" t="str">
        <f>"1552374418672227"</f>
        <v>1552374418672227</v>
      </c>
      <c r="C1579" t="s">
        <v>40</v>
      </c>
      <c r="D1579">
        <v>4.3057080000000001</v>
      </c>
      <c r="E1579">
        <v>0.52268630000000005</v>
      </c>
      <c r="F1579" t="s">
        <v>42</v>
      </c>
      <c r="G1579">
        <v>-219.2218</v>
      </c>
      <c r="H1579" s="1">
        <v>-2.0956969999999998E-6</v>
      </c>
      <c r="I1579">
        <v>362.68299999999999</v>
      </c>
      <c r="J1579">
        <v>-256.80889999999999</v>
      </c>
      <c r="K1579">
        <v>1.110711</v>
      </c>
      <c r="L1579">
        <v>367.2561</v>
      </c>
      <c r="M1579">
        <v>0.99989989999999995</v>
      </c>
      <c r="N1579">
        <v>0</v>
      </c>
      <c r="O1579">
        <v>3.4439470000000002E-3</v>
      </c>
      <c r="P1579">
        <v>0.99569700000000005</v>
      </c>
      <c r="Q1579">
        <v>7.1408940000000004E-2</v>
      </c>
      <c r="R1579">
        <v>-5.9061309999999999E-2</v>
      </c>
      <c r="S1579">
        <v>2.9978180000000001</v>
      </c>
      <c r="T1579">
        <v>-8.8289259999999994E-2</v>
      </c>
      <c r="U1579">
        <v>-0.36346440000000002</v>
      </c>
      <c r="V1579">
        <v>6.2488780000000001E-2</v>
      </c>
      <c r="W1579">
        <v>8.5069049999999993E-2</v>
      </c>
      <c r="X1579">
        <v>0.99441360000000001</v>
      </c>
      <c r="Y1579">
        <v>0.12372569999999999</v>
      </c>
      <c r="Z1579">
        <v>-1.9159489999999999E-3</v>
      </c>
      <c r="AA1579">
        <v>0.99231460000000005</v>
      </c>
      <c r="AB1579">
        <v>23</v>
      </c>
      <c r="AC1579">
        <v>37.5870999999999</v>
      </c>
      <c r="AD1579">
        <v>-1.1107130956969999</v>
      </c>
      <c r="AE1579">
        <v>-4.5730999999999504</v>
      </c>
      <c r="AF1579">
        <v>4.6984900547266202</v>
      </c>
      <c r="AG1579">
        <v>-1.1107130956969999</v>
      </c>
      <c r="AH1579">
        <v>37.538824370525198</v>
      </c>
      <c r="AI1579">
        <v>91.681681264782696</v>
      </c>
      <c r="AJ1579">
        <v>82.865760983446094</v>
      </c>
      <c r="AK1579">
        <v>37.848022768652697</v>
      </c>
      <c r="AL1579">
        <v>85.120004472082698</v>
      </c>
      <c r="AM1579">
        <v>86.4042710635985</v>
      </c>
      <c r="AN1579">
        <v>0.999999999379375</v>
      </c>
    </row>
    <row r="1580" spans="1:40" x14ac:dyDescent="0.25">
      <c r="A1580" t="str">
        <f>"20190312150658694"</f>
        <v>20190312150658694</v>
      </c>
      <c r="B1580" t="str">
        <f>"1552374418691747"</f>
        <v>1552374418691747</v>
      </c>
      <c r="C1580" t="s">
        <v>40</v>
      </c>
      <c r="D1580">
        <v>4.2786759999999999</v>
      </c>
      <c r="E1580">
        <v>0.52316279999999904</v>
      </c>
      <c r="F1580" t="s">
        <v>42</v>
      </c>
      <c r="G1580">
        <v>-219.6044</v>
      </c>
      <c r="H1580" s="1">
        <v>-1.9588920000000002E-6</v>
      </c>
      <c r="I1580">
        <v>362.7079</v>
      </c>
      <c r="J1580">
        <v>-256.70310000000001</v>
      </c>
      <c r="K1580">
        <v>1.1107089999999999</v>
      </c>
      <c r="L1580">
        <v>367.25650000000002</v>
      </c>
      <c r="M1580">
        <v>0.99989989999999995</v>
      </c>
      <c r="N1580">
        <v>0</v>
      </c>
      <c r="O1580">
        <v>3.4599869999999999E-3</v>
      </c>
      <c r="P1580">
        <v>0.99568500000000004</v>
      </c>
      <c r="Q1580">
        <v>7.1307549999999997E-2</v>
      </c>
      <c r="R1580">
        <v>-5.9389610000000002E-2</v>
      </c>
      <c r="S1580">
        <v>2.9976500000000001</v>
      </c>
      <c r="T1580">
        <v>-8.9492440000000006E-2</v>
      </c>
      <c r="U1580">
        <v>-0.36645509999999998</v>
      </c>
      <c r="V1580">
        <v>6.2832959999999993E-2</v>
      </c>
      <c r="W1580">
        <v>8.4966920000000001E-2</v>
      </c>
      <c r="X1580">
        <v>0.99440059999999997</v>
      </c>
      <c r="Y1580">
        <v>0.12472179999999999</v>
      </c>
      <c r="Z1580">
        <v>-1.957327E-3</v>
      </c>
      <c r="AA1580">
        <v>0.99218980000000001</v>
      </c>
      <c r="AB1580">
        <v>23</v>
      </c>
      <c r="AC1580">
        <v>37.098700000000001</v>
      </c>
      <c r="AD1580">
        <v>-1.1107109588920001</v>
      </c>
      <c r="AE1580">
        <v>-4.54860000000002</v>
      </c>
      <c r="AF1580">
        <v>4.6728193520459698</v>
      </c>
      <c r="AG1580">
        <v>-1.1107109588920001</v>
      </c>
      <c r="AH1580">
        <v>37.050019835174602</v>
      </c>
      <c r="AI1580">
        <v>91.703649723992797</v>
      </c>
      <c r="AJ1580">
        <v>82.811700511775499</v>
      </c>
      <c r="AK1580">
        <v>37.360044021894403</v>
      </c>
      <c r="AL1580">
        <v>85.125877140471005</v>
      </c>
      <c r="AM1580">
        <v>86.384471508232195</v>
      </c>
      <c r="AN1580">
        <v>0.99999995581850198</v>
      </c>
    </row>
    <row r="1581" spans="1:40" x14ac:dyDescent="0.25">
      <c r="A1581" t="str">
        <f>"20190312150658706"</f>
        <v>20190312150658706</v>
      </c>
      <c r="B1581" t="str">
        <f>"1552374418701507"</f>
        <v>1552374418701507</v>
      </c>
      <c r="C1581" t="s">
        <v>40</v>
      </c>
      <c r="D1581">
        <v>4.2649780000000002</v>
      </c>
      <c r="E1581">
        <v>0.52330059999999901</v>
      </c>
      <c r="F1581" t="s">
        <v>42</v>
      </c>
      <c r="G1581">
        <v>-220.18209999999999</v>
      </c>
      <c r="H1581" s="1">
        <v>-5.4149940000000001E-6</v>
      </c>
      <c r="I1581">
        <v>362.73390000000001</v>
      </c>
      <c r="J1581">
        <v>-256.58100000000002</v>
      </c>
      <c r="K1581">
        <v>1.1107100000000001</v>
      </c>
      <c r="L1581">
        <v>367.25689999999997</v>
      </c>
      <c r="M1581">
        <v>0.99989989999999995</v>
      </c>
      <c r="N1581">
        <v>0</v>
      </c>
      <c r="O1581">
        <v>3.4786499999999998E-3</v>
      </c>
      <c r="P1581">
        <v>0.99564339999999996</v>
      </c>
      <c r="Q1581">
        <v>7.1524190000000001E-2</v>
      </c>
      <c r="R1581">
        <v>-5.982415E-2</v>
      </c>
      <c r="S1581">
        <v>2.9974210000000001</v>
      </c>
      <c r="T1581">
        <v>-9.1160539999999998E-2</v>
      </c>
      <c r="U1581">
        <v>-0.3711853</v>
      </c>
      <c r="V1581">
        <v>6.3286079999999995E-2</v>
      </c>
      <c r="W1581">
        <v>8.5181670000000001E-2</v>
      </c>
      <c r="X1581">
        <v>0.9943535</v>
      </c>
      <c r="Y1581">
        <v>0.12628889999999901</v>
      </c>
      <c r="Z1581">
        <v>-2.0180530000000001E-3</v>
      </c>
      <c r="AA1581">
        <v>0.99199150000000003</v>
      </c>
      <c r="AB1581">
        <v>23</v>
      </c>
      <c r="AC1581">
        <v>36.398899999999898</v>
      </c>
      <c r="AD1581">
        <v>-1.1107154149939999</v>
      </c>
      <c r="AE1581">
        <v>-4.5229999999999597</v>
      </c>
      <c r="AF1581">
        <v>4.6453437417735</v>
      </c>
      <c r="AG1581">
        <v>-1.1107154149939999</v>
      </c>
      <c r="AH1581">
        <v>36.349611332676503</v>
      </c>
      <c r="AI1581">
        <v>91.736100828533097</v>
      </c>
      <c r="AJ1581">
        <v>82.717290244528201</v>
      </c>
      <c r="AK1581">
        <v>36.662066925488297</v>
      </c>
      <c r="AL1581">
        <v>85.113528140727198</v>
      </c>
      <c r="AM1581">
        <v>86.358296000390297</v>
      </c>
      <c r="AN1581">
        <v>0.99999996389400103</v>
      </c>
    </row>
    <row r="1582" spans="1:40" x14ac:dyDescent="0.25">
      <c r="A1582" t="str">
        <f>"20190312150658717"</f>
        <v>20190312150658717</v>
      </c>
      <c r="B1582" t="str">
        <f>"1552374418712243"</f>
        <v>1552374418712243</v>
      </c>
      <c r="C1582" t="s">
        <v>40</v>
      </c>
      <c r="D1582">
        <v>4.2914909999999997</v>
      </c>
      <c r="E1582">
        <v>0.5234396</v>
      </c>
      <c r="F1582" t="s">
        <v>42</v>
      </c>
      <c r="G1582">
        <v>-220.5677</v>
      </c>
      <c r="H1582" s="1">
        <v>-5.2439389999999999E-6</v>
      </c>
      <c r="I1582">
        <v>362.76580000000001</v>
      </c>
      <c r="J1582">
        <v>-256.46530000000001</v>
      </c>
      <c r="K1582">
        <v>1.1107100000000001</v>
      </c>
      <c r="L1582">
        <v>367.25729999999999</v>
      </c>
      <c r="M1582">
        <v>0.99989969999999995</v>
      </c>
      <c r="N1582">
        <v>0</v>
      </c>
      <c r="O1582">
        <v>3.4966540000000001E-3</v>
      </c>
      <c r="P1582">
        <v>0.99562139999999999</v>
      </c>
      <c r="Q1582">
        <v>7.1491970000000002E-2</v>
      </c>
      <c r="R1582">
        <v>-6.0225760000000003E-2</v>
      </c>
      <c r="S1582">
        <v>2.9973139999999998</v>
      </c>
      <c r="T1582">
        <v>-9.2442389999999999E-2</v>
      </c>
      <c r="U1582">
        <v>-0.37377929999999998</v>
      </c>
      <c r="V1582">
        <v>6.3705499999999998E-2</v>
      </c>
      <c r="W1582">
        <v>8.5147920000000002E-2</v>
      </c>
      <c r="X1582">
        <v>0.99432960000000004</v>
      </c>
      <c r="Y1582">
        <v>0.1271544</v>
      </c>
      <c r="Z1582">
        <v>-2.0602250000000002E-3</v>
      </c>
      <c r="AA1582">
        <v>0.99188080000000001</v>
      </c>
      <c r="AB1582">
        <v>23</v>
      </c>
      <c r="AC1582">
        <v>35.897599999999997</v>
      </c>
      <c r="AD1582">
        <v>-1.110715243939</v>
      </c>
      <c r="AE1582">
        <v>-4.4914999999999701</v>
      </c>
      <c r="AF1582">
        <v>4.6126579455413204</v>
      </c>
      <c r="AG1582">
        <v>-1.110715243939</v>
      </c>
      <c r="AH1582">
        <v>35.847883511217901</v>
      </c>
      <c r="AI1582">
        <v>91.760189276245299</v>
      </c>
      <c r="AJ1582">
        <v>82.667863357365505</v>
      </c>
      <c r="AK1582">
        <v>36.160490233257804</v>
      </c>
      <c r="AL1582">
        <v>85.115468886899706</v>
      </c>
      <c r="AM1582">
        <v>86.334138817846295</v>
      </c>
      <c r="AN1582">
        <v>0.99999995622336701</v>
      </c>
    </row>
    <row r="1583" spans="1:40" x14ac:dyDescent="0.25">
      <c r="A1583" t="str">
        <f>"20190312150658728"</f>
        <v>20190312150658728</v>
      </c>
      <c r="B1583" t="str">
        <f>"1552374418722003"</f>
        <v>1552374418722003</v>
      </c>
      <c r="C1583" t="s">
        <v>40</v>
      </c>
      <c r="D1583">
        <v>4.2304830000000004</v>
      </c>
      <c r="E1583">
        <v>0.52353269999999996</v>
      </c>
      <c r="F1583" t="s">
        <v>42</v>
      </c>
      <c r="G1583">
        <v>-220.52860000000001</v>
      </c>
      <c r="H1583" s="1">
        <v>-5.2639980000000003E-6</v>
      </c>
      <c r="I1583">
        <v>362.7473</v>
      </c>
      <c r="J1583">
        <v>-256.35430000000002</v>
      </c>
      <c r="K1583">
        <v>1.1107119999999999</v>
      </c>
      <c r="L1583">
        <v>367.2577</v>
      </c>
      <c r="M1583">
        <v>0.99989980000000001</v>
      </c>
      <c r="N1583">
        <v>0</v>
      </c>
      <c r="O1583">
        <v>3.513824E-3</v>
      </c>
      <c r="P1583">
        <v>0.99560729999999997</v>
      </c>
      <c r="Q1583">
        <v>7.1376040000000002E-2</v>
      </c>
      <c r="R1583">
        <v>-6.0594519999999999E-2</v>
      </c>
      <c r="S1583">
        <v>2.9970859999999999</v>
      </c>
      <c r="T1583">
        <v>-9.263217E-2</v>
      </c>
      <c r="U1583">
        <v>-0.3761292</v>
      </c>
      <c r="V1583">
        <v>6.4091529999999994E-2</v>
      </c>
      <c r="W1583">
        <v>8.5030590000000003E-2</v>
      </c>
      <c r="X1583">
        <v>0.99431480000000005</v>
      </c>
      <c r="Y1583">
        <v>0.1279458</v>
      </c>
      <c r="Z1583">
        <v>-2.0772170000000001E-3</v>
      </c>
      <c r="AA1583">
        <v>0.99177899999999997</v>
      </c>
      <c r="AB1583">
        <v>23</v>
      </c>
      <c r="AC1583">
        <v>35.825699999999998</v>
      </c>
      <c r="AD1583">
        <v>-1.1107172639980001</v>
      </c>
      <c r="AE1583">
        <v>-4.5103999999999997</v>
      </c>
      <c r="AF1583">
        <v>4.6318864507930799</v>
      </c>
      <c r="AG1583">
        <v>-1.1107172639980001</v>
      </c>
      <c r="AH1583">
        <v>35.775777118931501</v>
      </c>
      <c r="AI1583">
        <v>91.7635596210052</v>
      </c>
      <c r="AJ1583">
        <v>82.622957361565796</v>
      </c>
      <c r="AK1583">
        <v>36.091471200230202</v>
      </c>
      <c r="AL1583">
        <v>85.122215709951305</v>
      </c>
      <c r="AM1583">
        <v>86.311931536485403</v>
      </c>
      <c r="AN1583">
        <v>0.99999992347626099</v>
      </c>
    </row>
    <row r="1584" spans="1:40" x14ac:dyDescent="0.25">
      <c r="A1584" t="str">
        <f>"20190312150658739"</f>
        <v>20190312150658739</v>
      </c>
      <c r="B1584" t="str">
        <f>"1552374418731762"</f>
        <v>1552374418731762</v>
      </c>
      <c r="C1584" t="s">
        <v>40</v>
      </c>
      <c r="D1584">
        <v>4.2403959999999996</v>
      </c>
      <c r="E1584">
        <v>0.52363979999999999</v>
      </c>
      <c r="F1584" t="s">
        <v>42</v>
      </c>
      <c r="G1584">
        <v>-220.46440000000001</v>
      </c>
      <c r="H1584" s="1">
        <v>-5.2941599999999998E-6</v>
      </c>
      <c r="I1584">
        <v>362.73239999999998</v>
      </c>
      <c r="J1584">
        <v>-256.23570000000001</v>
      </c>
      <c r="K1584">
        <v>1.1107129999999901</v>
      </c>
      <c r="L1584">
        <v>367.25810000000001</v>
      </c>
      <c r="M1584">
        <v>0.99989969999999995</v>
      </c>
      <c r="N1584">
        <v>0</v>
      </c>
      <c r="O1584">
        <v>3.5320099999999999E-3</v>
      </c>
      <c r="P1584">
        <v>0.99558619999999998</v>
      </c>
      <c r="Q1584">
        <v>7.1253800000000006E-2</v>
      </c>
      <c r="R1584">
        <v>-6.1085319999999999E-2</v>
      </c>
      <c r="S1584">
        <v>2.9968870000000001</v>
      </c>
      <c r="T1584">
        <v>-9.2747209999999997E-2</v>
      </c>
      <c r="U1584">
        <v>-0.3778687</v>
      </c>
      <c r="V1584">
        <v>6.4600359999999996E-2</v>
      </c>
      <c r="W1584">
        <v>8.4907049999999998E-2</v>
      </c>
      <c r="X1584">
        <v>0.99429250000000002</v>
      </c>
      <c r="Y1584">
        <v>0.12853819999999999</v>
      </c>
      <c r="Z1584">
        <v>-2.0895459999999999E-3</v>
      </c>
      <c r="AA1584">
        <v>0.99170239999999998</v>
      </c>
      <c r="AB1584">
        <v>23</v>
      </c>
      <c r="AC1584">
        <v>35.771299999999997</v>
      </c>
      <c r="AD1584">
        <v>-1.11071829415999</v>
      </c>
      <c r="AE1584">
        <v>-4.52570000000002</v>
      </c>
      <c r="AF1584">
        <v>4.6476178982319398</v>
      </c>
      <c r="AG1584">
        <v>-1.11071829415999</v>
      </c>
      <c r="AH1584">
        <v>35.721193002031498</v>
      </c>
      <c r="AI1584">
        <v>91.766110588884601</v>
      </c>
      <c r="AJ1584">
        <v>82.586995090850806</v>
      </c>
      <c r="AK1584">
        <v>36.039390626720198</v>
      </c>
      <c r="AL1584">
        <v>85.129320069253495</v>
      </c>
      <c r="AM1584">
        <v>86.282650174322001</v>
      </c>
      <c r="AN1584">
        <v>0.99999999460404099</v>
      </c>
    </row>
    <row r="1585" spans="1:40" x14ac:dyDescent="0.25">
      <c r="A1585" t="str">
        <f>"20190312150658751"</f>
        <v>20190312150658751</v>
      </c>
      <c r="B1585" t="str">
        <f>"1552374418741524"</f>
        <v>1552374418741524</v>
      </c>
      <c r="C1585" t="s">
        <v>40</v>
      </c>
      <c r="D1585">
        <v>4.2201810000000002</v>
      </c>
      <c r="E1585">
        <v>0.52373930000000002</v>
      </c>
      <c r="F1585" t="s">
        <v>42</v>
      </c>
      <c r="G1585">
        <v>-220.79259999999999</v>
      </c>
      <c r="H1585" s="1">
        <v>-5.14855E-6</v>
      </c>
      <c r="I1585">
        <v>362.75959999999998</v>
      </c>
      <c r="J1585">
        <v>-256.12430000000001</v>
      </c>
      <c r="K1585">
        <v>1.1107129999999901</v>
      </c>
      <c r="L1585">
        <v>367.25850000000003</v>
      </c>
      <c r="M1585">
        <v>0.99989969999999995</v>
      </c>
      <c r="N1585">
        <v>0</v>
      </c>
      <c r="O1585">
        <v>3.549361E-3</v>
      </c>
      <c r="P1585">
        <v>0.99555490000000002</v>
      </c>
      <c r="Q1585">
        <v>7.1275939999999996E-2</v>
      </c>
      <c r="R1585">
        <v>-6.1568199999999997E-2</v>
      </c>
      <c r="S1585">
        <v>2.9966889999999999</v>
      </c>
      <c r="T1585">
        <v>-9.3910099999999996E-2</v>
      </c>
      <c r="U1585">
        <v>-0.38034059999999997</v>
      </c>
      <c r="V1585">
        <v>6.5100160000000004E-2</v>
      </c>
      <c r="W1585">
        <v>8.4927009999999997E-2</v>
      </c>
      <c r="X1585">
        <v>0.99425819999999998</v>
      </c>
      <c r="Y1585">
        <v>0.1293667</v>
      </c>
      <c r="Z1585">
        <v>-2.1292310000000001E-3</v>
      </c>
      <c r="AA1585">
        <v>0.99159459999999999</v>
      </c>
      <c r="AB1585">
        <v>23</v>
      </c>
      <c r="AC1585">
        <v>35.331699999999998</v>
      </c>
      <c r="AD1585">
        <v>-1.11071814854999</v>
      </c>
      <c r="AE1585">
        <v>-4.4989000000000399</v>
      </c>
      <c r="AF1585">
        <v>4.61979561086837</v>
      </c>
      <c r="AG1585">
        <v>-1.11071814854999</v>
      </c>
      <c r="AH1585">
        <v>35.281196403734597</v>
      </c>
      <c r="AI1585">
        <v>91.7879302909502</v>
      </c>
      <c r="AJ1585">
        <v>82.540010343108705</v>
      </c>
      <c r="AK1585">
        <v>35.599705419716798</v>
      </c>
      <c r="AL1585">
        <v>85.128172316668596</v>
      </c>
      <c r="AM1585">
        <v>86.253842499863097</v>
      </c>
      <c r="AN1585">
        <v>0.99999999806340201</v>
      </c>
    </row>
    <row r="1586" spans="1:40" x14ac:dyDescent="0.25">
      <c r="A1586" t="str">
        <f>"20190312150658762"</f>
        <v>20190312150658762</v>
      </c>
      <c r="B1586" t="str">
        <f>"1552374418752259"</f>
        <v>1552374418752259</v>
      </c>
      <c r="C1586" t="s">
        <v>40</v>
      </c>
      <c r="D1586">
        <v>4.2248039999999998</v>
      </c>
      <c r="E1586">
        <v>0.52384390000000003</v>
      </c>
      <c r="F1586" t="s">
        <v>42</v>
      </c>
      <c r="G1586">
        <v>-221.0197</v>
      </c>
      <c r="H1586" s="1">
        <v>-5.0478299999999997E-6</v>
      </c>
      <c r="I1586">
        <v>362.77809999999999</v>
      </c>
      <c r="J1586">
        <v>-256.00240000000002</v>
      </c>
      <c r="K1586">
        <v>1.1107149999999999</v>
      </c>
      <c r="L1586">
        <v>367.25900000000001</v>
      </c>
      <c r="M1586">
        <v>0.9998996</v>
      </c>
      <c r="N1586">
        <v>0</v>
      </c>
      <c r="O1586">
        <v>3.5680239999999999E-3</v>
      </c>
      <c r="P1586">
        <v>0.99553919999999996</v>
      </c>
      <c r="Q1586">
        <v>7.1165679999999995E-2</v>
      </c>
      <c r="R1586">
        <v>-6.1946660000000001E-2</v>
      </c>
      <c r="S1586">
        <v>2.9965359999999999</v>
      </c>
      <c r="T1586">
        <v>-9.481096E-2</v>
      </c>
      <c r="U1586">
        <v>-0.38244630000000002</v>
      </c>
      <c r="V1586">
        <v>6.5497349999999996E-2</v>
      </c>
      <c r="W1586">
        <v>8.4815349999999998E-2</v>
      </c>
      <c r="X1586">
        <v>0.99424170000000001</v>
      </c>
      <c r="Y1586">
        <v>0.13007550000000001</v>
      </c>
      <c r="Z1586">
        <v>-2.161414E-3</v>
      </c>
      <c r="AA1586">
        <v>0.99150170000000004</v>
      </c>
      <c r="AB1586">
        <v>23</v>
      </c>
      <c r="AC1586">
        <v>34.982700000000001</v>
      </c>
      <c r="AD1586">
        <v>-1.1107200478299999</v>
      </c>
      <c r="AE1586">
        <v>-4.4809000000000196</v>
      </c>
      <c r="AF1586">
        <v>4.6011387993170301</v>
      </c>
      <c r="AG1586">
        <v>-1.1107200478299999</v>
      </c>
      <c r="AH1586">
        <v>34.9318415459582</v>
      </c>
      <c r="AI1586">
        <v>91.805622105064401</v>
      </c>
      <c r="AJ1586">
        <v>82.4963327339361</v>
      </c>
      <c r="AK1586">
        <v>35.251067091184098</v>
      </c>
      <c r="AL1586">
        <v>85.134593394360394</v>
      </c>
      <c r="AM1586">
        <v>86.230989701804901</v>
      </c>
      <c r="AN1586">
        <v>1.0000000522357599</v>
      </c>
    </row>
    <row r="1587" spans="1:40" x14ac:dyDescent="0.25">
      <c r="A1587" t="str">
        <f>"20190312150658773"</f>
        <v>20190312150658773</v>
      </c>
      <c r="B1587" t="str">
        <f>"1552374418762019"</f>
        <v>1552374418762019</v>
      </c>
      <c r="C1587" t="s">
        <v>40</v>
      </c>
      <c r="D1587">
        <v>4.198194</v>
      </c>
      <c r="E1587">
        <v>0.52394289999999999</v>
      </c>
      <c r="F1587" t="s">
        <v>42</v>
      </c>
      <c r="G1587">
        <v>-220.7424</v>
      </c>
      <c r="H1587" s="1">
        <v>-5.1745049999999997E-6</v>
      </c>
      <c r="I1587">
        <v>362.7346</v>
      </c>
      <c r="J1587">
        <v>-255.89150000000001</v>
      </c>
      <c r="K1587">
        <v>1.110716</v>
      </c>
      <c r="L1587">
        <v>367.25940000000003</v>
      </c>
      <c r="M1587">
        <v>0.99989950000000005</v>
      </c>
      <c r="N1587">
        <v>0</v>
      </c>
      <c r="O1587">
        <v>3.5849010000000001E-3</v>
      </c>
      <c r="P1587">
        <v>0.99550470000000002</v>
      </c>
      <c r="Q1587">
        <v>7.1290930000000002E-2</v>
      </c>
      <c r="R1587">
        <v>-6.2353619999999998E-2</v>
      </c>
      <c r="S1587">
        <v>2.9962620000000002</v>
      </c>
      <c r="T1587">
        <v>-9.4384670000000004E-2</v>
      </c>
      <c r="U1587">
        <v>-0.38446039999999998</v>
      </c>
      <c r="V1587">
        <v>6.5920989999999999E-2</v>
      </c>
      <c r="W1587">
        <v>8.4939360000000005E-2</v>
      </c>
      <c r="X1587">
        <v>0.99420310000000001</v>
      </c>
      <c r="Y1587">
        <v>0.1307596</v>
      </c>
      <c r="Z1587">
        <v>-2.1630619999999999E-3</v>
      </c>
      <c r="AA1587">
        <v>0.99141170000000001</v>
      </c>
      <c r="AB1587">
        <v>23</v>
      </c>
      <c r="AC1587">
        <v>35.149099999999997</v>
      </c>
      <c r="AD1587">
        <v>-1.1107211745050001</v>
      </c>
      <c r="AE1587">
        <v>-4.5248000000000204</v>
      </c>
      <c r="AF1587">
        <v>4.6462248367708003</v>
      </c>
      <c r="AG1587">
        <v>-1.1107211745050001</v>
      </c>
      <c r="AH1587">
        <v>35.098174716015897</v>
      </c>
      <c r="AI1587">
        <v>91.796918650311497</v>
      </c>
      <c r="AJ1587">
        <v>82.459145961039397</v>
      </c>
      <c r="AK1587">
        <v>35.421786730165003</v>
      </c>
      <c r="AL1587">
        <v>85.127462342395603</v>
      </c>
      <c r="AM1587">
        <v>86.2065356631188</v>
      </c>
      <c r="AN1587">
        <v>1.0000000379246901</v>
      </c>
    </row>
    <row r="1588" spans="1:40" x14ac:dyDescent="0.25">
      <c r="A1588" t="str">
        <f>"20190312150658785"</f>
        <v>20190312150658785</v>
      </c>
      <c r="B1588" t="str">
        <f>"1552374418781538"</f>
        <v>1552374418781538</v>
      </c>
      <c r="C1588" t="s">
        <v>40</v>
      </c>
      <c r="D1588">
        <v>4.2331949999999896</v>
      </c>
      <c r="E1588">
        <v>0.52406560000000002</v>
      </c>
      <c r="F1588" t="s">
        <v>42</v>
      </c>
      <c r="G1588">
        <v>-220.62819999999999</v>
      </c>
      <c r="H1588" s="1">
        <v>-5.2278299999999997E-6</v>
      </c>
      <c r="I1588">
        <v>362.71030000000002</v>
      </c>
      <c r="J1588">
        <v>-255.77340000000001</v>
      </c>
      <c r="K1588">
        <v>1.110717</v>
      </c>
      <c r="L1588">
        <v>367.25990000000002</v>
      </c>
      <c r="M1588">
        <v>0.9998996</v>
      </c>
      <c r="N1588">
        <v>0</v>
      </c>
      <c r="O1588">
        <v>3.6025530000000001E-3</v>
      </c>
      <c r="P1588">
        <v>0.99548009999999998</v>
      </c>
      <c r="Q1588">
        <v>7.1293670000000003E-2</v>
      </c>
      <c r="R1588">
        <v>-6.2742699999999998E-2</v>
      </c>
      <c r="S1588">
        <v>2.9961090000000001</v>
      </c>
      <c r="T1588">
        <v>-9.4370960000000004E-2</v>
      </c>
      <c r="U1588">
        <v>-0.38650509999999999</v>
      </c>
      <c r="V1588">
        <v>6.6327440000000001E-2</v>
      </c>
      <c r="W1588">
        <v>8.4940779999999994E-2</v>
      </c>
      <c r="X1588">
        <v>0.9941759</v>
      </c>
      <c r="Y1588">
        <v>0.1314487</v>
      </c>
      <c r="Z1588">
        <v>-2.1741220000000001E-3</v>
      </c>
      <c r="AA1588">
        <v>0.9913206</v>
      </c>
      <c r="AB1588">
        <v>23</v>
      </c>
      <c r="AC1588">
        <v>35.145200000000003</v>
      </c>
      <c r="AD1588">
        <v>-1.11072222783</v>
      </c>
      <c r="AE1588">
        <v>-4.5495999999999901</v>
      </c>
      <c r="AF1588">
        <v>4.6716057073147104</v>
      </c>
      <c r="AG1588">
        <v>-1.11072222783</v>
      </c>
      <c r="AH1588">
        <v>35.094105866525801</v>
      </c>
      <c r="AI1588">
        <v>91.796955530194893</v>
      </c>
      <c r="AJ1588">
        <v>82.417561739243894</v>
      </c>
      <c r="AK1588">
        <v>35.421093578868103</v>
      </c>
      <c r="AL1588">
        <v>85.127380466753394</v>
      </c>
      <c r="AM1588">
        <v>86.183111052564399</v>
      </c>
      <c r="AN1588">
        <v>0.99999999277238605</v>
      </c>
    </row>
    <row r="1589" spans="1:40" x14ac:dyDescent="0.25">
      <c r="A1589" t="str">
        <f>"20190312150658796"</f>
        <v>20190312150658796</v>
      </c>
      <c r="B1589" t="str">
        <f>"1552374418792275"</f>
        <v>1552374418792275</v>
      </c>
      <c r="C1589" t="s">
        <v>40</v>
      </c>
      <c r="D1589">
        <v>4.2101379999999997</v>
      </c>
      <c r="E1589">
        <v>0.52419589999999905</v>
      </c>
      <c r="F1589" t="s">
        <v>42</v>
      </c>
      <c r="G1589">
        <v>-220.71360000000001</v>
      </c>
      <c r="H1589" s="1">
        <v>-5.1912469999999998E-6</v>
      </c>
      <c r="I1589">
        <v>362.7099</v>
      </c>
      <c r="J1589">
        <v>-255.65979999999999</v>
      </c>
      <c r="K1589">
        <v>1.1107180000000001</v>
      </c>
      <c r="L1589">
        <v>367.26029999999997</v>
      </c>
      <c r="M1589">
        <v>0.99989939999999999</v>
      </c>
      <c r="N1589">
        <v>0</v>
      </c>
      <c r="O1589">
        <v>3.620201E-3</v>
      </c>
      <c r="P1589">
        <v>0.99547819999999998</v>
      </c>
      <c r="Q1589">
        <v>7.1149219999999999E-2</v>
      </c>
      <c r="R1589">
        <v>-6.2938919999999995E-2</v>
      </c>
      <c r="S1589">
        <v>2.995895</v>
      </c>
      <c r="T1589">
        <v>-9.4912049999999998E-2</v>
      </c>
      <c r="U1589">
        <v>-0.38879390000000003</v>
      </c>
      <c r="V1589">
        <v>6.6541119999999995E-2</v>
      </c>
      <c r="W1589">
        <v>8.4794930000000004E-2</v>
      </c>
      <c r="X1589">
        <v>0.99417409999999995</v>
      </c>
      <c r="Y1589">
        <v>0.132218899999999</v>
      </c>
      <c r="Z1589">
        <v>-2.1993329999999999E-3</v>
      </c>
      <c r="AA1589">
        <v>0.99121809999999999</v>
      </c>
      <c r="AB1589">
        <v>23</v>
      </c>
      <c r="AC1589">
        <v>34.946199999999898</v>
      </c>
      <c r="AD1589">
        <v>-1.1107231912469999</v>
      </c>
      <c r="AE1589">
        <v>-4.5503999999999598</v>
      </c>
      <c r="AF1589">
        <v>4.6722530782217104</v>
      </c>
      <c r="AG1589">
        <v>-1.1107231912469999</v>
      </c>
      <c r="AH1589">
        <v>34.8948326470437</v>
      </c>
      <c r="AI1589">
        <v>91.807027682222397</v>
      </c>
      <c r="AJ1589">
        <v>82.373724686442799</v>
      </c>
      <c r="AK1589">
        <v>35.223756192372697</v>
      </c>
      <c r="AL1589">
        <v>85.135767451631907</v>
      </c>
      <c r="AM1589">
        <v>86.170844201492201</v>
      </c>
      <c r="AN1589">
        <v>1.00000002095768</v>
      </c>
    </row>
    <row r="1590" spans="1:40" x14ac:dyDescent="0.25">
      <c r="A1590" t="str">
        <f>"20190312150658807"</f>
        <v>20190312150658807</v>
      </c>
      <c r="B1590" t="str">
        <f>"1552374418802035"</f>
        <v>1552374418802035</v>
      </c>
      <c r="C1590" t="s">
        <v>40</v>
      </c>
      <c r="D1590">
        <v>4.1800329999999999</v>
      </c>
      <c r="E1590">
        <v>0.52428039999999998</v>
      </c>
      <c r="F1590" t="s">
        <v>42</v>
      </c>
      <c r="G1590">
        <v>-220.22149999999999</v>
      </c>
      <c r="H1590" s="1">
        <v>-5.4142749999999999E-6</v>
      </c>
      <c r="I1590">
        <v>362.64280000000002</v>
      </c>
      <c r="J1590">
        <v>-255.5471</v>
      </c>
      <c r="K1590">
        <v>1.110717</v>
      </c>
      <c r="L1590">
        <v>367.26069999999999</v>
      </c>
      <c r="M1590">
        <v>0.99989930000000005</v>
      </c>
      <c r="N1590">
        <v>0</v>
      </c>
      <c r="O1590">
        <v>3.637731E-3</v>
      </c>
      <c r="P1590">
        <v>0.99545030000000001</v>
      </c>
      <c r="Q1590">
        <v>7.1258409999999994E-2</v>
      </c>
      <c r="R1590">
        <v>-6.3253779999999996E-2</v>
      </c>
      <c r="S1590">
        <v>2.9956360000000002</v>
      </c>
      <c r="T1590">
        <v>-9.3890310000000005E-2</v>
      </c>
      <c r="U1590">
        <v>-0.39031979999999999</v>
      </c>
      <c r="V1590">
        <v>6.6873399999999902E-2</v>
      </c>
      <c r="W1590">
        <v>8.4902779999999997E-2</v>
      </c>
      <c r="X1590">
        <v>0.99414259999999999</v>
      </c>
      <c r="Y1590">
        <v>0.132744899999999</v>
      </c>
      <c r="Z1590">
        <v>-2.1845369999999999E-3</v>
      </c>
      <c r="AA1590">
        <v>0.99114780000000002</v>
      </c>
      <c r="AB1590">
        <v>23</v>
      </c>
      <c r="AC1590">
        <v>35.325600000000001</v>
      </c>
      <c r="AD1590">
        <v>-1.1107224142749901</v>
      </c>
      <c r="AE1590">
        <v>-4.6178999999999597</v>
      </c>
      <c r="AF1590">
        <v>4.7417774804779897</v>
      </c>
      <c r="AG1590">
        <v>-1.1107224142749901</v>
      </c>
      <c r="AH1590">
        <v>35.274278822028897</v>
      </c>
      <c r="AI1590">
        <v>91.787475949051299</v>
      </c>
      <c r="AJ1590">
        <v>82.343858157556696</v>
      </c>
      <c r="AK1590">
        <v>35.608887996821501</v>
      </c>
      <c r="AL1590">
        <v>85.129565739719993</v>
      </c>
      <c r="AM1590">
        <v>86.151658657592293</v>
      </c>
      <c r="AN1590">
        <v>1.0000000214070199</v>
      </c>
    </row>
    <row r="1591" spans="1:40" x14ac:dyDescent="0.25">
      <c r="A1591" t="str">
        <f>"20190312150658820"</f>
        <v>20190312150658820</v>
      </c>
      <c r="B1591" t="str">
        <f>"1552374418811795"</f>
        <v>1552374418811795</v>
      </c>
      <c r="C1591" t="s">
        <v>40</v>
      </c>
      <c r="D1591">
        <v>4.2131530000000001</v>
      </c>
      <c r="E1591">
        <v>0.5243816</v>
      </c>
      <c r="F1591" t="s">
        <v>42</v>
      </c>
      <c r="G1591">
        <v>-219.62459999999999</v>
      </c>
      <c r="H1591" s="1">
        <v>-1.9908780000000001E-6</v>
      </c>
      <c r="I1591">
        <v>362.56189999999998</v>
      </c>
      <c r="J1591">
        <v>-255.40809999999999</v>
      </c>
      <c r="K1591">
        <v>1.1107180000000001</v>
      </c>
      <c r="L1591">
        <v>367.26130000000001</v>
      </c>
      <c r="M1591">
        <v>0.99989930000000005</v>
      </c>
      <c r="N1591">
        <v>0</v>
      </c>
      <c r="O1591">
        <v>3.6587799999999999E-3</v>
      </c>
      <c r="P1591">
        <v>0.99542520000000001</v>
      </c>
      <c r="Q1591">
        <v>7.1286130000000003E-2</v>
      </c>
      <c r="R1591">
        <v>-6.361675E-2</v>
      </c>
      <c r="S1591">
        <v>2.995438</v>
      </c>
      <c r="T1591">
        <v>-9.2618110000000003E-2</v>
      </c>
      <c r="U1591">
        <v>-0.39181519999999997</v>
      </c>
      <c r="V1591">
        <v>6.7257200000000003E-2</v>
      </c>
      <c r="W1591">
        <v>8.4928439999999994E-2</v>
      </c>
      <c r="X1591">
        <v>0.99411450000000001</v>
      </c>
      <c r="Y1591">
        <v>0.13326209999999999</v>
      </c>
      <c r="Z1591">
        <v>-2.163632E-3</v>
      </c>
      <c r="AA1591">
        <v>0.99107840000000003</v>
      </c>
      <c r="AB1591">
        <v>23</v>
      </c>
      <c r="AC1591">
        <v>35.783499999999997</v>
      </c>
      <c r="AD1591">
        <v>-1.1107199908779899</v>
      </c>
      <c r="AE1591">
        <v>-4.6994000000000202</v>
      </c>
      <c r="AF1591">
        <v>4.8257341264121898</v>
      </c>
      <c r="AG1591">
        <v>-1.1107199908779899</v>
      </c>
      <c r="AH1591">
        <v>35.732221117822299</v>
      </c>
      <c r="AI1591">
        <v>91.764432205760599</v>
      </c>
      <c r="AJ1591">
        <v>82.308584938479797</v>
      </c>
      <c r="AK1591">
        <v>36.073716675301199</v>
      </c>
      <c r="AL1591">
        <v>85.128090120450395</v>
      </c>
      <c r="AM1591">
        <v>86.129530114020596</v>
      </c>
      <c r="AN1591">
        <v>1.0000000049914599</v>
      </c>
    </row>
    <row r="1592" spans="1:40" x14ac:dyDescent="0.25">
      <c r="A1592" t="str">
        <f>"20190312150658834"</f>
        <v>20190312150658834</v>
      </c>
      <c r="B1592" t="str">
        <f>"1552374418821555"</f>
        <v>1552374418821555</v>
      </c>
      <c r="C1592" t="s">
        <v>40</v>
      </c>
      <c r="D1592">
        <v>4.1939849999999996</v>
      </c>
      <c r="E1592">
        <v>0.52447670000000002</v>
      </c>
      <c r="F1592" t="s">
        <v>42</v>
      </c>
      <c r="G1592">
        <v>-219.00479999999999</v>
      </c>
      <c r="H1592" s="1">
        <v>-2.224806E-6</v>
      </c>
      <c r="I1592">
        <v>362.47539999999998</v>
      </c>
      <c r="J1592">
        <v>-255.27699999999999</v>
      </c>
      <c r="K1592">
        <v>1.1107180000000001</v>
      </c>
      <c r="L1592">
        <v>367.26170000000002</v>
      </c>
      <c r="M1592">
        <v>0.99989930000000005</v>
      </c>
      <c r="N1592">
        <v>0</v>
      </c>
      <c r="O1592">
        <v>3.6789930000000002E-3</v>
      </c>
      <c r="P1592">
        <v>0.99540479999999998</v>
      </c>
      <c r="Q1592">
        <v>7.1122679999999994E-2</v>
      </c>
      <c r="R1592">
        <v>-6.4119430000000005E-2</v>
      </c>
      <c r="S1592">
        <v>2.9951629999999998</v>
      </c>
      <c r="T1592">
        <v>-9.1386800000000004E-2</v>
      </c>
      <c r="U1592">
        <v>-0.39376830000000002</v>
      </c>
      <c r="V1592">
        <v>6.7779980000000004E-2</v>
      </c>
      <c r="W1592">
        <v>8.4763089999999999E-2</v>
      </c>
      <c r="X1592">
        <v>0.99409309999999995</v>
      </c>
      <c r="Y1592">
        <v>0.13393060000000001</v>
      </c>
      <c r="Z1592">
        <v>-2.1457500000000001E-3</v>
      </c>
      <c r="AA1592">
        <v>0.99098839999999999</v>
      </c>
      <c r="AB1592">
        <v>23</v>
      </c>
      <c r="AC1592">
        <v>36.272199999999998</v>
      </c>
      <c r="AD1592">
        <v>-1.110720224806</v>
      </c>
      <c r="AE1592">
        <v>-4.7863000000000397</v>
      </c>
      <c r="AF1592">
        <v>4.9151952330340398</v>
      </c>
      <c r="AG1592">
        <v>-1.110720224806</v>
      </c>
      <c r="AH1592">
        <v>36.2209611197027</v>
      </c>
      <c r="AI1592">
        <v>91.740489571026202</v>
      </c>
      <c r="AJ1592">
        <v>82.272149924629801</v>
      </c>
      <c r="AK1592">
        <v>36.569808148685297</v>
      </c>
      <c r="AL1592">
        <v>85.137598235215094</v>
      </c>
      <c r="AM1592">
        <v>86.099454338193198</v>
      </c>
      <c r="AN1592">
        <v>0.99999999929137895</v>
      </c>
    </row>
    <row r="1593" spans="1:40" x14ac:dyDescent="0.25">
      <c r="A1593" t="str">
        <f>"20190312150658846"</f>
        <v>20190312150658846</v>
      </c>
      <c r="B1593" t="str">
        <f>"1552374418842052"</f>
        <v>1552374418842052</v>
      </c>
      <c r="C1593" t="s">
        <v>40</v>
      </c>
      <c r="D1593">
        <v>4.1925619999999997</v>
      </c>
      <c r="E1593">
        <v>0.52462350000000002</v>
      </c>
      <c r="F1593" t="s">
        <v>42</v>
      </c>
      <c r="G1593">
        <v>-218.72890000000001</v>
      </c>
      <c r="H1593" s="1">
        <v>-2.3306819999999999E-6</v>
      </c>
      <c r="I1593">
        <v>362.43020000000001</v>
      </c>
      <c r="J1593">
        <v>-255.149</v>
      </c>
      <c r="K1593">
        <v>1.1107180000000001</v>
      </c>
      <c r="L1593">
        <v>367.26229999999998</v>
      </c>
      <c r="M1593">
        <v>0.99989910000000004</v>
      </c>
      <c r="N1593">
        <v>0</v>
      </c>
      <c r="O1593">
        <v>3.6993249999999998E-3</v>
      </c>
      <c r="P1593">
        <v>0.99539509999999998</v>
      </c>
      <c r="Q1593">
        <v>7.1034760000000002E-2</v>
      </c>
      <c r="R1593">
        <v>-6.4362290000000003E-2</v>
      </c>
      <c r="S1593">
        <v>2.9948579999999998</v>
      </c>
      <c r="T1593">
        <v>-9.1015700000000005E-2</v>
      </c>
      <c r="U1593">
        <v>-0.39590449999999999</v>
      </c>
      <c r="V1593">
        <v>6.8043190000000003E-2</v>
      </c>
      <c r="W1593">
        <v>8.4673769999999995E-2</v>
      </c>
      <c r="X1593">
        <v>0.99408269999999999</v>
      </c>
      <c r="Y1593">
        <v>0.13465869999999999</v>
      </c>
      <c r="Z1593">
        <v>-2.1487870000000001E-3</v>
      </c>
      <c r="AA1593">
        <v>0.99088969999999998</v>
      </c>
      <c r="AB1593">
        <v>23</v>
      </c>
      <c r="AC1593">
        <v>36.420099999999898</v>
      </c>
      <c r="AD1593">
        <v>-1.1107203306819999</v>
      </c>
      <c r="AE1593">
        <v>-4.8320999999999596</v>
      </c>
      <c r="AF1593">
        <v>4.9622738449574602</v>
      </c>
      <c r="AG1593">
        <v>-1.1107203306819999</v>
      </c>
      <c r="AH1593">
        <v>36.3687323412314</v>
      </c>
      <c r="AI1593">
        <v>91.733250230299603</v>
      </c>
      <c r="AJ1593">
        <v>82.230346797657504</v>
      </c>
      <c r="AK1593">
        <v>36.722507450791902</v>
      </c>
      <c r="AL1593">
        <v>85.142734210187598</v>
      </c>
      <c r="AM1593">
        <v>86.084313539084704</v>
      </c>
      <c r="AN1593">
        <v>0.99999996873533803</v>
      </c>
    </row>
    <row r="1594" spans="1:40" x14ac:dyDescent="0.25">
      <c r="A1594" t="str">
        <f>"20190312150658859"</f>
        <v>20190312150658859</v>
      </c>
      <c r="B1594" t="str">
        <f>"1552374418851811"</f>
        <v>1552374418851811</v>
      </c>
      <c r="C1594" t="s">
        <v>40</v>
      </c>
      <c r="D1594">
        <v>5.1243619999999996</v>
      </c>
      <c r="E1594">
        <v>0.52466789999999996</v>
      </c>
      <c r="F1594" t="s">
        <v>42</v>
      </c>
      <c r="G1594">
        <v>-217.9348</v>
      </c>
      <c r="H1594" s="1">
        <v>-2.63102E-6</v>
      </c>
      <c r="I1594">
        <v>362.31720000000001</v>
      </c>
      <c r="J1594">
        <v>-255.01230000000001</v>
      </c>
      <c r="K1594">
        <v>1.110719</v>
      </c>
      <c r="L1594">
        <v>367.26280000000003</v>
      </c>
      <c r="M1594">
        <v>0.99989910000000004</v>
      </c>
      <c r="N1594">
        <v>0</v>
      </c>
      <c r="O1594">
        <v>3.721575E-3</v>
      </c>
      <c r="P1594">
        <v>0.99537989999999998</v>
      </c>
      <c r="Q1594">
        <v>7.0883349999999998E-2</v>
      </c>
      <c r="R1594">
        <v>-6.4766980000000002E-2</v>
      </c>
      <c r="S1594">
        <v>2.9945369999999998</v>
      </c>
      <c r="T1594">
        <v>-8.9376929999999993E-2</v>
      </c>
      <c r="U1594">
        <v>-0.39791870000000001</v>
      </c>
      <c r="V1594">
        <v>6.846969E-2</v>
      </c>
      <c r="W1594">
        <v>8.4521250000000006E-2</v>
      </c>
      <c r="X1594">
        <v>0.99406640000000002</v>
      </c>
      <c r="Y1594">
        <v>0.13535139999999901</v>
      </c>
      <c r="Z1594">
        <v>-2.1211950000000002E-3</v>
      </c>
      <c r="AA1594">
        <v>0.99079539999999999</v>
      </c>
      <c r="AB1594">
        <v>23</v>
      </c>
      <c r="AC1594">
        <v>37.077500000000001</v>
      </c>
      <c r="AD1594">
        <v>-1.1107216310200001</v>
      </c>
      <c r="AE1594">
        <v>-4.9456000000000104</v>
      </c>
      <c r="AF1594">
        <v>5.0790870778758803</v>
      </c>
      <c r="AG1594">
        <v>-1.1107216310200001</v>
      </c>
      <c r="AH1594">
        <v>37.026189305549003</v>
      </c>
      <c r="AI1594">
        <v>91.702326690063899</v>
      </c>
      <c r="AJ1594">
        <v>82.189170187366699</v>
      </c>
      <c r="AK1594">
        <v>37.3894306265369</v>
      </c>
      <c r="AL1594">
        <v>85.151504427102296</v>
      </c>
      <c r="AM1594">
        <v>86.059782375710299</v>
      </c>
      <c r="AN1594">
        <v>0.99999997387960804</v>
      </c>
    </row>
    <row r="1595" spans="1:40" x14ac:dyDescent="0.25">
      <c r="A1595" t="str">
        <f>"20190312150658873"</f>
        <v>20190312150658873</v>
      </c>
      <c r="B1595" t="str">
        <f>"1552374418861571"</f>
        <v>1552374418861571</v>
      </c>
      <c r="C1595" t="s">
        <v>40</v>
      </c>
      <c r="D1595">
        <v>4.215554</v>
      </c>
      <c r="E1595">
        <v>0.52475090000000002</v>
      </c>
      <c r="F1595" t="s">
        <v>42</v>
      </c>
      <c r="G1595">
        <v>-217.0652</v>
      </c>
      <c r="H1595" s="1">
        <v>-2.9581370000000001E-6</v>
      </c>
      <c r="I1595">
        <v>362.2</v>
      </c>
      <c r="J1595">
        <v>-254.8716</v>
      </c>
      <c r="K1595">
        <v>1.1107149999999999</v>
      </c>
      <c r="L1595">
        <v>367.26330000000002</v>
      </c>
      <c r="M1595">
        <v>0.99989910000000004</v>
      </c>
      <c r="N1595">
        <v>0</v>
      </c>
      <c r="O1595">
        <v>3.7453209999999998E-3</v>
      </c>
      <c r="P1595">
        <v>0.99528859999999997</v>
      </c>
      <c r="Q1595">
        <v>7.0516980000000007E-2</v>
      </c>
      <c r="R1595">
        <v>-6.6546690000000006E-2</v>
      </c>
      <c r="S1595">
        <v>2.9941710000000001</v>
      </c>
      <c r="T1595">
        <v>-8.7639930000000005E-2</v>
      </c>
      <c r="U1595">
        <v>-0.39947510000000003</v>
      </c>
      <c r="V1595">
        <v>7.0272459999999995E-2</v>
      </c>
      <c r="W1595">
        <v>8.4152069999999995E-2</v>
      </c>
      <c r="X1595">
        <v>0.99397190000000002</v>
      </c>
      <c r="Y1595">
        <v>0.13589889999999999</v>
      </c>
      <c r="Z1595">
        <v>-2.0888370000000001E-3</v>
      </c>
      <c r="AA1595">
        <v>0.9907205</v>
      </c>
      <c r="AB1595">
        <v>23</v>
      </c>
      <c r="AC1595">
        <v>37.806399999999996</v>
      </c>
      <c r="AD1595">
        <v>-1.1107179581369999</v>
      </c>
      <c r="AE1595">
        <v>-5.0633000000000203</v>
      </c>
      <c r="AF1595">
        <v>5.2004652870644401</v>
      </c>
      <c r="AG1595">
        <v>-1.1107179581369999</v>
      </c>
      <c r="AH1595">
        <v>37.755155867394102</v>
      </c>
      <c r="AI1595">
        <v>91.669344406746902</v>
      </c>
      <c r="AJ1595">
        <v>82.157323668777707</v>
      </c>
      <c r="AK1595">
        <v>38.127815675117198</v>
      </c>
      <c r="AL1595">
        <v>85.172732463599104</v>
      </c>
      <c r="AM1595">
        <v>85.955995154730999</v>
      </c>
      <c r="AN1595">
        <v>0.99999996375467204</v>
      </c>
    </row>
    <row r="1596" spans="1:40" x14ac:dyDescent="0.25">
      <c r="A1596" t="str">
        <f>"20190312150658887"</f>
        <v>20190312150658887</v>
      </c>
      <c r="B1596" t="str">
        <f>"1552374418882067"</f>
        <v>1552374418882067</v>
      </c>
      <c r="C1596" t="s">
        <v>40</v>
      </c>
      <c r="D1596">
        <v>4.1899889999999997</v>
      </c>
      <c r="E1596">
        <v>0.52487980000000001</v>
      </c>
      <c r="F1596" t="s">
        <v>42</v>
      </c>
      <c r="G1596">
        <v>-216.30170000000001</v>
      </c>
      <c r="H1596" s="1">
        <v>-3.2615169999999999E-6</v>
      </c>
      <c r="I1596">
        <v>362.03629999999998</v>
      </c>
      <c r="J1596">
        <v>-254.7362</v>
      </c>
      <c r="K1596">
        <v>1.110716</v>
      </c>
      <c r="L1596">
        <v>367.2638</v>
      </c>
      <c r="M1596">
        <v>0.99989899999999998</v>
      </c>
      <c r="N1596">
        <v>0</v>
      </c>
      <c r="O1596">
        <v>3.76925E-3</v>
      </c>
      <c r="P1596">
        <v>0.99523320000000004</v>
      </c>
      <c r="Q1596">
        <v>7.0465769999999997E-2</v>
      </c>
      <c r="R1596">
        <v>-6.7422010000000004E-2</v>
      </c>
      <c r="S1596">
        <v>2.9932099999999999</v>
      </c>
      <c r="T1596">
        <v>-8.6196899999999896E-2</v>
      </c>
      <c r="U1596">
        <v>-0.40563959999999999</v>
      </c>
      <c r="V1596">
        <v>7.1171219999999993E-2</v>
      </c>
      <c r="W1596">
        <v>8.4099339999999995E-2</v>
      </c>
      <c r="X1596">
        <v>0.99391249999999998</v>
      </c>
      <c r="Y1596">
        <v>0.13796919999999999</v>
      </c>
      <c r="Z1596">
        <v>-2.0851849999999998E-3</v>
      </c>
      <c r="AA1596">
        <v>0.99043429999999999</v>
      </c>
      <c r="AB1596">
        <v>23</v>
      </c>
      <c r="AC1596">
        <v>38.4344999999999</v>
      </c>
      <c r="AD1596">
        <v>-1.1107192615170001</v>
      </c>
      <c r="AE1596">
        <v>-5.2275000000000196</v>
      </c>
      <c r="AF1596">
        <v>5.3679440714463498</v>
      </c>
      <c r="AG1596">
        <v>-1.1107192615170001</v>
      </c>
      <c r="AH1596">
        <v>38.383047819484702</v>
      </c>
      <c r="AI1596">
        <v>91.641581813022199</v>
      </c>
      <c r="AJ1596">
        <v>82.038709370316099</v>
      </c>
      <c r="AK1596">
        <v>38.772501605454003</v>
      </c>
      <c r="AL1596">
        <v>85.175764833109099</v>
      </c>
      <c r="AM1596">
        <v>85.904204720542396</v>
      </c>
      <c r="AN1596">
        <v>1.0000000496004799</v>
      </c>
    </row>
    <row r="1597" spans="1:40" x14ac:dyDescent="0.25">
      <c r="A1597" t="str">
        <f>"20190312150658898"</f>
        <v>20190312150658898</v>
      </c>
      <c r="B1597" t="str">
        <f>"1552374418891827"</f>
        <v>1552374418891827</v>
      </c>
      <c r="C1597" t="s">
        <v>40</v>
      </c>
      <c r="D1597">
        <v>4.1614329999999997</v>
      </c>
      <c r="E1597">
        <v>0.52492569999999905</v>
      </c>
      <c r="F1597" t="s">
        <v>42</v>
      </c>
      <c r="G1597">
        <v>-215.43799999999999</v>
      </c>
      <c r="H1597" s="1">
        <v>-3.5944089999999999E-6</v>
      </c>
      <c r="I1597">
        <v>361.88979999999998</v>
      </c>
      <c r="J1597">
        <v>-254.61080000000001</v>
      </c>
      <c r="K1597">
        <v>1.1107100000000001</v>
      </c>
      <c r="L1597">
        <v>367.26429999999999</v>
      </c>
      <c r="M1597">
        <v>0.99989890000000003</v>
      </c>
      <c r="N1597">
        <v>0</v>
      </c>
      <c r="O1597">
        <v>3.7934869999999999E-3</v>
      </c>
      <c r="P1597">
        <v>0.99519990000000003</v>
      </c>
      <c r="Q1597">
        <v>7.0109350000000001E-2</v>
      </c>
      <c r="R1597">
        <v>-6.8277879999999999E-2</v>
      </c>
      <c r="S1597">
        <v>2.9926300000000001</v>
      </c>
      <c r="T1597">
        <v>-8.4583160000000004E-2</v>
      </c>
      <c r="U1597">
        <v>-0.40924070000000001</v>
      </c>
      <c r="V1597">
        <v>7.205085E-2</v>
      </c>
      <c r="W1597">
        <v>8.3741060000000006E-2</v>
      </c>
      <c r="X1597">
        <v>0.99387930000000002</v>
      </c>
      <c r="Y1597">
        <v>0.13919039999999999</v>
      </c>
      <c r="Z1597">
        <v>-2.064247E-3</v>
      </c>
      <c r="AA1597">
        <v>0.99026349999999996</v>
      </c>
      <c r="AB1597">
        <v>23</v>
      </c>
      <c r="AC1597">
        <v>39.172800000000002</v>
      </c>
      <c r="AD1597">
        <v>-1.1107135944090001</v>
      </c>
      <c r="AE1597">
        <v>-5.37450000000001</v>
      </c>
      <c r="AF1597">
        <v>5.5187219229127003</v>
      </c>
      <c r="AG1597">
        <v>-1.1107135944090001</v>
      </c>
      <c r="AH1597">
        <v>39.121257220437897</v>
      </c>
      <c r="AI1597">
        <v>91.610344376153506</v>
      </c>
      <c r="AJ1597">
        <v>81.970433948269999</v>
      </c>
      <c r="AK1597">
        <v>39.524204518989499</v>
      </c>
      <c r="AL1597">
        <v>85.1963650813735</v>
      </c>
      <c r="AM1597">
        <v>85.853620806015499</v>
      </c>
      <c r="AN1597">
        <v>0.99999997654206796</v>
      </c>
    </row>
    <row r="1598" spans="1:40" x14ac:dyDescent="0.25">
      <c r="A1598" t="str">
        <f>"20190312150658909"</f>
        <v>20190312150658909</v>
      </c>
      <c r="B1598" t="str">
        <f>"1552374418901587"</f>
        <v>1552374418901587</v>
      </c>
      <c r="C1598" t="s">
        <v>40</v>
      </c>
      <c r="D1598">
        <v>4.1843539999999999</v>
      </c>
      <c r="E1598">
        <v>0.52504209999999996</v>
      </c>
      <c r="F1598" t="s">
        <v>42</v>
      </c>
      <c r="G1598">
        <v>-215.40309999999999</v>
      </c>
      <c r="H1598" s="1">
        <v>-3.6138329999999999E-6</v>
      </c>
      <c r="I1598">
        <v>361.86149999999998</v>
      </c>
      <c r="J1598">
        <v>-254.5017</v>
      </c>
      <c r="K1598">
        <v>1.110711</v>
      </c>
      <c r="L1598">
        <v>367.26479999999998</v>
      </c>
      <c r="M1598">
        <v>0.99989890000000003</v>
      </c>
      <c r="N1598">
        <v>0</v>
      </c>
      <c r="O1598">
        <v>3.8159349999999999E-3</v>
      </c>
      <c r="P1598">
        <v>0.99515149999999997</v>
      </c>
      <c r="Q1598">
        <v>7.0024610000000001E-2</v>
      </c>
      <c r="R1598">
        <v>-6.9070210000000007E-2</v>
      </c>
      <c r="S1598">
        <v>2.9921570000000002</v>
      </c>
      <c r="T1598">
        <v>-8.4764480000000003E-2</v>
      </c>
      <c r="U1598">
        <v>-0.412323</v>
      </c>
      <c r="V1598">
        <v>7.2864540000000005E-2</v>
      </c>
      <c r="W1598">
        <v>8.365504E-2</v>
      </c>
      <c r="X1598">
        <v>0.99382720000000002</v>
      </c>
      <c r="Y1598">
        <v>0.1402341</v>
      </c>
      <c r="Z1598">
        <v>-2.0841940000000002E-3</v>
      </c>
      <c r="AA1598">
        <v>0.9901162</v>
      </c>
      <c r="AB1598">
        <v>23</v>
      </c>
      <c r="AC1598">
        <v>39.098599999999998</v>
      </c>
      <c r="AD1598">
        <v>-1.110714613833</v>
      </c>
      <c r="AE1598">
        <v>-5.4032999999999998</v>
      </c>
      <c r="AF1598">
        <v>5.5480788834011801</v>
      </c>
      <c r="AG1598">
        <v>-1.110714613833</v>
      </c>
      <c r="AH1598">
        <v>39.046773841115197</v>
      </c>
      <c r="AI1598">
        <v>91.613187549081204</v>
      </c>
      <c r="AJ1598">
        <v>81.913088286926197</v>
      </c>
      <c r="AK1598">
        <v>39.454599397903202</v>
      </c>
      <c r="AL1598">
        <v>85.201310916203397</v>
      </c>
      <c r="AM1598">
        <v>85.8067416627093</v>
      </c>
      <c r="AN1598">
        <v>0.99999995518332496</v>
      </c>
    </row>
    <row r="1599" spans="1:40" x14ac:dyDescent="0.25">
      <c r="A1599" t="str">
        <f>"20190312150658920"</f>
        <v>20190312150658920</v>
      </c>
      <c r="B1599" t="str">
        <f>"1552374418912323"</f>
        <v>1552374418912323</v>
      </c>
      <c r="C1599" t="s">
        <v>40</v>
      </c>
      <c r="D1599">
        <v>4.2025160000000001</v>
      </c>
      <c r="E1599">
        <v>0.52526919999999899</v>
      </c>
      <c r="F1599" t="s">
        <v>42</v>
      </c>
      <c r="G1599">
        <v>-215.155</v>
      </c>
      <c r="H1599" s="1">
        <v>-3.7147490000000001E-6</v>
      </c>
      <c r="I1599">
        <v>361.79939999999999</v>
      </c>
      <c r="J1599">
        <v>-254.3886</v>
      </c>
      <c r="K1599">
        <v>1.1107129999999901</v>
      </c>
      <c r="L1599">
        <v>367.26519999999999</v>
      </c>
      <c r="M1599">
        <v>0.99989870000000003</v>
      </c>
      <c r="N1599">
        <v>0</v>
      </c>
      <c r="O1599">
        <v>3.8405319999999998E-3</v>
      </c>
      <c r="P1599">
        <v>0.99507970000000001</v>
      </c>
      <c r="Q1599">
        <v>7.0176899999999903E-2</v>
      </c>
      <c r="R1599">
        <v>-6.9940459999999996E-2</v>
      </c>
      <c r="S1599">
        <v>2.9916990000000001</v>
      </c>
      <c r="T1599">
        <v>-8.4452390000000002E-2</v>
      </c>
      <c r="U1599">
        <v>-0.41555789999999998</v>
      </c>
      <c r="V1599">
        <v>7.3758909999999997E-2</v>
      </c>
      <c r="W1599">
        <v>8.3805210000000005E-2</v>
      </c>
      <c r="X1599">
        <v>0.99374859999999998</v>
      </c>
      <c r="Y1599">
        <v>0.14132929999999999</v>
      </c>
      <c r="Z1599">
        <v>-2.0927580000000001E-3</v>
      </c>
      <c r="AA1599">
        <v>0.98996039999999996</v>
      </c>
      <c r="AB1599">
        <v>23</v>
      </c>
      <c r="AC1599">
        <v>39.233600000000003</v>
      </c>
      <c r="AD1599">
        <v>-1.11071671474899</v>
      </c>
      <c r="AE1599">
        <v>-5.4657999999999998</v>
      </c>
      <c r="AF1599">
        <v>5.6120394557376496</v>
      </c>
      <c r="AG1599">
        <v>-1.11071671474899</v>
      </c>
      <c r="AH1599">
        <v>39.181511906823197</v>
      </c>
      <c r="AI1599">
        <v>91.607389107696207</v>
      </c>
      <c r="AJ1599">
        <v>81.848860400313995</v>
      </c>
      <c r="AK1599">
        <v>39.596963946465699</v>
      </c>
      <c r="AL1599">
        <v>85.192676632271898</v>
      </c>
      <c r="AM1599">
        <v>85.755124325629595</v>
      </c>
      <c r="AN1599">
        <v>0.99999998501474596</v>
      </c>
    </row>
    <row r="1600" spans="1:40" x14ac:dyDescent="0.25">
      <c r="A1600" t="str">
        <f>"20190312150658931"</f>
        <v>20190312150658931</v>
      </c>
      <c r="B1600" t="str">
        <f>"1552374418922083"</f>
        <v>1552374418922083</v>
      </c>
      <c r="C1600" t="s">
        <v>40</v>
      </c>
      <c r="D1600">
        <v>4.1453249999999997</v>
      </c>
      <c r="E1600">
        <v>0.52549279999999998</v>
      </c>
      <c r="F1600" t="s">
        <v>42</v>
      </c>
      <c r="G1600">
        <v>-214.47919999999999</v>
      </c>
      <c r="H1600" s="1">
        <v>-3.9810840000000003E-6</v>
      </c>
      <c r="I1600">
        <v>361.6628</v>
      </c>
      <c r="J1600">
        <v>-254.2747</v>
      </c>
      <c r="K1600">
        <v>1.110719</v>
      </c>
      <c r="L1600">
        <v>367.26569999999998</v>
      </c>
      <c r="M1600">
        <v>0.99989859999999997</v>
      </c>
      <c r="N1600">
        <v>0</v>
      </c>
      <c r="O1600">
        <v>3.8673449999999999E-3</v>
      </c>
      <c r="P1600">
        <v>0.99504329999999996</v>
      </c>
      <c r="Q1600">
        <v>6.9890469999999996E-2</v>
      </c>
      <c r="R1600">
        <v>-7.0738229999999999E-2</v>
      </c>
      <c r="S1600">
        <v>2.9911650000000001</v>
      </c>
      <c r="T1600">
        <v>-8.3246829999999994E-2</v>
      </c>
      <c r="U1600">
        <v>-0.41989140000000003</v>
      </c>
      <c r="V1600">
        <v>7.4582780000000001E-2</v>
      </c>
      <c r="W1600">
        <v>8.3517259999999996E-2</v>
      </c>
      <c r="X1600">
        <v>0.99371140000000002</v>
      </c>
      <c r="Y1600">
        <v>0.14278759999999999</v>
      </c>
      <c r="Z1600">
        <v>-2.0839869999999998E-3</v>
      </c>
      <c r="AA1600">
        <v>0.98975119999999905</v>
      </c>
      <c r="AB1600">
        <v>23</v>
      </c>
      <c r="AC1600">
        <v>39.795499999999997</v>
      </c>
      <c r="AD1600">
        <v>-1.110722981084</v>
      </c>
      <c r="AE1600">
        <v>-5.6028999999999698</v>
      </c>
      <c r="AF1600">
        <v>5.7523814094617203</v>
      </c>
      <c r="AG1600">
        <v>-1.110722981084</v>
      </c>
      <c r="AH1600">
        <v>39.743173375952203</v>
      </c>
      <c r="AI1600">
        <v>91.584356972564706</v>
      </c>
      <c r="AJ1600">
        <v>81.7642677105475</v>
      </c>
      <c r="AK1600">
        <v>40.172670155363399</v>
      </c>
      <c r="AL1600">
        <v>85.209233235396397</v>
      </c>
      <c r="AM1600">
        <v>85.707726179981194</v>
      </c>
      <c r="AN1600">
        <v>1.0000000351401901</v>
      </c>
    </row>
    <row r="1601" spans="1:40" x14ac:dyDescent="0.25">
      <c r="A1601" t="str">
        <f>"20190312150658943"</f>
        <v>20190312150658943</v>
      </c>
      <c r="B1601" t="str">
        <f>"1552374418931843"</f>
        <v>1552374418931843</v>
      </c>
      <c r="C1601" t="s">
        <v>40</v>
      </c>
      <c r="D1601">
        <v>4.1784350000000003</v>
      </c>
      <c r="E1601">
        <v>0.52572819999999998</v>
      </c>
      <c r="F1601" t="s">
        <v>42</v>
      </c>
      <c r="G1601">
        <v>-215.23769999999999</v>
      </c>
      <c r="H1601" s="1">
        <v>-3.7059949999999998E-6</v>
      </c>
      <c r="I1601">
        <v>361.72649999999999</v>
      </c>
      <c r="J1601">
        <v>-254.15539999999999</v>
      </c>
      <c r="K1601">
        <v>1.1107229999999999</v>
      </c>
      <c r="L1601">
        <v>367.26620000000003</v>
      </c>
      <c r="M1601">
        <v>0.99989870000000003</v>
      </c>
      <c r="N1601">
        <v>0</v>
      </c>
      <c r="O1601">
        <v>3.8961930000000001E-3</v>
      </c>
      <c r="P1601">
        <v>0.99497480000000005</v>
      </c>
      <c r="Q1601">
        <v>7.0226029999999995E-2</v>
      </c>
      <c r="R1601">
        <v>-7.1370420000000004E-2</v>
      </c>
      <c r="S1601">
        <v>2.9907840000000001</v>
      </c>
      <c r="T1601">
        <v>-8.5096840000000007E-2</v>
      </c>
      <c r="U1601">
        <v>-0.42437740000000002</v>
      </c>
      <c r="V1601">
        <v>7.5242630000000005E-2</v>
      </c>
      <c r="W1601">
        <v>8.3851300000000004E-2</v>
      </c>
      <c r="X1601">
        <v>0.99363349999999995</v>
      </c>
      <c r="Y1601">
        <v>0.14428589999999999</v>
      </c>
      <c r="Z1601">
        <v>-2.1523499999999999E-3</v>
      </c>
      <c r="AA1601">
        <v>0.98953369999999996</v>
      </c>
      <c r="AB1601">
        <v>23</v>
      </c>
      <c r="AC1601">
        <v>38.917700000000004</v>
      </c>
      <c r="AD1601">
        <v>-1.1107267059949999</v>
      </c>
      <c r="AE1601">
        <v>-5.53970000000003</v>
      </c>
      <c r="AF1601">
        <v>5.6867628402296502</v>
      </c>
      <c r="AG1601">
        <v>-1.1107267059949999</v>
      </c>
      <c r="AH1601">
        <v>38.8647900021993</v>
      </c>
      <c r="AI1601">
        <v>91.619786358645797</v>
      </c>
      <c r="AJ1601">
        <v>81.675457285034199</v>
      </c>
      <c r="AK1601">
        <v>39.2943365808799</v>
      </c>
      <c r="AL1601">
        <v>85.190026677427895</v>
      </c>
      <c r="AM1601">
        <v>85.669557119973803</v>
      </c>
      <c r="AN1601">
        <v>1.00000001310162</v>
      </c>
    </row>
    <row r="1602" spans="1:40" x14ac:dyDescent="0.25">
      <c r="A1602" t="str">
        <f>"20190312150658955"</f>
        <v>20190312150658955</v>
      </c>
      <c r="B1602" t="str">
        <f>"1552374418952341"</f>
        <v>1552374418952341</v>
      </c>
      <c r="C1602" t="s">
        <v>40</v>
      </c>
      <c r="D1602">
        <v>4.1264459999999996</v>
      </c>
      <c r="E1602">
        <v>0.52612250000000005</v>
      </c>
      <c r="F1602" t="s">
        <v>42</v>
      </c>
      <c r="G1602">
        <v>-214.334</v>
      </c>
      <c r="H1602" s="1">
        <v>-4.0566630000000001E-6</v>
      </c>
      <c r="I1602">
        <v>361.56450000000001</v>
      </c>
      <c r="J1602">
        <v>-254.0454</v>
      </c>
      <c r="K1602">
        <v>1.110727</v>
      </c>
      <c r="L1602">
        <v>367.26659999999998</v>
      </c>
      <c r="M1602">
        <v>0.99989839999999997</v>
      </c>
      <c r="N1602">
        <v>0</v>
      </c>
      <c r="O1602">
        <v>3.9270040000000004E-3</v>
      </c>
      <c r="P1602">
        <v>0.99492919999999996</v>
      </c>
      <c r="Q1602">
        <v>7.0260729999999993E-2</v>
      </c>
      <c r="R1602">
        <v>-7.1968560000000001E-2</v>
      </c>
      <c r="S1602">
        <v>2.9903409999999999</v>
      </c>
      <c r="T1602">
        <v>-8.3408590000000005E-2</v>
      </c>
      <c r="U1602">
        <v>-0.42816159999999998</v>
      </c>
      <c r="V1602">
        <v>7.5870580000000007E-2</v>
      </c>
      <c r="W1602">
        <v>8.3884550000000002E-2</v>
      </c>
      <c r="X1602">
        <v>0.99358290000000005</v>
      </c>
      <c r="Y1602">
        <v>0.14556569999999999</v>
      </c>
      <c r="Z1602">
        <v>-2.1283970000000002E-3</v>
      </c>
      <c r="AA1602">
        <v>0.98934630000000001</v>
      </c>
      <c r="AB1602">
        <v>23</v>
      </c>
      <c r="AC1602">
        <v>39.711399999999998</v>
      </c>
      <c r="AD1602">
        <v>-1.110731056663</v>
      </c>
      <c r="AE1602">
        <v>-5.7020999999999704</v>
      </c>
      <c r="AF1602">
        <v>5.8535306368905999</v>
      </c>
      <c r="AG1602">
        <v>-1.110731056663</v>
      </c>
      <c r="AH1602">
        <v>39.658300526151997</v>
      </c>
      <c r="AI1602">
        <v>91.587108001455206</v>
      </c>
      <c r="AJ1602">
        <v>81.603814299679101</v>
      </c>
      <c r="AK1602">
        <v>40.103345808296801</v>
      </c>
      <c r="AL1602">
        <v>85.188114653688501</v>
      </c>
      <c r="AM1602">
        <v>85.633334366254999</v>
      </c>
      <c r="AN1602">
        <v>0.999999970905324</v>
      </c>
    </row>
    <row r="1603" spans="1:40" x14ac:dyDescent="0.25">
      <c r="A1603" t="str">
        <f>"20190312150658966"</f>
        <v>20190312150658966</v>
      </c>
      <c r="B1603" t="str">
        <f>"1552374418962099"</f>
        <v>1552374418962099</v>
      </c>
      <c r="C1603" t="s">
        <v>40</v>
      </c>
      <c r="D1603">
        <v>4.1584629999999896</v>
      </c>
      <c r="E1603">
        <v>0.52631549999999905</v>
      </c>
      <c r="F1603" t="s">
        <v>42</v>
      </c>
      <c r="G1603">
        <v>-214.51259999999999</v>
      </c>
      <c r="H1603" s="1">
        <v>-4.0029240000000001E-6</v>
      </c>
      <c r="I1603">
        <v>361.53800000000001</v>
      </c>
      <c r="J1603">
        <v>-253.92949999999999</v>
      </c>
      <c r="K1603">
        <v>1.11073</v>
      </c>
      <c r="L1603">
        <v>367.2672</v>
      </c>
      <c r="M1603">
        <v>0.99989850000000002</v>
      </c>
      <c r="N1603">
        <v>0</v>
      </c>
      <c r="O1603">
        <v>3.9602020000000003E-3</v>
      </c>
      <c r="P1603">
        <v>0.99487020000000004</v>
      </c>
      <c r="Q1603">
        <v>7.0601360000000002E-2</v>
      </c>
      <c r="R1603">
        <v>-7.2450920000000002E-2</v>
      </c>
      <c r="S1603">
        <v>2.989868</v>
      </c>
      <c r="T1603">
        <v>-8.4004640000000005E-2</v>
      </c>
      <c r="U1603">
        <v>-0.43325809999999998</v>
      </c>
      <c r="V1603">
        <v>7.6385099999999997E-2</v>
      </c>
      <c r="W1603">
        <v>8.4223820000000005E-2</v>
      </c>
      <c r="X1603">
        <v>0.99351480000000003</v>
      </c>
      <c r="Y1603">
        <v>0.14727100000000001</v>
      </c>
      <c r="Z1603">
        <v>-2.168433E-3</v>
      </c>
      <c r="AA1603">
        <v>0.98909380000000002</v>
      </c>
      <c r="AB1603">
        <v>23</v>
      </c>
      <c r="AC1603">
        <v>39.416899999999998</v>
      </c>
      <c r="AD1603">
        <v>-1.110734002924</v>
      </c>
      <c r="AE1603">
        <v>-5.7291999999999899</v>
      </c>
      <c r="AF1603">
        <v>5.8806955385955098</v>
      </c>
      <c r="AG1603">
        <v>-1.110734002924</v>
      </c>
      <c r="AH1603">
        <v>39.363289666580499</v>
      </c>
      <c r="AI1603">
        <v>91.598583725250293</v>
      </c>
      <c r="AJ1603">
        <v>81.503114533581495</v>
      </c>
      <c r="AK1603">
        <v>39.815636167440999</v>
      </c>
      <c r="AL1603">
        <v>85.168607003890401</v>
      </c>
      <c r="AM1603">
        <v>85.603537158094994</v>
      </c>
      <c r="AN1603">
        <v>0.99999999658822103</v>
      </c>
    </row>
    <row r="1604" spans="1:40" x14ac:dyDescent="0.25">
      <c r="A1604" t="str">
        <f>"20190312150658976"</f>
        <v>20190312150658976</v>
      </c>
      <c r="B1604" t="str">
        <f>"1552374418971859"</f>
        <v>1552374418971859</v>
      </c>
      <c r="C1604" t="s">
        <v>40</v>
      </c>
      <c r="D1604">
        <v>4.1672169999999999</v>
      </c>
      <c r="E1604">
        <v>0.52649780000000002</v>
      </c>
      <c r="F1604" t="s">
        <v>42</v>
      </c>
      <c r="G1604">
        <v>-213.69919999999999</v>
      </c>
      <c r="H1604" s="1">
        <v>-4.31714099999999E-6</v>
      </c>
      <c r="I1604">
        <v>361.3974</v>
      </c>
      <c r="J1604">
        <v>-253.81890000000001</v>
      </c>
      <c r="K1604">
        <v>1.110733</v>
      </c>
      <c r="L1604">
        <v>367.26760000000002</v>
      </c>
      <c r="M1604">
        <v>0.99989830000000002</v>
      </c>
      <c r="N1604">
        <v>0</v>
      </c>
      <c r="O1604">
        <v>3.9952429999999999E-3</v>
      </c>
      <c r="P1604">
        <v>0.99482660000000001</v>
      </c>
      <c r="Q1604">
        <v>7.0701849999999997E-2</v>
      </c>
      <c r="R1604">
        <v>-7.2949890000000003E-2</v>
      </c>
      <c r="S1604">
        <v>2.9895779999999998</v>
      </c>
      <c r="T1604">
        <v>-8.2540150000000007E-2</v>
      </c>
      <c r="U1604">
        <v>-0.43618770000000001</v>
      </c>
      <c r="V1604">
        <v>7.6918100000000003E-2</v>
      </c>
      <c r="W1604">
        <v>8.4323120000000001E-2</v>
      </c>
      <c r="X1604">
        <v>0.99346520000000005</v>
      </c>
      <c r="Y1604">
        <v>0.14827000000000001</v>
      </c>
      <c r="Z1604">
        <v>-2.145377E-3</v>
      </c>
      <c r="AA1604">
        <v>0.98894459999999995</v>
      </c>
      <c r="AB1604">
        <v>23</v>
      </c>
      <c r="AC1604">
        <v>40.119700000000002</v>
      </c>
      <c r="AD1604">
        <v>-1.110737317141</v>
      </c>
      <c r="AE1604">
        <v>-5.8702000000000103</v>
      </c>
      <c r="AF1604">
        <v>6.0259340979246199</v>
      </c>
      <c r="AG1604">
        <v>-1.110737317141</v>
      </c>
      <c r="AH1604">
        <v>40.065858212586797</v>
      </c>
      <c r="AI1604">
        <v>91.5703395227914</v>
      </c>
      <c r="AJ1604">
        <v>81.446781123851693</v>
      </c>
      <c r="AK1604">
        <v>40.531698872010402</v>
      </c>
      <c r="AL1604">
        <v>85.162896962208706</v>
      </c>
      <c r="AM1604">
        <v>85.572760903387405</v>
      </c>
      <c r="AN1604">
        <v>0.99999994314259</v>
      </c>
    </row>
    <row r="1605" spans="1:40" x14ac:dyDescent="0.25">
      <c r="A1605" t="str">
        <f>"20190312150658988"</f>
        <v>20190312150658988</v>
      </c>
      <c r="B1605" t="str">
        <f>"1552374418981621"</f>
        <v>1552374418981621</v>
      </c>
      <c r="C1605" t="s">
        <v>40</v>
      </c>
      <c r="D1605">
        <v>4.221311</v>
      </c>
      <c r="E1605">
        <v>0.52660119999999999</v>
      </c>
      <c r="F1605" t="s">
        <v>42</v>
      </c>
      <c r="G1605">
        <v>-213.36</v>
      </c>
      <c r="H1605" s="1">
        <v>-4.4521540000000003E-6</v>
      </c>
      <c r="I1605">
        <v>361.32380000000001</v>
      </c>
      <c r="J1605">
        <v>-253.69929999999999</v>
      </c>
      <c r="K1605">
        <v>1.1107359999999999</v>
      </c>
      <c r="L1605">
        <v>367.2681</v>
      </c>
      <c r="M1605">
        <v>0.99989810000000001</v>
      </c>
      <c r="N1605">
        <v>0</v>
      </c>
      <c r="O1605">
        <v>4.0345199999999998E-3</v>
      </c>
      <c r="P1605">
        <v>0.99482139999999997</v>
      </c>
      <c r="Q1605">
        <v>7.0610510000000001E-2</v>
      </c>
      <c r="R1605">
        <v>-7.3110599999999998E-2</v>
      </c>
      <c r="S1605">
        <v>2.9892430000000001</v>
      </c>
      <c r="T1605">
        <v>-8.2064990000000004E-2</v>
      </c>
      <c r="U1605">
        <v>-0.43914789999999998</v>
      </c>
      <c r="V1605">
        <v>7.7117149999999995E-2</v>
      </c>
      <c r="W1605">
        <v>8.4231420000000001E-2</v>
      </c>
      <c r="X1605">
        <v>0.99345760000000005</v>
      </c>
      <c r="Y1605">
        <v>0.14928359999999999</v>
      </c>
      <c r="Z1605">
        <v>-2.1480259999999999E-3</v>
      </c>
      <c r="AA1605">
        <v>0.98879209999999995</v>
      </c>
      <c r="AB1605">
        <v>23</v>
      </c>
      <c r="AC1605">
        <v>40.339299999999902</v>
      </c>
      <c r="AD1605">
        <v>-1.1107404521539901</v>
      </c>
      <c r="AE1605">
        <v>-5.9442999999999904</v>
      </c>
      <c r="AF1605">
        <v>6.1024881732762202</v>
      </c>
      <c r="AG1605">
        <v>-1.1107404521539901</v>
      </c>
      <c r="AH1605">
        <v>40.285093026986097</v>
      </c>
      <c r="AI1605">
        <v>91.561553051458205</v>
      </c>
      <c r="AJ1605">
        <v>81.386178453776907</v>
      </c>
      <c r="AK1605">
        <v>40.759818773516997</v>
      </c>
      <c r="AL1605">
        <v>85.168169995255397</v>
      </c>
      <c r="AM1605">
        <v>85.561315921642503</v>
      </c>
      <c r="AN1605">
        <v>0.99999999496854897</v>
      </c>
    </row>
    <row r="1606" spans="1:40" x14ac:dyDescent="0.25">
      <c r="A1606" t="str">
        <f>"20190312150659000"</f>
        <v>20190312150659000</v>
      </c>
      <c r="B1606" t="str">
        <f>"1552374418991739"</f>
        <v>1552374418991739</v>
      </c>
      <c r="C1606" t="s">
        <v>40</v>
      </c>
      <c r="D1606">
        <v>4.1820469999999998</v>
      </c>
      <c r="E1606">
        <v>0.52677010000000002</v>
      </c>
      <c r="F1606" t="s">
        <v>42</v>
      </c>
      <c r="G1606">
        <v>-212.82490000000001</v>
      </c>
      <c r="H1606" s="1">
        <v>-4.6550170000000002E-6</v>
      </c>
      <c r="I1606">
        <v>361.2457</v>
      </c>
      <c r="J1606">
        <v>-253.5718</v>
      </c>
      <c r="K1606">
        <v>1.1107370000000001</v>
      </c>
      <c r="L1606">
        <v>367.26870000000002</v>
      </c>
      <c r="M1606">
        <v>0.99989790000000001</v>
      </c>
      <c r="N1606">
        <v>0</v>
      </c>
      <c r="O1606">
        <v>4.0793399999999999E-3</v>
      </c>
      <c r="P1606">
        <v>0.9948089</v>
      </c>
      <c r="Q1606">
        <v>7.0682560000000005E-2</v>
      </c>
      <c r="R1606">
        <v>-7.3205839999999994E-2</v>
      </c>
      <c r="S1606">
        <v>2.9890140000000001</v>
      </c>
      <c r="T1606">
        <v>-8.12248E-2</v>
      </c>
      <c r="U1606">
        <v>-0.44039919999999999</v>
      </c>
      <c r="V1606">
        <v>7.7256640000000001E-2</v>
      </c>
      <c r="W1606">
        <v>8.4302210000000002E-2</v>
      </c>
      <c r="X1606">
        <v>0.99344069999999995</v>
      </c>
      <c r="Y1606">
        <v>0.14974489999999999</v>
      </c>
      <c r="Z1606">
        <v>-2.1335830000000001E-3</v>
      </c>
      <c r="AA1606">
        <v>0.9887224</v>
      </c>
      <c r="AB1606">
        <v>23</v>
      </c>
      <c r="AC1606">
        <v>40.746899999999897</v>
      </c>
      <c r="AD1606">
        <v>-1.110741655017</v>
      </c>
      <c r="AE1606">
        <v>-6.0230000000000201</v>
      </c>
      <c r="AF1606">
        <v>6.1846884576032704</v>
      </c>
      <c r="AG1606">
        <v>-1.110741655017</v>
      </c>
      <c r="AH1606">
        <v>40.692397473681602</v>
      </c>
      <c r="AI1606">
        <v>91.545816760262298</v>
      </c>
      <c r="AJ1606">
        <v>81.357962545619799</v>
      </c>
      <c r="AK1606">
        <v>41.174692840358702</v>
      </c>
      <c r="AL1606">
        <v>85.164099271868807</v>
      </c>
      <c r="AM1606">
        <v>85.553244030778302</v>
      </c>
      <c r="AN1606">
        <v>0.99999993772572904</v>
      </c>
    </row>
    <row r="1607" spans="1:40" x14ac:dyDescent="0.25">
      <c r="A1607" t="str">
        <f>"20190312150659013"</f>
        <v>20190312150659013</v>
      </c>
      <c r="B1607" t="str">
        <f>"1552374419001499"</f>
        <v>1552374419001499</v>
      </c>
      <c r="C1607" t="s">
        <v>40</v>
      </c>
      <c r="D1607">
        <v>4.2050979999999996</v>
      </c>
      <c r="E1607">
        <v>0.52691350000000003</v>
      </c>
      <c r="F1607" t="s">
        <v>42</v>
      </c>
      <c r="G1607">
        <v>-212.46639999999999</v>
      </c>
      <c r="H1607" s="1">
        <v>-4.7923790000000001E-6</v>
      </c>
      <c r="I1607">
        <v>361.18799999999999</v>
      </c>
      <c r="J1607">
        <v>-253.46209999999999</v>
      </c>
      <c r="K1607">
        <v>1.1107400000000001</v>
      </c>
      <c r="L1607">
        <v>367.26920000000001</v>
      </c>
      <c r="M1607">
        <v>0.9998977</v>
      </c>
      <c r="N1607">
        <v>0</v>
      </c>
      <c r="O1607">
        <v>4.1200940000000004E-3</v>
      </c>
      <c r="P1607">
        <v>0.99480860000000004</v>
      </c>
      <c r="Q1607">
        <v>7.0589410000000005E-2</v>
      </c>
      <c r="R1607">
        <v>-7.3301050000000006E-2</v>
      </c>
      <c r="S1607">
        <v>2.9888759999999999</v>
      </c>
      <c r="T1607">
        <v>-8.0764649999999993E-2</v>
      </c>
      <c r="U1607">
        <v>-0.4421387</v>
      </c>
      <c r="V1607">
        <v>7.7391769999999999E-2</v>
      </c>
      <c r="W1607">
        <v>8.4208619999999998E-2</v>
      </c>
      <c r="X1607">
        <v>0.99343820000000005</v>
      </c>
      <c r="Y1607">
        <v>0.1503553</v>
      </c>
      <c r="Z1607">
        <v>-2.1308030000000001E-3</v>
      </c>
      <c r="AA1607">
        <v>0.9886298</v>
      </c>
      <c r="AB1607">
        <v>23</v>
      </c>
      <c r="AC1607">
        <v>40.995699999999999</v>
      </c>
      <c r="AD1607">
        <v>-1.1107447923789999</v>
      </c>
      <c r="AE1607">
        <v>-6.08119999999996</v>
      </c>
      <c r="AF1607">
        <v>6.2455842239147197</v>
      </c>
      <c r="AG1607">
        <v>-1.1107447923789999</v>
      </c>
      <c r="AH1607">
        <v>40.940887113949202</v>
      </c>
      <c r="AI1607">
        <v>91.536314210157101</v>
      </c>
      <c r="AJ1607">
        <v>81.326327914659203</v>
      </c>
      <c r="AK1607">
        <v>41.4294257016549</v>
      </c>
      <c r="AL1607">
        <v>85.169481105796706</v>
      </c>
      <c r="AM1607">
        <v>85.545486298140702</v>
      </c>
      <c r="AN1607">
        <v>1.00000001748263</v>
      </c>
    </row>
    <row r="1608" spans="1:40" x14ac:dyDescent="0.25">
      <c r="A1608" t="str">
        <f>"20190312150659026"</f>
        <v>20190312150659026</v>
      </c>
      <c r="B1608" t="str">
        <f>"1552374419021994"</f>
        <v>1552374419021994</v>
      </c>
      <c r="C1608" t="s">
        <v>40</v>
      </c>
      <c r="D1608">
        <v>4.192183</v>
      </c>
      <c r="E1608">
        <v>0.52723339999999996</v>
      </c>
      <c r="F1608" t="s">
        <v>42</v>
      </c>
      <c r="G1608">
        <v>-212.36539999999999</v>
      </c>
      <c r="H1608" s="1">
        <v>-4.8321620000000003E-6</v>
      </c>
      <c r="I1608">
        <v>361.16770000000002</v>
      </c>
      <c r="J1608">
        <v>-253.3194</v>
      </c>
      <c r="K1608">
        <v>1.110743</v>
      </c>
      <c r="L1608">
        <v>367.26979999999998</v>
      </c>
      <c r="M1608">
        <v>0.99989760000000005</v>
      </c>
      <c r="N1608">
        <v>0</v>
      </c>
      <c r="O1608">
        <v>4.1745050000000002E-3</v>
      </c>
      <c r="P1608">
        <v>0.99481019999999998</v>
      </c>
      <c r="Q1608">
        <v>7.0605619999999994E-2</v>
      </c>
      <c r="R1608">
        <v>-7.3263789999999995E-2</v>
      </c>
      <c r="S1608">
        <v>2.9887239999999999</v>
      </c>
      <c r="T1608">
        <v>-8.0777760000000004E-2</v>
      </c>
      <c r="U1608">
        <v>-0.4437256</v>
      </c>
      <c r="V1608">
        <v>7.7408080000000004E-2</v>
      </c>
      <c r="W1608">
        <v>8.4223339999999994E-2</v>
      </c>
      <c r="X1608">
        <v>0.99343570000000003</v>
      </c>
      <c r="Y1608">
        <v>0.150929799999999</v>
      </c>
      <c r="Z1608">
        <v>-2.1403569999999998E-3</v>
      </c>
      <c r="AA1608">
        <v>0.98854219999999904</v>
      </c>
      <c r="AB1608">
        <v>23</v>
      </c>
      <c r="AC1608">
        <v>40.954000000000001</v>
      </c>
      <c r="AD1608">
        <v>-1.1107478321619999</v>
      </c>
      <c r="AE1608">
        <v>-6.1020999999999503</v>
      </c>
      <c r="AF1608">
        <v>6.2685145796030604</v>
      </c>
      <c r="AG1608">
        <v>-1.1107478321619999</v>
      </c>
      <c r="AH1608">
        <v>40.898735980941197</v>
      </c>
      <c r="AI1608">
        <v>91.537736142854897</v>
      </c>
      <c r="AJ1608">
        <v>81.286135920454001</v>
      </c>
      <c r="AK1608">
        <v>41.391238693956502</v>
      </c>
      <c r="AL1608">
        <v>85.168634794516507</v>
      </c>
      <c r="AM1608">
        <v>85.544540139969499</v>
      </c>
      <c r="AN1608">
        <v>1.0000000359422601</v>
      </c>
    </row>
    <row r="1609" spans="1:40" x14ac:dyDescent="0.25">
      <c r="A1609" t="str">
        <f>"20190312150659039"</f>
        <v>20190312150659039</v>
      </c>
      <c r="B1609" t="str">
        <f>"1552374419031755"</f>
        <v>1552374419031755</v>
      </c>
      <c r="C1609" t="s">
        <v>40</v>
      </c>
      <c r="D1609">
        <v>4.193835</v>
      </c>
      <c r="E1609">
        <v>0.52736939999999999</v>
      </c>
      <c r="F1609" t="s">
        <v>42</v>
      </c>
      <c r="G1609">
        <v>-212.9383</v>
      </c>
      <c r="H1609" s="1">
        <v>-4.6186960000000002E-6</v>
      </c>
      <c r="I1609">
        <v>361.23719999999997</v>
      </c>
      <c r="J1609">
        <v>-253.1799</v>
      </c>
      <c r="K1609">
        <v>1.110751</v>
      </c>
      <c r="L1609">
        <v>367.27050000000003</v>
      </c>
      <c r="M1609">
        <v>0.99989740000000005</v>
      </c>
      <c r="N1609">
        <v>0</v>
      </c>
      <c r="O1609">
        <v>4.2296790000000001E-3</v>
      </c>
      <c r="P1609">
        <v>0.99480749999999996</v>
      </c>
      <c r="Q1609">
        <v>7.0639519999999997E-2</v>
      </c>
      <c r="R1609">
        <v>-7.3268E-2</v>
      </c>
      <c r="S1609">
        <v>2.9885709999999999</v>
      </c>
      <c r="T1609">
        <v>-8.2205410000000007E-2</v>
      </c>
      <c r="U1609">
        <v>-0.44647219999999999</v>
      </c>
      <c r="V1609">
        <v>7.7466789999999994E-2</v>
      </c>
      <c r="W1609">
        <v>8.4256129999999999E-2</v>
      </c>
      <c r="X1609">
        <v>0.99342830000000004</v>
      </c>
      <c r="Y1609">
        <v>0.15187800000000001</v>
      </c>
      <c r="Z1609">
        <v>-2.1926110000000001E-3</v>
      </c>
      <c r="AA1609">
        <v>0.98839679999999996</v>
      </c>
      <c r="AB1609">
        <v>23</v>
      </c>
      <c r="AC1609">
        <v>40.241599999999998</v>
      </c>
      <c r="AD1609">
        <v>-1.1107556186959999</v>
      </c>
      <c r="AE1609">
        <v>-6.0333000000000503</v>
      </c>
      <c r="AF1609">
        <v>6.1988520579840696</v>
      </c>
      <c r="AG1609">
        <v>-1.1107556186959999</v>
      </c>
      <c r="AH1609">
        <v>40.185774992714101</v>
      </c>
      <c r="AI1609">
        <v>91.564784002894598</v>
      </c>
      <c r="AJ1609">
        <v>81.230962102324895</v>
      </c>
      <c r="AK1609">
        <v>40.676234543603996</v>
      </c>
      <c r="AL1609">
        <v>85.166749156771203</v>
      </c>
      <c r="AM1609">
        <v>85.541141447664899</v>
      </c>
      <c r="AN1609">
        <v>0.99999999311818499</v>
      </c>
    </row>
    <row r="1610" spans="1:40" x14ac:dyDescent="0.25">
      <c r="A1610" t="str">
        <f>"20190312150659053"</f>
        <v>20190312150659053</v>
      </c>
      <c r="B1610" t="str">
        <f>"1552374419041514"</f>
        <v>1552374419041514</v>
      </c>
      <c r="C1610" t="s">
        <v>40</v>
      </c>
      <c r="D1610">
        <v>4.1858639999999996</v>
      </c>
      <c r="E1610">
        <v>0.52751340000000002</v>
      </c>
      <c r="F1610" t="s">
        <v>42</v>
      </c>
      <c r="G1610">
        <v>-213.29259999999999</v>
      </c>
      <c r="H1610" s="1">
        <v>-4.4810120000000003E-6</v>
      </c>
      <c r="I1610">
        <v>361.30149999999998</v>
      </c>
      <c r="J1610">
        <v>-253.05240000000001</v>
      </c>
      <c r="K1610">
        <v>1.1107530000000001</v>
      </c>
      <c r="L1610">
        <v>367.27109999999999</v>
      </c>
      <c r="M1610">
        <v>0.99989729999999999</v>
      </c>
      <c r="N1610">
        <v>0</v>
      </c>
      <c r="O1610">
        <v>4.2812049999999997E-3</v>
      </c>
      <c r="P1610">
        <v>0.99482969999999904</v>
      </c>
      <c r="Q1610">
        <v>7.053247E-2</v>
      </c>
      <c r="R1610">
        <v>-7.3072830000000005E-2</v>
      </c>
      <c r="S1610">
        <v>2.9886170000000001</v>
      </c>
      <c r="T1610">
        <v>-8.3224889999999996E-2</v>
      </c>
      <c r="U1610">
        <v>-0.4472351</v>
      </c>
      <c r="V1610">
        <v>7.7322569999999993E-2</v>
      </c>
      <c r="W1610">
        <v>8.4147799999999995E-2</v>
      </c>
      <c r="X1610">
        <v>0.99344869999999996</v>
      </c>
      <c r="Y1610">
        <v>0.152172</v>
      </c>
      <c r="Z1610">
        <v>-2.2252130000000002E-3</v>
      </c>
      <c r="AA1610">
        <v>0.98835150000000005</v>
      </c>
      <c r="AB1610">
        <v>23</v>
      </c>
      <c r="AC1610">
        <v>39.759799999999998</v>
      </c>
      <c r="AD1610">
        <v>-1.110757481012</v>
      </c>
      <c r="AE1610">
        <v>-5.9696000000000096</v>
      </c>
      <c r="AF1610">
        <v>6.1350984247884801</v>
      </c>
      <c r="AG1610">
        <v>-1.110757481012</v>
      </c>
      <c r="AH1610">
        <v>39.703572198833299</v>
      </c>
      <c r="AI1610">
        <v>91.583717553276102</v>
      </c>
      <c r="AJ1610">
        <v>81.215981309645002</v>
      </c>
      <c r="AK1610">
        <v>40.190133866552799</v>
      </c>
      <c r="AL1610">
        <v>85.172978045734297</v>
      </c>
      <c r="AM1610">
        <v>85.549500150819199</v>
      </c>
      <c r="AN1610">
        <v>0.99999997580396704</v>
      </c>
    </row>
    <row r="1611" spans="1:40" x14ac:dyDescent="0.25">
      <c r="A1611" t="str">
        <f>"20190312150659067"</f>
        <v>20190312150659067</v>
      </c>
      <c r="B1611" t="str">
        <f>"1552374419062010"</f>
        <v>1552374419062010</v>
      </c>
      <c r="C1611" t="s">
        <v>40</v>
      </c>
      <c r="D1611">
        <v>4.2021739999999896</v>
      </c>
      <c r="E1611">
        <v>0.52769460000000001</v>
      </c>
      <c r="F1611" t="s">
        <v>42</v>
      </c>
      <c r="G1611">
        <v>-213.73220000000001</v>
      </c>
      <c r="H1611" s="1">
        <v>-4.3109929999999999E-6</v>
      </c>
      <c r="I1611">
        <v>361.37830000000002</v>
      </c>
      <c r="J1611">
        <v>-252.9058</v>
      </c>
      <c r="K1611">
        <v>1.1107579999999999</v>
      </c>
      <c r="L1611">
        <v>367.27179999999998</v>
      </c>
      <c r="M1611">
        <v>0.99989700000000004</v>
      </c>
      <c r="N1611">
        <v>0</v>
      </c>
      <c r="O1611">
        <v>4.3411320000000002E-3</v>
      </c>
      <c r="P1611">
        <v>0.99483849999999996</v>
      </c>
      <c r="Q1611">
        <v>7.0569690000000004E-2</v>
      </c>
      <c r="R1611">
        <v>-7.2915030000000006E-2</v>
      </c>
      <c r="S1611">
        <v>2.9887079999999999</v>
      </c>
      <c r="T1611">
        <v>-8.4427829999999995E-2</v>
      </c>
      <c r="U1611">
        <v>-0.44790649999999999</v>
      </c>
      <c r="V1611">
        <v>7.7224199999999896E-2</v>
      </c>
      <c r="W1611">
        <v>8.4183899999999895E-2</v>
      </c>
      <c r="X1611">
        <v>0.99345329999999998</v>
      </c>
      <c r="Y1611">
        <v>0.1524421</v>
      </c>
      <c r="Z1611">
        <v>-2.2627350000000001E-3</v>
      </c>
      <c r="AA1611">
        <v>0.98830980000000002</v>
      </c>
      <c r="AB1611">
        <v>23</v>
      </c>
      <c r="AC1611">
        <v>39.173599999999901</v>
      </c>
      <c r="AD1611">
        <v>-1.1107623109929901</v>
      </c>
      <c r="AE1611">
        <v>-5.8934999999999498</v>
      </c>
      <c r="AF1611">
        <v>6.0587547242794804</v>
      </c>
      <c r="AG1611">
        <v>-1.1107623109929901</v>
      </c>
      <c r="AH1611">
        <v>39.116890106043698</v>
      </c>
      <c r="AI1611">
        <v>91.607376236050001</v>
      </c>
      <c r="AJ1611">
        <v>81.195508160854203</v>
      </c>
      <c r="AK1611">
        <v>39.598906465820498</v>
      </c>
      <c r="AL1611">
        <v>85.170902336106707</v>
      </c>
      <c r="AM1611">
        <v>85.555159884667205</v>
      </c>
      <c r="AN1611">
        <v>0.99999998268286905</v>
      </c>
    </row>
    <row r="1612" spans="1:40" x14ac:dyDescent="0.25">
      <c r="A1612" t="str">
        <f>"20190312150659085"</f>
        <v>20190312150659085</v>
      </c>
      <c r="B1612" t="str">
        <f>"1552374419081530"</f>
        <v>1552374419081530</v>
      </c>
      <c r="C1612" t="s">
        <v>40</v>
      </c>
      <c r="D1612">
        <v>4.1890269999999896</v>
      </c>
      <c r="E1612">
        <v>0.52794569999999996</v>
      </c>
      <c r="F1612" t="s">
        <v>42</v>
      </c>
      <c r="G1612">
        <v>-214.06389999999999</v>
      </c>
      <c r="H1612" s="1">
        <v>-4.1818980000000001E-6</v>
      </c>
      <c r="I1612">
        <v>361.43920000000003</v>
      </c>
      <c r="J1612">
        <v>-252.7244</v>
      </c>
      <c r="K1612">
        <v>1.1107610000000001</v>
      </c>
      <c r="L1612">
        <v>367.27260000000001</v>
      </c>
      <c r="M1612">
        <v>0.99989660000000002</v>
      </c>
      <c r="N1612">
        <v>0</v>
      </c>
      <c r="O1612">
        <v>4.4154789999999999E-3</v>
      </c>
      <c r="P1612">
        <v>0.9948785</v>
      </c>
      <c r="Q1612">
        <v>7.0549630000000002E-2</v>
      </c>
      <c r="R1612">
        <v>-7.2384459999999998E-2</v>
      </c>
      <c r="S1612">
        <v>2.9887239999999999</v>
      </c>
      <c r="T1612">
        <v>-8.5468530000000001E-2</v>
      </c>
      <c r="U1612">
        <v>-0.44879150000000001</v>
      </c>
      <c r="V1612">
        <v>7.6767820000000001E-2</v>
      </c>
      <c r="W1612">
        <v>8.4163000000000002E-2</v>
      </c>
      <c r="X1612">
        <v>0.99349050000000005</v>
      </c>
      <c r="Y1612">
        <v>0.1527994</v>
      </c>
      <c r="Z1612">
        <v>-2.2977480000000001E-3</v>
      </c>
      <c r="AA1612">
        <v>0.98825450000000004</v>
      </c>
      <c r="AB1612">
        <v>23</v>
      </c>
      <c r="AC1612">
        <v>38.660499999999999</v>
      </c>
      <c r="AD1612">
        <v>-1.110765181898</v>
      </c>
      <c r="AE1612">
        <v>-5.8333999999999797</v>
      </c>
      <c r="AF1612">
        <v>5.9992217049760903</v>
      </c>
      <c r="AG1612">
        <v>-1.110765181898</v>
      </c>
      <c r="AH1612">
        <v>38.603206348567099</v>
      </c>
      <c r="AI1612">
        <v>91.628630008614294</v>
      </c>
      <c r="AJ1612">
        <v>81.166476986862094</v>
      </c>
      <c r="AK1612">
        <v>39.082374553560904</v>
      </c>
      <c r="AL1612">
        <v>85.172104365833107</v>
      </c>
      <c r="AM1612">
        <v>85.581488483948206</v>
      </c>
      <c r="AN1612">
        <v>1.0000000411734</v>
      </c>
    </row>
    <row r="1613" spans="1:40" x14ac:dyDescent="0.25">
      <c r="A1613" t="str">
        <f>"20190312150659096"</f>
        <v>20190312150659096</v>
      </c>
      <c r="B1613" t="str">
        <f>"1552374419092266"</f>
        <v>1552374419092266</v>
      </c>
      <c r="C1613" t="s">
        <v>40</v>
      </c>
      <c r="D1613">
        <v>4.2140250000000004</v>
      </c>
      <c r="E1613">
        <v>0.52803699999999998</v>
      </c>
      <c r="F1613" t="s">
        <v>42</v>
      </c>
      <c r="G1613">
        <v>-214.67349999999999</v>
      </c>
      <c r="H1613" s="1">
        <v>-3.9452139999999999E-6</v>
      </c>
      <c r="I1613">
        <v>361.54910000000001</v>
      </c>
      <c r="J1613">
        <v>-252.61009999999999</v>
      </c>
      <c r="K1613">
        <v>1.1107560000000001</v>
      </c>
      <c r="L1613">
        <v>367.27319999999997</v>
      </c>
      <c r="M1613">
        <v>0.99989649999999997</v>
      </c>
      <c r="N1613">
        <v>0</v>
      </c>
      <c r="O1613">
        <v>4.4620930000000003E-3</v>
      </c>
      <c r="P1613">
        <v>0.99488790000000005</v>
      </c>
      <c r="Q1613">
        <v>7.0424559999999997E-2</v>
      </c>
      <c r="R1613">
        <v>-7.2377789999999997E-2</v>
      </c>
      <c r="S1613">
        <v>2.9889070000000002</v>
      </c>
      <c r="T1613">
        <v>-8.7250709999999995E-2</v>
      </c>
      <c r="U1613">
        <v>-0.44958500000000001</v>
      </c>
      <c r="V1613">
        <v>7.6807559999999997E-2</v>
      </c>
      <c r="W1613">
        <v>8.4036609999999998E-2</v>
      </c>
      <c r="X1613">
        <v>0.99349810000000005</v>
      </c>
      <c r="Y1613">
        <v>0.15309029999999901</v>
      </c>
      <c r="Z1613">
        <v>-2.3510279999999998E-3</v>
      </c>
      <c r="AA1613">
        <v>0.98820940000000002</v>
      </c>
      <c r="AB1613">
        <v>23</v>
      </c>
      <c r="AC1613">
        <v>37.936599999999999</v>
      </c>
      <c r="AD1613">
        <v>-1.11075994521399</v>
      </c>
      <c r="AE1613">
        <v>-5.72409999999996</v>
      </c>
      <c r="AF1613">
        <v>5.8883998281870999</v>
      </c>
      <c r="AG1613">
        <v>-1.11075994521399</v>
      </c>
      <c r="AH1613">
        <v>37.878928331412503</v>
      </c>
      <c r="AI1613">
        <v>91.659734214347097</v>
      </c>
      <c r="AJ1613">
        <v>81.163912687343498</v>
      </c>
      <c r="AK1613">
        <v>38.349970687456498</v>
      </c>
      <c r="AL1613">
        <v>85.179371593127499</v>
      </c>
      <c r="AM1613">
        <v>85.579243924607695</v>
      </c>
      <c r="AN1613">
        <v>1.0000000138985199</v>
      </c>
    </row>
    <row r="1614" spans="1:40" x14ac:dyDescent="0.25">
      <c r="A1614" t="str">
        <f>"20190312150659108"</f>
        <v>20190312150659108</v>
      </c>
      <c r="B1614" t="str">
        <f>"1552374419102026"</f>
        <v>1552374419102026</v>
      </c>
      <c r="C1614" t="s">
        <v>40</v>
      </c>
      <c r="D1614">
        <v>4.2452940000000003</v>
      </c>
      <c r="E1614">
        <v>0.52812499999999996</v>
      </c>
      <c r="F1614" t="s">
        <v>42</v>
      </c>
      <c r="G1614">
        <v>-215.0069</v>
      </c>
      <c r="H1614" s="1">
        <v>-3.8160740000000003E-6</v>
      </c>
      <c r="I1614">
        <v>361.60809999999998</v>
      </c>
      <c r="J1614">
        <v>-252.4931</v>
      </c>
      <c r="K1614">
        <v>1.110754</v>
      </c>
      <c r="L1614">
        <v>367.27379999999999</v>
      </c>
      <c r="M1614">
        <v>0.99989640000000002</v>
      </c>
      <c r="N1614">
        <v>0</v>
      </c>
      <c r="O1614">
        <v>4.5098380000000004E-3</v>
      </c>
      <c r="P1614">
        <v>0.99489249999999996</v>
      </c>
      <c r="Q1614">
        <v>7.0549169999999994E-2</v>
      </c>
      <c r="R1614">
        <v>-7.2194579999999994E-2</v>
      </c>
      <c r="S1614">
        <v>2.9888919999999999</v>
      </c>
      <c r="T1614">
        <v>-8.8288430000000001E-2</v>
      </c>
      <c r="U1614">
        <v>-0.45028689999999999</v>
      </c>
      <c r="V1614">
        <v>7.6671909999999996E-2</v>
      </c>
      <c r="W1614">
        <v>8.4159670000000006E-2</v>
      </c>
      <c r="X1614">
        <v>0.99349810000000005</v>
      </c>
      <c r="Y1614">
        <v>0.15336350000000001</v>
      </c>
      <c r="Z1614">
        <v>-2.3843620000000001E-3</v>
      </c>
      <c r="AA1614">
        <v>0.98816700000000002</v>
      </c>
      <c r="AB1614">
        <v>23</v>
      </c>
      <c r="AC1614">
        <v>37.486199999999997</v>
      </c>
      <c r="AD1614">
        <v>-1.1107578160739999</v>
      </c>
      <c r="AE1614">
        <v>-5.66570000000001</v>
      </c>
      <c r="AF1614">
        <v>5.8297106693623197</v>
      </c>
      <c r="AG1614">
        <v>-1.1107578160739999</v>
      </c>
      <c r="AH1614">
        <v>37.428136851475799</v>
      </c>
      <c r="AI1614">
        <v>91.679632163821097</v>
      </c>
      <c r="AJ1614">
        <v>81.146892108038003</v>
      </c>
      <c r="AK1614">
        <v>37.895708696200003</v>
      </c>
      <c r="AL1614">
        <v>85.172295414718704</v>
      </c>
      <c r="AM1614">
        <v>85.5870205637776</v>
      </c>
      <c r="AN1614">
        <v>0.999999953270582</v>
      </c>
    </row>
    <row r="1615" spans="1:40" x14ac:dyDescent="0.25">
      <c r="A1615" t="str">
        <f>"20190312150659119"</f>
        <v>20190312150659119</v>
      </c>
      <c r="B1615" t="str">
        <f>"1552374419111787"</f>
        <v>1552374419111787</v>
      </c>
      <c r="C1615" t="s">
        <v>40</v>
      </c>
      <c r="D1615">
        <v>4.1990509999999999</v>
      </c>
      <c r="E1615">
        <v>0.52824380000000004</v>
      </c>
      <c r="F1615" t="s">
        <v>42</v>
      </c>
      <c r="G1615">
        <v>-215.1645</v>
      </c>
      <c r="H1615" s="1">
        <v>-3.7522019999999999E-6</v>
      </c>
      <c r="I1615">
        <v>361.6465</v>
      </c>
      <c r="J1615">
        <v>-252.376</v>
      </c>
      <c r="K1615">
        <v>1.1107530000000001</v>
      </c>
      <c r="L1615">
        <v>367.27440000000001</v>
      </c>
      <c r="M1615">
        <v>0.99989620000000001</v>
      </c>
      <c r="N1615">
        <v>0</v>
      </c>
      <c r="O1615">
        <v>4.5571029999999998E-3</v>
      </c>
      <c r="P1615">
        <v>0.99488540000000003</v>
      </c>
      <c r="Q1615">
        <v>7.0670399999999994E-2</v>
      </c>
      <c r="R1615">
        <v>-7.2176260000000006E-2</v>
      </c>
      <c r="S1615">
        <v>2.9890289999999999</v>
      </c>
      <c r="T1615">
        <v>-8.8941930000000002E-2</v>
      </c>
      <c r="U1615">
        <v>-0.45059199999999999</v>
      </c>
      <c r="V1615">
        <v>7.670043E-2</v>
      </c>
      <c r="W1615">
        <v>8.4279409999999999E-2</v>
      </c>
      <c r="X1615">
        <v>0.99348579999999997</v>
      </c>
      <c r="Y1615">
        <v>0.153501</v>
      </c>
      <c r="Z1615">
        <v>-2.405309E-3</v>
      </c>
      <c r="AA1615">
        <v>0.98814550000000001</v>
      </c>
      <c r="AB1615">
        <v>22</v>
      </c>
      <c r="AC1615">
        <v>37.211499999999901</v>
      </c>
      <c r="AD1615">
        <v>-1.1107567522020001</v>
      </c>
      <c r="AE1615">
        <v>-5.6279000000000101</v>
      </c>
      <c r="AF1615">
        <v>5.7923883577967903</v>
      </c>
      <c r="AG1615">
        <v>-1.1107567522020001</v>
      </c>
      <c r="AH1615">
        <v>37.153100639073998</v>
      </c>
      <c r="AI1615">
        <v>91.692019088363296</v>
      </c>
      <c r="AJ1615">
        <v>81.138586321447207</v>
      </c>
      <c r="AK1615">
        <v>37.618325727592698</v>
      </c>
      <c r="AL1615">
        <v>85.165410606671998</v>
      </c>
      <c r="AM1615">
        <v>85.585331095770002</v>
      </c>
      <c r="AN1615">
        <v>1.00000000485688</v>
      </c>
    </row>
    <row r="1616" spans="1:40" x14ac:dyDescent="0.25">
      <c r="A1616" t="str">
        <f>"20190312150659131"</f>
        <v>20190312150659131</v>
      </c>
      <c r="B1616" t="str">
        <f>"1552374419121547"</f>
        <v>1552374419121547</v>
      </c>
      <c r="C1616" t="s">
        <v>40</v>
      </c>
      <c r="D1616">
        <v>4.1901080000000004</v>
      </c>
      <c r="E1616">
        <v>0.52835639999999995</v>
      </c>
      <c r="F1616" t="s">
        <v>42</v>
      </c>
      <c r="G1616">
        <v>-215.2063</v>
      </c>
      <c r="H1616" s="1">
        <v>-3.734286E-6</v>
      </c>
      <c r="I1616">
        <v>361.66039999999998</v>
      </c>
      <c r="J1616">
        <v>-252.26750000000001</v>
      </c>
      <c r="K1616">
        <v>1.1107549999999999</v>
      </c>
      <c r="L1616">
        <v>367.2749</v>
      </c>
      <c r="M1616">
        <v>0.99989600000000001</v>
      </c>
      <c r="N1616">
        <v>0</v>
      </c>
      <c r="O1616">
        <v>4.6006729999999996E-3</v>
      </c>
      <c r="P1616">
        <v>0.99490270000000003</v>
      </c>
      <c r="Q1616">
        <v>7.0516750000000003E-2</v>
      </c>
      <c r="R1616">
        <v>-7.2085880000000005E-2</v>
      </c>
      <c r="S1616">
        <v>2.9890140000000001</v>
      </c>
      <c r="T1616">
        <v>-8.9321609999999996E-2</v>
      </c>
      <c r="U1616">
        <v>-0.45144649999999997</v>
      </c>
      <c r="V1616">
        <v>7.6653879999999994E-2</v>
      </c>
      <c r="W1616">
        <v>8.412451E-2</v>
      </c>
      <c r="X1616">
        <v>0.99350249999999996</v>
      </c>
      <c r="Y1616">
        <v>0.15382029999999999</v>
      </c>
      <c r="Z1616">
        <v>-2.4215700000000001E-3</v>
      </c>
      <c r="AA1616">
        <v>0.98809590000000003</v>
      </c>
      <c r="AB1616">
        <v>22</v>
      </c>
      <c r="AC1616">
        <v>37.061199999999999</v>
      </c>
      <c r="AD1616">
        <v>-1.1107587342859999</v>
      </c>
      <c r="AE1616">
        <v>-5.61450000000002</v>
      </c>
      <c r="AF1616">
        <v>5.7798876173365503</v>
      </c>
      <c r="AG1616">
        <v>-1.1107587342859999</v>
      </c>
      <c r="AH1616">
        <v>37.002482771617501</v>
      </c>
      <c r="AI1616">
        <v>91.698828655487702</v>
      </c>
      <c r="AJ1616">
        <v>81.121986520037495</v>
      </c>
      <c r="AK1616">
        <v>37.467647605616797</v>
      </c>
      <c r="AL1616">
        <v>85.174317252464405</v>
      </c>
      <c r="AM1616">
        <v>85.588073675018293</v>
      </c>
      <c r="AN1616">
        <v>0.99999998400402201</v>
      </c>
    </row>
    <row r="1617" spans="1:40" x14ac:dyDescent="0.25">
      <c r="A1617" t="str">
        <f>"20190312150659142"</f>
        <v>20190312150659142</v>
      </c>
      <c r="B1617" t="str">
        <f>"1552374419132283"</f>
        <v>1552374419132283</v>
      </c>
      <c r="C1617" t="s">
        <v>40</v>
      </c>
      <c r="D1617">
        <v>4.2461310000000001</v>
      </c>
      <c r="E1617">
        <v>0.52849159999999995</v>
      </c>
      <c r="F1617" t="s">
        <v>42</v>
      </c>
      <c r="G1617">
        <v>-215.5942</v>
      </c>
      <c r="H1617" s="1">
        <v>-3.5845920000000002E-6</v>
      </c>
      <c r="I1617">
        <v>361.7269</v>
      </c>
      <c r="J1617">
        <v>-252.1516</v>
      </c>
      <c r="K1617">
        <v>1.1107560000000001</v>
      </c>
      <c r="L1617">
        <v>367.27550000000002</v>
      </c>
      <c r="M1617">
        <v>0.99989570000000005</v>
      </c>
      <c r="N1617">
        <v>0</v>
      </c>
      <c r="O1617">
        <v>4.6467469999999997E-3</v>
      </c>
      <c r="P1617">
        <v>0.9948977</v>
      </c>
      <c r="Q1617">
        <v>7.0516839999999997E-2</v>
      </c>
      <c r="R1617">
        <v>-7.2151359999999998E-2</v>
      </c>
      <c r="S1617">
        <v>2.9890140000000001</v>
      </c>
      <c r="T1617">
        <v>-9.0530869999999999E-2</v>
      </c>
      <c r="U1617">
        <v>-0.452179</v>
      </c>
      <c r="V1617">
        <v>7.6765369999999999E-2</v>
      </c>
      <c r="W1617">
        <v>8.412356E-2</v>
      </c>
      <c r="X1617">
        <v>0.99349399999999999</v>
      </c>
      <c r="Y1617">
        <v>0.1541005</v>
      </c>
      <c r="Z1617">
        <v>-2.4599019999999999E-3</v>
      </c>
      <c r="AA1617">
        <v>0.98805209999999999</v>
      </c>
      <c r="AB1617">
        <v>22</v>
      </c>
      <c r="AC1617">
        <v>36.557400000000001</v>
      </c>
      <c r="AD1617">
        <v>-1.11075958459199</v>
      </c>
      <c r="AE1617">
        <v>-5.54860000000002</v>
      </c>
      <c r="AF1617">
        <v>5.71327330908061</v>
      </c>
      <c r="AG1617">
        <v>-1.11075958459199</v>
      </c>
      <c r="AH1617">
        <v>36.498283893829097</v>
      </c>
      <c r="AI1617">
        <v>91.722196687130406</v>
      </c>
      <c r="AJ1617">
        <v>81.103379283348502</v>
      </c>
      <c r="AK1617">
        <v>36.9594373056945</v>
      </c>
      <c r="AL1617">
        <v>85.174372011086206</v>
      </c>
      <c r="AM1617">
        <v>85.581644443692497</v>
      </c>
      <c r="AN1617">
        <v>1.0000000117071499</v>
      </c>
    </row>
    <row r="1618" spans="1:40" x14ac:dyDescent="0.25">
      <c r="A1618" t="str">
        <f>"20190312150659153"</f>
        <v>20190312150659153</v>
      </c>
      <c r="B1618" t="str">
        <f>"1552374419142043"</f>
        <v>1552374419142043</v>
      </c>
      <c r="C1618" t="s">
        <v>40</v>
      </c>
      <c r="D1618">
        <v>4.1737080000000004</v>
      </c>
      <c r="E1618">
        <v>0.52863919999999998</v>
      </c>
      <c r="F1618" t="s">
        <v>42</v>
      </c>
      <c r="G1618">
        <v>-215.59530000000001</v>
      </c>
      <c r="H1618" s="1">
        <v>-3.5826689999999998E-6</v>
      </c>
      <c r="I1618">
        <v>361.73270000000002</v>
      </c>
      <c r="J1618">
        <v>-252.0412</v>
      </c>
      <c r="K1618">
        <v>1.1107560000000001</v>
      </c>
      <c r="L1618">
        <v>367.27609999999999</v>
      </c>
      <c r="M1618">
        <v>0.99989550000000005</v>
      </c>
      <c r="N1618">
        <v>0</v>
      </c>
      <c r="O1618">
        <v>4.6901360000000001E-3</v>
      </c>
      <c r="P1618">
        <v>0.9948844</v>
      </c>
      <c r="Q1618">
        <v>7.076375E-2</v>
      </c>
      <c r="R1618">
        <v>-7.2096389999999996E-2</v>
      </c>
      <c r="S1618">
        <v>2.988937</v>
      </c>
      <c r="T1618">
        <v>-9.0818289999999996E-2</v>
      </c>
      <c r="U1618">
        <v>-0.45318599999999998</v>
      </c>
      <c r="V1618">
        <v>7.6753340000000003E-2</v>
      </c>
      <c r="W1618">
        <v>8.4368730000000003E-2</v>
      </c>
      <c r="X1618">
        <v>0.99347410000000003</v>
      </c>
      <c r="Y1618">
        <v>0.1544719</v>
      </c>
      <c r="Z1618">
        <v>-2.474628E-3</v>
      </c>
      <c r="AA1618">
        <v>0.98799409999999999</v>
      </c>
      <c r="AB1618">
        <v>22</v>
      </c>
      <c r="AC1618">
        <v>36.445900000000002</v>
      </c>
      <c r="AD1618">
        <v>-1.11075958266899</v>
      </c>
      <c r="AE1618">
        <v>-5.5433999999999601</v>
      </c>
      <c r="AF1618">
        <v>5.7091082628649898</v>
      </c>
      <c r="AG1618">
        <v>-1.11075958266899</v>
      </c>
      <c r="AH1618">
        <v>36.386464182423801</v>
      </c>
      <c r="AI1618">
        <v>91.7273891824874</v>
      </c>
      <c r="AJ1618">
        <v>81.0828790666407</v>
      </c>
      <c r="AK1618">
        <v>36.848371466137003</v>
      </c>
      <c r="AL1618">
        <v>85.160274498827604</v>
      </c>
      <c r="AM1618">
        <v>85.582245970039395</v>
      </c>
      <c r="AN1618">
        <v>0.999999972586888</v>
      </c>
    </row>
    <row r="1619" spans="1:40" x14ac:dyDescent="0.25">
      <c r="A1619" t="str">
        <f>"20190312150659164"</f>
        <v>20190312150659164</v>
      </c>
      <c r="B1619" t="str">
        <f>"1552374419161563"</f>
        <v>1552374419161563</v>
      </c>
      <c r="C1619" t="s">
        <v>40</v>
      </c>
      <c r="D1619">
        <v>4.1941610000000003</v>
      </c>
      <c r="E1619">
        <v>0.52885669999999996</v>
      </c>
      <c r="F1619" t="s">
        <v>42</v>
      </c>
      <c r="G1619">
        <v>-215.43340000000001</v>
      </c>
      <c r="H1619" s="1">
        <v>-3.6437509999999999E-6</v>
      </c>
      <c r="I1619">
        <v>361.71019999999999</v>
      </c>
      <c r="J1619">
        <v>-251.9289</v>
      </c>
      <c r="K1619">
        <v>1.1107579999999999</v>
      </c>
      <c r="L1619">
        <v>367.27659999999997</v>
      </c>
      <c r="M1619">
        <v>0.99989519999999998</v>
      </c>
      <c r="N1619">
        <v>0</v>
      </c>
      <c r="O1619">
        <v>4.7342399999999998E-3</v>
      </c>
      <c r="P1619">
        <v>0.99487150000000002</v>
      </c>
      <c r="Q1619">
        <v>7.0714689999999997E-2</v>
      </c>
      <c r="R1619">
        <v>-7.2321049999999998E-2</v>
      </c>
      <c r="S1619">
        <v>2.988953</v>
      </c>
      <c r="T1619">
        <v>-9.0691090000000002E-2</v>
      </c>
      <c r="U1619">
        <v>-0.45443729999999899</v>
      </c>
      <c r="V1619">
        <v>7.7021859999999998E-2</v>
      </c>
      <c r="W1619">
        <v>8.4318359999999995E-2</v>
      </c>
      <c r="X1619">
        <v>0.99345760000000005</v>
      </c>
      <c r="Y1619">
        <v>0.154919</v>
      </c>
      <c r="Z1619">
        <v>-2.4791470000000001E-3</v>
      </c>
      <c r="AA1619">
        <v>0.98792400000000002</v>
      </c>
      <c r="AB1619">
        <v>22</v>
      </c>
      <c r="AC1619">
        <v>36.4954999999999</v>
      </c>
      <c r="AD1619">
        <v>-1.1107616437509999</v>
      </c>
      <c r="AE1619">
        <v>-5.5663999999999803</v>
      </c>
      <c r="AF1619">
        <v>5.7339414995285196</v>
      </c>
      <c r="AG1619">
        <v>-1.1107616437509999</v>
      </c>
      <c r="AH1619">
        <v>36.435751781957002</v>
      </c>
      <c r="AI1619">
        <v>91.724933036982506</v>
      </c>
      <c r="AJ1619">
        <v>81.0566371517737</v>
      </c>
      <c r="AK1619">
        <v>36.900892732637601</v>
      </c>
      <c r="AL1619">
        <v>85.163170833273597</v>
      </c>
      <c r="AM1619">
        <v>85.5667787151651</v>
      </c>
      <c r="AN1619">
        <v>0.99999997787435402</v>
      </c>
    </row>
    <row r="1620" spans="1:40" x14ac:dyDescent="0.25">
      <c r="A1620" t="str">
        <f>"20190312150659175"</f>
        <v>20190312150659175</v>
      </c>
      <c r="B1620" t="str">
        <f>"1552374419172299"</f>
        <v>1552374419172299</v>
      </c>
      <c r="C1620" t="s">
        <v>40</v>
      </c>
      <c r="D1620">
        <v>4.1769559999999997</v>
      </c>
      <c r="E1620">
        <v>0.52898250000000002</v>
      </c>
      <c r="F1620" t="s">
        <v>42</v>
      </c>
      <c r="G1620">
        <v>-215.4436</v>
      </c>
      <c r="H1620" s="1">
        <v>-3.6424020000000001E-6</v>
      </c>
      <c r="I1620">
        <v>361.7022</v>
      </c>
      <c r="J1620">
        <v>-251.82560000000001</v>
      </c>
      <c r="K1620">
        <v>1.110757</v>
      </c>
      <c r="L1620">
        <v>367.27710000000002</v>
      </c>
      <c r="M1620">
        <v>0.99989519999999998</v>
      </c>
      <c r="N1620">
        <v>0</v>
      </c>
      <c r="O1620">
        <v>4.7740539999999998E-3</v>
      </c>
      <c r="P1620">
        <v>0.99484519999999999</v>
      </c>
      <c r="Q1620">
        <v>7.0939840000000004E-2</v>
      </c>
      <c r="R1620">
        <v>-7.2463390000000003E-2</v>
      </c>
      <c r="S1620">
        <v>2.9887389999999998</v>
      </c>
      <c r="T1620">
        <v>-9.0989349999999997E-2</v>
      </c>
      <c r="U1620">
        <v>-0.4566345</v>
      </c>
      <c r="V1620">
        <v>7.7203770000000005E-2</v>
      </c>
      <c r="W1620">
        <v>8.4541690000000003E-2</v>
      </c>
      <c r="X1620">
        <v>0.99342450000000004</v>
      </c>
      <c r="Y1620">
        <v>0.15567779999999901</v>
      </c>
      <c r="Z1620">
        <v>-2.5000220000000002E-3</v>
      </c>
      <c r="AA1620">
        <v>0.98780469999999998</v>
      </c>
      <c r="AB1620">
        <v>22</v>
      </c>
      <c r="AC1620">
        <v>36.381999999999998</v>
      </c>
      <c r="AD1620">
        <v>-1.110760642402</v>
      </c>
      <c r="AE1620">
        <v>-5.5749000000000102</v>
      </c>
      <c r="AF1620">
        <v>5.7433117233265696</v>
      </c>
      <c r="AG1620">
        <v>-1.110760642402</v>
      </c>
      <c r="AH1620">
        <v>36.321888619639097</v>
      </c>
      <c r="AI1620">
        <v>91.730135616320695</v>
      </c>
      <c r="AJ1620">
        <v>81.014635406904901</v>
      </c>
      <c r="AK1620">
        <v>36.789930846000203</v>
      </c>
      <c r="AL1620">
        <v>85.150329116211395</v>
      </c>
      <c r="AM1620">
        <v>85.556202767463702</v>
      </c>
      <c r="AN1620">
        <v>0.999999978325259</v>
      </c>
    </row>
    <row r="1621" spans="1:40" x14ac:dyDescent="0.25">
      <c r="A1621" t="str">
        <f>"20190312150659186"</f>
        <v>20190312150659186</v>
      </c>
      <c r="B1621" t="str">
        <f>"1552374419182059"</f>
        <v>1552374419182059</v>
      </c>
      <c r="C1621" t="s">
        <v>40</v>
      </c>
      <c r="D1621">
        <v>4.2446479999999998</v>
      </c>
      <c r="E1621">
        <v>0.52906030000000004</v>
      </c>
      <c r="F1621" t="s">
        <v>42</v>
      </c>
      <c r="G1621">
        <v>-215.2928</v>
      </c>
      <c r="H1621" s="1">
        <v>-3.7007169999999998E-6</v>
      </c>
      <c r="I1621">
        <v>361.67590000000001</v>
      </c>
      <c r="J1621">
        <v>-251.71100000000001</v>
      </c>
      <c r="K1621">
        <v>1.110752</v>
      </c>
      <c r="L1621">
        <v>367.27780000000001</v>
      </c>
      <c r="M1621">
        <v>0.99989490000000003</v>
      </c>
      <c r="N1621">
        <v>0</v>
      </c>
      <c r="O1621">
        <v>4.8184559999999996E-3</v>
      </c>
      <c r="P1621">
        <v>0.99483350000000004</v>
      </c>
      <c r="Q1621">
        <v>7.0813260000000003E-2</v>
      </c>
      <c r="R1621">
        <v>-7.2746240000000004E-2</v>
      </c>
      <c r="S1621">
        <v>2.9886629999999998</v>
      </c>
      <c r="T1621">
        <v>-9.0868589999999999E-2</v>
      </c>
      <c r="U1621">
        <v>-0.4582214</v>
      </c>
      <c r="V1621">
        <v>7.7530810000000006E-2</v>
      </c>
      <c r="W1621">
        <v>8.4413859999999993E-2</v>
      </c>
      <c r="X1621">
        <v>0.99340989999999996</v>
      </c>
      <c r="Y1621">
        <v>0.15623779999999901</v>
      </c>
      <c r="Z1621">
        <v>-2.5064729999999999E-3</v>
      </c>
      <c r="AA1621">
        <v>0.98771629999999999</v>
      </c>
      <c r="AB1621">
        <v>22</v>
      </c>
      <c r="AC1621">
        <v>36.418199999999899</v>
      </c>
      <c r="AD1621">
        <v>-1.1107557007169999</v>
      </c>
      <c r="AE1621">
        <v>-5.6018999999999997</v>
      </c>
      <c r="AF1621">
        <v>5.7720854805126098</v>
      </c>
      <c r="AG1621">
        <v>-1.1107557007169999</v>
      </c>
      <c r="AH1621">
        <v>36.3577420519455</v>
      </c>
      <c r="AI1621">
        <v>91.728253175756393</v>
      </c>
      <c r="AJ1621">
        <v>80.979116875784896</v>
      </c>
      <c r="AK1621">
        <v>36.8298269903189</v>
      </c>
      <c r="AL1621">
        <v>85.157679508496898</v>
      </c>
      <c r="AM1621">
        <v>85.537389120428799</v>
      </c>
      <c r="AN1621">
        <v>0.999999977838682</v>
      </c>
    </row>
    <row r="1622" spans="1:40" x14ac:dyDescent="0.25">
      <c r="A1622" t="str">
        <f>"20190312150659196"</f>
        <v>20190312150659196</v>
      </c>
      <c r="B1622" t="str">
        <f>"1552374419191819"</f>
        <v>1552374419191819</v>
      </c>
      <c r="C1622" t="s">
        <v>40</v>
      </c>
      <c r="D1622">
        <v>4.2194190000000003</v>
      </c>
      <c r="E1622">
        <v>0.52916189999999996</v>
      </c>
      <c r="F1622" t="s">
        <v>42</v>
      </c>
      <c r="G1622">
        <v>-215.22239999999999</v>
      </c>
      <c r="H1622" s="1">
        <v>-3.7281579999999998E-6</v>
      </c>
      <c r="I1622">
        <v>361.6628</v>
      </c>
      <c r="J1622">
        <v>-251.60429999999999</v>
      </c>
      <c r="K1622">
        <v>1.110752</v>
      </c>
      <c r="L1622">
        <v>367.2783</v>
      </c>
      <c r="M1622">
        <v>0.99989479999999997</v>
      </c>
      <c r="N1622">
        <v>0</v>
      </c>
      <c r="O1622">
        <v>4.8593430000000003E-3</v>
      </c>
      <c r="P1622">
        <v>0.99479320000000004</v>
      </c>
      <c r="Q1622">
        <v>7.1089340000000001E-2</v>
      </c>
      <c r="R1622">
        <v>-7.3027399999999895E-2</v>
      </c>
      <c r="S1622">
        <v>2.9884339999999998</v>
      </c>
      <c r="T1622">
        <v>-9.0971350000000006E-2</v>
      </c>
      <c r="U1622">
        <v>-0.45986939999999998</v>
      </c>
      <c r="V1622">
        <v>7.7852499999999894E-2</v>
      </c>
      <c r="W1622">
        <v>8.4688020000000003E-2</v>
      </c>
      <c r="X1622">
        <v>0.99336139999999995</v>
      </c>
      <c r="Y1622">
        <v>0.15682109999999999</v>
      </c>
      <c r="Z1622">
        <v>-2.5194530000000001E-3</v>
      </c>
      <c r="AA1622">
        <v>0.98762380000000005</v>
      </c>
      <c r="AB1622">
        <v>22</v>
      </c>
      <c r="AC1622">
        <v>36.381900000000002</v>
      </c>
      <c r="AD1622">
        <v>-1.1107557281580001</v>
      </c>
      <c r="AE1622">
        <v>-5.6154999999999902</v>
      </c>
      <c r="AF1622">
        <v>5.7869737605771903</v>
      </c>
      <c r="AG1622">
        <v>-1.1107557281580001</v>
      </c>
      <c r="AH1622">
        <v>36.321112753582398</v>
      </c>
      <c r="AI1622">
        <v>91.729842210960896</v>
      </c>
      <c r="AJ1622">
        <v>80.947263309901402</v>
      </c>
      <c r="AK1622">
        <v>36.7960062405106</v>
      </c>
      <c r="AL1622">
        <v>85.141914816765293</v>
      </c>
      <c r="AM1622">
        <v>85.518730269114897</v>
      </c>
      <c r="AN1622">
        <v>0.99999997174886401</v>
      </c>
    </row>
    <row r="1623" spans="1:40" x14ac:dyDescent="0.25">
      <c r="A1623" t="str">
        <f>"20190312150659209"</f>
        <v>20190312150659209</v>
      </c>
      <c r="B1623" t="str">
        <f>"1552374419201578"</f>
        <v>1552374419201578</v>
      </c>
      <c r="C1623" t="s">
        <v>40</v>
      </c>
      <c r="D1623">
        <v>4.2197480000000001</v>
      </c>
      <c r="E1623">
        <v>0.52928439999999999</v>
      </c>
      <c r="F1623" t="s">
        <v>42</v>
      </c>
      <c r="G1623">
        <v>-214.9742</v>
      </c>
      <c r="H1623" s="1">
        <v>-3.8229280000000002E-6</v>
      </c>
      <c r="I1623">
        <v>361.6241</v>
      </c>
      <c r="J1623">
        <v>-251.48779999999999</v>
      </c>
      <c r="K1623">
        <v>1.110752</v>
      </c>
      <c r="L1623">
        <v>367.27890000000002</v>
      </c>
      <c r="M1623">
        <v>0.99989459999999997</v>
      </c>
      <c r="N1623">
        <v>0</v>
      </c>
      <c r="O1623">
        <v>4.9042240000000004E-3</v>
      </c>
      <c r="P1623">
        <v>0.99477260000000001</v>
      </c>
      <c r="Q1623">
        <v>7.1128399999999994E-2</v>
      </c>
      <c r="R1623">
        <v>-7.3267239999999997E-2</v>
      </c>
      <c r="S1623">
        <v>2.9882970000000002</v>
      </c>
      <c r="T1623">
        <v>-9.0615749999999995E-2</v>
      </c>
      <c r="U1623">
        <v>-0.46127319999999999</v>
      </c>
      <c r="V1623">
        <v>7.8137289999999998E-2</v>
      </c>
      <c r="W1623">
        <v>8.4725549999999997E-2</v>
      </c>
      <c r="X1623">
        <v>0.99333579999999999</v>
      </c>
      <c r="Y1623">
        <v>0.15732579999999999</v>
      </c>
      <c r="Z1623">
        <v>-2.5185920000000001E-3</v>
      </c>
      <c r="AA1623">
        <v>0.98754350000000002</v>
      </c>
      <c r="AB1623">
        <v>22</v>
      </c>
      <c r="AC1623">
        <v>36.513599999999997</v>
      </c>
      <c r="AD1623">
        <v>-1.1107558229279999</v>
      </c>
      <c r="AE1623">
        <v>-5.6548000000000203</v>
      </c>
      <c r="AF1623">
        <v>5.82855219115089</v>
      </c>
      <c r="AG1623">
        <v>-1.1107558229279999</v>
      </c>
      <c r="AH1623">
        <v>36.452482923791301</v>
      </c>
      <c r="AI1623">
        <v>91.723460133578996</v>
      </c>
      <c r="AJ1623">
        <v>80.915615987064399</v>
      </c>
      <c r="AK1623">
        <v>36.9322259070914</v>
      </c>
      <c r="AL1623">
        <v>85.139756562207296</v>
      </c>
      <c r="AM1623">
        <v>85.502289165351499</v>
      </c>
      <c r="AN1623">
        <v>0.99999993323649095</v>
      </c>
    </row>
    <row r="1624" spans="1:40" x14ac:dyDescent="0.25">
      <c r="A1624" t="str">
        <f>"20190312150659223"</f>
        <v>20190312150659223</v>
      </c>
      <c r="B1624" t="str">
        <f>"1552374419212314"</f>
        <v>1552374419212314</v>
      </c>
      <c r="C1624" t="s">
        <v>40</v>
      </c>
      <c r="D1624">
        <v>4.1979470000000001</v>
      </c>
      <c r="E1624">
        <v>0.52940430000000005</v>
      </c>
      <c r="F1624" t="s">
        <v>42</v>
      </c>
      <c r="G1624">
        <v>-214.90799999999999</v>
      </c>
      <c r="H1624" s="1">
        <v>-3.8497910000000004E-6</v>
      </c>
      <c r="I1624">
        <v>361.6078</v>
      </c>
      <c r="J1624">
        <v>-251.3407</v>
      </c>
      <c r="K1624">
        <v>1.1107549999999999</v>
      </c>
      <c r="L1624">
        <v>367.27969999999999</v>
      </c>
      <c r="M1624">
        <v>0.99989430000000001</v>
      </c>
      <c r="N1624">
        <v>0</v>
      </c>
      <c r="O1624">
        <v>4.9602509999999997E-3</v>
      </c>
      <c r="P1624">
        <v>0.99473509999999998</v>
      </c>
      <c r="Q1624">
        <v>7.1192359999999996E-2</v>
      </c>
      <c r="R1624">
        <v>-7.3713780000000007E-2</v>
      </c>
      <c r="S1624">
        <v>2.9881129999999998</v>
      </c>
      <c r="T1624">
        <v>-9.0734720000000005E-2</v>
      </c>
      <c r="U1624">
        <v>-0.46325680000000002</v>
      </c>
      <c r="V1624">
        <v>7.8639299999999995E-2</v>
      </c>
      <c r="W1624">
        <v>8.4787319999999999E-2</v>
      </c>
      <c r="X1624">
        <v>0.99329100000000004</v>
      </c>
      <c r="Y1624">
        <v>0.1580299</v>
      </c>
      <c r="Z1624">
        <v>-2.5342390000000002E-3</v>
      </c>
      <c r="AA1624">
        <v>0.98743099999999995</v>
      </c>
      <c r="AB1624">
        <v>22</v>
      </c>
      <c r="AC1624">
        <v>36.432699999999997</v>
      </c>
      <c r="AD1624">
        <v>-1.1107588497909999</v>
      </c>
      <c r="AE1624">
        <v>-5.6718999999999902</v>
      </c>
      <c r="AF1624">
        <v>5.8472559217486104</v>
      </c>
      <c r="AG1624">
        <v>-1.1107588497909999</v>
      </c>
      <c r="AH1624">
        <v>36.371107511833898</v>
      </c>
      <c r="AI1624">
        <v>91.727083232808099</v>
      </c>
      <c r="AJ1624">
        <v>80.866906801161903</v>
      </c>
      <c r="AK1624">
        <v>36.854872794166504</v>
      </c>
      <c r="AL1624">
        <v>85.136205043288797</v>
      </c>
      <c r="AM1624">
        <v>85.473309041273694</v>
      </c>
      <c r="AN1624">
        <v>1.0000000199091299</v>
      </c>
    </row>
    <row r="1625" spans="1:40" x14ac:dyDescent="0.25">
      <c r="A1625" t="str">
        <f>"20190312150659236"</f>
        <v>20190312150659236</v>
      </c>
      <c r="B1625" t="str">
        <f>"1552374419231835"</f>
        <v>1552374419231835</v>
      </c>
      <c r="C1625" t="s">
        <v>40</v>
      </c>
      <c r="D1625">
        <v>4.2272669999999897</v>
      </c>
      <c r="E1625">
        <v>0.52955759999999996</v>
      </c>
      <c r="F1625" t="s">
        <v>42</v>
      </c>
      <c r="G1625">
        <v>-214.7696</v>
      </c>
      <c r="H1625" s="1">
        <v>-3.9030989999999997E-6</v>
      </c>
      <c r="I1625">
        <v>361.58449999999999</v>
      </c>
      <c r="J1625">
        <v>-251.21600000000001</v>
      </c>
      <c r="K1625">
        <v>1.1107560000000001</v>
      </c>
      <c r="L1625">
        <v>367.28039999999999</v>
      </c>
      <c r="M1625">
        <v>0.99989399999999995</v>
      </c>
      <c r="N1625">
        <v>0</v>
      </c>
      <c r="O1625">
        <v>5.0081700000000002E-3</v>
      </c>
      <c r="P1625">
        <v>0.99471790000000004</v>
      </c>
      <c r="Q1625">
        <v>7.1177900000000002E-2</v>
      </c>
      <c r="R1625">
        <v>-7.3962130000000001E-2</v>
      </c>
      <c r="S1625">
        <v>2.9878999999999998</v>
      </c>
      <c r="T1625">
        <v>-9.07501E-2</v>
      </c>
      <c r="U1625">
        <v>-0.46530149999999998</v>
      </c>
      <c r="V1625">
        <v>7.8935229999999995E-2</v>
      </c>
      <c r="W1625">
        <v>8.4771650000000004E-2</v>
      </c>
      <c r="X1625">
        <v>0.99326879999999995</v>
      </c>
      <c r="Y1625">
        <v>0.15874730000000001</v>
      </c>
      <c r="Z1625">
        <v>-2.546988E-3</v>
      </c>
      <c r="AA1625">
        <v>0.98731599999999997</v>
      </c>
      <c r="AB1625">
        <v>22</v>
      </c>
      <c r="AC1625">
        <v>36.446399999999898</v>
      </c>
      <c r="AD1625">
        <v>-1.1107599030990001</v>
      </c>
      <c r="AE1625">
        <v>-5.6958999999999902</v>
      </c>
      <c r="AF1625">
        <v>5.8730504370411696</v>
      </c>
      <c r="AG1625">
        <v>-1.1107599030990001</v>
      </c>
      <c r="AH1625">
        <v>36.384425309300603</v>
      </c>
      <c r="AI1625">
        <v>91.726276972505403</v>
      </c>
      <c r="AJ1625">
        <v>80.830601055150098</v>
      </c>
      <c r="AK1625">
        <v>36.872115671418101</v>
      </c>
      <c r="AL1625">
        <v>85.137105801253995</v>
      </c>
      <c r="AM1625">
        <v>85.456244576879797</v>
      </c>
      <c r="AN1625">
        <v>0.999999956116156</v>
      </c>
    </row>
    <row r="1626" spans="1:40" x14ac:dyDescent="0.25">
      <c r="A1626" t="str">
        <f>"20190312150659249"</f>
        <v>20190312150659249</v>
      </c>
      <c r="B1626" t="str">
        <f>"1552374419241595"</f>
        <v>1552374419241595</v>
      </c>
      <c r="C1626" t="s">
        <v>40</v>
      </c>
      <c r="D1626">
        <v>4.2139769999999999</v>
      </c>
      <c r="E1626">
        <v>0.52965379999999995</v>
      </c>
      <c r="F1626" t="s">
        <v>42</v>
      </c>
      <c r="G1626">
        <v>-214.66229999999999</v>
      </c>
      <c r="H1626" s="1">
        <v>-3.9454670000000003E-6</v>
      </c>
      <c r="I1626">
        <v>361.5625</v>
      </c>
      <c r="J1626">
        <v>-251.0873</v>
      </c>
      <c r="K1626">
        <v>1.1107549999999999</v>
      </c>
      <c r="L1626">
        <v>367.28109999999998</v>
      </c>
      <c r="M1626">
        <v>0.99989380000000005</v>
      </c>
      <c r="N1626">
        <v>0</v>
      </c>
      <c r="O1626">
        <v>5.0574010000000004E-3</v>
      </c>
      <c r="P1626">
        <v>0.99467159999999999</v>
      </c>
      <c r="Q1626">
        <v>7.1456859999999997E-2</v>
      </c>
      <c r="R1626">
        <v>-7.4312569999999994E-2</v>
      </c>
      <c r="S1626">
        <v>2.9876860000000001</v>
      </c>
      <c r="T1626">
        <v>-9.0786809999999996E-2</v>
      </c>
      <c r="U1626">
        <v>-0.46734619999999999</v>
      </c>
      <c r="V1626">
        <v>7.9334569999999993E-2</v>
      </c>
      <c r="W1626">
        <v>8.5048159999999998E-2</v>
      </c>
      <c r="X1626">
        <v>0.99321340000000002</v>
      </c>
      <c r="Y1626">
        <v>0.15946579999999999</v>
      </c>
      <c r="Z1626">
        <v>-2.5604E-3</v>
      </c>
      <c r="AA1626">
        <v>0.98720010000000002</v>
      </c>
      <c r="AB1626">
        <v>22</v>
      </c>
      <c r="AC1626">
        <v>36.424999999999997</v>
      </c>
      <c r="AD1626">
        <v>-1.1107589454669999</v>
      </c>
      <c r="AE1626">
        <v>-5.7185999999999799</v>
      </c>
      <c r="AF1626">
        <v>5.8974077589204503</v>
      </c>
      <c r="AG1626">
        <v>-1.1107589454669999</v>
      </c>
      <c r="AH1626">
        <v>36.362609599484699</v>
      </c>
      <c r="AI1626">
        <v>91.727101867846898</v>
      </c>
      <c r="AJ1626">
        <v>80.787793789270097</v>
      </c>
      <c r="AK1626">
        <v>36.854478433352597</v>
      </c>
      <c r="AL1626">
        <v>85.121205789853903</v>
      </c>
      <c r="AM1626">
        <v>85.433100676134899</v>
      </c>
      <c r="AN1626">
        <v>1.00000001072801</v>
      </c>
    </row>
    <row r="1627" spans="1:40" x14ac:dyDescent="0.25">
      <c r="A1627" t="str">
        <f>"20190312150659262"</f>
        <v>20190312150659262</v>
      </c>
      <c r="B1627" t="str">
        <f>"1552374419252330"</f>
        <v>1552374419252330</v>
      </c>
      <c r="C1627" t="s">
        <v>40</v>
      </c>
      <c r="D1627">
        <v>4.2170860000000001</v>
      </c>
      <c r="E1627">
        <v>0.52973709999999996</v>
      </c>
      <c r="F1627" t="s">
        <v>42</v>
      </c>
      <c r="G1627">
        <v>-214.35220000000001</v>
      </c>
      <c r="H1627" s="1">
        <v>-4.0648329999999999E-6</v>
      </c>
      <c r="I1627">
        <v>361.51049999999998</v>
      </c>
      <c r="J1627">
        <v>-250.95490000000001</v>
      </c>
      <c r="K1627">
        <v>1.110754</v>
      </c>
      <c r="L1627">
        <v>367.28179999999998</v>
      </c>
      <c r="M1627">
        <v>0.99989360000000005</v>
      </c>
      <c r="N1627">
        <v>0</v>
      </c>
      <c r="O1627">
        <v>5.1080070000000003E-3</v>
      </c>
      <c r="P1627">
        <v>0.99464629999999998</v>
      </c>
      <c r="Q1627">
        <v>7.1605769999999999E-2</v>
      </c>
      <c r="R1627">
        <v>-7.4508469999999993E-2</v>
      </c>
      <c r="S1627">
        <v>2.9875029999999998</v>
      </c>
      <c r="T1627">
        <v>-9.0332979999999993E-2</v>
      </c>
      <c r="U1627">
        <v>-0.46929929999999997</v>
      </c>
      <c r="V1627">
        <v>7.9580750000000006E-2</v>
      </c>
      <c r="W1627">
        <v>8.519496E-2</v>
      </c>
      <c r="X1627">
        <v>0.99318110000000004</v>
      </c>
      <c r="Y1627">
        <v>0.1601553</v>
      </c>
      <c r="Z1627">
        <v>-2.5595119999999999E-3</v>
      </c>
      <c r="AA1627">
        <v>0.98708850000000004</v>
      </c>
      <c r="AB1627">
        <v>22</v>
      </c>
      <c r="AC1627">
        <v>36.602699999999999</v>
      </c>
      <c r="AD1627">
        <v>-1.110758064833</v>
      </c>
      <c r="AE1627">
        <v>-5.7712999999999903</v>
      </c>
      <c r="AF1627">
        <v>5.9528599879369102</v>
      </c>
      <c r="AG1627">
        <v>-1.110758064833</v>
      </c>
      <c r="AH1627">
        <v>36.539906457141299</v>
      </c>
      <c r="AI1627">
        <v>91.718526659843704</v>
      </c>
      <c r="AJ1627">
        <v>80.747008636201599</v>
      </c>
      <c r="AK1627">
        <v>37.038292204301399</v>
      </c>
      <c r="AL1627">
        <v>85.112764015803293</v>
      </c>
      <c r="AM1627">
        <v>85.418841185865702</v>
      </c>
      <c r="AN1627">
        <v>0.99999998718858696</v>
      </c>
    </row>
    <row r="1628" spans="1:40" x14ac:dyDescent="0.25">
      <c r="A1628" t="str">
        <f>"20190312150659275"</f>
        <v>20190312150659275</v>
      </c>
      <c r="B1628" t="str">
        <f>"1552374419271851"</f>
        <v>1552374419271851</v>
      </c>
      <c r="C1628" t="s">
        <v>40</v>
      </c>
      <c r="D1628">
        <v>4.1804209999999999</v>
      </c>
      <c r="E1628">
        <v>0.52989819999999999</v>
      </c>
      <c r="F1628" t="s">
        <v>42</v>
      </c>
      <c r="G1628">
        <v>-214.1858</v>
      </c>
      <c r="H1628" s="1">
        <v>-4.1277679999999996E-6</v>
      </c>
      <c r="I1628">
        <v>361.48680000000002</v>
      </c>
      <c r="J1628">
        <v>-250.82859999999999</v>
      </c>
      <c r="K1628">
        <v>1.1107579999999999</v>
      </c>
      <c r="L1628">
        <v>367.28250000000003</v>
      </c>
      <c r="M1628">
        <v>0.99989340000000004</v>
      </c>
      <c r="N1628">
        <v>0</v>
      </c>
      <c r="O1628">
        <v>5.15629E-3</v>
      </c>
      <c r="P1628">
        <v>0.99458550000000001</v>
      </c>
      <c r="Q1628">
        <v>7.1834750000000003E-2</v>
      </c>
      <c r="R1628">
        <v>-7.5097259999999999E-2</v>
      </c>
      <c r="S1628">
        <v>2.9873660000000002</v>
      </c>
      <c r="T1628">
        <v>-9.0245130000000007E-2</v>
      </c>
      <c r="U1628">
        <v>-0.4708252</v>
      </c>
      <c r="V1628">
        <v>8.0217129999999998E-2</v>
      </c>
      <c r="W1628">
        <v>8.5422070000000003E-2</v>
      </c>
      <c r="X1628">
        <v>0.99311039999999995</v>
      </c>
      <c r="Y1628">
        <v>0.16070179999999901</v>
      </c>
      <c r="Z1628">
        <v>-2.5666909999999999E-3</v>
      </c>
      <c r="AA1628">
        <v>0.98699970000000004</v>
      </c>
      <c r="AB1628">
        <v>22</v>
      </c>
      <c r="AC1628">
        <v>36.642800000000001</v>
      </c>
      <c r="AD1628">
        <v>-1.110762127768</v>
      </c>
      <c r="AE1628">
        <v>-5.7957000000000098</v>
      </c>
      <c r="AF1628">
        <v>5.9792213050232403</v>
      </c>
      <c r="AG1628">
        <v>-1.110762127768</v>
      </c>
      <c r="AH1628">
        <v>36.579633296461303</v>
      </c>
      <c r="AI1628">
        <v>91.716519398197406</v>
      </c>
      <c r="AJ1628">
        <v>80.716663566059296</v>
      </c>
      <c r="AK1628">
        <v>37.081726659131</v>
      </c>
      <c r="AL1628">
        <v>85.099703986844304</v>
      </c>
      <c r="AM1628">
        <v>85.382037718486401</v>
      </c>
      <c r="AN1628">
        <v>0.99999999228834002</v>
      </c>
    </row>
    <row r="1629" spans="1:40" x14ac:dyDescent="0.25">
      <c r="A1629" t="str">
        <f>"20190312150659288"</f>
        <v>20190312150659288</v>
      </c>
      <c r="B1629" t="str">
        <f>"1552374419281610"</f>
        <v>1552374419281610</v>
      </c>
      <c r="C1629" t="s">
        <v>40</v>
      </c>
      <c r="D1629">
        <v>4.3544790000000004</v>
      </c>
      <c r="E1629">
        <v>0.52989819999999999</v>
      </c>
      <c r="F1629" t="s">
        <v>42</v>
      </c>
      <c r="G1629">
        <v>-213.76130000000001</v>
      </c>
      <c r="H1629" s="1">
        <v>-4.2945969999999996E-6</v>
      </c>
      <c r="I1629">
        <v>361.40269999999998</v>
      </c>
      <c r="J1629">
        <v>-250.70359999999999</v>
      </c>
      <c r="K1629">
        <v>1.1107579999999999</v>
      </c>
      <c r="L1629">
        <v>367.28320000000002</v>
      </c>
      <c r="M1629">
        <v>0.99989320000000004</v>
      </c>
      <c r="N1629">
        <v>0</v>
      </c>
      <c r="O1629">
        <v>5.2042159999999898E-3</v>
      </c>
      <c r="P1629">
        <v>0.99455320000000003</v>
      </c>
      <c r="Q1629">
        <v>7.2069560000000005E-2</v>
      </c>
      <c r="R1629">
        <v>-7.5301240000000005E-2</v>
      </c>
      <c r="S1629">
        <v>2.9870299999999999</v>
      </c>
      <c r="T1629">
        <v>-8.9509489999999997E-2</v>
      </c>
      <c r="U1629">
        <v>-0.47381590000000001</v>
      </c>
      <c r="V1629">
        <v>8.0468509999999993E-2</v>
      </c>
      <c r="W1629">
        <v>8.5654389999999997E-2</v>
      </c>
      <c r="X1629">
        <v>0.99307009999999996</v>
      </c>
      <c r="Y1629">
        <v>0.16173090000000001</v>
      </c>
      <c r="Z1629">
        <v>-2.5626099999999999E-3</v>
      </c>
      <c r="AA1629">
        <v>0.98683149999999997</v>
      </c>
      <c r="AB1629">
        <v>22</v>
      </c>
      <c r="AC1629">
        <v>36.942299999999904</v>
      </c>
      <c r="AD1629">
        <v>-1.1107622945969999</v>
      </c>
      <c r="AE1629">
        <v>-5.8805000000000396</v>
      </c>
      <c r="AF1629">
        <v>6.0673443357511996</v>
      </c>
      <c r="AG1629">
        <v>-1.1107622945969999</v>
      </c>
      <c r="AH1629">
        <v>36.878676985781603</v>
      </c>
      <c r="AI1629">
        <v>91.702319752194796</v>
      </c>
      <c r="AJ1629">
        <v>80.657292629133593</v>
      </c>
      <c r="AK1629">
        <v>37.390951798333397</v>
      </c>
      <c r="AL1629">
        <v>85.086344298522206</v>
      </c>
      <c r="AM1629">
        <v>85.367441919208403</v>
      </c>
      <c r="AN1629">
        <v>1.0000000395709501</v>
      </c>
    </row>
    <row r="1630" spans="1:40" x14ac:dyDescent="0.25">
      <c r="A1630" t="str">
        <f>"20190312150659298"</f>
        <v>20190312150659298</v>
      </c>
      <c r="B1630" t="str">
        <f>"1552374419292347"</f>
        <v>1552374419292347</v>
      </c>
      <c r="C1630" t="s">
        <v>40</v>
      </c>
      <c r="D1630">
        <v>4.1778550000000001</v>
      </c>
      <c r="E1630">
        <v>0.53574049999999995</v>
      </c>
      <c r="F1630" t="s">
        <v>42</v>
      </c>
      <c r="G1630">
        <v>-213.3622</v>
      </c>
      <c r="H1630" s="1">
        <v>-4.4438389999999997E-6</v>
      </c>
      <c r="I1630">
        <v>361.35219999999998</v>
      </c>
      <c r="J1630">
        <v>-250.5949</v>
      </c>
      <c r="K1630">
        <v>1.1107590000000001</v>
      </c>
      <c r="L1630">
        <v>367.28379999999999</v>
      </c>
      <c r="M1630">
        <v>0.99989300000000003</v>
      </c>
      <c r="N1630">
        <v>0</v>
      </c>
      <c r="O1630">
        <v>5.2457650000000003E-3</v>
      </c>
      <c r="P1630">
        <v>0.99453789999999997</v>
      </c>
      <c r="Q1630">
        <v>7.1934609999999996E-2</v>
      </c>
      <c r="R1630">
        <v>-7.5631130000000005E-2</v>
      </c>
      <c r="S1630">
        <v>2.9869539999999999</v>
      </c>
      <c r="T1630">
        <v>-8.8850139999999994E-2</v>
      </c>
      <c r="U1630">
        <v>-0.47442630000000002</v>
      </c>
      <c r="V1630">
        <v>8.0839720000000004E-2</v>
      </c>
      <c r="W1630">
        <v>8.5518040000000003E-2</v>
      </c>
      <c r="X1630">
        <v>0.99305160000000003</v>
      </c>
      <c r="Y1630">
        <v>0.16197339999999999</v>
      </c>
      <c r="Z1630">
        <v>-2.5485769999999998E-3</v>
      </c>
      <c r="AA1630">
        <v>0.9867918</v>
      </c>
      <c r="AB1630">
        <v>22</v>
      </c>
      <c r="AC1630">
        <v>37.232700000000001</v>
      </c>
      <c r="AD1630">
        <v>-1.1107634438389999</v>
      </c>
      <c r="AE1630">
        <v>-5.9316000000000004</v>
      </c>
      <c r="AF1630">
        <v>6.1215372131447996</v>
      </c>
      <c r="AG1630">
        <v>-1.1107634438389999</v>
      </c>
      <c r="AH1630">
        <v>37.168807193033899</v>
      </c>
      <c r="AI1630">
        <v>91.688994332605802</v>
      </c>
      <c r="AJ1630">
        <v>80.647597010921899</v>
      </c>
      <c r="AK1630">
        <v>37.685902422962101</v>
      </c>
      <c r="AL1630">
        <v>85.094184848277195</v>
      </c>
      <c r="AM1630">
        <v>85.346078762758793</v>
      </c>
      <c r="AN1630">
        <v>0.99999993787883801</v>
      </c>
    </row>
    <row r="1631" spans="1:40" x14ac:dyDescent="0.25">
      <c r="A1631" t="str">
        <f>"20190312150659309"</f>
        <v>20190312150659309</v>
      </c>
      <c r="B1631" t="str">
        <f>"1552374419302107"</f>
        <v>1552374419302107</v>
      </c>
      <c r="C1631" t="s">
        <v>40</v>
      </c>
      <c r="D1631">
        <v>4.1908500000000002</v>
      </c>
      <c r="E1631">
        <v>0.53577889999999995</v>
      </c>
      <c r="F1631" t="s">
        <v>47</v>
      </c>
      <c r="G1631">
        <v>-158.78319999999999</v>
      </c>
      <c r="H1631">
        <v>1.3613379999999999</v>
      </c>
      <c r="I1631">
        <v>351.29509999999999</v>
      </c>
      <c r="J1631">
        <v>-250.48679999999999</v>
      </c>
      <c r="K1631">
        <v>1.1107590000000001</v>
      </c>
      <c r="L1631">
        <v>367.28449999999998</v>
      </c>
      <c r="M1631">
        <v>0.99989280000000003</v>
      </c>
      <c r="N1631">
        <v>0</v>
      </c>
      <c r="O1631">
        <v>5.2873149999999999E-3</v>
      </c>
      <c r="P1631">
        <v>0.99449739999999998</v>
      </c>
      <c r="Q1631">
        <v>7.2129199999999893E-2</v>
      </c>
      <c r="R1631">
        <v>-7.5978260000000006E-2</v>
      </c>
      <c r="S1631">
        <v>2.9764560000000002</v>
      </c>
      <c r="T1631">
        <v>8.1263780000000001E-3</v>
      </c>
      <c r="U1631">
        <v>-0.5183411</v>
      </c>
      <c r="V1631">
        <v>8.1227900000000006E-2</v>
      </c>
      <c r="W1631">
        <v>8.5710919999999996E-2</v>
      </c>
      <c r="X1631">
        <v>0.99300339999999998</v>
      </c>
      <c r="Y1631">
        <v>0.17677129999999999</v>
      </c>
      <c r="Z1631">
        <v>2.538401E-4</v>
      </c>
      <c r="AA1631">
        <v>0.98425189999999996</v>
      </c>
      <c r="AB1631">
        <v>22</v>
      </c>
      <c r="AC1631">
        <v>91.703599999999994</v>
      </c>
      <c r="AD1631">
        <v>0.250578999999999</v>
      </c>
      <c r="AE1631">
        <v>-15.9893999999999</v>
      </c>
      <c r="AF1631">
        <v>16.473968109297498</v>
      </c>
      <c r="AG1631">
        <v>0.250578999999999</v>
      </c>
      <c r="AH1631">
        <v>91.617105181010302</v>
      </c>
      <c r="AI1631">
        <v>89.845766104836102</v>
      </c>
      <c r="AJ1631">
        <v>79.806391607821993</v>
      </c>
      <c r="AK1631">
        <v>93.086778743544997</v>
      </c>
      <c r="AL1631">
        <v>85.083093429832502</v>
      </c>
      <c r="AM1631">
        <v>85.323604239558406</v>
      </c>
      <c r="AN1631">
        <v>1.0000000429786</v>
      </c>
    </row>
    <row r="1632" spans="1:40" x14ac:dyDescent="0.25">
      <c r="A1632" t="str">
        <f>"20190312150659320"</f>
        <v>20190312150659320</v>
      </c>
      <c r="B1632" t="str">
        <f>"1552374419311867"</f>
        <v>1552374419311867</v>
      </c>
      <c r="C1632" t="s">
        <v>40</v>
      </c>
      <c r="D1632">
        <v>4.2198650000000004</v>
      </c>
      <c r="E1632">
        <v>0.53564599999999996</v>
      </c>
      <c r="F1632" t="s">
        <v>47</v>
      </c>
      <c r="G1632">
        <v>-158.78319999999999</v>
      </c>
      <c r="H1632">
        <v>1.1591359999999999</v>
      </c>
      <c r="I1632">
        <v>351.2749</v>
      </c>
      <c r="J1632">
        <v>-250.37309999999999</v>
      </c>
      <c r="K1632">
        <v>1.110752</v>
      </c>
      <c r="L1632">
        <v>367.2851</v>
      </c>
      <c r="M1632">
        <v>0.99989260000000002</v>
      </c>
      <c r="N1632">
        <v>0</v>
      </c>
      <c r="O1632">
        <v>5.3308309999999899E-3</v>
      </c>
      <c r="P1632">
        <v>0.99447969999999997</v>
      </c>
      <c r="Q1632">
        <v>7.2282869999999999E-2</v>
      </c>
      <c r="R1632">
        <v>-7.606301E-2</v>
      </c>
      <c r="S1632">
        <v>2.9767760000000001</v>
      </c>
      <c r="T1632">
        <v>1.573205E-3</v>
      </c>
      <c r="U1632">
        <v>-0.51968380000000003</v>
      </c>
      <c r="V1632">
        <v>8.1355960000000005E-2</v>
      </c>
      <c r="W1632">
        <v>8.5862949999999993E-2</v>
      </c>
      <c r="X1632">
        <v>0.99297979999999997</v>
      </c>
      <c r="Y1632">
        <v>0.17722779999999999</v>
      </c>
      <c r="Z1632" s="1">
        <v>4.9277019999999997E-5</v>
      </c>
      <c r="AA1632">
        <v>0.98416979999999998</v>
      </c>
      <c r="AB1632">
        <v>22</v>
      </c>
      <c r="AC1632">
        <v>91.5899</v>
      </c>
      <c r="AD1632">
        <v>4.8384000000000198E-2</v>
      </c>
      <c r="AE1632">
        <v>-16.010199999999902</v>
      </c>
      <c r="AF1632">
        <v>16.4982637837096</v>
      </c>
      <c r="AG1632">
        <v>4.8384000000000198E-2</v>
      </c>
      <c r="AH1632">
        <v>91.503217955174193</v>
      </c>
      <c r="AI1632">
        <v>89.970184570487206</v>
      </c>
      <c r="AJ1632">
        <v>79.779236195208199</v>
      </c>
      <c r="AK1632">
        <v>92.978674678876999</v>
      </c>
      <c r="AL1632">
        <v>85.074350610206906</v>
      </c>
      <c r="AM1632">
        <v>85.316153611969199</v>
      </c>
      <c r="AN1632">
        <v>1.00000006080913</v>
      </c>
    </row>
    <row r="1633" spans="1:40" x14ac:dyDescent="0.25">
      <c r="A1633" t="str">
        <f>"20190312150659332"</f>
        <v>20190312150659332</v>
      </c>
      <c r="B1633" t="str">
        <f>"1552374419321627"</f>
        <v>1552374419321627</v>
      </c>
      <c r="C1633" t="s">
        <v>40</v>
      </c>
      <c r="D1633">
        <v>4.1658489999999997</v>
      </c>
      <c r="E1633">
        <v>0.53543879999999999</v>
      </c>
      <c r="F1633" t="s">
        <v>47</v>
      </c>
      <c r="G1633">
        <v>-158.78319999999999</v>
      </c>
      <c r="H1633">
        <v>1.209808</v>
      </c>
      <c r="I1633">
        <v>351.31189999999998</v>
      </c>
      <c r="J1633">
        <v>-250.26849999999999</v>
      </c>
      <c r="K1633">
        <v>1.1107530000000001</v>
      </c>
      <c r="L1633">
        <v>367.28570000000002</v>
      </c>
      <c r="M1633">
        <v>0.99989240000000001</v>
      </c>
      <c r="N1633">
        <v>0</v>
      </c>
      <c r="O1633">
        <v>5.3710099999999998E-3</v>
      </c>
      <c r="P1633">
        <v>0.9945117</v>
      </c>
      <c r="Q1633">
        <v>7.1944339999999996E-2</v>
      </c>
      <c r="R1633">
        <v>-7.5965370000000004E-2</v>
      </c>
      <c r="S1633">
        <v>2.9767000000000001</v>
      </c>
      <c r="T1633">
        <v>3.2222269999999998E-3</v>
      </c>
      <c r="U1633">
        <v>-0.51913450000000005</v>
      </c>
      <c r="V1633">
        <v>8.1298590000000004E-2</v>
      </c>
      <c r="W1633">
        <v>8.5524210000000003E-2</v>
      </c>
      <c r="X1633">
        <v>0.9930137</v>
      </c>
      <c r="Y1633">
        <v>0.17709520000000001</v>
      </c>
      <c r="Z1633">
        <v>1.00905E-4</v>
      </c>
      <c r="AA1633">
        <v>0.98419369999999995</v>
      </c>
      <c r="AB1633">
        <v>22</v>
      </c>
      <c r="AC1633">
        <v>91.485299999999995</v>
      </c>
      <c r="AD1633">
        <v>9.9054999999999893E-2</v>
      </c>
      <c r="AE1633">
        <v>-15.973800000000001</v>
      </c>
      <c r="AF1633">
        <v>16.4649650685067</v>
      </c>
      <c r="AG1633">
        <v>9.9054999999999893E-2</v>
      </c>
      <c r="AH1633">
        <v>91.398072759059204</v>
      </c>
      <c r="AI1633">
        <v>89.938887957186495</v>
      </c>
      <c r="AJ1633">
        <v>79.787943345646795</v>
      </c>
      <c r="AK1633">
        <v>92.869330732327697</v>
      </c>
      <c r="AL1633">
        <v>85.093830485515497</v>
      </c>
      <c r="AM1633">
        <v>85.319600929688093</v>
      </c>
      <c r="AN1633">
        <v>1.0000000298099001</v>
      </c>
    </row>
    <row r="1634" spans="1:40" x14ac:dyDescent="0.25">
      <c r="A1634" t="str">
        <f>"20190312150659343"</f>
        <v>20190312150659343</v>
      </c>
      <c r="B1634" t="str">
        <f>"1552374419332363"</f>
        <v>1552374419332363</v>
      </c>
      <c r="C1634" t="s">
        <v>40</v>
      </c>
      <c r="D1634">
        <v>4.2110349999999999</v>
      </c>
      <c r="E1634">
        <v>0.53535100000000002</v>
      </c>
      <c r="F1634" t="s">
        <v>47</v>
      </c>
      <c r="G1634">
        <v>-158.78319999999999</v>
      </c>
      <c r="H1634">
        <v>1.0916650000000001</v>
      </c>
      <c r="I1634">
        <v>351.39370000000002</v>
      </c>
      <c r="J1634">
        <v>-250.15039999999999</v>
      </c>
      <c r="K1634">
        <v>1.110754</v>
      </c>
      <c r="L1634">
        <v>367.28640000000001</v>
      </c>
      <c r="M1634">
        <v>0.99989220000000001</v>
      </c>
      <c r="N1634">
        <v>0</v>
      </c>
      <c r="O1634">
        <v>5.4162560000000004E-3</v>
      </c>
      <c r="P1634">
        <v>0.99451929999999999</v>
      </c>
      <c r="Q1634">
        <v>7.1785740000000001E-2</v>
      </c>
      <c r="R1634">
        <v>-7.6016940000000005E-2</v>
      </c>
      <c r="S1634">
        <v>2.9770810000000001</v>
      </c>
      <c r="T1634">
        <v>-6.1821939999999996E-4</v>
      </c>
      <c r="U1634">
        <v>-0.51715089999999997</v>
      </c>
      <c r="V1634">
        <v>8.1394960000000002E-2</v>
      </c>
      <c r="W1634">
        <v>8.5363620000000001E-2</v>
      </c>
      <c r="X1634">
        <v>0.9930196</v>
      </c>
      <c r="Y1634">
        <v>0.176482</v>
      </c>
      <c r="Z1634" s="1">
        <v>-1.9304509999999999E-5</v>
      </c>
      <c r="AA1634">
        <v>0.98430390000000001</v>
      </c>
      <c r="AB1634">
        <v>22</v>
      </c>
      <c r="AC1634">
        <v>91.367199999999997</v>
      </c>
      <c r="AD1634">
        <v>-1.9089000000000099E-2</v>
      </c>
      <c r="AE1634">
        <v>-15.8926999999999</v>
      </c>
      <c r="AF1634">
        <v>16.387380384662801</v>
      </c>
      <c r="AG1634">
        <v>-1.9089000000000099E-2</v>
      </c>
      <c r="AH1634">
        <v>91.279768757806195</v>
      </c>
      <c r="AI1634">
        <v>90.011793504663103</v>
      </c>
      <c r="AJ1634">
        <v>79.822158831667096</v>
      </c>
      <c r="AK1634">
        <v>92.739111407971293</v>
      </c>
      <c r="AL1634">
        <v>85.103065272544498</v>
      </c>
      <c r="AM1634">
        <v>85.314105271731407</v>
      </c>
      <c r="AN1634">
        <v>1.0000000065585299</v>
      </c>
    </row>
    <row r="1635" spans="1:40" x14ac:dyDescent="0.25">
      <c r="A1635" t="str">
        <f>"20190312150659354"</f>
        <v>20190312150659354</v>
      </c>
      <c r="B1635" t="str">
        <f>"1552374419351882"</f>
        <v>1552374419351882</v>
      </c>
      <c r="C1635" t="s">
        <v>40</v>
      </c>
      <c r="D1635">
        <v>4.4098540000000002</v>
      </c>
      <c r="E1635">
        <v>0.53522879999999995</v>
      </c>
      <c r="F1635" t="s">
        <v>47</v>
      </c>
      <c r="G1635">
        <v>-158.78319999999999</v>
      </c>
      <c r="H1635">
        <v>1.0520969999999901</v>
      </c>
      <c r="I1635">
        <v>351.42559999999997</v>
      </c>
      <c r="J1635">
        <v>-250.04259999999999</v>
      </c>
      <c r="K1635">
        <v>1.1107530000000001</v>
      </c>
      <c r="L1635">
        <v>367.28699999999998</v>
      </c>
      <c r="M1635">
        <v>0.99989189999999994</v>
      </c>
      <c r="N1635">
        <v>0</v>
      </c>
      <c r="O1635">
        <v>5.4576299999999998E-3</v>
      </c>
      <c r="P1635">
        <v>0.99451319999999999</v>
      </c>
      <c r="Q1635">
        <v>7.165502E-2</v>
      </c>
      <c r="R1635">
        <v>-7.6220800000000005E-2</v>
      </c>
      <c r="S1635">
        <v>2.9771580000000002</v>
      </c>
      <c r="T1635">
        <v>-1.9084219999999999E-3</v>
      </c>
      <c r="U1635">
        <v>-0.51681520000000003</v>
      </c>
      <c r="V1635">
        <v>8.1640009999999999E-2</v>
      </c>
      <c r="W1635">
        <v>8.523203E-2</v>
      </c>
      <c r="X1635">
        <v>0.99301079999999997</v>
      </c>
      <c r="Y1635">
        <v>0.1764107</v>
      </c>
      <c r="Z1635" s="1">
        <v>-5.9595039999999997E-5</v>
      </c>
      <c r="AA1635">
        <v>0.98431659999999999</v>
      </c>
      <c r="AB1635">
        <v>22</v>
      </c>
      <c r="AC1635">
        <v>91.259399999999999</v>
      </c>
      <c r="AD1635">
        <v>-5.8656000000000201E-2</v>
      </c>
      <c r="AE1635">
        <v>-15.8614</v>
      </c>
      <c r="AF1635">
        <v>16.359263638033902</v>
      </c>
      <c r="AG1635">
        <v>-5.8656000000000201E-2</v>
      </c>
      <c r="AH1635">
        <v>91.171430341378098</v>
      </c>
      <c r="AI1635">
        <v>90.036282319049405</v>
      </c>
      <c r="AJ1635">
        <v>79.827435443157896</v>
      </c>
      <c r="AK1635">
        <v>92.627526458379506</v>
      </c>
      <c r="AL1635">
        <v>85.110632466180405</v>
      </c>
      <c r="AM1635">
        <v>85.300019424010799</v>
      </c>
      <c r="AN1635">
        <v>1.00000001954368</v>
      </c>
    </row>
    <row r="1636" spans="1:40" x14ac:dyDescent="0.25">
      <c r="A1636" t="str">
        <f>"20190312150659365"</f>
        <v>20190312150659365</v>
      </c>
      <c r="B1636" t="str">
        <f>"1552374419361643"</f>
        <v>1552374419361643</v>
      </c>
      <c r="C1636" t="s">
        <v>40</v>
      </c>
      <c r="D1636">
        <v>4.1920019999999996</v>
      </c>
      <c r="E1636">
        <v>0.53517169999999903</v>
      </c>
      <c r="F1636" t="s">
        <v>47</v>
      </c>
      <c r="G1636">
        <v>-158.78319999999999</v>
      </c>
      <c r="H1636">
        <v>1.021488</v>
      </c>
      <c r="I1636">
        <v>351.45359999999999</v>
      </c>
      <c r="J1636">
        <v>-249.93180000000001</v>
      </c>
      <c r="K1636">
        <v>1.1107499999999999</v>
      </c>
      <c r="L1636">
        <v>367.28769999999997</v>
      </c>
      <c r="M1636">
        <v>0.9998918</v>
      </c>
      <c r="N1636">
        <v>0</v>
      </c>
      <c r="O1636">
        <v>5.5001959999999997E-3</v>
      </c>
      <c r="P1636">
        <v>0.99451690000000004</v>
      </c>
      <c r="Q1636">
        <v>7.1372980000000003E-2</v>
      </c>
      <c r="R1636">
        <v>-7.6433199999999896E-2</v>
      </c>
      <c r="S1636">
        <v>2.9771879999999999</v>
      </c>
      <c r="T1636">
        <v>-2.909184E-3</v>
      </c>
      <c r="U1636">
        <v>-0.51654049999999996</v>
      </c>
      <c r="V1636">
        <v>8.1894910000000001E-2</v>
      </c>
      <c r="W1636">
        <v>8.4948869999999996E-2</v>
      </c>
      <c r="X1636">
        <v>0.99301399999999995</v>
      </c>
      <c r="Y1636">
        <v>0.17636270000000001</v>
      </c>
      <c r="Z1636" s="1">
        <v>-9.0864050000000006E-5</v>
      </c>
      <c r="AA1636">
        <v>0.98432520000000001</v>
      </c>
      <c r="AB1636">
        <v>22</v>
      </c>
      <c r="AC1636">
        <v>91.148600000000002</v>
      </c>
      <c r="AD1636">
        <v>-8.9261999999999897E-2</v>
      </c>
      <c r="AE1636">
        <v>-15.8340999999999</v>
      </c>
      <c r="AF1636">
        <v>16.335227068607999</v>
      </c>
      <c r="AG1636">
        <v>-8.9261999999999897E-2</v>
      </c>
      <c r="AH1636">
        <v>91.060037480774099</v>
      </c>
      <c r="AI1636">
        <v>90.055281959876893</v>
      </c>
      <c r="AJ1636">
        <v>79.829903595113706</v>
      </c>
      <c r="AK1636">
        <v>92.513664056114493</v>
      </c>
      <c r="AL1636">
        <v>85.126915031552102</v>
      </c>
      <c r="AM1636">
        <v>85.285426111188997</v>
      </c>
      <c r="AN1636">
        <v>0.99999994549709104</v>
      </c>
    </row>
    <row r="1637" spans="1:40" x14ac:dyDescent="0.25">
      <c r="A1637" t="str">
        <f>"20190312150659376"</f>
        <v>20190312150659376</v>
      </c>
      <c r="B1637" t="str">
        <f>"1552374419371403"</f>
        <v>1552374419371403</v>
      </c>
      <c r="C1637" t="s">
        <v>40</v>
      </c>
      <c r="D1637">
        <v>4.1704679999999996</v>
      </c>
      <c r="E1637">
        <v>0.53508719999999999</v>
      </c>
      <c r="F1637" t="s">
        <v>47</v>
      </c>
      <c r="G1637">
        <v>-158.78319999999999</v>
      </c>
      <c r="H1637">
        <v>0.97112270000000001</v>
      </c>
      <c r="I1637">
        <v>351.46100000000001</v>
      </c>
      <c r="J1637">
        <v>-249.8296</v>
      </c>
      <c r="K1637">
        <v>1.1107499999999999</v>
      </c>
      <c r="L1637">
        <v>367.28820000000002</v>
      </c>
      <c r="M1637">
        <v>0.99989139999999999</v>
      </c>
      <c r="N1637">
        <v>0</v>
      </c>
      <c r="O1637">
        <v>5.5397190000000002E-3</v>
      </c>
      <c r="P1637">
        <v>0.99452839999999998</v>
      </c>
      <c r="Q1637">
        <v>7.1369189999999999E-2</v>
      </c>
      <c r="R1637">
        <v>-7.6286889999999996E-2</v>
      </c>
      <c r="S1637">
        <v>2.9771420000000002</v>
      </c>
      <c r="T1637">
        <v>-4.5577289999999999E-3</v>
      </c>
      <c r="U1637">
        <v>-0.51693729999999904</v>
      </c>
      <c r="V1637">
        <v>8.1787750000000006E-2</v>
      </c>
      <c r="W1637">
        <v>8.4944110000000003E-2</v>
      </c>
      <c r="X1637">
        <v>0.99302330000000005</v>
      </c>
      <c r="Y1637">
        <v>0.176531299999999</v>
      </c>
      <c r="Z1637">
        <v>-1.4254259999999999E-4</v>
      </c>
      <c r="AA1637">
        <v>0.98429500000000003</v>
      </c>
      <c r="AB1637">
        <v>22</v>
      </c>
      <c r="AC1637">
        <v>91.046400000000006</v>
      </c>
      <c r="AD1637">
        <v>-0.13962729999999901</v>
      </c>
      <c r="AE1637">
        <v>-15.827199999999999</v>
      </c>
      <c r="AF1637">
        <v>16.331338324845099</v>
      </c>
      <c r="AG1637">
        <v>-0.13962729999999901</v>
      </c>
      <c r="AH1637">
        <v>90.957108627567706</v>
      </c>
      <c r="AI1637">
        <v>90.086569725477304</v>
      </c>
      <c r="AJ1637">
        <v>79.821008606648903</v>
      </c>
      <c r="AK1637">
        <v>92.411729326696403</v>
      </c>
      <c r="AL1637">
        <v>85.127189044885895</v>
      </c>
      <c r="AM1637">
        <v>85.291611304015504</v>
      </c>
      <c r="AN1637">
        <v>1.0000000061083201</v>
      </c>
    </row>
    <row r="1638" spans="1:40" x14ac:dyDescent="0.25">
      <c r="A1638" t="str">
        <f>"20190312150659387"</f>
        <v>20190312150659387</v>
      </c>
      <c r="B1638" t="str">
        <f>"1552374419382139"</f>
        <v>1552374419382139</v>
      </c>
      <c r="C1638" t="s">
        <v>40</v>
      </c>
      <c r="D1638">
        <v>4.1984300000000001</v>
      </c>
      <c r="E1638">
        <v>0.53506409999999904</v>
      </c>
      <c r="F1638" t="s">
        <v>47</v>
      </c>
      <c r="G1638">
        <v>-158.78319999999999</v>
      </c>
      <c r="H1638">
        <v>0.94341090000000005</v>
      </c>
      <c r="I1638">
        <v>351.5215</v>
      </c>
      <c r="J1638">
        <v>-249.71420000000001</v>
      </c>
      <c r="K1638">
        <v>1.110751</v>
      </c>
      <c r="L1638">
        <v>367.28899999999999</v>
      </c>
      <c r="M1638">
        <v>0.99989130000000004</v>
      </c>
      <c r="N1638">
        <v>0</v>
      </c>
      <c r="O1638">
        <v>5.58407E-3</v>
      </c>
      <c r="P1638">
        <v>0.99453119999999995</v>
      </c>
      <c r="Q1638">
        <v>7.1190569999999995E-2</v>
      </c>
      <c r="R1638">
        <v>-7.6418299999999995E-2</v>
      </c>
      <c r="S1638">
        <v>2.977341</v>
      </c>
      <c r="T1638">
        <v>-5.4693220000000004E-3</v>
      </c>
      <c r="U1638">
        <v>-0.51559449999999996</v>
      </c>
      <c r="V1638">
        <v>8.1963350000000004E-2</v>
      </c>
      <c r="W1638">
        <v>8.4764060000000002E-2</v>
      </c>
      <c r="X1638">
        <v>0.99302420000000002</v>
      </c>
      <c r="Y1638">
        <v>0.17613290000000001</v>
      </c>
      <c r="Z1638">
        <v>-1.7076560000000001E-4</v>
      </c>
      <c r="AA1638">
        <v>0.98436639999999997</v>
      </c>
      <c r="AB1638">
        <v>22</v>
      </c>
      <c r="AC1638">
        <v>90.930999999999997</v>
      </c>
      <c r="AD1638">
        <v>-0.16734009999999999</v>
      </c>
      <c r="AE1638">
        <v>-15.767499999999901</v>
      </c>
      <c r="AF1638">
        <v>16.2750129632057</v>
      </c>
      <c r="AG1638">
        <v>-0.16734009999999999</v>
      </c>
      <c r="AH1638">
        <v>90.841228333590607</v>
      </c>
      <c r="AI1638">
        <v>90.103891193223902</v>
      </c>
      <c r="AJ1638">
        <v>79.842713157653506</v>
      </c>
      <c r="AK1638">
        <v>92.287771751284197</v>
      </c>
      <c r="AL1638">
        <v>85.137542457116496</v>
      </c>
      <c r="AM1638">
        <v>85.281552147989999</v>
      </c>
      <c r="AN1638">
        <v>0.99999999919827298</v>
      </c>
    </row>
    <row r="1639" spans="1:40" x14ac:dyDescent="0.25">
      <c r="A1639" t="str">
        <f>"20190312150659399"</f>
        <v>20190312150659399</v>
      </c>
      <c r="B1639" t="str">
        <f>"1552374419391900"</f>
        <v>1552374419391900</v>
      </c>
      <c r="C1639" t="s">
        <v>40</v>
      </c>
      <c r="D1639">
        <v>4.1896380000000004</v>
      </c>
      <c r="E1639">
        <v>0.53501339999999997</v>
      </c>
      <c r="F1639" t="s">
        <v>47</v>
      </c>
      <c r="G1639">
        <v>-158.78319999999999</v>
      </c>
      <c r="H1639">
        <v>0.94470790000000004</v>
      </c>
      <c r="I1639">
        <v>351.53609999999998</v>
      </c>
      <c r="J1639">
        <v>-249.58940000000001</v>
      </c>
      <c r="K1639">
        <v>1.1107499999999999</v>
      </c>
      <c r="L1639">
        <v>367.28969999999998</v>
      </c>
      <c r="M1639">
        <v>0.99989099999999997</v>
      </c>
      <c r="N1639">
        <v>0</v>
      </c>
      <c r="O1639">
        <v>5.6321770000000004E-3</v>
      </c>
      <c r="P1639">
        <v>0.99453119999999995</v>
      </c>
      <c r="Q1639">
        <v>7.1175130000000003E-2</v>
      </c>
      <c r="R1639">
        <v>-7.6433109999999999E-2</v>
      </c>
      <c r="S1639">
        <v>2.9772340000000002</v>
      </c>
      <c r="T1639">
        <v>-5.4336790000000003E-3</v>
      </c>
      <c r="U1639">
        <v>-0.51577759999999995</v>
      </c>
      <c r="V1639">
        <v>8.202603E-2</v>
      </c>
      <c r="W1639">
        <v>8.4746950000000001E-2</v>
      </c>
      <c r="X1639">
        <v>0.99302049999999997</v>
      </c>
      <c r="Y1639">
        <v>0.17624500000000001</v>
      </c>
      <c r="Z1639">
        <v>-1.6984650000000001E-4</v>
      </c>
      <c r="AA1639">
        <v>0.98434630000000001</v>
      </c>
      <c r="AB1639">
        <v>22</v>
      </c>
      <c r="AC1639">
        <v>90.806200000000004</v>
      </c>
      <c r="AD1639">
        <v>-0.166042099999999</v>
      </c>
      <c r="AE1639">
        <v>-15.7536</v>
      </c>
      <c r="AF1639">
        <v>16.2647815248767</v>
      </c>
      <c r="AG1639">
        <v>-0.166042099999999</v>
      </c>
      <c r="AH1639">
        <v>90.715729692587203</v>
      </c>
      <c r="AI1639">
        <v>90.103225536165496</v>
      </c>
      <c r="AJ1639">
        <v>79.835215203037293</v>
      </c>
      <c r="AK1639">
        <v>92.162434330314298</v>
      </c>
      <c r="AL1639">
        <v>85.138526401567006</v>
      </c>
      <c r="AM1639">
        <v>85.277942595790606</v>
      </c>
      <c r="AN1639">
        <v>1.0000000142760499</v>
      </c>
    </row>
    <row r="1640" spans="1:40" x14ac:dyDescent="0.25">
      <c r="A1640" t="str">
        <f>"20190312150659411"</f>
        <v>20190312150659411</v>
      </c>
      <c r="B1640" t="str">
        <f>"1552374419401659"</f>
        <v>1552374419401659</v>
      </c>
      <c r="C1640" t="s">
        <v>40</v>
      </c>
      <c r="D1640">
        <v>4.1846639999999997</v>
      </c>
      <c r="E1640">
        <v>0.53501730000000003</v>
      </c>
      <c r="F1640" t="s">
        <v>47</v>
      </c>
      <c r="G1640">
        <v>-158.78319999999999</v>
      </c>
      <c r="H1640">
        <v>0.95092010000000005</v>
      </c>
      <c r="I1640">
        <v>351.56880000000001</v>
      </c>
      <c r="J1640">
        <v>-249.48400000000001</v>
      </c>
      <c r="K1640">
        <v>1.1107499999999999</v>
      </c>
      <c r="L1640">
        <v>367.2903</v>
      </c>
      <c r="M1640">
        <v>0.99989070000000002</v>
      </c>
      <c r="N1640">
        <v>0</v>
      </c>
      <c r="O1640">
        <v>5.6730089999999997E-3</v>
      </c>
      <c r="P1640">
        <v>0.99450510000000003</v>
      </c>
      <c r="Q1640">
        <v>7.1385820000000003E-2</v>
      </c>
      <c r="R1640">
        <v>-7.6576199999999997E-2</v>
      </c>
      <c r="S1640">
        <v>2.9772639999999999</v>
      </c>
      <c r="T1640">
        <v>-5.2374600000000002E-3</v>
      </c>
      <c r="U1640">
        <v>-0.51544190000000001</v>
      </c>
      <c r="V1640">
        <v>8.2209480000000001E-2</v>
      </c>
      <c r="W1640">
        <v>8.4956939999999995E-2</v>
      </c>
      <c r="X1640">
        <v>0.99298739999999996</v>
      </c>
      <c r="Y1640">
        <v>0.17617579999999999</v>
      </c>
      <c r="Z1640">
        <v>-1.6372390000000001E-4</v>
      </c>
      <c r="AA1640">
        <v>0.98435870000000003</v>
      </c>
      <c r="AB1640">
        <v>22</v>
      </c>
      <c r="AC1640">
        <v>90.700800000000001</v>
      </c>
      <c r="AD1640">
        <v>-0.159829899999999</v>
      </c>
      <c r="AE1640">
        <v>-15.721499999999899</v>
      </c>
      <c r="AF1640">
        <v>16.2357924411358</v>
      </c>
      <c r="AG1640">
        <v>-0.159829899999999</v>
      </c>
      <c r="AH1640">
        <v>90.609870520465506</v>
      </c>
      <c r="AI1640">
        <v>90.099481519631993</v>
      </c>
      <c r="AJ1640">
        <v>79.841347348539401</v>
      </c>
      <c r="AK1640">
        <v>92.053110417432904</v>
      </c>
      <c r="AL1640">
        <v>85.126451382058704</v>
      </c>
      <c r="AM1640">
        <v>85.267272662699796</v>
      </c>
      <c r="AN1640">
        <v>1.00000002840739</v>
      </c>
    </row>
    <row r="1641" spans="1:40" x14ac:dyDescent="0.25">
      <c r="A1641" t="str">
        <f>"20190312150659423"</f>
        <v>20190312150659423</v>
      </c>
      <c r="B1641" t="str">
        <f>"1552374419412395"</f>
        <v>1552374419412395</v>
      </c>
      <c r="C1641" t="s">
        <v>40</v>
      </c>
      <c r="D1641">
        <v>4.2069130000000001</v>
      </c>
      <c r="E1641">
        <v>0.53498970000000001</v>
      </c>
      <c r="F1641" t="s">
        <v>47</v>
      </c>
      <c r="G1641">
        <v>-158.78319999999999</v>
      </c>
      <c r="H1641">
        <v>0.93537709999999996</v>
      </c>
      <c r="I1641">
        <v>351.57659999999998</v>
      </c>
      <c r="J1641">
        <v>-249.3604</v>
      </c>
      <c r="K1641">
        <v>1.110754</v>
      </c>
      <c r="L1641">
        <v>367.29109999999997</v>
      </c>
      <c r="M1641">
        <v>0.99989039999999996</v>
      </c>
      <c r="N1641">
        <v>0</v>
      </c>
      <c r="O1641">
        <v>5.7209339999999996E-3</v>
      </c>
      <c r="P1641">
        <v>0.99449200000000004</v>
      </c>
      <c r="Q1641">
        <v>7.1359110000000003E-2</v>
      </c>
      <c r="R1641">
        <v>-7.6771039999999999E-2</v>
      </c>
      <c r="S1641">
        <v>2.9772799999999999</v>
      </c>
      <c r="T1641">
        <v>-5.7537559999999996E-3</v>
      </c>
      <c r="U1641">
        <v>-0.51580809999999999</v>
      </c>
      <c r="V1641">
        <v>8.2452059999999994E-2</v>
      </c>
      <c r="W1641">
        <v>8.4927959999999997E-2</v>
      </c>
      <c r="X1641">
        <v>0.99296980000000001</v>
      </c>
      <c r="Y1641">
        <v>0.17633960000000001</v>
      </c>
      <c r="Z1641">
        <v>-1.80109599999999E-4</v>
      </c>
      <c r="AA1641">
        <v>0.98432940000000002</v>
      </c>
      <c r="AB1641">
        <v>22</v>
      </c>
      <c r="AC1641">
        <v>90.577200000000005</v>
      </c>
      <c r="AD1641">
        <v>-0.175376899999999</v>
      </c>
      <c r="AE1641">
        <v>-15.7144999999999</v>
      </c>
      <c r="AF1641">
        <v>16.232418213423099</v>
      </c>
      <c r="AG1641">
        <v>-0.175376899999999</v>
      </c>
      <c r="AH1641">
        <v>90.485478145701506</v>
      </c>
      <c r="AI1641">
        <v>90.109304372736702</v>
      </c>
      <c r="AJ1641">
        <v>79.829743398432797</v>
      </c>
      <c r="AK1641">
        <v>91.930103412150899</v>
      </c>
      <c r="AL1641">
        <v>85.128118001290204</v>
      </c>
      <c r="AM1641">
        <v>85.253287513995602</v>
      </c>
      <c r="AN1641">
        <v>1.00000006215002</v>
      </c>
    </row>
    <row r="1642" spans="1:40" x14ac:dyDescent="0.25">
      <c r="A1642" t="str">
        <f>"20190312150659437"</f>
        <v>20190312150659437</v>
      </c>
      <c r="B1642" t="str">
        <f>"1552374419431916"</f>
        <v>1552374419431916</v>
      </c>
      <c r="C1642" t="s">
        <v>40</v>
      </c>
      <c r="D1642">
        <v>4.1585159999999997</v>
      </c>
      <c r="E1642">
        <v>0.53502209999999994</v>
      </c>
      <c r="F1642" t="s">
        <v>47</v>
      </c>
      <c r="G1642">
        <v>-158.78319999999999</v>
      </c>
      <c r="H1642">
        <v>0.89866449999999998</v>
      </c>
      <c r="I1642">
        <v>351.58850000000001</v>
      </c>
      <c r="J1642">
        <v>-249.22970000000001</v>
      </c>
      <c r="K1642">
        <v>1.110754</v>
      </c>
      <c r="L1642">
        <v>367.2919</v>
      </c>
      <c r="M1642">
        <v>0.99989039999999996</v>
      </c>
      <c r="N1642">
        <v>0</v>
      </c>
      <c r="O1642">
        <v>5.7711890000000004E-3</v>
      </c>
      <c r="P1642">
        <v>0.99450810000000001</v>
      </c>
      <c r="Q1642">
        <v>7.1183860000000002E-2</v>
      </c>
      <c r="R1642">
        <v>-7.6725989999999994E-2</v>
      </c>
      <c r="S1642">
        <v>2.9772639999999999</v>
      </c>
      <c r="T1642">
        <v>-6.9684980000000001E-3</v>
      </c>
      <c r="U1642">
        <v>-0.51614380000000004</v>
      </c>
      <c r="V1642">
        <v>8.2457030000000001E-2</v>
      </c>
      <c r="W1642">
        <v>8.4751690000000005E-2</v>
      </c>
      <c r="X1642">
        <v>0.99298439999999999</v>
      </c>
      <c r="Y1642">
        <v>0.1764975</v>
      </c>
      <c r="Z1642">
        <v>-2.184338E-4</v>
      </c>
      <c r="AA1642">
        <v>0.98430110000000004</v>
      </c>
      <c r="AB1642">
        <v>22</v>
      </c>
      <c r="AC1642">
        <v>90.4465</v>
      </c>
      <c r="AD1642">
        <v>-0.21208949999999999</v>
      </c>
      <c r="AE1642">
        <v>-15.703399999999901</v>
      </c>
      <c r="AF1642">
        <v>16.2250841966279</v>
      </c>
      <c r="AG1642">
        <v>-0.21208949999999999</v>
      </c>
      <c r="AH1642">
        <v>90.353875475436098</v>
      </c>
      <c r="AI1642">
        <v>90.132373962177496</v>
      </c>
      <c r="AJ1642">
        <v>79.819745372847393</v>
      </c>
      <c r="AK1642">
        <v>91.799352680584207</v>
      </c>
      <c r="AL1642">
        <v>85.138253841039202</v>
      </c>
      <c r="AM1642">
        <v>85.253072178629907</v>
      </c>
      <c r="AN1642">
        <v>1.0000000146988099</v>
      </c>
    </row>
    <row r="1643" spans="1:40" x14ac:dyDescent="0.25">
      <c r="A1643" t="str">
        <f>"20190312150659455"</f>
        <v>20190312150659455</v>
      </c>
      <c r="B1643" t="str">
        <f>"1552374419452411"</f>
        <v>1552374419452411</v>
      </c>
      <c r="C1643" t="s">
        <v>40</v>
      </c>
      <c r="D1643">
        <v>4.2074040000000004</v>
      </c>
      <c r="E1643">
        <v>0.53496259999999995</v>
      </c>
      <c r="F1643" t="s">
        <v>47</v>
      </c>
      <c r="G1643">
        <v>-158.78319999999999</v>
      </c>
      <c r="H1643">
        <v>0.85351559999999904</v>
      </c>
      <c r="I1643">
        <v>351.6003</v>
      </c>
      <c r="J1643">
        <v>-249.05199999999999</v>
      </c>
      <c r="K1643">
        <v>1.110752</v>
      </c>
      <c r="L1643">
        <v>367.29300000000001</v>
      </c>
      <c r="M1643">
        <v>0.9998899</v>
      </c>
      <c r="N1643">
        <v>0</v>
      </c>
      <c r="O1643">
        <v>5.840278E-3</v>
      </c>
      <c r="P1643">
        <v>0.99451389999999995</v>
      </c>
      <c r="Q1643">
        <v>7.0903910000000001E-2</v>
      </c>
      <c r="R1643">
        <v>-7.6907749999999997E-2</v>
      </c>
      <c r="S1643">
        <v>2.977341</v>
      </c>
      <c r="T1643">
        <v>-8.4649319999999997E-3</v>
      </c>
      <c r="U1643">
        <v>-0.51654049999999996</v>
      </c>
      <c r="V1643">
        <v>8.2707699999999995E-2</v>
      </c>
      <c r="W1643">
        <v>8.4469939999999993E-2</v>
      </c>
      <c r="X1643">
        <v>0.99298759999999997</v>
      </c>
      <c r="Y1643">
        <v>0.17668829999999999</v>
      </c>
      <c r="Z1643">
        <v>-2.6579540000000001E-4</v>
      </c>
      <c r="AA1643">
        <v>0.9842668</v>
      </c>
      <c r="AB1643">
        <v>22</v>
      </c>
      <c r="AC1643">
        <v>90.268799999999999</v>
      </c>
      <c r="AD1643">
        <v>-0.25723639999999998</v>
      </c>
      <c r="AE1643">
        <v>-15.6927</v>
      </c>
      <c r="AF1643">
        <v>16.219548412424199</v>
      </c>
      <c r="AG1643">
        <v>-0.25723639999999998</v>
      </c>
      <c r="AH1643">
        <v>90.174891164119501</v>
      </c>
      <c r="AI1643">
        <v>90.160862311659599</v>
      </c>
      <c r="AJ1643">
        <v>79.803369931588904</v>
      </c>
      <c r="AK1643">
        <v>91.622327615757797</v>
      </c>
      <c r="AL1643">
        <v>85.154455214218402</v>
      </c>
      <c r="AM1643">
        <v>85.238722999086605</v>
      </c>
      <c r="AN1643">
        <v>1.00000005407832</v>
      </c>
    </row>
    <row r="1644" spans="1:40" x14ac:dyDescent="0.25">
      <c r="A1644" t="str">
        <f>"20190312150659470"</f>
        <v>20190312150659470</v>
      </c>
      <c r="B1644" t="str">
        <f>"1552374419462172"</f>
        <v>1552374419462172</v>
      </c>
      <c r="C1644" t="s">
        <v>40</v>
      </c>
      <c r="D1644">
        <v>4.2374700000000001</v>
      </c>
      <c r="E1644">
        <v>0.51757339999999996</v>
      </c>
      <c r="F1644" t="s">
        <v>47</v>
      </c>
      <c r="G1644">
        <v>-158.78319999999999</v>
      </c>
      <c r="H1644">
        <v>0.78971289999999905</v>
      </c>
      <c r="I1644">
        <v>351.6354</v>
      </c>
      <c r="J1644">
        <v>-248.90469999999999</v>
      </c>
      <c r="K1644">
        <v>1.110751</v>
      </c>
      <c r="L1644">
        <v>367.29390000000001</v>
      </c>
      <c r="M1644">
        <v>0.99988949999999999</v>
      </c>
      <c r="N1644">
        <v>0</v>
      </c>
      <c r="O1644">
        <v>5.8976219999999999E-3</v>
      </c>
      <c r="P1644">
        <v>0.99450950000000005</v>
      </c>
      <c r="Q1644">
        <v>7.0860179999999995E-2</v>
      </c>
      <c r="R1644">
        <v>-7.700419E-2</v>
      </c>
      <c r="S1644">
        <v>2.9774020000000001</v>
      </c>
      <c r="T1644">
        <v>-1.0586140000000001E-2</v>
      </c>
      <c r="U1644">
        <v>-0.51644899999999905</v>
      </c>
      <c r="V1644">
        <v>8.2861130000000005E-2</v>
      </c>
      <c r="W1644">
        <v>8.4424330000000006E-2</v>
      </c>
      <c r="X1644">
        <v>0.99297860000000004</v>
      </c>
      <c r="Y1644">
        <v>0.1767116</v>
      </c>
      <c r="Z1644">
        <v>-3.326378E-4</v>
      </c>
      <c r="AA1644">
        <v>0.98426259999999999</v>
      </c>
      <c r="AB1644">
        <v>22</v>
      </c>
      <c r="AC1644">
        <v>90.121499999999997</v>
      </c>
      <c r="AD1644">
        <v>-0.32103809999999999</v>
      </c>
      <c r="AE1644">
        <v>-15.6585</v>
      </c>
      <c r="AF1644">
        <v>16.189580239831901</v>
      </c>
      <c r="AG1644">
        <v>-0.32103809999999999</v>
      </c>
      <c r="AH1644">
        <v>90.026466936359</v>
      </c>
      <c r="AI1644">
        <v>90.201092552256398</v>
      </c>
      <c r="AJ1644">
        <v>79.805386753982006</v>
      </c>
      <c r="AK1644">
        <v>91.471144755310405</v>
      </c>
      <c r="AL1644">
        <v>85.157077421007003</v>
      </c>
      <c r="AM1644">
        <v>85.229888099327397</v>
      </c>
      <c r="AN1644">
        <v>0.99999996720939199</v>
      </c>
    </row>
    <row r="1645" spans="1:40" x14ac:dyDescent="0.25">
      <c r="A1645" t="str">
        <f>"20190312150659484"</f>
        <v>20190312150659484</v>
      </c>
      <c r="B1645" t="str">
        <f>"1552374419471931"</f>
        <v>1552374419471931</v>
      </c>
      <c r="C1645" t="s">
        <v>40</v>
      </c>
      <c r="D1645">
        <v>4.2074389999999999</v>
      </c>
      <c r="E1645">
        <v>0.51094649999999997</v>
      </c>
      <c r="F1645" t="s">
        <v>42</v>
      </c>
      <c r="G1645">
        <v>-213.51570000000001</v>
      </c>
      <c r="H1645" s="1">
        <v>-4.0101040000000001E-6</v>
      </c>
      <c r="I1645">
        <v>362.786</v>
      </c>
      <c r="J1645">
        <v>-248.76580000000001</v>
      </c>
      <c r="K1645">
        <v>1.110751</v>
      </c>
      <c r="L1645">
        <v>367.29480000000001</v>
      </c>
      <c r="M1645">
        <v>0.99988929999999998</v>
      </c>
      <c r="N1645">
        <v>0</v>
      </c>
      <c r="O1645">
        <v>5.9510939999999997E-3</v>
      </c>
      <c r="P1645">
        <v>0.99451290000000003</v>
      </c>
      <c r="Q1645">
        <v>7.0602769999999995E-2</v>
      </c>
      <c r="R1645">
        <v>-7.7198199999999995E-2</v>
      </c>
      <c r="S1645">
        <v>2.9937290000000001</v>
      </c>
      <c r="T1645">
        <v>-9.3964099999999995E-2</v>
      </c>
      <c r="U1645">
        <v>-0.38134770000000001</v>
      </c>
      <c r="V1645">
        <v>8.3108260000000003E-2</v>
      </c>
      <c r="W1645">
        <v>8.416585E-2</v>
      </c>
      <c r="X1645">
        <v>0.99297990000000003</v>
      </c>
      <c r="Y1645">
        <v>0.13219589999999901</v>
      </c>
      <c r="Z1645">
        <v>-2.2517879999999998E-3</v>
      </c>
      <c r="AA1645">
        <v>0.99122109999999997</v>
      </c>
      <c r="AB1645">
        <v>22</v>
      </c>
      <c r="AC1645">
        <v>35.250100000000003</v>
      </c>
      <c r="AD1645">
        <v>-1.110755010104</v>
      </c>
      <c r="AE1645">
        <v>-4.5087999999999999</v>
      </c>
      <c r="AF1645">
        <v>4.7139111018643103</v>
      </c>
      <c r="AG1645">
        <v>-1.110755010104</v>
      </c>
      <c r="AH1645">
        <v>35.188264058670399</v>
      </c>
      <c r="AI1645">
        <v>91.792004363717993</v>
      </c>
      <c r="AJ1645">
        <v>82.369935386998094</v>
      </c>
      <c r="AK1645">
        <v>35.5199755353444</v>
      </c>
      <c r="AL1645">
        <v>85.171940183250499</v>
      </c>
      <c r="AM1645">
        <v>85.215733606552902</v>
      </c>
      <c r="AN1645">
        <v>0.99999997749522895</v>
      </c>
    </row>
    <row r="1646" spans="1:40" x14ac:dyDescent="0.25">
      <c r="A1646" t="str">
        <f>"20190312150659496"</f>
        <v>20190312150659496</v>
      </c>
      <c r="B1646" t="str">
        <f>"1552374419491451"</f>
        <v>1552374419491451</v>
      </c>
      <c r="C1646" t="s">
        <v>40</v>
      </c>
      <c r="D1646">
        <v>4.2327820000000003</v>
      </c>
      <c r="E1646">
        <v>0.50353769999999998</v>
      </c>
      <c r="F1646" t="s">
        <v>42</v>
      </c>
      <c r="G1646">
        <v>-219.80699999999999</v>
      </c>
      <c r="H1646" s="1">
        <v>-1.5166279999999999E-6</v>
      </c>
      <c r="I1646">
        <v>364.11090000000002</v>
      </c>
      <c r="J1646">
        <v>-248.64769999999999</v>
      </c>
      <c r="K1646">
        <v>1.110749</v>
      </c>
      <c r="L1646">
        <v>367.29559999999998</v>
      </c>
      <c r="M1646">
        <v>0.99988900000000003</v>
      </c>
      <c r="N1646">
        <v>0</v>
      </c>
      <c r="O1646">
        <v>5.9968159999999899E-3</v>
      </c>
      <c r="P1646">
        <v>0.99451400000000001</v>
      </c>
      <c r="Q1646">
        <v>7.0295270000000007E-2</v>
      </c>
      <c r="R1646">
        <v>-7.7463399999999905E-2</v>
      </c>
      <c r="S1646">
        <v>2.9991460000000001</v>
      </c>
      <c r="T1646">
        <v>-0.115036</v>
      </c>
      <c r="U1646">
        <v>-0.32974239999999999</v>
      </c>
      <c r="V1646">
        <v>8.3418919999999994E-2</v>
      </c>
      <c r="W1646">
        <v>8.3856990000000006E-2</v>
      </c>
      <c r="X1646">
        <v>0.99297999999999997</v>
      </c>
      <c r="Y1646">
        <v>0.11515839999999899</v>
      </c>
      <c r="Z1646">
        <v>-2.4303660000000002E-3</v>
      </c>
      <c r="AA1646">
        <v>0.99334420000000001</v>
      </c>
      <c r="AB1646">
        <v>22</v>
      </c>
      <c r="AC1646">
        <v>28.840699999999899</v>
      </c>
      <c r="AD1646">
        <v>-1.1107505166280001</v>
      </c>
      <c r="AE1646">
        <v>-3.1846999999999599</v>
      </c>
      <c r="AF1646">
        <v>3.3526981216079501</v>
      </c>
      <c r="AG1646">
        <v>-1.1107505166280001</v>
      </c>
      <c r="AH1646">
        <v>28.778908697062999</v>
      </c>
      <c r="AI1646">
        <v>92.195456975530803</v>
      </c>
      <c r="AJ1646">
        <v>83.355084083120104</v>
      </c>
      <c r="AK1646">
        <v>28.994826041877101</v>
      </c>
      <c r="AL1646">
        <v>85.189699428245106</v>
      </c>
      <c r="AM1646">
        <v>85.197933900109902</v>
      </c>
      <c r="AN1646">
        <v>0.99999999569291298</v>
      </c>
    </row>
    <row r="1647" spans="1:40" x14ac:dyDescent="0.25">
      <c r="A1647" t="str">
        <f>"20190312150659509"</f>
        <v>20190312150659509</v>
      </c>
      <c r="B1647" t="str">
        <f>"1552374419502187"</f>
        <v>1552374419502187</v>
      </c>
      <c r="C1647" t="s">
        <v>40</v>
      </c>
      <c r="D1647">
        <v>4.2019840000000004</v>
      </c>
      <c r="E1647">
        <v>0.50169299999999994</v>
      </c>
      <c r="F1647" t="s">
        <v>42</v>
      </c>
      <c r="G1647">
        <v>-223.4015</v>
      </c>
      <c r="H1647" s="1">
        <v>-3.6305709999999999E-6</v>
      </c>
      <c r="I1647">
        <v>365.00749999999999</v>
      </c>
      <c r="J1647">
        <v>-248.51159999999999</v>
      </c>
      <c r="K1647">
        <v>1.110749</v>
      </c>
      <c r="L1647">
        <v>367.29640000000001</v>
      </c>
      <c r="M1647">
        <v>0.99988869999999996</v>
      </c>
      <c r="N1647">
        <v>0</v>
      </c>
      <c r="O1647">
        <v>6.0492150000000001E-3</v>
      </c>
      <c r="P1647">
        <v>0.99449679999999996</v>
      </c>
      <c r="Q1647">
        <v>7.0322350000000006E-2</v>
      </c>
      <c r="R1647">
        <v>-7.7659569999999997E-2</v>
      </c>
      <c r="S1647">
        <v>3.0047000000000001</v>
      </c>
      <c r="T1647">
        <v>-0.13219710000000001</v>
      </c>
      <c r="U1647">
        <v>-0.2723083</v>
      </c>
      <c r="V1647">
        <v>8.3667060000000001E-2</v>
      </c>
      <c r="W1647">
        <v>8.3882659999999998E-2</v>
      </c>
      <c r="X1647">
        <v>0.99295690000000003</v>
      </c>
      <c r="Y1647">
        <v>9.6182900000000002E-2</v>
      </c>
      <c r="Z1647">
        <v>-2.3760420000000001E-3</v>
      </c>
      <c r="AA1647">
        <v>0.99536089999999999</v>
      </c>
      <c r="AB1647">
        <v>22</v>
      </c>
      <c r="AC1647">
        <v>25.1100999999999</v>
      </c>
      <c r="AD1647">
        <v>-1.110752630571</v>
      </c>
      <c r="AE1647">
        <v>-2.2889000000000101</v>
      </c>
      <c r="AF1647">
        <v>2.4360411650269</v>
      </c>
      <c r="AG1647">
        <v>-1.110752630571</v>
      </c>
      <c r="AH1647">
        <v>25.047185674497801</v>
      </c>
      <c r="AI1647">
        <v>92.527288883786596</v>
      </c>
      <c r="AJ1647">
        <v>84.4449937645809</v>
      </c>
      <c r="AK1647">
        <v>25.189870547043199</v>
      </c>
      <c r="AL1647">
        <v>85.188223183500497</v>
      </c>
      <c r="AM1647">
        <v>85.183605131978794</v>
      </c>
      <c r="AN1647">
        <v>0.99999994141766202</v>
      </c>
    </row>
    <row r="1648" spans="1:40" x14ac:dyDescent="0.25">
      <c r="A1648" t="str">
        <f>"20190312150659522"</f>
        <v>20190312150659522</v>
      </c>
      <c r="B1648" t="str">
        <f>"1552374419511947"</f>
        <v>1552374419511947</v>
      </c>
      <c r="C1648" t="s">
        <v>40</v>
      </c>
      <c r="D1648">
        <v>4.1778529999999998</v>
      </c>
      <c r="E1648">
        <v>0.50055709999999998</v>
      </c>
      <c r="F1648" t="s">
        <v>42</v>
      </c>
      <c r="G1648">
        <v>-223.90799999999999</v>
      </c>
      <c r="H1648" s="1">
        <v>-3.382444E-6</v>
      </c>
      <c r="I1648">
        <v>365.18150000000003</v>
      </c>
      <c r="J1648">
        <v>-248.38759999999999</v>
      </c>
      <c r="K1648">
        <v>1.110751</v>
      </c>
      <c r="L1648">
        <v>367.29730000000001</v>
      </c>
      <c r="M1648">
        <v>0.99988849999999996</v>
      </c>
      <c r="N1648">
        <v>0</v>
      </c>
      <c r="O1648">
        <v>6.0966680000000004E-3</v>
      </c>
      <c r="P1648">
        <v>0.9945079</v>
      </c>
      <c r="Q1648">
        <v>7.0148600000000005E-2</v>
      </c>
      <c r="R1648">
        <v>-7.7675430000000004E-2</v>
      </c>
      <c r="S1648">
        <v>3.006027</v>
      </c>
      <c r="T1648">
        <v>-0.13570940000000001</v>
      </c>
      <c r="U1648">
        <v>-0.25839230000000002</v>
      </c>
      <c r="V1648">
        <v>8.3730209999999999E-2</v>
      </c>
      <c r="W1648">
        <v>8.3707799999999999E-2</v>
      </c>
      <c r="X1648">
        <v>0.99296640000000003</v>
      </c>
      <c r="Y1648">
        <v>9.1616710000000004E-2</v>
      </c>
      <c r="Z1648">
        <v>-2.3378380000000001E-3</v>
      </c>
      <c r="AA1648">
        <v>0.9957916</v>
      </c>
      <c r="AB1648">
        <v>22</v>
      </c>
      <c r="AC1648">
        <v>24.479600000000001</v>
      </c>
      <c r="AD1648">
        <v>-1.110754382444</v>
      </c>
      <c r="AE1648">
        <v>-2.1157999999999801</v>
      </c>
      <c r="AF1648">
        <v>2.2603991888560402</v>
      </c>
      <c r="AG1648">
        <v>-1.110754382444</v>
      </c>
      <c r="AH1648">
        <v>24.416347273288299</v>
      </c>
      <c r="AI1648">
        <v>92.593642086701806</v>
      </c>
      <c r="AJ1648">
        <v>84.710788287582105</v>
      </c>
      <c r="AK1648">
        <v>24.545899738264101</v>
      </c>
      <c r="AL1648">
        <v>85.198277603392995</v>
      </c>
      <c r="AM1648">
        <v>85.180032844325396</v>
      </c>
      <c r="AN1648">
        <v>1.0000000076882201</v>
      </c>
    </row>
    <row r="1649" spans="1:40" x14ac:dyDescent="0.25">
      <c r="A1649" t="str">
        <f>"20190312150659533"</f>
        <v>20190312150659533</v>
      </c>
      <c r="B1649" t="str">
        <f>"1552374419521708"</f>
        <v>1552374419521708</v>
      </c>
      <c r="C1649" t="s">
        <v>40</v>
      </c>
      <c r="D1649">
        <v>4.1862909999999998</v>
      </c>
      <c r="E1649">
        <v>0.4998185</v>
      </c>
      <c r="F1649" t="s">
        <v>42</v>
      </c>
      <c r="G1649">
        <v>-224.3613</v>
      </c>
      <c r="H1649" s="1">
        <v>-3.1664779999999999E-6</v>
      </c>
      <c r="I1649">
        <v>365.30279999999999</v>
      </c>
      <c r="J1649">
        <v>-248.2834</v>
      </c>
      <c r="K1649">
        <v>1.110751</v>
      </c>
      <c r="L1649">
        <v>367.29790000000003</v>
      </c>
      <c r="M1649">
        <v>0.9998882</v>
      </c>
      <c r="N1649">
        <v>0</v>
      </c>
      <c r="O1649">
        <v>6.1368459999999996E-3</v>
      </c>
      <c r="P1649">
        <v>0.99450720000000004</v>
      </c>
      <c r="Q1649">
        <v>7.0043830000000001E-2</v>
      </c>
      <c r="R1649">
        <v>-7.7779059999999997E-2</v>
      </c>
      <c r="S1649">
        <v>3.0068969999999999</v>
      </c>
      <c r="T1649">
        <v>-0.13901069999999999</v>
      </c>
      <c r="U1649">
        <v>-0.2496033</v>
      </c>
      <c r="V1649">
        <v>8.3873729999999994E-2</v>
      </c>
      <c r="W1649">
        <v>8.3601830000000002E-2</v>
      </c>
      <c r="X1649">
        <v>0.99296320000000005</v>
      </c>
      <c r="Y1649">
        <v>8.8739899999999899E-2</v>
      </c>
      <c r="Z1649">
        <v>-2.329757E-3</v>
      </c>
      <c r="AA1649">
        <v>0.9960521</v>
      </c>
      <c r="AB1649">
        <v>22</v>
      </c>
      <c r="AC1649">
        <v>23.9221</v>
      </c>
      <c r="AD1649">
        <v>-1.1107541664780001</v>
      </c>
      <c r="AE1649">
        <v>-1.9951000000000301</v>
      </c>
      <c r="AF1649">
        <v>2.1373062356780101</v>
      </c>
      <c r="AG1649">
        <v>-1.1107541664780001</v>
      </c>
      <c r="AH1649">
        <v>23.858322803581899</v>
      </c>
      <c r="AI1649">
        <v>92.654935650287598</v>
      </c>
      <c r="AJ1649">
        <v>84.880922148233694</v>
      </c>
      <c r="AK1649">
        <v>23.979604245344198</v>
      </c>
      <c r="AL1649">
        <v>85.2043705215751</v>
      </c>
      <c r="AM1649">
        <v>85.171794587913794</v>
      </c>
      <c r="AN1649">
        <v>0.99999999255885097</v>
      </c>
    </row>
    <row r="1650" spans="1:40" x14ac:dyDescent="0.25">
      <c r="A1650" t="str">
        <f>"20190312150659544"</f>
        <v>20190312150659544</v>
      </c>
      <c r="B1650" t="str">
        <f>"1552374419532443"</f>
        <v>1552374419532443</v>
      </c>
      <c r="C1650" t="s">
        <v>40</v>
      </c>
      <c r="D1650">
        <v>4.1803039999999996</v>
      </c>
      <c r="E1650">
        <v>0.49915540000000003</v>
      </c>
      <c r="F1650" t="s">
        <v>42</v>
      </c>
      <c r="G1650">
        <v>-224.108</v>
      </c>
      <c r="H1650" s="1">
        <v>-3.2687920000000001E-6</v>
      </c>
      <c r="I1650">
        <v>365.33839999999998</v>
      </c>
      <c r="J1650">
        <v>-248.17840000000001</v>
      </c>
      <c r="K1650">
        <v>1.110749</v>
      </c>
      <c r="L1650">
        <v>367.29860000000002</v>
      </c>
      <c r="M1650">
        <v>0.99988790000000005</v>
      </c>
      <c r="N1650">
        <v>0</v>
      </c>
      <c r="O1650">
        <v>6.1773219999999998E-3</v>
      </c>
      <c r="P1650">
        <v>0.99446310000000004</v>
      </c>
      <c r="Q1650">
        <v>7.041211E-2</v>
      </c>
      <c r="R1650">
        <v>-7.8010040000000003E-2</v>
      </c>
      <c r="S1650">
        <v>3.0072480000000001</v>
      </c>
      <c r="T1650">
        <v>-0.13816979999999901</v>
      </c>
      <c r="U1650">
        <v>-0.24374390000000001</v>
      </c>
      <c r="V1650">
        <v>8.4144700000000003E-2</v>
      </c>
      <c r="W1650">
        <v>8.3968660000000001E-2</v>
      </c>
      <c r="X1650">
        <v>0.99290929999999999</v>
      </c>
      <c r="Y1650">
        <v>8.6845889999999995E-2</v>
      </c>
      <c r="Z1650">
        <v>-2.274032E-3</v>
      </c>
      <c r="AA1650">
        <v>0.99621919999999997</v>
      </c>
      <c r="AB1650">
        <v>22</v>
      </c>
      <c r="AC1650">
        <v>24.070399999999999</v>
      </c>
      <c r="AD1650">
        <v>-1.110752268792</v>
      </c>
      <c r="AE1650">
        <v>-1.9602000000000399</v>
      </c>
      <c r="AF1650">
        <v>2.1044153087653701</v>
      </c>
      <c r="AG1650">
        <v>-1.110752268792</v>
      </c>
      <c r="AH1650">
        <v>24.007045695281001</v>
      </c>
      <c r="AI1650">
        <v>92.638953240140495</v>
      </c>
      <c r="AJ1650">
        <v>84.990358082566502</v>
      </c>
      <c r="AK1650">
        <v>24.124688130827799</v>
      </c>
      <c r="AL1650">
        <v>85.183278449399793</v>
      </c>
      <c r="AM1650">
        <v>85.156008558817206</v>
      </c>
      <c r="AN1650">
        <v>0.99999997221338699</v>
      </c>
    </row>
    <row r="1651" spans="1:40" x14ac:dyDescent="0.25">
      <c r="A1651" t="str">
        <f>"20190312150659555"</f>
        <v>20190312150659555</v>
      </c>
      <c r="B1651" t="str">
        <f>"1552374419551963"</f>
        <v>1552374419551963</v>
      </c>
      <c r="C1651" t="s">
        <v>40</v>
      </c>
      <c r="D1651">
        <v>4.1730409999999996</v>
      </c>
      <c r="E1651">
        <v>0.49812070000000003</v>
      </c>
      <c r="F1651" t="s">
        <v>42</v>
      </c>
      <c r="G1651">
        <v>-223.63929999999999</v>
      </c>
      <c r="H1651" s="1">
        <v>-3.4686059999999999E-6</v>
      </c>
      <c r="I1651">
        <v>365.34570000000002</v>
      </c>
      <c r="J1651">
        <v>-248.07</v>
      </c>
      <c r="K1651">
        <v>1.110749</v>
      </c>
      <c r="L1651">
        <v>367.29930000000002</v>
      </c>
      <c r="M1651">
        <v>0.99988779999999999</v>
      </c>
      <c r="N1651">
        <v>0</v>
      </c>
      <c r="O1651">
        <v>6.2191649999999996E-3</v>
      </c>
      <c r="P1651">
        <v>0.99445870000000003</v>
      </c>
      <c r="Q1651">
        <v>7.0453000000000002E-2</v>
      </c>
      <c r="R1651">
        <v>-7.8032450000000003E-2</v>
      </c>
      <c r="S1651">
        <v>3.0075379999999998</v>
      </c>
      <c r="T1651">
        <v>-0.13613410000000001</v>
      </c>
      <c r="U1651">
        <v>-0.23934939999999999</v>
      </c>
      <c r="V1651">
        <v>8.4208469999999994E-2</v>
      </c>
      <c r="W1651">
        <v>8.4007639999999995E-2</v>
      </c>
      <c r="X1651">
        <v>0.99290060000000002</v>
      </c>
      <c r="Y1651">
        <v>8.5437669999999993E-2</v>
      </c>
      <c r="Z1651">
        <v>-2.2105639999999999E-3</v>
      </c>
      <c r="AA1651">
        <v>0.99634100000000003</v>
      </c>
      <c r="AB1651">
        <v>22</v>
      </c>
      <c r="AC1651">
        <v>24.430700000000002</v>
      </c>
      <c r="AD1651">
        <v>-1.110752468606</v>
      </c>
      <c r="AE1651">
        <v>-1.95359999999999</v>
      </c>
      <c r="AF1651">
        <v>2.1011990721706399</v>
      </c>
      <c r="AG1651">
        <v>-1.110752468606</v>
      </c>
      <c r="AH1651">
        <v>24.368025308654801</v>
      </c>
      <c r="AI1651">
        <v>92.600235712935699</v>
      </c>
      <c r="AJ1651">
        <v>85.071706206001593</v>
      </c>
      <c r="AK1651">
        <v>24.4836571212441</v>
      </c>
      <c r="AL1651">
        <v>85.181037157786704</v>
      </c>
      <c r="AM1651">
        <v>85.152312699911704</v>
      </c>
      <c r="AN1651">
        <v>0.99999997573923405</v>
      </c>
    </row>
    <row r="1652" spans="1:40" x14ac:dyDescent="0.25">
      <c r="A1652" t="str">
        <f>"20190312150659566"</f>
        <v>20190312150659566</v>
      </c>
      <c r="B1652" t="str">
        <f>"1552374419561723"</f>
        <v>1552374419561723</v>
      </c>
      <c r="C1652" t="s">
        <v>40</v>
      </c>
      <c r="D1652">
        <v>4.1941009999999999</v>
      </c>
      <c r="E1652">
        <v>0.49780259999999998</v>
      </c>
      <c r="F1652" t="s">
        <v>42</v>
      </c>
      <c r="G1652">
        <v>-224.3854</v>
      </c>
      <c r="H1652" s="1">
        <v>-3.1248799999999998E-6</v>
      </c>
      <c r="I1652">
        <v>365.47890000000001</v>
      </c>
      <c r="J1652">
        <v>-247.96289999999999</v>
      </c>
      <c r="K1652">
        <v>1.110749</v>
      </c>
      <c r="L1652">
        <v>367.3</v>
      </c>
      <c r="M1652">
        <v>0.99988750000000004</v>
      </c>
      <c r="N1652">
        <v>0</v>
      </c>
      <c r="O1652">
        <v>6.2607110000000004E-3</v>
      </c>
      <c r="P1652">
        <v>0.9944286</v>
      </c>
      <c r="Q1652">
        <v>7.0655880000000004E-2</v>
      </c>
      <c r="R1652">
        <v>-7.8229030000000005E-2</v>
      </c>
      <c r="S1652">
        <v>3.0085449999999998</v>
      </c>
      <c r="T1652">
        <v>-0.1410933</v>
      </c>
      <c r="U1652">
        <v>-0.23123170000000001</v>
      </c>
      <c r="V1652">
        <v>8.4446560000000004E-2</v>
      </c>
      <c r="W1652">
        <v>8.4209560000000003E-2</v>
      </c>
      <c r="X1652">
        <v>0.9928633</v>
      </c>
      <c r="Y1652">
        <v>8.2776390000000005E-2</v>
      </c>
      <c r="Z1652">
        <v>-2.2301479999999999E-3</v>
      </c>
      <c r="AA1652">
        <v>0.99656560000000005</v>
      </c>
      <c r="AB1652">
        <v>22</v>
      </c>
      <c r="AC1652">
        <v>23.577499999999901</v>
      </c>
      <c r="AD1652">
        <v>-1.1107521248799901</v>
      </c>
      <c r="AE1652">
        <v>-1.8210999999999999</v>
      </c>
      <c r="AF1652">
        <v>1.96435606169</v>
      </c>
      <c r="AG1652">
        <v>-1.1107521248799901</v>
      </c>
      <c r="AH1652">
        <v>23.513758062763401</v>
      </c>
      <c r="AI1652">
        <v>92.695175380407903</v>
      </c>
      <c r="AJ1652">
        <v>85.224558603257194</v>
      </c>
      <c r="AK1652">
        <v>23.621796782933199</v>
      </c>
      <c r="AL1652">
        <v>85.169426980764399</v>
      </c>
      <c r="AM1652">
        <v>85.138490245767002</v>
      </c>
      <c r="AN1652">
        <v>1.00000000198905</v>
      </c>
    </row>
    <row r="1653" spans="1:40" x14ac:dyDescent="0.25">
      <c r="A1653" t="str">
        <f>"20190312150659577"</f>
        <v>20190312150659577</v>
      </c>
      <c r="B1653" t="str">
        <f>"1552374419571483"</f>
        <v>1552374419571483</v>
      </c>
      <c r="C1653" t="s">
        <v>40</v>
      </c>
      <c r="D1653">
        <v>4.1852559999999999</v>
      </c>
      <c r="E1653">
        <v>0.49746020000000002</v>
      </c>
      <c r="F1653" t="s">
        <v>42</v>
      </c>
      <c r="G1653">
        <v>-224.34809999999999</v>
      </c>
      <c r="H1653" s="1">
        <v>-3.1370729999999999E-6</v>
      </c>
      <c r="I1653">
        <v>365.50049999999999</v>
      </c>
      <c r="J1653">
        <v>-247.85769999999999</v>
      </c>
      <c r="K1653">
        <v>1.110752</v>
      </c>
      <c r="L1653">
        <v>367.30079999999998</v>
      </c>
      <c r="M1653">
        <v>0.99988719999999998</v>
      </c>
      <c r="N1653">
        <v>0</v>
      </c>
      <c r="O1653">
        <v>6.3013649999999997E-3</v>
      </c>
      <c r="P1653">
        <v>0.99443910000000002</v>
      </c>
      <c r="Q1653">
        <v>7.0515720000000004E-2</v>
      </c>
      <c r="R1653">
        <v>-7.8222829999999993E-2</v>
      </c>
      <c r="S1653">
        <v>3.0088349999999999</v>
      </c>
      <c r="T1653">
        <v>-0.1415235</v>
      </c>
      <c r="U1653">
        <v>-0.2292786</v>
      </c>
      <c r="V1653">
        <v>8.4480680000000002E-2</v>
      </c>
      <c r="W1653">
        <v>8.4068450000000003E-2</v>
      </c>
      <c r="X1653">
        <v>0.99287239999999999</v>
      </c>
      <c r="Y1653">
        <v>8.2166489999999995E-2</v>
      </c>
      <c r="Z1653">
        <v>-2.2243749999999998E-3</v>
      </c>
      <c r="AA1653">
        <v>0.9966161</v>
      </c>
      <c r="AB1653">
        <v>22</v>
      </c>
      <c r="AC1653">
        <v>23.509599999999999</v>
      </c>
      <c r="AD1653">
        <v>-1.110755137073</v>
      </c>
      <c r="AE1653">
        <v>-1.80029999999999</v>
      </c>
      <c r="AF1653">
        <v>1.9441061274181699</v>
      </c>
      <c r="AG1653">
        <v>-1.110755137073</v>
      </c>
      <c r="AH1653">
        <v>23.445755684531701</v>
      </c>
      <c r="AI1653">
        <v>92.703126875231405</v>
      </c>
      <c r="AJ1653">
        <v>85.259916714939294</v>
      </c>
      <c r="AK1653">
        <v>23.552426312971502</v>
      </c>
      <c r="AL1653">
        <v>85.177540972815606</v>
      </c>
      <c r="AM1653">
        <v>85.136579770375306</v>
      </c>
      <c r="AN1653">
        <v>1.0000000461302101</v>
      </c>
    </row>
    <row r="1654" spans="1:40" x14ac:dyDescent="0.25">
      <c r="A1654" t="str">
        <f>"20190312150659589"</f>
        <v>20190312150659589</v>
      </c>
      <c r="B1654" t="str">
        <f>"1552374419582219"</f>
        <v>1552374419582219</v>
      </c>
      <c r="C1654" t="s">
        <v>40</v>
      </c>
      <c r="D1654">
        <v>4.1749390000000002</v>
      </c>
      <c r="E1654">
        <v>0.49728660000000002</v>
      </c>
      <c r="F1654" t="s">
        <v>42</v>
      </c>
      <c r="G1654">
        <v>-224.4453</v>
      </c>
      <c r="H1654" s="1">
        <v>-3.088634E-6</v>
      </c>
      <c r="I1654">
        <v>365.53840000000002</v>
      </c>
      <c r="J1654">
        <v>-247.73929999999999</v>
      </c>
      <c r="K1654">
        <v>1.1107499999999999</v>
      </c>
      <c r="L1654">
        <v>367.30149999999998</v>
      </c>
      <c r="M1654">
        <v>0.99988699999999997</v>
      </c>
      <c r="N1654">
        <v>0</v>
      </c>
      <c r="O1654">
        <v>6.3470849999999997E-3</v>
      </c>
      <c r="P1654">
        <v>0.99443369999999998</v>
      </c>
      <c r="Q1654">
        <v>7.0686760000000001E-2</v>
      </c>
      <c r="R1654">
        <v>-7.8136410000000003E-2</v>
      </c>
      <c r="S1654">
        <v>3.0090789999999998</v>
      </c>
      <c r="T1654">
        <v>-0.14275940000000001</v>
      </c>
      <c r="U1654">
        <v>-0.22650149999999999</v>
      </c>
      <c r="V1654">
        <v>8.4439769999999997E-2</v>
      </c>
      <c r="W1654">
        <v>8.4237610000000004E-2</v>
      </c>
      <c r="X1654">
        <v>0.99286149999999995</v>
      </c>
      <c r="Y1654">
        <v>8.1290580000000001E-2</v>
      </c>
      <c r="Z1654">
        <v>-2.2251039999999999E-3</v>
      </c>
      <c r="AA1654">
        <v>0.99668789999999996</v>
      </c>
      <c r="AB1654">
        <v>22</v>
      </c>
      <c r="AC1654">
        <v>23.293999999999901</v>
      </c>
      <c r="AD1654">
        <v>-1.11075308863399</v>
      </c>
      <c r="AE1654">
        <v>-1.7630999999999499</v>
      </c>
      <c r="AF1654">
        <v>1.90661668972512</v>
      </c>
      <c r="AG1654">
        <v>-1.11075308863399</v>
      </c>
      <c r="AH1654">
        <v>23.2298206712771</v>
      </c>
      <c r="AI1654">
        <v>92.728399424766295</v>
      </c>
      <c r="AJ1654">
        <v>85.307894259683806</v>
      </c>
      <c r="AK1654">
        <v>23.3343851010723</v>
      </c>
      <c r="AL1654">
        <v>85.167814112853804</v>
      </c>
      <c r="AM1654">
        <v>85.138870495827604</v>
      </c>
      <c r="AN1654">
        <v>1.0000000039392001</v>
      </c>
    </row>
    <row r="1655" spans="1:40" x14ac:dyDescent="0.25">
      <c r="A1655" t="str">
        <f>"20190312150659599"</f>
        <v>20190312150659599</v>
      </c>
      <c r="B1655" t="str">
        <f>"1552374419591510"</f>
        <v>1552374419591510</v>
      </c>
      <c r="C1655" t="s">
        <v>40</v>
      </c>
      <c r="D1655">
        <v>4.1754749999999996</v>
      </c>
      <c r="E1655">
        <v>0.4969558</v>
      </c>
      <c r="F1655" t="s">
        <v>42</v>
      </c>
      <c r="G1655">
        <v>-224.83920000000001</v>
      </c>
      <c r="H1655" s="1">
        <v>-2.911024E-6</v>
      </c>
      <c r="I1655">
        <v>365.58699999999999</v>
      </c>
      <c r="J1655">
        <v>-247.63630000000001</v>
      </c>
      <c r="K1655">
        <v>1.110751</v>
      </c>
      <c r="L1655">
        <v>367.3023</v>
      </c>
      <c r="M1655">
        <v>0.99988670000000002</v>
      </c>
      <c r="N1655">
        <v>0</v>
      </c>
      <c r="O1655">
        <v>6.3870840000000003E-3</v>
      </c>
      <c r="P1655">
        <v>0.99442609999999998</v>
      </c>
      <c r="Q1655">
        <v>7.0835259999999997E-2</v>
      </c>
      <c r="R1655">
        <v>-7.8097769999999997E-2</v>
      </c>
      <c r="S1655">
        <v>3.0094759999999998</v>
      </c>
      <c r="T1655">
        <v>-0.1459722</v>
      </c>
      <c r="U1655">
        <v>-0.22531129999999999</v>
      </c>
      <c r="V1655">
        <v>8.4440799999999996E-2</v>
      </c>
      <c r="W1655">
        <v>8.4385370000000001E-2</v>
      </c>
      <c r="X1655">
        <v>0.99284890000000003</v>
      </c>
      <c r="Y1655">
        <v>8.0924590000000005E-2</v>
      </c>
      <c r="Z1655">
        <v>-2.2679340000000001E-3</v>
      </c>
      <c r="AA1655">
        <v>0.99671759999999998</v>
      </c>
      <c r="AB1655">
        <v>22</v>
      </c>
      <c r="AC1655">
        <v>22.7971</v>
      </c>
      <c r="AD1655">
        <v>-1.1107539110239999</v>
      </c>
      <c r="AE1655">
        <v>-1.71530000000001</v>
      </c>
      <c r="AF1655">
        <v>1.85650304176548</v>
      </c>
      <c r="AG1655">
        <v>-1.1107539110239999</v>
      </c>
      <c r="AH1655">
        <v>22.732016637852801</v>
      </c>
      <c r="AI1655">
        <v>92.788149090610105</v>
      </c>
      <c r="AJ1655">
        <v>85.331067949423897</v>
      </c>
      <c r="AK1655">
        <v>22.834731402373802</v>
      </c>
      <c r="AL1655">
        <v>85.159318006229995</v>
      </c>
      <c r="AM1655">
        <v>85.138750087204599</v>
      </c>
      <c r="AN1655">
        <v>1.00000003880294</v>
      </c>
    </row>
    <row r="1656" spans="1:40" x14ac:dyDescent="0.25">
      <c r="A1656" t="str">
        <f>"20190312150659611"</f>
        <v>20190312150659611</v>
      </c>
      <c r="B1656" t="str">
        <f>"1552374419602246"</f>
        <v>1552374419602246</v>
      </c>
      <c r="C1656" t="s">
        <v>40</v>
      </c>
      <c r="D1656">
        <v>4.1736909999999998</v>
      </c>
      <c r="E1656">
        <v>0.49668600000000002</v>
      </c>
      <c r="F1656" t="s">
        <v>42</v>
      </c>
      <c r="G1656">
        <v>-224.8895</v>
      </c>
      <c r="H1656" s="1">
        <v>-2.883698E-6</v>
      </c>
      <c r="I1656">
        <v>365.61950000000002</v>
      </c>
      <c r="J1656">
        <v>-247.5282</v>
      </c>
      <c r="K1656">
        <v>1.1107530000000001</v>
      </c>
      <c r="L1656">
        <v>367.303</v>
      </c>
      <c r="M1656">
        <v>0.99988659999999996</v>
      </c>
      <c r="N1656">
        <v>0</v>
      </c>
      <c r="O1656">
        <v>6.4287519999999898E-3</v>
      </c>
      <c r="P1656">
        <v>0.99443119999999996</v>
      </c>
      <c r="Q1656">
        <v>7.0818130000000007E-2</v>
      </c>
      <c r="R1656">
        <v>-7.8049759999999996E-2</v>
      </c>
      <c r="S1656">
        <v>3.009827</v>
      </c>
      <c r="T1656">
        <v>-0.14697289999999999</v>
      </c>
      <c r="U1656">
        <v>-0.2226563</v>
      </c>
      <c r="V1656">
        <v>8.443428E-2</v>
      </c>
      <c r="W1656">
        <v>8.4367330000000004E-2</v>
      </c>
      <c r="X1656">
        <v>0.99285100000000004</v>
      </c>
      <c r="Y1656">
        <v>8.0082619999999993E-2</v>
      </c>
      <c r="Z1656">
        <v>-2.2647869999999999E-3</v>
      </c>
      <c r="AA1656">
        <v>0.99678560000000005</v>
      </c>
      <c r="AB1656">
        <v>22</v>
      </c>
      <c r="AC1656">
        <v>22.6387</v>
      </c>
      <c r="AD1656">
        <v>-1.110755883698</v>
      </c>
      <c r="AE1656">
        <v>-1.68350000000003</v>
      </c>
      <c r="AF1656">
        <v>1.82464892857977</v>
      </c>
      <c r="AG1656">
        <v>-1.110755883698</v>
      </c>
      <c r="AH1656">
        <v>22.573365767329001</v>
      </c>
      <c r="AI1656">
        <v>92.807908010624701</v>
      </c>
      <c r="AJ1656">
        <v>85.378718405882395</v>
      </c>
      <c r="AK1656">
        <v>22.674213644829202</v>
      </c>
      <c r="AL1656">
        <v>85.160355380844294</v>
      </c>
      <c r="AM1656">
        <v>85.139133876578001</v>
      </c>
      <c r="AN1656">
        <v>1.0000000511057201</v>
      </c>
    </row>
    <row r="1657" spans="1:40" x14ac:dyDescent="0.25">
      <c r="A1657" t="str">
        <f>"20190312150659621"</f>
        <v>20190312150659621</v>
      </c>
      <c r="B1657" t="str">
        <f>"1552374419612006"</f>
        <v>1552374419612006</v>
      </c>
      <c r="C1657" t="s">
        <v>40</v>
      </c>
      <c r="D1657">
        <v>4.1869779999999999</v>
      </c>
      <c r="E1657">
        <v>0.49642720000000001</v>
      </c>
      <c r="F1657" t="s">
        <v>42</v>
      </c>
      <c r="G1657">
        <v>-224.83869999999999</v>
      </c>
      <c r="H1657" s="1">
        <v>-2.9010050000000002E-6</v>
      </c>
      <c r="I1657">
        <v>365.64479999999998</v>
      </c>
      <c r="J1657">
        <v>-247.4195</v>
      </c>
      <c r="K1657">
        <v>1.110757</v>
      </c>
      <c r="L1657">
        <v>367.30369999999999</v>
      </c>
      <c r="M1657">
        <v>0.99988630000000001</v>
      </c>
      <c r="N1657">
        <v>0</v>
      </c>
      <c r="O1657">
        <v>6.4707779999999999E-3</v>
      </c>
      <c r="P1657">
        <v>0.99442920000000001</v>
      </c>
      <c r="Q1657">
        <v>7.0839750000000007E-2</v>
      </c>
      <c r="R1657">
        <v>-7.8054219999999994E-2</v>
      </c>
      <c r="S1657">
        <v>3.0100250000000002</v>
      </c>
      <c r="T1657">
        <v>-0.1473537</v>
      </c>
      <c r="U1657">
        <v>-0.21997069999999999</v>
      </c>
      <c r="V1657">
        <v>8.4480420000000001E-2</v>
      </c>
      <c r="W1657">
        <v>8.438727E-2</v>
      </c>
      <c r="X1657">
        <v>0.99284539999999999</v>
      </c>
      <c r="Y1657">
        <v>7.9235529999999998E-2</v>
      </c>
      <c r="Z1657">
        <v>-2.2519319999999999E-3</v>
      </c>
      <c r="AA1657">
        <v>0.9968534</v>
      </c>
      <c r="AB1657">
        <v>22</v>
      </c>
      <c r="AC1657">
        <v>22.5808</v>
      </c>
      <c r="AD1657">
        <v>-1.110759901005</v>
      </c>
      <c r="AE1657">
        <v>-1.65890000000001</v>
      </c>
      <c r="AF1657">
        <v>1.8006604914352</v>
      </c>
      <c r="AG1657">
        <v>-1.110759901005</v>
      </c>
      <c r="AH1657">
        <v>22.515403708191101</v>
      </c>
      <c r="AI1657">
        <v>92.815327546666495</v>
      </c>
      <c r="AJ1657">
        <v>85.427524583503995</v>
      </c>
      <c r="AK1657">
        <v>22.614587546668201</v>
      </c>
      <c r="AL1657">
        <v>85.159208908376101</v>
      </c>
      <c r="AM1657">
        <v>85.136463042570398</v>
      </c>
      <c r="AN1657">
        <v>1.0000000705012899</v>
      </c>
    </row>
    <row r="1658" spans="1:40" x14ac:dyDescent="0.25">
      <c r="A1658" t="str">
        <f>"20190312150659634"</f>
        <v>20190312150659634</v>
      </c>
      <c r="B1658" t="str">
        <f>"1552374419631526"</f>
        <v>1552374419631526</v>
      </c>
      <c r="C1658" t="s">
        <v>40</v>
      </c>
      <c r="D1658">
        <v>4.3579429999999997</v>
      </c>
      <c r="E1658">
        <v>0.4965156</v>
      </c>
      <c r="F1658" t="s">
        <v>42</v>
      </c>
      <c r="G1658">
        <v>-224.83519999999999</v>
      </c>
      <c r="H1658" s="1">
        <v>-2.8988460000000001E-6</v>
      </c>
      <c r="I1658">
        <v>365.66550000000001</v>
      </c>
      <c r="J1658">
        <v>-247.29929999999999</v>
      </c>
      <c r="K1658">
        <v>1.1107579999999999</v>
      </c>
      <c r="L1658">
        <v>367.30459999999999</v>
      </c>
      <c r="M1658">
        <v>0.99988589999999999</v>
      </c>
      <c r="N1658">
        <v>0</v>
      </c>
      <c r="O1658">
        <v>6.5173339999999996E-3</v>
      </c>
      <c r="P1658">
        <v>0.99442649999999999</v>
      </c>
      <c r="Q1658">
        <v>7.1038190000000001E-2</v>
      </c>
      <c r="R1658">
        <v>-7.7906489999999995E-2</v>
      </c>
      <c r="S1658">
        <v>3.010208</v>
      </c>
      <c r="T1658">
        <v>-0.14804999999999999</v>
      </c>
      <c r="U1658">
        <v>-0.2183533</v>
      </c>
      <c r="V1658">
        <v>8.4379140000000005E-2</v>
      </c>
      <c r="W1658">
        <v>8.4584909999999999E-2</v>
      </c>
      <c r="X1658">
        <v>0.99283710000000003</v>
      </c>
      <c r="Y1658">
        <v>7.8744300000000003E-2</v>
      </c>
      <c r="Z1658">
        <v>-2.2526949999999999E-3</v>
      </c>
      <c r="AA1658">
        <v>0.99689229999999995</v>
      </c>
      <c r="AB1658">
        <v>22</v>
      </c>
      <c r="AC1658">
        <v>22.464099999999998</v>
      </c>
      <c r="AD1658">
        <v>-1.1107608988459901</v>
      </c>
      <c r="AE1658">
        <v>-1.63909999999998</v>
      </c>
      <c r="AF1658">
        <v>1.7811531216727099</v>
      </c>
      <c r="AG1658">
        <v>-1.1107608988459901</v>
      </c>
      <c r="AH1658">
        <v>22.398467003883798</v>
      </c>
      <c r="AI1658">
        <v>92.830105878235798</v>
      </c>
      <c r="AJ1658">
        <v>85.453338164117994</v>
      </c>
      <c r="AK1658">
        <v>22.496613530514299</v>
      </c>
      <c r="AL1658">
        <v>85.147843882863299</v>
      </c>
      <c r="AM1658">
        <v>85.142225397393005</v>
      </c>
      <c r="AN1658">
        <v>0.99999997670162799</v>
      </c>
    </row>
    <row r="1659" spans="1:40" x14ac:dyDescent="0.25">
      <c r="A1659" t="str">
        <f>"20190312150659647"</f>
        <v>20190312150659647</v>
      </c>
      <c r="B1659" t="str">
        <f>"1552374419642261"</f>
        <v>1552374419642261</v>
      </c>
      <c r="C1659" t="s">
        <v>40</v>
      </c>
      <c r="D1659">
        <v>4.1702170000000001</v>
      </c>
      <c r="E1659">
        <v>0.49637229999999999</v>
      </c>
      <c r="F1659" t="s">
        <v>42</v>
      </c>
      <c r="G1659">
        <v>-225.43969999999999</v>
      </c>
      <c r="H1659" s="1">
        <v>-2.6304770000000001E-6</v>
      </c>
      <c r="I1659">
        <v>365.7165</v>
      </c>
      <c r="J1659">
        <v>-247.1782</v>
      </c>
      <c r="K1659">
        <v>1.1107579999999999</v>
      </c>
      <c r="L1659">
        <v>367.30540000000002</v>
      </c>
      <c r="M1659">
        <v>0.99988569999999999</v>
      </c>
      <c r="N1659">
        <v>0</v>
      </c>
      <c r="O1659">
        <v>6.5641880000000003E-3</v>
      </c>
      <c r="P1659">
        <v>0.99441109999999999</v>
      </c>
      <c r="Q1659">
        <v>7.1445300000000003E-2</v>
      </c>
      <c r="R1659">
        <v>-7.7732529999999994E-2</v>
      </c>
      <c r="S1659">
        <v>3.0106199999999999</v>
      </c>
      <c r="T1659">
        <v>-0.15297910000000001</v>
      </c>
      <c r="U1659">
        <v>-0.21871950000000001</v>
      </c>
      <c r="V1659">
        <v>8.4251640000000003E-2</v>
      </c>
      <c r="W1659">
        <v>8.4990199999999905E-2</v>
      </c>
      <c r="X1659">
        <v>0.99281330000000001</v>
      </c>
      <c r="Y1659">
        <v>7.8894649999999997E-2</v>
      </c>
      <c r="Z1659">
        <v>-2.3334620000000001E-3</v>
      </c>
      <c r="AA1659">
        <v>0.99688019999999999</v>
      </c>
      <c r="AB1659">
        <v>22</v>
      </c>
      <c r="AC1659">
        <v>21.738499999999998</v>
      </c>
      <c r="AD1659">
        <v>-1.1107606304769999</v>
      </c>
      <c r="AE1659">
        <v>-1.58890000000002</v>
      </c>
      <c r="AF1659">
        <v>1.72708939062003</v>
      </c>
      <c r="AG1659">
        <v>-1.1107606304769999</v>
      </c>
      <c r="AH1659">
        <v>21.6713208763138</v>
      </c>
      <c r="AI1659">
        <v>92.924862503992699</v>
      </c>
      <c r="AJ1659">
        <v>85.443460389703404</v>
      </c>
      <c r="AK1659">
        <v>21.768389363146799</v>
      </c>
      <c r="AL1659">
        <v>85.124538476670295</v>
      </c>
      <c r="AM1659">
        <v>85.149414905681695</v>
      </c>
      <c r="AN1659">
        <v>0.99999996079780895</v>
      </c>
    </row>
    <row r="1660" spans="1:40" x14ac:dyDescent="0.25">
      <c r="A1660" t="str">
        <f>"20190312150659660"</f>
        <v>20190312150659660</v>
      </c>
      <c r="B1660" t="str">
        <f>"1552374419652022"</f>
        <v>1552374419652022</v>
      </c>
      <c r="C1660" t="s">
        <v>40</v>
      </c>
      <c r="D1660">
        <v>4.4045569999999996</v>
      </c>
      <c r="E1660">
        <v>0.49660890000000002</v>
      </c>
      <c r="F1660" t="s">
        <v>42</v>
      </c>
      <c r="G1660">
        <v>-225.4228</v>
      </c>
      <c r="H1660" s="1">
        <v>-2.6340659999999998E-6</v>
      </c>
      <c r="I1660">
        <v>365.73689999999999</v>
      </c>
      <c r="J1660">
        <v>-247.04400000000001</v>
      </c>
      <c r="K1660">
        <v>1.1107610000000001</v>
      </c>
      <c r="L1660">
        <v>367.3064</v>
      </c>
      <c r="M1660">
        <v>0.99988540000000004</v>
      </c>
      <c r="N1660">
        <v>0</v>
      </c>
      <c r="O1660">
        <v>6.6158110000000001E-3</v>
      </c>
      <c r="P1660">
        <v>0.99439840000000002</v>
      </c>
      <c r="Q1660">
        <v>7.1758199999999994E-2</v>
      </c>
      <c r="R1660">
        <v>-7.7609609999999996E-2</v>
      </c>
      <c r="S1660">
        <v>3.0109409999999999</v>
      </c>
      <c r="T1660">
        <v>-0.1537287</v>
      </c>
      <c r="U1660">
        <v>-0.2170715</v>
      </c>
      <c r="V1660">
        <v>8.4179729999999994E-2</v>
      </c>
      <c r="W1660">
        <v>8.5301390000000005E-2</v>
      </c>
      <c r="X1660">
        <v>0.99279269999999997</v>
      </c>
      <c r="Y1660">
        <v>7.8395179999999995E-2</v>
      </c>
      <c r="Z1660">
        <v>-2.3345850000000001E-3</v>
      </c>
      <c r="AA1660">
        <v>0.99691960000000002</v>
      </c>
      <c r="AB1660">
        <v>22</v>
      </c>
      <c r="AC1660">
        <v>21.621200000000002</v>
      </c>
      <c r="AD1660">
        <v>-1.1107636340660001</v>
      </c>
      <c r="AE1660">
        <v>-1.5694999999999999</v>
      </c>
      <c r="AF1660">
        <v>1.7080363433318999</v>
      </c>
      <c r="AG1660">
        <v>-1.1107636340660001</v>
      </c>
      <c r="AH1660">
        <v>21.553754282808601</v>
      </c>
      <c r="AI1660">
        <v>92.940900556747906</v>
      </c>
      <c r="AJ1660">
        <v>85.4690405325764</v>
      </c>
      <c r="AK1660">
        <v>21.649838514053599</v>
      </c>
      <c r="AL1660">
        <v>85.106643562334497</v>
      </c>
      <c r="AM1660">
        <v>85.153435139734796</v>
      </c>
      <c r="AN1660">
        <v>0.99999994962604599</v>
      </c>
    </row>
    <row r="1661" spans="1:40" x14ac:dyDescent="0.25">
      <c r="A1661" t="str">
        <f>"20190312150659674"</f>
        <v>20190312150659674</v>
      </c>
      <c r="B1661" t="str">
        <f>"1552374419661782"</f>
        <v>1552374419661782</v>
      </c>
      <c r="C1661" t="s">
        <v>40</v>
      </c>
      <c r="D1661">
        <v>4.2156979999999997</v>
      </c>
      <c r="E1661">
        <v>0.49646040000000002</v>
      </c>
      <c r="F1661" t="s">
        <v>42</v>
      </c>
      <c r="G1661">
        <v>-225.44370000000001</v>
      </c>
      <c r="H1661" s="1">
        <v>-2.625073E-6</v>
      </c>
      <c r="I1661">
        <v>365.7371</v>
      </c>
      <c r="J1661">
        <v>-246.92089999999999</v>
      </c>
      <c r="K1661">
        <v>1.1107629999999999</v>
      </c>
      <c r="L1661">
        <v>367.30720000000002</v>
      </c>
      <c r="M1661">
        <v>0.99988500000000002</v>
      </c>
      <c r="N1661">
        <v>0</v>
      </c>
      <c r="O1661">
        <v>6.6630250000000004E-3</v>
      </c>
      <c r="P1661">
        <v>0.99436559999999896</v>
      </c>
      <c r="Q1661">
        <v>7.2037160000000003E-2</v>
      </c>
      <c r="R1661">
        <v>-7.7769309999999994E-2</v>
      </c>
      <c r="S1661">
        <v>3.011002</v>
      </c>
      <c r="T1661">
        <v>-0.1548361</v>
      </c>
      <c r="U1661">
        <v>-0.21875</v>
      </c>
      <c r="V1661">
        <v>8.4386169999999996E-2</v>
      </c>
      <c r="W1661">
        <v>8.5578849999999998E-2</v>
      </c>
      <c r="X1661">
        <v>0.99275139999999995</v>
      </c>
      <c r="Y1661">
        <v>7.8991190000000003E-2</v>
      </c>
      <c r="Z1661">
        <v>-2.3690040000000001E-3</v>
      </c>
      <c r="AA1661">
        <v>0.99687250000000005</v>
      </c>
      <c r="AB1661">
        <v>22</v>
      </c>
      <c r="AC1661">
        <v>21.4771999999999</v>
      </c>
      <c r="AD1661">
        <v>-1.110765625073</v>
      </c>
      <c r="AE1661">
        <v>-1.57010000000002</v>
      </c>
      <c r="AF1661">
        <v>1.7086355973839999</v>
      </c>
      <c r="AG1661">
        <v>-1.110765625073</v>
      </c>
      <c r="AH1661">
        <v>21.4092996315769</v>
      </c>
      <c r="AI1661">
        <v>92.960582345471195</v>
      </c>
      <c r="AJ1661">
        <v>85.437003855799006</v>
      </c>
      <c r="AK1661">
        <v>21.5060769689205</v>
      </c>
      <c r="AL1661">
        <v>85.090688441969803</v>
      </c>
      <c r="AM1661">
        <v>85.141405233386195</v>
      </c>
      <c r="AN1661">
        <v>1.0000000537282701</v>
      </c>
    </row>
    <row r="1662" spans="1:40" x14ac:dyDescent="0.25">
      <c r="A1662" t="str">
        <f>"20190312150659687"</f>
        <v>20190312150659687</v>
      </c>
      <c r="B1662" t="str">
        <f>"1552374419682278"</f>
        <v>1552374419682278</v>
      </c>
      <c r="C1662" t="s">
        <v>40</v>
      </c>
      <c r="D1662">
        <v>4.1580180000000002</v>
      </c>
      <c r="E1662">
        <v>0.49637170000000003</v>
      </c>
      <c r="F1662" t="s">
        <v>42</v>
      </c>
      <c r="G1662">
        <v>-225.2724</v>
      </c>
      <c r="H1662" s="1">
        <v>-2.6982139999999998E-6</v>
      </c>
      <c r="I1662">
        <v>365.73910000000001</v>
      </c>
      <c r="J1662">
        <v>-246.7953</v>
      </c>
      <c r="K1662">
        <v>1.1107659999999999</v>
      </c>
      <c r="L1662">
        <v>367.30810000000002</v>
      </c>
      <c r="M1662">
        <v>0.99988480000000002</v>
      </c>
      <c r="N1662">
        <v>0</v>
      </c>
      <c r="O1662">
        <v>6.7112519999999896E-3</v>
      </c>
      <c r="P1662">
        <v>0.99437019999999998</v>
      </c>
      <c r="Q1662">
        <v>7.2209490000000001E-2</v>
      </c>
      <c r="R1662">
        <v>-7.7552099999999999E-2</v>
      </c>
      <c r="S1662">
        <v>3.011139</v>
      </c>
      <c r="T1662">
        <v>-0.15449839999999901</v>
      </c>
      <c r="U1662">
        <v>-0.2181091</v>
      </c>
      <c r="V1662">
        <v>8.4216910000000006E-2</v>
      </c>
      <c r="W1662">
        <v>8.5749399999999906E-2</v>
      </c>
      <c r="X1662">
        <v>0.99275100000000005</v>
      </c>
      <c r="Y1662">
        <v>7.8825580000000006E-2</v>
      </c>
      <c r="Z1662">
        <v>-2.3619840000000001E-3</v>
      </c>
      <c r="AA1662">
        <v>0.99688560000000004</v>
      </c>
      <c r="AB1662">
        <v>22</v>
      </c>
      <c r="AC1662">
        <v>21.5229</v>
      </c>
      <c r="AD1662">
        <v>-1.1107686982139999</v>
      </c>
      <c r="AE1662">
        <v>-1.5690000000000099</v>
      </c>
      <c r="AF1662">
        <v>1.70889614125484</v>
      </c>
      <c r="AG1662">
        <v>-1.1107686982139999</v>
      </c>
      <c r="AH1662">
        <v>21.455041764623601</v>
      </c>
      <c r="AI1662">
        <v>92.954326655708101</v>
      </c>
      <c r="AJ1662">
        <v>85.445999811106105</v>
      </c>
      <c r="AK1662">
        <v>21.551634514446199</v>
      </c>
      <c r="AL1662">
        <v>85.080880318389802</v>
      </c>
      <c r="AM1662">
        <v>85.151102045100501</v>
      </c>
      <c r="AN1662">
        <v>0.99999999776565396</v>
      </c>
    </row>
    <row r="1663" spans="1:40" x14ac:dyDescent="0.25">
      <c r="A1663" t="str">
        <f>"20190312150659699"</f>
        <v>20190312150659699</v>
      </c>
      <c r="B1663" t="str">
        <f>"1552374419691570"</f>
        <v>1552374419691570</v>
      </c>
      <c r="C1663" t="s">
        <v>40</v>
      </c>
      <c r="D1663">
        <v>4.2007779999999997</v>
      </c>
      <c r="E1663">
        <v>0.49633080000000002</v>
      </c>
      <c r="F1663" t="s">
        <v>42</v>
      </c>
      <c r="G1663">
        <v>-225.46680000000001</v>
      </c>
      <c r="H1663" s="1">
        <v>-2.609416E-6</v>
      </c>
      <c r="I1663">
        <v>365.76960000000003</v>
      </c>
      <c r="J1663">
        <v>-246.66630000000001</v>
      </c>
      <c r="K1663">
        <v>1.1107640000000001</v>
      </c>
      <c r="L1663">
        <v>367.3091</v>
      </c>
      <c r="M1663">
        <v>0.99988449999999995</v>
      </c>
      <c r="N1663">
        <v>0</v>
      </c>
      <c r="O1663">
        <v>6.7613219999999898E-3</v>
      </c>
      <c r="P1663">
        <v>0.99439290000000002</v>
      </c>
      <c r="Q1663">
        <v>7.226254E-2</v>
      </c>
      <c r="R1663">
        <v>-7.7210749999999995E-2</v>
      </c>
      <c r="S1663">
        <v>3.011444</v>
      </c>
      <c r="T1663">
        <v>-0.15683269999999999</v>
      </c>
      <c r="U1663">
        <v>-0.2172241</v>
      </c>
      <c r="V1663">
        <v>8.3925449999999999E-2</v>
      </c>
      <c r="W1663">
        <v>8.5801660000000002E-2</v>
      </c>
      <c r="X1663">
        <v>0.99277110000000002</v>
      </c>
      <c r="Y1663">
        <v>7.8573680000000007E-2</v>
      </c>
      <c r="Z1663">
        <v>-2.3934630000000002E-3</v>
      </c>
      <c r="AA1663">
        <v>0.99690540000000005</v>
      </c>
      <c r="AB1663">
        <v>22</v>
      </c>
      <c r="AC1663">
        <v>21.1995</v>
      </c>
      <c r="AD1663">
        <v>-1.11076660941599</v>
      </c>
      <c r="AE1663">
        <v>-1.5394999999999699</v>
      </c>
      <c r="AF1663">
        <v>1.67823160102311</v>
      </c>
      <c r="AG1663">
        <v>-1.11076660941599</v>
      </c>
      <c r="AH1663">
        <v>21.130898368612598</v>
      </c>
      <c r="AI1663">
        <v>92.999611893641401</v>
      </c>
      <c r="AJ1663">
        <v>85.459058306116802</v>
      </c>
      <c r="AK1663">
        <v>21.2265194893534</v>
      </c>
      <c r="AL1663">
        <v>85.077874637733501</v>
      </c>
      <c r="AM1663">
        <v>85.167901005651103</v>
      </c>
      <c r="AN1663">
        <v>0.999999931505831</v>
      </c>
    </row>
    <row r="1664" spans="1:40" x14ac:dyDescent="0.25">
      <c r="A1664" t="str">
        <f>"20190312150659713"</f>
        <v>20190312150659713</v>
      </c>
      <c r="B1664" t="str">
        <f>"1552374419702306"</f>
        <v>1552374419702306</v>
      </c>
      <c r="C1664" t="s">
        <v>40</v>
      </c>
      <c r="D1664">
        <v>4.1894770000000001</v>
      </c>
      <c r="E1664">
        <v>0.4963051</v>
      </c>
      <c r="F1664" t="s">
        <v>42</v>
      </c>
      <c r="G1664">
        <v>-225.227</v>
      </c>
      <c r="H1664" s="1">
        <v>-2.711032E-6</v>
      </c>
      <c r="I1664">
        <v>365.77670000000001</v>
      </c>
      <c r="J1664">
        <v>-246.54580000000001</v>
      </c>
      <c r="K1664">
        <v>1.1107659999999999</v>
      </c>
      <c r="L1664">
        <v>367.30990000000003</v>
      </c>
      <c r="M1664">
        <v>0.99988410000000005</v>
      </c>
      <c r="N1664">
        <v>0</v>
      </c>
      <c r="O1664">
        <v>6.8081749999999996E-3</v>
      </c>
      <c r="P1664">
        <v>0.99439049999999995</v>
      </c>
      <c r="Q1664">
        <v>7.2286950000000003E-2</v>
      </c>
      <c r="R1664">
        <v>-7.7215149999999996E-2</v>
      </c>
      <c r="S1664">
        <v>3.0115509999999999</v>
      </c>
      <c r="T1664">
        <v>-0.1560271</v>
      </c>
      <c r="U1664">
        <v>-0.2152405</v>
      </c>
      <c r="V1664">
        <v>8.3976629999999997E-2</v>
      </c>
      <c r="W1664">
        <v>8.5824929999999994E-2</v>
      </c>
      <c r="X1664">
        <v>0.9927648</v>
      </c>
      <c r="Y1664">
        <v>7.7966489999999999E-2</v>
      </c>
      <c r="Z1664">
        <v>-2.367882E-3</v>
      </c>
      <c r="AA1664">
        <v>0.99695319999999998</v>
      </c>
      <c r="AB1664">
        <v>22</v>
      </c>
      <c r="AC1664">
        <v>21.3188</v>
      </c>
      <c r="AD1664">
        <v>-1.1107687110319999</v>
      </c>
      <c r="AE1664">
        <v>-1.5332000000000201</v>
      </c>
      <c r="AF1664">
        <v>1.67379955825427</v>
      </c>
      <c r="AG1664">
        <v>-1.1107687110319999</v>
      </c>
      <c r="AH1664">
        <v>21.250474750623798</v>
      </c>
      <c r="AI1664">
        <v>92.982922681154506</v>
      </c>
      <c r="AJ1664">
        <v>85.496380061243698</v>
      </c>
      <c r="AK1664">
        <v>21.345212325426001</v>
      </c>
      <c r="AL1664">
        <v>85.076536621257205</v>
      </c>
      <c r="AM1664">
        <v>85.164937689732795</v>
      </c>
      <c r="AN1664">
        <v>0.99999997055735002</v>
      </c>
    </row>
    <row r="1665" spans="1:40" x14ac:dyDescent="0.25">
      <c r="A1665" t="str">
        <f>"20190312150659723"</f>
        <v>20190312150659723</v>
      </c>
      <c r="B1665" t="str">
        <f>"1552374419712066"</f>
        <v>1552374419712066</v>
      </c>
      <c r="C1665" t="s">
        <v>40</v>
      </c>
      <c r="D1665">
        <v>4.1880550000000003</v>
      </c>
      <c r="E1665">
        <v>0.49621419999999999</v>
      </c>
      <c r="F1665" t="s">
        <v>42</v>
      </c>
      <c r="G1665">
        <v>-225.33799999999999</v>
      </c>
      <c r="H1665" s="1">
        <v>-2.6603819999999999E-6</v>
      </c>
      <c r="I1665">
        <v>365.7937</v>
      </c>
      <c r="J1665">
        <v>-246.4299</v>
      </c>
      <c r="K1665">
        <v>1.1107640000000001</v>
      </c>
      <c r="L1665">
        <v>367.3107</v>
      </c>
      <c r="M1665">
        <v>0.99988379999999999</v>
      </c>
      <c r="N1665">
        <v>0</v>
      </c>
      <c r="O1665">
        <v>6.8528819999999898E-3</v>
      </c>
      <c r="P1665">
        <v>0.99440030000000001</v>
      </c>
      <c r="Q1665">
        <v>7.2107030000000003E-2</v>
      </c>
      <c r="R1665">
        <v>-7.7260229999999999E-2</v>
      </c>
      <c r="S1665">
        <v>3.0116580000000002</v>
      </c>
      <c r="T1665">
        <v>-0.1577365</v>
      </c>
      <c r="U1665">
        <v>-0.21530150000000001</v>
      </c>
      <c r="V1665">
        <v>8.4066059999999998E-2</v>
      </c>
      <c r="W1665">
        <v>8.5643469999999999E-2</v>
      </c>
      <c r="X1665">
        <v>0.99277289999999996</v>
      </c>
      <c r="Y1665">
        <v>7.8026020000000001E-2</v>
      </c>
      <c r="Z1665">
        <v>-2.3975950000000002E-3</v>
      </c>
      <c r="AA1665">
        <v>0.99694839999999996</v>
      </c>
      <c r="AB1665">
        <v>22</v>
      </c>
      <c r="AC1665">
        <v>21.091899999999999</v>
      </c>
      <c r="AD1665">
        <v>-1.1107666603819999</v>
      </c>
      <c r="AE1665">
        <v>-1.5169999999999899</v>
      </c>
      <c r="AF1665">
        <v>1.65694633265224</v>
      </c>
      <c r="AG1665">
        <v>-1.1107666603819999</v>
      </c>
      <c r="AH1665">
        <v>21.0230024869646</v>
      </c>
      <c r="AI1665">
        <v>93.015121667338093</v>
      </c>
      <c r="AJ1665">
        <v>85.493498980381901</v>
      </c>
      <c r="AK1665">
        <v>21.117431361082399</v>
      </c>
      <c r="AL1665">
        <v>85.086971926872906</v>
      </c>
      <c r="AM1665">
        <v>85.159852395191805</v>
      </c>
      <c r="AN1665">
        <v>0.99999996868598595</v>
      </c>
    </row>
    <row r="1666" spans="1:40" x14ac:dyDescent="0.25">
      <c r="A1666" t="str">
        <f>"20190312150659737"</f>
        <v>20190312150659737</v>
      </c>
      <c r="B1666" t="str">
        <f>"1552374419731586"</f>
        <v>1552374419731586</v>
      </c>
      <c r="C1666" t="s">
        <v>40</v>
      </c>
      <c r="D1666">
        <v>4.2053039999999999</v>
      </c>
      <c r="E1666">
        <v>0.49608659999999999</v>
      </c>
      <c r="F1666" t="s">
        <v>42</v>
      </c>
      <c r="G1666">
        <v>-225.3399</v>
      </c>
      <c r="H1666" s="1">
        <v>-2.6567840000000001E-6</v>
      </c>
      <c r="I1666">
        <v>365.80939999999998</v>
      </c>
      <c r="J1666">
        <v>-246.30629999999999</v>
      </c>
      <c r="K1666">
        <v>1.110765</v>
      </c>
      <c r="L1666">
        <v>367.3116</v>
      </c>
      <c r="M1666">
        <v>0.99988350000000004</v>
      </c>
      <c r="N1666">
        <v>0</v>
      </c>
      <c r="O1666">
        <v>6.9007499999999998E-3</v>
      </c>
      <c r="P1666">
        <v>0.99438139999999997</v>
      </c>
      <c r="Q1666">
        <v>7.2254830000000006E-2</v>
      </c>
      <c r="R1666">
        <v>-7.7361910000000006E-2</v>
      </c>
      <c r="S1666">
        <v>3.0117189999999998</v>
      </c>
      <c r="T1666">
        <v>-0.15862039999999999</v>
      </c>
      <c r="U1666">
        <v>-0.21438599999999999</v>
      </c>
      <c r="V1666">
        <v>8.4215449999999997E-2</v>
      </c>
      <c r="W1666">
        <v>8.5789779999999996E-2</v>
      </c>
      <c r="X1666">
        <v>0.99274770000000001</v>
      </c>
      <c r="Y1666">
        <v>7.7769759999999993E-2</v>
      </c>
      <c r="Z1666">
        <v>-2.4067709999999998E-3</v>
      </c>
      <c r="AA1666">
        <v>0.99696839999999998</v>
      </c>
      <c r="AB1666">
        <v>22</v>
      </c>
      <c r="AC1666">
        <v>20.9664</v>
      </c>
      <c r="AD1666">
        <v>-1.1107676567839999</v>
      </c>
      <c r="AE1666">
        <v>-1.50220000000001</v>
      </c>
      <c r="AF1666">
        <v>1.6422756589323499</v>
      </c>
      <c r="AG1666">
        <v>-1.1107676567839999</v>
      </c>
      <c r="AH1666">
        <v>20.897180486950798</v>
      </c>
      <c r="AI1666">
        <v>93.033298514739698</v>
      </c>
      <c r="AJ1666">
        <v>85.506452968451896</v>
      </c>
      <c r="AK1666">
        <v>20.991022519912502</v>
      </c>
      <c r="AL1666">
        <v>85.078558475107201</v>
      </c>
      <c r="AM1666">
        <v>85.151169664577296</v>
      </c>
      <c r="AN1666">
        <v>1.0000000621132099</v>
      </c>
    </row>
    <row r="1667" spans="1:40" x14ac:dyDescent="0.25">
      <c r="A1667" t="str">
        <f>"20190312150659748"</f>
        <v>20190312150659748</v>
      </c>
      <c r="B1667" t="str">
        <f>"1552374419742323"</f>
        <v>1552374419742323</v>
      </c>
      <c r="C1667" t="s">
        <v>40</v>
      </c>
      <c r="D1667">
        <v>4.1713610000000001</v>
      </c>
      <c r="E1667">
        <v>0.49606359999999999</v>
      </c>
      <c r="F1667" t="s">
        <v>42</v>
      </c>
      <c r="G1667">
        <v>-225.40790000000001</v>
      </c>
      <c r="H1667" s="1">
        <v>-2.624199E-6</v>
      </c>
      <c r="I1667">
        <v>365.82859999999999</v>
      </c>
      <c r="J1667">
        <v>-246.20400000000001</v>
      </c>
      <c r="K1667">
        <v>1.1107670000000001</v>
      </c>
      <c r="L1667">
        <v>367.31240000000003</v>
      </c>
      <c r="M1667">
        <v>0.99988319999999997</v>
      </c>
      <c r="N1667">
        <v>0</v>
      </c>
      <c r="O1667">
        <v>6.9403919999999897E-3</v>
      </c>
      <c r="P1667">
        <v>0.99437810000000004</v>
      </c>
      <c r="Q1667">
        <v>7.2152820000000006E-2</v>
      </c>
      <c r="R1667">
        <v>-7.7500840000000001E-2</v>
      </c>
      <c r="S1667">
        <v>3.011978</v>
      </c>
      <c r="T1667">
        <v>-0.16008900000000001</v>
      </c>
      <c r="U1667">
        <v>-0.21374509999999999</v>
      </c>
      <c r="V1667">
        <v>8.4393629999999997E-2</v>
      </c>
      <c r="W1667">
        <v>8.5687159999999998E-2</v>
      </c>
      <c r="X1667">
        <v>0.99274130000000005</v>
      </c>
      <c r="Y1667">
        <v>7.7590190000000003E-2</v>
      </c>
      <c r="Z1667">
        <v>-2.4261740000000001E-3</v>
      </c>
      <c r="AA1667">
        <v>0.99698240000000005</v>
      </c>
      <c r="AB1667">
        <v>22</v>
      </c>
      <c r="AC1667">
        <v>20.796099999999999</v>
      </c>
      <c r="AD1667">
        <v>-1.1107696241989999</v>
      </c>
      <c r="AE1667">
        <v>-1.48380000000003</v>
      </c>
      <c r="AF1667">
        <v>1.62350251945649</v>
      </c>
      <c r="AG1667">
        <v>-1.1107696241989999</v>
      </c>
      <c r="AH1667">
        <v>20.726469201045401</v>
      </c>
      <c r="AI1667">
        <v>93.058301642775405</v>
      </c>
      <c r="AJ1667">
        <v>85.521171725990001</v>
      </c>
      <c r="AK1667">
        <v>20.8196084288492</v>
      </c>
      <c r="AL1667">
        <v>85.084459254716293</v>
      </c>
      <c r="AM1667">
        <v>85.1409285765654</v>
      </c>
      <c r="AN1667">
        <v>0.99999993144956301</v>
      </c>
    </row>
    <row r="1668" spans="1:40" x14ac:dyDescent="0.25">
      <c r="A1668" t="str">
        <f>"20190312150659758"</f>
        <v>20190312150659758</v>
      </c>
      <c r="B1668" t="str">
        <f>"1552374419752082"</f>
        <v>1552374419752082</v>
      </c>
      <c r="C1668" t="s">
        <v>40</v>
      </c>
      <c r="D1668">
        <v>4.2213219999999998</v>
      </c>
      <c r="E1668">
        <v>0.49600519999999998</v>
      </c>
      <c r="F1668" t="s">
        <v>42</v>
      </c>
      <c r="G1668">
        <v>-225.53389999999999</v>
      </c>
      <c r="H1668" s="1">
        <v>-2.5674140000000001E-6</v>
      </c>
      <c r="I1668">
        <v>365.84410000000003</v>
      </c>
      <c r="J1668">
        <v>-246.1</v>
      </c>
      <c r="K1668">
        <v>1.110771</v>
      </c>
      <c r="L1668">
        <v>367.31310000000002</v>
      </c>
      <c r="M1668">
        <v>0.99988290000000002</v>
      </c>
      <c r="N1668">
        <v>0</v>
      </c>
      <c r="O1668">
        <v>6.9803929999999997E-3</v>
      </c>
      <c r="P1668">
        <v>0.99438859999999996</v>
      </c>
      <c r="Q1668">
        <v>7.2180350000000004E-2</v>
      </c>
      <c r="R1668">
        <v>-7.7338840000000006E-2</v>
      </c>
      <c r="S1668">
        <v>3.012054</v>
      </c>
      <c r="T1668">
        <v>-0.16186120000000001</v>
      </c>
      <c r="U1668">
        <v>-0.2139587</v>
      </c>
      <c r="V1668">
        <v>8.4271449999999998E-2</v>
      </c>
      <c r="W1668">
        <v>8.5713289999999998E-2</v>
      </c>
      <c r="X1668">
        <v>0.99274949999999995</v>
      </c>
      <c r="Y1668">
        <v>7.7695819999999999E-2</v>
      </c>
      <c r="Z1668">
        <v>-2.457903E-3</v>
      </c>
      <c r="AA1668">
        <v>0.99697409999999997</v>
      </c>
      <c r="AB1668">
        <v>22</v>
      </c>
      <c r="AC1668">
        <v>20.566099999999999</v>
      </c>
      <c r="AD1668">
        <v>-1.110773567414</v>
      </c>
      <c r="AE1668">
        <v>-1.4689999999999901</v>
      </c>
      <c r="AF1668">
        <v>1.60787051219676</v>
      </c>
      <c r="AG1668">
        <v>-1.110773567414</v>
      </c>
      <c r="AH1668">
        <v>20.49585928838</v>
      </c>
      <c r="AI1668">
        <v>93.092628235037793</v>
      </c>
      <c r="AJ1668">
        <v>85.514415619024604</v>
      </c>
      <c r="AK1668">
        <v>20.5888152517606</v>
      </c>
      <c r="AL1668">
        <v>85.082956962688399</v>
      </c>
      <c r="AM1668">
        <v>85.147969524274899</v>
      </c>
      <c r="AN1668">
        <v>1.0000000075589801</v>
      </c>
    </row>
    <row r="1669" spans="1:40" x14ac:dyDescent="0.25">
      <c r="A1669" t="str">
        <f>"20190312150659768"</f>
        <v>20190312150659768</v>
      </c>
      <c r="B1669" t="str">
        <f>"1552374419761842"</f>
        <v>1552374419761842</v>
      </c>
      <c r="C1669" t="s">
        <v>40</v>
      </c>
      <c r="D1669">
        <v>4.1927070000000004</v>
      </c>
      <c r="E1669">
        <v>0.49598239999999999</v>
      </c>
      <c r="F1669" t="s">
        <v>42</v>
      </c>
      <c r="G1669">
        <v>-225.3895</v>
      </c>
      <c r="H1669" s="1">
        <v>-2.6290000000000002E-6</v>
      </c>
      <c r="I1669">
        <v>365.84609999999998</v>
      </c>
      <c r="J1669">
        <v>-246.00200000000001</v>
      </c>
      <c r="K1669">
        <v>1.1107720000000001</v>
      </c>
      <c r="L1669">
        <v>367.31389999999999</v>
      </c>
      <c r="M1669">
        <v>0.99988279999999996</v>
      </c>
      <c r="N1669">
        <v>0</v>
      </c>
      <c r="O1669">
        <v>7.0181879999999999E-3</v>
      </c>
      <c r="P1669">
        <v>0.99438139999999997</v>
      </c>
      <c r="Q1669">
        <v>7.2095409999999999E-2</v>
      </c>
      <c r="R1669">
        <v>-7.7513659999999998E-2</v>
      </c>
      <c r="S1669">
        <v>3.012054</v>
      </c>
      <c r="T1669">
        <v>-0.16154549999999901</v>
      </c>
      <c r="U1669">
        <v>-0.21334839999999999</v>
      </c>
      <c r="V1669">
        <v>8.4483820000000001E-2</v>
      </c>
      <c r="W1669">
        <v>8.5627789999999995E-2</v>
      </c>
      <c r="X1669">
        <v>0.99273880000000003</v>
      </c>
      <c r="Y1669">
        <v>7.7533130000000006E-2</v>
      </c>
      <c r="Z1669">
        <v>-2.4508030000000001E-3</v>
      </c>
      <c r="AA1669">
        <v>0.9969867</v>
      </c>
      <c r="AB1669">
        <v>22</v>
      </c>
      <c r="AC1669">
        <v>20.612500000000001</v>
      </c>
      <c r="AD1669">
        <v>-1.11077462899999</v>
      </c>
      <c r="AE1669">
        <v>-1.46780000000001</v>
      </c>
      <c r="AF1669">
        <v>1.6077942237427001</v>
      </c>
      <c r="AG1669">
        <v>-1.11077462899999</v>
      </c>
      <c r="AH1669">
        <v>20.542336865164501</v>
      </c>
      <c r="AI1669">
        <v>93.085691024096207</v>
      </c>
      <c r="AJ1669">
        <v>85.524734578804797</v>
      </c>
      <c r="AK1669">
        <v>20.6350775725275</v>
      </c>
      <c r="AL1669">
        <v>85.087873691094799</v>
      </c>
      <c r="AM1669">
        <v>85.135748483223693</v>
      </c>
      <c r="AN1669">
        <v>0.99999997964375797</v>
      </c>
    </row>
    <row r="1670" spans="1:40" x14ac:dyDescent="0.25">
      <c r="A1670" t="str">
        <f>"20190312150659779"</f>
        <v>20190312150659779</v>
      </c>
      <c r="B1670" t="str">
        <f>"1552374419771602"</f>
        <v>1552374419771602</v>
      </c>
      <c r="C1670" t="s">
        <v>40</v>
      </c>
      <c r="D1670">
        <v>4.215643</v>
      </c>
      <c r="E1670">
        <v>0.49595669999999997</v>
      </c>
      <c r="F1670" t="s">
        <v>42</v>
      </c>
      <c r="G1670">
        <v>-225.44049999999999</v>
      </c>
      <c r="H1670" s="1">
        <v>-2.6055019999999999E-6</v>
      </c>
      <c r="I1670">
        <v>365.85509999999999</v>
      </c>
      <c r="J1670">
        <v>-245.8956</v>
      </c>
      <c r="K1670">
        <v>1.1107739999999999</v>
      </c>
      <c r="L1670">
        <v>367.31470000000002</v>
      </c>
      <c r="M1670">
        <v>0.99988250000000001</v>
      </c>
      <c r="N1670">
        <v>0</v>
      </c>
      <c r="O1670">
        <v>7.0592010000000002E-3</v>
      </c>
      <c r="P1670">
        <v>0.99439339999999998</v>
      </c>
      <c r="Q1670">
        <v>7.191119E-2</v>
      </c>
      <c r="R1670">
        <v>-7.7528970000000003E-2</v>
      </c>
      <c r="S1670">
        <v>3.0120849999999999</v>
      </c>
      <c r="T1670">
        <v>-0.16271849999999999</v>
      </c>
      <c r="U1670">
        <v>-0.21368409999999999</v>
      </c>
      <c r="V1670">
        <v>8.4540000000000004E-2</v>
      </c>
      <c r="W1670">
        <v>8.5442499999999894E-2</v>
      </c>
      <c r="X1670">
        <v>0.99275000000000002</v>
      </c>
      <c r="Y1670">
        <v>7.7681840000000002E-2</v>
      </c>
      <c r="Z1670">
        <v>-2.474759E-3</v>
      </c>
      <c r="AA1670">
        <v>0.9969751</v>
      </c>
      <c r="AB1670">
        <v>22</v>
      </c>
      <c r="AC1670">
        <v>20.455100000000002</v>
      </c>
      <c r="AD1670">
        <v>-1.1107766055020001</v>
      </c>
      <c r="AE1670">
        <v>-1.45960000000002</v>
      </c>
      <c r="AF1670">
        <v>1.5992815334208399</v>
      </c>
      <c r="AG1670">
        <v>-1.1107766055020001</v>
      </c>
      <c r="AH1670">
        <v>20.3844797535052</v>
      </c>
      <c r="AI1670">
        <v>93.109499817856005</v>
      </c>
      <c r="AJ1670">
        <v>85.514000538780493</v>
      </c>
      <c r="AK1670">
        <v>20.477268883118601</v>
      </c>
      <c r="AL1670">
        <v>85.098529164167701</v>
      </c>
      <c r="AM1670">
        <v>85.132584041599799</v>
      </c>
      <c r="AN1670">
        <v>0.99999999745312496</v>
      </c>
    </row>
    <row r="1671" spans="1:40" x14ac:dyDescent="0.25">
      <c r="A1671" t="str">
        <f>"20190312150659790"</f>
        <v>20190312150659790</v>
      </c>
      <c r="B1671" t="str">
        <f>"1552374419782338"</f>
        <v>1552374419782338</v>
      </c>
      <c r="C1671" t="s">
        <v>40</v>
      </c>
      <c r="D1671">
        <v>4.2245089999999896</v>
      </c>
      <c r="E1671">
        <v>0.4959344</v>
      </c>
      <c r="F1671" t="s">
        <v>42</v>
      </c>
      <c r="G1671">
        <v>-225.60470000000001</v>
      </c>
      <c r="H1671" s="1">
        <v>-2.531791E-6</v>
      </c>
      <c r="I1671">
        <v>365.87369999999999</v>
      </c>
      <c r="J1671">
        <v>-245.7936</v>
      </c>
      <c r="K1671">
        <v>1.110768</v>
      </c>
      <c r="L1671">
        <v>367.31540000000001</v>
      </c>
      <c r="M1671">
        <v>0.99988220000000005</v>
      </c>
      <c r="N1671">
        <v>0</v>
      </c>
      <c r="O1671">
        <v>7.0988419999999898E-3</v>
      </c>
      <c r="P1671">
        <v>0.99437410000000004</v>
      </c>
      <c r="Q1671">
        <v>7.2167229999999999E-2</v>
      </c>
      <c r="R1671">
        <v>-7.7536720000000003E-2</v>
      </c>
      <c r="S1671">
        <v>3.0121310000000001</v>
      </c>
      <c r="T1671">
        <v>-0.16489089999999901</v>
      </c>
      <c r="U1671">
        <v>-0.2138977</v>
      </c>
      <c r="V1671">
        <v>8.4587140000000005E-2</v>
      </c>
      <c r="W1671">
        <v>8.5697140000000005E-2</v>
      </c>
      <c r="X1671">
        <v>0.9927241</v>
      </c>
      <c r="Y1671">
        <v>7.7787120000000001E-2</v>
      </c>
      <c r="Z1671">
        <v>-2.5127460000000002E-3</v>
      </c>
      <c r="AA1671">
        <v>0.99696680000000004</v>
      </c>
      <c r="AB1671">
        <v>22</v>
      </c>
      <c r="AC1671">
        <v>20.188899999999901</v>
      </c>
      <c r="AD1671">
        <v>-1.1107705317909999</v>
      </c>
      <c r="AE1671">
        <v>-1.44170000000002</v>
      </c>
      <c r="AF1671">
        <v>1.5802355261977801</v>
      </c>
      <c r="AG1671">
        <v>-1.1107705317909999</v>
      </c>
      <c r="AH1671">
        <v>20.117567410379799</v>
      </c>
      <c r="AI1671">
        <v>93.150632621320696</v>
      </c>
      <c r="AJ1671">
        <v>85.508637040104205</v>
      </c>
      <c r="AK1671">
        <v>20.210083473447899</v>
      </c>
      <c r="AL1671">
        <v>85.083885972085099</v>
      </c>
      <c r="AM1671">
        <v>85.129756542832894</v>
      </c>
      <c r="AN1671">
        <v>1.00000006138918</v>
      </c>
    </row>
    <row r="1672" spans="1:40" x14ac:dyDescent="0.25">
      <c r="A1672" t="str">
        <f>"20190312150659811"</f>
        <v>20190312150659811</v>
      </c>
      <c r="B1672" t="str">
        <f>"1552374419802365"</f>
        <v>1552374419802365</v>
      </c>
      <c r="C1672" t="s">
        <v>40</v>
      </c>
      <c r="D1672">
        <v>4.2312269999999996</v>
      </c>
      <c r="E1672">
        <v>0.49586150000000001</v>
      </c>
      <c r="F1672" t="s">
        <v>42</v>
      </c>
      <c r="G1672">
        <v>-225.39330000000001</v>
      </c>
      <c r="H1672" s="1">
        <v>-2.6235899999999999E-6</v>
      </c>
      <c r="I1672">
        <v>365.8673</v>
      </c>
      <c r="J1672">
        <v>-245.59289999999999</v>
      </c>
      <c r="K1672">
        <v>1.110768</v>
      </c>
      <c r="L1672">
        <v>367.31700000000001</v>
      </c>
      <c r="M1672">
        <v>0.99988169999999998</v>
      </c>
      <c r="N1672">
        <v>0</v>
      </c>
      <c r="O1672">
        <v>7.1764560000000003E-3</v>
      </c>
      <c r="P1672">
        <v>0.99432900000000002</v>
      </c>
      <c r="Q1672">
        <v>7.2219569999999997E-2</v>
      </c>
      <c r="R1672">
        <v>-7.8067529999999996E-2</v>
      </c>
      <c r="S1672">
        <v>3.0121920000000002</v>
      </c>
      <c r="T1672">
        <v>-0.16400919999999999</v>
      </c>
      <c r="U1672">
        <v>-0.2138062</v>
      </c>
      <c r="V1672">
        <v>8.5194590000000001E-2</v>
      </c>
      <c r="W1672">
        <v>8.5746559999999999E-2</v>
      </c>
      <c r="X1672">
        <v>0.99266790000000005</v>
      </c>
      <c r="Y1672">
        <v>7.7834109999999998E-2</v>
      </c>
      <c r="Z1672">
        <v>-2.504778E-3</v>
      </c>
      <c r="AA1672">
        <v>0.99696320000000005</v>
      </c>
      <c r="AB1672">
        <v>22</v>
      </c>
      <c r="AC1672">
        <v>20.199599999999901</v>
      </c>
      <c r="AD1672">
        <v>-1.1107706235899999</v>
      </c>
      <c r="AE1672">
        <v>-1.44969999999995</v>
      </c>
      <c r="AF1672">
        <v>1.5898547393795801</v>
      </c>
      <c r="AG1672">
        <v>-1.1107706235899999</v>
      </c>
      <c r="AH1672">
        <v>20.128122123199201</v>
      </c>
      <c r="AI1672">
        <v>93.148876654207797</v>
      </c>
      <c r="AJ1672">
        <v>85.483769723127594</v>
      </c>
      <c r="AK1672">
        <v>20.221343913721</v>
      </c>
      <c r="AL1672">
        <v>85.081044021793502</v>
      </c>
      <c r="AM1672">
        <v>85.0946752991605</v>
      </c>
      <c r="AN1672">
        <v>1.0000000752037499</v>
      </c>
    </row>
    <row r="1673" spans="1:40" x14ac:dyDescent="0.25">
      <c r="A1673" t="str">
        <f>"20190312150659824"</f>
        <v>20190312150659824</v>
      </c>
      <c r="B1673" t="str">
        <f>"1552374419821885"</f>
        <v>1552374419821885</v>
      </c>
      <c r="C1673" t="s">
        <v>40</v>
      </c>
      <c r="D1673">
        <v>4.4176089999999997</v>
      </c>
      <c r="E1673">
        <v>0.49589909999999998</v>
      </c>
      <c r="F1673" t="s">
        <v>42</v>
      </c>
      <c r="G1673">
        <v>-225.1293</v>
      </c>
      <c r="H1673" s="1">
        <v>-2.7382809999999998E-6</v>
      </c>
      <c r="I1673">
        <v>365.85939999999999</v>
      </c>
      <c r="J1673">
        <v>-245.46690000000001</v>
      </c>
      <c r="K1673">
        <v>1.1107659999999999</v>
      </c>
      <c r="L1673">
        <v>367.31790000000001</v>
      </c>
      <c r="M1673">
        <v>0.99988140000000003</v>
      </c>
      <c r="N1673">
        <v>0</v>
      </c>
      <c r="O1673">
        <v>7.2250389999999999E-3</v>
      </c>
      <c r="P1673">
        <v>0.99431069999999999</v>
      </c>
      <c r="Q1673">
        <v>7.22029E-2</v>
      </c>
      <c r="R1673">
        <v>-7.8316410000000003E-2</v>
      </c>
      <c r="S1673">
        <v>3.0121310000000001</v>
      </c>
      <c r="T1673">
        <v>-0.16349830000000001</v>
      </c>
      <c r="U1673">
        <v>-0.2145386</v>
      </c>
      <c r="V1673">
        <v>8.5491689999999995E-2</v>
      </c>
      <c r="W1673">
        <v>8.5728009999999993E-2</v>
      </c>
      <c r="X1673">
        <v>0.99264390000000002</v>
      </c>
      <c r="Y1673">
        <v>7.8125449999999999E-2</v>
      </c>
      <c r="Z1673">
        <v>-2.507539E-3</v>
      </c>
      <c r="AA1673">
        <v>0.99694039999999995</v>
      </c>
      <c r="AB1673">
        <v>21</v>
      </c>
      <c r="AC1673">
        <v>20.337599999999998</v>
      </c>
      <c r="AD1673">
        <v>-1.1107687382810001</v>
      </c>
      <c r="AE1673">
        <v>-1.4585000000000099</v>
      </c>
      <c r="AF1673">
        <v>1.6006651759163999</v>
      </c>
      <c r="AG1673">
        <v>-1.1107687382810001</v>
      </c>
      <c r="AH1673">
        <v>20.266385815678699</v>
      </c>
      <c r="AI1673">
        <v>93.127432851991998</v>
      </c>
      <c r="AJ1673">
        <v>85.484080358010502</v>
      </c>
      <c r="AK1673">
        <v>20.359821468403801</v>
      </c>
      <c r="AL1673">
        <v>85.082110496989301</v>
      </c>
      <c r="AM1673">
        <v>85.077534383796007</v>
      </c>
      <c r="AN1673">
        <v>1.0000000164824101</v>
      </c>
    </row>
    <row r="1674" spans="1:40" x14ac:dyDescent="0.25">
      <c r="A1674" t="str">
        <f>"20190312150659838"</f>
        <v>20190312150659838</v>
      </c>
      <c r="B1674" t="str">
        <f>"1552374419831646"</f>
        <v>1552374419831646</v>
      </c>
      <c r="C1674" t="s">
        <v>40</v>
      </c>
      <c r="D1674">
        <v>4.2208300000000003</v>
      </c>
      <c r="E1674">
        <v>0.52290700000000001</v>
      </c>
      <c r="F1674" t="s">
        <v>42</v>
      </c>
      <c r="G1674">
        <v>-224.99690000000001</v>
      </c>
      <c r="H1674" s="1">
        <v>-2.796359E-6</v>
      </c>
      <c r="I1674">
        <v>365.85219999999998</v>
      </c>
      <c r="J1674">
        <v>-245.33449999999999</v>
      </c>
      <c r="K1674">
        <v>1.1107659999999999</v>
      </c>
      <c r="L1674">
        <v>367.31889999999999</v>
      </c>
      <c r="M1674">
        <v>0.99988100000000002</v>
      </c>
      <c r="N1674">
        <v>0</v>
      </c>
      <c r="O1674">
        <v>7.2765989999999999E-3</v>
      </c>
      <c r="P1674">
        <v>0.99429020000000001</v>
      </c>
      <c r="Q1674">
        <v>7.2344110000000003E-2</v>
      </c>
      <c r="R1674">
        <v>-7.8444639999999996E-2</v>
      </c>
      <c r="S1674">
        <v>3.012054</v>
      </c>
      <c r="T1674">
        <v>-0.163443</v>
      </c>
      <c r="U1674">
        <v>-0.21566769999999999</v>
      </c>
      <c r="V1674">
        <v>8.5671020000000001E-2</v>
      </c>
      <c r="W1674">
        <v>8.5867219999999994E-2</v>
      </c>
      <c r="X1674">
        <v>0.99261639999999995</v>
      </c>
      <c r="Y1674">
        <v>7.8549859999999999E-2</v>
      </c>
      <c r="Z1674">
        <v>-2.521007E-3</v>
      </c>
      <c r="AA1674">
        <v>0.99690699999999999</v>
      </c>
      <c r="AB1674">
        <v>21</v>
      </c>
      <c r="AC1674">
        <v>20.337599999999899</v>
      </c>
      <c r="AD1674">
        <v>-1.1107687963589901</v>
      </c>
      <c r="AE1674">
        <v>-1.4666999999999999</v>
      </c>
      <c r="AF1674">
        <v>1.6098860313210701</v>
      </c>
      <c r="AG1674">
        <v>-1.1107687963589901</v>
      </c>
      <c r="AH1674">
        <v>20.266247204576</v>
      </c>
      <c r="AI1674">
        <v>93.1273424468841</v>
      </c>
      <c r="AJ1674">
        <v>85.458143370155398</v>
      </c>
      <c r="AK1674">
        <v>20.360410509363302</v>
      </c>
      <c r="AL1674">
        <v>85.074104801133302</v>
      </c>
      <c r="AM1674">
        <v>85.0671237761741</v>
      </c>
      <c r="AN1674">
        <v>1.0000000103436599</v>
      </c>
    </row>
    <row r="1675" spans="1:40" x14ac:dyDescent="0.25">
      <c r="A1675" t="str">
        <f>"20190312150659851"</f>
        <v>20190312150659851</v>
      </c>
      <c r="B1675" t="str">
        <f>"1552374419842383"</f>
        <v>1552374419842383</v>
      </c>
      <c r="C1675" t="s">
        <v>40</v>
      </c>
      <c r="D1675">
        <v>4.2983510000000003</v>
      </c>
      <c r="E1675">
        <v>0.52790939999999997</v>
      </c>
      <c r="F1675" t="s">
        <v>42</v>
      </c>
      <c r="G1675">
        <v>-212.56610000000001</v>
      </c>
      <c r="H1675" s="1">
        <v>-4.4117219999999998E-6</v>
      </c>
      <c r="I1675">
        <v>362.62439999999998</v>
      </c>
      <c r="J1675">
        <v>-245.21260000000001</v>
      </c>
      <c r="K1675">
        <v>1.110768</v>
      </c>
      <c r="L1675">
        <v>367.31990000000002</v>
      </c>
      <c r="M1675">
        <v>0.99988060000000001</v>
      </c>
      <c r="N1675">
        <v>0</v>
      </c>
      <c r="O1675">
        <v>7.32381099999999E-3</v>
      </c>
      <c r="P1675">
        <v>0.99425730000000001</v>
      </c>
      <c r="Q1675">
        <v>7.2421760000000002E-2</v>
      </c>
      <c r="R1675">
        <v>-7.8788839999999999E-2</v>
      </c>
      <c r="S1675">
        <v>2.990799</v>
      </c>
      <c r="T1675">
        <v>-0.1013806</v>
      </c>
      <c r="U1675">
        <v>-0.42846679999999998</v>
      </c>
      <c r="V1675">
        <v>8.6061869999999999E-2</v>
      </c>
      <c r="W1675">
        <v>8.5943240000000004E-2</v>
      </c>
      <c r="X1675">
        <v>0.99257600000000001</v>
      </c>
      <c r="Y1675">
        <v>0.14897249999999901</v>
      </c>
      <c r="Z1675">
        <v>-2.7583439999999998E-3</v>
      </c>
      <c r="AA1675">
        <v>0.98883750000000004</v>
      </c>
      <c r="AB1675">
        <v>21</v>
      </c>
      <c r="AC1675">
        <v>32.646500000000003</v>
      </c>
      <c r="AD1675">
        <v>-1.1107724117219999</v>
      </c>
      <c r="AE1675">
        <v>-4.6955000000000302</v>
      </c>
      <c r="AF1675">
        <v>4.9289026839810104</v>
      </c>
      <c r="AG1675">
        <v>-1.1107724117219999</v>
      </c>
      <c r="AH1675">
        <v>32.574286821373001</v>
      </c>
      <c r="AI1675">
        <v>91.931046265778093</v>
      </c>
      <c r="AJ1675">
        <v>81.395692499772693</v>
      </c>
      <c r="AK1675">
        <v>32.963799218838098</v>
      </c>
      <c r="AL1675">
        <v>85.069732968084097</v>
      </c>
      <c r="AM1675">
        <v>85.044530026903502</v>
      </c>
      <c r="AN1675">
        <v>1.0000000008727901</v>
      </c>
    </row>
    <row r="1676" spans="1:40" x14ac:dyDescent="0.25">
      <c r="A1676" t="str">
        <f>"20190312150659863"</f>
        <v>20190312150659863</v>
      </c>
      <c r="B1676" t="str">
        <f>"1552374419852142"</f>
        <v>1552374419852142</v>
      </c>
      <c r="C1676" t="s">
        <v>40</v>
      </c>
      <c r="D1676">
        <v>4.3048520000000003</v>
      </c>
      <c r="E1676">
        <v>0.53003009999999995</v>
      </c>
      <c r="F1676" t="s">
        <v>42</v>
      </c>
      <c r="G1676">
        <v>-218.73500000000001</v>
      </c>
      <c r="H1676" s="1">
        <v>-2.1356330000000002E-6</v>
      </c>
      <c r="I1676">
        <v>363.15559999999999</v>
      </c>
      <c r="J1676">
        <v>-245.0941</v>
      </c>
      <c r="K1676">
        <v>1.1107659999999999</v>
      </c>
      <c r="L1676">
        <v>367.32080000000002</v>
      </c>
      <c r="M1676">
        <v>0.99988030000000006</v>
      </c>
      <c r="N1676">
        <v>0</v>
      </c>
      <c r="O1676">
        <v>7.3692969999999899E-3</v>
      </c>
      <c r="P1676">
        <v>0.99421300000000001</v>
      </c>
      <c r="Q1676">
        <v>7.2679969999999997E-2</v>
      </c>
      <c r="R1676">
        <v>-7.9109540000000006E-2</v>
      </c>
      <c r="S1676">
        <v>2.9891969999999999</v>
      </c>
      <c r="T1676">
        <v>-0.12540009999999999</v>
      </c>
      <c r="U1676">
        <v>-0.47012330000000002</v>
      </c>
      <c r="V1676">
        <v>8.6427550000000006E-2</v>
      </c>
      <c r="W1676">
        <v>8.6199769999999995E-2</v>
      </c>
      <c r="X1676">
        <v>0.99252200000000002</v>
      </c>
      <c r="Y1676">
        <v>0.16249479999999999</v>
      </c>
      <c r="Z1676">
        <v>-3.6933349999999998E-3</v>
      </c>
      <c r="AA1676">
        <v>0.98670250000000004</v>
      </c>
      <c r="AB1676">
        <v>21</v>
      </c>
      <c r="AC1676">
        <v>26.359099999999899</v>
      </c>
      <c r="AD1676">
        <v>-1.1107681356329999</v>
      </c>
      <c r="AE1676">
        <v>-4.16520000000002</v>
      </c>
      <c r="AF1676">
        <v>4.3518133513097004</v>
      </c>
      <c r="AG1676">
        <v>-1.1107681356329999</v>
      </c>
      <c r="AH1676">
        <v>26.2821527019615</v>
      </c>
      <c r="AI1676">
        <v>92.387592840548095</v>
      </c>
      <c r="AJ1676">
        <v>80.598236337510599</v>
      </c>
      <c r="AK1676">
        <v>26.66315127559</v>
      </c>
      <c r="AL1676">
        <v>85.054980233758599</v>
      </c>
      <c r="AM1676">
        <v>85.023310176817105</v>
      </c>
      <c r="AN1676">
        <v>1.00000002111552</v>
      </c>
    </row>
    <row r="1677" spans="1:40" x14ac:dyDescent="0.25">
      <c r="A1677" t="str">
        <f>"20190312150659875"</f>
        <v>20190312150659875</v>
      </c>
      <c r="B1677" t="str">
        <f>"1552374419871662"</f>
        <v>1552374419871662</v>
      </c>
      <c r="C1677" t="s">
        <v>40</v>
      </c>
      <c r="D1677">
        <v>4.2424989999999996</v>
      </c>
      <c r="E1677">
        <v>0.53401909999999997</v>
      </c>
      <c r="F1677" t="s">
        <v>42</v>
      </c>
      <c r="G1677">
        <v>-221.9597</v>
      </c>
      <c r="H1677" s="1">
        <v>-4.5091809999999996E-6</v>
      </c>
      <c r="I1677">
        <v>363.54140000000001</v>
      </c>
      <c r="J1677">
        <v>-244.9776</v>
      </c>
      <c r="K1677">
        <v>1.110768</v>
      </c>
      <c r="L1677">
        <v>367.32170000000002</v>
      </c>
      <c r="M1677">
        <v>0.99988010000000005</v>
      </c>
      <c r="N1677">
        <v>0</v>
      </c>
      <c r="O1677">
        <v>7.4143619999999999E-3</v>
      </c>
      <c r="P1677">
        <v>0.99417370000000005</v>
      </c>
      <c r="Q1677">
        <v>7.2689219999999999E-2</v>
      </c>
      <c r="R1677">
        <v>-7.9595860000000004E-2</v>
      </c>
      <c r="S1677">
        <v>2.9890750000000001</v>
      </c>
      <c r="T1677">
        <v>-0.14351649999999999</v>
      </c>
      <c r="U1677">
        <v>-0.48831180000000002</v>
      </c>
      <c r="V1677">
        <v>8.6958199999999999E-2</v>
      </c>
      <c r="W1677">
        <v>8.6206899999999906E-2</v>
      </c>
      <c r="X1677">
        <v>0.992475</v>
      </c>
      <c r="Y1677">
        <v>0.16834460000000001</v>
      </c>
      <c r="Z1677">
        <v>-4.3660770000000003E-3</v>
      </c>
      <c r="AA1677">
        <v>0.98571850000000005</v>
      </c>
      <c r="AB1677">
        <v>21</v>
      </c>
      <c r="AC1677">
        <v>23.017900000000001</v>
      </c>
      <c r="AD1677">
        <v>-1.1107725091809999</v>
      </c>
      <c r="AE1677">
        <v>-3.7803000000000102</v>
      </c>
      <c r="AF1677">
        <v>3.94193628550221</v>
      </c>
      <c r="AG1677">
        <v>-1.1107725091809999</v>
      </c>
      <c r="AH1677">
        <v>22.937224410521999</v>
      </c>
      <c r="AI1677">
        <v>92.732479405719999</v>
      </c>
      <c r="AJ1677">
        <v>80.248543528971297</v>
      </c>
      <c r="AK1677">
        <v>23.299977272623099</v>
      </c>
      <c r="AL1677">
        <v>85.054570043599</v>
      </c>
      <c r="AM1677">
        <v>84.992673126247595</v>
      </c>
      <c r="AN1677">
        <v>0.99999999188992394</v>
      </c>
    </row>
    <row r="1678" spans="1:40" x14ac:dyDescent="0.25">
      <c r="A1678" t="str">
        <f>"20190312150659890"</f>
        <v>20190312150659890</v>
      </c>
      <c r="B1678" t="str">
        <f>"1552374419881423"</f>
        <v>1552374419881423</v>
      </c>
      <c r="C1678" t="s">
        <v>40</v>
      </c>
      <c r="D1678">
        <v>4.3060830000000001</v>
      </c>
      <c r="E1678">
        <v>0.53477430000000004</v>
      </c>
      <c r="F1678" t="s">
        <v>42</v>
      </c>
      <c r="G1678">
        <v>-222.3973</v>
      </c>
      <c r="H1678" s="1">
        <v>-4.3509890000000003E-6</v>
      </c>
      <c r="I1678">
        <v>363.37490000000003</v>
      </c>
      <c r="J1678">
        <v>-244.8434</v>
      </c>
      <c r="K1678">
        <v>1.11077</v>
      </c>
      <c r="L1678">
        <v>367.3227</v>
      </c>
      <c r="M1678">
        <v>0.99987959999999998</v>
      </c>
      <c r="N1678">
        <v>0</v>
      </c>
      <c r="O1678">
        <v>7.4664029999999999E-3</v>
      </c>
      <c r="P1678">
        <v>0.99411669999999996</v>
      </c>
      <c r="Q1678">
        <v>7.2656299999999993E-2</v>
      </c>
      <c r="R1678">
        <v>-8.0331630000000001E-2</v>
      </c>
      <c r="S1678">
        <v>2.986526</v>
      </c>
      <c r="T1678">
        <v>-0.1469126</v>
      </c>
      <c r="U1678">
        <v>-0.5220032</v>
      </c>
      <c r="V1678">
        <v>8.7745359999999994E-2</v>
      </c>
      <c r="W1678">
        <v>8.6172219999999994E-2</v>
      </c>
      <c r="X1678">
        <v>0.99240879999999998</v>
      </c>
      <c r="Y1678">
        <v>0.17930739999999901</v>
      </c>
      <c r="Z1678">
        <v>-4.7388609999999996E-3</v>
      </c>
      <c r="AA1678">
        <v>0.98378169999999998</v>
      </c>
      <c r="AB1678">
        <v>21</v>
      </c>
      <c r="AC1678">
        <v>22.446100000000001</v>
      </c>
      <c r="AD1678">
        <v>-1.110774350989</v>
      </c>
      <c r="AE1678">
        <v>-3.9477999999999698</v>
      </c>
      <c r="AF1678">
        <v>4.1055447074281703</v>
      </c>
      <c r="AG1678">
        <v>-1.110774350989</v>
      </c>
      <c r="AH1678">
        <v>22.362874549549101</v>
      </c>
      <c r="AI1678">
        <v>92.796903708378295</v>
      </c>
      <c r="AJ1678">
        <v>79.597052513893303</v>
      </c>
      <c r="AK1678">
        <v>22.763731572885298</v>
      </c>
      <c r="AL1678">
        <v>85.056564835493802</v>
      </c>
      <c r="AM1678">
        <v>84.947244257328606</v>
      </c>
      <c r="AN1678">
        <v>1.00000006300934</v>
      </c>
    </row>
    <row r="1679" spans="1:40" x14ac:dyDescent="0.25">
      <c r="A1679" t="str">
        <f>"20190312150659900"</f>
        <v>20190312150659900</v>
      </c>
      <c r="B1679" t="str">
        <f>"1552374419892158"</f>
        <v>1552374419892158</v>
      </c>
      <c r="C1679" t="s">
        <v>40</v>
      </c>
      <c r="D1679">
        <v>4.3261229999999999</v>
      </c>
      <c r="E1679">
        <v>0.534918</v>
      </c>
      <c r="F1679" t="s">
        <v>42</v>
      </c>
      <c r="G1679">
        <v>-223.2997</v>
      </c>
      <c r="H1679" s="1">
        <v>-3.9420389999999997E-6</v>
      </c>
      <c r="I1679">
        <v>363.49790000000002</v>
      </c>
      <c r="J1679">
        <v>-244.73150000000001</v>
      </c>
      <c r="K1679">
        <v>1.11077</v>
      </c>
      <c r="L1679">
        <v>367.3236</v>
      </c>
      <c r="M1679">
        <v>0.99987939999999997</v>
      </c>
      <c r="N1679">
        <v>0</v>
      </c>
      <c r="O1679">
        <v>7.5095619999999896E-3</v>
      </c>
      <c r="P1679">
        <v>0.99407299999999998</v>
      </c>
      <c r="Q1679">
        <v>7.2878739999999997E-2</v>
      </c>
      <c r="R1679">
        <v>-8.0668509999999999E-2</v>
      </c>
      <c r="S1679">
        <v>2.9861599999999999</v>
      </c>
      <c r="T1679">
        <v>-0.15396299999999999</v>
      </c>
      <c r="U1679">
        <v>-0.53015140000000005</v>
      </c>
      <c r="V1679">
        <v>8.8124869999999994E-2</v>
      </c>
      <c r="W1679">
        <v>8.6392640000000007E-2</v>
      </c>
      <c r="X1679">
        <v>0.99235589999999996</v>
      </c>
      <c r="Y1679">
        <v>0.18194840000000001</v>
      </c>
      <c r="Z1679">
        <v>-5.0351450000000004E-3</v>
      </c>
      <c r="AA1679">
        <v>0.98329520000000004</v>
      </c>
      <c r="AB1679">
        <v>21</v>
      </c>
      <c r="AC1679">
        <v>21.431799999999999</v>
      </c>
      <c r="AD1679">
        <v>-1.1107739420389999</v>
      </c>
      <c r="AE1679">
        <v>-3.8256999999999799</v>
      </c>
      <c r="AF1679">
        <v>3.9761994732032</v>
      </c>
      <c r="AG1679">
        <v>-1.1107739420389999</v>
      </c>
      <c r="AH1679">
        <v>21.3468928502562</v>
      </c>
      <c r="AI1679">
        <v>92.928391094236204</v>
      </c>
      <c r="AJ1679">
        <v>79.448663977673803</v>
      </c>
      <c r="AK1679">
        <v>21.7424427183639</v>
      </c>
      <c r="AL1679">
        <v>85.043887897999994</v>
      </c>
      <c r="AM1679">
        <v>84.925235199747405</v>
      </c>
      <c r="AN1679">
        <v>0.99999995661174701</v>
      </c>
    </row>
    <row r="1680" spans="1:40" x14ac:dyDescent="0.25">
      <c r="A1680" t="str">
        <f>"20190312150659913"</f>
        <v>20190312150659913</v>
      </c>
      <c r="B1680" t="str">
        <f>"1552374419901918"</f>
        <v>1552374419901918</v>
      </c>
      <c r="C1680" t="s">
        <v>40</v>
      </c>
      <c r="D1680">
        <v>4.289104</v>
      </c>
      <c r="E1680">
        <v>0.53529479999999996</v>
      </c>
      <c r="F1680" t="s">
        <v>42</v>
      </c>
      <c r="G1680">
        <v>-223.69149999999999</v>
      </c>
      <c r="H1680" s="1">
        <v>-3.7607499999999999E-6</v>
      </c>
      <c r="I1680">
        <v>363.57240000000002</v>
      </c>
      <c r="J1680">
        <v>-244.61580000000001</v>
      </c>
      <c r="K1680">
        <v>1.11077</v>
      </c>
      <c r="L1680">
        <v>367.32459999999998</v>
      </c>
      <c r="M1680">
        <v>0.99987899999999996</v>
      </c>
      <c r="N1680">
        <v>0</v>
      </c>
      <c r="O1680">
        <v>7.5542700000000001E-3</v>
      </c>
      <c r="P1680">
        <v>0.99401189999999995</v>
      </c>
      <c r="Q1680">
        <v>7.3135640000000002E-2</v>
      </c>
      <c r="R1680">
        <v>-8.119034E-2</v>
      </c>
      <c r="S1680">
        <v>2.9862519999999999</v>
      </c>
      <c r="T1680">
        <v>-0.1576536</v>
      </c>
      <c r="U1680">
        <v>-0.53240969999999999</v>
      </c>
      <c r="V1680">
        <v>8.8690329999999998E-2</v>
      </c>
      <c r="W1680">
        <v>8.6647260000000004E-2</v>
      </c>
      <c r="X1680">
        <v>0.99228329999999998</v>
      </c>
      <c r="Y1680">
        <v>0.1826951</v>
      </c>
      <c r="Z1680">
        <v>-5.1770690000000003E-3</v>
      </c>
      <c r="AA1680">
        <v>0.98315600000000003</v>
      </c>
      <c r="AB1680">
        <v>21</v>
      </c>
      <c r="AC1680">
        <v>20.924299999999999</v>
      </c>
      <c r="AD1680">
        <v>-1.1107737607499999</v>
      </c>
      <c r="AE1680">
        <v>-3.75219999999995</v>
      </c>
      <c r="AF1680">
        <v>3.8995286230258199</v>
      </c>
      <c r="AG1680">
        <v>-1.1107737607499999</v>
      </c>
      <c r="AH1680">
        <v>20.838460701739599</v>
      </c>
      <c r="AI1680">
        <v>92.999243289937795</v>
      </c>
      <c r="AJ1680">
        <v>79.400752574053698</v>
      </c>
      <c r="AK1680">
        <v>21.2292624989026</v>
      </c>
      <c r="AL1680">
        <v>85.029244226015507</v>
      </c>
      <c r="AM1680">
        <v>84.892472557490706</v>
      </c>
      <c r="AN1680">
        <v>0.99999993487995098</v>
      </c>
    </row>
    <row r="1681" spans="1:40" x14ac:dyDescent="0.25">
      <c r="A1681" t="str">
        <f>"20190312150659924"</f>
        <v>20190312150659924</v>
      </c>
      <c r="B1681" t="str">
        <f>"1552374419921438"</f>
        <v>1552374419921438</v>
      </c>
      <c r="C1681" t="s">
        <v>40</v>
      </c>
      <c r="D1681">
        <v>4.2771100000000004</v>
      </c>
      <c r="E1681">
        <v>0.53588259999999999</v>
      </c>
      <c r="F1681" t="s">
        <v>42</v>
      </c>
      <c r="G1681">
        <v>-224.09950000000001</v>
      </c>
      <c r="H1681" s="1">
        <v>-3.5856730000000001E-6</v>
      </c>
      <c r="I1681">
        <v>363.6345</v>
      </c>
      <c r="J1681">
        <v>-244.51240000000001</v>
      </c>
      <c r="K1681">
        <v>1.110773</v>
      </c>
      <c r="L1681">
        <v>367.3254</v>
      </c>
      <c r="M1681">
        <v>0.99987870000000001</v>
      </c>
      <c r="N1681">
        <v>0</v>
      </c>
      <c r="O1681">
        <v>7.5943879999999997E-3</v>
      </c>
      <c r="P1681">
        <v>0.99395690000000003</v>
      </c>
      <c r="Q1681">
        <v>7.3242630000000003E-2</v>
      </c>
      <c r="R1681">
        <v>-8.1762349999999998E-2</v>
      </c>
      <c r="S1681">
        <v>2.9860989999999998</v>
      </c>
      <c r="T1681">
        <v>-0.16167000000000001</v>
      </c>
      <c r="U1681">
        <v>-0.53707890000000003</v>
      </c>
      <c r="V1681">
        <v>8.9302060000000003E-2</v>
      </c>
      <c r="W1681">
        <v>8.675273E-2</v>
      </c>
      <c r="X1681">
        <v>0.99221930000000003</v>
      </c>
      <c r="Y1681">
        <v>0.18421709999999999</v>
      </c>
      <c r="Z1681">
        <v>-5.3513160000000001E-3</v>
      </c>
      <c r="AA1681">
        <v>0.98287100000000005</v>
      </c>
      <c r="AB1681">
        <v>21</v>
      </c>
      <c r="AC1681">
        <v>20.4129</v>
      </c>
      <c r="AD1681">
        <v>-1.1107765856730001</v>
      </c>
      <c r="AE1681">
        <v>-3.6908999999999899</v>
      </c>
      <c r="AF1681">
        <v>3.8348357451278301</v>
      </c>
      <c r="AG1681">
        <v>-1.1107765856730001</v>
      </c>
      <c r="AH1681">
        <v>20.325997824913401</v>
      </c>
      <c r="AI1681">
        <v>93.073870318568794</v>
      </c>
      <c r="AJ1681">
        <v>79.315790363624401</v>
      </c>
      <c r="AK1681">
        <v>20.714390587072</v>
      </c>
      <c r="AL1681">
        <v>85.023178806839695</v>
      </c>
      <c r="AM1681">
        <v>84.857102378148895</v>
      </c>
      <c r="AN1681">
        <v>1.00000001668759</v>
      </c>
    </row>
    <row r="1682" spans="1:40" x14ac:dyDescent="0.25">
      <c r="A1682" t="str">
        <f>"20190312150659935"</f>
        <v>20190312150659935</v>
      </c>
      <c r="B1682" t="str">
        <f>"1552374419932174"</f>
        <v>1552374419932174</v>
      </c>
      <c r="C1682" t="s">
        <v>40</v>
      </c>
      <c r="D1682">
        <v>4.364242</v>
      </c>
      <c r="E1682">
        <v>0.53601790000000005</v>
      </c>
      <c r="F1682" t="s">
        <v>42</v>
      </c>
      <c r="G1682">
        <v>-224.51220000000001</v>
      </c>
      <c r="H1682" s="1">
        <v>-3.432142E-6</v>
      </c>
      <c r="I1682">
        <v>363.68369999999999</v>
      </c>
      <c r="J1682">
        <v>-244.40600000000001</v>
      </c>
      <c r="K1682">
        <v>1.1107739999999999</v>
      </c>
      <c r="L1682">
        <v>367.32619999999997</v>
      </c>
      <c r="M1682">
        <v>0.9998785</v>
      </c>
      <c r="N1682">
        <v>0</v>
      </c>
      <c r="O1682">
        <v>7.6353999999999997E-3</v>
      </c>
      <c r="P1682">
        <v>0.99388449999999995</v>
      </c>
      <c r="Q1682">
        <v>7.3655609999999996E-2</v>
      </c>
      <c r="R1682">
        <v>-8.2273159999999998E-2</v>
      </c>
      <c r="S1682">
        <v>2.9857179999999999</v>
      </c>
      <c r="T1682">
        <v>-0.1658211</v>
      </c>
      <c r="U1682">
        <v>-0.54364009999999996</v>
      </c>
      <c r="V1682">
        <v>8.9852799999999997E-2</v>
      </c>
      <c r="W1682">
        <v>8.7163169999999998E-2</v>
      </c>
      <c r="X1682">
        <v>0.99213359999999995</v>
      </c>
      <c r="Y1682">
        <v>0.18635289999999999</v>
      </c>
      <c r="Z1682">
        <v>-5.5491840000000004E-3</v>
      </c>
      <c r="AA1682">
        <v>0.98246719999999998</v>
      </c>
      <c r="AB1682">
        <v>21</v>
      </c>
      <c r="AC1682">
        <v>19.893799999999899</v>
      </c>
      <c r="AD1682">
        <v>-1.1107774321420001</v>
      </c>
      <c r="AE1682">
        <v>-3.6424999999999801</v>
      </c>
      <c r="AF1682">
        <v>3.7828939963149502</v>
      </c>
      <c r="AG1682">
        <v>-1.1107774321420001</v>
      </c>
      <c r="AH1682">
        <v>19.805662456166299</v>
      </c>
      <c r="AI1682">
        <v>93.153122506040205</v>
      </c>
      <c r="AJ1682">
        <v>79.1867088021516</v>
      </c>
      <c r="AK1682">
        <v>20.194265988609398</v>
      </c>
      <c r="AL1682">
        <v>84.999572884577304</v>
      </c>
      <c r="AM1682">
        <v>84.825112425800896</v>
      </c>
      <c r="AN1682">
        <v>1.0000000120606201</v>
      </c>
    </row>
    <row r="1683" spans="1:40" x14ac:dyDescent="0.25">
      <c r="A1683" t="str">
        <f>"20190312150659945"</f>
        <v>20190312150659945</v>
      </c>
      <c r="B1683" t="str">
        <f>"1552374419941934"</f>
        <v>1552374419941934</v>
      </c>
      <c r="C1683" t="s">
        <v>40</v>
      </c>
      <c r="D1683">
        <v>4.3037530000000004</v>
      </c>
      <c r="E1683">
        <v>0.5361437</v>
      </c>
      <c r="F1683" t="s">
        <v>42</v>
      </c>
      <c r="G1683">
        <v>-224.43</v>
      </c>
      <c r="H1683" s="1">
        <v>-3.463125E-6</v>
      </c>
      <c r="I1683">
        <v>363.67239999999998</v>
      </c>
      <c r="J1683">
        <v>-244.31</v>
      </c>
      <c r="K1683">
        <v>1.1107769999999999</v>
      </c>
      <c r="L1683">
        <v>367.327</v>
      </c>
      <c r="M1683">
        <v>0.99987809999999999</v>
      </c>
      <c r="N1683">
        <v>0</v>
      </c>
      <c r="O1683">
        <v>7.6726559999999999E-3</v>
      </c>
      <c r="P1683">
        <v>0.99382530000000002</v>
      </c>
      <c r="Q1683">
        <v>7.3781399999999997E-2</v>
      </c>
      <c r="R1683">
        <v>-8.2872489999999993E-2</v>
      </c>
      <c r="S1683">
        <v>2.9855649999999998</v>
      </c>
      <c r="T1683">
        <v>-0.16601289999999999</v>
      </c>
      <c r="U1683">
        <v>-0.5460815</v>
      </c>
      <c r="V1683">
        <v>9.0488860000000004E-2</v>
      </c>
      <c r="W1683">
        <v>8.7287610000000002E-2</v>
      </c>
      <c r="X1683">
        <v>0.99206479999999997</v>
      </c>
      <c r="Y1683">
        <v>0.1871738</v>
      </c>
      <c r="Z1683">
        <v>-5.5801409999999899E-3</v>
      </c>
      <c r="AA1683">
        <v>0.98231100000000005</v>
      </c>
      <c r="AB1683">
        <v>21</v>
      </c>
      <c r="AC1683">
        <v>19.8799999999999</v>
      </c>
      <c r="AD1683">
        <v>-1.110780463125</v>
      </c>
      <c r="AE1683">
        <v>-3.6546000000000101</v>
      </c>
      <c r="AF1683">
        <v>3.79557673180412</v>
      </c>
      <c r="AG1683">
        <v>-1.110780463125</v>
      </c>
      <c r="AH1683">
        <v>19.791603401398401</v>
      </c>
      <c r="AI1683">
        <v>93.154914999876297</v>
      </c>
      <c r="AJ1683">
        <v>79.143791144519</v>
      </c>
      <c r="AK1683">
        <v>20.182859092866899</v>
      </c>
      <c r="AL1683">
        <v>84.992415477877103</v>
      </c>
      <c r="AM1683">
        <v>84.788321437383601</v>
      </c>
      <c r="AN1683">
        <v>0.99999996402132496</v>
      </c>
    </row>
    <row r="1684" spans="1:40" x14ac:dyDescent="0.25">
      <c r="A1684" t="str">
        <f>"20190312150659958"</f>
        <v>20190312150659958</v>
      </c>
      <c r="B1684" t="str">
        <f>"1552374419951694"</f>
        <v>1552374419951694</v>
      </c>
      <c r="C1684" t="s">
        <v>40</v>
      </c>
      <c r="D1684">
        <v>4.3408300000000004</v>
      </c>
      <c r="E1684">
        <v>0.53623599999999905</v>
      </c>
      <c r="F1684" t="s">
        <v>42</v>
      </c>
      <c r="G1684">
        <v>-224.23159999999999</v>
      </c>
      <c r="H1684" s="1">
        <v>-3.540186E-6</v>
      </c>
      <c r="I1684">
        <v>363.63650000000001</v>
      </c>
      <c r="J1684">
        <v>-244.19069999999999</v>
      </c>
      <c r="K1684">
        <v>1.110779</v>
      </c>
      <c r="L1684">
        <v>367.3279</v>
      </c>
      <c r="M1684">
        <v>0.99987789999999999</v>
      </c>
      <c r="N1684">
        <v>0</v>
      </c>
      <c r="O1684">
        <v>7.7188550000000002E-3</v>
      </c>
      <c r="P1684">
        <v>0.99378610000000001</v>
      </c>
      <c r="Q1684">
        <v>7.3851539999999993E-2</v>
      </c>
      <c r="R1684">
        <v>-8.3279420000000007E-2</v>
      </c>
      <c r="S1684">
        <v>2.9851529999999999</v>
      </c>
      <c r="T1684">
        <v>-0.16514419999999999</v>
      </c>
      <c r="U1684">
        <v>-0.54867549999999998</v>
      </c>
      <c r="V1684">
        <v>9.0941350000000004E-2</v>
      </c>
      <c r="W1684">
        <v>8.7355059999999998E-2</v>
      </c>
      <c r="X1684">
        <v>0.9920175</v>
      </c>
      <c r="Y1684">
        <v>0.1880706</v>
      </c>
      <c r="Z1684">
        <v>-5.5784220000000004E-3</v>
      </c>
      <c r="AA1684">
        <v>0.9821396</v>
      </c>
      <c r="AB1684">
        <v>21</v>
      </c>
      <c r="AC1684">
        <v>19.959099999999999</v>
      </c>
      <c r="AD1684">
        <v>-1.1107825401860001</v>
      </c>
      <c r="AE1684">
        <v>-3.6913999999999798</v>
      </c>
      <c r="AF1684">
        <v>3.8338838792777201</v>
      </c>
      <c r="AG1684">
        <v>-1.1107825401860001</v>
      </c>
      <c r="AH1684">
        <v>19.8705009170708</v>
      </c>
      <c r="AI1684">
        <v>93.141740709198402</v>
      </c>
      <c r="AJ1684">
        <v>79.079347495360594</v>
      </c>
      <c r="AK1684">
        <v>20.267444588469498</v>
      </c>
      <c r="AL1684">
        <v>84.988536128906901</v>
      </c>
      <c r="AM1684">
        <v>84.762156653941204</v>
      </c>
      <c r="AN1684">
        <v>0.99999997797683704</v>
      </c>
    </row>
    <row r="1685" spans="1:40" x14ac:dyDescent="0.25">
      <c r="A1685" t="str">
        <f>"20190312150659968"</f>
        <v>20190312150659968</v>
      </c>
      <c r="B1685" t="str">
        <f>"1552374419961454"</f>
        <v>1552374419961454</v>
      </c>
      <c r="C1685" t="s">
        <v>40</v>
      </c>
      <c r="D1685">
        <v>4.2659960000000003</v>
      </c>
      <c r="E1685">
        <v>0.53620809999999997</v>
      </c>
      <c r="F1685" t="s">
        <v>42</v>
      </c>
      <c r="G1685">
        <v>-224.1712</v>
      </c>
      <c r="H1685" s="1">
        <v>-3.561673E-6</v>
      </c>
      <c r="I1685">
        <v>363.63299999999998</v>
      </c>
      <c r="J1685">
        <v>-244.0968</v>
      </c>
      <c r="K1685">
        <v>1.110778</v>
      </c>
      <c r="L1685">
        <v>367.32870000000003</v>
      </c>
      <c r="M1685">
        <v>0.99987760000000003</v>
      </c>
      <c r="N1685">
        <v>0</v>
      </c>
      <c r="O1685">
        <v>7.755456E-3</v>
      </c>
      <c r="P1685">
        <v>0.99372559999999999</v>
      </c>
      <c r="Q1685">
        <v>7.4093220000000001E-2</v>
      </c>
      <c r="R1685">
        <v>-8.3785189999999996E-2</v>
      </c>
      <c r="S1685">
        <v>2.9848940000000002</v>
      </c>
      <c r="T1685">
        <v>-0.1656157</v>
      </c>
      <c r="U1685">
        <v>-0.55090329999999998</v>
      </c>
      <c r="V1685">
        <v>9.1482969999999997E-2</v>
      </c>
      <c r="W1685">
        <v>8.7594939999999996E-2</v>
      </c>
      <c r="X1685">
        <v>0.99194660000000001</v>
      </c>
      <c r="Y1685">
        <v>0.18882779999999999</v>
      </c>
      <c r="Z1685">
        <v>-5.6172560000000002E-3</v>
      </c>
      <c r="AA1685">
        <v>0.98199420000000004</v>
      </c>
      <c r="AB1685">
        <v>21</v>
      </c>
      <c r="AC1685">
        <v>19.925599999999999</v>
      </c>
      <c r="AD1685">
        <v>-1.1107815616729999</v>
      </c>
      <c r="AE1685">
        <v>-3.69569999999998</v>
      </c>
      <c r="AF1685">
        <v>3.8386028418332701</v>
      </c>
      <c r="AG1685">
        <v>-1.1107815616729999</v>
      </c>
      <c r="AH1685">
        <v>19.836740327841301</v>
      </c>
      <c r="AI1685">
        <v>93.146742935633696</v>
      </c>
      <c r="AJ1685">
        <v>79.048070678387703</v>
      </c>
      <c r="AK1685">
        <v>20.235240900204001</v>
      </c>
      <c r="AL1685">
        <v>84.9747394027507</v>
      </c>
      <c r="AM1685">
        <v>84.730762174356499</v>
      </c>
      <c r="AN1685">
        <v>1.0000000322825899</v>
      </c>
    </row>
    <row r="1686" spans="1:40" x14ac:dyDescent="0.25">
      <c r="A1686" t="str">
        <f>"20190312150659979"</f>
        <v>20190312150659979</v>
      </c>
      <c r="B1686" t="str">
        <f>"1552374419972190"</f>
        <v>1552374419972190</v>
      </c>
      <c r="C1686" t="s">
        <v>40</v>
      </c>
      <c r="D1686">
        <v>4.3335290000000004</v>
      </c>
      <c r="E1686">
        <v>0.53625440000000002</v>
      </c>
      <c r="F1686" t="s">
        <v>42</v>
      </c>
      <c r="G1686">
        <v>-224.3887</v>
      </c>
      <c r="H1686" s="1">
        <v>-3.4747209999999999E-6</v>
      </c>
      <c r="I1686">
        <v>363.6816</v>
      </c>
      <c r="J1686">
        <v>-243.98580000000001</v>
      </c>
      <c r="K1686">
        <v>1.110779</v>
      </c>
      <c r="L1686">
        <v>367.32960000000003</v>
      </c>
      <c r="M1686">
        <v>0.99987720000000002</v>
      </c>
      <c r="N1686">
        <v>0</v>
      </c>
      <c r="O1686">
        <v>7.7984350000000003E-3</v>
      </c>
      <c r="P1686">
        <v>0.99368420000000002</v>
      </c>
      <c r="Q1686">
        <v>7.3831830000000001E-2</v>
      </c>
      <c r="R1686">
        <v>-8.4501820000000005E-2</v>
      </c>
      <c r="S1686">
        <v>2.9848940000000002</v>
      </c>
      <c r="T1686">
        <v>-0.16823279999999999</v>
      </c>
      <c r="U1686">
        <v>-0.55236819999999998</v>
      </c>
      <c r="V1686">
        <v>9.2241970000000006E-2</v>
      </c>
      <c r="W1686">
        <v>8.7331790000000006E-2</v>
      </c>
      <c r="X1686">
        <v>0.99189950000000005</v>
      </c>
      <c r="Y1686">
        <v>0.18932589999999999</v>
      </c>
      <c r="Z1686">
        <v>-5.7219419999999998E-3</v>
      </c>
      <c r="AA1686">
        <v>0.98189769999999998</v>
      </c>
      <c r="AB1686">
        <v>21</v>
      </c>
      <c r="AC1686">
        <v>19.597100000000001</v>
      </c>
      <c r="AD1686">
        <v>-1.110782474721</v>
      </c>
      <c r="AE1686">
        <v>-3.6480000000000201</v>
      </c>
      <c r="AF1686">
        <v>3.7889646426921302</v>
      </c>
      <c r="AG1686">
        <v>-1.110782474721</v>
      </c>
      <c r="AH1686">
        <v>19.507479340562</v>
      </c>
      <c r="AI1686">
        <v>93.199318548055899</v>
      </c>
      <c r="AJ1686">
        <v>79.008222541408699</v>
      </c>
      <c r="AK1686">
        <v>19.9030610960267</v>
      </c>
      <c r="AL1686">
        <v>84.989874729468895</v>
      </c>
      <c r="AM1686">
        <v>84.687043578159802</v>
      </c>
      <c r="AN1686">
        <v>1.00000002033716</v>
      </c>
    </row>
    <row r="1687" spans="1:40" x14ac:dyDescent="0.25">
      <c r="A1687" t="str">
        <f>"20190312150659993"</f>
        <v>20190312150659993</v>
      </c>
      <c r="B1687" t="str">
        <f>"1552374419981950"</f>
        <v>1552374419981950</v>
      </c>
      <c r="C1687" t="s">
        <v>40</v>
      </c>
      <c r="D1687">
        <v>4.3128279999999997</v>
      </c>
      <c r="E1687">
        <v>0.53619359999999905</v>
      </c>
      <c r="F1687" t="s">
        <v>42</v>
      </c>
      <c r="G1687">
        <v>-224.42930000000001</v>
      </c>
      <c r="H1687" s="1">
        <v>-3.4572269999999998E-6</v>
      </c>
      <c r="I1687">
        <v>363.69540000000001</v>
      </c>
      <c r="J1687">
        <v>-243.85409999999999</v>
      </c>
      <c r="K1687">
        <v>1.1107769999999999</v>
      </c>
      <c r="L1687">
        <v>367.33069999999998</v>
      </c>
      <c r="M1687">
        <v>0.99987689999999996</v>
      </c>
      <c r="N1687">
        <v>0</v>
      </c>
      <c r="O1687">
        <v>7.8495209999999999E-3</v>
      </c>
      <c r="P1687">
        <v>0.99363440000000003</v>
      </c>
      <c r="Q1687">
        <v>7.3722449999999995E-2</v>
      </c>
      <c r="R1687">
        <v>-8.5181640000000003E-2</v>
      </c>
      <c r="S1687">
        <v>2.9844819999999999</v>
      </c>
      <c r="T1687">
        <v>-0.1695132</v>
      </c>
      <c r="U1687">
        <v>-0.55459590000000003</v>
      </c>
      <c r="V1687">
        <v>9.2972059999999995E-2</v>
      </c>
      <c r="W1687">
        <v>8.7220640000000002E-2</v>
      </c>
      <c r="X1687">
        <v>0.99184110000000003</v>
      </c>
      <c r="Y1687">
        <v>0.19010289999999999</v>
      </c>
      <c r="Z1687">
        <v>-5.7905539999999998E-3</v>
      </c>
      <c r="AA1687">
        <v>0.98174709999999998</v>
      </c>
      <c r="AB1687">
        <v>21</v>
      </c>
      <c r="AC1687">
        <v>19.424799999999902</v>
      </c>
      <c r="AD1687">
        <v>-1.1107804572269999</v>
      </c>
      <c r="AE1687">
        <v>-3.6352999999999698</v>
      </c>
      <c r="AF1687">
        <v>3.7757486539904299</v>
      </c>
      <c r="AG1687">
        <v>-1.1107804572269999</v>
      </c>
      <c r="AH1687">
        <v>19.334579434743102</v>
      </c>
      <c r="AI1687">
        <v>93.227225848763595</v>
      </c>
      <c r="AJ1687">
        <v>78.9500741084059</v>
      </c>
      <c r="AK1687">
        <v>19.731094065982699</v>
      </c>
      <c r="AL1687">
        <v>84.996267476425302</v>
      </c>
      <c r="AM1687">
        <v>84.644921856963407</v>
      </c>
      <c r="AN1687">
        <v>1.00000000581593</v>
      </c>
    </row>
    <row r="1688" spans="1:40" x14ac:dyDescent="0.25">
      <c r="A1688" t="str">
        <f>"20190312150700007"</f>
        <v>20190312150700007</v>
      </c>
      <c r="B1688" t="str">
        <f>"1552374420001470"</f>
        <v>1552374420001470</v>
      </c>
      <c r="C1688" t="s">
        <v>40</v>
      </c>
      <c r="D1688">
        <v>4.2239639999999996</v>
      </c>
      <c r="E1688">
        <v>0.53627040000000004</v>
      </c>
      <c r="F1688" t="s">
        <v>42</v>
      </c>
      <c r="G1688">
        <v>-224.48750000000001</v>
      </c>
      <c r="H1688" s="1">
        <v>-3.4306179999999999E-6</v>
      </c>
      <c r="I1688">
        <v>363.721</v>
      </c>
      <c r="J1688">
        <v>-243.73570000000001</v>
      </c>
      <c r="K1688">
        <v>1.110776</v>
      </c>
      <c r="L1688">
        <v>367.33170000000001</v>
      </c>
      <c r="M1688">
        <v>0.9998766</v>
      </c>
      <c r="N1688">
        <v>0</v>
      </c>
      <c r="O1688">
        <v>7.8953630000000007E-3</v>
      </c>
      <c r="P1688">
        <v>0.9935775</v>
      </c>
      <c r="Q1688">
        <v>7.3406159999999998E-2</v>
      </c>
      <c r="R1688">
        <v>-8.6114549999999998E-2</v>
      </c>
      <c r="S1688">
        <v>2.9842219999999999</v>
      </c>
      <c r="T1688">
        <v>-0.17116029999999999</v>
      </c>
      <c r="U1688">
        <v>-0.55621339999999997</v>
      </c>
      <c r="V1688">
        <v>9.3950130000000007E-2</v>
      </c>
      <c r="W1688">
        <v>8.6902370000000007E-2</v>
      </c>
      <c r="X1688">
        <v>0.99177689999999996</v>
      </c>
      <c r="Y1688">
        <v>0.19067049999999999</v>
      </c>
      <c r="Z1688">
        <v>-5.8656759999999898E-3</v>
      </c>
      <c r="AA1688">
        <v>0.98163659999999997</v>
      </c>
      <c r="AB1688">
        <v>21</v>
      </c>
      <c r="AC1688">
        <v>19.248200000000001</v>
      </c>
      <c r="AD1688">
        <v>-1.1107794306180001</v>
      </c>
      <c r="AE1688">
        <v>-3.6107</v>
      </c>
      <c r="AF1688">
        <v>3.7505074639877298</v>
      </c>
      <c r="AG1688">
        <v>-1.1107794306180001</v>
      </c>
      <c r="AH1688">
        <v>19.157459293142601</v>
      </c>
      <c r="AI1688">
        <v>93.256697557145401</v>
      </c>
      <c r="AJ1688">
        <v>78.923146730089798</v>
      </c>
      <c r="AK1688">
        <v>19.552707836750599</v>
      </c>
      <c r="AL1688">
        <v>85.014572650878407</v>
      </c>
      <c r="AM1688">
        <v>84.588570671782804</v>
      </c>
      <c r="AN1688">
        <v>1.0000000341061199</v>
      </c>
    </row>
    <row r="1689" spans="1:40" x14ac:dyDescent="0.25">
      <c r="A1689" t="str">
        <f>"20190312150700020"</f>
        <v>20190312150700020</v>
      </c>
      <c r="B1689" t="str">
        <f>"1552374420012206"</f>
        <v>1552374420012206</v>
      </c>
      <c r="C1689" t="s">
        <v>40</v>
      </c>
      <c r="D1689">
        <v>4.348516</v>
      </c>
      <c r="E1689">
        <v>0.53601589999999999</v>
      </c>
      <c r="F1689" t="s">
        <v>42</v>
      </c>
      <c r="G1689">
        <v>-225.2801</v>
      </c>
      <c r="H1689" s="1">
        <v>-3.1213359999999998E-6</v>
      </c>
      <c r="I1689">
        <v>363.86959999999999</v>
      </c>
      <c r="J1689">
        <v>-243.6087</v>
      </c>
      <c r="K1689">
        <v>1.1107750000000001</v>
      </c>
      <c r="L1689">
        <v>367.33280000000002</v>
      </c>
      <c r="M1689">
        <v>0.99987610000000005</v>
      </c>
      <c r="N1689">
        <v>0</v>
      </c>
      <c r="O1689">
        <v>7.9445419999999902E-3</v>
      </c>
      <c r="P1689">
        <v>0.99353429999999998</v>
      </c>
      <c r="Q1689">
        <v>7.2962219999999994E-2</v>
      </c>
      <c r="R1689">
        <v>-8.6984190000000003E-2</v>
      </c>
      <c r="S1689">
        <v>2.9841310000000001</v>
      </c>
      <c r="T1689">
        <v>-0.17960409999999999</v>
      </c>
      <c r="U1689">
        <v>-0.5597839</v>
      </c>
      <c r="V1689">
        <v>9.4868389999999997E-2</v>
      </c>
      <c r="W1689">
        <v>8.6456290000000005E-2</v>
      </c>
      <c r="X1689">
        <v>0.99172839999999995</v>
      </c>
      <c r="Y1689">
        <v>0.191825</v>
      </c>
      <c r="Z1689">
        <v>-6.1914049999999997E-3</v>
      </c>
      <c r="AA1689">
        <v>0.98140959999999999</v>
      </c>
      <c r="AB1689">
        <v>21</v>
      </c>
      <c r="AC1689">
        <v>18.328599999999899</v>
      </c>
      <c r="AD1689">
        <v>-1.110778121336</v>
      </c>
      <c r="AE1689">
        <v>-3.46320000000002</v>
      </c>
      <c r="AF1689">
        <v>3.5959645194636201</v>
      </c>
      <c r="AG1689">
        <v>-1.110778121336</v>
      </c>
      <c r="AH1689">
        <v>18.2358377831663</v>
      </c>
      <c r="AI1689">
        <v>93.419986022821703</v>
      </c>
      <c r="AJ1689">
        <v>78.844839672793398</v>
      </c>
      <c r="AK1689">
        <v>18.620165641423199</v>
      </c>
      <c r="AL1689">
        <v>85.040227344102703</v>
      </c>
      <c r="AM1689">
        <v>84.535732816240895</v>
      </c>
      <c r="AN1689">
        <v>0.99999996043415695</v>
      </c>
    </row>
    <row r="1690" spans="1:40" x14ac:dyDescent="0.25">
      <c r="A1690" t="str">
        <f>"20190312150700031"</f>
        <v>20190312150700031</v>
      </c>
      <c r="B1690" t="str">
        <f>"1552374420021965"</f>
        <v>1552374420021965</v>
      </c>
      <c r="C1690" t="s">
        <v>40</v>
      </c>
      <c r="D1690">
        <v>4.3229439999999997</v>
      </c>
      <c r="E1690">
        <v>0.53587759999999995</v>
      </c>
      <c r="F1690" t="s">
        <v>42</v>
      </c>
      <c r="G1690">
        <v>-225.4605</v>
      </c>
      <c r="H1690" s="1">
        <v>-3.04532E-6</v>
      </c>
      <c r="I1690">
        <v>363.9246</v>
      </c>
      <c r="J1690">
        <v>-243.4973</v>
      </c>
      <c r="K1690">
        <v>1.1107659999999999</v>
      </c>
      <c r="L1690">
        <v>367.33370000000002</v>
      </c>
      <c r="M1690">
        <v>0.99987579999999998</v>
      </c>
      <c r="N1690">
        <v>0</v>
      </c>
      <c r="O1690">
        <v>7.9877000000000004E-3</v>
      </c>
      <c r="P1690">
        <v>0.99350879999999997</v>
      </c>
      <c r="Q1690">
        <v>7.2403770000000006E-2</v>
      </c>
      <c r="R1690">
        <v>-8.7738629999999998E-2</v>
      </c>
      <c r="S1690">
        <v>2.9838870000000002</v>
      </c>
      <c r="T1690">
        <v>-0.1826313</v>
      </c>
      <c r="U1690">
        <v>-0.56036379999999997</v>
      </c>
      <c r="V1690">
        <v>9.5665559999999997E-2</v>
      </c>
      <c r="W1690">
        <v>8.5896199999999895E-2</v>
      </c>
      <c r="X1690">
        <v>0.99170049999999998</v>
      </c>
      <c r="Y1690">
        <v>0.19205369999999999</v>
      </c>
      <c r="Z1690">
        <v>-6.3055189999999999E-3</v>
      </c>
      <c r="AA1690">
        <v>0.98136409999999996</v>
      </c>
      <c r="AB1690">
        <v>21</v>
      </c>
      <c r="AC1690">
        <v>18.036799999999999</v>
      </c>
      <c r="AD1690">
        <v>-1.1107690453200001</v>
      </c>
      <c r="AE1690">
        <v>-3.40910000000002</v>
      </c>
      <c r="AF1690">
        <v>3.5401141798103599</v>
      </c>
      <c r="AG1690">
        <v>-1.1107690453200001</v>
      </c>
      <c r="AH1690">
        <v>17.943287897882101</v>
      </c>
      <c r="AI1690">
        <v>93.475514597181004</v>
      </c>
      <c r="AJ1690">
        <v>78.839189788180505</v>
      </c>
      <c r="AK1690">
        <v>18.3228763261781</v>
      </c>
      <c r="AL1690">
        <v>85.072438008358503</v>
      </c>
      <c r="AM1690">
        <v>84.489944436587194</v>
      </c>
      <c r="AN1690">
        <v>0.99999996912240097</v>
      </c>
    </row>
    <row r="1691" spans="1:40" x14ac:dyDescent="0.25">
      <c r="A1691" t="str">
        <f>"20190312150700044"</f>
        <v>20190312150700044</v>
      </c>
      <c r="B1691" t="str">
        <f>"1552374420031726"</f>
        <v>1552374420031726</v>
      </c>
      <c r="C1691" t="s">
        <v>40</v>
      </c>
      <c r="D1691">
        <v>4.4402710000000001</v>
      </c>
      <c r="E1691">
        <v>0.53581630000000002</v>
      </c>
      <c r="F1691" t="s">
        <v>42</v>
      </c>
      <c r="G1691">
        <v>-225.59880000000001</v>
      </c>
      <c r="H1691" s="1">
        <v>-2.9880200000000002E-6</v>
      </c>
      <c r="I1691">
        <v>363.9631</v>
      </c>
      <c r="J1691">
        <v>-243.37799999999999</v>
      </c>
      <c r="K1691">
        <v>1.110765</v>
      </c>
      <c r="L1691">
        <v>367.3347</v>
      </c>
      <c r="M1691">
        <v>0.99987539999999997</v>
      </c>
      <c r="N1691">
        <v>0</v>
      </c>
      <c r="O1691">
        <v>8.0339000000000001E-3</v>
      </c>
      <c r="P1691">
        <v>0.9934771</v>
      </c>
      <c r="Q1691">
        <v>7.1930830000000001E-2</v>
      </c>
      <c r="R1691">
        <v>-8.8484240000000006E-2</v>
      </c>
      <c r="S1691">
        <v>2.9834589999999999</v>
      </c>
      <c r="T1691">
        <v>-0.1851508</v>
      </c>
      <c r="U1691">
        <v>-0.56182860000000001</v>
      </c>
      <c r="V1691">
        <v>9.6456680000000003E-2</v>
      </c>
      <c r="W1691">
        <v>8.5421590000000006E-2</v>
      </c>
      <c r="X1691">
        <v>0.99166489999999996</v>
      </c>
      <c r="Y1691">
        <v>0.19257869999999999</v>
      </c>
      <c r="Z1691">
        <v>-6.4119310000000001E-3</v>
      </c>
      <c r="AA1691">
        <v>0.98126060000000004</v>
      </c>
      <c r="AB1691">
        <v>21</v>
      </c>
      <c r="AC1691">
        <v>17.7791999999999</v>
      </c>
      <c r="AD1691">
        <v>-1.1107679880200001</v>
      </c>
      <c r="AE1691">
        <v>-3.3715999999999999</v>
      </c>
      <c r="AF1691">
        <v>3.5011493327829299</v>
      </c>
      <c r="AG1691">
        <v>-1.1107679880200001</v>
      </c>
      <c r="AH1691">
        <v>17.684904796586299</v>
      </c>
      <c r="AI1691">
        <v>93.525708220054995</v>
      </c>
      <c r="AJ1691">
        <v>78.801733739568206</v>
      </c>
      <c r="AK1691">
        <v>18.062328472209099</v>
      </c>
      <c r="AL1691">
        <v>85.099731659636703</v>
      </c>
      <c r="AM1691">
        <v>84.444463946895496</v>
      </c>
      <c r="AN1691">
        <v>1.0000000065233801</v>
      </c>
    </row>
    <row r="1692" spans="1:40" x14ac:dyDescent="0.25">
      <c r="A1692" t="str">
        <f>"20190312150700058"</f>
        <v>20190312150700058</v>
      </c>
      <c r="B1692" t="str">
        <f>"1552374420052222"</f>
        <v>1552374420052222</v>
      </c>
      <c r="C1692" t="s">
        <v>40</v>
      </c>
      <c r="D1692">
        <v>4.2919790000000004</v>
      </c>
      <c r="E1692">
        <v>0.53567609999999999</v>
      </c>
      <c r="F1692" t="s">
        <v>42</v>
      </c>
      <c r="G1692">
        <v>-225.09379999999999</v>
      </c>
      <c r="H1692" s="1">
        <v>-3.1820760000000002E-6</v>
      </c>
      <c r="I1692">
        <v>363.87959999999998</v>
      </c>
      <c r="J1692">
        <v>-243.24940000000001</v>
      </c>
      <c r="K1692">
        <v>1.1107659999999999</v>
      </c>
      <c r="L1692">
        <v>367.33580000000001</v>
      </c>
      <c r="M1692">
        <v>0.99987499999999996</v>
      </c>
      <c r="N1692">
        <v>0</v>
      </c>
      <c r="O1692">
        <v>8.0839129999999999E-3</v>
      </c>
      <c r="P1692">
        <v>0.99337540000000002</v>
      </c>
      <c r="Q1692">
        <v>7.162222E-2</v>
      </c>
      <c r="R1692">
        <v>-8.9865619999999993E-2</v>
      </c>
      <c r="S1692">
        <v>2.982605</v>
      </c>
      <c r="T1692">
        <v>-0.1811932</v>
      </c>
      <c r="U1692">
        <v>-0.56359859999999995</v>
      </c>
      <c r="V1692">
        <v>9.7886909999999994E-2</v>
      </c>
      <c r="W1692">
        <v>8.510993E-2</v>
      </c>
      <c r="X1692">
        <v>0.99155150000000003</v>
      </c>
      <c r="Y1692">
        <v>0.1932555</v>
      </c>
      <c r="Z1692">
        <v>-6.2999190000000002E-3</v>
      </c>
      <c r="AA1692">
        <v>0.98112820000000001</v>
      </c>
      <c r="AB1692">
        <v>21</v>
      </c>
      <c r="AC1692">
        <v>18.1556</v>
      </c>
      <c r="AD1692">
        <v>-1.110769182076</v>
      </c>
      <c r="AE1692">
        <v>-3.4562000000000199</v>
      </c>
      <c r="AF1692">
        <v>3.5899016042681899</v>
      </c>
      <c r="AG1692">
        <v>-1.110769182076</v>
      </c>
      <c r="AH1692">
        <v>18.0618223316106</v>
      </c>
      <c r="AI1692">
        <v>93.451802349449096</v>
      </c>
      <c r="AJ1692">
        <v>78.758600012795995</v>
      </c>
      <c r="AK1692">
        <v>18.4485941915053</v>
      </c>
      <c r="AL1692">
        <v>85.117653513329699</v>
      </c>
      <c r="AM1692">
        <v>84.361974368736696</v>
      </c>
      <c r="AN1692">
        <v>0.99999996224309995</v>
      </c>
    </row>
    <row r="1693" spans="1:40" x14ac:dyDescent="0.25">
      <c r="A1693" t="str">
        <f>"20190312150700072"</f>
        <v>20190312150700072</v>
      </c>
      <c r="B1693" t="str">
        <f>"1552374420061982"</f>
        <v>1552374420061982</v>
      </c>
      <c r="C1693" t="s">
        <v>40</v>
      </c>
      <c r="D1693">
        <v>4.3823800000000004</v>
      </c>
      <c r="E1693">
        <v>0.53561479999999995</v>
      </c>
      <c r="F1693" t="s">
        <v>42</v>
      </c>
      <c r="G1693">
        <v>-224.0625</v>
      </c>
      <c r="H1693" s="1">
        <v>-3.5838150000000001E-6</v>
      </c>
      <c r="I1693">
        <v>363.68880000000001</v>
      </c>
      <c r="J1693">
        <v>-243.11420000000001</v>
      </c>
      <c r="K1693">
        <v>1.1107659999999999</v>
      </c>
      <c r="L1693">
        <v>367.33690000000001</v>
      </c>
      <c r="M1693">
        <v>0.99987470000000001</v>
      </c>
      <c r="N1693">
        <v>0</v>
      </c>
      <c r="O1693">
        <v>8.13619199999999E-3</v>
      </c>
      <c r="P1693">
        <v>0.99330469999999904</v>
      </c>
      <c r="Q1693">
        <v>7.1574170000000006E-2</v>
      </c>
      <c r="R1693">
        <v>-9.0681810000000002E-2</v>
      </c>
      <c r="S1693">
        <v>2.9811860000000001</v>
      </c>
      <c r="T1693">
        <v>-0.17258670000000001</v>
      </c>
      <c r="U1693">
        <v>-0.5666504</v>
      </c>
      <c r="V1693">
        <v>9.8754419999999996E-2</v>
      </c>
      <c r="W1693">
        <v>8.5059560000000006E-2</v>
      </c>
      <c r="X1693">
        <v>0.99146990000000002</v>
      </c>
      <c r="Y1693">
        <v>0.1943925</v>
      </c>
      <c r="Z1693">
        <v>-6.0390030000000003E-3</v>
      </c>
      <c r="AA1693">
        <v>0.98090520000000003</v>
      </c>
      <c r="AB1693">
        <v>21</v>
      </c>
      <c r="AC1693">
        <v>19.0517</v>
      </c>
      <c r="AD1693">
        <v>-1.110769583815</v>
      </c>
      <c r="AE1693">
        <v>-3.6480999999999999</v>
      </c>
      <c r="AF1693">
        <v>3.7905725187724899</v>
      </c>
      <c r="AG1693">
        <v>-1.110769583815</v>
      </c>
      <c r="AH1693">
        <v>18.9592176125613</v>
      </c>
      <c r="AI1693">
        <v>93.288046935697494</v>
      </c>
      <c r="AJ1693">
        <v>78.693760883149196</v>
      </c>
      <c r="AK1693">
        <v>19.366315642601101</v>
      </c>
      <c r="AL1693">
        <v>85.120550500193204</v>
      </c>
      <c r="AM1693">
        <v>84.311869245923603</v>
      </c>
      <c r="AN1693">
        <v>1.0000000634114601</v>
      </c>
    </row>
    <row r="1694" spans="1:40" x14ac:dyDescent="0.25">
      <c r="A1694" t="str">
        <f>"20190312150700086"</f>
        <v>20190312150700086</v>
      </c>
      <c r="B1694" t="str">
        <f>"1552374420081502"</f>
        <v>1552374420081502</v>
      </c>
      <c r="C1694" t="s">
        <v>40</v>
      </c>
      <c r="D1694">
        <v>4.3263150000000001</v>
      </c>
      <c r="E1694">
        <v>0.53539190000000003</v>
      </c>
      <c r="F1694" t="s">
        <v>42</v>
      </c>
      <c r="G1694">
        <v>-223.5112</v>
      </c>
      <c r="H1694" s="1">
        <v>-3.8334880000000003E-6</v>
      </c>
      <c r="I1694">
        <v>363.59829999999999</v>
      </c>
      <c r="J1694">
        <v>-242.98150000000001</v>
      </c>
      <c r="K1694">
        <v>1.1107670000000001</v>
      </c>
      <c r="L1694">
        <v>367.33800000000002</v>
      </c>
      <c r="M1694">
        <v>0.99987420000000005</v>
      </c>
      <c r="N1694">
        <v>0</v>
      </c>
      <c r="O1694">
        <v>8.1878750000000007E-3</v>
      </c>
      <c r="P1694">
        <v>0.99323890000000004</v>
      </c>
      <c r="Q1694">
        <v>7.1591489999999994E-2</v>
      </c>
      <c r="R1694">
        <v>-9.1385049999999995E-2</v>
      </c>
      <c r="S1694">
        <v>2.9804840000000001</v>
      </c>
      <c r="T1694">
        <v>-0.16888359999999999</v>
      </c>
      <c r="U1694">
        <v>-0.56842040000000005</v>
      </c>
      <c r="V1694">
        <v>9.9508319999999997E-2</v>
      </c>
      <c r="W1694">
        <v>8.5074769999999994E-2</v>
      </c>
      <c r="X1694">
        <v>0.99139310000000003</v>
      </c>
      <c r="Y1694">
        <v>0.19506029999999999</v>
      </c>
      <c r="Z1694">
        <v>-5.9323099999999997E-3</v>
      </c>
      <c r="AA1694">
        <v>0.98077329999999996</v>
      </c>
      <c r="AB1694">
        <v>21</v>
      </c>
      <c r="AC1694">
        <v>19.470300000000002</v>
      </c>
      <c r="AD1694">
        <v>-1.110770833488</v>
      </c>
      <c r="AE1694">
        <v>-3.73970000000002</v>
      </c>
      <c r="AF1694">
        <v>3.8868096081722401</v>
      </c>
      <c r="AG1694">
        <v>-1.110770833488</v>
      </c>
      <c r="AH1694">
        <v>19.3781989712657</v>
      </c>
      <c r="AI1694">
        <v>93.216712061337901</v>
      </c>
      <c r="AJ1694">
        <v>78.658315339404794</v>
      </c>
      <c r="AK1694">
        <v>19.7953453151156</v>
      </c>
      <c r="AL1694">
        <v>85.119675308606503</v>
      </c>
      <c r="AM1694">
        <v>84.268292524094306</v>
      </c>
      <c r="AN1694">
        <v>0.99999995048369095</v>
      </c>
    </row>
    <row r="1695" spans="1:40" x14ac:dyDescent="0.25">
      <c r="A1695" t="str">
        <f>"20190312150700099"</f>
        <v>20190312150700099</v>
      </c>
      <c r="B1695" t="str">
        <f>"1552374420092238"</f>
        <v>1552374420092238</v>
      </c>
      <c r="C1695" t="s">
        <v>40</v>
      </c>
      <c r="D1695">
        <v>4.1797829999999996</v>
      </c>
      <c r="E1695">
        <v>0.53552040000000001</v>
      </c>
      <c r="F1695" t="s">
        <v>42</v>
      </c>
      <c r="G1695">
        <v>-223.12139999999999</v>
      </c>
      <c r="H1695" s="1">
        <v>-4.009803E-6</v>
      </c>
      <c r="I1695">
        <v>363.54719999999998</v>
      </c>
      <c r="J1695">
        <v>-242.8571</v>
      </c>
      <c r="K1695">
        <v>1.11077</v>
      </c>
      <c r="L1695">
        <v>367.33909999999997</v>
      </c>
      <c r="M1695">
        <v>0.99987389999999998</v>
      </c>
      <c r="N1695">
        <v>0</v>
      </c>
      <c r="O1695">
        <v>8.2362159999999993E-3</v>
      </c>
      <c r="P1695">
        <v>0.99319329999999995</v>
      </c>
      <c r="Q1695">
        <v>7.1474280000000001E-2</v>
      </c>
      <c r="R1695">
        <v>-9.197255E-2</v>
      </c>
      <c r="S1695">
        <v>2.9800870000000002</v>
      </c>
      <c r="T1695">
        <v>-0.1666744</v>
      </c>
      <c r="U1695">
        <v>-0.56881709999999996</v>
      </c>
      <c r="V1695">
        <v>0.1001436</v>
      </c>
      <c r="W1695">
        <v>8.4955039999999996E-2</v>
      </c>
      <c r="X1695">
        <v>0.99133939999999998</v>
      </c>
      <c r="Y1695">
        <v>0.19526540000000001</v>
      </c>
      <c r="Z1695">
        <v>-5.8638800000000001E-3</v>
      </c>
      <c r="AA1695">
        <v>0.98073290000000002</v>
      </c>
      <c r="AB1695">
        <v>21</v>
      </c>
      <c r="AC1695">
        <v>19.735700000000001</v>
      </c>
      <c r="AD1695">
        <v>-1.1107740098029999</v>
      </c>
      <c r="AE1695">
        <v>-3.7918999999999898</v>
      </c>
      <c r="AF1695">
        <v>3.9422903658983102</v>
      </c>
      <c r="AG1695">
        <v>-1.1107740098029999</v>
      </c>
      <c r="AH1695">
        <v>19.643786061274799</v>
      </c>
      <c r="AI1695">
        <v>93.173251428892399</v>
      </c>
      <c r="AJ1695">
        <v>78.6521180736937</v>
      </c>
      <c r="AK1695">
        <v>20.066235398077101</v>
      </c>
      <c r="AL1695">
        <v>85.126560269269902</v>
      </c>
      <c r="AM1695">
        <v>84.231635833469696</v>
      </c>
      <c r="AN1695">
        <v>0.99999995271735898</v>
      </c>
    </row>
    <row r="1696" spans="1:40" x14ac:dyDescent="0.25">
      <c r="A1696" t="str">
        <f>"20190312150700112"</f>
        <v>20190312150700112</v>
      </c>
      <c r="B1696" t="str">
        <f>"1552374420101997"</f>
        <v>1552374420101997</v>
      </c>
      <c r="C1696" t="s">
        <v>40</v>
      </c>
      <c r="D1696">
        <v>4.1506040000000004</v>
      </c>
      <c r="E1696">
        <v>0.53531589999999996</v>
      </c>
      <c r="F1696" t="s">
        <v>42</v>
      </c>
      <c r="G1696">
        <v>-222.8115</v>
      </c>
      <c r="H1696" s="1">
        <v>-4.152098E-6</v>
      </c>
      <c r="I1696">
        <v>363.49430000000001</v>
      </c>
      <c r="J1696">
        <v>-242.7294</v>
      </c>
      <c r="K1696">
        <v>1.1107689999999999</v>
      </c>
      <c r="L1696">
        <v>367.34019999999998</v>
      </c>
      <c r="M1696">
        <v>0.99987349999999997</v>
      </c>
      <c r="N1696">
        <v>0</v>
      </c>
      <c r="O1696">
        <v>8.2859300000000004E-3</v>
      </c>
      <c r="P1696">
        <v>0.99308129999999994</v>
      </c>
      <c r="Q1696">
        <v>7.2172449999999999E-2</v>
      </c>
      <c r="R1696">
        <v>-9.2631749999999999E-2</v>
      </c>
      <c r="S1696">
        <v>2.9795069999999999</v>
      </c>
      <c r="T1696">
        <v>-0.1651011</v>
      </c>
      <c r="U1696">
        <v>-0.57147219999999999</v>
      </c>
      <c r="V1696">
        <v>0.1008513</v>
      </c>
      <c r="W1696">
        <v>8.5650569999999995E-2</v>
      </c>
      <c r="X1696">
        <v>0.99120779999999997</v>
      </c>
      <c r="Y1696">
        <v>0.1961966</v>
      </c>
      <c r="Z1696">
        <v>-5.8375140000000002E-3</v>
      </c>
      <c r="AA1696">
        <v>0.98054719999999995</v>
      </c>
      <c r="AB1696">
        <v>21</v>
      </c>
      <c r="AC1696">
        <v>19.917899999999999</v>
      </c>
      <c r="AD1696">
        <v>-1.110773152098</v>
      </c>
      <c r="AE1696">
        <v>-3.8458999999999701</v>
      </c>
      <c r="AF1696">
        <v>3.9988320278427598</v>
      </c>
      <c r="AG1696">
        <v>-1.110773152098</v>
      </c>
      <c r="AH1696">
        <v>19.825903492219201</v>
      </c>
      <c r="AI1696">
        <v>93.143547004427504</v>
      </c>
      <c r="AJ1696">
        <v>78.596588019697094</v>
      </c>
      <c r="AK1696">
        <v>20.255639310204799</v>
      </c>
      <c r="AL1696">
        <v>85.086563553305794</v>
      </c>
      <c r="AM1696">
        <v>84.190383499135194</v>
      </c>
      <c r="AN1696">
        <v>0.99999995381692597</v>
      </c>
    </row>
    <row r="1697" spans="1:40" x14ac:dyDescent="0.25">
      <c r="A1697" t="str">
        <f>"20190312150700126"</f>
        <v>20190312150700126</v>
      </c>
      <c r="B1697" t="str">
        <f>"1552374420121518"</f>
        <v>1552374420121518</v>
      </c>
      <c r="C1697" t="s">
        <v>40</v>
      </c>
      <c r="D1697">
        <v>4.2034989999999999</v>
      </c>
      <c r="E1697">
        <v>0.53547100000000003</v>
      </c>
      <c r="F1697" t="s">
        <v>42</v>
      </c>
      <c r="G1697">
        <v>-222.38239999999999</v>
      </c>
      <c r="H1697" s="1">
        <v>-4.3468139999999996E-6</v>
      </c>
      <c r="I1697">
        <v>363.43439999999998</v>
      </c>
      <c r="J1697">
        <v>-242.60429999999999</v>
      </c>
      <c r="K1697">
        <v>1.11077</v>
      </c>
      <c r="L1697">
        <v>367.34129999999999</v>
      </c>
      <c r="M1697">
        <v>0.99987309999999996</v>
      </c>
      <c r="N1697">
        <v>0</v>
      </c>
      <c r="O1697">
        <v>8.3346340000000005E-3</v>
      </c>
      <c r="P1697">
        <v>0.99305080000000001</v>
      </c>
      <c r="Q1697">
        <v>7.2376599999999999E-2</v>
      </c>
      <c r="R1697">
        <v>-9.2800110000000005E-2</v>
      </c>
      <c r="S1697">
        <v>2.9793850000000002</v>
      </c>
      <c r="T1697">
        <v>-0.16264899999999999</v>
      </c>
      <c r="U1697">
        <v>-0.57192989999999999</v>
      </c>
      <c r="V1697">
        <v>0.1010678</v>
      </c>
      <c r="W1697">
        <v>8.5852970000000001E-2</v>
      </c>
      <c r="X1697">
        <v>0.9911683</v>
      </c>
      <c r="Y1697">
        <v>0.19640560000000001</v>
      </c>
      <c r="Z1697">
        <v>-5.7593729999999999E-3</v>
      </c>
      <c r="AA1697">
        <v>0.98050579999999998</v>
      </c>
      <c r="AB1697">
        <v>21</v>
      </c>
      <c r="AC1697">
        <v>20.221900000000002</v>
      </c>
      <c r="AD1697">
        <v>-1.1107743468139999</v>
      </c>
      <c r="AE1697">
        <v>-3.9068999999999998</v>
      </c>
      <c r="AF1697">
        <v>4.06350261803808</v>
      </c>
      <c r="AG1697">
        <v>-1.1107743468139999</v>
      </c>
      <c r="AH1697">
        <v>20.130080453332599</v>
      </c>
      <c r="AI1697">
        <v>93.096043890399997</v>
      </c>
      <c r="AJ1697">
        <v>78.587511064373899</v>
      </c>
      <c r="AK1697">
        <v>20.566137513738099</v>
      </c>
      <c r="AL1697">
        <v>85.074924319085198</v>
      </c>
      <c r="AM1697">
        <v>84.177767006754706</v>
      </c>
      <c r="AN1697">
        <v>1.0000000157897699</v>
      </c>
    </row>
    <row r="1698" spans="1:40" x14ac:dyDescent="0.25">
      <c r="A1698" t="str">
        <f>"20190312150700137"</f>
        <v>20190312150700137</v>
      </c>
      <c r="B1698" t="str">
        <f>"1552374420132254"</f>
        <v>1552374420132254</v>
      </c>
      <c r="C1698" t="s">
        <v>40</v>
      </c>
      <c r="D1698">
        <v>4.2996189999999999</v>
      </c>
      <c r="E1698">
        <v>0.53553729999999999</v>
      </c>
      <c r="F1698" t="s">
        <v>42</v>
      </c>
      <c r="G1698">
        <v>-221.87610000000001</v>
      </c>
      <c r="H1698" s="1">
        <v>-4.5790380000000003E-6</v>
      </c>
      <c r="I1698">
        <v>363.34969999999998</v>
      </c>
      <c r="J1698">
        <v>-242.499</v>
      </c>
      <c r="K1698">
        <v>1.1107720000000001</v>
      </c>
      <c r="L1698">
        <v>367.34219999999999</v>
      </c>
      <c r="M1698">
        <v>0.99987280000000001</v>
      </c>
      <c r="N1698">
        <v>0</v>
      </c>
      <c r="O1698">
        <v>8.3751119999999901E-3</v>
      </c>
      <c r="P1698">
        <v>0.99301910000000004</v>
      </c>
      <c r="Q1698">
        <v>7.2605980000000001E-2</v>
      </c>
      <c r="R1698">
        <v>-9.2959459999999994E-2</v>
      </c>
      <c r="S1698">
        <v>2.9790190000000001</v>
      </c>
      <c r="T1698">
        <v>-0.1596379</v>
      </c>
      <c r="U1698">
        <v>-0.5736694</v>
      </c>
      <c r="V1698">
        <v>0.1012668</v>
      </c>
      <c r="W1698">
        <v>8.6080539999999997E-2</v>
      </c>
      <c r="X1698">
        <v>0.99112829999999996</v>
      </c>
      <c r="Y1698">
        <v>0.1970295</v>
      </c>
      <c r="Z1698">
        <v>-5.6719780000000003E-3</v>
      </c>
      <c r="AA1698">
        <v>0.98038110000000001</v>
      </c>
      <c r="AB1698">
        <v>21</v>
      </c>
      <c r="AC1698">
        <v>20.622900000000001</v>
      </c>
      <c r="AD1698">
        <v>-1.110776579038</v>
      </c>
      <c r="AE1698">
        <v>-3.9925000000000002</v>
      </c>
      <c r="AF1698">
        <v>4.1534808280258204</v>
      </c>
      <c r="AG1698">
        <v>-1.110776579038</v>
      </c>
      <c r="AH1698">
        <v>20.531325339867401</v>
      </c>
      <c r="AI1698">
        <v>93.035400757254394</v>
      </c>
      <c r="AJ1698">
        <v>78.563428791368494</v>
      </c>
      <c r="AK1698">
        <v>20.9766667468595</v>
      </c>
      <c r="AL1698">
        <v>85.061837316409495</v>
      </c>
      <c r="AM1698">
        <v>84.166148349654705</v>
      </c>
      <c r="AN1698">
        <v>1.0000000656049</v>
      </c>
    </row>
    <row r="1699" spans="1:40" x14ac:dyDescent="0.25">
      <c r="A1699" t="str">
        <f>"20190312150700146"</f>
        <v>20190312150700146</v>
      </c>
      <c r="B1699" t="str">
        <f>"1552374420142014"</f>
        <v>1552374420142014</v>
      </c>
      <c r="C1699" t="s">
        <v>40</v>
      </c>
      <c r="D1699">
        <v>4.196053</v>
      </c>
      <c r="E1699">
        <v>0.53559609999999902</v>
      </c>
      <c r="F1699" t="s">
        <v>42</v>
      </c>
      <c r="G1699">
        <v>-221.14160000000001</v>
      </c>
      <c r="H1699" s="1">
        <v>-4.9162989999999996E-6</v>
      </c>
      <c r="I1699">
        <v>363.22469999999998</v>
      </c>
      <c r="J1699">
        <v>-242.4076</v>
      </c>
      <c r="K1699">
        <v>1.1107739999999999</v>
      </c>
      <c r="L1699">
        <v>367.34300000000002</v>
      </c>
      <c r="M1699">
        <v>0.9998726</v>
      </c>
      <c r="N1699">
        <v>0</v>
      </c>
      <c r="O1699">
        <v>8.4103449999999996E-3</v>
      </c>
      <c r="P1699">
        <v>0.99300339999999998</v>
      </c>
      <c r="Q1699">
        <v>7.2756269999999998E-2</v>
      </c>
      <c r="R1699">
        <v>-9.3013360000000003E-2</v>
      </c>
      <c r="S1699">
        <v>2.978653</v>
      </c>
      <c r="T1699">
        <v>-0.1549162</v>
      </c>
      <c r="U1699">
        <v>-0.57424929999999996</v>
      </c>
      <c r="V1699">
        <v>0.1013553</v>
      </c>
      <c r="W1699">
        <v>8.6229700000000006E-2</v>
      </c>
      <c r="X1699">
        <v>0.99110620000000005</v>
      </c>
      <c r="Y1699">
        <v>0.19728660000000001</v>
      </c>
      <c r="Z1699">
        <v>-5.513436E-3</v>
      </c>
      <c r="AA1699">
        <v>0.98033029999999999</v>
      </c>
      <c r="AB1699">
        <v>21</v>
      </c>
      <c r="AC1699">
        <v>21.265999999999899</v>
      </c>
      <c r="AD1699">
        <v>-1.1107789162989901</v>
      </c>
      <c r="AE1699">
        <v>-4.1183000000000298</v>
      </c>
      <c r="AF1699">
        <v>4.2857552345088896</v>
      </c>
      <c r="AG1699">
        <v>-1.1107789162989901</v>
      </c>
      <c r="AH1699">
        <v>21.174926041974398</v>
      </c>
      <c r="AI1699">
        <v>92.943256349463198</v>
      </c>
      <c r="AJ1699">
        <v>78.558037165814198</v>
      </c>
      <c r="AK1699">
        <v>21.632822761121599</v>
      </c>
      <c r="AL1699">
        <v>85.053258752442304</v>
      </c>
      <c r="AM1699">
        <v>84.160955889039499</v>
      </c>
      <c r="AN1699">
        <v>0.99999997883930902</v>
      </c>
    </row>
    <row r="1700" spans="1:40" x14ac:dyDescent="0.25">
      <c r="A1700" t="str">
        <f>"20190312150700157"</f>
        <v>20190312150700157</v>
      </c>
      <c r="B1700" t="str">
        <f>"1552374420151774"</f>
        <v>1552374420151774</v>
      </c>
      <c r="C1700" t="s">
        <v>40</v>
      </c>
      <c r="D1700">
        <v>4.1959249999999999</v>
      </c>
      <c r="E1700">
        <v>0.53562540000000003</v>
      </c>
      <c r="F1700" t="s">
        <v>42</v>
      </c>
      <c r="G1700">
        <v>-220.32239999999999</v>
      </c>
      <c r="H1700" s="1">
        <v>-5.2928789999999998E-6</v>
      </c>
      <c r="I1700">
        <v>363.08319999999998</v>
      </c>
      <c r="J1700">
        <v>-242.30340000000001</v>
      </c>
      <c r="K1700">
        <v>1.1107769999999999</v>
      </c>
      <c r="L1700">
        <v>367.34399999999999</v>
      </c>
      <c r="M1700">
        <v>0.99987210000000004</v>
      </c>
      <c r="N1700">
        <v>0</v>
      </c>
      <c r="O1700">
        <v>8.4508209999999903E-3</v>
      </c>
      <c r="P1700">
        <v>0.99298339999999996</v>
      </c>
      <c r="Q1700">
        <v>7.3051000000000005E-2</v>
      </c>
      <c r="R1700">
        <v>-9.2993930000000002E-2</v>
      </c>
      <c r="S1700">
        <v>2.9783170000000001</v>
      </c>
      <c r="T1700">
        <v>-0.14979419999999999</v>
      </c>
      <c r="U1700">
        <v>-0.5744629</v>
      </c>
      <c r="V1700">
        <v>0.1013758</v>
      </c>
      <c r="W1700">
        <v>8.6522810000000006E-2</v>
      </c>
      <c r="X1700">
        <v>0.99107860000000003</v>
      </c>
      <c r="Y1700">
        <v>0.19743179999999999</v>
      </c>
      <c r="Z1700">
        <v>-5.3375590000000004E-3</v>
      </c>
      <c r="AA1700">
        <v>0.98030209999999995</v>
      </c>
      <c r="AB1700">
        <v>21</v>
      </c>
      <c r="AC1700">
        <v>21.981000000000002</v>
      </c>
      <c r="AD1700">
        <v>-1.1107822928790001</v>
      </c>
      <c r="AE1700">
        <v>-4.2608000000000104</v>
      </c>
      <c r="AF1700">
        <v>4.4355058543110601</v>
      </c>
      <c r="AG1700">
        <v>-1.1107822928790001</v>
      </c>
      <c r="AH1700">
        <v>21.890328255802199</v>
      </c>
      <c r="AI1700">
        <v>92.847111620152106</v>
      </c>
      <c r="AJ1700">
        <v>78.545579130175895</v>
      </c>
      <c r="AK1700">
        <v>22.362782041431601</v>
      </c>
      <c r="AL1700">
        <v>85.036401991583702</v>
      </c>
      <c r="AM1700">
        <v>84.159621536877296</v>
      </c>
      <c r="AN1700">
        <v>1.0000000204269399</v>
      </c>
    </row>
    <row r="1701" spans="1:40" x14ac:dyDescent="0.25">
      <c r="A1701" t="str">
        <f>"20190312150700169"</f>
        <v>20190312150700169</v>
      </c>
      <c r="B1701" t="str">
        <f>"1552374420161534"</f>
        <v>1552374420161534</v>
      </c>
      <c r="C1701" t="s">
        <v>40</v>
      </c>
      <c r="D1701">
        <v>4.1922300000000003</v>
      </c>
      <c r="E1701">
        <v>0.53567679999999995</v>
      </c>
      <c r="F1701" t="s">
        <v>42</v>
      </c>
      <c r="G1701">
        <v>-220.03809999999999</v>
      </c>
      <c r="H1701" s="1">
        <v>-5.420967E-6</v>
      </c>
      <c r="I1701">
        <v>363.04860000000002</v>
      </c>
      <c r="J1701">
        <v>-242.19589999999999</v>
      </c>
      <c r="K1701">
        <v>1.1107800000000001</v>
      </c>
      <c r="L1701">
        <v>367.3449</v>
      </c>
      <c r="M1701">
        <v>0.99987190000000004</v>
      </c>
      <c r="N1701">
        <v>0</v>
      </c>
      <c r="O1701">
        <v>8.4924300000000005E-3</v>
      </c>
      <c r="P1701">
        <v>0.99301039999999996</v>
      </c>
      <c r="Q1701">
        <v>7.2940779999999997E-2</v>
      </c>
      <c r="R1701">
        <v>-9.2792200000000005E-2</v>
      </c>
      <c r="S1701">
        <v>2.9783170000000001</v>
      </c>
      <c r="T1701">
        <v>-0.14858279999999999</v>
      </c>
      <c r="U1701">
        <v>-0.57455440000000002</v>
      </c>
      <c r="V1701">
        <v>0.10121579999999999</v>
      </c>
      <c r="W1701">
        <v>8.6411650000000007E-2</v>
      </c>
      <c r="X1701">
        <v>0.9911046</v>
      </c>
      <c r="Y1701">
        <v>0.1975055</v>
      </c>
      <c r="Z1701">
        <v>-5.2983090000000002E-3</v>
      </c>
      <c r="AA1701">
        <v>0.98028740000000003</v>
      </c>
      <c r="AB1701">
        <v>21</v>
      </c>
      <c r="AC1701">
        <v>22.157800000000002</v>
      </c>
      <c r="AD1701">
        <v>-1.1107854209669901</v>
      </c>
      <c r="AE1701">
        <v>-4.2962999999999703</v>
      </c>
      <c r="AF1701">
        <v>4.4735009865605502</v>
      </c>
      <c r="AG1701">
        <v>-1.1107854209669901</v>
      </c>
      <c r="AH1701">
        <v>22.067064401459199</v>
      </c>
      <c r="AI1701">
        <v>92.824299648257707</v>
      </c>
      <c r="AJ1701">
        <v>78.540131879067701</v>
      </c>
      <c r="AK1701">
        <v>22.543322439834299</v>
      </c>
      <c r="AL1701">
        <v>85.042794682142997</v>
      </c>
      <c r="AM1701">
        <v>84.168927673020804</v>
      </c>
      <c r="AN1701">
        <v>0.99999996978326</v>
      </c>
    </row>
    <row r="1702" spans="1:40" x14ac:dyDescent="0.25">
      <c r="A1702" t="str">
        <f>"20190312150700182"</f>
        <v>20190312150700182</v>
      </c>
      <c r="B1702" t="str">
        <f>"1552374420172270"</f>
        <v>1552374420172270</v>
      </c>
      <c r="C1702" t="s">
        <v>40</v>
      </c>
      <c r="D1702">
        <v>4.1806960000000002</v>
      </c>
      <c r="E1702">
        <v>0.53571159999999995</v>
      </c>
      <c r="F1702" t="s">
        <v>42</v>
      </c>
      <c r="G1702">
        <v>-219.8819</v>
      </c>
      <c r="H1702" s="1">
        <v>-1.775033E-6</v>
      </c>
      <c r="I1702">
        <v>363.04399999999998</v>
      </c>
      <c r="J1702">
        <v>-242.08080000000001</v>
      </c>
      <c r="K1702">
        <v>1.110779</v>
      </c>
      <c r="L1702">
        <v>367.34589999999997</v>
      </c>
      <c r="M1702">
        <v>0.99987159999999997</v>
      </c>
      <c r="N1702">
        <v>0</v>
      </c>
      <c r="O1702">
        <v>8.5369599999999997E-3</v>
      </c>
      <c r="P1702">
        <v>0.99297950000000001</v>
      </c>
      <c r="Q1702">
        <v>7.3458170000000003E-2</v>
      </c>
      <c r="R1702">
        <v>-9.2714050000000006E-2</v>
      </c>
      <c r="S1702">
        <v>2.9783629999999999</v>
      </c>
      <c r="T1702">
        <v>-0.14826110000000001</v>
      </c>
      <c r="U1702">
        <v>-0.57406619999999997</v>
      </c>
      <c r="V1702">
        <v>0.1011816</v>
      </c>
      <c r="W1702">
        <v>8.6927539999999998E-2</v>
      </c>
      <c r="X1702">
        <v>0.99106300000000003</v>
      </c>
      <c r="Y1702">
        <v>0.1973926</v>
      </c>
      <c r="Z1702">
        <v>-5.2862660000000004E-3</v>
      </c>
      <c r="AA1702">
        <v>0.98031029999999997</v>
      </c>
      <c r="AB1702">
        <v>21</v>
      </c>
      <c r="AC1702">
        <v>22.198899999999998</v>
      </c>
      <c r="AD1702">
        <v>-1.1107807750329901</v>
      </c>
      <c r="AE1702">
        <v>-4.3018999999999297</v>
      </c>
      <c r="AF1702">
        <v>4.4804597678454803</v>
      </c>
      <c r="AG1702">
        <v>-1.1107807750329901</v>
      </c>
      <c r="AH1702">
        <v>22.108012593350001</v>
      </c>
      <c r="AI1702">
        <v>92.819098460997395</v>
      </c>
      <c r="AJ1702">
        <v>78.543473486375504</v>
      </c>
      <c r="AK1702">
        <v>22.5847863503109</v>
      </c>
      <c r="AL1702">
        <v>85.013124825892206</v>
      </c>
      <c r="AM1702">
        <v>84.170641382612203</v>
      </c>
      <c r="AN1702">
        <v>0.999999991679005</v>
      </c>
    </row>
    <row r="1703" spans="1:40" x14ac:dyDescent="0.25">
      <c r="A1703" t="str">
        <f>"20190312150700192"</f>
        <v>20190312150700192</v>
      </c>
      <c r="B1703" t="str">
        <f>"1552374420182030"</f>
        <v>1552374420182030</v>
      </c>
      <c r="C1703" t="s">
        <v>40</v>
      </c>
      <c r="D1703">
        <v>4.2110029999999998</v>
      </c>
      <c r="E1703">
        <v>0.53574829999999996</v>
      </c>
      <c r="F1703" t="s">
        <v>42</v>
      </c>
      <c r="G1703">
        <v>-219.51070000000001</v>
      </c>
      <c r="H1703" s="1">
        <v>-1.9147449999999998E-6</v>
      </c>
      <c r="I1703">
        <v>362.99369999999999</v>
      </c>
      <c r="J1703">
        <v>-241.9776</v>
      </c>
      <c r="K1703">
        <v>1.110779</v>
      </c>
      <c r="L1703">
        <v>367.34690000000001</v>
      </c>
      <c r="M1703">
        <v>0.99987119999999996</v>
      </c>
      <c r="N1703">
        <v>0</v>
      </c>
      <c r="O1703">
        <v>8.5772550000000006E-3</v>
      </c>
      <c r="P1703">
        <v>0.99296799999999996</v>
      </c>
      <c r="Q1703">
        <v>7.3594989999999999E-2</v>
      </c>
      <c r="R1703">
        <v>-9.2728560000000002E-2</v>
      </c>
      <c r="S1703">
        <v>2.978424</v>
      </c>
      <c r="T1703">
        <v>-0.146581399999999</v>
      </c>
      <c r="U1703">
        <v>-0.57434079999999998</v>
      </c>
      <c r="V1703">
        <v>0.1012359</v>
      </c>
      <c r="W1703">
        <v>8.7062920000000002E-2</v>
      </c>
      <c r="X1703">
        <v>0.99104559999999997</v>
      </c>
      <c r="Y1703">
        <v>0.1975208</v>
      </c>
      <c r="Z1703">
        <v>-5.2313860000000002E-3</v>
      </c>
      <c r="AA1703">
        <v>0.98028479999999996</v>
      </c>
      <c r="AB1703">
        <v>21</v>
      </c>
      <c r="AC1703">
        <v>22.4668999999999</v>
      </c>
      <c r="AD1703">
        <v>-1.1107809147450001</v>
      </c>
      <c r="AE1703">
        <v>-4.35320000000001</v>
      </c>
      <c r="AF1703">
        <v>4.5350775262922802</v>
      </c>
      <c r="AG1703">
        <v>-1.1107809147450001</v>
      </c>
      <c r="AH1703">
        <v>22.376014891107001</v>
      </c>
      <c r="AI1703">
        <v>92.785380012284705</v>
      </c>
      <c r="AJ1703">
        <v>78.542726252780895</v>
      </c>
      <c r="AK1703">
        <v>22.8579702689693</v>
      </c>
      <c r="AL1703">
        <v>85.005338747238198</v>
      </c>
      <c r="AM1703">
        <v>84.167432871041498</v>
      </c>
      <c r="AN1703">
        <v>1.00000002038354</v>
      </c>
    </row>
    <row r="1704" spans="1:40" x14ac:dyDescent="0.25">
      <c r="A1704" t="str">
        <f>"20190312150700204"</f>
        <v>20190312150700204</v>
      </c>
      <c r="B1704" t="str">
        <f>"1552374420191790"</f>
        <v>1552374420191790</v>
      </c>
      <c r="C1704" t="s">
        <v>40</v>
      </c>
      <c r="D1704">
        <v>4.213349</v>
      </c>
      <c r="E1704">
        <v>0.53583409999999998</v>
      </c>
      <c r="F1704" t="s">
        <v>42</v>
      </c>
      <c r="G1704">
        <v>-219.2011</v>
      </c>
      <c r="H1704" s="1">
        <v>-2.0312780000000002E-6</v>
      </c>
      <c r="I1704">
        <v>362.95170000000002</v>
      </c>
      <c r="J1704">
        <v>-241.87119999999999</v>
      </c>
      <c r="K1704">
        <v>1.1107800000000001</v>
      </c>
      <c r="L1704">
        <v>367.34780000000001</v>
      </c>
      <c r="M1704">
        <v>0.99987079999999995</v>
      </c>
      <c r="N1704">
        <v>0</v>
      </c>
      <c r="O1704">
        <v>8.6186809999999996E-3</v>
      </c>
      <c r="P1704">
        <v>0.99292000000000002</v>
      </c>
      <c r="Q1704">
        <v>7.4133350000000001E-2</v>
      </c>
      <c r="R1704">
        <v>-9.2813359999999998E-2</v>
      </c>
      <c r="S1704">
        <v>2.9783629999999999</v>
      </c>
      <c r="T1704">
        <v>-0.14525060000000001</v>
      </c>
      <c r="U1704">
        <v>-0.57473750000000001</v>
      </c>
      <c r="V1704">
        <v>0.10136149999999999</v>
      </c>
      <c r="W1704">
        <v>8.7599209999999997E-2</v>
      </c>
      <c r="X1704">
        <v>0.99098549999999996</v>
      </c>
      <c r="Y1704">
        <v>0.19769519999999999</v>
      </c>
      <c r="Z1704">
        <v>-5.1901940000000004E-3</v>
      </c>
      <c r="AA1704">
        <v>0.98024979999999995</v>
      </c>
      <c r="AB1704">
        <v>21</v>
      </c>
      <c r="AC1704">
        <v>22.670099999999898</v>
      </c>
      <c r="AD1704">
        <v>-1.1107820312779999</v>
      </c>
      <c r="AE1704">
        <v>-4.3960999999999899</v>
      </c>
      <c r="AF1704">
        <v>4.5807422755021996</v>
      </c>
      <c r="AG1704">
        <v>-1.1107820312779999</v>
      </c>
      <c r="AH1704">
        <v>22.5791229693647</v>
      </c>
      <c r="AI1704">
        <v>92.760259150687702</v>
      </c>
      <c r="AJ1704">
        <v>78.531759088474004</v>
      </c>
      <c r="AK1704">
        <v>23.065858548540401</v>
      </c>
      <c r="AL1704">
        <v>84.974493734962394</v>
      </c>
      <c r="AM1704">
        <v>84.159894866208305</v>
      </c>
      <c r="AN1704">
        <v>1.0000000182425599</v>
      </c>
    </row>
    <row r="1705" spans="1:40" x14ac:dyDescent="0.25">
      <c r="A1705" t="str">
        <f>"20190312150700215"</f>
        <v>20190312150700215</v>
      </c>
      <c r="B1705" t="str">
        <f>"1552374420212285"</f>
        <v>1552374420212285</v>
      </c>
      <c r="C1705" t="s">
        <v>40</v>
      </c>
      <c r="D1705">
        <v>4.2245220000000003</v>
      </c>
      <c r="E1705">
        <v>0.53597269999999997</v>
      </c>
      <c r="F1705" t="s">
        <v>42</v>
      </c>
      <c r="G1705">
        <v>-218.7774</v>
      </c>
      <c r="H1705" s="1">
        <v>-2.1927720000000001E-6</v>
      </c>
      <c r="I1705">
        <v>362.88659999999999</v>
      </c>
      <c r="J1705">
        <v>-241.77080000000001</v>
      </c>
      <c r="K1705">
        <v>1.110781</v>
      </c>
      <c r="L1705">
        <v>367.34879999999998</v>
      </c>
      <c r="M1705">
        <v>0.9998705</v>
      </c>
      <c r="N1705">
        <v>0</v>
      </c>
      <c r="O1705">
        <v>8.6576069999999995E-3</v>
      </c>
      <c r="P1705">
        <v>0.99287769999999997</v>
      </c>
      <c r="Q1705">
        <v>7.4563820000000003E-2</v>
      </c>
      <c r="R1705">
        <v>-9.2921139999999999E-2</v>
      </c>
      <c r="S1705">
        <v>2.9783019999999998</v>
      </c>
      <c r="T1705">
        <v>-0.1432523</v>
      </c>
      <c r="U1705">
        <v>-0.57534790000000002</v>
      </c>
      <c r="V1705">
        <v>0.1015076</v>
      </c>
      <c r="W1705">
        <v>8.8028149999999999E-2</v>
      </c>
      <c r="X1705">
        <v>0.99093249999999999</v>
      </c>
      <c r="Y1705">
        <v>0.1979369</v>
      </c>
      <c r="Z1705">
        <v>-5.1264869999999999E-3</v>
      </c>
      <c r="AA1705">
        <v>0.9802014</v>
      </c>
      <c r="AB1705">
        <v>21</v>
      </c>
      <c r="AC1705">
        <v>22.993400000000001</v>
      </c>
      <c r="AD1705">
        <v>-1.110783192772</v>
      </c>
      <c r="AE1705">
        <v>-4.4621999999999904</v>
      </c>
      <c r="AF1705">
        <v>4.6506593683746704</v>
      </c>
      <c r="AG1705">
        <v>-1.110783192772</v>
      </c>
      <c r="AH1705">
        <v>22.9023942240946</v>
      </c>
      <c r="AI1705">
        <v>92.721259221174293</v>
      </c>
      <c r="AJ1705">
        <v>78.521347006613894</v>
      </c>
      <c r="AK1705">
        <v>23.3961991156221</v>
      </c>
      <c r="AL1705">
        <v>84.949821800122905</v>
      </c>
      <c r="AM1705">
        <v>84.151224752586103</v>
      </c>
      <c r="AN1705">
        <v>0.99999998380321597</v>
      </c>
    </row>
    <row r="1706" spans="1:40" x14ac:dyDescent="0.25">
      <c r="A1706" t="str">
        <f>"20190312150700227"</f>
        <v>20190312150700227</v>
      </c>
      <c r="B1706" t="str">
        <f>"1552374420222046"</f>
        <v>1552374420222046</v>
      </c>
      <c r="C1706" t="s">
        <v>40</v>
      </c>
      <c r="D1706">
        <v>4.2545549999999999</v>
      </c>
      <c r="E1706">
        <v>0.53605360000000002</v>
      </c>
      <c r="F1706" t="s">
        <v>42</v>
      </c>
      <c r="G1706">
        <v>-218.31469999999999</v>
      </c>
      <c r="H1706" s="1">
        <v>-2.371422E-6</v>
      </c>
      <c r="I1706">
        <v>362.80689999999998</v>
      </c>
      <c r="J1706">
        <v>-241.66970000000001</v>
      </c>
      <c r="K1706">
        <v>1.1107830000000001</v>
      </c>
      <c r="L1706">
        <v>367.34960000000001</v>
      </c>
      <c r="M1706">
        <v>0.99987020000000004</v>
      </c>
      <c r="N1706">
        <v>0</v>
      </c>
      <c r="O1706">
        <v>8.697069E-3</v>
      </c>
      <c r="P1706">
        <v>0.99286129999999995</v>
      </c>
      <c r="Q1706">
        <v>7.4943579999999996E-2</v>
      </c>
      <c r="R1706">
        <v>-9.2790170000000005E-2</v>
      </c>
      <c r="S1706">
        <v>2.9781339999999998</v>
      </c>
      <c r="T1706">
        <v>-0.14103170000000001</v>
      </c>
      <c r="U1706">
        <v>-0.57666019999999996</v>
      </c>
      <c r="V1706">
        <v>0.10141550000000001</v>
      </c>
      <c r="W1706">
        <v>8.8406219999999994E-2</v>
      </c>
      <c r="X1706">
        <v>0.99090829999999996</v>
      </c>
      <c r="Y1706">
        <v>0.19840869999999999</v>
      </c>
      <c r="Z1706">
        <v>-5.0600949999999997E-3</v>
      </c>
      <c r="AA1706">
        <v>0.98010629999999999</v>
      </c>
      <c r="AB1706">
        <v>21</v>
      </c>
      <c r="AC1706">
        <v>23.355</v>
      </c>
      <c r="AD1706">
        <v>-1.110785371422</v>
      </c>
      <c r="AE1706">
        <v>-4.5427000000000204</v>
      </c>
      <c r="AF1706">
        <v>4.7353458193761204</v>
      </c>
      <c r="AG1706">
        <v>-1.110785371422</v>
      </c>
      <c r="AH1706">
        <v>23.2638991656322</v>
      </c>
      <c r="AI1706">
        <v>92.678786892232296</v>
      </c>
      <c r="AJ1706">
        <v>78.494674093549506</v>
      </c>
      <c r="AK1706">
        <v>23.766917102543001</v>
      </c>
      <c r="AL1706">
        <v>84.928075339301799</v>
      </c>
      <c r="AM1706">
        <v>84.156353008754607</v>
      </c>
      <c r="AN1706">
        <v>1.0000000111919101</v>
      </c>
    </row>
    <row r="1707" spans="1:40" x14ac:dyDescent="0.25">
      <c r="A1707" t="str">
        <f>"20190312150700238"</f>
        <v>20190312150700238</v>
      </c>
      <c r="B1707" t="str">
        <f>"1552374420231806"</f>
        <v>1552374420231806</v>
      </c>
      <c r="C1707" t="s">
        <v>40</v>
      </c>
      <c r="D1707">
        <v>4.2301679999999999</v>
      </c>
      <c r="E1707">
        <v>0.53612969999999904</v>
      </c>
      <c r="F1707" t="s">
        <v>42</v>
      </c>
      <c r="G1707">
        <v>-217.85730000000001</v>
      </c>
      <c r="H1707" s="1">
        <v>-2.5456499999999999E-6</v>
      </c>
      <c r="I1707">
        <v>362.73719999999997</v>
      </c>
      <c r="J1707">
        <v>-241.54820000000001</v>
      </c>
      <c r="K1707">
        <v>1.1107860000000001</v>
      </c>
      <c r="L1707">
        <v>367.35079999999999</v>
      </c>
      <c r="M1707">
        <v>0.99986980000000003</v>
      </c>
      <c r="N1707">
        <v>0</v>
      </c>
      <c r="O1707">
        <v>8.7439270000000003E-3</v>
      </c>
      <c r="P1707">
        <v>0.99282720000000002</v>
      </c>
      <c r="Q1707">
        <v>7.5293979999999996E-2</v>
      </c>
      <c r="R1707">
        <v>-9.2872189999999993E-2</v>
      </c>
      <c r="S1707">
        <v>2.9781650000000002</v>
      </c>
      <c r="T1707">
        <v>-0.1389233</v>
      </c>
      <c r="U1707">
        <v>-0.57687379999999999</v>
      </c>
      <c r="V1707">
        <v>0.1015438</v>
      </c>
      <c r="W1707">
        <v>8.8755310000000004E-2</v>
      </c>
      <c r="X1707">
        <v>0.99086390000000002</v>
      </c>
      <c r="Y1707">
        <v>0.19852690000000001</v>
      </c>
      <c r="Z1707">
        <v>-4.9893389999999998E-3</v>
      </c>
      <c r="AA1707">
        <v>0.98008280000000003</v>
      </c>
      <c r="AB1707">
        <v>21</v>
      </c>
      <c r="AC1707">
        <v>23.690899999999999</v>
      </c>
      <c r="AD1707">
        <v>-1.11078854565</v>
      </c>
      <c r="AE1707">
        <v>-4.6136000000000204</v>
      </c>
      <c r="AF1707">
        <v>4.8104055200412201</v>
      </c>
      <c r="AG1707">
        <v>-1.11078854565</v>
      </c>
      <c r="AH1707">
        <v>23.5996644482554</v>
      </c>
      <c r="AI1707">
        <v>92.640589464330205</v>
      </c>
      <c r="AJ1707">
        <v>78.479020781447304</v>
      </c>
      <c r="AK1707">
        <v>24.1105374168773</v>
      </c>
      <c r="AL1707">
        <v>84.907994750174794</v>
      </c>
      <c r="AM1707">
        <v>84.148751150710396</v>
      </c>
      <c r="AN1707">
        <v>0.99999995834742195</v>
      </c>
    </row>
    <row r="1708" spans="1:40" x14ac:dyDescent="0.25">
      <c r="A1708" t="str">
        <f>"20190312150700251"</f>
        <v>20190312150700251</v>
      </c>
      <c r="B1708" t="str">
        <f>"1552374420241567"</f>
        <v>1552374420241567</v>
      </c>
      <c r="C1708" t="s">
        <v>40</v>
      </c>
      <c r="D1708">
        <v>4.2064500000000002</v>
      </c>
      <c r="E1708">
        <v>0.53618599999999905</v>
      </c>
      <c r="F1708" t="s">
        <v>42</v>
      </c>
      <c r="G1708">
        <v>-217.37479999999999</v>
      </c>
      <c r="H1708" s="1">
        <v>-2.7301130000000001E-6</v>
      </c>
      <c r="I1708">
        <v>362.66090000000003</v>
      </c>
      <c r="J1708">
        <v>-241.43350000000001</v>
      </c>
      <c r="K1708">
        <v>1.1107899999999999</v>
      </c>
      <c r="L1708">
        <v>367.35180000000003</v>
      </c>
      <c r="M1708">
        <v>0.99986929999999996</v>
      </c>
      <c r="N1708">
        <v>0</v>
      </c>
      <c r="O1708">
        <v>8.7883979999999993E-3</v>
      </c>
      <c r="P1708">
        <v>0.99279390000000001</v>
      </c>
      <c r="Q1708">
        <v>7.5573500000000002E-2</v>
      </c>
      <c r="R1708">
        <v>-9.3000810000000003E-2</v>
      </c>
      <c r="S1708">
        <v>2.978027</v>
      </c>
      <c r="T1708">
        <v>-0.13684279999999999</v>
      </c>
      <c r="U1708">
        <v>-0.57775880000000002</v>
      </c>
      <c r="V1708">
        <v>0.1017161</v>
      </c>
      <c r="W1708">
        <v>8.9032669999999994E-2</v>
      </c>
      <c r="X1708">
        <v>0.99082139999999996</v>
      </c>
      <c r="Y1708">
        <v>0.19886580000000001</v>
      </c>
      <c r="Z1708">
        <v>-4.9245160000000003E-3</v>
      </c>
      <c r="AA1708">
        <v>0.98001439999999995</v>
      </c>
      <c r="AB1708">
        <v>21</v>
      </c>
      <c r="AC1708">
        <v>24.058700000000002</v>
      </c>
      <c r="AD1708">
        <v>-1.1107927301129901</v>
      </c>
      <c r="AE1708">
        <v>-4.6908999999999903</v>
      </c>
      <c r="AF1708">
        <v>4.8921291938167597</v>
      </c>
      <c r="AG1708">
        <v>-1.1107927301129901</v>
      </c>
      <c r="AH1708">
        <v>23.967321926121901</v>
      </c>
      <c r="AI1708">
        <v>92.600004867413105</v>
      </c>
      <c r="AJ1708">
        <v>78.4634538483879</v>
      </c>
      <c r="AK1708">
        <v>24.4867169879637</v>
      </c>
      <c r="AL1708">
        <v>84.892040313877303</v>
      </c>
      <c r="AM1708">
        <v>84.138642130289995</v>
      </c>
      <c r="AN1708">
        <v>1.00000001401224</v>
      </c>
    </row>
    <row r="1709" spans="1:40" x14ac:dyDescent="0.25">
      <c r="A1709" t="str">
        <f>"20190312150700264"</f>
        <v>20190312150700264</v>
      </c>
      <c r="B1709" t="str">
        <f>"1552374420252302"</f>
        <v>1552374420252302</v>
      </c>
      <c r="C1709" t="s">
        <v>40</v>
      </c>
      <c r="D1709">
        <v>4.2510219999999999</v>
      </c>
      <c r="E1709">
        <v>0.53620210000000001</v>
      </c>
      <c r="F1709" t="s">
        <v>42</v>
      </c>
      <c r="G1709">
        <v>-217.08789999999999</v>
      </c>
      <c r="H1709" s="1">
        <v>-2.8385239999999998E-6</v>
      </c>
      <c r="I1709">
        <v>362.62049999999999</v>
      </c>
      <c r="J1709">
        <v>-241.31270000000001</v>
      </c>
      <c r="K1709">
        <v>1.110787</v>
      </c>
      <c r="L1709">
        <v>367.35289999999998</v>
      </c>
      <c r="M1709">
        <v>0.99986889999999995</v>
      </c>
      <c r="N1709">
        <v>0</v>
      </c>
      <c r="O1709">
        <v>8.8352529999999995E-3</v>
      </c>
      <c r="P1709">
        <v>0.99273129999999998</v>
      </c>
      <c r="Q1709">
        <v>7.5926510000000003E-2</v>
      </c>
      <c r="R1709">
        <v>-9.338043E-2</v>
      </c>
      <c r="S1709">
        <v>2.9779360000000001</v>
      </c>
      <c r="T1709">
        <v>-0.1358712</v>
      </c>
      <c r="U1709">
        <v>-0.57873540000000001</v>
      </c>
      <c r="V1709">
        <v>0.1021415</v>
      </c>
      <c r="W1709">
        <v>8.9383649999999995E-2</v>
      </c>
      <c r="X1709">
        <v>0.99074600000000002</v>
      </c>
      <c r="Y1709">
        <v>0.19922960000000001</v>
      </c>
      <c r="Z1709">
        <v>-4.8999170000000002E-3</v>
      </c>
      <c r="AA1709">
        <v>0.97994060000000005</v>
      </c>
      <c r="AB1709">
        <v>21</v>
      </c>
      <c r="AC1709">
        <v>24.224799999999998</v>
      </c>
      <c r="AD1709">
        <v>-1.110789838524</v>
      </c>
      <c r="AE1709">
        <v>-4.7323999999999797</v>
      </c>
      <c r="AF1709">
        <v>4.9362700336379399</v>
      </c>
      <c r="AG1709">
        <v>-1.110789838524</v>
      </c>
      <c r="AH1709">
        <v>24.133162892736699</v>
      </c>
      <c r="AI1709">
        <v>92.581939770229098</v>
      </c>
      <c r="AJ1709">
        <v>78.440003062779496</v>
      </c>
      <c r="AK1709">
        <v>24.657862176549799</v>
      </c>
      <c r="AL1709">
        <v>84.871849966868197</v>
      </c>
      <c r="AM1709">
        <v>84.113855541787501</v>
      </c>
      <c r="AN1709">
        <v>0.99999997971278598</v>
      </c>
    </row>
    <row r="1710" spans="1:40" x14ac:dyDescent="0.25">
      <c r="A1710" t="str">
        <f>"20190312150700276"</f>
        <v>20190312150700276</v>
      </c>
      <c r="B1710" t="str">
        <f>"1552374420271822"</f>
        <v>1552374420271822</v>
      </c>
      <c r="C1710" t="s">
        <v>40</v>
      </c>
      <c r="D1710">
        <v>4.2635339999999999</v>
      </c>
      <c r="E1710">
        <v>0.53647180000000005</v>
      </c>
      <c r="F1710" t="s">
        <v>42</v>
      </c>
      <c r="G1710">
        <v>-216.78280000000001</v>
      </c>
      <c r="H1710" s="1">
        <v>-2.9542730000000001E-6</v>
      </c>
      <c r="I1710">
        <v>362.57569999999998</v>
      </c>
      <c r="J1710">
        <v>-241.19970000000001</v>
      </c>
      <c r="K1710">
        <v>1.110789</v>
      </c>
      <c r="L1710">
        <v>367.35390000000001</v>
      </c>
      <c r="M1710">
        <v>0.99986870000000005</v>
      </c>
      <c r="N1710">
        <v>0</v>
      </c>
      <c r="O1710">
        <v>8.8788889999999992E-3</v>
      </c>
      <c r="P1710">
        <v>0.9926973</v>
      </c>
      <c r="Q1710">
        <v>7.6202339999999993E-2</v>
      </c>
      <c r="R1710">
        <v>-9.3517310000000006E-2</v>
      </c>
      <c r="S1710">
        <v>2.9777529999999999</v>
      </c>
      <c r="T1710">
        <v>-0.13484160000000001</v>
      </c>
      <c r="U1710">
        <v>-0.57992549999999998</v>
      </c>
      <c r="V1710">
        <v>0.1023215</v>
      </c>
      <c r="W1710">
        <v>8.9657689999999998E-2</v>
      </c>
      <c r="X1710">
        <v>0.99070270000000005</v>
      </c>
      <c r="Y1710">
        <v>0.1996637</v>
      </c>
      <c r="Z1710">
        <v>-4.8746240000000001E-3</v>
      </c>
      <c r="AA1710">
        <v>0.97985239999999996</v>
      </c>
      <c r="AB1710">
        <v>21</v>
      </c>
      <c r="AC1710">
        <v>24.416899999999998</v>
      </c>
      <c r="AD1710">
        <v>-1.110791954273</v>
      </c>
      <c r="AE1710">
        <v>-4.7782000000000204</v>
      </c>
      <c r="AF1710">
        <v>4.9848903125084396</v>
      </c>
      <c r="AG1710">
        <v>-1.110791954273</v>
      </c>
      <c r="AH1710">
        <v>24.3250223129596</v>
      </c>
      <c r="AI1710">
        <v>92.561413505590195</v>
      </c>
      <c r="AJ1710">
        <v>78.418805311314998</v>
      </c>
      <c r="AK1710">
        <v>24.855375690570401</v>
      </c>
      <c r="AL1710">
        <v>84.856085518884498</v>
      </c>
      <c r="AM1710">
        <v>84.1032997426489</v>
      </c>
      <c r="AN1710">
        <v>1.0000000152628301</v>
      </c>
    </row>
    <row r="1711" spans="1:40" x14ac:dyDescent="0.25">
      <c r="A1711" t="str">
        <f>"20190312150700290"</f>
        <v>20190312150700290</v>
      </c>
      <c r="B1711" t="str">
        <f>"1552374420281582"</f>
        <v>1552374420281582</v>
      </c>
      <c r="C1711" t="s">
        <v>40</v>
      </c>
      <c r="D1711">
        <v>4.3061800000000003</v>
      </c>
      <c r="E1711">
        <v>0.53666210000000003</v>
      </c>
      <c r="F1711" t="s">
        <v>42</v>
      </c>
      <c r="G1711">
        <v>-216.26230000000001</v>
      </c>
      <c r="H1711" s="1">
        <v>-3.1581840000000001E-6</v>
      </c>
      <c r="I1711">
        <v>362.47500000000002</v>
      </c>
      <c r="J1711">
        <v>-241.07320000000001</v>
      </c>
      <c r="K1711">
        <v>1.1107880000000001</v>
      </c>
      <c r="L1711">
        <v>367.35520000000002</v>
      </c>
      <c r="M1711">
        <v>0.99986830000000004</v>
      </c>
      <c r="N1711">
        <v>0</v>
      </c>
      <c r="O1711">
        <v>8.9278889999999996E-3</v>
      </c>
      <c r="P1711">
        <v>0.9926471</v>
      </c>
      <c r="Q1711">
        <v>7.6377379999999995E-2</v>
      </c>
      <c r="R1711">
        <v>-9.3908539999999999E-2</v>
      </c>
      <c r="S1711">
        <v>2.9774020000000001</v>
      </c>
      <c r="T1711">
        <v>-0.13262270000000001</v>
      </c>
      <c r="U1711">
        <v>-0.58251949999999997</v>
      </c>
      <c r="V1711">
        <v>0.1027607</v>
      </c>
      <c r="W1711">
        <v>8.9830560000000004E-2</v>
      </c>
      <c r="X1711">
        <v>0.99064160000000001</v>
      </c>
      <c r="Y1711">
        <v>0.2005614</v>
      </c>
      <c r="Z1711">
        <v>-4.8166049999999998E-3</v>
      </c>
      <c r="AA1711">
        <v>0.97966929999999997</v>
      </c>
      <c r="AB1711">
        <v>21</v>
      </c>
      <c r="AC1711">
        <v>24.8109</v>
      </c>
      <c r="AD1711">
        <v>-1.110791158184</v>
      </c>
      <c r="AE1711">
        <v>-4.8802000000000003</v>
      </c>
      <c r="AF1711">
        <v>5.0917092037871896</v>
      </c>
      <c r="AG1711">
        <v>-1.110791158184</v>
      </c>
      <c r="AH1711">
        <v>24.718637076075801</v>
      </c>
      <c r="AI1711">
        <v>92.520152206469405</v>
      </c>
      <c r="AJ1711">
        <v>78.360633425578598</v>
      </c>
      <c r="AK1711">
        <v>25.262034330429099</v>
      </c>
      <c r="AL1711">
        <v>84.846140772318094</v>
      </c>
      <c r="AM1711">
        <v>84.077805864500505</v>
      </c>
      <c r="AN1711">
        <v>1.0000000353124801</v>
      </c>
    </row>
    <row r="1712" spans="1:40" x14ac:dyDescent="0.25">
      <c r="A1712" t="str">
        <f>"20190312150700302"</f>
        <v>20190312150700302</v>
      </c>
      <c r="B1712" t="str">
        <f>"1552374420292318"</f>
        <v>1552374420292318</v>
      </c>
      <c r="C1712" t="s">
        <v>40</v>
      </c>
      <c r="D1712">
        <v>4.3025830000000003</v>
      </c>
      <c r="E1712">
        <v>0.53681540000000005</v>
      </c>
      <c r="F1712" t="s">
        <v>42</v>
      </c>
      <c r="G1712">
        <v>-216.03110000000001</v>
      </c>
      <c r="H1712" s="1">
        <v>-3.2476649999999999E-6</v>
      </c>
      <c r="I1712">
        <v>362.43439999999998</v>
      </c>
      <c r="J1712">
        <v>-240.9554</v>
      </c>
      <c r="K1712">
        <v>1.1107899999999999</v>
      </c>
      <c r="L1712">
        <v>367.35629999999998</v>
      </c>
      <c r="M1712">
        <v>0.99986779999999997</v>
      </c>
      <c r="N1712">
        <v>0</v>
      </c>
      <c r="O1712">
        <v>8.9735509999999997E-3</v>
      </c>
      <c r="P1712">
        <v>0.99254200000000004</v>
      </c>
      <c r="Q1712">
        <v>7.6823530000000001E-2</v>
      </c>
      <c r="R1712">
        <v>-9.465179E-2</v>
      </c>
      <c r="S1712">
        <v>2.9770509999999999</v>
      </c>
      <c r="T1712">
        <v>-0.13205249999999999</v>
      </c>
      <c r="U1712">
        <v>-0.5849915</v>
      </c>
      <c r="V1712">
        <v>0.1035483</v>
      </c>
      <c r="W1712">
        <v>9.0274129999999994E-2</v>
      </c>
      <c r="X1712">
        <v>0.99051920000000004</v>
      </c>
      <c r="Y1712">
        <v>0.20141200000000001</v>
      </c>
      <c r="Z1712">
        <v>-4.816776E-3</v>
      </c>
      <c r="AA1712">
        <v>0.9794948</v>
      </c>
      <c r="AB1712">
        <v>21</v>
      </c>
      <c r="AC1712">
        <v>24.924299999999899</v>
      </c>
      <c r="AD1712">
        <v>-1.110793247665</v>
      </c>
      <c r="AE1712">
        <v>-4.9218999999999902</v>
      </c>
      <c r="AF1712">
        <v>5.1355644703415297</v>
      </c>
      <c r="AG1712">
        <v>-1.110793247665</v>
      </c>
      <c r="AH1712">
        <v>24.831656056467001</v>
      </c>
      <c r="AI1712">
        <v>92.508290423864807</v>
      </c>
      <c r="AJ1712">
        <v>78.315099441273802</v>
      </c>
      <c r="AK1712">
        <v>25.381470142108899</v>
      </c>
      <c r="AL1712">
        <v>84.820622102395902</v>
      </c>
      <c r="AM1712">
        <v>84.0320099711289</v>
      </c>
      <c r="AN1712">
        <v>0.99999997727439305</v>
      </c>
    </row>
    <row r="1713" spans="1:40" x14ac:dyDescent="0.25">
      <c r="A1713" t="str">
        <f>"20190312150700316"</f>
        <v>20190312150700316</v>
      </c>
      <c r="B1713" t="str">
        <f>"1552374420311838"</f>
        <v>1552374420311838</v>
      </c>
      <c r="C1713" t="s">
        <v>40</v>
      </c>
      <c r="D1713">
        <v>4.3093500000000002</v>
      </c>
      <c r="E1713">
        <v>0.53717429999999999</v>
      </c>
      <c r="F1713" t="s">
        <v>42</v>
      </c>
      <c r="G1713">
        <v>-215.71530000000001</v>
      </c>
      <c r="H1713" s="1">
        <v>-3.37327E-6</v>
      </c>
      <c r="I1713">
        <v>362.36619999999999</v>
      </c>
      <c r="J1713">
        <v>-240.8305</v>
      </c>
      <c r="K1713">
        <v>1.1107910000000001</v>
      </c>
      <c r="L1713">
        <v>367.35739999999998</v>
      </c>
      <c r="M1713">
        <v>0.99986739999999996</v>
      </c>
      <c r="N1713">
        <v>0</v>
      </c>
      <c r="O1713">
        <v>9.0220749999999992E-3</v>
      </c>
      <c r="P1713">
        <v>0.99251940000000005</v>
      </c>
      <c r="Q1713">
        <v>7.6693709999999998E-2</v>
      </c>
      <c r="R1713">
        <v>-9.4991709999999993E-2</v>
      </c>
      <c r="S1713">
        <v>2.9765630000000001</v>
      </c>
      <c r="T1713">
        <v>-0.13099520000000001</v>
      </c>
      <c r="U1713">
        <v>-0.58847050000000001</v>
      </c>
      <c r="V1713">
        <v>0.1039363</v>
      </c>
      <c r="W1713">
        <v>9.014258E-2</v>
      </c>
      <c r="X1713">
        <v>0.9904906</v>
      </c>
      <c r="Y1713">
        <v>0.20259389999999999</v>
      </c>
      <c r="Z1713">
        <v>-4.8063410000000004E-3</v>
      </c>
      <c r="AA1713">
        <v>0.97925099999999998</v>
      </c>
      <c r="AB1713">
        <v>21</v>
      </c>
      <c r="AC1713">
        <v>25.115199999999898</v>
      </c>
      <c r="AD1713">
        <v>-1.1107943732700001</v>
      </c>
      <c r="AE1713">
        <v>-4.9911999999999903</v>
      </c>
      <c r="AF1713">
        <v>5.2078088464220897</v>
      </c>
      <c r="AG1713">
        <v>-1.1107943732700001</v>
      </c>
      <c r="AH1713">
        <v>25.022056178790201</v>
      </c>
      <c r="AI1713">
        <v>92.488581270102998</v>
      </c>
      <c r="AJ1713">
        <v>78.242946634682397</v>
      </c>
      <c r="AK1713">
        <v>25.582385200271901</v>
      </c>
      <c r="AL1713">
        <v>84.828190512069995</v>
      </c>
      <c r="AM1713">
        <v>84.009638242293093</v>
      </c>
      <c r="AN1713">
        <v>1.0000000339375501</v>
      </c>
    </row>
    <row r="1714" spans="1:40" x14ac:dyDescent="0.25">
      <c r="A1714" t="str">
        <f>"20190312150700327"</f>
        <v>20190312150700327</v>
      </c>
      <c r="B1714" t="str">
        <f>"1552374420321598"</f>
        <v>1552374420321598</v>
      </c>
      <c r="C1714" t="s">
        <v>40</v>
      </c>
      <c r="D1714">
        <v>6.053121</v>
      </c>
      <c r="E1714">
        <v>0.53717429999999999</v>
      </c>
      <c r="F1714" t="s">
        <v>42</v>
      </c>
      <c r="G1714">
        <v>-215.63140000000001</v>
      </c>
      <c r="H1714" s="1">
        <v>-3.4080740000000002E-6</v>
      </c>
      <c r="I1714">
        <v>362.34269999999998</v>
      </c>
      <c r="J1714">
        <v>-240.72749999999999</v>
      </c>
      <c r="K1714">
        <v>1.110792</v>
      </c>
      <c r="L1714">
        <v>367.35840000000002</v>
      </c>
      <c r="M1714">
        <v>0.99986699999999995</v>
      </c>
      <c r="N1714">
        <v>0</v>
      </c>
      <c r="O1714">
        <v>9.0621940000000008E-3</v>
      </c>
      <c r="P1714">
        <v>0.9924731</v>
      </c>
      <c r="Q1714">
        <v>7.6634110000000005E-2</v>
      </c>
      <c r="R1714">
        <v>-9.5519999999999994E-2</v>
      </c>
      <c r="S1714">
        <v>2.976089</v>
      </c>
      <c r="T1714">
        <v>-0.131188</v>
      </c>
      <c r="U1714">
        <v>-0.59225459999999996</v>
      </c>
      <c r="V1714">
        <v>0.1045041</v>
      </c>
      <c r="W1714">
        <v>9.0081320000000006E-2</v>
      </c>
      <c r="X1714">
        <v>0.99043639999999999</v>
      </c>
      <c r="Y1714">
        <v>0.20385880000000001</v>
      </c>
      <c r="Z1714">
        <v>-4.8429179999999999E-3</v>
      </c>
      <c r="AA1714">
        <v>0.97898830000000003</v>
      </c>
      <c r="AB1714">
        <v>21</v>
      </c>
      <c r="AC1714">
        <v>25.0960999999999</v>
      </c>
      <c r="AD1714">
        <v>-1.1107954080739999</v>
      </c>
      <c r="AE1714">
        <v>-5.01570000000003</v>
      </c>
      <c r="AF1714">
        <v>5.2330823122500902</v>
      </c>
      <c r="AG1714">
        <v>-1.1107954080739999</v>
      </c>
      <c r="AH1714">
        <v>25.0025109561157</v>
      </c>
      <c r="AI1714">
        <v>92.489942788867594</v>
      </c>
      <c r="AJ1714">
        <v>78.178514680822801</v>
      </c>
      <c r="AK1714">
        <v>25.568429185932999</v>
      </c>
      <c r="AL1714">
        <v>84.831714648721999</v>
      </c>
      <c r="AM1714">
        <v>83.976825854190395</v>
      </c>
      <c r="AN1714">
        <v>1.00000000678735</v>
      </c>
    </row>
    <row r="1715" spans="1:40" x14ac:dyDescent="0.25">
      <c r="A1715" t="str">
        <f>"20190312150700339"</f>
        <v>20190312150700339</v>
      </c>
      <c r="B1715" t="str">
        <f>"1552374420332334"</f>
        <v>1552374420332334</v>
      </c>
      <c r="C1715" t="s">
        <v>40</v>
      </c>
      <c r="D1715">
        <v>4.2950390000000001</v>
      </c>
      <c r="E1715">
        <v>0.54718979999999995</v>
      </c>
      <c r="F1715" t="s">
        <v>42</v>
      </c>
      <c r="G1715">
        <v>-215.5582</v>
      </c>
      <c r="H1715" s="1">
        <v>-3.4356429999999999E-6</v>
      </c>
      <c r="I1715">
        <v>362.33269999999999</v>
      </c>
      <c r="J1715">
        <v>-240.61179999999999</v>
      </c>
      <c r="K1715">
        <v>1.110792</v>
      </c>
      <c r="L1715">
        <v>367.35950000000003</v>
      </c>
      <c r="M1715">
        <v>0.99986660000000005</v>
      </c>
      <c r="N1715">
        <v>0</v>
      </c>
      <c r="O1715">
        <v>9.1066680000000001E-3</v>
      </c>
      <c r="P1715">
        <v>0.99245640000000002</v>
      </c>
      <c r="Q1715">
        <v>7.6566469999999998E-2</v>
      </c>
      <c r="R1715">
        <v>-9.5748159999999999E-2</v>
      </c>
      <c r="S1715">
        <v>2.9757229999999999</v>
      </c>
      <c r="T1715">
        <v>-0.13132729999999901</v>
      </c>
      <c r="U1715">
        <v>-0.59417719999999996</v>
      </c>
      <c r="V1715">
        <v>0.1047763</v>
      </c>
      <c r="W1715">
        <v>9.0011499999999994E-2</v>
      </c>
      <c r="X1715">
        <v>0.99041400000000002</v>
      </c>
      <c r="Y1715">
        <v>0.20453260000000001</v>
      </c>
      <c r="Z1715">
        <v>-4.8649959999999999E-3</v>
      </c>
      <c r="AA1715">
        <v>0.97884769999999999</v>
      </c>
      <c r="AB1715">
        <v>21</v>
      </c>
      <c r="AC1715">
        <v>25.0535999999999</v>
      </c>
      <c r="AD1715">
        <v>-1.1107954356430001</v>
      </c>
      <c r="AE1715">
        <v>-5.0268000000000299</v>
      </c>
      <c r="AF1715">
        <v>5.2448562357544102</v>
      </c>
      <c r="AG1715">
        <v>-1.1107954356430001</v>
      </c>
      <c r="AH1715">
        <v>24.959613749122099</v>
      </c>
      <c r="AI1715">
        <v>92.493800799626896</v>
      </c>
      <c r="AJ1715">
        <v>78.132883642068293</v>
      </c>
      <c r="AK1715">
        <v>25.528899348364899</v>
      </c>
      <c r="AL1715">
        <v>84.835731411978102</v>
      </c>
      <c r="AM1715">
        <v>83.961117604927495</v>
      </c>
      <c r="AN1715">
        <v>1.0000000172849699</v>
      </c>
    </row>
    <row r="1716" spans="1:40" x14ac:dyDescent="0.25">
      <c r="A1716" t="str">
        <f>"20190312150700349"</f>
        <v>20190312150700349</v>
      </c>
      <c r="B1716" t="str">
        <f>"1552374420342094"</f>
        <v>1552374420342094</v>
      </c>
      <c r="C1716" t="s">
        <v>40</v>
      </c>
      <c r="D1716">
        <v>4.3595750000000004</v>
      </c>
      <c r="E1716">
        <v>0.5468653</v>
      </c>
      <c r="F1716" t="s">
        <v>43</v>
      </c>
      <c r="G1716">
        <v>-86.515550000000005</v>
      </c>
      <c r="H1716">
        <v>-0.05</v>
      </c>
      <c r="I1716">
        <v>332.42880000000002</v>
      </c>
      <c r="J1716">
        <v>-240.5204</v>
      </c>
      <c r="K1716">
        <v>1.1107910000000001</v>
      </c>
      <c r="L1716">
        <v>367.36040000000003</v>
      </c>
      <c r="M1716">
        <v>0.99986640000000004</v>
      </c>
      <c r="N1716">
        <v>0</v>
      </c>
      <c r="O1716">
        <v>9.1422559999999996E-3</v>
      </c>
      <c r="P1716">
        <v>0.9924115</v>
      </c>
      <c r="Q1716">
        <v>7.6429079999999996E-2</v>
      </c>
      <c r="R1716">
        <v>-9.632346E-2</v>
      </c>
      <c r="S1716">
        <v>2.9597929999999999</v>
      </c>
      <c r="T1716">
        <v>-2.2295829999999999E-2</v>
      </c>
      <c r="U1716">
        <v>-0.670929</v>
      </c>
      <c r="V1716">
        <v>0.1053862</v>
      </c>
      <c r="W1716">
        <v>8.9872839999999996E-2</v>
      </c>
      <c r="X1716">
        <v>0.99036190000000002</v>
      </c>
      <c r="Y1716">
        <v>0.2299735</v>
      </c>
      <c r="Z1716">
        <v>-9.2334960000000005E-4</v>
      </c>
      <c r="AA1716">
        <v>0.97319639999999996</v>
      </c>
      <c r="AB1716">
        <v>21</v>
      </c>
      <c r="AC1716">
        <v>154.00484999999901</v>
      </c>
      <c r="AD1716">
        <v>-1.1607909999999999</v>
      </c>
      <c r="AE1716">
        <v>-34.931600000000003</v>
      </c>
      <c r="AF1716">
        <v>36.3362576050584</v>
      </c>
      <c r="AG1716">
        <v>-1.1607909999999999</v>
      </c>
      <c r="AH1716">
        <v>153.670726660117</v>
      </c>
      <c r="AI1716">
        <v>90.421176389891997</v>
      </c>
      <c r="AJ1716">
        <v>76.696455780705406</v>
      </c>
      <c r="AK1716">
        <v>157.91251782153</v>
      </c>
      <c r="AL1716">
        <v>84.843708470796798</v>
      </c>
      <c r="AM1716">
        <v>83.925910306816704</v>
      </c>
      <c r="AN1716">
        <v>1.0000000357458501</v>
      </c>
    </row>
    <row r="1717" spans="1:40" x14ac:dyDescent="0.25">
      <c r="A1717" t="str">
        <f>"20190312150700359"</f>
        <v>20190312150700359</v>
      </c>
      <c r="B1717" t="str">
        <f>"1552374420351854"</f>
        <v>1552374420351854</v>
      </c>
      <c r="C1717" t="s">
        <v>40</v>
      </c>
      <c r="D1717">
        <v>4.3686629999999997</v>
      </c>
      <c r="E1717">
        <v>0.5468653</v>
      </c>
      <c r="F1717" t="s">
        <v>43</v>
      </c>
      <c r="G1717">
        <v>-82.477519999999998</v>
      </c>
      <c r="H1717">
        <v>-0.05</v>
      </c>
      <c r="I1717">
        <v>331.59800000000001</v>
      </c>
      <c r="J1717">
        <v>-240.4228</v>
      </c>
      <c r="K1717">
        <v>1.1107880000000001</v>
      </c>
      <c r="L1717">
        <v>367.36130000000003</v>
      </c>
      <c r="M1717">
        <v>0.99986609999999998</v>
      </c>
      <c r="N1717">
        <v>0</v>
      </c>
      <c r="O1717">
        <v>9.1801669999999995E-3</v>
      </c>
      <c r="P1717">
        <v>0.99238709999999997</v>
      </c>
      <c r="Q1717">
        <v>7.6352149999999994E-2</v>
      </c>
      <c r="R1717">
        <v>-9.6637260000000003E-2</v>
      </c>
      <c r="S1717">
        <v>2.9596100000000001</v>
      </c>
      <c r="T1717">
        <v>-2.173769E-2</v>
      </c>
      <c r="U1717">
        <v>-0.66970830000000003</v>
      </c>
      <c r="V1717">
        <v>0.1057374</v>
      </c>
      <c r="W1717">
        <v>8.9794009999999994E-2</v>
      </c>
      <c r="X1717">
        <v>0.99033159999999998</v>
      </c>
      <c r="Y1717">
        <v>0.22964190000000001</v>
      </c>
      <c r="Z1717">
        <v>-8.9940309999999896E-4</v>
      </c>
      <c r="AA1717">
        <v>0.9732748</v>
      </c>
      <c r="AB1717">
        <v>21</v>
      </c>
      <c r="AC1717">
        <v>157.94528</v>
      </c>
      <c r="AD1717">
        <v>-1.1607879999999999</v>
      </c>
      <c r="AE1717">
        <v>-35.763300000000001</v>
      </c>
      <c r="AF1717">
        <v>37.209978032635</v>
      </c>
      <c r="AG1717">
        <v>-1.1607879999999999</v>
      </c>
      <c r="AH1717">
        <v>157.602182681865</v>
      </c>
      <c r="AI1717">
        <v>90.410701854819195</v>
      </c>
      <c r="AJ1717">
        <v>76.715701154464298</v>
      </c>
      <c r="AK1717">
        <v>161.939426576909</v>
      </c>
      <c r="AL1717">
        <v>84.848243351203905</v>
      </c>
      <c r="AM1717">
        <v>83.905635393820305</v>
      </c>
      <c r="AN1717">
        <v>1.00000001997459</v>
      </c>
    </row>
    <row r="1718" spans="1:40" x14ac:dyDescent="0.25">
      <c r="A1718" t="str">
        <f>"20190312150700371"</f>
        <v>20190312150700371</v>
      </c>
      <c r="B1718" t="str">
        <f>"1552374420361614"</f>
        <v>1552374420361614</v>
      </c>
      <c r="C1718" t="s">
        <v>40</v>
      </c>
      <c r="D1718">
        <v>4.3156730000000003</v>
      </c>
      <c r="E1718">
        <v>0.54736300000000004</v>
      </c>
      <c r="F1718" t="s">
        <v>43</v>
      </c>
      <c r="G1718">
        <v>-84.026399999999995</v>
      </c>
      <c r="H1718">
        <v>-0.05</v>
      </c>
      <c r="I1718">
        <v>331.91070000000002</v>
      </c>
      <c r="J1718">
        <v>-240.3185</v>
      </c>
      <c r="K1718">
        <v>1.110789</v>
      </c>
      <c r="L1718">
        <v>367.3623</v>
      </c>
      <c r="M1718">
        <v>0.99986560000000002</v>
      </c>
      <c r="N1718">
        <v>0</v>
      </c>
      <c r="O1718">
        <v>9.2205800000000008E-3</v>
      </c>
      <c r="P1718">
        <v>0.99233309999999997</v>
      </c>
      <c r="Q1718">
        <v>7.6331049999999998E-2</v>
      </c>
      <c r="R1718">
        <v>-9.7203929999999994E-2</v>
      </c>
      <c r="S1718">
        <v>2.959381</v>
      </c>
      <c r="T1718">
        <v>-2.1964790000000001E-2</v>
      </c>
      <c r="U1718">
        <v>-0.67080689999999998</v>
      </c>
      <c r="V1718">
        <v>0.1063438</v>
      </c>
      <c r="W1718">
        <v>8.9770730000000007E-2</v>
      </c>
      <c r="X1718">
        <v>0.99026879999999995</v>
      </c>
      <c r="Y1718">
        <v>0.230041</v>
      </c>
      <c r="Z1718">
        <v>-9.1058909999999999E-4</v>
      </c>
      <c r="AA1718">
        <v>0.9731805</v>
      </c>
      <c r="AB1718">
        <v>21</v>
      </c>
      <c r="AC1718">
        <v>156.2921</v>
      </c>
      <c r="AD1718">
        <v>-1.1607889999999901</v>
      </c>
      <c r="AE1718">
        <v>-35.4515999999999</v>
      </c>
      <c r="AF1718">
        <v>36.889393615372398</v>
      </c>
      <c r="AG1718">
        <v>-1.1607889999999901</v>
      </c>
      <c r="AH1718">
        <v>155.95035893997201</v>
      </c>
      <c r="AI1718">
        <v>90.415010863807396</v>
      </c>
      <c r="AJ1718">
        <v>76.69154817754</v>
      </c>
      <c r="AK1718">
        <v>160.25819556552599</v>
      </c>
      <c r="AL1718">
        <v>84.849582719415807</v>
      </c>
      <c r="AM1718">
        <v>83.870563985698496</v>
      </c>
      <c r="AN1718">
        <v>1.0000000420082999</v>
      </c>
    </row>
    <row r="1719" spans="1:40" x14ac:dyDescent="0.25">
      <c r="A1719" t="str">
        <f>"20190312150700382"</f>
        <v>20190312150700382</v>
      </c>
      <c r="B1719" t="str">
        <f>"1552374420372350"</f>
        <v>1552374420372350</v>
      </c>
      <c r="C1719" t="s">
        <v>40</v>
      </c>
      <c r="D1719">
        <v>4.3352599999999999</v>
      </c>
      <c r="E1719">
        <v>0.54728669999999902</v>
      </c>
      <c r="F1719" t="s">
        <v>42</v>
      </c>
      <c r="G1719">
        <v>-212.24680000000001</v>
      </c>
      <c r="H1719" s="1">
        <v>-4.9361309999999999E-6</v>
      </c>
      <c r="I1719">
        <v>360.92860000000002</v>
      </c>
      <c r="J1719">
        <v>-240.21639999999999</v>
      </c>
      <c r="K1719">
        <v>1.1107880000000001</v>
      </c>
      <c r="L1719">
        <v>367.36329999999998</v>
      </c>
      <c r="M1719">
        <v>0.99986520000000001</v>
      </c>
      <c r="N1719">
        <v>0</v>
      </c>
      <c r="O1719">
        <v>9.2595009999999998E-3</v>
      </c>
      <c r="P1719">
        <v>0.99224789999999996</v>
      </c>
      <c r="Q1719">
        <v>7.6715820000000004E-2</v>
      </c>
      <c r="R1719">
        <v>-9.7770590000000004E-2</v>
      </c>
      <c r="S1719">
        <v>2.9656370000000001</v>
      </c>
      <c r="T1719">
        <v>-0.1173496</v>
      </c>
      <c r="U1719">
        <v>-0.6796875</v>
      </c>
      <c r="V1719">
        <v>0.1069481</v>
      </c>
      <c r="W1719">
        <v>9.0153499999999998E-2</v>
      </c>
      <c r="X1719">
        <v>0.99016890000000002</v>
      </c>
      <c r="Y1719">
        <v>0.23223269999999999</v>
      </c>
      <c r="Z1719">
        <v>-4.895885E-3</v>
      </c>
      <c r="AA1719">
        <v>0.97264790000000001</v>
      </c>
      <c r="AB1719">
        <v>21</v>
      </c>
      <c r="AC1719">
        <v>27.9695999999999</v>
      </c>
      <c r="AD1719">
        <v>-1.1107929361309901</v>
      </c>
      <c r="AE1719">
        <v>-6.4346999999999603</v>
      </c>
      <c r="AF1719">
        <v>6.6834210622901802</v>
      </c>
      <c r="AG1719">
        <v>-1.1107929361309901</v>
      </c>
      <c r="AH1719">
        <v>27.867069866858099</v>
      </c>
      <c r="AI1719">
        <v>92.219743980639294</v>
      </c>
      <c r="AJ1719">
        <v>76.5133569223634</v>
      </c>
      <c r="AK1719">
        <v>28.678834721919401</v>
      </c>
      <c r="AL1719">
        <v>84.8275621087285</v>
      </c>
      <c r="AM1719">
        <v>83.835383659047196</v>
      </c>
      <c r="AN1719">
        <v>1.0000000000915299</v>
      </c>
    </row>
    <row r="1720" spans="1:40" x14ac:dyDescent="0.25">
      <c r="A1720" t="str">
        <f>"20190312150700394"</f>
        <v>20190312150700394</v>
      </c>
      <c r="B1720" t="str">
        <f>"1552374420382111"</f>
        <v>1552374420382111</v>
      </c>
      <c r="C1720" t="s">
        <v>40</v>
      </c>
      <c r="D1720">
        <v>4.3374620000000004</v>
      </c>
      <c r="E1720">
        <v>0.54720990000000003</v>
      </c>
      <c r="F1720" t="s">
        <v>42</v>
      </c>
      <c r="G1720">
        <v>-211.4436</v>
      </c>
      <c r="H1720" s="1">
        <v>-5.2539520000000004E-6</v>
      </c>
      <c r="I1720">
        <v>360.76150000000001</v>
      </c>
      <c r="J1720">
        <v>-240.10560000000001</v>
      </c>
      <c r="K1720">
        <v>1.110792</v>
      </c>
      <c r="L1720">
        <v>367.36430000000001</v>
      </c>
      <c r="M1720">
        <v>0.99986489999999995</v>
      </c>
      <c r="N1720">
        <v>0</v>
      </c>
      <c r="O1720">
        <v>9.3003200000000008E-3</v>
      </c>
      <c r="P1720">
        <v>0.99219040000000003</v>
      </c>
      <c r="Q1720">
        <v>7.6792940000000004E-2</v>
      </c>
      <c r="R1720">
        <v>-9.8289959999999996E-2</v>
      </c>
      <c r="S1720">
        <v>2.9652250000000002</v>
      </c>
      <c r="T1720">
        <v>-0.1144743</v>
      </c>
      <c r="U1720">
        <v>-0.68035889999999999</v>
      </c>
      <c r="V1720">
        <v>0.1075078</v>
      </c>
      <c r="W1720">
        <v>9.0228069999999994E-2</v>
      </c>
      <c r="X1720">
        <v>0.99010149999999997</v>
      </c>
      <c r="Y1720">
        <v>0.23251949999999999</v>
      </c>
      <c r="Z1720">
        <v>-4.7835580000000003E-3</v>
      </c>
      <c r="AA1720">
        <v>0.97258</v>
      </c>
      <c r="AB1720">
        <v>21</v>
      </c>
      <c r="AC1720">
        <v>28.661999999999999</v>
      </c>
      <c r="AD1720">
        <v>-1.1107972539519999</v>
      </c>
      <c r="AE1720">
        <v>-6.6028000000000002</v>
      </c>
      <c r="AF1720">
        <v>6.8593214435824796</v>
      </c>
      <c r="AG1720">
        <v>-1.1107972539519999</v>
      </c>
      <c r="AH1720">
        <v>28.5586142791465</v>
      </c>
      <c r="AI1720">
        <v>92.165880576716603</v>
      </c>
      <c r="AJ1720">
        <v>76.494300340999999</v>
      </c>
      <c r="AK1720">
        <v>29.391811967805701</v>
      </c>
      <c r="AL1720">
        <v>84.823272109073898</v>
      </c>
      <c r="AM1720">
        <v>83.8029536747854</v>
      </c>
      <c r="AN1720">
        <v>1.0000000059895</v>
      </c>
    </row>
    <row r="1721" spans="1:40" x14ac:dyDescent="0.25">
      <c r="A1721" t="str">
        <f>"20190312150700407"</f>
        <v>20190312150700407</v>
      </c>
      <c r="B1721" t="str">
        <f>"1552374420401630"</f>
        <v>1552374420401630</v>
      </c>
      <c r="C1721" t="s">
        <v>40</v>
      </c>
      <c r="D1721">
        <v>4.3202020000000001</v>
      </c>
      <c r="E1721">
        <v>0.54693319999999901</v>
      </c>
      <c r="F1721" t="s">
        <v>42</v>
      </c>
      <c r="G1721">
        <v>-211.19390000000001</v>
      </c>
      <c r="H1721" s="1">
        <v>-5.3507049999999998E-6</v>
      </c>
      <c r="I1721">
        <v>360.71710000000002</v>
      </c>
      <c r="J1721">
        <v>-239.98830000000001</v>
      </c>
      <c r="K1721">
        <v>1.110789</v>
      </c>
      <c r="L1721">
        <v>367.3655</v>
      </c>
      <c r="M1721">
        <v>0.99986459999999999</v>
      </c>
      <c r="N1721">
        <v>0</v>
      </c>
      <c r="O1721">
        <v>9.3423840000000005E-3</v>
      </c>
      <c r="P1721">
        <v>0.99211000000000005</v>
      </c>
      <c r="Q1721">
        <v>7.7125940000000004E-2</v>
      </c>
      <c r="R1721">
        <v>-9.8840460000000005E-2</v>
      </c>
      <c r="S1721">
        <v>2.96489</v>
      </c>
      <c r="T1721">
        <v>-0.1139119</v>
      </c>
      <c r="U1721">
        <v>-0.68167109999999997</v>
      </c>
      <c r="V1721">
        <v>0.1080996</v>
      </c>
      <c r="W1721">
        <v>9.0558100000000002E-2</v>
      </c>
      <c r="X1721">
        <v>0.99000690000000002</v>
      </c>
      <c r="Y1721">
        <v>0.2329946</v>
      </c>
      <c r="Z1721">
        <v>-4.7709659999999997E-3</v>
      </c>
      <c r="AA1721">
        <v>0.97246630000000001</v>
      </c>
      <c r="AB1721">
        <v>21</v>
      </c>
      <c r="AC1721">
        <v>28.7944</v>
      </c>
      <c r="AD1721">
        <v>-1.110794350705</v>
      </c>
      <c r="AE1721">
        <v>-6.6483999999999801</v>
      </c>
      <c r="AF1721">
        <v>6.9073837670254896</v>
      </c>
      <c r="AG1721">
        <v>-1.110794350705</v>
      </c>
      <c r="AH1721">
        <v>28.690490326555601</v>
      </c>
      <c r="AI1721">
        <v>92.155649220767998</v>
      </c>
      <c r="AJ1721">
        <v>76.463362392959397</v>
      </c>
      <c r="AK1721">
        <v>29.531170816151299</v>
      </c>
      <c r="AL1721">
        <v>84.804284904801705</v>
      </c>
      <c r="AM1721">
        <v>83.768517577739203</v>
      </c>
      <c r="AN1721">
        <v>0.99999997752168901</v>
      </c>
    </row>
    <row r="1722" spans="1:40" x14ac:dyDescent="0.25">
      <c r="A1722" t="str">
        <f>"20190312150700419"</f>
        <v>20190312150700419</v>
      </c>
      <c r="B1722" t="str">
        <f>"1552374420412368"</f>
        <v>1552374420412368</v>
      </c>
      <c r="C1722" t="s">
        <v>40</v>
      </c>
      <c r="D1722">
        <v>4.3450980000000001</v>
      </c>
      <c r="E1722">
        <v>0.54696610000000001</v>
      </c>
      <c r="F1722" t="s">
        <v>42</v>
      </c>
      <c r="G1722">
        <v>-211.68090000000001</v>
      </c>
      <c r="H1722" s="1">
        <v>-5.1470169999999999E-6</v>
      </c>
      <c r="I1722">
        <v>360.85980000000001</v>
      </c>
      <c r="J1722">
        <v>-239.87450000000001</v>
      </c>
      <c r="K1722">
        <v>1.1107880000000001</v>
      </c>
      <c r="L1722">
        <v>367.36649999999997</v>
      </c>
      <c r="M1722">
        <v>0.99986430000000004</v>
      </c>
      <c r="N1722">
        <v>0</v>
      </c>
      <c r="O1722">
        <v>9.3806180000000003E-3</v>
      </c>
      <c r="P1722">
        <v>0.99207820000000002</v>
      </c>
      <c r="Q1722">
        <v>7.7216450000000006E-2</v>
      </c>
      <c r="R1722">
        <v>-9.9090139999999993E-2</v>
      </c>
      <c r="S1722">
        <v>2.9650270000000001</v>
      </c>
      <c r="T1722">
        <v>-0.11634849999999999</v>
      </c>
      <c r="U1722">
        <v>-0.681427</v>
      </c>
      <c r="V1722">
        <v>0.1083872</v>
      </c>
      <c r="W1722">
        <v>9.0645950000000003E-2</v>
      </c>
      <c r="X1722">
        <v>0.9899675</v>
      </c>
      <c r="Y1722">
        <v>0.23293849999999999</v>
      </c>
      <c r="Z1722">
        <v>-4.873166E-3</v>
      </c>
      <c r="AA1722">
        <v>0.97247930000000005</v>
      </c>
      <c r="AB1722">
        <v>21</v>
      </c>
      <c r="AC1722">
        <v>28.1936</v>
      </c>
      <c r="AD1722">
        <v>-1.1107931470169901</v>
      </c>
      <c r="AE1722">
        <v>-6.5066999999999604</v>
      </c>
      <c r="AF1722">
        <v>6.7609472456264799</v>
      </c>
      <c r="AG1722">
        <v>-1.1107931470169901</v>
      </c>
      <c r="AH1722">
        <v>28.0899188310078</v>
      </c>
      <c r="AI1722">
        <v>92.201723315129897</v>
      </c>
      <c r="AJ1722">
        <v>76.466921164572994</v>
      </c>
      <c r="AK1722">
        <v>28.9134537716651</v>
      </c>
      <c r="AL1722">
        <v>84.799231125034893</v>
      </c>
      <c r="AM1722">
        <v>83.751822909089896</v>
      </c>
      <c r="AN1722">
        <v>1.0000000622157399</v>
      </c>
    </row>
    <row r="1723" spans="1:40" x14ac:dyDescent="0.25">
      <c r="A1723" t="str">
        <f>"20190312150700430"</f>
        <v>20190312150700430</v>
      </c>
      <c r="B1723" t="str">
        <f>"1552374420422127"</f>
        <v>1552374420422127</v>
      </c>
      <c r="C1723" t="s">
        <v>40</v>
      </c>
      <c r="D1723">
        <v>4.3303729999999998</v>
      </c>
      <c r="E1723">
        <v>0.54687339999999995</v>
      </c>
      <c r="F1723" t="s">
        <v>42</v>
      </c>
      <c r="G1723">
        <v>-211.49260000000001</v>
      </c>
      <c r="H1723" s="1">
        <v>-5.217661E-6</v>
      </c>
      <c r="I1723">
        <v>360.83510000000001</v>
      </c>
      <c r="J1723">
        <v>-239.77029999999999</v>
      </c>
      <c r="K1723">
        <v>1.1107849999999999</v>
      </c>
      <c r="L1723">
        <v>367.36759999999998</v>
      </c>
      <c r="M1723">
        <v>0.99986399999999998</v>
      </c>
      <c r="N1723">
        <v>0</v>
      </c>
      <c r="O1723">
        <v>9.4136610000000003E-3</v>
      </c>
      <c r="P1723">
        <v>0.99201519999999999</v>
      </c>
      <c r="Q1723">
        <v>7.7410039999999999E-2</v>
      </c>
      <c r="R1723">
        <v>-9.9569099999999994E-2</v>
      </c>
      <c r="S1723">
        <v>2.9648279999999998</v>
      </c>
      <c r="T1723">
        <v>-0.11603529999999999</v>
      </c>
      <c r="U1723">
        <v>-0.68228149999999999</v>
      </c>
      <c r="V1723">
        <v>0.1088988</v>
      </c>
      <c r="W1723">
        <v>9.0836849999999997E-2</v>
      </c>
      <c r="X1723">
        <v>0.98989380000000005</v>
      </c>
      <c r="Y1723">
        <v>0.23325180000000001</v>
      </c>
      <c r="Z1723">
        <v>-4.8675430000000002E-3</v>
      </c>
      <c r="AA1723">
        <v>0.97240420000000005</v>
      </c>
      <c r="AB1723">
        <v>21</v>
      </c>
      <c r="AC1723">
        <v>28.2776999999999</v>
      </c>
      <c r="AD1723">
        <v>-1.1107902176610001</v>
      </c>
      <c r="AE1723">
        <v>-6.5324999999999704</v>
      </c>
      <c r="AF1723">
        <v>6.7884873973419904</v>
      </c>
      <c r="AG1723">
        <v>-1.1107902176610001</v>
      </c>
      <c r="AH1723">
        <v>28.173675910082199</v>
      </c>
      <c r="AI1723">
        <v>92.195047709658198</v>
      </c>
      <c r="AJ1723">
        <v>76.452734064892496</v>
      </c>
      <c r="AK1723">
        <v>29.001266012673799</v>
      </c>
      <c r="AL1723">
        <v>84.788247770496795</v>
      </c>
      <c r="AM1723">
        <v>83.722102058615704</v>
      </c>
      <c r="AN1723">
        <v>1.0000000086189</v>
      </c>
    </row>
    <row r="1724" spans="1:40" x14ac:dyDescent="0.25">
      <c r="A1724" t="str">
        <f>"20190312150700442"</f>
        <v>20190312150700442</v>
      </c>
      <c r="B1724" t="str">
        <f>"1552374420431887"</f>
        <v>1552374420431887</v>
      </c>
      <c r="C1724" t="s">
        <v>40</v>
      </c>
      <c r="D1724">
        <v>4.3596349999999999</v>
      </c>
      <c r="E1724">
        <v>0.54691299999999998</v>
      </c>
      <c r="F1724" t="s">
        <v>42</v>
      </c>
      <c r="G1724">
        <v>-211.90119999999999</v>
      </c>
      <c r="H1724" s="1">
        <v>-5.0494250000000004E-6</v>
      </c>
      <c r="I1724">
        <v>360.94490000000002</v>
      </c>
      <c r="J1724">
        <v>-239.65559999999999</v>
      </c>
      <c r="K1724">
        <v>1.110784</v>
      </c>
      <c r="L1724">
        <v>367.36869999999999</v>
      </c>
      <c r="M1724">
        <v>0.99986359999999996</v>
      </c>
      <c r="N1724">
        <v>0</v>
      </c>
      <c r="O1724">
        <v>9.4481219999999998E-3</v>
      </c>
      <c r="P1724">
        <v>0.99196379999999995</v>
      </c>
      <c r="Q1724">
        <v>7.7340709999999993E-2</v>
      </c>
      <c r="R1724">
        <v>-0.10013180000000001</v>
      </c>
      <c r="S1724">
        <v>2.9647830000000002</v>
      </c>
      <c r="T1724">
        <v>-0.1181682</v>
      </c>
      <c r="U1724">
        <v>-0.68325809999999998</v>
      </c>
      <c r="V1724">
        <v>0.10949589999999899</v>
      </c>
      <c r="W1724">
        <v>9.0764200000000003E-2</v>
      </c>
      <c r="X1724">
        <v>0.98983460000000001</v>
      </c>
      <c r="Y1724">
        <v>0.23358590000000001</v>
      </c>
      <c r="Z1724">
        <v>-4.9647729999999996E-3</v>
      </c>
      <c r="AA1724">
        <v>0.97232350000000001</v>
      </c>
      <c r="AB1724">
        <v>21</v>
      </c>
      <c r="AC1724">
        <v>27.7544</v>
      </c>
      <c r="AD1724">
        <v>-1.1107890494249999</v>
      </c>
      <c r="AE1724">
        <v>-6.4237999999999698</v>
      </c>
      <c r="AF1724">
        <v>6.6756151478051997</v>
      </c>
      <c r="AG1724">
        <v>-1.1107890494249999</v>
      </c>
      <c r="AH1724">
        <v>27.650424947073901</v>
      </c>
      <c r="AI1724">
        <v>92.236298991339595</v>
      </c>
      <c r="AJ1724">
        <v>76.4268740061692</v>
      </c>
      <c r="AK1724">
        <v>28.466536313146602</v>
      </c>
      <c r="AL1724">
        <v>84.792427601928395</v>
      </c>
      <c r="AM1724">
        <v>83.687582514211002</v>
      </c>
      <c r="AN1724">
        <v>1.0000000137378</v>
      </c>
    </row>
    <row r="1725" spans="1:40" x14ac:dyDescent="0.25">
      <c r="A1725" t="str">
        <f>"20190312150700456"</f>
        <v>20190312150700456</v>
      </c>
      <c r="B1725" t="str">
        <f>"1552374420452382"</f>
        <v>1552374420452382</v>
      </c>
      <c r="C1725" t="s">
        <v>40</v>
      </c>
      <c r="D1725">
        <v>4.348001</v>
      </c>
      <c r="E1725">
        <v>0.54680660000000003</v>
      </c>
      <c r="F1725" t="s">
        <v>42</v>
      </c>
      <c r="G1725">
        <v>-212.34690000000001</v>
      </c>
      <c r="H1725" s="1">
        <v>-4.8674750000000004E-6</v>
      </c>
      <c r="I1725">
        <v>361.05860000000001</v>
      </c>
      <c r="J1725">
        <v>-239.54060000000001</v>
      </c>
      <c r="K1725">
        <v>1.1107819999999999</v>
      </c>
      <c r="L1725">
        <v>367.3698</v>
      </c>
      <c r="M1725">
        <v>0.99986330000000001</v>
      </c>
      <c r="N1725">
        <v>0</v>
      </c>
      <c r="O1725">
        <v>9.4774390000000007E-3</v>
      </c>
      <c r="P1725">
        <v>0.99189039999999995</v>
      </c>
      <c r="Q1725">
        <v>7.7475730000000007E-2</v>
      </c>
      <c r="R1725">
        <v>-0.1007546</v>
      </c>
      <c r="S1725">
        <v>2.9645389999999998</v>
      </c>
      <c r="T1725">
        <v>-0.12058339999999899</v>
      </c>
      <c r="U1725">
        <v>-0.68499759999999998</v>
      </c>
      <c r="V1725">
        <v>0.1101478</v>
      </c>
      <c r="W1725">
        <v>9.0895749999999997E-2</v>
      </c>
      <c r="X1725">
        <v>0.98975020000000002</v>
      </c>
      <c r="Y1725">
        <v>0.2341655</v>
      </c>
      <c r="Z1725">
        <v>-5.0790439999999996E-3</v>
      </c>
      <c r="AA1725">
        <v>0.97218349999999998</v>
      </c>
      <c r="AB1725">
        <v>21</v>
      </c>
      <c r="AC1725">
        <v>27.1937</v>
      </c>
      <c r="AD1725">
        <v>-1.1107868674750001</v>
      </c>
      <c r="AE1725">
        <v>-6.3111999999999799</v>
      </c>
      <c r="AF1725">
        <v>6.5582835935928196</v>
      </c>
      <c r="AG1725">
        <v>-1.1107868674750001</v>
      </c>
      <c r="AH1725">
        <v>27.089769923538999</v>
      </c>
      <c r="AI1725">
        <v>92.282182381521295</v>
      </c>
      <c r="AJ1725">
        <v>76.390852064552604</v>
      </c>
      <c r="AK1725">
        <v>27.894454030671099</v>
      </c>
      <c r="AL1725">
        <v>84.784859073052999</v>
      </c>
      <c r="AM1725">
        <v>83.649769627057196</v>
      </c>
      <c r="AN1725">
        <v>1.00000001680647</v>
      </c>
    </row>
    <row r="1726" spans="1:40" x14ac:dyDescent="0.25">
      <c r="A1726" t="str">
        <f>"20190312150700471"</f>
        <v>20190312150700471</v>
      </c>
      <c r="B1726" t="str">
        <f>"1552374420462143"</f>
        <v>1552374420462143</v>
      </c>
      <c r="C1726" t="s">
        <v>40</v>
      </c>
      <c r="D1726">
        <v>4.3481160000000001</v>
      </c>
      <c r="E1726">
        <v>0.54679609999999901</v>
      </c>
      <c r="F1726" t="s">
        <v>42</v>
      </c>
      <c r="G1726">
        <v>-212.7097</v>
      </c>
      <c r="H1726" s="1">
        <v>-4.7169370000000001E-6</v>
      </c>
      <c r="I1726">
        <v>361.16039999999998</v>
      </c>
      <c r="J1726">
        <v>-239.39830000000001</v>
      </c>
      <c r="K1726">
        <v>1.110779</v>
      </c>
      <c r="L1726">
        <v>367.37119999999999</v>
      </c>
      <c r="M1726">
        <v>0.99986299999999995</v>
      </c>
      <c r="N1726">
        <v>0</v>
      </c>
      <c r="O1726">
        <v>9.5085729999999993E-3</v>
      </c>
      <c r="P1726">
        <v>0.9917395</v>
      </c>
      <c r="Q1726">
        <v>7.7510889999999999E-2</v>
      </c>
      <c r="R1726">
        <v>-0.1022</v>
      </c>
      <c r="S1726">
        <v>2.9644010000000001</v>
      </c>
      <c r="T1726">
        <v>-0.12272420000000001</v>
      </c>
      <c r="U1726">
        <v>-0.68603519999999996</v>
      </c>
      <c r="V1726">
        <v>0.111624399999999</v>
      </c>
      <c r="W1726">
        <v>9.0925660000000005E-2</v>
      </c>
      <c r="X1726">
        <v>0.98958199999999996</v>
      </c>
      <c r="Y1726">
        <v>0.23452149999999999</v>
      </c>
      <c r="Z1726">
        <v>-5.1777189999999999E-3</v>
      </c>
      <c r="AA1726">
        <v>0.97209719999999999</v>
      </c>
      <c r="AB1726">
        <v>21</v>
      </c>
      <c r="AC1726">
        <v>26.688600000000001</v>
      </c>
      <c r="AD1726">
        <v>-1.1107837169370001</v>
      </c>
      <c r="AE1726">
        <v>-6.2107999999999999</v>
      </c>
      <c r="AF1726">
        <v>6.4537079378504396</v>
      </c>
      <c r="AG1726">
        <v>-1.1107837169370001</v>
      </c>
      <c r="AH1726">
        <v>26.584646861180701</v>
      </c>
      <c r="AI1726">
        <v>92.325137024751598</v>
      </c>
      <c r="AJ1726">
        <v>76.354798063813504</v>
      </c>
      <c r="AK1726">
        <v>27.379328613875298</v>
      </c>
      <c r="AL1726">
        <v>84.783138187055997</v>
      </c>
      <c r="AM1726">
        <v>83.564265632436602</v>
      </c>
      <c r="AN1726">
        <v>1.0000000085228899</v>
      </c>
    </row>
    <row r="1727" spans="1:40" x14ac:dyDescent="0.25">
      <c r="A1727" t="str">
        <f>"20190312150700493"</f>
        <v>20190312150700493</v>
      </c>
      <c r="B1727" t="str">
        <f>"1552374420481662"</f>
        <v>1552374420481662</v>
      </c>
      <c r="C1727" t="s">
        <v>40</v>
      </c>
      <c r="D1727">
        <v>4.3421329999999996</v>
      </c>
      <c r="E1727">
        <v>0.54668760000000005</v>
      </c>
      <c r="F1727" t="s">
        <v>42</v>
      </c>
      <c r="G1727">
        <v>-212.61429999999999</v>
      </c>
      <c r="H1727" s="1">
        <v>-4.7562710000000004E-6</v>
      </c>
      <c r="I1727">
        <v>361.13459999999998</v>
      </c>
      <c r="J1727">
        <v>-239.19579999999999</v>
      </c>
      <c r="K1727">
        <v>1.1107689999999999</v>
      </c>
      <c r="L1727">
        <v>367.37310000000002</v>
      </c>
      <c r="M1727">
        <v>0.99986280000000005</v>
      </c>
      <c r="N1727">
        <v>0</v>
      </c>
      <c r="O1727">
        <v>9.5385629999999999E-3</v>
      </c>
      <c r="P1727">
        <v>0.9915872</v>
      </c>
      <c r="Q1727">
        <v>7.7713160000000003E-2</v>
      </c>
      <c r="R1727">
        <v>-0.1035184</v>
      </c>
      <c r="S1727">
        <v>2.9634860000000001</v>
      </c>
      <c r="T1727">
        <v>-0.1229008</v>
      </c>
      <c r="U1727">
        <v>-0.69003300000000001</v>
      </c>
      <c r="V1727">
        <v>0.1129734</v>
      </c>
      <c r="W1727">
        <v>9.1120339999999994E-2</v>
      </c>
      <c r="X1727">
        <v>0.98941100000000004</v>
      </c>
      <c r="Y1727">
        <v>0.23585900000000001</v>
      </c>
      <c r="Z1727">
        <v>-5.2145309999999997E-3</v>
      </c>
      <c r="AA1727">
        <v>0.97177329999999995</v>
      </c>
      <c r="AB1727">
        <v>21</v>
      </c>
      <c r="AC1727">
        <v>26.581499999999998</v>
      </c>
      <c r="AD1727">
        <v>-1.1107737562710001</v>
      </c>
      <c r="AE1727">
        <v>-6.2385000000000401</v>
      </c>
      <c r="AF1727">
        <v>6.4810623372991998</v>
      </c>
      <c r="AG1727">
        <v>-1.1107737562710001</v>
      </c>
      <c r="AH1727">
        <v>26.476958498700601</v>
      </c>
      <c r="AI1727">
        <v>92.333478662203802</v>
      </c>
      <c r="AJ1727">
        <v>76.245524992355001</v>
      </c>
      <c r="AK1727">
        <v>27.281263143400999</v>
      </c>
      <c r="AL1727">
        <v>84.7719373879697</v>
      </c>
      <c r="AM1727">
        <v>83.486037043826599</v>
      </c>
      <c r="AN1727">
        <v>1.0000000161951299</v>
      </c>
    </row>
    <row r="1728" spans="1:40" x14ac:dyDescent="0.25">
      <c r="A1728" t="str">
        <f>"20190312150700507"</f>
        <v>20190312150700507</v>
      </c>
      <c r="B1728" t="str">
        <f>"1552374420502158"</f>
        <v>1552374420502158</v>
      </c>
      <c r="C1728" t="s">
        <v>40</v>
      </c>
      <c r="D1728">
        <v>4.3386430000000002</v>
      </c>
      <c r="E1728">
        <v>0.54657860000000003</v>
      </c>
      <c r="F1728" t="s">
        <v>42</v>
      </c>
      <c r="G1728">
        <v>-212.3186</v>
      </c>
      <c r="H1728" s="1">
        <v>-4.869795E-6</v>
      </c>
      <c r="I1728">
        <v>361.08600000000001</v>
      </c>
      <c r="J1728">
        <v>-239.07329999999999</v>
      </c>
      <c r="K1728">
        <v>1.1107610000000001</v>
      </c>
      <c r="L1728">
        <v>367.37430000000001</v>
      </c>
      <c r="M1728">
        <v>0.99986269999999999</v>
      </c>
      <c r="N1728">
        <v>0</v>
      </c>
      <c r="O1728">
        <v>9.5501990000000005E-3</v>
      </c>
      <c r="P1728">
        <v>0.99154070000000005</v>
      </c>
      <c r="Q1728">
        <v>7.7792230000000004E-2</v>
      </c>
      <c r="R1728">
        <v>-0.1039011</v>
      </c>
      <c r="S1728">
        <v>2.9626769999999998</v>
      </c>
      <c r="T1728">
        <v>-0.1224404</v>
      </c>
      <c r="U1728">
        <v>-0.69302369999999902</v>
      </c>
      <c r="V1728">
        <v>0.113368899999999</v>
      </c>
      <c r="W1728">
        <v>9.1194890000000001E-2</v>
      </c>
      <c r="X1728">
        <v>0.98935890000000004</v>
      </c>
      <c r="Y1728">
        <v>0.2368596</v>
      </c>
      <c r="Z1728">
        <v>-5.2166720000000003E-3</v>
      </c>
      <c r="AA1728">
        <v>0.97152989999999995</v>
      </c>
      <c r="AB1728">
        <v>21</v>
      </c>
      <c r="AC1728">
        <v>26.7546999999999</v>
      </c>
      <c r="AD1728">
        <v>-1.110765869795</v>
      </c>
      <c r="AE1728">
        <v>-6.2882999999999898</v>
      </c>
      <c r="AF1728">
        <v>6.53287850014644</v>
      </c>
      <c r="AG1728">
        <v>-1.110765869795</v>
      </c>
      <c r="AH1728">
        <v>26.649889654249598</v>
      </c>
      <c r="AI1728">
        <v>92.318146369725696</v>
      </c>
      <c r="AJ1728">
        <v>76.226285388178198</v>
      </c>
      <c r="AK1728">
        <v>27.461407846264098</v>
      </c>
      <c r="AL1728">
        <v>84.767648171403707</v>
      </c>
      <c r="AM1728">
        <v>83.463088582028107</v>
      </c>
      <c r="AN1728">
        <v>1.0000000242292599</v>
      </c>
    </row>
    <row r="1729" spans="1:40" x14ac:dyDescent="0.25">
      <c r="A1729" t="str">
        <f>"20190312150700516"</f>
        <v>20190312150700516</v>
      </c>
      <c r="B1729" t="str">
        <f>"1552374420511918"</f>
        <v>1552374420511918</v>
      </c>
      <c r="C1729" t="s">
        <v>40</v>
      </c>
      <c r="D1729">
        <v>4.4217629999999897</v>
      </c>
      <c r="E1729">
        <v>0.54657860000000003</v>
      </c>
      <c r="F1729" t="s">
        <v>42</v>
      </c>
      <c r="G1729">
        <v>-212.4247</v>
      </c>
      <c r="H1729" s="1">
        <v>-4.8195789999999996E-6</v>
      </c>
      <c r="I1729">
        <v>361.13920000000002</v>
      </c>
      <c r="J1729">
        <v>-238.97739999999999</v>
      </c>
      <c r="K1729">
        <v>1.1107549999999999</v>
      </c>
      <c r="L1729">
        <v>367.37520000000001</v>
      </c>
      <c r="M1729">
        <v>0.99986280000000005</v>
      </c>
      <c r="N1729">
        <v>0</v>
      </c>
      <c r="O1729">
        <v>9.5539990000000005E-3</v>
      </c>
      <c r="P1729">
        <v>0.99143429999999999</v>
      </c>
      <c r="Q1729">
        <v>7.8148919999999997E-2</v>
      </c>
      <c r="R1729">
        <v>-0.1046474</v>
      </c>
      <c r="S1729">
        <v>2.962631</v>
      </c>
      <c r="T1729">
        <v>-0.123487899999999</v>
      </c>
      <c r="U1729">
        <v>-0.69317629999999997</v>
      </c>
      <c r="V1729">
        <v>0.114118899999999</v>
      </c>
      <c r="W1729">
        <v>9.1547699999999996E-2</v>
      </c>
      <c r="X1729">
        <v>0.98924009999999996</v>
      </c>
      <c r="Y1729">
        <v>0.2369106</v>
      </c>
      <c r="Z1729">
        <v>-5.2625199999999997E-3</v>
      </c>
      <c r="AA1729">
        <v>0.97151719999999997</v>
      </c>
      <c r="AB1729">
        <v>21</v>
      </c>
      <c r="AC1729">
        <v>26.552699999999898</v>
      </c>
      <c r="AD1729">
        <v>-1.1107598195789901</v>
      </c>
      <c r="AE1729">
        <v>-6.23599999999999</v>
      </c>
      <c r="AF1729">
        <v>6.4786783736209497</v>
      </c>
      <c r="AG1729">
        <v>-1.1107598195789901</v>
      </c>
      <c r="AH1729">
        <v>26.448040572015898</v>
      </c>
      <c r="AI1729">
        <v>92.335902271075199</v>
      </c>
      <c r="AJ1729">
        <v>76.235930149137602</v>
      </c>
      <c r="AK1729">
        <v>27.252631266441298</v>
      </c>
      <c r="AL1729">
        <v>84.747348816611606</v>
      </c>
      <c r="AM1729">
        <v>83.419437912819603</v>
      </c>
      <c r="AN1729">
        <v>1.00000004008025</v>
      </c>
    </row>
    <row r="1730" spans="1:40" x14ac:dyDescent="0.25">
      <c r="A1730" t="str">
        <f>"20190312150700527"</f>
        <v>20190312150700527</v>
      </c>
      <c r="B1730" t="str">
        <f>"1552374420521678"</f>
        <v>1552374420521678</v>
      </c>
      <c r="C1730" t="s">
        <v>40</v>
      </c>
      <c r="D1730">
        <v>4.3413079999999997</v>
      </c>
      <c r="E1730">
        <v>0.54667569999999999</v>
      </c>
      <c r="F1730" t="s">
        <v>42</v>
      </c>
      <c r="G1730">
        <v>-212.1035</v>
      </c>
      <c r="H1730" s="1">
        <v>-4.9484510000000003E-6</v>
      </c>
      <c r="I1730">
        <v>361.06560000000002</v>
      </c>
      <c r="J1730">
        <v>-238.88589999999999</v>
      </c>
      <c r="K1730">
        <v>1.110754</v>
      </c>
      <c r="L1730">
        <v>367.37610000000001</v>
      </c>
      <c r="M1730">
        <v>0.99986269999999999</v>
      </c>
      <c r="N1730">
        <v>0</v>
      </c>
      <c r="O1730">
        <v>9.5566149999999992E-3</v>
      </c>
      <c r="P1730">
        <v>0.99137410000000004</v>
      </c>
      <c r="Q1730">
        <v>7.794355E-2</v>
      </c>
      <c r="R1730">
        <v>-0.1053674</v>
      </c>
      <c r="S1730">
        <v>2.9621279999999999</v>
      </c>
      <c r="T1730">
        <v>-0.1224315</v>
      </c>
      <c r="U1730">
        <v>-0.69546509999999995</v>
      </c>
      <c r="V1730">
        <v>0.114841899999999</v>
      </c>
      <c r="W1730">
        <v>9.1339249999999997E-2</v>
      </c>
      <c r="X1730">
        <v>0.98917569999999999</v>
      </c>
      <c r="Y1730">
        <v>0.23766409999999999</v>
      </c>
      <c r="Z1730">
        <v>-5.2334089999999996E-3</v>
      </c>
      <c r="AA1730">
        <v>0.97133329999999996</v>
      </c>
      <c r="AB1730">
        <v>21</v>
      </c>
      <c r="AC1730">
        <v>26.782399999999999</v>
      </c>
      <c r="AD1730">
        <v>-1.1107589484510001</v>
      </c>
      <c r="AE1730">
        <v>-6.3104999999999896</v>
      </c>
      <c r="AF1730">
        <v>6.5555016109704596</v>
      </c>
      <c r="AG1730">
        <v>-1.1107589484510001</v>
      </c>
      <c r="AH1730">
        <v>26.677391295391299</v>
      </c>
      <c r="AI1730">
        <v>92.315426026414002</v>
      </c>
      <c r="AJ1730">
        <v>76.194114313152099</v>
      </c>
      <c r="AK1730">
        <v>27.493482739376901</v>
      </c>
      <c r="AL1730">
        <v>84.759342386656996</v>
      </c>
      <c r="AM1730">
        <v>83.377688605473296</v>
      </c>
      <c r="AN1730">
        <v>1.00000004302833</v>
      </c>
    </row>
    <row r="1731" spans="1:40" x14ac:dyDescent="0.25">
      <c r="A1731" t="str">
        <f>"20190312150700538"</f>
        <v>20190312150700538</v>
      </c>
      <c r="B1731" t="str">
        <f>"1552374420532414"</f>
        <v>1552374420532414</v>
      </c>
      <c r="C1731" t="s">
        <v>40</v>
      </c>
      <c r="D1731">
        <v>4.339931</v>
      </c>
      <c r="E1731">
        <v>0.54700509999999902</v>
      </c>
      <c r="F1731" t="s">
        <v>43</v>
      </c>
      <c r="G1731">
        <v>-93.046130000000005</v>
      </c>
      <c r="H1731">
        <v>-0.05</v>
      </c>
      <c r="I1731">
        <v>333.06709999999998</v>
      </c>
      <c r="J1731">
        <v>-238.77889999999999</v>
      </c>
      <c r="K1731">
        <v>1.110751</v>
      </c>
      <c r="L1731">
        <v>367.37709999999998</v>
      </c>
      <c r="M1731">
        <v>0.99986280000000005</v>
      </c>
      <c r="N1731">
        <v>0</v>
      </c>
      <c r="O1731">
        <v>9.5560760000000002E-3</v>
      </c>
      <c r="P1731">
        <v>0.99126119999999995</v>
      </c>
      <c r="Q1731">
        <v>7.8135510000000005E-2</v>
      </c>
      <c r="R1731">
        <v>-0.10628609999999999</v>
      </c>
      <c r="S1731">
        <v>2.954056</v>
      </c>
      <c r="T1731">
        <v>-2.3511649999999999E-2</v>
      </c>
      <c r="U1731">
        <v>-0.69494630000000002</v>
      </c>
      <c r="V1731">
        <v>0.11575969999999999</v>
      </c>
      <c r="W1731">
        <v>9.1527280000000003E-2</v>
      </c>
      <c r="X1731">
        <v>0.98905129999999997</v>
      </c>
      <c r="Y1731">
        <v>0.2382852</v>
      </c>
      <c r="Z1731">
        <v>-1.0105450000000001E-3</v>
      </c>
      <c r="AA1731">
        <v>0.97119469999999997</v>
      </c>
      <c r="AB1731">
        <v>20</v>
      </c>
      <c r="AC1731">
        <v>145.73276999999999</v>
      </c>
      <c r="AD1731">
        <v>-1.1607510000000001</v>
      </c>
      <c r="AE1731">
        <v>-34.31</v>
      </c>
      <c r="AF1731">
        <v>35.699048207037599</v>
      </c>
      <c r="AG1731">
        <v>-1.1607510000000001</v>
      </c>
      <c r="AH1731">
        <v>145.389476462902</v>
      </c>
      <c r="AI1731">
        <v>90.444229742960005</v>
      </c>
      <c r="AJ1731">
        <v>76.204472059321105</v>
      </c>
      <c r="AK1731">
        <v>149.712622219802</v>
      </c>
      <c r="AL1731">
        <v>84.748523584275702</v>
      </c>
      <c r="AM1731">
        <v>83.3244077646508</v>
      </c>
      <c r="AN1731">
        <v>1.0000000125799799</v>
      </c>
    </row>
    <row r="1732" spans="1:40" x14ac:dyDescent="0.25">
      <c r="A1732" t="str">
        <f>"20190312150700549"</f>
        <v>20190312150700549</v>
      </c>
      <c r="B1732" t="str">
        <f>"1552374420542175"</f>
        <v>1552374420542175</v>
      </c>
      <c r="C1732" t="s">
        <v>40</v>
      </c>
      <c r="D1732">
        <v>4.3454860000000002</v>
      </c>
      <c r="E1732">
        <v>0.54691279999999998</v>
      </c>
      <c r="F1732" t="s">
        <v>43</v>
      </c>
      <c r="G1732">
        <v>-112.6885</v>
      </c>
      <c r="H1732">
        <v>-0.05</v>
      </c>
      <c r="I1732">
        <v>337.46179999999998</v>
      </c>
      <c r="J1732">
        <v>-238.68029999999999</v>
      </c>
      <c r="K1732">
        <v>1.1107479999999901</v>
      </c>
      <c r="L1732">
        <v>367.37810000000002</v>
      </c>
      <c r="M1732">
        <v>0.99986280000000005</v>
      </c>
      <c r="N1732">
        <v>0</v>
      </c>
      <c r="O1732">
        <v>9.5538289999999998E-3</v>
      </c>
      <c r="P1732">
        <v>0.9912185</v>
      </c>
      <c r="Q1732">
        <v>7.8010270000000007E-2</v>
      </c>
      <c r="R1732">
        <v>-0.1067732</v>
      </c>
      <c r="S1732">
        <v>2.9534449999999999</v>
      </c>
      <c r="T1732">
        <v>-2.7188540000000001E-2</v>
      </c>
      <c r="U1732">
        <v>-0.70071410000000001</v>
      </c>
      <c r="V1732">
        <v>0.116244899999999</v>
      </c>
      <c r="W1732">
        <v>9.1399069999999999E-2</v>
      </c>
      <c r="X1732">
        <v>0.98900619999999995</v>
      </c>
      <c r="Y1732">
        <v>0.2401211</v>
      </c>
      <c r="Z1732">
        <v>-1.1768639999999999E-3</v>
      </c>
      <c r="AA1732">
        <v>0.9707422</v>
      </c>
      <c r="AB1732">
        <v>20</v>
      </c>
      <c r="AC1732">
        <v>125.991799999999</v>
      </c>
      <c r="AD1732">
        <v>-1.1607479999999999</v>
      </c>
      <c r="AE1732">
        <v>-29.9163</v>
      </c>
      <c r="AF1732">
        <v>31.1162486301949</v>
      </c>
      <c r="AG1732">
        <v>-1.1607479999999999</v>
      </c>
      <c r="AH1732">
        <v>125.69010858855999</v>
      </c>
      <c r="AI1732">
        <v>90.513607441247999</v>
      </c>
      <c r="AJ1732">
        <v>76.095235850299304</v>
      </c>
      <c r="AK1732">
        <v>129.48965851271501</v>
      </c>
      <c r="AL1732">
        <v>84.755900147155003</v>
      </c>
      <c r="AM1732">
        <v>83.296378617649907</v>
      </c>
      <c r="AN1732">
        <v>0.99999996520565604</v>
      </c>
    </row>
    <row r="1733" spans="1:40" x14ac:dyDescent="0.25">
      <c r="A1733" t="str">
        <f>"20190312150700560"</f>
        <v>20190312150700560</v>
      </c>
      <c r="B1733" t="str">
        <f>"1552374420551934"</f>
        <v>1552374420551934</v>
      </c>
      <c r="C1733" t="s">
        <v>40</v>
      </c>
      <c r="D1733">
        <v>4.3339809999999996</v>
      </c>
      <c r="E1733">
        <v>0.54660580000000003</v>
      </c>
      <c r="F1733" t="s">
        <v>43</v>
      </c>
      <c r="G1733">
        <v>-130.98220000000001</v>
      </c>
      <c r="H1733">
        <v>-0.05</v>
      </c>
      <c r="I1733">
        <v>341.80689999999998</v>
      </c>
      <c r="J1733">
        <v>-238.5719</v>
      </c>
      <c r="K1733">
        <v>1.110746</v>
      </c>
      <c r="L1733">
        <v>367.37909999999999</v>
      </c>
      <c r="M1733">
        <v>0.99986280000000005</v>
      </c>
      <c r="N1733">
        <v>0</v>
      </c>
      <c r="O1733">
        <v>9.5489149999999998E-3</v>
      </c>
      <c r="P1733">
        <v>0.9911643</v>
      </c>
      <c r="Q1733">
        <v>7.7871700000000002E-2</v>
      </c>
      <c r="R1733">
        <v>-0.1073741</v>
      </c>
      <c r="S1733">
        <v>2.953522</v>
      </c>
      <c r="T1733">
        <v>-3.183246E-2</v>
      </c>
      <c r="U1733">
        <v>-0.70126339999999998</v>
      </c>
      <c r="V1733">
        <v>0.1168411</v>
      </c>
      <c r="W1733">
        <v>9.1258060000000002E-2</v>
      </c>
      <c r="X1733">
        <v>0.98894899999999997</v>
      </c>
      <c r="Y1733">
        <v>0.24027789999999999</v>
      </c>
      <c r="Z1733">
        <v>-1.3785850000000001E-3</v>
      </c>
      <c r="AA1733">
        <v>0.97070319999999999</v>
      </c>
      <c r="AB1733">
        <v>20</v>
      </c>
      <c r="AC1733">
        <v>107.58969999999999</v>
      </c>
      <c r="AD1733">
        <v>-1.1607459999999901</v>
      </c>
      <c r="AE1733">
        <v>-25.572199999999999</v>
      </c>
      <c r="AF1733">
        <v>26.595562866370098</v>
      </c>
      <c r="AG1733">
        <v>-1.1607459999999901</v>
      </c>
      <c r="AH1733">
        <v>107.328760252981</v>
      </c>
      <c r="AI1733">
        <v>90.601433628947206</v>
      </c>
      <c r="AJ1733">
        <v>76.0827072220128</v>
      </c>
      <c r="AK1733">
        <v>110.58089379679301</v>
      </c>
      <c r="AL1733">
        <v>84.764013516524301</v>
      </c>
      <c r="AM1733">
        <v>83.261926078890596</v>
      </c>
      <c r="AN1733">
        <v>1.00000000038258</v>
      </c>
    </row>
    <row r="1734" spans="1:40" x14ac:dyDescent="0.25">
      <c r="A1734" t="str">
        <f>"20190312150700572"</f>
        <v>20190312150700572</v>
      </c>
      <c r="B1734" t="str">
        <f>"1552374420561694"</f>
        <v>1552374420561694</v>
      </c>
      <c r="C1734" t="s">
        <v>40</v>
      </c>
      <c r="D1734">
        <v>4.3567720000000003</v>
      </c>
      <c r="E1734">
        <v>0.54662319999999998</v>
      </c>
      <c r="F1734" t="s">
        <v>43</v>
      </c>
      <c r="G1734">
        <v>-139.08670000000001</v>
      </c>
      <c r="H1734">
        <v>-0.05</v>
      </c>
      <c r="I1734">
        <v>343.7681</v>
      </c>
      <c r="J1734">
        <v>-238.4666</v>
      </c>
      <c r="K1734">
        <v>1.1107450000000001</v>
      </c>
      <c r="L1734">
        <v>367.38010000000003</v>
      </c>
      <c r="M1734">
        <v>0.99986299999999995</v>
      </c>
      <c r="N1734">
        <v>0</v>
      </c>
      <c r="O1734">
        <v>9.5416830000000005E-3</v>
      </c>
      <c r="P1734">
        <v>0.99109809999999998</v>
      </c>
      <c r="Q1734">
        <v>7.7928590000000006E-2</v>
      </c>
      <c r="R1734">
        <v>-0.107943899999999</v>
      </c>
      <c r="S1734">
        <v>2.9534910000000001</v>
      </c>
      <c r="T1734">
        <v>-3.4459950000000003E-2</v>
      </c>
      <c r="U1734">
        <v>-0.70095830000000003</v>
      </c>
      <c r="V1734">
        <v>0.1174034</v>
      </c>
      <c r="W1734">
        <v>9.1312660000000004E-2</v>
      </c>
      <c r="X1734">
        <v>0.98887740000000002</v>
      </c>
      <c r="Y1734">
        <v>0.24017579999999999</v>
      </c>
      <c r="Z1734">
        <v>-1.4917299999999999E-3</v>
      </c>
      <c r="AA1734">
        <v>0.97072829999999999</v>
      </c>
      <c r="AB1734">
        <v>20</v>
      </c>
      <c r="AC1734">
        <v>99.379900000000006</v>
      </c>
      <c r="AD1734">
        <v>-1.1607449999999999</v>
      </c>
      <c r="AE1734">
        <v>-23.611999999999998</v>
      </c>
      <c r="AF1734">
        <v>24.556092236818799</v>
      </c>
      <c r="AG1734">
        <v>-1.1607449999999999</v>
      </c>
      <c r="AH1734">
        <v>99.137254682631493</v>
      </c>
      <c r="AI1734">
        <v>90.651138964341101</v>
      </c>
      <c r="AJ1734">
        <v>76.087964043491795</v>
      </c>
      <c r="AK1734">
        <v>102.139827006448</v>
      </c>
      <c r="AL1734">
        <v>84.760872238915795</v>
      </c>
      <c r="AM1734">
        <v>83.229313609570397</v>
      </c>
      <c r="AN1734">
        <v>1.00000003621929</v>
      </c>
    </row>
    <row r="1735" spans="1:40" x14ac:dyDescent="0.25">
      <c r="A1735" t="str">
        <f>"20190312150700583"</f>
        <v>20190312150700583</v>
      </c>
      <c r="B1735" t="str">
        <f>"1552374420572431"</f>
        <v>1552374420572431</v>
      </c>
      <c r="C1735" t="s">
        <v>40</v>
      </c>
      <c r="D1735">
        <v>4.3531570000000004</v>
      </c>
      <c r="E1735">
        <v>0.54656919999999898</v>
      </c>
      <c r="F1735" t="s">
        <v>43</v>
      </c>
      <c r="G1735">
        <v>-143.93700000000001</v>
      </c>
      <c r="H1735">
        <v>-0.05</v>
      </c>
      <c r="I1735">
        <v>344.88780000000003</v>
      </c>
      <c r="J1735">
        <v>-238.3672</v>
      </c>
      <c r="K1735">
        <v>1.110744</v>
      </c>
      <c r="L1735">
        <v>367.38099999999997</v>
      </c>
      <c r="M1735">
        <v>0.99986299999999995</v>
      </c>
      <c r="N1735">
        <v>0</v>
      </c>
      <c r="O1735">
        <v>9.5339780000000002E-3</v>
      </c>
      <c r="P1735">
        <v>0.99105180000000004</v>
      </c>
      <c r="Q1735">
        <v>7.7821539999999995E-2</v>
      </c>
      <c r="R1735">
        <v>-0.1084447</v>
      </c>
      <c r="S1735">
        <v>2.9532620000000001</v>
      </c>
      <c r="T1735">
        <v>-3.6263589999999998E-2</v>
      </c>
      <c r="U1735">
        <v>-0.70269780000000004</v>
      </c>
      <c r="V1735">
        <v>0.1178964</v>
      </c>
      <c r="W1735">
        <v>9.1203439999999997E-2</v>
      </c>
      <c r="X1735">
        <v>0.98882879999999995</v>
      </c>
      <c r="Y1735">
        <v>0.24072470000000001</v>
      </c>
      <c r="Z1735">
        <v>-1.573044E-3</v>
      </c>
      <c r="AA1735">
        <v>0.97059220000000002</v>
      </c>
      <c r="AB1735">
        <v>20</v>
      </c>
      <c r="AC1735">
        <v>94.430199999999999</v>
      </c>
      <c r="AD1735">
        <v>-1.160744</v>
      </c>
      <c r="AE1735">
        <v>-22.493199999999899</v>
      </c>
      <c r="AF1735">
        <v>23.389211134256499</v>
      </c>
      <c r="AG1735">
        <v>-1.160744</v>
      </c>
      <c r="AH1735">
        <v>94.197969433279098</v>
      </c>
      <c r="AI1735">
        <v>90.6851816414772</v>
      </c>
      <c r="AJ1735">
        <v>76.055549273634796</v>
      </c>
      <c r="AK1735">
        <v>97.065235638045806</v>
      </c>
      <c r="AL1735">
        <v>84.767156179113698</v>
      </c>
      <c r="AM1735">
        <v>83.200816726969407</v>
      </c>
      <c r="AN1735">
        <v>1.00000001215511</v>
      </c>
    </row>
    <row r="1736" spans="1:40" x14ac:dyDescent="0.25">
      <c r="A1736" t="str">
        <f>"20190312150700595"</f>
        <v>20190312150700595</v>
      </c>
      <c r="B1736" t="str">
        <f>"1552374420591950"</f>
        <v>1552374420591950</v>
      </c>
      <c r="C1736" t="s">
        <v>40</v>
      </c>
      <c r="D1736">
        <v>4.3373910000000002</v>
      </c>
      <c r="E1736">
        <v>0.5467244</v>
      </c>
      <c r="F1736" t="s">
        <v>43</v>
      </c>
      <c r="G1736">
        <v>-144.27350000000001</v>
      </c>
      <c r="H1736">
        <v>-0.05</v>
      </c>
      <c r="I1736">
        <v>344.9649</v>
      </c>
      <c r="J1736">
        <v>-238.26300000000001</v>
      </c>
      <c r="K1736">
        <v>1.1107400000000001</v>
      </c>
      <c r="L1736">
        <v>367.38200000000001</v>
      </c>
      <c r="M1736">
        <v>0.99986330000000001</v>
      </c>
      <c r="N1736">
        <v>0</v>
      </c>
      <c r="O1736">
        <v>9.5201799999999996E-3</v>
      </c>
      <c r="P1736">
        <v>0.99100500000000002</v>
      </c>
      <c r="Q1736">
        <v>7.7749769999999996E-2</v>
      </c>
      <c r="R1736">
        <v>-0.108926</v>
      </c>
      <c r="S1736">
        <v>2.9529719999999999</v>
      </c>
      <c r="T1736">
        <v>-3.6427969999999997E-2</v>
      </c>
      <c r="U1736">
        <v>-0.70349119999999998</v>
      </c>
      <c r="V1736">
        <v>0.1183637</v>
      </c>
      <c r="W1736">
        <v>9.1129360000000006E-2</v>
      </c>
      <c r="X1736">
        <v>0.98877979999999999</v>
      </c>
      <c r="Y1736">
        <v>0.24097930000000001</v>
      </c>
      <c r="Z1736">
        <v>-1.5816579999999999E-3</v>
      </c>
      <c r="AA1736">
        <v>0.97052899999999998</v>
      </c>
      <c r="AB1736">
        <v>20</v>
      </c>
      <c r="AC1736">
        <v>93.989500000000007</v>
      </c>
      <c r="AD1736">
        <v>-1.1607399999999899</v>
      </c>
      <c r="AE1736">
        <v>-22.417099999999898</v>
      </c>
      <c r="AF1736">
        <v>23.3075992293324</v>
      </c>
      <c r="AG1736">
        <v>-1.1607399999999899</v>
      </c>
      <c r="AH1736">
        <v>93.758275630975405</v>
      </c>
      <c r="AI1736">
        <v>90.688344875131193</v>
      </c>
      <c r="AJ1736">
        <v>76.039684511686502</v>
      </c>
      <c r="AK1736">
        <v>96.618868490977107</v>
      </c>
      <c r="AL1736">
        <v>84.771418384771394</v>
      </c>
      <c r="AM1736">
        <v>83.173785854642105</v>
      </c>
      <c r="AN1736">
        <v>1.00000000930986</v>
      </c>
    </row>
    <row r="1737" spans="1:40" x14ac:dyDescent="0.25">
      <c r="A1737" t="str">
        <f>"20190312150700606"</f>
        <v>20190312150700606</v>
      </c>
      <c r="B1737" t="str">
        <f>"1552374420601710"</f>
        <v>1552374420601710</v>
      </c>
      <c r="C1737" t="s">
        <v>40</v>
      </c>
      <c r="D1737">
        <v>4.2890930000000003</v>
      </c>
      <c r="E1737">
        <v>0.54659469999999899</v>
      </c>
      <c r="F1737" t="s">
        <v>43</v>
      </c>
      <c r="G1737">
        <v>-153.71860000000001</v>
      </c>
      <c r="H1737">
        <v>-0.05</v>
      </c>
      <c r="I1737">
        <v>347.15289999999999</v>
      </c>
      <c r="J1737">
        <v>-238.16390000000001</v>
      </c>
      <c r="K1737">
        <v>1.110735</v>
      </c>
      <c r="L1737">
        <v>367.38299999999998</v>
      </c>
      <c r="M1737">
        <v>0.99986330000000001</v>
      </c>
      <c r="N1737">
        <v>0</v>
      </c>
      <c r="O1737">
        <v>9.5055420000000005E-3</v>
      </c>
      <c r="P1737">
        <v>0.99096260000000003</v>
      </c>
      <c r="Q1737">
        <v>7.7695760000000003E-2</v>
      </c>
      <c r="R1737">
        <v>-0.1093471</v>
      </c>
      <c r="S1737">
        <v>2.9527589999999999</v>
      </c>
      <c r="T1737">
        <v>-4.0539499999999999E-2</v>
      </c>
      <c r="U1737">
        <v>-0.70651249999999999</v>
      </c>
      <c r="V1737">
        <v>0.11877070000000001</v>
      </c>
      <c r="W1737">
        <v>9.1073329999999994E-2</v>
      </c>
      <c r="X1737">
        <v>0.98873619999999995</v>
      </c>
      <c r="Y1737">
        <v>0.24191589999999999</v>
      </c>
      <c r="Z1737">
        <v>-1.76622E-3</v>
      </c>
      <c r="AA1737">
        <v>0.97029560000000004</v>
      </c>
      <c r="AB1737">
        <v>20</v>
      </c>
      <c r="AC1737">
        <v>84.445300000000003</v>
      </c>
      <c r="AD1737">
        <v>-1.1607350000000001</v>
      </c>
      <c r="AE1737">
        <v>-20.2301</v>
      </c>
      <c r="AF1737">
        <v>21.028200326913801</v>
      </c>
      <c r="AG1737">
        <v>-1.1607350000000001</v>
      </c>
      <c r="AH1737">
        <v>84.234117432750494</v>
      </c>
      <c r="AI1737">
        <v>90.765974142063996</v>
      </c>
      <c r="AJ1737">
        <v>75.983174374866707</v>
      </c>
      <c r="AK1737">
        <v>86.826948894933807</v>
      </c>
      <c r="AL1737">
        <v>84.774642295749899</v>
      </c>
      <c r="AM1737">
        <v>83.150236994689493</v>
      </c>
      <c r="AN1737">
        <v>1.0000000519031</v>
      </c>
    </row>
    <row r="1738" spans="1:40" x14ac:dyDescent="0.25">
      <c r="A1738" t="str">
        <f>"20190312150700616"</f>
        <v>20190312150700616</v>
      </c>
      <c r="B1738" t="str">
        <f>"1552374420612447"</f>
        <v>1552374420612447</v>
      </c>
      <c r="C1738" t="s">
        <v>40</v>
      </c>
      <c r="D1738">
        <v>4.3602349999999896</v>
      </c>
      <c r="E1738">
        <v>0.54648459999999999</v>
      </c>
      <c r="F1738" t="s">
        <v>43</v>
      </c>
      <c r="G1738">
        <v>-155.61859999999999</v>
      </c>
      <c r="H1738">
        <v>-0.05</v>
      </c>
      <c r="I1738">
        <v>347.62540000000001</v>
      </c>
      <c r="J1738">
        <v>-238.0685</v>
      </c>
      <c r="K1738">
        <v>1.1107290000000001</v>
      </c>
      <c r="L1738">
        <v>367.38380000000001</v>
      </c>
      <c r="M1738">
        <v>0.99986359999999996</v>
      </c>
      <c r="N1738">
        <v>0</v>
      </c>
      <c r="O1738">
        <v>9.4844920000000006E-3</v>
      </c>
      <c r="P1738">
        <v>0.99089150000000004</v>
      </c>
      <c r="Q1738">
        <v>7.7812409999999999E-2</v>
      </c>
      <c r="R1738">
        <v>-0.1099074</v>
      </c>
      <c r="S1738">
        <v>2.9526370000000002</v>
      </c>
      <c r="T1738">
        <v>-4.1519399999999998E-2</v>
      </c>
      <c r="U1738">
        <v>-0.70672609999999902</v>
      </c>
      <c r="V1738">
        <v>0.11931029999999999</v>
      </c>
      <c r="W1738">
        <v>9.1185879999999997E-2</v>
      </c>
      <c r="X1738">
        <v>0.98866080000000001</v>
      </c>
      <c r="Y1738">
        <v>0.24196989999999999</v>
      </c>
      <c r="Z1738">
        <v>-1.8090479999999999E-3</v>
      </c>
      <c r="AA1738">
        <v>0.97028210000000004</v>
      </c>
      <c r="AB1738">
        <v>20</v>
      </c>
      <c r="AC1738">
        <v>82.4499</v>
      </c>
      <c r="AD1738">
        <v>-1.1607289999999999</v>
      </c>
      <c r="AE1738">
        <v>-19.758399999999899</v>
      </c>
      <c r="AF1738">
        <v>20.535729102971199</v>
      </c>
      <c r="AG1738">
        <v>-1.1607289999999999</v>
      </c>
      <c r="AH1738">
        <v>82.243360732165698</v>
      </c>
      <c r="AI1738">
        <v>90.784498635105294</v>
      </c>
      <c r="AJ1738">
        <v>75.980222581980698</v>
      </c>
      <c r="AK1738">
        <v>84.776375518909703</v>
      </c>
      <c r="AL1738">
        <v>84.7681664125369</v>
      </c>
      <c r="AM1738">
        <v>83.118895048570906</v>
      </c>
      <c r="AN1738">
        <v>0.99999999492705205</v>
      </c>
    </row>
    <row r="1739" spans="1:40" x14ac:dyDescent="0.25">
      <c r="A1739" t="str">
        <f>"20190312150700628"</f>
        <v>20190312150700628</v>
      </c>
      <c r="B1739" t="str">
        <f>"1552374420622206"</f>
        <v>1552374420622206</v>
      </c>
      <c r="C1739" t="s">
        <v>40</v>
      </c>
      <c r="D1739">
        <v>4.3082549999999999</v>
      </c>
      <c r="E1739">
        <v>0.54639300000000002</v>
      </c>
      <c r="F1739" t="s">
        <v>43</v>
      </c>
      <c r="G1739">
        <v>-155.8877</v>
      </c>
      <c r="H1739">
        <v>-0.05</v>
      </c>
      <c r="I1739">
        <v>347.68880000000001</v>
      </c>
      <c r="J1739">
        <v>-237.97049999999999</v>
      </c>
      <c r="K1739">
        <v>1.110725</v>
      </c>
      <c r="L1739">
        <v>367.38470000000001</v>
      </c>
      <c r="M1739">
        <v>0.99986390000000003</v>
      </c>
      <c r="N1739">
        <v>0</v>
      </c>
      <c r="O1739">
        <v>9.4606299999999994E-3</v>
      </c>
      <c r="P1739">
        <v>0.99085160000000005</v>
      </c>
      <c r="Q1739">
        <v>7.7525570000000002E-2</v>
      </c>
      <c r="R1739">
        <v>-0.1104685</v>
      </c>
      <c r="S1739">
        <v>2.9523769999999998</v>
      </c>
      <c r="T1739">
        <v>-4.1699649999999998E-2</v>
      </c>
      <c r="U1739">
        <v>-0.70755000000000001</v>
      </c>
      <c r="V1739">
        <v>0.11984880000000001</v>
      </c>
      <c r="W1739">
        <v>9.0895740000000003E-2</v>
      </c>
      <c r="X1739">
        <v>0.98862240000000001</v>
      </c>
      <c r="Y1739">
        <v>0.24222189999999999</v>
      </c>
      <c r="Z1739">
        <v>-1.8184200000000001E-3</v>
      </c>
      <c r="AA1739">
        <v>0.97021919999999995</v>
      </c>
      <c r="AB1739">
        <v>20</v>
      </c>
      <c r="AC1739">
        <v>82.082799999999907</v>
      </c>
      <c r="AD1739">
        <v>-1.160725</v>
      </c>
      <c r="AE1739">
        <v>-19.695899999999899</v>
      </c>
      <c r="AF1739">
        <v>20.467774313930999</v>
      </c>
      <c r="AG1739">
        <v>-1.160725</v>
      </c>
      <c r="AH1739">
        <v>81.877292006191198</v>
      </c>
      <c r="AI1739">
        <v>90.7879498620307</v>
      </c>
      <c r="AJ1739">
        <v>75.964776522232796</v>
      </c>
      <c r="AK1739">
        <v>84.404786678000406</v>
      </c>
      <c r="AL1739">
        <v>84.784859613302999</v>
      </c>
      <c r="AM1739">
        <v>83.087871488361102</v>
      </c>
      <c r="AN1739">
        <v>1.0000000100966699</v>
      </c>
    </row>
    <row r="1740" spans="1:40" x14ac:dyDescent="0.25">
      <c r="A1740" t="str">
        <f>"20190312150700638"</f>
        <v>20190312150700638</v>
      </c>
      <c r="B1740" t="str">
        <f>"1552374420631966"</f>
        <v>1552374420631966</v>
      </c>
      <c r="C1740" t="s">
        <v>40</v>
      </c>
      <c r="D1740">
        <v>4.3606379999999998</v>
      </c>
      <c r="E1740">
        <v>0.54639300000000002</v>
      </c>
      <c r="F1740" t="s">
        <v>43</v>
      </c>
      <c r="G1740">
        <v>-157.84030000000001</v>
      </c>
      <c r="H1740">
        <v>-0.05</v>
      </c>
      <c r="I1740">
        <v>348.16449999999998</v>
      </c>
      <c r="J1740">
        <v>-237.86670000000001</v>
      </c>
      <c r="K1740">
        <v>1.110716</v>
      </c>
      <c r="L1740">
        <v>367.38569999999999</v>
      </c>
      <c r="M1740">
        <v>0.99986419999999998</v>
      </c>
      <c r="N1740">
        <v>0</v>
      </c>
      <c r="O1740">
        <v>9.4286230000000006E-3</v>
      </c>
      <c r="P1740">
        <v>0.99080939999999995</v>
      </c>
      <c r="Q1740">
        <v>7.7357110000000007E-2</v>
      </c>
      <c r="R1740">
        <v>-0.1109636</v>
      </c>
      <c r="S1740">
        <v>2.9521030000000001</v>
      </c>
      <c r="T1740">
        <v>-4.2762639999999998E-2</v>
      </c>
      <c r="U1740">
        <v>-0.70809940000000005</v>
      </c>
      <c r="V1740">
        <v>0.1203133</v>
      </c>
      <c r="W1740">
        <v>9.0723369999999998E-2</v>
      </c>
      <c r="X1740">
        <v>0.98858179999999996</v>
      </c>
      <c r="Y1740">
        <v>0.24238080000000001</v>
      </c>
      <c r="Z1740">
        <v>-1.865575E-3</v>
      </c>
      <c r="AA1740">
        <v>0.97017940000000003</v>
      </c>
      <c r="AB1740">
        <v>20</v>
      </c>
      <c r="AC1740">
        <v>80.026399999999995</v>
      </c>
      <c r="AD1740">
        <v>-1.1607160000000001</v>
      </c>
      <c r="AE1740">
        <v>-19.2212</v>
      </c>
      <c r="AF1740">
        <v>19.970980978658901</v>
      </c>
      <c r="AG1740">
        <v>-1.1607160000000001</v>
      </c>
      <c r="AH1740">
        <v>79.825719073296</v>
      </c>
      <c r="AI1740">
        <v>90.808153501906901</v>
      </c>
      <c r="AJ1740">
        <v>75.953927034009297</v>
      </c>
      <c r="AK1740">
        <v>82.294184293006893</v>
      </c>
      <c r="AL1740">
        <v>84.794776596292294</v>
      </c>
      <c r="AM1740">
        <v>83.0610605133257</v>
      </c>
      <c r="AN1740">
        <v>0.999999997656143</v>
      </c>
    </row>
    <row r="1741" spans="1:40" x14ac:dyDescent="0.25">
      <c r="A1741" t="str">
        <f>"20190312150700651"</f>
        <v>20190312150700651</v>
      </c>
      <c r="B1741" t="str">
        <f>"1552374420641727"</f>
        <v>1552374420641727</v>
      </c>
      <c r="C1741" t="s">
        <v>40</v>
      </c>
      <c r="D1741">
        <v>4.2309479999999997</v>
      </c>
      <c r="E1741">
        <v>0.54666459999999995</v>
      </c>
      <c r="F1741" t="s">
        <v>43</v>
      </c>
      <c r="G1741">
        <v>-159.0009</v>
      </c>
      <c r="H1741">
        <v>-0.05</v>
      </c>
      <c r="I1741">
        <v>348.42649999999998</v>
      </c>
      <c r="J1741">
        <v>-237.7561</v>
      </c>
      <c r="K1741">
        <v>1.1107070000000001</v>
      </c>
      <c r="L1741">
        <v>367.38670000000002</v>
      </c>
      <c r="M1741">
        <v>0.99986450000000004</v>
      </c>
      <c r="N1741">
        <v>0</v>
      </c>
      <c r="O1741">
        <v>9.3880089999999992E-3</v>
      </c>
      <c r="P1741">
        <v>0.99072389999999999</v>
      </c>
      <c r="Q1741">
        <v>7.7333410000000005E-2</v>
      </c>
      <c r="R1741">
        <v>-0.11174149999999999</v>
      </c>
      <c r="S1741">
        <v>2.9517519999999999</v>
      </c>
      <c r="T1741">
        <v>-4.3442729999999999E-2</v>
      </c>
      <c r="U1741">
        <v>-0.70959469999999902</v>
      </c>
      <c r="V1741">
        <v>0.1210521</v>
      </c>
      <c r="W1741">
        <v>9.0694869999999997E-2</v>
      </c>
      <c r="X1741">
        <v>0.98849419999999999</v>
      </c>
      <c r="Y1741">
        <v>0.2428313</v>
      </c>
      <c r="Z1741">
        <v>-1.89803E-3</v>
      </c>
      <c r="AA1741">
        <v>0.97006669999999995</v>
      </c>
      <c r="AB1741">
        <v>20</v>
      </c>
      <c r="AC1741">
        <v>78.755200000000002</v>
      </c>
      <c r="AD1741">
        <v>-1.1607069999999999</v>
      </c>
      <c r="AE1741">
        <v>-18.9602</v>
      </c>
      <c r="AF1741">
        <v>19.694742836031899</v>
      </c>
      <c r="AG1741">
        <v>-1.1607069999999999</v>
      </c>
      <c r="AH1741">
        <v>78.557585017717699</v>
      </c>
      <c r="AI1741">
        <v>90.821090121231094</v>
      </c>
      <c r="AJ1741">
        <v>75.925770465928593</v>
      </c>
      <c r="AK1741">
        <v>80.997063526607107</v>
      </c>
      <c r="AL1741">
        <v>84.796416177422699</v>
      </c>
      <c r="AM1741">
        <v>83.0182576664442</v>
      </c>
      <c r="AN1741">
        <v>0.99999997689618303</v>
      </c>
    </row>
    <row r="1742" spans="1:40" x14ac:dyDescent="0.25">
      <c r="A1742" t="str">
        <f>"20190312150700664"</f>
        <v>20190312150700664</v>
      </c>
      <c r="B1742" t="str">
        <f>"1552374420652462"</f>
        <v>1552374420652462</v>
      </c>
      <c r="C1742" t="s">
        <v>40</v>
      </c>
      <c r="D1742">
        <v>4.4125310000000004</v>
      </c>
      <c r="E1742">
        <v>0.54666459999999995</v>
      </c>
      <c r="F1742" t="s">
        <v>43</v>
      </c>
      <c r="G1742">
        <v>-161.78129999999999</v>
      </c>
      <c r="H1742">
        <v>-0.05</v>
      </c>
      <c r="I1742">
        <v>349.00290000000001</v>
      </c>
      <c r="J1742">
        <v>-237.63640000000001</v>
      </c>
      <c r="K1742">
        <v>1.11069</v>
      </c>
      <c r="L1742">
        <v>367.3877</v>
      </c>
      <c r="M1742">
        <v>0.999865</v>
      </c>
      <c r="N1742">
        <v>0</v>
      </c>
      <c r="O1742">
        <v>9.3378279999999994E-3</v>
      </c>
      <c r="P1742">
        <v>0.99065420000000004</v>
      </c>
      <c r="Q1742">
        <v>7.7290109999999995E-2</v>
      </c>
      <c r="R1742">
        <v>-0.1123883</v>
      </c>
      <c r="S1742">
        <v>2.9510800000000001</v>
      </c>
      <c r="T1742">
        <v>-4.5085189999999997E-2</v>
      </c>
      <c r="U1742">
        <v>-0.71408079999999996</v>
      </c>
      <c r="V1742">
        <v>0.12165090000000001</v>
      </c>
      <c r="W1742">
        <v>9.0645950000000003E-2</v>
      </c>
      <c r="X1742">
        <v>0.9884252</v>
      </c>
      <c r="Y1742">
        <v>0.244224</v>
      </c>
      <c r="Z1742">
        <v>-1.979602E-3</v>
      </c>
      <c r="AA1742">
        <v>0.96971680000000005</v>
      </c>
      <c r="AB1742">
        <v>20</v>
      </c>
      <c r="AC1742">
        <v>75.855099999999993</v>
      </c>
      <c r="AD1742">
        <v>-1.16069</v>
      </c>
      <c r="AE1742">
        <v>-18.384799999999899</v>
      </c>
      <c r="AF1742">
        <v>19.088163715966999</v>
      </c>
      <c r="AG1742">
        <v>-1.16069</v>
      </c>
      <c r="AH1742">
        <v>75.663370027764003</v>
      </c>
      <c r="AI1742">
        <v>90.852163715018605</v>
      </c>
      <c r="AJ1742">
        <v>75.841008817163996</v>
      </c>
      <c r="AK1742">
        <v>78.042621427537995</v>
      </c>
      <c r="AL1742">
        <v>84.799230815481593</v>
      </c>
      <c r="AM1742">
        <v>82.983580042580698</v>
      </c>
      <c r="AN1742">
        <v>1.00000000285862</v>
      </c>
    </row>
    <row r="1743" spans="1:40" x14ac:dyDescent="0.25">
      <c r="A1743" t="str">
        <f>"20190312150700677"</f>
        <v>20190312150700677</v>
      </c>
      <c r="B1743" t="str">
        <f>"1552374420671982"</f>
        <v>1552374420671982</v>
      </c>
      <c r="C1743" t="s">
        <v>40</v>
      </c>
      <c r="D1743">
        <v>4.3066019999999998</v>
      </c>
      <c r="E1743">
        <v>0.54553059999999998</v>
      </c>
      <c r="F1743" t="s">
        <v>43</v>
      </c>
      <c r="G1743">
        <v>-162.24469999999999</v>
      </c>
      <c r="H1743">
        <v>-0.05</v>
      </c>
      <c r="I1743">
        <v>349.09710000000001</v>
      </c>
      <c r="J1743">
        <v>-237.51769999999999</v>
      </c>
      <c r="K1743">
        <v>1.1106769999999999</v>
      </c>
      <c r="L1743">
        <v>367.38869999999997</v>
      </c>
      <c r="M1743">
        <v>0.99986549999999996</v>
      </c>
      <c r="N1743">
        <v>0</v>
      </c>
      <c r="O1743">
        <v>9.2730729999999997E-3</v>
      </c>
      <c r="P1743">
        <v>0.99056520000000003</v>
      </c>
      <c r="Q1743">
        <v>7.7444490000000005E-2</v>
      </c>
      <c r="R1743">
        <v>-0.1130616</v>
      </c>
      <c r="S1743">
        <v>2.950653</v>
      </c>
      <c r="T1743">
        <v>-4.5426609999999999E-2</v>
      </c>
      <c r="U1743">
        <v>-0.71585080000000001</v>
      </c>
      <c r="V1743">
        <v>0.12226239999999999</v>
      </c>
      <c r="W1743">
        <v>9.0794109999999997E-2</v>
      </c>
      <c r="X1743">
        <v>0.98833610000000005</v>
      </c>
      <c r="Y1743">
        <v>0.24474219999999999</v>
      </c>
      <c r="Z1743">
        <v>-1.9976820000000002E-3</v>
      </c>
      <c r="AA1743">
        <v>0.96958610000000001</v>
      </c>
      <c r="AB1743">
        <v>20</v>
      </c>
      <c r="AC1743">
        <v>75.272999999999996</v>
      </c>
      <c r="AD1743">
        <v>-1.160677</v>
      </c>
      <c r="AE1743">
        <v>-18.291599999999899</v>
      </c>
      <c r="AF1743">
        <v>18.984627132026599</v>
      </c>
      <c r="AG1743">
        <v>-1.160677</v>
      </c>
      <c r="AH1743">
        <v>75.083271486349702</v>
      </c>
      <c r="AI1743">
        <v>90.858620773768706</v>
      </c>
      <c r="AJ1743">
        <v>75.810300103569702</v>
      </c>
      <c r="AK1743">
        <v>77.454895878396897</v>
      </c>
      <c r="AL1743">
        <v>84.790706476896801</v>
      </c>
      <c r="AM1743">
        <v>82.948035639192398</v>
      </c>
      <c r="AN1743">
        <v>0.99999995571383005</v>
      </c>
    </row>
    <row r="1744" spans="1:40" x14ac:dyDescent="0.25">
      <c r="A1744" t="str">
        <f>"20190312150700690"</f>
        <v>20190312150700690</v>
      </c>
      <c r="B1744" t="str">
        <f>"1552374420681743"</f>
        <v>1552374420681743</v>
      </c>
      <c r="C1744" t="s">
        <v>40</v>
      </c>
      <c r="D1744">
        <v>4.3319400000000003</v>
      </c>
      <c r="E1744">
        <v>0.54516119999999901</v>
      </c>
      <c r="F1744" t="s">
        <v>49</v>
      </c>
      <c r="G1744">
        <v>-180</v>
      </c>
      <c r="H1744">
        <v>4.2254E-2</v>
      </c>
      <c r="I1744">
        <v>353.57010000000002</v>
      </c>
      <c r="J1744">
        <v>-237.39869999999999</v>
      </c>
      <c r="K1744">
        <v>1.110665</v>
      </c>
      <c r="L1744">
        <v>367.3897</v>
      </c>
      <c r="M1744">
        <v>0.99986629999999999</v>
      </c>
      <c r="N1744">
        <v>0</v>
      </c>
      <c r="O1744">
        <v>9.1983589999999997E-3</v>
      </c>
      <c r="P1744">
        <v>0.9905233</v>
      </c>
      <c r="Q1744">
        <v>7.7075560000000001E-2</v>
      </c>
      <c r="R1744">
        <v>-0.11368010000000001</v>
      </c>
      <c r="S1744">
        <v>2.9519039999999999</v>
      </c>
      <c r="T1744">
        <v>-5.483329E-2</v>
      </c>
      <c r="U1744">
        <v>-0.709198</v>
      </c>
      <c r="V1744">
        <v>0.1228093</v>
      </c>
      <c r="W1744">
        <v>9.0419429999999995E-2</v>
      </c>
      <c r="X1744">
        <v>0.98830269999999998</v>
      </c>
      <c r="Y1744">
        <v>0.2424974</v>
      </c>
      <c r="Z1744">
        <v>-2.3889979999999998E-3</v>
      </c>
      <c r="AA1744">
        <v>0.97014909999999999</v>
      </c>
      <c r="AB1744">
        <v>20</v>
      </c>
      <c r="AC1744">
        <v>57.398699999999899</v>
      </c>
      <c r="AD1744">
        <v>-1.068411</v>
      </c>
      <c r="AE1744">
        <v>-13.8195999999999</v>
      </c>
      <c r="AF1744">
        <v>14.342340353051201</v>
      </c>
      <c r="AG1744">
        <v>-1.068411</v>
      </c>
      <c r="AH1744">
        <v>57.250392976160697</v>
      </c>
      <c r="AI1744">
        <v>91.037092449415297</v>
      </c>
      <c r="AJ1744">
        <v>75.935745193411705</v>
      </c>
      <c r="AK1744">
        <v>59.029244657140197</v>
      </c>
      <c r="AL1744">
        <v>84.812263020577802</v>
      </c>
      <c r="AM1744">
        <v>82.916573803037195</v>
      </c>
      <c r="AN1744">
        <v>1.00000001215765</v>
      </c>
    </row>
    <row r="1745" spans="1:40" x14ac:dyDescent="0.25">
      <c r="A1745" t="str">
        <f>"20190312150700703"</f>
        <v>20190312150700703</v>
      </c>
      <c r="B1745" t="str">
        <f>"1552374420692479"</f>
        <v>1552374420692479</v>
      </c>
      <c r="C1745" t="s">
        <v>40</v>
      </c>
      <c r="D1745">
        <v>4.3559979999999996</v>
      </c>
      <c r="E1745">
        <v>0.54485689999999998</v>
      </c>
      <c r="F1745" t="s">
        <v>49</v>
      </c>
      <c r="G1745">
        <v>-186.17349999999999</v>
      </c>
      <c r="H1745" s="1">
        <v>-3.6440650000000001E-6</v>
      </c>
      <c r="I1745">
        <v>355.10509999999999</v>
      </c>
      <c r="J1745">
        <v>-237.27879999999999</v>
      </c>
      <c r="K1745">
        <v>1.110654</v>
      </c>
      <c r="L1745">
        <v>367.39080000000001</v>
      </c>
      <c r="M1745">
        <v>0.99986719999999896</v>
      </c>
      <c r="N1745">
        <v>0</v>
      </c>
      <c r="O1745">
        <v>9.1113610000000001E-3</v>
      </c>
      <c r="P1745">
        <v>0.99042669999999999</v>
      </c>
      <c r="Q1745">
        <v>7.7326800000000001E-2</v>
      </c>
      <c r="R1745">
        <v>-0.1143512</v>
      </c>
      <c r="S1745">
        <v>2.952423</v>
      </c>
      <c r="T1745">
        <v>-6.4014669999999996E-2</v>
      </c>
      <c r="U1745">
        <v>-0.70803830000000001</v>
      </c>
      <c r="V1745">
        <v>0.1233964</v>
      </c>
      <c r="W1745">
        <v>9.0664010000000003E-2</v>
      </c>
      <c r="X1745">
        <v>0.98820719999999995</v>
      </c>
      <c r="Y1745">
        <v>0.2419992</v>
      </c>
      <c r="Z1745">
        <v>-2.7813960000000002E-3</v>
      </c>
      <c r="AA1745">
        <v>0.97027249999999998</v>
      </c>
      <c r="AB1745">
        <v>20</v>
      </c>
      <c r="AC1745">
        <v>51.1053</v>
      </c>
      <c r="AD1745">
        <v>-1.110657644065</v>
      </c>
      <c r="AE1745">
        <v>-12.2857</v>
      </c>
      <c r="AF1745">
        <v>12.7451804718877</v>
      </c>
      <c r="AG1745">
        <v>-1.110657644065</v>
      </c>
      <c r="AH1745">
        <v>50.968470821784997</v>
      </c>
      <c r="AI1745">
        <v>91.211060792269294</v>
      </c>
      <c r="AJ1745">
        <v>75.960516123080893</v>
      </c>
      <c r="AK1745">
        <v>52.549578528989699</v>
      </c>
      <c r="AL1745">
        <v>84.798192032617393</v>
      </c>
      <c r="AM1745">
        <v>82.882376605143094</v>
      </c>
      <c r="AN1745">
        <v>1.00000005218703</v>
      </c>
    </row>
    <row r="1746" spans="1:40" x14ac:dyDescent="0.25">
      <c r="A1746" t="str">
        <f>"20190312150700716"</f>
        <v>20190312150700716</v>
      </c>
      <c r="B1746" t="str">
        <f>"1552374420712002"</f>
        <v>1552374420712002</v>
      </c>
      <c r="C1746" t="s">
        <v>40</v>
      </c>
      <c r="D1746">
        <v>4.4014689999999996</v>
      </c>
      <c r="E1746">
        <v>0.54417720000000003</v>
      </c>
      <c r="F1746" t="s">
        <v>49</v>
      </c>
      <c r="G1746">
        <v>-190.79429999999999</v>
      </c>
      <c r="H1746" s="1">
        <v>-3.900793E-6</v>
      </c>
      <c r="I1746">
        <v>356.24579999999997</v>
      </c>
      <c r="J1746">
        <v>-237.1644</v>
      </c>
      <c r="K1746">
        <v>1.110643</v>
      </c>
      <c r="L1746">
        <v>367.39170000000001</v>
      </c>
      <c r="M1746">
        <v>0.99986810000000004</v>
      </c>
      <c r="N1746">
        <v>0</v>
      </c>
      <c r="O1746">
        <v>9.0113239999999994E-3</v>
      </c>
      <c r="P1746">
        <v>0.9902763</v>
      </c>
      <c r="Q1746">
        <v>7.7408989999999997E-2</v>
      </c>
      <c r="R1746">
        <v>-0.11559</v>
      </c>
      <c r="S1746">
        <v>2.9527739999999998</v>
      </c>
      <c r="T1746">
        <v>-7.0550920000000003E-2</v>
      </c>
      <c r="U1746">
        <v>-0.70794679999999999</v>
      </c>
      <c r="V1746">
        <v>0.1245377</v>
      </c>
      <c r="W1746">
        <v>9.0739020000000004E-2</v>
      </c>
      <c r="X1746">
        <v>0.98805710000000002</v>
      </c>
      <c r="Y1746">
        <v>0.24183560000000001</v>
      </c>
      <c r="Z1746">
        <v>-3.06069E-3</v>
      </c>
      <c r="AA1746">
        <v>0.97031239999999996</v>
      </c>
      <c r="AB1746">
        <v>20</v>
      </c>
      <c r="AC1746">
        <v>46.370100000000001</v>
      </c>
      <c r="AD1746">
        <v>-1.110646900793</v>
      </c>
      <c r="AE1746">
        <v>-11.145899999999999</v>
      </c>
      <c r="AF1746">
        <v>11.5570734975745</v>
      </c>
      <c r="AG1746">
        <v>-1.110646900793</v>
      </c>
      <c r="AH1746">
        <v>46.242688562633703</v>
      </c>
      <c r="AI1746">
        <v>91.334813120342801</v>
      </c>
      <c r="AJ1746">
        <v>75.967953129831201</v>
      </c>
      <c r="AK1746">
        <v>47.677937558867903</v>
      </c>
      <c r="AL1746">
        <v>84.793876323721804</v>
      </c>
      <c r="AM1746">
        <v>82.816150021535805</v>
      </c>
      <c r="AN1746">
        <v>1.0000000206661299</v>
      </c>
    </row>
    <row r="1747" spans="1:40" x14ac:dyDescent="0.25">
      <c r="A1747" t="str">
        <f>"20190312150700729"</f>
        <v>20190312150700729</v>
      </c>
      <c r="B1747" t="str">
        <f>"1552374420721758"</f>
        <v>1552374420721758</v>
      </c>
      <c r="C1747" t="s">
        <v>40</v>
      </c>
      <c r="D1747">
        <v>4.3993289999999998</v>
      </c>
      <c r="E1747">
        <v>0.54384969999999999</v>
      </c>
      <c r="F1747" t="s">
        <v>49</v>
      </c>
      <c r="G1747">
        <v>-197.4632</v>
      </c>
      <c r="H1747" s="1">
        <v>-5.8800740000000004E-6</v>
      </c>
      <c r="I1747">
        <v>357.88909999999998</v>
      </c>
      <c r="J1747">
        <v>-237.04859999999999</v>
      </c>
      <c r="K1747">
        <v>1.1106259999999999</v>
      </c>
      <c r="L1747">
        <v>367.39260000000002</v>
      </c>
      <c r="M1747">
        <v>0.99986900000000001</v>
      </c>
      <c r="N1747">
        <v>0</v>
      </c>
      <c r="O1747">
        <v>8.9013359999999993E-3</v>
      </c>
      <c r="P1747">
        <v>0.99017790000000006</v>
      </c>
      <c r="Q1747">
        <v>7.7585479999999998E-2</v>
      </c>
      <c r="R1747">
        <v>-0.116311999999999</v>
      </c>
      <c r="S1747">
        <v>2.9534150000000001</v>
      </c>
      <c r="T1747">
        <v>-8.2622290000000001E-2</v>
      </c>
      <c r="U1747">
        <v>-0.70690920000000002</v>
      </c>
      <c r="V1747">
        <v>0.12515290000000001</v>
      </c>
      <c r="W1747">
        <v>9.0909030000000002E-2</v>
      </c>
      <c r="X1747">
        <v>0.9879637</v>
      </c>
      <c r="Y1747">
        <v>0.24133389999999999</v>
      </c>
      <c r="Z1747">
        <v>-3.5736309999999999E-3</v>
      </c>
      <c r="AA1747">
        <v>0.97043559999999995</v>
      </c>
      <c r="AB1747">
        <v>20</v>
      </c>
      <c r="AC1747">
        <v>39.5853999999999</v>
      </c>
      <c r="AD1747">
        <v>-1.110631880074</v>
      </c>
      <c r="AE1747">
        <v>-9.5035000000000291</v>
      </c>
      <c r="AF1747">
        <v>9.8481888052678794</v>
      </c>
      <c r="AG1747">
        <v>-1.110631880074</v>
      </c>
      <c r="AH1747">
        <v>39.469853404694803</v>
      </c>
      <c r="AI1747">
        <v>91.563884852466302</v>
      </c>
      <c r="AJ1747">
        <v>75.990093283775593</v>
      </c>
      <c r="AK1747">
        <v>40.695081443650402</v>
      </c>
      <c r="AL1747">
        <v>84.784094862317303</v>
      </c>
      <c r="AM1747">
        <v>82.780360944858202</v>
      </c>
      <c r="AN1747">
        <v>0.99999998631581999</v>
      </c>
    </row>
    <row r="1748" spans="1:40" x14ac:dyDescent="0.25">
      <c r="A1748" t="str">
        <f>"20190312150700739"</f>
        <v>20190312150700739</v>
      </c>
      <c r="B1748" t="str">
        <f>"1552374420732495"</f>
        <v>1552374420732495</v>
      </c>
      <c r="C1748" t="s">
        <v>40</v>
      </c>
      <c r="D1748">
        <v>4.3568119999999997</v>
      </c>
      <c r="E1748">
        <v>0.54366340000000002</v>
      </c>
      <c r="F1748" t="s">
        <v>49</v>
      </c>
      <c r="G1748">
        <v>-202.09899999999999</v>
      </c>
      <c r="H1748">
        <v>7.9987199999999994E-2</v>
      </c>
      <c r="I1748">
        <v>359.03590000000003</v>
      </c>
      <c r="J1748">
        <v>-236.9503</v>
      </c>
      <c r="K1748">
        <v>1.110617</v>
      </c>
      <c r="L1748">
        <v>367.39339999999999</v>
      </c>
      <c r="M1748">
        <v>0.99986989999999998</v>
      </c>
      <c r="N1748">
        <v>0</v>
      </c>
      <c r="O1748">
        <v>8.7974630000000002E-3</v>
      </c>
      <c r="P1748">
        <v>0.99012990000000001</v>
      </c>
      <c r="Q1748">
        <v>7.7381950000000005E-2</v>
      </c>
      <c r="R1748">
        <v>-0.1168545</v>
      </c>
      <c r="S1748">
        <v>2.9536129999999998</v>
      </c>
      <c r="T1748">
        <v>-8.7100029999999995E-2</v>
      </c>
      <c r="U1748">
        <v>-0.70623780000000003</v>
      </c>
      <c r="V1748">
        <v>0.12559439999999999</v>
      </c>
      <c r="W1748">
        <v>9.0701039999999997E-2</v>
      </c>
      <c r="X1748">
        <v>0.98792679999999999</v>
      </c>
      <c r="Y1748">
        <v>0.24099950000000001</v>
      </c>
      <c r="Z1748">
        <v>-3.7591949999999999E-3</v>
      </c>
      <c r="AA1748">
        <v>0.97051790000000004</v>
      </c>
      <c r="AB1748">
        <v>20</v>
      </c>
      <c r="AC1748">
        <v>34.851299999999902</v>
      </c>
      <c r="AD1748">
        <v>-1.0306298</v>
      </c>
      <c r="AE1748">
        <v>-8.3574999999999502</v>
      </c>
      <c r="AF1748">
        <v>8.6566488642626407</v>
      </c>
      <c r="AG1748">
        <v>-1.0306298</v>
      </c>
      <c r="AH1748">
        <v>34.747684600476198</v>
      </c>
      <c r="AI1748">
        <v>91.648557147856195</v>
      </c>
      <c r="AJ1748">
        <v>76.010746156719904</v>
      </c>
      <c r="AK1748">
        <v>35.824591448304801</v>
      </c>
      <c r="AL1748">
        <v>84.796061304632303</v>
      </c>
      <c r="AM1748">
        <v>82.754894744973797</v>
      </c>
      <c r="AN1748">
        <v>0.99999999706333997</v>
      </c>
    </row>
    <row r="1749" spans="1:40" x14ac:dyDescent="0.25">
      <c r="A1749" t="str">
        <f>"20190312150700752"</f>
        <v>20190312150700752</v>
      </c>
      <c r="B1749" t="str">
        <f>"1552374420742255"</f>
        <v>1552374420742255</v>
      </c>
      <c r="C1749" t="s">
        <v>40</v>
      </c>
      <c r="D1749">
        <v>4.3169420000000001</v>
      </c>
      <c r="E1749">
        <v>0.54359630000000003</v>
      </c>
      <c r="F1749" t="s">
        <v>49</v>
      </c>
      <c r="G1749">
        <v>-203.9769</v>
      </c>
      <c r="H1749">
        <v>7.9987509999999998E-2</v>
      </c>
      <c r="I1749">
        <v>359.50959999999998</v>
      </c>
      <c r="J1749">
        <v>-236.839</v>
      </c>
      <c r="K1749">
        <v>1.1106069999999999</v>
      </c>
      <c r="L1749">
        <v>367.39429999999999</v>
      </c>
      <c r="M1749">
        <v>0.99987110000000001</v>
      </c>
      <c r="N1749">
        <v>0</v>
      </c>
      <c r="O1749">
        <v>8.6693819999999998E-3</v>
      </c>
      <c r="P1749">
        <v>0.99005560000000004</v>
      </c>
      <c r="Q1749">
        <v>7.724984E-2</v>
      </c>
      <c r="R1749">
        <v>-0.1175707</v>
      </c>
      <c r="S1749">
        <v>2.9537810000000002</v>
      </c>
      <c r="T1749">
        <v>-9.2324500000000004E-2</v>
      </c>
      <c r="U1749">
        <v>-0.70623780000000003</v>
      </c>
      <c r="V1749">
        <v>0.1261854</v>
      </c>
      <c r="W1749">
        <v>9.0563329999999997E-2</v>
      </c>
      <c r="X1749">
        <v>0.98786410000000002</v>
      </c>
      <c r="Y1749">
        <v>0.24085019999999999</v>
      </c>
      <c r="Z1749">
        <v>-3.9781080000000002E-3</v>
      </c>
      <c r="AA1749">
        <v>0.97055420000000003</v>
      </c>
      <c r="AB1749">
        <v>20</v>
      </c>
      <c r="AC1749">
        <v>32.862099999999998</v>
      </c>
      <c r="AD1749">
        <v>-1.0306194900000001</v>
      </c>
      <c r="AE1749">
        <v>-7.8846999999999996</v>
      </c>
      <c r="AF1749">
        <v>8.1617330843924307</v>
      </c>
      <c r="AG1749">
        <v>-1.0306194900000001</v>
      </c>
      <c r="AH1749">
        <v>32.762033367853299</v>
      </c>
      <c r="AI1749">
        <v>91.7483985860069</v>
      </c>
      <c r="AJ1749">
        <v>76.011129623602301</v>
      </c>
      <c r="AK1749">
        <v>33.7790895950493</v>
      </c>
      <c r="AL1749">
        <v>84.803984003504596</v>
      </c>
      <c r="AM1749">
        <v>82.720709763480897</v>
      </c>
      <c r="AN1749">
        <v>0.99999997599132895</v>
      </c>
    </row>
    <row r="1750" spans="1:40" x14ac:dyDescent="0.25">
      <c r="A1750" t="str">
        <f>"20190312150700762"</f>
        <v>20190312150700762</v>
      </c>
      <c r="B1750" t="str">
        <f>"1552374420752014"</f>
        <v>1552374420752014</v>
      </c>
      <c r="C1750" t="s">
        <v>40</v>
      </c>
      <c r="D1750">
        <v>4.269514</v>
      </c>
      <c r="E1750">
        <v>0.54357529999999998</v>
      </c>
      <c r="F1750" t="s">
        <v>49</v>
      </c>
      <c r="G1750">
        <v>-204.2424</v>
      </c>
      <c r="H1750">
        <v>6.8788420000000003E-2</v>
      </c>
      <c r="I1750">
        <v>359.58069999999998</v>
      </c>
      <c r="J1750">
        <v>-236.7372</v>
      </c>
      <c r="K1750">
        <v>1.110598</v>
      </c>
      <c r="L1750">
        <v>367.39499999999998</v>
      </c>
      <c r="M1750">
        <v>0.99987210000000004</v>
      </c>
      <c r="N1750">
        <v>0</v>
      </c>
      <c r="O1750">
        <v>8.5467459999999992E-3</v>
      </c>
      <c r="P1750">
        <v>0.99002349999999995</v>
      </c>
      <c r="Q1750">
        <v>7.7130699999999996E-2</v>
      </c>
      <c r="R1750">
        <v>-0.1179177</v>
      </c>
      <c r="S1750">
        <v>2.95343</v>
      </c>
      <c r="T1750">
        <v>-9.4394329999999999E-2</v>
      </c>
      <c r="U1750">
        <v>-0.70794679999999999</v>
      </c>
      <c r="V1750">
        <v>0.12641260000000001</v>
      </c>
      <c r="W1750">
        <v>9.0440339999999994E-2</v>
      </c>
      <c r="X1750">
        <v>0.98784629999999995</v>
      </c>
      <c r="Y1750">
        <v>0.24128289999999999</v>
      </c>
      <c r="Z1750">
        <v>-4.0704010000000004E-3</v>
      </c>
      <c r="AA1750">
        <v>0.97044629999999998</v>
      </c>
      <c r="AB1750">
        <v>20</v>
      </c>
      <c r="AC1750">
        <v>32.494799999999998</v>
      </c>
      <c r="AD1750">
        <v>-1.04180958</v>
      </c>
      <c r="AE1750">
        <v>-7.8143000000000002</v>
      </c>
      <c r="AF1750">
        <v>8.0839095667165708</v>
      </c>
      <c r="AG1750">
        <v>-1.04180958</v>
      </c>
      <c r="AH1750">
        <v>32.395341379765199</v>
      </c>
      <c r="AI1750">
        <v>91.787187464755604</v>
      </c>
      <c r="AJ1750">
        <v>75.988604745802903</v>
      </c>
      <c r="AK1750">
        <v>33.404986217559802</v>
      </c>
      <c r="AL1750">
        <v>84.8110597473122</v>
      </c>
      <c r="AM1750">
        <v>82.707614189199006</v>
      </c>
      <c r="AN1750">
        <v>0.99999995648088102</v>
      </c>
    </row>
    <row r="1751" spans="1:40" x14ac:dyDescent="0.25">
      <c r="A1751" t="str">
        <f>"20190312150700774"</f>
        <v>20190312150700774</v>
      </c>
      <c r="B1751" t="str">
        <f>"1552374420761774"</f>
        <v>1552374420761774</v>
      </c>
      <c r="C1751" t="s">
        <v>40</v>
      </c>
      <c r="D1751">
        <v>4.2904949999999999</v>
      </c>
      <c r="E1751">
        <v>0.54353949999999995</v>
      </c>
      <c r="F1751" t="s">
        <v>49</v>
      </c>
      <c r="G1751">
        <v>-204.2235</v>
      </c>
      <c r="H1751">
        <v>5.5867420000000001E-2</v>
      </c>
      <c r="I1751">
        <v>359.59359999999998</v>
      </c>
      <c r="J1751">
        <v>-236.64109999999999</v>
      </c>
      <c r="K1751">
        <v>1.11059</v>
      </c>
      <c r="L1751">
        <v>367.39569999999998</v>
      </c>
      <c r="M1751">
        <v>0.99987320000000002</v>
      </c>
      <c r="N1751">
        <v>0</v>
      </c>
      <c r="O1751">
        <v>8.4183480000000008E-3</v>
      </c>
      <c r="P1751">
        <v>0.9900023</v>
      </c>
      <c r="Q1751">
        <v>7.7066620000000002E-2</v>
      </c>
      <c r="R1751">
        <v>-0.1181368</v>
      </c>
      <c r="S1751">
        <v>2.9533079999999998</v>
      </c>
      <c r="T1751">
        <v>-9.5804100000000003E-2</v>
      </c>
      <c r="U1751">
        <v>-0.70861819999999998</v>
      </c>
      <c r="V1751">
        <v>0.1265067</v>
      </c>
      <c r="W1751">
        <v>9.0372419999999995E-2</v>
      </c>
      <c r="X1751">
        <v>0.98784050000000001</v>
      </c>
      <c r="Y1751">
        <v>0.24137239999999999</v>
      </c>
      <c r="Z1751">
        <v>-4.1285439999999996E-3</v>
      </c>
      <c r="AA1751">
        <v>0.97042379999999995</v>
      </c>
      <c r="AB1751">
        <v>20</v>
      </c>
      <c r="AC1751">
        <v>32.417599999999901</v>
      </c>
      <c r="AD1751">
        <v>-1.05472258</v>
      </c>
      <c r="AE1751">
        <v>-7.8020999999999896</v>
      </c>
      <c r="AF1751">
        <v>8.0666795429434099</v>
      </c>
      <c r="AG1751">
        <v>-1.05472258</v>
      </c>
      <c r="AH1751">
        <v>32.318426489377003</v>
      </c>
      <c r="AI1751">
        <v>91.8136019135937</v>
      </c>
      <c r="AJ1751">
        <v>75.985328251226704</v>
      </c>
      <c r="AK1751">
        <v>33.326632732974502</v>
      </c>
      <c r="AL1751">
        <v>84.814967434098804</v>
      </c>
      <c r="AM1751">
        <v>82.702201938203004</v>
      </c>
      <c r="AN1751">
        <v>0.99999998644089805</v>
      </c>
    </row>
    <row r="1752" spans="1:40" x14ac:dyDescent="0.25">
      <c r="A1752" t="str">
        <f>"20190312150700786"</f>
        <v>20190312150700786</v>
      </c>
      <c r="B1752" t="str">
        <f>"1552374420782270"</f>
        <v>1552374420782270</v>
      </c>
      <c r="C1752" t="s">
        <v>40</v>
      </c>
      <c r="D1752">
        <v>4.2914379999999896</v>
      </c>
      <c r="E1752">
        <v>0.54347570000000001</v>
      </c>
      <c r="F1752" t="s">
        <v>49</v>
      </c>
      <c r="G1752">
        <v>-204.18549999999999</v>
      </c>
      <c r="H1752">
        <v>3.3283229999999997E-2</v>
      </c>
      <c r="I1752">
        <v>359.59949999999998</v>
      </c>
      <c r="J1752">
        <v>-236.53110000000001</v>
      </c>
      <c r="K1752">
        <v>1.1105799999999999</v>
      </c>
      <c r="L1752">
        <v>367.39640000000003</v>
      </c>
      <c r="M1752">
        <v>0.99987470000000001</v>
      </c>
      <c r="N1752">
        <v>0</v>
      </c>
      <c r="O1752">
        <v>8.2674619999999997E-3</v>
      </c>
      <c r="P1752">
        <v>0.98995540000000004</v>
      </c>
      <c r="Q1752">
        <v>7.6949519999999993E-2</v>
      </c>
      <c r="R1752">
        <v>-0.1186073</v>
      </c>
      <c r="S1752">
        <v>2.9532929999999999</v>
      </c>
      <c r="T1752">
        <v>-9.8029140000000001E-2</v>
      </c>
      <c r="U1752">
        <v>-0.70941160000000003</v>
      </c>
      <c r="V1752">
        <v>0.12682939999999901</v>
      </c>
      <c r="W1752">
        <v>9.0250860000000002E-2</v>
      </c>
      <c r="X1752">
        <v>0.98781030000000003</v>
      </c>
      <c r="Y1752">
        <v>0.24146780000000001</v>
      </c>
      <c r="Z1752">
        <v>-4.2208899999999997E-3</v>
      </c>
      <c r="AA1752">
        <v>0.97039960000000003</v>
      </c>
      <c r="AB1752">
        <v>20</v>
      </c>
      <c r="AC1752">
        <v>32.345599999999997</v>
      </c>
      <c r="AD1752">
        <v>-1.07729676999999</v>
      </c>
      <c r="AE1752">
        <v>-7.7969000000000497</v>
      </c>
      <c r="AF1752">
        <v>8.05562865253731</v>
      </c>
      <c r="AG1752">
        <v>-1.07729676999999</v>
      </c>
      <c r="AH1752">
        <v>32.246222171209297</v>
      </c>
      <c r="AI1752">
        <v>91.8564422323267</v>
      </c>
      <c r="AJ1752">
        <v>75.973668514340702</v>
      </c>
      <c r="AK1752">
        <v>33.254662314226302</v>
      </c>
      <c r="AL1752">
        <v>84.821961225896501</v>
      </c>
      <c r="AM1752">
        <v>82.683566518972</v>
      </c>
      <c r="AN1752">
        <v>1.00000005161059</v>
      </c>
    </row>
    <row r="1753" spans="1:40" x14ac:dyDescent="0.25">
      <c r="A1753" t="str">
        <f>"20190312150700797"</f>
        <v>20190312150700797</v>
      </c>
      <c r="B1753" t="str">
        <f>"1552374420792030"</f>
        <v>1552374420792030</v>
      </c>
      <c r="C1753" t="s">
        <v>40</v>
      </c>
      <c r="D1753">
        <v>4.2727430000000002</v>
      </c>
      <c r="E1753">
        <v>0.54337380000000002</v>
      </c>
      <c r="F1753" t="s">
        <v>49</v>
      </c>
      <c r="G1753">
        <v>-204.11009999999999</v>
      </c>
      <c r="H1753">
        <v>8.7021670000000002E-3</v>
      </c>
      <c r="I1753">
        <v>359.59949999999998</v>
      </c>
      <c r="J1753">
        <v>-236.429</v>
      </c>
      <c r="K1753">
        <v>1.1105719999999999</v>
      </c>
      <c r="L1753">
        <v>367.39710000000002</v>
      </c>
      <c r="M1753">
        <v>0.99987579999999998</v>
      </c>
      <c r="N1753">
        <v>0</v>
      </c>
      <c r="O1753">
        <v>8.1155189999999999E-3</v>
      </c>
      <c r="P1753">
        <v>0.98993679999999995</v>
      </c>
      <c r="Q1753">
        <v>7.6906249999999995E-2</v>
      </c>
      <c r="R1753">
        <v>-0.1187879</v>
      </c>
      <c r="S1753">
        <v>2.9531399999999999</v>
      </c>
      <c r="T1753">
        <v>-0.1003671</v>
      </c>
      <c r="U1753">
        <v>-0.71020509999999903</v>
      </c>
      <c r="V1753">
        <v>0.12686159999999999</v>
      </c>
      <c r="W1753">
        <v>9.0203850000000002E-2</v>
      </c>
      <c r="X1753">
        <v>0.98781039999999998</v>
      </c>
      <c r="Y1753">
        <v>0.24157200000000001</v>
      </c>
      <c r="Z1753">
        <v>-4.3182350000000001E-3</v>
      </c>
      <c r="AA1753">
        <v>0.97037329999999999</v>
      </c>
      <c r="AB1753">
        <v>20</v>
      </c>
      <c r="AC1753">
        <v>32.318899999999999</v>
      </c>
      <c r="AD1753">
        <v>-1.1018698330000001</v>
      </c>
      <c r="AE1753">
        <v>-7.7976000000000401</v>
      </c>
      <c r="AF1753">
        <v>8.0508084521305801</v>
      </c>
      <c r="AG1753">
        <v>-1.1018698330000001</v>
      </c>
      <c r="AH1753">
        <v>32.219157453595599</v>
      </c>
      <c r="AI1753">
        <v>91.900323817592493</v>
      </c>
      <c r="AJ1753">
        <v>75.970419606068006</v>
      </c>
      <c r="AK1753">
        <v>33.228056531812904</v>
      </c>
      <c r="AL1753">
        <v>84.824665428535695</v>
      </c>
      <c r="AM1753">
        <v>82.681729858494904</v>
      </c>
      <c r="AN1753">
        <v>0.99999999322877098</v>
      </c>
    </row>
    <row r="1754" spans="1:40" x14ac:dyDescent="0.25">
      <c r="A1754" t="str">
        <f>"20190312150700808"</f>
        <v>20190312150700808</v>
      </c>
      <c r="B1754" t="str">
        <f>"1552374420801791"</f>
        <v>1552374420801791</v>
      </c>
      <c r="C1754" t="s">
        <v>40</v>
      </c>
      <c r="D1754">
        <v>4.2974309999999996</v>
      </c>
      <c r="E1754">
        <v>0.54335749999999905</v>
      </c>
      <c r="F1754" t="s">
        <v>49</v>
      </c>
      <c r="G1754">
        <v>-204.25800000000001</v>
      </c>
      <c r="H1754" s="1">
        <v>-4.7883450000000001E-6</v>
      </c>
      <c r="I1754">
        <v>359.6635</v>
      </c>
      <c r="J1754">
        <v>-236.3356</v>
      </c>
      <c r="K1754">
        <v>1.1105640000000001</v>
      </c>
      <c r="L1754">
        <v>367.39769999999999</v>
      </c>
      <c r="M1754">
        <v>0.99987700000000002</v>
      </c>
      <c r="N1754">
        <v>0</v>
      </c>
      <c r="O1754">
        <v>7.9730649999999997E-3</v>
      </c>
      <c r="P1754">
        <v>0.98988960000000004</v>
      </c>
      <c r="Q1754">
        <v>7.6798539999999998E-2</v>
      </c>
      <c r="R1754">
        <v>-0.1192508</v>
      </c>
      <c r="S1754">
        <v>2.9532470000000002</v>
      </c>
      <c r="T1754">
        <v>-0.1019495</v>
      </c>
      <c r="U1754">
        <v>-0.70993039999999996</v>
      </c>
      <c r="V1754">
        <v>0.12718460000000001</v>
      </c>
      <c r="W1754">
        <v>9.0092229999999995E-2</v>
      </c>
      <c r="X1754">
        <v>0.98777910000000002</v>
      </c>
      <c r="Y1754">
        <v>0.2413363</v>
      </c>
      <c r="Z1754">
        <v>-4.3773120000000004E-3</v>
      </c>
      <c r="AA1754">
        <v>0.97043170000000001</v>
      </c>
      <c r="AB1754">
        <v>20</v>
      </c>
      <c r="AC1754">
        <v>32.077599999999997</v>
      </c>
      <c r="AD1754">
        <v>-1.1105687883449999</v>
      </c>
      <c r="AE1754">
        <v>-7.73419999999998</v>
      </c>
      <c r="AF1754">
        <v>7.9806938468286397</v>
      </c>
      <c r="AG1754">
        <v>-1.1105687883449999</v>
      </c>
      <c r="AH1754">
        <v>31.978684402771002</v>
      </c>
      <c r="AI1754">
        <v>91.929849249122498</v>
      </c>
      <c r="AJ1754">
        <v>75.987328703759403</v>
      </c>
      <c r="AK1754">
        <v>32.978191179057802</v>
      </c>
      <c r="AL1754">
        <v>84.831087179046406</v>
      </c>
      <c r="AM1754">
        <v>82.6630697565258</v>
      </c>
      <c r="AN1754">
        <v>1.00000004139017</v>
      </c>
    </row>
    <row r="1755" spans="1:40" x14ac:dyDescent="0.25">
      <c r="A1755" t="str">
        <f>"20190312150700819"</f>
        <v>20190312150700819</v>
      </c>
      <c r="B1755" t="str">
        <f>"1552374420811551"</f>
        <v>1552374420811551</v>
      </c>
      <c r="C1755" t="s">
        <v>40</v>
      </c>
      <c r="D1755">
        <v>4.3153309999999996</v>
      </c>
      <c r="E1755">
        <v>0.54329050000000001</v>
      </c>
      <c r="F1755" t="s">
        <v>49</v>
      </c>
      <c r="G1755">
        <v>-204.55199999999999</v>
      </c>
      <c r="H1755" s="1">
        <v>-4.918371E-6</v>
      </c>
      <c r="I1755">
        <v>359.74439999999998</v>
      </c>
      <c r="J1755">
        <v>-236.22989999999999</v>
      </c>
      <c r="K1755">
        <v>1.110555</v>
      </c>
      <c r="L1755">
        <v>367.39839999999998</v>
      </c>
      <c r="M1755">
        <v>0.99987820000000005</v>
      </c>
      <c r="N1755">
        <v>0</v>
      </c>
      <c r="O1755">
        <v>7.8038359999999998E-3</v>
      </c>
      <c r="P1755">
        <v>0.98988339999999997</v>
      </c>
      <c r="Q1755">
        <v>7.6589909999999997E-2</v>
      </c>
      <c r="R1755">
        <v>-0.1194351</v>
      </c>
      <c r="S1755">
        <v>2.9529879999999999</v>
      </c>
      <c r="T1755">
        <v>-0.1031821</v>
      </c>
      <c r="U1755">
        <v>-0.71105959999999901</v>
      </c>
      <c r="V1755">
        <v>0.1272035</v>
      </c>
      <c r="W1755">
        <v>8.987995E-2</v>
      </c>
      <c r="X1755">
        <v>0.98779589999999995</v>
      </c>
      <c r="Y1755">
        <v>0.2415388</v>
      </c>
      <c r="Z1755">
        <v>-4.4280430000000004E-3</v>
      </c>
      <c r="AA1755">
        <v>0.9703811</v>
      </c>
      <c r="AB1755">
        <v>20</v>
      </c>
      <c r="AC1755">
        <v>31.677899999999902</v>
      </c>
      <c r="AD1755">
        <v>-1.110559918371</v>
      </c>
      <c r="AE1755">
        <v>-7.6539999999999901</v>
      </c>
      <c r="AF1755">
        <v>7.8918341363472297</v>
      </c>
      <c r="AG1755">
        <v>-1.110559918371</v>
      </c>
      <c r="AH1755">
        <v>31.580525989361998</v>
      </c>
      <c r="AI1755">
        <v>91.953993214171803</v>
      </c>
      <c r="AJ1755">
        <v>75.969387090881895</v>
      </c>
      <c r="AK1755">
        <v>32.570600410994501</v>
      </c>
      <c r="AL1755">
        <v>84.843298936732694</v>
      </c>
      <c r="AM1755">
        <v>82.662114791293504</v>
      </c>
      <c r="AN1755">
        <v>0.99999993794052899</v>
      </c>
    </row>
    <row r="1756" spans="1:40" x14ac:dyDescent="0.25">
      <c r="A1756" t="str">
        <f>"20190312150700830"</f>
        <v>20190312150700830</v>
      </c>
      <c r="B1756" t="str">
        <f>"1552374420822286"</f>
        <v>1552374420822286</v>
      </c>
      <c r="C1756" t="s">
        <v>40</v>
      </c>
      <c r="D1756">
        <v>4.3032890000000004</v>
      </c>
      <c r="E1756">
        <v>0.54331269999999998</v>
      </c>
      <c r="F1756" t="s">
        <v>49</v>
      </c>
      <c r="G1756">
        <v>-205.15530000000001</v>
      </c>
      <c r="H1756" s="1">
        <v>-5.1776150000000004E-6</v>
      </c>
      <c r="I1756">
        <v>359.91820000000001</v>
      </c>
      <c r="J1756">
        <v>-236.13630000000001</v>
      </c>
      <c r="K1756">
        <v>1.110549</v>
      </c>
      <c r="L1756">
        <v>367.39890000000003</v>
      </c>
      <c r="M1756">
        <v>0.99987959999999998</v>
      </c>
      <c r="N1756">
        <v>0</v>
      </c>
      <c r="O1756">
        <v>7.6475609999999998E-3</v>
      </c>
      <c r="P1756">
        <v>0.98988799999999999</v>
      </c>
      <c r="Q1756">
        <v>7.6337810000000006E-2</v>
      </c>
      <c r="R1756">
        <v>-0.119561</v>
      </c>
      <c r="S1756">
        <v>2.953049</v>
      </c>
      <c r="T1756">
        <v>-0.1055377</v>
      </c>
      <c r="U1756">
        <v>-0.71084590000000003</v>
      </c>
      <c r="V1756">
        <v>0.12717609999999999</v>
      </c>
      <c r="W1756">
        <v>8.9625410000000003E-2</v>
      </c>
      <c r="X1756">
        <v>0.9878226</v>
      </c>
      <c r="Y1756">
        <v>0.24130979999999999</v>
      </c>
      <c r="Z1756">
        <v>-4.5194780000000004E-3</v>
      </c>
      <c r="AA1756">
        <v>0.97043760000000001</v>
      </c>
      <c r="AB1756">
        <v>20</v>
      </c>
      <c r="AC1756">
        <v>30.980999999999899</v>
      </c>
      <c r="AD1756">
        <v>-1.1105541776150001</v>
      </c>
      <c r="AE1756">
        <v>-7.4807000000000103</v>
      </c>
      <c r="AF1756">
        <v>7.7080729996242399</v>
      </c>
      <c r="AG1756">
        <v>-1.1105541776150001</v>
      </c>
      <c r="AH1756">
        <v>30.88537952019</v>
      </c>
      <c r="AI1756">
        <v>91.998079416191999</v>
      </c>
      <c r="AJ1756">
        <v>75.986931391110502</v>
      </c>
      <c r="AK1756">
        <v>31.852070388832299</v>
      </c>
      <c r="AL1756">
        <v>84.857942330131905</v>
      </c>
      <c r="AM1756">
        <v>82.663874305972499</v>
      </c>
      <c r="AN1756">
        <v>0.99999998179981797</v>
      </c>
    </row>
    <row r="1757" spans="1:40" x14ac:dyDescent="0.25">
      <c r="A1757" t="str">
        <f>"20190312150700840"</f>
        <v>20190312150700840</v>
      </c>
      <c r="B1757" t="str">
        <f>"1552374420832046"</f>
        <v>1552374420832046</v>
      </c>
      <c r="C1757" t="s">
        <v>40</v>
      </c>
      <c r="D1757">
        <v>4.2733949999999998</v>
      </c>
      <c r="E1757">
        <v>0.5433268</v>
      </c>
      <c r="F1757" t="s">
        <v>49</v>
      </c>
      <c r="G1757">
        <v>-205.3819</v>
      </c>
      <c r="H1757" s="1">
        <v>-5.2428979999999998E-6</v>
      </c>
      <c r="I1757">
        <v>359.98880000000003</v>
      </c>
      <c r="J1757">
        <v>-236.0385</v>
      </c>
      <c r="K1757">
        <v>1.1105389999999999</v>
      </c>
      <c r="L1757">
        <v>367.39949999999999</v>
      </c>
      <c r="M1757">
        <v>0.99988069999999896</v>
      </c>
      <c r="N1757">
        <v>0</v>
      </c>
      <c r="O1757">
        <v>7.4789449999999999E-3</v>
      </c>
      <c r="P1757">
        <v>0.98985400000000001</v>
      </c>
      <c r="Q1757">
        <v>7.6307070000000005E-2</v>
      </c>
      <c r="R1757">
        <v>-0.11986040000000001</v>
      </c>
      <c r="S1757">
        <v>2.9529109999999998</v>
      </c>
      <c r="T1757">
        <v>-0.10663060000000001</v>
      </c>
      <c r="U1757">
        <v>-0.71148679999999997</v>
      </c>
      <c r="V1757">
        <v>0.12731010000000001</v>
      </c>
      <c r="W1757">
        <v>8.9591210000000004E-2</v>
      </c>
      <c r="X1757">
        <v>0.98780849999999998</v>
      </c>
      <c r="Y1757">
        <v>0.24135239999999999</v>
      </c>
      <c r="Z1757">
        <v>-4.5610970000000001E-3</v>
      </c>
      <c r="AA1757">
        <v>0.97042680000000003</v>
      </c>
      <c r="AB1757">
        <v>20</v>
      </c>
      <c r="AC1757">
        <v>30.656600000000001</v>
      </c>
      <c r="AD1757">
        <v>-1.1105442428979999</v>
      </c>
      <c r="AE1757">
        <v>-7.4106999999999603</v>
      </c>
      <c r="AF1757">
        <v>7.6303324071423297</v>
      </c>
      <c r="AG1757">
        <v>-1.1105442428979999</v>
      </c>
      <c r="AH1757">
        <v>30.562421174657501</v>
      </c>
      <c r="AI1757">
        <v>92.019113664904694</v>
      </c>
      <c r="AJ1757">
        <v>75.981883817074106</v>
      </c>
      <c r="AK1757">
        <v>31.520102620646298</v>
      </c>
      <c r="AL1757">
        <v>84.859910058388195</v>
      </c>
      <c r="AM1757">
        <v>82.656125200869297</v>
      </c>
      <c r="AN1757">
        <v>1.0000000395717601</v>
      </c>
    </row>
    <row r="1758" spans="1:40" x14ac:dyDescent="0.25">
      <c r="A1758" t="str">
        <f>"20190312150700852"</f>
        <v>20190312150700852</v>
      </c>
      <c r="B1758" t="str">
        <f>"1552374420841806"</f>
        <v>1552374420841806</v>
      </c>
      <c r="C1758" t="s">
        <v>40</v>
      </c>
      <c r="D1758">
        <v>4.2775780000000001</v>
      </c>
      <c r="E1758">
        <v>0.54328540000000003</v>
      </c>
      <c r="F1758" t="s">
        <v>49</v>
      </c>
      <c r="G1758">
        <v>-205.67850000000001</v>
      </c>
      <c r="H1758" s="1">
        <v>-5.3293629999999998E-6</v>
      </c>
      <c r="I1758">
        <v>360.07089999999999</v>
      </c>
      <c r="J1758">
        <v>-235.9417</v>
      </c>
      <c r="K1758">
        <v>1.1105309999999999</v>
      </c>
      <c r="L1758">
        <v>367.4</v>
      </c>
      <c r="M1758">
        <v>0.99988200000000005</v>
      </c>
      <c r="N1758">
        <v>0</v>
      </c>
      <c r="O1758">
        <v>7.3040090000000002E-3</v>
      </c>
      <c r="P1758">
        <v>0.989842</v>
      </c>
      <c r="Q1758">
        <v>7.6418249999999993E-2</v>
      </c>
      <c r="R1758">
        <v>-0.1198887</v>
      </c>
      <c r="S1758">
        <v>2.9527739999999998</v>
      </c>
      <c r="T1758">
        <v>-0.1080102</v>
      </c>
      <c r="U1758">
        <v>-0.71276859999999997</v>
      </c>
      <c r="V1758">
        <v>0.12716710000000001</v>
      </c>
      <c r="W1758">
        <v>8.9699020000000004E-2</v>
      </c>
      <c r="X1758">
        <v>0.9878171</v>
      </c>
      <c r="Y1758">
        <v>0.241587</v>
      </c>
      <c r="Z1758">
        <v>-4.6179680000000001E-3</v>
      </c>
      <c r="AA1758">
        <v>0.97036820000000001</v>
      </c>
      <c r="AB1758">
        <v>20</v>
      </c>
      <c r="AC1758">
        <v>30.263199999999902</v>
      </c>
      <c r="AD1758">
        <v>-1.110536329363</v>
      </c>
      <c r="AE1758">
        <v>-7.32909999999998</v>
      </c>
      <c r="AF1758">
        <v>7.5403760635856401</v>
      </c>
      <c r="AG1758">
        <v>-1.110536329363</v>
      </c>
      <c r="AH1758">
        <v>30.170479383320799</v>
      </c>
      <c r="AI1758">
        <v>92.045181309856602</v>
      </c>
      <c r="AJ1758">
        <v>75.9677670437854</v>
      </c>
      <c r="AK1758">
        <v>31.1182966811892</v>
      </c>
      <c r="AL1758">
        <v>84.8537078477557</v>
      </c>
      <c r="AM1758">
        <v>82.664347415451999</v>
      </c>
      <c r="AN1758">
        <v>1.00000000428189</v>
      </c>
    </row>
    <row r="1759" spans="1:40" x14ac:dyDescent="0.25">
      <c r="A1759" t="str">
        <f>"20190312150700865"</f>
        <v>20190312150700865</v>
      </c>
      <c r="B1759" t="str">
        <f>"1552374420862303"</f>
        <v>1552374420862303</v>
      </c>
      <c r="C1759" t="s">
        <v>40</v>
      </c>
      <c r="D1759">
        <v>4.2469769999999896</v>
      </c>
      <c r="E1759">
        <v>0.54329259999999902</v>
      </c>
      <c r="F1759" t="s">
        <v>49</v>
      </c>
      <c r="G1759">
        <v>-205.8587</v>
      </c>
      <c r="H1759" s="1">
        <v>-5.3786849999999996E-6</v>
      </c>
      <c r="I1759">
        <v>360.14139999999998</v>
      </c>
      <c r="J1759">
        <v>-235.8246</v>
      </c>
      <c r="K1759">
        <v>1.110514</v>
      </c>
      <c r="L1759">
        <v>367.4006</v>
      </c>
      <c r="M1759">
        <v>0.99988379999999999</v>
      </c>
      <c r="N1759">
        <v>0</v>
      </c>
      <c r="O1759">
        <v>7.0868459999999999E-3</v>
      </c>
      <c r="P1759">
        <v>0.98982579999999998</v>
      </c>
      <c r="Q1759">
        <v>7.6270539999999998E-2</v>
      </c>
      <c r="R1759">
        <v>-0.120117</v>
      </c>
      <c r="S1759">
        <v>2.9529109999999998</v>
      </c>
      <c r="T1759">
        <v>-0.1090088</v>
      </c>
      <c r="U1759">
        <v>-0.71249390000000001</v>
      </c>
      <c r="V1759">
        <v>0.127182399999999</v>
      </c>
      <c r="W1759">
        <v>8.9547509999999997E-2</v>
      </c>
      <c r="X1759">
        <v>0.98782890000000001</v>
      </c>
      <c r="Y1759">
        <v>0.2412781</v>
      </c>
      <c r="Z1759">
        <v>-4.6469520000000002E-3</v>
      </c>
      <c r="AA1759">
        <v>0.97044490000000005</v>
      </c>
      <c r="AB1759">
        <v>20</v>
      </c>
      <c r="AC1759">
        <v>29.965900000000001</v>
      </c>
      <c r="AD1759">
        <v>-1.1105193786849901</v>
      </c>
      <c r="AE1759">
        <v>-7.2592000000000203</v>
      </c>
      <c r="AF1759">
        <v>7.4617208543967699</v>
      </c>
      <c r="AG1759">
        <v>-1.1105193786849901</v>
      </c>
      <c r="AH1759">
        <v>29.874941909020599</v>
      </c>
      <c r="AI1759">
        <v>92.065442159772601</v>
      </c>
      <c r="AJ1759">
        <v>75.976418900257599</v>
      </c>
      <c r="AK1759">
        <v>30.812703313191001</v>
      </c>
      <c r="AL1759">
        <v>84.862423926427098</v>
      </c>
      <c r="AM1759">
        <v>82.6635611306166</v>
      </c>
      <c r="AN1759">
        <v>1.0000000275460801</v>
      </c>
    </row>
    <row r="1760" spans="1:40" x14ac:dyDescent="0.25">
      <c r="A1760" t="str">
        <f>"20190312150700878"</f>
        <v>20190312150700878</v>
      </c>
      <c r="B1760" t="str">
        <f>"1552374420872062"</f>
        <v>1552374420872062</v>
      </c>
      <c r="C1760" t="s">
        <v>40</v>
      </c>
      <c r="D1760">
        <v>4.289415</v>
      </c>
      <c r="E1760">
        <v>0.54333809999999905</v>
      </c>
      <c r="F1760" t="s">
        <v>49</v>
      </c>
      <c r="G1760">
        <v>-206.42850000000001</v>
      </c>
      <c r="H1760" s="1">
        <v>-5.5445370000000004E-6</v>
      </c>
      <c r="I1760">
        <v>360.30070000000001</v>
      </c>
      <c r="J1760">
        <v>-235.6962</v>
      </c>
      <c r="K1760">
        <v>1.1105050000000001</v>
      </c>
      <c r="L1760">
        <v>367.40129999999999</v>
      </c>
      <c r="M1760">
        <v>0.99988549999999998</v>
      </c>
      <c r="N1760">
        <v>0</v>
      </c>
      <c r="O1760">
        <v>6.8319890000000001E-3</v>
      </c>
      <c r="P1760">
        <v>0.98984459999999996</v>
      </c>
      <c r="Q1760">
        <v>7.6090630000000006E-2</v>
      </c>
      <c r="R1760">
        <v>-0.1200759</v>
      </c>
      <c r="S1760">
        <v>2.9528500000000002</v>
      </c>
      <c r="T1760">
        <v>-0.1115522</v>
      </c>
      <c r="U1760">
        <v>-0.71319580000000005</v>
      </c>
      <c r="V1760">
        <v>0.12689149999999999</v>
      </c>
      <c r="W1760">
        <v>8.9364189999999996E-2</v>
      </c>
      <c r="X1760">
        <v>0.98788290000000001</v>
      </c>
      <c r="Y1760">
        <v>0.24124590000000001</v>
      </c>
      <c r="Z1760">
        <v>-4.7451730000000001E-3</v>
      </c>
      <c r="AA1760">
        <v>0.97045239999999999</v>
      </c>
      <c r="AB1760">
        <v>20</v>
      </c>
      <c r="AC1760">
        <v>29.267699999999898</v>
      </c>
      <c r="AD1760">
        <v>-1.1105105445369901</v>
      </c>
      <c r="AE1760">
        <v>-7.1005999999999796</v>
      </c>
      <c r="AF1760">
        <v>7.2904964975834199</v>
      </c>
      <c r="AG1760">
        <v>-1.1105105445369901</v>
      </c>
      <c r="AH1760">
        <v>29.178827912685001</v>
      </c>
      <c r="AI1760">
        <v>92.1146110572449</v>
      </c>
      <c r="AJ1760">
        <v>75.971538192288406</v>
      </c>
      <c r="AK1760">
        <v>30.096321556111999</v>
      </c>
      <c r="AL1760">
        <v>84.872969617787803</v>
      </c>
      <c r="AM1760">
        <v>82.680555103108304</v>
      </c>
      <c r="AN1760">
        <v>1.0000000176695001</v>
      </c>
    </row>
    <row r="1761" spans="1:40" x14ac:dyDescent="0.25">
      <c r="A1761" t="str">
        <f>"20190312150700892"</f>
        <v>20190312150700892</v>
      </c>
      <c r="B1761" t="str">
        <f>"1552374420881824"</f>
        <v>1552374420881824</v>
      </c>
      <c r="C1761" t="s">
        <v>40</v>
      </c>
      <c r="D1761">
        <v>4.2785679999999999</v>
      </c>
      <c r="E1761">
        <v>0.54337199999999997</v>
      </c>
      <c r="F1761" t="s">
        <v>49</v>
      </c>
      <c r="G1761">
        <v>-206.64400000000001</v>
      </c>
      <c r="H1761" s="1">
        <v>-5.6041360000000004E-6</v>
      </c>
      <c r="I1761">
        <v>360.3811</v>
      </c>
      <c r="J1761">
        <v>-235.5823</v>
      </c>
      <c r="K1761">
        <v>1.110495</v>
      </c>
      <c r="L1761">
        <v>367.40179999999998</v>
      </c>
      <c r="M1761">
        <v>0.99988719999999998</v>
      </c>
      <c r="N1761">
        <v>0</v>
      </c>
      <c r="O1761">
        <v>6.59664E-3</v>
      </c>
      <c r="P1761">
        <v>0.98979039999999996</v>
      </c>
      <c r="Q1761">
        <v>7.6209789999999999E-2</v>
      </c>
      <c r="R1761">
        <v>-0.1204467</v>
      </c>
      <c r="S1761">
        <v>2.9528810000000001</v>
      </c>
      <c r="T1761">
        <v>-0.1128731</v>
      </c>
      <c r="U1761">
        <v>-0.71353149999999999</v>
      </c>
      <c r="V1761">
        <v>0.12703139999999999</v>
      </c>
      <c r="W1761">
        <v>8.9478660000000002E-2</v>
      </c>
      <c r="X1761">
        <v>0.98785449999999997</v>
      </c>
      <c r="Y1761">
        <v>0.24111569999999999</v>
      </c>
      <c r="Z1761">
        <v>-4.7898890000000003E-3</v>
      </c>
      <c r="AA1761">
        <v>0.97048460000000003</v>
      </c>
      <c r="AB1761">
        <v>20</v>
      </c>
      <c r="AC1761">
        <v>28.938300000000002</v>
      </c>
      <c r="AD1761">
        <v>-1.1105006041359999</v>
      </c>
      <c r="AE1761">
        <v>-7.0206999999999704</v>
      </c>
      <c r="AF1761">
        <v>7.2014446359437496</v>
      </c>
      <c r="AG1761">
        <v>-1.1105006041359999</v>
      </c>
      <c r="AH1761">
        <v>28.851227758013</v>
      </c>
      <c r="AI1761">
        <v>92.138706092154806</v>
      </c>
      <c r="AJ1761">
        <v>75.984995627098897</v>
      </c>
      <c r="AK1761">
        <v>29.757139640447502</v>
      </c>
      <c r="AL1761">
        <v>84.866384293663202</v>
      </c>
      <c r="AM1761">
        <v>82.672364579247201</v>
      </c>
      <c r="AN1761">
        <v>0.99999996017580195</v>
      </c>
    </row>
    <row r="1762" spans="1:40" x14ac:dyDescent="0.25">
      <c r="A1762" t="str">
        <f>"20190312150700907"</f>
        <v>20190312150700907</v>
      </c>
      <c r="B1762" t="str">
        <f>"1552374420902318"</f>
        <v>1552374420902318</v>
      </c>
      <c r="C1762" t="s">
        <v>40</v>
      </c>
      <c r="D1762">
        <v>4.2731430000000001</v>
      </c>
      <c r="E1762">
        <v>0.54345049999999995</v>
      </c>
      <c r="F1762" t="s">
        <v>49</v>
      </c>
      <c r="G1762">
        <v>-206.6474</v>
      </c>
      <c r="H1762" s="1">
        <v>-5.6029649999999996E-6</v>
      </c>
      <c r="I1762">
        <v>360.39569999999998</v>
      </c>
      <c r="J1762">
        <v>-235.4521</v>
      </c>
      <c r="K1762">
        <v>1.1104830000000001</v>
      </c>
      <c r="L1762">
        <v>367.40230000000003</v>
      </c>
      <c r="M1762">
        <v>0.99988880000000002</v>
      </c>
      <c r="N1762">
        <v>0</v>
      </c>
      <c r="O1762">
        <v>6.3178150000000001E-3</v>
      </c>
      <c r="P1762">
        <v>0.9897937</v>
      </c>
      <c r="Q1762">
        <v>7.5986999999999999E-2</v>
      </c>
      <c r="R1762">
        <v>-0.12055970000000001</v>
      </c>
      <c r="S1762">
        <v>2.9526819999999998</v>
      </c>
      <c r="T1762">
        <v>-0.11332150000000001</v>
      </c>
      <c r="U1762">
        <v>-0.71493530000000005</v>
      </c>
      <c r="V1762">
        <v>0.12687100000000001</v>
      </c>
      <c r="W1762">
        <v>8.9252120000000004E-2</v>
      </c>
      <c r="X1762">
        <v>0.98789570000000004</v>
      </c>
      <c r="Y1762">
        <v>0.2412946</v>
      </c>
      <c r="Z1762">
        <v>-4.8017889999999999E-3</v>
      </c>
      <c r="AA1762">
        <v>0.97043999999999997</v>
      </c>
      <c r="AB1762">
        <v>20</v>
      </c>
      <c r="AC1762">
        <v>28.8047</v>
      </c>
      <c r="AD1762">
        <v>-1.1104886029649901</v>
      </c>
      <c r="AE1762">
        <v>-7.0066000000000397</v>
      </c>
      <c r="AF1762">
        <v>7.17838640467843</v>
      </c>
      <c r="AG1762">
        <v>-1.1104886029649901</v>
      </c>
      <c r="AH1762">
        <v>28.719553724300798</v>
      </c>
      <c r="AI1762">
        <v>92.148306968443407</v>
      </c>
      <c r="AJ1762">
        <v>75.966576855505906</v>
      </c>
      <c r="AK1762">
        <v>29.623895463547399</v>
      </c>
      <c r="AL1762">
        <v>84.879416697702595</v>
      </c>
      <c r="AM1762">
        <v>82.681818572007501</v>
      </c>
      <c r="AN1762">
        <v>1.0000000528219899</v>
      </c>
    </row>
    <row r="1763" spans="1:40" x14ac:dyDescent="0.25">
      <c r="A1763" t="str">
        <f>"20190312150700918"</f>
        <v>20190312150700918</v>
      </c>
      <c r="B1763" t="str">
        <f>"1552374420912079"</f>
        <v>1552374420912079</v>
      </c>
      <c r="C1763" t="s">
        <v>40</v>
      </c>
      <c r="D1763">
        <v>4.2605079999999997</v>
      </c>
      <c r="E1763">
        <v>0.54345949999999998</v>
      </c>
      <c r="F1763" t="s">
        <v>49</v>
      </c>
      <c r="G1763">
        <v>-206.92169999999999</v>
      </c>
      <c r="H1763" s="1">
        <v>-5.6801239999999999E-6</v>
      </c>
      <c r="I1763">
        <v>360.4898</v>
      </c>
      <c r="J1763">
        <v>-235.34059999999999</v>
      </c>
      <c r="K1763">
        <v>1.1104719999999999</v>
      </c>
      <c r="L1763">
        <v>367.40269999999998</v>
      </c>
      <c r="M1763">
        <v>0.99989039999999996</v>
      </c>
      <c r="N1763">
        <v>0</v>
      </c>
      <c r="O1763">
        <v>6.0643959999999997E-3</v>
      </c>
      <c r="P1763">
        <v>0.98976050000000004</v>
      </c>
      <c r="Q1763">
        <v>7.6057810000000003E-2</v>
      </c>
      <c r="R1763">
        <v>-0.12078709999999999</v>
      </c>
      <c r="S1763">
        <v>2.9526520000000001</v>
      </c>
      <c r="T1763">
        <v>-0.1149261</v>
      </c>
      <c r="U1763">
        <v>-0.7153931</v>
      </c>
      <c r="V1763">
        <v>0.12684999999999999</v>
      </c>
      <c r="W1763">
        <v>8.9318120000000001E-2</v>
      </c>
      <c r="X1763">
        <v>0.9878924</v>
      </c>
      <c r="Y1763">
        <v>0.2411884</v>
      </c>
      <c r="Z1763">
        <v>-4.8579319999999997E-3</v>
      </c>
      <c r="AA1763">
        <v>0.9704661</v>
      </c>
      <c r="AB1763">
        <v>20</v>
      </c>
      <c r="AC1763">
        <v>28.418900000000001</v>
      </c>
      <c r="AD1763">
        <v>-1.1104776801239999</v>
      </c>
      <c r="AE1763">
        <v>-6.9128999999999703</v>
      </c>
      <c r="AF1763">
        <v>7.0749329495208597</v>
      </c>
      <c r="AG1763">
        <v>-1.1104776801239999</v>
      </c>
      <c r="AH1763">
        <v>28.3356028504144</v>
      </c>
      <c r="AI1763">
        <v>92.177502694898493</v>
      </c>
      <c r="AJ1763">
        <v>75.980824337841298</v>
      </c>
      <c r="AK1763">
        <v>29.226601338757799</v>
      </c>
      <c r="AL1763">
        <v>84.875619852069406</v>
      </c>
      <c r="AM1763">
        <v>82.682992590065098</v>
      </c>
      <c r="AN1763">
        <v>1.0000000215190401</v>
      </c>
    </row>
    <row r="1764" spans="1:40" x14ac:dyDescent="0.25">
      <c r="A1764" t="str">
        <f>"20190312150700930"</f>
        <v>20190312150700930</v>
      </c>
      <c r="B1764" t="str">
        <f>"1552374420921839"</f>
        <v>1552374420921839</v>
      </c>
      <c r="C1764" t="s">
        <v>40</v>
      </c>
      <c r="D1764">
        <v>4.3365929999999997</v>
      </c>
      <c r="E1764">
        <v>0.5433791</v>
      </c>
      <c r="F1764" t="s">
        <v>49</v>
      </c>
      <c r="G1764">
        <v>-207.12020000000001</v>
      </c>
      <c r="H1764" s="1">
        <v>-5.7363999999999998E-6</v>
      </c>
      <c r="I1764">
        <v>360.5548</v>
      </c>
      <c r="J1764">
        <v>-235.24100000000001</v>
      </c>
      <c r="K1764">
        <v>1.1104670000000001</v>
      </c>
      <c r="L1764">
        <v>367.40309999999999</v>
      </c>
      <c r="M1764">
        <v>0.999892</v>
      </c>
      <c r="N1764">
        <v>0</v>
      </c>
      <c r="O1764">
        <v>5.8294669999999996E-3</v>
      </c>
      <c r="P1764">
        <v>0.98971560000000003</v>
      </c>
      <c r="Q1764">
        <v>7.6239650000000006E-2</v>
      </c>
      <c r="R1764">
        <v>-0.121041</v>
      </c>
      <c r="S1764">
        <v>2.9525450000000002</v>
      </c>
      <c r="T1764">
        <v>-0.1161833</v>
      </c>
      <c r="U1764">
        <v>-0.71646119999999902</v>
      </c>
      <c r="V1764">
        <v>0.12687329999999999</v>
      </c>
      <c r="W1764">
        <v>8.9496690000000004E-2</v>
      </c>
      <c r="X1764">
        <v>0.98787329999999995</v>
      </c>
      <c r="Y1764">
        <v>0.24129629999999999</v>
      </c>
      <c r="Z1764">
        <v>-4.9039790000000002E-3</v>
      </c>
      <c r="AA1764">
        <v>0.9704391</v>
      </c>
      <c r="AB1764">
        <v>20</v>
      </c>
      <c r="AC1764">
        <v>28.1207999999999</v>
      </c>
      <c r="AD1764">
        <v>-1.1104727364</v>
      </c>
      <c r="AE1764">
        <v>-6.8482999999999903</v>
      </c>
      <c r="AF1764">
        <v>7.0018204066042804</v>
      </c>
      <c r="AG1764">
        <v>-1.1104727364</v>
      </c>
      <c r="AH1764">
        <v>28.039120036650498</v>
      </c>
      <c r="AI1764">
        <v>92.200478235297197</v>
      </c>
      <c r="AJ1764">
        <v>75.979065633335395</v>
      </c>
      <c r="AK1764">
        <v>28.921460736524399</v>
      </c>
      <c r="AL1764">
        <v>84.8653476770113</v>
      </c>
      <c r="AM1764">
        <v>82.681523198000306</v>
      </c>
      <c r="AN1764">
        <v>1.0000000743133599</v>
      </c>
    </row>
    <row r="1765" spans="1:40" x14ac:dyDescent="0.25">
      <c r="A1765" t="str">
        <f>"20190312150700941"</f>
        <v>20190312150700941</v>
      </c>
      <c r="B1765" t="str">
        <f>"1552374420931599"</f>
        <v>1552374420931599</v>
      </c>
      <c r="C1765" t="s">
        <v>40</v>
      </c>
      <c r="D1765">
        <v>4.3277789999999996</v>
      </c>
      <c r="E1765">
        <v>0.54329550000000004</v>
      </c>
      <c r="F1765" t="s">
        <v>49</v>
      </c>
      <c r="G1765">
        <v>-207.45670000000001</v>
      </c>
      <c r="H1765" s="1">
        <v>-5.832919E-6</v>
      </c>
      <c r="I1765">
        <v>360.65800000000002</v>
      </c>
      <c r="J1765">
        <v>-235.1362</v>
      </c>
      <c r="K1765">
        <v>1.1104579999999999</v>
      </c>
      <c r="L1765">
        <v>367.40350000000001</v>
      </c>
      <c r="M1765">
        <v>0.99989329999999998</v>
      </c>
      <c r="N1765">
        <v>0</v>
      </c>
      <c r="O1765">
        <v>5.5747979999999997E-3</v>
      </c>
      <c r="P1765">
        <v>0.98964850000000004</v>
      </c>
      <c r="Q1765">
        <v>7.6517870000000002E-2</v>
      </c>
      <c r="R1765">
        <v>-0.12141150000000001</v>
      </c>
      <c r="S1765">
        <v>2.952591</v>
      </c>
      <c r="T1765">
        <v>-0.1180081</v>
      </c>
      <c r="U1765">
        <v>-0.71679689999999996</v>
      </c>
      <c r="V1765">
        <v>0.1269941</v>
      </c>
      <c r="W1765">
        <v>8.9769769999999999E-2</v>
      </c>
      <c r="X1765">
        <v>0.98783290000000001</v>
      </c>
      <c r="Y1765">
        <v>0.24114440000000001</v>
      </c>
      <c r="Z1765">
        <v>-4.9677799999999998E-3</v>
      </c>
      <c r="AA1765">
        <v>0.97047649999999996</v>
      </c>
      <c r="AB1765">
        <v>20</v>
      </c>
      <c r="AC1765">
        <v>27.679499999999901</v>
      </c>
      <c r="AD1765">
        <v>-1.110463832919</v>
      </c>
      <c r="AE1765">
        <v>-6.7454999999999901</v>
      </c>
      <c r="AF1765">
        <v>6.8892501796926</v>
      </c>
      <c r="AG1765">
        <v>-1.110463832919</v>
      </c>
      <c r="AH1765">
        <v>27.599530279376602</v>
      </c>
      <c r="AI1765">
        <v>92.235526226658806</v>
      </c>
      <c r="AJ1765">
        <v>75.984532547372794</v>
      </c>
      <c r="AK1765">
        <v>28.468034171766099</v>
      </c>
      <c r="AL1765">
        <v>84.849637603810606</v>
      </c>
      <c r="AM1765">
        <v>82.674334365110596</v>
      </c>
      <c r="AN1765">
        <v>0.99999997568153598</v>
      </c>
    </row>
    <row r="1766" spans="1:40" x14ac:dyDescent="0.25">
      <c r="A1766" t="str">
        <f>"20190312150700955"</f>
        <v>20190312150700955</v>
      </c>
      <c r="B1766" t="str">
        <f>"1552374420952095"</f>
        <v>1552374420952095</v>
      </c>
      <c r="C1766" t="s">
        <v>40</v>
      </c>
      <c r="D1766">
        <v>4.3566269999999996</v>
      </c>
      <c r="E1766">
        <v>0.54315970000000002</v>
      </c>
      <c r="F1766" t="s">
        <v>49</v>
      </c>
      <c r="G1766">
        <v>-207.7587</v>
      </c>
      <c r="H1766" s="1">
        <v>-5.9191300000000002E-6</v>
      </c>
      <c r="I1766">
        <v>360.75319999999999</v>
      </c>
      <c r="J1766">
        <v>-235.02780000000001</v>
      </c>
      <c r="K1766">
        <v>1.110447</v>
      </c>
      <c r="L1766">
        <v>367.40370000000001</v>
      </c>
      <c r="M1766">
        <v>0.99989490000000003</v>
      </c>
      <c r="N1766">
        <v>0</v>
      </c>
      <c r="O1766">
        <v>5.2938780000000001E-3</v>
      </c>
      <c r="P1766">
        <v>0.98958159999999895</v>
      </c>
      <c r="Q1766">
        <v>7.6868140000000001E-2</v>
      </c>
      <c r="R1766">
        <v>-0.12173639999999999</v>
      </c>
      <c r="S1766">
        <v>2.9526520000000001</v>
      </c>
      <c r="T1766">
        <v>-0.1197628</v>
      </c>
      <c r="U1766">
        <v>-0.71722410000000003</v>
      </c>
      <c r="V1766">
        <v>0.1270433</v>
      </c>
      <c r="W1766">
        <v>9.0115020000000004E-2</v>
      </c>
      <c r="X1766">
        <v>0.98779519999999998</v>
      </c>
      <c r="Y1766">
        <v>0.2409946</v>
      </c>
      <c r="Z1766">
        <v>-5.0271789999999997E-3</v>
      </c>
      <c r="AA1766">
        <v>0.97051350000000003</v>
      </c>
      <c r="AB1766">
        <v>20</v>
      </c>
      <c r="AC1766">
        <v>27.269100000000002</v>
      </c>
      <c r="AD1766">
        <v>-1.1104529191300001</v>
      </c>
      <c r="AE1766">
        <v>-6.6505000000000196</v>
      </c>
      <c r="AF1766">
        <v>6.7841607524027498</v>
      </c>
      <c r="AG1766">
        <v>-1.1104529191300001</v>
      </c>
      <c r="AH1766">
        <v>27.190948763078101</v>
      </c>
      <c r="AI1766">
        <v>92.269121701014498</v>
      </c>
      <c r="AJ1766">
        <v>75.990684660971795</v>
      </c>
      <c r="AK1766">
        <v>28.046490643864601</v>
      </c>
      <c r="AL1766">
        <v>84.829776052597495</v>
      </c>
      <c r="AM1766">
        <v>82.671250449711394</v>
      </c>
      <c r="AN1766">
        <v>1.0000000370237601</v>
      </c>
    </row>
    <row r="1767" spans="1:40" x14ac:dyDescent="0.25">
      <c r="A1767" t="str">
        <f>"20190312150700972"</f>
        <v>20190312150700972</v>
      </c>
      <c r="B1767" t="str">
        <f>"1552374420961854"</f>
        <v>1552374420961854</v>
      </c>
      <c r="C1767" t="s">
        <v>40</v>
      </c>
      <c r="D1767">
        <v>4.3352789999999999</v>
      </c>
      <c r="E1767">
        <v>0.54314289999999998</v>
      </c>
      <c r="F1767" t="s">
        <v>49</v>
      </c>
      <c r="G1767">
        <v>-208.55260000000001</v>
      </c>
      <c r="H1767" s="1">
        <v>-6.1506820000000002E-6</v>
      </c>
      <c r="I1767">
        <v>360.97230000000002</v>
      </c>
      <c r="J1767">
        <v>-234.86070000000001</v>
      </c>
      <c r="K1767">
        <v>1.110428</v>
      </c>
      <c r="L1767">
        <v>367.40410000000003</v>
      </c>
      <c r="M1767">
        <v>0.99989720000000004</v>
      </c>
      <c r="N1767">
        <v>0</v>
      </c>
      <c r="O1767">
        <v>4.8376419999999996E-3</v>
      </c>
      <c r="P1767">
        <v>0.98947529999999995</v>
      </c>
      <c r="Q1767">
        <v>7.7193070000000003E-2</v>
      </c>
      <c r="R1767">
        <v>-0.122393</v>
      </c>
      <c r="S1767">
        <v>2.9529570000000001</v>
      </c>
      <c r="T1767">
        <v>-0.1238561</v>
      </c>
      <c r="U1767">
        <v>-0.71734619999999905</v>
      </c>
      <c r="V1767">
        <v>0.127253</v>
      </c>
      <c r="W1767">
        <v>9.0431789999999998E-2</v>
      </c>
      <c r="X1767">
        <v>0.98773920000000004</v>
      </c>
      <c r="Y1767">
        <v>0.24055409999999999</v>
      </c>
      <c r="Z1767">
        <v>-5.1703469999999996E-3</v>
      </c>
      <c r="AA1767">
        <v>0.97062190000000004</v>
      </c>
      <c r="AB1767">
        <v>20</v>
      </c>
      <c r="AC1767">
        <v>26.3081</v>
      </c>
      <c r="AD1767">
        <v>-1.1104341506819999</v>
      </c>
      <c r="AE1767">
        <v>-6.4318000000000097</v>
      </c>
      <c r="AF1767">
        <v>6.5479976170008003</v>
      </c>
      <c r="AG1767">
        <v>-1.1104341506819999</v>
      </c>
      <c r="AH1767">
        <v>26.232574804476901</v>
      </c>
      <c r="AI1767">
        <v>92.351827929593298</v>
      </c>
      <c r="AJ1767">
        <v>75.984615400190194</v>
      </c>
      <c r="AK1767">
        <v>27.060253466435299</v>
      </c>
      <c r="AL1767">
        <v>84.811551769125302</v>
      </c>
      <c r="AM1767">
        <v>82.658873675910399</v>
      </c>
      <c r="AN1767">
        <v>0.99999998093412101</v>
      </c>
    </row>
    <row r="1768" spans="1:40" x14ac:dyDescent="0.25">
      <c r="A1768" t="str">
        <f>"20190312150700986"</f>
        <v>20190312150700986</v>
      </c>
      <c r="B1768" t="str">
        <f>"1552374420982351"</f>
        <v>1552374420982351</v>
      </c>
      <c r="C1768" t="s">
        <v>40</v>
      </c>
      <c r="D1768">
        <v>4.3602589999999903</v>
      </c>
      <c r="E1768">
        <v>0.54309049999999903</v>
      </c>
      <c r="F1768" t="s">
        <v>49</v>
      </c>
      <c r="G1768">
        <v>-208.70580000000001</v>
      </c>
      <c r="H1768" s="1">
        <v>-6.1925969999999999E-6</v>
      </c>
      <c r="I1768">
        <v>361.03230000000002</v>
      </c>
      <c r="J1768">
        <v>-234.7449</v>
      </c>
      <c r="K1768">
        <v>1.1104130000000001</v>
      </c>
      <c r="L1768">
        <v>367.40429999999998</v>
      </c>
      <c r="M1768">
        <v>0.99989890000000003</v>
      </c>
      <c r="N1768">
        <v>0</v>
      </c>
      <c r="O1768">
        <v>4.5042019999999997E-3</v>
      </c>
      <c r="P1768">
        <v>0.98938530000000002</v>
      </c>
      <c r="Q1768">
        <v>7.7243930000000002E-2</v>
      </c>
      <c r="R1768">
        <v>-0.1230873</v>
      </c>
      <c r="S1768">
        <v>2.9527130000000001</v>
      </c>
      <c r="T1768">
        <v>-0.125361</v>
      </c>
      <c r="U1768">
        <v>-0.71932980000000002</v>
      </c>
      <c r="V1768">
        <v>0.12762039999999999</v>
      </c>
      <c r="W1768">
        <v>9.0475949999999999E-2</v>
      </c>
      <c r="X1768">
        <v>0.9876878</v>
      </c>
      <c r="Y1768">
        <v>0.2408595</v>
      </c>
      <c r="Z1768">
        <v>-5.2255629999999999E-3</v>
      </c>
      <c r="AA1768">
        <v>0.97054589999999996</v>
      </c>
      <c r="AB1768">
        <v>20</v>
      </c>
      <c r="AC1768">
        <v>26.039099999999902</v>
      </c>
      <c r="AD1768">
        <v>-1.1104191925969999</v>
      </c>
      <c r="AE1768">
        <v>-6.3719999999999501</v>
      </c>
      <c r="AF1768">
        <v>6.4781162949723798</v>
      </c>
      <c r="AG1768">
        <v>-1.1104191925969999</v>
      </c>
      <c r="AH1768">
        <v>25.965580927282002</v>
      </c>
      <c r="AI1768">
        <v>92.376020795764603</v>
      </c>
      <c r="AJ1768">
        <v>75.991337606755494</v>
      </c>
      <c r="AK1768">
        <v>26.784518185058101</v>
      </c>
      <c r="AL1768">
        <v>84.809011413197197</v>
      </c>
      <c r="AM1768">
        <v>82.637531925183794</v>
      </c>
      <c r="AN1768">
        <v>1.0000000271467</v>
      </c>
    </row>
    <row r="1769" spans="1:40" x14ac:dyDescent="0.25">
      <c r="A1769" t="str">
        <f>"20190312150700997"</f>
        <v>20190312150700997</v>
      </c>
      <c r="B1769" t="str">
        <f>"1552374420992111"</f>
        <v>1552374420992111</v>
      </c>
      <c r="C1769" t="s">
        <v>40</v>
      </c>
      <c r="D1769">
        <v>4.3831199999999999</v>
      </c>
      <c r="E1769">
        <v>0.54305179999999997</v>
      </c>
      <c r="F1769" t="s">
        <v>49</v>
      </c>
      <c r="G1769">
        <v>-209.39349999999999</v>
      </c>
      <c r="H1769" s="1">
        <v>-6.3945999999999997E-6</v>
      </c>
      <c r="I1769">
        <v>361.21280000000002</v>
      </c>
      <c r="J1769">
        <v>-234.6336</v>
      </c>
      <c r="K1769">
        <v>1.110395</v>
      </c>
      <c r="L1769">
        <v>367.40440000000001</v>
      </c>
      <c r="M1769">
        <v>0.99990029999999996</v>
      </c>
      <c r="N1769">
        <v>0</v>
      </c>
      <c r="O1769">
        <v>4.1624649999999997E-3</v>
      </c>
      <c r="P1769">
        <v>0.98934319999999998</v>
      </c>
      <c r="Q1769">
        <v>7.7210580000000001E-2</v>
      </c>
      <c r="R1769">
        <v>-0.1234442</v>
      </c>
      <c r="S1769">
        <v>2.9525760000000001</v>
      </c>
      <c r="T1769">
        <v>-0.1293261</v>
      </c>
      <c r="U1769">
        <v>-0.72109990000000002</v>
      </c>
      <c r="V1769">
        <v>0.127642899999999</v>
      </c>
      <c r="W1769">
        <v>9.0436530000000001E-2</v>
      </c>
      <c r="X1769">
        <v>0.98768849999999997</v>
      </c>
      <c r="Y1769">
        <v>0.24107410000000001</v>
      </c>
      <c r="Z1769">
        <v>-5.3804409999999997E-3</v>
      </c>
      <c r="AA1769">
        <v>0.97049180000000002</v>
      </c>
      <c r="AB1769">
        <v>20</v>
      </c>
      <c r="AC1769">
        <v>25.240100000000002</v>
      </c>
      <c r="AD1769">
        <v>-1.1104013946</v>
      </c>
      <c r="AE1769">
        <v>-6.1915999999999896</v>
      </c>
      <c r="AF1769">
        <v>6.2851429450821996</v>
      </c>
      <c r="AG1769">
        <v>-1.1104013946</v>
      </c>
      <c r="AH1769">
        <v>25.168160254041599</v>
      </c>
      <c r="AI1769">
        <v>92.451035753107007</v>
      </c>
      <c r="AJ1769">
        <v>75.978535288825498</v>
      </c>
      <c r="AK1769">
        <v>25.964828204137401</v>
      </c>
      <c r="AL1769">
        <v>84.811279296161899</v>
      </c>
      <c r="AM1769">
        <v>82.636253298877904</v>
      </c>
      <c r="AN1769">
        <v>1.00000002445555</v>
      </c>
    </row>
    <row r="1770" spans="1:40" x14ac:dyDescent="0.25">
      <c r="A1770" t="str">
        <f>"20190312150701008"</f>
        <v>20190312150701008</v>
      </c>
      <c r="B1770" t="str">
        <f>"1552374421001871"</f>
        <v>1552374421001871</v>
      </c>
      <c r="C1770" t="s">
        <v>40</v>
      </c>
      <c r="D1770">
        <v>4.3823759999999998</v>
      </c>
      <c r="E1770">
        <v>0.54305150000000002</v>
      </c>
      <c r="F1770" t="s">
        <v>49</v>
      </c>
      <c r="G1770">
        <v>-209.67330000000001</v>
      </c>
      <c r="H1770" s="1">
        <v>-6.4745730000000001E-6</v>
      </c>
      <c r="I1770">
        <v>361.30040000000002</v>
      </c>
      <c r="J1770">
        <v>-234.54300000000001</v>
      </c>
      <c r="K1770">
        <v>1.110379</v>
      </c>
      <c r="L1770">
        <v>367.40449999999998</v>
      </c>
      <c r="M1770">
        <v>0.99990140000000005</v>
      </c>
      <c r="N1770">
        <v>0</v>
      </c>
      <c r="O1770">
        <v>3.8757280000000002E-3</v>
      </c>
      <c r="P1770">
        <v>0.98930410000000002</v>
      </c>
      <c r="Q1770">
        <v>7.7195769999999997E-2</v>
      </c>
      <c r="R1770">
        <v>-0.1237665</v>
      </c>
      <c r="S1770">
        <v>2.9524689999999998</v>
      </c>
      <c r="T1770">
        <v>-0.1313455</v>
      </c>
      <c r="U1770">
        <v>-0.72201539999999997</v>
      </c>
      <c r="V1770">
        <v>0.12768450000000001</v>
      </c>
      <c r="W1770">
        <v>9.0417059999999994E-2</v>
      </c>
      <c r="X1770">
        <v>0.98768489999999998</v>
      </c>
      <c r="Y1770">
        <v>0.2410812</v>
      </c>
      <c r="Z1770">
        <v>-5.4519570000000003E-3</v>
      </c>
      <c r="AA1770">
        <v>0.97048959999999995</v>
      </c>
      <c r="AB1770">
        <v>20</v>
      </c>
      <c r="AC1770">
        <v>24.869699999999899</v>
      </c>
      <c r="AD1770">
        <v>-1.110385474573</v>
      </c>
      <c r="AE1770">
        <v>-6.1040999999999599</v>
      </c>
      <c r="AF1770">
        <v>6.1888149831701798</v>
      </c>
      <c r="AG1770">
        <v>-1.110385474573</v>
      </c>
      <c r="AH1770">
        <v>24.7992259833449</v>
      </c>
      <c r="AI1770">
        <v>92.487517119597001</v>
      </c>
      <c r="AJ1770">
        <v>75.987659856211394</v>
      </c>
      <c r="AK1770">
        <v>25.583901113220801</v>
      </c>
      <c r="AL1770">
        <v>84.812399405584898</v>
      </c>
      <c r="AM1770">
        <v>82.633853185087105</v>
      </c>
      <c r="AN1770">
        <v>1.00000001898365</v>
      </c>
    </row>
    <row r="1771" spans="1:40" x14ac:dyDescent="0.25">
      <c r="A1771" t="str">
        <f>"20190312150701019"</f>
        <v>20190312150701019</v>
      </c>
      <c r="B1771" t="str">
        <f>"1552374421011631"</f>
        <v>1552374421011631</v>
      </c>
      <c r="C1771" t="s">
        <v>40</v>
      </c>
      <c r="D1771">
        <v>4.4064199999999998</v>
      </c>
      <c r="E1771">
        <v>0.54304919999999901</v>
      </c>
      <c r="F1771" t="s">
        <v>49</v>
      </c>
      <c r="G1771">
        <v>-209.9057</v>
      </c>
      <c r="H1771" s="1">
        <v>-6.5412449999999999E-6</v>
      </c>
      <c r="I1771">
        <v>361.37169999999998</v>
      </c>
      <c r="J1771">
        <v>-234.43940000000001</v>
      </c>
      <c r="K1771">
        <v>1.1103620000000001</v>
      </c>
      <c r="L1771">
        <v>367.40449999999998</v>
      </c>
      <c r="M1771">
        <v>0.99990270000000003</v>
      </c>
      <c r="N1771">
        <v>0</v>
      </c>
      <c r="O1771">
        <v>3.5342389999999998E-3</v>
      </c>
      <c r="P1771">
        <v>0.98924330000000005</v>
      </c>
      <c r="Q1771">
        <v>7.7217930000000004E-2</v>
      </c>
      <c r="R1771">
        <v>-0.1242395</v>
      </c>
      <c r="S1771">
        <v>2.9523619999999999</v>
      </c>
      <c r="T1771">
        <v>-0.13306080000000001</v>
      </c>
      <c r="U1771">
        <v>-0.72293090000000004</v>
      </c>
      <c r="V1771">
        <v>0.12782279999999999</v>
      </c>
      <c r="W1771">
        <v>9.0432739999999998E-2</v>
      </c>
      <c r="X1771">
        <v>0.98766549999999997</v>
      </c>
      <c r="Y1771">
        <v>0.2410361</v>
      </c>
      <c r="Z1771">
        <v>-5.5069189999999999E-3</v>
      </c>
      <c r="AA1771">
        <v>0.97050049999999999</v>
      </c>
      <c r="AB1771">
        <v>20</v>
      </c>
      <c r="AC1771">
        <v>24.5337</v>
      </c>
      <c r="AD1771">
        <v>-1.110368541245</v>
      </c>
      <c r="AE1771">
        <v>-6.0327999999999999</v>
      </c>
      <c r="AF1771">
        <v>6.1076807316696797</v>
      </c>
      <c r="AG1771">
        <v>-1.110368541245</v>
      </c>
      <c r="AH1771">
        <v>24.464967547075702</v>
      </c>
      <c r="AI1771">
        <v>92.5213662485735</v>
      </c>
      <c r="AJ1771">
        <v>75.982628498677101</v>
      </c>
      <c r="AK1771">
        <v>25.240271775416002</v>
      </c>
      <c r="AL1771">
        <v>84.811496923473797</v>
      </c>
      <c r="AM1771">
        <v>82.625819145569395</v>
      </c>
      <c r="AN1771">
        <v>0.99999994427699701</v>
      </c>
    </row>
    <row r="1772" spans="1:40" x14ac:dyDescent="0.25">
      <c r="A1772" t="str">
        <f>"20190312150701030"</f>
        <v>20190312150701030</v>
      </c>
      <c r="B1772" t="str">
        <f>"1552374421022367"</f>
        <v>1552374421022367</v>
      </c>
      <c r="C1772" t="s">
        <v>40</v>
      </c>
      <c r="D1772">
        <v>4.364662</v>
      </c>
      <c r="E1772">
        <v>0.54301250000000001</v>
      </c>
      <c r="F1772" t="s">
        <v>42</v>
      </c>
      <c r="G1772">
        <v>-210.0539</v>
      </c>
      <c r="H1772" s="1">
        <v>-5.7033379999999999E-6</v>
      </c>
      <c r="I1772">
        <v>361.41849999999999</v>
      </c>
      <c r="J1772">
        <v>-234.35679999999999</v>
      </c>
      <c r="K1772">
        <v>1.1103459999999901</v>
      </c>
      <c r="L1772">
        <v>367.40449999999998</v>
      </c>
      <c r="M1772">
        <v>0.99990369999999995</v>
      </c>
      <c r="N1772">
        <v>0</v>
      </c>
      <c r="O1772">
        <v>3.2504309999999998E-3</v>
      </c>
      <c r="P1772">
        <v>0.98923150000000004</v>
      </c>
      <c r="Q1772">
        <v>7.7155379999999996E-2</v>
      </c>
      <c r="R1772">
        <v>-0.12437049999999999</v>
      </c>
      <c r="S1772">
        <v>2.952118</v>
      </c>
      <c r="T1772">
        <v>-0.1344215</v>
      </c>
      <c r="U1772">
        <v>-0.72467040000000005</v>
      </c>
      <c r="V1772">
        <v>0.12767590000000001</v>
      </c>
      <c r="W1772">
        <v>9.0366260000000004E-2</v>
      </c>
      <c r="X1772">
        <v>0.98769059999999997</v>
      </c>
      <c r="Y1772">
        <v>0.2413139</v>
      </c>
      <c r="Z1772">
        <v>-5.5567339999999998E-3</v>
      </c>
      <c r="AA1772">
        <v>0.97043120000000005</v>
      </c>
      <c r="AB1772">
        <v>20</v>
      </c>
      <c r="AC1772">
        <v>24.302899999999902</v>
      </c>
      <c r="AD1772">
        <v>-1.1103517033379999</v>
      </c>
      <c r="AE1772">
        <v>-5.98599999999999</v>
      </c>
      <c r="AF1772">
        <v>6.0530580301958503</v>
      </c>
      <c r="AG1772">
        <v>-1.1103517033379999</v>
      </c>
      <c r="AH1772">
        <v>24.235616991674402</v>
      </c>
      <c r="AI1772">
        <v>92.545092140252606</v>
      </c>
      <c r="AJ1772">
        <v>75.976765392123696</v>
      </c>
      <c r="AK1772">
        <v>25.0047500165301</v>
      </c>
      <c r="AL1772">
        <v>84.815321682762999</v>
      </c>
      <c r="AM1772">
        <v>82.6343859133151</v>
      </c>
      <c r="AN1772">
        <v>0.99999995885777704</v>
      </c>
    </row>
    <row r="1773" spans="1:40" x14ac:dyDescent="0.25">
      <c r="A1773" t="str">
        <f>"20190312150701040"</f>
        <v>20190312150701040</v>
      </c>
      <c r="B1773" t="str">
        <f>"1552374421032127"</f>
        <v>1552374421032127</v>
      </c>
      <c r="C1773" t="s">
        <v>40</v>
      </c>
      <c r="D1773">
        <v>4.3907210000000001</v>
      </c>
      <c r="E1773">
        <v>0.54297850000000003</v>
      </c>
      <c r="F1773" t="s">
        <v>42</v>
      </c>
      <c r="G1773">
        <v>-210.32239999999999</v>
      </c>
      <c r="H1773" s="1">
        <v>-5.5730130000000004E-6</v>
      </c>
      <c r="I1773">
        <v>361.50380000000001</v>
      </c>
      <c r="J1773">
        <v>-234.2509</v>
      </c>
      <c r="K1773">
        <v>1.110328</v>
      </c>
      <c r="L1773">
        <v>367.40440000000001</v>
      </c>
      <c r="M1773">
        <v>0.99990489999999999</v>
      </c>
      <c r="N1773">
        <v>0</v>
      </c>
      <c r="O1773">
        <v>2.8744679999999998E-3</v>
      </c>
      <c r="P1773">
        <v>0.98918899999999998</v>
      </c>
      <c r="Q1773">
        <v>7.7049980000000004E-2</v>
      </c>
      <c r="R1773">
        <v>-0.1247741</v>
      </c>
      <c r="S1773">
        <v>2.9521790000000001</v>
      </c>
      <c r="T1773">
        <v>-0.1363859</v>
      </c>
      <c r="U1773">
        <v>-0.72479249999999995</v>
      </c>
      <c r="V1773">
        <v>0.1277112</v>
      </c>
      <c r="W1773">
        <v>9.0254650000000006E-2</v>
      </c>
      <c r="X1773">
        <v>0.98769629999999997</v>
      </c>
      <c r="Y1773">
        <v>0.24097589999999999</v>
      </c>
      <c r="Z1773">
        <v>-5.6129159999999999E-3</v>
      </c>
      <c r="AA1773">
        <v>0.97051489999999996</v>
      </c>
      <c r="AB1773">
        <v>20</v>
      </c>
      <c r="AC1773">
        <v>23.9285</v>
      </c>
      <c r="AD1773">
        <v>-1.110333573013</v>
      </c>
      <c r="AE1773">
        <v>-5.9005999999999901</v>
      </c>
      <c r="AF1773">
        <v>5.9572719050373699</v>
      </c>
      <c r="AG1773">
        <v>-1.110333573013</v>
      </c>
      <c r="AH1773">
        <v>23.863002944396001</v>
      </c>
      <c r="AI1773">
        <v>92.5848066217075</v>
      </c>
      <c r="AJ1773">
        <v>75.982918533787</v>
      </c>
      <c r="AK1773">
        <v>24.620415080135398</v>
      </c>
      <c r="AL1773">
        <v>84.821743004008098</v>
      </c>
      <c r="AM1773">
        <v>82.632413881818096</v>
      </c>
      <c r="AN1773">
        <v>1.00000001674287</v>
      </c>
    </row>
    <row r="1774" spans="1:40" x14ac:dyDescent="0.25">
      <c r="A1774" t="str">
        <f>"20190312150701053"</f>
        <v>20190312150701053</v>
      </c>
      <c r="B1774" t="str">
        <f>"1552374421041887"</f>
        <v>1552374421041887</v>
      </c>
      <c r="C1774" t="s">
        <v>40</v>
      </c>
      <c r="D1774">
        <v>4.2997430000000003</v>
      </c>
      <c r="E1774">
        <v>0.54304129999999995</v>
      </c>
      <c r="F1774" t="s">
        <v>42</v>
      </c>
      <c r="G1774">
        <v>-210.5789</v>
      </c>
      <c r="H1774" s="1">
        <v>-5.448615E-6</v>
      </c>
      <c r="I1774">
        <v>361.58479999999997</v>
      </c>
      <c r="J1774">
        <v>-234.148</v>
      </c>
      <c r="K1774">
        <v>1.110311</v>
      </c>
      <c r="L1774">
        <v>367.40429999999998</v>
      </c>
      <c r="M1774">
        <v>0.99990590000000001</v>
      </c>
      <c r="N1774">
        <v>0</v>
      </c>
      <c r="O1774">
        <v>2.4869950000000001E-3</v>
      </c>
      <c r="P1774">
        <v>0.98916300000000001</v>
      </c>
      <c r="Q1774">
        <v>7.7041600000000002E-2</v>
      </c>
      <c r="R1774">
        <v>-0.124984999999999</v>
      </c>
      <c r="S1774">
        <v>2.9520110000000002</v>
      </c>
      <c r="T1774">
        <v>-0.13846359999999999</v>
      </c>
      <c r="U1774">
        <v>-0.72573849999999995</v>
      </c>
      <c r="V1774">
        <v>0.12754260000000001</v>
      </c>
      <c r="W1774">
        <v>9.0240870000000001E-2</v>
      </c>
      <c r="X1774">
        <v>0.98771929999999997</v>
      </c>
      <c r="Y1774">
        <v>0.2408989</v>
      </c>
      <c r="Z1774">
        <v>-5.6787549999999997E-3</v>
      </c>
      <c r="AA1774">
        <v>0.9705336</v>
      </c>
      <c r="AB1774">
        <v>20</v>
      </c>
      <c r="AC1774">
        <v>23.569099999999899</v>
      </c>
      <c r="AD1774">
        <v>-1.1103164486149999</v>
      </c>
      <c r="AE1774">
        <v>-5.8194999999999997</v>
      </c>
      <c r="AF1774">
        <v>5.8658338110055404</v>
      </c>
      <c r="AG1774">
        <v>-1.1103164486149999</v>
      </c>
      <c r="AH1774">
        <v>23.505385725217501</v>
      </c>
      <c r="AI1774">
        <v>92.624094189457693</v>
      </c>
      <c r="AJ1774">
        <v>75.987876846731595</v>
      </c>
      <c r="AK1774">
        <v>24.251679673904199</v>
      </c>
      <c r="AL1774">
        <v>84.822535545235894</v>
      </c>
      <c r="AM1774">
        <v>82.642203124038105</v>
      </c>
      <c r="AN1774">
        <v>0.99999997251280304</v>
      </c>
    </row>
    <row r="1775" spans="1:40" x14ac:dyDescent="0.25">
      <c r="A1775" t="str">
        <f>"20190312150701067"</f>
        <v>20190312150701067</v>
      </c>
      <c r="B1775" t="str">
        <f>"1552374421062383"</f>
        <v>1552374421062383</v>
      </c>
      <c r="C1775" t="s">
        <v>40</v>
      </c>
      <c r="D1775">
        <v>4.2851809999999997</v>
      </c>
      <c r="E1775">
        <v>0.54321009999999903</v>
      </c>
      <c r="F1775" t="s">
        <v>42</v>
      </c>
      <c r="G1775">
        <v>-210.56030000000001</v>
      </c>
      <c r="H1775" s="1">
        <v>-5.4544949999999997E-6</v>
      </c>
      <c r="I1775">
        <v>361.5967</v>
      </c>
      <c r="J1775">
        <v>-234.02979999999999</v>
      </c>
      <c r="K1775">
        <v>1.1102939999999999</v>
      </c>
      <c r="L1775">
        <v>367.40410000000003</v>
      </c>
      <c r="M1775">
        <v>0.99990710000000005</v>
      </c>
      <c r="N1775">
        <v>0</v>
      </c>
      <c r="O1775">
        <v>2.0281219999999998E-3</v>
      </c>
      <c r="P1775">
        <v>0.98912029999999995</v>
      </c>
      <c r="Q1775">
        <v>7.7075850000000001E-2</v>
      </c>
      <c r="R1775">
        <v>-0.1253022</v>
      </c>
      <c r="S1775">
        <v>2.9518279999999999</v>
      </c>
      <c r="T1775">
        <v>-0.1389476</v>
      </c>
      <c r="U1775">
        <v>-0.72677609999999904</v>
      </c>
      <c r="V1775">
        <v>0.1274103</v>
      </c>
      <c r="W1775">
        <v>9.026795E-2</v>
      </c>
      <c r="X1775">
        <v>0.98773390000000005</v>
      </c>
      <c r="Y1775">
        <v>0.240788</v>
      </c>
      <c r="Z1775">
        <v>-5.6748440000000001E-3</v>
      </c>
      <c r="AA1775">
        <v>0.97056109999999896</v>
      </c>
      <c r="AB1775">
        <v>20</v>
      </c>
      <c r="AC1775">
        <v>23.469499999999901</v>
      </c>
      <c r="AD1775">
        <v>-1.110299454495</v>
      </c>
      <c r="AE1775">
        <v>-5.8074000000000296</v>
      </c>
      <c r="AF1775">
        <v>5.8426695674517397</v>
      </c>
      <c r="AG1775">
        <v>-1.110299454495</v>
      </c>
      <c r="AH1775">
        <v>23.4083059014065</v>
      </c>
      <c r="AI1775">
        <v>92.634893300683501</v>
      </c>
      <c r="AJ1775">
        <v>75.985429163624005</v>
      </c>
      <c r="AK1775">
        <v>24.151984136441001</v>
      </c>
      <c r="AL1775">
        <v>84.820977615949403</v>
      </c>
      <c r="AM1775">
        <v>82.649859323611693</v>
      </c>
      <c r="AN1775">
        <v>0.99999997227625004</v>
      </c>
    </row>
    <row r="1776" spans="1:40" x14ac:dyDescent="0.25">
      <c r="A1776" t="str">
        <f>"20190312150701079"</f>
        <v>20190312150701079</v>
      </c>
      <c r="B1776" t="str">
        <f>"1552374421072144"</f>
        <v>1552374421072144</v>
      </c>
      <c r="C1776" t="s">
        <v>40</v>
      </c>
      <c r="D1776">
        <v>4.2726410000000001</v>
      </c>
      <c r="E1776">
        <v>0.54326180000000002</v>
      </c>
      <c r="F1776" t="s">
        <v>42</v>
      </c>
      <c r="G1776">
        <v>-210.52940000000001</v>
      </c>
      <c r="H1776" s="1">
        <v>-5.4673969999999997E-6</v>
      </c>
      <c r="I1776">
        <v>361.59870000000001</v>
      </c>
      <c r="J1776">
        <v>-233.91200000000001</v>
      </c>
      <c r="K1776">
        <v>1.110276</v>
      </c>
      <c r="L1776">
        <v>367.40379999999999</v>
      </c>
      <c r="M1776">
        <v>0.99990789999999996</v>
      </c>
      <c r="N1776">
        <v>0</v>
      </c>
      <c r="O1776">
        <v>1.541153E-3</v>
      </c>
      <c r="P1776">
        <v>0.98904179999999997</v>
      </c>
      <c r="Q1776">
        <v>7.7122999999999997E-2</v>
      </c>
      <c r="R1776">
        <v>-0.12589210000000001</v>
      </c>
      <c r="S1776">
        <v>2.951508</v>
      </c>
      <c r="T1776">
        <v>-0.1394463</v>
      </c>
      <c r="U1776">
        <v>-0.72912600000000005</v>
      </c>
      <c r="V1776">
        <v>0.12752330000000001</v>
      </c>
      <c r="W1776">
        <v>9.0307849999999995E-2</v>
      </c>
      <c r="X1776">
        <v>0.98771569999999997</v>
      </c>
      <c r="Y1776">
        <v>0.24106659999999999</v>
      </c>
      <c r="Z1776">
        <v>-5.6790779999999997E-3</v>
      </c>
      <c r="AA1776">
        <v>0.97049189999999996</v>
      </c>
      <c r="AB1776">
        <v>20</v>
      </c>
      <c r="AC1776">
        <v>23.3826</v>
      </c>
      <c r="AD1776">
        <v>-1.1102814673970001</v>
      </c>
      <c r="AE1776">
        <v>-5.8050999999999799</v>
      </c>
      <c r="AF1776">
        <v>5.8287536843871699</v>
      </c>
      <c r="AG1776">
        <v>-1.1102814673970001</v>
      </c>
      <c r="AH1776">
        <v>23.324090147942702</v>
      </c>
      <c r="AI1776">
        <v>92.6441617181667</v>
      </c>
      <c r="AJ1776">
        <v>75.969002253253905</v>
      </c>
      <c r="AK1776">
        <v>24.0669955681938</v>
      </c>
      <c r="AL1776">
        <v>84.818682292897805</v>
      </c>
      <c r="AM1776">
        <v>82.643277803012197</v>
      </c>
      <c r="AN1776">
        <v>1.0000000019205</v>
      </c>
    </row>
    <row r="1777" spans="1:40" x14ac:dyDescent="0.25">
      <c r="A1777" t="str">
        <f>"20190312150701091"</f>
        <v>20190312150701091</v>
      </c>
      <c r="B1777" t="str">
        <f>"1552374421081903"</f>
        <v>1552374421081903</v>
      </c>
      <c r="C1777" t="s">
        <v>40</v>
      </c>
      <c r="D1777">
        <v>4.3147589999999996</v>
      </c>
      <c r="E1777">
        <v>0.54333940000000003</v>
      </c>
      <c r="F1777" t="s">
        <v>42</v>
      </c>
      <c r="G1777">
        <v>-210.4819</v>
      </c>
      <c r="H1777" s="1">
        <v>-5.4880629999999996E-6</v>
      </c>
      <c r="I1777">
        <v>361.59690000000001</v>
      </c>
      <c r="J1777">
        <v>-233.80869999999999</v>
      </c>
      <c r="K1777">
        <v>1.110258</v>
      </c>
      <c r="L1777">
        <v>367.40350000000001</v>
      </c>
      <c r="M1777">
        <v>0.99990840000000003</v>
      </c>
      <c r="N1777">
        <v>0</v>
      </c>
      <c r="O1777">
        <v>1.096905E-3</v>
      </c>
      <c r="P1777">
        <v>0.9889635</v>
      </c>
      <c r="Q1777">
        <v>7.7296290000000004E-2</v>
      </c>
      <c r="R1777">
        <v>-0.12639880000000001</v>
      </c>
      <c r="S1777">
        <v>2.95105</v>
      </c>
      <c r="T1777">
        <v>-0.13984099999999999</v>
      </c>
      <c r="U1777">
        <v>-0.73138429999999999</v>
      </c>
      <c r="V1777">
        <v>0.12759489999999901</v>
      </c>
      <c r="W1777">
        <v>9.0473579999999998E-2</v>
      </c>
      <c r="X1777">
        <v>0.98769130000000005</v>
      </c>
      <c r="Y1777">
        <v>0.241369</v>
      </c>
      <c r="Z1777">
        <v>-5.6817999999999999E-3</v>
      </c>
      <c r="AA1777">
        <v>0.97041679999999997</v>
      </c>
      <c r="AB1777">
        <v>20</v>
      </c>
      <c r="AC1777">
        <v>23.326799999999899</v>
      </c>
      <c r="AD1777">
        <v>-1.110263488063</v>
      </c>
      <c r="AE1777">
        <v>-5.8066000000000004</v>
      </c>
      <c r="AF1777">
        <v>5.8197713602248502</v>
      </c>
      <c r="AG1777">
        <v>-1.110263488063</v>
      </c>
      <c r="AH1777">
        <v>23.2707747919093</v>
      </c>
      <c r="AI1777">
        <v>92.650052077720801</v>
      </c>
      <c r="AJ1777">
        <v>75.958942059970894</v>
      </c>
      <c r="AK1777">
        <v>24.013150212206298</v>
      </c>
      <c r="AL1777">
        <v>84.8091477035032</v>
      </c>
      <c r="AM1777">
        <v>82.639012692328905</v>
      </c>
      <c r="AN1777">
        <v>1.0000000156398501</v>
      </c>
    </row>
    <row r="1778" spans="1:40" x14ac:dyDescent="0.25">
      <c r="A1778" t="str">
        <f>"20190312150701107"</f>
        <v>20190312150701107</v>
      </c>
      <c r="B1778" t="str">
        <f>"1552374421102399"</f>
        <v>1552374421102399</v>
      </c>
      <c r="C1778" t="s">
        <v>40</v>
      </c>
      <c r="D1778">
        <v>4.663151</v>
      </c>
      <c r="E1778">
        <v>0.54329539999999998</v>
      </c>
      <c r="F1778" t="s">
        <v>42</v>
      </c>
      <c r="G1778">
        <v>-210.3398</v>
      </c>
      <c r="H1778" s="1">
        <v>-5.5540749999999998E-6</v>
      </c>
      <c r="I1778">
        <v>361.56869999999998</v>
      </c>
      <c r="J1778">
        <v>-233.66890000000001</v>
      </c>
      <c r="K1778">
        <v>1.1102350000000001</v>
      </c>
      <c r="L1778">
        <v>367.40289999999999</v>
      </c>
      <c r="M1778">
        <v>0.99990889999999999</v>
      </c>
      <c r="N1778">
        <v>0</v>
      </c>
      <c r="O1778">
        <v>4.7265909999999998E-4</v>
      </c>
      <c r="P1778">
        <v>0.98887800000000003</v>
      </c>
      <c r="Q1778">
        <v>7.7649010000000004E-2</v>
      </c>
      <c r="R1778">
        <v>-0.12685089999999999</v>
      </c>
      <c r="S1778">
        <v>2.950653</v>
      </c>
      <c r="T1778">
        <v>-0.13958809999999999</v>
      </c>
      <c r="U1778">
        <v>-0.7335815</v>
      </c>
      <c r="V1778">
        <v>0.12743570000000001</v>
      </c>
      <c r="W1778">
        <v>9.0817850000000006E-2</v>
      </c>
      <c r="X1778">
        <v>0.98768029999999996</v>
      </c>
      <c r="Y1778">
        <v>0.24147579999999999</v>
      </c>
      <c r="Z1778">
        <v>-5.645186E-3</v>
      </c>
      <c r="AA1778">
        <v>0.97039039999999999</v>
      </c>
      <c r="AB1778">
        <v>20</v>
      </c>
      <c r="AC1778">
        <v>23.3291</v>
      </c>
      <c r="AD1778">
        <v>-1.110240554075</v>
      </c>
      <c r="AE1778">
        <v>-5.8342000000000098</v>
      </c>
      <c r="AF1778">
        <v>5.8327942598457003</v>
      </c>
      <c r="AG1778">
        <v>-1.110240554075</v>
      </c>
      <c r="AH1778">
        <v>23.276724410046899</v>
      </c>
      <c r="AI1778">
        <v>92.649012206752502</v>
      </c>
      <c r="AJ1778">
        <v>75.932223125516302</v>
      </c>
      <c r="AK1778">
        <v>24.022073645438599</v>
      </c>
      <c r="AL1778">
        <v>84.789341162772502</v>
      </c>
      <c r="AM1778">
        <v>82.648015461843499</v>
      </c>
      <c r="AN1778">
        <v>1.00000005726059</v>
      </c>
    </row>
    <row r="1779" spans="1:40" x14ac:dyDescent="0.25">
      <c r="A1779" t="str">
        <f>"20190312150701120"</f>
        <v>20190312150701120</v>
      </c>
      <c r="B1779" t="str">
        <f>"1552374421112159"</f>
        <v>1552374421112159</v>
      </c>
      <c r="C1779" t="s">
        <v>40</v>
      </c>
      <c r="D1779">
        <v>4.3373609999999996</v>
      </c>
      <c r="E1779">
        <v>0.54341660000000003</v>
      </c>
      <c r="F1779" t="s">
        <v>42</v>
      </c>
      <c r="G1779">
        <v>-210.22</v>
      </c>
      <c r="H1779" s="1">
        <v>-5.6056969999999997E-6</v>
      </c>
      <c r="I1779">
        <v>361.56729999999999</v>
      </c>
      <c r="J1779">
        <v>-233.547</v>
      </c>
      <c r="K1779">
        <v>1.1102129999999999</v>
      </c>
      <c r="L1779">
        <v>367.40230000000003</v>
      </c>
      <c r="M1779">
        <v>0.99990900000000005</v>
      </c>
      <c r="N1779">
        <v>0</v>
      </c>
      <c r="O1779">
        <v>-1.008177E-4</v>
      </c>
      <c r="P1779">
        <v>0.98879919999999999</v>
      </c>
      <c r="Q1779">
        <v>7.7604179999999995E-2</v>
      </c>
      <c r="R1779">
        <v>-0.12749189999999999</v>
      </c>
      <c r="S1779">
        <v>2.9505309999999998</v>
      </c>
      <c r="T1779">
        <v>-0.13969889999999999</v>
      </c>
      <c r="U1779">
        <v>-0.73428340000000003</v>
      </c>
      <c r="V1779">
        <v>0.1275145</v>
      </c>
      <c r="W1779">
        <v>9.076563E-2</v>
      </c>
      <c r="X1779">
        <v>0.98767490000000002</v>
      </c>
      <c r="Y1779">
        <v>0.24114659999999999</v>
      </c>
      <c r="Z1779">
        <v>-5.615325E-3</v>
      </c>
      <c r="AA1779">
        <v>0.97047249999999996</v>
      </c>
      <c r="AB1779">
        <v>20</v>
      </c>
      <c r="AC1779">
        <v>23.327000000000002</v>
      </c>
      <c r="AD1779">
        <v>-1.11021860569699</v>
      </c>
      <c r="AE1779">
        <v>-5.8350000000000302</v>
      </c>
      <c r="AF1779">
        <v>5.8202405260413199</v>
      </c>
      <c r="AG1779">
        <v>-1.11021860569699</v>
      </c>
      <c r="AH1779">
        <v>23.277964772715599</v>
      </c>
      <c r="AI1779">
        <v>92.649163310224296</v>
      </c>
      <c r="AJ1779">
        <v>75.962020650165798</v>
      </c>
      <c r="AK1779">
        <v>24.020229580359899</v>
      </c>
      <c r="AL1779">
        <v>84.792345402256103</v>
      </c>
      <c r="AM1779">
        <v>82.6434793571038</v>
      </c>
      <c r="AN1779">
        <v>1.00000002769477</v>
      </c>
    </row>
    <row r="1780" spans="1:40" x14ac:dyDescent="0.25">
      <c r="A1780" t="str">
        <f>"20190312150701131"</f>
        <v>20190312150701131</v>
      </c>
      <c r="B1780" t="str">
        <f>"1552374421121919"</f>
        <v>1552374421121919</v>
      </c>
      <c r="C1780" t="s">
        <v>40</v>
      </c>
      <c r="D1780">
        <v>4.324827</v>
      </c>
      <c r="E1780">
        <v>0.54352</v>
      </c>
      <c r="F1780" t="s">
        <v>42</v>
      </c>
      <c r="G1780">
        <v>-210.07579999999999</v>
      </c>
      <c r="H1780" s="1">
        <v>-5.6733569999999996E-6</v>
      </c>
      <c r="I1780">
        <v>361.53449999999998</v>
      </c>
      <c r="J1780">
        <v>-233.45670000000001</v>
      </c>
      <c r="K1780">
        <v>1.110195</v>
      </c>
      <c r="L1780">
        <v>367.40179999999998</v>
      </c>
      <c r="M1780">
        <v>0.99990889999999999</v>
      </c>
      <c r="N1780">
        <v>0</v>
      </c>
      <c r="O1780">
        <v>-5.4311940000000003E-4</v>
      </c>
      <c r="P1780">
        <v>0.98873319999999998</v>
      </c>
      <c r="Q1780">
        <v>7.7562259999999994E-2</v>
      </c>
      <c r="R1780">
        <v>-0.1280268</v>
      </c>
      <c r="S1780">
        <v>2.9498440000000001</v>
      </c>
      <c r="T1780">
        <v>-0.13953109999999999</v>
      </c>
      <c r="U1780">
        <v>-0.73745729999999998</v>
      </c>
      <c r="V1780">
        <v>0.1276158</v>
      </c>
      <c r="W1780">
        <v>9.0717190000000003E-2</v>
      </c>
      <c r="X1780">
        <v>0.98766620000000005</v>
      </c>
      <c r="Y1780">
        <v>0.24175360000000001</v>
      </c>
      <c r="Z1780">
        <v>-5.6026690000000002E-3</v>
      </c>
      <c r="AA1780">
        <v>0.97032149999999995</v>
      </c>
      <c r="AB1780">
        <v>20</v>
      </c>
      <c r="AC1780">
        <v>23.3809</v>
      </c>
      <c r="AD1780">
        <v>-1.110200673357</v>
      </c>
      <c r="AE1780">
        <v>-5.8673000000000002</v>
      </c>
      <c r="AF1780">
        <v>5.8422075336291499</v>
      </c>
      <c r="AG1780">
        <v>-1.110200673357</v>
      </c>
      <c r="AH1780">
        <v>23.3345888124739</v>
      </c>
      <c r="AI1780">
        <v>92.642493373665502</v>
      </c>
      <c r="AJ1780">
        <v>75.943975608221194</v>
      </c>
      <c r="AK1780">
        <v>24.0804271026979</v>
      </c>
      <c r="AL1780">
        <v>84.795131963210196</v>
      </c>
      <c r="AM1780">
        <v>82.637635146391801</v>
      </c>
      <c r="AN1780">
        <v>0.99999996179678696</v>
      </c>
    </row>
    <row r="1781" spans="1:40" x14ac:dyDescent="0.25">
      <c r="A1781" t="str">
        <f>"20190312150701142"</f>
        <v>20190312150701142</v>
      </c>
      <c r="B1781" t="str">
        <f>"1552374421131679"</f>
        <v>1552374421131679</v>
      </c>
      <c r="C1781" t="s">
        <v>40</v>
      </c>
      <c r="D1781">
        <v>4.316376</v>
      </c>
      <c r="E1781">
        <v>0.54361530000000002</v>
      </c>
      <c r="F1781" t="s">
        <v>42</v>
      </c>
      <c r="G1781">
        <v>-210.0052</v>
      </c>
      <c r="H1781" s="1">
        <v>-5.7066729999999901E-6</v>
      </c>
      <c r="I1781">
        <v>361.51749999999998</v>
      </c>
      <c r="J1781">
        <v>-233.35980000000001</v>
      </c>
      <c r="K1781">
        <v>1.1101799999999999</v>
      </c>
      <c r="L1781">
        <v>367.40129999999999</v>
      </c>
      <c r="M1781">
        <v>0.99990849999999998</v>
      </c>
      <c r="N1781">
        <v>0</v>
      </c>
      <c r="O1781">
        <v>-1.0269229999999999E-3</v>
      </c>
      <c r="P1781">
        <v>0.98864200000000002</v>
      </c>
      <c r="Q1781">
        <v>7.7741169999999998E-2</v>
      </c>
      <c r="R1781">
        <v>-0.12862180000000001</v>
      </c>
      <c r="S1781">
        <v>2.9493100000000001</v>
      </c>
      <c r="T1781">
        <v>-0.13962049999999901</v>
      </c>
      <c r="U1781">
        <v>-0.74002080000000003</v>
      </c>
      <c r="V1781">
        <v>0.1277364</v>
      </c>
      <c r="W1781">
        <v>9.0889570000000003E-2</v>
      </c>
      <c r="X1781">
        <v>0.98763480000000003</v>
      </c>
      <c r="Y1781">
        <v>0.2421189</v>
      </c>
      <c r="Z1781">
        <v>-5.5926250000000004E-3</v>
      </c>
      <c r="AA1781">
        <v>0.9702305</v>
      </c>
      <c r="AB1781">
        <v>20</v>
      </c>
      <c r="AC1781">
        <v>23.354600000000001</v>
      </c>
      <c r="AD1781">
        <v>-1.1101857066730001</v>
      </c>
      <c r="AE1781">
        <v>-5.8837999999999999</v>
      </c>
      <c r="AF1781">
        <v>5.8473867273532303</v>
      </c>
      <c r="AG1781">
        <v>-1.1101857066730001</v>
      </c>
      <c r="AH1781">
        <v>23.311098683557699</v>
      </c>
      <c r="AI1781">
        <v>92.644821281211804</v>
      </c>
      <c r="AJ1781">
        <v>75.918397055773099</v>
      </c>
      <c r="AK1781">
        <v>24.0589227871302</v>
      </c>
      <c r="AL1781">
        <v>84.785214544825195</v>
      </c>
      <c r="AM1781">
        <v>82.630522260468496</v>
      </c>
      <c r="AN1781">
        <v>0.99999999999539202</v>
      </c>
    </row>
    <row r="1782" spans="1:40" x14ac:dyDescent="0.25">
      <c r="A1782" t="str">
        <f>"20190312150701153"</f>
        <v>20190312150701153</v>
      </c>
      <c r="B1782" t="str">
        <f>"1552374421142415"</f>
        <v>1552374421142415</v>
      </c>
      <c r="C1782" t="s">
        <v>40</v>
      </c>
      <c r="D1782">
        <v>4.3487339999999897</v>
      </c>
      <c r="E1782">
        <v>0.5437052</v>
      </c>
      <c r="F1782" t="s">
        <v>49</v>
      </c>
      <c r="G1782">
        <v>-209.82859999999999</v>
      </c>
      <c r="H1782" s="1">
        <v>-6.4992789999999998E-6</v>
      </c>
      <c r="I1782">
        <v>361.47500000000002</v>
      </c>
      <c r="J1782">
        <v>-233.26759999999999</v>
      </c>
      <c r="K1782">
        <v>1.1101650000000001</v>
      </c>
      <c r="L1782">
        <v>367.4006</v>
      </c>
      <c r="M1782">
        <v>0.99990789999999996</v>
      </c>
      <c r="N1782">
        <v>0</v>
      </c>
      <c r="O1782">
        <v>-1.5101159999999999E-3</v>
      </c>
      <c r="P1782">
        <v>0.98855360000000003</v>
      </c>
      <c r="Q1782">
        <v>7.7898990000000001E-2</v>
      </c>
      <c r="R1782">
        <v>-0.12920480000000001</v>
      </c>
      <c r="S1782">
        <v>2.948807</v>
      </c>
      <c r="T1782">
        <v>-0.13912239999999901</v>
      </c>
      <c r="U1782">
        <v>-0.74264529999999995</v>
      </c>
      <c r="V1782">
        <v>0.1278456</v>
      </c>
      <c r="W1782">
        <v>9.1041040000000004E-2</v>
      </c>
      <c r="X1782">
        <v>0.98760669999999995</v>
      </c>
      <c r="Y1782">
        <v>0.2425032</v>
      </c>
      <c r="Z1782">
        <v>-5.5595069999999896E-3</v>
      </c>
      <c r="AA1782">
        <v>0.97013470000000002</v>
      </c>
      <c r="AB1782">
        <v>20</v>
      </c>
      <c r="AC1782">
        <v>23.439</v>
      </c>
      <c r="AD1782">
        <v>-1.1101714992789999</v>
      </c>
      <c r="AE1782">
        <v>-5.92559999999997</v>
      </c>
      <c r="AF1782">
        <v>5.8778004311362704</v>
      </c>
      <c r="AG1782">
        <v>-1.1101714992789999</v>
      </c>
      <c r="AH1782">
        <v>23.398583964288498</v>
      </c>
      <c r="AI1782">
        <v>92.634687938844095</v>
      </c>
      <c r="AJ1782">
        <v>75.8988889234667</v>
      </c>
      <c r="AK1782">
        <v>24.151081760449902</v>
      </c>
      <c r="AL1782">
        <v>84.776499723654396</v>
      </c>
      <c r="AM1782">
        <v>82.624083994817298</v>
      </c>
      <c r="AN1782">
        <v>0.99999998114426503</v>
      </c>
    </row>
    <row r="1783" spans="1:40" x14ac:dyDescent="0.25">
      <c r="A1783" t="str">
        <f>"20190312150701162"</f>
        <v>20190312150701162</v>
      </c>
      <c r="B1783" t="str">
        <f>"1552374421152175"</f>
        <v>1552374421152175</v>
      </c>
      <c r="C1783" t="s">
        <v>40</v>
      </c>
      <c r="D1783">
        <v>4.3296060000000001</v>
      </c>
      <c r="E1783">
        <v>0.54378660000000001</v>
      </c>
      <c r="F1783" t="s">
        <v>49</v>
      </c>
      <c r="G1783">
        <v>-209.71260000000001</v>
      </c>
      <c r="H1783" s="1">
        <v>-6.4641770000000003E-6</v>
      </c>
      <c r="I1783">
        <v>361.4511</v>
      </c>
      <c r="J1783">
        <v>-233.17400000000001</v>
      </c>
      <c r="K1783">
        <v>1.11015</v>
      </c>
      <c r="L1783">
        <v>367.4</v>
      </c>
      <c r="M1783">
        <v>0.99990710000000005</v>
      </c>
      <c r="N1783">
        <v>0</v>
      </c>
      <c r="O1783">
        <v>-2.0055910000000001E-3</v>
      </c>
      <c r="P1783">
        <v>0.98846630000000002</v>
      </c>
      <c r="Q1783">
        <v>7.8025910000000004E-2</v>
      </c>
      <c r="R1783">
        <v>-0.12979299999999999</v>
      </c>
      <c r="S1783">
        <v>2.9483489999999999</v>
      </c>
      <c r="T1783">
        <v>-0.13895859999999999</v>
      </c>
      <c r="U1783">
        <v>-0.74468990000000002</v>
      </c>
      <c r="V1783">
        <v>0.12794800000000001</v>
      </c>
      <c r="W1783">
        <v>9.1162119999999999E-2</v>
      </c>
      <c r="X1783">
        <v>0.98758230000000002</v>
      </c>
      <c r="Y1783">
        <v>0.24269170000000001</v>
      </c>
      <c r="Z1783">
        <v>-5.534733E-3</v>
      </c>
      <c r="AA1783">
        <v>0.9700877</v>
      </c>
      <c r="AB1783">
        <v>20</v>
      </c>
      <c r="AC1783">
        <v>23.461400000000001</v>
      </c>
      <c r="AD1783">
        <v>-1.1101564641770001</v>
      </c>
      <c r="AE1783">
        <v>-5.9488999999999796</v>
      </c>
      <c r="AF1783">
        <v>5.8894397295288403</v>
      </c>
      <c r="AG1783">
        <v>-1.1101564641770001</v>
      </c>
      <c r="AH1783">
        <v>23.4240061199121</v>
      </c>
      <c r="AI1783">
        <v>92.631657613407597</v>
      </c>
      <c r="AJ1783">
        <v>75.886802869328505</v>
      </c>
      <c r="AK1783">
        <v>24.178544422863599</v>
      </c>
      <c r="AL1783">
        <v>84.769533538590196</v>
      </c>
      <c r="AM1783">
        <v>82.618060900511097</v>
      </c>
      <c r="AN1783">
        <v>1.00000001105009</v>
      </c>
    </row>
    <row r="1784" spans="1:40" x14ac:dyDescent="0.25">
      <c r="A1784" t="str">
        <f>"20190312150701175"</f>
        <v>20190312150701175</v>
      </c>
      <c r="B1784" t="str">
        <f>"1552374421171695"</f>
        <v>1552374421171695</v>
      </c>
      <c r="C1784" t="s">
        <v>40</v>
      </c>
      <c r="D1784">
        <v>4.4012440000000002</v>
      </c>
      <c r="E1784">
        <v>0.54375779999999996</v>
      </c>
      <c r="F1784" t="s">
        <v>49</v>
      </c>
      <c r="G1784">
        <v>-209.56819999999999</v>
      </c>
      <c r="H1784" s="1">
        <v>-6.4213849999999998E-6</v>
      </c>
      <c r="I1784">
        <v>361.41579999999999</v>
      </c>
      <c r="J1784">
        <v>-233.0675</v>
      </c>
      <c r="K1784">
        <v>1.110134</v>
      </c>
      <c r="L1784">
        <v>367.39909999999998</v>
      </c>
      <c r="M1784">
        <v>0.99990579999999996</v>
      </c>
      <c r="N1784">
        <v>0</v>
      </c>
      <c r="O1784">
        <v>-2.5980130000000001E-3</v>
      </c>
      <c r="P1784">
        <v>0.98838309999999996</v>
      </c>
      <c r="Q1784">
        <v>7.8554479999999996E-2</v>
      </c>
      <c r="R1784">
        <v>-0.13011010000000001</v>
      </c>
      <c r="S1784">
        <v>2.9478149999999999</v>
      </c>
      <c r="T1784">
        <v>-0.13863310000000001</v>
      </c>
      <c r="U1784">
        <v>-0.7472839</v>
      </c>
      <c r="V1784">
        <v>0.1276844</v>
      </c>
      <c r="W1784">
        <v>9.1684459999999995E-2</v>
      </c>
      <c r="X1784">
        <v>0.987568</v>
      </c>
      <c r="Y1784">
        <v>0.2429624</v>
      </c>
      <c r="Z1784">
        <v>-5.5010179999999999E-3</v>
      </c>
      <c r="AA1784">
        <v>0.97002010000000005</v>
      </c>
      <c r="AB1784">
        <v>20</v>
      </c>
      <c r="AC1784">
        <v>23.499300000000002</v>
      </c>
      <c r="AD1784">
        <v>-1.1101404213849999</v>
      </c>
      <c r="AE1784">
        <v>-5.9832999999999803</v>
      </c>
      <c r="AF1784">
        <v>5.9098364759621003</v>
      </c>
      <c r="AG1784">
        <v>-1.1101404213849999</v>
      </c>
      <c r="AH1784">
        <v>23.465585781151098</v>
      </c>
      <c r="AI1784">
        <v>92.626700070210902</v>
      </c>
      <c r="AJ1784">
        <v>75.863972086623207</v>
      </c>
      <c r="AK1784">
        <v>24.223796048108699</v>
      </c>
      <c r="AL1784">
        <v>84.739479479841094</v>
      </c>
      <c r="AM1784">
        <v>82.6329965267972</v>
      </c>
      <c r="AN1784">
        <v>0.99999995041642398</v>
      </c>
    </row>
    <row r="1785" spans="1:40" x14ac:dyDescent="0.25">
      <c r="A1785" t="str">
        <f>"20190312150701188"</f>
        <v>20190312150701188</v>
      </c>
      <c r="B1785" t="str">
        <f>"1552374421182431"</f>
        <v>1552374421182431</v>
      </c>
      <c r="C1785" t="s">
        <v>40</v>
      </c>
      <c r="D1785">
        <v>4.3291879999999896</v>
      </c>
      <c r="E1785">
        <v>0.54376469999999999</v>
      </c>
      <c r="F1785" t="s">
        <v>49</v>
      </c>
      <c r="G1785">
        <v>-209.15170000000001</v>
      </c>
      <c r="H1785" s="1">
        <v>-6.2953100000000004E-6</v>
      </c>
      <c r="I1785">
        <v>361.3304</v>
      </c>
      <c r="J1785">
        <v>-232.9657</v>
      </c>
      <c r="K1785">
        <v>1.1101160000000001</v>
      </c>
      <c r="L1785">
        <v>367.39819999999997</v>
      </c>
      <c r="M1785">
        <v>0.99990409999999996</v>
      </c>
      <c r="N1785">
        <v>0</v>
      </c>
      <c r="O1785">
        <v>-3.1727700000000001E-3</v>
      </c>
      <c r="P1785">
        <v>0.98831009999999997</v>
      </c>
      <c r="Q1785">
        <v>7.9193769999999997E-2</v>
      </c>
      <c r="R1785">
        <v>-0.1302751</v>
      </c>
      <c r="S1785">
        <v>2.9476930000000001</v>
      </c>
      <c r="T1785">
        <v>-0.13682810000000001</v>
      </c>
      <c r="U1785">
        <v>-0.74798580000000003</v>
      </c>
      <c r="V1785">
        <v>0.12728629999999999</v>
      </c>
      <c r="W1785">
        <v>9.2318339999999999E-2</v>
      </c>
      <c r="X1785">
        <v>0.9875604</v>
      </c>
      <c r="Y1785">
        <v>0.24263879999999999</v>
      </c>
      <c r="Z1785">
        <v>-5.3958919999999898E-3</v>
      </c>
      <c r="AA1785">
        <v>0.97010169999999996</v>
      </c>
      <c r="AB1785">
        <v>20</v>
      </c>
      <c r="AC1785">
        <v>23.814</v>
      </c>
      <c r="AD1785">
        <v>-1.1101222953099901</v>
      </c>
      <c r="AE1785">
        <v>-6.0677999999999699</v>
      </c>
      <c r="AF1785">
        <v>5.9800034222680303</v>
      </c>
      <c r="AG1785">
        <v>-1.1101222953099901</v>
      </c>
      <c r="AH1785">
        <v>23.784598646220498</v>
      </c>
      <c r="AI1785">
        <v>92.591737403936406</v>
      </c>
      <c r="AJ1785">
        <v>75.887027608823402</v>
      </c>
      <c r="AK1785">
        <v>24.549947967412798</v>
      </c>
      <c r="AL1785">
        <v>84.703006461858806</v>
      </c>
      <c r="AM1785">
        <v>82.655658631303297</v>
      </c>
      <c r="AN1785">
        <v>1.0000000108581</v>
      </c>
    </row>
    <row r="1786" spans="1:40" x14ac:dyDescent="0.25">
      <c r="A1786" t="str">
        <f>"20190312150701198"</f>
        <v>20190312150701198</v>
      </c>
      <c r="B1786" t="str">
        <f>"1552374421192191"</f>
        <v>1552374421192191</v>
      </c>
      <c r="C1786" t="s">
        <v>40</v>
      </c>
      <c r="D1786">
        <v>4.595269</v>
      </c>
      <c r="E1786">
        <v>0.54376979999999997</v>
      </c>
      <c r="F1786" t="s">
        <v>49</v>
      </c>
      <c r="G1786">
        <v>-208.65770000000001</v>
      </c>
      <c r="H1786" s="1">
        <v>-6.1465299999999999E-6</v>
      </c>
      <c r="I1786">
        <v>361.2242</v>
      </c>
      <c r="J1786">
        <v>-232.8725</v>
      </c>
      <c r="K1786">
        <v>1.1101019999999999</v>
      </c>
      <c r="L1786">
        <v>367.39729999999997</v>
      </c>
      <c r="M1786">
        <v>0.99990210000000002</v>
      </c>
      <c r="N1786">
        <v>0</v>
      </c>
      <c r="O1786">
        <v>-3.7166040000000001E-3</v>
      </c>
      <c r="P1786">
        <v>0.98828800000000006</v>
      </c>
      <c r="Q1786">
        <v>7.9487650000000007E-2</v>
      </c>
      <c r="R1786">
        <v>-0.1302632</v>
      </c>
      <c r="S1786">
        <v>2.9475709999999999</v>
      </c>
      <c r="T1786">
        <v>-0.1346126</v>
      </c>
      <c r="U1786">
        <v>-0.74865719999999902</v>
      </c>
      <c r="V1786">
        <v>0.12674050000000001</v>
      </c>
      <c r="W1786">
        <v>9.2608899999999994E-2</v>
      </c>
      <c r="X1786">
        <v>0.98760340000000002</v>
      </c>
      <c r="Y1786">
        <v>0.242337</v>
      </c>
      <c r="Z1786">
        <v>-5.2774629999999996E-3</v>
      </c>
      <c r="AA1786">
        <v>0.97017779999999998</v>
      </c>
      <c r="AB1786">
        <v>20</v>
      </c>
      <c r="AC1786">
        <v>24.2148</v>
      </c>
      <c r="AD1786">
        <v>-1.11010814653</v>
      </c>
      <c r="AE1786">
        <v>-6.1730999999999696</v>
      </c>
      <c r="AF1786">
        <v>6.0710714646051098</v>
      </c>
      <c r="AG1786">
        <v>-1.11010814653</v>
      </c>
      <c r="AH1786">
        <v>24.189840644705999</v>
      </c>
      <c r="AI1786">
        <v>92.548613408456006</v>
      </c>
      <c r="AJ1786">
        <v>75.911132902991298</v>
      </c>
      <c r="AK1786">
        <v>24.964747930664299</v>
      </c>
      <c r="AL1786">
        <v>84.686287019494401</v>
      </c>
      <c r="AM1786">
        <v>82.687124271199195</v>
      </c>
      <c r="AN1786">
        <v>1.0000000191955001</v>
      </c>
    </row>
    <row r="1787" spans="1:40" x14ac:dyDescent="0.25">
      <c r="A1787" t="str">
        <f>"20190312150701209"</f>
        <v>20190312150701209</v>
      </c>
      <c r="B1787" t="str">
        <f>"1552374421201951"</f>
        <v>1552374421201951</v>
      </c>
      <c r="C1787" t="s">
        <v>40</v>
      </c>
      <c r="D1787">
        <v>4.3753820000000001</v>
      </c>
      <c r="E1787">
        <v>0.54377739999999997</v>
      </c>
      <c r="F1787" t="s">
        <v>49</v>
      </c>
      <c r="G1787">
        <v>-208.43020000000001</v>
      </c>
      <c r="H1787" s="1">
        <v>-6.0757790000000004E-6</v>
      </c>
      <c r="I1787">
        <v>361.18959999999998</v>
      </c>
      <c r="J1787">
        <v>-232.7747</v>
      </c>
      <c r="K1787">
        <v>1.110088</v>
      </c>
      <c r="L1787">
        <v>367.39620000000002</v>
      </c>
      <c r="M1787">
        <v>0.99989989999999995</v>
      </c>
      <c r="N1787">
        <v>0</v>
      </c>
      <c r="O1787">
        <v>-4.2948689999999998E-3</v>
      </c>
      <c r="P1787">
        <v>0.98825909999999995</v>
      </c>
      <c r="Q1787">
        <v>8.0023769999999994E-2</v>
      </c>
      <c r="R1787">
        <v>-0.13015470000000001</v>
      </c>
      <c r="S1787">
        <v>2.9476469999999999</v>
      </c>
      <c r="T1787">
        <v>-0.13387470000000001</v>
      </c>
      <c r="U1787">
        <v>-0.74862669999999998</v>
      </c>
      <c r="V1787">
        <v>0.12606410000000001</v>
      </c>
      <c r="W1787">
        <v>9.3142080000000002E-2</v>
      </c>
      <c r="X1787">
        <v>0.98763979999999996</v>
      </c>
      <c r="Y1787">
        <v>0.24176410000000001</v>
      </c>
      <c r="Z1787">
        <v>-5.2098049999999996E-3</v>
      </c>
      <c r="AA1787">
        <v>0.97032110000000005</v>
      </c>
      <c r="AB1787">
        <v>20</v>
      </c>
      <c r="AC1787">
        <v>24.344499999999901</v>
      </c>
      <c r="AD1787">
        <v>-1.1100940757790001</v>
      </c>
      <c r="AE1787">
        <v>-6.2066000000000301</v>
      </c>
      <c r="AF1787">
        <v>6.0900865228874697</v>
      </c>
      <c r="AG1787">
        <v>-1.1100940757790001</v>
      </c>
      <c r="AH1787">
        <v>24.3234453022929</v>
      </c>
      <c r="AI1787">
        <v>92.534956854268401</v>
      </c>
      <c r="AJ1787">
        <v>75.943305958480906</v>
      </c>
      <c r="AK1787">
        <v>25.0988337196566</v>
      </c>
      <c r="AL1787">
        <v>84.655605282567095</v>
      </c>
      <c r="AM1787">
        <v>82.725998361384498</v>
      </c>
      <c r="AN1787">
        <v>0.99999998945978796</v>
      </c>
    </row>
    <row r="1788" spans="1:40" x14ac:dyDescent="0.25">
      <c r="A1788" t="str">
        <f>"20190312150701220"</f>
        <v>20190312150701220</v>
      </c>
      <c r="B1788" t="str">
        <f>"1552374421211711"</f>
        <v>1552374421211711</v>
      </c>
      <c r="C1788" t="s">
        <v>40</v>
      </c>
      <c r="D1788">
        <v>4.2923790000000004</v>
      </c>
      <c r="E1788">
        <v>0.5438153</v>
      </c>
      <c r="F1788" t="s">
        <v>49</v>
      </c>
      <c r="G1788">
        <v>-208.0556</v>
      </c>
      <c r="H1788" s="1">
        <v>-5.9607770000000002E-6</v>
      </c>
      <c r="I1788">
        <v>361.12290000000002</v>
      </c>
      <c r="J1788">
        <v>-232.6694</v>
      </c>
      <c r="K1788">
        <v>1.110077</v>
      </c>
      <c r="L1788">
        <v>367.39510000000001</v>
      </c>
      <c r="M1788">
        <v>0.99989700000000004</v>
      </c>
      <c r="N1788">
        <v>0</v>
      </c>
      <c r="O1788">
        <v>-4.9281780000000001E-3</v>
      </c>
      <c r="P1788">
        <v>0.98821970000000003</v>
      </c>
      <c r="Q1788">
        <v>8.0353129999999995E-2</v>
      </c>
      <c r="R1788">
        <v>-0.13025229999999999</v>
      </c>
      <c r="S1788">
        <v>2.9478149999999999</v>
      </c>
      <c r="T1788">
        <v>-0.13238169999999999</v>
      </c>
      <c r="U1788">
        <v>-0.74810790000000005</v>
      </c>
      <c r="V1788">
        <v>0.1255387</v>
      </c>
      <c r="W1788">
        <v>9.3468700000000002E-2</v>
      </c>
      <c r="X1788">
        <v>0.98767590000000005</v>
      </c>
      <c r="Y1788">
        <v>0.24098240000000001</v>
      </c>
      <c r="Z1788">
        <v>-5.106335E-3</v>
      </c>
      <c r="AA1788">
        <v>0.97051609999999999</v>
      </c>
      <c r="AB1788">
        <v>20</v>
      </c>
      <c r="AC1788">
        <v>24.613800000000001</v>
      </c>
      <c r="AD1788">
        <v>-1.110082960777</v>
      </c>
      <c r="AE1788">
        <v>-6.27219999999999</v>
      </c>
      <c r="AF1788">
        <v>6.1390860406260597</v>
      </c>
      <c r="AG1788">
        <v>-1.110082960777</v>
      </c>
      <c r="AH1788">
        <v>24.597433616221299</v>
      </c>
      <c r="AI1788">
        <v>92.507200815890599</v>
      </c>
      <c r="AJ1788">
        <v>75.986279049287802</v>
      </c>
      <c r="AK1788">
        <v>25.376256660477601</v>
      </c>
      <c r="AL1788">
        <v>84.636809519960494</v>
      </c>
      <c r="AM1788">
        <v>82.756253631561805</v>
      </c>
      <c r="AN1788">
        <v>1.00000002325909</v>
      </c>
    </row>
    <row r="1789" spans="1:40" x14ac:dyDescent="0.25">
      <c r="A1789" t="str">
        <f>"20190312150701233"</f>
        <v>20190312150701233</v>
      </c>
      <c r="B1789" t="str">
        <f>"1552374421222447"</f>
        <v>1552374421222447</v>
      </c>
      <c r="C1789" t="s">
        <v>40</v>
      </c>
      <c r="D1789">
        <v>4.3591240000000004</v>
      </c>
      <c r="E1789">
        <v>0.54381599999999997</v>
      </c>
      <c r="F1789" t="s">
        <v>49</v>
      </c>
      <c r="G1789">
        <v>-207.6139</v>
      </c>
      <c r="H1789" s="1">
        <v>-5.8270539999999997E-6</v>
      </c>
      <c r="I1789">
        <v>361.0324</v>
      </c>
      <c r="J1789">
        <v>-232.56290000000001</v>
      </c>
      <c r="K1789">
        <v>1.1100639999999999</v>
      </c>
      <c r="L1789">
        <v>367.39389999999997</v>
      </c>
      <c r="M1789">
        <v>0.99989360000000005</v>
      </c>
      <c r="N1789">
        <v>0</v>
      </c>
      <c r="O1789">
        <v>-5.5782119999999999E-3</v>
      </c>
      <c r="P1789">
        <v>0.98820810000000003</v>
      </c>
      <c r="Q1789">
        <v>8.0416799999999997E-2</v>
      </c>
      <c r="R1789">
        <v>-0.13030120000000001</v>
      </c>
      <c r="S1789">
        <v>2.9477389999999999</v>
      </c>
      <c r="T1789">
        <v>-0.1305991</v>
      </c>
      <c r="U1789">
        <v>-0.748565699999999</v>
      </c>
      <c r="V1789">
        <v>0.12494669999999999</v>
      </c>
      <c r="W1789">
        <v>9.3531379999999997E-2</v>
      </c>
      <c r="X1789">
        <v>0.98774499999999998</v>
      </c>
      <c r="Y1789">
        <v>0.240506</v>
      </c>
      <c r="Z1789">
        <v>-4.9989580000000004E-3</v>
      </c>
      <c r="AA1789">
        <v>0.97063480000000002</v>
      </c>
      <c r="AB1789">
        <v>20</v>
      </c>
      <c r="AC1789">
        <v>24.949000000000002</v>
      </c>
      <c r="AD1789">
        <v>-1.1100698270539999</v>
      </c>
      <c r="AE1789">
        <v>-6.3614999999999702</v>
      </c>
      <c r="AF1789">
        <v>6.2106729952886397</v>
      </c>
      <c r="AG1789">
        <v>-1.1100698270539999</v>
      </c>
      <c r="AH1789">
        <v>24.9377458645254</v>
      </c>
      <c r="AI1789">
        <v>92.473310276511498</v>
      </c>
      <c r="AJ1789">
        <v>76.015154226908507</v>
      </c>
      <c r="AK1789">
        <v>25.7234500578557</v>
      </c>
      <c r="AL1789">
        <v>84.633202244992802</v>
      </c>
      <c r="AM1789">
        <v>82.790551578781404</v>
      </c>
      <c r="AN1789">
        <v>0.99999999095529701</v>
      </c>
    </row>
    <row r="1790" spans="1:40" x14ac:dyDescent="0.25">
      <c r="A1790" t="str">
        <f>"20190312150701243"</f>
        <v>20190312150701243</v>
      </c>
      <c r="B1790" t="str">
        <f>"1552374421232208"</f>
        <v>1552374421232208</v>
      </c>
      <c r="C1790" t="s">
        <v>40</v>
      </c>
      <c r="D1790">
        <v>4.3654999999999999</v>
      </c>
      <c r="E1790">
        <v>0.54380729999999999</v>
      </c>
      <c r="F1790" t="s">
        <v>49</v>
      </c>
      <c r="G1790">
        <v>-207.57509999999999</v>
      </c>
      <c r="H1790" s="1">
        <v>-5.8114529999999999E-6</v>
      </c>
      <c r="I1790">
        <v>361.04910000000001</v>
      </c>
      <c r="J1790">
        <v>-232.46690000000001</v>
      </c>
      <c r="K1790">
        <v>1.1100570000000001</v>
      </c>
      <c r="L1790">
        <v>367.39269999999999</v>
      </c>
      <c r="M1790">
        <v>0.9998901</v>
      </c>
      <c r="N1790">
        <v>0</v>
      </c>
      <c r="O1790">
        <v>-6.167886E-3</v>
      </c>
      <c r="P1790">
        <v>0.98820920000000001</v>
      </c>
      <c r="Q1790">
        <v>8.0270309999999997E-2</v>
      </c>
      <c r="R1790">
        <v>-0.13038179999999999</v>
      </c>
      <c r="S1790">
        <v>2.9477690000000001</v>
      </c>
      <c r="T1790">
        <v>-0.13095280000000001</v>
      </c>
      <c r="U1790">
        <v>-0.74847410000000003</v>
      </c>
      <c r="V1790">
        <v>0.124445</v>
      </c>
      <c r="W1790">
        <v>9.3384209999999995E-2</v>
      </c>
      <c r="X1790">
        <v>0.98782230000000004</v>
      </c>
      <c r="Y1790">
        <v>0.2399028</v>
      </c>
      <c r="Z1790">
        <v>-4.9735020000000003E-3</v>
      </c>
      <c r="AA1790">
        <v>0.97078419999999999</v>
      </c>
      <c r="AB1790">
        <v>20</v>
      </c>
      <c r="AC1790">
        <v>24.8918</v>
      </c>
      <c r="AD1790">
        <v>-1.110062811453</v>
      </c>
      <c r="AE1790">
        <v>-6.3435999999999799</v>
      </c>
      <c r="AF1790">
        <v>6.1783975789161101</v>
      </c>
      <c r="AG1790">
        <v>-1.110062811453</v>
      </c>
      <c r="AH1790">
        <v>24.8839863977053</v>
      </c>
      <c r="AI1790">
        <v>92.479071380086495</v>
      </c>
      <c r="AJ1790">
        <v>76.056108880854296</v>
      </c>
      <c r="AK1790">
        <v>25.663546425420499</v>
      </c>
      <c r="AL1790">
        <v>84.641671756445504</v>
      </c>
      <c r="AM1790">
        <v>82.819753038985993</v>
      </c>
      <c r="AN1790">
        <v>1.0000000325398</v>
      </c>
    </row>
    <row r="1791" spans="1:40" x14ac:dyDescent="0.25">
      <c r="A1791" t="str">
        <f>"20190312150701255"</f>
        <v>20190312150701255</v>
      </c>
      <c r="B1791" t="str">
        <f>"1552374421251727"</f>
        <v>1552374421251727</v>
      </c>
      <c r="C1791" t="s">
        <v>40</v>
      </c>
      <c r="D1791">
        <v>4.3551149999999996</v>
      </c>
      <c r="E1791">
        <v>0.54383340000000002</v>
      </c>
      <c r="F1791" t="s">
        <v>49</v>
      </c>
      <c r="G1791">
        <v>-207.64</v>
      </c>
      <c r="H1791" s="1">
        <v>-5.8274250000000004E-6</v>
      </c>
      <c r="I1791">
        <v>361.08609999999999</v>
      </c>
      <c r="J1791">
        <v>-232.3663</v>
      </c>
      <c r="K1791">
        <v>1.110055</v>
      </c>
      <c r="L1791">
        <v>367.39139999999998</v>
      </c>
      <c r="M1791">
        <v>0.99988619999999995</v>
      </c>
      <c r="N1791">
        <v>0</v>
      </c>
      <c r="O1791">
        <v>-6.791788E-3</v>
      </c>
      <c r="P1791">
        <v>0.98827810000000005</v>
      </c>
      <c r="Q1791">
        <v>7.9718209999999998E-2</v>
      </c>
      <c r="R1791">
        <v>-0.1301996</v>
      </c>
      <c r="S1791">
        <v>2.9476779999999998</v>
      </c>
      <c r="T1791">
        <v>-0.1317972</v>
      </c>
      <c r="U1791">
        <v>-0.74877930000000004</v>
      </c>
      <c r="V1791">
        <v>0.1236442</v>
      </c>
      <c r="W1791">
        <v>9.2834899999999998E-2</v>
      </c>
      <c r="X1791">
        <v>0.98797460000000004</v>
      </c>
      <c r="Y1791">
        <v>0.2393969</v>
      </c>
      <c r="Z1791">
        <v>-4.9670640000000002E-3</v>
      </c>
      <c r="AA1791">
        <v>0.97090909999999997</v>
      </c>
      <c r="AB1791">
        <v>20</v>
      </c>
      <c r="AC1791">
        <v>24.726299999999998</v>
      </c>
      <c r="AD1791">
        <v>-1.1100608274249999</v>
      </c>
      <c r="AE1791">
        <v>-6.3052999999999804</v>
      </c>
      <c r="AF1791">
        <v>6.1256113650056703</v>
      </c>
      <c r="AG1791">
        <v>-1.1100608274249999</v>
      </c>
      <c r="AH1791">
        <v>24.721774069976099</v>
      </c>
      <c r="AI1791">
        <v>92.495607607388493</v>
      </c>
      <c r="AJ1791">
        <v>76.083423815071399</v>
      </c>
      <c r="AK1791">
        <v>25.493557280274</v>
      </c>
      <c r="AL1791">
        <v>84.673282092277503</v>
      </c>
      <c r="AM1791">
        <v>82.866568550500105</v>
      </c>
      <c r="AN1791">
        <v>1.0000000085484</v>
      </c>
    </row>
    <row r="1792" spans="1:40" x14ac:dyDescent="0.25">
      <c r="A1792" t="str">
        <f>"20190312150701267"</f>
        <v>20190312150701267</v>
      </c>
      <c r="B1792" t="str">
        <f>"1552374421262464"</f>
        <v>1552374421262464</v>
      </c>
      <c r="C1792" t="s">
        <v>40</v>
      </c>
      <c r="D1792">
        <v>4.363632</v>
      </c>
      <c r="E1792">
        <v>0.54382619999999904</v>
      </c>
      <c r="F1792" t="s">
        <v>49</v>
      </c>
      <c r="G1792">
        <v>-207.97659999999999</v>
      </c>
      <c r="H1792" s="1">
        <v>-5.9224030000000001E-6</v>
      </c>
      <c r="I1792">
        <v>361.19940000000003</v>
      </c>
      <c r="J1792">
        <v>-232.2681</v>
      </c>
      <c r="K1792">
        <v>1.110055</v>
      </c>
      <c r="L1792">
        <v>367.39</v>
      </c>
      <c r="M1792">
        <v>0.99988189999999999</v>
      </c>
      <c r="N1792">
        <v>0</v>
      </c>
      <c r="O1792">
        <v>-7.4017219999999899E-3</v>
      </c>
      <c r="P1792">
        <v>0.98833070000000001</v>
      </c>
      <c r="Q1792">
        <v>7.9050190000000006E-2</v>
      </c>
      <c r="R1792">
        <v>-0.13020670000000001</v>
      </c>
      <c r="S1792">
        <v>2.9478149999999999</v>
      </c>
      <c r="T1792">
        <v>-0.13416539999999999</v>
      </c>
      <c r="U1792">
        <v>-0.74838260000000001</v>
      </c>
      <c r="V1792">
        <v>0.123046</v>
      </c>
      <c r="W1792">
        <v>9.2169249999999994E-2</v>
      </c>
      <c r="X1792">
        <v>0.98811159999999998</v>
      </c>
      <c r="Y1792">
        <v>0.2386645</v>
      </c>
      <c r="Z1792">
        <v>-5.0123809999999998E-3</v>
      </c>
      <c r="AA1792">
        <v>0.97108910000000004</v>
      </c>
      <c r="AB1792">
        <v>20</v>
      </c>
      <c r="AC1792">
        <v>24.291499999999999</v>
      </c>
      <c r="AD1792">
        <v>-1.110060922403</v>
      </c>
      <c r="AE1792">
        <v>-6.1905999999999599</v>
      </c>
      <c r="AF1792">
        <v>5.9988519556303999</v>
      </c>
      <c r="AG1792">
        <v>-1.110060922403</v>
      </c>
      <c r="AH1792">
        <v>24.289031172801899</v>
      </c>
      <c r="AI1792">
        <v>92.540488428281293</v>
      </c>
      <c r="AJ1792">
        <v>76.126844478476102</v>
      </c>
      <c r="AK1792">
        <v>25.0434721105193</v>
      </c>
      <c r="AL1792">
        <v>84.711585268597702</v>
      </c>
      <c r="AM1792">
        <v>82.901701899702303</v>
      </c>
      <c r="AN1792">
        <v>1.0000000114080601</v>
      </c>
    </row>
    <row r="1793" spans="1:40" x14ac:dyDescent="0.25">
      <c r="A1793" t="str">
        <f>"20190312150701288"</f>
        <v>20190312150701288</v>
      </c>
      <c r="B1793" t="str">
        <f>"1552374421281982"</f>
        <v>1552374421281982</v>
      </c>
      <c r="C1793" t="s">
        <v>40</v>
      </c>
      <c r="D1793">
        <v>4.3449080000000002</v>
      </c>
      <c r="E1793">
        <v>0.54384929999999998</v>
      </c>
      <c r="F1793" t="s">
        <v>49</v>
      </c>
      <c r="G1793">
        <v>-208.2433</v>
      </c>
      <c r="H1793" s="1">
        <v>-5.9977259999999996E-6</v>
      </c>
      <c r="I1793">
        <v>361.28859999999997</v>
      </c>
      <c r="J1793">
        <v>-232.0977</v>
      </c>
      <c r="K1793">
        <v>1.1100570000000001</v>
      </c>
      <c r="L1793">
        <v>367.38749999999999</v>
      </c>
      <c r="M1793">
        <v>0.99987349999999997</v>
      </c>
      <c r="N1793">
        <v>0</v>
      </c>
      <c r="O1793">
        <v>-8.4626960000000005E-3</v>
      </c>
      <c r="P1793">
        <v>0.98835550000000005</v>
      </c>
      <c r="Q1793">
        <v>7.8097239999999998E-2</v>
      </c>
      <c r="R1793">
        <v>-0.1305936</v>
      </c>
      <c r="S1793">
        <v>2.9476930000000001</v>
      </c>
      <c r="T1793">
        <v>-0.1361974</v>
      </c>
      <c r="U1793">
        <v>-0.74859619999999905</v>
      </c>
      <c r="V1793">
        <v>0.1223793</v>
      </c>
      <c r="W1793">
        <v>9.1221010000000005E-2</v>
      </c>
      <c r="X1793">
        <v>0.98828240000000001</v>
      </c>
      <c r="Y1793">
        <v>0.23770479999999999</v>
      </c>
      <c r="Z1793">
        <v>-5.0183559999999999E-3</v>
      </c>
      <c r="AA1793">
        <v>0.97132439999999998</v>
      </c>
      <c r="AB1793">
        <v>20</v>
      </c>
      <c r="AC1793">
        <v>23.854399999999998</v>
      </c>
      <c r="AD1793">
        <v>-1.1100629977259999</v>
      </c>
      <c r="AE1793">
        <v>-6.0989000000000102</v>
      </c>
      <c r="AF1793">
        <v>5.8848290325823696</v>
      </c>
      <c r="AG1793">
        <v>-1.1100629977259999</v>
      </c>
      <c r="AH1793">
        <v>23.8566716426174</v>
      </c>
      <c r="AI1793">
        <v>92.586655468516796</v>
      </c>
      <c r="AJ1793">
        <v>76.143233385007207</v>
      </c>
      <c r="AK1793">
        <v>24.5968338300951</v>
      </c>
      <c r="AL1793">
        <v>84.766145392663205</v>
      </c>
      <c r="AM1793">
        <v>82.940981283771407</v>
      </c>
      <c r="AN1793">
        <v>1.00000003394183</v>
      </c>
    </row>
    <row r="1794" spans="1:40" x14ac:dyDescent="0.25">
      <c r="A1794" t="str">
        <f>"20190312150701300"</f>
        <v>20190312150701300</v>
      </c>
      <c r="B1794" t="str">
        <f>"1552374421291743"</f>
        <v>1552374421291743</v>
      </c>
      <c r="C1794" t="s">
        <v>40</v>
      </c>
      <c r="D1794">
        <v>4.3060519999999904</v>
      </c>
      <c r="E1794">
        <v>0.54384339999999998</v>
      </c>
      <c r="F1794" t="s">
        <v>49</v>
      </c>
      <c r="G1794">
        <v>-208.54599999999999</v>
      </c>
      <c r="H1794" s="1">
        <v>-6.0830780000000001E-6</v>
      </c>
      <c r="I1794">
        <v>361.39089999999999</v>
      </c>
      <c r="J1794">
        <v>-231.9682</v>
      </c>
      <c r="K1794">
        <v>1.1100589999999999</v>
      </c>
      <c r="L1794">
        <v>367.38549999999998</v>
      </c>
      <c r="M1794">
        <v>0.99986629999999999</v>
      </c>
      <c r="N1794">
        <v>0</v>
      </c>
      <c r="O1794">
        <v>-9.2655810000000002E-3</v>
      </c>
      <c r="P1794">
        <v>0.98832500000000001</v>
      </c>
      <c r="Q1794">
        <v>7.7541269999999995E-2</v>
      </c>
      <c r="R1794">
        <v>-0.13115399999999999</v>
      </c>
      <c r="S1794">
        <v>2.947174</v>
      </c>
      <c r="T1794">
        <v>-0.13890910000000001</v>
      </c>
      <c r="U1794">
        <v>-0.75039669999999903</v>
      </c>
      <c r="V1794">
        <v>0.12214220000000001</v>
      </c>
      <c r="W1794">
        <v>9.0668280000000004E-2</v>
      </c>
      <c r="X1794">
        <v>0.98836259999999998</v>
      </c>
      <c r="Y1794">
        <v>0.2375148</v>
      </c>
      <c r="Z1794">
        <v>-5.0770440000000002E-3</v>
      </c>
      <c r="AA1794">
        <v>0.97137059999999997</v>
      </c>
      <c r="AB1794">
        <v>19</v>
      </c>
      <c r="AC1794">
        <v>23.4222</v>
      </c>
      <c r="AD1794">
        <v>-1.1100650830779999</v>
      </c>
      <c r="AE1794">
        <v>-5.9945999999999904</v>
      </c>
      <c r="AF1794">
        <v>5.7651492524400503</v>
      </c>
      <c r="AG1794">
        <v>-1.1100650830779999</v>
      </c>
      <c r="AH1794">
        <v>23.427356194716499</v>
      </c>
      <c r="AI1794">
        <v>92.634355081833306</v>
      </c>
      <c r="AJ1794">
        <v>76.175003057960296</v>
      </c>
      <c r="AK1794">
        <v>24.151815846136699</v>
      </c>
      <c r="AL1794">
        <v>84.797946312350007</v>
      </c>
      <c r="AM1794">
        <v>82.955085938010399</v>
      </c>
      <c r="AN1794">
        <v>1.0000000415488699</v>
      </c>
    </row>
    <row r="1795" spans="1:40" x14ac:dyDescent="0.25">
      <c r="A1795" t="str">
        <f>"20190312150701313"</f>
        <v>20190312150701313</v>
      </c>
      <c r="B1795" t="str">
        <f>"1552374421302479"</f>
        <v>1552374421302479</v>
      </c>
      <c r="C1795" t="s">
        <v>40</v>
      </c>
      <c r="D1795">
        <v>4.4022600000000001</v>
      </c>
      <c r="E1795">
        <v>0.54386129999999999</v>
      </c>
      <c r="F1795" t="s">
        <v>49</v>
      </c>
      <c r="G1795">
        <v>-208.64519999999999</v>
      </c>
      <c r="H1795" s="1">
        <v>-6.1099700000000004E-6</v>
      </c>
      <c r="I1795">
        <v>361.43150000000003</v>
      </c>
      <c r="J1795">
        <v>-231.86760000000001</v>
      </c>
      <c r="K1795">
        <v>1.1100620000000001</v>
      </c>
      <c r="L1795">
        <v>367.38389999999998</v>
      </c>
      <c r="M1795">
        <v>0.99986039999999998</v>
      </c>
      <c r="N1795">
        <v>0</v>
      </c>
      <c r="O1795">
        <v>-9.8854029999999992E-3</v>
      </c>
      <c r="P1795">
        <v>0.98827799999999999</v>
      </c>
      <c r="Q1795">
        <v>7.7396599999999996E-2</v>
      </c>
      <c r="R1795">
        <v>-0.13159170000000001</v>
      </c>
      <c r="S1795">
        <v>2.946625</v>
      </c>
      <c r="T1795">
        <v>-0.14024539999999999</v>
      </c>
      <c r="U1795">
        <v>-0.7522278</v>
      </c>
      <c r="V1795">
        <v>0.12196510000000001</v>
      </c>
      <c r="W1795">
        <v>9.0525809999999998E-2</v>
      </c>
      <c r="X1795">
        <v>0.98839750000000004</v>
      </c>
      <c r="Y1795">
        <v>0.23751890000000001</v>
      </c>
      <c r="Z1795">
        <v>-5.0974640000000003E-3</v>
      </c>
      <c r="AA1795">
        <v>0.97136960000000006</v>
      </c>
      <c r="AB1795">
        <v>19</v>
      </c>
      <c r="AC1795">
        <v>23.2224</v>
      </c>
      <c r="AD1795">
        <v>-1.11006810997</v>
      </c>
      <c r="AE1795">
        <v>-5.9523999999999502</v>
      </c>
      <c r="AF1795">
        <v>5.7102819389481496</v>
      </c>
      <c r="AG1795">
        <v>-1.11006810997</v>
      </c>
      <c r="AH1795">
        <v>23.2303036781088</v>
      </c>
      <c r="AI1795">
        <v>92.656845375839197</v>
      </c>
      <c r="AJ1795">
        <v>76.189830584227806</v>
      </c>
      <c r="AK1795">
        <v>23.947579836138001</v>
      </c>
      <c r="AL1795">
        <v>84.806142800364896</v>
      </c>
      <c r="AM1795">
        <v>82.965444191492296</v>
      </c>
      <c r="AN1795">
        <v>1.0000000129502</v>
      </c>
    </row>
    <row r="1796" spans="1:40" x14ac:dyDescent="0.25">
      <c r="A1796" t="str">
        <f>"20190312150701322"</f>
        <v>20190312150701322</v>
      </c>
      <c r="B1796" t="str">
        <f>"1552374421312239"</f>
        <v>1552374421312239</v>
      </c>
      <c r="C1796" t="s">
        <v>40</v>
      </c>
      <c r="D1796">
        <v>4.3659280000000003</v>
      </c>
      <c r="E1796">
        <v>0.54386829999999997</v>
      </c>
      <c r="F1796" t="s">
        <v>49</v>
      </c>
      <c r="G1796">
        <v>-208.6156</v>
      </c>
      <c r="H1796" s="1">
        <v>-6.1000699999999999E-6</v>
      </c>
      <c r="I1796">
        <v>361.4314</v>
      </c>
      <c r="J1796">
        <v>-231.77090000000001</v>
      </c>
      <c r="K1796">
        <v>1.1100650000000001</v>
      </c>
      <c r="L1796">
        <v>367.38220000000001</v>
      </c>
      <c r="M1796">
        <v>0.99985429999999997</v>
      </c>
      <c r="N1796">
        <v>0</v>
      </c>
      <c r="O1796">
        <v>-1.048031E-2</v>
      </c>
      <c r="P1796">
        <v>0.98824959999999995</v>
      </c>
      <c r="Q1796">
        <v>7.733516E-2</v>
      </c>
      <c r="R1796">
        <v>-0.1318416</v>
      </c>
      <c r="S1796">
        <v>2.946167</v>
      </c>
      <c r="T1796">
        <v>-0.1406521</v>
      </c>
      <c r="U1796">
        <v>-0.75421139999999998</v>
      </c>
      <c r="V1796">
        <v>0.1216246</v>
      </c>
      <c r="W1796">
        <v>9.0466920000000006E-2</v>
      </c>
      <c r="X1796">
        <v>0.98844480000000001</v>
      </c>
      <c r="Y1796">
        <v>0.2375901</v>
      </c>
      <c r="Z1796">
        <v>-5.0863310000000004E-3</v>
      </c>
      <c r="AA1796">
        <v>0.9713522</v>
      </c>
      <c r="AB1796">
        <v>19</v>
      </c>
      <c r="AC1796">
        <v>23.1553</v>
      </c>
      <c r="AD1796">
        <v>-1.1100711000700001</v>
      </c>
      <c r="AE1796">
        <v>-5.9508000000000099</v>
      </c>
      <c r="AF1796">
        <v>5.6954975598569302</v>
      </c>
      <c r="AG1796">
        <v>-1.1100711000700001</v>
      </c>
      <c r="AH1796">
        <v>23.166455869085599</v>
      </c>
      <c r="AI1796">
        <v>92.664140163701106</v>
      </c>
      <c r="AJ1796">
        <v>76.187707832581395</v>
      </c>
      <c r="AK1796">
        <v>23.882119416748498</v>
      </c>
      <c r="AL1796">
        <v>84.809530600029802</v>
      </c>
      <c r="AM1796">
        <v>82.985219538085403</v>
      </c>
      <c r="AN1796">
        <v>0.99999996479324205</v>
      </c>
    </row>
    <row r="1797" spans="1:40" x14ac:dyDescent="0.25">
      <c r="A1797" t="str">
        <f>"20190312150701334"</f>
        <v>20190312150701334</v>
      </c>
      <c r="B1797" t="str">
        <f>"1552374421331760"</f>
        <v>1552374421331760</v>
      </c>
      <c r="C1797" t="s">
        <v>40</v>
      </c>
      <c r="D1797">
        <v>4.2714980000000002</v>
      </c>
      <c r="E1797">
        <v>0.5438904</v>
      </c>
      <c r="F1797" t="s">
        <v>49</v>
      </c>
      <c r="G1797">
        <v>-208.529</v>
      </c>
      <c r="H1797" s="1">
        <v>-6.0724609999999999E-6</v>
      </c>
      <c r="I1797">
        <v>361.42239999999998</v>
      </c>
      <c r="J1797">
        <v>-231.67609999999999</v>
      </c>
      <c r="K1797">
        <v>1.1100760000000001</v>
      </c>
      <c r="L1797">
        <v>367.38060000000002</v>
      </c>
      <c r="M1797">
        <v>0.99984819999999996</v>
      </c>
      <c r="N1797">
        <v>0</v>
      </c>
      <c r="O1797">
        <v>-1.1055809999999999E-2</v>
      </c>
      <c r="P1797">
        <v>0.98822330000000003</v>
      </c>
      <c r="Q1797">
        <v>7.7030310000000005E-2</v>
      </c>
      <c r="R1797">
        <v>-0.13221869999999999</v>
      </c>
      <c r="S1797">
        <v>2.9459080000000002</v>
      </c>
      <c r="T1797">
        <v>-0.14070139999999901</v>
      </c>
      <c r="U1797">
        <v>-0.75540160000000001</v>
      </c>
      <c r="V1797">
        <v>0.12143</v>
      </c>
      <c r="W1797">
        <v>9.0164430000000004E-2</v>
      </c>
      <c r="X1797">
        <v>0.98849640000000005</v>
      </c>
      <c r="Y1797">
        <v>0.23742050000000001</v>
      </c>
      <c r="Z1797">
        <v>-5.0572960000000002E-3</v>
      </c>
      <c r="AA1797">
        <v>0.97139379999999997</v>
      </c>
      <c r="AB1797">
        <v>19</v>
      </c>
      <c r="AC1797">
        <v>23.147099999999899</v>
      </c>
      <c r="AD1797">
        <v>-1.1100820724609901</v>
      </c>
      <c r="AE1797">
        <v>-5.9582000000000299</v>
      </c>
      <c r="AF1797">
        <v>5.6896299747936299</v>
      </c>
      <c r="AG1797">
        <v>-1.1100820724609901</v>
      </c>
      <c r="AH1797">
        <v>23.161603642574701</v>
      </c>
      <c r="AI1797">
        <v>92.664848246899595</v>
      </c>
      <c r="AJ1797">
        <v>76.1986131204863</v>
      </c>
      <c r="AK1797">
        <v>23.876014214131299</v>
      </c>
      <c r="AL1797">
        <v>84.826933310086304</v>
      </c>
      <c r="AM1797">
        <v>82.996693631633093</v>
      </c>
      <c r="AN1797">
        <v>1.00000000107509</v>
      </c>
    </row>
    <row r="1798" spans="1:40" x14ac:dyDescent="0.25">
      <c r="A1798" t="str">
        <f>"20190312150701346"</f>
        <v>20190312150701346</v>
      </c>
      <c r="B1798" t="str">
        <f>"1552374421342495"</f>
        <v>1552374421342495</v>
      </c>
      <c r="C1798" t="s">
        <v>40</v>
      </c>
      <c r="D1798">
        <v>4.2969339999999896</v>
      </c>
      <c r="E1798">
        <v>0.54385240000000001</v>
      </c>
      <c r="F1798" t="s">
        <v>49</v>
      </c>
      <c r="G1798">
        <v>-208.74870000000001</v>
      </c>
      <c r="H1798" s="1">
        <v>-6.1355129999999997E-6</v>
      </c>
      <c r="I1798">
        <v>361.48970000000003</v>
      </c>
      <c r="J1798">
        <v>-231.5762</v>
      </c>
      <c r="K1798">
        <v>1.110079</v>
      </c>
      <c r="L1798">
        <v>367.37880000000001</v>
      </c>
      <c r="M1798">
        <v>0.99984130000000004</v>
      </c>
      <c r="N1798">
        <v>0</v>
      </c>
      <c r="O1798">
        <v>-1.1661100000000001E-2</v>
      </c>
      <c r="P1798">
        <v>0.98816059999999994</v>
      </c>
      <c r="Q1798">
        <v>7.699918E-2</v>
      </c>
      <c r="R1798">
        <v>-0.1327033</v>
      </c>
      <c r="S1798">
        <v>2.9456180000000001</v>
      </c>
      <c r="T1798">
        <v>-0.14261869999999999</v>
      </c>
      <c r="U1798">
        <v>-0.75683590000000001</v>
      </c>
      <c r="V1798">
        <v>0.1213147</v>
      </c>
      <c r="W1798">
        <v>9.0134989999999998E-2</v>
      </c>
      <c r="X1798">
        <v>0.98851319999999998</v>
      </c>
      <c r="Y1798">
        <v>0.23729339999999999</v>
      </c>
      <c r="Z1798">
        <v>-5.0944880000000003E-3</v>
      </c>
      <c r="AA1798">
        <v>0.97142470000000003</v>
      </c>
      <c r="AB1798">
        <v>19</v>
      </c>
      <c r="AC1798">
        <v>22.827499999999901</v>
      </c>
      <c r="AD1798">
        <v>-1.1100851355129999</v>
      </c>
      <c r="AE1798">
        <v>-5.8890999999999796</v>
      </c>
      <c r="AF1798">
        <v>5.61004279578711</v>
      </c>
      <c r="AG1798">
        <v>-1.1100851355129999</v>
      </c>
      <c r="AH1798">
        <v>22.843976657906499</v>
      </c>
      <c r="AI1798">
        <v>92.701896458455195</v>
      </c>
      <c r="AJ1798">
        <v>76.202308774903102</v>
      </c>
      <c r="AK1798">
        <v>23.548930734231401</v>
      </c>
      <c r="AL1798">
        <v>84.828626779668994</v>
      </c>
      <c r="AM1798">
        <v>83.003395188285793</v>
      </c>
      <c r="AN1798">
        <v>0.99999995971631395</v>
      </c>
    </row>
    <row r="1799" spans="1:40" x14ac:dyDescent="0.25">
      <c r="A1799" t="str">
        <f>"20190312150701359"</f>
        <v>20190312150701359</v>
      </c>
      <c r="B1799" t="str">
        <f>"1552374421352255"</f>
        <v>1552374421352255</v>
      </c>
      <c r="C1799" t="s">
        <v>40</v>
      </c>
      <c r="D1799">
        <v>4.2859990000000003</v>
      </c>
      <c r="E1799">
        <v>0.54385249999999996</v>
      </c>
      <c r="F1799" t="s">
        <v>49</v>
      </c>
      <c r="G1799">
        <v>-208.74680000000001</v>
      </c>
      <c r="H1799" s="1">
        <v>-6.13303099999999E-6</v>
      </c>
      <c r="I1799">
        <v>361.50150000000002</v>
      </c>
      <c r="J1799">
        <v>-231.46559999999999</v>
      </c>
      <c r="K1799">
        <v>1.1100829999999999</v>
      </c>
      <c r="L1799">
        <v>367.37670000000003</v>
      </c>
      <c r="M1799">
        <v>0.99983330000000004</v>
      </c>
      <c r="N1799">
        <v>0</v>
      </c>
      <c r="O1799">
        <v>-1.2323840000000001E-2</v>
      </c>
      <c r="P1799">
        <v>0.9881122</v>
      </c>
      <c r="Q1799">
        <v>7.6705770000000006E-2</v>
      </c>
      <c r="R1799">
        <v>-0.1332323</v>
      </c>
      <c r="S1799">
        <v>2.9452820000000002</v>
      </c>
      <c r="T1799">
        <v>-0.14321489999999901</v>
      </c>
      <c r="U1799">
        <v>-0.75823969999999996</v>
      </c>
      <c r="V1799">
        <v>0.121186</v>
      </c>
      <c r="W1799">
        <v>8.9843389999999995E-2</v>
      </c>
      <c r="X1799">
        <v>0.98855559999999998</v>
      </c>
      <c r="Y1799">
        <v>0.2371093</v>
      </c>
      <c r="Z1799">
        <v>-5.0799590000000002E-3</v>
      </c>
      <c r="AA1799">
        <v>0.97146969999999999</v>
      </c>
      <c r="AB1799">
        <v>19</v>
      </c>
      <c r="AC1799">
        <v>22.718799999999899</v>
      </c>
      <c r="AD1799">
        <v>-1.1100891330310001</v>
      </c>
      <c r="AE1799">
        <v>-5.8752000000000004</v>
      </c>
      <c r="AF1799">
        <v>5.5822532426975497</v>
      </c>
      <c r="AG1799">
        <v>-1.1100891330310001</v>
      </c>
      <c r="AH1799">
        <v>22.7386004389014</v>
      </c>
      <c r="AI1799">
        <v>92.714461536698195</v>
      </c>
      <c r="AJ1799">
        <v>76.206850644341799</v>
      </c>
      <c r="AK1799">
        <v>23.440089570411001</v>
      </c>
      <c r="AL1799">
        <v>84.845402644224805</v>
      </c>
      <c r="AM1799">
        <v>83.011041083767907</v>
      </c>
      <c r="AN1799">
        <v>1.00000002780702</v>
      </c>
    </row>
    <row r="1800" spans="1:40" x14ac:dyDescent="0.25">
      <c r="A1800" t="str">
        <f>"20190312150701369"</f>
        <v>20190312150701369</v>
      </c>
      <c r="B1800" t="str">
        <f>"1552374421362015"</f>
        <v>1552374421362015</v>
      </c>
      <c r="C1800" t="s">
        <v>40</v>
      </c>
      <c r="D1800">
        <v>4.291976</v>
      </c>
      <c r="E1800">
        <v>0.54384080000000001</v>
      </c>
      <c r="F1800" t="s">
        <v>49</v>
      </c>
      <c r="G1800">
        <v>-208.88390000000001</v>
      </c>
      <c r="H1800" s="1">
        <v>-6.1716180000000004E-6</v>
      </c>
      <c r="I1800">
        <v>361.54840000000002</v>
      </c>
      <c r="J1800">
        <v>-231.36940000000001</v>
      </c>
      <c r="K1800">
        <v>1.110085</v>
      </c>
      <c r="L1800">
        <v>367.37479999999999</v>
      </c>
      <c r="M1800">
        <v>0.99982610000000005</v>
      </c>
      <c r="N1800">
        <v>0</v>
      </c>
      <c r="O1800">
        <v>-1.289709E-2</v>
      </c>
      <c r="P1800">
        <v>0.98807529999999999</v>
      </c>
      <c r="Q1800">
        <v>7.6483910000000002E-2</v>
      </c>
      <c r="R1800">
        <v>-0.1336329</v>
      </c>
      <c r="S1800">
        <v>2.944855</v>
      </c>
      <c r="T1800">
        <v>-0.14476559999999999</v>
      </c>
      <c r="U1800">
        <v>-0.76007080000000005</v>
      </c>
      <c r="V1800">
        <v>0.121017899999999</v>
      </c>
      <c r="W1800">
        <v>8.9623030000000006E-2</v>
      </c>
      <c r="X1800">
        <v>0.98859609999999998</v>
      </c>
      <c r="Y1800">
        <v>0.23714789999999999</v>
      </c>
      <c r="Z1800">
        <v>-5.1084750000000003E-3</v>
      </c>
      <c r="AA1800">
        <v>0.97146010000000005</v>
      </c>
      <c r="AB1800">
        <v>19</v>
      </c>
      <c r="AC1800">
        <v>22.485499999999998</v>
      </c>
      <c r="AD1800">
        <v>-1.110091171618</v>
      </c>
      <c r="AE1800">
        <v>-5.8263999999999703</v>
      </c>
      <c r="AF1800">
        <v>5.5232765126437604</v>
      </c>
      <c r="AG1800">
        <v>-1.110091171618</v>
      </c>
      <c r="AH1800">
        <v>22.507373834634102</v>
      </c>
      <c r="AI1800">
        <v>92.742373161827203</v>
      </c>
      <c r="AJ1800">
        <v>76.212160073283897</v>
      </c>
      <c r="AK1800">
        <v>23.2017405117892</v>
      </c>
      <c r="AL1800">
        <v>84.858079000086903</v>
      </c>
      <c r="AM1800">
        <v>83.020923058743094</v>
      </c>
      <c r="AN1800">
        <v>0.99999993428099798</v>
      </c>
    </row>
    <row r="1801" spans="1:40" x14ac:dyDescent="0.25">
      <c r="A1801" t="str">
        <f>"20190312150701380"</f>
        <v>20190312150701380</v>
      </c>
      <c r="B1801" t="str">
        <f>"1552374421371777"</f>
        <v>1552374421371777</v>
      </c>
      <c r="C1801" t="s">
        <v>40</v>
      </c>
      <c r="D1801">
        <v>4.2880539999999998</v>
      </c>
      <c r="E1801">
        <v>0.54382810000000004</v>
      </c>
      <c r="F1801" t="s">
        <v>49</v>
      </c>
      <c r="G1801">
        <v>-208.97380000000001</v>
      </c>
      <c r="H1801" s="1">
        <v>-6.1964840000000003E-6</v>
      </c>
      <c r="I1801">
        <v>361.58170000000001</v>
      </c>
      <c r="J1801">
        <v>-231.27369999999999</v>
      </c>
      <c r="K1801">
        <v>1.1100920000000001</v>
      </c>
      <c r="L1801">
        <v>367.37290000000002</v>
      </c>
      <c r="M1801">
        <v>0.9998186</v>
      </c>
      <c r="N1801">
        <v>0</v>
      </c>
      <c r="O1801">
        <v>-1.346403E-2</v>
      </c>
      <c r="P1801">
        <v>0.98806450000000001</v>
      </c>
      <c r="Q1801">
        <v>7.6101500000000002E-2</v>
      </c>
      <c r="R1801">
        <v>-0.1339302</v>
      </c>
      <c r="S1801">
        <v>2.9444889999999999</v>
      </c>
      <c r="T1801">
        <v>-0.14595039999999901</v>
      </c>
      <c r="U1801">
        <v>-0.76165769999999899</v>
      </c>
      <c r="V1801">
        <v>0.1207522</v>
      </c>
      <c r="W1801">
        <v>8.9242600000000005E-2</v>
      </c>
      <c r="X1801">
        <v>0.98866310000000002</v>
      </c>
      <c r="Y1801">
        <v>0.23711360000000001</v>
      </c>
      <c r="Z1801">
        <v>-5.1220709999999997E-3</v>
      </c>
      <c r="AA1801">
        <v>0.97146840000000001</v>
      </c>
      <c r="AB1801">
        <v>19</v>
      </c>
      <c r="AC1801">
        <v>22.299899999999901</v>
      </c>
      <c r="AD1801">
        <v>-1.110098196484</v>
      </c>
      <c r="AE1801">
        <v>-5.7911999999999999</v>
      </c>
      <c r="AF1801">
        <v>5.4776846344449801</v>
      </c>
      <c r="AG1801">
        <v>-1.110098196484</v>
      </c>
      <c r="AH1801">
        <v>22.3240325333743</v>
      </c>
      <c r="AI1801">
        <v>92.764895379781095</v>
      </c>
      <c r="AJ1801">
        <v>76.213613009814793</v>
      </c>
      <c r="AK1801">
        <v>23.0130349044064</v>
      </c>
      <c r="AL1801">
        <v>84.879964223653204</v>
      </c>
      <c r="AM1801">
        <v>83.036562595726394</v>
      </c>
      <c r="AN1801">
        <v>1.0000000303806</v>
      </c>
    </row>
    <row r="1802" spans="1:40" x14ac:dyDescent="0.25">
      <c r="A1802" t="str">
        <f>"20190312150701391"</f>
        <v>20190312150701391</v>
      </c>
      <c r="B1802" t="str">
        <f>"1552374421381535"</f>
        <v>1552374421381535</v>
      </c>
      <c r="C1802" t="s">
        <v>40</v>
      </c>
      <c r="D1802">
        <v>4.2999769999999904</v>
      </c>
      <c r="E1802">
        <v>0.54382739999999996</v>
      </c>
      <c r="F1802" t="s">
        <v>49</v>
      </c>
      <c r="G1802">
        <v>-209.17179999999999</v>
      </c>
      <c r="H1802" s="1">
        <v>-6.2517370000000002E-6</v>
      </c>
      <c r="I1802">
        <v>361.65230000000003</v>
      </c>
      <c r="J1802">
        <v>-231.1816</v>
      </c>
      <c r="K1802">
        <v>1.110096</v>
      </c>
      <c r="L1802">
        <v>367.37110000000001</v>
      </c>
      <c r="M1802">
        <v>0.99981120000000001</v>
      </c>
      <c r="N1802">
        <v>0</v>
      </c>
      <c r="O1802">
        <v>-1.400679E-2</v>
      </c>
      <c r="P1802">
        <v>0.98801919999999999</v>
      </c>
      <c r="Q1802">
        <v>7.5772030000000004E-2</v>
      </c>
      <c r="R1802">
        <v>-0.1344504</v>
      </c>
      <c r="S1802">
        <v>2.9443359999999998</v>
      </c>
      <c r="T1802">
        <v>-0.14788319999999999</v>
      </c>
      <c r="U1802">
        <v>-0.76208500000000001</v>
      </c>
      <c r="V1802">
        <v>0.1207341</v>
      </c>
      <c r="W1802">
        <v>8.8913950000000005E-2</v>
      </c>
      <c r="X1802">
        <v>0.98869490000000004</v>
      </c>
      <c r="Y1802">
        <v>0.23672489999999999</v>
      </c>
      <c r="Z1802">
        <v>-5.1536079999999996E-3</v>
      </c>
      <c r="AA1802">
        <v>0.97156299999999995</v>
      </c>
      <c r="AB1802">
        <v>19</v>
      </c>
      <c r="AC1802">
        <v>22.009799999999998</v>
      </c>
      <c r="AD1802">
        <v>-1.1101022517370001</v>
      </c>
      <c r="AE1802">
        <v>-5.7187999999999803</v>
      </c>
      <c r="AF1802">
        <v>5.3970631586254303</v>
      </c>
      <c r="AG1802">
        <v>-1.1101022517370001</v>
      </c>
      <c r="AH1802">
        <v>22.035240109044299</v>
      </c>
      <c r="AI1802">
        <v>92.801371264087905</v>
      </c>
      <c r="AJ1802">
        <v>76.237552148662303</v>
      </c>
      <c r="AK1802">
        <v>22.713705651230502</v>
      </c>
      <c r="AL1802">
        <v>84.898869529558695</v>
      </c>
      <c r="AM1802">
        <v>83.037817864032107</v>
      </c>
      <c r="AN1802">
        <v>1.0000000093467101</v>
      </c>
    </row>
    <row r="1803" spans="1:40" x14ac:dyDescent="0.25">
      <c r="A1803" t="str">
        <f>"20190312150701403"</f>
        <v>20190312150701403</v>
      </c>
      <c r="B1803" t="str">
        <f>"1552374421392272"</f>
        <v>1552374421392272</v>
      </c>
      <c r="C1803" t="s">
        <v>40</v>
      </c>
      <c r="D1803">
        <v>4.4505339999999904</v>
      </c>
      <c r="E1803">
        <v>0.54382749999999902</v>
      </c>
      <c r="F1803" t="s">
        <v>49</v>
      </c>
      <c r="G1803">
        <v>-209.261</v>
      </c>
      <c r="H1803" s="1">
        <v>-6.27696E-6</v>
      </c>
      <c r="I1803">
        <v>361.68209999999999</v>
      </c>
      <c r="J1803">
        <v>-231.07480000000001</v>
      </c>
      <c r="K1803">
        <v>1.1101000000000001</v>
      </c>
      <c r="L1803">
        <v>367.3689</v>
      </c>
      <c r="M1803">
        <v>0.99980219999999997</v>
      </c>
      <c r="N1803">
        <v>0</v>
      </c>
      <c r="O1803">
        <v>-1.463452E-2</v>
      </c>
      <c r="P1803">
        <v>0.98793750000000002</v>
      </c>
      <c r="Q1803">
        <v>7.5509649999999998E-2</v>
      </c>
      <c r="R1803">
        <v>-0.13519709999999999</v>
      </c>
      <c r="S1803">
        <v>2.943832</v>
      </c>
      <c r="T1803">
        <v>-0.149081399999999</v>
      </c>
      <c r="U1803">
        <v>-0.76400760000000001</v>
      </c>
      <c r="V1803">
        <v>0.1208587</v>
      </c>
      <c r="W1803">
        <v>8.8651779999999999E-2</v>
      </c>
      <c r="X1803">
        <v>0.9887032</v>
      </c>
      <c r="Y1803">
        <v>0.23674619999999999</v>
      </c>
      <c r="Z1803">
        <v>-5.1650639999999996E-3</v>
      </c>
      <c r="AA1803">
        <v>0.97155780000000003</v>
      </c>
      <c r="AB1803">
        <v>19</v>
      </c>
      <c r="AC1803">
        <v>21.813800000000001</v>
      </c>
      <c r="AD1803">
        <v>-1.1101062769600001</v>
      </c>
      <c r="AE1803">
        <v>-5.6867999999999999</v>
      </c>
      <c r="AF1803">
        <v>5.3539441699026096</v>
      </c>
      <c r="AG1803">
        <v>-1.1101062769600001</v>
      </c>
      <c r="AH1803">
        <v>21.8417286615744</v>
      </c>
      <c r="AI1803">
        <v>92.826033052961193</v>
      </c>
      <c r="AJ1803">
        <v>76.226966768390199</v>
      </c>
      <c r="AK1803">
        <v>22.515731501472999</v>
      </c>
      <c r="AL1803">
        <v>84.913950222229701</v>
      </c>
      <c r="AM1803">
        <v>83.030761310629302</v>
      </c>
      <c r="AN1803">
        <v>0.99999999057654898</v>
      </c>
    </row>
    <row r="1804" spans="1:40" x14ac:dyDescent="0.25">
      <c r="A1804" t="str">
        <f>"20190312150701415"</f>
        <v>20190312150701415</v>
      </c>
      <c r="B1804" t="str">
        <f>"1552374421412299"</f>
        <v>1552374421412299</v>
      </c>
      <c r="C1804" t="s">
        <v>40</v>
      </c>
      <c r="D1804">
        <v>4.3142300000000002</v>
      </c>
      <c r="E1804">
        <v>0.54381449999999998</v>
      </c>
      <c r="F1804" t="s">
        <v>49</v>
      </c>
      <c r="G1804">
        <v>-209.12379999999999</v>
      </c>
      <c r="H1804" s="1">
        <v>-6.235207E-6</v>
      </c>
      <c r="I1804">
        <v>361.65530000000001</v>
      </c>
      <c r="J1804">
        <v>-230.97720000000001</v>
      </c>
      <c r="K1804">
        <v>1.110106</v>
      </c>
      <c r="L1804">
        <v>367.36680000000001</v>
      </c>
      <c r="M1804">
        <v>0.99979390000000001</v>
      </c>
      <c r="N1804">
        <v>0</v>
      </c>
      <c r="O1804">
        <v>-1.520529E-2</v>
      </c>
      <c r="P1804">
        <v>0.98784300000000003</v>
      </c>
      <c r="Q1804">
        <v>7.504864E-2</v>
      </c>
      <c r="R1804">
        <v>-0.13614179999999901</v>
      </c>
      <c r="S1804">
        <v>2.9431919999999998</v>
      </c>
      <c r="T1804">
        <v>-0.1488428</v>
      </c>
      <c r="U1804">
        <v>-0.76608279999999995</v>
      </c>
      <c r="V1804">
        <v>0.12123780000000001</v>
      </c>
      <c r="W1804">
        <v>8.8191069999999996E-2</v>
      </c>
      <c r="X1804">
        <v>0.98869799999999997</v>
      </c>
      <c r="Y1804">
        <v>0.23688609999999999</v>
      </c>
      <c r="Z1804">
        <v>-5.1325750000000003E-3</v>
      </c>
      <c r="AA1804">
        <v>0.9715239</v>
      </c>
      <c r="AB1804">
        <v>19</v>
      </c>
      <c r="AC1804">
        <v>21.853400000000001</v>
      </c>
      <c r="AD1804">
        <v>-1.1101122352069901</v>
      </c>
      <c r="AE1804">
        <v>-5.7115</v>
      </c>
      <c r="AF1804">
        <v>5.3655619366507104</v>
      </c>
      <c r="AG1804">
        <v>-1.1101122352069901</v>
      </c>
      <c r="AH1804">
        <v>21.884863992296602</v>
      </c>
      <c r="AI1804">
        <v>92.8204559533864</v>
      </c>
      <c r="AJ1804">
        <v>76.224387881837401</v>
      </c>
      <c r="AK1804">
        <v>22.5603385620011</v>
      </c>
      <c r="AL1804">
        <v>84.940450818206003</v>
      </c>
      <c r="AM1804">
        <v>83.009080336834799</v>
      </c>
      <c r="AN1804">
        <v>1.0000000020902899</v>
      </c>
    </row>
    <row r="1805" spans="1:40" x14ac:dyDescent="0.25">
      <c r="A1805" t="str">
        <f>"20190312150701428"</f>
        <v>20190312150701428</v>
      </c>
      <c r="B1805" t="str">
        <f>"1552374421422059"</f>
        <v>1552374421422059</v>
      </c>
      <c r="C1805" t="s">
        <v>40</v>
      </c>
      <c r="D1805">
        <v>4.3212710000000003</v>
      </c>
      <c r="E1805">
        <v>0.54380519999999999</v>
      </c>
      <c r="F1805" t="s">
        <v>49</v>
      </c>
      <c r="G1805">
        <v>-209.01400000000001</v>
      </c>
      <c r="H1805" s="1">
        <v>-6.20241E-6</v>
      </c>
      <c r="I1805">
        <v>361.63</v>
      </c>
      <c r="J1805">
        <v>-230.86439999999999</v>
      </c>
      <c r="K1805">
        <v>1.1101099999999999</v>
      </c>
      <c r="L1805">
        <v>367.36430000000001</v>
      </c>
      <c r="M1805">
        <v>0.99978350000000005</v>
      </c>
      <c r="N1805">
        <v>0</v>
      </c>
      <c r="O1805">
        <v>-1.5862930000000001E-2</v>
      </c>
      <c r="P1805">
        <v>0.98775420000000003</v>
      </c>
      <c r="Q1805">
        <v>7.4812489999999995E-2</v>
      </c>
      <c r="R1805">
        <v>-0.13691220000000001</v>
      </c>
      <c r="S1805">
        <v>2.942291</v>
      </c>
      <c r="T1805">
        <v>-0.14871570000000001</v>
      </c>
      <c r="U1805">
        <v>-0.76852419999999899</v>
      </c>
      <c r="V1805">
        <v>0.1213568</v>
      </c>
      <c r="W1805">
        <v>8.7955469999999994E-2</v>
      </c>
      <c r="X1805">
        <v>0.98870440000000004</v>
      </c>
      <c r="Y1805">
        <v>0.23707520000000001</v>
      </c>
      <c r="Z1805">
        <v>-5.1012449999999999E-3</v>
      </c>
      <c r="AA1805">
        <v>0.97147790000000001</v>
      </c>
      <c r="AB1805">
        <v>19</v>
      </c>
      <c r="AC1805">
        <v>21.850399999999901</v>
      </c>
      <c r="AD1805">
        <v>-1.11011620241</v>
      </c>
      <c r="AE1805">
        <v>-5.7343000000000099</v>
      </c>
      <c r="AF1805">
        <v>5.3739581905404501</v>
      </c>
      <c r="AG1805">
        <v>-1.11011620241</v>
      </c>
      <c r="AH1805">
        <v>21.885770110205801</v>
      </c>
      <c r="AI1805">
        <v>92.820106057675702</v>
      </c>
      <c r="AJ1805">
        <v>76.204203639404994</v>
      </c>
      <c r="AK1805">
        <v>22.563216037021601</v>
      </c>
      <c r="AL1805">
        <v>84.954002425916499</v>
      </c>
      <c r="AM1805">
        <v>83.002331303813506</v>
      </c>
      <c r="AN1805">
        <v>1.00000001409426</v>
      </c>
    </row>
    <row r="1806" spans="1:40" x14ac:dyDescent="0.25">
      <c r="A1806" t="str">
        <f>"20190312150701440"</f>
        <v>20190312150701440</v>
      </c>
      <c r="B1806" t="str">
        <f>"1552374421431818"</f>
        <v>1552374421431818</v>
      </c>
      <c r="C1806" t="s">
        <v>40</v>
      </c>
      <c r="D1806">
        <v>4.3364789999999998</v>
      </c>
      <c r="E1806">
        <v>0.54380229999999996</v>
      </c>
      <c r="F1806" t="s">
        <v>49</v>
      </c>
      <c r="G1806">
        <v>-208.94890000000001</v>
      </c>
      <c r="H1806" s="1">
        <v>-6.1817259999999999E-6</v>
      </c>
      <c r="I1806">
        <v>361.62279999999998</v>
      </c>
      <c r="J1806">
        <v>-230.75659999999999</v>
      </c>
      <c r="K1806">
        <v>1.11012</v>
      </c>
      <c r="L1806">
        <v>367.36180000000002</v>
      </c>
      <c r="M1806">
        <v>0.99977340000000003</v>
      </c>
      <c r="N1806">
        <v>0</v>
      </c>
      <c r="O1806">
        <v>-1.648995E-2</v>
      </c>
      <c r="P1806">
        <v>0.98768270000000002</v>
      </c>
      <c r="Q1806">
        <v>7.4519769999999999E-2</v>
      </c>
      <c r="R1806">
        <v>-0.1375865</v>
      </c>
      <c r="S1806">
        <v>2.9416350000000002</v>
      </c>
      <c r="T1806">
        <v>-0.1490061</v>
      </c>
      <c r="U1806">
        <v>-0.77066040000000002</v>
      </c>
      <c r="V1806">
        <v>0.12140960000000001</v>
      </c>
      <c r="W1806">
        <v>8.7662870000000004E-2</v>
      </c>
      <c r="X1806">
        <v>0.98872389999999999</v>
      </c>
      <c r="Y1806">
        <v>0.2371788</v>
      </c>
      <c r="Z1806">
        <v>-5.0832330000000004E-3</v>
      </c>
      <c r="AA1806">
        <v>0.97145269999999995</v>
      </c>
      <c r="AB1806">
        <v>19</v>
      </c>
      <c r="AC1806">
        <v>21.807699999999901</v>
      </c>
      <c r="AD1806">
        <v>-1.110126181726</v>
      </c>
      <c r="AE1806">
        <v>-5.7390000000000301</v>
      </c>
      <c r="AF1806">
        <v>5.3655755738050797</v>
      </c>
      <c r="AG1806">
        <v>-1.110126181726</v>
      </c>
      <c r="AH1806">
        <v>21.846433803683201</v>
      </c>
      <c r="AI1806">
        <v>92.825162864087105</v>
      </c>
      <c r="AJ1806">
        <v>76.201046853818994</v>
      </c>
      <c r="AK1806">
        <v>22.523064873952698</v>
      </c>
      <c r="AL1806">
        <v>84.970832158675606</v>
      </c>
      <c r="AM1806">
        <v>82.999453658394799</v>
      </c>
      <c r="AN1806">
        <v>1.0000000100899999</v>
      </c>
    </row>
    <row r="1807" spans="1:40" x14ac:dyDescent="0.25">
      <c r="A1807" t="str">
        <f>"20190312150701454"</f>
        <v>20190312150701454</v>
      </c>
      <c r="B1807" t="str">
        <f>"1552374421441578"</f>
        <v>1552374421441578</v>
      </c>
      <c r="C1807" t="s">
        <v>40</v>
      </c>
      <c r="D1807">
        <v>4.2972039999999998</v>
      </c>
      <c r="E1807">
        <v>0.54379739999999999</v>
      </c>
      <c r="F1807" t="s">
        <v>49</v>
      </c>
      <c r="G1807">
        <v>-209.09030000000001</v>
      </c>
      <c r="H1807" s="1">
        <v>-6.2214289999999996E-6</v>
      </c>
      <c r="I1807">
        <v>361.67169999999999</v>
      </c>
      <c r="J1807">
        <v>-230.6456</v>
      </c>
      <c r="K1807">
        <v>1.1101259999999999</v>
      </c>
      <c r="L1807">
        <v>367.35930000000002</v>
      </c>
      <c r="M1807">
        <v>0.99976259999999995</v>
      </c>
      <c r="N1807">
        <v>0</v>
      </c>
      <c r="O1807">
        <v>-1.7131609999999999E-2</v>
      </c>
      <c r="P1807">
        <v>0.98760680000000001</v>
      </c>
      <c r="Q1807">
        <v>7.4883130000000006E-2</v>
      </c>
      <c r="R1807">
        <v>-0.1379338</v>
      </c>
      <c r="S1807">
        <v>2.9411619999999998</v>
      </c>
      <c r="T1807">
        <v>-0.15069769999999999</v>
      </c>
      <c r="U1807">
        <v>-0.77243039999999996</v>
      </c>
      <c r="V1807">
        <v>0.12112199999999999</v>
      </c>
      <c r="W1807">
        <v>8.8027659999999994E-2</v>
      </c>
      <c r="X1807">
        <v>0.98872669999999996</v>
      </c>
      <c r="Y1807">
        <v>0.2371354</v>
      </c>
      <c r="Z1807">
        <v>-5.1079159999999997E-3</v>
      </c>
      <c r="AA1807">
        <v>0.97146319999999997</v>
      </c>
      <c r="AB1807">
        <v>19</v>
      </c>
      <c r="AC1807">
        <v>21.5552999999999</v>
      </c>
      <c r="AD1807">
        <v>-1.1101322214289999</v>
      </c>
      <c r="AE1807">
        <v>-5.68760000000003</v>
      </c>
      <c r="AF1807">
        <v>5.30430126455179</v>
      </c>
      <c r="AG1807">
        <v>-1.1101322214289999</v>
      </c>
      <c r="AH1807">
        <v>21.596029514024199</v>
      </c>
      <c r="AI1807">
        <v>92.857875019230704</v>
      </c>
      <c r="AJ1807">
        <v>76.200481291331002</v>
      </c>
      <c r="AK1807">
        <v>22.265589959055301</v>
      </c>
      <c r="AL1807">
        <v>84.949849800911906</v>
      </c>
      <c r="AM1807">
        <v>83.015892447696899</v>
      </c>
      <c r="AN1807">
        <v>0.99999994755098098</v>
      </c>
    </row>
    <row r="1808" spans="1:40" x14ac:dyDescent="0.25">
      <c r="A1808" t="str">
        <f>"20190312150701467"</f>
        <v>20190312150701467</v>
      </c>
      <c r="B1808" t="str">
        <f>"1552374421462074"</f>
        <v>1552374421462074</v>
      </c>
      <c r="C1808" t="s">
        <v>40</v>
      </c>
      <c r="D1808">
        <v>4.3132320000000002</v>
      </c>
      <c r="E1808">
        <v>0.54378749999999998</v>
      </c>
      <c r="F1808" t="s">
        <v>49</v>
      </c>
      <c r="G1808">
        <v>-208.91480000000001</v>
      </c>
      <c r="H1808" s="1">
        <v>-6.1671599999999998E-6</v>
      </c>
      <c r="I1808">
        <v>361.64299999999997</v>
      </c>
      <c r="J1808">
        <v>-230.52520000000001</v>
      </c>
      <c r="K1808">
        <v>1.1101319999999999</v>
      </c>
      <c r="L1808">
        <v>367.35640000000001</v>
      </c>
      <c r="M1808">
        <v>0.99975069999999999</v>
      </c>
      <c r="N1808">
        <v>0</v>
      </c>
      <c r="O1808">
        <v>-1.7825239999999999E-2</v>
      </c>
      <c r="P1808">
        <v>0.98754969999999997</v>
      </c>
      <c r="Q1808">
        <v>7.4829419999999994E-2</v>
      </c>
      <c r="R1808">
        <v>-0.13837079999999999</v>
      </c>
      <c r="S1808">
        <v>2.9409640000000001</v>
      </c>
      <c r="T1808">
        <v>-0.15024079999999901</v>
      </c>
      <c r="U1808">
        <v>-0.77362059999999999</v>
      </c>
      <c r="V1808">
        <v>0.1208719</v>
      </c>
      <c r="W1808">
        <v>8.7975410000000004E-2</v>
      </c>
      <c r="X1808">
        <v>0.98876200000000003</v>
      </c>
      <c r="Y1808">
        <v>0.23684810000000001</v>
      </c>
      <c r="Z1808">
        <v>-5.0505330000000003E-3</v>
      </c>
      <c r="AA1808">
        <v>0.97153350000000005</v>
      </c>
      <c r="AB1808">
        <v>19</v>
      </c>
      <c r="AC1808">
        <v>21.610399999999998</v>
      </c>
      <c r="AD1808">
        <v>-1.1101381671599999</v>
      </c>
      <c r="AE1808">
        <v>-5.7133999999999698</v>
      </c>
      <c r="AF1808">
        <v>5.3141392079317997</v>
      </c>
      <c r="AG1808">
        <v>-1.1101381671599999</v>
      </c>
      <c r="AH1808">
        <v>21.655404131516502</v>
      </c>
      <c r="AI1808">
        <v>92.850211871285197</v>
      </c>
      <c r="AJ1808">
        <v>76.2123227552933</v>
      </c>
      <c r="AK1808">
        <v>22.325523742361899</v>
      </c>
      <c r="AL1808">
        <v>84.952855384241801</v>
      </c>
      <c r="AM1808">
        <v>83.030418044855594</v>
      </c>
      <c r="AN1808">
        <v>0.99999999080913904</v>
      </c>
    </row>
    <row r="1809" spans="1:40" x14ac:dyDescent="0.25">
      <c r="A1809" t="str">
        <f>"20190312150701479"</f>
        <v>20190312150701479</v>
      </c>
      <c r="B1809" t="str">
        <f>"1552374421471835"</f>
        <v>1552374421471835</v>
      </c>
      <c r="C1809" t="s">
        <v>40</v>
      </c>
      <c r="D1809">
        <v>4.3022580000000001</v>
      </c>
      <c r="E1809">
        <v>0.54377929999999997</v>
      </c>
      <c r="F1809" t="s">
        <v>49</v>
      </c>
      <c r="G1809">
        <v>-208.94909999999999</v>
      </c>
      <c r="H1809" s="1">
        <v>-6.1740100000000004E-6</v>
      </c>
      <c r="I1809">
        <v>361.67270000000002</v>
      </c>
      <c r="J1809">
        <v>-230.42359999999999</v>
      </c>
      <c r="K1809">
        <v>1.110139</v>
      </c>
      <c r="L1809">
        <v>367.35390000000001</v>
      </c>
      <c r="M1809">
        <v>0.99973999999999996</v>
      </c>
      <c r="N1809">
        <v>0</v>
      </c>
      <c r="O1809">
        <v>-1.8406700000000002E-2</v>
      </c>
      <c r="P1809">
        <v>0.98754690000000001</v>
      </c>
      <c r="Q1809">
        <v>7.4970350000000005E-2</v>
      </c>
      <c r="R1809">
        <v>-0.13831399999999999</v>
      </c>
      <c r="S1809">
        <v>2.9407199999999998</v>
      </c>
      <c r="T1809">
        <v>-0.15130629999999901</v>
      </c>
      <c r="U1809">
        <v>-0.77465819999999996</v>
      </c>
      <c r="V1809">
        <v>0.1202381</v>
      </c>
      <c r="W1809">
        <v>8.8118870000000002E-2</v>
      </c>
      <c r="X1809">
        <v>0.98882650000000005</v>
      </c>
      <c r="Y1809">
        <v>0.23662069999999999</v>
      </c>
      <c r="Z1809">
        <v>-5.0513820000000001E-3</v>
      </c>
      <c r="AA1809">
        <v>0.97158900000000004</v>
      </c>
      <c r="AB1809">
        <v>19</v>
      </c>
      <c r="AC1809">
        <v>21.474499999999999</v>
      </c>
      <c r="AD1809">
        <v>-1.1101451740099999</v>
      </c>
      <c r="AE1809">
        <v>-5.6811999999999898</v>
      </c>
      <c r="AF1809">
        <v>5.2717597695508198</v>
      </c>
      <c r="AG1809">
        <v>-1.1101451740099999</v>
      </c>
      <c r="AH1809">
        <v>21.521688871389401</v>
      </c>
      <c r="AI1809">
        <v>92.868203311850493</v>
      </c>
      <c r="AJ1809">
        <v>76.236346457062794</v>
      </c>
      <c r="AK1809">
        <v>22.185737879370102</v>
      </c>
      <c r="AL1809">
        <v>84.944603688191094</v>
      </c>
      <c r="AM1809">
        <v>83.067054725771399</v>
      </c>
      <c r="AN1809">
        <v>0.99999999152196795</v>
      </c>
    </row>
    <row r="1810" spans="1:40" x14ac:dyDescent="0.25">
      <c r="A1810" t="str">
        <f>"20190312150701492"</f>
        <v>20190312150701492</v>
      </c>
      <c r="B1810" t="str">
        <f>"1552374421481594"</f>
        <v>1552374421481594</v>
      </c>
      <c r="C1810" t="s">
        <v>40</v>
      </c>
      <c r="D1810">
        <v>4.3174700000000001</v>
      </c>
      <c r="E1810">
        <v>0.5437786</v>
      </c>
      <c r="F1810" t="s">
        <v>49</v>
      </c>
      <c r="G1810">
        <v>-208.83519999999999</v>
      </c>
      <c r="H1810" s="1">
        <v>-6.1369030000000004E-6</v>
      </c>
      <c r="I1810">
        <v>361.66629999999998</v>
      </c>
      <c r="J1810">
        <v>-230.3177</v>
      </c>
      <c r="K1810">
        <v>1.110147</v>
      </c>
      <c r="L1810">
        <v>367.35129999999998</v>
      </c>
      <c r="M1810">
        <v>0.99972879999999997</v>
      </c>
      <c r="N1810">
        <v>0</v>
      </c>
      <c r="O1810">
        <v>-1.900926E-2</v>
      </c>
      <c r="P1810">
        <v>0.98751849999999997</v>
      </c>
      <c r="Q1810">
        <v>7.4869489999999997E-2</v>
      </c>
      <c r="R1810">
        <v>-0.13857349999999999</v>
      </c>
      <c r="S1810">
        <v>2.9408110000000001</v>
      </c>
      <c r="T1810">
        <v>-0.1512259</v>
      </c>
      <c r="U1810">
        <v>-0.77478029999999998</v>
      </c>
      <c r="V1810">
        <v>0.11989950000000001</v>
      </c>
      <c r="W1810">
        <v>8.8019600000000003E-2</v>
      </c>
      <c r="X1810">
        <v>0.98887650000000005</v>
      </c>
      <c r="Y1810">
        <v>0.2360672</v>
      </c>
      <c r="Z1810">
        <v>-5.0041290000000004E-3</v>
      </c>
      <c r="AA1810">
        <v>0.97172389999999997</v>
      </c>
      <c r="AB1810">
        <v>19</v>
      </c>
      <c r="AC1810">
        <v>21.482500000000002</v>
      </c>
      <c r="AD1810">
        <v>-1.110153136903</v>
      </c>
      <c r="AE1810">
        <v>-5.6849999999999996</v>
      </c>
      <c r="AF1810">
        <v>5.2624355111552701</v>
      </c>
      <c r="AG1810">
        <v>-1.110153136903</v>
      </c>
      <c r="AH1810">
        <v>21.532954295982702</v>
      </c>
      <c r="AI1810">
        <v>92.8670965634808</v>
      </c>
      <c r="AJ1810">
        <v>76.266683289775102</v>
      </c>
      <c r="AK1810">
        <v>22.194453996648001</v>
      </c>
      <c r="AL1810">
        <v>84.950313853100795</v>
      </c>
      <c r="AM1810">
        <v>83.086735410699504</v>
      </c>
      <c r="AN1810">
        <v>1.0000000361683199</v>
      </c>
    </row>
    <row r="1811" spans="1:40" x14ac:dyDescent="0.25">
      <c r="A1811" t="str">
        <f>"20190312150701510"</f>
        <v>20190312150701510</v>
      </c>
      <c r="B1811" t="str">
        <f>"1552374421501622"</f>
        <v>1552374421501622</v>
      </c>
      <c r="C1811" t="s">
        <v>40</v>
      </c>
      <c r="D1811">
        <v>4.6320309999999996</v>
      </c>
      <c r="E1811">
        <v>0.54367699999999997</v>
      </c>
      <c r="F1811" t="s">
        <v>49</v>
      </c>
      <c r="G1811">
        <v>-208.8237</v>
      </c>
      <c r="H1811" s="1">
        <v>-6.1307939999999899E-6</v>
      </c>
      <c r="I1811">
        <v>361.6807</v>
      </c>
      <c r="J1811">
        <v>-230.16329999999999</v>
      </c>
      <c r="K1811">
        <v>1.1101650000000001</v>
      </c>
      <c r="L1811">
        <v>367.34730000000002</v>
      </c>
      <c r="M1811">
        <v>0.99971189999999999</v>
      </c>
      <c r="N1811">
        <v>0</v>
      </c>
      <c r="O1811">
        <v>-1.9879600000000001E-2</v>
      </c>
      <c r="P1811">
        <v>0.98754169999999997</v>
      </c>
      <c r="Q1811">
        <v>7.4747649999999999E-2</v>
      </c>
      <c r="R1811">
        <v>-0.1384727</v>
      </c>
      <c r="S1811">
        <v>2.940582</v>
      </c>
      <c r="T1811">
        <v>-0.15187970000000001</v>
      </c>
      <c r="U1811">
        <v>-0.77578740000000002</v>
      </c>
      <c r="V1811">
        <v>0.1189341</v>
      </c>
      <c r="W1811">
        <v>8.7902270000000005E-2</v>
      </c>
      <c r="X1811">
        <v>0.98900350000000004</v>
      </c>
      <c r="Y1811">
        <v>0.23555039999999999</v>
      </c>
      <c r="Z1811">
        <v>-4.9686770000000003E-3</v>
      </c>
      <c r="AA1811">
        <v>0.97184939999999997</v>
      </c>
      <c r="AB1811">
        <v>19</v>
      </c>
      <c r="AC1811">
        <v>21.339599999999901</v>
      </c>
      <c r="AD1811">
        <v>-1.1101711307940001</v>
      </c>
      <c r="AE1811">
        <v>-5.6666000000000096</v>
      </c>
      <c r="AF1811">
        <v>5.2280013325162003</v>
      </c>
      <c r="AG1811">
        <v>-1.1101711307940001</v>
      </c>
      <c r="AH1811">
        <v>21.393953408450201</v>
      </c>
      <c r="AI1811">
        <v>92.885754386719796</v>
      </c>
      <c r="AJ1811">
        <v>76.267855336244494</v>
      </c>
      <c r="AK1811">
        <v>22.051433520643901</v>
      </c>
      <c r="AL1811">
        <v>84.957062474189499</v>
      </c>
      <c r="AM1811">
        <v>83.142739248941794</v>
      </c>
      <c r="AN1811">
        <v>1.0000000261130999</v>
      </c>
    </row>
    <row r="1812" spans="1:40" x14ac:dyDescent="0.25">
      <c r="A1812" t="str">
        <f>"20190312150701524"</f>
        <v>20190312150701524</v>
      </c>
      <c r="B1812" t="str">
        <f>"1552374421512359"</f>
        <v>1552374421512359</v>
      </c>
      <c r="C1812" t="s">
        <v>40</v>
      </c>
      <c r="D1812">
        <v>4.3225490000000004</v>
      </c>
      <c r="E1812">
        <v>0.54366139999999996</v>
      </c>
      <c r="F1812" t="s">
        <v>49</v>
      </c>
      <c r="G1812">
        <v>-208.97819999999999</v>
      </c>
      <c r="H1812" s="1">
        <v>-6.16875E-6</v>
      </c>
      <c r="I1812">
        <v>361.7688</v>
      </c>
      <c r="J1812">
        <v>-230.0419</v>
      </c>
      <c r="K1812">
        <v>1.110166</v>
      </c>
      <c r="L1812">
        <v>367.34410000000003</v>
      </c>
      <c r="M1812">
        <v>0.99969810000000003</v>
      </c>
      <c r="N1812">
        <v>0</v>
      </c>
      <c r="O1812">
        <v>-2.0555919999999998E-2</v>
      </c>
      <c r="P1812">
        <v>0.98755210000000004</v>
      </c>
      <c r="Q1812">
        <v>7.5025190000000005E-2</v>
      </c>
      <c r="R1812">
        <v>-0.13824729999999999</v>
      </c>
      <c r="S1812">
        <v>2.9409329999999998</v>
      </c>
      <c r="T1812">
        <v>-0.15411529999999901</v>
      </c>
      <c r="U1812">
        <v>-0.77441409999999999</v>
      </c>
      <c r="V1812">
        <v>0.1180373</v>
      </c>
      <c r="W1812">
        <v>8.8183460000000005E-2</v>
      </c>
      <c r="X1812">
        <v>0.98908589999999996</v>
      </c>
      <c r="Y1812">
        <v>0.23443430000000001</v>
      </c>
      <c r="Z1812">
        <v>-4.9779170000000001E-3</v>
      </c>
      <c r="AA1812">
        <v>0.97211919999999996</v>
      </c>
      <c r="AB1812">
        <v>19</v>
      </c>
      <c r="AC1812">
        <v>21.063700000000001</v>
      </c>
      <c r="AD1812">
        <v>-1.1101721687499999</v>
      </c>
      <c r="AE1812">
        <v>-5.5753000000000199</v>
      </c>
      <c r="AF1812">
        <v>5.1277870981135703</v>
      </c>
      <c r="AG1812">
        <v>-1.1101721687499999</v>
      </c>
      <c r="AH1812">
        <v>21.119039471417</v>
      </c>
      <c r="AI1812">
        <v>92.924307030441597</v>
      </c>
      <c r="AJ1812">
        <v>76.352456593225796</v>
      </c>
      <c r="AK1812">
        <v>21.760985983247998</v>
      </c>
      <c r="AL1812">
        <v>84.940888646478001</v>
      </c>
      <c r="AM1812">
        <v>83.194519966967604</v>
      </c>
      <c r="AN1812">
        <v>1.0000000221938301</v>
      </c>
    </row>
    <row r="1813" spans="1:40" x14ac:dyDescent="0.25">
      <c r="A1813" t="str">
        <f>"20190312150701536"</f>
        <v>20190312150701536</v>
      </c>
      <c r="B1813" t="str">
        <f>"1552374421531878"</f>
        <v>1552374421531878</v>
      </c>
      <c r="C1813" t="s">
        <v>40</v>
      </c>
      <c r="D1813">
        <v>4.367273</v>
      </c>
      <c r="E1813">
        <v>0.54363470000000003</v>
      </c>
      <c r="F1813" t="s">
        <v>49</v>
      </c>
      <c r="G1813">
        <v>-208.81229999999999</v>
      </c>
      <c r="H1813" s="1">
        <v>-6.1151699999999898E-6</v>
      </c>
      <c r="I1813">
        <v>361.75619999999998</v>
      </c>
      <c r="J1813">
        <v>-229.9357</v>
      </c>
      <c r="K1813">
        <v>1.110174</v>
      </c>
      <c r="L1813">
        <v>367.34120000000001</v>
      </c>
      <c r="M1813">
        <v>0.99968610000000002</v>
      </c>
      <c r="N1813">
        <v>0</v>
      </c>
      <c r="O1813">
        <v>-2.1138669999999998E-2</v>
      </c>
      <c r="P1813">
        <v>0.98762249999999996</v>
      </c>
      <c r="Q1813">
        <v>7.5242690000000001E-2</v>
      </c>
      <c r="R1813">
        <v>-0.1376259</v>
      </c>
      <c r="S1813">
        <v>2.9411160000000001</v>
      </c>
      <c r="T1813">
        <v>-0.1538013</v>
      </c>
      <c r="U1813">
        <v>-0.77413940000000003</v>
      </c>
      <c r="V1813">
        <v>0.1168357</v>
      </c>
      <c r="W1813">
        <v>8.8405259999999999E-2</v>
      </c>
      <c r="X1813">
        <v>0.9892088</v>
      </c>
      <c r="Y1813">
        <v>0.23377049999999999</v>
      </c>
      <c r="Z1813">
        <v>-4.9205919999999997E-3</v>
      </c>
      <c r="AA1813">
        <v>0.97227940000000002</v>
      </c>
      <c r="AB1813">
        <v>19</v>
      </c>
      <c r="AC1813">
        <v>21.1234</v>
      </c>
      <c r="AD1813">
        <v>-1.1101801151699999</v>
      </c>
      <c r="AE1813">
        <v>-5.5850000000000302</v>
      </c>
      <c r="AF1813">
        <v>5.1239620954923</v>
      </c>
      <c r="AG1813">
        <v>-1.1101801151699999</v>
      </c>
      <c r="AH1813">
        <v>21.182062658631299</v>
      </c>
      <c r="AI1813">
        <v>92.916243873019098</v>
      </c>
      <c r="AJ1813">
        <v>76.401324136947395</v>
      </c>
      <c r="AK1813">
        <v>21.8212572029739</v>
      </c>
      <c r="AL1813">
        <v>84.9281308096609</v>
      </c>
      <c r="AM1813">
        <v>83.263987931270606</v>
      </c>
      <c r="AN1813">
        <v>1.00000006039379</v>
      </c>
    </row>
    <row r="1814" spans="1:40" x14ac:dyDescent="0.25">
      <c r="A1814" t="str">
        <f>"20190312150701547"</f>
        <v>20190312150701547</v>
      </c>
      <c r="B1814" t="str">
        <f>"1552374421541637"</f>
        <v>1552374421541637</v>
      </c>
      <c r="C1814" t="s">
        <v>40</v>
      </c>
      <c r="D1814">
        <v>4.3833989999999998</v>
      </c>
      <c r="E1814">
        <v>0.54363399999999995</v>
      </c>
      <c r="F1814" t="s">
        <v>49</v>
      </c>
      <c r="G1814">
        <v>-208.72110000000001</v>
      </c>
      <c r="H1814" s="1">
        <v>-6.0826919999999898E-6</v>
      </c>
      <c r="I1814">
        <v>361.76859999999999</v>
      </c>
      <c r="J1814">
        <v>-229.84200000000001</v>
      </c>
      <c r="K1814">
        <v>1.110179</v>
      </c>
      <c r="L1814">
        <v>367.33859999999999</v>
      </c>
      <c r="M1814">
        <v>0.99967519999999999</v>
      </c>
      <c r="N1814">
        <v>0</v>
      </c>
      <c r="O1814">
        <v>-2.1649310000000001E-2</v>
      </c>
      <c r="P1814">
        <v>0.98775760000000001</v>
      </c>
      <c r="Q1814">
        <v>7.5411220000000001E-2</v>
      </c>
      <c r="R1814">
        <v>-0.13655880000000001</v>
      </c>
      <c r="S1814">
        <v>2.9416500000000001</v>
      </c>
      <c r="T1814">
        <v>-0.15393870000000001</v>
      </c>
      <c r="U1814">
        <v>-0.77270509999999903</v>
      </c>
      <c r="V1814">
        <v>0.1152589</v>
      </c>
      <c r="W1814">
        <v>8.8578649999999995E-2</v>
      </c>
      <c r="X1814">
        <v>0.98937819999999999</v>
      </c>
      <c r="Y1814">
        <v>0.23278840000000001</v>
      </c>
      <c r="Z1814">
        <v>-4.8729419999999999E-3</v>
      </c>
      <c r="AA1814">
        <v>0.97251520000000002</v>
      </c>
      <c r="AB1814">
        <v>19</v>
      </c>
      <c r="AC1814">
        <v>21.120899999999999</v>
      </c>
      <c r="AD1814">
        <v>-1.1101850826919999</v>
      </c>
      <c r="AE1814">
        <v>-5.5699999999999896</v>
      </c>
      <c r="AF1814">
        <v>5.0982300713969204</v>
      </c>
      <c r="AG1814">
        <v>-1.1101850826919999</v>
      </c>
      <c r="AH1814">
        <v>21.181828626286201</v>
      </c>
      <c r="AI1814">
        <v>92.917093821398296</v>
      </c>
      <c r="AJ1814">
        <v>76.466953661691903</v>
      </c>
      <c r="AK1814">
        <v>21.815002285860199</v>
      </c>
      <c r="AL1814">
        <v>84.918156895056001</v>
      </c>
      <c r="AM1814">
        <v>83.355205333000399</v>
      </c>
      <c r="AN1814">
        <v>1.00000000695013</v>
      </c>
    </row>
    <row r="1815" spans="1:40" x14ac:dyDescent="0.25">
      <c r="A1815" t="str">
        <f>"20190312150701558"</f>
        <v>20190312150701558</v>
      </c>
      <c r="B1815" t="str">
        <f>"1552374421552374"</f>
        <v>1552374421552374</v>
      </c>
      <c r="C1815" t="s">
        <v>40</v>
      </c>
      <c r="D1815">
        <v>4.3433390000000003</v>
      </c>
      <c r="E1815">
        <v>0.54362679999999997</v>
      </c>
      <c r="F1815" t="s">
        <v>49</v>
      </c>
      <c r="G1815">
        <v>-208.5617</v>
      </c>
      <c r="H1815" s="1">
        <v>-6.0291639999999997E-6</v>
      </c>
      <c r="I1815">
        <v>361.7697</v>
      </c>
      <c r="J1815">
        <v>-229.74529999999999</v>
      </c>
      <c r="K1815">
        <v>1.1101890000000001</v>
      </c>
      <c r="L1815">
        <v>367.33600000000001</v>
      </c>
      <c r="M1815">
        <v>0.99966379999999999</v>
      </c>
      <c r="N1815">
        <v>0</v>
      </c>
      <c r="O1815">
        <v>-2.216769E-2</v>
      </c>
      <c r="P1815">
        <v>0.98788039999999999</v>
      </c>
      <c r="Q1815">
        <v>7.5315469999999995E-2</v>
      </c>
      <c r="R1815">
        <v>-0.1357207</v>
      </c>
      <c r="S1815">
        <v>2.9424589999999999</v>
      </c>
      <c r="T1815">
        <v>-0.15350659999999999</v>
      </c>
      <c r="U1815">
        <v>-0.77001949999999997</v>
      </c>
      <c r="V1815">
        <v>0.11390260000000001</v>
      </c>
      <c r="W1815">
        <v>8.8487919999999998E-2</v>
      </c>
      <c r="X1815">
        <v>0.98954339999999996</v>
      </c>
      <c r="Y1815">
        <v>0.23139170000000001</v>
      </c>
      <c r="Z1815">
        <v>-4.7961990000000001E-3</v>
      </c>
      <c r="AA1815">
        <v>0.97284879999999996</v>
      </c>
      <c r="AB1815">
        <v>19</v>
      </c>
      <c r="AC1815">
        <v>21.183599999999899</v>
      </c>
      <c r="AD1815">
        <v>-1.1101950291639999</v>
      </c>
      <c r="AE1815">
        <v>-5.5663000000000098</v>
      </c>
      <c r="AF1815">
        <v>5.0822405293299298</v>
      </c>
      <c r="AG1815">
        <v>-1.1101950291639999</v>
      </c>
      <c r="AH1815">
        <v>21.2472077551034</v>
      </c>
      <c r="AI1815">
        <v>92.909142833560296</v>
      </c>
      <c r="AJ1815">
        <v>76.547848362477197</v>
      </c>
      <c r="AK1815">
        <v>21.874769465968601</v>
      </c>
      <c r="AL1815">
        <v>84.923375938707593</v>
      </c>
      <c r="AM1815">
        <v>83.433797167550196</v>
      </c>
      <c r="AN1815">
        <v>1.00000002737812</v>
      </c>
    </row>
    <row r="1816" spans="1:40" x14ac:dyDescent="0.25">
      <c r="A1816" t="str">
        <f>"20190312150701568"</f>
        <v>20190312150701568</v>
      </c>
      <c r="B1816" t="str">
        <f>"1552374421562134"</f>
        <v>1552374421562134</v>
      </c>
      <c r="C1816" t="s">
        <v>40</v>
      </c>
      <c r="D1816">
        <v>4.3610850000000001</v>
      </c>
      <c r="E1816">
        <v>0.5436221</v>
      </c>
      <c r="F1816" t="s">
        <v>49</v>
      </c>
      <c r="G1816">
        <v>-208.5214</v>
      </c>
      <c r="H1816" s="1">
        <v>-6.0112979999999999E-6</v>
      </c>
      <c r="I1816">
        <v>361.79790000000003</v>
      </c>
      <c r="J1816">
        <v>-229.655</v>
      </c>
      <c r="K1816">
        <v>1.1101939999999999</v>
      </c>
      <c r="L1816">
        <v>367.33339999999998</v>
      </c>
      <c r="M1816">
        <v>0.99965300000000001</v>
      </c>
      <c r="N1816">
        <v>0</v>
      </c>
      <c r="O1816">
        <v>-2.2646860000000001E-2</v>
      </c>
      <c r="P1816">
        <v>0.98805799999999999</v>
      </c>
      <c r="Q1816">
        <v>7.4482629999999994E-2</v>
      </c>
      <c r="R1816">
        <v>-0.13488539999999999</v>
      </c>
      <c r="S1816">
        <v>2.9430239999999999</v>
      </c>
      <c r="T1816">
        <v>-0.15394579999999999</v>
      </c>
      <c r="U1816">
        <v>-0.76794430000000002</v>
      </c>
      <c r="V1816">
        <v>0.1125857</v>
      </c>
      <c r="W1816">
        <v>8.7660959999999996E-2</v>
      </c>
      <c r="X1816">
        <v>0.98976770000000003</v>
      </c>
      <c r="Y1816">
        <v>0.2302379</v>
      </c>
      <c r="Z1816">
        <v>-4.7551709999999999E-3</v>
      </c>
      <c r="AA1816">
        <v>0.97312270000000001</v>
      </c>
      <c r="AB1816">
        <v>19</v>
      </c>
      <c r="AC1816">
        <v>21.133600000000001</v>
      </c>
      <c r="AD1816">
        <v>-1.1102000112979999</v>
      </c>
      <c r="AE1816">
        <v>-5.5354999999999501</v>
      </c>
      <c r="AF1816">
        <v>5.0424051073588396</v>
      </c>
      <c r="AG1816">
        <v>-1.1102000112979999</v>
      </c>
      <c r="AH1816">
        <v>21.198806289817298</v>
      </c>
      <c r="AI1816">
        <v>92.916662459603202</v>
      </c>
      <c r="AJ1816">
        <v>76.620112075737893</v>
      </c>
      <c r="AK1816">
        <v>21.818519231263199</v>
      </c>
      <c r="AL1816">
        <v>84.9709421767093</v>
      </c>
      <c r="AM1816">
        <v>83.510519990433195</v>
      </c>
      <c r="AN1816">
        <v>1.00000004185795</v>
      </c>
    </row>
    <row r="1817" spans="1:40" x14ac:dyDescent="0.25">
      <c r="A1817" t="str">
        <f>"20190312150701579"</f>
        <v>20190312150701579</v>
      </c>
      <c r="B1817" t="str">
        <f>"1552374421571894"</f>
        <v>1552374421571894</v>
      </c>
      <c r="C1817" t="s">
        <v>40</v>
      </c>
      <c r="D1817">
        <v>4.3607480000000001</v>
      </c>
      <c r="E1817">
        <v>0.54361029999999999</v>
      </c>
      <c r="F1817" t="s">
        <v>49</v>
      </c>
      <c r="G1817">
        <v>-208.84270000000001</v>
      </c>
      <c r="H1817" s="1">
        <v>-6.0999200000000004E-6</v>
      </c>
      <c r="I1817">
        <v>361.91899999999998</v>
      </c>
      <c r="J1817">
        <v>-229.5633</v>
      </c>
      <c r="K1817">
        <v>1.110201</v>
      </c>
      <c r="L1817">
        <v>367.33080000000001</v>
      </c>
      <c r="M1817">
        <v>0.99964209999999998</v>
      </c>
      <c r="N1817">
        <v>0</v>
      </c>
      <c r="O1817">
        <v>-2.3127930000000001E-2</v>
      </c>
      <c r="P1817">
        <v>0.98817750000000004</v>
      </c>
      <c r="Q1817">
        <v>7.2941640000000002E-2</v>
      </c>
      <c r="R1817">
        <v>-0.1348512</v>
      </c>
      <c r="S1817">
        <v>2.9435419999999999</v>
      </c>
      <c r="T1817">
        <v>-0.15701850000000001</v>
      </c>
      <c r="U1817">
        <v>-0.76577759999999995</v>
      </c>
      <c r="V1817">
        <v>0.1120684</v>
      </c>
      <c r="W1817">
        <v>8.6124229999999996E-2</v>
      </c>
      <c r="X1817">
        <v>0.98996130000000004</v>
      </c>
      <c r="Y1817">
        <v>0.22904840000000001</v>
      </c>
      <c r="Z1817">
        <v>-4.7931959999999996E-3</v>
      </c>
      <c r="AA1817">
        <v>0.97340320000000002</v>
      </c>
      <c r="AB1817">
        <v>19</v>
      </c>
      <c r="AC1817">
        <v>20.720599999999902</v>
      </c>
      <c r="AD1817">
        <v>-1.11020709992</v>
      </c>
      <c r="AE1817">
        <v>-5.4117999999999702</v>
      </c>
      <c r="AF1817">
        <v>4.9178675928662097</v>
      </c>
      <c r="AG1817">
        <v>-1.11020709992</v>
      </c>
      <c r="AH1817">
        <v>20.784374040805201</v>
      </c>
      <c r="AI1817">
        <v>92.975568178508098</v>
      </c>
      <c r="AJ1817">
        <v>76.687861069105693</v>
      </c>
      <c r="AK1817">
        <v>21.387103257191601</v>
      </c>
      <c r="AL1817">
        <v>85.059324617962403</v>
      </c>
      <c r="AM1817">
        <v>83.541337372182994</v>
      </c>
      <c r="AN1817">
        <v>1.00000004238467</v>
      </c>
    </row>
    <row r="1818" spans="1:40" x14ac:dyDescent="0.25">
      <c r="A1818" t="str">
        <f>"20190312150701600"</f>
        <v>20190312150701600</v>
      </c>
      <c r="B1818" t="str">
        <f>"1552374421592390"</f>
        <v>1552374421592390</v>
      </c>
      <c r="C1818" t="s">
        <v>40</v>
      </c>
      <c r="D1818">
        <v>4.4189990000000003</v>
      </c>
      <c r="E1818">
        <v>0.5436339</v>
      </c>
      <c r="F1818" t="s">
        <v>49</v>
      </c>
      <c r="G1818">
        <v>-209.46119999999999</v>
      </c>
      <c r="H1818" s="1">
        <v>-6.2782649999999998E-6</v>
      </c>
      <c r="I1818">
        <v>362.1028</v>
      </c>
      <c r="J1818">
        <v>-229.37989999999999</v>
      </c>
      <c r="K1818">
        <v>1.1102080000000001</v>
      </c>
      <c r="L1818">
        <v>367.3254</v>
      </c>
      <c r="M1818">
        <v>0.99961979999999995</v>
      </c>
      <c r="N1818">
        <v>0</v>
      </c>
      <c r="O1818">
        <v>-2.4073520000000001E-2</v>
      </c>
      <c r="P1818">
        <v>0.98823640000000001</v>
      </c>
      <c r="Q1818">
        <v>7.0363300000000004E-2</v>
      </c>
      <c r="R1818">
        <v>-0.13578779999999999</v>
      </c>
      <c r="S1818">
        <v>2.9434200000000001</v>
      </c>
      <c r="T1818">
        <v>-0.16256089999999901</v>
      </c>
      <c r="U1818">
        <v>-0.76550289999999999</v>
      </c>
      <c r="V1818">
        <v>0.112059199999999</v>
      </c>
      <c r="W1818">
        <v>8.3550540000000006E-2</v>
      </c>
      <c r="X1818">
        <v>0.99018280000000003</v>
      </c>
      <c r="Y1818">
        <v>0.2280354</v>
      </c>
      <c r="Z1818">
        <v>-4.8836579999999999E-3</v>
      </c>
      <c r="AA1818">
        <v>0.97364059999999997</v>
      </c>
      <c r="AB1818">
        <v>19</v>
      </c>
      <c r="AC1818">
        <v>19.918700000000001</v>
      </c>
      <c r="AD1818">
        <v>-1.110214278265</v>
      </c>
      <c r="AE1818">
        <v>-5.2225999999999999</v>
      </c>
      <c r="AF1818">
        <v>4.7277868261164002</v>
      </c>
      <c r="AG1818">
        <v>-1.110214278265</v>
      </c>
      <c r="AH1818">
        <v>19.980584270172599</v>
      </c>
      <c r="AI1818">
        <v>93.095058976390604</v>
      </c>
      <c r="AJ1818">
        <v>76.6875707702401</v>
      </c>
      <c r="AK1818">
        <v>20.562302687061401</v>
      </c>
      <c r="AL1818">
        <v>85.207319417901601</v>
      </c>
      <c r="AM1818">
        <v>83.543295560608001</v>
      </c>
      <c r="AN1818">
        <v>0.99999996722738504</v>
      </c>
    </row>
    <row r="1819" spans="1:40" x14ac:dyDescent="0.25">
      <c r="A1819" t="str">
        <f>"20190312150701611"</f>
        <v>20190312150701611</v>
      </c>
      <c r="B1819" t="str">
        <f>"1552374421601681"</f>
        <v>1552374421601681</v>
      </c>
      <c r="C1819" t="s">
        <v>40</v>
      </c>
      <c r="D1819">
        <v>4.402844</v>
      </c>
      <c r="E1819">
        <v>0.54364089999999998</v>
      </c>
      <c r="F1819" t="s">
        <v>42</v>
      </c>
      <c r="G1819">
        <v>-210.30009999999999</v>
      </c>
      <c r="H1819" s="1">
        <v>-5.4337430000000003E-6</v>
      </c>
      <c r="I1819">
        <v>362.34300000000002</v>
      </c>
      <c r="J1819">
        <v>-229.29259999999999</v>
      </c>
      <c r="K1819">
        <v>1.110209</v>
      </c>
      <c r="L1819">
        <v>367.32279999999997</v>
      </c>
      <c r="M1819">
        <v>0.99960890000000002</v>
      </c>
      <c r="N1819">
        <v>0</v>
      </c>
      <c r="O1819">
        <v>-2.4515510000000001E-2</v>
      </c>
      <c r="P1819">
        <v>0.98815609999999998</v>
      </c>
      <c r="Q1819">
        <v>6.9200300000000006E-2</v>
      </c>
      <c r="R1819">
        <v>-0.1369638</v>
      </c>
      <c r="S1819">
        <v>2.9423219999999999</v>
      </c>
      <c r="T1819">
        <v>-0.17120650000000001</v>
      </c>
      <c r="U1819">
        <v>-0.7683411</v>
      </c>
      <c r="V1819">
        <v>0.112795699999999</v>
      </c>
      <c r="W1819">
        <v>8.2387249999999995E-2</v>
      </c>
      <c r="X1819">
        <v>0.99019669999999904</v>
      </c>
      <c r="Y1819">
        <v>0.22854089999999999</v>
      </c>
      <c r="Z1819">
        <v>-5.1334470000000002E-3</v>
      </c>
      <c r="AA1819">
        <v>0.97352079999999996</v>
      </c>
      <c r="AB1819">
        <v>19</v>
      </c>
      <c r="AC1819">
        <v>18.9925</v>
      </c>
      <c r="AD1819">
        <v>-1.110214433743</v>
      </c>
      <c r="AE1819">
        <v>-4.9797999999999503</v>
      </c>
      <c r="AF1819">
        <v>4.4982680651005902</v>
      </c>
      <c r="AG1819">
        <v>-1.110214433743</v>
      </c>
      <c r="AH1819">
        <v>19.0479833269689</v>
      </c>
      <c r="AI1819">
        <v>93.246615731396005</v>
      </c>
      <c r="AJ1819">
        <v>76.712775714616598</v>
      </c>
      <c r="AK1819">
        <v>19.6033839042876</v>
      </c>
      <c r="AL1819">
        <v>85.274201866785305</v>
      </c>
      <c r="AM1819">
        <v>83.501311704928597</v>
      </c>
      <c r="AN1819">
        <v>1.0000000167959699</v>
      </c>
    </row>
    <row r="1820" spans="1:40" x14ac:dyDescent="0.25">
      <c r="A1820" t="str">
        <f>"20190312150701622"</f>
        <v>20190312150701622</v>
      </c>
      <c r="B1820" t="str">
        <f>"1552374421612417"</f>
        <v>1552374421612417</v>
      </c>
      <c r="C1820" t="s">
        <v>40</v>
      </c>
      <c r="D1820">
        <v>4.4099870000000001</v>
      </c>
      <c r="E1820">
        <v>0.54363899999999998</v>
      </c>
      <c r="F1820" t="s">
        <v>42</v>
      </c>
      <c r="G1820">
        <v>-210.68729999999999</v>
      </c>
      <c r="H1820" s="1">
        <v>-5.2508949999999996E-6</v>
      </c>
      <c r="I1820">
        <v>362.43740000000003</v>
      </c>
      <c r="J1820">
        <v>-229.1944</v>
      </c>
      <c r="K1820">
        <v>1.1102129999999999</v>
      </c>
      <c r="L1820">
        <v>367.31979999999999</v>
      </c>
      <c r="M1820">
        <v>0.99959690000000001</v>
      </c>
      <c r="N1820">
        <v>0</v>
      </c>
      <c r="O1820">
        <v>-2.5009340000000001E-2</v>
      </c>
      <c r="P1820">
        <v>0.98804250000000005</v>
      </c>
      <c r="Q1820">
        <v>6.861971E-2</v>
      </c>
      <c r="R1820">
        <v>-0.13807139999999901</v>
      </c>
      <c r="S1820">
        <v>2.941208</v>
      </c>
      <c r="T1820">
        <v>-0.17550689999999999</v>
      </c>
      <c r="U1820">
        <v>-0.77230829999999995</v>
      </c>
      <c r="V1820">
        <v>0.113413899999999</v>
      </c>
      <c r="W1820">
        <v>8.1806519999999994E-2</v>
      </c>
      <c r="X1820">
        <v>0.9901742</v>
      </c>
      <c r="Y1820">
        <v>0.22936190000000001</v>
      </c>
      <c r="Z1820">
        <v>-5.2583880000000001E-3</v>
      </c>
      <c r="AA1820">
        <v>0.97332700000000005</v>
      </c>
      <c r="AB1820">
        <v>19</v>
      </c>
      <c r="AC1820">
        <v>18.507100000000001</v>
      </c>
      <c r="AD1820">
        <v>-1.11021825089499</v>
      </c>
      <c r="AE1820">
        <v>-4.8823999999999597</v>
      </c>
      <c r="AF1820">
        <v>4.40316601607769</v>
      </c>
      <c r="AG1820">
        <v>-1.11021825089499</v>
      </c>
      <c r="AH1820">
        <v>18.560978572567901</v>
      </c>
      <c r="AI1820">
        <v>93.330823780876898</v>
      </c>
      <c r="AJ1820">
        <v>76.654586830344797</v>
      </c>
      <c r="AK1820">
        <v>19.108385099246</v>
      </c>
      <c r="AL1820">
        <v>85.307587784871004</v>
      </c>
      <c r="AM1820">
        <v>83.465854293590496</v>
      </c>
      <c r="AN1820">
        <v>0.99999998288668002</v>
      </c>
    </row>
    <row r="1821" spans="1:40" x14ac:dyDescent="0.25">
      <c r="A1821" t="str">
        <f>"20190312150701633"</f>
        <v>20190312150701633</v>
      </c>
      <c r="B1821" t="str">
        <f>"1552374421622177"</f>
        <v>1552374421622177</v>
      </c>
      <c r="C1821" t="s">
        <v>40</v>
      </c>
      <c r="D1821">
        <v>4.4089269999999896</v>
      </c>
      <c r="E1821">
        <v>0.54365149999999995</v>
      </c>
      <c r="F1821" t="s">
        <v>42</v>
      </c>
      <c r="G1821">
        <v>-210.8724</v>
      </c>
      <c r="H1821" s="1">
        <v>-5.1626210000000003E-6</v>
      </c>
      <c r="I1821">
        <v>362.48739999999998</v>
      </c>
      <c r="J1821">
        <v>-229.10489999999999</v>
      </c>
      <c r="K1821">
        <v>1.11022</v>
      </c>
      <c r="L1821">
        <v>367.31700000000001</v>
      </c>
      <c r="M1821">
        <v>0.99958570000000002</v>
      </c>
      <c r="N1821">
        <v>0</v>
      </c>
      <c r="O1821">
        <v>-2.5451479999999999E-2</v>
      </c>
      <c r="P1821">
        <v>0.98787820000000004</v>
      </c>
      <c r="Q1821">
        <v>6.8467929999999996E-2</v>
      </c>
      <c r="R1821">
        <v>-0.1393161</v>
      </c>
      <c r="S1821">
        <v>2.9403229999999998</v>
      </c>
      <c r="T1821">
        <v>-0.17816770000000001</v>
      </c>
      <c r="U1821">
        <v>-0.77551269999999894</v>
      </c>
      <c r="V1821">
        <v>0.114222699999999</v>
      </c>
      <c r="W1821">
        <v>8.1653030000000001E-2</v>
      </c>
      <c r="X1821">
        <v>0.99009389999999997</v>
      </c>
      <c r="Y1821">
        <v>0.22998460000000001</v>
      </c>
      <c r="Z1821">
        <v>-5.3310629999999996E-3</v>
      </c>
      <c r="AA1821">
        <v>0.97317969999999998</v>
      </c>
      <c r="AB1821">
        <v>19</v>
      </c>
      <c r="AC1821">
        <v>18.232499999999899</v>
      </c>
      <c r="AD1821">
        <v>-1.110225162621</v>
      </c>
      <c r="AE1821">
        <v>-4.8295999999999699</v>
      </c>
      <c r="AF1821">
        <v>4.3488811712102597</v>
      </c>
      <c r="AG1821">
        <v>-1.110225162621</v>
      </c>
      <c r="AH1821">
        <v>18.286166310987898</v>
      </c>
      <c r="AI1821">
        <v>93.380334206907193</v>
      </c>
      <c r="AJ1821">
        <v>76.622234068573206</v>
      </c>
      <c r="AK1821">
        <v>18.828947015330801</v>
      </c>
      <c r="AL1821">
        <v>85.316411651902499</v>
      </c>
      <c r="AM1821">
        <v>83.419134921491107</v>
      </c>
      <c r="AN1821">
        <v>0.99999998666033996</v>
      </c>
    </row>
    <row r="1822" spans="1:40" x14ac:dyDescent="0.25">
      <c r="A1822" t="str">
        <f>"20190312150701645"</f>
        <v>20190312150701645</v>
      </c>
      <c r="B1822" t="str">
        <f>"1552374421641697"</f>
        <v>1552374421641697</v>
      </c>
      <c r="C1822" t="s">
        <v>40</v>
      </c>
      <c r="D1822">
        <v>4.434323</v>
      </c>
      <c r="E1822">
        <v>0.54373549999999904</v>
      </c>
      <c r="F1822" t="s">
        <v>42</v>
      </c>
      <c r="G1822">
        <v>-210.87899999999999</v>
      </c>
      <c r="H1822" s="1">
        <v>-5.1608639999999999E-6</v>
      </c>
      <c r="I1822">
        <v>362.4812</v>
      </c>
      <c r="J1822">
        <v>-229.00239999999999</v>
      </c>
      <c r="K1822">
        <v>1.1102289999999999</v>
      </c>
      <c r="L1822">
        <v>367.31389999999999</v>
      </c>
      <c r="M1822">
        <v>0.99957260000000003</v>
      </c>
      <c r="N1822">
        <v>0</v>
      </c>
      <c r="O1822">
        <v>-2.5956549999999998E-2</v>
      </c>
      <c r="P1822">
        <v>0.98767950000000004</v>
      </c>
      <c r="Q1822">
        <v>6.9208259999999994E-2</v>
      </c>
      <c r="R1822">
        <v>-0.14035420000000001</v>
      </c>
      <c r="S1822">
        <v>2.939209</v>
      </c>
      <c r="T1822">
        <v>-0.1790398</v>
      </c>
      <c r="U1822">
        <v>-0.77984619999999905</v>
      </c>
      <c r="V1822">
        <v>0.1147643</v>
      </c>
      <c r="W1822">
        <v>8.2391519999999996E-2</v>
      </c>
      <c r="X1822">
        <v>0.98997009999999996</v>
      </c>
      <c r="Y1822">
        <v>0.2309204</v>
      </c>
      <c r="Z1822">
        <v>-5.3559209999999996E-3</v>
      </c>
      <c r="AA1822">
        <v>0.97295790000000004</v>
      </c>
      <c r="AB1822">
        <v>19</v>
      </c>
      <c r="AC1822">
        <v>18.123399999999901</v>
      </c>
      <c r="AD1822">
        <v>-1.1102341608640001</v>
      </c>
      <c r="AE1822">
        <v>-4.8326999999999796</v>
      </c>
      <c r="AF1822">
        <v>4.3453833468988003</v>
      </c>
      <c r="AG1822">
        <v>-1.1102341608640001</v>
      </c>
      <c r="AH1822">
        <v>18.179051578476201</v>
      </c>
      <c r="AI1822">
        <v>93.399307688406694</v>
      </c>
      <c r="AJ1822">
        <v>76.5566951851428</v>
      </c>
      <c r="AK1822">
        <v>18.7241259506646</v>
      </c>
      <c r="AL1822">
        <v>85.273956313896207</v>
      </c>
      <c r="AM1822">
        <v>83.387387126449397</v>
      </c>
      <c r="AN1822">
        <v>1.0000000030081999</v>
      </c>
    </row>
    <row r="1823" spans="1:40" x14ac:dyDescent="0.25">
      <c r="A1823" t="str">
        <f>"20190312150701656"</f>
        <v>20190312150701656</v>
      </c>
      <c r="B1823" t="str">
        <f>"1552374421652433"</f>
        <v>1552374421652433</v>
      </c>
      <c r="C1823" t="s">
        <v>40</v>
      </c>
      <c r="D1823">
        <v>4.4488110000000001</v>
      </c>
      <c r="E1823">
        <v>0.54379489999999997</v>
      </c>
      <c r="F1823" t="s">
        <v>42</v>
      </c>
      <c r="G1823">
        <v>-210.5812</v>
      </c>
      <c r="H1823" s="1">
        <v>-5.3031610000000003E-6</v>
      </c>
      <c r="I1823">
        <v>362.39929999999998</v>
      </c>
      <c r="J1823">
        <v>-228.91210000000001</v>
      </c>
      <c r="K1823">
        <v>1.1102379999999901</v>
      </c>
      <c r="L1823">
        <v>367.31099999999998</v>
      </c>
      <c r="M1823">
        <v>0.99956120000000004</v>
      </c>
      <c r="N1823">
        <v>0</v>
      </c>
      <c r="O1823">
        <v>-2.639584E-2</v>
      </c>
      <c r="P1823">
        <v>0.98750689999999997</v>
      </c>
      <c r="Q1823">
        <v>6.9877030000000007E-2</v>
      </c>
      <c r="R1823">
        <v>-0.14123550000000001</v>
      </c>
      <c r="S1823">
        <v>2.9384160000000001</v>
      </c>
      <c r="T1823">
        <v>-0.17709569999999999</v>
      </c>
      <c r="U1823">
        <v>-0.78393550000000001</v>
      </c>
      <c r="V1823">
        <v>0.11521430000000001</v>
      </c>
      <c r="W1823">
        <v>8.3058699999999999E-2</v>
      </c>
      <c r="X1823">
        <v>0.98986209999999997</v>
      </c>
      <c r="Y1823">
        <v>0.23182920000000001</v>
      </c>
      <c r="Z1823">
        <v>-5.2992639999999997E-3</v>
      </c>
      <c r="AA1823">
        <v>0.97274210000000005</v>
      </c>
      <c r="AB1823">
        <v>19</v>
      </c>
      <c r="AC1823">
        <v>18.3309</v>
      </c>
      <c r="AD1823">
        <v>-1.11024330316099</v>
      </c>
      <c r="AE1823">
        <v>-4.91169999999999</v>
      </c>
      <c r="AF1823">
        <v>4.4109880109946698</v>
      </c>
      <c r="AG1823">
        <v>-1.11024330316099</v>
      </c>
      <c r="AH1823">
        <v>18.391226035682902</v>
      </c>
      <c r="AI1823">
        <v>93.359594284551804</v>
      </c>
      <c r="AJ1823">
        <v>76.512827969449702</v>
      </c>
      <c r="AK1823">
        <v>18.945359603896001</v>
      </c>
      <c r="AL1823">
        <v>85.235598367029397</v>
      </c>
      <c r="AM1823">
        <v>83.360971696957193</v>
      </c>
      <c r="AN1823">
        <v>1.0000000297932901</v>
      </c>
    </row>
    <row r="1824" spans="1:40" x14ac:dyDescent="0.25">
      <c r="A1824" t="str">
        <f>"20190312150701667"</f>
        <v>20190312150701667</v>
      </c>
      <c r="B1824" t="str">
        <f>"1552374421662194"</f>
        <v>1552374421662194</v>
      </c>
      <c r="C1824" t="s">
        <v>40</v>
      </c>
      <c r="D1824">
        <v>4.3656790000000001</v>
      </c>
      <c r="E1824">
        <v>0.54384290000000002</v>
      </c>
      <c r="F1824" t="s">
        <v>42</v>
      </c>
      <c r="G1824">
        <v>-210.23410000000001</v>
      </c>
      <c r="H1824" s="1">
        <v>-5.4687919999999998E-6</v>
      </c>
      <c r="I1824">
        <v>362.30489999999998</v>
      </c>
      <c r="J1824">
        <v>-228.81950000000001</v>
      </c>
      <c r="K1824">
        <v>1.1102449999999999</v>
      </c>
      <c r="L1824">
        <v>367.30810000000002</v>
      </c>
      <c r="M1824">
        <v>0.99954920000000003</v>
      </c>
      <c r="N1824">
        <v>0</v>
      </c>
      <c r="O1824">
        <v>-2.6845520000000001E-2</v>
      </c>
      <c r="P1824">
        <v>0.98735519999999999</v>
      </c>
      <c r="Q1824">
        <v>7.10678E-2</v>
      </c>
      <c r="R1824">
        <v>-0.14170170000000001</v>
      </c>
      <c r="S1824">
        <v>2.937729</v>
      </c>
      <c r="T1824">
        <v>-0.17462179999999999</v>
      </c>
      <c r="U1824">
        <v>-0.78738399999999997</v>
      </c>
      <c r="V1824">
        <v>0.1152391</v>
      </c>
      <c r="W1824">
        <v>8.4248039999999996E-2</v>
      </c>
      <c r="X1824">
        <v>0.98975869999999999</v>
      </c>
      <c r="Y1824">
        <v>0.23252310000000001</v>
      </c>
      <c r="Z1824">
        <v>-5.2198230000000002E-3</v>
      </c>
      <c r="AA1824">
        <v>0.97257689999999997</v>
      </c>
      <c r="AB1824">
        <v>19</v>
      </c>
      <c r="AC1824">
        <v>18.5854</v>
      </c>
      <c r="AD1824">
        <v>-1.1102504687920001</v>
      </c>
      <c r="AE1824">
        <v>-5.0032000000000396</v>
      </c>
      <c r="AF1824">
        <v>4.4874847306834997</v>
      </c>
      <c r="AG1824">
        <v>-1.1102504687920001</v>
      </c>
      <c r="AH1824">
        <v>18.650965725025699</v>
      </c>
      <c r="AI1824">
        <v>93.312362167352703</v>
      </c>
      <c r="AJ1824">
        <v>76.471584840926297</v>
      </c>
      <c r="AK1824">
        <v>19.215324555876101</v>
      </c>
      <c r="AL1824">
        <v>85.167214528324607</v>
      </c>
      <c r="AM1824">
        <v>83.358867870253704</v>
      </c>
      <c r="AN1824">
        <v>1.0000000333191701</v>
      </c>
    </row>
    <row r="1825" spans="1:40" x14ac:dyDescent="0.25">
      <c r="A1825" t="str">
        <f>"20190312150701677"</f>
        <v>20190312150701677</v>
      </c>
      <c r="B1825" t="str">
        <f>"1552374421671953"</f>
        <v>1552374421671953</v>
      </c>
      <c r="C1825" t="s">
        <v>40</v>
      </c>
      <c r="D1825">
        <v>4.4362190000000004</v>
      </c>
      <c r="E1825">
        <v>0.54386880000000004</v>
      </c>
      <c r="F1825" t="s">
        <v>49</v>
      </c>
      <c r="G1825">
        <v>-209.7627</v>
      </c>
      <c r="H1825" s="1">
        <v>-6.3658680000000003E-6</v>
      </c>
      <c r="I1825">
        <v>362.18810000000002</v>
      </c>
      <c r="J1825">
        <v>-228.7338</v>
      </c>
      <c r="K1825">
        <v>1.110252</v>
      </c>
      <c r="L1825">
        <v>367.30529999999999</v>
      </c>
      <c r="M1825">
        <v>0.99953809999999998</v>
      </c>
      <c r="N1825">
        <v>0</v>
      </c>
      <c r="O1825">
        <v>-2.725791E-2</v>
      </c>
      <c r="P1825">
        <v>0.98726950000000002</v>
      </c>
      <c r="Q1825">
        <v>7.1896210000000002E-2</v>
      </c>
      <c r="R1825">
        <v>-0.14188049999999999</v>
      </c>
      <c r="S1825">
        <v>2.9375</v>
      </c>
      <c r="T1825">
        <v>-0.17113989999999901</v>
      </c>
      <c r="U1825">
        <v>-0.78921509999999995</v>
      </c>
      <c r="V1825">
        <v>0.115012</v>
      </c>
      <c r="W1825">
        <v>8.5076209999999999E-2</v>
      </c>
      <c r="X1825">
        <v>0.98971430000000005</v>
      </c>
      <c r="Y1825">
        <v>0.23272000000000001</v>
      </c>
      <c r="Z1825">
        <v>-5.097982E-3</v>
      </c>
      <c r="AA1825">
        <v>0.97253040000000002</v>
      </c>
      <c r="AB1825">
        <v>19</v>
      </c>
      <c r="AC1825">
        <v>18.9711</v>
      </c>
      <c r="AD1825">
        <v>-1.1102583658679901</v>
      </c>
      <c r="AE1825">
        <v>-5.1171999999999596</v>
      </c>
      <c r="AF1825">
        <v>4.5835051761636398</v>
      </c>
      <c r="AG1825">
        <v>-1.1102583658679901</v>
      </c>
      <c r="AH1825">
        <v>19.0427482462852</v>
      </c>
      <c r="AI1825">
        <v>93.244316356730096</v>
      </c>
      <c r="AJ1825">
        <v>76.466589877104695</v>
      </c>
      <c r="AK1825">
        <v>19.618038997572999</v>
      </c>
      <c r="AL1825">
        <v>85.119593031585296</v>
      </c>
      <c r="AM1825">
        <v>83.371544183638406</v>
      </c>
      <c r="AN1825">
        <v>1.0000000586382201</v>
      </c>
    </row>
    <row r="1826" spans="1:40" x14ac:dyDescent="0.25">
      <c r="A1826" t="str">
        <f>"20190312150701691"</f>
        <v>20190312150701691</v>
      </c>
      <c r="B1826" t="str">
        <f>"1552374421681715"</f>
        <v>1552374421681715</v>
      </c>
      <c r="C1826" t="s">
        <v>40</v>
      </c>
      <c r="D1826">
        <v>4.4535</v>
      </c>
      <c r="E1826">
        <v>0.54389980000000004</v>
      </c>
      <c r="F1826" t="s">
        <v>49</v>
      </c>
      <c r="G1826">
        <v>-209.40309999999999</v>
      </c>
      <c r="H1826" s="1">
        <v>-6.2585859999999997E-6</v>
      </c>
      <c r="I1826">
        <v>362.10410000000002</v>
      </c>
      <c r="J1826">
        <v>-228.61699999999999</v>
      </c>
      <c r="K1826">
        <v>1.1102559999999999</v>
      </c>
      <c r="L1826">
        <v>367.30149999999998</v>
      </c>
      <c r="M1826">
        <v>0.99952260000000004</v>
      </c>
      <c r="N1826">
        <v>0</v>
      </c>
      <c r="O1826">
        <v>-2.7819670000000001E-2</v>
      </c>
      <c r="P1826">
        <v>0.98726499999999995</v>
      </c>
      <c r="Q1826">
        <v>7.2871099999999994E-2</v>
      </c>
      <c r="R1826">
        <v>-0.14141289999999901</v>
      </c>
      <c r="S1826">
        <v>2.937408</v>
      </c>
      <c r="T1826">
        <v>-0.16870929999999901</v>
      </c>
      <c r="U1826">
        <v>-0.79034419999999905</v>
      </c>
      <c r="V1826">
        <v>0.1139884</v>
      </c>
      <c r="W1826">
        <v>8.6051550000000004E-2</v>
      </c>
      <c r="X1826">
        <v>0.98974839999999997</v>
      </c>
      <c r="Y1826">
        <v>0.23254</v>
      </c>
      <c r="Z1826">
        <v>-4.9889139999999997E-3</v>
      </c>
      <c r="AA1826">
        <v>0.9725741</v>
      </c>
      <c r="AB1826">
        <v>19</v>
      </c>
      <c r="AC1826">
        <v>19.213899999999999</v>
      </c>
      <c r="AD1826">
        <v>-1.11026225858599</v>
      </c>
      <c r="AE1826">
        <v>-5.1973999999999503</v>
      </c>
      <c r="AF1826">
        <v>4.6463588628439298</v>
      </c>
      <c r="AG1826">
        <v>-1.11026225858599</v>
      </c>
      <c r="AH1826">
        <v>19.291043599288201</v>
      </c>
      <c r="AI1826">
        <v>93.202540893953</v>
      </c>
      <c r="AJ1826">
        <v>76.4579149836064</v>
      </c>
      <c r="AK1826">
        <v>19.873743887722998</v>
      </c>
      <c r="AL1826">
        <v>85.0635044791713</v>
      </c>
      <c r="AM1826">
        <v>83.430243381721596</v>
      </c>
      <c r="AN1826">
        <v>1.0000000599472501</v>
      </c>
    </row>
    <row r="1827" spans="1:40" x14ac:dyDescent="0.25">
      <c r="A1827" t="str">
        <f>"20190312150701704"</f>
        <v>20190312150701704</v>
      </c>
      <c r="B1827" t="str">
        <f>"1552374421692451"</f>
        <v>1552374421692451</v>
      </c>
      <c r="C1827" t="s">
        <v>40</v>
      </c>
      <c r="D1827">
        <v>4.4905280000000003</v>
      </c>
      <c r="E1827">
        <v>0.54397989999999996</v>
      </c>
      <c r="F1827" t="s">
        <v>49</v>
      </c>
      <c r="G1827">
        <v>-208.9579</v>
      </c>
      <c r="H1827" s="1">
        <v>-6.1227879999999997E-6</v>
      </c>
      <c r="I1827">
        <v>362.01949999999999</v>
      </c>
      <c r="J1827">
        <v>-228.5035</v>
      </c>
      <c r="K1827">
        <v>1.1102609999999999</v>
      </c>
      <c r="L1827">
        <v>367.29759999999999</v>
      </c>
      <c r="M1827">
        <v>0.99950729999999999</v>
      </c>
      <c r="N1827">
        <v>0</v>
      </c>
      <c r="O1827">
        <v>-2.836404E-2</v>
      </c>
      <c r="P1827">
        <v>0.9872765</v>
      </c>
      <c r="Q1827">
        <v>7.3242630000000003E-2</v>
      </c>
      <c r="R1827">
        <v>-0.14114019999999999</v>
      </c>
      <c r="S1827">
        <v>2.937881</v>
      </c>
      <c r="T1827">
        <v>-0.16591889999999901</v>
      </c>
      <c r="U1827">
        <v>-0.78933719999999996</v>
      </c>
      <c r="V1827">
        <v>0.113176</v>
      </c>
      <c r="W1827">
        <v>8.6424009999999996E-2</v>
      </c>
      <c r="X1827">
        <v>0.9898091</v>
      </c>
      <c r="Y1827">
        <v>0.2316725</v>
      </c>
      <c r="Z1827">
        <v>-4.851798E-3</v>
      </c>
      <c r="AA1827">
        <v>0.97278180000000003</v>
      </c>
      <c r="AB1827">
        <v>19</v>
      </c>
      <c r="AC1827">
        <v>19.5456</v>
      </c>
      <c r="AD1827">
        <v>-1.1102671227879899</v>
      </c>
      <c r="AE1827">
        <v>-5.2780999999999896</v>
      </c>
      <c r="AF1827">
        <v>4.7073768745246003</v>
      </c>
      <c r="AG1827">
        <v>-1.1102671227879899</v>
      </c>
      <c r="AH1827">
        <v>19.6284261437109</v>
      </c>
      <c r="AI1827">
        <v>93.148355705792795</v>
      </c>
      <c r="AJ1827">
        <v>76.513776547000901</v>
      </c>
      <c r="AK1827">
        <v>20.2155188655119</v>
      </c>
      <c r="AL1827">
        <v>85.042083924966306</v>
      </c>
      <c r="AM1827">
        <v>83.477057887883007</v>
      </c>
      <c r="AN1827">
        <v>0.99999998546164504</v>
      </c>
    </row>
    <row r="1828" spans="1:40" x14ac:dyDescent="0.25">
      <c r="A1828" t="str">
        <f>"20190312150701717"</f>
        <v>20190312150701717</v>
      </c>
      <c r="B1828" t="str">
        <f>"1552374421712477"</f>
        <v>1552374421712477</v>
      </c>
      <c r="C1828" t="s">
        <v>40</v>
      </c>
      <c r="D1828">
        <v>4.4062020000000004</v>
      </c>
      <c r="E1828">
        <v>0.54403269999999904</v>
      </c>
      <c r="F1828" t="s">
        <v>49</v>
      </c>
      <c r="G1828">
        <v>-208.72819999999999</v>
      </c>
      <c r="H1828" s="1">
        <v>-6.0509230000000004E-6</v>
      </c>
      <c r="I1828">
        <v>361.98739999999998</v>
      </c>
      <c r="J1828">
        <v>-228.39359999999999</v>
      </c>
      <c r="K1828">
        <v>1.11026</v>
      </c>
      <c r="L1828">
        <v>367.29390000000001</v>
      </c>
      <c r="M1828">
        <v>0.9994923</v>
      </c>
      <c r="N1828">
        <v>0</v>
      </c>
      <c r="O1828">
        <v>-2.8891509999999999E-2</v>
      </c>
      <c r="P1828">
        <v>0.98733519999999997</v>
      </c>
      <c r="Q1828">
        <v>7.3412519999999995E-2</v>
      </c>
      <c r="R1828">
        <v>-0.14064189999999999</v>
      </c>
      <c r="S1828">
        <v>2.938126</v>
      </c>
      <c r="T1828">
        <v>-0.1649591</v>
      </c>
      <c r="U1828">
        <v>-0.78897090000000003</v>
      </c>
      <c r="V1828">
        <v>0.1121533</v>
      </c>
      <c r="W1828">
        <v>8.6595489999999997E-2</v>
      </c>
      <c r="X1828">
        <v>0.98991050000000003</v>
      </c>
      <c r="Y1828">
        <v>0.23103099999999999</v>
      </c>
      <c r="Z1828">
        <v>-4.7767649999999997E-3</v>
      </c>
      <c r="AA1828">
        <v>0.97293470000000004</v>
      </c>
      <c r="AB1828">
        <v>19</v>
      </c>
      <c r="AC1828">
        <v>19.665400000000002</v>
      </c>
      <c r="AD1828">
        <v>-1.110266050923</v>
      </c>
      <c r="AE1828">
        <v>-5.3065000000000202</v>
      </c>
      <c r="AF1828">
        <v>4.7220401723104102</v>
      </c>
      <c r="AG1828">
        <v>-1.110266050923</v>
      </c>
      <c r="AH1828">
        <v>19.751830263788701</v>
      </c>
      <c r="AI1828">
        <v>93.129256436751902</v>
      </c>
      <c r="AJ1828">
        <v>76.554742368526803</v>
      </c>
      <c r="AK1828">
        <v>20.338759865396501</v>
      </c>
      <c r="AL1828">
        <v>85.032221793741499</v>
      </c>
      <c r="AM1828">
        <v>83.536156967895295</v>
      </c>
      <c r="AN1828">
        <v>0.99999996979973904</v>
      </c>
    </row>
    <row r="1829" spans="1:40" x14ac:dyDescent="0.25">
      <c r="A1829" t="str">
        <f>"20190312150701731"</f>
        <v>20190312150701731</v>
      </c>
      <c r="B1829" t="str">
        <f>"1552374421722238"</f>
        <v>1552374421722238</v>
      </c>
      <c r="C1829" t="s">
        <v>40</v>
      </c>
      <c r="D1829">
        <v>4.4097839999999904</v>
      </c>
      <c r="E1829">
        <v>0.54404229999999998</v>
      </c>
      <c r="F1829" t="s">
        <v>49</v>
      </c>
      <c r="G1829">
        <v>-208.7029</v>
      </c>
      <c r="H1829" s="1">
        <v>-6.038345E-6</v>
      </c>
      <c r="I1829">
        <v>362.01369999999997</v>
      </c>
      <c r="J1829">
        <v>-228.26509999999999</v>
      </c>
      <c r="K1829">
        <v>1.1102590000000001</v>
      </c>
      <c r="L1829">
        <v>367.28949999999998</v>
      </c>
      <c r="M1829">
        <v>0.99947430000000004</v>
      </c>
      <c r="N1829">
        <v>0</v>
      </c>
      <c r="O1829">
        <v>-2.9509230000000001E-2</v>
      </c>
      <c r="P1829">
        <v>0.98754189999999997</v>
      </c>
      <c r="Q1829">
        <v>7.2783819999999999E-2</v>
      </c>
      <c r="R1829">
        <v>-0.13951369999999999</v>
      </c>
      <c r="S1829">
        <v>2.9385379999999999</v>
      </c>
      <c r="T1829">
        <v>-0.1656908</v>
      </c>
      <c r="U1829">
        <v>-0.78799439999999998</v>
      </c>
      <c r="V1829">
        <v>0.11040659999999999</v>
      </c>
      <c r="W1829">
        <v>8.5970309999999994E-2</v>
      </c>
      <c r="X1829">
        <v>0.99016139999999997</v>
      </c>
      <c r="Y1829">
        <v>0.23009360000000001</v>
      </c>
      <c r="Z1829">
        <v>-4.737397E-3</v>
      </c>
      <c r="AA1829">
        <v>0.97315700000000005</v>
      </c>
      <c r="AB1829">
        <v>19</v>
      </c>
      <c r="AC1829">
        <v>19.562199999999901</v>
      </c>
      <c r="AD1829">
        <v>-1.1102650383449999</v>
      </c>
      <c r="AE1829">
        <v>-5.2758000000000003</v>
      </c>
      <c r="AF1829">
        <v>4.6821250408811901</v>
      </c>
      <c r="AG1829">
        <v>-1.1102650383449999</v>
      </c>
      <c r="AH1829">
        <v>19.650372080664798</v>
      </c>
      <c r="AI1829">
        <v>93.145943015776993</v>
      </c>
      <c r="AJ1829">
        <v>76.597941468477302</v>
      </c>
      <c r="AK1829">
        <v>20.2309689897046</v>
      </c>
      <c r="AL1829">
        <v>85.068176476120499</v>
      </c>
      <c r="AM1829">
        <v>83.637593251367093</v>
      </c>
      <c r="AN1829">
        <v>1.0000000547875001</v>
      </c>
    </row>
    <row r="1830" spans="1:40" x14ac:dyDescent="0.25">
      <c r="A1830" t="str">
        <f>"20190312150701745"</f>
        <v>20190312150701745</v>
      </c>
      <c r="B1830" t="str">
        <f>"1552374421741758"</f>
        <v>1552374421741758</v>
      </c>
      <c r="C1830" t="s">
        <v>40</v>
      </c>
      <c r="D1830">
        <v>4.4096599999999997</v>
      </c>
      <c r="E1830">
        <v>0.54406489999999996</v>
      </c>
      <c r="F1830" t="s">
        <v>49</v>
      </c>
      <c r="G1830">
        <v>-208.87029999999999</v>
      </c>
      <c r="H1830" s="1">
        <v>-6.0790809999999996E-6</v>
      </c>
      <c r="I1830">
        <v>362.11160000000001</v>
      </c>
      <c r="J1830">
        <v>-228.15369999999999</v>
      </c>
      <c r="K1830">
        <v>1.11026</v>
      </c>
      <c r="L1830">
        <v>367.28559999999999</v>
      </c>
      <c r="M1830">
        <v>0.99945830000000002</v>
      </c>
      <c r="N1830">
        <v>0</v>
      </c>
      <c r="O1830">
        <v>-3.0045189999999999E-2</v>
      </c>
      <c r="P1830">
        <v>0.98763259999999997</v>
      </c>
      <c r="Q1830">
        <v>7.1895470000000003E-2</v>
      </c>
      <c r="R1830">
        <v>-0.13933119999999999</v>
      </c>
      <c r="S1830">
        <v>2.9393919999999998</v>
      </c>
      <c r="T1830">
        <v>-0.16826740000000001</v>
      </c>
      <c r="U1830">
        <v>-0.78472900000000001</v>
      </c>
      <c r="V1830">
        <v>0.1096891</v>
      </c>
      <c r="W1830">
        <v>8.5082850000000002E-2</v>
      </c>
      <c r="X1830">
        <v>0.99031780000000003</v>
      </c>
      <c r="Y1830">
        <v>0.22848579999999999</v>
      </c>
      <c r="Z1830">
        <v>-4.7350170000000002E-3</v>
      </c>
      <c r="AA1830">
        <v>0.9735357</v>
      </c>
      <c r="AB1830">
        <v>19</v>
      </c>
      <c r="AC1830">
        <v>19.2834</v>
      </c>
      <c r="AD1830">
        <v>-1.1102660790809999</v>
      </c>
      <c r="AE1830">
        <v>-5.1739999999999702</v>
      </c>
      <c r="AF1830">
        <v>4.5780808053952899</v>
      </c>
      <c r="AG1830">
        <v>-1.1102660790809999</v>
      </c>
      <c r="AH1830">
        <v>19.370260068063999</v>
      </c>
      <c r="AI1830">
        <v>93.192723997593603</v>
      </c>
      <c r="AJ1830">
        <v>76.702394205455093</v>
      </c>
      <c r="AK1830">
        <v>19.934856150259101</v>
      </c>
      <c r="AL1830">
        <v>85.119211246590197</v>
      </c>
      <c r="AM1830">
        <v>83.679595113252702</v>
      </c>
      <c r="AN1830">
        <v>1.0000000675098799</v>
      </c>
    </row>
    <row r="1831" spans="1:40" x14ac:dyDescent="0.25">
      <c r="A1831" t="str">
        <f>"20190312150701755"</f>
        <v>20190312150701755</v>
      </c>
      <c r="B1831" t="str">
        <f>"1552374421752493"</f>
        <v>1552374421752493</v>
      </c>
      <c r="C1831" t="s">
        <v>40</v>
      </c>
      <c r="D1831">
        <v>4.402139</v>
      </c>
      <c r="E1831">
        <v>0.544072</v>
      </c>
      <c r="F1831" t="s">
        <v>49</v>
      </c>
      <c r="G1831">
        <v>-209.20570000000001</v>
      </c>
      <c r="H1831" s="1">
        <v>-6.1731159999999998E-6</v>
      </c>
      <c r="I1831">
        <v>362.22829999999999</v>
      </c>
      <c r="J1831">
        <v>-228.06639999999999</v>
      </c>
      <c r="K1831">
        <v>1.1102529999999999</v>
      </c>
      <c r="L1831">
        <v>367.28250000000003</v>
      </c>
      <c r="M1831">
        <v>0.99944560000000005</v>
      </c>
      <c r="N1831">
        <v>0</v>
      </c>
      <c r="O1831">
        <v>-3.0466960000000001E-2</v>
      </c>
      <c r="P1831">
        <v>0.98766580000000004</v>
      </c>
      <c r="Q1831">
        <v>7.1356409999999995E-2</v>
      </c>
      <c r="R1831">
        <v>-0.13937289999999999</v>
      </c>
      <c r="S1831">
        <v>2.9394230000000001</v>
      </c>
      <c r="T1831">
        <v>-0.17223659999999999</v>
      </c>
      <c r="U1831">
        <v>-0.78454590000000002</v>
      </c>
      <c r="V1831">
        <v>0.10931109999999999</v>
      </c>
      <c r="W1831">
        <v>8.4544530000000007E-2</v>
      </c>
      <c r="X1831">
        <v>0.9904056</v>
      </c>
      <c r="Y1831">
        <v>0.22800290000000001</v>
      </c>
      <c r="Z1831">
        <v>-4.8084139999999996E-3</v>
      </c>
      <c r="AA1831">
        <v>0.97364859999999998</v>
      </c>
      <c r="AB1831">
        <v>19</v>
      </c>
      <c r="AC1831">
        <v>18.860699999999898</v>
      </c>
      <c r="AD1831">
        <v>-1.1102591731160001</v>
      </c>
      <c r="AE1831">
        <v>-5.05420000000003</v>
      </c>
      <c r="AF1831">
        <v>4.4627449338573397</v>
      </c>
      <c r="AG1831">
        <v>-1.1102591731160001</v>
      </c>
      <c r="AH1831">
        <v>18.944693282455201</v>
      </c>
      <c r="AI1831">
        <v>93.264837611220202</v>
      </c>
      <c r="AJ1831">
        <v>76.744665112213198</v>
      </c>
      <c r="AK1831">
        <v>19.494875514926001</v>
      </c>
      <c r="AL1831">
        <v>85.150165787219706</v>
      </c>
      <c r="AM1831">
        <v>83.701754422552796</v>
      </c>
      <c r="AN1831">
        <v>0.99999997332374502</v>
      </c>
    </row>
    <row r="1832" spans="1:40" x14ac:dyDescent="0.25">
      <c r="A1832" t="str">
        <f>"20190312150701767"</f>
        <v>20190312150701767</v>
      </c>
      <c r="B1832" t="str">
        <f>"1552374421762253"</f>
        <v>1552374421762253</v>
      </c>
      <c r="C1832" t="s">
        <v>40</v>
      </c>
      <c r="D1832">
        <v>6.0615519999999998</v>
      </c>
      <c r="E1832">
        <v>0.54404659999999905</v>
      </c>
      <c r="F1832" t="s">
        <v>49</v>
      </c>
      <c r="G1832">
        <v>-209.36590000000001</v>
      </c>
      <c r="H1832" s="1">
        <v>-6.2169889999999998E-6</v>
      </c>
      <c r="I1832">
        <v>362.29090000000002</v>
      </c>
      <c r="J1832">
        <v>-227.9759</v>
      </c>
      <c r="K1832">
        <v>1.1102510000000001</v>
      </c>
      <c r="L1832">
        <v>367.2792</v>
      </c>
      <c r="M1832">
        <v>0.99943210000000005</v>
      </c>
      <c r="N1832">
        <v>0</v>
      </c>
      <c r="O1832">
        <v>-3.090482E-2</v>
      </c>
      <c r="P1832">
        <v>0.98766359999999997</v>
      </c>
      <c r="Q1832">
        <v>7.1140179999999997E-2</v>
      </c>
      <c r="R1832">
        <v>-0.13949919999999999</v>
      </c>
      <c r="S1832">
        <v>2.9393310000000001</v>
      </c>
      <c r="T1832">
        <v>-0.17451050000000001</v>
      </c>
      <c r="U1832">
        <v>-0.78457639999999995</v>
      </c>
      <c r="V1832">
        <v>0.1090033</v>
      </c>
      <c r="W1832">
        <v>8.4327410000000005E-2</v>
      </c>
      <c r="X1832">
        <v>0.99045810000000001</v>
      </c>
      <c r="Y1832">
        <v>0.22758629999999999</v>
      </c>
      <c r="Z1832">
        <v>-4.8343190000000001E-3</v>
      </c>
      <c r="AA1832">
        <v>0.97374590000000005</v>
      </c>
      <c r="AB1832">
        <v>19</v>
      </c>
      <c r="AC1832">
        <v>18.6099999999999</v>
      </c>
      <c r="AD1832">
        <v>-1.1102572169889999</v>
      </c>
      <c r="AE1832">
        <v>-4.9882999999999802</v>
      </c>
      <c r="AF1832">
        <v>4.3961282958934804</v>
      </c>
      <c r="AG1832">
        <v>-1.1102572169889999</v>
      </c>
      <c r="AH1832">
        <v>18.6932120390337</v>
      </c>
      <c r="AI1832">
        <v>93.308947493426103</v>
      </c>
      <c r="AJ1832">
        <v>76.766086128705496</v>
      </c>
      <c r="AK1832">
        <v>19.2352486705554</v>
      </c>
      <c r="AL1832">
        <v>85.162650752763497</v>
      </c>
      <c r="AM1832">
        <v>83.719677452301298</v>
      </c>
      <c r="AN1832">
        <v>1.0000000396719</v>
      </c>
    </row>
    <row r="1833" spans="1:40" x14ac:dyDescent="0.25">
      <c r="A1833" t="str">
        <f>"20190312150701778"</f>
        <v>20190312150701778</v>
      </c>
      <c r="B1833" t="str">
        <f>"1552374421772014"</f>
        <v>1552374421772014</v>
      </c>
      <c r="C1833" t="s">
        <v>40</v>
      </c>
      <c r="D1833">
        <v>4.4906920000000001</v>
      </c>
      <c r="E1833">
        <v>0.54405109999999901</v>
      </c>
      <c r="F1833" t="s">
        <v>49</v>
      </c>
      <c r="G1833">
        <v>-209.34649999999999</v>
      </c>
      <c r="H1833" s="1">
        <v>-6.2082720000000004E-6</v>
      </c>
      <c r="I1833">
        <v>362.30509999999998</v>
      </c>
      <c r="J1833">
        <v>-227.8733</v>
      </c>
      <c r="K1833">
        <v>1.11025</v>
      </c>
      <c r="L1833">
        <v>367.27550000000002</v>
      </c>
      <c r="M1833">
        <v>0.99941659999999999</v>
      </c>
      <c r="N1833">
        <v>0</v>
      </c>
      <c r="O1833">
        <v>-3.1403349999999997E-2</v>
      </c>
      <c r="P1833">
        <v>0.98763109999999998</v>
      </c>
      <c r="Q1833">
        <v>7.1001079999999994E-2</v>
      </c>
      <c r="R1833">
        <v>-0.13979900000000001</v>
      </c>
      <c r="S1833">
        <v>2.9392550000000002</v>
      </c>
      <c r="T1833">
        <v>-0.17517160000000001</v>
      </c>
      <c r="U1833">
        <v>-0.78478999999999999</v>
      </c>
      <c r="V1833">
        <v>0.10880960000000001</v>
      </c>
      <c r="W1833">
        <v>8.4187709999999999E-2</v>
      </c>
      <c r="X1833">
        <v>0.99049129999999996</v>
      </c>
      <c r="Y1833">
        <v>0.22717200000000001</v>
      </c>
      <c r="Z1833">
        <v>-4.8114459999999996E-3</v>
      </c>
      <c r="AA1833">
        <v>0.97384269999999995</v>
      </c>
      <c r="AB1833">
        <v>19</v>
      </c>
      <c r="AC1833">
        <v>18.526800000000001</v>
      </c>
      <c r="AD1833">
        <v>-1.110256208272</v>
      </c>
      <c r="AE1833">
        <v>-4.9704000000000397</v>
      </c>
      <c r="AF1833">
        <v>4.3714471927193097</v>
      </c>
      <c r="AG1833">
        <v>-1.110256208272</v>
      </c>
      <c r="AH1833">
        <v>18.6114115482718</v>
      </c>
      <c r="AI1833">
        <v>93.323671404593895</v>
      </c>
      <c r="AJ1833">
        <v>76.781968008061199</v>
      </c>
      <c r="AK1833">
        <v>19.150113817569999</v>
      </c>
      <c r="AL1833">
        <v>85.170683623519693</v>
      </c>
      <c r="AM1833">
        <v>83.730957172756902</v>
      </c>
      <c r="AN1833">
        <v>1.0000000574714401</v>
      </c>
    </row>
    <row r="1834" spans="1:40" x14ac:dyDescent="0.25">
      <c r="A1834" t="str">
        <f>"20190312150701788"</f>
        <v>20190312150701788</v>
      </c>
      <c r="B1834" t="str">
        <f>"1552374421781774"</f>
        <v>1552374421781774</v>
      </c>
      <c r="C1834" t="s">
        <v>40</v>
      </c>
      <c r="D1834">
        <v>4.5015140000000002</v>
      </c>
      <c r="E1834">
        <v>0.54405609999999904</v>
      </c>
      <c r="F1834" t="s">
        <v>49</v>
      </c>
      <c r="G1834">
        <v>-209.28309999999999</v>
      </c>
      <c r="H1834" s="1">
        <v>-6.1869790000000003E-6</v>
      </c>
      <c r="I1834">
        <v>362.30560000000003</v>
      </c>
      <c r="J1834">
        <v>-227.78870000000001</v>
      </c>
      <c r="K1834">
        <v>1.1102510000000001</v>
      </c>
      <c r="L1834">
        <v>367.2724</v>
      </c>
      <c r="M1834">
        <v>0.9994035</v>
      </c>
      <c r="N1834">
        <v>0</v>
      </c>
      <c r="O1834">
        <v>-3.1815450000000002E-2</v>
      </c>
      <c r="P1834">
        <v>0.98756999999999995</v>
      </c>
      <c r="Q1834">
        <v>7.1103849999999996E-2</v>
      </c>
      <c r="R1834">
        <v>-0.14017769999999999</v>
      </c>
      <c r="S1834">
        <v>2.9389799999999999</v>
      </c>
      <c r="T1834">
        <v>-0.17552400000000001</v>
      </c>
      <c r="U1834">
        <v>-0.7857056</v>
      </c>
      <c r="V1834">
        <v>0.1087815</v>
      </c>
      <c r="W1834">
        <v>8.4288909999999995E-2</v>
      </c>
      <c r="X1834">
        <v>0.99048570000000002</v>
      </c>
      <c r="Y1834">
        <v>0.22707579999999999</v>
      </c>
      <c r="Z1834">
        <v>-4.7944249999999997E-3</v>
      </c>
      <c r="AA1834">
        <v>0.97386530000000004</v>
      </c>
      <c r="AB1834">
        <v>19</v>
      </c>
      <c r="AC1834">
        <v>18.505600000000001</v>
      </c>
      <c r="AD1834">
        <v>-1.1102571869789899</v>
      </c>
      <c r="AE1834">
        <v>-4.9667999999999699</v>
      </c>
      <c r="AF1834">
        <v>4.3608260436488999</v>
      </c>
      <c r="AG1834">
        <v>-1.1102571869789899</v>
      </c>
      <c r="AH1834">
        <v>18.591840924069999</v>
      </c>
      <c r="AI1834">
        <v>93.327404433791699</v>
      </c>
      <c r="AJ1834">
        <v>76.799564400813395</v>
      </c>
      <c r="AK1834">
        <v>19.128670203391799</v>
      </c>
      <c r="AL1834">
        <v>85.164864225314801</v>
      </c>
      <c r="AM1834">
        <v>83.732528110259196</v>
      </c>
      <c r="AN1834">
        <v>0.99999997849786304</v>
      </c>
    </row>
    <row r="1835" spans="1:40" x14ac:dyDescent="0.25">
      <c r="A1835" t="str">
        <f>"20190312150701800"</f>
        <v>20190312150701800</v>
      </c>
      <c r="B1835" t="str">
        <f>"1552374421792510"</f>
        <v>1552374421792510</v>
      </c>
      <c r="C1835" t="s">
        <v>40</v>
      </c>
      <c r="D1835">
        <v>4.5426799999999998</v>
      </c>
      <c r="E1835">
        <v>0.5440469</v>
      </c>
      <c r="F1835" t="s">
        <v>49</v>
      </c>
      <c r="G1835">
        <v>-209.1429</v>
      </c>
      <c r="H1835" s="1">
        <v>-6.1442149999999998E-6</v>
      </c>
      <c r="I1835">
        <v>362.27870000000001</v>
      </c>
      <c r="J1835">
        <v>-227.6858</v>
      </c>
      <c r="K1835">
        <v>1.1102510000000001</v>
      </c>
      <c r="L1835">
        <v>367.26850000000002</v>
      </c>
      <c r="M1835">
        <v>0.99938749999999998</v>
      </c>
      <c r="N1835">
        <v>0</v>
      </c>
      <c r="O1835">
        <v>-3.2317810000000002E-2</v>
      </c>
      <c r="P1835">
        <v>0.98752459999999997</v>
      </c>
      <c r="Q1835">
        <v>7.1309129999999998E-2</v>
      </c>
      <c r="R1835">
        <v>-0.14039360000000001</v>
      </c>
      <c r="S1835">
        <v>2.938644</v>
      </c>
      <c r="T1835">
        <v>-0.17498029999999901</v>
      </c>
      <c r="U1835">
        <v>-0.78701779999999999</v>
      </c>
      <c r="V1835">
        <v>0.10850120000000001</v>
      </c>
      <c r="W1835">
        <v>8.4493200000000004E-2</v>
      </c>
      <c r="X1835">
        <v>0.99049909999999997</v>
      </c>
      <c r="Y1835">
        <v>0.2270228</v>
      </c>
      <c r="Z1835">
        <v>-4.7490129999999998E-3</v>
      </c>
      <c r="AA1835">
        <v>0.97387780000000002</v>
      </c>
      <c r="AB1835">
        <v>19</v>
      </c>
      <c r="AC1835">
        <v>18.542899999999999</v>
      </c>
      <c r="AD1835">
        <v>-1.110257144215</v>
      </c>
      <c r="AE1835">
        <v>-4.9897999999999998</v>
      </c>
      <c r="AF1835">
        <v>4.3732535815156002</v>
      </c>
      <c r="AG1835">
        <v>-1.110257144215</v>
      </c>
      <c r="AH1835">
        <v>18.632199631710499</v>
      </c>
      <c r="AI1835">
        <v>93.320095961074699</v>
      </c>
      <c r="AJ1835">
        <v>76.790933691608203</v>
      </c>
      <c r="AK1835">
        <v>19.170729796500499</v>
      </c>
      <c r="AL1835">
        <v>85.153117660609297</v>
      </c>
      <c r="AM1835">
        <v>83.748633536520501</v>
      </c>
      <c r="AN1835">
        <v>1.0000000391742401</v>
      </c>
    </row>
    <row r="1836" spans="1:40" x14ac:dyDescent="0.25">
      <c r="A1836" t="str">
        <f>"20190312150701812"</f>
        <v>20190312150701812</v>
      </c>
      <c r="B1836" t="str">
        <f>"1552374421801801"</f>
        <v>1552374421801801</v>
      </c>
      <c r="C1836" t="s">
        <v>40</v>
      </c>
      <c r="D1836">
        <v>4.5190910000000004</v>
      </c>
      <c r="E1836">
        <v>0.5440469</v>
      </c>
      <c r="F1836" t="s">
        <v>49</v>
      </c>
      <c r="G1836">
        <v>-208.93899999999999</v>
      </c>
      <c r="H1836" s="1">
        <v>-6.0817620000000002E-6</v>
      </c>
      <c r="I1836">
        <v>362.24160000000001</v>
      </c>
      <c r="J1836">
        <v>-227.59030000000001</v>
      </c>
      <c r="K1836">
        <v>1.110252</v>
      </c>
      <c r="L1836">
        <v>367.26479999999998</v>
      </c>
      <c r="M1836">
        <v>0.99937220000000004</v>
      </c>
      <c r="N1836">
        <v>0</v>
      </c>
      <c r="O1836">
        <v>-3.2785460000000002E-2</v>
      </c>
      <c r="P1836">
        <v>0.98745170000000004</v>
      </c>
      <c r="Q1836">
        <v>7.1605130000000003E-2</v>
      </c>
      <c r="R1836">
        <v>-0.14075550000000001</v>
      </c>
      <c r="S1836">
        <v>2.9384459999999999</v>
      </c>
      <c r="T1836">
        <v>-0.17402590000000001</v>
      </c>
      <c r="U1836">
        <v>-0.78793329999999995</v>
      </c>
      <c r="V1836">
        <v>0.1084017</v>
      </c>
      <c r="W1836">
        <v>8.478782E-2</v>
      </c>
      <c r="X1836">
        <v>0.99048480000000005</v>
      </c>
      <c r="Y1836">
        <v>0.2268712</v>
      </c>
      <c r="Z1836">
        <v>-4.6917399999999998E-3</v>
      </c>
      <c r="AA1836">
        <v>0.97391349999999999</v>
      </c>
      <c r="AB1836">
        <v>19</v>
      </c>
      <c r="AC1836">
        <v>18.6512999999999</v>
      </c>
      <c r="AD1836">
        <v>-1.110258081762</v>
      </c>
      <c r="AE1836">
        <v>-5.0231999999999699</v>
      </c>
      <c r="AF1836">
        <v>4.3944340219728399</v>
      </c>
      <c r="AG1836">
        <v>-1.110258081762</v>
      </c>
      <c r="AH1836">
        <v>18.744046990744401</v>
      </c>
      <c r="AI1836">
        <v>93.300529486761206</v>
      </c>
      <c r="AJ1836">
        <v>76.805628266349004</v>
      </c>
      <c r="AK1836">
        <v>19.284268743533602</v>
      </c>
      <c r="AL1836">
        <v>85.136176297220601</v>
      </c>
      <c r="AM1836">
        <v>83.754231508118593</v>
      </c>
      <c r="AN1836">
        <v>1.00000002100714</v>
      </c>
    </row>
    <row r="1837" spans="1:40" x14ac:dyDescent="0.25">
      <c r="A1837" t="str">
        <f>"20190312150701823"</f>
        <v>20190312150701823</v>
      </c>
      <c r="B1837" t="str">
        <f>"1552374421812538"</f>
        <v>1552374421812538</v>
      </c>
      <c r="C1837" t="s">
        <v>40</v>
      </c>
      <c r="D1837">
        <v>4.4987459999999997</v>
      </c>
      <c r="E1837">
        <v>0.54812659999999902</v>
      </c>
      <c r="F1837" t="s">
        <v>49</v>
      </c>
      <c r="G1837">
        <v>-208.7364</v>
      </c>
      <c r="H1837" s="1">
        <v>-6.0201890000000003E-6</v>
      </c>
      <c r="I1837">
        <v>362.20179999999999</v>
      </c>
      <c r="J1837">
        <v>-227.49279999999999</v>
      </c>
      <c r="K1837">
        <v>1.110247</v>
      </c>
      <c r="L1837">
        <v>367.2611</v>
      </c>
      <c r="M1837">
        <v>0.99935640000000003</v>
      </c>
      <c r="N1837">
        <v>0</v>
      </c>
      <c r="O1837">
        <v>-3.3263470000000003E-2</v>
      </c>
      <c r="P1837">
        <v>0.9873847</v>
      </c>
      <c r="Q1837">
        <v>7.2069480000000005E-2</v>
      </c>
      <c r="R1837">
        <v>-0.14098859999999999</v>
      </c>
      <c r="S1837">
        <v>2.9381870000000001</v>
      </c>
      <c r="T1837">
        <v>-0.17302279999999901</v>
      </c>
      <c r="U1837">
        <v>-0.78903199999999996</v>
      </c>
      <c r="V1837">
        <v>0.1081631</v>
      </c>
      <c r="W1837">
        <v>8.5251499999999994E-2</v>
      </c>
      <c r="X1837">
        <v>0.99047110000000005</v>
      </c>
      <c r="Y1837">
        <v>0.2267711</v>
      </c>
      <c r="Z1837">
        <v>-4.6344589999999996E-3</v>
      </c>
      <c r="AA1837">
        <v>0.97393700000000005</v>
      </c>
      <c r="AB1837">
        <v>19</v>
      </c>
      <c r="AC1837">
        <v>18.7563999999999</v>
      </c>
      <c r="AD1837">
        <v>-1.110253020189</v>
      </c>
      <c r="AE1837">
        <v>-5.0593000000000004</v>
      </c>
      <c r="AF1837">
        <v>4.4181101153767797</v>
      </c>
      <c r="AG1837">
        <v>-1.110253020189</v>
      </c>
      <c r="AH1837">
        <v>18.852746826475901</v>
      </c>
      <c r="AI1837">
        <v>93.281596077627896</v>
      </c>
      <c r="AJ1837">
        <v>76.810836709114596</v>
      </c>
      <c r="AK1837">
        <v>19.395319581374</v>
      </c>
      <c r="AL1837">
        <v>85.1095129288083</v>
      </c>
      <c r="AM1837">
        <v>83.767785080762707</v>
      </c>
      <c r="AN1837">
        <v>1.0000000371945299</v>
      </c>
    </row>
    <row r="1838" spans="1:40" x14ac:dyDescent="0.25">
      <c r="A1838" t="str">
        <f>"20190312150701834"</f>
        <v>20190312150701834</v>
      </c>
      <c r="B1838" t="str">
        <f>"1552374421832059"</f>
        <v>1552374421832059</v>
      </c>
      <c r="C1838" t="s">
        <v>40</v>
      </c>
      <c r="D1838">
        <v>4.5132430000000001</v>
      </c>
      <c r="E1838">
        <v>0.54823829999999996</v>
      </c>
      <c r="F1838" t="s">
        <v>42</v>
      </c>
      <c r="G1838">
        <v>-215.32499999999999</v>
      </c>
      <c r="H1838" s="1">
        <v>-3.1141960000000001E-6</v>
      </c>
      <c r="I1838">
        <v>363.83909999999997</v>
      </c>
      <c r="J1838">
        <v>-227.4042</v>
      </c>
      <c r="K1838">
        <v>1.110247</v>
      </c>
      <c r="L1838">
        <v>367.25760000000002</v>
      </c>
      <c r="M1838">
        <v>0.99934190000000001</v>
      </c>
      <c r="N1838">
        <v>0</v>
      </c>
      <c r="O1838">
        <v>-3.3699050000000001E-2</v>
      </c>
      <c r="P1838">
        <v>0.98730289999999998</v>
      </c>
      <c r="Q1838">
        <v>7.2283100000000003E-2</v>
      </c>
      <c r="R1838">
        <v>-0.14145170000000001</v>
      </c>
      <c r="S1838">
        <v>2.9398499999999999</v>
      </c>
      <c r="T1838">
        <v>-0.2682445</v>
      </c>
      <c r="U1838">
        <v>-0.82678220000000002</v>
      </c>
      <c r="V1838">
        <v>0.108197</v>
      </c>
      <c r="W1838">
        <v>8.546339E-2</v>
      </c>
      <c r="X1838">
        <v>0.99044909999999997</v>
      </c>
      <c r="Y1838">
        <v>0.2373507</v>
      </c>
      <c r="Z1838">
        <v>-7.5948179999999997E-3</v>
      </c>
      <c r="AA1838">
        <v>0.97139439999999999</v>
      </c>
      <c r="AB1838">
        <v>19</v>
      </c>
      <c r="AC1838">
        <v>12.0792</v>
      </c>
      <c r="AD1838">
        <v>-1.1102501141959999</v>
      </c>
      <c r="AE1838">
        <v>-3.4185000000000501</v>
      </c>
      <c r="AF1838">
        <v>2.9861072012736098</v>
      </c>
      <c r="AG1838">
        <v>-1.1102501141959999</v>
      </c>
      <c r="AH1838">
        <v>12.092960509595001</v>
      </c>
      <c r="AI1838">
        <v>95.093452640483804</v>
      </c>
      <c r="AJ1838">
        <v>76.129460501777103</v>
      </c>
      <c r="AK1838">
        <v>12.505566177514501</v>
      </c>
      <c r="AL1838">
        <v>85.0973278774905</v>
      </c>
      <c r="AM1838">
        <v>83.765709801506603</v>
      </c>
      <c r="AN1838">
        <v>1.00000000076505</v>
      </c>
    </row>
    <row r="1839" spans="1:40" x14ac:dyDescent="0.25">
      <c r="A1839" t="str">
        <f>"20190312150701845"</f>
        <v>20190312150701845</v>
      </c>
      <c r="B1839" t="str">
        <f>"1552374421841817"</f>
        <v>1552374421841817</v>
      </c>
      <c r="C1839" t="s">
        <v>40</v>
      </c>
      <c r="D1839">
        <v>4.7153369999999999</v>
      </c>
      <c r="E1839">
        <v>0.54823829999999996</v>
      </c>
      <c r="F1839" t="s">
        <v>42</v>
      </c>
      <c r="G1839">
        <v>-215.14169999999999</v>
      </c>
      <c r="H1839" s="1">
        <v>-3.1874620000000002E-6</v>
      </c>
      <c r="I1839">
        <v>363.79820000000001</v>
      </c>
      <c r="J1839">
        <v>-227.3099</v>
      </c>
      <c r="K1839">
        <v>1.1102479999999999</v>
      </c>
      <c r="L1839">
        <v>367.25389999999999</v>
      </c>
      <c r="M1839">
        <v>0.99932609999999999</v>
      </c>
      <c r="N1839">
        <v>0</v>
      </c>
      <c r="O1839">
        <v>-3.416276E-2</v>
      </c>
      <c r="P1839">
        <v>0.98727180000000003</v>
      </c>
      <c r="Q1839">
        <v>7.2219359999999996E-2</v>
      </c>
      <c r="R1839">
        <v>-0.1416993</v>
      </c>
      <c r="S1839">
        <v>2.93927</v>
      </c>
      <c r="T1839">
        <v>-0.26611970000000001</v>
      </c>
      <c r="U1839">
        <v>-0.82919310000000002</v>
      </c>
      <c r="V1839">
        <v>0.1079857</v>
      </c>
      <c r="W1839">
        <v>8.5399260000000005E-2</v>
      </c>
      <c r="X1839">
        <v>0.99047770000000002</v>
      </c>
      <c r="Y1839">
        <v>0.23770079999999999</v>
      </c>
      <c r="Z1839">
        <v>-7.5100330000000002E-3</v>
      </c>
      <c r="AA1839">
        <v>0.97130939999999999</v>
      </c>
      <c r="AB1839">
        <v>19</v>
      </c>
      <c r="AC1839">
        <v>12.168200000000001</v>
      </c>
      <c r="AD1839">
        <v>-1.11025118746199</v>
      </c>
      <c r="AE1839">
        <v>-3.45569999999997</v>
      </c>
      <c r="AF1839">
        <v>3.0147209827242998</v>
      </c>
      <c r="AG1839">
        <v>-1.11025118746199</v>
      </c>
      <c r="AH1839">
        <v>12.1852900766327</v>
      </c>
      <c r="AI1839">
        <v>95.054505480817198</v>
      </c>
      <c r="AJ1839">
        <v>76.103692788089205</v>
      </c>
      <c r="AK1839">
        <v>12.6016861790247</v>
      </c>
      <c r="AL1839">
        <v>85.101015781835002</v>
      </c>
      <c r="AM1839">
        <v>83.777967531991393</v>
      </c>
      <c r="AN1839">
        <v>1.00000000960516</v>
      </c>
    </row>
    <row r="1840" spans="1:40" x14ac:dyDescent="0.25">
      <c r="A1840" t="str">
        <f>"20190312150701856"</f>
        <v>20190312150701856</v>
      </c>
      <c r="B1840" t="str">
        <f>"1552374421851577"</f>
        <v>1552374421851577</v>
      </c>
      <c r="C1840" t="s">
        <v>40</v>
      </c>
      <c r="D1840">
        <v>4.476718</v>
      </c>
      <c r="E1840">
        <v>0.54556859999999996</v>
      </c>
      <c r="F1840" t="s">
        <v>42</v>
      </c>
      <c r="G1840">
        <v>-215.0575</v>
      </c>
      <c r="H1840" s="1">
        <v>-3.216983E-6</v>
      </c>
      <c r="I1840">
        <v>363.79500000000002</v>
      </c>
      <c r="J1840">
        <v>-227.22130000000001</v>
      </c>
      <c r="K1840">
        <v>1.1102479999999999</v>
      </c>
      <c r="L1840">
        <v>367.25040000000001</v>
      </c>
      <c r="M1840">
        <v>0.99931110000000001</v>
      </c>
      <c r="N1840">
        <v>0</v>
      </c>
      <c r="O1840">
        <v>-3.4599169999999999E-2</v>
      </c>
      <c r="P1840">
        <v>0.98722889999999996</v>
      </c>
      <c r="Q1840">
        <v>7.2319980000000006E-2</v>
      </c>
      <c r="R1840">
        <v>-0.14194679999999901</v>
      </c>
      <c r="S1840">
        <v>2.9390719999999999</v>
      </c>
      <c r="T1840">
        <v>-0.26632209999999901</v>
      </c>
      <c r="U1840">
        <v>-0.82971189999999995</v>
      </c>
      <c r="V1840">
        <v>0.1078016</v>
      </c>
      <c r="W1840">
        <v>8.5499030000000004E-2</v>
      </c>
      <c r="X1840">
        <v>0.99048910000000001</v>
      </c>
      <c r="Y1840">
        <v>0.237454</v>
      </c>
      <c r="Z1840">
        <v>-7.4664859999999996E-3</v>
      </c>
      <c r="AA1840">
        <v>0.97137010000000001</v>
      </c>
      <c r="AB1840">
        <v>19</v>
      </c>
      <c r="AC1840">
        <v>12.1638</v>
      </c>
      <c r="AD1840">
        <v>-1.1102512169829999</v>
      </c>
      <c r="AE1840">
        <v>-3.4553999999999898</v>
      </c>
      <c r="AF1840">
        <v>3.0092371481056799</v>
      </c>
      <c r="AG1840">
        <v>-1.1102512169829999</v>
      </c>
      <c r="AH1840">
        <v>12.182167846234</v>
      </c>
      <c r="AI1840">
        <v>95.056247540823904</v>
      </c>
      <c r="AJ1840">
        <v>76.1245753346344</v>
      </c>
      <c r="AK1840">
        <v>12.597356048479799</v>
      </c>
      <c r="AL1840">
        <v>85.095278169296606</v>
      </c>
      <c r="AM1840">
        <v>83.788563140352906</v>
      </c>
      <c r="AN1840">
        <v>0.99999996315615403</v>
      </c>
    </row>
    <row r="1841" spans="1:40" x14ac:dyDescent="0.25">
      <c r="A1841" t="str">
        <f>"20190312150701868"</f>
        <v>20190312150701868</v>
      </c>
      <c r="B1841" t="str">
        <f>"1552374421862313"</f>
        <v>1552374421862313</v>
      </c>
      <c r="C1841" t="s">
        <v>40</v>
      </c>
      <c r="D1841">
        <v>4.4210209999999996</v>
      </c>
      <c r="E1841">
        <v>0.54573269999999996</v>
      </c>
      <c r="F1841" t="s">
        <v>49</v>
      </c>
      <c r="G1841">
        <v>-208.04329999999999</v>
      </c>
      <c r="H1841" s="1">
        <v>-5.8204710000000003E-6</v>
      </c>
      <c r="I1841">
        <v>361.9948</v>
      </c>
      <c r="J1841">
        <v>-227.1293</v>
      </c>
      <c r="K1841">
        <v>1.110247</v>
      </c>
      <c r="L1841">
        <v>367.24669999999998</v>
      </c>
      <c r="M1841">
        <v>0.99929539999999994</v>
      </c>
      <c r="N1841">
        <v>0</v>
      </c>
      <c r="O1841">
        <v>-3.5051789999999999E-2</v>
      </c>
      <c r="P1841">
        <v>0.98720339999999995</v>
      </c>
      <c r="Q1841">
        <v>7.2143070000000004E-2</v>
      </c>
      <c r="R1841">
        <v>-0.14221449999999999</v>
      </c>
      <c r="S1841">
        <v>2.9355929999999999</v>
      </c>
      <c r="T1841">
        <v>-0.1699475</v>
      </c>
      <c r="U1841">
        <v>-0.80447389999999996</v>
      </c>
      <c r="V1841">
        <v>0.1076208</v>
      </c>
      <c r="W1841">
        <v>8.5321830000000001E-2</v>
      </c>
      <c r="X1841">
        <v>0.99052410000000002</v>
      </c>
      <c r="Y1841">
        <v>0.23002300000000001</v>
      </c>
      <c r="Z1841">
        <v>-4.5441079999999998E-3</v>
      </c>
      <c r="AA1841">
        <v>0.9731746</v>
      </c>
      <c r="AB1841">
        <v>19</v>
      </c>
      <c r="AC1841">
        <v>19.085999999999999</v>
      </c>
      <c r="AD1841">
        <v>-1.1102528204709901</v>
      </c>
      <c r="AE1841">
        <v>-5.2518999999999698</v>
      </c>
      <c r="AF1841">
        <v>4.5652525580076304</v>
      </c>
      <c r="AG1841">
        <v>-1.1102528204709901</v>
      </c>
      <c r="AH1841">
        <v>19.197983751790801</v>
      </c>
      <c r="AI1841">
        <v>93.220228021467406</v>
      </c>
      <c r="AJ1841">
        <v>76.623590733340706</v>
      </c>
      <c r="AK1841">
        <v>19.764533194026701</v>
      </c>
      <c r="AL1841">
        <v>85.105468506341694</v>
      </c>
      <c r="AM1841">
        <v>83.799116862414493</v>
      </c>
      <c r="AN1841">
        <v>1.00000002197399</v>
      </c>
    </row>
    <row r="1842" spans="1:40" x14ac:dyDescent="0.25">
      <c r="A1842" t="str">
        <f>"20190312150701878"</f>
        <v>20190312150701878</v>
      </c>
      <c r="B1842" t="str">
        <f>"1552374421872075"</f>
        <v>1552374421872075</v>
      </c>
      <c r="C1842" t="s">
        <v>40</v>
      </c>
      <c r="D1842">
        <v>4.4586030000000001</v>
      </c>
      <c r="E1842">
        <v>0.54546709999999998</v>
      </c>
      <c r="F1842" t="s">
        <v>49</v>
      </c>
      <c r="G1842">
        <v>-207.88200000000001</v>
      </c>
      <c r="H1842" s="1">
        <v>-5.7723690000000002E-6</v>
      </c>
      <c r="I1842">
        <v>361.9572</v>
      </c>
      <c r="J1842">
        <v>-227.0326</v>
      </c>
      <c r="K1842">
        <v>1.1102459999999901</v>
      </c>
      <c r="L1842">
        <v>367.24279999999999</v>
      </c>
      <c r="M1842">
        <v>0.99927849999999996</v>
      </c>
      <c r="N1842">
        <v>0</v>
      </c>
      <c r="O1842">
        <v>-3.5526919999999997E-2</v>
      </c>
      <c r="P1842">
        <v>0.98718969999999995</v>
      </c>
      <c r="Q1842">
        <v>7.191525E-2</v>
      </c>
      <c r="R1842">
        <v>-0.1424241</v>
      </c>
      <c r="S1842">
        <v>2.9350589999999999</v>
      </c>
      <c r="T1842">
        <v>-0.16930509999999999</v>
      </c>
      <c r="U1842">
        <v>-0.8066101</v>
      </c>
      <c r="V1842">
        <v>0.1073592</v>
      </c>
      <c r="W1842">
        <v>8.5094240000000002E-2</v>
      </c>
      <c r="X1842">
        <v>0.99057200000000001</v>
      </c>
      <c r="Y1842">
        <v>0.23026679999999999</v>
      </c>
      <c r="Z1842">
        <v>-4.5074140000000004E-3</v>
      </c>
      <c r="AA1842">
        <v>0.97311709999999996</v>
      </c>
      <c r="AB1842">
        <v>19</v>
      </c>
      <c r="AC1842">
        <v>19.150600000000001</v>
      </c>
      <c r="AD1842">
        <v>-1.11025177236899</v>
      </c>
      <c r="AE1842">
        <v>-5.2855999999999801</v>
      </c>
      <c r="AF1842">
        <v>4.5875119780676901</v>
      </c>
      <c r="AG1842">
        <v>-1.11025177236899</v>
      </c>
      <c r="AH1842">
        <v>19.266135187116099</v>
      </c>
      <c r="AI1842">
        <v>93.208631147753707</v>
      </c>
      <c r="AJ1842">
        <v>76.606553995477299</v>
      </c>
      <c r="AK1842">
        <v>19.835873819804299</v>
      </c>
      <c r="AL1842">
        <v>85.118555733303197</v>
      </c>
      <c r="AM1842">
        <v>83.814369511078795</v>
      </c>
      <c r="AN1842">
        <v>0.99999995734490699</v>
      </c>
    </row>
    <row r="1843" spans="1:40" x14ac:dyDescent="0.25">
      <c r="A1843" t="str">
        <f>"20190312150701894"</f>
        <v>20190312150701894</v>
      </c>
      <c r="B1843" t="str">
        <f>"1552374421881833"</f>
        <v>1552374421881833</v>
      </c>
      <c r="C1843" t="s">
        <v>40</v>
      </c>
      <c r="D1843">
        <v>4.4222859999999997</v>
      </c>
      <c r="E1843">
        <v>0.54546709999999998</v>
      </c>
      <c r="F1843" t="s">
        <v>49</v>
      </c>
      <c r="G1843">
        <v>-207.65880000000001</v>
      </c>
      <c r="H1843" s="1">
        <v>-5.7018899999999997E-6</v>
      </c>
      <c r="I1843">
        <v>361.93</v>
      </c>
      <c r="J1843">
        <v>-226.9083</v>
      </c>
      <c r="K1843">
        <v>1.1102479999999999</v>
      </c>
      <c r="L1843">
        <v>367.23759999999999</v>
      </c>
      <c r="M1843">
        <v>0.99925679999999995</v>
      </c>
      <c r="N1843">
        <v>0</v>
      </c>
      <c r="O1843">
        <v>-3.6138179999999999E-2</v>
      </c>
      <c r="P1843">
        <v>0.98714999999999997</v>
      </c>
      <c r="Q1843">
        <v>7.1730799999999997E-2</v>
      </c>
      <c r="R1843">
        <v>-0.14279449999999999</v>
      </c>
      <c r="S1843">
        <v>2.9350890000000001</v>
      </c>
      <c r="T1843">
        <v>-0.16819999999999999</v>
      </c>
      <c r="U1843">
        <v>-0.80487059999999999</v>
      </c>
      <c r="V1843">
        <v>0.1071237</v>
      </c>
      <c r="W1843">
        <v>8.4908960000000006E-2</v>
      </c>
      <c r="X1843">
        <v>0.99061350000000004</v>
      </c>
      <c r="Y1843">
        <v>0.22913900000000001</v>
      </c>
      <c r="Z1843">
        <v>-4.4123590000000002E-3</v>
      </c>
      <c r="AA1843">
        <v>0.97338369999999996</v>
      </c>
      <c r="AB1843">
        <v>19</v>
      </c>
      <c r="AC1843">
        <v>19.249499999999902</v>
      </c>
      <c r="AD1843">
        <v>-1.1102537018899901</v>
      </c>
      <c r="AE1843">
        <v>-5.3075999999999697</v>
      </c>
      <c r="AF1843">
        <v>4.59422449694544</v>
      </c>
      <c r="AG1843">
        <v>-1.1102537018899901</v>
      </c>
      <c r="AH1843">
        <v>19.368867506169799</v>
      </c>
      <c r="AI1843">
        <v>93.192310042511394</v>
      </c>
      <c r="AJ1843">
        <v>76.656252094637495</v>
      </c>
      <c r="AK1843">
        <v>19.9372162169761</v>
      </c>
      <c r="AL1843">
        <v>85.129210569127807</v>
      </c>
      <c r="AM1843">
        <v>83.828089862935997</v>
      </c>
      <c r="AN1843">
        <v>1.0000000624861001</v>
      </c>
    </row>
    <row r="1844" spans="1:40" x14ac:dyDescent="0.25">
      <c r="A1844" t="str">
        <f>"20190312150701908"</f>
        <v>20190312150701908</v>
      </c>
      <c r="B1844" t="str">
        <f>"1552374421901861"</f>
        <v>1552374421901861</v>
      </c>
      <c r="C1844" t="s">
        <v>40</v>
      </c>
      <c r="D1844">
        <v>4.428553</v>
      </c>
      <c r="E1844">
        <v>0.54804849999999905</v>
      </c>
      <c r="F1844" t="s">
        <v>49</v>
      </c>
      <c r="G1844">
        <v>-207.60429999999999</v>
      </c>
      <c r="H1844" s="1">
        <v>-5.6827249999999999E-6</v>
      </c>
      <c r="I1844">
        <v>361.93599999999998</v>
      </c>
      <c r="J1844">
        <v>-226.7902</v>
      </c>
      <c r="K1844">
        <v>1.11025</v>
      </c>
      <c r="L1844">
        <v>367.23270000000002</v>
      </c>
      <c r="M1844">
        <v>0.9992356</v>
      </c>
      <c r="N1844">
        <v>0</v>
      </c>
      <c r="O1844">
        <v>-3.6718319999999999E-2</v>
      </c>
      <c r="P1844">
        <v>0.98708980000000002</v>
      </c>
      <c r="Q1844">
        <v>7.1433800000000006E-2</v>
      </c>
      <c r="R1844">
        <v>-0.1433574</v>
      </c>
      <c r="S1844">
        <v>2.9347379999999998</v>
      </c>
      <c r="T1844">
        <v>-0.1687891</v>
      </c>
      <c r="U1844">
        <v>-0.80599980000000004</v>
      </c>
      <c r="V1844">
        <v>0.1071122</v>
      </c>
      <c r="W1844">
        <v>8.4611039999999998E-2</v>
      </c>
      <c r="X1844">
        <v>0.99064019999999997</v>
      </c>
      <c r="Y1844">
        <v>0.22895099999999999</v>
      </c>
      <c r="Z1844">
        <v>-4.3901359999999898E-3</v>
      </c>
      <c r="AA1844">
        <v>0.97342810000000002</v>
      </c>
      <c r="AB1844">
        <v>19</v>
      </c>
      <c r="AC1844">
        <v>19.1859</v>
      </c>
      <c r="AD1844">
        <v>-1.1102556827250001</v>
      </c>
      <c r="AE1844">
        <v>-5.2967000000000404</v>
      </c>
      <c r="AF1844">
        <v>4.57435661751897</v>
      </c>
      <c r="AG1844">
        <v>-1.1102556827250001</v>
      </c>
      <c r="AH1844">
        <v>19.307386539476099</v>
      </c>
      <c r="AI1844">
        <v>93.202656308633294</v>
      </c>
      <c r="AJ1844">
        <v>76.671100651767901</v>
      </c>
      <c r="AK1844">
        <v>19.872910736226</v>
      </c>
      <c r="AL1844">
        <v>85.146341610635403</v>
      </c>
      <c r="AM1844">
        <v>83.828912366189002</v>
      </c>
      <c r="AN1844">
        <v>1.00000002866738</v>
      </c>
    </row>
    <row r="1845" spans="1:40" x14ac:dyDescent="0.25">
      <c r="A1845" t="str">
        <f>"20190312150701921"</f>
        <v>20190312150701921</v>
      </c>
      <c r="B1845" t="str">
        <f>"1552374421912597"</f>
        <v>1552374421912597</v>
      </c>
      <c r="C1845" t="s">
        <v>40</v>
      </c>
      <c r="D1845">
        <v>4.4732379999999896</v>
      </c>
      <c r="E1845">
        <v>0.5484677</v>
      </c>
      <c r="F1845" t="s">
        <v>42</v>
      </c>
      <c r="G1845">
        <v>-215.65119999999999</v>
      </c>
      <c r="H1845" s="1">
        <v>-2.9412209999999998E-6</v>
      </c>
      <c r="I1845">
        <v>364.072</v>
      </c>
      <c r="J1845">
        <v>-226.67609999999999</v>
      </c>
      <c r="K1845">
        <v>1.1102510000000001</v>
      </c>
      <c r="L1845">
        <v>367.2278</v>
      </c>
      <c r="M1845">
        <v>0.99921499999999996</v>
      </c>
      <c r="N1845">
        <v>0</v>
      </c>
      <c r="O1845">
        <v>-3.7277009999999999E-2</v>
      </c>
      <c r="P1845">
        <v>0.9870276</v>
      </c>
      <c r="Q1845">
        <v>7.1418770000000006E-2</v>
      </c>
      <c r="R1845">
        <v>-0.143793</v>
      </c>
      <c r="S1845">
        <v>2.9393009999999999</v>
      </c>
      <c r="T1845">
        <v>-0.29296719999999998</v>
      </c>
      <c r="U1845">
        <v>-0.834014899999999</v>
      </c>
      <c r="V1845">
        <v>0.1069949</v>
      </c>
      <c r="W1845">
        <v>8.4595840000000005E-2</v>
      </c>
      <c r="X1845">
        <v>0.99065420000000004</v>
      </c>
      <c r="Y1845">
        <v>0.23600660000000001</v>
      </c>
      <c r="Z1845">
        <v>-7.8770369999999999E-3</v>
      </c>
      <c r="AA1845">
        <v>0.97171949999999996</v>
      </c>
      <c r="AB1845">
        <v>19</v>
      </c>
      <c r="AC1845">
        <v>11.024900000000001</v>
      </c>
      <c r="AD1845">
        <v>-1.110253941221</v>
      </c>
      <c r="AE1845">
        <v>-3.1558000000000499</v>
      </c>
      <c r="AF1845">
        <v>2.7171254436618502</v>
      </c>
      <c r="AG1845">
        <v>-1.110253941221</v>
      </c>
      <c r="AH1845">
        <v>11.031483566292501</v>
      </c>
      <c r="AI1845">
        <v>95.581420391330894</v>
      </c>
      <c r="AJ1845">
        <v>76.163105831106705</v>
      </c>
      <c r="AK1845">
        <v>11.4152995652315</v>
      </c>
      <c r="AL1845">
        <v>85.147215765165299</v>
      </c>
      <c r="AM1845">
        <v>83.835704792797102</v>
      </c>
      <c r="AN1845">
        <v>1.00000005437447</v>
      </c>
    </row>
    <row r="1846" spans="1:40" x14ac:dyDescent="0.25">
      <c r="A1846" t="str">
        <f>"20190312150701934"</f>
        <v>20190312150701934</v>
      </c>
      <c r="B1846" t="str">
        <f>"1552374421922357"</f>
        <v>1552374421922357</v>
      </c>
      <c r="C1846" t="s">
        <v>40</v>
      </c>
      <c r="D1846">
        <v>4.4473560000000001</v>
      </c>
      <c r="E1846">
        <v>0.54855430000000005</v>
      </c>
      <c r="F1846" t="s">
        <v>42</v>
      </c>
      <c r="G1846">
        <v>-215.5693</v>
      </c>
      <c r="H1846" s="1">
        <v>-2.9729220000000001E-6</v>
      </c>
      <c r="I1846">
        <v>364.05759999999998</v>
      </c>
      <c r="J1846">
        <v>-226.57509999999999</v>
      </c>
      <c r="K1846">
        <v>1.110255</v>
      </c>
      <c r="L1846">
        <v>367.2235</v>
      </c>
      <c r="M1846">
        <v>0.99919650000000004</v>
      </c>
      <c r="N1846">
        <v>0</v>
      </c>
      <c r="O1846">
        <v>-3.7770829999999998E-2</v>
      </c>
      <c r="P1846">
        <v>0.98696930000000005</v>
      </c>
      <c r="Q1846">
        <v>7.1593560000000001E-2</v>
      </c>
      <c r="R1846">
        <v>-0.14410629999999999</v>
      </c>
      <c r="S1846">
        <v>2.9384610000000002</v>
      </c>
      <c r="T1846">
        <v>-0.29373120000000003</v>
      </c>
      <c r="U1846">
        <v>-0.83871459999999998</v>
      </c>
      <c r="V1846">
        <v>0.106819899999999</v>
      </c>
      <c r="W1846">
        <v>8.4770689999999996E-2</v>
      </c>
      <c r="X1846">
        <v>0.99065809999999999</v>
      </c>
      <c r="Y1846">
        <v>0.23702980000000001</v>
      </c>
      <c r="Z1846">
        <v>-7.8998709999999993E-3</v>
      </c>
      <c r="AA1846">
        <v>0.97147019999999995</v>
      </c>
      <c r="AB1846">
        <v>19</v>
      </c>
      <c r="AC1846">
        <v>11.005799999999899</v>
      </c>
      <c r="AD1846">
        <v>-1.1102579729219999</v>
      </c>
      <c r="AE1846">
        <v>-3.1659000000000201</v>
      </c>
      <c r="AF1846">
        <v>2.7223181017061302</v>
      </c>
      <c r="AG1846">
        <v>-1.1102579729219999</v>
      </c>
      <c r="AH1846">
        <v>11.014014795268199</v>
      </c>
      <c r="AI1846">
        <v>95.589123259531306</v>
      </c>
      <c r="AJ1846">
        <v>76.116544975321901</v>
      </c>
      <c r="AK1846">
        <v>11.3996583511832</v>
      </c>
      <c r="AL1846">
        <v>85.137161295852295</v>
      </c>
      <c r="AM1846">
        <v>83.845733673582203</v>
      </c>
      <c r="AN1846">
        <v>1.0000000160073399</v>
      </c>
    </row>
    <row r="1847" spans="1:40" x14ac:dyDescent="0.25">
      <c r="A1847" t="str">
        <f>"20190312150701945"</f>
        <v>20190312150701945</v>
      </c>
      <c r="B1847" t="str">
        <f>"1552374421941877"</f>
        <v>1552374421941877</v>
      </c>
      <c r="C1847" t="s">
        <v>40</v>
      </c>
      <c r="D1847">
        <v>4.4162689999999998</v>
      </c>
      <c r="E1847">
        <v>0.54925889999999999</v>
      </c>
      <c r="F1847" t="s">
        <v>42</v>
      </c>
      <c r="G1847">
        <v>-215.3518</v>
      </c>
      <c r="H1847" s="1">
        <v>-3.0587410000000001E-6</v>
      </c>
      <c r="I1847">
        <v>364.01319999999998</v>
      </c>
      <c r="J1847">
        <v>-226.47280000000001</v>
      </c>
      <c r="K1847">
        <v>1.110258</v>
      </c>
      <c r="L1847">
        <v>367.21910000000003</v>
      </c>
      <c r="M1847">
        <v>0.99917750000000005</v>
      </c>
      <c r="N1847">
        <v>0</v>
      </c>
      <c r="O1847">
        <v>-3.8269530000000003E-2</v>
      </c>
      <c r="P1847">
        <v>0.98689499999999997</v>
      </c>
      <c r="Q1847">
        <v>7.1779969999999998E-2</v>
      </c>
      <c r="R1847">
        <v>-0.1445205</v>
      </c>
      <c r="S1847">
        <v>2.9380039999999998</v>
      </c>
      <c r="T1847">
        <v>-0.29063909999999998</v>
      </c>
      <c r="U1847">
        <v>-0.84036250000000001</v>
      </c>
      <c r="V1847">
        <v>0.1067415</v>
      </c>
      <c r="W1847">
        <v>8.4955989999999995E-2</v>
      </c>
      <c r="X1847">
        <v>0.9906507</v>
      </c>
      <c r="Y1847">
        <v>0.23710970000000001</v>
      </c>
      <c r="Z1847">
        <v>-7.7734419999999898E-3</v>
      </c>
      <c r="AA1847">
        <v>0.97145179999999998</v>
      </c>
      <c r="AB1847">
        <v>19</v>
      </c>
      <c r="AC1847">
        <v>11.121</v>
      </c>
      <c r="AD1847">
        <v>-1.110261058741</v>
      </c>
      <c r="AE1847">
        <v>-3.2059000000000402</v>
      </c>
      <c r="AF1847">
        <v>2.75258745892428</v>
      </c>
      <c r="AG1847">
        <v>-1.110261058741</v>
      </c>
      <c r="AH1847">
        <v>11.133101826195199</v>
      </c>
      <c r="AI1847">
        <v>95.529630109034102</v>
      </c>
      <c r="AJ1847">
        <v>76.112496216156998</v>
      </c>
      <c r="AK1847">
        <v>11.521951814255001</v>
      </c>
      <c r="AL1847">
        <v>85.126506061000299</v>
      </c>
      <c r="AM1847">
        <v>83.850170360416499</v>
      </c>
      <c r="AN1847">
        <v>1.0000000387348</v>
      </c>
    </row>
    <row r="1848" spans="1:40" x14ac:dyDescent="0.25">
      <c r="A1848" t="str">
        <f>"20190312150701957"</f>
        <v>20190312150701957</v>
      </c>
      <c r="B1848" t="str">
        <f>"1552374421951637"</f>
        <v>1552374421951637</v>
      </c>
      <c r="C1848" t="s">
        <v>40</v>
      </c>
      <c r="D1848">
        <v>4.3861889999999999</v>
      </c>
      <c r="E1848">
        <v>0.54941139999999999</v>
      </c>
      <c r="F1848" t="s">
        <v>42</v>
      </c>
      <c r="G1848">
        <v>-215.04159999999999</v>
      </c>
      <c r="H1848" s="1">
        <v>-3.1886330000000001E-6</v>
      </c>
      <c r="I1848">
        <v>363.92180000000002</v>
      </c>
      <c r="J1848">
        <v>-226.3783</v>
      </c>
      <c r="K1848">
        <v>1.110258</v>
      </c>
      <c r="L1848">
        <v>367.2149</v>
      </c>
      <c r="M1848">
        <v>0.99915989999999999</v>
      </c>
      <c r="N1848">
        <v>0</v>
      </c>
      <c r="O1848">
        <v>-3.8727459999999998E-2</v>
      </c>
      <c r="P1848">
        <v>0.98675500000000005</v>
      </c>
      <c r="Q1848">
        <v>7.2010099999999994E-2</v>
      </c>
      <c r="R1848">
        <v>-0.14535870000000001</v>
      </c>
      <c r="S1848">
        <v>2.9365230000000002</v>
      </c>
      <c r="T1848">
        <v>-0.28521049999999998</v>
      </c>
      <c r="U1848">
        <v>-0.84701539999999997</v>
      </c>
      <c r="V1848">
        <v>0.1071298</v>
      </c>
      <c r="W1848">
        <v>8.5184990000000002E-2</v>
      </c>
      <c r="X1848">
        <v>0.9905891</v>
      </c>
      <c r="Y1848">
        <v>0.23885400000000001</v>
      </c>
      <c r="Z1848">
        <v>-7.6697739999999999E-3</v>
      </c>
      <c r="AA1848">
        <v>0.97102520000000003</v>
      </c>
      <c r="AB1848">
        <v>19</v>
      </c>
      <c r="AC1848">
        <v>11.3367</v>
      </c>
      <c r="AD1848">
        <v>-1.1102611886330001</v>
      </c>
      <c r="AE1848">
        <v>-3.2930999999999799</v>
      </c>
      <c r="AF1848">
        <v>2.8265473718380201</v>
      </c>
      <c r="AG1848">
        <v>-1.1102611886330001</v>
      </c>
      <c r="AH1848">
        <v>11.355301498335599</v>
      </c>
      <c r="AI1848">
        <v>95.419968932552194</v>
      </c>
      <c r="AJ1848">
        <v>76.022078625531094</v>
      </c>
      <c r="AK1848">
        <v>11.7543575779509</v>
      </c>
      <c r="AL1848">
        <v>85.113337503585797</v>
      </c>
      <c r="AM1848">
        <v>83.827590264992807</v>
      </c>
      <c r="AN1848">
        <v>1.00000002080407</v>
      </c>
    </row>
    <row r="1849" spans="1:40" x14ac:dyDescent="0.25">
      <c r="A1849" t="str">
        <f>"20190312150701968"</f>
        <v>20190312150701968</v>
      </c>
      <c r="B1849" t="str">
        <f>"1552374421962373"</f>
        <v>1552374421962373</v>
      </c>
      <c r="C1849" t="s">
        <v>40</v>
      </c>
      <c r="D1849">
        <v>4.4304969999999999</v>
      </c>
      <c r="E1849">
        <v>0.54974789999999996</v>
      </c>
      <c r="F1849" t="s">
        <v>42</v>
      </c>
      <c r="G1849">
        <v>-215.0581</v>
      </c>
      <c r="H1849" s="1">
        <v>-3.1794309999999998E-6</v>
      </c>
      <c r="I1849">
        <v>363.93529999999998</v>
      </c>
      <c r="J1849">
        <v>-226.2877</v>
      </c>
      <c r="K1849">
        <v>1.1102620000000001</v>
      </c>
      <c r="L1849">
        <v>367.21080000000001</v>
      </c>
      <c r="M1849">
        <v>0.9991428</v>
      </c>
      <c r="N1849">
        <v>0</v>
      </c>
      <c r="O1849">
        <v>-3.9164160000000003E-2</v>
      </c>
      <c r="P1849">
        <v>0.98664099999999999</v>
      </c>
      <c r="Q1849">
        <v>7.2296719999999995E-2</v>
      </c>
      <c r="R1849">
        <v>-0.14598910000000001</v>
      </c>
      <c r="S1849">
        <v>2.9359739999999999</v>
      </c>
      <c r="T1849">
        <v>-0.2879544</v>
      </c>
      <c r="U1849">
        <v>-0.85058590000000001</v>
      </c>
      <c r="V1849">
        <v>0.1073303</v>
      </c>
      <c r="W1849">
        <v>8.5470530000000003E-2</v>
      </c>
      <c r="X1849">
        <v>0.99054279999999995</v>
      </c>
      <c r="Y1849">
        <v>0.23955000000000001</v>
      </c>
      <c r="Z1849">
        <v>-7.7349929999999999E-3</v>
      </c>
      <c r="AA1849">
        <v>0.97085319999999997</v>
      </c>
      <c r="AB1849">
        <v>19</v>
      </c>
      <c r="AC1849">
        <v>11.2296</v>
      </c>
      <c r="AD1849">
        <v>-1.1102651794309999</v>
      </c>
      <c r="AE1849">
        <v>-3.2755000000000201</v>
      </c>
      <c r="AF1849">
        <v>2.8078539745203202</v>
      </c>
      <c r="AG1849">
        <v>-1.1102651794309999</v>
      </c>
      <c r="AH1849">
        <v>11.247947104836401</v>
      </c>
      <c r="AI1849">
        <v>95.470495151282293</v>
      </c>
      <c r="AJ1849">
        <v>75.983571917547707</v>
      </c>
      <c r="AK1849">
        <v>11.646160173382601</v>
      </c>
      <c r="AL1849">
        <v>85.096917386229904</v>
      </c>
      <c r="AM1849">
        <v>83.815840833016793</v>
      </c>
      <c r="AN1849">
        <v>1.0000000217142</v>
      </c>
    </row>
    <row r="1850" spans="1:40" x14ac:dyDescent="0.25">
      <c r="A1850" t="str">
        <f>"20190312150701978"</f>
        <v>20190312150701978</v>
      </c>
      <c r="B1850" t="str">
        <f>"1552374421972133"</f>
        <v>1552374421972133</v>
      </c>
      <c r="C1850" t="s">
        <v>40</v>
      </c>
      <c r="D1850">
        <v>4.3596839999999997</v>
      </c>
      <c r="E1850">
        <v>0.54993800000000004</v>
      </c>
      <c r="F1850" t="s">
        <v>42</v>
      </c>
      <c r="G1850">
        <v>-214.89670000000001</v>
      </c>
      <c r="H1850" s="1">
        <v>-3.2459830000000001E-6</v>
      </c>
      <c r="I1850">
        <v>363.89150000000001</v>
      </c>
      <c r="J1850">
        <v>-226.196</v>
      </c>
      <c r="K1850">
        <v>1.1102700000000001</v>
      </c>
      <c r="L1850">
        <v>367.20679999999999</v>
      </c>
      <c r="M1850">
        <v>0.9991255</v>
      </c>
      <c r="N1850">
        <v>0</v>
      </c>
      <c r="O1850">
        <v>-3.9603579999999999E-2</v>
      </c>
      <c r="P1850">
        <v>0.98651599999999995</v>
      </c>
      <c r="Q1850">
        <v>7.2220790000000007E-2</v>
      </c>
      <c r="R1850">
        <v>-0.14686869999999999</v>
      </c>
      <c r="S1850">
        <v>2.9350429999999998</v>
      </c>
      <c r="T1850">
        <v>-0.28607379999999999</v>
      </c>
      <c r="U1850">
        <v>-0.85525509999999905</v>
      </c>
      <c r="V1850">
        <v>0.1077772</v>
      </c>
      <c r="W1850">
        <v>8.5393570000000002E-2</v>
      </c>
      <c r="X1850">
        <v>0.99050090000000002</v>
      </c>
      <c r="Y1850">
        <v>0.2406382</v>
      </c>
      <c r="Z1850">
        <v>-7.6955069999999999E-3</v>
      </c>
      <c r="AA1850">
        <v>0.97058440000000001</v>
      </c>
      <c r="AB1850">
        <v>19</v>
      </c>
      <c r="AC1850">
        <v>11.299299999999899</v>
      </c>
      <c r="AD1850">
        <v>-1.110273245983</v>
      </c>
      <c r="AE1850">
        <v>-3.3152999999999699</v>
      </c>
      <c r="AF1850">
        <v>2.8399193212848899</v>
      </c>
      <c r="AG1850">
        <v>-1.110273245983</v>
      </c>
      <c r="AH1850">
        <v>11.3211010771243</v>
      </c>
      <c r="AI1850">
        <v>95.433846744413401</v>
      </c>
      <c r="AJ1850">
        <v>75.917828542467007</v>
      </c>
      <c r="AK1850">
        <v>11.724554491775701</v>
      </c>
      <c r="AL1850">
        <v>85.101342990895802</v>
      </c>
      <c r="AM1850">
        <v>83.790031464963107</v>
      </c>
      <c r="AN1850">
        <v>1.0000000097689901</v>
      </c>
    </row>
    <row r="1851" spans="1:40" x14ac:dyDescent="0.25">
      <c r="A1851" t="str">
        <f>"20190312150701993"</f>
        <v>20190312150701993</v>
      </c>
      <c r="B1851" t="str">
        <f>"1552374421981894"</f>
        <v>1552374421981894</v>
      </c>
      <c r="C1851" t="s">
        <v>40</v>
      </c>
      <c r="D1851">
        <v>4.3724129999999999</v>
      </c>
      <c r="E1851">
        <v>0.54998689999999995</v>
      </c>
      <c r="F1851" t="s">
        <v>42</v>
      </c>
      <c r="G1851">
        <v>-214.79470000000001</v>
      </c>
      <c r="H1851" s="1">
        <v>-3.2872029999999999E-6</v>
      </c>
      <c r="I1851">
        <v>363.86709999999999</v>
      </c>
      <c r="J1851">
        <v>-226.07980000000001</v>
      </c>
      <c r="K1851">
        <v>1.1102780000000001</v>
      </c>
      <c r="L1851">
        <v>367.20150000000001</v>
      </c>
      <c r="M1851">
        <v>0.99910350000000003</v>
      </c>
      <c r="N1851">
        <v>0</v>
      </c>
      <c r="O1851">
        <v>-4.0154420000000003E-2</v>
      </c>
      <c r="P1851">
        <v>0.98633099999999996</v>
      </c>
      <c r="Q1851">
        <v>7.2822860000000003E-2</v>
      </c>
      <c r="R1851">
        <v>-0.1478121</v>
      </c>
      <c r="S1851">
        <v>2.9339599999999999</v>
      </c>
      <c r="T1851">
        <v>-0.2857113</v>
      </c>
      <c r="U1851">
        <v>-0.85940550000000004</v>
      </c>
      <c r="V1851">
        <v>0.1081797</v>
      </c>
      <c r="W1851">
        <v>8.5994059999999997E-2</v>
      </c>
      <c r="X1851">
        <v>0.99040510000000004</v>
      </c>
      <c r="Y1851">
        <v>0.24146519999999999</v>
      </c>
      <c r="Z1851">
        <v>-7.6741600000000002E-3</v>
      </c>
      <c r="AA1851">
        <v>0.9703792</v>
      </c>
      <c r="AB1851">
        <v>19</v>
      </c>
      <c r="AC1851">
        <v>11.2851</v>
      </c>
      <c r="AD1851">
        <v>-1.1102812872029999</v>
      </c>
      <c r="AE1851">
        <v>-3.3344000000000098</v>
      </c>
      <c r="AF1851">
        <v>2.85312336088526</v>
      </c>
      <c r="AG1851">
        <v>-1.1102812872029999</v>
      </c>
      <c r="AH1851">
        <v>11.309220988409001</v>
      </c>
      <c r="AI1851">
        <v>95.437729443436695</v>
      </c>
      <c r="AJ1851">
        <v>75.840715030240204</v>
      </c>
      <c r="AK1851">
        <v>11.716292793107099</v>
      </c>
      <c r="AL1851">
        <v>85.066810589844806</v>
      </c>
      <c r="AM1851">
        <v>83.766424034507097</v>
      </c>
      <c r="AN1851">
        <v>1.0000000439766901</v>
      </c>
    </row>
    <row r="1852" spans="1:40" x14ac:dyDescent="0.25">
      <c r="A1852" t="str">
        <f>"20190312150702005"</f>
        <v>20190312150702005</v>
      </c>
      <c r="B1852" t="str">
        <f>"1552374422001921"</f>
        <v>1552374422001921</v>
      </c>
      <c r="C1852" t="s">
        <v>40</v>
      </c>
      <c r="D1852">
        <v>4.2528959999999998</v>
      </c>
      <c r="E1852">
        <v>0.55085649999999997</v>
      </c>
      <c r="F1852" t="s">
        <v>42</v>
      </c>
      <c r="G1852">
        <v>-214.65100000000001</v>
      </c>
      <c r="H1852" s="1">
        <v>-3.3433819999999898E-6</v>
      </c>
      <c r="I1852">
        <v>363.83980000000003</v>
      </c>
      <c r="J1852">
        <v>-225.97739999999999</v>
      </c>
      <c r="K1852">
        <v>1.110284</v>
      </c>
      <c r="L1852">
        <v>367.1968</v>
      </c>
      <c r="M1852">
        <v>0.99908390000000002</v>
      </c>
      <c r="N1852">
        <v>0</v>
      </c>
      <c r="O1852">
        <v>-4.063576E-2</v>
      </c>
      <c r="P1852">
        <v>0.98621729999999996</v>
      </c>
      <c r="Q1852">
        <v>7.2979329999999995E-2</v>
      </c>
      <c r="R1852">
        <v>-0.14849100000000001</v>
      </c>
      <c r="S1852">
        <v>2.9333040000000001</v>
      </c>
      <c r="T1852">
        <v>-0.28496110000000002</v>
      </c>
      <c r="U1852">
        <v>-0.86279300000000003</v>
      </c>
      <c r="V1852">
        <v>0.10838399999999999</v>
      </c>
      <c r="W1852">
        <v>8.6150850000000001E-2</v>
      </c>
      <c r="X1852">
        <v>0.9903691</v>
      </c>
      <c r="Y1852">
        <v>0.242092</v>
      </c>
      <c r="Z1852">
        <v>-7.6387590000000002E-3</v>
      </c>
      <c r="AA1852">
        <v>0.97022319999999995</v>
      </c>
      <c r="AB1852">
        <v>19</v>
      </c>
      <c r="AC1852">
        <v>11.3264</v>
      </c>
      <c r="AD1852">
        <v>-1.110287343382</v>
      </c>
      <c r="AE1852">
        <v>-3.35699999999997</v>
      </c>
      <c r="AF1852">
        <v>2.8685894572779498</v>
      </c>
      <c r="AG1852">
        <v>-1.110287343382</v>
      </c>
      <c r="AH1852">
        <v>11.3531841864855</v>
      </c>
      <c r="AI1852">
        <v>95.416335195645701</v>
      </c>
      <c r="AJ1852">
        <v>75.819959244804195</v>
      </c>
      <c r="AK1852">
        <v>11.762496955644499</v>
      </c>
      <c r="AL1852">
        <v>85.057793540686902</v>
      </c>
      <c r="AM1852">
        <v>83.7545194894887</v>
      </c>
      <c r="AN1852">
        <v>1.00000000732326</v>
      </c>
    </row>
    <row r="1853" spans="1:40" x14ac:dyDescent="0.25">
      <c r="A1853" t="str">
        <f>"20190312150702016"</f>
        <v>20190312150702016</v>
      </c>
      <c r="B1853" t="str">
        <f>"1552374422011681"</f>
        <v>1552374422011681</v>
      </c>
      <c r="C1853" t="s">
        <v>40</v>
      </c>
      <c r="D1853">
        <v>4.287852</v>
      </c>
      <c r="E1853">
        <v>0.55146499999999998</v>
      </c>
      <c r="F1853" t="s">
        <v>42</v>
      </c>
      <c r="G1853">
        <v>-214.10390000000001</v>
      </c>
      <c r="H1853" s="1">
        <v>-3.5757080000000001E-6</v>
      </c>
      <c r="I1853">
        <v>363.66640000000001</v>
      </c>
      <c r="J1853">
        <v>-225.88630000000001</v>
      </c>
      <c r="K1853">
        <v>1.1102909999999999</v>
      </c>
      <c r="L1853">
        <v>367.19260000000003</v>
      </c>
      <c r="M1853">
        <v>0.99906689999999998</v>
      </c>
      <c r="N1853">
        <v>0</v>
      </c>
      <c r="O1853">
        <v>-4.1054500000000001E-2</v>
      </c>
      <c r="P1853">
        <v>0.98614139999999995</v>
      </c>
      <c r="Q1853">
        <v>7.2870969999999993E-2</v>
      </c>
      <c r="R1853">
        <v>-0.14904690000000001</v>
      </c>
      <c r="S1853">
        <v>2.931</v>
      </c>
      <c r="T1853">
        <v>-0.2740764</v>
      </c>
      <c r="U1853">
        <v>-0.87149049999999995</v>
      </c>
      <c r="V1853">
        <v>0.1085252</v>
      </c>
      <c r="W1853">
        <v>8.604299E-2</v>
      </c>
      <c r="X1853">
        <v>0.99036299999999999</v>
      </c>
      <c r="Y1853">
        <v>0.2445948</v>
      </c>
      <c r="Z1853">
        <v>-7.4269490000000004E-3</v>
      </c>
      <c r="AA1853">
        <v>0.96959689999999998</v>
      </c>
      <c r="AB1853">
        <v>19</v>
      </c>
      <c r="AC1853">
        <v>11.7823999999999</v>
      </c>
      <c r="AD1853">
        <v>-1.1102945757079901</v>
      </c>
      <c r="AE1853">
        <v>-3.52620000000001</v>
      </c>
      <c r="AF1853">
        <v>3.0148912866483801</v>
      </c>
      <c r="AG1853">
        <v>-1.1102945757079901</v>
      </c>
      <c r="AH1853">
        <v>11.8209041566405</v>
      </c>
      <c r="AI1853">
        <v>95.200324768604901</v>
      </c>
      <c r="AJ1853">
        <v>75.691896283994495</v>
      </c>
      <c r="AK1853">
        <v>12.2497387154026</v>
      </c>
      <c r="AL1853">
        <v>85.063996427879303</v>
      </c>
      <c r="AM1853">
        <v>83.746409241599594</v>
      </c>
      <c r="AN1853">
        <v>0.99999999346609003</v>
      </c>
    </row>
    <row r="1854" spans="1:40" x14ac:dyDescent="0.25">
      <c r="A1854" t="str">
        <f>"20190312150702027"</f>
        <v>20190312150702027</v>
      </c>
      <c r="B1854" t="str">
        <f>"1552374422022417"</f>
        <v>1552374422022417</v>
      </c>
      <c r="C1854" t="s">
        <v>40</v>
      </c>
      <c r="D1854">
        <v>4.2374140000000002</v>
      </c>
      <c r="E1854">
        <v>0.55146499999999998</v>
      </c>
      <c r="F1854" t="s">
        <v>42</v>
      </c>
      <c r="G1854">
        <v>-213.63890000000001</v>
      </c>
      <c r="H1854" s="1">
        <v>-3.7918759999999998E-6</v>
      </c>
      <c r="I1854">
        <v>363.52409999999998</v>
      </c>
      <c r="J1854">
        <v>-225.7998</v>
      </c>
      <c r="K1854">
        <v>1.1103000000000001</v>
      </c>
      <c r="L1854">
        <v>367.18860000000001</v>
      </c>
      <c r="M1854">
        <v>0.99905060000000001</v>
      </c>
      <c r="N1854">
        <v>0</v>
      </c>
      <c r="O1854">
        <v>-4.1450239999999999E-2</v>
      </c>
      <c r="P1854">
        <v>0.98600209999999999</v>
      </c>
      <c r="Q1854">
        <v>7.3052699999999998E-2</v>
      </c>
      <c r="R1854">
        <v>-0.1498785</v>
      </c>
      <c r="S1854">
        <v>2.9291839999999998</v>
      </c>
      <c r="T1854">
        <v>-0.26554539999999999</v>
      </c>
      <c r="U1854">
        <v>-0.87738039999999995</v>
      </c>
      <c r="V1854">
        <v>0.1089676</v>
      </c>
      <c r="W1854">
        <v>8.6224469999999998E-2</v>
      </c>
      <c r="X1854">
        <v>0.99029860000000003</v>
      </c>
      <c r="Y1854">
        <v>0.2462096</v>
      </c>
      <c r="Z1854">
        <v>-7.2355329999999997E-3</v>
      </c>
      <c r="AA1854">
        <v>0.96918959999999998</v>
      </c>
      <c r="AB1854">
        <v>19</v>
      </c>
      <c r="AC1854">
        <v>12.1608999999999</v>
      </c>
      <c r="AD1854">
        <v>-1.1103037918759999</v>
      </c>
      <c r="AE1854">
        <v>-3.6645000000000301</v>
      </c>
      <c r="AF1854">
        <v>3.1332879769755602</v>
      </c>
      <c r="AG1854">
        <v>-1.1103037918759999</v>
      </c>
      <c r="AH1854">
        <v>12.209053352686</v>
      </c>
      <c r="AI1854">
        <v>95.033990787348998</v>
      </c>
      <c r="AJ1854">
        <v>75.606446222430705</v>
      </c>
      <c r="AK1854">
        <v>12.6535074910338</v>
      </c>
      <c r="AL1854">
        <v>85.053559421912794</v>
      </c>
      <c r="AM1854">
        <v>83.720714792603701</v>
      </c>
      <c r="AN1854">
        <v>0.99999995711924905</v>
      </c>
    </row>
    <row r="1855" spans="1:40" x14ac:dyDescent="0.25">
      <c r="A1855" t="str">
        <f>"20190312150702038"</f>
        <v>20190312150702038</v>
      </c>
      <c r="B1855" t="str">
        <f>"1552374422032178"</f>
        <v>1552374422032178</v>
      </c>
      <c r="C1855" t="s">
        <v>40</v>
      </c>
      <c r="D1855">
        <v>4.3245990000000001</v>
      </c>
      <c r="E1855">
        <v>0.55095119999999997</v>
      </c>
      <c r="F1855" t="s">
        <v>42</v>
      </c>
      <c r="G1855">
        <v>-213.5284</v>
      </c>
      <c r="H1855" s="1">
        <v>-3.8434380000000001E-6</v>
      </c>
      <c r="I1855">
        <v>363.50080000000003</v>
      </c>
      <c r="J1855">
        <v>-225.70519999999999</v>
      </c>
      <c r="K1855">
        <v>1.1103099999999999</v>
      </c>
      <c r="L1855">
        <v>367.1841</v>
      </c>
      <c r="M1855">
        <v>0.99903299999999995</v>
      </c>
      <c r="N1855">
        <v>0</v>
      </c>
      <c r="O1855">
        <v>-4.187395E-2</v>
      </c>
      <c r="P1855">
        <v>0.98586739999999995</v>
      </c>
      <c r="Q1855">
        <v>7.2854680000000005E-2</v>
      </c>
      <c r="R1855">
        <v>-0.150858399999999</v>
      </c>
      <c r="S1855">
        <v>2.928436</v>
      </c>
      <c r="T1855">
        <v>-0.26495960000000002</v>
      </c>
      <c r="U1855">
        <v>-0.88003539999999902</v>
      </c>
      <c r="V1855">
        <v>0.1095295</v>
      </c>
      <c r="W1855">
        <v>8.6026850000000002E-2</v>
      </c>
      <c r="X1855">
        <v>0.99025390000000002</v>
      </c>
      <c r="Y1855">
        <v>0.2466758</v>
      </c>
      <c r="Z1855">
        <v>-7.203788E-3</v>
      </c>
      <c r="AA1855">
        <v>0.96907129999999997</v>
      </c>
      <c r="AB1855">
        <v>19</v>
      </c>
      <c r="AC1855">
        <v>12.176799999999901</v>
      </c>
      <c r="AD1855">
        <v>-1.110313843438</v>
      </c>
      <c r="AE1855">
        <v>-3.6832999999999698</v>
      </c>
      <c r="AF1855">
        <v>3.1461669056864698</v>
      </c>
      <c r="AG1855">
        <v>-1.110313843438</v>
      </c>
      <c r="AH1855">
        <v>12.2272272281754</v>
      </c>
      <c r="AI1855">
        <v>95.025782342136907</v>
      </c>
      <c r="AJ1855">
        <v>75.570336604249704</v>
      </c>
      <c r="AK1855">
        <v>12.6742356266088</v>
      </c>
      <c r="AL1855">
        <v>85.064924944543094</v>
      </c>
      <c r="AM1855">
        <v>83.6883132020358</v>
      </c>
      <c r="AN1855">
        <v>1.0000000583781801</v>
      </c>
    </row>
    <row r="1856" spans="1:40" x14ac:dyDescent="0.25">
      <c r="A1856" t="str">
        <f>"20190312150702048"</f>
        <v>20190312150702048</v>
      </c>
      <c r="B1856" t="str">
        <f>"1552374422041937"</f>
        <v>1552374422041937</v>
      </c>
      <c r="C1856" t="s">
        <v>40</v>
      </c>
      <c r="D1856">
        <v>4.3945349999999896</v>
      </c>
      <c r="E1856">
        <v>0.54969669999999904</v>
      </c>
      <c r="F1856" t="s">
        <v>42</v>
      </c>
      <c r="G1856">
        <v>-213.23779999999999</v>
      </c>
      <c r="H1856" s="1">
        <v>-3.9783349999999996E-6</v>
      </c>
      <c r="I1856">
        <v>363.44310000000002</v>
      </c>
      <c r="J1856">
        <v>-225.6165</v>
      </c>
      <c r="K1856">
        <v>1.1103240000000001</v>
      </c>
      <c r="L1856">
        <v>367.18</v>
      </c>
      <c r="M1856">
        <v>0.99901649999999997</v>
      </c>
      <c r="N1856">
        <v>0</v>
      </c>
      <c r="O1856">
        <v>-4.2264400000000001E-2</v>
      </c>
      <c r="P1856">
        <v>0.98576129999999995</v>
      </c>
      <c r="Q1856">
        <v>7.2611700000000001E-2</v>
      </c>
      <c r="R1856">
        <v>-0.151665299999999</v>
      </c>
      <c r="S1856">
        <v>2.9278559999999998</v>
      </c>
      <c r="T1856">
        <v>-0.26074609999999998</v>
      </c>
      <c r="U1856">
        <v>-0.87853999999999999</v>
      </c>
      <c r="V1856">
        <v>0.1099506</v>
      </c>
      <c r="W1856">
        <v>8.5784550000000001E-2</v>
      </c>
      <c r="X1856">
        <v>0.9902282</v>
      </c>
      <c r="Y1856">
        <v>0.2459238</v>
      </c>
      <c r="Z1856">
        <v>-7.0249550000000003E-3</v>
      </c>
      <c r="AA1856">
        <v>0.96926369999999895</v>
      </c>
      <c r="AB1856">
        <v>19</v>
      </c>
      <c r="AC1856">
        <v>12.3787</v>
      </c>
      <c r="AD1856">
        <v>-1.110327978335</v>
      </c>
      <c r="AE1856">
        <v>-3.7368999999999901</v>
      </c>
      <c r="AF1856">
        <v>3.18683676370159</v>
      </c>
      <c r="AG1856">
        <v>-1.110327978335</v>
      </c>
      <c r="AH1856">
        <v>12.4339074913562</v>
      </c>
      <c r="AI1856">
        <v>94.943914497651605</v>
      </c>
      <c r="AJ1856">
        <v>75.624419474483901</v>
      </c>
      <c r="AK1856">
        <v>12.883742169166499</v>
      </c>
      <c r="AL1856">
        <v>85.0788589628214</v>
      </c>
      <c r="AM1856">
        <v>83.664080985367505</v>
      </c>
      <c r="AN1856">
        <v>1.0000000057671501</v>
      </c>
    </row>
    <row r="1857" spans="1:40" x14ac:dyDescent="0.25">
      <c r="A1857" t="str">
        <f>"20190312150702059"</f>
        <v>20190312150702059</v>
      </c>
      <c r="B1857" t="str">
        <f>"1552374422051697"</f>
        <v>1552374422051697</v>
      </c>
      <c r="C1857" t="s">
        <v>40</v>
      </c>
      <c r="D1857">
        <v>4.3746939999999999</v>
      </c>
      <c r="E1857">
        <v>0.54854740000000002</v>
      </c>
      <c r="F1857" t="s">
        <v>42</v>
      </c>
      <c r="G1857">
        <v>-213.0848</v>
      </c>
      <c r="H1857" s="1">
        <v>-4.0419490000000001E-6</v>
      </c>
      <c r="I1857">
        <v>363.4545</v>
      </c>
      <c r="J1857">
        <v>-225.53</v>
      </c>
      <c r="K1857">
        <v>1.110333</v>
      </c>
      <c r="L1857">
        <v>367.17579999999998</v>
      </c>
      <c r="M1857">
        <v>0.99900069999999996</v>
      </c>
      <c r="N1857">
        <v>0</v>
      </c>
      <c r="O1857">
        <v>-4.2638629999999997E-2</v>
      </c>
      <c r="P1857">
        <v>0.98566900000000002</v>
      </c>
      <c r="Q1857">
        <v>7.2502520000000001E-2</v>
      </c>
      <c r="R1857">
        <v>-0.15231520000000001</v>
      </c>
      <c r="S1857">
        <v>2.9285130000000001</v>
      </c>
      <c r="T1857">
        <v>-0.25946770000000002</v>
      </c>
      <c r="U1857">
        <v>-0.87057499999999999</v>
      </c>
      <c r="V1857">
        <v>0.1102306</v>
      </c>
      <c r="W1857">
        <v>8.5676240000000001E-2</v>
      </c>
      <c r="X1857">
        <v>0.99020640000000004</v>
      </c>
      <c r="Y1857">
        <v>0.24309790000000001</v>
      </c>
      <c r="Z1857">
        <v>-6.8371500000000002E-3</v>
      </c>
      <c r="AA1857">
        <v>0.96997770000000005</v>
      </c>
      <c r="AB1857">
        <v>19</v>
      </c>
      <c r="AC1857">
        <v>12.4452</v>
      </c>
      <c r="AD1857">
        <v>-1.110337041949</v>
      </c>
      <c r="AE1857">
        <v>-3.7212999999999798</v>
      </c>
      <c r="AF1857">
        <v>3.1641023799308901</v>
      </c>
      <c r="AG1857">
        <v>-1.110337041949</v>
      </c>
      <c r="AH1857">
        <v>12.501223901015701</v>
      </c>
      <c r="AI1857">
        <v>94.921208644490093</v>
      </c>
      <c r="AJ1857">
        <v>75.796526452860704</v>
      </c>
      <c r="AK1857">
        <v>12.9431445653957</v>
      </c>
      <c r="AL1857">
        <v>85.085087369467303</v>
      </c>
      <c r="AM1857">
        <v>83.647938960861694</v>
      </c>
      <c r="AN1857">
        <v>0.99999995893892801</v>
      </c>
    </row>
    <row r="1858" spans="1:40" x14ac:dyDescent="0.25">
      <c r="A1858" t="str">
        <f>"20190312150702069"</f>
        <v>20190312150702069</v>
      </c>
      <c r="B1858" t="str">
        <f>"1552374422062433"</f>
        <v>1552374422062433</v>
      </c>
      <c r="C1858" t="s">
        <v>40</v>
      </c>
      <c r="D1858">
        <v>4.361904</v>
      </c>
      <c r="E1858">
        <v>0.54756289999999996</v>
      </c>
      <c r="F1858" t="s">
        <v>42</v>
      </c>
      <c r="G1858">
        <v>-213.02789999999999</v>
      </c>
      <c r="H1858" s="1">
        <v>-4.0595349999999997E-6</v>
      </c>
      <c r="I1858">
        <v>363.49299999999999</v>
      </c>
      <c r="J1858">
        <v>-225.44900000000001</v>
      </c>
      <c r="K1858">
        <v>1.1103449999999999</v>
      </c>
      <c r="L1858">
        <v>367.17200000000003</v>
      </c>
      <c r="M1858">
        <v>0.99898589999999998</v>
      </c>
      <c r="N1858">
        <v>0</v>
      </c>
      <c r="O1858">
        <v>-4.29808E-2</v>
      </c>
      <c r="P1858">
        <v>0.98557930000000005</v>
      </c>
      <c r="Q1858">
        <v>7.220733E-2</v>
      </c>
      <c r="R1858">
        <v>-0.1530347</v>
      </c>
      <c r="S1858">
        <v>2.9294280000000001</v>
      </c>
      <c r="T1858">
        <v>-0.2601675</v>
      </c>
      <c r="U1858">
        <v>-0.86294559999999998</v>
      </c>
      <c r="V1858">
        <v>0.110611</v>
      </c>
      <c r="W1858">
        <v>8.5382159999999999E-2</v>
      </c>
      <c r="X1858">
        <v>0.9901894</v>
      </c>
      <c r="Y1858">
        <v>0.240366</v>
      </c>
      <c r="Z1858">
        <v>-6.7077319999999897E-3</v>
      </c>
      <c r="AA1858">
        <v>0.9706591</v>
      </c>
      <c r="AB1858">
        <v>19</v>
      </c>
      <c r="AC1858">
        <v>12.421099999999999</v>
      </c>
      <c r="AD1858">
        <v>-1.1103490595350001</v>
      </c>
      <c r="AE1858">
        <v>-3.6789999999999101</v>
      </c>
      <c r="AF1858">
        <v>3.1187708492041502</v>
      </c>
      <c r="AG1858">
        <v>-1.1103490595350001</v>
      </c>
      <c r="AH1858">
        <v>12.476104865958</v>
      </c>
      <c r="AI1858">
        <v>94.934748730983699</v>
      </c>
      <c r="AJ1858">
        <v>75.964860310822999</v>
      </c>
      <c r="AK1858">
        <v>12.907858043464699</v>
      </c>
      <c r="AL1858">
        <v>85.101998972285699</v>
      </c>
      <c r="AM1858">
        <v>83.626089899593197</v>
      </c>
      <c r="AN1858">
        <v>0.99999997721981204</v>
      </c>
    </row>
    <row r="1859" spans="1:40" x14ac:dyDescent="0.25">
      <c r="A1859" t="str">
        <f>"20190312150702079"</f>
        <v>20190312150702079</v>
      </c>
      <c r="B1859" t="str">
        <f>"1552374422072193"</f>
        <v>1552374422072193</v>
      </c>
      <c r="C1859" t="s">
        <v>40</v>
      </c>
      <c r="D1859">
        <v>4.3906519999999896</v>
      </c>
      <c r="E1859">
        <v>0.54667840000000001</v>
      </c>
      <c r="F1859" t="s">
        <v>42</v>
      </c>
      <c r="G1859">
        <v>-213.02359999999999</v>
      </c>
      <c r="H1859" s="1">
        <v>-4.0537209999999998E-6</v>
      </c>
      <c r="I1859">
        <v>363.536</v>
      </c>
      <c r="J1859">
        <v>-225.3656</v>
      </c>
      <c r="K1859">
        <v>1.1103540000000001</v>
      </c>
      <c r="L1859">
        <v>367.16789999999997</v>
      </c>
      <c r="M1859">
        <v>0.99897100000000005</v>
      </c>
      <c r="N1859">
        <v>0</v>
      </c>
      <c r="O1859">
        <v>-4.3326290000000003E-2</v>
      </c>
      <c r="P1859">
        <v>0.98544880000000001</v>
      </c>
      <c r="Q1859">
        <v>7.2304930000000003E-2</v>
      </c>
      <c r="R1859">
        <v>-0.1538273</v>
      </c>
      <c r="S1859">
        <v>2.9299469999999999</v>
      </c>
      <c r="T1859">
        <v>-0.2618222</v>
      </c>
      <c r="U1859">
        <v>-0.85736080000000003</v>
      </c>
      <c r="V1859">
        <v>0.11106340000000001</v>
      </c>
      <c r="W1859">
        <v>8.5480509999999996E-2</v>
      </c>
      <c r="X1859">
        <v>0.99013030000000002</v>
      </c>
      <c r="Y1859">
        <v>0.23827950000000001</v>
      </c>
      <c r="Z1859">
        <v>-6.6296080000000004E-3</v>
      </c>
      <c r="AA1859">
        <v>0.97117399999999998</v>
      </c>
      <c r="AB1859">
        <v>18</v>
      </c>
      <c r="AC1859">
        <v>12.342000000000001</v>
      </c>
      <c r="AD1859">
        <v>-1.110358053721</v>
      </c>
      <c r="AE1859">
        <v>-3.6318999999999702</v>
      </c>
      <c r="AF1859">
        <v>3.07083373747981</v>
      </c>
      <c r="AG1859">
        <v>-1.110358053721</v>
      </c>
      <c r="AH1859">
        <v>12.395448013597401</v>
      </c>
      <c r="AI1859">
        <v>94.969334597938001</v>
      </c>
      <c r="AJ1859">
        <v>76.085756063387606</v>
      </c>
      <c r="AK1859">
        <v>12.8183480335223</v>
      </c>
      <c r="AL1859">
        <v>85.0963433854171</v>
      </c>
      <c r="AM1859">
        <v>83.599857578453793</v>
      </c>
      <c r="AN1859">
        <v>1.00000000369375</v>
      </c>
    </row>
    <row r="1860" spans="1:40" x14ac:dyDescent="0.25">
      <c r="A1860" t="str">
        <f>"20190312150702092"</f>
        <v>20190312150702092</v>
      </c>
      <c r="B1860" t="str">
        <f>"1552374422081953"</f>
        <v>1552374422081953</v>
      </c>
      <c r="C1860" t="s">
        <v>40</v>
      </c>
      <c r="D1860">
        <v>4.3981729999999999</v>
      </c>
      <c r="E1860">
        <v>0.54587050000000004</v>
      </c>
      <c r="F1860" t="s">
        <v>42</v>
      </c>
      <c r="G1860">
        <v>-212.99189999999999</v>
      </c>
      <c r="H1860" s="1">
        <v>-4.0615640000000001E-6</v>
      </c>
      <c r="I1860">
        <v>363.5686</v>
      </c>
      <c r="J1860">
        <v>-225.25620000000001</v>
      </c>
      <c r="K1860">
        <v>1.1103700000000001</v>
      </c>
      <c r="L1860">
        <v>367.16269999999997</v>
      </c>
      <c r="M1860">
        <v>0.99895199999999995</v>
      </c>
      <c r="N1860">
        <v>0</v>
      </c>
      <c r="O1860">
        <v>-4.376588E-2</v>
      </c>
      <c r="P1860">
        <v>0.98535050000000002</v>
      </c>
      <c r="Q1860">
        <v>7.2167899999999993E-2</v>
      </c>
      <c r="R1860">
        <v>-0.15452060000000001</v>
      </c>
      <c r="S1860">
        <v>2.930542</v>
      </c>
      <c r="T1860">
        <v>-0.26297179999999998</v>
      </c>
      <c r="U1860">
        <v>-0.85244750000000002</v>
      </c>
      <c r="V1860">
        <v>0.1113209</v>
      </c>
      <c r="W1860">
        <v>8.5345569999999996E-2</v>
      </c>
      <c r="X1860">
        <v>0.99011300000000002</v>
      </c>
      <c r="Y1860">
        <v>0.2363006</v>
      </c>
      <c r="Z1860">
        <v>-6.5335539999999996E-3</v>
      </c>
      <c r="AA1860">
        <v>0.97165809999999997</v>
      </c>
      <c r="AB1860">
        <v>18</v>
      </c>
      <c r="AC1860">
        <v>12.2643</v>
      </c>
      <c r="AD1860">
        <v>-1.1103740615639901</v>
      </c>
      <c r="AE1860">
        <v>-3.5940999999999601</v>
      </c>
      <c r="AF1860">
        <v>3.0309696978899101</v>
      </c>
      <c r="AG1860">
        <v>-1.1103740615639901</v>
      </c>
      <c r="AH1860">
        <v>12.316883269676</v>
      </c>
      <c r="AI1860">
        <v>95.002861853246003</v>
      </c>
      <c r="AJ1860">
        <v>76.175202199426195</v>
      </c>
      <c r="AK1860">
        <v>12.7328441969949</v>
      </c>
      <c r="AL1860">
        <v>85.104103123541194</v>
      </c>
      <c r="AM1860">
        <v>83.585031277460303</v>
      </c>
      <c r="AN1860">
        <v>0.99999998093221698</v>
      </c>
    </row>
    <row r="1861" spans="1:40" x14ac:dyDescent="0.25">
      <c r="A1861" t="str">
        <f>"20190312150702113"</f>
        <v>20190312150702113</v>
      </c>
      <c r="B1861" t="str">
        <f>"1552374422101980"</f>
        <v>1552374422101980</v>
      </c>
      <c r="C1861" t="s">
        <v>40</v>
      </c>
      <c r="D1861">
        <v>4.3863469999999998</v>
      </c>
      <c r="E1861">
        <v>0.54461559999999998</v>
      </c>
      <c r="F1861" t="s">
        <v>42</v>
      </c>
      <c r="G1861">
        <v>-212.81819999999999</v>
      </c>
      <c r="H1861" s="1">
        <v>-4.1368989999999999E-6</v>
      </c>
      <c r="I1861">
        <v>363.56400000000002</v>
      </c>
      <c r="J1861">
        <v>-225.08879999999999</v>
      </c>
      <c r="K1861">
        <v>1.1103959999999999</v>
      </c>
      <c r="L1861">
        <v>367.15460000000002</v>
      </c>
      <c r="M1861">
        <v>0.99892340000000002</v>
      </c>
      <c r="N1861">
        <v>0</v>
      </c>
      <c r="O1861">
        <v>-4.4411899999999997E-2</v>
      </c>
      <c r="P1861">
        <v>0.98512140000000004</v>
      </c>
      <c r="Q1861">
        <v>7.2070679999999998E-2</v>
      </c>
      <c r="R1861">
        <v>-0.15601899999999999</v>
      </c>
      <c r="S1861">
        <v>2.9308010000000002</v>
      </c>
      <c r="T1861">
        <v>-0.2616387</v>
      </c>
      <c r="U1861">
        <v>-0.84796139999999998</v>
      </c>
      <c r="V1861">
        <v>0.112182</v>
      </c>
      <c r="W1861">
        <v>8.5250560000000003E-2</v>
      </c>
      <c r="X1861">
        <v>0.99002400000000002</v>
      </c>
      <c r="Y1861">
        <v>0.23429349999999999</v>
      </c>
      <c r="Z1861">
        <v>-6.3575039999999999E-3</v>
      </c>
      <c r="AA1861">
        <v>0.97214509999999998</v>
      </c>
      <c r="AB1861">
        <v>18</v>
      </c>
      <c r="AC1861">
        <v>12.2706</v>
      </c>
      <c r="AD1861">
        <v>-1.110400136899</v>
      </c>
      <c r="AE1861">
        <v>-3.59059999999999</v>
      </c>
      <c r="AF1861">
        <v>3.01927237872837</v>
      </c>
      <c r="AG1861">
        <v>-1.110400136899</v>
      </c>
      <c r="AH1861">
        <v>12.3250019719967</v>
      </c>
      <c r="AI1861">
        <v>95.000980016174495</v>
      </c>
      <c r="AJ1861">
        <v>76.235247865648901</v>
      </c>
      <c r="AK1861">
        <v>12.737922427566399</v>
      </c>
      <c r="AL1861">
        <v>85.109566751477999</v>
      </c>
      <c r="AM1861">
        <v>83.535251828067004</v>
      </c>
      <c r="AN1861">
        <v>0.99999998984015603</v>
      </c>
    </row>
    <row r="1862" spans="1:40" x14ac:dyDescent="0.25">
      <c r="A1862" t="str">
        <f>"20190312150702126"</f>
        <v>20190312150702126</v>
      </c>
      <c r="B1862" t="str">
        <f>"1552374422122477"</f>
        <v>1552374422122477</v>
      </c>
      <c r="C1862" t="s">
        <v>40</v>
      </c>
      <c r="D1862">
        <v>4.3717199999999998</v>
      </c>
      <c r="E1862">
        <v>0.54346059999999996</v>
      </c>
      <c r="F1862" t="s">
        <v>42</v>
      </c>
      <c r="G1862">
        <v>-212.46119999999999</v>
      </c>
      <c r="H1862" s="1">
        <v>-4.2968899999999996E-6</v>
      </c>
      <c r="I1862">
        <v>363.52530000000002</v>
      </c>
      <c r="J1862">
        <v>-224.98060000000001</v>
      </c>
      <c r="K1862">
        <v>1.1104099999999999</v>
      </c>
      <c r="L1862">
        <v>367.14929999999998</v>
      </c>
      <c r="M1862">
        <v>0.9989055</v>
      </c>
      <c r="N1862">
        <v>0</v>
      </c>
      <c r="O1862">
        <v>-4.4815500000000001E-2</v>
      </c>
      <c r="P1862">
        <v>0.98499270000000005</v>
      </c>
      <c r="Q1862">
        <v>7.2074890000000003E-2</v>
      </c>
      <c r="R1862">
        <v>-0.15682689999999999</v>
      </c>
      <c r="S1862">
        <v>2.9307560000000001</v>
      </c>
      <c r="T1862">
        <v>-0.25771300000000003</v>
      </c>
      <c r="U1862">
        <v>-0.842315699999999</v>
      </c>
      <c r="V1862">
        <v>0.1125915</v>
      </c>
      <c r="W1862">
        <v>8.5256730000000003E-2</v>
      </c>
      <c r="X1862">
        <v>0.989977</v>
      </c>
      <c r="Y1862">
        <v>0.23220440000000001</v>
      </c>
      <c r="Z1862">
        <v>-6.1396899999999997E-3</v>
      </c>
      <c r="AA1862">
        <v>0.9726477</v>
      </c>
      <c r="AB1862">
        <v>18</v>
      </c>
      <c r="AC1862">
        <v>12.519399999999999</v>
      </c>
      <c r="AD1862">
        <v>-1.1104142968899999</v>
      </c>
      <c r="AE1862">
        <v>-3.6239999999999601</v>
      </c>
      <c r="AF1862">
        <v>3.0371987465285302</v>
      </c>
      <c r="AG1862">
        <v>-1.1104142968899999</v>
      </c>
      <c r="AH1862">
        <v>12.577946136521399</v>
      </c>
      <c r="AI1862">
        <v>94.904889383129301</v>
      </c>
      <c r="AJ1862">
        <v>76.424646652622997</v>
      </c>
      <c r="AK1862">
        <v>12.9870060117753</v>
      </c>
      <c r="AL1862">
        <v>85.109212034804202</v>
      </c>
      <c r="AM1862">
        <v>83.511548896392995</v>
      </c>
      <c r="AN1862">
        <v>1.0000000082057701</v>
      </c>
    </row>
    <row r="1863" spans="1:40" x14ac:dyDescent="0.25">
      <c r="A1863" t="str">
        <f>"20190312150702138"</f>
        <v>20190312150702138</v>
      </c>
      <c r="B1863" t="str">
        <f>"1552374422132237"</f>
        <v>1552374422132237</v>
      </c>
      <c r="C1863" t="s">
        <v>40</v>
      </c>
      <c r="D1863">
        <v>4.3769549999999997</v>
      </c>
      <c r="E1863">
        <v>0.54293230000000003</v>
      </c>
      <c r="F1863" t="s">
        <v>42</v>
      </c>
      <c r="G1863">
        <v>-212.37440000000001</v>
      </c>
      <c r="H1863" s="1">
        <v>-4.3286289999999997E-6</v>
      </c>
      <c r="I1863">
        <v>363.55630000000002</v>
      </c>
      <c r="J1863">
        <v>-224.8835</v>
      </c>
      <c r="K1863">
        <v>1.110422</v>
      </c>
      <c r="L1863">
        <v>367.14449999999999</v>
      </c>
      <c r="M1863">
        <v>0.9988899</v>
      </c>
      <c r="N1863">
        <v>0</v>
      </c>
      <c r="O1863">
        <v>-4.516324E-2</v>
      </c>
      <c r="P1863">
        <v>0.98492020000000002</v>
      </c>
      <c r="Q1863">
        <v>7.2023130000000005E-2</v>
      </c>
      <c r="R1863">
        <v>-0.15730640000000001</v>
      </c>
      <c r="S1863">
        <v>2.9315639999999998</v>
      </c>
      <c r="T1863">
        <v>-0.25822620000000002</v>
      </c>
      <c r="U1863">
        <v>-0.83554079999999997</v>
      </c>
      <c r="V1863">
        <v>0.1127262</v>
      </c>
      <c r="W1863">
        <v>8.5206840000000006E-2</v>
      </c>
      <c r="X1863">
        <v>0.98996600000000001</v>
      </c>
      <c r="Y1863">
        <v>0.2297235</v>
      </c>
      <c r="Z1863">
        <v>-6.015304E-3</v>
      </c>
      <c r="AA1863">
        <v>0.97323729999999997</v>
      </c>
      <c r="AB1863">
        <v>18</v>
      </c>
      <c r="AC1863">
        <v>12.509099999999901</v>
      </c>
      <c r="AD1863">
        <v>-1.1104263286289999</v>
      </c>
      <c r="AE1863">
        <v>-3.5881999999999699</v>
      </c>
      <c r="AF1863">
        <v>2.99770975780946</v>
      </c>
      <c r="AG1863">
        <v>-1.1104263286289999</v>
      </c>
      <c r="AH1863">
        <v>12.5669041171698</v>
      </c>
      <c r="AI1863">
        <v>94.912480455162594</v>
      </c>
      <c r="AJ1863">
        <v>76.583386856909399</v>
      </c>
      <c r="AK1863">
        <v>12.9671272652627</v>
      </c>
      <c r="AL1863">
        <v>85.112081123713097</v>
      </c>
      <c r="AM1863">
        <v>83.503781120300701</v>
      </c>
      <c r="AN1863">
        <v>1.00000004145261</v>
      </c>
    </row>
    <row r="1864" spans="1:40" x14ac:dyDescent="0.25">
      <c r="A1864" t="str">
        <f>"20190312150702147"</f>
        <v>20190312150702147</v>
      </c>
      <c r="B1864" t="str">
        <f>"1552374422141997"</f>
        <v>1552374422141997</v>
      </c>
      <c r="C1864" t="s">
        <v>40</v>
      </c>
      <c r="D1864">
        <v>4.3860429999999999</v>
      </c>
      <c r="E1864">
        <v>0.54245069999999995</v>
      </c>
      <c r="F1864" t="s">
        <v>42</v>
      </c>
      <c r="G1864">
        <v>-212.3203</v>
      </c>
      <c r="H1864" s="1">
        <v>-4.348355E-6</v>
      </c>
      <c r="I1864">
        <v>363.5761</v>
      </c>
      <c r="J1864">
        <v>-224.8032</v>
      </c>
      <c r="K1864">
        <v>1.1104320000000001</v>
      </c>
      <c r="L1864">
        <v>367.14049999999997</v>
      </c>
      <c r="M1864">
        <v>0.99887700000000001</v>
      </c>
      <c r="N1864">
        <v>0</v>
      </c>
      <c r="O1864">
        <v>-4.5446540000000001E-2</v>
      </c>
      <c r="P1864">
        <v>0.98485469999999997</v>
      </c>
      <c r="Q1864">
        <v>7.2036760000000005E-2</v>
      </c>
      <c r="R1864">
        <v>-0.15770899999999999</v>
      </c>
      <c r="S1864">
        <v>2.9318849999999999</v>
      </c>
      <c r="T1864">
        <v>-0.25914039999999999</v>
      </c>
      <c r="U1864">
        <v>-0.832763699999999</v>
      </c>
      <c r="V1864">
        <v>0.11284859999999999</v>
      </c>
      <c r="W1864">
        <v>8.5221580000000005E-2</v>
      </c>
      <c r="X1864">
        <v>0.98995069999999996</v>
      </c>
      <c r="Y1864">
        <v>0.22856689999999999</v>
      </c>
      <c r="Z1864">
        <v>-5.9621880000000002E-3</v>
      </c>
      <c r="AA1864">
        <v>0.97350999999999999</v>
      </c>
      <c r="AB1864">
        <v>18</v>
      </c>
      <c r="AC1864">
        <v>12.482900000000001</v>
      </c>
      <c r="AD1864">
        <v>-1.1104363483549999</v>
      </c>
      <c r="AE1864">
        <v>-3.5643999999999698</v>
      </c>
      <c r="AF1864">
        <v>2.97161853157621</v>
      </c>
      <c r="AG1864">
        <v>-1.1104363483549999</v>
      </c>
      <c r="AH1864">
        <v>12.5402507822605</v>
      </c>
      <c r="AI1864">
        <v>94.924649495647401</v>
      </c>
      <c r="AJ1864">
        <v>76.668723681691105</v>
      </c>
      <c r="AK1864">
        <v>12.9352802545187</v>
      </c>
      <c r="AL1864">
        <v>85.111233083679195</v>
      </c>
      <c r="AM1864">
        <v>83.496688161428906</v>
      </c>
      <c r="AN1864">
        <v>0.99999995632507199</v>
      </c>
    </row>
    <row r="1865" spans="1:40" x14ac:dyDescent="0.25">
      <c r="A1865" t="str">
        <f>"20190312150702157"</f>
        <v>20190312150702157</v>
      </c>
      <c r="B1865" t="str">
        <f>"1552374422151757"</f>
        <v>1552374422151757</v>
      </c>
      <c r="C1865" t="s">
        <v>40</v>
      </c>
      <c r="D1865">
        <v>4.4118890000000004</v>
      </c>
      <c r="E1865">
        <v>0.54202340000000004</v>
      </c>
      <c r="F1865" t="s">
        <v>42</v>
      </c>
      <c r="G1865">
        <v>-212.15469999999999</v>
      </c>
      <c r="H1865" s="1">
        <v>-4.4223400000000003E-6</v>
      </c>
      <c r="I1865">
        <v>363.55930000000001</v>
      </c>
      <c r="J1865">
        <v>-224.7167</v>
      </c>
      <c r="K1865">
        <v>1.1104400000000001</v>
      </c>
      <c r="L1865">
        <v>367.13619999999997</v>
      </c>
      <c r="M1865">
        <v>0.99886350000000002</v>
      </c>
      <c r="N1865">
        <v>0</v>
      </c>
      <c r="O1865">
        <v>-4.5743209999999999E-2</v>
      </c>
      <c r="P1865">
        <v>0.98472729999999997</v>
      </c>
      <c r="Q1865">
        <v>7.2183830000000004E-2</v>
      </c>
      <c r="R1865">
        <v>-0.1584354</v>
      </c>
      <c r="S1865">
        <v>2.9320219999999999</v>
      </c>
      <c r="T1865">
        <v>-0.25740760000000001</v>
      </c>
      <c r="U1865">
        <v>-0.83013919999999997</v>
      </c>
      <c r="V1865">
        <v>0.11328390000000001</v>
      </c>
      <c r="W1865">
        <v>8.5368379999999994E-2</v>
      </c>
      <c r="X1865">
        <v>0.9898884</v>
      </c>
      <c r="Y1865">
        <v>0.2274727</v>
      </c>
      <c r="Z1865">
        <v>-5.8504689999999996E-3</v>
      </c>
      <c r="AA1865">
        <v>0.97376689999999999</v>
      </c>
      <c r="AB1865">
        <v>18</v>
      </c>
      <c r="AC1865">
        <v>12.561999999999999</v>
      </c>
      <c r="AD1865">
        <v>-1.1104444223399901</v>
      </c>
      <c r="AE1865">
        <v>-3.5768999999999598</v>
      </c>
      <c r="AF1865">
        <v>2.97695988853296</v>
      </c>
      <c r="AG1865">
        <v>-1.1104444223399901</v>
      </c>
      <c r="AH1865">
        <v>12.621254959998801</v>
      </c>
      <c r="AI1865">
        <v>94.8944289944112</v>
      </c>
      <c r="AJ1865">
        <v>76.728286128519798</v>
      </c>
      <c r="AK1865">
        <v>13.015047205382499</v>
      </c>
      <c r="AL1865">
        <v>85.102791628012497</v>
      </c>
      <c r="AM1865">
        <v>83.471411233566897</v>
      </c>
      <c r="AN1865">
        <v>1.00000002337879</v>
      </c>
    </row>
    <row r="1866" spans="1:40" x14ac:dyDescent="0.25">
      <c r="A1866" t="str">
        <f>"20190312150702170"</f>
        <v>20190312150702170</v>
      </c>
      <c r="B1866" t="str">
        <f>"1552374422162494"</f>
        <v>1552374422162494</v>
      </c>
      <c r="C1866" t="s">
        <v>40</v>
      </c>
      <c r="D1866">
        <v>4.3794930000000001</v>
      </c>
      <c r="E1866">
        <v>0.54161569999999903</v>
      </c>
      <c r="F1866" t="s">
        <v>42</v>
      </c>
      <c r="G1866">
        <v>-212.0042</v>
      </c>
      <c r="H1866" s="1">
        <v>-4.4896210000000001E-6</v>
      </c>
      <c r="I1866">
        <v>363.54399999999998</v>
      </c>
      <c r="J1866">
        <v>-224.61930000000001</v>
      </c>
      <c r="K1866">
        <v>1.1104510000000001</v>
      </c>
      <c r="L1866">
        <v>367.13130000000001</v>
      </c>
      <c r="M1866">
        <v>0.99884839999999997</v>
      </c>
      <c r="N1866">
        <v>0</v>
      </c>
      <c r="O1866">
        <v>-4.6072420000000003E-2</v>
      </c>
      <c r="P1866">
        <v>0.98460210000000004</v>
      </c>
      <c r="Q1866">
        <v>7.2147210000000003E-2</v>
      </c>
      <c r="R1866">
        <v>-0.15922729999999999</v>
      </c>
      <c r="S1866">
        <v>2.932007</v>
      </c>
      <c r="T1866">
        <v>-0.25611129999999999</v>
      </c>
      <c r="U1866">
        <v>-0.82849119999999998</v>
      </c>
      <c r="V1866">
        <v>0.1137527</v>
      </c>
      <c r="W1866">
        <v>8.5332259999999993E-2</v>
      </c>
      <c r="X1866">
        <v>0.98983770000000004</v>
      </c>
      <c r="Y1866">
        <v>0.22665669999999999</v>
      </c>
      <c r="Z1866">
        <v>-5.7586249999999999E-3</v>
      </c>
      <c r="AA1866">
        <v>0.97395770000000004</v>
      </c>
      <c r="AB1866">
        <v>18</v>
      </c>
      <c r="AC1866">
        <v>12.6151</v>
      </c>
      <c r="AD1866">
        <v>-1.1104554896209999</v>
      </c>
      <c r="AE1866">
        <v>-3.5872999999999702</v>
      </c>
      <c r="AF1866">
        <v>2.9808603371803901</v>
      </c>
      <c r="AG1866">
        <v>-1.1104554896209999</v>
      </c>
      <c r="AH1866">
        <v>12.6761187641475</v>
      </c>
      <c r="AI1866">
        <v>94.874167725961001</v>
      </c>
      <c r="AJ1866">
        <v>76.767000353063693</v>
      </c>
      <c r="AK1866">
        <v>13.0691478936837</v>
      </c>
      <c r="AL1866">
        <v>85.104868477992895</v>
      </c>
      <c r="AM1866">
        <v>83.444295967297293</v>
      </c>
      <c r="AN1866">
        <v>0.999999971847643</v>
      </c>
    </row>
    <row r="1867" spans="1:40" x14ac:dyDescent="0.25">
      <c r="A1867" t="str">
        <f>"20190312150702182"</f>
        <v>20190312150702182</v>
      </c>
      <c r="B1867" t="str">
        <f>"1552374422172253"</f>
        <v>1552374422172253</v>
      </c>
      <c r="C1867" t="s">
        <v>40</v>
      </c>
      <c r="D1867">
        <v>4.3557230000000002</v>
      </c>
      <c r="E1867">
        <v>0.5412323</v>
      </c>
      <c r="F1867" t="s">
        <v>42</v>
      </c>
      <c r="G1867">
        <v>-211.84530000000001</v>
      </c>
      <c r="H1867" s="1">
        <v>-4.5611719999999997E-6</v>
      </c>
      <c r="I1867">
        <v>363.52499999999998</v>
      </c>
      <c r="J1867">
        <v>-224.52330000000001</v>
      </c>
      <c r="K1867">
        <v>1.110457</v>
      </c>
      <c r="L1867">
        <v>367.12650000000002</v>
      </c>
      <c r="M1867">
        <v>0.99883370000000005</v>
      </c>
      <c r="N1867">
        <v>0</v>
      </c>
      <c r="O1867">
        <v>-4.639045E-2</v>
      </c>
      <c r="P1867">
        <v>0.98450249999999995</v>
      </c>
      <c r="Q1867">
        <v>7.2214719999999996E-2</v>
      </c>
      <c r="R1867">
        <v>-0.1598135</v>
      </c>
      <c r="S1867">
        <v>2.9317470000000001</v>
      </c>
      <c r="T1867">
        <v>-0.25485770000000002</v>
      </c>
      <c r="U1867">
        <v>-0.82766719999999905</v>
      </c>
      <c r="V1867">
        <v>0.11402569999999999</v>
      </c>
      <c r="W1867">
        <v>8.5399729999999993E-2</v>
      </c>
      <c r="X1867">
        <v>0.98980049999999997</v>
      </c>
      <c r="Y1867">
        <v>0.22612460000000001</v>
      </c>
      <c r="Z1867">
        <v>-5.6816280000000002E-3</v>
      </c>
      <c r="AA1867">
        <v>0.9740818</v>
      </c>
      <c r="AB1867">
        <v>18</v>
      </c>
      <c r="AC1867">
        <v>12.6779999999999</v>
      </c>
      <c r="AD1867">
        <v>-1.1104615611719999</v>
      </c>
      <c r="AE1867">
        <v>-3.6015000000000401</v>
      </c>
      <c r="AF1867">
        <v>2.98821750713289</v>
      </c>
      <c r="AG1867">
        <v>-1.1104615611719999</v>
      </c>
      <c r="AH1867">
        <v>12.7409892991575</v>
      </c>
      <c r="AI1867">
        <v>94.850161914882193</v>
      </c>
      <c r="AJ1867">
        <v>76.800658783723193</v>
      </c>
      <c r="AK1867">
        <v>13.133749543448101</v>
      </c>
      <c r="AL1867">
        <v>85.100988716596504</v>
      </c>
      <c r="AM1867">
        <v>83.428455285503205</v>
      </c>
      <c r="AN1867">
        <v>1.0000000019724</v>
      </c>
    </row>
    <row r="1868" spans="1:40" x14ac:dyDescent="0.25">
      <c r="A1868" t="str">
        <f>"20190312150702193"</f>
        <v>20190312150702193</v>
      </c>
      <c r="B1868" t="str">
        <f>"1552374422182013"</f>
        <v>1552374422182013</v>
      </c>
      <c r="C1868" t="s">
        <v>40</v>
      </c>
      <c r="D1868">
        <v>4.3679160000000001</v>
      </c>
      <c r="E1868">
        <v>0.54086269999999903</v>
      </c>
      <c r="F1868" t="s">
        <v>42</v>
      </c>
      <c r="G1868">
        <v>-211.7527</v>
      </c>
      <c r="H1868" s="1">
        <v>-4.6004229999999996E-6</v>
      </c>
      <c r="I1868">
        <v>363.52760000000001</v>
      </c>
      <c r="J1868">
        <v>-224.4298</v>
      </c>
      <c r="K1868">
        <v>1.1104590000000001</v>
      </c>
      <c r="L1868">
        <v>367.12180000000001</v>
      </c>
      <c r="M1868">
        <v>0.99881940000000002</v>
      </c>
      <c r="N1868">
        <v>0</v>
      </c>
      <c r="O1868">
        <v>-4.6695050000000002E-2</v>
      </c>
      <c r="P1868">
        <v>0.98440150000000004</v>
      </c>
      <c r="Q1868">
        <v>7.2385000000000005E-2</v>
      </c>
      <c r="R1868">
        <v>-0.16035569999999999</v>
      </c>
      <c r="S1868">
        <v>2.9318240000000002</v>
      </c>
      <c r="T1868">
        <v>-0.25493369999999999</v>
      </c>
      <c r="U1868">
        <v>-0.826202399999999</v>
      </c>
      <c r="V1868">
        <v>0.1142693</v>
      </c>
      <c r="W1868">
        <v>8.5569339999999994E-2</v>
      </c>
      <c r="X1868">
        <v>0.98975780000000002</v>
      </c>
      <c r="Y1868">
        <v>0.2253733</v>
      </c>
      <c r="Z1868">
        <v>-5.6257210000000002E-3</v>
      </c>
      <c r="AA1868">
        <v>0.97425629999999996</v>
      </c>
      <c r="AB1868">
        <v>18</v>
      </c>
      <c r="AC1868">
        <v>12.6770999999999</v>
      </c>
      <c r="AD1868">
        <v>-1.110463600423</v>
      </c>
      <c r="AE1868">
        <v>-3.5941999999999998</v>
      </c>
      <c r="AF1868">
        <v>2.9771237552781402</v>
      </c>
      <c r="AG1868">
        <v>-1.110463600423</v>
      </c>
      <c r="AH1868">
        <v>12.740629515572</v>
      </c>
      <c r="AI1868">
        <v>94.8512329414325</v>
      </c>
      <c r="AJ1868">
        <v>76.847596525582105</v>
      </c>
      <c r="AK1868">
        <v>13.1308809953929</v>
      </c>
      <c r="AL1868">
        <v>85.091235281872301</v>
      </c>
      <c r="AM1868">
        <v>83.414257673181595</v>
      </c>
      <c r="AN1868">
        <v>1.00000004376568</v>
      </c>
    </row>
    <row r="1869" spans="1:40" x14ac:dyDescent="0.25">
      <c r="A1869" t="str">
        <f>"20190312150702204"</f>
        <v>20190312150702204</v>
      </c>
      <c r="B1869" t="str">
        <f>"1552374422202508"</f>
        <v>1552374422202508</v>
      </c>
      <c r="C1869" t="s">
        <v>40</v>
      </c>
      <c r="D1869">
        <v>4.3714190000000004</v>
      </c>
      <c r="E1869">
        <v>0.54014799999999996</v>
      </c>
      <c r="F1869" t="s">
        <v>42</v>
      </c>
      <c r="G1869">
        <v>-211.55969999999999</v>
      </c>
      <c r="H1869" s="1">
        <v>-4.6878759999999998E-6</v>
      </c>
      <c r="I1869">
        <v>363.50150000000002</v>
      </c>
      <c r="J1869">
        <v>-224.3374</v>
      </c>
      <c r="K1869">
        <v>1.1104639999999999</v>
      </c>
      <c r="L1869">
        <v>367.11709999999999</v>
      </c>
      <c r="M1869">
        <v>0.99880550000000001</v>
      </c>
      <c r="N1869">
        <v>0</v>
      </c>
      <c r="O1869">
        <v>-4.6994420000000002E-2</v>
      </c>
      <c r="P1869">
        <v>0.9843073</v>
      </c>
      <c r="Q1869">
        <v>7.2357160000000004E-2</v>
      </c>
      <c r="R1869">
        <v>-0.160946799999999</v>
      </c>
      <c r="S1869">
        <v>2.9317929999999999</v>
      </c>
      <c r="T1869">
        <v>-0.25296039999999997</v>
      </c>
      <c r="U1869">
        <v>-0.82467649999999904</v>
      </c>
      <c r="V1869">
        <v>0.11456620000000001</v>
      </c>
      <c r="W1869">
        <v>8.5540850000000002E-2</v>
      </c>
      <c r="X1869">
        <v>0.98972590000000005</v>
      </c>
      <c r="Y1869">
        <v>0.2246272</v>
      </c>
      <c r="Z1869">
        <v>-5.5260439999999999E-3</v>
      </c>
      <c r="AA1869">
        <v>0.97442910000000005</v>
      </c>
      <c r="AB1869">
        <v>18</v>
      </c>
      <c r="AC1869">
        <v>12.777699999999999</v>
      </c>
      <c r="AD1869">
        <v>-1.1104686878759999</v>
      </c>
      <c r="AE1869">
        <v>-3.6155999999999699</v>
      </c>
      <c r="AF1869">
        <v>2.9901603657028999</v>
      </c>
      <c r="AG1869">
        <v>-1.1104686878759999</v>
      </c>
      <c r="AH1869">
        <v>12.8436938123766</v>
      </c>
      <c r="AI1869">
        <v>94.813421101435296</v>
      </c>
      <c r="AJ1869">
        <v>76.894332890353596</v>
      </c>
      <c r="AK1869">
        <v>13.2338456415909</v>
      </c>
      <c r="AL1869">
        <v>85.0928734509192</v>
      </c>
      <c r="AM1869">
        <v>83.397086244766498</v>
      </c>
      <c r="AN1869">
        <v>1.00000000416598</v>
      </c>
    </row>
    <row r="1870" spans="1:40" x14ac:dyDescent="0.25">
      <c r="A1870" t="str">
        <f>"20190312150702215"</f>
        <v>20190312150702215</v>
      </c>
      <c r="B1870" t="str">
        <f>"1552374422212269"</f>
        <v>1552374422212269</v>
      </c>
      <c r="C1870" t="s">
        <v>40</v>
      </c>
      <c r="D1870">
        <v>4.3287659999999999</v>
      </c>
      <c r="E1870">
        <v>0.53985360000000004</v>
      </c>
      <c r="F1870" t="s">
        <v>42</v>
      </c>
      <c r="G1870">
        <v>-211.45359999999999</v>
      </c>
      <c r="H1870" s="1">
        <v>-4.7317669999999999E-6</v>
      </c>
      <c r="I1870">
        <v>363.51049999999998</v>
      </c>
      <c r="J1870">
        <v>-224.24639999999999</v>
      </c>
      <c r="K1870">
        <v>1.110466</v>
      </c>
      <c r="L1870">
        <v>367.11239999999998</v>
      </c>
      <c r="M1870">
        <v>0.9987916</v>
      </c>
      <c r="N1870">
        <v>0</v>
      </c>
      <c r="O1870">
        <v>-4.7285849999999997E-2</v>
      </c>
      <c r="P1870">
        <v>0.98417379999999999</v>
      </c>
      <c r="Q1870">
        <v>7.2568709999999995E-2</v>
      </c>
      <c r="R1870">
        <v>-0.1616659</v>
      </c>
      <c r="S1870">
        <v>2.932175</v>
      </c>
      <c r="T1870">
        <v>-0.2527258</v>
      </c>
      <c r="U1870">
        <v>-0.8208008</v>
      </c>
      <c r="V1870">
        <v>0.1150014</v>
      </c>
      <c r="W1870">
        <v>8.5750359999999998E-2</v>
      </c>
      <c r="X1870">
        <v>0.98965729999999996</v>
      </c>
      <c r="Y1870">
        <v>0.22312280000000001</v>
      </c>
      <c r="Z1870">
        <v>-5.4331769999999904E-3</v>
      </c>
      <c r="AA1870">
        <v>0.97477519999999995</v>
      </c>
      <c r="AB1870">
        <v>18</v>
      </c>
      <c r="AC1870">
        <v>12.7928</v>
      </c>
      <c r="AD1870">
        <v>-1.110470731767</v>
      </c>
      <c r="AE1870">
        <v>-3.6019000000000001</v>
      </c>
      <c r="AF1870">
        <v>2.9721473352766301</v>
      </c>
      <c r="AG1870">
        <v>-1.110470731767</v>
      </c>
      <c r="AH1870">
        <v>12.8590456329158</v>
      </c>
      <c r="AI1870">
        <v>94.809478964034597</v>
      </c>
      <c r="AJ1870">
        <v>76.985606576478403</v>
      </c>
      <c r="AK1870">
        <v>13.244691752476299</v>
      </c>
      <c r="AL1870">
        <v>85.080825165720199</v>
      </c>
      <c r="AM1870">
        <v>83.371771316047202</v>
      </c>
      <c r="AN1870">
        <v>1.0000000088426799</v>
      </c>
    </row>
    <row r="1871" spans="1:40" x14ac:dyDescent="0.25">
      <c r="A1871" t="str">
        <f>"20190312150702225"</f>
        <v>20190312150702225</v>
      </c>
      <c r="B1871" t="str">
        <f>"1552374422222030"</f>
        <v>1552374422222030</v>
      </c>
      <c r="C1871" t="s">
        <v>40</v>
      </c>
      <c r="D1871">
        <v>4.3727260000000001</v>
      </c>
      <c r="E1871">
        <v>0.53956680000000001</v>
      </c>
      <c r="F1871" t="s">
        <v>42</v>
      </c>
      <c r="G1871">
        <v>-211.34139999999999</v>
      </c>
      <c r="H1871" s="1">
        <v>-4.78176999999999E-6</v>
      </c>
      <c r="I1871">
        <v>363.50020000000001</v>
      </c>
      <c r="J1871">
        <v>-224.16130000000001</v>
      </c>
      <c r="K1871">
        <v>1.110468</v>
      </c>
      <c r="L1871">
        <v>367.10809999999998</v>
      </c>
      <c r="M1871">
        <v>0.99877870000000002</v>
      </c>
      <c r="N1871">
        <v>0</v>
      </c>
      <c r="O1871">
        <v>-4.7558450000000002E-2</v>
      </c>
      <c r="P1871">
        <v>0.98408700000000005</v>
      </c>
      <c r="Q1871">
        <v>7.2848579999999996E-2</v>
      </c>
      <c r="R1871">
        <v>-0.16206760000000001</v>
      </c>
      <c r="S1871">
        <v>2.9320680000000001</v>
      </c>
      <c r="T1871">
        <v>-0.25230180000000002</v>
      </c>
      <c r="U1871">
        <v>-0.82070919999999903</v>
      </c>
      <c r="V1871">
        <v>0.11513660000000001</v>
      </c>
      <c r="W1871">
        <v>8.6028750000000001E-2</v>
      </c>
      <c r="X1871">
        <v>0.98961739999999998</v>
      </c>
      <c r="Y1871">
        <v>0.2228416</v>
      </c>
      <c r="Z1871">
        <v>-5.3895749999999997E-3</v>
      </c>
      <c r="AA1871">
        <v>0.97483969999999998</v>
      </c>
      <c r="AB1871">
        <v>18</v>
      </c>
      <c r="AC1871">
        <v>12.819900000000001</v>
      </c>
      <c r="AD1871">
        <v>-1.11047278177</v>
      </c>
      <c r="AE1871">
        <v>-3.6078999999999701</v>
      </c>
      <c r="AF1871">
        <v>2.9733948823162901</v>
      </c>
      <c r="AG1871">
        <v>-1.11047278177</v>
      </c>
      <c r="AH1871">
        <v>12.8873925172309</v>
      </c>
      <c r="AI1871">
        <v>94.799389430294198</v>
      </c>
      <c r="AJ1871">
        <v>77.007995140654401</v>
      </c>
      <c r="AK1871">
        <v>13.2724945966617</v>
      </c>
      <c r="AL1871">
        <v>85.064815341340093</v>
      </c>
      <c r="AM1871">
        <v>83.363783211795095</v>
      </c>
      <c r="AN1871">
        <v>0.99999999043444099</v>
      </c>
    </row>
    <row r="1872" spans="1:40" x14ac:dyDescent="0.25">
      <c r="A1872" t="str">
        <f>"20190312150702236"</f>
        <v>20190312150702236</v>
      </c>
      <c r="B1872" t="str">
        <f>"1552374422231789"</f>
        <v>1552374422231789</v>
      </c>
      <c r="C1872" t="s">
        <v>40</v>
      </c>
      <c r="D1872">
        <v>4.343547</v>
      </c>
      <c r="E1872">
        <v>0.5392865</v>
      </c>
      <c r="F1872" t="s">
        <v>42</v>
      </c>
      <c r="G1872">
        <v>-211.1473</v>
      </c>
      <c r="H1872" s="1">
        <v>-4.8702840000000002E-6</v>
      </c>
      <c r="I1872">
        <v>363.47059999999999</v>
      </c>
      <c r="J1872">
        <v>-224.07040000000001</v>
      </c>
      <c r="K1872">
        <v>1.1104689999999999</v>
      </c>
      <c r="L1872">
        <v>367.10340000000002</v>
      </c>
      <c r="M1872">
        <v>0.99876489999999996</v>
      </c>
      <c r="N1872">
        <v>0</v>
      </c>
      <c r="O1872">
        <v>-4.7849910000000002E-2</v>
      </c>
      <c r="P1872">
        <v>0.98399040000000004</v>
      </c>
      <c r="Q1872">
        <v>7.301059E-2</v>
      </c>
      <c r="R1872">
        <v>-0.1625818</v>
      </c>
      <c r="S1872">
        <v>2.9320529999999998</v>
      </c>
      <c r="T1872">
        <v>-0.25018839999999998</v>
      </c>
      <c r="U1872">
        <v>-0.819519</v>
      </c>
      <c r="V1872">
        <v>0.115366</v>
      </c>
      <c r="W1872">
        <v>8.6188849999999997E-2</v>
      </c>
      <c r="X1872">
        <v>0.98957680000000003</v>
      </c>
      <c r="Y1872">
        <v>0.2222044</v>
      </c>
      <c r="Z1872">
        <v>-5.2939950000000001E-3</v>
      </c>
      <c r="AA1872">
        <v>0.97498569999999996</v>
      </c>
      <c r="AB1872">
        <v>18</v>
      </c>
      <c r="AC1872">
        <v>12.9231</v>
      </c>
      <c r="AD1872">
        <v>-1.110473870284</v>
      </c>
      <c r="AE1872">
        <v>-3.6328000000000298</v>
      </c>
      <c r="AF1872">
        <v>2.9897542876921999</v>
      </c>
      <c r="AG1872">
        <v>-1.110473870284</v>
      </c>
      <c r="AH1872">
        <v>12.993225197849901</v>
      </c>
      <c r="AI1872">
        <v>94.761125444787893</v>
      </c>
      <c r="AJ1872">
        <v>77.041738740442</v>
      </c>
      <c r="AK1872">
        <v>13.378926861277</v>
      </c>
      <c r="AL1872">
        <v>85.055608321894496</v>
      </c>
      <c r="AM1872">
        <v>83.350409027762495</v>
      </c>
      <c r="AN1872">
        <v>1.0000000374592799</v>
      </c>
    </row>
    <row r="1873" spans="1:40" x14ac:dyDescent="0.25">
      <c r="A1873" t="str">
        <f>"20190312150702247"</f>
        <v>20190312150702247</v>
      </c>
      <c r="B1873" t="str">
        <f>"1552374422242525"</f>
        <v>1552374422242525</v>
      </c>
      <c r="C1873" t="s">
        <v>40</v>
      </c>
      <c r="D1873">
        <v>4.3495269999999904</v>
      </c>
      <c r="E1873">
        <v>0.539049</v>
      </c>
      <c r="F1873" t="s">
        <v>42</v>
      </c>
      <c r="G1873">
        <v>-211.04589999999999</v>
      </c>
      <c r="H1873" s="1">
        <v>-4.9146780000000004E-6</v>
      </c>
      <c r="I1873">
        <v>363.46550000000002</v>
      </c>
      <c r="J1873">
        <v>-223.989</v>
      </c>
      <c r="K1873">
        <v>1.110473</v>
      </c>
      <c r="L1873">
        <v>367.0992</v>
      </c>
      <c r="M1873">
        <v>0.99875239999999998</v>
      </c>
      <c r="N1873">
        <v>0</v>
      </c>
      <c r="O1873">
        <v>-4.8111340000000002E-2</v>
      </c>
      <c r="P1873">
        <v>0.98387100000000005</v>
      </c>
      <c r="Q1873">
        <v>7.3186219999999996E-2</v>
      </c>
      <c r="R1873">
        <v>-0.1632237</v>
      </c>
      <c r="S1873">
        <v>2.9320369999999998</v>
      </c>
      <c r="T1873">
        <v>-0.2499847</v>
      </c>
      <c r="U1873">
        <v>-0.81893919999999998</v>
      </c>
      <c r="V1873">
        <v>0.115754</v>
      </c>
      <c r="W1873">
        <v>8.6361759999999996E-2</v>
      </c>
      <c r="X1873">
        <v>0.98951639999999996</v>
      </c>
      <c r="Y1873">
        <v>0.221775</v>
      </c>
      <c r="Z1873">
        <v>-5.2501809999999996E-3</v>
      </c>
      <c r="AA1873">
        <v>0.97508379999999995</v>
      </c>
      <c r="AB1873">
        <v>18</v>
      </c>
      <c r="AC1873">
        <v>12.943099999999999</v>
      </c>
      <c r="AD1873">
        <v>-1.1104779146779999</v>
      </c>
      <c r="AE1873">
        <v>-3.63369999999997</v>
      </c>
      <c r="AF1873">
        <v>2.9863489429660599</v>
      </c>
      <c r="AG1873">
        <v>-1.1104779146779999</v>
      </c>
      <c r="AH1873">
        <v>13.0141471453429</v>
      </c>
      <c r="AI1873">
        <v>94.754175960238399</v>
      </c>
      <c r="AJ1873">
        <v>77.0761108539145</v>
      </c>
      <c r="AK1873">
        <v>13.398487494071</v>
      </c>
      <c r="AL1873">
        <v>85.045664163919795</v>
      </c>
      <c r="AM1873">
        <v>83.327842768209095</v>
      </c>
      <c r="AN1873">
        <v>1.0000000239876199</v>
      </c>
    </row>
    <row r="1874" spans="1:40" x14ac:dyDescent="0.25">
      <c r="A1874" t="str">
        <f>"20190312150702259"</f>
        <v>20190312150702259</v>
      </c>
      <c r="B1874" t="str">
        <f>"1552374422252285"</f>
        <v>1552374422252285</v>
      </c>
      <c r="C1874" t="s">
        <v>40</v>
      </c>
      <c r="D1874">
        <v>4.3784099999999997</v>
      </c>
      <c r="E1874">
        <v>0.53880569999999905</v>
      </c>
      <c r="F1874" t="s">
        <v>42</v>
      </c>
      <c r="G1874">
        <v>-210.94890000000001</v>
      </c>
      <c r="H1874" s="1">
        <v>-4.9576980000000004E-6</v>
      </c>
      <c r="I1874">
        <v>363.45760000000001</v>
      </c>
      <c r="J1874">
        <v>-223.89340000000001</v>
      </c>
      <c r="K1874">
        <v>1.1104689999999999</v>
      </c>
      <c r="L1874">
        <v>367.0942</v>
      </c>
      <c r="M1874">
        <v>0.99873749999999994</v>
      </c>
      <c r="N1874">
        <v>0</v>
      </c>
      <c r="O1874">
        <v>-4.8419520000000001E-2</v>
      </c>
      <c r="P1874">
        <v>0.98376300000000005</v>
      </c>
      <c r="Q1874">
        <v>7.3389940000000001E-2</v>
      </c>
      <c r="R1874">
        <v>-0.16378229999999999</v>
      </c>
      <c r="S1874">
        <v>2.9319000000000002</v>
      </c>
      <c r="T1874">
        <v>-0.2496748</v>
      </c>
      <c r="U1874">
        <v>-0.81875609999999999</v>
      </c>
      <c r="V1874">
        <v>0.1160124</v>
      </c>
      <c r="W1874">
        <v>8.6563180000000003E-2</v>
      </c>
      <c r="X1874">
        <v>0.98946849999999997</v>
      </c>
      <c r="Y1874">
        <v>0.22143299999999999</v>
      </c>
      <c r="Z1874">
        <v>-5.2041079999999998E-3</v>
      </c>
      <c r="AA1874">
        <v>0.97516170000000002</v>
      </c>
      <c r="AB1874">
        <v>18</v>
      </c>
      <c r="AC1874">
        <v>12.9445</v>
      </c>
      <c r="AD1874">
        <v>-1.1104739576980001</v>
      </c>
      <c r="AE1874">
        <v>-3.6365999999999801</v>
      </c>
      <c r="AF1874">
        <v>2.9851492494919398</v>
      </c>
      <c r="AG1874">
        <v>-1.1104739576980001</v>
      </c>
      <c r="AH1874">
        <v>13.016624975741999</v>
      </c>
      <c r="AI1874">
        <v>94.753398328545401</v>
      </c>
      <c r="AJ1874">
        <v>77.083505229824098</v>
      </c>
      <c r="AK1874">
        <v>13.400626635033801</v>
      </c>
      <c r="AL1874">
        <v>85.034080082645502</v>
      </c>
      <c r="AM1874">
        <v>83.312762329872001</v>
      </c>
      <c r="AN1874">
        <v>0.99999998678886104</v>
      </c>
    </row>
    <row r="1875" spans="1:40" x14ac:dyDescent="0.25">
      <c r="A1875" t="str">
        <f>"20190312150702269"</f>
        <v>20190312150702269</v>
      </c>
      <c r="B1875" t="str">
        <f>"1552374422262045"</f>
        <v>1552374422262045</v>
      </c>
      <c r="C1875" t="s">
        <v>40</v>
      </c>
      <c r="D1875">
        <v>4.3941420000000004</v>
      </c>
      <c r="E1875">
        <v>0.53855679999999995</v>
      </c>
      <c r="F1875" t="s">
        <v>42</v>
      </c>
      <c r="G1875">
        <v>-210.78039999999999</v>
      </c>
      <c r="H1875" s="1">
        <v>-5.0342510000000004E-6</v>
      </c>
      <c r="I1875">
        <v>363.43349999999998</v>
      </c>
      <c r="J1875">
        <v>-223.8015</v>
      </c>
      <c r="K1875">
        <v>1.110466</v>
      </c>
      <c r="L1875">
        <v>367.08940000000001</v>
      </c>
      <c r="M1875">
        <v>0.99872289999999997</v>
      </c>
      <c r="N1875">
        <v>0</v>
      </c>
      <c r="O1875">
        <v>-4.871818E-2</v>
      </c>
      <c r="P1875">
        <v>0.98367230000000005</v>
      </c>
      <c r="Q1875">
        <v>7.3523050000000006E-2</v>
      </c>
      <c r="R1875">
        <v>-0.16426479999999999</v>
      </c>
      <c r="S1875">
        <v>2.931778</v>
      </c>
      <c r="T1875">
        <v>-0.2482751</v>
      </c>
      <c r="U1875">
        <v>-0.81845089999999998</v>
      </c>
      <c r="V1875">
        <v>0.11620320000000001</v>
      </c>
      <c r="W1875">
        <v>8.6693820000000005E-2</v>
      </c>
      <c r="X1875">
        <v>0.9894347</v>
      </c>
      <c r="Y1875">
        <v>0.2210664</v>
      </c>
      <c r="Z1875">
        <v>-5.135428E-3</v>
      </c>
      <c r="AA1875">
        <v>0.97524520000000003</v>
      </c>
      <c r="AB1875">
        <v>18</v>
      </c>
      <c r="AC1875">
        <v>13.021100000000001</v>
      </c>
      <c r="AD1875">
        <v>-1.110471034251</v>
      </c>
      <c r="AE1875">
        <v>-3.6559000000000301</v>
      </c>
      <c r="AF1875">
        <v>2.9969327042206801</v>
      </c>
      <c r="AG1875">
        <v>-1.110471034251</v>
      </c>
      <c r="AH1875">
        <v>13.095475193417601</v>
      </c>
      <c r="AI1875">
        <v>94.725387374576698</v>
      </c>
      <c r="AJ1875">
        <v>77.109692813038393</v>
      </c>
      <c r="AK1875">
        <v>13.479845032230701</v>
      </c>
      <c r="AL1875">
        <v>85.026566851675099</v>
      </c>
      <c r="AM1875">
        <v>83.301637268457796</v>
      </c>
      <c r="AN1875">
        <v>1.00000001384026</v>
      </c>
    </row>
    <row r="1876" spans="1:40" x14ac:dyDescent="0.25">
      <c r="A1876" t="str">
        <f>"20190312150702281"</f>
        <v>20190312150702281</v>
      </c>
      <c r="B1876" t="str">
        <f>"1552374422271805"</f>
        <v>1552374422271805</v>
      </c>
      <c r="C1876" t="s">
        <v>40</v>
      </c>
      <c r="D1876">
        <v>4.3802120000000002</v>
      </c>
      <c r="E1876">
        <v>0.53833249999999999</v>
      </c>
      <c r="F1876" t="s">
        <v>42</v>
      </c>
      <c r="G1876">
        <v>-210.5994</v>
      </c>
      <c r="H1876" s="1">
        <v>-5.1166409999999999E-6</v>
      </c>
      <c r="I1876">
        <v>363.4067</v>
      </c>
      <c r="J1876">
        <v>-223.7081</v>
      </c>
      <c r="K1876">
        <v>1.110465</v>
      </c>
      <c r="L1876">
        <v>367.08449999999999</v>
      </c>
      <c r="M1876">
        <v>0.99870800000000004</v>
      </c>
      <c r="N1876">
        <v>0</v>
      </c>
      <c r="O1876">
        <v>-4.9023509999999999E-2</v>
      </c>
      <c r="P1876">
        <v>0.98362669999999996</v>
      </c>
      <c r="Q1876">
        <v>7.3554679999999997E-2</v>
      </c>
      <c r="R1876">
        <v>-0.16452520000000001</v>
      </c>
      <c r="S1876">
        <v>2.9316710000000001</v>
      </c>
      <c r="T1876">
        <v>-0.24659200000000001</v>
      </c>
      <c r="U1876">
        <v>-0.81777949999999999</v>
      </c>
      <c r="V1876">
        <v>0.1161634</v>
      </c>
      <c r="W1876">
        <v>8.672328E-2</v>
      </c>
      <c r="X1876">
        <v>0.98943669999999995</v>
      </c>
      <c r="Y1876">
        <v>0.22058040000000001</v>
      </c>
      <c r="Z1876">
        <v>-5.055978E-3</v>
      </c>
      <c r="AA1876">
        <v>0.97535570000000005</v>
      </c>
      <c r="AB1876">
        <v>18</v>
      </c>
      <c r="AC1876">
        <v>13.108700000000001</v>
      </c>
      <c r="AD1876">
        <v>-1.110470116641</v>
      </c>
      <c r="AE1876">
        <v>-3.6777999999999902</v>
      </c>
      <c r="AF1876">
        <v>3.0106565666056899</v>
      </c>
      <c r="AG1876">
        <v>-1.110470116641</v>
      </c>
      <c r="AH1876">
        <v>13.1855330550862</v>
      </c>
      <c r="AI1876">
        <v>94.693783659055299</v>
      </c>
      <c r="AJ1876">
        <v>77.138129443840697</v>
      </c>
      <c r="AK1876">
        <v>13.5703897802815</v>
      </c>
      <c r="AL1876">
        <v>85.024872083941105</v>
      </c>
      <c r="AM1876">
        <v>83.303924056644902</v>
      </c>
      <c r="AN1876">
        <v>0.99999992305020102</v>
      </c>
    </row>
    <row r="1877" spans="1:40" x14ac:dyDescent="0.25">
      <c r="A1877" t="str">
        <f>"20190312150702295"</f>
        <v>20190312150702295</v>
      </c>
      <c r="B1877" t="str">
        <f>"1552374422282543"</f>
        <v>1552374422282543</v>
      </c>
      <c r="C1877" t="s">
        <v>40</v>
      </c>
      <c r="D1877">
        <v>4.3054309999999996</v>
      </c>
      <c r="E1877">
        <v>0.53812329999999997</v>
      </c>
      <c r="F1877" t="s">
        <v>42</v>
      </c>
      <c r="G1877">
        <v>-210.4511</v>
      </c>
      <c r="H1877" s="1">
        <v>-5.183438E-6</v>
      </c>
      <c r="I1877">
        <v>363.38889999999998</v>
      </c>
      <c r="J1877">
        <v>-223.60300000000001</v>
      </c>
      <c r="K1877">
        <v>1.1104540000000001</v>
      </c>
      <c r="L1877">
        <v>367.07889999999998</v>
      </c>
      <c r="M1877">
        <v>0.998691</v>
      </c>
      <c r="N1877">
        <v>0</v>
      </c>
      <c r="O1877">
        <v>-4.9370099999999903E-2</v>
      </c>
      <c r="P1877">
        <v>0.98346889999999998</v>
      </c>
      <c r="Q1877">
        <v>7.3860220000000004E-2</v>
      </c>
      <c r="R1877">
        <v>-0.16532929999999901</v>
      </c>
      <c r="S1877">
        <v>2.9315799999999999</v>
      </c>
      <c r="T1877">
        <v>-0.24556159999999999</v>
      </c>
      <c r="U1877">
        <v>-0.81723020000000002</v>
      </c>
      <c r="V1877">
        <v>0.1166319</v>
      </c>
      <c r="W1877">
        <v>8.7025399999999906E-2</v>
      </c>
      <c r="X1877">
        <v>0.98935510000000004</v>
      </c>
      <c r="Y1877">
        <v>0.22008759999999999</v>
      </c>
      <c r="Z1877">
        <v>-4.9866520000000003E-3</v>
      </c>
      <c r="AA1877">
        <v>0.97546739999999998</v>
      </c>
      <c r="AB1877">
        <v>18</v>
      </c>
      <c r="AC1877">
        <v>13.1518999999999</v>
      </c>
      <c r="AD1877">
        <v>-1.110459183438</v>
      </c>
      <c r="AE1877">
        <v>-3.6899999999999902</v>
      </c>
      <c r="AF1877">
        <v>3.0161974023325202</v>
      </c>
      <c r="AG1877">
        <v>-1.110459183438</v>
      </c>
      <c r="AH1877">
        <v>13.2306130683445</v>
      </c>
      <c r="AI1877">
        <v>94.678178779999996</v>
      </c>
      <c r="AJ1877">
        <v>77.157691238533502</v>
      </c>
      <c r="AK1877">
        <v>13.6154209825539</v>
      </c>
      <c r="AL1877">
        <v>85.007496408760304</v>
      </c>
      <c r="AM1877">
        <v>83.276615324712296</v>
      </c>
      <c r="AN1877">
        <v>0.99999996711938899</v>
      </c>
    </row>
    <row r="1878" spans="1:40" x14ac:dyDescent="0.25">
      <c r="A1878" t="str">
        <f>"20190312150702309"</f>
        <v>20190312150702309</v>
      </c>
      <c r="B1878" t="str">
        <f>"1552374422302061"</f>
        <v>1552374422302061</v>
      </c>
      <c r="C1878" t="s">
        <v>40</v>
      </c>
      <c r="D1878">
        <v>4.3440510000000003</v>
      </c>
      <c r="E1878">
        <v>0.53773579999999999</v>
      </c>
      <c r="F1878" t="s">
        <v>42</v>
      </c>
      <c r="G1878">
        <v>-210.33619999999999</v>
      </c>
      <c r="H1878" s="1">
        <v>-5.2347850000000001E-6</v>
      </c>
      <c r="I1878">
        <v>363.37740000000002</v>
      </c>
      <c r="J1878">
        <v>-223.48410000000001</v>
      </c>
      <c r="K1878">
        <v>1.1104510000000001</v>
      </c>
      <c r="L1878">
        <v>367.07260000000002</v>
      </c>
      <c r="M1878">
        <v>0.99867139999999999</v>
      </c>
      <c r="N1878">
        <v>0</v>
      </c>
      <c r="O1878">
        <v>-4.9764969999999999E-2</v>
      </c>
      <c r="P1878">
        <v>0.9834117</v>
      </c>
      <c r="Q1878">
        <v>7.360746E-2</v>
      </c>
      <c r="R1878">
        <v>-0.16578180000000001</v>
      </c>
      <c r="S1878">
        <v>2.9313660000000001</v>
      </c>
      <c r="T1878">
        <v>-0.24535889999999999</v>
      </c>
      <c r="U1878">
        <v>-0.81787109999999996</v>
      </c>
      <c r="V1878">
        <v>0.1166956</v>
      </c>
      <c r="W1878">
        <v>8.6769830000000006E-2</v>
      </c>
      <c r="X1878">
        <v>0.98936999999999997</v>
      </c>
      <c r="Y1878">
        <v>0.2199209</v>
      </c>
      <c r="Z1878">
        <v>-4.9436840000000003E-3</v>
      </c>
      <c r="AA1878">
        <v>0.97550519999999996</v>
      </c>
      <c r="AB1878">
        <v>18</v>
      </c>
      <c r="AC1878">
        <v>13.1479</v>
      </c>
      <c r="AD1878">
        <v>-1.110456234785</v>
      </c>
      <c r="AE1878">
        <v>-3.6951999999999998</v>
      </c>
      <c r="AF1878">
        <v>3.0163161368835798</v>
      </c>
      <c r="AG1878">
        <v>-1.110456234785</v>
      </c>
      <c r="AH1878">
        <v>13.228062260978801</v>
      </c>
      <c r="AI1878">
        <v>94.679011068801998</v>
      </c>
      <c r="AJ1878">
        <v>77.1548080855584</v>
      </c>
      <c r="AK1878">
        <v>13.6129683488697</v>
      </c>
      <c r="AL1878">
        <v>85.022194916278096</v>
      </c>
      <c r="AM1878">
        <v>83.273077287338893</v>
      </c>
      <c r="AN1878">
        <v>0.99999993167879198</v>
      </c>
    </row>
    <row r="1879" spans="1:40" x14ac:dyDescent="0.25">
      <c r="A1879" t="str">
        <f>"20190312150702325"</f>
        <v>20190312150702325</v>
      </c>
      <c r="B1879" t="str">
        <f>"1552374422321581"</f>
        <v>1552374422321581</v>
      </c>
      <c r="C1879" t="s">
        <v>40</v>
      </c>
      <c r="D1879">
        <v>4.8442449999999999</v>
      </c>
      <c r="E1879">
        <v>0.53738549999999996</v>
      </c>
      <c r="F1879" t="s">
        <v>42</v>
      </c>
      <c r="G1879">
        <v>-210.27979999999999</v>
      </c>
      <c r="H1879" s="1">
        <v>-5.255773E-6</v>
      </c>
      <c r="I1879">
        <v>363.3954</v>
      </c>
      <c r="J1879">
        <v>-223.3544</v>
      </c>
      <c r="K1879">
        <v>1.1104510000000001</v>
      </c>
      <c r="L1879">
        <v>367.06560000000002</v>
      </c>
      <c r="M1879">
        <v>0.99864969999999997</v>
      </c>
      <c r="N1879">
        <v>0</v>
      </c>
      <c r="O1879">
        <v>-5.0199649999999998E-2</v>
      </c>
      <c r="P1879">
        <v>0.98327679999999995</v>
      </c>
      <c r="Q1879">
        <v>7.3665339999999996E-2</v>
      </c>
      <c r="R1879">
        <v>-0.16655510000000001</v>
      </c>
      <c r="S1879">
        <v>2.9314269999999998</v>
      </c>
      <c r="T1879">
        <v>-0.24652470000000001</v>
      </c>
      <c r="U1879">
        <v>-0.81634519999999899</v>
      </c>
      <c r="V1879">
        <v>0.1170445</v>
      </c>
      <c r="W1879">
        <v>8.6824470000000001E-2</v>
      </c>
      <c r="X1879">
        <v>0.98932410000000004</v>
      </c>
      <c r="Y1879">
        <v>0.21901889999999999</v>
      </c>
      <c r="Z1879">
        <v>-4.8945020000000002E-3</v>
      </c>
      <c r="AA1879">
        <v>0.97570840000000003</v>
      </c>
      <c r="AB1879">
        <v>18</v>
      </c>
      <c r="AC1879">
        <v>13.0746</v>
      </c>
      <c r="AD1879">
        <v>-1.110456255773</v>
      </c>
      <c r="AE1879">
        <v>-3.6702000000000199</v>
      </c>
      <c r="AF1879">
        <v>2.9891852852982699</v>
      </c>
      <c r="AG1879">
        <v>-1.110456255773</v>
      </c>
      <c r="AH1879">
        <v>13.154413542216099</v>
      </c>
      <c r="AI1879">
        <v>94.705887298374194</v>
      </c>
      <c r="AJ1879">
        <v>77.197614927485105</v>
      </c>
      <c r="AK1879">
        <v>13.535395724007</v>
      </c>
      <c r="AL1879">
        <v>85.019052951828002</v>
      </c>
      <c r="AM1879">
        <v>83.252839929745804</v>
      </c>
      <c r="AN1879">
        <v>1.0000000392059101</v>
      </c>
    </row>
    <row r="1880" spans="1:40" x14ac:dyDescent="0.25">
      <c r="A1880" t="str">
        <f>"20190312150702339"</f>
        <v>20190312150702339</v>
      </c>
      <c r="B1880" t="str">
        <f>"1552374422332317"</f>
        <v>1552374422332317</v>
      </c>
      <c r="C1880" t="s">
        <v>40</v>
      </c>
      <c r="D1880">
        <v>4.3452260000000003</v>
      </c>
      <c r="E1880">
        <v>0.53719510000000004</v>
      </c>
      <c r="F1880" t="s">
        <v>42</v>
      </c>
      <c r="G1880">
        <v>-209.9708</v>
      </c>
      <c r="H1880" s="1">
        <v>-5.3977089999999996E-6</v>
      </c>
      <c r="I1880">
        <v>363.3424</v>
      </c>
      <c r="J1880">
        <v>-223.24359999999999</v>
      </c>
      <c r="K1880">
        <v>1.1104480000000001</v>
      </c>
      <c r="L1880">
        <v>367.05959999999999</v>
      </c>
      <c r="M1880">
        <v>0.99863060000000003</v>
      </c>
      <c r="N1880">
        <v>0</v>
      </c>
      <c r="O1880">
        <v>-5.0574239999999999E-2</v>
      </c>
      <c r="P1880">
        <v>0.98321959999999997</v>
      </c>
      <c r="Q1880">
        <v>7.3580060000000003E-2</v>
      </c>
      <c r="R1880">
        <v>-0.16692979999999999</v>
      </c>
      <c r="S1880">
        <v>2.9310909999999999</v>
      </c>
      <c r="T1880">
        <v>-0.24319560000000001</v>
      </c>
      <c r="U1880">
        <v>-0.81539919999999899</v>
      </c>
      <c r="V1880">
        <v>0.1170506</v>
      </c>
      <c r="W1880">
        <v>8.6737060000000005E-2</v>
      </c>
      <c r="X1880">
        <v>0.98933099999999996</v>
      </c>
      <c r="Y1880">
        <v>0.2184073</v>
      </c>
      <c r="Z1880">
        <v>-4.7741679999999996E-3</v>
      </c>
      <c r="AA1880">
        <v>0.97584610000000005</v>
      </c>
      <c r="AB1880">
        <v>18</v>
      </c>
      <c r="AC1880">
        <v>13.272799999999901</v>
      </c>
      <c r="AD1880">
        <v>-1.1104533977090001</v>
      </c>
      <c r="AE1880">
        <v>-3.7171999999999898</v>
      </c>
      <c r="AF1880">
        <v>3.0215090755602301</v>
      </c>
      <c r="AG1880">
        <v>-1.1104533977090001</v>
      </c>
      <c r="AH1880">
        <v>13.3571280451107</v>
      </c>
      <c r="AI1880">
        <v>94.635793804382104</v>
      </c>
      <c r="AJ1880">
        <v>77.253674337231303</v>
      </c>
      <c r="AK1880">
        <v>13.7395594345546</v>
      </c>
      <c r="AL1880">
        <v>85.024079915864206</v>
      </c>
      <c r="AM1880">
        <v>83.252538156624595</v>
      </c>
      <c r="AN1880">
        <v>0.99999999404940099</v>
      </c>
    </row>
    <row r="1881" spans="1:40" x14ac:dyDescent="0.25">
      <c r="A1881" t="str">
        <f>"20190312150702349"</f>
        <v>20190312150702349</v>
      </c>
      <c r="B1881" t="str">
        <f>"1552374422342077"</f>
        <v>1552374422342077</v>
      </c>
      <c r="C1881" t="s">
        <v>40</v>
      </c>
      <c r="D1881">
        <v>5.194706</v>
      </c>
      <c r="E1881">
        <v>0.53702659999999902</v>
      </c>
      <c r="F1881" t="s">
        <v>49</v>
      </c>
      <c r="G1881">
        <v>-209.75649999999999</v>
      </c>
      <c r="H1881" s="1">
        <v>-6.1886219999999997E-6</v>
      </c>
      <c r="I1881">
        <v>363.30950000000001</v>
      </c>
      <c r="J1881">
        <v>-223.15549999999999</v>
      </c>
      <c r="K1881">
        <v>1.110447</v>
      </c>
      <c r="L1881">
        <v>367.0548</v>
      </c>
      <c r="M1881">
        <v>0.99861560000000005</v>
      </c>
      <c r="N1881">
        <v>0</v>
      </c>
      <c r="O1881">
        <v>-5.0873000000000002E-2</v>
      </c>
      <c r="P1881">
        <v>0.98318819999999996</v>
      </c>
      <c r="Q1881">
        <v>7.3370050000000006E-2</v>
      </c>
      <c r="R1881">
        <v>-0.1672051</v>
      </c>
      <c r="S1881">
        <v>2.9308779999999999</v>
      </c>
      <c r="T1881">
        <v>-0.24131269999999999</v>
      </c>
      <c r="U1881">
        <v>-0.81494140000000004</v>
      </c>
      <c r="V1881">
        <v>0.1170315</v>
      </c>
      <c r="W1881">
        <v>8.6526130000000007E-2</v>
      </c>
      <c r="X1881">
        <v>0.98935169999999995</v>
      </c>
      <c r="Y1881">
        <v>0.21800249999999999</v>
      </c>
      <c r="Z1881">
        <v>-4.6974240000000004E-3</v>
      </c>
      <c r="AA1881">
        <v>0.9759369</v>
      </c>
      <c r="AB1881">
        <v>18</v>
      </c>
      <c r="AC1881">
        <v>13.398999999999999</v>
      </c>
      <c r="AD1881">
        <v>-1.1104531886219999</v>
      </c>
      <c r="AE1881">
        <v>-3.7452999999999799</v>
      </c>
      <c r="AF1881">
        <v>3.0393783562072598</v>
      </c>
      <c r="AG1881">
        <v>-1.1104531886219999</v>
      </c>
      <c r="AH1881">
        <v>13.486282223010701</v>
      </c>
      <c r="AI1881">
        <v>94.592414508952501</v>
      </c>
      <c r="AJ1881">
        <v>77.299541530973102</v>
      </c>
      <c r="AK1881">
        <v>13.869056755057199</v>
      </c>
      <c r="AL1881">
        <v>85.036210776362694</v>
      </c>
      <c r="AM1881">
        <v>83.253768891834198</v>
      </c>
      <c r="AN1881">
        <v>0.99999996472895702</v>
      </c>
    </row>
    <row r="1882" spans="1:40" x14ac:dyDescent="0.25">
      <c r="A1882" t="str">
        <f>"20190312150702360"</f>
        <v>20190312150702360</v>
      </c>
      <c r="B1882" t="str">
        <f>"1552374422351837"</f>
        <v>1552374422351837</v>
      </c>
      <c r="C1882" t="s">
        <v>40</v>
      </c>
      <c r="D1882">
        <v>4.2970629999999996</v>
      </c>
      <c r="E1882">
        <v>0.53687739999999995</v>
      </c>
      <c r="F1882" t="s">
        <v>49</v>
      </c>
      <c r="G1882">
        <v>-209.62610000000001</v>
      </c>
      <c r="H1882" s="1">
        <v>-6.1472929999999996E-6</v>
      </c>
      <c r="I1882">
        <v>363.29469999999998</v>
      </c>
      <c r="J1882">
        <v>-223.0677</v>
      </c>
      <c r="K1882">
        <v>1.110436</v>
      </c>
      <c r="L1882">
        <v>367.05</v>
      </c>
      <c r="M1882">
        <v>0.99860040000000005</v>
      </c>
      <c r="N1882">
        <v>0</v>
      </c>
      <c r="O1882">
        <v>-5.1171750000000002E-2</v>
      </c>
      <c r="P1882">
        <v>0.98316130000000002</v>
      </c>
      <c r="Q1882">
        <v>7.3270080000000001E-2</v>
      </c>
      <c r="R1882">
        <v>-0.16740859999999999</v>
      </c>
      <c r="S1882">
        <v>2.9307400000000001</v>
      </c>
      <c r="T1882">
        <v>-0.24054710000000001</v>
      </c>
      <c r="U1882">
        <v>-0.81451419999999997</v>
      </c>
      <c r="V1882">
        <v>0.11694010000000001</v>
      </c>
      <c r="W1882">
        <v>8.6424459999999995E-2</v>
      </c>
      <c r="X1882">
        <v>0.98937140000000001</v>
      </c>
      <c r="Y1882">
        <v>0.21759580000000001</v>
      </c>
      <c r="Z1882">
        <v>-4.6425870000000001E-3</v>
      </c>
      <c r="AA1882">
        <v>0.97602800000000001</v>
      </c>
      <c r="AB1882">
        <v>18</v>
      </c>
      <c r="AC1882">
        <v>13.4415999999999</v>
      </c>
      <c r="AD1882">
        <v>-1.1104421472929999</v>
      </c>
      <c r="AE1882">
        <v>-3.7553000000000298</v>
      </c>
      <c r="AF1882">
        <v>3.04322187485525</v>
      </c>
      <c r="AG1882">
        <v>-1.1104421472929999</v>
      </c>
      <c r="AH1882">
        <v>13.530511754587501</v>
      </c>
      <c r="AI1882">
        <v>94.577863170381207</v>
      </c>
      <c r="AJ1882">
        <v>77.324224559597695</v>
      </c>
      <c r="AK1882">
        <v>13.912908735527401</v>
      </c>
      <c r="AL1882">
        <v>85.042057971693296</v>
      </c>
      <c r="AM1882">
        <v>83.259122090760599</v>
      </c>
      <c r="AN1882">
        <v>0.99999997070613</v>
      </c>
    </row>
    <row r="1883" spans="1:40" x14ac:dyDescent="0.25">
      <c r="A1883" t="str">
        <f>"20190312150702370"</f>
        <v>20190312150702370</v>
      </c>
      <c r="B1883" t="str">
        <f>"1552374422361596"</f>
        <v>1552374422361596</v>
      </c>
      <c r="C1883" t="s">
        <v>40</v>
      </c>
      <c r="D1883">
        <v>4.3098020000000004</v>
      </c>
      <c r="E1883">
        <v>0.53672559999999903</v>
      </c>
      <c r="F1883" t="s">
        <v>49</v>
      </c>
      <c r="G1883">
        <v>-209.4821</v>
      </c>
      <c r="H1883" s="1">
        <v>-6.1019269999999997E-6</v>
      </c>
      <c r="I1883">
        <v>363.27659999999997</v>
      </c>
      <c r="J1883">
        <v>-222.98419999999999</v>
      </c>
      <c r="K1883">
        <v>1.1104350000000001</v>
      </c>
      <c r="L1883">
        <v>367.04539999999997</v>
      </c>
      <c r="M1883">
        <v>0.99858570000000002</v>
      </c>
      <c r="N1883">
        <v>0</v>
      </c>
      <c r="O1883">
        <v>-5.1456899999999903E-2</v>
      </c>
      <c r="P1883">
        <v>0.98310240000000004</v>
      </c>
      <c r="Q1883">
        <v>7.3195220000000005E-2</v>
      </c>
      <c r="R1883">
        <v>-0.16778709999999999</v>
      </c>
      <c r="S1883">
        <v>2.9306030000000001</v>
      </c>
      <c r="T1883">
        <v>-0.23953720000000001</v>
      </c>
      <c r="U1883">
        <v>-0.81399540000000004</v>
      </c>
      <c r="V1883">
        <v>0.1170385</v>
      </c>
      <c r="W1883">
        <v>8.6348939999999999E-2</v>
      </c>
      <c r="X1883">
        <v>0.98936639999999998</v>
      </c>
      <c r="Y1883">
        <v>0.2171749</v>
      </c>
      <c r="Z1883">
        <v>-4.5838770000000001E-3</v>
      </c>
      <c r="AA1883">
        <v>0.97612200000000005</v>
      </c>
      <c r="AB1883">
        <v>18</v>
      </c>
      <c r="AC1883">
        <v>13.502099999999899</v>
      </c>
      <c r="AD1883">
        <v>-1.110441101927</v>
      </c>
      <c r="AE1883">
        <v>-3.7687999999999899</v>
      </c>
      <c r="AF1883">
        <v>3.0498306251338301</v>
      </c>
      <c r="AG1883">
        <v>-1.110441101927</v>
      </c>
      <c r="AH1883">
        <v>13.5928639990105</v>
      </c>
      <c r="AI1883">
        <v>94.557477696574907</v>
      </c>
      <c r="AJ1883">
        <v>77.353979242066899</v>
      </c>
      <c r="AK1883">
        <v>13.974995455399901</v>
      </c>
      <c r="AL1883">
        <v>85.046401388907995</v>
      </c>
      <c r="AM1883">
        <v>83.253468416644097</v>
      </c>
      <c r="AN1883">
        <v>1.00000001168516</v>
      </c>
    </row>
    <row r="1884" spans="1:40" x14ac:dyDescent="0.25">
      <c r="A1884" t="str">
        <f>"20190312150702381"</f>
        <v>20190312150702381</v>
      </c>
      <c r="B1884" t="str">
        <f>"1552374422372333"</f>
        <v>1552374422372333</v>
      </c>
      <c r="C1884" t="s">
        <v>40</v>
      </c>
      <c r="D1884">
        <v>4.3336290000000002</v>
      </c>
      <c r="E1884">
        <v>0.53653409999999901</v>
      </c>
      <c r="F1884" t="s">
        <v>49</v>
      </c>
      <c r="G1884">
        <v>-209.34190000000001</v>
      </c>
      <c r="H1884" s="1">
        <v>-6.0580350000000002E-6</v>
      </c>
      <c r="I1884">
        <v>363.25700000000001</v>
      </c>
      <c r="J1884">
        <v>-222.89869999999999</v>
      </c>
      <c r="K1884">
        <v>1.1104339999999999</v>
      </c>
      <c r="L1884">
        <v>367.04070000000002</v>
      </c>
      <c r="M1884">
        <v>0.99857059999999997</v>
      </c>
      <c r="N1884">
        <v>0</v>
      </c>
      <c r="O1884">
        <v>-5.174873E-2</v>
      </c>
      <c r="P1884">
        <v>0.98304400000000003</v>
      </c>
      <c r="Q1884">
        <v>7.3240470000000002E-2</v>
      </c>
      <c r="R1884">
        <v>-0.1681079</v>
      </c>
      <c r="S1884">
        <v>2.9304350000000001</v>
      </c>
      <c r="T1884">
        <v>-0.2385283</v>
      </c>
      <c r="U1884">
        <v>-0.81378169999999905</v>
      </c>
      <c r="V1884">
        <v>0.1170728</v>
      </c>
      <c r="W1884">
        <v>8.6392159999999996E-2</v>
      </c>
      <c r="X1884">
        <v>0.98935850000000003</v>
      </c>
      <c r="Y1884">
        <v>0.21684410000000001</v>
      </c>
      <c r="Z1884">
        <v>-4.5285580000000002E-3</v>
      </c>
      <c r="AA1884">
        <v>0.97619579999999995</v>
      </c>
      <c r="AB1884">
        <v>18</v>
      </c>
      <c r="AC1884">
        <v>13.5567999999999</v>
      </c>
      <c r="AD1884">
        <v>-1.110440058035</v>
      </c>
      <c r="AE1884">
        <v>-3.78370000000006</v>
      </c>
      <c r="AF1884">
        <v>3.0579853559094401</v>
      </c>
      <c r="AG1884">
        <v>-1.110440058035</v>
      </c>
      <c r="AH1884">
        <v>13.6494915359684</v>
      </c>
      <c r="AI1884">
        <v>94.538966724669393</v>
      </c>
      <c r="AJ1884">
        <v>77.372167581419006</v>
      </c>
      <c r="AK1884">
        <v>14.031855570448201</v>
      </c>
      <c r="AL1884">
        <v>85.043915438864104</v>
      </c>
      <c r="AM1884">
        <v>83.251456081267705</v>
      </c>
      <c r="AN1884">
        <v>0.99999994366577605</v>
      </c>
    </row>
    <row r="1885" spans="1:40" x14ac:dyDescent="0.25">
      <c r="A1885" t="str">
        <f>"20190312150702392"</f>
        <v>20190312150702392</v>
      </c>
      <c r="B1885" t="str">
        <f>"1552374422382093"</f>
        <v>1552374422382093</v>
      </c>
      <c r="C1885" t="s">
        <v>40</v>
      </c>
      <c r="D1885">
        <v>4.3643219999999996</v>
      </c>
      <c r="E1885">
        <v>0.53641859999999997</v>
      </c>
      <c r="F1885" t="s">
        <v>49</v>
      </c>
      <c r="G1885">
        <v>-209.14940000000001</v>
      </c>
      <c r="H1885" s="1">
        <v>-5.9988559999999999E-6</v>
      </c>
      <c r="I1885">
        <v>363.22340000000003</v>
      </c>
      <c r="J1885">
        <v>-222.8091</v>
      </c>
      <c r="K1885">
        <v>1.11043799999999</v>
      </c>
      <c r="L1885">
        <v>367.03559999999999</v>
      </c>
      <c r="M1885">
        <v>0.99855479999999996</v>
      </c>
      <c r="N1885">
        <v>0</v>
      </c>
      <c r="O1885">
        <v>-5.205473E-2</v>
      </c>
      <c r="P1885">
        <v>0.98297060000000003</v>
      </c>
      <c r="Q1885">
        <v>7.3533360000000006E-2</v>
      </c>
      <c r="R1885">
        <v>-0.1684118</v>
      </c>
      <c r="S1885">
        <v>2.9302519999999999</v>
      </c>
      <c r="T1885">
        <v>-0.2366576</v>
      </c>
      <c r="U1885">
        <v>-0.81353759999999997</v>
      </c>
      <c r="V1885">
        <v>0.1170765</v>
      </c>
      <c r="W1885">
        <v>8.6683389999999999E-2</v>
      </c>
      <c r="X1885">
        <v>0.98933269999999995</v>
      </c>
      <c r="Y1885">
        <v>0.21649499999999999</v>
      </c>
      <c r="Z1885">
        <v>-4.4555430000000002E-3</v>
      </c>
      <c r="AA1885">
        <v>0.97627350000000002</v>
      </c>
      <c r="AB1885">
        <v>18</v>
      </c>
      <c r="AC1885">
        <v>13.6596999999999</v>
      </c>
      <c r="AD1885">
        <v>-1.11044399885599</v>
      </c>
      <c r="AE1885">
        <v>-3.8121999999999598</v>
      </c>
      <c r="AF1885">
        <v>3.07704945857326</v>
      </c>
      <c r="AG1885">
        <v>-1.11044399885599</v>
      </c>
      <c r="AH1885">
        <v>13.7553031330821</v>
      </c>
      <c r="AI1885">
        <v>94.504533918917403</v>
      </c>
      <c r="AJ1885">
        <v>77.390578663583895</v>
      </c>
      <c r="AK1885">
        <v>14.138942093667399</v>
      </c>
      <c r="AL1885">
        <v>85.0271669056375</v>
      </c>
      <c r="AM1885">
        <v>83.251070393826396</v>
      </c>
      <c r="AN1885">
        <v>1.00000005412171</v>
      </c>
    </row>
    <row r="1886" spans="1:40" x14ac:dyDescent="0.25">
      <c r="A1886" t="str">
        <f>"20190312150702406"</f>
        <v>20190312150702406</v>
      </c>
      <c r="B1886" t="str">
        <f>"1552374422401614"</f>
        <v>1552374422401614</v>
      </c>
      <c r="C1886" t="s">
        <v>40</v>
      </c>
      <c r="D1886">
        <v>4.3458730000000001</v>
      </c>
      <c r="E1886">
        <v>0.53623290000000001</v>
      </c>
      <c r="F1886" t="s">
        <v>49</v>
      </c>
      <c r="G1886">
        <v>-209.0119</v>
      </c>
      <c r="H1886" s="1">
        <v>-5.9556880000000001E-6</v>
      </c>
      <c r="I1886">
        <v>363.20519999999999</v>
      </c>
      <c r="J1886">
        <v>-222.70429999999999</v>
      </c>
      <c r="K1886">
        <v>1.110439</v>
      </c>
      <c r="L1886">
        <v>367.02980000000002</v>
      </c>
      <c r="M1886">
        <v>0.99853610000000004</v>
      </c>
      <c r="N1886">
        <v>0</v>
      </c>
      <c r="O1886">
        <v>-5.2413300000000003E-2</v>
      </c>
      <c r="P1886">
        <v>0.98293960000000002</v>
      </c>
      <c r="Q1886">
        <v>7.3374229999999999E-2</v>
      </c>
      <c r="R1886">
        <v>-0.1686598</v>
      </c>
      <c r="S1886">
        <v>2.9302220000000001</v>
      </c>
      <c r="T1886">
        <v>-0.23583390000000001</v>
      </c>
      <c r="U1886">
        <v>-0.81350710000000004</v>
      </c>
      <c r="V1886">
        <v>0.1169708</v>
      </c>
      <c r="W1886">
        <v>8.6523760000000005E-2</v>
      </c>
      <c r="X1886">
        <v>0.98935910000000005</v>
      </c>
      <c r="Y1886">
        <v>0.21614320000000001</v>
      </c>
      <c r="Z1886">
        <v>-4.3981050000000002E-3</v>
      </c>
      <c r="AA1886">
        <v>0.97635179999999999</v>
      </c>
      <c r="AB1886">
        <v>18</v>
      </c>
      <c r="AC1886">
        <v>13.6923999999999</v>
      </c>
      <c r="AD1886">
        <v>-1.1104449556880001</v>
      </c>
      <c r="AE1886">
        <v>-3.82460000000003</v>
      </c>
      <c r="AF1886">
        <v>3.0828056533476098</v>
      </c>
      <c r="AG1886">
        <v>-1.1104449556880001</v>
      </c>
      <c r="AH1886">
        <v>13.7899203611556</v>
      </c>
      <c r="AI1886">
        <v>94.4934136508042</v>
      </c>
      <c r="AJ1886">
        <v>77.398443824071094</v>
      </c>
      <c r="AK1886">
        <v>14.1738732272776</v>
      </c>
      <c r="AL1886">
        <v>85.036347149182106</v>
      </c>
      <c r="AM1886">
        <v>83.257285661188007</v>
      </c>
      <c r="AN1886">
        <v>0.99999997892499304</v>
      </c>
    </row>
    <row r="1887" spans="1:40" x14ac:dyDescent="0.25">
      <c r="A1887" t="str">
        <f>"20190312150702418"</f>
        <v>20190312150702418</v>
      </c>
      <c r="B1887" t="str">
        <f>"1552374422412348"</f>
        <v>1552374422412348</v>
      </c>
      <c r="C1887" t="s">
        <v>40</v>
      </c>
      <c r="D1887">
        <v>4.3686210000000001</v>
      </c>
      <c r="E1887">
        <v>0.53612579999999999</v>
      </c>
      <c r="F1887" t="s">
        <v>49</v>
      </c>
      <c r="G1887">
        <v>-208.91550000000001</v>
      </c>
      <c r="H1887" s="1">
        <v>-5.9234309999999997E-6</v>
      </c>
      <c r="I1887">
        <v>363.20510000000002</v>
      </c>
      <c r="J1887">
        <v>-222.6027</v>
      </c>
      <c r="K1887">
        <v>1.110439</v>
      </c>
      <c r="L1887">
        <v>367.02409999999998</v>
      </c>
      <c r="M1887">
        <v>0.99851780000000001</v>
      </c>
      <c r="N1887">
        <v>0</v>
      </c>
      <c r="O1887">
        <v>-5.2759710000000001E-2</v>
      </c>
      <c r="P1887">
        <v>0.98288140000000002</v>
      </c>
      <c r="Q1887">
        <v>7.3426790000000006E-2</v>
      </c>
      <c r="R1887">
        <v>-0.16897599999999999</v>
      </c>
      <c r="S1887">
        <v>2.9302060000000001</v>
      </c>
      <c r="T1887">
        <v>-0.23597789999999999</v>
      </c>
      <c r="U1887">
        <v>-0.81277469999999996</v>
      </c>
      <c r="V1887">
        <v>0.11694589999999901</v>
      </c>
      <c r="W1887">
        <v>8.6575070000000004E-2</v>
      </c>
      <c r="X1887">
        <v>0.98935759999999995</v>
      </c>
      <c r="Y1887">
        <v>0.2155813</v>
      </c>
      <c r="Z1887">
        <v>-4.3515560000000003E-3</v>
      </c>
      <c r="AA1887">
        <v>0.97647620000000002</v>
      </c>
      <c r="AB1887">
        <v>18</v>
      </c>
      <c r="AC1887">
        <v>13.687199999999899</v>
      </c>
      <c r="AD1887">
        <v>-1.1104449234310001</v>
      </c>
      <c r="AE1887">
        <v>-3.81899999999996</v>
      </c>
      <c r="AF1887">
        <v>3.0727187502818301</v>
      </c>
      <c r="AG1887">
        <v>-1.1104449234310001</v>
      </c>
      <c r="AH1887">
        <v>13.785457416074101</v>
      </c>
      <c r="AI1887">
        <v>94.495489884294201</v>
      </c>
      <c r="AJ1887">
        <v>77.434427688222101</v>
      </c>
      <c r="AK1887">
        <v>14.167340068506199</v>
      </c>
      <c r="AL1887">
        <v>85.033396451338803</v>
      </c>
      <c r="AM1887">
        <v>83.258697669269097</v>
      </c>
      <c r="AN1887">
        <v>1.0000000234750299</v>
      </c>
    </row>
    <row r="1888" spans="1:40" x14ac:dyDescent="0.25">
      <c r="A1888" t="str">
        <f>"20190312150702429"</f>
        <v>20190312150702429</v>
      </c>
      <c r="B1888" t="str">
        <f>"1552374422422110"</f>
        <v>1552374422422110</v>
      </c>
      <c r="C1888" t="s">
        <v>40</v>
      </c>
      <c r="D1888">
        <v>4.3334580000000003</v>
      </c>
      <c r="E1888">
        <v>0.53602079999999996</v>
      </c>
      <c r="F1888" t="s">
        <v>49</v>
      </c>
      <c r="G1888">
        <v>-208.81180000000001</v>
      </c>
      <c r="H1888" s="1">
        <v>-5.8896999999999997E-6</v>
      </c>
      <c r="I1888">
        <v>363.19869999999997</v>
      </c>
      <c r="J1888">
        <v>-222.50710000000001</v>
      </c>
      <c r="K1888">
        <v>1.1104419999999999</v>
      </c>
      <c r="L1888">
        <v>367.01859999999999</v>
      </c>
      <c r="M1888">
        <v>0.99850050000000001</v>
      </c>
      <c r="N1888">
        <v>0</v>
      </c>
      <c r="O1888">
        <v>-5.308525E-2</v>
      </c>
      <c r="P1888">
        <v>0.98281130000000005</v>
      </c>
      <c r="Q1888">
        <v>7.3469359999999997E-2</v>
      </c>
      <c r="R1888">
        <v>-0.16936479999999901</v>
      </c>
      <c r="S1888">
        <v>2.930145</v>
      </c>
      <c r="T1888">
        <v>-0.23593629999999999</v>
      </c>
      <c r="U1888">
        <v>-0.81277469999999996</v>
      </c>
      <c r="V1888">
        <v>0.11701490000000001</v>
      </c>
      <c r="W1888">
        <v>8.6616869999999999E-2</v>
      </c>
      <c r="X1888">
        <v>0.98934569999999999</v>
      </c>
      <c r="Y1888">
        <v>0.2152703</v>
      </c>
      <c r="Z1888">
        <v>-4.3130369999999996E-3</v>
      </c>
      <c r="AA1888">
        <v>0.976545</v>
      </c>
      <c r="AB1888">
        <v>18</v>
      </c>
      <c r="AC1888">
        <v>13.6953</v>
      </c>
      <c r="AD1888">
        <v>-1.1104478897000001</v>
      </c>
      <c r="AE1888">
        <v>-3.8199000000000098</v>
      </c>
      <c r="AF1888">
        <v>3.0687109623083599</v>
      </c>
      <c r="AG1888">
        <v>-1.1104478897000001</v>
      </c>
      <c r="AH1888">
        <v>13.794639716155199</v>
      </c>
      <c r="AI1888">
        <v>94.492938330960996</v>
      </c>
      <c r="AJ1888">
        <v>77.458386861617797</v>
      </c>
      <c r="AK1888">
        <v>14.175407097662299</v>
      </c>
      <c r="AL1888">
        <v>85.030992049127903</v>
      </c>
      <c r="AM1888">
        <v>83.254676443449696</v>
      </c>
      <c r="AN1888">
        <v>0.99999994154954597</v>
      </c>
    </row>
    <row r="1889" spans="1:40" x14ac:dyDescent="0.25">
      <c r="A1889" t="str">
        <f>"20190312150702440"</f>
        <v>20190312150702440</v>
      </c>
      <c r="B1889" t="str">
        <f>"1552374422431870"</f>
        <v>1552374422431870</v>
      </c>
      <c r="C1889" t="s">
        <v>40</v>
      </c>
      <c r="D1889">
        <v>4.3563589999999897</v>
      </c>
      <c r="E1889">
        <v>0.53593749999999996</v>
      </c>
      <c r="F1889" t="s">
        <v>49</v>
      </c>
      <c r="G1889">
        <v>-208.79050000000001</v>
      </c>
      <c r="H1889" s="1">
        <v>-5.8805379999999996E-6</v>
      </c>
      <c r="I1889">
        <v>363.21159999999998</v>
      </c>
      <c r="J1889">
        <v>-222.4144</v>
      </c>
      <c r="K1889">
        <v>1.1104430000000001</v>
      </c>
      <c r="L1889">
        <v>367.01330000000002</v>
      </c>
      <c r="M1889">
        <v>0.99848380000000003</v>
      </c>
      <c r="N1889">
        <v>0</v>
      </c>
      <c r="O1889">
        <v>-5.3400299999999998E-2</v>
      </c>
      <c r="P1889">
        <v>0.98275009999999996</v>
      </c>
      <c r="Q1889">
        <v>7.3556799999999894E-2</v>
      </c>
      <c r="R1889">
        <v>-0.16968169999999999</v>
      </c>
      <c r="S1889">
        <v>2.930069</v>
      </c>
      <c r="T1889">
        <v>-0.2372078</v>
      </c>
      <c r="U1889">
        <v>-0.81323239999999997</v>
      </c>
      <c r="V1889">
        <v>0.11702220000000001</v>
      </c>
      <c r="W1889">
        <v>8.6702849999999998E-2</v>
      </c>
      <c r="X1889">
        <v>0.98933740000000003</v>
      </c>
      <c r="Y1889">
        <v>0.21510660000000001</v>
      </c>
      <c r="Z1889">
        <v>-4.3048610000000001E-3</v>
      </c>
      <c r="AA1889">
        <v>0.97658109999999998</v>
      </c>
      <c r="AB1889">
        <v>18</v>
      </c>
      <c r="AC1889">
        <v>13.6238999999999</v>
      </c>
      <c r="AD1889">
        <v>-1.1104488805379999</v>
      </c>
      <c r="AE1889">
        <v>-3.8017000000000398</v>
      </c>
      <c r="AF1889">
        <v>3.04989134236232</v>
      </c>
      <c r="AG1889">
        <v>-1.1104488805379999</v>
      </c>
      <c r="AH1889">
        <v>13.7229063317011</v>
      </c>
      <c r="AI1889">
        <v>94.516530000540101</v>
      </c>
      <c r="AJ1889">
        <v>77.469773481660894</v>
      </c>
      <c r="AK1889">
        <v>14.1015280060405</v>
      </c>
      <c r="AL1889">
        <v>85.026047622122903</v>
      </c>
      <c r="AM1889">
        <v>83.254203441275195</v>
      </c>
      <c r="AN1889">
        <v>1.0000000352648599</v>
      </c>
    </row>
    <row r="1890" spans="1:40" x14ac:dyDescent="0.25">
      <c r="A1890" t="str">
        <f>"20190312150702453"</f>
        <v>20190312150702453</v>
      </c>
      <c r="B1890" t="str">
        <f>"1552374422441629"</f>
        <v>1552374422441629</v>
      </c>
      <c r="C1890" t="s">
        <v>40</v>
      </c>
      <c r="D1890">
        <v>4.3557750000000004</v>
      </c>
      <c r="E1890">
        <v>0.53584739999999997</v>
      </c>
      <c r="F1890" t="s">
        <v>49</v>
      </c>
      <c r="G1890">
        <v>-208.68289999999999</v>
      </c>
      <c r="H1890" s="1">
        <v>-5.8462519999999998E-6</v>
      </c>
      <c r="I1890">
        <v>363.20060000000001</v>
      </c>
      <c r="J1890">
        <v>-222.31880000000001</v>
      </c>
      <c r="K1890">
        <v>1.1104430000000001</v>
      </c>
      <c r="L1890">
        <v>367.00779999999997</v>
      </c>
      <c r="M1890">
        <v>0.99846630000000003</v>
      </c>
      <c r="N1890">
        <v>0</v>
      </c>
      <c r="O1890">
        <v>-5.3724870000000001E-2</v>
      </c>
      <c r="P1890">
        <v>0.98266739999999997</v>
      </c>
      <c r="Q1890">
        <v>7.3613059999999994E-2</v>
      </c>
      <c r="R1890">
        <v>-0.1701357</v>
      </c>
      <c r="S1890">
        <v>2.9299469999999999</v>
      </c>
      <c r="T1890">
        <v>-0.23694000000000001</v>
      </c>
      <c r="U1890">
        <v>-0.81353759999999997</v>
      </c>
      <c r="V1890">
        <v>0.117158</v>
      </c>
      <c r="W1890">
        <v>8.675795E-2</v>
      </c>
      <c r="X1890">
        <v>0.98931650000000004</v>
      </c>
      <c r="Y1890">
        <v>0.2148968</v>
      </c>
      <c r="Z1890">
        <v>-4.2662159999999998E-3</v>
      </c>
      <c r="AA1890">
        <v>0.97662749999999998</v>
      </c>
      <c r="AB1890">
        <v>18</v>
      </c>
      <c r="AC1890">
        <v>13.635899999999999</v>
      </c>
      <c r="AD1890">
        <v>-1.1104488462519999</v>
      </c>
      <c r="AE1890">
        <v>-3.8071999999999599</v>
      </c>
      <c r="AF1890">
        <v>3.0502822738224502</v>
      </c>
      <c r="AG1890">
        <v>-1.1104488462519999</v>
      </c>
      <c r="AH1890">
        <v>13.736254906162999</v>
      </c>
      <c r="AI1890">
        <v>94.512337324421594</v>
      </c>
      <c r="AJ1890">
        <v>77.480012047667302</v>
      </c>
      <c r="AK1890">
        <v>14.114602985462501</v>
      </c>
      <c r="AL1890">
        <v>85.022878697359104</v>
      </c>
      <c r="AM1890">
        <v>83.246306101141997</v>
      </c>
      <c r="AN1890">
        <v>1.00000003801222</v>
      </c>
    </row>
    <row r="1891" spans="1:40" x14ac:dyDescent="0.25">
      <c r="A1891" t="str">
        <f>"20190312150702466"</f>
        <v>20190312150702466</v>
      </c>
      <c r="B1891" t="str">
        <f>"1552374422462126"</f>
        <v>1552374422462126</v>
      </c>
      <c r="C1891" t="s">
        <v>40</v>
      </c>
      <c r="D1891">
        <v>4.3395760000000001</v>
      </c>
      <c r="E1891">
        <v>0.53563340000000004</v>
      </c>
      <c r="F1891" t="s">
        <v>49</v>
      </c>
      <c r="G1891">
        <v>-208.5684</v>
      </c>
      <c r="H1891" s="1">
        <v>-5.8100049999999998E-6</v>
      </c>
      <c r="I1891">
        <v>363.18720000000002</v>
      </c>
      <c r="J1891">
        <v>-222.21979999999999</v>
      </c>
      <c r="K1891">
        <v>1.1104430000000001</v>
      </c>
      <c r="L1891">
        <v>367.00209999999998</v>
      </c>
      <c r="M1891">
        <v>0.99844820000000001</v>
      </c>
      <c r="N1891">
        <v>0</v>
      </c>
      <c r="O1891">
        <v>-5.4060780000000003E-2</v>
      </c>
      <c r="P1891">
        <v>0.98259379999999996</v>
      </c>
      <c r="Q1891">
        <v>7.3734599999999997E-2</v>
      </c>
      <c r="R1891">
        <v>-0.17050789999999999</v>
      </c>
      <c r="S1891">
        <v>2.9296880000000001</v>
      </c>
      <c r="T1891">
        <v>-0.23659369999999999</v>
      </c>
      <c r="U1891">
        <v>-0.81402589999999997</v>
      </c>
      <c r="V1891">
        <v>0.1172004</v>
      </c>
      <c r="W1891">
        <v>8.6878140000000006E-2</v>
      </c>
      <c r="X1891">
        <v>0.98930090000000004</v>
      </c>
      <c r="Y1891">
        <v>0.2147445</v>
      </c>
      <c r="Z1891">
        <v>-4.2277909999999998E-3</v>
      </c>
      <c r="AA1891">
        <v>0.97666109999999995</v>
      </c>
      <c r="AB1891">
        <v>18</v>
      </c>
      <c r="AC1891">
        <v>13.651399999999899</v>
      </c>
      <c r="AD1891">
        <v>-1.1104488100049901</v>
      </c>
      <c r="AE1891">
        <v>-3.8148999999999602</v>
      </c>
      <c r="AF1891">
        <v>3.0525144268270799</v>
      </c>
      <c r="AG1891">
        <v>-1.1104488100049901</v>
      </c>
      <c r="AH1891">
        <v>13.753278382789301</v>
      </c>
      <c r="AI1891">
        <v>94.506881828691405</v>
      </c>
      <c r="AJ1891">
        <v>77.486158426201499</v>
      </c>
      <c r="AK1891">
        <v>14.131652669101699</v>
      </c>
      <c r="AL1891">
        <v>85.015966066952402</v>
      </c>
      <c r="AM1891">
        <v>83.243778948490203</v>
      </c>
      <c r="AN1891">
        <v>1.0000000078554101</v>
      </c>
    </row>
    <row r="1892" spans="1:40" x14ac:dyDescent="0.25">
      <c r="A1892" t="str">
        <f>"20190312150702477"</f>
        <v>20190312150702477</v>
      </c>
      <c r="B1892" t="str">
        <f>"1552374422471885"</f>
        <v>1552374422471885</v>
      </c>
      <c r="C1892" t="s">
        <v>40</v>
      </c>
      <c r="D1892">
        <v>4.3041790000000004</v>
      </c>
      <c r="E1892">
        <v>0.53555810000000004</v>
      </c>
      <c r="F1892" t="s">
        <v>49</v>
      </c>
      <c r="G1892">
        <v>-208.49600000000001</v>
      </c>
      <c r="H1892" s="1">
        <v>-5.7849219999999996E-6</v>
      </c>
      <c r="I1892">
        <v>363.19279999999998</v>
      </c>
      <c r="J1892">
        <v>-222.11779999999999</v>
      </c>
      <c r="K1892">
        <v>1.1104430000000001</v>
      </c>
      <c r="L1892">
        <v>366.99619999999999</v>
      </c>
      <c r="M1892">
        <v>0.99842949999999997</v>
      </c>
      <c r="N1892">
        <v>0</v>
      </c>
      <c r="O1892">
        <v>-5.4405139999999998E-2</v>
      </c>
      <c r="P1892">
        <v>0.98251750000000004</v>
      </c>
      <c r="Q1892">
        <v>7.3539930000000003E-2</v>
      </c>
      <c r="R1892">
        <v>-0.17103080000000001</v>
      </c>
      <c r="S1892">
        <v>2.9298099999999998</v>
      </c>
      <c r="T1892">
        <v>-0.2370642</v>
      </c>
      <c r="U1892">
        <v>-0.81323239999999997</v>
      </c>
      <c r="V1892">
        <v>0.1173848</v>
      </c>
      <c r="W1892">
        <v>8.6682419999999996E-2</v>
      </c>
      <c r="X1892">
        <v>0.98929619999999996</v>
      </c>
      <c r="Y1892">
        <v>0.2141525</v>
      </c>
      <c r="Z1892">
        <v>-4.1854989999999996E-3</v>
      </c>
      <c r="AA1892">
        <v>0.97679130000000003</v>
      </c>
      <c r="AB1892">
        <v>18</v>
      </c>
      <c r="AC1892">
        <v>13.6218</v>
      </c>
      <c r="AD1892">
        <v>-1.1104487849219999</v>
      </c>
      <c r="AE1892">
        <v>-3.8034000000000101</v>
      </c>
      <c r="AF1892">
        <v>3.0378756497858599</v>
      </c>
      <c r="AG1892">
        <v>-1.1104487849219999</v>
      </c>
      <c r="AH1892">
        <v>13.7239580664115</v>
      </c>
      <c r="AI1892">
        <v>94.517033627112994</v>
      </c>
      <c r="AJ1892">
        <v>77.518515415036504</v>
      </c>
      <c r="AK1892">
        <v>14.099957800508401</v>
      </c>
      <c r="AL1892">
        <v>85.027222434034996</v>
      </c>
      <c r="AM1892">
        <v>83.233215534286501</v>
      </c>
      <c r="AN1892">
        <v>1.0000000022712601</v>
      </c>
    </row>
    <row r="1893" spans="1:40" x14ac:dyDescent="0.25">
      <c r="A1893" t="str">
        <f>"20190312150702492"</f>
        <v>20190312150702492</v>
      </c>
      <c r="B1893" t="str">
        <f>"1552374422481645"</f>
        <v>1552374422481645</v>
      </c>
      <c r="C1893" t="s">
        <v>40</v>
      </c>
      <c r="D1893">
        <v>4.3711500000000001</v>
      </c>
      <c r="E1893">
        <v>0.53547080000000002</v>
      </c>
      <c r="F1893" t="s">
        <v>49</v>
      </c>
      <c r="G1893">
        <v>-208.4665</v>
      </c>
      <c r="H1893" s="1">
        <v>-5.773943E-6</v>
      </c>
      <c r="I1893">
        <v>363.19970000000001</v>
      </c>
      <c r="J1893">
        <v>-222.0068</v>
      </c>
      <c r="K1893">
        <v>1.1104480000000001</v>
      </c>
      <c r="L1893">
        <v>366.98970000000003</v>
      </c>
      <c r="M1893">
        <v>0.99840899999999999</v>
      </c>
      <c r="N1893">
        <v>0</v>
      </c>
      <c r="O1893">
        <v>-5.4779889999999998E-2</v>
      </c>
      <c r="P1893">
        <v>0.98233219999999999</v>
      </c>
      <c r="Q1893">
        <v>7.3807899999999996E-2</v>
      </c>
      <c r="R1893">
        <v>-0.17197680000000001</v>
      </c>
      <c r="S1893">
        <v>2.9293670000000001</v>
      </c>
      <c r="T1893">
        <v>-0.23828540000000001</v>
      </c>
      <c r="U1893">
        <v>-0.81466669999999997</v>
      </c>
      <c r="V1893">
        <v>0.1179678</v>
      </c>
      <c r="W1893">
        <v>8.6947979999999994E-2</v>
      </c>
      <c r="X1893">
        <v>0.98920350000000001</v>
      </c>
      <c r="Y1893">
        <v>0.2142637</v>
      </c>
      <c r="Z1893">
        <v>-4.1820540000000002E-3</v>
      </c>
      <c r="AA1893">
        <v>0.97676689999999999</v>
      </c>
      <c r="AB1893">
        <v>18</v>
      </c>
      <c r="AC1893">
        <v>13.5403</v>
      </c>
      <c r="AD1893">
        <v>-1.1104537739429901</v>
      </c>
      <c r="AE1893">
        <v>-3.79000000000002</v>
      </c>
      <c r="AF1893">
        <v>3.0236467965345901</v>
      </c>
      <c r="AG1893">
        <v>-1.1104537739429901</v>
      </c>
      <c r="AH1893">
        <v>13.6425089991072</v>
      </c>
      <c r="AI1893">
        <v>94.543643010130197</v>
      </c>
      <c r="AJ1893">
        <v>77.503301094798701</v>
      </c>
      <c r="AK1893">
        <v>14.0176174624998</v>
      </c>
      <c r="AL1893">
        <v>85.011949084385904</v>
      </c>
      <c r="AM1893">
        <v>83.199290477531704</v>
      </c>
      <c r="AN1893">
        <v>0.99999995873758396</v>
      </c>
    </row>
    <row r="1894" spans="1:40" x14ac:dyDescent="0.25">
      <c r="A1894" t="str">
        <f>"20190312150702507"</f>
        <v>20190312150702507</v>
      </c>
      <c r="B1894" t="str">
        <f>"1552374422502141"</f>
        <v>1552374422502141</v>
      </c>
      <c r="C1894" t="s">
        <v>40</v>
      </c>
      <c r="D1894">
        <v>4.3466430000000003</v>
      </c>
      <c r="E1894">
        <v>0.53531799999999996</v>
      </c>
      <c r="F1894" t="s">
        <v>49</v>
      </c>
      <c r="G1894">
        <v>-208.30799999999999</v>
      </c>
      <c r="H1894" s="1">
        <v>-5.7256330000000001E-6</v>
      </c>
      <c r="I1894">
        <v>363.16950000000003</v>
      </c>
      <c r="J1894">
        <v>-221.89570000000001</v>
      </c>
      <c r="K1894">
        <v>1.1104510000000001</v>
      </c>
      <c r="L1894">
        <v>366.98320000000001</v>
      </c>
      <c r="M1894">
        <v>0.99838850000000001</v>
      </c>
      <c r="N1894">
        <v>0</v>
      </c>
      <c r="O1894">
        <v>-5.5155000000000003E-2</v>
      </c>
      <c r="P1894">
        <v>0.98224299999999998</v>
      </c>
      <c r="Q1894">
        <v>7.3774699999999999E-2</v>
      </c>
      <c r="R1894">
        <v>-0.1725003</v>
      </c>
      <c r="S1894">
        <v>2.9288180000000001</v>
      </c>
      <c r="T1894">
        <v>-0.23741660000000001</v>
      </c>
      <c r="U1894">
        <v>-0.81677250000000001</v>
      </c>
      <c r="V1894">
        <v>0.1181232</v>
      </c>
      <c r="W1894">
        <v>8.6913290000000004E-2</v>
      </c>
      <c r="X1894">
        <v>0.98918810000000001</v>
      </c>
      <c r="Y1894">
        <v>0.2145994</v>
      </c>
      <c r="Z1894">
        <v>-4.150913E-3</v>
      </c>
      <c r="AA1894">
        <v>0.97669329999999999</v>
      </c>
      <c r="AB1894">
        <v>18</v>
      </c>
      <c r="AC1894">
        <v>13.5877</v>
      </c>
      <c r="AD1894">
        <v>-1.110456725633</v>
      </c>
      <c r="AE1894">
        <v>-3.8136999999999799</v>
      </c>
      <c r="AF1894">
        <v>3.0395784978175802</v>
      </c>
      <c r="AG1894">
        <v>-1.110456725633</v>
      </c>
      <c r="AH1894">
        <v>13.6926019900501</v>
      </c>
      <c r="AI1894">
        <v>94.526765616822999</v>
      </c>
      <c r="AJ1894">
        <v>77.484040494706505</v>
      </c>
      <c r="AK1894">
        <v>14.069808130952699</v>
      </c>
      <c r="AL1894">
        <v>85.013944702974399</v>
      </c>
      <c r="AM1894">
        <v>83.190310895357698</v>
      </c>
      <c r="AN1894">
        <v>1.00000005376923</v>
      </c>
    </row>
    <row r="1895" spans="1:40" x14ac:dyDescent="0.25">
      <c r="A1895" t="str">
        <f>"20190312150702517"</f>
        <v>20190312150702517</v>
      </c>
      <c r="B1895" t="str">
        <f>"1552374422511901"</f>
        <v>1552374422511901</v>
      </c>
      <c r="C1895" t="s">
        <v>40</v>
      </c>
      <c r="D1895">
        <v>4.2829499999999996</v>
      </c>
      <c r="E1895">
        <v>0.53524150000000004</v>
      </c>
      <c r="F1895" t="s">
        <v>49</v>
      </c>
      <c r="G1895">
        <v>-208.20570000000001</v>
      </c>
      <c r="H1895" s="1">
        <v>-5.69231599999999E-6</v>
      </c>
      <c r="I1895">
        <v>363.1635</v>
      </c>
      <c r="J1895">
        <v>-221.8</v>
      </c>
      <c r="K1895">
        <v>1.110452</v>
      </c>
      <c r="L1895">
        <v>366.97750000000002</v>
      </c>
      <c r="M1895">
        <v>0.9983706</v>
      </c>
      <c r="N1895">
        <v>0</v>
      </c>
      <c r="O1895">
        <v>-5.5477180000000001E-2</v>
      </c>
      <c r="P1895">
        <v>0.98211380000000004</v>
      </c>
      <c r="Q1895">
        <v>7.3895219999999998E-2</v>
      </c>
      <c r="R1895">
        <v>-0.17318339999999999</v>
      </c>
      <c r="S1895">
        <v>2.9285890000000001</v>
      </c>
      <c r="T1895">
        <v>-0.23755119999999999</v>
      </c>
      <c r="U1895">
        <v>-0.81710819999999995</v>
      </c>
      <c r="V1895">
        <v>0.11849229999999999</v>
      </c>
      <c r="W1895">
        <v>8.7032040000000005E-2</v>
      </c>
      <c r="X1895">
        <v>0.9891335</v>
      </c>
      <c r="Y1895">
        <v>0.21440880000000001</v>
      </c>
      <c r="Z1895">
        <v>-4.1204589999999999E-3</v>
      </c>
      <c r="AA1895">
        <v>0.97673540000000003</v>
      </c>
      <c r="AB1895">
        <v>18</v>
      </c>
      <c r="AC1895">
        <v>13.5943</v>
      </c>
      <c r="AD1895">
        <v>-1.1104576923159999</v>
      </c>
      <c r="AE1895">
        <v>-3.81400000000002</v>
      </c>
      <c r="AF1895">
        <v>3.0351104139688299</v>
      </c>
      <c r="AG1895">
        <v>-1.1104576923159999</v>
      </c>
      <c r="AH1895">
        <v>13.700224678388</v>
      </c>
      <c r="AI1895">
        <v>94.524689565352205</v>
      </c>
      <c r="AJ1895">
        <v>77.508595604098204</v>
      </c>
      <c r="AK1895">
        <v>14.076262563255799</v>
      </c>
      <c r="AL1895">
        <v>85.007114885528793</v>
      </c>
      <c r="AM1895">
        <v>83.168859881906997</v>
      </c>
      <c r="AN1895">
        <v>1.0000000409840499</v>
      </c>
    </row>
    <row r="1896" spans="1:40" x14ac:dyDescent="0.25">
      <c r="A1896" t="str">
        <f>"20190312150702530"</f>
        <v>20190312150702530</v>
      </c>
      <c r="B1896" t="str">
        <f>"1552374422521661"</f>
        <v>1552374422521661</v>
      </c>
      <c r="C1896" t="s">
        <v>40</v>
      </c>
      <c r="D1896">
        <v>4.3018780000000003</v>
      </c>
      <c r="E1896">
        <v>0.53518189999999999</v>
      </c>
      <c r="F1896" t="s">
        <v>49</v>
      </c>
      <c r="G1896">
        <v>-208.15430000000001</v>
      </c>
      <c r="H1896" s="1">
        <v>-5.6752549999999999E-6</v>
      </c>
      <c r="I1896">
        <v>363.1626</v>
      </c>
      <c r="J1896">
        <v>-221.708</v>
      </c>
      <c r="K1896">
        <v>1.110452</v>
      </c>
      <c r="L1896">
        <v>366.97199999999998</v>
      </c>
      <c r="M1896">
        <v>0.99835339999999995</v>
      </c>
      <c r="N1896">
        <v>0</v>
      </c>
      <c r="O1896">
        <v>-5.5787330000000003E-2</v>
      </c>
      <c r="P1896">
        <v>0.98202699999999998</v>
      </c>
      <c r="Q1896">
        <v>7.3819259999999998E-2</v>
      </c>
      <c r="R1896">
        <v>-0.17370769999999999</v>
      </c>
      <c r="S1896">
        <v>2.9281920000000001</v>
      </c>
      <c r="T1896">
        <v>-0.23828940000000001</v>
      </c>
      <c r="U1896">
        <v>-0.81863399999999997</v>
      </c>
      <c r="V1896">
        <v>0.1187129</v>
      </c>
      <c r="W1896">
        <v>8.6955099999999994E-2</v>
      </c>
      <c r="X1896">
        <v>0.98911369999999998</v>
      </c>
      <c r="Y1896">
        <v>0.2146091</v>
      </c>
      <c r="Z1896">
        <v>-4.1168740000000004E-3</v>
      </c>
      <c r="AA1896">
        <v>0.97669139999999999</v>
      </c>
      <c r="AB1896">
        <v>18</v>
      </c>
      <c r="AC1896">
        <v>13.5536999999999</v>
      </c>
      <c r="AD1896">
        <v>-1.1104576752549999</v>
      </c>
      <c r="AE1896">
        <v>-3.8093999999999801</v>
      </c>
      <c r="AF1896">
        <v>3.0284340564123098</v>
      </c>
      <c r="AG1896">
        <v>-1.1104576752549999</v>
      </c>
      <c r="AH1896">
        <v>13.6601424373791</v>
      </c>
      <c r="AI1896">
        <v>94.537756712431701</v>
      </c>
      <c r="AJ1896">
        <v>77.499786564612293</v>
      </c>
      <c r="AK1896">
        <v>14.035812070986699</v>
      </c>
      <c r="AL1896">
        <v>85.011539427668694</v>
      </c>
      <c r="AM1896">
        <v>83.156126993646893</v>
      </c>
      <c r="AN1896">
        <v>0.99999992678505201</v>
      </c>
    </row>
    <row r="1897" spans="1:40" x14ac:dyDescent="0.25">
      <c r="A1897" t="str">
        <f>"20190312150702541"</f>
        <v>20190312150702541</v>
      </c>
      <c r="B1897" t="str">
        <f>"1552374422532399"</f>
        <v>1552374422532399</v>
      </c>
      <c r="C1897" t="s">
        <v>40</v>
      </c>
      <c r="D1897">
        <v>4.3296549999999998</v>
      </c>
      <c r="E1897">
        <v>0.53513169999999899</v>
      </c>
      <c r="F1897" t="s">
        <v>49</v>
      </c>
      <c r="G1897">
        <v>-208.072</v>
      </c>
      <c r="H1897" s="1">
        <v>-5.648998E-6</v>
      </c>
      <c r="I1897">
        <v>363.15429999999998</v>
      </c>
      <c r="J1897">
        <v>-221.60759999999999</v>
      </c>
      <c r="K1897">
        <v>1.1104529999999999</v>
      </c>
      <c r="L1897">
        <v>366.96600000000001</v>
      </c>
      <c r="M1897">
        <v>0.99833439999999996</v>
      </c>
      <c r="N1897">
        <v>0</v>
      </c>
      <c r="O1897">
        <v>-5.6125479999999998E-2</v>
      </c>
      <c r="P1897">
        <v>0.98196119999999998</v>
      </c>
      <c r="Q1897">
        <v>7.3732629999999993E-2</v>
      </c>
      <c r="R1897">
        <v>-0.17411550000000001</v>
      </c>
      <c r="S1897">
        <v>2.9278559999999998</v>
      </c>
      <c r="T1897">
        <v>-0.23843200000000001</v>
      </c>
      <c r="U1897">
        <v>-0.81973269999999998</v>
      </c>
      <c r="V1897">
        <v>0.1187883</v>
      </c>
      <c r="W1897">
        <v>8.6867689999999997E-2</v>
      </c>
      <c r="X1897">
        <v>0.9891124</v>
      </c>
      <c r="Y1897">
        <v>0.21464749999999999</v>
      </c>
      <c r="Z1897">
        <v>-4.0942799999999996E-3</v>
      </c>
      <c r="AA1897">
        <v>0.97668299999999997</v>
      </c>
      <c r="AB1897">
        <v>18</v>
      </c>
      <c r="AC1897">
        <v>13.535599999999899</v>
      </c>
      <c r="AD1897">
        <v>-1.110458648998</v>
      </c>
      <c r="AE1897">
        <v>-3.8117000000000298</v>
      </c>
      <c r="AF1897">
        <v>3.0270540839829798</v>
      </c>
      <c r="AG1897">
        <v>-1.110458648998</v>
      </c>
      <c r="AH1897">
        <v>13.643134166782801</v>
      </c>
      <c r="AI1897">
        <v>94.543226433169494</v>
      </c>
      <c r="AJ1897">
        <v>77.490217125518498</v>
      </c>
      <c r="AK1897">
        <v>14.018961613876</v>
      </c>
      <c r="AL1897">
        <v>85.016567029836693</v>
      </c>
      <c r="AM1897">
        <v>83.151812489184906</v>
      </c>
      <c r="AN1897">
        <v>0.99999999780829296</v>
      </c>
    </row>
    <row r="1898" spans="1:40" x14ac:dyDescent="0.25">
      <c r="A1898" t="str">
        <f>"20190312150702552"</f>
        <v>20190312150702552</v>
      </c>
      <c r="B1898" t="str">
        <f>"1552374422542158"</f>
        <v>1552374422542158</v>
      </c>
      <c r="C1898" t="s">
        <v>40</v>
      </c>
      <c r="D1898">
        <v>4.2752369999999997</v>
      </c>
      <c r="E1898">
        <v>0.53509519999999899</v>
      </c>
      <c r="F1898" t="s">
        <v>49</v>
      </c>
      <c r="G1898">
        <v>-207.9896</v>
      </c>
      <c r="H1898" s="1">
        <v>-5.6223670000000003E-6</v>
      </c>
      <c r="I1898">
        <v>363.14819999999997</v>
      </c>
      <c r="J1898">
        <v>-221.52260000000001</v>
      </c>
      <c r="K1898">
        <v>1.110455</v>
      </c>
      <c r="L1898">
        <v>366.96089999999998</v>
      </c>
      <c r="M1898">
        <v>0.99831820000000004</v>
      </c>
      <c r="N1898">
        <v>0</v>
      </c>
      <c r="O1898">
        <v>-5.6411679999999999E-2</v>
      </c>
      <c r="P1898">
        <v>0.98189029999999999</v>
      </c>
      <c r="Q1898">
        <v>7.3462920000000001E-2</v>
      </c>
      <c r="R1898">
        <v>-0.17462829999999999</v>
      </c>
      <c r="S1898">
        <v>2.927521</v>
      </c>
      <c r="T1898">
        <v>-0.23872009999999999</v>
      </c>
      <c r="U1898">
        <v>-0.82073969999999896</v>
      </c>
      <c r="V1898">
        <v>0.1190198</v>
      </c>
      <c r="W1898">
        <v>8.6596930000000003E-2</v>
      </c>
      <c r="X1898">
        <v>0.98910830000000005</v>
      </c>
      <c r="Y1898">
        <v>0.2147076</v>
      </c>
      <c r="Z1898">
        <v>-4.0791439999999998E-3</v>
      </c>
      <c r="AA1898">
        <v>0.97666980000000003</v>
      </c>
      <c r="AB1898">
        <v>18</v>
      </c>
      <c r="AC1898">
        <v>13.532999999999999</v>
      </c>
      <c r="AD1898">
        <v>-1.1104606223669999</v>
      </c>
      <c r="AE1898">
        <v>-3.8127</v>
      </c>
      <c r="AF1898">
        <v>3.0242746732412198</v>
      </c>
      <c r="AG1898">
        <v>-1.1104606223669999</v>
      </c>
      <c r="AH1898">
        <v>13.641450570252401</v>
      </c>
      <c r="AI1898">
        <v>94.543961532743694</v>
      </c>
      <c r="AJ1898">
        <v>77.499848308179295</v>
      </c>
      <c r="AK1898">
        <v>14.016723360103599</v>
      </c>
      <c r="AL1898">
        <v>85.032139052930106</v>
      </c>
      <c r="AM1898">
        <v>83.138565372237395</v>
      </c>
      <c r="AN1898">
        <v>0.999999985103177</v>
      </c>
    </row>
    <row r="1899" spans="1:40" x14ac:dyDescent="0.25">
      <c r="A1899" t="str">
        <f>"20190312150702565"</f>
        <v>20190312150702565</v>
      </c>
      <c r="B1899" t="str">
        <f>"1552374422562653"</f>
        <v>1552374422562653</v>
      </c>
      <c r="C1899" t="s">
        <v>40</v>
      </c>
      <c r="D1899">
        <v>4.2214349999999996</v>
      </c>
      <c r="E1899">
        <v>0.53518559999999904</v>
      </c>
      <c r="F1899" t="s">
        <v>49</v>
      </c>
      <c r="G1899">
        <v>-208.02</v>
      </c>
      <c r="H1899" s="1">
        <v>-5.6293219999999998E-6</v>
      </c>
      <c r="I1899">
        <v>363.16879999999998</v>
      </c>
      <c r="J1899">
        <v>-221.42599999999999</v>
      </c>
      <c r="K1899">
        <v>1.1104529999999999</v>
      </c>
      <c r="L1899">
        <v>366.95510000000002</v>
      </c>
      <c r="M1899">
        <v>0.99829979999999996</v>
      </c>
      <c r="N1899">
        <v>0</v>
      </c>
      <c r="O1899">
        <v>-5.6736960000000003E-2</v>
      </c>
      <c r="P1899">
        <v>0.9818363</v>
      </c>
      <c r="Q1899">
        <v>7.3373939999999999E-2</v>
      </c>
      <c r="R1899">
        <v>-0.17496800000000001</v>
      </c>
      <c r="S1899">
        <v>2.927155</v>
      </c>
      <c r="T1899">
        <v>-0.240731</v>
      </c>
      <c r="U1899">
        <v>-0.82208250000000005</v>
      </c>
      <c r="V1899">
        <v>0.11903950000000001</v>
      </c>
      <c r="W1899">
        <v>8.6507600000000004E-2</v>
      </c>
      <c r="X1899">
        <v>0.98911369999999998</v>
      </c>
      <c r="Y1899">
        <v>0.21482899999999999</v>
      </c>
      <c r="Z1899">
        <v>-4.09247E-3</v>
      </c>
      <c r="AA1899">
        <v>0.97664309999999999</v>
      </c>
      <c r="AB1899">
        <v>18</v>
      </c>
      <c r="AC1899">
        <v>13.405999999999899</v>
      </c>
      <c r="AD1899">
        <v>-1.110458629322</v>
      </c>
      <c r="AE1899">
        <v>-3.7863000000000402</v>
      </c>
      <c r="AF1899">
        <v>3.0004501306838298</v>
      </c>
      <c r="AG1899">
        <v>-1.110458629322</v>
      </c>
      <c r="AH1899">
        <v>13.513373953778601</v>
      </c>
      <c r="AI1899">
        <v>94.586510452910105</v>
      </c>
      <c r="AJ1899">
        <v>77.481382026044997</v>
      </c>
      <c r="AK1899">
        <v>13.8869397265495</v>
      </c>
      <c r="AL1899">
        <v>85.037276337454998</v>
      </c>
      <c r="AM1899">
        <v>83.1374776147331</v>
      </c>
      <c r="AN1899">
        <v>0.99999993947284804</v>
      </c>
    </row>
    <row r="1900" spans="1:40" x14ac:dyDescent="0.25">
      <c r="A1900" t="str">
        <f>"20190312150702576"</f>
        <v>20190312150702576</v>
      </c>
      <c r="B1900" t="str">
        <f>"1552374422572413"</f>
        <v>1552374422572413</v>
      </c>
      <c r="C1900" t="s">
        <v>40</v>
      </c>
      <c r="D1900">
        <v>4.3179030000000003</v>
      </c>
      <c r="E1900">
        <v>0.55354879999999995</v>
      </c>
      <c r="F1900" t="s">
        <v>49</v>
      </c>
      <c r="G1900">
        <v>-207.90809999999999</v>
      </c>
      <c r="H1900" s="1">
        <v>-5.5948689999999998E-6</v>
      </c>
      <c r="I1900">
        <v>363.14949999999999</v>
      </c>
      <c r="J1900">
        <v>-221.33250000000001</v>
      </c>
      <c r="K1900">
        <v>1.110455</v>
      </c>
      <c r="L1900">
        <v>366.94940000000003</v>
      </c>
      <c r="M1900">
        <v>0.998282</v>
      </c>
      <c r="N1900">
        <v>0</v>
      </c>
      <c r="O1900">
        <v>-5.705176E-2</v>
      </c>
      <c r="P1900">
        <v>0.9818133</v>
      </c>
      <c r="Q1900">
        <v>7.3237479999999994E-2</v>
      </c>
      <c r="R1900">
        <v>-0.1751558</v>
      </c>
      <c r="S1900">
        <v>2.9266510000000001</v>
      </c>
      <c r="T1900">
        <v>-0.24041650000000001</v>
      </c>
      <c r="U1900">
        <v>-0.82391360000000002</v>
      </c>
      <c r="V1900">
        <v>0.11891549999999999</v>
      </c>
      <c r="W1900">
        <v>8.6370310000000006E-2</v>
      </c>
      <c r="X1900">
        <v>0.98914069999999998</v>
      </c>
      <c r="Y1900">
        <v>0.2151323</v>
      </c>
      <c r="Z1900">
        <v>-4.0744980000000002E-3</v>
      </c>
      <c r="AA1900">
        <v>0.97657640000000001</v>
      </c>
      <c r="AB1900">
        <v>18</v>
      </c>
      <c r="AC1900">
        <v>13.4244</v>
      </c>
      <c r="AD1900">
        <v>-1.1104605948690001</v>
      </c>
      <c r="AE1900">
        <v>-3.7999000000000298</v>
      </c>
      <c r="AF1900">
        <v>3.0086958746552499</v>
      </c>
      <c r="AG1900">
        <v>-1.1104605948690001</v>
      </c>
      <c r="AH1900">
        <v>13.5336062442769</v>
      </c>
      <c r="AI1900">
        <v>94.5794232651036</v>
      </c>
      <c r="AJ1900">
        <v>77.466238910476207</v>
      </c>
      <c r="AK1900">
        <v>13.9084101023105</v>
      </c>
      <c r="AL1900">
        <v>85.045172455184101</v>
      </c>
      <c r="AM1900">
        <v>83.144743388133193</v>
      </c>
      <c r="AN1900">
        <v>1.0000000254931101</v>
      </c>
    </row>
    <row r="1901" spans="1:40" x14ac:dyDescent="0.25">
      <c r="A1901" t="str">
        <f>"20190312150702588"</f>
        <v>20190312150702588</v>
      </c>
      <c r="B1901" t="str">
        <f>"1552374422582173"</f>
        <v>1552374422582173</v>
      </c>
      <c r="C1901" t="s">
        <v>40</v>
      </c>
      <c r="D1901">
        <v>4.3609070000000001</v>
      </c>
      <c r="E1901">
        <v>0.55442849999999999</v>
      </c>
      <c r="F1901" t="s">
        <v>42</v>
      </c>
      <c r="G1901">
        <v>-210.43799999999999</v>
      </c>
      <c r="H1901" s="1">
        <v>-5.2037200000000004E-6</v>
      </c>
      <c r="I1901">
        <v>363.30619999999999</v>
      </c>
      <c r="J1901">
        <v>-221.2413</v>
      </c>
      <c r="K1901">
        <v>1.110455</v>
      </c>
      <c r="L1901">
        <v>366.94380000000001</v>
      </c>
      <c r="M1901">
        <v>0.99826440000000005</v>
      </c>
      <c r="N1901">
        <v>0</v>
      </c>
      <c r="O1901">
        <v>-5.7359050000000002E-2</v>
      </c>
      <c r="P1901">
        <v>0.98175290000000004</v>
      </c>
      <c r="Q1901">
        <v>7.3092119999999997E-2</v>
      </c>
      <c r="R1901">
        <v>-0.17555499999999999</v>
      </c>
      <c r="S1901">
        <v>2.9043730000000001</v>
      </c>
      <c r="T1901">
        <v>-0.2960353</v>
      </c>
      <c r="U1901">
        <v>-0.97122189999999997</v>
      </c>
      <c r="V1901">
        <v>0.1190124</v>
      </c>
      <c r="W1901">
        <v>8.622399E-2</v>
      </c>
      <c r="X1901">
        <v>0.98914179999999996</v>
      </c>
      <c r="Y1901">
        <v>0.26126660000000002</v>
      </c>
      <c r="Z1901">
        <v>-7.2684280000000004E-3</v>
      </c>
      <c r="AA1901">
        <v>0.96523930000000002</v>
      </c>
      <c r="AB1901">
        <v>18</v>
      </c>
      <c r="AC1901">
        <v>10.8033</v>
      </c>
      <c r="AD1901">
        <v>-1.11046020372</v>
      </c>
      <c r="AE1901">
        <v>-3.6376000000000199</v>
      </c>
      <c r="AF1901">
        <v>2.9835746413591502</v>
      </c>
      <c r="AG1901">
        <v>-1.11046020372</v>
      </c>
      <c r="AH1901">
        <v>10.8908277970939</v>
      </c>
      <c r="AI1901">
        <v>95.616376646419695</v>
      </c>
      <c r="AJ1901">
        <v>74.679536163871404</v>
      </c>
      <c r="AK1901">
        <v>11.346584050301701</v>
      </c>
      <c r="AL1901">
        <v>85.053587309526705</v>
      </c>
      <c r="AM1901">
        <v>83.139218064199397</v>
      </c>
      <c r="AN1901">
        <v>1.0000000141562599</v>
      </c>
    </row>
    <row r="1902" spans="1:40" x14ac:dyDescent="0.25">
      <c r="A1902" t="str">
        <f>"20190312150702598"</f>
        <v>20190312150702598</v>
      </c>
      <c r="B1902" t="str">
        <f>"1552374422591933"</f>
        <v>1552374422591933</v>
      </c>
      <c r="C1902" t="s">
        <v>40</v>
      </c>
      <c r="D1902">
        <v>4.3419589999999904</v>
      </c>
      <c r="E1902">
        <v>0.55512969999999995</v>
      </c>
      <c r="F1902" t="s">
        <v>42</v>
      </c>
      <c r="G1902">
        <v>-210.90170000000001</v>
      </c>
      <c r="H1902" s="1">
        <v>-4.9786640000000001E-6</v>
      </c>
      <c r="I1902">
        <v>363.45359999999999</v>
      </c>
      <c r="J1902">
        <v>-221.15010000000001</v>
      </c>
      <c r="K1902">
        <v>1.1104579999999999</v>
      </c>
      <c r="L1902">
        <v>366.93819999999999</v>
      </c>
      <c r="M1902">
        <v>0.99824669999999904</v>
      </c>
      <c r="N1902">
        <v>0</v>
      </c>
      <c r="O1902">
        <v>-5.7666229999999999E-2</v>
      </c>
      <c r="P1902">
        <v>0.98171370000000002</v>
      </c>
      <c r="Q1902">
        <v>7.3060100000000003E-2</v>
      </c>
      <c r="R1902">
        <v>-0.1757871</v>
      </c>
      <c r="S1902">
        <v>2.9037169999999999</v>
      </c>
      <c r="T1902">
        <v>-0.31185299999999999</v>
      </c>
      <c r="U1902">
        <v>-0.98016360000000002</v>
      </c>
      <c r="V1902">
        <v>0.11894159999999999</v>
      </c>
      <c r="W1902">
        <v>8.6191680000000007E-2</v>
      </c>
      <c r="X1902">
        <v>0.98915310000000001</v>
      </c>
      <c r="Y1902">
        <v>0.2635923</v>
      </c>
      <c r="Z1902">
        <v>-7.7422910000000001E-3</v>
      </c>
      <c r="AA1902">
        <v>0.96460310000000005</v>
      </c>
      <c r="AB1902">
        <v>18</v>
      </c>
      <c r="AC1902">
        <v>10.2484</v>
      </c>
      <c r="AD1902">
        <v>-1.1104629786639999</v>
      </c>
      <c r="AE1902">
        <v>-3.4845999999999999</v>
      </c>
      <c r="AF1902">
        <v>2.8576865728088001</v>
      </c>
      <c r="AG1902">
        <v>-1.1104629786639999</v>
      </c>
      <c r="AH1902">
        <v>10.323657515293901</v>
      </c>
      <c r="AI1902">
        <v>95.918513547344503</v>
      </c>
      <c r="AJ1902">
        <v>74.527405493625693</v>
      </c>
      <c r="AK1902">
        <v>10.7692806198223</v>
      </c>
      <c r="AL1902">
        <v>85.055445297141503</v>
      </c>
      <c r="AM1902">
        <v>83.143338232563806</v>
      </c>
      <c r="AN1902">
        <v>0.999999982575696</v>
      </c>
    </row>
    <row r="1903" spans="1:40" x14ac:dyDescent="0.25">
      <c r="A1903" t="str">
        <f>"20190312150702610"</f>
        <v>20190312150702610</v>
      </c>
      <c r="B1903" t="str">
        <f>"1552374422602669"</f>
        <v>1552374422602669</v>
      </c>
      <c r="C1903" t="s">
        <v>40</v>
      </c>
      <c r="D1903">
        <v>4.3312489999999997</v>
      </c>
      <c r="E1903">
        <v>0.55543580000000004</v>
      </c>
      <c r="F1903" t="s">
        <v>42</v>
      </c>
      <c r="G1903">
        <v>-211.00299999999999</v>
      </c>
      <c r="H1903" s="1">
        <v>-4.9289780000000004E-6</v>
      </c>
      <c r="I1903">
        <v>363.48860000000002</v>
      </c>
      <c r="J1903">
        <v>-221.06559999999999</v>
      </c>
      <c r="K1903">
        <v>1.1104590000000001</v>
      </c>
      <c r="L1903">
        <v>366.93299999999999</v>
      </c>
      <c r="M1903">
        <v>0.99823019999999996</v>
      </c>
      <c r="N1903">
        <v>0</v>
      </c>
      <c r="O1903">
        <v>-5.7950990000000001E-2</v>
      </c>
      <c r="P1903">
        <v>0.98170469999999999</v>
      </c>
      <c r="Q1903">
        <v>7.2950689999999999E-2</v>
      </c>
      <c r="R1903">
        <v>-0.17588199999999901</v>
      </c>
      <c r="S1903">
        <v>2.9028019999999999</v>
      </c>
      <c r="T1903">
        <v>-0.31767139999999999</v>
      </c>
      <c r="U1903">
        <v>-0.98684689999999997</v>
      </c>
      <c r="V1903">
        <v>0.11875429999999999</v>
      </c>
      <c r="W1903">
        <v>8.6081939999999996E-2</v>
      </c>
      <c r="X1903">
        <v>0.98918519999999999</v>
      </c>
      <c r="Y1903">
        <v>0.26535379999999997</v>
      </c>
      <c r="Z1903">
        <v>-7.9490310000000005E-3</v>
      </c>
      <c r="AA1903">
        <v>0.96411840000000004</v>
      </c>
      <c r="AB1903">
        <v>18</v>
      </c>
      <c r="AC1903">
        <v>10.0626</v>
      </c>
      <c r="AD1903">
        <v>-1.1104639289780001</v>
      </c>
      <c r="AE1903">
        <v>-3.4444000000000199</v>
      </c>
      <c r="AF1903">
        <v>2.8246292671559199</v>
      </c>
      <c r="AG1903">
        <v>-1.1104639289780001</v>
      </c>
      <c r="AH1903">
        <v>10.134829475555399</v>
      </c>
      <c r="AI1903">
        <v>96.025061248954401</v>
      </c>
      <c r="AJ1903">
        <v>74.426571978609303</v>
      </c>
      <c r="AK1903">
        <v>10.5795287765109</v>
      </c>
      <c r="AL1903">
        <v>85.061756587755497</v>
      </c>
      <c r="AM1903">
        <v>83.154253068524</v>
      </c>
      <c r="AN1903">
        <v>1.00000002203084</v>
      </c>
    </row>
    <row r="1904" spans="1:40" x14ac:dyDescent="0.25">
      <c r="A1904" t="str">
        <f>"20190312150702620"</f>
        <v>20190312150702620</v>
      </c>
      <c r="B1904" t="str">
        <f>"1552374422612428"</f>
        <v>1552374422612428</v>
      </c>
      <c r="C1904" t="s">
        <v>40</v>
      </c>
      <c r="D1904">
        <v>4.2955579999999998</v>
      </c>
      <c r="E1904">
        <v>0.55576190000000003</v>
      </c>
      <c r="F1904" t="s">
        <v>42</v>
      </c>
      <c r="G1904">
        <v>-211.1644</v>
      </c>
      <c r="H1904" s="1">
        <v>-4.8475809999999997E-6</v>
      </c>
      <c r="I1904">
        <v>363.5573</v>
      </c>
      <c r="J1904">
        <v>-220.97720000000001</v>
      </c>
      <c r="K1904">
        <v>1.11046</v>
      </c>
      <c r="L1904">
        <v>366.92759999999998</v>
      </c>
      <c r="M1904">
        <v>0.99821280000000001</v>
      </c>
      <c r="N1904">
        <v>0</v>
      </c>
      <c r="O1904">
        <v>-5.824899E-2</v>
      </c>
      <c r="P1904">
        <v>0.98166659999999994</v>
      </c>
      <c r="Q1904">
        <v>7.2844640000000002E-2</v>
      </c>
      <c r="R1904">
        <v>-0.1761384</v>
      </c>
      <c r="S1904">
        <v>2.9028019999999999</v>
      </c>
      <c r="T1904">
        <v>-0.32555820000000002</v>
      </c>
      <c r="U1904">
        <v>-0.98968509999999998</v>
      </c>
      <c r="V1904">
        <v>0.11871660000000001</v>
      </c>
      <c r="W1904">
        <v>8.5975060000000006E-2</v>
      </c>
      <c r="X1904">
        <v>0.98919900000000005</v>
      </c>
      <c r="Y1904">
        <v>0.2658547</v>
      </c>
      <c r="Z1904">
        <v>-8.1390869999999997E-3</v>
      </c>
      <c r="AA1904">
        <v>0.96397880000000002</v>
      </c>
      <c r="AB1904">
        <v>18</v>
      </c>
      <c r="AC1904">
        <v>9.81280000000001</v>
      </c>
      <c r="AD1904">
        <v>-1.1104648475809999</v>
      </c>
      <c r="AE1904">
        <v>-3.3702999999999799</v>
      </c>
      <c r="AF1904">
        <v>2.7613090166819299</v>
      </c>
      <c r="AG1904">
        <v>-1.1104648475809999</v>
      </c>
      <c r="AH1904">
        <v>9.8793022348217505</v>
      </c>
      <c r="AI1904">
        <v>96.1784442674644</v>
      </c>
      <c r="AJ1904">
        <v>74.3840852527766</v>
      </c>
      <c r="AK1904">
        <v>10.3178763469173</v>
      </c>
      <c r="AL1904">
        <v>85.067903047940803</v>
      </c>
      <c r="AM1904">
        <v>83.156500287152099</v>
      </c>
      <c r="AN1904">
        <v>1.0000000018292801</v>
      </c>
    </row>
    <row r="1905" spans="1:40" x14ac:dyDescent="0.25">
      <c r="A1905" t="str">
        <f>"20190312150702630"</f>
        <v>20190312150702630</v>
      </c>
      <c r="B1905" t="str">
        <f>"1552374422622189"</f>
        <v>1552374422622189</v>
      </c>
      <c r="C1905" t="s">
        <v>40</v>
      </c>
      <c r="D1905">
        <v>4.3476999999999997</v>
      </c>
      <c r="E1905">
        <v>0.55637080000000005</v>
      </c>
      <c r="F1905" t="s">
        <v>42</v>
      </c>
      <c r="G1905">
        <v>-211.17019999999999</v>
      </c>
      <c r="H1905" s="1">
        <v>-4.8425139999999998E-6</v>
      </c>
      <c r="I1905">
        <v>363.57170000000002</v>
      </c>
      <c r="J1905">
        <v>-220.8981</v>
      </c>
      <c r="K1905">
        <v>1.11046</v>
      </c>
      <c r="L1905">
        <v>366.92259999999999</v>
      </c>
      <c r="M1905">
        <v>0.99819729999999995</v>
      </c>
      <c r="N1905">
        <v>0</v>
      </c>
      <c r="O1905">
        <v>-5.8515520000000001E-2</v>
      </c>
      <c r="P1905">
        <v>0.98162099999999997</v>
      </c>
      <c r="Q1905">
        <v>7.2867089999999995E-2</v>
      </c>
      <c r="R1905">
        <v>-0.1763825</v>
      </c>
      <c r="S1905">
        <v>2.902237</v>
      </c>
      <c r="T1905">
        <v>-0.3286229</v>
      </c>
      <c r="U1905">
        <v>-0.99310299999999996</v>
      </c>
      <c r="V1905">
        <v>0.1186986</v>
      </c>
      <c r="W1905">
        <v>8.5996920000000004E-2</v>
      </c>
      <c r="X1905">
        <v>0.9891993</v>
      </c>
      <c r="Y1905">
        <v>0.26664640000000001</v>
      </c>
      <c r="Z1905">
        <v>-8.2296780000000007E-3</v>
      </c>
      <c r="AA1905">
        <v>0.96375929999999999</v>
      </c>
      <c r="AB1905">
        <v>18</v>
      </c>
      <c r="AC1905">
        <v>9.7279</v>
      </c>
      <c r="AD1905">
        <v>-1.110464842514</v>
      </c>
      <c r="AE1905">
        <v>-3.3508999999999598</v>
      </c>
      <c r="AF1905">
        <v>2.7439105468979599</v>
      </c>
      <c r="AG1905">
        <v>-1.110464842514</v>
      </c>
      <c r="AH1905">
        <v>9.7932473197180396</v>
      </c>
      <c r="AI1905">
        <v>96.2312196299997</v>
      </c>
      <c r="AJ1905">
        <v>74.347981604784593</v>
      </c>
      <c r="AK1905">
        <v>10.2308294053318</v>
      </c>
      <c r="AL1905">
        <v>85.066646102409393</v>
      </c>
      <c r="AM1905">
        <v>83.157530126607199</v>
      </c>
      <c r="AN1905">
        <v>1.00000004150596</v>
      </c>
    </row>
    <row r="1906" spans="1:40" x14ac:dyDescent="0.25">
      <c r="A1906" t="str">
        <f>"20190312150702641"</f>
        <v>20190312150702641</v>
      </c>
      <c r="B1906" t="str">
        <f>"1552374422631949"</f>
        <v>1552374422631949</v>
      </c>
      <c r="C1906" t="s">
        <v>40</v>
      </c>
      <c r="D1906">
        <v>4.3723070000000002</v>
      </c>
      <c r="E1906">
        <v>0.55683609999999994</v>
      </c>
      <c r="F1906" t="s">
        <v>42</v>
      </c>
      <c r="G1906">
        <v>-211.16130000000001</v>
      </c>
      <c r="H1906" s="1">
        <v>-4.8465190000000004E-6</v>
      </c>
      <c r="I1906">
        <v>363.57060000000001</v>
      </c>
      <c r="J1906">
        <v>-220.8135</v>
      </c>
      <c r="K1906">
        <v>1.1104620000000001</v>
      </c>
      <c r="L1906">
        <v>366.91739999999999</v>
      </c>
      <c r="M1906">
        <v>0.99818039999999997</v>
      </c>
      <c r="N1906">
        <v>0</v>
      </c>
      <c r="O1906">
        <v>-5.880088E-2</v>
      </c>
      <c r="P1906">
        <v>0.98159379999999996</v>
      </c>
      <c r="Q1906">
        <v>7.2720160000000006E-2</v>
      </c>
      <c r="R1906">
        <v>-0.17659459999999999</v>
      </c>
      <c r="S1906">
        <v>2.9012600000000002</v>
      </c>
      <c r="T1906">
        <v>-0.33088139999999999</v>
      </c>
      <c r="U1906">
        <v>-0.99880979999999997</v>
      </c>
      <c r="V1906">
        <v>0.1186287</v>
      </c>
      <c r="W1906">
        <v>8.5849170000000002E-2</v>
      </c>
      <c r="X1906">
        <v>0.98922049999999995</v>
      </c>
      <c r="Y1906">
        <v>0.26814290000000002</v>
      </c>
      <c r="Z1906">
        <v>-8.3374179999999992E-3</v>
      </c>
      <c r="AA1906">
        <v>0.96334310000000001</v>
      </c>
      <c r="AB1906">
        <v>18</v>
      </c>
      <c r="AC1906">
        <v>9.6521999999999899</v>
      </c>
      <c r="AD1906">
        <v>-1.110466846519</v>
      </c>
      <c r="AE1906">
        <v>-3.3467999999999698</v>
      </c>
      <c r="AF1906">
        <v>2.7410131972428902</v>
      </c>
      <c r="AG1906">
        <v>-1.110466846519</v>
      </c>
      <c r="AH1906">
        <v>9.71749146028891</v>
      </c>
      <c r="AI1906">
        <v>96.276361478637995</v>
      </c>
      <c r="AJ1906">
        <v>74.247830831061094</v>
      </c>
      <c r="AK1906">
        <v>10.157555328200999</v>
      </c>
      <c r="AL1906">
        <v>85.075142885642407</v>
      </c>
      <c r="AM1906">
        <v>83.161666562868305</v>
      </c>
      <c r="AN1906">
        <v>1.00000002303681</v>
      </c>
    </row>
    <row r="1907" spans="1:40" x14ac:dyDescent="0.25">
      <c r="A1907" t="str">
        <f>"20190312150702651"</f>
        <v>20190312150702651</v>
      </c>
      <c r="B1907" t="str">
        <f>"1552374422641710"</f>
        <v>1552374422641710</v>
      </c>
      <c r="C1907" t="s">
        <v>40</v>
      </c>
      <c r="D1907">
        <v>4.2910409999999999</v>
      </c>
      <c r="E1907">
        <v>0.55679149999999999</v>
      </c>
      <c r="F1907" t="s">
        <v>42</v>
      </c>
      <c r="G1907">
        <v>-211.27799999999999</v>
      </c>
      <c r="H1907" s="1">
        <v>-4.787856E-6</v>
      </c>
      <c r="I1907">
        <v>363.61919999999998</v>
      </c>
      <c r="J1907">
        <v>-220.73500000000001</v>
      </c>
      <c r="K1907">
        <v>1.1104639999999999</v>
      </c>
      <c r="L1907">
        <v>366.91239999999999</v>
      </c>
      <c r="M1907">
        <v>0.99816479999999996</v>
      </c>
      <c r="N1907">
        <v>0</v>
      </c>
      <c r="O1907">
        <v>-5.9065739999999999E-2</v>
      </c>
      <c r="P1907">
        <v>0.98154059999999999</v>
      </c>
      <c r="Q1907">
        <v>7.2732969999999994E-2</v>
      </c>
      <c r="R1907">
        <v>-0.17688480000000001</v>
      </c>
      <c r="S1907">
        <v>2.9007719999999999</v>
      </c>
      <c r="T1907">
        <v>-0.33780870000000002</v>
      </c>
      <c r="U1907">
        <v>-1.0033259999999999</v>
      </c>
      <c r="V1907">
        <v>0.11865879999999999</v>
      </c>
      <c r="W1907">
        <v>8.5861060000000003E-2</v>
      </c>
      <c r="X1907">
        <v>0.98921590000000004</v>
      </c>
      <c r="Y1907">
        <v>0.26922200000000002</v>
      </c>
      <c r="Z1907">
        <v>-8.5414129999999994E-3</v>
      </c>
      <c r="AA1907">
        <v>0.96304020000000001</v>
      </c>
      <c r="AB1907">
        <v>18</v>
      </c>
      <c r="AC1907">
        <v>9.4570000000000203</v>
      </c>
      <c r="AD1907">
        <v>-1.110468787856</v>
      </c>
      <c r="AE1907">
        <v>-3.2932000000000099</v>
      </c>
      <c r="AF1907">
        <v>2.6956663167963701</v>
      </c>
      <c r="AG1907">
        <v>-1.110468787856</v>
      </c>
      <c r="AH1907">
        <v>9.5179763406572508</v>
      </c>
      <c r="AI1907">
        <v>96.404944889608998</v>
      </c>
      <c r="AJ1907">
        <v>74.186900475292006</v>
      </c>
      <c r="AK1907">
        <v>9.9544779592715997</v>
      </c>
      <c r="AL1907">
        <v>85.074459319465902</v>
      </c>
      <c r="AM1907">
        <v>83.159916383819905</v>
      </c>
      <c r="AN1907">
        <v>1.00000006462728</v>
      </c>
    </row>
    <row r="1908" spans="1:40" x14ac:dyDescent="0.25">
      <c r="A1908" t="str">
        <f>"20190312150702661"</f>
        <v>20190312150702661</v>
      </c>
      <c r="B1908" t="str">
        <f>"1552374422652445"</f>
        <v>1552374422652445</v>
      </c>
      <c r="C1908" t="s">
        <v>40</v>
      </c>
      <c r="D1908">
        <v>4.2908019999999896</v>
      </c>
      <c r="E1908">
        <v>0.55702149999999995</v>
      </c>
      <c r="F1908" t="s">
        <v>42</v>
      </c>
      <c r="G1908">
        <v>-211.37260000000001</v>
      </c>
      <c r="H1908" s="1">
        <v>-4.7380600000000002E-6</v>
      </c>
      <c r="I1908">
        <v>363.67110000000002</v>
      </c>
      <c r="J1908">
        <v>-220.65450000000001</v>
      </c>
      <c r="K1908">
        <v>1.110465</v>
      </c>
      <c r="L1908">
        <v>366.9074</v>
      </c>
      <c r="M1908">
        <v>0.9981487</v>
      </c>
      <c r="N1908">
        <v>0</v>
      </c>
      <c r="O1908">
        <v>-5.9337750000000002E-2</v>
      </c>
      <c r="P1908">
        <v>0.98149710000000001</v>
      </c>
      <c r="Q1908">
        <v>7.2781869999999999E-2</v>
      </c>
      <c r="R1908">
        <v>-0.17710499999999901</v>
      </c>
      <c r="S1908">
        <v>2.9009399999999999</v>
      </c>
      <c r="T1908">
        <v>-0.34407349999999998</v>
      </c>
      <c r="U1908">
        <v>-1.0043029999999999</v>
      </c>
      <c r="V1908">
        <v>0.11861140000000001</v>
      </c>
      <c r="W1908">
        <v>8.5909490000000005E-2</v>
      </c>
      <c r="X1908">
        <v>0.98921729999999997</v>
      </c>
      <c r="Y1908">
        <v>0.26918710000000001</v>
      </c>
      <c r="Z1908">
        <v>-8.6648279999999994E-3</v>
      </c>
      <c r="AA1908">
        <v>0.96304889999999999</v>
      </c>
      <c r="AB1908">
        <v>18</v>
      </c>
      <c r="AC1908">
        <v>9.2819000000000091</v>
      </c>
      <c r="AD1908">
        <v>-1.1104697380599999</v>
      </c>
      <c r="AE1908">
        <v>-3.2362999999999702</v>
      </c>
      <c r="AF1908">
        <v>2.6460123516860601</v>
      </c>
      <c r="AG1908">
        <v>-1.1104697380599999</v>
      </c>
      <c r="AH1908">
        <v>9.33841842552496</v>
      </c>
      <c r="AI1908">
        <v>96.526832989483196</v>
      </c>
      <c r="AJ1908">
        <v>74.180084007632402</v>
      </c>
      <c r="AK1908">
        <v>9.7693696365019491</v>
      </c>
      <c r="AL1908">
        <v>85.071673803913896</v>
      </c>
      <c r="AM1908">
        <v>83.162632468672498</v>
      </c>
      <c r="AN1908">
        <v>0.99999998565065396</v>
      </c>
    </row>
    <row r="1909" spans="1:40" x14ac:dyDescent="0.25">
      <c r="A1909" t="str">
        <f>"20190312150702672"</f>
        <v>20190312150702672</v>
      </c>
      <c r="B1909" t="str">
        <f>"1552374422662205"</f>
        <v>1552374422662205</v>
      </c>
      <c r="C1909" t="s">
        <v>40</v>
      </c>
      <c r="D1909">
        <v>4.2957299999999998</v>
      </c>
      <c r="E1909">
        <v>0.55698459999999905</v>
      </c>
      <c r="F1909" t="s">
        <v>42</v>
      </c>
      <c r="G1909">
        <v>-211.27209999999999</v>
      </c>
      <c r="H1909" s="1">
        <v>-4.7848539999999997E-6</v>
      </c>
      <c r="I1909">
        <v>363.65030000000002</v>
      </c>
      <c r="J1909">
        <v>-220.566</v>
      </c>
      <c r="K1909">
        <v>1.1104670000000001</v>
      </c>
      <c r="L1909">
        <v>366.90179999999998</v>
      </c>
      <c r="M1909">
        <v>0.99813090000000004</v>
      </c>
      <c r="N1909">
        <v>0</v>
      </c>
      <c r="O1909">
        <v>-5.9636939999999999E-2</v>
      </c>
      <c r="P1909">
        <v>0.98144799999999999</v>
      </c>
      <c r="Q1909">
        <v>7.2895790000000002E-2</v>
      </c>
      <c r="R1909">
        <v>-0.17733070000000001</v>
      </c>
      <c r="S1909">
        <v>2.900299</v>
      </c>
      <c r="T1909">
        <v>-0.34326800000000002</v>
      </c>
      <c r="U1909">
        <v>-1.0068360000000001</v>
      </c>
      <c r="V1909">
        <v>0.1185427</v>
      </c>
      <c r="W1909">
        <v>8.6022570000000007E-2</v>
      </c>
      <c r="X1909">
        <v>0.98921570000000003</v>
      </c>
      <c r="Y1909">
        <v>0.26971970000000001</v>
      </c>
      <c r="Z1909">
        <v>-8.6417619999999903E-3</v>
      </c>
      <c r="AA1909">
        <v>0.96290010000000004</v>
      </c>
      <c r="AB1909">
        <v>18</v>
      </c>
      <c r="AC1909">
        <v>9.2938999999999794</v>
      </c>
      <c r="AD1909">
        <v>-1.110471784854</v>
      </c>
      <c r="AE1909">
        <v>-3.2514999999999601</v>
      </c>
      <c r="AF1909">
        <v>2.65759907911829</v>
      </c>
      <c r="AG1909">
        <v>-1.110471784854</v>
      </c>
      <c r="AH1909">
        <v>9.3523243751480596</v>
      </c>
      <c r="AI1909">
        <v>96.515836574538994</v>
      </c>
      <c r="AJ1909">
        <v>74.136729416426405</v>
      </c>
      <c r="AK1909">
        <v>9.7858035780550896</v>
      </c>
      <c r="AL1909">
        <v>85.0651706837765</v>
      </c>
      <c r="AM1909">
        <v>83.166544281225995</v>
      </c>
      <c r="AN1909">
        <v>0.99999997769959204</v>
      </c>
    </row>
    <row r="1910" spans="1:40" x14ac:dyDescent="0.25">
      <c r="A1910" t="str">
        <f>"20190312150702684"</f>
        <v>20190312150702684</v>
      </c>
      <c r="B1910" t="str">
        <f>"1552374422671965"</f>
        <v>1552374422671965</v>
      </c>
      <c r="C1910" t="s">
        <v>40</v>
      </c>
      <c r="D1910">
        <v>4.2752530000000002</v>
      </c>
      <c r="E1910">
        <v>0.55716759999999999</v>
      </c>
      <c r="F1910" t="s">
        <v>42</v>
      </c>
      <c r="G1910">
        <v>-211.35339999999999</v>
      </c>
      <c r="H1910" s="1">
        <v>-4.7407950000000001E-6</v>
      </c>
      <c r="I1910">
        <v>363.702</v>
      </c>
      <c r="J1910">
        <v>-220.47739999999999</v>
      </c>
      <c r="K1910">
        <v>1.1104689999999999</v>
      </c>
      <c r="L1910">
        <v>366.89609999999999</v>
      </c>
      <c r="M1910">
        <v>0.99811300000000003</v>
      </c>
      <c r="N1910">
        <v>0</v>
      </c>
      <c r="O1910">
        <v>-5.9936250000000003E-2</v>
      </c>
      <c r="P1910">
        <v>0.98137319999999995</v>
      </c>
      <c r="Q1910">
        <v>7.3152819999999993E-2</v>
      </c>
      <c r="R1910">
        <v>-0.17763899999999999</v>
      </c>
      <c r="S1910">
        <v>2.9006500000000002</v>
      </c>
      <c r="T1910">
        <v>-0.34963949999999999</v>
      </c>
      <c r="U1910">
        <v>-1.007477</v>
      </c>
      <c r="V1910">
        <v>0.118558</v>
      </c>
      <c r="W1910">
        <v>8.6278160000000007E-2</v>
      </c>
      <c r="X1910">
        <v>0.98919170000000001</v>
      </c>
      <c r="Y1910">
        <v>0.2695398</v>
      </c>
      <c r="Z1910">
        <v>-8.7545959999999999E-3</v>
      </c>
      <c r="AA1910">
        <v>0.96294950000000001</v>
      </c>
      <c r="AB1910">
        <v>18</v>
      </c>
      <c r="AC1910">
        <v>9.1239999999999899</v>
      </c>
      <c r="AD1910">
        <v>-1.1104737407950001</v>
      </c>
      <c r="AE1910">
        <v>-3.1940999999999899</v>
      </c>
      <c r="AF1910">
        <v>2.60704727402076</v>
      </c>
      <c r="AG1910">
        <v>-1.1104737407950001</v>
      </c>
      <c r="AH1910">
        <v>9.17794225971355</v>
      </c>
      <c r="AI1910">
        <v>96.638743249748501</v>
      </c>
      <c r="AJ1910">
        <v>74.142497765522293</v>
      </c>
      <c r="AK1910">
        <v>9.6054396849186592</v>
      </c>
      <c r="AL1910">
        <v>85.050472263848903</v>
      </c>
      <c r="AM1910">
        <v>83.165506398663993</v>
      </c>
      <c r="AN1910">
        <v>1.0000000698029301</v>
      </c>
    </row>
    <row r="1911" spans="1:40" x14ac:dyDescent="0.25">
      <c r="A1911" t="str">
        <f>"20190312150702696"</f>
        <v>20190312150702696</v>
      </c>
      <c r="B1911" t="str">
        <f>"1552374422692461"</f>
        <v>1552374422692461</v>
      </c>
      <c r="C1911" t="s">
        <v>40</v>
      </c>
      <c r="D1911">
        <v>4.2290279999999996</v>
      </c>
      <c r="E1911">
        <v>0.5572783</v>
      </c>
      <c r="F1911" t="s">
        <v>42</v>
      </c>
      <c r="G1911">
        <v>-211.2765</v>
      </c>
      <c r="H1911" s="1">
        <v>-4.7755640000000003E-6</v>
      </c>
      <c r="I1911">
        <v>363.69200000000001</v>
      </c>
      <c r="J1911">
        <v>-220.38640000000001</v>
      </c>
      <c r="K1911">
        <v>1.1104689999999999</v>
      </c>
      <c r="L1911">
        <v>366.89030000000002</v>
      </c>
      <c r="M1911">
        <v>0.9980945</v>
      </c>
      <c r="N1911">
        <v>0</v>
      </c>
      <c r="O1911">
        <v>-6.0243659999999997E-2</v>
      </c>
      <c r="P1911">
        <v>0.98130819999999996</v>
      </c>
      <c r="Q1911">
        <v>7.3561749999999995E-2</v>
      </c>
      <c r="R1911">
        <v>-0.17782779999999901</v>
      </c>
      <c r="S1911">
        <v>2.9002080000000001</v>
      </c>
      <c r="T1911">
        <v>-0.3500298</v>
      </c>
      <c r="U1911">
        <v>-1.009949</v>
      </c>
      <c r="V1911">
        <v>0.1184458</v>
      </c>
      <c r="W1911">
        <v>8.6685750000000006E-2</v>
      </c>
      <c r="X1911">
        <v>0.98916939999999998</v>
      </c>
      <c r="Y1911">
        <v>0.27001700000000001</v>
      </c>
      <c r="Z1911">
        <v>-8.7566099999999997E-3</v>
      </c>
      <c r="AA1911">
        <v>0.9628158</v>
      </c>
      <c r="AB1911">
        <v>18</v>
      </c>
      <c r="AC1911">
        <v>9.1099000000000103</v>
      </c>
      <c r="AD1911">
        <v>-1.110473775564</v>
      </c>
      <c r="AE1911">
        <v>-3.1983000000000699</v>
      </c>
      <c r="AF1911">
        <v>2.6091126839447298</v>
      </c>
      <c r="AG1911">
        <v>-1.110473775564</v>
      </c>
      <c r="AH1911">
        <v>9.1648086171457095</v>
      </c>
      <c r="AI1911">
        <v>96.647075818167295</v>
      </c>
      <c r="AJ1911">
        <v>74.108973257376505</v>
      </c>
      <c r="AK1911">
        <v>9.5934528712369698</v>
      </c>
      <c r="AL1911">
        <v>85.027030729106897</v>
      </c>
      <c r="AM1911">
        <v>83.171760799496099</v>
      </c>
      <c r="AN1911">
        <v>0.99999996434353</v>
      </c>
    </row>
    <row r="1912" spans="1:40" x14ac:dyDescent="0.25">
      <c r="A1912" t="str">
        <f>"20190312150702709"</f>
        <v>20190312150702709</v>
      </c>
      <c r="B1912" t="str">
        <f>"1552374422702221"</f>
        <v>1552374422702221</v>
      </c>
      <c r="C1912" t="s">
        <v>40</v>
      </c>
      <c r="D1912">
        <v>4.2179799999999998</v>
      </c>
      <c r="E1912">
        <v>0.55753229999999998</v>
      </c>
      <c r="F1912" t="s">
        <v>42</v>
      </c>
      <c r="G1912">
        <v>-211.29650000000001</v>
      </c>
      <c r="H1912" s="1">
        <v>-4.7619659999999998E-6</v>
      </c>
      <c r="I1912">
        <v>363.72039999999998</v>
      </c>
      <c r="J1912">
        <v>-220.28649999999999</v>
      </c>
      <c r="K1912">
        <v>1.1104700000000001</v>
      </c>
      <c r="L1912">
        <v>366.88389999999998</v>
      </c>
      <c r="M1912">
        <v>0.99807420000000002</v>
      </c>
      <c r="N1912">
        <v>0</v>
      </c>
      <c r="O1912">
        <v>-6.058123E-2</v>
      </c>
      <c r="P1912">
        <v>0.9811955</v>
      </c>
      <c r="Q1912">
        <v>7.4099429999999994E-2</v>
      </c>
      <c r="R1912">
        <v>-0.17822750000000001</v>
      </c>
      <c r="S1912">
        <v>2.9004210000000001</v>
      </c>
      <c r="T1912">
        <v>-0.35432770000000002</v>
      </c>
      <c r="U1912">
        <v>-1.011444</v>
      </c>
      <c r="V1912">
        <v>0.11851680000000001</v>
      </c>
      <c r="W1912">
        <v>8.7221590000000002E-2</v>
      </c>
      <c r="X1912">
        <v>0.98911380000000004</v>
      </c>
      <c r="Y1912">
        <v>0.27008110000000002</v>
      </c>
      <c r="Z1912">
        <v>-8.8262189999999997E-3</v>
      </c>
      <c r="AA1912">
        <v>0.96279709999999996</v>
      </c>
      <c r="AB1912">
        <v>18</v>
      </c>
      <c r="AC1912">
        <v>8.9899999999999807</v>
      </c>
      <c r="AD1912">
        <v>-1.110474761966</v>
      </c>
      <c r="AE1912">
        <v>-3.1634999999999902</v>
      </c>
      <c r="AF1912">
        <v>2.57801353301089</v>
      </c>
      <c r="AG1912">
        <v>-1.110474761966</v>
      </c>
      <c r="AH1912">
        <v>9.0423837019309996</v>
      </c>
      <c r="AI1912">
        <v>96.735524918626496</v>
      </c>
      <c r="AJ1912">
        <v>74.086973607909201</v>
      </c>
      <c r="AK1912">
        <v>9.4680521220733702</v>
      </c>
      <c r="AL1912">
        <v>84.996212675076293</v>
      </c>
      <c r="AM1912">
        <v>83.167325999863806</v>
      </c>
      <c r="AN1912">
        <v>0.99999997349740299</v>
      </c>
    </row>
    <row r="1913" spans="1:40" x14ac:dyDescent="0.25">
      <c r="A1913" t="str">
        <f>"20190312150702720"</f>
        <v>20190312150702720</v>
      </c>
      <c r="B1913" t="str">
        <f>"1552374422711981"</f>
        <v>1552374422711981</v>
      </c>
      <c r="C1913" t="s">
        <v>40</v>
      </c>
      <c r="D1913">
        <v>4.3176410000000001</v>
      </c>
      <c r="E1913">
        <v>0.55763629999999997</v>
      </c>
      <c r="F1913" t="s">
        <v>42</v>
      </c>
      <c r="G1913">
        <v>-211.1823</v>
      </c>
      <c r="H1913" s="1">
        <v>-4.8147300000000002E-6</v>
      </c>
      <c r="I1913">
        <v>363.69889999999998</v>
      </c>
      <c r="J1913">
        <v>-220.18520000000001</v>
      </c>
      <c r="K1913">
        <v>1.1104700000000001</v>
      </c>
      <c r="L1913">
        <v>366.87729999999999</v>
      </c>
      <c r="M1913">
        <v>0.99805330000000003</v>
      </c>
      <c r="N1913">
        <v>0</v>
      </c>
      <c r="O1913">
        <v>-6.0923810000000002E-2</v>
      </c>
      <c r="P1913">
        <v>0.98114369999999995</v>
      </c>
      <c r="Q1913">
        <v>7.4507320000000002E-2</v>
      </c>
      <c r="R1913">
        <v>-0.1783428</v>
      </c>
      <c r="S1913">
        <v>2.899918</v>
      </c>
      <c r="T1913">
        <v>-0.35371209999999997</v>
      </c>
      <c r="U1913">
        <v>-1.014465</v>
      </c>
      <c r="V1913">
        <v>0.11829530000000001</v>
      </c>
      <c r="W1913">
        <v>8.762868E-2</v>
      </c>
      <c r="X1913">
        <v>0.98910439999999999</v>
      </c>
      <c r="Y1913">
        <v>0.27069979999999999</v>
      </c>
      <c r="Z1913">
        <v>-8.8073590000000007E-3</v>
      </c>
      <c r="AA1913">
        <v>0.96262349999999997</v>
      </c>
      <c r="AB1913">
        <v>18</v>
      </c>
      <c r="AC1913">
        <v>9.0029000000000092</v>
      </c>
      <c r="AD1913">
        <v>-1.1104748147299901</v>
      </c>
      <c r="AE1913">
        <v>-3.1784000000000101</v>
      </c>
      <c r="AF1913">
        <v>2.58893149901178</v>
      </c>
      <c r="AG1913">
        <v>-1.1104748147299901</v>
      </c>
      <c r="AH1913">
        <v>9.0573019911240795</v>
      </c>
      <c r="AI1913">
        <v>96.723238790725006</v>
      </c>
      <c r="AJ1913">
        <v>74.047990080065304</v>
      </c>
      <c r="AK1913">
        <v>9.4852749026659797</v>
      </c>
      <c r="AL1913">
        <v>84.9727988139243</v>
      </c>
      <c r="AM1913">
        <v>83.179911218521696</v>
      </c>
      <c r="AN1913">
        <v>1.0000000388299899</v>
      </c>
    </row>
    <row r="1914" spans="1:40" x14ac:dyDescent="0.25">
      <c r="A1914" t="str">
        <f>"20190312150702735"</f>
        <v>20190312150702735</v>
      </c>
      <c r="B1914" t="str">
        <f>"1552374422732477"</f>
        <v>1552374422732477</v>
      </c>
      <c r="C1914" t="s">
        <v>40</v>
      </c>
      <c r="D1914">
        <v>4.3200690000000002</v>
      </c>
      <c r="E1914">
        <v>0.55777650000000001</v>
      </c>
      <c r="F1914" t="s">
        <v>42</v>
      </c>
      <c r="G1914">
        <v>-211.14949999999999</v>
      </c>
      <c r="H1914" s="1">
        <v>-4.8264909999999998E-6</v>
      </c>
      <c r="I1914">
        <v>363.71210000000002</v>
      </c>
      <c r="J1914">
        <v>-220.08439999999999</v>
      </c>
      <c r="K1914">
        <v>1.110468</v>
      </c>
      <c r="L1914">
        <v>366.87079999999997</v>
      </c>
      <c r="M1914">
        <v>0.99803229999999998</v>
      </c>
      <c r="N1914">
        <v>0</v>
      </c>
      <c r="O1914">
        <v>-6.1264720000000002E-2</v>
      </c>
      <c r="P1914">
        <v>0.98108919999999999</v>
      </c>
      <c r="Q1914">
        <v>7.4815900000000005E-2</v>
      </c>
      <c r="R1914">
        <v>-0.1785127</v>
      </c>
      <c r="S1914">
        <v>2.9000849999999998</v>
      </c>
      <c r="T1914">
        <v>-0.35641319999999999</v>
      </c>
      <c r="U1914">
        <v>-1.0159</v>
      </c>
      <c r="V1914">
        <v>0.1181302</v>
      </c>
      <c r="W1914">
        <v>8.7936459999999994E-2</v>
      </c>
      <c r="X1914">
        <v>0.9890968</v>
      </c>
      <c r="Y1914">
        <v>0.27075919999999998</v>
      </c>
      <c r="Z1914">
        <v>-8.8362459999999903E-3</v>
      </c>
      <c r="AA1914">
        <v>0.96260650000000003</v>
      </c>
      <c r="AB1914">
        <v>18</v>
      </c>
      <c r="AC1914">
        <v>8.9348999999999901</v>
      </c>
      <c r="AD1914">
        <v>-1.110472826491</v>
      </c>
      <c r="AE1914">
        <v>-3.1586999999999499</v>
      </c>
      <c r="AF1914">
        <v>2.5700342581647702</v>
      </c>
      <c r="AG1914">
        <v>-1.110472826491</v>
      </c>
      <c r="AH1914">
        <v>8.9882328365738307</v>
      </c>
      <c r="AI1914">
        <v>96.774245626910002</v>
      </c>
      <c r="AJ1914">
        <v>74.043008059935701</v>
      </c>
      <c r="AK1914">
        <v>9.4141678076705002</v>
      </c>
      <c r="AL1914">
        <v>84.955095897752003</v>
      </c>
      <c r="AM1914">
        <v>83.189288431414695</v>
      </c>
      <c r="AN1914">
        <v>1.0000000224598</v>
      </c>
    </row>
    <row r="1915" spans="1:40" x14ac:dyDescent="0.25">
      <c r="A1915" t="str">
        <f>"20190312150702748"</f>
        <v>20190312150702748</v>
      </c>
      <c r="B1915" t="str">
        <f>"1552374422742238"</f>
        <v>1552374422742238</v>
      </c>
      <c r="C1915" t="s">
        <v>40</v>
      </c>
      <c r="D1915">
        <v>4.2944290000000001</v>
      </c>
      <c r="E1915">
        <v>0.55796440000000003</v>
      </c>
      <c r="F1915" t="s">
        <v>42</v>
      </c>
      <c r="G1915">
        <v>-211.17490000000001</v>
      </c>
      <c r="H1915" s="1">
        <v>-4.8097410000000004E-6</v>
      </c>
      <c r="I1915">
        <v>363.745</v>
      </c>
      <c r="J1915">
        <v>-219.9776</v>
      </c>
      <c r="K1915">
        <v>1.1104670000000001</v>
      </c>
      <c r="L1915">
        <v>366.86380000000003</v>
      </c>
      <c r="M1915">
        <v>0.99801019999999896</v>
      </c>
      <c r="N1915">
        <v>0</v>
      </c>
      <c r="O1915">
        <v>-6.1625770000000003E-2</v>
      </c>
      <c r="P1915">
        <v>0.98095449999999995</v>
      </c>
      <c r="Q1915">
        <v>7.5151289999999996E-2</v>
      </c>
      <c r="R1915">
        <v>-0.1791122</v>
      </c>
      <c r="S1915">
        <v>2.9002530000000002</v>
      </c>
      <c r="T1915">
        <v>-0.361485</v>
      </c>
      <c r="U1915">
        <v>-1.017517</v>
      </c>
      <c r="V1915">
        <v>0.1183786</v>
      </c>
      <c r="W1915">
        <v>8.8269429999999996E-2</v>
      </c>
      <c r="X1915">
        <v>0.98903739999999996</v>
      </c>
      <c r="Y1915">
        <v>0.27083439999999998</v>
      </c>
      <c r="Z1915">
        <v>-8.9211310000000005E-3</v>
      </c>
      <c r="AA1915">
        <v>0.96258460000000001</v>
      </c>
      <c r="AB1915">
        <v>18</v>
      </c>
      <c r="AC1915">
        <v>8.8026999999999802</v>
      </c>
      <c r="AD1915">
        <v>-1.110471809741</v>
      </c>
      <c r="AE1915">
        <v>-3.1188000000000198</v>
      </c>
      <c r="AF1915">
        <v>2.5345135499201201</v>
      </c>
      <c r="AG1915">
        <v>-1.110471809741</v>
      </c>
      <c r="AH1915">
        <v>8.8530065469546102</v>
      </c>
      <c r="AI1915">
        <v>96.876090049579901</v>
      </c>
      <c r="AJ1915">
        <v>74.024194164553705</v>
      </c>
      <c r="AK1915">
        <v>9.27537770095533</v>
      </c>
      <c r="AL1915">
        <v>84.935943440551995</v>
      </c>
      <c r="AM1915">
        <v>83.174696027769301</v>
      </c>
      <c r="AN1915">
        <v>0.99999998190462203</v>
      </c>
    </row>
    <row r="1916" spans="1:40" x14ac:dyDescent="0.25">
      <c r="A1916" t="str">
        <f>"20190312150702759"</f>
        <v>20190312150702759</v>
      </c>
      <c r="B1916" t="str">
        <f>"1552374422751997"</f>
        <v>1552374422751997</v>
      </c>
      <c r="C1916" t="s">
        <v>40</v>
      </c>
      <c r="D1916">
        <v>4.2104759999999999</v>
      </c>
      <c r="E1916">
        <v>0.55834629999999996</v>
      </c>
      <c r="F1916" t="s">
        <v>42</v>
      </c>
      <c r="G1916">
        <v>-211.09780000000001</v>
      </c>
      <c r="H1916" s="1">
        <v>-4.8440450000000003E-6</v>
      </c>
      <c r="I1916">
        <v>363.73809999999997</v>
      </c>
      <c r="J1916">
        <v>-219.87989999999999</v>
      </c>
      <c r="K1916">
        <v>1.110465</v>
      </c>
      <c r="L1916">
        <v>366.85739999999998</v>
      </c>
      <c r="M1916">
        <v>0.99798969999999998</v>
      </c>
      <c r="N1916">
        <v>0</v>
      </c>
      <c r="O1916">
        <v>-6.1955589999999998E-2</v>
      </c>
      <c r="P1916">
        <v>0.98075210000000002</v>
      </c>
      <c r="Q1916">
        <v>7.5422240000000002E-2</v>
      </c>
      <c r="R1916">
        <v>-0.1801015</v>
      </c>
      <c r="S1916">
        <v>2.899689</v>
      </c>
      <c r="T1916">
        <v>-0.36262230000000001</v>
      </c>
      <c r="U1916">
        <v>-1.020691</v>
      </c>
      <c r="V1916">
        <v>0.1190518</v>
      </c>
      <c r="W1916">
        <v>8.8537309999999994E-2</v>
      </c>
      <c r="X1916">
        <v>0.9889327</v>
      </c>
      <c r="Y1916">
        <v>0.2715014</v>
      </c>
      <c r="Z1916">
        <v>-8.9498400000000006E-3</v>
      </c>
      <c r="AA1916">
        <v>0.96239640000000004</v>
      </c>
      <c r="AB1916">
        <v>18</v>
      </c>
      <c r="AC1916">
        <v>8.7820999999999803</v>
      </c>
      <c r="AD1916">
        <v>-1.1104698440449901</v>
      </c>
      <c r="AE1916">
        <v>-3.1193</v>
      </c>
      <c r="AF1916">
        <v>2.5331923955166502</v>
      </c>
      <c r="AG1916">
        <v>-1.1104698440449901</v>
      </c>
      <c r="AH1916">
        <v>8.8330917012428802</v>
      </c>
      <c r="AI1916">
        <v>96.890535541519398</v>
      </c>
      <c r="AJ1916">
        <v>73.997937548677001</v>
      </c>
      <c r="AK1916">
        <v>9.2560097228666791</v>
      </c>
      <c r="AL1916">
        <v>84.920534992083105</v>
      </c>
      <c r="AM1916">
        <v>83.135531132717006</v>
      </c>
      <c r="AN1916">
        <v>1.00000003573728</v>
      </c>
    </row>
    <row r="1917" spans="1:40" x14ac:dyDescent="0.25">
      <c r="A1917" t="str">
        <f>"20190312150702772"</f>
        <v>20190312150702772</v>
      </c>
      <c r="B1917" t="str">
        <f>"1552374422761757"</f>
        <v>1552374422761757</v>
      </c>
      <c r="C1917" t="s">
        <v>40</v>
      </c>
      <c r="D1917">
        <v>4.2419479999999998</v>
      </c>
      <c r="E1917">
        <v>0.55870989999999998</v>
      </c>
      <c r="F1917" t="s">
        <v>42</v>
      </c>
      <c r="G1917">
        <v>-210.98140000000001</v>
      </c>
      <c r="H1917" s="1">
        <v>-4.9001249999999999E-6</v>
      </c>
      <c r="I1917">
        <v>363.70359999999999</v>
      </c>
      <c r="J1917">
        <v>-219.78129999999999</v>
      </c>
      <c r="K1917">
        <v>1.110465</v>
      </c>
      <c r="L1917">
        <v>366.85090000000002</v>
      </c>
      <c r="M1917">
        <v>0.99796910000000005</v>
      </c>
      <c r="N1917">
        <v>0</v>
      </c>
      <c r="O1917">
        <v>-6.2288749999999997E-2</v>
      </c>
      <c r="P1917">
        <v>0.98061480000000001</v>
      </c>
      <c r="Q1917">
        <v>7.5792680000000001E-2</v>
      </c>
      <c r="R1917">
        <v>-0.1806934</v>
      </c>
      <c r="S1917">
        <v>2.8980709999999998</v>
      </c>
      <c r="T1917">
        <v>-0.36165730000000001</v>
      </c>
      <c r="U1917">
        <v>-1.0271300000000001</v>
      </c>
      <c r="V1917">
        <v>0.1193205</v>
      </c>
      <c r="W1917">
        <v>8.890634E-2</v>
      </c>
      <c r="X1917">
        <v>0.98886719999999895</v>
      </c>
      <c r="Y1917">
        <v>0.27324690000000001</v>
      </c>
      <c r="Z1917">
        <v>-8.9931919999999901E-3</v>
      </c>
      <c r="AA1917">
        <v>0.96190189999999998</v>
      </c>
      <c r="AB1917">
        <v>18</v>
      </c>
      <c r="AC1917">
        <v>8.7998999999999796</v>
      </c>
      <c r="AD1917">
        <v>-1.110469900125</v>
      </c>
      <c r="AE1917">
        <v>-3.14730000000002</v>
      </c>
      <c r="AF1917">
        <v>2.55690478933617</v>
      </c>
      <c r="AG1917">
        <v>-1.110469900125</v>
      </c>
      <c r="AH1917">
        <v>8.85386649247401</v>
      </c>
      <c r="AI1917">
        <v>96.870894970119096</v>
      </c>
      <c r="AJ1917">
        <v>73.891831186152999</v>
      </c>
      <c r="AK1917">
        <v>9.2823411576696504</v>
      </c>
      <c r="AL1917">
        <v>84.899307385243404</v>
      </c>
      <c r="AM1917">
        <v>83.119735015816403</v>
      </c>
      <c r="AN1917">
        <v>1.00000002912414</v>
      </c>
    </row>
    <row r="1918" spans="1:40" x14ac:dyDescent="0.25">
      <c r="A1918" t="str">
        <f>"20190312150702784"</f>
        <v>20190312150702784</v>
      </c>
      <c r="B1918" t="str">
        <f>"1552374422772493"</f>
        <v>1552374422772493</v>
      </c>
      <c r="C1918" t="s">
        <v>40</v>
      </c>
      <c r="D1918">
        <v>4.2540959999999997</v>
      </c>
      <c r="E1918">
        <v>0.55918540000000005</v>
      </c>
      <c r="F1918" t="s">
        <v>42</v>
      </c>
      <c r="G1918">
        <v>-210.87139999999999</v>
      </c>
      <c r="H1918" s="1">
        <v>-4.952109E-6</v>
      </c>
      <c r="I1918">
        <v>363.6764</v>
      </c>
      <c r="J1918">
        <v>-219.6927</v>
      </c>
      <c r="K1918">
        <v>1.110465</v>
      </c>
      <c r="L1918">
        <v>366.84500000000003</v>
      </c>
      <c r="M1918">
        <v>0.99795040000000002</v>
      </c>
      <c r="N1918">
        <v>0</v>
      </c>
      <c r="O1918">
        <v>-6.2588290000000005E-2</v>
      </c>
      <c r="P1918">
        <v>0.98054330000000001</v>
      </c>
      <c r="Q1918">
        <v>7.5574550000000004E-2</v>
      </c>
      <c r="R1918">
        <v>-0.18117330000000001</v>
      </c>
      <c r="S1918">
        <v>2.8970030000000002</v>
      </c>
      <c r="T1918">
        <v>-0.36106179999999999</v>
      </c>
      <c r="U1918">
        <v>-1.0321659999999999</v>
      </c>
      <c r="V1918">
        <v>0.119506399999999</v>
      </c>
      <c r="W1918">
        <v>8.8686920000000002E-2</v>
      </c>
      <c r="X1918">
        <v>0.98886439999999998</v>
      </c>
      <c r="Y1918">
        <v>0.27455210000000002</v>
      </c>
      <c r="Z1918">
        <v>-9.0219549999999999E-3</v>
      </c>
      <c r="AA1918">
        <v>0.96152990000000005</v>
      </c>
      <c r="AB1918">
        <v>18</v>
      </c>
      <c r="AC1918">
        <v>8.8213000000000008</v>
      </c>
      <c r="AD1918">
        <v>-1.110469952109</v>
      </c>
      <c r="AE1918">
        <v>-3.1686000000000201</v>
      </c>
      <c r="AF1918">
        <v>2.5740972942965299</v>
      </c>
      <c r="AG1918">
        <v>-1.110469952109</v>
      </c>
      <c r="AH1918">
        <v>8.8777286612255004</v>
      </c>
      <c r="AI1918">
        <v>96.850500436448698</v>
      </c>
      <c r="AJ1918">
        <v>73.830484350086095</v>
      </c>
      <c r="AK1918">
        <v>9.3098435313052601</v>
      </c>
      <c r="AL1918">
        <v>84.911928809817795</v>
      </c>
      <c r="AM1918">
        <v>83.109099305633805</v>
      </c>
      <c r="AN1918">
        <v>0.99999997550370201</v>
      </c>
    </row>
    <row r="1919" spans="1:40" x14ac:dyDescent="0.25">
      <c r="A1919" t="str">
        <f>"20190312150702794"</f>
        <v>20190312150702794</v>
      </c>
      <c r="B1919" t="str">
        <f>"1552374422792015"</f>
        <v>1552374422792015</v>
      </c>
      <c r="C1919" t="s">
        <v>40</v>
      </c>
      <c r="D1919">
        <v>4.1607059999999896</v>
      </c>
      <c r="E1919">
        <v>0.55970379999999997</v>
      </c>
      <c r="F1919" t="s">
        <v>42</v>
      </c>
      <c r="G1919">
        <v>-210.80170000000001</v>
      </c>
      <c r="H1919" s="1">
        <v>-4.9849749999999997E-6</v>
      </c>
      <c r="I1919">
        <v>363.65980000000002</v>
      </c>
      <c r="J1919">
        <v>-219.6062</v>
      </c>
      <c r="K1919">
        <v>1.1104609999999999</v>
      </c>
      <c r="L1919">
        <v>366.83920000000001</v>
      </c>
      <c r="M1919">
        <v>0.99793209999999999</v>
      </c>
      <c r="N1919">
        <v>0</v>
      </c>
      <c r="O1919">
        <v>-6.2880560000000002E-2</v>
      </c>
      <c r="P1919">
        <v>0.98045899999999997</v>
      </c>
      <c r="Q1919">
        <v>7.4909859999999995E-2</v>
      </c>
      <c r="R1919">
        <v>-0.18190539999999999</v>
      </c>
      <c r="S1919">
        <v>2.895737</v>
      </c>
      <c r="T1919">
        <v>-0.36166700000000002</v>
      </c>
      <c r="U1919">
        <v>-1.0373840000000001</v>
      </c>
      <c r="V1919">
        <v>0.1199518</v>
      </c>
      <c r="W1919">
        <v>8.8021009999999997E-2</v>
      </c>
      <c r="X1919">
        <v>0.98887000000000003</v>
      </c>
      <c r="Y1919">
        <v>0.27592749999999999</v>
      </c>
      <c r="Z1919">
        <v>-9.0861129999999998E-3</v>
      </c>
      <c r="AA1919">
        <v>0.96113550000000003</v>
      </c>
      <c r="AB1919">
        <v>18</v>
      </c>
      <c r="AC1919">
        <v>8.8044999999999902</v>
      </c>
      <c r="AD1919">
        <v>-1.110465984975</v>
      </c>
      <c r="AE1919">
        <v>-3.1793999999999798</v>
      </c>
      <c r="AF1919">
        <v>2.5830758778757001</v>
      </c>
      <c r="AG1919">
        <v>-1.110465984975</v>
      </c>
      <c r="AH1919">
        <v>8.8622995801597604</v>
      </c>
      <c r="AI1919">
        <v>96.859524107819496</v>
      </c>
      <c r="AJ1919">
        <v>73.750291306553905</v>
      </c>
      <c r="AK1919">
        <v>9.2976217143498392</v>
      </c>
      <c r="AL1919">
        <v>84.950232592014501</v>
      </c>
      <c r="AM1919">
        <v>83.083704034802906</v>
      </c>
      <c r="AN1919">
        <v>1.0000000047123301</v>
      </c>
    </row>
    <row r="1920" spans="1:40" x14ac:dyDescent="0.25">
      <c r="A1920" t="str">
        <f>"20190312150702806"</f>
        <v>20190312150702806</v>
      </c>
      <c r="B1920" t="str">
        <f>"1552374422801773"</f>
        <v>1552374422801773</v>
      </c>
      <c r="C1920" t="s">
        <v>40</v>
      </c>
      <c r="D1920">
        <v>4.2590620000000001</v>
      </c>
      <c r="E1920">
        <v>0.56006250000000002</v>
      </c>
      <c r="F1920" t="s">
        <v>42</v>
      </c>
      <c r="G1920">
        <v>-210.83529999999999</v>
      </c>
      <c r="H1920" s="1">
        <v>-4.9676170000000003E-6</v>
      </c>
      <c r="I1920">
        <v>363.67630000000003</v>
      </c>
      <c r="J1920">
        <v>-219.51859999999999</v>
      </c>
      <c r="K1920">
        <v>1.1104579999999999</v>
      </c>
      <c r="L1920">
        <v>366.83330000000001</v>
      </c>
      <c r="M1920">
        <v>0.99791339999999995</v>
      </c>
      <c r="N1920">
        <v>0</v>
      </c>
      <c r="O1920">
        <v>-6.3176769999999993E-2</v>
      </c>
      <c r="P1920">
        <v>0.98042910000000005</v>
      </c>
      <c r="Q1920">
        <v>7.3940190000000003E-2</v>
      </c>
      <c r="R1920">
        <v>-0.1824624</v>
      </c>
      <c r="S1920">
        <v>2.8941349999999999</v>
      </c>
      <c r="T1920">
        <v>-0.36641629999999997</v>
      </c>
      <c r="U1920">
        <v>-1.0436399999999999</v>
      </c>
      <c r="V1920">
        <v>0.120215</v>
      </c>
      <c r="W1920">
        <v>8.7050580000000002E-2</v>
      </c>
      <c r="X1920">
        <v>0.98892400000000003</v>
      </c>
      <c r="Y1920">
        <v>0.27760240000000003</v>
      </c>
      <c r="Z1920">
        <v>-9.2726679999999995E-3</v>
      </c>
      <c r="AA1920">
        <v>0.96065129999999999</v>
      </c>
      <c r="AB1920">
        <v>18</v>
      </c>
      <c r="AC1920">
        <v>8.6832999999999991</v>
      </c>
      <c r="AD1920">
        <v>-1.1104629676169999</v>
      </c>
      <c r="AE1920">
        <v>-3.15699999999998</v>
      </c>
      <c r="AF1920">
        <v>2.56500886759942</v>
      </c>
      <c r="AG1920">
        <v>-1.1104629676169999</v>
      </c>
      <c r="AH1920">
        <v>8.7391789384441996</v>
      </c>
      <c r="AI1920">
        <v>96.951422154883105</v>
      </c>
      <c r="AJ1920">
        <v>73.642674855314297</v>
      </c>
      <c r="AK1920">
        <v>9.1752736750169497</v>
      </c>
      <c r="AL1920">
        <v>85.006048688783906</v>
      </c>
      <c r="AM1920">
        <v>83.069050470509197</v>
      </c>
      <c r="AN1920">
        <v>1.00000006373966</v>
      </c>
    </row>
    <row r="1921" spans="1:40" x14ac:dyDescent="0.25">
      <c r="A1921" t="str">
        <f>"20190312150702817"</f>
        <v>20190312150702817</v>
      </c>
      <c r="B1921" t="str">
        <f>"1552374422812509"</f>
        <v>1552374422812509</v>
      </c>
      <c r="C1921" t="s">
        <v>40</v>
      </c>
      <c r="D1921">
        <v>4.1690909999999999</v>
      </c>
      <c r="E1921">
        <v>0.56029859999999998</v>
      </c>
      <c r="F1921" t="s">
        <v>42</v>
      </c>
      <c r="G1921">
        <v>-210.8467</v>
      </c>
      <c r="H1921" s="1">
        <v>-4.9602329999999998E-6</v>
      </c>
      <c r="I1921">
        <v>363.69049999999999</v>
      </c>
      <c r="J1921">
        <v>-219.43289999999999</v>
      </c>
      <c r="K1921">
        <v>1.1104510000000001</v>
      </c>
      <c r="L1921">
        <v>366.82760000000002</v>
      </c>
      <c r="M1921">
        <v>0.99789499999999998</v>
      </c>
      <c r="N1921">
        <v>0</v>
      </c>
      <c r="O1921">
        <v>-6.3466300000000003E-2</v>
      </c>
      <c r="P1921">
        <v>0.98035740000000005</v>
      </c>
      <c r="Q1921">
        <v>7.2663169999999999E-2</v>
      </c>
      <c r="R1921">
        <v>-0.18335670000000001</v>
      </c>
      <c r="S1921">
        <v>2.8927309999999999</v>
      </c>
      <c r="T1921">
        <v>-0.3704189</v>
      </c>
      <c r="U1921">
        <v>-1.04837</v>
      </c>
      <c r="V1921">
        <v>0.1208238</v>
      </c>
      <c r="W1921">
        <v>8.5773160000000001E-2</v>
      </c>
      <c r="X1921">
        <v>0.98896130000000004</v>
      </c>
      <c r="Y1921">
        <v>0.2788216</v>
      </c>
      <c r="Z1921">
        <v>-9.4148830000000006E-3</v>
      </c>
      <c r="AA1921">
        <v>0.96029679999999995</v>
      </c>
      <c r="AB1921">
        <v>18</v>
      </c>
      <c r="AC1921">
        <v>8.5861999999999892</v>
      </c>
      <c r="AD1921">
        <v>-1.110455960233</v>
      </c>
      <c r="AE1921">
        <v>-3.13710000000003</v>
      </c>
      <c r="AF1921">
        <v>2.5481894215501</v>
      </c>
      <c r="AG1921">
        <v>-1.110455960233</v>
      </c>
      <c r="AH1921">
        <v>8.6405015588043295</v>
      </c>
      <c r="AI1921">
        <v>97.027327942103497</v>
      </c>
      <c r="AJ1921">
        <v>73.568568121698505</v>
      </c>
      <c r="AK1921">
        <v>9.0765989751347398</v>
      </c>
      <c r="AL1921">
        <v>85.079513647939706</v>
      </c>
      <c r="AM1921">
        <v>83.034554466416907</v>
      </c>
      <c r="AN1921">
        <v>0.99999993926025599</v>
      </c>
    </row>
    <row r="1922" spans="1:40" x14ac:dyDescent="0.25">
      <c r="A1922" t="str">
        <f>"20190312150702829"</f>
        <v>20190312150702829</v>
      </c>
      <c r="B1922" t="str">
        <f>"1552374422822269"</f>
        <v>1552374422822269</v>
      </c>
      <c r="C1922" t="s">
        <v>40</v>
      </c>
      <c r="D1922">
        <v>4.2122029999999997</v>
      </c>
      <c r="E1922">
        <v>0.56063039999999997</v>
      </c>
      <c r="F1922" t="s">
        <v>42</v>
      </c>
      <c r="G1922">
        <v>-210.8579</v>
      </c>
      <c r="H1922" s="1">
        <v>-4.9528780000000003E-6</v>
      </c>
      <c r="I1922">
        <v>363.70490000000001</v>
      </c>
      <c r="J1922">
        <v>-219.34059999999999</v>
      </c>
      <c r="K1922">
        <v>1.1104480000000001</v>
      </c>
      <c r="L1922">
        <v>366.82130000000001</v>
      </c>
      <c r="M1922">
        <v>0.99787510000000001</v>
      </c>
      <c r="N1922">
        <v>0</v>
      </c>
      <c r="O1922">
        <v>-6.3777890000000004E-2</v>
      </c>
      <c r="P1922">
        <v>0.98033049999999999</v>
      </c>
      <c r="Q1922">
        <v>7.0839109999999997E-2</v>
      </c>
      <c r="R1922">
        <v>-0.1842126</v>
      </c>
      <c r="S1922">
        <v>2.8909449999999999</v>
      </c>
      <c r="T1922">
        <v>-0.3743707</v>
      </c>
      <c r="U1922">
        <v>-1.052765</v>
      </c>
      <c r="V1922">
        <v>0.12136909999999999</v>
      </c>
      <c r="W1922">
        <v>8.3948709999999996E-2</v>
      </c>
      <c r="X1922">
        <v>0.98905120000000002</v>
      </c>
      <c r="Y1922">
        <v>0.27996130000000002</v>
      </c>
      <c r="Z1922">
        <v>-9.5503350000000001E-3</v>
      </c>
      <c r="AA1922">
        <v>0.95996380000000003</v>
      </c>
      <c r="AB1922">
        <v>18</v>
      </c>
      <c r="AC1922">
        <v>8.4826999999999906</v>
      </c>
      <c r="AD1922">
        <v>-1.1104529528779901</v>
      </c>
      <c r="AE1922">
        <v>-3.1163999999999898</v>
      </c>
      <c r="AF1922">
        <v>2.5307851996041499</v>
      </c>
      <c r="AG1922">
        <v>-1.1104529528779901</v>
      </c>
      <c r="AH1922">
        <v>8.5353274850243093</v>
      </c>
      <c r="AI1922">
        <v>97.109966727776893</v>
      </c>
      <c r="AJ1922">
        <v>73.484535878991394</v>
      </c>
      <c r="AK1922">
        <v>8.9716104888532797</v>
      </c>
      <c r="AL1922">
        <v>85.1844259754848</v>
      </c>
      <c r="AM1922">
        <v>83.004058675498896</v>
      </c>
      <c r="AN1922">
        <v>1.00000006028345</v>
      </c>
    </row>
    <row r="1923" spans="1:40" x14ac:dyDescent="0.25">
      <c r="A1923" t="str">
        <f>"20190312150702839"</f>
        <v>20190312150702839</v>
      </c>
      <c r="B1923" t="str">
        <f>"1552374422832029"</f>
        <v>1552374422832029</v>
      </c>
      <c r="C1923" t="s">
        <v>40</v>
      </c>
      <c r="D1923">
        <v>4.2312219999999998</v>
      </c>
      <c r="E1923">
        <v>0.56088190000000004</v>
      </c>
      <c r="F1923" t="s">
        <v>42</v>
      </c>
      <c r="G1923">
        <v>-210.92320000000001</v>
      </c>
      <c r="H1923" s="1">
        <v>-4.9187279999999999E-6</v>
      </c>
      <c r="I1923">
        <v>363.73930000000001</v>
      </c>
      <c r="J1923">
        <v>-219.25370000000001</v>
      </c>
      <c r="K1923">
        <v>1.11043799999999</v>
      </c>
      <c r="L1923">
        <v>366.81540000000001</v>
      </c>
      <c r="M1923">
        <v>0.99785630000000003</v>
      </c>
      <c r="N1923">
        <v>0</v>
      </c>
      <c r="O1923">
        <v>-6.4071230000000007E-2</v>
      </c>
      <c r="P1923">
        <v>0.98028570000000004</v>
      </c>
      <c r="Q1923">
        <v>6.9278809999999996E-2</v>
      </c>
      <c r="R1923">
        <v>-0.18504209999999999</v>
      </c>
      <c r="S1923">
        <v>2.8889619999999998</v>
      </c>
      <c r="T1923">
        <v>-0.38112079999999998</v>
      </c>
      <c r="U1923">
        <v>-1.0577700000000001</v>
      </c>
      <c r="V1923">
        <v>0.12190769999999999</v>
      </c>
      <c r="W1923">
        <v>8.2387719999999998E-2</v>
      </c>
      <c r="X1923">
        <v>0.9891162</v>
      </c>
      <c r="Y1923">
        <v>0.28129179999999998</v>
      </c>
      <c r="Z1923">
        <v>-9.7723689999999995E-3</v>
      </c>
      <c r="AA1923">
        <v>0.95957250000000005</v>
      </c>
      <c r="AB1923">
        <v>18</v>
      </c>
      <c r="AC1923">
        <v>8.3305000000000007</v>
      </c>
      <c r="AD1923">
        <v>-1.1104429187279901</v>
      </c>
      <c r="AE1923">
        <v>-3.0760999999999901</v>
      </c>
      <c r="AF1923">
        <v>2.4969424106350799</v>
      </c>
      <c r="AG1923">
        <v>-1.1104429187279901</v>
      </c>
      <c r="AH1923">
        <v>8.3794625956239397</v>
      </c>
      <c r="AI1923">
        <v>97.237873887613802</v>
      </c>
      <c r="AJ1923">
        <v>73.406806559328501</v>
      </c>
      <c r="AK1923">
        <v>8.8138072516502195</v>
      </c>
      <c r="AL1923">
        <v>85.2741749577782</v>
      </c>
      <c r="AM1923">
        <v>82.973779593127603</v>
      </c>
      <c r="AN1923">
        <v>1.0000000404142599</v>
      </c>
    </row>
    <row r="1924" spans="1:40" x14ac:dyDescent="0.25">
      <c r="A1924" t="str">
        <f>"20190312150702849"</f>
        <v>20190312150702849</v>
      </c>
      <c r="B1924" t="str">
        <f>"1552374422841790"</f>
        <v>1552374422841790</v>
      </c>
      <c r="C1924" t="s">
        <v>40</v>
      </c>
      <c r="D1924">
        <v>4.211792</v>
      </c>
      <c r="E1924">
        <v>0.56114849999999905</v>
      </c>
      <c r="F1924" t="s">
        <v>42</v>
      </c>
      <c r="G1924">
        <v>-210.9727</v>
      </c>
      <c r="H1924" s="1">
        <v>-4.8921719999999996E-6</v>
      </c>
      <c r="I1924">
        <v>363.76940000000002</v>
      </c>
      <c r="J1924">
        <v>-219.17699999999999</v>
      </c>
      <c r="K1924">
        <v>1.11043</v>
      </c>
      <c r="L1924">
        <v>366.81020000000001</v>
      </c>
      <c r="M1924">
        <v>0.9978397</v>
      </c>
      <c r="N1924">
        <v>0</v>
      </c>
      <c r="O1924">
        <v>-6.4330129999999999E-2</v>
      </c>
      <c r="P1924">
        <v>0.98023229999999995</v>
      </c>
      <c r="Q1924">
        <v>6.7513450000000003E-2</v>
      </c>
      <c r="R1924">
        <v>-0.18597520000000001</v>
      </c>
      <c r="S1924">
        <v>2.887238</v>
      </c>
      <c r="T1924">
        <v>-0.38716050000000002</v>
      </c>
      <c r="U1924">
        <v>-1.062012</v>
      </c>
      <c r="V1924">
        <v>0.122584</v>
      </c>
      <c r="W1924">
        <v>8.0621689999999996E-2</v>
      </c>
      <c r="X1924">
        <v>0.98917809999999995</v>
      </c>
      <c r="Y1924">
        <v>0.2824102</v>
      </c>
      <c r="Z1924">
        <v>-9.9682780000000006E-3</v>
      </c>
      <c r="AA1924">
        <v>0.95924189999999998</v>
      </c>
      <c r="AB1924">
        <v>18</v>
      </c>
      <c r="AC1924">
        <v>8.2043000000000106</v>
      </c>
      <c r="AD1924">
        <v>-1.110434892172</v>
      </c>
      <c r="AE1924">
        <v>-3.0407999999999902</v>
      </c>
      <c r="AF1924">
        <v>2.46693611999993</v>
      </c>
      <c r="AG1924">
        <v>-1.110434892172</v>
      </c>
      <c r="AH1924">
        <v>8.2500560535489296</v>
      </c>
      <c r="AI1924">
        <v>97.348053410632801</v>
      </c>
      <c r="AJ1924">
        <v>73.352255499663499</v>
      </c>
      <c r="AK1924">
        <v>8.6822960302337506</v>
      </c>
      <c r="AL1924">
        <v>85.375698636901305</v>
      </c>
      <c r="AM1924">
        <v>82.935631101869902</v>
      </c>
      <c r="AN1924">
        <v>1.00000000373703</v>
      </c>
    </row>
    <row r="1925" spans="1:40" x14ac:dyDescent="0.25">
      <c r="A1925" t="str">
        <f>"20190312150702861"</f>
        <v>20190312150702861</v>
      </c>
      <c r="B1925" t="str">
        <f>"1552374422852525"</f>
        <v>1552374422852525</v>
      </c>
      <c r="C1925" t="s">
        <v>40</v>
      </c>
      <c r="D1925">
        <v>4.2540459999999998</v>
      </c>
      <c r="E1925">
        <v>0.56141200000000002</v>
      </c>
      <c r="F1925" t="s">
        <v>42</v>
      </c>
      <c r="G1925">
        <v>-211.02889999999999</v>
      </c>
      <c r="H1925" s="1">
        <v>-4.8629310000000003E-6</v>
      </c>
      <c r="I1925">
        <v>363.79840000000002</v>
      </c>
      <c r="J1925">
        <v>-219.0838</v>
      </c>
      <c r="K1925">
        <v>1.11042</v>
      </c>
      <c r="L1925">
        <v>366.80380000000002</v>
      </c>
      <c r="M1925">
        <v>0.99781920000000002</v>
      </c>
      <c r="N1925">
        <v>0</v>
      </c>
      <c r="O1925">
        <v>-6.464541E-2</v>
      </c>
      <c r="P1925">
        <v>0.9801571</v>
      </c>
      <c r="Q1925">
        <v>6.5471790000000002E-2</v>
      </c>
      <c r="R1925">
        <v>-0.18709809999999999</v>
      </c>
      <c r="S1925">
        <v>2.8852389999999999</v>
      </c>
      <c r="T1925">
        <v>-0.39319880000000001</v>
      </c>
      <c r="U1925">
        <v>-1.0664670000000001</v>
      </c>
      <c r="V1925">
        <v>0.12339459999999999</v>
      </c>
      <c r="W1925">
        <v>7.8579689999999994E-2</v>
      </c>
      <c r="X1925">
        <v>0.98924160000000005</v>
      </c>
      <c r="Y1925">
        <v>0.28356490000000001</v>
      </c>
      <c r="Z1925">
        <v>-1.016123E-2</v>
      </c>
      <c r="AA1925">
        <v>0.95889919999999995</v>
      </c>
      <c r="AB1925">
        <v>18</v>
      </c>
      <c r="AC1925">
        <v>8.0548999999999999</v>
      </c>
      <c r="AD1925">
        <v>-1.1104248629310001</v>
      </c>
      <c r="AE1925">
        <v>-3.0053999999999998</v>
      </c>
      <c r="AF1925">
        <v>2.4376879376180001</v>
      </c>
      <c r="AG1925">
        <v>-1.1104248629310001</v>
      </c>
      <c r="AH1925">
        <v>8.0972710785762203</v>
      </c>
      <c r="AI1925">
        <v>97.480942978664601</v>
      </c>
      <c r="AJ1925">
        <v>73.245549484573303</v>
      </c>
      <c r="AK1925">
        <v>8.5288431089668002</v>
      </c>
      <c r="AL1925">
        <v>85.493068918842795</v>
      </c>
      <c r="AM1925">
        <v>82.889845586229697</v>
      </c>
      <c r="AN1925">
        <v>0.99999996908010702</v>
      </c>
    </row>
    <row r="1926" spans="1:40" x14ac:dyDescent="0.25">
      <c r="A1926" t="str">
        <f>"20190312150702873"</f>
        <v>20190312150702873</v>
      </c>
      <c r="B1926" t="str">
        <f>"1552374422862285"</f>
        <v>1552374422862285</v>
      </c>
      <c r="C1926" t="s">
        <v>40</v>
      </c>
      <c r="D1926">
        <v>4.1001529999999997</v>
      </c>
      <c r="E1926">
        <v>0.56150999999999995</v>
      </c>
      <c r="F1926" t="s">
        <v>42</v>
      </c>
      <c r="G1926">
        <v>-211.0718</v>
      </c>
      <c r="H1926" s="1">
        <v>-4.8396000000000002E-6</v>
      </c>
      <c r="I1926">
        <v>363.82600000000002</v>
      </c>
      <c r="J1926">
        <v>-218.99930000000001</v>
      </c>
      <c r="K1926">
        <v>1.110412</v>
      </c>
      <c r="L1926">
        <v>366.798</v>
      </c>
      <c r="M1926">
        <v>0.99780080000000004</v>
      </c>
      <c r="N1926">
        <v>0</v>
      </c>
      <c r="O1926">
        <v>-6.4930890000000005E-2</v>
      </c>
      <c r="P1926">
        <v>0.9800063</v>
      </c>
      <c r="Q1926">
        <v>6.3607860000000002E-2</v>
      </c>
      <c r="R1926">
        <v>-0.18852569999999999</v>
      </c>
      <c r="S1926">
        <v>2.8828740000000002</v>
      </c>
      <c r="T1926">
        <v>-0.39955160000000001</v>
      </c>
      <c r="U1926">
        <v>-1.071442</v>
      </c>
      <c r="V1926">
        <v>0.1245443</v>
      </c>
      <c r="W1926">
        <v>7.6713770000000001E-2</v>
      </c>
      <c r="X1926">
        <v>0.98924400000000001</v>
      </c>
      <c r="Y1926">
        <v>0.28493289999999999</v>
      </c>
      <c r="Z1926">
        <v>-1.0382540000000001E-2</v>
      </c>
      <c r="AA1926">
        <v>0.95849119999999999</v>
      </c>
      <c r="AB1926">
        <v>18</v>
      </c>
      <c r="AC1926">
        <v>7.9275000000000002</v>
      </c>
      <c r="AD1926">
        <v>-1.1104168396</v>
      </c>
      <c r="AE1926">
        <v>-2.9720000000000302</v>
      </c>
      <c r="AF1926">
        <v>2.4094931600281302</v>
      </c>
      <c r="AG1926">
        <v>-1.1104168396</v>
      </c>
      <c r="AH1926">
        <v>7.9667142310699397</v>
      </c>
      <c r="AI1926">
        <v>97.599165367184398</v>
      </c>
      <c r="AJ1926">
        <v>73.172319334487796</v>
      </c>
      <c r="AK1926">
        <v>8.3968576554221794</v>
      </c>
      <c r="AL1926">
        <v>85.600302107607007</v>
      </c>
      <c r="AM1926">
        <v>82.824303052489398</v>
      </c>
      <c r="AN1926">
        <v>0.99999998835305104</v>
      </c>
    </row>
    <row r="1927" spans="1:40" x14ac:dyDescent="0.25">
      <c r="A1927" t="str">
        <f>"20190312150702884"</f>
        <v>20190312150702884</v>
      </c>
      <c r="B1927" t="str">
        <f>"1552374422881806"</f>
        <v>1552374422881806</v>
      </c>
      <c r="C1927" t="s">
        <v>40</v>
      </c>
      <c r="D1927">
        <v>4.1736500000000003</v>
      </c>
      <c r="E1927">
        <v>0.56194750000000004</v>
      </c>
      <c r="F1927" t="s">
        <v>42</v>
      </c>
      <c r="G1927">
        <v>-211.10050000000001</v>
      </c>
      <c r="H1927" s="1">
        <v>-4.8234950000000001E-6</v>
      </c>
      <c r="I1927">
        <v>363.84739999999999</v>
      </c>
      <c r="J1927">
        <v>-218.90649999999999</v>
      </c>
      <c r="K1927">
        <v>1.110403</v>
      </c>
      <c r="L1927">
        <v>366.79149999999998</v>
      </c>
      <c r="M1927">
        <v>0.99778029999999995</v>
      </c>
      <c r="N1927">
        <v>0</v>
      </c>
      <c r="O1927">
        <v>-6.524402E-2</v>
      </c>
      <c r="P1927">
        <v>0.97981810000000003</v>
      </c>
      <c r="Q1927">
        <v>6.205418E-2</v>
      </c>
      <c r="R1927">
        <v>-0.19001589999999999</v>
      </c>
      <c r="S1927">
        <v>2.880493</v>
      </c>
      <c r="T1927">
        <v>-0.40494039999999998</v>
      </c>
      <c r="U1927">
        <v>-1.0759890000000001</v>
      </c>
      <c r="V1927">
        <v>0.1257316</v>
      </c>
      <c r="W1927">
        <v>7.5158069999999993E-2</v>
      </c>
      <c r="X1927">
        <v>0.98921320000000001</v>
      </c>
      <c r="Y1927">
        <v>0.28616009999999997</v>
      </c>
      <c r="Z1927">
        <v>-1.0567760000000001E-2</v>
      </c>
      <c r="AA1927">
        <v>0.95812359999999996</v>
      </c>
      <c r="AB1927">
        <v>17</v>
      </c>
      <c r="AC1927">
        <v>7.8059999999999796</v>
      </c>
      <c r="AD1927">
        <v>-1.1104078234949999</v>
      </c>
      <c r="AE1927">
        <v>-2.9440999999999899</v>
      </c>
      <c r="AF1927">
        <v>2.3862135597786498</v>
      </c>
      <c r="AG1927">
        <v>-1.1104078234949999</v>
      </c>
      <c r="AH1927">
        <v>7.8425346245723402</v>
      </c>
      <c r="AI1927">
        <v>97.714134991199899</v>
      </c>
      <c r="AJ1927">
        <v>73.076798470087596</v>
      </c>
      <c r="AK1927">
        <v>8.2723859934704809</v>
      </c>
      <c r="AL1927">
        <v>85.689695156963197</v>
      </c>
      <c r="AM1927">
        <v>82.756396059990294</v>
      </c>
      <c r="AN1927">
        <v>0.99999996288946102</v>
      </c>
    </row>
    <row r="1928" spans="1:40" x14ac:dyDescent="0.25">
      <c r="A1928" t="str">
        <f>"20190312150702895"</f>
        <v>20190312150702895</v>
      </c>
      <c r="B1928" t="str">
        <f>"1552374422892541"</f>
        <v>1552374422892541</v>
      </c>
      <c r="C1928" t="s">
        <v>40</v>
      </c>
      <c r="D1928">
        <v>4.1625649999999998</v>
      </c>
      <c r="E1928">
        <v>0.56210649999999995</v>
      </c>
      <c r="F1928" t="s">
        <v>42</v>
      </c>
      <c r="G1928">
        <v>-211.08940000000001</v>
      </c>
      <c r="H1928" s="1">
        <v>-4.8280089999999998E-6</v>
      </c>
      <c r="I1928">
        <v>363.84890000000001</v>
      </c>
      <c r="J1928">
        <v>-218.81710000000001</v>
      </c>
      <c r="K1928">
        <v>1.1103989999999999</v>
      </c>
      <c r="L1928">
        <v>366.78530000000001</v>
      </c>
      <c r="M1928">
        <v>0.9977606</v>
      </c>
      <c r="N1928">
        <v>0</v>
      </c>
      <c r="O1928">
        <v>-6.5546419999999994E-2</v>
      </c>
      <c r="P1928">
        <v>0.97960040000000004</v>
      </c>
      <c r="Q1928">
        <v>6.0443629999999998E-2</v>
      </c>
      <c r="R1928">
        <v>-0.19165070000000001</v>
      </c>
      <c r="S1928">
        <v>2.8776250000000001</v>
      </c>
      <c r="T1928">
        <v>-0.40875610000000001</v>
      </c>
      <c r="U1928">
        <v>-1.083221</v>
      </c>
      <c r="V1928">
        <v>0.12707599999999999</v>
      </c>
      <c r="W1928">
        <v>7.3545109999999997E-2</v>
      </c>
      <c r="X1928">
        <v>0.98916269999999995</v>
      </c>
      <c r="Y1928">
        <v>0.28824060000000001</v>
      </c>
      <c r="Z1928">
        <v>-1.077319E-2</v>
      </c>
      <c r="AA1928">
        <v>0.95749740000000005</v>
      </c>
      <c r="AB1928">
        <v>17</v>
      </c>
      <c r="AC1928">
        <v>7.7276999999999898</v>
      </c>
      <c r="AD1928">
        <v>-1.1104038280089901</v>
      </c>
      <c r="AE1928">
        <v>-2.9363999999999901</v>
      </c>
      <c r="AF1928">
        <v>2.3805656755668299</v>
      </c>
      <c r="AG1928">
        <v>-1.1104038280089901</v>
      </c>
      <c r="AH1928">
        <v>7.7634962292154697</v>
      </c>
      <c r="AI1928">
        <v>97.786588686243405</v>
      </c>
      <c r="AJ1928">
        <v>72.952586907295498</v>
      </c>
      <c r="AK1928">
        <v>8.1958503706440897</v>
      </c>
      <c r="AL1928">
        <v>85.782367721255895</v>
      </c>
      <c r="AM1928">
        <v>82.679409036521804</v>
      </c>
      <c r="AN1928">
        <v>1.0000000200260999</v>
      </c>
    </row>
    <row r="1929" spans="1:40" x14ac:dyDescent="0.25">
      <c r="A1929" t="str">
        <f>"20190312150702908"</f>
        <v>20190312150702908</v>
      </c>
      <c r="B1929" t="str">
        <f>"1552374422902301"</f>
        <v>1552374422902301</v>
      </c>
      <c r="C1929" t="s">
        <v>40</v>
      </c>
      <c r="D1929">
        <v>4.2462540000000004</v>
      </c>
      <c r="E1929">
        <v>0.56225839999999905</v>
      </c>
      <c r="F1929" t="s">
        <v>42</v>
      </c>
      <c r="G1929">
        <v>-211.08189999999999</v>
      </c>
      <c r="H1929" s="1">
        <v>-4.8300710000000004E-6</v>
      </c>
      <c r="I1929">
        <v>363.85539999999997</v>
      </c>
      <c r="J1929">
        <v>-218.72409999999999</v>
      </c>
      <c r="K1929">
        <v>1.110393</v>
      </c>
      <c r="L1929">
        <v>366.77879999999999</v>
      </c>
      <c r="M1929">
        <v>0.99773990000000001</v>
      </c>
      <c r="N1929">
        <v>0</v>
      </c>
      <c r="O1929">
        <v>-6.5860160000000001E-2</v>
      </c>
      <c r="P1929">
        <v>0.97934779999999999</v>
      </c>
      <c r="Q1929">
        <v>5.9150769999999998E-2</v>
      </c>
      <c r="R1929">
        <v>-0.19333700000000001</v>
      </c>
      <c r="S1929">
        <v>2.8748779999999998</v>
      </c>
      <c r="T1929">
        <v>-0.41269270000000002</v>
      </c>
      <c r="U1929">
        <v>-1.0889279999999999</v>
      </c>
      <c r="V1929">
        <v>0.12846299999999999</v>
      </c>
      <c r="W1929">
        <v>7.2248699999999999E-2</v>
      </c>
      <c r="X1929">
        <v>0.98907909999999999</v>
      </c>
      <c r="Y1929">
        <v>0.28985339999999998</v>
      </c>
      <c r="Z1929">
        <v>-1.09505E-2</v>
      </c>
      <c r="AA1929">
        <v>0.95700839999999998</v>
      </c>
      <c r="AB1929">
        <v>17</v>
      </c>
      <c r="AC1929">
        <v>7.6421999999999999</v>
      </c>
      <c r="AD1929">
        <v>-1.110397830071</v>
      </c>
      <c r="AE1929">
        <v>-2.9234000000000102</v>
      </c>
      <c r="AF1929">
        <v>2.3700423990400399</v>
      </c>
      <c r="AG1929">
        <v>-1.110397830071</v>
      </c>
      <c r="AH1929">
        <v>7.6767771757912397</v>
      </c>
      <c r="AI1929">
        <v>97.868836544589598</v>
      </c>
      <c r="AJ1929">
        <v>72.843035034629096</v>
      </c>
      <c r="AK1929">
        <v>8.1106714963080098</v>
      </c>
      <c r="AL1929">
        <v>85.856844783246203</v>
      </c>
      <c r="AM1929">
        <v>82.599769079742998</v>
      </c>
      <c r="AN1929">
        <v>1.00000004153874</v>
      </c>
    </row>
    <row r="1930" spans="1:40" x14ac:dyDescent="0.25">
      <c r="A1930" t="str">
        <f>"20190312150702919"</f>
        <v>20190312150702919</v>
      </c>
      <c r="B1930" t="str">
        <f>"1552374422912062"</f>
        <v>1552374422912062</v>
      </c>
      <c r="C1930" t="s">
        <v>40</v>
      </c>
      <c r="D1930">
        <v>4.2748589999999904</v>
      </c>
      <c r="E1930">
        <v>0.5624943</v>
      </c>
      <c r="F1930" t="s">
        <v>42</v>
      </c>
      <c r="G1930">
        <v>-211.0609</v>
      </c>
      <c r="H1930" s="1">
        <v>-4.8388890000000003E-6</v>
      </c>
      <c r="I1930">
        <v>363.85660000000001</v>
      </c>
      <c r="J1930">
        <v>-218.62790000000001</v>
      </c>
      <c r="K1930">
        <v>1.1103909999999999</v>
      </c>
      <c r="L1930">
        <v>366.77210000000002</v>
      </c>
      <c r="M1930">
        <v>0.99771840000000001</v>
      </c>
      <c r="N1930">
        <v>0</v>
      </c>
      <c r="O1930">
        <v>-6.6185450000000007E-2</v>
      </c>
      <c r="P1930">
        <v>0.97903600000000002</v>
      </c>
      <c r="Q1930">
        <v>5.8462E-2</v>
      </c>
      <c r="R1930">
        <v>-0.1951165</v>
      </c>
      <c r="S1930">
        <v>2.8721770000000002</v>
      </c>
      <c r="T1930">
        <v>-0.41617090000000001</v>
      </c>
      <c r="U1930">
        <v>-1.095245</v>
      </c>
      <c r="V1930">
        <v>0.1299362</v>
      </c>
      <c r="W1930">
        <v>7.1556220000000004E-2</v>
      </c>
      <c r="X1930">
        <v>0.98893699999999995</v>
      </c>
      <c r="Y1930">
        <v>0.29162969999999999</v>
      </c>
      <c r="Z1930">
        <v>-1.112638E-2</v>
      </c>
      <c r="AA1930">
        <v>0.95646659999999994</v>
      </c>
      <c r="AB1930">
        <v>17</v>
      </c>
      <c r="AC1930">
        <v>7.5670000000000002</v>
      </c>
      <c r="AD1930">
        <v>-1.1103958388889901</v>
      </c>
      <c r="AE1930">
        <v>-2.9155000000000002</v>
      </c>
      <c r="AF1930">
        <v>2.36391354107226</v>
      </c>
      <c r="AG1930">
        <v>-1.1103958388889901</v>
      </c>
      <c r="AH1930">
        <v>7.6008712892969399</v>
      </c>
      <c r="AI1930">
        <v>97.941357297523297</v>
      </c>
      <c r="AJ1930">
        <v>72.724013606074294</v>
      </c>
      <c r="AK1930">
        <v>8.0370585729572301</v>
      </c>
      <c r="AL1930">
        <v>85.896623957432496</v>
      </c>
      <c r="AM1930">
        <v>82.514797505634803</v>
      </c>
      <c r="AN1930">
        <v>1.00000004933006</v>
      </c>
    </row>
    <row r="1931" spans="1:40" x14ac:dyDescent="0.25">
      <c r="A1931" t="str">
        <f>"20190312150702933"</f>
        <v>20190312150702933</v>
      </c>
      <c r="B1931" t="str">
        <f>"1552374422921822"</f>
        <v>1552374422921822</v>
      </c>
      <c r="C1931" t="s">
        <v>40</v>
      </c>
      <c r="D1931">
        <v>4.2650800000000002</v>
      </c>
      <c r="E1931">
        <v>0.56269440000000004</v>
      </c>
      <c r="F1931" t="s">
        <v>42</v>
      </c>
      <c r="G1931">
        <v>-210.99459999999999</v>
      </c>
      <c r="H1931" s="1">
        <v>-4.869972E-6</v>
      </c>
      <c r="I1931">
        <v>363.8415</v>
      </c>
      <c r="J1931">
        <v>-218.52430000000001</v>
      </c>
      <c r="K1931">
        <v>1.1103860000000001</v>
      </c>
      <c r="L1931">
        <v>366.76479999999998</v>
      </c>
      <c r="M1931">
        <v>0.99769509999999995</v>
      </c>
      <c r="N1931">
        <v>0</v>
      </c>
      <c r="O1931">
        <v>-6.6535059999999993E-2</v>
      </c>
      <c r="P1931">
        <v>0.97869969999999995</v>
      </c>
      <c r="Q1931">
        <v>5.7912070000000003E-2</v>
      </c>
      <c r="R1931">
        <v>-0.19695960000000001</v>
      </c>
      <c r="S1931">
        <v>2.8696139999999999</v>
      </c>
      <c r="T1931">
        <v>-0.4174349</v>
      </c>
      <c r="U1931">
        <v>-1.101715</v>
      </c>
      <c r="V1931">
        <v>0.13145009999999999</v>
      </c>
      <c r="W1931">
        <v>7.1002120000000002E-2</v>
      </c>
      <c r="X1931">
        <v>0.98877680000000001</v>
      </c>
      <c r="Y1931">
        <v>0.29343259999999899</v>
      </c>
      <c r="Z1931">
        <v>-1.1242490000000001E-2</v>
      </c>
      <c r="AA1931">
        <v>0.95591369999999998</v>
      </c>
      <c r="AB1931">
        <v>17</v>
      </c>
      <c r="AC1931">
        <v>7.5297000000000098</v>
      </c>
      <c r="AD1931">
        <v>-1.110390869972</v>
      </c>
      <c r="AE1931">
        <v>-2.9232999999999798</v>
      </c>
      <c r="AF1931">
        <v>2.3709799169843002</v>
      </c>
      <c r="AG1931">
        <v>-1.110390869972</v>
      </c>
      <c r="AH1931">
        <v>7.56457308301058</v>
      </c>
      <c r="AI1931">
        <v>97.973503484601196</v>
      </c>
      <c r="AJ1931">
        <v>72.597335015648</v>
      </c>
      <c r="AK1931">
        <v>8.0048285165310205</v>
      </c>
      <c r="AL1931">
        <v>85.928452285165903</v>
      </c>
      <c r="AM1931">
        <v>82.427380194713706</v>
      </c>
      <c r="AN1931">
        <v>0.99999999502637205</v>
      </c>
    </row>
    <row r="1932" spans="1:40" x14ac:dyDescent="0.25">
      <c r="A1932" t="str">
        <f>"20190312150702950"</f>
        <v>20190312150702950</v>
      </c>
      <c r="B1932" t="str">
        <f>"1552374422942319"</f>
        <v>1552374422942319</v>
      </c>
      <c r="C1932" t="s">
        <v>40</v>
      </c>
      <c r="D1932">
        <v>4.2518799999999999</v>
      </c>
      <c r="E1932">
        <v>0.56294140000000004</v>
      </c>
      <c r="F1932" t="s">
        <v>42</v>
      </c>
      <c r="G1932">
        <v>-210.90299999999999</v>
      </c>
      <c r="H1932" s="1">
        <v>-4.9134170000000001E-6</v>
      </c>
      <c r="I1932">
        <v>363.81819999999999</v>
      </c>
      <c r="J1932">
        <v>-218.3991</v>
      </c>
      <c r="K1932">
        <v>1.1103889999999901</v>
      </c>
      <c r="L1932">
        <v>366.75599999999997</v>
      </c>
      <c r="M1932">
        <v>0.99766690000000002</v>
      </c>
      <c r="N1932">
        <v>0</v>
      </c>
      <c r="O1932">
        <v>-6.6957749999999996E-2</v>
      </c>
      <c r="P1932">
        <v>0.97836029999999996</v>
      </c>
      <c r="Q1932">
        <v>5.7803960000000001E-2</v>
      </c>
      <c r="R1932">
        <v>-0.1986706</v>
      </c>
      <c r="S1932">
        <v>2.866943</v>
      </c>
      <c r="T1932">
        <v>-0.41769849999999997</v>
      </c>
      <c r="U1932">
        <v>-1.1084290000000001</v>
      </c>
      <c r="V1932">
        <v>0.1327605</v>
      </c>
      <c r="W1932">
        <v>7.0889880000000002E-2</v>
      </c>
      <c r="X1932">
        <v>0.98860979999999998</v>
      </c>
      <c r="Y1932">
        <v>0.29525750000000001</v>
      </c>
      <c r="Z1932">
        <v>-1.132389E-2</v>
      </c>
      <c r="AA1932">
        <v>0.95535060000000005</v>
      </c>
      <c r="AB1932">
        <v>17</v>
      </c>
      <c r="AC1932">
        <v>7.49610000000001</v>
      </c>
      <c r="AD1932">
        <v>-1.11039391341699</v>
      </c>
      <c r="AE1932">
        <v>-2.9377999999999802</v>
      </c>
      <c r="AF1932">
        <v>2.3838955532990398</v>
      </c>
      <c r="AG1932">
        <v>-1.11039391341699</v>
      </c>
      <c r="AH1932">
        <v>7.5327213323694497</v>
      </c>
      <c r="AI1932">
        <v>97.999923541120907</v>
      </c>
      <c r="AJ1932">
        <v>72.438877686274097</v>
      </c>
      <c r="AK1932">
        <v>7.9785852958482799</v>
      </c>
      <c r="AL1932">
        <v>85.934899555921106</v>
      </c>
      <c r="AM1932">
        <v>82.351502744011796</v>
      </c>
      <c r="AN1932">
        <v>1.0000000310513499</v>
      </c>
    </row>
    <row r="1933" spans="1:40" x14ac:dyDescent="0.25">
      <c r="A1933" t="str">
        <f>"20190312150702960"</f>
        <v>20190312150702960</v>
      </c>
      <c r="B1933" t="str">
        <f>"1552374422952077"</f>
        <v>1552374422952077</v>
      </c>
      <c r="C1933" t="s">
        <v>40</v>
      </c>
      <c r="D1933">
        <v>4.2760730000000002</v>
      </c>
      <c r="E1933">
        <v>0.56302619999999903</v>
      </c>
      <c r="F1933" t="s">
        <v>42</v>
      </c>
      <c r="G1933">
        <v>-210.7516</v>
      </c>
      <c r="H1933" s="1">
        <v>-4.9854499999999998E-6</v>
      </c>
      <c r="I1933">
        <v>363.77820000000003</v>
      </c>
      <c r="J1933">
        <v>-218.31020000000001</v>
      </c>
      <c r="K1933">
        <v>1.1104000000000001</v>
      </c>
      <c r="L1933">
        <v>366.74970000000002</v>
      </c>
      <c r="M1933">
        <v>0.9976467</v>
      </c>
      <c r="N1933">
        <v>0</v>
      </c>
      <c r="O1933">
        <v>-6.7258129999999999E-2</v>
      </c>
      <c r="P1933">
        <v>0.97782800000000003</v>
      </c>
      <c r="Q1933">
        <v>5.9041160000000002E-2</v>
      </c>
      <c r="R1933">
        <v>-0.2009145</v>
      </c>
      <c r="S1933">
        <v>2.8644259999999999</v>
      </c>
      <c r="T1933">
        <v>-0.41590559999999899</v>
      </c>
      <c r="U1933">
        <v>-1.115356</v>
      </c>
      <c r="V1933">
        <v>0.134738</v>
      </c>
      <c r="W1933">
        <v>7.2120299999999998E-2</v>
      </c>
      <c r="X1933">
        <v>0.98825320000000005</v>
      </c>
      <c r="Y1933">
        <v>0.2972611</v>
      </c>
      <c r="Z1933">
        <v>-1.137851E-2</v>
      </c>
      <c r="AA1933">
        <v>0.95472840000000003</v>
      </c>
      <c r="AB1933">
        <v>17</v>
      </c>
      <c r="AC1933">
        <v>7.55860000000001</v>
      </c>
      <c r="AD1933">
        <v>-1.11040498545</v>
      </c>
      <c r="AE1933">
        <v>-2.97149999999999</v>
      </c>
      <c r="AF1933">
        <v>2.41127500659411</v>
      </c>
      <c r="AG1933">
        <v>-1.11040498545</v>
      </c>
      <c r="AH1933">
        <v>7.5993065601739396</v>
      </c>
      <c r="AI1933">
        <v>97.928930786749007</v>
      </c>
      <c r="AJ1933">
        <v>72.395664095559198</v>
      </c>
      <c r="AK1933">
        <v>8.0496401524938008</v>
      </c>
      <c r="AL1933">
        <v>85.864220741875599</v>
      </c>
      <c r="AM1933">
        <v>82.236188644367601</v>
      </c>
      <c r="AN1933">
        <v>1.0000000268131599</v>
      </c>
    </row>
    <row r="1934" spans="1:40" x14ac:dyDescent="0.25">
      <c r="A1934" t="str">
        <f>"20190312150702973"</f>
        <v>20190312150702973</v>
      </c>
      <c r="B1934" t="str">
        <f>"1552374422961837"</f>
        <v>1552374422961837</v>
      </c>
      <c r="C1934" t="s">
        <v>40</v>
      </c>
      <c r="D1934">
        <v>4.1034509999999997</v>
      </c>
      <c r="E1934">
        <v>0.56301699999999999</v>
      </c>
      <c r="F1934" t="s">
        <v>42</v>
      </c>
      <c r="G1934">
        <v>-210.5735</v>
      </c>
      <c r="H1934" s="1">
        <v>-5.0731989999999997E-6</v>
      </c>
      <c r="I1934">
        <v>363.71440000000001</v>
      </c>
      <c r="J1934">
        <v>-218.2139</v>
      </c>
      <c r="K1934">
        <v>1.1104039999999999</v>
      </c>
      <c r="L1934">
        <v>366.74270000000001</v>
      </c>
      <c r="M1934">
        <v>0.99762470000000003</v>
      </c>
      <c r="N1934">
        <v>0</v>
      </c>
      <c r="O1934">
        <v>-6.7583779999999996E-2</v>
      </c>
      <c r="P1934">
        <v>0.97757640000000001</v>
      </c>
      <c r="Q1934">
        <v>5.9752199999999901E-2</v>
      </c>
      <c r="R1934">
        <v>-0.20192669999999999</v>
      </c>
      <c r="S1934">
        <v>2.8621370000000002</v>
      </c>
      <c r="T1934">
        <v>-0.41078019999999998</v>
      </c>
      <c r="U1934">
        <v>-1.1228640000000001</v>
      </c>
      <c r="V1934">
        <v>0.13544239999999999</v>
      </c>
      <c r="W1934">
        <v>7.2827970000000006E-2</v>
      </c>
      <c r="X1934">
        <v>0.98810500000000001</v>
      </c>
      <c r="Y1934">
        <v>0.29941319999999999</v>
      </c>
      <c r="Z1934">
        <v>-1.1346699999999999E-2</v>
      </c>
      <c r="AA1934">
        <v>0.95405609999999996</v>
      </c>
      <c r="AB1934">
        <v>17</v>
      </c>
      <c r="AC1934">
        <v>7.6403999999999996</v>
      </c>
      <c r="AD1934">
        <v>-1.110409073199</v>
      </c>
      <c r="AE1934">
        <v>-3.0283000000000002</v>
      </c>
      <c r="AF1934">
        <v>2.4600554500188001</v>
      </c>
      <c r="AG1934">
        <v>-1.110409073199</v>
      </c>
      <c r="AH1934">
        <v>7.6872842959901204</v>
      </c>
      <c r="AI1934">
        <v>97.833274212690995</v>
      </c>
      <c r="AJ1934">
        <v>72.254486802255698</v>
      </c>
      <c r="AK1934">
        <v>8.1473444124074099</v>
      </c>
      <c r="AL1934">
        <v>85.823567319365594</v>
      </c>
      <c r="AM1934">
        <v>82.1949428459167</v>
      </c>
      <c r="AN1934">
        <v>1.00000002397854</v>
      </c>
    </row>
    <row r="1935" spans="1:40" x14ac:dyDescent="0.25">
      <c r="A1935" t="str">
        <f>"20190312150702987"</f>
        <v>20190312150702987</v>
      </c>
      <c r="B1935" t="str">
        <f>"1552374422982334"</f>
        <v>1552374422982334</v>
      </c>
      <c r="C1935" t="s">
        <v>40</v>
      </c>
      <c r="D1935">
        <v>4.3125780000000002</v>
      </c>
      <c r="E1935">
        <v>0.56322410000000001</v>
      </c>
      <c r="F1935" t="s">
        <v>42</v>
      </c>
      <c r="G1935">
        <v>-210.39869999999999</v>
      </c>
      <c r="H1935" s="1">
        <v>-5.1565490000000004E-6</v>
      </c>
      <c r="I1935">
        <v>363.6671</v>
      </c>
      <c r="J1935">
        <v>-218.11240000000001</v>
      </c>
      <c r="K1935">
        <v>1.110411</v>
      </c>
      <c r="L1935">
        <v>366.7355</v>
      </c>
      <c r="M1935">
        <v>0.99760139999999997</v>
      </c>
      <c r="N1935">
        <v>0</v>
      </c>
      <c r="O1935">
        <v>-6.7927310000000005E-2</v>
      </c>
      <c r="P1935">
        <v>0.9774446</v>
      </c>
      <c r="Q1935">
        <v>6.0655840000000003E-2</v>
      </c>
      <c r="R1935">
        <v>-0.2022948</v>
      </c>
      <c r="S1935">
        <v>2.8610530000000001</v>
      </c>
      <c r="T1935">
        <v>-0.4065068</v>
      </c>
      <c r="U1935">
        <v>-1.125977</v>
      </c>
      <c r="V1935">
        <v>0.13547870000000001</v>
      </c>
      <c r="W1935">
        <v>7.3729619999999996E-2</v>
      </c>
      <c r="X1935">
        <v>0.9880331</v>
      </c>
      <c r="Y1935">
        <v>0.3001452</v>
      </c>
      <c r="Z1935">
        <v>-1.123504E-2</v>
      </c>
      <c r="AA1935">
        <v>0.95382730000000004</v>
      </c>
      <c r="AB1935">
        <v>17</v>
      </c>
      <c r="AC1935">
        <v>7.71370000000001</v>
      </c>
      <c r="AD1935">
        <v>-1.1104161565490001</v>
      </c>
      <c r="AE1935">
        <v>-3.0683999999999898</v>
      </c>
      <c r="AF1935">
        <v>2.49269582665156</v>
      </c>
      <c r="AG1935">
        <v>-1.1104161565490001</v>
      </c>
      <c r="AH1935">
        <v>7.7653914176143601</v>
      </c>
      <c r="AI1935">
        <v>97.753304971570401</v>
      </c>
      <c r="AJ1935">
        <v>72.203335136120003</v>
      </c>
      <c r="AK1935">
        <v>8.2309088437237499</v>
      </c>
      <c r="AL1935">
        <v>85.771767089639795</v>
      </c>
      <c r="AM1935">
        <v>82.192315676920501</v>
      </c>
      <c r="AN1935">
        <v>0.99999997085732095</v>
      </c>
    </row>
    <row r="1936" spans="1:40" x14ac:dyDescent="0.25">
      <c r="A1936" t="str">
        <f>"20190312150702999"</f>
        <v>20190312150702999</v>
      </c>
      <c r="B1936" t="str">
        <f>"1552374422992093"</f>
        <v>1552374422992093</v>
      </c>
      <c r="C1936" t="s">
        <v>40</v>
      </c>
      <c r="D1936">
        <v>4.3749180000000001</v>
      </c>
      <c r="E1936">
        <v>0.56322410000000001</v>
      </c>
      <c r="F1936" t="s">
        <v>42</v>
      </c>
      <c r="G1936">
        <v>-210.1996</v>
      </c>
      <c r="H1936" s="1">
        <v>-5.2515499999999997E-6</v>
      </c>
      <c r="I1936">
        <v>363.61309999999997</v>
      </c>
      <c r="J1936">
        <v>-218.01079999999999</v>
      </c>
      <c r="K1936">
        <v>1.1104179999999999</v>
      </c>
      <c r="L1936">
        <v>366.72809999999998</v>
      </c>
      <c r="M1936">
        <v>0.99757790000000002</v>
      </c>
      <c r="N1936">
        <v>0</v>
      </c>
      <c r="O1936">
        <v>-6.8270479999999995E-2</v>
      </c>
      <c r="P1936">
        <v>0.97742410000000002</v>
      </c>
      <c r="Q1936">
        <v>6.1484459999999998E-2</v>
      </c>
      <c r="R1936">
        <v>-0.20214289999999999</v>
      </c>
      <c r="S1936">
        <v>2.860519</v>
      </c>
      <c r="T1936">
        <v>-0.40142</v>
      </c>
      <c r="U1936">
        <v>-1.128754</v>
      </c>
      <c r="V1936">
        <v>0.13498869999999999</v>
      </c>
      <c r="W1936">
        <v>7.4557970000000001E-2</v>
      </c>
      <c r="X1936">
        <v>0.98803799999999997</v>
      </c>
      <c r="Y1936">
        <v>0.30072739999999998</v>
      </c>
      <c r="Z1936">
        <v>-1.1089150000000001E-2</v>
      </c>
      <c r="AA1936">
        <v>0.95364559999999998</v>
      </c>
      <c r="AB1936">
        <v>17</v>
      </c>
      <c r="AC1936">
        <v>7.8111999999999799</v>
      </c>
      <c r="AD1936">
        <v>-1.1104232515500001</v>
      </c>
      <c r="AE1936">
        <v>-3.1150000000000002</v>
      </c>
      <c r="AF1936">
        <v>2.5302911033376301</v>
      </c>
      <c r="AG1936">
        <v>-1.1104232515500001</v>
      </c>
      <c r="AH1936">
        <v>7.8684590717238301</v>
      </c>
      <c r="AI1936">
        <v>97.651743124588293</v>
      </c>
      <c r="AJ1936">
        <v>72.173564202719305</v>
      </c>
      <c r="AK1936">
        <v>8.3395480110498497</v>
      </c>
      <c r="AL1936">
        <v>85.724175107697803</v>
      </c>
      <c r="AM1936">
        <v>82.220246224941803</v>
      </c>
      <c r="AN1936">
        <v>0.99999996473110397</v>
      </c>
    </row>
    <row r="1937" spans="1:40" x14ac:dyDescent="0.25">
      <c r="A1937" t="str">
        <f>"20190312150703010"</f>
        <v>20190312150703010</v>
      </c>
      <c r="B1937" t="str">
        <f>"1552374423001853"</f>
        <v>1552374423001853</v>
      </c>
      <c r="C1937" t="s">
        <v>40</v>
      </c>
      <c r="D1937">
        <v>4.3914359999999997</v>
      </c>
      <c r="E1937">
        <v>0.57670459999999901</v>
      </c>
      <c r="F1937" t="s">
        <v>42</v>
      </c>
      <c r="G1937">
        <v>-210.04390000000001</v>
      </c>
      <c r="H1937" s="1">
        <v>-5.3233399999999998E-6</v>
      </c>
      <c r="I1937">
        <v>363.58510000000001</v>
      </c>
      <c r="J1937">
        <v>-217.9254</v>
      </c>
      <c r="K1937">
        <v>1.1104229999999999</v>
      </c>
      <c r="L1937">
        <v>366.72199999999998</v>
      </c>
      <c r="M1937">
        <v>0.99755819999999995</v>
      </c>
      <c r="N1937">
        <v>0</v>
      </c>
      <c r="O1937">
        <v>-6.8558820000000006E-2</v>
      </c>
      <c r="P1937">
        <v>0.97738119999999995</v>
      </c>
      <c r="Q1937">
        <v>6.2298020000000003E-2</v>
      </c>
      <c r="R1937">
        <v>-0.20210159999999999</v>
      </c>
      <c r="S1937">
        <v>2.8609770000000001</v>
      </c>
      <c r="T1937">
        <v>-0.39875719999999998</v>
      </c>
      <c r="U1937">
        <v>-1.1286929999999999</v>
      </c>
      <c r="V1937">
        <v>0.13466510000000001</v>
      </c>
      <c r="W1937">
        <v>7.5371069999999998E-2</v>
      </c>
      <c r="X1937">
        <v>0.98802049999999997</v>
      </c>
      <c r="Y1937">
        <v>0.3004135</v>
      </c>
      <c r="Z1937">
        <v>-1.0955390000000001E-2</v>
      </c>
      <c r="AA1937">
        <v>0.95374610000000004</v>
      </c>
      <c r="AB1937">
        <v>17</v>
      </c>
      <c r="AC1937">
        <v>7.8814999999999804</v>
      </c>
      <c r="AD1937">
        <v>-1.1104283233400001</v>
      </c>
      <c r="AE1937">
        <v>-3.1368999999999598</v>
      </c>
      <c r="AF1937">
        <v>2.5455046419453899</v>
      </c>
      <c r="AG1937">
        <v>-1.1104283233400001</v>
      </c>
      <c r="AH1937">
        <v>7.9419429259503902</v>
      </c>
      <c r="AI1937">
        <v>97.584117742301103</v>
      </c>
      <c r="AJ1937">
        <v>72.228613006178094</v>
      </c>
      <c r="AK1937">
        <v>8.4135071392668799</v>
      </c>
      <c r="AL1937">
        <v>85.677456593111401</v>
      </c>
      <c r="AM1937">
        <v>82.238532771401793</v>
      </c>
      <c r="AN1937">
        <v>0.99999999788560201</v>
      </c>
    </row>
    <row r="1938" spans="1:40" x14ac:dyDescent="0.25">
      <c r="A1938" t="str">
        <f>"20190312150703021"</f>
        <v>20190312150703021</v>
      </c>
      <c r="B1938" t="str">
        <f>"1552374423012590"</f>
        <v>1552374423012590</v>
      </c>
      <c r="C1938" t="s">
        <v>40</v>
      </c>
      <c r="D1938">
        <v>4.3672040000000001</v>
      </c>
      <c r="E1938">
        <v>0.57725289999999996</v>
      </c>
      <c r="F1938" t="s">
        <v>49</v>
      </c>
      <c r="G1938">
        <v>-208.1602</v>
      </c>
      <c r="H1938" s="1">
        <v>-5.7832479999999996E-6</v>
      </c>
      <c r="I1938">
        <v>362.48379999999997</v>
      </c>
      <c r="J1938">
        <v>-217.8425</v>
      </c>
      <c r="K1938">
        <v>1.1104290000000001</v>
      </c>
      <c r="L1938">
        <v>366.71600000000001</v>
      </c>
      <c r="M1938">
        <v>0.99753890000000001</v>
      </c>
      <c r="N1938">
        <v>0</v>
      </c>
      <c r="O1938">
        <v>-6.8839300000000006E-2</v>
      </c>
      <c r="P1938">
        <v>0.97739399999999999</v>
      </c>
      <c r="Q1938">
        <v>6.3081180000000001E-2</v>
      </c>
      <c r="R1938">
        <v>-0.201797</v>
      </c>
      <c r="S1938">
        <v>2.83548</v>
      </c>
      <c r="T1938">
        <v>-0.32242880000000002</v>
      </c>
      <c r="U1938">
        <v>-1.230621</v>
      </c>
      <c r="V1938">
        <v>0.1340828</v>
      </c>
      <c r="W1938">
        <v>7.6153699999999894E-2</v>
      </c>
      <c r="X1938">
        <v>0.98803969999999997</v>
      </c>
      <c r="Y1938">
        <v>0.33260899999999999</v>
      </c>
      <c r="Z1938">
        <v>-1.0605409999999999E-2</v>
      </c>
      <c r="AA1938">
        <v>0.94300519999999999</v>
      </c>
      <c r="AB1938">
        <v>17</v>
      </c>
      <c r="AC1938">
        <v>9.6822999999999908</v>
      </c>
      <c r="AD1938">
        <v>-1.1104347832479999</v>
      </c>
      <c r="AE1938">
        <v>-4.2322000000000299</v>
      </c>
      <c r="AF1938">
        <v>3.5167405511187302</v>
      </c>
      <c r="AG1938">
        <v>-1.1104347832479999</v>
      </c>
      <c r="AH1938">
        <v>9.8420075609559294</v>
      </c>
      <c r="AI1938">
        <v>96.064756515517303</v>
      </c>
      <c r="AJ1938">
        <v>70.337203907633693</v>
      </c>
      <c r="AK1938">
        <v>10.5102636666091</v>
      </c>
      <c r="AL1938">
        <v>85.632486025190303</v>
      </c>
      <c r="AM1938">
        <v>82.271835733545899</v>
      </c>
      <c r="AN1938">
        <v>1.0000000160278</v>
      </c>
    </row>
    <row r="1939" spans="1:40" x14ac:dyDescent="0.25">
      <c r="A1939" t="str">
        <f>"20190312150703032"</f>
        <v>20190312150703032</v>
      </c>
      <c r="B1939" t="str">
        <f>"1552374423022349"</f>
        <v>1552374423022349</v>
      </c>
      <c r="C1939" t="s">
        <v>40</v>
      </c>
      <c r="D1939">
        <v>4.3766030000000002</v>
      </c>
      <c r="E1939">
        <v>0.57726129999999998</v>
      </c>
      <c r="F1939" t="s">
        <v>49</v>
      </c>
      <c r="G1939">
        <v>-207.81489999999999</v>
      </c>
      <c r="H1939" s="1">
        <v>-5.6882549999999996E-6</v>
      </c>
      <c r="I1939">
        <v>362.35199999999998</v>
      </c>
      <c r="J1939">
        <v>-217.76169999999999</v>
      </c>
      <c r="K1939">
        <v>1.1104350000000001</v>
      </c>
      <c r="L1939">
        <v>366.71010000000001</v>
      </c>
      <c r="M1939">
        <v>0.99751999999999996</v>
      </c>
      <c r="N1939">
        <v>0</v>
      </c>
      <c r="O1939">
        <v>-6.9112380000000001E-2</v>
      </c>
      <c r="P1939">
        <v>0.97735890000000003</v>
      </c>
      <c r="Q1939">
        <v>6.4177699999999893E-2</v>
      </c>
      <c r="R1939">
        <v>-0.2016212</v>
      </c>
      <c r="S1939">
        <v>2.8349299999999999</v>
      </c>
      <c r="T1939">
        <v>-0.31393459999999901</v>
      </c>
      <c r="U1939">
        <v>-1.233765</v>
      </c>
      <c r="V1939">
        <v>0.1336398</v>
      </c>
      <c r="W1939">
        <v>7.7250050000000001E-2</v>
      </c>
      <c r="X1939">
        <v>0.98801459999999997</v>
      </c>
      <c r="Y1939">
        <v>0.33336850000000001</v>
      </c>
      <c r="Z1939">
        <v>-1.0338780000000001E-2</v>
      </c>
      <c r="AA1939">
        <v>0.94273989999999996</v>
      </c>
      <c r="AB1939">
        <v>17</v>
      </c>
      <c r="AC1939">
        <v>9.9467999999999908</v>
      </c>
      <c r="AD1939">
        <v>-1.110440688255</v>
      </c>
      <c r="AE1939">
        <v>-4.3581000000000296</v>
      </c>
      <c r="AF1939">
        <v>3.622295236467</v>
      </c>
      <c r="AG1939">
        <v>-1.110440688255</v>
      </c>
      <c r="AH1939">
        <v>10.1184402173827</v>
      </c>
      <c r="AI1939">
        <v>95.8990408507794</v>
      </c>
      <c r="AJ1939">
        <v>70.303166462899696</v>
      </c>
      <c r="AK1939">
        <v>10.804486740933701</v>
      </c>
      <c r="AL1939">
        <v>85.569484161023396</v>
      </c>
      <c r="AM1939">
        <v>82.296868640307693</v>
      </c>
      <c r="AN1939">
        <v>1.0000000080911</v>
      </c>
    </row>
    <row r="1940" spans="1:40" x14ac:dyDescent="0.25">
      <c r="A1940" t="str">
        <f>"20190312150703042"</f>
        <v>20190312150703042</v>
      </c>
      <c r="B1940" t="str">
        <f>"1552374423032110"</f>
        <v>1552374423032110</v>
      </c>
      <c r="C1940" t="s">
        <v>40</v>
      </c>
      <c r="D1940">
        <v>4.3890560000000001</v>
      </c>
      <c r="E1940">
        <v>0.57749879999999998</v>
      </c>
      <c r="F1940" t="s">
        <v>49</v>
      </c>
      <c r="G1940">
        <v>-207.9092</v>
      </c>
      <c r="H1940" s="1">
        <v>-5.708611E-6</v>
      </c>
      <c r="I1940">
        <v>362.42380000000003</v>
      </c>
      <c r="J1940">
        <v>-217.67570000000001</v>
      </c>
      <c r="K1940">
        <v>1.110441</v>
      </c>
      <c r="L1940">
        <v>366.7038</v>
      </c>
      <c r="M1940">
        <v>0.99749989999999999</v>
      </c>
      <c r="N1940">
        <v>0</v>
      </c>
      <c r="O1940">
        <v>-6.9403229999999996E-2</v>
      </c>
      <c r="P1940">
        <v>0.97731239999999997</v>
      </c>
      <c r="Q1940">
        <v>6.5122840000000001E-2</v>
      </c>
      <c r="R1940">
        <v>-0.20154330000000001</v>
      </c>
      <c r="S1940">
        <v>2.8359830000000001</v>
      </c>
      <c r="T1940">
        <v>-0.31963399999999997</v>
      </c>
      <c r="U1940">
        <v>-1.233795</v>
      </c>
      <c r="V1940">
        <v>0.13327749999999999</v>
      </c>
      <c r="W1940">
        <v>7.8194650000000004E-2</v>
      </c>
      <c r="X1940">
        <v>0.98798920000000001</v>
      </c>
      <c r="Y1940">
        <v>0.3329297</v>
      </c>
      <c r="Z1940">
        <v>-1.0467270000000001E-2</v>
      </c>
      <c r="AA1940">
        <v>0.9428936</v>
      </c>
      <c r="AB1940">
        <v>17</v>
      </c>
      <c r="AC1940">
        <v>9.7665000000000006</v>
      </c>
      <c r="AD1940">
        <v>-1.1104467086109999</v>
      </c>
      <c r="AE1940">
        <v>-4.2799999999999701</v>
      </c>
      <c r="AF1940">
        <v>3.5532565098273099</v>
      </c>
      <c r="AG1940">
        <v>-1.1104467086109999</v>
      </c>
      <c r="AH1940">
        <v>9.9323034799101499</v>
      </c>
      <c r="AI1940">
        <v>96.009280923228005</v>
      </c>
      <c r="AJ1940">
        <v>70.315458463236496</v>
      </c>
      <c r="AK1940">
        <v>10.607043703800301</v>
      </c>
      <c r="AL1940">
        <v>85.515198215491907</v>
      </c>
      <c r="AM1940">
        <v>82.317307086621696</v>
      </c>
      <c r="AN1940">
        <v>0.99999997730575596</v>
      </c>
    </row>
    <row r="1941" spans="1:40" x14ac:dyDescent="0.25">
      <c r="A1941" t="str">
        <f>"20190312150703054"</f>
        <v>20190312150703054</v>
      </c>
      <c r="B1941" t="str">
        <f>"1552374423041870"</f>
        <v>1552374423041870</v>
      </c>
      <c r="C1941" t="s">
        <v>40</v>
      </c>
      <c r="D1941">
        <v>4.4526339999999998</v>
      </c>
      <c r="E1941">
        <v>0.57733400000000001</v>
      </c>
      <c r="F1941" t="s">
        <v>49</v>
      </c>
      <c r="G1941">
        <v>-208.0241</v>
      </c>
      <c r="H1941" s="1">
        <v>-5.735463E-6</v>
      </c>
      <c r="I1941">
        <v>362.49810000000002</v>
      </c>
      <c r="J1941">
        <v>-217.59440000000001</v>
      </c>
      <c r="K1941">
        <v>1.1104459999999901</v>
      </c>
      <c r="L1941">
        <v>366.69779999999997</v>
      </c>
      <c r="M1941">
        <v>0.99748079999999995</v>
      </c>
      <c r="N1941">
        <v>0</v>
      </c>
      <c r="O1941">
        <v>-6.9677870000000003E-2</v>
      </c>
      <c r="P1941">
        <v>0.97723660000000001</v>
      </c>
      <c r="Q1941">
        <v>6.5998909999999994E-2</v>
      </c>
      <c r="R1941">
        <v>-0.20162550000000001</v>
      </c>
      <c r="S1941">
        <v>2.8365019999999999</v>
      </c>
      <c r="T1941">
        <v>-0.32634940000000001</v>
      </c>
      <c r="U1941">
        <v>-1.2360230000000001</v>
      </c>
      <c r="V1941">
        <v>0.13309319999999999</v>
      </c>
      <c r="W1941">
        <v>7.9069319999999998E-2</v>
      </c>
      <c r="X1941">
        <v>0.98794439999999994</v>
      </c>
      <c r="Y1941">
        <v>0.33317200000000002</v>
      </c>
      <c r="Z1941">
        <v>-1.066601E-2</v>
      </c>
      <c r="AA1941">
        <v>0.94280580000000003</v>
      </c>
      <c r="AB1941">
        <v>17</v>
      </c>
      <c r="AC1941">
        <v>9.5702999999999996</v>
      </c>
      <c r="AD1941">
        <v>-1.1104517354629999</v>
      </c>
      <c r="AE1941">
        <v>-4.1996999999999503</v>
      </c>
      <c r="AF1941">
        <v>3.4832703513298302</v>
      </c>
      <c r="AG1941">
        <v>-1.1104517354629999</v>
      </c>
      <c r="AH1941">
        <v>9.7298451305834597</v>
      </c>
      <c r="AI1941">
        <v>96.132921196031404</v>
      </c>
      <c r="AJ1941">
        <v>70.302706757221003</v>
      </c>
      <c r="AK1941">
        <v>10.394044528593501</v>
      </c>
      <c r="AL1941">
        <v>85.464927525088996</v>
      </c>
      <c r="AM1941">
        <v>82.327460547443394</v>
      </c>
      <c r="AN1941">
        <v>0.99999994737142905</v>
      </c>
    </row>
    <row r="1942" spans="1:40" x14ac:dyDescent="0.25">
      <c r="A1942" t="str">
        <f>"20190312150703065"</f>
        <v>20190312150703065</v>
      </c>
      <c r="B1942" t="str">
        <f>"1552374423062366"</f>
        <v>1552374423062366</v>
      </c>
      <c r="C1942" t="s">
        <v>40</v>
      </c>
      <c r="D1942">
        <v>5.2509889999999997</v>
      </c>
      <c r="E1942">
        <v>0.57280240000000004</v>
      </c>
      <c r="F1942" t="s">
        <v>49</v>
      </c>
      <c r="G1942">
        <v>-207.97309999999999</v>
      </c>
      <c r="H1942" s="1">
        <v>-5.7165939999999999E-6</v>
      </c>
      <c r="I1942">
        <v>362.5095</v>
      </c>
      <c r="J1942">
        <v>-217.50839999999999</v>
      </c>
      <c r="K1942">
        <v>1.110457</v>
      </c>
      <c r="L1942">
        <v>366.69150000000002</v>
      </c>
      <c r="M1942">
        <v>0.99746040000000002</v>
      </c>
      <c r="N1942">
        <v>0</v>
      </c>
      <c r="O1942">
        <v>-6.9968119999999995E-2</v>
      </c>
      <c r="P1942">
        <v>0.9772113</v>
      </c>
      <c r="Q1942">
        <v>6.7043450000000004E-2</v>
      </c>
      <c r="R1942">
        <v>-0.2014032</v>
      </c>
      <c r="S1942">
        <v>2.8371580000000001</v>
      </c>
      <c r="T1942">
        <v>-0.32745370000000001</v>
      </c>
      <c r="U1942">
        <v>-1.235077</v>
      </c>
      <c r="V1942">
        <v>0.13258610000000001</v>
      </c>
      <c r="W1942">
        <v>8.0113599999999993E-2</v>
      </c>
      <c r="X1942">
        <v>0.98792849999999999</v>
      </c>
      <c r="Y1942">
        <v>0.33254919999999999</v>
      </c>
      <c r="Z1942">
        <v>-1.0634340000000001E-2</v>
      </c>
      <c r="AA1942">
        <v>0.94302589999999997</v>
      </c>
      <c r="AB1942">
        <v>17</v>
      </c>
      <c r="AC1942">
        <v>9.5352999999999994</v>
      </c>
      <c r="AD1942">
        <v>-1.110462716594</v>
      </c>
      <c r="AE1942">
        <v>-4.1820000000000102</v>
      </c>
      <c r="AF1942">
        <v>3.46510885104323</v>
      </c>
      <c r="AG1942">
        <v>-1.110462716594</v>
      </c>
      <c r="AH1942">
        <v>9.6942913846975092</v>
      </c>
      <c r="AI1942">
        <v>96.156387459915294</v>
      </c>
      <c r="AJ1942">
        <v>70.331176039422303</v>
      </c>
      <c r="AK1942">
        <v>10.354679726864701</v>
      </c>
      <c r="AL1942">
        <v>85.404904468111695</v>
      </c>
      <c r="AM1942">
        <v>82.356225951208103</v>
      </c>
      <c r="AN1942">
        <v>0.99999999196521006</v>
      </c>
    </row>
    <row r="1943" spans="1:40" x14ac:dyDescent="0.25">
      <c r="A1943" t="str">
        <f>"20190312150703075"</f>
        <v>20190312150703075</v>
      </c>
      <c r="B1943" t="str">
        <f>"1552374423072125"</f>
        <v>1552374423072125</v>
      </c>
      <c r="C1943" t="s">
        <v>40</v>
      </c>
      <c r="D1943">
        <v>4.3586650000000002</v>
      </c>
      <c r="E1943">
        <v>0.57484199999999996</v>
      </c>
      <c r="F1943" t="s">
        <v>49</v>
      </c>
      <c r="G1943">
        <v>-203.2706</v>
      </c>
      <c r="H1943" s="1">
        <v>-4.0608540000000004E-6</v>
      </c>
      <c r="I1943">
        <v>360.70359999999999</v>
      </c>
      <c r="J1943">
        <v>-217.4265</v>
      </c>
      <c r="K1943">
        <v>1.110465</v>
      </c>
      <c r="L1943">
        <v>366.68540000000002</v>
      </c>
      <c r="M1943">
        <v>0.99744089999999996</v>
      </c>
      <c r="N1943">
        <v>0</v>
      </c>
      <c r="O1943">
        <v>-7.024466E-2</v>
      </c>
      <c r="P1943">
        <v>0.97710379999999997</v>
      </c>
      <c r="Q1943">
        <v>6.7578059999999995E-2</v>
      </c>
      <c r="R1943">
        <v>-0.20174610000000001</v>
      </c>
      <c r="S1943">
        <v>2.8390499999999999</v>
      </c>
      <c r="T1943">
        <v>-0.22142899999999999</v>
      </c>
      <c r="U1943">
        <v>-1.194</v>
      </c>
      <c r="V1943">
        <v>0.13266169999999999</v>
      </c>
      <c r="W1943">
        <v>8.0646399999999993E-2</v>
      </c>
      <c r="X1943">
        <v>0.98787499999999995</v>
      </c>
      <c r="Y1943">
        <v>0.32131549999999998</v>
      </c>
      <c r="Z1943">
        <v>-6.7768809999999898E-3</v>
      </c>
      <c r="AA1943">
        <v>0.94694800000000001</v>
      </c>
      <c r="AB1943">
        <v>17</v>
      </c>
      <c r="AC1943">
        <v>14.155900000000001</v>
      </c>
      <c r="AD1943">
        <v>-1.110469060854</v>
      </c>
      <c r="AE1943">
        <v>-5.9818000000000202</v>
      </c>
      <c r="AF1943">
        <v>4.9467277656007802</v>
      </c>
      <c r="AG1943">
        <v>-1.110469060854</v>
      </c>
      <c r="AH1943">
        <v>14.465622001912701</v>
      </c>
      <c r="AI1943">
        <v>94.154464789987102</v>
      </c>
      <c r="AJ1943">
        <v>71.121138131364503</v>
      </c>
      <c r="AK1943">
        <v>15.328322707468701</v>
      </c>
      <c r="AL1943">
        <v>85.374278178871194</v>
      </c>
      <c r="AM1943">
        <v>82.351509788045604</v>
      </c>
      <c r="AN1943">
        <v>0.99999999205242396</v>
      </c>
    </row>
    <row r="1944" spans="1:40" x14ac:dyDescent="0.25">
      <c r="A1944" t="str">
        <f>"20190312150703086"</f>
        <v>20190312150703086</v>
      </c>
      <c r="B1944" t="str">
        <f>"1552374423081885"</f>
        <v>1552374423081885</v>
      </c>
      <c r="C1944" t="s">
        <v>40</v>
      </c>
      <c r="D1944">
        <v>4.3538769999999998</v>
      </c>
      <c r="E1944">
        <v>0.57547609999999905</v>
      </c>
      <c r="F1944" t="s">
        <v>49</v>
      </c>
      <c r="G1944">
        <v>-202.3058</v>
      </c>
      <c r="H1944" s="1">
        <v>-3.6798980000000001E-6</v>
      </c>
      <c r="I1944">
        <v>360.2319</v>
      </c>
      <c r="J1944">
        <v>-217.3424</v>
      </c>
      <c r="K1944">
        <v>1.110471</v>
      </c>
      <c r="L1944">
        <v>366.67910000000001</v>
      </c>
      <c r="M1944">
        <v>0.997421</v>
      </c>
      <c r="N1944">
        <v>0</v>
      </c>
      <c r="O1944">
        <v>-7.0529190000000005E-2</v>
      </c>
      <c r="P1944">
        <v>0.97697400000000001</v>
      </c>
      <c r="Q1944">
        <v>6.8565459999999995E-2</v>
      </c>
      <c r="R1944">
        <v>-0.20204259999999999</v>
      </c>
      <c r="S1944">
        <v>2.8349000000000002</v>
      </c>
      <c r="T1944">
        <v>-0.20819509999999999</v>
      </c>
      <c r="U1944">
        <v>-1.2099299999999999</v>
      </c>
      <c r="V1944">
        <v>0.132685</v>
      </c>
      <c r="W1944">
        <v>8.1632109999999994E-2</v>
      </c>
      <c r="X1944">
        <v>0.98779090000000003</v>
      </c>
      <c r="Y1944">
        <v>0.32611129999999999</v>
      </c>
      <c r="Z1944">
        <v>-6.5237009999999998E-3</v>
      </c>
      <c r="AA1944">
        <v>0.94530890000000001</v>
      </c>
      <c r="AB1944">
        <v>17</v>
      </c>
      <c r="AC1944">
        <v>15.0365999999999</v>
      </c>
      <c r="AD1944">
        <v>-1.1104746798980001</v>
      </c>
      <c r="AE1944">
        <v>-6.4471999999999996</v>
      </c>
      <c r="AF1944">
        <v>5.3458997976060898</v>
      </c>
      <c r="AG1944">
        <v>-1.1104746798980001</v>
      </c>
      <c r="AH1944">
        <v>15.383033325699801</v>
      </c>
      <c r="AI1944">
        <v>93.900851254750805</v>
      </c>
      <c r="AJ1944">
        <v>70.836677894975793</v>
      </c>
      <c r="AK1944">
        <v>16.323281317196301</v>
      </c>
      <c r="AL1944">
        <v>85.317614293055897</v>
      </c>
      <c r="AM1944">
        <v>82.3495387658906</v>
      </c>
      <c r="AN1944">
        <v>0.99999998636543097</v>
      </c>
    </row>
    <row r="1945" spans="1:40" x14ac:dyDescent="0.25">
      <c r="A1945" t="str">
        <f>"20190312150703097"</f>
        <v>20190312150703097</v>
      </c>
      <c r="B1945" t="str">
        <f>"1552374423092622"</f>
        <v>1552374423092622</v>
      </c>
      <c r="C1945" t="s">
        <v>40</v>
      </c>
      <c r="D1945">
        <v>4.341126</v>
      </c>
      <c r="E1945">
        <v>0.57599469999999997</v>
      </c>
      <c r="F1945" t="s">
        <v>49</v>
      </c>
      <c r="G1945">
        <v>-201.75</v>
      </c>
      <c r="H1945" s="1">
        <v>-3.454119E-6</v>
      </c>
      <c r="I1945">
        <v>359.9889</v>
      </c>
      <c r="J1945">
        <v>-217.26249999999999</v>
      </c>
      <c r="K1945">
        <v>1.1104750000000001</v>
      </c>
      <c r="L1945">
        <v>366.67309999999998</v>
      </c>
      <c r="M1945">
        <v>0.99740180000000001</v>
      </c>
      <c r="N1945">
        <v>0</v>
      </c>
      <c r="O1945">
        <v>-7.0799050000000002E-2</v>
      </c>
      <c r="P1945">
        <v>0.97684850000000001</v>
      </c>
      <c r="Q1945">
        <v>6.9478869999999998E-2</v>
      </c>
      <c r="R1945">
        <v>-0.20233590000000001</v>
      </c>
      <c r="S1945">
        <v>2.833466</v>
      </c>
      <c r="T1945">
        <v>-0.201797</v>
      </c>
      <c r="U1945">
        <v>-1.215759</v>
      </c>
      <c r="V1945">
        <v>0.1327197</v>
      </c>
      <c r="W1945">
        <v>8.2544069999999997E-2</v>
      </c>
      <c r="X1945">
        <v>0.98771050000000005</v>
      </c>
      <c r="Y1945">
        <v>0.32770349999999998</v>
      </c>
      <c r="Z1945">
        <v>-6.3602700000000003E-3</v>
      </c>
      <c r="AA1945">
        <v>0.94475920000000002</v>
      </c>
      <c r="AB1945">
        <v>17</v>
      </c>
      <c r="AC1945">
        <v>15.5124999999999</v>
      </c>
      <c r="AD1945">
        <v>-1.110478454119</v>
      </c>
      <c r="AE1945">
        <v>-6.6841999999999704</v>
      </c>
      <c r="AF1945">
        <v>5.5450897522367599</v>
      </c>
      <c r="AG1945">
        <v>-1.110478454119</v>
      </c>
      <c r="AH1945">
        <v>15.8782158508214</v>
      </c>
      <c r="AI1945">
        <v>93.777571225474503</v>
      </c>
      <c r="AJ1945">
        <v>70.749457918504305</v>
      </c>
      <c r="AK1945">
        <v>16.855234242296898</v>
      </c>
      <c r="AL1945">
        <v>85.265186130065103</v>
      </c>
      <c r="AM1945">
        <v>82.346946181373099</v>
      </c>
      <c r="AN1945">
        <v>1.00000003703525</v>
      </c>
    </row>
    <row r="1946" spans="1:40" x14ac:dyDescent="0.25">
      <c r="A1946" t="str">
        <f>"20190312150703108"</f>
        <v>20190312150703108</v>
      </c>
      <c r="B1946" t="str">
        <f>"1552374423102381"</f>
        <v>1552374423102381</v>
      </c>
      <c r="C1946" t="s">
        <v>40</v>
      </c>
      <c r="D1946">
        <v>4.3466279999999999</v>
      </c>
      <c r="E1946">
        <v>0.57620609999999906</v>
      </c>
      <c r="F1946" t="s">
        <v>49</v>
      </c>
      <c r="G1946">
        <v>-201.4922</v>
      </c>
      <c r="H1946" s="1">
        <v>-3.3491260000000001E-6</v>
      </c>
      <c r="I1946">
        <v>359.87729999999999</v>
      </c>
      <c r="J1946">
        <v>-217.17959999999999</v>
      </c>
      <c r="K1946">
        <v>1.1104830000000001</v>
      </c>
      <c r="L1946">
        <v>366.66699999999997</v>
      </c>
      <c r="M1946">
        <v>0.99738190000000004</v>
      </c>
      <c r="N1946">
        <v>0</v>
      </c>
      <c r="O1946">
        <v>-7.1079160000000002E-2</v>
      </c>
      <c r="P1946">
        <v>0.97666949999999997</v>
      </c>
      <c r="Q1946">
        <v>7.0542590000000002E-2</v>
      </c>
      <c r="R1946">
        <v>-0.20283090000000001</v>
      </c>
      <c r="S1946">
        <v>2.8324739999999999</v>
      </c>
      <c r="T1946">
        <v>-0.19945170000000001</v>
      </c>
      <c r="U1946">
        <v>-1.2205809999999999</v>
      </c>
      <c r="V1946">
        <v>0.1329494</v>
      </c>
      <c r="W1946">
        <v>8.3605650000000004E-2</v>
      </c>
      <c r="X1946">
        <v>0.98759030000000003</v>
      </c>
      <c r="Y1946">
        <v>0.32892589999999999</v>
      </c>
      <c r="Z1946">
        <v>-6.3090469999999999E-3</v>
      </c>
      <c r="AA1946">
        <v>0.94433469999999997</v>
      </c>
      <c r="AB1946">
        <v>17</v>
      </c>
      <c r="AC1946">
        <v>15.687399999999901</v>
      </c>
      <c r="AD1946">
        <v>-1.110486349126</v>
      </c>
      <c r="AE1946">
        <v>-6.7896999999999803</v>
      </c>
      <c r="AF1946">
        <v>5.6336015587467596</v>
      </c>
      <c r="AG1946">
        <v>-1.110486349126</v>
      </c>
      <c r="AH1946">
        <v>16.062572789826898</v>
      </c>
      <c r="AI1946">
        <v>93.732620581433807</v>
      </c>
      <c r="AJ1946">
        <v>70.672778991735299</v>
      </c>
      <c r="AK1946">
        <v>17.058044761425599</v>
      </c>
      <c r="AL1946">
        <v>85.204151034682198</v>
      </c>
      <c r="AM1946">
        <v>82.332936355524296</v>
      </c>
      <c r="AN1946">
        <v>1.0000000241631799</v>
      </c>
    </row>
    <row r="1947" spans="1:40" x14ac:dyDescent="0.25">
      <c r="A1947" t="str">
        <f>"20190312150703119"</f>
        <v>20190312150703119</v>
      </c>
      <c r="B1947" t="str">
        <f>"1552374423112141"</f>
        <v>1552374423112141</v>
      </c>
      <c r="C1947" t="s">
        <v>40</v>
      </c>
      <c r="D1947">
        <v>4.38239</v>
      </c>
      <c r="E1947">
        <v>0.57609860000000002</v>
      </c>
      <c r="F1947" t="s">
        <v>49</v>
      </c>
      <c r="G1947">
        <v>-200.8646</v>
      </c>
      <c r="H1947" s="1">
        <v>-3.091111E-6</v>
      </c>
      <c r="I1947">
        <v>359.61649999999997</v>
      </c>
      <c r="J1947">
        <v>-217.0865</v>
      </c>
      <c r="K1947">
        <v>1.11049</v>
      </c>
      <c r="L1947">
        <v>366.66</v>
      </c>
      <c r="M1947">
        <v>0.99735949999999995</v>
      </c>
      <c r="N1947">
        <v>0</v>
      </c>
      <c r="O1947">
        <v>-7.139421E-2</v>
      </c>
      <c r="P1947">
        <v>0.9765509</v>
      </c>
      <c r="Q1947">
        <v>7.1175450000000001E-2</v>
      </c>
      <c r="R1947">
        <v>-0.20318230000000001</v>
      </c>
      <c r="S1947">
        <v>2.8314819999999998</v>
      </c>
      <c r="T1947">
        <v>-0.19272539999999999</v>
      </c>
      <c r="U1947">
        <v>-1.2236020000000001</v>
      </c>
      <c r="V1947">
        <v>0.132996</v>
      </c>
      <c r="W1947">
        <v>8.4236640000000002E-2</v>
      </c>
      <c r="X1947">
        <v>0.98753040000000003</v>
      </c>
      <c r="Y1947">
        <v>0.32963179999999997</v>
      </c>
      <c r="Z1947">
        <v>-6.1001450000000004E-3</v>
      </c>
      <c r="AA1947">
        <v>0.94408990000000004</v>
      </c>
      <c r="AB1947">
        <v>17</v>
      </c>
      <c r="AC1947">
        <v>16.221900000000002</v>
      </c>
      <c r="AD1947">
        <v>-1.110493091111</v>
      </c>
      <c r="AE1947">
        <v>-7.0435000000000496</v>
      </c>
      <c r="AF1947">
        <v>5.84422748191996</v>
      </c>
      <c r="AG1947">
        <v>-1.110493091111</v>
      </c>
      <c r="AH1947">
        <v>16.617883682505699</v>
      </c>
      <c r="AI1947">
        <v>93.607172827956703</v>
      </c>
      <c r="AJ1947">
        <v>70.624092610100902</v>
      </c>
      <c r="AK1947">
        <v>17.650559420344798</v>
      </c>
      <c r="AL1947">
        <v>85.167869962058703</v>
      </c>
      <c r="AM1947">
        <v>82.329821282375505</v>
      </c>
      <c r="AN1947">
        <v>1.0000000192293199</v>
      </c>
    </row>
    <row r="1948" spans="1:40" x14ac:dyDescent="0.25">
      <c r="A1948" t="str">
        <f>"20190312150703133"</f>
        <v>20190312150703133</v>
      </c>
      <c r="B1948" t="str">
        <f>"1552374423121901"</f>
        <v>1552374423121901</v>
      </c>
      <c r="C1948" t="s">
        <v>40</v>
      </c>
      <c r="D1948">
        <v>4.3755579999999998</v>
      </c>
      <c r="E1948">
        <v>0.57609860000000002</v>
      </c>
      <c r="F1948" t="s">
        <v>49</v>
      </c>
      <c r="G1948">
        <v>-200.4297</v>
      </c>
      <c r="H1948" s="1">
        <v>-6.6366260000000004E-6</v>
      </c>
      <c r="I1948">
        <v>359.46170000000001</v>
      </c>
      <c r="J1948">
        <v>-216.9838</v>
      </c>
      <c r="K1948">
        <v>1.1105</v>
      </c>
      <c r="L1948">
        <v>366.65219999999999</v>
      </c>
      <c r="M1948">
        <v>0.99733439999999995</v>
      </c>
      <c r="N1948">
        <v>0</v>
      </c>
      <c r="O1948">
        <v>-7.1741669999999994E-2</v>
      </c>
      <c r="P1948">
        <v>0.97643539999999995</v>
      </c>
      <c r="Q1948">
        <v>7.2335730000000001E-2</v>
      </c>
      <c r="R1948">
        <v>-0.2033267</v>
      </c>
      <c r="S1948">
        <v>2.831207</v>
      </c>
      <c r="T1948">
        <v>-0.18875410000000001</v>
      </c>
      <c r="U1948">
        <v>-1.223511</v>
      </c>
      <c r="V1948">
        <v>0.13280459999999999</v>
      </c>
      <c r="W1948">
        <v>8.5395460000000006E-2</v>
      </c>
      <c r="X1948">
        <v>0.98745660000000002</v>
      </c>
      <c r="Y1948">
        <v>0.32933210000000002</v>
      </c>
      <c r="Z1948">
        <v>-5.9437569999999896E-3</v>
      </c>
      <c r="AA1948">
        <v>0.94419540000000002</v>
      </c>
      <c r="AB1948">
        <v>17</v>
      </c>
      <c r="AC1948">
        <v>16.554099999999998</v>
      </c>
      <c r="AD1948">
        <v>-1.1105066366259999</v>
      </c>
      <c r="AE1948">
        <v>-7.1904999999999797</v>
      </c>
      <c r="AF1948">
        <v>5.9616742275247701</v>
      </c>
      <c r="AG1948">
        <v>-1.1105066366259999</v>
      </c>
      <c r="AH1948">
        <v>16.963120105570798</v>
      </c>
      <c r="AI1948">
        <v>93.534247930283996</v>
      </c>
      <c r="AJ1948">
        <v>70.636017994975404</v>
      </c>
      <c r="AK1948">
        <v>18.014500501017</v>
      </c>
      <c r="AL1948">
        <v>85.101234215774895</v>
      </c>
      <c r="AM1948">
        <v>82.340162982921797</v>
      </c>
      <c r="AN1948">
        <v>0.99999999162666497</v>
      </c>
    </row>
    <row r="1949" spans="1:40" x14ac:dyDescent="0.25">
      <c r="A1949" t="str">
        <f>"20190312150703147"</f>
        <v>20190312150703147</v>
      </c>
      <c r="B1949" t="str">
        <f>"1552374423142398"</f>
        <v>1552374423142398</v>
      </c>
      <c r="C1949" t="s">
        <v>40</v>
      </c>
      <c r="D1949">
        <v>4.353008</v>
      </c>
      <c r="E1949">
        <v>0.58346390000000004</v>
      </c>
      <c r="F1949" t="s">
        <v>49</v>
      </c>
      <c r="G1949">
        <v>-200.0264</v>
      </c>
      <c r="H1949" s="1">
        <v>-6.7464980000000001E-6</v>
      </c>
      <c r="I1949">
        <v>359.32170000000002</v>
      </c>
      <c r="J1949">
        <v>-216.8802</v>
      </c>
      <c r="K1949">
        <v>1.1105039999999999</v>
      </c>
      <c r="L1949">
        <v>366.64429999999999</v>
      </c>
      <c r="M1949">
        <v>0.99730929999999995</v>
      </c>
      <c r="N1949">
        <v>0</v>
      </c>
      <c r="O1949">
        <v>-7.2092110000000001E-2</v>
      </c>
      <c r="P1949">
        <v>0.97635570000000005</v>
      </c>
      <c r="Q1949">
        <v>7.3234850000000004E-2</v>
      </c>
      <c r="R1949">
        <v>-0.2033876</v>
      </c>
      <c r="S1949">
        <v>2.8312379999999999</v>
      </c>
      <c r="T1949">
        <v>-0.18541279999999999</v>
      </c>
      <c r="U1949">
        <v>-1.2239070000000001</v>
      </c>
      <c r="V1949">
        <v>0.13252429999999901</v>
      </c>
      <c r="W1949">
        <v>8.629336E-2</v>
      </c>
      <c r="X1949">
        <v>0.98741619999999997</v>
      </c>
      <c r="Y1949">
        <v>0.32912590000000003</v>
      </c>
      <c r="Z1949">
        <v>-5.8103319999999996E-3</v>
      </c>
      <c r="AA1949">
        <v>0.9442682</v>
      </c>
      <c r="AB1949">
        <v>17</v>
      </c>
      <c r="AC1949">
        <v>16.8538</v>
      </c>
      <c r="AD1949">
        <v>-1.110510746498</v>
      </c>
      <c r="AE1949">
        <v>-7.3225999999999596</v>
      </c>
      <c r="AF1949">
        <v>6.0662545533483598</v>
      </c>
      <c r="AG1949">
        <v>-1.110510746498</v>
      </c>
      <c r="AH1949">
        <v>17.274796066058901</v>
      </c>
      <c r="AI1949">
        <v>93.470963039240004</v>
      </c>
      <c r="AJ1949">
        <v>70.650655577844006</v>
      </c>
      <c r="AK1949">
        <v>18.342607708502999</v>
      </c>
      <c r="AL1949">
        <v>85.049597726911102</v>
      </c>
      <c r="AM1949">
        <v>82.355829588417606</v>
      </c>
      <c r="AN1949">
        <v>0.99999999304650899</v>
      </c>
    </row>
    <row r="1950" spans="1:40" x14ac:dyDescent="0.25">
      <c r="A1950" t="str">
        <f>"20190312150703158"</f>
        <v>20190312150703158</v>
      </c>
      <c r="B1950" t="str">
        <f>"1552374423152157"</f>
        <v>1552374423152157</v>
      </c>
      <c r="C1950" t="s">
        <v>40</v>
      </c>
      <c r="D1950">
        <v>4.34551</v>
      </c>
      <c r="E1950">
        <v>0.58318809999999999</v>
      </c>
      <c r="F1950" t="s">
        <v>49</v>
      </c>
      <c r="G1950">
        <v>-207.51499999999999</v>
      </c>
      <c r="H1950" s="1">
        <v>-5.5838349999999997E-6</v>
      </c>
      <c r="I1950">
        <v>362.37779999999998</v>
      </c>
      <c r="J1950">
        <v>-216.78020000000001</v>
      </c>
      <c r="K1950">
        <v>1.110509</v>
      </c>
      <c r="L1950">
        <v>366.63670000000002</v>
      </c>
      <c r="M1950">
        <v>0.99728470000000002</v>
      </c>
      <c r="N1950">
        <v>0</v>
      </c>
      <c r="O1950">
        <v>-7.2430389999999997E-2</v>
      </c>
      <c r="P1950">
        <v>0.97628179999999998</v>
      </c>
      <c r="Q1950">
        <v>7.4039380000000002E-2</v>
      </c>
      <c r="R1950">
        <v>-0.2034513</v>
      </c>
      <c r="S1950">
        <v>2.8293149999999998</v>
      </c>
      <c r="T1950">
        <v>-0.33549770000000001</v>
      </c>
      <c r="U1950">
        <v>-1.2889710000000001</v>
      </c>
      <c r="V1950">
        <v>0.13225819999999999</v>
      </c>
      <c r="W1950">
        <v>8.7097140000000003E-2</v>
      </c>
      <c r="X1950">
        <v>0.98738130000000002</v>
      </c>
      <c r="Y1950">
        <v>0.34599750000000001</v>
      </c>
      <c r="Z1950">
        <v>-1.1365419999999999E-2</v>
      </c>
      <c r="AA1950">
        <v>0.93816659999999996</v>
      </c>
      <c r="AB1950">
        <v>17</v>
      </c>
      <c r="AC1950">
        <v>9.2652000000000196</v>
      </c>
      <c r="AD1950">
        <v>-1.1105145838349999</v>
      </c>
      <c r="AE1950">
        <v>-4.2589000000000397</v>
      </c>
      <c r="AF1950">
        <v>3.5346489969881101</v>
      </c>
      <c r="AG1950">
        <v>-1.1105145838349999</v>
      </c>
      <c r="AH1950">
        <v>9.4374322234545591</v>
      </c>
      <c r="AI1950">
        <v>96.288386855452003</v>
      </c>
      <c r="AJ1950">
        <v>69.467314492234095</v>
      </c>
      <c r="AK1950">
        <v>10.138644541807199</v>
      </c>
      <c r="AL1950">
        <v>85.003370444283306</v>
      </c>
      <c r="AM1950">
        <v>82.370731142985406</v>
      </c>
      <c r="AN1950">
        <v>0.99999998742655405</v>
      </c>
    </row>
    <row r="1951" spans="1:40" x14ac:dyDescent="0.25">
      <c r="A1951" t="str">
        <f>"20190312150703172"</f>
        <v>20190312150703172</v>
      </c>
      <c r="B1951" t="str">
        <f>"1552374423161918"</f>
        <v>1552374423161918</v>
      </c>
      <c r="C1951" t="s">
        <v>40</v>
      </c>
      <c r="D1951">
        <v>4.350854</v>
      </c>
      <c r="E1951">
        <v>0.58355800000000002</v>
      </c>
      <c r="F1951" t="s">
        <v>49</v>
      </c>
      <c r="G1951">
        <v>-207.643</v>
      </c>
      <c r="H1951" s="1">
        <v>-5.61059999999999E-6</v>
      </c>
      <c r="I1951">
        <v>362.48070000000001</v>
      </c>
      <c r="J1951">
        <v>-216.68010000000001</v>
      </c>
      <c r="K1951">
        <v>1.1105210000000001</v>
      </c>
      <c r="L1951">
        <v>366.62900000000002</v>
      </c>
      <c r="M1951">
        <v>0.99726000000000004</v>
      </c>
      <c r="N1951">
        <v>0</v>
      </c>
      <c r="O1951">
        <v>-7.2769039999999993E-2</v>
      </c>
      <c r="P1951">
        <v>0.97615739999999995</v>
      </c>
      <c r="Q1951">
        <v>7.5349440000000004E-2</v>
      </c>
      <c r="R1951">
        <v>-0.20356679999999999</v>
      </c>
      <c r="S1951">
        <v>2.8306580000000001</v>
      </c>
      <c r="T1951">
        <v>-0.34403</v>
      </c>
      <c r="U1951">
        <v>-1.287506</v>
      </c>
      <c r="V1951">
        <v>0.13204759999999999</v>
      </c>
      <c r="W1951">
        <v>8.8405280000000003E-2</v>
      </c>
      <c r="X1951">
        <v>0.98729319999999998</v>
      </c>
      <c r="Y1951">
        <v>0.34503679999999998</v>
      </c>
      <c r="Z1951">
        <v>-1.155459E-2</v>
      </c>
      <c r="AA1951">
        <v>0.93851799999999996</v>
      </c>
      <c r="AB1951">
        <v>17</v>
      </c>
      <c r="AC1951">
        <v>9.0371000000000095</v>
      </c>
      <c r="AD1951">
        <v>-1.11052661059999</v>
      </c>
      <c r="AE1951">
        <v>-4.1482999999999999</v>
      </c>
      <c r="AF1951">
        <v>3.4367552183873702</v>
      </c>
      <c r="AG1951">
        <v>-1.11052661059999</v>
      </c>
      <c r="AH1951">
        <v>9.2002790764501601</v>
      </c>
      <c r="AI1951">
        <v>96.451270842720206</v>
      </c>
      <c r="AJ1951">
        <v>69.516875110840701</v>
      </c>
      <c r="AK1951">
        <v>9.8838095321859605</v>
      </c>
      <c r="AL1951">
        <v>84.928129161343506</v>
      </c>
      <c r="AM1951">
        <v>82.382065043019097</v>
      </c>
      <c r="AN1951">
        <v>0.99999996248193801</v>
      </c>
    </row>
    <row r="1952" spans="1:40" x14ac:dyDescent="0.25">
      <c r="A1952" t="str">
        <f>"20190312150703186"</f>
        <v>20190312150703186</v>
      </c>
      <c r="B1952" t="str">
        <f>"1552374423182413"</f>
        <v>1552374423182413</v>
      </c>
      <c r="C1952" t="s">
        <v>40</v>
      </c>
      <c r="D1952">
        <v>4.2845800000000001</v>
      </c>
      <c r="E1952">
        <v>0.58376349999999999</v>
      </c>
      <c r="F1952" t="s">
        <v>49</v>
      </c>
      <c r="G1952">
        <v>-207.4144</v>
      </c>
      <c r="H1952" s="1">
        <v>-5.5461500000000003E-6</v>
      </c>
      <c r="I1952">
        <v>362.40339999999998</v>
      </c>
      <c r="J1952">
        <v>-216.57919999999999</v>
      </c>
      <c r="K1952">
        <v>1.110525</v>
      </c>
      <c r="L1952">
        <v>366.62119999999999</v>
      </c>
      <c r="M1952">
        <v>0.99723519999999999</v>
      </c>
      <c r="N1952">
        <v>0</v>
      </c>
      <c r="O1952">
        <v>-7.3110419999999995E-2</v>
      </c>
      <c r="P1952">
        <v>0.97610920000000001</v>
      </c>
      <c r="Q1952">
        <v>7.5746090000000002E-2</v>
      </c>
      <c r="R1952">
        <v>-0.2036512</v>
      </c>
      <c r="S1952">
        <v>2.830276</v>
      </c>
      <c r="T1952">
        <v>-0.33921859999999998</v>
      </c>
      <c r="U1952">
        <v>-1.2907409999999999</v>
      </c>
      <c r="V1952">
        <v>0.1317972</v>
      </c>
      <c r="W1952">
        <v>8.8800909999999997E-2</v>
      </c>
      <c r="X1952">
        <v>0.98729120000000004</v>
      </c>
      <c r="Y1952">
        <v>0.345696</v>
      </c>
      <c r="Z1952">
        <v>-1.139196E-2</v>
      </c>
      <c r="AA1952">
        <v>0.93827740000000004</v>
      </c>
      <c r="AB1952">
        <v>17</v>
      </c>
      <c r="AC1952">
        <v>9.1647999999999801</v>
      </c>
      <c r="AD1952">
        <v>-1.1105305461499999</v>
      </c>
      <c r="AE1952">
        <v>-4.2178000000000102</v>
      </c>
      <c r="AF1952">
        <v>3.4940723219035799</v>
      </c>
      <c r="AG1952">
        <v>-1.1105305461499999</v>
      </c>
      <c r="AH1952">
        <v>9.3355457588829296</v>
      </c>
      <c r="AI1952">
        <v>96.357084971880198</v>
      </c>
      <c r="AJ1952">
        <v>69.480322742015105</v>
      </c>
      <c r="AK1952">
        <v>10.029667696430501</v>
      </c>
      <c r="AL1952">
        <v>84.905371961784397</v>
      </c>
      <c r="AM1952">
        <v>82.396326432229898</v>
      </c>
      <c r="AN1952">
        <v>1.0000000085710501</v>
      </c>
    </row>
    <row r="1953" spans="1:40" x14ac:dyDescent="0.25">
      <c r="A1953" t="str">
        <f>"20190312150703196"</f>
        <v>20190312150703196</v>
      </c>
      <c r="B1953" t="str">
        <f>"1552374423192173"</f>
        <v>1552374423192173</v>
      </c>
      <c r="C1953" t="s">
        <v>40</v>
      </c>
      <c r="D1953">
        <v>4.3602569999999998</v>
      </c>
      <c r="E1953">
        <v>0.58411959999999996</v>
      </c>
      <c r="F1953" t="s">
        <v>49</v>
      </c>
      <c r="G1953">
        <v>-207.614</v>
      </c>
      <c r="H1953" s="1">
        <v>-5.5937619999999999E-6</v>
      </c>
      <c r="I1953">
        <v>362.52640000000002</v>
      </c>
      <c r="J1953">
        <v>-216.5018</v>
      </c>
      <c r="K1953">
        <v>1.1105210000000001</v>
      </c>
      <c r="L1953">
        <v>366.61520000000002</v>
      </c>
      <c r="M1953">
        <v>0.99721599999999999</v>
      </c>
      <c r="N1953">
        <v>0</v>
      </c>
      <c r="O1953">
        <v>-7.3372179999999995E-2</v>
      </c>
      <c r="P1953">
        <v>0.97602869999999997</v>
      </c>
      <c r="Q1953">
        <v>7.5941739999999994E-2</v>
      </c>
      <c r="R1953">
        <v>-0.2039639</v>
      </c>
      <c r="S1953">
        <v>2.8308719999999998</v>
      </c>
      <c r="T1953">
        <v>-0.35066520000000001</v>
      </c>
      <c r="U1953">
        <v>-1.292999</v>
      </c>
      <c r="V1953">
        <v>0.13185559999999999</v>
      </c>
      <c r="W1953">
        <v>8.8995640000000001E-2</v>
      </c>
      <c r="X1953">
        <v>0.98726590000000003</v>
      </c>
      <c r="Y1953">
        <v>0.345887099999999</v>
      </c>
      <c r="Z1953">
        <v>-1.175059E-2</v>
      </c>
      <c r="AA1953">
        <v>0.9382026</v>
      </c>
      <c r="AB1953">
        <v>17</v>
      </c>
      <c r="AC1953">
        <v>8.8877999999999897</v>
      </c>
      <c r="AD1953">
        <v>-1.1105265937619999</v>
      </c>
      <c r="AE1953">
        <v>-4.0887999999999902</v>
      </c>
      <c r="AF1953">
        <v>3.3820238871717199</v>
      </c>
      <c r="AG1953">
        <v>-1.1105265937619999</v>
      </c>
      <c r="AH1953">
        <v>9.0472933626405396</v>
      </c>
      <c r="AI1953">
        <v>96.558846587165107</v>
      </c>
      <c r="AJ1953">
        <v>69.503447665433796</v>
      </c>
      <c r="AK1953">
        <v>9.7223902451265705</v>
      </c>
      <c r="AL1953">
        <v>84.894170566667796</v>
      </c>
      <c r="AM1953">
        <v>82.392803994930205</v>
      </c>
      <c r="AN1953">
        <v>1.0000000402465801</v>
      </c>
    </row>
    <row r="1954" spans="1:40" x14ac:dyDescent="0.25">
      <c r="A1954" t="str">
        <f>"20190312150703220"</f>
        <v>20190312150703220</v>
      </c>
      <c r="B1954" t="str">
        <f>"1552374423212670"</f>
        <v>1552374423212670</v>
      </c>
      <c r="C1954" t="s">
        <v>40</v>
      </c>
      <c r="D1954">
        <v>4.3545959999999999</v>
      </c>
      <c r="E1954">
        <v>0.58436100000000002</v>
      </c>
      <c r="F1954" t="s">
        <v>49</v>
      </c>
      <c r="G1954">
        <v>-207.50729999999999</v>
      </c>
      <c r="H1954" s="1">
        <v>-5.5630659999999996E-6</v>
      </c>
      <c r="I1954">
        <v>362.4941</v>
      </c>
      <c r="J1954">
        <v>-216.3261</v>
      </c>
      <c r="K1954">
        <v>1.11052</v>
      </c>
      <c r="L1954">
        <v>366.60160000000002</v>
      </c>
      <c r="M1954">
        <v>0.99717219999999995</v>
      </c>
      <c r="N1954">
        <v>0</v>
      </c>
      <c r="O1954">
        <v>-7.3966379999999998E-2</v>
      </c>
      <c r="P1954">
        <v>0.975854</v>
      </c>
      <c r="Q1954">
        <v>7.5835929999999996E-2</v>
      </c>
      <c r="R1954">
        <v>-0.20483770000000001</v>
      </c>
      <c r="S1954">
        <v>2.829895</v>
      </c>
      <c r="T1954">
        <v>-0.34939799999999999</v>
      </c>
      <c r="U1954">
        <v>-1.2966</v>
      </c>
      <c r="V1954">
        <v>0.13215060000000001</v>
      </c>
      <c r="W1954">
        <v>8.8888300000000003E-2</v>
      </c>
      <c r="X1954">
        <v>0.98723609999999995</v>
      </c>
      <c r="Y1954">
        <v>0.3464506</v>
      </c>
      <c r="Z1954">
        <v>-1.1673299999999999E-2</v>
      </c>
      <c r="AA1954">
        <v>0.93799560000000004</v>
      </c>
      <c r="AB1954">
        <v>17</v>
      </c>
      <c r="AC1954">
        <v>8.8188000000000102</v>
      </c>
      <c r="AD1954">
        <v>-1.110525563066</v>
      </c>
      <c r="AE1954">
        <v>-4.1075000000000097</v>
      </c>
      <c r="AF1954">
        <v>3.3995948824803501</v>
      </c>
      <c r="AG1954">
        <v>-1.110525563066</v>
      </c>
      <c r="AH1954">
        <v>8.9814473928557401</v>
      </c>
      <c r="AI1954">
        <v>96.596374523374095</v>
      </c>
      <c r="AJ1954">
        <v>69.267692596034905</v>
      </c>
      <c r="AK1954">
        <v>9.6673113977902307</v>
      </c>
      <c r="AL1954">
        <v>84.900345032563095</v>
      </c>
      <c r="AM1954">
        <v>82.375756990179497</v>
      </c>
      <c r="AN1954">
        <v>1.0000000140502201</v>
      </c>
    </row>
    <row r="1955" spans="1:40" x14ac:dyDescent="0.25">
      <c r="A1955" t="str">
        <f>"20190312150703231"</f>
        <v>20190312150703231</v>
      </c>
      <c r="B1955" t="str">
        <f>"1552374423222430"</f>
        <v>1552374423222430</v>
      </c>
      <c r="C1955" t="s">
        <v>40</v>
      </c>
      <c r="D1955">
        <v>4.3469530000000001</v>
      </c>
      <c r="E1955">
        <v>0.5844878</v>
      </c>
      <c r="F1955" t="s">
        <v>49</v>
      </c>
      <c r="G1955">
        <v>-207.42009999999999</v>
      </c>
      <c r="H1955" s="1">
        <v>-5.5321510000000003E-6</v>
      </c>
      <c r="I1955">
        <v>362.50529999999998</v>
      </c>
      <c r="J1955">
        <v>-216.2363</v>
      </c>
      <c r="K1955">
        <v>1.110514</v>
      </c>
      <c r="L1955">
        <v>366.59460000000001</v>
      </c>
      <c r="M1955">
        <v>0.99714950000000002</v>
      </c>
      <c r="N1955">
        <v>0</v>
      </c>
      <c r="O1955">
        <v>-7.4269859999999993E-2</v>
      </c>
      <c r="P1955">
        <v>0.97557050000000001</v>
      </c>
      <c r="Q1955">
        <v>7.5647339999999993E-2</v>
      </c>
      <c r="R1955">
        <v>-0.2062522</v>
      </c>
      <c r="S1955">
        <v>2.8285680000000002</v>
      </c>
      <c r="T1955">
        <v>-0.35270800000000002</v>
      </c>
      <c r="U1955">
        <v>-1.3009949999999999</v>
      </c>
      <c r="V1955">
        <v>0.13328129999999999</v>
      </c>
      <c r="W1955">
        <v>8.8695960000000004E-2</v>
      </c>
      <c r="X1955">
        <v>0.98710140000000002</v>
      </c>
      <c r="Y1955">
        <v>0.34749819999999998</v>
      </c>
      <c r="Z1955">
        <v>-1.18111E-2</v>
      </c>
      <c r="AA1955">
        <v>0.9376063</v>
      </c>
      <c r="AB1955">
        <v>17</v>
      </c>
      <c r="AC1955">
        <v>8.8162000000000091</v>
      </c>
      <c r="AD1955">
        <v>-1.110519532151</v>
      </c>
      <c r="AE1955">
        <v>-4.0893000000000299</v>
      </c>
      <c r="AF1955">
        <v>3.3790462692965502</v>
      </c>
      <c r="AG1955">
        <v>-1.110519532151</v>
      </c>
      <c r="AH1955">
        <v>8.9783505237874692</v>
      </c>
      <c r="AI1955">
        <v>96.603259003408397</v>
      </c>
      <c r="AJ1955">
        <v>69.375925580618997</v>
      </c>
      <c r="AK1955">
        <v>9.6572245210169196</v>
      </c>
      <c r="AL1955">
        <v>84.911409064672895</v>
      </c>
      <c r="AM1955">
        <v>82.310263281614297</v>
      </c>
      <c r="AN1955">
        <v>1.00000002606598</v>
      </c>
    </row>
    <row r="1956" spans="1:40" x14ac:dyDescent="0.25">
      <c r="A1956" t="str">
        <f>"20190312150703242"</f>
        <v>20190312150703242</v>
      </c>
      <c r="B1956" t="str">
        <f>"1552374423232190"</f>
        <v>1552374423232190</v>
      </c>
      <c r="C1956" t="s">
        <v>40</v>
      </c>
      <c r="D1956">
        <v>4.3381980000000002</v>
      </c>
      <c r="E1956">
        <v>0.58461430000000003</v>
      </c>
      <c r="F1956" t="s">
        <v>49</v>
      </c>
      <c r="G1956">
        <v>-207.41540000000001</v>
      </c>
      <c r="H1956" s="1">
        <v>-5.5286239999999997E-6</v>
      </c>
      <c r="I1956">
        <v>362.51769999999999</v>
      </c>
      <c r="J1956">
        <v>-216.14599999999999</v>
      </c>
      <c r="K1956">
        <v>1.1105149999999999</v>
      </c>
      <c r="L1956">
        <v>366.58749999999998</v>
      </c>
      <c r="M1956">
        <v>0.99712670000000003</v>
      </c>
      <c r="N1956">
        <v>0</v>
      </c>
      <c r="O1956">
        <v>-7.4575359999999993E-2</v>
      </c>
      <c r="P1956">
        <v>0.9754237</v>
      </c>
      <c r="Q1956">
        <v>7.524306E-2</v>
      </c>
      <c r="R1956">
        <v>-0.2070922</v>
      </c>
      <c r="S1956">
        <v>2.826508</v>
      </c>
      <c r="T1956">
        <v>-0.35584549999999998</v>
      </c>
      <c r="U1956">
        <v>-1.3063659999999999</v>
      </c>
      <c r="V1956">
        <v>0.133826799999999</v>
      </c>
      <c r="W1956">
        <v>8.829033E-2</v>
      </c>
      <c r="X1956">
        <v>0.98706389999999999</v>
      </c>
      <c r="Y1956">
        <v>0.34890090000000001</v>
      </c>
      <c r="Z1956">
        <v>-1.1966600000000001E-2</v>
      </c>
      <c r="AA1956">
        <v>0.93708320000000001</v>
      </c>
      <c r="AB1956">
        <v>17</v>
      </c>
      <c r="AC1956">
        <v>8.7305999999999795</v>
      </c>
      <c r="AD1956">
        <v>-1.1105205286240001</v>
      </c>
      <c r="AE1956">
        <v>-4.0697999999999803</v>
      </c>
      <c r="AF1956">
        <v>3.3626262298805099</v>
      </c>
      <c r="AG1956">
        <v>-1.1105205286240001</v>
      </c>
      <c r="AH1956">
        <v>8.8916364683234406</v>
      </c>
      <c r="AI1956">
        <v>96.663106905525794</v>
      </c>
      <c r="AJ1956">
        <v>69.284456967404097</v>
      </c>
      <c r="AK1956">
        <v>9.5708782298802202</v>
      </c>
      <c r="AL1956">
        <v>84.934741198171096</v>
      </c>
      <c r="AM1956">
        <v>82.278879439518207</v>
      </c>
      <c r="AN1956">
        <v>0.99999996872647801</v>
      </c>
    </row>
    <row r="1957" spans="1:40" x14ac:dyDescent="0.25">
      <c r="A1957" t="str">
        <f>"20190312150703253"</f>
        <v>20190312150703253</v>
      </c>
      <c r="B1957" t="str">
        <f>"1552374423241949"</f>
        <v>1552374423241949</v>
      </c>
      <c r="C1957" t="s">
        <v>40</v>
      </c>
      <c r="D1957">
        <v>4.3563199999999904</v>
      </c>
      <c r="E1957">
        <v>0.5850611</v>
      </c>
      <c r="F1957" t="s">
        <v>49</v>
      </c>
      <c r="G1957">
        <v>-207.36670000000001</v>
      </c>
      <c r="H1957" s="1">
        <v>-5.5126350000000003E-6</v>
      </c>
      <c r="I1957">
        <v>362.51569999999998</v>
      </c>
      <c r="J1957">
        <v>-216.066</v>
      </c>
      <c r="K1957">
        <v>1.110514</v>
      </c>
      <c r="L1957">
        <v>366.58120000000002</v>
      </c>
      <c r="M1957">
        <v>0.99710639999999995</v>
      </c>
      <c r="N1957">
        <v>0</v>
      </c>
      <c r="O1957">
        <v>-7.4845830000000002E-2</v>
      </c>
      <c r="P1957">
        <v>0.97520640000000003</v>
      </c>
      <c r="Q1957">
        <v>7.5241420000000003E-2</v>
      </c>
      <c r="R1957">
        <v>-0.20811389999999999</v>
      </c>
      <c r="S1957">
        <v>2.8249970000000002</v>
      </c>
      <c r="T1957">
        <v>-0.35733989999999999</v>
      </c>
      <c r="U1957">
        <v>-1.310211</v>
      </c>
      <c r="V1957">
        <v>0.13459360000000001</v>
      </c>
      <c r="W1957">
        <v>8.8286039999999996E-2</v>
      </c>
      <c r="X1957">
        <v>0.98696010000000001</v>
      </c>
      <c r="Y1957">
        <v>0.34986790000000001</v>
      </c>
      <c r="Z1957">
        <v>-1.204506E-2</v>
      </c>
      <c r="AA1957">
        <v>0.93672160000000004</v>
      </c>
      <c r="AB1957">
        <v>17</v>
      </c>
      <c r="AC1957">
        <v>8.6992999999999601</v>
      </c>
      <c r="AD1957">
        <v>-1.110519512635</v>
      </c>
      <c r="AE1957">
        <v>-4.0655000000000401</v>
      </c>
      <c r="AF1957">
        <v>3.35801742328138</v>
      </c>
      <c r="AG1957">
        <v>-1.110519512635</v>
      </c>
      <c r="AH1957">
        <v>8.8606962919485905</v>
      </c>
      <c r="AI1957">
        <v>96.684401326297802</v>
      </c>
      <c r="AJ1957">
        <v>69.244346161254001</v>
      </c>
      <c r="AK1957">
        <v>9.5405174587731896</v>
      </c>
      <c r="AL1957">
        <v>84.934988375983295</v>
      </c>
      <c r="AM1957">
        <v>82.234370525413794</v>
      </c>
      <c r="AN1957">
        <v>1.0000000505059199</v>
      </c>
    </row>
    <row r="1958" spans="1:40" x14ac:dyDescent="0.25">
      <c r="A1958" t="str">
        <f>"20190312150703266"</f>
        <v>20190312150703266</v>
      </c>
      <c r="B1958" t="str">
        <f>"1552374423262446"</f>
        <v>1552374423262446</v>
      </c>
      <c r="C1958" t="s">
        <v>40</v>
      </c>
      <c r="D1958">
        <v>4.9878460000000002</v>
      </c>
      <c r="E1958">
        <v>0.58532550000000005</v>
      </c>
      <c r="F1958" t="s">
        <v>49</v>
      </c>
      <c r="G1958">
        <v>-207.29669999999999</v>
      </c>
      <c r="H1958" s="1">
        <v>-5.4933030000000003E-6</v>
      </c>
      <c r="I1958">
        <v>362.48939999999999</v>
      </c>
      <c r="J1958">
        <v>-215.9759</v>
      </c>
      <c r="K1958">
        <v>1.1105160000000001</v>
      </c>
      <c r="L1958">
        <v>366.57409999999999</v>
      </c>
      <c r="M1958">
        <v>0.99708350000000001</v>
      </c>
      <c r="N1958">
        <v>0</v>
      </c>
      <c r="O1958">
        <v>-7.5150499999999995E-2</v>
      </c>
      <c r="P1958">
        <v>0.97497420000000001</v>
      </c>
      <c r="Q1958">
        <v>7.5183650000000005E-2</v>
      </c>
      <c r="R1958">
        <v>-0.20921919999999999</v>
      </c>
      <c r="S1958">
        <v>2.822784</v>
      </c>
      <c r="T1958">
        <v>-0.35746749999999999</v>
      </c>
      <c r="U1958">
        <v>-1.3171079999999999</v>
      </c>
      <c r="V1958">
        <v>0.13541139999999999</v>
      </c>
      <c r="W1958">
        <v>8.8225250000000005E-2</v>
      </c>
      <c r="X1958">
        <v>0.9868536</v>
      </c>
      <c r="Y1958">
        <v>0.35173100000000002</v>
      </c>
      <c r="Z1958">
        <v>-1.2127789999999999E-2</v>
      </c>
      <c r="AA1958">
        <v>0.93602249999999998</v>
      </c>
      <c r="AB1958">
        <v>17</v>
      </c>
      <c r="AC1958">
        <v>8.6791999999999998</v>
      </c>
      <c r="AD1958">
        <v>-1.1105214933030001</v>
      </c>
      <c r="AE1958">
        <v>-4.08469999999999</v>
      </c>
      <c r="AF1958">
        <v>3.3756000232565602</v>
      </c>
      <c r="AG1958">
        <v>-1.1105214933030001</v>
      </c>
      <c r="AH1958">
        <v>8.8431222936515006</v>
      </c>
      <c r="AI1958">
        <v>96.691533701940003</v>
      </c>
      <c r="AJ1958">
        <v>69.107125189868299</v>
      </c>
      <c r="AK1958">
        <v>9.5304116073008007</v>
      </c>
      <c r="AL1958">
        <v>84.938484697809301</v>
      </c>
      <c r="AM1958">
        <v>82.186934263053502</v>
      </c>
      <c r="AN1958">
        <v>0.999999984910241</v>
      </c>
    </row>
    <row r="1959" spans="1:40" x14ac:dyDescent="0.25">
      <c r="A1959" t="str">
        <f>"20190312150703276"</f>
        <v>20190312150703276</v>
      </c>
      <c r="B1959" t="str">
        <f>"1552374423272206"</f>
        <v>1552374423272206</v>
      </c>
      <c r="C1959" t="s">
        <v>40</v>
      </c>
      <c r="D1959">
        <v>4.378654</v>
      </c>
      <c r="E1959">
        <v>0.58336319999999997</v>
      </c>
      <c r="F1959" t="s">
        <v>49</v>
      </c>
      <c r="G1959">
        <v>-207.29509999999999</v>
      </c>
      <c r="H1959" s="1">
        <v>-5.4904739999999999E-6</v>
      </c>
      <c r="I1959">
        <v>362.50420000000003</v>
      </c>
      <c r="J1959">
        <v>-215.8937</v>
      </c>
      <c r="K1959">
        <v>1.110517</v>
      </c>
      <c r="L1959">
        <v>366.5675</v>
      </c>
      <c r="M1959">
        <v>0.99706260000000002</v>
      </c>
      <c r="N1959">
        <v>0</v>
      </c>
      <c r="O1959">
        <v>-7.5428960000000003E-2</v>
      </c>
      <c r="P1959">
        <v>0.97477749999999996</v>
      </c>
      <c r="Q1959">
        <v>7.4977840000000004E-2</v>
      </c>
      <c r="R1959">
        <v>-0.2102087</v>
      </c>
      <c r="S1959">
        <v>2.820999</v>
      </c>
      <c r="T1959">
        <v>-0.3608865</v>
      </c>
      <c r="U1959">
        <v>-1.3226009999999999</v>
      </c>
      <c r="V1959">
        <v>0.1361367</v>
      </c>
      <c r="W1959">
        <v>8.8016730000000001E-2</v>
      </c>
      <c r="X1959">
        <v>0.98677239999999999</v>
      </c>
      <c r="Y1959">
        <v>0.3531494</v>
      </c>
      <c r="Z1959">
        <v>-1.2297890000000001E-2</v>
      </c>
      <c r="AA1959">
        <v>0.93548609999999999</v>
      </c>
      <c r="AB1959">
        <v>17</v>
      </c>
      <c r="AC1959">
        <v>8.5985999999999994</v>
      </c>
      <c r="AD1959">
        <v>-1.1105224904740001</v>
      </c>
      <c r="AE1959">
        <v>-4.0632999999999697</v>
      </c>
      <c r="AF1959">
        <v>3.35730383924956</v>
      </c>
      <c r="AG1959">
        <v>-1.1105224904740001</v>
      </c>
      <c r="AH1959">
        <v>8.76115660827063</v>
      </c>
      <c r="AI1959">
        <v>96.750257442926994</v>
      </c>
      <c r="AJ1959">
        <v>69.033004319750304</v>
      </c>
      <c r="AK1959">
        <v>9.4478894143365402</v>
      </c>
      <c r="AL1959">
        <v>84.950478535037504</v>
      </c>
      <c r="AM1959">
        <v>82.144968076902998</v>
      </c>
      <c r="AN1959">
        <v>0.99999995762426996</v>
      </c>
    </row>
    <row r="1960" spans="1:40" x14ac:dyDescent="0.25">
      <c r="A1960" t="str">
        <f>"20190312150703287"</f>
        <v>20190312150703287</v>
      </c>
      <c r="B1960" t="str">
        <f>"1552374423281966"</f>
        <v>1552374423281966</v>
      </c>
      <c r="C1960" t="s">
        <v>40</v>
      </c>
      <c r="D1960">
        <v>4.2959909999999999</v>
      </c>
      <c r="E1960">
        <v>0.5836036</v>
      </c>
      <c r="F1960" t="s">
        <v>49</v>
      </c>
      <c r="G1960">
        <v>-201.50129999999999</v>
      </c>
      <c r="H1960" s="1">
        <v>-3.3482110000000001E-6</v>
      </c>
      <c r="I1960">
        <v>359.90190000000001</v>
      </c>
      <c r="J1960">
        <v>-215.81450000000001</v>
      </c>
      <c r="K1960">
        <v>1.110517</v>
      </c>
      <c r="L1960">
        <v>366.56119999999999</v>
      </c>
      <c r="M1960">
        <v>0.99704210000000004</v>
      </c>
      <c r="N1960">
        <v>0</v>
      </c>
      <c r="O1960">
        <v>-7.5696920000000001E-2</v>
      </c>
      <c r="P1960">
        <v>0.97460210000000003</v>
      </c>
      <c r="Q1960">
        <v>7.5121690000000005E-2</v>
      </c>
      <c r="R1960">
        <v>-0.21096880000000001</v>
      </c>
      <c r="S1960">
        <v>2.813339</v>
      </c>
      <c r="T1960">
        <v>-0.21707789999999999</v>
      </c>
      <c r="U1960">
        <v>-1.302948</v>
      </c>
      <c r="V1960">
        <v>0.136642299999999</v>
      </c>
      <c r="W1960">
        <v>8.8158760000000003E-2</v>
      </c>
      <c r="X1960">
        <v>0.98668990000000001</v>
      </c>
      <c r="Y1960">
        <v>0.34968480000000002</v>
      </c>
      <c r="Z1960">
        <v>-7.29582199999999E-3</v>
      </c>
      <c r="AA1960">
        <v>0.93683899999999998</v>
      </c>
      <c r="AB1960">
        <v>17</v>
      </c>
      <c r="AC1960">
        <v>14.3132</v>
      </c>
      <c r="AD1960">
        <v>-1.110520348211</v>
      </c>
      <c r="AE1960">
        <v>-6.6592999999999698</v>
      </c>
      <c r="AF1960">
        <v>5.5292671354230496</v>
      </c>
      <c r="AG1960">
        <v>-1.110520348211</v>
      </c>
      <c r="AH1960">
        <v>14.7034979960741</v>
      </c>
      <c r="AI1960">
        <v>94.043755378707999</v>
      </c>
      <c r="AJ1960">
        <v>69.391172423297306</v>
      </c>
      <c r="AK1960">
        <v>15.7479809442105</v>
      </c>
      <c r="AL1960">
        <v>84.942309384193507</v>
      </c>
      <c r="AM1960">
        <v>82.115510435795798</v>
      </c>
      <c r="AN1960">
        <v>1.0000000219380101</v>
      </c>
    </row>
    <row r="1961" spans="1:40" x14ac:dyDescent="0.25">
      <c r="A1961" t="str">
        <f>"20190312150703297"</f>
        <v>20190312150703297</v>
      </c>
      <c r="B1961" t="str">
        <f>"1552374423291726"</f>
        <v>1552374423291726</v>
      </c>
      <c r="C1961" t="s">
        <v>40</v>
      </c>
      <c r="D1961">
        <v>4.3579189999999999</v>
      </c>
      <c r="E1961">
        <v>0.58410759999999995</v>
      </c>
      <c r="F1961" t="s">
        <v>49</v>
      </c>
      <c r="G1961">
        <v>-201.2003</v>
      </c>
      <c r="H1961" s="1">
        <v>-3.2268580000000001E-6</v>
      </c>
      <c r="I1961">
        <v>359.76620000000003</v>
      </c>
      <c r="J1961">
        <v>-215.72839999999999</v>
      </c>
      <c r="K1961">
        <v>1.110514</v>
      </c>
      <c r="L1961">
        <v>366.55439999999999</v>
      </c>
      <c r="M1961">
        <v>0.99702009999999996</v>
      </c>
      <c r="N1961">
        <v>0</v>
      </c>
      <c r="O1961">
        <v>-7.5989319999999999E-2</v>
      </c>
      <c r="P1961">
        <v>0.97445689999999996</v>
      </c>
      <c r="Q1961">
        <v>7.4897489999999997E-2</v>
      </c>
      <c r="R1961">
        <v>-0.21171699999999999</v>
      </c>
      <c r="S1961">
        <v>2.8116759999999998</v>
      </c>
      <c r="T1961">
        <v>-0.2136567</v>
      </c>
      <c r="U1961">
        <v>-1.307312</v>
      </c>
      <c r="V1961">
        <v>0.13710990000000001</v>
      </c>
      <c r="W1961">
        <v>8.7932679999999999E-2</v>
      </c>
      <c r="X1961">
        <v>0.9866452</v>
      </c>
      <c r="Y1961">
        <v>0.35083609999999998</v>
      </c>
      <c r="Z1961">
        <v>-7.2034949999999999E-3</v>
      </c>
      <c r="AA1961">
        <v>0.93640919999999905</v>
      </c>
      <c r="AB1961">
        <v>17</v>
      </c>
      <c r="AC1961">
        <v>14.528099999999901</v>
      </c>
      <c r="AD1961">
        <v>-1.1105172268579999</v>
      </c>
      <c r="AE1961">
        <v>-6.7881999999999598</v>
      </c>
      <c r="AF1961">
        <v>5.6374546580883802</v>
      </c>
      <c r="AG1961">
        <v>-1.1105172268579999</v>
      </c>
      <c r="AH1961">
        <v>14.930357922782999</v>
      </c>
      <c r="AI1961">
        <v>93.980493957983299</v>
      </c>
      <c r="AJ1961">
        <v>69.314298175254507</v>
      </c>
      <c r="AK1961">
        <v>15.997803950403901</v>
      </c>
      <c r="AL1961">
        <v>84.955313284272904</v>
      </c>
      <c r="AM1961">
        <v>82.088516309306002</v>
      </c>
      <c r="AN1961">
        <v>1.0000000157865101</v>
      </c>
    </row>
    <row r="1962" spans="1:40" x14ac:dyDescent="0.25">
      <c r="A1962" t="str">
        <f>"20190312150703310"</f>
        <v>20190312150703310</v>
      </c>
      <c r="B1962" t="str">
        <f>"1552374423302461"</f>
        <v>1552374423302461</v>
      </c>
      <c r="C1962" t="s">
        <v>40</v>
      </c>
      <c r="D1962">
        <v>4.4023940000000001</v>
      </c>
      <c r="E1962">
        <v>0.58439839999999998</v>
      </c>
      <c r="F1962" t="s">
        <v>49</v>
      </c>
      <c r="G1962">
        <v>-201.3219</v>
      </c>
      <c r="H1962" s="1">
        <v>-3.2761689999999999E-6</v>
      </c>
      <c r="I1962">
        <v>359.81979999999999</v>
      </c>
      <c r="J1962">
        <v>-215.6422</v>
      </c>
      <c r="K1962">
        <v>1.1105130000000001</v>
      </c>
      <c r="L1962">
        <v>366.54739999999998</v>
      </c>
      <c r="M1962">
        <v>0.99699780000000005</v>
      </c>
      <c r="N1962">
        <v>0</v>
      </c>
      <c r="O1962">
        <v>-7.6282210000000003E-2</v>
      </c>
      <c r="P1962">
        <v>0.97427419999999998</v>
      </c>
      <c r="Q1962">
        <v>7.5095049999999997E-2</v>
      </c>
      <c r="R1962">
        <v>-0.2124878</v>
      </c>
      <c r="S1962">
        <v>2.8099059999999998</v>
      </c>
      <c r="T1962">
        <v>-0.21660080000000001</v>
      </c>
      <c r="U1962">
        <v>-1.3135380000000001</v>
      </c>
      <c r="V1962">
        <v>0.13760240000000001</v>
      </c>
      <c r="W1962">
        <v>8.8127869999999997E-2</v>
      </c>
      <c r="X1962">
        <v>0.98655919999999997</v>
      </c>
      <c r="Y1962">
        <v>0.35246889999999997</v>
      </c>
      <c r="Z1962">
        <v>-7.3420719999999998E-3</v>
      </c>
      <c r="AA1962">
        <v>0.93579469999999998</v>
      </c>
      <c r="AB1962">
        <v>17</v>
      </c>
      <c r="AC1962">
        <v>14.3203</v>
      </c>
      <c r="AD1962">
        <v>-1.1105162761689999</v>
      </c>
      <c r="AE1962">
        <v>-6.72759999999999</v>
      </c>
      <c r="AF1962">
        <v>5.5879846748779398</v>
      </c>
      <c r="AG1962">
        <v>-1.1105162761689999</v>
      </c>
      <c r="AH1962">
        <v>14.719294681427501</v>
      </c>
      <c r="AI1962">
        <v>94.034645045181094</v>
      </c>
      <c r="AJ1962">
        <v>69.211399504215194</v>
      </c>
      <c r="AK1962">
        <v>15.7834234260191</v>
      </c>
      <c r="AL1962">
        <v>84.944086047715004</v>
      </c>
      <c r="AM1962">
        <v>82.0597766715521</v>
      </c>
      <c r="AN1962">
        <v>0.99999999853056798</v>
      </c>
    </row>
    <row r="1963" spans="1:40" x14ac:dyDescent="0.25">
      <c r="A1963" t="str">
        <f>"20190312150703321"</f>
        <v>20190312150703321</v>
      </c>
      <c r="B1963" t="str">
        <f>"1552374423312222"</f>
        <v>1552374423312222</v>
      </c>
      <c r="C1963" t="s">
        <v>40</v>
      </c>
      <c r="D1963">
        <v>5.6963739999999996</v>
      </c>
      <c r="E1963">
        <v>0.58463889999999996</v>
      </c>
      <c r="F1963" t="s">
        <v>49</v>
      </c>
      <c r="G1963">
        <v>-201.3544</v>
      </c>
      <c r="H1963" s="1">
        <v>-3.2875869999999999E-6</v>
      </c>
      <c r="I1963">
        <v>359.84210000000002</v>
      </c>
      <c r="J1963">
        <v>-215.5479</v>
      </c>
      <c r="K1963">
        <v>1.110514</v>
      </c>
      <c r="L1963">
        <v>366.53989999999999</v>
      </c>
      <c r="M1963">
        <v>0.996973</v>
      </c>
      <c r="N1963">
        <v>0</v>
      </c>
      <c r="O1963">
        <v>-7.6603820000000003E-2</v>
      </c>
      <c r="P1963">
        <v>0.97410110000000005</v>
      </c>
      <c r="Q1963">
        <v>7.5005639999999998E-2</v>
      </c>
      <c r="R1963">
        <v>-0.21331030000000001</v>
      </c>
      <c r="S1963">
        <v>2.8085939999999998</v>
      </c>
      <c r="T1963">
        <v>-0.21829770000000001</v>
      </c>
      <c r="U1963">
        <v>-1.318085</v>
      </c>
      <c r="V1963">
        <v>0.1381172</v>
      </c>
      <c r="W1963">
        <v>8.8036219999999998E-2</v>
      </c>
      <c r="X1963">
        <v>0.98649540000000002</v>
      </c>
      <c r="Y1963">
        <v>0.35356459999999901</v>
      </c>
      <c r="Z1963">
        <v>-7.4171840000000003E-3</v>
      </c>
      <c r="AA1963">
        <v>0.93538069999999895</v>
      </c>
      <c r="AB1963">
        <v>17</v>
      </c>
      <c r="AC1963">
        <v>14.1935</v>
      </c>
      <c r="AD1963">
        <v>-1.110517287587</v>
      </c>
      <c r="AE1963">
        <v>-6.6977999999999698</v>
      </c>
      <c r="AF1963">
        <v>5.5628912367339503</v>
      </c>
      <c r="AG1963">
        <v>-1.110517287587</v>
      </c>
      <c r="AH1963">
        <v>14.591850869302499</v>
      </c>
      <c r="AI1963">
        <v>94.067618194419296</v>
      </c>
      <c r="AJ1963">
        <v>69.131515812839098</v>
      </c>
      <c r="AK1963">
        <v>15.6557056484122</v>
      </c>
      <c r="AL1963">
        <v>84.949357478217607</v>
      </c>
      <c r="AM1963">
        <v>82.029942783365996</v>
      </c>
      <c r="AN1963">
        <v>0.99999995559444299</v>
      </c>
    </row>
    <row r="1964" spans="1:40" x14ac:dyDescent="0.25">
      <c r="A1964" t="str">
        <f>"20190312150703336"</f>
        <v>20190312150703336</v>
      </c>
      <c r="B1964" t="str">
        <f>"1552374423331742"</f>
        <v>1552374423331742</v>
      </c>
      <c r="C1964" t="s">
        <v>40</v>
      </c>
      <c r="D1964">
        <v>4.3275990000000002</v>
      </c>
      <c r="E1964">
        <v>0.58552660000000001</v>
      </c>
      <c r="F1964" t="s">
        <v>49</v>
      </c>
      <c r="G1964">
        <v>-201.167</v>
      </c>
      <c r="H1964" s="1">
        <v>-3.2104950000000001E-6</v>
      </c>
      <c r="I1964">
        <v>359.76440000000002</v>
      </c>
      <c r="J1964">
        <v>-215.44630000000001</v>
      </c>
      <c r="K1964">
        <v>1.1105149999999999</v>
      </c>
      <c r="L1964">
        <v>366.53160000000003</v>
      </c>
      <c r="M1964">
        <v>0.9969462</v>
      </c>
      <c r="N1964">
        <v>0</v>
      </c>
      <c r="O1964">
        <v>-7.6951909999999998E-2</v>
      </c>
      <c r="P1964">
        <v>0.97394150000000002</v>
      </c>
      <c r="Q1964">
        <v>7.5081430000000005E-2</v>
      </c>
      <c r="R1964">
        <v>-0.2140118</v>
      </c>
      <c r="S1964">
        <v>2.8068390000000001</v>
      </c>
      <c r="T1964">
        <v>-0.2167492</v>
      </c>
      <c r="U1964">
        <v>-1.3224180000000001</v>
      </c>
      <c r="V1964">
        <v>0.1384842</v>
      </c>
      <c r="W1964">
        <v>8.8109370000000006E-2</v>
      </c>
      <c r="X1964">
        <v>0.98643740000000002</v>
      </c>
      <c r="Y1964">
        <v>0.35465289999999999</v>
      </c>
      <c r="Z1964">
        <v>-7.3812859999999999E-3</v>
      </c>
      <c r="AA1964">
        <v>0.93496889999999999</v>
      </c>
      <c r="AB1964">
        <v>17</v>
      </c>
      <c r="AC1964">
        <v>14.279299999999999</v>
      </c>
      <c r="AD1964">
        <v>-1.110518210495</v>
      </c>
      <c r="AE1964">
        <v>-6.7671999999999999</v>
      </c>
      <c r="AF1964">
        <v>5.6204541353870496</v>
      </c>
      <c r="AG1964">
        <v>-1.110518210495</v>
      </c>
      <c r="AH1964">
        <v>14.685215420587999</v>
      </c>
      <c r="AI1964">
        <v>94.039838297129904</v>
      </c>
      <c r="AJ1964">
        <v>69.056714750269194</v>
      </c>
      <c r="AK1964">
        <v>15.763194705798201</v>
      </c>
      <c r="AL1964">
        <v>84.945149859496198</v>
      </c>
      <c r="AM1964">
        <v>82.008574463139993</v>
      </c>
      <c r="AN1964">
        <v>0.99999993942509602</v>
      </c>
    </row>
    <row r="1965" spans="1:40" x14ac:dyDescent="0.25">
      <c r="A1965" t="str">
        <f>"20190312150703350"</f>
        <v>20190312150703350</v>
      </c>
      <c r="B1965" t="str">
        <f>"1552374423342477"</f>
        <v>1552374423342477</v>
      </c>
      <c r="C1965" t="s">
        <v>40</v>
      </c>
      <c r="D1965">
        <v>4.3513039999999998</v>
      </c>
      <c r="E1965">
        <v>0.58563529999999997</v>
      </c>
      <c r="F1965" t="s">
        <v>49</v>
      </c>
      <c r="G1965">
        <v>-201.114</v>
      </c>
      <c r="H1965" s="1">
        <v>-3.1917450000000001E-6</v>
      </c>
      <c r="I1965">
        <v>359.72859999999997</v>
      </c>
      <c r="J1965">
        <v>-215.33770000000001</v>
      </c>
      <c r="K1965">
        <v>1.1105149999999999</v>
      </c>
      <c r="L1965">
        <v>366.52280000000002</v>
      </c>
      <c r="M1965">
        <v>0.99691739999999995</v>
      </c>
      <c r="N1965">
        <v>0</v>
      </c>
      <c r="O1965">
        <v>-7.7326000000000006E-2</v>
      </c>
      <c r="P1965">
        <v>0.97372300000000001</v>
      </c>
      <c r="Q1965">
        <v>7.5377319999999998E-2</v>
      </c>
      <c r="R1965">
        <v>-0.2149008</v>
      </c>
      <c r="S1965">
        <v>2.804535</v>
      </c>
      <c r="T1965">
        <v>-0.21730559999999999</v>
      </c>
      <c r="U1965">
        <v>-1.331207</v>
      </c>
      <c r="V1965">
        <v>0.13901740000000001</v>
      </c>
      <c r="W1965">
        <v>8.8401939999999998E-2</v>
      </c>
      <c r="X1965">
        <v>0.98633630000000005</v>
      </c>
      <c r="Y1965">
        <v>0.35698340000000001</v>
      </c>
      <c r="Z1965">
        <v>-7.4595490000000002E-3</v>
      </c>
      <c r="AA1965">
        <v>0.93408100000000005</v>
      </c>
      <c r="AB1965">
        <v>17</v>
      </c>
      <c r="AC1965">
        <v>14.223699999999999</v>
      </c>
      <c r="AD1965">
        <v>-1.110518191745</v>
      </c>
      <c r="AE1965">
        <v>-6.79420000000004</v>
      </c>
      <c r="AF1965">
        <v>5.6458727339505099</v>
      </c>
      <c r="AG1965">
        <v>-1.110518191745</v>
      </c>
      <c r="AH1965">
        <v>14.6338872907228</v>
      </c>
      <c r="AI1965">
        <v>94.049796924275995</v>
      </c>
      <c r="AJ1965">
        <v>68.902979959934996</v>
      </c>
      <c r="AK1965">
        <v>15.7244963931994</v>
      </c>
      <c r="AL1965">
        <v>84.928321566804101</v>
      </c>
      <c r="AM1965">
        <v>81.977393635514602</v>
      </c>
      <c r="AN1965">
        <v>1.0000000185980999</v>
      </c>
    </row>
    <row r="1966" spans="1:40" x14ac:dyDescent="0.25">
      <c r="A1966" t="str">
        <f>"20190312150703362"</f>
        <v>20190312150703362</v>
      </c>
      <c r="B1966" t="str">
        <f>"1552374423352238"</f>
        <v>1552374423352238</v>
      </c>
      <c r="C1966" t="s">
        <v>40</v>
      </c>
      <c r="D1966">
        <v>4.712434</v>
      </c>
      <c r="E1966">
        <v>0.58589630000000004</v>
      </c>
      <c r="F1966" t="s">
        <v>49</v>
      </c>
      <c r="G1966">
        <v>-200.94479999999999</v>
      </c>
      <c r="H1966" s="1">
        <v>-3.1195529999999999E-6</v>
      </c>
      <c r="I1966">
        <v>359.6703</v>
      </c>
      <c r="J1966">
        <v>-215.23769999999999</v>
      </c>
      <c r="K1966">
        <v>1.1105100000000001</v>
      </c>
      <c r="L1966">
        <v>366.51459999999997</v>
      </c>
      <c r="M1966">
        <v>0.99689019999999995</v>
      </c>
      <c r="N1966">
        <v>0</v>
      </c>
      <c r="O1966">
        <v>-7.767375E-2</v>
      </c>
      <c r="P1966">
        <v>0.97349410000000003</v>
      </c>
      <c r="Q1966">
        <v>7.5718590000000002E-2</v>
      </c>
      <c r="R1966">
        <v>-0.21581449999999999</v>
      </c>
      <c r="S1966">
        <v>2.8031619999999999</v>
      </c>
      <c r="T1966">
        <v>-0.21628410000000001</v>
      </c>
      <c r="U1966">
        <v>-1.334595</v>
      </c>
      <c r="V1966">
        <v>0.13960249999999999</v>
      </c>
      <c r="W1966">
        <v>8.873963E-2</v>
      </c>
      <c r="X1966">
        <v>0.98622330000000002</v>
      </c>
      <c r="Y1966">
        <v>0.35776049999999998</v>
      </c>
      <c r="Z1966">
        <v>-7.4293550000000003E-3</v>
      </c>
      <c r="AA1966">
        <v>0.93378380000000005</v>
      </c>
      <c r="AB1966">
        <v>17</v>
      </c>
      <c r="AC1966">
        <v>14.292899999999999</v>
      </c>
      <c r="AD1966">
        <v>-1.110513119553</v>
      </c>
      <c r="AE1966">
        <v>-6.8442999999999703</v>
      </c>
      <c r="AF1966">
        <v>5.6854177328306204</v>
      </c>
      <c r="AG1966">
        <v>-1.110513119553</v>
      </c>
      <c r="AH1966">
        <v>14.7091478141912</v>
      </c>
      <c r="AI1966">
        <v>94.028161839255702</v>
      </c>
      <c r="AJ1966">
        <v>68.867357439890696</v>
      </c>
      <c r="AK1966">
        <v>15.8087394692053</v>
      </c>
      <c r="AL1966">
        <v>84.908896861954403</v>
      </c>
      <c r="AM1966">
        <v>81.943159312434403</v>
      </c>
      <c r="AN1966">
        <v>0.99999998870083795</v>
      </c>
    </row>
    <row r="1967" spans="1:40" x14ac:dyDescent="0.25">
      <c r="A1967" t="str">
        <f>"20190312150703375"</f>
        <v>20190312150703375</v>
      </c>
      <c r="B1967" t="str">
        <f>"1552374423371758"</f>
        <v>1552374423371758</v>
      </c>
      <c r="C1967" t="s">
        <v>40</v>
      </c>
      <c r="D1967">
        <v>4.3290259999999998</v>
      </c>
      <c r="E1967">
        <v>0.58655230000000003</v>
      </c>
      <c r="F1967" t="s">
        <v>49</v>
      </c>
      <c r="G1967">
        <v>-200.7372</v>
      </c>
      <c r="H1967" s="1">
        <v>-6.5480440000000002E-6</v>
      </c>
      <c r="I1967">
        <v>359.5829</v>
      </c>
      <c r="J1967">
        <v>-215.1473</v>
      </c>
      <c r="K1967">
        <v>1.1105080000000001</v>
      </c>
      <c r="L1967">
        <v>366.50720000000001</v>
      </c>
      <c r="M1967">
        <v>0.99686549999999996</v>
      </c>
      <c r="N1967">
        <v>0</v>
      </c>
      <c r="O1967">
        <v>-7.7992660000000005E-2</v>
      </c>
      <c r="P1967">
        <v>0.97335550000000004</v>
      </c>
      <c r="Q1967">
        <v>7.5717389999999996E-2</v>
      </c>
      <c r="R1967">
        <v>-0.21644089999999999</v>
      </c>
      <c r="S1967">
        <v>2.8014830000000002</v>
      </c>
      <c r="T1967">
        <v>-0.21455109999999999</v>
      </c>
      <c r="U1967">
        <v>-1.3392029999999999</v>
      </c>
      <c r="V1967">
        <v>0.13992249999999901</v>
      </c>
      <c r="W1967">
        <v>8.8735850000000005E-2</v>
      </c>
      <c r="X1967">
        <v>0.98617829999999995</v>
      </c>
      <c r="Y1967">
        <v>0.35893829999999999</v>
      </c>
      <c r="Z1967">
        <v>-7.3914159999999996E-3</v>
      </c>
      <c r="AA1967">
        <v>0.93333200000000005</v>
      </c>
      <c r="AB1967">
        <v>17</v>
      </c>
      <c r="AC1967">
        <v>14.4101</v>
      </c>
      <c r="AD1967">
        <v>-1.110514548044</v>
      </c>
      <c r="AE1967">
        <v>-6.9243000000000103</v>
      </c>
      <c r="AF1967">
        <v>5.7514726967135399</v>
      </c>
      <c r="AG1967">
        <v>-1.110514548044</v>
      </c>
      <c r="AH1967">
        <v>14.834713547925499</v>
      </c>
      <c r="AI1967">
        <v>93.992599409065093</v>
      </c>
      <c r="AJ1967">
        <v>68.808505878164098</v>
      </c>
      <c r="AK1967">
        <v>15.9493387571856</v>
      </c>
      <c r="AL1967">
        <v>84.909114346453805</v>
      </c>
      <c r="AM1967">
        <v>81.924570942849599</v>
      </c>
      <c r="AN1967">
        <v>0.99999999823618102</v>
      </c>
    </row>
    <row r="1968" spans="1:40" x14ac:dyDescent="0.25">
      <c r="A1968" t="str">
        <f>"20190312150703386"</f>
        <v>20190312150703386</v>
      </c>
      <c r="B1968" t="str">
        <f>"1552374423382494"</f>
        <v>1552374423382494</v>
      </c>
      <c r="C1968" t="s">
        <v>40</v>
      </c>
      <c r="D1968">
        <v>4.357151</v>
      </c>
      <c r="E1968">
        <v>0.58695189999999997</v>
      </c>
      <c r="F1968" t="s">
        <v>49</v>
      </c>
      <c r="G1968">
        <v>-200.49449999999999</v>
      </c>
      <c r="H1968" s="1">
        <v>-6.6106300000000003E-6</v>
      </c>
      <c r="I1968">
        <v>359.46179999999998</v>
      </c>
      <c r="J1968">
        <v>-215.0626</v>
      </c>
      <c r="K1968">
        <v>1.110503</v>
      </c>
      <c r="L1968">
        <v>366.50020000000001</v>
      </c>
      <c r="M1968">
        <v>0.9968418</v>
      </c>
      <c r="N1968">
        <v>0</v>
      </c>
      <c r="O1968">
        <v>-7.8293940000000006E-2</v>
      </c>
      <c r="P1968">
        <v>0.97322580000000003</v>
      </c>
      <c r="Q1968">
        <v>7.58823E-2</v>
      </c>
      <c r="R1968">
        <v>-0.2169645</v>
      </c>
      <c r="S1968">
        <v>2.7993320000000002</v>
      </c>
      <c r="T1968">
        <v>-0.21215680000000001</v>
      </c>
      <c r="U1968">
        <v>-1.3459779999999999</v>
      </c>
      <c r="V1968">
        <v>0.14015720000000001</v>
      </c>
      <c r="W1968">
        <v>8.8897790000000004E-2</v>
      </c>
      <c r="X1968">
        <v>0.98613039999999996</v>
      </c>
      <c r="Y1968">
        <v>0.3607822</v>
      </c>
      <c r="Z1968">
        <v>-7.3554809999999997E-3</v>
      </c>
      <c r="AA1968">
        <v>0.93262109999999998</v>
      </c>
      <c r="AB1968">
        <v>17</v>
      </c>
      <c r="AC1968">
        <v>14.568099999999999</v>
      </c>
      <c r="AD1968">
        <v>-1.1105096106299901</v>
      </c>
      <c r="AE1968">
        <v>-7.0384000000000198</v>
      </c>
      <c r="AF1968">
        <v>5.8485425511589302</v>
      </c>
      <c r="AG1968">
        <v>-1.1105096106299901</v>
      </c>
      <c r="AH1968">
        <v>15.003800184769201</v>
      </c>
      <c r="AI1968">
        <v>93.944939575609695</v>
      </c>
      <c r="AJ1968">
        <v>68.703960365586397</v>
      </c>
      <c r="AK1968">
        <v>16.141644945683101</v>
      </c>
      <c r="AL1968">
        <v>84.899799122958697</v>
      </c>
      <c r="AM1968">
        <v>81.910816978173798</v>
      </c>
      <c r="AN1968">
        <v>1.00000001179144</v>
      </c>
    </row>
    <row r="1969" spans="1:40" x14ac:dyDescent="0.25">
      <c r="A1969" t="str">
        <f>"20190312150703400"</f>
        <v>20190312150703400</v>
      </c>
      <c r="B1969" t="str">
        <f>"1552374423392254"</f>
        <v>1552374423392254</v>
      </c>
      <c r="C1969" t="s">
        <v>40</v>
      </c>
      <c r="D1969">
        <v>5.1568940000000003</v>
      </c>
      <c r="E1969">
        <v>0.58731630000000001</v>
      </c>
      <c r="F1969" t="s">
        <v>49</v>
      </c>
      <c r="G1969">
        <v>-200.32249999999999</v>
      </c>
      <c r="H1969" s="1">
        <v>-6.6581249999999999E-6</v>
      </c>
      <c r="I1969">
        <v>359.38690000000003</v>
      </c>
      <c r="J1969">
        <v>-214.9572</v>
      </c>
      <c r="K1969">
        <v>1.110498</v>
      </c>
      <c r="L1969">
        <v>366.49149999999997</v>
      </c>
      <c r="M1969">
        <v>0.99681160000000002</v>
      </c>
      <c r="N1969">
        <v>0</v>
      </c>
      <c r="O1969">
        <v>-7.8677159999999996E-2</v>
      </c>
      <c r="P1969">
        <v>0.97311420000000004</v>
      </c>
      <c r="Q1969">
        <v>7.5778159999999997E-2</v>
      </c>
      <c r="R1969">
        <v>-0.21750079999999999</v>
      </c>
      <c r="S1969">
        <v>2.7979430000000001</v>
      </c>
      <c r="T1969">
        <v>-0.2107965</v>
      </c>
      <c r="U1969">
        <v>-1.35025</v>
      </c>
      <c r="V1969">
        <v>0.14032229999999901</v>
      </c>
      <c r="W1969">
        <v>8.8790460000000002E-2</v>
      </c>
      <c r="X1969">
        <v>0.98611660000000001</v>
      </c>
      <c r="Y1969">
        <v>0.36176700000000001</v>
      </c>
      <c r="Z1969">
        <v>-7.3175779999999999E-3</v>
      </c>
      <c r="AA1969">
        <v>0.93223979999999995</v>
      </c>
      <c r="AB1969">
        <v>17</v>
      </c>
      <c r="AC1969">
        <v>14.6347</v>
      </c>
      <c r="AD1969">
        <v>-1.110504658125</v>
      </c>
      <c r="AE1969">
        <v>-7.1045999999999401</v>
      </c>
      <c r="AF1969">
        <v>5.9035451500860496</v>
      </c>
      <c r="AG1969">
        <v>-1.110504658125</v>
      </c>
      <c r="AH1969">
        <v>15.078084493359199</v>
      </c>
      <c r="AI1969">
        <v>93.923257214881701</v>
      </c>
      <c r="AJ1969">
        <v>68.6180915760754</v>
      </c>
      <c r="AK1969">
        <v>16.2306407120514</v>
      </c>
      <c r="AL1969">
        <v>84.905973141819402</v>
      </c>
      <c r="AM1969">
        <v>81.9013027267833</v>
      </c>
      <c r="AN1969">
        <v>1.00000002122993</v>
      </c>
    </row>
    <row r="1970" spans="1:40" x14ac:dyDescent="0.25">
      <c r="A1970" t="str">
        <f>"20190312150703413"</f>
        <v>20190312150703413</v>
      </c>
      <c r="B1970" t="str">
        <f>"1552374423402014"</f>
        <v>1552374423402014</v>
      </c>
      <c r="C1970" t="s">
        <v>40</v>
      </c>
      <c r="D1970">
        <v>4.3657079999999997</v>
      </c>
      <c r="E1970">
        <v>0.58768719999999997</v>
      </c>
      <c r="F1970" t="s">
        <v>49</v>
      </c>
      <c r="G1970">
        <v>-200.23660000000001</v>
      </c>
      <c r="H1970" s="1">
        <v>-6.6845920000000001E-6</v>
      </c>
      <c r="I1970">
        <v>359.35950000000003</v>
      </c>
      <c r="J1970">
        <v>-214.8622</v>
      </c>
      <c r="K1970">
        <v>1.110492</v>
      </c>
      <c r="L1970">
        <v>366.48360000000002</v>
      </c>
      <c r="M1970">
        <v>0.99678370000000005</v>
      </c>
      <c r="N1970">
        <v>0</v>
      </c>
      <c r="O1970">
        <v>-7.9030950000000003E-2</v>
      </c>
      <c r="P1970">
        <v>0.9729662</v>
      </c>
      <c r="Q1970">
        <v>7.6143520000000006E-2</v>
      </c>
      <c r="R1970">
        <v>-0.2180357</v>
      </c>
      <c r="S1970">
        <v>2.796494</v>
      </c>
      <c r="T1970">
        <v>-0.21096309999999999</v>
      </c>
      <c r="U1970">
        <v>-1.3548579999999999</v>
      </c>
      <c r="V1970">
        <v>0.14051839999999999</v>
      </c>
      <c r="W1970">
        <v>8.9151889999999998E-2</v>
      </c>
      <c r="X1970">
        <v>0.98605600000000004</v>
      </c>
      <c r="Y1970">
        <v>0.36286740000000001</v>
      </c>
      <c r="Z1970">
        <v>-7.3386669999999897E-3</v>
      </c>
      <c r="AA1970">
        <v>0.93181190000000003</v>
      </c>
      <c r="AB1970">
        <v>17</v>
      </c>
      <c r="AC1970">
        <v>14.625599999999899</v>
      </c>
      <c r="AD1970">
        <v>-1.110498684592</v>
      </c>
      <c r="AE1970">
        <v>-7.1240999999999897</v>
      </c>
      <c r="AF1970">
        <v>5.9182594684727601</v>
      </c>
      <c r="AG1970">
        <v>-1.110498684592</v>
      </c>
      <c r="AH1970">
        <v>15.0726871711322</v>
      </c>
      <c r="AI1970">
        <v>93.923152528090199</v>
      </c>
      <c r="AJ1970">
        <v>68.562648573749598</v>
      </c>
      <c r="AK1970">
        <v>16.230985830301901</v>
      </c>
      <c r="AL1970">
        <v>84.885181950267906</v>
      </c>
      <c r="AM1970">
        <v>81.889643504108506</v>
      </c>
      <c r="AN1970">
        <v>0.999999957682565</v>
      </c>
    </row>
    <row r="1971" spans="1:40" x14ac:dyDescent="0.25">
      <c r="A1971" t="str">
        <f>"20190312150703428"</f>
        <v>20190312150703428</v>
      </c>
      <c r="B1971" t="str">
        <f>"1552374423422511"</f>
        <v>1552374423422511</v>
      </c>
      <c r="C1971" t="s">
        <v>40</v>
      </c>
      <c r="D1971">
        <v>4.3331059999999999</v>
      </c>
      <c r="E1971">
        <v>0.58768719999999997</v>
      </c>
      <c r="F1971" t="s">
        <v>49</v>
      </c>
      <c r="G1971">
        <v>-200.09289999999999</v>
      </c>
      <c r="H1971" s="1">
        <v>-6.7156630000000004E-6</v>
      </c>
      <c r="I1971">
        <v>359.30009999999999</v>
      </c>
      <c r="J1971">
        <v>-214.755</v>
      </c>
      <c r="K1971">
        <v>1.110484</v>
      </c>
      <c r="L1971">
        <v>366.47460000000001</v>
      </c>
      <c r="M1971">
        <v>0.99675139999999995</v>
      </c>
      <c r="N1971">
        <v>0</v>
      </c>
      <c r="O1971">
        <v>-7.9436989999999999E-2</v>
      </c>
      <c r="P1971">
        <v>0.97282100000000005</v>
      </c>
      <c r="Q1971">
        <v>7.6361689999999996E-2</v>
      </c>
      <c r="R1971">
        <v>-0.2186061</v>
      </c>
      <c r="S1971">
        <v>2.7951350000000001</v>
      </c>
      <c r="T1971">
        <v>-0.2101664</v>
      </c>
      <c r="U1971">
        <v>-1.359497</v>
      </c>
      <c r="V1971">
        <v>0.14069860000000001</v>
      </c>
      <c r="W1971">
        <v>8.9365150000000004E-2</v>
      </c>
      <c r="X1971">
        <v>0.98601099999999997</v>
      </c>
      <c r="Y1971">
        <v>0.36392010000000002</v>
      </c>
      <c r="Z1971">
        <v>-7.3206749999999996E-3</v>
      </c>
      <c r="AA1971">
        <v>0.93140140000000005</v>
      </c>
      <c r="AB1971">
        <v>17</v>
      </c>
      <c r="AC1971">
        <v>14.662100000000001</v>
      </c>
      <c r="AD1971">
        <v>-1.1104907156629999</v>
      </c>
      <c r="AE1971">
        <v>-7.1745000000000196</v>
      </c>
      <c r="AF1971">
        <v>5.9594264581573499</v>
      </c>
      <c r="AG1971">
        <v>-1.1104907156629999</v>
      </c>
      <c r="AH1971">
        <v>15.1157699447096</v>
      </c>
      <c r="AI1971">
        <v>93.909846498547097</v>
      </c>
      <c r="AJ1971">
        <v>68.4830496107313</v>
      </c>
      <c r="AK1971">
        <v>16.286020212475002</v>
      </c>
      <c r="AL1971">
        <v>84.872914091782704</v>
      </c>
      <c r="AM1971">
        <v>81.879015799365206</v>
      </c>
      <c r="AN1971">
        <v>0.99999995909873995</v>
      </c>
    </row>
    <row r="1972" spans="1:40" x14ac:dyDescent="0.25">
      <c r="A1972" t="str">
        <f>"20190312150703440"</f>
        <v>20190312150703440</v>
      </c>
      <c r="B1972" t="str">
        <f>"1552374423432270"</f>
        <v>1552374423432270</v>
      </c>
      <c r="C1972" t="s">
        <v>40</v>
      </c>
      <c r="D1972">
        <v>4.3154919999999999</v>
      </c>
      <c r="E1972">
        <v>0.59481099999999998</v>
      </c>
      <c r="F1972" t="s">
        <v>49</v>
      </c>
      <c r="G1972">
        <v>-199.94589999999999</v>
      </c>
      <c r="H1972" s="1">
        <v>-6.7276709999999998E-6</v>
      </c>
      <c r="I1972">
        <v>359.2627</v>
      </c>
      <c r="J1972">
        <v>-214.65870000000001</v>
      </c>
      <c r="K1972">
        <v>1.110476</v>
      </c>
      <c r="L1972">
        <v>366.4665</v>
      </c>
      <c r="M1972">
        <v>0.99672130000000003</v>
      </c>
      <c r="N1972">
        <v>0</v>
      </c>
      <c r="O1972">
        <v>-7.9815510000000006E-2</v>
      </c>
      <c r="P1972">
        <v>0.97270639999999997</v>
      </c>
      <c r="Q1972">
        <v>7.626376E-2</v>
      </c>
      <c r="R1972">
        <v>-0.2191505</v>
      </c>
      <c r="S1972">
        <v>2.7944640000000001</v>
      </c>
      <c r="T1972">
        <v>-0.2095487</v>
      </c>
      <c r="U1972">
        <v>-1.36087</v>
      </c>
      <c r="V1972">
        <v>0.14087759999999999</v>
      </c>
      <c r="W1972">
        <v>8.9262079999999994E-2</v>
      </c>
      <c r="X1972">
        <v>0.98599479999999995</v>
      </c>
      <c r="Y1972">
        <v>0.36402889999999999</v>
      </c>
      <c r="Z1972">
        <v>-7.2773890000000004E-3</v>
      </c>
      <c r="AA1972">
        <v>0.93135919999999905</v>
      </c>
      <c r="AB1972">
        <v>17</v>
      </c>
      <c r="AC1972">
        <v>14.7128</v>
      </c>
      <c r="AD1972">
        <v>-1.1104827276710001</v>
      </c>
      <c r="AE1972">
        <v>-7.2038000000000002</v>
      </c>
      <c r="AF1972">
        <v>5.9789259306332996</v>
      </c>
      <c r="AG1972">
        <v>-1.1104827276710001</v>
      </c>
      <c r="AH1972">
        <v>15.171163951687401</v>
      </c>
      <c r="AI1972">
        <v>93.895791039215695</v>
      </c>
      <c r="AJ1972">
        <v>68.490697625411201</v>
      </c>
      <c r="AK1972">
        <v>16.344569214923801</v>
      </c>
      <c r="AL1972">
        <v>84.878843377988403</v>
      </c>
      <c r="AM1972">
        <v>81.868690364089801</v>
      </c>
      <c r="AN1972">
        <v>0.99999998136736201</v>
      </c>
    </row>
    <row r="1973" spans="1:40" x14ac:dyDescent="0.25">
      <c r="A1973" t="str">
        <f>"20190312150703452"</f>
        <v>20190312150703452</v>
      </c>
      <c r="B1973" t="str">
        <f>"1552374423442030"</f>
        <v>1552374423442030</v>
      </c>
      <c r="C1973" t="s">
        <v>40</v>
      </c>
      <c r="D1973">
        <v>4.317501</v>
      </c>
      <c r="E1973">
        <v>0.59531219999999996</v>
      </c>
      <c r="F1973" t="s">
        <v>49</v>
      </c>
      <c r="G1973">
        <v>-206.57239999999999</v>
      </c>
      <c r="H1973" s="1">
        <v>-5.2749780000000001E-6</v>
      </c>
      <c r="I1973">
        <v>362.3349</v>
      </c>
      <c r="J1973">
        <v>-214.5652</v>
      </c>
      <c r="K1973">
        <v>1.110468</v>
      </c>
      <c r="L1973">
        <v>366.45859999999999</v>
      </c>
      <c r="M1973">
        <v>0.99669059999999998</v>
      </c>
      <c r="N1973">
        <v>0</v>
      </c>
      <c r="O1973">
        <v>-8.0195269999999999E-2</v>
      </c>
      <c r="P1973">
        <v>0.97239219999999904</v>
      </c>
      <c r="Q1973">
        <v>7.6540490000000003E-2</v>
      </c>
      <c r="R1973">
        <v>-0.22044269999999999</v>
      </c>
      <c r="S1973">
        <v>2.79277</v>
      </c>
      <c r="T1973">
        <v>-0.38352819999999999</v>
      </c>
      <c r="U1973">
        <v>-1.4269099999999999</v>
      </c>
      <c r="V1973">
        <v>0.141818</v>
      </c>
      <c r="W1973">
        <v>8.9530419999999999E-2</v>
      </c>
      <c r="X1973">
        <v>0.98583569999999998</v>
      </c>
      <c r="Y1973">
        <v>0.37988620000000001</v>
      </c>
      <c r="Z1973">
        <v>-1.419953E-2</v>
      </c>
      <c r="AA1973">
        <v>0.92492419999999997</v>
      </c>
      <c r="AB1973">
        <v>17</v>
      </c>
      <c r="AC1973">
        <v>7.9928000000000097</v>
      </c>
      <c r="AD1973">
        <v>-1.110473274978</v>
      </c>
      <c r="AE1973">
        <v>-4.1236999999999799</v>
      </c>
      <c r="AF1973">
        <v>3.4172787262567699</v>
      </c>
      <c r="AG1973">
        <v>-1.110473274978</v>
      </c>
      <c r="AH1973">
        <v>8.1731836197686398</v>
      </c>
      <c r="AI1973">
        <v>97.144887585780594</v>
      </c>
      <c r="AJ1973">
        <v>67.309773635742005</v>
      </c>
      <c r="AK1973">
        <v>8.9281507194839502</v>
      </c>
      <c r="AL1973">
        <v>84.863407095052395</v>
      </c>
      <c r="AM1973">
        <v>81.813841476616304</v>
      </c>
      <c r="AN1973">
        <v>1.00000003431193</v>
      </c>
    </row>
    <row r="1974" spans="1:40" x14ac:dyDescent="0.25">
      <c r="A1974" t="str">
        <f>"20190312150703467"</f>
        <v>20190312150703467</v>
      </c>
      <c r="B1974" t="str">
        <f>"1552374423462527"</f>
        <v>1552374423462527</v>
      </c>
      <c r="C1974" t="s">
        <v>40</v>
      </c>
      <c r="D1974">
        <v>4.469036</v>
      </c>
      <c r="E1974">
        <v>0.59555999999999998</v>
      </c>
      <c r="F1974" t="s">
        <v>49</v>
      </c>
      <c r="G1974">
        <v>-206.45060000000001</v>
      </c>
      <c r="H1974" s="1">
        <v>-5.2415249999999998E-6</v>
      </c>
      <c r="I1974">
        <v>362.28820000000002</v>
      </c>
      <c r="J1974">
        <v>-214.46260000000001</v>
      </c>
      <c r="K1974">
        <v>1.110455</v>
      </c>
      <c r="L1974">
        <v>366.44979999999998</v>
      </c>
      <c r="M1974">
        <v>0.99665610000000004</v>
      </c>
      <c r="N1974">
        <v>0</v>
      </c>
      <c r="O1974">
        <v>-8.0623230000000004E-2</v>
      </c>
      <c r="P1974">
        <v>0.97213170000000004</v>
      </c>
      <c r="Q1974">
        <v>7.6645710000000006E-2</v>
      </c>
      <c r="R1974">
        <v>-0.2215529</v>
      </c>
      <c r="S1974">
        <v>2.7901609999999999</v>
      </c>
      <c r="T1974">
        <v>-0.38183070000000002</v>
      </c>
      <c r="U1974">
        <v>-1.4339599999999999</v>
      </c>
      <c r="V1974">
        <v>0.14252519999999999</v>
      </c>
      <c r="W1974">
        <v>8.9627769999999995E-2</v>
      </c>
      <c r="X1974">
        <v>0.98572479999999996</v>
      </c>
      <c r="Y1974">
        <v>0.3816985</v>
      </c>
      <c r="Z1974">
        <v>-1.4203530000000001E-2</v>
      </c>
      <c r="AA1974">
        <v>0.92417780000000005</v>
      </c>
      <c r="AB1974">
        <v>17</v>
      </c>
      <c r="AC1974">
        <v>8.0120000000000005</v>
      </c>
      <c r="AD1974">
        <v>-1.110460241525</v>
      </c>
      <c r="AE1974">
        <v>-4.16159999999996</v>
      </c>
      <c r="AF1974">
        <v>3.4498495163319798</v>
      </c>
      <c r="AG1974">
        <v>-1.110460241525</v>
      </c>
      <c r="AH1974">
        <v>8.1974514397496403</v>
      </c>
      <c r="AI1974">
        <v>97.116994008905294</v>
      </c>
      <c r="AJ1974">
        <v>67.176492703452695</v>
      </c>
      <c r="AK1974">
        <v>8.9628563382661302</v>
      </c>
      <c r="AL1974">
        <v>84.857806533538195</v>
      </c>
      <c r="AM1974">
        <v>81.772664280647305</v>
      </c>
      <c r="AN1974">
        <v>0.99999997556262599</v>
      </c>
    </row>
    <row r="1975" spans="1:40" x14ac:dyDescent="0.25">
      <c r="A1975" t="str">
        <f>"20190312150703480"</f>
        <v>20190312150703480</v>
      </c>
      <c r="B1975" t="str">
        <f>"1552374423472286"</f>
        <v>1552374423472286</v>
      </c>
      <c r="C1975" t="s">
        <v>40</v>
      </c>
      <c r="D1975">
        <v>4.3216619999999999</v>
      </c>
      <c r="E1975">
        <v>0.59559640000000003</v>
      </c>
      <c r="F1975" t="s">
        <v>49</v>
      </c>
      <c r="G1975">
        <v>-206.4375</v>
      </c>
      <c r="H1975" s="1">
        <v>-5.2340820000000003E-6</v>
      </c>
      <c r="I1975">
        <v>362.30779999999999</v>
      </c>
      <c r="J1975">
        <v>-214.3638</v>
      </c>
      <c r="K1975">
        <v>1.110439</v>
      </c>
      <c r="L1975">
        <v>366.44130000000001</v>
      </c>
      <c r="M1975">
        <v>0.99662070000000003</v>
      </c>
      <c r="N1975">
        <v>0</v>
      </c>
      <c r="O1975">
        <v>-8.1060309999999997E-2</v>
      </c>
      <c r="P1975">
        <v>0.97189590000000003</v>
      </c>
      <c r="Q1975">
        <v>7.6494919999999994E-2</v>
      </c>
      <c r="R1975">
        <v>-0.22263669999999999</v>
      </c>
      <c r="S1975">
        <v>2.7884370000000001</v>
      </c>
      <c r="T1975">
        <v>-0.3858451</v>
      </c>
      <c r="U1975">
        <v>-1.439209</v>
      </c>
      <c r="V1975">
        <v>0.14319560000000001</v>
      </c>
      <c r="W1975">
        <v>8.9467720000000001E-2</v>
      </c>
      <c r="X1975">
        <v>0.98564220000000002</v>
      </c>
      <c r="Y1975">
        <v>0.38284879999999999</v>
      </c>
      <c r="Z1975">
        <v>-1.437254E-2</v>
      </c>
      <c r="AA1975">
        <v>0.92369920000000005</v>
      </c>
      <c r="AB1975">
        <v>17</v>
      </c>
      <c r="AC1975">
        <v>7.9262999999999897</v>
      </c>
      <c r="AD1975">
        <v>-1.110444234082</v>
      </c>
      <c r="AE1975">
        <v>-4.1335000000000202</v>
      </c>
      <c r="AF1975">
        <v>3.4244883384975</v>
      </c>
      <c r="AG1975">
        <v>-1.110444234082</v>
      </c>
      <c r="AH1975">
        <v>8.1101596892048899</v>
      </c>
      <c r="AI1975">
        <v>97.189123082702494</v>
      </c>
      <c r="AJ1975">
        <v>67.108257035192693</v>
      </c>
      <c r="AK1975">
        <v>8.8732686740521594</v>
      </c>
      <c r="AL1975">
        <v>84.867013836566201</v>
      </c>
      <c r="AM1975">
        <v>81.733815471881798</v>
      </c>
      <c r="AN1975">
        <v>0.99999999960109898</v>
      </c>
    </row>
    <row r="1976" spans="1:40" x14ac:dyDescent="0.25">
      <c r="A1976" t="str">
        <f>"20190312150703490"</f>
        <v>20190312150703490</v>
      </c>
      <c r="B1976" t="str">
        <f>"1552374423482046"</f>
        <v>1552374423482046</v>
      </c>
      <c r="C1976" t="s">
        <v>40</v>
      </c>
      <c r="D1976">
        <v>4.5595559999999997</v>
      </c>
      <c r="E1976">
        <v>0.59559640000000003</v>
      </c>
      <c r="F1976" t="s">
        <v>49</v>
      </c>
      <c r="G1976">
        <v>-206.36420000000001</v>
      </c>
      <c r="H1976" s="1">
        <v>-5.2104089999999997E-6</v>
      </c>
      <c r="I1976">
        <v>362.30220000000003</v>
      </c>
      <c r="J1976">
        <v>-214.27789999999999</v>
      </c>
      <c r="K1976">
        <v>1.1104210000000001</v>
      </c>
      <c r="L1976">
        <v>366.43380000000002</v>
      </c>
      <c r="M1976">
        <v>0.99658849999999999</v>
      </c>
      <c r="N1976">
        <v>0</v>
      </c>
      <c r="O1976">
        <v>-8.1456000000000001E-2</v>
      </c>
      <c r="P1976">
        <v>0.97168149999999998</v>
      </c>
      <c r="Q1976">
        <v>7.6304150000000001E-2</v>
      </c>
      <c r="R1976">
        <v>-0.22363540000000001</v>
      </c>
      <c r="S1976">
        <v>2.78688</v>
      </c>
      <c r="T1976">
        <v>-0.38685409999999998</v>
      </c>
      <c r="U1976">
        <v>-1.441986</v>
      </c>
      <c r="V1976">
        <v>0.14382039999999999</v>
      </c>
      <c r="W1976">
        <v>8.9269210000000002E-2</v>
      </c>
      <c r="X1976">
        <v>0.98556920000000003</v>
      </c>
      <c r="Y1976">
        <v>0.383405</v>
      </c>
      <c r="Z1976">
        <v>-1.439929E-2</v>
      </c>
      <c r="AA1976">
        <v>0.92346810000000001</v>
      </c>
      <c r="AB1976">
        <v>17</v>
      </c>
      <c r="AC1976">
        <v>7.9136999999999702</v>
      </c>
      <c r="AD1976">
        <v>-1.1104262104089999</v>
      </c>
      <c r="AE1976">
        <v>-4.1315999999999899</v>
      </c>
      <c r="AF1976">
        <v>3.4202752879585199</v>
      </c>
      <c r="AG1976">
        <v>-1.1104262104089999</v>
      </c>
      <c r="AH1976">
        <v>8.0986705269941499</v>
      </c>
      <c r="AI1976">
        <v>97.198898180503505</v>
      </c>
      <c r="AJ1976">
        <v>67.104425193413306</v>
      </c>
      <c r="AK1976">
        <v>8.8611395271142701</v>
      </c>
      <c r="AL1976">
        <v>84.878433182035195</v>
      </c>
      <c r="AM1976">
        <v>81.697643224982997</v>
      </c>
      <c r="AN1976">
        <v>0.99999997364941096</v>
      </c>
    </row>
    <row r="1977" spans="1:40" x14ac:dyDescent="0.25">
      <c r="A1977" t="str">
        <f>"20190312150703502"</f>
        <v>20190312150703502</v>
      </c>
      <c r="B1977" t="str">
        <f>"1552374423491806"</f>
        <v>1552374423491806</v>
      </c>
      <c r="C1977" t="s">
        <v>40</v>
      </c>
      <c r="D1977">
        <v>4.4457120000000003</v>
      </c>
      <c r="E1977">
        <v>0.59230179999999999</v>
      </c>
      <c r="F1977" t="s">
        <v>49</v>
      </c>
      <c r="G1977">
        <v>-206.2937</v>
      </c>
      <c r="H1977" s="1">
        <v>-5.1815920000000003E-6</v>
      </c>
      <c r="I1977">
        <v>362.2919</v>
      </c>
      <c r="J1977">
        <v>-214.1902</v>
      </c>
      <c r="K1977">
        <v>1.1104000000000001</v>
      </c>
      <c r="L1977">
        <v>366.42619999999999</v>
      </c>
      <c r="M1977">
        <v>0.99655439999999995</v>
      </c>
      <c r="N1977">
        <v>0</v>
      </c>
      <c r="O1977">
        <v>-8.1871860000000005E-2</v>
      </c>
      <c r="P1977">
        <v>0.97146829999999995</v>
      </c>
      <c r="Q1977">
        <v>7.5765059999999995E-2</v>
      </c>
      <c r="R1977">
        <v>-0.22474350000000001</v>
      </c>
      <c r="S1977">
        <v>2.7853240000000001</v>
      </c>
      <c r="T1977">
        <v>-0.3873779</v>
      </c>
      <c r="U1977">
        <v>-1.4449459999999901</v>
      </c>
      <c r="V1977">
        <v>0.14453360000000001</v>
      </c>
      <c r="W1977">
        <v>8.8721590000000003E-2</v>
      </c>
      <c r="X1977">
        <v>0.98551429999999995</v>
      </c>
      <c r="Y1977">
        <v>0.383996</v>
      </c>
      <c r="Z1977">
        <v>-1.440756E-2</v>
      </c>
      <c r="AA1977">
        <v>0.92322230000000005</v>
      </c>
      <c r="AB1977">
        <v>17</v>
      </c>
      <c r="AC1977">
        <v>7.8964999999999996</v>
      </c>
      <c r="AD1977">
        <v>-1.110405181592</v>
      </c>
      <c r="AE1977">
        <v>-4.1342999999999899</v>
      </c>
      <c r="AF1977">
        <v>3.4207704999893398</v>
      </c>
      <c r="AG1977">
        <v>-1.110405181592</v>
      </c>
      <c r="AH1977">
        <v>8.0830514542171699</v>
      </c>
      <c r="AI1977">
        <v>97.210281980962804</v>
      </c>
      <c r="AJ1977">
        <v>67.061779618247598</v>
      </c>
      <c r="AK1977">
        <v>8.8470555153918902</v>
      </c>
      <c r="AL1977">
        <v>84.909934418218299</v>
      </c>
      <c r="AM1977">
        <v>81.656592031008302</v>
      </c>
      <c r="AN1977">
        <v>0.99999995878278802</v>
      </c>
    </row>
    <row r="1978" spans="1:40" x14ac:dyDescent="0.25">
      <c r="A1978" t="str">
        <f>"20190312150703516"</f>
        <v>20190312150703516</v>
      </c>
      <c r="B1978" t="str">
        <f>"1552374423512302"</f>
        <v>1552374423512302</v>
      </c>
      <c r="C1978" t="s">
        <v>40</v>
      </c>
      <c r="D1978">
        <v>4.5152619999999999</v>
      </c>
      <c r="E1978">
        <v>0.59224080000000001</v>
      </c>
      <c r="F1978" t="s">
        <v>49</v>
      </c>
      <c r="G1978">
        <v>-207.66</v>
      </c>
      <c r="H1978" s="1">
        <v>-5.5205410000000004E-6</v>
      </c>
      <c r="I1978">
        <v>363.09379999999999</v>
      </c>
      <c r="J1978">
        <v>-214.09630000000001</v>
      </c>
      <c r="K1978">
        <v>1.1103719999999999</v>
      </c>
      <c r="L1978">
        <v>366.41789999999997</v>
      </c>
      <c r="M1978">
        <v>0.99651489999999998</v>
      </c>
      <c r="N1978">
        <v>0</v>
      </c>
      <c r="O1978">
        <v>-8.2349919999999993E-2</v>
      </c>
      <c r="P1978">
        <v>0.97129829999999995</v>
      </c>
      <c r="Q1978">
        <v>7.5334600000000002E-2</v>
      </c>
      <c r="R1978">
        <v>-0.22561929999999999</v>
      </c>
      <c r="S1978">
        <v>2.795166</v>
      </c>
      <c r="T1978">
        <v>-0.4752961</v>
      </c>
      <c r="U1978">
        <v>-1.4264220000000001</v>
      </c>
      <c r="V1978">
        <v>0.1449521</v>
      </c>
      <c r="W1978">
        <v>8.8281780000000004E-2</v>
      </c>
      <c r="X1978">
        <v>0.98549229999999999</v>
      </c>
      <c r="Y1978">
        <v>0.37632939999999998</v>
      </c>
      <c r="Z1978">
        <v>-1.6925340000000001E-2</v>
      </c>
      <c r="AA1978">
        <v>0.92633129999999997</v>
      </c>
      <c r="AB1978">
        <v>17</v>
      </c>
      <c r="AC1978">
        <v>6.4363000000000099</v>
      </c>
      <c r="AD1978">
        <v>-1.11037752054099</v>
      </c>
      <c r="AE1978">
        <v>-3.3240999999999801</v>
      </c>
      <c r="AF1978">
        <v>2.7188513789175799</v>
      </c>
      <c r="AG1978">
        <v>-1.11037752054099</v>
      </c>
      <c r="AH1978">
        <v>6.5346637102594798</v>
      </c>
      <c r="AI1978">
        <v>98.916099903559598</v>
      </c>
      <c r="AJ1978">
        <v>67.409465986880505</v>
      </c>
      <c r="AK1978">
        <v>7.1642809035483204</v>
      </c>
      <c r="AL1978">
        <v>84.935232794075006</v>
      </c>
      <c r="AM1978">
        <v>81.632590909350498</v>
      </c>
      <c r="AN1978">
        <v>0.99999992866683096</v>
      </c>
    </row>
    <row r="1979" spans="1:40" x14ac:dyDescent="0.25">
      <c r="A1979" t="str">
        <f>"20190312150703529"</f>
        <v>20190312150703529</v>
      </c>
      <c r="B1979" t="str">
        <f>"1552374423522062"</f>
        <v>1552374423522062</v>
      </c>
      <c r="C1979" t="s">
        <v>40</v>
      </c>
      <c r="D1979">
        <v>4.6789019999999999</v>
      </c>
      <c r="E1979">
        <v>0.59224080000000001</v>
      </c>
      <c r="F1979" t="s">
        <v>49</v>
      </c>
      <c r="G1979">
        <v>-207.6807</v>
      </c>
      <c r="H1979" s="1">
        <v>-5.5206960000000002E-6</v>
      </c>
      <c r="I1979">
        <v>363.13709999999998</v>
      </c>
      <c r="J1979">
        <v>-213.99039999999999</v>
      </c>
      <c r="K1979">
        <v>1.1103419999999999</v>
      </c>
      <c r="L1979">
        <v>366.40859999999998</v>
      </c>
      <c r="M1979">
        <v>0.99646840000000003</v>
      </c>
      <c r="N1979">
        <v>0</v>
      </c>
      <c r="O1979">
        <v>-8.2912589999999994E-2</v>
      </c>
      <c r="P1979">
        <v>0.97108439999999996</v>
      </c>
      <c r="Q1979">
        <v>7.4894810000000006E-2</v>
      </c>
      <c r="R1979">
        <v>-0.22668569999999999</v>
      </c>
      <c r="S1979">
        <v>2.794235</v>
      </c>
      <c r="T1979">
        <v>-0.48361670000000001</v>
      </c>
      <c r="U1979">
        <v>-1.428925</v>
      </c>
      <c r="V1979">
        <v>0.145481</v>
      </c>
      <c r="W1979">
        <v>8.7829599999999994E-2</v>
      </c>
      <c r="X1979">
        <v>0.98545490000000002</v>
      </c>
      <c r="Y1979">
        <v>0.37647799999999998</v>
      </c>
      <c r="Z1979">
        <v>-1.7141920000000001E-2</v>
      </c>
      <c r="AA1979">
        <v>0.92626699999999995</v>
      </c>
      <c r="AB1979">
        <v>17</v>
      </c>
      <c r="AC1979">
        <v>6.3096999999999897</v>
      </c>
      <c r="AD1979">
        <v>-1.1103475206959901</v>
      </c>
      <c r="AE1979">
        <v>-3.2715000000000001</v>
      </c>
      <c r="AF1979">
        <v>2.6718253178084401</v>
      </c>
      <c r="AG1979">
        <v>-1.1103475206959901</v>
      </c>
      <c r="AH1979">
        <v>6.4029720216234596</v>
      </c>
      <c r="AI1979">
        <v>99.092351408171098</v>
      </c>
      <c r="AJ1979">
        <v>67.350250781339895</v>
      </c>
      <c r="AK1979">
        <v>7.0263484723781602</v>
      </c>
      <c r="AL1979">
        <v>84.961242495763102</v>
      </c>
      <c r="AM1979">
        <v>81.602180396217193</v>
      </c>
      <c r="AN1979">
        <v>1.0000000599655801</v>
      </c>
    </row>
    <row r="1980" spans="1:40" x14ac:dyDescent="0.25">
      <c r="A1980" t="str">
        <f>"20190312150703541"</f>
        <v>20190312150703541</v>
      </c>
      <c r="B1980" t="str">
        <f>"1552374423531821"</f>
        <v>1552374423531821</v>
      </c>
      <c r="C1980" t="s">
        <v>40</v>
      </c>
      <c r="D1980">
        <v>4.4383350000000004</v>
      </c>
      <c r="E1980">
        <v>0.58868050000000005</v>
      </c>
      <c r="F1980" t="s">
        <v>49</v>
      </c>
      <c r="G1980">
        <v>-207.59739999999999</v>
      </c>
      <c r="H1980" s="1">
        <v>-5.4939029999999999E-6</v>
      </c>
      <c r="I1980">
        <v>363.13010000000003</v>
      </c>
      <c r="J1980">
        <v>-213.89699999999999</v>
      </c>
      <c r="K1980">
        <v>1.110309</v>
      </c>
      <c r="L1980">
        <v>366.40019999999998</v>
      </c>
      <c r="M1980">
        <v>0.99642470000000005</v>
      </c>
      <c r="N1980">
        <v>0</v>
      </c>
      <c r="O1980">
        <v>-8.3436270000000007E-2</v>
      </c>
      <c r="P1980">
        <v>0.97060959999999996</v>
      </c>
      <c r="Q1980">
        <v>7.4836710000000001E-2</v>
      </c>
      <c r="R1980">
        <v>-0.22872880000000001</v>
      </c>
      <c r="S1980">
        <v>2.7924500000000001</v>
      </c>
      <c r="T1980">
        <v>-0.48499490000000001</v>
      </c>
      <c r="U1980">
        <v>-1.432007</v>
      </c>
      <c r="V1980">
        <v>0.14704400000000001</v>
      </c>
      <c r="W1980">
        <v>8.775645E-2</v>
      </c>
      <c r="X1980">
        <v>0.98522940000000003</v>
      </c>
      <c r="Y1980">
        <v>0.37702039999999998</v>
      </c>
      <c r="Z1980">
        <v>-1.7156020000000001E-2</v>
      </c>
      <c r="AA1980">
        <v>0.92604600000000004</v>
      </c>
      <c r="AB1980">
        <v>17</v>
      </c>
      <c r="AC1980">
        <v>6.2996000000000203</v>
      </c>
      <c r="AD1980">
        <v>-1.1103144939030001</v>
      </c>
      <c r="AE1980">
        <v>-3.27009999999995</v>
      </c>
      <c r="AF1980">
        <v>2.6677522778256999</v>
      </c>
      <c r="AG1980">
        <v>-1.1103144939030001</v>
      </c>
      <c r="AH1980">
        <v>6.3940325803307996</v>
      </c>
      <c r="AI1980">
        <v>99.104754845269298</v>
      </c>
      <c r="AJ1980">
        <v>67.352867054583996</v>
      </c>
      <c r="AK1980">
        <v>7.0166482831582098</v>
      </c>
      <c r="AL1980">
        <v>84.965449885244595</v>
      </c>
      <c r="AM1980">
        <v>81.511349896937602</v>
      </c>
      <c r="AN1980">
        <v>1.0000000515384799</v>
      </c>
    </row>
    <row r="1981" spans="1:40" x14ac:dyDescent="0.25">
      <c r="A1981" t="str">
        <f>"20190312150703558"</f>
        <v>20190312150703558</v>
      </c>
      <c r="B1981" t="str">
        <f>"1552374423552318"</f>
        <v>1552374423552318</v>
      </c>
      <c r="C1981" t="s">
        <v>40</v>
      </c>
      <c r="D1981">
        <v>4.3962059999999896</v>
      </c>
      <c r="E1981">
        <v>0.58928290000000005</v>
      </c>
      <c r="F1981" t="s">
        <v>49</v>
      </c>
      <c r="G1981">
        <v>-203.39660000000001</v>
      </c>
      <c r="H1981" s="1">
        <v>-4.0328489999999996E-6</v>
      </c>
      <c r="I1981">
        <v>361.1157</v>
      </c>
      <c r="J1981">
        <v>-213.78550000000001</v>
      </c>
      <c r="K1981">
        <v>1.1102749999999999</v>
      </c>
      <c r="L1981">
        <v>366.39</v>
      </c>
      <c r="M1981">
        <v>0.99636809999999998</v>
      </c>
      <c r="N1981">
        <v>0</v>
      </c>
      <c r="O1981">
        <v>-8.4108379999999996E-2</v>
      </c>
      <c r="P1981">
        <v>0.97025660000000002</v>
      </c>
      <c r="Q1981">
        <v>7.5138699999999906E-2</v>
      </c>
      <c r="R1981">
        <v>-0.23012260000000001</v>
      </c>
      <c r="S1981">
        <v>2.783417</v>
      </c>
      <c r="T1981">
        <v>-0.294317</v>
      </c>
      <c r="U1981">
        <v>-1.400787</v>
      </c>
      <c r="V1981">
        <v>0.1478053</v>
      </c>
      <c r="W1981">
        <v>8.8042389999999998E-2</v>
      </c>
      <c r="X1981">
        <v>0.98508989999999996</v>
      </c>
      <c r="Y1981">
        <v>0.37154599999999999</v>
      </c>
      <c r="Z1981">
        <v>-1.0168099999999999E-2</v>
      </c>
      <c r="AA1981">
        <v>0.92835889999999999</v>
      </c>
      <c r="AB1981">
        <v>17</v>
      </c>
      <c r="AC1981">
        <v>10.3889</v>
      </c>
      <c r="AD1981">
        <v>-1.110279032849</v>
      </c>
      <c r="AE1981">
        <v>-5.2742999999999798</v>
      </c>
      <c r="AF1981">
        <v>4.3423048222473</v>
      </c>
      <c r="AG1981">
        <v>-1.110279032849</v>
      </c>
      <c r="AH1981">
        <v>10.6985800132968</v>
      </c>
      <c r="AI1981">
        <v>95.492646363030303</v>
      </c>
      <c r="AJ1981">
        <v>67.908910500841699</v>
      </c>
      <c r="AK1981">
        <v>11.599480376336199</v>
      </c>
      <c r="AL1981">
        <v>84.949002760001903</v>
      </c>
      <c r="AM1981">
        <v>81.466855836981196</v>
      </c>
      <c r="AN1981">
        <v>0.99999999011350504</v>
      </c>
    </row>
    <row r="1982" spans="1:40" x14ac:dyDescent="0.25">
      <c r="A1982" t="str">
        <f>"20190312150703569"</f>
        <v>20190312150703569</v>
      </c>
      <c r="B1982" t="str">
        <f>"1552374423562079"</f>
        <v>1552374423562079</v>
      </c>
      <c r="C1982" t="s">
        <v>40</v>
      </c>
      <c r="D1982">
        <v>4.3713170000000003</v>
      </c>
      <c r="E1982">
        <v>0.58927649999999998</v>
      </c>
      <c r="F1982" t="s">
        <v>49</v>
      </c>
      <c r="G1982">
        <v>-203.0137</v>
      </c>
      <c r="H1982" s="1">
        <v>-3.8812950000000001E-6</v>
      </c>
      <c r="I1982">
        <v>360.93040000000002</v>
      </c>
      <c r="J1982">
        <v>-213.69579999999999</v>
      </c>
      <c r="K1982">
        <v>1.110252</v>
      </c>
      <c r="L1982">
        <v>366.38189999999997</v>
      </c>
      <c r="M1982">
        <v>0.99632019999999999</v>
      </c>
      <c r="N1982">
        <v>0</v>
      </c>
      <c r="O1982">
        <v>-8.4674520000000003E-2</v>
      </c>
      <c r="P1982">
        <v>0.96995779999999998</v>
      </c>
      <c r="Q1982">
        <v>7.5502120000000006E-2</v>
      </c>
      <c r="R1982">
        <v>-0.23126070000000001</v>
      </c>
      <c r="S1982">
        <v>2.7799529999999999</v>
      </c>
      <c r="T1982">
        <v>-0.28653810000000002</v>
      </c>
      <c r="U1982">
        <v>-1.409027</v>
      </c>
      <c r="V1982">
        <v>0.14841099999999999</v>
      </c>
      <c r="W1982">
        <v>8.8392440000000003E-2</v>
      </c>
      <c r="X1982">
        <v>0.9849675</v>
      </c>
      <c r="Y1982">
        <v>0.37373240000000002</v>
      </c>
      <c r="Z1982">
        <v>-9.9573860000000004E-3</v>
      </c>
      <c r="AA1982">
        <v>0.9274831</v>
      </c>
      <c r="AB1982">
        <v>17</v>
      </c>
      <c r="AC1982">
        <v>10.682099999999901</v>
      </c>
      <c r="AD1982">
        <v>-1.1102558812950001</v>
      </c>
      <c r="AE1982">
        <v>-5.4514999999999496</v>
      </c>
      <c r="AF1982">
        <v>4.4888649306280604</v>
      </c>
      <c r="AG1982">
        <v>-1.1102558812950001</v>
      </c>
      <c r="AH1982">
        <v>11.0110037518859</v>
      </c>
      <c r="AI1982">
        <v>95.334279834025295</v>
      </c>
      <c r="AJ1982">
        <v>67.820711382081399</v>
      </c>
      <c r="AK1982">
        <v>11.9425617064103</v>
      </c>
      <c r="AL1982">
        <v>84.928867983416694</v>
      </c>
      <c r="AM1982">
        <v>81.431356394140707</v>
      </c>
      <c r="AN1982">
        <v>1.0000000122132</v>
      </c>
    </row>
    <row r="1983" spans="1:40" x14ac:dyDescent="0.25">
      <c r="A1983" t="str">
        <f>"20190312150703579"</f>
        <v>20190312150703579</v>
      </c>
      <c r="B1983" t="str">
        <f>"1552374423571838"</f>
        <v>1552374423571838</v>
      </c>
      <c r="C1983" t="s">
        <v>40</v>
      </c>
      <c r="D1983">
        <v>4.3645800000000001</v>
      </c>
      <c r="E1983">
        <v>0.58962599999999998</v>
      </c>
      <c r="F1983" t="s">
        <v>49</v>
      </c>
      <c r="G1983">
        <v>-202.79089999999999</v>
      </c>
      <c r="H1983" s="1">
        <v>-3.7892020000000001E-6</v>
      </c>
      <c r="I1983">
        <v>360.84</v>
      </c>
      <c r="J1983">
        <v>-213.6146</v>
      </c>
      <c r="K1983">
        <v>1.1102270000000001</v>
      </c>
      <c r="L1983">
        <v>366.37439999999998</v>
      </c>
      <c r="M1983">
        <v>0.9962744</v>
      </c>
      <c r="N1983">
        <v>0</v>
      </c>
      <c r="O1983">
        <v>-8.521107E-2</v>
      </c>
      <c r="P1983">
        <v>0.9696631</v>
      </c>
      <c r="Q1983">
        <v>7.595462E-2</v>
      </c>
      <c r="R1983">
        <v>-0.232345</v>
      </c>
      <c r="S1983">
        <v>2.7782749999999998</v>
      </c>
      <c r="T1983">
        <v>-0.28286470000000002</v>
      </c>
      <c r="U1983">
        <v>-1.411926</v>
      </c>
      <c r="V1983">
        <v>0.14899209999999999</v>
      </c>
      <c r="W1983">
        <v>8.8832739999999993E-2</v>
      </c>
      <c r="X1983">
        <v>0.98484020000000005</v>
      </c>
      <c r="Y1983">
        <v>0.3742588</v>
      </c>
      <c r="Z1983">
        <v>-9.8079540000000007E-3</v>
      </c>
      <c r="AA1983">
        <v>0.9272724</v>
      </c>
      <c r="AB1983">
        <v>17</v>
      </c>
      <c r="AC1983">
        <v>10.823700000000001</v>
      </c>
      <c r="AD1983">
        <v>-1.110230789202</v>
      </c>
      <c r="AE1983">
        <v>-5.5343999999999998</v>
      </c>
      <c r="AF1983">
        <v>4.5539040394572199</v>
      </c>
      <c r="AG1983">
        <v>-1.110230789202</v>
      </c>
      <c r="AH1983">
        <v>11.1628536446689</v>
      </c>
      <c r="AI1983">
        <v>95.261495048876398</v>
      </c>
      <c r="AJ1983">
        <v>67.806917728861194</v>
      </c>
      <c r="AK1983">
        <v>12.1070209340769</v>
      </c>
      <c r="AL1983">
        <v>84.903541266733797</v>
      </c>
      <c r="AM1983">
        <v>81.397211732655904</v>
      </c>
      <c r="AN1983">
        <v>1.0000000605471699</v>
      </c>
    </row>
    <row r="1984" spans="1:40" x14ac:dyDescent="0.25">
      <c r="A1984" t="str">
        <f>"20190312150703590"</f>
        <v>20190312150703590</v>
      </c>
      <c r="B1984" t="str">
        <f>"1552374423582574"</f>
        <v>1552374423582574</v>
      </c>
      <c r="C1984" t="s">
        <v>40</v>
      </c>
      <c r="D1984">
        <v>4.4140189999999997</v>
      </c>
      <c r="E1984">
        <v>0.589866</v>
      </c>
      <c r="F1984" t="s">
        <v>49</v>
      </c>
      <c r="G1984">
        <v>-202.733</v>
      </c>
      <c r="H1984" s="1">
        <v>-3.7649920000000002E-6</v>
      </c>
      <c r="I1984">
        <v>360.8177</v>
      </c>
      <c r="J1984">
        <v>-213.54</v>
      </c>
      <c r="K1984">
        <v>1.110204</v>
      </c>
      <c r="L1984">
        <v>366.36739999999998</v>
      </c>
      <c r="M1984">
        <v>0.99623010000000001</v>
      </c>
      <c r="N1984">
        <v>0</v>
      </c>
      <c r="O1984">
        <v>-8.5727189999999995E-2</v>
      </c>
      <c r="P1984">
        <v>0.96942450000000002</v>
      </c>
      <c r="Q1984">
        <v>7.6060829999999996E-2</v>
      </c>
      <c r="R1984">
        <v>-0.23330390000000001</v>
      </c>
      <c r="S1984">
        <v>2.7763209999999998</v>
      </c>
      <c r="T1984">
        <v>-0.28326190000000001</v>
      </c>
      <c r="U1984">
        <v>-1.4177249999999999</v>
      </c>
      <c r="V1984">
        <v>0.1494625</v>
      </c>
      <c r="W1984">
        <v>8.8928190000000004E-2</v>
      </c>
      <c r="X1984">
        <v>0.98476019999999997</v>
      </c>
      <c r="Y1984">
        <v>0.37557249999999998</v>
      </c>
      <c r="Z1984">
        <v>-9.8377440000000007E-3</v>
      </c>
      <c r="AA1984">
        <v>0.92674080000000003</v>
      </c>
      <c r="AB1984">
        <v>17</v>
      </c>
      <c r="AC1984">
        <v>10.806999999999899</v>
      </c>
      <c r="AD1984">
        <v>-1.1102077649919999</v>
      </c>
      <c r="AE1984">
        <v>-5.5496999999999703</v>
      </c>
      <c r="AF1984">
        <v>4.5646104034757498</v>
      </c>
      <c r="AG1984">
        <v>-1.1102077649919999</v>
      </c>
      <c r="AH1984">
        <v>11.149895438843901</v>
      </c>
      <c r="AI1984">
        <v>95.264836639534494</v>
      </c>
      <c r="AJ1984">
        <v>67.736497318534603</v>
      </c>
      <c r="AK1984">
        <v>12.099107310629099</v>
      </c>
      <c r="AL1984">
        <v>84.898050123453302</v>
      </c>
      <c r="AM1984">
        <v>81.369768660747894</v>
      </c>
      <c r="AN1984">
        <v>0.99999995669348196</v>
      </c>
    </row>
    <row r="1985" spans="1:40" x14ac:dyDescent="0.25">
      <c r="A1985" t="str">
        <f>"20190312150703601"</f>
        <v>20190312150703601</v>
      </c>
      <c r="B1985" t="str">
        <f>"1552374423592334"</f>
        <v>1552374423592334</v>
      </c>
      <c r="C1985" t="s">
        <v>40</v>
      </c>
      <c r="D1985">
        <v>4.3935019999999998</v>
      </c>
      <c r="E1985">
        <v>0.5901248</v>
      </c>
      <c r="F1985" t="s">
        <v>49</v>
      </c>
      <c r="G1985">
        <v>-202.51329999999999</v>
      </c>
      <c r="H1985" s="1">
        <v>-3.677304E-6</v>
      </c>
      <c r="I1985">
        <v>360.71460000000002</v>
      </c>
      <c r="J1985">
        <v>-213.45429999999999</v>
      </c>
      <c r="K1985">
        <v>1.110177</v>
      </c>
      <c r="L1985">
        <v>366.35930000000002</v>
      </c>
      <c r="M1985">
        <v>0.99617739999999999</v>
      </c>
      <c r="N1985">
        <v>0</v>
      </c>
      <c r="O1985">
        <v>-8.6338849999999995E-2</v>
      </c>
      <c r="P1985">
        <v>0.96926369999999895</v>
      </c>
      <c r="Q1985">
        <v>7.5997190000000006E-2</v>
      </c>
      <c r="R1985">
        <v>-0.2339938</v>
      </c>
      <c r="S1985">
        <v>2.7742610000000001</v>
      </c>
      <c r="T1985">
        <v>-0.2793216</v>
      </c>
      <c r="U1985">
        <v>-1.4222109999999999</v>
      </c>
      <c r="V1985">
        <v>0.149564</v>
      </c>
      <c r="W1985">
        <v>8.8854100000000005E-2</v>
      </c>
      <c r="X1985">
        <v>0.9847515</v>
      </c>
      <c r="Y1985">
        <v>0.37650070000000002</v>
      </c>
      <c r="Z1985">
        <v>-9.6914470000000006E-3</v>
      </c>
      <c r="AA1985">
        <v>0.92636569999999996</v>
      </c>
      <c r="AB1985">
        <v>17</v>
      </c>
      <c r="AC1985">
        <v>10.941000000000001</v>
      </c>
      <c r="AD1985">
        <v>-1.1101806773039999</v>
      </c>
      <c r="AE1985">
        <v>-5.6447000000000003</v>
      </c>
      <c r="AF1985">
        <v>4.64116105367565</v>
      </c>
      <c r="AG1985">
        <v>-1.1101806773039999</v>
      </c>
      <c r="AH1985">
        <v>11.295684354638899</v>
      </c>
      <c r="AI1985">
        <v>95.194425037049001</v>
      </c>
      <c r="AJ1985">
        <v>67.663262062027101</v>
      </c>
      <c r="AK1985">
        <v>12.2623554875093</v>
      </c>
      <c r="AL1985">
        <v>84.902312153238</v>
      </c>
      <c r="AM1985">
        <v>81.3639210574255</v>
      </c>
      <c r="AN1985">
        <v>0.99999997896752901</v>
      </c>
    </row>
    <row r="1986" spans="1:40" x14ac:dyDescent="0.25">
      <c r="A1986" t="str">
        <f>"20190312150703612"</f>
        <v>20190312150703612</v>
      </c>
      <c r="B1986" t="str">
        <f>"1552374423602094"</f>
        <v>1552374423602094</v>
      </c>
      <c r="C1986" t="s">
        <v>40</v>
      </c>
      <c r="D1986">
        <v>4.320112</v>
      </c>
      <c r="E1986">
        <v>0.59034529999999996</v>
      </c>
      <c r="F1986" t="s">
        <v>49</v>
      </c>
      <c r="G1986">
        <v>-202.3586</v>
      </c>
      <c r="H1986" s="1">
        <v>-3.6128069999999999E-6</v>
      </c>
      <c r="I1986">
        <v>360.65440000000001</v>
      </c>
      <c r="J1986">
        <v>-213.37479999999999</v>
      </c>
      <c r="K1986">
        <v>1.1101540000000001</v>
      </c>
      <c r="L1986">
        <v>366.35180000000003</v>
      </c>
      <c r="M1986">
        <v>0.99612540000000005</v>
      </c>
      <c r="N1986">
        <v>0</v>
      </c>
      <c r="O1986">
        <v>-8.6936860000000005E-2</v>
      </c>
      <c r="P1986">
        <v>0.96907690000000002</v>
      </c>
      <c r="Q1986">
        <v>7.6110839999999999E-2</v>
      </c>
      <c r="R1986">
        <v>-0.23472879999999999</v>
      </c>
      <c r="S1986">
        <v>2.772751</v>
      </c>
      <c r="T1986">
        <v>-0.27742869999999997</v>
      </c>
      <c r="U1986">
        <v>-1.425629</v>
      </c>
      <c r="V1986">
        <v>0.1497262</v>
      </c>
      <c r="W1986">
        <v>8.8958129999999996E-2</v>
      </c>
      <c r="X1986">
        <v>0.98471750000000002</v>
      </c>
      <c r="Y1986">
        <v>0.37706859999999998</v>
      </c>
      <c r="Z1986">
        <v>-9.5994800000000005E-3</v>
      </c>
      <c r="AA1986">
        <v>0.92613559999999995</v>
      </c>
      <c r="AB1986">
        <v>17</v>
      </c>
      <c r="AC1986">
        <v>11.0161999999999</v>
      </c>
      <c r="AD1986">
        <v>-1.1101576128069901</v>
      </c>
      <c r="AE1986">
        <v>-5.6974000000000098</v>
      </c>
      <c r="AF1986">
        <v>4.6805241965326001</v>
      </c>
      <c r="AG1986">
        <v>-1.1101576128069901</v>
      </c>
      <c r="AH1986">
        <v>11.3786701351125</v>
      </c>
      <c r="AI1986">
        <v>95.155805342602804</v>
      </c>
      <c r="AJ1986">
        <v>67.640579377772397</v>
      </c>
      <c r="AK1986">
        <v>12.3536994751896</v>
      </c>
      <c r="AL1986">
        <v>84.896328182445401</v>
      </c>
      <c r="AM1986">
        <v>81.354402797660299</v>
      </c>
      <c r="AN1986">
        <v>1.00000001933289</v>
      </c>
    </row>
    <row r="1987" spans="1:40" x14ac:dyDescent="0.25">
      <c r="A1987" t="str">
        <f>"20190312150703623"</f>
        <v>20190312150703623</v>
      </c>
      <c r="B1987" t="str">
        <f>"1552374423611854"</f>
        <v>1552374423611854</v>
      </c>
      <c r="C1987" t="s">
        <v>40</v>
      </c>
      <c r="D1987">
        <v>3.7955930000000002</v>
      </c>
      <c r="E1987">
        <v>0.59050619999999998</v>
      </c>
      <c r="F1987" t="s">
        <v>49</v>
      </c>
      <c r="G1987">
        <v>-202.1575</v>
      </c>
      <c r="H1987" s="1">
        <v>-3.5312709999999998E-6</v>
      </c>
      <c r="I1987">
        <v>360.56560000000002</v>
      </c>
      <c r="J1987">
        <v>-213.28970000000001</v>
      </c>
      <c r="K1987">
        <v>1.110128</v>
      </c>
      <c r="L1987">
        <v>366.34359999999998</v>
      </c>
      <c r="M1987">
        <v>0.99606830000000002</v>
      </c>
      <c r="N1987">
        <v>0</v>
      </c>
      <c r="O1987">
        <v>-8.7587590000000007E-2</v>
      </c>
      <c r="P1987">
        <v>0.96887219999999996</v>
      </c>
      <c r="Q1987">
        <v>7.6047139999999999E-2</v>
      </c>
      <c r="R1987">
        <v>-0.23559160000000001</v>
      </c>
      <c r="S1987">
        <v>2.7710720000000002</v>
      </c>
      <c r="T1987">
        <v>-0.27424680000000001</v>
      </c>
      <c r="U1987">
        <v>-1.4293819999999999</v>
      </c>
      <c r="V1987">
        <v>0.14996509999999999</v>
      </c>
      <c r="W1987">
        <v>8.8884519999999995E-2</v>
      </c>
      <c r="X1987">
        <v>0.98468770000000005</v>
      </c>
      <c r="Y1987">
        <v>0.37770880000000001</v>
      </c>
      <c r="Z1987">
        <v>-9.4623529999999997E-3</v>
      </c>
      <c r="AA1987">
        <v>0.92587609999999998</v>
      </c>
      <c r="AB1987">
        <v>17</v>
      </c>
      <c r="AC1987">
        <v>11.132199999999999</v>
      </c>
      <c r="AD1987">
        <v>-1.1101315312710001</v>
      </c>
      <c r="AE1987">
        <v>-5.7779999999999596</v>
      </c>
      <c r="AF1987">
        <v>4.7435005579554304</v>
      </c>
      <c r="AG1987">
        <v>-1.1101315312710001</v>
      </c>
      <c r="AH1987">
        <v>11.5054006326259</v>
      </c>
      <c r="AI1987">
        <v>95.097513260146201</v>
      </c>
      <c r="AJ1987">
        <v>67.5943956998224</v>
      </c>
      <c r="AK1987">
        <v>12.4942960296798</v>
      </c>
      <c r="AL1987">
        <v>84.900562030401304</v>
      </c>
      <c r="AM1987">
        <v>81.340558913057293</v>
      </c>
      <c r="AN1987">
        <v>0.99999992782246205</v>
      </c>
    </row>
    <row r="1988" spans="1:40" x14ac:dyDescent="0.25">
      <c r="A1988" t="str">
        <f>"20190312150703635"</f>
        <v>20190312150703635</v>
      </c>
      <c r="B1988" t="str">
        <f>"1552374423632350"</f>
        <v>1552374423632350</v>
      </c>
      <c r="C1988" t="s">
        <v>40</v>
      </c>
      <c r="D1988">
        <v>4.3604139999999996</v>
      </c>
      <c r="E1988">
        <v>0.59110509999999905</v>
      </c>
      <c r="F1988" t="s">
        <v>49</v>
      </c>
      <c r="G1988">
        <v>-202.01179999999999</v>
      </c>
      <c r="H1988" s="1">
        <v>-3.4707340000000002E-6</v>
      </c>
      <c r="I1988">
        <v>360.50810000000001</v>
      </c>
      <c r="J1988">
        <v>-213.20949999999999</v>
      </c>
      <c r="K1988">
        <v>1.110107</v>
      </c>
      <c r="L1988">
        <v>366.33580000000001</v>
      </c>
      <c r="M1988">
        <v>0.99601070000000003</v>
      </c>
      <c r="N1988">
        <v>0</v>
      </c>
      <c r="O1988">
        <v>-8.824063E-2</v>
      </c>
      <c r="P1988">
        <v>0.96870860000000003</v>
      </c>
      <c r="Q1988">
        <v>7.6093670000000002E-2</v>
      </c>
      <c r="R1988">
        <v>-0.23624919999999999</v>
      </c>
      <c r="S1988">
        <v>2.7693180000000002</v>
      </c>
      <c r="T1988">
        <v>-0.27259650000000002</v>
      </c>
      <c r="U1988">
        <v>-1.432922</v>
      </c>
      <c r="V1988">
        <v>0.14999299999999999</v>
      </c>
      <c r="W1988">
        <v>8.8922509999999996E-2</v>
      </c>
      <c r="X1988">
        <v>0.98468009999999995</v>
      </c>
      <c r="Y1988">
        <v>0.37828830000000002</v>
      </c>
      <c r="Z1988">
        <v>-9.3756880000000001E-3</v>
      </c>
      <c r="AA1988">
        <v>0.92564029999999997</v>
      </c>
      <c r="AB1988">
        <v>17</v>
      </c>
      <c r="AC1988">
        <v>11.1976999999999</v>
      </c>
      <c r="AD1988">
        <v>-1.1101104707339999</v>
      </c>
      <c r="AE1988">
        <v>-5.8276999999999903</v>
      </c>
      <c r="AF1988">
        <v>4.7798190571809496</v>
      </c>
      <c r="AG1988">
        <v>-1.1101104707339999</v>
      </c>
      <c r="AH1988">
        <v>11.5787525691334</v>
      </c>
      <c r="AI1988">
        <v>95.064361001055502</v>
      </c>
      <c r="AJ1988">
        <v>67.5686997567785</v>
      </c>
      <c r="AK1988">
        <v>12.5756322518526</v>
      </c>
      <c r="AL1988">
        <v>84.898377110565406</v>
      </c>
      <c r="AM1988">
        <v>81.338906475626104</v>
      </c>
      <c r="AN1988">
        <v>1.00000000608485</v>
      </c>
    </row>
    <row r="1989" spans="1:40" x14ac:dyDescent="0.25">
      <c r="A1989" t="str">
        <f>"20190312150703646"</f>
        <v>20190312150703646</v>
      </c>
      <c r="B1989" t="str">
        <f>"1552374423642111"</f>
        <v>1552374423642111</v>
      </c>
      <c r="C1989" t="s">
        <v>40</v>
      </c>
      <c r="D1989">
        <v>3.811188</v>
      </c>
      <c r="E1989">
        <v>0.59133919999999995</v>
      </c>
      <c r="F1989" t="s">
        <v>49</v>
      </c>
      <c r="G1989">
        <v>-201.7782</v>
      </c>
      <c r="H1989" s="1">
        <v>-3.3793730000000001E-6</v>
      </c>
      <c r="I1989">
        <v>360.38979999999998</v>
      </c>
      <c r="J1989">
        <v>-213.12450000000001</v>
      </c>
      <c r="K1989">
        <v>1.110085</v>
      </c>
      <c r="L1989">
        <v>366.32749999999999</v>
      </c>
      <c r="M1989">
        <v>0.99594830000000001</v>
      </c>
      <c r="N1989">
        <v>0</v>
      </c>
      <c r="O1989">
        <v>-8.8941969999999995E-2</v>
      </c>
      <c r="P1989">
        <v>0.96849830000000003</v>
      </c>
      <c r="Q1989">
        <v>7.6209979999999997E-2</v>
      </c>
      <c r="R1989">
        <v>-0.23707249999999999</v>
      </c>
      <c r="S1989">
        <v>2.7669980000000001</v>
      </c>
      <c r="T1989">
        <v>-0.26870519999999998</v>
      </c>
      <c r="U1989">
        <v>-1.4392400000000001</v>
      </c>
      <c r="V1989">
        <v>0.15014249999999901</v>
      </c>
      <c r="W1989">
        <v>8.9030310000000001E-2</v>
      </c>
      <c r="X1989">
        <v>0.98464759999999996</v>
      </c>
      <c r="Y1989">
        <v>0.37964619999999999</v>
      </c>
      <c r="Z1989">
        <v>-9.2437100000000005E-3</v>
      </c>
      <c r="AA1989">
        <v>0.92508550000000001</v>
      </c>
      <c r="AB1989">
        <v>17</v>
      </c>
      <c r="AC1989">
        <v>11.346299999999999</v>
      </c>
      <c r="AD1989">
        <v>-1.1100883793729901</v>
      </c>
      <c r="AE1989">
        <v>-5.9377000000000004</v>
      </c>
      <c r="AF1989">
        <v>4.8683305567340103</v>
      </c>
      <c r="AG1989">
        <v>-1.1100883793729901</v>
      </c>
      <c r="AH1989">
        <v>11.741255202343901</v>
      </c>
      <c r="AI1989">
        <v>94.991324001054707</v>
      </c>
      <c r="AJ1989">
        <v>67.479412623886503</v>
      </c>
      <c r="AK1989">
        <v>12.758918933287999</v>
      </c>
      <c r="AL1989">
        <v>84.892176159545897</v>
      </c>
      <c r="AM1989">
        <v>81.330123143024906</v>
      </c>
      <c r="AN1989">
        <v>1.0000000312953501</v>
      </c>
    </row>
    <row r="1990" spans="1:40" x14ac:dyDescent="0.25">
      <c r="A1990" t="str">
        <f>"20190312150703657"</f>
        <v>20190312150703657</v>
      </c>
      <c r="B1990" t="str">
        <f>"1552374423651870"</f>
        <v>1552374423651870</v>
      </c>
      <c r="C1990" t="s">
        <v>40</v>
      </c>
      <c r="D1990">
        <v>4.3738849999999996</v>
      </c>
      <c r="E1990">
        <v>0.5915781</v>
      </c>
      <c r="F1990" t="s">
        <v>49</v>
      </c>
      <c r="G1990">
        <v>-201.65729999999999</v>
      </c>
      <c r="H1990" s="1">
        <v>-3.3289379999999998E-6</v>
      </c>
      <c r="I1990">
        <v>360.34309999999999</v>
      </c>
      <c r="J1990">
        <v>-213.04079999999999</v>
      </c>
      <c r="K1990">
        <v>1.11006</v>
      </c>
      <c r="L1990">
        <v>366.31920000000002</v>
      </c>
      <c r="M1990">
        <v>0.99588350000000003</v>
      </c>
      <c r="N1990">
        <v>0</v>
      </c>
      <c r="O1990">
        <v>-8.9663759999999995E-2</v>
      </c>
      <c r="P1990">
        <v>0.96822969999999997</v>
      </c>
      <c r="Q1990">
        <v>7.6158340000000005E-2</v>
      </c>
      <c r="R1990">
        <v>-0.23818339999999999</v>
      </c>
      <c r="S1990">
        <v>2.7653810000000001</v>
      </c>
      <c r="T1990">
        <v>-0.26770559999999899</v>
      </c>
      <c r="U1990">
        <v>-1.443176</v>
      </c>
      <c r="V1990">
        <v>0.1505628</v>
      </c>
      <c r="W1990">
        <v>8.8969999999999994E-2</v>
      </c>
      <c r="X1990">
        <v>0.98458889999999999</v>
      </c>
      <c r="Y1990">
        <v>0.3802413</v>
      </c>
      <c r="Z1990">
        <v>-9.1738779999999999E-3</v>
      </c>
      <c r="AA1990">
        <v>0.92484180000000005</v>
      </c>
      <c r="AB1990">
        <v>17</v>
      </c>
      <c r="AC1990">
        <v>11.3834999999999</v>
      </c>
      <c r="AD1990">
        <v>-1.110063328938</v>
      </c>
      <c r="AE1990">
        <v>-5.9761000000000299</v>
      </c>
      <c r="AF1990">
        <v>4.8947582873287301</v>
      </c>
      <c r="AG1990">
        <v>-1.110063328938</v>
      </c>
      <c r="AH1990">
        <v>11.7856688410928</v>
      </c>
      <c r="AI1990">
        <v>94.971306722394303</v>
      </c>
      <c r="AJ1990">
        <v>67.446183228943895</v>
      </c>
      <c r="AK1990">
        <v>12.8098746800088</v>
      </c>
      <c r="AL1990">
        <v>84.895645581336098</v>
      </c>
      <c r="AM1990">
        <v>81.305713114786997</v>
      </c>
      <c r="AN1990">
        <v>1.0000000598235199</v>
      </c>
    </row>
    <row r="1991" spans="1:40" x14ac:dyDescent="0.25">
      <c r="A1991" t="str">
        <f>"20190312150703668"</f>
        <v>20190312150703668</v>
      </c>
      <c r="B1991" t="str">
        <f>"1552374423662606"</f>
        <v>1552374423662606</v>
      </c>
      <c r="C1991" t="s">
        <v>40</v>
      </c>
      <c r="D1991">
        <v>4.577502</v>
      </c>
      <c r="E1991">
        <v>0.59180350000000004</v>
      </c>
      <c r="F1991" t="s">
        <v>49</v>
      </c>
      <c r="G1991">
        <v>-201.5761</v>
      </c>
      <c r="H1991" s="1">
        <v>-3.2952370000000002E-6</v>
      </c>
      <c r="I1991">
        <v>360.31079999999997</v>
      </c>
      <c r="J1991">
        <v>-212.96549999999999</v>
      </c>
      <c r="K1991">
        <v>1.1100449999999999</v>
      </c>
      <c r="L1991">
        <v>366.3116</v>
      </c>
      <c r="M1991">
        <v>0.99582400000000004</v>
      </c>
      <c r="N1991">
        <v>0</v>
      </c>
      <c r="O1991">
        <v>-9.0324329999999994E-2</v>
      </c>
      <c r="P1991">
        <v>0.96795100000000001</v>
      </c>
      <c r="Q1991">
        <v>7.6254249999999996E-2</v>
      </c>
      <c r="R1991">
        <v>-0.23928360000000001</v>
      </c>
      <c r="S1991">
        <v>2.763245</v>
      </c>
      <c r="T1991">
        <v>-0.26754919999999999</v>
      </c>
      <c r="U1991">
        <v>-1.448151</v>
      </c>
      <c r="V1991">
        <v>0.15103359999999999</v>
      </c>
      <c r="W1991">
        <v>8.905739E-2</v>
      </c>
      <c r="X1991">
        <v>0.98450879999999996</v>
      </c>
      <c r="Y1991">
        <v>0.38122800000000001</v>
      </c>
      <c r="Z1991">
        <v>-9.15704E-3</v>
      </c>
      <c r="AA1991">
        <v>0.92443569999999997</v>
      </c>
      <c r="AB1991">
        <v>17</v>
      </c>
      <c r="AC1991">
        <v>11.389399999999901</v>
      </c>
      <c r="AD1991">
        <v>-1.1100482952369899</v>
      </c>
      <c r="AE1991">
        <v>-6.0008000000000203</v>
      </c>
      <c r="AF1991">
        <v>4.9109230333117697</v>
      </c>
      <c r="AG1991">
        <v>-1.1100482952369899</v>
      </c>
      <c r="AH1991">
        <v>11.797189003200099</v>
      </c>
      <c r="AI1991">
        <v>94.964719896764507</v>
      </c>
      <c r="AJ1991">
        <v>67.399059463896293</v>
      </c>
      <c r="AK1991">
        <v>12.8266535243646</v>
      </c>
      <c r="AL1991">
        <v>84.890618099067396</v>
      </c>
      <c r="AM1991">
        <v>81.278245342844798</v>
      </c>
      <c r="AN1991">
        <v>0.99999997216000502</v>
      </c>
    </row>
    <row r="1992" spans="1:40" x14ac:dyDescent="0.25">
      <c r="A1992" t="str">
        <f>"20190312150703680"</f>
        <v>20190312150703680</v>
      </c>
      <c r="B1992" t="str">
        <f>"1552374423672366"</f>
        <v>1552374423672366</v>
      </c>
      <c r="C1992" t="s">
        <v>40</v>
      </c>
      <c r="D1992">
        <v>4.3733909999999998</v>
      </c>
      <c r="E1992">
        <v>0.59204809999999997</v>
      </c>
      <c r="F1992" t="s">
        <v>49</v>
      </c>
      <c r="G1992">
        <v>-201.46629999999999</v>
      </c>
      <c r="H1992" s="1">
        <v>-3.2504260000000001E-6</v>
      </c>
      <c r="I1992">
        <v>360.26350000000002</v>
      </c>
      <c r="J1992">
        <v>-212.87799999999999</v>
      </c>
      <c r="K1992">
        <v>1.1100270000000001</v>
      </c>
      <c r="L1992">
        <v>366.30279999999999</v>
      </c>
      <c r="M1992">
        <v>0.99575210000000003</v>
      </c>
      <c r="N1992">
        <v>0</v>
      </c>
      <c r="O1992">
        <v>-9.1112219999999994E-2</v>
      </c>
      <c r="P1992">
        <v>0.96757919999999997</v>
      </c>
      <c r="Q1992">
        <v>7.6800199999999999E-2</v>
      </c>
      <c r="R1992">
        <v>-0.24060870000000001</v>
      </c>
      <c r="S1992">
        <v>2.7613219999999998</v>
      </c>
      <c r="T1992">
        <v>-0.26655689999999999</v>
      </c>
      <c r="U1992">
        <v>-1.452332</v>
      </c>
      <c r="V1992">
        <v>0.15161189999999999</v>
      </c>
      <c r="W1992">
        <v>8.959454E-2</v>
      </c>
      <c r="X1992">
        <v>0.9843712</v>
      </c>
      <c r="Y1992">
        <v>0.3818665</v>
      </c>
      <c r="Z1992">
        <v>-9.0845560000000006E-3</v>
      </c>
      <c r="AA1992">
        <v>0.92417280000000002</v>
      </c>
      <c r="AB1992">
        <v>17</v>
      </c>
      <c r="AC1992">
        <v>11.4116999999999</v>
      </c>
      <c r="AD1992">
        <v>-1.110030250426</v>
      </c>
      <c r="AE1992">
        <v>-6.0392999999999599</v>
      </c>
      <c r="AF1992">
        <v>4.9378407280704897</v>
      </c>
      <c r="AG1992">
        <v>-1.110030250426</v>
      </c>
      <c r="AH1992">
        <v>11.8271083522379</v>
      </c>
      <c r="AI1992">
        <v>94.9500033077057</v>
      </c>
      <c r="AJ1992">
        <v>67.339368851686899</v>
      </c>
      <c r="AK1992">
        <v>12.864483284929401</v>
      </c>
      <c r="AL1992">
        <v>84.859718312838993</v>
      </c>
      <c r="AM1992">
        <v>81.244161785244799</v>
      </c>
      <c r="AN1992">
        <v>1.0000000046044299</v>
      </c>
    </row>
    <row r="1993" spans="1:40" x14ac:dyDescent="0.25">
      <c r="A1993" t="str">
        <f>"20190312150703690"</f>
        <v>20190312150703690</v>
      </c>
      <c r="B1993" t="str">
        <f>"1552374423682126"</f>
        <v>1552374423682126</v>
      </c>
      <c r="C1993" t="s">
        <v>40</v>
      </c>
      <c r="D1993">
        <v>4.5720669999999997</v>
      </c>
      <c r="E1993">
        <v>0.59204809999999997</v>
      </c>
      <c r="F1993" t="s">
        <v>49</v>
      </c>
      <c r="G1993">
        <v>-201.29859999999999</v>
      </c>
      <c r="H1993" s="1">
        <v>-3.1840750000000001E-6</v>
      </c>
      <c r="I1993">
        <v>360.18220000000002</v>
      </c>
      <c r="J1993">
        <v>-212.8</v>
      </c>
      <c r="K1993">
        <v>1.1100179999999999</v>
      </c>
      <c r="L1993">
        <v>366.29480000000001</v>
      </c>
      <c r="M1993">
        <v>0.99568630000000002</v>
      </c>
      <c r="N1993">
        <v>0</v>
      </c>
      <c r="O1993">
        <v>-9.1829339999999995E-2</v>
      </c>
      <c r="P1993">
        <v>0.96732249999999997</v>
      </c>
      <c r="Q1993">
        <v>7.7065560000000005E-2</v>
      </c>
      <c r="R1993">
        <v>-0.2415544</v>
      </c>
      <c r="S1993">
        <v>2.758896</v>
      </c>
      <c r="T1993">
        <v>-0.26447490000000001</v>
      </c>
      <c r="U1993">
        <v>-1.4582820000000001</v>
      </c>
      <c r="V1993">
        <v>0.15187059999999999</v>
      </c>
      <c r="W1993">
        <v>8.9854299999999998E-2</v>
      </c>
      <c r="X1993">
        <v>0.98430759999999995</v>
      </c>
      <c r="Y1993">
        <v>0.38310929999999999</v>
      </c>
      <c r="Z1993">
        <v>-9.0091400000000006E-3</v>
      </c>
      <c r="AA1993">
        <v>0.92365909999999996</v>
      </c>
      <c r="AB1993">
        <v>17</v>
      </c>
      <c r="AC1993">
        <v>11.5014</v>
      </c>
      <c r="AD1993">
        <v>-1.1100211840750001</v>
      </c>
      <c r="AE1993">
        <v>-6.11259999999998</v>
      </c>
      <c r="AF1993">
        <v>4.9942358666940203</v>
      </c>
      <c r="AG1993">
        <v>-1.1100211840750001</v>
      </c>
      <c r="AH1993">
        <v>11.927530529564599</v>
      </c>
      <c r="AI1993">
        <v>94.906383753115094</v>
      </c>
      <c r="AJ1993">
        <v>67.280208363210207</v>
      </c>
      <c r="AK1993">
        <v>12.978463832633</v>
      </c>
      <c r="AL1993">
        <v>84.844774673221195</v>
      </c>
      <c r="AM1993">
        <v>81.228895647631404</v>
      </c>
      <c r="AN1993">
        <v>0.99999996289530402</v>
      </c>
    </row>
    <row r="1994" spans="1:40" x14ac:dyDescent="0.25">
      <c r="A1994" t="str">
        <f>"20190312150703701"</f>
        <v>20190312150703701</v>
      </c>
      <c r="B1994" t="str">
        <f>"1552374423691886"</f>
        <v>1552374423691886</v>
      </c>
      <c r="C1994" t="s">
        <v>40</v>
      </c>
      <c r="D1994">
        <v>4.3811540000000004</v>
      </c>
      <c r="E1994">
        <v>0.59596479999999996</v>
      </c>
      <c r="F1994" t="s">
        <v>49</v>
      </c>
      <c r="G1994">
        <v>-201.1823</v>
      </c>
      <c r="H1994" s="1">
        <v>-3.1352480000000001E-6</v>
      </c>
      <c r="I1994">
        <v>360.13839999999999</v>
      </c>
      <c r="J1994">
        <v>-212.71789999999999</v>
      </c>
      <c r="K1994">
        <v>1.1100080000000001</v>
      </c>
      <c r="L1994">
        <v>366.28640000000001</v>
      </c>
      <c r="M1994">
        <v>0.99561549999999999</v>
      </c>
      <c r="N1994">
        <v>0</v>
      </c>
      <c r="O1994">
        <v>-9.2593889999999998E-2</v>
      </c>
      <c r="P1994">
        <v>0.96695160000000002</v>
      </c>
      <c r="Q1994">
        <v>7.7255039999999997E-2</v>
      </c>
      <c r="R1994">
        <v>-0.2429741</v>
      </c>
      <c r="S1994">
        <v>2.7574619999999999</v>
      </c>
      <c r="T1994">
        <v>-0.26346350000000002</v>
      </c>
      <c r="U1994">
        <v>-1.461212</v>
      </c>
      <c r="V1994">
        <v>0.15256459999999999</v>
      </c>
      <c r="W1994">
        <v>9.0036210000000005E-2</v>
      </c>
      <c r="X1994">
        <v>0.98418369999999999</v>
      </c>
      <c r="Y1994">
        <v>0.38337470000000001</v>
      </c>
      <c r="Z1994">
        <v>-8.9214029999999996E-3</v>
      </c>
      <c r="AA1994">
        <v>0.92354979999999998</v>
      </c>
      <c r="AB1994">
        <v>17</v>
      </c>
      <c r="AC1994">
        <v>11.535599999999899</v>
      </c>
      <c r="AD1994">
        <v>-1.110011135248</v>
      </c>
      <c r="AE1994">
        <v>-6.1480000000000201</v>
      </c>
      <c r="AF1994">
        <v>5.0171843131093503</v>
      </c>
      <c r="AG1994">
        <v>-1.110011135248</v>
      </c>
      <c r="AH1994">
        <v>11.9690427339681</v>
      </c>
      <c r="AI1994">
        <v>94.888599094066393</v>
      </c>
      <c r="AJ1994">
        <v>67.257539523391202</v>
      </c>
      <c r="AK1994">
        <v>13.025446138986499</v>
      </c>
      <c r="AL1994">
        <v>84.834309853625697</v>
      </c>
      <c r="AM1994">
        <v>81.188350213288601</v>
      </c>
      <c r="AN1994">
        <v>1.000000015815</v>
      </c>
    </row>
    <row r="1995" spans="1:40" x14ac:dyDescent="0.25">
      <c r="A1995" t="str">
        <f>"20190312150703712"</f>
        <v>20190312150703712</v>
      </c>
      <c r="B1995" t="str">
        <f>"1552374423702622"</f>
        <v>1552374423702622</v>
      </c>
      <c r="C1995" t="s">
        <v>40</v>
      </c>
      <c r="D1995">
        <v>4.2686010000000003</v>
      </c>
      <c r="E1995">
        <v>0.59703039999999996</v>
      </c>
      <c r="F1995" t="s">
        <v>49</v>
      </c>
      <c r="G1995">
        <v>-201.88329999999999</v>
      </c>
      <c r="H1995" s="1">
        <v>-3.4327569999999999E-6</v>
      </c>
      <c r="I1995">
        <v>360.3877</v>
      </c>
      <c r="J1995">
        <v>-212.6437</v>
      </c>
      <c r="K1995">
        <v>1.110004</v>
      </c>
      <c r="L1995">
        <v>366.27870000000001</v>
      </c>
      <c r="M1995">
        <v>0.99554960000000003</v>
      </c>
      <c r="N1995">
        <v>0</v>
      </c>
      <c r="O1995">
        <v>-9.3299229999999997E-2</v>
      </c>
      <c r="P1995">
        <v>0.96664150000000004</v>
      </c>
      <c r="Q1995">
        <v>7.7551419999999996E-2</v>
      </c>
      <c r="R1995">
        <v>-0.24411150000000001</v>
      </c>
      <c r="S1995">
        <v>2.7489620000000001</v>
      </c>
      <c r="T1995">
        <v>-0.28163179999999999</v>
      </c>
      <c r="U1995">
        <v>-1.496613</v>
      </c>
      <c r="V1995">
        <v>0.1530301</v>
      </c>
      <c r="W1995">
        <v>9.0327779999999996E-2</v>
      </c>
      <c r="X1995">
        <v>0.98408470000000003</v>
      </c>
      <c r="Y1995">
        <v>0.39292539999999998</v>
      </c>
      <c r="Z1995">
        <v>-9.9241750000000004E-3</v>
      </c>
      <c r="AA1995">
        <v>0.91951680000000002</v>
      </c>
      <c r="AB1995">
        <v>17</v>
      </c>
      <c r="AC1995">
        <v>10.760400000000001</v>
      </c>
      <c r="AD1995">
        <v>-1.110007432757</v>
      </c>
      <c r="AE1995">
        <v>-5.8910000000000098</v>
      </c>
      <c r="AF1995">
        <v>4.8217962910407701</v>
      </c>
      <c r="AG1995">
        <v>-1.110007432757</v>
      </c>
      <c r="AH1995">
        <v>11.171663842433199</v>
      </c>
      <c r="AI1995">
        <v>95.212372093570494</v>
      </c>
      <c r="AJ1995">
        <v>66.654513179921494</v>
      </c>
      <c r="AK1995">
        <v>12.2183431356874</v>
      </c>
      <c r="AL1995">
        <v>84.817535733794699</v>
      </c>
      <c r="AM1995">
        <v>81.161013150313906</v>
      </c>
      <c r="AN1995">
        <v>1.0000000080599101</v>
      </c>
    </row>
    <row r="1996" spans="1:40" x14ac:dyDescent="0.25">
      <c r="A1996" t="str">
        <f>"20190312150703726"</f>
        <v>20190312150703726</v>
      </c>
      <c r="B1996" t="str">
        <f>"1552374423722142"</f>
        <v>1552374423722142</v>
      </c>
      <c r="C1996" t="s">
        <v>40</v>
      </c>
      <c r="D1996">
        <v>4.407851</v>
      </c>
      <c r="E1996">
        <v>0.59733150000000002</v>
      </c>
      <c r="F1996" t="s">
        <v>49</v>
      </c>
      <c r="G1996">
        <v>-201.70609999999999</v>
      </c>
      <c r="H1996" s="1">
        <v>-3.36982E-6</v>
      </c>
      <c r="I1996">
        <v>360.26940000000002</v>
      </c>
      <c r="J1996">
        <v>-212.54320000000001</v>
      </c>
      <c r="K1996">
        <v>1.109996</v>
      </c>
      <c r="L1996">
        <v>366.26819999999998</v>
      </c>
      <c r="M1996">
        <v>0.99545879999999998</v>
      </c>
      <c r="N1996">
        <v>0</v>
      </c>
      <c r="O1996">
        <v>-9.4263029999999998E-2</v>
      </c>
      <c r="P1996">
        <v>0.96621349999999995</v>
      </c>
      <c r="Q1996">
        <v>7.7845830000000005E-2</v>
      </c>
      <c r="R1996">
        <v>-0.24570719999999999</v>
      </c>
      <c r="S1996">
        <v>2.7450260000000002</v>
      </c>
      <c r="T1996">
        <v>-0.27857979999999999</v>
      </c>
      <c r="U1996">
        <v>-1.508148</v>
      </c>
      <c r="V1996">
        <v>0.15370729999999999</v>
      </c>
      <c r="W1996">
        <v>9.0616039999999995E-2</v>
      </c>
      <c r="X1996">
        <v>0.98395259999999996</v>
      </c>
      <c r="Y1996">
        <v>0.39558019999999999</v>
      </c>
      <c r="Z1996">
        <v>-9.8563690000000002E-3</v>
      </c>
      <c r="AA1996">
        <v>0.91837849999999999</v>
      </c>
      <c r="AB1996">
        <v>16</v>
      </c>
      <c r="AC1996">
        <v>10.8371</v>
      </c>
      <c r="AD1996">
        <v>-1.1099993698199999</v>
      </c>
      <c r="AE1996">
        <v>-5.9987999999999504</v>
      </c>
      <c r="AF1996">
        <v>4.9110189742347297</v>
      </c>
      <c r="AG1996">
        <v>-1.1099993698199999</v>
      </c>
      <c r="AH1996">
        <v>11.2638981502144</v>
      </c>
      <c r="AI1996">
        <v>95.161656612797103</v>
      </c>
      <c r="AJ1996">
        <v>66.442971926751497</v>
      </c>
      <c r="AK1996">
        <v>12.337974205869299</v>
      </c>
      <c r="AL1996">
        <v>84.800951390221996</v>
      </c>
      <c r="AM1996">
        <v>81.121347044297096</v>
      </c>
      <c r="AN1996">
        <v>0.99999995991266399</v>
      </c>
    </row>
    <row r="1997" spans="1:40" x14ac:dyDescent="0.25">
      <c r="A1997" t="str">
        <f>"20190312150703738"</f>
        <v>20190312150703738</v>
      </c>
      <c r="B1997" t="str">
        <f>"1552374423731902"</f>
        <v>1552374423731902</v>
      </c>
      <c r="C1997" t="s">
        <v>40</v>
      </c>
      <c r="D1997">
        <v>4.3420370000000004</v>
      </c>
      <c r="E1997">
        <v>0.59786830000000002</v>
      </c>
      <c r="F1997" t="s">
        <v>49</v>
      </c>
      <c r="G1997">
        <v>-201.47540000000001</v>
      </c>
      <c r="H1997" s="1">
        <v>-3.2794229999999999E-6</v>
      </c>
      <c r="I1997">
        <v>360.15339999999998</v>
      </c>
      <c r="J1997">
        <v>-212.44370000000001</v>
      </c>
      <c r="K1997">
        <v>1.1099889999999999</v>
      </c>
      <c r="L1997">
        <v>366.25760000000002</v>
      </c>
      <c r="M1997">
        <v>0.99536650000000004</v>
      </c>
      <c r="N1997">
        <v>0</v>
      </c>
      <c r="O1997">
        <v>-9.5233670000000006E-2</v>
      </c>
      <c r="P1997">
        <v>0.96577539999999995</v>
      </c>
      <c r="Q1997">
        <v>7.7967320000000007E-2</v>
      </c>
      <c r="R1997">
        <v>-0.24738450000000001</v>
      </c>
      <c r="S1997">
        <v>2.7418369999999999</v>
      </c>
      <c r="T1997">
        <v>-0.27498080000000003</v>
      </c>
      <c r="U1997">
        <v>-1.5148010000000001</v>
      </c>
      <c r="V1997">
        <v>0.1544596</v>
      </c>
      <c r="W1997">
        <v>9.0731909999999999E-2</v>
      </c>
      <c r="X1997">
        <v>0.98382409999999998</v>
      </c>
      <c r="Y1997">
        <v>0.39687280000000003</v>
      </c>
      <c r="Z1997">
        <v>-9.7054870000000005E-3</v>
      </c>
      <c r="AA1997">
        <v>0.91782229999999998</v>
      </c>
      <c r="AB1997">
        <v>16</v>
      </c>
      <c r="AC1997">
        <v>10.968299999999999</v>
      </c>
      <c r="AD1997">
        <v>-1.1099922794229999</v>
      </c>
      <c r="AE1997">
        <v>-6.1042000000000396</v>
      </c>
      <c r="AF1997">
        <v>4.9927666644949404</v>
      </c>
      <c r="AG1997">
        <v>-1.1099922794229999</v>
      </c>
      <c r="AH1997">
        <v>11.4105907970494</v>
      </c>
      <c r="AI1997">
        <v>95.092720538409694</v>
      </c>
      <c r="AJ1997">
        <v>66.367953688502098</v>
      </c>
      <c r="AK1997">
        <v>12.5044545728384</v>
      </c>
      <c r="AL1997">
        <v>84.794285034146597</v>
      </c>
      <c r="AM1997">
        <v>81.0774424777007</v>
      </c>
      <c r="AN1997">
        <v>0.99999995363260796</v>
      </c>
    </row>
    <row r="1998" spans="1:40" x14ac:dyDescent="0.25">
      <c r="A1998" t="str">
        <f>"20190312150703751"</f>
        <v>20190312150703751</v>
      </c>
      <c r="B1998" t="str">
        <f>"1552374423742639"</f>
        <v>1552374423742639</v>
      </c>
      <c r="C1998" t="s">
        <v>40</v>
      </c>
      <c r="D1998">
        <v>4.4066049999999999</v>
      </c>
      <c r="E1998">
        <v>0.5977886</v>
      </c>
      <c r="F1998" t="s">
        <v>49</v>
      </c>
      <c r="G1998">
        <v>-202.5232</v>
      </c>
      <c r="H1998" s="1">
        <v>-3.6775559999999998E-6</v>
      </c>
      <c r="I1998">
        <v>360.73579999999998</v>
      </c>
      <c r="J1998">
        <v>-212.35339999999999</v>
      </c>
      <c r="K1998">
        <v>1.1099889999999999</v>
      </c>
      <c r="L1998">
        <v>366.24790000000002</v>
      </c>
      <c r="M1998">
        <v>0.99528119999999998</v>
      </c>
      <c r="N1998">
        <v>0</v>
      </c>
      <c r="O1998">
        <v>-9.6121170000000006E-2</v>
      </c>
      <c r="P1998">
        <v>0.96535059999999995</v>
      </c>
      <c r="Q1998">
        <v>7.8261090000000005E-2</v>
      </c>
      <c r="R1998">
        <v>-0.2489461</v>
      </c>
      <c r="S1998">
        <v>2.7403559999999998</v>
      </c>
      <c r="T1998">
        <v>-0.30661290000000002</v>
      </c>
      <c r="U1998">
        <v>-1.525269</v>
      </c>
      <c r="V1998">
        <v>0.15517709999999901</v>
      </c>
      <c r="W1998">
        <v>9.1021550000000007E-2</v>
      </c>
      <c r="X1998">
        <v>0.98368449999999996</v>
      </c>
      <c r="Y1998">
        <v>0.39866449999999998</v>
      </c>
      <c r="Z1998">
        <v>-1.081504E-2</v>
      </c>
      <c r="AA1998">
        <v>0.91703310000000005</v>
      </c>
      <c r="AB1998">
        <v>16</v>
      </c>
      <c r="AC1998">
        <v>9.8301999999999907</v>
      </c>
      <c r="AD1998">
        <v>-1.1099926775559901</v>
      </c>
      <c r="AE1998">
        <v>-5.5121000000000304</v>
      </c>
      <c r="AF1998">
        <v>4.4979677065871204</v>
      </c>
      <c r="AG1998">
        <v>-1.1099926775559901</v>
      </c>
      <c r="AH1998">
        <v>10.215458567664401</v>
      </c>
      <c r="AI1998">
        <v>95.679110500559403</v>
      </c>
      <c r="AJ1998">
        <v>66.235630452290593</v>
      </c>
      <c r="AK1998">
        <v>11.216924310228601</v>
      </c>
      <c r="AL1998">
        <v>84.777621305125706</v>
      </c>
      <c r="AM1998">
        <v>81.035415207861902</v>
      </c>
      <c r="AN1998">
        <v>1.00000002523453</v>
      </c>
    </row>
    <row r="1999" spans="1:40" x14ac:dyDescent="0.25">
      <c r="A1999" t="str">
        <f>"20190312150703766"</f>
        <v>20190312150703766</v>
      </c>
      <c r="B1999" t="str">
        <f>"1552374423762158"</f>
        <v>1552374423762158</v>
      </c>
      <c r="C1999" t="s">
        <v>40</v>
      </c>
      <c r="D1999">
        <v>4.4266249999999996</v>
      </c>
      <c r="E1999">
        <v>0.598298</v>
      </c>
      <c r="F1999" t="s">
        <v>49</v>
      </c>
      <c r="G1999">
        <v>-202.11539999999999</v>
      </c>
      <c r="H1999" s="1">
        <v>-3.517632E-6</v>
      </c>
      <c r="I1999">
        <v>360.53160000000003</v>
      </c>
      <c r="J1999">
        <v>-212.25219999999999</v>
      </c>
      <c r="K1999">
        <v>1.10999</v>
      </c>
      <c r="L1999">
        <v>366.23700000000002</v>
      </c>
      <c r="M1999">
        <v>0.99518410000000002</v>
      </c>
      <c r="N1999">
        <v>0</v>
      </c>
      <c r="O1999">
        <v>-9.7120919999999999E-2</v>
      </c>
      <c r="P1999">
        <v>0.96484630000000005</v>
      </c>
      <c r="Q1999">
        <v>7.8484990000000004E-2</v>
      </c>
      <c r="R1999">
        <v>-0.25082359999999998</v>
      </c>
      <c r="S1999">
        <v>2.7375790000000002</v>
      </c>
      <c r="T1999">
        <v>-0.296803599999999</v>
      </c>
      <c r="U1999">
        <v>-1.5285029999999999</v>
      </c>
      <c r="V1999">
        <v>0.15610569999999999</v>
      </c>
      <c r="W1999">
        <v>9.1241429999999998E-2</v>
      </c>
      <c r="X1999">
        <v>0.98351719999999998</v>
      </c>
      <c r="Y1999">
        <v>0.39905639999999998</v>
      </c>
      <c r="Z1999">
        <v>-1.039786E-2</v>
      </c>
      <c r="AA1999">
        <v>0.9168674</v>
      </c>
      <c r="AB1999">
        <v>16</v>
      </c>
      <c r="AC1999">
        <v>10.1367999999999</v>
      </c>
      <c r="AD1999">
        <v>-1.1099935176319999</v>
      </c>
      <c r="AE1999">
        <v>-5.7053999999999396</v>
      </c>
      <c r="AF1999">
        <v>4.6514854536663499</v>
      </c>
      <c r="AG1999">
        <v>-1.1099935176319999</v>
      </c>
      <c r="AH1999">
        <v>10.546993360910101</v>
      </c>
      <c r="AI1999">
        <v>95.500267840201303</v>
      </c>
      <c r="AJ1999">
        <v>66.201331974390598</v>
      </c>
      <c r="AK1999">
        <v>11.5804780337401</v>
      </c>
      <c r="AL1999">
        <v>84.764970521028303</v>
      </c>
      <c r="AM1999">
        <v>80.981140191157806</v>
      </c>
      <c r="AN1999">
        <v>1.00000003540838</v>
      </c>
    </row>
    <row r="2000" spans="1:40" x14ac:dyDescent="0.25">
      <c r="A2000" t="str">
        <f>"20190312150703776"</f>
        <v>20190312150703776</v>
      </c>
      <c r="B2000" t="str">
        <f>"1552374423771918"</f>
        <v>1552374423771918</v>
      </c>
      <c r="C2000" t="s">
        <v>40</v>
      </c>
      <c r="D2000">
        <v>4.3210470000000001</v>
      </c>
      <c r="E2000">
        <v>0.59869830000000002</v>
      </c>
      <c r="F2000" t="s">
        <v>49</v>
      </c>
      <c r="G2000">
        <v>-201.62870000000001</v>
      </c>
      <c r="H2000" s="1">
        <v>-3.33269E-6</v>
      </c>
      <c r="I2000">
        <v>360.26119999999997</v>
      </c>
      <c r="J2000">
        <v>-212.16399999999999</v>
      </c>
      <c r="K2000">
        <v>1.1099950000000001</v>
      </c>
      <c r="L2000">
        <v>366.22739999999999</v>
      </c>
      <c r="M2000">
        <v>0.99509820000000004</v>
      </c>
      <c r="N2000">
        <v>0</v>
      </c>
      <c r="O2000">
        <v>-9.7996990000000006E-2</v>
      </c>
      <c r="P2000">
        <v>0.96451980000000004</v>
      </c>
      <c r="Q2000">
        <v>7.8466369999999994E-2</v>
      </c>
      <c r="R2000">
        <v>-0.25208130000000001</v>
      </c>
      <c r="S2000">
        <v>2.73291</v>
      </c>
      <c r="T2000">
        <v>-0.285547</v>
      </c>
      <c r="U2000">
        <v>-1.5372619999999999</v>
      </c>
      <c r="V2000">
        <v>0.15652160000000001</v>
      </c>
      <c r="W2000">
        <v>9.1221490000000002E-2</v>
      </c>
      <c r="X2000">
        <v>0.98345289999999996</v>
      </c>
      <c r="Y2000">
        <v>0.40124280000000001</v>
      </c>
      <c r="Z2000">
        <v>-1.00357E-2</v>
      </c>
      <c r="AA2000">
        <v>0.91591679999999998</v>
      </c>
      <c r="AB2000">
        <v>16</v>
      </c>
      <c r="AC2000">
        <v>10.535299999999999</v>
      </c>
      <c r="AD2000">
        <v>-1.10999833269</v>
      </c>
      <c r="AE2000">
        <v>-5.9662000000000104</v>
      </c>
      <c r="AF2000">
        <v>4.8640759106251998</v>
      </c>
      <c r="AG2000">
        <v>-1.10999833269</v>
      </c>
      <c r="AH2000">
        <v>10.9770389820952</v>
      </c>
      <c r="AI2000">
        <v>95.281994250600704</v>
      </c>
      <c r="AJ2000">
        <v>66.101213787489101</v>
      </c>
      <c r="AK2000">
        <v>12.0576413770413</v>
      </c>
      <c r="AL2000">
        <v>84.766117539727603</v>
      </c>
      <c r="AM2000">
        <v>80.956927007576098</v>
      </c>
      <c r="AN2000">
        <v>0.99999998901139497</v>
      </c>
    </row>
    <row r="2001" spans="1:40" x14ac:dyDescent="0.25">
      <c r="A2001" t="str">
        <f>"20190312150703788"</f>
        <v>20190312150703788</v>
      </c>
      <c r="B2001" t="str">
        <f>"1552374423781678"</f>
        <v>1552374423781678</v>
      </c>
      <c r="C2001" t="s">
        <v>40</v>
      </c>
      <c r="D2001">
        <v>4.460985</v>
      </c>
      <c r="E2001">
        <v>0.59896990000000006</v>
      </c>
      <c r="F2001" t="s">
        <v>49</v>
      </c>
      <c r="G2001">
        <v>-201.35429999999999</v>
      </c>
      <c r="H2001" s="1">
        <v>-3.2276810000000001E-6</v>
      </c>
      <c r="I2001">
        <v>360.1121</v>
      </c>
      <c r="J2001">
        <v>-212.084</v>
      </c>
      <c r="K2001">
        <v>1.110006</v>
      </c>
      <c r="L2001">
        <v>366.21850000000001</v>
      </c>
      <c r="M2001">
        <v>0.99501969999999995</v>
      </c>
      <c r="N2001">
        <v>0</v>
      </c>
      <c r="O2001">
        <v>-9.8790909999999996E-2</v>
      </c>
      <c r="P2001">
        <v>0.96419980000000005</v>
      </c>
      <c r="Q2001">
        <v>7.852104E-2</v>
      </c>
      <c r="R2001">
        <v>-0.25328450000000002</v>
      </c>
      <c r="S2001">
        <v>2.729584</v>
      </c>
      <c r="T2001">
        <v>-0.28028910000000001</v>
      </c>
      <c r="U2001">
        <v>-1.544189</v>
      </c>
      <c r="V2001">
        <v>0.1569642</v>
      </c>
      <c r="W2001">
        <v>9.1275620000000002E-2</v>
      </c>
      <c r="X2001">
        <v>0.98337730000000001</v>
      </c>
      <c r="Y2001">
        <v>0.40279310000000002</v>
      </c>
      <c r="Z2001">
        <v>-9.8561699999999992E-3</v>
      </c>
      <c r="AA2001">
        <v>0.915238</v>
      </c>
      <c r="AB2001">
        <v>16</v>
      </c>
      <c r="AC2001">
        <v>10.729699999999999</v>
      </c>
      <c r="AD2001">
        <v>-1.1100092276809901</v>
      </c>
      <c r="AE2001">
        <v>-6.1063999999999998</v>
      </c>
      <c r="AF2001">
        <v>4.9762056387743696</v>
      </c>
      <c r="AG2001">
        <v>-1.1100092276809901</v>
      </c>
      <c r="AH2001">
        <v>11.190052818064499</v>
      </c>
      <c r="AI2001">
        <v>95.179020382000203</v>
      </c>
      <c r="AJ2001">
        <v>66.025331527400297</v>
      </c>
      <c r="AK2001">
        <v>12.2968298807449</v>
      </c>
      <c r="AL2001">
        <v>84.763002955653107</v>
      </c>
      <c r="AM2001">
        <v>80.931094440512496</v>
      </c>
      <c r="AN2001">
        <v>0.99999995652165596</v>
      </c>
    </row>
    <row r="2002" spans="1:40" x14ac:dyDescent="0.25">
      <c r="A2002" t="str">
        <f>"20190312150703800"</f>
        <v>20190312150703800</v>
      </c>
      <c r="B2002" t="str">
        <f>"1552374423792414"</f>
        <v>1552374423792414</v>
      </c>
      <c r="C2002" t="s">
        <v>40</v>
      </c>
      <c r="D2002">
        <v>4.4037689999999996</v>
      </c>
      <c r="E2002">
        <v>0.59900310000000001</v>
      </c>
      <c r="F2002" t="s">
        <v>49</v>
      </c>
      <c r="G2002">
        <v>-201.06010000000001</v>
      </c>
      <c r="H2002" s="1">
        <v>-3.1141599999999999E-6</v>
      </c>
      <c r="I2002">
        <v>359.9563</v>
      </c>
      <c r="J2002">
        <v>-211.99590000000001</v>
      </c>
      <c r="K2002">
        <v>1.1100129999999999</v>
      </c>
      <c r="L2002">
        <v>366.20870000000002</v>
      </c>
      <c r="M2002">
        <v>0.99493240000000005</v>
      </c>
      <c r="N2002">
        <v>0</v>
      </c>
      <c r="O2002">
        <v>-9.9665719999999999E-2</v>
      </c>
      <c r="P2002">
        <v>0.96385129999999997</v>
      </c>
      <c r="Q2002">
        <v>7.8481380000000003E-2</v>
      </c>
      <c r="R2002">
        <v>-0.25462030000000002</v>
      </c>
      <c r="S2002">
        <v>2.7268680000000001</v>
      </c>
      <c r="T2002">
        <v>-0.27457110000000001</v>
      </c>
      <c r="U2002">
        <v>-1.5490109999999999</v>
      </c>
      <c r="V2002">
        <v>0.1574604</v>
      </c>
      <c r="W2002">
        <v>9.1236680000000001E-2</v>
      </c>
      <c r="X2002">
        <v>0.9833016</v>
      </c>
      <c r="Y2002">
        <v>0.40365129999999999</v>
      </c>
      <c r="Z2002">
        <v>-9.6202660000000006E-3</v>
      </c>
      <c r="AA2002">
        <v>0.91486230000000002</v>
      </c>
      <c r="AB2002">
        <v>16</v>
      </c>
      <c r="AC2002">
        <v>10.9358</v>
      </c>
      <c r="AD2002">
        <v>-1.11001611416</v>
      </c>
      <c r="AE2002">
        <v>-6.2524000000000202</v>
      </c>
      <c r="AF2002">
        <v>5.0917076094286102</v>
      </c>
      <c r="AG2002">
        <v>-1.11001611416</v>
      </c>
      <c r="AH2002">
        <v>11.4159045496818</v>
      </c>
      <c r="AI2002">
        <v>95.074654514667799</v>
      </c>
      <c r="AJ2002">
        <v>65.962231961562793</v>
      </c>
      <c r="AK2002">
        <v>12.5491234291904</v>
      </c>
      <c r="AL2002">
        <v>84.765243488033093</v>
      </c>
      <c r="AM2002">
        <v>80.902215564055894</v>
      </c>
      <c r="AN2002">
        <v>0.99999997295406995</v>
      </c>
    </row>
    <row r="2003" spans="1:40" x14ac:dyDescent="0.25">
      <c r="A2003" t="str">
        <f>"20190312150703810"</f>
        <v>20190312150703810</v>
      </c>
      <c r="B2003" t="str">
        <f>"1552374423802174"</f>
        <v>1552374423802174</v>
      </c>
      <c r="C2003" t="s">
        <v>40</v>
      </c>
      <c r="D2003">
        <v>4.4161149999999996</v>
      </c>
      <c r="E2003">
        <v>0.59932289999999999</v>
      </c>
      <c r="F2003" t="s">
        <v>49</v>
      </c>
      <c r="G2003">
        <v>-200.71180000000001</v>
      </c>
      <c r="H2003" s="1">
        <v>-2.978518E-6</v>
      </c>
      <c r="I2003">
        <v>359.77749999999997</v>
      </c>
      <c r="J2003">
        <v>-211.9204</v>
      </c>
      <c r="K2003">
        <v>1.11002</v>
      </c>
      <c r="L2003">
        <v>366.20030000000003</v>
      </c>
      <c r="M2003">
        <v>0.99485730000000006</v>
      </c>
      <c r="N2003">
        <v>0</v>
      </c>
      <c r="O2003">
        <v>-0.1004138</v>
      </c>
      <c r="P2003">
        <v>0.96350409999999997</v>
      </c>
      <c r="Q2003">
        <v>7.8536250000000002E-2</v>
      </c>
      <c r="R2003">
        <v>-0.25591469999999999</v>
      </c>
      <c r="S2003">
        <v>2.7241970000000002</v>
      </c>
      <c r="T2003">
        <v>-0.26797799999999999</v>
      </c>
      <c r="U2003">
        <v>-1.5526120000000001</v>
      </c>
      <c r="V2003">
        <v>0.158041299999999</v>
      </c>
      <c r="W2003">
        <v>9.1291289999999997E-2</v>
      </c>
      <c r="X2003">
        <v>0.98320339999999995</v>
      </c>
      <c r="Y2003">
        <v>0.4043158</v>
      </c>
      <c r="Z2003">
        <v>-9.3586499999999996E-3</v>
      </c>
      <c r="AA2003">
        <v>0.91457160000000004</v>
      </c>
      <c r="AB2003">
        <v>16</v>
      </c>
      <c r="AC2003">
        <v>11.208599999999899</v>
      </c>
      <c r="AD2003">
        <v>-1.110022978518</v>
      </c>
      <c r="AE2003">
        <v>-6.4228000000000502</v>
      </c>
      <c r="AF2003">
        <v>5.2261488580706601</v>
      </c>
      <c r="AG2003">
        <v>-1.110022978518</v>
      </c>
      <c r="AH2003">
        <v>11.710472468806501</v>
      </c>
      <c r="AI2003">
        <v>94.947199267467994</v>
      </c>
      <c r="AJ2003">
        <v>65.949752100123803</v>
      </c>
      <c r="AK2003">
        <v>12.8716723211176</v>
      </c>
      <c r="AL2003">
        <v>84.762101799545903</v>
      </c>
      <c r="AM2003">
        <v>80.868319956196004</v>
      </c>
      <c r="AN2003">
        <v>1.0000000389535499</v>
      </c>
    </row>
    <row r="2004" spans="1:40" x14ac:dyDescent="0.25">
      <c r="A2004" t="str">
        <f>"20190312150703821"</f>
        <v>20190312150703821</v>
      </c>
      <c r="B2004" t="str">
        <f>"1552374423811934"</f>
        <v>1552374423811934</v>
      </c>
      <c r="C2004" t="s">
        <v>40</v>
      </c>
      <c r="D2004">
        <v>3.7189350000000001</v>
      </c>
      <c r="E2004">
        <v>0.59954300000000005</v>
      </c>
      <c r="F2004" t="s">
        <v>49</v>
      </c>
      <c r="G2004">
        <v>-200.4358</v>
      </c>
      <c r="H2004" s="1">
        <v>-2.8743729999999998E-6</v>
      </c>
      <c r="I2004">
        <v>359.62079999999997</v>
      </c>
      <c r="J2004">
        <v>-211.83959999999999</v>
      </c>
      <c r="K2004">
        <v>1.110031</v>
      </c>
      <c r="L2004">
        <v>366.19119999999998</v>
      </c>
      <c r="M2004">
        <v>0.9947762</v>
      </c>
      <c r="N2004">
        <v>0</v>
      </c>
      <c r="O2004">
        <v>-0.10121289999999999</v>
      </c>
      <c r="P2004">
        <v>0.96313689999999996</v>
      </c>
      <c r="Q2004">
        <v>7.8444490000000006E-2</v>
      </c>
      <c r="R2004">
        <v>-0.25732110000000002</v>
      </c>
      <c r="S2004">
        <v>2.7210239999999999</v>
      </c>
      <c r="T2004">
        <v>-0.26299450000000002</v>
      </c>
      <c r="U2004">
        <v>-1.5588679999999999</v>
      </c>
      <c r="V2004">
        <v>0.15868470000000001</v>
      </c>
      <c r="W2004">
        <v>9.1199169999999996E-2</v>
      </c>
      <c r="X2004">
        <v>0.98310830000000005</v>
      </c>
      <c r="Y2004">
        <v>0.40566239999999998</v>
      </c>
      <c r="Z2004">
        <v>-9.1798880000000006E-3</v>
      </c>
      <c r="AA2004">
        <v>0.91397689999999998</v>
      </c>
      <c r="AB2004">
        <v>16</v>
      </c>
      <c r="AC2004">
        <v>11.403799999999899</v>
      </c>
      <c r="AD2004">
        <v>-1.1100338743730001</v>
      </c>
      <c r="AE2004">
        <v>-6.5704000000000002</v>
      </c>
      <c r="AF2004">
        <v>5.34432347866277</v>
      </c>
      <c r="AG2004">
        <v>-1.1100338743730001</v>
      </c>
      <c r="AH2004">
        <v>11.925464969095099</v>
      </c>
      <c r="AI2004">
        <v>94.8551317868219</v>
      </c>
      <c r="AJ2004">
        <v>65.860757692151594</v>
      </c>
      <c r="AK2004">
        <v>13.115284342169399</v>
      </c>
      <c r="AL2004">
        <v>84.767401928997799</v>
      </c>
      <c r="AM2004">
        <v>80.830902375780298</v>
      </c>
      <c r="AN2004">
        <v>1.0000000260758299</v>
      </c>
    </row>
    <row r="2005" spans="1:40" x14ac:dyDescent="0.25">
      <c r="A2005" t="str">
        <f>"20190312150703833"</f>
        <v>20190312150703833</v>
      </c>
      <c r="B2005" t="str">
        <f>"1552374423821695"</f>
        <v>1552374423821695</v>
      </c>
      <c r="C2005" t="s">
        <v>40</v>
      </c>
      <c r="D2005">
        <v>4.2761490000000002</v>
      </c>
      <c r="E2005">
        <v>0.59991070000000002</v>
      </c>
      <c r="F2005" t="s">
        <v>49</v>
      </c>
      <c r="G2005">
        <v>-200.1473</v>
      </c>
      <c r="H2005" s="1">
        <v>-6.7496389999999997E-6</v>
      </c>
      <c r="I2005">
        <v>359.46030000000002</v>
      </c>
      <c r="J2005">
        <v>-211.7568</v>
      </c>
      <c r="K2005">
        <v>1.110039</v>
      </c>
      <c r="L2005">
        <v>366.18180000000001</v>
      </c>
      <c r="M2005">
        <v>0.99469289999999999</v>
      </c>
      <c r="N2005">
        <v>0</v>
      </c>
      <c r="O2005">
        <v>-0.10202890000000001</v>
      </c>
      <c r="P2005">
        <v>0.96273969999999998</v>
      </c>
      <c r="Q2005">
        <v>7.8315750000000003E-2</v>
      </c>
      <c r="R2005">
        <v>-0.25884289999999999</v>
      </c>
      <c r="S2005">
        <v>2.7178499999999999</v>
      </c>
      <c r="T2005">
        <v>-0.25802589999999997</v>
      </c>
      <c r="U2005">
        <v>-1.564575</v>
      </c>
      <c r="V2005">
        <v>0.15942899999999999</v>
      </c>
      <c r="W2005">
        <v>9.1070960000000006E-2</v>
      </c>
      <c r="X2005">
        <v>0.98299970000000003</v>
      </c>
      <c r="Y2005">
        <v>0.40685310000000002</v>
      </c>
      <c r="Z2005">
        <v>-8.9938899999999992E-3</v>
      </c>
      <c r="AA2005">
        <v>0.91344930000000002</v>
      </c>
      <c r="AB2005">
        <v>16</v>
      </c>
      <c r="AC2005">
        <v>11.609499999999899</v>
      </c>
      <c r="AD2005">
        <v>-1.1100457496389999</v>
      </c>
      <c r="AE2005">
        <v>-6.72149999999999</v>
      </c>
      <c r="AF2005">
        <v>5.4643930086566899</v>
      </c>
      <c r="AG2005">
        <v>-1.1100457496389999</v>
      </c>
      <c r="AH2005">
        <v>12.1515488889821</v>
      </c>
      <c r="AI2005">
        <v>94.762536985140002</v>
      </c>
      <c r="AJ2005">
        <v>65.787172190874202</v>
      </c>
      <c r="AK2005">
        <v>13.369814244060001</v>
      </c>
      <c r="AL2005">
        <v>84.774778213760996</v>
      </c>
      <c r="AM2005">
        <v>80.787630688747299</v>
      </c>
      <c r="AN2005">
        <v>0.99999996799820501</v>
      </c>
    </row>
    <row r="2006" spans="1:40" x14ac:dyDescent="0.25">
      <c r="A2006" t="str">
        <f>"20190312150703845"</f>
        <v>20190312150703845</v>
      </c>
      <c r="B2006" t="str">
        <f>"1552374423842190"</f>
        <v>1552374423842190</v>
      </c>
      <c r="C2006" t="s">
        <v>40</v>
      </c>
      <c r="D2006">
        <v>4.3648689999999997</v>
      </c>
      <c r="E2006">
        <v>0.6001012</v>
      </c>
      <c r="F2006" t="s">
        <v>49</v>
      </c>
      <c r="G2006">
        <v>-199.80840000000001</v>
      </c>
      <c r="H2006" s="1">
        <v>-6.7068489999999998E-6</v>
      </c>
      <c r="I2006">
        <v>359.2647</v>
      </c>
      <c r="J2006">
        <v>-211.67310000000001</v>
      </c>
      <c r="K2006">
        <v>1.110052</v>
      </c>
      <c r="L2006">
        <v>366.17219999999998</v>
      </c>
      <c r="M2006">
        <v>0.99460820000000005</v>
      </c>
      <c r="N2006">
        <v>0</v>
      </c>
      <c r="O2006">
        <v>-0.10285229999999999</v>
      </c>
      <c r="P2006">
        <v>0.9623313</v>
      </c>
      <c r="Q2006">
        <v>7.7962399999999904E-2</v>
      </c>
      <c r="R2006">
        <v>-0.26046200000000003</v>
      </c>
      <c r="S2006">
        <v>2.714188</v>
      </c>
      <c r="T2006">
        <v>-0.25215779999999999</v>
      </c>
      <c r="U2006">
        <v>-1.5712889999999999</v>
      </c>
      <c r="V2006">
        <v>0.16026409999999999</v>
      </c>
      <c r="W2006">
        <v>9.0717660000000006E-2</v>
      </c>
      <c r="X2006">
        <v>0.98289660000000001</v>
      </c>
      <c r="Y2006">
        <v>0.40836640000000002</v>
      </c>
      <c r="Z2006">
        <v>-8.7910539999999995E-3</v>
      </c>
      <c r="AA2006">
        <v>0.91277580000000003</v>
      </c>
      <c r="AB2006">
        <v>16</v>
      </c>
      <c r="AC2006">
        <v>11.864699999999999</v>
      </c>
      <c r="AD2006">
        <v>-1.110058706849</v>
      </c>
      <c r="AE2006">
        <v>-6.9074999999999704</v>
      </c>
      <c r="AF2006">
        <v>5.6137413417381197</v>
      </c>
      <c r="AG2006">
        <v>-1.110058706849</v>
      </c>
      <c r="AH2006">
        <v>12.4310123570031</v>
      </c>
      <c r="AI2006">
        <v>94.652693840542895</v>
      </c>
      <c r="AJ2006">
        <v>65.696462328160194</v>
      </c>
      <c r="AK2006">
        <v>13.684896433826401</v>
      </c>
      <c r="AL2006">
        <v>84.795105126984794</v>
      </c>
      <c r="AM2006">
        <v>80.739254952235996</v>
      </c>
      <c r="AN2006">
        <v>1.00000000093812</v>
      </c>
    </row>
    <row r="2007" spans="1:40" x14ac:dyDescent="0.25">
      <c r="A2007" t="str">
        <f>"20190312150703854"</f>
        <v>20190312150703854</v>
      </c>
      <c r="B2007" t="str">
        <f>"1552374423851950"</f>
        <v>1552374423851950</v>
      </c>
      <c r="C2007" t="s">
        <v>40</v>
      </c>
      <c r="D2007">
        <v>3.7206649999999999</v>
      </c>
      <c r="E2007">
        <v>0.60050479999999995</v>
      </c>
      <c r="F2007" t="s">
        <v>49</v>
      </c>
      <c r="G2007">
        <v>-199.6371</v>
      </c>
      <c r="H2007" s="1">
        <v>-6.6482890000000003E-6</v>
      </c>
      <c r="I2007">
        <v>359.16969999999998</v>
      </c>
      <c r="J2007">
        <v>-211.595</v>
      </c>
      <c r="K2007">
        <v>1.1100639999999999</v>
      </c>
      <c r="L2007">
        <v>366.16320000000002</v>
      </c>
      <c r="M2007">
        <v>0.99452890000000005</v>
      </c>
      <c r="N2007">
        <v>0</v>
      </c>
      <c r="O2007">
        <v>-0.1036155</v>
      </c>
      <c r="P2007">
        <v>0.9619453</v>
      </c>
      <c r="Q2007">
        <v>7.8124310000000002E-2</v>
      </c>
      <c r="R2007">
        <v>-0.26183620000000002</v>
      </c>
      <c r="S2007">
        <v>2.7107999999999999</v>
      </c>
      <c r="T2007">
        <v>-0.25001250000000003</v>
      </c>
      <c r="U2007">
        <v>-1.577148</v>
      </c>
      <c r="V2007">
        <v>0.1609138</v>
      </c>
      <c r="W2007">
        <v>9.0880069999999993E-2</v>
      </c>
      <c r="X2007">
        <v>0.98277539999999997</v>
      </c>
      <c r="Y2007">
        <v>0.40964980000000001</v>
      </c>
      <c r="Z2007">
        <v>-8.7125659999999997E-3</v>
      </c>
      <c r="AA2007">
        <v>0.91220129999999999</v>
      </c>
      <c r="AB2007">
        <v>16</v>
      </c>
      <c r="AC2007">
        <v>11.957899999999899</v>
      </c>
      <c r="AD2007">
        <v>-1.1100706482889999</v>
      </c>
      <c r="AE2007">
        <v>-6.99350000000004</v>
      </c>
      <c r="AF2007">
        <v>5.6802426990769801</v>
      </c>
      <c r="AG2007">
        <v>-1.1100706482889999</v>
      </c>
      <c r="AH2007">
        <v>12.5377143224242</v>
      </c>
      <c r="AI2007">
        <v>94.610799242529794</v>
      </c>
      <c r="AJ2007">
        <v>65.626978263148303</v>
      </c>
      <c r="AK2007">
        <v>13.809116350995501</v>
      </c>
      <c r="AL2007">
        <v>84.785760920712704</v>
      </c>
      <c r="AM2007">
        <v>80.701240231518696</v>
      </c>
      <c r="AN2007">
        <v>0.99999996249940104</v>
      </c>
    </row>
    <row r="2008" spans="1:40" x14ac:dyDescent="0.25">
      <c r="A2008" t="str">
        <f>"20190312150703867"</f>
        <v>20190312150703867</v>
      </c>
      <c r="B2008" t="str">
        <f>"1552374423861710"</f>
        <v>1552374423861710</v>
      </c>
      <c r="C2008" t="s">
        <v>40</v>
      </c>
      <c r="D2008">
        <v>3.8491279999999999</v>
      </c>
      <c r="E2008">
        <v>0.60071929999999996</v>
      </c>
      <c r="F2008" t="s">
        <v>49</v>
      </c>
      <c r="G2008">
        <v>-199.30600000000001</v>
      </c>
      <c r="H2008" s="1">
        <v>-6.5304880000000001E-6</v>
      </c>
      <c r="I2008">
        <v>358.97230000000002</v>
      </c>
      <c r="J2008">
        <v>-211.50960000000001</v>
      </c>
      <c r="K2008">
        <v>1.110074</v>
      </c>
      <c r="L2008">
        <v>366.1533</v>
      </c>
      <c r="M2008">
        <v>0.99444169999999998</v>
      </c>
      <c r="N2008">
        <v>0</v>
      </c>
      <c r="O2008">
        <v>-0.1044496</v>
      </c>
      <c r="P2008">
        <v>0.96152090000000001</v>
      </c>
      <c r="Q2008">
        <v>7.8139130000000001E-2</v>
      </c>
      <c r="R2008">
        <v>-0.26338549999999999</v>
      </c>
      <c r="S2008">
        <v>2.7073209999999999</v>
      </c>
      <c r="T2008">
        <v>-0.2445532</v>
      </c>
      <c r="U2008">
        <v>-1.584198</v>
      </c>
      <c r="V2008">
        <v>0.16167179999999901</v>
      </c>
      <c r="W2008">
        <v>9.0894790000000003E-2</v>
      </c>
      <c r="X2008">
        <v>0.98264969999999996</v>
      </c>
      <c r="Y2008">
        <v>0.41120390000000001</v>
      </c>
      <c r="Z2008">
        <v>-8.5239779999999998E-3</v>
      </c>
      <c r="AA2008">
        <v>0.91150359999999997</v>
      </c>
      <c r="AB2008">
        <v>16</v>
      </c>
      <c r="AC2008">
        <v>12.2036</v>
      </c>
      <c r="AD2008">
        <v>-1.1100805304879999</v>
      </c>
      <c r="AE2008">
        <v>-7.1809999999999796</v>
      </c>
      <c r="AF2008">
        <v>5.83110189941155</v>
      </c>
      <c r="AG2008">
        <v>-1.1100805304879999</v>
      </c>
      <c r="AH2008">
        <v>12.8082334348989</v>
      </c>
      <c r="AI2008">
        <v>94.510124675321194</v>
      </c>
      <c r="AJ2008">
        <v>65.522029607817402</v>
      </c>
      <c r="AK2008">
        <v>14.116829384403299</v>
      </c>
      <c r="AL2008">
        <v>84.784914392086307</v>
      </c>
      <c r="AM2008">
        <v>80.657034013404896</v>
      </c>
      <c r="AN2008">
        <v>1.0000000333372301</v>
      </c>
    </row>
    <row r="2009" spans="1:40" x14ac:dyDescent="0.25">
      <c r="A2009" t="str">
        <f>"20190312150703878"</f>
        <v>20190312150703878</v>
      </c>
      <c r="B2009" t="str">
        <f>"1552374423872446"</f>
        <v>1552374423872446</v>
      </c>
      <c r="C2009" t="s">
        <v>40</v>
      </c>
      <c r="D2009">
        <v>4.430104</v>
      </c>
      <c r="E2009">
        <v>0.60071929999999996</v>
      </c>
      <c r="F2009" t="s">
        <v>49</v>
      </c>
      <c r="G2009">
        <v>-199.10980000000001</v>
      </c>
      <c r="H2009" s="1">
        <v>-6.4629569999999997E-6</v>
      </c>
      <c r="I2009">
        <v>358.8621</v>
      </c>
      <c r="J2009">
        <v>-211.4297</v>
      </c>
      <c r="K2009">
        <v>1.110082</v>
      </c>
      <c r="L2009">
        <v>366.14400000000001</v>
      </c>
      <c r="M2009">
        <v>0.99435989999999996</v>
      </c>
      <c r="N2009">
        <v>0</v>
      </c>
      <c r="O2009">
        <v>-0.105225</v>
      </c>
      <c r="P2009">
        <v>0.96113040000000005</v>
      </c>
      <c r="Q2009">
        <v>7.8292360000000005E-2</v>
      </c>
      <c r="R2009">
        <v>-0.26476189999999999</v>
      </c>
      <c r="S2009">
        <v>2.7041469999999999</v>
      </c>
      <c r="T2009">
        <v>-0.24208759999999999</v>
      </c>
      <c r="U2009">
        <v>-1.5900879999999999</v>
      </c>
      <c r="V2009">
        <v>0.1623126</v>
      </c>
      <c r="W2009">
        <v>9.1047699999999995E-2</v>
      </c>
      <c r="X2009">
        <v>0.98252989999999996</v>
      </c>
      <c r="Y2009">
        <v>0.4124524</v>
      </c>
      <c r="Z2009">
        <v>-8.4314500000000001E-3</v>
      </c>
      <c r="AA2009">
        <v>0.91094010000000003</v>
      </c>
      <c r="AB2009">
        <v>16</v>
      </c>
      <c r="AC2009">
        <v>12.319899999999899</v>
      </c>
      <c r="AD2009">
        <v>-1.110088462957</v>
      </c>
      <c r="AE2009">
        <v>-7.2819000000000003</v>
      </c>
      <c r="AF2009">
        <v>5.9094348698811903</v>
      </c>
      <c r="AG2009">
        <v>-1.110088462957</v>
      </c>
      <c r="AH2009">
        <v>12.9399403795284</v>
      </c>
      <c r="AI2009">
        <v>94.462055048114905</v>
      </c>
      <c r="AJ2009">
        <v>65.454684284749504</v>
      </c>
      <c r="AK2009">
        <v>14.268699096368501</v>
      </c>
      <c r="AL2009">
        <v>84.776116819713494</v>
      </c>
      <c r="AM2009">
        <v>80.619535849280297</v>
      </c>
      <c r="AN2009">
        <v>1.0000000340940201</v>
      </c>
    </row>
    <row r="2010" spans="1:40" x14ac:dyDescent="0.25">
      <c r="A2010" t="str">
        <f>"20190312150703889"</f>
        <v>20190312150703889</v>
      </c>
      <c r="B2010" t="str">
        <f>"1552374423882206"</f>
        <v>1552374423882206</v>
      </c>
      <c r="C2010" t="s">
        <v>40</v>
      </c>
      <c r="D2010">
        <v>4.3437919999999997</v>
      </c>
      <c r="E2010">
        <v>0.60035090000000002</v>
      </c>
      <c r="F2010" t="s">
        <v>49</v>
      </c>
      <c r="G2010">
        <v>-199.00819999999999</v>
      </c>
      <c r="H2010" s="1">
        <v>-6.4313429999999999E-6</v>
      </c>
      <c r="I2010">
        <v>358.815</v>
      </c>
      <c r="J2010">
        <v>-211.3486</v>
      </c>
      <c r="K2010">
        <v>1.11009</v>
      </c>
      <c r="L2010">
        <v>366.1345</v>
      </c>
      <c r="M2010">
        <v>0.99427650000000001</v>
      </c>
      <c r="N2010">
        <v>0</v>
      </c>
      <c r="O2010">
        <v>-0.1060117</v>
      </c>
      <c r="P2010">
        <v>0.96072060000000004</v>
      </c>
      <c r="Q2010">
        <v>7.8361410000000006E-2</v>
      </c>
      <c r="R2010">
        <v>-0.2662254</v>
      </c>
      <c r="S2010">
        <v>2.7018430000000002</v>
      </c>
      <c r="T2010">
        <v>-0.24145810000000001</v>
      </c>
      <c r="U2010">
        <v>-1.594147</v>
      </c>
      <c r="V2010">
        <v>0.1630317</v>
      </c>
      <c r="W2010">
        <v>9.1115600000000005E-2</v>
      </c>
      <c r="X2010">
        <v>0.98240450000000001</v>
      </c>
      <c r="Y2010">
        <v>0.4130916</v>
      </c>
      <c r="Z2010">
        <v>-8.3755930000000006E-3</v>
      </c>
      <c r="AA2010">
        <v>0.91065099999999999</v>
      </c>
      <c r="AB2010">
        <v>16</v>
      </c>
      <c r="AC2010">
        <v>12.340400000000001</v>
      </c>
      <c r="AD2010">
        <v>-1.110096431343</v>
      </c>
      <c r="AE2010">
        <v>-7.3194999999999997</v>
      </c>
      <c r="AF2010">
        <v>5.9343805721513503</v>
      </c>
      <c r="AG2010">
        <v>-1.110096431343</v>
      </c>
      <c r="AH2010">
        <v>12.969233077698799</v>
      </c>
      <c r="AI2010">
        <v>94.450554052402097</v>
      </c>
      <c r="AJ2010">
        <v>65.412411350049197</v>
      </c>
      <c r="AK2010">
        <v>14.3056000742955</v>
      </c>
      <c r="AL2010">
        <v>84.772209991716807</v>
      </c>
      <c r="AM2010">
        <v>80.577539650982004</v>
      </c>
      <c r="AN2010">
        <v>0.99999999469424905</v>
      </c>
    </row>
    <row r="2011" spans="1:40" x14ac:dyDescent="0.25">
      <c r="A2011" t="str">
        <f>"20190312150703899"</f>
        <v>20190312150703899</v>
      </c>
      <c r="B2011" t="str">
        <f>"1552374423891966"</f>
        <v>1552374423891966</v>
      </c>
      <c r="C2011" t="s">
        <v>40</v>
      </c>
      <c r="D2011">
        <v>4.4871470000000002</v>
      </c>
      <c r="E2011">
        <v>0.59964479999999998</v>
      </c>
      <c r="F2011" t="s">
        <v>49</v>
      </c>
      <c r="G2011">
        <v>-199.45070000000001</v>
      </c>
      <c r="H2011" s="1">
        <v>-6.5973310000000001E-6</v>
      </c>
      <c r="I2011">
        <v>359.1044</v>
      </c>
      <c r="J2011">
        <v>-211.26859999999999</v>
      </c>
      <c r="K2011">
        <v>1.110096</v>
      </c>
      <c r="L2011">
        <v>366.12509999999997</v>
      </c>
      <c r="M2011">
        <v>0.99419360000000001</v>
      </c>
      <c r="N2011">
        <v>0</v>
      </c>
      <c r="O2011">
        <v>-0.1067871</v>
      </c>
      <c r="P2011">
        <v>0.96030040000000005</v>
      </c>
      <c r="Q2011">
        <v>7.8313199999999999E-2</v>
      </c>
      <c r="R2011">
        <v>-0.2677505</v>
      </c>
      <c r="S2011">
        <v>2.7009889999999999</v>
      </c>
      <c r="T2011">
        <v>-0.25200620000000001</v>
      </c>
      <c r="U2011">
        <v>-1.595917</v>
      </c>
      <c r="V2011">
        <v>0.16382439999999901</v>
      </c>
      <c r="W2011">
        <v>9.1065729999999998E-2</v>
      </c>
      <c r="X2011">
        <v>0.98227730000000002</v>
      </c>
      <c r="Y2011">
        <v>0.41287370000000001</v>
      </c>
      <c r="Z2011">
        <v>-8.6663590000000002E-3</v>
      </c>
      <c r="AA2011">
        <v>0.91074710000000003</v>
      </c>
      <c r="AB2011">
        <v>16</v>
      </c>
      <c r="AC2011">
        <v>11.8178999999999</v>
      </c>
      <c r="AD2011">
        <v>-1.1101025973309999</v>
      </c>
      <c r="AE2011">
        <v>-7.0206999999999704</v>
      </c>
      <c r="AF2011">
        <v>5.6813845621491303</v>
      </c>
      <c r="AG2011">
        <v>-1.1101025973309999</v>
      </c>
      <c r="AH2011">
        <v>12.4191024673864</v>
      </c>
      <c r="AI2011">
        <v>94.6470604324698</v>
      </c>
      <c r="AJ2011">
        <v>65.4172589497595</v>
      </c>
      <c r="AK2011">
        <v>13.701991257297999</v>
      </c>
      <c r="AL2011">
        <v>84.775079538435094</v>
      </c>
      <c r="AM2011">
        <v>80.531348996168106</v>
      </c>
      <c r="AN2011">
        <v>1.00000004765554</v>
      </c>
    </row>
    <row r="2012" spans="1:40" x14ac:dyDescent="0.25">
      <c r="A2012" t="str">
        <f>"20190312150703911"</f>
        <v>20190312150703911</v>
      </c>
      <c r="B2012" t="str">
        <f>"1552374423901726"</f>
        <v>1552374423901726</v>
      </c>
      <c r="C2012" t="s">
        <v>40</v>
      </c>
      <c r="D2012">
        <v>4.2761820000000004</v>
      </c>
      <c r="E2012">
        <v>0.59897029999999996</v>
      </c>
      <c r="F2012" t="s">
        <v>49</v>
      </c>
      <c r="G2012">
        <v>-198.7972</v>
      </c>
      <c r="H2012" s="1">
        <v>-6.38007899999999E-6</v>
      </c>
      <c r="I2012">
        <v>358.76029999999997</v>
      </c>
      <c r="J2012">
        <v>-211.18770000000001</v>
      </c>
      <c r="K2012">
        <v>1.1101019999999999</v>
      </c>
      <c r="L2012">
        <v>366.11540000000002</v>
      </c>
      <c r="M2012">
        <v>0.99410900000000002</v>
      </c>
      <c r="N2012">
        <v>0</v>
      </c>
      <c r="O2012">
        <v>-0.10757029999999999</v>
      </c>
      <c r="P2012">
        <v>0.9599512</v>
      </c>
      <c r="Q2012">
        <v>7.8230750000000002E-2</v>
      </c>
      <c r="R2012">
        <v>-0.26902490000000001</v>
      </c>
      <c r="S2012">
        <v>2.6992029999999998</v>
      </c>
      <c r="T2012">
        <v>-0.2402619</v>
      </c>
      <c r="U2012">
        <v>-1.5939639999999999</v>
      </c>
      <c r="V2012">
        <v>0.16435279999999899</v>
      </c>
      <c r="W2012">
        <v>9.0981690000000004E-2</v>
      </c>
      <c r="X2012">
        <v>0.98219670000000003</v>
      </c>
      <c r="Y2012">
        <v>0.41202329999999998</v>
      </c>
      <c r="Z2012">
        <v>-8.171668E-3</v>
      </c>
      <c r="AA2012">
        <v>0.91113670000000002</v>
      </c>
      <c r="AB2012">
        <v>16</v>
      </c>
      <c r="AC2012">
        <v>12.390499999999999</v>
      </c>
      <c r="AD2012">
        <v>-1.1101083800789999</v>
      </c>
      <c r="AE2012">
        <v>-7.3551000000000499</v>
      </c>
      <c r="AF2012">
        <v>5.9441656945028702</v>
      </c>
      <c r="AG2012">
        <v>-1.1101083800789999</v>
      </c>
      <c r="AH2012">
        <v>13.032496710956201</v>
      </c>
      <c r="AI2012">
        <v>94.4315356838338</v>
      </c>
      <c r="AJ2012">
        <v>65.482111165321001</v>
      </c>
      <c r="AK2012">
        <v>14.3670253337394</v>
      </c>
      <c r="AL2012">
        <v>84.779914153574794</v>
      </c>
      <c r="AM2012">
        <v>80.500599140662899</v>
      </c>
      <c r="AN2012">
        <v>0.99999993413698995</v>
      </c>
    </row>
    <row r="2013" spans="1:40" x14ac:dyDescent="0.25">
      <c r="A2013" t="str">
        <f>"20190312150703922"</f>
        <v>20190312150703922</v>
      </c>
      <c r="B2013" t="str">
        <f>"1552374423911995"</f>
        <v>1552374423911995</v>
      </c>
      <c r="C2013" t="s">
        <v>40</v>
      </c>
      <c r="D2013">
        <v>4.2590130000000004</v>
      </c>
      <c r="E2013">
        <v>0.59837010000000002</v>
      </c>
      <c r="F2013" t="s">
        <v>49</v>
      </c>
      <c r="G2013">
        <v>-198.0975</v>
      </c>
      <c r="H2013" s="1">
        <v>-6.1461049999999998E-6</v>
      </c>
      <c r="I2013">
        <v>358.38780000000003</v>
      </c>
      <c r="J2013">
        <v>-211.10509999999999</v>
      </c>
      <c r="K2013">
        <v>1.110107</v>
      </c>
      <c r="L2013">
        <v>366.10550000000001</v>
      </c>
      <c r="M2013">
        <v>0.99402199999999996</v>
      </c>
      <c r="N2013">
        <v>0</v>
      </c>
      <c r="O2013">
        <v>-0.1083711</v>
      </c>
      <c r="P2013">
        <v>0.95958319999999997</v>
      </c>
      <c r="Q2013">
        <v>7.8407909999999997E-2</v>
      </c>
      <c r="R2013">
        <v>-0.27028200000000002</v>
      </c>
      <c r="S2013">
        <v>2.6975250000000002</v>
      </c>
      <c r="T2013">
        <v>-0.2287623</v>
      </c>
      <c r="U2013">
        <v>-1.592438</v>
      </c>
      <c r="V2013">
        <v>0.1648501</v>
      </c>
      <c r="W2013">
        <v>9.1157379999999996E-2</v>
      </c>
      <c r="X2013">
        <v>0.98209709999999995</v>
      </c>
      <c r="Y2013">
        <v>0.41124080000000002</v>
      </c>
      <c r="Z2013">
        <v>-7.6946339999999997E-3</v>
      </c>
      <c r="AA2013">
        <v>0.91149429999999998</v>
      </c>
      <c r="AB2013">
        <v>16</v>
      </c>
      <c r="AC2013">
        <v>13.007599999999901</v>
      </c>
      <c r="AD2013">
        <v>-1.110113146105</v>
      </c>
      <c r="AE2013">
        <v>-7.7176999999999696</v>
      </c>
      <c r="AF2013">
        <v>6.2289110538529497</v>
      </c>
      <c r="AG2013">
        <v>-1.110113146105</v>
      </c>
      <c r="AH2013">
        <v>13.6936587500185</v>
      </c>
      <c r="AI2013">
        <v>94.220327753930903</v>
      </c>
      <c r="AJ2013">
        <v>65.540370905032603</v>
      </c>
      <c r="AK2013">
        <v>15.0846933702984</v>
      </c>
      <c r="AL2013">
        <v>84.7698060335305</v>
      </c>
      <c r="AM2013">
        <v>80.471433421975902</v>
      </c>
      <c r="AN2013">
        <v>0.99999996861344098</v>
      </c>
    </row>
    <row r="2014" spans="1:40" x14ac:dyDescent="0.25">
      <c r="A2014" t="str">
        <f>"20190312150703935"</f>
        <v>20190312150703935</v>
      </c>
      <c r="B2014" t="str">
        <f>"1552374423921755"</f>
        <v>1552374423921755</v>
      </c>
      <c r="C2014" t="s">
        <v>40</v>
      </c>
      <c r="D2014">
        <v>4.2929629999999896</v>
      </c>
      <c r="E2014">
        <v>0.5978599</v>
      </c>
      <c r="F2014" t="s">
        <v>49</v>
      </c>
      <c r="G2014">
        <v>-197.37440000000001</v>
      </c>
      <c r="H2014" s="1">
        <v>-5.9049729999999997E-6</v>
      </c>
      <c r="I2014">
        <v>358.00490000000002</v>
      </c>
      <c r="J2014">
        <v>-211.01759999999999</v>
      </c>
      <c r="K2014">
        <v>1.1101080000000001</v>
      </c>
      <c r="L2014">
        <v>366.09500000000003</v>
      </c>
      <c r="M2014">
        <v>0.99392840000000005</v>
      </c>
      <c r="N2014">
        <v>0</v>
      </c>
      <c r="O2014">
        <v>-0.10922709999999999</v>
      </c>
      <c r="P2014">
        <v>0.95917799999999998</v>
      </c>
      <c r="Q2014">
        <v>7.8692570000000003E-2</v>
      </c>
      <c r="R2014">
        <v>-0.27163470000000001</v>
      </c>
      <c r="S2014">
        <v>2.6961520000000001</v>
      </c>
      <c r="T2014">
        <v>-0.21798100000000001</v>
      </c>
      <c r="U2014">
        <v>-1.5906370000000001</v>
      </c>
      <c r="V2014">
        <v>0.16539289999999901</v>
      </c>
      <c r="W2014">
        <v>9.1438019999999995E-2</v>
      </c>
      <c r="X2014">
        <v>0.98197979999999996</v>
      </c>
      <c r="Y2014">
        <v>0.41028429999999999</v>
      </c>
      <c r="Z2014">
        <v>-7.2387959999999996E-3</v>
      </c>
      <c r="AA2014">
        <v>0.91192899999999999</v>
      </c>
      <c r="AB2014">
        <v>16</v>
      </c>
      <c r="AC2014">
        <v>13.643199999999901</v>
      </c>
      <c r="AD2014">
        <v>-1.110113904973</v>
      </c>
      <c r="AE2014">
        <v>-8.0900999999999996</v>
      </c>
      <c r="AF2014">
        <v>6.5194145822975997</v>
      </c>
      <c r="AG2014">
        <v>-1.110113904973</v>
      </c>
      <c r="AH2014">
        <v>14.3748789152505</v>
      </c>
      <c r="AI2014">
        <v>94.023036606499403</v>
      </c>
      <c r="AJ2014">
        <v>65.604362549763906</v>
      </c>
      <c r="AK2014">
        <v>15.823155918021</v>
      </c>
      <c r="AL2014">
        <v>84.753659408019402</v>
      </c>
      <c r="AM2014">
        <v>80.4395160899454</v>
      </c>
      <c r="AN2014">
        <v>1.0000000252399801</v>
      </c>
    </row>
    <row r="2015" spans="1:40" x14ac:dyDescent="0.25">
      <c r="A2015" t="str">
        <f>"20190312150703947"</f>
        <v>20190312150703947</v>
      </c>
      <c r="B2015" t="str">
        <f>"1552374423942250"</f>
        <v>1552374423942250</v>
      </c>
      <c r="C2015" t="s">
        <v>40</v>
      </c>
      <c r="D2015">
        <v>4.2649710000000001</v>
      </c>
      <c r="E2015">
        <v>0.59718439999999995</v>
      </c>
      <c r="F2015" t="s">
        <v>49</v>
      </c>
      <c r="G2015">
        <v>-196.5865</v>
      </c>
      <c r="H2015" s="1">
        <v>-5.6386840000000003E-6</v>
      </c>
      <c r="I2015">
        <v>357.577</v>
      </c>
      <c r="J2015">
        <v>-210.9315</v>
      </c>
      <c r="K2015">
        <v>1.1101099999999999</v>
      </c>
      <c r="L2015">
        <v>366.08460000000002</v>
      </c>
      <c r="M2015">
        <v>0.99383500000000002</v>
      </c>
      <c r="N2015">
        <v>0</v>
      </c>
      <c r="O2015">
        <v>-0.1100735</v>
      </c>
      <c r="P2015">
        <v>0.95878180000000002</v>
      </c>
      <c r="Q2015">
        <v>7.8755320000000004E-2</v>
      </c>
      <c r="R2015">
        <v>-0.27301110000000001</v>
      </c>
      <c r="S2015">
        <v>2.6943359999999998</v>
      </c>
      <c r="T2015">
        <v>-0.20726169999999999</v>
      </c>
      <c r="U2015">
        <v>-1.5903320000000001</v>
      </c>
      <c r="V2015">
        <v>0.16596810000000001</v>
      </c>
      <c r="W2015">
        <v>9.1496419999999995E-2</v>
      </c>
      <c r="X2015">
        <v>0.98187729999999995</v>
      </c>
      <c r="Y2015">
        <v>0.4097711</v>
      </c>
      <c r="Z2015">
        <v>-6.810605E-3</v>
      </c>
      <c r="AA2015">
        <v>0.91216299999999995</v>
      </c>
      <c r="AB2015">
        <v>16</v>
      </c>
      <c r="AC2015">
        <v>14.345000000000001</v>
      </c>
      <c r="AD2015">
        <v>-1.1101156386840001</v>
      </c>
      <c r="AE2015">
        <v>-8.5076000000000196</v>
      </c>
      <c r="AF2015">
        <v>6.8464183640568699</v>
      </c>
      <c r="AG2015">
        <v>-1.1101156386840001</v>
      </c>
      <c r="AH2015">
        <v>15.127339759976699</v>
      </c>
      <c r="AI2015">
        <v>93.824889526712099</v>
      </c>
      <c r="AJ2015">
        <v>65.649170326300606</v>
      </c>
      <c r="AK2015">
        <v>16.641580735035902</v>
      </c>
      <c r="AL2015">
        <v>84.7502992145169</v>
      </c>
      <c r="AM2015">
        <v>80.405900884819502</v>
      </c>
      <c r="AN2015">
        <v>1.0000000186728499</v>
      </c>
    </row>
    <row r="2016" spans="1:40" x14ac:dyDescent="0.25">
      <c r="A2016" t="str">
        <f>"20190312150703958"</f>
        <v>20190312150703958</v>
      </c>
      <c r="B2016" t="str">
        <f>"1552374423952012"</f>
        <v>1552374423952012</v>
      </c>
      <c r="C2016" t="s">
        <v>40</v>
      </c>
      <c r="D2016">
        <v>4.2662750000000003</v>
      </c>
      <c r="E2016">
        <v>0.59695849999999995</v>
      </c>
      <c r="F2016" t="s">
        <v>49</v>
      </c>
      <c r="G2016">
        <v>-196.23400000000001</v>
      </c>
      <c r="H2016" s="1">
        <v>-5.5288899999999998E-6</v>
      </c>
      <c r="I2016">
        <v>357.4135</v>
      </c>
      <c r="J2016">
        <v>-210.84440000000001</v>
      </c>
      <c r="K2016">
        <v>1.1101030000000001</v>
      </c>
      <c r="L2016">
        <v>366.07389999999998</v>
      </c>
      <c r="M2016">
        <v>0.99373860000000003</v>
      </c>
      <c r="N2016">
        <v>0</v>
      </c>
      <c r="O2016">
        <v>-0.1109411</v>
      </c>
      <c r="P2016">
        <v>0.95840309999999995</v>
      </c>
      <c r="Q2016">
        <v>7.8648800000000005E-2</v>
      </c>
      <c r="R2016">
        <v>-0.274368099999999</v>
      </c>
      <c r="S2016">
        <v>2.6932369999999999</v>
      </c>
      <c r="T2016">
        <v>-0.2034231</v>
      </c>
      <c r="U2016">
        <v>-1.5889279999999999</v>
      </c>
      <c r="V2016">
        <v>0.16650200000000001</v>
      </c>
      <c r="W2016">
        <v>9.1384350000000003E-2</v>
      </c>
      <c r="X2016">
        <v>0.98179729999999998</v>
      </c>
      <c r="Y2016">
        <v>0.40881200000000001</v>
      </c>
      <c r="Z2016">
        <v>-6.5950080000000003E-3</v>
      </c>
      <c r="AA2016">
        <v>0.91259480000000004</v>
      </c>
      <c r="AB2016">
        <v>16</v>
      </c>
      <c r="AC2016">
        <v>14.610399999999901</v>
      </c>
      <c r="AD2016">
        <v>-1.1101085288899999</v>
      </c>
      <c r="AE2016">
        <v>-8.6603999999999797</v>
      </c>
      <c r="AF2016">
        <v>6.9561764516397</v>
      </c>
      <c r="AG2016">
        <v>-1.1101085288899999</v>
      </c>
      <c r="AH2016">
        <v>15.4152180640836</v>
      </c>
      <c r="AI2016">
        <v>93.755513395358506</v>
      </c>
      <c r="AJ2016">
        <v>65.7125404078608</v>
      </c>
      <c r="AK2016">
        <v>16.948441808482201</v>
      </c>
      <c r="AL2016">
        <v>84.756747146746306</v>
      </c>
      <c r="AM2016">
        <v>80.374844629947702</v>
      </c>
      <c r="AN2016">
        <v>0.99999997685810504</v>
      </c>
    </row>
    <row r="2017" spans="1:40" x14ac:dyDescent="0.25">
      <c r="A2017" t="str">
        <f>"20190312150703971"</f>
        <v>20190312150703971</v>
      </c>
      <c r="B2017" t="str">
        <f>"1552374423961770"</f>
        <v>1552374423961770</v>
      </c>
      <c r="C2017" t="s">
        <v>40</v>
      </c>
      <c r="D2017">
        <v>4.2644000000000002</v>
      </c>
      <c r="E2017">
        <v>0.59683759999999997</v>
      </c>
      <c r="F2017" t="s">
        <v>49</v>
      </c>
      <c r="G2017">
        <v>-196.398</v>
      </c>
      <c r="H2017" s="1">
        <v>-5.5946450000000004E-6</v>
      </c>
      <c r="I2017">
        <v>357.53339999999997</v>
      </c>
      <c r="J2017">
        <v>-210.75989999999999</v>
      </c>
      <c r="K2017">
        <v>1.110096</v>
      </c>
      <c r="L2017">
        <v>366.0634</v>
      </c>
      <c r="M2017">
        <v>0.9936429</v>
      </c>
      <c r="N2017">
        <v>0</v>
      </c>
      <c r="O2017">
        <v>-0.1117944</v>
      </c>
      <c r="P2017">
        <v>0.95796420000000004</v>
      </c>
      <c r="Q2017">
        <v>7.8656210000000004E-2</v>
      </c>
      <c r="R2017">
        <v>-0.27589469999999999</v>
      </c>
      <c r="S2017">
        <v>2.6916500000000001</v>
      </c>
      <c r="T2017">
        <v>-0.20683480000000001</v>
      </c>
      <c r="U2017">
        <v>-1.591248</v>
      </c>
      <c r="V2017">
        <v>0.16722590000000001</v>
      </c>
      <c r="W2017">
        <v>9.1383889999999995E-2</v>
      </c>
      <c r="X2017">
        <v>0.9816743</v>
      </c>
      <c r="Y2017">
        <v>0.40882760000000001</v>
      </c>
      <c r="Z2017">
        <v>-6.648635E-3</v>
      </c>
      <c r="AA2017">
        <v>0.91258740000000005</v>
      </c>
      <c r="AB2017">
        <v>16</v>
      </c>
      <c r="AC2017">
        <v>14.361899999999901</v>
      </c>
      <c r="AD2017">
        <v>-1.1101015946449999</v>
      </c>
      <c r="AE2017">
        <v>-8.5300000000000296</v>
      </c>
      <c r="AF2017">
        <v>6.8405861848412499</v>
      </c>
      <c r="AG2017">
        <v>-1.1101015946449999</v>
      </c>
      <c r="AH2017">
        <v>15.158596022790499</v>
      </c>
      <c r="AI2017">
        <v>93.818860753555995</v>
      </c>
      <c r="AJ2017">
        <v>65.711876500787398</v>
      </c>
      <c r="AK2017">
        <v>16.667602655596099</v>
      </c>
      <c r="AL2017">
        <v>84.756773599213403</v>
      </c>
      <c r="AM2017">
        <v>80.332596976436406</v>
      </c>
      <c r="AN2017">
        <v>0.99999997413141495</v>
      </c>
    </row>
    <row r="2018" spans="1:40" x14ac:dyDescent="0.25">
      <c r="A2018" t="str">
        <f>"20190312150703983"</f>
        <v>20190312150703983</v>
      </c>
      <c r="B2018" t="str">
        <f>"1552374423972507"</f>
        <v>1552374423972507</v>
      </c>
      <c r="C2018" t="s">
        <v>40</v>
      </c>
      <c r="D2018">
        <v>4.2382</v>
      </c>
      <c r="E2018">
        <v>0.59672860000000005</v>
      </c>
      <c r="F2018" t="s">
        <v>49</v>
      </c>
      <c r="G2018">
        <v>-196.51159999999999</v>
      </c>
      <c r="H2018" s="1">
        <v>-5.6387849999999999E-6</v>
      </c>
      <c r="I2018">
        <v>357.6123</v>
      </c>
      <c r="J2018">
        <v>-210.6686</v>
      </c>
      <c r="K2018">
        <v>1.110087</v>
      </c>
      <c r="L2018">
        <v>366.0521</v>
      </c>
      <c r="M2018">
        <v>0.99353769999999997</v>
      </c>
      <c r="N2018">
        <v>0</v>
      </c>
      <c r="O2018">
        <v>-0.1127259</v>
      </c>
      <c r="P2018">
        <v>0.95748860000000002</v>
      </c>
      <c r="Q2018">
        <v>7.8501020000000005E-2</v>
      </c>
      <c r="R2018">
        <v>-0.27758549999999999</v>
      </c>
      <c r="S2018">
        <v>2.6894230000000001</v>
      </c>
      <c r="T2018">
        <v>-0.20953550000000001</v>
      </c>
      <c r="U2018">
        <v>-1.5951839999999999</v>
      </c>
      <c r="V2018">
        <v>0.16804059999999901</v>
      </c>
      <c r="W2018">
        <v>9.1220060000000006E-2</v>
      </c>
      <c r="X2018">
        <v>0.98155049999999999</v>
      </c>
      <c r="Y2018">
        <v>0.40927629999999998</v>
      </c>
      <c r="Z2018">
        <v>-6.6883159999999997E-3</v>
      </c>
      <c r="AA2018">
        <v>0.91238600000000003</v>
      </c>
      <c r="AB2018">
        <v>16</v>
      </c>
      <c r="AC2018">
        <v>14.157</v>
      </c>
      <c r="AD2018">
        <v>-1.1100926387850001</v>
      </c>
      <c r="AE2018">
        <v>-8.4397999999999893</v>
      </c>
      <c r="AF2018">
        <v>6.7593327214730303</v>
      </c>
      <c r="AG2018">
        <v>-1.1100926387850001</v>
      </c>
      <c r="AH2018">
        <v>14.9503964008537</v>
      </c>
      <c r="AI2018">
        <v>93.870620540309801</v>
      </c>
      <c r="AJ2018">
        <v>65.671451625873999</v>
      </c>
      <c r="AK2018">
        <v>16.4449152338624</v>
      </c>
      <c r="AL2018">
        <v>84.766200205741995</v>
      </c>
      <c r="AM2018">
        <v>80.285192185534001</v>
      </c>
      <c r="AN2018">
        <v>1.0000000633224999</v>
      </c>
    </row>
    <row r="2019" spans="1:40" x14ac:dyDescent="0.25">
      <c r="A2019" t="str">
        <f>"20190312150703995"</f>
        <v>20190312150703995</v>
      </c>
      <c r="B2019" t="str">
        <f>"1552374423992027"</f>
        <v>1552374423992027</v>
      </c>
      <c r="C2019" t="s">
        <v>40</v>
      </c>
      <c r="D2019">
        <v>4.293901</v>
      </c>
      <c r="E2019">
        <v>0.59610779999999997</v>
      </c>
      <c r="F2019" t="s">
        <v>49</v>
      </c>
      <c r="G2019">
        <v>-196.59280000000001</v>
      </c>
      <c r="H2019" s="1">
        <v>-5.6721369999999998E-6</v>
      </c>
      <c r="I2019">
        <v>357.67399999999998</v>
      </c>
      <c r="J2019">
        <v>-210.58109999999999</v>
      </c>
      <c r="K2019">
        <v>1.1100680000000001</v>
      </c>
      <c r="L2019">
        <v>366.04109999999997</v>
      </c>
      <c r="M2019">
        <v>0.99343320000000002</v>
      </c>
      <c r="N2019">
        <v>0</v>
      </c>
      <c r="O2019">
        <v>-0.1136431</v>
      </c>
      <c r="P2019">
        <v>0.95695759999999996</v>
      </c>
      <c r="Q2019">
        <v>7.8638079999999999E-2</v>
      </c>
      <c r="R2019">
        <v>-0.27937149999999999</v>
      </c>
      <c r="S2019">
        <v>2.6869049999999999</v>
      </c>
      <c r="T2019">
        <v>-0.2119036</v>
      </c>
      <c r="U2019">
        <v>-1.5992740000000001</v>
      </c>
      <c r="V2019">
        <v>0.16897219999999999</v>
      </c>
      <c r="W2019">
        <v>9.1345910000000002E-2</v>
      </c>
      <c r="X2019">
        <v>0.9813788</v>
      </c>
      <c r="Y2019">
        <v>0.40982069999999998</v>
      </c>
      <c r="Z2019">
        <v>-6.7212879999999997E-3</v>
      </c>
      <c r="AA2019">
        <v>0.91214130000000004</v>
      </c>
      <c r="AB2019">
        <v>16</v>
      </c>
      <c r="AC2019">
        <v>13.988299999999899</v>
      </c>
      <c r="AD2019">
        <v>-1.1100736721369999</v>
      </c>
      <c r="AE2019">
        <v>-8.3670999999999296</v>
      </c>
      <c r="AF2019">
        <v>6.6920333310418298</v>
      </c>
      <c r="AG2019">
        <v>-1.1100736721369999</v>
      </c>
      <c r="AH2019">
        <v>14.780057607024499</v>
      </c>
      <c r="AI2019">
        <v>93.914061243800106</v>
      </c>
      <c r="AJ2019">
        <v>65.640194380366196</v>
      </c>
      <c r="AK2019">
        <v>16.2624007000292</v>
      </c>
      <c r="AL2019">
        <v>84.7589590442293</v>
      </c>
      <c r="AM2019">
        <v>80.230692957613698</v>
      </c>
      <c r="AN2019">
        <v>1.0000000143679999</v>
      </c>
    </row>
    <row r="2020" spans="1:40" x14ac:dyDescent="0.25">
      <c r="A2020" t="str">
        <f>"20190312150704007"</f>
        <v>20190312150704007</v>
      </c>
      <c r="B2020" t="str">
        <f>"1552374424001787"</f>
        <v>1552374424001787</v>
      </c>
      <c r="C2020" t="s">
        <v>40</v>
      </c>
      <c r="D2020">
        <v>4.2425280000000001</v>
      </c>
      <c r="E2020">
        <v>0.59576709999999899</v>
      </c>
      <c r="F2020" t="s">
        <v>49</v>
      </c>
      <c r="G2020">
        <v>-196.61709999999999</v>
      </c>
      <c r="H2020" s="1">
        <v>-5.6917729999999998E-6</v>
      </c>
      <c r="I2020">
        <v>357.72129999999999</v>
      </c>
      <c r="J2020">
        <v>-210.5</v>
      </c>
      <c r="K2020">
        <v>1.110052</v>
      </c>
      <c r="L2020">
        <v>366.0308</v>
      </c>
      <c r="M2020">
        <v>0.9933343</v>
      </c>
      <c r="N2020">
        <v>0</v>
      </c>
      <c r="O2020">
        <v>-0.11450399999999999</v>
      </c>
      <c r="P2020">
        <v>0.95648929999999999</v>
      </c>
      <c r="Q2020">
        <v>7.8586260000000005E-2</v>
      </c>
      <c r="R2020">
        <v>-0.2809855</v>
      </c>
      <c r="S2020">
        <v>2.6853790000000002</v>
      </c>
      <c r="T2020">
        <v>-0.2134749</v>
      </c>
      <c r="U2020">
        <v>-1.599945</v>
      </c>
      <c r="V2020">
        <v>0.16978099999999999</v>
      </c>
      <c r="W2020">
        <v>9.1283690000000001E-2</v>
      </c>
      <c r="X2020">
        <v>0.98124500000000003</v>
      </c>
      <c r="Y2020">
        <v>0.40941889999999997</v>
      </c>
      <c r="Z2020">
        <v>-6.6973140000000002E-3</v>
      </c>
      <c r="AA2020">
        <v>0.91232190000000002</v>
      </c>
      <c r="AB2020">
        <v>16</v>
      </c>
      <c r="AC2020">
        <v>13.882899999999999</v>
      </c>
      <c r="AD2020">
        <v>-1.1100576917730001</v>
      </c>
      <c r="AE2020">
        <v>-8.3095000000000105</v>
      </c>
      <c r="AF2020">
        <v>6.6338238389453297</v>
      </c>
      <c r="AG2020">
        <v>-1.1100576917730001</v>
      </c>
      <c r="AH2020">
        <v>14.674056008437001</v>
      </c>
      <c r="AI2020">
        <v>93.943217477263701</v>
      </c>
      <c r="AJ2020">
        <v>65.673301516314794</v>
      </c>
      <c r="AK2020">
        <v>16.142111588759601</v>
      </c>
      <c r="AL2020">
        <v>84.762539000089902</v>
      </c>
      <c r="AM2020">
        <v>80.183526385564093</v>
      </c>
      <c r="AN2020">
        <v>1.0000000250229999</v>
      </c>
    </row>
    <row r="2021" spans="1:40" x14ac:dyDescent="0.25">
      <c r="A2021" t="str">
        <f>"20190312150704017"</f>
        <v>20190312150704017</v>
      </c>
      <c r="B2021" t="str">
        <f>"1552374424012054"</f>
        <v>1552374424012054</v>
      </c>
      <c r="C2021" t="s">
        <v>40</v>
      </c>
      <c r="D2021">
        <v>4.2236289999999999</v>
      </c>
      <c r="E2021">
        <v>0.59562340000000003</v>
      </c>
      <c r="F2021" t="s">
        <v>49</v>
      </c>
      <c r="G2021">
        <v>-196.40770000000001</v>
      </c>
      <c r="H2021" s="1">
        <v>-5.6252139999999999E-6</v>
      </c>
      <c r="I2021">
        <v>357.62020000000001</v>
      </c>
      <c r="J2021">
        <v>-210.41839999999999</v>
      </c>
      <c r="K2021">
        <v>1.1100319999999999</v>
      </c>
      <c r="L2021">
        <v>366.0204</v>
      </c>
      <c r="M2021">
        <v>0.99323110000000003</v>
      </c>
      <c r="N2021">
        <v>0</v>
      </c>
      <c r="O2021">
        <v>-0.1153957</v>
      </c>
      <c r="P2021">
        <v>0.95602290000000001</v>
      </c>
      <c r="Q2021">
        <v>7.83885E-2</v>
      </c>
      <c r="R2021">
        <v>-0.2826224</v>
      </c>
      <c r="S2021">
        <v>2.6833800000000001</v>
      </c>
      <c r="T2021">
        <v>-0.21137149999999999</v>
      </c>
      <c r="U2021">
        <v>-1.6015010000000001</v>
      </c>
      <c r="V2021">
        <v>0.1705835</v>
      </c>
      <c r="W2021">
        <v>9.1073799999999996E-2</v>
      </c>
      <c r="X2021">
        <v>0.98112529999999998</v>
      </c>
      <c r="Y2021">
        <v>0.40930420000000001</v>
      </c>
      <c r="Z2021">
        <v>-6.5672409999999997E-3</v>
      </c>
      <c r="AA2021">
        <v>0.91237440000000003</v>
      </c>
      <c r="AB2021">
        <v>16</v>
      </c>
      <c r="AC2021">
        <v>14.0106999999999</v>
      </c>
      <c r="AD2021">
        <v>-1.1100376252139901</v>
      </c>
      <c r="AE2021">
        <v>-8.4001999999999803</v>
      </c>
      <c r="AF2021">
        <v>6.6962382866702796</v>
      </c>
      <c r="AG2021">
        <v>-1.1100376252139901</v>
      </c>
      <c r="AH2021">
        <v>14.818099198000899</v>
      </c>
      <c r="AI2021">
        <v>93.905201859202705</v>
      </c>
      <c r="AJ2021">
        <v>65.681984399013203</v>
      </c>
      <c r="AK2021">
        <v>16.2987071439135</v>
      </c>
      <c r="AL2021">
        <v>84.774615039551705</v>
      </c>
      <c r="AM2021">
        <v>80.136856467696902</v>
      </c>
      <c r="AN2021">
        <v>1.0000000109093801</v>
      </c>
    </row>
    <row r="2022" spans="1:40" x14ac:dyDescent="0.25">
      <c r="A2022" t="str">
        <f>"20190312150704028"</f>
        <v>20190312150704028</v>
      </c>
      <c r="B2022" t="str">
        <f>"1552374424021815"</f>
        <v>1552374424021815</v>
      </c>
      <c r="C2022" t="s">
        <v>40</v>
      </c>
      <c r="D2022">
        <v>4.2189949999999996</v>
      </c>
      <c r="E2022">
        <v>0.5955085</v>
      </c>
      <c r="F2022" t="s">
        <v>49</v>
      </c>
      <c r="G2022">
        <v>-196.41</v>
      </c>
      <c r="H2022" s="1">
        <v>-5.6302199999999996E-6</v>
      </c>
      <c r="I2022">
        <v>357.63409999999999</v>
      </c>
      <c r="J2022">
        <v>-210.3426</v>
      </c>
      <c r="K2022">
        <v>1.110006</v>
      </c>
      <c r="L2022">
        <v>366.01060000000001</v>
      </c>
      <c r="M2022">
        <v>0.99313260000000003</v>
      </c>
      <c r="N2022">
        <v>0</v>
      </c>
      <c r="O2022">
        <v>-0.11624039999999999</v>
      </c>
      <c r="P2022">
        <v>0.95547950000000004</v>
      </c>
      <c r="Q2022">
        <v>7.8364909999999996E-2</v>
      </c>
      <c r="R2022">
        <v>-0.28446050000000001</v>
      </c>
      <c r="S2022">
        <v>2.6809539999999998</v>
      </c>
      <c r="T2022">
        <v>-0.21244099999999999</v>
      </c>
      <c r="U2022">
        <v>-1.6049800000000001</v>
      </c>
      <c r="V2022">
        <v>0.1716415</v>
      </c>
      <c r="W2022">
        <v>9.1036300000000001E-2</v>
      </c>
      <c r="X2022">
        <v>0.98094420000000004</v>
      </c>
      <c r="Y2022">
        <v>0.4097576</v>
      </c>
      <c r="Z2022">
        <v>-6.5597490000000001E-3</v>
      </c>
      <c r="AA2022">
        <v>0.91217090000000001</v>
      </c>
      <c r="AB2022">
        <v>16</v>
      </c>
      <c r="AC2022">
        <v>13.932600000000001</v>
      </c>
      <c r="AD2022">
        <v>-1.11001163022</v>
      </c>
      <c r="AE2022">
        <v>-8.3765000000000196</v>
      </c>
      <c r="AF2022">
        <v>6.6689416476013603</v>
      </c>
      <c r="AG2022">
        <v>-1.11001163022</v>
      </c>
      <c r="AH2022">
        <v>14.74317425838</v>
      </c>
      <c r="AI2022">
        <v>93.924240996589305</v>
      </c>
      <c r="AJ2022">
        <v>65.660812057312498</v>
      </c>
      <c r="AK2022">
        <v>16.219374085682102</v>
      </c>
      <c r="AL2022">
        <v>84.776772369172207</v>
      </c>
      <c r="AM2022">
        <v>80.075099637029894</v>
      </c>
      <c r="AN2022">
        <v>0.99999996797678903</v>
      </c>
    </row>
    <row r="2023" spans="1:40" x14ac:dyDescent="0.25">
      <c r="A2023" t="str">
        <f>"20190312150704040"</f>
        <v>20190312150704040</v>
      </c>
      <c r="B2023" t="str">
        <f>"1552374424032550"</f>
        <v>1552374424032550</v>
      </c>
      <c r="C2023" t="s">
        <v>40</v>
      </c>
      <c r="D2023">
        <v>4.2475849999999999</v>
      </c>
      <c r="E2023">
        <v>0.59538639999999998</v>
      </c>
      <c r="F2023" t="s">
        <v>49</v>
      </c>
      <c r="G2023">
        <v>-196.4109</v>
      </c>
      <c r="H2023" s="1">
        <v>-5.6310040000000001E-6</v>
      </c>
      <c r="I2023">
        <v>357.63600000000002</v>
      </c>
      <c r="J2023">
        <v>-210.2586</v>
      </c>
      <c r="K2023">
        <v>1.1099810000000001</v>
      </c>
      <c r="L2023">
        <v>365.99970000000002</v>
      </c>
      <c r="M2023">
        <v>0.99301989999999996</v>
      </c>
      <c r="N2023">
        <v>0</v>
      </c>
      <c r="O2023">
        <v>-0.117199</v>
      </c>
      <c r="P2023">
        <v>0.95490609999999998</v>
      </c>
      <c r="Q2023">
        <v>7.8360029999999997E-2</v>
      </c>
      <c r="R2023">
        <v>-0.28638140000000001</v>
      </c>
      <c r="S2023">
        <v>2.6780240000000002</v>
      </c>
      <c r="T2023">
        <v>-0.21337249999999999</v>
      </c>
      <c r="U2023">
        <v>-1.609802</v>
      </c>
      <c r="V2023">
        <v>0.17267360000000001</v>
      </c>
      <c r="W2023">
        <v>9.1016830000000007E-2</v>
      </c>
      <c r="X2023">
        <v>0.98076490000000005</v>
      </c>
      <c r="Y2023">
        <v>0.41051840000000001</v>
      </c>
      <c r="Z2023">
        <v>-6.5510380000000003E-3</v>
      </c>
      <c r="AA2023">
        <v>0.91182879999999999</v>
      </c>
      <c r="AB2023">
        <v>16</v>
      </c>
      <c r="AC2023">
        <v>13.8477</v>
      </c>
      <c r="AD2023">
        <v>-1.1099866310040001</v>
      </c>
      <c r="AE2023">
        <v>-8.3637000000000494</v>
      </c>
      <c r="AF2023">
        <v>6.6516572115841797</v>
      </c>
      <c r="AG2023">
        <v>-1.1099866310040001</v>
      </c>
      <c r="AH2023">
        <v>14.6635221206088</v>
      </c>
      <c r="AI2023">
        <v>93.943512444577493</v>
      </c>
      <c r="AJ2023">
        <v>65.600037024846898</v>
      </c>
      <c r="AK2023">
        <v>16.139872829827699</v>
      </c>
      <c r="AL2023">
        <v>84.777892800561403</v>
      </c>
      <c r="AM2023">
        <v>80.014828824973506</v>
      </c>
      <c r="AN2023">
        <v>1.0000000122760999</v>
      </c>
    </row>
    <row r="2024" spans="1:40" x14ac:dyDescent="0.25">
      <c r="A2024" t="str">
        <f>"20190312150704051"</f>
        <v>20190312150704051</v>
      </c>
      <c r="B2024" t="str">
        <f>"1552374424042310"</f>
        <v>1552374424042310</v>
      </c>
      <c r="C2024" t="s">
        <v>40</v>
      </c>
      <c r="D2024">
        <v>4.2432939999999997</v>
      </c>
      <c r="E2024">
        <v>0.59529169999999998</v>
      </c>
      <c r="F2024" t="s">
        <v>49</v>
      </c>
      <c r="G2024">
        <v>-196.3956</v>
      </c>
      <c r="H2024" s="1">
        <v>-5.6277030000000002E-6</v>
      </c>
      <c r="I2024">
        <v>357.63330000000002</v>
      </c>
      <c r="J2024">
        <v>-210.18459999999999</v>
      </c>
      <c r="K2024">
        <v>1.1099570000000001</v>
      </c>
      <c r="L2024">
        <v>365.98989999999998</v>
      </c>
      <c r="M2024">
        <v>0.9929171</v>
      </c>
      <c r="N2024">
        <v>0</v>
      </c>
      <c r="O2024">
        <v>-0.1180662</v>
      </c>
      <c r="P2024">
        <v>0.95436659999999995</v>
      </c>
      <c r="Q2024">
        <v>7.8582669999999993E-2</v>
      </c>
      <c r="R2024">
        <v>-0.28811360000000003</v>
      </c>
      <c r="S2024">
        <v>2.6750949999999998</v>
      </c>
      <c r="T2024">
        <v>-0.2141914</v>
      </c>
      <c r="U2024">
        <v>-1.614441</v>
      </c>
      <c r="V2024">
        <v>0.17360529999999999</v>
      </c>
      <c r="W2024">
        <v>9.1225760000000003E-2</v>
      </c>
      <c r="X2024">
        <v>0.98058100000000004</v>
      </c>
      <c r="Y2024">
        <v>0.4113174</v>
      </c>
      <c r="Z2024">
        <v>-6.5466450000000002E-3</v>
      </c>
      <c r="AA2024">
        <v>0.91146870000000002</v>
      </c>
      <c r="AB2024">
        <v>16</v>
      </c>
      <c r="AC2024">
        <v>13.7889999999999</v>
      </c>
      <c r="AD2024">
        <v>-1.1099626277029999</v>
      </c>
      <c r="AE2024">
        <v>-8.3565999999999505</v>
      </c>
      <c r="AF2024">
        <v>6.6385226709756404</v>
      </c>
      <c r="AG2024">
        <v>-1.1099626277029999</v>
      </c>
      <c r="AH2024">
        <v>14.610019613857601</v>
      </c>
      <c r="AI2024">
        <v>93.956690931535704</v>
      </c>
      <c r="AJ2024">
        <v>65.563830916407099</v>
      </c>
      <c r="AK2024">
        <v>16.085853207252001</v>
      </c>
      <c r="AL2024">
        <v>84.765872017252207</v>
      </c>
      <c r="AM2024">
        <v>79.960200161778602</v>
      </c>
      <c r="AN2024">
        <v>1.00000001851833</v>
      </c>
    </row>
    <row r="2025" spans="1:40" x14ac:dyDescent="0.25">
      <c r="A2025" t="str">
        <f>"20190312150704060"</f>
        <v>20190312150704060</v>
      </c>
      <c r="B2025" t="str">
        <f>"1552374424052071"</f>
        <v>1552374424052071</v>
      </c>
      <c r="C2025" t="s">
        <v>40</v>
      </c>
      <c r="D2025">
        <v>4.2804339999999996</v>
      </c>
      <c r="E2025">
        <v>0.59523870000000001</v>
      </c>
      <c r="F2025" t="s">
        <v>49</v>
      </c>
      <c r="G2025">
        <v>-196.36359999999999</v>
      </c>
      <c r="H2025" s="1">
        <v>-5.6177950000000003E-6</v>
      </c>
      <c r="I2025">
        <v>357.61869999999999</v>
      </c>
      <c r="J2025">
        <v>-210.1088</v>
      </c>
      <c r="K2025">
        <v>1.1099319999999999</v>
      </c>
      <c r="L2025">
        <v>365.97989999999999</v>
      </c>
      <c r="M2025">
        <v>0.99280939999999995</v>
      </c>
      <c r="N2025">
        <v>0</v>
      </c>
      <c r="O2025">
        <v>-0.11896959999999999</v>
      </c>
      <c r="P2025">
        <v>0.95380600000000004</v>
      </c>
      <c r="Q2025">
        <v>7.867768E-2</v>
      </c>
      <c r="R2025">
        <v>-0.28993780000000002</v>
      </c>
      <c r="S2025">
        <v>2.6724549999999998</v>
      </c>
      <c r="T2025">
        <v>-0.21462390000000001</v>
      </c>
      <c r="U2025">
        <v>-1.6186830000000001</v>
      </c>
      <c r="V2025">
        <v>0.1745958</v>
      </c>
      <c r="W2025">
        <v>9.1305990000000004E-2</v>
      </c>
      <c r="X2025">
        <v>0.98039759999999998</v>
      </c>
      <c r="Y2025">
        <v>0.41194320000000001</v>
      </c>
      <c r="Z2025">
        <v>-6.5208619999999997E-3</v>
      </c>
      <c r="AA2025">
        <v>0.91118619999999995</v>
      </c>
      <c r="AB2025">
        <v>16</v>
      </c>
      <c r="AC2025">
        <v>13.745200000000001</v>
      </c>
      <c r="AD2025">
        <v>-1.109937617795</v>
      </c>
      <c r="AE2025">
        <v>-8.3611999999999895</v>
      </c>
      <c r="AF2025">
        <v>6.6348240337542901</v>
      </c>
      <c r="AG2025">
        <v>-1.109937617795</v>
      </c>
      <c r="AH2025">
        <v>14.573018055555799</v>
      </c>
      <c r="AI2025">
        <v>93.965275301333705</v>
      </c>
      <c r="AJ2025">
        <v>65.521108737853297</v>
      </c>
      <c r="AK2025">
        <v>16.0507229345545</v>
      </c>
      <c r="AL2025">
        <v>84.761255634105197</v>
      </c>
      <c r="AM2025">
        <v>79.902243739979596</v>
      </c>
      <c r="AN2025">
        <v>0.99999996563663895</v>
      </c>
    </row>
    <row r="2026" spans="1:40" x14ac:dyDescent="0.25">
      <c r="A2026" t="str">
        <f>"20190312150704071"</f>
        <v>20190312150704071</v>
      </c>
      <c r="B2026" t="str">
        <f>"1552374424061831"</f>
        <v>1552374424061831</v>
      </c>
      <c r="C2026" t="s">
        <v>40</v>
      </c>
      <c r="D2026">
        <v>4.2676020000000001</v>
      </c>
      <c r="E2026">
        <v>0.59513539999999998</v>
      </c>
      <c r="F2026" t="s">
        <v>49</v>
      </c>
      <c r="G2026">
        <v>-196.3563</v>
      </c>
      <c r="H2026" s="1">
        <v>-5.6159930000000001E-6</v>
      </c>
      <c r="I2026">
        <v>357.61669999999998</v>
      </c>
      <c r="J2026">
        <v>-210.03440000000001</v>
      </c>
      <c r="K2026">
        <v>1.109907</v>
      </c>
      <c r="L2026">
        <v>365.9699</v>
      </c>
      <c r="M2026">
        <v>0.99269929999999995</v>
      </c>
      <c r="N2026">
        <v>0</v>
      </c>
      <c r="O2026">
        <v>-0.1198844</v>
      </c>
      <c r="P2026">
        <v>0.95315119999999998</v>
      </c>
      <c r="Q2026">
        <v>7.8549620000000001E-2</v>
      </c>
      <c r="R2026">
        <v>-0.2921185</v>
      </c>
      <c r="S2026">
        <v>2.6695859999999998</v>
      </c>
      <c r="T2026">
        <v>-0.21545739999999999</v>
      </c>
      <c r="U2026">
        <v>-1.6234440000000001</v>
      </c>
      <c r="V2026">
        <v>0.1759395</v>
      </c>
      <c r="W2026">
        <v>9.1161660000000005E-2</v>
      </c>
      <c r="X2026">
        <v>0.98017080000000001</v>
      </c>
      <c r="Y2026">
        <v>0.41271920000000001</v>
      </c>
      <c r="Z2026">
        <v>-6.5119180000000002E-3</v>
      </c>
      <c r="AA2026">
        <v>0.91083499999999995</v>
      </c>
      <c r="AB2026">
        <v>16</v>
      </c>
      <c r="AC2026">
        <v>13.678100000000001</v>
      </c>
      <c r="AD2026">
        <v>-1.109912615993</v>
      </c>
      <c r="AE2026">
        <v>-8.35320000000001</v>
      </c>
      <c r="AF2026">
        <v>6.6212550153957102</v>
      </c>
      <c r="AG2026">
        <v>-1.109912615993</v>
      </c>
      <c r="AH2026">
        <v>14.511345612325901</v>
      </c>
      <c r="AI2026">
        <v>93.980486585081806</v>
      </c>
      <c r="AJ2026">
        <v>65.473674808969093</v>
      </c>
      <c r="AK2026">
        <v>15.989123661865101</v>
      </c>
      <c r="AL2026">
        <v>84.769559823863602</v>
      </c>
      <c r="AM2026">
        <v>79.823843134889103</v>
      </c>
      <c r="AN2026">
        <v>0.99999997654342199</v>
      </c>
    </row>
    <row r="2027" spans="1:40" x14ac:dyDescent="0.25">
      <c r="A2027" t="str">
        <f>"20190312150704081"</f>
        <v>20190312150704081</v>
      </c>
      <c r="B2027" t="str">
        <f>"1552374424072568"</f>
        <v>1552374424072568</v>
      </c>
      <c r="C2027" t="s">
        <v>40</v>
      </c>
      <c r="D2027">
        <v>4.2763540000000004</v>
      </c>
      <c r="E2027">
        <v>0.59503539999999999</v>
      </c>
      <c r="F2027" t="s">
        <v>49</v>
      </c>
      <c r="G2027">
        <v>-196.44329999999999</v>
      </c>
      <c r="H2027" s="1">
        <v>-5.6463469999999999E-6</v>
      </c>
      <c r="I2027">
        <v>357.66669999999999</v>
      </c>
      <c r="J2027">
        <v>-209.9622</v>
      </c>
      <c r="K2027">
        <v>1.109883</v>
      </c>
      <c r="L2027">
        <v>365.96010000000001</v>
      </c>
      <c r="M2027">
        <v>0.99259030000000004</v>
      </c>
      <c r="N2027">
        <v>0</v>
      </c>
      <c r="O2027">
        <v>-0.1207848</v>
      </c>
      <c r="P2027">
        <v>0.95253779999999999</v>
      </c>
      <c r="Q2027">
        <v>7.8730389999999997E-2</v>
      </c>
      <c r="R2027">
        <v>-0.29406379999999999</v>
      </c>
      <c r="S2027">
        <v>2.6661830000000002</v>
      </c>
      <c r="T2027">
        <v>-0.21773229999999999</v>
      </c>
      <c r="U2027">
        <v>-1.6288450000000001</v>
      </c>
      <c r="V2027">
        <v>0.17706060000000001</v>
      </c>
      <c r="W2027">
        <v>9.1327359999999996E-2</v>
      </c>
      <c r="X2027">
        <v>0.97995350000000003</v>
      </c>
      <c r="Y2027">
        <v>0.41373870000000001</v>
      </c>
      <c r="Z2027">
        <v>-6.5568960000000004E-3</v>
      </c>
      <c r="AA2027">
        <v>0.91037210000000002</v>
      </c>
      <c r="AB2027">
        <v>16</v>
      </c>
      <c r="AC2027">
        <v>13.5189</v>
      </c>
      <c r="AD2027">
        <v>-1.1098886463469999</v>
      </c>
      <c r="AE2027">
        <v>-8.2934000000000196</v>
      </c>
      <c r="AF2027">
        <v>6.5674875553274203</v>
      </c>
      <c r="AG2027">
        <v>-1.1098886463469999</v>
      </c>
      <c r="AH2027">
        <v>14.351429297535599</v>
      </c>
      <c r="AI2027">
        <v>94.022580991605494</v>
      </c>
      <c r="AJ2027">
        <v>65.410264706404604</v>
      </c>
      <c r="AK2027">
        <v>15.821734054105301</v>
      </c>
      <c r="AL2027">
        <v>84.760026279576195</v>
      </c>
      <c r="AM2027">
        <v>79.758145049338694</v>
      </c>
      <c r="AN2027">
        <v>1.0000000024595801</v>
      </c>
    </row>
    <row r="2028" spans="1:40" x14ac:dyDescent="0.25">
      <c r="A2028" t="str">
        <f>"20190312150704092"</f>
        <v>20190312150704092</v>
      </c>
      <c r="B2028" t="str">
        <f>"1552374424082327"</f>
        <v>1552374424082327</v>
      </c>
      <c r="C2028" t="s">
        <v>40</v>
      </c>
      <c r="D2028">
        <v>4.2573150000000002</v>
      </c>
      <c r="E2028">
        <v>0.59492690000000004</v>
      </c>
      <c r="F2028" t="s">
        <v>49</v>
      </c>
      <c r="G2028">
        <v>-196.4171</v>
      </c>
      <c r="H2028" s="1">
        <v>-5.6363300000000001E-6</v>
      </c>
      <c r="I2028">
        <v>357.649</v>
      </c>
      <c r="J2028">
        <v>-209.89099999999999</v>
      </c>
      <c r="K2028">
        <v>1.109864</v>
      </c>
      <c r="L2028">
        <v>365.9504</v>
      </c>
      <c r="M2028">
        <v>0.99247810000000003</v>
      </c>
      <c r="N2028">
        <v>0</v>
      </c>
      <c r="O2028">
        <v>-0.12170250000000001</v>
      </c>
      <c r="P2028">
        <v>0.9518529</v>
      </c>
      <c r="Q2028">
        <v>7.8543189999999999E-2</v>
      </c>
      <c r="R2028">
        <v>-0.29632380000000003</v>
      </c>
      <c r="S2028">
        <v>2.6630549999999999</v>
      </c>
      <c r="T2028">
        <v>-0.21821070000000001</v>
      </c>
      <c r="U2028">
        <v>-1.6340030000000001</v>
      </c>
      <c r="V2028">
        <v>0.17848439999999999</v>
      </c>
      <c r="W2028">
        <v>9.1123659999999995E-2</v>
      </c>
      <c r="X2028">
        <v>0.97971419999999998</v>
      </c>
      <c r="Y2028">
        <v>0.41465099999999999</v>
      </c>
      <c r="Z2028">
        <v>-6.5418300000000002E-3</v>
      </c>
      <c r="AA2028">
        <v>0.90995709999999996</v>
      </c>
      <c r="AB2028">
        <v>16</v>
      </c>
      <c r="AC2028">
        <v>13.473899999999899</v>
      </c>
      <c r="AD2028">
        <v>-1.10986963632999</v>
      </c>
      <c r="AE2028">
        <v>-8.3013999999999992</v>
      </c>
      <c r="AF2028">
        <v>6.5674302810847696</v>
      </c>
      <c r="AG2028">
        <v>-1.10986963632999</v>
      </c>
      <c r="AH2028">
        <v>14.313717822475599</v>
      </c>
      <c r="AI2028">
        <v>94.031246379401395</v>
      </c>
      <c r="AJ2028">
        <v>65.353362241485002</v>
      </c>
      <c r="AK2028">
        <v>15.7875099052387</v>
      </c>
      <c r="AL2028">
        <v>84.771746590838902</v>
      </c>
      <c r="AM2028">
        <v>79.675083741115799</v>
      </c>
      <c r="AN2028">
        <v>1.0000000580683901</v>
      </c>
    </row>
    <row r="2029" spans="1:40" x14ac:dyDescent="0.25">
      <c r="A2029" t="str">
        <f>"20190312150704101"</f>
        <v>20190312150704101</v>
      </c>
      <c r="B2029" t="str">
        <f>"1552374424092088"</f>
        <v>1552374424092088</v>
      </c>
      <c r="C2029" t="s">
        <v>40</v>
      </c>
      <c r="D2029">
        <v>4.247325</v>
      </c>
      <c r="E2029">
        <v>0.59483759999999997</v>
      </c>
      <c r="F2029" t="s">
        <v>49</v>
      </c>
      <c r="G2029">
        <v>-196.4932</v>
      </c>
      <c r="H2029" s="1">
        <v>-5.6623330000000003E-6</v>
      </c>
      <c r="I2029">
        <v>357.69119999999998</v>
      </c>
      <c r="J2029">
        <v>-209.816</v>
      </c>
      <c r="K2029">
        <v>1.109837</v>
      </c>
      <c r="L2029">
        <v>365.9402</v>
      </c>
      <c r="M2029">
        <v>0.99235770000000001</v>
      </c>
      <c r="N2029">
        <v>0</v>
      </c>
      <c r="O2029">
        <v>-0.12267939999999899</v>
      </c>
      <c r="P2029">
        <v>0.95116219999999996</v>
      </c>
      <c r="Q2029">
        <v>7.8760360000000001E-2</v>
      </c>
      <c r="R2029">
        <v>-0.298475299999999</v>
      </c>
      <c r="S2029">
        <v>2.6595149999999999</v>
      </c>
      <c r="T2029">
        <v>-0.22031400000000001</v>
      </c>
      <c r="U2029">
        <v>-1.6394959999999901</v>
      </c>
      <c r="V2029">
        <v>0.17974519999999999</v>
      </c>
      <c r="W2029">
        <v>9.1324050000000004E-2</v>
      </c>
      <c r="X2029">
        <v>0.97946489999999997</v>
      </c>
      <c r="Y2029">
        <v>0.41564400000000001</v>
      </c>
      <c r="Z2029">
        <v>-6.5743379999999999E-3</v>
      </c>
      <c r="AA2029">
        <v>0.90950359999999997</v>
      </c>
      <c r="AB2029">
        <v>16</v>
      </c>
      <c r="AC2029">
        <v>13.3227999999999</v>
      </c>
      <c r="AD2029">
        <v>-1.109842662333</v>
      </c>
      <c r="AE2029">
        <v>-8.2490000000000201</v>
      </c>
      <c r="AF2029">
        <v>6.5193978945655298</v>
      </c>
      <c r="AG2029">
        <v>-1.109842662333</v>
      </c>
      <c r="AH2029">
        <v>14.163169286732799</v>
      </c>
      <c r="AI2029">
        <v>94.071566477359099</v>
      </c>
      <c r="AJ2029">
        <v>65.283080572894505</v>
      </c>
      <c r="AK2029">
        <v>15.6310480738642</v>
      </c>
      <c r="AL2029">
        <v>84.760216473414701</v>
      </c>
      <c r="AM2029">
        <v>79.601145880587097</v>
      </c>
      <c r="AN2029">
        <v>0.99999995468172498</v>
      </c>
    </row>
    <row r="2030" spans="1:40" x14ac:dyDescent="0.25">
      <c r="A2030" t="str">
        <f>"20190312150704113"</f>
        <v>20190312150704113</v>
      </c>
      <c r="B2030" t="str">
        <f>"1552374424101847"</f>
        <v>1552374424101847</v>
      </c>
      <c r="C2030" t="s">
        <v>40</v>
      </c>
      <c r="D2030">
        <v>4.60006</v>
      </c>
      <c r="E2030">
        <v>0.59488750000000001</v>
      </c>
      <c r="F2030" t="s">
        <v>49</v>
      </c>
      <c r="G2030">
        <v>-196.4229</v>
      </c>
      <c r="H2030" s="1">
        <v>-5.6366949999999901E-6</v>
      </c>
      <c r="I2030">
        <v>357.6474</v>
      </c>
      <c r="J2030">
        <v>-209.7415</v>
      </c>
      <c r="K2030">
        <v>1.1098129999999999</v>
      </c>
      <c r="L2030">
        <v>365.92970000000003</v>
      </c>
      <c r="M2030">
        <v>0.99223289999999997</v>
      </c>
      <c r="N2030">
        <v>0</v>
      </c>
      <c r="O2030">
        <v>-0.1236844</v>
      </c>
      <c r="P2030">
        <v>0.95046620000000004</v>
      </c>
      <c r="Q2030">
        <v>7.8997670000000006E-2</v>
      </c>
      <c r="R2030">
        <v>-0.30062220000000001</v>
      </c>
      <c r="S2030">
        <v>2.656174</v>
      </c>
      <c r="T2030">
        <v>-0.220109</v>
      </c>
      <c r="U2030">
        <v>-1.6446529999999999</v>
      </c>
      <c r="V2030">
        <v>0.18097440000000001</v>
      </c>
      <c r="W2030">
        <v>9.1545340000000003E-2</v>
      </c>
      <c r="X2030">
        <v>0.97921789999999997</v>
      </c>
      <c r="Y2030">
        <v>0.41651270000000001</v>
      </c>
      <c r="Z2030">
        <v>-6.5308040000000003E-3</v>
      </c>
      <c r="AA2030">
        <v>0.90910639999999998</v>
      </c>
      <c r="AB2030">
        <v>16</v>
      </c>
      <c r="AC2030">
        <v>13.3186</v>
      </c>
      <c r="AD2030">
        <v>-1.109818636695</v>
      </c>
      <c r="AE2030">
        <v>-8.28230000000001</v>
      </c>
      <c r="AF2030">
        <v>6.5385058348185598</v>
      </c>
      <c r="AG2030">
        <v>-1.109818636695</v>
      </c>
      <c r="AH2030">
        <v>14.169845640188999</v>
      </c>
      <c r="AI2030">
        <v>94.067822420968398</v>
      </c>
      <c r="AJ2030">
        <v>65.229602813179696</v>
      </c>
      <c r="AK2030">
        <v>15.6450721131318</v>
      </c>
      <c r="AL2030">
        <v>84.747484336877406</v>
      </c>
      <c r="AM2030">
        <v>79.529017349201197</v>
      </c>
      <c r="AN2030">
        <v>0.99999998920574196</v>
      </c>
    </row>
    <row r="2031" spans="1:40" x14ac:dyDescent="0.25">
      <c r="A2031" t="str">
        <f>"20190312150704125"</f>
        <v>20190312150704125</v>
      </c>
      <c r="B2031" t="str">
        <f>"1552374424122343"</f>
        <v>1552374424122343</v>
      </c>
      <c r="C2031" t="s">
        <v>40</v>
      </c>
      <c r="D2031">
        <v>4.2888380000000002</v>
      </c>
      <c r="E2031">
        <v>0.59440939999999998</v>
      </c>
      <c r="F2031" t="s">
        <v>49</v>
      </c>
      <c r="G2031">
        <v>-196.69049999999999</v>
      </c>
      <c r="H2031" s="1">
        <v>-5.7310849999999999E-6</v>
      </c>
      <c r="I2031">
        <v>357.80450000000002</v>
      </c>
      <c r="J2031">
        <v>-209.65639999999999</v>
      </c>
      <c r="K2031">
        <v>1.109782</v>
      </c>
      <c r="L2031">
        <v>365.9178</v>
      </c>
      <c r="M2031">
        <v>0.99208790000000002</v>
      </c>
      <c r="N2031">
        <v>0</v>
      </c>
      <c r="O2031">
        <v>-0.12484149999999999</v>
      </c>
      <c r="P2031">
        <v>0.94973980000000002</v>
      </c>
      <c r="Q2031">
        <v>7.894777E-2</v>
      </c>
      <c r="R2031">
        <v>-0.30292180000000002</v>
      </c>
      <c r="S2031">
        <v>2.6527560000000001</v>
      </c>
      <c r="T2031">
        <v>-0.2255839</v>
      </c>
      <c r="U2031">
        <v>-1.6515500000000001</v>
      </c>
      <c r="V2031">
        <v>0.18220919999999999</v>
      </c>
      <c r="W2031">
        <v>9.1477900000000001E-2</v>
      </c>
      <c r="X2031">
        <v>0.97899519999999995</v>
      </c>
      <c r="Y2031">
        <v>0.41764600000000002</v>
      </c>
      <c r="Z2031">
        <v>-6.6523229999999999E-3</v>
      </c>
      <c r="AA2031">
        <v>0.90858550000000005</v>
      </c>
      <c r="AB2031">
        <v>16</v>
      </c>
      <c r="AC2031">
        <v>12.9659</v>
      </c>
      <c r="AD2031">
        <v>-1.109787731085</v>
      </c>
      <c r="AE2031">
        <v>-8.1132999999999793</v>
      </c>
      <c r="AF2031">
        <v>6.3973109170652203</v>
      </c>
      <c r="AG2031">
        <v>-1.109787731085</v>
      </c>
      <c r="AH2031">
        <v>13.8047336804092</v>
      </c>
      <c r="AI2031">
        <v>94.171787141726995</v>
      </c>
      <c r="AJ2031">
        <v>65.136319455738303</v>
      </c>
      <c r="AK2031">
        <v>15.2554215859377</v>
      </c>
      <c r="AL2031">
        <v>84.751364703838604</v>
      </c>
      <c r="AM2031">
        <v>79.456825052882905</v>
      </c>
      <c r="AN2031">
        <v>1.00000000018804</v>
      </c>
    </row>
    <row r="2032" spans="1:40" x14ac:dyDescent="0.25">
      <c r="A2032" t="str">
        <f>"20190312150704136"</f>
        <v>20190312150704136</v>
      </c>
      <c r="B2032" t="str">
        <f>"1552374424132104"</f>
        <v>1552374424132104</v>
      </c>
      <c r="C2032" t="s">
        <v>40</v>
      </c>
      <c r="D2032">
        <v>4.2984920000000004</v>
      </c>
      <c r="E2032">
        <v>0.59413879999999997</v>
      </c>
      <c r="F2032" t="s">
        <v>49</v>
      </c>
      <c r="G2032">
        <v>-196.06880000000001</v>
      </c>
      <c r="H2032" s="1">
        <v>-5.5102829999999997E-6</v>
      </c>
      <c r="I2032">
        <v>357.435</v>
      </c>
      <c r="J2032">
        <v>-209.578</v>
      </c>
      <c r="K2032">
        <v>1.1097600000000001</v>
      </c>
      <c r="L2032">
        <v>365.90660000000003</v>
      </c>
      <c r="M2032">
        <v>0.99194780000000005</v>
      </c>
      <c r="N2032">
        <v>0</v>
      </c>
      <c r="O2032">
        <v>-0.12594959999999999</v>
      </c>
      <c r="P2032">
        <v>0.94900949999999995</v>
      </c>
      <c r="Q2032">
        <v>7.8816380000000005E-2</v>
      </c>
      <c r="R2032">
        <v>-0.30523600000000001</v>
      </c>
      <c r="S2032">
        <v>2.649216</v>
      </c>
      <c r="T2032">
        <v>-0.21637880000000001</v>
      </c>
      <c r="U2032">
        <v>-1.653931</v>
      </c>
      <c r="V2032">
        <v>0.18350669999999999</v>
      </c>
      <c r="W2032">
        <v>9.1330709999999996E-2</v>
      </c>
      <c r="X2032">
        <v>0.97876660000000004</v>
      </c>
      <c r="Y2032">
        <v>0.41782449999999999</v>
      </c>
      <c r="Z2032">
        <v>-6.3132639999999999E-3</v>
      </c>
      <c r="AA2032">
        <v>0.90850580000000003</v>
      </c>
      <c r="AB2032">
        <v>16</v>
      </c>
      <c r="AC2032">
        <v>13.5091999999999</v>
      </c>
      <c r="AD2032">
        <v>-1.109765510283</v>
      </c>
      <c r="AE2032">
        <v>-8.47160000000002</v>
      </c>
      <c r="AF2032">
        <v>6.6701892602831299</v>
      </c>
      <c r="AG2032">
        <v>-1.109765510283</v>
      </c>
      <c r="AH2032">
        <v>14.398947483024401</v>
      </c>
      <c r="AI2032">
        <v>94.000380317883199</v>
      </c>
      <c r="AJ2032">
        <v>65.144472640502798</v>
      </c>
      <c r="AK2032">
        <v>15.9076300206758</v>
      </c>
      <c r="AL2032">
        <v>84.759833690540702</v>
      </c>
      <c r="AM2032">
        <v>79.3810254537822</v>
      </c>
      <c r="AN2032">
        <v>1.00000003240477</v>
      </c>
    </row>
    <row r="2033" spans="1:40" x14ac:dyDescent="0.25">
      <c r="A2033" t="str">
        <f>"20190312150704148"</f>
        <v>20190312150704148</v>
      </c>
      <c r="B2033" t="str">
        <f>"1552374424141863"</f>
        <v>1552374424141863</v>
      </c>
      <c r="C2033" t="s">
        <v>40</v>
      </c>
      <c r="D2033">
        <v>4.3037890000000001</v>
      </c>
      <c r="E2033">
        <v>0.59393560000000001</v>
      </c>
      <c r="F2033" t="s">
        <v>49</v>
      </c>
      <c r="G2033">
        <v>-195.7079</v>
      </c>
      <c r="H2033" s="1">
        <v>-5.3799599999999999E-6</v>
      </c>
      <c r="I2033">
        <v>357.21409999999997</v>
      </c>
      <c r="J2033">
        <v>-209.4931</v>
      </c>
      <c r="K2033">
        <v>1.109734</v>
      </c>
      <c r="L2033">
        <v>365.89449999999999</v>
      </c>
      <c r="M2033">
        <v>0.99179360000000005</v>
      </c>
      <c r="N2033">
        <v>0</v>
      </c>
      <c r="O2033">
        <v>-0.1271582</v>
      </c>
      <c r="P2033">
        <v>0.94826860000000002</v>
      </c>
      <c r="Q2033">
        <v>7.9003859999999995E-2</v>
      </c>
      <c r="R2033">
        <v>-0.30748120000000001</v>
      </c>
      <c r="S2033">
        <v>2.6455229999999998</v>
      </c>
      <c r="T2033">
        <v>-0.21167250000000001</v>
      </c>
      <c r="U2033">
        <v>-1.6579900000000001</v>
      </c>
      <c r="V2033">
        <v>0.18463969999999999</v>
      </c>
      <c r="W2033">
        <v>9.1502120000000006E-2</v>
      </c>
      <c r="X2033">
        <v>0.9785374</v>
      </c>
      <c r="Y2033">
        <v>0.4183191</v>
      </c>
      <c r="Z2033">
        <v>-6.1131819999999896E-3</v>
      </c>
      <c r="AA2033">
        <v>0.90827950000000002</v>
      </c>
      <c r="AB2033">
        <v>16</v>
      </c>
      <c r="AC2033">
        <v>13.7852</v>
      </c>
      <c r="AD2033">
        <v>-1.1097393799599999</v>
      </c>
      <c r="AE2033">
        <v>-8.6804000000000094</v>
      </c>
      <c r="AF2033">
        <v>6.8251953769426104</v>
      </c>
      <c r="AG2033">
        <v>-1.1097393799599999</v>
      </c>
      <c r="AH2033">
        <v>14.7089016491871</v>
      </c>
      <c r="AI2033">
        <v>93.915098514100094</v>
      </c>
      <c r="AJ2033">
        <v>65.107850455270395</v>
      </c>
      <c r="AK2033">
        <v>16.253202796690001</v>
      </c>
      <c r="AL2033">
        <v>84.749970891226297</v>
      </c>
      <c r="AM2033">
        <v>79.314522097734496</v>
      </c>
      <c r="AN2033">
        <v>0.99999994998967101</v>
      </c>
    </row>
    <row r="2034" spans="1:40" x14ac:dyDescent="0.25">
      <c r="A2034" t="str">
        <f>"20190312150704159"</f>
        <v>20190312150704159</v>
      </c>
      <c r="B2034" t="str">
        <f>"1552374424152599"</f>
        <v>1552374424152599</v>
      </c>
      <c r="C2034" t="s">
        <v>40</v>
      </c>
      <c r="D2034">
        <v>4.321815</v>
      </c>
      <c r="E2034">
        <v>0.59369189999999905</v>
      </c>
      <c r="F2034" t="s">
        <v>49</v>
      </c>
      <c r="G2034">
        <v>-195.3338</v>
      </c>
      <c r="H2034" s="1">
        <v>-5.2448600000000001E-6</v>
      </c>
      <c r="I2034">
        <v>356.98500000000001</v>
      </c>
      <c r="J2034">
        <v>-209.40950000000001</v>
      </c>
      <c r="K2034">
        <v>1.1097159999999999</v>
      </c>
      <c r="L2034">
        <v>365.88229999999999</v>
      </c>
      <c r="M2034">
        <v>0.99163690000000004</v>
      </c>
      <c r="N2034">
        <v>0</v>
      </c>
      <c r="O2034">
        <v>-0.12837519999999999</v>
      </c>
      <c r="P2034">
        <v>0.94743310000000003</v>
      </c>
      <c r="Q2034">
        <v>7.9332829999999993E-2</v>
      </c>
      <c r="R2034">
        <v>-0.30996269999999998</v>
      </c>
      <c r="S2034">
        <v>2.6418910000000002</v>
      </c>
      <c r="T2034">
        <v>-0.20705879999999999</v>
      </c>
      <c r="U2034">
        <v>-1.6623540000000001</v>
      </c>
      <c r="V2034">
        <v>0.1860108</v>
      </c>
      <c r="W2034">
        <v>9.1815040000000001E-2</v>
      </c>
      <c r="X2034">
        <v>0.97824840000000002</v>
      </c>
      <c r="Y2034">
        <v>0.41887099999999999</v>
      </c>
      <c r="Z2034">
        <v>-5.9196369999999898E-3</v>
      </c>
      <c r="AA2034">
        <v>0.90802649999999996</v>
      </c>
      <c r="AB2034">
        <v>16</v>
      </c>
      <c r="AC2034">
        <v>14.075699999999999</v>
      </c>
      <c r="AD2034">
        <v>-1.10972124486</v>
      </c>
      <c r="AE2034">
        <v>-8.8972999999999693</v>
      </c>
      <c r="AF2034">
        <v>6.9855140157711002</v>
      </c>
      <c r="AG2034">
        <v>-1.10972124486</v>
      </c>
      <c r="AH2034">
        <v>15.034733794792199</v>
      </c>
      <c r="AI2034">
        <v>93.8295582052762</v>
      </c>
      <c r="AJ2034">
        <v>65.079238358235699</v>
      </c>
      <c r="AK2034">
        <v>16.6154177674259</v>
      </c>
      <c r="AL2034">
        <v>84.731966239428402</v>
      </c>
      <c r="AM2034">
        <v>79.233915330145095</v>
      </c>
      <c r="AN2034">
        <v>0.99999997569470001</v>
      </c>
    </row>
    <row r="2035" spans="1:40" x14ac:dyDescent="0.25">
      <c r="A2035" t="str">
        <f>"20190312150704172"</f>
        <v>20190312150704172</v>
      </c>
      <c r="B2035" t="str">
        <f>"1552374424162359"</f>
        <v>1552374424162359</v>
      </c>
      <c r="C2035" t="s">
        <v>40</v>
      </c>
      <c r="D2035">
        <v>4.306489</v>
      </c>
      <c r="E2035">
        <v>0.59348970000000001</v>
      </c>
      <c r="F2035" t="s">
        <v>49</v>
      </c>
      <c r="G2035">
        <v>-194.9057</v>
      </c>
      <c r="H2035" s="1">
        <v>-5.0312180000000003E-6</v>
      </c>
      <c r="I2035">
        <v>356.71559999999999</v>
      </c>
      <c r="J2035">
        <v>-209.31979999999999</v>
      </c>
      <c r="K2035">
        <v>1.1096969999999999</v>
      </c>
      <c r="L2035">
        <v>365.8691</v>
      </c>
      <c r="M2035">
        <v>0.99146389999999995</v>
      </c>
      <c r="N2035">
        <v>0</v>
      </c>
      <c r="O2035">
        <v>-0.12970509999999999</v>
      </c>
      <c r="P2035">
        <v>0.94660060000000001</v>
      </c>
      <c r="Q2035">
        <v>7.9138899999999901E-2</v>
      </c>
      <c r="R2035">
        <v>-0.31254559999999998</v>
      </c>
      <c r="S2035">
        <v>2.6378940000000002</v>
      </c>
      <c r="T2035">
        <v>-0.2018307</v>
      </c>
      <c r="U2035">
        <v>-1.667206</v>
      </c>
      <c r="V2035">
        <v>0.1873697</v>
      </c>
      <c r="W2035">
        <v>9.1606580000000007E-2</v>
      </c>
      <c r="X2035">
        <v>0.97800860000000001</v>
      </c>
      <c r="Y2035">
        <v>0.41949989999999998</v>
      </c>
      <c r="Z2035">
        <v>-5.706778E-3</v>
      </c>
      <c r="AA2035">
        <v>0.90773740000000003</v>
      </c>
      <c r="AB2035">
        <v>16</v>
      </c>
      <c r="AC2035">
        <v>14.4140999999999</v>
      </c>
      <c r="AD2035">
        <v>-1.1097020312179999</v>
      </c>
      <c r="AE2035">
        <v>-9.1534999999999993</v>
      </c>
      <c r="AF2035">
        <v>7.1761065481714601</v>
      </c>
      <c r="AG2035">
        <v>-1.1097020312179999</v>
      </c>
      <c r="AH2035">
        <v>15.4145702187454</v>
      </c>
      <c r="AI2035">
        <v>93.734095009257103</v>
      </c>
      <c r="AJ2035">
        <v>65.036115455910107</v>
      </c>
      <c r="AK2035">
        <v>17.039275771505999</v>
      </c>
      <c r="AL2035">
        <v>84.7439607723595</v>
      </c>
      <c r="AM2035">
        <v>79.154526197500999</v>
      </c>
      <c r="AN2035">
        <v>0.999999995825673</v>
      </c>
    </row>
    <row r="2036" spans="1:40" x14ac:dyDescent="0.25">
      <c r="A2036" t="str">
        <f>"20190312150704186"</f>
        <v>20190312150704186</v>
      </c>
      <c r="B2036" t="str">
        <f>"1552374424181879"</f>
        <v>1552374424181879</v>
      </c>
      <c r="C2036" t="s">
        <v>40</v>
      </c>
      <c r="D2036">
        <v>4.4319300000000004</v>
      </c>
      <c r="E2036">
        <v>0.59301859999999995</v>
      </c>
      <c r="F2036" t="s">
        <v>49</v>
      </c>
      <c r="G2036">
        <v>-194.62280000000001</v>
      </c>
      <c r="H2036" s="1">
        <v>-4.8856829999999998E-6</v>
      </c>
      <c r="I2036">
        <v>356.5378</v>
      </c>
      <c r="J2036">
        <v>-209.2209</v>
      </c>
      <c r="K2036">
        <v>1.109675</v>
      </c>
      <c r="L2036">
        <v>365.85449999999997</v>
      </c>
      <c r="M2036">
        <v>0.99126820000000004</v>
      </c>
      <c r="N2036">
        <v>0</v>
      </c>
      <c r="O2036">
        <v>-0.13119169999999999</v>
      </c>
      <c r="P2036">
        <v>0.94568549999999996</v>
      </c>
      <c r="Q2036">
        <v>7.9216259999999997E-2</v>
      </c>
      <c r="R2036">
        <v>-0.31528410000000001</v>
      </c>
      <c r="S2036">
        <v>2.633759</v>
      </c>
      <c r="T2036">
        <v>-0.1988626</v>
      </c>
      <c r="U2036">
        <v>-1.6722109999999999</v>
      </c>
      <c r="V2036">
        <v>0.1887403</v>
      </c>
      <c r="W2036">
        <v>9.1669249999999994E-2</v>
      </c>
      <c r="X2036">
        <v>0.97773920000000003</v>
      </c>
      <c r="Y2036">
        <v>0.4200313</v>
      </c>
      <c r="Z2036">
        <v>-5.5464240000000003E-3</v>
      </c>
      <c r="AA2036">
        <v>0.90749270000000004</v>
      </c>
      <c r="AB2036">
        <v>16</v>
      </c>
      <c r="AC2036">
        <v>14.598099999999899</v>
      </c>
      <c r="AD2036">
        <v>-1.1096798856829999</v>
      </c>
      <c r="AE2036">
        <v>-9.31669999999996</v>
      </c>
      <c r="AF2036">
        <v>7.2909075617381198</v>
      </c>
      <c r="AG2036">
        <v>-1.1096798856829999</v>
      </c>
      <c r="AH2036">
        <v>15.6301118324961</v>
      </c>
      <c r="AI2036">
        <v>93.681370306544395</v>
      </c>
      <c r="AJ2036">
        <v>64.992573145050102</v>
      </c>
      <c r="AK2036">
        <v>17.282624754904401</v>
      </c>
      <c r="AL2036">
        <v>84.740355147399697</v>
      </c>
      <c r="AM2036">
        <v>79.074156508245295</v>
      </c>
      <c r="AN2036">
        <v>1.0000000477281401</v>
      </c>
    </row>
    <row r="2037" spans="1:40" x14ac:dyDescent="0.25">
      <c r="A2037" t="str">
        <f>"20190312150704199"</f>
        <v>20190312150704199</v>
      </c>
      <c r="B2037" t="str">
        <f>"1552374424192616"</f>
        <v>1552374424192616</v>
      </c>
      <c r="C2037" t="s">
        <v>40</v>
      </c>
      <c r="D2037">
        <v>3.9221370000000002</v>
      </c>
      <c r="E2037">
        <v>0.59280200000000005</v>
      </c>
      <c r="F2037" t="s">
        <v>49</v>
      </c>
      <c r="G2037">
        <v>-193.93539999999999</v>
      </c>
      <c r="H2037" s="1">
        <v>-4.5344150000000004E-6</v>
      </c>
      <c r="I2037">
        <v>356.11090000000002</v>
      </c>
      <c r="J2037">
        <v>-209.12289999999999</v>
      </c>
      <c r="K2037">
        <v>1.109658</v>
      </c>
      <c r="L2037">
        <v>365.83980000000003</v>
      </c>
      <c r="M2037">
        <v>0.9910679</v>
      </c>
      <c r="N2037">
        <v>0</v>
      </c>
      <c r="O2037">
        <v>-0.13269600000000001</v>
      </c>
      <c r="P2037">
        <v>0.9448569</v>
      </c>
      <c r="Q2037">
        <v>7.8704750000000004E-2</v>
      </c>
      <c r="R2037">
        <v>-0.31788539999999998</v>
      </c>
      <c r="S2037">
        <v>2.629486</v>
      </c>
      <c r="T2037">
        <v>-0.19089339999999999</v>
      </c>
      <c r="U2037">
        <v>-1.6761470000000001</v>
      </c>
      <c r="V2037">
        <v>0.18994459999999999</v>
      </c>
      <c r="W2037">
        <v>9.1145039999999997E-2</v>
      </c>
      <c r="X2037">
        <v>0.9775549</v>
      </c>
      <c r="Y2037">
        <v>0.4203345</v>
      </c>
      <c r="Z2037">
        <v>-5.2429779999999997E-3</v>
      </c>
      <c r="AA2037">
        <v>0.90735410000000005</v>
      </c>
      <c r="AB2037">
        <v>16</v>
      </c>
      <c r="AC2037">
        <v>15.1875</v>
      </c>
      <c r="AD2037">
        <v>-1.109662534415</v>
      </c>
      <c r="AE2037">
        <v>-9.7289000000000101</v>
      </c>
      <c r="AF2037">
        <v>7.5985902040128304</v>
      </c>
      <c r="AG2037">
        <v>-1.109662534415</v>
      </c>
      <c r="AH2037">
        <v>16.282637647864799</v>
      </c>
      <c r="AI2037">
        <v>93.533892289402999</v>
      </c>
      <c r="AJ2037">
        <v>64.983031485187993</v>
      </c>
      <c r="AK2037">
        <v>18.002616832018301</v>
      </c>
      <c r="AL2037">
        <v>84.770516057569694</v>
      </c>
      <c r="AM2037">
        <v>79.0041129477856</v>
      </c>
      <c r="AN2037">
        <v>0.99999997594988499</v>
      </c>
    </row>
    <row r="2038" spans="1:40" x14ac:dyDescent="0.25">
      <c r="A2038" t="str">
        <f>"20190312150704212"</f>
        <v>20190312150704212</v>
      </c>
      <c r="B2038" t="str">
        <f>"1552374424202375"</f>
        <v>1552374424202375</v>
      </c>
      <c r="C2038" t="s">
        <v>40</v>
      </c>
      <c r="D2038">
        <v>4.2923859999999996</v>
      </c>
      <c r="E2038">
        <v>0.59256519999999901</v>
      </c>
      <c r="F2038" t="s">
        <v>49</v>
      </c>
      <c r="G2038">
        <v>-193.68770000000001</v>
      </c>
      <c r="H2038" s="1">
        <v>-4.4051969999999999E-6</v>
      </c>
      <c r="I2038">
        <v>355.95139999999998</v>
      </c>
      <c r="J2038">
        <v>-209.0386</v>
      </c>
      <c r="K2038">
        <v>1.1096410000000001</v>
      </c>
      <c r="L2038">
        <v>365.82690000000002</v>
      </c>
      <c r="M2038">
        <v>0.99089130000000003</v>
      </c>
      <c r="N2038">
        <v>0</v>
      </c>
      <c r="O2038">
        <v>-0.13400870000000001</v>
      </c>
      <c r="P2038">
        <v>0.94375450000000005</v>
      </c>
      <c r="Q2038">
        <v>7.7645039999999999E-2</v>
      </c>
      <c r="R2038">
        <v>-0.3214014</v>
      </c>
      <c r="S2038">
        <v>2.625</v>
      </c>
      <c r="T2038">
        <v>-0.1887153</v>
      </c>
      <c r="U2038">
        <v>-1.6816709999999999</v>
      </c>
      <c r="V2038">
        <v>0.19227949999999999</v>
      </c>
      <c r="W2038">
        <v>9.0069440000000001E-2</v>
      </c>
      <c r="X2038">
        <v>0.97719809999999996</v>
      </c>
      <c r="Y2038">
        <v>0.42120249999999998</v>
      </c>
      <c r="Z2038">
        <v>-5.1329059999999996E-3</v>
      </c>
      <c r="AA2038">
        <v>0.90695210000000004</v>
      </c>
      <c r="AB2038">
        <v>16</v>
      </c>
      <c r="AC2038">
        <v>15.3508999999999</v>
      </c>
      <c r="AD2038">
        <v>-1.1096454051969999</v>
      </c>
      <c r="AE2038">
        <v>-9.8755000000000397</v>
      </c>
      <c r="AF2038">
        <v>7.70061439256936</v>
      </c>
      <c r="AG2038">
        <v>-1.1096454051969999</v>
      </c>
      <c r="AH2038">
        <v>16.4750456105151</v>
      </c>
      <c r="AI2038">
        <v>93.491678071275899</v>
      </c>
      <c r="AJ2038">
        <v>64.9481050299553</v>
      </c>
      <c r="AK2038">
        <v>18.2197119301287</v>
      </c>
      <c r="AL2038">
        <v>84.832398160980503</v>
      </c>
      <c r="AM2038">
        <v>78.868337837009804</v>
      </c>
      <c r="AN2038">
        <v>1.0000000183928801</v>
      </c>
    </row>
    <row r="2039" spans="1:40" x14ac:dyDescent="0.25">
      <c r="A2039" t="str">
        <f>"20190312150704224"</f>
        <v>20190312150704224</v>
      </c>
      <c r="B2039" t="str">
        <f>"1552374424212136"</f>
        <v>1552374424212136</v>
      </c>
      <c r="C2039" t="s">
        <v>40</v>
      </c>
      <c r="D2039">
        <v>4.3309769999999999</v>
      </c>
      <c r="E2039">
        <v>0.59241569999999899</v>
      </c>
      <c r="F2039" t="s">
        <v>49</v>
      </c>
      <c r="G2039">
        <v>-193.5335</v>
      </c>
      <c r="H2039" s="1">
        <v>-4.3107369999999996E-6</v>
      </c>
      <c r="I2039">
        <v>355.82199999999898</v>
      </c>
      <c r="J2039">
        <v>-208.95099999999999</v>
      </c>
      <c r="K2039">
        <v>1.1096269999999999</v>
      </c>
      <c r="L2039">
        <v>365.81349999999998</v>
      </c>
      <c r="M2039">
        <v>0.99070440000000004</v>
      </c>
      <c r="N2039">
        <v>0</v>
      </c>
      <c r="O2039">
        <v>-0.13538359999999999</v>
      </c>
      <c r="P2039">
        <v>0.94297220000000004</v>
      </c>
      <c r="Q2039">
        <v>7.7176129999999996E-2</v>
      </c>
      <c r="R2039">
        <v>-0.32380130000000001</v>
      </c>
      <c r="S2039">
        <v>2.618744</v>
      </c>
      <c r="T2039">
        <v>-0.18741459999999999</v>
      </c>
      <c r="U2039">
        <v>-1.689789</v>
      </c>
      <c r="V2039">
        <v>0.19340650000000001</v>
      </c>
      <c r="W2039">
        <v>8.959027E-2</v>
      </c>
      <c r="X2039">
        <v>0.97701970000000005</v>
      </c>
      <c r="Y2039">
        <v>0.42292030000000003</v>
      </c>
      <c r="Z2039">
        <v>-5.0730819999999996E-3</v>
      </c>
      <c r="AA2039">
        <v>0.90615270000000003</v>
      </c>
      <c r="AB2039">
        <v>16</v>
      </c>
      <c r="AC2039">
        <v>15.417499999999899</v>
      </c>
      <c r="AD2039">
        <v>-1.1096313107369999</v>
      </c>
      <c r="AE2039">
        <v>-9.9915000000000305</v>
      </c>
      <c r="AF2039">
        <v>7.7836400026753196</v>
      </c>
      <c r="AG2039">
        <v>-1.1096313107369999</v>
      </c>
      <c r="AH2039">
        <v>16.567895857390798</v>
      </c>
      <c r="AI2039">
        <v>93.468932348336594</v>
      </c>
      <c r="AJ2039">
        <v>64.835741541925103</v>
      </c>
      <c r="AK2039">
        <v>18.338797847142601</v>
      </c>
      <c r="AL2039">
        <v>84.859963891038305</v>
      </c>
      <c r="AM2039">
        <v>78.802743140454297</v>
      </c>
      <c r="AN2039">
        <v>0.99999999245450599</v>
      </c>
    </row>
    <row r="2040" spans="1:40" x14ac:dyDescent="0.25">
      <c r="A2040" t="str">
        <f>"20190312150704235"</f>
        <v>20190312150704235</v>
      </c>
      <c r="B2040" t="str">
        <f>"1552374424232632"</f>
        <v>1552374424232632</v>
      </c>
      <c r="C2040" t="s">
        <v>40</v>
      </c>
      <c r="D2040">
        <v>4.3358790000000003</v>
      </c>
      <c r="E2040">
        <v>0.59204630000000003</v>
      </c>
      <c r="F2040" t="s">
        <v>49</v>
      </c>
      <c r="G2040">
        <v>-193.29490000000001</v>
      </c>
      <c r="H2040" s="1">
        <v>-4.1828739999999999E-6</v>
      </c>
      <c r="I2040">
        <v>355.66109999999998</v>
      </c>
      <c r="J2040">
        <v>-208.86879999999999</v>
      </c>
      <c r="K2040">
        <v>1.1096159999999999</v>
      </c>
      <c r="L2040">
        <v>365.80070000000001</v>
      </c>
      <c r="M2040">
        <v>0.99052390000000001</v>
      </c>
      <c r="N2040">
        <v>0</v>
      </c>
      <c r="O2040">
        <v>-0.1366975</v>
      </c>
      <c r="P2040">
        <v>0.94207909999999995</v>
      </c>
      <c r="Q2040">
        <v>7.7080419999999997E-2</v>
      </c>
      <c r="R2040">
        <v>-0.32641409999999998</v>
      </c>
      <c r="S2040">
        <v>2.6144560000000001</v>
      </c>
      <c r="T2040">
        <v>-0.18530060000000001</v>
      </c>
      <c r="U2040">
        <v>-1.6953739999999999</v>
      </c>
      <c r="V2040">
        <v>0.19482070000000001</v>
      </c>
      <c r="W2040">
        <v>8.9483399999999894E-2</v>
      </c>
      <c r="X2040">
        <v>0.97674850000000002</v>
      </c>
      <c r="Y2040">
        <v>0.4237708</v>
      </c>
      <c r="Z2040">
        <v>-4.9653900000000001E-3</v>
      </c>
      <c r="AA2040">
        <v>0.9057558</v>
      </c>
      <c r="AB2040">
        <v>16</v>
      </c>
      <c r="AC2040">
        <v>15.573899999999901</v>
      </c>
      <c r="AD2040">
        <v>-1.109620182874</v>
      </c>
      <c r="AE2040">
        <v>-10.1396</v>
      </c>
      <c r="AF2040">
        <v>7.8871812131841796</v>
      </c>
      <c r="AG2040">
        <v>-1.109620182874</v>
      </c>
      <c r="AH2040">
        <v>16.754128283890001</v>
      </c>
      <c r="AI2040">
        <v>93.429169099374903</v>
      </c>
      <c r="AJ2040">
        <v>64.790797984448204</v>
      </c>
      <c r="AK2040">
        <v>18.551002641175199</v>
      </c>
      <c r="AL2040">
        <v>84.866111864719997</v>
      </c>
      <c r="AM2040">
        <v>78.719908116150904</v>
      </c>
      <c r="AN2040">
        <v>1.0000000081381499</v>
      </c>
    </row>
    <row r="2041" spans="1:40" x14ac:dyDescent="0.25">
      <c r="A2041" t="str">
        <f>"20190312150704250"</f>
        <v>20190312150704250</v>
      </c>
      <c r="B2041" t="str">
        <f>"1552374424242391"</f>
        <v>1552374424242391</v>
      </c>
      <c r="C2041" t="s">
        <v>40</v>
      </c>
      <c r="D2041">
        <v>4.3637480000000002</v>
      </c>
      <c r="E2041">
        <v>0.59206309999999995</v>
      </c>
      <c r="F2041" t="s">
        <v>49</v>
      </c>
      <c r="G2041">
        <v>-192.73740000000001</v>
      </c>
      <c r="H2041" s="1">
        <v>-3.8911129999999996E-6</v>
      </c>
      <c r="I2041">
        <v>355.30020000000002</v>
      </c>
      <c r="J2041">
        <v>-208.76910000000001</v>
      </c>
      <c r="K2041">
        <v>1.109607</v>
      </c>
      <c r="L2041">
        <v>365.7851</v>
      </c>
      <c r="M2041">
        <v>0.99030079999999998</v>
      </c>
      <c r="N2041">
        <v>0</v>
      </c>
      <c r="O2041">
        <v>-0.13830399999999901</v>
      </c>
      <c r="P2041">
        <v>0.94107969999999996</v>
      </c>
      <c r="Q2041">
        <v>7.6952859999999998E-2</v>
      </c>
      <c r="R2041">
        <v>-0.32931339999999998</v>
      </c>
      <c r="S2041">
        <v>2.610382</v>
      </c>
      <c r="T2041">
        <v>-0.17955769999999999</v>
      </c>
      <c r="U2041">
        <v>-1.6991879999999999</v>
      </c>
      <c r="V2041">
        <v>0.1962459</v>
      </c>
      <c r="W2041">
        <v>8.9343779999999998E-2</v>
      </c>
      <c r="X2041">
        <v>0.97647600000000001</v>
      </c>
      <c r="Y2041">
        <v>0.42390949999999999</v>
      </c>
      <c r="Z2041">
        <v>-4.7229719999999998E-3</v>
      </c>
      <c r="AA2041">
        <v>0.90569230000000001</v>
      </c>
      <c r="AB2041">
        <v>16</v>
      </c>
      <c r="AC2041">
        <v>16.031700000000001</v>
      </c>
      <c r="AD2041">
        <v>-1.109610891113</v>
      </c>
      <c r="AE2041">
        <v>-10.4848999999999</v>
      </c>
      <c r="AF2041">
        <v>8.1393663396685394</v>
      </c>
      <c r="AG2041">
        <v>-1.109610891113</v>
      </c>
      <c r="AH2041">
        <v>17.269890395029201</v>
      </c>
      <c r="AI2041">
        <v>93.326268056866596</v>
      </c>
      <c r="AJ2041">
        <v>64.765316267193</v>
      </c>
      <c r="AK2041">
        <v>19.1240590617507</v>
      </c>
      <c r="AL2041">
        <v>84.874143997444904</v>
      </c>
      <c r="AM2041">
        <v>78.636439750722303</v>
      </c>
      <c r="AN2041">
        <v>1.00000007143374</v>
      </c>
    </row>
    <row r="2042" spans="1:40" x14ac:dyDescent="0.25">
      <c r="A2042" t="str">
        <f>"20190312150704260"</f>
        <v>20190312150704260</v>
      </c>
      <c r="B2042" t="str">
        <f>"1552374424252151"</f>
        <v>1552374424252151</v>
      </c>
      <c r="C2042" t="s">
        <v>40</v>
      </c>
      <c r="D2042">
        <v>4.5737909999999999</v>
      </c>
      <c r="E2042">
        <v>0.59221230000000002</v>
      </c>
      <c r="F2042" t="s">
        <v>49</v>
      </c>
      <c r="G2042">
        <v>-192.9666</v>
      </c>
      <c r="H2042" s="1">
        <v>-4.0008690000000003E-6</v>
      </c>
      <c r="I2042">
        <v>355.42669999999998</v>
      </c>
      <c r="J2042">
        <v>-208.69069999999999</v>
      </c>
      <c r="K2042">
        <v>1.1095950000000001</v>
      </c>
      <c r="L2042">
        <v>365.77260000000001</v>
      </c>
      <c r="M2042">
        <v>0.9901221</v>
      </c>
      <c r="N2042">
        <v>0</v>
      </c>
      <c r="O2042">
        <v>-0.13957919999999999</v>
      </c>
      <c r="P2042">
        <v>0.94020789999999999</v>
      </c>
      <c r="Q2042">
        <v>7.6899560000000006E-2</v>
      </c>
      <c r="R2042">
        <v>-0.33180730000000003</v>
      </c>
      <c r="S2042">
        <v>2.6052249999999999</v>
      </c>
      <c r="T2042">
        <v>-0.18293209999999999</v>
      </c>
      <c r="U2042">
        <v>-1.707703</v>
      </c>
      <c r="V2042">
        <v>0.19757910000000001</v>
      </c>
      <c r="W2042">
        <v>8.9280129999999999E-2</v>
      </c>
      <c r="X2042">
        <v>0.97621290000000005</v>
      </c>
      <c r="Y2042">
        <v>0.42561660000000001</v>
      </c>
      <c r="Z2042">
        <v>-4.7914079999999996E-3</v>
      </c>
      <c r="AA2042">
        <v>0.904891</v>
      </c>
      <c r="AB2042">
        <v>16</v>
      </c>
      <c r="AC2042">
        <v>15.7240999999999</v>
      </c>
      <c r="AD2042">
        <v>-1.109599000869</v>
      </c>
      <c r="AE2042">
        <v>-10.3459</v>
      </c>
      <c r="AF2042">
        <v>8.0217775745862401</v>
      </c>
      <c r="AG2042">
        <v>-1.109599000869</v>
      </c>
      <c r="AH2042">
        <v>16.955424180732301</v>
      </c>
      <c r="AI2042">
        <v>93.385424606957301</v>
      </c>
      <c r="AJ2042">
        <v>64.680709434332101</v>
      </c>
      <c r="AK2042">
        <v>18.790064782949099</v>
      </c>
      <c r="AL2042">
        <v>84.877805315046203</v>
      </c>
      <c r="AM2042">
        <v>78.558268064193399</v>
      </c>
      <c r="AN2042">
        <v>1.00000003424801</v>
      </c>
    </row>
    <row r="2043" spans="1:40" x14ac:dyDescent="0.25">
      <c r="A2043" t="str">
        <f>"20190312150704272"</f>
        <v>20190312150704272</v>
      </c>
      <c r="B2043" t="str">
        <f>"1552374424261912"</f>
        <v>1552374424261912</v>
      </c>
      <c r="C2043" t="s">
        <v>40</v>
      </c>
      <c r="D2043">
        <v>4.6316160000000002</v>
      </c>
      <c r="E2043">
        <v>0.59267630000000004</v>
      </c>
      <c r="F2043" t="s">
        <v>49</v>
      </c>
      <c r="G2043">
        <v>-192.7406</v>
      </c>
      <c r="H2043" s="1">
        <v>-3.8670929999999998E-6</v>
      </c>
      <c r="I2043">
        <v>355.24709999999999</v>
      </c>
      <c r="J2043">
        <v>-208.61510000000001</v>
      </c>
      <c r="K2043">
        <v>1.1095889999999999</v>
      </c>
      <c r="L2043">
        <v>365.76049999999998</v>
      </c>
      <c r="M2043">
        <v>0.98994590000000005</v>
      </c>
      <c r="N2043">
        <v>0</v>
      </c>
      <c r="O2043">
        <v>-0.14082229999999901</v>
      </c>
      <c r="P2043">
        <v>0.93926989999999999</v>
      </c>
      <c r="Q2043">
        <v>7.6515990000000006E-2</v>
      </c>
      <c r="R2043">
        <v>-0.33454109999999998</v>
      </c>
      <c r="S2043">
        <v>2.6000670000000001</v>
      </c>
      <c r="T2043">
        <v>-0.18087800000000001</v>
      </c>
      <c r="U2043">
        <v>-1.7157899999999999</v>
      </c>
      <c r="V2043">
        <v>0.1991907</v>
      </c>
      <c r="W2043">
        <v>8.8885459999999999E-2</v>
      </c>
      <c r="X2043">
        <v>0.97592129999999999</v>
      </c>
      <c r="Y2043">
        <v>0.42727540000000003</v>
      </c>
      <c r="Z2043">
        <v>-4.7183879999999996E-3</v>
      </c>
      <c r="AA2043">
        <v>0.90410919999999895</v>
      </c>
      <c r="AB2043">
        <v>16</v>
      </c>
      <c r="AC2043">
        <v>15.874499999999999</v>
      </c>
      <c r="AD2043">
        <v>-1.109592867093</v>
      </c>
      <c r="AE2043">
        <v>-10.513399999999899</v>
      </c>
      <c r="AF2043">
        <v>8.1452714310043497</v>
      </c>
      <c r="AG2043">
        <v>-1.109592867093</v>
      </c>
      <c r="AH2043">
        <v>17.138727424717398</v>
      </c>
      <c r="AI2043">
        <v>93.346506549321404</v>
      </c>
      <c r="AJ2043">
        <v>64.580347197199899</v>
      </c>
      <c r="AK2043">
        <v>19.008225081637601</v>
      </c>
      <c r="AL2043">
        <v>84.900508183607002</v>
      </c>
      <c r="AM2043">
        <v>78.464078080608502</v>
      </c>
      <c r="AN2043">
        <v>0.99999997187979495</v>
      </c>
    </row>
    <row r="2044" spans="1:40" x14ac:dyDescent="0.25">
      <c r="A2044" t="str">
        <f>"20190312150704283"</f>
        <v>20190312150704283</v>
      </c>
      <c r="B2044" t="str">
        <f>"1552374424272648"</f>
        <v>1552374424272648</v>
      </c>
      <c r="C2044" t="s">
        <v>40</v>
      </c>
      <c r="D2044">
        <v>4.4513049999999996</v>
      </c>
      <c r="E2044">
        <v>0.59267630000000004</v>
      </c>
      <c r="F2044" t="s">
        <v>49</v>
      </c>
      <c r="G2044">
        <v>-192.59440000000001</v>
      </c>
      <c r="H2044" s="1">
        <v>-3.762854E-6</v>
      </c>
      <c r="I2044">
        <v>355.09289999999999</v>
      </c>
      <c r="J2044">
        <v>-208.5325</v>
      </c>
      <c r="K2044">
        <v>1.1095809999999999</v>
      </c>
      <c r="L2044">
        <v>365.74709999999999</v>
      </c>
      <c r="M2044">
        <v>0.98975100000000005</v>
      </c>
      <c r="N2044">
        <v>0</v>
      </c>
      <c r="O2044">
        <v>-0.1421859</v>
      </c>
      <c r="P2044">
        <v>0.93840100000000004</v>
      </c>
      <c r="Q2044">
        <v>7.6323139999999998E-2</v>
      </c>
      <c r="R2044">
        <v>-0.33701490000000001</v>
      </c>
      <c r="S2044">
        <v>2.593521</v>
      </c>
      <c r="T2044">
        <v>-0.1796267</v>
      </c>
      <c r="U2044">
        <v>-1.7269289999999999</v>
      </c>
      <c r="V2044">
        <v>0.2004177</v>
      </c>
      <c r="W2044">
        <v>8.8682650000000002E-2</v>
      </c>
      <c r="X2044">
        <v>0.97568860000000002</v>
      </c>
      <c r="Y2044">
        <v>0.42977670000000001</v>
      </c>
      <c r="Z2044">
        <v>-4.6865980000000002E-3</v>
      </c>
      <c r="AA2044">
        <v>0.90292300000000003</v>
      </c>
      <c r="AB2044">
        <v>16</v>
      </c>
      <c r="AC2044">
        <v>15.938099999999899</v>
      </c>
      <c r="AD2044">
        <v>-1.1095847628540001</v>
      </c>
      <c r="AE2044">
        <v>-10.654199999999999</v>
      </c>
      <c r="AF2044">
        <v>8.2519186820199995</v>
      </c>
      <c r="AG2044">
        <v>-1.1095847628540001</v>
      </c>
      <c r="AH2044">
        <v>17.233421259050399</v>
      </c>
      <c r="AI2044">
        <v>93.323522781812699</v>
      </c>
      <c r="AJ2044">
        <v>64.413395135126194</v>
      </c>
      <c r="AK2044">
        <v>19.139387361473101</v>
      </c>
      <c r="AL2044">
        <v>84.912174838830495</v>
      </c>
      <c r="AM2044">
        <v>78.392246948483205</v>
      </c>
      <c r="AN2044">
        <v>1.00000005552713</v>
      </c>
    </row>
    <row r="2045" spans="1:40" x14ac:dyDescent="0.25">
      <c r="A2045" t="str">
        <f>"20190312150704294"</f>
        <v>20190312150704294</v>
      </c>
      <c r="B2045" t="str">
        <f>"1552374424282407"</f>
        <v>1552374424282407</v>
      </c>
      <c r="C2045" t="s">
        <v>40</v>
      </c>
      <c r="D2045">
        <v>4.4807579999999998</v>
      </c>
      <c r="E2045">
        <v>0.63285579999999997</v>
      </c>
      <c r="F2045" t="s">
        <v>49</v>
      </c>
      <c r="G2045">
        <v>-192.5746</v>
      </c>
      <c r="H2045" s="1">
        <v>-3.7434719999999999E-6</v>
      </c>
      <c r="I2045">
        <v>355.0607</v>
      </c>
      <c r="J2045">
        <v>-208.46289999999999</v>
      </c>
      <c r="K2045">
        <v>1.1095710000000001</v>
      </c>
      <c r="L2045">
        <v>365.73570000000001</v>
      </c>
      <c r="M2045">
        <v>0.98958299999999999</v>
      </c>
      <c r="N2045">
        <v>0</v>
      </c>
      <c r="O2045">
        <v>-0.1433509</v>
      </c>
      <c r="P2045">
        <v>0.93753520000000001</v>
      </c>
      <c r="Q2045">
        <v>7.6207990000000003E-2</v>
      </c>
      <c r="R2045">
        <v>-0.339441099999999</v>
      </c>
      <c r="S2045">
        <v>2.588959</v>
      </c>
      <c r="T2045">
        <v>-0.1800156</v>
      </c>
      <c r="U2045">
        <v>-1.7337340000000001</v>
      </c>
      <c r="V2045">
        <v>0.2017938</v>
      </c>
      <c r="W2045">
        <v>8.8557739999999996E-2</v>
      </c>
      <c r="X2045">
        <v>0.97541619999999996</v>
      </c>
      <c r="Y2045">
        <v>0.4310852</v>
      </c>
      <c r="Z2045">
        <v>-4.6708330000000001E-3</v>
      </c>
      <c r="AA2045">
        <v>0.90229919999999997</v>
      </c>
      <c r="AB2045">
        <v>16</v>
      </c>
      <c r="AC2045">
        <v>15.8882999999999</v>
      </c>
      <c r="AD2045">
        <v>-1.10957474347199</v>
      </c>
      <c r="AE2045">
        <v>-10.675000000000001</v>
      </c>
      <c r="AF2045">
        <v>8.2591732513770797</v>
      </c>
      <c r="AG2045">
        <v>-1.10957474347199</v>
      </c>
      <c r="AH2045">
        <v>17.196796279895398</v>
      </c>
      <c r="AI2045">
        <v>93.328687829945906</v>
      </c>
      <c r="AJ2045">
        <v>64.3462386352967</v>
      </c>
      <c r="AK2045">
        <v>19.109549999930302</v>
      </c>
      <c r="AL2045">
        <v>84.919359575612802</v>
      </c>
      <c r="AM2045">
        <v>78.311557336253898</v>
      </c>
      <c r="AN2045">
        <v>0.99999998712739302</v>
      </c>
    </row>
    <row r="2046" spans="1:40" x14ac:dyDescent="0.25">
      <c r="A2046" t="str">
        <f>"20190312150704305"</f>
        <v>20190312150704305</v>
      </c>
      <c r="B2046" t="str">
        <f>"1552374424301928"</f>
        <v>1552374424301928</v>
      </c>
      <c r="C2046" t="s">
        <v>40</v>
      </c>
      <c r="D2046">
        <v>4.5237679999999996</v>
      </c>
      <c r="E2046">
        <v>0.63776619999999995</v>
      </c>
      <c r="F2046" t="s">
        <v>50</v>
      </c>
      <c r="G2046">
        <v>-168.40010000000001</v>
      </c>
      <c r="H2046">
        <v>0.18053640000000001</v>
      </c>
      <c r="I2046">
        <v>332.71289999999999</v>
      </c>
      <c r="J2046">
        <v>-208.38409999999999</v>
      </c>
      <c r="K2046">
        <v>1.1095649999999999</v>
      </c>
      <c r="L2046">
        <v>365.72280000000001</v>
      </c>
      <c r="M2046">
        <v>0.98939060000000001</v>
      </c>
      <c r="N2046">
        <v>0</v>
      </c>
      <c r="O2046">
        <v>-0.14467189999999999</v>
      </c>
      <c r="P2046">
        <v>0.93662730000000005</v>
      </c>
      <c r="Q2046">
        <v>7.6092800000000002E-2</v>
      </c>
      <c r="R2046">
        <v>-0.34196409999999899</v>
      </c>
      <c r="S2046">
        <v>2.4679869999999999</v>
      </c>
      <c r="T2046">
        <v>-5.7230830000000003E-2</v>
      </c>
      <c r="U2046">
        <v>-2.0343019999999998</v>
      </c>
      <c r="V2046">
        <v>0.2031184</v>
      </c>
      <c r="W2046">
        <v>8.8432339999999998E-2</v>
      </c>
      <c r="X2046">
        <v>0.97515260000000004</v>
      </c>
      <c r="Y2046">
        <v>0.51765410000000001</v>
      </c>
      <c r="Z2046">
        <v>-2.3502179999999998E-3</v>
      </c>
      <c r="AA2046">
        <v>0.85558679999999998</v>
      </c>
      <c r="AB2046">
        <v>16</v>
      </c>
      <c r="AC2046">
        <v>39.983999999999902</v>
      </c>
      <c r="AD2046">
        <v>-0.92902859999999998</v>
      </c>
      <c r="AE2046">
        <v>-33.009900000000002</v>
      </c>
      <c r="AF2046">
        <v>26.868866463506301</v>
      </c>
      <c r="AG2046">
        <v>-0.92902859999999998</v>
      </c>
      <c r="AH2046">
        <v>44.325076555179201</v>
      </c>
      <c r="AI2046">
        <v>91.026832958172207</v>
      </c>
      <c r="AJ2046">
        <v>58.776696921756603</v>
      </c>
      <c r="AK2046">
        <v>51.841214210277201</v>
      </c>
      <c r="AL2046">
        <v>84.926572721318607</v>
      </c>
      <c r="AM2046">
        <v>78.233872982112899</v>
      </c>
      <c r="AN2046">
        <v>0.99999997823159703</v>
      </c>
    </row>
    <row r="2047" spans="1:40" x14ac:dyDescent="0.25">
      <c r="A2047" t="str">
        <f>"20190312150704315"</f>
        <v>20190312150704315</v>
      </c>
      <c r="B2047" t="str">
        <f>"1552374424312663"</f>
        <v>1552374424312663</v>
      </c>
      <c r="C2047" t="s">
        <v>40</v>
      </c>
      <c r="D2047">
        <v>4.4933120000000004</v>
      </c>
      <c r="E2047">
        <v>0.63743349999999999</v>
      </c>
      <c r="F2047" t="s">
        <v>49</v>
      </c>
      <c r="G2047">
        <v>-203.34020000000001</v>
      </c>
      <c r="H2047" s="1">
        <v>-3.9354889999999998E-6</v>
      </c>
      <c r="I2047">
        <v>361.42680000000001</v>
      </c>
      <c r="J2047">
        <v>-208.30609999999999</v>
      </c>
      <c r="K2047">
        <v>1.109559</v>
      </c>
      <c r="L2047">
        <v>365.7097</v>
      </c>
      <c r="M2047">
        <v>0.98919590000000002</v>
      </c>
      <c r="N2047">
        <v>0</v>
      </c>
      <c r="O2047">
        <v>-0.1459985</v>
      </c>
      <c r="P2047">
        <v>0.93573499999999998</v>
      </c>
      <c r="Q2047">
        <v>7.6008320000000004E-2</v>
      </c>
      <c r="R2047">
        <v>-0.34441690000000003</v>
      </c>
      <c r="S2047">
        <v>2.4769899999999998</v>
      </c>
      <c r="T2047">
        <v>-0.54488890000000001</v>
      </c>
      <c r="U2047">
        <v>-2.10968</v>
      </c>
      <c r="V2047">
        <v>0.20436670000000001</v>
      </c>
      <c r="W2047">
        <v>8.8334969999999999E-2</v>
      </c>
      <c r="X2047">
        <v>0.97490060000000001</v>
      </c>
      <c r="Y2047">
        <v>0.52516010000000002</v>
      </c>
      <c r="Z2047">
        <v>-2.2426129999999999E-2</v>
      </c>
      <c r="AA2047">
        <v>0.85070789999999996</v>
      </c>
      <c r="AB2047">
        <v>16</v>
      </c>
      <c r="AC2047">
        <v>4.9658999999999702</v>
      </c>
      <c r="AD2047">
        <v>-1.109562935489</v>
      </c>
      <c r="AE2047">
        <v>-4.2828999999999802</v>
      </c>
      <c r="AF2047">
        <v>3.41417868587875</v>
      </c>
      <c r="AG2047">
        <v>-1.109562935489</v>
      </c>
      <c r="AH2047">
        <v>5.38389818140916</v>
      </c>
      <c r="AI2047">
        <v>99.873092788777896</v>
      </c>
      <c r="AJ2047">
        <v>57.619327216773101</v>
      </c>
      <c r="AK2047">
        <v>6.4710204477115196</v>
      </c>
      <c r="AL2047">
        <v>84.932173627805199</v>
      </c>
      <c r="AM2047">
        <v>78.160622844163797</v>
      </c>
      <c r="AN2047">
        <v>0.99999999743707502</v>
      </c>
    </row>
    <row r="2048" spans="1:40" x14ac:dyDescent="0.25">
      <c r="A2048" t="str">
        <f>"20190312150704327"</f>
        <v>20190312150704327</v>
      </c>
      <c r="B2048" t="str">
        <f>"1552374424322424"</f>
        <v>1552374424322424</v>
      </c>
      <c r="C2048" t="s">
        <v>40</v>
      </c>
      <c r="D2048">
        <v>4.517296</v>
      </c>
      <c r="E2048">
        <v>0.63746169999999902</v>
      </c>
      <c r="F2048" t="s">
        <v>49</v>
      </c>
      <c r="G2048">
        <v>-203.31819999999999</v>
      </c>
      <c r="H2048" s="1">
        <v>-3.9203880000000003E-6</v>
      </c>
      <c r="I2048">
        <v>361.44499999999999</v>
      </c>
      <c r="J2048">
        <v>-208.2286</v>
      </c>
      <c r="K2048">
        <v>1.109542</v>
      </c>
      <c r="L2048">
        <v>365.69670000000002</v>
      </c>
      <c r="M2048">
        <v>0.98899970000000004</v>
      </c>
      <c r="N2048">
        <v>0</v>
      </c>
      <c r="O2048">
        <v>-0.14732579999999901</v>
      </c>
      <c r="P2048">
        <v>0.9349288</v>
      </c>
      <c r="Q2048">
        <v>7.6041979999999995E-2</v>
      </c>
      <c r="R2048">
        <v>-0.34659220000000002</v>
      </c>
      <c r="S2048">
        <v>2.4725950000000001</v>
      </c>
      <c r="T2048">
        <v>-0.55002980000000001</v>
      </c>
      <c r="U2048">
        <v>-2.1141049999999999</v>
      </c>
      <c r="V2048">
        <v>0.20532829999999999</v>
      </c>
      <c r="W2048">
        <v>8.8319789999999995E-2</v>
      </c>
      <c r="X2048">
        <v>0.97469989999999995</v>
      </c>
      <c r="Y2048">
        <v>0.5255592</v>
      </c>
      <c r="Z2048">
        <v>-2.244809E-2</v>
      </c>
      <c r="AA2048">
        <v>0.85046080000000002</v>
      </c>
      <c r="AB2048">
        <v>16</v>
      </c>
      <c r="AC2048">
        <v>4.9104000000000099</v>
      </c>
      <c r="AD2048">
        <v>-1.109545920388</v>
      </c>
      <c r="AE2048">
        <v>-4.25170000000002</v>
      </c>
      <c r="AF2048">
        <v>3.3830857098031699</v>
      </c>
      <c r="AG2048">
        <v>-1.109545920388</v>
      </c>
      <c r="AH2048">
        <v>5.3277813269053196</v>
      </c>
      <c r="AI2048">
        <v>99.971128166655504</v>
      </c>
      <c r="AJ2048">
        <v>57.584877502555003</v>
      </c>
      <c r="AK2048">
        <v>6.4079337493957498</v>
      </c>
      <c r="AL2048">
        <v>84.933046781029503</v>
      </c>
      <c r="AM2048">
        <v>78.104119187672396</v>
      </c>
      <c r="AN2048">
        <v>0.99999999557327102</v>
      </c>
    </row>
    <row r="2049" spans="1:40" x14ac:dyDescent="0.25">
      <c r="A2049" t="str">
        <f>"20190312150704339"</f>
        <v>20190312150704339</v>
      </c>
      <c r="B2049" t="str">
        <f>"1552374424332184"</f>
        <v>1552374424332184</v>
      </c>
      <c r="C2049" t="s">
        <v>40</v>
      </c>
      <c r="D2049">
        <v>4.5380830000000003</v>
      </c>
      <c r="E2049">
        <v>0.63730629999999999</v>
      </c>
      <c r="F2049" t="s">
        <v>49</v>
      </c>
      <c r="G2049">
        <v>-203.18790000000001</v>
      </c>
      <c r="H2049" s="1">
        <v>-3.8723600000000001E-6</v>
      </c>
      <c r="I2049">
        <v>361.36599999999999</v>
      </c>
      <c r="J2049">
        <v>-208.149</v>
      </c>
      <c r="K2049">
        <v>1.109491</v>
      </c>
      <c r="L2049">
        <v>365.6832</v>
      </c>
      <c r="M2049">
        <v>0.9887939</v>
      </c>
      <c r="N2049">
        <v>0</v>
      </c>
      <c r="O2049">
        <v>-0.1487135</v>
      </c>
      <c r="P2049">
        <v>0.9340117</v>
      </c>
      <c r="Q2049">
        <v>7.5928930000000006E-2</v>
      </c>
      <c r="R2049">
        <v>-0.34908080000000002</v>
      </c>
      <c r="S2049">
        <v>2.4671479999999999</v>
      </c>
      <c r="T2049">
        <v>-0.54306709999999903</v>
      </c>
      <c r="U2049">
        <v>-2.1196899999999999</v>
      </c>
      <c r="V2049">
        <v>0.20655760000000001</v>
      </c>
      <c r="W2049">
        <v>8.8053320000000004E-2</v>
      </c>
      <c r="X2049">
        <v>0.9744642</v>
      </c>
      <c r="Y2049">
        <v>0.52653439999999996</v>
      </c>
      <c r="Z2049">
        <v>-2.2032070000000001E-2</v>
      </c>
      <c r="AA2049">
        <v>0.84986830000000002</v>
      </c>
      <c r="AB2049">
        <v>16</v>
      </c>
      <c r="AC2049">
        <v>4.9610999999999796</v>
      </c>
      <c r="AD2049">
        <v>-1.10949487236</v>
      </c>
      <c r="AE2049">
        <v>-4.3172000000000104</v>
      </c>
      <c r="AF2049">
        <v>3.4336145957170698</v>
      </c>
      <c r="AG2049">
        <v>-1.10949487236</v>
      </c>
      <c r="AH2049">
        <v>5.3944709705428897</v>
      </c>
      <c r="AI2049">
        <v>99.843215016909994</v>
      </c>
      <c r="AJ2049">
        <v>57.522991329171496</v>
      </c>
      <c r="AK2049">
        <v>6.49006973119275</v>
      </c>
      <c r="AL2049">
        <v>84.948373888416299</v>
      </c>
      <c r="AM2049">
        <v>78.032134748635201</v>
      </c>
      <c r="AN2049">
        <v>0.99999995318121004</v>
      </c>
    </row>
    <row r="2050" spans="1:40" x14ac:dyDescent="0.25">
      <c r="A2050" t="str">
        <f>"20190312150704351"</f>
        <v>20190312150704351</v>
      </c>
      <c r="B2050" t="str">
        <f>"1552374424341944"</f>
        <v>1552374424341944</v>
      </c>
      <c r="C2050" t="s">
        <v>40</v>
      </c>
      <c r="D2050">
        <v>4.4907250000000003</v>
      </c>
      <c r="E2050">
        <v>0.63716300000000003</v>
      </c>
      <c r="F2050" t="s">
        <v>49</v>
      </c>
      <c r="G2050">
        <v>-203.11869999999999</v>
      </c>
      <c r="H2050" s="1">
        <v>-3.8429580000000004E-6</v>
      </c>
      <c r="I2050">
        <v>361.34140000000002</v>
      </c>
      <c r="J2050">
        <v>-208.05950000000001</v>
      </c>
      <c r="K2050">
        <v>1.1094299999999999</v>
      </c>
      <c r="L2050">
        <v>365.66789999999997</v>
      </c>
      <c r="M2050">
        <v>0.98855879999999996</v>
      </c>
      <c r="N2050">
        <v>0</v>
      </c>
      <c r="O2050">
        <v>-0.15028369999999999</v>
      </c>
      <c r="P2050">
        <v>0.9331528</v>
      </c>
      <c r="Q2050">
        <v>7.5659920000000006E-2</v>
      </c>
      <c r="R2050">
        <v>-0.35142849999999998</v>
      </c>
      <c r="S2050">
        <v>2.4618989999999998</v>
      </c>
      <c r="T2050">
        <v>-0.54299949999999997</v>
      </c>
      <c r="U2050">
        <v>-2.1249389999999999</v>
      </c>
      <c r="V2050">
        <v>0.20745910000000001</v>
      </c>
      <c r="W2050">
        <v>8.7594950000000005E-2</v>
      </c>
      <c r="X2050">
        <v>0.97431400000000001</v>
      </c>
      <c r="Y2050">
        <v>0.52713160000000003</v>
      </c>
      <c r="Z2050">
        <v>-2.182342E-2</v>
      </c>
      <c r="AA2050">
        <v>0.84950340000000002</v>
      </c>
      <c r="AB2050">
        <v>16</v>
      </c>
      <c r="AC2050">
        <v>4.9408000000000198</v>
      </c>
      <c r="AD2050">
        <v>-1.109433842958</v>
      </c>
      <c r="AE2050">
        <v>-4.3264999999999496</v>
      </c>
      <c r="AF2050">
        <v>3.4366957454637199</v>
      </c>
      <c r="AG2050">
        <v>-1.109433842958</v>
      </c>
      <c r="AH2050">
        <v>5.3813611756675996</v>
      </c>
      <c r="AI2050">
        <v>99.856886905414697</v>
      </c>
      <c r="AJ2050">
        <v>57.436499986064199</v>
      </c>
      <c r="AK2050">
        <v>6.4808000433412198</v>
      </c>
      <c r="AL2050">
        <v>84.974738473571705</v>
      </c>
      <c r="AM2050">
        <v>77.979618910126604</v>
      </c>
      <c r="AN2050">
        <v>0.99999996201715502</v>
      </c>
    </row>
    <row r="2051" spans="1:40" x14ac:dyDescent="0.25">
      <c r="A2051" t="str">
        <f>"20190312150704363"</f>
        <v>20190312150704363</v>
      </c>
      <c r="B2051" t="str">
        <f>"1552374424351703"</f>
        <v>1552374424351703</v>
      </c>
      <c r="C2051" t="s">
        <v>40</v>
      </c>
      <c r="D2051">
        <v>4.6287719999999997</v>
      </c>
      <c r="E2051">
        <v>0.63731599999999999</v>
      </c>
      <c r="F2051" t="s">
        <v>49</v>
      </c>
      <c r="G2051">
        <v>-202.98939999999999</v>
      </c>
      <c r="H2051" s="1">
        <v>-3.7928930000000002E-6</v>
      </c>
      <c r="I2051">
        <v>361.27390000000003</v>
      </c>
      <c r="J2051">
        <v>-207.97309999999999</v>
      </c>
      <c r="K2051">
        <v>1.109369</v>
      </c>
      <c r="L2051">
        <v>365.65300000000002</v>
      </c>
      <c r="M2051">
        <v>0.98832850000000005</v>
      </c>
      <c r="N2051">
        <v>0</v>
      </c>
      <c r="O2051">
        <v>-0.1518072</v>
      </c>
      <c r="P2051">
        <v>0.93238779999999999</v>
      </c>
      <c r="Q2051">
        <v>7.4844040000000001E-2</v>
      </c>
      <c r="R2051">
        <v>-0.35362650000000001</v>
      </c>
      <c r="S2051">
        <v>2.456696</v>
      </c>
      <c r="T2051">
        <v>-0.53757670000000002</v>
      </c>
      <c r="U2051">
        <v>-2.1291199999999999</v>
      </c>
      <c r="V2051">
        <v>0.2082435</v>
      </c>
      <c r="W2051">
        <v>8.6583140000000003E-2</v>
      </c>
      <c r="X2051">
        <v>0.97423709999999997</v>
      </c>
      <c r="Y2051">
        <v>0.52764800000000001</v>
      </c>
      <c r="Z2051">
        <v>-2.1407659999999998E-2</v>
      </c>
      <c r="AA2051">
        <v>0.84919330000000004</v>
      </c>
      <c r="AB2051">
        <v>16</v>
      </c>
      <c r="AC2051">
        <v>4.98369999999999</v>
      </c>
      <c r="AD2051">
        <v>-1.1093727928929999</v>
      </c>
      <c r="AE2051">
        <v>-4.3790999999999896</v>
      </c>
      <c r="AF2051">
        <v>3.4745607108389498</v>
      </c>
      <c r="AG2051">
        <v>-1.1093727928929999</v>
      </c>
      <c r="AH2051">
        <v>5.4386868139377098</v>
      </c>
      <c r="AI2051">
        <v>99.753470324249093</v>
      </c>
      <c r="AJ2051">
        <v>57.427108934345803</v>
      </c>
      <c r="AK2051">
        <v>6.5484803112643499</v>
      </c>
      <c r="AL2051">
        <v>85.032932021630202</v>
      </c>
      <c r="AM2051">
        <v>77.934574770332802</v>
      </c>
      <c r="AN2051">
        <v>0.99999996122045898</v>
      </c>
    </row>
    <row r="2052" spans="1:40" x14ac:dyDescent="0.25">
      <c r="A2052" t="str">
        <f>"20190312150704376"</f>
        <v>20190312150704376</v>
      </c>
      <c r="B2052" t="str">
        <f>"1552374424372199"</f>
        <v>1552374424372199</v>
      </c>
      <c r="C2052" t="s">
        <v>40</v>
      </c>
      <c r="D2052">
        <v>4.5057219999999996</v>
      </c>
      <c r="E2052">
        <v>0.63698299999999997</v>
      </c>
      <c r="F2052" t="s">
        <v>49</v>
      </c>
      <c r="G2052">
        <v>-203.0642</v>
      </c>
      <c r="H2052" s="1">
        <v>-3.8081789999999999E-6</v>
      </c>
      <c r="I2052">
        <v>361.37459999999999</v>
      </c>
      <c r="J2052">
        <v>-207.88720000000001</v>
      </c>
      <c r="K2052">
        <v>1.1093470000000001</v>
      </c>
      <c r="L2052">
        <v>365.63799999999998</v>
      </c>
      <c r="M2052">
        <v>0.98809499999999995</v>
      </c>
      <c r="N2052">
        <v>0</v>
      </c>
      <c r="O2052">
        <v>-0.15332879999999999</v>
      </c>
      <c r="P2052">
        <v>0.93166479999999996</v>
      </c>
      <c r="Q2052">
        <v>7.4325500000000003E-2</v>
      </c>
      <c r="R2052">
        <v>-0.355635799999999</v>
      </c>
      <c r="S2052">
        <v>2.4516300000000002</v>
      </c>
      <c r="T2052">
        <v>-0.55404770000000003</v>
      </c>
      <c r="U2052">
        <v>-2.136749</v>
      </c>
      <c r="V2052">
        <v>0.2088373</v>
      </c>
      <c r="W2052">
        <v>8.5960819999999993E-2</v>
      </c>
      <c r="X2052">
        <v>0.97416510000000001</v>
      </c>
      <c r="Y2052">
        <v>0.52841850000000001</v>
      </c>
      <c r="Z2052">
        <v>-2.1861249999999999E-2</v>
      </c>
      <c r="AA2052">
        <v>0.84870249999999903</v>
      </c>
      <c r="AB2052">
        <v>16</v>
      </c>
      <c r="AC2052">
        <v>4.8230000000000004</v>
      </c>
      <c r="AD2052">
        <v>-1.10935080817899</v>
      </c>
      <c r="AE2052">
        <v>-4.2634000000000398</v>
      </c>
      <c r="AF2052">
        <v>3.3732335492123</v>
      </c>
      <c r="AG2052">
        <v>-1.10935080817899</v>
      </c>
      <c r="AH2052">
        <v>5.2633968959325399</v>
      </c>
      <c r="AI2052">
        <v>100.06248791670799</v>
      </c>
      <c r="AJ2052">
        <v>57.344787901500801</v>
      </c>
      <c r="AK2052">
        <v>6.3492291403957903</v>
      </c>
      <c r="AL2052">
        <v>85.068721770981099</v>
      </c>
      <c r="AM2052">
        <v>77.900314983101495</v>
      </c>
      <c r="AN2052">
        <v>0.99999996125218504</v>
      </c>
    </row>
    <row r="2053" spans="1:40" x14ac:dyDescent="0.25">
      <c r="A2053" t="str">
        <f>"20190312150704389"</f>
        <v>20190312150704389</v>
      </c>
      <c r="B2053" t="str">
        <f>"1552374424381959"</f>
        <v>1552374424381959</v>
      </c>
      <c r="C2053" t="s">
        <v>40</v>
      </c>
      <c r="D2053">
        <v>4.5826229999999999</v>
      </c>
      <c r="E2053">
        <v>0.63700249999999903</v>
      </c>
      <c r="F2053" t="s">
        <v>49</v>
      </c>
      <c r="G2053">
        <v>-202.8819</v>
      </c>
      <c r="H2053" s="1">
        <v>-3.7409480000000001E-6</v>
      </c>
      <c r="I2053">
        <v>361.26420000000002</v>
      </c>
      <c r="J2053">
        <v>-207.7919</v>
      </c>
      <c r="K2053">
        <v>1.109337</v>
      </c>
      <c r="L2053">
        <v>365.62119999999999</v>
      </c>
      <c r="M2053">
        <v>0.98783089999999996</v>
      </c>
      <c r="N2053">
        <v>0</v>
      </c>
      <c r="O2053">
        <v>-0.1550262</v>
      </c>
      <c r="P2053">
        <v>0.93092710000000001</v>
      </c>
      <c r="Q2053">
        <v>7.3621500000000006E-2</v>
      </c>
      <c r="R2053">
        <v>-0.35770790000000002</v>
      </c>
      <c r="S2053">
        <v>2.4470830000000001</v>
      </c>
      <c r="T2053">
        <v>-0.54236010000000001</v>
      </c>
      <c r="U2053">
        <v>-2.1383359999999998</v>
      </c>
      <c r="V2053">
        <v>0.2093207</v>
      </c>
      <c r="W2053">
        <v>8.5185949999999996E-2</v>
      </c>
      <c r="X2053">
        <v>0.97412940000000003</v>
      </c>
      <c r="Y2053">
        <v>0.528290699999999</v>
      </c>
      <c r="Z2053">
        <v>-2.1112929999999999E-2</v>
      </c>
      <c r="AA2053">
        <v>0.84880100000000003</v>
      </c>
      <c r="AB2053">
        <v>16</v>
      </c>
      <c r="AC2053">
        <v>4.9099999999999904</v>
      </c>
      <c r="AD2053">
        <v>-1.1093407409480001</v>
      </c>
      <c r="AE2053">
        <v>-4.35699999999997</v>
      </c>
      <c r="AF2053">
        <v>3.4447026250524901</v>
      </c>
      <c r="AG2053">
        <v>-1.1093407409480001</v>
      </c>
      <c r="AH2053">
        <v>5.37269567711314</v>
      </c>
      <c r="AI2053">
        <v>99.860592955945904</v>
      </c>
      <c r="AJ2053">
        <v>57.334046603999198</v>
      </c>
      <c r="AK2053">
        <v>6.4778446950695603</v>
      </c>
      <c r="AL2053">
        <v>85.113281926344499</v>
      </c>
      <c r="AM2053">
        <v>77.8727043837427</v>
      </c>
      <c r="AN2053">
        <v>0.99999994473512399</v>
      </c>
    </row>
    <row r="2054" spans="1:40" x14ac:dyDescent="0.25">
      <c r="A2054" t="str">
        <f>"20190312150704402"</f>
        <v>20190312150704402</v>
      </c>
      <c r="B2054" t="str">
        <f>"1552374424391720"</f>
        <v>1552374424391720</v>
      </c>
      <c r="C2054" t="s">
        <v>40</v>
      </c>
      <c r="D2054">
        <v>4.5061640000000001</v>
      </c>
      <c r="E2054">
        <v>0.63681030000000005</v>
      </c>
      <c r="F2054" t="s">
        <v>49</v>
      </c>
      <c r="G2054">
        <v>-202.86279999999999</v>
      </c>
      <c r="H2054" s="1">
        <v>-3.7246939999999999E-6</v>
      </c>
      <c r="I2054">
        <v>361.29399999999998</v>
      </c>
      <c r="J2054">
        <v>-207.70050000000001</v>
      </c>
      <c r="K2054">
        <v>1.1093440000000001</v>
      </c>
      <c r="L2054">
        <v>365.60489999999999</v>
      </c>
      <c r="M2054">
        <v>0.98757269999999997</v>
      </c>
      <c r="N2054">
        <v>0</v>
      </c>
      <c r="O2054">
        <v>-0.1566632</v>
      </c>
      <c r="P2054">
        <v>0.92998780000000003</v>
      </c>
      <c r="Q2054">
        <v>7.1737889999999999E-2</v>
      </c>
      <c r="R2054">
        <v>-0.36052200000000001</v>
      </c>
      <c r="S2054">
        <v>2.442215</v>
      </c>
      <c r="T2054">
        <v>-0.54964279999999999</v>
      </c>
      <c r="U2054">
        <v>-2.1439819999999998</v>
      </c>
      <c r="V2054">
        <v>0.2106246</v>
      </c>
      <c r="W2054">
        <v>8.3289650000000007E-2</v>
      </c>
      <c r="X2054">
        <v>0.9740124</v>
      </c>
      <c r="Y2054">
        <v>0.52871319999999999</v>
      </c>
      <c r="Z2054">
        <v>-2.1149709999999999E-2</v>
      </c>
      <c r="AA2054">
        <v>0.84853699999999999</v>
      </c>
      <c r="AB2054">
        <v>16</v>
      </c>
      <c r="AC2054">
        <v>4.8377000000000097</v>
      </c>
      <c r="AD2054">
        <v>-1.109347724694</v>
      </c>
      <c r="AE2054">
        <v>-4.3108999999999398</v>
      </c>
      <c r="AF2054">
        <v>3.4000557406487499</v>
      </c>
      <c r="AG2054">
        <v>-1.109347724694</v>
      </c>
      <c r="AH2054">
        <v>5.2980797426923596</v>
      </c>
      <c r="AI2054">
        <v>99.994062176931806</v>
      </c>
      <c r="AJ2054">
        <v>57.309581394863798</v>
      </c>
      <c r="AK2054">
        <v>6.3922359447793697</v>
      </c>
      <c r="AL2054">
        <v>85.2223198585028</v>
      </c>
      <c r="AM2054">
        <v>77.7979957284292</v>
      </c>
      <c r="AN2054">
        <v>1.00000002163802</v>
      </c>
    </row>
    <row r="2055" spans="1:40" x14ac:dyDescent="0.25">
      <c r="A2055" t="str">
        <f>"20190312150704416"</f>
        <v>20190312150704416</v>
      </c>
      <c r="B2055" t="str">
        <f>"1552374424412215"</f>
        <v>1552374424412215</v>
      </c>
      <c r="C2055" t="s">
        <v>40</v>
      </c>
      <c r="D2055">
        <v>4.5478500000000004</v>
      </c>
      <c r="E2055">
        <v>0.63666699999999998</v>
      </c>
      <c r="F2055" t="s">
        <v>49</v>
      </c>
      <c r="G2055">
        <v>-202.79589999999999</v>
      </c>
      <c r="H2055" s="1">
        <v>-3.6943969999999999E-6</v>
      </c>
      <c r="I2055">
        <v>361.27890000000002</v>
      </c>
      <c r="J2055">
        <v>-207.60599999999999</v>
      </c>
      <c r="K2055">
        <v>1.1093519999999999</v>
      </c>
      <c r="L2055">
        <v>365.58789999999999</v>
      </c>
      <c r="M2055">
        <v>0.98729800000000001</v>
      </c>
      <c r="N2055">
        <v>0</v>
      </c>
      <c r="O2055">
        <v>-0.15838579999999999</v>
      </c>
      <c r="P2055">
        <v>0.92906029999999995</v>
      </c>
      <c r="Q2055">
        <v>7.0680530000000005E-2</v>
      </c>
      <c r="R2055">
        <v>-0.36311389999999999</v>
      </c>
      <c r="S2055">
        <v>2.4355769999999999</v>
      </c>
      <c r="T2055">
        <v>-0.55088740000000003</v>
      </c>
      <c r="U2055">
        <v>-2.1482540000000001</v>
      </c>
      <c r="V2055">
        <v>0.21162610000000001</v>
      </c>
      <c r="W2055">
        <v>8.2223779999999996E-2</v>
      </c>
      <c r="X2055">
        <v>0.97388580000000002</v>
      </c>
      <c r="Y2055">
        <v>0.52920319999999899</v>
      </c>
      <c r="Z2055">
        <v>-2.095909E-2</v>
      </c>
      <c r="AA2055">
        <v>0.84823630000000005</v>
      </c>
      <c r="AB2055">
        <v>16</v>
      </c>
      <c r="AC2055">
        <v>4.8101000000000003</v>
      </c>
      <c r="AD2055">
        <v>-1.109355694397</v>
      </c>
      <c r="AE2055">
        <v>-4.3089999999999602</v>
      </c>
      <c r="AF2055">
        <v>3.3925766158703499</v>
      </c>
      <c r="AG2055">
        <v>-1.109355694397</v>
      </c>
      <c r="AH2055">
        <v>5.2762146784386603</v>
      </c>
      <c r="AI2055">
        <v>100.029158442385</v>
      </c>
      <c r="AJ2055">
        <v>57.259208520084002</v>
      </c>
      <c r="AK2055">
        <v>6.3701403033381396</v>
      </c>
      <c r="AL2055">
        <v>85.283599596162503</v>
      </c>
      <c r="AM2055">
        <v>77.740181443301594</v>
      </c>
      <c r="AN2055">
        <v>0.99999995382016804</v>
      </c>
    </row>
    <row r="2056" spans="1:40" x14ac:dyDescent="0.25">
      <c r="A2056" t="str">
        <f>"20190312150704428"</f>
        <v>20190312150704428</v>
      </c>
      <c r="B2056" t="str">
        <f>"1552374424421976"</f>
        <v>1552374424421976</v>
      </c>
      <c r="C2056" t="s">
        <v>40</v>
      </c>
      <c r="D2056">
        <v>4.548915</v>
      </c>
      <c r="E2056">
        <v>0.63663539999999996</v>
      </c>
      <c r="F2056" t="s">
        <v>49</v>
      </c>
      <c r="G2056">
        <v>-202.69829999999999</v>
      </c>
      <c r="H2056" s="1">
        <v>-3.6540329999999999E-6</v>
      </c>
      <c r="I2056">
        <v>361.23950000000002</v>
      </c>
      <c r="J2056">
        <v>-207.5187</v>
      </c>
      <c r="K2056">
        <v>1.109359</v>
      </c>
      <c r="L2056">
        <v>365.572</v>
      </c>
      <c r="M2056">
        <v>0.98703909999999995</v>
      </c>
      <c r="N2056">
        <v>0</v>
      </c>
      <c r="O2056">
        <v>-0.1599922</v>
      </c>
      <c r="P2056">
        <v>0.92811330000000003</v>
      </c>
      <c r="Q2056">
        <v>6.9426920000000003E-2</v>
      </c>
      <c r="R2056">
        <v>-0.36576760000000003</v>
      </c>
      <c r="S2056">
        <v>2.4295040000000001</v>
      </c>
      <c r="T2056">
        <v>-0.54918149999999999</v>
      </c>
      <c r="U2056">
        <v>-2.1526179999999999</v>
      </c>
      <c r="V2056">
        <v>0.21280740000000001</v>
      </c>
      <c r="W2056">
        <v>8.0947259999999993E-2</v>
      </c>
      <c r="X2056">
        <v>0.97373540000000003</v>
      </c>
      <c r="Y2056">
        <v>0.52976859999999903</v>
      </c>
      <c r="Z2056">
        <v>-2.0682570000000001E-2</v>
      </c>
      <c r="AA2056">
        <v>0.84788999999999903</v>
      </c>
      <c r="AB2056">
        <v>16</v>
      </c>
      <c r="AC2056">
        <v>4.8204000000000002</v>
      </c>
      <c r="AD2056">
        <v>-1.1093626540329999</v>
      </c>
      <c r="AE2056">
        <v>-4.3324999999999196</v>
      </c>
      <c r="AF2056">
        <v>3.4056190880463801</v>
      </c>
      <c r="AG2056">
        <v>-1.1093626540329999</v>
      </c>
      <c r="AH2056">
        <v>5.29634698679404</v>
      </c>
      <c r="AI2056">
        <v>99.991784989685698</v>
      </c>
      <c r="AJ2056">
        <v>57.258462218200599</v>
      </c>
      <c r="AK2056">
        <v>6.3937640146905101</v>
      </c>
      <c r="AL2056">
        <v>85.356983845038997</v>
      </c>
      <c r="AM2056">
        <v>77.671987842367699</v>
      </c>
      <c r="AN2056">
        <v>1.0000000388047099</v>
      </c>
    </row>
    <row r="2057" spans="1:40" x14ac:dyDescent="0.25">
      <c r="A2057" t="str">
        <f>"20190312150704440"</f>
        <v>20190312150704440</v>
      </c>
      <c r="B2057" t="str">
        <f>"1552374424431735"</f>
        <v>1552374424431735</v>
      </c>
      <c r="C2057" t="s">
        <v>40</v>
      </c>
      <c r="D2057">
        <v>4.5900610000000004</v>
      </c>
      <c r="E2057">
        <v>0.63656299999999999</v>
      </c>
      <c r="F2057" t="s">
        <v>49</v>
      </c>
      <c r="G2057">
        <v>-202.6651</v>
      </c>
      <c r="H2057" s="1">
        <v>-3.6349070000000001E-6</v>
      </c>
      <c r="I2057">
        <v>361.25040000000001</v>
      </c>
      <c r="J2057">
        <v>-207.435</v>
      </c>
      <c r="K2057">
        <v>1.1093440000000001</v>
      </c>
      <c r="L2057">
        <v>365.5566</v>
      </c>
      <c r="M2057">
        <v>0.98678520000000003</v>
      </c>
      <c r="N2057">
        <v>0</v>
      </c>
      <c r="O2057">
        <v>-0.161554</v>
      </c>
      <c r="P2057">
        <v>0.9270079</v>
      </c>
      <c r="Q2057">
        <v>6.8479139999999994E-2</v>
      </c>
      <c r="R2057">
        <v>-0.36873729999999999</v>
      </c>
      <c r="S2057">
        <v>2.4234309999999999</v>
      </c>
      <c r="T2057">
        <v>-0.55391409999999996</v>
      </c>
      <c r="U2057">
        <v>-2.1578059999999999</v>
      </c>
      <c r="V2057">
        <v>0.2143728</v>
      </c>
      <c r="W2057">
        <v>7.9945820000000001E-2</v>
      </c>
      <c r="X2057">
        <v>0.97347470000000003</v>
      </c>
      <c r="Y2057">
        <v>0.53041490000000002</v>
      </c>
      <c r="Z2057">
        <v>-2.0657269999999998E-2</v>
      </c>
      <c r="AA2057">
        <v>0.84748650000000003</v>
      </c>
      <c r="AB2057">
        <v>16</v>
      </c>
      <c r="AC2057">
        <v>4.7698999999999998</v>
      </c>
      <c r="AD2057">
        <v>-1.1093476349069999</v>
      </c>
      <c r="AE2057">
        <v>-4.3061999999999898</v>
      </c>
      <c r="AF2057">
        <v>3.37829078327918</v>
      </c>
      <c r="AG2057">
        <v>-1.1093476349069999</v>
      </c>
      <c r="AH2057">
        <v>5.2466143209028502</v>
      </c>
      <c r="AI2057">
        <v>100.080445025529</v>
      </c>
      <c r="AJ2057">
        <v>57.222547127547202</v>
      </c>
      <c r="AK2057">
        <v>6.3380172470391498</v>
      </c>
      <c r="AL2057">
        <v>85.414548577380501</v>
      </c>
      <c r="AM2057">
        <v>77.580884370152305</v>
      </c>
      <c r="AN2057">
        <v>1.0000000115276999</v>
      </c>
    </row>
    <row r="2058" spans="1:40" x14ac:dyDescent="0.25">
      <c r="A2058" t="str">
        <f>"20190312150704452"</f>
        <v>20190312150704452</v>
      </c>
      <c r="B2058" t="str">
        <f>"1552374424442471"</f>
        <v>1552374424442471</v>
      </c>
      <c r="C2058" t="s">
        <v>40</v>
      </c>
      <c r="D2058">
        <v>4.558001</v>
      </c>
      <c r="E2058">
        <v>0.63654949999999999</v>
      </c>
      <c r="F2058" t="s">
        <v>49</v>
      </c>
      <c r="G2058">
        <v>-202.63890000000001</v>
      </c>
      <c r="H2058" s="1">
        <v>-3.6190340000000001E-6</v>
      </c>
      <c r="I2058">
        <v>361.26249999999999</v>
      </c>
      <c r="J2058">
        <v>-207.3545</v>
      </c>
      <c r="K2058">
        <v>1.109321</v>
      </c>
      <c r="L2058">
        <v>365.54160000000002</v>
      </c>
      <c r="M2058">
        <v>0.98653729999999995</v>
      </c>
      <c r="N2058">
        <v>0</v>
      </c>
      <c r="O2058">
        <v>-0.1630645</v>
      </c>
      <c r="P2058">
        <v>0.92592949999999996</v>
      </c>
      <c r="Q2058">
        <v>6.7800780000000005E-2</v>
      </c>
      <c r="R2058">
        <v>-0.37156109999999998</v>
      </c>
      <c r="S2058">
        <v>2.4168090000000002</v>
      </c>
      <c r="T2058">
        <v>-0.55901380000000001</v>
      </c>
      <c r="U2058">
        <v>-2.163818</v>
      </c>
      <c r="V2058">
        <v>0.2158429</v>
      </c>
      <c r="W2058">
        <v>7.9202410000000001E-2</v>
      </c>
      <c r="X2058">
        <v>0.97321060000000004</v>
      </c>
      <c r="Y2058">
        <v>0.53134939999999997</v>
      </c>
      <c r="Z2058">
        <v>-2.0681089999999999E-2</v>
      </c>
      <c r="AA2058">
        <v>0.84690030000000005</v>
      </c>
      <c r="AB2058">
        <v>16</v>
      </c>
      <c r="AC2058">
        <v>4.7155999999999896</v>
      </c>
      <c r="AD2058">
        <v>-1.109324619034</v>
      </c>
      <c r="AE2058">
        <v>-4.2791000000000201</v>
      </c>
      <c r="AF2058">
        <v>3.3511063029642201</v>
      </c>
      <c r="AG2058">
        <v>-1.109324619034</v>
      </c>
      <c r="AH2058">
        <v>5.1927007465767296</v>
      </c>
      <c r="AI2058">
        <v>100.176137974716</v>
      </c>
      <c r="AJ2058">
        <v>57.163848672817402</v>
      </c>
      <c r="AK2058">
        <v>6.2789056058886503</v>
      </c>
      <c r="AL2058">
        <v>85.457278395447901</v>
      </c>
      <c r="AM2058">
        <v>77.495101010707899</v>
      </c>
      <c r="AN2058">
        <v>1.00000002559128</v>
      </c>
    </row>
    <row r="2059" spans="1:40" x14ac:dyDescent="0.25">
      <c r="A2059" t="str">
        <f>"20190312150704462"</f>
        <v>20190312150704462</v>
      </c>
      <c r="B2059" t="str">
        <f>"1552374424452232"</f>
        <v>1552374424452232</v>
      </c>
      <c r="C2059" t="s">
        <v>40</v>
      </c>
      <c r="D2059">
        <v>4.5170539999999999</v>
      </c>
      <c r="E2059">
        <v>0.63649509999999998</v>
      </c>
      <c r="F2059" t="s">
        <v>49</v>
      </c>
      <c r="G2059">
        <v>-202.595</v>
      </c>
      <c r="H2059" s="1">
        <v>-3.5984160000000002E-6</v>
      </c>
      <c r="I2059">
        <v>361.25580000000002</v>
      </c>
      <c r="J2059">
        <v>-207.2731</v>
      </c>
      <c r="K2059">
        <v>1.1092949999999999</v>
      </c>
      <c r="L2059">
        <v>365.52640000000002</v>
      </c>
      <c r="M2059">
        <v>0.98628380000000004</v>
      </c>
      <c r="N2059">
        <v>0</v>
      </c>
      <c r="O2059">
        <v>-0.1645962</v>
      </c>
      <c r="P2059">
        <v>0.92465609999999998</v>
      </c>
      <c r="Q2059">
        <v>6.7753889999999997E-2</v>
      </c>
      <c r="R2059">
        <v>-0.3747279</v>
      </c>
      <c r="S2059">
        <v>2.410202</v>
      </c>
      <c r="T2059">
        <v>-0.56176040000000005</v>
      </c>
      <c r="U2059">
        <v>-2.1703190000000001</v>
      </c>
      <c r="V2059">
        <v>0.21766579999999999</v>
      </c>
      <c r="W2059">
        <v>7.9079759999999999E-2</v>
      </c>
      <c r="X2059">
        <v>0.97281450000000003</v>
      </c>
      <c r="Y2059">
        <v>0.53240089999999995</v>
      </c>
      <c r="Z2059">
        <v>-2.0622999999999999E-2</v>
      </c>
      <c r="AA2059">
        <v>0.84624109999999997</v>
      </c>
      <c r="AB2059">
        <v>16</v>
      </c>
      <c r="AC2059">
        <v>4.6780999999999997</v>
      </c>
      <c r="AD2059">
        <v>-1.109298598416</v>
      </c>
      <c r="AE2059">
        <v>-4.2706</v>
      </c>
      <c r="AF2059">
        <v>3.33985646092379</v>
      </c>
      <c r="AG2059">
        <v>-1.109298598416</v>
      </c>
      <c r="AH2059">
        <v>5.1590384713049797</v>
      </c>
      <c r="AI2059">
        <v>100.231626288135</v>
      </c>
      <c r="AJ2059">
        <v>57.081802364199497</v>
      </c>
      <c r="AK2059">
        <v>6.2450670539576203</v>
      </c>
      <c r="AL2059">
        <v>85.464327854533096</v>
      </c>
      <c r="AM2059">
        <v>77.387884427617294</v>
      </c>
      <c r="AN2059">
        <v>1.0000000301707701</v>
      </c>
    </row>
    <row r="2060" spans="1:40" x14ac:dyDescent="0.25">
      <c r="A2060" t="str">
        <f>"20190312150704475"</f>
        <v>20190312150704475</v>
      </c>
      <c r="B2060" t="str">
        <f>"1552374424471752"</f>
        <v>1552374424471752</v>
      </c>
      <c r="C2060" t="s">
        <v>40</v>
      </c>
      <c r="D2060">
        <v>4.4731730000000001</v>
      </c>
      <c r="E2060">
        <v>0.63642319999999997</v>
      </c>
      <c r="F2060" t="s">
        <v>49</v>
      </c>
      <c r="G2060">
        <v>-202.5137</v>
      </c>
      <c r="H2060" s="1">
        <v>-3.5667589999999998E-6</v>
      </c>
      <c r="I2060">
        <v>361.21409999999997</v>
      </c>
      <c r="J2060">
        <v>-207.19159999999999</v>
      </c>
      <c r="K2060">
        <v>1.109273</v>
      </c>
      <c r="L2060">
        <v>365.51100000000002</v>
      </c>
      <c r="M2060">
        <v>0.98602659999999998</v>
      </c>
      <c r="N2060">
        <v>0</v>
      </c>
      <c r="O2060">
        <v>-0.16613259999999999</v>
      </c>
      <c r="P2060">
        <v>0.92341870000000004</v>
      </c>
      <c r="Q2060">
        <v>6.7624139999999999E-2</v>
      </c>
      <c r="R2060">
        <v>-0.3777896</v>
      </c>
      <c r="S2060">
        <v>2.403076</v>
      </c>
      <c r="T2060">
        <v>-0.56009589999999998</v>
      </c>
      <c r="U2060">
        <v>-2.177368</v>
      </c>
      <c r="V2060">
        <v>0.21937609999999999</v>
      </c>
      <c r="W2060">
        <v>7.8888680000000003E-2</v>
      </c>
      <c r="X2060">
        <v>0.97244569999999997</v>
      </c>
      <c r="Y2060">
        <v>0.53372330000000001</v>
      </c>
      <c r="Z2060">
        <v>-2.0432990000000002E-2</v>
      </c>
      <c r="AA2060">
        <v>0.84541230000000001</v>
      </c>
      <c r="AB2060">
        <v>16</v>
      </c>
      <c r="AC2060">
        <v>4.6778999999999904</v>
      </c>
      <c r="AD2060">
        <v>-1.1092765667590001</v>
      </c>
      <c r="AE2060">
        <v>-4.2968999999999902</v>
      </c>
      <c r="AF2060">
        <v>3.3575674267062499</v>
      </c>
      <c r="AG2060">
        <v>-1.1092765667590001</v>
      </c>
      <c r="AH2060">
        <v>5.1691415890944201</v>
      </c>
      <c r="AI2060">
        <v>100.20199385514201</v>
      </c>
      <c r="AJ2060">
        <v>56.994639387099802</v>
      </c>
      <c r="AK2060">
        <v>6.2628889735125499</v>
      </c>
      <c r="AL2060">
        <v>85.475309961529604</v>
      </c>
      <c r="AM2060">
        <v>77.287328646391899</v>
      </c>
      <c r="AN2060">
        <v>0.99999996826591997</v>
      </c>
    </row>
    <row r="2061" spans="1:40" x14ac:dyDescent="0.25">
      <c r="A2061" t="str">
        <f>"20190312150704488"</f>
        <v>20190312150704488</v>
      </c>
      <c r="B2061" t="str">
        <f>"1552374424482488"</f>
        <v>1552374424482488</v>
      </c>
      <c r="C2061" t="s">
        <v>40</v>
      </c>
      <c r="D2061">
        <v>4.5404249999999999</v>
      </c>
      <c r="E2061">
        <v>0.63642319999999997</v>
      </c>
      <c r="F2061" t="s">
        <v>49</v>
      </c>
      <c r="G2061">
        <v>-202.393</v>
      </c>
      <c r="H2061" s="1">
        <v>-3.5230949999999999E-6</v>
      </c>
      <c r="I2061">
        <v>361.137</v>
      </c>
      <c r="J2061">
        <v>-207.09989999999999</v>
      </c>
      <c r="K2061">
        <v>1.109254</v>
      </c>
      <c r="L2061">
        <v>365.49349999999998</v>
      </c>
      <c r="M2061">
        <v>0.98573330000000003</v>
      </c>
      <c r="N2061">
        <v>0</v>
      </c>
      <c r="O2061">
        <v>-0.1678674</v>
      </c>
      <c r="P2061">
        <v>0.92210420000000004</v>
      </c>
      <c r="Q2061">
        <v>6.7651240000000001E-2</v>
      </c>
      <c r="R2061">
        <v>-0.3809825</v>
      </c>
      <c r="S2061">
        <v>2.395905</v>
      </c>
      <c r="T2061">
        <v>-0.55384949999999999</v>
      </c>
      <c r="U2061">
        <v>-2.1838679999999999</v>
      </c>
      <c r="V2061">
        <v>0.2210348</v>
      </c>
      <c r="W2061">
        <v>7.8856830000000003E-2</v>
      </c>
      <c r="X2061">
        <v>0.97207270000000001</v>
      </c>
      <c r="Y2061">
        <v>0.53486709999999904</v>
      </c>
      <c r="Z2061">
        <v>-2.002721E-2</v>
      </c>
      <c r="AA2061">
        <v>0.84469879999999997</v>
      </c>
      <c r="AB2061">
        <v>16</v>
      </c>
      <c r="AC2061">
        <v>4.7068999999999903</v>
      </c>
      <c r="AD2061">
        <v>-1.1092575230949999</v>
      </c>
      <c r="AE2061">
        <v>-4.3565000000000396</v>
      </c>
      <c r="AF2061">
        <v>3.40269002840405</v>
      </c>
      <c r="AG2061">
        <v>-1.1092575230949999</v>
      </c>
      <c r="AH2061">
        <v>5.2154550492574199</v>
      </c>
      <c r="AI2061">
        <v>100.10005677578999</v>
      </c>
      <c r="AJ2061">
        <v>56.878590853133602</v>
      </c>
      <c r="AK2061">
        <v>6.3253239484446899</v>
      </c>
      <c r="AL2061">
        <v>85.477140942875906</v>
      </c>
      <c r="AM2061">
        <v>77.189614527923695</v>
      </c>
      <c r="AN2061">
        <v>1.0000000582669799</v>
      </c>
    </row>
    <row r="2062" spans="1:40" x14ac:dyDescent="0.25">
      <c r="A2062" t="str">
        <f>"20190312150704499"</f>
        <v>20190312150704499</v>
      </c>
      <c r="B2062" t="str">
        <f>"1552374424492248"</f>
        <v>1552374424492248</v>
      </c>
      <c r="C2062" t="s">
        <v>40</v>
      </c>
      <c r="D2062">
        <v>4.5571729999999997</v>
      </c>
      <c r="E2062">
        <v>0.63192000000000004</v>
      </c>
      <c r="F2062" t="s">
        <v>49</v>
      </c>
      <c r="G2062">
        <v>-202.3186</v>
      </c>
      <c r="H2062" s="1">
        <v>-3.4925839999999998E-6</v>
      </c>
      <c r="I2062">
        <v>361.10579999999999</v>
      </c>
      <c r="J2062">
        <v>-207.0224</v>
      </c>
      <c r="K2062">
        <v>1.1092390000000001</v>
      </c>
      <c r="L2062">
        <v>365.4785</v>
      </c>
      <c r="M2062">
        <v>0.98548069999999999</v>
      </c>
      <c r="N2062">
        <v>0</v>
      </c>
      <c r="O2062">
        <v>-0.1693453</v>
      </c>
      <c r="P2062">
        <v>0.92092589999999996</v>
      </c>
      <c r="Q2062">
        <v>6.8314819999999998E-2</v>
      </c>
      <c r="R2062">
        <v>-0.3837045</v>
      </c>
      <c r="S2062">
        <v>2.3884889999999999</v>
      </c>
      <c r="T2062">
        <v>-0.55412640000000002</v>
      </c>
      <c r="U2062">
        <v>-2.1918329999999999</v>
      </c>
      <c r="V2062">
        <v>0.22246270000000001</v>
      </c>
      <c r="W2062">
        <v>7.9487619999999995E-2</v>
      </c>
      <c r="X2062">
        <v>0.97169550000000005</v>
      </c>
      <c r="Y2062">
        <v>0.53642509999999999</v>
      </c>
      <c r="Z2062">
        <v>-1.9941710000000001E-2</v>
      </c>
      <c r="AA2062">
        <v>0.84371229999999997</v>
      </c>
      <c r="AB2062">
        <v>16</v>
      </c>
      <c r="AC2062">
        <v>4.7038000000000002</v>
      </c>
      <c r="AD2062">
        <v>-1.1092424925840001</v>
      </c>
      <c r="AE2062">
        <v>-4.3727</v>
      </c>
      <c r="AF2062">
        <v>3.4111502261725999</v>
      </c>
      <c r="AG2062">
        <v>-1.1092424925840001</v>
      </c>
      <c r="AH2062">
        <v>5.2206654791019202</v>
      </c>
      <c r="AI2062">
        <v>100.08566530453599</v>
      </c>
      <c r="AJ2062">
        <v>56.839649874955199</v>
      </c>
      <c r="AK2062">
        <v>6.3341702548603598</v>
      </c>
      <c r="AL2062">
        <v>85.4408854472141</v>
      </c>
      <c r="AM2062">
        <v>77.104777885988995</v>
      </c>
      <c r="AN2062">
        <v>1.0000000396724</v>
      </c>
    </row>
    <row r="2063" spans="1:40" x14ac:dyDescent="0.25">
      <c r="A2063" t="str">
        <f>"20190312150704510"</f>
        <v>20190312150704510</v>
      </c>
      <c r="B2063" t="str">
        <f>"1552374424502010"</f>
        <v>1552374424502010</v>
      </c>
      <c r="C2063" t="s">
        <v>40</v>
      </c>
      <c r="D2063">
        <v>4.5293039999999998</v>
      </c>
      <c r="E2063">
        <v>0.63203199999999904</v>
      </c>
      <c r="F2063" t="s">
        <v>50</v>
      </c>
      <c r="G2063">
        <v>-168.40010000000001</v>
      </c>
      <c r="H2063">
        <v>0.3135191</v>
      </c>
      <c r="I2063">
        <v>330.65750000000003</v>
      </c>
      <c r="J2063">
        <v>-206.94649999999999</v>
      </c>
      <c r="K2063">
        <v>1.109235</v>
      </c>
      <c r="L2063">
        <v>365.46370000000002</v>
      </c>
      <c r="M2063">
        <v>0.98522889999999996</v>
      </c>
      <c r="N2063">
        <v>0</v>
      </c>
      <c r="O2063">
        <v>-0.17080409999999999</v>
      </c>
      <c r="P2063">
        <v>0.91972860000000001</v>
      </c>
      <c r="Q2063">
        <v>6.9556270000000003E-2</v>
      </c>
      <c r="R2063">
        <v>-0.3863433</v>
      </c>
      <c r="S2063">
        <v>2.3706510000000001</v>
      </c>
      <c r="T2063">
        <v>-4.884136E-2</v>
      </c>
      <c r="U2063">
        <v>-2.1373289999999998</v>
      </c>
      <c r="V2063">
        <v>0.22383359999999999</v>
      </c>
      <c r="W2063">
        <v>8.0701529999999994E-2</v>
      </c>
      <c r="X2063">
        <v>0.97128049999999999</v>
      </c>
      <c r="Y2063">
        <v>0.53286239999999996</v>
      </c>
      <c r="Z2063">
        <v>-1.737691E-3</v>
      </c>
      <c r="AA2063">
        <v>0.84620019999999996</v>
      </c>
      <c r="AB2063">
        <v>16</v>
      </c>
      <c r="AC2063">
        <v>38.546399999999899</v>
      </c>
      <c r="AD2063">
        <v>-0.79571590000000003</v>
      </c>
      <c r="AE2063">
        <v>-34.806199999999897</v>
      </c>
      <c r="AF2063">
        <v>27.703765780985702</v>
      </c>
      <c r="AG2063">
        <v>-0.79571590000000003</v>
      </c>
      <c r="AH2063">
        <v>43.915054265167797</v>
      </c>
      <c r="AI2063">
        <v>90.877979272388401</v>
      </c>
      <c r="AJ2063">
        <v>57.754264838079102</v>
      </c>
      <c r="AK2063">
        <v>51.929411640744199</v>
      </c>
      <c r="AL2063">
        <v>85.371109232913199</v>
      </c>
      <c r="AM2063">
        <v>77.022637671889797</v>
      </c>
      <c r="AN2063">
        <v>1.0000000135567699</v>
      </c>
    </row>
    <row r="2064" spans="1:40" x14ac:dyDescent="0.25">
      <c r="A2064" t="str">
        <f>"20190312150704521"</f>
        <v>20190312150704521</v>
      </c>
      <c r="B2064" t="str">
        <f>"1552374424511768"</f>
        <v>1552374424511768</v>
      </c>
      <c r="C2064" t="s">
        <v>40</v>
      </c>
      <c r="D2064">
        <v>4.596177</v>
      </c>
      <c r="E2064">
        <v>0.63147390000000003</v>
      </c>
      <c r="F2064" t="s">
        <v>50</v>
      </c>
      <c r="G2064">
        <v>-168.40010000000001</v>
      </c>
      <c r="H2064">
        <v>0.32808549999999997</v>
      </c>
      <c r="I2064">
        <v>330.49349999999998</v>
      </c>
      <c r="J2064">
        <v>-206.86619999999999</v>
      </c>
      <c r="K2064">
        <v>1.1092340000000001</v>
      </c>
      <c r="L2064">
        <v>365.4479</v>
      </c>
      <c r="M2064">
        <v>0.98495820000000001</v>
      </c>
      <c r="N2064">
        <v>0</v>
      </c>
      <c r="O2064">
        <v>-0.1723595</v>
      </c>
      <c r="P2064">
        <v>0.91854009999999997</v>
      </c>
      <c r="Q2064">
        <v>7.0667359999999999E-2</v>
      </c>
      <c r="R2064">
        <v>-0.38896120000000001</v>
      </c>
      <c r="S2064">
        <v>2.3644099999999999</v>
      </c>
      <c r="T2064">
        <v>-4.7914859999999997E-2</v>
      </c>
      <c r="U2064">
        <v>-2.1450499999999999</v>
      </c>
      <c r="V2064">
        <v>0.22508719999999999</v>
      </c>
      <c r="W2064">
        <v>8.1790370000000001E-2</v>
      </c>
      <c r="X2064">
        <v>0.97089959999999997</v>
      </c>
      <c r="Y2064">
        <v>0.53415489999999999</v>
      </c>
      <c r="Z2064">
        <v>-1.6921579999999901E-3</v>
      </c>
      <c r="AA2064">
        <v>0.84538500000000005</v>
      </c>
      <c r="AB2064">
        <v>16</v>
      </c>
      <c r="AC2064">
        <v>38.466099999999898</v>
      </c>
      <c r="AD2064">
        <v>-0.78114849999999902</v>
      </c>
      <c r="AE2064">
        <v>-34.9544</v>
      </c>
      <c r="AF2064">
        <v>27.7944258827205</v>
      </c>
      <c r="AG2064">
        <v>-0.78114849999999902</v>
      </c>
      <c r="AH2064">
        <v>43.905590143183701</v>
      </c>
      <c r="AI2064">
        <v>90.861237772820402</v>
      </c>
      <c r="AJ2064">
        <v>57.664151776717802</v>
      </c>
      <c r="AK2064">
        <v>51.969617556321602</v>
      </c>
      <c r="AL2064">
        <v>85.308516175380305</v>
      </c>
      <c r="AM2064">
        <v>76.947493488548105</v>
      </c>
      <c r="AN2064">
        <v>0.99999997275436803</v>
      </c>
    </row>
    <row r="2065" spans="1:40" x14ac:dyDescent="0.25">
      <c r="A2065" t="str">
        <f>"20190312150704531"</f>
        <v>20190312150704531</v>
      </c>
      <c r="B2065" t="str">
        <f>"1552374424522504"</f>
        <v>1552374424522504</v>
      </c>
      <c r="C2065" t="s">
        <v>40</v>
      </c>
      <c r="D2065">
        <v>4.4957379999999896</v>
      </c>
      <c r="E2065">
        <v>0.63078109999999998</v>
      </c>
      <c r="F2065" t="s">
        <v>50</v>
      </c>
      <c r="G2065">
        <v>-168.40010000000001</v>
      </c>
      <c r="H2065">
        <v>0.2918888</v>
      </c>
      <c r="I2065">
        <v>330.44060000000002</v>
      </c>
      <c r="J2065">
        <v>-206.79650000000001</v>
      </c>
      <c r="K2065">
        <v>1.109235</v>
      </c>
      <c r="L2065">
        <v>365.4341</v>
      </c>
      <c r="M2065">
        <v>0.98471770000000003</v>
      </c>
      <c r="N2065">
        <v>0</v>
      </c>
      <c r="O2065">
        <v>-0.17372870000000001</v>
      </c>
      <c r="P2065">
        <v>0.91757549999999999</v>
      </c>
      <c r="Q2065">
        <v>7.2028289999999995E-2</v>
      </c>
      <c r="R2065">
        <v>-0.39098290000000002</v>
      </c>
      <c r="S2065">
        <v>2.360306</v>
      </c>
      <c r="T2065">
        <v>-5.0152420000000003E-2</v>
      </c>
      <c r="U2065">
        <v>-2.1480709999999998</v>
      </c>
      <c r="V2065">
        <v>0.2259003</v>
      </c>
      <c r="W2065">
        <v>8.3131419999999998E-2</v>
      </c>
      <c r="X2065">
        <v>0.97059680000000004</v>
      </c>
      <c r="Y2065">
        <v>0.53429919999999997</v>
      </c>
      <c r="Z2065">
        <v>-1.75055E-3</v>
      </c>
      <c r="AA2065">
        <v>0.84529359999999998</v>
      </c>
      <c r="AB2065">
        <v>16</v>
      </c>
      <c r="AC2065">
        <v>38.3964</v>
      </c>
      <c r="AD2065">
        <v>-0.81734619999999902</v>
      </c>
      <c r="AE2065">
        <v>-34.993499999999898</v>
      </c>
      <c r="AF2065">
        <v>27.783360691999999</v>
      </c>
      <c r="AG2065">
        <v>-0.81734619999999902</v>
      </c>
      <c r="AH2065">
        <v>43.881406428968099</v>
      </c>
      <c r="AI2065">
        <v>90.901597444146105</v>
      </c>
      <c r="AJ2065">
        <v>57.660195665982599</v>
      </c>
      <c r="AK2065">
        <v>51.9438255843436</v>
      </c>
      <c r="AL2065">
        <v>85.231417041003297</v>
      </c>
      <c r="AM2065">
        <v>76.898020483713296</v>
      </c>
      <c r="AN2065">
        <v>0.99999996335077201</v>
      </c>
    </row>
    <row r="2066" spans="1:40" x14ac:dyDescent="0.25">
      <c r="A2066" t="str">
        <f>"20190312150704542"</f>
        <v>20190312150704542</v>
      </c>
      <c r="B2066" t="str">
        <f>"1552374424532264"</f>
        <v>1552374424532264</v>
      </c>
      <c r="C2066" t="s">
        <v>40</v>
      </c>
      <c r="D2066">
        <v>4.4993919999999896</v>
      </c>
      <c r="E2066">
        <v>0.63070439999999905</v>
      </c>
      <c r="F2066" t="s">
        <v>50</v>
      </c>
      <c r="G2066">
        <v>-168.40010000000001</v>
      </c>
      <c r="H2066">
        <v>0.30928670000000003</v>
      </c>
      <c r="I2066">
        <v>330.4425</v>
      </c>
      <c r="J2066">
        <v>-206.72309999999999</v>
      </c>
      <c r="K2066">
        <v>1.1092340000000001</v>
      </c>
      <c r="L2066">
        <v>365.4194</v>
      </c>
      <c r="M2066">
        <v>0.98446129999999998</v>
      </c>
      <c r="N2066">
        <v>0</v>
      </c>
      <c r="O2066">
        <v>-0.17517720000000001</v>
      </c>
      <c r="P2066">
        <v>0.91660730000000001</v>
      </c>
      <c r="Q2066">
        <v>7.3087299999999994E-2</v>
      </c>
      <c r="R2066">
        <v>-0.39305259999999997</v>
      </c>
      <c r="S2066">
        <v>2.357758</v>
      </c>
      <c r="T2066">
        <v>-4.9121020000000001E-2</v>
      </c>
      <c r="U2066">
        <v>-2.148682</v>
      </c>
      <c r="V2066">
        <v>0.2266831</v>
      </c>
      <c r="W2066">
        <v>8.4170120000000001E-2</v>
      </c>
      <c r="X2066">
        <v>0.97032479999999999</v>
      </c>
      <c r="Y2066">
        <v>0.53363159999999998</v>
      </c>
      <c r="Z2066">
        <v>-1.6854089999999999E-3</v>
      </c>
      <c r="AA2066">
        <v>0.84571529999999995</v>
      </c>
      <c r="AB2066">
        <v>16</v>
      </c>
      <c r="AC2066">
        <v>38.322999999999901</v>
      </c>
      <c r="AD2066">
        <v>-0.79994730000000003</v>
      </c>
      <c r="AE2066">
        <v>-34.976900000000001</v>
      </c>
      <c r="AF2066">
        <v>27.7155643806793</v>
      </c>
      <c r="AG2066">
        <v>-0.79994730000000003</v>
      </c>
      <c r="AH2066">
        <v>43.847508235902303</v>
      </c>
      <c r="AI2066">
        <v>90.883511866402898</v>
      </c>
      <c r="AJ2066">
        <v>57.7034354641305</v>
      </c>
      <c r="AK2066">
        <v>51.878670020730802</v>
      </c>
      <c r="AL2066">
        <v>85.171694899654696</v>
      </c>
      <c r="AM2066">
        <v>76.850635992608602</v>
      </c>
      <c r="AN2066">
        <v>1.0000000272107299</v>
      </c>
    </row>
    <row r="2067" spans="1:40" x14ac:dyDescent="0.25">
      <c r="A2067" t="str">
        <f>"20190312150704553"</f>
        <v>20190312150704553</v>
      </c>
      <c r="B2067" t="str">
        <f>"1552374424542024"</f>
        <v>1552374424542024</v>
      </c>
      <c r="C2067" t="s">
        <v>40</v>
      </c>
      <c r="D2067">
        <v>4.5471320000000004</v>
      </c>
      <c r="E2067">
        <v>0.63070439999999905</v>
      </c>
      <c r="F2067" t="s">
        <v>50</v>
      </c>
      <c r="G2067">
        <v>-168.40010000000001</v>
      </c>
      <c r="H2067">
        <v>0.34381450000000002</v>
      </c>
      <c r="I2067">
        <v>330.3424</v>
      </c>
      <c r="J2067">
        <v>-206.64580000000001</v>
      </c>
      <c r="K2067">
        <v>1.1092280000000001</v>
      </c>
      <c r="L2067">
        <v>365.40379999999999</v>
      </c>
      <c r="M2067">
        <v>0.98418559999999999</v>
      </c>
      <c r="N2067">
        <v>0</v>
      </c>
      <c r="O2067">
        <v>-0.17671990000000001</v>
      </c>
      <c r="P2067">
        <v>0.91568459999999996</v>
      </c>
      <c r="Q2067">
        <v>7.3933739999999998E-2</v>
      </c>
      <c r="R2067">
        <v>-0.39503929999999998</v>
      </c>
      <c r="S2067">
        <v>2.3530880000000001</v>
      </c>
      <c r="T2067">
        <v>-4.6997549999999999E-2</v>
      </c>
      <c r="U2067">
        <v>-2.153778</v>
      </c>
      <c r="V2067">
        <v>0.22728329999999999</v>
      </c>
      <c r="W2067">
        <v>8.4994479999999997E-2</v>
      </c>
      <c r="X2067">
        <v>0.97011250000000004</v>
      </c>
      <c r="Y2067">
        <v>0.53414209999999995</v>
      </c>
      <c r="Z2067">
        <v>-1.593403E-3</v>
      </c>
      <c r="AA2067">
        <v>0.84539319999999896</v>
      </c>
      <c r="AB2067">
        <v>16</v>
      </c>
      <c r="AC2067">
        <v>38.245699999999999</v>
      </c>
      <c r="AD2067">
        <v>-0.76541349999999997</v>
      </c>
      <c r="AE2067">
        <v>-35.0613999999999</v>
      </c>
      <c r="AF2067">
        <v>27.744175291483199</v>
      </c>
      <c r="AG2067">
        <v>-0.76541349999999997</v>
      </c>
      <c r="AH2067">
        <v>43.8306370313828</v>
      </c>
      <c r="AI2067">
        <v>90.845359349462797</v>
      </c>
      <c r="AJ2067">
        <v>57.666766300189202</v>
      </c>
      <c r="AK2067">
        <v>51.879185257744297</v>
      </c>
      <c r="AL2067">
        <v>85.124292607363401</v>
      </c>
      <c r="AM2067">
        <v>76.814249895373806</v>
      </c>
      <c r="AN2067">
        <v>1.0000000113728</v>
      </c>
    </row>
    <row r="2068" spans="1:40" x14ac:dyDescent="0.25">
      <c r="A2068" t="str">
        <f>"20190312150704565"</f>
        <v>20190312150704565</v>
      </c>
      <c r="B2068" t="str">
        <f>"1552374424562519"</f>
        <v>1552374424562519</v>
      </c>
      <c r="C2068" t="s">
        <v>40</v>
      </c>
      <c r="D2068">
        <v>4.5578810000000001</v>
      </c>
      <c r="E2068">
        <v>0.63513149999999996</v>
      </c>
      <c r="F2068" t="s">
        <v>50</v>
      </c>
      <c r="G2068">
        <v>-168.40010000000001</v>
      </c>
      <c r="H2068">
        <v>0.39463530000000002</v>
      </c>
      <c r="I2068">
        <v>330.24329999999998</v>
      </c>
      <c r="J2068">
        <v>-206.56129999999999</v>
      </c>
      <c r="K2068">
        <v>1.1092310000000001</v>
      </c>
      <c r="L2068">
        <v>365.38670000000002</v>
      </c>
      <c r="M2068">
        <v>0.98388030000000004</v>
      </c>
      <c r="N2068">
        <v>0</v>
      </c>
      <c r="O2068">
        <v>-0.17841299999999999</v>
      </c>
      <c r="P2068">
        <v>0.91470810000000002</v>
      </c>
      <c r="Q2068">
        <v>7.4393310000000004E-2</v>
      </c>
      <c r="R2068">
        <v>-0.39720899999999998</v>
      </c>
      <c r="S2068">
        <v>2.348373</v>
      </c>
      <c r="T2068">
        <v>-4.3877239999999998E-2</v>
      </c>
      <c r="U2068">
        <v>-2.1589360000000002</v>
      </c>
      <c r="V2068">
        <v>0.22792419999999999</v>
      </c>
      <c r="W2068">
        <v>8.5429190000000002E-2</v>
      </c>
      <c r="X2068">
        <v>0.96992389999999995</v>
      </c>
      <c r="Y2068">
        <v>0.53454440000000003</v>
      </c>
      <c r="Z2068">
        <v>-1.46659999999999E-3</v>
      </c>
      <c r="AA2068">
        <v>0.84513909999999903</v>
      </c>
      <c r="AB2068">
        <v>16</v>
      </c>
      <c r="AC2068">
        <v>38.161199999999901</v>
      </c>
      <c r="AD2068">
        <v>-0.71459569999999895</v>
      </c>
      <c r="AE2068">
        <v>-35.1434</v>
      </c>
      <c r="AF2068">
        <v>27.7652367026128</v>
      </c>
      <c r="AG2068">
        <v>-0.71459569999999895</v>
      </c>
      <c r="AH2068">
        <v>43.8110303053002</v>
      </c>
      <c r="AI2068">
        <v>90.789321639888797</v>
      </c>
      <c r="AJ2068">
        <v>57.635524419173201</v>
      </c>
      <c r="AK2068">
        <v>51.873166402086099</v>
      </c>
      <c r="AL2068">
        <v>85.0992944819603</v>
      </c>
      <c r="AM2068">
        <v>76.775891981410695</v>
      </c>
      <c r="AN2068">
        <v>0.99999997962045195</v>
      </c>
    </row>
    <row r="2069" spans="1:40" x14ac:dyDescent="0.25">
      <c r="A2069" t="str">
        <f>"20190312150704577"</f>
        <v>20190312150704577</v>
      </c>
      <c r="B2069" t="str">
        <f>"1552374424572279"</f>
        <v>1552374424572279</v>
      </c>
      <c r="C2069" t="s">
        <v>40</v>
      </c>
      <c r="D2069">
        <v>4.5478500000000004</v>
      </c>
      <c r="E2069">
        <v>0.63548689999999997</v>
      </c>
      <c r="F2069" t="s">
        <v>49</v>
      </c>
      <c r="G2069">
        <v>-201.3974</v>
      </c>
      <c r="H2069" s="1">
        <v>-3.1619219999999999E-6</v>
      </c>
      <c r="I2069">
        <v>360.50630000000001</v>
      </c>
      <c r="J2069">
        <v>-206.47829999999999</v>
      </c>
      <c r="K2069">
        <v>1.109226</v>
      </c>
      <c r="L2069">
        <v>365.36959999999999</v>
      </c>
      <c r="M2069">
        <v>0.98357399999999995</v>
      </c>
      <c r="N2069">
        <v>0</v>
      </c>
      <c r="O2069">
        <v>-0.180094899999999</v>
      </c>
      <c r="P2069">
        <v>0.91385269999999996</v>
      </c>
      <c r="Q2069">
        <v>7.5208159999999996E-2</v>
      </c>
      <c r="R2069">
        <v>-0.39902029999999999</v>
      </c>
      <c r="S2069">
        <v>2.3545530000000001</v>
      </c>
      <c r="T2069">
        <v>-0.50576259999999995</v>
      </c>
      <c r="U2069">
        <v>-2.22525</v>
      </c>
      <c r="V2069">
        <v>0.22820389999999999</v>
      </c>
      <c r="W2069">
        <v>8.6223540000000001E-2</v>
      </c>
      <c r="X2069">
        <v>0.96978779999999998</v>
      </c>
      <c r="Y2069">
        <v>0.54052339999999999</v>
      </c>
      <c r="Z2069">
        <v>-1.6877059999999999E-2</v>
      </c>
      <c r="AA2069">
        <v>0.84115969999999995</v>
      </c>
      <c r="AB2069">
        <v>16</v>
      </c>
      <c r="AC2069">
        <v>5.0808999999999802</v>
      </c>
      <c r="AD2069">
        <v>-1.1092291619220001</v>
      </c>
      <c r="AE2069">
        <v>-4.8632999999999802</v>
      </c>
      <c r="AF2069">
        <v>3.7747684543926301</v>
      </c>
      <c r="AG2069">
        <v>-1.1092291619220001</v>
      </c>
      <c r="AH2069">
        <v>5.7311807729865096</v>
      </c>
      <c r="AI2069">
        <v>99.181532358714094</v>
      </c>
      <c r="AJ2069">
        <v>56.629615988509798</v>
      </c>
      <c r="AK2069">
        <v>6.9516688119174797</v>
      </c>
      <c r="AL2069">
        <v>85.053612860596104</v>
      </c>
      <c r="AM2069">
        <v>76.758442457127899</v>
      </c>
      <c r="AN2069">
        <v>0.99999994792708902</v>
      </c>
    </row>
    <row r="2070" spans="1:40" x14ac:dyDescent="0.25">
      <c r="A2070" t="str">
        <f>"20190312150704592"</f>
        <v>20190312150704592</v>
      </c>
      <c r="B2070" t="str">
        <f>"1552374424582039"</f>
        <v>1552374424582039</v>
      </c>
      <c r="C2070" t="s">
        <v>40</v>
      </c>
      <c r="D2070">
        <v>4.5614929999999996</v>
      </c>
      <c r="E2070">
        <v>0.63564480000000001</v>
      </c>
      <c r="F2070" t="s">
        <v>49</v>
      </c>
      <c r="G2070">
        <v>-201.3133</v>
      </c>
      <c r="H2070" s="1">
        <v>-3.1303130000000001E-6</v>
      </c>
      <c r="I2070">
        <v>360.4581</v>
      </c>
      <c r="J2070">
        <v>-206.3723</v>
      </c>
      <c r="K2070">
        <v>1.109221</v>
      </c>
      <c r="L2070">
        <v>365.3476</v>
      </c>
      <c r="M2070">
        <v>0.98317690000000002</v>
      </c>
      <c r="N2070">
        <v>0</v>
      </c>
      <c r="O2070">
        <v>-0.18225089999999999</v>
      </c>
      <c r="P2070">
        <v>0.91251870000000002</v>
      </c>
      <c r="Q2070">
        <v>7.5266929999999996E-2</v>
      </c>
      <c r="R2070">
        <v>-0.40205039999999997</v>
      </c>
      <c r="S2070">
        <v>2.3490139999999999</v>
      </c>
      <c r="T2070">
        <v>-0.5044708</v>
      </c>
      <c r="U2070">
        <v>-2.2337039999999999</v>
      </c>
      <c r="V2070">
        <v>0.2292989</v>
      </c>
      <c r="W2070">
        <v>8.6255830000000006E-2</v>
      </c>
      <c r="X2070">
        <v>0.96952660000000002</v>
      </c>
      <c r="Y2070">
        <v>0.54130219999999996</v>
      </c>
      <c r="Z2070">
        <v>-1.6549640000000001E-2</v>
      </c>
      <c r="AA2070">
        <v>0.8406652</v>
      </c>
      <c r="AB2070">
        <v>16</v>
      </c>
      <c r="AC2070">
        <v>5.0589999999999904</v>
      </c>
      <c r="AD2070">
        <v>-1.1092241303129999</v>
      </c>
      <c r="AE2070">
        <v>-4.8894999999999902</v>
      </c>
      <c r="AF2070">
        <v>3.7912878779580699</v>
      </c>
      <c r="AG2070">
        <v>-1.1092241303129999</v>
      </c>
      <c r="AH2070">
        <v>5.7231869028728903</v>
      </c>
      <c r="AI2070">
        <v>99.178290664311504</v>
      </c>
      <c r="AJ2070">
        <v>56.477777174688498</v>
      </c>
      <c r="AK2070">
        <v>6.9540714887061803</v>
      </c>
      <c r="AL2070">
        <v>85.051755826661207</v>
      </c>
      <c r="AM2070">
        <v>76.693702325088694</v>
      </c>
      <c r="AN2070">
        <v>0.99999994092887701</v>
      </c>
    </row>
    <row r="2071" spans="1:40" x14ac:dyDescent="0.25">
      <c r="A2071" t="str">
        <f>"20190312150704605"</f>
        <v>20190312150704605</v>
      </c>
      <c r="B2071" t="str">
        <f>"1552374424602536"</f>
        <v>1552374424602536</v>
      </c>
      <c r="C2071" t="s">
        <v>40</v>
      </c>
      <c r="D2071">
        <v>4.5937400000000004</v>
      </c>
      <c r="E2071">
        <v>0.63538969999999995</v>
      </c>
      <c r="F2071" t="s">
        <v>49</v>
      </c>
      <c r="G2071">
        <v>-201.20079999999999</v>
      </c>
      <c r="H2071" s="1">
        <v>-3.088089E-6</v>
      </c>
      <c r="I2071">
        <v>360.39319999999998</v>
      </c>
      <c r="J2071">
        <v>-206.2842</v>
      </c>
      <c r="K2071">
        <v>1.1092139999999999</v>
      </c>
      <c r="L2071">
        <v>365.32909999999998</v>
      </c>
      <c r="M2071">
        <v>0.98284159999999998</v>
      </c>
      <c r="N2071">
        <v>0</v>
      </c>
      <c r="O2071">
        <v>-0.1840523</v>
      </c>
      <c r="P2071">
        <v>0.91170450000000003</v>
      </c>
      <c r="Q2071">
        <v>7.4830530000000006E-2</v>
      </c>
      <c r="R2071">
        <v>-0.40397499999999997</v>
      </c>
      <c r="S2071">
        <v>2.3409270000000002</v>
      </c>
      <c r="T2071">
        <v>-0.50210029999999894</v>
      </c>
      <c r="U2071">
        <v>-2.2426149999999998</v>
      </c>
      <c r="V2071">
        <v>0.2295613</v>
      </c>
      <c r="W2071">
        <v>8.5804980000000003E-2</v>
      </c>
      <c r="X2071">
        <v>0.96950460000000005</v>
      </c>
      <c r="Y2071">
        <v>0.54291969999999901</v>
      </c>
      <c r="Z2071">
        <v>-1.6336730000000001E-2</v>
      </c>
      <c r="AA2071">
        <v>0.83962569999999903</v>
      </c>
      <c r="AB2071">
        <v>16</v>
      </c>
      <c r="AC2071">
        <v>5.0834000000000099</v>
      </c>
      <c r="AD2071">
        <v>-1.109217088089</v>
      </c>
      <c r="AE2071">
        <v>-4.9359000000000002</v>
      </c>
      <c r="AF2071">
        <v>3.8222126499600799</v>
      </c>
      <c r="AG2071">
        <v>-1.109217088089</v>
      </c>
      <c r="AH2071">
        <v>5.7638199296459902</v>
      </c>
      <c r="AI2071">
        <v>99.111750714645396</v>
      </c>
      <c r="AJ2071">
        <v>56.4500977405309</v>
      </c>
      <c r="AK2071">
        <v>7.0043766511666004</v>
      </c>
      <c r="AL2071">
        <v>85.077684183990996</v>
      </c>
      <c r="AM2071">
        <v>76.678726186031994</v>
      </c>
      <c r="AN2071">
        <v>1.00000002723582</v>
      </c>
    </row>
    <row r="2072" spans="1:40" x14ac:dyDescent="0.25">
      <c r="A2072" t="str">
        <f>"20190312150704616"</f>
        <v>20190312150704616</v>
      </c>
      <c r="B2072" t="str">
        <f>"1552374424612296"</f>
        <v>1552374424612296</v>
      </c>
      <c r="C2072" t="s">
        <v>40</v>
      </c>
      <c r="D2072">
        <v>4.5836009999999998</v>
      </c>
      <c r="E2072">
        <v>0.63544060000000002</v>
      </c>
      <c r="F2072" t="s">
        <v>49</v>
      </c>
      <c r="G2072">
        <v>-201.18960000000001</v>
      </c>
      <c r="H2072" s="1">
        <v>-3.0736819999999998E-6</v>
      </c>
      <c r="I2072">
        <v>360.43259999999998</v>
      </c>
      <c r="J2072">
        <v>-206.20840000000001</v>
      </c>
      <c r="K2072">
        <v>1.109208</v>
      </c>
      <c r="L2072">
        <v>365.31299999999999</v>
      </c>
      <c r="M2072">
        <v>0.98254759999999997</v>
      </c>
      <c r="N2072">
        <v>0</v>
      </c>
      <c r="O2072">
        <v>-0.18561569999999999</v>
      </c>
      <c r="P2072">
        <v>0.91093100000000005</v>
      </c>
      <c r="Q2072">
        <v>7.4515689999999996E-2</v>
      </c>
      <c r="R2072">
        <v>-0.40577400000000002</v>
      </c>
      <c r="S2072">
        <v>2.3370510000000002</v>
      </c>
      <c r="T2072">
        <v>-0.50882839999999996</v>
      </c>
      <c r="U2072">
        <v>-2.2461549999999999</v>
      </c>
      <c r="V2072">
        <v>0.2299283</v>
      </c>
      <c r="W2072">
        <v>8.5479070000000004E-2</v>
      </c>
      <c r="X2072">
        <v>0.96944640000000004</v>
      </c>
      <c r="Y2072">
        <v>0.54284949999999998</v>
      </c>
      <c r="Z2072">
        <v>-1.629036E-2</v>
      </c>
      <c r="AA2072">
        <v>0.83967199999999997</v>
      </c>
      <c r="AB2072">
        <v>16</v>
      </c>
      <c r="AC2072">
        <v>5.0187999999999899</v>
      </c>
      <c r="AD2072">
        <v>-1.109211073682</v>
      </c>
      <c r="AE2072">
        <v>-4.8804000000000602</v>
      </c>
      <c r="AF2072">
        <v>3.7693099151620699</v>
      </c>
      <c r="AG2072">
        <v>-1.109211073682</v>
      </c>
      <c r="AH2072">
        <v>5.6945518734171303</v>
      </c>
      <c r="AI2072">
        <v>99.225750751864496</v>
      </c>
      <c r="AJ2072">
        <v>56.4988228486338</v>
      </c>
      <c r="AK2072">
        <v>6.9185235044448898</v>
      </c>
      <c r="AL2072">
        <v>85.096426218107496</v>
      </c>
      <c r="AM2072">
        <v>76.657418094421999</v>
      </c>
      <c r="AN2072">
        <v>1.0000000085109499</v>
      </c>
    </row>
    <row r="2073" spans="1:40" x14ac:dyDescent="0.25">
      <c r="A2073" t="str">
        <f>"20190312150704625"</f>
        <v>20190312150704625</v>
      </c>
      <c r="B2073" t="str">
        <f>"1552374424622056"</f>
        <v>1552374424622056</v>
      </c>
      <c r="C2073" t="s">
        <v>40</v>
      </c>
      <c r="D2073">
        <v>4.5538850000000002</v>
      </c>
      <c r="E2073">
        <v>0.63544999999999996</v>
      </c>
      <c r="F2073" t="s">
        <v>49</v>
      </c>
      <c r="G2073">
        <v>-201.15559999999999</v>
      </c>
      <c r="H2073" s="1">
        <v>-3.0558340000000001E-6</v>
      </c>
      <c r="I2073">
        <v>360.43610000000001</v>
      </c>
      <c r="J2073">
        <v>-206.1397</v>
      </c>
      <c r="K2073">
        <v>1.109205</v>
      </c>
      <c r="L2073">
        <v>365.29840000000002</v>
      </c>
      <c r="M2073">
        <v>0.98227869999999995</v>
      </c>
      <c r="N2073">
        <v>0</v>
      </c>
      <c r="O2073">
        <v>-0.1870338</v>
      </c>
      <c r="P2073">
        <v>0.91026890000000005</v>
      </c>
      <c r="Q2073">
        <v>7.4431769999999994E-2</v>
      </c>
      <c r="R2073">
        <v>-0.40727210000000003</v>
      </c>
      <c r="S2073">
        <v>2.3324129999999998</v>
      </c>
      <c r="T2073">
        <v>-0.51202289999999995</v>
      </c>
      <c r="U2073">
        <v>-2.2512210000000001</v>
      </c>
      <c r="V2073">
        <v>0.23012340000000001</v>
      </c>
      <c r="W2073">
        <v>8.5385959999999997E-2</v>
      </c>
      <c r="X2073">
        <v>0.9694083</v>
      </c>
      <c r="Y2073">
        <v>0.54337409999999997</v>
      </c>
      <c r="Z2073">
        <v>-1.620775E-2</v>
      </c>
      <c r="AA2073">
        <v>0.83933419999999903</v>
      </c>
      <c r="AB2073">
        <v>16</v>
      </c>
      <c r="AC2073">
        <v>4.9841000000000104</v>
      </c>
      <c r="AD2073">
        <v>-1.1092080558340001</v>
      </c>
      <c r="AE2073">
        <v>-4.8623000000000003</v>
      </c>
      <c r="AF2073">
        <v>3.7490817449805798</v>
      </c>
      <c r="AG2073">
        <v>-1.1092080558340001</v>
      </c>
      <c r="AH2073">
        <v>5.6619351330134098</v>
      </c>
      <c r="AI2073">
        <v>99.276942247601099</v>
      </c>
      <c r="AJ2073">
        <v>56.489244764964702</v>
      </c>
      <c r="AK2073">
        <v>6.8806588268947904</v>
      </c>
      <c r="AL2073">
        <v>85.101780546201695</v>
      </c>
      <c r="AM2073">
        <v>76.645995934882507</v>
      </c>
      <c r="AN2073">
        <v>0.99999999675078499</v>
      </c>
    </row>
    <row r="2074" spans="1:40" x14ac:dyDescent="0.25">
      <c r="A2074" t="str">
        <f>"20190312150704637"</f>
        <v>20190312150704637</v>
      </c>
      <c r="B2074" t="str">
        <f>"1552374424631816"</f>
        <v>1552374424631816</v>
      </c>
      <c r="C2074" t="s">
        <v>40</v>
      </c>
      <c r="D2074">
        <v>4.5769260000000003</v>
      </c>
      <c r="E2074">
        <v>0.63542969999999999</v>
      </c>
      <c r="F2074" t="s">
        <v>49</v>
      </c>
      <c r="G2074">
        <v>-201.05410000000001</v>
      </c>
      <c r="H2074" s="1">
        <v>-3.018371E-6</v>
      </c>
      <c r="I2074">
        <v>360.37459999999999</v>
      </c>
      <c r="J2074">
        <v>-206.05950000000001</v>
      </c>
      <c r="K2074">
        <v>1.109199</v>
      </c>
      <c r="L2074">
        <v>365.28109999999998</v>
      </c>
      <c r="M2074">
        <v>0.98195969999999999</v>
      </c>
      <c r="N2074">
        <v>0</v>
      </c>
      <c r="O2074">
        <v>-0.1887018</v>
      </c>
      <c r="P2074">
        <v>0.90938850000000004</v>
      </c>
      <c r="Q2074">
        <v>7.4470049999999996E-2</v>
      </c>
      <c r="R2074">
        <v>-0.40922760000000002</v>
      </c>
      <c r="S2074">
        <v>2.3285830000000001</v>
      </c>
      <c r="T2074">
        <v>-0.50787890000000002</v>
      </c>
      <c r="U2074">
        <v>-2.254486</v>
      </c>
      <c r="V2074">
        <v>0.23056270000000001</v>
      </c>
      <c r="W2074">
        <v>8.5415889999999994E-2</v>
      </c>
      <c r="X2074">
        <v>0.96930130000000003</v>
      </c>
      <c r="Y2074">
        <v>0.5433344</v>
      </c>
      <c r="Z2074">
        <v>-1.5801409999999998E-2</v>
      </c>
      <c r="AA2074">
        <v>0.83936759999999999</v>
      </c>
      <c r="AB2074">
        <v>16</v>
      </c>
      <c r="AC2074">
        <v>5.0053999999999998</v>
      </c>
      <c r="AD2074">
        <v>-1.1092020183710001</v>
      </c>
      <c r="AE2074">
        <v>-4.9064999999999896</v>
      </c>
      <c r="AF2074">
        <v>3.7790998630653601</v>
      </c>
      <c r="AG2074">
        <v>-1.1092020183710001</v>
      </c>
      <c r="AH2074">
        <v>5.69868052710033</v>
      </c>
      <c r="AI2074">
        <v>99.213942661884701</v>
      </c>
      <c r="AJ2074">
        <v>56.449513392591598</v>
      </c>
      <c r="AK2074">
        <v>6.9272566462151097</v>
      </c>
      <c r="AL2074">
        <v>85.100059517336305</v>
      </c>
      <c r="AM2074">
        <v>76.619995457307894</v>
      </c>
      <c r="AN2074">
        <v>1.0000000215387299</v>
      </c>
    </row>
    <row r="2075" spans="1:40" x14ac:dyDescent="0.25">
      <c r="A2075" t="str">
        <f>"20190312150704649"</f>
        <v>20190312150704649</v>
      </c>
      <c r="B2075" t="str">
        <f>"1552374424642552"</f>
        <v>1552374424642552</v>
      </c>
      <c r="C2075" t="s">
        <v>40</v>
      </c>
      <c r="D2075">
        <v>4.543507</v>
      </c>
      <c r="E2075">
        <v>0.63542969999999999</v>
      </c>
      <c r="F2075" t="s">
        <v>49</v>
      </c>
      <c r="G2075">
        <v>-201.00059999999999</v>
      </c>
      <c r="H2075" s="1">
        <v>-2.9941190000000002E-6</v>
      </c>
      <c r="I2075">
        <v>360.36270000000002</v>
      </c>
      <c r="J2075">
        <v>-205.98009999999999</v>
      </c>
      <c r="K2075">
        <v>1.1092919999999999</v>
      </c>
      <c r="L2075">
        <v>365.26389999999998</v>
      </c>
      <c r="M2075">
        <v>0.98164960000000001</v>
      </c>
      <c r="N2075">
        <v>0</v>
      </c>
      <c r="O2075">
        <v>-0.19029399999999999</v>
      </c>
      <c r="P2075">
        <v>0.90863190000000005</v>
      </c>
      <c r="Q2075">
        <v>7.4547340000000004E-2</v>
      </c>
      <c r="R2075">
        <v>-0.41089110000000001</v>
      </c>
      <c r="S2075">
        <v>2.3239139999999998</v>
      </c>
      <c r="T2075">
        <v>-0.50953420000000005</v>
      </c>
      <c r="U2075">
        <v>-2.2593990000000002</v>
      </c>
      <c r="V2075">
        <v>0.2307603</v>
      </c>
      <c r="W2075">
        <v>8.5723270000000004E-2</v>
      </c>
      <c r="X2075">
        <v>0.96922710000000001</v>
      </c>
      <c r="Y2075">
        <v>0.54371569999999902</v>
      </c>
      <c r="Z2075">
        <v>-1.5626540000000001E-2</v>
      </c>
      <c r="AA2075">
        <v>0.83912399999999998</v>
      </c>
      <c r="AB2075">
        <v>16</v>
      </c>
      <c r="AC2075">
        <v>4.9794999999999998</v>
      </c>
      <c r="AD2075">
        <v>-1.109294994119</v>
      </c>
      <c r="AE2075">
        <v>-4.9011999999999603</v>
      </c>
      <c r="AF2075">
        <v>3.7689814477531698</v>
      </c>
      <c r="AG2075">
        <v>-1.109294994119</v>
      </c>
      <c r="AH2075">
        <v>5.6781081609630402</v>
      </c>
      <c r="AI2075">
        <v>99.244913680898804</v>
      </c>
      <c r="AJ2075">
        <v>56.424820949754903</v>
      </c>
      <c r="AK2075">
        <v>6.9048293842121904</v>
      </c>
      <c r="AL2075">
        <v>85.082382918476199</v>
      </c>
      <c r="AM2075">
        <v>76.607952991991993</v>
      </c>
      <c r="AN2075">
        <v>0.99999998322499595</v>
      </c>
    </row>
    <row r="2076" spans="1:40" x14ac:dyDescent="0.25">
      <c r="A2076" t="str">
        <f>"20190312150704659"</f>
        <v>20190312150704659</v>
      </c>
      <c r="B2076" t="str">
        <f>"1552374424652312"</f>
        <v>1552374424652312</v>
      </c>
      <c r="C2076" t="s">
        <v>40</v>
      </c>
      <c r="D2076">
        <v>4.5351780000000002</v>
      </c>
      <c r="E2076">
        <v>0.63111030000000001</v>
      </c>
      <c r="F2076" t="s">
        <v>49</v>
      </c>
      <c r="G2076">
        <v>-200.93129999999999</v>
      </c>
      <c r="H2076" s="1">
        <v>-2.9648590000000001E-6</v>
      </c>
      <c r="I2076">
        <v>360.3374</v>
      </c>
      <c r="J2076">
        <v>-205.90979999999999</v>
      </c>
      <c r="K2076">
        <v>1.1095029999999999</v>
      </c>
      <c r="L2076">
        <v>365.24849999999998</v>
      </c>
      <c r="M2076">
        <v>0.98138369999999997</v>
      </c>
      <c r="N2076">
        <v>0</v>
      </c>
      <c r="O2076">
        <v>-0.19162689999999999</v>
      </c>
      <c r="P2076">
        <v>0.90796010000000005</v>
      </c>
      <c r="Q2076">
        <v>7.422629E-2</v>
      </c>
      <c r="R2076">
        <v>-0.41243079999999999</v>
      </c>
      <c r="S2076">
        <v>2.3198240000000001</v>
      </c>
      <c r="T2076">
        <v>-0.50969699999999996</v>
      </c>
      <c r="U2076">
        <v>-2.2636409999999998</v>
      </c>
      <c r="V2076">
        <v>0.2310671</v>
      </c>
      <c r="W2076">
        <v>8.592851E-2</v>
      </c>
      <c r="X2076">
        <v>0.96913590000000005</v>
      </c>
      <c r="Y2076">
        <v>0.54410899999999995</v>
      </c>
      <c r="Z2076">
        <v>-1.5449650000000001E-2</v>
      </c>
      <c r="AA2076">
        <v>0.83887230000000002</v>
      </c>
      <c r="AB2076">
        <v>16</v>
      </c>
      <c r="AC2076">
        <v>4.9784999999999897</v>
      </c>
      <c r="AD2076">
        <v>-1.109505964859</v>
      </c>
      <c r="AE2076">
        <v>-4.91109999999997</v>
      </c>
      <c r="AF2076">
        <v>3.77105458238043</v>
      </c>
      <c r="AG2076">
        <v>-1.109505964859</v>
      </c>
      <c r="AH2076">
        <v>5.6843152936224302</v>
      </c>
      <c r="AI2076">
        <v>99.238224742182496</v>
      </c>
      <c r="AJ2076">
        <v>56.4391458645675</v>
      </c>
      <c r="AK2076">
        <v>6.9110995150308803</v>
      </c>
      <c r="AL2076">
        <v>85.070580326711806</v>
      </c>
      <c r="AM2076">
        <v>76.589574396260801</v>
      </c>
      <c r="AN2076">
        <v>1.00000005310101</v>
      </c>
    </row>
    <row r="2077" spans="1:40" x14ac:dyDescent="0.25">
      <c r="A2077" t="str">
        <f>"20190312150704670"</f>
        <v>20190312150704670</v>
      </c>
      <c r="B2077" t="str">
        <f>"1552374424662072"</f>
        <v>1552374424662072</v>
      </c>
      <c r="C2077" t="s">
        <v>40</v>
      </c>
      <c r="D2077">
        <v>4.5442369999999999</v>
      </c>
      <c r="E2077">
        <v>0.63151279999999999</v>
      </c>
      <c r="F2077" t="s">
        <v>50</v>
      </c>
      <c r="G2077">
        <v>-168.4</v>
      </c>
      <c r="H2077">
        <v>8.5974309999999998E-2</v>
      </c>
      <c r="I2077">
        <v>329.34359999999998</v>
      </c>
      <c r="J2077">
        <v>-205.83449999999999</v>
      </c>
      <c r="K2077">
        <v>1.109782</v>
      </c>
      <c r="L2077">
        <v>365.2321</v>
      </c>
      <c r="M2077">
        <v>0.9811048</v>
      </c>
      <c r="N2077">
        <v>0</v>
      </c>
      <c r="O2077">
        <v>-0.19300229999999999</v>
      </c>
      <c r="P2077">
        <v>0.90743620000000003</v>
      </c>
      <c r="Q2077">
        <v>7.3598109999999994E-2</v>
      </c>
      <c r="R2077">
        <v>-0.4136939</v>
      </c>
      <c r="S2077">
        <v>2.3064119999999999</v>
      </c>
      <c r="T2077">
        <v>-6.2934760000000006E-2</v>
      </c>
      <c r="U2077">
        <v>-2.2077330000000002</v>
      </c>
      <c r="V2077">
        <v>0.23102449999999999</v>
      </c>
      <c r="W2077">
        <v>8.6027790000000007E-2</v>
      </c>
      <c r="X2077">
        <v>0.96913720000000003</v>
      </c>
      <c r="Y2077">
        <v>0.53898009999999996</v>
      </c>
      <c r="Z2077">
        <v>-1.853424E-3</v>
      </c>
      <c r="AA2077">
        <v>0.84231639999999997</v>
      </c>
      <c r="AB2077">
        <v>16</v>
      </c>
      <c r="AC2077">
        <v>37.4344999999999</v>
      </c>
      <c r="AD2077">
        <v>-1.0238076899999999</v>
      </c>
      <c r="AE2077">
        <v>-35.888500000000001</v>
      </c>
      <c r="AF2077">
        <v>27.9770985491242</v>
      </c>
      <c r="AG2077">
        <v>-1.0238076899999999</v>
      </c>
      <c r="AH2077">
        <v>43.640726848564498</v>
      </c>
      <c r="AI2077">
        <v>91.131441372168098</v>
      </c>
      <c r="AJ2077">
        <v>57.336971633507702</v>
      </c>
      <c r="AK2077">
        <v>51.8486187403727</v>
      </c>
      <c r="AL2077">
        <v>85.064870628645807</v>
      </c>
      <c r="AM2077">
        <v>76.591974818654805</v>
      </c>
      <c r="AN2077">
        <v>1.00000000633818</v>
      </c>
    </row>
    <row r="2078" spans="1:40" x14ac:dyDescent="0.25">
      <c r="A2078" t="str">
        <f>"20190312150704682"</f>
        <v>20190312150704682</v>
      </c>
      <c r="B2078" t="str">
        <f>"1552374424671831"</f>
        <v>1552374424671831</v>
      </c>
      <c r="C2078" t="s">
        <v>40</v>
      </c>
      <c r="D2078">
        <v>4.6040000000000001</v>
      </c>
      <c r="E2078">
        <v>0.63093140000000003</v>
      </c>
      <c r="F2078" t="s">
        <v>50</v>
      </c>
      <c r="G2078">
        <v>-168.40010000000001</v>
      </c>
      <c r="H2078">
        <v>0.1099668</v>
      </c>
      <c r="I2078">
        <v>329.23309999999998</v>
      </c>
      <c r="J2078">
        <v>-205.75640000000001</v>
      </c>
      <c r="K2078">
        <v>1.110117</v>
      </c>
      <c r="L2078">
        <v>365.2149</v>
      </c>
      <c r="M2078">
        <v>0.98081870000000004</v>
      </c>
      <c r="N2078">
        <v>0</v>
      </c>
      <c r="O2078">
        <v>-0.19439029999999999</v>
      </c>
      <c r="P2078">
        <v>0.90683979999999997</v>
      </c>
      <c r="Q2078">
        <v>7.2706640000000003E-2</v>
      </c>
      <c r="R2078">
        <v>-0.41515730000000001</v>
      </c>
      <c r="S2078">
        <v>2.3018339999999999</v>
      </c>
      <c r="T2078">
        <v>-6.1477900000000002E-2</v>
      </c>
      <c r="U2078">
        <v>-2.213562</v>
      </c>
      <c r="V2078">
        <v>0.23117370000000001</v>
      </c>
      <c r="W2078">
        <v>8.6027790000000007E-2</v>
      </c>
      <c r="X2078">
        <v>0.96910160000000001</v>
      </c>
      <c r="Y2078">
        <v>0.53973470000000001</v>
      </c>
      <c r="Z2078">
        <v>-1.7909880000000001E-3</v>
      </c>
      <c r="AA2078">
        <v>0.84183319999999995</v>
      </c>
      <c r="AB2078">
        <v>15</v>
      </c>
      <c r="AC2078">
        <v>37.356299999999997</v>
      </c>
      <c r="AD2078">
        <v>-1.0001502</v>
      </c>
      <c r="AE2078">
        <v>-35.9818</v>
      </c>
      <c r="AF2078">
        <v>28.022403059997998</v>
      </c>
      <c r="AG2078">
        <v>-1.0001502</v>
      </c>
      <c r="AH2078">
        <v>43.622568953591198</v>
      </c>
      <c r="AI2078">
        <v>91.105107523377001</v>
      </c>
      <c r="AJ2078">
        <v>57.283994395559802</v>
      </c>
      <c r="AK2078">
        <v>51.857341773276097</v>
      </c>
      <c r="AL2078">
        <v>85.064870526408797</v>
      </c>
      <c r="AM2078">
        <v>76.583153608439801</v>
      </c>
      <c r="AN2078">
        <v>0.99999998567326698</v>
      </c>
    </row>
    <row r="2079" spans="1:40" x14ac:dyDescent="0.25">
      <c r="A2079" t="str">
        <f>"20190312150704692"</f>
        <v>20190312150704692</v>
      </c>
      <c r="B2079" t="str">
        <f>"1552374424682568"</f>
        <v>1552374424682568</v>
      </c>
      <c r="C2079" t="s">
        <v>40</v>
      </c>
      <c r="D2079">
        <v>4.5497690000000004</v>
      </c>
      <c r="E2079">
        <v>0.63093140000000003</v>
      </c>
      <c r="F2079" t="s">
        <v>50</v>
      </c>
      <c r="G2079">
        <v>-168.4</v>
      </c>
      <c r="H2079">
        <v>3.7828529999999999E-2</v>
      </c>
      <c r="I2079">
        <v>329.28030000000001</v>
      </c>
      <c r="J2079">
        <v>-205.69149999999999</v>
      </c>
      <c r="K2079">
        <v>1.110392</v>
      </c>
      <c r="L2079">
        <v>365.20060000000001</v>
      </c>
      <c r="M2079">
        <v>0.98059090000000004</v>
      </c>
      <c r="N2079">
        <v>0</v>
      </c>
      <c r="O2079">
        <v>-0.19547790000000001</v>
      </c>
      <c r="P2079">
        <v>0.9066322</v>
      </c>
      <c r="Q2079">
        <v>7.176486E-2</v>
      </c>
      <c r="R2079">
        <v>-0.41577449999999999</v>
      </c>
      <c r="S2079">
        <v>2.3004150000000001</v>
      </c>
      <c r="T2079">
        <v>-6.603146E-2</v>
      </c>
      <c r="U2079">
        <v>-2.21286</v>
      </c>
      <c r="V2079">
        <v>0.2307189</v>
      </c>
      <c r="W2079">
        <v>8.5907590000000006E-2</v>
      </c>
      <c r="X2079">
        <v>0.96922059999999999</v>
      </c>
      <c r="Y2079">
        <v>0.5389159</v>
      </c>
      <c r="Z2079">
        <v>-1.8899629999999999E-3</v>
      </c>
      <c r="AA2079">
        <v>0.84235749999999998</v>
      </c>
      <c r="AB2079">
        <v>15</v>
      </c>
      <c r="AC2079">
        <v>37.2914999999999</v>
      </c>
      <c r="AD2079">
        <v>-1.07256347</v>
      </c>
      <c r="AE2079">
        <v>-35.920299999999997</v>
      </c>
      <c r="AF2079">
        <v>27.924683822229099</v>
      </c>
      <c r="AG2079">
        <v>-1.07256347</v>
      </c>
      <c r="AH2079">
        <v>43.5756428872564</v>
      </c>
      <c r="AI2079">
        <v>91.187209997019295</v>
      </c>
      <c r="AJ2079">
        <v>57.346935280488701</v>
      </c>
      <c r="AK2079">
        <v>51.766543365443503</v>
      </c>
      <c r="AL2079">
        <v>85.071782884584096</v>
      </c>
      <c r="AM2079">
        <v>76.610182521277295</v>
      </c>
      <c r="AN2079">
        <v>0.99999994815058701</v>
      </c>
    </row>
    <row r="2080" spans="1:40" x14ac:dyDescent="0.25">
      <c r="A2080" t="str">
        <f>"20190312150704704"</f>
        <v>20190312150704704</v>
      </c>
      <c r="B2080" t="str">
        <f>"1552374424692328"</f>
        <v>1552374424692328</v>
      </c>
      <c r="C2080" t="s">
        <v>40</v>
      </c>
      <c r="D2080">
        <v>4.5932519999999997</v>
      </c>
      <c r="E2080">
        <v>0.63510349999999904</v>
      </c>
      <c r="F2080" t="s">
        <v>50</v>
      </c>
      <c r="G2080">
        <v>-168.4</v>
      </c>
      <c r="H2080">
        <v>-1.156417E-2</v>
      </c>
      <c r="I2080">
        <v>329.279</v>
      </c>
      <c r="J2080">
        <v>-205.61680000000001</v>
      </c>
      <c r="K2080">
        <v>1.110711</v>
      </c>
      <c r="L2080">
        <v>365.18419999999998</v>
      </c>
      <c r="M2080">
        <v>0.98032929999999996</v>
      </c>
      <c r="N2080">
        <v>0</v>
      </c>
      <c r="O2080">
        <v>-0.1967121</v>
      </c>
      <c r="P2080">
        <v>0.90625699999999998</v>
      </c>
      <c r="Q2080">
        <v>7.0467669999999996E-2</v>
      </c>
      <c r="R2080">
        <v>-0.41681319999999999</v>
      </c>
      <c r="S2080">
        <v>2.2989039999999998</v>
      </c>
      <c r="T2080">
        <v>-6.9164630000000005E-2</v>
      </c>
      <c r="U2080">
        <v>-2.2144469999999998</v>
      </c>
      <c r="V2080">
        <v>0.2305604</v>
      </c>
      <c r="W2080">
        <v>8.5575040000000005E-2</v>
      </c>
      <c r="X2080">
        <v>0.96928780000000003</v>
      </c>
      <c r="Y2080">
        <v>0.53842469999999998</v>
      </c>
      <c r="Z2080">
        <v>-1.9445210000000001E-3</v>
      </c>
      <c r="AA2080">
        <v>0.84267139999999996</v>
      </c>
      <c r="AB2080">
        <v>15</v>
      </c>
      <c r="AC2080">
        <v>37.216799999999999</v>
      </c>
      <c r="AD2080">
        <v>-1.12227517</v>
      </c>
      <c r="AE2080">
        <v>-35.905199999999901</v>
      </c>
      <c r="AF2080">
        <v>27.868407815172301</v>
      </c>
      <c r="AG2080">
        <v>-1.12227517</v>
      </c>
      <c r="AH2080">
        <v>43.532840597149502</v>
      </c>
      <c r="AI2080">
        <v>91.243813683690405</v>
      </c>
      <c r="AJ2080">
        <v>57.373857535779599</v>
      </c>
      <c r="AK2080">
        <v>51.701217260010303</v>
      </c>
      <c r="AL2080">
        <v>85.090907339124399</v>
      </c>
      <c r="AM2080">
        <v>76.619944480867602</v>
      </c>
      <c r="AN2080">
        <v>1.000000012374</v>
      </c>
    </row>
    <row r="2081" spans="1:40" x14ac:dyDescent="0.25">
      <c r="A2081" t="str">
        <f>"20190312150704715"</f>
        <v>20190312150704715</v>
      </c>
      <c r="B2081" t="str">
        <f>"1552374424711848"</f>
        <v>1552374424711848</v>
      </c>
      <c r="C2081" t="s">
        <v>40</v>
      </c>
      <c r="D2081">
        <v>4.5474730000000001</v>
      </c>
      <c r="E2081">
        <v>0.63030229999999998</v>
      </c>
      <c r="F2081" t="s">
        <v>49</v>
      </c>
      <c r="G2081">
        <v>-201.03149999999999</v>
      </c>
      <c r="H2081" s="1">
        <v>-2.9437529999999999E-6</v>
      </c>
      <c r="I2081">
        <v>360.65989999999999</v>
      </c>
      <c r="J2081">
        <v>-205.54669999999999</v>
      </c>
      <c r="K2081">
        <v>1.1109599999999999</v>
      </c>
      <c r="L2081">
        <v>365.16860000000003</v>
      </c>
      <c r="M2081">
        <v>0.98010299999999995</v>
      </c>
      <c r="N2081">
        <v>0</v>
      </c>
      <c r="O2081">
        <v>-0.1977604</v>
      </c>
      <c r="P2081">
        <v>0.90584330000000002</v>
      </c>
      <c r="Q2081">
        <v>6.9803229999999994E-2</v>
      </c>
      <c r="R2081">
        <v>-0.41782209999999997</v>
      </c>
      <c r="S2081">
        <v>2.306915</v>
      </c>
      <c r="T2081">
        <v>-0.558809</v>
      </c>
      <c r="U2081">
        <v>-2.2761840000000002</v>
      </c>
      <c r="V2081">
        <v>0.23057430000000001</v>
      </c>
      <c r="W2081">
        <v>8.5836819999999994E-2</v>
      </c>
      <c r="X2081">
        <v>0.96926129999999999</v>
      </c>
      <c r="Y2081">
        <v>0.54278549999999903</v>
      </c>
      <c r="Z2081">
        <v>-1.5663429999999999E-2</v>
      </c>
      <c r="AA2081">
        <v>0.83972530000000001</v>
      </c>
      <c r="AB2081">
        <v>15</v>
      </c>
      <c r="AC2081">
        <v>4.5151999999999903</v>
      </c>
      <c r="AD2081">
        <v>-1.110962943753</v>
      </c>
      <c r="AE2081">
        <v>-4.5087000000000304</v>
      </c>
      <c r="AF2081">
        <v>3.4228136614875302</v>
      </c>
      <c r="AG2081">
        <v>-1.110962943753</v>
      </c>
      <c r="AH2081">
        <v>5.1613126819423796</v>
      </c>
      <c r="AI2081">
        <v>100.169920998371</v>
      </c>
      <c r="AJ2081">
        <v>56.448964744094603</v>
      </c>
      <c r="AK2081">
        <v>6.2919822492150503</v>
      </c>
      <c r="AL2081">
        <v>85.075852836433697</v>
      </c>
      <c r="AM2081">
        <v>76.618814157584396</v>
      </c>
      <c r="AN2081">
        <v>0.99999996758294496</v>
      </c>
    </row>
    <row r="2082" spans="1:40" x14ac:dyDescent="0.25">
      <c r="A2082" t="str">
        <f>"20190312150704727"</f>
        <v>20190312150704727</v>
      </c>
      <c r="B2082" t="str">
        <f>"1552374424722585"</f>
        <v>1552374424722585</v>
      </c>
      <c r="C2082" t="s">
        <v>40</v>
      </c>
      <c r="D2082">
        <v>4.5470179999999996</v>
      </c>
      <c r="E2082">
        <v>0.63232279999999996</v>
      </c>
      <c r="F2082" t="s">
        <v>43</v>
      </c>
      <c r="G2082">
        <v>-169.5607</v>
      </c>
      <c r="H2082">
        <v>-0.05</v>
      </c>
      <c r="I2082">
        <v>330.45800000000003</v>
      </c>
      <c r="J2082">
        <v>-205.47370000000001</v>
      </c>
      <c r="K2082">
        <v>1.1112109999999999</v>
      </c>
      <c r="L2082">
        <v>365.1524</v>
      </c>
      <c r="M2082">
        <v>0.97986779999999996</v>
      </c>
      <c r="N2082">
        <v>0</v>
      </c>
      <c r="O2082">
        <v>-0.1988394</v>
      </c>
      <c r="P2082">
        <v>0.90544800000000003</v>
      </c>
      <c r="Q2082">
        <v>6.9615040000000003E-2</v>
      </c>
      <c r="R2082">
        <v>-0.41871039999999998</v>
      </c>
      <c r="S2082">
        <v>2.2960050000000001</v>
      </c>
      <c r="T2082">
        <v>-7.4072360000000004E-2</v>
      </c>
      <c r="U2082">
        <v>-2.2146300000000001</v>
      </c>
      <c r="V2082">
        <v>0.23043640000000001</v>
      </c>
      <c r="W2082">
        <v>8.6615440000000002E-2</v>
      </c>
      <c r="X2082">
        <v>0.96922489999999994</v>
      </c>
      <c r="Y2082">
        <v>0.5371454</v>
      </c>
      <c r="Z2082">
        <v>-2.0125500000000001E-3</v>
      </c>
      <c r="AA2082">
        <v>0.84348729999999905</v>
      </c>
      <c r="AB2082">
        <v>15</v>
      </c>
      <c r="AC2082">
        <v>35.912999999999997</v>
      </c>
      <c r="AD2082">
        <v>-1.161211</v>
      </c>
      <c r="AE2082">
        <v>-34.694399999999902</v>
      </c>
      <c r="AF2082">
        <v>26.844813360185299</v>
      </c>
      <c r="AG2082">
        <v>-1.161211</v>
      </c>
      <c r="AH2082">
        <v>42.072631484826402</v>
      </c>
      <c r="AI2082">
        <v>91.332877765329798</v>
      </c>
      <c r="AJ2082">
        <v>57.4597295373989</v>
      </c>
      <c r="AK2082">
        <v>49.920924825044203</v>
      </c>
      <c r="AL2082">
        <v>85.031074770824603</v>
      </c>
      <c r="AM2082">
        <v>76.626045262361004</v>
      </c>
      <c r="AN2082">
        <v>1.0000000378356799</v>
      </c>
    </row>
    <row r="2083" spans="1:40" x14ac:dyDescent="0.25">
      <c r="A2083" t="str">
        <f>"20190312150704738"</f>
        <v>20190312150704738</v>
      </c>
      <c r="B2083" t="str">
        <f>"1552374424732344"</f>
        <v>1552374424732344</v>
      </c>
      <c r="C2083" t="s">
        <v>40</v>
      </c>
      <c r="D2083">
        <v>4.4724449999999996</v>
      </c>
      <c r="E2083">
        <v>0.63232279999999996</v>
      </c>
      <c r="F2083" t="s">
        <v>43</v>
      </c>
      <c r="G2083">
        <v>-169.85749999999999</v>
      </c>
      <c r="H2083">
        <v>-0.05</v>
      </c>
      <c r="I2083">
        <v>330.40989999999999</v>
      </c>
      <c r="J2083">
        <v>-205.40620000000001</v>
      </c>
      <c r="K2083">
        <v>1.1114109999999999</v>
      </c>
      <c r="L2083">
        <v>365.13729999999998</v>
      </c>
      <c r="M2083">
        <v>0.97965559999999996</v>
      </c>
      <c r="N2083">
        <v>0</v>
      </c>
      <c r="O2083">
        <v>-0.19979920000000001</v>
      </c>
      <c r="P2083">
        <v>0.90505239999999998</v>
      </c>
      <c r="Q2083">
        <v>6.9404080000000007E-2</v>
      </c>
      <c r="R2083">
        <v>-0.41959960000000002</v>
      </c>
      <c r="S2083">
        <v>2.2872469999999998</v>
      </c>
      <c r="T2083">
        <v>-7.4572089999999994E-2</v>
      </c>
      <c r="U2083">
        <v>-2.2311399999999999</v>
      </c>
      <c r="V2083">
        <v>0.23042170000000001</v>
      </c>
      <c r="W2083">
        <v>8.730185E-2</v>
      </c>
      <c r="X2083">
        <v>0.96916679999999999</v>
      </c>
      <c r="Y2083">
        <v>0.5410507</v>
      </c>
      <c r="Z2083">
        <v>-2.0565620000000001E-3</v>
      </c>
      <c r="AA2083">
        <v>0.8409875</v>
      </c>
      <c r="AB2083">
        <v>14</v>
      </c>
      <c r="AC2083">
        <v>35.548699999999997</v>
      </c>
      <c r="AD2083">
        <v>-1.161411</v>
      </c>
      <c r="AE2083">
        <v>-34.727399999999903</v>
      </c>
      <c r="AF2083">
        <v>26.9083752962927</v>
      </c>
      <c r="AG2083">
        <v>-1.161411</v>
      </c>
      <c r="AH2083">
        <v>41.748606909412302</v>
      </c>
      <c r="AI2083">
        <v>91.339504746594002</v>
      </c>
      <c r="AJ2083">
        <v>57.196864069528097</v>
      </c>
      <c r="AK2083">
        <v>49.6825494059402</v>
      </c>
      <c r="AL2083">
        <v>84.991596788315903</v>
      </c>
      <c r="AM2083">
        <v>76.6260948689456</v>
      </c>
      <c r="AN2083">
        <v>1.0000000295332701</v>
      </c>
    </row>
    <row r="2084" spans="1:40" x14ac:dyDescent="0.25">
      <c r="A2084" t="str">
        <f>"20190312150704749"</f>
        <v>20190312150704749</v>
      </c>
      <c r="B2084" t="str">
        <f>"1552374424742104"</f>
        <v>1552374424742104</v>
      </c>
      <c r="C2084" t="s">
        <v>40</v>
      </c>
      <c r="D2084">
        <v>4.5260860000000003</v>
      </c>
      <c r="E2084">
        <v>0.63993750000000005</v>
      </c>
      <c r="F2084" t="s">
        <v>43</v>
      </c>
      <c r="G2084">
        <v>-170.17679999999999</v>
      </c>
      <c r="H2084">
        <v>-0.05</v>
      </c>
      <c r="I2084">
        <v>330.70209999999997</v>
      </c>
      <c r="J2084">
        <v>-205.33949999999999</v>
      </c>
      <c r="K2084">
        <v>1.1115870000000001</v>
      </c>
      <c r="L2084">
        <v>365.12240000000003</v>
      </c>
      <c r="M2084">
        <v>0.97944030000000004</v>
      </c>
      <c r="N2084">
        <v>0</v>
      </c>
      <c r="O2084">
        <v>-0.2007681</v>
      </c>
      <c r="P2084">
        <v>0.90476199999999996</v>
      </c>
      <c r="Q2084">
        <v>6.9235409999999997E-2</v>
      </c>
      <c r="R2084">
        <v>-0.42025289999999998</v>
      </c>
      <c r="S2084">
        <v>2.2850039999999998</v>
      </c>
      <c r="T2084">
        <v>-7.5330019999999998E-2</v>
      </c>
      <c r="U2084">
        <v>-2.2334900000000002</v>
      </c>
      <c r="V2084">
        <v>0.23014879999999999</v>
      </c>
      <c r="W2084">
        <v>8.8007230000000006E-2</v>
      </c>
      <c r="X2084">
        <v>0.96916780000000002</v>
      </c>
      <c r="Y2084">
        <v>0.54106929999999998</v>
      </c>
      <c r="Z2084">
        <v>-2.053413E-3</v>
      </c>
      <c r="AA2084">
        <v>0.84097549999999899</v>
      </c>
      <c r="AB2084">
        <v>14</v>
      </c>
      <c r="AC2084">
        <v>35.162700000000001</v>
      </c>
      <c r="AD2084">
        <v>-1.1615869999999999</v>
      </c>
      <c r="AE2084">
        <v>-34.420299999999997</v>
      </c>
      <c r="AF2084">
        <v>26.6434162855181</v>
      </c>
      <c r="AG2084">
        <v>-1.1615869999999999</v>
      </c>
      <c r="AH2084">
        <v>41.3352703805636</v>
      </c>
      <c r="AI2084">
        <v>91.353077648060804</v>
      </c>
      <c r="AJ2084">
        <v>57.195443888253301</v>
      </c>
      <c r="AK2084">
        <v>49.1917217949959</v>
      </c>
      <c r="AL2084">
        <v>84.951025097003694</v>
      </c>
      <c r="AM2084">
        <v>76.641379418861405</v>
      </c>
      <c r="AN2084">
        <v>0.99999998361527598</v>
      </c>
    </row>
    <row r="2085" spans="1:40" x14ac:dyDescent="0.25">
      <c r="A2085" t="str">
        <f>"20190312150704763"</f>
        <v>20190312150704763</v>
      </c>
      <c r="B2085" t="str">
        <f>"1552374424752840"</f>
        <v>1552374424752840</v>
      </c>
      <c r="C2085" t="s">
        <v>40</v>
      </c>
      <c r="D2085">
        <v>4.5476710000000002</v>
      </c>
      <c r="E2085">
        <v>0.64017119999999905</v>
      </c>
      <c r="F2085" t="s">
        <v>49</v>
      </c>
      <c r="G2085">
        <v>-200.56030000000001</v>
      </c>
      <c r="H2085" s="1">
        <v>-2.7941340000000002E-6</v>
      </c>
      <c r="I2085">
        <v>360.26530000000002</v>
      </c>
      <c r="J2085">
        <v>-205.25409999999999</v>
      </c>
      <c r="K2085">
        <v>1.111769</v>
      </c>
      <c r="L2085">
        <v>365.10320000000002</v>
      </c>
      <c r="M2085">
        <v>0.97915450000000004</v>
      </c>
      <c r="N2085">
        <v>0</v>
      </c>
      <c r="O2085">
        <v>-0.20204610000000001</v>
      </c>
      <c r="P2085">
        <v>0.90431669999999997</v>
      </c>
      <c r="Q2085">
        <v>6.8421919999999997E-2</v>
      </c>
      <c r="R2085">
        <v>-0.42134319999999997</v>
      </c>
      <c r="S2085">
        <v>2.2800600000000002</v>
      </c>
      <c r="T2085">
        <v>-0.53031340000000005</v>
      </c>
      <c r="U2085">
        <v>-2.3172299999999999</v>
      </c>
      <c r="V2085">
        <v>0.23002900000000001</v>
      </c>
      <c r="W2085">
        <v>8.829033E-2</v>
      </c>
      <c r="X2085">
        <v>0.96917050000000005</v>
      </c>
      <c r="Y2085">
        <v>0.55191489999999999</v>
      </c>
      <c r="Z2085">
        <v>-1.5032530000000001E-2</v>
      </c>
      <c r="AA2085">
        <v>0.83376499999999998</v>
      </c>
      <c r="AB2085">
        <v>14</v>
      </c>
      <c r="AC2085">
        <v>4.69379999999998</v>
      </c>
      <c r="AD2085">
        <v>-1.111771794134</v>
      </c>
      <c r="AE2085">
        <v>-4.8378999999999897</v>
      </c>
      <c r="AF2085">
        <v>3.6891526153474601</v>
      </c>
      <c r="AG2085">
        <v>-1.111771794134</v>
      </c>
      <c r="AH2085">
        <v>5.4270110794925497</v>
      </c>
      <c r="AI2085">
        <v>99.615795843010602</v>
      </c>
      <c r="AJ2085">
        <v>55.7930696564732</v>
      </c>
      <c r="AK2085">
        <v>6.6556992719391896</v>
      </c>
      <c r="AL2085">
        <v>84.934741309465807</v>
      </c>
      <c r="AM2085">
        <v>76.648119798135497</v>
      </c>
      <c r="AN2085">
        <v>0.99999999064137901</v>
      </c>
    </row>
    <row r="2086" spans="1:40" x14ac:dyDescent="0.25">
      <c r="A2086" t="str">
        <f>"20190312150704775"</f>
        <v>20190312150704775</v>
      </c>
      <c r="B2086" t="str">
        <f>"1552374424772359"</f>
        <v>1552374424772359</v>
      </c>
      <c r="C2086" t="s">
        <v>40</v>
      </c>
      <c r="D2086">
        <v>4.6112690000000001</v>
      </c>
      <c r="E2086">
        <v>0.63635489999999995</v>
      </c>
      <c r="F2086" t="s">
        <v>49</v>
      </c>
      <c r="G2086">
        <v>-200.625</v>
      </c>
      <c r="H2086" s="1">
        <v>-2.8009289999999999E-6</v>
      </c>
      <c r="I2086">
        <v>360.38159999999999</v>
      </c>
      <c r="J2086">
        <v>-205.1857</v>
      </c>
      <c r="K2086">
        <v>1.1117870000000001</v>
      </c>
      <c r="L2086">
        <v>365.08769999999998</v>
      </c>
      <c r="M2086">
        <v>0.97888010000000003</v>
      </c>
      <c r="N2086">
        <v>0</v>
      </c>
      <c r="O2086">
        <v>-0.20329639999999999</v>
      </c>
      <c r="P2086">
        <v>0.90399350000000001</v>
      </c>
      <c r="Q2086">
        <v>6.7901130000000004E-2</v>
      </c>
      <c r="R2086">
        <v>-0.4221203</v>
      </c>
      <c r="S2086">
        <v>2.2767789999999999</v>
      </c>
      <c r="T2086">
        <v>-0.54681969999999902</v>
      </c>
      <c r="U2086">
        <v>-2.322327</v>
      </c>
      <c r="V2086">
        <v>0.22962270000000001</v>
      </c>
      <c r="W2086">
        <v>8.8446120000000003E-2</v>
      </c>
      <c r="X2086">
        <v>0.96925260000000002</v>
      </c>
      <c r="Y2086">
        <v>0.55210269999999995</v>
      </c>
      <c r="Z2086">
        <v>-1.5286249999999999E-2</v>
      </c>
      <c r="AA2086">
        <v>0.83363600000000004</v>
      </c>
      <c r="AB2086">
        <v>14</v>
      </c>
      <c r="AC2086">
        <v>4.56069999999999</v>
      </c>
      <c r="AD2086">
        <v>-1.1117898009289999</v>
      </c>
      <c r="AE2086">
        <v>-4.7060999999999904</v>
      </c>
      <c r="AF2086">
        <v>3.5774256913060198</v>
      </c>
      <c r="AG2086">
        <v>-1.1117898009289999</v>
      </c>
      <c r="AH2086">
        <v>5.2706743465644301</v>
      </c>
      <c r="AI2086">
        <v>99.900279306423201</v>
      </c>
      <c r="AJ2086">
        <v>55.833631771850001</v>
      </c>
      <c r="AK2086">
        <v>6.4663791418226104</v>
      </c>
      <c r="AL2086">
        <v>84.925779943821297</v>
      </c>
      <c r="AM2086">
        <v>76.671949524743795</v>
      </c>
      <c r="AN2086">
        <v>0.99999995155255095</v>
      </c>
    </row>
    <row r="2087" spans="1:40" x14ac:dyDescent="0.25">
      <c r="A2087" t="str">
        <f>"20190312150704788"</f>
        <v>20190312150704788</v>
      </c>
      <c r="B2087" t="str">
        <f>"1552374424782120"</f>
        <v>1552374424782120</v>
      </c>
      <c r="C2087" t="s">
        <v>40</v>
      </c>
      <c r="D2087">
        <v>4.5855819999999996</v>
      </c>
      <c r="E2087">
        <v>0.6350479</v>
      </c>
      <c r="F2087" t="s">
        <v>49</v>
      </c>
      <c r="G2087">
        <v>-200.3348</v>
      </c>
      <c r="H2087" s="1">
        <v>-2.6914160000000002E-6</v>
      </c>
      <c r="I2087">
        <v>360.2167</v>
      </c>
      <c r="J2087">
        <v>-205.1062</v>
      </c>
      <c r="K2087">
        <v>1.111683</v>
      </c>
      <c r="L2087">
        <v>365.06950000000001</v>
      </c>
      <c r="M2087">
        <v>0.97852950000000005</v>
      </c>
      <c r="N2087">
        <v>0</v>
      </c>
      <c r="O2087">
        <v>-0.20491500000000001</v>
      </c>
      <c r="P2087">
        <v>0.90342</v>
      </c>
      <c r="Q2087">
        <v>6.7303399999999999E-2</v>
      </c>
      <c r="R2087">
        <v>-0.42344169999999998</v>
      </c>
      <c r="S2087">
        <v>2.2860719999999999</v>
      </c>
      <c r="T2087">
        <v>-0.52394240000000003</v>
      </c>
      <c r="U2087">
        <v>-2.2955320000000001</v>
      </c>
      <c r="V2087">
        <v>0.22944790000000001</v>
      </c>
      <c r="W2087">
        <v>8.8353509999999996E-2</v>
      </c>
      <c r="X2087">
        <v>0.96930249999999996</v>
      </c>
      <c r="Y2087">
        <v>0.54465059999999998</v>
      </c>
      <c r="Z2087">
        <v>-1.366735E-2</v>
      </c>
      <c r="AA2087">
        <v>0.83855170000000001</v>
      </c>
      <c r="AB2087">
        <v>13</v>
      </c>
      <c r="AC2087">
        <v>4.7713999999999999</v>
      </c>
      <c r="AD2087">
        <v>-1.111685691416</v>
      </c>
      <c r="AE2087">
        <v>-4.8528000000000002</v>
      </c>
      <c r="AF2087">
        <v>3.6737733920411402</v>
      </c>
      <c r="AG2087">
        <v>-1.111685691416</v>
      </c>
      <c r="AH2087">
        <v>5.5175308619875496</v>
      </c>
      <c r="AI2087">
        <v>99.520351088978899</v>
      </c>
      <c r="AJ2087">
        <v>56.342875068911802</v>
      </c>
      <c r="AK2087">
        <v>6.7212798502631603</v>
      </c>
      <c r="AL2087">
        <v>84.931107253190802</v>
      </c>
      <c r="AM2087">
        <v>76.682395014492997</v>
      </c>
      <c r="AN2087">
        <v>1.0000000090249801</v>
      </c>
    </row>
    <row r="2088" spans="1:40" x14ac:dyDescent="0.25">
      <c r="A2088" t="str">
        <f>"20190312150704801"</f>
        <v>20190312150704801</v>
      </c>
      <c r="B2088" t="str">
        <f>"1552374424791881"</f>
        <v>1552374424791881</v>
      </c>
      <c r="C2088" t="s">
        <v>40</v>
      </c>
      <c r="D2088">
        <v>4.5808309999999999</v>
      </c>
      <c r="E2088">
        <v>0.6340095</v>
      </c>
      <c r="F2088" t="s">
        <v>49</v>
      </c>
      <c r="G2088">
        <v>-200.22970000000001</v>
      </c>
      <c r="H2088" s="1">
        <v>-2.6392250000000001E-6</v>
      </c>
      <c r="I2088">
        <v>360.18779999999998</v>
      </c>
      <c r="J2088">
        <v>-205.0291</v>
      </c>
      <c r="K2088">
        <v>1.111356</v>
      </c>
      <c r="L2088">
        <v>365.05160000000001</v>
      </c>
      <c r="M2088">
        <v>0.97813760000000005</v>
      </c>
      <c r="N2088">
        <v>0</v>
      </c>
      <c r="O2088">
        <v>-0.20676919999999999</v>
      </c>
      <c r="P2088">
        <v>0.90275190000000005</v>
      </c>
      <c r="Q2088">
        <v>6.6939059999999995E-2</v>
      </c>
      <c r="R2088">
        <v>-0.4249211</v>
      </c>
      <c r="S2088">
        <v>2.2866520000000001</v>
      </c>
      <c r="T2088">
        <v>-0.5212793</v>
      </c>
      <c r="U2088">
        <v>-2.2890630000000001</v>
      </c>
      <c r="V2088">
        <v>0.2292341</v>
      </c>
      <c r="W2088">
        <v>8.7950710000000001E-2</v>
      </c>
      <c r="X2088">
        <v>0.96938970000000002</v>
      </c>
      <c r="Y2088">
        <v>0.54186650000000003</v>
      </c>
      <c r="Z2088">
        <v>-1.301713E-2</v>
      </c>
      <c r="AA2088">
        <v>0.84036379999999999</v>
      </c>
      <c r="AB2088">
        <v>13</v>
      </c>
      <c r="AC2088">
        <v>4.7993999999999897</v>
      </c>
      <c r="AD2088">
        <v>-1.1113586392249999</v>
      </c>
      <c r="AE2088">
        <v>-4.8638000000000199</v>
      </c>
      <c r="AF2088">
        <v>3.6689708294089201</v>
      </c>
      <c r="AG2088">
        <v>-1.1113586392249999</v>
      </c>
      <c r="AH2088">
        <v>5.5546268697712602</v>
      </c>
      <c r="AI2088">
        <v>99.477930523778895</v>
      </c>
      <c r="AJ2088">
        <v>56.554234184517099</v>
      </c>
      <c r="AK2088">
        <v>6.7490995424885103</v>
      </c>
      <c r="AL2088">
        <v>84.954276119425202</v>
      </c>
      <c r="AM2088">
        <v>76.695517148523194</v>
      </c>
      <c r="AN2088">
        <v>0.99999999522920202</v>
      </c>
    </row>
    <row r="2089" spans="1:40" x14ac:dyDescent="0.25">
      <c r="A2089" t="str">
        <f>"20190312150704815"</f>
        <v>20190312150704815</v>
      </c>
      <c r="B2089" t="str">
        <f>"1552374424812376"</f>
        <v>1552374424812376</v>
      </c>
      <c r="C2089" t="s">
        <v>40</v>
      </c>
      <c r="D2089">
        <v>4.5418419999999999</v>
      </c>
      <c r="E2089">
        <v>0.63276699999999997</v>
      </c>
      <c r="F2089" t="s">
        <v>49</v>
      </c>
      <c r="G2089">
        <v>-200.16739999999999</v>
      </c>
      <c r="H2089" s="1">
        <v>-2.601348E-6</v>
      </c>
      <c r="I2089">
        <v>360.19159999999999</v>
      </c>
      <c r="J2089">
        <v>-204.9496</v>
      </c>
      <c r="K2089">
        <v>1.1108480000000001</v>
      </c>
      <c r="L2089">
        <v>365.03269999999998</v>
      </c>
      <c r="M2089">
        <v>0.97772899999999996</v>
      </c>
      <c r="N2089">
        <v>0</v>
      </c>
      <c r="O2089">
        <v>-0.20874290000000001</v>
      </c>
      <c r="P2089">
        <v>0.90207269999999995</v>
      </c>
      <c r="Q2089">
        <v>6.7441630000000002E-2</v>
      </c>
      <c r="R2089">
        <v>-0.42628250000000001</v>
      </c>
      <c r="S2089">
        <v>2.2861940000000001</v>
      </c>
      <c r="T2089">
        <v>-0.52260640000000003</v>
      </c>
      <c r="U2089">
        <v>-2.2853699999999999</v>
      </c>
      <c r="V2089">
        <v>0.22880429999999999</v>
      </c>
      <c r="W2089">
        <v>8.7859989999999999E-2</v>
      </c>
      <c r="X2089">
        <v>0.96949949999999996</v>
      </c>
      <c r="Y2089">
        <v>0.53960759999999997</v>
      </c>
      <c r="Z2089">
        <v>-1.2495020000000001E-2</v>
      </c>
      <c r="AA2089">
        <v>0.84182389999999996</v>
      </c>
      <c r="AB2089">
        <v>13</v>
      </c>
      <c r="AC2089">
        <v>4.7822000000000102</v>
      </c>
      <c r="AD2089">
        <v>-1.110850601348</v>
      </c>
      <c r="AE2089">
        <v>-4.8410999999999804</v>
      </c>
      <c r="AF2089">
        <v>3.6389427923462301</v>
      </c>
      <c r="AG2089">
        <v>-1.110850601348</v>
      </c>
      <c r="AH2089">
        <v>5.5399516207524799</v>
      </c>
      <c r="AI2089">
        <v>99.514051840107598</v>
      </c>
      <c r="AJ2089">
        <v>56.700904853873702</v>
      </c>
      <c r="AK2089">
        <v>6.7206367008462697</v>
      </c>
      <c r="AL2089">
        <v>84.959494383590297</v>
      </c>
      <c r="AM2089">
        <v>76.721028337042398</v>
      </c>
      <c r="AN2089">
        <v>1.0000000330207599</v>
      </c>
    </row>
    <row r="2090" spans="1:40" x14ac:dyDescent="0.25">
      <c r="A2090" t="str">
        <f>"20190312150704827"</f>
        <v>20190312150704827</v>
      </c>
      <c r="B2090" t="str">
        <f>"1552374424822136"</f>
        <v>1552374424822136</v>
      </c>
      <c r="C2090" t="s">
        <v>40</v>
      </c>
      <c r="D2090">
        <v>4.5814450000000004</v>
      </c>
      <c r="E2090">
        <v>0.63240079999999999</v>
      </c>
      <c r="F2090" t="s">
        <v>49</v>
      </c>
      <c r="G2090">
        <v>-199.9624</v>
      </c>
      <c r="H2090" s="1">
        <v>-1.028015E-5</v>
      </c>
      <c r="I2090">
        <v>360.06009999999998</v>
      </c>
      <c r="J2090">
        <v>-204.88120000000001</v>
      </c>
      <c r="K2090">
        <v>1.110392</v>
      </c>
      <c r="L2090">
        <v>365.01609999999999</v>
      </c>
      <c r="M2090">
        <v>0.97737620000000003</v>
      </c>
      <c r="N2090">
        <v>0</v>
      </c>
      <c r="O2090">
        <v>-0.2104415</v>
      </c>
      <c r="P2090">
        <v>0.90162010000000004</v>
      </c>
      <c r="Q2090">
        <v>6.7351250000000001E-2</v>
      </c>
      <c r="R2090">
        <v>-0.4272532</v>
      </c>
      <c r="S2090">
        <v>2.2864230000000001</v>
      </c>
      <c r="T2090">
        <v>-0.50928589999999996</v>
      </c>
      <c r="U2090">
        <v>-2.2797239999999999</v>
      </c>
      <c r="V2090">
        <v>0.22820689999999999</v>
      </c>
      <c r="W2090">
        <v>8.7144170000000007E-2</v>
      </c>
      <c r="X2090">
        <v>0.96970489999999998</v>
      </c>
      <c r="Y2090">
        <v>0.53731319999999905</v>
      </c>
      <c r="Z2090">
        <v>-1.168421E-2</v>
      </c>
      <c r="AA2090">
        <v>0.84330190000000005</v>
      </c>
      <c r="AB2090">
        <v>13</v>
      </c>
      <c r="AC2090">
        <v>4.9188000000000001</v>
      </c>
      <c r="AD2090">
        <v>-1.11040228015</v>
      </c>
      <c r="AE2090">
        <v>-4.9560000000000102</v>
      </c>
      <c r="AF2090">
        <v>3.7156500582657599</v>
      </c>
      <c r="AG2090">
        <v>-1.11040228015</v>
      </c>
      <c r="AH2090">
        <v>5.70744890331585</v>
      </c>
      <c r="AI2090">
        <v>99.260362473126804</v>
      </c>
      <c r="AJ2090">
        <v>56.935161759236102</v>
      </c>
      <c r="AK2090">
        <v>6.9002914114705396</v>
      </c>
      <c r="AL2090">
        <v>85.000665824254199</v>
      </c>
      <c r="AM2090">
        <v>76.7571823666932</v>
      </c>
      <c r="AN2090">
        <v>1.0000000443282999</v>
      </c>
    </row>
    <row r="2091" spans="1:40" x14ac:dyDescent="0.25">
      <c r="A2091" t="str">
        <f>"20190312150704837"</f>
        <v>20190312150704837</v>
      </c>
      <c r="B2091" t="str">
        <f>"1552374424831896"</f>
        <v>1552374424831896</v>
      </c>
      <c r="C2091" t="s">
        <v>40</v>
      </c>
      <c r="D2091">
        <v>4.5718160000000001</v>
      </c>
      <c r="E2091">
        <v>0.63196229999999998</v>
      </c>
      <c r="F2091" t="s">
        <v>49</v>
      </c>
      <c r="G2091">
        <v>-199.8878</v>
      </c>
      <c r="H2091" s="1">
        <v>-1.025668E-5</v>
      </c>
      <c r="I2091">
        <v>360.03449999999998</v>
      </c>
      <c r="J2091">
        <v>-204.81290000000001</v>
      </c>
      <c r="K2091">
        <v>1.1100099999999999</v>
      </c>
      <c r="L2091">
        <v>364.99930000000001</v>
      </c>
      <c r="M2091">
        <v>0.97703090000000004</v>
      </c>
      <c r="N2091">
        <v>0</v>
      </c>
      <c r="O2091">
        <v>-0.21209819999999999</v>
      </c>
      <c r="P2091">
        <v>0.90110190000000001</v>
      </c>
      <c r="Q2091">
        <v>6.6636600000000004E-2</v>
      </c>
      <c r="R2091">
        <v>-0.42845650000000002</v>
      </c>
      <c r="S2091">
        <v>2.2850190000000001</v>
      </c>
      <c r="T2091">
        <v>-0.50812899999999905</v>
      </c>
      <c r="U2091">
        <v>-2.279633</v>
      </c>
      <c r="V2091">
        <v>0.2278771</v>
      </c>
      <c r="W2091">
        <v>8.5766499999999996E-2</v>
      </c>
      <c r="X2091">
        <v>0.96990520000000002</v>
      </c>
      <c r="Y2091">
        <v>0.53617910000000002</v>
      </c>
      <c r="Z2091">
        <v>-1.127452E-2</v>
      </c>
      <c r="AA2091">
        <v>0.84402900000000003</v>
      </c>
      <c r="AB2091">
        <v>14</v>
      </c>
      <c r="AC2091">
        <v>4.9251000000000102</v>
      </c>
      <c r="AD2091">
        <v>-1.1100202566799999</v>
      </c>
      <c r="AE2091">
        <v>-4.9648000000000199</v>
      </c>
      <c r="AF2091">
        <v>3.71341067990054</v>
      </c>
      <c r="AG2091">
        <v>-1.1100202566799999</v>
      </c>
      <c r="AH2091">
        <v>5.7220832100692904</v>
      </c>
      <c r="AI2091">
        <v>99.242495330736503</v>
      </c>
      <c r="AJ2091">
        <v>57.017988444808097</v>
      </c>
      <c r="AK2091">
        <v>6.9111359493788198</v>
      </c>
      <c r="AL2091">
        <v>85.079896855619694</v>
      </c>
      <c r="AM2091">
        <v>76.778282760633999</v>
      </c>
      <c r="AN2091">
        <v>0.99999998110684896</v>
      </c>
    </row>
    <row r="2092" spans="1:40" x14ac:dyDescent="0.25">
      <c r="A2092" t="str">
        <f>"20190312150704849"</f>
        <v>20190312150704849</v>
      </c>
      <c r="B2092" t="str">
        <f>"1552374424842632"</f>
        <v>1552374424842632</v>
      </c>
      <c r="C2092" t="s">
        <v>40</v>
      </c>
      <c r="D2092">
        <v>4.6214060000000003</v>
      </c>
      <c r="E2092">
        <v>0.63195440000000003</v>
      </c>
      <c r="F2092" t="s">
        <v>49</v>
      </c>
      <c r="G2092">
        <v>-199.8323</v>
      </c>
      <c r="H2092" s="1">
        <v>-1.0237850000000001E-5</v>
      </c>
      <c r="I2092">
        <v>360.02510000000001</v>
      </c>
      <c r="J2092">
        <v>-204.7467</v>
      </c>
      <c r="K2092">
        <v>1.109723</v>
      </c>
      <c r="L2092">
        <v>364.9828</v>
      </c>
      <c r="M2092">
        <v>0.97669660000000003</v>
      </c>
      <c r="N2092">
        <v>0</v>
      </c>
      <c r="O2092">
        <v>-0.21368019999999999</v>
      </c>
      <c r="P2092">
        <v>0.90079679999999995</v>
      </c>
      <c r="Q2092">
        <v>6.4252589999999998E-2</v>
      </c>
      <c r="R2092">
        <v>-0.4294617</v>
      </c>
      <c r="S2092">
        <v>2.2828369999999998</v>
      </c>
      <c r="T2092">
        <v>-0.50877419999999995</v>
      </c>
      <c r="U2092">
        <v>-2.2799070000000001</v>
      </c>
      <c r="V2092">
        <v>0.2273626</v>
      </c>
      <c r="W2092">
        <v>8.2842029999999997E-2</v>
      </c>
      <c r="X2092">
        <v>0.97028009999999998</v>
      </c>
      <c r="Y2092">
        <v>0.53528730000000002</v>
      </c>
      <c r="Z2092">
        <v>-1.0941879999999999E-2</v>
      </c>
      <c r="AA2092">
        <v>0.84459910000000005</v>
      </c>
      <c r="AB2092">
        <v>14</v>
      </c>
      <c r="AC2092">
        <v>4.9143999999999997</v>
      </c>
      <c r="AD2092">
        <v>-1.10973323785</v>
      </c>
      <c r="AE2092">
        <v>-4.9576999999999796</v>
      </c>
      <c r="AF2092">
        <v>3.6993363261947998</v>
      </c>
      <c r="AG2092">
        <v>-1.10973323785</v>
      </c>
      <c r="AH2092">
        <v>5.7159714863261097</v>
      </c>
      <c r="AI2092">
        <v>99.257195060237606</v>
      </c>
      <c r="AJ2092">
        <v>57.0893413676812</v>
      </c>
      <c r="AK2092">
        <v>6.8984728125858901</v>
      </c>
      <c r="AL2092">
        <v>85.248055495411293</v>
      </c>
      <c r="AM2092">
        <v>76.8120089011517</v>
      </c>
      <c r="AN2092">
        <v>1.00000001313464</v>
      </c>
    </row>
    <row r="2093" spans="1:40" x14ac:dyDescent="0.25">
      <c r="A2093" t="str">
        <f>"20190312150704861"</f>
        <v>20190312150704861</v>
      </c>
      <c r="B2093" t="str">
        <f>"1552374424852392"</f>
        <v>1552374424852392</v>
      </c>
      <c r="C2093" t="s">
        <v>40</v>
      </c>
      <c r="D2093">
        <v>4.6127229999999999</v>
      </c>
      <c r="E2093">
        <v>0.63195440000000003</v>
      </c>
      <c r="F2093" t="s">
        <v>49</v>
      </c>
      <c r="G2093">
        <v>-199.77369999999999</v>
      </c>
      <c r="H2093" s="1">
        <v>-1.021939E-5</v>
      </c>
      <c r="I2093">
        <v>360.00529999999998</v>
      </c>
      <c r="J2093">
        <v>-204.67590000000001</v>
      </c>
      <c r="K2093">
        <v>1.1095349999999999</v>
      </c>
      <c r="L2093">
        <v>364.96499999999997</v>
      </c>
      <c r="M2093">
        <v>0.97634089999999996</v>
      </c>
      <c r="N2093">
        <v>0</v>
      </c>
      <c r="O2093">
        <v>-0.21534130000000001</v>
      </c>
      <c r="P2093">
        <v>0.90061150000000001</v>
      </c>
      <c r="Q2093">
        <v>6.0895020000000001E-2</v>
      </c>
      <c r="R2093">
        <v>-0.43033840000000001</v>
      </c>
      <c r="S2093">
        <v>2.279083</v>
      </c>
      <c r="T2093">
        <v>-0.5085828</v>
      </c>
      <c r="U2093">
        <v>-2.2811889999999999</v>
      </c>
      <c r="V2093">
        <v>0.2266003</v>
      </c>
      <c r="W2093">
        <v>7.903984E-2</v>
      </c>
      <c r="X2093">
        <v>0.97077550000000001</v>
      </c>
      <c r="Y2093">
        <v>0.53481069999999997</v>
      </c>
      <c r="Z2093">
        <v>-1.0619740000000001E-2</v>
      </c>
      <c r="AA2093">
        <v>0.84490509999999996</v>
      </c>
      <c r="AB2093">
        <v>14</v>
      </c>
      <c r="AC2093">
        <v>4.9022000000000201</v>
      </c>
      <c r="AD2093">
        <v>-1.1095452193899999</v>
      </c>
      <c r="AE2093">
        <v>-4.95969999999999</v>
      </c>
      <c r="AF2093">
        <v>3.6939307937950701</v>
      </c>
      <c r="AG2093">
        <v>-1.1095452193899999</v>
      </c>
      <c r="AH2093">
        <v>5.7108073493891496</v>
      </c>
      <c r="AI2093">
        <v>99.265378599632001</v>
      </c>
      <c r="AJ2093">
        <v>57.103933818547397</v>
      </c>
      <c r="AK2093">
        <v>6.8912651875439996</v>
      </c>
      <c r="AL2093">
        <v>85.466622291386898</v>
      </c>
      <c r="AM2093">
        <v>76.861163160085198</v>
      </c>
      <c r="AN2093">
        <v>1.0000000318337801</v>
      </c>
    </row>
    <row r="2094" spans="1:40" x14ac:dyDescent="0.25">
      <c r="A2094" t="str">
        <f>"20190312150704871"</f>
        <v>20190312150704871</v>
      </c>
      <c r="B2094" t="str">
        <f>"1552374424862152"</f>
        <v>1552374424862152</v>
      </c>
      <c r="C2094" t="s">
        <v>40</v>
      </c>
      <c r="D2094">
        <v>4.5411960000000002</v>
      </c>
      <c r="E2094">
        <v>0.63179039999999997</v>
      </c>
      <c r="F2094" t="s">
        <v>49</v>
      </c>
      <c r="G2094">
        <v>-199.81299999999999</v>
      </c>
      <c r="H2094" s="1">
        <v>-1.0221749999999999E-5</v>
      </c>
      <c r="I2094">
        <v>360.08859999999999</v>
      </c>
      <c r="J2094">
        <v>-204.61619999999999</v>
      </c>
      <c r="K2094">
        <v>1.10948</v>
      </c>
      <c r="L2094">
        <v>364.94970000000001</v>
      </c>
      <c r="M2094">
        <v>0.97603209999999996</v>
      </c>
      <c r="N2094">
        <v>0</v>
      </c>
      <c r="O2094">
        <v>-0.21676210000000001</v>
      </c>
      <c r="P2094">
        <v>0.90069949999999999</v>
      </c>
      <c r="Q2094">
        <v>5.7046520000000003E-2</v>
      </c>
      <c r="R2094">
        <v>-0.43068129999999999</v>
      </c>
      <c r="S2094">
        <v>2.2757260000000001</v>
      </c>
      <c r="T2094">
        <v>-0.51924570000000003</v>
      </c>
      <c r="U2094">
        <v>-2.2820740000000002</v>
      </c>
      <c r="V2094">
        <v>0.2254795</v>
      </c>
      <c r="W2094">
        <v>7.4944559999999993E-2</v>
      </c>
      <c r="X2094">
        <v>0.97136100000000003</v>
      </c>
      <c r="Y2094">
        <v>0.53423140000000002</v>
      </c>
      <c r="Z2094">
        <v>-1.054544E-2</v>
      </c>
      <c r="AA2094">
        <v>0.84527249999999998</v>
      </c>
      <c r="AB2094">
        <v>14</v>
      </c>
      <c r="AC2094">
        <v>4.8032000000000004</v>
      </c>
      <c r="AD2094">
        <v>-1.10949022175</v>
      </c>
      <c r="AE2094">
        <v>-4.86110000000002</v>
      </c>
      <c r="AF2094">
        <v>3.6090055538547201</v>
      </c>
      <c r="AG2094">
        <v>-1.10949022175</v>
      </c>
      <c r="AH2094">
        <v>5.5953724609670497</v>
      </c>
      <c r="AI2094">
        <v>99.460410008729397</v>
      </c>
      <c r="AJ2094">
        <v>57.178053948911298</v>
      </c>
      <c r="AK2094">
        <v>6.7501172298606402</v>
      </c>
      <c r="AL2094">
        <v>85.701962889322104</v>
      </c>
      <c r="AM2094">
        <v>76.931522639115499</v>
      </c>
      <c r="AN2094">
        <v>0.99999994215742005</v>
      </c>
    </row>
    <row r="2095" spans="1:40" x14ac:dyDescent="0.25">
      <c r="A2095" t="str">
        <f>"20190312150704881"</f>
        <v>20190312150704881</v>
      </c>
      <c r="B2095" t="str">
        <f>"1552374424872889"</f>
        <v>1552374424872889</v>
      </c>
      <c r="C2095" t="s">
        <v>40</v>
      </c>
      <c r="D2095">
        <v>4.5745559999999896</v>
      </c>
      <c r="E2095">
        <v>0.63165519999999997</v>
      </c>
      <c r="F2095" t="s">
        <v>49</v>
      </c>
      <c r="G2095">
        <v>-199.8596</v>
      </c>
      <c r="H2095" s="1">
        <v>-1.022544E-5</v>
      </c>
      <c r="I2095">
        <v>360.18079999999998</v>
      </c>
      <c r="J2095">
        <v>-204.5522</v>
      </c>
      <c r="K2095">
        <v>1.1094679999999999</v>
      </c>
      <c r="L2095">
        <v>364.93340000000001</v>
      </c>
      <c r="M2095">
        <v>0.97569629999999996</v>
      </c>
      <c r="N2095">
        <v>0</v>
      </c>
      <c r="O2095">
        <v>-0.21829170000000001</v>
      </c>
      <c r="P2095">
        <v>0.90085150000000003</v>
      </c>
      <c r="Q2095">
        <v>5.3135929999999998E-2</v>
      </c>
      <c r="R2095">
        <v>-0.4308633</v>
      </c>
      <c r="S2095">
        <v>2.274124</v>
      </c>
      <c r="T2095">
        <v>-0.53044780000000002</v>
      </c>
      <c r="U2095">
        <v>-2.2800600000000002</v>
      </c>
      <c r="V2095">
        <v>0.22407279999999999</v>
      </c>
      <c r="W2095">
        <v>7.0828039999999995E-2</v>
      </c>
      <c r="X2095">
        <v>0.97199530000000001</v>
      </c>
      <c r="Y2095">
        <v>0.53269829999999996</v>
      </c>
      <c r="Z2095">
        <v>-1.035515E-2</v>
      </c>
      <c r="AA2095">
        <v>0.84624189999999999</v>
      </c>
      <c r="AB2095">
        <v>14</v>
      </c>
      <c r="AC2095">
        <v>4.6925999999999899</v>
      </c>
      <c r="AD2095">
        <v>-1.10947822544</v>
      </c>
      <c r="AE2095">
        <v>-4.7526000000000197</v>
      </c>
      <c r="AF2095">
        <v>3.5163654416961401</v>
      </c>
      <c r="AG2095">
        <v>-1.10947822544</v>
      </c>
      <c r="AH2095">
        <v>5.4661934185371699</v>
      </c>
      <c r="AI2095">
        <v>99.687070537261704</v>
      </c>
      <c r="AJ2095">
        <v>57.247096000122397</v>
      </c>
      <c r="AK2095">
        <v>6.5935603691131401</v>
      </c>
      <c r="AL2095">
        <v>85.938451720805602</v>
      </c>
      <c r="AM2095">
        <v>77.018469206007595</v>
      </c>
      <c r="AN2095">
        <v>1.0000000470860799</v>
      </c>
    </row>
    <row r="2096" spans="1:40" x14ac:dyDescent="0.25">
      <c r="A2096" t="str">
        <f>"20190312150704893"</f>
        <v>20190312150704893</v>
      </c>
      <c r="B2096" t="str">
        <f>"1552374424882648"</f>
        <v>1552374424882648</v>
      </c>
      <c r="C2096" t="s">
        <v>40</v>
      </c>
      <c r="D2096">
        <v>4.5209289999999998</v>
      </c>
      <c r="E2096">
        <v>0.63148179999999998</v>
      </c>
      <c r="F2096" t="s">
        <v>49</v>
      </c>
      <c r="G2096">
        <v>-199.8871</v>
      </c>
      <c r="H2096" s="1">
        <v>-1.02244E-5</v>
      </c>
      <c r="I2096">
        <v>360.2577</v>
      </c>
      <c r="J2096">
        <v>-204.48650000000001</v>
      </c>
      <c r="K2096">
        <v>1.1095269999999999</v>
      </c>
      <c r="L2096">
        <v>364.91649999999998</v>
      </c>
      <c r="M2096">
        <v>0.97532739999999996</v>
      </c>
      <c r="N2096">
        <v>0</v>
      </c>
      <c r="O2096">
        <v>-0.21995590000000001</v>
      </c>
      <c r="P2096">
        <v>0.90108980000000005</v>
      </c>
      <c r="Q2096">
        <v>4.9202570000000001E-2</v>
      </c>
      <c r="R2096">
        <v>-0.43083260000000001</v>
      </c>
      <c r="S2096">
        <v>2.2726289999999998</v>
      </c>
      <c r="T2096">
        <v>-0.54048869999999904</v>
      </c>
      <c r="U2096">
        <v>-2.2778019999999999</v>
      </c>
      <c r="V2096">
        <v>0.2222954</v>
      </c>
      <c r="W2096">
        <v>6.6727910000000001E-2</v>
      </c>
      <c r="X2096">
        <v>0.97269329999999998</v>
      </c>
      <c r="Y2096">
        <v>0.53100249999999904</v>
      </c>
      <c r="Z2096">
        <v>-1.0084879999999999E-2</v>
      </c>
      <c r="AA2096">
        <v>0.84731029999999996</v>
      </c>
      <c r="AB2096">
        <v>14</v>
      </c>
      <c r="AC2096">
        <v>4.5994000000000002</v>
      </c>
      <c r="AD2096">
        <v>-1.1095372243999999</v>
      </c>
      <c r="AE2096">
        <v>-4.6587999999999798</v>
      </c>
      <c r="AF2096">
        <v>3.43417600314626</v>
      </c>
      <c r="AG2096">
        <v>-1.1095372243999999</v>
      </c>
      <c r="AH2096">
        <v>5.3577372958406899</v>
      </c>
      <c r="AI2096">
        <v>99.890066586054203</v>
      </c>
      <c r="AJ2096">
        <v>57.341141229533903</v>
      </c>
      <c r="AK2096">
        <v>6.4598751229537896</v>
      </c>
      <c r="AL2096">
        <v>86.173929674906105</v>
      </c>
      <c r="AM2096">
        <v>77.126929591915697</v>
      </c>
      <c r="AN2096">
        <v>1.0000000573495</v>
      </c>
    </row>
    <row r="2097" spans="1:40" x14ac:dyDescent="0.25">
      <c r="A2097" t="str">
        <f>"20190312150704905"</f>
        <v>20190312150704905</v>
      </c>
      <c r="B2097" t="str">
        <f>"1552374424902168"</f>
        <v>1552374424902168</v>
      </c>
      <c r="C2097" t="s">
        <v>40</v>
      </c>
      <c r="D2097">
        <v>4.5792830000000002</v>
      </c>
      <c r="E2097">
        <v>0.63134969999999901</v>
      </c>
      <c r="F2097" t="s">
        <v>49</v>
      </c>
      <c r="G2097">
        <v>-199.89500000000001</v>
      </c>
      <c r="H2097" s="1">
        <v>-1.0218380000000001E-5</v>
      </c>
      <c r="I2097">
        <v>360.31950000000001</v>
      </c>
      <c r="J2097">
        <v>-204.4212</v>
      </c>
      <c r="K2097">
        <v>1.109602</v>
      </c>
      <c r="L2097">
        <v>364.8997</v>
      </c>
      <c r="M2097">
        <v>0.97495290000000001</v>
      </c>
      <c r="N2097">
        <v>0</v>
      </c>
      <c r="O2097">
        <v>-0.2216313</v>
      </c>
      <c r="P2097">
        <v>0.90155540000000001</v>
      </c>
      <c r="Q2097">
        <v>4.5158419999999998E-2</v>
      </c>
      <c r="R2097">
        <v>-0.43030069999999998</v>
      </c>
      <c r="S2097">
        <v>2.2717900000000002</v>
      </c>
      <c r="T2097">
        <v>-0.54897949999999995</v>
      </c>
      <c r="U2097">
        <v>-2.2745060000000001</v>
      </c>
      <c r="V2097">
        <v>0.21996589999999999</v>
      </c>
      <c r="W2097">
        <v>6.2529589999999996E-2</v>
      </c>
      <c r="X2097">
        <v>0.97350139999999996</v>
      </c>
      <c r="Y2097">
        <v>0.52900659999999999</v>
      </c>
      <c r="Z2097">
        <v>-9.7368509999999995E-3</v>
      </c>
      <c r="AA2097">
        <v>0.84856189999999998</v>
      </c>
      <c r="AB2097">
        <v>13</v>
      </c>
      <c r="AC2097">
        <v>4.5261999999999798</v>
      </c>
      <c r="AD2097">
        <v>-1.1096122183799999</v>
      </c>
      <c r="AE2097">
        <v>-4.5801999999999898</v>
      </c>
      <c r="AF2097">
        <v>3.3630696813968299</v>
      </c>
      <c r="AG2097">
        <v>-1.1096122183799999</v>
      </c>
      <c r="AH2097">
        <v>5.27233302025307</v>
      </c>
      <c r="AI2097">
        <v>100.06157286011801</v>
      </c>
      <c r="AJ2097">
        <v>57.467367313455199</v>
      </c>
      <c r="AK2097">
        <v>6.35129690957364</v>
      </c>
      <c r="AL2097">
        <v>86.414979457870103</v>
      </c>
      <c r="AM2097">
        <v>77.267636386004199</v>
      </c>
      <c r="AN2097">
        <v>0.99999996129516799</v>
      </c>
    </row>
    <row r="2098" spans="1:40" x14ac:dyDescent="0.25">
      <c r="A2098" t="str">
        <f>"20190312150704915"</f>
        <v>20190312150704915</v>
      </c>
      <c r="B2098" t="str">
        <f>"1552374424911927"</f>
        <v>1552374424911927</v>
      </c>
      <c r="C2098" t="s">
        <v>40</v>
      </c>
      <c r="D2098">
        <v>4.5505269999999998</v>
      </c>
      <c r="E2098">
        <v>0.63138130000000003</v>
      </c>
      <c r="F2098" t="s">
        <v>49</v>
      </c>
      <c r="G2098">
        <v>-199.86340000000001</v>
      </c>
      <c r="H2098" s="1">
        <v>-1.020321E-5</v>
      </c>
      <c r="I2098">
        <v>360.34519999999998</v>
      </c>
      <c r="J2098">
        <v>-204.35579999999999</v>
      </c>
      <c r="K2098">
        <v>1.1096699999999999</v>
      </c>
      <c r="L2098">
        <v>364.88279999999997</v>
      </c>
      <c r="M2098">
        <v>0.97455910000000001</v>
      </c>
      <c r="N2098">
        <v>0</v>
      </c>
      <c r="O2098">
        <v>-0.22338</v>
      </c>
      <c r="P2098">
        <v>0.9020686</v>
      </c>
      <c r="Q2098">
        <v>4.133908E-2</v>
      </c>
      <c r="R2098">
        <v>-0.4296085</v>
      </c>
      <c r="S2098">
        <v>2.2717589999999999</v>
      </c>
      <c r="T2098">
        <v>-0.55307439999999997</v>
      </c>
      <c r="U2098">
        <v>-2.2701720000000001</v>
      </c>
      <c r="V2098">
        <v>0.21739739999999999</v>
      </c>
      <c r="W2098">
        <v>5.851626E-2</v>
      </c>
      <c r="X2098">
        <v>0.97432759999999996</v>
      </c>
      <c r="Y2098">
        <v>0.52667269999999999</v>
      </c>
      <c r="Z2098">
        <v>-9.2511659999999999E-3</v>
      </c>
      <c r="AA2098">
        <v>0.85001779999999905</v>
      </c>
      <c r="AB2098">
        <v>13</v>
      </c>
      <c r="AC2098">
        <v>4.4923999999999698</v>
      </c>
      <c r="AD2098">
        <v>-1.1096802032099999</v>
      </c>
      <c r="AE2098">
        <v>-4.5375999999999896</v>
      </c>
      <c r="AF2098">
        <v>3.3189807441769799</v>
      </c>
      <c r="AG2098">
        <v>-1.1096802032099999</v>
      </c>
      <c r="AH2098">
        <v>5.2345296825543901</v>
      </c>
      <c r="AI2098">
        <v>100.15050557280399</v>
      </c>
      <c r="AJ2098">
        <v>57.623046925825399</v>
      </c>
      <c r="AK2098">
        <v>6.2966121312303098</v>
      </c>
      <c r="AL2098">
        <v>86.645349026787102</v>
      </c>
      <c r="AM2098">
        <v>77.421879455200497</v>
      </c>
      <c r="AN2098">
        <v>1.00000002716645</v>
      </c>
    </row>
    <row r="2099" spans="1:40" x14ac:dyDescent="0.25">
      <c r="A2099" t="str">
        <f>"20190312150704927"</f>
        <v>20190312150704927</v>
      </c>
      <c r="B2099" t="str">
        <f>"1552374424922664"</f>
        <v>1552374424922664</v>
      </c>
      <c r="C2099" t="s">
        <v>40</v>
      </c>
      <c r="D2099">
        <v>4.5456240000000001</v>
      </c>
      <c r="E2099">
        <v>0.63150439999999997</v>
      </c>
      <c r="F2099" t="s">
        <v>49</v>
      </c>
      <c r="G2099">
        <v>-199.82820000000001</v>
      </c>
      <c r="H2099" s="1">
        <v>-1.0187099999999999E-5</v>
      </c>
      <c r="I2099">
        <v>360.36810000000003</v>
      </c>
      <c r="J2099">
        <v>-204.28659999999999</v>
      </c>
      <c r="K2099">
        <v>1.1097319999999999</v>
      </c>
      <c r="L2099">
        <v>364.86489999999998</v>
      </c>
      <c r="M2099">
        <v>0.97414089999999998</v>
      </c>
      <c r="N2099">
        <v>0</v>
      </c>
      <c r="O2099">
        <v>-0.2252228</v>
      </c>
      <c r="P2099">
        <v>0.90282879999999999</v>
      </c>
      <c r="Q2099">
        <v>3.7264949999999998E-2</v>
      </c>
      <c r="R2099">
        <v>-0.42838310000000002</v>
      </c>
      <c r="S2099">
        <v>2.272186</v>
      </c>
      <c r="T2099">
        <v>-0.55689730000000004</v>
      </c>
      <c r="U2099">
        <v>-2.265717</v>
      </c>
      <c r="V2099">
        <v>0.21415909999999999</v>
      </c>
      <c r="W2099">
        <v>5.4225839999999997E-2</v>
      </c>
      <c r="X2099">
        <v>0.97529250000000001</v>
      </c>
      <c r="Y2099">
        <v>0.52415230000000002</v>
      </c>
      <c r="Z2099">
        <v>-8.7148959999999998E-3</v>
      </c>
      <c r="AA2099">
        <v>0.85157989999999995</v>
      </c>
      <c r="AB2099">
        <v>13</v>
      </c>
      <c r="AC2099">
        <v>4.4583999999999797</v>
      </c>
      <c r="AD2099">
        <v>-1.1097421870999999</v>
      </c>
      <c r="AE2099">
        <v>-4.4967999999999497</v>
      </c>
      <c r="AF2099">
        <v>3.27630721731733</v>
      </c>
      <c r="AG2099">
        <v>-1.1097421870999999</v>
      </c>
      <c r="AH2099">
        <v>5.1971426588021297</v>
      </c>
      <c r="AI2099">
        <v>100.239060011429</v>
      </c>
      <c r="AJ2099">
        <v>57.7724439579614</v>
      </c>
      <c r="AK2099">
        <v>6.2430768471976998</v>
      </c>
      <c r="AL2099">
        <v>86.891563628528104</v>
      </c>
      <c r="AM2099">
        <v>77.615291706421104</v>
      </c>
      <c r="AN2099">
        <v>1.00000001119638</v>
      </c>
    </row>
    <row r="2100" spans="1:40" x14ac:dyDescent="0.25">
      <c r="A2100" t="str">
        <f>"20190312150704938"</f>
        <v>20190312150704938</v>
      </c>
      <c r="B2100" t="str">
        <f>"1552374424932424"</f>
        <v>1552374424932424</v>
      </c>
      <c r="C2100" t="s">
        <v>40</v>
      </c>
      <c r="D2100">
        <v>4.5342779999999996</v>
      </c>
      <c r="E2100">
        <v>0.63160839999999996</v>
      </c>
      <c r="F2100" t="s">
        <v>49</v>
      </c>
      <c r="G2100">
        <v>-199.7946</v>
      </c>
      <c r="H2100" s="1">
        <v>-1.0170459999999999E-5</v>
      </c>
      <c r="I2100">
        <v>360.39909999999998</v>
      </c>
      <c r="J2100">
        <v>-204.22219999999999</v>
      </c>
      <c r="K2100">
        <v>1.109761</v>
      </c>
      <c r="L2100">
        <v>364.84820000000002</v>
      </c>
      <c r="M2100">
        <v>0.97375179999999995</v>
      </c>
      <c r="N2100">
        <v>0</v>
      </c>
      <c r="O2100">
        <v>-0.22692190000000001</v>
      </c>
      <c r="P2100">
        <v>0.90393559999999995</v>
      </c>
      <c r="Q2100">
        <v>3.3728979999999999E-2</v>
      </c>
      <c r="R2100">
        <v>-0.42633670000000001</v>
      </c>
      <c r="S2100">
        <v>2.2735750000000001</v>
      </c>
      <c r="T2100">
        <v>-0.56168709999999999</v>
      </c>
      <c r="U2100">
        <v>-2.260345</v>
      </c>
      <c r="V2100">
        <v>0.2101924</v>
      </c>
      <c r="W2100">
        <v>5.0463510000000003E-2</v>
      </c>
      <c r="X2100">
        <v>0.97635680000000002</v>
      </c>
      <c r="Y2100">
        <v>0.52138600000000002</v>
      </c>
      <c r="Z2100">
        <v>-8.1842949999999994E-3</v>
      </c>
      <c r="AA2100">
        <v>0.85328169999999903</v>
      </c>
      <c r="AB2100">
        <v>13</v>
      </c>
      <c r="AC2100">
        <v>4.4275999999999804</v>
      </c>
      <c r="AD2100">
        <v>-1.10977117046</v>
      </c>
      <c r="AE2100">
        <v>-4.4491000000000396</v>
      </c>
      <c r="AF2100">
        <v>3.22723810142167</v>
      </c>
      <c r="AG2100">
        <v>-1.10977117046</v>
      </c>
      <c r="AH2100">
        <v>5.1604989367048404</v>
      </c>
      <c r="AI2100">
        <v>100.33336391871001</v>
      </c>
      <c r="AJ2100">
        <v>57.979240050924801</v>
      </c>
      <c r="AK2100">
        <v>6.18687377354538</v>
      </c>
      <c r="AL2100">
        <v>87.1074252989808</v>
      </c>
      <c r="AM2100">
        <v>77.850657260880197</v>
      </c>
      <c r="AN2100">
        <v>1.0000000058827601</v>
      </c>
    </row>
    <row r="2101" spans="1:40" x14ac:dyDescent="0.25">
      <c r="A2101" t="str">
        <f>"20190312150704949"</f>
        <v>20190312150704949</v>
      </c>
      <c r="B2101" t="str">
        <f>"1552374424942184"</f>
        <v>1552374424942184</v>
      </c>
      <c r="C2101" t="s">
        <v>40</v>
      </c>
      <c r="D2101">
        <v>4.5214119999999998</v>
      </c>
      <c r="E2101">
        <v>0.63176999999999905</v>
      </c>
      <c r="F2101" t="s">
        <v>49</v>
      </c>
      <c r="G2101">
        <v>-199.74969999999999</v>
      </c>
      <c r="H2101" s="1">
        <v>-1.015073E-5</v>
      </c>
      <c r="I2101">
        <v>360.42270000000002</v>
      </c>
      <c r="J2101">
        <v>-204.1591</v>
      </c>
      <c r="K2101">
        <v>1.1097709999999901</v>
      </c>
      <c r="L2101">
        <v>364.83179999999999</v>
      </c>
      <c r="M2101">
        <v>0.97337600000000002</v>
      </c>
      <c r="N2101">
        <v>0</v>
      </c>
      <c r="O2101">
        <v>-0.228551</v>
      </c>
      <c r="P2101">
        <v>0.90521099999999999</v>
      </c>
      <c r="Q2101">
        <v>3.1218200000000002E-2</v>
      </c>
      <c r="R2101">
        <v>-0.42381459999999999</v>
      </c>
      <c r="S2101">
        <v>2.2771759999999999</v>
      </c>
      <c r="T2101">
        <v>-0.56503419999999904</v>
      </c>
      <c r="U2101">
        <v>-2.2532350000000001</v>
      </c>
      <c r="V2101">
        <v>0.20579819999999999</v>
      </c>
      <c r="W2101">
        <v>4.7733110000000002E-2</v>
      </c>
      <c r="X2101">
        <v>0.97742960000000001</v>
      </c>
      <c r="Y2101">
        <v>0.51796220000000004</v>
      </c>
      <c r="Z2101">
        <v>-7.5657519999999898E-3</v>
      </c>
      <c r="AA2101">
        <v>0.85536999999999996</v>
      </c>
      <c r="AB2101">
        <v>13</v>
      </c>
      <c r="AC2101">
        <v>4.4093999999999998</v>
      </c>
      <c r="AD2101">
        <v>-1.1097811507299999</v>
      </c>
      <c r="AE2101">
        <v>-4.4090999999999596</v>
      </c>
      <c r="AF2101">
        <v>3.18359782177005</v>
      </c>
      <c r="AG2101">
        <v>-1.1097811507299999</v>
      </c>
      <c r="AH2101">
        <v>5.1377745433623696</v>
      </c>
      <c r="AI2101">
        <v>100.404290818262</v>
      </c>
      <c r="AJ2101">
        <v>58.215769591778397</v>
      </c>
      <c r="AK2101">
        <v>6.1452124903632903</v>
      </c>
      <c r="AL2101">
        <v>87.2640545916029</v>
      </c>
      <c r="AM2101">
        <v>78.110020228791598</v>
      </c>
      <c r="AN2101">
        <v>0.99999998593483597</v>
      </c>
    </row>
    <row r="2102" spans="1:40" x14ac:dyDescent="0.25">
      <c r="A2102" t="str">
        <f>"20190312150704962"</f>
        <v>20190312150704962</v>
      </c>
      <c r="B2102" t="str">
        <f>"1552374424951943"</f>
        <v>1552374424951943</v>
      </c>
      <c r="C2102" t="s">
        <v>40</v>
      </c>
      <c r="D2102">
        <v>4.5307579999999996</v>
      </c>
      <c r="E2102">
        <v>0.63209309999999996</v>
      </c>
      <c r="F2102" t="s">
        <v>49</v>
      </c>
      <c r="G2102">
        <v>-199.68260000000001</v>
      </c>
      <c r="H2102" s="1">
        <v>-1.012562E-5</v>
      </c>
      <c r="I2102">
        <v>360.42790000000002</v>
      </c>
      <c r="J2102">
        <v>-204.08260000000001</v>
      </c>
      <c r="K2102">
        <v>1.1097509999999999</v>
      </c>
      <c r="L2102">
        <v>364.81180000000001</v>
      </c>
      <c r="M2102">
        <v>0.97292920000000005</v>
      </c>
      <c r="N2102">
        <v>0</v>
      </c>
      <c r="O2102">
        <v>-0.23046929999999999</v>
      </c>
      <c r="P2102">
        <v>0.90623889999999996</v>
      </c>
      <c r="Q2102">
        <v>2.9878450000000001E-2</v>
      </c>
      <c r="R2102">
        <v>-0.4217089</v>
      </c>
      <c r="S2102">
        <v>2.282349</v>
      </c>
      <c r="T2102">
        <v>-0.56583329999999998</v>
      </c>
      <c r="U2102">
        <v>-2.2453919999999998</v>
      </c>
      <c r="V2102">
        <v>0.20157839999999999</v>
      </c>
      <c r="W2102">
        <v>4.611937E-2</v>
      </c>
      <c r="X2102">
        <v>0.97838599999999998</v>
      </c>
      <c r="Y2102">
        <v>0.51389269999999998</v>
      </c>
      <c r="Z2102">
        <v>-6.7845359999999999E-3</v>
      </c>
      <c r="AA2102">
        <v>0.85782769999999997</v>
      </c>
      <c r="AB2102">
        <v>13</v>
      </c>
      <c r="AC2102">
        <v>4.4000000000000004</v>
      </c>
      <c r="AD2102">
        <v>-1.10976112562</v>
      </c>
      <c r="AE2102">
        <v>-4.3838999999999801</v>
      </c>
      <c r="AF2102">
        <v>3.1510424358278399</v>
      </c>
      <c r="AG2102">
        <v>-1.10976112562</v>
      </c>
      <c r="AH2102">
        <v>5.1283030727994099</v>
      </c>
      <c r="AI2102">
        <v>100.446634926759</v>
      </c>
      <c r="AJ2102">
        <v>58.431706483454498</v>
      </c>
      <c r="AK2102">
        <v>6.1204681679434501</v>
      </c>
      <c r="AL2102">
        <v>87.356617118955398</v>
      </c>
      <c r="AM2102">
        <v>78.358164596282506</v>
      </c>
      <c r="AN2102">
        <v>1.00000000631587</v>
      </c>
    </row>
    <row r="2103" spans="1:40" x14ac:dyDescent="0.25">
      <c r="A2103" t="str">
        <f>"20190312150704975"</f>
        <v>20190312150704975</v>
      </c>
      <c r="B2103" t="str">
        <f>"1552374424962680"</f>
        <v>1552374424962680</v>
      </c>
      <c r="C2103" t="s">
        <v>40</v>
      </c>
      <c r="D2103">
        <v>4.5077360000000004</v>
      </c>
      <c r="E2103">
        <v>0.63209309999999996</v>
      </c>
      <c r="F2103" t="s">
        <v>49</v>
      </c>
      <c r="G2103">
        <v>-199.5899</v>
      </c>
      <c r="H2103" s="1">
        <v>-1.009455E-5</v>
      </c>
      <c r="I2103">
        <v>360.40940000000001</v>
      </c>
      <c r="J2103">
        <v>-204.01599999999999</v>
      </c>
      <c r="K2103">
        <v>1.1097220000000001</v>
      </c>
      <c r="L2103">
        <v>364.79410000000001</v>
      </c>
      <c r="M2103">
        <v>0.97255329999999995</v>
      </c>
      <c r="N2103">
        <v>0</v>
      </c>
      <c r="O2103">
        <v>-0.23206769999999999</v>
      </c>
      <c r="P2103">
        <v>0.90754009999999996</v>
      </c>
      <c r="Q2103">
        <v>2.961782E-2</v>
      </c>
      <c r="R2103">
        <v>-0.41892000000000001</v>
      </c>
      <c r="S2103">
        <v>2.286438</v>
      </c>
      <c r="T2103">
        <v>-0.56478419999999996</v>
      </c>
      <c r="U2103">
        <v>-2.2404790000000001</v>
      </c>
      <c r="V2103">
        <v>0.19695650000000001</v>
      </c>
      <c r="W2103">
        <v>4.5651610000000002E-2</v>
      </c>
      <c r="X2103">
        <v>0.97934880000000002</v>
      </c>
      <c r="Y2103">
        <v>0.51086399999999998</v>
      </c>
      <c r="Z2103">
        <v>-6.1512399999999997E-3</v>
      </c>
      <c r="AA2103">
        <v>0.85963959999999995</v>
      </c>
      <c r="AB2103">
        <v>13</v>
      </c>
      <c r="AC2103">
        <v>4.4260999999999902</v>
      </c>
      <c r="AD2103">
        <v>-1.10973209454999</v>
      </c>
      <c r="AE2103">
        <v>-4.3846999999999996</v>
      </c>
      <c r="AF2103">
        <v>3.1380986880914201</v>
      </c>
      <c r="AG2103">
        <v>-1.10973209454999</v>
      </c>
      <c r="AH2103">
        <v>5.1592370879261003</v>
      </c>
      <c r="AI2103">
        <v>100.413134118304</v>
      </c>
      <c r="AJ2103">
        <v>58.6900007654177</v>
      </c>
      <c r="AK2103">
        <v>6.1397798028355801</v>
      </c>
      <c r="AL2103">
        <v>87.383446040893503</v>
      </c>
      <c r="AM2103">
        <v>78.628947332704101</v>
      </c>
      <c r="AN2103">
        <v>1.00000000222464</v>
      </c>
    </row>
    <row r="2104" spans="1:40" x14ac:dyDescent="0.25">
      <c r="A2104" t="str">
        <f>"20190312150704988"</f>
        <v>20190312150704988</v>
      </c>
      <c r="B2104" t="str">
        <f>"1552374424982200"</f>
        <v>1552374424982200</v>
      </c>
      <c r="C2104" t="s">
        <v>40</v>
      </c>
      <c r="D2104">
        <v>4.489706</v>
      </c>
      <c r="E2104">
        <v>0.63963019999999904</v>
      </c>
      <c r="F2104" t="s">
        <v>49</v>
      </c>
      <c r="G2104">
        <v>-199.52520000000001</v>
      </c>
      <c r="H2104" s="1">
        <v>-1.006908E-5</v>
      </c>
      <c r="I2104">
        <v>360.4228</v>
      </c>
      <c r="J2104">
        <v>-203.93709999999999</v>
      </c>
      <c r="K2104">
        <v>1.109677</v>
      </c>
      <c r="L2104">
        <v>364.7731</v>
      </c>
      <c r="M2104">
        <v>0.97210989999999997</v>
      </c>
      <c r="N2104">
        <v>0</v>
      </c>
      <c r="O2104">
        <v>-0.23393620000000001</v>
      </c>
      <c r="P2104">
        <v>0.90835220000000005</v>
      </c>
      <c r="Q2104">
        <v>2.9308219999999999E-2</v>
      </c>
      <c r="R2104">
        <v>-0.4171782</v>
      </c>
      <c r="S2104">
        <v>2.2935940000000001</v>
      </c>
      <c r="T2104">
        <v>-0.56677219999999995</v>
      </c>
      <c r="U2104">
        <v>-2.2325740000000001</v>
      </c>
      <c r="V2104">
        <v>0.1931929</v>
      </c>
      <c r="W2104">
        <v>4.5100950000000001E-2</v>
      </c>
      <c r="X2104">
        <v>0.98012370000000004</v>
      </c>
      <c r="Y2104">
        <v>0.50641959999999997</v>
      </c>
      <c r="Z2104">
        <v>-5.3487939999999996E-3</v>
      </c>
      <c r="AA2104">
        <v>0.8622706</v>
      </c>
      <c r="AB2104">
        <v>13</v>
      </c>
      <c r="AC2104">
        <v>4.41189999999997</v>
      </c>
      <c r="AD2104">
        <v>-1.10968706908</v>
      </c>
      <c r="AE2104">
        <v>-4.3502999999999998</v>
      </c>
      <c r="AF2104">
        <v>3.09793799277461</v>
      </c>
      <c r="AG2104">
        <v>-1.10968706908</v>
      </c>
      <c r="AH2104">
        <v>5.1423307348659701</v>
      </c>
      <c r="AI2104">
        <v>100.47252945290199</v>
      </c>
      <c r="AJ2104">
        <v>58.933621980744</v>
      </c>
      <c r="AK2104">
        <v>6.1050954607693901</v>
      </c>
      <c r="AL2104">
        <v>87.415029138092095</v>
      </c>
      <c r="AM2104">
        <v>78.849331434306293</v>
      </c>
      <c r="AN2104">
        <v>1.0000000298014999</v>
      </c>
    </row>
    <row r="2105" spans="1:40" x14ac:dyDescent="0.25">
      <c r="A2105" t="str">
        <f>"20190312150705000"</f>
        <v>20190312150705000</v>
      </c>
      <c r="B2105" t="str">
        <f>"1552374424991962"</f>
        <v>1552374424991962</v>
      </c>
      <c r="C2105" t="s">
        <v>40</v>
      </c>
      <c r="D2105">
        <v>4.3542880000000004</v>
      </c>
      <c r="E2105">
        <v>0.63444959999999995</v>
      </c>
      <c r="F2105" t="s">
        <v>49</v>
      </c>
      <c r="G2105">
        <v>-197.40780000000001</v>
      </c>
      <c r="H2105" s="1">
        <v>-5.9825279999999998E-6</v>
      </c>
      <c r="I2105">
        <v>358.221</v>
      </c>
      <c r="J2105">
        <v>-203.86320000000001</v>
      </c>
      <c r="K2105">
        <v>1.1096299999999999</v>
      </c>
      <c r="L2105">
        <v>364.75319999999999</v>
      </c>
      <c r="M2105">
        <v>0.97169729999999999</v>
      </c>
      <c r="N2105">
        <v>0</v>
      </c>
      <c r="O2105">
        <v>-0.23565820000000001</v>
      </c>
      <c r="P2105">
        <v>0.90899870000000005</v>
      </c>
      <c r="Q2105">
        <v>2.952229E-2</v>
      </c>
      <c r="R2105">
        <v>-0.41575200000000001</v>
      </c>
      <c r="S2105">
        <v>2.269272</v>
      </c>
      <c r="T2105">
        <v>-0.38567499999999999</v>
      </c>
      <c r="U2105">
        <v>-2.2772220000000001</v>
      </c>
      <c r="V2105">
        <v>0.1899236</v>
      </c>
      <c r="W2105">
        <v>4.511047E-2</v>
      </c>
      <c r="X2105">
        <v>0.98076200000000002</v>
      </c>
      <c r="Y2105">
        <v>0.52006379999999996</v>
      </c>
      <c r="Z2105">
        <v>-4.4124630000000001E-3</v>
      </c>
      <c r="AA2105">
        <v>0.85411599999999999</v>
      </c>
      <c r="AB2105">
        <v>13</v>
      </c>
      <c r="AC2105">
        <v>6.4553999999999903</v>
      </c>
      <c r="AD2105">
        <v>-1.109635982528</v>
      </c>
      <c r="AE2105">
        <v>-6.53219999999998</v>
      </c>
      <c r="AF2105">
        <v>4.7572534336987697</v>
      </c>
      <c r="AG2105">
        <v>-1.109635982528</v>
      </c>
      <c r="AH2105">
        <v>7.7006932905122296</v>
      </c>
      <c r="AI2105">
        <v>96.988991401047997</v>
      </c>
      <c r="AJ2105">
        <v>58.293492541523499</v>
      </c>
      <c r="AK2105">
        <v>9.1193985218708207</v>
      </c>
      <c r="AL2105">
        <v>87.414483086958498</v>
      </c>
      <c r="AM2105">
        <v>79.040379823797593</v>
      </c>
      <c r="AN2105">
        <v>1.00000001449229</v>
      </c>
    </row>
    <row r="2106" spans="1:40" x14ac:dyDescent="0.25">
      <c r="A2106" t="str">
        <f>"20190312150705013"</f>
        <v>20190312150705013</v>
      </c>
      <c r="B2106" t="str">
        <f>"1552374425002697"</f>
        <v>1552374425002697</v>
      </c>
      <c r="C2106" t="s">
        <v>40</v>
      </c>
      <c r="D2106">
        <v>4.4898669999999896</v>
      </c>
      <c r="E2106">
        <v>0.63807000000000003</v>
      </c>
      <c r="F2106" t="s">
        <v>49</v>
      </c>
      <c r="G2106">
        <v>-189.42689999999999</v>
      </c>
      <c r="H2106" s="1">
        <v>-7.1423279999999995E-7</v>
      </c>
      <c r="I2106">
        <v>350.67450000000002</v>
      </c>
      <c r="J2106">
        <v>-203.79259999999999</v>
      </c>
      <c r="K2106">
        <v>1.1095889999999999</v>
      </c>
      <c r="L2106">
        <v>364.73399999999998</v>
      </c>
      <c r="M2106">
        <v>0.97129620000000005</v>
      </c>
      <c r="N2106">
        <v>0</v>
      </c>
      <c r="O2106">
        <v>-0.23731859999999999</v>
      </c>
      <c r="P2106">
        <v>0.90929680000000002</v>
      </c>
      <c r="Q2106">
        <v>3.0101139999999998E-2</v>
      </c>
      <c r="R2106">
        <v>-0.4150585</v>
      </c>
      <c r="S2106">
        <v>2.28627</v>
      </c>
      <c r="T2106">
        <v>-0.17573239999999901</v>
      </c>
      <c r="U2106">
        <v>-2.2296450000000001</v>
      </c>
      <c r="V2106">
        <v>0.18750900000000001</v>
      </c>
      <c r="W2106">
        <v>4.5498690000000001E-2</v>
      </c>
      <c r="X2106">
        <v>0.98120859999999999</v>
      </c>
      <c r="Y2106">
        <v>0.50791779999999997</v>
      </c>
      <c r="Z2106">
        <v>-1.5243829999999901E-3</v>
      </c>
      <c r="AA2106">
        <v>0.86140419999999995</v>
      </c>
      <c r="AB2106">
        <v>13</v>
      </c>
      <c r="AC2106">
        <v>14.3657</v>
      </c>
      <c r="AD2106">
        <v>-1.1095897142328</v>
      </c>
      <c r="AE2106">
        <v>-14.0595</v>
      </c>
      <c r="AF2106">
        <v>10.216909050003</v>
      </c>
      <c r="AG2106">
        <v>-1.1095897142328</v>
      </c>
      <c r="AH2106">
        <v>17.239677402138899</v>
      </c>
      <c r="AI2106">
        <v>93.169198624193896</v>
      </c>
      <c r="AJ2106">
        <v>59.347354662368801</v>
      </c>
      <c r="AK2106">
        <v>20.0704483457591</v>
      </c>
      <c r="AL2106">
        <v>87.392216913998695</v>
      </c>
      <c r="AM2106">
        <v>79.181213728292803</v>
      </c>
      <c r="AN2106">
        <v>1.0000000362933299</v>
      </c>
    </row>
    <row r="2107" spans="1:40" x14ac:dyDescent="0.25">
      <c r="A2107" t="str">
        <f>"20190312150705023"</f>
        <v>20190312150705023</v>
      </c>
      <c r="B2107" t="str">
        <f>"1552374425012456"</f>
        <v>1552374425012456</v>
      </c>
      <c r="C2107" t="s">
        <v>40</v>
      </c>
      <c r="D2107">
        <v>4.5127249999999997</v>
      </c>
      <c r="E2107">
        <v>0.63999989999999995</v>
      </c>
      <c r="F2107" t="s">
        <v>42</v>
      </c>
      <c r="G2107">
        <v>-186.27699999999999</v>
      </c>
      <c r="H2107" s="1">
        <v>-3.9861039999999999E-6</v>
      </c>
      <c r="I2107">
        <v>347.38510000000002</v>
      </c>
      <c r="J2107">
        <v>-203.7295</v>
      </c>
      <c r="K2107">
        <v>1.1095539999999999</v>
      </c>
      <c r="L2107">
        <v>364.7167</v>
      </c>
      <c r="M2107">
        <v>0.97093269999999998</v>
      </c>
      <c r="N2107">
        <v>0</v>
      </c>
      <c r="O2107">
        <v>-0.23881169999999999</v>
      </c>
      <c r="P2107">
        <v>0.90895919999999997</v>
      </c>
      <c r="Q2107">
        <v>3.1727140000000001E-2</v>
      </c>
      <c r="R2107">
        <v>-0.4156763</v>
      </c>
      <c r="S2107">
        <v>2.2753139999999998</v>
      </c>
      <c r="T2107">
        <v>-0.1441385</v>
      </c>
      <c r="U2107">
        <v>-2.2536619999999998</v>
      </c>
      <c r="V2107">
        <v>0.18668999999999999</v>
      </c>
      <c r="W2107">
        <v>4.6949589999999999E-2</v>
      </c>
      <c r="X2107">
        <v>0.98129639999999996</v>
      </c>
      <c r="Y2107">
        <v>0.51339170000000001</v>
      </c>
      <c r="Z2107">
        <v>-1.324986E-3</v>
      </c>
      <c r="AA2107">
        <v>0.85815339999999996</v>
      </c>
      <c r="AB2107">
        <v>13</v>
      </c>
      <c r="AC2107">
        <v>17.452499999999901</v>
      </c>
      <c r="AD2107">
        <v>-1.1095579861039999</v>
      </c>
      <c r="AE2107">
        <v>-17.331599999999899</v>
      </c>
      <c r="AF2107">
        <v>12.6358797001004</v>
      </c>
      <c r="AG2107">
        <v>-1.1095579861039999</v>
      </c>
      <c r="AH2107">
        <v>21.044094582193701</v>
      </c>
      <c r="AI2107">
        <v>92.588162820552498</v>
      </c>
      <c r="AJ2107">
        <v>59.017382907152999</v>
      </c>
      <c r="AK2107">
        <v>24.5713347521915</v>
      </c>
      <c r="AL2107">
        <v>87.3089974719054</v>
      </c>
      <c r="AM2107">
        <v>79.228301095371194</v>
      </c>
      <c r="AN2107">
        <v>1.00000002237706</v>
      </c>
    </row>
    <row r="2108" spans="1:40" x14ac:dyDescent="0.25">
      <c r="A2108" t="str">
        <f>"20190312150705033"</f>
        <v>20190312150705033</v>
      </c>
      <c r="B2108" t="str">
        <f>"1552374425022217"</f>
        <v>1552374425022217</v>
      </c>
      <c r="C2108" t="s">
        <v>40</v>
      </c>
      <c r="D2108">
        <v>4.4612619999999996</v>
      </c>
      <c r="E2108">
        <v>0.64183690000000004</v>
      </c>
      <c r="F2108" t="s">
        <v>42</v>
      </c>
      <c r="G2108">
        <v>-181.52449999999999</v>
      </c>
      <c r="H2108" s="1">
        <v>-3.224552E-6</v>
      </c>
      <c r="I2108">
        <v>342.49680000000001</v>
      </c>
      <c r="J2108">
        <v>-203.6695</v>
      </c>
      <c r="K2108">
        <v>1.1095389999999901</v>
      </c>
      <c r="L2108">
        <v>364.70010000000002</v>
      </c>
      <c r="M2108">
        <v>0.97057329999999997</v>
      </c>
      <c r="N2108">
        <v>0</v>
      </c>
      <c r="O2108">
        <v>-0.24027879999999999</v>
      </c>
      <c r="P2108">
        <v>0.90784810000000005</v>
      </c>
      <c r="Q2108">
        <v>3.4766400000000003E-2</v>
      </c>
      <c r="R2108">
        <v>-0.41785630000000001</v>
      </c>
      <c r="S2108">
        <v>2.2669980000000001</v>
      </c>
      <c r="T2108">
        <v>-0.11327909999999999</v>
      </c>
      <c r="U2108">
        <v>-2.2685240000000002</v>
      </c>
      <c r="V2108">
        <v>0.18760199999999999</v>
      </c>
      <c r="W2108">
        <v>4.981965E-2</v>
      </c>
      <c r="X2108">
        <v>0.98098090000000004</v>
      </c>
      <c r="Y2108">
        <v>0.5165843</v>
      </c>
      <c r="Z2108">
        <v>-1.0534229999999999E-3</v>
      </c>
      <c r="AA2108">
        <v>0.85623570000000004</v>
      </c>
      <c r="AB2108">
        <v>13</v>
      </c>
      <c r="AC2108">
        <v>22.145</v>
      </c>
      <c r="AD2108">
        <v>-1.1095422245519999</v>
      </c>
      <c r="AE2108">
        <v>-22.203299999999999</v>
      </c>
      <c r="AF2108">
        <v>16.2107201974707</v>
      </c>
      <c r="AG2108">
        <v>-1.1095422245519999</v>
      </c>
      <c r="AH2108">
        <v>26.798181924874601</v>
      </c>
      <c r="AI2108">
        <v>92.028924441186703</v>
      </c>
      <c r="AJ2108">
        <v>58.829473763621998</v>
      </c>
      <c r="AK2108">
        <v>31.339449384879501</v>
      </c>
      <c r="AL2108">
        <v>87.1443622541357</v>
      </c>
      <c r="AM2108">
        <v>79.173521554152899</v>
      </c>
      <c r="AN2108">
        <v>1.0000000170474601</v>
      </c>
    </row>
    <row r="2109" spans="1:40" x14ac:dyDescent="0.25">
      <c r="A2109" t="str">
        <f>"20190312150705044"</f>
        <v>20190312150705044</v>
      </c>
      <c r="B2109" t="str">
        <f>"1552374425042711"</f>
        <v>1552374425042711</v>
      </c>
      <c r="C2109" t="s">
        <v>40</v>
      </c>
      <c r="D2109">
        <v>4.4617389999999997</v>
      </c>
      <c r="E2109">
        <v>0.64340559999999902</v>
      </c>
      <c r="F2109" t="s">
        <v>42</v>
      </c>
      <c r="G2109">
        <v>-177.80959999999999</v>
      </c>
      <c r="H2109">
        <v>7.9986570000000007E-2</v>
      </c>
      <c r="I2109">
        <v>338.47199999999998</v>
      </c>
      <c r="J2109">
        <v>-203.607</v>
      </c>
      <c r="K2109">
        <v>1.1095200000000001</v>
      </c>
      <c r="L2109">
        <v>364.68270000000001</v>
      </c>
      <c r="M2109">
        <v>0.97019469999999997</v>
      </c>
      <c r="N2109">
        <v>0</v>
      </c>
      <c r="O2109">
        <v>-0.24181369999999999</v>
      </c>
      <c r="P2109">
        <v>0.90629839999999995</v>
      </c>
      <c r="Q2109">
        <v>3.7676510000000003E-2</v>
      </c>
      <c r="R2109">
        <v>-0.42095660000000001</v>
      </c>
      <c r="S2109">
        <v>2.255188</v>
      </c>
      <c r="T2109">
        <v>-8.978498E-2</v>
      </c>
      <c r="U2109">
        <v>-2.2872919999999999</v>
      </c>
      <c r="V2109">
        <v>0.18944549999999999</v>
      </c>
      <c r="W2109">
        <v>5.2548339999999999E-2</v>
      </c>
      <c r="X2109">
        <v>0.98048409999999997</v>
      </c>
      <c r="Y2109">
        <v>0.52104740000000005</v>
      </c>
      <c r="Z2109">
        <v>-8.6420360000000001E-4</v>
      </c>
      <c r="AA2109">
        <v>0.85352739999999905</v>
      </c>
      <c r="AB2109">
        <v>13</v>
      </c>
      <c r="AC2109">
        <v>25.7974</v>
      </c>
      <c r="AD2109">
        <v>-1.0295334300000001</v>
      </c>
      <c r="AE2109">
        <v>-26.210699999999999</v>
      </c>
      <c r="AF2109">
        <v>19.1786712433282</v>
      </c>
      <c r="AG2109">
        <v>-1.0295334300000001</v>
      </c>
      <c r="AH2109">
        <v>31.345937883510398</v>
      </c>
      <c r="AI2109">
        <v>91.604796652982103</v>
      </c>
      <c r="AJ2109">
        <v>58.540073998966598</v>
      </c>
      <c r="AK2109">
        <v>36.762061851044898</v>
      </c>
      <c r="AL2109">
        <v>86.987814533184405</v>
      </c>
      <c r="AM2109">
        <v>79.064279205383301</v>
      </c>
      <c r="AN2109">
        <v>0.99999999792990701</v>
      </c>
    </row>
    <row r="2110" spans="1:40" x14ac:dyDescent="0.25">
      <c r="A2110" t="str">
        <f>"20190312150705055"</f>
        <v>20190312150705055</v>
      </c>
      <c r="B2110" t="str">
        <f>"1552374425052472"</f>
        <v>1552374425052472</v>
      </c>
      <c r="C2110" t="s">
        <v>40</v>
      </c>
      <c r="D2110">
        <v>4.3843759999999996</v>
      </c>
      <c r="E2110">
        <v>0.64471409999999996</v>
      </c>
      <c r="F2110" t="s">
        <v>50</v>
      </c>
      <c r="G2110">
        <v>-168.4</v>
      </c>
      <c r="H2110">
        <v>2.370939E-2</v>
      </c>
      <c r="I2110">
        <v>328.4579</v>
      </c>
      <c r="J2110">
        <v>-203.54140000000001</v>
      </c>
      <c r="K2110">
        <v>1.109515</v>
      </c>
      <c r="L2110">
        <v>364.66419999999999</v>
      </c>
      <c r="M2110">
        <v>0.96977970000000002</v>
      </c>
      <c r="N2110">
        <v>0</v>
      </c>
      <c r="O2110">
        <v>-0.24348210000000001</v>
      </c>
      <c r="P2110">
        <v>0.90372350000000001</v>
      </c>
      <c r="Q2110">
        <v>4.0651560000000003E-2</v>
      </c>
      <c r="R2110">
        <v>-0.42618299999999998</v>
      </c>
      <c r="S2110">
        <v>2.241714</v>
      </c>
      <c r="T2110">
        <v>-6.9135790000000003E-2</v>
      </c>
      <c r="U2110">
        <v>-2.3065190000000002</v>
      </c>
      <c r="V2110">
        <v>0.19346569999999999</v>
      </c>
      <c r="W2110">
        <v>5.5336629999999998E-2</v>
      </c>
      <c r="X2110">
        <v>0.9795452</v>
      </c>
      <c r="Y2110">
        <v>0.52574189999999998</v>
      </c>
      <c r="Z2110">
        <v>-6.8824269999999996E-4</v>
      </c>
      <c r="AA2110">
        <v>0.85064390000000001</v>
      </c>
      <c r="AB2110">
        <v>13</v>
      </c>
      <c r="AC2110">
        <v>35.141399999999997</v>
      </c>
      <c r="AD2110">
        <v>-1.08580561</v>
      </c>
      <c r="AE2110">
        <v>-36.206299999999999</v>
      </c>
      <c r="AF2110">
        <v>26.546776748866201</v>
      </c>
      <c r="AG2110">
        <v>-1.08580561</v>
      </c>
      <c r="AH2110">
        <v>42.880374149464799</v>
      </c>
      <c r="AI2110">
        <v>91.233375598883498</v>
      </c>
      <c r="AJ2110">
        <v>58.238797366299998</v>
      </c>
      <c r="AK2110">
        <v>50.444393313577898</v>
      </c>
      <c r="AL2110">
        <v>86.827824169964202</v>
      </c>
      <c r="AM2110">
        <v>78.827552823601494</v>
      </c>
      <c r="AN2110">
        <v>0.99999995926964202</v>
      </c>
    </row>
    <row r="2111" spans="1:40" x14ac:dyDescent="0.25">
      <c r="A2111" t="str">
        <f>"20190312150705067"</f>
        <v>20190312150705067</v>
      </c>
      <c r="B2111" t="str">
        <f>"1552374425062232"</f>
        <v>1552374425062232</v>
      </c>
      <c r="C2111" t="s">
        <v>40</v>
      </c>
      <c r="D2111">
        <v>4.4351629999999904</v>
      </c>
      <c r="E2111">
        <v>0.6454744</v>
      </c>
      <c r="F2111" t="s">
        <v>50</v>
      </c>
      <c r="G2111">
        <v>-168.40010000000001</v>
      </c>
      <c r="H2111">
        <v>0.37703999999999999</v>
      </c>
      <c r="I2111">
        <v>327.84989999999999</v>
      </c>
      <c r="J2111">
        <v>-203.48060000000001</v>
      </c>
      <c r="K2111">
        <v>1.1095120000000001</v>
      </c>
      <c r="L2111">
        <v>364.64710000000002</v>
      </c>
      <c r="M2111">
        <v>0.96939030000000004</v>
      </c>
      <c r="N2111">
        <v>0</v>
      </c>
      <c r="O2111">
        <v>-0.24503659999999999</v>
      </c>
      <c r="P2111">
        <v>0.90117250000000004</v>
      </c>
      <c r="Q2111">
        <v>4.2195499999999997E-2</v>
      </c>
      <c r="R2111">
        <v>-0.43140260000000002</v>
      </c>
      <c r="S2111">
        <v>2.2232820000000002</v>
      </c>
      <c r="T2111">
        <v>-4.6341060000000003E-2</v>
      </c>
      <c r="U2111">
        <v>-2.329132</v>
      </c>
      <c r="V2111">
        <v>0.1975865</v>
      </c>
      <c r="W2111">
        <v>5.6711579999999998E-2</v>
      </c>
      <c r="X2111">
        <v>0.97864370000000001</v>
      </c>
      <c r="Y2111">
        <v>0.53205360000000002</v>
      </c>
      <c r="Z2111">
        <v>-4.9301029999999999E-4</v>
      </c>
      <c r="AA2111">
        <v>0.84671049999999903</v>
      </c>
      <c r="AB2111">
        <v>13</v>
      </c>
      <c r="AC2111">
        <v>35.080500000000001</v>
      </c>
      <c r="AD2111">
        <v>-0.73247200000000001</v>
      </c>
      <c r="AE2111">
        <v>-36.797199999999997</v>
      </c>
      <c r="AF2111">
        <v>27.072465663717601</v>
      </c>
      <c r="AG2111">
        <v>-0.73247200000000001</v>
      </c>
      <c r="AH2111">
        <v>43.0195805944808</v>
      </c>
      <c r="AI2111">
        <v>90.825601997157406</v>
      </c>
      <c r="AJ2111">
        <v>57.817560407438002</v>
      </c>
      <c r="AK2111">
        <v>50.834429542082802</v>
      </c>
      <c r="AL2111">
        <v>86.748921732607201</v>
      </c>
      <c r="AM2111">
        <v>78.585524443672796</v>
      </c>
      <c r="AN2111">
        <v>1.00000005991901</v>
      </c>
    </row>
    <row r="2112" spans="1:40" x14ac:dyDescent="0.25">
      <c r="A2112" t="str">
        <f>"20190312150705077"</f>
        <v>20190312150705077</v>
      </c>
      <c r="B2112" t="str">
        <f>"1552374425071992"</f>
        <v>1552374425071992</v>
      </c>
      <c r="C2112" t="s">
        <v>40</v>
      </c>
      <c r="D2112">
        <v>4.4501280000000003</v>
      </c>
      <c r="E2112">
        <v>0.64629669999999995</v>
      </c>
      <c r="F2112" t="s">
        <v>50</v>
      </c>
      <c r="G2112">
        <v>-168.40020000000001</v>
      </c>
      <c r="H2112">
        <v>0.59972349999999996</v>
      </c>
      <c r="I2112">
        <v>327.3306</v>
      </c>
      <c r="J2112">
        <v>-203.41810000000001</v>
      </c>
      <c r="K2112">
        <v>1.1095120000000001</v>
      </c>
      <c r="L2112">
        <v>364.62920000000003</v>
      </c>
      <c r="M2112">
        <v>0.96897829999999996</v>
      </c>
      <c r="N2112">
        <v>0</v>
      </c>
      <c r="O2112">
        <v>-0.24666830000000001</v>
      </c>
      <c r="P2112">
        <v>0.89836609999999995</v>
      </c>
      <c r="Q2112">
        <v>4.356496E-2</v>
      </c>
      <c r="R2112">
        <v>-0.43708190000000002</v>
      </c>
      <c r="S2112">
        <v>2.2067570000000001</v>
      </c>
      <c r="T2112">
        <v>-3.206813E-2</v>
      </c>
      <c r="U2112">
        <v>-2.3474119999999998</v>
      </c>
      <c r="V2112">
        <v>0.20213890000000001</v>
      </c>
      <c r="W2112">
        <v>5.7922179999999997E-2</v>
      </c>
      <c r="X2112">
        <v>0.97764249999999997</v>
      </c>
      <c r="Y2112">
        <v>0.53709229999999997</v>
      </c>
      <c r="Z2112">
        <v>-3.5471279999999998E-4</v>
      </c>
      <c r="AA2112">
        <v>0.84352340000000003</v>
      </c>
      <c r="AB2112">
        <v>13</v>
      </c>
      <c r="AC2112">
        <v>35.017899999999997</v>
      </c>
      <c r="AD2112">
        <v>-0.50978849999999998</v>
      </c>
      <c r="AE2112">
        <v>-37.2986</v>
      </c>
      <c r="AF2112">
        <v>27.504240591127701</v>
      </c>
      <c r="AG2112">
        <v>-0.50978849999999998</v>
      </c>
      <c r="AH2112">
        <v>43.132771075448296</v>
      </c>
      <c r="AI2112">
        <v>90.570956648889293</v>
      </c>
      <c r="AJ2112">
        <v>57.475784811899203</v>
      </c>
      <c r="AK2112">
        <v>51.158372486391698</v>
      </c>
      <c r="AL2112">
        <v>86.679444998651704</v>
      </c>
      <c r="AM2112">
        <v>78.318047336603797</v>
      </c>
      <c r="AN2112">
        <v>0.99999998581770599</v>
      </c>
    </row>
    <row r="2113" spans="1:40" x14ac:dyDescent="0.25">
      <c r="A2113" t="str">
        <f>"20190312150705088"</f>
        <v>20190312150705088</v>
      </c>
      <c r="B2113" t="str">
        <f>"1552374425082728"</f>
        <v>1552374425082728</v>
      </c>
      <c r="C2113" t="s">
        <v>40</v>
      </c>
      <c r="D2113">
        <v>4.4129160000000001</v>
      </c>
      <c r="E2113">
        <v>0.64597969999999905</v>
      </c>
      <c r="F2113" t="s">
        <v>50</v>
      </c>
      <c r="G2113">
        <v>-168.40029999999999</v>
      </c>
      <c r="H2113">
        <v>0.78293290000000004</v>
      </c>
      <c r="I2113">
        <v>326.74470000000002</v>
      </c>
      <c r="J2113">
        <v>-203.35900000000001</v>
      </c>
      <c r="K2113">
        <v>1.1095159999999999</v>
      </c>
      <c r="L2113">
        <v>364.61219999999997</v>
      </c>
      <c r="M2113">
        <v>0.96858420000000001</v>
      </c>
      <c r="N2113">
        <v>0</v>
      </c>
      <c r="O2113">
        <v>-0.2482191</v>
      </c>
      <c r="P2113">
        <v>0.89551650000000005</v>
      </c>
      <c r="Q2113">
        <v>4.4327760000000001E-2</v>
      </c>
      <c r="R2113">
        <v>-0.4428163</v>
      </c>
      <c r="S2113">
        <v>2.1884610000000002</v>
      </c>
      <c r="T2113">
        <v>-2.040935E-2</v>
      </c>
      <c r="U2113">
        <v>-2.3676149999999998</v>
      </c>
      <c r="V2113">
        <v>0.20683779999999999</v>
      </c>
      <c r="W2113">
        <v>5.854053E-2</v>
      </c>
      <c r="X2113">
        <v>0.97662230000000005</v>
      </c>
      <c r="Y2113">
        <v>0.54284580000000004</v>
      </c>
      <c r="Z2113">
        <v>-2.3780909999999999E-4</v>
      </c>
      <c r="AA2113">
        <v>0.83983229999999998</v>
      </c>
      <c r="AB2113">
        <v>13</v>
      </c>
      <c r="AC2113">
        <v>34.9587</v>
      </c>
      <c r="AD2113">
        <v>-0.32658309999999902</v>
      </c>
      <c r="AE2113">
        <v>-37.8674999999999</v>
      </c>
      <c r="AF2113">
        <v>28.002568252033502</v>
      </c>
      <c r="AG2113">
        <v>-0.32658309999999902</v>
      </c>
      <c r="AH2113">
        <v>43.263161385129699</v>
      </c>
      <c r="AI2113">
        <v>90.363085718243397</v>
      </c>
      <c r="AJ2113">
        <v>57.086582214980403</v>
      </c>
      <c r="AK2113">
        <v>51.535925510916897</v>
      </c>
      <c r="AL2113">
        <v>86.643955955608703</v>
      </c>
      <c r="AM2113">
        <v>78.0420869404185</v>
      </c>
      <c r="AN2113">
        <v>0.99999999300940501</v>
      </c>
    </row>
    <row r="2114" spans="1:40" x14ac:dyDescent="0.25">
      <c r="A2114" t="str">
        <f>"20190312150705098"</f>
        <v>20190312150705098</v>
      </c>
      <c r="B2114" t="str">
        <f>"1552374425092488"</f>
        <v>1552374425092488</v>
      </c>
      <c r="C2114" t="s">
        <v>40</v>
      </c>
      <c r="D2114">
        <v>4.2367290000000004</v>
      </c>
      <c r="E2114">
        <v>0.64597969999999905</v>
      </c>
      <c r="F2114" t="s">
        <v>50</v>
      </c>
      <c r="G2114">
        <v>-168.40029999999999</v>
      </c>
      <c r="H2114">
        <v>0.81282010000000005</v>
      </c>
      <c r="I2114">
        <v>326.36</v>
      </c>
      <c r="J2114">
        <v>-203.29920000000001</v>
      </c>
      <c r="K2114">
        <v>1.1095250000000001</v>
      </c>
      <c r="L2114">
        <v>364.5949</v>
      </c>
      <c r="M2114">
        <v>0.96817719999999896</v>
      </c>
      <c r="N2114">
        <v>0</v>
      </c>
      <c r="O2114">
        <v>-0.2498078</v>
      </c>
      <c r="P2114">
        <v>0.89244869999999898</v>
      </c>
      <c r="Q2114">
        <v>4.4653749999999999E-2</v>
      </c>
      <c r="R2114">
        <v>-0.44893379999999999</v>
      </c>
      <c r="S2114">
        <v>2.174423</v>
      </c>
      <c r="T2114">
        <v>-1.8453959999999998E-2</v>
      </c>
      <c r="U2114">
        <v>-2.3792719999999998</v>
      </c>
      <c r="V2114">
        <v>0.21192569999999999</v>
      </c>
      <c r="W2114">
        <v>5.8732380000000001E-2</v>
      </c>
      <c r="X2114">
        <v>0.97551940000000004</v>
      </c>
      <c r="Y2114">
        <v>0.5462129</v>
      </c>
      <c r="Z2114">
        <v>-2.174051E-4</v>
      </c>
      <c r="AA2114">
        <v>0.83764640000000001</v>
      </c>
      <c r="AB2114">
        <v>13</v>
      </c>
      <c r="AC2114">
        <v>34.898899999999998</v>
      </c>
      <c r="AD2114">
        <v>-0.29670489999999999</v>
      </c>
      <c r="AE2114">
        <v>-38.234899999999897</v>
      </c>
      <c r="AF2114">
        <v>28.302451779414401</v>
      </c>
      <c r="AG2114">
        <v>-0.29670489999999999</v>
      </c>
      <c r="AH2114">
        <v>43.343234346019898</v>
      </c>
      <c r="AI2114">
        <v>90.328399407088</v>
      </c>
      <c r="AJ2114">
        <v>56.856093771896198</v>
      </c>
      <c r="AK2114">
        <v>51.766328574641697</v>
      </c>
      <c r="AL2114">
        <v>86.632944997414995</v>
      </c>
      <c r="AM2114">
        <v>77.743287622268596</v>
      </c>
      <c r="AN2114">
        <v>1.0000000472786501</v>
      </c>
    </row>
    <row r="2115" spans="1:40" x14ac:dyDescent="0.25">
      <c r="A2115" t="str">
        <f>"20190312150705108"</f>
        <v>20190312150705108</v>
      </c>
      <c r="B2115" t="str">
        <f>"1552374425102247"</f>
        <v>1552374425102247</v>
      </c>
      <c r="C2115" t="s">
        <v>40</v>
      </c>
      <c r="D2115">
        <v>4.2310280000000002</v>
      </c>
      <c r="E2115">
        <v>0.67365280000000005</v>
      </c>
      <c r="F2115" t="s">
        <v>50</v>
      </c>
      <c r="G2115">
        <v>-168.40029999999999</v>
      </c>
      <c r="H2115">
        <v>0.86151129999999998</v>
      </c>
      <c r="I2115">
        <v>325.86649999999997</v>
      </c>
      <c r="J2115">
        <v>-203.24619999999999</v>
      </c>
      <c r="K2115">
        <v>1.109531</v>
      </c>
      <c r="L2115">
        <v>364.57940000000002</v>
      </c>
      <c r="M2115">
        <v>0.96781189999999995</v>
      </c>
      <c r="N2115">
        <v>0</v>
      </c>
      <c r="O2115">
        <v>-0.25122440000000001</v>
      </c>
      <c r="P2115">
        <v>0.88965309999999898</v>
      </c>
      <c r="Q2115">
        <v>4.5392410000000001E-2</v>
      </c>
      <c r="R2115">
        <v>-0.45437569999999999</v>
      </c>
      <c r="S2115">
        <v>2.157791</v>
      </c>
      <c r="T2115">
        <v>-1.533413E-2</v>
      </c>
      <c r="U2115">
        <v>-2.3945620000000001</v>
      </c>
      <c r="V2115">
        <v>0.21646889999999999</v>
      </c>
      <c r="W2115">
        <v>5.935642E-2</v>
      </c>
      <c r="X2115">
        <v>0.97448349999999995</v>
      </c>
      <c r="Y2115">
        <v>0.55085119999999999</v>
      </c>
      <c r="Z2115">
        <v>-1.8729780000000001E-4</v>
      </c>
      <c r="AA2115">
        <v>0.83460349999999905</v>
      </c>
      <c r="AB2115">
        <v>13</v>
      </c>
      <c r="AC2115">
        <v>34.8459</v>
      </c>
      <c r="AD2115">
        <v>-0.24801969999999901</v>
      </c>
      <c r="AE2115">
        <v>-38.712899999999998</v>
      </c>
      <c r="AF2115">
        <v>28.715265098419898</v>
      </c>
      <c r="AG2115">
        <v>-0.24801969999999901</v>
      </c>
      <c r="AH2115">
        <v>43.4538364265862</v>
      </c>
      <c r="AI2115">
        <v>90.272832719050001</v>
      </c>
      <c r="AJ2115">
        <v>56.542381779112098</v>
      </c>
      <c r="AK2115">
        <v>52.085159725517101</v>
      </c>
      <c r="AL2115">
        <v>86.597127594709505</v>
      </c>
      <c r="AM2115">
        <v>77.475842173757599</v>
      </c>
      <c r="AN2115">
        <v>1.00000003051733</v>
      </c>
    </row>
    <row r="2116" spans="1:40" x14ac:dyDescent="0.25">
      <c r="A2116" t="str">
        <f>"20190312150705117"</f>
        <v>20190312150705117</v>
      </c>
      <c r="B2116" t="str">
        <f>"1552374425112008"</f>
        <v>1552374425112008</v>
      </c>
      <c r="C2116" t="s">
        <v>40</v>
      </c>
      <c r="D2116">
        <v>3.9952230000000002</v>
      </c>
      <c r="E2116">
        <v>0.678320699999999</v>
      </c>
      <c r="F2116" t="s">
        <v>50</v>
      </c>
      <c r="G2116">
        <v>-168.40119999999999</v>
      </c>
      <c r="H2116">
        <v>3.7964419999999999</v>
      </c>
      <c r="I2116">
        <v>320.1927</v>
      </c>
      <c r="J2116">
        <v>-203.18819999999999</v>
      </c>
      <c r="K2116">
        <v>1.1095389999999901</v>
      </c>
      <c r="L2116">
        <v>364.56240000000003</v>
      </c>
      <c r="M2116">
        <v>0.96740519999999997</v>
      </c>
      <c r="N2116">
        <v>0</v>
      </c>
      <c r="O2116">
        <v>-0.25279069999999998</v>
      </c>
      <c r="P2116">
        <v>0.88674809999999904</v>
      </c>
      <c r="Q2116">
        <v>4.5825240000000003E-2</v>
      </c>
      <c r="R2116">
        <v>-0.45997589999999999</v>
      </c>
      <c r="S2116">
        <v>2.038116</v>
      </c>
      <c r="T2116">
        <v>0.15716050000000001</v>
      </c>
      <c r="U2116">
        <v>-2.596222</v>
      </c>
      <c r="V2116">
        <v>0.2210443</v>
      </c>
      <c r="W2116">
        <v>5.9674850000000002E-2</v>
      </c>
      <c r="X2116">
        <v>0.97343639999999998</v>
      </c>
      <c r="Y2116">
        <v>0.60453639999999997</v>
      </c>
      <c r="Z2116">
        <v>3.4620689999999999E-3</v>
      </c>
      <c r="AA2116">
        <v>0.79657</v>
      </c>
      <c r="AB2116">
        <v>13</v>
      </c>
      <c r="AC2116">
        <v>34.786999999999999</v>
      </c>
      <c r="AD2116">
        <v>2.686903</v>
      </c>
      <c r="AE2116">
        <v>-44.369700000000002</v>
      </c>
      <c r="AF2116">
        <v>34.056126748350401</v>
      </c>
      <c r="AG2116">
        <v>2.686903</v>
      </c>
      <c r="AH2116">
        <v>44.772715158734599</v>
      </c>
      <c r="AI2116">
        <v>87.265374231847801</v>
      </c>
      <c r="AJ2116">
        <v>52.741760281476701</v>
      </c>
      <c r="AK2116">
        <v>56.317273012072498</v>
      </c>
      <c r="AL2116">
        <v>86.578850560052103</v>
      </c>
      <c r="AM2116">
        <v>77.206438084708594</v>
      </c>
      <c r="AN2116">
        <v>1.00000004756498</v>
      </c>
    </row>
    <row r="2117" spans="1:40" x14ac:dyDescent="0.25">
      <c r="A2117" t="str">
        <f>"20190312150705128"</f>
        <v>20190312150705128</v>
      </c>
      <c r="B2117" t="str">
        <f>"1552374425122744"</f>
        <v>1552374425122744</v>
      </c>
      <c r="C2117" t="s">
        <v>40</v>
      </c>
      <c r="D2117">
        <v>4.2938239999999999</v>
      </c>
      <c r="E2117">
        <v>0.67904819999999999</v>
      </c>
      <c r="F2117" t="s">
        <v>50</v>
      </c>
      <c r="G2117">
        <v>-168.40129999999999</v>
      </c>
      <c r="H2117">
        <v>4.0646209999999998</v>
      </c>
      <c r="I2117">
        <v>318.71190000000001</v>
      </c>
      <c r="J2117">
        <v>-203.12889999999999</v>
      </c>
      <c r="K2117">
        <v>1.1095389999999901</v>
      </c>
      <c r="L2117">
        <v>364.54500000000002</v>
      </c>
      <c r="M2117">
        <v>0.96698430000000002</v>
      </c>
      <c r="N2117">
        <v>0</v>
      </c>
      <c r="O2117">
        <v>-0.2544014</v>
      </c>
      <c r="P2117">
        <v>0.88411740000000005</v>
      </c>
      <c r="Q2117">
        <v>4.6038700000000002E-2</v>
      </c>
      <c r="R2117">
        <v>-0.4649915</v>
      </c>
      <c r="S2117">
        <v>2.0041199999999999</v>
      </c>
      <c r="T2117">
        <v>0.1702466</v>
      </c>
      <c r="U2117">
        <v>-2.6415099999999998</v>
      </c>
      <c r="V2117">
        <v>0.2249429</v>
      </c>
      <c r="W2117">
        <v>5.9780050000000001E-2</v>
      </c>
      <c r="X2117">
        <v>0.97253639999999997</v>
      </c>
      <c r="Y2117">
        <v>0.61620969999999997</v>
      </c>
      <c r="Z2117">
        <v>4.0512309999999998E-3</v>
      </c>
      <c r="AA2117">
        <v>0.78757169999999999</v>
      </c>
      <c r="AB2117">
        <v>13</v>
      </c>
      <c r="AC2117">
        <v>34.727599999999903</v>
      </c>
      <c r="AD2117">
        <v>2.955082</v>
      </c>
      <c r="AE2117">
        <v>-45.833100000000002</v>
      </c>
      <c r="AF2117">
        <v>35.395589841589803</v>
      </c>
      <c r="AG2117">
        <v>2.955082</v>
      </c>
      <c r="AH2117">
        <v>45.126881116913097</v>
      </c>
      <c r="AI2117">
        <v>87.050437172772504</v>
      </c>
      <c r="AJ2117">
        <v>51.890884300983899</v>
      </c>
      <c r="AK2117">
        <v>57.428352659646997</v>
      </c>
      <c r="AL2117">
        <v>86.572812121613197</v>
      </c>
      <c r="AM2117">
        <v>76.976780067617199</v>
      </c>
      <c r="AN2117">
        <v>1.00000000598168</v>
      </c>
    </row>
    <row r="2118" spans="1:40" x14ac:dyDescent="0.25">
      <c r="A2118" t="str">
        <f>"20190312150705139"</f>
        <v>20190312150705139</v>
      </c>
      <c r="B2118" t="str">
        <f>"1552374425132503"</f>
        <v>1552374425132503</v>
      </c>
      <c r="C2118" t="s">
        <v>40</v>
      </c>
      <c r="D2118">
        <v>4.2107279999999996</v>
      </c>
      <c r="E2118">
        <v>0.67904819999999999</v>
      </c>
      <c r="F2118" t="s">
        <v>50</v>
      </c>
      <c r="G2118">
        <v>-168.40129999999999</v>
      </c>
      <c r="H2118">
        <v>4.1447770000000004</v>
      </c>
      <c r="I2118">
        <v>318.08870000000002</v>
      </c>
      <c r="J2118">
        <v>-203.06639999999999</v>
      </c>
      <c r="K2118">
        <v>1.1095379999999999</v>
      </c>
      <c r="L2118">
        <v>364.52640000000002</v>
      </c>
      <c r="M2118">
        <v>0.96653149999999999</v>
      </c>
      <c r="N2118">
        <v>0</v>
      </c>
      <c r="O2118">
        <v>-0.25612030000000002</v>
      </c>
      <c r="P2118">
        <v>0.88163239999999998</v>
      </c>
      <c r="Q2118">
        <v>4.5779680000000003E-2</v>
      </c>
      <c r="R2118">
        <v>-0.46971099999999999</v>
      </c>
      <c r="S2118">
        <v>1.986526</v>
      </c>
      <c r="T2118">
        <v>0.17362549999999999</v>
      </c>
      <c r="U2118">
        <v>-2.6574399999999998</v>
      </c>
      <c r="V2118">
        <v>0.22841020000000001</v>
      </c>
      <c r="W2118">
        <v>5.9416400000000001E-2</v>
      </c>
      <c r="X2118">
        <v>0.97175020000000001</v>
      </c>
      <c r="Y2118">
        <v>0.62039140000000004</v>
      </c>
      <c r="Z2118">
        <v>4.1814390000000003E-3</v>
      </c>
      <c r="AA2118">
        <v>0.78428120000000001</v>
      </c>
      <c r="AB2118">
        <v>13</v>
      </c>
      <c r="AC2118">
        <v>34.665099999999903</v>
      </c>
      <c r="AD2118">
        <v>3.0352389999999998</v>
      </c>
      <c r="AE2118">
        <v>-46.4377</v>
      </c>
      <c r="AF2118">
        <v>35.910495071821799</v>
      </c>
      <c r="AG2118">
        <v>3.0352389999999998</v>
      </c>
      <c r="AH2118">
        <v>45.279307382722401</v>
      </c>
      <c r="AI2118">
        <v>86.993523682999594</v>
      </c>
      <c r="AJ2118">
        <v>51.5824726747379</v>
      </c>
      <c r="AK2118">
        <v>57.870476144140397</v>
      </c>
      <c r="AL2118">
        <v>86.593684778422897</v>
      </c>
      <c r="AM2118">
        <v>76.772716349401193</v>
      </c>
      <c r="AN2118">
        <v>0.99999998962651904</v>
      </c>
    </row>
    <row r="2119" spans="1:40" x14ac:dyDescent="0.25">
      <c r="A2119" t="str">
        <f>"20190312150705151"</f>
        <v>20190312150705151</v>
      </c>
      <c r="B2119" t="str">
        <f>"1552374425142264"</f>
        <v>1552374425142264</v>
      </c>
      <c r="C2119" t="s">
        <v>40</v>
      </c>
      <c r="D2119">
        <v>4.1538409999999999</v>
      </c>
      <c r="E2119">
        <v>0.68002229999999997</v>
      </c>
      <c r="F2119" t="s">
        <v>50</v>
      </c>
      <c r="G2119">
        <v>-168.40129999999999</v>
      </c>
      <c r="H2119">
        <v>4.141985</v>
      </c>
      <c r="I2119">
        <v>317.62360000000001</v>
      </c>
      <c r="J2119">
        <v>-203.00280000000001</v>
      </c>
      <c r="K2119">
        <v>1.1095299999999999</v>
      </c>
      <c r="L2119">
        <v>364.50729999999999</v>
      </c>
      <c r="M2119">
        <v>0.96606250000000005</v>
      </c>
      <c r="N2119">
        <v>0</v>
      </c>
      <c r="O2119">
        <v>-0.25788840000000002</v>
      </c>
      <c r="P2119">
        <v>0.87973029999999997</v>
      </c>
      <c r="Q2119">
        <v>4.5003620000000001E-2</v>
      </c>
      <c r="R2119">
        <v>-0.47333839999999999</v>
      </c>
      <c r="S2119">
        <v>1.9721679999999999</v>
      </c>
      <c r="T2119">
        <v>0.1725227</v>
      </c>
      <c r="U2119">
        <v>-2.668396</v>
      </c>
      <c r="V2119">
        <v>0.2306242</v>
      </c>
      <c r="W2119">
        <v>5.8545769999999997E-2</v>
      </c>
      <c r="X2119">
        <v>0.97128000000000003</v>
      </c>
      <c r="Y2119">
        <v>0.62322500000000003</v>
      </c>
      <c r="Z2119">
        <v>4.1561330000000002E-3</v>
      </c>
      <c r="AA2119">
        <v>0.78203149999999999</v>
      </c>
      <c r="AB2119">
        <v>13</v>
      </c>
      <c r="AC2119">
        <v>34.601500000000001</v>
      </c>
      <c r="AD2119">
        <v>3.0324550000000001</v>
      </c>
      <c r="AE2119">
        <v>-46.883699999999898</v>
      </c>
      <c r="AF2119">
        <v>36.274957093665499</v>
      </c>
      <c r="AG2119">
        <v>3.0324550000000001</v>
      </c>
      <c r="AH2119">
        <v>45.399950401306803</v>
      </c>
      <c r="AI2119">
        <v>87.012857575488994</v>
      </c>
      <c r="AJ2119">
        <v>51.374839657584303</v>
      </c>
      <c r="AK2119">
        <v>58.191269035100298</v>
      </c>
      <c r="AL2119">
        <v>86.643655178307</v>
      </c>
      <c r="AM2119">
        <v>76.642841638834398</v>
      </c>
      <c r="AN2119">
        <v>0.99999998360526599</v>
      </c>
    </row>
    <row r="2120" spans="1:40" x14ac:dyDescent="0.25">
      <c r="A2120" t="str">
        <f>"20190312150705161"</f>
        <v>20190312150705161</v>
      </c>
      <c r="B2120" t="str">
        <f>"1552374425152024"</f>
        <v>1552374425152024</v>
      </c>
      <c r="C2120" t="s">
        <v>40</v>
      </c>
      <c r="D2120">
        <v>4.0757490000000001</v>
      </c>
      <c r="E2120">
        <v>0.67746530000000005</v>
      </c>
      <c r="F2120" t="s">
        <v>42</v>
      </c>
      <c r="G2120">
        <v>-191.13419999999999</v>
      </c>
      <c r="H2120" s="1">
        <v>-3.9965590000000003E-6</v>
      </c>
      <c r="I2120">
        <v>348.20179999999999</v>
      </c>
      <c r="J2120">
        <v>-202.9384</v>
      </c>
      <c r="K2120">
        <v>1.1095219999999999</v>
      </c>
      <c r="L2120">
        <v>364.48790000000002</v>
      </c>
      <c r="M2120">
        <v>0.96557959999999998</v>
      </c>
      <c r="N2120">
        <v>0</v>
      </c>
      <c r="O2120">
        <v>-0.25969510000000001</v>
      </c>
      <c r="P2120">
        <v>0.8779652</v>
      </c>
      <c r="Q2120">
        <v>4.3901919999999997E-2</v>
      </c>
      <c r="R2120">
        <v>-0.47670790000000002</v>
      </c>
      <c r="S2120">
        <v>1.9661709999999999</v>
      </c>
      <c r="T2120">
        <v>-0.1838069</v>
      </c>
      <c r="U2120">
        <v>-2.7012019999999999</v>
      </c>
      <c r="V2120">
        <v>0.23251540000000001</v>
      </c>
      <c r="W2120">
        <v>5.7353309999999998E-2</v>
      </c>
      <c r="X2120">
        <v>0.97090019999999999</v>
      </c>
      <c r="Y2120">
        <v>0.62738629999999995</v>
      </c>
      <c r="Z2120">
        <v>-4.4477359999999999E-3</v>
      </c>
      <c r="AA2120">
        <v>0.77869549999999998</v>
      </c>
      <c r="AB2120">
        <v>13</v>
      </c>
      <c r="AC2120">
        <v>11.8042</v>
      </c>
      <c r="AD2120">
        <v>-1.1095259965590001</v>
      </c>
      <c r="AE2120">
        <v>-16.286100000000001</v>
      </c>
      <c r="AF2120">
        <v>12.6229816569015</v>
      </c>
      <c r="AG2120">
        <v>-1.1095259965590001</v>
      </c>
      <c r="AH2120">
        <v>15.581579546909101</v>
      </c>
      <c r="AI2120">
        <v>93.166918107247795</v>
      </c>
      <c r="AJ2120">
        <v>50.988304066533203</v>
      </c>
      <c r="AK2120">
        <v>20.083733094825</v>
      </c>
      <c r="AL2120">
        <v>86.712093191139004</v>
      </c>
      <c r="AM2120">
        <v>76.532205655892596</v>
      </c>
      <c r="AN2120">
        <v>1.00000000588257</v>
      </c>
    </row>
    <row r="2121" spans="1:40" x14ac:dyDescent="0.25">
      <c r="A2121" t="str">
        <f>"20190312150705174"</f>
        <v>20190312150705174</v>
      </c>
      <c r="B2121" t="str">
        <f>"1552374425172522"</f>
        <v>1552374425172522</v>
      </c>
      <c r="C2121" t="s">
        <v>40</v>
      </c>
      <c r="D2121">
        <v>4.2608949999999997</v>
      </c>
      <c r="E2121">
        <v>0.67510360000000003</v>
      </c>
      <c r="F2121" t="s">
        <v>42</v>
      </c>
      <c r="G2121">
        <v>-189.85239999999999</v>
      </c>
      <c r="H2121" s="1">
        <v>-3.006194E-6</v>
      </c>
      <c r="I2121">
        <v>346.57929999999999</v>
      </c>
      <c r="J2121">
        <v>-202.8689</v>
      </c>
      <c r="K2121">
        <v>1.1095029999999999</v>
      </c>
      <c r="L2121">
        <v>364.46679999999998</v>
      </c>
      <c r="M2121">
        <v>0.96504529999999999</v>
      </c>
      <c r="N2121">
        <v>0</v>
      </c>
      <c r="O2121">
        <v>-0.26167750000000001</v>
      </c>
      <c r="P2121">
        <v>0.87693790000000005</v>
      </c>
      <c r="Q2121">
        <v>4.2488749999999999E-2</v>
      </c>
      <c r="R2121">
        <v>-0.47872239999999999</v>
      </c>
      <c r="S2121">
        <v>1.9651179999999999</v>
      </c>
      <c r="T2121">
        <v>-0.1666166</v>
      </c>
      <c r="U2121">
        <v>-2.6893310000000001</v>
      </c>
      <c r="V2121">
        <v>0.2327301</v>
      </c>
      <c r="W2121">
        <v>5.5858919999999999E-2</v>
      </c>
      <c r="X2121">
        <v>0.97093589999999996</v>
      </c>
      <c r="Y2121">
        <v>0.62444599999999995</v>
      </c>
      <c r="Z2121">
        <v>-3.8337559999999998E-3</v>
      </c>
      <c r="AA2121">
        <v>0.78105859999999905</v>
      </c>
      <c r="AB2121">
        <v>13</v>
      </c>
      <c r="AC2121">
        <v>13.016500000000001</v>
      </c>
      <c r="AD2121">
        <v>-1.1095060061939901</v>
      </c>
      <c r="AE2121">
        <v>-17.8874999999999</v>
      </c>
      <c r="AF2121">
        <v>13.822825189726499</v>
      </c>
      <c r="AG2121">
        <v>-1.1095060061939901</v>
      </c>
      <c r="AH2121">
        <v>17.2008337985</v>
      </c>
      <c r="AI2121">
        <v>92.878388153642007</v>
      </c>
      <c r="AJ2121">
        <v>51.214165271983497</v>
      </c>
      <c r="AK2121">
        <v>22.0945736136078</v>
      </c>
      <c r="AL2121">
        <v>86.797852992567996</v>
      </c>
      <c r="AM2121">
        <v>76.520700950998602</v>
      </c>
      <c r="AN2121">
        <v>1.0000000201491901</v>
      </c>
    </row>
    <row r="2122" spans="1:40" x14ac:dyDescent="0.25">
      <c r="A2122" t="str">
        <f>"20190312150705187"</f>
        <v>20190312150705187</v>
      </c>
      <c r="B2122" t="str">
        <f>"1552374425182281"</f>
        <v>1552374425182281</v>
      </c>
      <c r="C2122" t="s">
        <v>40</v>
      </c>
      <c r="D2122">
        <v>4.3251480000000004</v>
      </c>
      <c r="E2122">
        <v>0.67415429999999998</v>
      </c>
      <c r="F2122" t="s">
        <v>42</v>
      </c>
      <c r="G2122">
        <v>-189.83609999999999</v>
      </c>
      <c r="H2122" s="1">
        <v>-3.0789630000000001E-6</v>
      </c>
      <c r="I2122">
        <v>346.74220000000003</v>
      </c>
      <c r="J2122">
        <v>-202.80080000000001</v>
      </c>
      <c r="K2122">
        <v>1.109483</v>
      </c>
      <c r="L2122">
        <v>364.44600000000003</v>
      </c>
      <c r="M2122">
        <v>0.96451370000000003</v>
      </c>
      <c r="N2122">
        <v>0</v>
      </c>
      <c r="O2122">
        <v>-0.26363340000000002</v>
      </c>
      <c r="P2122">
        <v>0.87586810000000004</v>
      </c>
      <c r="Q2122">
        <v>4.124999E-2</v>
      </c>
      <c r="R2122">
        <v>-0.4807845</v>
      </c>
      <c r="S2122">
        <v>1.968002</v>
      </c>
      <c r="T2122">
        <v>-0.16753950000000001</v>
      </c>
      <c r="U2122">
        <v>-2.6764830000000002</v>
      </c>
      <c r="V2122">
        <v>0.23302909999999999</v>
      </c>
      <c r="W2122">
        <v>5.4541999999999903E-2</v>
      </c>
      <c r="X2122">
        <v>0.970939</v>
      </c>
      <c r="Y2122">
        <v>0.62052680000000005</v>
      </c>
      <c r="Z2122">
        <v>-3.6203960000000001E-3</v>
      </c>
      <c r="AA2122">
        <v>0.78417689999999995</v>
      </c>
      <c r="AB2122">
        <v>13</v>
      </c>
      <c r="AC2122">
        <v>12.964700000000001</v>
      </c>
      <c r="AD2122">
        <v>-1.1094860789630001</v>
      </c>
      <c r="AE2122">
        <v>-17.703799999999902</v>
      </c>
      <c r="AF2122">
        <v>13.624239200593401</v>
      </c>
      <c r="AG2122">
        <v>-1.1094860789630001</v>
      </c>
      <c r="AH2122">
        <v>17.129961373585399</v>
      </c>
      <c r="AI2122">
        <v>92.901883814802304</v>
      </c>
      <c r="AJ2122">
        <v>51.503169977864097</v>
      </c>
      <c r="AK2122">
        <v>21.915438161600299</v>
      </c>
      <c r="AL2122">
        <v>86.873422007426299</v>
      </c>
      <c r="AM2122">
        <v>76.504058039377696</v>
      </c>
      <c r="AN2122">
        <v>0.99999996646590406</v>
      </c>
    </row>
    <row r="2123" spans="1:40" x14ac:dyDescent="0.25">
      <c r="A2123" t="str">
        <f>"20190312150705198"</f>
        <v>20190312150705198</v>
      </c>
      <c r="B2123" t="str">
        <f>"1552374425192041"</f>
        <v>1552374425192041</v>
      </c>
      <c r="C2123" t="s">
        <v>40</v>
      </c>
      <c r="D2123">
        <v>4.3090380000000001</v>
      </c>
      <c r="E2123">
        <v>0.67372730000000003</v>
      </c>
      <c r="F2123" t="s">
        <v>50</v>
      </c>
      <c r="G2123">
        <v>-168.40099999999899</v>
      </c>
      <c r="H2123">
        <v>3.2620260000000001</v>
      </c>
      <c r="I2123">
        <v>317.72989999999999</v>
      </c>
      <c r="J2123">
        <v>-202.73259999999999</v>
      </c>
      <c r="K2123">
        <v>1.109456</v>
      </c>
      <c r="L2123">
        <v>364.4248</v>
      </c>
      <c r="M2123">
        <v>0.96396729999999997</v>
      </c>
      <c r="N2123">
        <v>0</v>
      </c>
      <c r="O2123">
        <v>-0.26562829999999998</v>
      </c>
      <c r="P2123">
        <v>0.87525390000000003</v>
      </c>
      <c r="Q2123">
        <v>4.0522259999999997E-2</v>
      </c>
      <c r="R2123">
        <v>-0.48196349999999999</v>
      </c>
      <c r="S2123">
        <v>1.959015</v>
      </c>
      <c r="T2123">
        <v>0.1225842</v>
      </c>
      <c r="U2123">
        <v>-2.6604000000000001</v>
      </c>
      <c r="V2123">
        <v>0.23231869999999999</v>
      </c>
      <c r="W2123">
        <v>5.3747330000000003E-2</v>
      </c>
      <c r="X2123">
        <v>0.97115359999999995</v>
      </c>
      <c r="Y2123">
        <v>0.61855839999999995</v>
      </c>
      <c r="Z2123">
        <v>2.5329229999999999E-3</v>
      </c>
      <c r="AA2123">
        <v>0.78573470000000001</v>
      </c>
      <c r="AB2123">
        <v>13</v>
      </c>
      <c r="AC2123">
        <v>34.331600000000002</v>
      </c>
      <c r="AD2123">
        <v>2.1525699999999999</v>
      </c>
      <c r="AE2123">
        <v>-46.694899999999997</v>
      </c>
      <c r="AF2123">
        <v>35.847209053870799</v>
      </c>
      <c r="AG2123">
        <v>2.1525699999999999</v>
      </c>
      <c r="AH2123">
        <v>45.440093221845302</v>
      </c>
      <c r="AI2123">
        <v>87.870053141046597</v>
      </c>
      <c r="AJ2123">
        <v>51.730464969784101</v>
      </c>
      <c r="AK2123">
        <v>57.917683194054099</v>
      </c>
      <c r="AL2123">
        <v>86.919020344356198</v>
      </c>
      <c r="AM2123">
        <v>76.546567978091005</v>
      </c>
      <c r="AN2123">
        <v>1.00000003432238</v>
      </c>
    </row>
    <row r="2124" spans="1:40" x14ac:dyDescent="0.25">
      <c r="A2124" t="str">
        <f>"20190312150705210"</f>
        <v>20190312150705210</v>
      </c>
      <c r="B2124" t="str">
        <f>"1552374425201800"</f>
        <v>1552374425201800</v>
      </c>
      <c r="C2124" t="s">
        <v>40</v>
      </c>
      <c r="D2124">
        <v>4.3071919999999997</v>
      </c>
      <c r="E2124">
        <v>0.67414189999999996</v>
      </c>
      <c r="F2124" t="s">
        <v>50</v>
      </c>
      <c r="G2124">
        <v>-168.40110000000001</v>
      </c>
      <c r="H2124">
        <v>3.3592759999999999</v>
      </c>
      <c r="I2124">
        <v>317.76589999999999</v>
      </c>
      <c r="J2124">
        <v>-202.66929999999999</v>
      </c>
      <c r="K2124">
        <v>1.109437</v>
      </c>
      <c r="L2124">
        <v>364.4051</v>
      </c>
      <c r="M2124">
        <v>0.96345150000000002</v>
      </c>
      <c r="N2124">
        <v>0</v>
      </c>
      <c r="O2124">
        <v>-0.26749590000000001</v>
      </c>
      <c r="P2124">
        <v>0.87492549999999902</v>
      </c>
      <c r="Q2124">
        <v>3.9965689999999998E-2</v>
      </c>
      <c r="R2124">
        <v>-0.48260589999999998</v>
      </c>
      <c r="S2124">
        <v>1.957047</v>
      </c>
      <c r="T2124">
        <v>0.1282498</v>
      </c>
      <c r="U2124">
        <v>-2.6597599999999999</v>
      </c>
      <c r="V2124">
        <v>0.23114219999999999</v>
      </c>
      <c r="W2124">
        <v>5.3135929999999998E-2</v>
      </c>
      <c r="X2124">
        <v>0.97146790000000005</v>
      </c>
      <c r="Y2124">
        <v>0.61730249999999998</v>
      </c>
      <c r="Z2124">
        <v>2.5383490000000001E-3</v>
      </c>
      <c r="AA2124">
        <v>0.78672180000000003</v>
      </c>
      <c r="AB2124">
        <v>13</v>
      </c>
      <c r="AC2124">
        <v>34.268199999999901</v>
      </c>
      <c r="AD2124">
        <v>2.2498390000000001</v>
      </c>
      <c r="AE2124">
        <v>-46.639200000000002</v>
      </c>
      <c r="AF2124">
        <v>35.7177330944521</v>
      </c>
      <c r="AG2124">
        <v>2.2498390000000001</v>
      </c>
      <c r="AH2124">
        <v>45.427606157693702</v>
      </c>
      <c r="AI2124">
        <v>87.770440764955296</v>
      </c>
      <c r="AJ2124">
        <v>51.8235837672621</v>
      </c>
      <c r="AK2124">
        <v>57.831528028843998</v>
      </c>
      <c r="AL2124">
        <v>86.954101047159497</v>
      </c>
      <c r="AM2124">
        <v>76.616415084929002</v>
      </c>
      <c r="AN2124">
        <v>1.0000000122041</v>
      </c>
    </row>
    <row r="2125" spans="1:40" x14ac:dyDescent="0.25">
      <c r="A2125" t="str">
        <f>"20190312150705221"</f>
        <v>20190312150705221</v>
      </c>
      <c r="B2125" t="str">
        <f>"1552374425212537"</f>
        <v>1552374425212537</v>
      </c>
      <c r="C2125" t="s">
        <v>40</v>
      </c>
      <c r="D2125">
        <v>4.185867</v>
      </c>
      <c r="E2125">
        <v>0.67357990000000001</v>
      </c>
      <c r="F2125" t="s">
        <v>50</v>
      </c>
      <c r="G2125">
        <v>-168.40099999999899</v>
      </c>
      <c r="H2125">
        <v>3.3139539999999998</v>
      </c>
      <c r="I2125">
        <v>317.67930000000001</v>
      </c>
      <c r="J2125">
        <v>-202.60329999999999</v>
      </c>
      <c r="K2125">
        <v>1.109415</v>
      </c>
      <c r="L2125">
        <v>364.38440000000003</v>
      </c>
      <c r="M2125">
        <v>0.96290430000000005</v>
      </c>
      <c r="N2125">
        <v>0</v>
      </c>
      <c r="O2125">
        <v>-0.26946150000000002</v>
      </c>
      <c r="P2125">
        <v>0.87472359999999905</v>
      </c>
      <c r="Q2125">
        <v>3.9725450000000002E-2</v>
      </c>
      <c r="R2125">
        <v>-0.48299170000000002</v>
      </c>
      <c r="S2125">
        <v>1.9536899999999999</v>
      </c>
      <c r="T2125">
        <v>0.125683399999999</v>
      </c>
      <c r="U2125">
        <v>-2.66391</v>
      </c>
      <c r="V2125">
        <v>0.22958600000000001</v>
      </c>
      <c r="W2125">
        <v>5.2844040000000002E-2</v>
      </c>
      <c r="X2125">
        <v>0.97185279999999996</v>
      </c>
      <c r="Y2125">
        <v>0.6169386</v>
      </c>
      <c r="Z2125">
        <v>2.395122E-3</v>
      </c>
      <c r="AA2125">
        <v>0.78700769999999998</v>
      </c>
      <c r="AB2125">
        <v>13</v>
      </c>
      <c r="AC2125">
        <v>34.202300000000001</v>
      </c>
      <c r="AD2125">
        <v>2.204539</v>
      </c>
      <c r="AE2125">
        <v>-46.705100000000002</v>
      </c>
      <c r="AF2125">
        <v>35.7082331036735</v>
      </c>
      <c r="AG2125">
        <v>2.204539</v>
      </c>
      <c r="AH2125">
        <v>45.457528520194998</v>
      </c>
      <c r="AI2125">
        <v>87.8159551517018</v>
      </c>
      <c r="AJ2125">
        <v>51.849317486454296</v>
      </c>
      <c r="AK2125">
        <v>57.847426932864899</v>
      </c>
      <c r="AL2125">
        <v>86.970848739392494</v>
      </c>
      <c r="AM2125">
        <v>76.708390459554394</v>
      </c>
      <c r="AN2125">
        <v>1.0000000444136701</v>
      </c>
    </row>
    <row r="2126" spans="1:40" x14ac:dyDescent="0.25">
      <c r="A2126" t="str">
        <f>"20190312150705232"</f>
        <v>20190312150705232</v>
      </c>
      <c r="B2126" t="str">
        <f>"1552374425222298"</f>
        <v>1552374425222298</v>
      </c>
      <c r="C2126" t="s">
        <v>40</v>
      </c>
      <c r="D2126">
        <v>4.301558</v>
      </c>
      <c r="E2126">
        <v>0.67404379999999997</v>
      </c>
      <c r="F2126" t="s">
        <v>50</v>
      </c>
      <c r="G2126">
        <v>-168.40099999999899</v>
      </c>
      <c r="H2126">
        <v>3.3153649999999999</v>
      </c>
      <c r="I2126">
        <v>317.83139999999997</v>
      </c>
      <c r="J2126">
        <v>-202.54769999999999</v>
      </c>
      <c r="K2126">
        <v>1.109391</v>
      </c>
      <c r="L2126">
        <v>364.36669999999998</v>
      </c>
      <c r="M2126">
        <v>0.96243259999999997</v>
      </c>
      <c r="N2126">
        <v>0</v>
      </c>
      <c r="O2126">
        <v>-0.27114389999999999</v>
      </c>
      <c r="P2126">
        <v>0.87453199999999998</v>
      </c>
      <c r="Q2126">
        <v>3.934551E-2</v>
      </c>
      <c r="R2126">
        <v>-0.48336960000000001</v>
      </c>
      <c r="S2126">
        <v>1.954788</v>
      </c>
      <c r="T2126">
        <v>0.12607860000000001</v>
      </c>
      <c r="U2126">
        <v>-2.6606749999999999</v>
      </c>
      <c r="V2126">
        <v>0.2283029</v>
      </c>
      <c r="W2126">
        <v>5.2425010000000001E-2</v>
      </c>
      <c r="X2126">
        <v>0.97217759999999998</v>
      </c>
      <c r="Y2126">
        <v>0.61489519999999998</v>
      </c>
      <c r="Z2126">
        <v>2.280303E-3</v>
      </c>
      <c r="AA2126">
        <v>0.78860549999999996</v>
      </c>
      <c r="AB2126">
        <v>13</v>
      </c>
      <c r="AC2126">
        <v>34.146700000000003</v>
      </c>
      <c r="AD2126">
        <v>2.2059739999999999</v>
      </c>
      <c r="AE2126">
        <v>-46.535299999999999</v>
      </c>
      <c r="AF2126">
        <v>35.4802277973046</v>
      </c>
      <c r="AG2126">
        <v>2.2059739999999999</v>
      </c>
      <c r="AH2126">
        <v>45.419966346327797</v>
      </c>
      <c r="AI2126">
        <v>87.808088372450797</v>
      </c>
      <c r="AJ2126">
        <v>52.0044958096653</v>
      </c>
      <c r="AK2126">
        <v>57.677432577559003</v>
      </c>
      <c r="AL2126">
        <v>86.994890403540595</v>
      </c>
      <c r="AM2126">
        <v>76.784320300306604</v>
      </c>
      <c r="AN2126">
        <v>0.99999994088183297</v>
      </c>
    </row>
    <row r="2127" spans="1:40" x14ac:dyDescent="0.25">
      <c r="A2127" t="str">
        <f>"20190312150705240"</f>
        <v>20190312150705240</v>
      </c>
      <c r="B2127" t="str">
        <f>"1552374425232057"</f>
        <v>1552374425232057</v>
      </c>
      <c r="C2127" t="s">
        <v>40</v>
      </c>
      <c r="D2127">
        <v>4.1699739999999998</v>
      </c>
      <c r="E2127">
        <v>0.67414549999999995</v>
      </c>
      <c r="F2127" t="s">
        <v>50</v>
      </c>
      <c r="G2127">
        <v>-168.40099999999899</v>
      </c>
      <c r="H2127">
        <v>3.2981240000000001</v>
      </c>
      <c r="I2127">
        <v>317.73820000000001</v>
      </c>
      <c r="J2127">
        <v>-202.49279999999999</v>
      </c>
      <c r="K2127">
        <v>1.109372</v>
      </c>
      <c r="L2127">
        <v>364.34910000000002</v>
      </c>
      <c r="M2127">
        <v>0.96196060000000005</v>
      </c>
      <c r="N2127">
        <v>0</v>
      </c>
      <c r="O2127">
        <v>-0.27281549999999999</v>
      </c>
      <c r="P2127">
        <v>0.87427319999999997</v>
      </c>
      <c r="Q2127">
        <v>3.9510259999999998E-2</v>
      </c>
      <c r="R2127">
        <v>-0.48382370000000002</v>
      </c>
      <c r="S2127">
        <v>1.9517359999999999</v>
      </c>
      <c r="T2127">
        <v>0.12510279999999999</v>
      </c>
      <c r="U2127">
        <v>-2.6651609999999999</v>
      </c>
      <c r="V2127">
        <v>0.22712299999999999</v>
      </c>
      <c r="W2127">
        <v>5.2550720000000002E-2</v>
      </c>
      <c r="X2127">
        <v>0.97244719999999996</v>
      </c>
      <c r="Y2127">
        <v>0.61475170000000001</v>
      </c>
      <c r="Z2127">
        <v>2.188279E-3</v>
      </c>
      <c r="AA2127">
        <v>0.78871769999999997</v>
      </c>
      <c r="AB2127">
        <v>13</v>
      </c>
      <c r="AC2127">
        <v>34.091799999999999</v>
      </c>
      <c r="AD2127">
        <v>2.188752</v>
      </c>
      <c r="AE2127">
        <v>-46.610900000000001</v>
      </c>
      <c r="AF2127">
        <v>35.489711804457798</v>
      </c>
      <c r="AG2127">
        <v>2.188752</v>
      </c>
      <c r="AH2127">
        <v>45.450484242690003</v>
      </c>
      <c r="AI2127">
        <v>87.826310274557798</v>
      </c>
      <c r="AJ2127">
        <v>52.015736199960301</v>
      </c>
      <c r="AK2127">
        <v>57.706644307011899</v>
      </c>
      <c r="AL2127">
        <v>86.987677974872597</v>
      </c>
      <c r="AM2127">
        <v>76.853760614467404</v>
      </c>
      <c r="AN2127">
        <v>0.99999999604467904</v>
      </c>
    </row>
    <row r="2128" spans="1:40" x14ac:dyDescent="0.25">
      <c r="A2128" t="str">
        <f>"20190312150705251"</f>
        <v>20190312150705251</v>
      </c>
      <c r="B2128" t="str">
        <f>"1552374425241816"</f>
        <v>1552374425241816</v>
      </c>
      <c r="C2128" t="s">
        <v>40</v>
      </c>
      <c r="D2128">
        <v>4.2333210000000001</v>
      </c>
      <c r="E2128">
        <v>0.67437510000000001</v>
      </c>
      <c r="F2128" t="s">
        <v>50</v>
      </c>
      <c r="G2128">
        <v>-168.40099999999899</v>
      </c>
      <c r="H2128">
        <v>3.3161800000000001</v>
      </c>
      <c r="I2128">
        <v>317.72859999999997</v>
      </c>
      <c r="J2128">
        <v>-202.43780000000001</v>
      </c>
      <c r="K2128">
        <v>1.109353</v>
      </c>
      <c r="L2128">
        <v>364.33139999999997</v>
      </c>
      <c r="M2128">
        <v>0.96147680000000002</v>
      </c>
      <c r="N2128">
        <v>0</v>
      </c>
      <c r="O2128">
        <v>-0.27451700000000001</v>
      </c>
      <c r="P2128">
        <v>0.87386219999999903</v>
      </c>
      <c r="Q2128">
        <v>3.9793639999999998E-2</v>
      </c>
      <c r="R2128">
        <v>-0.48454229999999998</v>
      </c>
      <c r="S2128">
        <v>1.949997</v>
      </c>
      <c r="T2128">
        <v>0.12622649999999999</v>
      </c>
      <c r="U2128">
        <v>-2.6666259999999999</v>
      </c>
      <c r="V2128">
        <v>0.2262084</v>
      </c>
      <c r="W2128">
        <v>5.2797379999999998E-2</v>
      </c>
      <c r="X2128">
        <v>0.97264700000000004</v>
      </c>
      <c r="Y2128">
        <v>0.61389550000000004</v>
      </c>
      <c r="Z2128">
        <v>2.1141860000000001E-3</v>
      </c>
      <c r="AA2128">
        <v>0.78938450000000004</v>
      </c>
      <c r="AB2128">
        <v>13</v>
      </c>
      <c r="AC2128">
        <v>34.036799999999999</v>
      </c>
      <c r="AD2128">
        <v>2.2068270000000001</v>
      </c>
      <c r="AE2128">
        <v>-46.602800000000002</v>
      </c>
      <c r="AF2128">
        <v>35.415637112199398</v>
      </c>
      <c r="AG2128">
        <v>2.2068270000000001</v>
      </c>
      <c r="AH2128">
        <v>45.456996412674897</v>
      </c>
      <c r="AI2128">
        <v>87.806841222719399</v>
      </c>
      <c r="AJ2128">
        <v>52.077772141069701</v>
      </c>
      <c r="AK2128">
        <v>57.666939925167398</v>
      </c>
      <c r="AL2128">
        <v>86.973525748202505</v>
      </c>
      <c r="AM2128">
        <v>76.907468552775498</v>
      </c>
      <c r="AN2128">
        <v>0.99999999508721205</v>
      </c>
    </row>
    <row r="2129" spans="1:40" x14ac:dyDescent="0.25">
      <c r="A2129" t="str">
        <f>"20190312150705262"</f>
        <v>20190312150705262</v>
      </c>
      <c r="B2129" t="str">
        <f>"1552374425252552"</f>
        <v>1552374425252552</v>
      </c>
      <c r="C2129" t="s">
        <v>40</v>
      </c>
      <c r="D2129">
        <v>4.5663529999999897</v>
      </c>
      <c r="E2129">
        <v>0.67416779999999998</v>
      </c>
      <c r="F2129" t="s">
        <v>50</v>
      </c>
      <c r="G2129">
        <v>-168.40110000000001</v>
      </c>
      <c r="H2129">
        <v>3.4179819999999999</v>
      </c>
      <c r="I2129">
        <v>317.65649999999999</v>
      </c>
      <c r="J2129">
        <v>-202.3766</v>
      </c>
      <c r="K2129">
        <v>1.1093379999999999</v>
      </c>
      <c r="L2129">
        <v>364.3116</v>
      </c>
      <c r="M2129">
        <v>0.96093090000000003</v>
      </c>
      <c r="N2129">
        <v>0</v>
      </c>
      <c r="O2129">
        <v>-0.27642450000000002</v>
      </c>
      <c r="P2129">
        <v>0.87319550000000001</v>
      </c>
      <c r="Q2129">
        <v>4.0136110000000003E-2</v>
      </c>
      <c r="R2129">
        <v>-0.4857149</v>
      </c>
      <c r="S2129">
        <v>1.9467620000000001</v>
      </c>
      <c r="T2129">
        <v>0.13204469999999999</v>
      </c>
      <c r="U2129">
        <v>-2.6696170000000001</v>
      </c>
      <c r="V2129">
        <v>0.22559190000000001</v>
      </c>
      <c r="W2129">
        <v>5.3096419999999998E-2</v>
      </c>
      <c r="X2129">
        <v>0.97277389999999997</v>
      </c>
      <c r="Y2129">
        <v>0.61335479999999998</v>
      </c>
      <c r="Z2129">
        <v>2.1128420000000002E-3</v>
      </c>
      <c r="AA2129">
        <v>0.78980469999999903</v>
      </c>
      <c r="AB2129">
        <v>13</v>
      </c>
      <c r="AC2129">
        <v>33.975499999999897</v>
      </c>
      <c r="AD2129">
        <v>2.3086439999999899</v>
      </c>
      <c r="AE2129">
        <v>-46.655099999999997</v>
      </c>
      <c r="AF2129">
        <v>35.387612157955701</v>
      </c>
      <c r="AG2129">
        <v>2.3086439999999899</v>
      </c>
      <c r="AH2129">
        <v>45.4765402972955</v>
      </c>
      <c r="AI2129">
        <v>87.705689123466996</v>
      </c>
      <c r="AJ2129">
        <v>52.111697318057303</v>
      </c>
      <c r="AK2129">
        <v>57.669130813392499</v>
      </c>
      <c r="AL2129">
        <v>86.956367959798399</v>
      </c>
      <c r="AM2129">
        <v>76.943571151346305</v>
      </c>
      <c r="AN2129">
        <v>0.99999999784181803</v>
      </c>
    </row>
    <row r="2130" spans="1:40" x14ac:dyDescent="0.25">
      <c r="A2130" t="str">
        <f>"20190312150705274"</f>
        <v>20190312150705274</v>
      </c>
      <c r="B2130" t="str">
        <f>"1552374425262313"</f>
        <v>1552374425262313</v>
      </c>
      <c r="C2130" t="s">
        <v>40</v>
      </c>
      <c r="D2130">
        <v>4.2442820000000001</v>
      </c>
      <c r="E2130">
        <v>0.67416779999999998</v>
      </c>
      <c r="F2130" t="s">
        <v>50</v>
      </c>
      <c r="G2130">
        <v>-168.40110000000001</v>
      </c>
      <c r="H2130">
        <v>3.443244</v>
      </c>
      <c r="I2130">
        <v>317.63170000000002</v>
      </c>
      <c r="J2130">
        <v>-202.31549999999999</v>
      </c>
      <c r="K2130">
        <v>1.1093200000000001</v>
      </c>
      <c r="L2130">
        <v>364.29160000000002</v>
      </c>
      <c r="M2130">
        <v>0.96037079999999997</v>
      </c>
      <c r="N2130">
        <v>0</v>
      </c>
      <c r="O2130">
        <v>-0.27836559999999999</v>
      </c>
      <c r="P2130">
        <v>0.8720753</v>
      </c>
      <c r="Q2130">
        <v>4.0069239999999999E-2</v>
      </c>
      <c r="R2130">
        <v>-0.48772890000000002</v>
      </c>
      <c r="S2130">
        <v>1.943878</v>
      </c>
      <c r="T2130">
        <v>0.13353280000000001</v>
      </c>
      <c r="U2130">
        <v>-2.6707459999999998</v>
      </c>
      <c r="V2130">
        <v>0.22587299999999999</v>
      </c>
      <c r="W2130">
        <v>5.2984999999999997E-2</v>
      </c>
      <c r="X2130">
        <v>0.97271470000000004</v>
      </c>
      <c r="Y2130">
        <v>0.61247149999999995</v>
      </c>
      <c r="Z2130">
        <v>2.0266910000000002E-3</v>
      </c>
      <c r="AA2130">
        <v>0.79049019999999903</v>
      </c>
      <c r="AB2130">
        <v>13</v>
      </c>
      <c r="AC2130">
        <v>33.914399999999901</v>
      </c>
      <c r="AD2130">
        <v>2.3339240000000001</v>
      </c>
      <c r="AE2130">
        <v>-46.659899999999901</v>
      </c>
      <c r="AF2130">
        <v>35.315933945061502</v>
      </c>
      <c r="AG2130">
        <v>2.3339240000000001</v>
      </c>
      <c r="AH2130">
        <v>45.489008531358103</v>
      </c>
      <c r="AI2130">
        <v>87.679219726703494</v>
      </c>
      <c r="AJ2130">
        <v>52.1755967530558</v>
      </c>
      <c r="AK2130">
        <v>57.636032903173501</v>
      </c>
      <c r="AL2130">
        <v>86.962760724203306</v>
      </c>
      <c r="AM2130">
        <v>76.927092258174994</v>
      </c>
      <c r="AN2130">
        <v>0.99999995497504401</v>
      </c>
    </row>
    <row r="2131" spans="1:40" x14ac:dyDescent="0.25">
      <c r="A2131" t="str">
        <f>"20190312150705284"</f>
        <v>20190312150705284</v>
      </c>
      <c r="B2131" t="str">
        <f>"1552374425281832"</f>
        <v>1552374425281832</v>
      </c>
      <c r="C2131" t="s">
        <v>40</v>
      </c>
      <c r="D2131">
        <v>4.2987159999999998</v>
      </c>
      <c r="E2131">
        <v>0.67316229999999999</v>
      </c>
      <c r="F2131" t="s">
        <v>50</v>
      </c>
      <c r="G2131">
        <v>-168.40110000000001</v>
      </c>
      <c r="H2131">
        <v>3.4672879999999999</v>
      </c>
      <c r="I2131">
        <v>317.46789999999999</v>
      </c>
      <c r="J2131">
        <v>-202.25489999999999</v>
      </c>
      <c r="K2131">
        <v>1.1092959999999901</v>
      </c>
      <c r="L2131">
        <v>364.27159999999998</v>
      </c>
      <c r="M2131">
        <v>0.95980759999999998</v>
      </c>
      <c r="N2131">
        <v>0</v>
      </c>
      <c r="O2131">
        <v>-0.28030329999999998</v>
      </c>
      <c r="P2131">
        <v>0.87085219999999897</v>
      </c>
      <c r="Q2131">
        <v>4.0285509999999997E-2</v>
      </c>
      <c r="R2131">
        <v>-0.48989199999999999</v>
      </c>
      <c r="S2131">
        <v>1.9376979999999999</v>
      </c>
      <c r="T2131">
        <v>0.1347226</v>
      </c>
      <c r="U2131">
        <v>-2.675262</v>
      </c>
      <c r="V2131">
        <v>0.226331</v>
      </c>
      <c r="W2131">
        <v>5.3155460000000002E-2</v>
      </c>
      <c r="X2131">
        <v>0.97259899999999999</v>
      </c>
      <c r="Y2131">
        <v>0.61270449999999999</v>
      </c>
      <c r="Z2131">
        <v>1.9643009999999999E-3</v>
      </c>
      <c r="AA2131">
        <v>0.7903097</v>
      </c>
      <c r="AB2131">
        <v>13</v>
      </c>
      <c r="AC2131">
        <v>33.8537999999999</v>
      </c>
      <c r="AD2131">
        <v>2.3579919999999999</v>
      </c>
      <c r="AE2131">
        <v>-46.8036999999999</v>
      </c>
      <c r="AF2131">
        <v>35.3777963180111</v>
      </c>
      <c r="AG2131">
        <v>2.3579919999999999</v>
      </c>
      <c r="AH2131">
        <v>45.541026748975803</v>
      </c>
      <c r="AI2131">
        <v>87.658523426663294</v>
      </c>
      <c r="AJ2131">
        <v>52.158741316097498</v>
      </c>
      <c r="AK2131">
        <v>57.715974529948603</v>
      </c>
      <c r="AL2131">
        <v>86.9529804996683</v>
      </c>
      <c r="AM2131">
        <v>76.899993132647893</v>
      </c>
      <c r="AN2131">
        <v>1.0000000196448999</v>
      </c>
    </row>
    <row r="2132" spans="1:40" x14ac:dyDescent="0.25">
      <c r="A2132" t="str">
        <f>"20190312150705295"</f>
        <v>20190312150705295</v>
      </c>
      <c r="B2132" t="str">
        <f>"1552374425292568"</f>
        <v>1552374425292568</v>
      </c>
      <c r="C2132" t="s">
        <v>40</v>
      </c>
      <c r="D2132">
        <v>4.3641139999999998</v>
      </c>
      <c r="E2132">
        <v>0.6734213</v>
      </c>
      <c r="F2132" t="s">
        <v>50</v>
      </c>
      <c r="G2132">
        <v>-168.40110000000001</v>
      </c>
      <c r="H2132">
        <v>3.4080089999999998</v>
      </c>
      <c r="I2132">
        <v>317.50259999999997</v>
      </c>
      <c r="J2132">
        <v>-202.19280000000001</v>
      </c>
      <c r="K2132">
        <v>1.1092759999999999</v>
      </c>
      <c r="L2132">
        <v>364.2509</v>
      </c>
      <c r="M2132">
        <v>0.95921179999999995</v>
      </c>
      <c r="N2132">
        <v>0</v>
      </c>
      <c r="O2132">
        <v>-0.282337</v>
      </c>
      <c r="P2132">
        <v>0.86949959999999904</v>
      </c>
      <c r="Q2132">
        <v>4.0065580000000003E-2</v>
      </c>
      <c r="R2132">
        <v>-0.49230669999999999</v>
      </c>
      <c r="S2132">
        <v>1.9350130000000001</v>
      </c>
      <c r="T2132">
        <v>0.13139000000000001</v>
      </c>
      <c r="U2132">
        <v>-2.6732179999999999</v>
      </c>
      <c r="V2132">
        <v>0.2269679</v>
      </c>
      <c r="W2132">
        <v>5.2892139999999997E-2</v>
      </c>
      <c r="X2132">
        <v>0.97246489999999997</v>
      </c>
      <c r="Y2132">
        <v>0.61127730000000002</v>
      </c>
      <c r="Z2132">
        <v>1.7900730000000001E-3</v>
      </c>
      <c r="AA2132">
        <v>0.79141450000000002</v>
      </c>
      <c r="AB2132">
        <v>13</v>
      </c>
      <c r="AC2132">
        <v>33.791699999999899</v>
      </c>
      <c r="AD2132">
        <v>2.2987329999999999</v>
      </c>
      <c r="AE2132">
        <v>-46.7483</v>
      </c>
      <c r="AF2132">
        <v>35.248399435340303</v>
      </c>
      <c r="AG2132">
        <v>2.2987329999999999</v>
      </c>
      <c r="AH2132">
        <v>45.544370178446798</v>
      </c>
      <c r="AI2132">
        <v>87.7142695414136</v>
      </c>
      <c r="AJ2132">
        <v>52.262444356296399</v>
      </c>
      <c r="AK2132">
        <v>57.636997589308699</v>
      </c>
      <c r="AL2132">
        <v>86.968088799730694</v>
      </c>
      <c r="AM2132">
        <v>76.862657402732495</v>
      </c>
      <c r="AN2132">
        <v>0.99999999391809902</v>
      </c>
    </row>
    <row r="2133" spans="1:40" x14ac:dyDescent="0.25">
      <c r="A2133" t="str">
        <f>"20190312150705307"</f>
        <v>20190312150705307</v>
      </c>
      <c r="B2133" t="str">
        <f>"1552374425302328"</f>
        <v>1552374425302328</v>
      </c>
      <c r="C2133" t="s">
        <v>40</v>
      </c>
      <c r="D2133">
        <v>4.2121649999999997</v>
      </c>
      <c r="E2133">
        <v>0.67363339999999905</v>
      </c>
      <c r="F2133" t="s">
        <v>50</v>
      </c>
      <c r="G2133">
        <v>-168.40110000000001</v>
      </c>
      <c r="H2133">
        <v>3.4741520000000001</v>
      </c>
      <c r="I2133">
        <v>317.22829999999999</v>
      </c>
      <c r="J2133">
        <v>-202.13159999999999</v>
      </c>
      <c r="K2133">
        <v>1.1092569999999999</v>
      </c>
      <c r="L2133">
        <v>364.2303</v>
      </c>
      <c r="M2133">
        <v>0.95861609999999997</v>
      </c>
      <c r="N2133">
        <v>0</v>
      </c>
      <c r="O2133">
        <v>-0.28435369999999999</v>
      </c>
      <c r="P2133">
        <v>0.86807420000000002</v>
      </c>
      <c r="Q2133">
        <v>3.9908560000000003E-2</v>
      </c>
      <c r="R2133">
        <v>-0.4948284</v>
      </c>
      <c r="S2133">
        <v>1.926315</v>
      </c>
      <c r="T2133">
        <v>0.1348113</v>
      </c>
      <c r="U2133">
        <v>-2.680542</v>
      </c>
      <c r="V2133">
        <v>0.2277458</v>
      </c>
      <c r="W2133">
        <v>5.269215E-2</v>
      </c>
      <c r="X2133">
        <v>0.97229390000000004</v>
      </c>
      <c r="Y2133">
        <v>0.61231910000000001</v>
      </c>
      <c r="Z2133">
        <v>1.774318E-3</v>
      </c>
      <c r="AA2133">
        <v>0.7906088</v>
      </c>
      <c r="AB2133">
        <v>13</v>
      </c>
      <c r="AC2133">
        <v>33.7304999999999</v>
      </c>
      <c r="AD2133">
        <v>2.3648950000000002</v>
      </c>
      <c r="AE2133">
        <v>-47.002000000000002</v>
      </c>
      <c r="AF2133">
        <v>35.409825825156197</v>
      </c>
      <c r="AG2133">
        <v>2.3648950000000002</v>
      </c>
      <c r="AH2133">
        <v>45.628076735443003</v>
      </c>
      <c r="AI2133">
        <v>87.655266730774798</v>
      </c>
      <c r="AJ2133">
        <v>52.186626179608503</v>
      </c>
      <c r="AK2133">
        <v>57.804583554458802</v>
      </c>
      <c r="AL2133">
        <v>86.979563462767103</v>
      </c>
      <c r="AM2133">
        <v>76.816963175190494</v>
      </c>
      <c r="AN2133">
        <v>1.00000002003323</v>
      </c>
    </row>
    <row r="2134" spans="1:40" x14ac:dyDescent="0.25">
      <c r="A2134" t="str">
        <f>"20190312150705317"</f>
        <v>20190312150705317</v>
      </c>
      <c r="B2134" t="str">
        <f>"1552374425312088"</f>
        <v>1552374425312088</v>
      </c>
      <c r="C2134" t="s">
        <v>40</v>
      </c>
      <c r="D2134">
        <v>4.237031</v>
      </c>
      <c r="E2134">
        <v>0.67370169999999996</v>
      </c>
      <c r="F2134" t="s">
        <v>50</v>
      </c>
      <c r="G2134">
        <v>-168.56739999999999</v>
      </c>
      <c r="H2134">
        <v>3.5309910000000002</v>
      </c>
      <c r="I2134">
        <v>317.19709999999998</v>
      </c>
      <c r="J2134">
        <v>-202.06649999999999</v>
      </c>
      <c r="K2134">
        <v>1.109237</v>
      </c>
      <c r="L2134">
        <v>364.20830000000001</v>
      </c>
      <c r="M2134">
        <v>0.95796630000000005</v>
      </c>
      <c r="N2134">
        <v>0</v>
      </c>
      <c r="O2134">
        <v>-0.28653659999999997</v>
      </c>
      <c r="P2134">
        <v>0.86658769999999996</v>
      </c>
      <c r="Q2134">
        <v>4.0441350000000001E-2</v>
      </c>
      <c r="R2134">
        <v>-0.4973841</v>
      </c>
      <c r="S2134">
        <v>1.9177249999999999</v>
      </c>
      <c r="T2134">
        <v>0.1383682</v>
      </c>
      <c r="U2134">
        <v>-2.6872859999999998</v>
      </c>
      <c r="V2134">
        <v>0.22840830000000001</v>
      </c>
      <c r="W2134">
        <v>5.3184509999999997E-2</v>
      </c>
      <c r="X2134">
        <v>0.97211159999999996</v>
      </c>
      <c r="Y2134">
        <v>0.61311850000000001</v>
      </c>
      <c r="Z2134">
        <v>1.7427320000000001E-3</v>
      </c>
      <c r="AA2134">
        <v>0.78998900000000005</v>
      </c>
      <c r="AB2134">
        <v>13</v>
      </c>
      <c r="AC2134">
        <v>33.499099999999999</v>
      </c>
      <c r="AD2134">
        <v>2.421754</v>
      </c>
      <c r="AE2134">
        <v>-47.011200000000002</v>
      </c>
      <c r="AF2134">
        <v>35.3776580007207</v>
      </c>
      <c r="AG2134">
        <v>2.421754</v>
      </c>
      <c r="AH2134">
        <v>45.4858774857478</v>
      </c>
      <c r="AI2134">
        <v>87.593462901148101</v>
      </c>
      <c r="AJ2134">
        <v>52.125209980553301</v>
      </c>
      <c r="AK2134">
        <v>57.675026039880798</v>
      </c>
      <c r="AL2134">
        <v>86.951313496918999</v>
      </c>
      <c r="AM2134">
        <v>76.777567179891605</v>
      </c>
      <c r="AN2134">
        <v>0.99999995323369395</v>
      </c>
    </row>
    <row r="2135" spans="1:40" x14ac:dyDescent="0.25">
      <c r="A2135" t="str">
        <f>"20190312150705329"</f>
        <v>20190312150705329</v>
      </c>
      <c r="B2135" t="str">
        <f>"1552374425321849"</f>
        <v>1552374425321849</v>
      </c>
      <c r="C2135" t="s">
        <v>40</v>
      </c>
      <c r="D2135">
        <v>4.3038629999999998</v>
      </c>
      <c r="E2135">
        <v>0.67384169999999999</v>
      </c>
      <c r="F2135" t="s">
        <v>50</v>
      </c>
      <c r="G2135">
        <v>-168.73230000000001</v>
      </c>
      <c r="H2135">
        <v>3.6190730000000002</v>
      </c>
      <c r="I2135">
        <v>317.19709999999998</v>
      </c>
      <c r="J2135">
        <v>-202.00659999999999</v>
      </c>
      <c r="K2135">
        <v>1.1092139999999999</v>
      </c>
      <c r="L2135">
        <v>364.18779999999998</v>
      </c>
      <c r="M2135">
        <v>0.95735709999999996</v>
      </c>
      <c r="N2135">
        <v>0</v>
      </c>
      <c r="O2135">
        <v>-0.28856599999999999</v>
      </c>
      <c r="P2135">
        <v>0.86509699999999901</v>
      </c>
      <c r="Q2135">
        <v>4.0968459999999998E-2</v>
      </c>
      <c r="R2135">
        <v>-0.49992920000000002</v>
      </c>
      <c r="S2135">
        <v>1.9095</v>
      </c>
      <c r="T2135">
        <v>0.1437726</v>
      </c>
      <c r="U2135">
        <v>-2.6929630000000002</v>
      </c>
      <c r="V2135">
        <v>0.2292178</v>
      </c>
      <c r="W2135">
        <v>5.3673989999999998E-2</v>
      </c>
      <c r="X2135">
        <v>0.97189409999999998</v>
      </c>
      <c r="Y2135">
        <v>0.61381509999999995</v>
      </c>
      <c r="Z2135">
        <v>1.733926E-3</v>
      </c>
      <c r="AA2135">
        <v>0.78944799999999904</v>
      </c>
      <c r="AB2135">
        <v>13</v>
      </c>
      <c r="AC2135">
        <v>33.274299999999897</v>
      </c>
      <c r="AD2135">
        <v>2.5098590000000001</v>
      </c>
      <c r="AE2135">
        <v>-46.990699999999997</v>
      </c>
      <c r="AF2135">
        <v>35.321421360834997</v>
      </c>
      <c r="AG2135">
        <v>2.5098590000000001</v>
      </c>
      <c r="AH2135">
        <v>45.3336426199429</v>
      </c>
      <c r="AI2135">
        <v>87.499316380100296</v>
      </c>
      <c r="AJ2135">
        <v>52.076286172651301</v>
      </c>
      <c r="AK2135">
        <v>57.524267508089501</v>
      </c>
      <c r="AL2135">
        <v>86.923228136815496</v>
      </c>
      <c r="AM2135">
        <v>76.7294961081286</v>
      </c>
      <c r="AN2135">
        <v>0.99999991932708099</v>
      </c>
    </row>
    <row r="2136" spans="1:40" x14ac:dyDescent="0.25">
      <c r="A2136" t="str">
        <f>"20190312150705340"</f>
        <v>20190312150705340</v>
      </c>
      <c r="B2136" t="str">
        <f>"1552374425332584"</f>
        <v>1552374425332584</v>
      </c>
      <c r="C2136" t="s">
        <v>40</v>
      </c>
      <c r="D2136">
        <v>4.2927350000000004</v>
      </c>
      <c r="E2136">
        <v>0.67402869999999904</v>
      </c>
      <c r="F2136" t="s">
        <v>50</v>
      </c>
      <c r="G2136">
        <v>-168.92509999999999</v>
      </c>
      <c r="H2136">
        <v>3.6700979999999999</v>
      </c>
      <c r="I2136">
        <v>317.19709999999998</v>
      </c>
      <c r="J2136">
        <v>-201.94540000000001</v>
      </c>
      <c r="K2136">
        <v>1.1091979999999999</v>
      </c>
      <c r="L2136">
        <v>364.16669999999999</v>
      </c>
      <c r="M2136">
        <v>0.95672230000000003</v>
      </c>
      <c r="N2136">
        <v>0</v>
      </c>
      <c r="O2136">
        <v>-0.290664799999999</v>
      </c>
      <c r="P2136">
        <v>0.86351769999999906</v>
      </c>
      <c r="Q2136">
        <v>4.1929460000000002E-2</v>
      </c>
      <c r="R2136">
        <v>-0.50257249999999998</v>
      </c>
      <c r="S2136">
        <v>1.9006810000000001</v>
      </c>
      <c r="T2136">
        <v>0.14713479999999901</v>
      </c>
      <c r="U2136">
        <v>-2.6998289999999998</v>
      </c>
      <c r="V2136">
        <v>0.23007920000000001</v>
      </c>
      <c r="W2136">
        <v>5.4599130000000003E-2</v>
      </c>
      <c r="X2136">
        <v>0.97163900000000003</v>
      </c>
      <c r="Y2136">
        <v>0.61474059999999997</v>
      </c>
      <c r="Z2136">
        <v>1.6989030000000001E-3</v>
      </c>
      <c r="AA2136">
        <v>0.78872749999999903</v>
      </c>
      <c r="AB2136">
        <v>13</v>
      </c>
      <c r="AC2136">
        <v>33.020299999999999</v>
      </c>
      <c r="AD2136">
        <v>2.5609000000000002</v>
      </c>
      <c r="AE2136">
        <v>-46.9696</v>
      </c>
      <c r="AF2136">
        <v>35.272323176895199</v>
      </c>
      <c r="AG2136">
        <v>2.5609000000000002</v>
      </c>
      <c r="AH2136">
        <v>45.158270278733603</v>
      </c>
      <c r="AI2136">
        <v>87.441036754924596</v>
      </c>
      <c r="AJ2136">
        <v>52.007236673812201</v>
      </c>
      <c r="AK2136">
        <v>57.358210969943002</v>
      </c>
      <c r="AL2136">
        <v>86.870143684098096</v>
      </c>
      <c r="AM2136">
        <v>76.678027527729995</v>
      </c>
      <c r="AN2136">
        <v>0.99999992479519495</v>
      </c>
    </row>
    <row r="2137" spans="1:40" x14ac:dyDescent="0.25">
      <c r="A2137" t="str">
        <f>"20190312150705352"</f>
        <v>20190312150705352</v>
      </c>
      <c r="B2137" t="str">
        <f>"1552374425342344"</f>
        <v>1552374425342344</v>
      </c>
      <c r="C2137" t="s">
        <v>40</v>
      </c>
      <c r="D2137">
        <v>4.2651570000000003</v>
      </c>
      <c r="E2137">
        <v>0.67414810000000003</v>
      </c>
      <c r="F2137" t="s">
        <v>50</v>
      </c>
      <c r="G2137">
        <v>-168.98310000000001</v>
      </c>
      <c r="H2137">
        <v>3.7380330000000002</v>
      </c>
      <c r="I2137">
        <v>317.00299999999999</v>
      </c>
      <c r="J2137">
        <v>-201.8844</v>
      </c>
      <c r="K2137">
        <v>1.1091839999999999</v>
      </c>
      <c r="L2137">
        <v>364.1454</v>
      </c>
      <c r="M2137">
        <v>0.9560748</v>
      </c>
      <c r="N2137">
        <v>0</v>
      </c>
      <c r="O2137">
        <v>-0.29278900000000002</v>
      </c>
      <c r="P2137">
        <v>0.86203750000000001</v>
      </c>
      <c r="Q2137">
        <v>4.2876459999999998E-2</v>
      </c>
      <c r="R2137">
        <v>-0.50502840000000004</v>
      </c>
      <c r="S2137">
        <v>1.891602</v>
      </c>
      <c r="T2137">
        <v>0.15086069999999999</v>
      </c>
      <c r="U2137">
        <v>-2.7065730000000001</v>
      </c>
      <c r="V2137">
        <v>0.23070660000000001</v>
      </c>
      <c r="W2137">
        <v>5.5513750000000001E-2</v>
      </c>
      <c r="X2137">
        <v>0.97143849999999998</v>
      </c>
      <c r="Y2137">
        <v>0.61567469999999902</v>
      </c>
      <c r="Z2137">
        <v>1.6634729999999999E-3</v>
      </c>
      <c r="AA2137">
        <v>0.78799869999999905</v>
      </c>
      <c r="AB2137">
        <v>13</v>
      </c>
      <c r="AC2137">
        <v>32.9012999999999</v>
      </c>
      <c r="AD2137">
        <v>2.6288490000000002</v>
      </c>
      <c r="AE2137">
        <v>-47.142400000000002</v>
      </c>
      <c r="AF2137">
        <v>35.368030194542001</v>
      </c>
      <c r="AG2137">
        <v>2.6288490000000002</v>
      </c>
      <c r="AH2137">
        <v>45.168854297322298</v>
      </c>
      <c r="AI2137">
        <v>87.376310047954306</v>
      </c>
      <c r="AJ2137">
        <v>51.938413298428003</v>
      </c>
      <c r="AK2137">
        <v>57.428510388478401</v>
      </c>
      <c r="AL2137">
        <v>86.817660560477705</v>
      </c>
      <c r="AM2137">
        <v>76.640342310374805</v>
      </c>
      <c r="AN2137">
        <v>1.0000000355024301</v>
      </c>
    </row>
    <row r="2138" spans="1:40" x14ac:dyDescent="0.25">
      <c r="A2138" t="str">
        <f>"20190312150705363"</f>
        <v>20190312150705363</v>
      </c>
      <c r="B2138" t="str">
        <f>"1552374425352105"</f>
        <v>1552374425352105</v>
      </c>
      <c r="C2138" t="s">
        <v>40</v>
      </c>
      <c r="D2138">
        <v>4.2423630000000001</v>
      </c>
      <c r="E2138">
        <v>0.67414249999999998</v>
      </c>
      <c r="F2138" t="s">
        <v>50</v>
      </c>
      <c r="G2138">
        <v>-168.98310000000001</v>
      </c>
      <c r="H2138">
        <v>3.8194270000000001</v>
      </c>
      <c r="I2138">
        <v>316.75220000000002</v>
      </c>
      <c r="J2138">
        <v>-201.8201</v>
      </c>
      <c r="K2138">
        <v>1.10917</v>
      </c>
      <c r="L2138">
        <v>364.12299999999999</v>
      </c>
      <c r="M2138">
        <v>0.95538239999999996</v>
      </c>
      <c r="N2138">
        <v>0</v>
      </c>
      <c r="O2138">
        <v>-0.29504089999999999</v>
      </c>
      <c r="P2138">
        <v>0.86064959999999902</v>
      </c>
      <c r="Q2138">
        <v>4.3410549999999999E-2</v>
      </c>
      <c r="R2138">
        <v>-0.50734440000000003</v>
      </c>
      <c r="S2138">
        <v>1.883194</v>
      </c>
      <c r="T2138">
        <v>0.1551285</v>
      </c>
      <c r="U2138">
        <v>-2.7126769999999998</v>
      </c>
      <c r="V2138">
        <v>0.23104240000000001</v>
      </c>
      <c r="W2138">
        <v>5.6017919999999999E-2</v>
      </c>
      <c r="X2138">
        <v>0.97132969999999996</v>
      </c>
      <c r="Y2138">
        <v>0.6162801</v>
      </c>
      <c r="Z2138">
        <v>1.612729E-3</v>
      </c>
      <c r="AA2138">
        <v>0.78752540000000004</v>
      </c>
      <c r="AB2138">
        <v>13</v>
      </c>
      <c r="AC2138">
        <v>32.836999999999897</v>
      </c>
      <c r="AD2138">
        <v>2.7102569999999901</v>
      </c>
      <c r="AE2138">
        <v>-47.370800000000003</v>
      </c>
      <c r="AF2138">
        <v>35.493968160430299</v>
      </c>
      <c r="AG2138">
        <v>2.7102569999999901</v>
      </c>
      <c r="AH2138">
        <v>45.252591959966303</v>
      </c>
      <c r="AI2138">
        <v>87.301923893902298</v>
      </c>
      <c r="AJ2138">
        <v>51.891059791427203</v>
      </c>
      <c r="AK2138">
        <v>57.575727072047499</v>
      </c>
      <c r="AL2138">
        <v>86.788728586744597</v>
      </c>
      <c r="AM2138">
        <v>76.620150941448799</v>
      </c>
      <c r="AN2138">
        <v>0.99999999203048795</v>
      </c>
    </row>
    <row r="2139" spans="1:40" x14ac:dyDescent="0.25">
      <c r="A2139" t="str">
        <f>"20190312150705374"</f>
        <v>20190312150705374</v>
      </c>
      <c r="B2139" t="str">
        <f>"1552374425372600"</f>
        <v>1552374425372600</v>
      </c>
      <c r="C2139" t="s">
        <v>40</v>
      </c>
      <c r="D2139">
        <v>4.2621460000000004</v>
      </c>
      <c r="E2139">
        <v>0.67421030000000004</v>
      </c>
      <c r="F2139" t="s">
        <v>50</v>
      </c>
      <c r="G2139">
        <v>-168.98310000000001</v>
      </c>
      <c r="H2139">
        <v>3.8546390000000001</v>
      </c>
      <c r="I2139">
        <v>316.53960000000001</v>
      </c>
      <c r="J2139">
        <v>-201.76050000000001</v>
      </c>
      <c r="K2139">
        <v>1.109159</v>
      </c>
      <c r="L2139">
        <v>364.10180000000003</v>
      </c>
      <c r="M2139">
        <v>0.95472140000000005</v>
      </c>
      <c r="N2139">
        <v>0</v>
      </c>
      <c r="O2139">
        <v>-0.29717339999999998</v>
      </c>
      <c r="P2139">
        <v>0.85940459999999996</v>
      </c>
      <c r="Q2139">
        <v>4.4175039999999999E-2</v>
      </c>
      <c r="R2139">
        <v>-0.50938430000000001</v>
      </c>
      <c r="S2139">
        <v>1.875626</v>
      </c>
      <c r="T2139">
        <v>0.1568196</v>
      </c>
      <c r="U2139">
        <v>-2.7179259999999998</v>
      </c>
      <c r="V2139">
        <v>0.23119480000000001</v>
      </c>
      <c r="W2139">
        <v>5.675823E-2</v>
      </c>
      <c r="X2139">
        <v>0.97125050000000002</v>
      </c>
      <c r="Y2139">
        <v>0.6167127</v>
      </c>
      <c r="Z2139">
        <v>1.532173E-3</v>
      </c>
      <c r="AA2139">
        <v>0.78718679999999996</v>
      </c>
      <c r="AB2139">
        <v>13</v>
      </c>
      <c r="AC2139">
        <v>32.7774</v>
      </c>
      <c r="AD2139">
        <v>2.7454800000000001</v>
      </c>
      <c r="AE2139">
        <v>-47.562199999999997</v>
      </c>
      <c r="AF2139">
        <v>35.591151932116396</v>
      </c>
      <c r="AG2139">
        <v>2.7454800000000001</v>
      </c>
      <c r="AH2139">
        <v>45.329530499215302</v>
      </c>
      <c r="AI2139">
        <v>87.2726189337058</v>
      </c>
      <c r="AJ2139">
        <v>51.862244426931603</v>
      </c>
      <c r="AK2139">
        <v>57.697782379955299</v>
      </c>
      <c r="AL2139">
        <v>86.746244484761803</v>
      </c>
      <c r="AM2139">
        <v>76.610590580639197</v>
      </c>
      <c r="AN2139">
        <v>1.0000000329850101</v>
      </c>
    </row>
    <row r="2140" spans="1:40" x14ac:dyDescent="0.25">
      <c r="A2140" t="str">
        <f>"20190312150705386"</f>
        <v>20190312150705386</v>
      </c>
      <c r="B2140" t="str">
        <f>"1552374425382361"</f>
        <v>1552374425382361</v>
      </c>
      <c r="C2140" t="s">
        <v>40</v>
      </c>
      <c r="D2140">
        <v>4.2652539999999997</v>
      </c>
      <c r="E2140">
        <v>0.67421030000000004</v>
      </c>
      <c r="F2140" t="s">
        <v>50</v>
      </c>
      <c r="G2140">
        <v>-168.98310000000001</v>
      </c>
      <c r="H2140">
        <v>3.8697680000000001</v>
      </c>
      <c r="I2140">
        <v>316.36020000000002</v>
      </c>
      <c r="J2140">
        <v>-201.69640000000001</v>
      </c>
      <c r="K2140">
        <v>1.1091439999999999</v>
      </c>
      <c r="L2140">
        <v>364.07889999999998</v>
      </c>
      <c r="M2140">
        <v>0.95400090000000004</v>
      </c>
      <c r="N2140">
        <v>0</v>
      </c>
      <c r="O2140">
        <v>-0.29947889999999999</v>
      </c>
      <c r="P2140">
        <v>0.85802579999999995</v>
      </c>
      <c r="Q2140">
        <v>4.4913439999999999E-2</v>
      </c>
      <c r="R2140">
        <v>-0.51163910000000001</v>
      </c>
      <c r="S2140">
        <v>1.8690800000000001</v>
      </c>
      <c r="T2140">
        <v>0.15741959999999999</v>
      </c>
      <c r="U2140">
        <v>-2.7223820000000001</v>
      </c>
      <c r="V2140">
        <v>0.2314158</v>
      </c>
      <c r="W2140">
        <v>5.7470889999999997E-2</v>
      </c>
      <c r="X2140">
        <v>0.97115589999999996</v>
      </c>
      <c r="Y2140">
        <v>0.61669869999999904</v>
      </c>
      <c r="Z2140">
        <v>1.4158790000000001E-3</v>
      </c>
      <c r="AA2140">
        <v>0.78719810000000001</v>
      </c>
      <c r="AB2140">
        <v>13</v>
      </c>
      <c r="AC2140">
        <v>32.713299999999997</v>
      </c>
      <c r="AD2140">
        <v>2.760624</v>
      </c>
      <c r="AE2140">
        <v>-47.718699999999899</v>
      </c>
      <c r="AF2140">
        <v>35.649051222342599</v>
      </c>
      <c r="AG2140">
        <v>2.760624</v>
      </c>
      <c r="AH2140">
        <v>45.400322481412303</v>
      </c>
      <c r="AI2140">
        <v>87.2619350809601</v>
      </c>
      <c r="AJ2140">
        <v>51.860436401018298</v>
      </c>
      <c r="AK2140">
        <v>57.789836297906398</v>
      </c>
      <c r="AL2140">
        <v>86.7053451340756</v>
      </c>
      <c r="AM2140">
        <v>76.5969947802962</v>
      </c>
      <c r="AN2140">
        <v>0.99999997889591996</v>
      </c>
    </row>
    <row r="2141" spans="1:40" x14ac:dyDescent="0.25">
      <c r="A2141" t="str">
        <f>"20190312150705397"</f>
        <v>20190312150705397</v>
      </c>
      <c r="B2141" t="str">
        <f>"1552374425392120"</f>
        <v>1552374425392120</v>
      </c>
      <c r="C2141" t="s">
        <v>40</v>
      </c>
      <c r="D2141">
        <v>4.1615799999999998</v>
      </c>
      <c r="E2141">
        <v>0.66859179999999996</v>
      </c>
      <c r="F2141" t="s">
        <v>50</v>
      </c>
      <c r="G2141">
        <v>-168.98310000000001</v>
      </c>
      <c r="H2141">
        <v>3.8868200000000002</v>
      </c>
      <c r="I2141">
        <v>316.15159999999997</v>
      </c>
      <c r="J2141">
        <v>-201.6343</v>
      </c>
      <c r="K2141">
        <v>1.1091359999999999</v>
      </c>
      <c r="L2141">
        <v>364.05650000000003</v>
      </c>
      <c r="M2141">
        <v>0.95328250000000003</v>
      </c>
      <c r="N2141">
        <v>0</v>
      </c>
      <c r="O2141">
        <v>-0.30175829999999998</v>
      </c>
      <c r="P2141">
        <v>0.85660899999999995</v>
      </c>
      <c r="Q2141">
        <v>4.5517889999999998E-2</v>
      </c>
      <c r="R2141">
        <v>-0.51395449999999998</v>
      </c>
      <c r="S2141">
        <v>1.861694</v>
      </c>
      <c r="T2141">
        <v>0.1580762</v>
      </c>
      <c r="U2141">
        <v>-2.727509</v>
      </c>
      <c r="V2141">
        <v>0.23173179999999999</v>
      </c>
      <c r="W2141">
        <v>5.8050699999999997E-2</v>
      </c>
      <c r="X2141">
        <v>0.97104610000000002</v>
      </c>
      <c r="Y2141">
        <v>0.61695940000000005</v>
      </c>
      <c r="Z2141">
        <v>1.3092749999999999E-3</v>
      </c>
      <c r="AA2141">
        <v>0.78699390000000002</v>
      </c>
      <c r="AB2141">
        <v>13</v>
      </c>
      <c r="AC2141">
        <v>32.651199999999903</v>
      </c>
      <c r="AD2141">
        <v>2.7776839999999998</v>
      </c>
      <c r="AE2141">
        <v>-47.904899999999998</v>
      </c>
      <c r="AF2141">
        <v>35.735578680818399</v>
      </c>
      <c r="AG2141">
        <v>2.7776839999999998</v>
      </c>
      <c r="AH2141">
        <v>45.481541734462901</v>
      </c>
      <c r="AI2141">
        <v>87.2506198142773</v>
      </c>
      <c r="AJ2141">
        <v>51.842709851158297</v>
      </c>
      <c r="AK2141">
        <v>57.9078384210679</v>
      </c>
      <c r="AL2141">
        <v>86.672069046372897</v>
      </c>
      <c r="AM2141">
        <v>76.577891960413496</v>
      </c>
      <c r="AN2141">
        <v>1.00000001961347</v>
      </c>
    </row>
    <row r="2142" spans="1:40" x14ac:dyDescent="0.25">
      <c r="A2142" t="str">
        <f>"20190312150705410"</f>
        <v>20190312150705410</v>
      </c>
      <c r="B2142" t="str">
        <f>"1552374425401881"</f>
        <v>1552374425401881</v>
      </c>
      <c r="C2142" t="s">
        <v>40</v>
      </c>
      <c r="D2142">
        <v>4.2138609999999996</v>
      </c>
      <c r="E2142">
        <v>0.66930970000000001</v>
      </c>
      <c r="F2142" t="s">
        <v>42</v>
      </c>
      <c r="G2142">
        <v>-190.68780000000001</v>
      </c>
      <c r="H2142" s="1">
        <v>-3.9377630000000003E-6</v>
      </c>
      <c r="I2142">
        <v>348.34160000000003</v>
      </c>
      <c r="J2142">
        <v>-201.5686</v>
      </c>
      <c r="K2142">
        <v>1.109119</v>
      </c>
      <c r="L2142">
        <v>364.0326</v>
      </c>
      <c r="M2142">
        <v>0.95251019999999997</v>
      </c>
      <c r="N2142">
        <v>0</v>
      </c>
      <c r="O2142">
        <v>-0.30418830000000002</v>
      </c>
      <c r="P2142">
        <v>0.85514439999999903</v>
      </c>
      <c r="Q2142">
        <v>4.5983749999999997E-2</v>
      </c>
      <c r="R2142">
        <v>-0.51634659999999999</v>
      </c>
      <c r="S2142">
        <v>1.8869929999999999</v>
      </c>
      <c r="T2142">
        <v>-0.1911969</v>
      </c>
      <c r="U2142">
        <v>-2.7089840000000001</v>
      </c>
      <c r="V2142">
        <v>0.23198160000000001</v>
      </c>
      <c r="W2142">
        <v>5.8493419999999997E-2</v>
      </c>
      <c r="X2142">
        <v>0.97095989999999999</v>
      </c>
      <c r="Y2142">
        <v>0.60730200000000001</v>
      </c>
      <c r="Z2142">
        <v>-1.051588E-3</v>
      </c>
      <c r="AA2142">
        <v>0.79447040000000002</v>
      </c>
      <c r="AB2142">
        <v>13</v>
      </c>
      <c r="AC2142">
        <v>10.880799999999899</v>
      </c>
      <c r="AD2142">
        <v>-1.1091229377630001</v>
      </c>
      <c r="AE2142">
        <v>-15.690999999999899</v>
      </c>
      <c r="AF2142">
        <v>11.5980215834606</v>
      </c>
      <c r="AG2142">
        <v>-1.1091229377630001</v>
      </c>
      <c r="AH2142">
        <v>15.087653011633799</v>
      </c>
      <c r="AI2142">
        <v>93.335540624101498</v>
      </c>
      <c r="AJ2142">
        <v>52.450177905593002</v>
      </c>
      <c r="AK2142">
        <v>19.0625688652121</v>
      </c>
      <c r="AL2142">
        <v>86.646659934583198</v>
      </c>
      <c r="AM2142">
        <v>76.562798124447497</v>
      </c>
      <c r="AN2142">
        <v>1.0000000351649301</v>
      </c>
    </row>
    <row r="2143" spans="1:40" x14ac:dyDescent="0.25">
      <c r="A2143" t="str">
        <f>"20190312150705422"</f>
        <v>20190312150705422</v>
      </c>
      <c r="B2143" t="str">
        <f>"1552374425412617"</f>
        <v>1552374425412617</v>
      </c>
      <c r="C2143" t="s">
        <v>40</v>
      </c>
      <c r="D2143">
        <v>4.262867</v>
      </c>
      <c r="E2143">
        <v>0.66988349999999997</v>
      </c>
      <c r="F2143" t="s">
        <v>42</v>
      </c>
      <c r="G2143">
        <v>-191.05619999999999</v>
      </c>
      <c r="H2143" s="1">
        <v>-4.207295E-6</v>
      </c>
      <c r="I2143">
        <v>348.7996</v>
      </c>
      <c r="J2143">
        <v>-201.50020000000001</v>
      </c>
      <c r="K2143">
        <v>1.1090979999999999</v>
      </c>
      <c r="L2143">
        <v>364.00749999999999</v>
      </c>
      <c r="M2143">
        <v>0.95169040000000005</v>
      </c>
      <c r="N2143">
        <v>0</v>
      </c>
      <c r="O2143">
        <v>-0.30674370000000001</v>
      </c>
      <c r="P2143">
        <v>0.85360559999999996</v>
      </c>
      <c r="Q2143">
        <v>4.6216220000000002E-2</v>
      </c>
      <c r="R2143">
        <v>-0.51886579999999904</v>
      </c>
      <c r="S2143">
        <v>1.876755</v>
      </c>
      <c r="T2143">
        <v>-0.19800960000000001</v>
      </c>
      <c r="U2143">
        <v>-2.7195130000000001</v>
      </c>
      <c r="V2143">
        <v>0.2322457</v>
      </c>
      <c r="W2143">
        <v>5.870334E-2</v>
      </c>
      <c r="X2143">
        <v>0.97088399999999997</v>
      </c>
      <c r="Y2143">
        <v>0.60860400000000003</v>
      </c>
      <c r="Z2143">
        <v>-9.7052569999999999E-4</v>
      </c>
      <c r="AA2143">
        <v>0.79347349999999905</v>
      </c>
      <c r="AB2143">
        <v>13</v>
      </c>
      <c r="AC2143">
        <v>10.444000000000001</v>
      </c>
      <c r="AD2143">
        <v>-1.1091022072950001</v>
      </c>
      <c r="AE2143">
        <v>-15.207899999999899</v>
      </c>
      <c r="AF2143">
        <v>11.230085381357799</v>
      </c>
      <c r="AG2143">
        <v>-1.1091022072950001</v>
      </c>
      <c r="AH2143">
        <v>14.5531989191278</v>
      </c>
      <c r="AI2143">
        <v>93.452766815161397</v>
      </c>
      <c r="AJ2143">
        <v>52.344156490218197</v>
      </c>
      <c r="AK2143">
        <v>18.415768356452499</v>
      </c>
      <c r="AL2143">
        <v>86.634611395838505</v>
      </c>
      <c r="AM2143">
        <v>76.547042807773394</v>
      </c>
      <c r="AN2143">
        <v>0.99999994437582096</v>
      </c>
    </row>
    <row r="2144" spans="1:40" x14ac:dyDescent="0.25">
      <c r="A2144" t="str">
        <f>"20190312150705434"</f>
        <v>20190312150705434</v>
      </c>
      <c r="B2144" t="str">
        <f>"1552374425422377"</f>
        <v>1552374425422377</v>
      </c>
      <c r="C2144" t="s">
        <v>40</v>
      </c>
      <c r="D2144">
        <v>4.2209529999999997</v>
      </c>
      <c r="E2144">
        <v>0.66990150000000004</v>
      </c>
      <c r="F2144" t="s">
        <v>49</v>
      </c>
      <c r="G2144">
        <v>-191.66749999999999</v>
      </c>
      <c r="H2144" s="1">
        <v>-4.621255E-7</v>
      </c>
      <c r="I2144">
        <v>349.63389999999998</v>
      </c>
      <c r="J2144">
        <v>-201.441</v>
      </c>
      <c r="K2144">
        <v>1.109084</v>
      </c>
      <c r="L2144">
        <v>363.9855</v>
      </c>
      <c r="M2144">
        <v>0.95096400000000003</v>
      </c>
      <c r="N2144">
        <v>0</v>
      </c>
      <c r="O2144">
        <v>-0.30898900000000001</v>
      </c>
      <c r="P2144">
        <v>0.85211009999999998</v>
      </c>
      <c r="Q2144">
        <v>4.6093729999999999E-2</v>
      </c>
      <c r="R2144">
        <v>-0.52132920000000005</v>
      </c>
      <c r="S2144">
        <v>1.8669739999999999</v>
      </c>
      <c r="T2144">
        <v>-0.21058940000000001</v>
      </c>
      <c r="U2144">
        <v>-2.729187</v>
      </c>
      <c r="V2144">
        <v>0.2327581</v>
      </c>
      <c r="W2144">
        <v>5.8561490000000001E-2</v>
      </c>
      <c r="X2144">
        <v>0.97076989999999996</v>
      </c>
      <c r="Y2144">
        <v>0.60991619999999902</v>
      </c>
      <c r="Z2144">
        <v>-9.2859379999999997E-4</v>
      </c>
      <c r="AA2144">
        <v>0.79246539999999999</v>
      </c>
      <c r="AB2144">
        <v>13</v>
      </c>
      <c r="AC2144">
        <v>9.7734999999999808</v>
      </c>
      <c r="AD2144">
        <v>-1.1090844621255</v>
      </c>
      <c r="AE2144">
        <v>-14.351599999999999</v>
      </c>
      <c r="AF2144">
        <v>10.585788449174901</v>
      </c>
      <c r="AG2144">
        <v>-1.1090844621255</v>
      </c>
      <c r="AH2144">
        <v>13.674269467162899</v>
      </c>
      <c r="AI2144">
        <v>93.669652089770196</v>
      </c>
      <c r="AJ2144">
        <v>52.255140522972397</v>
      </c>
      <c r="AK2144">
        <v>17.328434173213601</v>
      </c>
      <c r="AL2144">
        <v>86.642752962084202</v>
      </c>
      <c r="AM2144">
        <v>76.516917386511807</v>
      </c>
      <c r="AN2144">
        <v>0.99999998998632</v>
      </c>
    </row>
    <row r="2145" spans="1:40" x14ac:dyDescent="0.25">
      <c r="A2145" t="str">
        <f>"20190312150705456"</f>
        <v>20190312150705456</v>
      </c>
      <c r="B2145" t="str">
        <f>"1552374425452632"</f>
        <v>1552374425452632</v>
      </c>
      <c r="C2145" t="s">
        <v>40</v>
      </c>
      <c r="D2145">
        <v>4.3598970000000001</v>
      </c>
      <c r="E2145">
        <v>0.66316090000000005</v>
      </c>
      <c r="F2145" t="s">
        <v>49</v>
      </c>
      <c r="G2145">
        <v>-191.72049999999999</v>
      </c>
      <c r="H2145" s="1">
        <v>-5.1092180000000004E-7</v>
      </c>
      <c r="I2145">
        <v>349.69240000000002</v>
      </c>
      <c r="J2145">
        <v>-201.31880000000001</v>
      </c>
      <c r="K2145">
        <v>1.109057</v>
      </c>
      <c r="L2145">
        <v>363.93959999999998</v>
      </c>
      <c r="M2145">
        <v>0.94942599999999999</v>
      </c>
      <c r="N2145">
        <v>0</v>
      </c>
      <c r="O2145">
        <v>-0.31368410000000002</v>
      </c>
      <c r="P2145">
        <v>0.84864059999999897</v>
      </c>
      <c r="Q2145">
        <v>4.5246849999999998E-2</v>
      </c>
      <c r="R2145">
        <v>-0.52703129999999998</v>
      </c>
      <c r="S2145">
        <v>1.859421</v>
      </c>
      <c r="T2145">
        <v>-0.2121556</v>
      </c>
      <c r="U2145">
        <v>-2.7341000000000002</v>
      </c>
      <c r="V2145">
        <v>0.23445730000000001</v>
      </c>
      <c r="W2145">
        <v>5.7672729999999998E-2</v>
      </c>
      <c r="X2145">
        <v>0.9704142</v>
      </c>
      <c r="Y2145">
        <v>0.6081626</v>
      </c>
      <c r="Z2145">
        <v>-5.259234E-4</v>
      </c>
      <c r="AA2145">
        <v>0.79381230000000003</v>
      </c>
      <c r="AB2145">
        <v>13</v>
      </c>
      <c r="AC2145">
        <v>9.5983000000000196</v>
      </c>
      <c r="AD2145">
        <v>-1.1090575109217999</v>
      </c>
      <c r="AE2145">
        <v>-14.2471999999999</v>
      </c>
      <c r="AF2145">
        <v>10.473188710812201</v>
      </c>
      <c r="AG2145">
        <v>-1.1090575109217999</v>
      </c>
      <c r="AH2145">
        <v>13.526923770931299</v>
      </c>
      <c r="AI2145">
        <v>93.709229776221505</v>
      </c>
      <c r="AJ2145">
        <v>52.251257146455004</v>
      </c>
      <c r="AK2145">
        <v>17.143376477211302</v>
      </c>
      <c r="AL2145">
        <v>86.693761557350598</v>
      </c>
      <c r="AM2145">
        <v>76.417326071251495</v>
      </c>
      <c r="AN2145">
        <v>1.0000000444352899</v>
      </c>
    </row>
    <row r="2146" spans="1:40" x14ac:dyDescent="0.25">
      <c r="A2146" t="str">
        <f>"20190312150705467"</f>
        <v>20190312150705467</v>
      </c>
      <c r="B2146" t="str">
        <f>"1552374425462392"</f>
        <v>1552374425462392</v>
      </c>
      <c r="C2146" t="s">
        <v>40</v>
      </c>
      <c r="D2146">
        <v>4.2837589999999999</v>
      </c>
      <c r="E2146">
        <v>0.66260750000000002</v>
      </c>
      <c r="F2146" t="s">
        <v>50</v>
      </c>
      <c r="G2146">
        <v>-168.97470000000001</v>
      </c>
      <c r="H2146">
        <v>3.4435560000000001</v>
      </c>
      <c r="I2146">
        <v>317.19709999999998</v>
      </c>
      <c r="J2146">
        <v>-201.2602</v>
      </c>
      <c r="K2146">
        <v>1.1090409999999999</v>
      </c>
      <c r="L2146">
        <v>363.91730000000001</v>
      </c>
      <c r="M2146">
        <v>0.9486696</v>
      </c>
      <c r="N2146">
        <v>0</v>
      </c>
      <c r="O2146">
        <v>-0.31596400000000002</v>
      </c>
      <c r="P2146">
        <v>0.8467865</v>
      </c>
      <c r="Q2146">
        <v>4.5247519999999999E-2</v>
      </c>
      <c r="R2146">
        <v>-0.53000499999999995</v>
      </c>
      <c r="S2146">
        <v>1.859253</v>
      </c>
      <c r="T2146">
        <v>0.1341956</v>
      </c>
      <c r="U2146">
        <v>-2.6869200000000002</v>
      </c>
      <c r="V2146">
        <v>0.23553199999999999</v>
      </c>
      <c r="W2146">
        <v>5.7652259999999997E-2</v>
      </c>
      <c r="X2146">
        <v>0.97015510000000005</v>
      </c>
      <c r="Y2146">
        <v>0.6001573</v>
      </c>
      <c r="Z2146" s="1">
        <v>1.48965E-5</v>
      </c>
      <c r="AA2146">
        <v>0.79988199999999998</v>
      </c>
      <c r="AB2146">
        <v>13</v>
      </c>
      <c r="AC2146">
        <v>32.2854999999999</v>
      </c>
      <c r="AD2146">
        <v>2.3345150000000001</v>
      </c>
      <c r="AE2146">
        <v>-46.720199999999998</v>
      </c>
      <c r="AF2146">
        <v>34.0666991206351</v>
      </c>
      <c r="AG2146">
        <v>2.3345150000000001</v>
      </c>
      <c r="AH2146">
        <v>45.317968349596697</v>
      </c>
      <c r="AI2146">
        <v>87.642055161965303</v>
      </c>
      <c r="AJ2146">
        <v>53.066860294381598</v>
      </c>
      <c r="AK2146">
        <v>56.742472669034797</v>
      </c>
      <c r="AL2146">
        <v>86.694936249563497</v>
      </c>
      <c r="AM2146">
        <v>76.353880504516894</v>
      </c>
      <c r="AN2146">
        <v>1.00000001208155</v>
      </c>
    </row>
    <row r="2147" spans="1:40" x14ac:dyDescent="0.25">
      <c r="A2147" t="str">
        <f>"20190312150705478"</f>
        <v>20190312150705478</v>
      </c>
      <c r="B2147" t="str">
        <f>"1552374425472152"</f>
        <v>1552374425472152</v>
      </c>
      <c r="C2147" t="s">
        <v>40</v>
      </c>
      <c r="D2147">
        <v>4.2952969999999997</v>
      </c>
      <c r="E2147">
        <v>0.664358</v>
      </c>
      <c r="F2147" t="s">
        <v>50</v>
      </c>
      <c r="G2147">
        <v>-168.9829</v>
      </c>
      <c r="H2147">
        <v>3.2161249999999999</v>
      </c>
      <c r="I2147">
        <v>317.04860000000002</v>
      </c>
      <c r="J2147">
        <v>-201.19730000000001</v>
      </c>
      <c r="K2147">
        <v>1.1090310000000001</v>
      </c>
      <c r="L2147">
        <v>363.89319999999998</v>
      </c>
      <c r="M2147">
        <v>0.94784190000000001</v>
      </c>
      <c r="N2147">
        <v>0</v>
      </c>
      <c r="O2147">
        <v>-0.31843890000000002</v>
      </c>
      <c r="P2147">
        <v>0.84466739999999996</v>
      </c>
      <c r="Q2147">
        <v>4.5304829999999997E-2</v>
      </c>
      <c r="R2147">
        <v>-0.53337089999999998</v>
      </c>
      <c r="S2147">
        <v>1.8526</v>
      </c>
      <c r="T2147">
        <v>0.12093950000000001</v>
      </c>
      <c r="U2147">
        <v>-2.6900940000000002</v>
      </c>
      <c r="V2147">
        <v>0.2368644</v>
      </c>
      <c r="W2147">
        <v>5.7687009999999997E-2</v>
      </c>
      <c r="X2147">
        <v>0.96982849999999998</v>
      </c>
      <c r="Y2147">
        <v>0.59989569999999903</v>
      </c>
      <c r="Z2147" s="1">
        <v>-9.4779769999999995E-5</v>
      </c>
      <c r="AA2147">
        <v>0.80007830000000002</v>
      </c>
      <c r="AB2147">
        <v>13</v>
      </c>
      <c r="AC2147">
        <v>32.214399999999998</v>
      </c>
      <c r="AD2147">
        <v>2.107094</v>
      </c>
      <c r="AE2147">
        <v>-46.8445999999999</v>
      </c>
      <c r="AF2147">
        <v>34.099401415350897</v>
      </c>
      <c r="AG2147">
        <v>2.107094</v>
      </c>
      <c r="AH2147">
        <v>45.393320126741102</v>
      </c>
      <c r="AI2147">
        <v>87.874528097234005</v>
      </c>
      <c r="AJ2147">
        <v>53.086173483984503</v>
      </c>
      <c r="AK2147">
        <v>56.813401008378897</v>
      </c>
      <c r="AL2147">
        <v>86.692941621282301</v>
      </c>
      <c r="AM2147">
        <v>76.275148655897894</v>
      </c>
      <c r="AN2147">
        <v>0.99999992726117204</v>
      </c>
    </row>
    <row r="2148" spans="1:40" x14ac:dyDescent="0.25">
      <c r="A2148" t="str">
        <f>"20190312150705490"</f>
        <v>20190312150705490</v>
      </c>
      <c r="B2148" t="str">
        <f>"1552374425481913"</f>
        <v>1552374425481913</v>
      </c>
      <c r="C2148" t="s">
        <v>40</v>
      </c>
      <c r="D2148">
        <v>4.2959670000000001</v>
      </c>
      <c r="E2148">
        <v>0.66569129999999999</v>
      </c>
      <c r="F2148" t="s">
        <v>50</v>
      </c>
      <c r="G2148">
        <v>-168.983</v>
      </c>
      <c r="H2148">
        <v>3.388703</v>
      </c>
      <c r="I2148">
        <v>316.31139999999999</v>
      </c>
      <c r="J2148">
        <v>-201.1352</v>
      </c>
      <c r="K2148">
        <v>1.10902099999999</v>
      </c>
      <c r="L2148">
        <v>363.8691</v>
      </c>
      <c r="M2148">
        <v>0.94701040000000003</v>
      </c>
      <c r="N2148">
        <v>0</v>
      </c>
      <c r="O2148">
        <v>-0.32090340000000001</v>
      </c>
      <c r="P2148">
        <v>0.84248579999999995</v>
      </c>
      <c r="Q2148">
        <v>4.5242980000000002E-2</v>
      </c>
      <c r="R2148">
        <v>-0.53681540000000005</v>
      </c>
      <c r="S2148">
        <v>1.8340909999999999</v>
      </c>
      <c r="T2148">
        <v>0.12979109999999999</v>
      </c>
      <c r="U2148">
        <v>-2.709015</v>
      </c>
      <c r="V2148">
        <v>0.23830209999999999</v>
      </c>
      <c r="W2148">
        <v>5.7603229999999998E-2</v>
      </c>
      <c r="X2148">
        <v>0.96948129999999999</v>
      </c>
      <c r="Y2148">
        <v>0.60412999999999994</v>
      </c>
      <c r="Z2148" s="1">
        <v>-9.9537890000000001E-5</v>
      </c>
      <c r="AA2148">
        <v>0.79688579999999998</v>
      </c>
      <c r="AB2148">
        <v>13</v>
      </c>
      <c r="AC2148">
        <v>32.152199999999901</v>
      </c>
      <c r="AD2148">
        <v>2.27968199999999</v>
      </c>
      <c r="AE2148">
        <v>-47.557699999999997</v>
      </c>
      <c r="AF2148">
        <v>34.668553411498003</v>
      </c>
      <c r="AG2148">
        <v>2.27968199999999</v>
      </c>
      <c r="AH2148">
        <v>45.6423140668103</v>
      </c>
      <c r="AI2148">
        <v>87.722324740019701</v>
      </c>
      <c r="AJ2148">
        <v>52.7807694808631</v>
      </c>
      <c r="AK2148">
        <v>57.361366607154402</v>
      </c>
      <c r="AL2148">
        <v>86.697750121120706</v>
      </c>
      <c r="AM2148">
        <v>76.190265800197395</v>
      </c>
      <c r="AN2148">
        <v>1.0000000070102599</v>
      </c>
    </row>
    <row r="2149" spans="1:40" x14ac:dyDescent="0.25">
      <c r="A2149" t="str">
        <f>"20190312150705501"</f>
        <v>20190312150705501</v>
      </c>
      <c r="B2149" t="str">
        <f>"1552374425492648"</f>
        <v>1552374425492648</v>
      </c>
      <c r="C2149" t="s">
        <v>40</v>
      </c>
      <c r="D2149">
        <v>4.2241239999999998</v>
      </c>
      <c r="E2149">
        <v>0.66569129999999999</v>
      </c>
      <c r="F2149" t="s">
        <v>50</v>
      </c>
      <c r="G2149">
        <v>-168.983</v>
      </c>
      <c r="H2149">
        <v>3.4341499999999998</v>
      </c>
      <c r="I2149">
        <v>315.64569999999998</v>
      </c>
      <c r="J2149">
        <v>-201.0763</v>
      </c>
      <c r="K2149">
        <v>1.1090169999999999</v>
      </c>
      <c r="L2149">
        <v>363.84609999999998</v>
      </c>
      <c r="M2149">
        <v>0.94620910000000003</v>
      </c>
      <c r="N2149">
        <v>0</v>
      </c>
      <c r="O2149">
        <v>-0.32325859999999901</v>
      </c>
      <c r="P2149">
        <v>0.84026599999999996</v>
      </c>
      <c r="Q2149">
        <v>4.5464449999999997E-2</v>
      </c>
      <c r="R2149">
        <v>-0.54026479999999999</v>
      </c>
      <c r="S2149">
        <v>1.8171839999999999</v>
      </c>
      <c r="T2149">
        <v>0.1314121</v>
      </c>
      <c r="U2149">
        <v>-2.7254939999999999</v>
      </c>
      <c r="V2149">
        <v>0.23987120000000001</v>
      </c>
      <c r="W2149">
        <v>5.7802689999999997E-2</v>
      </c>
      <c r="X2149">
        <v>0.96908240000000001</v>
      </c>
      <c r="Y2149">
        <v>0.60778789999999905</v>
      </c>
      <c r="Z2149">
        <v>-1.087263E-4</v>
      </c>
      <c r="AA2149">
        <v>0.79409949999999996</v>
      </c>
      <c r="AB2149">
        <v>13</v>
      </c>
      <c r="AC2149">
        <v>32.093299999999999</v>
      </c>
      <c r="AD2149">
        <v>2.3251330000000001</v>
      </c>
      <c r="AE2149">
        <v>-48.200400000000002</v>
      </c>
      <c r="AF2149">
        <v>35.179890289753999</v>
      </c>
      <c r="AG2149">
        <v>2.3251330000000001</v>
      </c>
      <c r="AH2149">
        <v>45.8786158208489</v>
      </c>
      <c r="AI2149">
        <v>87.696954306467305</v>
      </c>
      <c r="AJ2149">
        <v>52.518877477290999</v>
      </c>
      <c r="AK2149">
        <v>57.860853034706103</v>
      </c>
      <c r="AL2149">
        <v>86.686302877145295</v>
      </c>
      <c r="AM2149">
        <v>76.097350835080903</v>
      </c>
      <c r="AN2149">
        <v>1.00000002077521</v>
      </c>
    </row>
    <row r="2150" spans="1:40" x14ac:dyDescent="0.25">
      <c r="A2150" t="str">
        <f>"20190312150705511"</f>
        <v>20190312150705511</v>
      </c>
      <c r="B2150" t="str">
        <f>"1552374425502408"</f>
        <v>1552374425502408</v>
      </c>
      <c r="C2150" t="s">
        <v>40</v>
      </c>
      <c r="D2150">
        <v>4.1997119999999999</v>
      </c>
      <c r="E2150">
        <v>0.66853899999999999</v>
      </c>
      <c r="F2150" t="s">
        <v>50</v>
      </c>
      <c r="G2150">
        <v>-168.983</v>
      </c>
      <c r="H2150">
        <v>3.4503309999999998</v>
      </c>
      <c r="I2150">
        <v>315.291</v>
      </c>
      <c r="J2150">
        <v>-201.02449999999999</v>
      </c>
      <c r="K2150">
        <v>1.1090089999999999</v>
      </c>
      <c r="L2150">
        <v>363.82569999999998</v>
      </c>
      <c r="M2150">
        <v>0.945492</v>
      </c>
      <c r="N2150">
        <v>0</v>
      </c>
      <c r="O2150">
        <v>-0.32535069999999999</v>
      </c>
      <c r="P2150">
        <v>0.83819069999999996</v>
      </c>
      <c r="Q2150">
        <v>4.577179E-2</v>
      </c>
      <c r="R2150">
        <v>-0.54345359999999998</v>
      </c>
      <c r="S2150">
        <v>1.8061830000000001</v>
      </c>
      <c r="T2150">
        <v>0.131767299999999</v>
      </c>
      <c r="U2150">
        <v>-2.7326350000000001</v>
      </c>
      <c r="V2150">
        <v>0.2414182</v>
      </c>
      <c r="W2150">
        <v>5.8089740000000001E-2</v>
      </c>
      <c r="X2150">
        <v>0.96868100000000001</v>
      </c>
      <c r="Y2150">
        <v>0.60920909999999995</v>
      </c>
      <c r="Z2150">
        <v>-1.649624E-4</v>
      </c>
      <c r="AA2150">
        <v>0.79300959999999998</v>
      </c>
      <c r="AB2150">
        <v>13</v>
      </c>
      <c r="AC2150">
        <v>32.0414999999999</v>
      </c>
      <c r="AD2150">
        <v>2.3413219999999999</v>
      </c>
      <c r="AE2150">
        <v>-48.534700000000001</v>
      </c>
      <c r="AF2150">
        <v>35.410456497479601</v>
      </c>
      <c r="AG2150">
        <v>2.3413219999999999</v>
      </c>
      <c r="AH2150">
        <v>46.0156214317334</v>
      </c>
      <c r="AI2150">
        <v>87.690875129785795</v>
      </c>
      <c r="AJ2150">
        <v>52.420595072599298</v>
      </c>
      <c r="AK2150">
        <v>58.110408997151197</v>
      </c>
      <c r="AL2150">
        <v>86.669828447693007</v>
      </c>
      <c r="AM2150">
        <v>76.005629996319996</v>
      </c>
      <c r="AN2150">
        <v>1.0000000224727501</v>
      </c>
    </row>
    <row r="2151" spans="1:40" x14ac:dyDescent="0.25">
      <c r="A2151" t="str">
        <f>"20190312150705522"</f>
        <v>20190312150705522</v>
      </c>
      <c r="B2151" t="str">
        <f>"1552374425512169"</f>
        <v>1552374425512169</v>
      </c>
      <c r="C2151" t="s">
        <v>40</v>
      </c>
      <c r="D2151">
        <v>4.2088950000000001</v>
      </c>
      <c r="E2151">
        <v>0.66816350000000002</v>
      </c>
      <c r="F2151" t="s">
        <v>42</v>
      </c>
      <c r="G2151">
        <v>-191.59209999999999</v>
      </c>
      <c r="H2151" s="1">
        <v>-4.4541649999999997E-6</v>
      </c>
      <c r="I2151">
        <v>349.2457</v>
      </c>
      <c r="J2151">
        <v>-200.965</v>
      </c>
      <c r="K2151">
        <v>1.109002</v>
      </c>
      <c r="L2151">
        <v>363.8021</v>
      </c>
      <c r="M2151">
        <v>0.9446582</v>
      </c>
      <c r="N2151">
        <v>0</v>
      </c>
      <c r="O2151">
        <v>-0.32776420000000001</v>
      </c>
      <c r="P2151">
        <v>0.83574599999999899</v>
      </c>
      <c r="Q2151">
        <v>4.6055180000000001E-2</v>
      </c>
      <c r="R2151">
        <v>-0.54718149999999999</v>
      </c>
      <c r="S2151">
        <v>1.79335</v>
      </c>
      <c r="T2151">
        <v>-0.2108524</v>
      </c>
      <c r="U2151">
        <v>-2.7720340000000001</v>
      </c>
      <c r="V2151">
        <v>0.24326739999999999</v>
      </c>
      <c r="W2151">
        <v>5.8349650000000003E-2</v>
      </c>
      <c r="X2151">
        <v>0.96820260000000002</v>
      </c>
      <c r="Y2151">
        <v>0.61462459999999997</v>
      </c>
      <c r="Z2151">
        <v>2.0337480000000001E-4</v>
      </c>
      <c r="AA2151">
        <v>0.78881969999999901</v>
      </c>
      <c r="AB2151">
        <v>13</v>
      </c>
      <c r="AC2151">
        <v>9.3729000000000102</v>
      </c>
      <c r="AD2151">
        <v>-1.109006454165</v>
      </c>
      <c r="AE2151">
        <v>-14.556399999999901</v>
      </c>
      <c r="AF2151">
        <v>10.6361021381794</v>
      </c>
      <c r="AG2151">
        <v>-1.109006454165</v>
      </c>
      <c r="AH2151">
        <v>13.5708744443623</v>
      </c>
      <c r="AI2151">
        <v>93.680144481191704</v>
      </c>
      <c r="AJ2151">
        <v>51.912611131944402</v>
      </c>
      <c r="AK2151">
        <v>17.2778817334131</v>
      </c>
      <c r="AL2151">
        <v>86.654911297854099</v>
      </c>
      <c r="AM2151">
        <v>75.896007951391198</v>
      </c>
      <c r="AN2151">
        <v>0.99999999210232104</v>
      </c>
    </row>
    <row r="2152" spans="1:40" x14ac:dyDescent="0.25">
      <c r="A2152" t="str">
        <f>"20190312150705532"</f>
        <v>20190312150705532</v>
      </c>
      <c r="B2152" t="str">
        <f>"1552374425522435"</f>
        <v>1552374425522435</v>
      </c>
      <c r="C2152" t="s">
        <v>40</v>
      </c>
      <c r="D2152">
        <v>4.1969519999999996</v>
      </c>
      <c r="E2152">
        <v>0.66776669999999905</v>
      </c>
      <c r="F2152" t="s">
        <v>42</v>
      </c>
      <c r="G2152">
        <v>-191.11670000000001</v>
      </c>
      <c r="H2152" s="1">
        <v>-4.1012359999999999E-6</v>
      </c>
      <c r="I2152">
        <v>348.45659999999998</v>
      </c>
      <c r="J2152">
        <v>-200.9145</v>
      </c>
      <c r="K2152">
        <v>1.1089899999999999</v>
      </c>
      <c r="L2152">
        <v>363.78179999999998</v>
      </c>
      <c r="M2152">
        <v>0.94393450000000001</v>
      </c>
      <c r="N2152">
        <v>0</v>
      </c>
      <c r="O2152">
        <v>-0.32984219999999997</v>
      </c>
      <c r="P2152">
        <v>0.83353719999999998</v>
      </c>
      <c r="Q2152">
        <v>4.6554209999999999E-2</v>
      </c>
      <c r="R2152">
        <v>-0.55049869999999901</v>
      </c>
      <c r="S2152">
        <v>1.7823639999999901</v>
      </c>
      <c r="T2152">
        <v>-0.20070959999999999</v>
      </c>
      <c r="U2152">
        <v>-2.7772519999999998</v>
      </c>
      <c r="V2152">
        <v>0.24499760000000001</v>
      </c>
      <c r="W2152">
        <v>5.8827579999999997E-2</v>
      </c>
      <c r="X2152">
        <v>0.96773730000000002</v>
      </c>
      <c r="Y2152">
        <v>0.6158226</v>
      </c>
      <c r="Z2152">
        <v>2.8635189999999999E-4</v>
      </c>
      <c r="AA2152">
        <v>0.78788480000000005</v>
      </c>
      <c r="AB2152">
        <v>13</v>
      </c>
      <c r="AC2152">
        <v>9.7977999999999899</v>
      </c>
      <c r="AD2152">
        <v>-1.1089941012359901</v>
      </c>
      <c r="AE2152">
        <v>-15.325199999999899</v>
      </c>
      <c r="AF2152">
        <v>11.1937251945096</v>
      </c>
      <c r="AG2152">
        <v>-1.1089941012359901</v>
      </c>
      <c r="AH2152">
        <v>14.251774193165099</v>
      </c>
      <c r="AI2152">
        <v>93.501875847896798</v>
      </c>
      <c r="AJ2152">
        <v>51.852959749336499</v>
      </c>
      <c r="AK2152">
        <v>18.156057372120799</v>
      </c>
      <c r="AL2152">
        <v>86.627480815451307</v>
      </c>
      <c r="AM2152">
        <v>75.793188525216493</v>
      </c>
      <c r="AN2152">
        <v>0.99999999499285297</v>
      </c>
    </row>
    <row r="2153" spans="1:40" x14ac:dyDescent="0.25">
      <c r="A2153" t="str">
        <f>"20190312150705541"</f>
        <v>20190312150705541</v>
      </c>
      <c r="B2153" t="str">
        <f>"1552374425532196"</f>
        <v>1552374425532196</v>
      </c>
      <c r="C2153" t="s">
        <v>40</v>
      </c>
      <c r="D2153">
        <v>4.2313830000000001</v>
      </c>
      <c r="E2153">
        <v>0.66728909999999997</v>
      </c>
      <c r="F2153" t="s">
        <v>42</v>
      </c>
      <c r="G2153">
        <v>-191.2491</v>
      </c>
      <c r="H2153" s="1">
        <v>-4.181289E-6</v>
      </c>
      <c r="I2153">
        <v>348.62259999999998</v>
      </c>
      <c r="J2153">
        <v>-200.8613</v>
      </c>
      <c r="K2153">
        <v>1.108986</v>
      </c>
      <c r="L2153">
        <v>363.7604</v>
      </c>
      <c r="M2153">
        <v>0.94316630000000001</v>
      </c>
      <c r="N2153">
        <v>0</v>
      </c>
      <c r="O2153">
        <v>-0.33203270000000001</v>
      </c>
      <c r="P2153">
        <v>0.83126739999999999</v>
      </c>
      <c r="Q2153">
        <v>4.6880089999999999E-2</v>
      </c>
      <c r="R2153">
        <v>-0.55389250000000001</v>
      </c>
      <c r="S2153">
        <v>1.773468</v>
      </c>
      <c r="T2153">
        <v>-0.20348649999999999</v>
      </c>
      <c r="U2153">
        <v>-2.7815249999999998</v>
      </c>
      <c r="V2153">
        <v>0.2467058</v>
      </c>
      <c r="W2153">
        <v>5.9132230000000001E-2</v>
      </c>
      <c r="X2153">
        <v>0.9672847</v>
      </c>
      <c r="Y2153">
        <v>0.61632119999999901</v>
      </c>
      <c r="Z2153">
        <v>4.2116639999999997E-4</v>
      </c>
      <c r="AA2153">
        <v>0.78749469999999899</v>
      </c>
      <c r="AB2153">
        <v>13</v>
      </c>
      <c r="AC2153">
        <v>9.6121999999999996</v>
      </c>
      <c r="AD2153">
        <v>-1.108990181289</v>
      </c>
      <c r="AE2153">
        <v>-15.1378</v>
      </c>
      <c r="AF2153">
        <v>11.0447163748532</v>
      </c>
      <c r="AG2153">
        <v>-1.108990181289</v>
      </c>
      <c r="AH2153">
        <v>14.039798423110099</v>
      </c>
      <c r="AI2153">
        <v>93.552456445963898</v>
      </c>
      <c r="AJ2153">
        <v>51.808861241548101</v>
      </c>
      <c r="AK2153">
        <v>17.897808770481099</v>
      </c>
      <c r="AL2153">
        <v>86.609995340912803</v>
      </c>
      <c r="AM2153">
        <v>75.691767356660193</v>
      </c>
      <c r="AN2153">
        <v>1.0000000316162501</v>
      </c>
    </row>
    <row r="2154" spans="1:40" x14ac:dyDescent="0.25">
      <c r="A2154" t="str">
        <f>"20190312150705552"</f>
        <v>20190312150705552</v>
      </c>
      <c r="B2154" t="str">
        <f>"1552374425541955"</f>
        <v>1552374425541955</v>
      </c>
      <c r="C2154" t="s">
        <v>40</v>
      </c>
      <c r="D2154">
        <v>4.2526659999999996</v>
      </c>
      <c r="E2154">
        <v>0.66728909999999997</v>
      </c>
      <c r="F2154" t="s">
        <v>42</v>
      </c>
      <c r="G2154">
        <v>-191.24090000000001</v>
      </c>
      <c r="H2154" s="1">
        <v>-4.1605420000000001E-6</v>
      </c>
      <c r="I2154">
        <v>348.5659</v>
      </c>
      <c r="J2154">
        <v>-200.8064</v>
      </c>
      <c r="K2154">
        <v>1.1089800000000001</v>
      </c>
      <c r="L2154">
        <v>363.73809999999997</v>
      </c>
      <c r="M2154">
        <v>0.94235769999999996</v>
      </c>
      <c r="N2154">
        <v>0</v>
      </c>
      <c r="O2154">
        <v>-0.33432060000000002</v>
      </c>
      <c r="P2154">
        <v>0.82873980000000003</v>
      </c>
      <c r="Q2154">
        <v>4.7555359999999998E-2</v>
      </c>
      <c r="R2154">
        <v>-0.55761000000000005</v>
      </c>
      <c r="S2154">
        <v>1.76399199999999</v>
      </c>
      <c r="T2154">
        <v>-0.2033451</v>
      </c>
      <c r="U2154">
        <v>-2.7860719999999999</v>
      </c>
      <c r="V2154">
        <v>0.24870880000000001</v>
      </c>
      <c r="W2154">
        <v>5.9783379999999997E-2</v>
      </c>
      <c r="X2154">
        <v>0.96673149999999997</v>
      </c>
      <c r="Y2154">
        <v>0.61690500000000004</v>
      </c>
      <c r="Z2154">
        <v>5.5509250000000004E-4</v>
      </c>
      <c r="AA2154">
        <v>0.78703749999999995</v>
      </c>
      <c r="AB2154">
        <v>13</v>
      </c>
      <c r="AC2154">
        <v>9.5654999999999806</v>
      </c>
      <c r="AD2154">
        <v>-1.1089841605420001</v>
      </c>
      <c r="AE2154">
        <v>-15.172199999999901</v>
      </c>
      <c r="AF2154">
        <v>11.058483008745601</v>
      </c>
      <c r="AG2154">
        <v>-1.1089841605420001</v>
      </c>
      <c r="AH2154">
        <v>14.0341988918303</v>
      </c>
      <c r="AI2154">
        <v>93.551620864125297</v>
      </c>
      <c r="AJ2154">
        <v>51.763063062268003</v>
      </c>
      <c r="AK2154">
        <v>17.9019169604403</v>
      </c>
      <c r="AL2154">
        <v>86.572620814700997</v>
      </c>
      <c r="AM2154">
        <v>75.572517160723294</v>
      </c>
      <c r="AN2154">
        <v>0.99999995640695605</v>
      </c>
    </row>
    <row r="2155" spans="1:40" x14ac:dyDescent="0.25">
      <c r="A2155" t="str">
        <f>"20190312150705564"</f>
        <v>20190312150705564</v>
      </c>
      <c r="B2155" t="str">
        <f>"1552374425552691"</f>
        <v>1552374425552691</v>
      </c>
      <c r="C2155" t="s">
        <v>40</v>
      </c>
      <c r="D2155">
        <v>4.2207970000000001</v>
      </c>
      <c r="E2155">
        <v>0.666803699999999</v>
      </c>
      <c r="F2155" t="s">
        <v>42</v>
      </c>
      <c r="G2155">
        <v>-191.17529999999999</v>
      </c>
      <c r="H2155" s="1">
        <v>-4.0825780000000003E-6</v>
      </c>
      <c r="I2155">
        <v>348.3768</v>
      </c>
      <c r="J2155">
        <v>-200.74770000000001</v>
      </c>
      <c r="K2155">
        <v>1.1089739999999999</v>
      </c>
      <c r="L2155">
        <v>363.71409999999997</v>
      </c>
      <c r="M2155">
        <v>0.94148379999999998</v>
      </c>
      <c r="N2155">
        <v>0</v>
      </c>
      <c r="O2155">
        <v>-0.33677449999999998</v>
      </c>
      <c r="P2155">
        <v>0.82617240000000003</v>
      </c>
      <c r="Q2155">
        <v>4.7675019999999999E-2</v>
      </c>
      <c r="R2155">
        <v>-0.56139719999999904</v>
      </c>
      <c r="S2155">
        <v>1.7516940000000001</v>
      </c>
      <c r="T2155">
        <v>-0.20169989999999999</v>
      </c>
      <c r="U2155">
        <v>-2.7938839999999998</v>
      </c>
      <c r="V2155">
        <v>0.2506196</v>
      </c>
      <c r="W2155">
        <v>5.987953E-2</v>
      </c>
      <c r="X2155">
        <v>0.96623199999999998</v>
      </c>
      <c r="Y2155">
        <v>0.61834040000000001</v>
      </c>
      <c r="Z2155">
        <v>6.6022949999999998E-4</v>
      </c>
      <c r="AA2155">
        <v>0.7859102</v>
      </c>
      <c r="AB2155">
        <v>12</v>
      </c>
      <c r="AC2155">
        <v>9.5724000000000107</v>
      </c>
      <c r="AD2155">
        <v>-1.108978082578</v>
      </c>
      <c r="AE2155">
        <v>-15.3372999999999</v>
      </c>
      <c r="AF2155">
        <v>11.175105011933599</v>
      </c>
      <c r="AG2155">
        <v>-1.108978082578</v>
      </c>
      <c r="AH2155">
        <v>14.125678346754301</v>
      </c>
      <c r="AI2155">
        <v>93.523265700800195</v>
      </c>
      <c r="AJ2155">
        <v>51.651778150990999</v>
      </c>
      <c r="AK2155">
        <v>18.045708441935702</v>
      </c>
      <c r="AL2155">
        <v>86.567102122082801</v>
      </c>
      <c r="AM2155">
        <v>75.459154896755805</v>
      </c>
      <c r="AN2155">
        <v>1.0000000099205899</v>
      </c>
    </row>
    <row r="2156" spans="1:40" x14ac:dyDescent="0.25">
      <c r="A2156" t="str">
        <f>"20190312150705577"</f>
        <v>20190312150705577</v>
      </c>
      <c r="B2156" t="str">
        <f>"1552374425572212"</f>
        <v>1552374425572212</v>
      </c>
      <c r="C2156" t="s">
        <v>40</v>
      </c>
      <c r="D2156">
        <v>4.459695</v>
      </c>
      <c r="E2156">
        <v>0.66782889999999995</v>
      </c>
      <c r="F2156" t="s">
        <v>42</v>
      </c>
      <c r="G2156">
        <v>-190.97550000000001</v>
      </c>
      <c r="H2156" s="1">
        <v>-3.8714750000000001E-6</v>
      </c>
      <c r="I2156">
        <v>348.0086</v>
      </c>
      <c r="J2156">
        <v>-200.68610000000001</v>
      </c>
      <c r="K2156">
        <v>1.1089659999999999</v>
      </c>
      <c r="L2156">
        <v>363.68860000000001</v>
      </c>
      <c r="M2156">
        <v>0.94054680000000002</v>
      </c>
      <c r="N2156">
        <v>0</v>
      </c>
      <c r="O2156">
        <v>-0.33938259999999998</v>
      </c>
      <c r="P2156">
        <v>0.82342870000000001</v>
      </c>
      <c r="Q2156">
        <v>4.8060289999999999E-2</v>
      </c>
      <c r="R2156">
        <v>-0.56538120000000003</v>
      </c>
      <c r="S2156">
        <v>1.7411350000000001</v>
      </c>
      <c r="T2156">
        <v>-0.19759080000000001</v>
      </c>
      <c r="U2156">
        <v>-2.7983090000000002</v>
      </c>
      <c r="V2156">
        <v>0.25262040000000002</v>
      </c>
      <c r="W2156">
        <v>6.0239840000000003E-2</v>
      </c>
      <c r="X2156">
        <v>0.9656884</v>
      </c>
      <c r="Y2156">
        <v>0.6188785</v>
      </c>
      <c r="Z2156">
        <v>8.0124099999999995E-4</v>
      </c>
      <c r="AA2156">
        <v>0.78548629999999997</v>
      </c>
      <c r="AB2156">
        <v>12</v>
      </c>
      <c r="AC2156">
        <v>9.7105999999999995</v>
      </c>
      <c r="AD2156">
        <v>-1.10896987147499</v>
      </c>
      <c r="AE2156">
        <v>-15.68</v>
      </c>
      <c r="AF2156">
        <v>11.4120007860922</v>
      </c>
      <c r="AG2156">
        <v>-1.10896987147499</v>
      </c>
      <c r="AH2156">
        <v>14.404097921594399</v>
      </c>
      <c r="AI2156">
        <v>93.453368441724606</v>
      </c>
      <c r="AJ2156">
        <v>51.611109065085401</v>
      </c>
      <c r="AK2156">
        <v>18.410366999397102</v>
      </c>
      <c r="AL2156">
        <v>86.546420494864606</v>
      </c>
      <c r="AM2156">
        <v>75.340153435686204</v>
      </c>
      <c r="AN2156">
        <v>0.99999999535697204</v>
      </c>
    </row>
    <row r="2157" spans="1:40" x14ac:dyDescent="0.25">
      <c r="A2157" t="str">
        <f>"20190312150705588"</f>
        <v>20190312150705588</v>
      </c>
      <c r="B2157" t="str">
        <f>"1552374425581972"</f>
        <v>1552374425581972</v>
      </c>
      <c r="C2157" t="s">
        <v>40</v>
      </c>
      <c r="D2157">
        <v>4.3791779999999996</v>
      </c>
      <c r="E2157">
        <v>0.69925139999999997</v>
      </c>
      <c r="F2157" t="s">
        <v>42</v>
      </c>
      <c r="G2157">
        <v>-190.81059999999999</v>
      </c>
      <c r="H2157" s="1">
        <v>-3.6364579999999999E-6</v>
      </c>
      <c r="I2157">
        <v>347.56299999999999</v>
      </c>
      <c r="J2157">
        <v>-200.61930000000001</v>
      </c>
      <c r="K2157">
        <v>1.1089610000000001</v>
      </c>
      <c r="L2157">
        <v>363.66079999999999</v>
      </c>
      <c r="M2157">
        <v>0.93951430000000002</v>
      </c>
      <c r="N2157">
        <v>0</v>
      </c>
      <c r="O2157">
        <v>-0.34223049999999999</v>
      </c>
      <c r="P2157">
        <v>0.82055909999999999</v>
      </c>
      <c r="Q2157">
        <v>4.7719169999999998E-2</v>
      </c>
      <c r="R2157">
        <v>-0.56956680000000004</v>
      </c>
      <c r="S2157">
        <v>1.7229159999999999</v>
      </c>
      <c r="T2157">
        <v>-0.19347490000000001</v>
      </c>
      <c r="U2157">
        <v>-2.8133240000000002</v>
      </c>
      <c r="V2157">
        <v>0.254606</v>
      </c>
      <c r="W2157">
        <v>5.9873820000000001E-2</v>
      </c>
      <c r="X2157">
        <v>0.96518959999999998</v>
      </c>
      <c r="Y2157">
        <v>0.62208399999999997</v>
      </c>
      <c r="Z2157">
        <v>8.4554960000000001E-4</v>
      </c>
      <c r="AA2157">
        <v>0.78295000000000003</v>
      </c>
      <c r="AB2157">
        <v>12</v>
      </c>
      <c r="AC2157">
        <v>9.8087000000000106</v>
      </c>
      <c r="AD2157">
        <v>-1.1089646364579999</v>
      </c>
      <c r="AE2157">
        <v>-16.0977999999999</v>
      </c>
      <c r="AF2157">
        <v>11.727814013505199</v>
      </c>
      <c r="AG2157">
        <v>-1.1089646364579999</v>
      </c>
      <c r="AH2157">
        <v>14.675191432693101</v>
      </c>
      <c r="AI2157">
        <v>93.378384053542504</v>
      </c>
      <c r="AJ2157">
        <v>51.369578916114797</v>
      </c>
      <c r="AK2157">
        <v>18.818412995958798</v>
      </c>
      <c r="AL2157">
        <v>86.567429926876798</v>
      </c>
      <c r="AM2157">
        <v>75.222646865225499</v>
      </c>
      <c r="AN2157">
        <v>1.00000002675277</v>
      </c>
    </row>
    <row r="2158" spans="1:40" x14ac:dyDescent="0.25">
      <c r="A2158" t="str">
        <f>"20190312150705600"</f>
        <v>20190312150705600</v>
      </c>
      <c r="B2158" t="str">
        <f>"1552374425592708"</f>
        <v>1552374425592708</v>
      </c>
      <c r="C2158" t="s">
        <v>40</v>
      </c>
      <c r="D2158">
        <v>4.3842140000000001</v>
      </c>
      <c r="E2158">
        <v>0.7004302</v>
      </c>
      <c r="F2158" t="s">
        <v>55</v>
      </c>
      <c r="G2158">
        <v>-168.3725</v>
      </c>
      <c r="H2158">
        <v>6.8831939999999996</v>
      </c>
      <c r="I2158">
        <v>301.12400000000002</v>
      </c>
      <c r="J2158">
        <v>-200.55510000000001</v>
      </c>
      <c r="K2158">
        <v>1.1089500000000001</v>
      </c>
      <c r="L2158">
        <v>363.63369999999998</v>
      </c>
      <c r="M2158">
        <v>0.93850420000000001</v>
      </c>
      <c r="N2158">
        <v>0</v>
      </c>
      <c r="O2158">
        <v>-0.34499059999999998</v>
      </c>
      <c r="P2158">
        <v>0.81794239999999996</v>
      </c>
      <c r="Q2158">
        <v>4.7144400000000003E-2</v>
      </c>
      <c r="R2158">
        <v>-0.57336519999999902</v>
      </c>
      <c r="S2158">
        <v>1.551453</v>
      </c>
      <c r="T2158">
        <v>0.27781250000000002</v>
      </c>
      <c r="U2158">
        <v>-3.008759</v>
      </c>
      <c r="V2158">
        <v>0.25623249999999997</v>
      </c>
      <c r="W2158">
        <v>5.9277400000000001E-2</v>
      </c>
      <c r="X2158">
        <v>0.96479590000000004</v>
      </c>
      <c r="Y2158">
        <v>0.67507680000000003</v>
      </c>
      <c r="Z2158">
        <v>1.6062520000000001E-3</v>
      </c>
      <c r="AA2158">
        <v>0.73774580000000001</v>
      </c>
      <c r="AB2158">
        <v>12</v>
      </c>
      <c r="AC2158">
        <v>32.182600000000001</v>
      </c>
      <c r="AD2158">
        <v>5.7742440000000004</v>
      </c>
      <c r="AE2158">
        <v>-62.509699999999903</v>
      </c>
      <c r="AF2158">
        <v>47.248778558649803</v>
      </c>
      <c r="AG2158">
        <v>5.7742440000000004</v>
      </c>
      <c r="AH2158">
        <v>51.426842533742501</v>
      </c>
      <c r="AI2158">
        <v>85.273417943701602</v>
      </c>
      <c r="AJ2158">
        <v>47.424535331780397</v>
      </c>
      <c r="AK2158">
        <v>70.075024809458398</v>
      </c>
      <c r="AL2158">
        <v>86.601663045243001</v>
      </c>
      <c r="AM2158">
        <v>75.126615189968604</v>
      </c>
      <c r="AN2158">
        <v>1.0000000164319001</v>
      </c>
    </row>
    <row r="2159" spans="1:40" x14ac:dyDescent="0.25">
      <c r="A2159" t="str">
        <f>"20190312150705614"</f>
        <v>20190312150705614</v>
      </c>
      <c r="B2159" t="str">
        <f>"1552374425602467"</f>
        <v>1552374425602467</v>
      </c>
      <c r="C2159" t="s">
        <v>40</v>
      </c>
      <c r="D2159">
        <v>3.8493430000000002</v>
      </c>
      <c r="E2159">
        <v>0.70102330000000002</v>
      </c>
      <c r="F2159" t="s">
        <v>55</v>
      </c>
      <c r="G2159">
        <v>-168.8794</v>
      </c>
      <c r="H2159">
        <v>6.7940559999999897</v>
      </c>
      <c r="I2159">
        <v>301.12400000000002</v>
      </c>
      <c r="J2159">
        <v>-200.48990000000001</v>
      </c>
      <c r="K2159">
        <v>1.108941</v>
      </c>
      <c r="L2159">
        <v>363.60599999999999</v>
      </c>
      <c r="M2159">
        <v>0.93745889999999998</v>
      </c>
      <c r="N2159">
        <v>0</v>
      </c>
      <c r="O2159">
        <v>-0.34782160000000001</v>
      </c>
      <c r="P2159">
        <v>0.81521429999999995</v>
      </c>
      <c r="Q2159">
        <v>4.6843309999999999E-2</v>
      </c>
      <c r="R2159">
        <v>-0.57726250000000001</v>
      </c>
      <c r="S2159">
        <v>1.5322420000000001</v>
      </c>
      <c r="T2159">
        <v>0.27500819999999998</v>
      </c>
      <c r="U2159">
        <v>-3.0237729999999998</v>
      </c>
      <c r="V2159">
        <v>0.25791960000000003</v>
      </c>
      <c r="W2159">
        <v>5.895562E-2</v>
      </c>
      <c r="X2159">
        <v>0.96436599999999995</v>
      </c>
      <c r="Y2159">
        <v>0.67807839999999997</v>
      </c>
      <c r="Z2159">
        <v>1.503952E-3</v>
      </c>
      <c r="AA2159">
        <v>0.73498809999999903</v>
      </c>
      <c r="AB2159">
        <v>12</v>
      </c>
      <c r="AC2159">
        <v>31.610499999999998</v>
      </c>
      <c r="AD2159">
        <v>5.6851149999999997</v>
      </c>
      <c r="AE2159">
        <v>-62.4819999999999</v>
      </c>
      <c r="AF2159">
        <v>47.272430292435601</v>
      </c>
      <c r="AG2159">
        <v>5.6851149999999997</v>
      </c>
      <c r="AH2159">
        <v>51.0346340510362</v>
      </c>
      <c r="AI2159">
        <v>85.327919908821599</v>
      </c>
      <c r="AJ2159">
        <v>47.191635526694398</v>
      </c>
      <c r="AK2159">
        <v>69.7963972640393</v>
      </c>
      <c r="AL2159">
        <v>86.620132039471002</v>
      </c>
      <c r="AM2159">
        <v>75.026693810304494</v>
      </c>
      <c r="AN2159">
        <v>1.00000003357487</v>
      </c>
    </row>
    <row r="2160" spans="1:40" x14ac:dyDescent="0.25">
      <c r="A2160" t="str">
        <f>"20190312150705625"</f>
        <v>20190312150705625</v>
      </c>
      <c r="B2160" t="str">
        <f>"1552374425622498"</f>
        <v>1552374425622498</v>
      </c>
      <c r="C2160" t="s">
        <v>40</v>
      </c>
      <c r="D2160">
        <v>4.4086999999999996</v>
      </c>
      <c r="E2160">
        <v>0.70103559999999998</v>
      </c>
      <c r="F2160" t="s">
        <v>55</v>
      </c>
      <c r="G2160">
        <v>-169.1438</v>
      </c>
      <c r="H2160">
        <v>6.7522159999999998</v>
      </c>
      <c r="I2160">
        <v>300.82979999999998</v>
      </c>
      <c r="J2160">
        <v>-200.42830000000001</v>
      </c>
      <c r="K2160">
        <v>1.1089340000000001</v>
      </c>
      <c r="L2160">
        <v>363.57960000000003</v>
      </c>
      <c r="M2160">
        <v>0.93645889999999998</v>
      </c>
      <c r="N2160">
        <v>0</v>
      </c>
      <c r="O2160">
        <v>-0.35050500000000001</v>
      </c>
      <c r="P2160">
        <v>0.81311990000000001</v>
      </c>
      <c r="Q2160">
        <v>4.6057210000000001E-2</v>
      </c>
      <c r="R2160">
        <v>-0.5802718</v>
      </c>
      <c r="S2160">
        <v>1.515366</v>
      </c>
      <c r="T2160">
        <v>0.27281670000000002</v>
      </c>
      <c r="U2160">
        <v>-3.0347900000000001</v>
      </c>
      <c r="V2160">
        <v>0.258704299999999</v>
      </c>
      <c r="W2160">
        <v>5.8156859999999998E-2</v>
      </c>
      <c r="X2160">
        <v>0.96420430000000001</v>
      </c>
      <c r="Y2160">
        <v>0.68032769999999898</v>
      </c>
      <c r="Z2160">
        <v>1.377009E-3</v>
      </c>
      <c r="AA2160">
        <v>0.73290679999999997</v>
      </c>
      <c r="AB2160">
        <v>12</v>
      </c>
      <c r="AC2160">
        <v>31.284500000000001</v>
      </c>
      <c r="AD2160">
        <v>5.6432820000000001</v>
      </c>
      <c r="AE2160">
        <v>-62.7498</v>
      </c>
      <c r="AF2160">
        <v>47.494141156214198</v>
      </c>
      <c r="AG2160">
        <v>5.6432820000000001</v>
      </c>
      <c r="AH2160">
        <v>50.965519917603999</v>
      </c>
      <c r="AI2160">
        <v>85.368794722781601</v>
      </c>
      <c r="AJ2160">
        <v>47.019233047449099</v>
      </c>
      <c r="AK2160">
        <v>69.892948831549603</v>
      </c>
      <c r="AL2160">
        <v>86.665976279943607</v>
      </c>
      <c r="AM2160">
        <v>74.980788952590899</v>
      </c>
      <c r="AN2160">
        <v>1.00000003367101</v>
      </c>
    </row>
    <row r="2161" spans="1:40" x14ac:dyDescent="0.25">
      <c r="A2161" t="str">
        <f>"20190312150705636"</f>
        <v>20190312150705636</v>
      </c>
      <c r="B2161" t="str">
        <f>"1552374425632258"</f>
        <v>1552374425632258</v>
      </c>
      <c r="C2161" t="s">
        <v>40</v>
      </c>
      <c r="D2161">
        <v>4.222353</v>
      </c>
      <c r="E2161">
        <v>0.70051619999999903</v>
      </c>
      <c r="F2161" t="s">
        <v>55</v>
      </c>
      <c r="G2161">
        <v>-168.35050000000001</v>
      </c>
      <c r="H2161">
        <v>6.6113200000000001</v>
      </c>
      <c r="I2161">
        <v>298.76170000000002</v>
      </c>
      <c r="J2161">
        <v>-200.37090000000001</v>
      </c>
      <c r="K2161">
        <v>1.1089279999999999</v>
      </c>
      <c r="L2161">
        <v>363.55470000000003</v>
      </c>
      <c r="M2161">
        <v>0.93550699999999998</v>
      </c>
      <c r="N2161">
        <v>0</v>
      </c>
      <c r="O2161">
        <v>-0.35303780000000001</v>
      </c>
      <c r="P2161">
        <v>0.81117810000000001</v>
      </c>
      <c r="Q2161">
        <v>4.5705139999999998E-2</v>
      </c>
      <c r="R2161">
        <v>-0.5830109</v>
      </c>
      <c r="S2161">
        <v>1.5048520000000001</v>
      </c>
      <c r="T2161">
        <v>0.25813399999999997</v>
      </c>
      <c r="U2161">
        <v>-3.0407709999999999</v>
      </c>
      <c r="V2161">
        <v>0.25933970000000001</v>
      </c>
      <c r="W2161">
        <v>5.7794600000000002E-2</v>
      </c>
      <c r="X2161">
        <v>0.96405540000000001</v>
      </c>
      <c r="Y2161">
        <v>0.68105950000000004</v>
      </c>
      <c r="Z2161">
        <v>1.1229160000000001E-3</v>
      </c>
      <c r="AA2161">
        <v>0.73222719999999997</v>
      </c>
      <c r="AB2161">
        <v>12</v>
      </c>
      <c r="AC2161">
        <v>32.020399999999903</v>
      </c>
      <c r="AD2161">
        <v>5.5023919999999897</v>
      </c>
      <c r="AE2161">
        <v>-64.793000000000006</v>
      </c>
      <c r="AF2161">
        <v>49.030410237622398</v>
      </c>
      <c r="AG2161">
        <v>5.5023919999999897</v>
      </c>
      <c r="AH2161">
        <v>52.530253462608698</v>
      </c>
      <c r="AI2161">
        <v>85.621158635962402</v>
      </c>
      <c r="AJ2161">
        <v>46.973666946422099</v>
      </c>
      <c r="AK2161">
        <v>72.067225384616606</v>
      </c>
      <c r="AL2161">
        <v>86.686767289790097</v>
      </c>
      <c r="AM2161">
        <v>74.94335346023</v>
      </c>
      <c r="AN2161">
        <v>1.0000000550271999</v>
      </c>
    </row>
    <row r="2162" spans="1:40" x14ac:dyDescent="0.25">
      <c r="A2162" t="str">
        <f>"20190312150705647"</f>
        <v>20190312150705647</v>
      </c>
      <c r="B2162" t="str">
        <f>"1552374425642017"</f>
        <v>1552374425642017</v>
      </c>
      <c r="C2162" t="s">
        <v>40</v>
      </c>
      <c r="D2162">
        <v>4.2197430000000002</v>
      </c>
      <c r="E2162">
        <v>0.700273699999999</v>
      </c>
      <c r="F2162" t="s">
        <v>55</v>
      </c>
      <c r="G2162">
        <v>-168.35050000000001</v>
      </c>
      <c r="H2162">
        <v>6.4908669999999997</v>
      </c>
      <c r="I2162">
        <v>298.45760000000001</v>
      </c>
      <c r="J2162">
        <v>-200.31479999999999</v>
      </c>
      <c r="K2162">
        <v>1.108924</v>
      </c>
      <c r="L2162">
        <v>363.53030000000001</v>
      </c>
      <c r="M2162">
        <v>0.93456629999999996</v>
      </c>
      <c r="N2162">
        <v>0</v>
      </c>
      <c r="O2162">
        <v>-0.35552050000000002</v>
      </c>
      <c r="P2162">
        <v>0.80930970000000002</v>
      </c>
      <c r="Q2162">
        <v>4.5185889999999999E-2</v>
      </c>
      <c r="R2162">
        <v>-0.58564139999999998</v>
      </c>
      <c r="S2162">
        <v>1.4969330000000001</v>
      </c>
      <c r="T2162">
        <v>0.25160490000000002</v>
      </c>
      <c r="U2162">
        <v>-3.0432429999999999</v>
      </c>
      <c r="V2162">
        <v>0.25989839999999997</v>
      </c>
      <c r="W2162">
        <v>5.7266659999999997E-2</v>
      </c>
      <c r="X2162">
        <v>0.96393640000000003</v>
      </c>
      <c r="Y2162">
        <v>0.68093380000000003</v>
      </c>
      <c r="Z2162">
        <v>8.7672469999999997E-4</v>
      </c>
      <c r="AA2162">
        <v>0.73234440000000001</v>
      </c>
      <c r="AB2162">
        <v>12</v>
      </c>
      <c r="AC2162">
        <v>31.964299999999898</v>
      </c>
      <c r="AD2162">
        <v>5.3819429999999997</v>
      </c>
      <c r="AE2162">
        <v>-65.072699999999998</v>
      </c>
      <c r="AF2162">
        <v>49.184469927944399</v>
      </c>
      <c r="AG2162">
        <v>5.3819429999999997</v>
      </c>
      <c r="AH2162">
        <v>52.721963371563703</v>
      </c>
      <c r="AI2162">
        <v>85.731168799174498</v>
      </c>
      <c r="AJ2162">
        <v>46.988118759992297</v>
      </c>
      <c r="AK2162">
        <v>72.3027165070623</v>
      </c>
      <c r="AL2162">
        <v>86.717066076738305</v>
      </c>
      <c r="AM2162">
        <v>74.910616352753607</v>
      </c>
      <c r="AN2162">
        <v>1.00000001595753</v>
      </c>
    </row>
    <row r="2163" spans="1:40" x14ac:dyDescent="0.25">
      <c r="A2163" t="str">
        <f>"20190312150705658"</f>
        <v>20190312150705658</v>
      </c>
      <c r="B2163" t="str">
        <f>"1552374425652755"</f>
        <v>1552374425652755</v>
      </c>
      <c r="C2163" t="s">
        <v>40</v>
      </c>
      <c r="D2163">
        <v>4.3149350000000002</v>
      </c>
      <c r="E2163">
        <v>0.69983629999999997</v>
      </c>
      <c r="F2163" t="s">
        <v>55</v>
      </c>
      <c r="G2163">
        <v>-168.35050000000001</v>
      </c>
      <c r="H2163">
        <v>6.3603129999999997</v>
      </c>
      <c r="I2163">
        <v>298.11</v>
      </c>
      <c r="J2163">
        <v>-200.25630000000001</v>
      </c>
      <c r="K2163">
        <v>1.108911</v>
      </c>
      <c r="L2163">
        <v>363.50459999999998</v>
      </c>
      <c r="M2163">
        <v>0.93356729999999999</v>
      </c>
      <c r="N2163">
        <v>0</v>
      </c>
      <c r="O2163">
        <v>-0.35813539999999999</v>
      </c>
      <c r="P2163">
        <v>0.80741010000000002</v>
      </c>
      <c r="Q2163">
        <v>4.5169389999999997E-2</v>
      </c>
      <c r="R2163">
        <v>-0.58825899999999998</v>
      </c>
      <c r="S2163">
        <v>1.488586</v>
      </c>
      <c r="T2163">
        <v>0.24456130000000001</v>
      </c>
      <c r="U2163">
        <v>-3.0466310000000001</v>
      </c>
      <c r="V2163">
        <v>0.26032179999999999</v>
      </c>
      <c r="W2163">
        <v>5.7242849999999998E-2</v>
      </c>
      <c r="X2163">
        <v>0.9638236</v>
      </c>
      <c r="Y2163">
        <v>0.68087529999999996</v>
      </c>
      <c r="Z2163">
        <v>6.3258779999999896E-4</v>
      </c>
      <c r="AA2163">
        <v>0.73239900000000002</v>
      </c>
      <c r="AB2163">
        <v>12</v>
      </c>
      <c r="AC2163">
        <v>31.905799999999999</v>
      </c>
      <c r="AD2163">
        <v>5.2514019999999997</v>
      </c>
      <c r="AE2163">
        <v>-65.394599999999897</v>
      </c>
      <c r="AF2163">
        <v>49.371245723763899</v>
      </c>
      <c r="AG2163">
        <v>5.2514019999999997</v>
      </c>
      <c r="AH2163">
        <v>52.935691034011803</v>
      </c>
      <c r="AI2163">
        <v>85.850610520000302</v>
      </c>
      <c r="AJ2163">
        <v>46.995417941392297</v>
      </c>
      <c r="AK2163">
        <v>72.576060188813202</v>
      </c>
      <c r="AL2163">
        <v>86.718432667802205</v>
      </c>
      <c r="AM2163">
        <v>74.885470042536099</v>
      </c>
      <c r="AN2163">
        <v>1.0000000576741499</v>
      </c>
    </row>
    <row r="2164" spans="1:40" x14ac:dyDescent="0.25">
      <c r="A2164" t="str">
        <f>"20190312150705669"</f>
        <v>20190312150705669</v>
      </c>
      <c r="B2164" t="str">
        <f>"1552374425662514"</f>
        <v>1552374425662514</v>
      </c>
      <c r="C2164" t="s">
        <v>40</v>
      </c>
      <c r="D2164">
        <v>4.2179729999999998</v>
      </c>
      <c r="E2164">
        <v>0.69953019999999999</v>
      </c>
      <c r="F2164" t="s">
        <v>55</v>
      </c>
      <c r="G2164">
        <v>-168.35050000000001</v>
      </c>
      <c r="H2164">
        <v>6.3027519999999999</v>
      </c>
      <c r="I2164">
        <v>297.83440000000002</v>
      </c>
      <c r="J2164">
        <v>-200.20140000000001</v>
      </c>
      <c r="K2164">
        <v>1.1089070000000001</v>
      </c>
      <c r="L2164">
        <v>363.48020000000002</v>
      </c>
      <c r="M2164">
        <v>0.93261780000000005</v>
      </c>
      <c r="N2164">
        <v>0</v>
      </c>
      <c r="O2164">
        <v>-0.3606008</v>
      </c>
      <c r="P2164">
        <v>0.805728</v>
      </c>
      <c r="Q2164">
        <v>4.4847730000000002E-2</v>
      </c>
      <c r="R2164">
        <v>-0.59058580000000005</v>
      </c>
      <c r="S2164">
        <v>1.4810939999999999</v>
      </c>
      <c r="T2164">
        <v>0.2411056</v>
      </c>
      <c r="U2164">
        <v>-3.0484619999999998</v>
      </c>
      <c r="V2164">
        <v>0.2605478</v>
      </c>
      <c r="W2164">
        <v>5.6915809999999997E-2</v>
      </c>
      <c r="X2164">
        <v>0.96378180000000002</v>
      </c>
      <c r="Y2164">
        <v>0.68059559999999997</v>
      </c>
      <c r="Z2164">
        <v>4.076064E-4</v>
      </c>
      <c r="AA2164">
        <v>0.73265919999999995</v>
      </c>
      <c r="AB2164">
        <v>12</v>
      </c>
      <c r="AC2164">
        <v>31.850899999999999</v>
      </c>
      <c r="AD2164">
        <v>5.1938449999999996</v>
      </c>
      <c r="AE2164">
        <v>-65.645799999999994</v>
      </c>
      <c r="AF2164">
        <v>49.490963264648897</v>
      </c>
      <c r="AG2164">
        <v>5.1938449999999996</v>
      </c>
      <c r="AH2164">
        <v>53.112622817443402</v>
      </c>
      <c r="AI2164">
        <v>85.907823510124899</v>
      </c>
      <c r="AJ2164">
        <v>47.021563777130503</v>
      </c>
      <c r="AK2164">
        <v>72.782430388761199</v>
      </c>
      <c r="AL2164">
        <v>86.737200964732196</v>
      </c>
      <c r="AM2164">
        <v>74.872323344963505</v>
      </c>
      <c r="AN2164">
        <v>0.999999961762017</v>
      </c>
    </row>
    <row r="2165" spans="1:40" x14ac:dyDescent="0.25">
      <c r="A2165" t="str">
        <f>"20190312150705680"</f>
        <v>20190312150705680</v>
      </c>
      <c r="B2165" t="str">
        <f>"1552374425672274"</f>
        <v>1552374425672274</v>
      </c>
      <c r="C2165" t="s">
        <v>40</v>
      </c>
      <c r="D2165">
        <v>4.4148969999999998</v>
      </c>
      <c r="E2165">
        <v>0.69940519999999995</v>
      </c>
      <c r="F2165" t="s">
        <v>55</v>
      </c>
      <c r="G2165">
        <v>-168.35050000000001</v>
      </c>
      <c r="H2165">
        <v>6.2563190000000004</v>
      </c>
      <c r="I2165">
        <v>297.55380000000002</v>
      </c>
      <c r="J2165">
        <v>-200.14949999999999</v>
      </c>
      <c r="K2165">
        <v>1.108903</v>
      </c>
      <c r="L2165">
        <v>363.45699999999999</v>
      </c>
      <c r="M2165">
        <v>0.93170649999999999</v>
      </c>
      <c r="N2165">
        <v>0</v>
      </c>
      <c r="O2165">
        <v>-0.36294900000000002</v>
      </c>
      <c r="P2165">
        <v>0.80408590000000002</v>
      </c>
      <c r="Q2165">
        <v>4.4995220000000002E-2</v>
      </c>
      <c r="R2165">
        <v>-0.59280849999999996</v>
      </c>
      <c r="S2165">
        <v>1.4739070000000001</v>
      </c>
      <c r="T2165">
        <v>0.2382003</v>
      </c>
      <c r="U2165">
        <v>-3.050751</v>
      </c>
      <c r="V2165">
        <v>0.26078600000000002</v>
      </c>
      <c r="W2165">
        <v>5.7058159999999997E-2</v>
      </c>
      <c r="X2165">
        <v>0.96370900000000004</v>
      </c>
      <c r="Y2165">
        <v>0.68038739999999998</v>
      </c>
      <c r="Z2165">
        <v>2.0203180000000001E-4</v>
      </c>
      <c r="AA2165">
        <v>0.73285259999999997</v>
      </c>
      <c r="AB2165">
        <v>12</v>
      </c>
      <c r="AC2165">
        <v>31.7989999999999</v>
      </c>
      <c r="AD2165">
        <v>5.1474159999999998</v>
      </c>
      <c r="AE2165">
        <v>-65.903199999999899</v>
      </c>
      <c r="AF2165">
        <v>49.620245398002702</v>
      </c>
      <c r="AG2165">
        <v>5.1474159999999998</v>
      </c>
      <c r="AH2165">
        <v>53.288257567057002</v>
      </c>
      <c r="AI2165">
        <v>85.956308323185397</v>
      </c>
      <c r="AJ2165">
        <v>47.041353998758296</v>
      </c>
      <c r="AK2165">
        <v>72.995226140947594</v>
      </c>
      <c r="AL2165">
        <v>86.729031772866605</v>
      </c>
      <c r="AM2165">
        <v>74.858036614451393</v>
      </c>
      <c r="AN2165">
        <v>1.0000000040497901</v>
      </c>
    </row>
    <row r="2166" spans="1:40" x14ac:dyDescent="0.25">
      <c r="A2166" t="str">
        <f>"20190312150705689"</f>
        <v>20190312150705689</v>
      </c>
      <c r="B2166" t="str">
        <f>"1552374425682034"</f>
        <v>1552374425682034</v>
      </c>
      <c r="C2166" t="s">
        <v>40</v>
      </c>
      <c r="D2166">
        <v>4.3680089999999998</v>
      </c>
      <c r="E2166">
        <v>0.69923729999999995</v>
      </c>
      <c r="F2166" t="s">
        <v>55</v>
      </c>
      <c r="G2166">
        <v>-165.8646</v>
      </c>
      <c r="H2166">
        <v>6.6740929999999903</v>
      </c>
      <c r="I2166">
        <v>292.0154</v>
      </c>
      <c r="J2166">
        <v>-200.0985</v>
      </c>
      <c r="K2166">
        <v>1.108903</v>
      </c>
      <c r="L2166">
        <v>363.4341</v>
      </c>
      <c r="M2166">
        <v>0.93079840000000003</v>
      </c>
      <c r="N2166">
        <v>0</v>
      </c>
      <c r="O2166">
        <v>-0.36527169999999998</v>
      </c>
      <c r="P2166">
        <v>0.80257109999999998</v>
      </c>
      <c r="Q2166">
        <v>4.536043E-2</v>
      </c>
      <c r="R2166">
        <v>-0.59482959999999996</v>
      </c>
      <c r="S2166">
        <v>1.465805</v>
      </c>
      <c r="T2166">
        <v>0.2379348</v>
      </c>
      <c r="U2166">
        <v>-3.0543819999999999</v>
      </c>
      <c r="V2166">
        <v>0.26081690000000002</v>
      </c>
      <c r="W2166">
        <v>5.7419949999999997E-2</v>
      </c>
      <c r="X2166">
        <v>0.96367910000000001</v>
      </c>
      <c r="Y2166">
        <v>0.68048580000000003</v>
      </c>
      <c r="Z2166" s="1">
        <v>1.8885360000000001E-5</v>
      </c>
      <c r="AA2166">
        <v>0.73276129999999995</v>
      </c>
      <c r="AB2166">
        <v>12</v>
      </c>
      <c r="AC2166">
        <v>34.233899999999998</v>
      </c>
      <c r="AD2166">
        <v>5.5651899999999896</v>
      </c>
      <c r="AE2166">
        <v>-71.418700000000001</v>
      </c>
      <c r="AF2166">
        <v>53.711684749842298</v>
      </c>
      <c r="AG2166">
        <v>5.5651899999999896</v>
      </c>
      <c r="AH2166">
        <v>57.672858679488101</v>
      </c>
      <c r="AI2166">
        <v>85.960776066342106</v>
      </c>
      <c r="AJ2166">
        <v>47.036754231614303</v>
      </c>
      <c r="AK2166">
        <v>79.006803799842203</v>
      </c>
      <c r="AL2166">
        <v>86.708268536281295</v>
      </c>
      <c r="AM2166">
        <v>74.855876584885294</v>
      </c>
      <c r="AN2166">
        <v>0.99999995688021004</v>
      </c>
    </row>
    <row r="2167" spans="1:40" x14ac:dyDescent="0.25">
      <c r="A2167" t="str">
        <f>"20190312150705699"</f>
        <v>20190312150705699</v>
      </c>
      <c r="B2167" t="str">
        <f>"1552374425692772"</f>
        <v>1552374425692772</v>
      </c>
      <c r="C2167" t="s">
        <v>40</v>
      </c>
      <c r="D2167">
        <v>4.3655559999999998</v>
      </c>
      <c r="E2167">
        <v>0.699044</v>
      </c>
      <c r="F2167" t="s">
        <v>55</v>
      </c>
      <c r="G2167">
        <v>-165.65280000000001</v>
      </c>
      <c r="H2167">
        <v>6.6740929999999903</v>
      </c>
      <c r="I2167">
        <v>291.27260000000001</v>
      </c>
      <c r="J2167">
        <v>-200.04910000000001</v>
      </c>
      <c r="K2167">
        <v>1.1088990000000001</v>
      </c>
      <c r="L2167">
        <v>363.4117</v>
      </c>
      <c r="M2167">
        <v>0.92990790000000001</v>
      </c>
      <c r="N2167">
        <v>0</v>
      </c>
      <c r="O2167">
        <v>-0.36753269999999999</v>
      </c>
      <c r="P2167">
        <v>0.80124289999999998</v>
      </c>
      <c r="Q2167">
        <v>4.6228869999999998E-2</v>
      </c>
      <c r="R2167">
        <v>-0.5965511</v>
      </c>
      <c r="S2167">
        <v>1.459122</v>
      </c>
      <c r="T2167">
        <v>0.2357447</v>
      </c>
      <c r="U2167">
        <v>-3.0567630000000001</v>
      </c>
      <c r="V2167">
        <v>0.26056639999999998</v>
      </c>
      <c r="W2167">
        <v>5.8286339999999999E-2</v>
      </c>
      <c r="X2167">
        <v>0.96369490000000002</v>
      </c>
      <c r="Y2167">
        <v>0.68024960000000001</v>
      </c>
      <c r="Z2167">
        <v>-1.7484839999999999E-4</v>
      </c>
      <c r="AA2167">
        <v>0.73298050000000003</v>
      </c>
      <c r="AB2167">
        <v>12</v>
      </c>
      <c r="AC2167">
        <v>34.396299999999997</v>
      </c>
      <c r="AD2167">
        <v>5.5651939999999902</v>
      </c>
      <c r="AE2167">
        <v>-72.1390999999999</v>
      </c>
      <c r="AF2167">
        <v>54.183418183803397</v>
      </c>
      <c r="AG2167">
        <v>5.5651939999999902</v>
      </c>
      <c r="AH2167">
        <v>58.222137321422203</v>
      </c>
      <c r="AI2167">
        <v>85.997395085959695</v>
      </c>
      <c r="AJ2167">
        <v>47.057745818346497</v>
      </c>
      <c r="AK2167">
        <v>79.728485904431295</v>
      </c>
      <c r="AL2167">
        <v>86.658544915163404</v>
      </c>
      <c r="AM2167">
        <v>74.869991234056599</v>
      </c>
      <c r="AN2167">
        <v>1.00000000326278</v>
      </c>
    </row>
    <row r="2168" spans="1:40" x14ac:dyDescent="0.25">
      <c r="A2168" t="str">
        <f>"20190312150705710"</f>
        <v>20190312150705710</v>
      </c>
      <c r="B2168" t="str">
        <f>"1552374425702530"</f>
        <v>1552374425702530</v>
      </c>
      <c r="C2168" t="s">
        <v>40</v>
      </c>
      <c r="D2168">
        <v>4.3499610000000004</v>
      </c>
      <c r="E2168">
        <v>0.69875140000000002</v>
      </c>
      <c r="F2168" t="s">
        <v>55</v>
      </c>
      <c r="G2168">
        <v>-165.72790000000001</v>
      </c>
      <c r="H2168">
        <v>6.6740929999999903</v>
      </c>
      <c r="I2168">
        <v>291.18619999999999</v>
      </c>
      <c r="J2168">
        <v>-199.9958</v>
      </c>
      <c r="K2168">
        <v>1.108895</v>
      </c>
      <c r="L2168">
        <v>363.38729999999998</v>
      </c>
      <c r="M2168">
        <v>0.92893170000000003</v>
      </c>
      <c r="N2168">
        <v>0</v>
      </c>
      <c r="O2168">
        <v>-0.36999369999999998</v>
      </c>
      <c r="P2168">
        <v>0.79957309999999904</v>
      </c>
      <c r="Q2168">
        <v>4.6863700000000001E-2</v>
      </c>
      <c r="R2168">
        <v>-0.59873829999999995</v>
      </c>
      <c r="S2168">
        <v>1.4534149999999999</v>
      </c>
      <c r="T2168">
        <v>0.23567469999999999</v>
      </c>
      <c r="U2168">
        <v>-3.0585629999999999</v>
      </c>
      <c r="V2168">
        <v>0.2606657</v>
      </c>
      <c r="W2168">
        <v>5.8916120000000002E-2</v>
      </c>
      <c r="X2168">
        <v>0.96362969999999903</v>
      </c>
      <c r="Y2168">
        <v>0.67959849999999999</v>
      </c>
      <c r="Z2168">
        <v>-4.0568409999999999E-4</v>
      </c>
      <c r="AA2168">
        <v>0.73358420000000002</v>
      </c>
      <c r="AB2168">
        <v>12</v>
      </c>
      <c r="AC2168">
        <v>34.267899999999997</v>
      </c>
      <c r="AD2168">
        <v>5.5651979999999899</v>
      </c>
      <c r="AE2168">
        <v>-72.201099999999997</v>
      </c>
      <c r="AF2168">
        <v>54.133676822261798</v>
      </c>
      <c r="AG2168">
        <v>5.5651979999999899</v>
      </c>
      <c r="AH2168">
        <v>58.269525707560497</v>
      </c>
      <c r="AI2168">
        <v>85.997434005514805</v>
      </c>
      <c r="AJ2168">
        <v>47.1072338494197</v>
      </c>
      <c r="AK2168">
        <v>79.729317200514998</v>
      </c>
      <c r="AL2168">
        <v>86.622398906343804</v>
      </c>
      <c r="AM2168">
        <v>74.863512677060896</v>
      </c>
      <c r="AN2168">
        <v>0.99999995753721604</v>
      </c>
    </row>
    <row r="2169" spans="1:40" x14ac:dyDescent="0.25">
      <c r="A2169" t="str">
        <f>"20190312150705721"</f>
        <v>20190312150705721</v>
      </c>
      <c r="B2169" t="str">
        <f>"1552374425712290"</f>
        <v>1552374425712290</v>
      </c>
      <c r="C2169" t="s">
        <v>40</v>
      </c>
      <c r="D2169">
        <v>4.5574079999999997</v>
      </c>
      <c r="E2169">
        <v>0.69850109999999999</v>
      </c>
      <c r="F2169" t="s">
        <v>55</v>
      </c>
      <c r="G2169">
        <v>-165.42140000000001</v>
      </c>
      <c r="H2169">
        <v>6.6740919999999999</v>
      </c>
      <c r="I2169">
        <v>290.2013</v>
      </c>
      <c r="J2169">
        <v>-199.93979999999999</v>
      </c>
      <c r="K2169">
        <v>1.108889</v>
      </c>
      <c r="L2169">
        <v>363.36149999999998</v>
      </c>
      <c r="M2169">
        <v>0.92789239999999995</v>
      </c>
      <c r="N2169">
        <v>0</v>
      </c>
      <c r="O2169">
        <v>-0.37259189999999998</v>
      </c>
      <c r="P2169">
        <v>0.79805819999999905</v>
      </c>
      <c r="Q2169">
        <v>4.7239669999999997E-2</v>
      </c>
      <c r="R2169">
        <v>-0.60072630000000005</v>
      </c>
      <c r="S2169">
        <v>1.446121</v>
      </c>
      <c r="T2169">
        <v>0.2327746</v>
      </c>
      <c r="U2169">
        <v>-3.061096</v>
      </c>
      <c r="V2169">
        <v>0.2603779</v>
      </c>
      <c r="W2169">
        <v>5.9289309999999998E-2</v>
      </c>
      <c r="X2169">
        <v>0.96368469999999995</v>
      </c>
      <c r="Y2169">
        <v>0.67923149999999999</v>
      </c>
      <c r="Z2169">
        <v>-6.2565319999999995E-4</v>
      </c>
      <c r="AA2169">
        <v>0.73392389999999996</v>
      </c>
      <c r="AB2169">
        <v>12</v>
      </c>
      <c r="AC2169">
        <v>34.5183999999999</v>
      </c>
      <c r="AD2169">
        <v>5.5652029999999897</v>
      </c>
      <c r="AE2169">
        <v>-73.160199999999904</v>
      </c>
      <c r="AF2169">
        <v>54.769555715878901</v>
      </c>
      <c r="AG2169">
        <v>5.5652029999999897</v>
      </c>
      <c r="AH2169">
        <v>59.014613378430901</v>
      </c>
      <c r="AI2169">
        <v>86.045928295184495</v>
      </c>
      <c r="AJ2169">
        <v>47.136598942877797</v>
      </c>
      <c r="AK2169">
        <v>80.705639889363695</v>
      </c>
      <c r="AL2169">
        <v>86.600979520378402</v>
      </c>
      <c r="AM2169">
        <v>74.8802826743064</v>
      </c>
      <c r="AN2169">
        <v>1.00000003705138</v>
      </c>
    </row>
    <row r="2170" spans="1:40" x14ac:dyDescent="0.25">
      <c r="A2170" t="str">
        <f>"20190312150705732"</f>
        <v>20190312150705732</v>
      </c>
      <c r="B2170" t="str">
        <f>"1552374425722049"</f>
        <v>1552374425722049</v>
      </c>
      <c r="C2170" t="s">
        <v>40</v>
      </c>
      <c r="D2170">
        <v>4.2287720000000002</v>
      </c>
      <c r="E2170">
        <v>0.69816820000000002</v>
      </c>
      <c r="F2170" t="s">
        <v>55</v>
      </c>
      <c r="G2170">
        <v>-165.28970000000001</v>
      </c>
      <c r="H2170">
        <v>6.6740929999999903</v>
      </c>
      <c r="I2170">
        <v>289.6413</v>
      </c>
      <c r="J2170">
        <v>-199.8837</v>
      </c>
      <c r="K2170">
        <v>1.108881</v>
      </c>
      <c r="L2170">
        <v>363.33539999999999</v>
      </c>
      <c r="M2170">
        <v>0.92683179999999998</v>
      </c>
      <c r="N2170">
        <v>0</v>
      </c>
      <c r="O2170">
        <v>-0.37522220000000001</v>
      </c>
      <c r="P2170">
        <v>0.79643929999999996</v>
      </c>
      <c r="Q2170">
        <v>4.7643190000000002E-2</v>
      </c>
      <c r="R2170">
        <v>-0.60283929999999997</v>
      </c>
      <c r="S2170">
        <v>1.4397279999999999</v>
      </c>
      <c r="T2170">
        <v>0.23124020000000001</v>
      </c>
      <c r="U2170">
        <v>-3.06311</v>
      </c>
      <c r="V2170">
        <v>0.26021070000000002</v>
      </c>
      <c r="W2170">
        <v>5.968913E-2</v>
      </c>
      <c r="X2170">
        <v>0.96370509999999998</v>
      </c>
      <c r="Y2170">
        <v>0.67860500000000001</v>
      </c>
      <c r="Z2170">
        <v>-8.6072459999999998E-4</v>
      </c>
      <c r="AA2170">
        <v>0.73450289999999996</v>
      </c>
      <c r="AB2170">
        <v>12</v>
      </c>
      <c r="AC2170">
        <v>34.593999999999902</v>
      </c>
      <c r="AD2170">
        <v>5.5652119999999901</v>
      </c>
      <c r="AE2170">
        <v>-73.694099999999906</v>
      </c>
      <c r="AF2170">
        <v>55.069537691591698</v>
      </c>
      <c r="AG2170">
        <v>5.5652119999999901</v>
      </c>
      <c r="AH2170">
        <v>59.442405524673902</v>
      </c>
      <c r="AI2170">
        <v>86.071102653681095</v>
      </c>
      <c r="AJ2170">
        <v>47.186891464741002</v>
      </c>
      <c r="AK2170">
        <v>81.222072989615199</v>
      </c>
      <c r="AL2170">
        <v>86.5780306159796</v>
      </c>
      <c r="AM2170">
        <v>74.8898528408359</v>
      </c>
      <c r="AN2170">
        <v>0.999999960200327</v>
      </c>
    </row>
    <row r="2171" spans="1:40" x14ac:dyDescent="0.25">
      <c r="A2171" t="str">
        <f>"20190312150705742"</f>
        <v>20190312150705742</v>
      </c>
      <c r="B2171" t="str">
        <f>"1552374425732787"</f>
        <v>1552374425732787</v>
      </c>
      <c r="C2171" t="s">
        <v>40</v>
      </c>
      <c r="D2171">
        <v>4.3991220000000002</v>
      </c>
      <c r="E2171">
        <v>0.69789840000000003</v>
      </c>
      <c r="F2171" t="s">
        <v>55</v>
      </c>
      <c r="G2171">
        <v>-165.13849999999999</v>
      </c>
      <c r="H2171">
        <v>6.6740929999999903</v>
      </c>
      <c r="I2171">
        <v>289.02229999999997</v>
      </c>
      <c r="J2171">
        <v>-199.82769999999999</v>
      </c>
      <c r="K2171">
        <v>1.1088720000000001</v>
      </c>
      <c r="L2171">
        <v>363.30930000000001</v>
      </c>
      <c r="M2171">
        <v>0.92576170000000002</v>
      </c>
      <c r="N2171">
        <v>0</v>
      </c>
      <c r="O2171">
        <v>-0.37785489999999999</v>
      </c>
      <c r="P2171">
        <v>0.79484049999999995</v>
      </c>
      <c r="Q2171">
        <v>4.7676650000000001E-2</v>
      </c>
      <c r="R2171">
        <v>-0.6049426</v>
      </c>
      <c r="S2171">
        <v>1.43306</v>
      </c>
      <c r="T2171">
        <v>0.22953960000000001</v>
      </c>
      <c r="U2171">
        <v>-3.0650330000000001</v>
      </c>
      <c r="V2171">
        <v>0.26002180000000003</v>
      </c>
      <c r="W2171">
        <v>5.9718170000000001E-2</v>
      </c>
      <c r="X2171">
        <v>0.96375429999999995</v>
      </c>
      <c r="Y2171">
        <v>0.67802079999999998</v>
      </c>
      <c r="Z2171">
        <v>-1.090256E-3</v>
      </c>
      <c r="AA2171">
        <v>0.73504190000000003</v>
      </c>
      <c r="AB2171">
        <v>12</v>
      </c>
      <c r="AC2171">
        <v>34.6892</v>
      </c>
      <c r="AD2171">
        <v>5.5652209999999904</v>
      </c>
      <c r="AE2171">
        <v>-74.287000000000006</v>
      </c>
      <c r="AF2171">
        <v>55.414563515226099</v>
      </c>
      <c r="AG2171">
        <v>5.5652209999999904</v>
      </c>
      <c r="AH2171">
        <v>59.9133311124206</v>
      </c>
      <c r="AI2171">
        <v>86.098930529690406</v>
      </c>
      <c r="AJ2171">
        <v>47.233889510771398</v>
      </c>
      <c r="AK2171">
        <v>81.800689357415607</v>
      </c>
      <c r="AL2171">
        <v>86.576363818782397</v>
      </c>
      <c r="AM2171">
        <v>74.901056646247696</v>
      </c>
      <c r="AN2171">
        <v>0.99999997353593895</v>
      </c>
    </row>
    <row r="2172" spans="1:40" x14ac:dyDescent="0.25">
      <c r="A2172" t="str">
        <f>"20190312150705754"</f>
        <v>20190312150705754</v>
      </c>
      <c r="B2172" t="str">
        <f>"1552374425742546"</f>
        <v>1552374425742546</v>
      </c>
      <c r="C2172" t="s">
        <v>40</v>
      </c>
      <c r="D2172">
        <v>4.4963340000000001</v>
      </c>
      <c r="E2172">
        <v>0.69784000000000002</v>
      </c>
      <c r="F2172" t="s">
        <v>55</v>
      </c>
      <c r="G2172">
        <v>-164.95650000000001</v>
      </c>
      <c r="H2172">
        <v>6.6740919999999999</v>
      </c>
      <c r="I2172">
        <v>288.32479999999998</v>
      </c>
      <c r="J2172">
        <v>-199.774</v>
      </c>
      <c r="K2172">
        <v>1.1088629999999999</v>
      </c>
      <c r="L2172">
        <v>363.28379999999999</v>
      </c>
      <c r="M2172">
        <v>0.92471309999999995</v>
      </c>
      <c r="N2172">
        <v>0</v>
      </c>
      <c r="O2172">
        <v>-0.38041350000000002</v>
      </c>
      <c r="P2172">
        <v>0.79305249999999905</v>
      </c>
      <c r="Q2172">
        <v>4.7524039999999997E-2</v>
      </c>
      <c r="R2172">
        <v>-0.60729679999999997</v>
      </c>
      <c r="S2172">
        <v>1.4263459999999999</v>
      </c>
      <c r="T2172">
        <v>0.2276386</v>
      </c>
      <c r="U2172">
        <v>-3.0671080000000002</v>
      </c>
      <c r="V2172">
        <v>0.26021169999999999</v>
      </c>
      <c r="W2172">
        <v>5.9558239999999998E-2</v>
      </c>
      <c r="X2172">
        <v>0.96371289999999998</v>
      </c>
      <c r="Y2172">
        <v>0.67751709999999998</v>
      </c>
      <c r="Z2172">
        <v>-1.3056809999999999E-3</v>
      </c>
      <c r="AA2172">
        <v>0.73550590000000005</v>
      </c>
      <c r="AB2172">
        <v>12</v>
      </c>
      <c r="AC2172">
        <v>34.817499999999903</v>
      </c>
      <c r="AD2172">
        <v>5.5652290000000004</v>
      </c>
      <c r="AE2172">
        <v>-74.959000000000003</v>
      </c>
      <c r="AF2172">
        <v>55.822788178946801</v>
      </c>
      <c r="AG2172">
        <v>5.5652290000000004</v>
      </c>
      <c r="AH2172">
        <v>60.4433743164224</v>
      </c>
      <c r="AI2172">
        <v>86.130421743978005</v>
      </c>
      <c r="AJ2172">
        <v>47.275819855672701</v>
      </c>
      <c r="AK2172">
        <v>82.465489464679493</v>
      </c>
      <c r="AL2172">
        <v>86.585543334405799</v>
      </c>
      <c r="AM2172">
        <v>74.889914132502795</v>
      </c>
      <c r="AN2172">
        <v>0.99999993319759595</v>
      </c>
    </row>
    <row r="2173" spans="1:40" x14ac:dyDescent="0.25">
      <c r="A2173" t="str">
        <f>"20190312150705765"</f>
        <v>20190312150705765</v>
      </c>
      <c r="B2173" t="str">
        <f>"1552374425762067"</f>
        <v>1552374425762067</v>
      </c>
      <c r="C2173" t="s">
        <v>40</v>
      </c>
      <c r="D2173">
        <v>4.371645</v>
      </c>
      <c r="E2173">
        <v>0.69775310000000001</v>
      </c>
      <c r="F2173" t="s">
        <v>55</v>
      </c>
      <c r="G2173">
        <v>-164.7903</v>
      </c>
      <c r="H2173">
        <v>6.6740919999999999</v>
      </c>
      <c r="I2173">
        <v>287.50830000000002</v>
      </c>
      <c r="J2173">
        <v>-199.7175</v>
      </c>
      <c r="K2173">
        <v>1.1088519999999999</v>
      </c>
      <c r="L2173">
        <v>363.25700000000001</v>
      </c>
      <c r="M2173">
        <v>0.92360039999999999</v>
      </c>
      <c r="N2173">
        <v>0</v>
      </c>
      <c r="O2173">
        <v>-0.38310719999999998</v>
      </c>
      <c r="P2173">
        <v>0.79100409999999999</v>
      </c>
      <c r="Q2173">
        <v>4.7939500000000003E-2</v>
      </c>
      <c r="R2173">
        <v>-0.60992999999999997</v>
      </c>
      <c r="S2173">
        <v>1.4177550000000001</v>
      </c>
      <c r="T2173">
        <v>0.22554060000000001</v>
      </c>
      <c r="U2173">
        <v>-3.0708920000000002</v>
      </c>
      <c r="V2173">
        <v>0.26062039999999997</v>
      </c>
      <c r="W2173">
        <v>5.9963299999999997E-2</v>
      </c>
      <c r="X2173">
        <v>0.96357740000000003</v>
      </c>
      <c r="Y2173">
        <v>0.67743069999999905</v>
      </c>
      <c r="Z2173">
        <v>-1.5062859999999999E-3</v>
      </c>
      <c r="AA2173">
        <v>0.73558500000000004</v>
      </c>
      <c r="AB2173">
        <v>12</v>
      </c>
      <c r="AC2173">
        <v>34.927199999999999</v>
      </c>
      <c r="AD2173">
        <v>5.5652400000000002</v>
      </c>
      <c r="AE2173">
        <v>-75.7486999999999</v>
      </c>
      <c r="AF2173">
        <v>56.3353055447147</v>
      </c>
      <c r="AG2173">
        <v>5.5652400000000002</v>
      </c>
      <c r="AH2173">
        <v>61.0129131627912</v>
      </c>
      <c r="AI2173">
        <v>86.166006419090706</v>
      </c>
      <c r="AJ2173">
        <v>47.282653865306202</v>
      </c>
      <c r="AK2173">
        <v>83.229887178130099</v>
      </c>
      <c r="AL2173">
        <v>86.5622937736495</v>
      </c>
      <c r="AM2173">
        <v>74.865238772963295</v>
      </c>
      <c r="AN2173">
        <v>0.99999999801690498</v>
      </c>
    </row>
    <row r="2174" spans="1:40" x14ac:dyDescent="0.25">
      <c r="A2174" t="str">
        <f>"20190312150705777"</f>
        <v>20190312150705777</v>
      </c>
      <c r="B2174" t="str">
        <f>"1552374425771826"</f>
        <v>1552374425771826</v>
      </c>
      <c r="C2174" t="s">
        <v>40</v>
      </c>
      <c r="D2174">
        <v>4.4111539999999998</v>
      </c>
      <c r="E2174">
        <v>0.69774259999999999</v>
      </c>
      <c r="F2174" t="s">
        <v>49</v>
      </c>
      <c r="G2174">
        <v>-195.2184</v>
      </c>
      <c r="H2174" s="1">
        <v>-3.5272450000000001E-6</v>
      </c>
      <c r="I2174">
        <v>353.43189999999998</v>
      </c>
      <c r="J2174">
        <v>-199.65610000000001</v>
      </c>
      <c r="K2174">
        <v>1.1088420000000001</v>
      </c>
      <c r="L2174">
        <v>363.22739999999999</v>
      </c>
      <c r="M2174">
        <v>0.92236209999999996</v>
      </c>
      <c r="N2174">
        <v>0</v>
      </c>
      <c r="O2174">
        <v>-0.38607910000000001</v>
      </c>
      <c r="P2174">
        <v>0.78871840000000004</v>
      </c>
      <c r="Q2174">
        <v>4.8083319999999999E-2</v>
      </c>
      <c r="R2174">
        <v>-0.61287190000000002</v>
      </c>
      <c r="S2174">
        <v>1.4210210000000001</v>
      </c>
      <c r="T2174">
        <v>-0.35022419999999999</v>
      </c>
      <c r="U2174">
        <v>-3.1032099999999998</v>
      </c>
      <c r="V2174">
        <v>0.26111299999999998</v>
      </c>
      <c r="W2174">
        <v>6.009515E-2</v>
      </c>
      <c r="X2174">
        <v>0.96343579999999995</v>
      </c>
      <c r="Y2174">
        <v>0.67654399999999904</v>
      </c>
      <c r="Z2174">
        <v>2.7341169999999999E-3</v>
      </c>
      <c r="AA2174">
        <v>0.73639709999999903</v>
      </c>
      <c r="AB2174">
        <v>12</v>
      </c>
      <c r="AC2174">
        <v>4.4377000000000004</v>
      </c>
      <c r="AD2174">
        <v>-1.108845527245</v>
      </c>
      <c r="AE2174">
        <v>-9.7955000000000005</v>
      </c>
      <c r="AF2174">
        <v>7.2453616302171397</v>
      </c>
      <c r="AG2174">
        <v>-1.108845527245</v>
      </c>
      <c r="AH2174">
        <v>7.7929024317655902</v>
      </c>
      <c r="AI2174">
        <v>95.9492004514222</v>
      </c>
      <c r="AJ2174">
        <v>47.085209102876803</v>
      </c>
      <c r="AK2174">
        <v>10.6983237877217</v>
      </c>
      <c r="AL2174">
        <v>86.554725626084505</v>
      </c>
      <c r="AM2174">
        <v>74.835822421034393</v>
      </c>
      <c r="AN2174">
        <v>0.99999998327208095</v>
      </c>
    </row>
    <row r="2175" spans="1:40" x14ac:dyDescent="0.25">
      <c r="A2175" t="str">
        <f>"20190312150705790"</f>
        <v>20190312150705790</v>
      </c>
      <c r="B2175" t="str">
        <f>"1552374425782562"</f>
        <v>1552374425782562</v>
      </c>
      <c r="C2175" t="s">
        <v>40</v>
      </c>
      <c r="D2175">
        <v>4.4927429999999999</v>
      </c>
      <c r="E2175">
        <v>0.69774259999999999</v>
      </c>
      <c r="F2175" t="s">
        <v>49</v>
      </c>
      <c r="G2175">
        <v>-195.3399</v>
      </c>
      <c r="H2175" s="1">
        <v>-3.691926E-6</v>
      </c>
      <c r="I2175">
        <v>353.7056</v>
      </c>
      <c r="J2175">
        <v>-199.595</v>
      </c>
      <c r="K2175">
        <v>1.10883</v>
      </c>
      <c r="L2175">
        <v>363.19779999999997</v>
      </c>
      <c r="M2175">
        <v>0.92111229999999999</v>
      </c>
      <c r="N2175">
        <v>0</v>
      </c>
      <c r="O2175">
        <v>-0.38905129999999999</v>
      </c>
      <c r="P2175">
        <v>0.78647149999999999</v>
      </c>
      <c r="Q2175">
        <v>4.8344770000000002E-2</v>
      </c>
      <c r="R2175">
        <v>-0.61573180000000005</v>
      </c>
      <c r="S2175">
        <v>1.4095</v>
      </c>
      <c r="T2175">
        <v>-0.36210579999999998</v>
      </c>
      <c r="U2175">
        <v>-3.109467</v>
      </c>
      <c r="V2175">
        <v>0.26151439999999998</v>
      </c>
      <c r="W2175">
        <v>6.034693E-2</v>
      </c>
      <c r="X2175">
        <v>0.96331120000000003</v>
      </c>
      <c r="Y2175">
        <v>0.67690729999999999</v>
      </c>
      <c r="Z2175">
        <v>3.1639490000000001E-3</v>
      </c>
      <c r="AA2175">
        <v>0.73606149999999904</v>
      </c>
      <c r="AB2175">
        <v>12</v>
      </c>
      <c r="AC2175">
        <v>4.2550999999999899</v>
      </c>
      <c r="AD2175">
        <v>-1.108833691926</v>
      </c>
      <c r="AE2175">
        <v>-9.4921999999999596</v>
      </c>
      <c r="AF2175">
        <v>7.0089682354297098</v>
      </c>
      <c r="AG2175">
        <v>-1.108833691926</v>
      </c>
      <c r="AH2175">
        <v>7.5275734344334104</v>
      </c>
      <c r="AI2175">
        <v>96.153081545285602</v>
      </c>
      <c r="AJ2175">
        <v>47.043215853335298</v>
      </c>
      <c r="AK2175">
        <v>10.3450234263823</v>
      </c>
      <c r="AL2175">
        <v>86.540273525113506</v>
      </c>
      <c r="AM2175">
        <v>74.811713282952994</v>
      </c>
      <c r="AN2175">
        <v>1.0000000007066101</v>
      </c>
    </row>
    <row r="2176" spans="1:40" x14ac:dyDescent="0.25">
      <c r="A2176" t="str">
        <f>"20190312150705802"</f>
        <v>20190312150705802</v>
      </c>
      <c r="B2176" t="str">
        <f>"1552374425792322"</f>
        <v>1552374425792322</v>
      </c>
      <c r="C2176" t="s">
        <v>40</v>
      </c>
      <c r="D2176">
        <v>4.5495799999999997</v>
      </c>
      <c r="E2176">
        <v>0.69780209999999998</v>
      </c>
      <c r="F2176" t="s">
        <v>49</v>
      </c>
      <c r="G2176">
        <v>-195.28899999999999</v>
      </c>
      <c r="H2176" s="1">
        <v>-3.6278810000000001E-6</v>
      </c>
      <c r="I2176">
        <v>353.60070000000002</v>
      </c>
      <c r="J2176">
        <v>-199.5341</v>
      </c>
      <c r="K2176">
        <v>1.1088199999999999</v>
      </c>
      <c r="L2176">
        <v>363.16800000000001</v>
      </c>
      <c r="M2176">
        <v>0.91984779999999999</v>
      </c>
      <c r="N2176">
        <v>0</v>
      </c>
      <c r="O2176">
        <v>-0.39203159999999998</v>
      </c>
      <c r="P2176">
        <v>0.78400209999999904</v>
      </c>
      <c r="Q2176">
        <v>4.8776989999999999E-2</v>
      </c>
      <c r="R2176">
        <v>-0.61883909999999998</v>
      </c>
      <c r="S2176">
        <v>1.3977200000000001</v>
      </c>
      <c r="T2176">
        <v>-0.359931</v>
      </c>
      <c r="U2176">
        <v>-3.1152340000000001</v>
      </c>
      <c r="V2176">
        <v>0.26222220000000002</v>
      </c>
      <c r="W2176">
        <v>6.0766260000000002E-2</v>
      </c>
      <c r="X2176">
        <v>0.96309239999999996</v>
      </c>
      <c r="Y2176">
        <v>0.67737979999999998</v>
      </c>
      <c r="Z2176">
        <v>3.4741160000000002E-3</v>
      </c>
      <c r="AA2176">
        <v>0.73562530000000004</v>
      </c>
      <c r="AB2176">
        <v>12</v>
      </c>
      <c r="AC2176">
        <v>4.2450999999999697</v>
      </c>
      <c r="AD2176">
        <v>-1.108823627881</v>
      </c>
      <c r="AE2176">
        <v>-9.5672999999999799</v>
      </c>
      <c r="AF2176">
        <v>7.0577225020128997</v>
      </c>
      <c r="AG2176">
        <v>-1.108823627881</v>
      </c>
      <c r="AH2176">
        <v>7.5712918554056099</v>
      </c>
      <c r="AI2176">
        <v>96.114549477371995</v>
      </c>
      <c r="AJ2176">
        <v>47.010612352744097</v>
      </c>
      <c r="AK2176">
        <v>10.4098701775237</v>
      </c>
      <c r="AL2176">
        <v>86.516203494255905</v>
      </c>
      <c r="AM2176">
        <v>74.769212919722705</v>
      </c>
      <c r="AN2176">
        <v>0.99999999573249299</v>
      </c>
    </row>
    <row r="2177" spans="1:40" x14ac:dyDescent="0.25">
      <c r="A2177" t="str">
        <f>"20190312150705813"</f>
        <v>20190312150705813</v>
      </c>
      <c r="B2177" t="str">
        <f>"1552374425802082"</f>
        <v>1552374425802082</v>
      </c>
      <c r="C2177" t="s">
        <v>40</v>
      </c>
      <c r="D2177">
        <v>4.3397670000000002</v>
      </c>
      <c r="E2177">
        <v>0.69780209999999998</v>
      </c>
      <c r="F2177" t="s">
        <v>49</v>
      </c>
      <c r="G2177">
        <v>-196.4743</v>
      </c>
      <c r="H2177" s="1">
        <v>-5.1723240000000003E-6</v>
      </c>
      <c r="I2177">
        <v>356.27190000000002</v>
      </c>
      <c r="J2177">
        <v>-199.4778</v>
      </c>
      <c r="K2177">
        <v>1.108811</v>
      </c>
      <c r="L2177">
        <v>363.14010000000002</v>
      </c>
      <c r="M2177">
        <v>0.91865350000000001</v>
      </c>
      <c r="N2177">
        <v>0</v>
      </c>
      <c r="O2177">
        <v>-0.39482240000000002</v>
      </c>
      <c r="P2177">
        <v>0.78175939999999999</v>
      </c>
      <c r="Q2177">
        <v>4.9109729999999997E-2</v>
      </c>
      <c r="R2177">
        <v>-0.62164370000000002</v>
      </c>
      <c r="S2177">
        <v>1.3882289999999999</v>
      </c>
      <c r="T2177">
        <v>-0.50306390000000001</v>
      </c>
      <c r="U2177">
        <v>-3.1287229999999999</v>
      </c>
      <c r="V2177">
        <v>0.2627602</v>
      </c>
      <c r="W2177">
        <v>6.1089909999999997E-2</v>
      </c>
      <c r="X2177">
        <v>0.96292529999999998</v>
      </c>
      <c r="Y2177">
        <v>0.6768632</v>
      </c>
      <c r="Z2177">
        <v>5.3630809999999996E-3</v>
      </c>
      <c r="AA2177">
        <v>0.73608929999999995</v>
      </c>
      <c r="AB2177">
        <v>12</v>
      </c>
      <c r="AC2177">
        <v>3.0034999999999998</v>
      </c>
      <c r="AD2177">
        <v>-1.108816172324</v>
      </c>
      <c r="AE2177">
        <v>-6.8681999999999999</v>
      </c>
      <c r="AF2177">
        <v>5.0144237212807603</v>
      </c>
      <c r="AG2177">
        <v>-1.108816172324</v>
      </c>
      <c r="AH2177">
        <v>5.3542693762034199</v>
      </c>
      <c r="AI2177">
        <v>98.595374847711497</v>
      </c>
      <c r="AJ2177">
        <v>46.877262000194897</v>
      </c>
      <c r="AK2177">
        <v>7.41903761370033</v>
      </c>
      <c r="AL2177">
        <v>86.497625272682697</v>
      </c>
      <c r="AM2177">
        <v>74.736894949884302</v>
      </c>
      <c r="AN2177">
        <v>1.00000001659396</v>
      </c>
    </row>
    <row r="2178" spans="1:40" x14ac:dyDescent="0.25">
      <c r="A2178" t="str">
        <f>"20190312150705827"</f>
        <v>20190312150705827</v>
      </c>
      <c r="B2178" t="str">
        <f>"1552374425822110"</f>
        <v>1552374425822110</v>
      </c>
      <c r="C2178" t="s">
        <v>40</v>
      </c>
      <c r="D2178">
        <v>4.4731540000000001</v>
      </c>
      <c r="E2178">
        <v>0.69017479999999998</v>
      </c>
      <c r="F2178" t="s">
        <v>49</v>
      </c>
      <c r="G2178">
        <v>-196.43119999999999</v>
      </c>
      <c r="H2178" s="1">
        <v>-5.1316670000000001E-6</v>
      </c>
      <c r="I2178">
        <v>356.20510000000002</v>
      </c>
      <c r="J2178">
        <v>-199.40950000000001</v>
      </c>
      <c r="K2178">
        <v>1.1087990000000001</v>
      </c>
      <c r="L2178">
        <v>363.10610000000003</v>
      </c>
      <c r="M2178">
        <v>0.91718670000000002</v>
      </c>
      <c r="N2178">
        <v>0</v>
      </c>
      <c r="O2178">
        <v>-0.39821800000000002</v>
      </c>
      <c r="P2178">
        <v>0.77892479999999997</v>
      </c>
      <c r="Q2178">
        <v>4.8970590000000001E-2</v>
      </c>
      <c r="R2178">
        <v>-0.62520299999999995</v>
      </c>
      <c r="S2178">
        <v>1.376816</v>
      </c>
      <c r="T2178">
        <v>-0.50109519999999996</v>
      </c>
      <c r="U2178">
        <v>-3.134064</v>
      </c>
      <c r="V2178">
        <v>0.26358769999999998</v>
      </c>
      <c r="W2178">
        <v>6.0939029999999998E-2</v>
      </c>
      <c r="X2178">
        <v>0.96270869999999997</v>
      </c>
      <c r="Y2178">
        <v>0.67690209999999995</v>
      </c>
      <c r="Z2178">
        <v>5.9156859999999999E-3</v>
      </c>
      <c r="AA2178">
        <v>0.73604939999999996</v>
      </c>
      <c r="AB2178">
        <v>12</v>
      </c>
      <c r="AC2178">
        <v>2.9783000000000102</v>
      </c>
      <c r="AD2178">
        <v>-1.1088041316670001</v>
      </c>
      <c r="AE2178">
        <v>-6.9010000000000096</v>
      </c>
      <c r="AF2178">
        <v>5.0344228495461198</v>
      </c>
      <c r="AG2178">
        <v>-1.1088041316670001</v>
      </c>
      <c r="AH2178">
        <v>5.3635589914347603</v>
      </c>
      <c r="AI2178">
        <v>98.571737044019798</v>
      </c>
      <c r="AJ2178">
        <v>46.813026555642999</v>
      </c>
      <c r="AK2178">
        <v>7.43926240194783</v>
      </c>
      <c r="AL2178">
        <v>86.506286281501602</v>
      </c>
      <c r="AM2178">
        <v>74.687796779209194</v>
      </c>
      <c r="AN2178">
        <v>1.0000000410121499</v>
      </c>
    </row>
    <row r="2179" spans="1:40" x14ac:dyDescent="0.25">
      <c r="A2179" t="str">
        <f>"20190312150705838"</f>
        <v>20190312150705838</v>
      </c>
      <c r="B2179" t="str">
        <f>"1552374425831870"</f>
        <v>1552374425831870</v>
      </c>
      <c r="C2179" t="s">
        <v>40</v>
      </c>
      <c r="D2179">
        <v>4.2794910000000002</v>
      </c>
      <c r="E2179">
        <v>0.69021509999999997</v>
      </c>
      <c r="F2179" t="s">
        <v>55</v>
      </c>
      <c r="G2179">
        <v>-161.51499999999999</v>
      </c>
      <c r="H2179">
        <v>6.6740909999999998</v>
      </c>
      <c r="I2179">
        <v>279.55520000000001</v>
      </c>
      <c r="J2179">
        <v>-199.35230000000001</v>
      </c>
      <c r="K2179">
        <v>1.1087899999999999</v>
      </c>
      <c r="L2179">
        <v>363.07729999999998</v>
      </c>
      <c r="M2179">
        <v>0.91593469999999999</v>
      </c>
      <c r="N2179">
        <v>0</v>
      </c>
      <c r="O2179">
        <v>-0.40108909999999998</v>
      </c>
      <c r="P2179">
        <v>0.77641369999999998</v>
      </c>
      <c r="Q2179">
        <v>4.8680880000000003E-2</v>
      </c>
      <c r="R2179">
        <v>-0.62834100000000004</v>
      </c>
      <c r="S2179">
        <v>1.3859410000000001</v>
      </c>
      <c r="T2179">
        <v>0.20354559999999999</v>
      </c>
      <c r="U2179">
        <v>-3.0557560000000001</v>
      </c>
      <c r="V2179">
        <v>0.2644495</v>
      </c>
      <c r="W2179">
        <v>6.0639650000000003E-2</v>
      </c>
      <c r="X2179">
        <v>0.96249119999999999</v>
      </c>
      <c r="Y2179">
        <v>0.66808829999999997</v>
      </c>
      <c r="Z2179">
        <v>-3.044864E-3</v>
      </c>
      <c r="AA2179">
        <v>0.74407579999999995</v>
      </c>
      <c r="AB2179">
        <v>12</v>
      </c>
      <c r="AC2179">
        <v>37.837299999999999</v>
      </c>
      <c r="AD2179">
        <v>5.5653009999999998</v>
      </c>
      <c r="AE2179">
        <v>-83.522099999999895</v>
      </c>
      <c r="AF2179">
        <v>61.1054183713171</v>
      </c>
      <c r="AG2179">
        <v>5.5653009999999998</v>
      </c>
      <c r="AH2179">
        <v>67.912633425728004</v>
      </c>
      <c r="AI2179">
        <v>86.513932565309204</v>
      </c>
      <c r="AJ2179">
        <v>48.0202237117796</v>
      </c>
      <c r="AK2179">
        <v>91.525791492735095</v>
      </c>
      <c r="AL2179">
        <v>86.523471156783401</v>
      </c>
      <c r="AM2179">
        <v>74.636787339244293</v>
      </c>
      <c r="AN2179">
        <v>1.0000000076399</v>
      </c>
    </row>
    <row r="2180" spans="1:40" x14ac:dyDescent="0.25">
      <c r="A2180" t="str">
        <f>"20190312150705850"</f>
        <v>20190312150705850</v>
      </c>
      <c r="B2180" t="str">
        <f>"1552374425842606"</f>
        <v>1552374425842606</v>
      </c>
      <c r="C2180" t="s">
        <v>40</v>
      </c>
      <c r="D2180">
        <v>3.9843869999999999</v>
      </c>
      <c r="E2180">
        <v>0.68994999999999995</v>
      </c>
      <c r="F2180" t="s">
        <v>55</v>
      </c>
      <c r="G2180">
        <v>-160.7535</v>
      </c>
      <c r="H2180">
        <v>6.6740909999999998</v>
      </c>
      <c r="I2180">
        <v>277.04919999999998</v>
      </c>
      <c r="J2180">
        <v>-199.2987</v>
      </c>
      <c r="K2180">
        <v>1.1087819999999999</v>
      </c>
      <c r="L2180">
        <v>363.05</v>
      </c>
      <c r="M2180">
        <v>0.91474409999999895</v>
      </c>
      <c r="N2180">
        <v>0</v>
      </c>
      <c r="O2180">
        <v>-0.40379690000000001</v>
      </c>
      <c r="P2180">
        <v>0.77393789999999996</v>
      </c>
      <c r="Q2180">
        <v>4.8242309999999997E-2</v>
      </c>
      <c r="R2180">
        <v>-0.63142119999999902</v>
      </c>
      <c r="S2180">
        <v>1.373718</v>
      </c>
      <c r="T2180">
        <v>0.19806969999999999</v>
      </c>
      <c r="U2180">
        <v>-3.0617070000000002</v>
      </c>
      <c r="V2180">
        <v>0.26541500000000001</v>
      </c>
      <c r="W2180">
        <v>6.0190819999999999E-2</v>
      </c>
      <c r="X2180">
        <v>0.96225360000000004</v>
      </c>
      <c r="Y2180">
        <v>0.66892629999999997</v>
      </c>
      <c r="Z2180">
        <v>-3.1144660000000002E-3</v>
      </c>
      <c r="AA2180">
        <v>0.74332229999999999</v>
      </c>
      <c r="AB2180">
        <v>12</v>
      </c>
      <c r="AC2180">
        <v>38.545200000000001</v>
      </c>
      <c r="AD2180">
        <v>5.5653090000000001</v>
      </c>
      <c r="AE2180">
        <v>-86.000799999999998</v>
      </c>
      <c r="AF2180">
        <v>62.891016574601302</v>
      </c>
      <c r="AG2180">
        <v>5.5653090000000001</v>
      </c>
      <c r="AH2180">
        <v>69.749317351113902</v>
      </c>
      <c r="AI2180">
        <v>86.608717571612303</v>
      </c>
      <c r="AJ2180">
        <v>47.959899537280499</v>
      </c>
      <c r="AK2180">
        <v>94.080922088373796</v>
      </c>
      <c r="AL2180">
        <v>86.549234338309901</v>
      </c>
      <c r="AM2180">
        <v>74.579734887031194</v>
      </c>
      <c r="AN2180">
        <v>1.0000000238751099</v>
      </c>
    </row>
    <row r="2181" spans="1:40" x14ac:dyDescent="0.25">
      <c r="A2181" t="str">
        <f>"20190312150705861"</f>
        <v>20190312150705861</v>
      </c>
      <c r="B2181" t="str">
        <f>"1552374425852366"</f>
        <v>1552374425852366</v>
      </c>
      <c r="C2181" t="s">
        <v>40</v>
      </c>
      <c r="D2181">
        <v>3.9990860000000001</v>
      </c>
      <c r="E2181">
        <v>0.69002289999999999</v>
      </c>
      <c r="F2181" t="s">
        <v>55</v>
      </c>
      <c r="G2181">
        <v>-159.5727</v>
      </c>
      <c r="H2181">
        <v>6.6740909999999998</v>
      </c>
      <c r="I2181">
        <v>273.6721</v>
      </c>
      <c r="J2181">
        <v>-199.24270000000001</v>
      </c>
      <c r="K2181">
        <v>1.1087750000000001</v>
      </c>
      <c r="L2181">
        <v>363.0215</v>
      </c>
      <c r="M2181">
        <v>0.91348649999999998</v>
      </c>
      <c r="N2181">
        <v>0</v>
      </c>
      <c r="O2181">
        <v>-0.4066341</v>
      </c>
      <c r="P2181">
        <v>0.77132339999999999</v>
      </c>
      <c r="Q2181">
        <v>4.7273240000000001E-2</v>
      </c>
      <c r="R2181">
        <v>-0.63468599999999997</v>
      </c>
      <c r="S2181">
        <v>1.3628389999999999</v>
      </c>
      <c r="T2181">
        <v>0.1909257</v>
      </c>
      <c r="U2181">
        <v>-3.0661930000000002</v>
      </c>
      <c r="V2181">
        <v>0.26646589999999998</v>
      </c>
      <c r="W2181">
        <v>5.9212670000000002E-2</v>
      </c>
      <c r="X2181">
        <v>0.96202379999999998</v>
      </c>
      <c r="Y2181">
        <v>0.66925840000000003</v>
      </c>
      <c r="Z2181">
        <v>-3.178054E-3</v>
      </c>
      <c r="AA2181">
        <v>0.74302299999999999</v>
      </c>
      <c r="AB2181">
        <v>12</v>
      </c>
      <c r="AC2181">
        <v>39.67</v>
      </c>
      <c r="AD2181">
        <v>5.5653160000000002</v>
      </c>
      <c r="AE2181">
        <v>-89.349400000000003</v>
      </c>
      <c r="AF2181">
        <v>65.282983590699999</v>
      </c>
      <c r="AG2181">
        <v>5.5653160000000002</v>
      </c>
      <c r="AH2181">
        <v>72.343006477446593</v>
      </c>
      <c r="AI2181">
        <v>86.731226856243694</v>
      </c>
      <c r="AJ2181">
        <v>47.936620073957499</v>
      </c>
      <c r="AK2181">
        <v>97.603029025124798</v>
      </c>
      <c r="AL2181">
        <v>86.605378284602693</v>
      </c>
      <c r="AM2181">
        <v>74.518081161184099</v>
      </c>
      <c r="AN2181">
        <v>1.0000000039588799</v>
      </c>
    </row>
    <row r="2182" spans="1:40" x14ac:dyDescent="0.25">
      <c r="A2182" t="str">
        <f>"20190312150705873"</f>
        <v>20190312150705873</v>
      </c>
      <c r="B2182" t="str">
        <f>"1552374425862127"</f>
        <v>1552374425862127</v>
      </c>
      <c r="C2182" t="s">
        <v>40</v>
      </c>
      <c r="D2182">
        <v>4.0791950000000003</v>
      </c>
      <c r="E2182">
        <v>0.68970559999999903</v>
      </c>
      <c r="F2182" t="s">
        <v>55</v>
      </c>
      <c r="G2182">
        <v>-158.14619999999999</v>
      </c>
      <c r="H2182">
        <v>6.6740909999999998</v>
      </c>
      <c r="I2182">
        <v>269.46350000000001</v>
      </c>
      <c r="J2182">
        <v>-199.18379999999999</v>
      </c>
      <c r="K2182">
        <v>1.108771</v>
      </c>
      <c r="L2182">
        <v>362.99099999999999</v>
      </c>
      <c r="M2182">
        <v>0.91213909999999998</v>
      </c>
      <c r="N2182">
        <v>0</v>
      </c>
      <c r="O2182">
        <v>-0.40964709999999899</v>
      </c>
      <c r="P2182">
        <v>0.76868619999999899</v>
      </c>
      <c r="Q2182">
        <v>4.6268219999999999E-2</v>
      </c>
      <c r="R2182">
        <v>-0.63795040000000003</v>
      </c>
      <c r="S2182">
        <v>1.3497619999999999</v>
      </c>
      <c r="T2182">
        <v>0.1827878</v>
      </c>
      <c r="U2182">
        <v>-3.072784</v>
      </c>
      <c r="V2182">
        <v>0.26733970000000001</v>
      </c>
      <c r="W2182">
        <v>5.8200660000000001E-2</v>
      </c>
      <c r="X2182">
        <v>0.96184309999999995</v>
      </c>
      <c r="Y2182">
        <v>0.67007899999999998</v>
      </c>
      <c r="Z2182">
        <v>-3.202777E-3</v>
      </c>
      <c r="AA2182">
        <v>0.74228289999999997</v>
      </c>
      <c r="AB2182">
        <v>12</v>
      </c>
      <c r="AC2182">
        <v>41.037599999999998</v>
      </c>
      <c r="AD2182">
        <v>5.5653199999999998</v>
      </c>
      <c r="AE2182">
        <v>-93.527499999999904</v>
      </c>
      <c r="AF2182">
        <v>68.302913448421194</v>
      </c>
      <c r="AG2182">
        <v>5.5653199999999998</v>
      </c>
      <c r="AH2182">
        <v>75.528266979296006</v>
      </c>
      <c r="AI2182">
        <v>86.871792117434197</v>
      </c>
      <c r="AJ2182">
        <v>47.875833687549402</v>
      </c>
      <c r="AK2182">
        <v>101.984213901665</v>
      </c>
      <c r="AL2182">
        <v>86.663462322801294</v>
      </c>
      <c r="AM2182">
        <v>74.466982444929201</v>
      </c>
      <c r="AN2182">
        <v>0.99999999051906696</v>
      </c>
    </row>
    <row r="2183" spans="1:40" x14ac:dyDescent="0.25">
      <c r="A2183" t="str">
        <f>"20190312150705883"</f>
        <v>20190312150705883</v>
      </c>
      <c r="B2183" t="str">
        <f>"1552374425871886"</f>
        <v>1552374425871886</v>
      </c>
      <c r="C2183" t="s">
        <v>40</v>
      </c>
      <c r="D2183">
        <v>4.1094730000000004</v>
      </c>
      <c r="E2183">
        <v>0.68909629999999999</v>
      </c>
      <c r="F2183" t="s">
        <v>55</v>
      </c>
      <c r="G2183">
        <v>-157.8382</v>
      </c>
      <c r="H2183">
        <v>6.5069850000000002</v>
      </c>
      <c r="I2183">
        <v>267.9907</v>
      </c>
      <c r="J2183">
        <v>-199.1318</v>
      </c>
      <c r="K2183">
        <v>1.1087689999999999</v>
      </c>
      <c r="L2183">
        <v>362.964</v>
      </c>
      <c r="M2183">
        <v>0.91093780000000002</v>
      </c>
      <c r="N2183">
        <v>0</v>
      </c>
      <c r="O2183">
        <v>-0.41231190000000001</v>
      </c>
      <c r="P2183">
        <v>0.76629040000000004</v>
      </c>
      <c r="Q2183">
        <v>4.5597140000000001E-2</v>
      </c>
      <c r="R2183">
        <v>-0.64087479999999997</v>
      </c>
      <c r="S2183">
        <v>1.338959</v>
      </c>
      <c r="T2183">
        <v>0.174820899999999</v>
      </c>
      <c r="U2183">
        <v>-3.0765380000000002</v>
      </c>
      <c r="V2183">
        <v>0.2681731</v>
      </c>
      <c r="W2183">
        <v>5.752326E-2</v>
      </c>
      <c r="X2183">
        <v>0.9616519</v>
      </c>
      <c r="Y2183">
        <v>0.6704639</v>
      </c>
      <c r="Z2183">
        <v>-3.2128769999999998E-3</v>
      </c>
      <c r="AA2183">
        <v>0.74193529999999996</v>
      </c>
      <c r="AB2183">
        <v>12</v>
      </c>
      <c r="AC2183">
        <v>41.293599999999998</v>
      </c>
      <c r="AD2183">
        <v>5.3982159999999997</v>
      </c>
      <c r="AE2183">
        <v>-94.973299999999995</v>
      </c>
      <c r="AF2183">
        <v>69.3072589884938</v>
      </c>
      <c r="AG2183">
        <v>5.3982159999999997</v>
      </c>
      <c r="AH2183">
        <v>76.573808625228395</v>
      </c>
      <c r="AI2183">
        <v>87.008039657438999</v>
      </c>
      <c r="AJ2183">
        <v>47.851629781147601</v>
      </c>
      <c r="AK2183">
        <v>103.422362436051</v>
      </c>
      <c r="AL2183">
        <v>86.702339839357293</v>
      </c>
      <c r="AM2183">
        <v>74.417961319605794</v>
      </c>
      <c r="AN2183">
        <v>1.0000000568891201</v>
      </c>
    </row>
    <row r="2184" spans="1:40" x14ac:dyDescent="0.25">
      <c r="A2184" t="str">
        <f>"20190312150705895"</f>
        <v>20190312150705895</v>
      </c>
      <c r="B2184" t="str">
        <f>"1552374425892382"</f>
        <v>1552374425892382</v>
      </c>
      <c r="C2184" t="s">
        <v>40</v>
      </c>
      <c r="D2184">
        <v>4.4238850000000003</v>
      </c>
      <c r="E2184">
        <v>0.68880649999999999</v>
      </c>
      <c r="F2184" t="s">
        <v>55</v>
      </c>
      <c r="G2184">
        <v>-157.8382</v>
      </c>
      <c r="H2184">
        <v>6.3704919999999996</v>
      </c>
      <c r="I2184">
        <v>267.43329999999997</v>
      </c>
      <c r="J2184">
        <v>-199.07929999999999</v>
      </c>
      <c r="K2184">
        <v>1.1087670000000001</v>
      </c>
      <c r="L2184">
        <v>362.93630000000002</v>
      </c>
      <c r="M2184">
        <v>0.90970580000000001</v>
      </c>
      <c r="N2184">
        <v>0</v>
      </c>
      <c r="O2184">
        <v>-0.41502289999999997</v>
      </c>
      <c r="P2184">
        <v>0.76382410000000001</v>
      </c>
      <c r="Q2184">
        <v>4.5554669999999998E-2</v>
      </c>
      <c r="R2184">
        <v>-0.64381489999999997</v>
      </c>
      <c r="S2184">
        <v>1.3305359999999999</v>
      </c>
      <c r="T2184">
        <v>0.1695422</v>
      </c>
      <c r="U2184">
        <v>-3.078125</v>
      </c>
      <c r="V2184">
        <v>0.26900410000000002</v>
      </c>
      <c r="W2184">
        <v>5.7475180000000001E-2</v>
      </c>
      <c r="X2184">
        <v>0.96142260000000002</v>
      </c>
      <c r="Y2184">
        <v>0.67012539999999998</v>
      </c>
      <c r="Z2184">
        <v>-3.2907180000000002E-3</v>
      </c>
      <c r="AA2184">
        <v>0.74224060000000003</v>
      </c>
      <c r="AB2184">
        <v>12</v>
      </c>
      <c r="AC2184">
        <v>41.241099999999904</v>
      </c>
      <c r="AD2184">
        <v>5.2617249999999904</v>
      </c>
      <c r="AE2184">
        <v>-95.503</v>
      </c>
      <c r="AF2184">
        <v>69.592265168984596</v>
      </c>
      <c r="AG2184">
        <v>5.2617249999999904</v>
      </c>
      <c r="AH2184">
        <v>76.963681274115302</v>
      </c>
      <c r="AI2184">
        <v>87.097034792230104</v>
      </c>
      <c r="AJ2184">
        <v>47.879415131234303</v>
      </c>
      <c r="AK2184">
        <v>103.89503047109299</v>
      </c>
      <c r="AL2184">
        <v>86.705099027385998</v>
      </c>
      <c r="AM2184">
        <v>74.368487578616893</v>
      </c>
      <c r="AN2184">
        <v>1.0000000089618</v>
      </c>
    </row>
    <row r="2185" spans="1:40" x14ac:dyDescent="0.25">
      <c r="A2185" t="str">
        <f>"20190312150705906"</f>
        <v>20190312150705906</v>
      </c>
      <c r="B2185" t="str">
        <f>"1552374425902142"</f>
        <v>1552374425902142</v>
      </c>
      <c r="C2185" t="s">
        <v>40</v>
      </c>
      <c r="D2185">
        <v>4.4299359999999997</v>
      </c>
      <c r="E2185">
        <v>0.68487240000000005</v>
      </c>
      <c r="F2185" t="s">
        <v>56</v>
      </c>
      <c r="G2185">
        <v>-153.13939999999999</v>
      </c>
      <c r="H2185">
        <v>6.9011760000000004</v>
      </c>
      <c r="I2185">
        <v>255.6832</v>
      </c>
      <c r="J2185">
        <v>-199.02619999999999</v>
      </c>
      <c r="K2185">
        <v>1.10877</v>
      </c>
      <c r="L2185">
        <v>362.90839999999997</v>
      </c>
      <c r="M2185">
        <v>0.90844950000000002</v>
      </c>
      <c r="N2185">
        <v>0</v>
      </c>
      <c r="O2185">
        <v>-0.41776530000000001</v>
      </c>
      <c r="P2185">
        <v>0.76143729999999998</v>
      </c>
      <c r="Q2185">
        <v>4.535521E-2</v>
      </c>
      <c r="R2185">
        <v>-0.64665010000000001</v>
      </c>
      <c r="S2185">
        <v>1.3200529999999999</v>
      </c>
      <c r="T2185">
        <v>0.1664426</v>
      </c>
      <c r="U2185">
        <v>-3.0818479999999999</v>
      </c>
      <c r="V2185">
        <v>0.26967200000000002</v>
      </c>
      <c r="W2185">
        <v>5.7271429999999998E-2</v>
      </c>
      <c r="X2185">
        <v>0.96124759999999998</v>
      </c>
      <c r="Y2185">
        <v>0.67035679999999997</v>
      </c>
      <c r="Z2185">
        <v>-3.3833119999999999E-3</v>
      </c>
      <c r="AA2185">
        <v>0.74203129999999995</v>
      </c>
      <c r="AB2185">
        <v>12</v>
      </c>
      <c r="AC2185">
        <v>45.886800000000001</v>
      </c>
      <c r="AD2185">
        <v>5.7924059999999997</v>
      </c>
      <c r="AE2185">
        <v>-107.22519999999901</v>
      </c>
      <c r="AF2185">
        <v>78.053742505134096</v>
      </c>
      <c r="AG2185">
        <v>5.7924059999999997</v>
      </c>
      <c r="AH2185">
        <v>86.276292998746698</v>
      </c>
      <c r="AI2185">
        <v>87.149780936531798</v>
      </c>
      <c r="AJ2185">
        <v>47.864508926427497</v>
      </c>
      <c r="AK2185">
        <v>116.488357443704</v>
      </c>
      <c r="AL2185">
        <v>86.716792196546294</v>
      </c>
      <c r="AM2185">
        <v>74.328868343125094</v>
      </c>
      <c r="AN2185">
        <v>0.999999976392002</v>
      </c>
    </row>
    <row r="2186" spans="1:40" x14ac:dyDescent="0.25">
      <c r="A2186" t="str">
        <f>"20190312150705916"</f>
        <v>20190312150705916</v>
      </c>
      <c r="B2186" t="str">
        <f>"1552374425911902"</f>
        <v>1552374425911902</v>
      </c>
      <c r="C2186" t="s">
        <v>40</v>
      </c>
      <c r="D2186">
        <v>4.0871709999999997</v>
      </c>
      <c r="E2186">
        <v>0.68529949999999995</v>
      </c>
      <c r="F2186" t="s">
        <v>55</v>
      </c>
      <c r="G2186">
        <v>-157.8382</v>
      </c>
      <c r="H2186">
        <v>4.6381579999999998</v>
      </c>
      <c r="I2186">
        <v>267.98020000000002</v>
      </c>
      <c r="J2186">
        <v>-198.9742</v>
      </c>
      <c r="K2186">
        <v>1.108773</v>
      </c>
      <c r="L2186">
        <v>362.88049999999998</v>
      </c>
      <c r="M2186">
        <v>0.9071979</v>
      </c>
      <c r="N2186">
        <v>0</v>
      </c>
      <c r="O2186">
        <v>-0.42047669999999998</v>
      </c>
      <c r="P2186">
        <v>0.75906839999999998</v>
      </c>
      <c r="Q2186">
        <v>4.535343E-2</v>
      </c>
      <c r="R2186">
        <v>-0.6494297</v>
      </c>
      <c r="S2186">
        <v>1.329971</v>
      </c>
      <c r="T2186">
        <v>0.113966899999999</v>
      </c>
      <c r="U2186">
        <v>-3.0652469999999998</v>
      </c>
      <c r="V2186">
        <v>0.27031519999999998</v>
      </c>
      <c r="W2186">
        <v>5.726618E-2</v>
      </c>
      <c r="X2186">
        <v>0.96106729999999996</v>
      </c>
      <c r="Y2186">
        <v>0.66480280000000003</v>
      </c>
      <c r="Z2186">
        <v>-2.5663629999999999E-3</v>
      </c>
      <c r="AA2186">
        <v>0.74701450000000003</v>
      </c>
      <c r="AB2186">
        <v>12</v>
      </c>
      <c r="AC2186">
        <v>41.136000000000003</v>
      </c>
      <c r="AD2186">
        <v>3.529385</v>
      </c>
      <c r="AE2186">
        <v>-94.900299999999902</v>
      </c>
      <c r="AF2186">
        <v>68.723186930466198</v>
      </c>
      <c r="AG2186">
        <v>3.529385</v>
      </c>
      <c r="AH2186">
        <v>77.139427930289798</v>
      </c>
      <c r="AI2186">
        <v>88.043399924649094</v>
      </c>
      <c r="AJ2186">
        <v>48.3022924687291</v>
      </c>
      <c r="AK2186">
        <v>103.37226089125799</v>
      </c>
      <c r="AL2186">
        <v>86.717093699404899</v>
      </c>
      <c r="AM2186">
        <v>74.290532265021696</v>
      </c>
      <c r="AN2186">
        <v>1.0000000389260599</v>
      </c>
    </row>
    <row r="2187" spans="1:40" x14ac:dyDescent="0.25">
      <c r="A2187" t="str">
        <f>"20190312150705927"</f>
        <v>20190312150705927</v>
      </c>
      <c r="B2187" t="str">
        <f>"1552374425922638"</f>
        <v>1552374425922638</v>
      </c>
      <c r="C2187" t="s">
        <v>40</v>
      </c>
      <c r="D2187">
        <v>4.4476069999999996</v>
      </c>
      <c r="E2187">
        <v>0.68460969999999999</v>
      </c>
      <c r="F2187" t="s">
        <v>56</v>
      </c>
      <c r="G2187">
        <v>-152.5145</v>
      </c>
      <c r="H2187">
        <v>5.1108339999999997</v>
      </c>
      <c r="I2187">
        <v>254.45500000000001</v>
      </c>
      <c r="J2187">
        <v>-198.92339999999999</v>
      </c>
      <c r="K2187">
        <v>1.108773</v>
      </c>
      <c r="L2187">
        <v>362.85329999999999</v>
      </c>
      <c r="M2187">
        <v>0.90596770000000004</v>
      </c>
      <c r="N2187">
        <v>0</v>
      </c>
      <c r="O2187">
        <v>-0.42312060000000001</v>
      </c>
      <c r="P2187">
        <v>0.75678319999999999</v>
      </c>
      <c r="Q2187">
        <v>4.4829729999999998E-2</v>
      </c>
      <c r="R2187">
        <v>-0.65212689999999995</v>
      </c>
      <c r="S2187">
        <v>1.316605</v>
      </c>
      <c r="T2187">
        <v>0.1134145</v>
      </c>
      <c r="U2187">
        <v>-3.072632</v>
      </c>
      <c r="V2187">
        <v>0.27091680000000001</v>
      </c>
      <c r="W2187">
        <v>5.6739659999999997E-2</v>
      </c>
      <c r="X2187">
        <v>0.96092909999999998</v>
      </c>
      <c r="Y2187">
        <v>0.66602229999999996</v>
      </c>
      <c r="Z2187">
        <v>-2.629606E-3</v>
      </c>
      <c r="AA2187">
        <v>0.74592720000000001</v>
      </c>
      <c r="AB2187">
        <v>12</v>
      </c>
      <c r="AC2187">
        <v>46.408899999999903</v>
      </c>
      <c r="AD2187">
        <v>4.0020609999999897</v>
      </c>
      <c r="AE2187">
        <v>-108.398299999999</v>
      </c>
      <c r="AF2187">
        <v>78.485909606734694</v>
      </c>
      <c r="AG2187">
        <v>4.0020609999999897</v>
      </c>
      <c r="AH2187">
        <v>87.817775625666101</v>
      </c>
      <c r="AI2187">
        <v>88.053879443916003</v>
      </c>
      <c r="AJ2187">
        <v>48.2116931969219</v>
      </c>
      <c r="AK2187">
        <v>117.847427697358</v>
      </c>
      <c r="AL2187">
        <v>86.747310137201893</v>
      </c>
      <c r="AM2187">
        <v>74.255149697811802</v>
      </c>
      <c r="AN2187">
        <v>1.00000001838298</v>
      </c>
    </row>
    <row r="2188" spans="1:40" x14ac:dyDescent="0.25">
      <c r="A2188" t="str">
        <f>"20190312150705938"</f>
        <v>20190312150705938</v>
      </c>
      <c r="B2188" t="str">
        <f>"1552374425932398"</f>
        <v>1552374425932398</v>
      </c>
      <c r="C2188" t="s">
        <v>40</v>
      </c>
      <c r="D2188">
        <v>4.4249020000000003</v>
      </c>
      <c r="E2188">
        <v>0.68400130000000003</v>
      </c>
      <c r="F2188" t="s">
        <v>56</v>
      </c>
      <c r="G2188">
        <v>-152.7569</v>
      </c>
      <c r="H2188">
        <v>5.2766970000000004</v>
      </c>
      <c r="I2188">
        <v>254.45500000000001</v>
      </c>
      <c r="J2188">
        <v>-198.8691</v>
      </c>
      <c r="K2188">
        <v>1.1087750000000001</v>
      </c>
      <c r="L2188">
        <v>362.82389999999998</v>
      </c>
      <c r="M2188">
        <v>0.90463510000000003</v>
      </c>
      <c r="N2188">
        <v>0</v>
      </c>
      <c r="O2188">
        <v>-0.42596210000000001</v>
      </c>
      <c r="P2188">
        <v>0.75443850000000001</v>
      </c>
      <c r="Q2188">
        <v>4.4068690000000001E-2</v>
      </c>
      <c r="R2188">
        <v>-0.65488979999999997</v>
      </c>
      <c r="S2188">
        <v>1.308899</v>
      </c>
      <c r="T2188">
        <v>0.1181692</v>
      </c>
      <c r="U2188">
        <v>-3.0732729999999999</v>
      </c>
      <c r="V2188">
        <v>0.27139099999999999</v>
      </c>
      <c r="W2188">
        <v>5.5977939999999997E-2</v>
      </c>
      <c r="X2188">
        <v>0.96083989999999997</v>
      </c>
      <c r="Y2188">
        <v>0.66530940000000005</v>
      </c>
      <c r="Z2188">
        <v>-2.8777609999999999E-3</v>
      </c>
      <c r="AA2188">
        <v>0.74656219999999995</v>
      </c>
      <c r="AB2188">
        <v>12</v>
      </c>
      <c r="AC2188">
        <v>46.112200000000001</v>
      </c>
      <c r="AD2188">
        <v>4.1679219999999999</v>
      </c>
      <c r="AE2188">
        <v>-108.368899999999</v>
      </c>
      <c r="AF2188">
        <v>78.301704781169803</v>
      </c>
      <c r="AG2188">
        <v>4.1679219999999999</v>
      </c>
      <c r="AH2188">
        <v>87.7742474687022</v>
      </c>
      <c r="AI2188">
        <v>87.970619395876</v>
      </c>
      <c r="AJ2188">
        <v>48.264466049166103</v>
      </c>
      <c r="AK2188">
        <v>117.698118354256</v>
      </c>
      <c r="AL2188">
        <v>86.791022766048698</v>
      </c>
      <c r="AM2188">
        <v>74.227569375579094</v>
      </c>
      <c r="AN2188">
        <v>0.99999995903982597</v>
      </c>
    </row>
    <row r="2189" spans="1:40" x14ac:dyDescent="0.25">
      <c r="A2189" t="str">
        <f>"20190312150705949"</f>
        <v>20190312150705949</v>
      </c>
      <c r="B2189" t="str">
        <f>"1552374425942158"</f>
        <v>1552374425942158</v>
      </c>
      <c r="C2189" t="s">
        <v>40</v>
      </c>
      <c r="D2189">
        <v>4.6640459999999999</v>
      </c>
      <c r="E2189">
        <v>0.68295810000000001</v>
      </c>
      <c r="F2189" t="s">
        <v>56</v>
      </c>
      <c r="G2189">
        <v>-152.99369999999999</v>
      </c>
      <c r="H2189">
        <v>5.2438640000000003</v>
      </c>
      <c r="I2189">
        <v>254.45500000000001</v>
      </c>
      <c r="J2189">
        <v>-198.81899999999999</v>
      </c>
      <c r="K2189">
        <v>1.1087750000000001</v>
      </c>
      <c r="L2189">
        <v>362.79660000000001</v>
      </c>
      <c r="M2189">
        <v>0.90339320000000001</v>
      </c>
      <c r="N2189">
        <v>0</v>
      </c>
      <c r="O2189">
        <v>-0.42858990000000002</v>
      </c>
      <c r="P2189">
        <v>0.75238300000000002</v>
      </c>
      <c r="Q2189">
        <v>4.3433680000000002E-2</v>
      </c>
      <c r="R2189">
        <v>-0.6572924</v>
      </c>
      <c r="S2189">
        <v>1.3012699999999999</v>
      </c>
      <c r="T2189">
        <v>0.1172945</v>
      </c>
      <c r="U2189">
        <v>-3.0739139999999998</v>
      </c>
      <c r="V2189">
        <v>0.27164270000000001</v>
      </c>
      <c r="W2189">
        <v>5.5344249999999998E-2</v>
      </c>
      <c r="X2189">
        <v>0.96080549999999998</v>
      </c>
      <c r="Y2189">
        <v>0.66476859999999904</v>
      </c>
      <c r="Z2189">
        <v>-2.9806070000000001E-3</v>
      </c>
      <c r="AA2189">
        <v>0.74704340000000002</v>
      </c>
      <c r="AB2189">
        <v>12</v>
      </c>
      <c r="AC2189">
        <v>45.825299999999999</v>
      </c>
      <c r="AD2189">
        <v>4.1350889999999998</v>
      </c>
      <c r="AE2189">
        <v>-108.3416</v>
      </c>
      <c r="AF2189">
        <v>78.145731098155096</v>
      </c>
      <c r="AG2189">
        <v>4.1350889999999998</v>
      </c>
      <c r="AH2189">
        <v>87.732379890245397</v>
      </c>
      <c r="AI2189">
        <v>87.984280462135203</v>
      </c>
      <c r="AJ2189">
        <v>48.307634723565599</v>
      </c>
      <c r="AK2189">
        <v>117.56200377294201</v>
      </c>
      <c r="AL2189">
        <v>86.827386958042794</v>
      </c>
      <c r="AM2189">
        <v>74.213133136170995</v>
      </c>
      <c r="AN2189">
        <v>0.99999997565080001</v>
      </c>
    </row>
    <row r="2190" spans="1:40" x14ac:dyDescent="0.25">
      <c r="A2190" t="str">
        <f>"20190312150705959"</f>
        <v>20190312150705959</v>
      </c>
      <c r="B2190" t="str">
        <f>"1552374425951918"</f>
        <v>1552374425951918</v>
      </c>
      <c r="C2190" t="s">
        <v>40</v>
      </c>
      <c r="D2190">
        <v>4.3493149999999998</v>
      </c>
      <c r="E2190">
        <v>0.6836373</v>
      </c>
      <c r="F2190" t="s">
        <v>56</v>
      </c>
      <c r="G2190">
        <v>-153.08029999999999</v>
      </c>
      <c r="H2190">
        <v>5.1773610000000003</v>
      </c>
      <c r="I2190">
        <v>254.45500000000001</v>
      </c>
      <c r="J2190">
        <v>-198.76589999999999</v>
      </c>
      <c r="K2190">
        <v>1.1087739999999999</v>
      </c>
      <c r="L2190">
        <v>362.76740000000001</v>
      </c>
      <c r="M2190">
        <v>0.90206399999999998</v>
      </c>
      <c r="N2190">
        <v>0</v>
      </c>
      <c r="O2190">
        <v>-0.4313805</v>
      </c>
      <c r="P2190">
        <v>0.75040790000000002</v>
      </c>
      <c r="Q2190">
        <v>4.2610530000000001E-2</v>
      </c>
      <c r="R2190">
        <v>-0.65960039999999998</v>
      </c>
      <c r="S2190">
        <v>1.296921</v>
      </c>
      <c r="T2190">
        <v>0.1153662</v>
      </c>
      <c r="U2190">
        <v>-3.0720209999999999</v>
      </c>
      <c r="V2190">
        <v>0.27159809999999901</v>
      </c>
      <c r="W2190">
        <v>5.4525329999999997E-2</v>
      </c>
      <c r="X2190">
        <v>0.96086499999999997</v>
      </c>
      <c r="Y2190">
        <v>0.66319629999999996</v>
      </c>
      <c r="Z2190">
        <v>-3.0862089999999999E-3</v>
      </c>
      <c r="AA2190">
        <v>0.74843909999999902</v>
      </c>
      <c r="AB2190">
        <v>12</v>
      </c>
      <c r="AC2190">
        <v>45.685600000000001</v>
      </c>
      <c r="AD2190">
        <v>4.068587</v>
      </c>
      <c r="AE2190">
        <v>-108.3124</v>
      </c>
      <c r="AF2190">
        <v>77.910976248310902</v>
      </c>
      <c r="AG2190">
        <v>4.068587</v>
      </c>
      <c r="AH2190">
        <v>87.838388040740696</v>
      </c>
      <c r="AI2190">
        <v>88.015376872130702</v>
      </c>
      <c r="AJ2190">
        <v>48.4275854281777</v>
      </c>
      <c r="AK2190">
        <v>117.48300316955201</v>
      </c>
      <c r="AL2190">
        <v>86.874378793712793</v>
      </c>
      <c r="AM2190">
        <v>74.216524663022497</v>
      </c>
      <c r="AN2190">
        <v>1.0000000438801</v>
      </c>
    </row>
    <row r="2191" spans="1:40" x14ac:dyDescent="0.25">
      <c r="A2191" t="str">
        <f>"20190312150705971"</f>
        <v>20190312150705971</v>
      </c>
      <c r="B2191" t="str">
        <f>"1552374425962655"</f>
        <v>1552374425962655</v>
      </c>
      <c r="C2191" t="s">
        <v>40</v>
      </c>
      <c r="D2191">
        <v>4.4852119999999998</v>
      </c>
      <c r="E2191">
        <v>0.6836373</v>
      </c>
      <c r="F2191" t="s">
        <v>56</v>
      </c>
      <c r="G2191">
        <v>-153.60399999999899</v>
      </c>
      <c r="H2191">
        <v>5.2598500000000001</v>
      </c>
      <c r="I2191">
        <v>254.45500000000001</v>
      </c>
      <c r="J2191">
        <v>-198.7148</v>
      </c>
      <c r="K2191">
        <v>1.108776</v>
      </c>
      <c r="L2191">
        <v>362.73910000000001</v>
      </c>
      <c r="M2191">
        <v>0.90077019999999997</v>
      </c>
      <c r="N2191">
        <v>0</v>
      </c>
      <c r="O2191">
        <v>-0.43407600000000002</v>
      </c>
      <c r="P2191">
        <v>0.74864259999999905</v>
      </c>
      <c r="Q2191">
        <v>4.1540210000000001E-2</v>
      </c>
      <c r="R2191">
        <v>-0.66167159999999903</v>
      </c>
      <c r="S2191">
        <v>1.284119</v>
      </c>
      <c r="T2191">
        <v>0.1180317</v>
      </c>
      <c r="U2191">
        <v>-3.0797119999999998</v>
      </c>
      <c r="V2191">
        <v>0.27134770000000002</v>
      </c>
      <c r="W2191">
        <v>5.3461160000000001E-2</v>
      </c>
      <c r="X2191">
        <v>0.9609955</v>
      </c>
      <c r="Y2191">
        <v>0.66426879999999999</v>
      </c>
      <c r="Z2191">
        <v>-3.2420019999999999E-3</v>
      </c>
      <c r="AA2191">
        <v>0.74748680000000001</v>
      </c>
      <c r="AB2191">
        <v>12</v>
      </c>
      <c r="AC2191">
        <v>45.110799999999998</v>
      </c>
      <c r="AD2191">
        <v>4.1510739999999897</v>
      </c>
      <c r="AE2191">
        <v>-108.2841</v>
      </c>
      <c r="AF2191">
        <v>77.867514534387496</v>
      </c>
      <c r="AG2191">
        <v>4.1510739999999897</v>
      </c>
      <c r="AH2191">
        <v>87.536749796129499</v>
      </c>
      <c r="AI2191">
        <v>87.970780804439499</v>
      </c>
      <c r="AJ2191">
        <v>48.345600458204103</v>
      </c>
      <c r="AK2191">
        <v>117.231667223437</v>
      </c>
      <c r="AL2191">
        <v>86.935440211534001</v>
      </c>
      <c r="AM2191">
        <v>74.232387074743102</v>
      </c>
      <c r="AN2191">
        <v>1.0000000104720399</v>
      </c>
    </row>
    <row r="2192" spans="1:40" x14ac:dyDescent="0.25">
      <c r="A2192" t="str">
        <f>"20190312150705984"</f>
        <v>20190312150705984</v>
      </c>
      <c r="B2192" t="str">
        <f>"1552374425972414"</f>
        <v>1552374425972414</v>
      </c>
      <c r="C2192" t="s">
        <v>40</v>
      </c>
      <c r="D2192">
        <v>4.3382750000000003</v>
      </c>
      <c r="E2192">
        <v>0.68829269999999998</v>
      </c>
      <c r="F2192" t="s">
        <v>56</v>
      </c>
      <c r="G2192">
        <v>-153.9323</v>
      </c>
      <c r="H2192">
        <v>5.1496199999999996</v>
      </c>
      <c r="I2192">
        <v>254.45500000000001</v>
      </c>
      <c r="J2192">
        <v>-198.6567</v>
      </c>
      <c r="K2192">
        <v>1.1087769999999999</v>
      </c>
      <c r="L2192">
        <v>362.70670000000001</v>
      </c>
      <c r="M2192">
        <v>0.89928539999999901</v>
      </c>
      <c r="N2192">
        <v>0</v>
      </c>
      <c r="O2192">
        <v>-0.43714340000000002</v>
      </c>
      <c r="P2192">
        <v>0.74637609999999999</v>
      </c>
      <c r="Q2192">
        <v>4.0270149999999998E-2</v>
      </c>
      <c r="R2192">
        <v>-0.66430529999999999</v>
      </c>
      <c r="S2192">
        <v>1.2753300000000001</v>
      </c>
      <c r="T2192">
        <v>0.1150777</v>
      </c>
      <c r="U2192">
        <v>-3.0837400000000001</v>
      </c>
      <c r="V2192">
        <v>0.27142050000000001</v>
      </c>
      <c r="W2192">
        <v>5.219501E-2</v>
      </c>
      <c r="X2192">
        <v>0.96104449999999997</v>
      </c>
      <c r="Y2192">
        <v>0.66389359999999997</v>
      </c>
      <c r="Z2192">
        <v>-3.294693E-3</v>
      </c>
      <c r="AA2192">
        <v>0.74781969999999998</v>
      </c>
      <c r="AB2192">
        <v>12</v>
      </c>
      <c r="AC2192">
        <v>44.724400000000003</v>
      </c>
      <c r="AD2192">
        <v>4.0408429999999997</v>
      </c>
      <c r="AE2192">
        <v>-108.2517</v>
      </c>
      <c r="AF2192">
        <v>77.713147556713594</v>
      </c>
      <c r="AG2192">
        <v>4.0408429999999997</v>
      </c>
      <c r="AH2192">
        <v>87.445815177681695</v>
      </c>
      <c r="AI2192">
        <v>88.021745927190693</v>
      </c>
      <c r="AJ2192">
        <v>48.372488030073299</v>
      </c>
      <c r="AK2192">
        <v>117.057388948376</v>
      </c>
      <c r="AL2192">
        <v>87.008086584500205</v>
      </c>
      <c r="AM2192">
        <v>74.229131354296399</v>
      </c>
      <c r="AN2192">
        <v>0.999999968934699</v>
      </c>
    </row>
    <row r="2193" spans="1:40" x14ac:dyDescent="0.25">
      <c r="A2193" t="str">
        <f>"20190312150705998"</f>
        <v>20190312150705998</v>
      </c>
      <c r="B2193" t="str">
        <f>"1552374425991934"</f>
        <v>1552374425991934</v>
      </c>
      <c r="C2193" t="s">
        <v>40</v>
      </c>
      <c r="D2193">
        <v>4.4233010000000004</v>
      </c>
      <c r="E2193">
        <v>0.70901380000000003</v>
      </c>
      <c r="F2193" t="s">
        <v>56</v>
      </c>
      <c r="G2193">
        <v>-155.77269999999999</v>
      </c>
      <c r="H2193">
        <v>4.7487349999999999</v>
      </c>
      <c r="I2193">
        <v>254.97470000000001</v>
      </c>
      <c r="J2193">
        <v>-198.5899</v>
      </c>
      <c r="K2193">
        <v>1.108781</v>
      </c>
      <c r="L2193">
        <v>362.66910000000001</v>
      </c>
      <c r="M2193">
        <v>0.89755560000000001</v>
      </c>
      <c r="N2193">
        <v>0</v>
      </c>
      <c r="O2193">
        <v>-0.44068439999999998</v>
      </c>
      <c r="P2193">
        <v>0.74394019999999905</v>
      </c>
      <c r="Q2193">
        <v>3.8872440000000001E-2</v>
      </c>
      <c r="R2193">
        <v>-0.66711489999999996</v>
      </c>
      <c r="S2193">
        <v>1.240372</v>
      </c>
      <c r="T2193">
        <v>0.1052833</v>
      </c>
      <c r="U2193">
        <v>-3.116028</v>
      </c>
      <c r="V2193">
        <v>0.27121580000000001</v>
      </c>
      <c r="W2193">
        <v>5.0803069999999999E-2</v>
      </c>
      <c r="X2193">
        <v>0.9611769</v>
      </c>
      <c r="Y2193">
        <v>0.67089140000000003</v>
      </c>
      <c r="Z2193">
        <v>-2.9793879999999999E-3</v>
      </c>
      <c r="AA2193">
        <v>0.74154969999999998</v>
      </c>
      <c r="AB2193">
        <v>12</v>
      </c>
      <c r="AC2193">
        <v>42.8172</v>
      </c>
      <c r="AD2193">
        <v>3.6399539999999999</v>
      </c>
      <c r="AE2193">
        <v>-107.6944</v>
      </c>
      <c r="AF2193">
        <v>77.723608287171004</v>
      </c>
      <c r="AG2193">
        <v>3.6399539999999999</v>
      </c>
      <c r="AH2193">
        <v>85.813622165031802</v>
      </c>
      <c r="AI2193">
        <v>88.199292737734496</v>
      </c>
      <c r="AJ2193">
        <v>47.832052960068602</v>
      </c>
      <c r="AK2193">
        <v>115.83689524233</v>
      </c>
      <c r="AL2193">
        <v>87.087944932752094</v>
      </c>
      <c r="AM2193">
        <v>74.242497353993997</v>
      </c>
      <c r="AN2193">
        <v>0.99999999759233704</v>
      </c>
    </row>
    <row r="2194" spans="1:40" x14ac:dyDescent="0.25">
      <c r="A2194" t="str">
        <f>"20190312150706012"</f>
        <v>20190312150706012</v>
      </c>
      <c r="B2194" t="str">
        <f>"1552374426002670"</f>
        <v>1552374426002670</v>
      </c>
      <c r="C2194" t="s">
        <v>40</v>
      </c>
      <c r="D2194">
        <v>4.435384</v>
      </c>
      <c r="E2194">
        <v>0.70932050000000002</v>
      </c>
      <c r="F2194" t="s">
        <v>49</v>
      </c>
      <c r="G2194">
        <v>-195.11799999999999</v>
      </c>
      <c r="H2194" s="1">
        <v>-3.064268E-6</v>
      </c>
      <c r="I2194">
        <v>352.55610000000001</v>
      </c>
      <c r="J2194">
        <v>-198.52189999999999</v>
      </c>
      <c r="K2194">
        <v>1.1087750000000001</v>
      </c>
      <c r="L2194">
        <v>362.63049999999998</v>
      </c>
      <c r="M2194">
        <v>0.89577090000000004</v>
      </c>
      <c r="N2194">
        <v>0</v>
      </c>
      <c r="O2194">
        <v>-0.444301</v>
      </c>
      <c r="P2194">
        <v>0.74169110000000005</v>
      </c>
      <c r="Q2194">
        <v>3.6030670000000001E-2</v>
      </c>
      <c r="R2194">
        <v>-0.66977330000000002</v>
      </c>
      <c r="S2194">
        <v>1.121613</v>
      </c>
      <c r="T2194">
        <v>-0.35819689999999998</v>
      </c>
      <c r="U2194">
        <v>-3.2670590000000002</v>
      </c>
      <c r="V2194">
        <v>0.2707001</v>
      </c>
      <c r="W2194">
        <v>4.79703E-2</v>
      </c>
      <c r="X2194">
        <v>0.96146779999999998</v>
      </c>
      <c r="Y2194">
        <v>0.70176349999999998</v>
      </c>
      <c r="Z2194">
        <v>7.9863929999999996E-3</v>
      </c>
      <c r="AA2194">
        <v>0.71236529999999998</v>
      </c>
      <c r="AB2194">
        <v>12</v>
      </c>
      <c r="AC2194">
        <v>3.4038999999999899</v>
      </c>
      <c r="AD2194">
        <v>-1.1087780642680001</v>
      </c>
      <c r="AE2194">
        <v>-10.074399999999899</v>
      </c>
      <c r="AF2194">
        <v>7.4319174744854699</v>
      </c>
      <c r="AG2194">
        <v>-1.1087780642680001</v>
      </c>
      <c r="AH2194">
        <v>7.4449593252422499</v>
      </c>
      <c r="AI2194">
        <v>96.016857753374495</v>
      </c>
      <c r="AJ2194">
        <v>45.050228473626397</v>
      </c>
      <c r="AK2194">
        <v>10.577816669704299</v>
      </c>
      <c r="AL2194">
        <v>87.250449091666198</v>
      </c>
      <c r="AM2194">
        <v>74.275498670802705</v>
      </c>
      <c r="AN2194">
        <v>1.0000000121294601</v>
      </c>
    </row>
    <row r="2195" spans="1:40" x14ac:dyDescent="0.25">
      <c r="A2195" t="str">
        <f>"20190312150706028"</f>
        <v>20190312150706028</v>
      </c>
      <c r="B2195" t="str">
        <f>"1552374426022190"</f>
        <v>1552374426022190</v>
      </c>
      <c r="C2195" t="s">
        <v>40</v>
      </c>
      <c r="D2195">
        <v>4.4478249999999999</v>
      </c>
      <c r="E2195">
        <v>0.70697949999999998</v>
      </c>
      <c r="F2195" t="s">
        <v>49</v>
      </c>
      <c r="G2195">
        <v>-195.10390000000001</v>
      </c>
      <c r="H2195" s="1">
        <v>-3.0479999999999999E-6</v>
      </c>
      <c r="I2195">
        <v>352.53</v>
      </c>
      <c r="J2195">
        <v>-198.4538</v>
      </c>
      <c r="K2195">
        <v>1.1087750000000001</v>
      </c>
      <c r="L2195">
        <v>362.59140000000002</v>
      </c>
      <c r="M2195">
        <v>0.89396059999999999</v>
      </c>
      <c r="N2195">
        <v>0</v>
      </c>
      <c r="O2195">
        <v>-0.4479322</v>
      </c>
      <c r="P2195">
        <v>0.73900929999999998</v>
      </c>
      <c r="Q2195">
        <v>3.5025510000000003E-2</v>
      </c>
      <c r="R2195">
        <v>-0.67278419999999906</v>
      </c>
      <c r="S2195">
        <v>1.1073299999999999</v>
      </c>
      <c r="T2195">
        <v>-0.359207</v>
      </c>
      <c r="U2195">
        <v>-3.2722169999999999</v>
      </c>
      <c r="V2195">
        <v>0.27068150000000002</v>
      </c>
      <c r="W2195">
        <v>4.6967689999999999E-2</v>
      </c>
      <c r="X2195">
        <v>0.96152249999999995</v>
      </c>
      <c r="Y2195">
        <v>0.70201080000000005</v>
      </c>
      <c r="Z2195">
        <v>8.4428079999999996E-3</v>
      </c>
      <c r="AA2195">
        <v>0.71211630000000004</v>
      </c>
      <c r="AB2195">
        <v>12</v>
      </c>
      <c r="AC2195">
        <v>3.3498999999999901</v>
      </c>
      <c r="AD2195">
        <v>-1.108778048</v>
      </c>
      <c r="AE2195">
        <v>-10.061400000000001</v>
      </c>
      <c r="AF2195">
        <v>7.4136347045134299</v>
      </c>
      <c r="AG2195">
        <v>-1.108778048</v>
      </c>
      <c r="AH2195">
        <v>7.4210904626344298</v>
      </c>
      <c r="AI2195">
        <v>96.033829663930504</v>
      </c>
      <c r="AJ2195">
        <v>45.028796181433897</v>
      </c>
      <c r="AK2195">
        <v>10.548172919813901</v>
      </c>
      <c r="AL2195">
        <v>87.307959153936196</v>
      </c>
      <c r="AM2195">
        <v>74.277375934555906</v>
      </c>
      <c r="AN2195">
        <v>0.999999978176217</v>
      </c>
    </row>
    <row r="2196" spans="1:40" x14ac:dyDescent="0.25">
      <c r="A2196" t="str">
        <f>"20190312150706039"</f>
        <v>20190312150706039</v>
      </c>
      <c r="B2196" t="str">
        <f>"1552374426031952"</f>
        <v>1552374426031952</v>
      </c>
      <c r="C2196" t="s">
        <v>40</v>
      </c>
      <c r="D2196">
        <v>4.545293</v>
      </c>
      <c r="E2196">
        <v>0.70764329999999998</v>
      </c>
      <c r="F2196" t="s">
        <v>55</v>
      </c>
      <c r="G2196">
        <v>-169.1438</v>
      </c>
      <c r="H2196">
        <v>7.2640339999999997</v>
      </c>
      <c r="I2196">
        <v>276.80720000000002</v>
      </c>
      <c r="J2196">
        <v>-198.3921</v>
      </c>
      <c r="K2196">
        <v>1.1087750000000001</v>
      </c>
      <c r="L2196">
        <v>362.55560000000003</v>
      </c>
      <c r="M2196">
        <v>0.89229629999999904</v>
      </c>
      <c r="N2196">
        <v>0</v>
      </c>
      <c r="O2196">
        <v>-0.451239</v>
      </c>
      <c r="P2196">
        <v>0.73659519999999901</v>
      </c>
      <c r="Q2196">
        <v>3.3950319999999999E-2</v>
      </c>
      <c r="R2196">
        <v>-0.67548129999999995</v>
      </c>
      <c r="S2196">
        <v>1.1047819999999999</v>
      </c>
      <c r="T2196">
        <v>0.23201260000000001</v>
      </c>
      <c r="U2196">
        <v>-3.2334589999999999</v>
      </c>
      <c r="V2196">
        <v>0.27060830000000002</v>
      </c>
      <c r="W2196">
        <v>4.589406E-2</v>
      </c>
      <c r="X2196">
        <v>0.96159499999999998</v>
      </c>
      <c r="Y2196">
        <v>0.69801610000000003</v>
      </c>
      <c r="Z2196">
        <v>-5.9892740000000002E-3</v>
      </c>
      <c r="AA2196">
        <v>0.71605699999999906</v>
      </c>
      <c r="AB2196">
        <v>12</v>
      </c>
      <c r="AC2196">
        <v>29.2483</v>
      </c>
      <c r="AD2196">
        <v>6.1552589999999903</v>
      </c>
      <c r="AE2196">
        <v>-85.748400000000004</v>
      </c>
      <c r="AF2196">
        <v>63.030112582495903</v>
      </c>
      <c r="AG2196">
        <v>6.1552589999999903</v>
      </c>
      <c r="AH2196">
        <v>64.499636121025802</v>
      </c>
      <c r="AI2196">
        <v>86.095453454667805</v>
      </c>
      <c r="AJ2196">
        <v>45.660189259734203</v>
      </c>
      <c r="AK2196">
        <v>90.392949754192301</v>
      </c>
      <c r="AL2196">
        <v>87.369540178142699</v>
      </c>
      <c r="AM2196">
        <v>74.282544148041595</v>
      </c>
      <c r="AN2196">
        <v>1.0000000303985801</v>
      </c>
    </row>
    <row r="2197" spans="1:40" x14ac:dyDescent="0.25">
      <c r="A2197" t="str">
        <f>"20190312150706053"</f>
        <v>20190312150706053</v>
      </c>
      <c r="B2197" t="str">
        <f>"1552374426042686"</f>
        <v>1552374426042686</v>
      </c>
      <c r="C2197" t="s">
        <v>40</v>
      </c>
      <c r="D2197">
        <v>4.4595830000000003</v>
      </c>
      <c r="E2197">
        <v>0.707325599999999</v>
      </c>
      <c r="F2197" t="s">
        <v>55</v>
      </c>
      <c r="G2197">
        <v>-169.1438</v>
      </c>
      <c r="H2197">
        <v>7.4056089999999903</v>
      </c>
      <c r="I2197">
        <v>275.53890000000001</v>
      </c>
      <c r="J2197">
        <v>-198.33269999999999</v>
      </c>
      <c r="K2197">
        <v>1.108771</v>
      </c>
      <c r="L2197">
        <v>362.52089999999998</v>
      </c>
      <c r="M2197">
        <v>0.89067299999999905</v>
      </c>
      <c r="N2197">
        <v>0</v>
      </c>
      <c r="O2197">
        <v>-0.45443460000000002</v>
      </c>
      <c r="P2197">
        <v>0.73440609999999995</v>
      </c>
      <c r="Q2197">
        <v>3.3228819999999999E-2</v>
      </c>
      <c r="R2197">
        <v>-0.67789659999999996</v>
      </c>
      <c r="S2197">
        <v>1.0895079999999999</v>
      </c>
      <c r="T2197">
        <v>0.2345614</v>
      </c>
      <c r="U2197">
        <v>-3.2413940000000001</v>
      </c>
      <c r="V2197">
        <v>0.27029999999999998</v>
      </c>
      <c r="W2197">
        <v>4.5175739999999999E-2</v>
      </c>
      <c r="X2197">
        <v>0.96171569999999995</v>
      </c>
      <c r="Y2197">
        <v>0.69900490000000004</v>
      </c>
      <c r="Z2197">
        <v>-6.2653240000000001E-3</v>
      </c>
      <c r="AA2197">
        <v>0.71508939999999999</v>
      </c>
      <c r="AB2197">
        <v>12</v>
      </c>
      <c r="AC2197">
        <v>29.188899999999901</v>
      </c>
      <c r="AD2197">
        <v>6.2968379999999904</v>
      </c>
      <c r="AE2197">
        <v>-86.9819999999999</v>
      </c>
      <c r="AF2197">
        <v>63.913152668916702</v>
      </c>
      <c r="AG2197">
        <v>6.2968379999999904</v>
      </c>
      <c r="AH2197">
        <v>65.224424667235695</v>
      </c>
      <c r="AI2197">
        <v>86.055443093673006</v>
      </c>
      <c r="AJ2197">
        <v>45.581765361395298</v>
      </c>
      <c r="AK2197">
        <v>91.5356041442367</v>
      </c>
      <c r="AL2197">
        <v>87.410739570068401</v>
      </c>
      <c r="AM2197">
        <v>74.301440641250906</v>
      </c>
      <c r="AN2197">
        <v>1.00000001255551</v>
      </c>
    </row>
    <row r="2198" spans="1:40" x14ac:dyDescent="0.25">
      <c r="A2198" t="str">
        <f>"20190312150706068"</f>
        <v>20190312150706068</v>
      </c>
      <c r="B2198" t="str">
        <f>"1552374426062209"</f>
        <v>1552374426062209</v>
      </c>
      <c r="C2198" t="s">
        <v>40</v>
      </c>
      <c r="D2198">
        <v>4.5700900000000004</v>
      </c>
      <c r="E2198">
        <v>0.70697119999999902</v>
      </c>
      <c r="F2198" t="s">
        <v>55</v>
      </c>
      <c r="G2198">
        <v>-169.1438</v>
      </c>
      <c r="H2198">
        <v>7.470764</v>
      </c>
      <c r="I2198">
        <v>274.9744</v>
      </c>
      <c r="J2198">
        <v>-198.26259999999999</v>
      </c>
      <c r="K2198">
        <v>1.1087670000000001</v>
      </c>
      <c r="L2198">
        <v>362.4796</v>
      </c>
      <c r="M2198">
        <v>0.88873769999999996</v>
      </c>
      <c r="N2198">
        <v>0</v>
      </c>
      <c r="O2198">
        <v>-0.45820749999999999</v>
      </c>
      <c r="P2198">
        <v>0.73222419999999899</v>
      </c>
      <c r="Q2198">
        <v>3.1382159999999999E-2</v>
      </c>
      <c r="R2198">
        <v>-0.68034030000000001</v>
      </c>
      <c r="S2198">
        <v>1.0811309999999901</v>
      </c>
      <c r="T2198">
        <v>0.23564550000000001</v>
      </c>
      <c r="U2198">
        <v>-3.242645</v>
      </c>
      <c r="V2198">
        <v>0.26937919999999999</v>
      </c>
      <c r="W2198">
        <v>4.3337430000000003E-2</v>
      </c>
      <c r="X2198">
        <v>0.96205850000000004</v>
      </c>
      <c r="Y2198">
        <v>0.69772049999999997</v>
      </c>
      <c r="Z2198">
        <v>-6.6750119999999897E-3</v>
      </c>
      <c r="AA2198">
        <v>0.71633910000000001</v>
      </c>
      <c r="AB2198">
        <v>12</v>
      </c>
      <c r="AC2198">
        <v>29.1188</v>
      </c>
      <c r="AD2198">
        <v>6.3619969999999997</v>
      </c>
      <c r="AE2198">
        <v>-87.505200000000002</v>
      </c>
      <c r="AF2198">
        <v>64.127698092199594</v>
      </c>
      <c r="AG2198">
        <v>6.3619969999999997</v>
      </c>
      <c r="AH2198">
        <v>65.668311036870307</v>
      </c>
      <c r="AI2198">
        <v>86.034982525797105</v>
      </c>
      <c r="AJ2198">
        <v>45.680039973520103</v>
      </c>
      <c r="AK2198">
        <v>92.006324472111402</v>
      </c>
      <c r="AL2198">
        <v>87.516170063931696</v>
      </c>
      <c r="AM2198">
        <v>74.357597806420401</v>
      </c>
      <c r="AN2198">
        <v>0.99999992182694397</v>
      </c>
    </row>
    <row r="2199" spans="1:40" x14ac:dyDescent="0.25">
      <c r="A2199" t="str">
        <f>"20190312150706078"</f>
        <v>20190312150706078</v>
      </c>
      <c r="B2199" t="str">
        <f>"1552374426071965"</f>
        <v>1552374426071965</v>
      </c>
      <c r="C2199" t="s">
        <v>40</v>
      </c>
      <c r="D2199">
        <v>4.4912679999999998</v>
      </c>
      <c r="E2199">
        <v>0.70671200000000001</v>
      </c>
      <c r="F2199" t="s">
        <v>55</v>
      </c>
      <c r="G2199">
        <v>-169.1438</v>
      </c>
      <c r="H2199">
        <v>7.4909479999999897</v>
      </c>
      <c r="I2199">
        <v>274.41309999999999</v>
      </c>
      <c r="J2199">
        <v>-198.21299999999999</v>
      </c>
      <c r="K2199">
        <v>1.108765</v>
      </c>
      <c r="L2199">
        <v>362.45</v>
      </c>
      <c r="M2199">
        <v>0.88734590000000002</v>
      </c>
      <c r="N2199">
        <v>0</v>
      </c>
      <c r="O2199">
        <v>-0.46089740000000001</v>
      </c>
      <c r="P2199">
        <v>0.73025859999999998</v>
      </c>
      <c r="Q2199">
        <v>3.0663559999999999E-2</v>
      </c>
      <c r="R2199">
        <v>-0.68248219999999904</v>
      </c>
      <c r="S2199">
        <v>1.0726929999999999</v>
      </c>
      <c r="T2199">
        <v>0.2351123</v>
      </c>
      <c r="U2199">
        <v>-3.2442319999999998</v>
      </c>
      <c r="V2199">
        <v>0.2692658</v>
      </c>
      <c r="W2199">
        <v>4.2619490000000003E-2</v>
      </c>
      <c r="X2199">
        <v>0.96212240000000004</v>
      </c>
      <c r="Y2199">
        <v>0.69734169999999995</v>
      </c>
      <c r="Z2199">
        <v>-6.9046899999999998E-3</v>
      </c>
      <c r="AA2199">
        <v>0.71670559999999905</v>
      </c>
      <c r="AB2199">
        <v>12</v>
      </c>
      <c r="AC2199">
        <v>29.069199999999899</v>
      </c>
      <c r="AD2199">
        <v>6.3821830000000004</v>
      </c>
      <c r="AE2199">
        <v>-88.036900000000003</v>
      </c>
      <c r="AF2199">
        <v>64.422157662477403</v>
      </c>
      <c r="AG2199">
        <v>6.3821830000000004</v>
      </c>
      <c r="AH2199">
        <v>66.063686388703303</v>
      </c>
      <c r="AI2199">
        <v>86.043437536615301</v>
      </c>
      <c r="AJ2199">
        <v>45.720750266334797</v>
      </c>
      <c r="AK2199">
        <v>92.495174560619802</v>
      </c>
      <c r="AL2199">
        <v>87.557343240494902</v>
      </c>
      <c r="AM2199">
        <v>74.364848274344197</v>
      </c>
      <c r="AN2199">
        <v>1.00000000227963</v>
      </c>
    </row>
    <row r="2200" spans="1:40" x14ac:dyDescent="0.25">
      <c r="A2200" t="str">
        <f>"20190312150706090"</f>
        <v>20190312150706090</v>
      </c>
      <c r="B2200" t="str">
        <f>"1552374426082703"</f>
        <v>1552374426082703</v>
      </c>
      <c r="C2200" t="s">
        <v>40</v>
      </c>
      <c r="D2200">
        <v>4.5434910000000004</v>
      </c>
      <c r="E2200">
        <v>0.70623930000000001</v>
      </c>
      <c r="F2200" t="s">
        <v>55</v>
      </c>
      <c r="G2200">
        <v>-169.1438</v>
      </c>
      <c r="H2200">
        <v>7.4301190000000004</v>
      </c>
      <c r="I2200">
        <v>273.8261</v>
      </c>
      <c r="J2200">
        <v>-198.16079999999999</v>
      </c>
      <c r="K2200">
        <v>1.108765</v>
      </c>
      <c r="L2200">
        <v>362.4187</v>
      </c>
      <c r="M2200">
        <v>0.88587059999999995</v>
      </c>
      <c r="N2200">
        <v>0</v>
      </c>
      <c r="O2200">
        <v>-0.46372639999999998</v>
      </c>
      <c r="P2200">
        <v>0.72816689999999995</v>
      </c>
      <c r="Q2200">
        <v>3.068094E-2</v>
      </c>
      <c r="R2200">
        <v>-0.68471289999999996</v>
      </c>
      <c r="S2200">
        <v>1.0647279999999999</v>
      </c>
      <c r="T2200">
        <v>0.23153750000000001</v>
      </c>
      <c r="U2200">
        <v>-3.2460629999999999</v>
      </c>
      <c r="V2200">
        <v>0.26913930000000003</v>
      </c>
      <c r="W2200">
        <v>4.2636640000000003E-2</v>
      </c>
      <c r="X2200">
        <v>0.96215700000000004</v>
      </c>
      <c r="Y2200">
        <v>0.69678359999999995</v>
      </c>
      <c r="Z2200">
        <v>-7.0606920000000004E-3</v>
      </c>
      <c r="AA2200">
        <v>0.71724670000000001</v>
      </c>
      <c r="AB2200">
        <v>12</v>
      </c>
      <c r="AC2200">
        <v>29.016999999999999</v>
      </c>
      <c r="AD2200">
        <v>6.3213540000000004</v>
      </c>
      <c r="AE2200">
        <v>-88.592600000000004</v>
      </c>
      <c r="AF2200">
        <v>64.734197389931893</v>
      </c>
      <c r="AG2200">
        <v>6.3213540000000004</v>
      </c>
      <c r="AH2200">
        <v>66.488702503390002</v>
      </c>
      <c r="AI2200">
        <v>86.103013700094493</v>
      </c>
      <c r="AJ2200">
        <v>45.7660229166897</v>
      </c>
      <c r="AK2200">
        <v>93.011952934535699</v>
      </c>
      <c r="AL2200">
        <v>87.556359643140397</v>
      </c>
      <c r="AM2200">
        <v>74.372369125219393</v>
      </c>
      <c r="AN2200">
        <v>0.99999996926198897</v>
      </c>
    </row>
    <row r="2201" spans="1:40" x14ac:dyDescent="0.25">
      <c r="A2201" t="str">
        <f>"20190312150706101"</f>
        <v>20190312150706101</v>
      </c>
      <c r="B2201" t="str">
        <f>"1552374426092463"</f>
        <v>1552374426092463</v>
      </c>
      <c r="C2201" t="s">
        <v>40</v>
      </c>
      <c r="D2201">
        <v>4.3448949999999904</v>
      </c>
      <c r="E2201">
        <v>0.70603169999999904</v>
      </c>
      <c r="F2201" t="s">
        <v>55</v>
      </c>
      <c r="G2201">
        <v>-169.1438</v>
      </c>
      <c r="H2201">
        <v>7.3753759999999904</v>
      </c>
      <c r="I2201">
        <v>273.30500000000001</v>
      </c>
      <c r="J2201">
        <v>-198.11009999999999</v>
      </c>
      <c r="K2201">
        <v>1.1087659999999999</v>
      </c>
      <c r="L2201">
        <v>362.38810000000001</v>
      </c>
      <c r="M2201">
        <v>0.8844185</v>
      </c>
      <c r="N2201">
        <v>0</v>
      </c>
      <c r="O2201">
        <v>-0.46649030000000002</v>
      </c>
      <c r="P2201">
        <v>0.72603869999999904</v>
      </c>
      <c r="Q2201">
        <v>3.1353180000000001E-2</v>
      </c>
      <c r="R2201">
        <v>-0.68693909999999903</v>
      </c>
      <c r="S2201">
        <v>1.0572360000000001</v>
      </c>
      <c r="T2201">
        <v>0.22832669999999999</v>
      </c>
      <c r="U2201">
        <v>-3.2468569999999999</v>
      </c>
      <c r="V2201">
        <v>0.26909729999999998</v>
      </c>
      <c r="W2201">
        <v>4.3307409999999998E-2</v>
      </c>
      <c r="X2201">
        <v>0.96213879999999996</v>
      </c>
      <c r="Y2201">
        <v>0.69611040000000002</v>
      </c>
      <c r="Z2201">
        <v>-7.2224029999999996E-3</v>
      </c>
      <c r="AA2201">
        <v>0.71789849999999999</v>
      </c>
      <c r="AB2201">
        <v>12</v>
      </c>
      <c r="AC2201">
        <v>28.966299999999901</v>
      </c>
      <c r="AD2201">
        <v>6.2666099999999902</v>
      </c>
      <c r="AE2201">
        <v>-89.083100000000002</v>
      </c>
      <c r="AF2201">
        <v>64.989618512307501</v>
      </c>
      <c r="AG2201">
        <v>6.2666099999999902</v>
      </c>
      <c r="AH2201">
        <v>66.881821457701506</v>
      </c>
      <c r="AI2201">
        <v>86.155654271950397</v>
      </c>
      <c r="AJ2201">
        <v>45.822071884416403</v>
      </c>
      <c r="AK2201">
        <v>93.467100932719802</v>
      </c>
      <c r="AL2201">
        <v>87.517891843093594</v>
      </c>
      <c r="AM2201">
        <v>74.374407592324104</v>
      </c>
      <c r="AN2201">
        <v>0.99999997954681796</v>
      </c>
    </row>
    <row r="2202" spans="1:40" x14ac:dyDescent="0.25">
      <c r="A2202" t="str">
        <f>"20190312150706112"</f>
        <v>20190312150706112</v>
      </c>
      <c r="B2202" t="str">
        <f>"1552374426102222"</f>
        <v>1552374426102222</v>
      </c>
      <c r="C2202" t="s">
        <v>40</v>
      </c>
      <c r="D2202">
        <v>4.5705770000000001</v>
      </c>
      <c r="E2202">
        <v>0.7057274</v>
      </c>
      <c r="F2202" t="s">
        <v>55</v>
      </c>
      <c r="G2202">
        <v>-169.1438</v>
      </c>
      <c r="H2202">
        <v>7.388433</v>
      </c>
      <c r="I2202">
        <v>272.57440000000003</v>
      </c>
      <c r="J2202">
        <v>-198.05789999999999</v>
      </c>
      <c r="K2202">
        <v>1.108768</v>
      </c>
      <c r="L2202">
        <v>362.35629999999998</v>
      </c>
      <c r="M2202">
        <v>0.88290759999999902</v>
      </c>
      <c r="N2202">
        <v>0</v>
      </c>
      <c r="O2202">
        <v>-0.46934330000000002</v>
      </c>
      <c r="P2202">
        <v>0.72380459999999902</v>
      </c>
      <c r="Q2202">
        <v>3.2202910000000001E-2</v>
      </c>
      <c r="R2202">
        <v>-0.68925340000000002</v>
      </c>
      <c r="S2202">
        <v>1.047928</v>
      </c>
      <c r="T2202">
        <v>0.22718559999999999</v>
      </c>
      <c r="U2202">
        <v>-3.2492369999999999</v>
      </c>
      <c r="V2202">
        <v>0.2690842</v>
      </c>
      <c r="W2202">
        <v>4.4155840000000002E-2</v>
      </c>
      <c r="X2202">
        <v>0.96210390000000001</v>
      </c>
      <c r="Y2202">
        <v>0.69581839999999995</v>
      </c>
      <c r="Z2202">
        <v>-7.4318539999999999E-3</v>
      </c>
      <c r="AA2202">
        <v>0.71817929999999996</v>
      </c>
      <c r="AB2202">
        <v>12</v>
      </c>
      <c r="AC2202">
        <v>28.914099999999902</v>
      </c>
      <c r="AD2202">
        <v>6.2796649999999996</v>
      </c>
      <c r="AE2202">
        <v>-89.781899999999894</v>
      </c>
      <c r="AF2202">
        <v>65.414814785275297</v>
      </c>
      <c r="AG2202">
        <v>6.2796649999999996</v>
      </c>
      <c r="AH2202">
        <v>67.374844340135994</v>
      </c>
      <c r="AI2202">
        <v>86.174251284428905</v>
      </c>
      <c r="AJ2202">
        <v>45.845647675652401</v>
      </c>
      <c r="AK2202">
        <v>94.116427023987995</v>
      </c>
      <c r="AL2202">
        <v>87.469233832269893</v>
      </c>
      <c r="AM2202">
        <v>74.374592009035098</v>
      </c>
      <c r="AN2202">
        <v>0.99999997964547704</v>
      </c>
    </row>
    <row r="2203" spans="1:40" x14ac:dyDescent="0.25">
      <c r="A2203" t="str">
        <f>"20190312150706122"</f>
        <v>20190312150706122</v>
      </c>
      <c r="B2203" t="str">
        <f>"1552374426111982"</f>
        <v>1552374426111982</v>
      </c>
      <c r="C2203" t="s">
        <v>40</v>
      </c>
      <c r="D2203">
        <v>4.4892409999999998</v>
      </c>
      <c r="E2203">
        <v>0.70554550000000005</v>
      </c>
      <c r="F2203" t="s">
        <v>55</v>
      </c>
      <c r="G2203">
        <v>-169.1438</v>
      </c>
      <c r="H2203">
        <v>7.4086100000000004</v>
      </c>
      <c r="I2203">
        <v>271.90010000000001</v>
      </c>
      <c r="J2203">
        <v>-198.01009999999999</v>
      </c>
      <c r="K2203">
        <v>1.1087629999999999</v>
      </c>
      <c r="L2203">
        <v>362.32709999999997</v>
      </c>
      <c r="M2203">
        <v>0.8815132</v>
      </c>
      <c r="N2203">
        <v>0</v>
      </c>
      <c r="O2203">
        <v>-0.47195720000000002</v>
      </c>
      <c r="P2203">
        <v>0.72167219999999999</v>
      </c>
      <c r="Q2203">
        <v>3.2789800000000001E-2</v>
      </c>
      <c r="R2203">
        <v>-0.69145819999999902</v>
      </c>
      <c r="S2203">
        <v>1.0391079999999999</v>
      </c>
      <c r="T2203">
        <v>0.22640489999999999</v>
      </c>
      <c r="U2203">
        <v>-3.2507929999999998</v>
      </c>
      <c r="V2203">
        <v>0.26918409999999998</v>
      </c>
      <c r="W2203">
        <v>4.4739870000000001E-2</v>
      </c>
      <c r="X2203">
        <v>0.96204900000000004</v>
      </c>
      <c r="Y2203">
        <v>0.69556509999999905</v>
      </c>
      <c r="Z2203">
        <v>-7.631596E-3</v>
      </c>
      <c r="AA2203">
        <v>0.71842249999999996</v>
      </c>
      <c r="AB2203">
        <v>12</v>
      </c>
      <c r="AC2203">
        <v>28.866299999999899</v>
      </c>
      <c r="AD2203">
        <v>6.2998469999999998</v>
      </c>
      <c r="AE2203">
        <v>-90.426999999999893</v>
      </c>
      <c r="AF2203">
        <v>65.805388667444603</v>
      </c>
      <c r="AG2203">
        <v>6.2998469999999998</v>
      </c>
      <c r="AH2203">
        <v>67.831420938467502</v>
      </c>
      <c r="AI2203">
        <v>86.186273169020694</v>
      </c>
      <c r="AJ2203">
        <v>45.868579592981803</v>
      </c>
      <c r="AK2203">
        <v>94.716096395641401</v>
      </c>
      <c r="AL2203">
        <v>87.435738343800097</v>
      </c>
      <c r="AM2203">
        <v>74.368226080289404</v>
      </c>
      <c r="AN2203">
        <v>1.00000000703071</v>
      </c>
    </row>
    <row r="2204" spans="1:40" x14ac:dyDescent="0.25">
      <c r="A2204" t="str">
        <f>"20190312150706134"</f>
        <v>20190312150706134</v>
      </c>
      <c r="B2204" t="str">
        <f>"1552374426122718"</f>
        <v>1552374426122718</v>
      </c>
      <c r="C2204" t="s">
        <v>40</v>
      </c>
      <c r="D2204">
        <v>4.5167710000000003</v>
      </c>
      <c r="E2204">
        <v>0.705507</v>
      </c>
      <c r="F2204" t="s">
        <v>55</v>
      </c>
      <c r="G2204">
        <v>-169.1438</v>
      </c>
      <c r="H2204">
        <v>7.4907069999999996</v>
      </c>
      <c r="I2204">
        <v>271.18560000000002</v>
      </c>
      <c r="J2204">
        <v>-197.9616</v>
      </c>
      <c r="K2204">
        <v>1.1087629999999999</v>
      </c>
      <c r="L2204">
        <v>362.29700000000003</v>
      </c>
      <c r="M2204">
        <v>0.88007649999999904</v>
      </c>
      <c r="N2204">
        <v>0</v>
      </c>
      <c r="O2204">
        <v>-0.47463109999999997</v>
      </c>
      <c r="P2204">
        <v>0.71950819999999904</v>
      </c>
      <c r="Q2204">
        <v>3.2838850000000003E-2</v>
      </c>
      <c r="R2204">
        <v>-0.69370750000000003</v>
      </c>
      <c r="S2204">
        <v>1.0301819999999999</v>
      </c>
      <c r="T2204">
        <v>0.22776150000000001</v>
      </c>
      <c r="U2204">
        <v>-3.2526549999999999</v>
      </c>
      <c r="V2204">
        <v>0.26926809999999901</v>
      </c>
      <c r="W2204">
        <v>4.4787029999999999E-2</v>
      </c>
      <c r="X2204">
        <v>0.96202330000000003</v>
      </c>
      <c r="Y2204">
        <v>0.69529289999999999</v>
      </c>
      <c r="Z2204">
        <v>-7.9093040000000007E-3</v>
      </c>
      <c r="AA2204">
        <v>0.71868299999999996</v>
      </c>
      <c r="AB2204">
        <v>12</v>
      </c>
      <c r="AC2204">
        <v>28.817799999999998</v>
      </c>
      <c r="AD2204">
        <v>6.3819439999999998</v>
      </c>
      <c r="AE2204">
        <v>-91.111399999999904</v>
      </c>
      <c r="AF2204">
        <v>66.218174777376703</v>
      </c>
      <c r="AG2204">
        <v>6.3819439999999998</v>
      </c>
      <c r="AH2204">
        <v>68.308048374071305</v>
      </c>
      <c r="AI2204">
        <v>86.162211048960003</v>
      </c>
      <c r="AJ2204">
        <v>45.890022054490302</v>
      </c>
      <c r="AK2204">
        <v>95.349700328531796</v>
      </c>
      <c r="AL2204">
        <v>87.4330335680107</v>
      </c>
      <c r="AM2204">
        <v>74.363189420889995</v>
      </c>
      <c r="AN2204">
        <v>1.00000000873836</v>
      </c>
    </row>
    <row r="2205" spans="1:40" x14ac:dyDescent="0.25">
      <c r="A2205" t="str">
        <f>"20190312150706146"</f>
        <v>20190312150706146</v>
      </c>
      <c r="B2205" t="str">
        <f>"1552374426142238"</f>
        <v>1552374426142238</v>
      </c>
      <c r="C2205" t="s">
        <v>40</v>
      </c>
      <c r="D2205">
        <v>4.4554479999999996</v>
      </c>
      <c r="E2205">
        <v>0.70260880000000003</v>
      </c>
      <c r="F2205" t="s">
        <v>55</v>
      </c>
      <c r="G2205">
        <v>-169.1438</v>
      </c>
      <c r="H2205">
        <v>7.5136830000000003</v>
      </c>
      <c r="I2205">
        <v>270.31580000000002</v>
      </c>
      <c r="J2205">
        <v>-197.9109</v>
      </c>
      <c r="K2205">
        <v>1.1087579999999999</v>
      </c>
      <c r="L2205">
        <v>362.26560000000001</v>
      </c>
      <c r="M2205">
        <v>0.87856290000000004</v>
      </c>
      <c r="N2205">
        <v>0</v>
      </c>
      <c r="O2205">
        <v>-0.47742689999999999</v>
      </c>
      <c r="P2205">
        <v>0.71727629999999998</v>
      </c>
      <c r="Q2205">
        <v>3.2934030000000003E-2</v>
      </c>
      <c r="R2205">
        <v>-0.69601009999999996</v>
      </c>
      <c r="S2205">
        <v>1.020065</v>
      </c>
      <c r="T2205">
        <v>0.22671759999999999</v>
      </c>
      <c r="U2205">
        <v>-3.2558590000000001</v>
      </c>
      <c r="V2205">
        <v>0.26929570000000003</v>
      </c>
      <c r="W2205">
        <v>4.4879919999999997E-2</v>
      </c>
      <c r="X2205">
        <v>0.96201119999999996</v>
      </c>
      <c r="Y2205">
        <v>0.69525179999999998</v>
      </c>
      <c r="Z2205">
        <v>-8.1012159999999996E-3</v>
      </c>
      <c r="AA2205">
        <v>0.71872060000000004</v>
      </c>
      <c r="AB2205">
        <v>12</v>
      </c>
      <c r="AC2205">
        <v>28.767099999999999</v>
      </c>
      <c r="AD2205">
        <v>6.4049250000000004</v>
      </c>
      <c r="AE2205">
        <v>-91.949799999999897</v>
      </c>
      <c r="AF2205">
        <v>66.760843792513498</v>
      </c>
      <c r="AG2205">
        <v>6.4049250000000004</v>
      </c>
      <c r="AH2205">
        <v>68.875221128053994</v>
      </c>
      <c r="AI2205">
        <v>86.179857831558806</v>
      </c>
      <c r="AJ2205">
        <v>45.893089063005299</v>
      </c>
      <c r="AK2205">
        <v>96.134434068040093</v>
      </c>
      <c r="AL2205">
        <v>87.427705893747699</v>
      </c>
      <c r="AM2205">
        <v>74.361477994357003</v>
      </c>
      <c r="AN2205">
        <v>0.99999996509156697</v>
      </c>
    </row>
    <row r="2206" spans="1:40" x14ac:dyDescent="0.25">
      <c r="A2206" t="str">
        <f>"20190312150706156"</f>
        <v>20190312150706156</v>
      </c>
      <c r="B2206" t="str">
        <f>"1552374426151998"</f>
        <v>1552374426151998</v>
      </c>
      <c r="C2206" t="s">
        <v>40</v>
      </c>
      <c r="D2206">
        <v>4.4506220000000001</v>
      </c>
      <c r="E2206">
        <v>0.70288430000000002</v>
      </c>
      <c r="F2206" t="s">
        <v>49</v>
      </c>
      <c r="G2206">
        <v>-194.93549999999999</v>
      </c>
      <c r="H2206" s="1">
        <v>-3.1426920000000002E-6</v>
      </c>
      <c r="I2206">
        <v>352.79230000000001</v>
      </c>
      <c r="J2206">
        <v>-197.8586</v>
      </c>
      <c r="K2206">
        <v>1.108752</v>
      </c>
      <c r="L2206">
        <v>362.23270000000002</v>
      </c>
      <c r="M2206">
        <v>0.8769787</v>
      </c>
      <c r="N2206">
        <v>0</v>
      </c>
      <c r="O2206">
        <v>-0.4803307</v>
      </c>
      <c r="P2206">
        <v>0.71490290000000001</v>
      </c>
      <c r="Q2206">
        <v>3.2116220000000001E-2</v>
      </c>
      <c r="R2206">
        <v>-0.6984863</v>
      </c>
      <c r="S2206">
        <v>1.027039</v>
      </c>
      <c r="T2206">
        <v>-0.38271949999999999</v>
      </c>
      <c r="U2206">
        <v>-3.2699579999999999</v>
      </c>
      <c r="V2206">
        <v>0.26941759999999998</v>
      </c>
      <c r="W2206">
        <v>4.4060099999999998E-2</v>
      </c>
      <c r="X2206">
        <v>0.96201499999999995</v>
      </c>
      <c r="Y2206">
        <v>0.69155869999999997</v>
      </c>
      <c r="Z2206">
        <v>1.4270639999999999E-2</v>
      </c>
      <c r="AA2206">
        <v>0.72217940000000003</v>
      </c>
      <c r="AB2206">
        <v>12</v>
      </c>
      <c r="AC2206">
        <v>2.9230999999999998</v>
      </c>
      <c r="AD2206">
        <v>-1.1087551426919999</v>
      </c>
      <c r="AE2206">
        <v>-9.4404000000000092</v>
      </c>
      <c r="AF2206">
        <v>6.7901617696993002</v>
      </c>
      <c r="AG2206">
        <v>-1.1087551426919999</v>
      </c>
      <c r="AH2206">
        <v>7.0104456174206504</v>
      </c>
      <c r="AI2206">
        <v>96.481294857111294</v>
      </c>
      <c r="AJ2206">
        <v>45.914471565087503</v>
      </c>
      <c r="AK2206">
        <v>9.8225242468493992</v>
      </c>
      <c r="AL2206">
        <v>87.474724720328396</v>
      </c>
      <c r="AM2206">
        <v>74.354804399278393</v>
      </c>
      <c r="AN2206">
        <v>0.99999999791338501</v>
      </c>
    </row>
    <row r="2207" spans="1:40" x14ac:dyDescent="0.25">
      <c r="A2207" t="str">
        <f>"20190312150706168"</f>
        <v>20190312150706168</v>
      </c>
      <c r="B2207" t="str">
        <f>"1552374426162734"</f>
        <v>1552374426162734</v>
      </c>
      <c r="C2207" t="s">
        <v>40</v>
      </c>
      <c r="D2207">
        <v>4.4684660000000003</v>
      </c>
      <c r="E2207">
        <v>0.70326560000000005</v>
      </c>
      <c r="F2207" t="s">
        <v>49</v>
      </c>
      <c r="G2207">
        <v>-195.02269999999999</v>
      </c>
      <c r="H2207" s="1">
        <v>-3.3041810000000002E-6</v>
      </c>
      <c r="I2207">
        <v>353.07479999999998</v>
      </c>
      <c r="J2207">
        <v>-197.8083</v>
      </c>
      <c r="K2207">
        <v>1.108751</v>
      </c>
      <c r="L2207">
        <v>362.20100000000002</v>
      </c>
      <c r="M2207">
        <v>0.87544069999999996</v>
      </c>
      <c r="N2207">
        <v>0</v>
      </c>
      <c r="O2207">
        <v>-0.48312840000000001</v>
      </c>
      <c r="P2207">
        <v>0.71249700000000005</v>
      </c>
      <c r="Q2207">
        <v>3.2046650000000003E-2</v>
      </c>
      <c r="R2207">
        <v>-0.70094339999999999</v>
      </c>
      <c r="S2207">
        <v>1.01422099999999</v>
      </c>
      <c r="T2207">
        <v>-0.39652999999999999</v>
      </c>
      <c r="U2207">
        <v>-3.2751769999999998</v>
      </c>
      <c r="V2207">
        <v>0.26965660000000002</v>
      </c>
      <c r="W2207">
        <v>4.3987209999999999E-2</v>
      </c>
      <c r="X2207">
        <v>0.96195140000000001</v>
      </c>
      <c r="Y2207">
        <v>0.69207640000000004</v>
      </c>
      <c r="Z2207">
        <v>1.5128539999999999E-2</v>
      </c>
      <c r="AA2207">
        <v>0.72166569999999997</v>
      </c>
      <c r="AB2207">
        <v>12</v>
      </c>
      <c r="AC2207">
        <v>2.7856000000000098</v>
      </c>
      <c r="AD2207">
        <v>-1.108754304181</v>
      </c>
      <c r="AE2207">
        <v>-9.1261999999999794</v>
      </c>
      <c r="AF2207">
        <v>6.5557602534331298</v>
      </c>
      <c r="AG2207">
        <v>-1.108754304181</v>
      </c>
      <c r="AH2207">
        <v>6.7571698013204697</v>
      </c>
      <c r="AI2207">
        <v>96.716666491210304</v>
      </c>
      <c r="AJ2207">
        <v>45.866754102381101</v>
      </c>
      <c r="AK2207">
        <v>9.4798033909681294</v>
      </c>
      <c r="AL2207">
        <v>87.478905134116999</v>
      </c>
      <c r="AM2207">
        <v>74.340621614762796</v>
      </c>
      <c r="AN2207">
        <v>1.0000000262645501</v>
      </c>
    </row>
    <row r="2208" spans="1:40" x14ac:dyDescent="0.25">
      <c r="A2208" t="str">
        <f>"20190312150706179"</f>
        <v>20190312150706179</v>
      </c>
      <c r="B2208" t="str">
        <f>"1552374426172495"</f>
        <v>1552374426172495</v>
      </c>
      <c r="C2208" t="s">
        <v>40</v>
      </c>
      <c r="D2208">
        <v>4.4480069999999996</v>
      </c>
      <c r="E2208">
        <v>0.70356240000000003</v>
      </c>
      <c r="F2208" t="s">
        <v>49</v>
      </c>
      <c r="G2208">
        <v>-195.0915</v>
      </c>
      <c r="H2208" s="1">
        <v>-3.4303189999999999E-6</v>
      </c>
      <c r="I2208">
        <v>353.29520000000002</v>
      </c>
      <c r="J2208">
        <v>-197.75749999999999</v>
      </c>
      <c r="K2208">
        <v>1.108754</v>
      </c>
      <c r="L2208">
        <v>362.16860000000003</v>
      </c>
      <c r="M2208">
        <v>0.87386980000000003</v>
      </c>
      <c r="N2208">
        <v>0</v>
      </c>
      <c r="O2208">
        <v>-0.4859636</v>
      </c>
      <c r="P2208">
        <v>0.70987060000000002</v>
      </c>
      <c r="Q2208">
        <v>3.2184980000000002E-2</v>
      </c>
      <c r="R2208">
        <v>-0.70359640000000001</v>
      </c>
      <c r="S2208">
        <v>1.0009459999999999</v>
      </c>
      <c r="T2208">
        <v>-0.40850189999999997</v>
      </c>
      <c r="U2208">
        <v>-3.2811889999999999</v>
      </c>
      <c r="V2208">
        <v>0.27013110000000001</v>
      </c>
      <c r="W2208">
        <v>4.4120600000000003E-2</v>
      </c>
      <c r="X2208">
        <v>0.96181209999999995</v>
      </c>
      <c r="Y2208">
        <v>0.69270830000000005</v>
      </c>
      <c r="Z2208">
        <v>1.5932020000000002E-2</v>
      </c>
      <c r="AA2208">
        <v>0.72104199999999996</v>
      </c>
      <c r="AB2208">
        <v>12</v>
      </c>
      <c r="AC2208">
        <v>2.6659999999999902</v>
      </c>
      <c r="AD2208">
        <v>-1.108757430319</v>
      </c>
      <c r="AE2208">
        <v>-8.8734000000000002</v>
      </c>
      <c r="AF2208">
        <v>6.36804032697186</v>
      </c>
      <c r="AG2208">
        <v>-1.108757430319</v>
      </c>
      <c r="AH2208">
        <v>6.54873909397649</v>
      </c>
      <c r="AI2208">
        <v>96.920827472831206</v>
      </c>
      <c r="AJ2208">
        <v>45.801484724522602</v>
      </c>
      <c r="AK2208">
        <v>9.2014816397253902</v>
      </c>
      <c r="AL2208">
        <v>87.471254898857396</v>
      </c>
      <c r="AM2208">
        <v>74.3122619379496</v>
      </c>
      <c r="AN2208">
        <v>0.99999997711898903</v>
      </c>
    </row>
    <row r="2209" spans="1:40" x14ac:dyDescent="0.25">
      <c r="A2209" t="str">
        <f>"20190312150706192"</f>
        <v>20190312150706192</v>
      </c>
      <c r="B2209" t="str">
        <f>"1552374426182254"</f>
        <v>1552374426182254</v>
      </c>
      <c r="C2209" t="s">
        <v>40</v>
      </c>
      <c r="D2209">
        <v>4.4679200000000003</v>
      </c>
      <c r="E2209">
        <v>0.70323310000000006</v>
      </c>
      <c r="F2209" t="s">
        <v>49</v>
      </c>
      <c r="G2209">
        <v>-194.9701</v>
      </c>
      <c r="H2209" s="1">
        <v>-3.1999009999999999E-6</v>
      </c>
      <c r="I2209">
        <v>352.89080000000001</v>
      </c>
      <c r="J2209">
        <v>-197.7046</v>
      </c>
      <c r="K2209">
        <v>1.1087610000000001</v>
      </c>
      <c r="L2209">
        <v>362.13459999999998</v>
      </c>
      <c r="M2209">
        <v>0.87221550000000003</v>
      </c>
      <c r="N2209">
        <v>0</v>
      </c>
      <c r="O2209">
        <v>-0.4889269</v>
      </c>
      <c r="P2209">
        <v>0.70709789999999995</v>
      </c>
      <c r="Q2209">
        <v>3.2441110000000002E-2</v>
      </c>
      <c r="R2209">
        <v>-0.70637119999999998</v>
      </c>
      <c r="S2209">
        <v>0.98716740000000003</v>
      </c>
      <c r="T2209">
        <v>-0.39267089999999999</v>
      </c>
      <c r="U2209">
        <v>-3.2857669999999999</v>
      </c>
      <c r="V2209">
        <v>0.27064060000000001</v>
      </c>
      <c r="W2209">
        <v>4.4371639999999997E-2</v>
      </c>
      <c r="X2209">
        <v>0.96165730000000005</v>
      </c>
      <c r="Y2209">
        <v>0.69342709999999996</v>
      </c>
      <c r="Z2209">
        <v>1.5673199999999901E-2</v>
      </c>
      <c r="AA2209">
        <v>0.72035629999999995</v>
      </c>
      <c r="AB2209">
        <v>12</v>
      </c>
      <c r="AC2209">
        <v>2.7344999999999899</v>
      </c>
      <c r="AD2209">
        <v>-1.1087641999010001</v>
      </c>
      <c r="AE2209">
        <v>-9.2437999999999594</v>
      </c>
      <c r="AF2209">
        <v>6.6384327815526296</v>
      </c>
      <c r="AG2209">
        <v>-1.1087641999010001</v>
      </c>
      <c r="AH2209">
        <v>6.8151131777062597</v>
      </c>
      <c r="AI2209">
        <v>96.647340246020605</v>
      </c>
      <c r="AJ2209">
        <v>45.752400828260001</v>
      </c>
      <c r="AK2209">
        <v>9.5783044152459595</v>
      </c>
      <c r="AL2209">
        <v>87.456857247016401</v>
      </c>
      <c r="AM2209">
        <v>74.281728851155407</v>
      </c>
      <c r="AN2209">
        <v>0.99999996972396898</v>
      </c>
    </row>
    <row r="2210" spans="1:40" x14ac:dyDescent="0.25">
      <c r="A2210" t="str">
        <f>"20190312150706204"</f>
        <v>20190312150706204</v>
      </c>
      <c r="B2210" t="str">
        <f>"1552374426192016"</f>
        <v>1552374426192016</v>
      </c>
      <c r="C2210" t="s">
        <v>40</v>
      </c>
      <c r="D2210">
        <v>4.4201079999999999</v>
      </c>
      <c r="E2210">
        <v>0.70333049999999997</v>
      </c>
      <c r="F2210" t="s">
        <v>49</v>
      </c>
      <c r="G2210">
        <v>-194.98519999999999</v>
      </c>
      <c r="H2210" s="1">
        <v>-3.2454650000000002E-6</v>
      </c>
      <c r="I2210">
        <v>352.97469999999998</v>
      </c>
      <c r="J2210">
        <v>-197.64789999999999</v>
      </c>
      <c r="K2210">
        <v>1.1087640000000001</v>
      </c>
      <c r="L2210">
        <v>362.09809999999999</v>
      </c>
      <c r="M2210">
        <v>0.87042830000000004</v>
      </c>
      <c r="N2210">
        <v>0</v>
      </c>
      <c r="O2210">
        <v>-0.49210169999999998</v>
      </c>
      <c r="P2210">
        <v>0.70389780000000002</v>
      </c>
      <c r="Q2210">
        <v>3.2751089999999997E-2</v>
      </c>
      <c r="R2210">
        <v>-0.70954600000000001</v>
      </c>
      <c r="S2210">
        <v>0.97616579999999997</v>
      </c>
      <c r="T2210">
        <v>-0.3980166</v>
      </c>
      <c r="U2210">
        <v>-3.2881770000000001</v>
      </c>
      <c r="V2210">
        <v>0.27147320000000003</v>
      </c>
      <c r="W2210">
        <v>4.4674140000000001E-2</v>
      </c>
      <c r="X2210">
        <v>0.96140859999999995</v>
      </c>
      <c r="Y2210">
        <v>0.69314140000000002</v>
      </c>
      <c r="Z2210">
        <v>1.6362209999999999E-2</v>
      </c>
      <c r="AA2210">
        <v>0.72061589999999998</v>
      </c>
      <c r="AB2210">
        <v>12</v>
      </c>
      <c r="AC2210">
        <v>2.6627000000000001</v>
      </c>
      <c r="AD2210">
        <v>-1.1087672454649999</v>
      </c>
      <c r="AE2210">
        <v>-9.1234000000000002</v>
      </c>
      <c r="AF2210">
        <v>6.5425325166048101</v>
      </c>
      <c r="AG2210">
        <v>-1.1087672454649999</v>
      </c>
      <c r="AH2210">
        <v>6.7165644296399698</v>
      </c>
      <c r="AI2210">
        <v>96.743953153943906</v>
      </c>
      <c r="AJ2210">
        <v>45.751990999498098</v>
      </c>
      <c r="AK2210">
        <v>9.4417336476386708</v>
      </c>
      <c r="AL2210">
        <v>87.439508112372593</v>
      </c>
      <c r="AM2210">
        <v>74.231898232446198</v>
      </c>
      <c r="AN2210">
        <v>0.99999998662846901</v>
      </c>
    </row>
    <row r="2211" spans="1:40" x14ac:dyDescent="0.25">
      <c r="A2211" t="str">
        <f>"20190312150706217"</f>
        <v>20190312150706217</v>
      </c>
      <c r="B2211" t="str">
        <f>"1552374426212510"</f>
        <v>1552374426212510</v>
      </c>
      <c r="C2211" t="s">
        <v>40</v>
      </c>
      <c r="D2211">
        <v>4.416525</v>
      </c>
      <c r="E2211">
        <v>0.70304699999999998</v>
      </c>
      <c r="F2211" t="s">
        <v>49</v>
      </c>
      <c r="G2211">
        <v>-194.8998</v>
      </c>
      <c r="H2211" s="1">
        <v>-3.0796320000000002E-6</v>
      </c>
      <c r="I2211">
        <v>352.68279999999999</v>
      </c>
      <c r="J2211">
        <v>-197.59299999999999</v>
      </c>
      <c r="K2211">
        <v>1.1087670000000001</v>
      </c>
      <c r="L2211">
        <v>362.06209999999999</v>
      </c>
      <c r="M2211">
        <v>0.86866869999999996</v>
      </c>
      <c r="N2211">
        <v>0</v>
      </c>
      <c r="O2211">
        <v>-0.4952008</v>
      </c>
      <c r="P2211">
        <v>0.70060310000000003</v>
      </c>
      <c r="Q2211">
        <v>3.2748190000000003E-2</v>
      </c>
      <c r="R2211">
        <v>-0.71279930000000002</v>
      </c>
      <c r="S2211">
        <v>0.96102909999999997</v>
      </c>
      <c r="T2211">
        <v>-0.3877331</v>
      </c>
      <c r="U2211">
        <v>-3.2925110000000002</v>
      </c>
      <c r="V2211">
        <v>0.27250049999999998</v>
      </c>
      <c r="W2211">
        <v>4.4662220000000002E-2</v>
      </c>
      <c r="X2211">
        <v>0.96111849999999999</v>
      </c>
      <c r="Y2211">
        <v>0.69395560000000001</v>
      </c>
      <c r="Z2211">
        <v>1.630736E-2</v>
      </c>
      <c r="AA2211">
        <v>0.7198331</v>
      </c>
      <c r="AB2211">
        <v>12</v>
      </c>
      <c r="AC2211">
        <v>2.6931999999999898</v>
      </c>
      <c r="AD2211">
        <v>-1.1087700796319999</v>
      </c>
      <c r="AE2211">
        <v>-9.3793000000000006</v>
      </c>
      <c r="AF2211">
        <v>6.7276247120013704</v>
      </c>
      <c r="AG2211">
        <v>-1.1087700796319999</v>
      </c>
      <c r="AH2211">
        <v>6.8957759586325196</v>
      </c>
      <c r="AI2211">
        <v>96.565290116378804</v>
      </c>
      <c r="AJ2211">
        <v>45.707155854821401</v>
      </c>
      <c r="AK2211">
        <v>9.6975270779035707</v>
      </c>
      <c r="AL2211">
        <v>87.440191804214606</v>
      </c>
      <c r="AM2211">
        <v>74.170675305830002</v>
      </c>
      <c r="AN2211">
        <v>1.0000000037189101</v>
      </c>
    </row>
    <row r="2212" spans="1:40" x14ac:dyDescent="0.25">
      <c r="A2212" t="str">
        <f>"20190312150706231"</f>
        <v>20190312150706231</v>
      </c>
      <c r="B2212" t="str">
        <f>"1552374426222269"</f>
        <v>1552374426222269</v>
      </c>
      <c r="C2212" t="s">
        <v>40</v>
      </c>
      <c r="D2212">
        <v>4.2769110000000001</v>
      </c>
      <c r="E2212">
        <v>0.70252369999999897</v>
      </c>
      <c r="F2212" t="s">
        <v>49</v>
      </c>
      <c r="G2212">
        <v>-194.74549999999999</v>
      </c>
      <c r="H2212" s="1">
        <v>-2.7724790000000002E-6</v>
      </c>
      <c r="I2212">
        <v>352.15339999999998</v>
      </c>
      <c r="J2212">
        <v>-197.53530000000001</v>
      </c>
      <c r="K2212">
        <v>1.10877</v>
      </c>
      <c r="L2212">
        <v>362.02420000000001</v>
      </c>
      <c r="M2212">
        <v>0.86680170000000001</v>
      </c>
      <c r="N2212">
        <v>0</v>
      </c>
      <c r="O2212">
        <v>-0.49846180000000001</v>
      </c>
      <c r="P2212">
        <v>0.69708680000000001</v>
      </c>
      <c r="Q2212">
        <v>3.3159609999999999E-2</v>
      </c>
      <c r="R2212">
        <v>-0.71621979999999996</v>
      </c>
      <c r="S2212">
        <v>0.94692989999999999</v>
      </c>
      <c r="T2212">
        <v>-0.3687105</v>
      </c>
      <c r="U2212">
        <v>-3.2950439999999999</v>
      </c>
      <c r="V2212">
        <v>0.27360449999999997</v>
      </c>
      <c r="W2212">
        <v>4.5064269999999997E-2</v>
      </c>
      <c r="X2212">
        <v>0.96078600000000003</v>
      </c>
      <c r="Y2212">
        <v>0.69436830000000005</v>
      </c>
      <c r="Z2212">
        <v>1.5918169999999999E-2</v>
      </c>
      <c r="AA2212">
        <v>0.71944370000000002</v>
      </c>
      <c r="AB2212">
        <v>12</v>
      </c>
      <c r="AC2212">
        <v>2.7898000000000098</v>
      </c>
      <c r="AD2212">
        <v>-1.108772772479</v>
      </c>
      <c r="AE2212">
        <v>-9.8708000000000293</v>
      </c>
      <c r="AF2212">
        <v>7.0833364203955496</v>
      </c>
      <c r="AG2212">
        <v>-1.108772772479</v>
      </c>
      <c r="AH2212">
        <v>7.2543572733928796</v>
      </c>
      <c r="AI2212">
        <v>96.2409062137163</v>
      </c>
      <c r="AJ2212">
        <v>45.683395015675302</v>
      </c>
      <c r="AK2212">
        <v>10.1994476005086</v>
      </c>
      <c r="AL2212">
        <v>87.417132742792504</v>
      </c>
      <c r="AM2212">
        <v>74.104555733063705</v>
      </c>
      <c r="AN2212">
        <v>0.99999997432344101</v>
      </c>
    </row>
    <row r="2213" spans="1:40" x14ac:dyDescent="0.25">
      <c r="A2213" t="str">
        <f>"20190312150706242"</f>
        <v>20190312150706242</v>
      </c>
      <c r="B2213" t="str">
        <f>"1552374426232031"</f>
        <v>1552374426232031</v>
      </c>
      <c r="C2213" t="s">
        <v>40</v>
      </c>
      <c r="D2213">
        <v>4.4329109999999998</v>
      </c>
      <c r="E2213">
        <v>0.70249329999999999</v>
      </c>
      <c r="F2213" t="s">
        <v>49</v>
      </c>
      <c r="G2213">
        <v>-194.63140000000001</v>
      </c>
      <c r="H2213" s="1">
        <v>-2.5175119999999999E-6</v>
      </c>
      <c r="I2213">
        <v>351.77390000000003</v>
      </c>
      <c r="J2213">
        <v>-197.47880000000001</v>
      </c>
      <c r="K2213">
        <v>1.1087739999999999</v>
      </c>
      <c r="L2213">
        <v>361.98680000000002</v>
      </c>
      <c r="M2213">
        <v>0.86495330000000004</v>
      </c>
      <c r="N2213">
        <v>0</v>
      </c>
      <c r="O2213">
        <v>-0.50166259999999996</v>
      </c>
      <c r="P2213">
        <v>0.69366539999999999</v>
      </c>
      <c r="Q2213">
        <v>3.3666149999999999E-2</v>
      </c>
      <c r="R2213">
        <v>-0.71951039999999999</v>
      </c>
      <c r="S2213">
        <v>0.93385309999999999</v>
      </c>
      <c r="T2213">
        <v>-0.35656399999999999</v>
      </c>
      <c r="U2213">
        <v>-3.2963260000000001</v>
      </c>
      <c r="V2213">
        <v>0.27461429999999998</v>
      </c>
      <c r="W2213">
        <v>4.556205E-2</v>
      </c>
      <c r="X2213">
        <v>0.96047439999999995</v>
      </c>
      <c r="Y2213">
        <v>0.69450349999999905</v>
      </c>
      <c r="Z2213">
        <v>1.5806939999999998E-2</v>
      </c>
      <c r="AA2213">
        <v>0.71931559999999894</v>
      </c>
      <c r="AB2213">
        <v>11</v>
      </c>
      <c r="AC2213">
        <v>2.8473999999999902</v>
      </c>
      <c r="AD2213">
        <v>-1.1087765175119999</v>
      </c>
      <c r="AE2213">
        <v>-10.2128999999999</v>
      </c>
      <c r="AF2213">
        <v>7.3258335121968701</v>
      </c>
      <c r="AG2213">
        <v>-1.1087765175119999</v>
      </c>
      <c r="AH2213">
        <v>7.5049424479513496</v>
      </c>
      <c r="AI2213">
        <v>96.034980172269101</v>
      </c>
      <c r="AJ2213">
        <v>45.691918430255299</v>
      </c>
      <c r="AK2213">
        <v>10.546154899358999</v>
      </c>
      <c r="AL2213">
        <v>87.388582773347196</v>
      </c>
      <c r="AM2213">
        <v>74.043958068131602</v>
      </c>
      <c r="AN2213">
        <v>0.99999999361002601</v>
      </c>
    </row>
    <row r="2214" spans="1:40" x14ac:dyDescent="0.25">
      <c r="A2214" t="str">
        <f>"20190312150706258"</f>
        <v>20190312150706258</v>
      </c>
      <c r="B2214" t="str">
        <f>"1552374426252527"</f>
        <v>1552374426252527</v>
      </c>
      <c r="C2214" t="s">
        <v>40</v>
      </c>
      <c r="D2214">
        <v>4.5086009999999996</v>
      </c>
      <c r="E2214">
        <v>0.70215119999999998</v>
      </c>
      <c r="F2214" t="s">
        <v>49</v>
      </c>
      <c r="G2214">
        <v>-194.614</v>
      </c>
      <c r="H2214" s="1">
        <v>-2.463862E-6</v>
      </c>
      <c r="I2214">
        <v>351.69110000000001</v>
      </c>
      <c r="J2214">
        <v>-197.4144</v>
      </c>
      <c r="K2214">
        <v>1.108789</v>
      </c>
      <c r="L2214">
        <v>361.9436</v>
      </c>
      <c r="M2214">
        <v>0.86281529999999995</v>
      </c>
      <c r="N2214">
        <v>0</v>
      </c>
      <c r="O2214">
        <v>-0.50533079999999997</v>
      </c>
      <c r="P2214">
        <v>0.68904140000000003</v>
      </c>
      <c r="Q2214">
        <v>3.4856169999999999E-2</v>
      </c>
      <c r="R2214">
        <v>-0.72388330000000001</v>
      </c>
      <c r="S2214">
        <v>0.91844179999999997</v>
      </c>
      <c r="T2214">
        <v>-0.35546329999999998</v>
      </c>
      <c r="U2214">
        <v>-3.3006899999999999</v>
      </c>
      <c r="V2214">
        <v>0.27664680000000003</v>
      </c>
      <c r="W2214">
        <v>4.6734779999999997E-2</v>
      </c>
      <c r="X2214">
        <v>0.95983459999999998</v>
      </c>
      <c r="Y2214">
        <v>0.69482969999999999</v>
      </c>
      <c r="Z2214">
        <v>1.620328E-2</v>
      </c>
      <c r="AA2214">
        <v>0.71899179999999996</v>
      </c>
      <c r="AB2214">
        <v>11</v>
      </c>
      <c r="AC2214">
        <v>2.80039999999999</v>
      </c>
      <c r="AD2214">
        <v>-1.108791463862</v>
      </c>
      <c r="AE2214">
        <v>-10.2524999999999</v>
      </c>
      <c r="AF2214">
        <v>7.3515785991382696</v>
      </c>
      <c r="AG2214">
        <v>-1.108791463862</v>
      </c>
      <c r="AH2214">
        <v>7.51605081838769</v>
      </c>
      <c r="AI2214">
        <v>96.0202815097376</v>
      </c>
      <c r="AJ2214">
        <v>45.633805118686702</v>
      </c>
      <c r="AK2214">
        <v>10.571950922806399</v>
      </c>
      <c r="AL2214">
        <v>87.321318711366501</v>
      </c>
      <c r="AM2214">
        <v>73.921780198974901</v>
      </c>
      <c r="AN2214">
        <v>1.00000002548452</v>
      </c>
    </row>
    <row r="2215" spans="1:40" x14ac:dyDescent="0.25">
      <c r="A2215" t="str">
        <f>"20190312150706269"</f>
        <v>20190312150706269</v>
      </c>
      <c r="B2215" t="str">
        <f>"1552374426262286"</f>
        <v>1552374426262286</v>
      </c>
      <c r="C2215" t="s">
        <v>40</v>
      </c>
      <c r="D2215">
        <v>4.4730100000000004</v>
      </c>
      <c r="E2215">
        <v>0.70185259999999905</v>
      </c>
      <c r="F2215" t="s">
        <v>49</v>
      </c>
      <c r="G2215">
        <v>-194.6514</v>
      </c>
      <c r="H2215" s="1">
        <v>-2.5362430000000001E-6</v>
      </c>
      <c r="I2215">
        <v>351.79660000000001</v>
      </c>
      <c r="J2215">
        <v>-197.36490000000001</v>
      </c>
      <c r="K2215">
        <v>1.108797</v>
      </c>
      <c r="L2215">
        <v>361.91019999999997</v>
      </c>
      <c r="M2215">
        <v>0.86115779999999997</v>
      </c>
      <c r="N2215">
        <v>0</v>
      </c>
      <c r="O2215">
        <v>-0.5081504</v>
      </c>
      <c r="P2215">
        <v>0.68583549999999904</v>
      </c>
      <c r="Q2215">
        <v>3.5847900000000002E-2</v>
      </c>
      <c r="R2215">
        <v>-0.72687360000000001</v>
      </c>
      <c r="S2215">
        <v>0.89994810000000003</v>
      </c>
      <c r="T2215">
        <v>-0.3611567</v>
      </c>
      <c r="U2215">
        <v>-3.3050839999999901</v>
      </c>
      <c r="V2215">
        <v>0.27771289999999998</v>
      </c>
      <c r="W2215">
        <v>4.7717870000000003E-2</v>
      </c>
      <c r="X2215">
        <v>0.95947830000000001</v>
      </c>
      <c r="Y2215">
        <v>0.69643259999999996</v>
      </c>
      <c r="Z2215">
        <v>1.6713619999999998E-2</v>
      </c>
      <c r="AA2215">
        <v>0.717427699999999</v>
      </c>
      <c r="AB2215">
        <v>11</v>
      </c>
      <c r="AC2215">
        <v>2.71350000000001</v>
      </c>
      <c r="AD2215">
        <v>-1.1087995362430001</v>
      </c>
      <c r="AE2215">
        <v>-10.1135999999999</v>
      </c>
      <c r="AF2215">
        <v>7.2499468542519203</v>
      </c>
      <c r="AG2215">
        <v>-1.1087995362430001</v>
      </c>
      <c r="AH2215">
        <v>7.3937900110798198</v>
      </c>
      <c r="AI2215">
        <v>96.111758656457397</v>
      </c>
      <c r="AJ2215">
        <v>45.562789458484097</v>
      </c>
      <c r="AK2215">
        <v>10.4143793155902</v>
      </c>
      <c r="AL2215">
        <v>87.264928893469303</v>
      </c>
      <c r="AM2215">
        <v>73.857359285210407</v>
      </c>
      <c r="AN2215">
        <v>1.0000000290573099</v>
      </c>
    </row>
    <row r="2216" spans="1:40" x14ac:dyDescent="0.25">
      <c r="A2216" t="str">
        <f>"20190312150706280"</f>
        <v>20190312150706280</v>
      </c>
      <c r="B2216" t="str">
        <f>"1552374426272046"</f>
        <v>1552374426272046</v>
      </c>
      <c r="C2216" t="s">
        <v>40</v>
      </c>
      <c r="D2216">
        <v>4.4422230000000003</v>
      </c>
      <c r="E2216">
        <v>0.70143669999999902</v>
      </c>
      <c r="F2216" t="s">
        <v>49</v>
      </c>
      <c r="G2216">
        <v>-194.6447</v>
      </c>
      <c r="H2216" s="1">
        <v>-2.5170650000000001E-6</v>
      </c>
      <c r="I2216">
        <v>351.7672</v>
      </c>
      <c r="J2216">
        <v>-197.31389999999999</v>
      </c>
      <c r="K2216">
        <v>1.10880499999999</v>
      </c>
      <c r="L2216">
        <v>361.87560000000002</v>
      </c>
      <c r="M2216">
        <v>0.85943169999999902</v>
      </c>
      <c r="N2216">
        <v>0</v>
      </c>
      <c r="O2216">
        <v>-0.51106419999999997</v>
      </c>
      <c r="P2216">
        <v>0.68262979999999995</v>
      </c>
      <c r="Q2216">
        <v>3.6365229999999998E-2</v>
      </c>
      <c r="R2216">
        <v>-0.72985909999999998</v>
      </c>
      <c r="S2216">
        <v>0.88716130000000004</v>
      </c>
      <c r="T2216">
        <v>-0.3616183</v>
      </c>
      <c r="U2216">
        <v>-3.3079830000000001</v>
      </c>
      <c r="V2216">
        <v>0.27866600000000002</v>
      </c>
      <c r="W2216">
        <v>4.8228449999999999E-2</v>
      </c>
      <c r="X2216">
        <v>0.95917640000000004</v>
      </c>
      <c r="Y2216">
        <v>0.69675240000000005</v>
      </c>
      <c r="Z2216">
        <v>1.7094149999999999E-2</v>
      </c>
      <c r="AA2216">
        <v>0.71710810000000003</v>
      </c>
      <c r="AB2216">
        <v>11</v>
      </c>
      <c r="AC2216">
        <v>2.66919999999998</v>
      </c>
      <c r="AD2216">
        <v>-1.10880751706499</v>
      </c>
      <c r="AE2216">
        <v>-10.1084</v>
      </c>
      <c r="AF2216">
        <v>7.2425801765447497</v>
      </c>
      <c r="AG2216">
        <v>-1.10880751706499</v>
      </c>
      <c r="AH2216">
        <v>7.3777622933317302</v>
      </c>
      <c r="AI2216">
        <v>96.121541175776102</v>
      </c>
      <c r="AJ2216">
        <v>45.529751205461402</v>
      </c>
      <c r="AK2216">
        <v>10.397874695363701</v>
      </c>
      <c r="AL2216">
        <v>87.235641136745301</v>
      </c>
      <c r="AM2216">
        <v>73.800027792711205</v>
      </c>
      <c r="AN2216">
        <v>1.0000000446311801</v>
      </c>
    </row>
    <row r="2217" spans="1:40" x14ac:dyDescent="0.25">
      <c r="A2217" t="str">
        <f>"20190312150706291"</f>
        <v>20190312150706291</v>
      </c>
      <c r="B2217" t="str">
        <f>"1552374426281807"</f>
        <v>1552374426281807</v>
      </c>
      <c r="C2217" t="s">
        <v>40</v>
      </c>
      <c r="D2217">
        <v>4.4426300000000003</v>
      </c>
      <c r="E2217">
        <v>0.70104180000000005</v>
      </c>
      <c r="F2217" t="s">
        <v>49</v>
      </c>
      <c r="G2217">
        <v>-194.66210000000001</v>
      </c>
      <c r="H2217" s="1">
        <v>-2.5672979999999999E-6</v>
      </c>
      <c r="I2217">
        <v>351.8442</v>
      </c>
      <c r="J2217">
        <v>-197.26820000000001</v>
      </c>
      <c r="K2217">
        <v>1.108811</v>
      </c>
      <c r="L2217">
        <v>361.84429999999998</v>
      </c>
      <c r="M2217">
        <v>0.85787199999999997</v>
      </c>
      <c r="N2217">
        <v>0</v>
      </c>
      <c r="O2217">
        <v>-0.51367799999999997</v>
      </c>
      <c r="P2217">
        <v>0.67965450000000005</v>
      </c>
      <c r="Q2217">
        <v>3.6378279999999999E-2</v>
      </c>
      <c r="R2217">
        <v>-0.73262989999999995</v>
      </c>
      <c r="S2217">
        <v>0.87503050000000004</v>
      </c>
      <c r="T2217">
        <v>-0.36588229999999999</v>
      </c>
      <c r="U2217">
        <v>-3.3101199999999902</v>
      </c>
      <c r="V2217">
        <v>0.27964830000000002</v>
      </c>
      <c r="W2217">
        <v>4.8234159999999998E-2</v>
      </c>
      <c r="X2217">
        <v>0.95889009999999997</v>
      </c>
      <c r="Y2217">
        <v>0.69712200000000002</v>
      </c>
      <c r="Z2217">
        <v>1.761801E-2</v>
      </c>
      <c r="AA2217">
        <v>0.71673599999999904</v>
      </c>
      <c r="AB2217">
        <v>11</v>
      </c>
      <c r="AC2217">
        <v>2.6060999999999899</v>
      </c>
      <c r="AD2217">
        <v>-1.108813567298</v>
      </c>
      <c r="AE2217">
        <v>-10.0000999999999</v>
      </c>
      <c r="AF2217">
        <v>7.1583881906834197</v>
      </c>
      <c r="AG2217">
        <v>-1.108813567298</v>
      </c>
      <c r="AH2217">
        <v>7.2893155377208796</v>
      </c>
      <c r="AI2217">
        <v>96.194167398901399</v>
      </c>
      <c r="AJ2217">
        <v>45.519209087420798</v>
      </c>
      <c r="AK2217">
        <v>10.2764833490839</v>
      </c>
      <c r="AL2217">
        <v>87.235313376009799</v>
      </c>
      <c r="AM2217">
        <v>73.741336049736901</v>
      </c>
      <c r="AN2217">
        <v>0.99999996488090204</v>
      </c>
    </row>
    <row r="2218" spans="1:40" x14ac:dyDescent="0.25">
      <c r="A2218" t="str">
        <f>"20190312150706302"</f>
        <v>20190312150706302</v>
      </c>
      <c r="B2218" t="str">
        <f>"1552374426292543"</f>
        <v>1552374426292543</v>
      </c>
      <c r="C2218" t="s">
        <v>40</v>
      </c>
      <c r="D2218">
        <v>4.5101899999999997</v>
      </c>
      <c r="E2218">
        <v>0.70076879999999997</v>
      </c>
      <c r="F2218" t="s">
        <v>49</v>
      </c>
      <c r="G2218">
        <v>-194.66659999999999</v>
      </c>
      <c r="H2218" s="1">
        <v>-2.5853489999999999E-6</v>
      </c>
      <c r="I2218">
        <v>351.87270000000001</v>
      </c>
      <c r="J2218">
        <v>-197.2217</v>
      </c>
      <c r="K2218">
        <v>1.1088180000000001</v>
      </c>
      <c r="L2218">
        <v>361.81220000000002</v>
      </c>
      <c r="M2218">
        <v>0.85627119999999901</v>
      </c>
      <c r="N2218">
        <v>0</v>
      </c>
      <c r="O2218">
        <v>-0.51634199999999997</v>
      </c>
      <c r="P2218">
        <v>0.67693199999999998</v>
      </c>
      <c r="Q2218">
        <v>3.6754769999999999E-2</v>
      </c>
      <c r="R2218">
        <v>-0.73512730000000004</v>
      </c>
      <c r="S2218">
        <v>0.86399840000000006</v>
      </c>
      <c r="T2218">
        <v>-0.3682435</v>
      </c>
      <c r="U2218">
        <v>-3.3116150000000002</v>
      </c>
      <c r="V2218">
        <v>0.28021040000000003</v>
      </c>
      <c r="W2218">
        <v>4.8607570000000003E-2</v>
      </c>
      <c r="X2218">
        <v>0.95870719999999998</v>
      </c>
      <c r="Y2218">
        <v>0.69720289999999996</v>
      </c>
      <c r="Z2218">
        <v>1.8087140000000002E-2</v>
      </c>
      <c r="AA2218">
        <v>0.71664569999999905</v>
      </c>
      <c r="AB2218">
        <v>11</v>
      </c>
      <c r="AC2218">
        <v>2.5550999999999999</v>
      </c>
      <c r="AD2218">
        <v>-1.1088205853489901</v>
      </c>
      <c r="AE2218">
        <v>-9.9395000000000095</v>
      </c>
      <c r="AF2218">
        <v>7.1092968261827103</v>
      </c>
      <c r="AG2218">
        <v>-1.1088205853489901</v>
      </c>
      <c r="AH2218">
        <v>7.2362646063830098</v>
      </c>
      <c r="AI2218">
        <v>96.237975112323397</v>
      </c>
      <c r="AJ2218">
        <v>45.507092596510603</v>
      </c>
      <c r="AK2218">
        <v>10.2046611853043</v>
      </c>
      <c r="AL2218">
        <v>87.213893613801602</v>
      </c>
      <c r="AM2218">
        <v>73.707444064096705</v>
      </c>
      <c r="AN2218">
        <v>1.0000000297306499</v>
      </c>
    </row>
    <row r="2219" spans="1:40" x14ac:dyDescent="0.25">
      <c r="A2219" t="str">
        <f>"20190312150706314"</f>
        <v>20190312150706314</v>
      </c>
      <c r="B2219" t="str">
        <f>"1552374426312062"</f>
        <v>1552374426312062</v>
      </c>
      <c r="C2219" t="s">
        <v>40</v>
      </c>
      <c r="D2219">
        <v>4.5019499999999999</v>
      </c>
      <c r="E2219">
        <v>0.69998119999999997</v>
      </c>
      <c r="F2219" t="s">
        <v>49</v>
      </c>
      <c r="G2219">
        <v>-194.6798</v>
      </c>
      <c r="H2219" s="1">
        <v>-2.6302670000000002E-6</v>
      </c>
      <c r="I2219">
        <v>351.9427</v>
      </c>
      <c r="J2219">
        <v>-197.1722</v>
      </c>
      <c r="K2219">
        <v>1.108824</v>
      </c>
      <c r="L2219">
        <v>361.77780000000001</v>
      </c>
      <c r="M2219">
        <v>0.85455020000000004</v>
      </c>
      <c r="N2219">
        <v>0</v>
      </c>
      <c r="O2219">
        <v>-0.51918549999999997</v>
      </c>
      <c r="P2219">
        <v>0.67396429999999996</v>
      </c>
      <c r="Q2219">
        <v>3.749239E-2</v>
      </c>
      <c r="R2219">
        <v>-0.73781200000000002</v>
      </c>
      <c r="S2219">
        <v>0.85345459999999995</v>
      </c>
      <c r="T2219">
        <v>-0.3722838</v>
      </c>
      <c r="U2219">
        <v>-3.31366</v>
      </c>
      <c r="V2219">
        <v>0.28085840000000001</v>
      </c>
      <c r="W2219">
        <v>4.9341490000000002E-2</v>
      </c>
      <c r="X2219">
        <v>0.95848009999999995</v>
      </c>
      <c r="Y2219">
        <v>0.69705340000000005</v>
      </c>
      <c r="Z2219">
        <v>1.8682979999999998E-2</v>
      </c>
      <c r="AA2219">
        <v>0.71677579999999996</v>
      </c>
      <c r="AB2219">
        <v>11</v>
      </c>
      <c r="AC2219">
        <v>2.4923999999999999</v>
      </c>
      <c r="AD2219">
        <v>-1.108826630267</v>
      </c>
      <c r="AE2219">
        <v>-9.8351000000000095</v>
      </c>
      <c r="AF2219">
        <v>7.0273137276338096</v>
      </c>
      <c r="AG2219">
        <v>-1.108826630267</v>
      </c>
      <c r="AH2219">
        <v>7.1513971661443696</v>
      </c>
      <c r="AI2219">
        <v>96.310832346705197</v>
      </c>
      <c r="AJ2219">
        <v>45.501404951322499</v>
      </c>
      <c r="AK2219">
        <v>10.0873740958942</v>
      </c>
      <c r="AL2219">
        <v>87.171792669101194</v>
      </c>
      <c r="AM2219">
        <v>73.668109092622203</v>
      </c>
      <c r="AN2219">
        <v>1.00000006279099</v>
      </c>
    </row>
    <row r="2220" spans="1:40" x14ac:dyDescent="0.25">
      <c r="A2220" t="str">
        <f>"20190312150706325"</f>
        <v>20190312150706325</v>
      </c>
      <c r="B2220" t="str">
        <f>"1552374426321822"</f>
        <v>1552374426321822</v>
      </c>
      <c r="C2220" t="s">
        <v>40</v>
      </c>
      <c r="D2220">
        <v>4.1301629999999996</v>
      </c>
      <c r="E2220">
        <v>0.69998119999999997</v>
      </c>
      <c r="F2220" t="s">
        <v>49</v>
      </c>
      <c r="G2220">
        <v>-194.6825</v>
      </c>
      <c r="H2220" s="1">
        <v>-2.672543E-6</v>
      </c>
      <c r="I2220">
        <v>352.0129</v>
      </c>
      <c r="J2220">
        <v>-197.12139999999999</v>
      </c>
      <c r="K2220">
        <v>1.1088389999999999</v>
      </c>
      <c r="L2220">
        <v>361.74220000000003</v>
      </c>
      <c r="M2220">
        <v>0.852769</v>
      </c>
      <c r="N2220">
        <v>0</v>
      </c>
      <c r="O2220">
        <v>-0.52210579999999995</v>
      </c>
      <c r="P2220">
        <v>0.67112269999999996</v>
      </c>
      <c r="Q2220">
        <v>3.7724489999999999E-2</v>
      </c>
      <c r="R2220">
        <v>-0.74038599999999999</v>
      </c>
      <c r="S2220">
        <v>0.84478759999999997</v>
      </c>
      <c r="T2220">
        <v>-0.37624600000000002</v>
      </c>
      <c r="U2220">
        <v>-3.3134160000000001</v>
      </c>
      <c r="V2220">
        <v>0.28125489999999997</v>
      </c>
      <c r="W2220">
        <v>4.9572480000000002E-2</v>
      </c>
      <c r="X2220">
        <v>0.95835190000000003</v>
      </c>
      <c r="Y2220">
        <v>0.69633829999999997</v>
      </c>
      <c r="Z2220">
        <v>1.9347110000000001E-2</v>
      </c>
      <c r="AA2220">
        <v>0.71745300000000001</v>
      </c>
      <c r="AB2220">
        <v>11</v>
      </c>
      <c r="AC2220">
        <v>2.4388999999999799</v>
      </c>
      <c r="AD2220">
        <v>-1.1088416725429999</v>
      </c>
      <c r="AE2220">
        <v>-9.7293000000000198</v>
      </c>
      <c r="AF2220">
        <v>6.9393448019708801</v>
      </c>
      <c r="AG2220">
        <v>-1.1088416725429999</v>
      </c>
      <c r="AH2220">
        <v>7.07377556048261</v>
      </c>
      <c r="AI2220">
        <v>96.384831045128394</v>
      </c>
      <c r="AJ2220">
        <v>45.549633388776797</v>
      </c>
      <c r="AK2220">
        <v>9.9710750080164097</v>
      </c>
      <c r="AL2220">
        <v>87.158541685204099</v>
      </c>
      <c r="AM2220">
        <v>73.644213113776601</v>
      </c>
      <c r="AN2220">
        <v>1.0000000568904801</v>
      </c>
    </row>
    <row r="2221" spans="1:40" x14ac:dyDescent="0.25">
      <c r="A2221" t="str">
        <f>"20190312150706336"</f>
        <v>20190312150706336</v>
      </c>
      <c r="B2221" t="str">
        <f>"1552374426332558"</f>
        <v>1552374426332558</v>
      </c>
      <c r="C2221" t="s">
        <v>40</v>
      </c>
      <c r="D2221">
        <v>4.1025609999999997</v>
      </c>
      <c r="E2221">
        <v>0.67978169999999905</v>
      </c>
      <c r="F2221" t="s">
        <v>49</v>
      </c>
      <c r="G2221">
        <v>-194.66489999999999</v>
      </c>
      <c r="H2221" s="1">
        <v>-2.631441E-6</v>
      </c>
      <c r="I2221">
        <v>351.95139999999998</v>
      </c>
      <c r="J2221">
        <v>-197.07589999999999</v>
      </c>
      <c r="K2221">
        <v>1.1088480000000001</v>
      </c>
      <c r="L2221">
        <v>361.71019999999999</v>
      </c>
      <c r="M2221">
        <v>0.85116270000000005</v>
      </c>
      <c r="N2221">
        <v>0</v>
      </c>
      <c r="O2221">
        <v>-0.52472079999999999</v>
      </c>
      <c r="P2221">
        <v>0.66861190000000004</v>
      </c>
      <c r="Q2221">
        <v>3.7868800000000001E-2</v>
      </c>
      <c r="R2221">
        <v>-0.7426471</v>
      </c>
      <c r="S2221">
        <v>0.83216859999999904</v>
      </c>
      <c r="T2221">
        <v>-0.37563609999999997</v>
      </c>
      <c r="U2221">
        <v>-3.3168030000000002</v>
      </c>
      <c r="V2221">
        <v>0.28155259999999999</v>
      </c>
      <c r="W2221">
        <v>4.9716299999999998E-2</v>
      </c>
      <c r="X2221">
        <v>0.95825700000000003</v>
      </c>
      <c r="Y2221">
        <v>0.69688739999999905</v>
      </c>
      <c r="Z2221">
        <v>1.9630689999999999E-2</v>
      </c>
      <c r="AA2221">
        <v>0.71691190000000005</v>
      </c>
      <c r="AB2221">
        <v>11</v>
      </c>
      <c r="AC2221">
        <v>2.411</v>
      </c>
      <c r="AD2221">
        <v>-1.108850631441</v>
      </c>
      <c r="AE2221">
        <v>-9.7588000000000008</v>
      </c>
      <c r="AF2221">
        <v>6.9572379478191397</v>
      </c>
      <c r="AG2221">
        <v>-1.108850631441</v>
      </c>
      <c r="AH2221">
        <v>7.0872424571544803</v>
      </c>
      <c r="AI2221">
        <v>96.370762735221007</v>
      </c>
      <c r="AJ2221">
        <v>45.530350482954603</v>
      </c>
      <c r="AK2221">
        <v>9.9930833696069499</v>
      </c>
      <c r="AL2221">
        <v>87.150291149817406</v>
      </c>
      <c r="AM2221">
        <v>73.626293099194697</v>
      </c>
      <c r="AN2221">
        <v>1.0000000275507199</v>
      </c>
    </row>
    <row r="2222" spans="1:40" x14ac:dyDescent="0.25">
      <c r="A2222" t="str">
        <f>"20190312150706347"</f>
        <v>20190312150706347</v>
      </c>
      <c r="B2222" t="str">
        <f>"1552374426342319"</f>
        <v>1552374426342319</v>
      </c>
      <c r="C2222" t="s">
        <v>40</v>
      </c>
      <c r="D2222">
        <v>4.2891069999999996</v>
      </c>
      <c r="E2222">
        <v>0.67978169999999905</v>
      </c>
      <c r="F2222" t="s">
        <v>42</v>
      </c>
      <c r="G2222">
        <v>-191.52180000000001</v>
      </c>
      <c r="H2222" s="1">
        <v>-1.77775E-6</v>
      </c>
      <c r="I2222">
        <v>342.78919999999999</v>
      </c>
      <c r="J2222">
        <v>-197.03219999999999</v>
      </c>
      <c r="K2222">
        <v>1.1088559999999901</v>
      </c>
      <c r="L2222">
        <v>361.67930000000001</v>
      </c>
      <c r="M2222">
        <v>0.8496051</v>
      </c>
      <c r="N2222">
        <v>0</v>
      </c>
      <c r="O2222">
        <v>-0.52723909999999996</v>
      </c>
      <c r="P2222">
        <v>0.66638580000000003</v>
      </c>
      <c r="Q2222">
        <v>3.847362E-2</v>
      </c>
      <c r="R2222">
        <v>-0.744614</v>
      </c>
      <c r="S2222">
        <v>0.94013979999999997</v>
      </c>
      <c r="T2222">
        <v>-0.18769189999999999</v>
      </c>
      <c r="U2222">
        <v>-3.2026979999999998</v>
      </c>
      <c r="V2222">
        <v>0.28155930000000001</v>
      </c>
      <c r="W2222">
        <v>5.0323039999999999E-2</v>
      </c>
      <c r="X2222">
        <v>0.9582233</v>
      </c>
      <c r="Y2222">
        <v>0.66652619999999996</v>
      </c>
      <c r="Z2222">
        <v>1.139508E-2</v>
      </c>
      <c r="AA2222">
        <v>0.74539449999999996</v>
      </c>
      <c r="AB2222">
        <v>11</v>
      </c>
      <c r="AC2222">
        <v>5.5103999999999704</v>
      </c>
      <c r="AD2222">
        <v>-1.1088577777499999</v>
      </c>
      <c r="AE2222">
        <v>-18.8901</v>
      </c>
      <c r="AF2222">
        <v>13.1034660776743</v>
      </c>
      <c r="AG2222">
        <v>-1.1088577777499999</v>
      </c>
      <c r="AH2222">
        <v>14.596304187633899</v>
      </c>
      <c r="AI2222">
        <v>93.235530723573703</v>
      </c>
      <c r="AJ2222">
        <v>48.084886825991902</v>
      </c>
      <c r="AK2222">
        <v>19.646436948158701</v>
      </c>
      <c r="AL2222">
        <v>87.1154837729337</v>
      </c>
      <c r="AM2222">
        <v>73.625379314660194</v>
      </c>
      <c r="AN2222">
        <v>0.99999997021710996</v>
      </c>
    </row>
    <row r="2223" spans="1:40" x14ac:dyDescent="0.25">
      <c r="A2223" t="str">
        <f>"20190312150706359"</f>
        <v>20190312150706359</v>
      </c>
      <c r="B2223" t="str">
        <f>"1552374426352079"</f>
        <v>1552374426352079</v>
      </c>
      <c r="C2223" t="s">
        <v>40</v>
      </c>
      <c r="D2223">
        <v>4.4675599999999998</v>
      </c>
      <c r="E2223">
        <v>0.68570209999999998</v>
      </c>
      <c r="F2223" t="s">
        <v>42</v>
      </c>
      <c r="G2223">
        <v>-191.49199999999999</v>
      </c>
      <c r="H2223" s="1">
        <v>-1.693776E-6</v>
      </c>
      <c r="I2223">
        <v>342.61200000000002</v>
      </c>
      <c r="J2223">
        <v>-196.9759</v>
      </c>
      <c r="K2223">
        <v>1.108862</v>
      </c>
      <c r="L2223">
        <v>361.63900000000001</v>
      </c>
      <c r="M2223">
        <v>0.84757850000000001</v>
      </c>
      <c r="N2223">
        <v>0</v>
      </c>
      <c r="O2223">
        <v>-0.53049089999999999</v>
      </c>
      <c r="P2223">
        <v>0.66347299999999998</v>
      </c>
      <c r="Q2223">
        <v>3.871223E-2</v>
      </c>
      <c r="R2223">
        <v>-0.74719840000000004</v>
      </c>
      <c r="S2223">
        <v>0.93127439999999995</v>
      </c>
      <c r="T2223">
        <v>-0.1863929</v>
      </c>
      <c r="U2223">
        <v>-3.2051090000000002</v>
      </c>
      <c r="V2223">
        <v>0.28161900000000001</v>
      </c>
      <c r="W2223">
        <v>5.0563999999999998E-2</v>
      </c>
      <c r="X2223">
        <v>0.95819310000000002</v>
      </c>
      <c r="Y2223">
        <v>0.66572830000000005</v>
      </c>
      <c r="Z2223">
        <v>1.1570479999999999E-2</v>
      </c>
      <c r="AA2223">
        <v>0.74610449999999995</v>
      </c>
      <c r="AB2223">
        <v>11</v>
      </c>
      <c r="AC2223">
        <v>5.48389999999997</v>
      </c>
      <c r="AD2223">
        <v>-1.1088636937759999</v>
      </c>
      <c r="AE2223">
        <v>-19.027000000000001</v>
      </c>
      <c r="AF2223">
        <v>13.1776499933379</v>
      </c>
      <c r="AG2223">
        <v>-1.1088636937759999</v>
      </c>
      <c r="AH2223">
        <v>14.6969993788544</v>
      </c>
      <c r="AI2223">
        <v>93.215185309160205</v>
      </c>
      <c r="AJ2223">
        <v>48.119904756726697</v>
      </c>
      <c r="AK2223">
        <v>19.770731619754098</v>
      </c>
      <c r="AL2223">
        <v>87.101660263657607</v>
      </c>
      <c r="AM2223">
        <v>73.621604860571395</v>
      </c>
      <c r="AN2223">
        <v>0.999999998072305</v>
      </c>
    </row>
    <row r="2224" spans="1:40" x14ac:dyDescent="0.25">
      <c r="A2224" t="str">
        <f>"20190312150706370"</f>
        <v>20190312150706370</v>
      </c>
      <c r="B2224" t="str">
        <f>"1552374426361838"</f>
        <v>1552374426361838</v>
      </c>
      <c r="C2224" t="s">
        <v>40</v>
      </c>
      <c r="D2224">
        <v>4.5232469999999996</v>
      </c>
      <c r="E2224">
        <v>0.68844649999999996</v>
      </c>
      <c r="F2224" t="s">
        <v>56</v>
      </c>
      <c r="G2224">
        <v>-167.0367</v>
      </c>
      <c r="H2224">
        <v>6.4480360000000001</v>
      </c>
      <c r="I2224">
        <v>252.31030000000001</v>
      </c>
      <c r="J2224">
        <v>-196.93459999999999</v>
      </c>
      <c r="K2224">
        <v>1.108865</v>
      </c>
      <c r="L2224">
        <v>361.60930000000002</v>
      </c>
      <c r="M2224">
        <v>0.846082</v>
      </c>
      <c r="N2224">
        <v>0</v>
      </c>
      <c r="O2224">
        <v>-0.53287450000000003</v>
      </c>
      <c r="P2224">
        <v>0.6615896</v>
      </c>
      <c r="Q2224">
        <v>3.8834800000000003E-2</v>
      </c>
      <c r="R2224">
        <v>-0.74886019999999998</v>
      </c>
      <c r="S2224">
        <v>0.88264469999999995</v>
      </c>
      <c r="T2224">
        <v>0.15740699999999999</v>
      </c>
      <c r="U2224">
        <v>-3.2231450000000001</v>
      </c>
      <c r="V2224">
        <v>0.28132879999999999</v>
      </c>
      <c r="W2224">
        <v>5.0691149999999997E-2</v>
      </c>
      <c r="X2224">
        <v>0.9582716</v>
      </c>
      <c r="Y2224">
        <v>0.67518469999999997</v>
      </c>
      <c r="Z2224">
        <v>-9.6092250000000008E-3</v>
      </c>
      <c r="AA2224">
        <v>0.73758619999999997</v>
      </c>
      <c r="AB2224">
        <v>11</v>
      </c>
      <c r="AC2224">
        <v>29.8979</v>
      </c>
      <c r="AD2224">
        <v>5.3391710000000003</v>
      </c>
      <c r="AE2224">
        <v>-109.298999999999</v>
      </c>
      <c r="AF2224">
        <v>76.3817842767305</v>
      </c>
      <c r="AG2224">
        <v>5.3391710000000003</v>
      </c>
      <c r="AH2224">
        <v>83.361589879863999</v>
      </c>
      <c r="AI2224">
        <v>87.296340958904594</v>
      </c>
      <c r="AJ2224">
        <v>47.5018827689834</v>
      </c>
      <c r="AK2224">
        <v>113.189391656475</v>
      </c>
      <c r="AL2224">
        <v>87.094365677549106</v>
      </c>
      <c r="AM2224">
        <v>73.638847802767501</v>
      </c>
      <c r="AN2224">
        <v>0.99999997288216003</v>
      </c>
    </row>
    <row r="2225" spans="1:40" x14ac:dyDescent="0.25">
      <c r="A2225" t="str">
        <f>"20190312150706381"</f>
        <v>20190312150706381</v>
      </c>
      <c r="B2225" t="str">
        <f>"1552374426372574"</f>
        <v>1552374426372574</v>
      </c>
      <c r="C2225" t="s">
        <v>40</v>
      </c>
      <c r="D2225">
        <v>4.6223580000000002</v>
      </c>
      <c r="E2225">
        <v>0.68844649999999996</v>
      </c>
      <c r="F2225" t="s">
        <v>56</v>
      </c>
      <c r="G2225">
        <v>-168.20400000000001</v>
      </c>
      <c r="H2225">
        <v>6.9871850000000002</v>
      </c>
      <c r="I2225">
        <v>253.124</v>
      </c>
      <c r="J2225">
        <v>-196.886</v>
      </c>
      <c r="K2225">
        <v>1.10887</v>
      </c>
      <c r="L2225">
        <v>361.57409999999999</v>
      </c>
      <c r="M2225">
        <v>0.84430659999999902</v>
      </c>
      <c r="N2225">
        <v>0</v>
      </c>
      <c r="O2225">
        <v>-0.53568319999999903</v>
      </c>
      <c r="P2225">
        <v>0.65943359999999995</v>
      </c>
      <c r="Q2225">
        <v>3.8438670000000001E-2</v>
      </c>
      <c r="R2225">
        <v>-0.75077959999999999</v>
      </c>
      <c r="S2225">
        <v>0.85783390000000004</v>
      </c>
      <c r="T2225">
        <v>0.17551549999999999</v>
      </c>
      <c r="U2225">
        <v>-3.2391359999999998</v>
      </c>
      <c r="V2225">
        <v>0.28091379999999999</v>
      </c>
      <c r="W2225">
        <v>5.0301600000000002E-2</v>
      </c>
      <c r="X2225">
        <v>0.95841390000000004</v>
      </c>
      <c r="Y2225">
        <v>0.67887919999999902</v>
      </c>
      <c r="Z2225">
        <v>-1.073964E-2</v>
      </c>
      <c r="AA2225">
        <v>0.73417140000000003</v>
      </c>
      <c r="AB2225">
        <v>11</v>
      </c>
      <c r="AC2225">
        <v>28.681999999999899</v>
      </c>
      <c r="AD2225">
        <v>5.8783149999999997</v>
      </c>
      <c r="AE2225">
        <v>-108.450099999999</v>
      </c>
      <c r="AF2225">
        <v>75.999218964273595</v>
      </c>
      <c r="AG2225">
        <v>5.8783149999999997</v>
      </c>
      <c r="AH2225">
        <v>82.093693227545003</v>
      </c>
      <c r="AI2225">
        <v>86.992148403866096</v>
      </c>
      <c r="AJ2225">
        <v>47.207656415967897</v>
      </c>
      <c r="AK2225">
        <v>112.02593600661</v>
      </c>
      <c r="AL2225">
        <v>87.116713863703794</v>
      </c>
      <c r="AM2225">
        <v>73.663991185792298</v>
      </c>
      <c r="AN2225">
        <v>1.0000000088531</v>
      </c>
    </row>
    <row r="2226" spans="1:40" x14ac:dyDescent="0.25">
      <c r="A2226" t="str">
        <f>"20190312150706393"</f>
        <v>20190312150706393</v>
      </c>
      <c r="B2226" t="str">
        <f>"1552374426382334"</f>
        <v>1552374426382334</v>
      </c>
      <c r="C2226" t="s">
        <v>40</v>
      </c>
      <c r="D2226">
        <v>4.6047469999999997</v>
      </c>
      <c r="E2226">
        <v>0.70964939999999999</v>
      </c>
      <c r="F2226" t="s">
        <v>56</v>
      </c>
      <c r="G2226">
        <v>-168.50120000000001</v>
      </c>
      <c r="H2226">
        <v>6.9180320000000002</v>
      </c>
      <c r="I2226">
        <v>253.124</v>
      </c>
      <c r="J2226">
        <v>-196.84100000000001</v>
      </c>
      <c r="K2226">
        <v>1.1088750000000001</v>
      </c>
      <c r="L2226">
        <v>361.54129999999998</v>
      </c>
      <c r="M2226">
        <v>0.842647699999999</v>
      </c>
      <c r="N2226">
        <v>0</v>
      </c>
      <c r="O2226">
        <v>-0.53828880000000001</v>
      </c>
      <c r="P2226">
        <v>0.65746419999999905</v>
      </c>
      <c r="Q2226">
        <v>3.8094629999999997E-2</v>
      </c>
      <c r="R2226">
        <v>-0.75252249999999998</v>
      </c>
      <c r="S2226">
        <v>0.84846499999999903</v>
      </c>
      <c r="T2226">
        <v>0.17364569999999999</v>
      </c>
      <c r="U2226">
        <v>-3.24173</v>
      </c>
      <c r="V2226">
        <v>0.28047630000000001</v>
      </c>
      <c r="W2226">
        <v>4.9963939999999998E-2</v>
      </c>
      <c r="X2226">
        <v>0.95855970000000001</v>
      </c>
      <c r="Y2226">
        <v>0.67874789999999996</v>
      </c>
      <c r="Z2226">
        <v>-1.079804E-2</v>
      </c>
      <c r="AA2226">
        <v>0.73429199999999994</v>
      </c>
      <c r="AB2226">
        <v>11</v>
      </c>
      <c r="AC2226">
        <v>28.339799999999901</v>
      </c>
      <c r="AD2226">
        <v>5.8091569999999999</v>
      </c>
      <c r="AE2226">
        <v>-108.417299999999</v>
      </c>
      <c r="AF2226">
        <v>75.905837424810201</v>
      </c>
      <c r="AG2226">
        <v>5.8091569999999999</v>
      </c>
      <c r="AH2226">
        <v>82.027663206441105</v>
      </c>
      <c r="AI2226">
        <v>87.024501101644802</v>
      </c>
      <c r="AJ2226">
        <v>47.219790403835297</v>
      </c>
      <c r="AK2226">
        <v>111.910589272515</v>
      </c>
      <c r="AL2226">
        <v>87.136084758489503</v>
      </c>
      <c r="AM2226">
        <v>73.690428777381698</v>
      </c>
      <c r="AN2226">
        <v>1.00000002431305</v>
      </c>
    </row>
    <row r="2227" spans="1:40" x14ac:dyDescent="0.25">
      <c r="A2227" t="str">
        <f>"20190312150706416"</f>
        <v>20190312150706416</v>
      </c>
      <c r="B2227" t="str">
        <f>"1552374426412590"</f>
        <v>1552374426412590</v>
      </c>
      <c r="C2227" t="s">
        <v>40</v>
      </c>
      <c r="D2227">
        <v>3.4324629999999998</v>
      </c>
      <c r="E2227">
        <v>0.71206590000000003</v>
      </c>
      <c r="F2227" t="s">
        <v>56</v>
      </c>
      <c r="G2227">
        <v>-167.89859999999999</v>
      </c>
      <c r="H2227">
        <v>10.924799999999999</v>
      </c>
      <c r="I2227">
        <v>225.37029999999999</v>
      </c>
      <c r="J2227">
        <v>-196.74529999999999</v>
      </c>
      <c r="K2227">
        <v>1.108881</v>
      </c>
      <c r="L2227">
        <v>361.4708</v>
      </c>
      <c r="M2227">
        <v>0.83908249999999995</v>
      </c>
      <c r="N2227">
        <v>0</v>
      </c>
      <c r="O2227">
        <v>-0.54382980000000003</v>
      </c>
      <c r="P2227">
        <v>0.65376290000000004</v>
      </c>
      <c r="Q2227">
        <v>3.7152419999999999E-2</v>
      </c>
      <c r="R2227">
        <v>-0.75578699999999999</v>
      </c>
      <c r="S2227">
        <v>0.71244810000000003</v>
      </c>
      <c r="T2227">
        <v>0.2416306</v>
      </c>
      <c r="U2227">
        <v>-3.3519899999999998</v>
      </c>
      <c r="V2227">
        <v>0.27889609999999998</v>
      </c>
      <c r="W2227">
        <v>4.9040970000000003E-2</v>
      </c>
      <c r="X2227">
        <v>0.95906820000000004</v>
      </c>
      <c r="Y2227">
        <v>0.70732469999999903</v>
      </c>
      <c r="Z2227">
        <v>-1.381013E-2</v>
      </c>
      <c r="AA2227">
        <v>0.70675379999999999</v>
      </c>
      <c r="AB2227">
        <v>11</v>
      </c>
      <c r="AC2227">
        <v>28.846699999999998</v>
      </c>
      <c r="AD2227">
        <v>9.8159189999999992</v>
      </c>
      <c r="AE2227">
        <v>-136.10050000000001</v>
      </c>
      <c r="AF2227">
        <v>98.033185495570507</v>
      </c>
      <c r="AG2227">
        <v>9.8159189999999992</v>
      </c>
      <c r="AH2227">
        <v>97.743018443978002</v>
      </c>
      <c r="AI2227">
        <v>85.944149302483495</v>
      </c>
      <c r="AJ2227">
        <v>44.915079897854397</v>
      </c>
      <c r="AK2227">
        <v>138.78240298670099</v>
      </c>
      <c r="AL2227">
        <v>87.189031697595894</v>
      </c>
      <c r="AM2227">
        <v>73.785620598690798</v>
      </c>
      <c r="AN2227">
        <v>0.99999993179249302</v>
      </c>
    </row>
    <row r="2228" spans="1:40" x14ac:dyDescent="0.25">
      <c r="A2228" t="str">
        <f>"20190312150706430"</f>
        <v>20190312150706430</v>
      </c>
      <c r="B2228" t="str">
        <f>"1552374426422350"</f>
        <v>1552374426422350</v>
      </c>
      <c r="C2228" t="s">
        <v>40</v>
      </c>
      <c r="D2228">
        <v>4.4043580000000002</v>
      </c>
      <c r="E2228">
        <v>0.71186309999999997</v>
      </c>
      <c r="F2228" t="s">
        <v>57</v>
      </c>
      <c r="G2228">
        <v>-165.95740000000001</v>
      </c>
      <c r="H2228">
        <v>13.0806</v>
      </c>
      <c r="I2228">
        <v>209.34010000000001</v>
      </c>
      <c r="J2228">
        <v>-196.68860000000001</v>
      </c>
      <c r="K2228">
        <v>1.108886</v>
      </c>
      <c r="L2228">
        <v>361.42860000000002</v>
      </c>
      <c r="M2228">
        <v>0.83694120000000005</v>
      </c>
      <c r="N2228">
        <v>0</v>
      </c>
      <c r="O2228">
        <v>-0.54711949999999998</v>
      </c>
      <c r="P2228">
        <v>0.65133960000000002</v>
      </c>
      <c r="Q2228">
        <v>3.6630049999999997E-2</v>
      </c>
      <c r="R2228">
        <v>-0.75790199999999996</v>
      </c>
      <c r="S2228">
        <v>0.68139649999999996</v>
      </c>
      <c r="T2228">
        <v>0.26495750000000001</v>
      </c>
      <c r="U2228">
        <v>-3.366943</v>
      </c>
      <c r="V2228">
        <v>0.2782193</v>
      </c>
      <c r="W2228">
        <v>4.8527550000000003E-2</v>
      </c>
      <c r="X2228">
        <v>0.95929089999999995</v>
      </c>
      <c r="Y2228">
        <v>0.71133849999999998</v>
      </c>
      <c r="Z2228">
        <v>-1.520875E-2</v>
      </c>
      <c r="AA2228">
        <v>0.702685</v>
      </c>
      <c r="AB2228">
        <v>11</v>
      </c>
      <c r="AC2228">
        <v>30.731200000000001</v>
      </c>
      <c r="AD2228">
        <v>11.971714</v>
      </c>
      <c r="AE2228">
        <v>-152.08850000000001</v>
      </c>
      <c r="AF2228">
        <v>109.83213409532701</v>
      </c>
      <c r="AG2228">
        <v>11.971714</v>
      </c>
      <c r="AH2228">
        <v>108.2964282945</v>
      </c>
      <c r="AI2228">
        <v>85.561861553031903</v>
      </c>
      <c r="AJ2228">
        <v>44.596623173715997</v>
      </c>
      <c r="AK2228">
        <v>154.707905413323</v>
      </c>
      <c r="AL2228">
        <v>87.218483662608705</v>
      </c>
      <c r="AM2228">
        <v>73.826467008750598</v>
      </c>
      <c r="AN2228">
        <v>0.99999996641215005</v>
      </c>
    </row>
    <row r="2229" spans="1:40" x14ac:dyDescent="0.25">
      <c r="A2229" t="str">
        <f>"20190312150706442"</f>
        <v>20190312150706442</v>
      </c>
      <c r="B2229" t="str">
        <f>"1552374426432111"</f>
        <v>1552374426432111</v>
      </c>
      <c r="C2229" t="s">
        <v>40</v>
      </c>
      <c r="D2229">
        <v>4.2794869999999996</v>
      </c>
      <c r="E2229">
        <v>0.71179669999999995</v>
      </c>
      <c r="F2229" t="s">
        <v>57</v>
      </c>
      <c r="G2229">
        <v>-166.34039999999999</v>
      </c>
      <c r="H2229">
        <v>13.01318</v>
      </c>
      <c r="I2229">
        <v>209.34020000000001</v>
      </c>
      <c r="J2229">
        <v>-196.631</v>
      </c>
      <c r="K2229">
        <v>1.108894</v>
      </c>
      <c r="L2229">
        <v>361.3854</v>
      </c>
      <c r="M2229">
        <v>0.83475010000000005</v>
      </c>
      <c r="N2229">
        <v>0</v>
      </c>
      <c r="O2229">
        <v>-0.55045659999999996</v>
      </c>
      <c r="P2229">
        <v>0.64893590000000001</v>
      </c>
      <c r="Q2229">
        <v>3.6096000000000003E-2</v>
      </c>
      <c r="R2229">
        <v>-0.75998639999999995</v>
      </c>
      <c r="S2229">
        <v>0.67205809999999999</v>
      </c>
      <c r="T2229">
        <v>0.26362010000000002</v>
      </c>
      <c r="U2229">
        <v>-3.3679809999999999</v>
      </c>
      <c r="V2229">
        <v>0.27744459999999999</v>
      </c>
      <c r="W2229">
        <v>4.800364E-2</v>
      </c>
      <c r="X2229">
        <v>0.95954159999999999</v>
      </c>
      <c r="Y2229">
        <v>0.71045990000000003</v>
      </c>
      <c r="Z2229">
        <v>-1.550847E-2</v>
      </c>
      <c r="AA2229">
        <v>0.70356680000000005</v>
      </c>
      <c r="AB2229">
        <v>11</v>
      </c>
      <c r="AC2229">
        <v>30.290599999999898</v>
      </c>
      <c r="AD2229">
        <v>11.904286000000001</v>
      </c>
      <c r="AE2229">
        <v>-152.04519999999999</v>
      </c>
      <c r="AF2229">
        <v>109.61028641043301</v>
      </c>
      <c r="AG2229">
        <v>11.904286000000001</v>
      </c>
      <c r="AH2229">
        <v>108.350871696167</v>
      </c>
      <c r="AI2229">
        <v>85.5833475898568</v>
      </c>
      <c r="AJ2229">
        <v>44.668939432308299</v>
      </c>
      <c r="AK2229">
        <v>154.58343478350599</v>
      </c>
      <c r="AL2229">
        <v>87.248536527952893</v>
      </c>
      <c r="AM2229">
        <v>73.873152216891796</v>
      </c>
      <c r="AN2229">
        <v>0.99999996882648401</v>
      </c>
    </row>
    <row r="2230" spans="1:40" x14ac:dyDescent="0.25">
      <c r="A2230" t="str">
        <f>"20190312150706460"</f>
        <v>20190312150706460</v>
      </c>
      <c r="B2230" t="str">
        <f>"1552374426452606"</f>
        <v>1552374426452606</v>
      </c>
      <c r="C2230" t="s">
        <v>40</v>
      </c>
      <c r="D2230">
        <v>4.4567740000000002</v>
      </c>
      <c r="E2230">
        <v>0.7113874</v>
      </c>
      <c r="F2230" t="s">
        <v>57</v>
      </c>
      <c r="G2230">
        <v>-166.7824</v>
      </c>
      <c r="H2230">
        <v>13.10812</v>
      </c>
      <c r="I2230">
        <v>209.34030000000001</v>
      </c>
      <c r="J2230">
        <v>-196.56219999999999</v>
      </c>
      <c r="K2230">
        <v>1.1089009999999999</v>
      </c>
      <c r="L2230">
        <v>361.33319999999998</v>
      </c>
      <c r="M2230">
        <v>0.83210269999999997</v>
      </c>
      <c r="N2230">
        <v>0</v>
      </c>
      <c r="O2230">
        <v>-0.55445059999999902</v>
      </c>
      <c r="P2230">
        <v>0.64628989999999997</v>
      </c>
      <c r="Q2230">
        <v>3.5904390000000001E-2</v>
      </c>
      <c r="R2230">
        <v>-0.76224700000000001</v>
      </c>
      <c r="S2230">
        <v>0.66156009999999998</v>
      </c>
      <c r="T2230">
        <v>0.26594970000000001</v>
      </c>
      <c r="U2230">
        <v>-3.369904</v>
      </c>
      <c r="V2230">
        <v>0.2761865</v>
      </c>
      <c r="W2230">
        <v>4.7826460000000001E-2</v>
      </c>
      <c r="X2230">
        <v>0.95991340000000003</v>
      </c>
      <c r="Y2230">
        <v>0.70927399999999996</v>
      </c>
      <c r="Z2230">
        <v>-1.610321E-2</v>
      </c>
      <c r="AA2230">
        <v>0.70474890000000001</v>
      </c>
      <c r="AB2230">
        <v>11</v>
      </c>
      <c r="AC2230">
        <v>29.779799999999899</v>
      </c>
      <c r="AD2230">
        <v>11.999219</v>
      </c>
      <c r="AE2230">
        <v>-151.992899999999</v>
      </c>
      <c r="AF2230">
        <v>109.316578364495</v>
      </c>
      <c r="AG2230">
        <v>11.999219</v>
      </c>
      <c r="AH2230">
        <v>108.412053182671</v>
      </c>
      <c r="AI2230">
        <v>85.543496231207499</v>
      </c>
      <c r="AJ2230">
        <v>44.761973531600198</v>
      </c>
      <c r="AK2230">
        <v>154.42560939563401</v>
      </c>
      <c r="AL2230">
        <v>87.258700074959805</v>
      </c>
      <c r="AM2230">
        <v>73.948402709493095</v>
      </c>
      <c r="AN2230">
        <v>1.0000000442789601</v>
      </c>
    </row>
    <row r="2231" spans="1:40" x14ac:dyDescent="0.25">
      <c r="A2231" t="str">
        <f>"20190312150706473"</f>
        <v>20190312150706473</v>
      </c>
      <c r="B2231" t="str">
        <f>"1552374426462367"</f>
        <v>1552374426462367</v>
      </c>
      <c r="C2231" t="s">
        <v>40</v>
      </c>
      <c r="D2231">
        <v>4.4029189999999998</v>
      </c>
      <c r="E2231">
        <v>0.71127989999999996</v>
      </c>
      <c r="F2231" t="s">
        <v>57</v>
      </c>
      <c r="G2231">
        <v>-167.1454</v>
      </c>
      <c r="H2231">
        <v>13.254149999999999</v>
      </c>
      <c r="I2231">
        <v>209.34039999999999</v>
      </c>
      <c r="J2231">
        <v>-196.51220000000001</v>
      </c>
      <c r="K2231">
        <v>1.108908</v>
      </c>
      <c r="L2231">
        <v>361.29500000000002</v>
      </c>
      <c r="M2231">
        <v>0.8301615</v>
      </c>
      <c r="N2231">
        <v>0</v>
      </c>
      <c r="O2231">
        <v>-0.55735299999999999</v>
      </c>
      <c r="P2231">
        <v>0.64419910000000002</v>
      </c>
      <c r="Q2231">
        <v>3.579334E-2</v>
      </c>
      <c r="R2231">
        <v>-0.76402019999999904</v>
      </c>
      <c r="S2231">
        <v>0.65223690000000001</v>
      </c>
      <c r="T2231">
        <v>0.26928839999999998</v>
      </c>
      <c r="U2231">
        <v>-3.3700260000000002</v>
      </c>
      <c r="V2231">
        <v>0.27546670000000001</v>
      </c>
      <c r="W2231">
        <v>4.7724530000000001E-2</v>
      </c>
      <c r="X2231">
        <v>0.96012529999999996</v>
      </c>
      <c r="Y2231">
        <v>0.70868900000000001</v>
      </c>
      <c r="Z2231">
        <v>-1.6634530000000002E-2</v>
      </c>
      <c r="AA2231">
        <v>0.70532490000000003</v>
      </c>
      <c r="AB2231">
        <v>11</v>
      </c>
      <c r="AC2231">
        <v>29.366800000000001</v>
      </c>
      <c r="AD2231">
        <v>12.145242</v>
      </c>
      <c r="AE2231">
        <v>-151.9546</v>
      </c>
      <c r="AF2231">
        <v>109.11761166193899</v>
      </c>
      <c r="AG2231">
        <v>12.145242</v>
      </c>
      <c r="AH2231">
        <v>108.414230540066</v>
      </c>
      <c r="AI2231">
        <v>85.485406964370895</v>
      </c>
      <c r="AJ2231">
        <v>44.814736873399902</v>
      </c>
      <c r="AK2231">
        <v>154.29778177808899</v>
      </c>
      <c r="AL2231">
        <v>87.2645469602693</v>
      </c>
      <c r="AM2231">
        <v>73.991442391101202</v>
      </c>
      <c r="AN2231">
        <v>1.0000000626363399</v>
      </c>
    </row>
    <row r="2232" spans="1:40" x14ac:dyDescent="0.25">
      <c r="A2232" t="str">
        <f>"20190312150706485"</f>
        <v>20190312150706485</v>
      </c>
      <c r="B2232" t="str">
        <f>"1552374426481887"</f>
        <v>1552374426481887</v>
      </c>
      <c r="C2232" t="s">
        <v>40</v>
      </c>
      <c r="D2232">
        <v>4.446834</v>
      </c>
      <c r="E2232">
        <v>0.71075299999999997</v>
      </c>
      <c r="F2232" t="s">
        <v>57</v>
      </c>
      <c r="G2232">
        <v>-167.64599999999999</v>
      </c>
      <c r="H2232">
        <v>13.27332</v>
      </c>
      <c r="I2232">
        <v>210.23220000000001</v>
      </c>
      <c r="J2232">
        <v>-196.4615</v>
      </c>
      <c r="K2232">
        <v>1.108914</v>
      </c>
      <c r="L2232">
        <v>361.25599999999997</v>
      </c>
      <c r="M2232">
        <v>0.82817750000000001</v>
      </c>
      <c r="N2232">
        <v>0</v>
      </c>
      <c r="O2232">
        <v>-0.56029680000000004</v>
      </c>
      <c r="P2232">
        <v>0.64204280000000002</v>
      </c>
      <c r="Q2232">
        <v>3.5709600000000001E-2</v>
      </c>
      <c r="R2232">
        <v>-0.76583679999999998</v>
      </c>
      <c r="S2232">
        <v>0.64410400000000001</v>
      </c>
      <c r="T2232">
        <v>0.27143050000000002</v>
      </c>
      <c r="U2232">
        <v>-3.3707280000000002</v>
      </c>
      <c r="V2232">
        <v>0.2747658</v>
      </c>
      <c r="W2232">
        <v>4.7649280000000002E-2</v>
      </c>
      <c r="X2232">
        <v>0.96032980000000001</v>
      </c>
      <c r="Y2232">
        <v>0.70785159999999903</v>
      </c>
      <c r="Z2232">
        <v>-1.7113299999999901E-2</v>
      </c>
      <c r="AA2232">
        <v>0.70615380000000005</v>
      </c>
      <c r="AB2232">
        <v>11</v>
      </c>
      <c r="AC2232">
        <v>28.8155</v>
      </c>
      <c r="AD2232">
        <v>12.164406</v>
      </c>
      <c r="AE2232">
        <v>-151.023799999999</v>
      </c>
      <c r="AF2232">
        <v>108.261905016143</v>
      </c>
      <c r="AG2232">
        <v>12.164406</v>
      </c>
      <c r="AH2232">
        <v>107.81786222901999</v>
      </c>
      <c r="AI2232">
        <v>85.448039914062505</v>
      </c>
      <c r="AJ2232">
        <v>44.882257639684397</v>
      </c>
      <c r="AK2232">
        <v>153.27525653768501</v>
      </c>
      <c r="AL2232">
        <v>87.268863238976706</v>
      </c>
      <c r="AM2232">
        <v>74.033322567980207</v>
      </c>
      <c r="AN2232">
        <v>1.0000000117510901</v>
      </c>
    </row>
    <row r="2233" spans="1:40" x14ac:dyDescent="0.25">
      <c r="A2233" t="str">
        <f>"20190312150706496"</f>
        <v>20190312150706496</v>
      </c>
      <c r="B2233" t="str">
        <f>"1552374426492622"</f>
        <v>1552374426492622</v>
      </c>
      <c r="C2233" t="s">
        <v>40</v>
      </c>
      <c r="D2233">
        <v>4.5008489999999997</v>
      </c>
      <c r="E2233">
        <v>0.71050249999999904</v>
      </c>
      <c r="F2233" t="s">
        <v>57</v>
      </c>
      <c r="G2233">
        <v>-167.9076</v>
      </c>
      <c r="H2233">
        <v>13.428520000000001</v>
      </c>
      <c r="I2233">
        <v>210.3433</v>
      </c>
      <c r="J2233">
        <v>-196.41390000000001</v>
      </c>
      <c r="K2233">
        <v>1.1089100000000001</v>
      </c>
      <c r="L2233">
        <v>361.21899999999999</v>
      </c>
      <c r="M2233">
        <v>0.82630009999999998</v>
      </c>
      <c r="N2233">
        <v>0</v>
      </c>
      <c r="O2233">
        <v>-0.5630619</v>
      </c>
      <c r="P2233">
        <v>0.64010789999999995</v>
      </c>
      <c r="Q2233">
        <v>3.5698210000000001E-2</v>
      </c>
      <c r="R2233">
        <v>-0.76745549999999996</v>
      </c>
      <c r="S2233">
        <v>0.63761899999999905</v>
      </c>
      <c r="T2233">
        <v>0.27510200000000001</v>
      </c>
      <c r="U2233">
        <v>-3.3699340000000002</v>
      </c>
      <c r="V2233">
        <v>0.27397870000000002</v>
      </c>
      <c r="W2233">
        <v>4.7647380000000003E-2</v>
      </c>
      <c r="X2233">
        <v>0.96055480000000004</v>
      </c>
      <c r="Y2233">
        <v>0.70676419999999995</v>
      </c>
      <c r="Z2233">
        <v>-1.7697109999999999E-2</v>
      </c>
      <c r="AA2233">
        <v>0.70722779999999996</v>
      </c>
      <c r="AB2233">
        <v>11</v>
      </c>
      <c r="AC2233">
        <v>28.5063</v>
      </c>
      <c r="AD2233">
        <v>12.319610000000001</v>
      </c>
      <c r="AE2233">
        <v>-150.87569999999999</v>
      </c>
      <c r="AF2233">
        <v>107.933256090862</v>
      </c>
      <c r="AG2233">
        <v>12.319610000000001</v>
      </c>
      <c r="AH2233">
        <v>107.82327590033501</v>
      </c>
      <c r="AI2233">
        <v>85.383325391667796</v>
      </c>
      <c r="AJ2233">
        <v>44.970793930810402</v>
      </c>
      <c r="AK2233">
        <v>153.059528899078</v>
      </c>
      <c r="AL2233">
        <v>87.268972363006597</v>
      </c>
      <c r="AM2233">
        <v>74.080279817811999</v>
      </c>
      <c r="AN2233">
        <v>1.0000000623387899</v>
      </c>
    </row>
    <row r="2234" spans="1:40" x14ac:dyDescent="0.25">
      <c r="A2234" t="str">
        <f>"20190312150706509"</f>
        <v>20190312150706509</v>
      </c>
      <c r="B2234" t="str">
        <f>"1552374426502382"</f>
        <v>1552374426502382</v>
      </c>
      <c r="C2234" t="s">
        <v>40</v>
      </c>
      <c r="D2234">
        <v>4.4723280000000001</v>
      </c>
      <c r="E2234">
        <v>0.71032709999999999</v>
      </c>
      <c r="F2234" t="s">
        <v>57</v>
      </c>
      <c r="G2234">
        <v>-168.1875</v>
      </c>
      <c r="H2234">
        <v>13.479699999999999</v>
      </c>
      <c r="I2234">
        <v>210.3434</v>
      </c>
      <c r="J2234">
        <v>-196.36840000000001</v>
      </c>
      <c r="K2234">
        <v>1.1089169999999999</v>
      </c>
      <c r="L2234">
        <v>361.18349999999998</v>
      </c>
      <c r="M2234">
        <v>0.82449019999999995</v>
      </c>
      <c r="N2234">
        <v>0</v>
      </c>
      <c r="O2234">
        <v>-0.56570919999999902</v>
      </c>
      <c r="P2234">
        <v>0.63806890000000005</v>
      </c>
      <c r="Q2234">
        <v>3.5819450000000003E-2</v>
      </c>
      <c r="R2234">
        <v>-0.769146</v>
      </c>
      <c r="S2234">
        <v>0.63052369999999902</v>
      </c>
      <c r="T2234">
        <v>0.27634019999999998</v>
      </c>
      <c r="U2234">
        <v>-3.3702700000000001</v>
      </c>
      <c r="V2234">
        <v>0.27344190000000002</v>
      </c>
      <c r="W2234">
        <v>4.7775020000000001E-2</v>
      </c>
      <c r="X2234">
        <v>0.96070129999999998</v>
      </c>
      <c r="Y2234">
        <v>0.70594789999999996</v>
      </c>
      <c r="Z2234">
        <v>-1.8099359999999998E-2</v>
      </c>
      <c r="AA2234">
        <v>0.70803240000000001</v>
      </c>
      <c r="AB2234">
        <v>11</v>
      </c>
      <c r="AC2234">
        <v>28.180900000000001</v>
      </c>
      <c r="AD2234">
        <v>12.370782999999999</v>
      </c>
      <c r="AE2234">
        <v>-150.84009999999901</v>
      </c>
      <c r="AF2234">
        <v>107.734051577972</v>
      </c>
      <c r="AG2234">
        <v>12.370782999999999</v>
      </c>
      <c r="AH2234">
        <v>107.875663039206</v>
      </c>
      <c r="AI2234">
        <v>85.361089618954594</v>
      </c>
      <c r="AJ2234">
        <v>45.0376315970137</v>
      </c>
      <c r="AK2234">
        <v>152.96019357200899</v>
      </c>
      <c r="AL2234">
        <v>87.261650502154495</v>
      </c>
      <c r="AM2234">
        <v>74.112195384460605</v>
      </c>
      <c r="AN2234">
        <v>0.99999995651664897</v>
      </c>
    </row>
    <row r="2235" spans="1:40" x14ac:dyDescent="0.25">
      <c r="A2235" t="str">
        <f>"20190312150706519"</f>
        <v>20190312150706519</v>
      </c>
      <c r="B2235" t="str">
        <f>"1552374426512143"</f>
        <v>1552374426512143</v>
      </c>
      <c r="C2235" t="s">
        <v>40</v>
      </c>
      <c r="D2235">
        <v>4.400792</v>
      </c>
      <c r="E2235">
        <v>0.71024259999999995</v>
      </c>
      <c r="F2235" t="s">
        <v>57</v>
      </c>
      <c r="G2235">
        <v>-168.50819999999999</v>
      </c>
      <c r="H2235">
        <v>13.550850000000001</v>
      </c>
      <c r="I2235">
        <v>210.34350000000001</v>
      </c>
      <c r="J2235">
        <v>-196.31989999999999</v>
      </c>
      <c r="K2235">
        <v>1.108924</v>
      </c>
      <c r="L2235">
        <v>361.1454</v>
      </c>
      <c r="M2235">
        <v>0.82254760000000005</v>
      </c>
      <c r="N2235">
        <v>0</v>
      </c>
      <c r="O2235">
        <v>-0.56852999999999998</v>
      </c>
      <c r="P2235">
        <v>0.63566730000000005</v>
      </c>
      <c r="Q2235">
        <v>3.5856359999999997E-2</v>
      </c>
      <c r="R2235">
        <v>-0.77113030000000005</v>
      </c>
      <c r="S2235">
        <v>0.62261959999999905</v>
      </c>
      <c r="T2235">
        <v>0.27805299999999999</v>
      </c>
      <c r="U2235">
        <v>-3.3709720000000001</v>
      </c>
      <c r="V2235">
        <v>0.27314470000000002</v>
      </c>
      <c r="W2235">
        <v>4.7816459999999998E-2</v>
      </c>
      <c r="X2235">
        <v>0.96078379999999997</v>
      </c>
      <c r="Y2235">
        <v>0.70515380000000005</v>
      </c>
      <c r="Z2235">
        <v>-1.8551930000000001E-2</v>
      </c>
      <c r="AA2235">
        <v>0.70881159999999999</v>
      </c>
      <c r="AB2235">
        <v>11</v>
      </c>
      <c r="AC2235">
        <v>27.811699999999998</v>
      </c>
      <c r="AD2235">
        <v>12.441925999999899</v>
      </c>
      <c r="AE2235">
        <v>-150.80189999999999</v>
      </c>
      <c r="AF2235">
        <v>107.532284528112</v>
      </c>
      <c r="AG2235">
        <v>12.441925999999899</v>
      </c>
      <c r="AH2235">
        <v>107.911718928219</v>
      </c>
      <c r="AI2235">
        <v>85.330962761435302</v>
      </c>
      <c r="AJ2235">
        <v>45.100907738912497</v>
      </c>
      <c r="AK2235">
        <v>152.849379522677</v>
      </c>
      <c r="AL2235">
        <v>87.259273500802493</v>
      </c>
      <c r="AM2235">
        <v>74.129887450691598</v>
      </c>
      <c r="AN2235">
        <v>0.99999997566373</v>
      </c>
    </row>
    <row r="2236" spans="1:40" x14ac:dyDescent="0.25">
      <c r="A2236" t="str">
        <f>"20190312150706530"</f>
        <v>20190312150706530</v>
      </c>
      <c r="B2236" t="str">
        <f>"1552374426521902"</f>
        <v>1552374426521902</v>
      </c>
      <c r="C2236" t="s">
        <v>40</v>
      </c>
      <c r="D2236">
        <v>4.4399290000000002</v>
      </c>
      <c r="E2236">
        <v>0.71007010000000004</v>
      </c>
      <c r="F2236" t="s">
        <v>57</v>
      </c>
      <c r="G2236">
        <v>-168.9297</v>
      </c>
      <c r="H2236">
        <v>13.595879999999999</v>
      </c>
      <c r="I2236">
        <v>210.34360000000001</v>
      </c>
      <c r="J2236">
        <v>-196.2775</v>
      </c>
      <c r="K2236">
        <v>1.108935</v>
      </c>
      <c r="L2236">
        <v>361.11189999999999</v>
      </c>
      <c r="M2236">
        <v>0.82084109999999999</v>
      </c>
      <c r="N2236">
        <v>0</v>
      </c>
      <c r="O2236">
        <v>-0.57099119999999903</v>
      </c>
      <c r="P2236">
        <v>0.63348359999999904</v>
      </c>
      <c r="Q2236">
        <v>3.6247189999999999E-2</v>
      </c>
      <c r="R2236">
        <v>-0.7729068</v>
      </c>
      <c r="S2236">
        <v>0.6125488</v>
      </c>
      <c r="T2236">
        <v>0.27925630000000001</v>
      </c>
      <c r="U2236">
        <v>-3.3724980000000002</v>
      </c>
      <c r="V2236">
        <v>0.2729705</v>
      </c>
      <c r="W2236">
        <v>4.8210349999999999E-2</v>
      </c>
      <c r="X2236">
        <v>0.96081360000000005</v>
      </c>
      <c r="Y2236">
        <v>0.70513549999999903</v>
      </c>
      <c r="Z2236">
        <v>-1.8891829999999998E-2</v>
      </c>
      <c r="AA2236">
        <v>0.70882089999999998</v>
      </c>
      <c r="AB2236">
        <v>11</v>
      </c>
      <c r="AC2236">
        <v>27.347799999999999</v>
      </c>
      <c r="AD2236">
        <v>12.486945</v>
      </c>
      <c r="AE2236">
        <v>-150.76829999999899</v>
      </c>
      <c r="AF2236">
        <v>107.438185139285</v>
      </c>
      <c r="AG2236">
        <v>12.486945</v>
      </c>
      <c r="AH2236">
        <v>107.82972883166801</v>
      </c>
      <c r="AI2236">
        <v>85.310328272072795</v>
      </c>
      <c r="AJ2236">
        <v>45.104213284347303</v>
      </c>
      <c r="AK2236">
        <v>152.72896857298301</v>
      </c>
      <c r="AL2236">
        <v>87.236679144176904</v>
      </c>
      <c r="AM2236">
        <v>74.139966569114094</v>
      </c>
      <c r="AN2236">
        <v>0.99999995283116505</v>
      </c>
    </row>
    <row r="2237" spans="1:40" x14ac:dyDescent="0.25">
      <c r="A2237" t="str">
        <f>"20190312150706541"</f>
        <v>20190312150706541</v>
      </c>
      <c r="B2237" t="str">
        <f>"1552374426532639"</f>
        <v>1552374426532639</v>
      </c>
      <c r="C2237" t="s">
        <v>40</v>
      </c>
      <c r="D2237">
        <v>4.4585080000000001</v>
      </c>
      <c r="E2237">
        <v>0.70981870000000002</v>
      </c>
      <c r="F2237" t="s">
        <v>57</v>
      </c>
      <c r="G2237">
        <v>-169.28639999999999</v>
      </c>
      <c r="H2237">
        <v>13.67667</v>
      </c>
      <c r="I2237">
        <v>210.34370000000001</v>
      </c>
      <c r="J2237">
        <v>-196.23269999999999</v>
      </c>
      <c r="K2237">
        <v>1.108943</v>
      </c>
      <c r="L2237">
        <v>361.07619999999997</v>
      </c>
      <c r="M2237">
        <v>0.81902339999999996</v>
      </c>
      <c r="N2237">
        <v>0</v>
      </c>
      <c r="O2237">
        <v>-0.57359579999999999</v>
      </c>
      <c r="P2237">
        <v>0.63083149999999999</v>
      </c>
      <c r="Q2237">
        <v>3.64318E-2</v>
      </c>
      <c r="R2237">
        <v>-0.77506459999999999</v>
      </c>
      <c r="S2237">
        <v>0.60391240000000002</v>
      </c>
      <c r="T2237">
        <v>0.28119660000000002</v>
      </c>
      <c r="U2237">
        <v>-3.3733520000000001</v>
      </c>
      <c r="V2237">
        <v>0.27320409999999901</v>
      </c>
      <c r="W2237">
        <v>4.8394680000000002E-2</v>
      </c>
      <c r="X2237">
        <v>0.96073799999999998</v>
      </c>
      <c r="Y2237">
        <v>0.70467119999999905</v>
      </c>
      <c r="Z2237">
        <v>-1.9326599999999999E-2</v>
      </c>
      <c r="AA2237">
        <v>0.70927079999999998</v>
      </c>
      <c r="AB2237">
        <v>11</v>
      </c>
      <c r="AC2237">
        <v>26.946300000000001</v>
      </c>
      <c r="AD2237">
        <v>12.567727</v>
      </c>
      <c r="AE2237">
        <v>-150.73249999999899</v>
      </c>
      <c r="AF2237">
        <v>107.284613744753</v>
      </c>
      <c r="AG2237">
        <v>12.567727</v>
      </c>
      <c r="AH2237">
        <v>107.81312260811001</v>
      </c>
      <c r="AI2237">
        <v>85.276415042932001</v>
      </c>
      <c r="AJ2237">
        <v>45.140779102939398</v>
      </c>
      <c r="AK2237">
        <v>152.615875697185</v>
      </c>
      <c r="AL2237">
        <v>87.226105643048001</v>
      </c>
      <c r="AM2237">
        <v>74.125891529315098</v>
      </c>
      <c r="AN2237">
        <v>1.00000001497655</v>
      </c>
    </row>
    <row r="2238" spans="1:40" x14ac:dyDescent="0.25">
      <c r="A2238" t="str">
        <f>"20190312150706553"</f>
        <v>20190312150706553</v>
      </c>
      <c r="B2238" t="str">
        <f>"1552374426542399"</f>
        <v>1552374426542399</v>
      </c>
      <c r="C2238" t="s">
        <v>40</v>
      </c>
      <c r="D2238">
        <v>4.5021649999999998</v>
      </c>
      <c r="E2238">
        <v>0.70965769999999995</v>
      </c>
      <c r="F2238" t="s">
        <v>57</v>
      </c>
      <c r="G2238">
        <v>-169.68129999999999</v>
      </c>
      <c r="H2238">
        <v>13.696300000000001</v>
      </c>
      <c r="I2238">
        <v>210.34379999999999</v>
      </c>
      <c r="J2238">
        <v>-196.1909</v>
      </c>
      <c r="K2238">
        <v>1.108948</v>
      </c>
      <c r="L2238">
        <v>361.04259999999999</v>
      </c>
      <c r="M2238">
        <v>0.81731209999999999</v>
      </c>
      <c r="N2238">
        <v>0</v>
      </c>
      <c r="O2238">
        <v>-0.57603119999999997</v>
      </c>
      <c r="P2238">
        <v>0.62819239999999998</v>
      </c>
      <c r="Q2238">
        <v>3.6382980000000002E-2</v>
      </c>
      <c r="R2238">
        <v>-0.77720710000000004</v>
      </c>
      <c r="S2238">
        <v>0.59428409999999998</v>
      </c>
      <c r="T2238">
        <v>0.28173579999999998</v>
      </c>
      <c r="U2238">
        <v>-3.3737490000000001</v>
      </c>
      <c r="V2238">
        <v>0.27361180000000002</v>
      </c>
      <c r="W2238">
        <v>4.8343709999999998E-2</v>
      </c>
      <c r="X2238">
        <v>0.96062449999999999</v>
      </c>
      <c r="Y2238">
        <v>0.70453849999999996</v>
      </c>
      <c r="Z2238">
        <v>-1.963575E-2</v>
      </c>
      <c r="AA2238">
        <v>0.70939419999999898</v>
      </c>
      <c r="AB2238">
        <v>11</v>
      </c>
      <c r="AC2238">
        <v>26.509599999999999</v>
      </c>
      <c r="AD2238">
        <v>12.587351999999999</v>
      </c>
      <c r="AE2238">
        <v>-150.69880000000001</v>
      </c>
      <c r="AF2238">
        <v>107.182459998081</v>
      </c>
      <c r="AG2238">
        <v>12.587351999999999</v>
      </c>
      <c r="AH2238">
        <v>107.75487223827101</v>
      </c>
      <c r="AI2238">
        <v>85.2655603519555</v>
      </c>
      <c r="AJ2238">
        <v>45.152587396648997</v>
      </c>
      <c r="AK2238">
        <v>152.50453649874899</v>
      </c>
      <c r="AL2238">
        <v>87.229029336046807</v>
      </c>
      <c r="AM2238">
        <v>74.101615718600897</v>
      </c>
      <c r="AN2238">
        <v>0.99999998069802598</v>
      </c>
    </row>
    <row r="2239" spans="1:40" x14ac:dyDescent="0.25">
      <c r="A2239" t="str">
        <f>"20190312150706562"</f>
        <v>20190312150706562</v>
      </c>
      <c r="B2239" t="str">
        <f>"1552374426552159"</f>
        <v>1552374426552159</v>
      </c>
      <c r="C2239" t="s">
        <v>40</v>
      </c>
      <c r="D2239">
        <v>4.3353099999999998</v>
      </c>
      <c r="E2239">
        <v>0.70933630000000003</v>
      </c>
      <c r="F2239" t="s">
        <v>57</v>
      </c>
      <c r="G2239">
        <v>-169.7131</v>
      </c>
      <c r="H2239">
        <v>13.872909999999999</v>
      </c>
      <c r="I2239">
        <v>207.82660000000001</v>
      </c>
      <c r="J2239">
        <v>-196.1489</v>
      </c>
      <c r="K2239">
        <v>1.1089549999999999</v>
      </c>
      <c r="L2239">
        <v>361.00880000000001</v>
      </c>
      <c r="M2239">
        <v>0.81558459999999999</v>
      </c>
      <c r="N2239">
        <v>0</v>
      </c>
      <c r="O2239">
        <v>-0.57847469999999901</v>
      </c>
      <c r="P2239">
        <v>0.62539409999999995</v>
      </c>
      <c r="Q2239">
        <v>3.639767E-2</v>
      </c>
      <c r="R2239">
        <v>-0.77945969999999998</v>
      </c>
      <c r="S2239">
        <v>0.58329770000000003</v>
      </c>
      <c r="T2239">
        <v>0.28118739999999998</v>
      </c>
      <c r="U2239">
        <v>-3.375305</v>
      </c>
      <c r="V2239">
        <v>0.27418969999999998</v>
      </c>
      <c r="W2239">
        <v>4.8354670000000002E-2</v>
      </c>
      <c r="X2239">
        <v>0.96045919999999896</v>
      </c>
      <c r="Y2239">
        <v>0.70471740000000005</v>
      </c>
      <c r="Z2239">
        <v>-1.9848190000000002E-2</v>
      </c>
      <c r="AA2239">
        <v>0.70921040000000002</v>
      </c>
      <c r="AB2239">
        <v>11</v>
      </c>
      <c r="AC2239">
        <v>26.4358</v>
      </c>
      <c r="AD2239">
        <v>12.763954999999999</v>
      </c>
      <c r="AE2239">
        <v>-153.18219999999999</v>
      </c>
      <c r="AF2239">
        <v>108.91660372657201</v>
      </c>
      <c r="AG2239">
        <v>12.763954999999999</v>
      </c>
      <c r="AH2239">
        <v>109.445147075189</v>
      </c>
      <c r="AI2239">
        <v>85.274380851821206</v>
      </c>
      <c r="AJ2239">
        <v>45.138683830447697</v>
      </c>
      <c r="AK2239">
        <v>154.93219592093499</v>
      </c>
      <c r="AL2239">
        <v>87.228400748819396</v>
      </c>
      <c r="AM2239">
        <v>74.067136280930001</v>
      </c>
      <c r="AN2239">
        <v>1.00000002028076</v>
      </c>
    </row>
    <row r="2240" spans="1:40" x14ac:dyDescent="0.25">
      <c r="A2240" t="str">
        <f>"20190312150706574"</f>
        <v>20190312150706574</v>
      </c>
      <c r="B2240" t="str">
        <f>"1552374426572654"</f>
        <v>1552374426572654</v>
      </c>
      <c r="C2240" t="s">
        <v>40</v>
      </c>
      <c r="D2240">
        <v>4.552467</v>
      </c>
      <c r="E2240">
        <v>0.70912540000000002</v>
      </c>
      <c r="F2240" t="s">
        <v>57</v>
      </c>
      <c r="G2240">
        <v>-169.714</v>
      </c>
      <c r="H2240">
        <v>13.978910000000001</v>
      </c>
      <c r="I2240">
        <v>205.3614</v>
      </c>
      <c r="J2240">
        <v>-196.1069</v>
      </c>
      <c r="K2240">
        <v>1.1089610000000001</v>
      </c>
      <c r="L2240">
        <v>360.97460000000001</v>
      </c>
      <c r="M2240">
        <v>0.81384480000000003</v>
      </c>
      <c r="N2240">
        <v>0</v>
      </c>
      <c r="O2240">
        <v>-0.580920199999999</v>
      </c>
      <c r="P2240">
        <v>0.62262459999999997</v>
      </c>
      <c r="Q2240">
        <v>3.6283900000000001E-2</v>
      </c>
      <c r="R2240">
        <v>-0.78167929999999997</v>
      </c>
      <c r="S2240">
        <v>0.57333369999999995</v>
      </c>
      <c r="T2240">
        <v>0.27913120000000002</v>
      </c>
      <c r="U2240">
        <v>-3.3757630000000001</v>
      </c>
      <c r="V2240">
        <v>0.27471800000000002</v>
      </c>
      <c r="W2240">
        <v>4.8237969999999998E-2</v>
      </c>
      <c r="X2240">
        <v>0.96031409999999995</v>
      </c>
      <c r="Y2240">
        <v>0.70464950000000004</v>
      </c>
      <c r="Z2240">
        <v>-1.9971550000000001E-2</v>
      </c>
      <c r="AA2240">
        <v>0.70927439999999997</v>
      </c>
      <c r="AB2240">
        <v>11</v>
      </c>
      <c r="AC2240">
        <v>26.392899999999901</v>
      </c>
      <c r="AD2240">
        <v>12.869949</v>
      </c>
      <c r="AE2240">
        <v>-155.61320000000001</v>
      </c>
      <c r="AF2240">
        <v>110.588030805201</v>
      </c>
      <c r="AG2240">
        <v>12.869949</v>
      </c>
      <c r="AH2240">
        <v>111.15009782112</v>
      </c>
      <c r="AI2240">
        <v>85.307544498374497</v>
      </c>
      <c r="AJ2240">
        <v>45.145234376430899</v>
      </c>
      <c r="AK2240">
        <v>157.32034957461599</v>
      </c>
      <c r="AL2240">
        <v>87.235094993706895</v>
      </c>
      <c r="AM2240">
        <v>74.035710986206993</v>
      </c>
      <c r="AN2240">
        <v>1.00000002596626</v>
      </c>
    </row>
    <row r="2241" spans="1:40" x14ac:dyDescent="0.25">
      <c r="A2241" t="str">
        <f>"20190312150706586"</f>
        <v>20190312150706586</v>
      </c>
      <c r="B2241" t="str">
        <f>"1552374426582415"</f>
        <v>1552374426582415</v>
      </c>
      <c r="C2241" t="s">
        <v>40</v>
      </c>
      <c r="D2241">
        <v>4.5023669999999996</v>
      </c>
      <c r="E2241">
        <v>0.70885350000000003</v>
      </c>
      <c r="F2241" t="s">
        <v>57</v>
      </c>
      <c r="G2241">
        <v>-169.7149</v>
      </c>
      <c r="H2241">
        <v>14.14081</v>
      </c>
      <c r="I2241">
        <v>202.66589999999999</v>
      </c>
      <c r="J2241">
        <v>-196.0592</v>
      </c>
      <c r="K2241">
        <v>1.1089659999999999</v>
      </c>
      <c r="L2241">
        <v>360.9357</v>
      </c>
      <c r="M2241">
        <v>0.81185719999999995</v>
      </c>
      <c r="N2241">
        <v>0</v>
      </c>
      <c r="O2241">
        <v>-0.58369469999999901</v>
      </c>
      <c r="P2241">
        <v>0.6192493</v>
      </c>
      <c r="Q2241">
        <v>3.6129939999999999E-2</v>
      </c>
      <c r="R2241">
        <v>-0.78436300000000003</v>
      </c>
      <c r="S2241">
        <v>0.56292719999999996</v>
      </c>
      <c r="T2241">
        <v>0.27796359999999998</v>
      </c>
      <c r="U2241">
        <v>-3.3766479999999999</v>
      </c>
      <c r="V2241">
        <v>0.27558449999999901</v>
      </c>
      <c r="W2241">
        <v>4.8078429999999998E-2</v>
      </c>
      <c r="X2241">
        <v>0.96007379999999998</v>
      </c>
      <c r="Y2241">
        <v>0.70439390000000002</v>
      </c>
      <c r="Z2241">
        <v>-2.0198190000000001E-2</v>
      </c>
      <c r="AA2241">
        <v>0.70952190000000004</v>
      </c>
      <c r="AB2241">
        <v>11</v>
      </c>
      <c r="AC2241">
        <v>26.3443</v>
      </c>
      <c r="AD2241">
        <v>13.031844</v>
      </c>
      <c r="AE2241">
        <v>-158.2698</v>
      </c>
      <c r="AF2241">
        <v>112.38470229129599</v>
      </c>
      <c r="AG2241">
        <v>13.031844</v>
      </c>
      <c r="AH2241">
        <v>113.03408456446</v>
      </c>
      <c r="AI2241">
        <v>85.326021310222998</v>
      </c>
      <c r="AJ2241">
        <v>45.165056165624101</v>
      </c>
      <c r="AK2241">
        <v>159.927654082929</v>
      </c>
      <c r="AL2241">
        <v>87.244246582724699</v>
      </c>
      <c r="AM2241">
        <v>73.984132479130295</v>
      </c>
      <c r="AN2241">
        <v>1.0000000267589699</v>
      </c>
    </row>
    <row r="2242" spans="1:40" x14ac:dyDescent="0.25">
      <c r="A2242" t="str">
        <f>"20190312150706598"</f>
        <v>20190312150706598</v>
      </c>
      <c r="B2242" t="str">
        <f>"1552374426592175"</f>
        <v>1552374426592175</v>
      </c>
      <c r="C2242" t="s">
        <v>40</v>
      </c>
      <c r="D2242">
        <v>4.4941620000000002</v>
      </c>
      <c r="E2242">
        <v>0.70855780000000002</v>
      </c>
      <c r="F2242" t="s">
        <v>57</v>
      </c>
      <c r="G2242">
        <v>-169.71619999999999</v>
      </c>
      <c r="H2242">
        <v>14.387420000000001</v>
      </c>
      <c r="I2242">
        <v>199.09229999999999</v>
      </c>
      <c r="J2242">
        <v>-196.01519999999999</v>
      </c>
      <c r="K2242">
        <v>1.1089709999999999</v>
      </c>
      <c r="L2242">
        <v>360.89949999999999</v>
      </c>
      <c r="M2242">
        <v>0.81000930000000004</v>
      </c>
      <c r="N2242">
        <v>0</v>
      </c>
      <c r="O2242">
        <v>-0.58625629999999995</v>
      </c>
      <c r="P2242">
        <v>0.61600549999999998</v>
      </c>
      <c r="Q2242">
        <v>3.6066649999999999E-2</v>
      </c>
      <c r="R2242">
        <v>-0.786915699999999</v>
      </c>
      <c r="S2242">
        <v>0.54981990000000003</v>
      </c>
      <c r="T2242">
        <v>0.27714309999999998</v>
      </c>
      <c r="U2242">
        <v>-3.3779300000000001</v>
      </c>
      <c r="V2242">
        <v>0.27651710000000002</v>
      </c>
      <c r="W2242">
        <v>4.8007929999999997E-2</v>
      </c>
      <c r="X2242">
        <v>0.95980909999999997</v>
      </c>
      <c r="Y2242">
        <v>0.70488169999999895</v>
      </c>
      <c r="Z2242">
        <v>-2.038595E-2</v>
      </c>
      <c r="AA2242">
        <v>0.70903179999999999</v>
      </c>
      <c r="AB2242">
        <v>11</v>
      </c>
      <c r="AC2242">
        <v>26.298999999999999</v>
      </c>
      <c r="AD2242">
        <v>13.278448999999901</v>
      </c>
      <c r="AE2242">
        <v>-161.80719999999999</v>
      </c>
      <c r="AF2242">
        <v>114.904386158615</v>
      </c>
      <c r="AG2242">
        <v>13.278448999999901</v>
      </c>
      <c r="AH2242">
        <v>115.41661656062401</v>
      </c>
      <c r="AI2242">
        <v>85.338874392010496</v>
      </c>
      <c r="AJ2242">
        <v>45.1274247308749</v>
      </c>
      <c r="AK2242">
        <v>163.402357830711</v>
      </c>
      <c r="AL2242">
        <v>87.248290498653205</v>
      </c>
      <c r="AM2242">
        <v>73.928523925139601</v>
      </c>
      <c r="AN2242">
        <v>0.999999988189052</v>
      </c>
    </row>
    <row r="2243" spans="1:40" x14ac:dyDescent="0.25">
      <c r="A2243" t="str">
        <f>"20190312150706610"</f>
        <v>20190312150706610</v>
      </c>
      <c r="B2243" t="str">
        <f>"1552374426601936"</f>
        <v>1552374426601936</v>
      </c>
      <c r="C2243" t="s">
        <v>40</v>
      </c>
      <c r="D2243">
        <v>4.5894550000000001</v>
      </c>
      <c r="E2243">
        <v>0.70831319999999998</v>
      </c>
      <c r="F2243" t="s">
        <v>57</v>
      </c>
      <c r="G2243">
        <v>-168.42179999999999</v>
      </c>
      <c r="H2243">
        <v>15.26362</v>
      </c>
      <c r="I2243">
        <v>187.5171</v>
      </c>
      <c r="J2243">
        <v>-195.96539999999999</v>
      </c>
      <c r="K2243">
        <v>1.108978</v>
      </c>
      <c r="L2243">
        <v>360.85829999999999</v>
      </c>
      <c r="M2243">
        <v>0.80790039999999996</v>
      </c>
      <c r="N2243">
        <v>0</v>
      </c>
      <c r="O2243">
        <v>-0.58915919999999999</v>
      </c>
      <c r="P2243">
        <v>0.61257980000000001</v>
      </c>
      <c r="Q2243">
        <v>3.6083369999999997E-2</v>
      </c>
      <c r="R2243">
        <v>-0.78958490000000003</v>
      </c>
      <c r="S2243">
        <v>0.53773499999999996</v>
      </c>
      <c r="T2243">
        <v>0.27584370000000002</v>
      </c>
      <c r="U2243">
        <v>-3.3788450000000001</v>
      </c>
      <c r="V2243">
        <v>0.27724339999999997</v>
      </c>
      <c r="W2243">
        <v>4.8019829999999999E-2</v>
      </c>
      <c r="X2243">
        <v>0.95959899999999998</v>
      </c>
      <c r="Y2243">
        <v>0.70484849999999999</v>
      </c>
      <c r="Z2243">
        <v>-2.0601899999999999E-2</v>
      </c>
      <c r="AA2243">
        <v>0.70905869999999904</v>
      </c>
      <c r="AB2243">
        <v>11</v>
      </c>
      <c r="AC2243">
        <v>27.543600000000001</v>
      </c>
      <c r="AD2243">
        <v>14.154642000000001</v>
      </c>
      <c r="AE2243">
        <v>-173.34119999999999</v>
      </c>
      <c r="AF2243">
        <v>123.026388307076</v>
      </c>
      <c r="AG2243">
        <v>14.154642000000001</v>
      </c>
      <c r="AH2243">
        <v>123.585990540021</v>
      </c>
      <c r="AI2243">
        <v>85.359450194379605</v>
      </c>
      <c r="AJ2243">
        <v>45.130012902322903</v>
      </c>
      <c r="AK2243">
        <v>174.95526047475599</v>
      </c>
      <c r="AL2243">
        <v>87.247607989849797</v>
      </c>
      <c r="AM2243">
        <v>73.885153845979403</v>
      </c>
      <c r="AN2243">
        <v>1.00000002385889</v>
      </c>
    </row>
    <row r="2244" spans="1:40" x14ac:dyDescent="0.25">
      <c r="A2244" t="str">
        <f>"20190312150706628"</f>
        <v>20190312150706628</v>
      </c>
      <c r="B2244" t="str">
        <f>"1552374426622430"</f>
        <v>1552374426622430</v>
      </c>
      <c r="C2244" t="s">
        <v>40</v>
      </c>
      <c r="D2244">
        <v>4.4999000000000002</v>
      </c>
      <c r="E2244">
        <v>0.70778859999999999</v>
      </c>
      <c r="F2244" t="s">
        <v>57</v>
      </c>
      <c r="G2244">
        <v>-168.89259999999999</v>
      </c>
      <c r="H2244">
        <v>15.268269999999999</v>
      </c>
      <c r="I2244">
        <v>186.4</v>
      </c>
      <c r="J2244">
        <v>-195.90100000000001</v>
      </c>
      <c r="K2244">
        <v>1.1089830000000001</v>
      </c>
      <c r="L2244">
        <v>360.80459999999999</v>
      </c>
      <c r="M2244">
        <v>0.80515490000000001</v>
      </c>
      <c r="N2244">
        <v>0</v>
      </c>
      <c r="O2244">
        <v>-0.59290580000000004</v>
      </c>
      <c r="P2244">
        <v>0.60780639999999997</v>
      </c>
      <c r="Q2244">
        <v>3.6493039999999997E-2</v>
      </c>
      <c r="R2244">
        <v>-0.79324640000000002</v>
      </c>
      <c r="S2244">
        <v>0.52452089999999996</v>
      </c>
      <c r="T2244">
        <v>0.2743292</v>
      </c>
      <c r="U2244">
        <v>-3.3800349999999999</v>
      </c>
      <c r="V2244">
        <v>0.27855980000000002</v>
      </c>
      <c r="W2244">
        <v>4.8419919999999998E-2</v>
      </c>
      <c r="X2244">
        <v>0.95919759999999998</v>
      </c>
      <c r="Y2244">
        <v>0.70430990000000004</v>
      </c>
      <c r="Z2244">
        <v>-2.0913310000000001E-2</v>
      </c>
      <c r="AA2244">
        <v>0.70958449999999995</v>
      </c>
      <c r="AB2244">
        <v>11</v>
      </c>
      <c r="AC2244">
        <v>27.008399999999899</v>
      </c>
      <c r="AD2244">
        <v>14.1592869999999</v>
      </c>
      <c r="AE2244">
        <v>-174.40459999999999</v>
      </c>
      <c r="AF2244">
        <v>123.62523657841299</v>
      </c>
      <c r="AG2244">
        <v>14.1592869999999</v>
      </c>
      <c r="AH2244">
        <v>124.362722586026</v>
      </c>
      <c r="AI2244">
        <v>85.383580263010799</v>
      </c>
      <c r="AJ2244">
        <v>45.170390172420603</v>
      </c>
      <c r="AK2244">
        <v>175.92547085747901</v>
      </c>
      <c r="AL2244">
        <v>87.224657879031398</v>
      </c>
      <c r="AM2244">
        <v>73.806217141006698</v>
      </c>
      <c r="AN2244">
        <v>1.0000000433373</v>
      </c>
    </row>
    <row r="2245" spans="1:40" x14ac:dyDescent="0.25">
      <c r="A2245" t="str">
        <f>"20190312150706640"</f>
        <v>20190312150706640</v>
      </c>
      <c r="B2245" t="str">
        <f>"1552374426632191"</f>
        <v>1552374426632191</v>
      </c>
      <c r="C2245" t="s">
        <v>40</v>
      </c>
      <c r="D2245">
        <v>4.5017290000000001</v>
      </c>
      <c r="E2245">
        <v>0.70778859999999999</v>
      </c>
      <c r="F2245" t="s">
        <v>57</v>
      </c>
      <c r="G2245">
        <v>-168.42529999999999</v>
      </c>
      <c r="H2245">
        <v>15.86565</v>
      </c>
      <c r="I2245">
        <v>177.7259</v>
      </c>
      <c r="J2245">
        <v>-195.84800000000001</v>
      </c>
      <c r="K2245">
        <v>1.1089899999999999</v>
      </c>
      <c r="L2245">
        <v>360.76</v>
      </c>
      <c r="M2245">
        <v>0.80286800000000003</v>
      </c>
      <c r="N2245">
        <v>0</v>
      </c>
      <c r="O2245">
        <v>-0.5959991</v>
      </c>
      <c r="P2245">
        <v>0.60424350000000004</v>
      </c>
      <c r="Q2245">
        <v>3.6901650000000001E-2</v>
      </c>
      <c r="R2245">
        <v>-0.79594509999999996</v>
      </c>
      <c r="S2245">
        <v>0.50735470000000005</v>
      </c>
      <c r="T2245">
        <v>0.27249000000000001</v>
      </c>
      <c r="U2245">
        <v>-3.380646</v>
      </c>
      <c r="V2245">
        <v>0.27915669999999998</v>
      </c>
      <c r="W2245">
        <v>4.8824270000000003E-2</v>
      </c>
      <c r="X2245">
        <v>0.95900350000000001</v>
      </c>
      <c r="Y2245">
        <v>0.70512799999999998</v>
      </c>
      <c r="Z2245">
        <v>-2.1063439999999999E-2</v>
      </c>
      <c r="AA2245">
        <v>0.70876709999999998</v>
      </c>
      <c r="AB2245">
        <v>11</v>
      </c>
      <c r="AC2245">
        <v>27.422699999999899</v>
      </c>
      <c r="AD2245">
        <v>14.75666</v>
      </c>
      <c r="AE2245">
        <v>-183.0341</v>
      </c>
      <c r="AF2245">
        <v>129.79545320526401</v>
      </c>
      <c r="AG2245">
        <v>14.75666</v>
      </c>
      <c r="AH2245">
        <v>130.28901211006701</v>
      </c>
      <c r="AI2245">
        <v>85.412447498397995</v>
      </c>
      <c r="AJ2245">
        <v>45.108729324552499</v>
      </c>
      <c r="AK2245">
        <v>184.49890342149101</v>
      </c>
      <c r="AL2245">
        <v>87.201462755814703</v>
      </c>
      <c r="AM2245">
        <v>73.770229751185795</v>
      </c>
      <c r="AN2245">
        <v>0.99999999275408602</v>
      </c>
    </row>
    <row r="2246" spans="1:40" x14ac:dyDescent="0.25">
      <c r="A2246" t="str">
        <f>"20190312150706653"</f>
        <v>20190312150706653</v>
      </c>
      <c r="B2246" t="str">
        <f>"1552374426641951"</f>
        <v>1552374426641951</v>
      </c>
      <c r="C2246" t="s">
        <v>40</v>
      </c>
      <c r="D2246">
        <v>4.5250149999999998</v>
      </c>
      <c r="E2246">
        <v>0.69949700000000004</v>
      </c>
      <c r="F2246" t="s">
        <v>57</v>
      </c>
      <c r="G2246">
        <v>-168.75210000000001</v>
      </c>
      <c r="H2246">
        <v>16.146409999999999</v>
      </c>
      <c r="I2246">
        <v>174.70779999999999</v>
      </c>
      <c r="J2246">
        <v>-195.80199999999999</v>
      </c>
      <c r="K2246">
        <v>1.108997</v>
      </c>
      <c r="L2246">
        <v>360.721</v>
      </c>
      <c r="M2246">
        <v>0.80087229999999998</v>
      </c>
      <c r="N2246">
        <v>0</v>
      </c>
      <c r="O2246">
        <v>-0.59867769999999898</v>
      </c>
      <c r="P2246">
        <v>0.60102149999999999</v>
      </c>
      <c r="Q2246">
        <v>3.7520789999999998E-2</v>
      </c>
      <c r="R2246">
        <v>-0.79835159999999905</v>
      </c>
      <c r="S2246">
        <v>0.49261470000000002</v>
      </c>
      <c r="T2246">
        <v>0.2733872</v>
      </c>
      <c r="U2246">
        <v>-3.3825069999999999</v>
      </c>
      <c r="V2246">
        <v>0.27980830000000001</v>
      </c>
      <c r="W2246">
        <v>4.9438169999999997E-2</v>
      </c>
      <c r="X2246">
        <v>0.95878209999999997</v>
      </c>
      <c r="Y2246">
        <v>0.70583850000000004</v>
      </c>
      <c r="Z2246">
        <v>-2.1376320000000001E-2</v>
      </c>
      <c r="AA2246">
        <v>0.70805019999999996</v>
      </c>
      <c r="AB2246">
        <v>11</v>
      </c>
      <c r="AC2246">
        <v>27.049900000000001</v>
      </c>
      <c r="AD2246">
        <v>15.037413000000001</v>
      </c>
      <c r="AE2246">
        <v>-186.01320000000001</v>
      </c>
      <c r="AF2246">
        <v>131.94672748379</v>
      </c>
      <c r="AG2246">
        <v>15.037413000000001</v>
      </c>
      <c r="AH2246">
        <v>132.192003999452</v>
      </c>
      <c r="AI2246">
        <v>85.396981325334394</v>
      </c>
      <c r="AJ2246">
        <v>45.053204257637297</v>
      </c>
      <c r="AK2246">
        <v>187.37873039597</v>
      </c>
      <c r="AL2246">
        <v>87.166246271332</v>
      </c>
      <c r="AM2246">
        <v>73.730789988068494</v>
      </c>
      <c r="AN2246">
        <v>0.99999996634112298</v>
      </c>
    </row>
    <row r="2247" spans="1:40" x14ac:dyDescent="0.25">
      <c r="A2247" t="str">
        <f>"20190312150706664"</f>
        <v>20190312150706664</v>
      </c>
      <c r="B2247" t="str">
        <f>"1552374426662447"</f>
        <v>1552374426662447</v>
      </c>
      <c r="C2247" t="s">
        <v>40</v>
      </c>
      <c r="D2247">
        <v>4.543895</v>
      </c>
      <c r="E2247">
        <v>0.69944319999999904</v>
      </c>
      <c r="F2247" t="s">
        <v>57</v>
      </c>
      <c r="G2247">
        <v>-168.42089999999999</v>
      </c>
      <c r="H2247">
        <v>13.06775</v>
      </c>
      <c r="I2247">
        <v>188.26439999999999</v>
      </c>
      <c r="J2247">
        <v>-195.75919999999999</v>
      </c>
      <c r="K2247">
        <v>1.109003</v>
      </c>
      <c r="L2247">
        <v>360.68459999999999</v>
      </c>
      <c r="M2247">
        <v>0.79900179999999998</v>
      </c>
      <c r="N2247">
        <v>0</v>
      </c>
      <c r="O2247">
        <v>-0.60117229999999999</v>
      </c>
      <c r="P2247">
        <v>0.59801700000000002</v>
      </c>
      <c r="Q2247">
        <v>3.7945359999999997E-2</v>
      </c>
      <c r="R2247">
        <v>-0.8005852</v>
      </c>
      <c r="S2247">
        <v>0.53137209999999901</v>
      </c>
      <c r="T2247">
        <v>0.23207749999999999</v>
      </c>
      <c r="U2247">
        <v>-3.3467709999999999</v>
      </c>
      <c r="V2247">
        <v>0.28040739999999997</v>
      </c>
      <c r="W2247">
        <v>4.9858220000000002E-2</v>
      </c>
      <c r="X2247">
        <v>0.95858529999999997</v>
      </c>
      <c r="Y2247">
        <v>0.69459659999999901</v>
      </c>
      <c r="Z2247">
        <v>-1.903931E-2</v>
      </c>
      <c r="AA2247">
        <v>0.71914739999999999</v>
      </c>
      <c r="AB2247">
        <v>11</v>
      </c>
      <c r="AC2247">
        <v>27.3383</v>
      </c>
      <c r="AD2247">
        <v>11.958747000000001</v>
      </c>
      <c r="AE2247">
        <v>-172.42019999999999</v>
      </c>
      <c r="AF2247">
        <v>120.77368694960001</v>
      </c>
      <c r="AG2247">
        <v>11.958747000000001</v>
      </c>
      <c r="AH2247">
        <v>124.92318461377999</v>
      </c>
      <c r="AI2247">
        <v>86.062890931262402</v>
      </c>
      <c r="AJ2247">
        <v>45.967558526223598</v>
      </c>
      <c r="AK2247">
        <v>174.16973658836</v>
      </c>
      <c r="AL2247">
        <v>87.142149456578906</v>
      </c>
      <c r="AM2247">
        <v>73.6946347359425</v>
      </c>
      <c r="AN2247">
        <v>0.999999964726208</v>
      </c>
    </row>
    <row r="2248" spans="1:40" x14ac:dyDescent="0.25">
      <c r="A2248" t="str">
        <f>"20190312150706677"</f>
        <v>20190312150706677</v>
      </c>
      <c r="B2248" t="str">
        <f>"1552374426672206"</f>
        <v>1552374426672206</v>
      </c>
      <c r="C2248" t="s">
        <v>40</v>
      </c>
      <c r="D2248">
        <v>4.5643750000000001</v>
      </c>
      <c r="E2248">
        <v>0.69891610000000004</v>
      </c>
      <c r="F2248" t="s">
        <v>57</v>
      </c>
      <c r="G2248">
        <v>-168.7362</v>
      </c>
      <c r="H2248">
        <v>13.07709</v>
      </c>
      <c r="I2248">
        <v>186.4007</v>
      </c>
      <c r="J2248">
        <v>-195.71270000000001</v>
      </c>
      <c r="K2248">
        <v>1.109008</v>
      </c>
      <c r="L2248">
        <v>360.64449999999999</v>
      </c>
      <c r="M2248">
        <v>0.79694849999999995</v>
      </c>
      <c r="N2248">
        <v>0</v>
      </c>
      <c r="O2248">
        <v>-0.60389179999999998</v>
      </c>
      <c r="P2248">
        <v>0.59503790000000001</v>
      </c>
      <c r="Q2248">
        <v>3.8348699999999999E-2</v>
      </c>
      <c r="R2248">
        <v>-0.80278249999999995</v>
      </c>
      <c r="S2248">
        <v>0.51921079999999997</v>
      </c>
      <c r="T2248">
        <v>0.2299514</v>
      </c>
      <c r="U2248">
        <v>-3.348633</v>
      </c>
      <c r="V2248">
        <v>0.28068890000000002</v>
      </c>
      <c r="W2248">
        <v>5.0259690000000003E-2</v>
      </c>
      <c r="X2248">
        <v>0.95848199999999995</v>
      </c>
      <c r="Y2248">
        <v>0.69476470000000001</v>
      </c>
      <c r="Z2248">
        <v>-1.9098690000000001E-2</v>
      </c>
      <c r="AA2248">
        <v>0.7189835</v>
      </c>
      <c r="AB2248">
        <v>11</v>
      </c>
      <c r="AC2248">
        <v>26.976500000000001</v>
      </c>
      <c r="AD2248">
        <v>11.968082000000001</v>
      </c>
      <c r="AE2248">
        <v>-174.24379999999999</v>
      </c>
      <c r="AF2248">
        <v>122.021765825347</v>
      </c>
      <c r="AG2248">
        <v>11.968082000000001</v>
      </c>
      <c r="AH2248">
        <v>126.153952668521</v>
      </c>
      <c r="AI2248">
        <v>86.099045158582697</v>
      </c>
      <c r="AJ2248">
        <v>45.953900698227599</v>
      </c>
      <c r="AK2248">
        <v>175.918634873586</v>
      </c>
      <c r="AL2248">
        <v>87.119118202139205</v>
      </c>
      <c r="AM2248">
        <v>73.677471296395595</v>
      </c>
      <c r="AN2248">
        <v>1.0000000196730501</v>
      </c>
    </row>
    <row r="2249" spans="1:40" x14ac:dyDescent="0.25">
      <c r="A2249" t="str">
        <f>"20190312150706689"</f>
        <v>20190312150706689</v>
      </c>
      <c r="B2249" t="str">
        <f>"1552374426681966"</f>
        <v>1552374426681966</v>
      </c>
      <c r="C2249" t="s">
        <v>40</v>
      </c>
      <c r="D2249">
        <v>4.5699870000000002</v>
      </c>
      <c r="E2249">
        <v>0.6986964</v>
      </c>
      <c r="F2249" t="s">
        <v>57</v>
      </c>
      <c r="G2249">
        <v>-169.15209999999999</v>
      </c>
      <c r="H2249">
        <v>13.102069999999999</v>
      </c>
      <c r="I2249">
        <v>186.4008</v>
      </c>
      <c r="J2249">
        <v>-195.6662</v>
      </c>
      <c r="K2249">
        <v>1.1090139999999999</v>
      </c>
      <c r="L2249">
        <v>360.60430000000002</v>
      </c>
      <c r="M2249">
        <v>0.79488700000000001</v>
      </c>
      <c r="N2249">
        <v>0</v>
      </c>
      <c r="O2249">
        <v>-0.60660269999999905</v>
      </c>
      <c r="P2249">
        <v>0.59202749999999904</v>
      </c>
      <c r="Q2249">
        <v>3.8601799999999999E-2</v>
      </c>
      <c r="R2249">
        <v>-0.80499290000000001</v>
      </c>
      <c r="S2249">
        <v>0.51031490000000002</v>
      </c>
      <c r="T2249">
        <v>0.23042560000000001</v>
      </c>
      <c r="U2249">
        <v>-3.3477779999999999</v>
      </c>
      <c r="V2249">
        <v>0.28100439999999999</v>
      </c>
      <c r="W2249">
        <v>5.0511140000000003E-2</v>
      </c>
      <c r="X2249">
        <v>0.95837629999999996</v>
      </c>
      <c r="Y2249">
        <v>0.69415579999999999</v>
      </c>
      <c r="Z2249">
        <v>-1.9417569999999999E-2</v>
      </c>
      <c r="AA2249">
        <v>0.71956279999999995</v>
      </c>
      <c r="AB2249">
        <v>11</v>
      </c>
      <c r="AC2249">
        <v>26.514099999999999</v>
      </c>
      <c r="AD2249">
        <v>11.993055999999999</v>
      </c>
      <c r="AE2249">
        <v>-174.20349999999999</v>
      </c>
      <c r="AF2249">
        <v>121.835684170341</v>
      </c>
      <c r="AG2249">
        <v>11.993055999999999</v>
      </c>
      <c r="AH2249">
        <v>126.175444396879</v>
      </c>
      <c r="AI2249">
        <v>86.088400463578395</v>
      </c>
      <c r="AJ2249">
        <v>46.002473450461302</v>
      </c>
      <c r="AK2249">
        <v>175.80674076446601</v>
      </c>
      <c r="AL2249">
        <v>87.104692770966494</v>
      </c>
      <c r="AM2249">
        <v>73.658396668291502</v>
      </c>
      <c r="AN2249">
        <v>0.99999999024257402</v>
      </c>
    </row>
    <row r="2250" spans="1:40" x14ac:dyDescent="0.25">
      <c r="A2250" t="str">
        <f>"20190312150706704"</f>
        <v>20190312150706704</v>
      </c>
      <c r="B2250" t="str">
        <f>"1552374426702462"</f>
        <v>1552374426702462</v>
      </c>
      <c r="C2250" t="s">
        <v>40</v>
      </c>
      <c r="D2250">
        <v>4.5402259999999997</v>
      </c>
      <c r="E2250">
        <v>0.69751009999999902</v>
      </c>
      <c r="F2250" t="s">
        <v>57</v>
      </c>
      <c r="G2250">
        <v>-169.0746</v>
      </c>
      <c r="H2250">
        <v>13.264379999999999</v>
      </c>
      <c r="I2250">
        <v>182.14920000000001</v>
      </c>
      <c r="J2250">
        <v>-195.60939999999999</v>
      </c>
      <c r="K2250">
        <v>1.1090089999999999</v>
      </c>
      <c r="L2250">
        <v>360.55489999999998</v>
      </c>
      <c r="M2250">
        <v>0.79234669999999996</v>
      </c>
      <c r="N2250">
        <v>0</v>
      </c>
      <c r="O2250">
        <v>-0.6099173</v>
      </c>
      <c r="P2250">
        <v>0.58864949999999905</v>
      </c>
      <c r="Q2250">
        <v>3.8267679999999998E-2</v>
      </c>
      <c r="R2250">
        <v>-0.80748260000000005</v>
      </c>
      <c r="S2250">
        <v>0.49900820000000001</v>
      </c>
      <c r="T2250">
        <v>0.22810320000000001</v>
      </c>
      <c r="U2250">
        <v>-3.3488159999999998</v>
      </c>
      <c r="V2250">
        <v>0.28102759999999999</v>
      </c>
      <c r="W2250">
        <v>5.0177779999999998E-2</v>
      </c>
      <c r="X2250">
        <v>0.95838699999999999</v>
      </c>
      <c r="Y2250">
        <v>0.69356909999999905</v>
      </c>
      <c r="Z2250">
        <v>-1.954326E-2</v>
      </c>
      <c r="AA2250">
        <v>0.72012509999999996</v>
      </c>
      <c r="AB2250">
        <v>11</v>
      </c>
      <c r="AC2250">
        <v>26.534799999999901</v>
      </c>
      <c r="AD2250">
        <v>12.155371000000001</v>
      </c>
      <c r="AE2250">
        <v>-178.405699999999</v>
      </c>
      <c r="AF2250">
        <v>124.62088867983</v>
      </c>
      <c r="AG2250">
        <v>12.155371000000001</v>
      </c>
      <c r="AH2250">
        <v>129.26259489446801</v>
      </c>
      <c r="AI2250">
        <v>86.127096452628706</v>
      </c>
      <c r="AJ2250">
        <v>46.047411772249497</v>
      </c>
      <c r="AK2250">
        <v>179.963711281885</v>
      </c>
      <c r="AL2250">
        <v>87.123817118974998</v>
      </c>
      <c r="AM2250">
        <v>73.657292209546696</v>
      </c>
      <c r="AN2250">
        <v>0.999999981668244</v>
      </c>
    </row>
    <row r="2251" spans="1:40" x14ac:dyDescent="0.25">
      <c r="A2251" t="str">
        <f>"20190312150706716"</f>
        <v>20190312150706716</v>
      </c>
      <c r="B2251" t="str">
        <f>"1552374426712222"</f>
        <v>1552374426712222</v>
      </c>
      <c r="C2251" t="s">
        <v>40</v>
      </c>
      <c r="D2251">
        <v>4.5152619999999999</v>
      </c>
      <c r="E2251">
        <v>0.69751009999999902</v>
      </c>
      <c r="F2251" t="s">
        <v>57</v>
      </c>
      <c r="G2251">
        <v>-168.54910000000001</v>
      </c>
      <c r="H2251">
        <v>13.262779999999999</v>
      </c>
      <c r="I2251">
        <v>176.81450000000001</v>
      </c>
      <c r="J2251">
        <v>-195.56540000000001</v>
      </c>
      <c r="K2251">
        <v>1.1090100000000001</v>
      </c>
      <c r="L2251">
        <v>360.51609999999999</v>
      </c>
      <c r="M2251">
        <v>0.79035580000000005</v>
      </c>
      <c r="N2251">
        <v>0</v>
      </c>
      <c r="O2251">
        <v>-0.61249469999999995</v>
      </c>
      <c r="P2251">
        <v>0.58615589999999995</v>
      </c>
      <c r="Q2251">
        <v>3.8310520000000001E-2</v>
      </c>
      <c r="R2251">
        <v>-0.80929219999999902</v>
      </c>
      <c r="S2251">
        <v>0.49272159999999898</v>
      </c>
      <c r="T2251">
        <v>0.22129879999999999</v>
      </c>
      <c r="U2251">
        <v>-3.3455810000000001</v>
      </c>
      <c r="V2251">
        <v>0.280860099999999</v>
      </c>
      <c r="W2251">
        <v>5.022302E-2</v>
      </c>
      <c r="X2251">
        <v>0.95843370000000006</v>
      </c>
      <c r="Y2251">
        <v>0.69246589999999997</v>
      </c>
      <c r="Z2251">
        <v>-1.925166E-2</v>
      </c>
      <c r="AA2251">
        <v>0.72119369999999905</v>
      </c>
      <c r="AB2251">
        <v>11</v>
      </c>
      <c r="AC2251">
        <v>27.016300000000001</v>
      </c>
      <c r="AD2251">
        <v>12.15377</v>
      </c>
      <c r="AE2251">
        <v>-183.70160000000001</v>
      </c>
      <c r="AF2251">
        <v>128.105503610916</v>
      </c>
      <c r="AG2251">
        <v>12.15377</v>
      </c>
      <c r="AH2251">
        <v>133.31015666641801</v>
      </c>
      <c r="AI2251">
        <v>86.238971899481299</v>
      </c>
      <c r="AJ2251">
        <v>46.140579188683198</v>
      </c>
      <c r="AK2251">
        <v>185.284462519242</v>
      </c>
      <c r="AL2251">
        <v>87.121221701255294</v>
      </c>
      <c r="AM2251">
        <v>73.667266977966506</v>
      </c>
      <c r="AN2251">
        <v>0.99999995240280903</v>
      </c>
    </row>
    <row r="2252" spans="1:40" x14ac:dyDescent="0.25">
      <c r="A2252" t="str">
        <f>"20190312150706727"</f>
        <v>20190312150706727</v>
      </c>
      <c r="B2252" t="str">
        <f>"1552374426721984"</f>
        <v>1552374426721984</v>
      </c>
      <c r="C2252" t="s">
        <v>40</v>
      </c>
      <c r="D2252">
        <v>4.4684290000000004</v>
      </c>
      <c r="E2252">
        <v>0.69143149999999998</v>
      </c>
      <c r="F2252" t="s">
        <v>57</v>
      </c>
      <c r="G2252">
        <v>-169.18950000000001</v>
      </c>
      <c r="H2252">
        <v>13.262779999999999</v>
      </c>
      <c r="I2252">
        <v>177.45939999999999</v>
      </c>
      <c r="J2252">
        <v>-195.52430000000001</v>
      </c>
      <c r="K2252">
        <v>1.1090150000000001</v>
      </c>
      <c r="L2252">
        <v>360.47989999999999</v>
      </c>
      <c r="M2252">
        <v>0.78849199999999997</v>
      </c>
      <c r="N2252">
        <v>0</v>
      </c>
      <c r="O2252">
        <v>-0.61489240000000001</v>
      </c>
      <c r="P2252">
        <v>0.58399849999999998</v>
      </c>
      <c r="Q2252">
        <v>3.7487520000000003E-2</v>
      </c>
      <c r="R2252">
        <v>-0.81088909999999903</v>
      </c>
      <c r="S2252">
        <v>0.48226930000000001</v>
      </c>
      <c r="T2252">
        <v>0.2222267</v>
      </c>
      <c r="U2252">
        <v>-3.3471069999999998</v>
      </c>
      <c r="V2252">
        <v>0.28052779999999999</v>
      </c>
      <c r="W2252">
        <v>4.9403879999999997E-2</v>
      </c>
      <c r="X2252">
        <v>0.95857360000000003</v>
      </c>
      <c r="Y2252">
        <v>0.69252760000000002</v>
      </c>
      <c r="Z2252">
        <v>-1.9536020000000001E-2</v>
      </c>
      <c r="AA2252">
        <v>0.72112690000000002</v>
      </c>
      <c r="AB2252">
        <v>11</v>
      </c>
      <c r="AC2252">
        <v>26.334800000000001</v>
      </c>
      <c r="AD2252">
        <v>12.153765</v>
      </c>
      <c r="AE2252">
        <v>-183.0205</v>
      </c>
      <c r="AF2252">
        <v>127.577971645891</v>
      </c>
      <c r="AG2252">
        <v>12.153765</v>
      </c>
      <c r="AH2252">
        <v>132.741710959225</v>
      </c>
      <c r="AI2252">
        <v>86.223179307178398</v>
      </c>
      <c r="AJ2252">
        <v>46.136378436769</v>
      </c>
      <c r="AK2252">
        <v>184.51074408103599</v>
      </c>
      <c r="AL2252">
        <v>87.1682133528561</v>
      </c>
      <c r="AM2252">
        <v>73.687817251734003</v>
      </c>
      <c r="AN2252">
        <v>0.99999996827442605</v>
      </c>
    </row>
    <row r="2253" spans="1:40" x14ac:dyDescent="0.25">
      <c r="A2253" t="str">
        <f>"20190312150706739"</f>
        <v>20190312150706739</v>
      </c>
      <c r="B2253" t="str">
        <f>"1552374426732719"</f>
        <v>1552374426732719</v>
      </c>
      <c r="C2253" t="s">
        <v>40</v>
      </c>
      <c r="D2253">
        <v>4.5110989999999997</v>
      </c>
      <c r="E2253">
        <v>0.69142349999999997</v>
      </c>
      <c r="F2253" t="s">
        <v>42</v>
      </c>
      <c r="G2253">
        <v>-193.77289999999999</v>
      </c>
      <c r="H2253" s="1">
        <v>-4.7631689999999998E-6</v>
      </c>
      <c r="I2253">
        <v>349.017</v>
      </c>
      <c r="J2253">
        <v>-195.47980000000001</v>
      </c>
      <c r="K2253">
        <v>1.1090180000000001</v>
      </c>
      <c r="L2253">
        <v>360.44029999999998</v>
      </c>
      <c r="M2253">
        <v>0.78645810000000005</v>
      </c>
      <c r="N2253">
        <v>0</v>
      </c>
      <c r="O2253">
        <v>-0.61749200000000004</v>
      </c>
      <c r="P2253">
        <v>0.58184190000000002</v>
      </c>
      <c r="Q2253">
        <v>3.6673780000000003E-2</v>
      </c>
      <c r="R2253">
        <v>-0.81247510000000001</v>
      </c>
      <c r="S2253">
        <v>0.51130679999999995</v>
      </c>
      <c r="T2253">
        <v>-0.32376070000000001</v>
      </c>
      <c r="U2253">
        <v>-3.3464049999999999</v>
      </c>
      <c r="V2253">
        <v>0.27993499999999999</v>
      </c>
      <c r="W2253">
        <v>4.8597090000000003E-2</v>
      </c>
      <c r="X2253">
        <v>0.95878819999999998</v>
      </c>
      <c r="Y2253">
        <v>0.68367659999999997</v>
      </c>
      <c r="Z2253">
        <v>2.9242480000000001E-2</v>
      </c>
      <c r="AA2253">
        <v>0.72919909999999999</v>
      </c>
      <c r="AB2253">
        <v>11</v>
      </c>
      <c r="AC2253">
        <v>1.7069000000000101</v>
      </c>
      <c r="AD2253">
        <v>-1.1090227631689999</v>
      </c>
      <c r="AE2253">
        <v>-11.4232999999999</v>
      </c>
      <c r="AF2253">
        <v>7.8582432540851297</v>
      </c>
      <c r="AG2253">
        <v>-1.1090227631689999</v>
      </c>
      <c r="AH2253">
        <v>8.3202791523585091</v>
      </c>
      <c r="AI2253">
        <v>95.534881406622205</v>
      </c>
      <c r="AJ2253">
        <v>46.635842434849799</v>
      </c>
      <c r="AK2253">
        <v>11.4982156747372</v>
      </c>
      <c r="AL2253">
        <v>87.214494831930693</v>
      </c>
      <c r="AM2253">
        <v>73.723911093939805</v>
      </c>
      <c r="AN2253">
        <v>1.00000004692035</v>
      </c>
    </row>
    <row r="2254" spans="1:40" x14ac:dyDescent="0.25">
      <c r="A2254" t="str">
        <f>"20190312150706751"</f>
        <v>20190312150706751</v>
      </c>
      <c r="B2254" t="str">
        <f>"1552374426742479"</f>
        <v>1552374426742479</v>
      </c>
      <c r="C2254" t="s">
        <v>40</v>
      </c>
      <c r="D2254">
        <v>4.4821269999999904</v>
      </c>
      <c r="E2254">
        <v>0.69142349999999997</v>
      </c>
      <c r="F2254" t="s">
        <v>42</v>
      </c>
      <c r="G2254">
        <v>-193.77500000000001</v>
      </c>
      <c r="H2254" s="1">
        <v>-4.7828250000000002E-6</v>
      </c>
      <c r="I2254">
        <v>349.0736</v>
      </c>
      <c r="J2254">
        <v>-195.43819999999999</v>
      </c>
      <c r="K2254">
        <v>1.1090180000000001</v>
      </c>
      <c r="L2254">
        <v>360.40300000000002</v>
      </c>
      <c r="M2254">
        <v>0.7845396</v>
      </c>
      <c r="N2254">
        <v>0</v>
      </c>
      <c r="O2254">
        <v>-0.61992740000000002</v>
      </c>
      <c r="P2254">
        <v>0.57975739999999998</v>
      </c>
      <c r="Q2254">
        <v>3.600946E-2</v>
      </c>
      <c r="R2254">
        <v>-0.81399319999999997</v>
      </c>
      <c r="S2254">
        <v>0.5020905</v>
      </c>
      <c r="T2254">
        <v>-0.32662350000000001</v>
      </c>
      <c r="U2254">
        <v>-3.3476560000000002</v>
      </c>
      <c r="V2254">
        <v>0.2794392</v>
      </c>
      <c r="W2254">
        <v>4.7937920000000002E-2</v>
      </c>
      <c r="X2254">
        <v>0.95896599999999999</v>
      </c>
      <c r="Y2254">
        <v>0.68341350000000001</v>
      </c>
      <c r="Z2254">
        <v>2.9823300000000001E-2</v>
      </c>
      <c r="AA2254">
        <v>0.72942200000000001</v>
      </c>
      <c r="AB2254">
        <v>11</v>
      </c>
      <c r="AC2254">
        <v>1.66319999999998</v>
      </c>
      <c r="AD2254">
        <v>-1.1090227828249899</v>
      </c>
      <c r="AE2254">
        <v>-11.3294</v>
      </c>
      <c r="AF2254">
        <v>7.78501284427995</v>
      </c>
      <c r="AG2254">
        <v>-1.1090227828249899</v>
      </c>
      <c r="AH2254">
        <v>8.2516321596016802</v>
      </c>
      <c r="AI2254">
        <v>95.583454874202104</v>
      </c>
      <c r="AJ2254">
        <v>46.666668818504697</v>
      </c>
      <c r="AK2254">
        <v>11.398499454568601</v>
      </c>
      <c r="AL2254">
        <v>87.252306569717206</v>
      </c>
      <c r="AM2254">
        <v>73.754069642240196</v>
      </c>
      <c r="AN2254">
        <v>1.00000004991328</v>
      </c>
    </row>
    <row r="2255" spans="1:40" x14ac:dyDescent="0.25">
      <c r="A2255" t="str">
        <f>"20190312150706761"</f>
        <v>20190312150706761</v>
      </c>
      <c r="B2255" t="str">
        <f>"1552374426752238"</f>
        <v>1552374426752238</v>
      </c>
      <c r="C2255" t="s">
        <v>40</v>
      </c>
      <c r="D2255">
        <v>4.4370710000000004</v>
      </c>
      <c r="E2255">
        <v>0.68946479999999999</v>
      </c>
      <c r="F2255" t="s">
        <v>42</v>
      </c>
      <c r="G2255">
        <v>-193.7681</v>
      </c>
      <c r="H2255" s="1">
        <v>-4.7764289999999999E-6</v>
      </c>
      <c r="I2255">
        <v>349.05840000000001</v>
      </c>
      <c r="J2255">
        <v>-195.3964</v>
      </c>
      <c r="K2255">
        <v>1.109013</v>
      </c>
      <c r="L2255">
        <v>360.36540000000002</v>
      </c>
      <c r="M2255">
        <v>0.78260090000000004</v>
      </c>
      <c r="N2255">
        <v>0</v>
      </c>
      <c r="O2255">
        <v>-0.62237299999999995</v>
      </c>
      <c r="P2255">
        <v>0.57799599999999995</v>
      </c>
      <c r="Q2255">
        <v>3.5117339999999997E-2</v>
      </c>
      <c r="R2255">
        <v>-0.81528369999999994</v>
      </c>
      <c r="S2255">
        <v>0.49302669999999998</v>
      </c>
      <c r="T2255">
        <v>-0.327383799999999</v>
      </c>
      <c r="U2255">
        <v>-3.3489070000000001</v>
      </c>
      <c r="V2255">
        <v>0.27854479999999998</v>
      </c>
      <c r="W2255">
        <v>4.705438E-2</v>
      </c>
      <c r="X2255">
        <v>0.95926990000000001</v>
      </c>
      <c r="Y2255">
        <v>0.68311049999999995</v>
      </c>
      <c r="Z2255">
        <v>3.0220520000000001E-2</v>
      </c>
      <c r="AA2255">
        <v>0.72968949999999999</v>
      </c>
      <c r="AB2255">
        <v>11</v>
      </c>
      <c r="AC2255">
        <v>1.6282999999999901</v>
      </c>
      <c r="AD2255">
        <v>-1.1090177764289999</v>
      </c>
      <c r="AE2255">
        <v>-11.307</v>
      </c>
      <c r="AF2255">
        <v>7.7630295347029703</v>
      </c>
      <c r="AG2255">
        <v>-1.1090177764289999</v>
      </c>
      <c r="AH2255">
        <v>8.2346514492373704</v>
      </c>
      <c r="AI2255">
        <v>95.596880185512703</v>
      </c>
      <c r="AJ2255">
        <v>46.688627308128801</v>
      </c>
      <c r="AK2255">
        <v>11.371193098155199</v>
      </c>
      <c r="AL2255">
        <v>87.302986826657502</v>
      </c>
      <c r="AM2255">
        <v>73.808199959673303</v>
      </c>
      <c r="AN2255">
        <v>1.00000003066511</v>
      </c>
    </row>
    <row r="2256" spans="1:40" x14ac:dyDescent="0.25">
      <c r="A2256" t="str">
        <f>"20190312150706772"</f>
        <v>20190312150706772</v>
      </c>
      <c r="B2256" t="str">
        <f>"1552374426761999"</f>
        <v>1552374426761999</v>
      </c>
      <c r="C2256" t="s">
        <v>40</v>
      </c>
      <c r="D2256">
        <v>4.4884690000000003</v>
      </c>
      <c r="E2256">
        <v>0.6886736</v>
      </c>
      <c r="F2256" t="s">
        <v>42</v>
      </c>
      <c r="G2256">
        <v>-193.6653</v>
      </c>
      <c r="H2256" s="1">
        <v>-4.6552599999999999E-6</v>
      </c>
      <c r="I2256">
        <v>348.75599999999997</v>
      </c>
      <c r="J2256">
        <v>-195.3579</v>
      </c>
      <c r="K2256">
        <v>1.109011</v>
      </c>
      <c r="L2256">
        <v>360.3304</v>
      </c>
      <c r="M2256">
        <v>0.7808022</v>
      </c>
      <c r="N2256">
        <v>0</v>
      </c>
      <c r="O2256">
        <v>-0.62462819999999997</v>
      </c>
      <c r="P2256">
        <v>0.57657959999999997</v>
      </c>
      <c r="Q2256">
        <v>3.4614599999999898E-2</v>
      </c>
      <c r="R2256">
        <v>-0.81630769999999997</v>
      </c>
      <c r="S2256">
        <v>0.4980774</v>
      </c>
      <c r="T2256">
        <v>-0.31909290000000001</v>
      </c>
      <c r="U2256">
        <v>-3.3403320000000001</v>
      </c>
      <c r="V2256">
        <v>0.27745649999999999</v>
      </c>
      <c r="W2256">
        <v>4.6561869999999998E-2</v>
      </c>
      <c r="X2256">
        <v>0.9596093</v>
      </c>
      <c r="Y2256">
        <v>0.67968729999999999</v>
      </c>
      <c r="Z2256">
        <v>3.0004449999999998E-2</v>
      </c>
      <c r="AA2256">
        <v>0.73288809999999904</v>
      </c>
      <c r="AB2256">
        <v>11</v>
      </c>
      <c r="AC2256">
        <v>1.6925999999999899</v>
      </c>
      <c r="AD2256">
        <v>-1.1090156552599999</v>
      </c>
      <c r="AE2256">
        <v>-11.574400000000001</v>
      </c>
      <c r="AF2256">
        <v>7.9097228631006997</v>
      </c>
      <c r="AG2256">
        <v>-1.1090156552599999</v>
      </c>
      <c r="AH2256">
        <v>8.4758984927230898</v>
      </c>
      <c r="AI2256">
        <v>95.464290660441407</v>
      </c>
      <c r="AJ2256">
        <v>46.978965123922798</v>
      </c>
      <c r="AK2256">
        <v>11.6462219948623</v>
      </c>
      <c r="AL2256">
        <v>87.331236621037903</v>
      </c>
      <c r="AM2256">
        <v>73.8735751147088</v>
      </c>
      <c r="AN2256">
        <v>1.0000000628883099</v>
      </c>
    </row>
    <row r="2257" spans="1:40" x14ac:dyDescent="0.25">
      <c r="A2257" t="str">
        <f>"20190312150706783"</f>
        <v>20190312150706783</v>
      </c>
      <c r="B2257" t="str">
        <f>"1552374426772734"</f>
        <v>1552374426772734</v>
      </c>
      <c r="C2257" t="s">
        <v>40</v>
      </c>
      <c r="D2257">
        <v>4.5693390000000003</v>
      </c>
      <c r="E2257">
        <v>0.68865010000000004</v>
      </c>
      <c r="F2257" t="s">
        <v>42</v>
      </c>
      <c r="G2257">
        <v>-193.67420000000001</v>
      </c>
      <c r="H2257" s="1">
        <v>-4.747642E-6</v>
      </c>
      <c r="I2257">
        <v>349.02280000000002</v>
      </c>
      <c r="J2257">
        <v>-195.31639999999999</v>
      </c>
      <c r="K2257">
        <v>1.109011</v>
      </c>
      <c r="L2257">
        <v>360.29270000000002</v>
      </c>
      <c r="M2257">
        <v>0.77885360000000003</v>
      </c>
      <c r="N2257">
        <v>0</v>
      </c>
      <c r="O2257">
        <v>-0.62705669999999902</v>
      </c>
      <c r="P2257">
        <v>0.57518319999999901</v>
      </c>
      <c r="Q2257">
        <v>3.3575420000000002E-2</v>
      </c>
      <c r="R2257">
        <v>-0.81733549999999999</v>
      </c>
      <c r="S2257">
        <v>0.49700929999999999</v>
      </c>
      <c r="T2257">
        <v>-0.32737169999999999</v>
      </c>
      <c r="U2257">
        <v>-3.3379210000000001</v>
      </c>
      <c r="V2257">
        <v>0.27613660000000001</v>
      </c>
      <c r="W2257">
        <v>4.5534900000000003E-2</v>
      </c>
      <c r="X2257">
        <v>0.96003910000000003</v>
      </c>
      <c r="Y2257">
        <v>0.67753669999999899</v>
      </c>
      <c r="Z2257">
        <v>3.123656E-2</v>
      </c>
      <c r="AA2257">
        <v>0.73482530000000001</v>
      </c>
      <c r="AB2257">
        <v>11</v>
      </c>
      <c r="AC2257">
        <v>1.6421999999999699</v>
      </c>
      <c r="AD2257">
        <v>-1.1090157476419999</v>
      </c>
      <c r="AE2257">
        <v>-11.2699</v>
      </c>
      <c r="AF2257">
        <v>7.6757904585215204</v>
      </c>
      <c r="AG2257">
        <v>-1.1090157476419999</v>
      </c>
      <c r="AH2257">
        <v>8.2682782795362506</v>
      </c>
      <c r="AI2257">
        <v>95.614143490136101</v>
      </c>
      <c r="AJ2257">
        <v>47.128154317524597</v>
      </c>
      <c r="AK2257">
        <v>11.3363177795745</v>
      </c>
      <c r="AL2257">
        <v>87.390139885433896</v>
      </c>
      <c r="AM2257">
        <v>73.953146619667905</v>
      </c>
      <c r="AN2257">
        <v>0.99999996125318902</v>
      </c>
    </row>
    <row r="2258" spans="1:40" x14ac:dyDescent="0.25">
      <c r="A2258" t="str">
        <f>"20190312150706795"</f>
        <v>20190312150706795</v>
      </c>
      <c r="B2258" t="str">
        <f>"1552374426792254"</f>
        <v>1552374426792254</v>
      </c>
      <c r="C2258" t="s">
        <v>40</v>
      </c>
      <c r="D2258">
        <v>4.4222659999999996</v>
      </c>
      <c r="E2258">
        <v>0.68785940000000001</v>
      </c>
      <c r="F2258" t="s">
        <v>42</v>
      </c>
      <c r="G2258">
        <v>-193.7218</v>
      </c>
      <c r="H2258" s="1">
        <v>-4.9001319999999999E-6</v>
      </c>
      <c r="I2258">
        <v>349.4461</v>
      </c>
      <c r="J2258">
        <v>-195.2775</v>
      </c>
      <c r="K2258">
        <v>1.1090180000000001</v>
      </c>
      <c r="L2258">
        <v>360.25689999999997</v>
      </c>
      <c r="M2258">
        <v>0.77700990000000003</v>
      </c>
      <c r="N2258">
        <v>0</v>
      </c>
      <c r="O2258">
        <v>-0.6293396</v>
      </c>
      <c r="P2258">
        <v>0.57388989999999995</v>
      </c>
      <c r="Q2258">
        <v>3.2966699999999897E-2</v>
      </c>
      <c r="R2258">
        <v>-0.81826899999999902</v>
      </c>
      <c r="S2258">
        <v>0.49089050000000001</v>
      </c>
      <c r="T2258">
        <v>-0.34140209999999999</v>
      </c>
      <c r="U2258">
        <v>-3.3390499999999999</v>
      </c>
      <c r="V2258">
        <v>0.2748525</v>
      </c>
      <c r="W2258">
        <v>4.4937560000000001E-2</v>
      </c>
      <c r="X2258">
        <v>0.9604357</v>
      </c>
      <c r="Y2258">
        <v>0.67669330000000005</v>
      </c>
      <c r="Z2258">
        <v>3.2918210000000003E-2</v>
      </c>
      <c r="AA2258">
        <v>0.73552879999999998</v>
      </c>
      <c r="AB2258">
        <v>11</v>
      </c>
      <c r="AC2258">
        <v>1.5557000000000001</v>
      </c>
      <c r="AD2258">
        <v>-1.109022900132</v>
      </c>
      <c r="AE2258">
        <v>-10.810799999999899</v>
      </c>
      <c r="AF2258">
        <v>7.3459919389219897</v>
      </c>
      <c r="AG2258">
        <v>-1.109022900132</v>
      </c>
      <c r="AH2258">
        <v>7.9314351741602396</v>
      </c>
      <c r="AI2258">
        <v>95.857235756916495</v>
      </c>
      <c r="AJ2258">
        <v>47.194546333076602</v>
      </c>
      <c r="AK2258">
        <v>10.8674372913594</v>
      </c>
      <c r="AL2258">
        <v>87.424400138751395</v>
      </c>
      <c r="AM2258">
        <v>74.030212592052195</v>
      </c>
      <c r="AN2258">
        <v>1.0000000074447399</v>
      </c>
    </row>
    <row r="2259" spans="1:40" x14ac:dyDescent="0.25">
      <c r="A2259" t="str">
        <f>"20190312150706817"</f>
        <v>20190312150706817</v>
      </c>
      <c r="B2259" t="str">
        <f>"1552374426812752"</f>
        <v>1552374426812752</v>
      </c>
      <c r="C2259" t="s">
        <v>40</v>
      </c>
      <c r="D2259">
        <v>4.549944</v>
      </c>
      <c r="E2259">
        <v>0.68652019999999903</v>
      </c>
      <c r="F2259" t="s">
        <v>57</v>
      </c>
      <c r="G2259">
        <v>-169.32060000000001</v>
      </c>
      <c r="H2259">
        <v>8.4661899999999992</v>
      </c>
      <c r="I2259">
        <v>186.4024</v>
      </c>
      <c r="J2259">
        <v>-195.1961</v>
      </c>
      <c r="K2259">
        <v>1.1090260000000001</v>
      </c>
      <c r="L2259">
        <v>360.1816</v>
      </c>
      <c r="M2259">
        <v>0.77312199999999998</v>
      </c>
      <c r="N2259">
        <v>0</v>
      </c>
      <c r="O2259">
        <v>-0.6341097</v>
      </c>
      <c r="P2259">
        <v>0.57131519999999902</v>
      </c>
      <c r="Q2259">
        <v>3.2422340000000001E-2</v>
      </c>
      <c r="R2259">
        <v>-0.8200904</v>
      </c>
      <c r="S2259">
        <v>0.494751</v>
      </c>
      <c r="T2259">
        <v>0.14023179999999999</v>
      </c>
      <c r="U2259">
        <v>-3.3137509999999999</v>
      </c>
      <c r="V2259">
        <v>0.27197090000000002</v>
      </c>
      <c r="W2259">
        <v>4.4418329999999999E-2</v>
      </c>
      <c r="X2259">
        <v>0.96127980000000002</v>
      </c>
      <c r="Y2259">
        <v>0.67097869999999904</v>
      </c>
      <c r="Z2259">
        <v>-1.4065609999999999E-2</v>
      </c>
      <c r="AA2259">
        <v>0.74134319999999998</v>
      </c>
      <c r="AB2259">
        <v>11</v>
      </c>
      <c r="AC2259">
        <v>25.875499999999899</v>
      </c>
      <c r="AD2259">
        <v>7.3571639999999903</v>
      </c>
      <c r="AE2259">
        <v>-173.7792</v>
      </c>
      <c r="AF2259">
        <v>117.749190592787</v>
      </c>
      <c r="AG2259">
        <v>7.3571639999999903</v>
      </c>
      <c r="AH2259">
        <v>129.98426180177901</v>
      </c>
      <c r="AI2259">
        <v>87.597962094808295</v>
      </c>
      <c r="AJ2259">
        <v>47.827429234161002</v>
      </c>
      <c r="AK2259">
        <v>175.54175589737201</v>
      </c>
      <c r="AL2259">
        <v>87.454179559740496</v>
      </c>
      <c r="AM2259">
        <v>74.202420713561196</v>
      </c>
      <c r="AN2259">
        <v>1.0000000061874099</v>
      </c>
    </row>
    <row r="2260" spans="1:40" x14ac:dyDescent="0.25">
      <c r="A2260" t="str">
        <f>"20190312150706831"</f>
        <v>20190312150706831</v>
      </c>
      <c r="B2260" t="str">
        <f>"1552374426822510"</f>
        <v>1552374426822510</v>
      </c>
      <c r="C2260" t="s">
        <v>40</v>
      </c>
      <c r="D2260">
        <v>4.5713439999999999</v>
      </c>
      <c r="E2260">
        <v>0.68628599999999995</v>
      </c>
      <c r="F2260" t="s">
        <v>57</v>
      </c>
      <c r="G2260">
        <v>-169.31309999999999</v>
      </c>
      <c r="H2260">
        <v>8.1199949999999994</v>
      </c>
      <c r="I2260">
        <v>186.4025</v>
      </c>
      <c r="J2260">
        <v>-195.14879999999999</v>
      </c>
      <c r="K2260">
        <v>1.1090370000000001</v>
      </c>
      <c r="L2260">
        <v>360.13740000000001</v>
      </c>
      <c r="M2260">
        <v>0.77083590000000002</v>
      </c>
      <c r="N2260">
        <v>0</v>
      </c>
      <c r="O2260">
        <v>-0.63688699999999998</v>
      </c>
      <c r="P2260">
        <v>0.56950029999999996</v>
      </c>
      <c r="Q2260">
        <v>3.3352699999999999E-2</v>
      </c>
      <c r="R2260">
        <v>-0.82131430000000005</v>
      </c>
      <c r="S2260">
        <v>0.49291990000000002</v>
      </c>
      <c r="T2260">
        <v>0.13351869999999999</v>
      </c>
      <c r="U2260">
        <v>-3.3094790000000001</v>
      </c>
      <c r="V2260">
        <v>0.27061229999999997</v>
      </c>
      <c r="W2260">
        <v>4.5360079999999997E-2</v>
      </c>
      <c r="X2260">
        <v>0.96161920000000001</v>
      </c>
      <c r="Y2260">
        <v>0.66858019999999996</v>
      </c>
      <c r="Z2260">
        <v>-1.361384E-2</v>
      </c>
      <c r="AA2260">
        <v>0.74351540000000005</v>
      </c>
      <c r="AB2260">
        <v>11</v>
      </c>
      <c r="AC2260">
        <v>25.835699999999999</v>
      </c>
      <c r="AD2260">
        <v>7.0109579999999996</v>
      </c>
      <c r="AE2260">
        <v>-173.73490000000001</v>
      </c>
      <c r="AF2260">
        <v>117.290786720434</v>
      </c>
      <c r="AG2260">
        <v>7.0109579999999996</v>
      </c>
      <c r="AH2260">
        <v>130.369082227772</v>
      </c>
      <c r="AI2260">
        <v>87.710590737388301</v>
      </c>
      <c r="AJ2260">
        <v>48.022838403871702</v>
      </c>
      <c r="AK2260">
        <v>175.50606765148501</v>
      </c>
      <c r="AL2260">
        <v>87.400166846708302</v>
      </c>
      <c r="AM2260">
        <v>74.282699303778799</v>
      </c>
      <c r="AN2260">
        <v>1.00000001978876</v>
      </c>
    </row>
    <row r="2261" spans="1:40" x14ac:dyDescent="0.25">
      <c r="A2261" t="str">
        <f>"20190312150706843"</f>
        <v>20190312150706843</v>
      </c>
      <c r="B2261" t="str">
        <f>"1552374426832271"</f>
        <v>1552374426832271</v>
      </c>
      <c r="C2261" t="s">
        <v>40</v>
      </c>
      <c r="D2261">
        <v>4.3637389999999998</v>
      </c>
      <c r="E2261">
        <v>0.68628599999999995</v>
      </c>
      <c r="F2261" t="s">
        <v>57</v>
      </c>
      <c r="G2261">
        <v>-169.40289999999999</v>
      </c>
      <c r="H2261">
        <v>8.3359550000000002</v>
      </c>
      <c r="I2261">
        <v>185.2852</v>
      </c>
      <c r="J2261">
        <v>-195.10140000000001</v>
      </c>
      <c r="K2261">
        <v>1.109049</v>
      </c>
      <c r="L2261">
        <v>360.09289999999999</v>
      </c>
      <c r="M2261">
        <v>0.76853309999999997</v>
      </c>
      <c r="N2261">
        <v>0</v>
      </c>
      <c r="O2261">
        <v>-0.6396638</v>
      </c>
      <c r="P2261">
        <v>0.56779559999999996</v>
      </c>
      <c r="Q2261">
        <v>3.4398289999999998E-2</v>
      </c>
      <c r="R2261">
        <v>-0.82245089999999998</v>
      </c>
      <c r="S2261">
        <v>0.48725889999999999</v>
      </c>
      <c r="T2261">
        <v>0.13677529999999999</v>
      </c>
      <c r="U2261">
        <v>-3.3092039999999998</v>
      </c>
      <c r="V2261">
        <v>0.26910719999999999</v>
      </c>
      <c r="W2261">
        <v>4.641754E-2</v>
      </c>
      <c r="X2261">
        <v>0.96199100000000004</v>
      </c>
      <c r="Y2261">
        <v>0.66712950000000004</v>
      </c>
      <c r="Z2261">
        <v>-1.413474E-2</v>
      </c>
      <c r="AA2261">
        <v>0.74480780000000002</v>
      </c>
      <c r="AB2261">
        <v>11</v>
      </c>
      <c r="AC2261">
        <v>25.698499999999999</v>
      </c>
      <c r="AD2261">
        <v>7.2269059999999996</v>
      </c>
      <c r="AE2261">
        <v>-174.80769999999899</v>
      </c>
      <c r="AF2261">
        <v>117.72118665944301</v>
      </c>
      <c r="AG2261">
        <v>7.2269059999999996</v>
      </c>
      <c r="AH2261">
        <v>131.36084767963101</v>
      </c>
      <c r="AI2261">
        <v>87.653856153991399</v>
      </c>
      <c r="AJ2261">
        <v>48.1343700791301</v>
      </c>
      <c r="AK2261">
        <v>176.53945242339299</v>
      </c>
      <c r="AL2261">
        <v>87.339514846877904</v>
      </c>
      <c r="AM2261">
        <v>74.371577335736006</v>
      </c>
      <c r="AN2261">
        <v>0.99999997859624501</v>
      </c>
    </row>
    <row r="2262" spans="1:40" x14ac:dyDescent="0.25">
      <c r="A2262" t="str">
        <f>"20190312150706855"</f>
        <v>20190312150706855</v>
      </c>
      <c r="B2262" t="str">
        <f>"1552374426852766"</f>
        <v>1552374426852766</v>
      </c>
      <c r="C2262" t="s">
        <v>40</v>
      </c>
      <c r="D2262">
        <v>4.4677230000000003</v>
      </c>
      <c r="E2262">
        <v>0.67894189999999999</v>
      </c>
      <c r="F2262" t="s">
        <v>57</v>
      </c>
      <c r="G2262">
        <v>-168.42339999999999</v>
      </c>
      <c r="H2262">
        <v>8.9141649999999899</v>
      </c>
      <c r="I2262">
        <v>176.30619999999999</v>
      </c>
      <c r="J2262">
        <v>-195.06030000000001</v>
      </c>
      <c r="K2262">
        <v>1.1090610000000001</v>
      </c>
      <c r="L2262">
        <v>360.05380000000002</v>
      </c>
      <c r="M2262">
        <v>0.76651199999999997</v>
      </c>
      <c r="N2262">
        <v>0</v>
      </c>
      <c r="O2262">
        <v>-0.64208449999999995</v>
      </c>
      <c r="P2262">
        <v>0.56622399999999995</v>
      </c>
      <c r="Q2262">
        <v>3.598063E-2</v>
      </c>
      <c r="R2262">
        <v>-0.82346609999999998</v>
      </c>
      <c r="S2262">
        <v>0.48048400000000002</v>
      </c>
      <c r="T2262">
        <v>0.14057459999999999</v>
      </c>
      <c r="U2262">
        <v>-3.3100890000000001</v>
      </c>
      <c r="V2262">
        <v>0.26786359999999998</v>
      </c>
      <c r="W2262">
        <v>4.8009349999999999E-2</v>
      </c>
      <c r="X2262">
        <v>0.96225989999999995</v>
      </c>
      <c r="Y2262">
        <v>0.66629709999999998</v>
      </c>
      <c r="Z2262">
        <v>-1.468206E-2</v>
      </c>
      <c r="AA2262">
        <v>0.74554180000000003</v>
      </c>
      <c r="AB2262">
        <v>11</v>
      </c>
      <c r="AC2262">
        <v>26.636900000000001</v>
      </c>
      <c r="AD2262">
        <v>7.8051039999999903</v>
      </c>
      <c r="AE2262">
        <v>-183.74760000000001</v>
      </c>
      <c r="AF2262">
        <v>123.53485290904101</v>
      </c>
      <c r="AG2262">
        <v>7.8051039999999903</v>
      </c>
      <c r="AH2262">
        <v>138.167753027857</v>
      </c>
      <c r="AI2262">
        <v>87.588574146616907</v>
      </c>
      <c r="AJ2262">
        <v>48.200317102915598</v>
      </c>
      <c r="AK2262">
        <v>185.50500669382501</v>
      </c>
      <c r="AL2262">
        <v>87.248208968525006</v>
      </c>
      <c r="AM2262">
        <v>74.444430669355</v>
      </c>
      <c r="AN2262">
        <v>0.99999996052019502</v>
      </c>
    </row>
    <row r="2263" spans="1:40" x14ac:dyDescent="0.25">
      <c r="A2263" t="str">
        <f>"20190312150706873"</f>
        <v>20190312150706873</v>
      </c>
      <c r="B2263" t="str">
        <f>"1552374426862527"</f>
        <v>1552374426862527</v>
      </c>
      <c r="C2263" t="s">
        <v>40</v>
      </c>
      <c r="D2263">
        <v>4.3896649999999999</v>
      </c>
      <c r="E2263">
        <v>0.67515249999999905</v>
      </c>
      <c r="F2263" t="s">
        <v>42</v>
      </c>
      <c r="G2263">
        <v>-192.20769999999999</v>
      </c>
      <c r="H2263" s="1">
        <v>-1.601268E-6</v>
      </c>
      <c r="I2263">
        <v>341.95240000000001</v>
      </c>
      <c r="J2263">
        <v>-194.99940000000001</v>
      </c>
      <c r="K2263">
        <v>1.1090819999999999</v>
      </c>
      <c r="L2263">
        <v>359.99560000000002</v>
      </c>
      <c r="M2263">
        <v>0.76349840000000002</v>
      </c>
      <c r="N2263">
        <v>0</v>
      </c>
      <c r="O2263">
        <v>-0.64566499999999905</v>
      </c>
      <c r="P2263">
        <v>0.56477469999999996</v>
      </c>
      <c r="Q2263">
        <v>3.7831839999999999E-2</v>
      </c>
      <c r="R2263">
        <v>-0.82437739999999904</v>
      </c>
      <c r="S2263">
        <v>0.51924129999999902</v>
      </c>
      <c r="T2263">
        <v>-0.20188030000000001</v>
      </c>
      <c r="U2263">
        <v>-3.2949519999999999</v>
      </c>
      <c r="V2263">
        <v>0.26499329999999999</v>
      </c>
      <c r="W2263">
        <v>4.9883459999999998E-2</v>
      </c>
      <c r="X2263">
        <v>0.96295909999999996</v>
      </c>
      <c r="Y2263">
        <v>0.65357540000000003</v>
      </c>
      <c r="Z2263">
        <v>2.1861100000000001E-2</v>
      </c>
      <c r="AA2263">
        <v>0.75654569999999999</v>
      </c>
      <c r="AB2263">
        <v>11</v>
      </c>
      <c r="AC2263">
        <v>2.7917000000000201</v>
      </c>
      <c r="AD2263">
        <v>-1.1090836012680001</v>
      </c>
      <c r="AE2263">
        <v>-18.043199999999999</v>
      </c>
      <c r="AF2263">
        <v>11.9305466249658</v>
      </c>
      <c r="AG2263">
        <v>-1.1090836012680001</v>
      </c>
      <c r="AH2263">
        <v>13.7319383069601</v>
      </c>
      <c r="AI2263">
        <v>93.488980902883497</v>
      </c>
      <c r="AJ2263">
        <v>49.015321096567703</v>
      </c>
      <c r="AK2263">
        <v>18.224547700045701</v>
      </c>
      <c r="AL2263">
        <v>87.140701663075504</v>
      </c>
      <c r="AM2263">
        <v>74.613817303495296</v>
      </c>
      <c r="AN2263">
        <v>1.00000001844963</v>
      </c>
    </row>
    <row r="2264" spans="1:40" x14ac:dyDescent="0.25">
      <c r="A2264" t="str">
        <f>"20190312150706885"</f>
        <v>20190312150706885</v>
      </c>
      <c r="B2264" t="str">
        <f>"1552374426882047"</f>
        <v>1552374426882047</v>
      </c>
      <c r="C2264" t="s">
        <v>40</v>
      </c>
      <c r="D2264">
        <v>4.4946140000000003</v>
      </c>
      <c r="E2264">
        <v>0.68404339999999997</v>
      </c>
      <c r="F2264" t="s">
        <v>57</v>
      </c>
      <c r="G2264">
        <v>-168.4143</v>
      </c>
      <c r="H2264">
        <v>4.5762640000000001</v>
      </c>
      <c r="I2264">
        <v>199.46350000000001</v>
      </c>
      <c r="J2264">
        <v>-194.9545</v>
      </c>
      <c r="K2264">
        <v>1.109089</v>
      </c>
      <c r="L2264">
        <v>359.95240000000001</v>
      </c>
      <c r="M2264">
        <v>0.76125679999999996</v>
      </c>
      <c r="N2264">
        <v>0</v>
      </c>
      <c r="O2264">
        <v>-0.64830669999999901</v>
      </c>
      <c r="P2264">
        <v>0.56309189999999998</v>
      </c>
      <c r="Q2264">
        <v>3.862612E-2</v>
      </c>
      <c r="R2264">
        <v>-0.82549150000000004</v>
      </c>
      <c r="S2264">
        <v>0.54077149999999996</v>
      </c>
      <c r="T2264">
        <v>7.0527199999999998E-2</v>
      </c>
      <c r="U2264">
        <v>-3.2654109999999998</v>
      </c>
      <c r="V2264">
        <v>0.26359490000000002</v>
      </c>
      <c r="W2264">
        <v>5.0688780000000003E-2</v>
      </c>
      <c r="X2264">
        <v>0.96330079999999996</v>
      </c>
      <c r="Y2264">
        <v>0.64514769999999999</v>
      </c>
      <c r="Z2264">
        <v>-7.8813540000000001E-3</v>
      </c>
      <c r="AA2264">
        <v>0.76401719999999995</v>
      </c>
      <c r="AB2264">
        <v>11</v>
      </c>
      <c r="AC2264">
        <v>26.540199999999999</v>
      </c>
      <c r="AD2264">
        <v>3.4671750000000001</v>
      </c>
      <c r="AE2264">
        <v>-160.4889</v>
      </c>
      <c r="AF2264">
        <v>104.9291974089</v>
      </c>
      <c r="AG2264">
        <v>3.4671750000000001</v>
      </c>
      <c r="AH2264">
        <v>124.205098685118</v>
      </c>
      <c r="AI2264">
        <v>88.778408105379796</v>
      </c>
      <c r="AJ2264">
        <v>49.808679758086498</v>
      </c>
      <c r="AK2264">
        <v>162.631682985624</v>
      </c>
      <c r="AL2264">
        <v>87.094501802177504</v>
      </c>
      <c r="AM2264">
        <v>74.696368730836994</v>
      </c>
      <c r="AN2264">
        <v>1.00000002750226</v>
      </c>
    </row>
    <row r="2265" spans="1:40" x14ac:dyDescent="0.25">
      <c r="A2265" t="str">
        <f>"20190312150706896"</f>
        <v>20190312150706896</v>
      </c>
      <c r="B2265" t="str">
        <f>"1552374426892783"</f>
        <v>1552374426892783</v>
      </c>
      <c r="C2265" t="s">
        <v>40</v>
      </c>
      <c r="D2265">
        <v>4.7126729999999997</v>
      </c>
      <c r="E2265">
        <v>0.68441589999999997</v>
      </c>
      <c r="F2265" t="s">
        <v>57</v>
      </c>
      <c r="G2265">
        <v>-168.42349999999999</v>
      </c>
      <c r="H2265">
        <v>8.7478490000000004</v>
      </c>
      <c r="I2265">
        <v>175.88040000000001</v>
      </c>
      <c r="J2265">
        <v>-194.916</v>
      </c>
      <c r="K2265">
        <v>1.1090960000000001</v>
      </c>
      <c r="L2265">
        <v>359.91500000000002</v>
      </c>
      <c r="M2265">
        <v>0.75931919999999897</v>
      </c>
      <c r="N2265">
        <v>0</v>
      </c>
      <c r="O2265">
        <v>-0.65057489999999996</v>
      </c>
      <c r="P2265">
        <v>0.56183349999999999</v>
      </c>
      <c r="Q2265">
        <v>3.8701140000000002E-2</v>
      </c>
      <c r="R2265">
        <v>-0.82634479999999999</v>
      </c>
      <c r="S2265">
        <v>0.4760742</v>
      </c>
      <c r="T2265">
        <v>0.13707139999999901</v>
      </c>
      <c r="U2265">
        <v>-3.3030089999999999</v>
      </c>
      <c r="V2265">
        <v>0.26218469999999999</v>
      </c>
      <c r="W2265">
        <v>5.077545E-2</v>
      </c>
      <c r="X2265">
        <v>0.96368100000000001</v>
      </c>
      <c r="Y2265">
        <v>0.65872379999999997</v>
      </c>
      <c r="Z2265">
        <v>-1.4990689999999999E-2</v>
      </c>
      <c r="AA2265">
        <v>0.75223549999999995</v>
      </c>
      <c r="AB2265">
        <v>11</v>
      </c>
      <c r="AC2265">
        <v>26.4925</v>
      </c>
      <c r="AD2265">
        <v>7.6387529999999897</v>
      </c>
      <c r="AE2265">
        <v>-184.03460000000001</v>
      </c>
      <c r="AF2265">
        <v>122.310640192874</v>
      </c>
      <c r="AG2265">
        <v>7.6387529999999897</v>
      </c>
      <c r="AH2265">
        <v>139.62194510375701</v>
      </c>
      <c r="AI2265">
        <v>87.643436485818697</v>
      </c>
      <c r="AJ2265">
        <v>48.781218488194597</v>
      </c>
      <c r="AK2265">
        <v>185.77548494444099</v>
      </c>
      <c r="AL2265">
        <v>87.089529542298095</v>
      </c>
      <c r="AM2265">
        <v>74.780159794972704</v>
      </c>
      <c r="AN2265">
        <v>1.00000001649889</v>
      </c>
    </row>
    <row r="2266" spans="1:40" x14ac:dyDescent="0.25">
      <c r="A2266" t="str">
        <f>"20190312150706908"</f>
        <v>20190312150706908</v>
      </c>
      <c r="B2266" t="str">
        <f>"1552374426902542"</f>
        <v>1552374426902542</v>
      </c>
      <c r="C2266" t="s">
        <v>40</v>
      </c>
      <c r="D2266">
        <v>4.6433249999999999</v>
      </c>
      <c r="E2266">
        <v>0.68422510000000003</v>
      </c>
      <c r="F2266" t="s">
        <v>57</v>
      </c>
      <c r="G2266">
        <v>-168.65639999999999</v>
      </c>
      <c r="H2266">
        <v>8.9919779999999996</v>
      </c>
      <c r="I2266">
        <v>174.71010000000001</v>
      </c>
      <c r="J2266">
        <v>-194.88040000000001</v>
      </c>
      <c r="K2266">
        <v>1.1091</v>
      </c>
      <c r="L2266">
        <v>359.88040000000001</v>
      </c>
      <c r="M2266">
        <v>0.75752059999999999</v>
      </c>
      <c r="N2266">
        <v>0</v>
      </c>
      <c r="O2266">
        <v>-0.65266820000000003</v>
      </c>
      <c r="P2266">
        <v>0.56050659999999997</v>
      </c>
      <c r="Q2266">
        <v>3.8746629999999997E-2</v>
      </c>
      <c r="R2266">
        <v>-0.82724310000000001</v>
      </c>
      <c r="S2266">
        <v>0.46864319999999998</v>
      </c>
      <c r="T2266">
        <v>0.1406828</v>
      </c>
      <c r="U2266">
        <v>-3.3052670000000002</v>
      </c>
      <c r="V2266">
        <v>0.26106859999999998</v>
      </c>
      <c r="W2266">
        <v>5.0830210000000001E-2</v>
      </c>
      <c r="X2266">
        <v>0.96398099999999998</v>
      </c>
      <c r="Y2266">
        <v>0.65837380000000001</v>
      </c>
      <c r="Z2266">
        <v>-1.5504789999999999E-2</v>
      </c>
      <c r="AA2266">
        <v>0.75253149999999902</v>
      </c>
      <c r="AB2266">
        <v>11</v>
      </c>
      <c r="AC2266">
        <v>26.224</v>
      </c>
      <c r="AD2266">
        <v>7.8828779999999998</v>
      </c>
      <c r="AE2266">
        <v>-185.1703</v>
      </c>
      <c r="AF2266">
        <v>122.947812108379</v>
      </c>
      <c r="AG2266">
        <v>7.8828779999999998</v>
      </c>
      <c r="AH2266">
        <v>140.48353841064201</v>
      </c>
      <c r="AI2266">
        <v>87.582107507692299</v>
      </c>
      <c r="AJ2266">
        <v>48.808366110508103</v>
      </c>
      <c r="AK2266">
        <v>186.852692868405</v>
      </c>
      <c r="AL2266">
        <v>87.086387763925501</v>
      </c>
      <c r="AM2266">
        <v>74.846462857337698</v>
      </c>
      <c r="AN2266">
        <v>0.99999994625779998</v>
      </c>
    </row>
    <row r="2267" spans="1:40" x14ac:dyDescent="0.25">
      <c r="A2267" t="str">
        <f>"20190312150706919"</f>
        <v>20190312150706919</v>
      </c>
      <c r="B2267" t="str">
        <f>"1552374426912304"</f>
        <v>1552374426912304</v>
      </c>
      <c r="C2267" t="s">
        <v>40</v>
      </c>
      <c r="D2267">
        <v>4.4349980000000002</v>
      </c>
      <c r="E2267">
        <v>0.6831429</v>
      </c>
      <c r="F2267" t="s">
        <v>57</v>
      </c>
      <c r="G2267">
        <v>-168.85390000000001</v>
      </c>
      <c r="H2267">
        <v>8.784891</v>
      </c>
      <c r="I2267">
        <v>174.71029999999999</v>
      </c>
      <c r="J2267">
        <v>-194.8372</v>
      </c>
      <c r="K2267">
        <v>1.109105</v>
      </c>
      <c r="L2267">
        <v>359.83789999999999</v>
      </c>
      <c r="M2267">
        <v>0.75531499999999996</v>
      </c>
      <c r="N2267">
        <v>0</v>
      </c>
      <c r="O2267">
        <v>-0.65521940000000001</v>
      </c>
      <c r="P2267">
        <v>0.55868890000000004</v>
      </c>
      <c r="Q2267">
        <v>3.8618020000000003E-2</v>
      </c>
      <c r="R2267">
        <v>-0.82847769999999998</v>
      </c>
      <c r="S2267">
        <v>0.46458440000000001</v>
      </c>
      <c r="T2267">
        <v>0.13701640000000001</v>
      </c>
      <c r="U2267">
        <v>-3.3053590000000002</v>
      </c>
      <c r="V2267">
        <v>0.25993650000000001</v>
      </c>
      <c r="W2267">
        <v>5.0711159999999998E-2</v>
      </c>
      <c r="X2267">
        <v>0.96429319999999996</v>
      </c>
      <c r="Y2267">
        <v>0.65674860000000002</v>
      </c>
      <c r="Z2267">
        <v>-1.52801E-2</v>
      </c>
      <c r="AA2267">
        <v>0.75395469999999998</v>
      </c>
      <c r="AB2267">
        <v>11</v>
      </c>
      <c r="AC2267">
        <v>25.9832999999999</v>
      </c>
      <c r="AD2267">
        <v>7.6757860000000004</v>
      </c>
      <c r="AE2267">
        <v>-185.1276</v>
      </c>
      <c r="AF2267">
        <v>122.60965445149399</v>
      </c>
      <c r="AG2267">
        <v>7.6757860000000004</v>
      </c>
      <c r="AH2267">
        <v>140.70072755232599</v>
      </c>
      <c r="AI2267">
        <v>87.644814280176504</v>
      </c>
      <c r="AJ2267">
        <v>48.930402269232303</v>
      </c>
      <c r="AK2267">
        <v>186.78527722812299</v>
      </c>
      <c r="AL2267">
        <v>87.093217764296895</v>
      </c>
      <c r="AM2267">
        <v>74.913834662629895</v>
      </c>
      <c r="AN2267">
        <v>0.99999999067351697</v>
      </c>
    </row>
    <row r="2268" spans="1:40" x14ac:dyDescent="0.25">
      <c r="A2268" t="str">
        <f>"20190312150706929"</f>
        <v>20190312150706929</v>
      </c>
      <c r="B2268" t="str">
        <f>"1552374426922063"</f>
        <v>1552374426922063</v>
      </c>
      <c r="C2268" t="s">
        <v>40</v>
      </c>
      <c r="D2268">
        <v>4.6609179999999997</v>
      </c>
      <c r="E2268">
        <v>0.68251649999999997</v>
      </c>
      <c r="F2268" t="s">
        <v>57</v>
      </c>
      <c r="G2268">
        <v>-168.79079999999999</v>
      </c>
      <c r="H2268">
        <v>8.7545750000000009</v>
      </c>
      <c r="I2268">
        <v>174.71019999999999</v>
      </c>
      <c r="J2268">
        <v>-194.80179999999999</v>
      </c>
      <c r="K2268">
        <v>1.1091089999999999</v>
      </c>
      <c r="L2268">
        <v>359.803</v>
      </c>
      <c r="M2268">
        <v>0.75349940000000004</v>
      </c>
      <c r="N2268">
        <v>0</v>
      </c>
      <c r="O2268">
        <v>-0.65730649999999902</v>
      </c>
      <c r="P2268">
        <v>0.55726319999999996</v>
      </c>
      <c r="Q2268">
        <v>3.7967430000000003E-2</v>
      </c>
      <c r="R2268">
        <v>-0.82946769999999903</v>
      </c>
      <c r="S2268">
        <v>0.46450809999999998</v>
      </c>
      <c r="T2268">
        <v>0.136349</v>
      </c>
      <c r="U2268">
        <v>-3.3015439999999998</v>
      </c>
      <c r="V2268">
        <v>0.25894590000000001</v>
      </c>
      <c r="W2268">
        <v>5.0068719999999997E-2</v>
      </c>
      <c r="X2268">
        <v>0.96459320000000004</v>
      </c>
      <c r="Y2268">
        <v>0.654559</v>
      </c>
      <c r="Z2268">
        <v>-1.538697E-2</v>
      </c>
      <c r="AA2268">
        <v>0.75585429999999998</v>
      </c>
      <c r="AB2268">
        <v>11</v>
      </c>
      <c r="AC2268">
        <v>26.010999999999999</v>
      </c>
      <c r="AD2268">
        <v>7.6454659999999999</v>
      </c>
      <c r="AE2268">
        <v>-185.09280000000001</v>
      </c>
      <c r="AF2268">
        <v>122.177125440048</v>
      </c>
      <c r="AG2268">
        <v>7.6454659999999999</v>
      </c>
      <c r="AH2268">
        <v>141.03919030336101</v>
      </c>
      <c r="AI2268">
        <v>87.653753123009906</v>
      </c>
      <c r="AJ2268">
        <v>49.098805599198499</v>
      </c>
      <c r="AK2268">
        <v>186.75587362270099</v>
      </c>
      <c r="AL2268">
        <v>87.130073566241904</v>
      </c>
      <c r="AM2268">
        <v>74.973183939997796</v>
      </c>
      <c r="AN2268">
        <v>0.999999948667743</v>
      </c>
    </row>
    <row r="2269" spans="1:40" x14ac:dyDescent="0.25">
      <c r="A2269" t="str">
        <f>"20190312150706941"</f>
        <v>20190312150706941</v>
      </c>
      <c r="B2269" t="str">
        <f>"1552374426932799"</f>
        <v>1552374426932799</v>
      </c>
      <c r="C2269" t="s">
        <v>40</v>
      </c>
      <c r="D2269">
        <v>4.4318720000000003</v>
      </c>
      <c r="E2269">
        <v>0.68189789999999995</v>
      </c>
      <c r="F2269" t="s">
        <v>57</v>
      </c>
      <c r="G2269">
        <v>-168.8374</v>
      </c>
      <c r="H2269">
        <v>8.6804299999999994</v>
      </c>
      <c r="I2269">
        <v>174.71029999999999</v>
      </c>
      <c r="J2269">
        <v>-194.7611</v>
      </c>
      <c r="K2269">
        <v>1.109111</v>
      </c>
      <c r="L2269">
        <v>359.76249999999999</v>
      </c>
      <c r="M2269">
        <v>0.75139460000000002</v>
      </c>
      <c r="N2269">
        <v>0</v>
      </c>
      <c r="O2269">
        <v>-0.65971179999999996</v>
      </c>
      <c r="P2269">
        <v>0.55532599999999999</v>
      </c>
      <c r="Q2269">
        <v>3.7219469999999998E-2</v>
      </c>
      <c r="R2269">
        <v>-0.83079979999999998</v>
      </c>
      <c r="S2269">
        <v>0.4628601</v>
      </c>
      <c r="T2269">
        <v>0.13497219999999999</v>
      </c>
      <c r="U2269">
        <v>-3.2995909999999999</v>
      </c>
      <c r="V2269">
        <v>0.2581348</v>
      </c>
      <c r="W2269">
        <v>4.9327679999999999E-2</v>
      </c>
      <c r="X2269">
        <v>0.96484879999999995</v>
      </c>
      <c r="Y2269">
        <v>0.65245159999999902</v>
      </c>
      <c r="Z2269">
        <v>-1.541899E-2</v>
      </c>
      <c r="AA2269">
        <v>0.7576735</v>
      </c>
      <c r="AB2269">
        <v>11</v>
      </c>
      <c r="AC2269">
        <v>25.9237</v>
      </c>
      <c r="AD2269">
        <v>7.5713189999999901</v>
      </c>
      <c r="AE2269">
        <v>-185.0522</v>
      </c>
      <c r="AF2269">
        <v>121.756528654896</v>
      </c>
      <c r="AG2269">
        <v>7.5713189999999901</v>
      </c>
      <c r="AH2269">
        <v>141.34119944596901</v>
      </c>
      <c r="AI2269">
        <v>87.675905009505996</v>
      </c>
      <c r="AJ2269">
        <v>49.257175646054598</v>
      </c>
      <c r="AK2269">
        <v>186.70648569965499</v>
      </c>
      <c r="AL2269">
        <v>87.172584713377901</v>
      </c>
      <c r="AM2269">
        <v>75.021923709648505</v>
      </c>
      <c r="AN2269">
        <v>1.0000000009233301</v>
      </c>
    </row>
    <row r="2270" spans="1:40" x14ac:dyDescent="0.25">
      <c r="A2270" t="str">
        <f>"20190312150706952"</f>
        <v>20190312150706952</v>
      </c>
      <c r="B2270" t="str">
        <f>"1552374426942559"</f>
        <v>1552374426942559</v>
      </c>
      <c r="C2270" t="s">
        <v>40</v>
      </c>
      <c r="D2270">
        <v>4.654687</v>
      </c>
      <c r="E2270">
        <v>0.68161019999999894</v>
      </c>
      <c r="F2270" t="s">
        <v>57</v>
      </c>
      <c r="G2270">
        <v>-168.99629999999999</v>
      </c>
      <c r="H2270">
        <v>8.4796770000000006</v>
      </c>
      <c r="I2270">
        <v>174.71039999999999</v>
      </c>
      <c r="J2270">
        <v>-194.7252</v>
      </c>
      <c r="K2270">
        <v>1.1091120000000001</v>
      </c>
      <c r="L2270">
        <v>359.72660000000002</v>
      </c>
      <c r="M2270">
        <v>0.74952719999999995</v>
      </c>
      <c r="N2270">
        <v>0</v>
      </c>
      <c r="O2270">
        <v>-0.66183289999999995</v>
      </c>
      <c r="P2270">
        <v>0.55329130000000004</v>
      </c>
      <c r="Q2270">
        <v>3.6673200000000003E-2</v>
      </c>
      <c r="R2270">
        <v>-0.83218040000000004</v>
      </c>
      <c r="S2270">
        <v>0.459198</v>
      </c>
      <c r="T2270">
        <v>0.13136389999999901</v>
      </c>
      <c r="U2270">
        <v>-3.2981259999999999</v>
      </c>
      <c r="V2270">
        <v>0.25778420000000002</v>
      </c>
      <c r="W2270">
        <v>4.878474E-2</v>
      </c>
      <c r="X2270">
        <v>0.96497010000000005</v>
      </c>
      <c r="Y2270">
        <v>0.65109269999999997</v>
      </c>
      <c r="Z2270">
        <v>-1.515711E-2</v>
      </c>
      <c r="AA2270">
        <v>0.75884689999999999</v>
      </c>
      <c r="AB2270">
        <v>11</v>
      </c>
      <c r="AC2270">
        <v>25.728899999999999</v>
      </c>
      <c r="AD2270">
        <v>7.370565</v>
      </c>
      <c r="AE2270">
        <v>-185.0162</v>
      </c>
      <c r="AF2270">
        <v>121.468652225577</v>
      </c>
      <c r="AG2270">
        <v>7.370565</v>
      </c>
      <c r="AH2270">
        <v>141.527169971505</v>
      </c>
      <c r="AI2270">
        <v>87.736897953464194</v>
      </c>
      <c r="AJ2270">
        <v>49.3614674558643</v>
      </c>
      <c r="AK2270">
        <v>186.651810979858</v>
      </c>
      <c r="AL2270">
        <v>87.203730294438699</v>
      </c>
      <c r="AM2270">
        <v>75.043150612820895</v>
      </c>
      <c r="AN2270">
        <v>0.99999996926025803</v>
      </c>
    </row>
    <row r="2271" spans="1:40" x14ac:dyDescent="0.25">
      <c r="A2271" t="str">
        <f>"20190312150706963"</f>
        <v>20190312150706963</v>
      </c>
      <c r="B2271" t="str">
        <f>"1552374426952320"</f>
        <v>1552374426952320</v>
      </c>
      <c r="C2271" t="s">
        <v>40</v>
      </c>
      <c r="D2271">
        <v>4.7033610000000001</v>
      </c>
      <c r="E2271">
        <v>0.68127930000000003</v>
      </c>
      <c r="F2271" t="s">
        <v>57</v>
      </c>
      <c r="G2271">
        <v>-169.3099</v>
      </c>
      <c r="H2271">
        <v>8.4359710000000003</v>
      </c>
      <c r="I2271">
        <v>174.7105</v>
      </c>
      <c r="J2271">
        <v>-194.68879999999999</v>
      </c>
      <c r="K2271">
        <v>1.1091139999999999</v>
      </c>
      <c r="L2271">
        <v>359.69</v>
      </c>
      <c r="M2271">
        <v>0.74761869999999997</v>
      </c>
      <c r="N2271">
        <v>0</v>
      </c>
      <c r="O2271">
        <v>-0.66398800000000002</v>
      </c>
      <c r="P2271">
        <v>0.55129209999999995</v>
      </c>
      <c r="Q2271">
        <v>3.6318910000000003E-2</v>
      </c>
      <c r="R2271">
        <v>-0.83352150000000003</v>
      </c>
      <c r="S2271">
        <v>0.45303339999999998</v>
      </c>
      <c r="T2271">
        <v>0.1306031</v>
      </c>
      <c r="U2271">
        <v>-3.2979430000000001</v>
      </c>
      <c r="V2271">
        <v>0.25733200000000001</v>
      </c>
      <c r="W2271">
        <v>4.8434199999999997E-2</v>
      </c>
      <c r="X2271">
        <v>0.96510850000000004</v>
      </c>
      <c r="Y2271">
        <v>0.65029510000000001</v>
      </c>
      <c r="Z2271">
        <v>-1.520375E-2</v>
      </c>
      <c r="AA2271">
        <v>0.75952949999999997</v>
      </c>
      <c r="AB2271">
        <v>11</v>
      </c>
      <c r="AC2271">
        <v>25.378899999999899</v>
      </c>
      <c r="AD2271">
        <v>7.3268570000000004</v>
      </c>
      <c r="AE2271">
        <v>-184.9795</v>
      </c>
      <c r="AF2271">
        <v>121.267418780074</v>
      </c>
      <c r="AG2271">
        <v>7.3268570000000004</v>
      </c>
      <c r="AH2271">
        <v>141.593075217083</v>
      </c>
      <c r="AI2271">
        <v>87.749328665591406</v>
      </c>
      <c r="AJ2271">
        <v>49.421590910890899</v>
      </c>
      <c r="AK2271">
        <v>186.569206034948</v>
      </c>
      <c r="AL2271">
        <v>87.2238386787552</v>
      </c>
      <c r="AM2271">
        <v>75.070260389161703</v>
      </c>
      <c r="AN2271">
        <v>1.00000002336294</v>
      </c>
    </row>
    <row r="2272" spans="1:40" x14ac:dyDescent="0.25">
      <c r="A2272" t="str">
        <f>"20190312150706974"</f>
        <v>20190312150706974</v>
      </c>
      <c r="B2272" t="str">
        <f>"1552374426962078"</f>
        <v>1552374426962078</v>
      </c>
      <c r="C2272" t="s">
        <v>40</v>
      </c>
      <c r="D2272">
        <v>4.6685589999999904</v>
      </c>
      <c r="E2272">
        <v>0.68118769999999995</v>
      </c>
      <c r="F2272" t="s">
        <v>57</v>
      </c>
      <c r="G2272">
        <v>-169.40690000000001</v>
      </c>
      <c r="H2272">
        <v>8.3004560000000005</v>
      </c>
      <c r="I2272">
        <v>173.40379999999999</v>
      </c>
      <c r="J2272">
        <v>-194.6514</v>
      </c>
      <c r="K2272">
        <v>1.1091139999999999</v>
      </c>
      <c r="L2272">
        <v>359.65199999999999</v>
      </c>
      <c r="M2272">
        <v>0.74564339999999996</v>
      </c>
      <c r="N2272">
        <v>0</v>
      </c>
      <c r="O2272">
        <v>-0.66620539999999995</v>
      </c>
      <c r="P2272">
        <v>0.54890600000000001</v>
      </c>
      <c r="Q2272">
        <v>3.568404E-2</v>
      </c>
      <c r="R2272">
        <v>-0.83512219999999904</v>
      </c>
      <c r="S2272">
        <v>0.4475403</v>
      </c>
      <c r="T2272">
        <v>0.12730169999999999</v>
      </c>
      <c r="U2272">
        <v>-3.2976380000000001</v>
      </c>
      <c r="V2272">
        <v>0.25724320000000001</v>
      </c>
      <c r="W2272">
        <v>4.7800269999999999E-2</v>
      </c>
      <c r="X2272">
        <v>0.96516380000000002</v>
      </c>
      <c r="Y2272">
        <v>0.64927539999999995</v>
      </c>
      <c r="Z2272">
        <v>-1.4958900000000001E-2</v>
      </c>
      <c r="AA2272">
        <v>0.76040629999999998</v>
      </c>
      <c r="AB2272">
        <v>11</v>
      </c>
      <c r="AC2272">
        <v>25.244499999999899</v>
      </c>
      <c r="AD2272">
        <v>7.1913419999999997</v>
      </c>
      <c r="AE2272">
        <v>-186.2482</v>
      </c>
      <c r="AF2272">
        <v>121.889647486844</v>
      </c>
      <c r="AG2272">
        <v>7.1913419999999997</v>
      </c>
      <c r="AH2272">
        <v>142.70734565850299</v>
      </c>
      <c r="AI2272">
        <v>87.805628070044506</v>
      </c>
      <c r="AJ2272">
        <v>49.498593231312803</v>
      </c>
      <c r="AK2272">
        <v>187.81423819594599</v>
      </c>
      <c r="AL2272">
        <v>87.260202372336707</v>
      </c>
      <c r="AM2272">
        <v>75.075999363869798</v>
      </c>
      <c r="AN2272">
        <v>1.00000004529437</v>
      </c>
    </row>
    <row r="2273" spans="1:40" x14ac:dyDescent="0.25">
      <c r="A2273" t="str">
        <f>"20190312150706988"</f>
        <v>20190312150706988</v>
      </c>
      <c r="B2273" t="str">
        <f>"1552374426982575"</f>
        <v>1552374426982575</v>
      </c>
      <c r="C2273" t="s">
        <v>40</v>
      </c>
      <c r="D2273">
        <v>5.0698049999999997</v>
      </c>
      <c r="E2273">
        <v>0.68104439999999999</v>
      </c>
      <c r="F2273" t="s">
        <v>58</v>
      </c>
      <c r="G2273">
        <v>-161.82310000000001</v>
      </c>
      <c r="H2273">
        <v>10.3552</v>
      </c>
      <c r="I2273">
        <v>112.80419999999999</v>
      </c>
      <c r="J2273">
        <v>-194.60650000000001</v>
      </c>
      <c r="K2273">
        <v>1.109111</v>
      </c>
      <c r="L2273">
        <v>359.60640000000001</v>
      </c>
      <c r="M2273">
        <v>0.74326049999999999</v>
      </c>
      <c r="N2273">
        <v>0</v>
      </c>
      <c r="O2273">
        <v>-0.66886279999999998</v>
      </c>
      <c r="P2273">
        <v>0.54597689999999999</v>
      </c>
      <c r="Q2273">
        <v>3.4628909999999999E-2</v>
      </c>
      <c r="R2273">
        <v>-0.83708419999999895</v>
      </c>
      <c r="S2273">
        <v>0.43869019999999997</v>
      </c>
      <c r="T2273">
        <v>0.12355729999999999</v>
      </c>
      <c r="U2273">
        <v>-3.2986759999999999</v>
      </c>
      <c r="V2273">
        <v>0.25720720000000002</v>
      </c>
      <c r="W2273">
        <v>4.6746679999999999E-2</v>
      </c>
      <c r="X2273">
        <v>0.965225</v>
      </c>
      <c r="Y2273">
        <v>0.64860059999999997</v>
      </c>
      <c r="Z2273">
        <v>-1.466511E-2</v>
      </c>
      <c r="AA2273">
        <v>0.76098759999999999</v>
      </c>
      <c r="AB2273">
        <v>10</v>
      </c>
      <c r="AC2273">
        <v>32.7834</v>
      </c>
      <c r="AD2273">
        <v>9.2460889999999996</v>
      </c>
      <c r="AE2273">
        <v>-246.8022</v>
      </c>
      <c r="AF2273">
        <v>161.303316622545</v>
      </c>
      <c r="AG2273">
        <v>9.2460889999999996</v>
      </c>
      <c r="AH2273">
        <v>189.20013222469601</v>
      </c>
      <c r="AI2273">
        <v>87.870232988104604</v>
      </c>
      <c r="AJ2273">
        <v>49.5506185962467</v>
      </c>
      <c r="AK2273">
        <v>248.79899547440201</v>
      </c>
      <c r="AL2273">
        <v>87.320636206572303</v>
      </c>
      <c r="AM2273">
        <v>75.078898660664507</v>
      </c>
      <c r="AN2273">
        <v>1.00000004822393</v>
      </c>
    </row>
    <row r="2274" spans="1:40" x14ac:dyDescent="0.25">
      <c r="A2274" t="str">
        <f>"20190312150707001"</f>
        <v>20190312150707001</v>
      </c>
      <c r="B2274" t="str">
        <f>"1552374426992335"</f>
        <v>1552374426992335</v>
      </c>
      <c r="C2274" t="s">
        <v>40</v>
      </c>
      <c r="D2274">
        <v>4.6804199999999998</v>
      </c>
      <c r="E2274">
        <v>0.68066599999999999</v>
      </c>
      <c r="F2274" t="s">
        <v>58</v>
      </c>
      <c r="G2274">
        <v>-162.5085</v>
      </c>
      <c r="H2274">
        <v>9.9283560000000008</v>
      </c>
      <c r="I2274">
        <v>112.1173</v>
      </c>
      <c r="J2274">
        <v>-194.5615</v>
      </c>
      <c r="K2274">
        <v>1.10911</v>
      </c>
      <c r="L2274">
        <v>359.56020000000001</v>
      </c>
      <c r="M2274">
        <v>0.74084659999999902</v>
      </c>
      <c r="N2274">
        <v>0</v>
      </c>
      <c r="O2274">
        <v>-0.67153560000000001</v>
      </c>
      <c r="P2274">
        <v>0.54305360000000003</v>
      </c>
      <c r="Q2274">
        <v>3.3526390000000003E-2</v>
      </c>
      <c r="R2274">
        <v>-0.83902849999999995</v>
      </c>
      <c r="S2274">
        <v>0.42797849999999998</v>
      </c>
      <c r="T2274">
        <v>0.1175915</v>
      </c>
      <c r="U2274">
        <v>-3.2998959999999999</v>
      </c>
      <c r="V2274">
        <v>0.25712590000000002</v>
      </c>
      <c r="W2274">
        <v>4.5644450000000003E-2</v>
      </c>
      <c r="X2274">
        <v>0.96529940000000003</v>
      </c>
      <c r="Y2274">
        <v>0.64833059999999998</v>
      </c>
      <c r="Z2274">
        <v>-1.4089519999999999E-2</v>
      </c>
      <c r="AA2274">
        <v>0.76122860000000003</v>
      </c>
      <c r="AB2274">
        <v>10</v>
      </c>
      <c r="AC2274">
        <v>32.052999999999997</v>
      </c>
      <c r="AD2274">
        <v>8.8192459999999997</v>
      </c>
      <c r="AE2274">
        <v>-247.44290000000001</v>
      </c>
      <c r="AF2274">
        <v>161.60566694934499</v>
      </c>
      <c r="AG2274">
        <v>8.8192459999999997</v>
      </c>
      <c r="AH2274">
        <v>189.69376588493</v>
      </c>
      <c r="AI2274">
        <v>87.973126402667205</v>
      </c>
      <c r="AJ2274">
        <v>49.571351684941298</v>
      </c>
      <c r="AK2274">
        <v>249.354958855359</v>
      </c>
      <c r="AL2274">
        <v>87.383856800294794</v>
      </c>
      <c r="AM2274">
        <v>75.0845032063811</v>
      </c>
      <c r="AN2274">
        <v>1.0000000379534799</v>
      </c>
    </row>
    <row r="2275" spans="1:40" x14ac:dyDescent="0.25">
      <c r="A2275" t="str">
        <f>"20190312150707013"</f>
        <v>20190312150707013</v>
      </c>
      <c r="B2275" t="str">
        <f>"1552374427002096"</f>
        <v>1552374427002096</v>
      </c>
      <c r="C2275" t="s">
        <v>40</v>
      </c>
      <c r="D2275">
        <v>4.6219099999999997</v>
      </c>
      <c r="E2275">
        <v>0.68045789999999995</v>
      </c>
      <c r="F2275" t="s">
        <v>58</v>
      </c>
      <c r="G2275">
        <v>-163.07429999999999</v>
      </c>
      <c r="H2275">
        <v>9.6930960000000006</v>
      </c>
      <c r="I2275">
        <v>111.5504</v>
      </c>
      <c r="J2275">
        <v>-194.5198</v>
      </c>
      <c r="K2275">
        <v>1.1091089999999999</v>
      </c>
      <c r="L2275">
        <v>359.51710000000003</v>
      </c>
      <c r="M2275">
        <v>0.73858889999999999</v>
      </c>
      <c r="N2275">
        <v>0</v>
      </c>
      <c r="O2275">
        <v>-0.67401800000000001</v>
      </c>
      <c r="P2275">
        <v>0.54030869999999998</v>
      </c>
      <c r="Q2275">
        <v>3.3192020000000003E-2</v>
      </c>
      <c r="R2275">
        <v>-0.840812</v>
      </c>
      <c r="S2275">
        <v>0.41894530000000002</v>
      </c>
      <c r="T2275">
        <v>0.1142123</v>
      </c>
      <c r="U2275">
        <v>-3.2998349999999999</v>
      </c>
      <c r="V2275">
        <v>0.25704919999999998</v>
      </c>
      <c r="W2275">
        <v>4.5310540000000003E-2</v>
      </c>
      <c r="X2275">
        <v>0.96533550000000001</v>
      </c>
      <c r="Y2275">
        <v>0.64782759999999995</v>
      </c>
      <c r="Z2275">
        <v>-1.381318E-2</v>
      </c>
      <c r="AA2275">
        <v>0.76166180000000006</v>
      </c>
      <c r="AB2275">
        <v>10</v>
      </c>
      <c r="AC2275">
        <v>31.445499999999999</v>
      </c>
      <c r="AD2275">
        <v>8.5839869999999898</v>
      </c>
      <c r="AE2275">
        <v>-247.9667</v>
      </c>
      <c r="AF2275">
        <v>161.77489860873601</v>
      </c>
      <c r="AG2275">
        <v>8.5839869999999898</v>
      </c>
      <c r="AH2275">
        <v>190.152771730864</v>
      </c>
      <c r="AI2275">
        <v>88.030777111020399</v>
      </c>
      <c r="AJ2275">
        <v>49.610100874176197</v>
      </c>
      <c r="AK2275">
        <v>249.80568298101801</v>
      </c>
      <c r="AL2275">
        <v>87.4030081025318</v>
      </c>
      <c r="AM2275">
        <v>75.089287025301999</v>
      </c>
      <c r="AN2275">
        <v>0.99999998190799</v>
      </c>
    </row>
    <row r="2276" spans="1:40" x14ac:dyDescent="0.25">
      <c r="A2276" t="str">
        <f>"20190312150707030"</f>
        <v>20190312150707030</v>
      </c>
      <c r="B2276" t="str">
        <f>"1552374427022592"</f>
        <v>1552374427022592</v>
      </c>
      <c r="C2276" t="s">
        <v>40</v>
      </c>
      <c r="D2276">
        <v>4.9904159999999997</v>
      </c>
      <c r="E2276">
        <v>0.67995119999999998</v>
      </c>
      <c r="F2276" t="s">
        <v>58</v>
      </c>
      <c r="G2276">
        <v>-163.67590000000001</v>
      </c>
      <c r="H2276">
        <v>9.4852989999999995</v>
      </c>
      <c r="I2276">
        <v>110.94759999999999</v>
      </c>
      <c r="J2276">
        <v>-194.46440000000001</v>
      </c>
      <c r="K2276">
        <v>1.109113</v>
      </c>
      <c r="L2276">
        <v>359.45940000000002</v>
      </c>
      <c r="M2276">
        <v>0.73556809999999995</v>
      </c>
      <c r="N2276">
        <v>0</v>
      </c>
      <c r="O2276">
        <v>-0.67731330000000001</v>
      </c>
      <c r="P2276">
        <v>0.53672119999999901</v>
      </c>
      <c r="Q2276">
        <v>3.3640910000000003E-2</v>
      </c>
      <c r="R2276">
        <v>-0.84308909999999904</v>
      </c>
      <c r="S2276">
        <v>0.40953060000000002</v>
      </c>
      <c r="T2276">
        <v>0.1112151</v>
      </c>
      <c r="U2276">
        <v>-3.3003849999999999</v>
      </c>
      <c r="V2276">
        <v>0.25683489999999998</v>
      </c>
      <c r="W2276">
        <v>4.5760210000000003E-2</v>
      </c>
      <c r="X2276">
        <v>0.96537139999999999</v>
      </c>
      <c r="Y2276">
        <v>0.64657929999999997</v>
      </c>
      <c r="Z2276">
        <v>-1.3623649999999999E-2</v>
      </c>
      <c r="AA2276">
        <v>0.76272510000000004</v>
      </c>
      <c r="AB2276">
        <v>10</v>
      </c>
      <c r="AC2276">
        <v>30.788499999999999</v>
      </c>
      <c r="AD2276">
        <v>8.3761860000000006</v>
      </c>
      <c r="AE2276">
        <v>-248.51179999999999</v>
      </c>
      <c r="AF2276">
        <v>161.77796627116999</v>
      </c>
      <c r="AG2276">
        <v>8.3761860000000006</v>
      </c>
      <c r="AH2276">
        <v>190.771722929123</v>
      </c>
      <c r="AI2276">
        <v>88.0820484668766</v>
      </c>
      <c r="AJ2276">
        <v>49.701436058429998</v>
      </c>
      <c r="AK2276">
        <v>250.27209419367699</v>
      </c>
      <c r="AL2276">
        <v>87.377217338563398</v>
      </c>
      <c r="AM2276">
        <v>75.101694339052202</v>
      </c>
      <c r="AN2276">
        <v>1.0000000513075999</v>
      </c>
    </row>
    <row r="2277" spans="1:40" x14ac:dyDescent="0.25">
      <c r="A2277" t="str">
        <f>"20190312150707043"</f>
        <v>20190312150707043</v>
      </c>
      <c r="B2277" t="str">
        <f>"1552374427032351"</f>
        <v>1552374427032351</v>
      </c>
      <c r="C2277" t="s">
        <v>40</v>
      </c>
      <c r="D2277">
        <v>4.6912599999999998</v>
      </c>
      <c r="E2277">
        <v>0.679844</v>
      </c>
      <c r="F2277" t="s">
        <v>58</v>
      </c>
      <c r="G2277">
        <v>-164.3527</v>
      </c>
      <c r="H2277">
        <v>9.3986300000000007</v>
      </c>
      <c r="I2277">
        <v>110.2696</v>
      </c>
      <c r="J2277">
        <v>-194.42169999999999</v>
      </c>
      <c r="K2277">
        <v>1.1091139999999999</v>
      </c>
      <c r="L2277">
        <v>359.41460000000001</v>
      </c>
      <c r="M2277">
        <v>0.73321409999999998</v>
      </c>
      <c r="N2277">
        <v>0</v>
      </c>
      <c r="O2277">
        <v>-0.67986099999999905</v>
      </c>
      <c r="P2277">
        <v>0.53398590000000001</v>
      </c>
      <c r="Q2277">
        <v>3.3470189999999997E-2</v>
      </c>
      <c r="R2277">
        <v>-0.84483069999999905</v>
      </c>
      <c r="S2277">
        <v>0.39877319999999999</v>
      </c>
      <c r="T2277">
        <v>0.1097791</v>
      </c>
      <c r="U2277">
        <v>-3.300049</v>
      </c>
      <c r="V2277">
        <v>0.25661859999999997</v>
      </c>
      <c r="W2277">
        <v>4.5590150000000003E-2</v>
      </c>
      <c r="X2277">
        <v>0.96543690000000004</v>
      </c>
      <c r="Y2277">
        <v>0.64637489999999997</v>
      </c>
      <c r="Z2277">
        <v>-1.3570789999999999E-2</v>
      </c>
      <c r="AA2277">
        <v>0.76289929999999995</v>
      </c>
      <c r="AB2277">
        <v>10</v>
      </c>
      <c r="AC2277">
        <v>30.0689999999999</v>
      </c>
      <c r="AD2277">
        <v>8.2895160000000008</v>
      </c>
      <c r="AE2277">
        <v>-249.14500000000001</v>
      </c>
      <c r="AF2277">
        <v>162.07214417416199</v>
      </c>
      <c r="AG2277">
        <v>8.2895160000000008</v>
      </c>
      <c r="AH2277">
        <v>191.24013261885901</v>
      </c>
      <c r="AI2277">
        <v>88.106022083847506</v>
      </c>
      <c r="AJ2277">
        <v>49.719398448137603</v>
      </c>
      <c r="AK2277">
        <v>250.81643549975601</v>
      </c>
      <c r="AL2277">
        <v>87.386971071889604</v>
      </c>
      <c r="AM2277">
        <v>75.114649156479999</v>
      </c>
      <c r="AN2277">
        <v>0.99999998776229604</v>
      </c>
    </row>
    <row r="2278" spans="1:40" x14ac:dyDescent="0.25">
      <c r="A2278" t="str">
        <f>"20190312150707056"</f>
        <v>20190312150707056</v>
      </c>
      <c r="B2278" t="str">
        <f>"1552374427052846"</f>
        <v>1552374427052846</v>
      </c>
      <c r="C2278" t="s">
        <v>40</v>
      </c>
      <c r="D2278">
        <v>4.6338599999999897</v>
      </c>
      <c r="E2278">
        <v>0.67948090000000005</v>
      </c>
      <c r="F2278" t="s">
        <v>58</v>
      </c>
      <c r="G2278">
        <v>-164.99889999999999</v>
      </c>
      <c r="H2278">
        <v>9.2688480000000002</v>
      </c>
      <c r="I2278">
        <v>109.62220000000001</v>
      </c>
      <c r="J2278">
        <v>-194.38040000000001</v>
      </c>
      <c r="K2278">
        <v>1.109113</v>
      </c>
      <c r="L2278">
        <v>359.37099999999998</v>
      </c>
      <c r="M2278">
        <v>0.73091969999999995</v>
      </c>
      <c r="N2278">
        <v>0</v>
      </c>
      <c r="O2278">
        <v>-0.68232729999999997</v>
      </c>
      <c r="P2278">
        <v>0.5313291</v>
      </c>
      <c r="Q2278">
        <v>3.3660269999999999E-2</v>
      </c>
      <c r="R2278">
        <v>-0.8464969</v>
      </c>
      <c r="S2278">
        <v>0.38882450000000002</v>
      </c>
      <c r="T2278">
        <v>0.1078316</v>
      </c>
      <c r="U2278">
        <v>-3.3010250000000001</v>
      </c>
      <c r="V2278">
        <v>0.25639440000000002</v>
      </c>
      <c r="W2278">
        <v>4.5781170000000003E-2</v>
      </c>
      <c r="X2278">
        <v>0.9654874</v>
      </c>
      <c r="Y2278">
        <v>0.64610019999999901</v>
      </c>
      <c r="Z2278">
        <v>-1.3443149999999999E-2</v>
      </c>
      <c r="AA2278">
        <v>0.76313419999999998</v>
      </c>
      <c r="AB2278">
        <v>10</v>
      </c>
      <c r="AC2278">
        <v>29.381499999999999</v>
      </c>
      <c r="AD2278">
        <v>8.1597349999999995</v>
      </c>
      <c r="AE2278">
        <v>-249.74879999999999</v>
      </c>
      <c r="AF2278">
        <v>162.34269434496099</v>
      </c>
      <c r="AG2278">
        <v>8.1597349999999995</v>
      </c>
      <c r="AH2278">
        <v>191.70193712091799</v>
      </c>
      <c r="AI2278">
        <v>88.139563387725104</v>
      </c>
      <c r="AJ2278">
        <v>49.7404212208818</v>
      </c>
      <c r="AK2278">
        <v>251.33914215331501</v>
      </c>
      <c r="AL2278">
        <v>87.376014923924501</v>
      </c>
      <c r="AM2278">
        <v>75.127820884938799</v>
      </c>
      <c r="AN2278">
        <v>0.99999996171834304</v>
      </c>
    </row>
    <row r="2279" spans="1:40" x14ac:dyDescent="0.25">
      <c r="A2279" t="str">
        <f>"20190312150707068"</f>
        <v>20190312150707068</v>
      </c>
      <c r="B2279" t="str">
        <f>"1552374427062609"</f>
        <v>1552374427062609</v>
      </c>
      <c r="C2279" t="s">
        <v>40</v>
      </c>
      <c r="D2279">
        <v>4.836576</v>
      </c>
      <c r="E2279">
        <v>0.67921209999999999</v>
      </c>
      <c r="F2279" t="s">
        <v>58</v>
      </c>
      <c r="G2279">
        <v>-165.49789999999999</v>
      </c>
      <c r="H2279">
        <v>9.1502210000000002</v>
      </c>
      <c r="I2279">
        <v>109.1223</v>
      </c>
      <c r="J2279">
        <v>-194.34129999999999</v>
      </c>
      <c r="K2279">
        <v>1.10911</v>
      </c>
      <c r="L2279">
        <v>359.32929999999999</v>
      </c>
      <c r="M2279">
        <v>0.72872749999999997</v>
      </c>
      <c r="N2279">
        <v>0</v>
      </c>
      <c r="O2279">
        <v>-0.68466830000000001</v>
      </c>
      <c r="P2279">
        <v>0.52909150000000005</v>
      </c>
      <c r="Q2279">
        <v>3.3009419999999998E-2</v>
      </c>
      <c r="R2279">
        <v>-0.84792319999999999</v>
      </c>
      <c r="S2279">
        <v>0.38095089999999998</v>
      </c>
      <c r="T2279">
        <v>0.1060594</v>
      </c>
      <c r="U2279">
        <v>-3.3006899999999999</v>
      </c>
      <c r="V2279">
        <v>0.25586340000000002</v>
      </c>
      <c r="W2279">
        <v>4.5134290000000001E-2</v>
      </c>
      <c r="X2279">
        <v>0.96565869999999998</v>
      </c>
      <c r="Y2279">
        <v>0.64544109999999999</v>
      </c>
      <c r="Z2279">
        <v>-1.333904E-2</v>
      </c>
      <c r="AA2279">
        <v>0.76369359999999997</v>
      </c>
      <c r="AB2279">
        <v>10</v>
      </c>
      <c r="AC2279">
        <v>28.843399999999999</v>
      </c>
      <c r="AD2279">
        <v>8.0411110000000008</v>
      </c>
      <c r="AE2279">
        <v>-250.20699999999999</v>
      </c>
      <c r="AF2279">
        <v>162.43407757998699</v>
      </c>
      <c r="AG2279">
        <v>8.0411110000000008</v>
      </c>
      <c r="AH2279">
        <v>192.14976849814201</v>
      </c>
      <c r="AI2279">
        <v>88.169510618926907</v>
      </c>
      <c r="AJ2279">
        <v>49.790445350594901</v>
      </c>
      <c r="AK2279">
        <v>251.73601760428599</v>
      </c>
      <c r="AL2279">
        <v>87.413116754040701</v>
      </c>
      <c r="AM2279">
        <v>75.159777424644702</v>
      </c>
      <c r="AN2279">
        <v>0.99999995423952504</v>
      </c>
    </row>
    <row r="2280" spans="1:40" x14ac:dyDescent="0.25">
      <c r="A2280" t="str">
        <f>"20190312150707086"</f>
        <v>20190312150707086</v>
      </c>
      <c r="B2280" t="str">
        <f>"1552374427082127"</f>
        <v>1552374427082127</v>
      </c>
      <c r="C2280" t="s">
        <v>40</v>
      </c>
      <c r="D2280">
        <v>4.5960669999999997</v>
      </c>
      <c r="E2280">
        <v>0.6789039</v>
      </c>
      <c r="F2280" t="s">
        <v>58</v>
      </c>
      <c r="G2280">
        <v>-165.94560000000001</v>
      </c>
      <c r="H2280">
        <v>8.8230269999999997</v>
      </c>
      <c r="I2280">
        <v>108.67359999999999</v>
      </c>
      <c r="J2280">
        <v>-194.28489999999999</v>
      </c>
      <c r="K2280">
        <v>1.109105</v>
      </c>
      <c r="L2280">
        <v>359.26889999999997</v>
      </c>
      <c r="M2280">
        <v>0.72553529999999999</v>
      </c>
      <c r="N2280">
        <v>0</v>
      </c>
      <c r="O2280">
        <v>-0.6880501</v>
      </c>
      <c r="P2280">
        <v>0.52661880000000005</v>
      </c>
      <c r="Q2280">
        <v>3.1229699999999999E-2</v>
      </c>
      <c r="R2280">
        <v>-0.84952799999999995</v>
      </c>
      <c r="S2280">
        <v>0.37393189999999998</v>
      </c>
      <c r="T2280">
        <v>0.10158150000000001</v>
      </c>
      <c r="U2280">
        <v>-3.3007810000000002</v>
      </c>
      <c r="V2280">
        <v>0.25422539999999999</v>
      </c>
      <c r="W2280">
        <v>4.3367429999999998E-2</v>
      </c>
      <c r="X2280">
        <v>0.96617220000000004</v>
      </c>
      <c r="Y2280">
        <v>0.64349650000000003</v>
      </c>
      <c r="Z2280">
        <v>-1.295001E-2</v>
      </c>
      <c r="AA2280">
        <v>0.76533960000000001</v>
      </c>
      <c r="AB2280">
        <v>10</v>
      </c>
      <c r="AC2280">
        <v>28.339299999999898</v>
      </c>
      <c r="AD2280">
        <v>7.7139220000000002</v>
      </c>
      <c r="AE2280">
        <v>-250.59530000000001</v>
      </c>
      <c r="AF2280">
        <v>162.18020788936701</v>
      </c>
      <c r="AG2280">
        <v>7.7139220000000002</v>
      </c>
      <c r="AH2280">
        <v>192.82079270130399</v>
      </c>
      <c r="AI2280">
        <v>88.246377999211404</v>
      </c>
      <c r="AJ2280">
        <v>49.933045553680103</v>
      </c>
      <c r="AK2280">
        <v>252.07495417359399</v>
      </c>
      <c r="AL2280">
        <v>87.514449777303994</v>
      </c>
      <c r="AM2280">
        <v>75.258125527373807</v>
      </c>
      <c r="AN2280">
        <v>1.0000000040214001</v>
      </c>
    </row>
    <row r="2281" spans="1:40" x14ac:dyDescent="0.25">
      <c r="A2281" t="str">
        <f>"20190312150707097"</f>
        <v>20190312150707097</v>
      </c>
      <c r="B2281" t="str">
        <f>"1552374427092863"</f>
        <v>1552374427092863</v>
      </c>
      <c r="C2281" t="s">
        <v>40</v>
      </c>
      <c r="D2281">
        <v>4.3854259999999998</v>
      </c>
      <c r="E2281">
        <v>0.67845869999999997</v>
      </c>
      <c r="F2281" t="s">
        <v>59</v>
      </c>
      <c r="G2281">
        <v>-175.15729999999999</v>
      </c>
      <c r="H2281">
        <v>5.9978480000000003</v>
      </c>
      <c r="I2281">
        <v>187.01150000000001</v>
      </c>
      <c r="J2281">
        <v>-194.24539999999999</v>
      </c>
      <c r="K2281">
        <v>1.1091</v>
      </c>
      <c r="L2281">
        <v>359.226</v>
      </c>
      <c r="M2281">
        <v>0.72327050000000004</v>
      </c>
      <c r="N2281">
        <v>0</v>
      </c>
      <c r="O2281">
        <v>-0.6904304</v>
      </c>
      <c r="P2281">
        <v>0.5250089</v>
      </c>
      <c r="Q2281">
        <v>3.0418130000000002E-2</v>
      </c>
      <c r="R2281">
        <v>-0.85055329999999996</v>
      </c>
      <c r="S2281">
        <v>0.36651610000000001</v>
      </c>
      <c r="T2281">
        <v>9.3676209999999996E-2</v>
      </c>
      <c r="U2281">
        <v>-3.3007200000000001</v>
      </c>
      <c r="V2281">
        <v>0.25289739999999999</v>
      </c>
      <c r="W2281">
        <v>4.256567E-2</v>
      </c>
      <c r="X2281">
        <v>0.96655630000000003</v>
      </c>
      <c r="Y2281">
        <v>0.64268340000000002</v>
      </c>
      <c r="Z2281">
        <v>-1.2048690000000001E-2</v>
      </c>
      <c r="AA2281">
        <v>0.76603719999999997</v>
      </c>
      <c r="AB2281">
        <v>10</v>
      </c>
      <c r="AC2281">
        <v>19.088100000000001</v>
      </c>
      <c r="AD2281">
        <v>4.8887479999999996</v>
      </c>
      <c r="AE2281">
        <v>-172.21449999999999</v>
      </c>
      <c r="AF2281">
        <v>111.300399725628</v>
      </c>
      <c r="AG2281">
        <v>4.8887479999999996</v>
      </c>
      <c r="AH2281">
        <v>132.614734838684</v>
      </c>
      <c r="AI2281">
        <v>88.382555796904299</v>
      </c>
      <c r="AJ2281">
        <v>49.994061540192803</v>
      </c>
      <c r="AK2281">
        <v>173.20030811874099</v>
      </c>
      <c r="AL2281">
        <v>87.560429709626504</v>
      </c>
      <c r="AM2281">
        <v>75.337381576668193</v>
      </c>
      <c r="AN2281">
        <v>1.00000000612949</v>
      </c>
    </row>
    <row r="2282" spans="1:40" x14ac:dyDescent="0.25">
      <c r="A2282" t="str">
        <f>"20190312150707109"</f>
        <v>20190312150707109</v>
      </c>
      <c r="B2282" t="str">
        <f>"1552374427102623"</f>
        <v>1552374427102623</v>
      </c>
      <c r="C2282" t="s">
        <v>40</v>
      </c>
      <c r="D2282">
        <v>4.6149050000000003</v>
      </c>
      <c r="E2282">
        <v>0.67845869999999997</v>
      </c>
      <c r="F2282" t="s">
        <v>59</v>
      </c>
      <c r="G2282">
        <v>-175.29339999999999</v>
      </c>
      <c r="H2282">
        <v>5.7998830000000003</v>
      </c>
      <c r="I2282">
        <v>187.01159999999999</v>
      </c>
      <c r="J2282">
        <v>-194.20820000000001</v>
      </c>
      <c r="K2282">
        <v>1.1090979999999999</v>
      </c>
      <c r="L2282">
        <v>359.18560000000002</v>
      </c>
      <c r="M2282">
        <v>0.72113000000000005</v>
      </c>
      <c r="N2282">
        <v>0</v>
      </c>
      <c r="O2282">
        <v>-0.69266589999999995</v>
      </c>
      <c r="P2282">
        <v>0.52320270000000002</v>
      </c>
      <c r="Q2282">
        <v>2.9907199999999998E-2</v>
      </c>
      <c r="R2282">
        <v>-0.85168369999999904</v>
      </c>
      <c r="S2282">
        <v>0.36312870000000003</v>
      </c>
      <c r="T2282">
        <v>8.9877960000000007E-2</v>
      </c>
      <c r="U2282">
        <v>-3.2997130000000001</v>
      </c>
      <c r="V2282">
        <v>0.251967</v>
      </c>
      <c r="W2282">
        <v>4.2062570000000001E-2</v>
      </c>
      <c r="X2282">
        <v>0.96682129999999999</v>
      </c>
      <c r="Y2282">
        <v>0.64106490000000005</v>
      </c>
      <c r="Z2282">
        <v>-1.1670120000000001E-2</v>
      </c>
      <c r="AA2282">
        <v>0.76739799999999903</v>
      </c>
      <c r="AB2282">
        <v>10</v>
      </c>
      <c r="AC2282">
        <v>18.9148</v>
      </c>
      <c r="AD2282">
        <v>4.690785</v>
      </c>
      <c r="AE2282">
        <v>-172.17400000000001</v>
      </c>
      <c r="AF2282">
        <v>110.987101433115</v>
      </c>
      <c r="AG2282">
        <v>4.690785</v>
      </c>
      <c r="AH2282">
        <v>132.81400787550501</v>
      </c>
      <c r="AI2282">
        <v>88.447585638479396</v>
      </c>
      <c r="AJ2282">
        <v>50.115909307368703</v>
      </c>
      <c r="AK2282">
        <v>173.14647220314799</v>
      </c>
      <c r="AL2282">
        <v>87.589281108519401</v>
      </c>
      <c r="AM2282">
        <v>75.392845909461201</v>
      </c>
      <c r="AN2282">
        <v>1.0000000275088401</v>
      </c>
    </row>
    <row r="2283" spans="1:40" x14ac:dyDescent="0.25">
      <c r="A2283" t="str">
        <f>"20190312150707121"</f>
        <v>20190312150707121</v>
      </c>
      <c r="B2283" t="str">
        <f>"1552374427112382"</f>
        <v>1552374427112382</v>
      </c>
      <c r="C2283" t="s">
        <v>40</v>
      </c>
      <c r="D2283">
        <v>4.552905</v>
      </c>
      <c r="E2283">
        <v>0.67634430000000001</v>
      </c>
      <c r="F2283" t="s">
        <v>59</v>
      </c>
      <c r="G2283">
        <v>-175.63040000000001</v>
      </c>
      <c r="H2283">
        <v>5.717543</v>
      </c>
      <c r="I2283">
        <v>187.01169999999999</v>
      </c>
      <c r="J2283">
        <v>-194.1705</v>
      </c>
      <c r="K2283">
        <v>1.1090990000000001</v>
      </c>
      <c r="L2283">
        <v>359.14429999999999</v>
      </c>
      <c r="M2283">
        <v>0.71894049999999998</v>
      </c>
      <c r="N2283">
        <v>0</v>
      </c>
      <c r="O2283">
        <v>-0.69493799999999994</v>
      </c>
      <c r="P2283">
        <v>0.52160189999999995</v>
      </c>
      <c r="Q2283">
        <v>2.9348340000000001E-2</v>
      </c>
      <c r="R2283">
        <v>-0.85268429999999995</v>
      </c>
      <c r="S2283">
        <v>0.35614010000000001</v>
      </c>
      <c r="T2283">
        <v>8.8344809999999996E-2</v>
      </c>
      <c r="U2283">
        <v>-3.3005979999999999</v>
      </c>
      <c r="V2283">
        <v>0.25074289999999999</v>
      </c>
      <c r="W2283">
        <v>4.1512790000000001E-2</v>
      </c>
      <c r="X2283">
        <v>0.9671632</v>
      </c>
      <c r="Y2283">
        <v>0.64027209999999901</v>
      </c>
      <c r="Z2283">
        <v>-1.1563469999999999E-2</v>
      </c>
      <c r="AA2283">
        <v>0.76806109999999905</v>
      </c>
      <c r="AB2283">
        <v>10</v>
      </c>
      <c r="AC2283">
        <v>18.540099999999899</v>
      </c>
      <c r="AD2283">
        <v>4.6084440000000004</v>
      </c>
      <c r="AE2283">
        <v>-172.1326</v>
      </c>
      <c r="AF2283">
        <v>110.800666688934</v>
      </c>
      <c r="AG2283">
        <v>4.6084440000000004</v>
      </c>
      <c r="AH2283">
        <v>132.868917138467</v>
      </c>
      <c r="AI2283">
        <v>88.474142053519301</v>
      </c>
      <c r="AJ2283">
        <v>50.174948313050599</v>
      </c>
      <c r="AK2283">
        <v>173.06696575708</v>
      </c>
      <c r="AL2283">
        <v>87.620808618354104</v>
      </c>
      <c r="AM2283">
        <v>75.465717822795398</v>
      </c>
      <c r="AN2283">
        <v>0.99999998453411698</v>
      </c>
    </row>
    <row r="2284" spans="1:40" x14ac:dyDescent="0.25">
      <c r="A2284" t="str">
        <f>"20190312150707132"</f>
        <v>20190312150707132</v>
      </c>
      <c r="B2284" t="str">
        <f>"1552374427122143"</f>
        <v>1552374427122143</v>
      </c>
      <c r="C2284" t="s">
        <v>40</v>
      </c>
      <c r="D2284">
        <v>4.6256069999999996</v>
      </c>
      <c r="E2284">
        <v>0.67512469999999902</v>
      </c>
      <c r="F2284" t="s">
        <v>59</v>
      </c>
      <c r="G2284">
        <v>-173.93520000000001</v>
      </c>
      <c r="H2284">
        <v>4.92</v>
      </c>
      <c r="I2284">
        <v>176.0727</v>
      </c>
      <c r="J2284">
        <v>-194.1353</v>
      </c>
      <c r="K2284">
        <v>1.1090949999999999</v>
      </c>
      <c r="L2284">
        <v>359.10539999999997</v>
      </c>
      <c r="M2284">
        <v>0.71687809999999996</v>
      </c>
      <c r="N2284">
        <v>0</v>
      </c>
      <c r="O2284">
        <v>-0.69706519999999905</v>
      </c>
      <c r="P2284">
        <v>0.51990689999999995</v>
      </c>
      <c r="Q2284">
        <v>2.9043889999999999E-2</v>
      </c>
      <c r="R2284">
        <v>-0.85372909999999902</v>
      </c>
      <c r="S2284">
        <v>0.3640137</v>
      </c>
      <c r="T2284">
        <v>6.8554519999999994E-2</v>
      </c>
      <c r="U2284">
        <v>-3.2932739999999998</v>
      </c>
      <c r="V2284">
        <v>0.24980359999999999</v>
      </c>
      <c r="W2284">
        <v>4.121644E-2</v>
      </c>
      <c r="X2284">
        <v>0.96741889999999997</v>
      </c>
      <c r="Y2284">
        <v>0.63600049999999997</v>
      </c>
      <c r="Z2284">
        <v>-9.0974200000000002E-3</v>
      </c>
      <c r="AA2284">
        <v>0.77163510000000002</v>
      </c>
      <c r="AB2284">
        <v>10</v>
      </c>
      <c r="AC2284">
        <v>20.2000999999999</v>
      </c>
      <c r="AD2284">
        <v>3.810905</v>
      </c>
      <c r="AE2284">
        <v>-183.03270000000001</v>
      </c>
      <c r="AF2284">
        <v>117.092086415986</v>
      </c>
      <c r="AG2284">
        <v>3.810905</v>
      </c>
      <c r="AH2284">
        <v>142.01911583959901</v>
      </c>
      <c r="AI2284">
        <v>88.8139114845726</v>
      </c>
      <c r="AJ2284">
        <v>50.495061249290899</v>
      </c>
      <c r="AK2284">
        <v>184.104614179083</v>
      </c>
      <c r="AL2284">
        <v>87.637802759070794</v>
      </c>
      <c r="AM2284">
        <v>75.5215375779471</v>
      </c>
      <c r="AN2284">
        <v>0.99999998078822105</v>
      </c>
    </row>
    <row r="2285" spans="1:40" x14ac:dyDescent="0.25">
      <c r="A2285" t="str">
        <f>"20190312150707143"</f>
        <v>20190312150707143</v>
      </c>
      <c r="B2285" t="str">
        <f>"1552374427132879"</f>
        <v>1552374427132879</v>
      </c>
      <c r="C2285" t="s">
        <v>40</v>
      </c>
      <c r="D2285">
        <v>4.6681290000000004</v>
      </c>
      <c r="E2285">
        <v>0.67393080000000005</v>
      </c>
      <c r="F2285" t="s">
        <v>60</v>
      </c>
      <c r="G2285">
        <v>-167.29560000000001</v>
      </c>
      <c r="H2285">
        <v>5.9035209999999996</v>
      </c>
      <c r="I2285">
        <v>117.86620000000001</v>
      </c>
      <c r="J2285">
        <v>-194.09829999999999</v>
      </c>
      <c r="K2285">
        <v>1.109102</v>
      </c>
      <c r="L2285">
        <v>359.0643</v>
      </c>
      <c r="M2285">
        <v>0.71469490000000002</v>
      </c>
      <c r="N2285">
        <v>0</v>
      </c>
      <c r="O2285">
        <v>-0.69930380000000003</v>
      </c>
      <c r="P2285">
        <v>0.51798520000000003</v>
      </c>
      <c r="Q2285">
        <v>2.91271E-2</v>
      </c>
      <c r="R2285">
        <v>-0.85489389999999998</v>
      </c>
      <c r="S2285">
        <v>0.365921</v>
      </c>
      <c r="T2285">
        <v>6.5364720000000001E-2</v>
      </c>
      <c r="U2285">
        <v>-3.2889400000000002</v>
      </c>
      <c r="V2285">
        <v>0.24895200000000001</v>
      </c>
      <c r="W2285">
        <v>4.1306019999999999E-2</v>
      </c>
      <c r="X2285">
        <v>0.96763460000000001</v>
      </c>
      <c r="Y2285">
        <v>0.63303120000000002</v>
      </c>
      <c r="Z2285">
        <v>-8.7752609999999995E-3</v>
      </c>
      <c r="AA2285">
        <v>0.77407649999999995</v>
      </c>
      <c r="AB2285">
        <v>10</v>
      </c>
      <c r="AC2285">
        <v>26.802699999999898</v>
      </c>
      <c r="AD2285">
        <v>4.7944190000000004</v>
      </c>
      <c r="AE2285">
        <v>-241.19810000000001</v>
      </c>
      <c r="AF2285">
        <v>153.594118837232</v>
      </c>
      <c r="AG2285">
        <v>4.7944190000000004</v>
      </c>
      <c r="AH2285">
        <v>187.77062822228001</v>
      </c>
      <c r="AI2285">
        <v>88.867775160782401</v>
      </c>
      <c r="AJ2285">
        <v>50.717246081934597</v>
      </c>
      <c r="AK2285">
        <v>242.635423254567</v>
      </c>
      <c r="AL2285">
        <v>87.632665879478694</v>
      </c>
      <c r="AM2285">
        <v>75.571913951690703</v>
      </c>
      <c r="AN2285">
        <v>1.0000000023547</v>
      </c>
    </row>
    <row r="2286" spans="1:40" x14ac:dyDescent="0.25">
      <c r="A2286" t="str">
        <f>"20190312150707156"</f>
        <v>20190312150707156</v>
      </c>
      <c r="B2286" t="str">
        <f>"1552374427152399"</f>
        <v>1552374427152399</v>
      </c>
      <c r="C2286" t="s">
        <v>40</v>
      </c>
      <c r="D2286">
        <v>4.6644209999999999</v>
      </c>
      <c r="E2286">
        <v>0.67162840000000001</v>
      </c>
      <c r="F2286" t="s">
        <v>60</v>
      </c>
      <c r="G2286">
        <v>-167.19130000000001</v>
      </c>
      <c r="H2286">
        <v>5.6957190000000004</v>
      </c>
      <c r="I2286">
        <v>117.9898</v>
      </c>
      <c r="J2286">
        <v>-194.0625</v>
      </c>
      <c r="K2286">
        <v>1.1091089999999999</v>
      </c>
      <c r="L2286">
        <v>359.02440000000001</v>
      </c>
      <c r="M2286">
        <v>0.71256929999999996</v>
      </c>
      <c r="N2286">
        <v>0</v>
      </c>
      <c r="O2286">
        <v>-0.70146940000000002</v>
      </c>
      <c r="P2286">
        <v>0.51585270000000005</v>
      </c>
      <c r="Q2286">
        <v>2.970888E-2</v>
      </c>
      <c r="R2286">
        <v>-0.85616209999999904</v>
      </c>
      <c r="S2286">
        <v>0.36663820000000003</v>
      </c>
      <c r="T2286">
        <v>6.2497499999999997E-2</v>
      </c>
      <c r="U2286">
        <v>-3.2849119999999998</v>
      </c>
      <c r="V2286">
        <v>0.24841469999999999</v>
      </c>
      <c r="W2286">
        <v>4.189201E-2</v>
      </c>
      <c r="X2286">
        <v>0.96774749999999998</v>
      </c>
      <c r="Y2286">
        <v>0.63040859999999999</v>
      </c>
      <c r="Z2286">
        <v>-8.4813570000000001E-3</v>
      </c>
      <c r="AA2286">
        <v>0.77621719999999905</v>
      </c>
      <c r="AB2286">
        <v>10</v>
      </c>
      <c r="AC2286">
        <v>26.871199999999899</v>
      </c>
      <c r="AD2286">
        <v>4.5866100000000003</v>
      </c>
      <c r="AE2286">
        <v>-241.03460000000001</v>
      </c>
      <c r="AF2286">
        <v>152.864056678737</v>
      </c>
      <c r="AG2286">
        <v>4.5866100000000003</v>
      </c>
      <c r="AH2286">
        <v>188.17616358278701</v>
      </c>
      <c r="AI2286">
        <v>88.916181922326899</v>
      </c>
      <c r="AJ2286">
        <v>50.911474217480801</v>
      </c>
      <c r="AK2286">
        <v>242.484484774404</v>
      </c>
      <c r="AL2286">
        <v>87.599062064588495</v>
      </c>
      <c r="AM2286">
        <v>75.603367431985504</v>
      </c>
      <c r="AN2286">
        <v>1.0000000137170899</v>
      </c>
    </row>
    <row r="2287" spans="1:40" x14ac:dyDescent="0.25">
      <c r="A2287" t="str">
        <f>"20190312150707168"</f>
        <v>20190312150707168</v>
      </c>
      <c r="B2287" t="str">
        <f>"1552374427162159"</f>
        <v>1552374427162159</v>
      </c>
      <c r="C2287" t="s">
        <v>40</v>
      </c>
      <c r="D2287">
        <v>4.5961790000000002</v>
      </c>
      <c r="E2287">
        <v>0.67060379999999997</v>
      </c>
      <c r="F2287" t="s">
        <v>60</v>
      </c>
      <c r="G2287">
        <v>-166.6276</v>
      </c>
      <c r="H2287">
        <v>5.3991989999999896</v>
      </c>
      <c r="I2287">
        <v>118.658</v>
      </c>
      <c r="J2287">
        <v>-194.02510000000001</v>
      </c>
      <c r="K2287">
        <v>1.1091200000000001</v>
      </c>
      <c r="L2287">
        <v>358.98230000000001</v>
      </c>
      <c r="M2287">
        <v>0.71033029999999997</v>
      </c>
      <c r="N2287">
        <v>0</v>
      </c>
      <c r="O2287">
        <v>-0.70373680000000005</v>
      </c>
      <c r="P2287">
        <v>0.51363249999999905</v>
      </c>
      <c r="Q2287">
        <v>3.0294020000000001E-2</v>
      </c>
      <c r="R2287">
        <v>-0.85747559999999901</v>
      </c>
      <c r="S2287">
        <v>0.37399290000000002</v>
      </c>
      <c r="T2287">
        <v>5.8482770000000003E-2</v>
      </c>
      <c r="U2287">
        <v>-3.276672</v>
      </c>
      <c r="V2287">
        <v>0.2478253</v>
      </c>
      <c r="W2287">
        <v>4.2482289999999999E-2</v>
      </c>
      <c r="X2287">
        <v>0.96787290000000004</v>
      </c>
      <c r="Y2287">
        <v>0.62599099999999996</v>
      </c>
      <c r="Z2287">
        <v>-8.0488939999999991E-3</v>
      </c>
      <c r="AA2287">
        <v>0.7797887</v>
      </c>
      <c r="AB2287">
        <v>10</v>
      </c>
      <c r="AC2287">
        <v>27.397500000000001</v>
      </c>
      <c r="AD2287">
        <v>4.2900790000000004</v>
      </c>
      <c r="AE2287">
        <v>-240.32429999999999</v>
      </c>
      <c r="AF2287">
        <v>151.39541558937799</v>
      </c>
      <c r="AG2287">
        <v>4.2900790000000004</v>
      </c>
      <c r="AH2287">
        <v>188.54449904862099</v>
      </c>
      <c r="AI2287">
        <v>88.983570412520194</v>
      </c>
      <c r="AJ2287">
        <v>51.236610420870697</v>
      </c>
      <c r="AK2287">
        <v>241.842934072514</v>
      </c>
      <c r="AL2287">
        <v>87.565211433179797</v>
      </c>
      <c r="AM2287">
        <v>75.637894679115306</v>
      </c>
      <c r="AN2287">
        <v>1.0000000374190701</v>
      </c>
    </row>
    <row r="2288" spans="1:40" x14ac:dyDescent="0.25">
      <c r="A2288" t="str">
        <f>"20190312150707179"</f>
        <v>20190312150707179</v>
      </c>
      <c r="B2288" t="str">
        <f>"1552374427171918"</f>
        <v>1552374427171918</v>
      </c>
      <c r="C2288" t="s">
        <v>40</v>
      </c>
      <c r="D2288">
        <v>4.6463599999999996</v>
      </c>
      <c r="E2288">
        <v>0.66969709999999905</v>
      </c>
      <c r="F2288" t="s">
        <v>60</v>
      </c>
      <c r="G2288">
        <v>-166.66059999999999</v>
      </c>
      <c r="H2288">
        <v>5.3372739999999999</v>
      </c>
      <c r="I2288">
        <v>118.6189</v>
      </c>
      <c r="J2288">
        <v>-193.98779999999999</v>
      </c>
      <c r="K2288">
        <v>1.109127</v>
      </c>
      <c r="L2288">
        <v>358.94009999999997</v>
      </c>
      <c r="M2288">
        <v>0.70807799999999999</v>
      </c>
      <c r="N2288">
        <v>0</v>
      </c>
      <c r="O2288">
        <v>-0.70600280000000004</v>
      </c>
      <c r="P2288">
        <v>0.51114529999999903</v>
      </c>
      <c r="Q2288">
        <v>3.0985760000000001E-2</v>
      </c>
      <c r="R2288">
        <v>-0.85893569999999997</v>
      </c>
      <c r="S2288">
        <v>0.37266539999999998</v>
      </c>
      <c r="T2288">
        <v>5.7581420000000001E-2</v>
      </c>
      <c r="U2288">
        <v>-3.2734070000000002</v>
      </c>
      <c r="V2288">
        <v>0.2475224</v>
      </c>
      <c r="W2288">
        <v>4.3176880000000001E-2</v>
      </c>
      <c r="X2288">
        <v>0.96791959999999999</v>
      </c>
      <c r="Y2288">
        <v>0.62372179999999999</v>
      </c>
      <c r="Z2288">
        <v>-8.0066819999999993E-3</v>
      </c>
      <c r="AA2288">
        <v>0.78160540000000001</v>
      </c>
      <c r="AB2288">
        <v>10</v>
      </c>
      <c r="AC2288">
        <v>27.327200000000001</v>
      </c>
      <c r="AD2288">
        <v>4.2281469999999999</v>
      </c>
      <c r="AE2288">
        <v>-240.3212</v>
      </c>
      <c r="AF2288">
        <v>150.84098211644201</v>
      </c>
      <c r="AG2288">
        <v>4.2281469999999999</v>
      </c>
      <c r="AH2288">
        <v>188.97702260287801</v>
      </c>
      <c r="AI2288">
        <v>88.998203992359606</v>
      </c>
      <c r="AJ2288">
        <v>51.4032209963677</v>
      </c>
      <c r="AK2288">
        <v>241.83298820623099</v>
      </c>
      <c r="AL2288">
        <v>87.525377631784494</v>
      </c>
      <c r="AM2288">
        <v>75.655387207888694</v>
      </c>
      <c r="AN2288">
        <v>0.99999996676622604</v>
      </c>
    </row>
    <row r="2289" spans="1:40" x14ac:dyDescent="0.25">
      <c r="A2289" t="str">
        <f>"20190312150707191"</f>
        <v>20190312150707191</v>
      </c>
      <c r="B2289" t="str">
        <f>"1552374427182654"</f>
        <v>1552374427182654</v>
      </c>
      <c r="C2289" t="s">
        <v>40</v>
      </c>
      <c r="D2289">
        <v>4.6991800000000001</v>
      </c>
      <c r="E2289">
        <v>0.66875410000000002</v>
      </c>
      <c r="F2289" t="s">
        <v>60</v>
      </c>
      <c r="G2289">
        <v>-166.82149999999999</v>
      </c>
      <c r="H2289">
        <v>5.3047019999999998</v>
      </c>
      <c r="I2289">
        <v>118.4282</v>
      </c>
      <c r="J2289">
        <v>-193.9522</v>
      </c>
      <c r="K2289">
        <v>1.1091359999999999</v>
      </c>
      <c r="L2289">
        <v>358.89949999999999</v>
      </c>
      <c r="M2289">
        <v>0.70590969999999997</v>
      </c>
      <c r="N2289">
        <v>0</v>
      </c>
      <c r="O2289">
        <v>-0.70817079999999999</v>
      </c>
      <c r="P2289">
        <v>0.50872949999999995</v>
      </c>
      <c r="Q2289">
        <v>3.1947919999999998E-2</v>
      </c>
      <c r="R2289">
        <v>-0.86033340000000003</v>
      </c>
      <c r="S2289">
        <v>0.36944579999999999</v>
      </c>
      <c r="T2289">
        <v>5.7057139999999999E-2</v>
      </c>
      <c r="U2289">
        <v>-3.270813</v>
      </c>
      <c r="V2289">
        <v>0.24725269999999999</v>
      </c>
      <c r="W2289">
        <v>4.4141069999999998E-2</v>
      </c>
      <c r="X2289">
        <v>0.96794500000000006</v>
      </c>
      <c r="Y2289">
        <v>0.6220137</v>
      </c>
      <c r="Z2289">
        <v>-8.0066080000000001E-3</v>
      </c>
      <c r="AA2289">
        <v>0.78296540000000003</v>
      </c>
      <c r="AB2289">
        <v>10</v>
      </c>
      <c r="AC2289">
        <v>27.130700000000001</v>
      </c>
      <c r="AD2289">
        <v>4.1955660000000004</v>
      </c>
      <c r="AE2289">
        <v>-240.47130000000001</v>
      </c>
      <c r="AF2289">
        <v>150.50658718786499</v>
      </c>
      <c r="AG2289">
        <v>4.1955660000000004</v>
      </c>
      <c r="AH2289">
        <v>189.40722937082799</v>
      </c>
      <c r="AI2289">
        <v>89.006448702833495</v>
      </c>
      <c r="AJ2289">
        <v>51.528678125571297</v>
      </c>
      <c r="AK2289">
        <v>241.96060443578901</v>
      </c>
      <c r="AL2289">
        <v>87.470080784538695</v>
      </c>
      <c r="AM2289">
        <v>75.670733631549794</v>
      </c>
      <c r="AN2289">
        <v>0.999999927371514</v>
      </c>
    </row>
    <row r="2290" spans="1:40" x14ac:dyDescent="0.25">
      <c r="A2290" t="str">
        <f>"20190312150707209"</f>
        <v>20190312150707209</v>
      </c>
      <c r="B2290" t="str">
        <f>"1552374427202175"</f>
        <v>1552374427202175</v>
      </c>
      <c r="C2290" t="s">
        <v>40</v>
      </c>
      <c r="D2290">
        <v>4.6651429999999996</v>
      </c>
      <c r="E2290">
        <v>0.66715340000000001</v>
      </c>
      <c r="F2290" t="s">
        <v>60</v>
      </c>
      <c r="G2290">
        <v>-166.9436</v>
      </c>
      <c r="H2290">
        <v>5.325545</v>
      </c>
      <c r="I2290">
        <v>118.2833</v>
      </c>
      <c r="J2290">
        <v>-193.8981</v>
      </c>
      <c r="K2290">
        <v>1.1091530000000001</v>
      </c>
      <c r="L2290">
        <v>358.83749999999998</v>
      </c>
      <c r="M2290">
        <v>0.70259459999999996</v>
      </c>
      <c r="N2290">
        <v>0</v>
      </c>
      <c r="O2290">
        <v>-0.71146019999999999</v>
      </c>
      <c r="P2290">
        <v>0.50483040000000001</v>
      </c>
      <c r="Q2290">
        <v>3.3835789999999998E-2</v>
      </c>
      <c r="R2290">
        <v>-0.86255539999999997</v>
      </c>
      <c r="S2290">
        <v>0.36682130000000002</v>
      </c>
      <c r="T2290">
        <v>5.7266240000000003E-2</v>
      </c>
      <c r="U2290">
        <v>-3.2679749999999999</v>
      </c>
      <c r="V2290">
        <v>0.24706929999999999</v>
      </c>
      <c r="W2290">
        <v>4.6030290000000001E-2</v>
      </c>
      <c r="X2290">
        <v>0.96790390000000004</v>
      </c>
      <c r="Y2290">
        <v>0.61889719999999904</v>
      </c>
      <c r="Z2290">
        <v>-8.1482120000000002E-3</v>
      </c>
      <c r="AA2290">
        <v>0.78542970000000001</v>
      </c>
      <c r="AB2290">
        <v>10</v>
      </c>
      <c r="AC2290">
        <v>26.954499999999999</v>
      </c>
      <c r="AD2290">
        <v>4.2163919999999999</v>
      </c>
      <c r="AE2290">
        <v>-240.55420000000001</v>
      </c>
      <c r="AF2290">
        <v>149.803452875792</v>
      </c>
      <c r="AG2290">
        <v>4.2163919999999999</v>
      </c>
      <c r="AH2290">
        <v>190.042768784153</v>
      </c>
      <c r="AI2290">
        <v>89.001773624145997</v>
      </c>
      <c r="AJ2290">
        <v>51.752637748817101</v>
      </c>
      <c r="AK2290">
        <v>242.022946065356</v>
      </c>
      <c r="AL2290">
        <v>87.361726418276902</v>
      </c>
      <c r="AM2290">
        <v>75.680342138269197</v>
      </c>
      <c r="AN2290">
        <v>0.99999999311759202</v>
      </c>
    </row>
    <row r="2291" spans="1:40" x14ac:dyDescent="0.25">
      <c r="A2291" t="str">
        <f>"20190312150707223"</f>
        <v>20190312150707223</v>
      </c>
      <c r="B2291" t="str">
        <f>"1552374427211936"</f>
        <v>1552374427211936</v>
      </c>
      <c r="C2291" t="s">
        <v>40</v>
      </c>
      <c r="D2291">
        <v>4.5842219999999996</v>
      </c>
      <c r="E2291">
        <v>0.66636399999999996</v>
      </c>
      <c r="F2291" t="s">
        <v>58</v>
      </c>
      <c r="G2291">
        <v>-166.0795</v>
      </c>
      <c r="H2291">
        <v>4.1862539999999999</v>
      </c>
      <c r="I2291">
        <v>108.5364</v>
      </c>
      <c r="J2291">
        <v>-193.8518</v>
      </c>
      <c r="K2291">
        <v>1.109165</v>
      </c>
      <c r="L2291">
        <v>358.78379999999999</v>
      </c>
      <c r="M2291">
        <v>0.69972190000000001</v>
      </c>
      <c r="N2291">
        <v>0</v>
      </c>
      <c r="O2291">
        <v>-0.71428599999999998</v>
      </c>
      <c r="P2291">
        <v>0.50109309999999996</v>
      </c>
      <c r="Q2291">
        <v>3.4770830000000003E-2</v>
      </c>
      <c r="R2291">
        <v>-0.864695199999999</v>
      </c>
      <c r="S2291">
        <v>0.36277769999999998</v>
      </c>
      <c r="T2291">
        <v>4.0127990000000002E-2</v>
      </c>
      <c r="U2291">
        <v>-3.2641300000000002</v>
      </c>
      <c r="V2291">
        <v>0.24733450000000001</v>
      </c>
      <c r="W2291">
        <v>4.6964359999999997E-2</v>
      </c>
      <c r="X2291">
        <v>0.96779130000000002</v>
      </c>
      <c r="Y2291">
        <v>0.61659219999999904</v>
      </c>
      <c r="Z2291">
        <v>-5.7781569999999999E-3</v>
      </c>
      <c r="AA2291">
        <v>0.78726149999999995</v>
      </c>
      <c r="AB2291">
        <v>10</v>
      </c>
      <c r="AC2291">
        <v>27.772300000000001</v>
      </c>
      <c r="AD2291">
        <v>3.077089</v>
      </c>
      <c r="AE2291">
        <v>-250.2474</v>
      </c>
      <c r="AF2291">
        <v>155.257378872147</v>
      </c>
      <c r="AG2291">
        <v>3.077089</v>
      </c>
      <c r="AH2291">
        <v>198.16981467435701</v>
      </c>
      <c r="AI2291">
        <v>89.299709542531502</v>
      </c>
      <c r="AJ2291">
        <v>51.922854064508499</v>
      </c>
      <c r="AK2291">
        <v>251.764965034916</v>
      </c>
      <c r="AL2291">
        <v>87.308150227014195</v>
      </c>
      <c r="AM2291">
        <v>75.664005700643003</v>
      </c>
      <c r="AN2291">
        <v>1.00000000317807</v>
      </c>
    </row>
    <row r="2292" spans="1:40" x14ac:dyDescent="0.25">
      <c r="A2292" t="str">
        <f>"20190312150707238"</f>
        <v>20190312150707238</v>
      </c>
      <c r="B2292" t="str">
        <f>"1552374427232430"</f>
        <v>1552374427232430</v>
      </c>
      <c r="C2292" t="s">
        <v>40</v>
      </c>
      <c r="D2292">
        <v>4.7185300000000003</v>
      </c>
      <c r="E2292">
        <v>0.664807699999999</v>
      </c>
      <c r="F2292" t="s">
        <v>58</v>
      </c>
      <c r="G2292">
        <v>-166.64160000000001</v>
      </c>
      <c r="H2292">
        <v>3.6746759999999998</v>
      </c>
      <c r="I2292">
        <v>107.9729</v>
      </c>
      <c r="J2292">
        <v>-193.81129999999999</v>
      </c>
      <c r="K2292">
        <v>1.10917</v>
      </c>
      <c r="L2292">
        <v>358.73660000000001</v>
      </c>
      <c r="M2292">
        <v>0.69718869999999999</v>
      </c>
      <c r="N2292">
        <v>0</v>
      </c>
      <c r="O2292">
        <v>-0.71675829999999996</v>
      </c>
      <c r="P2292">
        <v>0.49774279999999999</v>
      </c>
      <c r="Q2292">
        <v>3.598138E-2</v>
      </c>
      <c r="R2292">
        <v>-0.86657799999999996</v>
      </c>
      <c r="S2292">
        <v>0.35398859999999999</v>
      </c>
      <c r="T2292">
        <v>3.337598E-2</v>
      </c>
      <c r="U2292">
        <v>-3.2629090000000001</v>
      </c>
      <c r="V2292">
        <v>0.24762380000000001</v>
      </c>
      <c r="W2292">
        <v>4.817225E-2</v>
      </c>
      <c r="X2292">
        <v>0.96765789999999996</v>
      </c>
      <c r="Y2292">
        <v>0.61586929999999995</v>
      </c>
      <c r="Z2292">
        <v>-4.8468510000000001E-3</v>
      </c>
      <c r="AA2292">
        <v>0.78783349999999996</v>
      </c>
      <c r="AB2292">
        <v>10</v>
      </c>
      <c r="AC2292">
        <v>27.169699999999899</v>
      </c>
      <c r="AD2292">
        <v>2.5655060000000001</v>
      </c>
      <c r="AE2292">
        <v>-250.7637</v>
      </c>
      <c r="AF2292">
        <v>155.353845826342</v>
      </c>
      <c r="AG2292">
        <v>2.5655060000000001</v>
      </c>
      <c r="AH2292">
        <v>198.67724284160599</v>
      </c>
      <c r="AI2292">
        <v>89.417190466958203</v>
      </c>
      <c r="AJ2292">
        <v>51.9766967090289</v>
      </c>
      <c r="AK2292">
        <v>252.21825084084</v>
      </c>
      <c r="AL2292">
        <v>87.238864677315902</v>
      </c>
      <c r="AM2292">
        <v>75.646032795648296</v>
      </c>
      <c r="AN2292">
        <v>0.99999996171445504</v>
      </c>
    </row>
    <row r="2293" spans="1:40" x14ac:dyDescent="0.25">
      <c r="A2293" t="str">
        <f>"20190312150707254"</f>
        <v>20190312150707254</v>
      </c>
      <c r="B2293" t="str">
        <f>"1552374427242192"</f>
        <v>1552374427242192</v>
      </c>
      <c r="C2293" t="s">
        <v>40</v>
      </c>
      <c r="D2293">
        <v>4.6795949999999999</v>
      </c>
      <c r="E2293">
        <v>0.66414879999999998</v>
      </c>
      <c r="F2293" t="s">
        <v>58</v>
      </c>
      <c r="G2293">
        <v>-166.703</v>
      </c>
      <c r="H2293">
        <v>2.8812229999999999</v>
      </c>
      <c r="I2293">
        <v>107.9109</v>
      </c>
      <c r="J2293">
        <v>-193.76089999999999</v>
      </c>
      <c r="K2293">
        <v>1.1091839999999999</v>
      </c>
      <c r="L2293">
        <v>358.67720000000003</v>
      </c>
      <c r="M2293">
        <v>0.69400209999999996</v>
      </c>
      <c r="N2293">
        <v>0</v>
      </c>
      <c r="O2293">
        <v>-0.71984429999999999</v>
      </c>
      <c r="P2293">
        <v>0.49379919999999999</v>
      </c>
      <c r="Q2293">
        <v>3.7806720000000002E-2</v>
      </c>
      <c r="R2293">
        <v>-0.86875400000000003</v>
      </c>
      <c r="S2293">
        <v>0.3521881</v>
      </c>
      <c r="T2293">
        <v>2.302241E-2</v>
      </c>
      <c r="U2293">
        <v>-3.2586979999999999</v>
      </c>
      <c r="V2293">
        <v>0.24768180000000001</v>
      </c>
      <c r="W2293">
        <v>4.999634E-2</v>
      </c>
      <c r="X2293">
        <v>0.96755060000000004</v>
      </c>
      <c r="Y2293">
        <v>0.61269180000000001</v>
      </c>
      <c r="Z2293">
        <v>-3.3882090000000001E-3</v>
      </c>
      <c r="AA2293">
        <v>0.79031470000000004</v>
      </c>
      <c r="AB2293">
        <v>10</v>
      </c>
      <c r="AC2293">
        <v>27.057899999999901</v>
      </c>
      <c r="AD2293">
        <v>1.7720389999999999</v>
      </c>
      <c r="AE2293">
        <v>-250.7663</v>
      </c>
      <c r="AF2293">
        <v>154.56155356006201</v>
      </c>
      <c r="AG2293">
        <v>1.7720389999999999</v>
      </c>
      <c r="AH2293">
        <v>199.29955732446999</v>
      </c>
      <c r="AI2293">
        <v>89.597442916716105</v>
      </c>
      <c r="AJ2293">
        <v>52.205569934260097</v>
      </c>
      <c r="AK2293">
        <v>252.215636927704</v>
      </c>
      <c r="AL2293">
        <v>87.134226085271806</v>
      </c>
      <c r="AM2293">
        <v>75.641283320714805</v>
      </c>
      <c r="AN2293">
        <v>1.0000000358124901</v>
      </c>
    </row>
    <row r="2294" spans="1:40" x14ac:dyDescent="0.25">
      <c r="A2294" t="str">
        <f>"20190312150707268"</f>
        <v>20190312150707268</v>
      </c>
      <c r="B2294" t="str">
        <f>"1552374427262688"</f>
        <v>1552374427262688</v>
      </c>
      <c r="C2294" t="s">
        <v>40</v>
      </c>
      <c r="D2294">
        <v>4.6749299999999998</v>
      </c>
      <c r="E2294">
        <v>0.66267779999999998</v>
      </c>
      <c r="F2294" t="s">
        <v>58</v>
      </c>
      <c r="G2294">
        <v>-167.36250000000001</v>
      </c>
      <c r="H2294">
        <v>2.5268329999999999</v>
      </c>
      <c r="I2294">
        <v>107.2501</v>
      </c>
      <c r="J2294">
        <v>-193.71979999999999</v>
      </c>
      <c r="K2294">
        <v>1.109194</v>
      </c>
      <c r="L2294">
        <v>358.62849999999997</v>
      </c>
      <c r="M2294">
        <v>0.6913821</v>
      </c>
      <c r="N2294">
        <v>0</v>
      </c>
      <c r="O2294">
        <v>-0.72236119999999904</v>
      </c>
      <c r="P2294">
        <v>0.49061339999999998</v>
      </c>
      <c r="Q2294">
        <v>3.8271890000000003E-2</v>
      </c>
      <c r="R2294">
        <v>-0.87053670000000005</v>
      </c>
      <c r="S2294">
        <v>0.34207149999999997</v>
      </c>
      <c r="T2294">
        <v>1.8370029999999999E-2</v>
      </c>
      <c r="U2294">
        <v>-3.2579959999999999</v>
      </c>
      <c r="V2294">
        <v>0.2476981</v>
      </c>
      <c r="W2294">
        <v>5.0461619999999999E-2</v>
      </c>
      <c r="X2294">
        <v>0.96752229999999995</v>
      </c>
      <c r="Y2294">
        <v>0.61222900000000002</v>
      </c>
      <c r="Z2294">
        <v>-2.7254079999999999E-3</v>
      </c>
      <c r="AA2294">
        <v>0.79067580000000004</v>
      </c>
      <c r="AB2294">
        <v>10</v>
      </c>
      <c r="AC2294">
        <v>26.357299999999899</v>
      </c>
      <c r="AD2294">
        <v>1.4176390000000001</v>
      </c>
      <c r="AE2294">
        <v>-251.3784</v>
      </c>
      <c r="AF2294">
        <v>154.768490619608</v>
      </c>
      <c r="AG2294">
        <v>1.4176390000000001</v>
      </c>
      <c r="AH2294">
        <v>199.82117593028801</v>
      </c>
      <c r="AI2294">
        <v>89.678637498822795</v>
      </c>
      <c r="AJ2294">
        <v>52.240965221232102</v>
      </c>
      <c r="AK2294">
        <v>252.75244358693999</v>
      </c>
      <c r="AL2294">
        <v>87.107533889807101</v>
      </c>
      <c r="AM2294">
        <v>75.639974794655402</v>
      </c>
      <c r="AN2294">
        <v>1.00000006241696</v>
      </c>
    </row>
    <row r="2295" spans="1:40" x14ac:dyDescent="0.25">
      <c r="A2295" t="str">
        <f>"20190312150707280"</f>
        <v>20190312150707280</v>
      </c>
      <c r="B2295" t="str">
        <f>"1552374427272447"</f>
        <v>1552374427272447</v>
      </c>
      <c r="C2295" t="s">
        <v>40</v>
      </c>
      <c r="D2295">
        <v>4.6871369999999999</v>
      </c>
      <c r="E2295">
        <v>0.66208120000000004</v>
      </c>
      <c r="F2295" t="s">
        <v>58</v>
      </c>
      <c r="G2295">
        <v>-167.43049999999999</v>
      </c>
      <c r="H2295">
        <v>1.6204799999999999</v>
      </c>
      <c r="I2295">
        <v>107.18129999999999</v>
      </c>
      <c r="J2295">
        <v>-193.6832</v>
      </c>
      <c r="K2295">
        <v>1.109202</v>
      </c>
      <c r="L2295">
        <v>358.5847</v>
      </c>
      <c r="M2295">
        <v>0.68902030000000003</v>
      </c>
      <c r="N2295">
        <v>0</v>
      </c>
      <c r="O2295">
        <v>-0.72461450000000005</v>
      </c>
      <c r="P2295">
        <v>0.48786839999999998</v>
      </c>
      <c r="Q2295">
        <v>3.9177759999999999E-2</v>
      </c>
      <c r="R2295">
        <v>-0.87203809999999904</v>
      </c>
      <c r="S2295">
        <v>0.34022520000000001</v>
      </c>
      <c r="T2295">
        <v>6.6169499999999999E-3</v>
      </c>
      <c r="U2295">
        <v>-3.2541199999999999</v>
      </c>
      <c r="V2295">
        <v>0.24756329999999999</v>
      </c>
      <c r="W2295">
        <v>5.1367379999999997E-2</v>
      </c>
      <c r="X2295">
        <v>0.96750910000000001</v>
      </c>
      <c r="Y2295">
        <v>0.60999199999999998</v>
      </c>
      <c r="Z2295">
        <v>-9.9131530000000009E-4</v>
      </c>
      <c r="AA2295">
        <v>0.79240699999999997</v>
      </c>
      <c r="AB2295">
        <v>10</v>
      </c>
      <c r="AC2295">
        <v>26.252700000000001</v>
      </c>
      <c r="AD2295">
        <v>0.51127799999999901</v>
      </c>
      <c r="AE2295">
        <v>-251.4034</v>
      </c>
      <c r="AF2295">
        <v>154.21258208798099</v>
      </c>
      <c r="AG2295">
        <v>0.51127799999999901</v>
      </c>
      <c r="AH2295">
        <v>200.276884605861</v>
      </c>
      <c r="AI2295">
        <v>89.884107665444901</v>
      </c>
      <c r="AJ2295">
        <v>52.4038400350884</v>
      </c>
      <c r="AK2295">
        <v>252.76988029997699</v>
      </c>
      <c r="AL2295">
        <v>87.055570165371407</v>
      </c>
      <c r="AM2295">
        <v>75.647279025552507</v>
      </c>
      <c r="AN2295">
        <v>1.00000002690888</v>
      </c>
    </row>
    <row r="2296" spans="1:40" x14ac:dyDescent="0.25">
      <c r="A2296" t="str">
        <f>"20190312150707298"</f>
        <v>20190312150707298</v>
      </c>
      <c r="B2296" t="str">
        <f>"1552374427291967"</f>
        <v>1552374427291967</v>
      </c>
      <c r="C2296" t="s">
        <v>40</v>
      </c>
      <c r="D2296">
        <v>4.6688080000000003</v>
      </c>
      <c r="E2296">
        <v>0.66064409999999996</v>
      </c>
      <c r="F2296" t="s">
        <v>58</v>
      </c>
      <c r="G2296">
        <v>-167.8116</v>
      </c>
      <c r="H2296">
        <v>1.1764059999999901</v>
      </c>
      <c r="I2296">
        <v>106.7992</v>
      </c>
      <c r="J2296">
        <v>-193.62970000000001</v>
      </c>
      <c r="K2296">
        <v>1.109216</v>
      </c>
      <c r="L2296">
        <v>358.52019999999999</v>
      </c>
      <c r="M2296">
        <v>0.68553809999999904</v>
      </c>
      <c r="N2296">
        <v>0</v>
      </c>
      <c r="O2296">
        <v>-0.72790980000000005</v>
      </c>
      <c r="P2296">
        <v>0.48420770000000002</v>
      </c>
      <c r="Q2296">
        <v>4.0557459999999997E-2</v>
      </c>
      <c r="R2296">
        <v>-0.87401260000000003</v>
      </c>
      <c r="S2296">
        <v>0.33427430000000002</v>
      </c>
      <c r="T2296">
        <v>8.6843969999999995E-4</v>
      </c>
      <c r="U2296">
        <v>-3.2532040000000002</v>
      </c>
      <c r="V2296">
        <v>0.24694279999999999</v>
      </c>
      <c r="W2296">
        <v>5.274976E-2</v>
      </c>
      <c r="X2296">
        <v>0.96759329999999999</v>
      </c>
      <c r="Y2296">
        <v>0.60760099999999995</v>
      </c>
      <c r="Z2296">
        <v>-1.316616E-4</v>
      </c>
      <c r="AA2296">
        <v>0.79424240000000002</v>
      </c>
      <c r="AB2296">
        <v>10</v>
      </c>
      <c r="AC2296">
        <v>25.818100000000001</v>
      </c>
      <c r="AD2296">
        <v>6.7189999999999805E-2</v>
      </c>
      <c r="AE2296">
        <v>-251.72099999999901</v>
      </c>
      <c r="AF2296">
        <v>153.78529044612901</v>
      </c>
      <c r="AG2296">
        <v>6.7189999999999805E-2</v>
      </c>
      <c r="AH2296">
        <v>200.94803194363001</v>
      </c>
      <c r="AI2296">
        <v>89.984786279949802</v>
      </c>
      <c r="AJ2296">
        <v>52.573212730941997</v>
      </c>
      <c r="AK2296">
        <v>253.041561041096</v>
      </c>
      <c r="AL2296">
        <v>86.976258113278504</v>
      </c>
      <c r="AM2296">
        <v>75.682966994897001</v>
      </c>
      <c r="AN2296">
        <v>1.0000000389283901</v>
      </c>
    </row>
    <row r="2297" spans="1:40" x14ac:dyDescent="0.25">
      <c r="A2297" t="str">
        <f>"20190312150707310"</f>
        <v>20190312150707310</v>
      </c>
      <c r="B2297" t="str">
        <f>"1552374427302703"</f>
        <v>1552374427302703</v>
      </c>
      <c r="C2297" t="s">
        <v>40</v>
      </c>
      <c r="D2297">
        <v>4.6815619999999996</v>
      </c>
      <c r="E2297">
        <v>0.66004640000000003</v>
      </c>
      <c r="F2297" t="s">
        <v>58</v>
      </c>
      <c r="G2297">
        <v>-167.97149999999999</v>
      </c>
      <c r="H2297">
        <v>0.98175000000000001</v>
      </c>
      <c r="I2297">
        <v>106.639</v>
      </c>
      <c r="J2297">
        <v>-193.59540000000001</v>
      </c>
      <c r="K2297">
        <v>1.1092229999999901</v>
      </c>
      <c r="L2297">
        <v>358.47859999999997</v>
      </c>
      <c r="M2297">
        <v>0.68328599999999995</v>
      </c>
      <c r="N2297">
        <v>0</v>
      </c>
      <c r="O2297">
        <v>-0.73002419999999901</v>
      </c>
      <c r="P2297">
        <v>0.48173880000000002</v>
      </c>
      <c r="Q2297">
        <v>4.1297229999999997E-2</v>
      </c>
      <c r="R2297">
        <v>-0.87534129999999999</v>
      </c>
      <c r="S2297">
        <v>0.33097840000000001</v>
      </c>
      <c r="T2297">
        <v>-1.6441349999999999E-3</v>
      </c>
      <c r="U2297">
        <v>-3.2491460000000001</v>
      </c>
      <c r="V2297">
        <v>0.24666370000000001</v>
      </c>
      <c r="W2297">
        <v>5.3489719999999998E-2</v>
      </c>
      <c r="X2297">
        <v>0.96762380000000003</v>
      </c>
      <c r="Y2297">
        <v>0.6058422</v>
      </c>
      <c r="Z2297">
        <v>2.5146860000000001E-4</v>
      </c>
      <c r="AA2297">
        <v>0.79558469999999903</v>
      </c>
      <c r="AB2297">
        <v>10</v>
      </c>
      <c r="AC2297">
        <v>25.623899999999999</v>
      </c>
      <c r="AD2297">
        <v>-0.127472999999999</v>
      </c>
      <c r="AE2297">
        <v>-251.83959999999999</v>
      </c>
      <c r="AF2297">
        <v>153.386548914749</v>
      </c>
      <c r="AG2297">
        <v>-0.127472999999999</v>
      </c>
      <c r="AH2297">
        <v>201.376022635948</v>
      </c>
      <c r="AI2297">
        <v>90.0288523004469</v>
      </c>
      <c r="AJ2297">
        <v>52.703757665981698</v>
      </c>
      <c r="AK2297">
        <v>253.13978772610301</v>
      </c>
      <c r="AL2297">
        <v>86.933801389526195</v>
      </c>
      <c r="AM2297">
        <v>75.698916568250795</v>
      </c>
      <c r="AN2297">
        <v>0.99999997468490298</v>
      </c>
    </row>
    <row r="2298" spans="1:40" x14ac:dyDescent="0.25">
      <c r="A2298" t="str">
        <f>"20190312150707321"</f>
        <v>20190312150707321</v>
      </c>
      <c r="B2298" t="str">
        <f>"1552374427312464"</f>
        <v>1552374427312464</v>
      </c>
      <c r="C2298" t="s">
        <v>40</v>
      </c>
      <c r="D2298">
        <v>4.526783</v>
      </c>
      <c r="E2298">
        <v>0.65923269999999901</v>
      </c>
      <c r="F2298" t="s">
        <v>58</v>
      </c>
      <c r="G2298">
        <v>-168.29089999999999</v>
      </c>
      <c r="H2298">
        <v>0.57753989999999999</v>
      </c>
      <c r="I2298">
        <v>106.3188</v>
      </c>
      <c r="J2298">
        <v>-193.56020000000001</v>
      </c>
      <c r="K2298">
        <v>1.109226</v>
      </c>
      <c r="L2298">
        <v>358.43549999999999</v>
      </c>
      <c r="M2298">
        <v>0.68094860000000001</v>
      </c>
      <c r="N2298">
        <v>0</v>
      </c>
      <c r="O2298">
        <v>-0.73220529999999995</v>
      </c>
      <c r="P2298">
        <v>0.47924529999999899</v>
      </c>
      <c r="Q2298">
        <v>4.1789319999999998E-2</v>
      </c>
      <c r="R2298">
        <v>-0.87668590000000002</v>
      </c>
      <c r="S2298">
        <v>0.32595829999999998</v>
      </c>
      <c r="T2298">
        <v>-6.8486930000000003E-3</v>
      </c>
      <c r="U2298">
        <v>-3.2481689999999999</v>
      </c>
      <c r="V2298">
        <v>0.2463101</v>
      </c>
      <c r="W2298">
        <v>5.3982540000000002E-2</v>
      </c>
      <c r="X2298">
        <v>0.9676865</v>
      </c>
      <c r="Y2298">
        <v>0.60449049999999904</v>
      </c>
      <c r="Z2298">
        <v>1.055554E-3</v>
      </c>
      <c r="AA2298">
        <v>0.79661159999999998</v>
      </c>
      <c r="AB2298">
        <v>10</v>
      </c>
      <c r="AC2298">
        <v>25.269300000000001</v>
      </c>
      <c r="AD2298">
        <v>-0.53168609999999905</v>
      </c>
      <c r="AE2298">
        <v>-252.11670000000001</v>
      </c>
      <c r="AF2298">
        <v>153.18964900716</v>
      </c>
      <c r="AG2298">
        <v>-0.53168609999999905</v>
      </c>
      <c r="AH2298">
        <v>201.82599932109599</v>
      </c>
      <c r="AI2298">
        <v>90.120228401506907</v>
      </c>
      <c r="AJ2298">
        <v>52.800832595040497</v>
      </c>
      <c r="AK2298">
        <v>253.37933075727599</v>
      </c>
      <c r="AL2298">
        <v>86.905524015492304</v>
      </c>
      <c r="AM2298">
        <v>75.719465887257499</v>
      </c>
      <c r="AN2298">
        <v>0.99999997113455497</v>
      </c>
    </row>
    <row r="2299" spans="1:40" x14ac:dyDescent="0.25">
      <c r="A2299" t="str">
        <f>"20190312150707333"</f>
        <v>20190312150707333</v>
      </c>
      <c r="B2299" t="str">
        <f>"1552374427322223"</f>
        <v>1552374427322223</v>
      </c>
      <c r="C2299" t="s">
        <v>40</v>
      </c>
      <c r="D2299">
        <v>4.6804519999999998</v>
      </c>
      <c r="E2299">
        <v>0.65862980000000004</v>
      </c>
      <c r="F2299" t="s">
        <v>58</v>
      </c>
      <c r="G2299">
        <v>-168.51679999999999</v>
      </c>
      <c r="H2299">
        <v>0.3412385</v>
      </c>
      <c r="I2299">
        <v>106.3013</v>
      </c>
      <c r="J2299">
        <v>-193.5284</v>
      </c>
      <c r="K2299">
        <v>1.109229</v>
      </c>
      <c r="L2299">
        <v>358.3963</v>
      </c>
      <c r="M2299">
        <v>0.67881289999999905</v>
      </c>
      <c r="N2299">
        <v>0</v>
      </c>
      <c r="O2299">
        <v>-0.73418539999999999</v>
      </c>
      <c r="P2299">
        <v>0.47689569999999998</v>
      </c>
      <c r="Q2299">
        <v>4.2303960000000002E-2</v>
      </c>
      <c r="R2299">
        <v>-0.87794169999999905</v>
      </c>
      <c r="S2299">
        <v>0.32243349999999998</v>
      </c>
      <c r="T2299">
        <v>-9.8876950000000002E-3</v>
      </c>
      <c r="U2299">
        <v>-3.246216</v>
      </c>
      <c r="V2299">
        <v>0.2460685</v>
      </c>
      <c r="W2299">
        <v>5.4497230000000001E-2</v>
      </c>
      <c r="X2299">
        <v>0.96771910000000005</v>
      </c>
      <c r="Y2299">
        <v>0.60297800000000001</v>
      </c>
      <c r="Z2299">
        <v>1.5353610000000001E-3</v>
      </c>
      <c r="AA2299">
        <v>0.79775640000000003</v>
      </c>
      <c r="AB2299">
        <v>10</v>
      </c>
      <c r="AC2299">
        <v>25.011600000000001</v>
      </c>
      <c r="AD2299">
        <v>-0.76799050000000002</v>
      </c>
      <c r="AE2299">
        <v>-252.095</v>
      </c>
      <c r="AF2299">
        <v>152.77490306718599</v>
      </c>
      <c r="AG2299">
        <v>-0.76799050000000002</v>
      </c>
      <c r="AH2299">
        <v>202.07948572236799</v>
      </c>
      <c r="AI2299">
        <v>90.173696012178596</v>
      </c>
      <c r="AJ2299">
        <v>52.910212156250097</v>
      </c>
      <c r="AK2299">
        <v>253.33156014680301</v>
      </c>
      <c r="AL2299">
        <v>86.875990926503903</v>
      </c>
      <c r="AM2299">
        <v>75.733362195768805</v>
      </c>
      <c r="AN2299">
        <v>0.99999995563736499</v>
      </c>
    </row>
    <row r="2300" spans="1:40" x14ac:dyDescent="0.25">
      <c r="A2300" t="str">
        <f>"20190312150707345"</f>
        <v>20190312150707345</v>
      </c>
      <c r="B2300" t="str">
        <f>"1552374427342250"</f>
        <v>1552374427342250</v>
      </c>
      <c r="C2300" t="s">
        <v>40</v>
      </c>
      <c r="D2300">
        <v>4.6889110000000001</v>
      </c>
      <c r="E2300">
        <v>0.65745629999999999</v>
      </c>
      <c r="F2300" t="s">
        <v>58</v>
      </c>
      <c r="G2300">
        <v>-168.82220000000001</v>
      </c>
      <c r="H2300">
        <v>0.33423520000000001</v>
      </c>
      <c r="I2300">
        <v>106.3013</v>
      </c>
      <c r="J2300">
        <v>-193.49440000000001</v>
      </c>
      <c r="K2300">
        <v>1.109232</v>
      </c>
      <c r="L2300">
        <v>358.35419999999999</v>
      </c>
      <c r="M2300">
        <v>0.67652109999999999</v>
      </c>
      <c r="N2300">
        <v>0</v>
      </c>
      <c r="O2300">
        <v>-0.73629769999999894</v>
      </c>
      <c r="P2300">
        <v>0.47464889999999998</v>
      </c>
      <c r="Q2300">
        <v>4.2372519999999997E-2</v>
      </c>
      <c r="R2300">
        <v>-0.87915480000000001</v>
      </c>
      <c r="S2300">
        <v>0.31800840000000002</v>
      </c>
      <c r="T2300">
        <v>-9.9753140000000007E-3</v>
      </c>
      <c r="U2300">
        <v>-3.2448730000000001</v>
      </c>
      <c r="V2300">
        <v>0.24552460000000001</v>
      </c>
      <c r="W2300">
        <v>5.4567699999999997E-2</v>
      </c>
      <c r="X2300">
        <v>0.96785330000000003</v>
      </c>
      <c r="Y2300">
        <v>0.6015353</v>
      </c>
      <c r="Z2300">
        <v>1.560704E-3</v>
      </c>
      <c r="AA2300">
        <v>0.79884469999999996</v>
      </c>
      <c r="AB2300">
        <v>10</v>
      </c>
      <c r="AC2300">
        <v>24.6722</v>
      </c>
      <c r="AD2300">
        <v>-0.77499680000000004</v>
      </c>
      <c r="AE2300">
        <v>-252.05289999999999</v>
      </c>
      <c r="AF2300">
        <v>152.36568111062101</v>
      </c>
      <c r="AG2300">
        <v>-0.77499680000000004</v>
      </c>
      <c r="AH2300">
        <v>202.294043035724</v>
      </c>
      <c r="AI2300">
        <v>90.175332678675403</v>
      </c>
      <c r="AJ2300">
        <v>53.013336860861401</v>
      </c>
      <c r="AK2300">
        <v>253.25635480296</v>
      </c>
      <c r="AL2300">
        <v>86.871947373057793</v>
      </c>
      <c r="AM2300">
        <v>75.765507034223702</v>
      </c>
      <c r="AN2300">
        <v>0.99999998670466905</v>
      </c>
    </row>
    <row r="2301" spans="1:40" x14ac:dyDescent="0.25">
      <c r="A2301" t="str">
        <f>"20190312150707356"</f>
        <v>20190312150707356</v>
      </c>
      <c r="B2301" t="str">
        <f>"1552374427352011"</f>
        <v>1552374427352011</v>
      </c>
      <c r="C2301" t="s">
        <v>40</v>
      </c>
      <c r="D2301">
        <v>4.6806799999999997</v>
      </c>
      <c r="E2301">
        <v>0.65692950000000006</v>
      </c>
      <c r="F2301" t="s">
        <v>58</v>
      </c>
      <c r="G2301">
        <v>-168.77719999999999</v>
      </c>
      <c r="H2301">
        <v>0.12532760000000001</v>
      </c>
      <c r="I2301">
        <v>106.30119999999999</v>
      </c>
      <c r="J2301">
        <v>-193.4589</v>
      </c>
      <c r="K2301">
        <v>1.1092329999999999</v>
      </c>
      <c r="L2301">
        <v>358.30990000000003</v>
      </c>
      <c r="M2301">
        <v>0.67409929999999996</v>
      </c>
      <c r="N2301">
        <v>0</v>
      </c>
      <c r="O2301">
        <v>-0.73851560000000005</v>
      </c>
      <c r="P2301">
        <v>0.47224579999999999</v>
      </c>
      <c r="Q2301">
        <v>4.2262109999999999E-2</v>
      </c>
      <c r="R2301">
        <v>-0.88045339999999905</v>
      </c>
      <c r="S2301">
        <v>0.31785580000000002</v>
      </c>
      <c r="T2301">
        <v>-1.265264E-2</v>
      </c>
      <c r="U2301">
        <v>-3.241333</v>
      </c>
      <c r="V2301">
        <v>0.2449926</v>
      </c>
      <c r="W2301">
        <v>5.4459149999999998E-2</v>
      </c>
      <c r="X2301">
        <v>0.96799420000000003</v>
      </c>
      <c r="Y2301">
        <v>0.59886070000000002</v>
      </c>
      <c r="Z2301">
        <v>1.998363E-3</v>
      </c>
      <c r="AA2301">
        <v>0.80085069999999903</v>
      </c>
      <c r="AB2301">
        <v>10</v>
      </c>
      <c r="AC2301">
        <v>24.681699999999999</v>
      </c>
      <c r="AD2301">
        <v>-0.98390540000000004</v>
      </c>
      <c r="AE2301">
        <v>-252.0087</v>
      </c>
      <c r="AF2301">
        <v>151.662795629817</v>
      </c>
      <c r="AG2301">
        <v>-0.98390540000000004</v>
      </c>
      <c r="AH2301">
        <v>202.76595255738499</v>
      </c>
      <c r="AI2301">
        <v>90.222634167785202</v>
      </c>
      <c r="AJ2301">
        <v>53.204623360085101</v>
      </c>
      <c r="AK2301">
        <v>253.212565179123</v>
      </c>
      <c r="AL2301">
        <v>86.878176046408896</v>
      </c>
      <c r="AM2301">
        <v>75.797084470078204</v>
      </c>
      <c r="AN2301">
        <v>0.99999997215356096</v>
      </c>
    </row>
    <row r="2302" spans="1:40" x14ac:dyDescent="0.25">
      <c r="A2302" t="str">
        <f>"20190312150707375"</f>
        <v>20190312150707375</v>
      </c>
      <c r="B2302" t="str">
        <f>"1552374427372507"</f>
        <v>1552374427372507</v>
      </c>
      <c r="C2302" t="s">
        <v>40</v>
      </c>
      <c r="D2302">
        <v>4.6532489999999997</v>
      </c>
      <c r="E2302">
        <v>0.65585329999999997</v>
      </c>
      <c r="F2302" t="s">
        <v>42</v>
      </c>
      <c r="G2302">
        <v>-175.96510000000001</v>
      </c>
      <c r="H2302">
        <v>7.9986249999999995E-2</v>
      </c>
      <c r="I2302">
        <v>177.07679999999999</v>
      </c>
      <c r="J2302">
        <v>-193.4067</v>
      </c>
      <c r="K2302">
        <v>1.1092280000000001</v>
      </c>
      <c r="L2302">
        <v>358.24419999999998</v>
      </c>
      <c r="M2302">
        <v>0.670494699999999</v>
      </c>
      <c r="N2302">
        <v>0</v>
      </c>
      <c r="O2302">
        <v>-0.7417899</v>
      </c>
      <c r="P2302">
        <v>0.46911890000000001</v>
      </c>
      <c r="Q2302">
        <v>4.1822709999999999E-2</v>
      </c>
      <c r="R2302">
        <v>-0.88214429999999999</v>
      </c>
      <c r="S2302">
        <v>0.31278990000000001</v>
      </c>
      <c r="T2302">
        <v>-1.8402930000000001E-2</v>
      </c>
      <c r="U2302">
        <v>-3.2404480000000002</v>
      </c>
      <c r="V2302">
        <v>0.24372450000000001</v>
      </c>
      <c r="W2302">
        <v>5.4026820000000003E-2</v>
      </c>
      <c r="X2302">
        <v>0.96833849999999999</v>
      </c>
      <c r="Y2302">
        <v>0.59617580000000003</v>
      </c>
      <c r="Z2302">
        <v>2.9401039999999998E-3</v>
      </c>
      <c r="AA2302">
        <v>0.80284849999999996</v>
      </c>
      <c r="AB2302">
        <v>10</v>
      </c>
      <c r="AC2302">
        <v>17.441599999999902</v>
      </c>
      <c r="AD2302">
        <v>-1.02924175</v>
      </c>
      <c r="AE2302">
        <v>-181.16739999999999</v>
      </c>
      <c r="AF2302">
        <v>108.54032689536</v>
      </c>
      <c r="AG2302">
        <v>-1.02924175</v>
      </c>
      <c r="AH2302">
        <v>146.09146140426699</v>
      </c>
      <c r="AI2302">
        <v>90.324015555252004</v>
      </c>
      <c r="AJ2302">
        <v>53.389073495450802</v>
      </c>
      <c r="AK2302">
        <v>182.00213459288301</v>
      </c>
      <c r="AL2302">
        <v>86.902983308633296</v>
      </c>
      <c r="AM2302">
        <v>75.872470600141298</v>
      </c>
      <c r="AN2302">
        <v>0.99999998988090599</v>
      </c>
    </row>
    <row r="2303" spans="1:40" x14ac:dyDescent="0.25">
      <c r="A2303" t="str">
        <f>"20190312150707389"</f>
        <v>20190312150707389</v>
      </c>
      <c r="B2303" t="str">
        <f>"1552374427382267"</f>
        <v>1552374427382267</v>
      </c>
      <c r="C2303" t="s">
        <v>40</v>
      </c>
      <c r="D2303">
        <v>4.666569</v>
      </c>
      <c r="E2303">
        <v>0.65535690000000002</v>
      </c>
      <c r="F2303" t="s">
        <v>42</v>
      </c>
      <c r="G2303">
        <v>-182.0539</v>
      </c>
      <c r="H2303" s="1">
        <v>-5.9227750000000002E-6</v>
      </c>
      <c r="I2303">
        <v>239.179</v>
      </c>
      <c r="J2303">
        <v>-193.3707</v>
      </c>
      <c r="K2303">
        <v>1.109224</v>
      </c>
      <c r="L2303">
        <v>358.19839999999999</v>
      </c>
      <c r="M2303">
        <v>0.66797489999999904</v>
      </c>
      <c r="N2303">
        <v>0</v>
      </c>
      <c r="O2303">
        <v>-0.74405959999999904</v>
      </c>
      <c r="P2303">
        <v>0.46680369999999999</v>
      </c>
      <c r="Q2303">
        <v>4.1487610000000001E-2</v>
      </c>
      <c r="R2303">
        <v>-0.88338739999999905</v>
      </c>
      <c r="S2303">
        <v>0.30874629999999997</v>
      </c>
      <c r="T2303">
        <v>-3.0166149999999999E-2</v>
      </c>
      <c r="U2303">
        <v>-3.2380369999999998</v>
      </c>
      <c r="V2303">
        <v>0.24298890000000001</v>
      </c>
      <c r="W2303">
        <v>5.3695409999999999E-2</v>
      </c>
      <c r="X2303">
        <v>0.96854180000000001</v>
      </c>
      <c r="Y2303">
        <v>0.59438649999999904</v>
      </c>
      <c r="Z2303">
        <v>4.8598779999999998E-3</v>
      </c>
      <c r="AA2303">
        <v>0.80416489999999996</v>
      </c>
      <c r="AB2303">
        <v>10</v>
      </c>
      <c r="AC2303">
        <v>11.316800000000001</v>
      </c>
      <c r="AD2303">
        <v>-1.109229922775</v>
      </c>
      <c r="AE2303">
        <v>-119.0194</v>
      </c>
      <c r="AF2303">
        <v>71.082049872993096</v>
      </c>
      <c r="AG2303">
        <v>-1.109229922775</v>
      </c>
      <c r="AH2303">
        <v>96.117476351116196</v>
      </c>
      <c r="AI2303">
        <v>90.531614705939901</v>
      </c>
      <c r="AJ2303">
        <v>53.5158505433889</v>
      </c>
      <c r="AK2303">
        <v>119.551066349387</v>
      </c>
      <c r="AL2303">
        <v>86.921999369539805</v>
      </c>
      <c r="AM2303">
        <v>75.916248912122697</v>
      </c>
      <c r="AN2303">
        <v>1.00000001046275</v>
      </c>
    </row>
    <row r="2304" spans="1:40" x14ac:dyDescent="0.25">
      <c r="A2304" t="str">
        <f>"20190312150707400"</f>
        <v>20190312150707400</v>
      </c>
      <c r="B2304" t="str">
        <f>"1552374427392026"</f>
        <v>1552374427392026</v>
      </c>
      <c r="C2304" t="s">
        <v>40</v>
      </c>
      <c r="D2304">
        <v>4.6226960000000004</v>
      </c>
      <c r="E2304">
        <v>0.654692099999999</v>
      </c>
      <c r="F2304" t="s">
        <v>42</v>
      </c>
      <c r="G2304">
        <v>-184.1756</v>
      </c>
      <c r="H2304" s="1">
        <v>-1.7436060000000001E-6</v>
      </c>
      <c r="I2304">
        <v>260.21780000000001</v>
      </c>
      <c r="J2304">
        <v>-193.33600000000001</v>
      </c>
      <c r="K2304">
        <v>1.1092169999999999</v>
      </c>
      <c r="L2304">
        <v>358.15410000000003</v>
      </c>
      <c r="M2304">
        <v>0.66552769999999895</v>
      </c>
      <c r="N2304">
        <v>0</v>
      </c>
      <c r="O2304">
        <v>-0.74624950000000001</v>
      </c>
      <c r="P2304">
        <v>0.46468900000000002</v>
      </c>
      <c r="Q2304">
        <v>4.0506599999999997E-2</v>
      </c>
      <c r="R2304">
        <v>-0.88454730000000004</v>
      </c>
      <c r="S2304">
        <v>0.30380249999999998</v>
      </c>
      <c r="T2304">
        <v>-3.6648390000000003E-2</v>
      </c>
      <c r="U2304">
        <v>-3.237244</v>
      </c>
      <c r="V2304">
        <v>0.24215100000000001</v>
      </c>
      <c r="W2304">
        <v>5.2719290000000002E-2</v>
      </c>
      <c r="X2304">
        <v>0.96880529999999998</v>
      </c>
      <c r="Y2304">
        <v>0.59294209999999903</v>
      </c>
      <c r="Z2304">
        <v>5.9476049999999999E-3</v>
      </c>
      <c r="AA2304">
        <v>0.80522320000000003</v>
      </c>
      <c r="AB2304">
        <v>10</v>
      </c>
      <c r="AC2304">
        <v>9.1603999999999797</v>
      </c>
      <c r="AD2304">
        <v>-1.1092187436059999</v>
      </c>
      <c r="AE2304">
        <v>-97.936300000000003</v>
      </c>
      <c r="AF2304">
        <v>58.3413424466778</v>
      </c>
      <c r="AG2304">
        <v>-1.1092187436059999</v>
      </c>
      <c r="AH2304">
        <v>79.178654220833295</v>
      </c>
      <c r="AI2304">
        <v>90.646162075660001</v>
      </c>
      <c r="AJ2304">
        <v>53.616034552653602</v>
      </c>
      <c r="AK2304">
        <v>98.357520754256399</v>
      </c>
      <c r="AL2304">
        <v>86.978006441615804</v>
      </c>
      <c r="AM2304">
        <v>75.966557746014402</v>
      </c>
      <c r="AN2304">
        <v>1.00000006982359</v>
      </c>
    </row>
    <row r="2305" spans="1:40" x14ac:dyDescent="0.25">
      <c r="A2305" t="str">
        <f>"20190312150707413"</f>
        <v>20190312150707413</v>
      </c>
      <c r="B2305" t="str">
        <f>"1552374427402764"</f>
        <v>1552374427402764</v>
      </c>
      <c r="C2305" t="s">
        <v>40</v>
      </c>
      <c r="D2305">
        <v>4.6029879999999999</v>
      </c>
      <c r="E2305">
        <v>0.65419930000000004</v>
      </c>
      <c r="F2305" t="s">
        <v>61</v>
      </c>
      <c r="G2305">
        <v>-185.50280000000001</v>
      </c>
      <c r="H2305" s="1">
        <v>5.4700640000000002E-6</v>
      </c>
      <c r="I2305">
        <v>273.82100000000003</v>
      </c>
      <c r="J2305">
        <v>-193.30109999999999</v>
      </c>
      <c r="K2305">
        <v>1.1092109999999999</v>
      </c>
      <c r="L2305">
        <v>358.10910000000001</v>
      </c>
      <c r="M2305">
        <v>0.66303639999999997</v>
      </c>
      <c r="N2305">
        <v>0</v>
      </c>
      <c r="O2305">
        <v>-0.74846380000000001</v>
      </c>
      <c r="P2305">
        <v>0.46239789999999997</v>
      </c>
      <c r="Q2305">
        <v>3.9899289999999997E-2</v>
      </c>
      <c r="R2305">
        <v>-0.88577469999999903</v>
      </c>
      <c r="S2305">
        <v>0.300537099999999</v>
      </c>
      <c r="T2305">
        <v>-4.2557360000000002E-2</v>
      </c>
      <c r="U2305">
        <v>-3.2356259999999999</v>
      </c>
      <c r="V2305">
        <v>0.24144460000000001</v>
      </c>
      <c r="W2305">
        <v>5.2116919999999997E-2</v>
      </c>
      <c r="X2305">
        <v>0.96901409999999999</v>
      </c>
      <c r="Y2305">
        <v>0.59102359999999998</v>
      </c>
      <c r="Z2305">
        <v>6.9616670000000004E-3</v>
      </c>
      <c r="AA2305">
        <v>0.80662419999999901</v>
      </c>
      <c r="AB2305">
        <v>10</v>
      </c>
      <c r="AC2305">
        <v>7.7982999999999798</v>
      </c>
      <c r="AD2305">
        <v>-1.109205529936</v>
      </c>
      <c r="AE2305">
        <v>-84.2881</v>
      </c>
      <c r="AF2305">
        <v>50.045361964492201</v>
      </c>
      <c r="AG2305">
        <v>-1.109205529936</v>
      </c>
      <c r="AH2305">
        <v>68.251732506637893</v>
      </c>
      <c r="AI2305">
        <v>90.750874322331299</v>
      </c>
      <c r="AJ2305">
        <v>53.749387884821303</v>
      </c>
      <c r="AK2305">
        <v>84.640815102539904</v>
      </c>
      <c r="AL2305">
        <v>87.012566994249099</v>
      </c>
      <c r="AM2305">
        <v>76.008781880120196</v>
      </c>
      <c r="AN2305">
        <v>0.99999999710912801</v>
      </c>
    </row>
    <row r="2306" spans="1:40" x14ac:dyDescent="0.25">
      <c r="A2306" t="str">
        <f>"20190312150707427"</f>
        <v>20190312150707427</v>
      </c>
      <c r="B2306" t="str">
        <f>"1552374427422282"</f>
        <v>1552374427422282</v>
      </c>
      <c r="C2306" t="s">
        <v>40</v>
      </c>
      <c r="D2306">
        <v>4.6396129999999998</v>
      </c>
      <c r="E2306">
        <v>0.65298109999999998</v>
      </c>
      <c r="F2306" t="s">
        <v>61</v>
      </c>
      <c r="G2306">
        <v>-186.5806</v>
      </c>
      <c r="H2306" s="1">
        <v>3.3782210000000001E-6</v>
      </c>
      <c r="I2306">
        <v>284.55720000000002</v>
      </c>
      <c r="J2306">
        <v>-193.26339999999999</v>
      </c>
      <c r="K2306">
        <v>1.1092070000000001</v>
      </c>
      <c r="L2306">
        <v>358.06009999999998</v>
      </c>
      <c r="M2306">
        <v>0.66031649999999997</v>
      </c>
      <c r="N2306">
        <v>0</v>
      </c>
      <c r="O2306">
        <v>-0.75086439999999999</v>
      </c>
      <c r="P2306">
        <v>0.46015879999999998</v>
      </c>
      <c r="Q2306">
        <v>3.9246709999999997E-2</v>
      </c>
      <c r="R2306">
        <v>-0.88696889999999995</v>
      </c>
      <c r="S2306">
        <v>0.29556270000000001</v>
      </c>
      <c r="T2306">
        <v>-4.8782350000000002E-2</v>
      </c>
      <c r="U2306">
        <v>-3.234772</v>
      </c>
      <c r="V2306">
        <v>0.24039289999999999</v>
      </c>
      <c r="W2306">
        <v>5.1471200000000002E-2</v>
      </c>
      <c r="X2306">
        <v>0.96931</v>
      </c>
      <c r="Y2306">
        <v>0.58930490000000002</v>
      </c>
      <c r="Z2306">
        <v>8.0441030000000004E-3</v>
      </c>
      <c r="AA2306">
        <v>0.80787069999999905</v>
      </c>
      <c r="AB2306">
        <v>10</v>
      </c>
      <c r="AC2306">
        <v>6.6827999999999799</v>
      </c>
      <c r="AD2306">
        <v>-1.109203621779</v>
      </c>
      <c r="AE2306">
        <v>-73.502899999999897</v>
      </c>
      <c r="AF2306">
        <v>43.5114945311825</v>
      </c>
      <c r="AG2306">
        <v>-1.109203621779</v>
      </c>
      <c r="AH2306">
        <v>59.595521106537497</v>
      </c>
      <c r="AI2306">
        <v>90.861206293293804</v>
      </c>
      <c r="AJ2306">
        <v>53.866313733973001</v>
      </c>
      <c r="AK2306">
        <v>73.797741327031503</v>
      </c>
      <c r="AL2306">
        <v>87.049613621468893</v>
      </c>
      <c r="AM2306">
        <v>76.071434207321801</v>
      </c>
      <c r="AN2306">
        <v>0.99999995344992298</v>
      </c>
    </row>
    <row r="2307" spans="1:40" x14ac:dyDescent="0.25">
      <c r="A2307" t="str">
        <f>"20190312150707446"</f>
        <v>20190312150707446</v>
      </c>
      <c r="B2307" t="str">
        <f>"1552374427442310"</f>
        <v>1552374427442310</v>
      </c>
      <c r="C2307" t="s">
        <v>40</v>
      </c>
      <c r="D2307">
        <v>4.6450279999999999</v>
      </c>
      <c r="E2307">
        <v>0.65186169999999899</v>
      </c>
      <c r="F2307" t="s">
        <v>61</v>
      </c>
      <c r="G2307">
        <v>-187.21680000000001</v>
      </c>
      <c r="H2307" s="1">
        <v>2.4285909999999999E-6</v>
      </c>
      <c r="I2307">
        <v>292.05840000000001</v>
      </c>
      <c r="J2307">
        <v>-193.21369999999999</v>
      </c>
      <c r="K2307">
        <v>1.1092</v>
      </c>
      <c r="L2307">
        <v>357.995</v>
      </c>
      <c r="M2307">
        <v>0.65668539999999997</v>
      </c>
      <c r="N2307">
        <v>0</v>
      </c>
      <c r="O2307">
        <v>-0.75404199999999999</v>
      </c>
      <c r="P2307">
        <v>0.45724789999999998</v>
      </c>
      <c r="Q2307">
        <v>3.7847319999999997E-2</v>
      </c>
      <c r="R2307">
        <v>-0.88853359999999904</v>
      </c>
      <c r="S2307">
        <v>0.29600520000000002</v>
      </c>
      <c r="T2307">
        <v>-5.4300069999999999E-2</v>
      </c>
      <c r="U2307">
        <v>-3.2310490000000001</v>
      </c>
      <c r="V2307">
        <v>0.238927</v>
      </c>
      <c r="W2307">
        <v>5.0082050000000003E-2</v>
      </c>
      <c r="X2307">
        <v>0.96974519999999997</v>
      </c>
      <c r="Y2307">
        <v>0.5852039</v>
      </c>
      <c r="Z2307">
        <v>9.0676400000000001E-3</v>
      </c>
      <c r="AA2307">
        <v>0.81083549999999904</v>
      </c>
      <c r="AB2307">
        <v>10</v>
      </c>
      <c r="AC2307">
        <v>5.9968999999999797</v>
      </c>
      <c r="AD2307">
        <v>-1.1091975714090001</v>
      </c>
      <c r="AE2307">
        <v>-65.936599999999999</v>
      </c>
      <c r="AF2307">
        <v>38.770393031436598</v>
      </c>
      <c r="AG2307">
        <v>-1.1091975714090001</v>
      </c>
      <c r="AH2307">
        <v>53.646948192655401</v>
      </c>
      <c r="AI2307">
        <v>90.9600578578804</v>
      </c>
      <c r="AJ2307">
        <v>54.144540388247599</v>
      </c>
      <c r="AK2307">
        <v>66.199461821452502</v>
      </c>
      <c r="AL2307">
        <v>87.129309110722602</v>
      </c>
      <c r="AM2307">
        <v>76.159066684713693</v>
      </c>
      <c r="AN2307">
        <v>1.0000000379921199</v>
      </c>
    </row>
    <row r="2308" spans="1:40" x14ac:dyDescent="0.25">
      <c r="A2308" t="str">
        <f>"20190312150707460"</f>
        <v>20190312150707460</v>
      </c>
      <c r="B2308" t="str">
        <f>"1552374427452070"</f>
        <v>1552374427452070</v>
      </c>
      <c r="C2308" t="s">
        <v>40</v>
      </c>
      <c r="D2308">
        <v>4.6118870000000003</v>
      </c>
      <c r="E2308">
        <v>0.65130759999999999</v>
      </c>
      <c r="F2308" t="s">
        <v>61</v>
      </c>
      <c r="G2308">
        <v>-187.75890000000001</v>
      </c>
      <c r="H2308" s="1">
        <v>5.8231159999999996E-7</v>
      </c>
      <c r="I2308">
        <v>297.96910000000003</v>
      </c>
      <c r="J2308">
        <v>-193.17089999999999</v>
      </c>
      <c r="K2308">
        <v>1.109199</v>
      </c>
      <c r="L2308">
        <v>357.9384</v>
      </c>
      <c r="M2308">
        <v>0.6535166</v>
      </c>
      <c r="N2308">
        <v>0</v>
      </c>
      <c r="O2308">
        <v>-0.75679030000000003</v>
      </c>
      <c r="P2308">
        <v>0.45425749999999998</v>
      </c>
      <c r="Q2308">
        <v>3.7301189999999998E-2</v>
      </c>
      <c r="R2308">
        <v>-0.89008960000000004</v>
      </c>
      <c r="S2308">
        <v>0.29333500000000001</v>
      </c>
      <c r="T2308">
        <v>-5.9648510000000002E-2</v>
      </c>
      <c r="U2308">
        <v>-3.2279659999999999</v>
      </c>
      <c r="V2308">
        <v>0.23813239999999999</v>
      </c>
      <c r="W2308">
        <v>4.9540580000000001E-2</v>
      </c>
      <c r="X2308">
        <v>0.96996839999999995</v>
      </c>
      <c r="Y2308">
        <v>0.58239289999999999</v>
      </c>
      <c r="Z2308">
        <v>1.006312E-2</v>
      </c>
      <c r="AA2308">
        <v>0.81284519999999905</v>
      </c>
      <c r="AB2308">
        <v>10</v>
      </c>
      <c r="AC2308">
        <v>5.4119999999999697</v>
      </c>
      <c r="AD2308">
        <v>-1.10919841768839</v>
      </c>
      <c r="AE2308">
        <v>-59.969299999999897</v>
      </c>
      <c r="AF2308">
        <v>35.086515500711698</v>
      </c>
      <c r="AG2308">
        <v>-1.10919841768839</v>
      </c>
      <c r="AH2308">
        <v>48.9089329896048</v>
      </c>
      <c r="AI2308">
        <v>91.055698070302398</v>
      </c>
      <c r="AJ2308">
        <v>54.344925380480298</v>
      </c>
      <c r="AK2308">
        <v>60.202804065036197</v>
      </c>
      <c r="AL2308">
        <v>87.160371515768801</v>
      </c>
      <c r="AM2308">
        <v>76.206389414844296</v>
      </c>
      <c r="AN2308">
        <v>1.00000000299752</v>
      </c>
    </row>
    <row r="2309" spans="1:40" x14ac:dyDescent="0.25">
      <c r="A2309" t="str">
        <f>"20190312150707477"</f>
        <v>20190312150707477</v>
      </c>
      <c r="B2309" t="str">
        <f>"1552374427472566"</f>
        <v>1552374427472566</v>
      </c>
      <c r="C2309" t="s">
        <v>40</v>
      </c>
      <c r="D2309">
        <v>4.6615270000000004</v>
      </c>
      <c r="E2309">
        <v>0.65044299999999999</v>
      </c>
      <c r="F2309" t="s">
        <v>42</v>
      </c>
      <c r="G2309">
        <v>-188.29349999999999</v>
      </c>
      <c r="H2309" s="1">
        <v>-1.7294750000000001E-6</v>
      </c>
      <c r="I2309">
        <v>302.95859999999999</v>
      </c>
      <c r="J2309">
        <v>-193.12520000000001</v>
      </c>
      <c r="K2309">
        <v>1.109197</v>
      </c>
      <c r="L2309">
        <v>357.87729999999999</v>
      </c>
      <c r="M2309">
        <v>0.65008650000000001</v>
      </c>
      <c r="N2309">
        <v>0</v>
      </c>
      <c r="O2309">
        <v>-0.75973880000000005</v>
      </c>
      <c r="P2309">
        <v>0.45139469999999998</v>
      </c>
      <c r="Q2309">
        <v>3.6480520000000002E-2</v>
      </c>
      <c r="R2309">
        <v>-0.89157889999999995</v>
      </c>
      <c r="S2309">
        <v>0.28628540000000002</v>
      </c>
      <c r="T2309">
        <v>-6.5105440000000001E-2</v>
      </c>
      <c r="U2309">
        <v>-3.2270810000000001</v>
      </c>
      <c r="V2309">
        <v>0.23687949999999999</v>
      </c>
      <c r="W2309">
        <v>4.8725690000000002E-2</v>
      </c>
      <c r="X2309">
        <v>0.97031639999999997</v>
      </c>
      <c r="Y2309">
        <v>0.58045429999999998</v>
      </c>
      <c r="Z2309">
        <v>1.1087120000000001E-2</v>
      </c>
      <c r="AA2309">
        <v>0.81421730000000003</v>
      </c>
      <c r="AB2309">
        <v>10</v>
      </c>
      <c r="AC2309">
        <v>4.8317000000000103</v>
      </c>
      <c r="AD2309">
        <v>-1.1091987294750001</v>
      </c>
      <c r="AE2309">
        <v>-54.918700000000001</v>
      </c>
      <c r="AF2309">
        <v>32.0210689528801</v>
      </c>
      <c r="AG2309">
        <v>-1.1091987294750001</v>
      </c>
      <c r="AH2309">
        <v>44.850874320477402</v>
      </c>
      <c r="AI2309">
        <v>91.153067028664495</v>
      </c>
      <c r="AJ2309">
        <v>54.475240964434903</v>
      </c>
      <c r="AK2309">
        <v>55.119688914378301</v>
      </c>
      <c r="AL2309">
        <v>87.207117733695796</v>
      </c>
      <c r="AM2309">
        <v>76.280947578868606</v>
      </c>
      <c r="AN2309">
        <v>1.00000000324759</v>
      </c>
    </row>
    <row r="2310" spans="1:40" x14ac:dyDescent="0.25">
      <c r="A2310" t="str">
        <f>"20190312150707492"</f>
        <v>20190312150707492</v>
      </c>
      <c r="B2310" t="str">
        <f>"1552374427482327"</f>
        <v>1552374427482327</v>
      </c>
      <c r="C2310" t="s">
        <v>40</v>
      </c>
      <c r="D2310">
        <v>4.6046870000000002</v>
      </c>
      <c r="E2310">
        <v>0.65001439999999999</v>
      </c>
      <c r="F2310" t="s">
        <v>42</v>
      </c>
      <c r="G2310">
        <v>-189.0736</v>
      </c>
      <c r="H2310" s="1">
        <v>-1.0524460000000001E-6</v>
      </c>
      <c r="I2310">
        <v>311.51</v>
      </c>
      <c r="J2310">
        <v>-193.08590000000001</v>
      </c>
      <c r="K2310">
        <v>1.1091930000000001</v>
      </c>
      <c r="L2310">
        <v>357.82420000000002</v>
      </c>
      <c r="M2310">
        <v>0.64709510000000003</v>
      </c>
      <c r="N2310">
        <v>0</v>
      </c>
      <c r="O2310">
        <v>-0.76228859999999998</v>
      </c>
      <c r="P2310">
        <v>0.44851809999999998</v>
      </c>
      <c r="Q2310">
        <v>3.6115340000000003E-2</v>
      </c>
      <c r="R2310">
        <v>-0.89304399999999995</v>
      </c>
      <c r="S2310">
        <v>0.28182980000000002</v>
      </c>
      <c r="T2310">
        <v>-7.7155230000000005E-2</v>
      </c>
      <c r="U2310">
        <v>-3.2252809999999998</v>
      </c>
      <c r="V2310">
        <v>0.23620079999999999</v>
      </c>
      <c r="W2310">
        <v>4.8357039999999997E-2</v>
      </c>
      <c r="X2310">
        <v>0.97050029999999998</v>
      </c>
      <c r="Y2310">
        <v>0.57832499999999998</v>
      </c>
      <c r="Z2310">
        <v>1.325286E-2</v>
      </c>
      <c r="AA2310">
        <v>0.81569879999999995</v>
      </c>
      <c r="AB2310">
        <v>10</v>
      </c>
      <c r="AC2310">
        <v>4.0122999999999998</v>
      </c>
      <c r="AD2310">
        <v>-1.109194052446</v>
      </c>
      <c r="AE2310">
        <v>-46.3142</v>
      </c>
      <c r="AF2310">
        <v>26.8983246379611</v>
      </c>
      <c r="AG2310">
        <v>-1.109194052446</v>
      </c>
      <c r="AH2310">
        <v>37.883047413792397</v>
      </c>
      <c r="AI2310">
        <v>91.367593564996199</v>
      </c>
      <c r="AJ2310">
        <v>54.623879660128303</v>
      </c>
      <c r="AK2310">
        <v>46.474460310269002</v>
      </c>
      <c r="AL2310">
        <v>87.228264816784602</v>
      </c>
      <c r="AM2310">
        <v>76.321270871377706</v>
      </c>
      <c r="AN2310">
        <v>1.00000002676914</v>
      </c>
    </row>
    <row r="2311" spans="1:40" x14ac:dyDescent="0.25">
      <c r="A2311" t="str">
        <f>"20190312150707503"</f>
        <v>20190312150707503</v>
      </c>
      <c r="B2311" t="str">
        <f>"1552374427492086"</f>
        <v>1552374427492086</v>
      </c>
      <c r="C2311" t="s">
        <v>40</v>
      </c>
      <c r="D2311">
        <v>4.6018309999999998</v>
      </c>
      <c r="E2311">
        <v>0.64962769999999903</v>
      </c>
      <c r="F2311" t="s">
        <v>42</v>
      </c>
      <c r="G2311">
        <v>-189.36609999999999</v>
      </c>
      <c r="H2311" s="1">
        <v>-2.240555E-6</v>
      </c>
      <c r="I2311">
        <v>314.13319999999999</v>
      </c>
      <c r="J2311">
        <v>-193.05369999999999</v>
      </c>
      <c r="K2311">
        <v>1.1091869999999999</v>
      </c>
      <c r="L2311">
        <v>357.78050000000002</v>
      </c>
      <c r="M2311">
        <v>0.64462350000000002</v>
      </c>
      <c r="N2311">
        <v>0</v>
      </c>
      <c r="O2311">
        <v>-0.7643799</v>
      </c>
      <c r="P2311">
        <v>0.44636480000000001</v>
      </c>
      <c r="Q2311">
        <v>3.5867679999999999E-2</v>
      </c>
      <c r="R2311">
        <v>-0.89413229999999999</v>
      </c>
      <c r="S2311">
        <v>0.2745514</v>
      </c>
      <c r="T2311">
        <v>-8.1867930000000005E-2</v>
      </c>
      <c r="U2311">
        <v>-3.2247620000000001</v>
      </c>
      <c r="V2311">
        <v>0.235402</v>
      </c>
      <c r="W2311">
        <v>4.8104139999999997E-2</v>
      </c>
      <c r="X2311">
        <v>0.97070690000000004</v>
      </c>
      <c r="Y2311">
        <v>0.57749819999999996</v>
      </c>
      <c r="Z2311">
        <v>1.414878E-2</v>
      </c>
      <c r="AA2311">
        <v>0.81626929999999998</v>
      </c>
      <c r="AB2311">
        <v>10</v>
      </c>
      <c r="AC2311">
        <v>3.6876000000000002</v>
      </c>
      <c r="AD2311">
        <v>-1.1091892405549999</v>
      </c>
      <c r="AE2311">
        <v>-43.647300000000001</v>
      </c>
      <c r="AF2311">
        <v>25.303451273842999</v>
      </c>
      <c r="AG2311">
        <v>-1.1091892405549999</v>
      </c>
      <c r="AH2311">
        <v>35.720614605587301</v>
      </c>
      <c r="AI2311">
        <v>91.451482782934505</v>
      </c>
      <c r="AJ2311">
        <v>54.687345445849502</v>
      </c>
      <c r="AK2311">
        <v>43.788780012007798</v>
      </c>
      <c r="AL2311">
        <v>87.242771721957297</v>
      </c>
      <c r="AM2311">
        <v>76.368594672397407</v>
      </c>
      <c r="AN2311">
        <v>0.99999999779837401</v>
      </c>
    </row>
    <row r="2312" spans="1:40" x14ac:dyDescent="0.25">
      <c r="A2312" t="str">
        <f>"20190312150707522"</f>
        <v>20190312150707522</v>
      </c>
      <c r="B2312" t="str">
        <f>"1552374427512581"</f>
        <v>1552374427512581</v>
      </c>
      <c r="C2312" t="s">
        <v>40</v>
      </c>
      <c r="D2312">
        <v>4.6622890000000003</v>
      </c>
      <c r="E2312">
        <v>0.64888159999999995</v>
      </c>
      <c r="F2312" t="s">
        <v>42</v>
      </c>
      <c r="G2312">
        <v>-189.5701</v>
      </c>
      <c r="H2312" s="1">
        <v>-3.1155239999999999E-6</v>
      </c>
      <c r="I2312">
        <v>316.06079999999997</v>
      </c>
      <c r="J2312">
        <v>-193.0069</v>
      </c>
      <c r="K2312">
        <v>1.1091709999999999</v>
      </c>
      <c r="L2312">
        <v>357.71640000000002</v>
      </c>
      <c r="M2312">
        <v>0.64098120000000003</v>
      </c>
      <c r="N2312">
        <v>0</v>
      </c>
      <c r="O2312">
        <v>-0.76743709999999998</v>
      </c>
      <c r="P2312">
        <v>0.44304500000000002</v>
      </c>
      <c r="Q2312">
        <v>3.5064409999999997E-2</v>
      </c>
      <c r="R2312">
        <v>-0.89581330000000003</v>
      </c>
      <c r="S2312">
        <v>0.26922610000000002</v>
      </c>
      <c r="T2312">
        <v>-8.5722800000000002E-2</v>
      </c>
      <c r="U2312">
        <v>-3.2242739999999999</v>
      </c>
      <c r="V2312">
        <v>0.23440320000000001</v>
      </c>
      <c r="W2312">
        <v>4.7278720000000003E-2</v>
      </c>
      <c r="X2312">
        <v>0.97098910000000005</v>
      </c>
      <c r="Y2312">
        <v>0.57494060000000002</v>
      </c>
      <c r="Z2312">
        <v>1.4959770000000001E-2</v>
      </c>
      <c r="AA2312">
        <v>0.81805839999999996</v>
      </c>
      <c r="AB2312">
        <v>10</v>
      </c>
      <c r="AC2312">
        <v>3.4367999999999999</v>
      </c>
      <c r="AD2312">
        <v>-1.10917411552399</v>
      </c>
      <c r="AE2312">
        <v>-41.6556</v>
      </c>
      <c r="AF2312">
        <v>24.048200361707899</v>
      </c>
      <c r="AG2312">
        <v>-1.10917411552399</v>
      </c>
      <c r="AH2312">
        <v>34.150061891779302</v>
      </c>
      <c r="AI2312">
        <v>91.521176131051206</v>
      </c>
      <c r="AJ2312">
        <v>54.847099832649903</v>
      </c>
      <c r="AK2312">
        <v>41.782447691198698</v>
      </c>
      <c r="AL2312">
        <v>87.290118646166107</v>
      </c>
      <c r="AM2312">
        <v>76.428086859332595</v>
      </c>
      <c r="AN2312">
        <v>0.99999998492694397</v>
      </c>
    </row>
    <row r="2313" spans="1:40" x14ac:dyDescent="0.25">
      <c r="A2313" t="str">
        <f>"20190312150707534"</f>
        <v>20190312150707534</v>
      </c>
      <c r="B2313" t="str">
        <f>"1552374427522344"</f>
        <v>1552374427522344</v>
      </c>
      <c r="C2313" t="s">
        <v>40</v>
      </c>
      <c r="D2313">
        <v>4.6012719999999998</v>
      </c>
      <c r="E2313">
        <v>0.64878049999999998</v>
      </c>
      <c r="F2313" t="s">
        <v>42</v>
      </c>
      <c r="G2313">
        <v>-189.91669999999999</v>
      </c>
      <c r="H2313" s="1">
        <v>-6.2053499999999994E-8</v>
      </c>
      <c r="I2313">
        <v>319.74299999999999</v>
      </c>
      <c r="J2313">
        <v>-192.97499999999999</v>
      </c>
      <c r="K2313">
        <v>1.109159</v>
      </c>
      <c r="L2313">
        <v>357.67219999999998</v>
      </c>
      <c r="M2313">
        <v>0.63845850000000004</v>
      </c>
      <c r="N2313">
        <v>0</v>
      </c>
      <c r="O2313">
        <v>-0.76953769999999999</v>
      </c>
      <c r="P2313">
        <v>0.44064039999999999</v>
      </c>
      <c r="Q2313">
        <v>3.4500639999999999E-2</v>
      </c>
      <c r="R2313">
        <v>-0.8970205</v>
      </c>
      <c r="S2313">
        <v>0.262268099999999</v>
      </c>
      <c r="T2313">
        <v>-9.4136479999999995E-2</v>
      </c>
      <c r="U2313">
        <v>-3.222839</v>
      </c>
      <c r="V2313">
        <v>0.23383209999999999</v>
      </c>
      <c r="W2313">
        <v>4.6690959999999997E-2</v>
      </c>
      <c r="X2313">
        <v>0.9711552</v>
      </c>
      <c r="Y2313">
        <v>0.57397600000000004</v>
      </c>
      <c r="Z2313">
        <v>1.6533619999999999E-2</v>
      </c>
      <c r="AA2313">
        <v>0.81870520000000002</v>
      </c>
      <c r="AB2313">
        <v>10</v>
      </c>
      <c r="AC2313">
        <v>3.0583</v>
      </c>
      <c r="AD2313">
        <v>-1.1091590620534999</v>
      </c>
      <c r="AE2313">
        <v>-37.929199999999902</v>
      </c>
      <c r="AF2313">
        <v>21.846176935166302</v>
      </c>
      <c r="AG2313">
        <v>-1.1091590620534999</v>
      </c>
      <c r="AH2313">
        <v>31.116950836339502</v>
      </c>
      <c r="AI2313">
        <v>91.6710184355438</v>
      </c>
      <c r="AJ2313">
        <v>54.928582599477302</v>
      </c>
      <c r="AK2313">
        <v>38.0361710725291</v>
      </c>
      <c r="AL2313">
        <v>87.323831979727203</v>
      </c>
      <c r="AM2313">
        <v>76.462165207910104</v>
      </c>
      <c r="AN2313">
        <v>0.99999995961158405</v>
      </c>
    </row>
    <row r="2314" spans="1:40" x14ac:dyDescent="0.25">
      <c r="A2314" t="str">
        <f>"20190312150707547"</f>
        <v>20190312150707547</v>
      </c>
      <c r="B2314" t="str">
        <f>"1552374427542369"</f>
        <v>1552374427542369</v>
      </c>
      <c r="C2314" t="s">
        <v>40</v>
      </c>
      <c r="D2314">
        <v>4.4033340000000001</v>
      </c>
      <c r="E2314">
        <v>0.64914609999999995</v>
      </c>
      <c r="F2314" t="s">
        <v>42</v>
      </c>
      <c r="G2314">
        <v>-190.09360000000001</v>
      </c>
      <c r="H2314" s="1">
        <v>-7.0568650000000002E-7</v>
      </c>
      <c r="I2314">
        <v>321.17599999999999</v>
      </c>
      <c r="J2314">
        <v>-192.94149999999999</v>
      </c>
      <c r="K2314">
        <v>1.109143</v>
      </c>
      <c r="L2314">
        <v>357.62549999999999</v>
      </c>
      <c r="M2314">
        <v>0.63579289999999999</v>
      </c>
      <c r="N2314">
        <v>0</v>
      </c>
      <c r="O2314">
        <v>-0.77174189999999998</v>
      </c>
      <c r="P2314">
        <v>0.43794319999999998</v>
      </c>
      <c r="Q2314">
        <v>3.4209499999999997E-2</v>
      </c>
      <c r="R2314">
        <v>-0.89835169999999998</v>
      </c>
      <c r="S2314">
        <v>0.2544708</v>
      </c>
      <c r="T2314">
        <v>-9.7955940000000005E-2</v>
      </c>
      <c r="U2314">
        <v>-3.2231749999999999</v>
      </c>
      <c r="V2314">
        <v>0.23339670000000001</v>
      </c>
      <c r="W2314">
        <v>4.6369439999999998E-2</v>
      </c>
      <c r="X2314">
        <v>0.97127540000000001</v>
      </c>
      <c r="Y2314">
        <v>0.57311699999999999</v>
      </c>
      <c r="Z2314">
        <v>1.7308810000000001E-2</v>
      </c>
      <c r="AA2314">
        <v>0.81929079999999999</v>
      </c>
      <c r="AB2314">
        <v>10</v>
      </c>
      <c r="AC2314">
        <v>2.8478999999999801</v>
      </c>
      <c r="AD2314">
        <v>-1.1091437056864999</v>
      </c>
      <c r="AE2314">
        <v>-36.4495</v>
      </c>
      <c r="AF2314">
        <v>20.959107319967998</v>
      </c>
      <c r="AG2314">
        <v>-1.1091437056864999</v>
      </c>
      <c r="AH2314">
        <v>29.9154708794801</v>
      </c>
      <c r="AI2314">
        <v>91.739255445045799</v>
      </c>
      <c r="AJ2314">
        <v>54.984492263016499</v>
      </c>
      <c r="AK2314">
        <v>36.543806278914403</v>
      </c>
      <c r="AL2314">
        <v>87.342273864265707</v>
      </c>
      <c r="AM2314">
        <v>76.488058664603201</v>
      </c>
      <c r="AN2314">
        <v>1.0000000235909801</v>
      </c>
    </row>
    <row r="2315" spans="1:40" x14ac:dyDescent="0.25">
      <c r="A2315" t="str">
        <f>"20190312150707558"</f>
        <v>20190312150707558</v>
      </c>
      <c r="B2315" t="str">
        <f>"1552374427552129"</f>
        <v>1552374427552129</v>
      </c>
      <c r="C2315" t="s">
        <v>40</v>
      </c>
      <c r="D2315">
        <v>4.2256359999999997</v>
      </c>
      <c r="E2315">
        <v>0.64940769999999903</v>
      </c>
      <c r="F2315" t="s">
        <v>42</v>
      </c>
      <c r="G2315">
        <v>-190.18299999999999</v>
      </c>
      <c r="H2315" s="1">
        <v>-5.9374319999999898E-7</v>
      </c>
      <c r="I2315">
        <v>320.85969999999998</v>
      </c>
      <c r="J2315">
        <v>-192.9101</v>
      </c>
      <c r="K2315">
        <v>1.109129</v>
      </c>
      <c r="L2315">
        <v>357.58139999999997</v>
      </c>
      <c r="M2315">
        <v>0.63325940000000003</v>
      </c>
      <c r="N2315">
        <v>0</v>
      </c>
      <c r="O2315">
        <v>-0.77382280000000003</v>
      </c>
      <c r="P2315">
        <v>0.4354538</v>
      </c>
      <c r="Q2315">
        <v>3.4096149999999999E-2</v>
      </c>
      <c r="R2315">
        <v>-0.89956530000000001</v>
      </c>
      <c r="S2315">
        <v>0.24198910000000001</v>
      </c>
      <c r="T2315">
        <v>-9.7296709999999995E-2</v>
      </c>
      <c r="U2315">
        <v>-3.2251889999999999</v>
      </c>
      <c r="V2315">
        <v>0.2329041</v>
      </c>
      <c r="W2315">
        <v>4.6219400000000001E-2</v>
      </c>
      <c r="X2315">
        <v>0.97140070000000001</v>
      </c>
      <c r="Y2315">
        <v>0.57362250000000004</v>
      </c>
      <c r="Z2315">
        <v>1.726693E-2</v>
      </c>
      <c r="AA2315">
        <v>0.81893780000000005</v>
      </c>
      <c r="AB2315">
        <v>10</v>
      </c>
      <c r="AC2315">
        <v>2.7271000000000001</v>
      </c>
      <c r="AD2315">
        <v>-1.1091295937432</v>
      </c>
      <c r="AE2315">
        <v>-36.721699999999998</v>
      </c>
      <c r="AF2315">
        <v>21.126813849442598</v>
      </c>
      <c r="AG2315">
        <v>-1.1091295937432</v>
      </c>
      <c r="AH2315">
        <v>30.118450643274699</v>
      </c>
      <c r="AI2315">
        <v>91.726832257873696</v>
      </c>
      <c r="AJ2315">
        <v>54.951971164553598</v>
      </c>
      <c r="AK2315">
        <v>36.806161183096599</v>
      </c>
      <c r="AL2315">
        <v>87.350879518441999</v>
      </c>
      <c r="AM2315">
        <v>76.517209916624907</v>
      </c>
      <c r="AN2315">
        <v>0.99999993634682705</v>
      </c>
    </row>
    <row r="2316" spans="1:40" x14ac:dyDescent="0.25">
      <c r="A2316" t="str">
        <f>"20190312150707570"</f>
        <v>20190312150707570</v>
      </c>
      <c r="B2316" t="str">
        <f>"1552374427562865"</f>
        <v>1552374427562865</v>
      </c>
      <c r="C2316" t="s">
        <v>40</v>
      </c>
      <c r="D2316">
        <v>4.4739690000000003</v>
      </c>
      <c r="E2316">
        <v>0.64965399999999995</v>
      </c>
      <c r="F2316" t="s">
        <v>42</v>
      </c>
      <c r="G2316">
        <v>-190.21100000000001</v>
      </c>
      <c r="H2316" s="1">
        <v>-1.862059E-7</v>
      </c>
      <c r="I2316">
        <v>319.89229999999998</v>
      </c>
      <c r="J2316">
        <v>-192.88059999999999</v>
      </c>
      <c r="K2316">
        <v>1.1091169999999999</v>
      </c>
      <c r="L2316">
        <v>357.53949999999998</v>
      </c>
      <c r="M2316">
        <v>0.63085150000000001</v>
      </c>
      <c r="N2316">
        <v>0</v>
      </c>
      <c r="O2316">
        <v>-0.77578780000000003</v>
      </c>
      <c r="P2316">
        <v>0.4331487</v>
      </c>
      <c r="Q2316">
        <v>3.4079350000000001E-2</v>
      </c>
      <c r="R2316">
        <v>-0.90067819999999899</v>
      </c>
      <c r="S2316">
        <v>0.23107910000000001</v>
      </c>
      <c r="T2316">
        <v>-9.4956040000000005E-2</v>
      </c>
      <c r="U2316">
        <v>-3.2266849999999998</v>
      </c>
      <c r="V2316">
        <v>0.2323732</v>
      </c>
      <c r="W2316">
        <v>4.6165089999999999E-2</v>
      </c>
      <c r="X2316">
        <v>0.97153049999999996</v>
      </c>
      <c r="Y2316">
        <v>0.57385989999999998</v>
      </c>
      <c r="Z2316">
        <v>1.6925200000000001E-2</v>
      </c>
      <c r="AA2316">
        <v>0.81877849999999996</v>
      </c>
      <c r="AB2316">
        <v>10</v>
      </c>
      <c r="AC2316">
        <v>2.6696</v>
      </c>
      <c r="AD2316">
        <v>-1.1091171862058999</v>
      </c>
      <c r="AE2316">
        <v>-37.647199999999998</v>
      </c>
      <c r="AF2316">
        <v>21.661990067362201</v>
      </c>
      <c r="AG2316">
        <v>-1.1091171862058999</v>
      </c>
      <c r="AH2316">
        <v>30.866478902342202</v>
      </c>
      <c r="AI2316">
        <v>91.684720777561793</v>
      </c>
      <c r="AJ2316">
        <v>54.938952311928603</v>
      </c>
      <c r="AK2316">
        <v>37.725475138690797</v>
      </c>
      <c r="AL2316">
        <v>87.353994788508203</v>
      </c>
      <c r="AM2316">
        <v>76.548557298735304</v>
      </c>
      <c r="AN2316">
        <v>1.0000000160215901</v>
      </c>
    </row>
    <row r="2317" spans="1:40" x14ac:dyDescent="0.25">
      <c r="A2317" t="str">
        <f>"20190312150707589"</f>
        <v>20190312150707589</v>
      </c>
      <c r="B2317" t="str">
        <f>"1552374427582385"</f>
        <v>1552374427582385</v>
      </c>
      <c r="C2317" t="s">
        <v>40</v>
      </c>
      <c r="D2317">
        <v>4.2832229999999996</v>
      </c>
      <c r="E2317">
        <v>0.65013559999999904</v>
      </c>
      <c r="F2317" t="s">
        <v>42</v>
      </c>
      <c r="G2317">
        <v>-190.22929999999999</v>
      </c>
      <c r="H2317" s="1">
        <v>-4.4199410000000003E-6</v>
      </c>
      <c r="I2317">
        <v>318.81279999999998</v>
      </c>
      <c r="J2317">
        <v>-192.8331</v>
      </c>
      <c r="K2317">
        <v>1.109089</v>
      </c>
      <c r="L2317">
        <v>357.4717</v>
      </c>
      <c r="M2317">
        <v>0.62694189999999905</v>
      </c>
      <c r="N2317">
        <v>0</v>
      </c>
      <c r="O2317">
        <v>-0.77895199999999998</v>
      </c>
      <c r="P2317">
        <v>0.42949779999999999</v>
      </c>
      <c r="Q2317">
        <v>3.3021059999999998E-2</v>
      </c>
      <c r="R2317">
        <v>-0.90246420000000005</v>
      </c>
      <c r="S2317">
        <v>0.22099299999999999</v>
      </c>
      <c r="T2317">
        <v>-9.2450619999999997E-2</v>
      </c>
      <c r="U2317">
        <v>-3.2280579999999999</v>
      </c>
      <c r="V2317">
        <v>0.23144100000000001</v>
      </c>
      <c r="W2317">
        <v>4.5038549999999997E-2</v>
      </c>
      <c r="X2317">
        <v>0.9718059</v>
      </c>
      <c r="Y2317">
        <v>0.57231169999999998</v>
      </c>
      <c r="Z2317">
        <v>1.6619729999999999E-2</v>
      </c>
      <c r="AA2317">
        <v>0.81986780000000004</v>
      </c>
      <c r="AB2317">
        <v>10</v>
      </c>
      <c r="AC2317">
        <v>2.6038000000000001</v>
      </c>
      <c r="AD2317">
        <v>-1.1090934199410001</v>
      </c>
      <c r="AE2317">
        <v>-38.658900000000003</v>
      </c>
      <c r="AF2317">
        <v>22.192438324974201</v>
      </c>
      <c r="AG2317">
        <v>-1.1090934199410001</v>
      </c>
      <c r="AH2317">
        <v>31.722686657140201</v>
      </c>
      <c r="AI2317">
        <v>91.640949998199204</v>
      </c>
      <c r="AJ2317">
        <v>55.024277548441503</v>
      </c>
      <c r="AK2317">
        <v>38.730650081931699</v>
      </c>
      <c r="AL2317">
        <v>87.418608102562402</v>
      </c>
      <c r="AM2317">
        <v>76.604230308820604</v>
      </c>
      <c r="AN2317">
        <v>1.00000005737095</v>
      </c>
    </row>
    <row r="2318" spans="1:40" x14ac:dyDescent="0.25">
      <c r="A2318" t="str">
        <f>"20190312150707599"</f>
        <v>20190312150707599</v>
      </c>
      <c r="B2318" t="str">
        <f>"1552374427592145"</f>
        <v>1552374427592145</v>
      </c>
      <c r="C2318" t="s">
        <v>40</v>
      </c>
      <c r="D2318">
        <v>4.2875579999999998</v>
      </c>
      <c r="E2318">
        <v>0.6503679</v>
      </c>
      <c r="F2318" t="s">
        <v>42</v>
      </c>
      <c r="G2318">
        <v>-190.3511</v>
      </c>
      <c r="H2318" s="1">
        <v>-4.1981399999999999E-6</v>
      </c>
      <c r="I2318">
        <v>318.27510000000001</v>
      </c>
      <c r="J2318">
        <v>-192.80330000000001</v>
      </c>
      <c r="K2318">
        <v>1.109067</v>
      </c>
      <c r="L2318">
        <v>357.42880000000002</v>
      </c>
      <c r="M2318">
        <v>0.62444940000000004</v>
      </c>
      <c r="N2318">
        <v>0</v>
      </c>
      <c r="O2318">
        <v>-0.78095239999999999</v>
      </c>
      <c r="P2318">
        <v>0.42715530000000002</v>
      </c>
      <c r="Q2318">
        <v>3.2094599999999897E-2</v>
      </c>
      <c r="R2318">
        <v>-0.90360879999999999</v>
      </c>
      <c r="S2318">
        <v>0.20454410000000001</v>
      </c>
      <c r="T2318">
        <v>-9.1401099999999999E-2</v>
      </c>
      <c r="U2318">
        <v>-3.2302249999999999</v>
      </c>
      <c r="V2318">
        <v>0.23087289999999999</v>
      </c>
      <c r="W2318">
        <v>4.406438E-2</v>
      </c>
      <c r="X2318">
        <v>0.97198560000000001</v>
      </c>
      <c r="Y2318">
        <v>0.57388439999999996</v>
      </c>
      <c r="Z2318">
        <v>1.6485690000000001E-2</v>
      </c>
      <c r="AA2318">
        <v>0.81877040000000001</v>
      </c>
      <c r="AB2318">
        <v>10</v>
      </c>
      <c r="AC2318">
        <v>2.4521999999999999</v>
      </c>
      <c r="AD2318">
        <v>-1.1090711981399901</v>
      </c>
      <c r="AE2318">
        <v>-39.153700000000001</v>
      </c>
      <c r="AF2318">
        <v>22.5184421579015</v>
      </c>
      <c r="AG2318">
        <v>-1.1090711981399901</v>
      </c>
      <c r="AH2318">
        <v>32.085637590470398</v>
      </c>
      <c r="AI2318">
        <v>91.620653861884406</v>
      </c>
      <c r="AJ2318">
        <v>54.937934553541297</v>
      </c>
      <c r="AK2318">
        <v>39.214772927154698</v>
      </c>
      <c r="AL2318">
        <v>87.474479226071793</v>
      </c>
      <c r="AM2318">
        <v>76.638312916155201</v>
      </c>
      <c r="AN2318">
        <v>0.999999986073277</v>
      </c>
    </row>
    <row r="2319" spans="1:40" x14ac:dyDescent="0.25">
      <c r="A2319" t="str">
        <f>"20190312150707612"</f>
        <v>20190312150707612</v>
      </c>
      <c r="B2319" t="str">
        <f>"1552374427602882"</f>
        <v>1552374427602882</v>
      </c>
      <c r="C2319" t="s">
        <v>40</v>
      </c>
      <c r="D2319">
        <v>4.3184009999999997</v>
      </c>
      <c r="E2319">
        <v>0.6505746</v>
      </c>
      <c r="F2319" t="s">
        <v>42</v>
      </c>
      <c r="G2319">
        <v>-190.46809999999999</v>
      </c>
      <c r="H2319" s="1">
        <v>-4.3866209999999996E-6</v>
      </c>
      <c r="I2319">
        <v>318.60789999999997</v>
      </c>
      <c r="J2319">
        <v>-192.77289999999999</v>
      </c>
      <c r="K2319">
        <v>1.1090500000000001</v>
      </c>
      <c r="L2319">
        <v>357.38459999999998</v>
      </c>
      <c r="M2319">
        <v>0.62188520000000003</v>
      </c>
      <c r="N2319">
        <v>0</v>
      </c>
      <c r="O2319">
        <v>-0.78299669999999999</v>
      </c>
      <c r="P2319">
        <v>0.42457030000000001</v>
      </c>
      <c r="Q2319">
        <v>3.1474620000000002E-2</v>
      </c>
      <c r="R2319">
        <v>-0.90484810000000004</v>
      </c>
      <c r="S2319">
        <v>0.19438169999999999</v>
      </c>
      <c r="T2319">
        <v>-9.2318300000000006E-2</v>
      </c>
      <c r="U2319">
        <v>-3.2314150000000001</v>
      </c>
      <c r="V2319">
        <v>0.2304747</v>
      </c>
      <c r="W2319">
        <v>4.33903E-2</v>
      </c>
      <c r="X2319">
        <v>0.97211049999999999</v>
      </c>
      <c r="Y2319">
        <v>0.57378249999999997</v>
      </c>
      <c r="Z2319">
        <v>1.673065E-2</v>
      </c>
      <c r="AA2319">
        <v>0.81883680000000003</v>
      </c>
      <c r="AB2319">
        <v>10</v>
      </c>
      <c r="AC2319">
        <v>2.3048000000000002</v>
      </c>
      <c r="AD2319">
        <v>-1.1090543866210001</v>
      </c>
      <c r="AE2319">
        <v>-38.776699999999998</v>
      </c>
      <c r="AF2319">
        <v>22.293784477148201</v>
      </c>
      <c r="AG2319">
        <v>-1.1090543866210001</v>
      </c>
      <c r="AH2319">
        <v>31.7722322312686</v>
      </c>
      <c r="AI2319">
        <v>91.6367205907043</v>
      </c>
      <c r="AJ2319">
        <v>54.943616648183898</v>
      </c>
      <c r="AK2319">
        <v>38.829339022235303</v>
      </c>
      <c r="AL2319">
        <v>87.513138339573104</v>
      </c>
      <c r="AM2319">
        <v>76.662186775469493</v>
      </c>
      <c r="AN2319">
        <v>1.00000006484221</v>
      </c>
    </row>
    <row r="2320" spans="1:40" x14ac:dyDescent="0.25">
      <c r="A2320" t="str">
        <f>"20190312150707625"</f>
        <v>20190312150707625</v>
      </c>
      <c r="B2320" t="str">
        <f>"1552374427612641"</f>
        <v>1552374427612641</v>
      </c>
      <c r="C2320" t="s">
        <v>40</v>
      </c>
      <c r="D2320">
        <v>4.323639</v>
      </c>
      <c r="E2320">
        <v>0.65074379999999998</v>
      </c>
      <c r="F2320" t="s">
        <v>42</v>
      </c>
      <c r="G2320">
        <v>-190.55850000000001</v>
      </c>
      <c r="H2320" s="1">
        <v>-4.313251E-6</v>
      </c>
      <c r="I2320">
        <v>318.40190000000001</v>
      </c>
      <c r="J2320">
        <v>-192.74209999999999</v>
      </c>
      <c r="K2320">
        <v>1.1090370000000001</v>
      </c>
      <c r="L2320">
        <v>357.33980000000003</v>
      </c>
      <c r="M2320">
        <v>0.61926709999999996</v>
      </c>
      <c r="N2320">
        <v>0</v>
      </c>
      <c r="O2320">
        <v>-0.78506989999999999</v>
      </c>
      <c r="P2320">
        <v>0.4219369</v>
      </c>
      <c r="Q2320">
        <v>3.1492190000000003E-2</v>
      </c>
      <c r="R2320">
        <v>-0.90607800000000005</v>
      </c>
      <c r="S2320">
        <v>0.18362429999999999</v>
      </c>
      <c r="T2320">
        <v>-9.1964480000000001E-2</v>
      </c>
      <c r="U2320">
        <v>-3.232513</v>
      </c>
      <c r="V2320">
        <v>0.23005490000000001</v>
      </c>
      <c r="W2320">
        <v>4.3350760000000002E-2</v>
      </c>
      <c r="X2320">
        <v>0.97221170000000001</v>
      </c>
      <c r="Y2320">
        <v>0.57378009999999902</v>
      </c>
      <c r="Z2320">
        <v>1.6746489999999999E-2</v>
      </c>
      <c r="AA2320">
        <v>0.81883819999999996</v>
      </c>
      <c r="AB2320">
        <v>10</v>
      </c>
      <c r="AC2320">
        <v>2.1835999999999798</v>
      </c>
      <c r="AD2320">
        <v>-1.109041313251</v>
      </c>
      <c r="AE2320">
        <v>-38.937899999999999</v>
      </c>
      <c r="AF2320">
        <v>22.3825245223331</v>
      </c>
      <c r="AG2320">
        <v>-1.109041313251</v>
      </c>
      <c r="AH2320">
        <v>31.898178583198899</v>
      </c>
      <c r="AI2320">
        <v>91.630233666664793</v>
      </c>
      <c r="AJ2320">
        <v>54.943175376038702</v>
      </c>
      <c r="AK2320">
        <v>38.983344822539202</v>
      </c>
      <c r="AL2320">
        <v>87.515405954877906</v>
      </c>
      <c r="AM2320">
        <v>76.686951673407705</v>
      </c>
      <c r="AN2320">
        <v>1.00000006751173</v>
      </c>
    </row>
    <row r="2321" spans="1:40" x14ac:dyDescent="0.25">
      <c r="A2321" t="str">
        <f>"20190312150707637"</f>
        <v>20190312150707637</v>
      </c>
      <c r="B2321" t="str">
        <f>"1552374427632669"</f>
        <v>1552374427632669</v>
      </c>
      <c r="C2321" t="s">
        <v>40</v>
      </c>
      <c r="D2321">
        <v>4.3118109999999996</v>
      </c>
      <c r="E2321">
        <v>0.65095059999999905</v>
      </c>
      <c r="F2321" t="s">
        <v>42</v>
      </c>
      <c r="G2321">
        <v>-190.59889999999999</v>
      </c>
      <c r="H2321" s="1">
        <v>-3.7771860000000001E-6</v>
      </c>
      <c r="I2321">
        <v>317.24509999999998</v>
      </c>
      <c r="J2321">
        <v>-192.70840000000001</v>
      </c>
      <c r="K2321">
        <v>1.109022</v>
      </c>
      <c r="L2321">
        <v>357.29</v>
      </c>
      <c r="M2321">
        <v>0.61635119999999999</v>
      </c>
      <c r="N2321">
        <v>0</v>
      </c>
      <c r="O2321">
        <v>-0.78736229999999996</v>
      </c>
      <c r="P2321">
        <v>0.41881059999999998</v>
      </c>
      <c r="Q2321">
        <v>3.18926E-2</v>
      </c>
      <c r="R2321">
        <v>-0.90751340000000003</v>
      </c>
      <c r="S2321">
        <v>0.17285159999999999</v>
      </c>
      <c r="T2321">
        <v>-8.9442610000000006E-2</v>
      </c>
      <c r="U2321">
        <v>-3.2335820000000002</v>
      </c>
      <c r="V2321">
        <v>0.22979379999999999</v>
      </c>
      <c r="W2321">
        <v>4.3679950000000002E-2</v>
      </c>
      <c r="X2321">
        <v>0.97225859999999997</v>
      </c>
      <c r="Y2321">
        <v>0.57347799999999904</v>
      </c>
      <c r="Z2321">
        <v>1.6377309999999999E-2</v>
      </c>
      <c r="AA2321">
        <v>0.81905729999999999</v>
      </c>
      <c r="AB2321">
        <v>10</v>
      </c>
      <c r="AC2321">
        <v>2.1095000000000201</v>
      </c>
      <c r="AD2321">
        <v>-1.1090257771859999</v>
      </c>
      <c r="AE2321">
        <v>-40.044899999999998</v>
      </c>
      <c r="AF2321">
        <v>23.0051633481552</v>
      </c>
      <c r="AG2321">
        <v>-1.1090257771859999</v>
      </c>
      <c r="AH2321">
        <v>32.807764455598203</v>
      </c>
      <c r="AI2321">
        <v>91.585391407135504</v>
      </c>
      <c r="AJ2321">
        <v>54.9614413595068</v>
      </c>
      <c r="AK2321">
        <v>40.0851205240022</v>
      </c>
      <c r="AL2321">
        <v>87.496526598299397</v>
      </c>
      <c r="AM2321">
        <v>76.702142853597493</v>
      </c>
      <c r="AN2321">
        <v>0.99999995691220001</v>
      </c>
    </row>
    <row r="2322" spans="1:40" x14ac:dyDescent="0.25">
      <c r="A2322" t="str">
        <f>"20190312150707657"</f>
        <v>20190312150707657</v>
      </c>
      <c r="B2322" t="str">
        <f>"1552374427652191"</f>
        <v>1552374427652191</v>
      </c>
      <c r="C2322" t="s">
        <v>40</v>
      </c>
      <c r="D2322">
        <v>4.4484260000000004</v>
      </c>
      <c r="E2322">
        <v>0.65123219999999904</v>
      </c>
      <c r="F2322" t="s">
        <v>42</v>
      </c>
      <c r="G2322">
        <v>-190.60499999999999</v>
      </c>
      <c r="H2322" s="1">
        <v>-2.6196279999999998E-6</v>
      </c>
      <c r="I2322">
        <v>314.7928</v>
      </c>
      <c r="J2322">
        <v>-192.6628</v>
      </c>
      <c r="K2322">
        <v>1.109</v>
      </c>
      <c r="L2322">
        <v>357.22190000000001</v>
      </c>
      <c r="M2322">
        <v>0.6123535</v>
      </c>
      <c r="N2322">
        <v>0</v>
      </c>
      <c r="O2322">
        <v>-0.79047730000000005</v>
      </c>
      <c r="P2322">
        <v>0.41471380000000002</v>
      </c>
      <c r="Q2322">
        <v>3.217983E-2</v>
      </c>
      <c r="R2322">
        <v>-0.90938300000000005</v>
      </c>
      <c r="S2322">
        <v>0.16011049999999999</v>
      </c>
      <c r="T2322">
        <v>-8.4416870000000005E-2</v>
      </c>
      <c r="U2322">
        <v>-3.2348020000000002</v>
      </c>
      <c r="V2322">
        <v>0.2292458</v>
      </c>
      <c r="W2322">
        <v>4.3869539999999999E-2</v>
      </c>
      <c r="X2322">
        <v>0.97237949999999995</v>
      </c>
      <c r="Y2322">
        <v>0.57256169999999995</v>
      </c>
      <c r="Z2322">
        <v>1.5578720000000001E-2</v>
      </c>
      <c r="AA2322">
        <v>0.81971369999999899</v>
      </c>
      <c r="AB2322">
        <v>10</v>
      </c>
      <c r="AC2322">
        <v>2.0578000000000101</v>
      </c>
      <c r="AD2322">
        <v>-1.1090026196280001</v>
      </c>
      <c r="AE2322">
        <v>-42.429099999999998</v>
      </c>
      <c r="AF2322">
        <v>24.3404299120714</v>
      </c>
      <c r="AG2322">
        <v>-1.1090026196280001</v>
      </c>
      <c r="AH2322">
        <v>34.778574988661497</v>
      </c>
      <c r="AI2322">
        <v>91.496505568462197</v>
      </c>
      <c r="AJ2322">
        <v>55.013035867243097</v>
      </c>
      <c r="AK2322">
        <v>42.464522761438801</v>
      </c>
      <c r="AL2322">
        <v>87.485653658932094</v>
      </c>
      <c r="AM2322">
        <v>76.734323376799196</v>
      </c>
      <c r="AN2322">
        <v>1.0000000326888501</v>
      </c>
    </row>
    <row r="2323" spans="1:40" x14ac:dyDescent="0.25">
      <c r="A2323" t="str">
        <f>"20190312150707671"</f>
        <v>20190312150707671</v>
      </c>
      <c r="B2323" t="str">
        <f>"1552374427661950"</f>
        <v>1552374427661950</v>
      </c>
      <c r="C2323" t="s">
        <v>40</v>
      </c>
      <c r="D2323">
        <v>4.5430799999999998</v>
      </c>
      <c r="E2323">
        <v>0.65131110000000003</v>
      </c>
      <c r="F2323" t="s">
        <v>42</v>
      </c>
      <c r="G2323">
        <v>-190.63939999999999</v>
      </c>
      <c r="H2323" s="1">
        <v>-1.1114249999999999E-6</v>
      </c>
      <c r="I2323">
        <v>311.5829</v>
      </c>
      <c r="J2323">
        <v>-192.62479999999999</v>
      </c>
      <c r="K2323">
        <v>1.1089830000000001</v>
      </c>
      <c r="L2323">
        <v>357.16489999999999</v>
      </c>
      <c r="M2323">
        <v>0.60898640000000004</v>
      </c>
      <c r="N2323">
        <v>0</v>
      </c>
      <c r="O2323">
        <v>-0.79307569999999905</v>
      </c>
      <c r="P2323">
        <v>0.41123729999999997</v>
      </c>
      <c r="Q2323">
        <v>3.1853239999999998E-2</v>
      </c>
      <c r="R2323">
        <v>-0.91097189999999995</v>
      </c>
      <c r="S2323">
        <v>0.14347839999999901</v>
      </c>
      <c r="T2323">
        <v>-7.8639390000000003E-2</v>
      </c>
      <c r="U2323">
        <v>-3.2362669999999998</v>
      </c>
      <c r="V2323">
        <v>0.2288297</v>
      </c>
      <c r="W2323">
        <v>4.3459379999999999E-2</v>
      </c>
      <c r="X2323">
        <v>0.97249589999999997</v>
      </c>
      <c r="Y2323">
        <v>0.57329799999999997</v>
      </c>
      <c r="Z2323">
        <v>1.4591460000000001E-2</v>
      </c>
      <c r="AA2323">
        <v>0.81921710000000003</v>
      </c>
      <c r="AB2323">
        <v>10</v>
      </c>
      <c r="AC2323">
        <v>1.9853999999999901</v>
      </c>
      <c r="AD2323">
        <v>-1.1089841114250001</v>
      </c>
      <c r="AE2323">
        <v>-45.582000000000001</v>
      </c>
      <c r="AF2323">
        <v>26.1709638690532</v>
      </c>
      <c r="AG2323">
        <v>-1.1089841114250001</v>
      </c>
      <c r="AH2323">
        <v>37.340108112724998</v>
      </c>
      <c r="AI2323">
        <v>91.393201396500402</v>
      </c>
      <c r="AJ2323">
        <v>54.974124939342097</v>
      </c>
      <c r="AK2323">
        <v>45.6117624025281</v>
      </c>
      <c r="AL2323">
        <v>87.509176479597798</v>
      </c>
      <c r="AM2323">
        <v>76.759081753886804</v>
      </c>
      <c r="AN2323">
        <v>1.0000000124144399</v>
      </c>
    </row>
    <row r="2324" spans="1:40" x14ac:dyDescent="0.25">
      <c r="A2324" t="str">
        <f>"20190312150707690"</f>
        <v>20190312150707690</v>
      </c>
      <c r="B2324" t="str">
        <f>"1552374427682445"</f>
        <v>1552374427682445</v>
      </c>
      <c r="C2324" t="s">
        <v>40</v>
      </c>
      <c r="D2324">
        <v>4.4922700000000004</v>
      </c>
      <c r="E2324">
        <v>0.65152299999999996</v>
      </c>
      <c r="F2324" t="s">
        <v>42</v>
      </c>
      <c r="G2324">
        <v>-190.80699999999999</v>
      </c>
      <c r="H2324" s="1">
        <v>-1.4096349999999999E-6</v>
      </c>
      <c r="I2324">
        <v>312.11939999999998</v>
      </c>
      <c r="J2324">
        <v>-192.5797</v>
      </c>
      <c r="K2324">
        <v>1.108962</v>
      </c>
      <c r="L2324">
        <v>357.09609999999998</v>
      </c>
      <c r="M2324">
        <v>0.60491530000000004</v>
      </c>
      <c r="N2324">
        <v>0</v>
      </c>
      <c r="O2324">
        <v>-0.79618679999999997</v>
      </c>
      <c r="P2324">
        <v>0.40748649999999997</v>
      </c>
      <c r="Q2324">
        <v>3.209596E-2</v>
      </c>
      <c r="R2324">
        <v>-0.91264710000000004</v>
      </c>
      <c r="S2324">
        <v>0.13063050000000001</v>
      </c>
      <c r="T2324">
        <v>-7.9693200000000006E-2</v>
      </c>
      <c r="U2324">
        <v>-3.2370299999999999</v>
      </c>
      <c r="V2324">
        <v>0.22784260000000001</v>
      </c>
      <c r="W2324">
        <v>4.3605159999999997E-2</v>
      </c>
      <c r="X2324">
        <v>0.97272110000000001</v>
      </c>
      <c r="Y2324">
        <v>0.57235329999999995</v>
      </c>
      <c r="Z2324">
        <v>1.4903349999999999E-2</v>
      </c>
      <c r="AA2324">
        <v>0.81987169999999898</v>
      </c>
      <c r="AB2324">
        <v>10</v>
      </c>
      <c r="AC2324">
        <v>1.77269999999998</v>
      </c>
      <c r="AD2324">
        <v>-1.1089634096349901</v>
      </c>
      <c r="AE2324">
        <v>-44.976700000000001</v>
      </c>
      <c r="AF2324">
        <v>25.782160262708999</v>
      </c>
      <c r="AG2324">
        <v>-1.1089634096349901</v>
      </c>
      <c r="AH2324">
        <v>36.862838446276101</v>
      </c>
      <c r="AI2324">
        <v>91.412182343179495</v>
      </c>
      <c r="AJ2324">
        <v>55.030754648580398</v>
      </c>
      <c r="AK2324">
        <v>44.997982687806903</v>
      </c>
      <c r="AL2324">
        <v>87.500815942754897</v>
      </c>
      <c r="AM2324">
        <v>76.817145513274298</v>
      </c>
      <c r="AN2324">
        <v>0.99999999936929695</v>
      </c>
    </row>
    <row r="2325" spans="1:40" x14ac:dyDescent="0.25">
      <c r="A2325" t="str">
        <f>"20190312150707701"</f>
        <v>20190312150707701</v>
      </c>
      <c r="B2325" t="str">
        <f>"1552374427692206"</f>
        <v>1552374427692206</v>
      </c>
      <c r="C2325" t="s">
        <v>40</v>
      </c>
      <c r="D2325">
        <v>4.4621839999999997</v>
      </c>
      <c r="E2325">
        <v>0.65160269999999898</v>
      </c>
      <c r="F2325" t="s">
        <v>42</v>
      </c>
      <c r="G2325">
        <v>-190.96340000000001</v>
      </c>
      <c r="H2325" s="1">
        <v>-1.3474429999999999E-6</v>
      </c>
      <c r="I2325">
        <v>311.89980000000003</v>
      </c>
      <c r="J2325">
        <v>-192.54849999999999</v>
      </c>
      <c r="K2325">
        <v>1.108946</v>
      </c>
      <c r="L2325">
        <v>357.04829999999998</v>
      </c>
      <c r="M2325">
        <v>0.60207270000000002</v>
      </c>
      <c r="N2325">
        <v>0</v>
      </c>
      <c r="O2325">
        <v>-0.79833989999999999</v>
      </c>
      <c r="P2325">
        <v>0.40485749999999998</v>
      </c>
      <c r="Q2325">
        <v>3.2611300000000003E-2</v>
      </c>
      <c r="R2325">
        <v>-0.9137982</v>
      </c>
      <c r="S2325">
        <v>0.115799</v>
      </c>
      <c r="T2325">
        <v>-7.9454179999999999E-2</v>
      </c>
      <c r="U2325">
        <v>-3.2381899999999999</v>
      </c>
      <c r="V2325">
        <v>0.22716539999999999</v>
      </c>
      <c r="W2325">
        <v>4.405295E-2</v>
      </c>
      <c r="X2325">
        <v>0.97285929999999998</v>
      </c>
      <c r="Y2325">
        <v>0.57319039999999999</v>
      </c>
      <c r="Z2325">
        <v>1.4922339999999999E-2</v>
      </c>
      <c r="AA2325">
        <v>0.81928630000000002</v>
      </c>
      <c r="AB2325">
        <v>10</v>
      </c>
      <c r="AC2325">
        <v>1.58509999999998</v>
      </c>
      <c r="AD2325">
        <v>-1.1089473474429901</v>
      </c>
      <c r="AE2325">
        <v>-45.148499999999899</v>
      </c>
      <c r="AF2325">
        <v>25.903720017584</v>
      </c>
      <c r="AG2325">
        <v>-1.1089473474429901</v>
      </c>
      <c r="AH2325">
        <v>36.978907181079599</v>
      </c>
      <c r="AI2325">
        <v>91.407009523427405</v>
      </c>
      <c r="AJ2325">
        <v>54.988762184356503</v>
      </c>
      <c r="AK2325">
        <v>45.162728563226601</v>
      </c>
      <c r="AL2325">
        <v>87.475134787262306</v>
      </c>
      <c r="AM2325">
        <v>76.856768014916199</v>
      </c>
      <c r="AN2325">
        <v>0.99999999947867602</v>
      </c>
    </row>
    <row r="2326" spans="1:40" x14ac:dyDescent="0.25">
      <c r="A2326" t="str">
        <f>"20190312150707714"</f>
        <v>20190312150707714</v>
      </c>
      <c r="B2326" t="str">
        <f>"1552374427701966"</f>
        <v>1552374427701966</v>
      </c>
      <c r="C2326" t="s">
        <v>40</v>
      </c>
      <c r="D2326">
        <v>4.4881060000000002</v>
      </c>
      <c r="E2326">
        <v>0.65169540000000004</v>
      </c>
      <c r="F2326" t="s">
        <v>42</v>
      </c>
      <c r="G2326">
        <v>-191.02279999999999</v>
      </c>
      <c r="H2326" s="1">
        <v>-6.5385520000000001E-7</v>
      </c>
      <c r="I2326">
        <v>310.39909999999998</v>
      </c>
      <c r="J2326">
        <v>-192.52010000000001</v>
      </c>
      <c r="K2326">
        <v>1.1089329999999999</v>
      </c>
      <c r="L2326">
        <v>357.00420000000003</v>
      </c>
      <c r="M2326">
        <v>0.59944339999999996</v>
      </c>
      <c r="N2326">
        <v>0</v>
      </c>
      <c r="O2326">
        <v>-0.80031680000000005</v>
      </c>
      <c r="P2326">
        <v>0.402582</v>
      </c>
      <c r="Q2326">
        <v>3.3024779999999997E-2</v>
      </c>
      <c r="R2326">
        <v>-0.91478809999999999</v>
      </c>
      <c r="S2326">
        <v>0.10592650000000001</v>
      </c>
      <c r="T2326">
        <v>-7.6993699999999998E-2</v>
      </c>
      <c r="U2326">
        <v>-3.2388309999999998</v>
      </c>
      <c r="V2326">
        <v>0.22637879999999999</v>
      </c>
      <c r="W2326">
        <v>4.4407370000000002E-2</v>
      </c>
      <c r="X2326">
        <v>0.97302650000000002</v>
      </c>
      <c r="Y2326">
        <v>0.5729957</v>
      </c>
      <c r="Z2326">
        <v>1.45276E-2</v>
      </c>
      <c r="AA2326">
        <v>0.81942959999999998</v>
      </c>
      <c r="AB2326">
        <v>10</v>
      </c>
      <c r="AC2326">
        <v>1.4973000000000201</v>
      </c>
      <c r="AD2326">
        <v>-1.1089336538551999</v>
      </c>
      <c r="AE2326">
        <v>-46.6051</v>
      </c>
      <c r="AF2326">
        <v>26.725837366059402</v>
      </c>
      <c r="AG2326">
        <v>-1.1089336538551999</v>
      </c>
      <c r="AH2326">
        <v>38.177866462942298</v>
      </c>
      <c r="AI2326">
        <v>91.363120803312697</v>
      </c>
      <c r="AJ2326">
        <v>55.006639371576597</v>
      </c>
      <c r="AK2326">
        <v>46.615980140161902</v>
      </c>
      <c r="AL2326">
        <v>87.454808056312601</v>
      </c>
      <c r="AM2326">
        <v>76.902880103220696</v>
      </c>
      <c r="AN2326">
        <v>0.99999997265100304</v>
      </c>
    </row>
    <row r="2327" spans="1:40" x14ac:dyDescent="0.25">
      <c r="A2327" t="str">
        <f>"20190312150707726"</f>
        <v>20190312150707726</v>
      </c>
      <c r="B2327" t="str">
        <f>"1552374427722462"</f>
        <v>1552374427722462</v>
      </c>
      <c r="C2327" t="s">
        <v>40</v>
      </c>
      <c r="D2327">
        <v>4.2478360000000004</v>
      </c>
      <c r="E2327">
        <v>0.65182830000000003</v>
      </c>
      <c r="F2327" t="s">
        <v>42</v>
      </c>
      <c r="G2327">
        <v>-191.0728</v>
      </c>
      <c r="H2327" s="1">
        <v>-4.2293600000000003E-6</v>
      </c>
      <c r="I2327">
        <v>308.85579999999999</v>
      </c>
      <c r="J2327">
        <v>-192.49029999999999</v>
      </c>
      <c r="K2327">
        <v>1.1089209999999901</v>
      </c>
      <c r="L2327">
        <v>356.95769999999999</v>
      </c>
      <c r="M2327">
        <v>0.59667109999999901</v>
      </c>
      <c r="N2327">
        <v>0</v>
      </c>
      <c r="O2327">
        <v>-0.80238690000000001</v>
      </c>
      <c r="P2327">
        <v>0.40015810000000002</v>
      </c>
      <c r="Q2327">
        <v>3.3168099999999999E-2</v>
      </c>
      <c r="R2327">
        <v>-0.91584600000000005</v>
      </c>
      <c r="S2327">
        <v>9.7366330000000001E-2</v>
      </c>
      <c r="T2327">
        <v>-7.4606179999999994E-2</v>
      </c>
      <c r="U2327">
        <v>-3.2392880000000002</v>
      </c>
      <c r="V2327">
        <v>0.22558619999999999</v>
      </c>
      <c r="W2327">
        <v>4.448883E-2</v>
      </c>
      <c r="X2327">
        <v>0.97320689999999999</v>
      </c>
      <c r="Y2327">
        <v>0.572327699999999</v>
      </c>
      <c r="Z2327">
        <v>1.4150370000000001E-2</v>
      </c>
      <c r="AA2327">
        <v>0.81990289999999999</v>
      </c>
      <c r="AB2327">
        <v>10</v>
      </c>
      <c r="AC2327">
        <v>1.41749999999998</v>
      </c>
      <c r="AD2327">
        <v>-1.1089252293599901</v>
      </c>
      <c r="AE2327">
        <v>-48.101900000000001</v>
      </c>
      <c r="AF2327">
        <v>27.551189839629501</v>
      </c>
      <c r="AG2327">
        <v>-1.1089252293599901</v>
      </c>
      <c r="AH2327">
        <v>39.424314268492999</v>
      </c>
      <c r="AI2327">
        <v>91.320771819508295</v>
      </c>
      <c r="AJ2327">
        <v>55.052705861019803</v>
      </c>
      <c r="AK2327">
        <v>48.110023199791897</v>
      </c>
      <c r="AL2327">
        <v>87.450136270805601</v>
      </c>
      <c r="AM2327">
        <v>76.949499796065993</v>
      </c>
      <c r="AN2327">
        <v>1.0000000299164</v>
      </c>
    </row>
    <row r="2328" spans="1:40" x14ac:dyDescent="0.25">
      <c r="A2328" t="str">
        <f>"20190312150707744"</f>
        <v>20190312150707744</v>
      </c>
      <c r="B2328" t="str">
        <f>"1552374427732728"</f>
        <v>1552374427732728</v>
      </c>
      <c r="C2328" t="s">
        <v>40</v>
      </c>
      <c r="D2328">
        <v>4.4236760000000004</v>
      </c>
      <c r="E2328">
        <v>0.65182209999999996</v>
      </c>
      <c r="F2328" t="s">
        <v>42</v>
      </c>
      <c r="G2328">
        <v>-191.13460000000001</v>
      </c>
      <c r="H2328" s="1">
        <v>-3.4264820000000001E-6</v>
      </c>
      <c r="I2328">
        <v>306.87259999999998</v>
      </c>
      <c r="J2328">
        <v>-192.44669999999999</v>
      </c>
      <c r="K2328">
        <v>1.1089039999999999</v>
      </c>
      <c r="L2328">
        <v>356.88909999999998</v>
      </c>
      <c r="M2328">
        <v>0.59255740000000001</v>
      </c>
      <c r="N2328">
        <v>0</v>
      </c>
      <c r="O2328">
        <v>-0.80543129999999996</v>
      </c>
      <c r="P2328">
        <v>0.3970127</v>
      </c>
      <c r="Q2328">
        <v>3.3275539999999999E-2</v>
      </c>
      <c r="R2328">
        <v>-0.91720999999999997</v>
      </c>
      <c r="S2328">
        <v>8.7692259999999994E-2</v>
      </c>
      <c r="T2328">
        <v>-7.1734549999999994E-2</v>
      </c>
      <c r="U2328">
        <v>-3.2399290000000001</v>
      </c>
      <c r="V2328">
        <v>0.223943</v>
      </c>
      <c r="W2328">
        <v>4.450788E-2</v>
      </c>
      <c r="X2328">
        <v>0.97358540000000005</v>
      </c>
      <c r="Y2328">
        <v>0.57058180000000003</v>
      </c>
      <c r="Z2328">
        <v>1.3715710000000001E-2</v>
      </c>
      <c r="AA2328">
        <v>0.82112619999999903</v>
      </c>
      <c r="AB2328">
        <v>10</v>
      </c>
      <c r="AC2328">
        <v>1.3120999999999801</v>
      </c>
      <c r="AD2328">
        <v>-1.108907426482</v>
      </c>
      <c r="AE2328">
        <v>-50.016500000000001</v>
      </c>
      <c r="AF2328">
        <v>28.569039146508299</v>
      </c>
      <c r="AG2328">
        <v>-1.108907426482</v>
      </c>
      <c r="AH2328">
        <v>41.045393656741403</v>
      </c>
      <c r="AI2328">
        <v>91.270273832814794</v>
      </c>
      <c r="AJ2328">
        <v>55.160724218057503</v>
      </c>
      <c r="AK2328">
        <v>50.021435543895599</v>
      </c>
      <c r="AL2328">
        <v>87.449043563470894</v>
      </c>
      <c r="AM2328">
        <v>77.046209397626896</v>
      </c>
      <c r="AN2328">
        <v>0.999999974862126</v>
      </c>
    </row>
    <row r="2329" spans="1:40" x14ac:dyDescent="0.25">
      <c r="A2329" t="str">
        <f>"20190312150707757"</f>
        <v>20190312150707757</v>
      </c>
      <c r="B2329" t="str">
        <f>"1552374427752249"</f>
        <v>1552374427752249</v>
      </c>
      <c r="C2329" t="s">
        <v>40</v>
      </c>
      <c r="D2329">
        <v>4.458291</v>
      </c>
      <c r="E2329">
        <v>0.65188559999999995</v>
      </c>
      <c r="F2329" t="s">
        <v>42</v>
      </c>
      <c r="G2329">
        <v>-191.27010000000001</v>
      </c>
      <c r="H2329" s="1">
        <v>-3.6143899999999998E-6</v>
      </c>
      <c r="I2329">
        <v>307.22660000000002</v>
      </c>
      <c r="J2329">
        <v>-192.41749999999999</v>
      </c>
      <c r="K2329">
        <v>1.1088910000000001</v>
      </c>
      <c r="L2329">
        <v>356.84249999999997</v>
      </c>
      <c r="M2329">
        <v>0.58974780000000004</v>
      </c>
      <c r="N2329">
        <v>0</v>
      </c>
      <c r="O2329">
        <v>-0.80749139999999997</v>
      </c>
      <c r="P2329">
        <v>0.39446550000000002</v>
      </c>
      <c r="Q2329">
        <v>3.3587840000000001E-2</v>
      </c>
      <c r="R2329">
        <v>-0.91829680000000002</v>
      </c>
      <c r="S2329">
        <v>7.6766970000000004E-2</v>
      </c>
      <c r="T2329">
        <v>-7.2348709999999997E-2</v>
      </c>
      <c r="U2329">
        <v>-3.2401430000000002</v>
      </c>
      <c r="V2329">
        <v>0.2232478</v>
      </c>
      <c r="W2329">
        <v>4.4757020000000002E-2</v>
      </c>
      <c r="X2329">
        <v>0.97373370000000004</v>
      </c>
      <c r="Y2329">
        <v>0.57048859999999901</v>
      </c>
      <c r="Z2329">
        <v>1.38998E-2</v>
      </c>
      <c r="AA2329">
        <v>0.82118789999999997</v>
      </c>
      <c r="AB2329">
        <v>10</v>
      </c>
      <c r="AC2329">
        <v>1.14739999999997</v>
      </c>
      <c r="AD2329">
        <v>-1.10889461439</v>
      </c>
      <c r="AE2329">
        <v>-49.615899999999897</v>
      </c>
      <c r="AF2329">
        <v>28.322411242564201</v>
      </c>
      <c r="AG2329">
        <v>-1.10889461439</v>
      </c>
      <c r="AH2329">
        <v>40.7239195912653</v>
      </c>
      <c r="AI2329">
        <v>91.280620258924898</v>
      </c>
      <c r="AJ2329">
        <v>55.182406035556497</v>
      </c>
      <c r="AK2329">
        <v>49.616794059416897</v>
      </c>
      <c r="AL2329">
        <v>87.434754832795804</v>
      </c>
      <c r="AM2329">
        <v>77.086973319409395</v>
      </c>
      <c r="AN2329">
        <v>1.0000000447799</v>
      </c>
    </row>
    <row r="2330" spans="1:40" x14ac:dyDescent="0.25">
      <c r="A2330" t="str">
        <f>"20190312150707769"</f>
        <v>20190312150707769</v>
      </c>
      <c r="B2330" t="str">
        <f>"1552374427762008"</f>
        <v>1552374427762008</v>
      </c>
      <c r="C2330" t="s">
        <v>40</v>
      </c>
      <c r="D2330">
        <v>4.53294</v>
      </c>
      <c r="E2330">
        <v>0.65186699999999997</v>
      </c>
      <c r="F2330" t="s">
        <v>42</v>
      </c>
      <c r="G2330">
        <v>-191.41849999999999</v>
      </c>
      <c r="H2330" s="1">
        <v>-4.2885800000000002E-6</v>
      </c>
      <c r="I2330">
        <v>308.84960000000001</v>
      </c>
      <c r="J2330">
        <v>-192.38579999999999</v>
      </c>
      <c r="K2330">
        <v>1.108878</v>
      </c>
      <c r="L2330">
        <v>356.79169999999999</v>
      </c>
      <c r="M2330">
        <v>0.58667999999999998</v>
      </c>
      <c r="N2330">
        <v>0</v>
      </c>
      <c r="O2330">
        <v>-0.80972429999999995</v>
      </c>
      <c r="P2330">
        <v>0.39147979999999999</v>
      </c>
      <c r="Q2330">
        <v>3.3872020000000003E-2</v>
      </c>
      <c r="R2330">
        <v>-0.91956309999999997</v>
      </c>
      <c r="S2330">
        <v>6.7459110000000003E-2</v>
      </c>
      <c r="T2330">
        <v>-7.487547E-2</v>
      </c>
      <c r="U2330">
        <v>-3.2406009999999998</v>
      </c>
      <c r="V2330">
        <v>0.2227121</v>
      </c>
      <c r="W2330">
        <v>4.4971850000000001E-2</v>
      </c>
      <c r="X2330">
        <v>0.9738464</v>
      </c>
      <c r="Y2330">
        <v>0.56973149999999995</v>
      </c>
      <c r="Z2330">
        <v>1.446451E-2</v>
      </c>
      <c r="AA2330">
        <v>0.82170359999999998</v>
      </c>
      <c r="AB2330">
        <v>10</v>
      </c>
      <c r="AC2330">
        <v>0.96729999999999405</v>
      </c>
      <c r="AD2330">
        <v>-1.10888228858</v>
      </c>
      <c r="AE2330">
        <v>-47.942099999999897</v>
      </c>
      <c r="AF2330">
        <v>27.330903267586599</v>
      </c>
      <c r="AG2330">
        <v>-1.10888228858</v>
      </c>
      <c r="AH2330">
        <v>39.369341875018399</v>
      </c>
      <c r="AI2330">
        <v>91.325431684220504</v>
      </c>
      <c r="AJ2330">
        <v>55.2309251284303</v>
      </c>
      <c r="AK2330">
        <v>47.9390547781679</v>
      </c>
      <c r="AL2330">
        <v>87.422433404324295</v>
      </c>
      <c r="AM2330">
        <v>77.118365218498496</v>
      </c>
      <c r="AN2330">
        <v>0.99999997878589597</v>
      </c>
    </row>
    <row r="2331" spans="1:40" x14ac:dyDescent="0.25">
      <c r="A2331" t="str">
        <f>"20190312150707781"</f>
        <v>20190312150707781</v>
      </c>
      <c r="B2331" t="str">
        <f>"1552374427772745"</f>
        <v>1552374427772745</v>
      </c>
      <c r="C2331" t="s">
        <v>40</v>
      </c>
      <c r="D2331">
        <v>4.325488</v>
      </c>
      <c r="E2331">
        <v>0.65188859999999904</v>
      </c>
      <c r="F2331" t="s">
        <v>42</v>
      </c>
      <c r="G2331">
        <v>-191.53829999999999</v>
      </c>
      <c r="H2331" s="1">
        <v>-4.2620650000000003E-6</v>
      </c>
      <c r="I2331">
        <v>308.70929999999998</v>
      </c>
      <c r="J2331">
        <v>-192.35659999999999</v>
      </c>
      <c r="K2331">
        <v>1.1088659999999999</v>
      </c>
      <c r="L2331">
        <v>356.74430000000001</v>
      </c>
      <c r="M2331">
        <v>0.58381149999999904</v>
      </c>
      <c r="N2331">
        <v>0</v>
      </c>
      <c r="O2331">
        <v>-0.81179579999999996</v>
      </c>
      <c r="P2331">
        <v>0.38860709999999998</v>
      </c>
      <c r="Q2331">
        <v>3.453846E-2</v>
      </c>
      <c r="R2331">
        <v>-0.92075620000000002</v>
      </c>
      <c r="S2331">
        <v>5.7128909999999998E-2</v>
      </c>
      <c r="T2331">
        <v>-7.4741479999999999E-2</v>
      </c>
      <c r="U2331">
        <v>-3.240875</v>
      </c>
      <c r="V2331">
        <v>0.2222953</v>
      </c>
      <c r="W2331">
        <v>4.557348E-2</v>
      </c>
      <c r="X2331">
        <v>0.97391369999999999</v>
      </c>
      <c r="Y2331">
        <v>0.56944309999999998</v>
      </c>
      <c r="Z2331">
        <v>1.4509309999999999E-2</v>
      </c>
      <c r="AA2331">
        <v>0.82190269999999999</v>
      </c>
      <c r="AB2331">
        <v>10</v>
      </c>
      <c r="AC2331">
        <v>0.81829999999999303</v>
      </c>
      <c r="AD2331">
        <v>-1.1088702620649999</v>
      </c>
      <c r="AE2331">
        <v>-48.034999999999997</v>
      </c>
      <c r="AF2331">
        <v>27.3665905677728</v>
      </c>
      <c r="AG2331">
        <v>-1.1088702620649999</v>
      </c>
      <c r="AH2331">
        <v>39.454319634938201</v>
      </c>
      <c r="AI2331">
        <v>91.322929451371294</v>
      </c>
      <c r="AJ2331">
        <v>55.253769635142604</v>
      </c>
      <c r="AK2331">
        <v>48.029191232187998</v>
      </c>
      <c r="AL2331">
        <v>87.387927267358904</v>
      </c>
      <c r="AM2331">
        <v>77.142529838696305</v>
      </c>
      <c r="AN2331">
        <v>1.0000000187645399</v>
      </c>
    </row>
    <row r="2332" spans="1:40" x14ac:dyDescent="0.25">
      <c r="A2332" t="str">
        <f>"20190312150707795"</f>
        <v>20190312150707795</v>
      </c>
      <c r="B2332" t="str">
        <f>"1552374427792265"</f>
        <v>1552374427792265</v>
      </c>
      <c r="C2332" t="s">
        <v>40</v>
      </c>
      <c r="D2332">
        <v>4.472308</v>
      </c>
      <c r="E2332">
        <v>0.65186690000000003</v>
      </c>
      <c r="F2332" t="s">
        <v>42</v>
      </c>
      <c r="G2332">
        <v>-191.63220000000001</v>
      </c>
      <c r="H2332" s="1">
        <v>-3.5450200000000001E-6</v>
      </c>
      <c r="I2332">
        <v>306.84030000000001</v>
      </c>
      <c r="J2332">
        <v>-192.3278</v>
      </c>
      <c r="K2332">
        <v>1.108851</v>
      </c>
      <c r="L2332">
        <v>356.69720000000001</v>
      </c>
      <c r="M2332">
        <v>0.58094979999999996</v>
      </c>
      <c r="N2332">
        <v>0</v>
      </c>
      <c r="O2332">
        <v>-0.81384719999999999</v>
      </c>
      <c r="P2332">
        <v>0.38576329999999998</v>
      </c>
      <c r="Q2332">
        <v>3.5013620000000002E-2</v>
      </c>
      <c r="R2332">
        <v>-0.92193320000000001</v>
      </c>
      <c r="S2332">
        <v>4.7042849999999997E-2</v>
      </c>
      <c r="T2332">
        <v>-7.2015759999999998E-2</v>
      </c>
      <c r="U2332">
        <v>-3.241028</v>
      </c>
      <c r="V2332">
        <v>0.2218639</v>
      </c>
      <c r="W2332">
        <v>4.5986939999999997E-2</v>
      </c>
      <c r="X2332">
        <v>0.97399259999999999</v>
      </c>
      <c r="Y2332">
        <v>0.56910740000000004</v>
      </c>
      <c r="Z2332">
        <v>1.404876E-2</v>
      </c>
      <c r="AA2332">
        <v>0.82214310000000002</v>
      </c>
      <c r="AB2332">
        <v>10</v>
      </c>
      <c r="AC2332">
        <v>0.69559999999998401</v>
      </c>
      <c r="AD2332">
        <v>-1.10885454502</v>
      </c>
      <c r="AE2332">
        <v>-49.856900000000003</v>
      </c>
      <c r="AF2332">
        <v>28.3863364132417</v>
      </c>
      <c r="AG2332">
        <v>-1.10885454502</v>
      </c>
      <c r="AH2332">
        <v>40.962823977952098</v>
      </c>
      <c r="AI2332">
        <v>91.274596602466602</v>
      </c>
      <c r="AJ2332">
        <v>55.278891743700697</v>
      </c>
      <c r="AK2332">
        <v>49.849439331013897</v>
      </c>
      <c r="AL2332">
        <v>87.364212806706206</v>
      </c>
      <c r="AM2332">
        <v>77.167660039155095</v>
      </c>
      <c r="AN2332">
        <v>0.99999998681426605</v>
      </c>
    </row>
    <row r="2333" spans="1:40" x14ac:dyDescent="0.25">
      <c r="A2333" t="str">
        <f>"20190312150707811"</f>
        <v>20190312150707811</v>
      </c>
      <c r="B2333" t="str">
        <f>"1552374427802028"</f>
        <v>1552374427802028</v>
      </c>
      <c r="C2333" t="s">
        <v>40</v>
      </c>
      <c r="D2333">
        <v>4.3359009999999998</v>
      </c>
      <c r="E2333">
        <v>0.65185109999999902</v>
      </c>
      <c r="F2333" t="s">
        <v>42</v>
      </c>
      <c r="G2333">
        <v>-191.726</v>
      </c>
      <c r="H2333" s="1">
        <v>-2.614742E-6</v>
      </c>
      <c r="I2333">
        <v>304.61360000000002</v>
      </c>
      <c r="J2333">
        <v>-192.28620000000001</v>
      </c>
      <c r="K2333">
        <v>1.108835</v>
      </c>
      <c r="L2333">
        <v>356.62860000000001</v>
      </c>
      <c r="M2333">
        <v>0.57677599999999996</v>
      </c>
      <c r="N2333">
        <v>0</v>
      </c>
      <c r="O2333">
        <v>-0.81681179999999998</v>
      </c>
      <c r="P2333">
        <v>0.38140639999999998</v>
      </c>
      <c r="Q2333">
        <v>3.5909530000000002E-2</v>
      </c>
      <c r="R2333">
        <v>-0.92370989999999997</v>
      </c>
      <c r="S2333">
        <v>3.7445069999999997E-2</v>
      </c>
      <c r="T2333">
        <v>-6.8999889999999994E-2</v>
      </c>
      <c r="U2333">
        <v>-3.2409669999999999</v>
      </c>
      <c r="V2333">
        <v>0.22146009999999999</v>
      </c>
      <c r="W2333">
        <v>4.6794790000000003E-2</v>
      </c>
      <c r="X2333">
        <v>0.97404610000000003</v>
      </c>
      <c r="Y2333">
        <v>0.56733159999999905</v>
      </c>
      <c r="Z2333">
        <v>1.35668E-2</v>
      </c>
      <c r="AA2333">
        <v>0.82337769999999999</v>
      </c>
      <c r="AB2333">
        <v>10</v>
      </c>
      <c r="AC2333">
        <v>0.56020000000000802</v>
      </c>
      <c r="AD2333">
        <v>-1.108837614742</v>
      </c>
      <c r="AE2333">
        <v>-52.014999999999901</v>
      </c>
      <c r="AF2333">
        <v>29.5321919608133</v>
      </c>
      <c r="AG2333">
        <v>-1.108837614742</v>
      </c>
      <c r="AH2333">
        <v>42.793297610108397</v>
      </c>
      <c r="AI2333">
        <v>91.221710372738201</v>
      </c>
      <c r="AJ2333">
        <v>55.389955773571501</v>
      </c>
      <c r="AK2333">
        <v>52.006213121256003</v>
      </c>
      <c r="AL2333">
        <v>87.317876736180807</v>
      </c>
      <c r="AM2333">
        <v>77.190924522558106</v>
      </c>
      <c r="AN2333">
        <v>1.0000000665941799</v>
      </c>
    </row>
    <row r="2334" spans="1:40" x14ac:dyDescent="0.25">
      <c r="A2334" t="str">
        <f>"20190312150707825"</f>
        <v>20190312150707825</v>
      </c>
      <c r="B2334" t="str">
        <f>"1552374427822521"</f>
        <v>1552374427822521</v>
      </c>
      <c r="C2334" t="s">
        <v>40</v>
      </c>
      <c r="D2334">
        <v>4.4854729999999998</v>
      </c>
      <c r="E2334">
        <v>0.65174350000000003</v>
      </c>
      <c r="F2334" t="s">
        <v>42</v>
      </c>
      <c r="G2334">
        <v>-191.91229999999999</v>
      </c>
      <c r="H2334" s="1">
        <v>-1.546194E-6</v>
      </c>
      <c r="I2334">
        <v>302.00729999999999</v>
      </c>
      <c r="J2334">
        <v>-192.25720000000001</v>
      </c>
      <c r="K2334">
        <v>1.108824</v>
      </c>
      <c r="L2334">
        <v>356.5804</v>
      </c>
      <c r="M2334">
        <v>0.57383260000000003</v>
      </c>
      <c r="N2334">
        <v>0</v>
      </c>
      <c r="O2334">
        <v>-0.81888319999999903</v>
      </c>
      <c r="P2334">
        <v>0.37793949999999998</v>
      </c>
      <c r="Q2334">
        <v>3.6547400000000001E-2</v>
      </c>
      <c r="R2334">
        <v>-0.92510919999999996</v>
      </c>
      <c r="S2334">
        <v>2.2186279999999999E-2</v>
      </c>
      <c r="T2334">
        <v>-6.5797330000000001E-2</v>
      </c>
      <c r="U2334">
        <v>-3.2411799999999999</v>
      </c>
      <c r="V2334">
        <v>0.22159599999999999</v>
      </c>
      <c r="W2334">
        <v>4.73716E-2</v>
      </c>
      <c r="X2334">
        <v>0.9739873</v>
      </c>
      <c r="Y2334">
        <v>0.56824459999999999</v>
      </c>
      <c r="Z2334">
        <v>1.299059E-2</v>
      </c>
      <c r="AA2334">
        <v>0.82275710000000002</v>
      </c>
      <c r="AB2334">
        <v>10</v>
      </c>
      <c r="AC2334">
        <v>0.34490000000002402</v>
      </c>
      <c r="AD2334">
        <v>-1.108825546194</v>
      </c>
      <c r="AE2334">
        <v>-54.573099999999997</v>
      </c>
      <c r="AF2334">
        <v>31.0228571530177</v>
      </c>
      <c r="AG2334">
        <v>-1.108825546194</v>
      </c>
      <c r="AH2334">
        <v>44.871673328617199</v>
      </c>
      <c r="AI2334">
        <v>91.164442380800594</v>
      </c>
      <c r="AJ2334">
        <v>55.341242946325899</v>
      </c>
      <c r="AK2334">
        <v>54.562938221274102</v>
      </c>
      <c r="AL2334">
        <v>87.284791243617505</v>
      </c>
      <c r="AM2334">
        <v>77.182575510800802</v>
      </c>
      <c r="AN2334">
        <v>1.0000000581319199</v>
      </c>
    </row>
    <row r="2335" spans="1:40" x14ac:dyDescent="0.25">
      <c r="A2335" t="str">
        <f>"20190312150707838"</f>
        <v>20190312150707838</v>
      </c>
      <c r="B2335" t="str">
        <f>"1552374427832787"</f>
        <v>1552374427832787</v>
      </c>
      <c r="C2335" t="s">
        <v>40</v>
      </c>
      <c r="D2335">
        <v>4.2625640000000002</v>
      </c>
      <c r="E2335">
        <v>0.65170430000000001</v>
      </c>
      <c r="F2335" t="s">
        <v>61</v>
      </c>
      <c r="G2335">
        <v>-192.0575</v>
      </c>
      <c r="H2335" s="1">
        <v>1.698933E-7</v>
      </c>
      <c r="I2335">
        <v>298.65170000000001</v>
      </c>
      <c r="J2335">
        <v>-192.2251</v>
      </c>
      <c r="K2335">
        <v>1.108816</v>
      </c>
      <c r="L2335">
        <v>356.52620000000002</v>
      </c>
      <c r="M2335">
        <v>0.57052890000000001</v>
      </c>
      <c r="N2335">
        <v>0</v>
      </c>
      <c r="O2335">
        <v>-0.82118930000000001</v>
      </c>
      <c r="P2335">
        <v>0.37396829999999998</v>
      </c>
      <c r="Q2335">
        <v>3.6525290000000002E-2</v>
      </c>
      <c r="R2335">
        <v>-0.9267223</v>
      </c>
      <c r="S2335">
        <v>1.1169429999999999E-2</v>
      </c>
      <c r="T2335">
        <v>-6.2031870000000003E-2</v>
      </c>
      <c r="U2335">
        <v>-3.2407530000000002</v>
      </c>
      <c r="V2335">
        <v>0.22184970000000001</v>
      </c>
      <c r="W2335">
        <v>4.728777E-2</v>
      </c>
      <c r="X2335">
        <v>0.97393359999999995</v>
      </c>
      <c r="Y2335">
        <v>0.56772639999999996</v>
      </c>
      <c r="Z2335">
        <v>1.2316840000000001E-2</v>
      </c>
      <c r="AA2335">
        <v>0.82312510000000005</v>
      </c>
      <c r="AB2335">
        <v>10</v>
      </c>
      <c r="AC2335">
        <v>0.167599999999993</v>
      </c>
      <c r="AD2335">
        <v>-1.1088158301066999</v>
      </c>
      <c r="AE2335">
        <v>-57.874499999999998</v>
      </c>
      <c r="AF2335">
        <v>32.871760135547497</v>
      </c>
      <c r="AG2335">
        <v>-1.1088158301066999</v>
      </c>
      <c r="AH2335">
        <v>47.607516567559102</v>
      </c>
      <c r="AI2335">
        <v>91.097992042691104</v>
      </c>
      <c r="AJ2335">
        <v>55.375923598338602</v>
      </c>
      <c r="AK2335">
        <v>57.8641315556061</v>
      </c>
      <c r="AL2335">
        <v>87.289599687840905</v>
      </c>
      <c r="AM2335">
        <v>77.167702572088899</v>
      </c>
      <c r="AN2335">
        <v>1.0000000398953099</v>
      </c>
    </row>
    <row r="2336" spans="1:40" x14ac:dyDescent="0.25">
      <c r="A2336" t="str">
        <f>"20190312150707859"</f>
        <v>20190312150707859</v>
      </c>
      <c r="B2336" t="str">
        <f>"1552374427852307"</f>
        <v>1552374427852307</v>
      </c>
      <c r="C2336" t="s">
        <v>40</v>
      </c>
      <c r="D2336">
        <v>4.4611169999999998</v>
      </c>
      <c r="E2336">
        <v>0.65156939999999997</v>
      </c>
      <c r="F2336" t="s">
        <v>61</v>
      </c>
      <c r="G2336">
        <v>-192.2662</v>
      </c>
      <c r="H2336" s="1">
        <v>3.9737810000000002E-7</v>
      </c>
      <c r="I2336">
        <v>297.91300000000001</v>
      </c>
      <c r="J2336">
        <v>-192.17939999999999</v>
      </c>
      <c r="K2336">
        <v>1.108806</v>
      </c>
      <c r="L2336">
        <v>356.44850000000002</v>
      </c>
      <c r="M2336">
        <v>0.56576979999999999</v>
      </c>
      <c r="N2336">
        <v>0</v>
      </c>
      <c r="O2336">
        <v>-0.82447649999999995</v>
      </c>
      <c r="P2336">
        <v>0.3684558</v>
      </c>
      <c r="Q2336">
        <v>3.6297709999999997E-2</v>
      </c>
      <c r="R2336">
        <v>-0.92893680000000001</v>
      </c>
      <c r="S2336">
        <v>-2.27356E-3</v>
      </c>
      <c r="T2336">
        <v>-6.1304089999999999E-2</v>
      </c>
      <c r="U2336">
        <v>-3.2406009999999998</v>
      </c>
      <c r="V2336">
        <v>0.2220068</v>
      </c>
      <c r="W2336">
        <v>4.6979600000000003E-2</v>
      </c>
      <c r="X2336">
        <v>0.97391269999999996</v>
      </c>
      <c r="Y2336">
        <v>0.56637890000000002</v>
      </c>
      <c r="Z2336">
        <v>1.227282E-2</v>
      </c>
      <c r="AA2336">
        <v>0.82405360000000005</v>
      </c>
      <c r="AB2336">
        <v>10</v>
      </c>
      <c r="AC2336">
        <v>-8.6800000000010799E-2</v>
      </c>
      <c r="AD2336">
        <v>-1.10880560262189</v>
      </c>
      <c r="AE2336">
        <v>-58.535499999999999</v>
      </c>
      <c r="AF2336">
        <v>33.179651166087901</v>
      </c>
      <c r="AG2336">
        <v>-1.10880560262189</v>
      </c>
      <c r="AH2336">
        <v>48.198189447966399</v>
      </c>
      <c r="AI2336">
        <v>91.0855805780662</v>
      </c>
      <c r="AJ2336">
        <v>55.456461791730597</v>
      </c>
      <c r="AK2336">
        <v>58.525072980986003</v>
      </c>
      <c r="AL2336">
        <v>87.307276132292699</v>
      </c>
      <c r="AM2336">
        <v>77.158650262030804</v>
      </c>
      <c r="AN2336">
        <v>1.0000000246418399</v>
      </c>
    </row>
    <row r="2337" spans="1:40" x14ac:dyDescent="0.25">
      <c r="A2337" t="str">
        <f>"20190312150707872"</f>
        <v>20190312150707872</v>
      </c>
      <c r="B2337" t="str">
        <f>"1552374427862068"</f>
        <v>1552374427862068</v>
      </c>
      <c r="C2337" t="s">
        <v>40</v>
      </c>
      <c r="D2337">
        <v>4.5202559999999998</v>
      </c>
      <c r="E2337">
        <v>0.65149679999999999</v>
      </c>
      <c r="F2337" t="s">
        <v>61</v>
      </c>
      <c r="G2337">
        <v>-192.5403</v>
      </c>
      <c r="H2337" s="1">
        <v>1.1842160000000001E-8</v>
      </c>
      <c r="I2337">
        <v>299.54910000000001</v>
      </c>
      <c r="J2337">
        <v>-192.1454</v>
      </c>
      <c r="K2337">
        <v>1.1088</v>
      </c>
      <c r="L2337">
        <v>356.39</v>
      </c>
      <c r="M2337">
        <v>0.56218579999999996</v>
      </c>
      <c r="N2337">
        <v>0</v>
      </c>
      <c r="O2337">
        <v>-0.82692520000000003</v>
      </c>
      <c r="P2337">
        <v>0.36454510000000001</v>
      </c>
      <c r="Q2337">
        <v>3.6372380000000003E-2</v>
      </c>
      <c r="R2337">
        <v>-0.93047519999999995</v>
      </c>
      <c r="S2337">
        <v>-2.055359E-2</v>
      </c>
      <c r="T2337">
        <v>-6.3140509999999997E-2</v>
      </c>
      <c r="U2337">
        <v>-3.2401119999999999</v>
      </c>
      <c r="V2337">
        <v>0.22187390000000001</v>
      </c>
      <c r="W2337">
        <v>4.700199E-2</v>
      </c>
      <c r="X2337">
        <v>0.97394190000000003</v>
      </c>
      <c r="Y2337">
        <v>0.56744930000000005</v>
      </c>
      <c r="Z2337">
        <v>1.2703570000000001E-2</v>
      </c>
      <c r="AA2337">
        <v>0.82331030000000005</v>
      </c>
      <c r="AB2337">
        <v>10</v>
      </c>
      <c r="AC2337">
        <v>-0.39490000000000602</v>
      </c>
      <c r="AD2337">
        <v>-1.1087999881578401</v>
      </c>
      <c r="AE2337">
        <v>-56.840899999999898</v>
      </c>
      <c r="AF2337">
        <v>32.271709623065199</v>
      </c>
      <c r="AG2337">
        <v>-1.1087999881578401</v>
      </c>
      <c r="AH2337">
        <v>46.766688408706003</v>
      </c>
      <c r="AI2337">
        <v>91.117929772710397</v>
      </c>
      <c r="AJ2337">
        <v>55.392088013588499</v>
      </c>
      <c r="AK2337">
        <v>56.831468607860003</v>
      </c>
      <c r="AL2337">
        <v>87.305991847442797</v>
      </c>
      <c r="AM2337">
        <v>77.166454885414595</v>
      </c>
      <c r="AN2337">
        <v>1.00000001957038</v>
      </c>
    </row>
    <row r="2338" spans="1:40" x14ac:dyDescent="0.25">
      <c r="A2338" t="str">
        <f>"20190312150707891"</f>
        <v>20190312150707891</v>
      </c>
      <c r="B2338" t="str">
        <f>"1552374427882567"</f>
        <v>1552374427882567</v>
      </c>
      <c r="C2338" t="s">
        <v>40</v>
      </c>
      <c r="D2338">
        <v>4.5259679999999998</v>
      </c>
      <c r="E2338">
        <v>0.65126340000000005</v>
      </c>
      <c r="F2338" t="s">
        <v>42</v>
      </c>
      <c r="G2338">
        <v>-192.7261</v>
      </c>
      <c r="H2338" s="1">
        <v>-1.0599800000000001E-6</v>
      </c>
      <c r="I2338">
        <v>300.3691</v>
      </c>
      <c r="J2338">
        <v>-192.10400000000001</v>
      </c>
      <c r="K2338">
        <v>1.108792</v>
      </c>
      <c r="L2338">
        <v>356.31790000000001</v>
      </c>
      <c r="M2338">
        <v>0.55775799999999998</v>
      </c>
      <c r="N2338">
        <v>0</v>
      </c>
      <c r="O2338">
        <v>-0.82991890000000001</v>
      </c>
      <c r="P2338">
        <v>0.35950169999999998</v>
      </c>
      <c r="Q2338">
        <v>3.5862529999999997E-2</v>
      </c>
      <c r="R2338">
        <v>-0.93245509999999998</v>
      </c>
      <c r="S2338">
        <v>-3.3584589999999998E-2</v>
      </c>
      <c r="T2338">
        <v>-6.4126130000000003E-2</v>
      </c>
      <c r="U2338">
        <v>-3.2398989999999999</v>
      </c>
      <c r="V2338">
        <v>0.22194990000000001</v>
      </c>
      <c r="W2338">
        <v>4.6430890000000002E-2</v>
      </c>
      <c r="X2338">
        <v>0.97395189999999998</v>
      </c>
      <c r="Y2338">
        <v>0.56635869999999999</v>
      </c>
      <c r="Z2338">
        <v>1.299673E-2</v>
      </c>
      <c r="AA2338">
        <v>0.82405629999999996</v>
      </c>
      <c r="AB2338">
        <v>10</v>
      </c>
      <c r="AC2338">
        <v>-0.622099999999989</v>
      </c>
      <c r="AD2338">
        <v>-1.10879305998</v>
      </c>
      <c r="AE2338">
        <v>-55.948799999999999</v>
      </c>
      <c r="AF2338">
        <v>31.7119607378811</v>
      </c>
      <c r="AG2338">
        <v>-1.10879305998</v>
      </c>
      <c r="AH2338">
        <v>46.071133907791499</v>
      </c>
      <c r="AI2338">
        <v>91.135714423159399</v>
      </c>
      <c r="AJ2338">
        <v>55.459351504077397</v>
      </c>
      <c r="AK2338">
        <v>55.941283998853898</v>
      </c>
      <c r="AL2338">
        <v>87.338749032034698</v>
      </c>
      <c r="AM2338">
        <v>77.162332001630901</v>
      </c>
      <c r="AN2338">
        <v>0.99999994458490404</v>
      </c>
    </row>
    <row r="2339" spans="1:40" x14ac:dyDescent="0.25">
      <c r="A2339" t="str">
        <f>"20190312150707903"</f>
        <v>20190312150707903</v>
      </c>
      <c r="B2339" t="str">
        <f>"1552374427892324"</f>
        <v>1552374427892324</v>
      </c>
      <c r="C2339" t="s">
        <v>40</v>
      </c>
      <c r="D2339">
        <v>4.5331070000000002</v>
      </c>
      <c r="E2339">
        <v>0.65112329999999996</v>
      </c>
      <c r="F2339" t="s">
        <v>42</v>
      </c>
      <c r="G2339">
        <v>-192.92920000000001</v>
      </c>
      <c r="H2339" s="1">
        <v>-1.9297849999999999E-6</v>
      </c>
      <c r="I2339">
        <v>302.27069999999998</v>
      </c>
      <c r="J2339">
        <v>-192.07740000000001</v>
      </c>
      <c r="K2339">
        <v>1.1087880000000001</v>
      </c>
      <c r="L2339">
        <v>356.27120000000002</v>
      </c>
      <c r="M2339">
        <v>0.55488519999999997</v>
      </c>
      <c r="N2339">
        <v>0</v>
      </c>
      <c r="O2339">
        <v>-0.831843</v>
      </c>
      <c r="P2339">
        <v>0.35617779999999999</v>
      </c>
      <c r="Q2339">
        <v>3.5450889999999999E-2</v>
      </c>
      <c r="R2339">
        <v>-0.93374550000000001</v>
      </c>
      <c r="S2339">
        <v>-4.9453740000000003E-2</v>
      </c>
      <c r="T2339">
        <v>-6.644738E-2</v>
      </c>
      <c r="U2339">
        <v>-3.2389220000000001</v>
      </c>
      <c r="V2339">
        <v>0.22205839999999999</v>
      </c>
      <c r="W2339">
        <v>4.5980750000000001E-2</v>
      </c>
      <c r="X2339">
        <v>0.97394860000000005</v>
      </c>
      <c r="Y2339">
        <v>0.56754689999999997</v>
      </c>
      <c r="Z2339">
        <v>1.351897E-2</v>
      </c>
      <c r="AA2339">
        <v>0.82323009999999996</v>
      </c>
      <c r="AB2339">
        <v>10</v>
      </c>
      <c r="AC2339">
        <v>-0.851799999999997</v>
      </c>
      <c r="AD2339">
        <v>-1.1087899297849999</v>
      </c>
      <c r="AE2339">
        <v>-54.000500000000002</v>
      </c>
      <c r="AF2339">
        <v>30.66185997477</v>
      </c>
      <c r="AG2339">
        <v>-1.1087899297849999</v>
      </c>
      <c r="AH2339">
        <v>44.431662470287399</v>
      </c>
      <c r="AI2339">
        <v>91.176635800872404</v>
      </c>
      <c r="AJ2339">
        <v>55.390818939463102</v>
      </c>
      <c r="AK2339">
        <v>53.995848933916598</v>
      </c>
      <c r="AL2339">
        <v>87.364567927799399</v>
      </c>
      <c r="AM2339">
        <v>77.156222329991806</v>
      </c>
      <c r="AN2339">
        <v>1.0000000189115399</v>
      </c>
    </row>
    <row r="2340" spans="1:40" x14ac:dyDescent="0.25">
      <c r="A2340" t="str">
        <f>"20190312150707913"</f>
        <v>20190312150707913</v>
      </c>
      <c r="B2340" t="str">
        <f>"1552374427902084"</f>
        <v>1552374427902084</v>
      </c>
      <c r="C2340" t="s">
        <v>40</v>
      </c>
      <c r="D2340">
        <v>4.5274839999999896</v>
      </c>
      <c r="E2340">
        <v>0.65092569999999905</v>
      </c>
      <c r="F2340" t="s">
        <v>42</v>
      </c>
      <c r="G2340">
        <v>-193.06950000000001</v>
      </c>
      <c r="H2340" s="1">
        <v>-2.2018350000000002E-6</v>
      </c>
      <c r="I2340">
        <v>302.81779999999998</v>
      </c>
      <c r="J2340">
        <v>-192.05359999999999</v>
      </c>
      <c r="K2340">
        <v>1.1087819999999999</v>
      </c>
      <c r="L2340">
        <v>356.22890000000001</v>
      </c>
      <c r="M2340">
        <v>0.55228719999999998</v>
      </c>
      <c r="N2340">
        <v>0</v>
      </c>
      <c r="O2340">
        <v>-0.8335707</v>
      </c>
      <c r="P2340">
        <v>0.35307230000000001</v>
      </c>
      <c r="Q2340">
        <v>3.489689E-2</v>
      </c>
      <c r="R2340">
        <v>-0.93494500000000003</v>
      </c>
      <c r="S2340">
        <v>-6.0104369999999997E-2</v>
      </c>
      <c r="T2340">
        <v>-6.7172770000000007E-2</v>
      </c>
      <c r="U2340">
        <v>-3.2383120000000001</v>
      </c>
      <c r="V2340">
        <v>0.2222655</v>
      </c>
      <c r="W2340">
        <v>4.5392950000000001E-2</v>
      </c>
      <c r="X2340">
        <v>0.97392889999999999</v>
      </c>
      <c r="Y2340">
        <v>0.56768689999999999</v>
      </c>
      <c r="Z2340">
        <v>1.3719830000000001E-2</v>
      </c>
      <c r="AA2340">
        <v>0.82313019999999903</v>
      </c>
      <c r="AB2340">
        <v>10</v>
      </c>
      <c r="AC2340">
        <v>-1.01590000000001</v>
      </c>
      <c r="AD2340">
        <v>-1.108784201835</v>
      </c>
      <c r="AE2340">
        <v>-53.411099999999998</v>
      </c>
      <c r="AF2340">
        <v>30.3341286624118</v>
      </c>
      <c r="AG2340">
        <v>-1.108784201835</v>
      </c>
      <c r="AH2340">
        <v>43.944977841168701</v>
      </c>
      <c r="AI2340">
        <v>91.189554219061193</v>
      </c>
      <c r="AJ2340">
        <v>55.383643496149801</v>
      </c>
      <c r="AK2340">
        <v>53.409267375379699</v>
      </c>
      <c r="AL2340">
        <v>87.398281508064301</v>
      </c>
      <c r="AM2340">
        <v>77.1443901573478</v>
      </c>
      <c r="AN2340">
        <v>0.999999987327581</v>
      </c>
    </row>
    <row r="2341" spans="1:40" x14ac:dyDescent="0.25">
      <c r="A2341" t="str">
        <f>"20190312150707926"</f>
        <v>20190312150707926</v>
      </c>
      <c r="B2341" t="str">
        <f>"1552374427922579"</f>
        <v>1552374427922579</v>
      </c>
      <c r="C2341" t="s">
        <v>40</v>
      </c>
      <c r="D2341">
        <v>4.5343549999999997</v>
      </c>
      <c r="E2341">
        <v>0.65051749999999997</v>
      </c>
      <c r="F2341" t="s">
        <v>42</v>
      </c>
      <c r="G2341">
        <v>-193.16460000000001</v>
      </c>
      <c r="H2341" s="1">
        <v>-2.9392149999999999E-6</v>
      </c>
      <c r="I2341">
        <v>304.47770000000003</v>
      </c>
      <c r="J2341">
        <v>-192.0264</v>
      </c>
      <c r="K2341">
        <v>1.1087739999999999</v>
      </c>
      <c r="L2341">
        <v>356.18049999999999</v>
      </c>
      <c r="M2341">
        <v>0.54930199999999996</v>
      </c>
      <c r="N2341">
        <v>0</v>
      </c>
      <c r="O2341">
        <v>-0.83554169999999905</v>
      </c>
      <c r="P2341">
        <v>0.34955409999999998</v>
      </c>
      <c r="Q2341">
        <v>3.4511470000000002E-2</v>
      </c>
      <c r="R2341">
        <v>-0.93628040000000001</v>
      </c>
      <c r="S2341">
        <v>-6.9503780000000001E-2</v>
      </c>
      <c r="T2341">
        <v>-6.93661E-2</v>
      </c>
      <c r="U2341">
        <v>-3.2375790000000002</v>
      </c>
      <c r="V2341">
        <v>0.22245000000000001</v>
      </c>
      <c r="W2341">
        <v>4.4969000000000002E-2</v>
      </c>
      <c r="X2341">
        <v>0.97390650000000001</v>
      </c>
      <c r="Y2341">
        <v>0.567133</v>
      </c>
      <c r="Z2341">
        <v>1.4236459999999999E-2</v>
      </c>
      <c r="AA2341">
        <v>0.82350319999999899</v>
      </c>
      <c r="AB2341">
        <v>10</v>
      </c>
      <c r="AC2341">
        <v>-1.1382000000000101</v>
      </c>
      <c r="AD2341">
        <v>-1.108776939215</v>
      </c>
      <c r="AE2341">
        <v>-51.702799999999897</v>
      </c>
      <c r="AF2341">
        <v>29.3399945446684</v>
      </c>
      <c r="AG2341">
        <v>-1.108776939215</v>
      </c>
      <c r="AH2341">
        <v>42.557991833599999</v>
      </c>
      <c r="AI2341">
        <v>91.228798122330005</v>
      </c>
      <c r="AJ2341">
        <v>55.417150419200198</v>
      </c>
      <c r="AK2341">
        <v>51.703455736448298</v>
      </c>
      <c r="AL2341">
        <v>87.422597025967406</v>
      </c>
      <c r="AM2341">
        <v>77.133787781208895</v>
      </c>
      <c r="AN2341">
        <v>1.00000004210162</v>
      </c>
    </row>
    <row r="2342" spans="1:40" x14ac:dyDescent="0.25">
      <c r="A2342" t="str">
        <f>"20190312150707937"</f>
        <v>20190312150707937</v>
      </c>
      <c r="B2342" t="str">
        <f>"1552374427932846"</f>
        <v>1552374427932846</v>
      </c>
      <c r="C2342" t="s">
        <v>40</v>
      </c>
      <c r="D2342">
        <v>4.452</v>
      </c>
      <c r="E2342">
        <v>0.65032419999999902</v>
      </c>
      <c r="F2342" t="s">
        <v>42</v>
      </c>
      <c r="G2342">
        <v>-193.24780000000001</v>
      </c>
      <c r="H2342" s="1">
        <v>-3.530481E-6</v>
      </c>
      <c r="I2342">
        <v>305.80439999999999</v>
      </c>
      <c r="J2342">
        <v>-192.001</v>
      </c>
      <c r="K2342">
        <v>1.10877</v>
      </c>
      <c r="L2342">
        <v>356.1345</v>
      </c>
      <c r="M2342">
        <v>0.54647449999999997</v>
      </c>
      <c r="N2342">
        <v>0</v>
      </c>
      <c r="O2342">
        <v>-0.83739390000000002</v>
      </c>
      <c r="P2342">
        <v>0.34592820000000002</v>
      </c>
      <c r="Q2342">
        <v>3.4249290000000002E-2</v>
      </c>
      <c r="R2342">
        <v>-0.93763620000000003</v>
      </c>
      <c r="S2342">
        <v>-7.846069E-2</v>
      </c>
      <c r="T2342">
        <v>-7.1226239999999996E-2</v>
      </c>
      <c r="U2342">
        <v>-3.236084</v>
      </c>
      <c r="V2342">
        <v>0.22293089999999999</v>
      </c>
      <c r="W2342">
        <v>4.4669840000000002E-2</v>
      </c>
      <c r="X2342">
        <v>0.97381030000000002</v>
      </c>
      <c r="Y2342">
        <v>0.56663430000000004</v>
      </c>
      <c r="Z2342">
        <v>1.468797E-2</v>
      </c>
      <c r="AA2342">
        <v>0.82383850000000003</v>
      </c>
      <c r="AB2342">
        <v>10</v>
      </c>
      <c r="AC2342">
        <v>-1.2468000000000301</v>
      </c>
      <c r="AD2342">
        <v>-1.108773530481</v>
      </c>
      <c r="AE2342">
        <v>-50.330100000000002</v>
      </c>
      <c r="AF2342">
        <v>28.5362949965509</v>
      </c>
      <c r="AG2342">
        <v>-1.108773530481</v>
      </c>
      <c r="AH2342">
        <v>41.4475134877393</v>
      </c>
      <c r="AI2342">
        <v>91.262248305709207</v>
      </c>
      <c r="AJ2342">
        <v>55.452887018635202</v>
      </c>
      <c r="AK2342">
        <v>50.333347645357399</v>
      </c>
      <c r="AL2342">
        <v>87.439754868654106</v>
      </c>
      <c r="AM2342">
        <v>77.105670616584206</v>
      </c>
      <c r="AN2342">
        <v>1.0000000405832601</v>
      </c>
    </row>
    <row r="2343" spans="1:40" x14ac:dyDescent="0.25">
      <c r="A2343" t="str">
        <f>"20190312150707949"</f>
        <v>20190312150707949</v>
      </c>
      <c r="B2343" t="str">
        <f>"1552374427942606"</f>
        <v>1552374427942606</v>
      </c>
      <c r="C2343" t="s">
        <v>40</v>
      </c>
      <c r="D2343">
        <v>4.5216450000000004</v>
      </c>
      <c r="E2343">
        <v>0.65016419999999997</v>
      </c>
      <c r="F2343" t="s">
        <v>42</v>
      </c>
      <c r="G2343">
        <v>-193.37819999999999</v>
      </c>
      <c r="H2343" s="1">
        <v>-3.770393E-6</v>
      </c>
      <c r="I2343">
        <v>306.30540000000002</v>
      </c>
      <c r="J2343">
        <v>-191.976</v>
      </c>
      <c r="K2343">
        <v>1.1087670000000001</v>
      </c>
      <c r="L2343">
        <v>356.08920000000001</v>
      </c>
      <c r="M2343">
        <v>0.543686</v>
      </c>
      <c r="N2343">
        <v>0</v>
      </c>
      <c r="O2343">
        <v>-0.83920779999999995</v>
      </c>
      <c r="P2343">
        <v>0.3427905</v>
      </c>
      <c r="Q2343">
        <v>3.4301680000000001E-2</v>
      </c>
      <c r="R2343">
        <v>-0.93878600000000001</v>
      </c>
      <c r="S2343">
        <v>-8.9416499999999996E-2</v>
      </c>
      <c r="T2343">
        <v>-7.1987389999999998E-2</v>
      </c>
      <c r="U2343">
        <v>-3.2351679999999998</v>
      </c>
      <c r="V2343">
        <v>0.22294700000000001</v>
      </c>
      <c r="W2343">
        <v>4.4689850000000003E-2</v>
      </c>
      <c r="X2343">
        <v>0.9738057</v>
      </c>
      <c r="Y2343">
        <v>0.56668660000000004</v>
      </c>
      <c r="Z2343">
        <v>1.4906920000000001E-2</v>
      </c>
      <c r="AA2343">
        <v>0.82379859999999905</v>
      </c>
      <c r="AB2343">
        <v>10</v>
      </c>
      <c r="AC2343">
        <v>-1.4021999999999899</v>
      </c>
      <c r="AD2343">
        <v>-1.1087707703929901</v>
      </c>
      <c r="AE2343">
        <v>-49.7837999999999</v>
      </c>
      <c r="AF2343">
        <v>28.231417704378899</v>
      </c>
      <c r="AG2343">
        <v>-1.1087707703929901</v>
      </c>
      <c r="AH2343">
        <v>40.999061491648099</v>
      </c>
      <c r="AI2343">
        <v>91.275990828617907</v>
      </c>
      <c r="AJ2343">
        <v>55.449210086229002</v>
      </c>
      <c r="AK2343">
        <v>49.791217713732799</v>
      </c>
      <c r="AL2343">
        <v>87.438607243928004</v>
      </c>
      <c r="AM2343">
        <v>77.104711643434101</v>
      </c>
      <c r="AN2343">
        <v>1.0000000444272501</v>
      </c>
    </row>
    <row r="2344" spans="1:40" x14ac:dyDescent="0.25">
      <c r="A2344" t="str">
        <f>"20190312150707967"</f>
        <v>20190312150707967</v>
      </c>
      <c r="B2344" t="str">
        <f>"1552374427962126"</f>
        <v>1552374427962126</v>
      </c>
      <c r="C2344" t="s">
        <v>40</v>
      </c>
      <c r="D2344">
        <v>4.5129089999999996</v>
      </c>
      <c r="E2344">
        <v>0.64974279999999995</v>
      </c>
      <c r="F2344" t="s">
        <v>42</v>
      </c>
      <c r="G2344">
        <v>-193.4778</v>
      </c>
      <c r="H2344" s="1">
        <v>-4.0679719999999999E-6</v>
      </c>
      <c r="I2344">
        <v>307.12790000000001</v>
      </c>
      <c r="J2344">
        <v>-191.93389999999999</v>
      </c>
      <c r="K2344">
        <v>1.1087590000000001</v>
      </c>
      <c r="L2344">
        <v>356.01209999999998</v>
      </c>
      <c r="M2344">
        <v>0.53893359999999901</v>
      </c>
      <c r="N2344">
        <v>0</v>
      </c>
      <c r="O2344">
        <v>-0.84226829999999997</v>
      </c>
      <c r="P2344">
        <v>0.33719690000000002</v>
      </c>
      <c r="Q2344">
        <v>3.3983489999999998E-2</v>
      </c>
      <c r="R2344">
        <v>-0.94082109999999997</v>
      </c>
      <c r="S2344">
        <v>-9.9212649999999999E-2</v>
      </c>
      <c r="T2344">
        <v>-7.324862E-2</v>
      </c>
      <c r="U2344">
        <v>-3.2345280000000001</v>
      </c>
      <c r="V2344">
        <v>0.22324289999999999</v>
      </c>
      <c r="W2344">
        <v>4.431972E-2</v>
      </c>
      <c r="X2344">
        <v>0.97375480000000003</v>
      </c>
      <c r="Y2344">
        <v>0.56452389999999997</v>
      </c>
      <c r="Z2344">
        <v>1.5289830000000001E-2</v>
      </c>
      <c r="AA2344">
        <v>0.82527510000000004</v>
      </c>
      <c r="AB2344">
        <v>10</v>
      </c>
      <c r="AC2344">
        <v>-1.5439000000000001</v>
      </c>
      <c r="AD2344">
        <v>-1.108763067972</v>
      </c>
      <c r="AE2344">
        <v>-48.8841999999999</v>
      </c>
      <c r="AF2344">
        <v>27.6333761092442</v>
      </c>
      <c r="AG2344">
        <v>-1.108763067972</v>
      </c>
      <c r="AH2344">
        <v>40.3235457852943</v>
      </c>
      <c r="AI2344">
        <v>91.299346745472207</v>
      </c>
      <c r="AJ2344">
        <v>55.577497286642704</v>
      </c>
      <c r="AK2344">
        <v>48.896024127065502</v>
      </c>
      <c r="AL2344">
        <v>87.459835101762295</v>
      </c>
      <c r="AM2344">
        <v>77.0875176676862</v>
      </c>
      <c r="AN2344">
        <v>1.0000000202521599</v>
      </c>
    </row>
    <row r="2345" spans="1:40" x14ac:dyDescent="0.25">
      <c r="A2345" t="str">
        <f>"20190312150707979"</f>
        <v>20190312150707979</v>
      </c>
      <c r="B2345" t="str">
        <f>"1552374427972862"</f>
        <v>1552374427972862</v>
      </c>
      <c r="C2345" t="s">
        <v>40</v>
      </c>
      <c r="D2345">
        <v>4.5675990000000004</v>
      </c>
      <c r="E2345">
        <v>0.64954959999999995</v>
      </c>
      <c r="F2345" t="s">
        <v>42</v>
      </c>
      <c r="G2345">
        <v>-193.66079999999999</v>
      </c>
      <c r="H2345" s="1">
        <v>-4.2325709999999998E-6</v>
      </c>
      <c r="I2345">
        <v>307.51620000000003</v>
      </c>
      <c r="J2345">
        <v>-191.9084</v>
      </c>
      <c r="K2345">
        <v>1.108754</v>
      </c>
      <c r="L2345">
        <v>355.96469999999999</v>
      </c>
      <c r="M2345">
        <v>0.53600839999999905</v>
      </c>
      <c r="N2345">
        <v>0</v>
      </c>
      <c r="O2345">
        <v>-0.84413300000000002</v>
      </c>
      <c r="P2345">
        <v>0.33401209999999998</v>
      </c>
      <c r="Q2345">
        <v>3.4194429999999998E-2</v>
      </c>
      <c r="R2345">
        <v>-0.94194840000000002</v>
      </c>
      <c r="S2345">
        <v>-0.1151123</v>
      </c>
      <c r="T2345">
        <v>-7.3908570000000007E-2</v>
      </c>
      <c r="U2345">
        <v>-3.232666</v>
      </c>
      <c r="V2345">
        <v>0.22315579999999999</v>
      </c>
      <c r="W2345">
        <v>4.4502630000000001E-2</v>
      </c>
      <c r="X2345">
        <v>0.97376640000000003</v>
      </c>
      <c r="Y2345">
        <v>0.56572849999999997</v>
      </c>
      <c r="Z2345">
        <v>1.5487330000000001E-2</v>
      </c>
      <c r="AA2345">
        <v>0.82444609999999996</v>
      </c>
      <c r="AB2345">
        <v>10</v>
      </c>
      <c r="AC2345">
        <v>-1.75239999999999</v>
      </c>
      <c r="AD2345">
        <v>-1.1087582325709999</v>
      </c>
      <c r="AE2345">
        <v>-48.448499999999903</v>
      </c>
      <c r="AF2345">
        <v>27.4355571053894</v>
      </c>
      <c r="AG2345">
        <v>-1.1087582325709999</v>
      </c>
      <c r="AH2345">
        <v>39.939472985773101</v>
      </c>
      <c r="AI2345">
        <v>91.310830582187904</v>
      </c>
      <c r="AJ2345">
        <v>55.513722995610301</v>
      </c>
      <c r="AK2345">
        <v>48.467521505464603</v>
      </c>
      <c r="AL2345">
        <v>87.449344724896093</v>
      </c>
      <c r="AM2345">
        <v>77.092535425300696</v>
      </c>
      <c r="AN2345">
        <v>0.99999999845975795</v>
      </c>
    </row>
    <row r="2346" spans="1:40" x14ac:dyDescent="0.25">
      <c r="A2346" t="str">
        <f>"20190312150707993"</f>
        <v>20190312150707993</v>
      </c>
      <c r="B2346" t="str">
        <f>"1552374427982623"</f>
        <v>1552374427982623</v>
      </c>
      <c r="C2346" t="s">
        <v>40</v>
      </c>
      <c r="D2346">
        <v>4.555307</v>
      </c>
      <c r="E2346">
        <v>0.64937900000000004</v>
      </c>
      <c r="F2346" t="s">
        <v>42</v>
      </c>
      <c r="G2346">
        <v>-193.81399999999999</v>
      </c>
      <c r="H2346" s="1">
        <v>-3.9602159999999901E-6</v>
      </c>
      <c r="I2346">
        <v>306.63600000000002</v>
      </c>
      <c r="J2346">
        <v>-191.87989999999999</v>
      </c>
      <c r="K2346">
        <v>1.1087480000000001</v>
      </c>
      <c r="L2346">
        <v>355.91129999999998</v>
      </c>
      <c r="M2346">
        <v>0.53271769999999996</v>
      </c>
      <c r="N2346">
        <v>0</v>
      </c>
      <c r="O2346">
        <v>-0.84621399999999902</v>
      </c>
      <c r="P2346">
        <v>0.33057429999999999</v>
      </c>
      <c r="Q2346">
        <v>3.4124799999999997E-2</v>
      </c>
      <c r="R2346">
        <v>-0.94316290000000003</v>
      </c>
      <c r="S2346">
        <v>-0.1248474</v>
      </c>
      <c r="T2346">
        <v>-7.263994E-2</v>
      </c>
      <c r="U2346">
        <v>-3.2317499999999999</v>
      </c>
      <c r="V2346">
        <v>0.2229167</v>
      </c>
      <c r="W2346">
        <v>4.4405460000000001E-2</v>
      </c>
      <c r="X2346">
        <v>0.97382559999999996</v>
      </c>
      <c r="Y2346">
        <v>0.56500669999999897</v>
      </c>
      <c r="Z2346">
        <v>1.529959E-2</v>
      </c>
      <c r="AA2346">
        <v>0.82494439999999902</v>
      </c>
      <c r="AB2346">
        <v>10</v>
      </c>
      <c r="AC2346">
        <v>-1.9341000000000199</v>
      </c>
      <c r="AD2346">
        <v>-1.1087519602159901</v>
      </c>
      <c r="AE2346">
        <v>-49.275300000000001</v>
      </c>
      <c r="AF2346">
        <v>27.874260529915698</v>
      </c>
      <c r="AG2346">
        <v>-1.1087519602159901</v>
      </c>
      <c r="AH2346">
        <v>40.649289466168398</v>
      </c>
      <c r="AI2346">
        <v>91.288664070088799</v>
      </c>
      <c r="AJ2346">
        <v>55.560567727411197</v>
      </c>
      <c r="AK2346">
        <v>49.300795785699499</v>
      </c>
      <c r="AL2346">
        <v>87.454917667986706</v>
      </c>
      <c r="AM2346">
        <v>77.1066602987202</v>
      </c>
      <c r="AN2346">
        <v>0.99999999961603003</v>
      </c>
    </row>
    <row r="2347" spans="1:40" x14ac:dyDescent="0.25">
      <c r="A2347" t="str">
        <f>"20190312150708006"</f>
        <v>20190312150708006</v>
      </c>
      <c r="B2347" t="str">
        <f>"1552374428002144"</f>
        <v>1552374428002144</v>
      </c>
      <c r="C2347" t="s">
        <v>40</v>
      </c>
      <c r="D2347">
        <v>4.5882509999999996</v>
      </c>
      <c r="E2347">
        <v>0.64894049999999903</v>
      </c>
      <c r="F2347" t="s">
        <v>42</v>
      </c>
      <c r="G2347">
        <v>-193.91210000000001</v>
      </c>
      <c r="H2347" s="1">
        <v>-4.23518E-6</v>
      </c>
      <c r="I2347">
        <v>307.3929</v>
      </c>
      <c r="J2347">
        <v>-191.85310000000001</v>
      </c>
      <c r="K2347">
        <v>1.108744</v>
      </c>
      <c r="L2347">
        <v>355.86079999999998</v>
      </c>
      <c r="M2347">
        <v>0.52960879999999999</v>
      </c>
      <c r="N2347">
        <v>0</v>
      </c>
      <c r="O2347">
        <v>-0.84816369999999897</v>
      </c>
      <c r="P2347">
        <v>0.32749299999999998</v>
      </c>
      <c r="Q2347">
        <v>3.3977109999999998E-2</v>
      </c>
      <c r="R2347">
        <v>-0.94424269999999999</v>
      </c>
      <c r="S2347">
        <v>-0.13533020000000001</v>
      </c>
      <c r="T2347">
        <v>-7.3833109999999993E-2</v>
      </c>
      <c r="U2347">
        <v>-3.230896</v>
      </c>
      <c r="V2347">
        <v>0.22252430000000001</v>
      </c>
      <c r="W2347">
        <v>4.4234450000000002E-2</v>
      </c>
      <c r="X2347">
        <v>0.97392310000000004</v>
      </c>
      <c r="Y2347">
        <v>0.56465880000000002</v>
      </c>
      <c r="Z2347">
        <v>1.562212E-2</v>
      </c>
      <c r="AA2347">
        <v>0.82517669999999999</v>
      </c>
      <c r="AB2347">
        <v>10</v>
      </c>
      <c r="AC2347">
        <v>-2.0589999999999899</v>
      </c>
      <c r="AD2347">
        <v>-1.10874823518</v>
      </c>
      <c r="AE2347">
        <v>-48.467899999999901</v>
      </c>
      <c r="AF2347">
        <v>27.402902431984099</v>
      </c>
      <c r="AG2347">
        <v>-1.10874823518</v>
      </c>
      <c r="AH2347">
        <v>40.0000128692621</v>
      </c>
      <c r="AI2347">
        <v>91.309968818599003</v>
      </c>
      <c r="AJ2347">
        <v>55.586035632715799</v>
      </c>
      <c r="AK2347">
        <v>48.498963018676903</v>
      </c>
      <c r="AL2347">
        <v>87.464725400871103</v>
      </c>
      <c r="AM2347">
        <v>77.129845518363496</v>
      </c>
      <c r="AN2347">
        <v>0.99999997768545101</v>
      </c>
    </row>
    <row r="2348" spans="1:40" x14ac:dyDescent="0.25">
      <c r="A2348" t="str">
        <f>"20190312150708023"</f>
        <v>20190312150708023</v>
      </c>
      <c r="B2348" t="str">
        <f>"1552374428012878"</f>
        <v>1552374428012878</v>
      </c>
      <c r="C2348" t="s">
        <v>40</v>
      </c>
      <c r="D2348">
        <v>4.6712220000000002</v>
      </c>
      <c r="E2348">
        <v>0.64872659999999904</v>
      </c>
      <c r="F2348" t="s">
        <v>42</v>
      </c>
      <c r="G2348">
        <v>-193.92250000000001</v>
      </c>
      <c r="H2348" s="1">
        <v>-4.8056950000000001E-6</v>
      </c>
      <c r="I2348">
        <v>309.06389999999999</v>
      </c>
      <c r="J2348">
        <v>-191.8133</v>
      </c>
      <c r="K2348">
        <v>1.1087419999999999</v>
      </c>
      <c r="L2348">
        <v>355.78489999999999</v>
      </c>
      <c r="M2348">
        <v>0.52492680000000003</v>
      </c>
      <c r="N2348">
        <v>0</v>
      </c>
      <c r="O2348">
        <v>-0.85106949999999904</v>
      </c>
      <c r="P2348">
        <v>0.32289250000000003</v>
      </c>
      <c r="Q2348">
        <v>3.3466019999999999E-2</v>
      </c>
      <c r="R2348">
        <v>-0.94584389999999996</v>
      </c>
      <c r="S2348">
        <v>-0.14280699999999999</v>
      </c>
      <c r="T2348">
        <v>-7.6512810000000001E-2</v>
      </c>
      <c r="U2348">
        <v>-3.2293699999999999</v>
      </c>
      <c r="V2348">
        <v>0.2219053</v>
      </c>
      <c r="W2348">
        <v>4.369232E-2</v>
      </c>
      <c r="X2348">
        <v>0.97408879999999998</v>
      </c>
      <c r="Y2348">
        <v>0.56202980000000002</v>
      </c>
      <c r="Z2348">
        <v>1.6319520000000001E-2</v>
      </c>
      <c r="AA2348">
        <v>0.82695599999999903</v>
      </c>
      <c r="AB2348">
        <v>10</v>
      </c>
      <c r="AC2348">
        <v>-2.1092000000000102</v>
      </c>
      <c r="AD2348">
        <v>-1.1087468056950001</v>
      </c>
      <c r="AE2348">
        <v>-46.720999999999997</v>
      </c>
      <c r="AF2348">
        <v>26.307140204853798</v>
      </c>
      <c r="AG2348">
        <v>-1.1087468056950001</v>
      </c>
      <c r="AH2348">
        <v>38.6364901627949</v>
      </c>
      <c r="AI2348">
        <v>91.358824486389807</v>
      </c>
      <c r="AJ2348">
        <v>55.749503106035199</v>
      </c>
      <c r="AK2348">
        <v>46.755462967836401</v>
      </c>
      <c r="AL2348">
        <v>87.495817244176905</v>
      </c>
      <c r="AM2348">
        <v>77.166570373692394</v>
      </c>
      <c r="AN2348">
        <v>0.99999998564025605</v>
      </c>
    </row>
    <row r="2349" spans="1:40" x14ac:dyDescent="0.25">
      <c r="A2349" t="str">
        <f>"20190312150708036"</f>
        <v>20190312150708036</v>
      </c>
      <c r="B2349" t="str">
        <f>"1552374428032906"</f>
        <v>1552374428032906</v>
      </c>
      <c r="C2349" t="s">
        <v>40</v>
      </c>
      <c r="D2349">
        <v>4.5940699999999897</v>
      </c>
      <c r="E2349">
        <v>0.64830759999999998</v>
      </c>
      <c r="F2349" t="s">
        <v>42</v>
      </c>
      <c r="G2349">
        <v>-194.00790000000001</v>
      </c>
      <c r="H2349" s="1">
        <v>-1.5182660000000001E-6</v>
      </c>
      <c r="I2349">
        <v>310.54750000000001</v>
      </c>
      <c r="J2349">
        <v>-191.7877</v>
      </c>
      <c r="K2349">
        <v>1.1087359999999999</v>
      </c>
      <c r="L2349">
        <v>355.73540000000003</v>
      </c>
      <c r="M2349">
        <v>0.52187819999999996</v>
      </c>
      <c r="N2349">
        <v>0</v>
      </c>
      <c r="O2349">
        <v>-0.8529426</v>
      </c>
      <c r="P2349">
        <v>0.31998979999999999</v>
      </c>
      <c r="Q2349">
        <v>3.3043749999999997E-2</v>
      </c>
      <c r="R2349">
        <v>-0.94684489999999999</v>
      </c>
      <c r="S2349">
        <v>-0.15660099999999999</v>
      </c>
      <c r="T2349">
        <v>-7.9116580000000006E-2</v>
      </c>
      <c r="U2349">
        <v>-3.2279969999999998</v>
      </c>
      <c r="V2349">
        <v>0.2214131</v>
      </c>
      <c r="W2349">
        <v>4.3252619999999999E-2</v>
      </c>
      <c r="X2349">
        <v>0.97422039999999999</v>
      </c>
      <c r="Y2349">
        <v>0.56261030000000001</v>
      </c>
      <c r="Z2349">
        <v>1.6942280000000001E-2</v>
      </c>
      <c r="AA2349">
        <v>0.82654859999999897</v>
      </c>
      <c r="AB2349">
        <v>10</v>
      </c>
      <c r="AC2349">
        <v>-2.2202000000000002</v>
      </c>
      <c r="AD2349">
        <v>-1.108737518266</v>
      </c>
      <c r="AE2349">
        <v>-45.187899999999999</v>
      </c>
      <c r="AF2349">
        <v>25.4626733071883</v>
      </c>
      <c r="AG2349">
        <v>-1.108737518266</v>
      </c>
      <c r="AH2349">
        <v>37.364039902193198</v>
      </c>
      <c r="AI2349">
        <v>91.404686394535901</v>
      </c>
      <c r="AJ2349">
        <v>55.726533171915101</v>
      </c>
      <c r="AK2349">
        <v>45.228845979592499</v>
      </c>
      <c r="AL2349">
        <v>87.521033996746397</v>
      </c>
      <c r="AM2349">
        <v>77.195769013895301</v>
      </c>
      <c r="AN2349">
        <v>0.99999996888231601</v>
      </c>
    </row>
    <row r="2350" spans="1:40" x14ac:dyDescent="0.25">
      <c r="A2350" t="str">
        <f>"20190312150708058"</f>
        <v>20190312150708058</v>
      </c>
      <c r="B2350" t="str">
        <f>"1552374428052425"</f>
        <v>1552374428052425</v>
      </c>
      <c r="C2350" t="s">
        <v>40</v>
      </c>
      <c r="D2350">
        <v>4.6142960000000004</v>
      </c>
      <c r="E2350">
        <v>0.64784759999999997</v>
      </c>
      <c r="F2350" t="s">
        <v>42</v>
      </c>
      <c r="G2350">
        <v>-194.00409999999999</v>
      </c>
      <c r="H2350" s="1">
        <v>-2.2232979999999999E-6</v>
      </c>
      <c r="I2350">
        <v>312.0412</v>
      </c>
      <c r="J2350">
        <v>-191.74170000000001</v>
      </c>
      <c r="K2350">
        <v>1.1087260000000001</v>
      </c>
      <c r="L2350">
        <v>355.6454</v>
      </c>
      <c r="M2350">
        <v>0.51632860000000003</v>
      </c>
      <c r="N2350">
        <v>0</v>
      </c>
      <c r="O2350">
        <v>-0.85631429999999997</v>
      </c>
      <c r="P2350">
        <v>0.31486779999999998</v>
      </c>
      <c r="Q2350">
        <v>3.210648E-2</v>
      </c>
      <c r="R2350">
        <v>-0.94859280000000001</v>
      </c>
      <c r="S2350">
        <v>-0.1636658</v>
      </c>
      <c r="T2350">
        <v>-8.1875439999999994E-2</v>
      </c>
      <c r="U2350">
        <v>-3.2266240000000002</v>
      </c>
      <c r="V2350">
        <v>0.2203639</v>
      </c>
      <c r="W2350">
        <v>4.2287449999999997E-2</v>
      </c>
      <c r="X2350">
        <v>0.9745007</v>
      </c>
      <c r="Y2350">
        <v>0.55905749999999999</v>
      </c>
      <c r="Z2350">
        <v>1.7697689999999999E-2</v>
      </c>
      <c r="AA2350">
        <v>0.82894000000000001</v>
      </c>
      <c r="AB2350">
        <v>10</v>
      </c>
      <c r="AC2350">
        <v>-2.26239999999998</v>
      </c>
      <c r="AD2350">
        <v>-1.108728223298</v>
      </c>
      <c r="AE2350">
        <v>-43.604199999999899</v>
      </c>
      <c r="AF2350">
        <v>24.437260622525301</v>
      </c>
      <c r="AG2350">
        <v>-1.108728223298</v>
      </c>
      <c r="AH2350">
        <v>36.149810843196903</v>
      </c>
      <c r="AI2350">
        <v>91.4555332554215</v>
      </c>
      <c r="AJ2350">
        <v>55.941319144177399</v>
      </c>
      <c r="AK2350">
        <v>43.648800773964901</v>
      </c>
      <c r="AL2350">
        <v>87.576385003265401</v>
      </c>
      <c r="AM2350">
        <v>77.258003778371204</v>
      </c>
      <c r="AN2350">
        <v>1.0000000455756</v>
      </c>
    </row>
    <row r="2351" spans="1:40" x14ac:dyDescent="0.25">
      <c r="A2351" t="str">
        <f>"20190312150708071"</f>
        <v>20190312150708071</v>
      </c>
      <c r="B2351" t="str">
        <f>"1552374428062184"</f>
        <v>1552374428062184</v>
      </c>
      <c r="C2351" t="s">
        <v>40</v>
      </c>
      <c r="D2351">
        <v>4.5268819999999996</v>
      </c>
      <c r="E2351">
        <v>0.6475514</v>
      </c>
      <c r="F2351" t="s">
        <v>42</v>
      </c>
      <c r="G2351">
        <v>-194.01759999999999</v>
      </c>
      <c r="H2351" s="1">
        <v>-3.3338280000000001E-6</v>
      </c>
      <c r="I2351">
        <v>314.38279999999997</v>
      </c>
      <c r="J2351">
        <v>-191.71279999999999</v>
      </c>
      <c r="K2351">
        <v>1.108722</v>
      </c>
      <c r="L2351">
        <v>355.5881</v>
      </c>
      <c r="M2351">
        <v>0.51279799999999998</v>
      </c>
      <c r="N2351">
        <v>0</v>
      </c>
      <c r="O2351">
        <v>-0.85843320000000001</v>
      </c>
      <c r="P2351">
        <v>0.31140040000000002</v>
      </c>
      <c r="Q2351">
        <v>3.195916E-2</v>
      </c>
      <c r="R2351">
        <v>-0.94974150000000002</v>
      </c>
      <c r="S2351">
        <v>-0.1778564</v>
      </c>
      <c r="T2351">
        <v>-8.6643220000000007E-2</v>
      </c>
      <c r="U2351">
        <v>-3.2245180000000002</v>
      </c>
      <c r="V2351">
        <v>0.21991260000000001</v>
      </c>
      <c r="W2351">
        <v>4.2122600000000003E-2</v>
      </c>
      <c r="X2351">
        <v>0.97460970000000002</v>
      </c>
      <c r="Y2351">
        <v>0.55930530000000001</v>
      </c>
      <c r="Z2351">
        <v>1.8818970000000001E-2</v>
      </c>
      <c r="AA2351">
        <v>0.82874809999999999</v>
      </c>
      <c r="AB2351">
        <v>10</v>
      </c>
      <c r="AC2351">
        <v>-2.3048000000000002</v>
      </c>
      <c r="AD2351">
        <v>-1.1087253338279901</v>
      </c>
      <c r="AE2351">
        <v>-41.205300000000001</v>
      </c>
      <c r="AF2351">
        <v>23.093354442216199</v>
      </c>
      <c r="AG2351">
        <v>-1.1087253338279901</v>
      </c>
      <c r="AH2351">
        <v>34.167674007987202</v>
      </c>
      <c r="AI2351">
        <v>91.540011403496806</v>
      </c>
      <c r="AJ2351">
        <v>55.945902816582802</v>
      </c>
      <c r="AK2351">
        <v>41.2548450291089</v>
      </c>
      <c r="AL2351">
        <v>87.585838443823903</v>
      </c>
      <c r="AM2351">
        <v>77.284625660203801</v>
      </c>
      <c r="AN2351">
        <v>0.99999996620180398</v>
      </c>
    </row>
    <row r="2352" spans="1:40" x14ac:dyDescent="0.25">
      <c r="A2352" t="str">
        <f>"20190312150708085"</f>
        <v>20190312150708085</v>
      </c>
      <c r="B2352" t="str">
        <f>"1552374428082681"</f>
        <v>1552374428082681</v>
      </c>
      <c r="C2352" t="s">
        <v>40</v>
      </c>
      <c r="D2352">
        <v>4.5479089999999998</v>
      </c>
      <c r="E2352">
        <v>0.64699879999999999</v>
      </c>
      <c r="F2352" t="s">
        <v>42</v>
      </c>
      <c r="G2352">
        <v>-194.0795</v>
      </c>
      <c r="H2352" s="1">
        <v>-3.5760070000000001E-6</v>
      </c>
      <c r="I2352">
        <v>314.86040000000003</v>
      </c>
      <c r="J2352">
        <v>-191.6858</v>
      </c>
      <c r="K2352">
        <v>1.108716</v>
      </c>
      <c r="L2352">
        <v>355.53440000000001</v>
      </c>
      <c r="M2352">
        <v>0.50948230000000005</v>
      </c>
      <c r="N2352">
        <v>0</v>
      </c>
      <c r="O2352">
        <v>-0.86040550000000005</v>
      </c>
      <c r="P2352">
        <v>0.30817290000000003</v>
      </c>
      <c r="Q2352">
        <v>3.2159220000000002E-2</v>
      </c>
      <c r="R2352">
        <v>-0.95078680000000004</v>
      </c>
      <c r="S2352">
        <v>-0.18730160000000001</v>
      </c>
      <c r="T2352">
        <v>-8.7743160000000001E-2</v>
      </c>
      <c r="U2352">
        <v>-3.2231450000000001</v>
      </c>
      <c r="V2352">
        <v>0.21945990000000001</v>
      </c>
      <c r="W2352">
        <v>4.2307919999999999E-2</v>
      </c>
      <c r="X2352">
        <v>0.97470369999999995</v>
      </c>
      <c r="Y2352">
        <v>0.55854649999999995</v>
      </c>
      <c r="Z2352">
        <v>1.9150690000000001E-2</v>
      </c>
      <c r="AA2352">
        <v>0.82925210000000005</v>
      </c>
      <c r="AB2352">
        <v>10</v>
      </c>
      <c r="AC2352">
        <v>-2.3936999999999902</v>
      </c>
      <c r="AD2352">
        <v>-1.1087195760070001</v>
      </c>
      <c r="AE2352">
        <v>-40.6739999999999</v>
      </c>
      <c r="AF2352">
        <v>22.766860343716601</v>
      </c>
      <c r="AG2352">
        <v>-1.1087195760070001</v>
      </c>
      <c r="AH2352">
        <v>33.753790240242303</v>
      </c>
      <c r="AI2352">
        <v>91.559878726365298</v>
      </c>
      <c r="AJ2352">
        <v>56.000418427600302</v>
      </c>
      <c r="AK2352">
        <v>40.729320453339199</v>
      </c>
      <c r="AL2352">
        <v>87.575210889103303</v>
      </c>
      <c r="AM2352">
        <v>77.311136546133397</v>
      </c>
      <c r="AN2352">
        <v>0.99999995529821195</v>
      </c>
    </row>
    <row r="2353" spans="1:40" x14ac:dyDescent="0.25">
      <c r="A2353" t="str">
        <f>"20190312150708102"</f>
        <v>20190312150708102</v>
      </c>
      <c r="B2353" t="str">
        <f>"1552374428092444"</f>
        <v>1552374428092444</v>
      </c>
      <c r="C2353" t="s">
        <v>40</v>
      </c>
      <c r="D2353">
        <v>4.4888680000000001</v>
      </c>
      <c r="E2353">
        <v>0.64674569999999998</v>
      </c>
      <c r="F2353" t="s">
        <v>42</v>
      </c>
      <c r="G2353">
        <v>-194.16909999999999</v>
      </c>
      <c r="H2353" s="1">
        <v>-3.3503189999999998E-6</v>
      </c>
      <c r="I2353">
        <v>314.33249999999998</v>
      </c>
      <c r="J2353">
        <v>-191.65</v>
      </c>
      <c r="K2353">
        <v>1.1087180000000001</v>
      </c>
      <c r="L2353">
        <v>355.46190000000001</v>
      </c>
      <c r="M2353">
        <v>0.50500500000000004</v>
      </c>
      <c r="N2353">
        <v>0</v>
      </c>
      <c r="O2353">
        <v>-0.86304159999999996</v>
      </c>
      <c r="P2353">
        <v>0.30334359999999999</v>
      </c>
      <c r="Q2353">
        <v>3.2530379999999998E-2</v>
      </c>
      <c r="R2353">
        <v>-0.95232629999999996</v>
      </c>
      <c r="S2353">
        <v>-0.19413759999999999</v>
      </c>
      <c r="T2353">
        <v>-8.6677909999999997E-2</v>
      </c>
      <c r="U2353">
        <v>-3.2210999999999999</v>
      </c>
      <c r="V2353">
        <v>0.2193378</v>
      </c>
      <c r="W2353">
        <v>4.2657130000000001E-2</v>
      </c>
      <c r="X2353">
        <v>0.97471600000000003</v>
      </c>
      <c r="Y2353">
        <v>0.55601909999999999</v>
      </c>
      <c r="Z2353">
        <v>1.9057959999999999E-2</v>
      </c>
      <c r="AA2353">
        <v>0.830951</v>
      </c>
      <c r="AB2353">
        <v>10</v>
      </c>
      <c r="AC2353">
        <v>-2.5190999999999799</v>
      </c>
      <c r="AD2353">
        <v>-1.1087213503190001</v>
      </c>
      <c r="AE2353">
        <v>-41.129399999999997</v>
      </c>
      <c r="AF2353">
        <v>22.929522463943201</v>
      </c>
      <c r="AG2353">
        <v>-1.1087213503190001</v>
      </c>
      <c r="AH2353">
        <v>34.201674665333698</v>
      </c>
      <c r="AI2353">
        <v>91.542371443096798</v>
      </c>
      <c r="AJ2353">
        <v>56.161268088584599</v>
      </c>
      <c r="AK2353">
        <v>41.191586681875499</v>
      </c>
      <c r="AL2353">
        <v>87.555184636582993</v>
      </c>
      <c r="AM2353">
        <v>77.318122663241098</v>
      </c>
      <c r="AN2353">
        <v>0.99999999095233805</v>
      </c>
    </row>
    <row r="2354" spans="1:40" x14ac:dyDescent="0.25">
      <c r="A2354" t="str">
        <f>"20190312150708113"</f>
        <v>20190312150708113</v>
      </c>
      <c r="B2354" t="str">
        <f>"1552374428102202"</f>
        <v>1552374428102202</v>
      </c>
      <c r="C2354" t="s">
        <v>40</v>
      </c>
      <c r="D2354">
        <v>4.5022659999999997</v>
      </c>
      <c r="E2354">
        <v>0.64649799999999902</v>
      </c>
      <c r="F2354" t="s">
        <v>42</v>
      </c>
      <c r="G2354">
        <v>-194.33750000000001</v>
      </c>
      <c r="H2354" s="1">
        <v>-3.199615E-6</v>
      </c>
      <c r="I2354">
        <v>313.91890000000001</v>
      </c>
      <c r="J2354">
        <v>-191.6267</v>
      </c>
      <c r="K2354">
        <v>1.108716</v>
      </c>
      <c r="L2354">
        <v>355.41419999999999</v>
      </c>
      <c r="M2354">
        <v>0.50206479999999998</v>
      </c>
      <c r="N2354">
        <v>0</v>
      </c>
      <c r="O2354">
        <v>-0.86475519999999995</v>
      </c>
      <c r="P2354">
        <v>0.300357599999999</v>
      </c>
      <c r="Q2354">
        <v>3.2623109999999997E-2</v>
      </c>
      <c r="R2354">
        <v>-0.95326880000000003</v>
      </c>
      <c r="S2354">
        <v>-0.20828250000000001</v>
      </c>
      <c r="T2354">
        <v>-8.5924029999999998E-2</v>
      </c>
      <c r="U2354">
        <v>-3.2195130000000001</v>
      </c>
      <c r="V2354">
        <v>0.21907399999999999</v>
      </c>
      <c r="W2354">
        <v>4.2738119999999998E-2</v>
      </c>
      <c r="X2354">
        <v>0.97477179999999997</v>
      </c>
      <c r="Y2354">
        <v>0.55685189999999996</v>
      </c>
      <c r="Z2354">
        <v>1.8958490000000001E-2</v>
      </c>
      <c r="AA2354">
        <v>0.83039549999999995</v>
      </c>
      <c r="AB2354">
        <v>10</v>
      </c>
      <c r="AC2354">
        <v>-2.7107999999999999</v>
      </c>
      <c r="AD2354">
        <v>-1.1087191996150001</v>
      </c>
      <c r="AE2354">
        <v>-41.495299999999901</v>
      </c>
      <c r="AF2354">
        <v>23.16254162872</v>
      </c>
      <c r="AG2354">
        <v>-1.1087191996150001</v>
      </c>
      <c r="AH2354">
        <v>34.499987341742901</v>
      </c>
      <c r="AI2354">
        <v>91.528361657614795</v>
      </c>
      <c r="AJ2354">
        <v>56.123446965031597</v>
      </c>
      <c r="AK2354">
        <v>41.568999501385598</v>
      </c>
      <c r="AL2354">
        <v>87.550540070243201</v>
      </c>
      <c r="AM2354">
        <v>77.333584566068495</v>
      </c>
      <c r="AN2354">
        <v>1.0000000132261799</v>
      </c>
    </row>
    <row r="2355" spans="1:40" x14ac:dyDescent="0.25">
      <c r="A2355" t="str">
        <f>"20190312150708126"</f>
        <v>20190312150708126</v>
      </c>
      <c r="B2355" t="str">
        <f>"1552374428122697"</f>
        <v>1552374428122697</v>
      </c>
      <c r="C2355" t="s">
        <v>40</v>
      </c>
      <c r="D2355">
        <v>4.4753869999999996</v>
      </c>
      <c r="E2355">
        <v>0.64595579999999997</v>
      </c>
      <c r="F2355" t="s">
        <v>42</v>
      </c>
      <c r="G2355">
        <v>-194.4444</v>
      </c>
      <c r="H2355" s="1">
        <v>-3.0587620000000001E-6</v>
      </c>
      <c r="I2355">
        <v>313.5607</v>
      </c>
      <c r="J2355">
        <v>-191.6026</v>
      </c>
      <c r="K2355">
        <v>1.1087129999999901</v>
      </c>
      <c r="L2355">
        <v>355.36450000000002</v>
      </c>
      <c r="M2355">
        <v>0.4989923</v>
      </c>
      <c r="N2355">
        <v>0</v>
      </c>
      <c r="O2355">
        <v>-0.86653179999999996</v>
      </c>
      <c r="P2355">
        <v>0.29715629999999998</v>
      </c>
      <c r="Q2355">
        <v>3.2660420000000003E-2</v>
      </c>
      <c r="R2355">
        <v>-0.95427030000000002</v>
      </c>
      <c r="S2355">
        <v>-0.2166595</v>
      </c>
      <c r="T2355">
        <v>-8.525336E-2</v>
      </c>
      <c r="U2355">
        <v>-3.2182620000000002</v>
      </c>
      <c r="V2355">
        <v>0.21888560000000001</v>
      </c>
      <c r="W2355">
        <v>4.2763370000000002E-2</v>
      </c>
      <c r="X2355">
        <v>0.97481300000000004</v>
      </c>
      <c r="Y2355">
        <v>0.55607689999999999</v>
      </c>
      <c r="Z2355">
        <v>1.8893009999999998E-2</v>
      </c>
      <c r="AA2355">
        <v>0.83091610000000005</v>
      </c>
      <c r="AB2355">
        <v>10</v>
      </c>
      <c r="AC2355">
        <v>-2.8418000000000001</v>
      </c>
      <c r="AD2355">
        <v>-1.10871605876199</v>
      </c>
      <c r="AE2355">
        <v>-41.803800000000003</v>
      </c>
      <c r="AF2355">
        <v>23.307473275291802</v>
      </c>
      <c r="AG2355">
        <v>-1.10871605876199</v>
      </c>
      <c r="AH2355">
        <v>34.784181581137503</v>
      </c>
      <c r="AI2355">
        <v>91.516800775434803</v>
      </c>
      <c r="AJ2355">
        <v>56.175559734784997</v>
      </c>
      <c r="AK2355">
        <v>41.885640141305601</v>
      </c>
      <c r="AL2355">
        <v>87.549091991465403</v>
      </c>
      <c r="AM2355">
        <v>77.344644120212806</v>
      </c>
      <c r="AN2355">
        <v>0.99999999833505804</v>
      </c>
    </row>
    <row r="2356" spans="1:40" x14ac:dyDescent="0.25">
      <c r="A2356" t="str">
        <f>"20190312150708138"</f>
        <v>20190312150708138</v>
      </c>
      <c r="B2356" t="str">
        <f>"1552374428132932"</f>
        <v>1552374428132932</v>
      </c>
      <c r="C2356" t="s">
        <v>40</v>
      </c>
      <c r="D2356">
        <v>4.5091590000000004</v>
      </c>
      <c r="E2356">
        <v>0.64595579999999997</v>
      </c>
      <c r="F2356" t="s">
        <v>42</v>
      </c>
      <c r="G2356">
        <v>-194.47399999999999</v>
      </c>
      <c r="H2356" s="1">
        <v>-3.2798150000000001E-6</v>
      </c>
      <c r="I2356">
        <v>314.01170000000002</v>
      </c>
      <c r="J2356">
        <v>-191.5763</v>
      </c>
      <c r="K2356">
        <v>1.1087070000000001</v>
      </c>
      <c r="L2356">
        <v>355.30970000000002</v>
      </c>
      <c r="M2356">
        <v>0.49561040000000001</v>
      </c>
      <c r="N2356">
        <v>0</v>
      </c>
      <c r="O2356">
        <v>-0.86847090000000005</v>
      </c>
      <c r="P2356">
        <v>0.29347109999999998</v>
      </c>
      <c r="Q2356">
        <v>3.288456E-2</v>
      </c>
      <c r="R2356">
        <v>-0.95540230000000004</v>
      </c>
      <c r="S2356">
        <v>-0.22332759999999999</v>
      </c>
      <c r="T2356">
        <v>-8.6230520000000005E-2</v>
      </c>
      <c r="U2356">
        <v>-3.2162169999999999</v>
      </c>
      <c r="V2356">
        <v>0.21884490000000001</v>
      </c>
      <c r="W2356">
        <v>4.297393E-2</v>
      </c>
      <c r="X2356">
        <v>0.97481289999999998</v>
      </c>
      <c r="Y2356">
        <v>0.55458540000000001</v>
      </c>
      <c r="Z2356">
        <v>1.9211079999999998E-2</v>
      </c>
      <c r="AA2356">
        <v>0.83190509999999995</v>
      </c>
      <c r="AB2356">
        <v>10</v>
      </c>
      <c r="AC2356">
        <v>-2.8977000000000102</v>
      </c>
      <c r="AD2356">
        <v>-1.1087102798149999</v>
      </c>
      <c r="AE2356">
        <v>-41.298000000000002</v>
      </c>
      <c r="AF2356">
        <v>22.9692910084743</v>
      </c>
      <c r="AG2356">
        <v>-1.1087102798149999</v>
      </c>
      <c r="AH2356">
        <v>34.407518149695001</v>
      </c>
      <c r="AI2356">
        <v>91.535156557117404</v>
      </c>
      <c r="AJ2356">
        <v>56.2742720330723</v>
      </c>
      <c r="AK2356">
        <v>41.3847178695003</v>
      </c>
      <c r="AL2356">
        <v>87.537016743534195</v>
      </c>
      <c r="AM2356">
        <v>77.346920252670898</v>
      </c>
      <c r="AN2356">
        <v>1.0000000194610299</v>
      </c>
    </row>
    <row r="2357" spans="1:40" x14ac:dyDescent="0.25">
      <c r="A2357" t="str">
        <f>"20190312150708151"</f>
        <v>20190312150708151</v>
      </c>
      <c r="B2357" t="str">
        <f>"1552374428142692"</f>
        <v>1552374428142692</v>
      </c>
      <c r="C2357" t="s">
        <v>40</v>
      </c>
      <c r="D2357">
        <v>4.4388949999999996</v>
      </c>
      <c r="E2357">
        <v>0.59996269999999996</v>
      </c>
      <c r="F2357" t="s">
        <v>42</v>
      </c>
      <c r="G2357">
        <v>-194.6225</v>
      </c>
      <c r="H2357" s="1">
        <v>-3.175111E-6</v>
      </c>
      <c r="I2357">
        <v>313.70659999999998</v>
      </c>
      <c r="J2357">
        <v>-191.5523</v>
      </c>
      <c r="K2357">
        <v>1.1086990000000001</v>
      </c>
      <c r="L2357">
        <v>355.25920000000002</v>
      </c>
      <c r="M2357">
        <v>0.49248740000000002</v>
      </c>
      <c r="N2357">
        <v>0</v>
      </c>
      <c r="O2357">
        <v>-0.87024570000000001</v>
      </c>
      <c r="P2357">
        <v>0.29009359999999901</v>
      </c>
      <c r="Q2357">
        <v>3.2812979999999999E-2</v>
      </c>
      <c r="R2357">
        <v>-0.95643560000000005</v>
      </c>
      <c r="S2357">
        <v>-0.2354279</v>
      </c>
      <c r="T2357">
        <v>-8.5687639999999995E-2</v>
      </c>
      <c r="U2357">
        <v>-3.2153320000000001</v>
      </c>
      <c r="V2357">
        <v>0.2187885</v>
      </c>
      <c r="W2357">
        <v>4.2891520000000002E-2</v>
      </c>
      <c r="X2357">
        <v>0.97482919999999995</v>
      </c>
      <c r="Y2357">
        <v>0.55472719999999998</v>
      </c>
      <c r="Z2357">
        <v>1.916139E-2</v>
      </c>
      <c r="AA2357">
        <v>0.83181159999999998</v>
      </c>
      <c r="AB2357">
        <v>10</v>
      </c>
      <c r="AC2357">
        <v>-3.0701999999999998</v>
      </c>
      <c r="AD2357">
        <v>-1.10870217511099</v>
      </c>
      <c r="AE2357">
        <v>-41.552599999999998</v>
      </c>
      <c r="AF2357">
        <v>23.121076802553699</v>
      </c>
      <c r="AG2357">
        <v>-1.10870217511099</v>
      </c>
      <c r="AH2357">
        <v>34.626646818309901</v>
      </c>
      <c r="AI2357">
        <v>91.5253231522764</v>
      </c>
      <c r="AJ2357">
        <v>56.267973880867103</v>
      </c>
      <c r="AK2357">
        <v>41.651147438007698</v>
      </c>
      <c r="AL2357">
        <v>87.541742871439595</v>
      </c>
      <c r="AM2357">
        <v>77.350280921159097</v>
      </c>
      <c r="AN2357">
        <v>1.00000002969639</v>
      </c>
    </row>
    <row r="2358" spans="1:40" x14ac:dyDescent="0.25">
      <c r="A2358" t="str">
        <f>"20190312150708170"</f>
        <v>20190312150708170</v>
      </c>
      <c r="B2358" t="str">
        <f>"1552374428162216"</f>
        <v>1552374428162216</v>
      </c>
      <c r="C2358" t="s">
        <v>40</v>
      </c>
      <c r="D2358">
        <v>4.5724099999999996</v>
      </c>
      <c r="E2358">
        <v>0.59456880000000001</v>
      </c>
      <c r="F2358" t="s">
        <v>42</v>
      </c>
      <c r="G2358">
        <v>-191.16470000000001</v>
      </c>
      <c r="H2358" s="1">
        <v>-1.8928549999999999E-6</v>
      </c>
      <c r="I2358">
        <v>343.279</v>
      </c>
      <c r="J2358">
        <v>-191.5146</v>
      </c>
      <c r="K2358">
        <v>1.1086860000000001</v>
      </c>
      <c r="L2358">
        <v>355.17910000000001</v>
      </c>
      <c r="M2358">
        <v>0.48753839999999998</v>
      </c>
      <c r="N2358">
        <v>0</v>
      </c>
      <c r="O2358">
        <v>-0.87302819999999903</v>
      </c>
      <c r="P2358">
        <v>0.28516229999999998</v>
      </c>
      <c r="Q2358">
        <v>3.2560480000000003E-2</v>
      </c>
      <c r="R2358">
        <v>-0.95792630000000001</v>
      </c>
      <c r="S2358">
        <v>0.1007996</v>
      </c>
      <c r="T2358">
        <v>-0.28836099999999998</v>
      </c>
      <c r="U2358">
        <v>-3.1159059999999998</v>
      </c>
      <c r="V2358">
        <v>0.2182791</v>
      </c>
      <c r="W2358">
        <v>4.2625209999999997E-2</v>
      </c>
      <c r="X2358">
        <v>0.97495500000000002</v>
      </c>
      <c r="Y2358">
        <v>0.45904990000000001</v>
      </c>
      <c r="Z2358">
        <v>6.9521289999999999E-2</v>
      </c>
      <c r="AA2358">
        <v>0.88568619999999898</v>
      </c>
      <c r="AB2358">
        <v>10</v>
      </c>
      <c r="AC2358">
        <v>0.349899999999991</v>
      </c>
      <c r="AD2358">
        <v>-1.1086878928549999</v>
      </c>
      <c r="AE2358">
        <v>-11.9001</v>
      </c>
      <c r="AF2358">
        <v>5.4493756680093899</v>
      </c>
      <c r="AG2358">
        <v>-1.1086878928549999</v>
      </c>
      <c r="AH2358">
        <v>10.4695917584851</v>
      </c>
      <c r="AI2358">
        <v>95.366255623759997</v>
      </c>
      <c r="AJ2358">
        <v>62.503224401524797</v>
      </c>
      <c r="AK2358">
        <v>11.854840176240099</v>
      </c>
      <c r="AL2358">
        <v>87.557015114583805</v>
      </c>
      <c r="AM2358">
        <v>77.380364733875297</v>
      </c>
      <c r="AN2358">
        <v>0.99999996302467598</v>
      </c>
    </row>
    <row r="2359" spans="1:40" x14ac:dyDescent="0.25">
      <c r="A2359" t="str">
        <f>"20190312150708181"</f>
        <v>20190312150708181</v>
      </c>
      <c r="B2359" t="str">
        <f>"1552374428171973"</f>
        <v>1552374428171973</v>
      </c>
      <c r="C2359" t="s">
        <v>40</v>
      </c>
      <c r="D2359">
        <v>4.4622519999999897</v>
      </c>
      <c r="E2359">
        <v>0.59274539999999998</v>
      </c>
      <c r="F2359" t="s">
        <v>42</v>
      </c>
      <c r="G2359">
        <v>-190.98220000000001</v>
      </c>
      <c r="H2359" s="1">
        <v>-1.3470190000000001E-6</v>
      </c>
      <c r="I2359">
        <v>342.11989999999997</v>
      </c>
      <c r="J2359">
        <v>-191.49039999999999</v>
      </c>
      <c r="K2359">
        <v>1.1086800000000001</v>
      </c>
      <c r="L2359">
        <v>355.12709999999998</v>
      </c>
      <c r="M2359">
        <v>0.48431970000000002</v>
      </c>
      <c r="N2359">
        <v>0</v>
      </c>
      <c r="O2359">
        <v>-0.87481799999999998</v>
      </c>
      <c r="P2359">
        <v>0.28187020000000002</v>
      </c>
      <c r="Q2359">
        <v>3.2261159999999997E-2</v>
      </c>
      <c r="R2359">
        <v>-0.95891020000000005</v>
      </c>
      <c r="S2359">
        <v>0.1265106</v>
      </c>
      <c r="T2359">
        <v>-0.26343949999999999</v>
      </c>
      <c r="U2359">
        <v>-3.1030579999999999</v>
      </c>
      <c r="V2359">
        <v>0.21804090000000001</v>
      </c>
      <c r="W2359">
        <v>4.2318399999999999E-2</v>
      </c>
      <c r="X2359">
        <v>0.97502169999999999</v>
      </c>
      <c r="Y2359">
        <v>0.44830690000000001</v>
      </c>
      <c r="Z2359">
        <v>6.4274280000000003E-2</v>
      </c>
      <c r="AA2359">
        <v>0.89156589999999902</v>
      </c>
      <c r="AB2359">
        <v>10</v>
      </c>
      <c r="AC2359">
        <v>0.50819999999998799</v>
      </c>
      <c r="AD2359">
        <v>-1.10868134701899</v>
      </c>
      <c r="AE2359">
        <v>-13.007199999999999</v>
      </c>
      <c r="AF2359">
        <v>5.8132651541870999</v>
      </c>
      <c r="AG2359">
        <v>-1.10868134701899</v>
      </c>
      <c r="AH2359">
        <v>11.542080051701801</v>
      </c>
      <c r="AI2359">
        <v>94.903332286799596</v>
      </c>
      <c r="AJ2359">
        <v>63.267507278623903</v>
      </c>
      <c r="AK2359">
        <v>12.9708456934005</v>
      </c>
      <c r="AL2359">
        <v>87.574609995315697</v>
      </c>
      <c r="AM2359">
        <v>77.394530513691706</v>
      </c>
      <c r="AN2359">
        <v>0.99999999826112995</v>
      </c>
    </row>
    <row r="2360" spans="1:40" x14ac:dyDescent="0.25">
      <c r="A2360" t="str">
        <f>"20190312150708203"</f>
        <v>20190312150708203</v>
      </c>
      <c r="B2360" t="str">
        <f>"1552374428192471"</f>
        <v>1552374428192471</v>
      </c>
      <c r="C2360" t="s">
        <v>40</v>
      </c>
      <c r="D2360">
        <v>4.3762759999999998</v>
      </c>
      <c r="E2360">
        <v>0.59180069999999996</v>
      </c>
      <c r="F2360" t="s">
        <v>42</v>
      </c>
      <c r="G2360">
        <v>-190.86590000000001</v>
      </c>
      <c r="H2360" s="1">
        <v>-5.3359159999999998E-7</v>
      </c>
      <c r="I2360">
        <v>340.29590000000002</v>
      </c>
      <c r="J2360">
        <v>-191.4502</v>
      </c>
      <c r="K2360">
        <v>1.1086750000000001</v>
      </c>
      <c r="L2360">
        <v>355.0394</v>
      </c>
      <c r="M2360">
        <v>0.47889369999999998</v>
      </c>
      <c r="N2360">
        <v>0</v>
      </c>
      <c r="O2360">
        <v>-0.87780009999999997</v>
      </c>
      <c r="P2360">
        <v>0.27648430000000002</v>
      </c>
      <c r="Q2360">
        <v>3.19563E-2</v>
      </c>
      <c r="R2360">
        <v>-0.96048690000000003</v>
      </c>
      <c r="S2360">
        <v>0.13044739999999999</v>
      </c>
      <c r="T2360">
        <v>-0.23158190000000001</v>
      </c>
      <c r="U2360">
        <v>-3.0979610000000002</v>
      </c>
      <c r="V2360">
        <v>0.21747929999999999</v>
      </c>
      <c r="W2360">
        <v>4.2001589999999998E-2</v>
      </c>
      <c r="X2360">
        <v>0.97516080000000005</v>
      </c>
      <c r="Y2360">
        <v>0.4415732</v>
      </c>
      <c r="Z2360">
        <v>5.7092379999999998E-2</v>
      </c>
      <c r="AA2360">
        <v>0.89540690000000001</v>
      </c>
      <c r="AB2360">
        <v>10</v>
      </c>
      <c r="AC2360">
        <v>0.58429999999998405</v>
      </c>
      <c r="AD2360">
        <v>-1.1086755335916001</v>
      </c>
      <c r="AE2360">
        <v>-14.7434999999999</v>
      </c>
      <c r="AF2360">
        <v>6.5113274223483897</v>
      </c>
      <c r="AG2360">
        <v>-1.1086755335916001</v>
      </c>
      <c r="AH2360">
        <v>13.1482757147988</v>
      </c>
      <c r="AI2360">
        <v>94.321218538131404</v>
      </c>
      <c r="AJ2360">
        <v>63.654332420797701</v>
      </c>
      <c r="AK2360">
        <v>14.714064717547499</v>
      </c>
      <c r="AL2360">
        <v>87.592777987488603</v>
      </c>
      <c r="AM2360">
        <v>77.427700803046505</v>
      </c>
      <c r="AN2360">
        <v>0.99999998267382895</v>
      </c>
    </row>
    <row r="2361" spans="1:40" x14ac:dyDescent="0.25">
      <c r="A2361" t="str">
        <f>"20190312150708215"</f>
        <v>20190312150708215</v>
      </c>
      <c r="B2361" t="str">
        <f>"1552374428211988"</f>
        <v>1552374428211988</v>
      </c>
      <c r="C2361" t="s">
        <v>40</v>
      </c>
      <c r="D2361">
        <v>4.3808210000000001</v>
      </c>
      <c r="E2361">
        <v>0.59135979999999999</v>
      </c>
      <c r="F2361" t="s">
        <v>42</v>
      </c>
      <c r="G2361">
        <v>-190.68219999999999</v>
      </c>
      <c r="H2361" s="1">
        <v>-2.699901E-6</v>
      </c>
      <c r="I2361">
        <v>335.45960000000002</v>
      </c>
      <c r="J2361">
        <v>-191.4273</v>
      </c>
      <c r="K2361">
        <v>1.108671</v>
      </c>
      <c r="L2361">
        <v>354.98860000000002</v>
      </c>
      <c r="M2361">
        <v>0.47575050000000002</v>
      </c>
      <c r="N2361">
        <v>0</v>
      </c>
      <c r="O2361">
        <v>-0.87950810000000001</v>
      </c>
      <c r="P2361">
        <v>0.273128599999999</v>
      </c>
      <c r="Q2361">
        <v>3.2029870000000002E-2</v>
      </c>
      <c r="R2361">
        <v>-0.96144459999999998</v>
      </c>
      <c r="S2361">
        <v>0.1213837</v>
      </c>
      <c r="T2361">
        <v>-0.17521139999999999</v>
      </c>
      <c r="U2361">
        <v>-3.0943299999999998</v>
      </c>
      <c r="V2361">
        <v>0.21739549999999999</v>
      </c>
      <c r="W2361">
        <v>4.2068290000000001E-2</v>
      </c>
      <c r="X2361">
        <v>0.97517659999999995</v>
      </c>
      <c r="Y2361">
        <v>0.44093840000000001</v>
      </c>
      <c r="Z2361">
        <v>4.344597E-2</v>
      </c>
      <c r="AA2361">
        <v>0.89648519999999898</v>
      </c>
      <c r="AB2361">
        <v>10</v>
      </c>
      <c r="AC2361">
        <v>0.74510000000000698</v>
      </c>
      <c r="AD2361">
        <v>-1.1086736999010001</v>
      </c>
      <c r="AE2361">
        <v>-19.529</v>
      </c>
      <c r="AF2361">
        <v>8.6084543854581792</v>
      </c>
      <c r="AG2361">
        <v>-1.1086736999010001</v>
      </c>
      <c r="AH2361">
        <v>17.475269089127998</v>
      </c>
      <c r="AI2361">
        <v>93.257299421830197</v>
      </c>
      <c r="AJ2361">
        <v>63.7747818027553</v>
      </c>
      <c r="AK2361">
        <v>19.512039207033101</v>
      </c>
      <c r="AL2361">
        <v>87.588952954377703</v>
      </c>
      <c r="AM2361">
        <v>77.432588441355506</v>
      </c>
      <c r="AN2361">
        <v>0.99999997281566599</v>
      </c>
    </row>
    <row r="2362" spans="1:40" x14ac:dyDescent="0.25">
      <c r="A2362" t="str">
        <f>"20190312150708228"</f>
        <v>20190312150708228</v>
      </c>
      <c r="B2362" t="str">
        <f>"1552374428222724"</f>
        <v>1552374428222724</v>
      </c>
      <c r="C2362" t="s">
        <v>40</v>
      </c>
      <c r="D2362">
        <v>4.3267559999999996</v>
      </c>
      <c r="E2362">
        <v>0.59122430000000004</v>
      </c>
      <c r="F2362" t="s">
        <v>42</v>
      </c>
      <c r="G2362">
        <v>-190.66229999999999</v>
      </c>
      <c r="H2362" s="1">
        <v>-2.165205E-6</v>
      </c>
      <c r="I2362">
        <v>334.22550000000001</v>
      </c>
      <c r="J2362">
        <v>-191.40360000000001</v>
      </c>
      <c r="K2362">
        <v>1.1086670000000001</v>
      </c>
      <c r="L2362">
        <v>354.93579999999997</v>
      </c>
      <c r="M2362">
        <v>0.47247850000000002</v>
      </c>
      <c r="N2362">
        <v>0</v>
      </c>
      <c r="O2362">
        <v>-0.88126979999999999</v>
      </c>
      <c r="P2362">
        <v>0.26997480000000001</v>
      </c>
      <c r="Q2362">
        <v>3.2133799999999997E-2</v>
      </c>
      <c r="R2362">
        <v>-0.96233139999999995</v>
      </c>
      <c r="S2362">
        <v>0.11398320000000001</v>
      </c>
      <c r="T2362">
        <v>-0.16517560000000001</v>
      </c>
      <c r="U2362">
        <v>-3.0933839999999999</v>
      </c>
      <c r="V2362">
        <v>0.21696760000000001</v>
      </c>
      <c r="W2362">
        <v>4.2167389999999999E-2</v>
      </c>
      <c r="X2362">
        <v>0.97526760000000001</v>
      </c>
      <c r="Y2362">
        <v>0.43973430000000002</v>
      </c>
      <c r="Z2362">
        <v>4.1132509999999997E-2</v>
      </c>
      <c r="AA2362">
        <v>0.89718549999999997</v>
      </c>
      <c r="AB2362">
        <v>10</v>
      </c>
      <c r="AC2362">
        <v>0.74130000000002305</v>
      </c>
      <c r="AD2362">
        <v>-1.108669165205</v>
      </c>
      <c r="AE2362">
        <v>-20.710299999999901</v>
      </c>
      <c r="AF2362">
        <v>9.1064060140585497</v>
      </c>
      <c r="AG2362">
        <v>-1.108669165205</v>
      </c>
      <c r="AH2362">
        <v>18.549707278383099</v>
      </c>
      <c r="AI2362">
        <v>93.071038028523205</v>
      </c>
      <c r="AJ2362">
        <v>63.852695628373702</v>
      </c>
      <c r="AK2362">
        <v>20.694139700032402</v>
      </c>
      <c r="AL2362">
        <v>87.583269868427706</v>
      </c>
      <c r="AM2362">
        <v>77.457674698721306</v>
      </c>
      <c r="AN2362">
        <v>0.999999959919465</v>
      </c>
    </row>
    <row r="2363" spans="1:40" x14ac:dyDescent="0.25">
      <c r="A2363" t="str">
        <f>"20190312150708241"</f>
        <v>20190312150708241</v>
      </c>
      <c r="B2363" t="str">
        <f>"1552374428232016"</f>
        <v>1552374428232016</v>
      </c>
      <c r="C2363" t="s">
        <v>40</v>
      </c>
      <c r="D2363">
        <v>4.320093</v>
      </c>
      <c r="E2363">
        <v>0.5910223</v>
      </c>
      <c r="F2363" t="s">
        <v>42</v>
      </c>
      <c r="G2363">
        <v>-190.6105</v>
      </c>
      <c r="H2363" s="1">
        <v>-1.0498600000000001E-6</v>
      </c>
      <c r="I2363">
        <v>331.65769999999998</v>
      </c>
      <c r="J2363">
        <v>-191.37729999999999</v>
      </c>
      <c r="K2363">
        <v>1.108662</v>
      </c>
      <c r="L2363">
        <v>354.87630000000001</v>
      </c>
      <c r="M2363">
        <v>0.4687924</v>
      </c>
      <c r="N2363">
        <v>0</v>
      </c>
      <c r="O2363">
        <v>-0.88323639999999903</v>
      </c>
      <c r="P2363">
        <v>0.26618049999999999</v>
      </c>
      <c r="Q2363">
        <v>3.1797329999999999E-2</v>
      </c>
      <c r="R2363">
        <v>-0.96339909999999995</v>
      </c>
      <c r="S2363">
        <v>0.1053772</v>
      </c>
      <c r="T2363">
        <v>-0.14729879999999901</v>
      </c>
      <c r="U2363">
        <v>-3.092743</v>
      </c>
      <c r="V2363">
        <v>0.21673990000000001</v>
      </c>
      <c r="W2363">
        <v>4.182437E-2</v>
      </c>
      <c r="X2363">
        <v>0.97533300000000001</v>
      </c>
      <c r="Y2363">
        <v>0.43846930000000001</v>
      </c>
      <c r="Z2363">
        <v>3.6852410000000002E-2</v>
      </c>
      <c r="AA2363">
        <v>0.89799030000000002</v>
      </c>
      <c r="AB2363">
        <v>10</v>
      </c>
      <c r="AC2363">
        <v>0.76679999999998905</v>
      </c>
      <c r="AD2363">
        <v>-1.1086630498600001</v>
      </c>
      <c r="AE2363">
        <v>-23.218599999999999</v>
      </c>
      <c r="AF2363">
        <v>10.184890696722499</v>
      </c>
      <c r="AG2363">
        <v>-1.1086630498600001</v>
      </c>
      <c r="AH2363">
        <v>20.820890343972501</v>
      </c>
      <c r="AI2363">
        <v>92.738461037403098</v>
      </c>
      <c r="AJ2363">
        <v>63.9336493098848</v>
      </c>
      <c r="AK2363">
        <v>23.204969445746698</v>
      </c>
      <c r="AL2363">
        <v>87.602940825505598</v>
      </c>
      <c r="AM2363">
        <v>77.471235209143401</v>
      </c>
      <c r="AN2363">
        <v>0.99999996153345205</v>
      </c>
    </row>
    <row r="2364" spans="1:40" x14ac:dyDescent="0.25">
      <c r="A2364" t="str">
        <f>"20190312150708261"</f>
        <v>20190312150708261</v>
      </c>
      <c r="B2364" t="str">
        <f>"1552374428252511"</f>
        <v>1552374428252511</v>
      </c>
      <c r="C2364" t="s">
        <v>40</v>
      </c>
      <c r="D2364">
        <v>4.3790329999999997</v>
      </c>
      <c r="E2364">
        <v>0.58963330000000003</v>
      </c>
      <c r="F2364" t="s">
        <v>42</v>
      </c>
      <c r="G2364">
        <v>-190.5933</v>
      </c>
      <c r="H2364" s="1">
        <v>-4.3124499999999997E-6</v>
      </c>
      <c r="I2364">
        <v>329.34989999999999</v>
      </c>
      <c r="J2364">
        <v>-191.3409</v>
      </c>
      <c r="K2364">
        <v>1.108646</v>
      </c>
      <c r="L2364">
        <v>354.79300000000001</v>
      </c>
      <c r="M2364">
        <v>0.46363199999999999</v>
      </c>
      <c r="N2364">
        <v>0</v>
      </c>
      <c r="O2364">
        <v>-0.88595599999999997</v>
      </c>
      <c r="P2364">
        <v>0.26114549999999997</v>
      </c>
      <c r="Q2364">
        <v>3.1361239999999999E-2</v>
      </c>
      <c r="R2364">
        <v>-0.96478989999999998</v>
      </c>
      <c r="S2364">
        <v>9.4970700000000005E-2</v>
      </c>
      <c r="T2364">
        <v>-0.13429929999999901</v>
      </c>
      <c r="U2364">
        <v>-3.0921630000000002</v>
      </c>
      <c r="V2364">
        <v>0.2161487</v>
      </c>
      <c r="W2364">
        <v>4.1382240000000001E-2</v>
      </c>
      <c r="X2364">
        <v>0.97548310000000005</v>
      </c>
      <c r="Y2364">
        <v>0.43623990000000001</v>
      </c>
      <c r="Z2364">
        <v>3.3811819999999999E-2</v>
      </c>
      <c r="AA2364">
        <v>0.89919499999999997</v>
      </c>
      <c r="AB2364">
        <v>10</v>
      </c>
      <c r="AC2364">
        <v>0.74760000000000504</v>
      </c>
      <c r="AD2364">
        <v>-1.10865031245</v>
      </c>
      <c r="AE2364">
        <v>-25.443100000000001</v>
      </c>
      <c r="AF2364">
        <v>11.1135208780853</v>
      </c>
      <c r="AG2364">
        <v>-1.10865031245</v>
      </c>
      <c r="AH2364">
        <v>22.8461958175285</v>
      </c>
      <c r="AI2364">
        <v>92.498661605539994</v>
      </c>
      <c r="AJ2364">
        <v>64.059417444724701</v>
      </c>
      <c r="AK2364">
        <v>25.430063215725401</v>
      </c>
      <c r="AL2364">
        <v>87.628295086419499</v>
      </c>
      <c r="AM2364">
        <v>77.506197424774001</v>
      </c>
      <c r="AN2364">
        <v>1.00000001434235</v>
      </c>
    </row>
    <row r="2365" spans="1:40" x14ac:dyDescent="0.25">
      <c r="A2365" t="str">
        <f>"20190312150708283"</f>
        <v>20190312150708283</v>
      </c>
      <c r="B2365" t="str">
        <f>"1552374428272031"</f>
        <v>1552374428272031</v>
      </c>
      <c r="C2365" t="s">
        <v>40</v>
      </c>
      <c r="D2365">
        <v>4.3395320000000002</v>
      </c>
      <c r="E2365">
        <v>0.58817949999999997</v>
      </c>
      <c r="F2365" t="s">
        <v>42</v>
      </c>
      <c r="G2365">
        <v>-190.4982</v>
      </c>
      <c r="H2365" s="1">
        <v>-2.8002400000000001E-6</v>
      </c>
      <c r="I2365">
        <v>325.8075</v>
      </c>
      <c r="J2365">
        <v>-191.29949999999999</v>
      </c>
      <c r="K2365">
        <v>1.108635</v>
      </c>
      <c r="L2365">
        <v>354.6968</v>
      </c>
      <c r="M2365">
        <v>0.45766420000000002</v>
      </c>
      <c r="N2365">
        <v>0</v>
      </c>
      <c r="O2365">
        <v>-0.88905400000000001</v>
      </c>
      <c r="P2365">
        <v>0.25513799999999998</v>
      </c>
      <c r="Q2365">
        <v>3.103591E-2</v>
      </c>
      <c r="R2365">
        <v>-0.96640689999999996</v>
      </c>
      <c r="S2365">
        <v>8.9797970000000005E-2</v>
      </c>
      <c r="T2365">
        <v>-0.11815000000000001</v>
      </c>
      <c r="U2365">
        <v>-3.0890200000000001</v>
      </c>
      <c r="V2365">
        <v>0.21566199999999999</v>
      </c>
      <c r="W2365">
        <v>4.1046350000000002E-2</v>
      </c>
      <c r="X2365">
        <v>0.97560500000000006</v>
      </c>
      <c r="Y2365">
        <v>0.43166159999999998</v>
      </c>
      <c r="Z2365">
        <v>3.000098E-2</v>
      </c>
      <c r="AA2365">
        <v>0.90153660000000002</v>
      </c>
      <c r="AB2365">
        <v>10</v>
      </c>
      <c r="AC2365">
        <v>0.80129999999999701</v>
      </c>
      <c r="AD2365">
        <v>-1.1086378002399999</v>
      </c>
      <c r="AE2365">
        <v>-28.889299999999899</v>
      </c>
      <c r="AF2365">
        <v>12.4916085960038</v>
      </c>
      <c r="AG2365">
        <v>-1.1086378002399999</v>
      </c>
      <c r="AH2365">
        <v>26.0142405346723</v>
      </c>
      <c r="AI2365">
        <v>92.200054269770803</v>
      </c>
      <c r="AJ2365">
        <v>64.350450629255604</v>
      </c>
      <c r="AK2365">
        <v>28.879232567429199</v>
      </c>
      <c r="AL2365">
        <v>87.647556517873795</v>
      </c>
      <c r="AM2365">
        <v>77.534958120088405</v>
      </c>
      <c r="AN2365">
        <v>1.00000000855866</v>
      </c>
    </row>
    <row r="2366" spans="1:40" x14ac:dyDescent="0.25">
      <c r="A2366" t="str">
        <f>"20190312150708305"</f>
        <v>20190312150708305</v>
      </c>
      <c r="B2366" t="str">
        <f>"1552374428302287"</f>
        <v>1552374428302287</v>
      </c>
      <c r="C2366" t="s">
        <v>40</v>
      </c>
      <c r="D2366">
        <v>4.3310040000000001</v>
      </c>
      <c r="E2366">
        <v>0.58679209999999904</v>
      </c>
      <c r="F2366" t="s">
        <v>42</v>
      </c>
      <c r="G2366">
        <v>-190.47309999999999</v>
      </c>
      <c r="H2366" s="1">
        <v>-1.8245840000000001E-6</v>
      </c>
      <c r="I2366">
        <v>323.54880000000003</v>
      </c>
      <c r="J2366">
        <v>-191.26060000000001</v>
      </c>
      <c r="K2366">
        <v>1.108622</v>
      </c>
      <c r="L2366">
        <v>354.60469999999998</v>
      </c>
      <c r="M2366">
        <v>0.45194630000000002</v>
      </c>
      <c r="N2366">
        <v>0</v>
      </c>
      <c r="O2366">
        <v>-0.89197399999999905</v>
      </c>
      <c r="P2366">
        <v>0.24955620000000001</v>
      </c>
      <c r="Q2366">
        <v>3.0070820000000002E-2</v>
      </c>
      <c r="R2366">
        <v>-0.96789320000000001</v>
      </c>
      <c r="S2366">
        <v>8.1878660000000006E-2</v>
      </c>
      <c r="T2366">
        <v>-0.1098441</v>
      </c>
      <c r="U2366">
        <v>-3.0861510000000001</v>
      </c>
      <c r="V2366">
        <v>0.21503810000000001</v>
      </c>
      <c r="W2366">
        <v>4.0069170000000001E-2</v>
      </c>
      <c r="X2366">
        <v>0.97578330000000002</v>
      </c>
      <c r="Y2366">
        <v>0.42815500000000001</v>
      </c>
      <c r="Z2366">
        <v>2.8105109999999999E-2</v>
      </c>
      <c r="AA2366">
        <v>0.90326819999999997</v>
      </c>
      <c r="AB2366">
        <v>10</v>
      </c>
      <c r="AC2366">
        <v>0.78750000000002196</v>
      </c>
      <c r="AD2366">
        <v>-1.1086238245839899</v>
      </c>
      <c r="AE2366">
        <v>-31.055899999999902</v>
      </c>
      <c r="AF2366">
        <v>13.3170564596214</v>
      </c>
      <c r="AG2366">
        <v>-1.1086238245839899</v>
      </c>
      <c r="AH2366">
        <v>28.023056264038001</v>
      </c>
      <c r="AI2366">
        <v>92.046402873809498</v>
      </c>
      <c r="AJ2366">
        <v>64.582098800335601</v>
      </c>
      <c r="AK2366">
        <v>31.046170809145298</v>
      </c>
      <c r="AL2366">
        <v>87.703590862285196</v>
      </c>
      <c r="AM2366">
        <v>77.572097183721297</v>
      </c>
      <c r="AN2366">
        <v>0.99999998569749404</v>
      </c>
    </row>
    <row r="2367" spans="1:40" x14ac:dyDescent="0.25">
      <c r="A2367" t="str">
        <f>"20190312150708317"</f>
        <v>20190312150708317</v>
      </c>
      <c r="B2367" t="str">
        <f>"1552374428312047"</f>
        <v>1552374428312047</v>
      </c>
      <c r="C2367" t="s">
        <v>40</v>
      </c>
      <c r="D2367">
        <v>4.3263389999999999</v>
      </c>
      <c r="E2367">
        <v>0.58663650000000001</v>
      </c>
      <c r="F2367" t="s">
        <v>42</v>
      </c>
      <c r="G2367">
        <v>-190.4562</v>
      </c>
      <c r="H2367" s="1">
        <v>-9.3501999999999996E-7</v>
      </c>
      <c r="I2367">
        <v>321.48570000000001</v>
      </c>
      <c r="J2367">
        <v>-191.23589999999999</v>
      </c>
      <c r="K2367">
        <v>1.108611</v>
      </c>
      <c r="L2367">
        <v>354.5453</v>
      </c>
      <c r="M2367">
        <v>0.44825799999999999</v>
      </c>
      <c r="N2367">
        <v>0</v>
      </c>
      <c r="O2367">
        <v>-0.89383349999999995</v>
      </c>
      <c r="P2367">
        <v>0.2460116</v>
      </c>
      <c r="Q2367">
        <v>2.986225E-2</v>
      </c>
      <c r="R2367">
        <v>-0.96880719999999998</v>
      </c>
      <c r="S2367">
        <v>7.4890139999999994E-2</v>
      </c>
      <c r="T2367">
        <v>-0.10321279999999999</v>
      </c>
      <c r="U2367">
        <v>-3.0833740000000001</v>
      </c>
      <c r="V2367">
        <v>0.2145813</v>
      </c>
      <c r="W2367">
        <v>3.9851900000000003E-2</v>
      </c>
      <c r="X2367">
        <v>0.9758928</v>
      </c>
      <c r="Y2367">
        <v>0.4264463</v>
      </c>
      <c r="Z2367">
        <v>2.6540299999999999E-2</v>
      </c>
      <c r="AA2367">
        <v>0.90412340000000002</v>
      </c>
      <c r="AB2367">
        <v>10</v>
      </c>
      <c r="AC2367">
        <v>0.77969999999999096</v>
      </c>
      <c r="AD2367">
        <v>-1.1086119350200001</v>
      </c>
      <c r="AE2367">
        <v>-33.059599999999897</v>
      </c>
      <c r="AF2367">
        <v>14.1073460378039</v>
      </c>
      <c r="AG2367">
        <v>-1.1086119350200001</v>
      </c>
      <c r="AH2367">
        <v>29.8676073499662</v>
      </c>
      <c r="AI2367">
        <v>91.922244707488105</v>
      </c>
      <c r="AJ2367">
        <v>64.717261561739704</v>
      </c>
      <c r="AK2367">
        <v>33.050267797168701</v>
      </c>
      <c r="AL2367">
        <v>87.716049575038298</v>
      </c>
      <c r="AM2367">
        <v>77.599028209481403</v>
      </c>
      <c r="AN2367">
        <v>1.00000003266756</v>
      </c>
    </row>
    <row r="2368" spans="1:40" x14ac:dyDescent="0.25">
      <c r="A2368" t="str">
        <f>"20190312150708331"</f>
        <v>20190312150708331</v>
      </c>
      <c r="B2368" t="str">
        <f>"1552374428322783"</f>
        <v>1552374428322783</v>
      </c>
      <c r="C2368" t="s">
        <v>40</v>
      </c>
      <c r="D2368">
        <v>4.2487849999999998</v>
      </c>
      <c r="E2368">
        <v>0.58637109999999903</v>
      </c>
      <c r="F2368" t="s">
        <v>42</v>
      </c>
      <c r="G2368">
        <v>-190.56469999999999</v>
      </c>
      <c r="H2368" s="1">
        <v>-1.4584099999999999E-6</v>
      </c>
      <c r="I2368">
        <v>322.63850000000002</v>
      </c>
      <c r="J2368">
        <v>-191.2131</v>
      </c>
      <c r="K2368">
        <v>1.108603</v>
      </c>
      <c r="L2368">
        <v>354.48989999999998</v>
      </c>
      <c r="M2368">
        <v>0.44480930000000002</v>
      </c>
      <c r="N2368">
        <v>0</v>
      </c>
      <c r="O2368">
        <v>-0.89555499999999899</v>
      </c>
      <c r="P2368">
        <v>0.24266460000000001</v>
      </c>
      <c r="Q2368">
        <v>2.9704319999999999E-2</v>
      </c>
      <c r="R2368">
        <v>-0.96965559999999995</v>
      </c>
      <c r="S2368">
        <v>6.4865110000000004E-2</v>
      </c>
      <c r="T2368">
        <v>-0.10713259999999999</v>
      </c>
      <c r="U2368">
        <v>-3.0833740000000001</v>
      </c>
      <c r="V2368">
        <v>0.2141912</v>
      </c>
      <c r="W2368">
        <v>3.9685140000000001E-2</v>
      </c>
      <c r="X2368">
        <v>0.97598529999999994</v>
      </c>
      <c r="Y2368">
        <v>0.42589739999999998</v>
      </c>
      <c r="Z2368">
        <v>2.7640609999999999E-2</v>
      </c>
      <c r="AA2368">
        <v>0.90434910000000002</v>
      </c>
      <c r="AB2368">
        <v>10</v>
      </c>
      <c r="AC2368">
        <v>0.64840000000000897</v>
      </c>
      <c r="AD2368">
        <v>-1.1086044584100001</v>
      </c>
      <c r="AE2368">
        <v>-31.851399999999899</v>
      </c>
      <c r="AF2368">
        <v>13.5715425778782</v>
      </c>
      <c r="AG2368">
        <v>-1.1086044584100001</v>
      </c>
      <c r="AH2368">
        <v>28.780058831993799</v>
      </c>
      <c r="AI2368">
        <v>91.995403388318707</v>
      </c>
      <c r="AJ2368">
        <v>64.753280632436201</v>
      </c>
      <c r="AK2368">
        <v>31.838774445028399</v>
      </c>
      <c r="AL2368">
        <v>87.725611807270298</v>
      </c>
      <c r="AM2368">
        <v>77.622014073777194</v>
      </c>
      <c r="AN2368">
        <v>1.0000000431551701</v>
      </c>
    </row>
    <row r="2369" spans="1:40" x14ac:dyDescent="0.25">
      <c r="A2369" t="str">
        <f>"20190312150708349"</f>
        <v>20190312150708349</v>
      </c>
      <c r="B2369" t="str">
        <f>"1552374428342808"</f>
        <v>1552374428342808</v>
      </c>
      <c r="C2369" t="s">
        <v>40</v>
      </c>
      <c r="D2369">
        <v>4.3017760000000003</v>
      </c>
      <c r="E2369">
        <v>0.58561830000000004</v>
      </c>
      <c r="F2369" t="s">
        <v>42</v>
      </c>
      <c r="G2369">
        <v>-190.67140000000001</v>
      </c>
      <c r="H2369" s="1">
        <v>-2.4220319999999999E-6</v>
      </c>
      <c r="I2369">
        <v>324.81849999999997</v>
      </c>
      <c r="J2369">
        <v>-191.18170000000001</v>
      </c>
      <c r="K2369">
        <v>1.1085929999999999</v>
      </c>
      <c r="L2369">
        <v>354.41250000000002</v>
      </c>
      <c r="M2369">
        <v>0.43999830000000001</v>
      </c>
      <c r="N2369">
        <v>0</v>
      </c>
      <c r="O2369">
        <v>-0.89792850000000002</v>
      </c>
      <c r="P2369">
        <v>0.23773259999999999</v>
      </c>
      <c r="Q2369">
        <v>2.9494389999999999E-2</v>
      </c>
      <c r="R2369">
        <v>-0.9708831</v>
      </c>
      <c r="S2369">
        <v>5.628967E-2</v>
      </c>
      <c r="T2369">
        <v>-0.11519989999999999</v>
      </c>
      <c r="U2369">
        <v>-3.0832820000000001</v>
      </c>
      <c r="V2369">
        <v>0.21391840000000001</v>
      </c>
      <c r="W2369">
        <v>3.9462160000000003E-2</v>
      </c>
      <c r="X2369">
        <v>0.97605410000000004</v>
      </c>
      <c r="Y2369">
        <v>0.42355530000000002</v>
      </c>
      <c r="Z2369">
        <v>2.9872949999999999E-2</v>
      </c>
      <c r="AA2369">
        <v>0.9053776</v>
      </c>
      <c r="AB2369">
        <v>10</v>
      </c>
      <c r="AC2369">
        <v>0.51029999999999998</v>
      </c>
      <c r="AD2369">
        <v>-1.108595422032</v>
      </c>
      <c r="AE2369">
        <v>-29.594000000000001</v>
      </c>
      <c r="AF2369">
        <v>12.546287231720401</v>
      </c>
      <c r="AG2369">
        <v>-1.108595422032</v>
      </c>
      <c r="AH2369">
        <v>26.761971409704099</v>
      </c>
      <c r="AI2369">
        <v>92.147992597707798</v>
      </c>
      <c r="AJ2369">
        <v>64.882333707015704</v>
      </c>
      <c r="AK2369">
        <v>29.577718317077899</v>
      </c>
      <c r="AL2369">
        <v>87.738397481203194</v>
      </c>
      <c r="AM2369">
        <v>77.638138588957901</v>
      </c>
      <c r="AN2369">
        <v>0.99999997502861704</v>
      </c>
    </row>
    <row r="2370" spans="1:40" x14ac:dyDescent="0.25">
      <c r="A2370" t="str">
        <f>"20190312150708361"</f>
        <v>20190312150708361</v>
      </c>
      <c r="B2370" t="str">
        <f>"1552374428352569"</f>
        <v>1552374428352569</v>
      </c>
      <c r="C2370" t="s">
        <v>40</v>
      </c>
      <c r="D2370">
        <v>4.26762</v>
      </c>
      <c r="E2370">
        <v>0.58545400000000003</v>
      </c>
      <c r="F2370" t="s">
        <v>42</v>
      </c>
      <c r="G2370">
        <v>-190.75899999999999</v>
      </c>
      <c r="H2370" s="1">
        <v>-3.0980549999999999E-6</v>
      </c>
      <c r="I2370">
        <v>326.33999999999997</v>
      </c>
      <c r="J2370">
        <v>-191.15950000000001</v>
      </c>
      <c r="K2370">
        <v>1.108595</v>
      </c>
      <c r="L2370">
        <v>354.35700000000003</v>
      </c>
      <c r="M2370">
        <v>0.4365463</v>
      </c>
      <c r="N2370">
        <v>0</v>
      </c>
      <c r="O2370">
        <v>-0.89961209999999903</v>
      </c>
      <c r="P2370">
        <v>0.2342515</v>
      </c>
      <c r="Q2370">
        <v>2.9590080000000001E-2</v>
      </c>
      <c r="R2370">
        <v>-0.97172610000000004</v>
      </c>
      <c r="S2370">
        <v>4.6417239999999999E-2</v>
      </c>
      <c r="T2370">
        <v>-0.1217196</v>
      </c>
      <c r="U2370">
        <v>-3.0822449999999999</v>
      </c>
      <c r="V2370">
        <v>0.213667</v>
      </c>
      <c r="W2370">
        <v>3.9549349999999997E-2</v>
      </c>
      <c r="X2370">
        <v>0.97610560000000002</v>
      </c>
      <c r="Y2370">
        <v>0.42296869999999998</v>
      </c>
      <c r="Z2370">
        <v>3.1676000000000003E-2</v>
      </c>
      <c r="AA2370">
        <v>0.90559049999999996</v>
      </c>
      <c r="AB2370">
        <v>10</v>
      </c>
      <c r="AC2370">
        <v>0.40049999999999297</v>
      </c>
      <c r="AD2370">
        <v>-1.1085980980550001</v>
      </c>
      <c r="AE2370">
        <v>-28.016999999999999</v>
      </c>
      <c r="AF2370">
        <v>11.8526136776219</v>
      </c>
      <c r="AG2370">
        <v>-1.1085980980550001</v>
      </c>
      <c r="AH2370">
        <v>25.3411921229395</v>
      </c>
      <c r="AI2370">
        <v>92.269252886303406</v>
      </c>
      <c r="AJ2370">
        <v>64.933509710433</v>
      </c>
      <c r="AK2370">
        <v>27.998025983017001</v>
      </c>
      <c r="AL2370">
        <v>87.733397880080801</v>
      </c>
      <c r="AM2370">
        <v>77.652852008122906</v>
      </c>
      <c r="AN2370">
        <v>0.99999994016288896</v>
      </c>
    </row>
    <row r="2371" spans="1:40" x14ac:dyDescent="0.25">
      <c r="A2371" t="str">
        <f>"20190312150708375"</f>
        <v>20190312150708375</v>
      </c>
      <c r="B2371" t="str">
        <f>"1552374428362329"</f>
        <v>1552374428362329</v>
      </c>
      <c r="C2371" t="s">
        <v>40</v>
      </c>
      <c r="D2371">
        <v>4.2311430000000003</v>
      </c>
      <c r="E2371">
        <v>0.585146099999999</v>
      </c>
      <c r="F2371" t="s">
        <v>42</v>
      </c>
      <c r="G2371">
        <v>-190.82910000000001</v>
      </c>
      <c r="H2371" s="1">
        <v>-3.227567E-6</v>
      </c>
      <c r="I2371">
        <v>326.59840000000003</v>
      </c>
      <c r="J2371">
        <v>-191.13720000000001</v>
      </c>
      <c r="K2371">
        <v>1.108589</v>
      </c>
      <c r="L2371">
        <v>354.30070000000001</v>
      </c>
      <c r="M2371">
        <v>0.43304300000000001</v>
      </c>
      <c r="N2371">
        <v>0</v>
      </c>
      <c r="O2371">
        <v>-0.90130379999999999</v>
      </c>
      <c r="P2371">
        <v>0.23072090000000001</v>
      </c>
      <c r="Q2371">
        <v>2.9836290000000001E-2</v>
      </c>
      <c r="R2371">
        <v>-0.9725625</v>
      </c>
      <c r="S2371">
        <v>3.668213E-2</v>
      </c>
      <c r="T2371">
        <v>-0.1230948</v>
      </c>
      <c r="U2371">
        <v>-3.082214</v>
      </c>
      <c r="V2371">
        <v>0.2134123</v>
      </c>
      <c r="W2371">
        <v>3.978806E-2</v>
      </c>
      <c r="X2371">
        <v>0.97615160000000001</v>
      </c>
      <c r="Y2371">
        <v>0.42230279999999998</v>
      </c>
      <c r="Z2371">
        <v>3.2140170000000003E-2</v>
      </c>
      <c r="AA2371">
        <v>0.90588489999999999</v>
      </c>
      <c r="AB2371">
        <v>10</v>
      </c>
      <c r="AC2371">
        <v>0.30809999999999599</v>
      </c>
      <c r="AD2371">
        <v>-1.1085922275669999</v>
      </c>
      <c r="AE2371">
        <v>-27.702299999999902</v>
      </c>
      <c r="AF2371">
        <v>11.700593631208701</v>
      </c>
      <c r="AG2371">
        <v>-1.1085922275669999</v>
      </c>
      <c r="AH2371">
        <v>25.0630484424663</v>
      </c>
      <c r="AI2371">
        <v>92.295166764320598</v>
      </c>
      <c r="AJ2371">
        <v>64.974651325741803</v>
      </c>
      <c r="AK2371">
        <v>27.681930302620099</v>
      </c>
      <c r="AL2371">
        <v>87.719709990310093</v>
      </c>
      <c r="AM2371">
        <v>77.667683029161296</v>
      </c>
      <c r="AN2371">
        <v>0.99999992284620298</v>
      </c>
    </row>
    <row r="2372" spans="1:40" x14ac:dyDescent="0.25">
      <c r="A2372" t="str">
        <f>"20190312150708394"</f>
        <v>20190312150708394</v>
      </c>
      <c r="B2372" t="str">
        <f>"1552374428382825"</f>
        <v>1552374428382825</v>
      </c>
      <c r="C2372" t="s">
        <v>40</v>
      </c>
      <c r="D2372">
        <v>4.1795109999999998</v>
      </c>
      <c r="E2372">
        <v>0.5841655</v>
      </c>
      <c r="F2372" t="s">
        <v>42</v>
      </c>
      <c r="G2372">
        <v>-190.893</v>
      </c>
      <c r="H2372" s="1">
        <v>-3.5616010000000002E-6</v>
      </c>
      <c r="I2372">
        <v>327.3374</v>
      </c>
      <c r="J2372">
        <v>-191.1037</v>
      </c>
      <c r="K2372">
        <v>1.1085799999999999</v>
      </c>
      <c r="L2372">
        <v>354.2149</v>
      </c>
      <c r="M2372">
        <v>0.42770639999999999</v>
      </c>
      <c r="N2372">
        <v>0</v>
      </c>
      <c r="O2372">
        <v>-0.9038486</v>
      </c>
      <c r="P2372">
        <v>0.22518389999999999</v>
      </c>
      <c r="Q2372">
        <v>3.0045450000000001E-2</v>
      </c>
      <c r="R2372">
        <v>-0.97385330000000003</v>
      </c>
      <c r="S2372">
        <v>2.7908329999999999E-2</v>
      </c>
      <c r="T2372">
        <v>-0.12671009999999999</v>
      </c>
      <c r="U2372">
        <v>-3.0818479999999999</v>
      </c>
      <c r="V2372">
        <v>0.21319299999999999</v>
      </c>
      <c r="W2372">
        <v>3.9984829999999999E-2</v>
      </c>
      <c r="X2372">
        <v>0.97619160000000005</v>
      </c>
      <c r="Y2372">
        <v>0.41951840000000001</v>
      </c>
      <c r="Z2372">
        <v>3.3268880000000001E-2</v>
      </c>
      <c r="AA2372">
        <v>0.90713699999999997</v>
      </c>
      <c r="AB2372">
        <v>10</v>
      </c>
      <c r="AC2372">
        <v>0.210700000000002</v>
      </c>
      <c r="AD2372">
        <v>-1.10858356160099</v>
      </c>
      <c r="AE2372">
        <v>-26.877500000000001</v>
      </c>
      <c r="AF2372">
        <v>11.286744195892901</v>
      </c>
      <c r="AG2372">
        <v>-1.10858356160099</v>
      </c>
      <c r="AH2372">
        <v>24.3434210568605</v>
      </c>
      <c r="AI2372">
        <v>92.365811237549593</v>
      </c>
      <c r="AJ2372">
        <v>65.125363760757097</v>
      </c>
      <c r="AK2372">
        <v>26.855571131669699</v>
      </c>
      <c r="AL2372">
        <v>87.708427190695602</v>
      </c>
      <c r="AM2372">
        <v>77.6804577686638</v>
      </c>
      <c r="AN2372">
        <v>1.00000004089484</v>
      </c>
    </row>
    <row r="2373" spans="1:40" x14ac:dyDescent="0.25">
      <c r="A2373" t="str">
        <f>"20190312150708408"</f>
        <v>20190312150708408</v>
      </c>
      <c r="B2373" t="str">
        <f>"1552374428402345"</f>
        <v>1552374428402345</v>
      </c>
      <c r="C2373" t="s">
        <v>40</v>
      </c>
      <c r="D2373">
        <v>4.1791320000000001</v>
      </c>
      <c r="E2373">
        <v>0.58361770000000002</v>
      </c>
      <c r="F2373" t="s">
        <v>42</v>
      </c>
      <c r="G2373">
        <v>-190.9563</v>
      </c>
      <c r="H2373" s="1">
        <v>-4.2738840000000003E-6</v>
      </c>
      <c r="I2373">
        <v>329.04739999999998</v>
      </c>
      <c r="J2373">
        <v>-191.0804</v>
      </c>
      <c r="K2373">
        <v>1.108576</v>
      </c>
      <c r="L2373">
        <v>354.1542</v>
      </c>
      <c r="M2373">
        <v>0.4239272</v>
      </c>
      <c r="N2373">
        <v>0</v>
      </c>
      <c r="O2373">
        <v>-0.90562730000000002</v>
      </c>
      <c r="P2373">
        <v>0.22128980000000001</v>
      </c>
      <c r="Q2373">
        <v>3.009206E-2</v>
      </c>
      <c r="R2373">
        <v>-0.97474380000000005</v>
      </c>
      <c r="S2373">
        <v>1.8051149999999998E-2</v>
      </c>
      <c r="T2373">
        <v>-0.1356946</v>
      </c>
      <c r="U2373">
        <v>-3.080597</v>
      </c>
      <c r="V2373">
        <v>0.21301690000000001</v>
      </c>
      <c r="W2373">
        <v>4.0023419999999997E-2</v>
      </c>
      <c r="X2373">
        <v>0.9762284</v>
      </c>
      <c r="Y2373">
        <v>0.41862389999999999</v>
      </c>
      <c r="Z2373">
        <v>3.5763429999999999E-2</v>
      </c>
      <c r="AA2373">
        <v>0.90745529999999996</v>
      </c>
      <c r="AB2373">
        <v>10</v>
      </c>
      <c r="AC2373">
        <v>0.124099999999998</v>
      </c>
      <c r="AD2373">
        <v>-1.108580273884</v>
      </c>
      <c r="AE2373">
        <v>-25.1068</v>
      </c>
      <c r="AF2373">
        <v>10.511232439176201</v>
      </c>
      <c r="AG2373">
        <v>-1.108580273884</v>
      </c>
      <c r="AH2373">
        <v>22.747089228779899</v>
      </c>
      <c r="AI2373">
        <v>92.533120711612497</v>
      </c>
      <c r="AJ2373">
        <v>65.198751264392101</v>
      </c>
      <c r="AK2373">
        <v>25.082763523904401</v>
      </c>
      <c r="AL2373">
        <v>87.706214238787595</v>
      </c>
      <c r="AM2373">
        <v>77.690773356106106</v>
      </c>
      <c r="AN2373">
        <v>0.99999998140033297</v>
      </c>
    </row>
    <row r="2374" spans="1:40" x14ac:dyDescent="0.25">
      <c r="A2374" t="str">
        <f>"20190312150708429"</f>
        <v>20190312150708429</v>
      </c>
      <c r="B2374" t="str">
        <f>"1552374428422841"</f>
        <v>1552374428422841</v>
      </c>
      <c r="C2374" t="s">
        <v>40</v>
      </c>
      <c r="D2374">
        <v>4.1632819999999997</v>
      </c>
      <c r="E2374">
        <v>0.58329339999999996</v>
      </c>
      <c r="F2374" t="s">
        <v>42</v>
      </c>
      <c r="G2374">
        <v>-191.00200000000001</v>
      </c>
      <c r="H2374" s="1">
        <v>-3.464815E-7</v>
      </c>
      <c r="I2374">
        <v>329.77530000000002</v>
      </c>
      <c r="J2374">
        <v>-191.04519999999999</v>
      </c>
      <c r="K2374">
        <v>1.1085719999999999</v>
      </c>
      <c r="L2374">
        <v>354.06119999999999</v>
      </c>
      <c r="M2374">
        <v>0.41814050000000003</v>
      </c>
      <c r="N2374">
        <v>0</v>
      </c>
      <c r="O2374">
        <v>-0.9083137</v>
      </c>
      <c r="P2374">
        <v>0.21508840000000001</v>
      </c>
      <c r="Q2374">
        <v>2.988296E-2</v>
      </c>
      <c r="R2374">
        <v>-0.97613749999999999</v>
      </c>
      <c r="S2374">
        <v>9.9029540000000003E-3</v>
      </c>
      <c r="T2374">
        <v>-0.14004759999999999</v>
      </c>
      <c r="U2374">
        <v>-3.0798030000000001</v>
      </c>
      <c r="V2374">
        <v>0.21299689999999999</v>
      </c>
      <c r="W2374">
        <v>3.980235E-2</v>
      </c>
      <c r="X2374">
        <v>0.97624180000000005</v>
      </c>
      <c r="Y2374">
        <v>0.41522569999999998</v>
      </c>
      <c r="Z2374">
        <v>3.7135250000000002E-2</v>
      </c>
      <c r="AA2374">
        <v>0.9089602</v>
      </c>
      <c r="AB2374">
        <v>10</v>
      </c>
      <c r="AC2374">
        <v>4.3199999999984501E-2</v>
      </c>
      <c r="AD2374">
        <v>-1.1085723464814901</v>
      </c>
      <c r="AE2374">
        <v>-24.285899999999899</v>
      </c>
      <c r="AF2374">
        <v>10.0952755070384</v>
      </c>
      <c r="AG2374">
        <v>-1.1085723464814901</v>
      </c>
      <c r="AH2374">
        <v>22.0327486435149</v>
      </c>
      <c r="AI2374">
        <v>92.618985703856595</v>
      </c>
      <c r="AJ2374">
        <v>65.383027989459606</v>
      </c>
      <c r="AK2374">
        <v>24.2607817886955</v>
      </c>
      <c r="AL2374">
        <v>87.718890713250701</v>
      </c>
      <c r="AM2374">
        <v>77.692057623992795</v>
      </c>
      <c r="AN2374">
        <v>0.999999979271186</v>
      </c>
    </row>
    <row r="2375" spans="1:40" x14ac:dyDescent="0.25">
      <c r="A2375" t="str">
        <f>"20190312150708452"</f>
        <v>20190312150708452</v>
      </c>
      <c r="B2375" t="str">
        <f>"1552374428442362"</f>
        <v>1552374428442362</v>
      </c>
      <c r="C2375" t="s">
        <v>40</v>
      </c>
      <c r="D2375">
        <v>4.1550570000000002</v>
      </c>
      <c r="E2375">
        <v>0.58267209999999903</v>
      </c>
      <c r="F2375" t="s">
        <v>42</v>
      </c>
      <c r="G2375">
        <v>-191.09989999999999</v>
      </c>
      <c r="H2375" s="1">
        <v>-3.9100180000000001E-7</v>
      </c>
      <c r="I2375">
        <v>329.81830000000002</v>
      </c>
      <c r="J2375">
        <v>-191.00749999999999</v>
      </c>
      <c r="K2375">
        <v>1.108565</v>
      </c>
      <c r="L2375">
        <v>353.95960000000002</v>
      </c>
      <c r="M2375">
        <v>0.41180499999999998</v>
      </c>
      <c r="N2375">
        <v>0</v>
      </c>
      <c r="O2375">
        <v>-0.9112036</v>
      </c>
      <c r="P2375">
        <v>0.20863290000000001</v>
      </c>
      <c r="Q2375">
        <v>2.9332649999999998E-2</v>
      </c>
      <c r="R2375">
        <v>-0.97755409999999998</v>
      </c>
      <c r="S2375">
        <v>-6.9580079999999999E-3</v>
      </c>
      <c r="T2375">
        <v>-0.14080719999999999</v>
      </c>
      <c r="U2375">
        <v>-3.0792540000000002</v>
      </c>
      <c r="V2375">
        <v>0.2126547</v>
      </c>
      <c r="W2375">
        <v>3.924155E-2</v>
      </c>
      <c r="X2375">
        <v>0.97633910000000002</v>
      </c>
      <c r="Y2375">
        <v>0.41386689999999998</v>
      </c>
      <c r="Z2375">
        <v>3.7552589999999997E-2</v>
      </c>
      <c r="AA2375">
        <v>0.90956250000000005</v>
      </c>
      <c r="AB2375">
        <v>10</v>
      </c>
      <c r="AC2375">
        <v>-9.2399999999997803E-2</v>
      </c>
      <c r="AD2375">
        <v>-1.1085653910018001</v>
      </c>
      <c r="AE2375">
        <v>-24.141300000000001</v>
      </c>
      <c r="AF2375">
        <v>10.0052310588002</v>
      </c>
      <c r="AG2375">
        <v>-1.1085653910018001</v>
      </c>
      <c r="AH2375">
        <v>21.9147478323925</v>
      </c>
      <c r="AI2375">
        <v>92.634684677470801</v>
      </c>
      <c r="AJ2375">
        <v>65.460817045800695</v>
      </c>
      <c r="AK2375">
        <v>24.116171717821601</v>
      </c>
      <c r="AL2375">
        <v>87.751047311727007</v>
      </c>
      <c r="AM2375">
        <v>77.712417658796397</v>
      </c>
      <c r="AN2375">
        <v>0.99999997943365104</v>
      </c>
    </row>
    <row r="2376" spans="1:40" x14ac:dyDescent="0.25">
      <c r="A2376" t="str">
        <f>"20190312150708473"</f>
        <v>20190312150708473</v>
      </c>
      <c r="B2376" t="str">
        <f>"1552374428462856"</f>
        <v>1552374428462856</v>
      </c>
      <c r="C2376" t="s">
        <v>40</v>
      </c>
      <c r="D2376">
        <v>4.1509179999999999</v>
      </c>
      <c r="E2376">
        <v>0.58206099999999905</v>
      </c>
      <c r="F2376" t="s">
        <v>42</v>
      </c>
      <c r="G2376">
        <v>-191.1799</v>
      </c>
      <c r="H2376" s="1">
        <v>-6.0708230000000004E-7</v>
      </c>
      <c r="I2376">
        <v>330.27249999999998</v>
      </c>
      <c r="J2376">
        <v>-190.9718</v>
      </c>
      <c r="K2376">
        <v>1.108557</v>
      </c>
      <c r="L2376">
        <v>353.8614</v>
      </c>
      <c r="M2376">
        <v>0.40568409999999999</v>
      </c>
      <c r="N2376">
        <v>0</v>
      </c>
      <c r="O2376">
        <v>-0.91394529999999996</v>
      </c>
      <c r="P2376">
        <v>0.2026799</v>
      </c>
      <c r="Q2376">
        <v>2.9335440000000001E-2</v>
      </c>
      <c r="R2376">
        <v>-0.97880590000000001</v>
      </c>
      <c r="S2376">
        <v>-2.23999E-2</v>
      </c>
      <c r="T2376">
        <v>-0.1440517</v>
      </c>
      <c r="U2376">
        <v>-3.0780029999999998</v>
      </c>
      <c r="V2376">
        <v>0.21204819999999999</v>
      </c>
      <c r="W2376">
        <v>3.9238219999999997E-2</v>
      </c>
      <c r="X2376">
        <v>0.97647110000000004</v>
      </c>
      <c r="Y2376">
        <v>0.41232350000000001</v>
      </c>
      <c r="Z2376">
        <v>3.8637709999999999E-2</v>
      </c>
      <c r="AA2376">
        <v>0.91021779999999997</v>
      </c>
      <c r="AB2376">
        <v>10</v>
      </c>
      <c r="AC2376">
        <v>-0.20810000000000101</v>
      </c>
      <c r="AD2376">
        <v>-1.1085576070823</v>
      </c>
      <c r="AE2376">
        <v>-23.588899999999999</v>
      </c>
      <c r="AF2376">
        <v>9.7389338524835392</v>
      </c>
      <c r="AG2376">
        <v>-1.1085576070823</v>
      </c>
      <c r="AH2376">
        <v>21.4285555721228</v>
      </c>
      <c r="AI2376">
        <v>92.696457190130502</v>
      </c>
      <c r="AJ2376">
        <v>65.5589674323586</v>
      </c>
      <c r="AK2376">
        <v>23.563928502243101</v>
      </c>
      <c r="AL2376">
        <v>87.751238171951996</v>
      </c>
      <c r="AM2376">
        <v>77.748008458648599</v>
      </c>
      <c r="AN2376">
        <v>0.99999994308360696</v>
      </c>
    </row>
    <row r="2377" spans="1:40" x14ac:dyDescent="0.25">
      <c r="A2377" t="str">
        <f>"20190312150708495"</f>
        <v>20190312150708495</v>
      </c>
      <c r="B2377" t="str">
        <f>"1552374428492137"</f>
        <v>1552374428492137</v>
      </c>
      <c r="C2377" t="s">
        <v>40</v>
      </c>
      <c r="D2377">
        <v>4.2004609999999998</v>
      </c>
      <c r="E2377">
        <v>0.58075319999999997</v>
      </c>
      <c r="F2377" t="s">
        <v>42</v>
      </c>
      <c r="G2377">
        <v>-191.24860000000001</v>
      </c>
      <c r="H2377" s="1">
        <v>-7.4001169999999999E-7</v>
      </c>
      <c r="I2377">
        <v>330.53969999999998</v>
      </c>
      <c r="J2377">
        <v>-190.93770000000001</v>
      </c>
      <c r="K2377">
        <v>1.1085430000000001</v>
      </c>
      <c r="L2377">
        <v>353.7654</v>
      </c>
      <c r="M2377">
        <v>0.39969549999999998</v>
      </c>
      <c r="N2377">
        <v>0</v>
      </c>
      <c r="O2377">
        <v>-0.91658010000000001</v>
      </c>
      <c r="P2377">
        <v>0.19708349999999999</v>
      </c>
      <c r="Q2377">
        <v>2.9509460000000001E-2</v>
      </c>
      <c r="R2377">
        <v>-0.9799428</v>
      </c>
      <c r="S2377">
        <v>-3.6514280000000003E-2</v>
      </c>
      <c r="T2377">
        <v>-0.146254</v>
      </c>
      <c r="U2377">
        <v>-3.0768740000000001</v>
      </c>
      <c r="V2377">
        <v>0.2112378</v>
      </c>
      <c r="W2377">
        <v>3.940784E-2</v>
      </c>
      <c r="X2377">
        <v>0.97663999999999995</v>
      </c>
      <c r="Y2377">
        <v>0.41053869999999998</v>
      </c>
      <c r="Z2377">
        <v>3.9445599999999997E-2</v>
      </c>
      <c r="AA2377">
        <v>0.91098959999999995</v>
      </c>
      <c r="AB2377">
        <v>10</v>
      </c>
      <c r="AC2377">
        <v>-0.31090000000000301</v>
      </c>
      <c r="AD2377">
        <v>-1.1085437400117</v>
      </c>
      <c r="AE2377">
        <v>-23.2257</v>
      </c>
      <c r="AF2377">
        <v>9.5470229160780899</v>
      </c>
      <c r="AG2377">
        <v>-1.1085437400117</v>
      </c>
      <c r="AH2377">
        <v>21.117168032895801</v>
      </c>
      <c r="AI2377">
        <v>92.738576641107997</v>
      </c>
      <c r="AJ2377">
        <v>65.672384023549</v>
      </c>
      <c r="AK2377">
        <v>23.201493519021501</v>
      </c>
      <c r="AL2377">
        <v>87.741512352699402</v>
      </c>
      <c r="AM2377">
        <v>77.795473900200605</v>
      </c>
      <c r="AN2377">
        <v>1.00000003780115</v>
      </c>
    </row>
    <row r="2378" spans="1:40" x14ac:dyDescent="0.25">
      <c r="A2378" t="str">
        <f>"20190312150708508"</f>
        <v>20190312150708508</v>
      </c>
      <c r="B2378" t="str">
        <f>"1552374428502873"</f>
        <v>1552374428502873</v>
      </c>
      <c r="C2378" t="s">
        <v>40</v>
      </c>
      <c r="D2378">
        <v>4.2055850000000001</v>
      </c>
      <c r="E2378">
        <v>0.58032019999999995</v>
      </c>
      <c r="F2378" t="s">
        <v>42</v>
      </c>
      <c r="G2378">
        <v>-191.25819999999999</v>
      </c>
      <c r="H2378" s="1">
        <v>-1.073355E-6</v>
      </c>
      <c r="I2378">
        <v>331.3107</v>
      </c>
      <c r="J2378">
        <v>-190.91650000000001</v>
      </c>
      <c r="K2378">
        <v>1.1085370000000001</v>
      </c>
      <c r="L2378">
        <v>353.70499999999998</v>
      </c>
      <c r="M2378">
        <v>0.39592929999999998</v>
      </c>
      <c r="N2378">
        <v>0</v>
      </c>
      <c r="O2378">
        <v>-0.91821339999999996</v>
      </c>
      <c r="P2378">
        <v>0.1932924</v>
      </c>
      <c r="Q2378">
        <v>2.955727E-2</v>
      </c>
      <c r="R2378">
        <v>-0.98069629999999997</v>
      </c>
      <c r="S2378">
        <v>-4.3899540000000001E-2</v>
      </c>
      <c r="T2378">
        <v>-0.1517956</v>
      </c>
      <c r="U2378">
        <v>-3.0747680000000002</v>
      </c>
      <c r="V2378">
        <v>0.2110052</v>
      </c>
      <c r="W2378">
        <v>3.9451680000000003E-2</v>
      </c>
      <c r="X2378">
        <v>0.97668840000000001</v>
      </c>
      <c r="Y2378">
        <v>0.40898770000000001</v>
      </c>
      <c r="Z2378">
        <v>4.1101209999999999E-2</v>
      </c>
      <c r="AA2378">
        <v>0.91161380000000003</v>
      </c>
      <c r="AB2378">
        <v>10</v>
      </c>
      <c r="AC2378">
        <v>-0.34169999999997402</v>
      </c>
      <c r="AD2378">
        <v>-1.1085380733550001</v>
      </c>
      <c r="AE2378">
        <v>-22.394299999999902</v>
      </c>
      <c r="AF2378">
        <v>9.1584468438981403</v>
      </c>
      <c r="AG2378">
        <v>-1.1085380733550001</v>
      </c>
      <c r="AH2378">
        <v>20.378802008537601</v>
      </c>
      <c r="AI2378">
        <v>92.8404805791683</v>
      </c>
      <c r="AJ2378">
        <v>65.800350681149993</v>
      </c>
      <c r="AK2378">
        <v>22.3696574975068</v>
      </c>
      <c r="AL2378">
        <v>87.738998307283396</v>
      </c>
      <c r="AM2378">
        <v>77.809096546481996</v>
      </c>
      <c r="AN2378">
        <v>0.99999993008820798</v>
      </c>
    </row>
    <row r="2379" spans="1:40" x14ac:dyDescent="0.25">
      <c r="A2379" t="str">
        <f>"20190312150708528"</f>
        <v>20190312150708528</v>
      </c>
      <c r="B2379" t="str">
        <f>"1552374428522393"</f>
        <v>1552374428522393</v>
      </c>
      <c r="C2379" t="s">
        <v>40</v>
      </c>
      <c r="D2379">
        <v>4.2182180000000002</v>
      </c>
      <c r="E2379">
        <v>0.57944099999999998</v>
      </c>
      <c r="F2379" t="s">
        <v>42</v>
      </c>
      <c r="G2379">
        <v>-191.29740000000001</v>
      </c>
      <c r="H2379" s="1">
        <v>-1.111368E-6</v>
      </c>
      <c r="I2379">
        <v>331.37509999999997</v>
      </c>
      <c r="J2379">
        <v>-190.8862</v>
      </c>
      <c r="K2379">
        <v>1.1085290000000001</v>
      </c>
      <c r="L2379">
        <v>353.61700000000002</v>
      </c>
      <c r="M2379">
        <v>0.39043539999999999</v>
      </c>
      <c r="N2379">
        <v>0</v>
      </c>
      <c r="O2379">
        <v>-0.92056309999999997</v>
      </c>
      <c r="P2379">
        <v>0.18838559999999999</v>
      </c>
      <c r="Q2379">
        <v>2.9133630000000001E-2</v>
      </c>
      <c r="R2379">
        <v>-0.98166330000000002</v>
      </c>
      <c r="S2379">
        <v>-5.2429199999999898E-2</v>
      </c>
      <c r="T2379">
        <v>-0.15260470000000001</v>
      </c>
      <c r="U2379">
        <v>-3.0740050000000001</v>
      </c>
      <c r="V2379">
        <v>0.2100564</v>
      </c>
      <c r="W2379">
        <v>3.9026190000000002E-2</v>
      </c>
      <c r="X2379">
        <v>0.9769101</v>
      </c>
      <c r="Y2379">
        <v>0.40606490000000001</v>
      </c>
      <c r="Z2379">
        <v>4.1535229999999999E-2</v>
      </c>
      <c r="AA2379">
        <v>0.91289989999999999</v>
      </c>
      <c r="AB2379">
        <v>10</v>
      </c>
      <c r="AC2379">
        <v>-0.411200000000007</v>
      </c>
      <c r="AD2379">
        <v>-1.1085301113679999</v>
      </c>
      <c r="AE2379">
        <v>-22.241899999999902</v>
      </c>
      <c r="AF2379">
        <v>9.0406722541779505</v>
      </c>
      <c r="AG2379">
        <v>-1.1085301113679999</v>
      </c>
      <c r="AH2379">
        <v>20.265460571724802</v>
      </c>
      <c r="AI2379">
        <v>92.859830197669396</v>
      </c>
      <c r="AJ2379">
        <v>65.957759586388406</v>
      </c>
      <c r="AK2379">
        <v>22.218269194503101</v>
      </c>
      <c r="AL2379">
        <v>87.763396123939501</v>
      </c>
      <c r="AM2379">
        <v>77.864957821892702</v>
      </c>
      <c r="AN2379">
        <v>1.0000000390844399</v>
      </c>
    </row>
    <row r="2380" spans="1:40" x14ac:dyDescent="0.25">
      <c r="A2380" t="str">
        <f>"20190312150708551"</f>
        <v>20190312150708551</v>
      </c>
      <c r="B2380" t="str">
        <f>"1552374428542889"</f>
        <v>1552374428542889</v>
      </c>
      <c r="C2380" t="s">
        <v>40</v>
      </c>
      <c r="D2380">
        <v>4.2090239999999897</v>
      </c>
      <c r="E2380">
        <v>0.57870149999999998</v>
      </c>
      <c r="F2380" t="s">
        <v>42</v>
      </c>
      <c r="G2380">
        <v>-191.32550000000001</v>
      </c>
      <c r="H2380" s="1">
        <v>-1.153375E-6</v>
      </c>
      <c r="I2380">
        <v>331.4556</v>
      </c>
      <c r="J2380">
        <v>-190.84979999999999</v>
      </c>
      <c r="K2380">
        <v>1.1085160000000001</v>
      </c>
      <c r="L2380">
        <v>353.50880000000001</v>
      </c>
      <c r="M2380">
        <v>0.38367699999999999</v>
      </c>
      <c r="N2380">
        <v>0</v>
      </c>
      <c r="O2380">
        <v>-0.92340029999999995</v>
      </c>
      <c r="P2380">
        <v>0.1825891</v>
      </c>
      <c r="Q2380">
        <v>2.8446559999999999E-2</v>
      </c>
      <c r="R2380">
        <v>-0.98277780000000003</v>
      </c>
      <c r="S2380">
        <v>-6.089783E-2</v>
      </c>
      <c r="T2380">
        <v>-0.1536786</v>
      </c>
      <c r="U2380">
        <v>-3.0722960000000001</v>
      </c>
      <c r="V2380">
        <v>0.20866489999999999</v>
      </c>
      <c r="W2380">
        <v>3.8333859999999997E-2</v>
      </c>
      <c r="X2380">
        <v>0.97723559999999998</v>
      </c>
      <c r="Y2380">
        <v>0.40188620000000003</v>
      </c>
      <c r="Z2380">
        <v>4.2106890000000001E-2</v>
      </c>
      <c r="AA2380">
        <v>0.91472100000000001</v>
      </c>
      <c r="AB2380">
        <v>10</v>
      </c>
      <c r="AC2380">
        <v>-0.475700000000017</v>
      </c>
      <c r="AD2380">
        <v>-1.108517153375</v>
      </c>
      <c r="AE2380">
        <v>-22.0532</v>
      </c>
      <c r="AF2380">
        <v>8.8786955952167599</v>
      </c>
      <c r="AG2380">
        <v>-1.108517153375</v>
      </c>
      <c r="AH2380">
        <v>20.1318241439381</v>
      </c>
      <c r="AI2380">
        <v>92.884169549662701</v>
      </c>
      <c r="AJ2380">
        <v>66.201183705955302</v>
      </c>
      <c r="AK2380">
        <v>22.030669284302199</v>
      </c>
      <c r="AL2380">
        <v>87.803093269464895</v>
      </c>
      <c r="AM2380">
        <v>77.946884124120203</v>
      </c>
      <c r="AN2380">
        <v>0.99999997161093401</v>
      </c>
    </row>
    <row r="2381" spans="1:40" x14ac:dyDescent="0.25">
      <c r="A2381" t="str">
        <f>"20190312150708564"</f>
        <v>20190312150708564</v>
      </c>
      <c r="B2381" t="str">
        <f>"1552374428552649"</f>
        <v>1552374428552649</v>
      </c>
      <c r="C2381" t="s">
        <v>40</v>
      </c>
      <c r="D2381">
        <v>4.2024189999999999</v>
      </c>
      <c r="E2381">
        <v>0.57830530000000002</v>
      </c>
      <c r="F2381" t="s">
        <v>42</v>
      </c>
      <c r="G2381">
        <v>-191.36349999999999</v>
      </c>
      <c r="H2381" s="1">
        <v>-1.382174E-6</v>
      </c>
      <c r="I2381">
        <v>331.96530000000001</v>
      </c>
      <c r="J2381">
        <v>-190.83090000000001</v>
      </c>
      <c r="K2381">
        <v>1.1085100000000001</v>
      </c>
      <c r="L2381">
        <v>353.45179999999999</v>
      </c>
      <c r="M2381">
        <v>0.38011030000000001</v>
      </c>
      <c r="N2381">
        <v>0</v>
      </c>
      <c r="O2381">
        <v>-0.92487450000000004</v>
      </c>
      <c r="P2381">
        <v>0.17965300000000001</v>
      </c>
      <c r="Q2381">
        <v>2.8429090000000001E-2</v>
      </c>
      <c r="R2381">
        <v>-0.98331919999999995</v>
      </c>
      <c r="S2381">
        <v>-7.3226929999999996E-2</v>
      </c>
      <c r="T2381">
        <v>-0.15800429999999999</v>
      </c>
      <c r="U2381">
        <v>-3.0707399999999998</v>
      </c>
      <c r="V2381">
        <v>0.2078121</v>
      </c>
      <c r="W2381">
        <v>3.8310990000000003E-2</v>
      </c>
      <c r="X2381">
        <v>0.97741820000000001</v>
      </c>
      <c r="Y2381">
        <v>0.40202969999999999</v>
      </c>
      <c r="Z2381">
        <v>4.3419739999999998E-2</v>
      </c>
      <c r="AA2381">
        <v>0.91459659999999998</v>
      </c>
      <c r="AB2381">
        <v>10</v>
      </c>
      <c r="AC2381">
        <v>-0.53259999999997298</v>
      </c>
      <c r="AD2381">
        <v>-1.108511382174</v>
      </c>
      <c r="AE2381">
        <v>-21.4864999999999</v>
      </c>
      <c r="AF2381">
        <v>8.6373866519137703</v>
      </c>
      <c r="AG2381">
        <v>-1.108511382174</v>
      </c>
      <c r="AH2381">
        <v>19.618895815523601</v>
      </c>
      <c r="AI2381">
        <v>92.960266045565305</v>
      </c>
      <c r="AJ2381">
        <v>66.238095577263394</v>
      </c>
      <c r="AK2381">
        <v>21.4647226555443</v>
      </c>
      <c r="AL2381">
        <v>87.804404582110905</v>
      </c>
      <c r="AM2381">
        <v>77.996890198902605</v>
      </c>
      <c r="AN2381">
        <v>0.99999996927621404</v>
      </c>
    </row>
    <row r="2382" spans="1:40" x14ac:dyDescent="0.25">
      <c r="A2382" t="str">
        <f>"20190312150708583"</f>
        <v>20190312150708583</v>
      </c>
      <c r="B2382" t="str">
        <f>"1552374428572674"</f>
        <v>1552374428572674</v>
      </c>
      <c r="C2382" t="s">
        <v>40</v>
      </c>
      <c r="D2382">
        <v>4.24329</v>
      </c>
      <c r="E2382">
        <v>0.577453199999999</v>
      </c>
      <c r="F2382" t="s">
        <v>42</v>
      </c>
      <c r="G2382">
        <v>-191.38390000000001</v>
      </c>
      <c r="H2382" s="1">
        <v>-1.4316979999999999E-6</v>
      </c>
      <c r="I2382">
        <v>332.06810000000002</v>
      </c>
      <c r="J2382">
        <v>-190.80189999999999</v>
      </c>
      <c r="K2382">
        <v>1.108498</v>
      </c>
      <c r="L2382">
        <v>353.36259999999999</v>
      </c>
      <c r="M2382">
        <v>0.3745346</v>
      </c>
      <c r="N2382">
        <v>0</v>
      </c>
      <c r="O2382">
        <v>-0.92714640000000004</v>
      </c>
      <c r="P2382">
        <v>0.1756704</v>
      </c>
      <c r="Q2382">
        <v>2.8175639999999998E-2</v>
      </c>
      <c r="R2382">
        <v>-0.98404599999999998</v>
      </c>
      <c r="S2382">
        <v>-7.939148E-2</v>
      </c>
      <c r="T2382">
        <v>-0.1591467</v>
      </c>
      <c r="U2382">
        <v>-3.0700069999999999</v>
      </c>
      <c r="V2382">
        <v>0.2058855</v>
      </c>
      <c r="W2382">
        <v>3.8047490000000003E-2</v>
      </c>
      <c r="X2382">
        <v>0.97783620000000004</v>
      </c>
      <c r="Y2382">
        <v>0.39835389999999998</v>
      </c>
      <c r="Z2382">
        <v>4.3959739999999997E-2</v>
      </c>
      <c r="AA2382">
        <v>0.91617769999999998</v>
      </c>
      <c r="AB2382">
        <v>10</v>
      </c>
      <c r="AC2382">
        <v>-0.58200000000002095</v>
      </c>
      <c r="AD2382">
        <v>-1.1084994316979999</v>
      </c>
      <c r="AE2382">
        <v>-21.2944999999999</v>
      </c>
      <c r="AF2382">
        <v>8.4926554610602594</v>
      </c>
      <c r="AG2382">
        <v>-1.1084994316979999</v>
      </c>
      <c r="AH2382">
        <v>19.473614488871402</v>
      </c>
      <c r="AI2382">
        <v>92.986821329442606</v>
      </c>
      <c r="AJ2382">
        <v>66.4374595766391</v>
      </c>
      <c r="AK2382">
        <v>21.273824974168001</v>
      </c>
      <c r="AL2382">
        <v>87.819513195332107</v>
      </c>
      <c r="AM2382">
        <v>78.109925396276097</v>
      </c>
      <c r="AN2382">
        <v>1.00000004231799</v>
      </c>
    </row>
    <row r="2383" spans="1:40" x14ac:dyDescent="0.25">
      <c r="A2383" t="str">
        <f>"20190312150708596"</f>
        <v>20190312150708596</v>
      </c>
      <c r="B2383" t="str">
        <f>"1552374428592195"</f>
        <v>1552374428592195</v>
      </c>
      <c r="C2383" t="s">
        <v>40</v>
      </c>
      <c r="D2383">
        <v>4.2576780000000003</v>
      </c>
      <c r="E2383">
        <v>0.57665919999999904</v>
      </c>
      <c r="F2383" t="s">
        <v>42</v>
      </c>
      <c r="G2383">
        <v>-191.38509999999999</v>
      </c>
      <c r="H2383" s="1">
        <v>-1.56057E-6</v>
      </c>
      <c r="I2383">
        <v>332.36779999999999</v>
      </c>
      <c r="J2383">
        <v>-190.78380000000001</v>
      </c>
      <c r="K2383">
        <v>1.1084860000000001</v>
      </c>
      <c r="L2383">
        <v>353.30590000000001</v>
      </c>
      <c r="M2383">
        <v>0.3709807</v>
      </c>
      <c r="N2383">
        <v>0</v>
      </c>
      <c r="O2383">
        <v>-0.92857449999999997</v>
      </c>
      <c r="P2383">
        <v>0.17305400000000001</v>
      </c>
      <c r="Q2383">
        <v>2.801356E-2</v>
      </c>
      <c r="R2383">
        <v>-0.98451409999999995</v>
      </c>
      <c r="S2383">
        <v>-8.5235599999999995E-2</v>
      </c>
      <c r="T2383">
        <v>-0.1620115</v>
      </c>
      <c r="U2383">
        <v>-3.0684809999999998</v>
      </c>
      <c r="V2383">
        <v>0.20474010000000001</v>
      </c>
      <c r="W2383">
        <v>3.7873570000000002E-2</v>
      </c>
      <c r="X2383">
        <v>0.97808340000000005</v>
      </c>
      <c r="Y2383">
        <v>0.3965938</v>
      </c>
      <c r="Z2383">
        <v>4.4902549999999999E-2</v>
      </c>
      <c r="AA2383">
        <v>0.91689540000000003</v>
      </c>
      <c r="AB2383">
        <v>10</v>
      </c>
      <c r="AC2383">
        <v>-0.60129999999997996</v>
      </c>
      <c r="AD2383">
        <v>-1.10848756057</v>
      </c>
      <c r="AE2383">
        <v>-20.938099999999999</v>
      </c>
      <c r="AF2383">
        <v>8.3032408848414097</v>
      </c>
      <c r="AG2383">
        <v>-1.10848756057</v>
      </c>
      <c r="AH2383">
        <v>19.167018012640099</v>
      </c>
      <c r="AI2383">
        <v>93.037697423578607</v>
      </c>
      <c r="AJ2383">
        <v>66.577516002469494</v>
      </c>
      <c r="AK2383">
        <v>20.9176273358263</v>
      </c>
      <c r="AL2383">
        <v>87.829485230246902</v>
      </c>
      <c r="AM2383">
        <v>78.177110335197199</v>
      </c>
      <c r="AN2383">
        <v>1.0000000266040501</v>
      </c>
    </row>
    <row r="2384" spans="1:40" x14ac:dyDescent="0.25">
      <c r="A2384" t="str">
        <f>"20190312150708616"</f>
        <v>20190312150708616</v>
      </c>
      <c r="B2384" t="str">
        <f>"1552374428612692"</f>
        <v>1552374428612692</v>
      </c>
      <c r="C2384" t="s">
        <v>40</v>
      </c>
      <c r="D2384">
        <v>4.2462499999999999</v>
      </c>
      <c r="E2384">
        <v>0.57597229999999999</v>
      </c>
      <c r="F2384" t="s">
        <v>42</v>
      </c>
      <c r="G2384">
        <v>-191.38409999999999</v>
      </c>
      <c r="H2384" s="1">
        <v>-1.4896249999999999E-6</v>
      </c>
      <c r="I2384">
        <v>332.20299999999997</v>
      </c>
      <c r="J2384">
        <v>-190.7543</v>
      </c>
      <c r="K2384">
        <v>1.108468</v>
      </c>
      <c r="L2384">
        <v>353.21179999999998</v>
      </c>
      <c r="M2384">
        <v>0.36508289999999999</v>
      </c>
      <c r="N2384">
        <v>0</v>
      </c>
      <c r="O2384">
        <v>-0.93090949999999995</v>
      </c>
      <c r="P2384">
        <v>0.169352</v>
      </c>
      <c r="Q2384">
        <v>2.8118460000000001E-2</v>
      </c>
      <c r="R2384">
        <v>-0.98515469999999905</v>
      </c>
      <c r="S2384">
        <v>-8.7249759999999996E-2</v>
      </c>
      <c r="T2384">
        <v>-0.161108</v>
      </c>
      <c r="U2384">
        <v>-3.0671080000000002</v>
      </c>
      <c r="V2384">
        <v>0.202211</v>
      </c>
      <c r="W2384">
        <v>3.795552E-2</v>
      </c>
      <c r="X2384">
        <v>0.97860619999999998</v>
      </c>
      <c r="Y2384">
        <v>0.39137850000000002</v>
      </c>
      <c r="Z2384">
        <v>4.4914790000000003E-2</v>
      </c>
      <c r="AA2384">
        <v>0.91913299999999998</v>
      </c>
      <c r="AB2384">
        <v>10</v>
      </c>
      <c r="AC2384">
        <v>-0.62979999999998804</v>
      </c>
      <c r="AD2384">
        <v>-1.108469489625</v>
      </c>
      <c r="AE2384">
        <v>-21.008799999999901</v>
      </c>
      <c r="AF2384">
        <v>8.2338428638168999</v>
      </c>
      <c r="AG2384">
        <v>-1.108469489625</v>
      </c>
      <c r="AH2384">
        <v>19.274930931681101</v>
      </c>
      <c r="AI2384">
        <v>93.027275348595097</v>
      </c>
      <c r="AJ2384">
        <v>66.868851215554599</v>
      </c>
      <c r="AK2384">
        <v>20.989231413668701</v>
      </c>
      <c r="AL2384">
        <v>87.824786409970599</v>
      </c>
      <c r="AM2384">
        <v>78.325187083299099</v>
      </c>
      <c r="AN2384">
        <v>1.0000000023489499</v>
      </c>
    </row>
    <row r="2385" spans="1:40" x14ac:dyDescent="0.25">
      <c r="A2385" t="str">
        <f>"20190312150708629"</f>
        <v>20190312150708629</v>
      </c>
      <c r="B2385" t="str">
        <f>"1552374428622451"</f>
        <v>1552374428622451</v>
      </c>
      <c r="C2385" t="s">
        <v>40</v>
      </c>
      <c r="D2385">
        <v>4.3139260000000004</v>
      </c>
      <c r="E2385">
        <v>0.57562369999999996</v>
      </c>
      <c r="F2385" t="s">
        <v>42</v>
      </c>
      <c r="G2385">
        <v>-191.40770000000001</v>
      </c>
      <c r="H2385" s="1">
        <v>-1.3022889999999999E-6</v>
      </c>
      <c r="I2385">
        <v>331.75170000000003</v>
      </c>
      <c r="J2385">
        <v>-190.73580000000001</v>
      </c>
      <c r="K2385">
        <v>1.1084540000000001</v>
      </c>
      <c r="L2385">
        <v>353.15199999999999</v>
      </c>
      <c r="M2385">
        <v>0.36132760000000003</v>
      </c>
      <c r="N2385">
        <v>0</v>
      </c>
      <c r="O2385">
        <v>-0.93237389999999998</v>
      </c>
      <c r="P2385">
        <v>0.16677819999999999</v>
      </c>
      <c r="Q2385">
        <v>2.823585E-2</v>
      </c>
      <c r="R2385">
        <v>-0.98559019999999997</v>
      </c>
      <c r="S2385">
        <v>-9.3353270000000002E-2</v>
      </c>
      <c r="T2385">
        <v>-0.158354299999999</v>
      </c>
      <c r="U2385">
        <v>-3.0657649999999999</v>
      </c>
      <c r="V2385">
        <v>0.20082169999999999</v>
      </c>
      <c r="W2385">
        <v>3.8052250000000003E-2</v>
      </c>
      <c r="X2385">
        <v>0.97888850000000005</v>
      </c>
      <c r="Y2385">
        <v>0.38951010000000003</v>
      </c>
      <c r="Z2385">
        <v>4.4300359999999997E-2</v>
      </c>
      <c r="AA2385">
        <v>0.91995610000000005</v>
      </c>
      <c r="AB2385">
        <v>10</v>
      </c>
      <c r="AC2385">
        <v>-0.67189999999999295</v>
      </c>
      <c r="AD2385">
        <v>-1.108455302289</v>
      </c>
      <c r="AE2385">
        <v>-21.400299999999898</v>
      </c>
      <c r="AF2385">
        <v>8.3371426905917492</v>
      </c>
      <c r="AG2385">
        <v>-1.108455302289</v>
      </c>
      <c r="AH2385">
        <v>19.6588107285265</v>
      </c>
      <c r="AI2385">
        <v>92.971527969119293</v>
      </c>
      <c r="AJ2385">
        <v>67.018591790354506</v>
      </c>
      <c r="AK2385">
        <v>21.3823633085889</v>
      </c>
      <c r="AL2385">
        <v>87.819240204029001</v>
      </c>
      <c r="AM2385">
        <v>78.406473250550903</v>
      </c>
      <c r="AN2385">
        <v>1.0000000121766</v>
      </c>
    </row>
    <row r="2386" spans="1:40" x14ac:dyDescent="0.25">
      <c r="A2386" t="str">
        <f>"20190312150708641"</f>
        <v>20190312150708641</v>
      </c>
      <c r="B2386" t="str">
        <f>"1552374428632211"</f>
        <v>1552374428632211</v>
      </c>
      <c r="C2386" t="s">
        <v>40</v>
      </c>
      <c r="D2386">
        <v>4.3421729999999998</v>
      </c>
      <c r="E2386">
        <v>0.57527569999999995</v>
      </c>
      <c r="F2386" t="s">
        <v>42</v>
      </c>
      <c r="G2386">
        <v>-191.42140000000001</v>
      </c>
      <c r="H2386" s="1">
        <v>-1.340603E-6</v>
      </c>
      <c r="I2386">
        <v>331.83249999999998</v>
      </c>
      <c r="J2386">
        <v>-190.7174</v>
      </c>
      <c r="K2386">
        <v>1.108439</v>
      </c>
      <c r="L2386">
        <v>353.0917</v>
      </c>
      <c r="M2386">
        <v>0.35753879999999999</v>
      </c>
      <c r="N2386">
        <v>0</v>
      </c>
      <c r="O2386">
        <v>-0.93383369999999999</v>
      </c>
      <c r="P2386">
        <v>0.1640162</v>
      </c>
      <c r="Q2386">
        <v>2.8526639999999999E-2</v>
      </c>
      <c r="R2386">
        <v>-0.98604539999999996</v>
      </c>
      <c r="S2386">
        <v>-9.8571779999999998E-2</v>
      </c>
      <c r="T2386">
        <v>-0.159361999999999</v>
      </c>
      <c r="U2386">
        <v>-3.0650940000000002</v>
      </c>
      <c r="V2386">
        <v>0.19958790000000001</v>
      </c>
      <c r="W2386">
        <v>3.8318129999999999E-2</v>
      </c>
      <c r="X2386">
        <v>0.97913039999999996</v>
      </c>
      <c r="Y2386">
        <v>0.38733970000000001</v>
      </c>
      <c r="Z2386">
        <v>4.4727210000000003E-2</v>
      </c>
      <c r="AA2386">
        <v>0.92085150000000004</v>
      </c>
      <c r="AB2386">
        <v>10</v>
      </c>
      <c r="AC2386">
        <v>-0.70400000000000695</v>
      </c>
      <c r="AD2386">
        <v>-1.1084403406029999</v>
      </c>
      <c r="AE2386">
        <v>-21.2592</v>
      </c>
      <c r="AF2386">
        <v>8.2365393404958098</v>
      </c>
      <c r="AG2386">
        <v>-1.1084403406029999</v>
      </c>
      <c r="AH2386">
        <v>19.548946607642101</v>
      </c>
      <c r="AI2386">
        <v>92.991114239281004</v>
      </c>
      <c r="AJ2386">
        <v>67.152893908914294</v>
      </c>
      <c r="AK2386">
        <v>21.242187593669598</v>
      </c>
      <c r="AL2386">
        <v>87.803995201232894</v>
      </c>
      <c r="AM2386">
        <v>78.478560870284298</v>
      </c>
      <c r="AN2386">
        <v>0.99999997455863299</v>
      </c>
    </row>
    <row r="2387" spans="1:40" x14ac:dyDescent="0.25">
      <c r="A2387" t="str">
        <f>"20190312150708655"</f>
        <v>20190312150708655</v>
      </c>
      <c r="B2387" t="str">
        <f>"1552374428652706"</f>
        <v>1552374428652706</v>
      </c>
      <c r="C2387" t="s">
        <v>40</v>
      </c>
      <c r="D2387">
        <v>4.2441319999999996</v>
      </c>
      <c r="E2387">
        <v>0.57456980000000002</v>
      </c>
      <c r="F2387" t="s">
        <v>42</v>
      </c>
      <c r="G2387">
        <v>-191.44409999999999</v>
      </c>
      <c r="H2387" s="1">
        <v>-1.328612E-6</v>
      </c>
      <c r="I2387">
        <v>331.79050000000001</v>
      </c>
      <c r="J2387">
        <v>-190.6996</v>
      </c>
      <c r="K2387">
        <v>1.1084290000000001</v>
      </c>
      <c r="L2387">
        <v>353.03210000000001</v>
      </c>
      <c r="M2387">
        <v>0.35379519999999998</v>
      </c>
      <c r="N2387">
        <v>0</v>
      </c>
      <c r="O2387">
        <v>-0.9352589</v>
      </c>
      <c r="P2387">
        <v>0.1615473</v>
      </c>
      <c r="Q2387">
        <v>2.8838490000000001E-2</v>
      </c>
      <c r="R2387">
        <v>-0.98644379999999998</v>
      </c>
      <c r="S2387">
        <v>-0.10453800000000001</v>
      </c>
      <c r="T2387">
        <v>-0.1594622</v>
      </c>
      <c r="U2387">
        <v>-3.0644230000000001</v>
      </c>
      <c r="V2387">
        <v>0.19811480000000001</v>
      </c>
      <c r="W2387">
        <v>3.8604510000000002E-2</v>
      </c>
      <c r="X2387">
        <v>0.97941829999999996</v>
      </c>
      <c r="Y2387">
        <v>0.38544319999999999</v>
      </c>
      <c r="Z2387">
        <v>4.489493E-2</v>
      </c>
      <c r="AA2387">
        <v>0.92163870000000003</v>
      </c>
      <c r="AB2387">
        <v>10</v>
      </c>
      <c r="AC2387">
        <v>-0.74449999999998795</v>
      </c>
      <c r="AD2387">
        <v>-1.1084303286120001</v>
      </c>
      <c r="AE2387">
        <v>-21.241599999999998</v>
      </c>
      <c r="AF2387">
        <v>8.1896951559049498</v>
      </c>
      <c r="AG2387">
        <v>-1.1084303286120001</v>
      </c>
      <c r="AH2387">
        <v>19.550997324762101</v>
      </c>
      <c r="AI2387">
        <v>92.993376536541206</v>
      </c>
      <c r="AJ2387">
        <v>67.271732629457006</v>
      </c>
      <c r="AK2387">
        <v>21.225956301964199</v>
      </c>
      <c r="AL2387">
        <v>87.787574729351405</v>
      </c>
      <c r="AM2387">
        <v>78.564621475604596</v>
      </c>
      <c r="AN2387">
        <v>0.99999999427313502</v>
      </c>
    </row>
    <row r="2388" spans="1:40" x14ac:dyDescent="0.25">
      <c r="A2388" t="str">
        <f>"20190312150708675"</f>
        <v>20190312150708675</v>
      </c>
      <c r="B2388" t="str">
        <f>"1552374428662467"</f>
        <v>1552374428662467</v>
      </c>
      <c r="C2388" t="s">
        <v>40</v>
      </c>
      <c r="D2388">
        <v>4.3058630000000004</v>
      </c>
      <c r="E2388">
        <v>0.57419189999999998</v>
      </c>
      <c r="F2388" t="s">
        <v>42</v>
      </c>
      <c r="G2388">
        <v>-191.43190000000001</v>
      </c>
      <c r="H2388" s="1">
        <v>-1.4072919999999901E-6</v>
      </c>
      <c r="I2388">
        <v>331.98140000000001</v>
      </c>
      <c r="J2388">
        <v>-190.67320000000001</v>
      </c>
      <c r="K2388">
        <v>1.1084020000000001</v>
      </c>
      <c r="L2388">
        <v>352.94240000000002</v>
      </c>
      <c r="M2388">
        <v>0.3481609</v>
      </c>
      <c r="N2388">
        <v>0</v>
      </c>
      <c r="O2388">
        <v>-0.93737150000000002</v>
      </c>
      <c r="P2388">
        <v>0.158041299999999</v>
      </c>
      <c r="Q2388">
        <v>2.9445599999999902E-2</v>
      </c>
      <c r="R2388">
        <v>-0.98699360000000003</v>
      </c>
      <c r="S2388">
        <v>-0.10656740000000001</v>
      </c>
      <c r="T2388">
        <v>-0.1613039</v>
      </c>
      <c r="U2388">
        <v>-3.0633849999999998</v>
      </c>
      <c r="V2388">
        <v>0.19569719999999999</v>
      </c>
      <c r="W2388">
        <v>3.9172940000000003E-2</v>
      </c>
      <c r="X2388">
        <v>0.97988169999999997</v>
      </c>
      <c r="Y2388">
        <v>0.38050489999999998</v>
      </c>
      <c r="Z2388">
        <v>4.5647519999999997E-2</v>
      </c>
      <c r="AA2388">
        <v>0.92365160000000002</v>
      </c>
      <c r="AB2388">
        <v>11</v>
      </c>
      <c r="AC2388">
        <v>-0.75870000000000404</v>
      </c>
      <c r="AD2388">
        <v>-1.1084034072919999</v>
      </c>
      <c r="AE2388">
        <v>-20.960999999999999</v>
      </c>
      <c r="AF2388">
        <v>7.9871549526872698</v>
      </c>
      <c r="AG2388">
        <v>-1.1084034072919999</v>
      </c>
      <c r="AH2388">
        <v>19.331260706840698</v>
      </c>
      <c r="AI2388">
        <v>93.033397001199901</v>
      </c>
      <c r="AJ2388">
        <v>67.550907494385399</v>
      </c>
      <c r="AK2388">
        <v>20.945664058877998</v>
      </c>
      <c r="AL2388">
        <v>87.754981512967007</v>
      </c>
      <c r="AM2388">
        <v>78.705762532555596</v>
      </c>
      <c r="AN2388">
        <v>1.0000000296554801</v>
      </c>
    </row>
    <row r="2389" spans="1:40" x14ac:dyDescent="0.25">
      <c r="A2389" t="str">
        <f>"20190312150708695"</f>
        <v>20190312150708695</v>
      </c>
      <c r="B2389" t="str">
        <f>"1552374428692723"</f>
        <v>1552374428692723</v>
      </c>
      <c r="C2389" t="s">
        <v>40</v>
      </c>
      <c r="D2389">
        <v>4.2851790000000003</v>
      </c>
      <c r="E2389">
        <v>0.57340760000000002</v>
      </c>
      <c r="F2389" t="s">
        <v>42</v>
      </c>
      <c r="G2389">
        <v>-191.45740000000001</v>
      </c>
      <c r="H2389" s="1">
        <v>-1.4026280000000001E-6</v>
      </c>
      <c r="I2389">
        <v>331.95479999999998</v>
      </c>
      <c r="J2389">
        <v>-190.6447</v>
      </c>
      <c r="K2389">
        <v>1.108384</v>
      </c>
      <c r="L2389">
        <v>352.84300000000002</v>
      </c>
      <c r="M2389">
        <v>0.34190720000000002</v>
      </c>
      <c r="N2389">
        <v>0</v>
      </c>
      <c r="O2389">
        <v>-0.93967100000000003</v>
      </c>
      <c r="P2389">
        <v>0.15383629999999901</v>
      </c>
      <c r="Q2389">
        <v>2.9561810000000001E-2</v>
      </c>
      <c r="R2389">
        <v>-0.98765409999999998</v>
      </c>
      <c r="S2389">
        <v>-0.11442570000000001</v>
      </c>
      <c r="T2389">
        <v>-0.16174549999999999</v>
      </c>
      <c r="U2389">
        <v>-3.0626530000000001</v>
      </c>
      <c r="V2389">
        <v>0.19334000000000001</v>
      </c>
      <c r="W2389">
        <v>3.9238219999999997E-2</v>
      </c>
      <c r="X2389">
        <v>0.98034690000000002</v>
      </c>
      <c r="Y2389">
        <v>0.3767142</v>
      </c>
      <c r="Z2389">
        <v>4.6003420000000003E-2</v>
      </c>
      <c r="AA2389">
        <v>0.92518650000000002</v>
      </c>
      <c r="AB2389">
        <v>11</v>
      </c>
      <c r="AC2389">
        <v>-0.81270000000000597</v>
      </c>
      <c r="AD2389">
        <v>-1.108385402628</v>
      </c>
      <c r="AE2389">
        <v>-20.888200000000001</v>
      </c>
      <c r="AF2389">
        <v>7.8837980715990197</v>
      </c>
      <c r="AG2389">
        <v>-1.108385402628</v>
      </c>
      <c r="AH2389">
        <v>19.297056639763401</v>
      </c>
      <c r="AI2389">
        <v>93.043648044571</v>
      </c>
      <c r="AJ2389">
        <v>67.777566796283807</v>
      </c>
      <c r="AK2389">
        <v>20.874845752549799</v>
      </c>
      <c r="AL2389">
        <v>87.751238342587001</v>
      </c>
      <c r="AM2389">
        <v>78.843531013827501</v>
      </c>
      <c r="AN2389">
        <v>1.00000001892418</v>
      </c>
    </row>
    <row r="2390" spans="1:40" x14ac:dyDescent="0.25">
      <c r="A2390" t="str">
        <f>"20190312150708718"</f>
        <v>20190312150708718</v>
      </c>
      <c r="B2390" t="str">
        <f>"1552374428712243"</f>
        <v>1552374428712243</v>
      </c>
      <c r="C2390" t="s">
        <v>40</v>
      </c>
      <c r="D2390">
        <v>4.2295680000000004</v>
      </c>
      <c r="E2390">
        <v>0.57281459999999995</v>
      </c>
      <c r="F2390" t="s">
        <v>42</v>
      </c>
      <c r="G2390">
        <v>-191.45009999999999</v>
      </c>
      <c r="H2390" s="1">
        <v>-1.618445E-6</v>
      </c>
      <c r="I2390">
        <v>332.46230000000003</v>
      </c>
      <c r="J2390">
        <v>-190.61529999999999</v>
      </c>
      <c r="K2390">
        <v>1.108355</v>
      </c>
      <c r="L2390">
        <v>352.73809999999997</v>
      </c>
      <c r="M2390">
        <v>0.33530490000000002</v>
      </c>
      <c r="N2390">
        <v>0</v>
      </c>
      <c r="O2390">
        <v>-0.9420482</v>
      </c>
      <c r="P2390">
        <v>0.14934020000000001</v>
      </c>
      <c r="Q2390">
        <v>2.9612400000000001E-2</v>
      </c>
      <c r="R2390">
        <v>-0.98834259999999996</v>
      </c>
      <c r="S2390">
        <v>-0.12098689999999999</v>
      </c>
      <c r="T2390">
        <v>-0.16649029999999901</v>
      </c>
      <c r="U2390">
        <v>-3.0613709999999998</v>
      </c>
      <c r="V2390">
        <v>0.1909209</v>
      </c>
      <c r="W2390">
        <v>3.9229640000000003E-2</v>
      </c>
      <c r="X2390">
        <v>0.98082119999999995</v>
      </c>
      <c r="Y2390">
        <v>0.37220039999999999</v>
      </c>
      <c r="Z2390">
        <v>4.7609850000000002E-2</v>
      </c>
      <c r="AA2390">
        <v>0.92693049999999999</v>
      </c>
      <c r="AB2390">
        <v>11</v>
      </c>
      <c r="AC2390">
        <v>-0.83480000000000099</v>
      </c>
      <c r="AD2390">
        <v>-1.108356618445</v>
      </c>
      <c r="AE2390">
        <v>-20.275799999999901</v>
      </c>
      <c r="AF2390">
        <v>7.5628753915099196</v>
      </c>
      <c r="AG2390">
        <v>-1.108356618445</v>
      </c>
      <c r="AH2390">
        <v>18.7659775641566</v>
      </c>
      <c r="AI2390">
        <v>93.135567228805201</v>
      </c>
      <c r="AJ2390">
        <v>68.050075550821205</v>
      </c>
      <c r="AK2390">
        <v>20.262957644914199</v>
      </c>
      <c r="AL2390">
        <v>87.751730255314598</v>
      </c>
      <c r="AM2390">
        <v>78.984883046199201</v>
      </c>
      <c r="AN2390">
        <v>0.99999999054038902</v>
      </c>
    </row>
    <row r="2391" spans="1:40" x14ac:dyDescent="0.25">
      <c r="A2391" t="str">
        <f>"20190312150708740"</f>
        <v>20190312150708740</v>
      </c>
      <c r="B2391" t="str">
        <f>"1552374428732739"</f>
        <v>1552374428732739</v>
      </c>
      <c r="C2391" t="s">
        <v>40</v>
      </c>
      <c r="D2391">
        <v>4.3416709999999998</v>
      </c>
      <c r="E2391">
        <v>0.57248779999999999</v>
      </c>
      <c r="F2391" t="s">
        <v>42</v>
      </c>
      <c r="G2391">
        <v>-191.46860000000001</v>
      </c>
      <c r="H2391" s="1">
        <v>-1.7173609999999901E-6</v>
      </c>
      <c r="I2391">
        <v>332.68150000000003</v>
      </c>
      <c r="J2391">
        <v>-190.58619999999999</v>
      </c>
      <c r="K2391">
        <v>1.1083270000000001</v>
      </c>
      <c r="L2391">
        <v>352.63130000000001</v>
      </c>
      <c r="M2391">
        <v>0.32857579999999997</v>
      </c>
      <c r="N2391">
        <v>0</v>
      </c>
      <c r="O2391">
        <v>-0.94441710000000001</v>
      </c>
      <c r="P2391">
        <v>0.14422380000000001</v>
      </c>
      <c r="Q2391">
        <v>2.9357029999999999E-2</v>
      </c>
      <c r="R2391">
        <v>-0.98910989999999999</v>
      </c>
      <c r="S2391">
        <v>-0.130188</v>
      </c>
      <c r="T2391">
        <v>-0.1691047</v>
      </c>
      <c r="U2391">
        <v>-3.0600890000000001</v>
      </c>
      <c r="V2391">
        <v>0.1890001</v>
      </c>
      <c r="W2391">
        <v>3.890706E-2</v>
      </c>
      <c r="X2391">
        <v>0.98120600000000002</v>
      </c>
      <c r="Y2391">
        <v>0.36837160000000002</v>
      </c>
      <c r="Z2391">
        <v>4.8610269999999997E-2</v>
      </c>
      <c r="AA2391">
        <v>0.92840690000000003</v>
      </c>
      <c r="AB2391">
        <v>11</v>
      </c>
      <c r="AC2391">
        <v>-0.88240000000001795</v>
      </c>
      <c r="AD2391">
        <v>-1.1083287173609999</v>
      </c>
      <c r="AE2391">
        <v>-19.9497999999999</v>
      </c>
      <c r="AF2391">
        <v>7.3661065983264198</v>
      </c>
      <c r="AG2391">
        <v>-1.1083287173609999</v>
      </c>
      <c r="AH2391">
        <v>18.495084313786101</v>
      </c>
      <c r="AI2391">
        <v>93.186514752773107</v>
      </c>
      <c r="AJ2391">
        <v>68.283905719597598</v>
      </c>
      <c r="AK2391">
        <v>19.938807956788501</v>
      </c>
      <c r="AL2391">
        <v>87.770226883516003</v>
      </c>
      <c r="AM2391">
        <v>79.097206912585804</v>
      </c>
      <c r="AN2391">
        <v>1.0000000057769201</v>
      </c>
    </row>
    <row r="2392" spans="1:40" x14ac:dyDescent="0.25">
      <c r="A2392" t="str">
        <f>"20190312150708762"</f>
        <v>20190312150708762</v>
      </c>
      <c r="B2392" t="str">
        <f>"1552374428752262"</f>
        <v>1552374428752262</v>
      </c>
      <c r="C2392" t="s">
        <v>40</v>
      </c>
      <c r="D2392">
        <v>4.3124190000000002</v>
      </c>
      <c r="E2392">
        <v>0.55266549999999903</v>
      </c>
      <c r="F2392" t="s">
        <v>42</v>
      </c>
      <c r="G2392">
        <v>-191.5198</v>
      </c>
      <c r="H2392" s="1">
        <v>-1.7625470000000001E-6</v>
      </c>
      <c r="I2392">
        <v>332.755</v>
      </c>
      <c r="J2392">
        <v>-190.55799999999999</v>
      </c>
      <c r="K2392">
        <v>1.1083019999999999</v>
      </c>
      <c r="L2392">
        <v>352.5249</v>
      </c>
      <c r="M2392">
        <v>0.32187189999999999</v>
      </c>
      <c r="N2392">
        <v>0</v>
      </c>
      <c r="O2392">
        <v>-0.9467236</v>
      </c>
      <c r="P2392">
        <v>0.13891800000000001</v>
      </c>
      <c r="Q2392">
        <v>2.9359340000000001E-2</v>
      </c>
      <c r="R2392">
        <v>-0.98986890000000005</v>
      </c>
      <c r="S2392">
        <v>-0.14369199999999999</v>
      </c>
      <c r="T2392">
        <v>-0.17057700000000001</v>
      </c>
      <c r="U2392">
        <v>-3.0590519999999999</v>
      </c>
      <c r="V2392">
        <v>0.187305</v>
      </c>
      <c r="W2392">
        <v>3.8840840000000001E-2</v>
      </c>
      <c r="X2392">
        <v>0.98153360000000001</v>
      </c>
      <c r="Y2392">
        <v>0.36588150000000003</v>
      </c>
      <c r="Z2392">
        <v>4.9263260000000003E-2</v>
      </c>
      <c r="AA2392">
        <v>0.92935670000000004</v>
      </c>
      <c r="AB2392">
        <v>11</v>
      </c>
      <c r="AC2392">
        <v>-0.96180000000000998</v>
      </c>
      <c r="AD2392">
        <v>-1.108303762547</v>
      </c>
      <c r="AE2392">
        <v>-19.7699</v>
      </c>
      <c r="AF2392">
        <v>7.2516085815236799</v>
      </c>
      <c r="AG2392">
        <v>-1.108303762547</v>
      </c>
      <c r="AH2392">
        <v>18.350558829463999</v>
      </c>
      <c r="AI2392">
        <v>93.214896845843199</v>
      </c>
      <c r="AJ2392">
        <v>68.4375056188656</v>
      </c>
      <c r="AK2392">
        <v>19.762519414369201</v>
      </c>
      <c r="AL2392">
        <v>87.774023846953099</v>
      </c>
      <c r="AM2392">
        <v>79.1962008741299</v>
      </c>
      <c r="AN2392">
        <v>0.99999999090293201</v>
      </c>
    </row>
    <row r="2393" spans="1:40" x14ac:dyDescent="0.25">
      <c r="A2393" t="str">
        <f>"20190312150708785"</f>
        <v>20190312150708785</v>
      </c>
      <c r="B2393" t="str">
        <f>"1552374428772755"</f>
        <v>1552374428772755</v>
      </c>
      <c r="C2393" t="s">
        <v>40</v>
      </c>
      <c r="D2393">
        <v>4.3020509999999996</v>
      </c>
      <c r="E2393">
        <v>0.552123699999999</v>
      </c>
      <c r="F2393" t="s">
        <v>42</v>
      </c>
      <c r="G2393">
        <v>-190.5789</v>
      </c>
      <c r="H2393" s="1">
        <v>-3.5632309999999998E-6</v>
      </c>
      <c r="I2393">
        <v>337.53609999999998</v>
      </c>
      <c r="J2393">
        <v>-190.53129999999999</v>
      </c>
      <c r="K2393">
        <v>1.1082749999999999</v>
      </c>
      <c r="L2393">
        <v>352.42110000000002</v>
      </c>
      <c r="M2393">
        <v>0.31532710000000003</v>
      </c>
      <c r="N2393">
        <v>0</v>
      </c>
      <c r="O2393">
        <v>-0.9489244</v>
      </c>
      <c r="P2393">
        <v>0.13320899999999999</v>
      </c>
      <c r="Q2393">
        <v>2.951676E-2</v>
      </c>
      <c r="R2393">
        <v>-0.99064859999999999</v>
      </c>
      <c r="S2393">
        <v>-4.226685E-3</v>
      </c>
      <c r="T2393">
        <v>-0.22463140000000001</v>
      </c>
      <c r="U2393">
        <v>-3.0379330000000002</v>
      </c>
      <c r="V2393">
        <v>0.18618589999999999</v>
      </c>
      <c r="W2393">
        <v>3.892756E-2</v>
      </c>
      <c r="X2393">
        <v>0.98174309999999998</v>
      </c>
      <c r="Y2393">
        <v>0.3166388</v>
      </c>
      <c r="Z2393">
        <v>6.6204540000000006E-2</v>
      </c>
      <c r="AA2393">
        <v>0.94623299999999999</v>
      </c>
      <c r="AB2393">
        <v>11</v>
      </c>
      <c r="AC2393">
        <v>-4.76000000000169E-2</v>
      </c>
      <c r="AD2393">
        <v>-1.1082785632309999</v>
      </c>
      <c r="AE2393">
        <v>-14.885</v>
      </c>
      <c r="AF2393">
        <v>4.7129494901487297</v>
      </c>
      <c r="AG2393">
        <v>-1.1082785632309999</v>
      </c>
      <c r="AH2393">
        <v>14.032722923521099</v>
      </c>
      <c r="AI2393">
        <v>94.281657751663403</v>
      </c>
      <c r="AJ2393">
        <v>71.435156063571</v>
      </c>
      <c r="AK2393">
        <v>14.844442964245101</v>
      </c>
      <c r="AL2393">
        <v>87.769051482158403</v>
      </c>
      <c r="AM2393">
        <v>79.261483549061694</v>
      </c>
      <c r="AN2393">
        <v>1.00000002934198</v>
      </c>
    </row>
    <row r="2394" spans="1:40" x14ac:dyDescent="0.25">
      <c r="A2394" t="str">
        <f>"20190312150708797"</f>
        <v>20190312150708797</v>
      </c>
      <c r="B2394" t="str">
        <f>"1552374428792275"</f>
        <v>1552374428792275</v>
      </c>
      <c r="C2394" t="s">
        <v>40</v>
      </c>
      <c r="D2394">
        <v>4.2652989999999997</v>
      </c>
      <c r="E2394">
        <v>0.55249709999999996</v>
      </c>
      <c r="F2394" t="s">
        <v>42</v>
      </c>
      <c r="G2394">
        <v>-190.6174</v>
      </c>
      <c r="H2394" s="1">
        <v>-3.5693080000000001E-6</v>
      </c>
      <c r="I2394">
        <v>337.52629999999999</v>
      </c>
      <c r="J2394">
        <v>-190.5154</v>
      </c>
      <c r="K2394">
        <v>1.108249</v>
      </c>
      <c r="L2394">
        <v>352.3578</v>
      </c>
      <c r="M2394">
        <v>0.31132949999999998</v>
      </c>
      <c r="N2394">
        <v>0</v>
      </c>
      <c r="O2394">
        <v>-0.95024399999999998</v>
      </c>
      <c r="P2394">
        <v>0.1296658</v>
      </c>
      <c r="Q2394">
        <v>2.9402919999999999E-2</v>
      </c>
      <c r="R2394">
        <v>-0.9911219</v>
      </c>
      <c r="S2394">
        <v>-1.7578130000000001E-2</v>
      </c>
      <c r="T2394">
        <v>-0.22600970000000001</v>
      </c>
      <c r="U2394">
        <v>-3.0374759999999998</v>
      </c>
      <c r="V2394">
        <v>0.18556410000000001</v>
      </c>
      <c r="W2394">
        <v>3.8766990000000001E-2</v>
      </c>
      <c r="X2394">
        <v>0.98186709999999999</v>
      </c>
      <c r="Y2394">
        <v>0.31680449999999999</v>
      </c>
      <c r="Z2394">
        <v>6.6761379999999995E-2</v>
      </c>
      <c r="AA2394">
        <v>0.94613840000000005</v>
      </c>
      <c r="AB2394">
        <v>11</v>
      </c>
      <c r="AC2394">
        <v>-0.102000000000003</v>
      </c>
      <c r="AD2394">
        <v>-1.1082525693080001</v>
      </c>
      <c r="AE2394">
        <v>-14.8315</v>
      </c>
      <c r="AF2394">
        <v>4.6884913452246897</v>
      </c>
      <c r="AG2394">
        <v>-1.1082525693080001</v>
      </c>
      <c r="AH2394">
        <v>13.9844849023025</v>
      </c>
      <c r="AI2394">
        <v>94.297033569886395</v>
      </c>
      <c r="AJ2394">
        <v>71.465562813969001</v>
      </c>
      <c r="AK2394">
        <v>14.791078149829101</v>
      </c>
      <c r="AL2394">
        <v>87.778258257267595</v>
      </c>
      <c r="AM2394">
        <v>79.297837290585903</v>
      </c>
      <c r="AN2394">
        <v>0.99999995839243905</v>
      </c>
    </row>
    <row r="2395" spans="1:40" x14ac:dyDescent="0.25">
      <c r="A2395" t="str">
        <f>"20190312150708810"</f>
        <v>20190312150708810</v>
      </c>
      <c r="B2395" t="str">
        <f>"1552374428802035"</f>
        <v>1552374428802035</v>
      </c>
      <c r="C2395" t="s">
        <v>40</v>
      </c>
      <c r="D2395">
        <v>4.3097500000000002</v>
      </c>
      <c r="E2395">
        <v>0.55192919999999901</v>
      </c>
      <c r="F2395" t="s">
        <v>42</v>
      </c>
      <c r="G2395">
        <v>-190.66839999999999</v>
      </c>
      <c r="H2395" s="1">
        <v>-3.5837830000000001E-6</v>
      </c>
      <c r="I2395">
        <v>337.52839999999998</v>
      </c>
      <c r="J2395">
        <v>-190.50020000000001</v>
      </c>
      <c r="K2395">
        <v>1.1082270000000001</v>
      </c>
      <c r="L2395">
        <v>352.29640000000001</v>
      </c>
      <c r="M2395">
        <v>0.30745689999999998</v>
      </c>
      <c r="N2395">
        <v>0</v>
      </c>
      <c r="O2395">
        <v>-0.95150480000000004</v>
      </c>
      <c r="P2395">
        <v>0.12623819999999999</v>
      </c>
      <c r="Q2395">
        <v>2.9329290000000001E-2</v>
      </c>
      <c r="R2395">
        <v>-0.99156699999999998</v>
      </c>
      <c r="S2395">
        <v>-3.1341550000000003E-2</v>
      </c>
      <c r="T2395">
        <v>-0.22702079999999999</v>
      </c>
      <c r="U2395">
        <v>-3.0377200000000002</v>
      </c>
      <c r="V2395">
        <v>0.18496090000000001</v>
      </c>
      <c r="W2395">
        <v>3.8645480000000003E-2</v>
      </c>
      <c r="X2395">
        <v>0.98198569999999996</v>
      </c>
      <c r="Y2395">
        <v>0.31722729999999999</v>
      </c>
      <c r="Z2395">
        <v>6.7186070000000001E-2</v>
      </c>
      <c r="AA2395">
        <v>0.94596659999999999</v>
      </c>
      <c r="AB2395">
        <v>11</v>
      </c>
      <c r="AC2395">
        <v>-0.168199999999984</v>
      </c>
      <c r="AD2395">
        <v>-1.108230583783</v>
      </c>
      <c r="AE2395">
        <v>-14.768000000000001</v>
      </c>
      <c r="AF2395">
        <v>4.6745018962283797</v>
      </c>
      <c r="AG2395">
        <v>-1.108230583783</v>
      </c>
      <c r="AH2395">
        <v>13.922477829420099</v>
      </c>
      <c r="AI2395">
        <v>94.315380790155402</v>
      </c>
      <c r="AJ2395">
        <v>71.440412512247804</v>
      </c>
      <c r="AK2395">
        <v>14.7280186011347</v>
      </c>
      <c r="AL2395">
        <v>87.785225495251296</v>
      </c>
      <c r="AM2395">
        <v>79.333085189533406</v>
      </c>
      <c r="AN2395">
        <v>0.99999996132886404</v>
      </c>
    </row>
    <row r="2396" spans="1:40" x14ac:dyDescent="0.25">
      <c r="A2396" t="str">
        <f>"20190312150708830"</f>
        <v>20190312150708830</v>
      </c>
      <c r="B2396" t="str">
        <f>"1552374428822531"</f>
        <v>1552374428822531</v>
      </c>
      <c r="C2396" t="s">
        <v>40</v>
      </c>
      <c r="D2396">
        <v>4.2145440000000001</v>
      </c>
      <c r="E2396">
        <v>0.55174119999999904</v>
      </c>
      <c r="F2396" t="s">
        <v>42</v>
      </c>
      <c r="G2396">
        <v>-190.68170000000001</v>
      </c>
      <c r="H2396" s="1">
        <v>-3.6147049999999998E-6</v>
      </c>
      <c r="I2396">
        <v>337.59230000000002</v>
      </c>
      <c r="J2396">
        <v>-190.47720000000001</v>
      </c>
      <c r="K2396">
        <v>1.1081939999999999</v>
      </c>
      <c r="L2396">
        <v>352.20119999999997</v>
      </c>
      <c r="M2396">
        <v>0.30144490000000002</v>
      </c>
      <c r="N2396">
        <v>0</v>
      </c>
      <c r="O2396">
        <v>-0.95342700000000002</v>
      </c>
      <c r="P2396">
        <v>0.121741</v>
      </c>
      <c r="Q2396">
        <v>2.8542729999999999E-2</v>
      </c>
      <c r="R2396">
        <v>-0.99215149999999996</v>
      </c>
      <c r="S2396">
        <v>-3.7475590000000003E-2</v>
      </c>
      <c r="T2396">
        <v>-0.2289011</v>
      </c>
      <c r="U2396">
        <v>-3.0370789999999999</v>
      </c>
      <c r="V2396">
        <v>0.18321799999999999</v>
      </c>
      <c r="W2396">
        <v>3.7787330000000001E-2</v>
      </c>
      <c r="X2396">
        <v>0.98234580000000005</v>
      </c>
      <c r="Y2396">
        <v>0.3131507</v>
      </c>
      <c r="Z2396">
        <v>6.8019869999999996E-2</v>
      </c>
      <c r="AA2396">
        <v>0.94726440000000001</v>
      </c>
      <c r="AB2396">
        <v>11</v>
      </c>
      <c r="AC2396">
        <v>-0.20449999999999499</v>
      </c>
      <c r="AD2396">
        <v>-1.1081976147049999</v>
      </c>
      <c r="AE2396">
        <v>-14.608899999999901</v>
      </c>
      <c r="AF2396">
        <v>4.5726944900143698</v>
      </c>
      <c r="AG2396">
        <v>-1.1081976147049999</v>
      </c>
      <c r="AH2396">
        <v>13.788294890916999</v>
      </c>
      <c r="AI2396">
        <v>94.362454066174195</v>
      </c>
      <c r="AJ2396">
        <v>71.652622508230607</v>
      </c>
      <c r="AK2396">
        <v>14.5689640280678</v>
      </c>
      <c r="AL2396">
        <v>87.834429887735695</v>
      </c>
      <c r="AM2396">
        <v>79.435112320330404</v>
      </c>
      <c r="AN2396">
        <v>0.99999999430508402</v>
      </c>
    </row>
    <row r="2397" spans="1:40" x14ac:dyDescent="0.25">
      <c r="A2397" t="str">
        <f>"20190312150708843"</f>
        <v>20190312150708843</v>
      </c>
      <c r="B2397" t="str">
        <f>"1552374428832291"</f>
        <v>1552374428832291</v>
      </c>
      <c r="C2397" t="s">
        <v>40</v>
      </c>
      <c r="D2397">
        <v>4.1970470000000004</v>
      </c>
      <c r="E2397">
        <v>0.55174119999999904</v>
      </c>
      <c r="F2397" t="s">
        <v>42</v>
      </c>
      <c r="G2397">
        <v>-190.7159</v>
      </c>
      <c r="H2397" s="1">
        <v>-3.649555E-6</v>
      </c>
      <c r="I2397">
        <v>337.65230000000003</v>
      </c>
      <c r="J2397">
        <v>-190.4615</v>
      </c>
      <c r="K2397">
        <v>1.108166</v>
      </c>
      <c r="L2397">
        <v>352.13479999999998</v>
      </c>
      <c r="M2397">
        <v>0.29724850000000003</v>
      </c>
      <c r="N2397">
        <v>0</v>
      </c>
      <c r="O2397">
        <v>-0.95474429999999999</v>
      </c>
      <c r="P2397">
        <v>0.1183545</v>
      </c>
      <c r="Q2397">
        <v>2.8075300000000001E-2</v>
      </c>
      <c r="R2397">
        <v>-0.99257479999999998</v>
      </c>
      <c r="S2397">
        <v>-4.9804689999999999E-2</v>
      </c>
      <c r="T2397">
        <v>-0.23128960000000001</v>
      </c>
      <c r="U2397">
        <v>-3.0364689999999999</v>
      </c>
      <c r="V2397">
        <v>0.18225150000000001</v>
      </c>
      <c r="W2397">
        <v>3.7264129999999999E-2</v>
      </c>
      <c r="X2397">
        <v>0.98254560000000002</v>
      </c>
      <c r="Y2397">
        <v>0.31282009999999899</v>
      </c>
      <c r="Z2397">
        <v>6.8890409999999999E-2</v>
      </c>
      <c r="AA2397">
        <v>0.94731069999999995</v>
      </c>
      <c r="AB2397">
        <v>11</v>
      </c>
      <c r="AC2397">
        <v>-0.25440000000000401</v>
      </c>
      <c r="AD2397">
        <v>-1.108169649555</v>
      </c>
      <c r="AE2397">
        <v>-14.4824999999999</v>
      </c>
      <c r="AF2397">
        <v>4.52156537407022</v>
      </c>
      <c r="AG2397">
        <v>-1.108169649555</v>
      </c>
      <c r="AH2397">
        <v>13.6721720645505</v>
      </c>
      <c r="AI2397">
        <v>94.400457731798795</v>
      </c>
      <c r="AJ2397">
        <v>71.700276602691702</v>
      </c>
      <c r="AK2397">
        <v>14.443021926413399</v>
      </c>
      <c r="AL2397">
        <v>87.864428267424003</v>
      </c>
      <c r="AM2397">
        <v>79.491688169910901</v>
      </c>
      <c r="AN2397">
        <v>1.0000000403581299</v>
      </c>
    </row>
    <row r="2398" spans="1:40" x14ac:dyDescent="0.25">
      <c r="A2398" t="str">
        <f>"20190312150708856"</f>
        <v>20190312150708856</v>
      </c>
      <c r="B2398" t="str">
        <f>"1552374428852787"</f>
        <v>1552374428852787</v>
      </c>
      <c r="C2398" t="s">
        <v>40</v>
      </c>
      <c r="D2398">
        <v>4.1592560000000001</v>
      </c>
      <c r="E2398">
        <v>0.54783890000000002</v>
      </c>
      <c r="F2398" t="s">
        <v>42</v>
      </c>
      <c r="G2398">
        <v>-190.74780000000001</v>
      </c>
      <c r="H2398" s="1">
        <v>-3.6681909999999998E-6</v>
      </c>
      <c r="I2398">
        <v>337.67599999999999</v>
      </c>
      <c r="J2398">
        <v>-190.44710000000001</v>
      </c>
      <c r="K2398">
        <v>1.1081399999999999</v>
      </c>
      <c r="L2398">
        <v>352.07199999999898</v>
      </c>
      <c r="M2398">
        <v>0.29327370000000003</v>
      </c>
      <c r="N2398">
        <v>0</v>
      </c>
      <c r="O2398">
        <v>-0.95597350000000003</v>
      </c>
      <c r="P2398">
        <v>0.1150563</v>
      </c>
      <c r="Q2398">
        <v>2.6747449999999999E-2</v>
      </c>
      <c r="R2398">
        <v>-0.99299899999999997</v>
      </c>
      <c r="S2398">
        <v>-6.0104369999999997E-2</v>
      </c>
      <c r="T2398">
        <v>-0.23270060000000001</v>
      </c>
      <c r="U2398">
        <v>-3.0361630000000002</v>
      </c>
      <c r="V2398">
        <v>0.18143210000000001</v>
      </c>
      <c r="W2398">
        <v>3.5879370000000001E-2</v>
      </c>
      <c r="X2398">
        <v>0.98274870000000003</v>
      </c>
      <c r="Y2398">
        <v>0.31208170000000002</v>
      </c>
      <c r="Z2398">
        <v>6.9462339999999997E-2</v>
      </c>
      <c r="AA2398">
        <v>0.94751249999999998</v>
      </c>
      <c r="AB2398">
        <v>11</v>
      </c>
      <c r="AC2398">
        <v>-0.30070000000000602</v>
      </c>
      <c r="AD2398">
        <v>-1.108143668191</v>
      </c>
      <c r="AE2398">
        <v>-14.3959999999999</v>
      </c>
      <c r="AF2398">
        <v>4.4831145418832401</v>
      </c>
      <c r="AG2398">
        <v>-1.108143668191</v>
      </c>
      <c r="AH2398">
        <v>13.5942121345222</v>
      </c>
      <c r="AI2398">
        <v>94.426713441840207</v>
      </c>
      <c r="AJ2398">
        <v>71.748419963204299</v>
      </c>
      <c r="AK2398">
        <v>14.3571899041347</v>
      </c>
      <c r="AL2398">
        <v>87.943822145284201</v>
      </c>
      <c r="AM2398">
        <v>79.540002347177605</v>
      </c>
      <c r="AN2398">
        <v>0.99999997172684796</v>
      </c>
    </row>
    <row r="2399" spans="1:40" x14ac:dyDescent="0.25">
      <c r="A2399" t="str">
        <f>"20190312150708876"</f>
        <v>20190312150708876</v>
      </c>
      <c r="B2399" t="str">
        <f>"1552374428872306"</f>
        <v>1552374428872306</v>
      </c>
      <c r="C2399" t="s">
        <v>40</v>
      </c>
      <c r="D2399">
        <v>4.126919</v>
      </c>
      <c r="E2399">
        <v>0.54515170000000002</v>
      </c>
      <c r="F2399" t="s">
        <v>42</v>
      </c>
      <c r="G2399">
        <v>-190.8828</v>
      </c>
      <c r="H2399" s="1">
        <v>-3.4675459999999998E-6</v>
      </c>
      <c r="I2399">
        <v>316.43020000000001</v>
      </c>
      <c r="J2399">
        <v>-190.42570000000001</v>
      </c>
      <c r="K2399">
        <v>1.1080950000000001</v>
      </c>
      <c r="L2399">
        <v>351.97730000000001</v>
      </c>
      <c r="M2399">
        <v>0.2872767</v>
      </c>
      <c r="N2399">
        <v>0</v>
      </c>
      <c r="O2399">
        <v>-0.95779380000000003</v>
      </c>
      <c r="P2399">
        <v>0.1105835</v>
      </c>
      <c r="Q2399">
        <v>2.531011E-2</v>
      </c>
      <c r="R2399">
        <v>-0.99354500000000001</v>
      </c>
      <c r="S2399">
        <v>-3.701782E-2</v>
      </c>
      <c r="T2399">
        <v>-9.4142680000000006E-2</v>
      </c>
      <c r="U2399">
        <v>-3.0279539999999998</v>
      </c>
      <c r="V2399">
        <v>0.179701799999999</v>
      </c>
      <c r="W2399">
        <v>3.4354900000000001E-2</v>
      </c>
      <c r="X2399">
        <v>0.98312100000000002</v>
      </c>
      <c r="Y2399">
        <v>0.29897079999999998</v>
      </c>
      <c r="Z2399">
        <v>2.8398449999999999E-2</v>
      </c>
      <c r="AA2399">
        <v>0.95383960000000001</v>
      </c>
      <c r="AB2399">
        <v>11</v>
      </c>
      <c r="AC2399">
        <v>-0.45709999999999701</v>
      </c>
      <c r="AD2399">
        <v>-1.1080984675459999</v>
      </c>
      <c r="AE2399">
        <v>-35.5471</v>
      </c>
      <c r="AF2399">
        <v>10.639872904073</v>
      </c>
      <c r="AG2399">
        <v>-1.1080984675459999</v>
      </c>
      <c r="AH2399">
        <v>33.884305707624399</v>
      </c>
      <c r="AI2399">
        <v>91.787070923235703</v>
      </c>
      <c r="AJ2399">
        <v>72.567402162808193</v>
      </c>
      <c r="AK2399">
        <v>35.532815127939898</v>
      </c>
      <c r="AL2399">
        <v>88.031221715030597</v>
      </c>
      <c r="AM2399">
        <v>79.641426325056898</v>
      </c>
      <c r="AN2399">
        <v>0.99999994835912298</v>
      </c>
    </row>
    <row r="2400" spans="1:40" x14ac:dyDescent="0.25">
      <c r="A2400" t="str">
        <f>"20190312150708898"</f>
        <v>20190312150708898</v>
      </c>
      <c r="B2400" t="str">
        <f>"1552374428892803"</f>
        <v>1552374428892803</v>
      </c>
      <c r="C2400" t="s">
        <v>40</v>
      </c>
      <c r="D2400">
        <v>4.2133770000000004</v>
      </c>
      <c r="E2400">
        <v>0.54610879999999995</v>
      </c>
      <c r="F2400" t="s">
        <v>42</v>
      </c>
      <c r="G2400">
        <v>-190.58410000000001</v>
      </c>
      <c r="H2400" s="1">
        <v>-3.143082E-6</v>
      </c>
      <c r="I2400">
        <v>336.55340000000001</v>
      </c>
      <c r="J2400">
        <v>-190.40170000000001</v>
      </c>
      <c r="K2400">
        <v>1.10805</v>
      </c>
      <c r="L2400">
        <v>351.86779999999999</v>
      </c>
      <c r="M2400">
        <v>0.28034100000000001</v>
      </c>
      <c r="N2400">
        <v>0</v>
      </c>
      <c r="O2400">
        <v>-0.95984809999999998</v>
      </c>
      <c r="P2400">
        <v>0.1049746</v>
      </c>
      <c r="Q2400">
        <v>2.518565E-2</v>
      </c>
      <c r="R2400">
        <v>-0.99415629999999999</v>
      </c>
      <c r="S2400">
        <v>-3.1112669999999999E-2</v>
      </c>
      <c r="T2400">
        <v>-0.21757760000000001</v>
      </c>
      <c r="U2400">
        <v>-3.0285030000000002</v>
      </c>
      <c r="V2400">
        <v>0.17813950000000001</v>
      </c>
      <c r="W2400">
        <v>3.4117099999999997E-2</v>
      </c>
      <c r="X2400">
        <v>0.9834136</v>
      </c>
      <c r="Y2400">
        <v>0.29016199999999998</v>
      </c>
      <c r="Z2400">
        <v>6.5806110000000001E-2</v>
      </c>
      <c r="AA2400">
        <v>0.95471229999999996</v>
      </c>
      <c r="AB2400">
        <v>11</v>
      </c>
      <c r="AC2400">
        <v>-0.18240000000000101</v>
      </c>
      <c r="AD2400">
        <v>-1.108053143082</v>
      </c>
      <c r="AE2400">
        <v>-15.3143999999999</v>
      </c>
      <c r="AF2400">
        <v>4.4452871433308596</v>
      </c>
      <c r="AG2400">
        <v>-1.108053143082</v>
      </c>
      <c r="AH2400">
        <v>14.572821343024399</v>
      </c>
      <c r="AI2400">
        <v>94.159640425988201</v>
      </c>
      <c r="AJ2400">
        <v>73.036219944522898</v>
      </c>
      <c r="AK2400">
        <v>15.275977266619099</v>
      </c>
      <c r="AL2400">
        <v>88.044854712459099</v>
      </c>
      <c r="AM2400">
        <v>79.732548133109802</v>
      </c>
      <c r="AN2400">
        <v>0.99999998331880902</v>
      </c>
    </row>
    <row r="2401" spans="1:40" x14ac:dyDescent="0.25">
      <c r="A2401" t="str">
        <f>"20190312150708919"</f>
        <v>20190312150708919</v>
      </c>
      <c r="B2401" t="str">
        <f>"1552374428912323"</f>
        <v>1552374428912323</v>
      </c>
      <c r="C2401" t="s">
        <v>40</v>
      </c>
      <c r="D2401">
        <v>4.167999</v>
      </c>
      <c r="E2401">
        <v>0.54584719999999998</v>
      </c>
      <c r="F2401" t="s">
        <v>42</v>
      </c>
      <c r="G2401">
        <v>-190.7133</v>
      </c>
      <c r="H2401" s="1">
        <v>-2.3839519999999999E-6</v>
      </c>
      <c r="I2401">
        <v>334.70370000000003</v>
      </c>
      <c r="J2401">
        <v>-190.37960000000001</v>
      </c>
      <c r="K2401">
        <v>1.1080049999999999</v>
      </c>
      <c r="L2401">
        <v>351.76319999999998</v>
      </c>
      <c r="M2401">
        <v>0.27369880000000002</v>
      </c>
      <c r="N2401">
        <v>0</v>
      </c>
      <c r="O2401">
        <v>-0.96176419999999996</v>
      </c>
      <c r="P2401">
        <v>0.1001731</v>
      </c>
      <c r="Q2401">
        <v>2.5279929999999999E-2</v>
      </c>
      <c r="R2401">
        <v>-0.99464900000000001</v>
      </c>
      <c r="S2401">
        <v>-5.4977419999999999E-2</v>
      </c>
      <c r="T2401">
        <v>-0.1955016</v>
      </c>
      <c r="U2401">
        <v>-3.028381</v>
      </c>
      <c r="V2401">
        <v>0.17608979999999999</v>
      </c>
      <c r="W2401">
        <v>3.409947E-2</v>
      </c>
      <c r="X2401">
        <v>0.98378330000000003</v>
      </c>
      <c r="Y2401">
        <v>0.29107929999999999</v>
      </c>
      <c r="Z2401">
        <v>5.9331679999999998E-2</v>
      </c>
      <c r="AA2401">
        <v>0.95485730000000002</v>
      </c>
      <c r="AB2401">
        <v>11</v>
      </c>
      <c r="AC2401">
        <v>-0.333699999999993</v>
      </c>
      <c r="AD2401">
        <v>-1.1080073839519999</v>
      </c>
      <c r="AE2401">
        <v>-17.0594999999999</v>
      </c>
      <c r="AF2401">
        <v>4.9693962764368704</v>
      </c>
      <c r="AG2401">
        <v>-1.1080073839519999</v>
      </c>
      <c r="AH2401">
        <v>16.248171582494301</v>
      </c>
      <c r="AI2401">
        <v>93.731031692101197</v>
      </c>
      <c r="AJ2401">
        <v>72.994093191923895</v>
      </c>
      <c r="AK2401">
        <v>17.027203513476099</v>
      </c>
      <c r="AL2401">
        <v>88.045865431257795</v>
      </c>
      <c r="AM2401">
        <v>79.851951796071702</v>
      </c>
      <c r="AN2401">
        <v>0.99999998643860499</v>
      </c>
    </row>
    <row r="2402" spans="1:40" x14ac:dyDescent="0.25">
      <c r="A2402" t="str">
        <f>"20190312150708942"</f>
        <v>20190312150708942</v>
      </c>
      <c r="B2402" t="str">
        <f>"1552374428932819"</f>
        <v>1552374428932819</v>
      </c>
      <c r="C2402" t="s">
        <v>40</v>
      </c>
      <c r="D2402">
        <v>4.2831599999999996</v>
      </c>
      <c r="E2402">
        <v>0.54587059999999998</v>
      </c>
      <c r="F2402" t="s">
        <v>42</v>
      </c>
      <c r="G2402">
        <v>-190.745</v>
      </c>
      <c r="H2402" s="1">
        <v>-2.6471710000000001E-6</v>
      </c>
      <c r="I2402">
        <v>335.29770000000002</v>
      </c>
      <c r="J2402">
        <v>-190.35560000000001</v>
      </c>
      <c r="K2402">
        <v>1.107952</v>
      </c>
      <c r="L2402">
        <v>351.64580000000001</v>
      </c>
      <c r="M2402">
        <v>0.26624019999999998</v>
      </c>
      <c r="N2402">
        <v>0</v>
      </c>
      <c r="O2402">
        <v>-0.96385690000000002</v>
      </c>
      <c r="P2402">
        <v>9.4708920000000002E-2</v>
      </c>
      <c r="Q2402">
        <v>2.5000709999999999E-2</v>
      </c>
      <c r="R2402">
        <v>-0.9951913</v>
      </c>
      <c r="S2402">
        <v>-6.7199709999999996E-2</v>
      </c>
      <c r="T2402">
        <v>-0.20376720000000001</v>
      </c>
      <c r="U2402">
        <v>-3.028076</v>
      </c>
      <c r="V2402">
        <v>0.17387239999999901</v>
      </c>
      <c r="W2402">
        <v>3.3687250000000002E-2</v>
      </c>
      <c r="X2402">
        <v>0.98419179999999995</v>
      </c>
      <c r="Y2402">
        <v>0.28751599999999999</v>
      </c>
      <c r="Z2402">
        <v>6.2079170000000003E-2</v>
      </c>
      <c r="AA2402">
        <v>0.95576179999999999</v>
      </c>
      <c r="AB2402">
        <v>11</v>
      </c>
      <c r="AC2402">
        <v>-0.38939999999999397</v>
      </c>
      <c r="AD2402">
        <v>-1.107954647171</v>
      </c>
      <c r="AE2402">
        <v>-16.348099999999899</v>
      </c>
      <c r="AF2402">
        <v>4.7064691202976103</v>
      </c>
      <c r="AG2402">
        <v>-1.107954647171</v>
      </c>
      <c r="AH2402">
        <v>15.5827735020583</v>
      </c>
      <c r="AI2402">
        <v>93.893802552882093</v>
      </c>
      <c r="AJ2402">
        <v>73.194095044943097</v>
      </c>
      <c r="AK2402">
        <v>16.315674828120201</v>
      </c>
      <c r="AL2402">
        <v>88.069497445333596</v>
      </c>
      <c r="AM2402">
        <v>79.981209209193494</v>
      </c>
      <c r="AN2402">
        <v>0.99999997074077995</v>
      </c>
    </row>
    <row r="2403" spans="1:40" x14ac:dyDescent="0.25">
      <c r="A2403" t="str">
        <f>"20190312150708956"</f>
        <v>20190312150708956</v>
      </c>
      <c r="B2403" t="str">
        <f>"1552374428952339"</f>
        <v>1552374428952339</v>
      </c>
      <c r="C2403" t="s">
        <v>40</v>
      </c>
      <c r="D2403">
        <v>4.0977059999999996</v>
      </c>
      <c r="E2403">
        <v>0.546068</v>
      </c>
      <c r="F2403" t="s">
        <v>42</v>
      </c>
      <c r="G2403">
        <v>-190.83750000000001</v>
      </c>
      <c r="H2403" s="1">
        <v>-2.20331E-6</v>
      </c>
      <c r="I2403">
        <v>334.2056</v>
      </c>
      <c r="J2403">
        <v>-190.34209999999999</v>
      </c>
      <c r="K2403">
        <v>1.10792</v>
      </c>
      <c r="L2403">
        <v>351.577</v>
      </c>
      <c r="M2403">
        <v>0.26187290000000002</v>
      </c>
      <c r="N2403">
        <v>0</v>
      </c>
      <c r="O2403">
        <v>-0.96505359999999996</v>
      </c>
      <c r="P2403">
        <v>9.1574459999999996E-2</v>
      </c>
      <c r="Q2403">
        <v>2.472688E-2</v>
      </c>
      <c r="R2403">
        <v>-0.99549140000000003</v>
      </c>
      <c r="S2403">
        <v>-8.3648680000000003E-2</v>
      </c>
      <c r="T2403">
        <v>-0.19231860000000001</v>
      </c>
      <c r="U2403">
        <v>-3.0272519999999998</v>
      </c>
      <c r="V2403">
        <v>0.17251549999999999</v>
      </c>
      <c r="W2403">
        <v>3.3330770000000003E-2</v>
      </c>
      <c r="X2403">
        <v>0.9844427</v>
      </c>
      <c r="Y2403">
        <v>0.28838190000000002</v>
      </c>
      <c r="Z2403">
        <v>5.8722070000000001E-2</v>
      </c>
      <c r="AA2403">
        <v>0.95571320000000004</v>
      </c>
      <c r="AB2403">
        <v>11</v>
      </c>
      <c r="AC2403">
        <v>-0.49540000000001699</v>
      </c>
      <c r="AD2403">
        <v>-1.10792220331</v>
      </c>
      <c r="AE2403">
        <v>-17.371399999999898</v>
      </c>
      <c r="AF2403">
        <v>5.0070723620480502</v>
      </c>
      <c r="AG2403">
        <v>-1.10792220331</v>
      </c>
      <c r="AH2403">
        <v>16.568044199435398</v>
      </c>
      <c r="AI2403">
        <v>93.662604210620998</v>
      </c>
      <c r="AJ2403">
        <v>73.184519480907099</v>
      </c>
      <c r="AK2403">
        <v>17.3435392536188</v>
      </c>
      <c r="AL2403">
        <v>88.089933747126594</v>
      </c>
      <c r="AM2403">
        <v>80.060313207598696</v>
      </c>
      <c r="AN2403">
        <v>0.99999998377616595</v>
      </c>
    </row>
    <row r="2404" spans="1:40" x14ac:dyDescent="0.25">
      <c r="A2404" t="str">
        <f>"20190312150708974"</f>
        <v>20190312150708974</v>
      </c>
      <c r="B2404" t="str">
        <f>"1552374428962103"</f>
        <v>1552374428962103</v>
      </c>
      <c r="C2404" t="s">
        <v>40</v>
      </c>
      <c r="D2404">
        <v>4.1597819999999999</v>
      </c>
      <c r="E2404">
        <v>0.54609319999999995</v>
      </c>
      <c r="F2404" t="s">
        <v>42</v>
      </c>
      <c r="G2404">
        <v>-190.9144</v>
      </c>
      <c r="H2404" s="1">
        <v>-1.828142E-6</v>
      </c>
      <c r="I2404">
        <v>333.28339999999997</v>
      </c>
      <c r="J2404">
        <v>-190.3235</v>
      </c>
      <c r="K2404">
        <v>1.1078680000000001</v>
      </c>
      <c r="L2404">
        <v>351.48020000000002</v>
      </c>
      <c r="M2404">
        <v>0.25570999999999999</v>
      </c>
      <c r="N2404">
        <v>0</v>
      </c>
      <c r="O2404">
        <v>-0.96670619999999996</v>
      </c>
      <c r="P2404">
        <v>8.7621470000000007E-2</v>
      </c>
      <c r="Q2404">
        <v>2.4347029999999999E-2</v>
      </c>
      <c r="R2404">
        <v>-0.99585679999999999</v>
      </c>
      <c r="S2404">
        <v>-9.4696039999999995E-2</v>
      </c>
      <c r="T2404">
        <v>-0.18331629999999999</v>
      </c>
      <c r="U2404">
        <v>-3.0268549999999999</v>
      </c>
      <c r="V2404">
        <v>0.17014290000000001</v>
      </c>
      <c r="W2404">
        <v>3.283084E-2</v>
      </c>
      <c r="X2404">
        <v>0.98487230000000003</v>
      </c>
      <c r="Y2404">
        <v>0.28576600000000002</v>
      </c>
      <c r="Z2404">
        <v>5.6160880000000003E-2</v>
      </c>
      <c r="AA2404">
        <v>0.95665230000000001</v>
      </c>
      <c r="AB2404">
        <v>11</v>
      </c>
      <c r="AC2404">
        <v>-0.59090000000000398</v>
      </c>
      <c r="AD2404">
        <v>-1.1078698281420001</v>
      </c>
      <c r="AE2404">
        <v>-18.1968</v>
      </c>
      <c r="AF2404">
        <v>5.2052953565746796</v>
      </c>
      <c r="AG2404">
        <v>-1.1078698281420001</v>
      </c>
      <c r="AH2404">
        <v>17.376317485236001</v>
      </c>
      <c r="AI2404">
        <v>93.495050715373793</v>
      </c>
      <c r="AJ2404">
        <v>73.323748885665395</v>
      </c>
      <c r="AK2404">
        <v>18.173026293190802</v>
      </c>
      <c r="AL2404">
        <v>88.118593266050596</v>
      </c>
      <c r="AM2404">
        <v>80.198536071056793</v>
      </c>
      <c r="AN2404">
        <v>0.99999995889140103</v>
      </c>
    </row>
    <row r="2405" spans="1:40" x14ac:dyDescent="0.25">
      <c r="A2405" t="str">
        <f>"20190312150708990"</f>
        <v>20190312150708990</v>
      </c>
      <c r="B2405" t="str">
        <f>"1552374428982595"</f>
        <v>1552374428982595</v>
      </c>
      <c r="C2405" t="s">
        <v>40</v>
      </c>
      <c r="D2405">
        <v>4.1933150000000001</v>
      </c>
      <c r="E2405">
        <v>0.54619030000000002</v>
      </c>
      <c r="F2405" t="s">
        <v>42</v>
      </c>
      <c r="G2405">
        <v>-190.9468</v>
      </c>
      <c r="H2405" s="1">
        <v>-2.057761E-6</v>
      </c>
      <c r="I2405">
        <v>333.79860000000002</v>
      </c>
      <c r="J2405">
        <v>-190.309</v>
      </c>
      <c r="K2405">
        <v>1.107829</v>
      </c>
      <c r="L2405">
        <v>351.40219999999999</v>
      </c>
      <c r="M2405">
        <v>0.25074400000000002</v>
      </c>
      <c r="N2405">
        <v>0</v>
      </c>
      <c r="O2405">
        <v>-0.96800710000000001</v>
      </c>
      <c r="P2405">
        <v>8.3765790000000007E-2</v>
      </c>
      <c r="Q2405">
        <v>2.447359E-2</v>
      </c>
      <c r="R2405">
        <v>-0.99618510000000005</v>
      </c>
      <c r="S2405">
        <v>-0.10668950000000001</v>
      </c>
      <c r="T2405">
        <v>-0.18963360000000001</v>
      </c>
      <c r="U2405">
        <v>-3.0265499999999999</v>
      </c>
      <c r="V2405">
        <v>0.16889999999999999</v>
      </c>
      <c r="W2405">
        <v>3.2849429999999999E-2</v>
      </c>
      <c r="X2405">
        <v>0.98508560000000001</v>
      </c>
      <c r="Y2405">
        <v>0.28463139999999998</v>
      </c>
      <c r="Z2405">
        <v>5.8223030000000002E-2</v>
      </c>
      <c r="AA2405">
        <v>0.95686729999999998</v>
      </c>
      <c r="AB2405">
        <v>11</v>
      </c>
      <c r="AC2405">
        <v>-0.63779999999996995</v>
      </c>
      <c r="AD2405">
        <v>-1.107831057761</v>
      </c>
      <c r="AE2405">
        <v>-17.603599999999901</v>
      </c>
      <c r="AF2405">
        <v>5.0117947613217799</v>
      </c>
      <c r="AG2405">
        <v>-1.107831057761</v>
      </c>
      <c r="AH2405">
        <v>16.8147358608635</v>
      </c>
      <c r="AI2405">
        <v>93.612834319431002</v>
      </c>
      <c r="AJ2405">
        <v>73.402803039716602</v>
      </c>
      <c r="AK2405">
        <v>17.5806916374971</v>
      </c>
      <c r="AL2405">
        <v>88.1175275782699</v>
      </c>
      <c r="AM2405">
        <v>80.270829046966796</v>
      </c>
      <c r="AN2405">
        <v>0.99999996718934103</v>
      </c>
    </row>
    <row r="2406" spans="1:40" x14ac:dyDescent="0.25">
      <c r="A2406" t="str">
        <f>"20190312150709008"</f>
        <v>20190312150709008</v>
      </c>
      <c r="B2406" t="str">
        <f>"1552374429002116"</f>
        <v>1552374429002116</v>
      </c>
      <c r="C2406" t="s">
        <v>40</v>
      </c>
      <c r="D2406">
        <v>4.2935030000000003</v>
      </c>
      <c r="E2406">
        <v>0.545875</v>
      </c>
      <c r="F2406" t="s">
        <v>42</v>
      </c>
      <c r="G2406">
        <v>-190.98589999999999</v>
      </c>
      <c r="H2406" s="1">
        <v>-2.2625739999999999E-6</v>
      </c>
      <c r="I2406">
        <v>334.25170000000003</v>
      </c>
      <c r="J2406">
        <v>-190.29140000000001</v>
      </c>
      <c r="K2406">
        <v>1.1077859999999999</v>
      </c>
      <c r="L2406">
        <v>351.30470000000003</v>
      </c>
      <c r="M2406">
        <v>0.24452489999999999</v>
      </c>
      <c r="N2406">
        <v>0</v>
      </c>
      <c r="O2406">
        <v>-0.96959810000000002</v>
      </c>
      <c r="P2406">
        <v>7.9657839999999994E-2</v>
      </c>
      <c r="Q2406">
        <v>2.5621720000000001E-2</v>
      </c>
      <c r="R2406">
        <v>-0.99649299999999996</v>
      </c>
      <c r="S2406">
        <v>-0.1194458</v>
      </c>
      <c r="T2406">
        <v>-0.19548789999999999</v>
      </c>
      <c r="U2406">
        <v>-3.026367</v>
      </c>
      <c r="V2406">
        <v>0.1666377</v>
      </c>
      <c r="W2406">
        <v>3.3862620000000003E-2</v>
      </c>
      <c r="X2406">
        <v>0.9854366</v>
      </c>
      <c r="Y2406">
        <v>0.28250150000000002</v>
      </c>
      <c r="Z2406">
        <v>6.0185799999999998E-2</v>
      </c>
      <c r="AA2406">
        <v>0.95737700000000003</v>
      </c>
      <c r="AB2406">
        <v>11</v>
      </c>
      <c r="AC2406">
        <v>-0.69449999999997603</v>
      </c>
      <c r="AD2406">
        <v>-1.1077882625740001</v>
      </c>
      <c r="AE2406">
        <v>-17.052999999999901</v>
      </c>
      <c r="AF2406">
        <v>4.8231599250423303</v>
      </c>
      <c r="AG2406">
        <v>-1.1077882625740001</v>
      </c>
      <c r="AH2406">
        <v>16.2967880819761</v>
      </c>
      <c r="AI2406">
        <v>93.729328698556401</v>
      </c>
      <c r="AJ2406">
        <v>73.513474667971707</v>
      </c>
      <c r="AK2406">
        <v>17.031599111242301</v>
      </c>
      <c r="AL2406">
        <v>88.059443894972006</v>
      </c>
      <c r="AM2406">
        <v>80.402058954267005</v>
      </c>
      <c r="AN2406">
        <v>1.00000004635705</v>
      </c>
    </row>
    <row r="2407" spans="1:40" x14ac:dyDescent="0.25">
      <c r="A2407" t="str">
        <f>"20190312150709022"</f>
        <v>20190312150709022</v>
      </c>
      <c r="B2407" t="str">
        <f>"1552374429012851"</f>
        <v>1552374429012851</v>
      </c>
      <c r="C2407" t="s">
        <v>40</v>
      </c>
      <c r="D2407">
        <v>4.1992469999999997</v>
      </c>
      <c r="E2407">
        <v>0.5457149</v>
      </c>
      <c r="F2407" t="s">
        <v>42</v>
      </c>
      <c r="G2407">
        <v>-191.01859999999999</v>
      </c>
      <c r="H2407" s="1">
        <v>-2.2848440000000001E-6</v>
      </c>
      <c r="I2407">
        <v>334.28339999999997</v>
      </c>
      <c r="J2407">
        <v>-190.2791</v>
      </c>
      <c r="K2407">
        <v>1.107748</v>
      </c>
      <c r="L2407">
        <v>351.23379999999997</v>
      </c>
      <c r="M2407">
        <v>0.24000669999999999</v>
      </c>
      <c r="N2407">
        <v>0</v>
      </c>
      <c r="O2407">
        <v>-0.97072749999999997</v>
      </c>
      <c r="P2407">
        <v>7.6001929999999995E-2</v>
      </c>
      <c r="Q2407">
        <v>2.6032E-2</v>
      </c>
      <c r="R2407">
        <v>-0.99676810000000005</v>
      </c>
      <c r="S2407">
        <v>-0.12927249999999901</v>
      </c>
      <c r="T2407">
        <v>-0.1969339</v>
      </c>
      <c r="U2407">
        <v>-3.025909</v>
      </c>
      <c r="V2407">
        <v>0.1656637</v>
      </c>
      <c r="W2407">
        <v>3.4166670000000003E-2</v>
      </c>
      <c r="X2407">
        <v>0.98559030000000003</v>
      </c>
      <c r="Y2407">
        <v>0.2811419</v>
      </c>
      <c r="Z2407">
        <v>6.0756869999999998E-2</v>
      </c>
      <c r="AA2407">
        <v>0.95774099999999995</v>
      </c>
      <c r="AB2407">
        <v>11</v>
      </c>
      <c r="AC2407">
        <v>-0.73949999999999205</v>
      </c>
      <c r="AD2407">
        <v>-1.107750284844</v>
      </c>
      <c r="AE2407">
        <v>-16.950399999999998</v>
      </c>
      <c r="AF2407">
        <v>4.7659493147423699</v>
      </c>
      <c r="AG2407">
        <v>-1.107750284844</v>
      </c>
      <c r="AH2407">
        <v>16.208332126502601</v>
      </c>
      <c r="AI2407">
        <v>93.751438267090407</v>
      </c>
      <c r="AJ2407">
        <v>73.614387363017002</v>
      </c>
      <c r="AK2407">
        <v>16.930783026407301</v>
      </c>
      <c r="AL2407">
        <v>88.042012997515002</v>
      </c>
      <c r="AM2407">
        <v>80.458585195633802</v>
      </c>
      <c r="AN2407">
        <v>1.0000000311453301</v>
      </c>
    </row>
    <row r="2408" spans="1:40" x14ac:dyDescent="0.25">
      <c r="A2408" t="str">
        <f>"20190312150709043"</f>
        <v>20190312150709043</v>
      </c>
      <c r="B2408" t="str">
        <f>"1552374429032374"</f>
        <v>1552374429032374</v>
      </c>
      <c r="C2408" t="s">
        <v>40</v>
      </c>
      <c r="D2408">
        <v>4.1180830000000004</v>
      </c>
      <c r="E2408">
        <v>0.54534890000000003</v>
      </c>
      <c r="F2408" t="s">
        <v>42</v>
      </c>
      <c r="G2408">
        <v>-191.0565</v>
      </c>
      <c r="H2408" s="1">
        <v>-2.3035189999999999E-6</v>
      </c>
      <c r="I2408">
        <v>334.30340000000001</v>
      </c>
      <c r="J2408">
        <v>-190.2612</v>
      </c>
      <c r="K2408">
        <v>1.107691</v>
      </c>
      <c r="L2408">
        <v>351.12799999999999</v>
      </c>
      <c r="M2408">
        <v>0.23324890000000001</v>
      </c>
      <c r="N2408">
        <v>0</v>
      </c>
      <c r="O2408">
        <v>-0.97237470000000004</v>
      </c>
      <c r="P2408">
        <v>7.1058189999999993E-2</v>
      </c>
      <c r="Q2408">
        <v>2.6011599999999999E-2</v>
      </c>
      <c r="R2408">
        <v>-0.99713309999999999</v>
      </c>
      <c r="S2408">
        <v>-0.13893129999999901</v>
      </c>
      <c r="T2408">
        <v>-0.1979581</v>
      </c>
      <c r="U2408">
        <v>-3.0255130000000001</v>
      </c>
      <c r="V2408">
        <v>0.16369649999999999</v>
      </c>
      <c r="W2408">
        <v>3.398557E-2</v>
      </c>
      <c r="X2408">
        <v>0.9859251</v>
      </c>
      <c r="Y2408">
        <v>0.27752070000000001</v>
      </c>
      <c r="Z2408">
        <v>6.1270640000000001E-2</v>
      </c>
      <c r="AA2408">
        <v>0.95876380000000005</v>
      </c>
      <c r="AB2408">
        <v>11</v>
      </c>
      <c r="AC2408">
        <v>-0.79529999999999701</v>
      </c>
      <c r="AD2408">
        <v>-1.107693303519</v>
      </c>
      <c r="AE2408">
        <v>-16.8246</v>
      </c>
      <c r="AF2408">
        <v>4.6776121826738004</v>
      </c>
      <c r="AG2408">
        <v>-1.107693303519</v>
      </c>
      <c r="AH2408">
        <v>16.105324312388099</v>
      </c>
      <c r="AI2408">
        <v>93.778823968819495</v>
      </c>
      <c r="AJ2408">
        <v>73.804649023673704</v>
      </c>
      <c r="AK2408">
        <v>16.807394545061399</v>
      </c>
      <c r="AL2408">
        <v>88.052395101164507</v>
      </c>
      <c r="AM2408">
        <v>80.572984087134998</v>
      </c>
      <c r="AN2408">
        <v>0.99999993294524003</v>
      </c>
    </row>
    <row r="2409" spans="1:40" x14ac:dyDescent="0.25">
      <c r="A2409" t="str">
        <f>"20190312150709056"</f>
        <v>20190312150709056</v>
      </c>
      <c r="B2409" t="str">
        <f>"1552374429052868"</f>
        <v>1552374429052868</v>
      </c>
      <c r="C2409" t="s">
        <v>40</v>
      </c>
      <c r="D2409">
        <v>4.1148179999999996</v>
      </c>
      <c r="E2409">
        <v>0.53446190000000005</v>
      </c>
      <c r="F2409" t="s">
        <v>42</v>
      </c>
      <c r="G2409">
        <v>-191.1311</v>
      </c>
      <c r="H2409" s="1">
        <v>-2.0663349999999999E-6</v>
      </c>
      <c r="I2409">
        <v>333.70429999999999</v>
      </c>
      <c r="J2409">
        <v>-190.24969999999999</v>
      </c>
      <c r="K2409">
        <v>1.107645</v>
      </c>
      <c r="L2409">
        <v>351.0566</v>
      </c>
      <c r="M2409">
        <v>0.22869039999999999</v>
      </c>
      <c r="N2409">
        <v>0</v>
      </c>
      <c r="O2409">
        <v>-0.9734583</v>
      </c>
      <c r="P2409">
        <v>6.7262550000000004E-2</v>
      </c>
      <c r="Q2409">
        <v>2.6631780000000001E-2</v>
      </c>
      <c r="R2409">
        <v>-0.99738009999999999</v>
      </c>
      <c r="S2409">
        <v>-0.1509857</v>
      </c>
      <c r="T2409">
        <v>-0.1922722</v>
      </c>
      <c r="U2409">
        <v>-3.024384</v>
      </c>
      <c r="V2409">
        <v>0.16283029999999901</v>
      </c>
      <c r="W2409">
        <v>3.4486910000000003E-2</v>
      </c>
      <c r="X2409">
        <v>0.98605120000000002</v>
      </c>
      <c r="Y2409">
        <v>0.27685409999999999</v>
      </c>
      <c r="Z2409">
        <v>5.9643160000000001E-2</v>
      </c>
      <c r="AA2409">
        <v>0.9590592</v>
      </c>
      <c r="AB2409">
        <v>11</v>
      </c>
      <c r="AC2409">
        <v>-0.88140000000001295</v>
      </c>
      <c r="AD2409">
        <v>-1.107647066335</v>
      </c>
      <c r="AE2409">
        <v>-17.3523</v>
      </c>
      <c r="AF2409">
        <v>4.80696653749854</v>
      </c>
      <c r="AG2409">
        <v>-1.107647066335</v>
      </c>
      <c r="AH2409">
        <v>16.6232778944334</v>
      </c>
      <c r="AI2409">
        <v>93.662493186923399</v>
      </c>
      <c r="AJ2409">
        <v>73.871674850721604</v>
      </c>
      <c r="AK2409">
        <v>17.3397571283957</v>
      </c>
      <c r="AL2409">
        <v>88.023653738537107</v>
      </c>
      <c r="AM2409">
        <v>80.623156687161497</v>
      </c>
      <c r="AN2409">
        <v>1.0000000112904299</v>
      </c>
    </row>
    <row r="2410" spans="1:40" x14ac:dyDescent="0.25">
      <c r="A2410" t="str">
        <f>"20190312150709076"</f>
        <v>20190312150709076</v>
      </c>
      <c r="B2410" t="str">
        <f>"1552374429072387"</f>
        <v>1552374429072387</v>
      </c>
      <c r="C2410" t="s">
        <v>40</v>
      </c>
      <c r="D2410">
        <v>4.1603139999999996</v>
      </c>
      <c r="E2410">
        <v>0.53380780000000005</v>
      </c>
      <c r="F2410" t="s">
        <v>61</v>
      </c>
      <c r="G2410">
        <v>-191.84639999999999</v>
      </c>
      <c r="H2410" s="1">
        <v>3.5106369999999999E-6</v>
      </c>
      <c r="I2410">
        <v>286.06270000000001</v>
      </c>
      <c r="J2410">
        <v>-190.23330000000001</v>
      </c>
      <c r="K2410">
        <v>1.1075790000000001</v>
      </c>
      <c r="L2410">
        <v>350.95209999999997</v>
      </c>
      <c r="M2410">
        <v>0.2220085</v>
      </c>
      <c r="N2410">
        <v>0</v>
      </c>
      <c r="O2410">
        <v>-0.97500520000000002</v>
      </c>
      <c r="P2410">
        <v>6.2559359999999994E-2</v>
      </c>
      <c r="Q2410">
        <v>2.4508530000000001E-2</v>
      </c>
      <c r="R2410">
        <v>-0.99774030000000002</v>
      </c>
      <c r="S2410">
        <v>-7.4050899999999906E-2</v>
      </c>
      <c r="T2410">
        <v>-5.1369070000000003E-2</v>
      </c>
      <c r="U2410">
        <v>-3.014221</v>
      </c>
      <c r="V2410">
        <v>0.16071649999999901</v>
      </c>
      <c r="W2410">
        <v>3.2191270000000001E-2</v>
      </c>
      <c r="X2410">
        <v>0.98647549999999995</v>
      </c>
      <c r="Y2410">
        <v>0.24589320000000001</v>
      </c>
      <c r="Z2410">
        <v>1.6137289999999999E-2</v>
      </c>
      <c r="AA2410">
        <v>0.96916259999999999</v>
      </c>
      <c r="AB2410">
        <v>12</v>
      </c>
      <c r="AC2410">
        <v>-1.61309999999997</v>
      </c>
      <c r="AD2410">
        <v>-1.1075754893629901</v>
      </c>
      <c r="AE2410">
        <v>-64.889399999999895</v>
      </c>
      <c r="AF2410">
        <v>15.974743955662101</v>
      </c>
      <c r="AG2410">
        <v>-1.1075754893629901</v>
      </c>
      <c r="AH2410">
        <v>62.893493333509603</v>
      </c>
      <c r="AI2410">
        <v>90.977850180894805</v>
      </c>
      <c r="AJ2410">
        <v>75.748432637533995</v>
      </c>
      <c r="AK2410">
        <v>64.900005174158693</v>
      </c>
      <c r="AL2410">
        <v>88.155257371871798</v>
      </c>
      <c r="AM2410">
        <v>80.746675192018401</v>
      </c>
      <c r="AN2410">
        <v>0.99999999166835596</v>
      </c>
    </row>
    <row r="2411" spans="1:40" x14ac:dyDescent="0.25">
      <c r="A2411" t="str">
        <f>"20190312150709100"</f>
        <v>20190312150709100</v>
      </c>
      <c r="B2411" t="str">
        <f>"1552374429092884"</f>
        <v>1552374429092884</v>
      </c>
      <c r="C2411" t="s">
        <v>40</v>
      </c>
      <c r="D2411">
        <v>4.1523940000000001</v>
      </c>
      <c r="E2411">
        <v>0.5327054</v>
      </c>
      <c r="F2411" t="s">
        <v>42</v>
      </c>
      <c r="G2411">
        <v>-191.54320000000001</v>
      </c>
      <c r="H2411" s="1">
        <v>-2.1434399999999999E-6</v>
      </c>
      <c r="I2411">
        <v>303.6284</v>
      </c>
      <c r="J2411">
        <v>-190.21440000000001</v>
      </c>
      <c r="K2411">
        <v>1.1074919999999999</v>
      </c>
      <c r="L2411">
        <v>350.82569999999998</v>
      </c>
      <c r="M2411">
        <v>0.21391370000000001</v>
      </c>
      <c r="N2411">
        <v>0</v>
      </c>
      <c r="O2411">
        <v>-0.97681519999999999</v>
      </c>
      <c r="P2411">
        <v>5.620957E-2</v>
      </c>
      <c r="Q2411">
        <v>2.2938879999999998E-2</v>
      </c>
      <c r="R2411">
        <v>-0.99815580000000004</v>
      </c>
      <c r="S2411">
        <v>-8.3419800000000002E-2</v>
      </c>
      <c r="T2411">
        <v>-7.0535180000000003E-2</v>
      </c>
      <c r="U2411">
        <v>-3.013763</v>
      </c>
      <c r="V2411">
        <v>0.1588106</v>
      </c>
      <c r="W2411">
        <v>3.039876E-2</v>
      </c>
      <c r="X2411">
        <v>0.98684099999999997</v>
      </c>
      <c r="Y2411">
        <v>0.2408603</v>
      </c>
      <c r="Z2411">
        <v>2.2236059999999998E-2</v>
      </c>
      <c r="AA2411">
        <v>0.97030499999999997</v>
      </c>
      <c r="AB2411">
        <v>12</v>
      </c>
      <c r="AC2411">
        <v>-1.3288</v>
      </c>
      <c r="AD2411">
        <v>-1.1074941434400001</v>
      </c>
      <c r="AE2411">
        <v>-47.197299999999899</v>
      </c>
      <c r="AF2411">
        <v>11.388291380293699</v>
      </c>
      <c r="AG2411">
        <v>-1.1074941434400001</v>
      </c>
      <c r="AH2411">
        <v>45.795268233575101</v>
      </c>
      <c r="AI2411">
        <v>91.344417075743294</v>
      </c>
      <c r="AJ2411">
        <v>76.035049649153294</v>
      </c>
      <c r="AK2411">
        <v>47.203032915537598</v>
      </c>
      <c r="AL2411">
        <v>88.258011032471501</v>
      </c>
      <c r="AM2411">
        <v>80.857873066384201</v>
      </c>
      <c r="AN2411">
        <v>1.0000000252814401</v>
      </c>
    </row>
    <row r="2412" spans="1:40" x14ac:dyDescent="0.25">
      <c r="A2412" t="str">
        <f>"20190312150709121"</f>
        <v>20190312150709121</v>
      </c>
      <c r="B2412" t="str">
        <f>"1552374429112403"</f>
        <v>1552374429112403</v>
      </c>
      <c r="C2412" t="s">
        <v>40</v>
      </c>
      <c r="D2412">
        <v>4.2528579999999998</v>
      </c>
      <c r="E2412">
        <v>0.53226609999999996</v>
      </c>
      <c r="F2412" t="s">
        <v>42</v>
      </c>
      <c r="G2412">
        <v>-191.45480000000001</v>
      </c>
      <c r="H2412" s="1">
        <v>-1.05506E-6</v>
      </c>
      <c r="I2412">
        <v>311.00470000000001</v>
      </c>
      <c r="J2412">
        <v>-190.1987</v>
      </c>
      <c r="K2412">
        <v>1.1074090000000001</v>
      </c>
      <c r="L2412">
        <v>350.71379999999999</v>
      </c>
      <c r="M2412">
        <v>0.2067427</v>
      </c>
      <c r="N2412">
        <v>0</v>
      </c>
      <c r="O2412">
        <v>-0.9783596</v>
      </c>
      <c r="P2412">
        <v>5.0789510000000003E-2</v>
      </c>
      <c r="Q2412">
        <v>2.1574469999999998E-2</v>
      </c>
      <c r="R2412">
        <v>-0.99847629999999998</v>
      </c>
      <c r="S2412">
        <v>-9.3841549999999996E-2</v>
      </c>
      <c r="T2412">
        <v>-8.3789349999999999E-2</v>
      </c>
      <c r="U2412">
        <v>-3.0127259999999998</v>
      </c>
      <c r="V2412">
        <v>0.15692809999999999</v>
      </c>
      <c r="W2412">
        <v>2.883542E-2</v>
      </c>
      <c r="X2412">
        <v>0.98718899999999998</v>
      </c>
      <c r="Y2412">
        <v>0.237098</v>
      </c>
      <c r="Z2412">
        <v>2.649638E-2</v>
      </c>
      <c r="AA2412">
        <v>0.9711244</v>
      </c>
      <c r="AB2412">
        <v>12</v>
      </c>
      <c r="AC2412">
        <v>-1.2561</v>
      </c>
      <c r="AD2412">
        <v>-1.1074100550599999</v>
      </c>
      <c r="AE2412">
        <v>-39.7090999999999</v>
      </c>
      <c r="AF2412">
        <v>9.4314862139431792</v>
      </c>
      <c r="AG2412">
        <v>-1.1074100550599999</v>
      </c>
      <c r="AH2412">
        <v>38.561478437865503</v>
      </c>
      <c r="AI2412">
        <v>91.597896204509695</v>
      </c>
      <c r="AJ2412">
        <v>76.256235103226999</v>
      </c>
      <c r="AK2412">
        <v>39.713560763897902</v>
      </c>
      <c r="AL2412">
        <v>88.347623118981602</v>
      </c>
      <c r="AM2412">
        <v>80.967575922240101</v>
      </c>
      <c r="AN2412">
        <v>1.00000001586859</v>
      </c>
    </row>
    <row r="2413" spans="1:40" x14ac:dyDescent="0.25">
      <c r="A2413" t="str">
        <f>"20190312150709134"</f>
        <v>20190312150709134</v>
      </c>
      <c r="B2413" t="str">
        <f>"1552374429122163"</f>
        <v>1552374429122163</v>
      </c>
      <c r="C2413" t="s">
        <v>40</v>
      </c>
      <c r="D2413">
        <v>4.1854100000000001</v>
      </c>
      <c r="E2413">
        <v>0.53222100000000006</v>
      </c>
      <c r="F2413" t="s">
        <v>42</v>
      </c>
      <c r="G2413">
        <v>-191.4187</v>
      </c>
      <c r="H2413" s="1">
        <v>-3.5571950000000001E-6</v>
      </c>
      <c r="I2413">
        <v>316.31819999999999</v>
      </c>
      <c r="J2413">
        <v>-190.18860000000001</v>
      </c>
      <c r="K2413">
        <v>1.1073569999999999</v>
      </c>
      <c r="L2413">
        <v>350.63929999999999</v>
      </c>
      <c r="M2413">
        <v>0.20196639999999999</v>
      </c>
      <c r="N2413">
        <v>0</v>
      </c>
      <c r="O2413">
        <v>-0.97935810000000001</v>
      </c>
      <c r="P2413">
        <v>4.6760349999999999E-2</v>
      </c>
      <c r="Q2413">
        <v>2.037781E-2</v>
      </c>
      <c r="R2413">
        <v>-0.99869870000000005</v>
      </c>
      <c r="S2413">
        <v>-0.10684200000000001</v>
      </c>
      <c r="T2413">
        <v>-9.6979259999999998E-2</v>
      </c>
      <c r="U2413">
        <v>-3.0121150000000001</v>
      </c>
      <c r="V2413">
        <v>0.1560926</v>
      </c>
      <c r="W2413">
        <v>2.750319E-2</v>
      </c>
      <c r="X2413">
        <v>0.98735949999999995</v>
      </c>
      <c r="Y2413">
        <v>0.23654559999999999</v>
      </c>
      <c r="Z2413">
        <v>3.0717609999999999E-2</v>
      </c>
      <c r="AA2413">
        <v>0.97113470000000002</v>
      </c>
      <c r="AB2413">
        <v>12</v>
      </c>
      <c r="AC2413">
        <v>-1.23009999999999</v>
      </c>
      <c r="AD2413">
        <v>-1.10736055719499</v>
      </c>
      <c r="AE2413">
        <v>-34.321100000000001</v>
      </c>
      <c r="AF2413">
        <v>8.1282404144451892</v>
      </c>
      <c r="AG2413">
        <v>-1.10736055719499</v>
      </c>
      <c r="AH2413">
        <v>33.330677814650898</v>
      </c>
      <c r="AI2413">
        <v>91.848724767105494</v>
      </c>
      <c r="AJ2413">
        <v>76.294974966255296</v>
      </c>
      <c r="AK2413">
        <v>34.325335005250999</v>
      </c>
      <c r="AL2413">
        <v>88.423984642265296</v>
      </c>
      <c r="AM2413">
        <v>81.016405065758605</v>
      </c>
      <c r="AN2413">
        <v>1.0000000537375899</v>
      </c>
    </row>
    <row r="2414" spans="1:40" x14ac:dyDescent="0.25">
      <c r="A2414" t="str">
        <f>"20190312150709153"</f>
        <v>20190312150709153</v>
      </c>
      <c r="B2414" t="str">
        <f>"1552374429142659"</f>
        <v>1552374429142659</v>
      </c>
      <c r="C2414" t="s">
        <v>40</v>
      </c>
      <c r="D2414">
        <v>4.2054150000000003</v>
      </c>
      <c r="E2414">
        <v>0.53181179999999995</v>
      </c>
      <c r="F2414" t="s">
        <v>42</v>
      </c>
      <c r="G2414">
        <v>-191.48259999999999</v>
      </c>
      <c r="H2414" s="1">
        <v>-4.271526E-6</v>
      </c>
      <c r="I2414">
        <v>317.79340000000002</v>
      </c>
      <c r="J2414">
        <v>-190.17509999999999</v>
      </c>
      <c r="K2414">
        <v>1.10727999999999</v>
      </c>
      <c r="L2414">
        <v>350.53469999999999</v>
      </c>
      <c r="M2414">
        <v>0.19525809999999999</v>
      </c>
      <c r="N2414">
        <v>0</v>
      </c>
      <c r="O2414">
        <v>-0.98071900000000001</v>
      </c>
      <c r="P2414">
        <v>4.2157840000000002E-2</v>
      </c>
      <c r="Q2414">
        <v>1.821147E-2</v>
      </c>
      <c r="R2414">
        <v>-0.99894519999999998</v>
      </c>
      <c r="S2414">
        <v>-0.1186371</v>
      </c>
      <c r="T2414">
        <v>-0.1015315</v>
      </c>
      <c r="U2414">
        <v>-3.0115660000000002</v>
      </c>
      <c r="V2414">
        <v>0.15387870000000001</v>
      </c>
      <c r="W2414">
        <v>2.5154630000000001E-2</v>
      </c>
      <c r="X2414">
        <v>0.98776949999999997</v>
      </c>
      <c r="Y2414">
        <v>0.23369619999999999</v>
      </c>
      <c r="Z2414">
        <v>3.2241690000000003E-2</v>
      </c>
      <c r="AA2414">
        <v>0.9717749</v>
      </c>
      <c r="AB2414">
        <v>12</v>
      </c>
      <c r="AC2414">
        <v>-1.3075000000000001</v>
      </c>
      <c r="AD2414">
        <v>-1.1072842715259901</v>
      </c>
      <c r="AE2414">
        <v>-32.741299999999903</v>
      </c>
      <c r="AF2414">
        <v>7.6667868978930001</v>
      </c>
      <c r="AG2414">
        <v>-1.1072842715259901</v>
      </c>
      <c r="AH2414">
        <v>31.8194075610845</v>
      </c>
      <c r="AI2414">
        <v>91.937625607755905</v>
      </c>
      <c r="AJ2414">
        <v>76.452980392617405</v>
      </c>
      <c r="AK2414">
        <v>32.748746500195601</v>
      </c>
      <c r="AL2414">
        <v>88.558593825224094</v>
      </c>
      <c r="AM2414">
        <v>81.145405299158</v>
      </c>
      <c r="AN2414">
        <v>0.99999999742718804</v>
      </c>
    </row>
    <row r="2415" spans="1:40" x14ac:dyDescent="0.25">
      <c r="A2415" t="str">
        <f>"20190312150709175"</f>
        <v>20190312150709175</v>
      </c>
      <c r="B2415" t="str">
        <f>"1552374429172915"</f>
        <v>1552374429172915</v>
      </c>
      <c r="C2415" t="s">
        <v>40</v>
      </c>
      <c r="D2415">
        <v>4.2545849999999996</v>
      </c>
      <c r="E2415">
        <v>0.53105719999999901</v>
      </c>
      <c r="F2415" t="s">
        <v>42</v>
      </c>
      <c r="G2415">
        <v>-191.4982</v>
      </c>
      <c r="H2415" s="1">
        <v>-4.6076979999999998E-7</v>
      </c>
      <c r="I2415">
        <v>319.73399999999998</v>
      </c>
      <c r="J2415">
        <v>-190.1601</v>
      </c>
      <c r="K2415">
        <v>1.107191</v>
      </c>
      <c r="L2415">
        <v>350.41129999999998</v>
      </c>
      <c r="M2415">
        <v>0.18734419999999999</v>
      </c>
      <c r="N2415">
        <v>0</v>
      </c>
      <c r="O2415">
        <v>-0.9822632</v>
      </c>
      <c r="P2415">
        <v>3.6513299999999999E-2</v>
      </c>
      <c r="Q2415">
        <v>1.7276900000000001E-2</v>
      </c>
      <c r="R2415">
        <v>-0.99918410000000002</v>
      </c>
      <c r="S2415">
        <v>-0.12931819999999999</v>
      </c>
      <c r="T2415">
        <v>-0.1082313</v>
      </c>
      <c r="U2415">
        <v>-3.0106199999999999</v>
      </c>
      <c r="V2415">
        <v>0.1514925</v>
      </c>
      <c r="W2415">
        <v>2.400627E-2</v>
      </c>
      <c r="X2415">
        <v>0.98816689999999996</v>
      </c>
      <c r="Y2415">
        <v>0.22930429999999999</v>
      </c>
      <c r="Z2415">
        <v>3.4476769999999997E-2</v>
      </c>
      <c r="AA2415">
        <v>0.97274400000000005</v>
      </c>
      <c r="AB2415">
        <v>12</v>
      </c>
      <c r="AC2415">
        <v>-1.3380999999999901</v>
      </c>
      <c r="AD2415">
        <v>-1.1071914607697999</v>
      </c>
      <c r="AE2415">
        <v>-30.677299999999899</v>
      </c>
      <c r="AF2415">
        <v>7.0526272464667601</v>
      </c>
      <c r="AG2415">
        <v>-1.1071914607697999</v>
      </c>
      <c r="AH2415">
        <v>29.844609614740801</v>
      </c>
      <c r="AI2415">
        <v>92.067717267169797</v>
      </c>
      <c r="AJ2415">
        <v>76.704253781105905</v>
      </c>
      <c r="AK2415">
        <v>30.686579266263699</v>
      </c>
      <c r="AL2415">
        <v>88.624409969260398</v>
      </c>
      <c r="AM2415">
        <v>81.284039998260496</v>
      </c>
      <c r="AN2415">
        <v>1.0000000504055799</v>
      </c>
    </row>
    <row r="2416" spans="1:40" x14ac:dyDescent="0.25">
      <c r="A2416" t="str">
        <f>"20190312150709190"</f>
        <v>20190312150709190</v>
      </c>
      <c r="B2416" t="str">
        <f>"1552374429182676"</f>
        <v>1552374429182676</v>
      </c>
      <c r="C2416" t="s">
        <v>40</v>
      </c>
      <c r="D2416">
        <v>4.2694080000000003</v>
      </c>
      <c r="E2416">
        <v>0.53072259999999905</v>
      </c>
      <c r="F2416" t="s">
        <v>42</v>
      </c>
      <c r="G2416">
        <v>-191.51830000000001</v>
      </c>
      <c r="H2416" s="1">
        <v>-1.120379E-6</v>
      </c>
      <c r="I2416">
        <v>321.25909999999999</v>
      </c>
      <c r="J2416">
        <v>-190.1508</v>
      </c>
      <c r="K2416">
        <v>1.107137</v>
      </c>
      <c r="L2416">
        <v>350.3306</v>
      </c>
      <c r="M2416">
        <v>0.18216070000000001</v>
      </c>
      <c r="N2416">
        <v>0</v>
      </c>
      <c r="O2416">
        <v>-0.98323879999999997</v>
      </c>
      <c r="P2416">
        <v>3.2514389999999997E-2</v>
      </c>
      <c r="Q2416">
        <v>1.7483189999999999E-2</v>
      </c>
      <c r="R2416">
        <v>-0.99931859999999995</v>
      </c>
      <c r="S2416">
        <v>-0.140213</v>
      </c>
      <c r="T2416">
        <v>-0.11430269999999999</v>
      </c>
      <c r="U2416">
        <v>-3.0095830000000001</v>
      </c>
      <c r="V2416">
        <v>0.15023619999999999</v>
      </c>
      <c r="W2416">
        <v>2.4073009999999999E-2</v>
      </c>
      <c r="X2416">
        <v>0.98835700000000004</v>
      </c>
      <c r="Y2416">
        <v>0.22769519999999999</v>
      </c>
      <c r="Z2416">
        <v>3.6480289999999999E-2</v>
      </c>
      <c r="AA2416">
        <v>0.97304889999999999</v>
      </c>
      <c r="AB2416">
        <v>12</v>
      </c>
      <c r="AC2416">
        <v>-1.3674999999999999</v>
      </c>
      <c r="AD2416">
        <v>-1.1071381203790001</v>
      </c>
      <c r="AE2416">
        <v>-29.0715</v>
      </c>
      <c r="AF2416">
        <v>6.6308638010979504</v>
      </c>
      <c r="AG2416">
        <v>-1.1071381203790001</v>
      </c>
      <c r="AH2416">
        <v>28.2950104322688</v>
      </c>
      <c r="AI2416">
        <v>92.181700381487403</v>
      </c>
      <c r="AJ2416">
        <v>76.810885104892094</v>
      </c>
      <c r="AK2416">
        <v>29.082670526079699</v>
      </c>
      <c r="AL2416">
        <v>88.620584863861893</v>
      </c>
      <c r="AM2416">
        <v>81.356861076903598</v>
      </c>
      <c r="AN2416">
        <v>0.99999999252494998</v>
      </c>
    </row>
    <row r="2417" spans="1:40" x14ac:dyDescent="0.25">
      <c r="A2417" t="str">
        <f>"20190312150709210"</f>
        <v>20190312150709210</v>
      </c>
      <c r="B2417" t="str">
        <f>"1552374429202196"</f>
        <v>1552374429202196</v>
      </c>
      <c r="C2417" t="s">
        <v>40</v>
      </c>
      <c r="D2417">
        <v>4.2527410000000003</v>
      </c>
      <c r="E2417">
        <v>0.5262384</v>
      </c>
      <c r="F2417" t="s">
        <v>42</v>
      </c>
      <c r="G2417">
        <v>-191.56200000000001</v>
      </c>
      <c r="H2417" s="1">
        <v>-1.416973E-6</v>
      </c>
      <c r="I2417">
        <v>321.92329999999998</v>
      </c>
      <c r="J2417">
        <v>-190.13820000000001</v>
      </c>
      <c r="K2417">
        <v>1.107054</v>
      </c>
      <c r="L2417">
        <v>350.21390000000002</v>
      </c>
      <c r="M2417">
        <v>0.1746742</v>
      </c>
      <c r="N2417">
        <v>0</v>
      </c>
      <c r="O2417">
        <v>-0.98459790000000003</v>
      </c>
      <c r="P2417">
        <v>2.7877929999999999E-2</v>
      </c>
      <c r="Q2417">
        <v>1.82539E-2</v>
      </c>
      <c r="R2417">
        <v>-0.99944460000000002</v>
      </c>
      <c r="S2417">
        <v>-0.1494751</v>
      </c>
      <c r="T2417">
        <v>-0.117269899999999</v>
      </c>
      <c r="U2417">
        <v>-3.0089419999999998</v>
      </c>
      <c r="V2417">
        <v>0.1473043</v>
      </c>
      <c r="W2417">
        <v>2.4659819999999999E-2</v>
      </c>
      <c r="X2417">
        <v>0.98878379999999999</v>
      </c>
      <c r="Y2417">
        <v>0.2232797</v>
      </c>
      <c r="Z2417">
        <v>3.7530269999999998E-2</v>
      </c>
      <c r="AA2417">
        <v>0.9740316</v>
      </c>
      <c r="AB2417">
        <v>12</v>
      </c>
      <c r="AC2417">
        <v>-1.4238</v>
      </c>
      <c r="AD2417">
        <v>-1.107055416973</v>
      </c>
      <c r="AE2417">
        <v>-28.290600000000001</v>
      </c>
      <c r="AF2417">
        <v>6.3340110831047598</v>
      </c>
      <c r="AG2417">
        <v>-1.107055416973</v>
      </c>
      <c r="AH2417">
        <v>27.5648330204417</v>
      </c>
      <c r="AI2417">
        <v>92.241515363198999</v>
      </c>
      <c r="AJ2417">
        <v>77.058884525942602</v>
      </c>
      <c r="AK2417">
        <v>28.304863319613101</v>
      </c>
      <c r="AL2417">
        <v>88.586953198992205</v>
      </c>
      <c r="AM2417">
        <v>81.5266656449366</v>
      </c>
      <c r="AN2417">
        <v>1.0000000333316801</v>
      </c>
    </row>
    <row r="2418" spans="1:40" x14ac:dyDescent="0.25">
      <c r="A2418" t="str">
        <f>"20190312150709233"</f>
        <v>20190312150709233</v>
      </c>
      <c r="B2418" t="str">
        <f>"1552374429222691"</f>
        <v>1552374429222691</v>
      </c>
      <c r="C2418" t="s">
        <v>40</v>
      </c>
      <c r="D2418">
        <v>4.2969390000000001</v>
      </c>
      <c r="E2418">
        <v>0.52862419999999899</v>
      </c>
      <c r="F2418" t="s">
        <v>61</v>
      </c>
      <c r="G2418">
        <v>-195.93879999999999</v>
      </c>
      <c r="H2418" s="1">
        <v>3.1045679999999999E-6</v>
      </c>
      <c r="I2418">
        <v>212.404</v>
      </c>
      <c r="J2418">
        <v>-190.12540000000001</v>
      </c>
      <c r="K2418">
        <v>1.106978</v>
      </c>
      <c r="L2418">
        <v>350.08690000000001</v>
      </c>
      <c r="M2418">
        <v>0.16652069999999999</v>
      </c>
      <c r="N2418">
        <v>0</v>
      </c>
      <c r="O2418">
        <v>-0.98601110000000003</v>
      </c>
      <c r="P2418">
        <v>2.3226449999999999E-2</v>
      </c>
      <c r="Q2418">
        <v>1.8731939999999999E-2</v>
      </c>
      <c r="R2418">
        <v>-0.99955499999999997</v>
      </c>
      <c r="S2418">
        <v>-0.1265106</v>
      </c>
      <c r="T2418">
        <v>-2.4144889999999999E-2</v>
      </c>
      <c r="U2418">
        <v>-3.005646</v>
      </c>
      <c r="V2418">
        <v>0.14372560000000001</v>
      </c>
      <c r="W2418">
        <v>2.495441E-2</v>
      </c>
      <c r="X2418">
        <v>0.98930289999999999</v>
      </c>
      <c r="Y2418">
        <v>0.2078431</v>
      </c>
      <c r="Z2418">
        <v>7.7733280000000004E-3</v>
      </c>
      <c r="AA2418">
        <v>0.97813130000000004</v>
      </c>
      <c r="AB2418">
        <v>12</v>
      </c>
      <c r="AC2418">
        <v>-5.8133999999999704</v>
      </c>
      <c r="AD2418">
        <v>-1.106974895432</v>
      </c>
      <c r="AE2418">
        <v>-137.68289999999999</v>
      </c>
      <c r="AF2418">
        <v>28.658039621691799</v>
      </c>
      <c r="AG2418">
        <v>-1.106974895432</v>
      </c>
      <c r="AH2418">
        <v>134.78368887727399</v>
      </c>
      <c r="AI2418">
        <v>90.460269605383004</v>
      </c>
      <c r="AJ2418">
        <v>77.996387514546399</v>
      </c>
      <c r="AK2418">
        <v>137.80112995089499</v>
      </c>
      <c r="AL2418">
        <v>88.570069191215794</v>
      </c>
      <c r="AM2418">
        <v>81.733919383649607</v>
      </c>
      <c r="AN2418">
        <v>0.99999999931110894</v>
      </c>
    </row>
    <row r="2419" spans="1:40" x14ac:dyDescent="0.25">
      <c r="A2419" t="str">
        <f>"20190312150709247"</f>
        <v>20190312150709247</v>
      </c>
      <c r="B2419" t="str">
        <f>"1552374429242211"</f>
        <v>1552374429242211</v>
      </c>
      <c r="C2419" t="s">
        <v>40</v>
      </c>
      <c r="D2419">
        <v>4.2431140000000003</v>
      </c>
      <c r="E2419">
        <v>0.52934590000000004</v>
      </c>
      <c r="F2419" t="s">
        <v>42</v>
      </c>
      <c r="G2419">
        <v>-191.2826</v>
      </c>
      <c r="H2419" s="1">
        <v>-4.1407570000000001E-6</v>
      </c>
      <c r="I2419">
        <v>328.48610000000002</v>
      </c>
      <c r="J2419">
        <v>-190.1183</v>
      </c>
      <c r="K2419">
        <v>1.1069310000000001</v>
      </c>
      <c r="L2419">
        <v>350.01139999999998</v>
      </c>
      <c r="M2419">
        <v>0.1616783</v>
      </c>
      <c r="N2419">
        <v>0</v>
      </c>
      <c r="O2419">
        <v>-0.98681750000000001</v>
      </c>
      <c r="P2419">
        <v>2.074208E-2</v>
      </c>
      <c r="Q2419">
        <v>1.8316229999999999E-2</v>
      </c>
      <c r="R2419">
        <v>-0.99961730000000004</v>
      </c>
      <c r="S2419">
        <v>-0.16113279999999999</v>
      </c>
      <c r="T2419">
        <v>-0.15414849999999999</v>
      </c>
      <c r="U2419">
        <v>-3.0079349999999998</v>
      </c>
      <c r="V2419">
        <v>0.14132649999999999</v>
      </c>
      <c r="W2419">
        <v>2.4438640000000001E-2</v>
      </c>
      <c r="X2419">
        <v>0.98966129999999997</v>
      </c>
      <c r="Y2419">
        <v>0.21417079999999999</v>
      </c>
      <c r="Z2419">
        <v>4.9539659999999999E-2</v>
      </c>
      <c r="AA2419">
        <v>0.97553920000000005</v>
      </c>
      <c r="AB2419">
        <v>12</v>
      </c>
      <c r="AC2419">
        <v>-1.1642999999999899</v>
      </c>
      <c r="AD2419">
        <v>-1.1069351407569901</v>
      </c>
      <c r="AE2419">
        <v>-21.525299999999898</v>
      </c>
      <c r="AF2419">
        <v>4.6170700917658101</v>
      </c>
      <c r="AG2419">
        <v>-1.1069351407569901</v>
      </c>
      <c r="AH2419">
        <v>20.998472473644199</v>
      </c>
      <c r="AI2419">
        <v>92.947281111412806</v>
      </c>
      <c r="AJ2419">
        <v>77.599332415547906</v>
      </c>
      <c r="AK2419">
        <v>21.528550528647099</v>
      </c>
      <c r="AL2419">
        <v>88.599629593621501</v>
      </c>
      <c r="AM2419">
        <v>81.872943605549906</v>
      </c>
      <c r="AN2419">
        <v>0.99999995772249395</v>
      </c>
    </row>
    <row r="2420" spans="1:40" x14ac:dyDescent="0.25">
      <c r="A2420" t="str">
        <f>"20190312150709265"</f>
        <v>20190312150709265</v>
      </c>
      <c r="B2420" t="str">
        <f>"1552374429262708"</f>
        <v>1552374429262708</v>
      </c>
      <c r="C2420" t="s">
        <v>40</v>
      </c>
      <c r="D2420">
        <v>5.4971560000000004</v>
      </c>
      <c r="E2420">
        <v>0.52817769999999897</v>
      </c>
      <c r="F2420" t="s">
        <v>42</v>
      </c>
      <c r="G2420">
        <v>-191.54859999999999</v>
      </c>
      <c r="H2420" s="1">
        <v>-2.859835E-6</v>
      </c>
      <c r="I2420">
        <v>325.29500000000002</v>
      </c>
      <c r="J2420">
        <v>-190.10849999999999</v>
      </c>
      <c r="K2420">
        <v>1.10686</v>
      </c>
      <c r="L2420">
        <v>349.9</v>
      </c>
      <c r="M2420">
        <v>0.154529</v>
      </c>
      <c r="N2420">
        <v>0</v>
      </c>
      <c r="O2420">
        <v>-0.98796329999999999</v>
      </c>
      <c r="P2420">
        <v>1.8883270000000001E-2</v>
      </c>
      <c r="Q2420">
        <v>1.787648E-2</v>
      </c>
      <c r="R2420">
        <v>-0.99966200000000005</v>
      </c>
      <c r="S2420">
        <v>-0.1740265</v>
      </c>
      <c r="T2420">
        <v>-0.13467870000000001</v>
      </c>
      <c r="U2420">
        <v>-3.0072019999999999</v>
      </c>
      <c r="V2420">
        <v>0.1359979</v>
      </c>
      <c r="W2420">
        <v>2.387709E-2</v>
      </c>
      <c r="X2420">
        <v>0.99042140000000001</v>
      </c>
      <c r="Y2420">
        <v>0.21129709999999999</v>
      </c>
      <c r="Z2420">
        <v>4.339204E-2</v>
      </c>
      <c r="AA2420">
        <v>0.97645820000000005</v>
      </c>
      <c r="AB2420">
        <v>13</v>
      </c>
      <c r="AC2420">
        <v>-1.4400999999999999</v>
      </c>
      <c r="AD2420">
        <v>-1.1068628598350001</v>
      </c>
      <c r="AE2420">
        <v>-24.604999999999901</v>
      </c>
      <c r="AF2420">
        <v>5.2145642482113397</v>
      </c>
      <c r="AG2420">
        <v>-1.1068628598350001</v>
      </c>
      <c r="AH2420">
        <v>24.0384137277428</v>
      </c>
      <c r="AI2420">
        <v>92.576514532820298</v>
      </c>
      <c r="AJ2420">
        <v>77.760668992607506</v>
      </c>
      <c r="AK2420">
        <v>24.622391440218301</v>
      </c>
      <c r="AL2420">
        <v>88.631813555087106</v>
      </c>
      <c r="AM2420">
        <v>82.181429814744703</v>
      </c>
      <c r="AN2420">
        <v>1.00000004690461</v>
      </c>
    </row>
    <row r="2421" spans="1:40" x14ac:dyDescent="0.25">
      <c r="A2421" t="str">
        <f>"20190312150709290"</f>
        <v>20190312150709290</v>
      </c>
      <c r="B2421" t="str">
        <f>"1552374429282228"</f>
        <v>1552374429282228</v>
      </c>
      <c r="C2421" t="s">
        <v>40</v>
      </c>
      <c r="D2421">
        <v>4.2539210000000001</v>
      </c>
      <c r="E2421">
        <v>0.5270629</v>
      </c>
      <c r="F2421" t="s">
        <v>42</v>
      </c>
      <c r="G2421">
        <v>-191.6223</v>
      </c>
      <c r="H2421" s="1">
        <v>-1.9461899999999998E-6</v>
      </c>
      <c r="I2421">
        <v>323.11959999999999</v>
      </c>
      <c r="J2421">
        <v>-190.09739999999999</v>
      </c>
      <c r="K2421">
        <v>1.1067849999999999</v>
      </c>
      <c r="L2421">
        <v>349.76029999999997</v>
      </c>
      <c r="M2421">
        <v>0.14557249999999999</v>
      </c>
      <c r="N2421">
        <v>0</v>
      </c>
      <c r="O2421">
        <v>-0.98932370000000003</v>
      </c>
      <c r="P2421">
        <v>1.544064E-2</v>
      </c>
      <c r="Q2421">
        <v>1.8051129999999999E-2</v>
      </c>
      <c r="R2421">
        <v>-0.99971779999999999</v>
      </c>
      <c r="S2421">
        <v>-0.16993710000000001</v>
      </c>
      <c r="T2421">
        <v>-0.1242567</v>
      </c>
      <c r="U2421">
        <v>-3.0063780000000002</v>
      </c>
      <c r="V2421">
        <v>0.130436</v>
      </c>
      <c r="W2421">
        <v>2.3912840000000001E-2</v>
      </c>
      <c r="X2421">
        <v>0.9911683</v>
      </c>
      <c r="Y2421">
        <v>0.2011309</v>
      </c>
      <c r="Z2421">
        <v>4.0181139999999997E-2</v>
      </c>
      <c r="AA2421">
        <v>0.9787399</v>
      </c>
      <c r="AB2421">
        <v>13</v>
      </c>
      <c r="AC2421">
        <v>-1.5248999999999999</v>
      </c>
      <c r="AD2421">
        <v>-1.10678694619</v>
      </c>
      <c r="AE2421">
        <v>-26.640699999999899</v>
      </c>
      <c r="AF2421">
        <v>5.3776488897097696</v>
      </c>
      <c r="AG2421">
        <v>-1.10678694619</v>
      </c>
      <c r="AH2421">
        <v>26.090026100417699</v>
      </c>
      <c r="AI2421">
        <v>92.379181193174901</v>
      </c>
      <c r="AJ2421">
        <v>78.353361616448396</v>
      </c>
      <c r="AK2421">
        <v>26.661461828746901</v>
      </c>
      <c r="AL2421">
        <v>88.629764563222906</v>
      </c>
      <c r="AM2421">
        <v>82.503056005777907</v>
      </c>
      <c r="AN2421">
        <v>0.999999986468877</v>
      </c>
    </row>
    <row r="2422" spans="1:40" x14ac:dyDescent="0.25">
      <c r="A2422" t="str">
        <f>"20190312150709311"</f>
        <v>20190312150709311</v>
      </c>
      <c r="B2422" t="str">
        <f>"1552374429302723"</f>
        <v>1552374429302723</v>
      </c>
      <c r="C2422" t="s">
        <v>40</v>
      </c>
      <c r="D2422">
        <v>4.2507650000000003</v>
      </c>
      <c r="E2422">
        <v>0.52612950000000003</v>
      </c>
      <c r="F2422" t="s">
        <v>42</v>
      </c>
      <c r="G2422">
        <v>-191.8527</v>
      </c>
      <c r="H2422" s="1">
        <v>-4.8040839999999999E-6</v>
      </c>
      <c r="I2422">
        <v>318.94040000000001</v>
      </c>
      <c r="J2422">
        <v>-190.0882</v>
      </c>
      <c r="K2422">
        <v>1.106725</v>
      </c>
      <c r="L2422">
        <v>349.63119999999998</v>
      </c>
      <c r="M2422">
        <v>0.1372932</v>
      </c>
      <c r="N2422">
        <v>0</v>
      </c>
      <c r="O2422">
        <v>-0.99050769999999999</v>
      </c>
      <c r="P2422">
        <v>1.257198E-2</v>
      </c>
      <c r="Q2422">
        <v>1.8718309999999998E-2</v>
      </c>
      <c r="R2422">
        <v>-0.99974609999999997</v>
      </c>
      <c r="S2422">
        <v>-0.17117309999999999</v>
      </c>
      <c r="T2422">
        <v>-0.10792980000000001</v>
      </c>
      <c r="U2422">
        <v>-3.0054319999999999</v>
      </c>
      <c r="V2422">
        <v>0.1249929</v>
      </c>
      <c r="W2422">
        <v>2.4472480000000001E-2</v>
      </c>
      <c r="X2422">
        <v>0.99185579999999995</v>
      </c>
      <c r="Y2422">
        <v>0.19336210000000001</v>
      </c>
      <c r="Z2422">
        <v>3.5011069999999998E-2</v>
      </c>
      <c r="AA2422">
        <v>0.9805026</v>
      </c>
      <c r="AB2422">
        <v>13</v>
      </c>
      <c r="AC2422">
        <v>-1.76449999999999</v>
      </c>
      <c r="AD2422">
        <v>-1.1067298040839999</v>
      </c>
      <c r="AE2422">
        <v>-30.6907999999999</v>
      </c>
      <c r="AF2422">
        <v>5.9538066918087198</v>
      </c>
      <c r="AG2422">
        <v>-1.1067298040839999</v>
      </c>
      <c r="AH2422">
        <v>30.118862916207501</v>
      </c>
      <c r="AI2422">
        <v>92.064495588442597</v>
      </c>
      <c r="AJ2422">
        <v>78.818103033006196</v>
      </c>
      <c r="AK2422">
        <v>30.721630300945499</v>
      </c>
      <c r="AL2422">
        <v>88.597690222395102</v>
      </c>
      <c r="AM2422">
        <v>82.817491967397004</v>
      </c>
      <c r="AN2422">
        <v>1.00000002766069</v>
      </c>
    </row>
    <row r="2423" spans="1:40" x14ac:dyDescent="0.25">
      <c r="A2423" t="str">
        <f>"20190312150709332"</f>
        <v>20190312150709332</v>
      </c>
      <c r="B2423" t="str">
        <f>"1552374429322247"</f>
        <v>1552374429322247</v>
      </c>
      <c r="C2423" t="s">
        <v>40</v>
      </c>
      <c r="D2423">
        <v>4.309361</v>
      </c>
      <c r="E2423">
        <v>0.52548339999999905</v>
      </c>
      <c r="F2423" t="s">
        <v>42</v>
      </c>
      <c r="G2423">
        <v>-191.94309999999999</v>
      </c>
      <c r="H2423" s="1">
        <v>-4.1258910000000001E-6</v>
      </c>
      <c r="I2423">
        <v>317.22609999999997</v>
      </c>
      <c r="J2423">
        <v>-190.08</v>
      </c>
      <c r="K2423">
        <v>1.106676</v>
      </c>
      <c r="L2423">
        <v>349.49979999999999</v>
      </c>
      <c r="M2423">
        <v>0.1288647</v>
      </c>
      <c r="N2423">
        <v>0</v>
      </c>
      <c r="O2423">
        <v>-0.99164010000000002</v>
      </c>
      <c r="P2423">
        <v>9.2730599999999996E-3</v>
      </c>
      <c r="Q2423">
        <v>2.0721699999999999E-2</v>
      </c>
      <c r="R2423">
        <v>-0.99974249999999998</v>
      </c>
      <c r="S2423">
        <v>-0.17199710000000001</v>
      </c>
      <c r="T2423">
        <v>-0.1026236</v>
      </c>
      <c r="U2423">
        <v>-3.0048219999999999</v>
      </c>
      <c r="V2423">
        <v>0.1198405</v>
      </c>
      <c r="W2423">
        <v>2.6381120000000001E-2</v>
      </c>
      <c r="X2423">
        <v>0.99244259999999995</v>
      </c>
      <c r="Y2423">
        <v>0.1852945</v>
      </c>
      <c r="Z2423">
        <v>3.3382839999999997E-2</v>
      </c>
      <c r="AA2423">
        <v>0.98211590000000004</v>
      </c>
      <c r="AB2423">
        <v>13</v>
      </c>
      <c r="AC2423">
        <v>-1.86309999999997</v>
      </c>
      <c r="AD2423">
        <v>-1.106680125891</v>
      </c>
      <c r="AE2423">
        <v>-32.273699999999998</v>
      </c>
      <c r="AF2423">
        <v>5.9995658147018398</v>
      </c>
      <c r="AG2423">
        <v>-1.106680125891</v>
      </c>
      <c r="AH2423">
        <v>31.727320730683601</v>
      </c>
      <c r="AI2423">
        <v>91.962963557245104</v>
      </c>
      <c r="AJ2423">
        <v>79.291933617417399</v>
      </c>
      <c r="AK2423">
        <v>32.308550131716601</v>
      </c>
      <c r="AL2423">
        <v>88.488297799883995</v>
      </c>
      <c r="AM2423">
        <v>83.1146946322703</v>
      </c>
      <c r="AN2423">
        <v>1.00000001161373</v>
      </c>
    </row>
    <row r="2424" spans="1:40" x14ac:dyDescent="0.25">
      <c r="A2424" t="str">
        <f>"20190312150709354"</f>
        <v>20190312150709354</v>
      </c>
      <c r="B2424" t="str">
        <f>"1552374429352500"</f>
        <v>1552374429352500</v>
      </c>
      <c r="C2424" t="s">
        <v>40</v>
      </c>
      <c r="D2424">
        <v>4.378603</v>
      </c>
      <c r="E2424">
        <v>0.52420900000000004</v>
      </c>
      <c r="F2424" t="s">
        <v>42</v>
      </c>
      <c r="G2424">
        <v>-192.0626</v>
      </c>
      <c r="H2424" s="1">
        <v>-3.4892980000000001E-6</v>
      </c>
      <c r="I2424">
        <v>315.81220000000002</v>
      </c>
      <c r="J2424">
        <v>-190.07300000000001</v>
      </c>
      <c r="K2424">
        <v>1.1066279999999999</v>
      </c>
      <c r="L2424">
        <v>349.37060000000002</v>
      </c>
      <c r="M2424">
        <v>0.12058530000000001</v>
      </c>
      <c r="N2424">
        <v>0</v>
      </c>
      <c r="O2424">
        <v>-0.9926817</v>
      </c>
      <c r="P2424">
        <v>6.0338619999999897E-3</v>
      </c>
      <c r="Q2424">
        <v>2.4318800000000002E-2</v>
      </c>
      <c r="R2424">
        <v>-0.99968639999999998</v>
      </c>
      <c r="S2424">
        <v>-0.1768188</v>
      </c>
      <c r="T2424">
        <v>-9.8698140000000004E-2</v>
      </c>
      <c r="U2424">
        <v>-3.0043950000000001</v>
      </c>
      <c r="V2424">
        <v>0.1147923</v>
      </c>
      <c r="W2424">
        <v>2.990021E-2</v>
      </c>
      <c r="X2424">
        <v>0.99293940000000003</v>
      </c>
      <c r="Y2424">
        <v>0.17867140000000001</v>
      </c>
      <c r="Z2424">
        <v>3.218178E-2</v>
      </c>
      <c r="AA2424">
        <v>0.98338230000000004</v>
      </c>
      <c r="AB2424">
        <v>13</v>
      </c>
      <c r="AC2424">
        <v>-1.98960000000002</v>
      </c>
      <c r="AD2424">
        <v>-1.106631489298</v>
      </c>
      <c r="AE2424">
        <v>-33.558399999999999</v>
      </c>
      <c r="AF2424">
        <v>6.0152980503173801</v>
      </c>
      <c r="AG2424">
        <v>-1.106631489298</v>
      </c>
      <c r="AH2424">
        <v>33.037790739863098</v>
      </c>
      <c r="AI2424">
        <v>91.887451019701103</v>
      </c>
      <c r="AJ2424">
        <v>79.681007297608701</v>
      </c>
      <c r="AK2424">
        <v>33.599167561983499</v>
      </c>
      <c r="AL2424">
        <v>88.286588745416793</v>
      </c>
      <c r="AM2424">
        <v>83.405392839968201</v>
      </c>
      <c r="AN2424">
        <v>0.99999997338484603</v>
      </c>
    </row>
    <row r="2425" spans="1:40" x14ac:dyDescent="0.25">
      <c r="A2425" t="str">
        <f>"20190312150709369"</f>
        <v>20190312150709369</v>
      </c>
      <c r="B2425" t="str">
        <f>"1552374429362259"</f>
        <v>1552374429362259</v>
      </c>
      <c r="C2425" t="s">
        <v>40</v>
      </c>
      <c r="D2425">
        <v>4.4392509999999996</v>
      </c>
      <c r="E2425">
        <v>0.52420900000000004</v>
      </c>
      <c r="F2425" t="s">
        <v>42</v>
      </c>
      <c r="G2425">
        <v>-191.93039999999999</v>
      </c>
      <c r="H2425" s="1">
        <v>-4.3801479999999901E-6</v>
      </c>
      <c r="I2425">
        <v>317.80059999999997</v>
      </c>
      <c r="J2425">
        <v>-190.06870000000001</v>
      </c>
      <c r="K2425">
        <v>1.1066020000000001</v>
      </c>
      <c r="L2425">
        <v>349.28160000000003</v>
      </c>
      <c r="M2425">
        <v>0.1148859</v>
      </c>
      <c r="N2425">
        <v>0</v>
      </c>
      <c r="O2425">
        <v>-0.99335779999999996</v>
      </c>
      <c r="P2425">
        <v>3.1592970000000001E-3</v>
      </c>
      <c r="Q2425">
        <v>2.6285139999999999E-2</v>
      </c>
      <c r="R2425">
        <v>-0.99964969999999997</v>
      </c>
      <c r="S2425">
        <v>-0.17677309999999999</v>
      </c>
      <c r="T2425">
        <v>-0.1053205</v>
      </c>
      <c r="U2425">
        <v>-3.004578</v>
      </c>
      <c r="V2425">
        <v>0.11195910000000001</v>
      </c>
      <c r="W2425">
        <v>3.1815709999999997E-2</v>
      </c>
      <c r="X2425">
        <v>0.99320330000000001</v>
      </c>
      <c r="Y2425">
        <v>0.1729986</v>
      </c>
      <c r="Z2425">
        <v>3.4389709999999997E-2</v>
      </c>
      <c r="AA2425">
        <v>0.98432149999999996</v>
      </c>
      <c r="AB2425">
        <v>13</v>
      </c>
      <c r="AC2425">
        <v>-1.8616999999999799</v>
      </c>
      <c r="AD2425">
        <v>-1.1066063801479999</v>
      </c>
      <c r="AE2425">
        <v>-31.481000000000002</v>
      </c>
      <c r="AF2425">
        <v>5.4594483269815903</v>
      </c>
      <c r="AG2425">
        <v>-1.1066063801479999</v>
      </c>
      <c r="AH2425">
        <v>31.020462160362101</v>
      </c>
      <c r="AI2425">
        <v>92.012171668514995</v>
      </c>
      <c r="AJ2425">
        <v>80.018444841402001</v>
      </c>
      <c r="AK2425">
        <v>31.516649986285401</v>
      </c>
      <c r="AL2425">
        <v>88.176786304072607</v>
      </c>
      <c r="AM2425">
        <v>83.568468460153397</v>
      </c>
      <c r="AN2425">
        <v>0.99999993730324999</v>
      </c>
    </row>
    <row r="2426" spans="1:40" x14ac:dyDescent="0.25">
      <c r="A2426" t="str">
        <f>"20190312150709389"</f>
        <v>20190312150709389</v>
      </c>
      <c r="B2426" t="str">
        <f>"1552374429382756"</f>
        <v>1552374429382756</v>
      </c>
      <c r="C2426" t="s">
        <v>40</v>
      </c>
      <c r="D2426">
        <v>4.3713829999999998</v>
      </c>
      <c r="E2426">
        <v>0.51709970000000005</v>
      </c>
      <c r="F2426" t="s">
        <v>42</v>
      </c>
      <c r="G2426">
        <v>-192.13669999999999</v>
      </c>
      <c r="H2426" s="1">
        <v>-3.506285E-6</v>
      </c>
      <c r="I2426">
        <v>315.8064</v>
      </c>
      <c r="J2426">
        <v>-190.06379999999999</v>
      </c>
      <c r="K2426">
        <v>1.1065640000000001</v>
      </c>
      <c r="L2426">
        <v>349.16160000000002</v>
      </c>
      <c r="M2426">
        <v>0.1071899</v>
      </c>
      <c r="N2426">
        <v>0</v>
      </c>
      <c r="O2426">
        <v>-0.99421839999999995</v>
      </c>
      <c r="P2426">
        <v>1.11947E-3</v>
      </c>
      <c r="Q2426">
        <v>3.024102E-2</v>
      </c>
      <c r="R2426">
        <v>-0.9995425</v>
      </c>
      <c r="S2426">
        <v>-0.1855927</v>
      </c>
      <c r="T2426">
        <v>-9.9313499999999999E-2</v>
      </c>
      <c r="U2426">
        <v>-3.0042719999999998</v>
      </c>
      <c r="V2426">
        <v>0.10631359999999999</v>
      </c>
      <c r="W2426">
        <v>3.5728299999999998E-2</v>
      </c>
      <c r="X2426">
        <v>0.99369059999999998</v>
      </c>
      <c r="Y2426">
        <v>0.168258399999999</v>
      </c>
      <c r="Z2426">
        <v>3.2487090000000003E-2</v>
      </c>
      <c r="AA2426">
        <v>0.98520739999999996</v>
      </c>
      <c r="AB2426">
        <v>13</v>
      </c>
      <c r="AC2426">
        <v>-2.0729000000000002</v>
      </c>
      <c r="AD2426">
        <v>-1.10656750628499</v>
      </c>
      <c r="AE2426">
        <v>-33.355200000000004</v>
      </c>
      <c r="AF2426">
        <v>5.6301961371162701</v>
      </c>
      <c r="AG2426">
        <v>-1.10656750628499</v>
      </c>
      <c r="AH2426">
        <v>32.904744508974197</v>
      </c>
      <c r="AI2426">
        <v>91.898527325407201</v>
      </c>
      <c r="AJ2426">
        <v>80.290381961337104</v>
      </c>
      <c r="AK2426">
        <v>33.401284576932603</v>
      </c>
      <c r="AL2426">
        <v>87.9524835340696</v>
      </c>
      <c r="AM2426">
        <v>83.893232620297596</v>
      </c>
      <c r="AN2426">
        <v>1.0000000507471001</v>
      </c>
    </row>
    <row r="2427" spans="1:40" x14ac:dyDescent="0.25">
      <c r="A2427" t="str">
        <f>"20190312150709413"</f>
        <v>20190312150709413</v>
      </c>
      <c r="B2427" t="str">
        <f>"1552374429402275"</f>
        <v>1552374429402275</v>
      </c>
      <c r="C2427" t="s">
        <v>40</v>
      </c>
      <c r="D2427">
        <v>4.5826419999999999</v>
      </c>
      <c r="E2427">
        <v>0.51698940000000004</v>
      </c>
      <c r="F2427" t="s">
        <v>42</v>
      </c>
      <c r="G2427">
        <v>-191.20339999999999</v>
      </c>
      <c r="H2427" s="1">
        <v>-2.177771E-6</v>
      </c>
      <c r="I2427">
        <v>323.91919999999999</v>
      </c>
      <c r="J2427">
        <v>-190.0592</v>
      </c>
      <c r="K2427">
        <v>1.1065020000000001</v>
      </c>
      <c r="L2427">
        <v>349.01510000000002</v>
      </c>
      <c r="M2427">
        <v>9.7813670000000005E-2</v>
      </c>
      <c r="N2427">
        <v>0</v>
      </c>
      <c r="O2427">
        <v>-0.99518510000000004</v>
      </c>
      <c r="P2427">
        <v>-2.3890550000000002E-3</v>
      </c>
      <c r="Q2427">
        <v>3.3081720000000002E-2</v>
      </c>
      <c r="R2427">
        <v>-0.99944999999999995</v>
      </c>
      <c r="S2427">
        <v>-0.1356812</v>
      </c>
      <c r="T2427">
        <v>-0.13175510000000001</v>
      </c>
      <c r="U2427">
        <v>-3.0055239999999999</v>
      </c>
      <c r="V2427">
        <v>0.10044980000000001</v>
      </c>
      <c r="W2427">
        <v>3.8522069999999999E-2</v>
      </c>
      <c r="X2427">
        <v>0.99419610000000003</v>
      </c>
      <c r="Y2427">
        <v>0.14255499999999999</v>
      </c>
      <c r="Z2427">
        <v>4.3234769999999999E-2</v>
      </c>
      <c r="AA2427">
        <v>0.9888422</v>
      </c>
      <c r="AB2427">
        <v>13</v>
      </c>
      <c r="AC2427">
        <v>-1.1441999999999799</v>
      </c>
      <c r="AD2427">
        <v>-1.1065041777710001</v>
      </c>
      <c r="AE2427">
        <v>-25.0959</v>
      </c>
      <c r="AF2427">
        <v>3.58652531958688</v>
      </c>
      <c r="AG2427">
        <v>-1.1065041777710001</v>
      </c>
      <c r="AH2427">
        <v>24.8154917517349</v>
      </c>
      <c r="AI2427">
        <v>92.526864810542406</v>
      </c>
      <c r="AJ2427">
        <v>81.776119525868197</v>
      </c>
      <c r="AK2427">
        <v>25.097731894413901</v>
      </c>
      <c r="AL2427">
        <v>87.792301719397202</v>
      </c>
      <c r="AM2427">
        <v>84.230630618860204</v>
      </c>
      <c r="AN2427">
        <v>0.99999999872616696</v>
      </c>
    </row>
    <row r="2428" spans="1:40" x14ac:dyDescent="0.25">
      <c r="A2428" t="str">
        <f>"20190312150709434"</f>
        <v>20190312150709434</v>
      </c>
      <c r="B2428" t="str">
        <f>"1552374429422771"</f>
        <v>1552374429422771</v>
      </c>
      <c r="C2428" t="s">
        <v>40</v>
      </c>
      <c r="D2428">
        <v>4.3790969999999998</v>
      </c>
      <c r="E2428">
        <v>0.51603889999999997</v>
      </c>
      <c r="F2428" t="s">
        <v>42</v>
      </c>
      <c r="G2428">
        <v>-192.19069999999999</v>
      </c>
      <c r="H2428" s="1">
        <v>-2.8418640000000001E-6</v>
      </c>
      <c r="I2428">
        <v>304.85480000000001</v>
      </c>
      <c r="J2428">
        <v>-190.05609999999999</v>
      </c>
      <c r="K2428">
        <v>1.106454</v>
      </c>
      <c r="L2428">
        <v>348.88279999999997</v>
      </c>
      <c r="M2428">
        <v>8.9356710000000006E-2</v>
      </c>
      <c r="N2428">
        <v>0</v>
      </c>
      <c r="O2428">
        <v>-0.99598050000000005</v>
      </c>
      <c r="P2428">
        <v>-4.6101559999999998E-3</v>
      </c>
      <c r="Q2428">
        <v>3.4113009999999999E-2</v>
      </c>
      <c r="R2428">
        <v>-0.9994075</v>
      </c>
      <c r="S2428">
        <v>-0.14498900000000001</v>
      </c>
      <c r="T2428">
        <v>-7.5264570000000003E-2</v>
      </c>
      <c r="U2428">
        <v>-3.003784</v>
      </c>
      <c r="V2428">
        <v>9.4219869999999997E-2</v>
      </c>
      <c r="W2428">
        <v>3.953077E-2</v>
      </c>
      <c r="X2428">
        <v>0.99476629999999999</v>
      </c>
      <c r="Y2428">
        <v>0.137259299999999</v>
      </c>
      <c r="Z2428">
        <v>2.4765369999999998E-2</v>
      </c>
      <c r="AA2428">
        <v>0.99022549999999998</v>
      </c>
      <c r="AB2428">
        <v>13</v>
      </c>
      <c r="AC2428">
        <v>-2.1345999999999998</v>
      </c>
      <c r="AD2428">
        <v>-1.106456841864</v>
      </c>
      <c r="AE2428">
        <v>-44.027999999999899</v>
      </c>
      <c r="AF2428">
        <v>6.0565169708654398</v>
      </c>
      <c r="AG2428">
        <v>-1.106456841864</v>
      </c>
      <c r="AH2428">
        <v>43.633630630633</v>
      </c>
      <c r="AI2428">
        <v>91.438800496488099</v>
      </c>
      <c r="AJ2428">
        <v>82.097616159462405</v>
      </c>
      <c r="AK2428">
        <v>44.065852613693998</v>
      </c>
      <c r="AL2428">
        <v>87.734463469446894</v>
      </c>
      <c r="AM2428">
        <v>84.589338075238203</v>
      </c>
      <c r="AN2428">
        <v>1.00000002864764</v>
      </c>
    </row>
    <row r="2429" spans="1:40" x14ac:dyDescent="0.25">
      <c r="A2429" t="str">
        <f>"20190312150709455"</f>
        <v>20190312150709455</v>
      </c>
      <c r="B2429" t="str">
        <f>"1552374429453028"</f>
        <v>1552374429453028</v>
      </c>
      <c r="C2429" t="s">
        <v>40</v>
      </c>
      <c r="D2429">
        <v>4.4616259999999999</v>
      </c>
      <c r="E2429">
        <v>0.51507409999999998</v>
      </c>
      <c r="F2429" t="s">
        <v>42</v>
      </c>
      <c r="G2429">
        <v>-191.5693</v>
      </c>
      <c r="H2429" s="1">
        <v>-4.135268E-6</v>
      </c>
      <c r="I2429">
        <v>317.45639999999997</v>
      </c>
      <c r="J2429">
        <v>-190.054</v>
      </c>
      <c r="K2429">
        <v>1.1064050000000001</v>
      </c>
      <c r="L2429">
        <v>348.745</v>
      </c>
      <c r="M2429">
        <v>8.056932E-2</v>
      </c>
      <c r="N2429">
        <v>0</v>
      </c>
      <c r="O2429">
        <v>-0.99673</v>
      </c>
      <c r="P2429">
        <v>-1.5714749999999999E-3</v>
      </c>
      <c r="Q2429">
        <v>3.6367129999999998E-2</v>
      </c>
      <c r="R2429">
        <v>-0.99933740000000004</v>
      </c>
      <c r="S2429">
        <v>-0.1446838</v>
      </c>
      <c r="T2429">
        <v>-0.1057903</v>
      </c>
      <c r="U2429">
        <v>-3.0047299999999999</v>
      </c>
      <c r="V2429">
        <v>8.242903E-2</v>
      </c>
      <c r="W2429">
        <v>4.1817689999999998E-2</v>
      </c>
      <c r="X2429">
        <v>0.99571920000000003</v>
      </c>
      <c r="Y2429">
        <v>0.128388</v>
      </c>
      <c r="Z2429">
        <v>3.4848650000000002E-2</v>
      </c>
      <c r="AA2429">
        <v>0.99111150000000003</v>
      </c>
      <c r="AB2429">
        <v>13</v>
      </c>
      <c r="AC2429">
        <v>-1.5152999999999901</v>
      </c>
      <c r="AD2429">
        <v>-1.1064091352680001</v>
      </c>
      <c r="AE2429">
        <v>-31.288599999999999</v>
      </c>
      <c r="AF2429">
        <v>4.0262997488489898</v>
      </c>
      <c r="AG2429">
        <v>-1.1064091352680001</v>
      </c>
      <c r="AH2429">
        <v>31.026082991355</v>
      </c>
      <c r="AI2429">
        <v>92.025368460337106</v>
      </c>
      <c r="AJ2429">
        <v>82.605965623413596</v>
      </c>
      <c r="AK2429">
        <v>31.305799089444001</v>
      </c>
      <c r="AL2429">
        <v>87.603323976043995</v>
      </c>
      <c r="AM2429">
        <v>85.267650762329396</v>
      </c>
      <c r="AN2429">
        <v>0.99999999471615797</v>
      </c>
    </row>
    <row r="2430" spans="1:40" x14ac:dyDescent="0.25">
      <c r="A2430" t="str">
        <f>"20190312150709479"</f>
        <v>20190312150709479</v>
      </c>
      <c r="B2430" t="str">
        <f>"1552374429472547"</f>
        <v>1552374429472547</v>
      </c>
      <c r="C2430" t="s">
        <v>40</v>
      </c>
      <c r="D2430">
        <v>4.507898</v>
      </c>
      <c r="E2430">
        <v>0.51501350000000001</v>
      </c>
      <c r="F2430" t="s">
        <v>42</v>
      </c>
      <c r="G2430">
        <v>-191.6216</v>
      </c>
      <c r="H2430" s="1">
        <v>-1.4206880000000001E-6</v>
      </c>
      <c r="I2430">
        <v>311.68430000000001</v>
      </c>
      <c r="J2430">
        <v>-190.0531</v>
      </c>
      <c r="K2430">
        <v>1.106349</v>
      </c>
      <c r="L2430">
        <v>348.59910000000002</v>
      </c>
      <c r="M2430">
        <v>7.1286100000000005E-2</v>
      </c>
      <c r="N2430">
        <v>0</v>
      </c>
      <c r="O2430">
        <v>-0.99743720000000002</v>
      </c>
      <c r="P2430">
        <v>-5.1661279999999999E-3</v>
      </c>
      <c r="Q2430">
        <v>3.5154449999999997E-2</v>
      </c>
      <c r="R2430">
        <v>-0.99936840000000005</v>
      </c>
      <c r="S2430">
        <v>-0.12710569999999999</v>
      </c>
      <c r="T2430">
        <v>-8.9712979999999998E-2</v>
      </c>
      <c r="U2430">
        <v>-3.0050659999999998</v>
      </c>
      <c r="V2430">
        <v>7.6734440000000001E-2</v>
      </c>
      <c r="W2430">
        <v>4.0590399999999999E-2</v>
      </c>
      <c r="X2430">
        <v>0.99622500000000003</v>
      </c>
      <c r="Y2430">
        <v>0.1133569</v>
      </c>
      <c r="Z2430">
        <v>2.9617290000000001E-2</v>
      </c>
      <c r="AA2430">
        <v>0.99311280000000002</v>
      </c>
      <c r="AB2430">
        <v>14</v>
      </c>
      <c r="AC2430">
        <v>-1.5685</v>
      </c>
      <c r="AD2430">
        <v>-1.1063504206879999</v>
      </c>
      <c r="AE2430">
        <v>-36.9148</v>
      </c>
      <c r="AF2430">
        <v>4.19231183378177</v>
      </c>
      <c r="AG2430">
        <v>-1.1063504206879999</v>
      </c>
      <c r="AH2430">
        <v>36.676183535134001</v>
      </c>
      <c r="AI2430">
        <v>91.716652441715297</v>
      </c>
      <c r="AJ2430">
        <v>83.479044784209904</v>
      </c>
      <c r="AK2430">
        <v>36.931584429426501</v>
      </c>
      <c r="AL2430">
        <v>87.673702305361601</v>
      </c>
      <c r="AM2430">
        <v>85.595477308930697</v>
      </c>
      <c r="AN2430">
        <v>1.0000000027396301</v>
      </c>
    </row>
    <row r="2431" spans="1:40" x14ac:dyDescent="0.25">
      <c r="A2431" t="str">
        <f>"20190312150709501"</f>
        <v>20190312150709501</v>
      </c>
      <c r="B2431" t="str">
        <f>"1552374429492067"</f>
        <v>1552374429492067</v>
      </c>
      <c r="C2431" t="s">
        <v>40</v>
      </c>
      <c r="D2431">
        <v>4.3839360000000003</v>
      </c>
      <c r="E2431">
        <v>0.51516609999999996</v>
      </c>
      <c r="F2431" t="s">
        <v>42</v>
      </c>
      <c r="G2431">
        <v>-192.0498</v>
      </c>
      <c r="H2431" s="1">
        <v>-2.7696180000000002E-6</v>
      </c>
      <c r="I2431">
        <v>304.77379999999999</v>
      </c>
      <c r="J2431">
        <v>-190.05350000000001</v>
      </c>
      <c r="K2431">
        <v>1.106284</v>
      </c>
      <c r="L2431">
        <v>348.4529</v>
      </c>
      <c r="M2431">
        <v>6.2020569999999997E-2</v>
      </c>
      <c r="N2431">
        <v>0</v>
      </c>
      <c r="O2431">
        <v>-0.99805679999999997</v>
      </c>
      <c r="P2431">
        <v>-9.7759539999999999E-3</v>
      </c>
      <c r="Q2431">
        <v>3.2126160000000001E-2</v>
      </c>
      <c r="R2431">
        <v>-0.99943630000000006</v>
      </c>
      <c r="S2431">
        <v>-0.13685610000000001</v>
      </c>
      <c r="T2431">
        <v>-7.5830099999999998E-2</v>
      </c>
      <c r="U2431">
        <v>-3.0038149999999999</v>
      </c>
      <c r="V2431">
        <v>7.2060699999999894E-2</v>
      </c>
      <c r="W2431">
        <v>3.7549550000000001E-2</v>
      </c>
      <c r="X2431">
        <v>0.99669319999999895</v>
      </c>
      <c r="Y2431">
        <v>0.10736900000000001</v>
      </c>
      <c r="Z2431">
        <v>2.507771E-2</v>
      </c>
      <c r="AA2431">
        <v>0.99390290000000003</v>
      </c>
      <c r="AB2431">
        <v>14</v>
      </c>
      <c r="AC2431">
        <v>-1.99629999999999</v>
      </c>
      <c r="AD2431">
        <v>-1.1062867696179901</v>
      </c>
      <c r="AE2431">
        <v>-43.679099999999998</v>
      </c>
      <c r="AF2431">
        <v>4.69850052233084</v>
      </c>
      <c r="AG2431">
        <v>-1.1062867696179901</v>
      </c>
      <c r="AH2431">
        <v>43.443384892136997</v>
      </c>
      <c r="AI2431">
        <v>91.450269516462996</v>
      </c>
      <c r="AJ2431">
        <v>83.827324079464901</v>
      </c>
      <c r="AK2431">
        <v>43.7107248677179</v>
      </c>
      <c r="AL2431">
        <v>87.848063418128504</v>
      </c>
      <c r="AM2431">
        <v>85.864723064305693</v>
      </c>
      <c r="AN2431">
        <v>1.0000000240579601</v>
      </c>
    </row>
    <row r="2432" spans="1:40" x14ac:dyDescent="0.25">
      <c r="A2432" t="str">
        <f>"20190312150709524"</f>
        <v>20190312150709524</v>
      </c>
      <c r="B2432" t="str">
        <f>"1552374429512564"</f>
        <v>1552374429512564</v>
      </c>
      <c r="C2432" t="s">
        <v>40</v>
      </c>
      <c r="D2432">
        <v>4.4345169999999996</v>
      </c>
      <c r="E2432">
        <v>0.51527970000000001</v>
      </c>
      <c r="F2432" t="s">
        <v>42</v>
      </c>
      <c r="G2432">
        <v>-191.59030000000001</v>
      </c>
      <c r="H2432" s="1">
        <v>-4.4013840000000003E-6</v>
      </c>
      <c r="I2432">
        <v>318.01299999999998</v>
      </c>
      <c r="J2432">
        <v>-190.05510000000001</v>
      </c>
      <c r="K2432">
        <v>1.1062320000000001</v>
      </c>
      <c r="L2432">
        <v>348.31009999999998</v>
      </c>
      <c r="M2432">
        <v>5.3027280000000003E-2</v>
      </c>
      <c r="N2432">
        <v>0</v>
      </c>
      <c r="O2432">
        <v>-0.9985752</v>
      </c>
      <c r="P2432">
        <v>-1.574358E-2</v>
      </c>
      <c r="Q2432">
        <v>2.9468299999999999E-2</v>
      </c>
      <c r="R2432">
        <v>-0.99944200000000005</v>
      </c>
      <c r="S2432">
        <v>-0.15165709999999999</v>
      </c>
      <c r="T2432">
        <v>-0.1091666</v>
      </c>
      <c r="U2432">
        <v>-3.0037539999999998</v>
      </c>
      <c r="V2432">
        <v>6.9016670000000002E-2</v>
      </c>
      <c r="W2432">
        <v>3.4880540000000002E-2</v>
      </c>
      <c r="X2432">
        <v>0.99700549999999999</v>
      </c>
      <c r="Y2432">
        <v>0.1032817</v>
      </c>
      <c r="Z2432">
        <v>3.6122639999999998E-2</v>
      </c>
      <c r="AA2432">
        <v>0.99399599999999999</v>
      </c>
      <c r="AB2432">
        <v>14</v>
      </c>
      <c r="AC2432">
        <v>-1.5351999999999999</v>
      </c>
      <c r="AD2432">
        <v>-1.10623640138399</v>
      </c>
      <c r="AE2432">
        <v>-30.2971</v>
      </c>
      <c r="AF2432">
        <v>3.1354719688858799</v>
      </c>
      <c r="AG2432">
        <v>-1.10623640138399</v>
      </c>
      <c r="AH2432">
        <v>30.132993186593598</v>
      </c>
      <c r="AI2432">
        <v>92.091206452875397</v>
      </c>
      <c r="AJ2432">
        <v>84.059497665213499</v>
      </c>
      <c r="AK2432">
        <v>30.315874089768698</v>
      </c>
      <c r="AL2432">
        <v>88.001086720586599</v>
      </c>
      <c r="AM2432">
        <v>86.040076383254302</v>
      </c>
      <c r="AN2432">
        <v>0.99999995991941404</v>
      </c>
    </row>
    <row r="2433" spans="1:40" x14ac:dyDescent="0.25">
      <c r="A2433" t="str">
        <f>"20190312150709545"</f>
        <v>20190312150709545</v>
      </c>
      <c r="B2433" t="str">
        <f>"1552374429542819"</f>
        <v>1552374429542819</v>
      </c>
      <c r="C2433" t="s">
        <v>40</v>
      </c>
      <c r="D2433">
        <v>4.4153250000000002</v>
      </c>
      <c r="E2433">
        <v>0.51511320000000005</v>
      </c>
      <c r="F2433" t="s">
        <v>42</v>
      </c>
      <c r="G2433">
        <v>-191.50700000000001</v>
      </c>
      <c r="H2433" s="1">
        <v>-1.7504880000000001E-6</v>
      </c>
      <c r="I2433">
        <v>322.73489999999998</v>
      </c>
      <c r="J2433">
        <v>-190.05779999999999</v>
      </c>
      <c r="K2433">
        <v>1.106201</v>
      </c>
      <c r="L2433">
        <v>348.17380000000003</v>
      </c>
      <c r="M2433">
        <v>4.450871E-2</v>
      </c>
      <c r="N2433">
        <v>0</v>
      </c>
      <c r="O2433">
        <v>-0.99899110000000002</v>
      </c>
      <c r="P2433">
        <v>-2.2176810000000002E-2</v>
      </c>
      <c r="Q2433">
        <v>2.732735E-2</v>
      </c>
      <c r="R2433">
        <v>-0.99938059999999995</v>
      </c>
      <c r="S2433">
        <v>-0.17047119999999999</v>
      </c>
      <c r="T2433">
        <v>-0.12988530000000001</v>
      </c>
      <c r="U2433">
        <v>-3.0028380000000001</v>
      </c>
      <c r="V2433">
        <v>6.6916349999999999E-2</v>
      </c>
      <c r="W2433">
        <v>3.2734569999999998E-2</v>
      </c>
      <c r="X2433">
        <v>0.99722149999999998</v>
      </c>
      <c r="Y2433">
        <v>0.1010079</v>
      </c>
      <c r="Z2433">
        <v>4.300445E-2</v>
      </c>
      <c r="AA2433">
        <v>0.9939557</v>
      </c>
      <c r="AB2433">
        <v>14</v>
      </c>
      <c r="AC2433">
        <v>-1.44920000000001</v>
      </c>
      <c r="AD2433">
        <v>-1.1062027504880001</v>
      </c>
      <c r="AE2433">
        <v>-25.4389</v>
      </c>
      <c r="AF2433">
        <v>2.57518294320026</v>
      </c>
      <c r="AG2433">
        <v>-1.1062027504880001</v>
      </c>
      <c r="AH2433">
        <v>25.3014975736431</v>
      </c>
      <c r="AI2433">
        <v>92.490574821804898</v>
      </c>
      <c r="AJ2433">
        <v>84.188455838808196</v>
      </c>
      <c r="AK2433">
        <v>25.456257210854901</v>
      </c>
      <c r="AL2433">
        <v>88.124112240183393</v>
      </c>
      <c r="AM2433">
        <v>86.161048135677603</v>
      </c>
      <c r="AN2433">
        <v>1.0000000350163201</v>
      </c>
    </row>
    <row r="2434" spans="1:40" x14ac:dyDescent="0.25">
      <c r="A2434" t="str">
        <f>"20190312150709567"</f>
        <v>20190312150709567</v>
      </c>
      <c r="B2434" t="str">
        <f>"1552374429562340"</f>
        <v>1552374429562340</v>
      </c>
      <c r="C2434" t="s">
        <v>40</v>
      </c>
      <c r="D2434">
        <v>4.3644350000000003</v>
      </c>
      <c r="E2434">
        <v>0.51520639999999995</v>
      </c>
      <c r="F2434" t="s">
        <v>41</v>
      </c>
      <c r="G2434">
        <v>-190.11250000000001</v>
      </c>
      <c r="H2434">
        <v>1.0602119999999999</v>
      </c>
      <c r="I2434">
        <v>347.30189999999999</v>
      </c>
      <c r="J2434">
        <v>-190.06190000000001</v>
      </c>
      <c r="K2434">
        <v>1.1061840000000001</v>
      </c>
      <c r="L2434">
        <v>348.0283</v>
      </c>
      <c r="M2434">
        <v>3.5495829999999999E-2</v>
      </c>
      <c r="N2434">
        <v>0</v>
      </c>
      <c r="O2434">
        <v>-0.99935209999999997</v>
      </c>
      <c r="P2434">
        <v>-2.957338E-2</v>
      </c>
      <c r="Q2434">
        <v>2.662078E-2</v>
      </c>
      <c r="R2434">
        <v>-0.99920850000000005</v>
      </c>
      <c r="S2434">
        <v>-0.1882935</v>
      </c>
      <c r="T2434">
        <v>-0.15815860000000001</v>
      </c>
      <c r="U2434">
        <v>-3.0020449999999999</v>
      </c>
      <c r="V2434">
        <v>6.5296980000000004E-2</v>
      </c>
      <c r="W2434">
        <v>3.2030179999999998E-2</v>
      </c>
      <c r="X2434">
        <v>0.99735169999999995</v>
      </c>
      <c r="Y2434">
        <v>9.7900009999999996E-2</v>
      </c>
      <c r="Z2434">
        <v>5.2383209999999999E-2</v>
      </c>
      <c r="AA2434">
        <v>0.9938167</v>
      </c>
      <c r="AB2434">
        <v>14</v>
      </c>
      <c r="AC2434">
        <v>-5.0600000000002802E-2</v>
      </c>
      <c r="AD2434">
        <v>-4.5971999999999902E-2</v>
      </c>
      <c r="AE2434">
        <v>-0.72640000000001204</v>
      </c>
      <c r="AF2434">
        <v>7.6049608966439294E-2</v>
      </c>
      <c r="AG2434">
        <v>-4.5971999999999902E-2</v>
      </c>
      <c r="AH2434">
        <v>0.72127114585279894</v>
      </c>
      <c r="AI2434">
        <v>93.626904237863997</v>
      </c>
      <c r="AJ2434">
        <v>83.981068858888307</v>
      </c>
      <c r="AK2434">
        <v>0.72672486791615798</v>
      </c>
      <c r="AL2434">
        <v>88.164491964586006</v>
      </c>
      <c r="AM2434">
        <v>86.254170291303296</v>
      </c>
      <c r="AN2434">
        <v>1.00000002076042</v>
      </c>
    </row>
    <row r="2435" spans="1:40" x14ac:dyDescent="0.25">
      <c r="A2435" t="str">
        <f>"20190312150709589"</f>
        <v>20190312150709589</v>
      </c>
      <c r="B2435" t="str">
        <f>"1552374429582836"</f>
        <v>1552374429582836</v>
      </c>
      <c r="C2435" t="s">
        <v>40</v>
      </c>
      <c r="D2435">
        <v>4.501328</v>
      </c>
      <c r="E2435">
        <v>0.51538640000000002</v>
      </c>
      <c r="F2435" t="s">
        <v>41</v>
      </c>
      <c r="G2435">
        <v>-190.12200000000001</v>
      </c>
      <c r="H2435">
        <v>1.0580579999999999</v>
      </c>
      <c r="I2435">
        <v>347.17230000000001</v>
      </c>
      <c r="J2435">
        <v>-190.0675</v>
      </c>
      <c r="K2435">
        <v>1.106174</v>
      </c>
      <c r="L2435">
        <v>347.87779999999998</v>
      </c>
      <c r="M2435">
        <v>2.625916E-2</v>
      </c>
      <c r="N2435">
        <v>0</v>
      </c>
      <c r="O2435">
        <v>-0.99963749999999996</v>
      </c>
      <c r="P2435">
        <v>-3.6532120000000001E-2</v>
      </c>
      <c r="Q2435">
        <v>2.6388990000000001E-2</v>
      </c>
      <c r="R2435">
        <v>-0.99898450000000005</v>
      </c>
      <c r="S2435">
        <v>-0.21049499999999999</v>
      </c>
      <c r="T2435">
        <v>-0.168591299999999</v>
      </c>
      <c r="U2435">
        <v>-3.0006710000000001</v>
      </c>
      <c r="V2435">
        <v>6.30246E-2</v>
      </c>
      <c r="W2435">
        <v>3.1814759999999997E-2</v>
      </c>
      <c r="X2435">
        <v>0.99750479999999997</v>
      </c>
      <c r="Y2435">
        <v>9.6039029999999997E-2</v>
      </c>
      <c r="Z2435">
        <v>5.5868910000000001E-2</v>
      </c>
      <c r="AA2435">
        <v>0.99380840000000004</v>
      </c>
      <c r="AB2435">
        <v>14</v>
      </c>
      <c r="AC2435">
        <v>-5.4500000000018603E-2</v>
      </c>
      <c r="AD2435">
        <v>-4.8115999999999999E-2</v>
      </c>
      <c r="AE2435">
        <v>-0.70549999999997204</v>
      </c>
      <c r="AF2435">
        <v>7.26713513222004E-2</v>
      </c>
      <c r="AG2435">
        <v>-4.8115999999999999E-2</v>
      </c>
      <c r="AH2435">
        <v>0.70058617845600502</v>
      </c>
      <c r="AI2435">
        <v>93.907980598516204</v>
      </c>
      <c r="AJ2435">
        <v>84.077925304804893</v>
      </c>
      <c r="AK2435">
        <v>0.70598673372987897</v>
      </c>
      <c r="AL2435">
        <v>88.176840972894198</v>
      </c>
      <c r="AM2435">
        <v>86.384729206119104</v>
      </c>
      <c r="AN2435">
        <v>1.00000005259102</v>
      </c>
    </row>
    <row r="2436" spans="1:40" x14ac:dyDescent="0.25">
      <c r="A2436" t="str">
        <f>"20190312150709613"</f>
        <v>20190312150709613</v>
      </c>
      <c r="B2436" t="str">
        <f>"1552374429602359"</f>
        <v>1552374429602359</v>
      </c>
      <c r="C2436" t="s">
        <v>40</v>
      </c>
      <c r="D2436">
        <v>4.4290200000000004</v>
      </c>
      <c r="E2436">
        <v>0.51534150000000001</v>
      </c>
      <c r="F2436" t="s">
        <v>41</v>
      </c>
      <c r="G2436">
        <v>-190.13239999999999</v>
      </c>
      <c r="H2436">
        <v>1.059984</v>
      </c>
      <c r="I2436">
        <v>347.03829999999999</v>
      </c>
      <c r="J2436">
        <v>-190.0745</v>
      </c>
      <c r="K2436">
        <v>1.106174</v>
      </c>
      <c r="L2436">
        <v>347.72280000000001</v>
      </c>
      <c r="M2436">
        <v>1.6838309999999999E-2</v>
      </c>
      <c r="N2436">
        <v>0</v>
      </c>
      <c r="O2436">
        <v>-0.99984039999999996</v>
      </c>
      <c r="P2436">
        <v>-4.3322430000000002E-2</v>
      </c>
      <c r="Q2436">
        <v>2.5942300000000001E-2</v>
      </c>
      <c r="R2436">
        <v>-0.99872439999999996</v>
      </c>
      <c r="S2436">
        <v>-0.2322388</v>
      </c>
      <c r="T2436">
        <v>-0.16509489999999999</v>
      </c>
      <c r="U2436">
        <v>-2.9989620000000001</v>
      </c>
      <c r="V2436">
        <v>6.0401829999999997E-2</v>
      </c>
      <c r="W2436">
        <v>3.1392490000000002E-2</v>
      </c>
      <c r="X2436">
        <v>0.99768040000000002</v>
      </c>
      <c r="Y2436">
        <v>9.3870060000000005E-2</v>
      </c>
      <c r="Z2436">
        <v>5.4752670000000003E-2</v>
      </c>
      <c r="AA2436">
        <v>0.99407769999999995</v>
      </c>
      <c r="AB2436">
        <v>14</v>
      </c>
      <c r="AC2436">
        <v>-5.7899999999989397E-2</v>
      </c>
      <c r="AD2436">
        <v>-4.6189999999999898E-2</v>
      </c>
      <c r="AE2436">
        <v>-0.68450000000001399</v>
      </c>
      <c r="AF2436">
        <v>6.9105381076874806E-2</v>
      </c>
      <c r="AG2436">
        <v>-4.6189999999999898E-2</v>
      </c>
      <c r="AH2436">
        <v>0.68035199619895703</v>
      </c>
      <c r="AI2436">
        <v>93.864105247365799</v>
      </c>
      <c r="AJ2436">
        <v>84.200187927700796</v>
      </c>
      <c r="AK2436">
        <v>0.68541075898010695</v>
      </c>
      <c r="AL2436">
        <v>88.201047302554599</v>
      </c>
      <c r="AM2436">
        <v>86.535412663750193</v>
      </c>
      <c r="AN2436">
        <v>1.0000000250199499</v>
      </c>
    </row>
    <row r="2437" spans="1:40" x14ac:dyDescent="0.25">
      <c r="A2437" t="str">
        <f>"20190312150709634"</f>
        <v>20190312150709634</v>
      </c>
      <c r="B2437" t="str">
        <f>"1552374429632612"</f>
        <v>1552374429632612</v>
      </c>
      <c r="C2437" t="s">
        <v>40</v>
      </c>
      <c r="D2437">
        <v>4.4208869999999996</v>
      </c>
      <c r="E2437">
        <v>0.51361820000000002</v>
      </c>
      <c r="F2437" t="s">
        <v>41</v>
      </c>
      <c r="G2437">
        <v>-190.14420000000001</v>
      </c>
      <c r="H2437">
        <v>1.062451</v>
      </c>
      <c r="I2437">
        <v>346.89409999999998</v>
      </c>
      <c r="J2437">
        <v>-190.0822</v>
      </c>
      <c r="K2437">
        <v>1.106177</v>
      </c>
      <c r="L2437">
        <v>347.57760000000002</v>
      </c>
      <c r="M2437">
        <v>8.1267040000000002E-3</v>
      </c>
      <c r="N2437">
        <v>0</v>
      </c>
      <c r="O2437">
        <v>-0.99994919999999998</v>
      </c>
      <c r="P2437">
        <v>-4.8198409999999997E-2</v>
      </c>
      <c r="Q2437">
        <v>2.5833160000000001E-2</v>
      </c>
      <c r="R2437">
        <v>-0.9985039</v>
      </c>
      <c r="S2437">
        <v>-0.25199890000000003</v>
      </c>
      <c r="T2437">
        <v>-0.1580336</v>
      </c>
      <c r="U2437">
        <v>-2.9970400000000001</v>
      </c>
      <c r="V2437">
        <v>5.6578440000000001E-2</v>
      </c>
      <c r="W2437">
        <v>3.1321479999999999E-2</v>
      </c>
      <c r="X2437">
        <v>0.99790670000000004</v>
      </c>
      <c r="Y2437">
        <v>9.1767080000000001E-2</v>
      </c>
      <c r="Z2437">
        <v>5.2450749999999997E-2</v>
      </c>
      <c r="AA2437">
        <v>0.99439820000000001</v>
      </c>
      <c r="AB2437">
        <v>14</v>
      </c>
      <c r="AC2437">
        <v>-6.2000000000011803E-2</v>
      </c>
      <c r="AD2437">
        <v>-4.3725999999999897E-2</v>
      </c>
      <c r="AE2437">
        <v>-0.68350000000003697</v>
      </c>
      <c r="AF2437">
        <v>6.7279550343416594E-2</v>
      </c>
      <c r="AG2437">
        <v>-4.3725999999999897E-2</v>
      </c>
      <c r="AH2437">
        <v>0.68021242554414496</v>
      </c>
      <c r="AI2437">
        <v>93.660263946874494</v>
      </c>
      <c r="AJ2437">
        <v>84.351269315307107</v>
      </c>
      <c r="AK2437">
        <v>0.68492878814885705</v>
      </c>
      <c r="AL2437">
        <v>88.205117775885597</v>
      </c>
      <c r="AM2437">
        <v>86.754968224128504</v>
      </c>
      <c r="AN2437">
        <v>0.99999996844355599</v>
      </c>
    </row>
    <row r="2438" spans="1:40" x14ac:dyDescent="0.25">
      <c r="A2438" t="str">
        <f>"20190312150709657"</f>
        <v>20190312150709657</v>
      </c>
      <c r="B2438" t="str">
        <f>"1552374429652132"</f>
        <v>1552374429652132</v>
      </c>
      <c r="C2438" t="s">
        <v>40</v>
      </c>
      <c r="D2438">
        <v>4.4027969999999996</v>
      </c>
      <c r="E2438">
        <v>0.51256109999999999</v>
      </c>
      <c r="F2438" t="s">
        <v>62</v>
      </c>
      <c r="G2438">
        <v>-209.79390000000001</v>
      </c>
      <c r="H2438">
        <v>5.2470980000000003</v>
      </c>
      <c r="I2438">
        <v>114.71250000000001</v>
      </c>
      <c r="J2438">
        <v>-190.0915</v>
      </c>
      <c r="K2438">
        <v>1.106195</v>
      </c>
      <c r="L2438">
        <v>347.42509999999999</v>
      </c>
      <c r="M2438">
        <v>-8.7483609999999996E-4</v>
      </c>
      <c r="N2438">
        <v>0</v>
      </c>
      <c r="O2438">
        <v>-0.99998180000000003</v>
      </c>
      <c r="P2438">
        <v>-5.430894E-2</v>
      </c>
      <c r="Q2438">
        <v>2.5646849999999999E-2</v>
      </c>
      <c r="R2438">
        <v>-0.9981949</v>
      </c>
      <c r="S2438">
        <v>-0.2531738</v>
      </c>
      <c r="T2438">
        <v>5.3185459999999997E-2</v>
      </c>
      <c r="U2438">
        <v>-2.990875</v>
      </c>
      <c r="V2438">
        <v>5.369906E-2</v>
      </c>
      <c r="W2438">
        <v>3.1168959999999999E-2</v>
      </c>
      <c r="X2438">
        <v>0.99807060000000003</v>
      </c>
      <c r="Y2438">
        <v>8.3462090000000003E-2</v>
      </c>
      <c r="Z2438">
        <v>-1.7717070000000001E-2</v>
      </c>
      <c r="AA2438">
        <v>0.99635339999999994</v>
      </c>
      <c r="AB2438">
        <v>15</v>
      </c>
      <c r="AC2438">
        <v>-19.702400000000001</v>
      </c>
      <c r="AD2438">
        <v>4.1409029999999998</v>
      </c>
      <c r="AE2438">
        <v>-232.71260000000001</v>
      </c>
      <c r="AF2438">
        <v>19.492675434023798</v>
      </c>
      <c r="AG2438">
        <v>4.1409029999999998</v>
      </c>
      <c r="AH2438">
        <v>232.656606135972</v>
      </c>
      <c r="AI2438">
        <v>88.983896827353206</v>
      </c>
      <c r="AJ2438">
        <v>85.210771231310702</v>
      </c>
      <c r="AK2438">
        <v>233.50847490389</v>
      </c>
      <c r="AL2438">
        <v>88.213860867656294</v>
      </c>
      <c r="AM2438">
        <v>86.920292150221002</v>
      </c>
      <c r="AN2438">
        <v>1.00000000784836</v>
      </c>
    </row>
    <row r="2439" spans="1:40" x14ac:dyDescent="0.25">
      <c r="A2439" t="str">
        <f>"20190312150709680"</f>
        <v>20190312150709680</v>
      </c>
      <c r="B2439" t="str">
        <f>"1552374429672628"</f>
        <v>1552374429672628</v>
      </c>
      <c r="C2439" t="s">
        <v>40</v>
      </c>
      <c r="D2439">
        <v>4.5395580000000004</v>
      </c>
      <c r="E2439">
        <v>0.5123354</v>
      </c>
      <c r="F2439" t="s">
        <v>62</v>
      </c>
      <c r="G2439">
        <v>-210.61160000000001</v>
      </c>
      <c r="H2439">
        <v>5.4043659999999996</v>
      </c>
      <c r="I2439">
        <v>114.2403</v>
      </c>
      <c r="J2439">
        <v>-190.10230000000001</v>
      </c>
      <c r="K2439">
        <v>1.1062270000000001</v>
      </c>
      <c r="L2439">
        <v>347.26839999999999</v>
      </c>
      <c r="M2439">
        <v>-9.9266130000000008E-3</v>
      </c>
      <c r="N2439">
        <v>0</v>
      </c>
      <c r="O2439">
        <v>-0.99993279999999995</v>
      </c>
      <c r="P2439">
        <v>-6.1368869999999999E-2</v>
      </c>
      <c r="Q2439">
        <v>2.5423009999999999E-2</v>
      </c>
      <c r="R2439">
        <v>-0.99779119999999999</v>
      </c>
      <c r="S2439">
        <v>-0.26309199999999999</v>
      </c>
      <c r="T2439">
        <v>5.5107589999999998E-2</v>
      </c>
      <c r="U2439">
        <v>-2.9896850000000001</v>
      </c>
      <c r="V2439">
        <v>5.1718689999999998E-2</v>
      </c>
      <c r="W2439">
        <v>3.097546E-2</v>
      </c>
      <c r="X2439">
        <v>0.99818119999999999</v>
      </c>
      <c r="Y2439">
        <v>7.7753470000000005E-2</v>
      </c>
      <c r="Z2439">
        <v>-1.8364709999999999E-2</v>
      </c>
      <c r="AA2439">
        <v>0.99680349999999995</v>
      </c>
      <c r="AB2439">
        <v>15</v>
      </c>
      <c r="AC2439">
        <v>-20.5093</v>
      </c>
      <c r="AD2439">
        <v>4.2981389999999999</v>
      </c>
      <c r="AE2439">
        <v>-233.02809999999999</v>
      </c>
      <c r="AF2439">
        <v>18.188927777888502</v>
      </c>
      <c r="AG2439">
        <v>4.2981389999999999</v>
      </c>
      <c r="AH2439">
        <v>233.14150292539699</v>
      </c>
      <c r="AI2439">
        <v>88.9470277731902</v>
      </c>
      <c r="AJ2439">
        <v>85.539009191655893</v>
      </c>
      <c r="AK2439">
        <v>233.88944285470799</v>
      </c>
      <c r="AL2439">
        <v>88.224952951810593</v>
      </c>
      <c r="AM2439">
        <v>87.033990204054405</v>
      </c>
      <c r="AN2439">
        <v>1.00000000502548</v>
      </c>
    </row>
    <row r="2440" spans="1:40" x14ac:dyDescent="0.25">
      <c r="A2440" t="str">
        <f>"20190312150709703"</f>
        <v>20190312150709703</v>
      </c>
      <c r="B2440" t="str">
        <f>"1552374429692147"</f>
        <v>1552374429692147</v>
      </c>
      <c r="C2440" t="s">
        <v>40</v>
      </c>
      <c r="D2440">
        <v>4.4138479999999998</v>
      </c>
      <c r="E2440">
        <v>0.51120719999999997</v>
      </c>
      <c r="F2440" t="s">
        <v>62</v>
      </c>
      <c r="G2440">
        <v>-211.94579999999999</v>
      </c>
      <c r="H2440">
        <v>5.309698</v>
      </c>
      <c r="I2440">
        <v>115.9995</v>
      </c>
      <c r="J2440">
        <v>-190.11410000000001</v>
      </c>
      <c r="K2440">
        <v>1.1062940000000001</v>
      </c>
      <c r="L2440">
        <v>347.11200000000002</v>
      </c>
      <c r="M2440">
        <v>-1.8739949999999998E-2</v>
      </c>
      <c r="N2440">
        <v>0</v>
      </c>
      <c r="O2440">
        <v>-0.99980659999999999</v>
      </c>
      <c r="P2440">
        <v>-6.7398100000000002E-2</v>
      </c>
      <c r="Q2440">
        <v>2.4977530000000001E-2</v>
      </c>
      <c r="R2440">
        <v>-0.99741349999999995</v>
      </c>
      <c r="S2440">
        <v>-0.2822113</v>
      </c>
      <c r="T2440">
        <v>5.43077E-2</v>
      </c>
      <c r="U2440">
        <v>-2.9879150000000001</v>
      </c>
      <c r="V2440">
        <v>4.8942800000000002E-2</v>
      </c>
      <c r="W2440">
        <v>3.0571770000000002E-2</v>
      </c>
      <c r="X2440">
        <v>0.99833360000000004</v>
      </c>
      <c r="Y2440">
        <v>7.5343259999999995E-2</v>
      </c>
      <c r="Z2440">
        <v>-1.8101909999999999E-2</v>
      </c>
      <c r="AA2440">
        <v>0.99699340000000003</v>
      </c>
      <c r="AB2440">
        <v>15</v>
      </c>
      <c r="AC2440">
        <v>-21.831699999999898</v>
      </c>
      <c r="AD2440">
        <v>4.2034039999999999</v>
      </c>
      <c r="AE2440">
        <v>-231.11249999999899</v>
      </c>
      <c r="AF2440">
        <v>17.4910175764348</v>
      </c>
      <c r="AG2440">
        <v>4.2034039999999999</v>
      </c>
      <c r="AH2440">
        <v>231.40517549560201</v>
      </c>
      <c r="AI2440">
        <v>88.962313607993593</v>
      </c>
      <c r="AJ2440">
        <v>85.677454215645795</v>
      </c>
      <c r="AK2440">
        <v>232.10333807853101</v>
      </c>
      <c r="AL2440">
        <v>88.248093642899093</v>
      </c>
      <c r="AM2440">
        <v>87.193350439348905</v>
      </c>
      <c r="AN2440">
        <v>1.0000000038408601</v>
      </c>
    </row>
    <row r="2441" spans="1:40" x14ac:dyDescent="0.25">
      <c r="A2441" t="str">
        <f>"20190312150709725"</f>
        <v>20190312150709725</v>
      </c>
      <c r="B2441" t="str">
        <f>"1552374429722404"</f>
        <v>1552374429722404</v>
      </c>
      <c r="C2441" t="s">
        <v>40</v>
      </c>
      <c r="D2441">
        <v>4.4037519999999999</v>
      </c>
      <c r="E2441">
        <v>0.50728509999999905</v>
      </c>
      <c r="F2441" t="s">
        <v>62</v>
      </c>
      <c r="G2441">
        <v>-212.72280000000001</v>
      </c>
      <c r="H2441">
        <v>5.1940999999999997</v>
      </c>
      <c r="I2441">
        <v>115.30419999999999</v>
      </c>
      <c r="J2441">
        <v>-190.12629999999999</v>
      </c>
      <c r="K2441">
        <v>1.106379</v>
      </c>
      <c r="L2441">
        <v>346.96460000000002</v>
      </c>
      <c r="M2441">
        <v>-2.680374E-2</v>
      </c>
      <c r="N2441">
        <v>0</v>
      </c>
      <c r="O2441">
        <v>-0.99962280000000003</v>
      </c>
      <c r="P2441">
        <v>-7.0336960000000004E-2</v>
      </c>
      <c r="Q2441">
        <v>2.3130580000000001E-2</v>
      </c>
      <c r="R2441">
        <v>-0.99725560000000002</v>
      </c>
      <c r="S2441">
        <v>-0.29130549999999999</v>
      </c>
      <c r="T2441">
        <v>5.2670120000000001E-2</v>
      </c>
      <c r="U2441">
        <v>-2.986755</v>
      </c>
      <c r="V2441">
        <v>4.380796E-2</v>
      </c>
      <c r="W2441">
        <v>2.8786800000000001E-2</v>
      </c>
      <c r="X2441">
        <v>0.99862519999999999</v>
      </c>
      <c r="Y2441">
        <v>7.0344370000000003E-2</v>
      </c>
      <c r="Z2441">
        <v>-1.7558839999999999E-2</v>
      </c>
      <c r="AA2441">
        <v>0.99736820000000004</v>
      </c>
      <c r="AB2441">
        <v>15</v>
      </c>
      <c r="AC2441">
        <v>-22.596499999999999</v>
      </c>
      <c r="AD2441">
        <v>4.0877210000000002</v>
      </c>
      <c r="AE2441">
        <v>-231.66040000000001</v>
      </c>
      <c r="AF2441">
        <v>16.3738547273413</v>
      </c>
      <c r="AG2441">
        <v>4.0877210000000002</v>
      </c>
      <c r="AH2441">
        <v>232.11125812896199</v>
      </c>
      <c r="AI2441">
        <v>88.993566497247997</v>
      </c>
      <c r="AJ2441">
        <v>85.964860899633393</v>
      </c>
      <c r="AK2441">
        <v>232.72397541253801</v>
      </c>
      <c r="AL2441">
        <v>88.3504100589751</v>
      </c>
      <c r="AM2441">
        <v>87.488143735907698</v>
      </c>
      <c r="AN2441">
        <v>1.0000000536443101</v>
      </c>
    </row>
    <row r="2442" spans="1:40" x14ac:dyDescent="0.25">
      <c r="A2442" t="str">
        <f>"20190312150709745"</f>
        <v>20190312150709745</v>
      </c>
      <c r="B2442" t="str">
        <f>"1552374429742447"</f>
        <v>1552374429742447</v>
      </c>
      <c r="C2442" t="s">
        <v>40</v>
      </c>
      <c r="D2442">
        <v>4.5879440000000002</v>
      </c>
      <c r="E2442">
        <v>0.50604519999999997</v>
      </c>
      <c r="F2442" t="s">
        <v>41</v>
      </c>
      <c r="G2442">
        <v>-190.20419999999999</v>
      </c>
      <c r="H2442">
        <v>1.047987</v>
      </c>
      <c r="I2442">
        <v>346.09699999999998</v>
      </c>
      <c r="J2442">
        <v>-190.13910000000001</v>
      </c>
      <c r="K2442">
        <v>1.106481</v>
      </c>
      <c r="L2442">
        <v>346.82040000000001</v>
      </c>
      <c r="M2442">
        <v>-3.4435279999999999E-2</v>
      </c>
      <c r="N2442">
        <v>0</v>
      </c>
      <c r="O2442">
        <v>-0.99938890000000002</v>
      </c>
      <c r="P2442">
        <v>-7.291955E-2</v>
      </c>
      <c r="Q2442">
        <v>2.304484E-2</v>
      </c>
      <c r="R2442">
        <v>-0.99707199999999996</v>
      </c>
      <c r="S2442">
        <v>-0.2684937</v>
      </c>
      <c r="T2442">
        <v>-0.201296</v>
      </c>
      <c r="U2442">
        <v>-2.9940190000000002</v>
      </c>
      <c r="V2442">
        <v>3.8760009999999998E-2</v>
      </c>
      <c r="W2442">
        <v>2.8762490000000002E-2</v>
      </c>
      <c r="X2442">
        <v>0.99883449999999996</v>
      </c>
      <c r="Y2442">
        <v>5.476723E-2</v>
      </c>
      <c r="Z2442">
        <v>6.6837960000000002E-2</v>
      </c>
      <c r="AA2442">
        <v>0.99625960000000002</v>
      </c>
      <c r="AB2442">
        <v>15</v>
      </c>
      <c r="AC2442">
        <v>-6.5099999999972596E-2</v>
      </c>
      <c r="AD2442">
        <v>-5.8493999999999997E-2</v>
      </c>
      <c r="AE2442">
        <v>-0.72340000000002602</v>
      </c>
      <c r="AF2442">
        <v>3.9891730064708197E-2</v>
      </c>
      <c r="AG2442">
        <v>-5.8493999999999997E-2</v>
      </c>
      <c r="AH2442">
        <v>0.72053946943139002</v>
      </c>
      <c r="AI2442">
        <v>94.634076232747006</v>
      </c>
      <c r="AJ2442">
        <v>86.831128762968007</v>
      </c>
      <c r="AK2442">
        <v>0.72400968582749203</v>
      </c>
      <c r="AL2442">
        <v>88.351803389380507</v>
      </c>
      <c r="AM2442">
        <v>87.777738681874197</v>
      </c>
      <c r="AN2442">
        <v>0.99999998879822405</v>
      </c>
    </row>
    <row r="2443" spans="1:40" x14ac:dyDescent="0.25">
      <c r="A2443" t="str">
        <f>"20190312150709768"</f>
        <v>20190312150709768</v>
      </c>
      <c r="B2443" t="str">
        <f>"1552374429762943"</f>
        <v>1552374429762943</v>
      </c>
      <c r="C2443" t="s">
        <v>40</v>
      </c>
      <c r="D2443">
        <v>4.4049339999999999</v>
      </c>
      <c r="E2443">
        <v>0.50321249999999995</v>
      </c>
      <c r="F2443" t="s">
        <v>41</v>
      </c>
      <c r="G2443">
        <v>-190.21610000000001</v>
      </c>
      <c r="H2443">
        <v>1.0469850000000001</v>
      </c>
      <c r="I2443">
        <v>345.95830000000001</v>
      </c>
      <c r="J2443">
        <v>-190.15450000000001</v>
      </c>
      <c r="K2443">
        <v>1.106589</v>
      </c>
      <c r="L2443">
        <v>346.6583</v>
      </c>
      <c r="M2443">
        <v>-4.2752940000000003E-2</v>
      </c>
      <c r="N2443">
        <v>0</v>
      </c>
      <c r="O2443">
        <v>-0.9990677</v>
      </c>
      <c r="P2443">
        <v>-7.6924610000000004E-2</v>
      </c>
      <c r="Q2443">
        <v>2.349453E-2</v>
      </c>
      <c r="R2443">
        <v>-0.99676050000000005</v>
      </c>
      <c r="S2443">
        <v>-0.26733400000000002</v>
      </c>
      <c r="T2443">
        <v>-0.20653779999999999</v>
      </c>
      <c r="U2443">
        <v>-2.9940799999999999</v>
      </c>
      <c r="V2443">
        <v>3.4453940000000002E-2</v>
      </c>
      <c r="W2443">
        <v>2.9268209999999999E-2</v>
      </c>
      <c r="X2443">
        <v>0.99897760000000002</v>
      </c>
      <c r="Y2443">
        <v>4.6058769999999999E-2</v>
      </c>
      <c r="Z2443">
        <v>6.8552230000000006E-2</v>
      </c>
      <c r="AA2443">
        <v>0.99658380000000002</v>
      </c>
      <c r="AB2443">
        <v>15</v>
      </c>
      <c r="AC2443">
        <v>-6.1599999999998503E-2</v>
      </c>
      <c r="AD2443">
        <v>-5.96039999999999E-2</v>
      </c>
      <c r="AE2443">
        <v>-0.69999999999998797</v>
      </c>
      <c r="AF2443">
        <v>3.1390240987760401E-2</v>
      </c>
      <c r="AG2443">
        <v>-5.96039999999999E-2</v>
      </c>
      <c r="AH2443">
        <v>0.69697911673053603</v>
      </c>
      <c r="AI2443">
        <v>94.882980922989404</v>
      </c>
      <c r="AJ2443">
        <v>87.421280312502901</v>
      </c>
      <c r="AK2443">
        <v>0.70022701547694399</v>
      </c>
      <c r="AL2443">
        <v>88.322815536942599</v>
      </c>
      <c r="AM2443">
        <v>88.0246972629553</v>
      </c>
      <c r="AN2443">
        <v>0.99999997369994298</v>
      </c>
    </row>
    <row r="2444" spans="1:40" x14ac:dyDescent="0.25">
      <c r="A2444" t="str">
        <f>"20190312150709791"</f>
        <v>20190312150709791</v>
      </c>
      <c r="B2444" t="str">
        <f>"1552374429782462"</f>
        <v>1552374429782462</v>
      </c>
      <c r="C2444" t="s">
        <v>40</v>
      </c>
      <c r="D2444">
        <v>4.3870420000000001</v>
      </c>
      <c r="E2444">
        <v>0.50229219999999997</v>
      </c>
      <c r="F2444" t="s">
        <v>63</v>
      </c>
      <c r="G2444">
        <v>-211.4485</v>
      </c>
      <c r="H2444">
        <v>1.639823</v>
      </c>
      <c r="I2444">
        <v>98.375470000000007</v>
      </c>
      <c r="J2444">
        <v>-190.1705</v>
      </c>
      <c r="K2444">
        <v>1.106681</v>
      </c>
      <c r="L2444">
        <v>346.49990000000003</v>
      </c>
      <c r="M2444">
        <v>-5.0621069999999997E-2</v>
      </c>
      <c r="N2444">
        <v>0</v>
      </c>
      <c r="O2444">
        <v>-0.99869969999999997</v>
      </c>
      <c r="P2444">
        <v>-8.1081009999999995E-2</v>
      </c>
      <c r="Q2444">
        <v>2.4059759999999999E-2</v>
      </c>
      <c r="R2444">
        <v>-0.996417</v>
      </c>
      <c r="S2444">
        <v>-0.25642399999999999</v>
      </c>
      <c r="T2444">
        <v>6.4215660000000001E-3</v>
      </c>
      <c r="U2444">
        <v>-2.9898380000000002</v>
      </c>
      <c r="V2444">
        <v>3.0749559999999999E-2</v>
      </c>
      <c r="W2444">
        <v>2.9886389999999999E-2</v>
      </c>
      <c r="X2444">
        <v>0.99908019999999997</v>
      </c>
      <c r="Y2444">
        <v>3.4904890000000001E-2</v>
      </c>
      <c r="Z2444">
        <v>-2.1390850000000002E-3</v>
      </c>
      <c r="AA2444">
        <v>0.99938830000000001</v>
      </c>
      <c r="AB2444">
        <v>15</v>
      </c>
      <c r="AC2444">
        <v>-21.277999999999899</v>
      </c>
      <c r="AD2444">
        <v>0.533142</v>
      </c>
      <c r="AE2444">
        <v>-248.12442999999999</v>
      </c>
      <c r="AF2444">
        <v>8.6901264827815705</v>
      </c>
      <c r="AG2444">
        <v>0.533142</v>
      </c>
      <c r="AH2444">
        <v>248.88230003690799</v>
      </c>
      <c r="AI2444">
        <v>89.877339063531807</v>
      </c>
      <c r="AJ2444">
        <v>88.0002379675133</v>
      </c>
      <c r="AK2444">
        <v>249.03453939231099</v>
      </c>
      <c r="AL2444">
        <v>88.287380953702197</v>
      </c>
      <c r="AM2444">
        <v>88.237114482713693</v>
      </c>
      <c r="AN2444">
        <v>0.99999998888973196</v>
      </c>
    </row>
    <row r="2445" spans="1:40" x14ac:dyDescent="0.25">
      <c r="A2445" t="str">
        <f>"20190312150709813"</f>
        <v>20190312150709813</v>
      </c>
      <c r="B2445" t="str">
        <f>"1552374429802959"</f>
        <v>1552374429802959</v>
      </c>
      <c r="C2445" t="s">
        <v>40</v>
      </c>
      <c r="D2445">
        <v>4.3781089999999896</v>
      </c>
      <c r="E2445">
        <v>0.50148959999999998</v>
      </c>
      <c r="F2445" t="s">
        <v>63</v>
      </c>
      <c r="G2445">
        <v>-211.8767</v>
      </c>
      <c r="H2445">
        <v>2.8970590000000001</v>
      </c>
      <c r="I2445">
        <v>98.375470000000007</v>
      </c>
      <c r="J2445">
        <v>-190.1874</v>
      </c>
      <c r="K2445">
        <v>1.1067560000000001</v>
      </c>
      <c r="L2445">
        <v>346.34199999999998</v>
      </c>
      <c r="M2445">
        <v>-5.8198149999999997E-2</v>
      </c>
      <c r="N2445">
        <v>0</v>
      </c>
      <c r="O2445">
        <v>-0.99828669999999997</v>
      </c>
      <c r="P2445">
        <v>-8.4540400000000002E-2</v>
      </c>
      <c r="Q2445">
        <v>2.4815980000000001E-2</v>
      </c>
      <c r="R2445">
        <v>-0.99611119999999997</v>
      </c>
      <c r="S2445">
        <v>-0.2614746</v>
      </c>
      <c r="T2445">
        <v>2.1567340000000001E-2</v>
      </c>
      <c r="U2445">
        <v>-2.9889220000000001</v>
      </c>
      <c r="V2445">
        <v>2.6637270000000001E-2</v>
      </c>
      <c r="W2445">
        <v>3.070283E-2</v>
      </c>
      <c r="X2445">
        <v>0.9991736</v>
      </c>
      <c r="Y2445">
        <v>2.9020649999999999E-2</v>
      </c>
      <c r="Z2445">
        <v>-7.1820089999999996E-3</v>
      </c>
      <c r="AA2445">
        <v>0.99955300000000002</v>
      </c>
      <c r="AB2445">
        <v>15</v>
      </c>
      <c r="AC2445">
        <v>-21.689299999999999</v>
      </c>
      <c r="AD2445">
        <v>1.790303</v>
      </c>
      <c r="AE2445">
        <v>-247.96653000000001</v>
      </c>
      <c r="AF2445">
        <v>7.2207051660556703</v>
      </c>
      <c r="AG2445">
        <v>1.790303</v>
      </c>
      <c r="AH2445">
        <v>248.795653658513</v>
      </c>
      <c r="AI2445">
        <v>89.587887237565894</v>
      </c>
      <c r="AJ2445">
        <v>88.337592219808698</v>
      </c>
      <c r="AK2445">
        <v>248.906852150144</v>
      </c>
      <c r="AL2445">
        <v>88.2405810045462</v>
      </c>
      <c r="AM2445">
        <v>88.472896265475896</v>
      </c>
      <c r="AN2445">
        <v>1.00000004543</v>
      </c>
    </row>
    <row r="2446" spans="1:40" x14ac:dyDescent="0.25">
      <c r="A2446" t="str">
        <f>"20190312150709836"</f>
        <v>20190312150709836</v>
      </c>
      <c r="B2446" t="str">
        <f>"1552374429832239"</f>
        <v>1552374429832239</v>
      </c>
      <c r="C2446" t="s">
        <v>40</v>
      </c>
      <c r="D2446">
        <v>4.4051179999999999</v>
      </c>
      <c r="E2446">
        <v>0.5005503</v>
      </c>
      <c r="F2446" t="s">
        <v>63</v>
      </c>
      <c r="G2446">
        <v>-212.20599999999999</v>
      </c>
      <c r="H2446">
        <v>3.5755279999999998</v>
      </c>
      <c r="I2446">
        <v>98.375470000000007</v>
      </c>
      <c r="J2446">
        <v>-190.20519999999999</v>
      </c>
      <c r="K2446">
        <v>1.106838</v>
      </c>
      <c r="L2446">
        <v>346.18400000000003</v>
      </c>
      <c r="M2446">
        <v>-6.5474470000000007E-2</v>
      </c>
      <c r="N2446">
        <v>0</v>
      </c>
      <c r="O2446">
        <v>-0.99783560000000004</v>
      </c>
      <c r="P2446">
        <v>-8.8916919999999997E-2</v>
      </c>
      <c r="Q2446">
        <v>2.5584269999999999E-2</v>
      </c>
      <c r="R2446">
        <v>-0.9957106</v>
      </c>
      <c r="S2446">
        <v>-0.26536559999999998</v>
      </c>
      <c r="T2446">
        <v>2.9753680000000001E-2</v>
      </c>
      <c r="U2446">
        <v>-2.988464</v>
      </c>
      <c r="V2446">
        <v>2.3743159999999999E-2</v>
      </c>
      <c r="W2446">
        <v>3.1524980000000001E-2</v>
      </c>
      <c r="X2446">
        <v>0.99922089999999997</v>
      </c>
      <c r="Y2446">
        <v>2.3035420000000001E-2</v>
      </c>
      <c r="Z2446">
        <v>-9.9028720000000001E-3</v>
      </c>
      <c r="AA2446">
        <v>0.99968559999999995</v>
      </c>
      <c r="AB2446">
        <v>16</v>
      </c>
      <c r="AC2446">
        <v>-22.000800000000002</v>
      </c>
      <c r="AD2446">
        <v>2.4686900000000001</v>
      </c>
      <c r="AE2446">
        <v>-247.80852999999999</v>
      </c>
      <c r="AF2446">
        <v>5.7275918971583204</v>
      </c>
      <c r="AG2446">
        <v>2.4686900000000001</v>
      </c>
      <c r="AH2446">
        <v>248.69280321692699</v>
      </c>
      <c r="AI2446">
        <v>89.431413468928</v>
      </c>
      <c r="AJ2446">
        <v>88.680666127437405</v>
      </c>
      <c r="AK2446">
        <v>248.77099933704</v>
      </c>
      <c r="AL2446">
        <v>88.193452352620099</v>
      </c>
      <c r="AM2446">
        <v>88.638812583683205</v>
      </c>
      <c r="AN2446">
        <v>0.99999998450379701</v>
      </c>
    </row>
    <row r="2447" spans="1:40" x14ac:dyDescent="0.25">
      <c r="A2447" t="str">
        <f>"20190312150709857"</f>
        <v>20190312150709857</v>
      </c>
      <c r="B2447" t="str">
        <f>"1552374429852735"</f>
        <v>1552374429852735</v>
      </c>
      <c r="C2447" t="s">
        <v>40</v>
      </c>
      <c r="D2447">
        <v>4.4053199999999997</v>
      </c>
      <c r="E2447">
        <v>0.50011679999999903</v>
      </c>
      <c r="F2447" t="s">
        <v>62</v>
      </c>
      <c r="G2447">
        <v>-211.19030000000001</v>
      </c>
      <c r="H2447">
        <v>4.1401469999999998</v>
      </c>
      <c r="I2447">
        <v>114.9447</v>
      </c>
      <c r="J2447">
        <v>-190.22329999999999</v>
      </c>
      <c r="K2447">
        <v>1.106951</v>
      </c>
      <c r="L2447">
        <v>346.03030000000001</v>
      </c>
      <c r="M2447">
        <v>-7.2226460000000006E-2</v>
      </c>
      <c r="N2447">
        <v>0</v>
      </c>
      <c r="O2447">
        <v>-0.99736930000000001</v>
      </c>
      <c r="P2447">
        <v>-9.4147900000000007E-2</v>
      </c>
      <c r="Q2447">
        <v>2.58024E-2</v>
      </c>
      <c r="R2447">
        <v>-0.99522379999999999</v>
      </c>
      <c r="S2447">
        <v>-0.27113340000000002</v>
      </c>
      <c r="T2447">
        <v>3.9191480000000001E-2</v>
      </c>
      <c r="U2447">
        <v>-2.9876710000000002</v>
      </c>
      <c r="V2447">
        <v>2.222412E-2</v>
      </c>
      <c r="W2447">
        <v>3.1785689999999998E-2</v>
      </c>
      <c r="X2447">
        <v>0.99924760000000001</v>
      </c>
      <c r="Y2447">
        <v>1.820339E-2</v>
      </c>
      <c r="Z2447">
        <v>-1.3037409999999999E-2</v>
      </c>
      <c r="AA2447">
        <v>0.99974929999999995</v>
      </c>
      <c r="AB2447">
        <v>16</v>
      </c>
      <c r="AC2447">
        <v>-20.966999999999999</v>
      </c>
      <c r="AD2447">
        <v>3.0331959999999998</v>
      </c>
      <c r="AE2447">
        <v>-231.0856</v>
      </c>
      <c r="AF2447">
        <v>4.2207058519314602</v>
      </c>
      <c r="AG2447">
        <v>3.0331959999999998</v>
      </c>
      <c r="AH2447">
        <v>231.956805069208</v>
      </c>
      <c r="AI2447">
        <v>89.250935251183506</v>
      </c>
      <c r="AJ2447">
        <v>88.957556138566702</v>
      </c>
      <c r="AK2447">
        <v>232.015029801471</v>
      </c>
      <c r="AL2447">
        <v>88.178507315115496</v>
      </c>
      <c r="AM2447">
        <v>88.725902984001607</v>
      </c>
      <c r="AN2447">
        <v>1.0000000038521499</v>
      </c>
    </row>
    <row r="2448" spans="1:40" x14ac:dyDescent="0.25">
      <c r="A2448" t="str">
        <f>"20190312150709880"</f>
        <v>20190312150709880</v>
      </c>
      <c r="B2448" t="str">
        <f>"1552374429872255"</f>
        <v>1552374429872255</v>
      </c>
      <c r="C2448" t="s">
        <v>40</v>
      </c>
      <c r="D2448">
        <v>4.5119369999999996</v>
      </c>
      <c r="E2448">
        <v>0.499529</v>
      </c>
      <c r="F2448" t="s">
        <v>62</v>
      </c>
      <c r="G2448">
        <v>-212.1969</v>
      </c>
      <c r="H2448">
        <v>4.2668140000000001</v>
      </c>
      <c r="I2448">
        <v>114.4545</v>
      </c>
      <c r="J2448">
        <v>-190.24350000000001</v>
      </c>
      <c r="K2448">
        <v>1.107113</v>
      </c>
      <c r="L2448">
        <v>345.8648</v>
      </c>
      <c r="M2448">
        <v>-7.9126740000000001E-2</v>
      </c>
      <c r="N2448">
        <v>0</v>
      </c>
      <c r="O2448">
        <v>-0.9968458</v>
      </c>
      <c r="P2448">
        <v>-9.9303710000000003E-2</v>
      </c>
      <c r="Q2448">
        <v>2.5896490000000001E-2</v>
      </c>
      <c r="R2448">
        <v>-0.99472050000000001</v>
      </c>
      <c r="S2448">
        <v>-0.28338619999999998</v>
      </c>
      <c r="T2448">
        <v>4.0751809999999999E-2</v>
      </c>
      <c r="U2448">
        <v>-2.986542</v>
      </c>
      <c r="V2448">
        <v>2.047558E-2</v>
      </c>
      <c r="W2448">
        <v>3.1926280000000001E-2</v>
      </c>
      <c r="X2448">
        <v>0.99928050000000002</v>
      </c>
      <c r="Y2448">
        <v>1.5384159999999999E-2</v>
      </c>
      <c r="Z2448">
        <v>-1.3548559999999999E-2</v>
      </c>
      <c r="AA2448">
        <v>0.99978979999999995</v>
      </c>
      <c r="AB2448">
        <v>16</v>
      </c>
      <c r="AC2448">
        <v>-21.953399999999899</v>
      </c>
      <c r="AD2448">
        <v>3.1597009999999899</v>
      </c>
      <c r="AE2448">
        <v>-231.41030000000001</v>
      </c>
      <c r="AF2448">
        <v>3.5728186311083299</v>
      </c>
      <c r="AG2448">
        <v>3.1597009999999899</v>
      </c>
      <c r="AH2448">
        <v>232.37889705525899</v>
      </c>
      <c r="AI2448">
        <v>89.221078211342203</v>
      </c>
      <c r="AJ2448">
        <v>89.119148497706604</v>
      </c>
      <c r="AK2448">
        <v>232.42783942548499</v>
      </c>
      <c r="AL2448">
        <v>88.170448053895001</v>
      </c>
      <c r="AM2448">
        <v>88.826155245916596</v>
      </c>
      <c r="AN2448">
        <v>1.00000002720561</v>
      </c>
    </row>
    <row r="2449" spans="1:40" x14ac:dyDescent="0.25">
      <c r="A2449" t="str">
        <f>"20190312150709904"</f>
        <v>20190312150709904</v>
      </c>
      <c r="B2449" t="str">
        <f>"1552374429892752"</f>
        <v>1552374429892752</v>
      </c>
      <c r="C2449" t="s">
        <v>40</v>
      </c>
      <c r="D2449">
        <v>4.3881769999999998</v>
      </c>
      <c r="E2449">
        <v>0.49348839999999999</v>
      </c>
      <c r="F2449" t="s">
        <v>62</v>
      </c>
      <c r="G2449">
        <v>-213.05289999999999</v>
      </c>
      <c r="H2449">
        <v>4.2452399999999999</v>
      </c>
      <c r="I2449">
        <v>114.4248</v>
      </c>
      <c r="J2449">
        <v>-190.26499999999999</v>
      </c>
      <c r="K2449">
        <v>1.1073040000000001</v>
      </c>
      <c r="L2449">
        <v>345.6943</v>
      </c>
      <c r="M2449">
        <v>-8.5819530000000005E-2</v>
      </c>
      <c r="N2449">
        <v>0</v>
      </c>
      <c r="O2449">
        <v>-0.99629179999999995</v>
      </c>
      <c r="P2449">
        <v>-0.1007586</v>
      </c>
      <c r="Q2449">
        <v>2.557653E-2</v>
      </c>
      <c r="R2449">
        <v>-0.99458270000000004</v>
      </c>
      <c r="S2449">
        <v>-0.29423519999999997</v>
      </c>
      <c r="T2449">
        <v>4.0481209999999997E-2</v>
      </c>
      <c r="U2449">
        <v>-2.9855040000000002</v>
      </c>
      <c r="V2449">
        <v>1.52078E-2</v>
      </c>
      <c r="W2449">
        <v>3.1675590000000003E-2</v>
      </c>
      <c r="X2449">
        <v>0.99938249999999995</v>
      </c>
      <c r="Y2449">
        <v>1.2301309999999999E-2</v>
      </c>
      <c r="Z2449">
        <v>-1.345E-2</v>
      </c>
      <c r="AA2449">
        <v>0.99983390000000005</v>
      </c>
      <c r="AB2449">
        <v>16</v>
      </c>
      <c r="AC2449">
        <v>-22.7879</v>
      </c>
      <c r="AD2449">
        <v>3.1379359999999998</v>
      </c>
      <c r="AE2449">
        <v>-231.26949999999999</v>
      </c>
      <c r="AF2449">
        <v>2.8554912533074002</v>
      </c>
      <c r="AG2449">
        <v>3.1379359999999998</v>
      </c>
      <c r="AH2449">
        <v>232.32956825671499</v>
      </c>
      <c r="AI2449">
        <v>89.2262457876719</v>
      </c>
      <c r="AJ2449">
        <v>89.295830655665995</v>
      </c>
      <c r="AK2449">
        <v>232.36830411867601</v>
      </c>
      <c r="AL2449">
        <v>88.184818752862398</v>
      </c>
      <c r="AM2449">
        <v>89.128186146858994</v>
      </c>
      <c r="AN2449">
        <v>1.00000000074446</v>
      </c>
    </row>
    <row r="2450" spans="1:40" x14ac:dyDescent="0.25">
      <c r="A2450" t="str">
        <f>"20190312150709926"</f>
        <v>20190312150709926</v>
      </c>
      <c r="B2450" t="str">
        <f>"1552374429923007"</f>
        <v>1552374429923007</v>
      </c>
      <c r="C2450" t="s">
        <v>40</v>
      </c>
      <c r="D2450">
        <v>4.3804439999999998</v>
      </c>
      <c r="E2450">
        <v>0.49172769999999999</v>
      </c>
      <c r="F2450" t="s">
        <v>41</v>
      </c>
      <c r="G2450">
        <v>-190.32640000000001</v>
      </c>
      <c r="H2450">
        <v>1.0467649999999999</v>
      </c>
      <c r="I2450">
        <v>344.96</v>
      </c>
      <c r="J2450">
        <v>-190.28559999999999</v>
      </c>
      <c r="K2450">
        <v>1.1074900000000001</v>
      </c>
      <c r="L2450">
        <v>345.53539999999998</v>
      </c>
      <c r="M2450">
        <v>-9.1590519999999995E-2</v>
      </c>
      <c r="N2450">
        <v>0</v>
      </c>
      <c r="O2450">
        <v>-0.99577749999999998</v>
      </c>
      <c r="P2450">
        <v>-0.1005822</v>
      </c>
      <c r="Q2450">
        <v>2.2965590000000001E-2</v>
      </c>
      <c r="R2450">
        <v>-0.99466379999999999</v>
      </c>
      <c r="S2450">
        <v>-0.25041200000000002</v>
      </c>
      <c r="T2450">
        <v>-0.24708530000000001</v>
      </c>
      <c r="U2450">
        <v>-2.9973139999999998</v>
      </c>
      <c r="V2450">
        <v>9.2041050000000006E-3</v>
      </c>
      <c r="W2450">
        <v>2.913236E-2</v>
      </c>
      <c r="X2450">
        <v>0.99953320000000001</v>
      </c>
      <c r="Y2450">
        <v>-8.6469519999999994E-3</v>
      </c>
      <c r="Z2450">
        <v>8.1498089999999995E-2</v>
      </c>
      <c r="AA2450">
        <v>0.99663599999999997</v>
      </c>
      <c r="AB2450">
        <v>16</v>
      </c>
      <c r="AC2450">
        <v>-4.0800000000018599E-2</v>
      </c>
      <c r="AD2450">
        <v>-6.0724999999999897E-2</v>
      </c>
      <c r="AE2450">
        <v>-0.57540000000000102</v>
      </c>
      <c r="AF2450">
        <v>-1.19413608202641E-2</v>
      </c>
      <c r="AG2450">
        <v>-6.0724999999999897E-2</v>
      </c>
      <c r="AH2450">
        <v>0.57039719597367899</v>
      </c>
      <c r="AI2450">
        <v>96.075549791054897</v>
      </c>
      <c r="AJ2450">
        <v>91.199321546339803</v>
      </c>
      <c r="AK2450">
        <v>0.57374478899409198</v>
      </c>
      <c r="AL2450">
        <v>88.330602556477501</v>
      </c>
      <c r="AM2450">
        <v>89.472412256261805</v>
      </c>
      <c r="AN2450">
        <v>1.0000000139251299</v>
      </c>
    </row>
    <row r="2451" spans="1:40" x14ac:dyDescent="0.25">
      <c r="A2451" t="str">
        <f>"20190312150709947"</f>
        <v>20190312150709947</v>
      </c>
      <c r="B2451" t="str">
        <f>"1552374429942396"</f>
        <v>1552374429942396</v>
      </c>
      <c r="C2451" t="s">
        <v>40</v>
      </c>
      <c r="D2451">
        <v>4.3788640000000001</v>
      </c>
      <c r="E2451">
        <v>0.49192760000000002</v>
      </c>
      <c r="F2451" t="s">
        <v>41</v>
      </c>
      <c r="G2451">
        <v>-190.3536</v>
      </c>
      <c r="H2451">
        <v>1.0376609999999999</v>
      </c>
      <c r="I2451">
        <v>344.67250000000001</v>
      </c>
      <c r="J2451">
        <v>-190.3058</v>
      </c>
      <c r="K2451">
        <v>1.107677</v>
      </c>
      <c r="L2451">
        <v>345.38249999999999</v>
      </c>
      <c r="M2451">
        <v>-9.6721249999999995E-2</v>
      </c>
      <c r="N2451">
        <v>0</v>
      </c>
      <c r="O2451">
        <v>-0.99529210000000001</v>
      </c>
      <c r="P2451">
        <v>-0.1010442</v>
      </c>
      <c r="Q2451">
        <v>1.711493E-2</v>
      </c>
      <c r="R2451">
        <v>-0.99473489999999998</v>
      </c>
      <c r="S2451">
        <v>-0.23591609999999999</v>
      </c>
      <c r="T2451">
        <v>-0.2425147</v>
      </c>
      <c r="U2451">
        <v>-2.997833</v>
      </c>
      <c r="V2451">
        <v>4.4632530000000004E-3</v>
      </c>
      <c r="W2451">
        <v>2.333936E-2</v>
      </c>
      <c r="X2451">
        <v>0.99971770000000004</v>
      </c>
      <c r="Y2451">
        <v>-1.8592069999999999E-2</v>
      </c>
      <c r="Z2451">
        <v>7.9938229999999999E-2</v>
      </c>
      <c r="AA2451">
        <v>0.99662640000000002</v>
      </c>
      <c r="AB2451">
        <v>16</v>
      </c>
      <c r="AC2451">
        <v>-4.7799999999995103E-2</v>
      </c>
      <c r="AD2451">
        <v>-7.0015999999999801E-2</v>
      </c>
      <c r="AE2451">
        <v>-0.70999999999997898</v>
      </c>
      <c r="AF2451">
        <v>-2.0895248723056099E-2</v>
      </c>
      <c r="AG2451">
        <v>-7.0015999999999801E-2</v>
      </c>
      <c r="AH2451">
        <v>0.70447448925401601</v>
      </c>
      <c r="AI2451">
        <v>95.673369422467601</v>
      </c>
      <c r="AJ2451">
        <v>91.698938259941897</v>
      </c>
      <c r="AK2451">
        <v>0.708253597015154</v>
      </c>
      <c r="AL2451">
        <v>88.662631824536604</v>
      </c>
      <c r="AM2451">
        <v>89.744203927979697</v>
      </c>
      <c r="AN2451">
        <v>1.00000006302291</v>
      </c>
    </row>
    <row r="2452" spans="1:40" x14ac:dyDescent="0.25">
      <c r="A2452" t="str">
        <f>"20190312150709970"</f>
        <v>20190312150709970</v>
      </c>
      <c r="B2452" t="str">
        <f>"1552374429962893"</f>
        <v>1552374429962893</v>
      </c>
      <c r="C2452" t="s">
        <v>40</v>
      </c>
      <c r="D2452">
        <v>4.3840899999999996</v>
      </c>
      <c r="E2452">
        <v>0.49440060000000002</v>
      </c>
      <c r="F2452" t="s">
        <v>41</v>
      </c>
      <c r="G2452">
        <v>-190.3734</v>
      </c>
      <c r="H2452">
        <v>1.029366</v>
      </c>
      <c r="I2452">
        <v>344.53289999999998</v>
      </c>
      <c r="J2452">
        <v>-190.32769999999999</v>
      </c>
      <c r="K2452">
        <v>1.1078539999999999</v>
      </c>
      <c r="L2452">
        <v>345.21969999999999</v>
      </c>
      <c r="M2452">
        <v>-0.1017887</v>
      </c>
      <c r="N2452">
        <v>0</v>
      </c>
      <c r="O2452">
        <v>-0.99478630000000001</v>
      </c>
      <c r="P2452">
        <v>-0.10362730000000001</v>
      </c>
      <c r="Q2452">
        <v>1.232127E-2</v>
      </c>
      <c r="R2452">
        <v>-0.99454010000000004</v>
      </c>
      <c r="S2452">
        <v>-0.2381897</v>
      </c>
      <c r="T2452">
        <v>-0.27607789999999999</v>
      </c>
      <c r="U2452">
        <v>-2.996429</v>
      </c>
      <c r="V2452">
        <v>1.9302309999999999E-3</v>
      </c>
      <c r="W2452">
        <v>1.8594920000000001E-2</v>
      </c>
      <c r="X2452">
        <v>0.99982519999999997</v>
      </c>
      <c r="Y2452">
        <v>-2.2970629999999999E-2</v>
      </c>
      <c r="Z2452">
        <v>9.088069E-2</v>
      </c>
      <c r="AA2452">
        <v>0.99559679999999995</v>
      </c>
      <c r="AB2452">
        <v>16</v>
      </c>
      <c r="AC2452">
        <v>-4.5700000000010697E-2</v>
      </c>
      <c r="AD2452">
        <v>-7.8488000000000099E-2</v>
      </c>
      <c r="AE2452">
        <v>-0.68680000000000496</v>
      </c>
      <c r="AF2452">
        <v>-2.4133430131399399E-2</v>
      </c>
      <c r="AG2452">
        <v>-7.8488000000000099E-2</v>
      </c>
      <c r="AH2452">
        <v>0.67905506156616502</v>
      </c>
      <c r="AI2452">
        <v>96.589103180062196</v>
      </c>
      <c r="AJ2452">
        <v>92.035419574086006</v>
      </c>
      <c r="AK2452">
        <v>0.68400187516741096</v>
      </c>
      <c r="AL2452">
        <v>88.934528117364195</v>
      </c>
      <c r="AM2452">
        <v>89.889386712409902</v>
      </c>
      <c r="AN2452">
        <v>0.99999996369827904</v>
      </c>
    </row>
    <row r="2453" spans="1:40" x14ac:dyDescent="0.25">
      <c r="A2453" t="str">
        <f>"20190312150709994"</f>
        <v>20190312150709994</v>
      </c>
      <c r="B2453" t="str">
        <f>"1552374429982412"</f>
        <v>1552374429982412</v>
      </c>
      <c r="C2453" t="s">
        <v>40</v>
      </c>
      <c r="D2453">
        <v>4.388884</v>
      </c>
      <c r="E2453">
        <v>0.49564390000000003</v>
      </c>
      <c r="F2453" t="s">
        <v>41</v>
      </c>
      <c r="G2453">
        <v>-190.40180000000001</v>
      </c>
      <c r="H2453">
        <v>1.0320720000000001</v>
      </c>
      <c r="I2453">
        <v>344.38690000000003</v>
      </c>
      <c r="J2453">
        <v>-190.35230000000001</v>
      </c>
      <c r="K2453">
        <v>1.10802</v>
      </c>
      <c r="L2453">
        <v>345.03960000000001</v>
      </c>
      <c r="M2453">
        <v>-0.10692840000000001</v>
      </c>
      <c r="N2453">
        <v>0</v>
      </c>
      <c r="O2453">
        <v>-0.99424659999999998</v>
      </c>
      <c r="P2453">
        <v>-0.1034046</v>
      </c>
      <c r="Q2453">
        <v>9.8124849999999993E-3</v>
      </c>
      <c r="R2453">
        <v>-0.99459109999999995</v>
      </c>
      <c r="S2453">
        <v>-0.2657928</v>
      </c>
      <c r="T2453">
        <v>-0.27211020000000002</v>
      </c>
      <c r="U2453">
        <v>-2.9921570000000002</v>
      </c>
      <c r="V2453">
        <v>-3.4812290000000002E-3</v>
      </c>
      <c r="W2453">
        <v>1.615198E-2</v>
      </c>
      <c r="X2453">
        <v>0.99986350000000002</v>
      </c>
      <c r="Y2453">
        <v>-1.889499E-2</v>
      </c>
      <c r="Z2453">
        <v>8.9608599999999997E-2</v>
      </c>
      <c r="AA2453">
        <v>0.99579779999999996</v>
      </c>
      <c r="AB2453">
        <v>16</v>
      </c>
      <c r="AC2453">
        <v>-4.9499999999994701E-2</v>
      </c>
      <c r="AD2453">
        <v>-7.5948000000000099E-2</v>
      </c>
      <c r="AE2453">
        <v>-0.65269999999998096</v>
      </c>
      <c r="AF2453">
        <v>-2.03040355120301E-2</v>
      </c>
      <c r="AG2453">
        <v>-7.5948000000000099E-2</v>
      </c>
      <c r="AH2453">
        <v>0.64556016743729505</v>
      </c>
      <c r="AI2453">
        <v>96.706528431480095</v>
      </c>
      <c r="AJ2453">
        <v>91.801462096424302</v>
      </c>
      <c r="AK2453">
        <v>0.65032936450981704</v>
      </c>
      <c r="AL2453">
        <v>89.074519482483595</v>
      </c>
      <c r="AM2453">
        <v>90.199486153116396</v>
      </c>
      <c r="AN2453">
        <v>1.0000000120227599</v>
      </c>
    </row>
    <row r="2454" spans="1:40" x14ac:dyDescent="0.25">
      <c r="A2454" t="str">
        <f>"20190312150710014"</f>
        <v>20190312150710014</v>
      </c>
      <c r="B2454" t="str">
        <f>"1552374430012669"</f>
        <v>1552374430012669</v>
      </c>
      <c r="C2454" t="s">
        <v>40</v>
      </c>
      <c r="D2454">
        <v>4.4107459999999996</v>
      </c>
      <c r="E2454">
        <v>0.49674570000000001</v>
      </c>
      <c r="F2454" t="s">
        <v>41</v>
      </c>
      <c r="G2454">
        <v>-190.4263</v>
      </c>
      <c r="H2454">
        <v>1.0372809999999999</v>
      </c>
      <c r="I2454">
        <v>344.23540000000003</v>
      </c>
      <c r="J2454">
        <v>-190.37360000000001</v>
      </c>
      <c r="K2454">
        <v>1.1081620000000001</v>
      </c>
      <c r="L2454">
        <v>344.88529999999997</v>
      </c>
      <c r="M2454">
        <v>-0.1109362</v>
      </c>
      <c r="N2454">
        <v>0</v>
      </c>
      <c r="O2454">
        <v>-0.99380710000000005</v>
      </c>
      <c r="P2454">
        <v>-0.1027918</v>
      </c>
      <c r="Q2454">
        <v>9.8936730000000004E-3</v>
      </c>
      <c r="R2454">
        <v>-0.99465389999999998</v>
      </c>
      <c r="S2454">
        <v>-0.27514650000000002</v>
      </c>
      <c r="T2454">
        <v>-0.26304539999999998</v>
      </c>
      <c r="U2454">
        <v>-2.990265</v>
      </c>
      <c r="V2454">
        <v>-8.1344539999999993E-3</v>
      </c>
      <c r="W2454">
        <v>1.6289769999999999E-2</v>
      </c>
      <c r="X2454">
        <v>0.99983420000000001</v>
      </c>
      <c r="Y2454">
        <v>-1.975696E-2</v>
      </c>
      <c r="Z2454">
        <v>8.6630639999999995E-2</v>
      </c>
      <c r="AA2454">
        <v>0.99604459999999995</v>
      </c>
      <c r="AB2454">
        <v>16</v>
      </c>
      <c r="AC2454">
        <v>-5.2699999999987299E-2</v>
      </c>
      <c r="AD2454">
        <v>-7.0881000000000194E-2</v>
      </c>
      <c r="AE2454">
        <v>-0.64989999999994497</v>
      </c>
      <c r="AF2454">
        <v>-1.9493837114860101E-2</v>
      </c>
      <c r="AG2454">
        <v>-7.0881000000000194E-2</v>
      </c>
      <c r="AH2454">
        <v>0.64412297558666898</v>
      </c>
      <c r="AI2454">
        <v>96.276862066324398</v>
      </c>
      <c r="AJ2454">
        <v>91.733479198351901</v>
      </c>
      <c r="AK2454">
        <v>0.64830435254214103</v>
      </c>
      <c r="AL2454">
        <v>89.066623625328404</v>
      </c>
      <c r="AM2454">
        <v>90.466136885491807</v>
      </c>
      <c r="AN2454">
        <v>0.99999997671908503</v>
      </c>
    </row>
    <row r="2455" spans="1:40" x14ac:dyDescent="0.25">
      <c r="A2455" t="str">
        <f>"20190312150710036"</f>
        <v>20190312150710036</v>
      </c>
      <c r="B2455" t="str">
        <f>"1552374430032189"</f>
        <v>1552374430032189</v>
      </c>
      <c r="C2455" t="s">
        <v>40</v>
      </c>
      <c r="D2455">
        <v>4.369167</v>
      </c>
      <c r="E2455">
        <v>0.49709809999999999</v>
      </c>
      <c r="F2455" t="s">
        <v>42</v>
      </c>
      <c r="G2455">
        <v>-191.6686</v>
      </c>
      <c r="H2455" s="1">
        <v>-1.1223409999999999E-6</v>
      </c>
      <c r="I2455">
        <v>331.17039999999997</v>
      </c>
      <c r="J2455">
        <v>-190.39580000000001</v>
      </c>
      <c r="K2455">
        <v>1.108325</v>
      </c>
      <c r="L2455">
        <v>344.72680000000003</v>
      </c>
      <c r="M2455">
        <v>-0.1146298</v>
      </c>
      <c r="N2455">
        <v>0</v>
      </c>
      <c r="O2455">
        <v>-0.99338760000000004</v>
      </c>
      <c r="P2455">
        <v>-0.1019124</v>
      </c>
      <c r="Q2455">
        <v>1.013327E-2</v>
      </c>
      <c r="R2455">
        <v>-0.99474200000000002</v>
      </c>
      <c r="S2455">
        <v>-0.28225709999999998</v>
      </c>
      <c r="T2455">
        <v>-0.24153659999999999</v>
      </c>
      <c r="U2455">
        <v>-2.9893190000000001</v>
      </c>
      <c r="V2455">
        <v>-1.274025E-2</v>
      </c>
      <c r="W2455">
        <v>1.6587279999999999E-2</v>
      </c>
      <c r="X2455">
        <v>0.99978129999999998</v>
      </c>
      <c r="Y2455">
        <v>-2.1040360000000001E-2</v>
      </c>
      <c r="Z2455">
        <v>7.9559359999999996E-2</v>
      </c>
      <c r="AA2455">
        <v>0.9966081</v>
      </c>
      <c r="AB2455">
        <v>16</v>
      </c>
      <c r="AC2455">
        <v>-1.2727999999999799</v>
      </c>
      <c r="AD2455">
        <v>-1.1083261223409999</v>
      </c>
      <c r="AE2455">
        <v>-13.5564</v>
      </c>
      <c r="AF2455">
        <v>-0.28768351454427399</v>
      </c>
      <c r="AG2455">
        <v>-1.1083261223409999</v>
      </c>
      <c r="AH2455">
        <v>13.5233379167293</v>
      </c>
      <c r="AI2455">
        <v>94.6842378965585</v>
      </c>
      <c r="AJ2455">
        <v>91.218675858896205</v>
      </c>
      <c r="AK2455">
        <v>13.571728593221</v>
      </c>
      <c r="AL2455">
        <v>89.049575323392602</v>
      </c>
      <c r="AM2455">
        <v>90.730082716226804</v>
      </c>
      <c r="AN2455">
        <v>1.00000004982877</v>
      </c>
    </row>
    <row r="2456" spans="1:40" x14ac:dyDescent="0.25">
      <c r="A2456" t="str">
        <f>"20190312150710059"</f>
        <v>20190312150710059</v>
      </c>
      <c r="B2456" t="str">
        <f>"1552374430052216"</f>
        <v>1552374430052216</v>
      </c>
      <c r="C2456" t="s">
        <v>40</v>
      </c>
      <c r="D2456">
        <v>4.5514000000000001</v>
      </c>
      <c r="E2456">
        <v>0.49728270000000002</v>
      </c>
      <c r="F2456" t="s">
        <v>42</v>
      </c>
      <c r="G2456">
        <v>-191.7501</v>
      </c>
      <c r="H2456" s="1">
        <v>-8.1742919999999899E-7</v>
      </c>
      <c r="I2456">
        <v>330.40910000000002</v>
      </c>
      <c r="J2456">
        <v>-190.41929999999999</v>
      </c>
      <c r="K2456">
        <v>1.108525</v>
      </c>
      <c r="L2456">
        <v>344.5598</v>
      </c>
      <c r="M2456">
        <v>-0.1180392</v>
      </c>
      <c r="N2456">
        <v>0</v>
      </c>
      <c r="O2456">
        <v>-0.99298779999999998</v>
      </c>
      <c r="P2456">
        <v>-0.1015895</v>
      </c>
      <c r="Q2456">
        <v>9.3593419999999997E-3</v>
      </c>
      <c r="R2456">
        <v>-0.99478230000000001</v>
      </c>
      <c r="S2456">
        <v>-0.28274539999999998</v>
      </c>
      <c r="T2456">
        <v>-0.2313954</v>
      </c>
      <c r="U2456">
        <v>-2.9892270000000001</v>
      </c>
      <c r="V2456">
        <v>-1.6507959999999999E-2</v>
      </c>
      <c r="W2456">
        <v>1.5868779999999999E-2</v>
      </c>
      <c r="X2456">
        <v>0.99973780000000001</v>
      </c>
      <c r="Y2456">
        <v>-2.4283280000000001E-2</v>
      </c>
      <c r="Z2456">
        <v>7.6191999999999996E-2</v>
      </c>
      <c r="AA2456">
        <v>0.99679739999999994</v>
      </c>
      <c r="AB2456">
        <v>17</v>
      </c>
      <c r="AC2456">
        <v>-1.33080000000001</v>
      </c>
      <c r="AD2456">
        <v>-1.1085258174291901</v>
      </c>
      <c r="AE2456">
        <v>-14.150699999999899</v>
      </c>
      <c r="AF2456">
        <v>-0.34676711151570799</v>
      </c>
      <c r="AG2456">
        <v>-1.1085258174291901</v>
      </c>
      <c r="AH2456">
        <v>14.1229485876311</v>
      </c>
      <c r="AI2456">
        <v>94.486660680377994</v>
      </c>
      <c r="AJ2456">
        <v>91.406526449191205</v>
      </c>
      <c r="AK2456">
        <v>14.170629969285301</v>
      </c>
      <c r="AL2456">
        <v>89.090747716063305</v>
      </c>
      <c r="AM2456">
        <v>90.945998528678302</v>
      </c>
      <c r="AN2456">
        <v>0.99999999983544496</v>
      </c>
    </row>
    <row r="2457" spans="1:40" x14ac:dyDescent="0.25">
      <c r="A2457" t="str">
        <f>"20190312150710082"</f>
        <v>20190312150710082</v>
      </c>
      <c r="B2457" t="str">
        <f>"1552374430072711"</f>
        <v>1552374430072711</v>
      </c>
      <c r="C2457" t="s">
        <v>40</v>
      </c>
      <c r="D2457">
        <v>4.4275359999999999</v>
      </c>
      <c r="E2457">
        <v>0.49986520000000001</v>
      </c>
      <c r="F2457" t="s">
        <v>42</v>
      </c>
      <c r="G2457">
        <v>-191.78729999999999</v>
      </c>
      <c r="H2457" s="1">
        <v>-7.0283399999999995E-7</v>
      </c>
      <c r="I2457">
        <v>330.1189</v>
      </c>
      <c r="J2457">
        <v>-190.44399999999999</v>
      </c>
      <c r="K2457">
        <v>1.1087739999999999</v>
      </c>
      <c r="L2457">
        <v>344.38459999999998</v>
      </c>
      <c r="M2457">
        <v>-0.1210938</v>
      </c>
      <c r="N2457">
        <v>0</v>
      </c>
      <c r="O2457">
        <v>-0.99261969999999999</v>
      </c>
      <c r="P2457">
        <v>-0.1000431</v>
      </c>
      <c r="Q2457">
        <v>9.0790839999999994E-3</v>
      </c>
      <c r="R2457">
        <v>-0.99494179999999999</v>
      </c>
      <c r="S2457">
        <v>-0.2831573</v>
      </c>
      <c r="T2457">
        <v>-0.2294456</v>
      </c>
      <c r="U2457">
        <v>-2.9890140000000001</v>
      </c>
      <c r="V2457">
        <v>-2.1148159999999999E-2</v>
      </c>
      <c r="W2457">
        <v>1.5645639999999999E-2</v>
      </c>
      <c r="X2457">
        <v>0.99965389999999998</v>
      </c>
      <c r="Y2457">
        <v>-2.7211470000000001E-2</v>
      </c>
      <c r="Z2457">
        <v>7.5513759999999999E-2</v>
      </c>
      <c r="AA2457">
        <v>0.99677340000000003</v>
      </c>
      <c r="AB2457">
        <v>17</v>
      </c>
      <c r="AC2457">
        <v>-1.34329999999997</v>
      </c>
      <c r="AD2457">
        <v>-1.108774702834</v>
      </c>
      <c r="AE2457">
        <v>-14.265699999999899</v>
      </c>
      <c r="AF2457">
        <v>-0.391764336166187</v>
      </c>
      <c r="AG2457">
        <v>-1.108774702834</v>
      </c>
      <c r="AH2457">
        <v>14.238129028716299</v>
      </c>
      <c r="AI2457">
        <v>94.451165498310104</v>
      </c>
      <c r="AJ2457">
        <v>91.576104623005705</v>
      </c>
      <c r="AK2457">
        <v>14.2866083755071</v>
      </c>
      <c r="AL2457">
        <v>89.103534261779004</v>
      </c>
      <c r="AM2457">
        <v>91.211939045822703</v>
      </c>
      <c r="AN2457">
        <v>0.99999997525380202</v>
      </c>
    </row>
    <row r="2458" spans="1:40" x14ac:dyDescent="0.25">
      <c r="A2458" t="str">
        <f>"20190312150710105"</f>
        <v>20190312150710105</v>
      </c>
      <c r="B2458" t="str">
        <f>"1552374430102968"</f>
        <v>1552374430102968</v>
      </c>
      <c r="C2458" t="s">
        <v>40</v>
      </c>
      <c r="D2458">
        <v>4.482558</v>
      </c>
      <c r="E2458">
        <v>0.49976710000000002</v>
      </c>
      <c r="F2458" t="s">
        <v>62</v>
      </c>
      <c r="G2458">
        <v>-213.28710000000001</v>
      </c>
      <c r="H2458">
        <v>6.4343269999999997</v>
      </c>
      <c r="I2458">
        <v>116.45140000000001</v>
      </c>
      <c r="J2458">
        <v>-190.4682</v>
      </c>
      <c r="K2458">
        <v>1.109046</v>
      </c>
      <c r="L2458">
        <v>344.21210000000002</v>
      </c>
      <c r="M2458">
        <v>-0.1235623</v>
      </c>
      <c r="N2458">
        <v>0</v>
      </c>
      <c r="O2458">
        <v>-0.99231510000000001</v>
      </c>
      <c r="P2458">
        <v>-9.737825E-2</v>
      </c>
      <c r="Q2458">
        <v>8.1550800000000003E-3</v>
      </c>
      <c r="R2458">
        <v>-0.99521440000000005</v>
      </c>
      <c r="S2458">
        <v>-0.2991028</v>
      </c>
      <c r="T2458">
        <v>6.9731710000000002E-2</v>
      </c>
      <c r="U2458">
        <v>-2.9844970000000002</v>
      </c>
      <c r="V2458">
        <v>-2.6324380000000001E-2</v>
      </c>
      <c r="W2458">
        <v>1.477266E-2</v>
      </c>
      <c r="X2458">
        <v>0.99954430000000005</v>
      </c>
      <c r="Y2458">
        <v>-2.4020659999999999E-2</v>
      </c>
      <c r="Z2458">
        <v>-2.3029339999999999E-2</v>
      </c>
      <c r="AA2458">
        <v>0.99944619999999995</v>
      </c>
      <c r="AB2458">
        <v>17</v>
      </c>
      <c r="AC2458">
        <v>-22.818899999999999</v>
      </c>
      <c r="AD2458">
        <v>5.3252810000000004</v>
      </c>
      <c r="AE2458">
        <v>-227.76070000000001</v>
      </c>
      <c r="AF2458">
        <v>-5.4962406309823297</v>
      </c>
      <c r="AG2458">
        <v>5.3252810000000004</v>
      </c>
      <c r="AH2458">
        <v>228.711081450855</v>
      </c>
      <c r="AI2458">
        <v>88.666557885604604</v>
      </c>
      <c r="AJ2458">
        <v>91.3766311155198</v>
      </c>
      <c r="AK2458">
        <v>228.83908332542799</v>
      </c>
      <c r="AL2458">
        <v>89.153558146337303</v>
      </c>
      <c r="AM2458">
        <v>91.508614777212898</v>
      </c>
      <c r="AN2458">
        <v>1.0000000060641701</v>
      </c>
    </row>
    <row r="2459" spans="1:40" x14ac:dyDescent="0.25">
      <c r="A2459" t="str">
        <f>"20190312150710127"</f>
        <v>20190312150710127</v>
      </c>
      <c r="B2459" t="str">
        <f>"1552374430122488"</f>
        <v>1552374430122488</v>
      </c>
      <c r="C2459" t="s">
        <v>40</v>
      </c>
      <c r="D2459">
        <v>4.5973220000000001</v>
      </c>
      <c r="E2459">
        <v>0.4997858</v>
      </c>
      <c r="F2459" t="s">
        <v>62</v>
      </c>
      <c r="G2459">
        <v>-212.63409999999999</v>
      </c>
      <c r="H2459">
        <v>6.395626</v>
      </c>
      <c r="I2459">
        <v>116.258</v>
      </c>
      <c r="J2459">
        <v>-190.49109999999999</v>
      </c>
      <c r="K2459">
        <v>1.109302</v>
      </c>
      <c r="L2459">
        <v>344.04640000000001</v>
      </c>
      <c r="M2459">
        <v>-0.12540380000000001</v>
      </c>
      <c r="N2459">
        <v>0</v>
      </c>
      <c r="O2459">
        <v>-0.99208379999999996</v>
      </c>
      <c r="P2459">
        <v>-9.3625280000000005E-2</v>
      </c>
      <c r="Q2459">
        <v>4.2219989999999997E-3</v>
      </c>
      <c r="R2459">
        <v>-0.99559889999999995</v>
      </c>
      <c r="S2459">
        <v>-0.29029850000000001</v>
      </c>
      <c r="T2459">
        <v>6.9236279999999997E-2</v>
      </c>
      <c r="U2459">
        <v>-2.9854129999999999</v>
      </c>
      <c r="V2459">
        <v>-3.196251E-2</v>
      </c>
      <c r="W2459">
        <v>1.0884370000000001E-2</v>
      </c>
      <c r="X2459">
        <v>0.99942980000000003</v>
      </c>
      <c r="Y2459">
        <v>-2.8824900000000001E-2</v>
      </c>
      <c r="Z2459">
        <v>-2.285266E-2</v>
      </c>
      <c r="AA2459">
        <v>0.99932319999999997</v>
      </c>
      <c r="AB2459">
        <v>17</v>
      </c>
      <c r="AC2459">
        <v>-22.143000000000001</v>
      </c>
      <c r="AD2459">
        <v>5.2863239999999996</v>
      </c>
      <c r="AE2459">
        <v>-227.7884</v>
      </c>
      <c r="AF2459">
        <v>-6.5944449365799702</v>
      </c>
      <c r="AG2459">
        <v>5.2863239999999996</v>
      </c>
      <c r="AH2459">
        <v>228.64499813861801</v>
      </c>
      <c r="AI2459">
        <v>88.676094916058503</v>
      </c>
      <c r="AJ2459">
        <v>91.652033301737802</v>
      </c>
      <c r="AK2459">
        <v>228.80115187486101</v>
      </c>
      <c r="AL2459">
        <v>89.376359221157401</v>
      </c>
      <c r="AM2459">
        <v>91.831737427680494</v>
      </c>
      <c r="AN2459">
        <v>0.99999999834191799</v>
      </c>
    </row>
    <row r="2460" spans="1:40" x14ac:dyDescent="0.25">
      <c r="A2460" t="str">
        <f>"20190312150710149"</f>
        <v>20190312150710149</v>
      </c>
      <c r="B2460" t="str">
        <f>"1552374430142984"</f>
        <v>1552374430142984</v>
      </c>
      <c r="C2460" t="s">
        <v>40</v>
      </c>
      <c r="D2460">
        <v>4.3975229999999996</v>
      </c>
      <c r="E2460">
        <v>0.49981599999999998</v>
      </c>
      <c r="F2460" t="s">
        <v>62</v>
      </c>
      <c r="G2460">
        <v>-211.7817</v>
      </c>
      <c r="H2460">
        <v>5.808033</v>
      </c>
      <c r="I2460">
        <v>116.2976</v>
      </c>
      <c r="J2460">
        <v>-190.51390000000001</v>
      </c>
      <c r="K2460">
        <v>1.10951</v>
      </c>
      <c r="L2460">
        <v>343.88049999999998</v>
      </c>
      <c r="M2460">
        <v>-0.1268415</v>
      </c>
      <c r="N2460">
        <v>0</v>
      </c>
      <c r="O2460">
        <v>-0.99190060000000002</v>
      </c>
      <c r="P2460">
        <v>-9.0414159999999993E-2</v>
      </c>
      <c r="Q2460">
        <v>9.6296469999999999E-4</v>
      </c>
      <c r="R2460">
        <v>-0.99590429999999996</v>
      </c>
      <c r="S2460">
        <v>-0.27920529999999999</v>
      </c>
      <c r="T2460">
        <v>6.1619399999999998E-2</v>
      </c>
      <c r="U2460">
        <v>-2.986694</v>
      </c>
      <c r="V2460">
        <v>-3.6640730000000003E-2</v>
      </c>
      <c r="W2460">
        <v>7.6682449999999997E-3</v>
      </c>
      <c r="X2460">
        <v>0.9992991</v>
      </c>
      <c r="Y2460">
        <v>-3.3987589999999998E-2</v>
      </c>
      <c r="Z2460">
        <v>-2.0327270000000001E-2</v>
      </c>
      <c r="AA2460">
        <v>0.99921550000000003</v>
      </c>
      <c r="AB2460">
        <v>17</v>
      </c>
      <c r="AC2460">
        <v>-21.267799999999902</v>
      </c>
      <c r="AD2460">
        <v>4.6985229999999998</v>
      </c>
      <c r="AE2460">
        <v>-227.5829</v>
      </c>
      <c r="AF2460">
        <v>-7.7683030772247603</v>
      </c>
      <c r="AG2460">
        <v>4.6985229999999998</v>
      </c>
      <c r="AH2460">
        <v>228.345844911001</v>
      </c>
      <c r="AI2460">
        <v>88.821909928355197</v>
      </c>
      <c r="AJ2460">
        <v>91.948445308422393</v>
      </c>
      <c r="AK2460">
        <v>228.52625131306101</v>
      </c>
      <c r="AL2460">
        <v>89.560637627242201</v>
      </c>
      <c r="AM2460">
        <v>92.099890947265607</v>
      </c>
      <c r="AN2460">
        <v>1.00000001816856</v>
      </c>
    </row>
    <row r="2461" spans="1:40" x14ac:dyDescent="0.25">
      <c r="A2461" t="str">
        <f>"20190312150710171"</f>
        <v>20190312150710171</v>
      </c>
      <c r="B2461" t="str">
        <f>"1552374430162503"</f>
        <v>1552374430162503</v>
      </c>
      <c r="C2461" t="s">
        <v>40</v>
      </c>
      <c r="D2461">
        <v>4.5464260000000003</v>
      </c>
      <c r="E2461">
        <v>0.49952170000000001</v>
      </c>
      <c r="F2461" t="s">
        <v>62</v>
      </c>
      <c r="G2461">
        <v>-211.07259999999999</v>
      </c>
      <c r="H2461">
        <v>5.2135629999999997</v>
      </c>
      <c r="I2461">
        <v>116.2803</v>
      </c>
      <c r="J2461">
        <v>-190.53659999999999</v>
      </c>
      <c r="K2461">
        <v>1.109669</v>
      </c>
      <c r="L2461">
        <v>343.71359999999999</v>
      </c>
      <c r="M2461">
        <v>-0.1279042</v>
      </c>
      <c r="N2461">
        <v>0</v>
      </c>
      <c r="O2461">
        <v>-0.99176350000000002</v>
      </c>
      <c r="P2461">
        <v>-8.8737759999999999E-2</v>
      </c>
      <c r="Q2461" s="1">
        <v>-1.627327E-5</v>
      </c>
      <c r="R2461">
        <v>-0.99605540000000004</v>
      </c>
      <c r="S2461">
        <v>-0.26988220000000002</v>
      </c>
      <c r="T2461">
        <v>5.3875800000000001E-2</v>
      </c>
      <c r="U2461">
        <v>-2.9877929999999999</v>
      </c>
      <c r="V2461">
        <v>-3.9396E-2</v>
      </c>
      <c r="W2461">
        <v>6.731285E-3</v>
      </c>
      <c r="X2461">
        <v>0.99920100000000001</v>
      </c>
      <c r="Y2461">
        <v>-3.8179669999999999E-2</v>
      </c>
      <c r="Z2461">
        <v>-1.7764640000000002E-2</v>
      </c>
      <c r="AA2461">
        <v>0.99911300000000003</v>
      </c>
      <c r="AB2461">
        <v>17</v>
      </c>
      <c r="AC2461">
        <v>-20.535999999999898</v>
      </c>
      <c r="AD2461">
        <v>4.1038940000000004</v>
      </c>
      <c r="AE2461">
        <v>-227.4333</v>
      </c>
      <c r="AF2461">
        <v>-8.7202019367431909</v>
      </c>
      <c r="AG2461">
        <v>4.1038940000000004</v>
      </c>
      <c r="AH2461">
        <v>228.118223170096</v>
      </c>
      <c r="AI2461">
        <v>88.970100308397903</v>
      </c>
      <c r="AJ2461">
        <v>92.189161422757493</v>
      </c>
      <c r="AK2461">
        <v>228.32171953202899</v>
      </c>
      <c r="AL2461">
        <v>89.614322864975094</v>
      </c>
      <c r="AM2461">
        <v>92.257860010030598</v>
      </c>
      <c r="AN2461">
        <v>0.99999999670737505</v>
      </c>
    </row>
    <row r="2462" spans="1:40" x14ac:dyDescent="0.25">
      <c r="A2462" t="str">
        <f>"20190312150710193"</f>
        <v>20190312150710193</v>
      </c>
      <c r="B2462" t="str">
        <f>"1552374430183000"</f>
        <v>1552374430183000</v>
      </c>
      <c r="C2462" t="s">
        <v>40</v>
      </c>
      <c r="D2462">
        <v>4.3892829999999998</v>
      </c>
      <c r="E2462">
        <v>0.49953700000000001</v>
      </c>
      <c r="F2462" t="s">
        <v>62</v>
      </c>
      <c r="G2462">
        <v>-210.53569999999999</v>
      </c>
      <c r="H2462">
        <v>5.2852240000000004</v>
      </c>
      <c r="I2462">
        <v>116.0779</v>
      </c>
      <c r="J2462">
        <v>-190.5598</v>
      </c>
      <c r="K2462">
        <v>1.109796</v>
      </c>
      <c r="L2462">
        <v>343.54039999999998</v>
      </c>
      <c r="M2462">
        <v>-0.12861030000000001</v>
      </c>
      <c r="N2462">
        <v>0</v>
      </c>
      <c r="O2462">
        <v>-0.991672</v>
      </c>
      <c r="P2462">
        <v>-8.7052000000000004E-2</v>
      </c>
      <c r="Q2462">
        <v>-1.28177E-3</v>
      </c>
      <c r="R2462">
        <v>-0.99620330000000001</v>
      </c>
      <c r="S2462">
        <v>-0.26255800000000001</v>
      </c>
      <c r="T2462">
        <v>5.4818749999999999E-2</v>
      </c>
      <c r="U2462">
        <v>-2.9884949999999999</v>
      </c>
      <c r="V2462">
        <v>-4.1799429999999999E-2</v>
      </c>
      <c r="W2462">
        <v>5.5091740000000004E-3</v>
      </c>
      <c r="X2462">
        <v>0.99911079999999997</v>
      </c>
      <c r="Y2462">
        <v>-4.1341889999999999E-2</v>
      </c>
      <c r="Z2462">
        <v>-1.8069519999999999E-2</v>
      </c>
      <c r="AA2462">
        <v>0.99898169999999997</v>
      </c>
      <c r="AB2462">
        <v>17</v>
      </c>
      <c r="AC2462">
        <v>-19.975899999999999</v>
      </c>
      <c r="AD2462">
        <v>4.1754279999999904</v>
      </c>
      <c r="AE2462">
        <v>-227.46250000000001</v>
      </c>
      <c r="AF2462">
        <v>-9.4415399536604792</v>
      </c>
      <c r="AG2462">
        <v>4.1754279999999904</v>
      </c>
      <c r="AH2462">
        <v>228.066288376351</v>
      </c>
      <c r="AI2462">
        <v>88.952045870963005</v>
      </c>
      <c r="AJ2462">
        <v>92.370590049359294</v>
      </c>
      <c r="AK2462">
        <v>228.29982209683101</v>
      </c>
      <c r="AL2462">
        <v>89.684345974034201</v>
      </c>
      <c r="AM2462">
        <v>92.395665330746795</v>
      </c>
      <c r="AN2462">
        <v>0.99999996701156302</v>
      </c>
    </row>
    <row r="2463" spans="1:40" x14ac:dyDescent="0.25">
      <c r="A2463" t="str">
        <f>"20190312150710216"</f>
        <v>20190312150710216</v>
      </c>
      <c r="B2463" t="str">
        <f>"1552374430212280"</f>
        <v>1552374430212280</v>
      </c>
      <c r="C2463" t="s">
        <v>40</v>
      </c>
      <c r="D2463">
        <v>4.3659689999999998</v>
      </c>
      <c r="E2463">
        <v>0.49954019999999999</v>
      </c>
      <c r="F2463" t="s">
        <v>62</v>
      </c>
      <c r="G2463">
        <v>-210.31809999999999</v>
      </c>
      <c r="H2463">
        <v>5.4173839999999904</v>
      </c>
      <c r="I2463">
        <v>114.2317</v>
      </c>
      <c r="J2463">
        <v>-190.58269999999999</v>
      </c>
      <c r="K2463">
        <v>1.109909</v>
      </c>
      <c r="L2463">
        <v>343.36840000000001</v>
      </c>
      <c r="M2463">
        <v>-0.12893689999999999</v>
      </c>
      <c r="N2463">
        <v>0</v>
      </c>
      <c r="O2463">
        <v>-0.99162910000000004</v>
      </c>
      <c r="P2463">
        <v>-8.5941660000000003E-2</v>
      </c>
      <c r="Q2463">
        <v>-1.0778910000000001E-3</v>
      </c>
      <c r="R2463">
        <v>-0.99629959999999995</v>
      </c>
      <c r="S2463">
        <v>-0.25755309999999998</v>
      </c>
      <c r="T2463">
        <v>5.6150440000000003E-2</v>
      </c>
      <c r="U2463">
        <v>-2.9890750000000001</v>
      </c>
      <c r="V2463">
        <v>-4.3244289999999998E-2</v>
      </c>
      <c r="W2463">
        <v>5.7552180000000003E-3</v>
      </c>
      <c r="X2463">
        <v>0.99904789999999999</v>
      </c>
      <c r="Y2463">
        <v>-4.3348579999999998E-2</v>
      </c>
      <c r="Z2463">
        <v>-1.8504099999999999E-2</v>
      </c>
      <c r="AA2463">
        <v>0.99888860000000002</v>
      </c>
      <c r="AB2463">
        <v>17</v>
      </c>
      <c r="AC2463">
        <v>-19.735399999999998</v>
      </c>
      <c r="AD2463">
        <v>4.3074749999999904</v>
      </c>
      <c r="AE2463">
        <v>-229.13669999999999</v>
      </c>
      <c r="AF2463">
        <v>-9.9707156292018002</v>
      </c>
      <c r="AG2463">
        <v>4.3074749999999904</v>
      </c>
      <c r="AH2463">
        <v>229.688068834685</v>
      </c>
      <c r="AI2463">
        <v>88.926635216979093</v>
      </c>
      <c r="AJ2463">
        <v>92.485638414594504</v>
      </c>
      <c r="AK2463">
        <v>229.94472917647201</v>
      </c>
      <c r="AL2463">
        <v>89.670248461161606</v>
      </c>
      <c r="AM2463">
        <v>92.478529405716799</v>
      </c>
      <c r="AN2463">
        <v>0.99999994882311904</v>
      </c>
    </row>
    <row r="2464" spans="1:40" x14ac:dyDescent="0.25">
      <c r="A2464" t="str">
        <f>"20190312150710238"</f>
        <v>20190312150710238</v>
      </c>
      <c r="B2464" t="str">
        <f>"1552374430232776"</f>
        <v>1552374430232776</v>
      </c>
      <c r="C2464" t="s">
        <v>40</v>
      </c>
      <c r="D2464">
        <v>4.5325639999999998</v>
      </c>
      <c r="E2464">
        <v>0.49952049999999998</v>
      </c>
      <c r="F2464" t="s">
        <v>62</v>
      </c>
      <c r="G2464">
        <v>-210.06989999999999</v>
      </c>
      <c r="H2464">
        <v>5.8845749999999999</v>
      </c>
      <c r="I2464">
        <v>114.3009</v>
      </c>
      <c r="J2464">
        <v>-190.60480000000001</v>
      </c>
      <c r="K2464">
        <v>1.1100219999999901</v>
      </c>
      <c r="L2464">
        <v>343.2</v>
      </c>
      <c r="M2464">
        <v>-0.1289362</v>
      </c>
      <c r="N2464">
        <v>0</v>
      </c>
      <c r="O2464">
        <v>-0.99162859999999997</v>
      </c>
      <c r="P2464">
        <v>-8.3805519999999994E-2</v>
      </c>
      <c r="Q2464">
        <v>-6.415638E-4</v>
      </c>
      <c r="R2464">
        <v>-0.99648199999999998</v>
      </c>
      <c r="S2464">
        <v>-0.254303</v>
      </c>
      <c r="T2464">
        <v>6.2308309999999999E-2</v>
      </c>
      <c r="U2464">
        <v>-2.989258</v>
      </c>
      <c r="V2464">
        <v>-4.538731E-2</v>
      </c>
      <c r="W2464">
        <v>6.2325239999999997E-3</v>
      </c>
      <c r="X2464">
        <v>0.99895</v>
      </c>
      <c r="Y2464">
        <v>-4.4434719999999997E-2</v>
      </c>
      <c r="Z2464">
        <v>-2.053176E-2</v>
      </c>
      <c r="AA2464">
        <v>0.9988013</v>
      </c>
      <c r="AB2464">
        <v>17</v>
      </c>
      <c r="AC2464">
        <v>-19.4650999999999</v>
      </c>
      <c r="AD2464">
        <v>4.774553</v>
      </c>
      <c r="AE2464">
        <v>-228.8991</v>
      </c>
      <c r="AF2464">
        <v>-10.2070671625222</v>
      </c>
      <c r="AG2464">
        <v>4.774553</v>
      </c>
      <c r="AH2464">
        <v>229.399086072068</v>
      </c>
      <c r="AI2464">
        <v>88.808835856705599</v>
      </c>
      <c r="AJ2464">
        <v>92.547684022714506</v>
      </c>
      <c r="AK2464">
        <v>229.67568714844401</v>
      </c>
      <c r="AL2464">
        <v>89.6429003590994</v>
      </c>
      <c r="AM2464">
        <v>92.601445597203394</v>
      </c>
      <c r="AN2464">
        <v>0.99999997738222302</v>
      </c>
    </row>
    <row r="2465" spans="1:40" x14ac:dyDescent="0.25">
      <c r="A2465" t="str">
        <f>"20190312150710259"</f>
        <v>20190312150710259</v>
      </c>
      <c r="B2465" t="str">
        <f>"1552374430252803"</f>
        <v>1552374430252803</v>
      </c>
      <c r="C2465" t="s">
        <v>40</v>
      </c>
      <c r="D2465">
        <v>4.5206280000000003</v>
      </c>
      <c r="E2465">
        <v>0.49949529999999998</v>
      </c>
      <c r="F2465" t="s">
        <v>62</v>
      </c>
      <c r="G2465">
        <v>-209.53450000000001</v>
      </c>
      <c r="H2465">
        <v>6.3852710000000004</v>
      </c>
      <c r="I2465">
        <v>114.6264</v>
      </c>
      <c r="J2465">
        <v>-190.62639999999999</v>
      </c>
      <c r="K2465">
        <v>1.110133</v>
      </c>
      <c r="L2465">
        <v>343.03289999999998</v>
      </c>
      <c r="M2465">
        <v>-0.12866179999999999</v>
      </c>
      <c r="N2465">
        <v>0</v>
      </c>
      <c r="O2465">
        <v>-0.99166399999999999</v>
      </c>
      <c r="P2465">
        <v>-8.0331340000000001E-2</v>
      </c>
      <c r="Q2465">
        <v>-2.9776219999999999E-4</v>
      </c>
      <c r="R2465">
        <v>-0.99676830000000005</v>
      </c>
      <c r="S2465">
        <v>-0.2476044</v>
      </c>
      <c r="T2465">
        <v>6.9001439999999997E-2</v>
      </c>
      <c r="U2465">
        <v>-2.9897770000000001</v>
      </c>
      <c r="V2465">
        <v>-4.859554E-2</v>
      </c>
      <c r="W2465">
        <v>6.6154159999999998E-3</v>
      </c>
      <c r="X2465">
        <v>0.99879660000000003</v>
      </c>
      <c r="Y2465">
        <v>-4.6398990000000001E-2</v>
      </c>
      <c r="Z2465">
        <v>-2.2734549999999999E-2</v>
      </c>
      <c r="AA2465">
        <v>0.99866429999999995</v>
      </c>
      <c r="AB2465">
        <v>17</v>
      </c>
      <c r="AC2465">
        <v>-18.908100000000001</v>
      </c>
      <c r="AD2465">
        <v>5.2751379999999903</v>
      </c>
      <c r="AE2465">
        <v>-228.40649999999999</v>
      </c>
      <c r="AF2465">
        <v>-10.6313359750072</v>
      </c>
      <c r="AG2465">
        <v>5.2751379999999903</v>
      </c>
      <c r="AH2465">
        <v>228.81960190458901</v>
      </c>
      <c r="AI2465">
        <v>88.680776953515107</v>
      </c>
      <c r="AJ2465">
        <v>92.660143347264906</v>
      </c>
      <c r="AK2465">
        <v>229.12717560627101</v>
      </c>
      <c r="AL2465">
        <v>89.620961807081997</v>
      </c>
      <c r="AM2465">
        <v>92.785477471381498</v>
      </c>
      <c r="AN2465">
        <v>0.99999996920415102</v>
      </c>
    </row>
    <row r="2466" spans="1:40" x14ac:dyDescent="0.25">
      <c r="A2466" t="str">
        <f>"20190312150710283"</f>
        <v>20190312150710283</v>
      </c>
      <c r="B2466" t="str">
        <f>"1552374430272326"</f>
        <v>1552374430272326</v>
      </c>
      <c r="C2466" t="s">
        <v>40</v>
      </c>
      <c r="D2466">
        <v>4.4056009999999999</v>
      </c>
      <c r="E2466">
        <v>0.49954530000000003</v>
      </c>
      <c r="F2466" t="s">
        <v>63</v>
      </c>
      <c r="G2466">
        <v>-210.47620000000001</v>
      </c>
      <c r="H2466">
        <v>7.3505159999999998</v>
      </c>
      <c r="I2466">
        <v>92.214129999999997</v>
      </c>
      <c r="J2466">
        <v>-190.64949999999999</v>
      </c>
      <c r="K2466">
        <v>1.1102620000000001</v>
      </c>
      <c r="L2466">
        <v>342.85070000000002</v>
      </c>
      <c r="M2466">
        <v>-0.1280811</v>
      </c>
      <c r="N2466">
        <v>0</v>
      </c>
      <c r="O2466">
        <v>-0.99173869999999997</v>
      </c>
      <c r="P2466">
        <v>-7.6617080000000004E-2</v>
      </c>
      <c r="Q2466">
        <v>2.307303E-4</v>
      </c>
      <c r="R2466">
        <v>-0.99706079999999997</v>
      </c>
      <c r="S2466">
        <v>-0.2366791</v>
      </c>
      <c r="T2466">
        <v>7.4407340000000002E-2</v>
      </c>
      <c r="U2466">
        <v>-2.990631</v>
      </c>
      <c r="V2466">
        <v>-5.1734629999999997E-2</v>
      </c>
      <c r="W2466">
        <v>7.1856990000000003E-3</v>
      </c>
      <c r="X2466">
        <v>0.99863500000000005</v>
      </c>
      <c r="Y2466">
        <v>-4.9465200000000001E-2</v>
      </c>
      <c r="Z2466">
        <v>-2.4512200000000001E-2</v>
      </c>
      <c r="AA2466">
        <v>0.998475</v>
      </c>
      <c r="AB2466">
        <v>17</v>
      </c>
      <c r="AC2466">
        <v>-19.826699999999999</v>
      </c>
      <c r="AD2466">
        <v>6.2402540000000002</v>
      </c>
      <c r="AE2466">
        <v>-250.63657000000001</v>
      </c>
      <c r="AF2466">
        <v>-12.4315520014377</v>
      </c>
      <c r="AG2466">
        <v>6.2402540000000002</v>
      </c>
      <c r="AH2466">
        <v>250.957038428619</v>
      </c>
      <c r="AI2466">
        <v>88.577330392298293</v>
      </c>
      <c r="AJ2466">
        <v>92.8359184992037</v>
      </c>
      <c r="AK2466">
        <v>251.34223559125999</v>
      </c>
      <c r="AL2466">
        <v>89.588286225014897</v>
      </c>
      <c r="AM2466">
        <v>92.965576481861902</v>
      </c>
      <c r="AN2466">
        <v>0.99999998471817697</v>
      </c>
    </row>
    <row r="2467" spans="1:40" x14ac:dyDescent="0.25">
      <c r="A2467" t="str">
        <f>"20190312150710307"</f>
        <v>20190312150710307</v>
      </c>
      <c r="B2467" t="str">
        <f>"1552374430302578"</f>
        <v>1552374430302578</v>
      </c>
      <c r="C2467" t="s">
        <v>40</v>
      </c>
      <c r="D2467">
        <v>4.5413169999999896</v>
      </c>
      <c r="E2467">
        <v>0.49939800000000001</v>
      </c>
      <c r="F2467" t="s">
        <v>63</v>
      </c>
      <c r="G2467">
        <v>-211.3614</v>
      </c>
      <c r="H2467">
        <v>8.1893969999999996</v>
      </c>
      <c r="I2467">
        <v>68.752719999999997</v>
      </c>
      <c r="J2467">
        <v>-190.67250000000001</v>
      </c>
      <c r="K2467">
        <v>1.110406</v>
      </c>
      <c r="L2467">
        <v>342.66500000000002</v>
      </c>
      <c r="M2467">
        <v>-0.127160199999999</v>
      </c>
      <c r="N2467">
        <v>0</v>
      </c>
      <c r="O2467">
        <v>-0.99185679999999998</v>
      </c>
      <c r="P2467">
        <v>-7.4099319999999996E-2</v>
      </c>
      <c r="Q2467">
        <v>5.3739809999999995E-4</v>
      </c>
      <c r="R2467">
        <v>-0.99725090000000005</v>
      </c>
      <c r="S2467">
        <v>-0.22604369999999999</v>
      </c>
      <c r="T2467">
        <v>7.725978E-2</v>
      </c>
      <c r="U2467">
        <v>-2.991425</v>
      </c>
      <c r="V2467">
        <v>-5.3332499999999998E-2</v>
      </c>
      <c r="W2467">
        <v>7.5437949999999998E-3</v>
      </c>
      <c r="X2467">
        <v>0.99854830000000006</v>
      </c>
      <c r="Y2467">
        <v>-5.2089089999999998E-2</v>
      </c>
      <c r="Z2467">
        <v>-2.5450859999999999E-2</v>
      </c>
      <c r="AA2467">
        <v>0.99831809999999999</v>
      </c>
      <c r="AB2467">
        <v>17</v>
      </c>
      <c r="AC2467">
        <v>-20.688899999999901</v>
      </c>
      <c r="AD2467">
        <v>7.0789909999999896</v>
      </c>
      <c r="AE2467">
        <v>-273.91228000000001</v>
      </c>
      <c r="AF2467">
        <v>-14.3011768359892</v>
      </c>
      <c r="AG2467">
        <v>7.0789909999999896</v>
      </c>
      <c r="AH2467">
        <v>274.13741004390897</v>
      </c>
      <c r="AI2467">
        <v>88.522800051702106</v>
      </c>
      <c r="AJ2467">
        <v>92.986294204567798</v>
      </c>
      <c r="AK2467">
        <v>274.60144820822501</v>
      </c>
      <c r="AL2467">
        <v>89.567768279199896</v>
      </c>
      <c r="AM2467">
        <v>93.057264733617799</v>
      </c>
      <c r="AN2467">
        <v>0.99999998591607098</v>
      </c>
    </row>
    <row r="2468" spans="1:40" x14ac:dyDescent="0.25">
      <c r="A2468" t="str">
        <f>"20190312150710328"</f>
        <v>20190312150710328</v>
      </c>
      <c r="B2468" t="str">
        <f>"1552374430322099"</f>
        <v>1552374430322099</v>
      </c>
      <c r="C2468" t="s">
        <v>40</v>
      </c>
      <c r="D2468">
        <v>4.5392539999999997</v>
      </c>
      <c r="E2468">
        <v>0.49926979999999999</v>
      </c>
      <c r="F2468" t="s">
        <v>63</v>
      </c>
      <c r="G2468">
        <v>-212.22819999999999</v>
      </c>
      <c r="H2468">
        <v>9.2365549999999992</v>
      </c>
      <c r="I2468">
        <v>46.128300000000003</v>
      </c>
      <c r="J2468">
        <v>-190.69280000000001</v>
      </c>
      <c r="K2468">
        <v>1.1105320000000001</v>
      </c>
      <c r="L2468">
        <v>342.49689999999998</v>
      </c>
      <c r="M2468">
        <v>-0.1260648</v>
      </c>
      <c r="N2468">
        <v>0</v>
      </c>
      <c r="O2468">
        <v>-0.99199590000000004</v>
      </c>
      <c r="P2468">
        <v>-7.153814E-2</v>
      </c>
      <c r="Q2468">
        <v>4.0316469999999999E-4</v>
      </c>
      <c r="R2468">
        <v>-0.99743800000000005</v>
      </c>
      <c r="S2468">
        <v>-0.21749879999999999</v>
      </c>
      <c r="T2468">
        <v>8.1993220000000006E-2</v>
      </c>
      <c r="U2468">
        <v>-2.9920650000000002</v>
      </c>
      <c r="V2468">
        <v>-5.4795190000000001E-2</v>
      </c>
      <c r="W2468">
        <v>7.4636879999999996E-3</v>
      </c>
      <c r="X2468">
        <v>0.99846970000000002</v>
      </c>
      <c r="Y2468">
        <v>-5.3840800000000001E-2</v>
      </c>
      <c r="Z2468">
        <v>-2.7010530000000001E-2</v>
      </c>
      <c r="AA2468">
        <v>0.99818410000000002</v>
      </c>
      <c r="AB2468">
        <v>18</v>
      </c>
      <c r="AC2468">
        <v>-21.5353999999999</v>
      </c>
      <c r="AD2468">
        <v>8.126023</v>
      </c>
      <c r="AE2468">
        <v>-296.36860000000001</v>
      </c>
      <c r="AF2468">
        <v>-15.987078500308399</v>
      </c>
      <c r="AG2468">
        <v>8.126023</v>
      </c>
      <c r="AH2468">
        <v>296.49724676000602</v>
      </c>
      <c r="AI2468">
        <v>88.432378462672503</v>
      </c>
      <c r="AJ2468">
        <v>93.086389427785093</v>
      </c>
      <c r="AK2468">
        <v>297.03911571548201</v>
      </c>
      <c r="AL2468">
        <v>89.572358199246196</v>
      </c>
      <c r="AM2468">
        <v>93.141193975076604</v>
      </c>
      <c r="AN2468">
        <v>0.99999998065189299</v>
      </c>
    </row>
    <row r="2469" spans="1:40" x14ac:dyDescent="0.25">
      <c r="A2469" t="str">
        <f>"20190312150710350"</f>
        <v>20190312150710350</v>
      </c>
      <c r="B2469" t="str">
        <f>"1552374430342595"</f>
        <v>1552374430342595</v>
      </c>
      <c r="C2469" t="s">
        <v>40</v>
      </c>
      <c r="D2469">
        <v>4.5384909999999996</v>
      </c>
      <c r="E2469">
        <v>0.49916919999999998</v>
      </c>
      <c r="F2469" t="s">
        <v>46</v>
      </c>
      <c r="G2469">
        <v>-203.19220000000001</v>
      </c>
      <c r="H2469">
        <v>6.0906469999999997</v>
      </c>
      <c r="I2469">
        <v>163.33009999999999</v>
      </c>
      <c r="J2469">
        <v>-190.7124</v>
      </c>
      <c r="K2469">
        <v>1.11063</v>
      </c>
      <c r="L2469">
        <v>342.33080000000001</v>
      </c>
      <c r="M2469">
        <v>-0.1247863</v>
      </c>
      <c r="N2469">
        <v>0</v>
      </c>
      <c r="O2469">
        <v>-0.99215699999999996</v>
      </c>
      <c r="P2469">
        <v>-6.8508589999999994E-2</v>
      </c>
      <c r="Q2469">
        <v>-9.3953920000000005E-4</v>
      </c>
      <c r="R2469">
        <v>-0.99764989999999998</v>
      </c>
      <c r="S2469">
        <v>-0.208786</v>
      </c>
      <c r="T2469">
        <v>8.3186029999999994E-2</v>
      </c>
      <c r="U2469">
        <v>-2.992737</v>
      </c>
      <c r="V2469">
        <v>-5.6539579999999999E-2</v>
      </c>
      <c r="W2469">
        <v>6.1824559999999898E-3</v>
      </c>
      <c r="X2469">
        <v>0.99838119999999997</v>
      </c>
      <c r="Y2469">
        <v>-5.5462259999999999E-2</v>
      </c>
      <c r="Z2469">
        <v>-2.7405329999999999E-2</v>
      </c>
      <c r="AA2469">
        <v>0.99808459999999999</v>
      </c>
      <c r="AB2469">
        <v>18</v>
      </c>
      <c r="AC2469">
        <v>-12.479799999999999</v>
      </c>
      <c r="AD2469">
        <v>4.9800170000000001</v>
      </c>
      <c r="AE2469">
        <v>-179.00069999999999</v>
      </c>
      <c r="AF2469">
        <v>-9.9475149430986196</v>
      </c>
      <c r="AG2469">
        <v>4.9800170000000001</v>
      </c>
      <c r="AH2469">
        <v>179.02094589009499</v>
      </c>
      <c r="AI2469">
        <v>88.409006024190404</v>
      </c>
      <c r="AJ2469">
        <v>93.180438526577205</v>
      </c>
      <c r="AK2469">
        <v>179.366252930276</v>
      </c>
      <c r="AL2469">
        <v>89.6457691017591</v>
      </c>
      <c r="AM2469">
        <v>93.241269815423195</v>
      </c>
      <c r="AN2469">
        <v>0.99999998369110399</v>
      </c>
    </row>
    <row r="2470" spans="1:40" x14ac:dyDescent="0.25">
      <c r="A2470" t="str">
        <f>"20190312150710372"</f>
        <v>20190312150710372</v>
      </c>
      <c r="B2470" t="str">
        <f>"1552374430362118"</f>
        <v>1552374430362118</v>
      </c>
      <c r="C2470" t="s">
        <v>40</v>
      </c>
      <c r="D2470">
        <v>4.5379459999999998</v>
      </c>
      <c r="E2470">
        <v>0.49918430000000003</v>
      </c>
      <c r="F2470" t="s">
        <v>64</v>
      </c>
      <c r="G2470">
        <v>-211.5241</v>
      </c>
      <c r="H2470">
        <v>9.5504680000000004</v>
      </c>
      <c r="I2470">
        <v>29.031079999999999</v>
      </c>
      <c r="J2470">
        <v>-190.733</v>
      </c>
      <c r="K2470">
        <v>1.110708</v>
      </c>
      <c r="L2470">
        <v>342.15280000000001</v>
      </c>
      <c r="M2470">
        <v>-0.1232114</v>
      </c>
      <c r="N2470">
        <v>0</v>
      </c>
      <c r="O2470">
        <v>-0.99235340000000005</v>
      </c>
      <c r="P2470">
        <v>-6.5621299999999994E-2</v>
      </c>
      <c r="Q2470">
        <v>-1.5280560000000001E-3</v>
      </c>
      <c r="R2470">
        <v>-0.99784390000000001</v>
      </c>
      <c r="S2470">
        <v>-0.19885249999999999</v>
      </c>
      <c r="T2470">
        <v>8.0641270000000001E-2</v>
      </c>
      <c r="U2470">
        <v>-2.9935299999999998</v>
      </c>
      <c r="V2470">
        <v>-5.7843659999999998E-2</v>
      </c>
      <c r="W2470">
        <v>5.6650980000000004E-3</v>
      </c>
      <c r="X2470">
        <v>0.99830960000000002</v>
      </c>
      <c r="Y2470">
        <v>-5.7190970000000001E-2</v>
      </c>
      <c r="Z2470">
        <v>-2.6570139999999999E-2</v>
      </c>
      <c r="AA2470">
        <v>0.99800960000000005</v>
      </c>
      <c r="AB2470">
        <v>18</v>
      </c>
      <c r="AC2470">
        <v>-20.7911</v>
      </c>
      <c r="AD2470">
        <v>8.4397599999999908</v>
      </c>
      <c r="AE2470">
        <v>-313.12171999999998</v>
      </c>
      <c r="AF2470">
        <v>-17.935555535015801</v>
      </c>
      <c r="AG2470">
        <v>8.4397599999999908</v>
      </c>
      <c r="AH2470">
        <v>313.07106627518402</v>
      </c>
      <c r="AI2470">
        <v>88.458322799292304</v>
      </c>
      <c r="AJ2470">
        <v>93.278838935090704</v>
      </c>
      <c r="AK2470">
        <v>313.69795383439799</v>
      </c>
      <c r="AL2470">
        <v>89.675412064328896</v>
      </c>
      <c r="AM2470">
        <v>93.316101740287706</v>
      </c>
      <c r="AN2470">
        <v>1.00000001989485</v>
      </c>
    </row>
    <row r="2471" spans="1:40" x14ac:dyDescent="0.25">
      <c r="A2471" t="str">
        <f>"20190312150710394"</f>
        <v>20190312150710394</v>
      </c>
      <c r="B2471" t="str">
        <f>"1552374430382611"</f>
        <v>1552374430382611</v>
      </c>
      <c r="C2471" t="s">
        <v>40</v>
      </c>
      <c r="D2471">
        <v>4.5402259999999997</v>
      </c>
      <c r="E2471">
        <v>0.49905670000000002</v>
      </c>
      <c r="F2471" t="s">
        <v>64</v>
      </c>
      <c r="G2471">
        <v>-210.63399999999999</v>
      </c>
      <c r="H2471">
        <v>9.4972759999999994</v>
      </c>
      <c r="I2471">
        <v>29.031079999999999</v>
      </c>
      <c r="J2471">
        <v>-190.75229999999999</v>
      </c>
      <c r="K2471">
        <v>1.110776</v>
      </c>
      <c r="L2471">
        <v>341.98099999999999</v>
      </c>
      <c r="M2471">
        <v>-0.1214993</v>
      </c>
      <c r="N2471">
        <v>0</v>
      </c>
      <c r="O2471">
        <v>-0.99256369999999905</v>
      </c>
      <c r="P2471">
        <v>-6.3139940000000006E-2</v>
      </c>
      <c r="Q2471">
        <v>-1.3258320000000001E-3</v>
      </c>
      <c r="R2471">
        <v>-0.99800429999999996</v>
      </c>
      <c r="S2471">
        <v>-0.1902924</v>
      </c>
      <c r="T2471">
        <v>8.0191730000000003E-2</v>
      </c>
      <c r="U2471">
        <v>-2.994049</v>
      </c>
      <c r="V2471">
        <v>-5.8605669999999999E-2</v>
      </c>
      <c r="W2471">
        <v>5.9383209999999999E-3</v>
      </c>
      <c r="X2471">
        <v>0.99826349999999997</v>
      </c>
      <c r="Y2471">
        <v>-5.8321329999999998E-2</v>
      </c>
      <c r="Z2471">
        <v>-2.6427570000000001E-2</v>
      </c>
      <c r="AA2471">
        <v>0.99794799999999995</v>
      </c>
      <c r="AB2471">
        <v>18</v>
      </c>
      <c r="AC2471">
        <v>-19.881699999999999</v>
      </c>
      <c r="AD2471">
        <v>8.3864999999999998</v>
      </c>
      <c r="AE2471">
        <v>-312.94992000000002</v>
      </c>
      <c r="AF2471">
        <v>-18.2767749017111</v>
      </c>
      <c r="AG2471">
        <v>8.3864999999999998</v>
      </c>
      <c r="AH2471">
        <v>312.82323752121499</v>
      </c>
      <c r="AI2471">
        <v>88.466934377027798</v>
      </c>
      <c r="AJ2471">
        <v>93.343718918475304</v>
      </c>
      <c r="AK2471">
        <v>313.46890087584899</v>
      </c>
      <c r="AL2471">
        <v>89.659757253193305</v>
      </c>
      <c r="AM2471">
        <v>93.359842157549295</v>
      </c>
      <c r="AN2471">
        <v>0.99999995182234702</v>
      </c>
    </row>
    <row r="2472" spans="1:40" x14ac:dyDescent="0.25">
      <c r="A2472" t="str">
        <f>"20190312150710418"</f>
        <v>20190312150710418</v>
      </c>
      <c r="B2472" t="str">
        <f>"1552374430412867"</f>
        <v>1552374430412867</v>
      </c>
      <c r="C2472" t="s">
        <v>40</v>
      </c>
      <c r="D2472">
        <v>4.4556809999999896</v>
      </c>
      <c r="E2472">
        <v>0.49903570000000003</v>
      </c>
      <c r="F2472" t="s">
        <v>64</v>
      </c>
      <c r="G2472">
        <v>-211.07</v>
      </c>
      <c r="H2472">
        <v>10.26923</v>
      </c>
      <c r="I2472">
        <v>7.0685690000000001</v>
      </c>
      <c r="J2472">
        <v>-190.77289999999999</v>
      </c>
      <c r="K2472">
        <v>1.1108530000000001</v>
      </c>
      <c r="L2472">
        <v>341.7937</v>
      </c>
      <c r="M2472">
        <v>-0.1194349</v>
      </c>
      <c r="N2472">
        <v>0</v>
      </c>
      <c r="O2472">
        <v>-0.99281330000000001</v>
      </c>
      <c r="P2472">
        <v>-6.0198849999999998E-2</v>
      </c>
      <c r="Q2472">
        <v>2.5308079999999998E-4</v>
      </c>
      <c r="R2472">
        <v>-0.99818649999999998</v>
      </c>
      <c r="S2472">
        <v>-0.1816711</v>
      </c>
      <c r="T2472">
        <v>8.1890580000000004E-2</v>
      </c>
      <c r="U2472">
        <v>-2.9946290000000002</v>
      </c>
      <c r="V2472">
        <v>-5.9477509999999997E-2</v>
      </c>
      <c r="W2472">
        <v>7.591001E-3</v>
      </c>
      <c r="X2472">
        <v>0.9982008</v>
      </c>
      <c r="Y2472">
        <v>-5.9120430000000002E-2</v>
      </c>
      <c r="Z2472">
        <v>-2.699379E-2</v>
      </c>
      <c r="AA2472">
        <v>0.99788580000000004</v>
      </c>
      <c r="AB2472">
        <v>18</v>
      </c>
      <c r="AC2472">
        <v>-20.2971</v>
      </c>
      <c r="AD2472">
        <v>9.1583769999999998</v>
      </c>
      <c r="AE2472">
        <v>-334.72513099999998</v>
      </c>
      <c r="AF2472">
        <v>-19.812419753960398</v>
      </c>
      <c r="AG2472">
        <v>9.1583769999999998</v>
      </c>
      <c r="AH2472">
        <v>334.503795752381</v>
      </c>
      <c r="AI2472">
        <v>88.434433377635202</v>
      </c>
      <c r="AJ2472">
        <v>93.389627874715202</v>
      </c>
      <c r="AK2472">
        <v>335.21515063990103</v>
      </c>
      <c r="AL2472">
        <v>89.5650635108004</v>
      </c>
      <c r="AM2472">
        <v>93.409921038435996</v>
      </c>
      <c r="AN2472">
        <v>1.0000000173063099</v>
      </c>
    </row>
    <row r="2473" spans="1:40" x14ac:dyDescent="0.25">
      <c r="A2473" t="str">
        <f>"20190312150710440"</f>
        <v>20190312150710440</v>
      </c>
      <c r="B2473" t="str">
        <f>"1552374430432387"</f>
        <v>1552374430432387</v>
      </c>
      <c r="C2473" t="s">
        <v>40</v>
      </c>
      <c r="D2473">
        <v>4.4434490000000002</v>
      </c>
      <c r="E2473">
        <v>0.49905139999999998</v>
      </c>
      <c r="F2473" t="s">
        <v>64</v>
      </c>
      <c r="G2473">
        <v>-211.01519999999999</v>
      </c>
      <c r="H2473">
        <v>11.36167</v>
      </c>
      <c r="I2473">
        <v>-9.6628609999999995</v>
      </c>
      <c r="J2473">
        <v>-190.792</v>
      </c>
      <c r="K2473">
        <v>1.110927</v>
      </c>
      <c r="L2473">
        <v>341.61419999999998</v>
      </c>
      <c r="M2473">
        <v>-0.1172836</v>
      </c>
      <c r="N2473">
        <v>0</v>
      </c>
      <c r="O2473">
        <v>-0.99306939999999999</v>
      </c>
      <c r="P2473">
        <v>-5.6924099999999998E-2</v>
      </c>
      <c r="Q2473">
        <v>1.674493E-3</v>
      </c>
      <c r="R2473">
        <v>-0.99837719999999996</v>
      </c>
      <c r="S2473">
        <v>-0.1725006</v>
      </c>
      <c r="T2473">
        <v>8.7354899999999999E-2</v>
      </c>
      <c r="U2473">
        <v>-2.9950260000000002</v>
      </c>
      <c r="V2473">
        <v>-6.059527E-2</v>
      </c>
      <c r="W2473">
        <v>9.0782039999999994E-3</v>
      </c>
      <c r="X2473">
        <v>0.99812109999999998</v>
      </c>
      <c r="Y2473">
        <v>-6.0013410000000003E-2</v>
      </c>
      <c r="Z2473">
        <v>-2.8802709999999999E-2</v>
      </c>
      <c r="AA2473">
        <v>0.9977819</v>
      </c>
      <c r="AB2473">
        <v>18</v>
      </c>
      <c r="AC2473">
        <v>-20.223199999999899</v>
      </c>
      <c r="AD2473">
        <v>10.250743</v>
      </c>
      <c r="AE2473">
        <v>-351.277061</v>
      </c>
      <c r="AF2473">
        <v>-21.098699411454501</v>
      </c>
      <c r="AG2473">
        <v>10.250743</v>
      </c>
      <c r="AH2473">
        <v>350.92664200696402</v>
      </c>
      <c r="AI2473">
        <v>88.329851500594202</v>
      </c>
      <c r="AJ2473">
        <v>93.440642149154499</v>
      </c>
      <c r="AK2473">
        <v>351.70973958534501</v>
      </c>
      <c r="AL2473">
        <v>89.479850062489007</v>
      </c>
      <c r="AM2473">
        <v>93.474124855393299</v>
      </c>
      <c r="AN2473">
        <v>0.99999996539972302</v>
      </c>
    </row>
    <row r="2474" spans="1:40" x14ac:dyDescent="0.25">
      <c r="A2474" t="str">
        <f>"20190312150710462"</f>
        <v>20190312150710462</v>
      </c>
      <c r="B2474" t="str">
        <f>"1552374430452884"</f>
        <v>1552374430452884</v>
      </c>
      <c r="C2474" t="s">
        <v>40</v>
      </c>
      <c r="D2474">
        <v>4.5565110000000004</v>
      </c>
      <c r="E2474">
        <v>0.49850990000000001</v>
      </c>
      <c r="F2474" t="s">
        <v>65</v>
      </c>
      <c r="G2474">
        <v>-210.73390000000001</v>
      </c>
      <c r="H2474">
        <v>12.39847</v>
      </c>
      <c r="I2474">
        <v>-25.288309999999999</v>
      </c>
      <c r="J2474">
        <v>-190.81049999999999</v>
      </c>
      <c r="K2474">
        <v>1.111</v>
      </c>
      <c r="L2474">
        <v>341.435</v>
      </c>
      <c r="M2474">
        <v>-0.1149912</v>
      </c>
      <c r="N2474">
        <v>0</v>
      </c>
      <c r="O2474">
        <v>-0.99333689999999997</v>
      </c>
      <c r="P2474">
        <v>-5.2302300000000003E-2</v>
      </c>
      <c r="Q2474">
        <v>2.7823129999999998E-3</v>
      </c>
      <c r="R2474">
        <v>-0.99862740000000005</v>
      </c>
      <c r="S2474">
        <v>-0.16281129999999999</v>
      </c>
      <c r="T2474">
        <v>9.2154260000000002E-2</v>
      </c>
      <c r="U2474">
        <v>-2.9954830000000001</v>
      </c>
      <c r="V2474">
        <v>-6.2916509999999995E-2</v>
      </c>
      <c r="W2474">
        <v>1.0248780000000001E-2</v>
      </c>
      <c r="X2474">
        <v>0.99796620000000003</v>
      </c>
      <c r="Y2474">
        <v>-6.0938159999999998E-2</v>
      </c>
      <c r="Z2474">
        <v>-3.0393280000000002E-2</v>
      </c>
      <c r="AA2474">
        <v>0.99767870000000003</v>
      </c>
      <c r="AB2474">
        <v>18</v>
      </c>
      <c r="AC2474">
        <v>-19.923400000000001</v>
      </c>
      <c r="AD2474">
        <v>11.287470000000001</v>
      </c>
      <c r="AE2474">
        <v>-366.72331000000003</v>
      </c>
      <c r="AF2474">
        <v>-22.358843779907399</v>
      </c>
      <c r="AG2474">
        <v>11.287470000000001</v>
      </c>
      <c r="AH2474">
        <v>366.23565732153799</v>
      </c>
      <c r="AI2474">
        <v>88.237967820797493</v>
      </c>
      <c r="AJ2474">
        <v>93.493595800329501</v>
      </c>
      <c r="AK2474">
        <v>367.09110799352601</v>
      </c>
      <c r="AL2474">
        <v>89.412777898409402</v>
      </c>
      <c r="AM2474">
        <v>93.607422626357305</v>
      </c>
      <c r="AN2474">
        <v>1.0000000305322501</v>
      </c>
    </row>
    <row r="2475" spans="1:40" x14ac:dyDescent="0.25">
      <c r="A2475" t="str">
        <f>"20190312150710484"</f>
        <v>20190312150710484</v>
      </c>
      <c r="B2475" t="str">
        <f>"1552374430472406"</f>
        <v>1552374430472406</v>
      </c>
      <c r="C2475" t="s">
        <v>40</v>
      </c>
      <c r="D2475">
        <v>3.4437160000000002</v>
      </c>
      <c r="E2475">
        <v>0.49739040000000001</v>
      </c>
      <c r="F2475" t="s">
        <v>66</v>
      </c>
      <c r="G2475">
        <v>-211.2526</v>
      </c>
      <c r="H2475">
        <v>14.766209999999999</v>
      </c>
      <c r="I2475">
        <v>-81.820059999999998</v>
      </c>
      <c r="J2475">
        <v>-190.82749999999999</v>
      </c>
      <c r="K2475">
        <v>1.111065</v>
      </c>
      <c r="L2475">
        <v>341.26530000000002</v>
      </c>
      <c r="M2475">
        <v>-0.1126996</v>
      </c>
      <c r="N2475">
        <v>0</v>
      </c>
      <c r="O2475">
        <v>-0.99359889999999995</v>
      </c>
      <c r="P2475">
        <v>-4.6634420000000003E-2</v>
      </c>
      <c r="Q2475">
        <v>3.578487E-3</v>
      </c>
      <c r="R2475">
        <v>-0.99890570000000001</v>
      </c>
      <c r="S2475">
        <v>-0.14471439999999999</v>
      </c>
      <c r="T2475">
        <v>9.6668000000000004E-2</v>
      </c>
      <c r="U2475">
        <v>-2.9963069999999998</v>
      </c>
      <c r="V2475">
        <v>-6.628183E-2</v>
      </c>
      <c r="W2475">
        <v>1.1105139999999999E-2</v>
      </c>
      <c r="X2475">
        <v>0.99773909999999999</v>
      </c>
      <c r="Y2475">
        <v>-6.4662430000000007E-2</v>
      </c>
      <c r="Z2475">
        <v>-3.1885480000000001E-2</v>
      </c>
      <c r="AA2475">
        <v>0.99739770000000005</v>
      </c>
      <c r="AB2475">
        <v>18</v>
      </c>
      <c r="AC2475">
        <v>-20.4251</v>
      </c>
      <c r="AD2475">
        <v>13.655144999999999</v>
      </c>
      <c r="AE2475">
        <v>-423.08535999999998</v>
      </c>
      <c r="AF2475">
        <v>-27.359582142773998</v>
      </c>
      <c r="AG2475">
        <v>13.655144999999999</v>
      </c>
      <c r="AH2475">
        <v>422.252903363987</v>
      </c>
      <c r="AI2475">
        <v>88.1516429461998</v>
      </c>
      <c r="AJ2475">
        <v>93.707257774837601</v>
      </c>
      <c r="AK2475">
        <v>423.35862353247899</v>
      </c>
      <c r="AL2475">
        <v>89.363709241833504</v>
      </c>
      <c r="AM2475">
        <v>93.800690202138497</v>
      </c>
      <c r="AN2475">
        <v>0.999999958395688</v>
      </c>
    </row>
    <row r="2476" spans="1:40" x14ac:dyDescent="0.25">
      <c r="A2476" t="str">
        <f>"20190312150710519"</f>
        <v>20190312150710519</v>
      </c>
      <c r="B2476" t="str">
        <f>"1552374430512419"</f>
        <v>1552374430512419</v>
      </c>
      <c r="C2476" t="s">
        <v>40</v>
      </c>
      <c r="D2476">
        <v>4.4382390000000003</v>
      </c>
      <c r="E2476">
        <v>0.49536930000000001</v>
      </c>
      <c r="F2476" t="s">
        <v>66</v>
      </c>
      <c r="G2476">
        <v>-207.60759999999999</v>
      </c>
      <c r="H2476">
        <v>15.06846</v>
      </c>
      <c r="I2476">
        <v>-81.820160000000001</v>
      </c>
      <c r="J2476">
        <v>-190.85400000000001</v>
      </c>
      <c r="K2476">
        <v>1.1111439999999999</v>
      </c>
      <c r="L2476">
        <v>340.98840000000001</v>
      </c>
      <c r="M2476">
        <v>-0.10873239999999899</v>
      </c>
      <c r="N2476">
        <v>0</v>
      </c>
      <c r="O2476">
        <v>-0.99403969999999997</v>
      </c>
      <c r="P2476">
        <v>-3.9917849999999998E-2</v>
      </c>
      <c r="Q2476">
        <v>4.7302259999999997E-3</v>
      </c>
      <c r="R2476">
        <v>-0.99919219999999997</v>
      </c>
      <c r="S2476">
        <v>-0.11888120000000001</v>
      </c>
      <c r="T2476">
        <v>9.8883029999999997E-2</v>
      </c>
      <c r="U2476">
        <v>-2.9974059999999998</v>
      </c>
      <c r="V2476">
        <v>-6.9012840000000006E-2</v>
      </c>
      <c r="W2476">
        <v>1.237486E-2</v>
      </c>
      <c r="X2476">
        <v>0.99753899999999995</v>
      </c>
      <c r="Y2476">
        <v>-6.9276309999999994E-2</v>
      </c>
      <c r="Z2476">
        <v>-3.2626219999999997E-2</v>
      </c>
      <c r="AA2476">
        <v>0.9970639</v>
      </c>
      <c r="AB2476">
        <v>18</v>
      </c>
      <c r="AC2476">
        <v>-16.753599999999899</v>
      </c>
      <c r="AD2476">
        <v>13.957316</v>
      </c>
      <c r="AE2476">
        <v>-422.80855999999898</v>
      </c>
      <c r="AF2476">
        <v>-29.2882937690955</v>
      </c>
      <c r="AG2476">
        <v>13.957316</v>
      </c>
      <c r="AH2476">
        <v>421.66453368418797</v>
      </c>
      <c r="AI2476">
        <v>88.108725429809596</v>
      </c>
      <c r="AJ2476">
        <v>93.973311970534894</v>
      </c>
      <c r="AK2476">
        <v>422.91085324088402</v>
      </c>
      <c r="AL2476">
        <v>89.290954640146893</v>
      </c>
      <c r="AM2476">
        <v>93.957593581595106</v>
      </c>
      <c r="AN2476">
        <v>0.99999998288294201</v>
      </c>
    </row>
    <row r="2477" spans="1:40" x14ac:dyDescent="0.25">
      <c r="A2477" t="str">
        <f>"20190312150710540"</f>
        <v>20190312150710540</v>
      </c>
      <c r="B2477" t="str">
        <f>"1552374430532915"</f>
        <v>1552374430532915</v>
      </c>
      <c r="C2477" t="s">
        <v>40</v>
      </c>
      <c r="D2477">
        <v>4.5633220000000003</v>
      </c>
      <c r="E2477">
        <v>0.49453510000000001</v>
      </c>
      <c r="F2477" t="s">
        <v>66</v>
      </c>
      <c r="G2477">
        <v>-202.51929999999999</v>
      </c>
      <c r="H2477">
        <v>15.42436</v>
      </c>
      <c r="I2477">
        <v>-81.820279999999997</v>
      </c>
      <c r="J2477">
        <v>-190.87010000000001</v>
      </c>
      <c r="K2477">
        <v>1.1111789999999999</v>
      </c>
      <c r="L2477">
        <v>340.81229999999999</v>
      </c>
      <c r="M2477">
        <v>-0.10610459999999999</v>
      </c>
      <c r="N2477">
        <v>0</v>
      </c>
      <c r="O2477">
        <v>-0.99432279999999995</v>
      </c>
      <c r="P2477">
        <v>-3.7336569999999999E-2</v>
      </c>
      <c r="Q2477">
        <v>4.8727839999999998E-3</v>
      </c>
      <c r="R2477">
        <v>-0.99929120000000005</v>
      </c>
      <c r="S2477">
        <v>-8.2733150000000005E-2</v>
      </c>
      <c r="T2477">
        <v>0.1015127</v>
      </c>
      <c r="U2477">
        <v>-2.9986570000000001</v>
      </c>
      <c r="V2477">
        <v>-6.8954600000000005E-2</v>
      </c>
      <c r="W2477">
        <v>1.26023E-2</v>
      </c>
      <c r="X2477">
        <v>0.99754019999999999</v>
      </c>
      <c r="Y2477">
        <v>-7.8659270000000003E-2</v>
      </c>
      <c r="Z2477">
        <v>-3.3488259999999999E-2</v>
      </c>
      <c r="AA2477">
        <v>0.99633890000000003</v>
      </c>
      <c r="AB2477">
        <v>18</v>
      </c>
      <c r="AC2477">
        <v>-11.649199999999899</v>
      </c>
      <c r="AD2477">
        <v>14.313181</v>
      </c>
      <c r="AE2477">
        <v>-422.632579999999</v>
      </c>
      <c r="AF2477">
        <v>-33.223183217163097</v>
      </c>
      <c r="AG2477">
        <v>14.313181</v>
      </c>
      <c r="AH2477">
        <v>421.00022641865201</v>
      </c>
      <c r="AI2477">
        <v>88.058836341998301</v>
      </c>
      <c r="AJ2477">
        <v>94.512138651428998</v>
      </c>
      <c r="AK2477">
        <v>422.55157992602102</v>
      </c>
      <c r="AL2477">
        <v>89.277922285794901</v>
      </c>
      <c r="AM2477">
        <v>93.9542596224764</v>
      </c>
      <c r="AN2477">
        <v>1.0000000027212399</v>
      </c>
    </row>
    <row r="2478" spans="1:40" x14ac:dyDescent="0.25">
      <c r="A2478" t="str">
        <f>"20190312150710562"</f>
        <v>20190312150710562</v>
      </c>
      <c r="B2478" t="str">
        <f>"1552374430552438"</f>
        <v>1552374430552438</v>
      </c>
      <c r="C2478" t="s">
        <v>40</v>
      </c>
      <c r="D2478">
        <v>4.4555129999999998</v>
      </c>
      <c r="E2478">
        <v>0.4937841</v>
      </c>
      <c r="F2478" t="s">
        <v>66</v>
      </c>
      <c r="G2478">
        <v>-200.5033</v>
      </c>
      <c r="H2478">
        <v>15.39127</v>
      </c>
      <c r="I2478">
        <v>-81.820269999999994</v>
      </c>
      <c r="J2478">
        <v>-190.88579999999999</v>
      </c>
      <c r="K2478">
        <v>1.1112010000000001</v>
      </c>
      <c r="L2478">
        <v>340.6361</v>
      </c>
      <c r="M2478">
        <v>-0.1034081</v>
      </c>
      <c r="N2478">
        <v>0</v>
      </c>
      <c r="O2478">
        <v>-0.99460599999999999</v>
      </c>
      <c r="P2478">
        <v>-3.6417999999999999E-2</v>
      </c>
      <c r="Q2478">
        <v>5.0254089999999998E-3</v>
      </c>
      <c r="R2478">
        <v>-0.99932370000000004</v>
      </c>
      <c r="S2478">
        <v>-6.8359379999999997E-2</v>
      </c>
      <c r="T2478">
        <v>0.10133540000000001</v>
      </c>
      <c r="U2478">
        <v>-2.9991150000000002</v>
      </c>
      <c r="V2478">
        <v>-6.7168169999999999E-2</v>
      </c>
      <c r="W2478">
        <v>1.28488E-2</v>
      </c>
      <c r="X2478">
        <v>0.99765890000000002</v>
      </c>
      <c r="Y2478">
        <v>-8.0732299999999896E-2</v>
      </c>
      <c r="Z2478">
        <v>-3.3438309999999999E-2</v>
      </c>
      <c r="AA2478">
        <v>0.99617480000000003</v>
      </c>
      <c r="AB2478">
        <v>18</v>
      </c>
      <c r="AC2478">
        <v>-9.6174999999999997</v>
      </c>
      <c r="AD2478">
        <v>14.280068999999999</v>
      </c>
      <c r="AE2478">
        <v>-422.45636999999999</v>
      </c>
      <c r="AF2478">
        <v>-34.081985578092201</v>
      </c>
      <c r="AG2478">
        <v>14.280068999999999</v>
      </c>
      <c r="AH2478">
        <v>420.70554543023002</v>
      </c>
      <c r="AI2478">
        <v>88.062290667400603</v>
      </c>
      <c r="AJ2478">
        <v>94.631502508284299</v>
      </c>
      <c r="AK2478">
        <v>422.32529887201503</v>
      </c>
      <c r="AL2478">
        <v>89.263797706681103</v>
      </c>
      <c r="AM2478">
        <v>93.851670862223799</v>
      </c>
      <c r="AN2478">
        <v>0.99999996773589805</v>
      </c>
    </row>
    <row r="2479" spans="1:40" x14ac:dyDescent="0.25">
      <c r="A2479" t="str">
        <f>"20190312150710583"</f>
        <v>20190312150710583</v>
      </c>
      <c r="B2479" t="str">
        <f>"1552374430572934"</f>
        <v>1552374430572934</v>
      </c>
      <c r="C2479" t="s">
        <v>40</v>
      </c>
      <c r="D2479">
        <v>4.5661060000000004</v>
      </c>
      <c r="E2479">
        <v>0.4931432</v>
      </c>
      <c r="F2479" t="s">
        <v>66</v>
      </c>
      <c r="G2479">
        <v>-199.29990000000001</v>
      </c>
      <c r="H2479">
        <v>15.37213</v>
      </c>
      <c r="I2479">
        <v>-81.820260000000005</v>
      </c>
      <c r="J2479">
        <v>-190.90100000000001</v>
      </c>
      <c r="K2479">
        <v>1.111216</v>
      </c>
      <c r="L2479">
        <v>340.4581</v>
      </c>
      <c r="M2479">
        <v>-0.10062119999999999</v>
      </c>
      <c r="N2479">
        <v>0</v>
      </c>
      <c r="O2479">
        <v>-0.99489130000000003</v>
      </c>
      <c r="P2479">
        <v>-3.5416499999999997E-2</v>
      </c>
      <c r="Q2479">
        <v>4.185411E-3</v>
      </c>
      <c r="R2479">
        <v>-0.99936409999999998</v>
      </c>
      <c r="S2479">
        <v>-5.9738159999999998E-2</v>
      </c>
      <c r="T2479">
        <v>0.1012489</v>
      </c>
      <c r="U2479">
        <v>-2.9993289999999999</v>
      </c>
      <c r="V2479">
        <v>-6.5370429999999993E-2</v>
      </c>
      <c r="W2479">
        <v>1.210404E-2</v>
      </c>
      <c r="X2479">
        <v>0.99778770000000006</v>
      </c>
      <c r="Y2479">
        <v>-8.0803490000000006E-2</v>
      </c>
      <c r="Z2479">
        <v>-3.3422779999999999E-2</v>
      </c>
      <c r="AA2479">
        <v>0.99616950000000004</v>
      </c>
      <c r="AB2479">
        <v>18</v>
      </c>
      <c r="AC2479">
        <v>-8.3989000000000207</v>
      </c>
      <c r="AD2479">
        <v>14.2609139999999</v>
      </c>
      <c r="AE2479">
        <v>-422.278359999999</v>
      </c>
      <c r="AF2479">
        <v>-34.096429027934803</v>
      </c>
      <c r="AG2479">
        <v>14.2609139999999</v>
      </c>
      <c r="AH2479">
        <v>420.50081516174703</v>
      </c>
      <c r="AI2479">
        <v>88.063957953060196</v>
      </c>
      <c r="AJ2479">
        <v>94.6357028000524</v>
      </c>
      <c r="AK2479">
        <v>422.12187303226301</v>
      </c>
      <c r="AL2479">
        <v>89.306472690718195</v>
      </c>
      <c r="AM2479">
        <v>93.748397262650997</v>
      </c>
      <c r="AN2479">
        <v>1.0000000475869899</v>
      </c>
    </row>
    <row r="2480" spans="1:40" x14ac:dyDescent="0.25">
      <c r="A2480" t="str">
        <f>"20190312150710606"</f>
        <v>20190312150710606</v>
      </c>
      <c r="B2480" t="str">
        <f>"1552374430602212"</f>
        <v>1552374430602212</v>
      </c>
      <c r="C2480" t="s">
        <v>40</v>
      </c>
      <c r="D2480">
        <v>4.4510870000000002</v>
      </c>
      <c r="E2480">
        <v>0.4922474</v>
      </c>
      <c r="F2480" t="s">
        <v>66</v>
      </c>
      <c r="G2480">
        <v>-198.1593</v>
      </c>
      <c r="H2480">
        <v>14.941689999999999</v>
      </c>
      <c r="I2480">
        <v>-81.820119999999903</v>
      </c>
      <c r="J2480">
        <v>-190.91560000000001</v>
      </c>
      <c r="K2480">
        <v>1.111235</v>
      </c>
      <c r="L2480">
        <v>340.28160000000003</v>
      </c>
      <c r="M2480">
        <v>-9.7798410000000002E-2</v>
      </c>
      <c r="N2480">
        <v>0</v>
      </c>
      <c r="O2480">
        <v>-0.99517199999999995</v>
      </c>
      <c r="P2480">
        <v>-3.3692359999999998E-2</v>
      </c>
      <c r="Q2480">
        <v>3.614449E-3</v>
      </c>
      <c r="R2480">
        <v>-0.99942569999999997</v>
      </c>
      <c r="S2480">
        <v>-5.155945E-2</v>
      </c>
      <c r="T2480">
        <v>9.8245139999999995E-2</v>
      </c>
      <c r="U2480">
        <v>-2.9996640000000001</v>
      </c>
      <c r="V2480">
        <v>-6.4259810000000001E-2</v>
      </c>
      <c r="W2480">
        <v>1.16239E-2</v>
      </c>
      <c r="X2480">
        <v>0.99786549999999996</v>
      </c>
      <c r="Y2480">
        <v>-8.0692840000000002E-2</v>
      </c>
      <c r="Z2480">
        <v>-3.2443449999999999E-2</v>
      </c>
      <c r="AA2480">
        <v>0.99621090000000001</v>
      </c>
      <c r="AB2480">
        <v>18</v>
      </c>
      <c r="AC2480">
        <v>-7.2436999999999898</v>
      </c>
      <c r="AD2480">
        <v>13.830455000000001</v>
      </c>
      <c r="AE2480">
        <v>-422.10172</v>
      </c>
      <c r="AF2480">
        <v>-34.036780112094903</v>
      </c>
      <c r="AG2480">
        <v>13.830455000000001</v>
      </c>
      <c r="AH2480">
        <v>420.33544087749198</v>
      </c>
      <c r="AI2480">
        <v>88.121599169726494</v>
      </c>
      <c r="AJ2480">
        <v>94.629441024666605</v>
      </c>
      <c r="AK2480">
        <v>421.93798921592901</v>
      </c>
      <c r="AL2480">
        <v>89.333984587935305</v>
      </c>
      <c r="AM2480">
        <v>93.684603811988097</v>
      </c>
      <c r="AN2480">
        <v>0.99999999716134702</v>
      </c>
    </row>
    <row r="2481" spans="1:40" x14ac:dyDescent="0.25">
      <c r="A2481" t="str">
        <f>"20190312150710628"</f>
        <v>20190312150710628</v>
      </c>
      <c r="B2481" t="str">
        <f>"1552374430622707"</f>
        <v>1552374430622707</v>
      </c>
      <c r="C2481" t="s">
        <v>40</v>
      </c>
      <c r="D2481">
        <v>4.4871730000000003</v>
      </c>
      <c r="E2481">
        <v>0.49172919999999998</v>
      </c>
      <c r="F2481" t="s">
        <v>66</v>
      </c>
      <c r="G2481">
        <v>-196.4631</v>
      </c>
      <c r="H2481">
        <v>14.6076</v>
      </c>
      <c r="I2481">
        <v>-81.820009999999996</v>
      </c>
      <c r="J2481">
        <v>-190.9306</v>
      </c>
      <c r="K2481">
        <v>1.1112679999999999</v>
      </c>
      <c r="L2481">
        <v>340.09039999999999</v>
      </c>
      <c r="M2481">
        <v>-9.4684679999999993E-2</v>
      </c>
      <c r="N2481">
        <v>0</v>
      </c>
      <c r="O2481">
        <v>-0.99547220000000003</v>
      </c>
      <c r="P2481">
        <v>-3.1861790000000001E-2</v>
      </c>
      <c r="Q2481">
        <v>3.771015E-3</v>
      </c>
      <c r="R2481">
        <v>-0.99948550000000003</v>
      </c>
      <c r="S2481">
        <v>-3.9428709999999999E-2</v>
      </c>
      <c r="T2481">
        <v>9.5923659999999994E-2</v>
      </c>
      <c r="U2481">
        <v>-3.0000309999999999</v>
      </c>
      <c r="V2481">
        <v>-6.296678E-2</v>
      </c>
      <c r="W2481">
        <v>1.1876609999999999E-2</v>
      </c>
      <c r="X2481">
        <v>0.99794499999999997</v>
      </c>
      <c r="Y2481">
        <v>-8.1603780000000001E-2</v>
      </c>
      <c r="Z2481">
        <v>-3.1687949999999999E-2</v>
      </c>
      <c r="AA2481">
        <v>0.99616099999999996</v>
      </c>
      <c r="AB2481">
        <v>18</v>
      </c>
      <c r="AC2481">
        <v>-5.53249999999999</v>
      </c>
      <c r="AD2481">
        <v>13.496332000000001</v>
      </c>
      <c r="AE2481">
        <v>-421.91041000000001</v>
      </c>
      <c r="AF2481">
        <v>-34.407004502296402</v>
      </c>
      <c r="AG2481">
        <v>13.496332000000001</v>
      </c>
      <c r="AH2481">
        <v>420.10881569062599</v>
      </c>
      <c r="AI2481">
        <v>88.1660961541902</v>
      </c>
      <c r="AJ2481">
        <v>94.682087022718093</v>
      </c>
      <c r="AK2481">
        <v>421.73144293170299</v>
      </c>
      <c r="AL2481">
        <v>89.319504405078703</v>
      </c>
      <c r="AM2481">
        <v>93.610373813059596</v>
      </c>
      <c r="AN2481">
        <v>1.0000000461368199</v>
      </c>
    </row>
    <row r="2482" spans="1:40" x14ac:dyDescent="0.25">
      <c r="A2482" t="str">
        <f>"20190312150710651"</f>
        <v>20190312150710651</v>
      </c>
      <c r="B2482" t="str">
        <f>"1552374430642226"</f>
        <v>1552374430642226</v>
      </c>
      <c r="C2482" t="s">
        <v>40</v>
      </c>
      <c r="D2482">
        <v>4.5135909999999999</v>
      </c>
      <c r="E2482">
        <v>0.49125980000000002</v>
      </c>
      <c r="F2482" t="s">
        <v>66</v>
      </c>
      <c r="G2482">
        <v>-195.11490000000001</v>
      </c>
      <c r="H2482">
        <v>14.520350000000001</v>
      </c>
      <c r="I2482">
        <v>-81.819980000000001</v>
      </c>
      <c r="J2482">
        <v>-190.94460000000001</v>
      </c>
      <c r="K2482">
        <v>1.1112959999999901</v>
      </c>
      <c r="L2482">
        <v>339.90539999999999</v>
      </c>
      <c r="M2482">
        <v>-9.1634259999999995E-2</v>
      </c>
      <c r="N2482">
        <v>0</v>
      </c>
      <c r="O2482">
        <v>-0.99575689999999994</v>
      </c>
      <c r="P2482">
        <v>-3.0099330000000001E-2</v>
      </c>
      <c r="Q2482">
        <v>4.7439819999999999E-3</v>
      </c>
      <c r="R2482">
        <v>-0.99953590000000003</v>
      </c>
      <c r="S2482">
        <v>-2.9754639999999999E-2</v>
      </c>
      <c r="T2482">
        <v>9.5352290000000006E-2</v>
      </c>
      <c r="U2482">
        <v>-3.0002140000000002</v>
      </c>
      <c r="V2482">
        <v>-6.1673470000000001E-2</v>
      </c>
      <c r="W2482">
        <v>1.2937489999999999E-2</v>
      </c>
      <c r="X2482">
        <v>0.99801249999999997</v>
      </c>
      <c r="Y2482">
        <v>-8.1762600000000005E-2</v>
      </c>
      <c r="Z2482">
        <v>-3.1511419999999998E-2</v>
      </c>
      <c r="AA2482">
        <v>0.99615350000000003</v>
      </c>
      <c r="AB2482">
        <v>18</v>
      </c>
      <c r="AC2482">
        <v>-4.1702999999999903</v>
      </c>
      <c r="AD2482">
        <v>13.409053999999999</v>
      </c>
      <c r="AE2482">
        <v>-421.72537999999997</v>
      </c>
      <c r="AF2482">
        <v>-34.458286060179802</v>
      </c>
      <c r="AG2482">
        <v>13.409053999999999</v>
      </c>
      <c r="AH2482">
        <v>419.90862474830601</v>
      </c>
      <c r="AI2482">
        <v>88.177103446463207</v>
      </c>
      <c r="AJ2482">
        <v>94.691259811897297</v>
      </c>
      <c r="AK2482">
        <v>421.53342613058999</v>
      </c>
      <c r="AL2482">
        <v>89.258715725208901</v>
      </c>
      <c r="AM2482">
        <v>93.5361699018206</v>
      </c>
      <c r="AN2482">
        <v>0.99999997285279496</v>
      </c>
    </row>
    <row r="2483" spans="1:40" x14ac:dyDescent="0.25">
      <c r="A2483" t="str">
        <f>"20190312150710673"</f>
        <v>20190312150710673</v>
      </c>
      <c r="B2483" t="str">
        <f>"1552374430662722"</f>
        <v>1552374430662722</v>
      </c>
      <c r="C2483" t="s">
        <v>40</v>
      </c>
      <c r="D2483">
        <v>4.4033059999999997</v>
      </c>
      <c r="E2483">
        <v>0.4907936</v>
      </c>
      <c r="F2483" t="s">
        <v>66</v>
      </c>
      <c r="G2483">
        <v>-193.81219999999999</v>
      </c>
      <c r="H2483">
        <v>14.81601</v>
      </c>
      <c r="I2483">
        <v>-81.820080000000004</v>
      </c>
      <c r="J2483">
        <v>-190.95779999999999</v>
      </c>
      <c r="K2483">
        <v>1.1113219999999999</v>
      </c>
      <c r="L2483">
        <v>339.72359999999998</v>
      </c>
      <c r="M2483">
        <v>-8.8602710000000001E-2</v>
      </c>
      <c r="N2483">
        <v>0</v>
      </c>
      <c r="O2483">
        <v>-0.99603059999999999</v>
      </c>
      <c r="P2483">
        <v>-2.6483179999999999E-2</v>
      </c>
      <c r="Q2483">
        <v>3.99344E-3</v>
      </c>
      <c r="R2483">
        <v>-0.99964149999999996</v>
      </c>
      <c r="S2483">
        <v>-2.0400999999999999E-2</v>
      </c>
      <c r="T2483">
        <v>9.7499249999999996E-2</v>
      </c>
      <c r="U2483">
        <v>-3.0002749999999998</v>
      </c>
      <c r="V2483">
        <v>-6.224412E-2</v>
      </c>
      <c r="W2483">
        <v>1.22571E-2</v>
      </c>
      <c r="X2483">
        <v>0.99798569999999998</v>
      </c>
      <c r="Y2483">
        <v>-8.1834539999999997E-2</v>
      </c>
      <c r="Z2483">
        <v>-3.223322E-2</v>
      </c>
      <c r="AA2483">
        <v>0.99612460000000003</v>
      </c>
      <c r="AB2483">
        <v>19</v>
      </c>
      <c r="AC2483">
        <v>-2.8543999999999898</v>
      </c>
      <c r="AD2483">
        <v>13.704688000000001</v>
      </c>
      <c r="AE2483">
        <v>-421.54367999999999</v>
      </c>
      <c r="AF2483">
        <v>-34.471662372407202</v>
      </c>
      <c r="AG2483">
        <v>13.704688000000001</v>
      </c>
      <c r="AH2483">
        <v>419.694989213898</v>
      </c>
      <c r="AI2483">
        <v>88.136004951185996</v>
      </c>
      <c r="AJ2483">
        <v>94.695450988237994</v>
      </c>
      <c r="AK2483">
        <v>421.331221192008</v>
      </c>
      <c r="AL2483">
        <v>89.297702323618395</v>
      </c>
      <c r="AM2483">
        <v>93.568900656858702</v>
      </c>
      <c r="AN2483">
        <v>1.0000000121897299</v>
      </c>
    </row>
    <row r="2484" spans="1:40" x14ac:dyDescent="0.25">
      <c r="A2484" t="str">
        <f>"20190312150710694"</f>
        <v>20190312150710694</v>
      </c>
      <c r="B2484" t="str">
        <f>"1552374430682246"</f>
        <v>1552374430682246</v>
      </c>
      <c r="C2484" t="s">
        <v>40</v>
      </c>
      <c r="D2484">
        <v>4.5693159999999997</v>
      </c>
      <c r="E2484">
        <v>0.49036380000000002</v>
      </c>
      <c r="F2484" t="s">
        <v>66</v>
      </c>
      <c r="G2484">
        <v>-191.78960000000001</v>
      </c>
      <c r="H2484">
        <v>14.361280000000001</v>
      </c>
      <c r="I2484">
        <v>-81.819929999999999</v>
      </c>
      <c r="J2484">
        <v>-190.96979999999999</v>
      </c>
      <c r="K2484">
        <v>1.111348</v>
      </c>
      <c r="L2484">
        <v>339.55029999999999</v>
      </c>
      <c r="M2484">
        <v>-8.5673100000000002E-2</v>
      </c>
      <c r="N2484">
        <v>0</v>
      </c>
      <c r="O2484">
        <v>-0.99628629999999996</v>
      </c>
      <c r="P2484">
        <v>-2.293044E-2</v>
      </c>
      <c r="Q2484">
        <v>4.0960179999999999E-3</v>
      </c>
      <c r="R2484">
        <v>-0.99972870000000003</v>
      </c>
      <c r="S2484">
        <v>-5.9204100000000001E-3</v>
      </c>
      <c r="T2484">
        <v>9.4312309999999996E-2</v>
      </c>
      <c r="U2484">
        <v>-3.0005190000000002</v>
      </c>
      <c r="V2484">
        <v>-6.2856899999999993E-2</v>
      </c>
      <c r="W2484">
        <v>1.2419680000000001E-2</v>
      </c>
      <c r="X2484">
        <v>0.99794519999999998</v>
      </c>
      <c r="Y2484">
        <v>-8.3711110000000005E-2</v>
      </c>
      <c r="Z2484">
        <v>-3.118808E-2</v>
      </c>
      <c r="AA2484">
        <v>0.9960019</v>
      </c>
      <c r="AB2484">
        <v>19</v>
      </c>
      <c r="AC2484">
        <v>-0.81980000000001496</v>
      </c>
      <c r="AD2484">
        <v>13.249931999999999</v>
      </c>
      <c r="AE2484">
        <v>-421.37022999999999</v>
      </c>
      <c r="AF2484">
        <v>-35.249784961904801</v>
      </c>
      <c r="AG2484">
        <v>13.249931999999999</v>
      </c>
      <c r="AH2484">
        <v>419.476333243444</v>
      </c>
      <c r="AI2484">
        <v>88.1971588728331</v>
      </c>
      <c r="AJ2484">
        <v>94.803441397492904</v>
      </c>
      <c r="AK2484">
        <v>421.16327260247903</v>
      </c>
      <c r="AL2484">
        <v>89.288386408456603</v>
      </c>
      <c r="AM2484">
        <v>93.604089440786396</v>
      </c>
      <c r="AN2484">
        <v>0.999999930265973</v>
      </c>
    </row>
    <row r="2485" spans="1:40" x14ac:dyDescent="0.25">
      <c r="A2485" t="str">
        <f>"20190312150710719"</f>
        <v>20190312150710719</v>
      </c>
      <c r="B2485" t="str">
        <f>"1552374430712499"</f>
        <v>1552374430712499</v>
      </c>
      <c r="C2485" t="s">
        <v>40</v>
      </c>
      <c r="D2485">
        <v>4.552708</v>
      </c>
      <c r="E2485">
        <v>0.4902125</v>
      </c>
      <c r="F2485" t="s">
        <v>66</v>
      </c>
      <c r="G2485">
        <v>-189.81270000000001</v>
      </c>
      <c r="H2485">
        <v>14.311629999999999</v>
      </c>
      <c r="I2485">
        <v>-81.819919999999996</v>
      </c>
      <c r="J2485">
        <v>-190.98330000000001</v>
      </c>
      <c r="K2485">
        <v>1.1113690000000001</v>
      </c>
      <c r="L2485">
        <v>339.34370000000001</v>
      </c>
      <c r="M2485">
        <v>-8.2130220000000004E-2</v>
      </c>
      <c r="N2485">
        <v>0</v>
      </c>
      <c r="O2485">
        <v>-0.99658409999999997</v>
      </c>
      <c r="P2485">
        <v>-1.8931940000000001E-2</v>
      </c>
      <c r="Q2485">
        <v>4.781843E-3</v>
      </c>
      <c r="R2485">
        <v>-0.99980970000000002</v>
      </c>
      <c r="S2485">
        <v>8.2397459999999992E-3</v>
      </c>
      <c r="T2485">
        <v>9.4000219999999995E-2</v>
      </c>
      <c r="U2485">
        <v>-3.00061</v>
      </c>
      <c r="V2485">
        <v>-6.3303620000000005E-2</v>
      </c>
      <c r="W2485">
        <v>1.31673E-2</v>
      </c>
      <c r="X2485">
        <v>0.99790749999999995</v>
      </c>
      <c r="Y2485">
        <v>-8.4868319999999997E-2</v>
      </c>
      <c r="Z2485">
        <v>-3.1096459999999999E-2</v>
      </c>
      <c r="AA2485">
        <v>0.99590679999999998</v>
      </c>
      <c r="AB2485">
        <v>19</v>
      </c>
      <c r="AC2485">
        <v>1.1706000000000001</v>
      </c>
      <c r="AD2485">
        <v>13.200260999999999</v>
      </c>
      <c r="AE2485">
        <v>-421.16361999999998</v>
      </c>
      <c r="AF2485">
        <v>-35.723106667911303</v>
      </c>
      <c r="AG2485">
        <v>13.200260999999999</v>
      </c>
      <c r="AH2485">
        <v>419.23268457987803</v>
      </c>
      <c r="AI2485">
        <v>88.203047445468499</v>
      </c>
      <c r="AJ2485">
        <v>94.870447808241195</v>
      </c>
      <c r="AK2485">
        <v>420.95894225034198</v>
      </c>
      <c r="AL2485">
        <v>89.245547519940601</v>
      </c>
      <c r="AM2485">
        <v>93.629772001004994</v>
      </c>
      <c r="AN2485">
        <v>1.0000000523253201</v>
      </c>
    </row>
    <row r="2486" spans="1:40" x14ac:dyDescent="0.25">
      <c r="A2486" t="str">
        <f>"20190312150710741"</f>
        <v>20190312150710741</v>
      </c>
      <c r="B2486" t="str">
        <f>"1552374430732996"</f>
        <v>1552374430732996</v>
      </c>
      <c r="C2486" t="s">
        <v>40</v>
      </c>
      <c r="D2486">
        <v>4.4491670000000001</v>
      </c>
      <c r="E2486">
        <v>0.49043510000000001</v>
      </c>
      <c r="F2486" t="s">
        <v>66</v>
      </c>
      <c r="G2486">
        <v>-187.99770000000001</v>
      </c>
      <c r="H2486">
        <v>14.466900000000001</v>
      </c>
      <c r="I2486">
        <v>-81.819959999999995</v>
      </c>
      <c r="J2486">
        <v>-190.9949</v>
      </c>
      <c r="K2486">
        <v>1.111378</v>
      </c>
      <c r="L2486">
        <v>339.15809999999999</v>
      </c>
      <c r="M2486">
        <v>-7.8905790000000003E-2</v>
      </c>
      <c r="N2486">
        <v>0</v>
      </c>
      <c r="O2486">
        <v>-0.99684410000000001</v>
      </c>
      <c r="P2486">
        <v>-1.626965E-2</v>
      </c>
      <c r="Q2486">
        <v>4.5642629999999998E-3</v>
      </c>
      <c r="R2486">
        <v>-0.99985729999999995</v>
      </c>
      <c r="S2486">
        <v>2.1270750000000001E-2</v>
      </c>
      <c r="T2486">
        <v>9.5148559999999993E-2</v>
      </c>
      <c r="U2486">
        <v>-3.0004879999999998</v>
      </c>
      <c r="V2486">
        <v>-6.273273E-2</v>
      </c>
      <c r="W2486">
        <v>1.29947E-2</v>
      </c>
      <c r="X2486">
        <v>0.99794579999999999</v>
      </c>
      <c r="Y2486">
        <v>-8.5970000000000005E-2</v>
      </c>
      <c r="Z2486">
        <v>-3.1487790000000002E-2</v>
      </c>
      <c r="AA2486">
        <v>0.99580000000000002</v>
      </c>
      <c r="AB2486">
        <v>19</v>
      </c>
      <c r="AC2486">
        <v>2.9971999999999901</v>
      </c>
      <c r="AD2486">
        <v>13.355522000000001</v>
      </c>
      <c r="AE2486">
        <v>-420.97806000000003</v>
      </c>
      <c r="AF2486">
        <v>-36.170315626322299</v>
      </c>
      <c r="AG2486">
        <v>13.355522000000001</v>
      </c>
      <c r="AH2486">
        <v>419.00717937328801</v>
      </c>
      <c r="AI2486">
        <v>88.181120323173801</v>
      </c>
      <c r="AJ2486">
        <v>94.933761758392095</v>
      </c>
      <c r="AK2486">
        <v>420.77746858257399</v>
      </c>
      <c r="AL2486">
        <v>89.255437607022102</v>
      </c>
      <c r="AM2486">
        <v>93.596986333903502</v>
      </c>
      <c r="AN2486">
        <v>1.0000000386894901</v>
      </c>
    </row>
    <row r="2487" spans="1:40" x14ac:dyDescent="0.25">
      <c r="A2487" t="str">
        <f>"20190312150710763"</f>
        <v>20190312150710763</v>
      </c>
      <c r="B2487" t="str">
        <f>"1552374430752515"</f>
        <v>1552374430752515</v>
      </c>
      <c r="C2487" t="s">
        <v>40</v>
      </c>
      <c r="D2487">
        <v>4.566103</v>
      </c>
      <c r="E2487">
        <v>0.49068980000000001</v>
      </c>
      <c r="F2487" t="s">
        <v>66</v>
      </c>
      <c r="G2487">
        <v>-187.13050000000001</v>
      </c>
      <c r="H2487">
        <v>14.37049</v>
      </c>
      <c r="I2487">
        <v>-81.819929999999999</v>
      </c>
      <c r="J2487">
        <v>-191.00530000000001</v>
      </c>
      <c r="K2487">
        <v>1.1113770000000001</v>
      </c>
      <c r="L2487">
        <v>338.98090000000002</v>
      </c>
      <c r="M2487">
        <v>-7.5792890000000002E-2</v>
      </c>
      <c r="N2487">
        <v>0</v>
      </c>
      <c r="O2487">
        <v>-0.99708549999999996</v>
      </c>
      <c r="P2487">
        <v>-1.4944570000000001E-2</v>
      </c>
      <c r="Q2487">
        <v>3.66388E-3</v>
      </c>
      <c r="R2487">
        <v>-0.99988169999999998</v>
      </c>
      <c r="S2487">
        <v>2.7542110000000002E-2</v>
      </c>
      <c r="T2487">
        <v>9.4501379999999996E-2</v>
      </c>
      <c r="U2487">
        <v>-3.0004270000000002</v>
      </c>
      <c r="V2487">
        <v>-6.0935969999999999E-2</v>
      </c>
      <c r="W2487">
        <v>1.2129310000000001E-2</v>
      </c>
      <c r="X2487">
        <v>0.99806799999999996</v>
      </c>
      <c r="Y2487">
        <v>-8.4940600000000005E-2</v>
      </c>
      <c r="Z2487">
        <v>-3.1286990000000001E-2</v>
      </c>
      <c r="AA2487">
        <v>0.99589470000000002</v>
      </c>
      <c r="AB2487">
        <v>19</v>
      </c>
      <c r="AC2487">
        <v>3.8747999999999898</v>
      </c>
      <c r="AD2487">
        <v>13.259112999999999</v>
      </c>
      <c r="AE2487">
        <v>-420.800829999999</v>
      </c>
      <c r="AF2487">
        <v>-35.723111715657303</v>
      </c>
      <c r="AG2487">
        <v>13.259112999999999</v>
      </c>
      <c r="AH2487">
        <v>418.88080241655803</v>
      </c>
      <c r="AI2487">
        <v>88.193536886859803</v>
      </c>
      <c r="AJ2487">
        <v>94.874520223264398</v>
      </c>
      <c r="AK2487">
        <v>420.61035581799001</v>
      </c>
      <c r="AL2487">
        <v>89.305024702786298</v>
      </c>
      <c r="AM2487">
        <v>93.493795463657705</v>
      </c>
      <c r="AN2487">
        <v>1.0000000226124499</v>
      </c>
    </row>
    <row r="2488" spans="1:40" x14ac:dyDescent="0.25">
      <c r="A2488" t="str">
        <f>"20190312150710785"</f>
        <v>20190312150710785</v>
      </c>
      <c r="B2488" t="str">
        <f>"1552374430782772"</f>
        <v>1552374430782772</v>
      </c>
      <c r="C2488" t="s">
        <v>40</v>
      </c>
      <c r="D2488">
        <v>4.4302539999999997</v>
      </c>
      <c r="E2488">
        <v>0.49113210000000002</v>
      </c>
      <c r="F2488" t="s">
        <v>66</v>
      </c>
      <c r="G2488">
        <v>-186.86009999999999</v>
      </c>
      <c r="H2488">
        <v>14.02042</v>
      </c>
      <c r="I2488">
        <v>-81.819819999999893</v>
      </c>
      <c r="J2488">
        <v>-191.0155</v>
      </c>
      <c r="K2488">
        <v>1.1113869999999999</v>
      </c>
      <c r="L2488">
        <v>338.79649999999998</v>
      </c>
      <c r="M2488">
        <v>-7.2526569999999999E-2</v>
      </c>
      <c r="N2488">
        <v>0</v>
      </c>
      <c r="O2488">
        <v>-0.9973282</v>
      </c>
      <c r="P2488">
        <v>-1.5682519999999998E-2</v>
      </c>
      <c r="Q2488">
        <v>2.3483050000000002E-3</v>
      </c>
      <c r="R2488">
        <v>-0.99987440000000005</v>
      </c>
      <c r="S2488">
        <v>2.9556269999999999E-2</v>
      </c>
      <c r="T2488">
        <v>9.2046020000000006E-2</v>
      </c>
      <c r="U2488">
        <v>-3.0004580000000001</v>
      </c>
      <c r="V2488">
        <v>-5.6924839999999997E-2</v>
      </c>
      <c r="W2488">
        <v>1.0846710000000001E-2</v>
      </c>
      <c r="X2488">
        <v>0.99831959999999997</v>
      </c>
      <c r="Y2488">
        <v>-8.2345340000000003E-2</v>
      </c>
      <c r="Z2488">
        <v>-3.0488959999999999E-2</v>
      </c>
      <c r="AA2488">
        <v>0.99613739999999995</v>
      </c>
      <c r="AB2488">
        <v>19</v>
      </c>
      <c r="AC2488">
        <v>4.15540000000001</v>
      </c>
      <c r="AD2488">
        <v>12.909033000000001</v>
      </c>
      <c r="AE2488">
        <v>-420.61631999999997</v>
      </c>
      <c r="AF2488">
        <v>-34.6188744488379</v>
      </c>
      <c r="AG2488">
        <v>12.909033000000001</v>
      </c>
      <c r="AH2488">
        <v>418.81269503637299</v>
      </c>
      <c r="AI2488">
        <v>88.240532190450296</v>
      </c>
      <c r="AJ2488">
        <v>94.725301611323601</v>
      </c>
      <c r="AK2488">
        <v>420.43927400366601</v>
      </c>
      <c r="AL2488">
        <v>89.378517143520497</v>
      </c>
      <c r="AM2488">
        <v>93.263509139296701</v>
      </c>
      <c r="AN2488">
        <v>1.0000000561355</v>
      </c>
    </row>
    <row r="2489" spans="1:40" x14ac:dyDescent="0.25">
      <c r="A2489" t="str">
        <f>"20190312150710807"</f>
        <v>20190312150710807</v>
      </c>
      <c r="B2489" t="str">
        <f>"1552374430802291"</f>
        <v>1552374430802291</v>
      </c>
      <c r="C2489" t="s">
        <v>40</v>
      </c>
      <c r="D2489">
        <v>4.5454410000000003</v>
      </c>
      <c r="E2489">
        <v>0.49139119999999997</v>
      </c>
      <c r="F2489" t="s">
        <v>66</v>
      </c>
      <c r="G2489">
        <v>-187.67660000000001</v>
      </c>
      <c r="H2489">
        <v>13.38297</v>
      </c>
      <c r="I2489">
        <v>-81.819599999999994</v>
      </c>
      <c r="J2489">
        <v>-191.0249</v>
      </c>
      <c r="K2489">
        <v>1.111405</v>
      </c>
      <c r="L2489">
        <v>338.61520000000002</v>
      </c>
      <c r="M2489">
        <v>-6.9294010000000003E-2</v>
      </c>
      <c r="N2489">
        <v>0</v>
      </c>
      <c r="O2489">
        <v>-0.9975579</v>
      </c>
      <c r="P2489">
        <v>-1.676207E-2</v>
      </c>
      <c r="Q2489">
        <v>1.7222769999999999E-3</v>
      </c>
      <c r="R2489">
        <v>-0.99985829999999998</v>
      </c>
      <c r="S2489">
        <v>2.3818969999999998E-2</v>
      </c>
      <c r="T2489">
        <v>8.7543609999999994E-2</v>
      </c>
      <c r="U2489">
        <v>-3.00061</v>
      </c>
      <c r="V2489">
        <v>-5.2608920000000003E-2</v>
      </c>
      <c r="W2489">
        <v>1.0241159999999999E-2</v>
      </c>
      <c r="X2489">
        <v>0.99856270000000003</v>
      </c>
      <c r="Y2489">
        <v>-7.7209810000000004E-2</v>
      </c>
      <c r="Z2489">
        <v>-2.9013730000000001E-2</v>
      </c>
      <c r="AA2489">
        <v>0.99659260000000005</v>
      </c>
      <c r="AB2489">
        <v>19</v>
      </c>
      <c r="AC2489">
        <v>3.3482999999999898</v>
      </c>
      <c r="AD2489">
        <v>12.271565000000001</v>
      </c>
      <c r="AE2489">
        <v>-420.4348</v>
      </c>
      <c r="AF2489">
        <v>-32.447338759022799</v>
      </c>
      <c r="AG2489">
        <v>12.271565000000001</v>
      </c>
      <c r="AH2489">
        <v>418.83529480429797</v>
      </c>
      <c r="AI2489">
        <v>88.326766784530804</v>
      </c>
      <c r="AJ2489">
        <v>94.429879010367799</v>
      </c>
      <c r="AK2489">
        <v>420.26946745379399</v>
      </c>
      <c r="AL2489">
        <v>89.413214510628293</v>
      </c>
      <c r="AM2489">
        <v>93.015819479719895</v>
      </c>
      <c r="AN2489">
        <v>1.0000000228265</v>
      </c>
    </row>
    <row r="2490" spans="1:40" x14ac:dyDescent="0.25">
      <c r="A2490" t="str">
        <f>"20190312150710830"</f>
        <v>20190312150710830</v>
      </c>
      <c r="B2490" t="str">
        <f>"1552374430822787"</f>
        <v>1552374430822787</v>
      </c>
      <c r="C2490" t="s">
        <v>40</v>
      </c>
      <c r="D2490">
        <v>4.3978140000000003</v>
      </c>
      <c r="E2490">
        <v>0.49165750000000003</v>
      </c>
      <c r="F2490" t="s">
        <v>66</v>
      </c>
      <c r="G2490">
        <v>-188.4315</v>
      </c>
      <c r="H2490">
        <v>13.116879999999901</v>
      </c>
      <c r="I2490">
        <v>-81.819519999999997</v>
      </c>
      <c r="J2490">
        <v>-191.03469999999999</v>
      </c>
      <c r="K2490">
        <v>1.1114170000000001</v>
      </c>
      <c r="L2490">
        <v>338.41370000000001</v>
      </c>
      <c r="M2490">
        <v>-6.5684329999999999E-2</v>
      </c>
      <c r="N2490">
        <v>0</v>
      </c>
      <c r="O2490">
        <v>-0.99780219999999997</v>
      </c>
      <c r="P2490">
        <v>-1.7007049999999999E-2</v>
      </c>
      <c r="Q2490">
        <v>1.998802E-3</v>
      </c>
      <c r="R2490">
        <v>-0.99985360000000001</v>
      </c>
      <c r="S2490">
        <v>1.850891E-2</v>
      </c>
      <c r="T2490">
        <v>8.5681320000000005E-2</v>
      </c>
      <c r="U2490">
        <v>-3.0005799999999998</v>
      </c>
      <c r="V2490">
        <v>-4.8752040000000003E-2</v>
      </c>
      <c r="W2490">
        <v>1.052486E-2</v>
      </c>
      <c r="X2490">
        <v>0.99875550000000002</v>
      </c>
      <c r="Y2490">
        <v>-7.1838070000000004E-2</v>
      </c>
      <c r="Z2490">
        <v>-2.841368E-2</v>
      </c>
      <c r="AA2490">
        <v>0.99701150000000005</v>
      </c>
      <c r="AB2490">
        <v>19</v>
      </c>
      <c r="AC2490">
        <v>2.6031999999999802</v>
      </c>
      <c r="AD2490">
        <v>12.005463000000001</v>
      </c>
      <c r="AE2490">
        <v>-420.23322000000002</v>
      </c>
      <c r="AF2490">
        <v>-30.176740768169999</v>
      </c>
      <c r="AG2490">
        <v>12.005463000000001</v>
      </c>
      <c r="AH2490">
        <v>418.81283454691402</v>
      </c>
      <c r="AI2490">
        <v>88.3622830976079</v>
      </c>
      <c r="AJ2490">
        <v>94.121213375497504</v>
      </c>
      <c r="AK2490">
        <v>420.07018128695398</v>
      </c>
      <c r="AL2490">
        <v>89.396958833255496</v>
      </c>
      <c r="AM2490">
        <v>92.794548606622698</v>
      </c>
      <c r="AN2490">
        <v>1.00000004143121</v>
      </c>
    </row>
    <row r="2491" spans="1:40" x14ac:dyDescent="0.25">
      <c r="A2491" t="str">
        <f>"20190312150710852"</f>
        <v>20190312150710852</v>
      </c>
      <c r="B2491" t="str">
        <f>"1552374430842310"</f>
        <v>1552374430842310</v>
      </c>
      <c r="C2491" t="s">
        <v>40</v>
      </c>
      <c r="D2491">
        <v>4.4298729999999997</v>
      </c>
      <c r="E2491">
        <v>0.49186580000000002</v>
      </c>
      <c r="F2491" t="s">
        <v>66</v>
      </c>
      <c r="G2491">
        <v>-188.81639999999999</v>
      </c>
      <c r="H2491">
        <v>13.274990000000001</v>
      </c>
      <c r="I2491">
        <v>-81.819559999999996</v>
      </c>
      <c r="J2491">
        <v>-191.0429</v>
      </c>
      <c r="K2491">
        <v>1.1114269999999999</v>
      </c>
      <c r="L2491">
        <v>338.22919999999999</v>
      </c>
      <c r="M2491">
        <v>-6.2370670000000003E-2</v>
      </c>
      <c r="N2491">
        <v>0</v>
      </c>
      <c r="O2491">
        <v>-0.99801499999999999</v>
      </c>
      <c r="P2491">
        <v>-1.6577649999999999E-2</v>
      </c>
      <c r="Q2491">
        <v>3.1576669999999999E-3</v>
      </c>
      <c r="R2491">
        <v>-0.99985760000000001</v>
      </c>
      <c r="S2491">
        <v>1.5838620000000001E-2</v>
      </c>
      <c r="T2491">
        <v>8.6850399999999994E-2</v>
      </c>
      <c r="U2491">
        <v>-3.0005489999999999</v>
      </c>
      <c r="V2491">
        <v>-4.5869029999999998E-2</v>
      </c>
      <c r="W2491">
        <v>1.167492E-2</v>
      </c>
      <c r="X2491">
        <v>0.99887930000000003</v>
      </c>
      <c r="Y2491">
        <v>-6.7638169999999997E-2</v>
      </c>
      <c r="Z2491">
        <v>-2.8814889999999999E-2</v>
      </c>
      <c r="AA2491">
        <v>0.99729369999999995</v>
      </c>
      <c r="AB2491">
        <v>19</v>
      </c>
      <c r="AC2491">
        <v>2.2265000000000099</v>
      </c>
      <c r="AD2491">
        <v>12.163563</v>
      </c>
      <c r="AE2491">
        <v>-420.04875999999899</v>
      </c>
      <c r="AF2491">
        <v>-28.398070302810702</v>
      </c>
      <c r="AG2491">
        <v>12.163563</v>
      </c>
      <c r="AH2491">
        <v>418.74089233958398</v>
      </c>
      <c r="AI2491">
        <v>88.339954101996199</v>
      </c>
      <c r="AJ2491">
        <v>93.879730884050701</v>
      </c>
      <c r="AK2491">
        <v>419.87895586600803</v>
      </c>
      <c r="AL2491">
        <v>89.331061203473794</v>
      </c>
      <c r="AM2491">
        <v>92.629203425844295</v>
      </c>
      <c r="AN2491">
        <v>1.0000000638193101</v>
      </c>
    </row>
    <row r="2492" spans="1:40" x14ac:dyDescent="0.25">
      <c r="A2492" t="str">
        <f>"20190312150710874"</f>
        <v>20190312150710874</v>
      </c>
      <c r="B2492" t="str">
        <f>"1552374430862803"</f>
        <v>1552374430862803</v>
      </c>
      <c r="C2492" t="s">
        <v>40</v>
      </c>
      <c r="D2492">
        <v>4.4058380000000001</v>
      </c>
      <c r="E2492">
        <v>0.49203580000000002</v>
      </c>
      <c r="F2492" t="s">
        <v>66</v>
      </c>
      <c r="G2492">
        <v>-188.8768</v>
      </c>
      <c r="H2492">
        <v>13.729660000000001</v>
      </c>
      <c r="I2492">
        <v>-81.819719999999904</v>
      </c>
      <c r="J2492">
        <v>-191.05080000000001</v>
      </c>
      <c r="K2492">
        <v>1.111437</v>
      </c>
      <c r="L2492">
        <v>338.0412</v>
      </c>
      <c r="M2492">
        <v>-5.898979E-2</v>
      </c>
      <c r="N2492">
        <v>0</v>
      </c>
      <c r="O2492">
        <v>-0.99822089999999997</v>
      </c>
      <c r="P2492">
        <v>-1.5911399999999999E-2</v>
      </c>
      <c r="Q2492">
        <v>5.0232810000000001E-3</v>
      </c>
      <c r="R2492">
        <v>-0.999861</v>
      </c>
      <c r="S2492">
        <v>1.5472410000000001E-2</v>
      </c>
      <c r="T2492">
        <v>9.0132589999999999E-2</v>
      </c>
      <c r="U2492">
        <v>-3.0004270000000002</v>
      </c>
      <c r="V2492">
        <v>-4.3158170000000003E-2</v>
      </c>
      <c r="W2492">
        <v>1.35125E-2</v>
      </c>
      <c r="X2492">
        <v>0.99897689999999995</v>
      </c>
      <c r="Y2492">
        <v>-6.4136579999999999E-2</v>
      </c>
      <c r="Z2492">
        <v>-2.9916829999999998E-2</v>
      </c>
      <c r="AA2492">
        <v>0.99749259999999995</v>
      </c>
      <c r="AB2492">
        <v>19</v>
      </c>
      <c r="AC2492">
        <v>2.1739999999999999</v>
      </c>
      <c r="AD2492">
        <v>12.618223</v>
      </c>
      <c r="AE2492">
        <v>-419.86092000000002</v>
      </c>
      <c r="AF2492">
        <v>-26.914344708957699</v>
      </c>
      <c r="AG2492">
        <v>12.618223</v>
      </c>
      <c r="AH2492">
        <v>418.62337280319599</v>
      </c>
      <c r="AI2492">
        <v>88.277057868468404</v>
      </c>
      <c r="AJ2492">
        <v>93.678626120710405</v>
      </c>
      <c r="AK2492">
        <v>419.67741154357401</v>
      </c>
      <c r="AL2492">
        <v>89.225767241232305</v>
      </c>
      <c r="AM2492">
        <v>92.473775196050497</v>
      </c>
      <c r="AN2492">
        <v>1.0000000310138</v>
      </c>
    </row>
    <row r="2493" spans="1:40" x14ac:dyDescent="0.25">
      <c r="A2493" t="str">
        <f>"20190312150710895"</f>
        <v>20190312150710895</v>
      </c>
      <c r="B2493" t="str">
        <f>"1552374430893059"</f>
        <v>1552374430893059</v>
      </c>
      <c r="C2493" t="s">
        <v>40</v>
      </c>
      <c r="D2493">
        <v>4.6695029999999997</v>
      </c>
      <c r="E2493">
        <v>0.49230980000000002</v>
      </c>
      <c r="F2493" t="s">
        <v>66</v>
      </c>
      <c r="G2493">
        <v>-188.81710000000001</v>
      </c>
      <c r="H2493">
        <v>14.480499999999999</v>
      </c>
      <c r="I2493">
        <v>-81.819959999999995</v>
      </c>
      <c r="J2493">
        <v>-191.0575</v>
      </c>
      <c r="K2493">
        <v>1.111437</v>
      </c>
      <c r="L2493">
        <v>337.8664</v>
      </c>
      <c r="M2493">
        <v>-5.5845180000000001E-2</v>
      </c>
      <c r="N2493">
        <v>0</v>
      </c>
      <c r="O2493">
        <v>-0.99840220000000002</v>
      </c>
      <c r="P2493">
        <v>-1.4075229999999999E-2</v>
      </c>
      <c r="Q2493">
        <v>7.1178659999999996E-3</v>
      </c>
      <c r="R2493">
        <v>-0.99987559999999998</v>
      </c>
      <c r="S2493">
        <v>1.596069E-2</v>
      </c>
      <c r="T2493">
        <v>9.5531699999999997E-2</v>
      </c>
      <c r="U2493">
        <v>-3.0002140000000002</v>
      </c>
      <c r="V2493">
        <v>-4.1854080000000002E-2</v>
      </c>
      <c r="W2493">
        <v>1.554791E-2</v>
      </c>
      <c r="X2493">
        <v>0.99900279999999997</v>
      </c>
      <c r="Y2493">
        <v>-6.1155229999999998E-2</v>
      </c>
      <c r="Z2493">
        <v>-3.1720999999999999E-2</v>
      </c>
      <c r="AA2493">
        <v>0.99762410000000001</v>
      </c>
      <c r="AB2493">
        <v>19</v>
      </c>
      <c r="AC2493">
        <v>2.24039999999999</v>
      </c>
      <c r="AD2493">
        <v>13.369063000000001</v>
      </c>
      <c r="AE2493">
        <v>-419.68635999999998</v>
      </c>
      <c r="AF2493">
        <v>-25.649208883189399</v>
      </c>
      <c r="AG2493">
        <v>13.369063000000001</v>
      </c>
      <c r="AH2493">
        <v>418.48160999028801</v>
      </c>
      <c r="AI2493">
        <v>88.173642089814095</v>
      </c>
      <c r="AJ2493">
        <v>93.507335316838706</v>
      </c>
      <c r="AK2493">
        <v>419.48000150411798</v>
      </c>
      <c r="AL2493">
        <v>89.1091345244227</v>
      </c>
      <c r="AM2493">
        <v>92.399052874187305</v>
      </c>
      <c r="AN2493">
        <v>1.0000000479629201</v>
      </c>
    </row>
    <row r="2494" spans="1:40" x14ac:dyDescent="0.25">
      <c r="A2494" t="str">
        <f>"20190312150710919"</f>
        <v>20190312150710919</v>
      </c>
      <c r="B2494" t="str">
        <f>"1552374430912579"</f>
        <v>1552374430912579</v>
      </c>
      <c r="C2494" t="s">
        <v>40</v>
      </c>
      <c r="D2494">
        <v>4.4550549999999998</v>
      </c>
      <c r="E2494">
        <v>0.49245749999999999</v>
      </c>
      <c r="F2494" t="s">
        <v>66</v>
      </c>
      <c r="G2494">
        <v>-188.3443</v>
      </c>
      <c r="H2494">
        <v>15.24682</v>
      </c>
      <c r="I2494">
        <v>-81.820219999999907</v>
      </c>
      <c r="J2494">
        <v>-191.06469999999999</v>
      </c>
      <c r="K2494">
        <v>1.111421</v>
      </c>
      <c r="L2494">
        <v>337.65899999999999</v>
      </c>
      <c r="M2494">
        <v>-5.2117469999999999E-2</v>
      </c>
      <c r="N2494">
        <v>0</v>
      </c>
      <c r="O2494">
        <v>-0.99860479999999996</v>
      </c>
      <c r="P2494">
        <v>-1.103122E-2</v>
      </c>
      <c r="Q2494">
        <v>8.3541629999999995E-3</v>
      </c>
      <c r="R2494">
        <v>-0.99990440000000003</v>
      </c>
      <c r="S2494">
        <v>1.9393919999999999E-2</v>
      </c>
      <c r="T2494">
        <v>0.1010414</v>
      </c>
      <c r="U2494">
        <v>-2.9999690000000001</v>
      </c>
      <c r="V2494">
        <v>-4.1170709999999999E-2</v>
      </c>
      <c r="W2494">
        <v>1.6674999999999999E-2</v>
      </c>
      <c r="X2494">
        <v>0.99901289999999998</v>
      </c>
      <c r="Y2494">
        <v>-5.8570369999999997E-2</v>
      </c>
      <c r="Z2494">
        <v>-3.3563879999999997E-2</v>
      </c>
      <c r="AA2494">
        <v>0.99771889999999996</v>
      </c>
      <c r="AB2494">
        <v>19</v>
      </c>
      <c r="AC2494">
        <v>2.7203999999999802</v>
      </c>
      <c r="AD2494">
        <v>14.135399</v>
      </c>
      <c r="AE2494">
        <v>-419.47922</v>
      </c>
      <c r="AF2494">
        <v>-24.5518098564146</v>
      </c>
      <c r="AG2494">
        <v>14.135399</v>
      </c>
      <c r="AH2494">
        <v>418.292344918141</v>
      </c>
      <c r="AI2494">
        <v>88.067856843220198</v>
      </c>
      <c r="AJ2494">
        <v>93.359141011485406</v>
      </c>
      <c r="AK2494">
        <v>419.25062515067498</v>
      </c>
      <c r="AL2494">
        <v>89.044548526871907</v>
      </c>
      <c r="AM2494">
        <v>92.359903302692999</v>
      </c>
      <c r="AN2494">
        <v>0.99999992867665399</v>
      </c>
    </row>
    <row r="2495" spans="1:40" x14ac:dyDescent="0.25">
      <c r="A2495" t="str">
        <f>"20190312150710942"</f>
        <v>20190312150710942</v>
      </c>
      <c r="B2495" t="str">
        <f>"1552374430933075"</f>
        <v>1552374430933075</v>
      </c>
      <c r="C2495" t="s">
        <v>40</v>
      </c>
      <c r="D2495">
        <v>4.435327</v>
      </c>
      <c r="E2495">
        <v>0.49260379999999998</v>
      </c>
      <c r="F2495" t="s">
        <v>66</v>
      </c>
      <c r="G2495">
        <v>-187.2602</v>
      </c>
      <c r="H2495">
        <v>15.677</v>
      </c>
      <c r="I2495">
        <v>-81.820369999999997</v>
      </c>
      <c r="J2495">
        <v>-191.0711</v>
      </c>
      <c r="K2495">
        <v>1.1114040000000001</v>
      </c>
      <c r="L2495">
        <v>337.4579</v>
      </c>
      <c r="M2495">
        <v>-4.8509469999999999E-2</v>
      </c>
      <c r="N2495">
        <v>0</v>
      </c>
      <c r="O2495">
        <v>-0.99878789999999995</v>
      </c>
      <c r="P2495">
        <v>-7.4395449999999997E-3</v>
      </c>
      <c r="Q2495">
        <v>9.1026600000000003E-3</v>
      </c>
      <c r="R2495">
        <v>-0.99993109999999996</v>
      </c>
      <c r="S2495">
        <v>2.7206419999999999E-2</v>
      </c>
      <c r="T2495">
        <v>0.1041605</v>
      </c>
      <c r="U2495">
        <v>-2.9997560000000001</v>
      </c>
      <c r="V2495">
        <v>-4.1152170000000002E-2</v>
      </c>
      <c r="W2495">
        <v>1.7283840000000002E-2</v>
      </c>
      <c r="X2495">
        <v>0.99900339999999999</v>
      </c>
      <c r="Y2495">
        <v>-5.7562200000000001E-2</v>
      </c>
      <c r="Z2495">
        <v>-3.4611339999999997E-2</v>
      </c>
      <c r="AA2495">
        <v>0.99774180000000001</v>
      </c>
      <c r="AB2495">
        <v>19</v>
      </c>
      <c r="AC2495">
        <v>3.8109000000000002</v>
      </c>
      <c r="AD2495">
        <v>14.565595999999999</v>
      </c>
      <c r="AE2495">
        <v>-419.27827000000002</v>
      </c>
      <c r="AF2495">
        <v>-24.1169842309762</v>
      </c>
      <c r="AG2495">
        <v>14.565595999999999</v>
      </c>
      <c r="AH2495">
        <v>418.09522285533097</v>
      </c>
      <c r="AI2495">
        <v>88.008045831737505</v>
      </c>
      <c r="AJ2495">
        <v>93.301333809093094</v>
      </c>
      <c r="AK2495">
        <v>419.04343556447901</v>
      </c>
      <c r="AL2495">
        <v>89.0096596150576</v>
      </c>
      <c r="AM2495">
        <v>92.358864197394595</v>
      </c>
      <c r="AN2495">
        <v>1.0000000127162001</v>
      </c>
    </row>
    <row r="2496" spans="1:40" x14ac:dyDescent="0.25">
      <c r="A2496" t="str">
        <f>"20190312150710963"</f>
        <v>20190312150710963</v>
      </c>
      <c r="B2496" t="str">
        <f>"1552374430952595"</f>
        <v>1552374430952595</v>
      </c>
      <c r="C2496" t="s">
        <v>40</v>
      </c>
      <c r="D2496">
        <v>4.3746260000000001</v>
      </c>
      <c r="E2496">
        <v>0.49275740000000001</v>
      </c>
      <c r="F2496" t="s">
        <v>66</v>
      </c>
      <c r="G2496">
        <v>-185.935</v>
      </c>
      <c r="H2496">
        <v>15.88621</v>
      </c>
      <c r="I2496">
        <v>-81.820430000000002</v>
      </c>
      <c r="J2496">
        <v>-191.0761</v>
      </c>
      <c r="K2496">
        <v>1.1113949999999999</v>
      </c>
      <c r="L2496">
        <v>337.27730000000003</v>
      </c>
      <c r="M2496">
        <v>-4.5272600000000003E-2</v>
      </c>
      <c r="N2496">
        <v>0</v>
      </c>
      <c r="O2496">
        <v>-0.99894110000000003</v>
      </c>
      <c r="P2496">
        <v>-4.2414239999999997E-3</v>
      </c>
      <c r="Q2496">
        <v>9.9722600000000002E-3</v>
      </c>
      <c r="R2496">
        <v>-0.99994150000000004</v>
      </c>
      <c r="S2496">
        <v>3.6743159999999997E-2</v>
      </c>
      <c r="T2496">
        <v>0.1056988</v>
      </c>
      <c r="U2496">
        <v>-2.9995120000000002</v>
      </c>
      <c r="V2496">
        <v>-4.111306E-2</v>
      </c>
      <c r="W2496">
        <v>1.8006609999999999E-2</v>
      </c>
      <c r="X2496">
        <v>0.9989922</v>
      </c>
      <c r="Y2496">
        <v>-5.7499370000000001E-2</v>
      </c>
      <c r="Z2496">
        <v>-3.5132209999999997E-2</v>
      </c>
      <c r="AA2496">
        <v>0.99772720000000004</v>
      </c>
      <c r="AB2496">
        <v>19</v>
      </c>
      <c r="AC2496">
        <v>5.14109999999999</v>
      </c>
      <c r="AD2496">
        <v>14.774815</v>
      </c>
      <c r="AE2496">
        <v>-419.09772999999899</v>
      </c>
      <c r="AF2496">
        <v>-24.0801853364786</v>
      </c>
      <c r="AG2496">
        <v>14.774815</v>
      </c>
      <c r="AH2496">
        <v>417.915906617411</v>
      </c>
      <c r="AI2496">
        <v>87.978583530445903</v>
      </c>
      <c r="AJ2496">
        <v>93.297718820318494</v>
      </c>
      <c r="AK2496">
        <v>418.86973570308999</v>
      </c>
      <c r="AL2496">
        <v>88.968241450337402</v>
      </c>
      <c r="AM2496">
        <v>92.3566513112265</v>
      </c>
      <c r="AN2496">
        <v>0.99999996868354701</v>
      </c>
    </row>
    <row r="2497" spans="1:40" x14ac:dyDescent="0.25">
      <c r="A2497" t="str">
        <f>"20190312150710986"</f>
        <v>20190312150710986</v>
      </c>
      <c r="B2497" t="str">
        <f>"1552374430982852"</f>
        <v>1552374430982852</v>
      </c>
      <c r="C2497" t="s">
        <v>40</v>
      </c>
      <c r="D2497">
        <v>4.36111</v>
      </c>
      <c r="E2497">
        <v>0.50114479999999995</v>
      </c>
      <c r="F2497" t="s">
        <v>66</v>
      </c>
      <c r="G2497">
        <v>-184.79050000000001</v>
      </c>
      <c r="H2497">
        <v>16.123809999999999</v>
      </c>
      <c r="I2497">
        <v>-81.820509999999999</v>
      </c>
      <c r="J2497">
        <v>-191.08099999999999</v>
      </c>
      <c r="K2497">
        <v>1.111381</v>
      </c>
      <c r="L2497">
        <v>337.07920000000001</v>
      </c>
      <c r="M2497">
        <v>-4.173023E-2</v>
      </c>
      <c r="N2497">
        <v>0</v>
      </c>
      <c r="O2497">
        <v>-0.9990966</v>
      </c>
      <c r="P2497">
        <v>-1.3227270000000001E-3</v>
      </c>
      <c r="Q2497">
        <v>1.093847E-2</v>
      </c>
      <c r="R2497">
        <v>-0.99993940000000003</v>
      </c>
      <c r="S2497">
        <v>4.4982910000000001E-2</v>
      </c>
      <c r="T2497">
        <v>0.1074362</v>
      </c>
      <c r="U2497">
        <v>-2.9992679999999998</v>
      </c>
      <c r="V2497">
        <v>-4.0489869999999997E-2</v>
      </c>
      <c r="W2497">
        <v>1.8795160000000002E-2</v>
      </c>
      <c r="X2497">
        <v>0.99900319999999998</v>
      </c>
      <c r="Y2497">
        <v>-5.6700519999999997E-2</v>
      </c>
      <c r="Z2497">
        <v>-3.572028E-2</v>
      </c>
      <c r="AA2497">
        <v>0.99775199999999997</v>
      </c>
      <c r="AB2497">
        <v>19</v>
      </c>
      <c r="AC2497">
        <v>6.2904999999999802</v>
      </c>
      <c r="AD2497">
        <v>15.012428999999999</v>
      </c>
      <c r="AE2497">
        <v>-418.89971000000003</v>
      </c>
      <c r="AF2497">
        <v>-23.735887534505299</v>
      </c>
      <c r="AG2497">
        <v>15.012428999999999</v>
      </c>
      <c r="AH2497">
        <v>417.73588032742703</v>
      </c>
      <c r="AI2497">
        <v>87.945124007340397</v>
      </c>
      <c r="AJ2497">
        <v>93.252067870615306</v>
      </c>
      <c r="AK2497">
        <v>418.67891169064302</v>
      </c>
      <c r="AL2497">
        <v>88.923053287437298</v>
      </c>
      <c r="AM2497">
        <v>92.320943129344997</v>
      </c>
      <c r="AN2497">
        <v>1.00000004061114</v>
      </c>
    </row>
    <row r="2498" spans="1:40" x14ac:dyDescent="0.25">
      <c r="A2498" t="str">
        <f>"20190312150711008"</f>
        <v>20190312150711008</v>
      </c>
      <c r="B2498" t="str">
        <f>"1552374431002371"</f>
        <v>1552374431002371</v>
      </c>
      <c r="C2498" t="s">
        <v>40</v>
      </c>
      <c r="D2498">
        <v>4.4075509999999998</v>
      </c>
      <c r="E2498">
        <v>0.50153340000000002</v>
      </c>
      <c r="F2498" t="s">
        <v>42</v>
      </c>
      <c r="G2498">
        <v>-191.17609999999999</v>
      </c>
      <c r="H2498" s="1">
        <v>-3.0075419999999999E-6</v>
      </c>
      <c r="I2498">
        <v>315.29199999999997</v>
      </c>
      <c r="J2498">
        <v>-191.08500000000001</v>
      </c>
      <c r="K2498">
        <v>1.1113759999999999</v>
      </c>
      <c r="L2498">
        <v>336.89089999999999</v>
      </c>
      <c r="M2498">
        <v>-3.837318E-2</v>
      </c>
      <c r="N2498">
        <v>0</v>
      </c>
      <c r="O2498">
        <v>-0.99923280000000003</v>
      </c>
      <c r="P2498">
        <v>1.6454569999999999E-3</v>
      </c>
      <c r="Q2498">
        <v>1.1516149999999999E-2</v>
      </c>
      <c r="R2498">
        <v>-0.99993259999999995</v>
      </c>
      <c r="S2498">
        <v>-1.3092039999999999E-2</v>
      </c>
      <c r="T2498">
        <v>-0.1531264</v>
      </c>
      <c r="U2498">
        <v>-3.0018310000000001</v>
      </c>
      <c r="V2498">
        <v>-4.010085E-2</v>
      </c>
      <c r="W2498">
        <v>1.9188960000000001E-2</v>
      </c>
      <c r="X2498">
        <v>0.99901130000000005</v>
      </c>
      <c r="Y2498">
        <v>-3.4021530000000001E-2</v>
      </c>
      <c r="Z2498">
        <v>5.0873500000000002E-2</v>
      </c>
      <c r="AA2498">
        <v>0.99812540000000005</v>
      </c>
      <c r="AB2498">
        <v>20</v>
      </c>
      <c r="AC2498">
        <v>-9.1099999999983E-2</v>
      </c>
      <c r="AD2498">
        <v>-1.111379007542</v>
      </c>
      <c r="AE2498">
        <v>-21.598899999999901</v>
      </c>
      <c r="AF2498">
        <v>-0.73586271287292704</v>
      </c>
      <c r="AG2498">
        <v>-1.111379007542</v>
      </c>
      <c r="AH2498">
        <v>21.529485271368799</v>
      </c>
      <c r="AI2498">
        <v>92.9533354432414</v>
      </c>
      <c r="AJ2498">
        <v>91.957567519901502</v>
      </c>
      <c r="AK2498">
        <v>21.570706833126401</v>
      </c>
      <c r="AL2498">
        <v>88.900486024803101</v>
      </c>
      <c r="AM2498">
        <v>92.298649308604098</v>
      </c>
      <c r="AN2498">
        <v>0.99999993594214498</v>
      </c>
    </row>
    <row r="2499" spans="1:40" x14ac:dyDescent="0.25">
      <c r="A2499" t="str">
        <f>"20190312150711030"</f>
        <v>20190312150711030</v>
      </c>
      <c r="B2499" t="str">
        <f>"1552374431022868"</f>
        <v>1552374431022868</v>
      </c>
      <c r="C2499" t="s">
        <v>40</v>
      </c>
      <c r="D2499">
        <v>4.3511309999999996</v>
      </c>
      <c r="E2499">
        <v>0.50210239999999995</v>
      </c>
      <c r="F2499" t="s">
        <v>42</v>
      </c>
      <c r="G2499">
        <v>-191.13659999999999</v>
      </c>
      <c r="H2499" s="1">
        <v>-3.2079159999999998E-6</v>
      </c>
      <c r="I2499">
        <v>315.73809999999997</v>
      </c>
      <c r="J2499">
        <v>-191.08869999999999</v>
      </c>
      <c r="K2499">
        <v>1.111372</v>
      </c>
      <c r="L2499">
        <v>336.68869999999998</v>
      </c>
      <c r="M2499">
        <v>-3.477951E-2</v>
      </c>
      <c r="N2499">
        <v>0</v>
      </c>
      <c r="O2499">
        <v>-0.99936570000000002</v>
      </c>
      <c r="P2499">
        <v>4.1243770000000003E-3</v>
      </c>
      <c r="Q2499">
        <v>1.286175E-2</v>
      </c>
      <c r="R2499">
        <v>-0.99990900000000005</v>
      </c>
      <c r="S2499">
        <v>-7.3242189999999999E-3</v>
      </c>
      <c r="T2499">
        <v>-0.15772729999999999</v>
      </c>
      <c r="U2499">
        <v>-3.002014</v>
      </c>
      <c r="V2499">
        <v>-3.8989999999999997E-2</v>
      </c>
      <c r="W2499">
        <v>2.0339820000000002E-2</v>
      </c>
      <c r="X2499">
        <v>0.99903260000000005</v>
      </c>
      <c r="Y2499">
        <v>-3.2345480000000003E-2</v>
      </c>
      <c r="Z2499">
        <v>5.2406719999999997E-2</v>
      </c>
      <c r="AA2499">
        <v>0.99810180000000004</v>
      </c>
      <c r="AB2499">
        <v>20</v>
      </c>
      <c r="AC2499">
        <v>-4.7899999999998499E-2</v>
      </c>
      <c r="AD2499">
        <v>-1.111375207916</v>
      </c>
      <c r="AE2499">
        <v>-20.950600000000001</v>
      </c>
      <c r="AF2499">
        <v>-0.678891517261068</v>
      </c>
      <c r="AG2499">
        <v>-1.111375207916</v>
      </c>
      <c r="AH2499">
        <v>20.880831391836601</v>
      </c>
      <c r="AI2499">
        <v>93.045067796461893</v>
      </c>
      <c r="AJ2499">
        <v>91.862182628752294</v>
      </c>
      <c r="AK2499">
        <v>20.921404545567398</v>
      </c>
      <c r="AL2499">
        <v>88.834533825459502</v>
      </c>
      <c r="AM2499">
        <v>92.234991377668194</v>
      </c>
      <c r="AN2499">
        <v>1.0000000321201901</v>
      </c>
    </row>
    <row r="2500" spans="1:40" x14ac:dyDescent="0.25">
      <c r="A2500" t="str">
        <f>"20190312150711044"</f>
        <v>20190312150711044</v>
      </c>
      <c r="B2500" t="str">
        <f>"1552374431032629"</f>
        <v>1552374431032629</v>
      </c>
      <c r="C2500" t="s">
        <v>40</v>
      </c>
      <c r="D2500">
        <v>4.3394599999999999</v>
      </c>
      <c r="E2500">
        <v>0.50226669999999995</v>
      </c>
      <c r="F2500" t="s">
        <v>42</v>
      </c>
      <c r="G2500">
        <v>-191.12029999999999</v>
      </c>
      <c r="H2500" s="1">
        <v>-2.7319020000000001E-6</v>
      </c>
      <c r="I2500">
        <v>314.74029999999999</v>
      </c>
      <c r="J2500">
        <v>-191.09049999999999</v>
      </c>
      <c r="K2500">
        <v>1.1113649999999999</v>
      </c>
      <c r="L2500">
        <v>336.57069999999999</v>
      </c>
      <c r="M2500">
        <v>-3.2688250000000002E-2</v>
      </c>
      <c r="N2500">
        <v>0</v>
      </c>
      <c r="O2500">
        <v>-0.99943729999999997</v>
      </c>
      <c r="P2500">
        <v>5.9093699999999997E-3</v>
      </c>
      <c r="Q2500">
        <v>1.359672E-2</v>
      </c>
      <c r="R2500">
        <v>-0.99989039999999996</v>
      </c>
      <c r="S2500">
        <v>-4.333496E-3</v>
      </c>
      <c r="T2500">
        <v>-0.15202189999999999</v>
      </c>
      <c r="U2500">
        <v>-3.0022579999999999</v>
      </c>
      <c r="V2500">
        <v>-3.8685579999999997E-2</v>
      </c>
      <c r="W2500">
        <v>2.0961480000000001E-2</v>
      </c>
      <c r="X2500">
        <v>0.99903149999999996</v>
      </c>
      <c r="Y2500">
        <v>-3.1248339999999999E-2</v>
      </c>
      <c r="Z2500">
        <v>5.0518180000000003E-2</v>
      </c>
      <c r="AA2500">
        <v>0.99823419999999896</v>
      </c>
      <c r="AB2500">
        <v>20</v>
      </c>
      <c r="AC2500">
        <v>-2.97999999999944E-2</v>
      </c>
      <c r="AD2500">
        <v>-1.1113677319019999</v>
      </c>
      <c r="AE2500">
        <v>-21.830400000000001</v>
      </c>
      <c r="AF2500">
        <v>-0.68206594358602601</v>
      </c>
      <c r="AG2500">
        <v>-1.1113677319019999</v>
      </c>
      <c r="AH2500">
        <v>21.763302418719601</v>
      </c>
      <c r="AI2500">
        <v>92.921902530922594</v>
      </c>
      <c r="AJ2500">
        <v>91.795072823860394</v>
      </c>
      <c r="AK2500">
        <v>21.8023320852508</v>
      </c>
      <c r="AL2500">
        <v>88.798907633356293</v>
      </c>
      <c r="AM2500">
        <v>92.217561291848398</v>
      </c>
      <c r="AN2500">
        <v>0.99999994786798696</v>
      </c>
    </row>
    <row r="2501" spans="1:40" x14ac:dyDescent="0.25">
      <c r="A2501" t="str">
        <f>"20190312150711058"</f>
        <v>20190312150711058</v>
      </c>
      <c r="B2501" t="str">
        <f>"1552374431052147"</f>
        <v>1552374431052147</v>
      </c>
      <c r="C2501" t="s">
        <v>40</v>
      </c>
      <c r="D2501">
        <v>4.3115430000000003</v>
      </c>
      <c r="E2501">
        <v>0.50261940000000005</v>
      </c>
      <c r="F2501" t="s">
        <v>42</v>
      </c>
      <c r="G2501">
        <v>-191.09379999999999</v>
      </c>
      <c r="H2501" s="1">
        <v>-2.7246999999999999E-6</v>
      </c>
      <c r="I2501">
        <v>314.74</v>
      </c>
      <c r="J2501">
        <v>-191.09200000000001</v>
      </c>
      <c r="K2501">
        <v>1.1113569999999999</v>
      </c>
      <c r="L2501">
        <v>336.45209999999997</v>
      </c>
      <c r="M2501">
        <v>-3.0600479999999999E-2</v>
      </c>
      <c r="N2501">
        <v>0</v>
      </c>
      <c r="O2501">
        <v>-0.99950430000000001</v>
      </c>
      <c r="P2501">
        <v>7.8912269999999902E-3</v>
      </c>
      <c r="Q2501">
        <v>1.410081E-2</v>
      </c>
      <c r="R2501">
        <v>-0.99986989999999998</v>
      </c>
      <c r="S2501">
        <v>-4.4250490000000001E-4</v>
      </c>
      <c r="T2501">
        <v>-0.15285000000000001</v>
      </c>
      <c r="U2501">
        <v>-3.0024410000000001</v>
      </c>
      <c r="V2501">
        <v>-3.8580450000000002E-2</v>
      </c>
      <c r="W2501">
        <v>2.1355260000000001E-2</v>
      </c>
      <c r="X2501">
        <v>0.99902729999999995</v>
      </c>
      <c r="Y2501">
        <v>-3.0454189999999999E-2</v>
      </c>
      <c r="Z2501">
        <v>5.079525E-2</v>
      </c>
      <c r="AA2501">
        <v>0.99824460000000004</v>
      </c>
      <c r="AB2501">
        <v>20</v>
      </c>
      <c r="AC2501">
        <v>-1.79999999997448E-3</v>
      </c>
      <c r="AD2501">
        <v>-1.1113597247</v>
      </c>
      <c r="AE2501">
        <v>-21.7120999999999</v>
      </c>
      <c r="AF2501">
        <v>-0.66088817409923195</v>
      </c>
      <c r="AG2501">
        <v>-1.1113597247</v>
      </c>
      <c r="AH2501">
        <v>21.645275464555802</v>
      </c>
      <c r="AI2501">
        <v>92.937859254889801</v>
      </c>
      <c r="AJ2501">
        <v>91.748850132491697</v>
      </c>
      <c r="AK2501">
        <v>21.683861361686699</v>
      </c>
      <c r="AL2501">
        <v>88.776340739024704</v>
      </c>
      <c r="AM2501">
        <v>92.211550238266696</v>
      </c>
      <c r="AN2501">
        <v>1.0000000221985701</v>
      </c>
    </row>
    <row r="2502" spans="1:40" x14ac:dyDescent="0.25">
      <c r="A2502" t="str">
        <f>"20190312150711074"</f>
        <v>20190312150711074</v>
      </c>
      <c r="B2502" t="str">
        <f>"1552374431062887"</f>
        <v>1552374431062887</v>
      </c>
      <c r="C2502" t="s">
        <v>40</v>
      </c>
      <c r="D2502">
        <v>4.3244400000000001</v>
      </c>
      <c r="E2502">
        <v>0.5028745</v>
      </c>
      <c r="F2502" t="s">
        <v>42</v>
      </c>
      <c r="G2502">
        <v>-191.0729</v>
      </c>
      <c r="H2502" s="1">
        <v>-3.1963120000000001E-6</v>
      </c>
      <c r="I2502">
        <v>315.74950000000001</v>
      </c>
      <c r="J2502">
        <v>-191.09370000000001</v>
      </c>
      <c r="K2502">
        <v>1.1113390000000001</v>
      </c>
      <c r="L2502">
        <v>336.30169999999998</v>
      </c>
      <c r="M2502">
        <v>-2.7966709999999999E-2</v>
      </c>
      <c r="N2502">
        <v>0</v>
      </c>
      <c r="O2502">
        <v>-0.99958219999999998</v>
      </c>
      <c r="P2502">
        <v>1.021331E-2</v>
      </c>
      <c r="Q2502">
        <v>1.43626E-2</v>
      </c>
      <c r="R2502">
        <v>-0.99984479999999998</v>
      </c>
      <c r="S2502">
        <v>2.7770999999999998E-3</v>
      </c>
      <c r="T2502">
        <v>-0.1611899</v>
      </c>
      <c r="U2502">
        <v>-3.0026860000000002</v>
      </c>
      <c r="V2502">
        <v>-3.8268330000000003E-2</v>
      </c>
      <c r="W2502">
        <v>2.148303E-2</v>
      </c>
      <c r="X2502">
        <v>0.99903660000000005</v>
      </c>
      <c r="Y2502">
        <v>-2.8890619999999999E-2</v>
      </c>
      <c r="Z2502">
        <v>5.3562100000000001E-2</v>
      </c>
      <c r="AA2502">
        <v>0.99814650000000005</v>
      </c>
      <c r="AB2502">
        <v>20</v>
      </c>
      <c r="AC2502">
        <v>2.0800000000008301E-2</v>
      </c>
      <c r="AD2502">
        <v>-1.11134219631199</v>
      </c>
      <c r="AE2502">
        <v>-20.5521999999999</v>
      </c>
      <c r="AF2502">
        <v>-0.59384817944435997</v>
      </c>
      <c r="AG2502">
        <v>-1.11134219631199</v>
      </c>
      <c r="AH2502">
        <v>20.483684506059099</v>
      </c>
      <c r="AI2502">
        <v>93.104235730116798</v>
      </c>
      <c r="AJ2502">
        <v>91.660612696164705</v>
      </c>
      <c r="AK2502">
        <v>20.5224040521889</v>
      </c>
      <c r="AL2502">
        <v>88.769018420288006</v>
      </c>
      <c r="AM2502">
        <v>92.193655708294997</v>
      </c>
      <c r="AN2502">
        <v>1.00000005689926</v>
      </c>
    </row>
    <row r="2503" spans="1:40" x14ac:dyDescent="0.25">
      <c r="A2503" t="str">
        <f>"20190312150711088"</f>
        <v>20190312150711088</v>
      </c>
      <c r="B2503" t="str">
        <f>"1552374431082403"</f>
        <v>1552374431082403</v>
      </c>
      <c r="C2503" t="s">
        <v>40</v>
      </c>
      <c r="D2503">
        <v>4.3082279999999997</v>
      </c>
      <c r="E2503">
        <v>0.5033649</v>
      </c>
      <c r="F2503" t="s">
        <v>42</v>
      </c>
      <c r="G2503">
        <v>-191.04089999999999</v>
      </c>
      <c r="H2503" s="1">
        <v>-3.0845630000000001E-6</v>
      </c>
      <c r="I2503">
        <v>315.53100000000001</v>
      </c>
      <c r="J2503">
        <v>-191.09479999999999</v>
      </c>
      <c r="K2503">
        <v>1.111324</v>
      </c>
      <c r="L2503">
        <v>336.1764</v>
      </c>
      <c r="M2503">
        <v>-2.579091E-2</v>
      </c>
      <c r="N2503">
        <v>0</v>
      </c>
      <c r="O2503">
        <v>-0.99964169999999997</v>
      </c>
      <c r="P2503">
        <v>1.216363E-2</v>
      </c>
      <c r="Q2503">
        <v>1.456677E-2</v>
      </c>
      <c r="R2503">
        <v>-0.99982000000000004</v>
      </c>
      <c r="S2503">
        <v>7.6293949999999998E-3</v>
      </c>
      <c r="T2503">
        <v>-0.16065960000000001</v>
      </c>
      <c r="U2503">
        <v>-3.0026860000000002</v>
      </c>
      <c r="V2503">
        <v>-3.8042920000000001E-2</v>
      </c>
      <c r="W2503">
        <v>2.1580749999999999E-2</v>
      </c>
      <c r="X2503">
        <v>0.99904300000000001</v>
      </c>
      <c r="Y2503">
        <v>-2.832786E-2</v>
      </c>
      <c r="Z2503">
        <v>5.339141E-2</v>
      </c>
      <c r="AA2503">
        <v>0.9981717</v>
      </c>
      <c r="AB2503">
        <v>20</v>
      </c>
      <c r="AC2503">
        <v>5.3899999999998699E-2</v>
      </c>
      <c r="AD2503">
        <v>-1.1113270845629999</v>
      </c>
      <c r="AE2503">
        <v>-20.645399999999899</v>
      </c>
      <c r="AF2503">
        <v>-0.58466527171324201</v>
      </c>
      <c r="AG2503">
        <v>-1.1113270845629999</v>
      </c>
      <c r="AH2503">
        <v>20.5775171414098</v>
      </c>
      <c r="AI2503">
        <v>93.0901172639457</v>
      </c>
      <c r="AJ2503">
        <v>91.6274967587335</v>
      </c>
      <c r="AK2503">
        <v>20.615797172892599</v>
      </c>
      <c r="AL2503">
        <v>88.763418051654497</v>
      </c>
      <c r="AM2503">
        <v>92.180733085044494</v>
      </c>
      <c r="AN2503">
        <v>0.99999995419084298</v>
      </c>
    </row>
    <row r="2504" spans="1:40" x14ac:dyDescent="0.25">
      <c r="A2504" t="str">
        <f>"20190312150711108"</f>
        <v>20190312150711108</v>
      </c>
      <c r="B2504" t="str">
        <f>"1552374431102900"</f>
        <v>1552374431102900</v>
      </c>
      <c r="C2504" t="s">
        <v>40</v>
      </c>
      <c r="D2504">
        <v>4.3109029999999997</v>
      </c>
      <c r="E2504">
        <v>0.50371109999999997</v>
      </c>
      <c r="F2504" t="s">
        <v>42</v>
      </c>
      <c r="G2504">
        <v>-191.02950000000001</v>
      </c>
      <c r="H2504" s="1">
        <v>-3.2110799999999999E-6</v>
      </c>
      <c r="I2504">
        <v>315.80509999999998</v>
      </c>
      <c r="J2504">
        <v>-191.096</v>
      </c>
      <c r="K2504">
        <v>1.111297</v>
      </c>
      <c r="L2504">
        <v>335.9991</v>
      </c>
      <c r="M2504">
        <v>-2.275013E-2</v>
      </c>
      <c r="N2504">
        <v>0</v>
      </c>
      <c r="O2504">
        <v>-0.99971639999999995</v>
      </c>
      <c r="P2504">
        <v>1.40456E-2</v>
      </c>
      <c r="Q2504">
        <v>1.48767E-2</v>
      </c>
      <c r="R2504">
        <v>-0.99979050000000003</v>
      </c>
      <c r="S2504">
        <v>9.6282959999999997E-3</v>
      </c>
      <c r="T2504">
        <v>-0.16381370000000001</v>
      </c>
      <c r="U2504">
        <v>-3.0028079999999999</v>
      </c>
      <c r="V2504">
        <v>-3.6884680000000003E-2</v>
      </c>
      <c r="W2504">
        <v>2.1754760000000001E-2</v>
      </c>
      <c r="X2504">
        <v>0.99908269999999999</v>
      </c>
      <c r="Y2504">
        <v>-2.5951399999999999E-2</v>
      </c>
      <c r="Z2504">
        <v>5.4442070000000002E-2</v>
      </c>
      <c r="AA2504">
        <v>0.99817959999999994</v>
      </c>
      <c r="AB2504">
        <v>20</v>
      </c>
      <c r="AC2504">
        <v>6.64999999999622E-2</v>
      </c>
      <c r="AD2504">
        <v>-1.1113002110800001</v>
      </c>
      <c r="AE2504">
        <v>-20.193999999999999</v>
      </c>
      <c r="AF2504">
        <v>-0.52432243712242199</v>
      </c>
      <c r="AG2504">
        <v>-1.1113002110800001</v>
      </c>
      <c r="AH2504">
        <v>20.126309718805199</v>
      </c>
      <c r="AI2504">
        <v>93.159381485816596</v>
      </c>
      <c r="AJ2504">
        <v>91.492308808802207</v>
      </c>
      <c r="AK2504">
        <v>20.163785484737001</v>
      </c>
      <c r="AL2504">
        <v>88.753445722620896</v>
      </c>
      <c r="AM2504">
        <v>92.114316595318897</v>
      </c>
      <c r="AN2504">
        <v>0.99999999532032502</v>
      </c>
    </row>
    <row r="2505" spans="1:40" x14ac:dyDescent="0.25">
      <c r="A2505" t="str">
        <f>"20190312150711133"</f>
        <v>20190312150711133</v>
      </c>
      <c r="B2505" t="str">
        <f>"1552374431122419"</f>
        <v>1552374431122419</v>
      </c>
      <c r="C2505" t="s">
        <v>40</v>
      </c>
      <c r="D2505">
        <v>4.3066519999999997</v>
      </c>
      <c r="E2505">
        <v>0.50413409999999903</v>
      </c>
      <c r="F2505" t="s">
        <v>42</v>
      </c>
      <c r="G2505">
        <v>-191.0121</v>
      </c>
      <c r="H2505" s="1">
        <v>-3.3488910000000002E-6</v>
      </c>
      <c r="I2505">
        <v>316.10640000000001</v>
      </c>
      <c r="J2505">
        <v>-191.0967</v>
      </c>
      <c r="K2505">
        <v>1.111264</v>
      </c>
      <c r="L2505">
        <v>335.78059999999999</v>
      </c>
      <c r="M2505">
        <v>-1.906443E-2</v>
      </c>
      <c r="N2505">
        <v>0</v>
      </c>
      <c r="O2505">
        <v>-0.99979450000000003</v>
      </c>
      <c r="P2505">
        <v>1.6167979999999998E-2</v>
      </c>
      <c r="Q2505">
        <v>1.534577E-2</v>
      </c>
      <c r="R2505">
        <v>-0.99975170000000002</v>
      </c>
      <c r="S2505">
        <v>1.266479E-2</v>
      </c>
      <c r="T2505">
        <v>-0.16775789999999999</v>
      </c>
      <c r="U2505">
        <v>-3.0029300000000001</v>
      </c>
      <c r="V2505">
        <v>-3.5322270000000003E-2</v>
      </c>
      <c r="W2505">
        <v>2.207655E-2</v>
      </c>
      <c r="X2505">
        <v>0.99913209999999997</v>
      </c>
      <c r="Y2505">
        <v>-2.3274820000000002E-2</v>
      </c>
      <c r="Z2505">
        <v>5.5754770000000002E-2</v>
      </c>
      <c r="AA2505">
        <v>0.99817319999999998</v>
      </c>
      <c r="AB2505">
        <v>20</v>
      </c>
      <c r="AC2505">
        <v>8.4599999999994596E-2</v>
      </c>
      <c r="AD2505">
        <v>-1.1112673488910001</v>
      </c>
      <c r="AE2505">
        <v>-19.6741999999999</v>
      </c>
      <c r="AF2505">
        <v>-0.45820910601097398</v>
      </c>
      <c r="AG2505">
        <v>-1.1112673488910001</v>
      </c>
      <c r="AH2505">
        <v>19.6064603189397</v>
      </c>
      <c r="AI2505">
        <v>93.243092019639505</v>
      </c>
      <c r="AJ2505">
        <v>91.338776577677194</v>
      </c>
      <c r="AK2505">
        <v>19.643272561966299</v>
      </c>
      <c r="AL2505">
        <v>88.735004083949406</v>
      </c>
      <c r="AM2505">
        <v>92.024731746955894</v>
      </c>
      <c r="AN2505">
        <v>0.99999999503413195</v>
      </c>
    </row>
    <row r="2506" spans="1:40" x14ac:dyDescent="0.25">
      <c r="A2506" t="str">
        <f>"20190312150711154"</f>
        <v>20190312150711154</v>
      </c>
      <c r="B2506" t="str">
        <f>"1552374431142915"</f>
        <v>1552374431142915</v>
      </c>
      <c r="C2506" t="s">
        <v>40</v>
      </c>
      <c r="D2506">
        <v>4.3619649999999996</v>
      </c>
      <c r="E2506">
        <v>0.50449069999999996</v>
      </c>
      <c r="F2506" t="s">
        <v>42</v>
      </c>
      <c r="G2506">
        <v>-190.98949999999999</v>
      </c>
      <c r="H2506" s="1">
        <v>-3.1500119999999998E-6</v>
      </c>
      <c r="I2506">
        <v>315.69839999999999</v>
      </c>
      <c r="J2506">
        <v>-191.0967</v>
      </c>
      <c r="K2506">
        <v>1.1112310000000001</v>
      </c>
      <c r="L2506">
        <v>335.58</v>
      </c>
      <c r="M2506">
        <v>-1.5744810000000001E-2</v>
      </c>
      <c r="N2506">
        <v>0</v>
      </c>
      <c r="O2506">
        <v>-0.99985310000000005</v>
      </c>
      <c r="P2506">
        <v>1.8002830000000001E-2</v>
      </c>
      <c r="Q2506">
        <v>1.561478E-2</v>
      </c>
      <c r="R2506">
        <v>-0.99971600000000005</v>
      </c>
      <c r="S2506">
        <v>1.6021730000000001E-2</v>
      </c>
      <c r="T2506">
        <v>-0.1661752</v>
      </c>
      <c r="U2506">
        <v>-3.0030209999999999</v>
      </c>
      <c r="V2506">
        <v>-3.3837579999999999E-2</v>
      </c>
      <c r="W2506">
        <v>2.2229100000000002E-2</v>
      </c>
      <c r="X2506">
        <v>0.99918010000000002</v>
      </c>
      <c r="Y2506">
        <v>-2.107127E-2</v>
      </c>
      <c r="Z2506">
        <v>5.5234699999999998E-2</v>
      </c>
      <c r="AA2506">
        <v>0.998251</v>
      </c>
      <c r="AB2506">
        <v>20</v>
      </c>
      <c r="AC2506">
        <v>0.107200000000005</v>
      </c>
      <c r="AD2506">
        <v>-1.11123415001199</v>
      </c>
      <c r="AE2506">
        <v>-19.881599999999899</v>
      </c>
      <c r="AF2506">
        <v>-0.41891725494406301</v>
      </c>
      <c r="AG2506">
        <v>-1.11123415001199</v>
      </c>
      <c r="AH2506">
        <v>19.815545931820701</v>
      </c>
      <c r="AI2506">
        <v>93.209007264331703</v>
      </c>
      <c r="AJ2506">
        <v>91.211100411156906</v>
      </c>
      <c r="AK2506">
        <v>19.851100563413102</v>
      </c>
      <c r="AL2506">
        <v>88.726261465269502</v>
      </c>
      <c r="AM2506">
        <v>91.939600151131103</v>
      </c>
      <c r="AN2506">
        <v>0.99999999347153801</v>
      </c>
    </row>
    <row r="2507" spans="1:40" x14ac:dyDescent="0.25">
      <c r="A2507" t="str">
        <f>"20190312150711176"</f>
        <v>20190312150711176</v>
      </c>
      <c r="B2507" t="str">
        <f>"1552374431173172"</f>
        <v>1552374431173172</v>
      </c>
      <c r="C2507" t="s">
        <v>40</v>
      </c>
      <c r="D2507">
        <v>4.357062</v>
      </c>
      <c r="E2507">
        <v>0.50808790000000004</v>
      </c>
      <c r="F2507" t="s">
        <v>42</v>
      </c>
      <c r="G2507">
        <v>-190.97239999999999</v>
      </c>
      <c r="H2507" s="1">
        <v>-3.174405E-6</v>
      </c>
      <c r="I2507">
        <v>315.75970000000001</v>
      </c>
      <c r="J2507">
        <v>-191.09620000000001</v>
      </c>
      <c r="K2507">
        <v>1.111208</v>
      </c>
      <c r="L2507">
        <v>335.38549999999998</v>
      </c>
      <c r="M2507">
        <v>-1.2596919999999999E-2</v>
      </c>
      <c r="N2507">
        <v>0</v>
      </c>
      <c r="O2507">
        <v>-0.99989859999999997</v>
      </c>
      <c r="P2507">
        <v>1.923275E-2</v>
      </c>
      <c r="Q2507">
        <v>1.5831660000000001E-2</v>
      </c>
      <c r="R2507">
        <v>-0.99968979999999996</v>
      </c>
      <c r="S2507">
        <v>1.88446E-2</v>
      </c>
      <c r="T2507">
        <v>-0.16837449999999901</v>
      </c>
      <c r="U2507">
        <v>-3.003174</v>
      </c>
      <c r="V2507">
        <v>-3.1920209999999997E-2</v>
      </c>
      <c r="W2507">
        <v>2.2351139999999999E-2</v>
      </c>
      <c r="X2507">
        <v>0.99924049999999998</v>
      </c>
      <c r="Y2507">
        <v>-1.8861389999999999E-2</v>
      </c>
      <c r="Z2507">
        <v>5.596545E-2</v>
      </c>
      <c r="AA2507">
        <v>0.99825450000000004</v>
      </c>
      <c r="AB2507">
        <v>20</v>
      </c>
      <c r="AC2507">
        <v>0.12380000000001699</v>
      </c>
      <c r="AD2507">
        <v>-1.1112111744049999</v>
      </c>
      <c r="AE2507">
        <v>-19.625799999999899</v>
      </c>
      <c r="AF2507">
        <v>-0.36983468723323698</v>
      </c>
      <c r="AG2507">
        <v>-1.1112111744049999</v>
      </c>
      <c r="AH2507">
        <v>19.5599800188219</v>
      </c>
      <c r="AI2507">
        <v>93.250923947844896</v>
      </c>
      <c r="AJ2507">
        <v>91.0832036671477</v>
      </c>
      <c r="AK2507">
        <v>19.595009219357799</v>
      </c>
      <c r="AL2507">
        <v>88.719267391014995</v>
      </c>
      <c r="AM2507">
        <v>91.8296612248635</v>
      </c>
      <c r="AN2507">
        <v>1.0000000250529899</v>
      </c>
    </row>
    <row r="2508" spans="1:40" x14ac:dyDescent="0.25">
      <c r="A2508" t="str">
        <f>"20190312150711198"</f>
        <v>20190312150711198</v>
      </c>
      <c r="B2508" t="str">
        <f>"1552374431192692"</f>
        <v>1552374431192692</v>
      </c>
      <c r="C2508" t="s">
        <v>40</v>
      </c>
      <c r="D2508">
        <v>4.3098700000000001</v>
      </c>
      <c r="E2508">
        <v>0.50946279999999999</v>
      </c>
      <c r="F2508" t="s">
        <v>66</v>
      </c>
      <c r="G2508">
        <v>-192.0489</v>
      </c>
      <c r="H2508">
        <v>7.7263979999999997</v>
      </c>
      <c r="I2508">
        <v>-81.817729999999997</v>
      </c>
      <c r="J2508">
        <v>-191.09520000000001</v>
      </c>
      <c r="K2508">
        <v>1.1111770000000001</v>
      </c>
      <c r="L2508">
        <v>335.18579999999997</v>
      </c>
      <c r="M2508">
        <v>-9.4447969999999996E-3</v>
      </c>
      <c r="N2508">
        <v>0</v>
      </c>
      <c r="O2508">
        <v>-0.99993399999999999</v>
      </c>
      <c r="P2508">
        <v>2.0485679999999999E-2</v>
      </c>
      <c r="Q2508">
        <v>1.616977E-2</v>
      </c>
      <c r="R2508">
        <v>-0.99965950000000003</v>
      </c>
      <c r="S2508">
        <v>-6.8511960000000004E-3</v>
      </c>
      <c r="T2508">
        <v>4.7572490000000002E-2</v>
      </c>
      <c r="U2508">
        <v>-3.0002749999999998</v>
      </c>
      <c r="V2508">
        <v>-3.0021229999999999E-2</v>
      </c>
      <c r="W2508">
        <v>2.260618E-2</v>
      </c>
      <c r="X2508">
        <v>0.9992936</v>
      </c>
      <c r="Y2508">
        <v>-7.1618480000000002E-3</v>
      </c>
      <c r="Z2508">
        <v>-1.5852769999999999E-2</v>
      </c>
      <c r="AA2508">
        <v>0.99984870000000003</v>
      </c>
      <c r="AB2508">
        <v>20</v>
      </c>
      <c r="AC2508">
        <v>-0.95369999999999699</v>
      </c>
      <c r="AD2508">
        <v>6.615221</v>
      </c>
      <c r="AE2508">
        <v>-417.00353000000001</v>
      </c>
      <c r="AF2508">
        <v>-2.9841895103260798</v>
      </c>
      <c r="AG2508">
        <v>6.615221</v>
      </c>
      <c r="AH2508">
        <v>416.88902470384198</v>
      </c>
      <c r="AI2508">
        <v>89.090926586785201</v>
      </c>
      <c r="AJ2508">
        <v>90.410129635910195</v>
      </c>
      <c r="AK2508">
        <v>416.952186053069</v>
      </c>
      <c r="AL2508">
        <v>88.704650958225201</v>
      </c>
      <c r="AM2508">
        <v>91.720788131191597</v>
      </c>
      <c r="AN2508">
        <v>1.00000000631293</v>
      </c>
    </row>
    <row r="2509" spans="1:40" x14ac:dyDescent="0.25">
      <c r="A2509" t="str">
        <f>"20190312150711220"</f>
        <v>20190312150711220</v>
      </c>
      <c r="B2509" t="str">
        <f>"1552374431212212"</f>
        <v>1552374431212212</v>
      </c>
      <c r="C2509" t="s">
        <v>40</v>
      </c>
      <c r="D2509">
        <v>4.2891659999999998</v>
      </c>
      <c r="E2509">
        <v>0.51052829999999905</v>
      </c>
      <c r="F2509" t="s">
        <v>42</v>
      </c>
      <c r="G2509">
        <v>-191.17400000000001</v>
      </c>
      <c r="H2509" s="1">
        <v>-3.8034770000000001E-6</v>
      </c>
      <c r="I2509">
        <v>316.97699999999998</v>
      </c>
      <c r="J2509">
        <v>-191.09350000000001</v>
      </c>
      <c r="K2509">
        <v>1.11114</v>
      </c>
      <c r="L2509">
        <v>334.97399999999999</v>
      </c>
      <c r="M2509">
        <v>-6.1992219999999999E-3</v>
      </c>
      <c r="N2509">
        <v>0</v>
      </c>
      <c r="O2509">
        <v>-0.99995979999999995</v>
      </c>
      <c r="P2509">
        <v>2.1615849999999999E-2</v>
      </c>
      <c r="Q2509">
        <v>1.6387249999999999E-2</v>
      </c>
      <c r="R2509">
        <v>-0.99963219999999997</v>
      </c>
      <c r="S2509">
        <v>-1.300049E-2</v>
      </c>
      <c r="T2509">
        <v>-0.1833302</v>
      </c>
      <c r="U2509">
        <v>-3.0042110000000002</v>
      </c>
      <c r="V2509">
        <v>-2.7905409999999999E-2</v>
      </c>
      <c r="W2509">
        <v>2.274967E-2</v>
      </c>
      <c r="X2509">
        <v>0.99935169999999995</v>
      </c>
      <c r="Y2509">
        <v>-1.880032E-3</v>
      </c>
      <c r="Z2509">
        <v>6.0908990000000003E-2</v>
      </c>
      <c r="AA2509">
        <v>0.99814150000000001</v>
      </c>
      <c r="AB2509">
        <v>21</v>
      </c>
      <c r="AC2509">
        <v>-8.0500000000000599E-2</v>
      </c>
      <c r="AD2509">
        <v>-1.111143803477</v>
      </c>
      <c r="AE2509">
        <v>-17.9969999999999</v>
      </c>
      <c r="AF2509">
        <v>-3.0953298248885999E-2</v>
      </c>
      <c r="AG2509">
        <v>-1.111143803477</v>
      </c>
      <c r="AH2509">
        <v>17.928811931647399</v>
      </c>
      <c r="AI2509">
        <v>93.546382981361106</v>
      </c>
      <c r="AJ2509">
        <v>90.0989185226763</v>
      </c>
      <c r="AK2509">
        <v>17.9632373457308</v>
      </c>
      <c r="AL2509">
        <v>88.696427515690402</v>
      </c>
      <c r="AM2509">
        <v>91.599483801915596</v>
      </c>
      <c r="AN2509">
        <v>1.0000000398426301</v>
      </c>
    </row>
    <row r="2510" spans="1:40" x14ac:dyDescent="0.25">
      <c r="A2510" t="str">
        <f>"20190312150711242"</f>
        <v>20190312150711242</v>
      </c>
      <c r="B2510" t="str">
        <f>"1552374431232707"</f>
        <v>1552374431232707</v>
      </c>
      <c r="C2510" t="s">
        <v>40</v>
      </c>
      <c r="D2510">
        <v>4.325596</v>
      </c>
      <c r="E2510">
        <v>0.51090040000000003</v>
      </c>
      <c r="F2510" t="s">
        <v>42</v>
      </c>
      <c r="G2510">
        <v>-191.2098</v>
      </c>
      <c r="H2510" s="1">
        <v>-3.1320089999999999E-6</v>
      </c>
      <c r="I2510">
        <v>315.53629999999998</v>
      </c>
      <c r="J2510">
        <v>-191.09129999999999</v>
      </c>
      <c r="K2510">
        <v>1.111097</v>
      </c>
      <c r="L2510">
        <v>334.76859999999999</v>
      </c>
      <c r="M2510">
        <v>-3.151399E-3</v>
      </c>
      <c r="N2510">
        <v>0</v>
      </c>
      <c r="O2510">
        <v>-0.99997460000000005</v>
      </c>
      <c r="P2510">
        <v>2.273596E-2</v>
      </c>
      <c r="Q2510">
        <v>1.5961840000000001E-2</v>
      </c>
      <c r="R2510">
        <v>-0.99961440000000001</v>
      </c>
      <c r="S2510">
        <v>-1.7974850000000001E-2</v>
      </c>
      <c r="T2510">
        <v>-0.17174110000000001</v>
      </c>
      <c r="U2510">
        <v>-3.0043329999999999</v>
      </c>
      <c r="V2510">
        <v>-2.5975229999999998E-2</v>
      </c>
      <c r="W2510">
        <v>2.2264849999999999E-2</v>
      </c>
      <c r="X2510">
        <v>0.99941460000000004</v>
      </c>
      <c r="Y2510">
        <v>2.82168E-3</v>
      </c>
      <c r="Z2510">
        <v>5.7070240000000001E-2</v>
      </c>
      <c r="AA2510">
        <v>0.99836619999999998</v>
      </c>
      <c r="AB2510">
        <v>21</v>
      </c>
      <c r="AC2510">
        <v>-0.118500000000011</v>
      </c>
      <c r="AD2510">
        <v>-1.1111001320089999</v>
      </c>
      <c r="AE2510">
        <v>-19.232299999999999</v>
      </c>
      <c r="AF2510">
        <v>5.76969557070445E-2</v>
      </c>
      <c r="AG2510">
        <v>-1.1111001320089999</v>
      </c>
      <c r="AH2510">
        <v>19.1686018232596</v>
      </c>
      <c r="AI2510">
        <v>93.317399270300996</v>
      </c>
      <c r="AJ2510">
        <v>89.827541825956501</v>
      </c>
      <c r="AK2510">
        <v>19.200863738403001</v>
      </c>
      <c r="AL2510">
        <v>88.724212628876302</v>
      </c>
      <c r="AM2510">
        <v>91.488807623990496</v>
      </c>
      <c r="AN2510">
        <v>0.99999998940611701</v>
      </c>
    </row>
    <row r="2511" spans="1:40" x14ac:dyDescent="0.25">
      <c r="A2511" t="str">
        <f>"20190312150711257"</f>
        <v>20190312150711257</v>
      </c>
      <c r="B2511" t="str">
        <f>"1552374431252414"</f>
        <v>1552374431252414</v>
      </c>
      <c r="C2511" t="s">
        <v>40</v>
      </c>
      <c r="D2511">
        <v>4.3870120000000004</v>
      </c>
      <c r="E2511">
        <v>0.51211509999999905</v>
      </c>
      <c r="F2511" t="s">
        <v>42</v>
      </c>
      <c r="G2511">
        <v>-191.20439999999999</v>
      </c>
      <c r="H2511" s="1">
        <v>-3.1111039999999999E-6</v>
      </c>
      <c r="I2511">
        <v>315.49520000000001</v>
      </c>
      <c r="J2511">
        <v>-191.08959999999999</v>
      </c>
      <c r="K2511">
        <v>1.111065</v>
      </c>
      <c r="L2511">
        <v>334.63780000000003</v>
      </c>
      <c r="M2511">
        <v>-1.2743069999999999E-3</v>
      </c>
      <c r="N2511">
        <v>0</v>
      </c>
      <c r="O2511">
        <v>-0.99997910000000001</v>
      </c>
      <c r="P2511">
        <v>2.3636170000000001E-2</v>
      </c>
      <c r="Q2511">
        <v>1.640819E-2</v>
      </c>
      <c r="R2511">
        <v>-0.99958619999999998</v>
      </c>
      <c r="S2511">
        <v>-1.7623900000000001E-2</v>
      </c>
      <c r="T2511">
        <v>-0.1731964</v>
      </c>
      <c r="U2511">
        <v>-3.0043030000000002</v>
      </c>
      <c r="V2511">
        <v>-2.4998989999999999E-2</v>
      </c>
      <c r="W2511">
        <v>2.267864E-2</v>
      </c>
      <c r="X2511">
        <v>0.99943020000000005</v>
      </c>
      <c r="Y2511">
        <v>4.5820799999999997E-3</v>
      </c>
      <c r="Z2511">
        <v>5.7553029999999998E-2</v>
      </c>
      <c r="AA2511">
        <v>0.998332</v>
      </c>
      <c r="AB2511">
        <v>21</v>
      </c>
      <c r="AC2511">
        <v>-0.114800000000002</v>
      </c>
      <c r="AD2511">
        <v>-1.1110681111039999</v>
      </c>
      <c r="AE2511">
        <v>-19.142600000000002</v>
      </c>
      <c r="AF2511">
        <v>9.0102338740048901E-2</v>
      </c>
      <c r="AG2511">
        <v>-1.1110681111039999</v>
      </c>
      <c r="AH2511">
        <v>19.078460908000999</v>
      </c>
      <c r="AI2511">
        <v>93.332920031578794</v>
      </c>
      <c r="AJ2511">
        <v>89.729409758057102</v>
      </c>
      <c r="AK2511">
        <v>19.1109984406121</v>
      </c>
      <c r="AL2511">
        <v>88.700498229896795</v>
      </c>
      <c r="AM2511">
        <v>91.432854451969206</v>
      </c>
      <c r="AN2511">
        <v>0.999999997442654</v>
      </c>
    </row>
    <row r="2512" spans="1:40" x14ac:dyDescent="0.25">
      <c r="A2512" t="str">
        <f>"20190312150711275"</f>
        <v>20190312150711275</v>
      </c>
      <c r="B2512" t="str">
        <f>"1552374431272910"</f>
        <v>1552374431272910</v>
      </c>
      <c r="C2512" t="s">
        <v>40</v>
      </c>
      <c r="D2512">
        <v>4.3961990000000002</v>
      </c>
      <c r="E2512">
        <v>0.51866250000000003</v>
      </c>
      <c r="F2512" t="s">
        <v>42</v>
      </c>
      <c r="G2512">
        <v>-191.2509</v>
      </c>
      <c r="H2512" s="1">
        <v>-2.8879380000000001E-6</v>
      </c>
      <c r="I2512">
        <v>314.99689999999998</v>
      </c>
      <c r="J2512">
        <v>-191.08699999999999</v>
      </c>
      <c r="K2512">
        <v>1.111027</v>
      </c>
      <c r="L2512">
        <v>334.45960000000002</v>
      </c>
      <c r="M2512">
        <v>1.223214E-3</v>
      </c>
      <c r="N2512">
        <v>0</v>
      </c>
      <c r="O2512">
        <v>-0.99997939999999996</v>
      </c>
      <c r="P2512">
        <v>2.4331720000000001E-2</v>
      </c>
      <c r="Q2512">
        <v>1.6746069999999998E-2</v>
      </c>
      <c r="R2512">
        <v>-0.99956389999999995</v>
      </c>
      <c r="S2512">
        <v>-2.4673460000000001E-2</v>
      </c>
      <c r="T2512">
        <v>-0.16996810000000001</v>
      </c>
      <c r="U2512">
        <v>-3.0046080000000002</v>
      </c>
      <c r="V2512">
        <v>-2.3196899999999999E-2</v>
      </c>
      <c r="W2512">
        <v>2.2978019999999998E-2</v>
      </c>
      <c r="X2512">
        <v>0.99946679999999999</v>
      </c>
      <c r="Y2512">
        <v>9.42168E-3</v>
      </c>
      <c r="Z2512">
        <v>5.647659E-2</v>
      </c>
      <c r="AA2512">
        <v>0.99835940000000001</v>
      </c>
      <c r="AB2512">
        <v>21</v>
      </c>
      <c r="AC2512">
        <v>-0.163899999999983</v>
      </c>
      <c r="AD2512">
        <v>-1.1110298879380001</v>
      </c>
      <c r="AE2512">
        <v>-19.462700000000002</v>
      </c>
      <c r="AF2512">
        <v>0.187097743635247</v>
      </c>
      <c r="AG2512">
        <v>-1.1110298879380001</v>
      </c>
      <c r="AH2512">
        <v>19.399272887476702</v>
      </c>
      <c r="AI2512">
        <v>93.277695510208304</v>
      </c>
      <c r="AJ2512">
        <v>89.447423686109303</v>
      </c>
      <c r="AK2512">
        <v>19.431962884391101</v>
      </c>
      <c r="AL2512">
        <v>88.683340531553398</v>
      </c>
      <c r="AM2512">
        <v>91.329554817338703</v>
      </c>
      <c r="AN2512">
        <v>0.99999998493748499</v>
      </c>
    </row>
    <row r="2513" spans="1:40" x14ac:dyDescent="0.25">
      <c r="A2513" t="str">
        <f>"20190312150711290"</f>
        <v>20190312150711290</v>
      </c>
      <c r="B2513" t="str">
        <f>"1552374431282670"</f>
        <v>1552374431282670</v>
      </c>
      <c r="C2513" t="s">
        <v>40</v>
      </c>
      <c r="D2513">
        <v>4.3780380000000001</v>
      </c>
      <c r="E2513">
        <v>0.51866250000000003</v>
      </c>
      <c r="F2513" t="s">
        <v>66</v>
      </c>
      <c r="G2513">
        <v>-201.60730000000001</v>
      </c>
      <c r="H2513">
        <v>11.08846</v>
      </c>
      <c r="I2513">
        <v>-81.818839999999994</v>
      </c>
      <c r="J2513">
        <v>-191.0848</v>
      </c>
      <c r="K2513">
        <v>1.1109929999999999</v>
      </c>
      <c r="L2513">
        <v>334.32</v>
      </c>
      <c r="M2513">
        <v>3.1252239999999998E-3</v>
      </c>
      <c r="N2513">
        <v>0</v>
      </c>
      <c r="O2513">
        <v>-0.99997570000000002</v>
      </c>
      <c r="P2513">
        <v>2.5607120000000001E-2</v>
      </c>
      <c r="Q2513">
        <v>1.7220349999999999E-2</v>
      </c>
      <c r="R2513">
        <v>-0.99952410000000003</v>
      </c>
      <c r="S2513">
        <v>-7.5866699999999995E-2</v>
      </c>
      <c r="T2513">
        <v>7.1952100000000005E-2</v>
      </c>
      <c r="U2513">
        <v>-3.0019840000000002</v>
      </c>
      <c r="V2513">
        <v>-2.257091E-2</v>
      </c>
      <c r="W2513">
        <v>2.3421359999999999E-2</v>
      </c>
      <c r="X2513">
        <v>0.99947079999999999</v>
      </c>
      <c r="Y2513">
        <v>2.838104E-2</v>
      </c>
      <c r="Z2513">
        <v>-2.3952480000000002E-2</v>
      </c>
      <c r="AA2513">
        <v>0.99931009999999998</v>
      </c>
      <c r="AB2513">
        <v>21</v>
      </c>
      <c r="AC2513">
        <v>-10.522500000000001</v>
      </c>
      <c r="AD2513">
        <v>9.9774669999999901</v>
      </c>
      <c r="AE2513">
        <v>-416.13884000000002</v>
      </c>
      <c r="AF2513">
        <v>11.816212594269</v>
      </c>
      <c r="AG2513">
        <v>9.9774669999999901</v>
      </c>
      <c r="AH2513">
        <v>415.865009382479</v>
      </c>
      <c r="AI2513">
        <v>88.626172924591103</v>
      </c>
      <c r="AJ2513">
        <v>88.372459833142301</v>
      </c>
      <c r="AK2513">
        <v>416.152470563973</v>
      </c>
      <c r="AL2513">
        <v>88.657932125237494</v>
      </c>
      <c r="AM2513">
        <v>91.2936827260787</v>
      </c>
      <c r="AN2513">
        <v>0.99999994306755702</v>
      </c>
    </row>
    <row r="2514" spans="1:40" x14ac:dyDescent="0.25">
      <c r="A2514" t="str">
        <f>"20190312150711309"</f>
        <v>20190312150711309</v>
      </c>
      <c r="B2514" t="str">
        <f>"1552374431302190"</f>
        <v>1552374431302190</v>
      </c>
      <c r="C2514" t="s">
        <v>40</v>
      </c>
      <c r="D2514">
        <v>4.3451760000000004</v>
      </c>
      <c r="E2514">
        <v>0.52074579999999904</v>
      </c>
      <c r="F2514" t="s">
        <v>66</v>
      </c>
      <c r="G2514">
        <v>-201.05779999999999</v>
      </c>
      <c r="H2514">
        <v>11.28402</v>
      </c>
      <c r="I2514">
        <v>-81.818910000000002</v>
      </c>
      <c r="J2514">
        <v>-191.08150000000001</v>
      </c>
      <c r="K2514">
        <v>1.110948</v>
      </c>
      <c r="L2514">
        <v>334.13819999999998</v>
      </c>
      <c r="M2514">
        <v>5.5289930000000003E-3</v>
      </c>
      <c r="N2514">
        <v>0</v>
      </c>
      <c r="O2514">
        <v>-0.99996529999999995</v>
      </c>
      <c r="P2514">
        <v>2.654952E-2</v>
      </c>
      <c r="Q2514">
        <v>1.8050500000000001E-2</v>
      </c>
      <c r="R2514">
        <v>-0.9994847</v>
      </c>
      <c r="S2514">
        <v>-7.1945190000000006E-2</v>
      </c>
      <c r="T2514">
        <v>7.3387980000000005E-2</v>
      </c>
      <c r="U2514">
        <v>-3.002014</v>
      </c>
      <c r="V2514">
        <v>-2.111118E-2</v>
      </c>
      <c r="W2514">
        <v>2.4216499999999998E-2</v>
      </c>
      <c r="X2514">
        <v>0.99948380000000003</v>
      </c>
      <c r="Y2514">
        <v>2.947876E-2</v>
      </c>
      <c r="Z2514">
        <v>-2.4429570000000001E-2</v>
      </c>
      <c r="AA2514">
        <v>0.99926680000000001</v>
      </c>
      <c r="AB2514">
        <v>21</v>
      </c>
      <c r="AC2514">
        <v>-9.9762999999999806</v>
      </c>
      <c r="AD2514">
        <v>10.173071999999999</v>
      </c>
      <c r="AE2514">
        <v>-415.95711</v>
      </c>
      <c r="AF2514">
        <v>12.268681864197999</v>
      </c>
      <c r="AG2514">
        <v>10.173071999999999</v>
      </c>
      <c r="AH2514">
        <v>415.64711719557403</v>
      </c>
      <c r="AI2514">
        <v>88.598560843811399</v>
      </c>
      <c r="AJ2514">
        <v>88.309287805951101</v>
      </c>
      <c r="AK2514">
        <v>415.95256698521899</v>
      </c>
      <c r="AL2514">
        <v>88.612361096470295</v>
      </c>
      <c r="AM2514">
        <v>91.210026296385095</v>
      </c>
      <c r="AN2514">
        <v>0.99999999362784098</v>
      </c>
    </row>
    <row r="2515" spans="1:40" x14ac:dyDescent="0.25">
      <c r="A2515" t="str">
        <f>"20190312150711333"</f>
        <v>20190312150711333</v>
      </c>
      <c r="B2515" t="str">
        <f>"1552374431322687"</f>
        <v>1552374431322687</v>
      </c>
      <c r="C2515" t="s">
        <v>40</v>
      </c>
      <c r="D2515">
        <v>4.3496730000000001</v>
      </c>
      <c r="E2515">
        <v>0.52050620000000003</v>
      </c>
      <c r="F2515" t="s">
        <v>42</v>
      </c>
      <c r="G2515">
        <v>-191.6935</v>
      </c>
      <c r="H2515" s="1">
        <v>-1.7902100000000001E-6</v>
      </c>
      <c r="I2515">
        <v>312.4255</v>
      </c>
      <c r="J2515">
        <v>-191.077</v>
      </c>
      <c r="K2515">
        <v>1.1108910000000001</v>
      </c>
      <c r="L2515">
        <v>333.91669999999999</v>
      </c>
      <c r="M2515">
        <v>8.350662E-3</v>
      </c>
      <c r="N2515">
        <v>0</v>
      </c>
      <c r="O2515">
        <v>-0.99994620000000001</v>
      </c>
      <c r="P2515">
        <v>2.7934219999999999E-2</v>
      </c>
      <c r="Q2515">
        <v>1.7565569999999999E-2</v>
      </c>
      <c r="R2515">
        <v>-0.99945569999999895</v>
      </c>
      <c r="S2515">
        <v>-8.4747310000000006E-2</v>
      </c>
      <c r="T2515">
        <v>-0.15383350000000001</v>
      </c>
      <c r="U2515">
        <v>-3.006561</v>
      </c>
      <c r="V2515">
        <v>-1.9670190000000001E-2</v>
      </c>
      <c r="W2515">
        <v>2.3693079999999998E-2</v>
      </c>
      <c r="X2515">
        <v>0.99952569999999996</v>
      </c>
      <c r="Y2515">
        <v>3.6486009999999999E-2</v>
      </c>
      <c r="Z2515">
        <v>5.1069290000000003E-2</v>
      </c>
      <c r="AA2515">
        <v>0.99802840000000004</v>
      </c>
      <c r="AB2515">
        <v>21</v>
      </c>
      <c r="AC2515">
        <v>-0.61650000000000205</v>
      </c>
      <c r="AD2515">
        <v>-1.1108927902099901</v>
      </c>
      <c r="AE2515">
        <v>-21.4911999999999</v>
      </c>
      <c r="AF2515">
        <v>0.79382834881319098</v>
      </c>
      <c r="AG2515">
        <v>-1.1108927902099901</v>
      </c>
      <c r="AH2515">
        <v>21.428095332079099</v>
      </c>
      <c r="AI2515">
        <v>92.965686919887801</v>
      </c>
      <c r="AJ2515">
        <v>87.878382411612705</v>
      </c>
      <c r="AK2515">
        <v>21.4715513132934</v>
      </c>
      <c r="AL2515">
        <v>88.642359405212503</v>
      </c>
      <c r="AM2515">
        <v>91.127408140700894</v>
      </c>
      <c r="AN2515">
        <v>0.999999951687505</v>
      </c>
    </row>
    <row r="2516" spans="1:40" x14ac:dyDescent="0.25">
      <c r="A2516" t="str">
        <f>"20190312150711355"</f>
        <v>20190312150711355</v>
      </c>
      <c r="B2516" t="str">
        <f>"1552374431352944"</f>
        <v>1552374431352944</v>
      </c>
      <c r="C2516" t="s">
        <v>40</v>
      </c>
      <c r="D2516">
        <v>4.3529179999999998</v>
      </c>
      <c r="E2516">
        <v>0.52333399999999997</v>
      </c>
      <c r="F2516" t="s">
        <v>42</v>
      </c>
      <c r="G2516">
        <v>-191.59</v>
      </c>
      <c r="H2516" s="1">
        <v>-2.637356E-6</v>
      </c>
      <c r="I2516">
        <v>314.27589999999998</v>
      </c>
      <c r="J2516">
        <v>-191.07239999999999</v>
      </c>
      <c r="K2516">
        <v>1.1108389999999999</v>
      </c>
      <c r="L2516">
        <v>333.7088</v>
      </c>
      <c r="M2516">
        <v>1.09027E-2</v>
      </c>
      <c r="N2516">
        <v>0</v>
      </c>
      <c r="O2516">
        <v>-0.99992179999999997</v>
      </c>
      <c r="P2516">
        <v>2.9830349999999999E-2</v>
      </c>
      <c r="Q2516">
        <v>1.7522619999999999E-2</v>
      </c>
      <c r="R2516">
        <v>-0.99940169999999995</v>
      </c>
      <c r="S2516">
        <v>-7.8521729999999998E-2</v>
      </c>
      <c r="T2516">
        <v>-0.17006669999999999</v>
      </c>
      <c r="U2516">
        <v>-3.0068049999999999</v>
      </c>
      <c r="V2516">
        <v>-1.9012979999999999E-2</v>
      </c>
      <c r="W2516">
        <v>2.3616809999999998E-2</v>
      </c>
      <c r="X2516">
        <v>0.99954030000000005</v>
      </c>
      <c r="Y2516">
        <v>3.696178E-2</v>
      </c>
      <c r="Z2516">
        <v>5.6436420000000001E-2</v>
      </c>
      <c r="AA2516">
        <v>0.99772179999999999</v>
      </c>
      <c r="AB2516">
        <v>21</v>
      </c>
      <c r="AC2516">
        <v>-0.51760000000001505</v>
      </c>
      <c r="AD2516">
        <v>-1.1108416373559999</v>
      </c>
      <c r="AE2516">
        <v>-19.4329</v>
      </c>
      <c r="AF2516">
        <v>0.72707019754297697</v>
      </c>
      <c r="AG2516">
        <v>-1.1108416373559999</v>
      </c>
      <c r="AH2516">
        <v>19.3628762889388</v>
      </c>
      <c r="AI2516">
        <v>93.281133038181807</v>
      </c>
      <c r="AJ2516">
        <v>87.849570970379403</v>
      </c>
      <c r="AK2516">
        <v>19.408337857637001</v>
      </c>
      <c r="AL2516">
        <v>88.646730682604897</v>
      </c>
      <c r="AM2516">
        <v>91.089733102111197</v>
      </c>
      <c r="AN2516">
        <v>1.00000002922357</v>
      </c>
    </row>
    <row r="2517" spans="1:40" x14ac:dyDescent="0.25">
      <c r="A2517" t="str">
        <f>"20190312150711376"</f>
        <v>20190312150711376</v>
      </c>
      <c r="B2517" t="str">
        <f>"1552374431372463"</f>
        <v>1552374431372463</v>
      </c>
      <c r="C2517" t="s">
        <v>40</v>
      </c>
      <c r="D2517">
        <v>4.3533559999999998</v>
      </c>
      <c r="E2517">
        <v>0.52299799999999996</v>
      </c>
      <c r="F2517" t="s">
        <v>66</v>
      </c>
      <c r="G2517">
        <v>-204.42359999999999</v>
      </c>
      <c r="H2517">
        <v>13.18092</v>
      </c>
      <c r="I2517">
        <v>-80.953000000000003</v>
      </c>
      <c r="J2517">
        <v>-191.0676</v>
      </c>
      <c r="K2517">
        <v>1.1108009999999999</v>
      </c>
      <c r="L2517">
        <v>333.5111</v>
      </c>
      <c r="M2517">
        <v>1.3240129999999999E-2</v>
      </c>
      <c r="N2517">
        <v>0</v>
      </c>
      <c r="O2517">
        <v>-0.99989349999999999</v>
      </c>
      <c r="P2517">
        <v>3.079755E-2</v>
      </c>
      <c r="Q2517">
        <v>1.730802E-2</v>
      </c>
      <c r="R2517">
        <v>-0.99937560000000003</v>
      </c>
      <c r="S2517">
        <v>-9.6694950000000002E-2</v>
      </c>
      <c r="T2517">
        <v>8.7416289999999994E-2</v>
      </c>
      <c r="U2517">
        <v>-3.0031430000000001</v>
      </c>
      <c r="V2517">
        <v>-1.7640400000000001E-2</v>
      </c>
      <c r="W2517">
        <v>2.3378929999999999E-2</v>
      </c>
      <c r="X2517">
        <v>0.99957099999999999</v>
      </c>
      <c r="Y2517">
        <v>4.5398330000000001E-2</v>
      </c>
      <c r="Z2517">
        <v>-2.9069589999999999E-2</v>
      </c>
      <c r="AA2517">
        <v>0.99854589999999999</v>
      </c>
      <c r="AB2517">
        <v>21</v>
      </c>
      <c r="AC2517">
        <v>-13.3559999999999</v>
      </c>
      <c r="AD2517">
        <v>12.070119</v>
      </c>
      <c r="AE2517">
        <v>-414.46409999999997</v>
      </c>
      <c r="AF2517">
        <v>18.826540910970799</v>
      </c>
      <c r="AG2517">
        <v>12.070119</v>
      </c>
      <c r="AH2517">
        <v>413.90026408507703</v>
      </c>
      <c r="AI2517">
        <v>88.331343796399906</v>
      </c>
      <c r="AJ2517">
        <v>87.395656778541493</v>
      </c>
      <c r="AK2517">
        <v>414.503986742037</v>
      </c>
      <c r="AL2517">
        <v>88.660363888665501</v>
      </c>
      <c r="AM2517">
        <v>91.011049298749299</v>
      </c>
      <c r="AN2517">
        <v>0.99999997106055205</v>
      </c>
    </row>
    <row r="2518" spans="1:40" x14ac:dyDescent="0.25">
      <c r="A2518" t="str">
        <f>"20190312150711390"</f>
        <v>20190312150711390</v>
      </c>
      <c r="B2518" t="str">
        <f>"1552374431382223"</f>
        <v>1552374431382223</v>
      </c>
      <c r="C2518" t="s">
        <v>40</v>
      </c>
      <c r="D2518">
        <v>4.3385119999999997</v>
      </c>
      <c r="E2518">
        <v>0.52295449999999999</v>
      </c>
      <c r="F2518" t="s">
        <v>42</v>
      </c>
      <c r="G2518">
        <v>-191.7312</v>
      </c>
      <c r="H2518" s="1">
        <v>-1.281064E-6</v>
      </c>
      <c r="I2518">
        <v>311.32729999999998</v>
      </c>
      <c r="J2518">
        <v>-191.06399999999999</v>
      </c>
      <c r="K2518">
        <v>1.110771</v>
      </c>
      <c r="L2518">
        <v>333.37119999999999</v>
      </c>
      <c r="M2518">
        <v>1.4843459999999999E-2</v>
      </c>
      <c r="N2518">
        <v>0</v>
      </c>
      <c r="O2518">
        <v>-0.99987119999999996</v>
      </c>
      <c r="P2518">
        <v>3.1861769999999998E-2</v>
      </c>
      <c r="Q2518">
        <v>1.738818E-2</v>
      </c>
      <c r="R2518">
        <v>-0.99934109999999998</v>
      </c>
      <c r="S2518">
        <v>-8.9950559999999999E-2</v>
      </c>
      <c r="T2518">
        <v>-0.15058279999999999</v>
      </c>
      <c r="U2518">
        <v>-3.0072939999999999</v>
      </c>
      <c r="V2518">
        <v>-1.71013E-2</v>
      </c>
      <c r="W2518">
        <v>2.3443760000000001E-2</v>
      </c>
      <c r="X2518">
        <v>0.99957890000000005</v>
      </c>
      <c r="Y2518">
        <v>4.4693879999999998E-2</v>
      </c>
      <c r="Z2518">
        <v>4.9965490000000001E-2</v>
      </c>
      <c r="AA2518">
        <v>0.99775040000000004</v>
      </c>
      <c r="AB2518">
        <v>21</v>
      </c>
      <c r="AC2518">
        <v>-0.66719999999997903</v>
      </c>
      <c r="AD2518">
        <v>-1.1107722810639999</v>
      </c>
      <c r="AE2518">
        <v>-22.043900000000001</v>
      </c>
      <c r="AF2518">
        <v>0.99182433681267401</v>
      </c>
      <c r="AG2518">
        <v>-1.1107722810639999</v>
      </c>
      <c r="AH2518">
        <v>21.975820698005201</v>
      </c>
      <c r="AI2518">
        <v>92.890626681993297</v>
      </c>
      <c r="AJ2518">
        <v>87.4158502811934</v>
      </c>
      <c r="AK2518">
        <v>22.0262167865103</v>
      </c>
      <c r="AL2518">
        <v>88.656648451691396</v>
      </c>
      <c r="AM2518">
        <v>90.9801494726416</v>
      </c>
      <c r="AN2518">
        <v>1.00000002083491</v>
      </c>
    </row>
    <row r="2519" spans="1:40" x14ac:dyDescent="0.25">
      <c r="A2519" t="str">
        <f>"20190312150711411"</f>
        <v>20190312150711411</v>
      </c>
      <c r="B2519" t="str">
        <f>"1552374431402720"</f>
        <v>1552374431402720</v>
      </c>
      <c r="C2519" t="s">
        <v>40</v>
      </c>
      <c r="D2519">
        <v>4.3490440000000001</v>
      </c>
      <c r="E2519">
        <v>0.52312179999999997</v>
      </c>
      <c r="F2519" t="s">
        <v>42</v>
      </c>
      <c r="G2519">
        <v>-191.67570000000001</v>
      </c>
      <c r="H2519" s="1">
        <v>-1.6000670000000001E-6</v>
      </c>
      <c r="I2519">
        <v>312.0333</v>
      </c>
      <c r="J2519">
        <v>-191.05840000000001</v>
      </c>
      <c r="K2519">
        <v>1.1107290000000001</v>
      </c>
      <c r="L2519">
        <v>333.16849999999999</v>
      </c>
      <c r="M2519">
        <v>1.7085489999999998E-2</v>
      </c>
      <c r="N2519">
        <v>0</v>
      </c>
      <c r="O2519">
        <v>-0.99983560000000005</v>
      </c>
      <c r="P2519">
        <v>3.2586709999999998E-2</v>
      </c>
      <c r="Q2519">
        <v>1.731309E-2</v>
      </c>
      <c r="R2519">
        <v>-0.99931939999999997</v>
      </c>
      <c r="S2519">
        <v>-8.6212159999999996E-2</v>
      </c>
      <c r="T2519">
        <v>-0.1565568</v>
      </c>
      <c r="U2519">
        <v>-3.0074459999999998</v>
      </c>
      <c r="V2519">
        <v>-1.5581799999999899E-2</v>
      </c>
      <c r="W2519">
        <v>2.335367E-2</v>
      </c>
      <c r="X2519">
        <v>0.99960579999999999</v>
      </c>
      <c r="Y2519">
        <v>4.5690380000000003E-2</v>
      </c>
      <c r="Z2519">
        <v>5.1936830000000003E-2</v>
      </c>
      <c r="AA2519">
        <v>0.99760459999999995</v>
      </c>
      <c r="AB2519">
        <v>22</v>
      </c>
      <c r="AC2519">
        <v>-0.61729999999999996</v>
      </c>
      <c r="AD2519">
        <v>-1.1107306000669901</v>
      </c>
      <c r="AE2519">
        <v>-21.135200000000001</v>
      </c>
      <c r="AF2519">
        <v>0.97562951963814304</v>
      </c>
      <c r="AG2519">
        <v>-1.1107306000669901</v>
      </c>
      <c r="AH2519">
        <v>21.063442654391999</v>
      </c>
      <c r="AI2519">
        <v>93.015334069580803</v>
      </c>
      <c r="AJ2519">
        <v>87.348034207298198</v>
      </c>
      <c r="AK2519">
        <v>21.1152596924682</v>
      </c>
      <c r="AL2519">
        <v>88.661811575135403</v>
      </c>
      <c r="AM2519">
        <v>90.8930511187815</v>
      </c>
      <c r="AN2519">
        <v>0.99999997089367398</v>
      </c>
    </row>
    <row r="2520" spans="1:40" x14ac:dyDescent="0.25">
      <c r="A2520" t="str">
        <f>"20190312150711436"</f>
        <v>20190312150711436</v>
      </c>
      <c r="B2520" t="str">
        <f>"1552374431432975"</f>
        <v>1552374431432975</v>
      </c>
      <c r="C2520" t="s">
        <v>40</v>
      </c>
      <c r="D2520">
        <v>4.3239839999999896</v>
      </c>
      <c r="E2520">
        <v>0.52320529999999998</v>
      </c>
      <c r="F2520" t="s">
        <v>42</v>
      </c>
      <c r="G2520">
        <v>-191.62289999999999</v>
      </c>
      <c r="H2520" s="1">
        <v>-2.1965769999999999E-6</v>
      </c>
      <c r="I2520">
        <v>313.32499999999999</v>
      </c>
      <c r="J2520">
        <v>-191.0514</v>
      </c>
      <c r="K2520">
        <v>1.110679</v>
      </c>
      <c r="L2520">
        <v>332.92750000000001</v>
      </c>
      <c r="M2520">
        <v>1.9635469999999999E-2</v>
      </c>
      <c r="N2520">
        <v>0</v>
      </c>
      <c r="O2520">
        <v>-0.99978889999999998</v>
      </c>
      <c r="P2520">
        <v>3.3580470000000001E-2</v>
      </c>
      <c r="Q2520">
        <v>1.7238670000000001E-2</v>
      </c>
      <c r="R2520">
        <v>-0.9992875</v>
      </c>
      <c r="S2520">
        <v>-8.5556030000000005E-2</v>
      </c>
      <c r="T2520">
        <v>-0.1683576</v>
      </c>
      <c r="U2520">
        <v>-3.0077509999999998</v>
      </c>
      <c r="V2520">
        <v>-1.402316E-2</v>
      </c>
      <c r="W2520">
        <v>2.3265939999999999E-2</v>
      </c>
      <c r="X2520">
        <v>0.99963089999999999</v>
      </c>
      <c r="Y2520">
        <v>4.8011709999999999E-2</v>
      </c>
      <c r="Z2520">
        <v>5.5827439999999999E-2</v>
      </c>
      <c r="AA2520">
        <v>0.99728539999999999</v>
      </c>
      <c r="AB2520">
        <v>22</v>
      </c>
      <c r="AC2520">
        <v>-0.57149999999998602</v>
      </c>
      <c r="AD2520">
        <v>-1.110681196577</v>
      </c>
      <c r="AE2520">
        <v>-19.602499999999999</v>
      </c>
      <c r="AF2520">
        <v>0.95324348814187698</v>
      </c>
      <c r="AG2520">
        <v>-1.110681196577</v>
      </c>
      <c r="AH2520">
        <v>19.524869790497</v>
      </c>
      <c r="AI2520">
        <v>93.251922939043098</v>
      </c>
      <c r="AJ2520">
        <v>87.204923947437095</v>
      </c>
      <c r="AK2520">
        <v>19.579653372927101</v>
      </c>
      <c r="AL2520">
        <v>88.666839465109902</v>
      </c>
      <c r="AM2520">
        <v>90.803711833740294</v>
      </c>
      <c r="AN2520">
        <v>0.99999994460763797</v>
      </c>
    </row>
    <row r="2521" spans="1:40" x14ac:dyDescent="0.25">
      <c r="A2521" t="str">
        <f>"20190312150711455"</f>
        <v>20190312150711455</v>
      </c>
      <c r="B2521" t="str">
        <f>"1552374431452494"</f>
        <v>1552374431452494</v>
      </c>
      <c r="C2521" t="s">
        <v>40</v>
      </c>
      <c r="D2521">
        <v>4.310708</v>
      </c>
      <c r="E2521">
        <v>0.52294580000000002</v>
      </c>
      <c r="F2521" t="s">
        <v>42</v>
      </c>
      <c r="G2521">
        <v>-191.60720000000001</v>
      </c>
      <c r="H2521" s="1">
        <v>-1.9589809999999999E-6</v>
      </c>
      <c r="I2521">
        <v>312.83109999999999</v>
      </c>
      <c r="J2521">
        <v>-191.04560000000001</v>
      </c>
      <c r="K2521">
        <v>1.110638</v>
      </c>
      <c r="L2521">
        <v>332.74130000000002</v>
      </c>
      <c r="M2521">
        <v>2.1526130000000001E-2</v>
      </c>
      <c r="N2521">
        <v>0</v>
      </c>
      <c r="O2521">
        <v>-0.99975000000000003</v>
      </c>
      <c r="P2521">
        <v>3.3925209999999997E-2</v>
      </c>
      <c r="Q2521">
        <v>1.7230240000000001E-2</v>
      </c>
      <c r="R2521">
        <v>-0.99927589999999999</v>
      </c>
      <c r="S2521">
        <v>-8.3190920000000002E-2</v>
      </c>
      <c r="T2521">
        <v>-0.16623540000000001</v>
      </c>
      <c r="U2521">
        <v>-3.0078130000000001</v>
      </c>
      <c r="V2521">
        <v>-1.247496E-2</v>
      </c>
      <c r="W2521">
        <v>2.3252129999999999E-2</v>
      </c>
      <c r="X2521">
        <v>0.99965179999999998</v>
      </c>
      <c r="Y2521">
        <v>4.9117540000000001E-2</v>
      </c>
      <c r="Z2521">
        <v>5.5120679999999998E-2</v>
      </c>
      <c r="AA2521">
        <v>0.99727089999999996</v>
      </c>
      <c r="AB2521">
        <v>22</v>
      </c>
      <c r="AC2521">
        <v>-0.56159999999999799</v>
      </c>
      <c r="AD2521">
        <v>-1.1106399589810001</v>
      </c>
      <c r="AE2521">
        <v>-19.9102</v>
      </c>
      <c r="AF2521">
        <v>0.98699846895489296</v>
      </c>
      <c r="AG2521">
        <v>-1.1106399589810001</v>
      </c>
      <c r="AH2521">
        <v>19.831835736943301</v>
      </c>
      <c r="AI2521">
        <v>93.201426463015594</v>
      </c>
      <c r="AJ2521">
        <v>87.150832300512704</v>
      </c>
      <c r="AK2521">
        <v>19.887418027318301</v>
      </c>
      <c r="AL2521">
        <v>88.667631012743499</v>
      </c>
      <c r="AM2521">
        <v>90.714974411097501</v>
      </c>
      <c r="AN2521">
        <v>1.00000000370988</v>
      </c>
    </row>
    <row r="2522" spans="1:40" x14ac:dyDescent="0.25">
      <c r="A2522" t="str">
        <f>"20190312150711478"</f>
        <v>20190312150711478</v>
      </c>
      <c r="B2522" t="str">
        <f>"1552374431472991"</f>
        <v>1552374431472991</v>
      </c>
      <c r="C2522" t="s">
        <v>40</v>
      </c>
      <c r="D2522">
        <v>5.2328650000000003</v>
      </c>
      <c r="E2522">
        <v>0.52279339999999996</v>
      </c>
      <c r="F2522" t="s">
        <v>42</v>
      </c>
      <c r="G2522">
        <v>-191.6165</v>
      </c>
      <c r="H2522" s="1">
        <v>-1.2626279999999999E-6</v>
      </c>
      <c r="I2522">
        <v>311.3528</v>
      </c>
      <c r="J2522">
        <v>-191.0384</v>
      </c>
      <c r="K2522">
        <v>1.110592</v>
      </c>
      <c r="L2522">
        <v>332.52100000000002</v>
      </c>
      <c r="M2522">
        <v>2.3674130000000002E-2</v>
      </c>
      <c r="N2522">
        <v>0</v>
      </c>
      <c r="O2522">
        <v>-0.99970150000000002</v>
      </c>
      <c r="P2522">
        <v>3.3390830000000003E-2</v>
      </c>
      <c r="Q2522">
        <v>1.6843110000000001E-2</v>
      </c>
      <c r="R2522">
        <v>-0.99930070000000004</v>
      </c>
      <c r="S2522">
        <v>-8.0276490000000006E-2</v>
      </c>
      <c r="T2522">
        <v>-0.15617539999999999</v>
      </c>
      <c r="U2522">
        <v>-3.0075989999999999</v>
      </c>
      <c r="V2522">
        <v>-9.7884830000000006E-3</v>
      </c>
      <c r="W2522">
        <v>2.2864559999999999E-2</v>
      </c>
      <c r="X2522">
        <v>0.99969070000000004</v>
      </c>
      <c r="Y2522">
        <v>5.0304540000000002E-2</v>
      </c>
      <c r="Z2522">
        <v>5.1793239999999997E-2</v>
      </c>
      <c r="AA2522">
        <v>0.99739</v>
      </c>
      <c r="AB2522">
        <v>22</v>
      </c>
      <c r="AC2522">
        <v>-0.57810000000000605</v>
      </c>
      <c r="AD2522">
        <v>-1.110593262628</v>
      </c>
      <c r="AE2522">
        <v>-21.168199999999899</v>
      </c>
      <c r="AF2522">
        <v>1.07612589001541</v>
      </c>
      <c r="AG2522">
        <v>-1.110593262628</v>
      </c>
      <c r="AH2522">
        <v>21.090570159041999</v>
      </c>
      <c r="AI2522">
        <v>93.010404485281995</v>
      </c>
      <c r="AJ2522">
        <v>87.079071486945494</v>
      </c>
      <c r="AK2522">
        <v>21.147189268544199</v>
      </c>
      <c r="AL2522">
        <v>88.689843103237294</v>
      </c>
      <c r="AM2522">
        <v>90.560994357092397</v>
      </c>
      <c r="AN2522">
        <v>1.0000000490849601</v>
      </c>
    </row>
    <row r="2523" spans="1:40" x14ac:dyDescent="0.25">
      <c r="A2523" t="str">
        <f>"20190312150711511"</f>
        <v>20190312150711511</v>
      </c>
      <c r="B2523" t="str">
        <f>"1552374431502270"</f>
        <v>1552374431502270</v>
      </c>
      <c r="C2523" t="s">
        <v>40</v>
      </c>
      <c r="D2523">
        <v>4.3344690000000003</v>
      </c>
      <c r="E2523">
        <v>0.52313520000000002</v>
      </c>
      <c r="F2523" t="s">
        <v>42</v>
      </c>
      <c r="G2523">
        <v>-191.60329999999999</v>
      </c>
      <c r="H2523" s="1">
        <v>-1.308175E-6</v>
      </c>
      <c r="I2523">
        <v>311.45659999999998</v>
      </c>
      <c r="J2523">
        <v>-191.02709999999999</v>
      </c>
      <c r="K2523">
        <v>1.1105240000000001</v>
      </c>
      <c r="L2523">
        <v>332.19330000000002</v>
      </c>
      <c r="M2523">
        <v>2.6684280000000001E-2</v>
      </c>
      <c r="N2523">
        <v>0</v>
      </c>
      <c r="O2523">
        <v>-0.99962600000000001</v>
      </c>
      <c r="P2523">
        <v>3.3178680000000002E-2</v>
      </c>
      <c r="Q2523">
        <v>1.7449470000000002E-2</v>
      </c>
      <c r="R2523">
        <v>-0.9992974</v>
      </c>
      <c r="S2523">
        <v>-8.0642699999999998E-2</v>
      </c>
      <c r="T2523">
        <v>-0.1585655</v>
      </c>
      <c r="U2523">
        <v>-3.0074770000000002</v>
      </c>
      <c r="V2523">
        <v>-6.5640169999999897E-3</v>
      </c>
      <c r="W2523">
        <v>2.3474269999999998E-2</v>
      </c>
      <c r="X2523">
        <v>0.99970289999999995</v>
      </c>
      <c r="Y2523">
        <v>5.3432960000000002E-2</v>
      </c>
      <c r="Z2523">
        <v>5.2575469999999999E-2</v>
      </c>
      <c r="AA2523">
        <v>0.99718640000000003</v>
      </c>
      <c r="AB2523">
        <v>22</v>
      </c>
      <c r="AC2523">
        <v>-0.57620000000000005</v>
      </c>
      <c r="AD2523">
        <v>-1.1105253081749999</v>
      </c>
      <c r="AE2523">
        <v>-20.736699999999999</v>
      </c>
      <c r="AF2523">
        <v>1.12612141780483</v>
      </c>
      <c r="AG2523">
        <v>-1.1105253081749999</v>
      </c>
      <c r="AH2523">
        <v>20.654747962499801</v>
      </c>
      <c r="AI2523">
        <v>93.073052234444702</v>
      </c>
      <c r="AJ2523">
        <v>86.879255727766505</v>
      </c>
      <c r="AK2523">
        <v>20.715212509219501</v>
      </c>
      <c r="AL2523">
        <v>88.654899858977899</v>
      </c>
      <c r="AM2523">
        <v>90.376196834308999</v>
      </c>
      <c r="AN2523">
        <v>1.0000000079697999</v>
      </c>
    </row>
    <row r="2524" spans="1:40" x14ac:dyDescent="0.25">
      <c r="A2524" t="str">
        <f>"20190312150711534"</f>
        <v>20190312150711534</v>
      </c>
      <c r="B2524" t="str">
        <f>"1552374431522766"</f>
        <v>1552374431522766</v>
      </c>
      <c r="C2524" t="s">
        <v>40</v>
      </c>
      <c r="D2524">
        <v>4.5360509999999996</v>
      </c>
      <c r="E2524">
        <v>0.52236000000000005</v>
      </c>
      <c r="F2524" t="s">
        <v>42</v>
      </c>
      <c r="G2524">
        <v>-191.7029</v>
      </c>
      <c r="H2524" s="1">
        <v>-4.0611580000000003E-6</v>
      </c>
      <c r="I2524">
        <v>308.03309999999999</v>
      </c>
      <c r="J2524">
        <v>-191.01859999999999</v>
      </c>
      <c r="K2524">
        <v>1.110479</v>
      </c>
      <c r="L2524">
        <v>331.96140000000003</v>
      </c>
      <c r="M2524">
        <v>2.868805E-2</v>
      </c>
      <c r="N2524">
        <v>0</v>
      </c>
      <c r="O2524">
        <v>-0.99957039999999997</v>
      </c>
      <c r="P2524">
        <v>3.3536959999999998E-2</v>
      </c>
      <c r="Q2524">
        <v>1.822671E-2</v>
      </c>
      <c r="R2524">
        <v>-0.99927140000000003</v>
      </c>
      <c r="S2524">
        <v>-8.4121699999999994E-2</v>
      </c>
      <c r="T2524">
        <v>-0.138233299999999</v>
      </c>
      <c r="U2524">
        <v>-3.007355</v>
      </c>
      <c r="V2524">
        <v>-4.9178870000000001E-3</v>
      </c>
      <c r="W2524">
        <v>2.425511E-2</v>
      </c>
      <c r="X2524">
        <v>0.99969370000000002</v>
      </c>
      <c r="Y2524">
        <v>5.6597460000000002E-2</v>
      </c>
      <c r="Z2524">
        <v>4.5842500000000001E-2</v>
      </c>
      <c r="AA2524">
        <v>0.99734409999999896</v>
      </c>
      <c r="AB2524">
        <v>22</v>
      </c>
      <c r="AC2524">
        <v>-0.68430000000000701</v>
      </c>
      <c r="AD2524">
        <v>-1.1104830611580001</v>
      </c>
      <c r="AE2524">
        <v>-23.9283</v>
      </c>
      <c r="AF2524">
        <v>1.3675439940227001</v>
      </c>
      <c r="AG2524">
        <v>-1.1104830611580001</v>
      </c>
      <c r="AH2524">
        <v>23.8474993275744</v>
      </c>
      <c r="AI2524">
        <v>92.661743635712497</v>
      </c>
      <c r="AJ2524">
        <v>86.717946072906003</v>
      </c>
      <c r="AK2524">
        <v>23.912477357717901</v>
      </c>
      <c r="AL2524">
        <v>88.610148258194798</v>
      </c>
      <c r="AM2524">
        <v>90.281858229411696</v>
      </c>
      <c r="AN2524">
        <v>0.99999999489667302</v>
      </c>
    </row>
    <row r="2525" spans="1:40" x14ac:dyDescent="0.25">
      <c r="A2525" t="str">
        <f>"20190312150711555"</f>
        <v>20190312150711555</v>
      </c>
      <c r="B2525" t="str">
        <f>"1552374431553022"</f>
        <v>1552374431553022</v>
      </c>
      <c r="C2525" t="s">
        <v>40</v>
      </c>
      <c r="D2525">
        <v>4.466145</v>
      </c>
      <c r="E2525">
        <v>0.5222272</v>
      </c>
      <c r="F2525" t="s">
        <v>42</v>
      </c>
      <c r="G2525">
        <v>-191.66480000000001</v>
      </c>
      <c r="H2525" s="1">
        <v>-3.4838270000000001E-6</v>
      </c>
      <c r="I2525">
        <v>306.67739999999998</v>
      </c>
      <c r="J2525">
        <v>-191.0104</v>
      </c>
      <c r="K2525">
        <v>1.1104449999999999</v>
      </c>
      <c r="L2525">
        <v>331.74520000000001</v>
      </c>
      <c r="M2525">
        <v>3.0477629999999999E-2</v>
      </c>
      <c r="N2525">
        <v>0</v>
      </c>
      <c r="O2525">
        <v>-0.99951719999999999</v>
      </c>
      <c r="P2525">
        <v>3.3520309999999998E-2</v>
      </c>
      <c r="Q2525">
        <v>1.8505009999999999E-2</v>
      </c>
      <c r="R2525">
        <v>-0.99926669999999995</v>
      </c>
      <c r="S2525">
        <v>-7.685852E-2</v>
      </c>
      <c r="T2525">
        <v>-0.13207759999999999</v>
      </c>
      <c r="U2525">
        <v>-3.0072019999999999</v>
      </c>
      <c r="V2525">
        <v>-3.1102450000000002E-3</v>
      </c>
      <c r="W2525">
        <v>2.454017E-2</v>
      </c>
      <c r="X2525">
        <v>0.99969399999999997</v>
      </c>
      <c r="Y2525">
        <v>5.5981610000000001E-2</v>
      </c>
      <c r="Z2525">
        <v>4.3806020000000001E-2</v>
      </c>
      <c r="AA2525">
        <v>0.99747030000000003</v>
      </c>
      <c r="AB2525">
        <v>22</v>
      </c>
      <c r="AC2525">
        <v>-0.65440000000000897</v>
      </c>
      <c r="AD2525">
        <v>-1.1104484838269999</v>
      </c>
      <c r="AE2525">
        <v>-25.067799999999998</v>
      </c>
      <c r="AF2525">
        <v>1.41534162939006</v>
      </c>
      <c r="AG2525">
        <v>-1.1104484838269999</v>
      </c>
      <c r="AH2525">
        <v>24.987210485217702</v>
      </c>
      <c r="AI2525">
        <v>92.540521915278902</v>
      </c>
      <c r="AJ2525">
        <v>86.758079799283095</v>
      </c>
      <c r="AK2525">
        <v>25.051885669459899</v>
      </c>
      <c r="AL2525">
        <v>88.593810658167499</v>
      </c>
      <c r="AM2525">
        <v>90.178257883689696</v>
      </c>
      <c r="AN2525">
        <v>0.99999999360179403</v>
      </c>
    </row>
    <row r="2526" spans="1:40" x14ac:dyDescent="0.25">
      <c r="A2526" t="str">
        <f>"20190312150711577"</f>
        <v>20190312150711577</v>
      </c>
      <c r="B2526" t="str">
        <f>"1552374431572542"</f>
        <v>1552374431572542</v>
      </c>
      <c r="C2526" t="s">
        <v>40</v>
      </c>
      <c r="D2526">
        <v>4.3394130000000004</v>
      </c>
      <c r="E2526">
        <v>0.5229644</v>
      </c>
      <c r="F2526" t="s">
        <v>42</v>
      </c>
      <c r="G2526">
        <v>-191.7056</v>
      </c>
      <c r="H2526" s="1">
        <v>-2.4190419999999999E-6</v>
      </c>
      <c r="I2526">
        <v>304.17009999999999</v>
      </c>
      <c r="J2526">
        <v>-191.00210000000001</v>
      </c>
      <c r="K2526">
        <v>1.1104130000000001</v>
      </c>
      <c r="L2526">
        <v>331.53300000000002</v>
      </c>
      <c r="M2526">
        <v>3.2154410000000001E-2</v>
      </c>
      <c r="N2526">
        <v>0</v>
      </c>
      <c r="O2526">
        <v>-0.99946480000000004</v>
      </c>
      <c r="P2526">
        <v>3.4077299999999998E-2</v>
      </c>
      <c r="Q2526">
        <v>1.84139E-2</v>
      </c>
      <c r="R2526">
        <v>-0.99924979999999997</v>
      </c>
      <c r="S2526">
        <v>-7.5805659999999997E-2</v>
      </c>
      <c r="T2526">
        <v>-0.1210889</v>
      </c>
      <c r="U2526">
        <v>-3.0069270000000001</v>
      </c>
      <c r="V2526">
        <v>-1.9876400000000002E-3</v>
      </c>
      <c r="W2526">
        <v>2.4457699999999999E-2</v>
      </c>
      <c r="X2526">
        <v>0.99969889999999995</v>
      </c>
      <c r="Y2526">
        <v>5.7313709999999997E-2</v>
      </c>
      <c r="Z2526">
        <v>4.0166710000000001E-2</v>
      </c>
      <c r="AA2526">
        <v>0.99754790000000004</v>
      </c>
      <c r="AB2526">
        <v>22</v>
      </c>
      <c r="AC2526">
        <v>-0.70349999999999102</v>
      </c>
      <c r="AD2526">
        <v>-1.1104154190419999</v>
      </c>
      <c r="AE2526">
        <v>-27.3629</v>
      </c>
      <c r="AF2526">
        <v>1.58038914970884</v>
      </c>
      <c r="AG2526">
        <v>-1.1104154190419999</v>
      </c>
      <c r="AH2526">
        <v>27.281231796622901</v>
      </c>
      <c r="AI2526">
        <v>92.326900390772806</v>
      </c>
      <c r="AJ2526">
        <v>86.684587314842403</v>
      </c>
      <c r="AK2526">
        <v>27.349520299420799</v>
      </c>
      <c r="AL2526">
        <v>88.598537283107206</v>
      </c>
      <c r="AM2526">
        <v>90.113917533697204</v>
      </c>
      <c r="AN2526">
        <v>1.00000001023163</v>
      </c>
    </row>
    <row r="2527" spans="1:40" x14ac:dyDescent="0.25">
      <c r="A2527" t="str">
        <f>"20190312150711600"</f>
        <v>20190312150711600</v>
      </c>
      <c r="B2527" t="str">
        <f>"1552374431593039"</f>
        <v>1552374431593039</v>
      </c>
      <c r="C2527" t="s">
        <v>40</v>
      </c>
      <c r="D2527">
        <v>4.4050880000000001</v>
      </c>
      <c r="E2527">
        <v>0.5231228</v>
      </c>
      <c r="F2527" t="s">
        <v>42</v>
      </c>
      <c r="G2527">
        <v>-191.75710000000001</v>
      </c>
      <c r="H2527" s="1">
        <v>-1.9721769999999999E-6</v>
      </c>
      <c r="I2527">
        <v>303.09649999999999</v>
      </c>
      <c r="J2527">
        <v>-190.9924</v>
      </c>
      <c r="K2527">
        <v>1.110371</v>
      </c>
      <c r="L2527">
        <v>331.29640000000001</v>
      </c>
      <c r="M2527">
        <v>3.392771E-2</v>
      </c>
      <c r="N2527">
        <v>0</v>
      </c>
      <c r="O2527">
        <v>-0.99940589999999996</v>
      </c>
      <c r="P2527">
        <v>3.5124530000000001E-2</v>
      </c>
      <c r="Q2527">
        <v>1.857116E-2</v>
      </c>
      <c r="R2527">
        <v>-0.9992105</v>
      </c>
      <c r="S2527">
        <v>-7.9849240000000002E-2</v>
      </c>
      <c r="T2527">
        <v>-0.1174269</v>
      </c>
      <c r="U2527">
        <v>-3.0071720000000002</v>
      </c>
      <c r="V2527">
        <v>-1.2592460000000001E-3</v>
      </c>
      <c r="W2527">
        <v>2.4629789999999999E-2</v>
      </c>
      <c r="X2527">
        <v>0.99969580000000002</v>
      </c>
      <c r="Y2527">
        <v>6.0424529999999997E-2</v>
      </c>
      <c r="Z2527">
        <v>3.894301E-2</v>
      </c>
      <c r="AA2527">
        <v>0.99741279999999999</v>
      </c>
      <c r="AB2527">
        <v>22</v>
      </c>
      <c r="AC2527">
        <v>-0.76470000000000404</v>
      </c>
      <c r="AD2527">
        <v>-1.1103729721769999</v>
      </c>
      <c r="AE2527">
        <v>-28.1999</v>
      </c>
      <c r="AF2527">
        <v>1.718373150593</v>
      </c>
      <c r="AG2527">
        <v>-1.1103729721769999</v>
      </c>
      <c r="AH2527">
        <v>28.114163371743501</v>
      </c>
      <c r="AI2527">
        <v>92.257521105331406</v>
      </c>
      <c r="AJ2527">
        <v>86.502360811288099</v>
      </c>
      <c r="AK2527">
        <v>28.1885068159898</v>
      </c>
      <c r="AL2527">
        <v>88.588674199698104</v>
      </c>
      <c r="AM2527">
        <v>90.0721713975488</v>
      </c>
      <c r="AN2527">
        <v>0.99999995239678496</v>
      </c>
    </row>
    <row r="2528" spans="1:40" x14ac:dyDescent="0.25">
      <c r="A2528" t="str">
        <f>"20190312150711622"</f>
        <v>20190312150711622</v>
      </c>
      <c r="B2528" t="str">
        <f>"1552374431612558"</f>
        <v>1552374431612558</v>
      </c>
      <c r="C2528" t="s">
        <v>40</v>
      </c>
      <c r="D2528">
        <v>4.3293119999999998</v>
      </c>
      <c r="E2528">
        <v>0.52360329999999999</v>
      </c>
      <c r="F2528" t="s">
        <v>42</v>
      </c>
      <c r="G2528">
        <v>-191.7936</v>
      </c>
      <c r="H2528" s="1">
        <v>-8.7414049999999998E-7</v>
      </c>
      <c r="I2528">
        <v>300.51429999999999</v>
      </c>
      <c r="J2528">
        <v>-190.983</v>
      </c>
      <c r="K2528">
        <v>1.1103320000000001</v>
      </c>
      <c r="L2528">
        <v>331.07249999999999</v>
      </c>
      <c r="M2528">
        <v>3.5514879999999999E-2</v>
      </c>
      <c r="N2528">
        <v>0</v>
      </c>
      <c r="O2528">
        <v>-0.99935079999999998</v>
      </c>
      <c r="P2528">
        <v>3.6561429999999999E-2</v>
      </c>
      <c r="Q2528">
        <v>1.9556730000000001E-2</v>
      </c>
      <c r="R2528">
        <v>-0.99914020000000003</v>
      </c>
      <c r="S2528">
        <v>-7.8262330000000005E-2</v>
      </c>
      <c r="T2528">
        <v>-0.1084735</v>
      </c>
      <c r="U2528">
        <v>-3.0071409999999998</v>
      </c>
      <c r="V2528">
        <v>-1.1095370000000001E-3</v>
      </c>
      <c r="W2528">
        <v>2.563321E-2</v>
      </c>
      <c r="X2528">
        <v>0.99967079999999997</v>
      </c>
      <c r="Y2528">
        <v>6.1486899999999997E-2</v>
      </c>
      <c r="Z2528">
        <v>3.5974230000000003E-2</v>
      </c>
      <c r="AA2528">
        <v>0.9974594</v>
      </c>
      <c r="AB2528">
        <v>23</v>
      </c>
      <c r="AC2528">
        <v>-0.81059999999999299</v>
      </c>
      <c r="AD2528">
        <v>-1.1103328741405001</v>
      </c>
      <c r="AE2528">
        <v>-30.558199999999999</v>
      </c>
      <c r="AF2528">
        <v>1.8928820286575601</v>
      </c>
      <c r="AG2528">
        <v>-1.1103328741405001</v>
      </c>
      <c r="AH2528">
        <v>30.4699335402583</v>
      </c>
      <c r="AI2528">
        <v>92.082938874263903</v>
      </c>
      <c r="AJ2528">
        <v>86.445185684943894</v>
      </c>
      <c r="AK2528">
        <v>30.548857448578499</v>
      </c>
      <c r="AL2528">
        <v>88.531164369786694</v>
      </c>
      <c r="AM2528">
        <v>90.063592695924797</v>
      </c>
      <c r="AN2528">
        <v>1.0000000004499401</v>
      </c>
    </row>
    <row r="2529" spans="1:40" x14ac:dyDescent="0.25">
      <c r="A2529" t="str">
        <f>"20190312150711644"</f>
        <v>20190312150711644</v>
      </c>
      <c r="B2529" t="str">
        <f>"1552374431633058"</f>
        <v>1552374431633058</v>
      </c>
      <c r="C2529" t="s">
        <v>40</v>
      </c>
      <c r="D2529">
        <v>4.4344429999999999</v>
      </c>
      <c r="E2529">
        <v>0.52389779999999997</v>
      </c>
      <c r="F2529" t="s">
        <v>61</v>
      </c>
      <c r="G2529">
        <v>-192.0001</v>
      </c>
      <c r="H2529" s="1">
        <v>2.416629E-6</v>
      </c>
      <c r="I2529">
        <v>291.7552</v>
      </c>
      <c r="J2529">
        <v>-190.9735</v>
      </c>
      <c r="K2529">
        <v>1.110287</v>
      </c>
      <c r="L2529">
        <v>330.85129999999998</v>
      </c>
      <c r="M2529">
        <v>3.6998540000000003E-2</v>
      </c>
      <c r="N2529">
        <v>0</v>
      </c>
      <c r="O2529">
        <v>-0.99929659999999998</v>
      </c>
      <c r="P2529">
        <v>3.8043449999999999E-2</v>
      </c>
      <c r="Q2529">
        <v>2.042008E-2</v>
      </c>
      <c r="R2529">
        <v>-0.9990675</v>
      </c>
      <c r="S2529">
        <v>-7.778931E-2</v>
      </c>
      <c r="T2529">
        <v>-8.4921360000000001E-2</v>
      </c>
      <c r="U2529">
        <v>-3.0071110000000001</v>
      </c>
      <c r="V2529">
        <v>-1.108082E-3</v>
      </c>
      <c r="W2529">
        <v>2.651649E-2</v>
      </c>
      <c r="X2529">
        <v>0.99964770000000003</v>
      </c>
      <c r="Y2529">
        <v>6.2818680000000002E-2</v>
      </c>
      <c r="Z2529">
        <v>2.8167350000000001E-2</v>
      </c>
      <c r="AA2529">
        <v>0.99762740000000005</v>
      </c>
      <c r="AB2529">
        <v>23</v>
      </c>
      <c r="AC2529">
        <v>-1.0266</v>
      </c>
      <c r="AD2529">
        <v>-1.110284583371</v>
      </c>
      <c r="AE2529">
        <v>-39.0960999999999</v>
      </c>
      <c r="AF2529">
        <v>2.4704317420524999</v>
      </c>
      <c r="AG2529">
        <v>-1.110284583371</v>
      </c>
      <c r="AH2529">
        <v>38.999915684366798</v>
      </c>
      <c r="AI2529">
        <v>91.627447128249301</v>
      </c>
      <c r="AJ2529">
        <v>86.3754678416676</v>
      </c>
      <c r="AK2529">
        <v>39.093851028466503</v>
      </c>
      <c r="AL2529">
        <v>88.480538844287395</v>
      </c>
      <c r="AM2529">
        <v>90.063510770796</v>
      </c>
      <c r="AN2529">
        <v>0.99999993810146204</v>
      </c>
    </row>
    <row r="2530" spans="1:40" x14ac:dyDescent="0.25">
      <c r="A2530" t="str">
        <f>"20190312150711667"</f>
        <v>20190312150711667</v>
      </c>
      <c r="B2530" t="str">
        <f>"1552374431662334"</f>
        <v>1552374431662334</v>
      </c>
      <c r="C2530" t="s">
        <v>40</v>
      </c>
      <c r="D2530">
        <v>4.3782740000000002</v>
      </c>
      <c r="E2530">
        <v>0.52425929999999998</v>
      </c>
      <c r="F2530" t="s">
        <v>61</v>
      </c>
      <c r="G2530">
        <v>-192.2073</v>
      </c>
      <c r="H2530" s="1">
        <v>3.8185220000000001E-6</v>
      </c>
      <c r="I2530">
        <v>281.80849999999998</v>
      </c>
      <c r="J2530">
        <v>-190.96350000000001</v>
      </c>
      <c r="K2530">
        <v>1.110241</v>
      </c>
      <c r="L2530">
        <v>330.62650000000002</v>
      </c>
      <c r="M2530">
        <v>3.8417720000000002E-2</v>
      </c>
      <c r="N2530">
        <v>0</v>
      </c>
      <c r="O2530">
        <v>-0.99924299999999999</v>
      </c>
      <c r="P2530">
        <v>3.905633E-2</v>
      </c>
      <c r="Q2530">
        <v>2.1401420000000001E-2</v>
      </c>
      <c r="R2530">
        <v>-0.99900770000000005</v>
      </c>
      <c r="S2530">
        <v>-7.5653079999999998E-2</v>
      </c>
      <c r="T2530">
        <v>-6.8076849999999994E-2</v>
      </c>
      <c r="U2530">
        <v>-3.00705</v>
      </c>
      <c r="V2530">
        <v>-7.0194020000000003E-4</v>
      </c>
      <c r="W2530">
        <v>2.7524159999999999E-2</v>
      </c>
      <c r="X2530">
        <v>0.99962090000000003</v>
      </c>
      <c r="Y2530">
        <v>6.3531900000000002E-2</v>
      </c>
      <c r="Z2530">
        <v>2.2581779999999999E-2</v>
      </c>
      <c r="AA2530">
        <v>0.99772430000000001</v>
      </c>
      <c r="AB2530">
        <v>23</v>
      </c>
      <c r="AC2530">
        <v>-1.24379999999999</v>
      </c>
      <c r="AD2530">
        <v>-1.1102371814779901</v>
      </c>
      <c r="AE2530">
        <v>-48.817999999999998</v>
      </c>
      <c r="AF2530">
        <v>3.11678217531334</v>
      </c>
      <c r="AG2530">
        <v>-1.1102371814779901</v>
      </c>
      <c r="AH2530">
        <v>48.708998020459603</v>
      </c>
      <c r="AI2530">
        <v>91.303067869787199</v>
      </c>
      <c r="AJ2530">
        <v>86.338759935667298</v>
      </c>
      <c r="AK2530">
        <v>48.821239700407297</v>
      </c>
      <c r="AL2530">
        <v>88.422782622510994</v>
      </c>
      <c r="AM2530">
        <v>90.0402334568236</v>
      </c>
      <c r="AN2530">
        <v>1.00000000791028</v>
      </c>
    </row>
    <row r="2531" spans="1:40" x14ac:dyDescent="0.25">
      <c r="A2531" t="str">
        <f>"20190312150711689"</f>
        <v>20190312150711689</v>
      </c>
      <c r="B2531" t="str">
        <f>"1552374431682831"</f>
        <v>1552374431682831</v>
      </c>
      <c r="C2531" t="s">
        <v>40</v>
      </c>
      <c r="D2531">
        <v>4.507498</v>
      </c>
      <c r="E2531">
        <v>0.5247058</v>
      </c>
      <c r="F2531" t="s">
        <v>61</v>
      </c>
      <c r="G2531">
        <v>-192.11619999999999</v>
      </c>
      <c r="H2531" s="1">
        <v>3.5826830000000002E-6</v>
      </c>
      <c r="I2531">
        <v>284.69110000000001</v>
      </c>
      <c r="J2531">
        <v>-190.9529</v>
      </c>
      <c r="K2531">
        <v>1.110204</v>
      </c>
      <c r="L2531">
        <v>330.39060000000001</v>
      </c>
      <c r="M2531">
        <v>3.9822389999999999E-2</v>
      </c>
      <c r="N2531">
        <v>0</v>
      </c>
      <c r="O2531">
        <v>-0.99918790000000002</v>
      </c>
      <c r="P2531">
        <v>4.0446830000000003E-2</v>
      </c>
      <c r="Q2531">
        <v>2.2555100000000002E-2</v>
      </c>
      <c r="R2531">
        <v>-0.99892709999999996</v>
      </c>
      <c r="S2531">
        <v>-7.5469969999999997E-2</v>
      </c>
      <c r="T2531">
        <v>-7.2690009999999999E-2</v>
      </c>
      <c r="U2531">
        <v>-3.0075069999999999</v>
      </c>
      <c r="V2531">
        <v>-6.8857100000000002E-4</v>
      </c>
      <c r="W2531">
        <v>2.8709109999999999E-2</v>
      </c>
      <c r="X2531">
        <v>0.99958760000000002</v>
      </c>
      <c r="Y2531">
        <v>6.4869360000000001E-2</v>
      </c>
      <c r="Z2531">
        <v>2.4104469999999999E-2</v>
      </c>
      <c r="AA2531">
        <v>0.99760260000000001</v>
      </c>
      <c r="AB2531">
        <v>23</v>
      </c>
      <c r="AC2531">
        <v>-1.16329999999999</v>
      </c>
      <c r="AD2531">
        <v>-1.1102004173169999</v>
      </c>
      <c r="AE2531">
        <v>-45.6995</v>
      </c>
      <c r="AF2531">
        <v>2.9805169550075101</v>
      </c>
      <c r="AG2531">
        <v>-1.1102004173169999</v>
      </c>
      <c r="AH2531">
        <v>45.590033724574297</v>
      </c>
      <c r="AI2531">
        <v>91.392010517943405</v>
      </c>
      <c r="AJ2531">
        <v>86.259525303816204</v>
      </c>
      <c r="AK2531">
        <v>45.700844645296399</v>
      </c>
      <c r="AL2531">
        <v>88.354863167157305</v>
      </c>
      <c r="AM2531">
        <v>90.039468482757002</v>
      </c>
      <c r="AN2531">
        <v>1.0000000286003801</v>
      </c>
    </row>
    <row r="2532" spans="1:40" x14ac:dyDescent="0.25">
      <c r="A2532" t="str">
        <f>"20190312150711711"</f>
        <v>20190312150711711</v>
      </c>
      <c r="B2532" t="str">
        <f>"1552374431702354"</f>
        <v>1552374431702354</v>
      </c>
      <c r="C2532" t="s">
        <v>40</v>
      </c>
      <c r="D2532">
        <v>4.369014</v>
      </c>
      <c r="E2532">
        <v>0.52477879999999999</v>
      </c>
      <c r="F2532" t="s">
        <v>61</v>
      </c>
      <c r="G2532">
        <v>-192.07579999999999</v>
      </c>
      <c r="H2532" s="1">
        <v>3.5456540000000002E-6</v>
      </c>
      <c r="I2532">
        <v>285.19670000000002</v>
      </c>
      <c r="J2532">
        <v>-190.94229999999999</v>
      </c>
      <c r="K2532">
        <v>1.1101829999999999</v>
      </c>
      <c r="L2532">
        <v>330.1617</v>
      </c>
      <c r="M2532">
        <v>4.1121369999999997E-2</v>
      </c>
      <c r="N2532">
        <v>0</v>
      </c>
      <c r="O2532">
        <v>-0.99913510000000005</v>
      </c>
      <c r="P2532">
        <v>4.1448289999999999E-2</v>
      </c>
      <c r="Q2532">
        <v>2.3370470000000001E-2</v>
      </c>
      <c r="R2532">
        <v>-0.99886730000000001</v>
      </c>
      <c r="S2532">
        <v>-7.473755E-2</v>
      </c>
      <c r="T2532">
        <v>-7.3889969999999999E-2</v>
      </c>
      <c r="U2532">
        <v>-3.0079039999999999</v>
      </c>
      <c r="V2532">
        <v>-3.9066079999999998E-4</v>
      </c>
      <c r="W2532">
        <v>2.9558950000000001E-2</v>
      </c>
      <c r="X2532">
        <v>0.99956299999999998</v>
      </c>
      <c r="Y2532">
        <v>6.5920380000000001E-2</v>
      </c>
      <c r="Z2532">
        <v>2.4496210000000001E-2</v>
      </c>
      <c r="AA2532">
        <v>0.99752410000000002</v>
      </c>
      <c r="AB2532">
        <v>23</v>
      </c>
      <c r="AC2532">
        <v>-1.13349999999999</v>
      </c>
      <c r="AD2532">
        <v>-1.110179454346</v>
      </c>
      <c r="AE2532">
        <v>-44.964999999999897</v>
      </c>
      <c r="AF2532">
        <v>2.9797835254251201</v>
      </c>
      <c r="AG2532">
        <v>-1.110179454346</v>
      </c>
      <c r="AH2532">
        <v>44.853028785612103</v>
      </c>
      <c r="AI2532">
        <v>91.414749311909105</v>
      </c>
      <c r="AJ2532">
        <v>86.199175059150207</v>
      </c>
      <c r="AK2532">
        <v>44.965606851483699</v>
      </c>
      <c r="AL2532">
        <v>88.306150259040294</v>
      </c>
      <c r="AM2532">
        <v>90.022392999662301</v>
      </c>
      <c r="AN2532">
        <v>1.00000003755498</v>
      </c>
    </row>
    <row r="2533" spans="1:40" x14ac:dyDescent="0.25">
      <c r="A2533" t="str">
        <f>"20190312150711734"</f>
        <v>20190312150711734</v>
      </c>
      <c r="B2533" t="str">
        <f>"1552374431722850"</f>
        <v>1552374431722850</v>
      </c>
      <c r="C2533" t="s">
        <v>40</v>
      </c>
      <c r="D2533">
        <v>4.469417</v>
      </c>
      <c r="E2533">
        <v>0.52476149999999999</v>
      </c>
      <c r="F2533" t="s">
        <v>61</v>
      </c>
      <c r="G2533">
        <v>-191.99600000000001</v>
      </c>
      <c r="H2533" s="1">
        <v>3.4675089999999999E-6</v>
      </c>
      <c r="I2533">
        <v>286.2525</v>
      </c>
      <c r="J2533">
        <v>-190.93109999999999</v>
      </c>
      <c r="K2533">
        <v>1.1101719999999999</v>
      </c>
      <c r="L2533">
        <v>329.92469999999997</v>
      </c>
      <c r="M2533">
        <v>4.2409099999999998E-2</v>
      </c>
      <c r="N2533">
        <v>0</v>
      </c>
      <c r="O2533">
        <v>-0.99908110000000006</v>
      </c>
      <c r="P2533">
        <v>4.1671060000000003E-2</v>
      </c>
      <c r="Q2533">
        <v>2.4432619999999999E-2</v>
      </c>
      <c r="R2533">
        <v>-0.99883270000000002</v>
      </c>
      <c r="S2533">
        <v>-7.2189329999999996E-2</v>
      </c>
      <c r="T2533">
        <v>-7.6058860000000006E-2</v>
      </c>
      <c r="U2533">
        <v>-3.0082399999999998</v>
      </c>
      <c r="V2533">
        <v>6.7341370000000001E-4</v>
      </c>
      <c r="W2533">
        <v>3.0658040000000001E-2</v>
      </c>
      <c r="X2533">
        <v>0.99952969999999997</v>
      </c>
      <c r="Y2533">
        <v>6.6358769999999997E-2</v>
      </c>
      <c r="Z2533">
        <v>2.5209840000000001E-2</v>
      </c>
      <c r="AA2533">
        <v>0.99747730000000001</v>
      </c>
      <c r="AB2533">
        <v>23</v>
      </c>
      <c r="AC2533">
        <v>-1.06489999999999</v>
      </c>
      <c r="AD2533">
        <v>-1.110168532491</v>
      </c>
      <c r="AE2533">
        <v>-43.672199999999897</v>
      </c>
      <c r="AF2533">
        <v>2.91419414797992</v>
      </c>
      <c r="AG2533">
        <v>-1.110168532491</v>
      </c>
      <c r="AH2533">
        <v>43.5596140338846</v>
      </c>
      <c r="AI2533">
        <v>91.456680146984198</v>
      </c>
      <c r="AJ2533">
        <v>86.172542221301001</v>
      </c>
      <c r="AK2533">
        <v>43.671100014582301</v>
      </c>
      <c r="AL2533">
        <v>88.243148402500793</v>
      </c>
      <c r="AM2533">
        <v>89.961398088482596</v>
      </c>
      <c r="AN2533">
        <v>0.99999999504237103</v>
      </c>
    </row>
    <row r="2534" spans="1:40" x14ac:dyDescent="0.25">
      <c r="A2534" t="str">
        <f>"20190312150711757"</f>
        <v>20190312150711757</v>
      </c>
      <c r="B2534" t="str">
        <f>"1552374431752664"</f>
        <v>1552374431752664</v>
      </c>
      <c r="C2534" t="s">
        <v>40</v>
      </c>
      <c r="D2534">
        <v>4.4026059999999996</v>
      </c>
      <c r="E2534">
        <v>0.5250437</v>
      </c>
      <c r="F2534" t="s">
        <v>61</v>
      </c>
      <c r="G2534">
        <v>-191.91229999999999</v>
      </c>
      <c r="H2534" s="1">
        <v>3.2860879999999999E-6</v>
      </c>
      <c r="I2534">
        <v>288.49740000000003</v>
      </c>
      <c r="J2534">
        <v>-190.9194</v>
      </c>
      <c r="K2534">
        <v>1.110169</v>
      </c>
      <c r="L2534">
        <v>329.68419999999998</v>
      </c>
      <c r="M2534">
        <v>4.3662369999999999E-2</v>
      </c>
      <c r="N2534">
        <v>0</v>
      </c>
      <c r="O2534">
        <v>-0.999027</v>
      </c>
      <c r="P2534">
        <v>4.1388220000000003E-2</v>
      </c>
      <c r="Q2534">
        <v>2.564E-2</v>
      </c>
      <c r="R2534">
        <v>-0.99881470000000006</v>
      </c>
      <c r="S2534">
        <v>-7.1258539999999995E-2</v>
      </c>
      <c r="T2534">
        <v>-8.0620529999999996E-2</v>
      </c>
      <c r="U2534">
        <v>-3.0084529999999998</v>
      </c>
      <c r="V2534">
        <v>2.2084409999999998E-3</v>
      </c>
      <c r="W2534">
        <v>3.1902930000000003E-2</v>
      </c>
      <c r="X2534">
        <v>0.9994885</v>
      </c>
      <c r="Y2534">
        <v>6.7299369999999997E-2</v>
      </c>
      <c r="Z2534">
        <v>2.6715940000000001E-2</v>
      </c>
      <c r="AA2534">
        <v>0.99737509999999996</v>
      </c>
      <c r="AB2534">
        <v>23</v>
      </c>
      <c r="AC2534">
        <v>-0.99289999999999101</v>
      </c>
      <c r="AD2534">
        <v>-1.110165713912</v>
      </c>
      <c r="AE2534">
        <v>-41.186799999999899</v>
      </c>
      <c r="AF2534">
        <v>2.7882765153593301</v>
      </c>
      <c r="AG2534">
        <v>-1.110165713912</v>
      </c>
      <c r="AH2534">
        <v>41.074342417787697</v>
      </c>
      <c r="AI2534">
        <v>91.544671844155999</v>
      </c>
      <c r="AJ2534">
        <v>86.116511008406704</v>
      </c>
      <c r="AK2534">
        <v>41.183838564321903</v>
      </c>
      <c r="AL2534">
        <v>88.171786483690099</v>
      </c>
      <c r="AM2534">
        <v>89.873401101981599</v>
      </c>
      <c r="AN2534">
        <v>0.99999996789324197</v>
      </c>
    </row>
    <row r="2535" spans="1:40" x14ac:dyDescent="0.25">
      <c r="A2535" t="str">
        <f>"20190312150711778"</f>
        <v>20190312150711778</v>
      </c>
      <c r="B2535" t="str">
        <f>"1552374431773161"</f>
        <v>1552374431773161</v>
      </c>
      <c r="C2535" t="s">
        <v>40</v>
      </c>
      <c r="D2535">
        <v>4.2844899999999999</v>
      </c>
      <c r="E2535">
        <v>0.52525719999999898</v>
      </c>
      <c r="F2535" t="s">
        <v>61</v>
      </c>
      <c r="G2535">
        <v>-191.90389999999999</v>
      </c>
      <c r="H2535" s="1">
        <v>3.08455E-6</v>
      </c>
      <c r="I2535">
        <v>289.91399999999999</v>
      </c>
      <c r="J2535">
        <v>-190.90889999999999</v>
      </c>
      <c r="K2535">
        <v>1.1101700000000001</v>
      </c>
      <c r="L2535">
        <v>329.47</v>
      </c>
      <c r="M2535">
        <v>4.4737640000000002E-2</v>
      </c>
      <c r="N2535">
        <v>0</v>
      </c>
      <c r="O2535">
        <v>-0.99897919999999996</v>
      </c>
      <c r="P2535">
        <v>4.0866430000000002E-2</v>
      </c>
      <c r="Q2535">
        <v>2.7241600000000001E-2</v>
      </c>
      <c r="R2535">
        <v>-0.99879370000000001</v>
      </c>
      <c r="S2535">
        <v>-7.4478150000000007E-2</v>
      </c>
      <c r="T2535">
        <v>-8.3989739999999993E-2</v>
      </c>
      <c r="U2535">
        <v>-3.0088200000000001</v>
      </c>
      <c r="V2535">
        <v>3.8030360000000001E-3</v>
      </c>
      <c r="W2535">
        <v>3.3537119999999997E-2</v>
      </c>
      <c r="X2535">
        <v>0.99943020000000005</v>
      </c>
      <c r="Y2535">
        <v>6.9436139999999993E-2</v>
      </c>
      <c r="Z2535">
        <v>2.7823799999999999E-2</v>
      </c>
      <c r="AA2535">
        <v>0.99719829999999998</v>
      </c>
      <c r="AB2535">
        <v>23</v>
      </c>
      <c r="AC2535">
        <v>-0.99500000000000399</v>
      </c>
      <c r="AD2535">
        <v>-1.11016691545</v>
      </c>
      <c r="AE2535">
        <v>-39.555999999999997</v>
      </c>
      <c r="AF2535">
        <v>2.7615066063180298</v>
      </c>
      <c r="AG2535">
        <v>-1.11016691545</v>
      </c>
      <c r="AH2535">
        <v>39.440831743260901</v>
      </c>
      <c r="AI2535">
        <v>91.608380615571406</v>
      </c>
      <c r="AJ2535">
        <v>85.994889743988097</v>
      </c>
      <c r="AK2535">
        <v>39.552972049102898</v>
      </c>
      <c r="AL2535">
        <v>88.0781041094519</v>
      </c>
      <c r="AM2535">
        <v>89.781978911128107</v>
      </c>
      <c r="AN2535">
        <v>0.99999996308637495</v>
      </c>
    </row>
    <row r="2536" spans="1:40" x14ac:dyDescent="0.25">
      <c r="A2536" t="str">
        <f>"20190312150711801"</f>
        <v>20190312150711801</v>
      </c>
      <c r="B2536" t="str">
        <f>"1552374431792680"</f>
        <v>1552374431792680</v>
      </c>
      <c r="C2536" t="s">
        <v>40</v>
      </c>
      <c r="D2536">
        <v>4.3683639999999997</v>
      </c>
      <c r="E2536">
        <v>0.52550819999999998</v>
      </c>
      <c r="F2536" t="s">
        <v>61</v>
      </c>
      <c r="G2536">
        <v>-191.9725</v>
      </c>
      <c r="H2536" s="1">
        <v>3.2867600000000002E-6</v>
      </c>
      <c r="I2536">
        <v>288.36759999999998</v>
      </c>
      <c r="J2536">
        <v>-190.89660000000001</v>
      </c>
      <c r="K2536">
        <v>1.110168</v>
      </c>
      <c r="L2536">
        <v>329.22430000000003</v>
      </c>
      <c r="M2536">
        <v>4.5934030000000001E-2</v>
      </c>
      <c r="N2536">
        <v>0</v>
      </c>
      <c r="O2536">
        <v>-0.99892460000000005</v>
      </c>
      <c r="P2536">
        <v>4.019151E-2</v>
      </c>
      <c r="Q2536">
        <v>2.9153479999999999E-2</v>
      </c>
      <c r="R2536">
        <v>-0.99876690000000001</v>
      </c>
      <c r="S2536">
        <v>-7.7865599999999993E-2</v>
      </c>
      <c r="T2536">
        <v>-8.1274150000000003E-2</v>
      </c>
      <c r="U2536">
        <v>-3.009064</v>
      </c>
      <c r="V2536">
        <v>5.6711469999999996E-3</v>
      </c>
      <c r="W2536">
        <v>3.5485280000000001E-2</v>
      </c>
      <c r="X2536">
        <v>0.99935410000000002</v>
      </c>
      <c r="Y2536">
        <v>7.1751239999999994E-2</v>
      </c>
      <c r="Z2536">
        <v>2.6917880000000002E-2</v>
      </c>
      <c r="AA2536">
        <v>0.99705929999999998</v>
      </c>
      <c r="AB2536">
        <v>23</v>
      </c>
      <c r="AC2536">
        <v>-1.0758999999999901</v>
      </c>
      <c r="AD2536">
        <v>-1.1101647132400001</v>
      </c>
      <c r="AE2536">
        <v>-40.856699999999996</v>
      </c>
      <c r="AF2536">
        <v>2.9493383964397402</v>
      </c>
      <c r="AG2536">
        <v>-1.1101647132400001</v>
      </c>
      <c r="AH2536">
        <v>40.734097420396502</v>
      </c>
      <c r="AI2536">
        <v>91.557075294989403</v>
      </c>
      <c r="AJ2536">
        <v>85.858745337157501</v>
      </c>
      <c r="AK2536">
        <v>40.855816664479804</v>
      </c>
      <c r="AL2536">
        <v>87.966416269552496</v>
      </c>
      <c r="AM2536">
        <v>89.674860692346002</v>
      </c>
      <c r="AN2536">
        <v>0.99999999209589197</v>
      </c>
    </row>
    <row r="2537" spans="1:40" x14ac:dyDescent="0.25">
      <c r="A2537" t="str">
        <f>"20190312150711823"</f>
        <v>20190312150711823</v>
      </c>
      <c r="B2537" t="str">
        <f>"1552374431813176"</f>
        <v>1552374431813176</v>
      </c>
      <c r="C2537" t="s">
        <v>40</v>
      </c>
      <c r="D2537">
        <v>4.3479710000000003</v>
      </c>
      <c r="E2537">
        <v>0.52612139999999996</v>
      </c>
      <c r="F2537" t="s">
        <v>61</v>
      </c>
      <c r="G2537">
        <v>-192.11349999999999</v>
      </c>
      <c r="H2537" s="1">
        <v>3.596294E-6</v>
      </c>
      <c r="I2537">
        <v>284.54079999999999</v>
      </c>
      <c r="J2537">
        <v>-190.8845</v>
      </c>
      <c r="K2537">
        <v>1.1101620000000001</v>
      </c>
      <c r="L2537">
        <v>328.98910000000001</v>
      </c>
      <c r="M2537">
        <v>4.7048569999999998E-2</v>
      </c>
      <c r="N2537">
        <v>0</v>
      </c>
      <c r="O2537">
        <v>-0.99887280000000001</v>
      </c>
      <c r="P2537">
        <v>3.9163320000000001E-2</v>
      </c>
      <c r="Q2537">
        <v>3.0686640000000001E-2</v>
      </c>
      <c r="R2537">
        <v>-0.99876200000000004</v>
      </c>
      <c r="S2537">
        <v>-8.1954959999999993E-2</v>
      </c>
      <c r="T2537">
        <v>-7.4762700000000001E-2</v>
      </c>
      <c r="U2537">
        <v>-3.0091549999999998</v>
      </c>
      <c r="V2537">
        <v>7.8117250000000003E-3</v>
      </c>
      <c r="W2537">
        <v>3.7052080000000001E-2</v>
      </c>
      <c r="X2537">
        <v>0.99928280000000003</v>
      </c>
      <c r="Y2537">
        <v>7.4218640000000002E-2</v>
      </c>
      <c r="Z2537">
        <v>2.4757310000000001E-2</v>
      </c>
      <c r="AA2537">
        <v>0.99693469999999995</v>
      </c>
      <c r="AB2537">
        <v>23</v>
      </c>
      <c r="AC2537">
        <v>-1.2289999999999801</v>
      </c>
      <c r="AD2537">
        <v>-1.1101584037059999</v>
      </c>
      <c r="AE2537">
        <v>-44.448300000000003</v>
      </c>
      <c r="AF2537">
        <v>3.3168417433209498</v>
      </c>
      <c r="AG2537">
        <v>-1.1101584037059999</v>
      </c>
      <c r="AH2537">
        <v>44.313629666127298</v>
      </c>
      <c r="AI2537">
        <v>91.431089450515103</v>
      </c>
      <c r="AJ2537">
        <v>85.719436052857205</v>
      </c>
      <c r="AK2537">
        <v>44.451452901094598</v>
      </c>
      <c r="AL2537">
        <v>87.876586141252801</v>
      </c>
      <c r="AM2537">
        <v>89.552109016317402</v>
      </c>
      <c r="AN2537">
        <v>0.99999999702782005</v>
      </c>
    </row>
    <row r="2538" spans="1:40" x14ac:dyDescent="0.25">
      <c r="A2538" t="str">
        <f>"20190312150711845"</f>
        <v>20190312150711845</v>
      </c>
      <c r="B2538" t="str">
        <f>"1552374431842456"</f>
        <v>1552374431842456</v>
      </c>
      <c r="C2538" t="s">
        <v>40</v>
      </c>
      <c r="D2538">
        <v>4.1085520000000004</v>
      </c>
      <c r="E2538">
        <v>0.56255980000000005</v>
      </c>
      <c r="F2538" t="s">
        <v>61</v>
      </c>
      <c r="G2538">
        <v>-192.3005</v>
      </c>
      <c r="H2538" s="1">
        <v>3.8272270000000001E-6</v>
      </c>
      <c r="I2538">
        <v>281.52</v>
      </c>
      <c r="J2538">
        <v>-190.87270000000001</v>
      </c>
      <c r="K2538">
        <v>1.1101570000000001</v>
      </c>
      <c r="L2538">
        <v>328.76299999999998</v>
      </c>
      <c r="M2538">
        <v>4.8095760000000001E-2</v>
      </c>
      <c r="N2538">
        <v>0</v>
      </c>
      <c r="O2538">
        <v>-0.9988224</v>
      </c>
      <c r="P2538">
        <v>3.780907E-2</v>
      </c>
      <c r="Q2538">
        <v>3.1128989999999999E-2</v>
      </c>
      <c r="R2538">
        <v>-0.99880029999999997</v>
      </c>
      <c r="S2538">
        <v>-8.9767459999999993E-2</v>
      </c>
      <c r="T2538">
        <v>-7.0381399999999997E-2</v>
      </c>
      <c r="U2538">
        <v>-3.00943</v>
      </c>
      <c r="V2538">
        <v>1.0214229999999999E-2</v>
      </c>
      <c r="W2538">
        <v>3.7526209999999997E-2</v>
      </c>
      <c r="X2538">
        <v>0.9992434</v>
      </c>
      <c r="Y2538">
        <v>7.7848189999999998E-2</v>
      </c>
      <c r="Z2538">
        <v>2.329931E-2</v>
      </c>
      <c r="AA2538">
        <v>0.99669300000000005</v>
      </c>
      <c r="AB2538">
        <v>24</v>
      </c>
      <c r="AC2538">
        <v>-1.42779999999999</v>
      </c>
      <c r="AD2538">
        <v>-1.1101531727730001</v>
      </c>
      <c r="AE2538">
        <v>-47.243000000000002</v>
      </c>
      <c r="AF2538">
        <v>3.6963424791901498</v>
      </c>
      <c r="AG2538">
        <v>-1.1101531727730001</v>
      </c>
      <c r="AH2538">
        <v>47.093671254789697</v>
      </c>
      <c r="AI2538">
        <v>91.346261458505296</v>
      </c>
      <c r="AJ2538">
        <v>85.512103535826597</v>
      </c>
      <c r="AK2538">
        <v>47.251552990824401</v>
      </c>
      <c r="AL2538">
        <v>87.849401506264897</v>
      </c>
      <c r="AM2538">
        <v>89.414345005533903</v>
      </c>
      <c r="AN2538">
        <v>0.99999995968750699</v>
      </c>
    </row>
    <row r="2539" spans="1:40" x14ac:dyDescent="0.25">
      <c r="A2539" t="str">
        <f>"20190312150711867"</f>
        <v>20190312150711867</v>
      </c>
      <c r="B2539" t="str">
        <f>"1552374431862953"</f>
        <v>1552374431862953</v>
      </c>
      <c r="C2539" t="s">
        <v>40</v>
      </c>
      <c r="D2539">
        <v>4.4118180000000002</v>
      </c>
      <c r="E2539">
        <v>0.56599370000000004</v>
      </c>
      <c r="F2539" t="s">
        <v>42</v>
      </c>
      <c r="G2539">
        <v>-194.19059999999999</v>
      </c>
      <c r="H2539" s="1">
        <v>-2.4348960000000001E-6</v>
      </c>
      <c r="I2539">
        <v>302.66579999999999</v>
      </c>
      <c r="J2539">
        <v>-190.8603</v>
      </c>
      <c r="K2539">
        <v>1.110155</v>
      </c>
      <c r="L2539">
        <v>328.53</v>
      </c>
      <c r="M2539">
        <v>4.9154780000000002E-2</v>
      </c>
      <c r="N2539">
        <v>0</v>
      </c>
      <c r="O2539">
        <v>-0.99877079999999996</v>
      </c>
      <c r="P2539">
        <v>3.6889209999999999E-2</v>
      </c>
      <c r="Q2539">
        <v>3.157128E-2</v>
      </c>
      <c r="R2539">
        <v>-0.9988205</v>
      </c>
      <c r="S2539">
        <v>-0.38421630000000001</v>
      </c>
      <c r="T2539">
        <v>-0.12855819999999901</v>
      </c>
      <c r="U2539">
        <v>-3.0220950000000002</v>
      </c>
      <c r="V2539">
        <v>1.2193560000000001E-2</v>
      </c>
      <c r="W2539">
        <v>3.7999360000000003E-2</v>
      </c>
      <c r="X2539">
        <v>0.99920339999999996</v>
      </c>
      <c r="Y2539">
        <v>0.17462</v>
      </c>
      <c r="Z2539">
        <v>4.1928880000000002E-2</v>
      </c>
      <c r="AA2539">
        <v>0.98374280000000003</v>
      </c>
      <c r="AB2539">
        <v>24</v>
      </c>
      <c r="AC2539">
        <v>-3.33029999999999</v>
      </c>
      <c r="AD2539">
        <v>-1.1101574348959999</v>
      </c>
      <c r="AE2539">
        <v>-25.864199999999901</v>
      </c>
      <c r="AF2539">
        <v>4.5893317722710796</v>
      </c>
      <c r="AG2539">
        <v>-1.1101574348959999</v>
      </c>
      <c r="AH2539">
        <v>25.622793741081999</v>
      </c>
      <c r="AI2539">
        <v>92.442084914198901</v>
      </c>
      <c r="AJ2539">
        <v>79.845354945096503</v>
      </c>
      <c r="AK2539">
        <v>26.054212226514601</v>
      </c>
      <c r="AL2539">
        <v>87.822272819512705</v>
      </c>
      <c r="AM2539">
        <v>89.300838199854397</v>
      </c>
      <c r="AN2539">
        <v>1.0000000344187201</v>
      </c>
    </row>
    <row r="2540" spans="1:40" x14ac:dyDescent="0.25">
      <c r="A2540" t="str">
        <f>"20190312150711890"</f>
        <v>20190312150711890</v>
      </c>
      <c r="B2540" t="str">
        <f>"1552374431882473"</f>
        <v>1552374431882473</v>
      </c>
      <c r="C2540" t="s">
        <v>40</v>
      </c>
      <c r="D2540">
        <v>4.4461349999999999</v>
      </c>
      <c r="E2540">
        <v>0.56871729999999998</v>
      </c>
      <c r="F2540" t="s">
        <v>61</v>
      </c>
      <c r="G2540">
        <v>-196.53399999999999</v>
      </c>
      <c r="H2540" s="1">
        <v>2.5794179999999999E-6</v>
      </c>
      <c r="I2540">
        <v>287.20319999999998</v>
      </c>
      <c r="J2540">
        <v>-190.84700000000001</v>
      </c>
      <c r="K2540">
        <v>1.1101559999999999</v>
      </c>
      <c r="L2540">
        <v>328.28399999999999</v>
      </c>
      <c r="M2540">
        <v>5.0256809999999999E-2</v>
      </c>
      <c r="N2540">
        <v>0</v>
      </c>
      <c r="O2540">
        <v>-0.99871569999999998</v>
      </c>
      <c r="P2540">
        <v>3.5604660000000003E-2</v>
      </c>
      <c r="Q2540">
        <v>3.2304800000000002E-2</v>
      </c>
      <c r="R2540">
        <v>-0.99884360000000005</v>
      </c>
      <c r="S2540">
        <v>-0.41481020000000002</v>
      </c>
      <c r="T2540">
        <v>-8.1163879999999994E-2</v>
      </c>
      <c r="U2540">
        <v>-3.021423</v>
      </c>
      <c r="V2540">
        <v>1.4579409999999999E-2</v>
      </c>
      <c r="W2540">
        <v>3.876603E-2</v>
      </c>
      <c r="X2540">
        <v>0.99914190000000003</v>
      </c>
      <c r="Y2540">
        <v>0.185585</v>
      </c>
      <c r="Z2540">
        <v>2.644496E-2</v>
      </c>
      <c r="AA2540">
        <v>0.98227229999999999</v>
      </c>
      <c r="AB2540">
        <v>24</v>
      </c>
      <c r="AC2540">
        <v>-5.68700000000001</v>
      </c>
      <c r="AD2540">
        <v>-1.1101534205819901</v>
      </c>
      <c r="AE2540">
        <v>-41.080800000000004</v>
      </c>
      <c r="AF2540">
        <v>7.7389004190004496</v>
      </c>
      <c r="AG2540">
        <v>-1.1101534205819901</v>
      </c>
      <c r="AH2540">
        <v>40.713895459447002</v>
      </c>
      <c r="AI2540">
        <v>91.534447076120202</v>
      </c>
      <c r="AJ2540">
        <v>79.237604713418094</v>
      </c>
      <c r="AK2540">
        <v>41.457741180570999</v>
      </c>
      <c r="AL2540">
        <v>87.778313284623096</v>
      </c>
      <c r="AM2540">
        <v>89.164003250836601</v>
      </c>
      <c r="AN2540">
        <v>0.99999995030675803</v>
      </c>
    </row>
    <row r="2541" spans="1:40" x14ac:dyDescent="0.25">
      <c r="A2541" t="str">
        <f>"20190312150711912"</f>
        <v>20190312150711912</v>
      </c>
      <c r="B2541" t="str">
        <f>"1552374431902972"</f>
        <v>1552374431902972</v>
      </c>
      <c r="C2541" t="s">
        <v>40</v>
      </c>
      <c r="D2541">
        <v>4.3980370000000004</v>
      </c>
      <c r="E2541">
        <v>0.57059969999999904</v>
      </c>
      <c r="F2541" t="s">
        <v>61</v>
      </c>
      <c r="G2541">
        <v>-198.6173</v>
      </c>
      <c r="H2541" s="1">
        <v>4.1273089999999999E-6</v>
      </c>
      <c r="I2541">
        <v>274.98219999999998</v>
      </c>
      <c r="J2541">
        <v>-190.83369999999999</v>
      </c>
      <c r="K2541">
        <v>1.110163</v>
      </c>
      <c r="L2541">
        <v>328.04309999999998</v>
      </c>
      <c r="M2541">
        <v>5.1322489999999998E-2</v>
      </c>
      <c r="N2541">
        <v>0</v>
      </c>
      <c r="O2541">
        <v>-0.99866129999999997</v>
      </c>
      <c r="P2541">
        <v>3.3806610000000001E-2</v>
      </c>
      <c r="Q2541">
        <v>3.2918210000000003E-2</v>
      </c>
      <c r="R2541">
        <v>-0.9988863</v>
      </c>
      <c r="S2541">
        <v>-0.44042969999999998</v>
      </c>
      <c r="T2541">
        <v>-6.2924740000000007E-2</v>
      </c>
      <c r="U2541">
        <v>-3.02121</v>
      </c>
      <c r="V2541">
        <v>1.7442559999999999E-2</v>
      </c>
      <c r="W2541">
        <v>3.9415939999999997E-2</v>
      </c>
      <c r="X2541">
        <v>0.99907060000000003</v>
      </c>
      <c r="Y2541">
        <v>0.19482070000000001</v>
      </c>
      <c r="Z2541">
        <v>2.0474269999999999E-2</v>
      </c>
      <c r="AA2541">
        <v>0.98062519999999997</v>
      </c>
      <c r="AB2541">
        <v>24</v>
      </c>
      <c r="AC2541">
        <v>-7.7835999999999999</v>
      </c>
      <c r="AD2541">
        <v>-1.1101588726909899</v>
      </c>
      <c r="AE2541">
        <v>-53.060899999999997</v>
      </c>
      <c r="AF2541">
        <v>10.4921198664992</v>
      </c>
      <c r="AG2541">
        <v>-1.1101588726909899</v>
      </c>
      <c r="AH2541">
        <v>52.568960770900397</v>
      </c>
      <c r="AI2541">
        <v>91.186407893246596</v>
      </c>
      <c r="AJ2541">
        <v>78.712781810873096</v>
      </c>
      <c r="AK2541">
        <v>53.617279570564499</v>
      </c>
      <c r="AL2541">
        <v>87.741047723604197</v>
      </c>
      <c r="AM2541">
        <v>88.999786852023504</v>
      </c>
      <c r="AN2541">
        <v>0.99999996150489701</v>
      </c>
    </row>
    <row r="2542" spans="1:40" x14ac:dyDescent="0.25">
      <c r="A2542" t="str">
        <f>"20190312150711935"</f>
        <v>20190312150711935</v>
      </c>
      <c r="B2542" t="str">
        <f>"1552374431933225"</f>
        <v>1552374431933225</v>
      </c>
      <c r="C2542" t="s">
        <v>40</v>
      </c>
      <c r="D2542">
        <v>4.3828189999999996</v>
      </c>
      <c r="E2542">
        <v>0.57262449999999998</v>
      </c>
      <c r="F2542" t="s">
        <v>42</v>
      </c>
      <c r="G2542">
        <v>-200.25129999999999</v>
      </c>
      <c r="H2542">
        <v>7.998632E-2</v>
      </c>
      <c r="I2542">
        <v>266.33640000000003</v>
      </c>
      <c r="J2542">
        <v>-190.8201</v>
      </c>
      <c r="K2542">
        <v>1.110171</v>
      </c>
      <c r="L2542">
        <v>327.80119999999999</v>
      </c>
      <c r="M2542">
        <v>5.2380419999999997E-2</v>
      </c>
      <c r="N2542">
        <v>0</v>
      </c>
      <c r="O2542">
        <v>-0.9986062</v>
      </c>
      <c r="P2542">
        <v>3.2807589999999998E-2</v>
      </c>
      <c r="Q2542">
        <v>3.382168E-2</v>
      </c>
      <c r="R2542">
        <v>-0.99888940000000004</v>
      </c>
      <c r="S2542">
        <v>-0.46099849999999998</v>
      </c>
      <c r="T2542">
        <v>-5.0427560000000003E-2</v>
      </c>
      <c r="U2542">
        <v>-3.0205690000000001</v>
      </c>
      <c r="V2542">
        <v>1.949733E-2</v>
      </c>
      <c r="W2542">
        <v>4.0357419999999998E-2</v>
      </c>
      <c r="X2542">
        <v>0.99899510000000002</v>
      </c>
      <c r="Y2542">
        <v>0.2024272</v>
      </c>
      <c r="Z2542">
        <v>1.639032E-2</v>
      </c>
      <c r="AA2542">
        <v>0.97916009999999998</v>
      </c>
      <c r="AB2542">
        <v>24</v>
      </c>
      <c r="AC2542">
        <v>-9.4311999999999898</v>
      </c>
      <c r="AD2542">
        <v>-1.0301846800000001</v>
      </c>
      <c r="AE2542">
        <v>-61.464799999999897</v>
      </c>
      <c r="AF2542">
        <v>12.634404336153001</v>
      </c>
      <c r="AG2542">
        <v>-1.0301846800000001</v>
      </c>
      <c r="AH2542">
        <v>60.869691243683903</v>
      </c>
      <c r="AI2542">
        <v>90.949374165508601</v>
      </c>
      <c r="AJ2542">
        <v>78.273920428225694</v>
      </c>
      <c r="AK2542">
        <v>62.175628388507</v>
      </c>
      <c r="AL2542">
        <v>87.687062105892494</v>
      </c>
      <c r="AM2542">
        <v>88.881903512103307</v>
      </c>
      <c r="AN2542">
        <v>1.00000003852509</v>
      </c>
    </row>
    <row r="2543" spans="1:40" x14ac:dyDescent="0.25">
      <c r="A2543" t="str">
        <f>"20190312150711958"</f>
        <v>20190312150711958</v>
      </c>
      <c r="B2543" t="str">
        <f>"1552374431952745"</f>
        <v>1552374431952745</v>
      </c>
      <c r="C2543" t="s">
        <v>40</v>
      </c>
      <c r="D2543">
        <v>4.4283769999999896</v>
      </c>
      <c r="E2543">
        <v>0.57362290000000005</v>
      </c>
      <c r="F2543" t="s">
        <v>42</v>
      </c>
      <c r="G2543">
        <v>-202.86949999999999</v>
      </c>
      <c r="H2543">
        <v>7.9986249999999995E-2</v>
      </c>
      <c r="I2543">
        <v>251.98509999999999</v>
      </c>
      <c r="J2543">
        <v>-190.80600000000001</v>
      </c>
      <c r="K2543">
        <v>1.1101799999999999</v>
      </c>
      <c r="L2543">
        <v>327.55470000000003</v>
      </c>
      <c r="M2543">
        <v>5.344405E-2</v>
      </c>
      <c r="N2543">
        <v>0</v>
      </c>
      <c r="O2543">
        <v>-0.99854949999999998</v>
      </c>
      <c r="P2543">
        <v>3.2083460000000001E-2</v>
      </c>
      <c r="Q2543">
        <v>3.377571E-2</v>
      </c>
      <c r="R2543">
        <v>-0.99891450000000004</v>
      </c>
      <c r="S2543">
        <v>-0.48004150000000001</v>
      </c>
      <c r="T2543">
        <v>-4.1042090000000003E-2</v>
      </c>
      <c r="U2543">
        <v>-3.0204770000000001</v>
      </c>
      <c r="V2543">
        <v>2.1286090000000001E-2</v>
      </c>
      <c r="W2543">
        <v>4.0353130000000001E-2</v>
      </c>
      <c r="X2543">
        <v>0.99895869999999998</v>
      </c>
      <c r="Y2543">
        <v>0.20950350000000001</v>
      </c>
      <c r="Z2543">
        <v>1.332317E-2</v>
      </c>
      <c r="AA2543">
        <v>0.97771710000000001</v>
      </c>
      <c r="AB2543">
        <v>24</v>
      </c>
      <c r="AC2543">
        <v>-12.063499999999999</v>
      </c>
      <c r="AD2543">
        <v>-1.03019375</v>
      </c>
      <c r="AE2543">
        <v>-75.569599999999994</v>
      </c>
      <c r="AF2543">
        <v>16.082175756152498</v>
      </c>
      <c r="AG2543">
        <v>-1.03019375</v>
      </c>
      <c r="AH2543">
        <v>74.803302586794501</v>
      </c>
      <c r="AI2543">
        <v>90.771405301294294</v>
      </c>
      <c r="AJ2543">
        <v>77.866510996704804</v>
      </c>
      <c r="AK2543">
        <v>76.519486107173094</v>
      </c>
      <c r="AL2543">
        <v>87.687307966313895</v>
      </c>
      <c r="AM2543">
        <v>88.779310310195598</v>
      </c>
      <c r="AN2543">
        <v>0.99999997851698696</v>
      </c>
    </row>
    <row r="2544" spans="1:40" x14ac:dyDescent="0.25">
      <c r="A2544" t="str">
        <f>"20190312150711981"</f>
        <v>20190312150711981</v>
      </c>
      <c r="B2544" t="str">
        <f>"1552374431972265"</f>
        <v>1552374431972265</v>
      </c>
      <c r="C2544" t="s">
        <v>40</v>
      </c>
      <c r="D2544">
        <v>4.3263939999999996</v>
      </c>
      <c r="E2544">
        <v>0.57383790000000001</v>
      </c>
      <c r="F2544" t="s">
        <v>42</v>
      </c>
      <c r="G2544">
        <v>-200.8707</v>
      </c>
      <c r="H2544">
        <v>7.9986600000000005E-2</v>
      </c>
      <c r="I2544">
        <v>265.52800000000002</v>
      </c>
      <c r="J2544">
        <v>-190.79169999999999</v>
      </c>
      <c r="K2544">
        <v>1.1101909999999999</v>
      </c>
      <c r="L2544">
        <v>327.30900000000003</v>
      </c>
      <c r="M2544">
        <v>5.4487210000000001E-2</v>
      </c>
      <c r="N2544">
        <v>0</v>
      </c>
      <c r="O2544">
        <v>-0.99849270000000001</v>
      </c>
      <c r="P2544">
        <v>3.1743149999999998E-2</v>
      </c>
      <c r="Q2544">
        <v>3.4236900000000001E-2</v>
      </c>
      <c r="R2544">
        <v>-0.99890970000000001</v>
      </c>
      <c r="S2544">
        <v>-0.49014279999999999</v>
      </c>
      <c r="T2544">
        <v>-5.0169709999999999E-2</v>
      </c>
      <c r="U2544">
        <v>-3.0206599999999999</v>
      </c>
      <c r="V2544">
        <v>2.2669100000000001E-2</v>
      </c>
      <c r="W2544">
        <v>4.0858169999999999E-2</v>
      </c>
      <c r="X2544">
        <v>0.99890769999999995</v>
      </c>
      <c r="Y2544">
        <v>0.2136943</v>
      </c>
      <c r="Z2544">
        <v>1.6271319999999999E-2</v>
      </c>
      <c r="AA2544">
        <v>0.97676510000000005</v>
      </c>
      <c r="AB2544">
        <v>24</v>
      </c>
      <c r="AC2544">
        <v>-10.079000000000001</v>
      </c>
      <c r="AD2544">
        <v>-1.0302043999999999</v>
      </c>
      <c r="AE2544">
        <v>-61.780999999999999</v>
      </c>
      <c r="AF2544">
        <v>13.426737533786101</v>
      </c>
      <c r="AG2544">
        <v>-1.0302043999999999</v>
      </c>
      <c r="AH2544">
        <v>61.123474549909503</v>
      </c>
      <c r="AI2544">
        <v>90.943117279368906</v>
      </c>
      <c r="AJ2544">
        <v>77.610846477548805</v>
      </c>
      <c r="AK2544">
        <v>62.589278178937299</v>
      </c>
      <c r="AL2544">
        <v>87.658347319228795</v>
      </c>
      <c r="AM2544">
        <v>88.699959114728898</v>
      </c>
      <c r="AN2544">
        <v>0.99999993563492195</v>
      </c>
    </row>
    <row r="2545" spans="1:40" x14ac:dyDescent="0.25">
      <c r="A2545" t="str">
        <f>"20190312150712002"</f>
        <v>20190312150712002</v>
      </c>
      <c r="B2545" t="str">
        <f>"1552374431992760"</f>
        <v>1552374431992760</v>
      </c>
      <c r="C2545" t="s">
        <v>40</v>
      </c>
      <c r="D2545">
        <v>4.3139399999999997</v>
      </c>
      <c r="E2545">
        <v>0.57424039999999998</v>
      </c>
      <c r="F2545" t="s">
        <v>42</v>
      </c>
      <c r="G2545">
        <v>-202.20339999999999</v>
      </c>
      <c r="H2545">
        <v>7.9986100000000004E-2</v>
      </c>
      <c r="I2545">
        <v>257.39999999999998</v>
      </c>
      <c r="J2545">
        <v>-190.7774</v>
      </c>
      <c r="K2545">
        <v>1.110193</v>
      </c>
      <c r="L2545">
        <v>327.06790000000001</v>
      </c>
      <c r="M2545">
        <v>5.5488170000000003E-2</v>
      </c>
      <c r="N2545">
        <v>0</v>
      </c>
      <c r="O2545">
        <v>-0.99843720000000002</v>
      </c>
      <c r="P2545">
        <v>3.2762069999999997E-2</v>
      </c>
      <c r="Q2545">
        <v>3.4804519999999999E-2</v>
      </c>
      <c r="R2545">
        <v>-0.99885710000000005</v>
      </c>
      <c r="S2545">
        <v>-0.49305729999999998</v>
      </c>
      <c r="T2545">
        <v>-4.451132E-2</v>
      </c>
      <c r="U2545">
        <v>-3.020508</v>
      </c>
      <c r="V2545">
        <v>2.2650440000000001E-2</v>
      </c>
      <c r="W2545">
        <v>4.1471809999999998E-2</v>
      </c>
      <c r="X2545">
        <v>0.99888290000000002</v>
      </c>
      <c r="Y2545">
        <v>0.21560370000000001</v>
      </c>
      <c r="Z2545">
        <v>1.4431899999999999E-2</v>
      </c>
      <c r="AA2545">
        <v>0.97637430000000003</v>
      </c>
      <c r="AB2545">
        <v>24</v>
      </c>
      <c r="AC2545">
        <v>-11.425999999999901</v>
      </c>
      <c r="AD2545">
        <v>-1.0302069</v>
      </c>
      <c r="AE2545">
        <v>-69.667900000000003</v>
      </c>
      <c r="AF2545">
        <v>15.2709736553483</v>
      </c>
      <c r="AG2545">
        <v>-1.0302069</v>
      </c>
      <c r="AH2545">
        <v>68.911865127249399</v>
      </c>
      <c r="AI2545">
        <v>90.836204125105198</v>
      </c>
      <c r="AJ2545">
        <v>77.5050870970354</v>
      </c>
      <c r="AK2545">
        <v>70.591140506124106</v>
      </c>
      <c r="AL2545">
        <v>87.623158661612806</v>
      </c>
      <c r="AM2545">
        <v>88.700996633126195</v>
      </c>
      <c r="AN2545">
        <v>1.0000000006846399</v>
      </c>
    </row>
    <row r="2546" spans="1:40" x14ac:dyDescent="0.25">
      <c r="A2546" t="str">
        <f>"20190312150712023"</f>
        <v>20190312150712023</v>
      </c>
      <c r="B2546" t="str">
        <f>"1552374432012284"</f>
        <v>1552374432012284</v>
      </c>
      <c r="C2546" t="s">
        <v>40</v>
      </c>
      <c r="D2546">
        <v>4.4085140000000003</v>
      </c>
      <c r="E2546">
        <v>0.57466319999999904</v>
      </c>
      <c r="F2546" t="s">
        <v>42</v>
      </c>
      <c r="G2546">
        <v>-201.59280000000001</v>
      </c>
      <c r="H2546">
        <v>7.9986539999999995E-2</v>
      </c>
      <c r="I2546">
        <v>260.81580000000002</v>
      </c>
      <c r="J2546">
        <v>-190.76349999999999</v>
      </c>
      <c r="K2546">
        <v>1.110193</v>
      </c>
      <c r="L2546">
        <v>326.83659999999998</v>
      </c>
      <c r="M2546">
        <v>5.6421020000000002E-2</v>
      </c>
      <c r="N2546">
        <v>0</v>
      </c>
      <c r="O2546">
        <v>-0.99838499999999997</v>
      </c>
      <c r="P2546">
        <v>3.2770760000000003E-2</v>
      </c>
      <c r="Q2546">
        <v>3.5497910000000001E-2</v>
      </c>
      <c r="R2546">
        <v>-0.99883259999999996</v>
      </c>
      <c r="S2546">
        <v>-0.49320979999999998</v>
      </c>
      <c r="T2546">
        <v>-4.6980139999999997E-2</v>
      </c>
      <c r="U2546">
        <v>-3.021271</v>
      </c>
      <c r="V2546">
        <v>2.3574189999999998E-2</v>
      </c>
      <c r="W2546">
        <v>4.2214069999999999E-2</v>
      </c>
      <c r="X2546">
        <v>0.99883040000000001</v>
      </c>
      <c r="Y2546">
        <v>0.21652289999999999</v>
      </c>
      <c r="Z2546">
        <v>1.5225539999999999E-2</v>
      </c>
      <c r="AA2546">
        <v>0.97615879999999999</v>
      </c>
      <c r="AB2546">
        <v>24</v>
      </c>
      <c r="AC2546">
        <v>-10.8293</v>
      </c>
      <c r="AD2546">
        <v>-1.03020646</v>
      </c>
      <c r="AE2546">
        <v>-66.020799999999895</v>
      </c>
      <c r="AF2546">
        <v>14.5336456897278</v>
      </c>
      <c r="AG2546">
        <v>-1.03020646</v>
      </c>
      <c r="AH2546">
        <v>65.2891339973241</v>
      </c>
      <c r="AI2546">
        <v>90.882408188580897</v>
      </c>
      <c r="AJ2546">
        <v>77.4503296117242</v>
      </c>
      <c r="AK2546">
        <v>66.895135850862204</v>
      </c>
      <c r="AL2546">
        <v>87.580592939816597</v>
      </c>
      <c r="AM2546">
        <v>88.647967787286404</v>
      </c>
      <c r="AN2546">
        <v>0.99999996905213995</v>
      </c>
    </row>
    <row r="2547" spans="1:40" x14ac:dyDescent="0.25">
      <c r="A2547" t="str">
        <f>"20190312150712037"</f>
        <v>20190312150712037</v>
      </c>
      <c r="B2547" t="str">
        <f>"1552374432032777"</f>
        <v>1552374432032777</v>
      </c>
      <c r="C2547" t="s">
        <v>40</v>
      </c>
      <c r="D2547">
        <v>4.3262039999999997</v>
      </c>
      <c r="E2547">
        <v>0.574934099999999</v>
      </c>
      <c r="F2547" t="s">
        <v>61</v>
      </c>
      <c r="G2547">
        <v>-200.07210000000001</v>
      </c>
      <c r="H2547">
        <v>8.0002489999999996E-2</v>
      </c>
      <c r="I2547">
        <v>270.20209999999997</v>
      </c>
      <c r="J2547">
        <v>-190.75460000000001</v>
      </c>
      <c r="K2547">
        <v>1.110187</v>
      </c>
      <c r="L2547">
        <v>326.68900000000002</v>
      </c>
      <c r="M2547">
        <v>5.6996680000000001E-2</v>
      </c>
      <c r="N2547">
        <v>0</v>
      </c>
      <c r="O2547">
        <v>-0.99835209999999996</v>
      </c>
      <c r="P2547">
        <v>3.3182080000000003E-2</v>
      </c>
      <c r="Q2547">
        <v>3.6206410000000001E-2</v>
      </c>
      <c r="R2547">
        <v>-0.99879370000000001</v>
      </c>
      <c r="S2547">
        <v>-0.4966583</v>
      </c>
      <c r="T2547">
        <v>-5.4965729999999997E-2</v>
      </c>
      <c r="U2547">
        <v>-3.0217290000000001</v>
      </c>
      <c r="V2547">
        <v>2.3737500000000002E-2</v>
      </c>
      <c r="W2547">
        <v>4.295583E-2</v>
      </c>
      <c r="X2547">
        <v>0.99879490000000004</v>
      </c>
      <c r="Y2547">
        <v>0.21814</v>
      </c>
      <c r="Z2547">
        <v>1.780433E-2</v>
      </c>
      <c r="AA2547">
        <v>0.97575509999999999</v>
      </c>
      <c r="AB2547">
        <v>24</v>
      </c>
      <c r="AC2547">
        <v>-9.3174999999999901</v>
      </c>
      <c r="AD2547">
        <v>-1.03018451</v>
      </c>
      <c r="AE2547">
        <v>-56.486899999999999</v>
      </c>
      <c r="AF2547">
        <v>12.517936540530201</v>
      </c>
      <c r="AG2547">
        <v>-1.03018451</v>
      </c>
      <c r="AH2547">
        <v>55.845907753912698</v>
      </c>
      <c r="AI2547">
        <v>91.031227116106606</v>
      </c>
      <c r="AJ2547">
        <v>77.365905090329207</v>
      </c>
      <c r="AK2547">
        <v>57.240941887917202</v>
      </c>
      <c r="AL2547">
        <v>87.538054614707804</v>
      </c>
      <c r="AM2547">
        <v>88.638556738827106</v>
      </c>
      <c r="AN2547">
        <v>0.99999996225162302</v>
      </c>
    </row>
    <row r="2548" spans="1:40" x14ac:dyDescent="0.25">
      <c r="A2548" t="str">
        <f>"20190312150712058"</f>
        <v>20190312150712058</v>
      </c>
      <c r="B2548" t="str">
        <f>"1552374432052297"</f>
        <v>1552374432052297</v>
      </c>
      <c r="C2548" t="s">
        <v>40</v>
      </c>
      <c r="D2548">
        <v>4.387842</v>
      </c>
      <c r="E2548">
        <v>0.57514699999999996</v>
      </c>
      <c r="F2548" t="s">
        <v>61</v>
      </c>
      <c r="G2548">
        <v>-199.6156</v>
      </c>
      <c r="H2548" s="1">
        <v>4.4931920000000002E-6</v>
      </c>
      <c r="I2548">
        <v>272.88709999999998</v>
      </c>
      <c r="J2548">
        <v>-190.74119999999999</v>
      </c>
      <c r="K2548">
        <v>1.1101810000000001</v>
      </c>
      <c r="L2548">
        <v>326.47059999999999</v>
      </c>
      <c r="M2548">
        <v>5.7826089999999997E-2</v>
      </c>
      <c r="N2548">
        <v>0</v>
      </c>
      <c r="O2548">
        <v>-0.99830379999999996</v>
      </c>
      <c r="P2548">
        <v>3.27596E-2</v>
      </c>
      <c r="Q2548">
        <v>3.8021920000000001E-2</v>
      </c>
      <c r="R2548">
        <v>-0.99873999999999996</v>
      </c>
      <c r="S2548">
        <v>-0.49778749999999999</v>
      </c>
      <c r="T2548">
        <v>-6.236672E-2</v>
      </c>
      <c r="U2548">
        <v>-3.0224299999999999</v>
      </c>
      <c r="V2548">
        <v>2.4985549999999999E-2</v>
      </c>
      <c r="W2548">
        <v>4.4825139999999999E-2</v>
      </c>
      <c r="X2548">
        <v>0.99868230000000002</v>
      </c>
      <c r="Y2548">
        <v>0.21926190000000001</v>
      </c>
      <c r="Z2548">
        <v>2.0191400000000002E-2</v>
      </c>
      <c r="AA2548">
        <v>0.97545709999999997</v>
      </c>
      <c r="AB2548">
        <v>25</v>
      </c>
      <c r="AC2548">
        <v>-8.8743999999999996</v>
      </c>
      <c r="AD2548">
        <v>-1.1101765068079901</v>
      </c>
      <c r="AE2548">
        <v>-53.583500000000001</v>
      </c>
      <c r="AF2548">
        <v>11.9531505374707</v>
      </c>
      <c r="AG2548">
        <v>-1.1101765068079901</v>
      </c>
      <c r="AH2548">
        <v>52.958523393657401</v>
      </c>
      <c r="AI2548">
        <v>91.171462760814293</v>
      </c>
      <c r="AJ2548">
        <v>77.281023834436994</v>
      </c>
      <c r="AK2548">
        <v>54.302076384648998</v>
      </c>
      <c r="AL2548">
        <v>87.430847689012595</v>
      </c>
      <c r="AM2548">
        <v>88.566843538795894</v>
      </c>
      <c r="AN2548">
        <v>0.99999995360905503</v>
      </c>
    </row>
    <row r="2549" spans="1:40" x14ac:dyDescent="0.25">
      <c r="A2549" t="str">
        <f>"20190312150712081"</f>
        <v>20190312150712081</v>
      </c>
      <c r="B2549" t="str">
        <f>"1552374432072793"</f>
        <v>1552374432072793</v>
      </c>
      <c r="C2549" t="s">
        <v>40</v>
      </c>
      <c r="D2549">
        <v>4.0328229999999996</v>
      </c>
      <c r="E2549">
        <v>0.57471930000000004</v>
      </c>
      <c r="F2549" t="s">
        <v>61</v>
      </c>
      <c r="G2549">
        <v>-199.55170000000001</v>
      </c>
      <c r="H2549" s="1">
        <v>4.4023680000000004E-6</v>
      </c>
      <c r="I2549">
        <v>273.2835</v>
      </c>
      <c r="J2549">
        <v>-190.7251</v>
      </c>
      <c r="K2549">
        <v>1.110174</v>
      </c>
      <c r="L2549">
        <v>326.21069999999997</v>
      </c>
      <c r="M2549">
        <v>5.8772249999999998E-2</v>
      </c>
      <c r="N2549">
        <v>0</v>
      </c>
      <c r="O2549">
        <v>-0.99824820000000003</v>
      </c>
      <c r="P2549">
        <v>3.2153859999999999E-2</v>
      </c>
      <c r="Q2549">
        <v>4.0345100000000002E-2</v>
      </c>
      <c r="R2549">
        <v>-0.99866869999999996</v>
      </c>
      <c r="S2549">
        <v>-0.50070190000000003</v>
      </c>
      <c r="T2549">
        <v>-6.309128E-2</v>
      </c>
      <c r="U2549">
        <v>-3.0226139999999999</v>
      </c>
      <c r="V2549">
        <v>2.6532340000000001E-2</v>
      </c>
      <c r="W2549">
        <v>4.7217750000000003E-2</v>
      </c>
      <c r="X2549">
        <v>0.99853219999999998</v>
      </c>
      <c r="Y2549">
        <v>0.2210916</v>
      </c>
      <c r="Z2549">
        <v>2.0417069999999999E-2</v>
      </c>
      <c r="AA2549">
        <v>0.97503930000000005</v>
      </c>
      <c r="AB2549">
        <v>25</v>
      </c>
      <c r="AC2549">
        <v>-8.8266000000000098</v>
      </c>
      <c r="AD2549">
        <v>-1.1101695976320001</v>
      </c>
      <c r="AE2549">
        <v>-52.9271999999999</v>
      </c>
      <c r="AF2549">
        <v>11.916963306607499</v>
      </c>
      <c r="AG2549">
        <v>-1.1101695976320001</v>
      </c>
      <c r="AH2549">
        <v>52.294550210382297</v>
      </c>
      <c r="AI2549">
        <v>91.185769019731893</v>
      </c>
      <c r="AJ2549">
        <v>77.162568484128002</v>
      </c>
      <c r="AK2549">
        <v>53.646681842335099</v>
      </c>
      <c r="AL2549">
        <v>87.293615964463996</v>
      </c>
      <c r="AM2549">
        <v>88.477932425099993</v>
      </c>
      <c r="AN2549">
        <v>1.0000000177088799</v>
      </c>
    </row>
    <row r="2550" spans="1:40" x14ac:dyDescent="0.25">
      <c r="A2550" t="str">
        <f>"20190312150712103"</f>
        <v>20190312150712103</v>
      </c>
      <c r="B2550" t="str">
        <f>"1552374432092313"</f>
        <v>1552374432092313</v>
      </c>
      <c r="C2550" t="s">
        <v>40</v>
      </c>
      <c r="D2550">
        <v>4.3128260000000003</v>
      </c>
      <c r="E2550">
        <v>0.57480129999999996</v>
      </c>
      <c r="F2550" t="s">
        <v>61</v>
      </c>
      <c r="G2550">
        <v>-199.85319999999999</v>
      </c>
      <c r="H2550" s="1">
        <v>4.9536500000000004E-6</v>
      </c>
      <c r="I2550">
        <v>270.94920000000002</v>
      </c>
      <c r="J2550">
        <v>-190.7098</v>
      </c>
      <c r="K2550">
        <v>1.110174</v>
      </c>
      <c r="L2550">
        <v>325.96660000000003</v>
      </c>
      <c r="M2550">
        <v>5.9619859999999997E-2</v>
      </c>
      <c r="N2550">
        <v>0</v>
      </c>
      <c r="O2550">
        <v>-0.99819729999999995</v>
      </c>
      <c r="P2550">
        <v>3.1834290000000001E-2</v>
      </c>
      <c r="Q2550">
        <v>4.3140079999999997E-2</v>
      </c>
      <c r="R2550">
        <v>-0.99856199999999995</v>
      </c>
      <c r="S2550">
        <v>-0.49926759999999898</v>
      </c>
      <c r="T2550">
        <v>-6.0721280000000002E-2</v>
      </c>
      <c r="U2550">
        <v>-3.0225520000000001</v>
      </c>
      <c r="V2550">
        <v>2.7692040000000001E-2</v>
      </c>
      <c r="W2550">
        <v>5.0082050000000003E-2</v>
      </c>
      <c r="X2550">
        <v>0.9983611</v>
      </c>
      <c r="Y2550">
        <v>0.22147500000000001</v>
      </c>
      <c r="Z2550">
        <v>1.964919E-2</v>
      </c>
      <c r="AA2550">
        <v>0.9749681</v>
      </c>
      <c r="AB2550">
        <v>25</v>
      </c>
      <c r="AC2550">
        <v>-9.1433999999999802</v>
      </c>
      <c r="AD2550">
        <v>-1.11016904635</v>
      </c>
      <c r="AE2550">
        <v>-55.017400000000002</v>
      </c>
      <c r="AF2550">
        <v>12.4024281203692</v>
      </c>
      <c r="AG2550">
        <v>-1.11016904635</v>
      </c>
      <c r="AH2550">
        <v>54.352850492575698</v>
      </c>
      <c r="AI2550">
        <v>91.140801733395804</v>
      </c>
      <c r="AJ2550">
        <v>77.146118846660499</v>
      </c>
      <c r="AK2550">
        <v>55.760963543151703</v>
      </c>
      <c r="AL2550">
        <v>87.129308925150099</v>
      </c>
      <c r="AM2550">
        <v>88.411165756751998</v>
      </c>
      <c r="AN2550">
        <v>0.999999973402386</v>
      </c>
    </row>
    <row r="2551" spans="1:40" x14ac:dyDescent="0.25">
      <c r="A2551" t="str">
        <f>"20190312150712116"</f>
        <v>20190312150712116</v>
      </c>
      <c r="B2551" t="str">
        <f>"1552374432112809"</f>
        <v>1552374432112809</v>
      </c>
      <c r="C2551" t="s">
        <v>40</v>
      </c>
      <c r="D2551">
        <v>4.345059</v>
      </c>
      <c r="E2551">
        <v>0.57479139999999995</v>
      </c>
      <c r="F2551" t="s">
        <v>61</v>
      </c>
      <c r="G2551">
        <v>-199.95769999999999</v>
      </c>
      <c r="H2551">
        <v>3.089921E-2</v>
      </c>
      <c r="I2551">
        <v>270.15370000000001</v>
      </c>
      <c r="J2551">
        <v>-190.7004</v>
      </c>
      <c r="K2551">
        <v>1.1101669999999999</v>
      </c>
      <c r="L2551">
        <v>325.81830000000002</v>
      </c>
      <c r="M2551">
        <v>6.0110980000000001E-2</v>
      </c>
      <c r="N2551">
        <v>0</v>
      </c>
      <c r="O2551">
        <v>-0.99816760000000004</v>
      </c>
      <c r="P2551">
        <v>3.1683650000000001E-2</v>
      </c>
      <c r="Q2551">
        <v>4.4368570000000003E-2</v>
      </c>
      <c r="R2551">
        <v>-0.99851290000000004</v>
      </c>
      <c r="S2551">
        <v>-0.50086980000000003</v>
      </c>
      <c r="T2551">
        <v>-5.8453560000000002E-2</v>
      </c>
      <c r="U2551">
        <v>-3.0228269999999999</v>
      </c>
      <c r="V2551">
        <v>2.8330859999999999E-2</v>
      </c>
      <c r="W2551">
        <v>5.1354049999999998E-2</v>
      </c>
      <c r="X2551">
        <v>0.99827860000000002</v>
      </c>
      <c r="Y2551">
        <v>0.2224458</v>
      </c>
      <c r="Z2551">
        <v>1.8910159999999999E-2</v>
      </c>
      <c r="AA2551">
        <v>0.97476169999999995</v>
      </c>
      <c r="AB2551">
        <v>25</v>
      </c>
      <c r="AC2551">
        <v>-9.2572999999999794</v>
      </c>
      <c r="AD2551">
        <v>-1.0792677899999901</v>
      </c>
      <c r="AE2551">
        <v>-55.6646</v>
      </c>
      <c r="AF2551">
        <v>12.582090756544</v>
      </c>
      <c r="AG2551">
        <v>-1.0792677899999901</v>
      </c>
      <c r="AH2551">
        <v>54.987343347286199</v>
      </c>
      <c r="AI2551">
        <v>91.096110764997505</v>
      </c>
      <c r="AJ2551">
        <v>77.111576242793504</v>
      </c>
      <c r="AK2551">
        <v>56.418806750593198</v>
      </c>
      <c r="AL2551">
        <v>87.056334906059604</v>
      </c>
      <c r="AM2551">
        <v>88.374398561103206</v>
      </c>
      <c r="AN2551">
        <v>1.0000000196488501</v>
      </c>
    </row>
    <row r="2552" spans="1:40" x14ac:dyDescent="0.25">
      <c r="A2552" t="str">
        <f>"20190312150712137"</f>
        <v>20190312150712137</v>
      </c>
      <c r="B2552" t="str">
        <f>"1552374432132329"</f>
        <v>1552374432132329</v>
      </c>
      <c r="C2552" t="s">
        <v>40</v>
      </c>
      <c r="D2552">
        <v>4.3303070000000004</v>
      </c>
      <c r="E2552">
        <v>0.57494639999999997</v>
      </c>
      <c r="F2552" t="s">
        <v>61</v>
      </c>
      <c r="G2552">
        <v>-199.95769999999999</v>
      </c>
      <c r="H2552">
        <v>1.345503E-2</v>
      </c>
      <c r="I2552">
        <v>269.99520000000001</v>
      </c>
      <c r="J2552">
        <v>-190.6865</v>
      </c>
      <c r="K2552">
        <v>1.1101570000000001</v>
      </c>
      <c r="L2552">
        <v>325.60059999999999</v>
      </c>
      <c r="M2552">
        <v>6.0808960000000002E-2</v>
      </c>
      <c r="N2552">
        <v>0</v>
      </c>
      <c r="O2552">
        <v>-0.99812489999999998</v>
      </c>
      <c r="P2552">
        <v>3.1697910000000003E-2</v>
      </c>
      <c r="Q2552">
        <v>4.4839150000000001E-2</v>
      </c>
      <c r="R2552">
        <v>-0.99849140000000003</v>
      </c>
      <c r="S2552">
        <v>-0.50131229999999904</v>
      </c>
      <c r="T2552">
        <v>-5.9390070000000003E-2</v>
      </c>
      <c r="U2552">
        <v>-3.02298</v>
      </c>
      <c r="V2552">
        <v>2.901544E-2</v>
      </c>
      <c r="W2552">
        <v>5.1892630000000002E-2</v>
      </c>
      <c r="X2552">
        <v>0.99823110000000004</v>
      </c>
      <c r="Y2552">
        <v>0.2232575</v>
      </c>
      <c r="Z2552">
        <v>1.920877E-2</v>
      </c>
      <c r="AA2552">
        <v>0.97457020000000005</v>
      </c>
      <c r="AB2552">
        <v>25</v>
      </c>
      <c r="AC2552">
        <v>-9.2711999999999897</v>
      </c>
      <c r="AD2552">
        <v>-1.09670197</v>
      </c>
      <c r="AE2552">
        <v>-55.605399999999896</v>
      </c>
      <c r="AF2552">
        <v>12.630651040783</v>
      </c>
      <c r="AG2552">
        <v>-1.09670197</v>
      </c>
      <c r="AH2552">
        <v>54.917922096581499</v>
      </c>
      <c r="AI2552">
        <v>91.114935100337703</v>
      </c>
      <c r="AJ2552">
        <v>77.047702233405104</v>
      </c>
      <c r="AK2552">
        <v>56.362347966805203</v>
      </c>
      <c r="AL2552">
        <v>87.025435390129402</v>
      </c>
      <c r="AM2552">
        <v>88.335060593658397</v>
      </c>
      <c r="AN2552">
        <v>1.00000003490695</v>
      </c>
    </row>
    <row r="2553" spans="1:40" x14ac:dyDescent="0.25">
      <c r="A2553" t="str">
        <f>"20190312150712159"</f>
        <v>20190312150712159</v>
      </c>
      <c r="B2553" t="str">
        <f>"1552374432152825"</f>
        <v>1552374432152825</v>
      </c>
      <c r="C2553" t="s">
        <v>40</v>
      </c>
      <c r="D2553">
        <v>4.4045680000000003</v>
      </c>
      <c r="E2553">
        <v>0.57514580000000004</v>
      </c>
      <c r="F2553" t="s">
        <v>61</v>
      </c>
      <c r="G2553">
        <v>-199.74809999999999</v>
      </c>
      <c r="H2553" s="1">
        <v>4.938559E-6</v>
      </c>
      <c r="I2553">
        <v>271.09429999999998</v>
      </c>
      <c r="J2553">
        <v>-190.66970000000001</v>
      </c>
      <c r="K2553">
        <v>1.1101430000000001</v>
      </c>
      <c r="L2553">
        <v>325.33920000000001</v>
      </c>
      <c r="M2553">
        <v>6.1607660000000002E-2</v>
      </c>
      <c r="N2553">
        <v>0</v>
      </c>
      <c r="O2553">
        <v>-0.99807520000000005</v>
      </c>
      <c r="P2553">
        <v>3.0883710000000002E-2</v>
      </c>
      <c r="Q2553">
        <v>4.3697199999999999E-2</v>
      </c>
      <c r="R2553">
        <v>-0.99856780000000001</v>
      </c>
      <c r="S2553">
        <v>-0.50260930000000004</v>
      </c>
      <c r="T2553">
        <v>-6.1575890000000001E-2</v>
      </c>
      <c r="U2553">
        <v>-3.0232540000000001</v>
      </c>
      <c r="V2553">
        <v>3.0635949999999999E-2</v>
      </c>
      <c r="W2553">
        <v>5.0838790000000002E-2</v>
      </c>
      <c r="X2553">
        <v>0.99823689999999998</v>
      </c>
      <c r="Y2553">
        <v>0.22442770000000001</v>
      </c>
      <c r="Z2553">
        <v>1.9908769999999999E-2</v>
      </c>
      <c r="AA2553">
        <v>0.97428729999999997</v>
      </c>
      <c r="AB2553">
        <v>25</v>
      </c>
      <c r="AC2553">
        <v>-9.0783999999999807</v>
      </c>
      <c r="AD2553">
        <v>-1.1101380614409999</v>
      </c>
      <c r="AE2553">
        <v>-54.244900000000001</v>
      </c>
      <c r="AF2553">
        <v>12.398088569021199</v>
      </c>
      <c r="AG2553">
        <v>-1.1101380614409999</v>
      </c>
      <c r="AH2553">
        <v>53.560718953969101</v>
      </c>
      <c r="AI2553">
        <v>91.156804837197598</v>
      </c>
      <c r="AJ2553">
        <v>76.9668731425826</v>
      </c>
      <c r="AK2553">
        <v>54.988140735496998</v>
      </c>
      <c r="AL2553">
        <v>87.085895763036604</v>
      </c>
      <c r="AM2553">
        <v>88.242140868147303</v>
      </c>
      <c r="AN2553">
        <v>1.00000002626133</v>
      </c>
    </row>
    <row r="2554" spans="1:40" x14ac:dyDescent="0.25">
      <c r="A2554" t="str">
        <f>"20190312150712182"</f>
        <v>20190312150712182</v>
      </c>
      <c r="B2554" t="str">
        <f>"1552374432172344"</f>
        <v>1552374432172344</v>
      </c>
      <c r="C2554" t="s">
        <v>40</v>
      </c>
      <c r="D2554">
        <v>4.449478</v>
      </c>
      <c r="E2554">
        <v>0.5751347</v>
      </c>
      <c r="F2554" t="s">
        <v>61</v>
      </c>
      <c r="G2554">
        <v>-198.58580000000001</v>
      </c>
      <c r="H2554" s="1">
        <v>3.2862369999999999E-6</v>
      </c>
      <c r="I2554">
        <v>278.07749999999999</v>
      </c>
      <c r="J2554">
        <v>-190.65350000000001</v>
      </c>
      <c r="K2554">
        <v>1.1101379999999901</v>
      </c>
      <c r="L2554">
        <v>325.08999999999997</v>
      </c>
      <c r="M2554">
        <v>6.2335160000000001E-2</v>
      </c>
      <c r="N2554">
        <v>0</v>
      </c>
      <c r="O2554">
        <v>-0.99802939999999996</v>
      </c>
      <c r="P2554">
        <v>2.990085E-2</v>
      </c>
      <c r="Q2554">
        <v>4.4175369999999999E-2</v>
      </c>
      <c r="R2554">
        <v>-0.99857640000000003</v>
      </c>
      <c r="S2554">
        <v>-0.50634769999999996</v>
      </c>
      <c r="T2554">
        <v>-7.1009520000000007E-2</v>
      </c>
      <c r="U2554">
        <v>-3.0230709999999998</v>
      </c>
      <c r="V2554">
        <v>3.2347059999999997E-2</v>
      </c>
      <c r="W2554">
        <v>5.1405480000000003E-2</v>
      </c>
      <c r="X2554">
        <v>0.99815390000000004</v>
      </c>
      <c r="Y2554">
        <v>0.2263085</v>
      </c>
      <c r="Z2554">
        <v>2.2949710000000002E-2</v>
      </c>
      <c r="AA2554">
        <v>0.97378529999999996</v>
      </c>
      <c r="AB2554">
        <v>25</v>
      </c>
      <c r="AC2554">
        <v>-7.9322999999999899</v>
      </c>
      <c r="AD2554">
        <v>-1.11013471376299</v>
      </c>
      <c r="AE2554">
        <v>-47.012499999999903</v>
      </c>
      <c r="AF2554">
        <v>10.841602464857999</v>
      </c>
      <c r="AG2554">
        <v>-1.11013471376299</v>
      </c>
      <c r="AH2554">
        <v>46.401437482266999</v>
      </c>
      <c r="AI2554">
        <v>91.334584935444397</v>
      </c>
      <c r="AJ2554">
        <v>76.848881415607096</v>
      </c>
      <c r="AK2554">
        <v>47.664097007175698</v>
      </c>
      <c r="AL2554">
        <v>87.053384323020097</v>
      </c>
      <c r="AM2554">
        <v>88.143871775454798</v>
      </c>
      <c r="AN2554">
        <v>1.00000003187494</v>
      </c>
    </row>
    <row r="2555" spans="1:40" x14ac:dyDescent="0.25">
      <c r="A2555" t="str">
        <f>"20190312150712203"</f>
        <v>20190312150712203</v>
      </c>
      <c r="B2555" t="str">
        <f>"1552374432192855"</f>
        <v>1552374432192855</v>
      </c>
      <c r="C2555" t="s">
        <v>40</v>
      </c>
      <c r="D2555">
        <v>4.3757900000000003</v>
      </c>
      <c r="E2555">
        <v>0.57513210000000003</v>
      </c>
      <c r="F2555" t="s">
        <v>61</v>
      </c>
      <c r="G2555">
        <v>-198.91290000000001</v>
      </c>
      <c r="H2555" s="1">
        <v>3.7646439999999999E-6</v>
      </c>
      <c r="I2555">
        <v>276.05169999999998</v>
      </c>
      <c r="J2555">
        <v>-190.6378</v>
      </c>
      <c r="K2555">
        <v>1.110141</v>
      </c>
      <c r="L2555">
        <v>324.85079999999999</v>
      </c>
      <c r="M2555">
        <v>6.3005839999999994E-2</v>
      </c>
      <c r="N2555">
        <v>0</v>
      </c>
      <c r="O2555">
        <v>-0.9979867</v>
      </c>
      <c r="P2555">
        <v>2.8954730000000001E-2</v>
      </c>
      <c r="Q2555">
        <v>4.4226149999999999E-2</v>
      </c>
      <c r="R2555">
        <v>-0.9986022</v>
      </c>
      <c r="S2555">
        <v>-0.50907899999999995</v>
      </c>
      <c r="T2555">
        <v>-6.8424940000000004E-2</v>
      </c>
      <c r="U2555">
        <v>-3.0225520000000001</v>
      </c>
      <c r="V2555">
        <v>3.3965740000000001E-2</v>
      </c>
      <c r="W2555">
        <v>5.1547389999999998E-2</v>
      </c>
      <c r="X2555">
        <v>0.9980928</v>
      </c>
      <c r="Y2555">
        <v>0.2278491</v>
      </c>
      <c r="Z2555">
        <v>2.2111459999999999E-2</v>
      </c>
      <c r="AA2555">
        <v>0.97344540000000002</v>
      </c>
      <c r="AB2555">
        <v>25</v>
      </c>
      <c r="AC2555">
        <v>-8.2751000000000001</v>
      </c>
      <c r="AD2555">
        <v>-1.110137235356</v>
      </c>
      <c r="AE2555">
        <v>-48.799100000000003</v>
      </c>
      <c r="AF2555">
        <v>11.3276688267274</v>
      </c>
      <c r="AG2555">
        <v>-1.110137235356</v>
      </c>
      <c r="AH2555">
        <v>48.156519902016001</v>
      </c>
      <c r="AI2555">
        <v>91.285514308754898</v>
      </c>
      <c r="AJ2555">
        <v>76.763174561135898</v>
      </c>
      <c r="AK2555">
        <v>49.483319359180001</v>
      </c>
      <c r="AL2555">
        <v>87.045242653409701</v>
      </c>
      <c r="AM2555">
        <v>88.0509399280606</v>
      </c>
      <c r="AN2555">
        <v>1.0000000211606901</v>
      </c>
    </row>
    <row r="2556" spans="1:40" x14ac:dyDescent="0.25">
      <c r="A2556" t="str">
        <f>"20190312150712225"</f>
        <v>20190312150712225</v>
      </c>
      <c r="B2556" t="str">
        <f>"1552374432223097"</f>
        <v>1552374432223097</v>
      </c>
      <c r="C2556" t="s">
        <v>40</v>
      </c>
      <c r="D2556">
        <v>4.3261320000000003</v>
      </c>
      <c r="E2556">
        <v>0.57509699999999997</v>
      </c>
      <c r="F2556" t="s">
        <v>61</v>
      </c>
      <c r="G2556">
        <v>-199.24340000000001</v>
      </c>
      <c r="H2556" s="1">
        <v>4.269194E-6</v>
      </c>
      <c r="I2556">
        <v>274.0446</v>
      </c>
      <c r="J2556">
        <v>-190.6217</v>
      </c>
      <c r="K2556">
        <v>1.1101430000000001</v>
      </c>
      <c r="L2556">
        <v>324.60649999999998</v>
      </c>
      <c r="M2556">
        <v>6.3665799999999995E-2</v>
      </c>
      <c r="N2556">
        <v>0</v>
      </c>
      <c r="O2556">
        <v>-0.99794400000000005</v>
      </c>
      <c r="P2556">
        <v>2.7820859999999999E-2</v>
      </c>
      <c r="Q2556">
        <v>4.4454760000000003E-2</v>
      </c>
      <c r="R2556">
        <v>-0.99862430000000002</v>
      </c>
      <c r="S2556">
        <v>-0.51187130000000003</v>
      </c>
      <c r="T2556">
        <v>-6.6032770000000005E-2</v>
      </c>
      <c r="U2556">
        <v>-3.0220340000000001</v>
      </c>
      <c r="V2556">
        <v>3.5760359999999998E-2</v>
      </c>
      <c r="W2556">
        <v>5.1884060000000003E-2</v>
      </c>
      <c r="X2556">
        <v>0.99801269999999997</v>
      </c>
      <c r="Y2556">
        <v>0.2293975</v>
      </c>
      <c r="Z2556">
        <v>2.1335469999999999E-2</v>
      </c>
      <c r="AA2556">
        <v>0.97309900000000005</v>
      </c>
      <c r="AB2556">
        <v>25</v>
      </c>
      <c r="AC2556">
        <v>-8.6217000000000006</v>
      </c>
      <c r="AD2556">
        <v>-1.110138730806</v>
      </c>
      <c r="AE2556">
        <v>-50.561899999999902</v>
      </c>
      <c r="AF2556">
        <v>11.817823406662001</v>
      </c>
      <c r="AG2556">
        <v>-1.110138730806</v>
      </c>
      <c r="AH2556">
        <v>49.887026442721996</v>
      </c>
      <c r="AI2556">
        <v>91.240475658751393</v>
      </c>
      <c r="AJ2556">
        <v>76.672777144326901</v>
      </c>
      <c r="AK2556">
        <v>51.279711049980897</v>
      </c>
      <c r="AL2556">
        <v>87.025927134714806</v>
      </c>
      <c r="AM2556">
        <v>87.947880315159495</v>
      </c>
      <c r="AN2556">
        <v>1.00000005419535</v>
      </c>
    </row>
    <row r="2557" spans="1:40" x14ac:dyDescent="0.25">
      <c r="A2557" t="str">
        <f>"20190312150712247"</f>
        <v>20190312150712247</v>
      </c>
      <c r="B2557" t="str">
        <f>"1552374432242616"</f>
        <v>1552374432242616</v>
      </c>
      <c r="C2557" t="s">
        <v>40</v>
      </c>
      <c r="D2557">
        <v>4.353027</v>
      </c>
      <c r="E2557">
        <v>0.57508740000000003</v>
      </c>
      <c r="F2557" t="s">
        <v>61</v>
      </c>
      <c r="G2557">
        <v>-198.82419999999999</v>
      </c>
      <c r="H2557" s="1">
        <v>3.6588180000000001E-6</v>
      </c>
      <c r="I2557">
        <v>276.51080000000002</v>
      </c>
      <c r="J2557">
        <v>-190.60480000000001</v>
      </c>
      <c r="K2557">
        <v>1.1101510000000001</v>
      </c>
      <c r="L2557">
        <v>324.35300000000001</v>
      </c>
      <c r="M2557">
        <v>6.4327029999999993E-2</v>
      </c>
      <c r="N2557">
        <v>0</v>
      </c>
      <c r="O2557">
        <v>-0.99790040000000002</v>
      </c>
      <c r="P2557">
        <v>2.6715289999999999E-2</v>
      </c>
      <c r="Q2557">
        <v>4.4499490000000003E-2</v>
      </c>
      <c r="R2557">
        <v>-0.99865230000000005</v>
      </c>
      <c r="S2557">
        <v>-0.51531979999999999</v>
      </c>
      <c r="T2557">
        <v>-6.9744349999999997E-2</v>
      </c>
      <c r="U2557">
        <v>-3.0216059999999998</v>
      </c>
      <c r="V2557">
        <v>3.7528319999999997E-2</v>
      </c>
      <c r="W2557">
        <v>5.2068830000000003E-2</v>
      </c>
      <c r="X2557">
        <v>0.99793810000000005</v>
      </c>
      <c r="Y2557">
        <v>0.2311397</v>
      </c>
      <c r="Z2557">
        <v>2.2528900000000001E-2</v>
      </c>
      <c r="AA2557">
        <v>0.97265970000000002</v>
      </c>
      <c r="AB2557">
        <v>25</v>
      </c>
      <c r="AC2557">
        <v>-8.2193999999999701</v>
      </c>
      <c r="AD2557">
        <v>-1.110147341182</v>
      </c>
      <c r="AE2557">
        <v>-47.842199999999899</v>
      </c>
      <c r="AF2557">
        <v>11.274113261930101</v>
      </c>
      <c r="AG2557">
        <v>-1.110147341182</v>
      </c>
      <c r="AH2557">
        <v>47.189681981000902</v>
      </c>
      <c r="AI2557">
        <v>91.310771109774507</v>
      </c>
      <c r="AJ2557">
        <v>76.563302113080894</v>
      </c>
      <c r="AK2557">
        <v>48.530445520621001</v>
      </c>
      <c r="AL2557">
        <v>87.015326087118297</v>
      </c>
      <c r="AM2557">
        <v>87.846357809272504</v>
      </c>
      <c r="AN2557">
        <v>0.99999999464559997</v>
      </c>
    </row>
    <row r="2558" spans="1:40" x14ac:dyDescent="0.25">
      <c r="A2558" t="str">
        <f>"20190312150712270"</f>
        <v>20190312150712270</v>
      </c>
      <c r="B2558" t="str">
        <f>"1552374432263113"</f>
        <v>1552374432263113</v>
      </c>
      <c r="C2558" t="s">
        <v>40</v>
      </c>
      <c r="D2558">
        <v>4.4109259999999999</v>
      </c>
      <c r="E2558">
        <v>0.57502369999999903</v>
      </c>
      <c r="F2558" t="s">
        <v>61</v>
      </c>
      <c r="G2558">
        <v>-199.07210000000001</v>
      </c>
      <c r="H2558" s="1">
        <v>4.0134880000000003E-6</v>
      </c>
      <c r="I2558">
        <v>275.01889999999997</v>
      </c>
      <c r="J2558">
        <v>-190.58750000000001</v>
      </c>
      <c r="K2558">
        <v>1.110169</v>
      </c>
      <c r="L2558">
        <v>324.09570000000002</v>
      </c>
      <c r="M2558">
        <v>6.4981239999999996E-2</v>
      </c>
      <c r="N2558">
        <v>0</v>
      </c>
      <c r="O2558">
        <v>-0.99785699999999999</v>
      </c>
      <c r="P2558">
        <v>2.5647050000000001E-2</v>
      </c>
      <c r="Q2558">
        <v>4.4457789999999997E-2</v>
      </c>
      <c r="R2558">
        <v>-0.99868230000000002</v>
      </c>
      <c r="S2558">
        <v>-0.51847840000000001</v>
      </c>
      <c r="T2558">
        <v>-6.7978259999999999E-2</v>
      </c>
      <c r="U2558">
        <v>-3.020905</v>
      </c>
      <c r="V2558">
        <v>3.9251769999999998E-2</v>
      </c>
      <c r="W2558">
        <v>5.2189779999999998E-2</v>
      </c>
      <c r="X2558">
        <v>0.99786549999999996</v>
      </c>
      <c r="Y2558">
        <v>0.23280490000000001</v>
      </c>
      <c r="Z2558">
        <v>2.1955949999999998E-2</v>
      </c>
      <c r="AA2558">
        <v>0.97227560000000002</v>
      </c>
      <c r="AB2558">
        <v>25</v>
      </c>
      <c r="AC2558">
        <v>-8.4846000000000004</v>
      </c>
      <c r="AD2558">
        <v>-1.110164986512</v>
      </c>
      <c r="AE2558">
        <v>-49.076799999999999</v>
      </c>
      <c r="AF2558">
        <v>11.6500433600546</v>
      </c>
      <c r="AG2558">
        <v>-1.110164986512</v>
      </c>
      <c r="AH2558">
        <v>48.397666559244698</v>
      </c>
      <c r="AI2558">
        <v>91.277563433903097</v>
      </c>
      <c r="AJ2558">
        <v>76.465538739874802</v>
      </c>
      <c r="AK2558">
        <v>49.792470364185199</v>
      </c>
      <c r="AL2558">
        <v>87.008386789357004</v>
      </c>
      <c r="AM2558">
        <v>87.747389907524607</v>
      </c>
      <c r="AN2558">
        <v>1.00000001533741</v>
      </c>
    </row>
    <row r="2559" spans="1:40" x14ac:dyDescent="0.25">
      <c r="A2559" t="str">
        <f>"20190312150712282"</f>
        <v>20190312150712282</v>
      </c>
      <c r="B2559" t="str">
        <f>"1552374432272873"</f>
        <v>1552374432272873</v>
      </c>
      <c r="C2559" t="s">
        <v>40</v>
      </c>
      <c r="D2559">
        <v>4.4421150000000003</v>
      </c>
      <c r="E2559">
        <v>0.57511060000000003</v>
      </c>
      <c r="F2559" t="s">
        <v>61</v>
      </c>
      <c r="G2559">
        <v>-199.3349</v>
      </c>
      <c r="H2559" s="1">
        <v>4.4164069999999997E-6</v>
      </c>
      <c r="I2559">
        <v>273.41210000000001</v>
      </c>
      <c r="J2559">
        <v>-190.57749999999999</v>
      </c>
      <c r="K2559">
        <v>1.110179</v>
      </c>
      <c r="L2559">
        <v>323.94729999999998</v>
      </c>
      <c r="M2559">
        <v>6.535204E-2</v>
      </c>
      <c r="N2559">
        <v>0</v>
      </c>
      <c r="O2559">
        <v>-0.99783200000000005</v>
      </c>
      <c r="P2559">
        <v>2.5295100000000001E-2</v>
      </c>
      <c r="Q2559">
        <v>4.4607719999999997E-2</v>
      </c>
      <c r="R2559">
        <v>-0.99868469999999998</v>
      </c>
      <c r="S2559">
        <v>-0.52127079999999903</v>
      </c>
      <c r="T2559">
        <v>-6.6156629999999994E-2</v>
      </c>
      <c r="U2559">
        <v>-3.0203250000000001</v>
      </c>
      <c r="V2559">
        <v>3.9974379999999997E-2</v>
      </c>
      <c r="W2559">
        <v>5.2441199999999903E-2</v>
      </c>
      <c r="X2559">
        <v>0.99782360000000003</v>
      </c>
      <c r="Y2559">
        <v>0.23407249999999999</v>
      </c>
      <c r="Z2559">
        <v>2.136615E-2</v>
      </c>
      <c r="AA2559">
        <v>0.97198430000000002</v>
      </c>
      <c r="AB2559">
        <v>25</v>
      </c>
      <c r="AC2559">
        <v>-8.7574000000000094</v>
      </c>
      <c r="AD2559">
        <v>-1.1101745835929999</v>
      </c>
      <c r="AE2559">
        <v>-50.535199999999897</v>
      </c>
      <c r="AF2559">
        <v>12.035716900518199</v>
      </c>
      <c r="AG2559">
        <v>-1.1101745835929999</v>
      </c>
      <c r="AH2559">
        <v>49.831483708569301</v>
      </c>
      <c r="AI2559">
        <v>91.2405961873325</v>
      </c>
      <c r="AJ2559">
        <v>76.421495752731204</v>
      </c>
      <c r="AK2559">
        <v>51.276385768820397</v>
      </c>
      <c r="AL2559">
        <v>86.993961635638001</v>
      </c>
      <c r="AM2559">
        <v>87.705867900132503</v>
      </c>
      <c r="AN2559">
        <v>0.999999983615392</v>
      </c>
    </row>
    <row r="2560" spans="1:40" x14ac:dyDescent="0.25">
      <c r="A2560" t="str">
        <f>"20190312150712305"</f>
        <v>20190312150712305</v>
      </c>
      <c r="B2560" t="str">
        <f>"1552374432292396"</f>
        <v>1552374432292396</v>
      </c>
      <c r="C2560" t="s">
        <v>40</v>
      </c>
      <c r="D2560">
        <v>4.5542999999999996</v>
      </c>
      <c r="E2560">
        <v>0.57516999999999996</v>
      </c>
      <c r="F2560" t="s">
        <v>61</v>
      </c>
      <c r="G2560">
        <v>-199.285</v>
      </c>
      <c r="H2560" s="1">
        <v>4.3600209999999997E-6</v>
      </c>
      <c r="I2560">
        <v>273.66680000000002</v>
      </c>
      <c r="J2560">
        <v>-190.56110000000001</v>
      </c>
      <c r="K2560">
        <v>1.110201</v>
      </c>
      <c r="L2560">
        <v>323.70769999999999</v>
      </c>
      <c r="M2560">
        <v>6.5933530000000004E-2</v>
      </c>
      <c r="N2560">
        <v>0</v>
      </c>
      <c r="O2560">
        <v>-0.99779209999999996</v>
      </c>
      <c r="P2560">
        <v>2.4407680000000001E-2</v>
      </c>
      <c r="Q2560">
        <v>4.429334E-2</v>
      </c>
      <c r="R2560">
        <v>-0.99872079999999996</v>
      </c>
      <c r="S2560">
        <v>-0.52302550000000003</v>
      </c>
      <c r="T2560">
        <v>-6.6683530000000005E-2</v>
      </c>
      <c r="U2560">
        <v>-3.0201419999999999</v>
      </c>
      <c r="V2560">
        <v>4.144523E-2</v>
      </c>
      <c r="W2560">
        <v>5.2315970000000003E-2</v>
      </c>
      <c r="X2560">
        <v>0.99777020000000005</v>
      </c>
      <c r="Y2560">
        <v>0.23519660000000001</v>
      </c>
      <c r="Z2560">
        <v>2.1532240000000001E-2</v>
      </c>
      <c r="AA2560">
        <v>0.9717093</v>
      </c>
      <c r="AB2560">
        <v>25</v>
      </c>
      <c r="AC2560">
        <v>-8.7238999999999791</v>
      </c>
      <c r="AD2560">
        <v>-1.110196639979</v>
      </c>
      <c r="AE2560">
        <v>-50.040899999999901</v>
      </c>
      <c r="AF2560">
        <v>11.998662348246601</v>
      </c>
      <c r="AG2560">
        <v>-1.110196639979</v>
      </c>
      <c r="AH2560">
        <v>49.3332230642119</v>
      </c>
      <c r="AI2560">
        <v>91.252662912425293</v>
      </c>
      <c r="AJ2560">
        <v>76.330130234097894</v>
      </c>
      <c r="AK2560">
        <v>50.783534069912299</v>
      </c>
      <c r="AL2560">
        <v>87.001146758032604</v>
      </c>
      <c r="AM2560">
        <v>87.621423806016907</v>
      </c>
      <c r="AN2560">
        <v>1.0000000199074099</v>
      </c>
    </row>
    <row r="2561" spans="1:40" x14ac:dyDescent="0.25">
      <c r="A2561" t="str">
        <f>"20190312150712325"</f>
        <v>20190312150712325</v>
      </c>
      <c r="B2561" t="str">
        <f>"1552374432322649"</f>
        <v>1552374432322649</v>
      </c>
      <c r="C2561" t="s">
        <v>40</v>
      </c>
      <c r="D2561">
        <v>4.3646120000000002</v>
      </c>
      <c r="E2561">
        <v>0.54728650000000001</v>
      </c>
      <c r="F2561" t="s">
        <v>61</v>
      </c>
      <c r="G2561">
        <v>-199.01499999999999</v>
      </c>
      <c r="H2561" s="1">
        <v>3.9653729999999997E-6</v>
      </c>
      <c r="I2561">
        <v>275.2253</v>
      </c>
      <c r="J2561">
        <v>-190.54509999999999</v>
      </c>
      <c r="K2561">
        <v>1.1102179999999999</v>
      </c>
      <c r="L2561">
        <v>323.47449999999998</v>
      </c>
      <c r="M2561">
        <v>6.6470169999999995E-2</v>
      </c>
      <c r="N2561">
        <v>0</v>
      </c>
      <c r="O2561">
        <v>-0.99775449999999999</v>
      </c>
      <c r="P2561">
        <v>2.3753719999999999E-2</v>
      </c>
      <c r="Q2561">
        <v>4.5076869999999998E-2</v>
      </c>
      <c r="R2561">
        <v>-0.99870130000000001</v>
      </c>
      <c r="S2561">
        <v>-0.52655030000000003</v>
      </c>
      <c r="T2561">
        <v>-6.9148299999999996E-2</v>
      </c>
      <c r="U2561">
        <v>-3.019714</v>
      </c>
      <c r="V2561">
        <v>4.2634369999999998E-2</v>
      </c>
      <c r="W2561">
        <v>5.3330210000000003E-2</v>
      </c>
      <c r="X2561">
        <v>0.99766639999999995</v>
      </c>
      <c r="Y2561">
        <v>0.2368402</v>
      </c>
      <c r="Z2561">
        <v>2.2322850000000002E-2</v>
      </c>
      <c r="AA2561">
        <v>0.97129209999999999</v>
      </c>
      <c r="AB2561">
        <v>25</v>
      </c>
      <c r="AC2561">
        <v>-8.4698999999999902</v>
      </c>
      <c r="AD2561">
        <v>-1.110214034627</v>
      </c>
      <c r="AE2561">
        <v>-48.249199999999902</v>
      </c>
      <c r="AF2561">
        <v>11.6524228027082</v>
      </c>
      <c r="AG2561">
        <v>-1.110214034627</v>
      </c>
      <c r="AH2561">
        <v>47.555044916830198</v>
      </c>
      <c r="AI2561">
        <v>91.298964394045598</v>
      </c>
      <c r="AJ2561">
        <v>76.232066252674301</v>
      </c>
      <c r="AK2561">
        <v>48.974420153969099</v>
      </c>
      <c r="AL2561">
        <v>86.942953851533005</v>
      </c>
      <c r="AM2561">
        <v>87.553005600947401</v>
      </c>
      <c r="AN2561">
        <v>1.0000000232464501</v>
      </c>
    </row>
    <row r="2562" spans="1:40" x14ac:dyDescent="0.25">
      <c r="A2562" t="str">
        <f>"20190312150712339"</f>
        <v>20190312150712339</v>
      </c>
      <c r="B2562" t="str">
        <f>"1552374432332409"</f>
        <v>1552374432332409</v>
      </c>
      <c r="C2562" t="s">
        <v>40</v>
      </c>
      <c r="D2562">
        <v>4.434056</v>
      </c>
      <c r="E2562">
        <v>0.545566199999999</v>
      </c>
      <c r="F2562" t="s">
        <v>61</v>
      </c>
      <c r="G2562">
        <v>-194.167</v>
      </c>
      <c r="H2562" s="1">
        <v>2.9465890000000002E-6</v>
      </c>
      <c r="I2562">
        <v>287.80599999999998</v>
      </c>
      <c r="J2562">
        <v>-190.53399999999999</v>
      </c>
      <c r="K2562">
        <v>1.110233</v>
      </c>
      <c r="L2562">
        <v>323.31310000000002</v>
      </c>
      <c r="M2562">
        <v>6.6824960000000003E-2</v>
      </c>
      <c r="N2562">
        <v>0</v>
      </c>
      <c r="O2562">
        <v>-0.99772939999999999</v>
      </c>
      <c r="P2562">
        <v>2.4081399999999999E-2</v>
      </c>
      <c r="Q2562">
        <v>4.5004349999999999E-2</v>
      </c>
      <c r="R2562">
        <v>-0.99869699999999995</v>
      </c>
      <c r="S2562">
        <v>-0.30619809999999997</v>
      </c>
      <c r="T2562">
        <v>-9.3857410000000002E-2</v>
      </c>
      <c r="U2562">
        <v>-3.0154109999999998</v>
      </c>
      <c r="V2562">
        <v>4.2663649999999997E-2</v>
      </c>
      <c r="W2562">
        <v>5.3442110000000001E-2</v>
      </c>
      <c r="X2562">
        <v>0.99765910000000002</v>
      </c>
      <c r="Y2562">
        <v>0.16723650000000001</v>
      </c>
      <c r="Z2562">
        <v>3.070844E-2</v>
      </c>
      <c r="AA2562">
        <v>0.9854385</v>
      </c>
      <c r="AB2562">
        <v>25</v>
      </c>
      <c r="AC2562">
        <v>-3.63299999999998</v>
      </c>
      <c r="AD2562">
        <v>-1.1102300534109999</v>
      </c>
      <c r="AE2562">
        <v>-35.507100000000001</v>
      </c>
      <c r="AF2562">
        <v>5.9919253016762397</v>
      </c>
      <c r="AG2562">
        <v>-1.1102300534109999</v>
      </c>
      <c r="AH2562">
        <v>35.150932025581703</v>
      </c>
      <c r="AI2562">
        <v>91.783358494096106</v>
      </c>
      <c r="AJ2562">
        <v>80.326186545574799</v>
      </c>
      <c r="AK2562">
        <v>35.675254755354302</v>
      </c>
      <c r="AL2562">
        <v>86.936533113078497</v>
      </c>
      <c r="AM2562">
        <v>87.551309228371196</v>
      </c>
      <c r="AN2562">
        <v>0.999999962982691</v>
      </c>
    </row>
    <row r="2563" spans="1:40" x14ac:dyDescent="0.25">
      <c r="A2563" t="str">
        <f>"20190312150712354"</f>
        <v>20190312150712354</v>
      </c>
      <c r="B2563" t="str">
        <f>"1552374432343145"</f>
        <v>1552374432343145</v>
      </c>
      <c r="C2563" t="s">
        <v>40</v>
      </c>
      <c r="D2563">
        <v>4.3940289999999997</v>
      </c>
      <c r="E2563">
        <v>0.54437979999999997</v>
      </c>
      <c r="F2563" t="s">
        <v>61</v>
      </c>
      <c r="G2563">
        <v>-194.49799999999999</v>
      </c>
      <c r="H2563" s="1">
        <v>3.36623E-6</v>
      </c>
      <c r="I2563">
        <v>282.33429999999998</v>
      </c>
      <c r="J2563">
        <v>-190.52250000000001</v>
      </c>
      <c r="K2563">
        <v>1.1102510000000001</v>
      </c>
      <c r="L2563">
        <v>323.14819999999997</v>
      </c>
      <c r="M2563">
        <v>6.7173629999999998E-2</v>
      </c>
      <c r="N2563">
        <v>0</v>
      </c>
      <c r="O2563">
        <v>-0.99770420000000004</v>
      </c>
      <c r="P2563">
        <v>2.3692250000000002E-2</v>
      </c>
      <c r="Q2563">
        <v>4.4016E-2</v>
      </c>
      <c r="R2563">
        <v>-0.99875020000000003</v>
      </c>
      <c r="S2563">
        <v>-0.2916107</v>
      </c>
      <c r="T2563">
        <v>-8.1672670000000003E-2</v>
      </c>
      <c r="U2563">
        <v>-3.0145569999999999</v>
      </c>
      <c r="V2563">
        <v>4.3406889999999997E-2</v>
      </c>
      <c r="W2563">
        <v>5.2658330000000003E-2</v>
      </c>
      <c r="X2563">
        <v>0.99766869999999996</v>
      </c>
      <c r="Y2563">
        <v>0.1628966</v>
      </c>
      <c r="Z2563">
        <v>2.6747710000000001E-2</v>
      </c>
      <c r="AA2563">
        <v>0.9862805</v>
      </c>
      <c r="AB2563">
        <v>25</v>
      </c>
      <c r="AC2563">
        <v>-3.9754999999999798</v>
      </c>
      <c r="AD2563">
        <v>-1.11024763377</v>
      </c>
      <c r="AE2563">
        <v>-40.813899999999897</v>
      </c>
      <c r="AF2563">
        <v>6.7033254374632296</v>
      </c>
      <c r="AG2563">
        <v>-1.11024763377</v>
      </c>
      <c r="AH2563">
        <v>40.425015398735802</v>
      </c>
      <c r="AI2563">
        <v>91.552014743510796</v>
      </c>
      <c r="AJ2563">
        <v>80.584815475920394</v>
      </c>
      <c r="AK2563">
        <v>40.992061325540298</v>
      </c>
      <c r="AL2563">
        <v>86.981503677406906</v>
      </c>
      <c r="AM2563">
        <v>87.508728014233895</v>
      </c>
      <c r="AN2563">
        <v>0.99999994638877399</v>
      </c>
    </row>
    <row r="2564" spans="1:40" x14ac:dyDescent="0.25">
      <c r="A2564" t="str">
        <f>"20190312150712372"</f>
        <v>20190312150712372</v>
      </c>
      <c r="B2564" t="str">
        <f>"1552374432362665"</f>
        <v>1552374432362665</v>
      </c>
      <c r="C2564" t="s">
        <v>40</v>
      </c>
      <c r="D2564">
        <v>4.415705</v>
      </c>
      <c r="E2564">
        <v>0.5435103</v>
      </c>
      <c r="F2564" t="s">
        <v>61</v>
      </c>
      <c r="G2564">
        <v>-194.43119999999999</v>
      </c>
      <c r="H2564" s="1">
        <v>3.4449670000000002E-6</v>
      </c>
      <c r="I2564">
        <v>281.56920000000002</v>
      </c>
      <c r="J2564">
        <v>-190.5086</v>
      </c>
      <c r="K2564">
        <v>1.110258</v>
      </c>
      <c r="L2564">
        <v>322.94819999999999</v>
      </c>
      <c r="M2564">
        <v>6.7566799999999996E-2</v>
      </c>
      <c r="N2564">
        <v>0</v>
      </c>
      <c r="O2564">
        <v>-0.99767510000000004</v>
      </c>
      <c r="P2564">
        <v>2.3431529999999999E-2</v>
      </c>
      <c r="Q2564">
        <v>3.9275480000000002E-2</v>
      </c>
      <c r="R2564">
        <v>-0.9989538</v>
      </c>
      <c r="S2564">
        <v>-0.2833405</v>
      </c>
      <c r="T2564">
        <v>-8.0481289999999997E-2</v>
      </c>
      <c r="U2564">
        <v>-3.0140380000000002</v>
      </c>
      <c r="V2564">
        <v>4.4080679999999997E-2</v>
      </c>
      <c r="W2564">
        <v>4.819797E-2</v>
      </c>
      <c r="X2564">
        <v>0.99786470000000005</v>
      </c>
      <c r="Y2564">
        <v>0.1606205</v>
      </c>
      <c r="Z2564">
        <v>2.6369650000000001E-2</v>
      </c>
      <c r="AA2564">
        <v>0.98666390000000004</v>
      </c>
      <c r="AB2564">
        <v>25</v>
      </c>
      <c r="AC2564">
        <v>-3.9225999999999801</v>
      </c>
      <c r="AD2564">
        <v>-1.1102545550330001</v>
      </c>
      <c r="AE2564">
        <v>-41.378999999999898</v>
      </c>
      <c r="AF2564">
        <v>6.7048084640517001</v>
      </c>
      <c r="AG2564">
        <v>-1.1102545550330001</v>
      </c>
      <c r="AH2564">
        <v>40.990136385644597</v>
      </c>
      <c r="AI2564">
        <v>91.5311893324631</v>
      </c>
      <c r="AJ2564">
        <v>80.710324041598099</v>
      </c>
      <c r="AK2564">
        <v>41.549710018607101</v>
      </c>
      <c r="AL2564">
        <v>87.237389574207597</v>
      </c>
      <c r="AM2564">
        <v>87.470603004563699</v>
      </c>
      <c r="AN2564">
        <v>1.00000005508373</v>
      </c>
    </row>
    <row r="2565" spans="1:40" x14ac:dyDescent="0.25">
      <c r="A2565" t="str">
        <f>"20190312150712393"</f>
        <v>20190312150712393</v>
      </c>
      <c r="B2565" t="str">
        <f>"1552374432382185"</f>
        <v>1552374432382185</v>
      </c>
      <c r="C2565" t="s">
        <v>40</v>
      </c>
      <c r="D2565">
        <v>4.3852379999999904</v>
      </c>
      <c r="E2565">
        <v>0.54195890000000002</v>
      </c>
      <c r="F2565" t="s">
        <v>61</v>
      </c>
      <c r="G2565">
        <v>-193.89279999999999</v>
      </c>
      <c r="H2565" s="1">
        <v>3.1373999999999998E-6</v>
      </c>
      <c r="I2565">
        <v>286.1798</v>
      </c>
      <c r="J2565">
        <v>-190.49109999999999</v>
      </c>
      <c r="K2565">
        <v>1.1102749999999999</v>
      </c>
      <c r="L2565">
        <v>322.69850000000002</v>
      </c>
      <c r="M2565">
        <v>6.7997340000000003E-2</v>
      </c>
      <c r="N2565">
        <v>0</v>
      </c>
      <c r="O2565">
        <v>-0.99764209999999998</v>
      </c>
      <c r="P2565">
        <v>2.347494E-2</v>
      </c>
      <c r="Q2565">
        <v>3.593623E-2</v>
      </c>
      <c r="R2565">
        <v>-0.99907869999999999</v>
      </c>
      <c r="S2565">
        <v>-0.27734379999999997</v>
      </c>
      <c r="T2565">
        <v>-9.0987559999999995E-2</v>
      </c>
      <c r="U2565">
        <v>-3.013245</v>
      </c>
      <c r="V2565">
        <v>4.4483639999999998E-2</v>
      </c>
      <c r="W2565">
        <v>4.527482E-2</v>
      </c>
      <c r="X2565">
        <v>0.99798370000000003</v>
      </c>
      <c r="Y2565">
        <v>0.15911500000000001</v>
      </c>
      <c r="Z2565">
        <v>2.982199E-2</v>
      </c>
      <c r="AA2565">
        <v>0.98680959999999995</v>
      </c>
      <c r="AB2565">
        <v>25</v>
      </c>
      <c r="AC2565">
        <v>-3.4016999999999999</v>
      </c>
      <c r="AD2565">
        <v>-1.1102718626000001</v>
      </c>
      <c r="AE2565">
        <v>-36.518700000000003</v>
      </c>
      <c r="AF2565">
        <v>5.8717273437184403</v>
      </c>
      <c r="AG2565">
        <v>-1.1102718626000001</v>
      </c>
      <c r="AH2565">
        <v>36.169708432682299</v>
      </c>
      <c r="AI2565">
        <v>91.735503844573401</v>
      </c>
      <c r="AJ2565">
        <v>80.779142885185607</v>
      </c>
      <c r="AK2565">
        <v>36.660028555814101</v>
      </c>
      <c r="AL2565">
        <v>87.4050569468709</v>
      </c>
      <c r="AM2565">
        <v>87.447815124851104</v>
      </c>
      <c r="AN2565">
        <v>1.00000003450968</v>
      </c>
    </row>
    <row r="2566" spans="1:40" x14ac:dyDescent="0.25">
      <c r="A2566" t="str">
        <f>"20190312150712417"</f>
        <v>20190312150712417</v>
      </c>
      <c r="B2566" t="str">
        <f>"1552374432412441"</f>
        <v>1552374432412441</v>
      </c>
      <c r="C2566" t="s">
        <v>40</v>
      </c>
      <c r="D2566">
        <v>4.4019029999999999</v>
      </c>
      <c r="E2566">
        <v>0.54144459999999905</v>
      </c>
      <c r="F2566" t="s">
        <v>61</v>
      </c>
      <c r="G2566">
        <v>-192.76939999999999</v>
      </c>
      <c r="H2566" s="1">
        <v>7.4189809999999898E-7</v>
      </c>
      <c r="I2566">
        <v>296.81220000000002</v>
      </c>
      <c r="J2566">
        <v>-190.4735</v>
      </c>
      <c r="K2566">
        <v>1.110304</v>
      </c>
      <c r="L2566">
        <v>322.44659999999999</v>
      </c>
      <c r="M2566">
        <v>6.8371119999999994E-2</v>
      </c>
      <c r="N2566">
        <v>0</v>
      </c>
      <c r="O2566">
        <v>-0.99761180000000005</v>
      </c>
      <c r="P2566">
        <v>2.3270470000000001E-2</v>
      </c>
      <c r="Q2566">
        <v>3.4762029999999999E-2</v>
      </c>
      <c r="R2566">
        <v>-0.99912509999999999</v>
      </c>
      <c r="S2566">
        <v>-0.26522829999999997</v>
      </c>
      <c r="T2566">
        <v>-0.1292548</v>
      </c>
      <c r="U2566">
        <v>-3.013611</v>
      </c>
      <c r="V2566">
        <v>4.5071479999999997E-2</v>
      </c>
      <c r="W2566">
        <v>4.4585050000000001E-2</v>
      </c>
      <c r="X2566">
        <v>0.99798830000000005</v>
      </c>
      <c r="Y2566">
        <v>0.15549789999999999</v>
      </c>
      <c r="Z2566">
        <v>4.2358010000000001E-2</v>
      </c>
      <c r="AA2566">
        <v>0.98692760000000002</v>
      </c>
      <c r="AB2566">
        <v>25</v>
      </c>
      <c r="AC2566">
        <v>-2.2958999999999801</v>
      </c>
      <c r="AD2566">
        <v>-1.1103032581018999</v>
      </c>
      <c r="AE2566">
        <v>-25.6343999999999</v>
      </c>
      <c r="AF2566">
        <v>4.0357529318071901</v>
      </c>
      <c r="AG2566">
        <v>-1.1103032581018999</v>
      </c>
      <c r="AH2566">
        <v>25.370211620231199</v>
      </c>
      <c r="AI2566">
        <v>92.474819220441006</v>
      </c>
      <c r="AJ2566">
        <v>80.9614359169436</v>
      </c>
      <c r="AK2566">
        <v>25.713181691631601</v>
      </c>
      <c r="AL2566">
        <v>87.444617606191699</v>
      </c>
      <c r="AM2566">
        <v>87.414146034417996</v>
      </c>
      <c r="AN2566">
        <v>0.99999995596489</v>
      </c>
    </row>
    <row r="2567" spans="1:40" x14ac:dyDescent="0.25">
      <c r="A2567" t="str">
        <f>"20190312150712440"</f>
        <v>20190312150712440</v>
      </c>
      <c r="B2567" t="str">
        <f>"1552374432432938"</f>
        <v>1552374432432938</v>
      </c>
      <c r="C2567" t="s">
        <v>40</v>
      </c>
      <c r="D2567">
        <v>4.4113369999999996</v>
      </c>
      <c r="E2567">
        <v>0.54085450000000002</v>
      </c>
      <c r="F2567" t="s">
        <v>61</v>
      </c>
      <c r="G2567">
        <v>-192.67949999999999</v>
      </c>
      <c r="H2567" s="1">
        <v>6.7028359999999997E-7</v>
      </c>
      <c r="I2567">
        <v>297.03730000000002</v>
      </c>
      <c r="J2567">
        <v>-190.45500000000001</v>
      </c>
      <c r="K2567">
        <v>1.1103339999999999</v>
      </c>
      <c r="L2567">
        <v>322.18329999999997</v>
      </c>
      <c r="M2567">
        <v>6.8692429999999999E-2</v>
      </c>
      <c r="N2567">
        <v>0</v>
      </c>
      <c r="O2567">
        <v>-0.99758409999999997</v>
      </c>
      <c r="P2567">
        <v>2.325412E-2</v>
      </c>
      <c r="Q2567">
        <v>3.470765E-2</v>
      </c>
      <c r="R2567">
        <v>-0.99912699999999999</v>
      </c>
      <c r="S2567">
        <v>-0.26161190000000001</v>
      </c>
      <c r="T2567">
        <v>-0.1316717</v>
      </c>
      <c r="U2567">
        <v>-3.013306</v>
      </c>
      <c r="V2567">
        <v>4.5416739999999997E-2</v>
      </c>
      <c r="W2567">
        <v>4.506665E-2</v>
      </c>
      <c r="X2567">
        <v>0.99795100000000003</v>
      </c>
      <c r="Y2567">
        <v>0.1546467</v>
      </c>
      <c r="Z2567">
        <v>4.3156630000000001E-2</v>
      </c>
      <c r="AA2567">
        <v>0.98702679999999998</v>
      </c>
      <c r="AB2567">
        <v>25</v>
      </c>
      <c r="AC2567">
        <v>-2.2244999999999702</v>
      </c>
      <c r="AD2567">
        <v>-1.1103333297164</v>
      </c>
      <c r="AE2567">
        <v>-25.145999999999901</v>
      </c>
      <c r="AF2567">
        <v>3.93905708224663</v>
      </c>
      <c r="AG2567">
        <v>-1.1103333297164</v>
      </c>
      <c r="AH2567">
        <v>24.885638468114099</v>
      </c>
      <c r="AI2567">
        <v>92.523322863112796</v>
      </c>
      <c r="AJ2567">
        <v>81.0054822564842</v>
      </c>
      <c r="AK2567">
        <v>25.219913020586599</v>
      </c>
      <c r="AL2567">
        <v>87.416996153522106</v>
      </c>
      <c r="AM2567">
        <v>87.394267618748003</v>
      </c>
      <c r="AN2567">
        <v>0.99999994080772303</v>
      </c>
    </row>
    <row r="2568" spans="1:40" x14ac:dyDescent="0.25">
      <c r="A2568" t="str">
        <f>"20190312150712462"</f>
        <v>20190312150712462</v>
      </c>
      <c r="B2568" t="str">
        <f>"1552374432452457"</f>
        <v>1552374432452457</v>
      </c>
      <c r="C2568" t="s">
        <v>40</v>
      </c>
      <c r="D2568">
        <v>4.4421249999999999</v>
      </c>
      <c r="E2568">
        <v>0.54034349999999998</v>
      </c>
      <c r="F2568" t="s">
        <v>61</v>
      </c>
      <c r="G2568">
        <v>-192.49889999999999</v>
      </c>
      <c r="H2568" s="1">
        <v>2.7390869999999999E-7</v>
      </c>
      <c r="I2568">
        <v>298.20389999999998</v>
      </c>
      <c r="J2568">
        <v>-190.43780000000001</v>
      </c>
      <c r="K2568">
        <v>1.110349</v>
      </c>
      <c r="L2568">
        <v>321.93720000000002</v>
      </c>
      <c r="M2568">
        <v>6.8910680000000002E-2</v>
      </c>
      <c r="N2568">
        <v>0</v>
      </c>
      <c r="O2568">
        <v>-0.99756409999999995</v>
      </c>
      <c r="P2568">
        <v>2.3857320000000001E-2</v>
      </c>
      <c r="Q2568">
        <v>3.6548209999999998E-2</v>
      </c>
      <c r="R2568">
        <v>-0.99904760000000004</v>
      </c>
      <c r="S2568">
        <v>-0.2568512</v>
      </c>
      <c r="T2568">
        <v>-0.13953409999999999</v>
      </c>
      <c r="U2568">
        <v>-3.013458</v>
      </c>
      <c r="V2568">
        <v>4.5034600000000001E-2</v>
      </c>
      <c r="W2568">
        <v>4.7399700000000003E-2</v>
      </c>
      <c r="X2568">
        <v>0.99786030000000003</v>
      </c>
      <c r="Y2568">
        <v>0.1533011</v>
      </c>
      <c r="Z2568">
        <v>4.573286E-2</v>
      </c>
      <c r="AA2568">
        <v>0.98712069999999996</v>
      </c>
      <c r="AB2568">
        <v>25</v>
      </c>
      <c r="AC2568">
        <v>-2.0610999999999802</v>
      </c>
      <c r="AD2568">
        <v>-1.1103487260913001</v>
      </c>
      <c r="AE2568">
        <v>-23.7333</v>
      </c>
      <c r="AF2568">
        <v>3.6837709070070801</v>
      </c>
      <c r="AG2568">
        <v>-1.1103487260913001</v>
      </c>
      <c r="AH2568">
        <v>23.483819048202299</v>
      </c>
      <c r="AI2568">
        <v>92.674356014581505</v>
      </c>
      <c r="AJ2568">
        <v>81.084990687130897</v>
      </c>
      <c r="AK2568">
        <v>23.796907351115099</v>
      </c>
      <c r="AL2568">
        <v>87.283179297730598</v>
      </c>
      <c r="AM2568">
        <v>87.415928077145793</v>
      </c>
      <c r="AN2568">
        <v>1.0000000125366699</v>
      </c>
    </row>
    <row r="2569" spans="1:40" x14ac:dyDescent="0.25">
      <c r="A2569" t="str">
        <f>"20190312150712494"</f>
        <v>20190312150712494</v>
      </c>
      <c r="B2569" t="str">
        <f>"1552374432482713"</f>
        <v>1552374432482713</v>
      </c>
      <c r="C2569" t="s">
        <v>40</v>
      </c>
      <c r="D2569">
        <v>4.4481799999999998</v>
      </c>
      <c r="E2569">
        <v>0.53989739999999997</v>
      </c>
      <c r="F2569" t="s">
        <v>61</v>
      </c>
      <c r="G2569">
        <v>-192.45509999999999</v>
      </c>
      <c r="H2569" s="1">
        <v>4.4656429999999998E-7</v>
      </c>
      <c r="I2569">
        <v>297.72649999999999</v>
      </c>
      <c r="J2569">
        <v>-190.4127</v>
      </c>
      <c r="K2569">
        <v>1.1103479999999999</v>
      </c>
      <c r="L2569">
        <v>321.57780000000002</v>
      </c>
      <c r="M2569">
        <v>6.9070399999999907E-2</v>
      </c>
      <c r="N2569">
        <v>0</v>
      </c>
      <c r="O2569">
        <v>-0.99754529999999997</v>
      </c>
      <c r="P2569">
        <v>2.487232E-2</v>
      </c>
      <c r="Q2569">
        <v>3.8529830000000001E-2</v>
      </c>
      <c r="R2569">
        <v>-0.99894799999999995</v>
      </c>
      <c r="S2569">
        <v>-0.2511292</v>
      </c>
      <c r="T2569">
        <v>-0.1382254</v>
      </c>
      <c r="U2569">
        <v>-3.0139469999999999</v>
      </c>
      <c r="V2569">
        <v>4.418503E-2</v>
      </c>
      <c r="W2569">
        <v>5.0041099999999998E-2</v>
      </c>
      <c r="X2569">
        <v>0.99776929999999997</v>
      </c>
      <c r="Y2569">
        <v>0.15158679999999999</v>
      </c>
      <c r="Z2569">
        <v>4.530642E-2</v>
      </c>
      <c r="AA2569">
        <v>0.98740510000000004</v>
      </c>
      <c r="AB2569">
        <v>25</v>
      </c>
      <c r="AC2569">
        <v>-2.0423999999999798</v>
      </c>
      <c r="AD2569">
        <v>-1.1103475534356999</v>
      </c>
      <c r="AE2569">
        <v>-23.851299999999998</v>
      </c>
      <c r="AF2569">
        <v>3.67713878788829</v>
      </c>
      <c r="AG2569">
        <v>-1.1103475534356999</v>
      </c>
      <c r="AH2569">
        <v>23.602473405066199</v>
      </c>
      <c r="AI2569">
        <v>92.661361780160803</v>
      </c>
      <c r="AJ2569">
        <v>81.144811176104795</v>
      </c>
      <c r="AK2569">
        <v>23.9129875212545</v>
      </c>
      <c r="AL2569">
        <v>87.131658215917497</v>
      </c>
      <c r="AM2569">
        <v>87.464380993782797</v>
      </c>
      <c r="AN2569">
        <v>1.0000000022939</v>
      </c>
    </row>
    <row r="2570" spans="1:40" x14ac:dyDescent="0.25">
      <c r="A2570" t="str">
        <f>"20190312150712515"</f>
        <v>20190312150712515</v>
      </c>
      <c r="B2570" t="str">
        <f>"1552374432512969"</f>
        <v>1552374432512969</v>
      </c>
      <c r="C2570" t="s">
        <v>40</v>
      </c>
      <c r="D2570">
        <v>4.4292730000000002</v>
      </c>
      <c r="E2570">
        <v>0.53990569999999904</v>
      </c>
      <c r="F2570" t="s">
        <v>61</v>
      </c>
      <c r="G2570">
        <v>-192.3768</v>
      </c>
      <c r="H2570" s="1">
        <v>5.9315959999999998E-7</v>
      </c>
      <c r="I2570">
        <v>297.33150000000001</v>
      </c>
      <c r="J2570">
        <v>-190.39580000000001</v>
      </c>
      <c r="K2570">
        <v>1.110333</v>
      </c>
      <c r="L2570">
        <v>321.3347</v>
      </c>
      <c r="M2570">
        <v>6.9101620000000002E-2</v>
      </c>
      <c r="N2570">
        <v>0</v>
      </c>
      <c r="O2570">
        <v>-0.99753820000000004</v>
      </c>
      <c r="P2570">
        <v>2.585405E-2</v>
      </c>
      <c r="Q2570">
        <v>3.8007640000000002E-2</v>
      </c>
      <c r="R2570">
        <v>-0.99894320000000003</v>
      </c>
      <c r="S2570">
        <v>-0.2441864</v>
      </c>
      <c r="T2570">
        <v>-0.1380497</v>
      </c>
      <c r="U2570">
        <v>-3.0145569999999999</v>
      </c>
      <c r="V2570">
        <v>4.3242009999999997E-2</v>
      </c>
      <c r="W2570">
        <v>4.992108E-2</v>
      </c>
      <c r="X2570">
        <v>0.99781660000000005</v>
      </c>
      <c r="Y2570">
        <v>0.14934259999999999</v>
      </c>
      <c r="Z2570">
        <v>4.5251720000000002E-2</v>
      </c>
      <c r="AA2570">
        <v>0.98774949999999995</v>
      </c>
      <c r="AB2570">
        <v>25</v>
      </c>
      <c r="AC2570">
        <v>-1.9809999999999901</v>
      </c>
      <c r="AD2570">
        <v>-1.1103324068403999</v>
      </c>
      <c r="AE2570">
        <v>-24.0032</v>
      </c>
      <c r="AF2570">
        <v>3.6273330351170601</v>
      </c>
      <c r="AG2570">
        <v>-1.1103324068403999</v>
      </c>
      <c r="AH2570">
        <v>23.758421420860799</v>
      </c>
      <c r="AI2570">
        <v>92.645122530357597</v>
      </c>
      <c r="AJ2570">
        <v>81.319362113804203</v>
      </c>
      <c r="AK2570">
        <v>24.059363487269302</v>
      </c>
      <c r="AL2570">
        <v>87.138543386764894</v>
      </c>
      <c r="AM2570">
        <v>87.518546599105704</v>
      </c>
      <c r="AN2570">
        <v>0.99999997644638305</v>
      </c>
    </row>
    <row r="2571" spans="1:40" x14ac:dyDescent="0.25">
      <c r="A2571" t="str">
        <f>"20190312150712538"</f>
        <v>20190312150712538</v>
      </c>
      <c r="B2571" t="str">
        <f>"1552374432532489"</f>
        <v>1552374432532489</v>
      </c>
      <c r="C2571" t="s">
        <v>40</v>
      </c>
      <c r="D2571">
        <v>4.4993550000000004</v>
      </c>
      <c r="E2571">
        <v>0.53969419999999901</v>
      </c>
      <c r="F2571" t="s">
        <v>61</v>
      </c>
      <c r="G2571">
        <v>-192.39660000000001</v>
      </c>
      <c r="H2571" s="1">
        <v>9.4742680000000005E-7</v>
      </c>
      <c r="I2571">
        <v>296.32429999999999</v>
      </c>
      <c r="J2571">
        <v>-190.37909999999999</v>
      </c>
      <c r="K2571">
        <v>1.1103149999999999</v>
      </c>
      <c r="L2571">
        <v>321.09379999999999</v>
      </c>
      <c r="M2571">
        <v>6.9084309999999996E-2</v>
      </c>
      <c r="N2571">
        <v>0</v>
      </c>
      <c r="O2571">
        <v>-0.99753530000000001</v>
      </c>
      <c r="P2571">
        <v>2.6025889999999999E-2</v>
      </c>
      <c r="Q2571">
        <v>3.6914540000000003E-2</v>
      </c>
      <c r="R2571">
        <v>-0.99897990000000003</v>
      </c>
      <c r="S2571">
        <v>-0.2411499</v>
      </c>
      <c r="T2571">
        <v>-0.13382769999999999</v>
      </c>
      <c r="U2571">
        <v>-3.0144959999999998</v>
      </c>
      <c r="V2571">
        <v>4.3059710000000001E-2</v>
      </c>
      <c r="W2571">
        <v>4.9187660000000001E-2</v>
      </c>
      <c r="X2571">
        <v>0.99786090000000005</v>
      </c>
      <c r="Y2571">
        <v>0.14834359999999999</v>
      </c>
      <c r="Z2571">
        <v>4.3876610000000003E-2</v>
      </c>
      <c r="AA2571">
        <v>0.98796209999999995</v>
      </c>
      <c r="AB2571">
        <v>25</v>
      </c>
      <c r="AC2571">
        <v>-2.0175000000000098</v>
      </c>
      <c r="AD2571">
        <v>-1.1103140525732</v>
      </c>
      <c r="AE2571">
        <v>-24.769499999999901</v>
      </c>
      <c r="AF2571">
        <v>3.7165731604952299</v>
      </c>
      <c r="AG2571">
        <v>-1.1103140525732</v>
      </c>
      <c r="AH2571">
        <v>24.521975627322298</v>
      </c>
      <c r="AI2571">
        <v>92.563253400010197</v>
      </c>
      <c r="AJ2571">
        <v>81.381788400789304</v>
      </c>
      <c r="AK2571">
        <v>24.826860494626501</v>
      </c>
      <c r="AL2571">
        <v>87.180616931932605</v>
      </c>
      <c r="AM2571">
        <v>87.529104499460104</v>
      </c>
      <c r="AN2571">
        <v>0.99999997013518405</v>
      </c>
    </row>
    <row r="2572" spans="1:40" x14ac:dyDescent="0.25">
      <c r="A2572" t="str">
        <f>"20190312150712561"</f>
        <v>20190312150712561</v>
      </c>
      <c r="B2572" t="str">
        <f>"1552374432552987"</f>
        <v>1552374432552987</v>
      </c>
      <c r="C2572" t="s">
        <v>40</v>
      </c>
      <c r="D2572">
        <v>4.5800450000000001</v>
      </c>
      <c r="E2572">
        <v>0.53950799999999999</v>
      </c>
      <c r="F2572" t="s">
        <v>61</v>
      </c>
      <c r="G2572">
        <v>-192.3999</v>
      </c>
      <c r="H2572" s="1">
        <v>1.2076450000000001E-6</v>
      </c>
      <c r="I2572">
        <v>295.58730000000003</v>
      </c>
      <c r="J2572">
        <v>-190.3603</v>
      </c>
      <c r="K2572">
        <v>1.1102970000000001</v>
      </c>
      <c r="L2572">
        <v>320.82089999999999</v>
      </c>
      <c r="M2572">
        <v>6.9011970000000006E-2</v>
      </c>
      <c r="N2572">
        <v>0</v>
      </c>
      <c r="O2572">
        <v>-0.99753539999999996</v>
      </c>
      <c r="P2572">
        <v>2.5838E-2</v>
      </c>
      <c r="Q2572">
        <v>3.3782970000000002E-2</v>
      </c>
      <c r="R2572">
        <v>-0.99909499999999996</v>
      </c>
      <c r="S2572">
        <v>-0.23880000000000001</v>
      </c>
      <c r="T2572">
        <v>-0.1312073</v>
      </c>
      <c r="U2572">
        <v>-3.0141300000000002</v>
      </c>
      <c r="V2572">
        <v>4.318607E-2</v>
      </c>
      <c r="W2572">
        <v>4.6417550000000002E-2</v>
      </c>
      <c r="X2572">
        <v>0.99798819999999999</v>
      </c>
      <c r="Y2572">
        <v>0.14751929999999999</v>
      </c>
      <c r="Z2572">
        <v>4.302868E-2</v>
      </c>
      <c r="AA2572">
        <v>0.98812279999999997</v>
      </c>
      <c r="AB2572">
        <v>25</v>
      </c>
      <c r="AC2572">
        <v>-2.0396000000000001</v>
      </c>
      <c r="AD2572">
        <v>-1.1102957923550001</v>
      </c>
      <c r="AE2572">
        <v>-25.2335999999999</v>
      </c>
      <c r="AF2572">
        <v>3.7690469195796301</v>
      </c>
      <c r="AG2572">
        <v>-1.1102957923550001</v>
      </c>
      <c r="AH2572">
        <v>24.9846033457627</v>
      </c>
      <c r="AI2572">
        <v>92.516073415407106</v>
      </c>
      <c r="AJ2572">
        <v>81.421342640035405</v>
      </c>
      <c r="AK2572">
        <v>25.291676017488602</v>
      </c>
      <c r="AL2572">
        <v>87.339514427370702</v>
      </c>
      <c r="AM2572">
        <v>87.522178318237096</v>
      </c>
      <c r="AN2572">
        <v>1.00000003646464</v>
      </c>
    </row>
    <row r="2573" spans="1:40" x14ac:dyDescent="0.25">
      <c r="A2573" t="str">
        <f>"20190312150712584"</f>
        <v>20190312150712584</v>
      </c>
      <c r="B2573" t="str">
        <f>"1552374432572505"</f>
        <v>1552374432572505</v>
      </c>
      <c r="C2573" t="s">
        <v>40</v>
      </c>
      <c r="D2573">
        <v>4.4964899999999997</v>
      </c>
      <c r="E2573">
        <v>0.53950859999999901</v>
      </c>
      <c r="F2573" t="s">
        <v>61</v>
      </c>
      <c r="G2573">
        <v>-192.30359999999999</v>
      </c>
      <c r="H2573" s="1">
        <v>9.9892240000000002E-7</v>
      </c>
      <c r="I2573">
        <v>296.202</v>
      </c>
      <c r="J2573">
        <v>-190.34299999999999</v>
      </c>
      <c r="K2573">
        <v>1.110285</v>
      </c>
      <c r="L2573">
        <v>320.56950000000001</v>
      </c>
      <c r="M2573">
        <v>6.8903039999999999E-2</v>
      </c>
      <c r="N2573">
        <v>0</v>
      </c>
      <c r="O2573">
        <v>-0.99753950000000002</v>
      </c>
      <c r="P2573">
        <v>2.5354620000000001E-2</v>
      </c>
      <c r="Q2573">
        <v>3.2001790000000002E-2</v>
      </c>
      <c r="R2573">
        <v>-0.99916649999999996</v>
      </c>
      <c r="S2573">
        <v>-0.23786930000000001</v>
      </c>
      <c r="T2573">
        <v>-0.135905</v>
      </c>
      <c r="U2573">
        <v>-3.013458</v>
      </c>
      <c r="V2573">
        <v>4.356695E-2</v>
      </c>
      <c r="W2573">
        <v>4.4926599999999997E-2</v>
      </c>
      <c r="X2573">
        <v>0.99803980000000003</v>
      </c>
      <c r="Y2573">
        <v>0.1471201</v>
      </c>
      <c r="Z2573">
        <v>4.4578430000000002E-2</v>
      </c>
      <c r="AA2573">
        <v>0.98811360000000004</v>
      </c>
      <c r="AB2573">
        <v>25</v>
      </c>
      <c r="AC2573">
        <v>-1.9605999999999999</v>
      </c>
      <c r="AD2573">
        <v>-1.1102840010776001</v>
      </c>
      <c r="AE2573">
        <v>-24.3675</v>
      </c>
      <c r="AF2573">
        <v>3.62759212176424</v>
      </c>
      <c r="AG2573">
        <v>-1.1102840010776001</v>
      </c>
      <c r="AH2573">
        <v>24.124712026272899</v>
      </c>
      <c r="AI2573">
        <v>92.605792616344999</v>
      </c>
      <c r="AJ2573">
        <v>81.448597385430006</v>
      </c>
      <c r="AK2573">
        <v>24.421176988743401</v>
      </c>
      <c r="AL2573">
        <v>87.425028614258395</v>
      </c>
      <c r="AM2573">
        <v>87.500481812595794</v>
      </c>
      <c r="AN2573">
        <v>0.99999996045195005</v>
      </c>
    </row>
    <row r="2574" spans="1:40" x14ac:dyDescent="0.25">
      <c r="A2574" t="str">
        <f>"20190312150712604"</f>
        <v>20190312150712604</v>
      </c>
      <c r="B2574" t="str">
        <f>"1552374432593001"</f>
        <v>1552374432593001</v>
      </c>
      <c r="C2574" t="s">
        <v>40</v>
      </c>
      <c r="D2574">
        <v>4.4818119999999997</v>
      </c>
      <c r="E2574">
        <v>0.53954740000000001</v>
      </c>
      <c r="F2574" t="s">
        <v>61</v>
      </c>
      <c r="G2574">
        <v>-192.2003</v>
      </c>
      <c r="H2574" s="1">
        <v>6.5069199999999996E-7</v>
      </c>
      <c r="I2574">
        <v>297.21300000000002</v>
      </c>
      <c r="J2574">
        <v>-190.32749999999999</v>
      </c>
      <c r="K2574">
        <v>1.110282</v>
      </c>
      <c r="L2574">
        <v>320.34500000000003</v>
      </c>
      <c r="M2574">
        <v>6.8777179999999993E-2</v>
      </c>
      <c r="N2574">
        <v>0</v>
      </c>
      <c r="O2574">
        <v>-0.99754520000000002</v>
      </c>
      <c r="P2574">
        <v>2.49482E-2</v>
      </c>
      <c r="Q2574">
        <v>3.217358E-2</v>
      </c>
      <c r="R2574">
        <v>-0.99917160000000005</v>
      </c>
      <c r="S2574">
        <v>-0.23960880000000001</v>
      </c>
      <c r="T2574">
        <v>-0.14323429999999901</v>
      </c>
      <c r="U2574">
        <v>-3.013153</v>
      </c>
      <c r="V2574">
        <v>4.3849579999999999E-2</v>
      </c>
      <c r="W2574">
        <v>4.5323870000000002E-2</v>
      </c>
      <c r="X2574">
        <v>0.99800949999999999</v>
      </c>
      <c r="Y2574">
        <v>0.14756150000000001</v>
      </c>
      <c r="Z2574">
        <v>4.6980000000000001E-2</v>
      </c>
      <c r="AA2574">
        <v>0.9879365</v>
      </c>
      <c r="AB2574">
        <v>25</v>
      </c>
      <c r="AC2574">
        <v>-1.87280000000001</v>
      </c>
      <c r="AD2574">
        <v>-1.1102813493079999</v>
      </c>
      <c r="AE2574">
        <v>-23.132000000000001</v>
      </c>
      <c r="AF2574">
        <v>3.4515562858045099</v>
      </c>
      <c r="AG2574">
        <v>-1.1102813493079999</v>
      </c>
      <c r="AH2574">
        <v>22.895994239451099</v>
      </c>
      <c r="AI2574">
        <v>92.745264126406298</v>
      </c>
      <c r="AJ2574">
        <v>81.427249102003103</v>
      </c>
      <c r="AK2574">
        <v>23.181296721315501</v>
      </c>
      <c r="AL2574">
        <v>87.402243612590297</v>
      </c>
      <c r="AM2574">
        <v>87.4842112810435</v>
      </c>
      <c r="AN2574">
        <v>1.0000000004741001</v>
      </c>
    </row>
    <row r="2575" spans="1:40" x14ac:dyDescent="0.25">
      <c r="A2575" t="str">
        <f>"20190312150712627"</f>
        <v>20190312150712627</v>
      </c>
      <c r="B2575" t="str">
        <f>"1552374432622281"</f>
        <v>1552374432622281</v>
      </c>
      <c r="C2575" t="s">
        <v>40</v>
      </c>
      <c r="D2575">
        <v>4.4690659999999998</v>
      </c>
      <c r="E2575">
        <v>0.53950790000000004</v>
      </c>
      <c r="F2575" t="s">
        <v>61</v>
      </c>
      <c r="G2575">
        <v>-192.1788</v>
      </c>
      <c r="H2575" s="1">
        <v>6.4949549999999997E-7</v>
      </c>
      <c r="I2575">
        <v>297.2217</v>
      </c>
      <c r="J2575">
        <v>-190.3108</v>
      </c>
      <c r="K2575">
        <v>1.1102700000000001</v>
      </c>
      <c r="L2575">
        <v>320.09980000000002</v>
      </c>
      <c r="M2575">
        <v>6.8611969999999994E-2</v>
      </c>
      <c r="N2575">
        <v>0</v>
      </c>
      <c r="O2575">
        <v>-0.99755340000000003</v>
      </c>
      <c r="P2575">
        <v>2.4722060000000001E-2</v>
      </c>
      <c r="Q2575">
        <v>3.2373909999999999E-2</v>
      </c>
      <c r="R2575">
        <v>-0.99917020000000001</v>
      </c>
      <c r="S2575">
        <v>-0.2412415</v>
      </c>
      <c r="T2575">
        <v>-0.14468159999999999</v>
      </c>
      <c r="U2575">
        <v>-3.0132140000000001</v>
      </c>
      <c r="V2575">
        <v>4.391287E-2</v>
      </c>
      <c r="W2575">
        <v>4.5739259999999997E-2</v>
      </c>
      <c r="X2575">
        <v>0.99798770000000003</v>
      </c>
      <c r="Y2575">
        <v>0.14792649999999999</v>
      </c>
      <c r="Z2575">
        <v>4.7451180000000003E-2</v>
      </c>
      <c r="AA2575">
        <v>0.98785940000000005</v>
      </c>
      <c r="AB2575">
        <v>25</v>
      </c>
      <c r="AC2575">
        <v>-1.8679999999999899</v>
      </c>
      <c r="AD2575">
        <v>-1.1102693505045</v>
      </c>
      <c r="AE2575">
        <v>-22.8781</v>
      </c>
      <c r="AF2575">
        <v>3.4254356650226199</v>
      </c>
      <c r="AG2575">
        <v>-1.1102693505045</v>
      </c>
      <c r="AH2575">
        <v>22.643023274170002</v>
      </c>
      <c r="AI2575">
        <v>92.775639814433902</v>
      </c>
      <c r="AJ2575">
        <v>81.3975253193382</v>
      </c>
      <c r="AK2575">
        <v>22.927555703137699</v>
      </c>
      <c r="AL2575">
        <v>87.378418637344495</v>
      </c>
      <c r="AM2575">
        <v>87.480529846509896</v>
      </c>
      <c r="AN2575">
        <v>0.99999993470413495</v>
      </c>
    </row>
    <row r="2576" spans="1:40" x14ac:dyDescent="0.25">
      <c r="A2576" t="str">
        <f>"20190312150712649"</f>
        <v>20190312150712649</v>
      </c>
      <c r="B2576" t="str">
        <f>"1552374432642778"</f>
        <v>1552374432642778</v>
      </c>
      <c r="C2576" t="s">
        <v>40</v>
      </c>
      <c r="D2576">
        <v>4.460299</v>
      </c>
      <c r="E2576">
        <v>0.53955730000000002</v>
      </c>
      <c r="F2576" t="s">
        <v>61</v>
      </c>
      <c r="G2576">
        <v>-192.14830000000001</v>
      </c>
      <c r="H2576" s="1">
        <v>6.5477640000000001E-7</v>
      </c>
      <c r="I2576">
        <v>297.21449999999999</v>
      </c>
      <c r="J2576">
        <v>-190.29349999999999</v>
      </c>
      <c r="K2576">
        <v>1.110269</v>
      </c>
      <c r="L2576">
        <v>319.84559999999999</v>
      </c>
      <c r="M2576">
        <v>6.8415740000000003E-2</v>
      </c>
      <c r="N2576">
        <v>0</v>
      </c>
      <c r="O2576">
        <v>-0.99756420000000001</v>
      </c>
      <c r="P2576">
        <v>2.5557570000000002E-2</v>
      </c>
      <c r="Q2576">
        <v>3.3203459999999997E-2</v>
      </c>
      <c r="R2576">
        <v>-0.99912179999999995</v>
      </c>
      <c r="S2576">
        <v>-0.24192810000000001</v>
      </c>
      <c r="T2576">
        <v>-0.14618419999999999</v>
      </c>
      <c r="U2576">
        <v>-3.0132140000000001</v>
      </c>
      <c r="V2576">
        <v>4.2882480000000001E-2</v>
      </c>
      <c r="W2576">
        <v>4.6763350000000002E-2</v>
      </c>
      <c r="X2576">
        <v>0.99798509999999996</v>
      </c>
      <c r="Y2576">
        <v>0.1479539</v>
      </c>
      <c r="Z2576">
        <v>4.7943260000000001E-2</v>
      </c>
      <c r="AA2576">
        <v>0.98783149999999997</v>
      </c>
      <c r="AB2576">
        <v>25</v>
      </c>
      <c r="AC2576">
        <v>-1.85480000000001</v>
      </c>
      <c r="AD2576">
        <v>-1.1102683452236</v>
      </c>
      <c r="AE2576">
        <v>-22.6311</v>
      </c>
      <c r="AF2576">
        <v>3.3908132249152798</v>
      </c>
      <c r="AG2576">
        <v>-1.1102683452236</v>
      </c>
      <c r="AH2576">
        <v>22.397606512541699</v>
      </c>
      <c r="AI2576">
        <v>92.805956044984001</v>
      </c>
      <c r="AJ2576">
        <v>81.391262708767599</v>
      </c>
      <c r="AK2576">
        <v>22.680015159062801</v>
      </c>
      <c r="AL2576">
        <v>87.319679881195995</v>
      </c>
      <c r="AM2576">
        <v>87.539567826489005</v>
      </c>
      <c r="AN2576">
        <v>0.99999998890809105</v>
      </c>
    </row>
    <row r="2577" spans="1:40" x14ac:dyDescent="0.25">
      <c r="A2577" t="str">
        <f>"20190312150712673"</f>
        <v>20190312150712673</v>
      </c>
      <c r="B2577" t="str">
        <f>"1552374432662297"</f>
        <v>1552374432662297</v>
      </c>
      <c r="C2577" t="s">
        <v>40</v>
      </c>
      <c r="D2577">
        <v>4.3886620000000001</v>
      </c>
      <c r="E2577">
        <v>0.50854440000000001</v>
      </c>
      <c r="F2577" t="s">
        <v>61</v>
      </c>
      <c r="G2577">
        <v>-192.16229999999999</v>
      </c>
      <c r="H2577" s="1">
        <v>9.5431589999999999E-7</v>
      </c>
      <c r="I2577">
        <v>296.36360000000002</v>
      </c>
      <c r="J2577">
        <v>-190.2765</v>
      </c>
      <c r="K2577">
        <v>1.1102719999999999</v>
      </c>
      <c r="L2577">
        <v>319.59359999999998</v>
      </c>
      <c r="M2577">
        <v>6.8193989999999996E-2</v>
      </c>
      <c r="N2577">
        <v>0</v>
      </c>
      <c r="O2577">
        <v>-0.99757709999999999</v>
      </c>
      <c r="P2577">
        <v>2.726253E-2</v>
      </c>
      <c r="Q2577">
        <v>3.4247590000000001E-2</v>
      </c>
      <c r="R2577">
        <v>-0.99904179999999998</v>
      </c>
      <c r="S2577">
        <v>-0.23982239999999999</v>
      </c>
      <c r="T2577">
        <v>-0.14248569999999999</v>
      </c>
      <c r="U2577">
        <v>-3.01355</v>
      </c>
      <c r="V2577">
        <v>4.0956609999999997E-2</v>
      </c>
      <c r="W2577">
        <v>4.7975070000000002E-2</v>
      </c>
      <c r="X2577">
        <v>0.99800849999999997</v>
      </c>
      <c r="Y2577">
        <v>0.14704400000000001</v>
      </c>
      <c r="Z2577">
        <v>4.6733410000000003E-2</v>
      </c>
      <c r="AA2577">
        <v>0.9880253</v>
      </c>
      <c r="AB2577">
        <v>25</v>
      </c>
      <c r="AC2577">
        <v>-1.8857999999999799</v>
      </c>
      <c r="AD2577">
        <v>-1.1102710456840901</v>
      </c>
      <c r="AE2577">
        <v>-23.229999999999901</v>
      </c>
      <c r="AF2577">
        <v>3.4578585001790199</v>
      </c>
      <c r="AG2577">
        <v>-1.1102710456840901</v>
      </c>
      <c r="AH2577">
        <v>22.995115127388502</v>
      </c>
      <c r="AI2577">
        <v>92.733574252520597</v>
      </c>
      <c r="AJ2577">
        <v>81.448300241300103</v>
      </c>
      <c r="AK2577">
        <v>23.280137605349299</v>
      </c>
      <c r="AL2577">
        <v>87.250175466220398</v>
      </c>
      <c r="AM2577">
        <v>87.649995100815602</v>
      </c>
      <c r="AN2577">
        <v>1.0000000086582199</v>
      </c>
    </row>
    <row r="2578" spans="1:40" x14ac:dyDescent="0.25">
      <c r="A2578" t="str">
        <f>"20190312150712693"</f>
        <v>20190312150712693</v>
      </c>
      <c r="B2578" t="str">
        <f>"1552374432682793"</f>
        <v>1552374432682793</v>
      </c>
      <c r="C2578" t="s">
        <v>40</v>
      </c>
      <c r="D2578">
        <v>4.4723169999999897</v>
      </c>
      <c r="E2578">
        <v>0.50328359999999905</v>
      </c>
      <c r="F2578" t="s">
        <v>61</v>
      </c>
      <c r="G2578">
        <v>-190.1541</v>
      </c>
      <c r="H2578" s="1">
        <v>3.297538E-6</v>
      </c>
      <c r="I2578">
        <v>290.18950000000001</v>
      </c>
      <c r="J2578">
        <v>-190.2611</v>
      </c>
      <c r="K2578">
        <v>1.110271</v>
      </c>
      <c r="L2578">
        <v>319.36410000000001</v>
      </c>
      <c r="M2578">
        <v>6.7963800000000005E-2</v>
      </c>
      <c r="N2578">
        <v>0</v>
      </c>
      <c r="O2578">
        <v>-0.99759100000000001</v>
      </c>
      <c r="P2578">
        <v>2.9027460000000001E-2</v>
      </c>
      <c r="Q2578">
        <v>3.5011349999999997E-2</v>
      </c>
      <c r="R2578">
        <v>-0.99896529999999994</v>
      </c>
      <c r="S2578">
        <v>1.2512209999999999E-2</v>
      </c>
      <c r="T2578">
        <v>-0.1135201</v>
      </c>
      <c r="U2578">
        <v>-3.0064389999999999</v>
      </c>
      <c r="V2578">
        <v>3.8962419999999998E-2</v>
      </c>
      <c r="W2578">
        <v>4.8871900000000003E-2</v>
      </c>
      <c r="X2578">
        <v>0.99804479999999995</v>
      </c>
      <c r="Y2578">
        <v>6.382053E-2</v>
      </c>
      <c r="Z2578">
        <v>3.7562640000000001E-2</v>
      </c>
      <c r="AA2578">
        <v>0.99725430000000004</v>
      </c>
      <c r="AB2578">
        <v>25</v>
      </c>
      <c r="AC2578">
        <v>0.106999999999999</v>
      </c>
      <c r="AD2578">
        <v>-1.110267702462</v>
      </c>
      <c r="AE2578">
        <v>-29.174600000000002</v>
      </c>
      <c r="AF2578">
        <v>1.8735422872057701</v>
      </c>
      <c r="AG2578">
        <v>-1.110267702462</v>
      </c>
      <c r="AH2578">
        <v>29.0722983283895</v>
      </c>
      <c r="AI2578">
        <v>92.182533330956502</v>
      </c>
      <c r="AJ2578">
        <v>86.312715668897994</v>
      </c>
      <c r="AK2578">
        <v>29.1537542208196</v>
      </c>
      <c r="AL2578">
        <v>87.198730454159303</v>
      </c>
      <c r="AM2578">
        <v>87.764379721682502</v>
      </c>
      <c r="AN2578">
        <v>0.99999997779445204</v>
      </c>
    </row>
    <row r="2579" spans="1:40" x14ac:dyDescent="0.25">
      <c r="A2579" t="str">
        <f>"20190312150712715"</f>
        <v>20190312150712715</v>
      </c>
      <c r="B2579" t="str">
        <f>"1552374432713050"</f>
        <v>1552374432713050</v>
      </c>
      <c r="C2579" t="s">
        <v>40</v>
      </c>
      <c r="D2579">
        <v>4.4688290000000004</v>
      </c>
      <c r="E2579">
        <v>0.50058469999999999</v>
      </c>
      <c r="F2579" t="s">
        <v>61</v>
      </c>
      <c r="G2579">
        <v>-189.5582</v>
      </c>
      <c r="H2579" s="1">
        <v>3.9581360000000004E-6</v>
      </c>
      <c r="I2579">
        <v>283.96519999999998</v>
      </c>
      <c r="J2579">
        <v>-190.2449</v>
      </c>
      <c r="K2579">
        <v>1.1102620000000001</v>
      </c>
      <c r="L2579">
        <v>319.12180000000001</v>
      </c>
      <c r="M2579">
        <v>6.7687129999999998E-2</v>
      </c>
      <c r="N2579">
        <v>0</v>
      </c>
      <c r="O2579">
        <v>-0.99760819999999995</v>
      </c>
      <c r="P2579">
        <v>3.0090349999999998E-2</v>
      </c>
      <c r="Q2579">
        <v>3.5826530000000002E-2</v>
      </c>
      <c r="R2579">
        <v>-0.99890509999999999</v>
      </c>
      <c r="S2579">
        <v>5.9661869999999999E-2</v>
      </c>
      <c r="T2579">
        <v>-9.4239710000000004E-2</v>
      </c>
      <c r="U2579">
        <v>-3.0046689999999998</v>
      </c>
      <c r="V2579">
        <v>3.7623730000000001E-2</v>
      </c>
      <c r="W2579">
        <v>4.9807740000000003E-2</v>
      </c>
      <c r="X2579">
        <v>0.99804990000000005</v>
      </c>
      <c r="Y2579">
        <v>4.7883189999999999E-2</v>
      </c>
      <c r="Z2579">
        <v>3.1220129999999999E-2</v>
      </c>
      <c r="AA2579">
        <v>0.9983649</v>
      </c>
      <c r="AB2579">
        <v>25</v>
      </c>
      <c r="AC2579">
        <v>0.68670000000000098</v>
      </c>
      <c r="AD2579">
        <v>-1.110258041864</v>
      </c>
      <c r="AE2579">
        <v>-35.156599999999997</v>
      </c>
      <c r="AF2579">
        <v>1.69307029187608</v>
      </c>
      <c r="AG2579">
        <v>-1.110258041864</v>
      </c>
      <c r="AH2579">
        <v>35.087461142141699</v>
      </c>
      <c r="AI2579">
        <v>91.810277125390002</v>
      </c>
      <c r="AJ2579">
        <v>87.237457582758907</v>
      </c>
      <c r="AK2579">
        <v>35.145826058496098</v>
      </c>
      <c r="AL2579">
        <v>87.145045387673704</v>
      </c>
      <c r="AM2579">
        <v>87.841129311185398</v>
      </c>
      <c r="AN2579">
        <v>0.99999997945651498</v>
      </c>
    </row>
    <row r="2580" spans="1:40" x14ac:dyDescent="0.25">
      <c r="A2580" t="str">
        <f>"20190312150712739"</f>
        <v>20190312150712739</v>
      </c>
      <c r="B2580" t="str">
        <f>"1552374432732570"</f>
        <v>1552374432732570</v>
      </c>
      <c r="C2580" t="s">
        <v>40</v>
      </c>
      <c r="D2580">
        <v>4.4460470000000001</v>
      </c>
      <c r="E2580">
        <v>0.49969160000000001</v>
      </c>
      <c r="F2580" t="s">
        <v>61</v>
      </c>
      <c r="G2580">
        <v>-189.2457</v>
      </c>
      <c r="H2580" s="1">
        <v>3.934563E-6</v>
      </c>
      <c r="I2580">
        <v>283.60079999999999</v>
      </c>
      <c r="J2580">
        <v>-190.22739999999999</v>
      </c>
      <c r="K2580">
        <v>1.1102379999999901</v>
      </c>
      <c r="L2580">
        <v>318.86</v>
      </c>
      <c r="M2580">
        <v>6.7345909999999995E-2</v>
      </c>
      <c r="N2580">
        <v>0</v>
      </c>
      <c r="O2580">
        <v>-0.99762949999999995</v>
      </c>
      <c r="P2580">
        <v>3.127576E-2</v>
      </c>
      <c r="Q2580">
        <v>3.5885279999999999E-2</v>
      </c>
      <c r="R2580">
        <v>-0.99886649999999999</v>
      </c>
      <c r="S2580">
        <v>8.4503170000000002E-2</v>
      </c>
      <c r="T2580">
        <v>-9.3896869999999993E-2</v>
      </c>
      <c r="U2580">
        <v>-3.004089</v>
      </c>
      <c r="V2580">
        <v>3.610025E-2</v>
      </c>
      <c r="W2580">
        <v>4.9978229999999998E-2</v>
      </c>
      <c r="X2580">
        <v>0.99809769999999998</v>
      </c>
      <c r="Y2580">
        <v>3.9285239999999999E-2</v>
      </c>
      <c r="Z2580">
        <v>3.111653E-2</v>
      </c>
      <c r="AA2580">
        <v>0.99874339999999995</v>
      </c>
      <c r="AB2580">
        <v>25</v>
      </c>
      <c r="AC2580">
        <v>0.98169999999998903</v>
      </c>
      <c r="AD2580">
        <v>-1.11023406543699</v>
      </c>
      <c r="AE2580">
        <v>-35.2592</v>
      </c>
      <c r="AF2580">
        <v>1.3939485040044499</v>
      </c>
      <c r="AG2580">
        <v>-1.11023406543699</v>
      </c>
      <c r="AH2580">
        <v>35.2103712905731</v>
      </c>
      <c r="AI2580">
        <v>91.804607944782404</v>
      </c>
      <c r="AJ2580">
        <v>87.732892979527406</v>
      </c>
      <c r="AK2580">
        <v>35.255438708543799</v>
      </c>
      <c r="AL2580">
        <v>87.135265008666096</v>
      </c>
      <c r="AM2580">
        <v>87.928568801891998</v>
      </c>
      <c r="AN2580">
        <v>1.0000000351346401</v>
      </c>
    </row>
    <row r="2581" spans="1:40" x14ac:dyDescent="0.25">
      <c r="A2581" t="str">
        <f>"20190312150712761"</f>
        <v>20190312150712761</v>
      </c>
      <c r="B2581" t="str">
        <f>"1552374432753068"</f>
        <v>1552374432753068</v>
      </c>
      <c r="C2581" t="s">
        <v>40</v>
      </c>
      <c r="D2581">
        <v>4.4756799999999997</v>
      </c>
      <c r="E2581">
        <v>0.49897710000000001</v>
      </c>
      <c r="F2581" t="s">
        <v>61</v>
      </c>
      <c r="G2581">
        <v>-189.2508</v>
      </c>
      <c r="H2581" s="1">
        <v>3.5496540000000001E-6</v>
      </c>
      <c r="I2581">
        <v>288.01400000000001</v>
      </c>
      <c r="J2581">
        <v>-190.21129999999999</v>
      </c>
      <c r="K2581">
        <v>1.110217</v>
      </c>
      <c r="L2581">
        <v>318.6146</v>
      </c>
      <c r="M2581">
        <v>6.6980090000000006E-2</v>
      </c>
      <c r="N2581">
        <v>0</v>
      </c>
      <c r="O2581">
        <v>-0.99765320000000002</v>
      </c>
      <c r="P2581">
        <v>3.190221E-2</v>
      </c>
      <c r="Q2581">
        <v>3.5695049999999999E-2</v>
      </c>
      <c r="R2581">
        <v>-0.99885369999999996</v>
      </c>
      <c r="S2581">
        <v>9.5123289999999999E-2</v>
      </c>
      <c r="T2581">
        <v>-0.1081347</v>
      </c>
      <c r="U2581">
        <v>-3.0043329999999999</v>
      </c>
      <c r="V2581">
        <v>3.5111990000000003E-2</v>
      </c>
      <c r="W2581">
        <v>4.9876799999999999E-2</v>
      </c>
      <c r="X2581">
        <v>0.99813799999999997</v>
      </c>
      <c r="Y2581">
        <v>3.5398569999999997E-2</v>
      </c>
      <c r="Z2581">
        <v>3.5828289999999999E-2</v>
      </c>
      <c r="AA2581">
        <v>0.99873080000000003</v>
      </c>
      <c r="AB2581">
        <v>25</v>
      </c>
      <c r="AC2581">
        <v>0.96049999999999602</v>
      </c>
      <c r="AD2581">
        <v>-1.1102134503459999</v>
      </c>
      <c r="AE2581">
        <v>-30.600599999999901</v>
      </c>
      <c r="AF2581">
        <v>1.09006172900981</v>
      </c>
      <c r="AG2581">
        <v>-1.1102134503459999</v>
      </c>
      <c r="AH2581">
        <v>30.5560264467587</v>
      </c>
      <c r="AI2581">
        <v>92.079530553871194</v>
      </c>
      <c r="AJ2581">
        <v>87.956885461300701</v>
      </c>
      <c r="AK2581">
        <v>30.5956134224074</v>
      </c>
      <c r="AL2581">
        <v>87.141083695881505</v>
      </c>
      <c r="AM2581">
        <v>87.985309017536196</v>
      </c>
      <c r="AN2581">
        <v>1.0000000070320001</v>
      </c>
    </row>
    <row r="2582" spans="1:40" x14ac:dyDescent="0.25">
      <c r="A2582" t="str">
        <f>"20190312150712786"</f>
        <v>20190312150712786</v>
      </c>
      <c r="B2582" t="str">
        <f>"1552374432782346"</f>
        <v>1552374432782346</v>
      </c>
      <c r="C2582" t="s">
        <v>40</v>
      </c>
      <c r="D2582">
        <v>4.4544540000000001</v>
      </c>
      <c r="E2582">
        <v>0.49842910000000001</v>
      </c>
      <c r="F2582" t="s">
        <v>61</v>
      </c>
      <c r="G2582">
        <v>-189.2004</v>
      </c>
      <c r="H2582" s="1">
        <v>3.4410460000000002E-6</v>
      </c>
      <c r="I2582">
        <v>289.15410000000003</v>
      </c>
      <c r="J2582">
        <v>-190.19470000000001</v>
      </c>
      <c r="K2582">
        <v>1.1101829999999999</v>
      </c>
      <c r="L2582">
        <v>318.35939999999999</v>
      </c>
      <c r="M2582">
        <v>6.654119E-2</v>
      </c>
      <c r="N2582">
        <v>0</v>
      </c>
      <c r="O2582">
        <v>-0.99768140000000005</v>
      </c>
      <c r="P2582">
        <v>3.1819769999999997E-2</v>
      </c>
      <c r="Q2582">
        <v>3.5226710000000001E-2</v>
      </c>
      <c r="R2582">
        <v>-0.99887289999999995</v>
      </c>
      <c r="S2582">
        <v>0.1030884</v>
      </c>
      <c r="T2582">
        <v>-0.1132143</v>
      </c>
      <c r="U2582">
        <v>-3.0042420000000001</v>
      </c>
      <c r="V2582">
        <v>3.4760729999999997E-2</v>
      </c>
      <c r="W2582">
        <v>4.9485800000000003E-2</v>
      </c>
      <c r="X2582">
        <v>0.99816970000000005</v>
      </c>
      <c r="Y2582">
        <v>3.2314929999999999E-2</v>
      </c>
      <c r="Z2582">
        <v>3.7512089999999998E-2</v>
      </c>
      <c r="AA2582">
        <v>0.99877349999999998</v>
      </c>
      <c r="AB2582">
        <v>24</v>
      </c>
      <c r="AC2582">
        <v>0.99430000000000895</v>
      </c>
      <c r="AD2582">
        <v>-1.110179558954</v>
      </c>
      <c r="AE2582">
        <v>-29.205299999999902</v>
      </c>
      <c r="AF2582">
        <v>0.95008662792959397</v>
      </c>
      <c r="AG2582">
        <v>-1.110179558954</v>
      </c>
      <c r="AH2582">
        <v>29.1646334634878</v>
      </c>
      <c r="AI2582">
        <v>92.178811206950002</v>
      </c>
      <c r="AJ2582">
        <v>88.134154171829394</v>
      </c>
      <c r="AK2582">
        <v>29.2012158704614</v>
      </c>
      <c r="AL2582">
        <v>87.163513886407202</v>
      </c>
      <c r="AM2582">
        <v>88.005510896988099</v>
      </c>
      <c r="AN2582">
        <v>0.99999995137493003</v>
      </c>
    </row>
    <row r="2583" spans="1:40" x14ac:dyDescent="0.25">
      <c r="A2583" t="str">
        <f>"20190312150712805"</f>
        <v>20190312150712805</v>
      </c>
      <c r="B2583" t="str">
        <f>"1552374432802842"</f>
        <v>1552374432802842</v>
      </c>
      <c r="C2583" t="s">
        <v>40</v>
      </c>
      <c r="D2583">
        <v>4.4361249999999997</v>
      </c>
      <c r="E2583">
        <v>0.49846439999999997</v>
      </c>
      <c r="F2583" t="s">
        <v>61</v>
      </c>
      <c r="G2583">
        <v>-189.2295</v>
      </c>
      <c r="H2583" s="1">
        <v>2.870957E-6</v>
      </c>
      <c r="I2583">
        <v>291.31200000000001</v>
      </c>
      <c r="J2583">
        <v>-190.1807</v>
      </c>
      <c r="K2583">
        <v>1.1101510000000001</v>
      </c>
      <c r="L2583">
        <v>318.14260000000002</v>
      </c>
      <c r="M2583">
        <v>6.6112420000000005E-2</v>
      </c>
      <c r="N2583">
        <v>0</v>
      </c>
      <c r="O2583">
        <v>-0.99770890000000001</v>
      </c>
      <c r="P2583">
        <v>3.1015060000000001E-2</v>
      </c>
      <c r="Q2583">
        <v>3.4098759999999999E-2</v>
      </c>
      <c r="R2583">
        <v>-0.99893739999999998</v>
      </c>
      <c r="S2583">
        <v>0.10720830000000001</v>
      </c>
      <c r="T2583">
        <v>-0.1233153</v>
      </c>
      <c r="U2583">
        <v>-3.0043329999999999</v>
      </c>
      <c r="V2583">
        <v>3.5142409999999999E-2</v>
      </c>
      <c r="W2583">
        <v>4.8412770000000001E-2</v>
      </c>
      <c r="X2583">
        <v>0.99820900000000001</v>
      </c>
      <c r="Y2583">
        <v>3.05232E-2</v>
      </c>
      <c r="Z2583">
        <v>4.0854250000000002E-2</v>
      </c>
      <c r="AA2583">
        <v>0.9986988</v>
      </c>
      <c r="AB2583">
        <v>24</v>
      </c>
      <c r="AC2583">
        <v>0.95120000000000005</v>
      </c>
      <c r="AD2583">
        <v>-1.110148129043</v>
      </c>
      <c r="AE2583">
        <v>-26.8306</v>
      </c>
      <c r="AF2583">
        <v>0.82349215998897296</v>
      </c>
      <c r="AG2583">
        <v>-1.110148129043</v>
      </c>
      <c r="AH2583">
        <v>26.788975122507701</v>
      </c>
      <c r="AI2583">
        <v>92.371888022034298</v>
      </c>
      <c r="AJ2583">
        <v>88.239284191906904</v>
      </c>
      <c r="AK2583">
        <v>26.8246110189937</v>
      </c>
      <c r="AL2583">
        <v>87.225067894712595</v>
      </c>
      <c r="AM2583">
        <v>87.983708293920699</v>
      </c>
      <c r="AN2583">
        <v>0.99999999648033999</v>
      </c>
    </row>
    <row r="2584" spans="1:40" x14ac:dyDescent="0.25">
      <c r="A2584" t="str">
        <f>"20190312150712828"</f>
        <v>20190312150712828</v>
      </c>
      <c r="B2584" t="str">
        <f>"1552374432822361"</f>
        <v>1552374432822361</v>
      </c>
      <c r="C2584" t="s">
        <v>40</v>
      </c>
      <c r="D2584">
        <v>4.4793440000000002</v>
      </c>
      <c r="E2584">
        <v>0.4985716</v>
      </c>
      <c r="F2584" t="s">
        <v>61</v>
      </c>
      <c r="G2584">
        <v>-189.29750000000001</v>
      </c>
      <c r="H2584" s="1">
        <v>2.356906E-6</v>
      </c>
      <c r="I2584">
        <v>292.7833</v>
      </c>
      <c r="J2584">
        <v>-190.1651</v>
      </c>
      <c r="K2584">
        <v>1.1101099999999999</v>
      </c>
      <c r="L2584">
        <v>317.89800000000002</v>
      </c>
      <c r="M2584">
        <v>6.5572569999999997E-2</v>
      </c>
      <c r="N2584">
        <v>0</v>
      </c>
      <c r="O2584">
        <v>-0.99774379999999996</v>
      </c>
      <c r="P2584">
        <v>2.931943E-2</v>
      </c>
      <c r="Q2584">
        <v>3.3230889999999999E-2</v>
      </c>
      <c r="R2584">
        <v>-0.99901790000000001</v>
      </c>
      <c r="S2584">
        <v>0.1046295</v>
      </c>
      <c r="T2584">
        <v>-0.131524</v>
      </c>
      <c r="U2584">
        <v>-3.0044249999999999</v>
      </c>
      <c r="V2584">
        <v>3.6303229999999999E-2</v>
      </c>
      <c r="W2584">
        <v>4.7596409999999999E-2</v>
      </c>
      <c r="X2584">
        <v>0.9982067</v>
      </c>
      <c r="Y2584">
        <v>3.0843639999999999E-2</v>
      </c>
      <c r="Z2584">
        <v>4.3570209999999998E-2</v>
      </c>
      <c r="AA2584">
        <v>0.99857410000000002</v>
      </c>
      <c r="AB2584">
        <v>24</v>
      </c>
      <c r="AC2584">
        <v>0.86759999999998105</v>
      </c>
      <c r="AD2584">
        <v>-1.110107643094</v>
      </c>
      <c r="AE2584">
        <v>-25.1146999999999</v>
      </c>
      <c r="AF2584">
        <v>0.77975233941170896</v>
      </c>
      <c r="AG2584">
        <v>-1.110107643094</v>
      </c>
      <c r="AH2584">
        <v>25.068613642927001</v>
      </c>
      <c r="AI2584">
        <v>92.534335197318995</v>
      </c>
      <c r="AJ2584">
        <v>88.2184049396391</v>
      </c>
      <c r="AK2584">
        <v>25.105293120543699</v>
      </c>
      <c r="AL2584">
        <v>87.271895819214507</v>
      </c>
      <c r="AM2584">
        <v>87.9171593097726</v>
      </c>
      <c r="AN2584">
        <v>0.99999997933910501</v>
      </c>
    </row>
    <row r="2585" spans="1:40" x14ac:dyDescent="0.25">
      <c r="A2585" t="str">
        <f>"20190312150712850"</f>
        <v>20190312150712850</v>
      </c>
      <c r="B2585" t="str">
        <f>"1552374432842858"</f>
        <v>1552374432842858</v>
      </c>
      <c r="C2585" t="s">
        <v>40</v>
      </c>
      <c r="D2585">
        <v>4.4142449999999904</v>
      </c>
      <c r="E2585">
        <v>0.49849949999999998</v>
      </c>
      <c r="F2585" t="s">
        <v>61</v>
      </c>
      <c r="G2585">
        <v>-189.33420000000001</v>
      </c>
      <c r="H2585" s="1">
        <v>2.4337539999999999E-6</v>
      </c>
      <c r="I2585">
        <v>292.57510000000002</v>
      </c>
      <c r="J2585">
        <v>-190.1497</v>
      </c>
      <c r="K2585">
        <v>1.1100829999999999</v>
      </c>
      <c r="L2585">
        <v>317.65309999999999</v>
      </c>
      <c r="M2585">
        <v>6.4970529999999999E-2</v>
      </c>
      <c r="N2585">
        <v>0</v>
      </c>
      <c r="O2585">
        <v>-0.99778250000000002</v>
      </c>
      <c r="P2585">
        <v>2.7125050000000001E-2</v>
      </c>
      <c r="Q2585">
        <v>3.2654210000000003E-2</v>
      </c>
      <c r="R2585">
        <v>-0.99909879999999995</v>
      </c>
      <c r="S2585">
        <v>9.8587040000000001E-2</v>
      </c>
      <c r="T2585">
        <v>-0.1317082</v>
      </c>
      <c r="U2585">
        <v>-3.0044249999999999</v>
      </c>
      <c r="V2585">
        <v>3.7899549999999997E-2</v>
      </c>
      <c r="W2585">
        <v>4.7062E-2</v>
      </c>
      <c r="X2585">
        <v>0.99817270000000002</v>
      </c>
      <c r="Y2585">
        <v>3.2246660000000003E-2</v>
      </c>
      <c r="Z2585">
        <v>4.3634190000000003E-2</v>
      </c>
      <c r="AA2585">
        <v>0.9985271</v>
      </c>
      <c r="AB2585">
        <v>24</v>
      </c>
      <c r="AC2585">
        <v>0.81549999999998501</v>
      </c>
      <c r="AD2585">
        <v>-1.1100805662459901</v>
      </c>
      <c r="AE2585">
        <v>-25.0779999999999</v>
      </c>
      <c r="AF2585">
        <v>0.81413101115148401</v>
      </c>
      <c r="AG2585">
        <v>-1.1100805662459901</v>
      </c>
      <c r="AH2585">
        <v>25.0290026631728</v>
      </c>
      <c r="AI2585">
        <v>92.538164338119003</v>
      </c>
      <c r="AJ2585">
        <v>88.1369681090341</v>
      </c>
      <c r="AK2585">
        <v>25.0668319194905</v>
      </c>
      <c r="AL2585">
        <v>87.3025495939753</v>
      </c>
      <c r="AM2585">
        <v>87.825585028697105</v>
      </c>
      <c r="AN2585">
        <v>0.999999973379745</v>
      </c>
    </row>
    <row r="2586" spans="1:40" x14ac:dyDescent="0.25">
      <c r="A2586" t="str">
        <f>"20190312150712874"</f>
        <v>20190312150712874</v>
      </c>
      <c r="B2586" t="str">
        <f>"1552374432862381"</f>
        <v>1552374432862381</v>
      </c>
      <c r="C2586" t="s">
        <v>40</v>
      </c>
      <c r="D2586">
        <v>4.4932740000000004</v>
      </c>
      <c r="E2586">
        <v>0.49846469999999998</v>
      </c>
      <c r="F2586" t="s">
        <v>61</v>
      </c>
      <c r="G2586">
        <v>-189.36019999999999</v>
      </c>
      <c r="H2586" s="1">
        <v>2.601631E-6</v>
      </c>
      <c r="I2586">
        <v>292.10669999999999</v>
      </c>
      <c r="J2586">
        <v>-190.1345</v>
      </c>
      <c r="K2586">
        <v>1.1100479999999999</v>
      </c>
      <c r="L2586">
        <v>317.4076</v>
      </c>
      <c r="M2586">
        <v>6.4298090000000002E-2</v>
      </c>
      <c r="N2586">
        <v>0</v>
      </c>
      <c r="O2586">
        <v>-0.99782530000000003</v>
      </c>
      <c r="P2586">
        <v>2.439473E-2</v>
      </c>
      <c r="Q2586">
        <v>3.2706890000000002E-2</v>
      </c>
      <c r="R2586">
        <v>-0.99916729999999998</v>
      </c>
      <c r="S2586">
        <v>9.2849730000000005E-2</v>
      </c>
      <c r="T2586">
        <v>-0.13055549999999999</v>
      </c>
      <c r="U2586">
        <v>-3.004486</v>
      </c>
      <c r="V2586">
        <v>3.9960240000000001E-2</v>
      </c>
      <c r="W2586">
        <v>4.714774E-2</v>
      </c>
      <c r="X2586">
        <v>0.99808830000000004</v>
      </c>
      <c r="Y2586">
        <v>3.3478099999999997E-2</v>
      </c>
      <c r="Z2586">
        <v>4.3255399999999999E-2</v>
      </c>
      <c r="AA2586">
        <v>0.99850300000000003</v>
      </c>
      <c r="AB2586">
        <v>24</v>
      </c>
      <c r="AC2586">
        <v>0.77430000000000998</v>
      </c>
      <c r="AD2586">
        <v>-1.110045398369</v>
      </c>
      <c r="AE2586">
        <v>-25.300899999999999</v>
      </c>
      <c r="AF2586">
        <v>0.85263359714121101</v>
      </c>
      <c r="AG2586">
        <v>-1.110045398369</v>
      </c>
      <c r="AH2586">
        <v>25.2497680473641</v>
      </c>
      <c r="AI2586">
        <v>92.515818331576</v>
      </c>
      <c r="AJ2586">
        <v>88.065972296720602</v>
      </c>
      <c r="AK2586">
        <v>25.288534383848798</v>
      </c>
      <c r="AL2586">
        <v>87.297631645869899</v>
      </c>
      <c r="AM2586">
        <v>87.707286084764903</v>
      </c>
      <c r="AN2586">
        <v>0.99999999238242698</v>
      </c>
    </row>
    <row r="2587" spans="1:40" x14ac:dyDescent="0.25">
      <c r="A2587" t="str">
        <f>"20190312150712895"</f>
        <v>20190312150712895</v>
      </c>
      <c r="B2587" t="str">
        <f>"1552374432892633"</f>
        <v>1552374432892633</v>
      </c>
      <c r="C2587" t="s">
        <v>40</v>
      </c>
      <c r="D2587">
        <v>4.4397739999999999</v>
      </c>
      <c r="E2587">
        <v>0.49834430000000002</v>
      </c>
      <c r="F2587" t="s">
        <v>61</v>
      </c>
      <c r="G2587">
        <v>-189.4067</v>
      </c>
      <c r="H2587" s="1">
        <v>2.7528129999999999E-6</v>
      </c>
      <c r="I2587">
        <v>291.69069999999999</v>
      </c>
      <c r="J2587">
        <v>-190.12020000000001</v>
      </c>
      <c r="K2587">
        <v>1.1100139999999901</v>
      </c>
      <c r="L2587">
        <v>317.17349999999999</v>
      </c>
      <c r="M2587">
        <v>6.3589560000000003E-2</v>
      </c>
      <c r="N2587">
        <v>0</v>
      </c>
      <c r="O2587">
        <v>-0.99787029999999999</v>
      </c>
      <c r="P2587">
        <v>2.1819890000000002E-2</v>
      </c>
      <c r="Q2587">
        <v>3.2674549999999997E-2</v>
      </c>
      <c r="R2587">
        <v>-0.99922800000000001</v>
      </c>
      <c r="S2587">
        <v>8.5037230000000005E-2</v>
      </c>
      <c r="T2587">
        <v>-0.129693899999999</v>
      </c>
      <c r="U2587">
        <v>-3.0046689999999998</v>
      </c>
      <c r="V2587">
        <v>4.1829379999999999E-2</v>
      </c>
      <c r="W2587">
        <v>4.7140590000000003E-2</v>
      </c>
      <c r="X2587">
        <v>0.99801209999999996</v>
      </c>
      <c r="Y2587">
        <v>3.5363890000000002E-2</v>
      </c>
      <c r="Z2587">
        <v>4.2971059999999998E-2</v>
      </c>
      <c r="AA2587">
        <v>0.99845019999999995</v>
      </c>
      <c r="AB2587">
        <v>24</v>
      </c>
      <c r="AC2587">
        <v>0.71350000000001002</v>
      </c>
      <c r="AD2587">
        <v>-1.1100112471869901</v>
      </c>
      <c r="AE2587">
        <v>-25.482800000000001</v>
      </c>
      <c r="AF2587">
        <v>0.90683625421661895</v>
      </c>
      <c r="AG2587">
        <v>-1.1100112471869901</v>
      </c>
      <c r="AH2587">
        <v>25.428381122668799</v>
      </c>
      <c r="AI2587">
        <v>92.497928648618597</v>
      </c>
      <c r="AJ2587">
        <v>87.957562462954598</v>
      </c>
      <c r="AK2587">
        <v>25.4687464057527</v>
      </c>
      <c r="AL2587">
        <v>87.298041900879994</v>
      </c>
      <c r="AM2587">
        <v>87.599983973184806</v>
      </c>
      <c r="AN2587">
        <v>1.00000004200157</v>
      </c>
    </row>
    <row r="2588" spans="1:40" x14ac:dyDescent="0.25">
      <c r="A2588" t="str">
        <f>"20190312150712918"</f>
        <v>20190312150712918</v>
      </c>
      <c r="B2588" t="str">
        <f>"1552374432913129"</f>
        <v>1552374432913129</v>
      </c>
      <c r="C2588" t="s">
        <v>40</v>
      </c>
      <c r="D2588">
        <v>4.5079379999999896</v>
      </c>
      <c r="E2588">
        <v>0.49814209999999898</v>
      </c>
      <c r="F2588" t="s">
        <v>61</v>
      </c>
      <c r="G2588">
        <v>-189.4605</v>
      </c>
      <c r="H2588" s="1">
        <v>2.7343569999999999E-6</v>
      </c>
      <c r="I2588">
        <v>291.75639999999999</v>
      </c>
      <c r="J2588">
        <v>-190.10599999999999</v>
      </c>
      <c r="K2588">
        <v>1.109977</v>
      </c>
      <c r="L2588">
        <v>316.93779999999998</v>
      </c>
      <c r="M2588">
        <v>6.2807310000000005E-2</v>
      </c>
      <c r="N2588">
        <v>0</v>
      </c>
      <c r="O2588">
        <v>-0.99791940000000001</v>
      </c>
      <c r="P2588">
        <v>1.9846200000000001E-2</v>
      </c>
      <c r="Q2588">
        <v>3.2504810000000002E-2</v>
      </c>
      <c r="R2588">
        <v>-0.99927460000000001</v>
      </c>
      <c r="S2588">
        <v>7.7987669999999995E-2</v>
      </c>
      <c r="T2588">
        <v>-0.13122919999999999</v>
      </c>
      <c r="U2588">
        <v>-3.004883</v>
      </c>
      <c r="V2588">
        <v>4.3024420000000001E-2</v>
      </c>
      <c r="W2588">
        <v>4.699246E-2</v>
      </c>
      <c r="X2588">
        <v>0.99796830000000003</v>
      </c>
      <c r="Y2588">
        <v>3.6923709999999998E-2</v>
      </c>
      <c r="Z2588">
        <v>4.347906E-2</v>
      </c>
      <c r="AA2588">
        <v>0.99837180000000003</v>
      </c>
      <c r="AB2588">
        <v>24</v>
      </c>
      <c r="AC2588">
        <v>0.64549999999999796</v>
      </c>
      <c r="AD2588">
        <v>-1.1099742656430001</v>
      </c>
      <c r="AE2588">
        <v>-25.1814</v>
      </c>
      <c r="AF2588">
        <v>0.93570161226284998</v>
      </c>
      <c r="AG2588">
        <v>-1.1099742656430001</v>
      </c>
      <c r="AH2588">
        <v>25.123437487290399</v>
      </c>
      <c r="AI2588">
        <v>92.527979427704295</v>
      </c>
      <c r="AJ2588">
        <v>87.867052026196006</v>
      </c>
      <c r="AK2588">
        <v>25.165347038246299</v>
      </c>
      <c r="AL2588">
        <v>87.306538588959896</v>
      </c>
      <c r="AM2588">
        <v>87.531392406964798</v>
      </c>
      <c r="AN2588">
        <v>1.00000005990903</v>
      </c>
    </row>
    <row r="2589" spans="1:40" x14ac:dyDescent="0.25">
      <c r="A2589" t="str">
        <f>"20190312150712939"</f>
        <v>20190312150712939</v>
      </c>
      <c r="B2589" t="str">
        <f>"1552374432932649"</f>
        <v>1552374432932649</v>
      </c>
      <c r="C2589" t="s">
        <v>40</v>
      </c>
      <c r="D2589">
        <v>4.4735809999999896</v>
      </c>
      <c r="E2589">
        <v>0.4979864</v>
      </c>
      <c r="F2589" t="s">
        <v>61</v>
      </c>
      <c r="G2589">
        <v>-189.47319999999999</v>
      </c>
      <c r="H2589" s="1">
        <v>2.9332379999999999E-6</v>
      </c>
      <c r="I2589">
        <v>291.197</v>
      </c>
      <c r="J2589">
        <v>-190.0916</v>
      </c>
      <c r="K2589">
        <v>1.109936</v>
      </c>
      <c r="L2589">
        <v>316.6925</v>
      </c>
      <c r="M2589">
        <v>6.1918050000000002E-2</v>
      </c>
      <c r="N2589">
        <v>0</v>
      </c>
      <c r="O2589">
        <v>-0.99797480000000005</v>
      </c>
      <c r="P2589">
        <v>1.8435389999999999E-2</v>
      </c>
      <c r="Q2589">
        <v>3.2297770000000003E-2</v>
      </c>
      <c r="R2589">
        <v>-0.99930859999999999</v>
      </c>
      <c r="S2589">
        <v>7.388306E-2</v>
      </c>
      <c r="T2589">
        <v>-0.1295753</v>
      </c>
      <c r="U2589">
        <v>-3.0049130000000002</v>
      </c>
      <c r="V2589">
        <v>4.3550510000000001E-2</v>
      </c>
      <c r="W2589">
        <v>4.6803839999999999E-2</v>
      </c>
      <c r="X2589">
        <v>0.99795429999999996</v>
      </c>
      <c r="Y2589">
        <v>3.7395789999999998E-2</v>
      </c>
      <c r="Z2589">
        <v>4.2935620000000001E-2</v>
      </c>
      <c r="AA2589">
        <v>0.99837770000000003</v>
      </c>
      <c r="AB2589">
        <v>24</v>
      </c>
      <c r="AC2589">
        <v>0.61840000000000805</v>
      </c>
      <c r="AD2589">
        <v>-1.109933066762</v>
      </c>
      <c r="AE2589">
        <v>-25.4955</v>
      </c>
      <c r="AF2589">
        <v>0.959768247844623</v>
      </c>
      <c r="AG2589">
        <v>-1.109933066762</v>
      </c>
      <c r="AH2589">
        <v>25.436683425841</v>
      </c>
      <c r="AI2589">
        <v>92.496749617537205</v>
      </c>
      <c r="AJ2589">
        <v>87.839160281840407</v>
      </c>
      <c r="AK2589">
        <v>25.478971137169498</v>
      </c>
      <c r="AL2589">
        <v>87.317357503809902</v>
      </c>
      <c r="AM2589">
        <v>87.501210016037007</v>
      </c>
      <c r="AN2589">
        <v>1.0000000156242399</v>
      </c>
    </row>
    <row r="2590" spans="1:40" x14ac:dyDescent="0.25">
      <c r="A2590" t="str">
        <f>"20190312150712962"</f>
        <v>20190312150712962</v>
      </c>
      <c r="B2590" t="str">
        <f>"1552374432953159"</f>
        <v>1552374432953159</v>
      </c>
      <c r="C2590" t="s">
        <v>40</v>
      </c>
      <c r="D2590">
        <v>4.4574480000000003</v>
      </c>
      <c r="E2590">
        <v>0.49797619999999998</v>
      </c>
      <c r="F2590" t="s">
        <v>61</v>
      </c>
      <c r="G2590">
        <v>-189.49510000000001</v>
      </c>
      <c r="H2590" s="1">
        <v>2.841191E-6</v>
      </c>
      <c r="I2590">
        <v>291.46289999999999</v>
      </c>
      <c r="J2590">
        <v>-190.07769999999999</v>
      </c>
      <c r="K2590">
        <v>1.1098889999999999</v>
      </c>
      <c r="L2590">
        <v>316.4504</v>
      </c>
      <c r="M2590">
        <v>6.0961849999999998E-2</v>
      </c>
      <c r="N2590">
        <v>0</v>
      </c>
      <c r="O2590">
        <v>-0.99803319999999995</v>
      </c>
      <c r="P2590">
        <v>1.6775370000000001E-2</v>
      </c>
      <c r="Q2590">
        <v>3.310192E-2</v>
      </c>
      <c r="R2590">
        <v>-0.99931139999999996</v>
      </c>
      <c r="S2590">
        <v>7.1044919999999998E-2</v>
      </c>
      <c r="T2590">
        <v>-0.13220000000000001</v>
      </c>
      <c r="U2590">
        <v>-3.0050050000000001</v>
      </c>
      <c r="V2590">
        <v>4.4258310000000002E-2</v>
      </c>
      <c r="W2590">
        <v>4.7620700000000002E-2</v>
      </c>
      <c r="X2590">
        <v>0.99788449999999995</v>
      </c>
      <c r="Y2590">
        <v>3.7382409999999998E-2</v>
      </c>
      <c r="Z2590">
        <v>4.3806739999999997E-2</v>
      </c>
      <c r="AA2590">
        <v>0.99834040000000002</v>
      </c>
      <c r="AB2590">
        <v>24</v>
      </c>
      <c r="AC2590">
        <v>0.58259999999998502</v>
      </c>
      <c r="AD2590">
        <v>-1.1098861588090001</v>
      </c>
      <c r="AE2590">
        <v>-24.987500000000001</v>
      </c>
      <c r="AF2590">
        <v>0.94007689023143903</v>
      </c>
      <c r="AG2590">
        <v>-1.1098861588090001</v>
      </c>
      <c r="AH2590">
        <v>24.927382691424199</v>
      </c>
      <c r="AI2590">
        <v>92.547589401842004</v>
      </c>
      <c r="AJ2590">
        <v>87.840249595056903</v>
      </c>
      <c r="AK2590">
        <v>24.969781730919902</v>
      </c>
      <c r="AL2590">
        <v>87.270502587266193</v>
      </c>
      <c r="AM2590">
        <v>87.460474045403004</v>
      </c>
      <c r="AN2590">
        <v>1.00000000220639</v>
      </c>
    </row>
    <row r="2591" spans="1:40" x14ac:dyDescent="0.25">
      <c r="A2591" t="str">
        <f>"20190312150712987"</f>
        <v>20190312150712987</v>
      </c>
      <c r="B2591" t="str">
        <f>"1552374432982426"</f>
        <v>1552374432982426</v>
      </c>
      <c r="C2591" t="s">
        <v>40</v>
      </c>
      <c r="D2591">
        <v>4.5127660000000001</v>
      </c>
      <c r="E2591">
        <v>0.497973</v>
      </c>
      <c r="F2591" t="s">
        <v>61</v>
      </c>
      <c r="G2591">
        <v>-189.48769999999999</v>
      </c>
      <c r="H2591" s="1">
        <v>3.4365960000000002E-6</v>
      </c>
      <c r="I2591">
        <v>289.70150000000001</v>
      </c>
      <c r="J2591">
        <v>-190.06319999999999</v>
      </c>
      <c r="K2591">
        <v>1.109845</v>
      </c>
      <c r="L2591">
        <v>316.19330000000002</v>
      </c>
      <c r="M2591">
        <v>5.9854320000000003E-2</v>
      </c>
      <c r="N2591">
        <v>0</v>
      </c>
      <c r="O2591">
        <v>-0.99809999999999999</v>
      </c>
      <c r="P2591">
        <v>1.53367E-2</v>
      </c>
      <c r="Q2591">
        <v>3.3969470000000002E-2</v>
      </c>
      <c r="R2591">
        <v>-0.99930549999999996</v>
      </c>
      <c r="S2591">
        <v>6.6284179999999998E-2</v>
      </c>
      <c r="T2591">
        <v>-0.124691</v>
      </c>
      <c r="U2591">
        <v>-3.0051269999999999</v>
      </c>
      <c r="V2591">
        <v>4.4594090000000003E-2</v>
      </c>
      <c r="W2591">
        <v>4.8498970000000002E-2</v>
      </c>
      <c r="X2591">
        <v>0.99782720000000003</v>
      </c>
      <c r="Y2591">
        <v>3.785289E-2</v>
      </c>
      <c r="Z2591">
        <v>4.1325760000000003E-2</v>
      </c>
      <c r="AA2591">
        <v>0.99842850000000005</v>
      </c>
      <c r="AB2591">
        <v>24</v>
      </c>
      <c r="AC2591">
        <v>0.57550000000000501</v>
      </c>
      <c r="AD2591">
        <v>-1.109841563404</v>
      </c>
      <c r="AE2591">
        <v>-26.491800000000001</v>
      </c>
      <c r="AF2591">
        <v>1.0095792040674001</v>
      </c>
      <c r="AG2591">
        <v>-1.109841563404</v>
      </c>
      <c r="AH2591">
        <v>26.4323738627943</v>
      </c>
      <c r="AI2591">
        <v>92.402571070525596</v>
      </c>
      <c r="AJ2591">
        <v>87.812662470795203</v>
      </c>
      <c r="AK2591">
        <v>26.4749199524319</v>
      </c>
      <c r="AL2591">
        <v>87.220123066347995</v>
      </c>
      <c r="AM2591">
        <v>87.441085879241001</v>
      </c>
      <c r="AN2591">
        <v>0.99999995200691305</v>
      </c>
    </row>
    <row r="2592" spans="1:40" x14ac:dyDescent="0.25">
      <c r="A2592" t="str">
        <f>"20190312150713007"</f>
        <v>20190312150713007</v>
      </c>
      <c r="B2592" t="str">
        <f>"1552374433002922"</f>
        <v>1552374433002922</v>
      </c>
      <c r="C2592" t="s">
        <v>40</v>
      </c>
      <c r="D2592">
        <v>4.4927239999999999</v>
      </c>
      <c r="E2592">
        <v>0.53155109999999905</v>
      </c>
      <c r="F2592" t="s">
        <v>61</v>
      </c>
      <c r="G2592">
        <v>-189.48670000000001</v>
      </c>
      <c r="H2592" s="1">
        <v>3.5674949999999998E-6</v>
      </c>
      <c r="I2592">
        <v>288.28859999999997</v>
      </c>
      <c r="J2592">
        <v>-190.05090000000001</v>
      </c>
      <c r="K2592">
        <v>1.109809</v>
      </c>
      <c r="L2592">
        <v>315.96870000000001</v>
      </c>
      <c r="M2592">
        <v>5.8812219999999998E-2</v>
      </c>
      <c r="N2592">
        <v>0</v>
      </c>
      <c r="O2592">
        <v>-0.99816170000000004</v>
      </c>
      <c r="P2592">
        <v>1.362326E-2</v>
      </c>
      <c r="Q2592">
        <v>3.3749229999999998E-2</v>
      </c>
      <c r="R2592">
        <v>-0.99933760000000005</v>
      </c>
      <c r="S2592">
        <v>6.2088009999999999E-2</v>
      </c>
      <c r="T2592">
        <v>-0.11952260000000001</v>
      </c>
      <c r="U2592">
        <v>-3.0051570000000001</v>
      </c>
      <c r="V2592">
        <v>4.5269030000000002E-2</v>
      </c>
      <c r="W2592">
        <v>4.8285130000000002E-2</v>
      </c>
      <c r="X2592">
        <v>0.99780720000000001</v>
      </c>
      <c r="Y2592">
        <v>3.8201890000000002E-2</v>
      </c>
      <c r="Z2592">
        <v>3.9619199999999903E-2</v>
      </c>
      <c r="AA2592">
        <v>0.99848429999999999</v>
      </c>
      <c r="AB2592">
        <v>24</v>
      </c>
      <c r="AC2592">
        <v>0.56419999999999904</v>
      </c>
      <c r="AD2592">
        <v>-1.109805432505</v>
      </c>
      <c r="AE2592">
        <v>-27.680099999999999</v>
      </c>
      <c r="AF2592">
        <v>1.06317106390231</v>
      </c>
      <c r="AG2592">
        <v>-1.109805432505</v>
      </c>
      <c r="AH2592">
        <v>27.620979588015601</v>
      </c>
      <c r="AI2592">
        <v>92.299194514231203</v>
      </c>
      <c r="AJ2592">
        <v>87.795691583471793</v>
      </c>
      <c r="AK2592">
        <v>27.663703913444301</v>
      </c>
      <c r="AL2592">
        <v>87.232389627505398</v>
      </c>
      <c r="AM2592">
        <v>87.402356888114596</v>
      </c>
      <c r="AN2592">
        <v>0.99999997361404802</v>
      </c>
    </row>
    <row r="2593" spans="1:40" x14ac:dyDescent="0.25">
      <c r="A2593" t="str">
        <f>"20190312150713030"</f>
        <v>20190312150713030</v>
      </c>
      <c r="B2593" t="str">
        <f>"1552374433022441"</f>
        <v>1552374433022441</v>
      </c>
      <c r="C2593" t="s">
        <v>40</v>
      </c>
      <c r="D2593">
        <v>4.4591419999999999</v>
      </c>
      <c r="E2593">
        <v>0.535645699999999</v>
      </c>
      <c r="F2593" t="s">
        <v>61</v>
      </c>
      <c r="G2593">
        <v>-191.7133</v>
      </c>
      <c r="H2593" s="1">
        <v>2.289918E-6</v>
      </c>
      <c r="I2593">
        <v>292.25749999999999</v>
      </c>
      <c r="J2593">
        <v>-190.03809999999999</v>
      </c>
      <c r="K2593">
        <v>1.1097729999999999</v>
      </c>
      <c r="L2593">
        <v>315.7278</v>
      </c>
      <c r="M2593">
        <v>5.7634480000000002E-2</v>
      </c>
      <c r="N2593">
        <v>0</v>
      </c>
      <c r="O2593">
        <v>-0.99823030000000001</v>
      </c>
      <c r="P2593">
        <v>1.0887269999999999E-2</v>
      </c>
      <c r="Q2593">
        <v>3.4044409999999997E-2</v>
      </c>
      <c r="R2593">
        <v>-0.99936119999999995</v>
      </c>
      <c r="S2593">
        <v>-0.21099850000000001</v>
      </c>
      <c r="T2593">
        <v>-0.14086560000000001</v>
      </c>
      <c r="U2593">
        <v>-3.0096129999999999</v>
      </c>
      <c r="V2593">
        <v>4.6829030000000001E-2</v>
      </c>
      <c r="W2593">
        <v>4.858328E-2</v>
      </c>
      <c r="X2593">
        <v>0.99772079999999996</v>
      </c>
      <c r="Y2593">
        <v>0.1272441</v>
      </c>
      <c r="Z2593">
        <v>4.6390500000000001E-2</v>
      </c>
      <c r="AA2593">
        <v>0.99078599999999994</v>
      </c>
      <c r="AB2593">
        <v>24</v>
      </c>
      <c r="AC2593">
        <v>-1.67520000000001</v>
      </c>
      <c r="AD2593">
        <v>-1.10977071008199</v>
      </c>
      <c r="AE2593">
        <v>-23.470300000000002</v>
      </c>
      <c r="AF2593">
        <v>3.01854386808543</v>
      </c>
      <c r="AG2593">
        <v>-1.10977071008199</v>
      </c>
      <c r="AH2593">
        <v>23.282926845916499</v>
      </c>
      <c r="AI2593">
        <v>92.706298302689504</v>
      </c>
      <c r="AJ2593">
        <v>82.613021004511594</v>
      </c>
      <c r="AK2593">
        <v>23.503997120166801</v>
      </c>
      <c r="AL2593">
        <v>87.215287014064799</v>
      </c>
      <c r="AM2593">
        <v>87.312737096394102</v>
      </c>
      <c r="AN2593">
        <v>1.0000000439494601</v>
      </c>
    </row>
    <row r="2594" spans="1:40" x14ac:dyDescent="0.25">
      <c r="A2594" t="str">
        <f>"20190312150713053"</f>
        <v>20190312150713053</v>
      </c>
      <c r="B2594" t="str">
        <f>"1552374433042941"</f>
        <v>1552374433042941</v>
      </c>
      <c r="C2594" t="s">
        <v>40</v>
      </c>
      <c r="D2594">
        <v>4.471368</v>
      </c>
      <c r="E2594">
        <v>0.53744759999999903</v>
      </c>
      <c r="F2594" t="s">
        <v>61</v>
      </c>
      <c r="G2594">
        <v>-191.90649999999999</v>
      </c>
      <c r="H2594" s="1">
        <v>1.848533E-6</v>
      </c>
      <c r="I2594">
        <v>293.4092</v>
      </c>
      <c r="J2594">
        <v>-190.02520000000001</v>
      </c>
      <c r="K2594">
        <v>1.1097549999999901</v>
      </c>
      <c r="L2594">
        <v>315.47829999999999</v>
      </c>
      <c r="M2594">
        <v>5.635776E-2</v>
      </c>
      <c r="N2594">
        <v>0</v>
      </c>
      <c r="O2594">
        <v>-0.9983031</v>
      </c>
      <c r="P2594">
        <v>6.2808739999999997E-3</v>
      </c>
      <c r="Q2594">
        <v>3.460328E-2</v>
      </c>
      <c r="R2594">
        <v>-0.99938170000000004</v>
      </c>
      <c r="S2594">
        <v>-0.25196839999999998</v>
      </c>
      <c r="T2594">
        <v>-0.14965880000000001</v>
      </c>
      <c r="U2594">
        <v>-3.0097960000000001</v>
      </c>
      <c r="V2594">
        <v>5.0157210000000001E-2</v>
      </c>
      <c r="W2594">
        <v>4.9138130000000002E-2</v>
      </c>
      <c r="X2594">
        <v>0.99753179999999997</v>
      </c>
      <c r="Y2594">
        <v>0.13935739999999999</v>
      </c>
      <c r="Z2594">
        <v>4.9215830000000002E-2</v>
      </c>
      <c r="AA2594">
        <v>0.98901839999999996</v>
      </c>
      <c r="AB2594">
        <v>24</v>
      </c>
      <c r="AC2594">
        <v>-1.88129999999998</v>
      </c>
      <c r="AD2594">
        <v>-1.1097531514669901</v>
      </c>
      <c r="AE2594">
        <v>-22.069099999999899</v>
      </c>
      <c r="AF2594">
        <v>3.1143895941697601</v>
      </c>
      <c r="AG2594">
        <v>-1.1097531514669901</v>
      </c>
      <c r="AH2594">
        <v>21.873069786250198</v>
      </c>
      <c r="AI2594">
        <v>92.875518447570101</v>
      </c>
      <c r="AJ2594">
        <v>81.896429274046298</v>
      </c>
      <c r="AK2594">
        <v>22.121531512886602</v>
      </c>
      <c r="AL2594">
        <v>87.183458302833799</v>
      </c>
      <c r="AM2594">
        <v>87.121517070313004</v>
      </c>
      <c r="AN2594">
        <v>0.99999999677305995</v>
      </c>
    </row>
    <row r="2595" spans="1:40" x14ac:dyDescent="0.25">
      <c r="A2595" t="str">
        <f>"20190312150713074"</f>
        <v>20190312150713074</v>
      </c>
      <c r="B2595" t="str">
        <f>"1552374433062462"</f>
        <v>1552374433062462</v>
      </c>
      <c r="C2595" t="s">
        <v>40</v>
      </c>
      <c r="D2595">
        <v>4.5060379999999904</v>
      </c>
      <c r="E2595">
        <v>0.53822460000000005</v>
      </c>
      <c r="F2595" t="s">
        <v>61</v>
      </c>
      <c r="G2595">
        <v>-192.08529999999999</v>
      </c>
      <c r="H2595" s="1">
        <v>1.834584E-6</v>
      </c>
      <c r="I2595">
        <v>293.35890000000001</v>
      </c>
      <c r="J2595">
        <v>-190.01429999999999</v>
      </c>
      <c r="K2595">
        <v>1.109748</v>
      </c>
      <c r="L2595">
        <v>315.2627</v>
      </c>
      <c r="M2595">
        <v>5.5210500000000003E-2</v>
      </c>
      <c r="N2595">
        <v>0</v>
      </c>
      <c r="O2595">
        <v>-0.99836689999999995</v>
      </c>
      <c r="P2595">
        <v>1.7462599999999999E-3</v>
      </c>
      <c r="Q2595">
        <v>3.5098730000000002E-2</v>
      </c>
      <c r="R2595">
        <v>-0.9993824</v>
      </c>
      <c r="S2595">
        <v>-0.28022770000000002</v>
      </c>
      <c r="T2595">
        <v>-0.15095749999999999</v>
      </c>
      <c r="U2595">
        <v>-3.0088499999999998</v>
      </c>
      <c r="V2595">
        <v>5.354155E-2</v>
      </c>
      <c r="W2595">
        <v>4.9627240000000003E-2</v>
      </c>
      <c r="X2595">
        <v>0.99733170000000004</v>
      </c>
      <c r="Y2595">
        <v>0.14745549999999999</v>
      </c>
      <c r="Z2595">
        <v>4.9612370000000003E-2</v>
      </c>
      <c r="AA2595">
        <v>0.98782360000000002</v>
      </c>
      <c r="AB2595">
        <v>24</v>
      </c>
      <c r="AC2595">
        <v>-2.07099999999999</v>
      </c>
      <c r="AD2595">
        <v>-1.1097461654159999</v>
      </c>
      <c r="AE2595">
        <v>-21.903799999999901</v>
      </c>
      <c r="AF2595">
        <v>3.2689737059192199</v>
      </c>
      <c r="AG2595">
        <v>-1.1097461654159999</v>
      </c>
      <c r="AH2595">
        <v>21.700820286650401</v>
      </c>
      <c r="AI2595">
        <v>92.894862627854195</v>
      </c>
      <c r="AJ2595">
        <v>81.433473113985102</v>
      </c>
      <c r="AK2595">
        <v>21.9736962469937</v>
      </c>
      <c r="AL2595">
        <v>87.155400254400107</v>
      </c>
      <c r="AM2595">
        <v>86.927037585568002</v>
      </c>
      <c r="AN2595">
        <v>1.0000000401756499</v>
      </c>
    </row>
    <row r="2596" spans="1:40" x14ac:dyDescent="0.25">
      <c r="A2596" t="str">
        <f>"20190312150713086"</f>
        <v>20190312150713086</v>
      </c>
      <c r="B2596" t="str">
        <f>"1552374433082954"</f>
        <v>1552374433082954</v>
      </c>
      <c r="C2596" t="s">
        <v>40</v>
      </c>
      <c r="D2596">
        <v>4.5640559999999999</v>
      </c>
      <c r="E2596">
        <v>0.53850559999999903</v>
      </c>
      <c r="F2596" t="s">
        <v>61</v>
      </c>
      <c r="G2596">
        <v>-192.21430000000001</v>
      </c>
      <c r="H2596" s="1">
        <v>1.879607E-6</v>
      </c>
      <c r="I2596">
        <v>293.1669</v>
      </c>
      <c r="J2596">
        <v>-190.0077</v>
      </c>
      <c r="K2596">
        <v>1.1097379999999999</v>
      </c>
      <c r="L2596">
        <v>315.12810000000002</v>
      </c>
      <c r="M2596">
        <v>5.4475910000000002E-2</v>
      </c>
      <c r="N2596">
        <v>0</v>
      </c>
      <c r="O2596">
        <v>-0.99840720000000005</v>
      </c>
      <c r="P2596">
        <v>-8.6900509999999999E-4</v>
      </c>
      <c r="Q2596">
        <v>3.5050440000000002E-2</v>
      </c>
      <c r="R2596">
        <v>-0.99938539999999998</v>
      </c>
      <c r="S2596">
        <v>-0.29945369999999999</v>
      </c>
      <c r="T2596">
        <v>-0.1510592</v>
      </c>
      <c r="U2596">
        <v>-3.0076900000000002</v>
      </c>
      <c r="V2596">
        <v>5.542035E-2</v>
      </c>
      <c r="W2596">
        <v>4.9574859999999998E-2</v>
      </c>
      <c r="X2596">
        <v>0.9972316</v>
      </c>
      <c r="Y2596">
        <v>0.15301679999999901</v>
      </c>
      <c r="Z2596">
        <v>4.9631450000000001E-2</v>
      </c>
      <c r="AA2596">
        <v>0.98697650000000003</v>
      </c>
      <c r="AB2596">
        <v>24</v>
      </c>
      <c r="AC2596">
        <v>-2.2065999999999999</v>
      </c>
      <c r="AD2596">
        <v>-1.1097361203929901</v>
      </c>
      <c r="AE2596">
        <v>-21.961200000000002</v>
      </c>
      <c r="AF2596">
        <v>3.3912351260036302</v>
      </c>
      <c r="AG2596">
        <v>-1.1097361203929901</v>
      </c>
      <c r="AH2596">
        <v>21.7533719907102</v>
      </c>
      <c r="AI2596">
        <v>92.885586580260593</v>
      </c>
      <c r="AJ2596">
        <v>81.139214664838804</v>
      </c>
      <c r="AK2596">
        <v>22.0440736458341</v>
      </c>
      <c r="AL2596">
        <v>87.158404914775105</v>
      </c>
      <c r="AM2596">
        <v>86.819104827654499</v>
      </c>
      <c r="AN2596">
        <v>0.99999997298834997</v>
      </c>
    </row>
    <row r="2597" spans="1:40" x14ac:dyDescent="0.25">
      <c r="A2597" t="str">
        <f>"20190312150713107"</f>
        <v>20190312150713107</v>
      </c>
      <c r="B2597" t="str">
        <f>"1552374433102473"</f>
        <v>1552374433102473</v>
      </c>
      <c r="C2597" t="s">
        <v>40</v>
      </c>
      <c r="D2597">
        <v>4.5120430000000002</v>
      </c>
      <c r="E2597">
        <v>0.53862030000000005</v>
      </c>
      <c r="F2597" t="s">
        <v>61</v>
      </c>
      <c r="G2597">
        <v>-192.27430000000001</v>
      </c>
      <c r="H2597" s="1">
        <v>1.891821E-6</v>
      </c>
      <c r="I2597">
        <v>293.10219999999998</v>
      </c>
      <c r="J2597">
        <v>-189.99700000000001</v>
      </c>
      <c r="K2597">
        <v>1.1097159999999999</v>
      </c>
      <c r="L2597">
        <v>314.90620000000001</v>
      </c>
      <c r="M2597">
        <v>5.3216670000000001E-2</v>
      </c>
      <c r="N2597">
        <v>0</v>
      </c>
      <c r="O2597">
        <v>-0.998475</v>
      </c>
      <c r="P2597">
        <v>-5.2611659999999899E-3</v>
      </c>
      <c r="Q2597">
        <v>3.361712E-2</v>
      </c>
      <c r="R2597">
        <v>-0.9994208</v>
      </c>
      <c r="S2597">
        <v>-0.30943300000000001</v>
      </c>
      <c r="T2597">
        <v>-0.15149899999999999</v>
      </c>
      <c r="U2597">
        <v>-3.0069270000000001</v>
      </c>
      <c r="V2597">
        <v>5.8549879999999999E-2</v>
      </c>
      <c r="W2597">
        <v>4.8133660000000002E-2</v>
      </c>
      <c r="X2597">
        <v>0.99712339999999999</v>
      </c>
      <c r="Y2597">
        <v>0.15503639999999999</v>
      </c>
      <c r="Z2597">
        <v>4.9777080000000001E-2</v>
      </c>
      <c r="AA2597">
        <v>0.98665389999999997</v>
      </c>
      <c r="AB2597">
        <v>24</v>
      </c>
      <c r="AC2597">
        <v>-2.2772999999999901</v>
      </c>
      <c r="AD2597">
        <v>-1.1097141081789901</v>
      </c>
      <c r="AE2597">
        <v>-21.803999999999998</v>
      </c>
      <c r="AF2597">
        <v>3.4257557806985899</v>
      </c>
      <c r="AG2597">
        <v>-1.1097141081789901</v>
      </c>
      <c r="AH2597">
        <v>21.596555556503201</v>
      </c>
      <c r="AI2597">
        <v>92.905230466636695</v>
      </c>
      <c r="AJ2597">
        <v>80.986549162884302</v>
      </c>
      <c r="AK2597">
        <v>21.894713516646199</v>
      </c>
      <c r="AL2597">
        <v>87.241078412346596</v>
      </c>
      <c r="AM2597">
        <v>86.639519778982802</v>
      </c>
      <c r="AN2597">
        <v>1.0000000062502801</v>
      </c>
    </row>
    <row r="2598" spans="1:40" x14ac:dyDescent="0.25">
      <c r="A2598" t="str">
        <f>"20190312150713121"</f>
        <v>20190312150713121</v>
      </c>
      <c r="B2598" t="str">
        <f>"1552374433113210"</f>
        <v>1552374433113210</v>
      </c>
      <c r="C2598" t="s">
        <v>40</v>
      </c>
      <c r="D2598">
        <v>4.5420540000000003</v>
      </c>
      <c r="E2598">
        <v>0.53863830000000001</v>
      </c>
      <c r="F2598" t="s">
        <v>61</v>
      </c>
      <c r="G2598">
        <v>-192.28460000000001</v>
      </c>
      <c r="H2598" s="1">
        <v>1.7285569999999999E-6</v>
      </c>
      <c r="I2598">
        <v>293.66559999999998</v>
      </c>
      <c r="J2598">
        <v>-189.99010000000001</v>
      </c>
      <c r="K2598">
        <v>1.1096950000000001</v>
      </c>
      <c r="L2598">
        <v>314.7586</v>
      </c>
      <c r="M2598">
        <v>5.2344019999999998E-2</v>
      </c>
      <c r="N2598">
        <v>0</v>
      </c>
      <c r="O2598">
        <v>-0.99852110000000005</v>
      </c>
      <c r="P2598">
        <v>-7.2491550000000002E-3</v>
      </c>
      <c r="Q2598">
        <v>3.2891199999999898E-2</v>
      </c>
      <c r="R2598">
        <v>-0.99943280000000001</v>
      </c>
      <c r="S2598">
        <v>-0.3236694</v>
      </c>
      <c r="T2598">
        <v>-0.15701219999999999</v>
      </c>
      <c r="U2598">
        <v>-3.0053100000000001</v>
      </c>
      <c r="V2598">
        <v>5.9665049999999997E-2</v>
      </c>
      <c r="W2598">
        <v>4.7403510000000003E-2</v>
      </c>
      <c r="X2598">
        <v>0.99709219999999998</v>
      </c>
      <c r="Y2598">
        <v>0.1588386</v>
      </c>
      <c r="Z2598">
        <v>5.1586359999999998E-2</v>
      </c>
      <c r="AA2598">
        <v>0.98595600000000005</v>
      </c>
      <c r="AB2598">
        <v>24</v>
      </c>
      <c r="AC2598">
        <v>-2.2945000000000002</v>
      </c>
      <c r="AD2598">
        <v>-1.1096932714429999</v>
      </c>
      <c r="AE2598">
        <v>-21.093</v>
      </c>
      <c r="AF2598">
        <v>3.3863024568438198</v>
      </c>
      <c r="AG2598">
        <v>-1.1096932714429999</v>
      </c>
      <c r="AH2598">
        <v>20.886827550793399</v>
      </c>
      <c r="AI2598">
        <v>93.002074372746605</v>
      </c>
      <c r="AJ2598">
        <v>80.790979883243693</v>
      </c>
      <c r="AK2598">
        <v>21.188629701386901</v>
      </c>
      <c r="AL2598">
        <v>87.282960539229407</v>
      </c>
      <c r="AM2598">
        <v>86.575558402961605</v>
      </c>
      <c r="AN2598">
        <v>0.99999993312632895</v>
      </c>
    </row>
    <row r="2599" spans="1:40" x14ac:dyDescent="0.25">
      <c r="A2599" t="str">
        <f>"20190312150713133"</f>
        <v>20190312150713133</v>
      </c>
      <c r="B2599" t="str">
        <f>"1552374433122970"</f>
        <v>1552374433122970</v>
      </c>
      <c r="C2599" t="s">
        <v>40</v>
      </c>
      <c r="D2599">
        <v>4.5226639999999998</v>
      </c>
      <c r="E2599">
        <v>0.53865649999999998</v>
      </c>
      <c r="F2599" t="s">
        <v>61</v>
      </c>
      <c r="G2599">
        <v>-192.31610000000001</v>
      </c>
      <c r="H2599" s="1">
        <v>1.7414859999999901E-6</v>
      </c>
      <c r="I2599">
        <v>293.57639999999998</v>
      </c>
      <c r="J2599">
        <v>-189.98390000000001</v>
      </c>
      <c r="K2599">
        <v>1.1096629999999901</v>
      </c>
      <c r="L2599">
        <v>314.62360000000001</v>
      </c>
      <c r="M2599">
        <v>5.1514820000000003E-2</v>
      </c>
      <c r="N2599">
        <v>0</v>
      </c>
      <c r="O2599">
        <v>-0.99856449999999997</v>
      </c>
      <c r="P2599">
        <v>-9.440281E-3</v>
      </c>
      <c r="Q2599">
        <v>3.2344079999999997E-2</v>
      </c>
      <c r="R2599">
        <v>-0.9994324</v>
      </c>
      <c r="S2599">
        <v>-0.32991029999999999</v>
      </c>
      <c r="T2599">
        <v>-0.15739719999999999</v>
      </c>
      <c r="U2599">
        <v>-3.0044559999999998</v>
      </c>
      <c r="V2599">
        <v>6.1026759999999999E-2</v>
      </c>
      <c r="W2599">
        <v>4.6850040000000003E-2</v>
      </c>
      <c r="X2599">
        <v>0.99703600000000003</v>
      </c>
      <c r="Y2599">
        <v>0.16007179999999999</v>
      </c>
      <c r="Z2599">
        <v>5.1719519999999998E-2</v>
      </c>
      <c r="AA2599">
        <v>0.98574949999999995</v>
      </c>
      <c r="AB2599">
        <v>24</v>
      </c>
      <c r="AC2599">
        <v>-2.3321999999999998</v>
      </c>
      <c r="AD2599">
        <v>-1.10966125851399</v>
      </c>
      <c r="AE2599">
        <v>-21.0472</v>
      </c>
      <c r="AF2599">
        <v>3.4041145715232601</v>
      </c>
      <c r="AG2599">
        <v>-1.10966125851399</v>
      </c>
      <c r="AH2599">
        <v>20.841861699147699</v>
      </c>
      <c r="AI2599">
        <v>93.007879449298798</v>
      </c>
      <c r="AJ2599">
        <v>80.723752199141799</v>
      </c>
      <c r="AK2599">
        <v>21.1471639519607</v>
      </c>
      <c r="AL2599">
        <v>87.314707458947197</v>
      </c>
      <c r="AM2599">
        <v>86.497399288986202</v>
      </c>
      <c r="AN2599">
        <v>0.99999998849004901</v>
      </c>
    </row>
    <row r="2600" spans="1:40" x14ac:dyDescent="0.25">
      <c r="A2600" t="str">
        <f>"20190312150713153"</f>
        <v>20190312150713153</v>
      </c>
      <c r="B2600" t="str">
        <f>"1552374433142489"</f>
        <v>1552374433142489</v>
      </c>
      <c r="C2600" t="s">
        <v>40</v>
      </c>
      <c r="D2600">
        <v>4.9314660000000003</v>
      </c>
      <c r="E2600">
        <v>0.53952259999999996</v>
      </c>
      <c r="F2600" t="s">
        <v>61</v>
      </c>
      <c r="G2600">
        <v>-192.358</v>
      </c>
      <c r="H2600" s="1">
        <v>1.7565710000000001E-6</v>
      </c>
      <c r="I2600">
        <v>293.46960000000001</v>
      </c>
      <c r="J2600">
        <v>-189.9752</v>
      </c>
      <c r="K2600">
        <v>1.109612</v>
      </c>
      <c r="L2600">
        <v>314.42680000000001</v>
      </c>
      <c r="M2600">
        <v>5.0243459999999997E-2</v>
      </c>
      <c r="N2600">
        <v>0</v>
      </c>
      <c r="O2600">
        <v>-0.99862899999999999</v>
      </c>
      <c r="P2600">
        <v>-1.3406E-2</v>
      </c>
      <c r="Q2600">
        <v>3.1272830000000001E-2</v>
      </c>
      <c r="R2600">
        <v>-0.99942089999999995</v>
      </c>
      <c r="S2600">
        <v>-0.33708189999999999</v>
      </c>
      <c r="T2600">
        <v>-0.157558</v>
      </c>
      <c r="U2600">
        <v>-3.0036010000000002</v>
      </c>
      <c r="V2600">
        <v>6.3720509999999994E-2</v>
      </c>
      <c r="W2600">
        <v>4.5764489999999998E-2</v>
      </c>
      <c r="X2600">
        <v>0.99691790000000002</v>
      </c>
      <c r="Y2600">
        <v>0.16117010000000001</v>
      </c>
      <c r="Z2600">
        <v>5.1780439999999997E-2</v>
      </c>
      <c r="AA2600">
        <v>0.98556730000000003</v>
      </c>
      <c r="AB2600">
        <v>24</v>
      </c>
      <c r="AC2600">
        <v>-2.3828</v>
      </c>
      <c r="AD2600">
        <v>-1.1096102434289901</v>
      </c>
      <c r="AE2600">
        <v>-20.9572</v>
      </c>
      <c r="AF2600">
        <v>3.4233912811305198</v>
      </c>
      <c r="AG2600">
        <v>-1.1096102434289901</v>
      </c>
      <c r="AH2600">
        <v>20.7535557186517</v>
      </c>
      <c r="AI2600">
        <v>93.019733252808393</v>
      </c>
      <c r="AJ2600">
        <v>80.633155812035298</v>
      </c>
      <c r="AK2600">
        <v>21.063259902570199</v>
      </c>
      <c r="AL2600">
        <v>87.376971709340793</v>
      </c>
      <c r="AM2600">
        <v>86.342771488979494</v>
      </c>
      <c r="AN2600">
        <v>0.99999999564001496</v>
      </c>
    </row>
    <row r="2601" spans="1:40" x14ac:dyDescent="0.25">
      <c r="A2601" t="str">
        <f>"20190312150713176"</f>
        <v>20190312150713176</v>
      </c>
      <c r="B2601" t="str">
        <f>"1552374433172747"</f>
        <v>1552374433172747</v>
      </c>
      <c r="C2601" t="s">
        <v>40</v>
      </c>
      <c r="D2601">
        <v>4.8710129999999996</v>
      </c>
      <c r="E2601">
        <v>0.54037480000000004</v>
      </c>
      <c r="F2601" t="s">
        <v>61</v>
      </c>
      <c r="G2601">
        <v>-192.46109999999999</v>
      </c>
      <c r="H2601" s="1">
        <v>1.743987E-6</v>
      </c>
      <c r="I2601">
        <v>293.48910000000001</v>
      </c>
      <c r="J2601">
        <v>-189.9649</v>
      </c>
      <c r="K2601">
        <v>1.1095170000000001</v>
      </c>
      <c r="L2601">
        <v>314.18299999999999</v>
      </c>
      <c r="M2601">
        <v>4.8514700000000001E-2</v>
      </c>
      <c r="N2601">
        <v>0</v>
      </c>
      <c r="O2601">
        <v>-0.99871460000000001</v>
      </c>
      <c r="P2601">
        <v>-1.8509600000000001E-2</v>
      </c>
      <c r="Q2601">
        <v>3.0098739999999999E-2</v>
      </c>
      <c r="R2601">
        <v>-0.99937540000000002</v>
      </c>
      <c r="S2601">
        <v>-0.35641479999999998</v>
      </c>
      <c r="T2601">
        <v>-0.15908929999999999</v>
      </c>
      <c r="U2601">
        <v>-3.0019230000000001</v>
      </c>
      <c r="V2601">
        <v>6.709735E-2</v>
      </c>
      <c r="W2601">
        <v>4.4566000000000001E-2</v>
      </c>
      <c r="X2601">
        <v>0.99675069999999999</v>
      </c>
      <c r="Y2601">
        <v>0.1657816</v>
      </c>
      <c r="Z2601">
        <v>5.2278680000000001E-2</v>
      </c>
      <c r="AA2601">
        <v>0.98477579999999998</v>
      </c>
      <c r="AB2601">
        <v>24</v>
      </c>
      <c r="AC2601">
        <v>-2.49619999999998</v>
      </c>
      <c r="AD2601">
        <v>-1.1095152560129999</v>
      </c>
      <c r="AE2601">
        <v>-20.6938999999999</v>
      </c>
      <c r="AF2601">
        <v>3.4874452070191699</v>
      </c>
      <c r="AG2601">
        <v>-1.1095152560129999</v>
      </c>
      <c r="AH2601">
        <v>20.490354168223099</v>
      </c>
      <c r="AI2601">
        <v>93.055579251278203</v>
      </c>
      <c r="AJ2601">
        <v>80.340853288215897</v>
      </c>
      <c r="AK2601">
        <v>20.814608142228</v>
      </c>
      <c r="AL2601">
        <v>87.445710469181194</v>
      </c>
      <c r="AM2601">
        <v>86.148882756411695</v>
      </c>
      <c r="AN2601">
        <v>1.00000007034175</v>
      </c>
    </row>
    <row r="2602" spans="1:40" x14ac:dyDescent="0.25">
      <c r="A2602" t="str">
        <f>"20190312150713200"</f>
        <v>20190312150713200</v>
      </c>
      <c r="B2602" t="str">
        <f>"1552374433193243"</f>
        <v>1552374433193243</v>
      </c>
      <c r="C2602" t="s">
        <v>40</v>
      </c>
      <c r="D2602">
        <v>4.7756499999999997</v>
      </c>
      <c r="E2602">
        <v>0.59581879999999998</v>
      </c>
      <c r="F2602" t="s">
        <v>61</v>
      </c>
      <c r="G2602">
        <v>-192.5872</v>
      </c>
      <c r="H2602" s="1">
        <v>1.7428010000000001E-6</v>
      </c>
      <c r="I2602">
        <v>293.4323</v>
      </c>
      <c r="J2602">
        <v>-189.9555</v>
      </c>
      <c r="K2602">
        <v>1.1093930000000001</v>
      </c>
      <c r="L2602">
        <v>313.94690000000003</v>
      </c>
      <c r="M2602">
        <v>4.6648009999999997E-2</v>
      </c>
      <c r="N2602">
        <v>0</v>
      </c>
      <c r="O2602">
        <v>-0.99880349999999996</v>
      </c>
      <c r="P2602">
        <v>-2.4303749999999999E-2</v>
      </c>
      <c r="Q2602">
        <v>2.9965809999999999E-2</v>
      </c>
      <c r="R2602">
        <v>-0.99925549999999996</v>
      </c>
      <c r="S2602">
        <v>-0.37907410000000002</v>
      </c>
      <c r="T2602">
        <v>-0.16039010000000001</v>
      </c>
      <c r="U2602">
        <v>-2.999695</v>
      </c>
      <c r="V2602">
        <v>7.1029209999999995E-2</v>
      </c>
      <c r="W2602">
        <v>4.4399750000000002E-2</v>
      </c>
      <c r="X2602">
        <v>0.99648559999999997</v>
      </c>
      <c r="Y2602">
        <v>0.17134730000000001</v>
      </c>
      <c r="Z2602">
        <v>5.2701400000000002E-2</v>
      </c>
      <c r="AA2602">
        <v>0.98380009999999996</v>
      </c>
      <c r="AB2602">
        <v>24</v>
      </c>
      <c r="AC2602">
        <v>-2.6316999999999902</v>
      </c>
      <c r="AD2602">
        <v>-1.1093912571989999</v>
      </c>
      <c r="AE2602">
        <v>-20.514600000000002</v>
      </c>
      <c r="AF2602">
        <v>3.5756155045559899</v>
      </c>
      <c r="AG2602">
        <v>-1.1093912571989999</v>
      </c>
      <c r="AH2602">
        <v>20.311049117069999</v>
      </c>
      <c r="AI2602">
        <v>93.079138188226096</v>
      </c>
      <c r="AJ2602">
        <v>80.015787916276906</v>
      </c>
      <c r="AK2602">
        <v>20.653195671227198</v>
      </c>
      <c r="AL2602">
        <v>87.455245198575994</v>
      </c>
      <c r="AM2602">
        <v>85.922868836588293</v>
      </c>
      <c r="AN2602">
        <v>1.00000001874032</v>
      </c>
    </row>
    <row r="2603" spans="1:40" x14ac:dyDescent="0.25">
      <c r="A2603" t="str">
        <f>"20190312150713220"</f>
        <v>20190312150713220</v>
      </c>
      <c r="B2603" t="str">
        <f>"1552374433212762"</f>
        <v>1552374433212762</v>
      </c>
      <c r="C2603" t="s">
        <v>40</v>
      </c>
      <c r="D2603">
        <v>4.7140170000000001</v>
      </c>
      <c r="E2603">
        <v>0.6032208</v>
      </c>
      <c r="F2603" t="s">
        <v>42</v>
      </c>
      <c r="G2603">
        <v>-202.66640000000001</v>
      </c>
      <c r="H2603">
        <v>7.998574E-2</v>
      </c>
      <c r="I2603">
        <v>268.70240000000001</v>
      </c>
      <c r="J2603">
        <v>-189.94710000000001</v>
      </c>
      <c r="K2603">
        <v>1.1092470000000001</v>
      </c>
      <c r="L2603">
        <v>313.7183</v>
      </c>
      <c r="M2603">
        <v>4.4625199999999997E-2</v>
      </c>
      <c r="N2603">
        <v>0</v>
      </c>
      <c r="O2603">
        <v>-0.99889589999999995</v>
      </c>
      <c r="P2603">
        <v>-3.061467E-2</v>
      </c>
      <c r="Q2603">
        <v>2.973023E-2</v>
      </c>
      <c r="R2603">
        <v>-0.99908929999999996</v>
      </c>
      <c r="S2603">
        <v>-0.83828740000000002</v>
      </c>
      <c r="T2603">
        <v>-6.7889690000000003E-2</v>
      </c>
      <c r="U2603">
        <v>-2.9838870000000002</v>
      </c>
      <c r="V2603">
        <v>7.5322689999999998E-2</v>
      </c>
      <c r="W2603">
        <v>4.4123450000000002E-2</v>
      </c>
      <c r="X2603">
        <v>0.99618249999999997</v>
      </c>
      <c r="Y2603">
        <v>0.3131002</v>
      </c>
      <c r="Z2603">
        <v>2.1720070000000001E-2</v>
      </c>
      <c r="AA2603">
        <v>0.94947170000000003</v>
      </c>
      <c r="AB2603">
        <v>23</v>
      </c>
      <c r="AC2603">
        <v>-12.7193</v>
      </c>
      <c r="AD2603">
        <v>-1.02926126</v>
      </c>
      <c r="AE2603">
        <v>-45.015899999999903</v>
      </c>
      <c r="AF2603">
        <v>14.7085655395157</v>
      </c>
      <c r="AG2603">
        <v>-1.02926126</v>
      </c>
      <c r="AH2603">
        <v>44.381896368059898</v>
      </c>
      <c r="AI2603">
        <v>91.261082917568501</v>
      </c>
      <c r="AJ2603">
        <v>71.664332389533797</v>
      </c>
      <c r="AK2603">
        <v>46.767018337678699</v>
      </c>
      <c r="AL2603">
        <v>87.471091453709903</v>
      </c>
      <c r="AM2603">
        <v>85.676017199719894</v>
      </c>
      <c r="AN2603">
        <v>0.99999997988749401</v>
      </c>
    </row>
    <row r="2604" spans="1:40" x14ac:dyDescent="0.25">
      <c r="A2604" t="str">
        <f>"20190312150713242"</f>
        <v>20190312150713242</v>
      </c>
      <c r="B2604" t="str">
        <f>"1552374433233258"</f>
        <v>1552374433233258</v>
      </c>
      <c r="C2604" t="s">
        <v>40</v>
      </c>
      <c r="D2604">
        <v>4.7578230000000001</v>
      </c>
      <c r="E2604">
        <v>0.6060354</v>
      </c>
      <c r="F2604" t="s">
        <v>43</v>
      </c>
      <c r="G2604">
        <v>-207.92850000000001</v>
      </c>
      <c r="H2604">
        <v>-0.05</v>
      </c>
      <c r="I2604">
        <v>255.2929</v>
      </c>
      <c r="J2604">
        <v>-189.93940000000001</v>
      </c>
      <c r="K2604">
        <v>1.1090819999999999</v>
      </c>
      <c r="L2604">
        <v>313.48880000000003</v>
      </c>
      <c r="M2604">
        <v>4.2346000000000002E-2</v>
      </c>
      <c r="N2604">
        <v>0</v>
      </c>
      <c r="O2604">
        <v>-0.99899499999999997</v>
      </c>
      <c r="P2604">
        <v>-3.6813430000000001E-2</v>
      </c>
      <c r="Q2604">
        <v>2.9317329999999999E-2</v>
      </c>
      <c r="R2604">
        <v>-0.99889220000000001</v>
      </c>
      <c r="S2604">
        <v>-0.91603089999999998</v>
      </c>
      <c r="T2604">
        <v>-5.905581E-2</v>
      </c>
      <c r="U2604">
        <v>-2.9763790000000001</v>
      </c>
      <c r="V2604">
        <v>7.9250020000000004E-2</v>
      </c>
      <c r="W2604">
        <v>4.3665170000000003E-2</v>
      </c>
      <c r="X2604">
        <v>0.99589799999999995</v>
      </c>
      <c r="Y2604">
        <v>0.33431169999999999</v>
      </c>
      <c r="Z2604">
        <v>1.880505E-2</v>
      </c>
      <c r="AA2604">
        <v>0.94227490000000003</v>
      </c>
      <c r="AB2604">
        <v>23</v>
      </c>
      <c r="AC2604">
        <v>-17.989100000000001</v>
      </c>
      <c r="AD2604">
        <v>-1.1590819999999999</v>
      </c>
      <c r="AE2604">
        <v>-58.195900000000002</v>
      </c>
      <c r="AF2604">
        <v>20.4301924598578</v>
      </c>
      <c r="AG2604">
        <v>-1.1590819999999999</v>
      </c>
      <c r="AH2604">
        <v>57.361069098800698</v>
      </c>
      <c r="AI2604">
        <v>91.090518233137303</v>
      </c>
      <c r="AJ2604">
        <v>70.395714494109598</v>
      </c>
      <c r="AK2604">
        <v>60.901793760011202</v>
      </c>
      <c r="AL2604">
        <v>87.497374395607295</v>
      </c>
      <c r="AM2604">
        <v>85.450193276016293</v>
      </c>
      <c r="AN2604">
        <v>1.00000001957256</v>
      </c>
    </row>
    <row r="2605" spans="1:40" x14ac:dyDescent="0.25">
      <c r="A2605" t="str">
        <f>"20190312150713263"</f>
        <v>20190312150713263</v>
      </c>
      <c r="B2605" t="str">
        <f>"1552374433252778"</f>
        <v>1552374433252778</v>
      </c>
      <c r="C2605" t="s">
        <v>40</v>
      </c>
      <c r="D2605">
        <v>4.7955860000000001</v>
      </c>
      <c r="E2605">
        <v>0.60770999999999997</v>
      </c>
      <c r="F2605" t="s">
        <v>61</v>
      </c>
      <c r="G2605">
        <v>-203.0582</v>
      </c>
      <c r="H2605">
        <v>8.0001820000000001E-2</v>
      </c>
      <c r="I2605">
        <v>272.77510000000001</v>
      </c>
      <c r="J2605">
        <v>-189.93260000000001</v>
      </c>
      <c r="K2605">
        <v>1.1089089999999999</v>
      </c>
      <c r="L2605">
        <v>313.26339999999999</v>
      </c>
      <c r="M2605">
        <v>3.9838239999999997E-2</v>
      </c>
      <c r="N2605">
        <v>0</v>
      </c>
      <c r="O2605">
        <v>-0.99909809999999999</v>
      </c>
      <c r="P2605">
        <v>-4.2761019999999997E-2</v>
      </c>
      <c r="Q2605">
        <v>2.9709960000000001E-2</v>
      </c>
      <c r="R2605">
        <v>-0.99864390000000003</v>
      </c>
      <c r="S2605">
        <v>-0.95706179999999996</v>
      </c>
      <c r="T2605">
        <v>-7.5075030000000001E-2</v>
      </c>
      <c r="U2605">
        <v>-2.970215</v>
      </c>
      <c r="V2605">
        <v>8.2702220000000007E-2</v>
      </c>
      <c r="W2605">
        <v>4.4010550000000002E-2</v>
      </c>
      <c r="X2605">
        <v>0.99560199999999999</v>
      </c>
      <c r="Y2605">
        <v>0.3442829</v>
      </c>
      <c r="Z2605">
        <v>2.3861650000000002E-2</v>
      </c>
      <c r="AA2605">
        <v>0.93856269999999997</v>
      </c>
      <c r="AB2605">
        <v>23</v>
      </c>
      <c r="AC2605">
        <v>-13.125599999999899</v>
      </c>
      <c r="AD2605">
        <v>-1.02890718</v>
      </c>
      <c r="AE2605">
        <v>-40.488299999999903</v>
      </c>
      <c r="AF2605">
        <v>14.7197327623104</v>
      </c>
      <c r="AG2605">
        <v>-1.02890718</v>
      </c>
      <c r="AH2605">
        <v>39.9098713878751</v>
      </c>
      <c r="AI2605">
        <v>91.385602498710199</v>
      </c>
      <c r="AJ2605">
        <v>69.754797098894599</v>
      </c>
      <c r="AK2605">
        <v>42.550288092745298</v>
      </c>
      <c r="AL2605">
        <v>87.477566397328303</v>
      </c>
      <c r="AM2605">
        <v>85.251481820331307</v>
      </c>
      <c r="AN2605">
        <v>0.99999996405411395</v>
      </c>
    </row>
    <row r="2606" spans="1:40" x14ac:dyDescent="0.25">
      <c r="A2606" t="str">
        <f>"20190312150713278"</f>
        <v>20190312150713278</v>
      </c>
      <c r="B2606" t="str">
        <f>"1552374433273274"</f>
        <v>1552374433273274</v>
      </c>
      <c r="C2606" t="s">
        <v>40</v>
      </c>
      <c r="D2606">
        <v>4.7848059999999997</v>
      </c>
      <c r="E2606">
        <v>0.60844500000000001</v>
      </c>
      <c r="F2606" t="s">
        <v>61</v>
      </c>
      <c r="G2606">
        <v>-200.24369999999999</v>
      </c>
      <c r="H2606" s="1">
        <v>2.5244590000000001E-6</v>
      </c>
      <c r="I2606">
        <v>282.33519999999999</v>
      </c>
      <c r="J2606">
        <v>-189.9289</v>
      </c>
      <c r="K2606">
        <v>1.108795</v>
      </c>
      <c r="L2606">
        <v>313.12150000000003</v>
      </c>
      <c r="M2606">
        <v>3.8088280000000002E-2</v>
      </c>
      <c r="N2606">
        <v>0</v>
      </c>
      <c r="O2606">
        <v>-0.99916609999999995</v>
      </c>
      <c r="P2606">
        <v>-4.6391139999999997E-2</v>
      </c>
      <c r="Q2606">
        <v>2.9425639999999999E-2</v>
      </c>
      <c r="R2606">
        <v>-0.99849010000000005</v>
      </c>
      <c r="S2606">
        <v>-0.98846440000000002</v>
      </c>
      <c r="T2606">
        <v>-0.106305399999999</v>
      </c>
      <c r="U2606">
        <v>-2.9649350000000001</v>
      </c>
      <c r="V2606">
        <v>8.4590070000000003E-2</v>
      </c>
      <c r="W2606">
        <v>4.3697090000000001E-2</v>
      </c>
      <c r="X2606">
        <v>0.99545720000000004</v>
      </c>
      <c r="Y2606">
        <v>0.35199849999999999</v>
      </c>
      <c r="Z2606">
        <v>3.3733920000000001E-2</v>
      </c>
      <c r="AA2606">
        <v>0.93539249999999996</v>
      </c>
      <c r="AB2606">
        <v>23</v>
      </c>
      <c r="AC2606">
        <v>-10.3147999999999</v>
      </c>
      <c r="AD2606">
        <v>-1.1087924755409999</v>
      </c>
      <c r="AE2606">
        <v>-30.786300000000001</v>
      </c>
      <c r="AF2606">
        <v>11.466665165881601</v>
      </c>
      <c r="AG2606">
        <v>-1.1087924755409999</v>
      </c>
      <c r="AH2606">
        <v>30.335662343987298</v>
      </c>
      <c r="AI2606">
        <v>91.958169253499506</v>
      </c>
      <c r="AJ2606">
        <v>69.293763502971004</v>
      </c>
      <c r="AK2606">
        <v>32.449441299176002</v>
      </c>
      <c r="AL2606">
        <v>87.495543658687893</v>
      </c>
      <c r="AM2606">
        <v>85.142896662854398</v>
      </c>
      <c r="AN2606">
        <v>0.99999997632445603</v>
      </c>
    </row>
    <row r="2607" spans="1:40" x14ac:dyDescent="0.25">
      <c r="A2607" t="str">
        <f>"20190312150713297"</f>
        <v>20190312150713297</v>
      </c>
      <c r="B2607" t="str">
        <f>"1552374433292794"</f>
        <v>1552374433292794</v>
      </c>
      <c r="C2607" t="s">
        <v>40</v>
      </c>
      <c r="D2607">
        <v>4.8030390000000001</v>
      </c>
      <c r="E2607">
        <v>0.60858800000000002</v>
      </c>
      <c r="F2607" t="s">
        <v>61</v>
      </c>
      <c r="G2607">
        <v>-198.90219999999999</v>
      </c>
      <c r="H2607" s="1">
        <v>2.2043869999999999E-6</v>
      </c>
      <c r="I2607">
        <v>286.68799999999999</v>
      </c>
      <c r="J2607">
        <v>-189.92400000000001</v>
      </c>
      <c r="K2607">
        <v>1.108627</v>
      </c>
      <c r="L2607">
        <v>312.91289999999998</v>
      </c>
      <c r="M2607">
        <v>3.5349779999999997E-2</v>
      </c>
      <c r="N2607">
        <v>0</v>
      </c>
      <c r="O2607">
        <v>-0.99926680000000001</v>
      </c>
      <c r="P2607">
        <v>-5.3316950000000002E-2</v>
      </c>
      <c r="Q2607">
        <v>2.9486160000000001E-2</v>
      </c>
      <c r="R2607">
        <v>-0.99814250000000004</v>
      </c>
      <c r="S2607">
        <v>-1.005325</v>
      </c>
      <c r="T2607">
        <v>-0.124224</v>
      </c>
      <c r="U2607">
        <v>-2.961487</v>
      </c>
      <c r="V2607">
        <v>8.8787439999999995E-2</v>
      </c>
      <c r="W2607">
        <v>4.3704720000000002E-2</v>
      </c>
      <c r="X2607">
        <v>0.99509130000000001</v>
      </c>
      <c r="Y2607">
        <v>0.3544754</v>
      </c>
      <c r="Z2607">
        <v>3.9407030000000003E-2</v>
      </c>
      <c r="AA2607">
        <v>0.93423460000000003</v>
      </c>
      <c r="AB2607">
        <v>23</v>
      </c>
      <c r="AC2607">
        <v>-8.9781999999999798</v>
      </c>
      <c r="AD2607">
        <v>-1.108624795613</v>
      </c>
      <c r="AE2607">
        <v>-26.224899999999899</v>
      </c>
      <c r="AF2607">
        <v>9.8839219202608302</v>
      </c>
      <c r="AG2607">
        <v>-1.108624795613</v>
      </c>
      <c r="AH2607">
        <v>25.849745263949199</v>
      </c>
      <c r="AI2607">
        <v>92.293975044607393</v>
      </c>
      <c r="AJ2607">
        <v>69.075119640294602</v>
      </c>
      <c r="AK2607">
        <v>27.697117028209401</v>
      </c>
      <c r="AL2607">
        <v>87.495106142438303</v>
      </c>
      <c r="AM2607">
        <v>84.901262005135493</v>
      </c>
      <c r="AN2607">
        <v>1.0000000036938601</v>
      </c>
    </row>
    <row r="2608" spans="1:40" x14ac:dyDescent="0.25">
      <c r="A2608" t="str">
        <f>"20190312150713320"</f>
        <v>20190312150713320</v>
      </c>
      <c r="B2608" t="str">
        <f>"1552374433312314"</f>
        <v>1552374433312314</v>
      </c>
      <c r="C2608" t="s">
        <v>40</v>
      </c>
      <c r="D2608">
        <v>4.8008300000000004</v>
      </c>
      <c r="E2608">
        <v>0.60870380000000002</v>
      </c>
      <c r="F2608" t="s">
        <v>61</v>
      </c>
      <c r="G2608">
        <v>-198.0675</v>
      </c>
      <c r="H2608" s="1">
        <v>2.1084380000000002E-6</v>
      </c>
      <c r="I2608">
        <v>289.47919999999999</v>
      </c>
      <c r="J2608">
        <v>-189.9194</v>
      </c>
      <c r="K2608">
        <v>1.108447</v>
      </c>
      <c r="L2608">
        <v>312.67200000000003</v>
      </c>
      <c r="M2608">
        <v>3.1917969999999997E-2</v>
      </c>
      <c r="N2608">
        <v>0</v>
      </c>
      <c r="O2608">
        <v>-0.99938190000000005</v>
      </c>
      <c r="P2608">
        <v>-6.1305579999999998E-2</v>
      </c>
      <c r="Q2608">
        <v>2.9665710000000001E-2</v>
      </c>
      <c r="R2608">
        <v>-0.99767839999999997</v>
      </c>
      <c r="S2608">
        <v>-1.0268250000000001</v>
      </c>
      <c r="T2608">
        <v>-0.13978889999999999</v>
      </c>
      <c r="U2608">
        <v>-2.9548030000000001</v>
      </c>
      <c r="V2608">
        <v>9.3357830000000003E-2</v>
      </c>
      <c r="W2608">
        <v>4.3823809999999998E-2</v>
      </c>
      <c r="X2608">
        <v>0.99466759999999999</v>
      </c>
      <c r="Y2608">
        <v>0.3579157</v>
      </c>
      <c r="Z2608">
        <v>4.4356430000000002E-2</v>
      </c>
      <c r="AA2608">
        <v>0.93269979999999997</v>
      </c>
      <c r="AB2608">
        <v>23</v>
      </c>
      <c r="AC2608">
        <v>-8.1480999999999995</v>
      </c>
      <c r="AD2608">
        <v>-1.108444891562</v>
      </c>
      <c r="AE2608">
        <v>-23.192799999999998</v>
      </c>
      <c r="AF2608">
        <v>8.8662682390307594</v>
      </c>
      <c r="AG2608">
        <v>-1.108444891562</v>
      </c>
      <c r="AH2608">
        <v>22.8743735820496</v>
      </c>
      <c r="AI2608">
        <v>92.587010387455294</v>
      </c>
      <c r="AJ2608">
        <v>68.813318418403597</v>
      </c>
      <c r="AK2608">
        <v>24.5576124518497</v>
      </c>
      <c r="AL2608">
        <v>87.488276040481196</v>
      </c>
      <c r="AM2608">
        <v>84.638022806363594</v>
      </c>
      <c r="AN2608">
        <v>0.99999992261748905</v>
      </c>
    </row>
    <row r="2609" spans="1:40" x14ac:dyDescent="0.25">
      <c r="A2609" t="str">
        <f>"20190312150713342"</f>
        <v>20190312150713342</v>
      </c>
      <c r="B2609" t="str">
        <f>"1552374433332810"</f>
        <v>1552374433332810</v>
      </c>
      <c r="C2609" t="s">
        <v>40</v>
      </c>
      <c r="D2609">
        <v>4.7622669999999996</v>
      </c>
      <c r="E2609">
        <v>0.60854419999999898</v>
      </c>
      <c r="F2609" t="s">
        <v>61</v>
      </c>
      <c r="G2609">
        <v>-197.9768</v>
      </c>
      <c r="H2609" s="1">
        <v>1.9435009999999999E-6</v>
      </c>
      <c r="I2609">
        <v>290.09449999999998</v>
      </c>
      <c r="J2609">
        <v>-189.916</v>
      </c>
      <c r="K2609">
        <v>1.1082939999999999</v>
      </c>
      <c r="L2609">
        <v>312.44170000000003</v>
      </c>
      <c r="M2609">
        <v>2.8386640000000001E-2</v>
      </c>
      <c r="N2609">
        <v>0</v>
      </c>
      <c r="O2609">
        <v>-0.99948840000000005</v>
      </c>
      <c r="P2609">
        <v>-7.0051939999999993E-2</v>
      </c>
      <c r="Q2609">
        <v>3.0139429999999998E-2</v>
      </c>
      <c r="R2609">
        <v>-0.99708799999999997</v>
      </c>
      <c r="S2609">
        <v>-1.05159</v>
      </c>
      <c r="T2609">
        <v>-0.14466660000000001</v>
      </c>
      <c r="U2609">
        <v>-2.9466549999999998</v>
      </c>
      <c r="V2609">
        <v>9.8585870000000006E-2</v>
      </c>
      <c r="W2609">
        <v>4.4233969999999997E-2</v>
      </c>
      <c r="X2609">
        <v>0.99414499999999995</v>
      </c>
      <c r="Y2609">
        <v>0.36236010000000002</v>
      </c>
      <c r="Z2609">
        <v>4.5924880000000001E-2</v>
      </c>
      <c r="AA2609">
        <v>0.93090609999999996</v>
      </c>
      <c r="AB2609">
        <v>23</v>
      </c>
      <c r="AC2609">
        <v>-8.0608000000000004</v>
      </c>
      <c r="AD2609">
        <v>-1.108292056499</v>
      </c>
      <c r="AE2609">
        <v>-22.347200000000001</v>
      </c>
      <c r="AF2609">
        <v>8.67310547207863</v>
      </c>
      <c r="AG2609">
        <v>-1.108292056499</v>
      </c>
      <c r="AH2609">
        <v>22.061334051184801</v>
      </c>
      <c r="AI2609">
        <v>92.676834059170702</v>
      </c>
      <c r="AJ2609">
        <v>68.538421937004301</v>
      </c>
      <c r="AK2609">
        <v>23.7308560724274</v>
      </c>
      <c r="AL2609">
        <v>87.4647531118393</v>
      </c>
      <c r="AM2609">
        <v>84.336694533194702</v>
      </c>
      <c r="AN2609">
        <v>1.0000000494453001</v>
      </c>
    </row>
    <row r="2610" spans="1:40" x14ac:dyDescent="0.25">
      <c r="A2610" t="str">
        <f>"20190312150713365"</f>
        <v>20190312150713365</v>
      </c>
      <c r="B2610" t="str">
        <f>"1552374433352333"</f>
        <v>1552374433352333</v>
      </c>
      <c r="C2610" t="s">
        <v>40</v>
      </c>
      <c r="D2610">
        <v>4.7815839999999996</v>
      </c>
      <c r="E2610">
        <v>0.60830580000000001</v>
      </c>
      <c r="F2610" t="s">
        <v>61</v>
      </c>
      <c r="G2610">
        <v>-197.66560000000001</v>
      </c>
      <c r="H2610" s="1">
        <v>1.6705109999999901E-6</v>
      </c>
      <c r="I2610">
        <v>291.28530000000001</v>
      </c>
      <c r="J2610">
        <v>-189.91380000000001</v>
      </c>
      <c r="K2610">
        <v>1.108168</v>
      </c>
      <c r="L2610">
        <v>312.21140000000003</v>
      </c>
      <c r="M2610">
        <v>2.4626100000000001E-2</v>
      </c>
      <c r="N2610">
        <v>0</v>
      </c>
      <c r="O2610">
        <v>-0.99958809999999998</v>
      </c>
      <c r="P2610">
        <v>-7.9045180000000007E-2</v>
      </c>
      <c r="Q2610">
        <v>2.9747160000000002E-2</v>
      </c>
      <c r="R2610">
        <v>-0.99642750000000002</v>
      </c>
      <c r="S2610">
        <v>-1.076141</v>
      </c>
      <c r="T2610">
        <v>-0.15390209999999999</v>
      </c>
      <c r="U2610">
        <v>-2.9378660000000001</v>
      </c>
      <c r="V2610">
        <v>0.1038289</v>
      </c>
      <c r="W2610">
        <v>4.3779029999999997E-2</v>
      </c>
      <c r="X2610">
        <v>0.99363120000000005</v>
      </c>
      <c r="Y2610">
        <v>0.36656090000000002</v>
      </c>
      <c r="Z2610">
        <v>4.8885289999999998E-2</v>
      </c>
      <c r="AA2610">
        <v>0.92910890000000002</v>
      </c>
      <c r="AB2610">
        <v>23</v>
      </c>
      <c r="AC2610">
        <v>-7.7518000000000002</v>
      </c>
      <c r="AD2610">
        <v>-1.1081663294890001</v>
      </c>
      <c r="AE2610">
        <v>-20.926100000000002</v>
      </c>
      <c r="AF2610">
        <v>8.2445021342008502</v>
      </c>
      <c r="AG2610">
        <v>-1.1081663294890001</v>
      </c>
      <c r="AH2610">
        <v>20.677844154334199</v>
      </c>
      <c r="AI2610">
        <v>92.849887038760301</v>
      </c>
      <c r="AJ2610">
        <v>68.262242719225696</v>
      </c>
      <c r="AK2610">
        <v>22.288407007356799</v>
      </c>
      <c r="AL2610">
        <v>87.490844411733804</v>
      </c>
      <c r="AM2610">
        <v>84.034561177146699</v>
      </c>
      <c r="AN2610">
        <v>1.0000000027781899</v>
      </c>
    </row>
    <row r="2611" spans="1:40" x14ac:dyDescent="0.25">
      <c r="A2611" t="str">
        <f>"20190312150713388"</f>
        <v>20190312150713388</v>
      </c>
      <c r="B2611" t="str">
        <f>"1552374433383244"</f>
        <v>1552374433383244</v>
      </c>
      <c r="C2611" t="s">
        <v>40</v>
      </c>
      <c r="D2611">
        <v>4.7784810000000002</v>
      </c>
      <c r="E2611">
        <v>0.60784899999999997</v>
      </c>
      <c r="F2611" t="s">
        <v>61</v>
      </c>
      <c r="G2611">
        <v>-197.40889999999999</v>
      </c>
      <c r="H2611" s="1">
        <v>1.5177469999999999E-6</v>
      </c>
      <c r="I2611">
        <v>292.28199999999998</v>
      </c>
      <c r="J2611">
        <v>-189.9127</v>
      </c>
      <c r="K2611">
        <v>1.1080460000000001</v>
      </c>
      <c r="L2611">
        <v>311.96749999999997</v>
      </c>
      <c r="M2611">
        <v>2.039556E-2</v>
      </c>
      <c r="N2611">
        <v>0</v>
      </c>
      <c r="O2611">
        <v>-0.99968330000000005</v>
      </c>
      <c r="P2611">
        <v>-8.7790030000000005E-2</v>
      </c>
      <c r="Q2611">
        <v>2.9924360000000001E-2</v>
      </c>
      <c r="R2611">
        <v>-0.99568950000000001</v>
      </c>
      <c r="S2611">
        <v>-1.1012729999999999</v>
      </c>
      <c r="T2611">
        <v>-0.162824</v>
      </c>
      <c r="U2611">
        <v>-2.9282530000000002</v>
      </c>
      <c r="V2611">
        <v>0.1083625</v>
      </c>
      <c r="W2611">
        <v>4.389813E-2</v>
      </c>
      <c r="X2611">
        <v>0.99314170000000002</v>
      </c>
      <c r="Y2611">
        <v>0.37055979999999999</v>
      </c>
      <c r="Z2611">
        <v>5.1760540000000001E-2</v>
      </c>
      <c r="AA2611">
        <v>0.9273652</v>
      </c>
      <c r="AB2611">
        <v>23</v>
      </c>
      <c r="AC2611">
        <v>-7.4961999999999804</v>
      </c>
      <c r="AD2611">
        <v>-1.10804448225299</v>
      </c>
      <c r="AE2611">
        <v>-19.685499999999902</v>
      </c>
      <c r="AF2611">
        <v>7.8743921484182202</v>
      </c>
      <c r="AG2611">
        <v>-1.10804448225299</v>
      </c>
      <c r="AH2611">
        <v>19.474611732103799</v>
      </c>
      <c r="AI2611">
        <v>93.019444276987002</v>
      </c>
      <c r="AJ2611">
        <v>67.984476700768198</v>
      </c>
      <c r="AK2611">
        <v>21.035548873226801</v>
      </c>
      <c r="AL2611">
        <v>87.484013801881105</v>
      </c>
      <c r="AM2611">
        <v>83.773043843927994</v>
      </c>
      <c r="AN2611">
        <v>0.99999995675131703</v>
      </c>
    </row>
    <row r="2612" spans="1:40" x14ac:dyDescent="0.25">
      <c r="A2612" t="str">
        <f>"20190312150713411"</f>
        <v>20190312150713411</v>
      </c>
      <c r="B2612" t="str">
        <f>"1552374433402763"</f>
        <v>1552374433402763</v>
      </c>
      <c r="C2612" t="s">
        <v>40</v>
      </c>
      <c r="D2612">
        <v>4.7979329999999996</v>
      </c>
      <c r="E2612">
        <v>0.60769240000000002</v>
      </c>
      <c r="F2612" t="s">
        <v>61</v>
      </c>
      <c r="G2612">
        <v>-197.06460000000001</v>
      </c>
      <c r="H2612" s="1">
        <v>1.3529410000000001E-6</v>
      </c>
      <c r="I2612">
        <v>293.39120000000003</v>
      </c>
      <c r="J2612">
        <v>-189.9127</v>
      </c>
      <c r="K2612">
        <v>1.107955</v>
      </c>
      <c r="L2612">
        <v>311.73110000000003</v>
      </c>
      <c r="M2612">
        <v>1.6132730000000001E-2</v>
      </c>
      <c r="N2612">
        <v>0</v>
      </c>
      <c r="O2612">
        <v>-0.99976089999999995</v>
      </c>
      <c r="P2612">
        <v>-9.6007529999999994E-2</v>
      </c>
      <c r="Q2612">
        <v>2.9045970000000001E-2</v>
      </c>
      <c r="R2612">
        <v>-0.99495690000000003</v>
      </c>
      <c r="S2612">
        <v>-1.1238709999999901</v>
      </c>
      <c r="T2612">
        <v>-0.17412049999999901</v>
      </c>
      <c r="U2612">
        <v>-2.9191280000000002</v>
      </c>
      <c r="V2612">
        <v>0.11233319999999999</v>
      </c>
      <c r="W2612">
        <v>4.2970120000000001E-2</v>
      </c>
      <c r="X2612">
        <v>0.99274099999999998</v>
      </c>
      <c r="Y2612">
        <v>0.37375130000000001</v>
      </c>
      <c r="Z2612">
        <v>5.5397799999999997E-2</v>
      </c>
      <c r="AA2612">
        <v>0.92587319999999995</v>
      </c>
      <c r="AB2612">
        <v>23</v>
      </c>
      <c r="AC2612">
        <v>-7.1519000000000101</v>
      </c>
      <c r="AD2612">
        <v>-1.1079536470589999</v>
      </c>
      <c r="AE2612">
        <v>-18.3399</v>
      </c>
      <c r="AF2612">
        <v>7.4233575766080797</v>
      </c>
      <c r="AG2612">
        <v>-1.1079536470589999</v>
      </c>
      <c r="AH2612">
        <v>18.164577137536</v>
      </c>
      <c r="AI2612">
        <v>93.231619495052399</v>
      </c>
      <c r="AJ2612">
        <v>67.771530645316602</v>
      </c>
      <c r="AK2612">
        <v>19.654151255643502</v>
      </c>
      <c r="AL2612">
        <v>87.537235036753799</v>
      </c>
      <c r="AM2612">
        <v>83.544179514324995</v>
      </c>
      <c r="AN2612">
        <v>0.99999993605802495</v>
      </c>
    </row>
    <row r="2613" spans="1:40" x14ac:dyDescent="0.25">
      <c r="A2613" t="str">
        <f>"20190312150713433"</f>
        <v>20190312150713433</v>
      </c>
      <c r="B2613" t="str">
        <f>"1552374433422284"</f>
        <v>1552374433422284</v>
      </c>
      <c r="C2613" t="s">
        <v>40</v>
      </c>
      <c r="D2613">
        <v>4.8049269999999904</v>
      </c>
      <c r="E2613">
        <v>0.60759160000000001</v>
      </c>
      <c r="F2613" t="s">
        <v>61</v>
      </c>
      <c r="G2613">
        <v>-197.05719999999999</v>
      </c>
      <c r="H2613" s="1">
        <v>1.314935E-6</v>
      </c>
      <c r="I2613">
        <v>293.61070000000001</v>
      </c>
      <c r="J2613">
        <v>-189.91390000000001</v>
      </c>
      <c r="K2613">
        <v>1.1078790000000001</v>
      </c>
      <c r="L2613">
        <v>311.50420000000003</v>
      </c>
      <c r="M2613">
        <v>1.1906740000000001E-2</v>
      </c>
      <c r="N2613">
        <v>0</v>
      </c>
      <c r="O2613">
        <v>-0.99982009999999999</v>
      </c>
      <c r="P2613">
        <v>-0.10437349999999999</v>
      </c>
      <c r="Q2613">
        <v>2.8298070000000002E-2</v>
      </c>
      <c r="R2613">
        <v>-0.99413560000000001</v>
      </c>
      <c r="S2613">
        <v>-1.1472469999999999</v>
      </c>
      <c r="T2613">
        <v>-0.1779144</v>
      </c>
      <c r="U2613">
        <v>-2.9097599999999999</v>
      </c>
      <c r="V2613">
        <v>0.11649180000000001</v>
      </c>
      <c r="W2613">
        <v>4.2173580000000002E-2</v>
      </c>
      <c r="X2613">
        <v>0.99229590000000001</v>
      </c>
      <c r="Y2613">
        <v>0.37725760000000003</v>
      </c>
      <c r="Z2613">
        <v>5.6654009999999998E-2</v>
      </c>
      <c r="AA2613">
        <v>0.92437389999999997</v>
      </c>
      <c r="AB2613">
        <v>23</v>
      </c>
      <c r="AC2613">
        <v>-7.1432999999999804</v>
      </c>
      <c r="AD2613">
        <v>-1.1078776850650001</v>
      </c>
      <c r="AE2613">
        <v>-17.8935</v>
      </c>
      <c r="AF2613">
        <v>7.3316278362178799</v>
      </c>
      <c r="AG2613">
        <v>-1.1078776850650001</v>
      </c>
      <c r="AH2613">
        <v>17.748482927174599</v>
      </c>
      <c r="AI2613">
        <v>93.301874539570605</v>
      </c>
      <c r="AJ2613">
        <v>67.555226039636196</v>
      </c>
      <c r="AK2613">
        <v>19.2350930829585</v>
      </c>
      <c r="AL2613">
        <v>87.5829151138241</v>
      </c>
      <c r="AM2613">
        <v>83.304338709743305</v>
      </c>
      <c r="AN2613">
        <v>1.00000005173703</v>
      </c>
    </row>
    <row r="2614" spans="1:40" x14ac:dyDescent="0.25">
      <c r="A2614" t="str">
        <f>"20190312150713456"</f>
        <v>20190312150713456</v>
      </c>
      <c r="B2614" t="str">
        <f>"1552374433452540"</f>
        <v>1552374433452540</v>
      </c>
      <c r="C2614" t="s">
        <v>40</v>
      </c>
      <c r="D2614">
        <v>4.6598290000000002</v>
      </c>
      <c r="E2614">
        <v>0.64197090000000001</v>
      </c>
      <c r="F2614" t="s">
        <v>61</v>
      </c>
      <c r="G2614">
        <v>-196.7432</v>
      </c>
      <c r="H2614" s="1">
        <v>1.170114E-6</v>
      </c>
      <c r="I2614">
        <v>294.59109999999998</v>
      </c>
      <c r="J2614">
        <v>-189.91640000000001</v>
      </c>
      <c r="K2614">
        <v>1.107807</v>
      </c>
      <c r="L2614">
        <v>311.26749999999998</v>
      </c>
      <c r="M2614">
        <v>7.358046E-3</v>
      </c>
      <c r="N2614">
        <v>0</v>
      </c>
      <c r="O2614">
        <v>-0.99986390000000003</v>
      </c>
      <c r="P2614">
        <v>-0.116046</v>
      </c>
      <c r="Q2614">
        <v>2.6744150000000001E-2</v>
      </c>
      <c r="R2614">
        <v>-0.99288390000000004</v>
      </c>
      <c r="S2614">
        <v>-1.171036</v>
      </c>
      <c r="T2614">
        <v>-0.18997059999999999</v>
      </c>
      <c r="U2614">
        <v>-2.9001160000000001</v>
      </c>
      <c r="V2614">
        <v>0.1236328</v>
      </c>
      <c r="W2614">
        <v>4.0544660000000003E-2</v>
      </c>
      <c r="X2614">
        <v>0.99149940000000003</v>
      </c>
      <c r="Y2614">
        <v>0.38054389999999999</v>
      </c>
      <c r="Z2614">
        <v>6.0538019999999998E-2</v>
      </c>
      <c r="AA2614">
        <v>0.92277920000000002</v>
      </c>
      <c r="AB2614">
        <v>23</v>
      </c>
      <c r="AC2614">
        <v>-6.8267999999999898</v>
      </c>
      <c r="AD2614">
        <v>-1.1078058298860001</v>
      </c>
      <c r="AE2614">
        <v>-16.676400000000001</v>
      </c>
      <c r="AF2614">
        <v>6.9231681006191597</v>
      </c>
      <c r="AG2614">
        <v>-1.1078058298860001</v>
      </c>
      <c r="AH2614">
        <v>16.563110708852101</v>
      </c>
      <c r="AI2614">
        <v>93.531246683706996</v>
      </c>
      <c r="AJ2614">
        <v>67.315697250910105</v>
      </c>
      <c r="AK2614">
        <v>17.985942473494401</v>
      </c>
      <c r="AL2614">
        <v>87.676325165798403</v>
      </c>
      <c r="AM2614">
        <v>82.892316850994405</v>
      </c>
      <c r="AN2614">
        <v>0.999999999445357</v>
      </c>
    </row>
    <row r="2615" spans="1:40" x14ac:dyDescent="0.25">
      <c r="A2615" t="str">
        <f>"20190312150713488"</f>
        <v>20190312150713488</v>
      </c>
      <c r="B2615" t="str">
        <f>"1552374433482797"</f>
        <v>1552374433482797</v>
      </c>
      <c r="C2615" t="s">
        <v>40</v>
      </c>
      <c r="D2615">
        <v>4.4864509999999997</v>
      </c>
      <c r="E2615">
        <v>0.64161840000000003</v>
      </c>
      <c r="F2615" t="s">
        <v>61</v>
      </c>
      <c r="G2615">
        <v>-198.47649999999999</v>
      </c>
      <c r="H2615" s="1">
        <v>9.7143019999999999E-7</v>
      </c>
      <c r="I2615">
        <v>294.73099999999999</v>
      </c>
      <c r="J2615">
        <v>-189.92169999999999</v>
      </c>
      <c r="K2615">
        <v>1.107704</v>
      </c>
      <c r="L2615">
        <v>310.94029999999998</v>
      </c>
      <c r="M2615">
        <v>8.3929920000000002E-4</v>
      </c>
      <c r="N2615">
        <v>0</v>
      </c>
      <c r="O2615">
        <v>-0.99989039999999996</v>
      </c>
      <c r="P2615">
        <v>-0.13000619999999999</v>
      </c>
      <c r="Q2615">
        <v>2.5565750000000002E-2</v>
      </c>
      <c r="R2615">
        <v>-0.99118360000000005</v>
      </c>
      <c r="S2615">
        <v>-1.4773559999999999</v>
      </c>
      <c r="T2615">
        <v>-0.1911919</v>
      </c>
      <c r="U2615">
        <v>-2.8539729999999999</v>
      </c>
      <c r="V2615">
        <v>0.13112260000000001</v>
      </c>
      <c r="W2615">
        <v>3.9276819999999997E-2</v>
      </c>
      <c r="X2615">
        <v>0.99058780000000002</v>
      </c>
      <c r="Y2615">
        <v>0.45964250000000001</v>
      </c>
      <c r="Z2615">
        <v>5.9375949999999997E-2</v>
      </c>
      <c r="AA2615">
        <v>0.88611700000000004</v>
      </c>
      <c r="AB2615">
        <v>23</v>
      </c>
      <c r="AC2615">
        <v>-8.5548000000000002</v>
      </c>
      <c r="AD2615">
        <v>-1.1077030285698</v>
      </c>
      <c r="AE2615">
        <v>-16.209299999999899</v>
      </c>
      <c r="AF2615">
        <v>8.5372198085820408</v>
      </c>
      <c r="AG2615">
        <v>-1.1077030285698</v>
      </c>
      <c r="AH2615">
        <v>16.143148875093999</v>
      </c>
      <c r="AI2615">
        <v>93.471169217451305</v>
      </c>
      <c r="AJ2615">
        <v>62.128109559141599</v>
      </c>
      <c r="AK2615">
        <v>18.2951464509852</v>
      </c>
      <c r="AL2615">
        <v>87.749024970341395</v>
      </c>
      <c r="AM2615">
        <v>82.459679959728106</v>
      </c>
      <c r="AN2615">
        <v>0.99999999716445598</v>
      </c>
    </row>
    <row r="2616" spans="1:40" x14ac:dyDescent="0.25">
      <c r="A2616" t="str">
        <f>"20190312150713510"</f>
        <v>20190312150713510</v>
      </c>
      <c r="B2616" t="str">
        <f>"1552374433502316"</f>
        <v>1552374433502316</v>
      </c>
      <c r="C2616" t="s">
        <v>40</v>
      </c>
      <c r="D2616">
        <v>4.7055930000000004</v>
      </c>
      <c r="E2616">
        <v>0.64200290000000004</v>
      </c>
      <c r="F2616" t="s">
        <v>61</v>
      </c>
      <c r="G2616">
        <v>-200.23750000000001</v>
      </c>
      <c r="H2616">
        <v>4.0559690000000002E-2</v>
      </c>
      <c r="I2616">
        <v>291.64940000000001</v>
      </c>
      <c r="J2616">
        <v>-189.92699999999999</v>
      </c>
      <c r="K2616">
        <v>1.1076280000000001</v>
      </c>
      <c r="L2616">
        <v>310.71140000000003</v>
      </c>
      <c r="M2616">
        <v>-3.884738E-3</v>
      </c>
      <c r="N2616">
        <v>0</v>
      </c>
      <c r="O2616">
        <v>-0.99988310000000002</v>
      </c>
      <c r="P2616">
        <v>-0.13955919999999999</v>
      </c>
      <c r="Q2616">
        <v>2.4684560000000001E-2</v>
      </c>
      <c r="R2616">
        <v>-0.98990619999999996</v>
      </c>
      <c r="S2616">
        <v>-1.5144500000000001</v>
      </c>
      <c r="T2616">
        <v>-0.15666559999999999</v>
      </c>
      <c r="U2616">
        <v>-2.8320620000000001</v>
      </c>
      <c r="V2616">
        <v>0.1359969</v>
      </c>
      <c r="W2616">
        <v>3.8333390000000002E-2</v>
      </c>
      <c r="X2616">
        <v>0.98996729999999999</v>
      </c>
      <c r="Y2616">
        <v>0.46757130000000002</v>
      </c>
      <c r="Z2616">
        <v>4.8770439999999998E-2</v>
      </c>
      <c r="AA2616">
        <v>0.88260899999999998</v>
      </c>
      <c r="AB2616">
        <v>23</v>
      </c>
      <c r="AC2616">
        <v>-10.3104999999999</v>
      </c>
      <c r="AD2616">
        <v>-1.06706831</v>
      </c>
      <c r="AE2616">
        <v>-19.062000000000001</v>
      </c>
      <c r="AF2616">
        <v>10.211606713890101</v>
      </c>
      <c r="AG2616">
        <v>-1.06706831</v>
      </c>
      <c r="AH2616">
        <v>19.0557164039935</v>
      </c>
      <c r="AI2616">
        <v>92.825657313110796</v>
      </c>
      <c r="AJ2616">
        <v>61.813964234709402</v>
      </c>
      <c r="AK2616">
        <v>21.645689504536399</v>
      </c>
      <c r="AL2616">
        <v>87.803120127564299</v>
      </c>
      <c r="AM2616">
        <v>82.177944611933995</v>
      </c>
      <c r="AN2616">
        <v>0.99999993033389301</v>
      </c>
    </row>
    <row r="2617" spans="1:40" x14ac:dyDescent="0.25">
      <c r="A2617" t="str">
        <f>"20190312150713533"</f>
        <v>20190312150713533</v>
      </c>
      <c r="B2617" t="str">
        <f>"1552374433522812"</f>
        <v>1552374433522812</v>
      </c>
      <c r="C2617" t="s">
        <v>40</v>
      </c>
      <c r="D2617">
        <v>4.6405500000000002</v>
      </c>
      <c r="E2617">
        <v>0.64149599999999996</v>
      </c>
      <c r="F2617" t="s">
        <v>61</v>
      </c>
      <c r="G2617">
        <v>-202.61609999999999</v>
      </c>
      <c r="H2617" s="1">
        <v>3.1189139999999999E-6</v>
      </c>
      <c r="I2617">
        <v>287.57010000000002</v>
      </c>
      <c r="J2617">
        <v>-189.93369999999999</v>
      </c>
      <c r="K2617">
        <v>1.1075649999999999</v>
      </c>
      <c r="L2617">
        <v>310.47640000000001</v>
      </c>
      <c r="M2617">
        <v>-8.8487640000000003E-3</v>
      </c>
      <c r="N2617">
        <v>0</v>
      </c>
      <c r="O2617">
        <v>-0.99985159999999995</v>
      </c>
      <c r="P2617">
        <v>-0.148898</v>
      </c>
      <c r="Q2617">
        <v>2.4791359999999998E-2</v>
      </c>
      <c r="R2617">
        <v>-0.98854200000000003</v>
      </c>
      <c r="S2617">
        <v>-1.5442659999999999</v>
      </c>
      <c r="T2617">
        <v>-0.13479759999999999</v>
      </c>
      <c r="U2617">
        <v>-2.816284</v>
      </c>
      <c r="V2617">
        <v>0.14043539999999999</v>
      </c>
      <c r="W2617">
        <v>3.8380560000000001E-2</v>
      </c>
      <c r="X2617">
        <v>0.98934569999999999</v>
      </c>
      <c r="Y2617">
        <v>0.47259430000000002</v>
      </c>
      <c r="Z2617">
        <v>4.2023070000000003E-2</v>
      </c>
      <c r="AA2617">
        <v>0.88027759999999999</v>
      </c>
      <c r="AB2617">
        <v>23</v>
      </c>
      <c r="AC2617">
        <v>-12.682399999999999</v>
      </c>
      <c r="AD2617">
        <v>-1.107561881086</v>
      </c>
      <c r="AE2617">
        <v>-22.906299999999899</v>
      </c>
      <c r="AF2617">
        <v>12.456898676445</v>
      </c>
      <c r="AG2617">
        <v>-1.107561881086</v>
      </c>
      <c r="AH2617">
        <v>22.976525140918302</v>
      </c>
      <c r="AI2617">
        <v>92.426555921906697</v>
      </c>
      <c r="AJ2617">
        <v>61.5353264154068</v>
      </c>
      <c r="AK2617">
        <v>26.159543679256</v>
      </c>
      <c r="AL2617">
        <v>87.800415739831905</v>
      </c>
      <c r="AM2617">
        <v>81.920966197196705</v>
      </c>
      <c r="AN2617">
        <v>1.00000004153378</v>
      </c>
    </row>
    <row r="2618" spans="1:40" x14ac:dyDescent="0.25">
      <c r="A2618" t="str">
        <f>"20190312150713555"</f>
        <v>20190312150713555</v>
      </c>
      <c r="B2618" t="str">
        <f>"1552374433553068"</f>
        <v>1552374433553068</v>
      </c>
      <c r="C2618" t="s">
        <v>40</v>
      </c>
      <c r="D2618">
        <v>4.7232640000000004</v>
      </c>
      <c r="E2618">
        <v>0.64019899999999996</v>
      </c>
      <c r="F2618" t="s">
        <v>61</v>
      </c>
      <c r="G2618">
        <v>-204.66749999999999</v>
      </c>
      <c r="H2618" s="1">
        <v>4.3293979999999999E-6</v>
      </c>
      <c r="I2618">
        <v>284.12939999999998</v>
      </c>
      <c r="J2618">
        <v>-189.94130000000001</v>
      </c>
      <c r="K2618">
        <v>1.107505</v>
      </c>
      <c r="L2618">
        <v>310.25200000000001</v>
      </c>
      <c r="M2618">
        <v>-1.3711350000000001E-2</v>
      </c>
      <c r="N2618">
        <v>0</v>
      </c>
      <c r="O2618">
        <v>-0.99979669999999998</v>
      </c>
      <c r="P2618">
        <v>-0.15821370000000001</v>
      </c>
      <c r="Q2618">
        <v>2.5861439999999999E-2</v>
      </c>
      <c r="R2618">
        <v>-0.98706669999999996</v>
      </c>
      <c r="S2618">
        <v>-1.566818</v>
      </c>
      <c r="T2618">
        <v>-0.11778</v>
      </c>
      <c r="U2618">
        <v>-2.8017880000000002</v>
      </c>
      <c r="V2618">
        <v>0.1449686</v>
      </c>
      <c r="W2618">
        <v>3.9389729999999998E-2</v>
      </c>
      <c r="X2618">
        <v>0.98865190000000003</v>
      </c>
      <c r="Y2618">
        <v>0.47574119999999998</v>
      </c>
      <c r="Z2618">
        <v>3.6789290000000002E-2</v>
      </c>
      <c r="AA2618">
        <v>0.87881559999999903</v>
      </c>
      <c r="AB2618">
        <v>23</v>
      </c>
      <c r="AC2618">
        <v>-14.726199999999899</v>
      </c>
      <c r="AD2618">
        <v>-1.1075006706020001</v>
      </c>
      <c r="AE2618">
        <v>-26.122599999999998</v>
      </c>
      <c r="AF2618">
        <v>14.347031085292</v>
      </c>
      <c r="AG2618">
        <v>-1.1075006706020001</v>
      </c>
      <c r="AH2618">
        <v>26.286228155508699</v>
      </c>
      <c r="AI2618">
        <v>92.117971950796303</v>
      </c>
      <c r="AJ2618">
        <v>61.374274975461802</v>
      </c>
      <c r="AK2618">
        <v>29.967142829124999</v>
      </c>
      <c r="AL2618">
        <v>87.742550728569</v>
      </c>
      <c r="AM2618">
        <v>81.658019118791898</v>
      </c>
      <c r="AN2618">
        <v>1.0000000125945201</v>
      </c>
    </row>
    <row r="2619" spans="1:40" x14ac:dyDescent="0.25">
      <c r="A2619" t="str">
        <f>"20190312150713577"</f>
        <v>20190312150713577</v>
      </c>
      <c r="B2619" t="str">
        <f>"1552374433573095"</f>
        <v>1552374433573095</v>
      </c>
      <c r="C2619" t="s">
        <v>40</v>
      </c>
      <c r="D2619">
        <v>4.6499519999999999</v>
      </c>
      <c r="E2619">
        <v>0.63981180000000004</v>
      </c>
      <c r="F2619" t="s">
        <v>61</v>
      </c>
      <c r="G2619">
        <v>-204.661</v>
      </c>
      <c r="H2619" s="1">
        <v>4.309631E-6</v>
      </c>
      <c r="I2619">
        <v>284.32249999999999</v>
      </c>
      <c r="J2619">
        <v>-189.95009999999999</v>
      </c>
      <c r="K2619">
        <v>1.1074389999999901</v>
      </c>
      <c r="L2619">
        <v>310.03019999999998</v>
      </c>
      <c r="M2619">
        <v>-1.8649019999999999E-2</v>
      </c>
      <c r="N2619">
        <v>0</v>
      </c>
      <c r="O2619">
        <v>-0.99971650000000001</v>
      </c>
      <c r="P2619">
        <v>-0.16743939999999999</v>
      </c>
      <c r="Q2619">
        <v>2.621103E-2</v>
      </c>
      <c r="R2619">
        <v>-0.98553400000000002</v>
      </c>
      <c r="S2619">
        <v>-1.583099</v>
      </c>
      <c r="T2619">
        <v>-0.1191118</v>
      </c>
      <c r="U2619">
        <v>-2.7887270000000002</v>
      </c>
      <c r="V2619">
        <v>0.14934269999999999</v>
      </c>
      <c r="W2619">
        <v>3.9677999999999998E-2</v>
      </c>
      <c r="X2619">
        <v>0.98798909999999995</v>
      </c>
      <c r="Y2619">
        <v>0.47702990000000001</v>
      </c>
      <c r="Z2619">
        <v>3.728795E-2</v>
      </c>
      <c r="AA2619">
        <v>0.87809570000000003</v>
      </c>
      <c r="AB2619">
        <v>23</v>
      </c>
      <c r="AC2619">
        <v>-14.710899999999899</v>
      </c>
      <c r="AD2619">
        <v>-1.10743469036899</v>
      </c>
      <c r="AE2619">
        <v>-25.7076999999999</v>
      </c>
      <c r="AF2619">
        <v>14.209001751528</v>
      </c>
      <c r="AG2619">
        <v>-1.10743469036899</v>
      </c>
      <c r="AH2619">
        <v>25.9413376280724</v>
      </c>
      <c r="AI2619">
        <v>92.144230441266203</v>
      </c>
      <c r="AJ2619">
        <v>61.288897421097303</v>
      </c>
      <c r="AK2619">
        <v>29.598566524445101</v>
      </c>
      <c r="AL2619">
        <v>87.726021177371393</v>
      </c>
      <c r="AM2619">
        <v>81.404343105453606</v>
      </c>
      <c r="AN2619">
        <v>1.00000002372304</v>
      </c>
    </row>
    <row r="2620" spans="1:40" x14ac:dyDescent="0.25">
      <c r="A2620" t="str">
        <f>"20190312150713601"</f>
        <v>20190312150713601</v>
      </c>
      <c r="B2620" t="str">
        <f>"1552374433592614"</f>
        <v>1552374433592614</v>
      </c>
      <c r="C2620" t="s">
        <v>40</v>
      </c>
      <c r="D2620">
        <v>4.5020959999999999</v>
      </c>
      <c r="E2620">
        <v>0.63932889999999998</v>
      </c>
      <c r="F2620" t="s">
        <v>61</v>
      </c>
      <c r="G2620">
        <v>-205.93620000000001</v>
      </c>
      <c r="H2620" s="1">
        <v>5.0418060000000003E-6</v>
      </c>
      <c r="I2620">
        <v>282.41579999999999</v>
      </c>
      <c r="J2620">
        <v>-189.96090000000001</v>
      </c>
      <c r="K2620">
        <v>1.1073729999999999</v>
      </c>
      <c r="L2620">
        <v>309.79109999999997</v>
      </c>
      <c r="M2620">
        <v>-2.4120289999999999E-2</v>
      </c>
      <c r="N2620">
        <v>0</v>
      </c>
      <c r="O2620">
        <v>-0.99959949999999997</v>
      </c>
      <c r="P2620">
        <v>-0.17625739999999901</v>
      </c>
      <c r="Q2620">
        <v>2.6433439999999999E-2</v>
      </c>
      <c r="R2620">
        <v>-0.98398929999999996</v>
      </c>
      <c r="S2620">
        <v>-1.6059570000000001</v>
      </c>
      <c r="T2620">
        <v>-0.1112527</v>
      </c>
      <c r="U2620">
        <v>-2.7741389999999999</v>
      </c>
      <c r="V2620">
        <v>0.1527917</v>
      </c>
      <c r="W2620">
        <v>3.984476E-2</v>
      </c>
      <c r="X2620">
        <v>0.98745479999999997</v>
      </c>
      <c r="Y2620">
        <v>0.4796803</v>
      </c>
      <c r="Z2620">
        <v>3.4890190000000001E-2</v>
      </c>
      <c r="AA2620">
        <v>0.87674940000000001</v>
      </c>
      <c r="AB2620">
        <v>23</v>
      </c>
      <c r="AC2620">
        <v>-15.975300000000001</v>
      </c>
      <c r="AD2620">
        <v>-1.1073679581939999</v>
      </c>
      <c r="AE2620">
        <v>-27.3752999999999</v>
      </c>
      <c r="AF2620">
        <v>15.291613307988699</v>
      </c>
      <c r="AG2620">
        <v>-1.1073679581939999</v>
      </c>
      <c r="AH2620">
        <v>27.718870434550201</v>
      </c>
      <c r="AI2620">
        <v>92.0033969791766</v>
      </c>
      <c r="AJ2620">
        <v>61.115884954870602</v>
      </c>
      <c r="AK2620">
        <v>31.676418350616501</v>
      </c>
      <c r="AL2620">
        <v>87.716458792382696</v>
      </c>
      <c r="AM2620">
        <v>81.204214815195598</v>
      </c>
      <c r="AN2620">
        <v>0.99999994526569203</v>
      </c>
    </row>
    <row r="2621" spans="1:40" x14ac:dyDescent="0.25">
      <c r="A2621" t="str">
        <f>"20190312150713623"</f>
        <v>20190312150713623</v>
      </c>
      <c r="B2621" t="str">
        <f>"1552374433613110"</f>
        <v>1552374433613110</v>
      </c>
      <c r="C2621" t="s">
        <v>40</v>
      </c>
      <c r="D2621">
        <v>4.6023290000000001</v>
      </c>
      <c r="E2621">
        <v>0.63862739999999996</v>
      </c>
      <c r="F2621" t="s">
        <v>61</v>
      </c>
      <c r="G2621">
        <v>-206.95339999999999</v>
      </c>
      <c r="H2621" s="1">
        <v>5.6201739999999997E-6</v>
      </c>
      <c r="I2621">
        <v>280.96010000000001</v>
      </c>
      <c r="J2621">
        <v>-189.97300000000001</v>
      </c>
      <c r="K2621">
        <v>1.1073029999999999</v>
      </c>
      <c r="L2621">
        <v>309.5557</v>
      </c>
      <c r="M2621">
        <v>-2.9665130000000001E-2</v>
      </c>
      <c r="N2621">
        <v>0</v>
      </c>
      <c r="O2621">
        <v>-0.99945019999999996</v>
      </c>
      <c r="P2621">
        <v>-0.1849961</v>
      </c>
      <c r="Q2621">
        <v>2.6358679999999999E-2</v>
      </c>
      <c r="R2621">
        <v>-0.98238599999999998</v>
      </c>
      <c r="S2621">
        <v>-1.626862</v>
      </c>
      <c r="T2621">
        <v>-0.1060194</v>
      </c>
      <c r="U2621">
        <v>-2.760284</v>
      </c>
      <c r="V2621">
        <v>0.15609799999999999</v>
      </c>
      <c r="W2621">
        <v>3.9713249999999999E-2</v>
      </c>
      <c r="X2621">
        <v>0.98694289999999996</v>
      </c>
      <c r="Y2621">
        <v>0.48169000000000001</v>
      </c>
      <c r="Z2621">
        <v>3.330864E-2</v>
      </c>
      <c r="AA2621">
        <v>0.875708499999999</v>
      </c>
      <c r="AB2621">
        <v>23</v>
      </c>
      <c r="AC2621">
        <v>-16.980399999999999</v>
      </c>
      <c r="AD2621">
        <v>-1.107297379826</v>
      </c>
      <c r="AE2621">
        <v>-28.595599999999902</v>
      </c>
      <c r="AF2621">
        <v>16.1066848306106</v>
      </c>
      <c r="AG2621">
        <v>-1.107297379826</v>
      </c>
      <c r="AH2621">
        <v>29.054584559283001</v>
      </c>
      <c r="AI2621">
        <v>91.909068209488794</v>
      </c>
      <c r="AJ2621">
        <v>60.997789148759601</v>
      </c>
      <c r="AK2621">
        <v>33.238837037906698</v>
      </c>
      <c r="AL2621">
        <v>87.723999871905903</v>
      </c>
      <c r="AM2621">
        <v>81.012369030107706</v>
      </c>
      <c r="AN2621">
        <v>1.00000000784498</v>
      </c>
    </row>
    <row r="2622" spans="1:40" x14ac:dyDescent="0.25">
      <c r="A2622" t="str">
        <f>"20190312150713645"</f>
        <v>20190312150713645</v>
      </c>
      <c r="B2622" t="str">
        <f>"1552374433642391"</f>
        <v>1552374433642391</v>
      </c>
      <c r="C2622" t="s">
        <v>40</v>
      </c>
      <c r="D2622">
        <v>4.6564350000000001</v>
      </c>
      <c r="E2622">
        <v>0.63739869999999899</v>
      </c>
      <c r="F2622" t="s">
        <v>61</v>
      </c>
      <c r="G2622">
        <v>-206.4076</v>
      </c>
      <c r="H2622" s="1">
        <v>5.2760690000000004E-6</v>
      </c>
      <c r="I2622">
        <v>282.1275</v>
      </c>
      <c r="J2622">
        <v>-189.9853</v>
      </c>
      <c r="K2622">
        <v>1.107229</v>
      </c>
      <c r="L2622">
        <v>309.34190000000001</v>
      </c>
      <c r="M2622">
        <v>-3.4846059999999998E-2</v>
      </c>
      <c r="N2622">
        <v>0</v>
      </c>
      <c r="O2622">
        <v>-0.99928300000000003</v>
      </c>
      <c r="P2622">
        <v>-0.19412850000000001</v>
      </c>
      <c r="Q2622">
        <v>2.6855770000000001E-2</v>
      </c>
      <c r="R2622">
        <v>-0.98060879999999995</v>
      </c>
      <c r="S2622">
        <v>-1.6458279999999901</v>
      </c>
      <c r="T2622">
        <v>-0.1108893</v>
      </c>
      <c r="U2622">
        <v>-2.7467649999999999</v>
      </c>
      <c r="V2622">
        <v>0.16017690000000001</v>
      </c>
      <c r="W2622">
        <v>4.0143970000000001E-2</v>
      </c>
      <c r="X2622">
        <v>0.98627169999999997</v>
      </c>
      <c r="Y2622">
        <v>0.48346489999999998</v>
      </c>
      <c r="Z2622">
        <v>3.489942E-2</v>
      </c>
      <c r="AA2622">
        <v>0.8746678</v>
      </c>
      <c r="AB2622">
        <v>23</v>
      </c>
      <c r="AC2622">
        <v>-16.4223</v>
      </c>
      <c r="AD2622">
        <v>-1.1072237239309899</v>
      </c>
      <c r="AE2622">
        <v>-27.214400000000001</v>
      </c>
      <c r="AF2622">
        <v>15.4451642432204</v>
      </c>
      <c r="AG2622">
        <v>-1.1072237239309899</v>
      </c>
      <c r="AH2622">
        <v>27.736527774287602</v>
      </c>
      <c r="AI2622">
        <v>91.997469588897999</v>
      </c>
      <c r="AJ2622">
        <v>60.888628697095001</v>
      </c>
      <c r="AK2622">
        <v>31.7662401906288</v>
      </c>
      <c r="AL2622">
        <v>87.699301770262295</v>
      </c>
      <c r="AM2622">
        <v>80.775335138209599</v>
      </c>
      <c r="AN2622">
        <v>1.00000002192093</v>
      </c>
    </row>
    <row r="2623" spans="1:40" x14ac:dyDescent="0.25">
      <c r="A2623" t="str">
        <f>"20190312150713666"</f>
        <v>20190312150713666</v>
      </c>
      <c r="B2623" t="str">
        <f>"1552374433662888"</f>
        <v>1552374433662888</v>
      </c>
      <c r="C2623" t="s">
        <v>40</v>
      </c>
      <c r="D2623">
        <v>4.6071519999999904</v>
      </c>
      <c r="E2623">
        <v>0.6370498</v>
      </c>
      <c r="F2623" t="s">
        <v>61</v>
      </c>
      <c r="G2623">
        <v>-204.46879999999999</v>
      </c>
      <c r="H2623" s="1">
        <v>4.1200560000000002E-6</v>
      </c>
      <c r="I2623">
        <v>285.5163</v>
      </c>
      <c r="J2623">
        <v>-189.99950000000001</v>
      </c>
      <c r="K2623">
        <v>1.1071470000000001</v>
      </c>
      <c r="L2623">
        <v>309.12040000000002</v>
      </c>
      <c r="M2623">
        <v>-4.0369160000000001E-2</v>
      </c>
      <c r="N2623">
        <v>0</v>
      </c>
      <c r="O2623">
        <v>-0.99907480000000004</v>
      </c>
      <c r="P2623">
        <v>-0.2026435</v>
      </c>
      <c r="Q2623">
        <v>2.698041E-2</v>
      </c>
      <c r="R2623">
        <v>-0.9788808</v>
      </c>
      <c r="S2623">
        <v>-1.66185</v>
      </c>
      <c r="T2623">
        <v>-0.12704380000000001</v>
      </c>
      <c r="U2623">
        <v>-2.733765</v>
      </c>
      <c r="V2623">
        <v>0.16330710000000001</v>
      </c>
      <c r="W2623">
        <v>4.0208769999999998E-2</v>
      </c>
      <c r="X2623">
        <v>0.98575559999999995</v>
      </c>
      <c r="Y2623">
        <v>0.48411120000000002</v>
      </c>
      <c r="Z2623">
        <v>4.0060709999999999E-2</v>
      </c>
      <c r="AA2623">
        <v>0.87408889999999995</v>
      </c>
      <c r="AB2623">
        <v>22</v>
      </c>
      <c r="AC2623">
        <v>-14.469299999999899</v>
      </c>
      <c r="AD2623">
        <v>-1.107142879944</v>
      </c>
      <c r="AE2623">
        <v>-23.604099999999999</v>
      </c>
      <c r="AF2623">
        <v>13.4829588765895</v>
      </c>
      <c r="AG2623">
        <v>-1.107142879944</v>
      </c>
      <c r="AH2623">
        <v>24.130444184179801</v>
      </c>
      <c r="AI2623">
        <v>92.293654883720805</v>
      </c>
      <c r="AJ2623">
        <v>60.805591996841002</v>
      </c>
      <c r="AK2623">
        <v>27.6639527535425</v>
      </c>
      <c r="AL2623">
        <v>87.695586018934407</v>
      </c>
      <c r="AM2623">
        <v>80.593419601293803</v>
      </c>
      <c r="AN2623">
        <v>1.0000000285133399</v>
      </c>
    </row>
    <row r="2624" spans="1:40" x14ac:dyDescent="0.25">
      <c r="A2624" t="str">
        <f>"20190312150713689"</f>
        <v>20190312150713689</v>
      </c>
      <c r="B2624" t="str">
        <f>"1552374433682407"</f>
        <v>1552374433682407</v>
      </c>
      <c r="C2624" t="s">
        <v>40</v>
      </c>
      <c r="D2624">
        <v>4.7383870000000003</v>
      </c>
      <c r="E2624">
        <v>0.63667949999999995</v>
      </c>
      <c r="F2624" t="s">
        <v>61</v>
      </c>
      <c r="G2624">
        <v>-203.49459999999999</v>
      </c>
      <c r="H2624" s="1">
        <v>3.5314740000000001E-6</v>
      </c>
      <c r="I2624">
        <v>287.30720000000002</v>
      </c>
      <c r="J2624">
        <v>-190.01519999999999</v>
      </c>
      <c r="K2624">
        <v>1.107075</v>
      </c>
      <c r="L2624">
        <v>308.89609999999999</v>
      </c>
      <c r="M2624">
        <v>-4.6095160000000003E-2</v>
      </c>
      <c r="N2624">
        <v>0</v>
      </c>
      <c r="O2624">
        <v>-0.99882689999999996</v>
      </c>
      <c r="P2624">
        <v>-0.21169170000000001</v>
      </c>
      <c r="Q2624">
        <v>2.7517819999999998E-2</v>
      </c>
      <c r="R2624">
        <v>-0.97694899999999996</v>
      </c>
      <c r="S2624">
        <v>-1.6829069999999999</v>
      </c>
      <c r="T2624">
        <v>-0.13806589999999999</v>
      </c>
      <c r="U2624">
        <v>-2.720215</v>
      </c>
      <c r="V2624">
        <v>0.16679079999999999</v>
      </c>
      <c r="W2624">
        <v>4.0684739999999997E-2</v>
      </c>
      <c r="X2624">
        <v>0.98515249999999999</v>
      </c>
      <c r="Y2624">
        <v>0.48585899999999999</v>
      </c>
      <c r="Z2624">
        <v>4.3592739999999998E-2</v>
      </c>
      <c r="AA2624">
        <v>0.87294939999999999</v>
      </c>
      <c r="AB2624">
        <v>22</v>
      </c>
      <c r="AC2624">
        <v>-13.479399999999901</v>
      </c>
      <c r="AD2624">
        <v>-1.1070714685259999</v>
      </c>
      <c r="AE2624">
        <v>-21.588899999999899</v>
      </c>
      <c r="AF2624">
        <v>12.446266977020199</v>
      </c>
      <c r="AG2624">
        <v>-1.1070714685259999</v>
      </c>
      <c r="AH2624">
        <v>22.1454507872477</v>
      </c>
      <c r="AI2624">
        <v>92.495355735771199</v>
      </c>
      <c r="AJ2624">
        <v>60.662983727653199</v>
      </c>
      <c r="AK2624">
        <v>25.427468601299999</v>
      </c>
      <c r="AL2624">
        <v>87.668292391626295</v>
      </c>
      <c r="AM2624">
        <v>80.390686303356205</v>
      </c>
      <c r="AN2624">
        <v>0.99999993364487605</v>
      </c>
    </row>
    <row r="2625" spans="1:40" x14ac:dyDescent="0.25">
      <c r="A2625" t="str">
        <f>"20190312150713711"</f>
        <v>20190312150713711</v>
      </c>
      <c r="B2625" t="str">
        <f>"1552374433702903"</f>
        <v>1552374433702903</v>
      </c>
      <c r="C2625" t="s">
        <v>40</v>
      </c>
      <c r="D2625">
        <v>4.6863590000000004</v>
      </c>
      <c r="E2625">
        <v>0.63626349999999998</v>
      </c>
      <c r="F2625" t="s">
        <v>61</v>
      </c>
      <c r="G2625">
        <v>-203.01060000000001</v>
      </c>
      <c r="H2625" s="1">
        <v>3.2319989999999999E-6</v>
      </c>
      <c r="I2625">
        <v>288.27730000000003</v>
      </c>
      <c r="J2625">
        <v>-190.0324</v>
      </c>
      <c r="K2625">
        <v>1.1070059999999999</v>
      </c>
      <c r="L2625">
        <v>308.67270000000002</v>
      </c>
      <c r="M2625">
        <v>-5.1928969999999998E-2</v>
      </c>
      <c r="N2625">
        <v>0</v>
      </c>
      <c r="O2625">
        <v>-0.99854050000000005</v>
      </c>
      <c r="P2625">
        <v>-0.22118409999999999</v>
      </c>
      <c r="Q2625">
        <v>2.7260409999999999E-2</v>
      </c>
      <c r="R2625">
        <v>-0.97485109999999997</v>
      </c>
      <c r="S2625">
        <v>-1.705109</v>
      </c>
      <c r="T2625">
        <v>-0.1452582</v>
      </c>
      <c r="U2625">
        <v>-2.7053829999999999</v>
      </c>
      <c r="V2625">
        <v>0.17062249999999901</v>
      </c>
      <c r="W2625">
        <v>4.0364560000000001E-2</v>
      </c>
      <c r="X2625">
        <v>0.98450930000000003</v>
      </c>
      <c r="Y2625">
        <v>0.48798209999999997</v>
      </c>
      <c r="Z2625">
        <v>4.5929640000000001E-2</v>
      </c>
      <c r="AA2625">
        <v>0.87164439999999999</v>
      </c>
      <c r="AB2625">
        <v>22</v>
      </c>
      <c r="AC2625">
        <v>-12.978199999999999</v>
      </c>
      <c r="AD2625">
        <v>-1.1070027680009999</v>
      </c>
      <c r="AE2625">
        <v>-20.395399999999899</v>
      </c>
      <c r="AF2625">
        <v>11.8765527030175</v>
      </c>
      <c r="AG2625">
        <v>-1.1070027680009999</v>
      </c>
      <c r="AH2625">
        <v>20.997863929407899</v>
      </c>
      <c r="AI2625">
        <v>92.627357507239296</v>
      </c>
      <c r="AJ2625">
        <v>60.507167029813999</v>
      </c>
      <c r="AK2625">
        <v>24.149290855713399</v>
      </c>
      <c r="AL2625">
        <v>87.686652472051193</v>
      </c>
      <c r="AM2625">
        <v>80.167892531502602</v>
      </c>
      <c r="AN2625">
        <v>0.99999994849836504</v>
      </c>
    </row>
    <row r="2626" spans="1:40" x14ac:dyDescent="0.25">
      <c r="A2626" t="str">
        <f>"20190312150713735"</f>
        <v>20190312150713735</v>
      </c>
      <c r="B2626" t="str">
        <f>"1552374433722423"</f>
        <v>1552374433722423</v>
      </c>
      <c r="C2626" t="s">
        <v>40</v>
      </c>
      <c r="D2626">
        <v>4.6237079999999997</v>
      </c>
      <c r="E2626">
        <v>0.63581589999999999</v>
      </c>
      <c r="F2626" t="s">
        <v>61</v>
      </c>
      <c r="G2626">
        <v>-201.5341</v>
      </c>
      <c r="H2626">
        <v>8.0000249999999995E-2</v>
      </c>
      <c r="I2626">
        <v>290.7758</v>
      </c>
      <c r="J2626">
        <v>-190.0515</v>
      </c>
      <c r="K2626">
        <v>1.106948</v>
      </c>
      <c r="L2626">
        <v>308.44420000000002</v>
      </c>
      <c r="M2626">
        <v>-5.8035080000000003E-2</v>
      </c>
      <c r="N2626">
        <v>0</v>
      </c>
      <c r="O2626">
        <v>-0.99820419999999999</v>
      </c>
      <c r="P2626">
        <v>-0.2303211</v>
      </c>
      <c r="Q2626">
        <v>2.678125E-2</v>
      </c>
      <c r="R2626">
        <v>-0.97274640000000001</v>
      </c>
      <c r="S2626">
        <v>-1.7284999999999999</v>
      </c>
      <c r="T2626">
        <v>-0.15434039999999999</v>
      </c>
      <c r="U2626">
        <v>-2.689575</v>
      </c>
      <c r="V2626">
        <v>0.1738401</v>
      </c>
      <c r="W2626">
        <v>3.9829990000000003E-2</v>
      </c>
      <c r="X2626">
        <v>0.98396810000000001</v>
      </c>
      <c r="Y2626">
        <v>0.49026239999999999</v>
      </c>
      <c r="Z2626">
        <v>4.8871289999999998E-2</v>
      </c>
      <c r="AA2626">
        <v>0.87020370000000002</v>
      </c>
      <c r="AB2626">
        <v>22</v>
      </c>
      <c r="AC2626">
        <v>-11.4825999999999</v>
      </c>
      <c r="AD2626">
        <v>-1.0269477499999999</v>
      </c>
      <c r="AE2626">
        <v>-17.668399999999998</v>
      </c>
      <c r="AF2626">
        <v>10.413009843109</v>
      </c>
      <c r="AG2626">
        <v>-1.0269477499999999</v>
      </c>
      <c r="AH2626">
        <v>18.261706790541901</v>
      </c>
      <c r="AI2626">
        <v>92.796750253185095</v>
      </c>
      <c r="AJ2626">
        <v>60.307774346791</v>
      </c>
      <c r="AK2626">
        <v>21.046979131876299</v>
      </c>
      <c r="AL2626">
        <v>87.717305883002496</v>
      </c>
      <c r="AM2626">
        <v>79.980801518631395</v>
      </c>
      <c r="AN2626">
        <v>1.0000000151445001</v>
      </c>
    </row>
    <row r="2627" spans="1:40" x14ac:dyDescent="0.25">
      <c r="A2627" t="str">
        <f>"20190312150713756"</f>
        <v>20190312150713756</v>
      </c>
      <c r="B2627" t="str">
        <f>"1552374433752679"</f>
        <v>1552374433752679</v>
      </c>
      <c r="C2627" t="s">
        <v>40</v>
      </c>
      <c r="D2627">
        <v>4.5627050000000002</v>
      </c>
      <c r="E2627">
        <v>0.63484569999999996</v>
      </c>
      <c r="F2627" t="s">
        <v>61</v>
      </c>
      <c r="G2627">
        <v>-201.26230000000001</v>
      </c>
      <c r="H2627">
        <v>8.0000160000000001E-2</v>
      </c>
      <c r="I2627">
        <v>291.315</v>
      </c>
      <c r="J2627">
        <v>-190.0712</v>
      </c>
      <c r="K2627">
        <v>1.106887</v>
      </c>
      <c r="L2627">
        <v>308.22500000000002</v>
      </c>
      <c r="M2627">
        <v>-6.4032900000000004E-2</v>
      </c>
      <c r="N2627">
        <v>0</v>
      </c>
      <c r="O2627">
        <v>-0.99783739999999999</v>
      </c>
      <c r="P2627">
        <v>-0.23928160000000001</v>
      </c>
      <c r="Q2627">
        <v>2.5632820000000001E-2</v>
      </c>
      <c r="R2627">
        <v>-0.97061200000000003</v>
      </c>
      <c r="S2627">
        <v>-1.7501369999999901</v>
      </c>
      <c r="T2627">
        <v>-0.16031860000000001</v>
      </c>
      <c r="U2627">
        <v>-2.6740719999999998</v>
      </c>
      <c r="V2627">
        <v>0.1769945</v>
      </c>
      <c r="W2627">
        <v>3.8625949999999999E-2</v>
      </c>
      <c r="X2627">
        <v>0.98345360000000004</v>
      </c>
      <c r="Y2627">
        <v>0.49221039999999999</v>
      </c>
      <c r="Z2627">
        <v>5.0843430000000002E-2</v>
      </c>
      <c r="AA2627">
        <v>0.86899020000000005</v>
      </c>
      <c r="AB2627">
        <v>22</v>
      </c>
      <c r="AC2627">
        <v>-11.1911</v>
      </c>
      <c r="AD2627">
        <v>-1.02688684</v>
      </c>
      <c r="AE2627">
        <v>-16.91</v>
      </c>
      <c r="AF2627">
        <v>10.059415349863899</v>
      </c>
      <c r="AG2627">
        <v>-1.02688684</v>
      </c>
      <c r="AH2627">
        <v>17.546967658380598</v>
      </c>
      <c r="AI2627">
        <v>92.906458704434698</v>
      </c>
      <c r="AJ2627">
        <v>60.174994681302202</v>
      </c>
      <c r="AK2627">
        <v>20.251972935185702</v>
      </c>
      <c r="AL2627">
        <v>87.786345404057101</v>
      </c>
      <c r="AM2627">
        <v>79.797558285067495</v>
      </c>
      <c r="AN2627">
        <v>1.0000000001983</v>
      </c>
    </row>
    <row r="2628" spans="1:40" x14ac:dyDescent="0.25">
      <c r="A2628" t="str">
        <f>"20190312150713778"</f>
        <v>20190312150713778</v>
      </c>
      <c r="B2628" t="str">
        <f>"1552374433772591"</f>
        <v>1552374433772591</v>
      </c>
      <c r="C2628" t="s">
        <v>40</v>
      </c>
      <c r="D2628">
        <v>4.6043139999999996</v>
      </c>
      <c r="E2628">
        <v>0.63420500000000002</v>
      </c>
      <c r="F2628" t="s">
        <v>61</v>
      </c>
      <c r="G2628">
        <v>-200.67140000000001</v>
      </c>
      <c r="H2628">
        <v>8.0000080000000001E-2</v>
      </c>
      <c r="I2628">
        <v>292.2783</v>
      </c>
      <c r="J2628">
        <v>-190.0924</v>
      </c>
      <c r="K2628">
        <v>1.1068089999999999</v>
      </c>
      <c r="L2628">
        <v>308.00510000000003</v>
      </c>
      <c r="M2628">
        <v>-7.0192009999999999E-2</v>
      </c>
      <c r="N2628">
        <v>0</v>
      </c>
      <c r="O2628">
        <v>-0.99742280000000005</v>
      </c>
      <c r="P2628">
        <v>-0.24895729999999999</v>
      </c>
      <c r="Q2628">
        <v>2.481686E-2</v>
      </c>
      <c r="R2628">
        <v>-0.96819659999999996</v>
      </c>
      <c r="S2628">
        <v>-1.7678529999999999</v>
      </c>
      <c r="T2628">
        <v>-0.17125889999999999</v>
      </c>
      <c r="U2628">
        <v>-2.6595149999999999</v>
      </c>
      <c r="V2628">
        <v>0.18073649999999999</v>
      </c>
      <c r="W2628">
        <v>3.7743489999999998E-2</v>
      </c>
      <c r="X2628">
        <v>0.98280710000000004</v>
      </c>
      <c r="Y2628">
        <v>0.49293799999999999</v>
      </c>
      <c r="Z2628">
        <v>5.4410640000000003E-2</v>
      </c>
      <c r="AA2628">
        <v>0.86836150000000001</v>
      </c>
      <c r="AB2628">
        <v>22</v>
      </c>
      <c r="AC2628">
        <v>-10.579000000000001</v>
      </c>
      <c r="AD2628">
        <v>-1.0268089199999999</v>
      </c>
      <c r="AE2628">
        <v>-15.726800000000001</v>
      </c>
      <c r="AF2628">
        <v>9.4212336168678501</v>
      </c>
      <c r="AG2628">
        <v>-1.0268089199999999</v>
      </c>
      <c r="AH2628">
        <v>16.382564207668501</v>
      </c>
      <c r="AI2628">
        <v>93.110006576207397</v>
      </c>
      <c r="AJ2628">
        <v>60.097788645360403</v>
      </c>
      <c r="AK2628">
        <v>18.926235479888</v>
      </c>
      <c r="AL2628">
        <v>87.8369435935208</v>
      </c>
      <c r="AM2628">
        <v>79.579830835839104</v>
      </c>
      <c r="AN2628">
        <v>1.00000002464001</v>
      </c>
    </row>
    <row r="2629" spans="1:40" x14ac:dyDescent="0.25">
      <c r="A2629" t="str">
        <f>"20190312150713802"</f>
        <v>20190312150713802</v>
      </c>
      <c r="B2629" t="str">
        <f>"1552374433793088"</f>
        <v>1552374433793088</v>
      </c>
      <c r="C2629" t="s">
        <v>40</v>
      </c>
      <c r="D2629">
        <v>4.5504610000000003</v>
      </c>
      <c r="E2629">
        <v>0.63333640000000002</v>
      </c>
      <c r="F2629" t="s">
        <v>61</v>
      </c>
      <c r="G2629">
        <v>-200.41059999999999</v>
      </c>
      <c r="H2629">
        <v>7.9999899999999902E-2</v>
      </c>
      <c r="I2629">
        <v>292.76690000000002</v>
      </c>
      <c r="J2629">
        <v>-190.1172</v>
      </c>
      <c r="K2629">
        <v>1.1067290000000001</v>
      </c>
      <c r="L2629">
        <v>307.76650000000001</v>
      </c>
      <c r="M2629">
        <v>-7.7020089999999999E-2</v>
      </c>
      <c r="N2629">
        <v>0</v>
      </c>
      <c r="O2629">
        <v>-0.99691870000000005</v>
      </c>
      <c r="P2629">
        <v>-0.25898929999999998</v>
      </c>
      <c r="Q2629">
        <v>2.378769E-2</v>
      </c>
      <c r="R2629">
        <v>-0.96558770000000005</v>
      </c>
      <c r="S2629">
        <v>-1.789612</v>
      </c>
      <c r="T2629">
        <v>-0.1780928</v>
      </c>
      <c r="U2629">
        <v>-2.642944</v>
      </c>
      <c r="V2629">
        <v>0.1841998</v>
      </c>
      <c r="W2629">
        <v>3.6646570000000003E-2</v>
      </c>
      <c r="X2629">
        <v>0.98220540000000001</v>
      </c>
      <c r="Y2629">
        <v>0.49433820000000001</v>
      </c>
      <c r="Z2629">
        <v>5.6680309999999998E-2</v>
      </c>
      <c r="AA2629">
        <v>0.86741979999999996</v>
      </c>
      <c r="AB2629">
        <v>22</v>
      </c>
      <c r="AC2629">
        <v>-10.293399999999901</v>
      </c>
      <c r="AD2629">
        <v>-1.0267290999999901</v>
      </c>
      <c r="AE2629">
        <v>-14.9995999999999</v>
      </c>
      <c r="AF2629">
        <v>9.0785005077710892</v>
      </c>
      <c r="AG2629">
        <v>-1.0267290999999901</v>
      </c>
      <c r="AH2629">
        <v>15.697916999782599</v>
      </c>
      <c r="AI2629">
        <v>93.240561486455903</v>
      </c>
      <c r="AJ2629">
        <v>59.958124435331598</v>
      </c>
      <c r="AK2629">
        <v>18.163092860150499</v>
      </c>
      <c r="AL2629">
        <v>87.899835934229799</v>
      </c>
      <c r="AM2629">
        <v>79.378299840448193</v>
      </c>
      <c r="AN2629">
        <v>0.99999999260098205</v>
      </c>
    </row>
    <row r="2630" spans="1:40" x14ac:dyDescent="0.25">
      <c r="A2630" t="str">
        <f>"20190312150713825"</f>
        <v>20190312150713825</v>
      </c>
      <c r="B2630" t="str">
        <f>"1552374433812607"</f>
        <v>1552374433812607</v>
      </c>
      <c r="C2630" t="s">
        <v>40</v>
      </c>
      <c r="D2630">
        <v>4.5112180000000004</v>
      </c>
      <c r="E2630">
        <v>0.63283310000000004</v>
      </c>
      <c r="F2630" t="s">
        <v>61</v>
      </c>
      <c r="G2630">
        <v>-200.3886</v>
      </c>
      <c r="H2630">
        <v>7.9999909999999994E-2</v>
      </c>
      <c r="I2630">
        <v>292.86520000000002</v>
      </c>
      <c r="J2630">
        <v>-190.1421</v>
      </c>
      <c r="K2630">
        <v>1.106649</v>
      </c>
      <c r="L2630">
        <v>307.54250000000002</v>
      </c>
      <c r="M2630">
        <v>-8.3578159999999999E-2</v>
      </c>
      <c r="N2630">
        <v>0</v>
      </c>
      <c r="O2630">
        <v>-0.9963902</v>
      </c>
      <c r="P2630">
        <v>-0.26843329999999999</v>
      </c>
      <c r="Q2630">
        <v>2.3709299999999999E-2</v>
      </c>
      <c r="R2630">
        <v>-0.96300669999999999</v>
      </c>
      <c r="S2630">
        <v>-1.8100130000000001</v>
      </c>
      <c r="T2630">
        <v>-0.18092859999999999</v>
      </c>
      <c r="U2630">
        <v>-2.6258849999999998</v>
      </c>
      <c r="V2630">
        <v>0.18736230000000001</v>
      </c>
      <c r="W2630">
        <v>3.6503140000000003E-2</v>
      </c>
      <c r="X2630">
        <v>0.98161240000000005</v>
      </c>
      <c r="Y2630">
        <v>0.49578430000000001</v>
      </c>
      <c r="Z2630">
        <v>5.7699100000000003E-2</v>
      </c>
      <c r="AA2630">
        <v>0.86652680000000004</v>
      </c>
      <c r="AB2630">
        <v>22</v>
      </c>
      <c r="AC2630">
        <v>-10.2464999999999</v>
      </c>
      <c r="AD2630">
        <v>-1.02664909</v>
      </c>
      <c r="AE2630">
        <v>-14.677300000000001</v>
      </c>
      <c r="AF2630">
        <v>8.9543488704014393</v>
      </c>
      <c r="AG2630">
        <v>-1.02664909</v>
      </c>
      <c r="AH2630">
        <v>15.4316516696506</v>
      </c>
      <c r="AI2630">
        <v>93.293340266829304</v>
      </c>
      <c r="AJ2630">
        <v>59.875180307964897</v>
      </c>
      <c r="AK2630">
        <v>17.870932972295801</v>
      </c>
      <c r="AL2630">
        <v>87.908059400805996</v>
      </c>
      <c r="AM2630">
        <v>79.193820735671594</v>
      </c>
      <c r="AN2630">
        <v>1.00000000726245</v>
      </c>
    </row>
    <row r="2631" spans="1:40" x14ac:dyDescent="0.25">
      <c r="A2631" t="str">
        <f>"20190312150713845"</f>
        <v>20190312150713845</v>
      </c>
      <c r="B2631" t="str">
        <f>"1552374433842864"</f>
        <v>1552374433842864</v>
      </c>
      <c r="C2631" t="s">
        <v>40</v>
      </c>
      <c r="D2631">
        <v>4.5547190000000004</v>
      </c>
      <c r="E2631">
        <v>0.61782009999999998</v>
      </c>
      <c r="F2631" t="s">
        <v>61</v>
      </c>
      <c r="G2631">
        <v>-200.5309</v>
      </c>
      <c r="H2631">
        <v>8.0000009999999996E-2</v>
      </c>
      <c r="I2631">
        <v>292.74619999999999</v>
      </c>
      <c r="J2631">
        <v>-190.16650000000001</v>
      </c>
      <c r="K2631">
        <v>1.1065849999999999</v>
      </c>
      <c r="L2631">
        <v>307.33699999999999</v>
      </c>
      <c r="M2631">
        <v>-8.9718339999999994E-2</v>
      </c>
      <c r="N2631">
        <v>0</v>
      </c>
      <c r="O2631">
        <v>-0.99585590000000002</v>
      </c>
      <c r="P2631">
        <v>-0.27721990000000002</v>
      </c>
      <c r="Q2631">
        <v>2.3595069999999999E-2</v>
      </c>
      <c r="R2631">
        <v>-0.96051699999999995</v>
      </c>
      <c r="S2631">
        <v>-1.831879</v>
      </c>
      <c r="T2631">
        <v>-0.18103130000000001</v>
      </c>
      <c r="U2631">
        <v>-2.60907</v>
      </c>
      <c r="V2631">
        <v>0.19028419999999999</v>
      </c>
      <c r="W2631">
        <v>3.633111E-2</v>
      </c>
      <c r="X2631">
        <v>0.98105659999999895</v>
      </c>
      <c r="Y2631">
        <v>0.49791659999999999</v>
      </c>
      <c r="Z2631">
        <v>5.7824479999999998E-2</v>
      </c>
      <c r="AA2631">
        <v>0.86529500000000004</v>
      </c>
      <c r="AB2631">
        <v>22</v>
      </c>
      <c r="AC2631">
        <v>-10.3643999999999</v>
      </c>
      <c r="AD2631">
        <v>-1.0265849899999999</v>
      </c>
      <c r="AE2631">
        <v>-14.5908</v>
      </c>
      <c r="AF2631">
        <v>8.9838272999218507</v>
      </c>
      <c r="AG2631">
        <v>-1.0265849899999999</v>
      </c>
      <c r="AH2631">
        <v>15.4112193666623</v>
      </c>
      <c r="AI2631">
        <v>93.293658590717897</v>
      </c>
      <c r="AJ2631">
        <v>59.760349641756598</v>
      </c>
      <c r="AK2631">
        <v>17.868092009610301</v>
      </c>
      <c r="AL2631">
        <v>87.917922603011903</v>
      </c>
      <c r="AM2631">
        <v>79.023293561863099</v>
      </c>
      <c r="AN2631">
        <v>1.00000003936351</v>
      </c>
    </row>
    <row r="2632" spans="1:40" x14ac:dyDescent="0.25">
      <c r="A2632" t="str">
        <f>"20190312150713868"</f>
        <v>20190312150713868</v>
      </c>
      <c r="B2632" t="str">
        <f>"1552374433862384"</f>
        <v>1552374433862384</v>
      </c>
      <c r="C2632" t="s">
        <v>40</v>
      </c>
      <c r="D2632">
        <v>4.5319969999999996</v>
      </c>
      <c r="E2632">
        <v>0.61771709999999902</v>
      </c>
      <c r="F2632" t="s">
        <v>61</v>
      </c>
      <c r="G2632">
        <v>-197.24340000000001</v>
      </c>
      <c r="H2632" s="1">
        <v>5.1886290000000001E-7</v>
      </c>
      <c r="I2632">
        <v>296.67020000000002</v>
      </c>
      <c r="J2632">
        <v>-190.19409999999999</v>
      </c>
      <c r="K2632">
        <v>1.10653</v>
      </c>
      <c r="L2632">
        <v>307.11759999999998</v>
      </c>
      <c r="M2632">
        <v>-9.6376009999999998E-2</v>
      </c>
      <c r="N2632">
        <v>0</v>
      </c>
      <c r="O2632">
        <v>-0.99523349999999999</v>
      </c>
      <c r="P2632">
        <v>-0.2859815</v>
      </c>
      <c r="Q2632">
        <v>2.3555380000000001E-2</v>
      </c>
      <c r="R2632">
        <v>-0.95794559999999995</v>
      </c>
      <c r="S2632">
        <v>-1.7429049999999999</v>
      </c>
      <c r="T2632">
        <v>-0.27252880000000002</v>
      </c>
      <c r="U2632">
        <v>-2.627014</v>
      </c>
      <c r="V2632">
        <v>0.19268859999999999</v>
      </c>
      <c r="W2632">
        <v>3.6244859999999997E-2</v>
      </c>
      <c r="X2632">
        <v>0.98059030000000003</v>
      </c>
      <c r="Y2632">
        <v>0.46782950000000001</v>
      </c>
      <c r="Z2632">
        <v>8.7791439999999998E-2</v>
      </c>
      <c r="AA2632">
        <v>0.87944769999999906</v>
      </c>
      <c r="AB2632">
        <v>22</v>
      </c>
      <c r="AC2632">
        <v>-7.0493000000000103</v>
      </c>
      <c r="AD2632">
        <v>-1.1065294811371</v>
      </c>
      <c r="AE2632">
        <v>-10.447399999999901</v>
      </c>
      <c r="AF2632">
        <v>5.9635185577547203</v>
      </c>
      <c r="AG2632">
        <v>-1.1065294811371</v>
      </c>
      <c r="AH2632">
        <v>10.993473294987201</v>
      </c>
      <c r="AI2632">
        <v>95.056035561861293</v>
      </c>
      <c r="AJ2632">
        <v>61.521943479298898</v>
      </c>
      <c r="AK2632">
        <v>12.5556527575792</v>
      </c>
      <c r="AL2632">
        <v>87.922867458810899</v>
      </c>
      <c r="AM2632">
        <v>78.882872392954397</v>
      </c>
      <c r="AN2632">
        <v>0.99999996145023395</v>
      </c>
    </row>
    <row r="2633" spans="1:40" x14ac:dyDescent="0.25">
      <c r="A2633" t="str">
        <f>"20190312150713890"</f>
        <v>20190312150713890</v>
      </c>
      <c r="B2633" t="str">
        <f>"1552374433882880"</f>
        <v>1552374433882880</v>
      </c>
      <c r="C2633" t="s">
        <v>40</v>
      </c>
      <c r="D2633">
        <v>4.5396419999999997</v>
      </c>
      <c r="E2633">
        <v>0.6174733</v>
      </c>
      <c r="F2633" t="s">
        <v>61</v>
      </c>
      <c r="G2633">
        <v>-197.1591</v>
      </c>
      <c r="H2633" s="1">
        <v>4.9211760000000002E-7</v>
      </c>
      <c r="I2633">
        <v>296.822</v>
      </c>
      <c r="J2633">
        <v>-190.22319999999999</v>
      </c>
      <c r="K2633">
        <v>1.1065</v>
      </c>
      <c r="L2633">
        <v>306.89929999999998</v>
      </c>
      <c r="M2633">
        <v>-0.1030885</v>
      </c>
      <c r="N2633">
        <v>0</v>
      </c>
      <c r="O2633">
        <v>-0.99456069999999996</v>
      </c>
      <c r="P2633">
        <v>-0.29439399999999999</v>
      </c>
      <c r="Q2633">
        <v>2.3451610000000001E-2</v>
      </c>
      <c r="R2633">
        <v>-0.95539640000000003</v>
      </c>
      <c r="S2633">
        <v>-1.7664949999999999</v>
      </c>
      <c r="T2633">
        <v>-0.28064640000000002</v>
      </c>
      <c r="U2633">
        <v>-2.611237</v>
      </c>
      <c r="V2633">
        <v>0.19469719999999999</v>
      </c>
      <c r="W2633">
        <v>3.610667E-2</v>
      </c>
      <c r="X2633">
        <v>0.98019860000000003</v>
      </c>
      <c r="Y2633">
        <v>0.4696555</v>
      </c>
      <c r="Z2633">
        <v>9.0484809999999999E-2</v>
      </c>
      <c r="AA2633">
        <v>0.87820049999999905</v>
      </c>
      <c r="AB2633">
        <v>22</v>
      </c>
      <c r="AC2633">
        <v>-6.9359000000000002</v>
      </c>
      <c r="AD2633">
        <v>-1.10649950788239</v>
      </c>
      <c r="AE2633">
        <v>-10.0772999999999</v>
      </c>
      <c r="AF2633">
        <v>5.8124188951837201</v>
      </c>
      <c r="AG2633">
        <v>-1.10649950788239</v>
      </c>
      <c r="AH2633">
        <v>10.6515497707063</v>
      </c>
      <c r="AI2633">
        <v>95.210290177388501</v>
      </c>
      <c r="AJ2633">
        <v>61.379249048009598</v>
      </c>
      <c r="AK2633">
        <v>12.1845831726763</v>
      </c>
      <c r="AL2633">
        <v>87.930790414964605</v>
      </c>
      <c r="AM2633">
        <v>78.765543744508804</v>
      </c>
      <c r="AN2633">
        <v>0.99999999337414403</v>
      </c>
    </row>
    <row r="2634" spans="1:40" x14ac:dyDescent="0.25">
      <c r="A2634" t="str">
        <f>"20190312150713913"</f>
        <v>20190312150713913</v>
      </c>
      <c r="B2634" t="str">
        <f>"1552374433902403"</f>
        <v>1552374433902403</v>
      </c>
      <c r="C2634" t="s">
        <v>40</v>
      </c>
      <c r="D2634">
        <v>4.491047</v>
      </c>
      <c r="E2634">
        <v>0.61640240000000002</v>
      </c>
      <c r="F2634" t="s">
        <v>61</v>
      </c>
      <c r="G2634">
        <v>-197.1797</v>
      </c>
      <c r="H2634" s="1">
        <v>4.9705720000000004E-7</v>
      </c>
      <c r="I2634">
        <v>296.79399999999998</v>
      </c>
      <c r="J2634">
        <v>-190.25460000000001</v>
      </c>
      <c r="K2634">
        <v>1.1064940000000001</v>
      </c>
      <c r="L2634">
        <v>306.67619999999999</v>
      </c>
      <c r="M2634">
        <v>-0.1100201</v>
      </c>
      <c r="N2634">
        <v>0</v>
      </c>
      <c r="O2634">
        <v>-0.99381759999999997</v>
      </c>
      <c r="P2634">
        <v>-0.30257709999999999</v>
      </c>
      <c r="Q2634">
        <v>2.3353519999999999E-2</v>
      </c>
      <c r="R2634">
        <v>-0.95283879999999999</v>
      </c>
      <c r="S2634">
        <v>-1.787277</v>
      </c>
      <c r="T2634">
        <v>-0.28428399999999998</v>
      </c>
      <c r="U2634">
        <v>-2.5962830000000001</v>
      </c>
      <c r="V2634">
        <v>0.19627</v>
      </c>
      <c r="W2634">
        <v>3.5987060000000001E-2</v>
      </c>
      <c r="X2634">
        <v>0.97988929999999996</v>
      </c>
      <c r="Y2634">
        <v>0.47057300000000002</v>
      </c>
      <c r="Z2634">
        <v>9.1761579999999995E-2</v>
      </c>
      <c r="AA2634">
        <v>0.87757669999999999</v>
      </c>
      <c r="AB2634">
        <v>22</v>
      </c>
      <c r="AC2634">
        <v>-6.92509999999998</v>
      </c>
      <c r="AD2634">
        <v>-1.1064935029428</v>
      </c>
      <c r="AE2634">
        <v>-9.8821999999999495</v>
      </c>
      <c r="AF2634">
        <v>5.7473656697170403</v>
      </c>
      <c r="AG2634">
        <v>-1.1064935029428</v>
      </c>
      <c r="AH2634">
        <v>10.4959305803966</v>
      </c>
      <c r="AI2634">
        <v>95.282891794743804</v>
      </c>
      <c r="AJ2634">
        <v>61.295751798139598</v>
      </c>
      <c r="AK2634">
        <v>12.017532973202099</v>
      </c>
      <c r="AL2634">
        <v>87.937648055952295</v>
      </c>
      <c r="AM2634">
        <v>78.673643546576201</v>
      </c>
      <c r="AN2634">
        <v>1.0000000108209599</v>
      </c>
    </row>
    <row r="2635" spans="1:40" x14ac:dyDescent="0.25">
      <c r="A2635" t="str">
        <f>"20190312150713934"</f>
        <v>20190312150713934</v>
      </c>
      <c r="B2635" t="str">
        <f>"1552374433922895"</f>
        <v>1552374433922895</v>
      </c>
      <c r="C2635" t="s">
        <v>40</v>
      </c>
      <c r="D2635">
        <v>4.5017509999999996</v>
      </c>
      <c r="E2635">
        <v>0.61513099999999998</v>
      </c>
      <c r="F2635" t="s">
        <v>61</v>
      </c>
      <c r="G2635">
        <v>-197.6696</v>
      </c>
      <c r="H2635" s="1">
        <v>6.2980939999999999E-7</v>
      </c>
      <c r="I2635">
        <v>296.04020000000003</v>
      </c>
      <c r="J2635">
        <v>-190.28569999999999</v>
      </c>
      <c r="K2635">
        <v>1.1064929999999999</v>
      </c>
      <c r="L2635">
        <v>306.46550000000002</v>
      </c>
      <c r="M2635">
        <v>-0.1166118</v>
      </c>
      <c r="N2635">
        <v>0</v>
      </c>
      <c r="O2635">
        <v>-0.9930658</v>
      </c>
      <c r="P2635">
        <v>-0.3098262</v>
      </c>
      <c r="Q2635">
        <v>2.2852310000000001E-2</v>
      </c>
      <c r="R2635">
        <v>-0.95051890000000006</v>
      </c>
      <c r="S2635">
        <v>-1.800888</v>
      </c>
      <c r="T2635">
        <v>-0.26873560000000002</v>
      </c>
      <c r="U2635">
        <v>-2.5831909999999998</v>
      </c>
      <c r="V2635">
        <v>0.1972257</v>
      </c>
      <c r="W2635">
        <v>3.5477170000000002E-2</v>
      </c>
      <c r="X2635">
        <v>0.97971600000000003</v>
      </c>
      <c r="Y2635">
        <v>0.47016639999999998</v>
      </c>
      <c r="Z2635">
        <v>8.6935970000000001E-2</v>
      </c>
      <c r="AA2635">
        <v>0.8782856</v>
      </c>
      <c r="AB2635">
        <v>22</v>
      </c>
      <c r="AC2635">
        <v>-7.3839000000000103</v>
      </c>
      <c r="AD2635">
        <v>-1.1064923701906</v>
      </c>
      <c r="AE2635">
        <v>-10.425299999999901</v>
      </c>
      <c r="AF2635">
        <v>6.07211418633569</v>
      </c>
      <c r="AG2635">
        <v>-1.1064923701906</v>
      </c>
      <c r="AH2635">
        <v>11.131797608498101</v>
      </c>
      <c r="AI2635">
        <v>94.987078799306104</v>
      </c>
      <c r="AJ2635">
        <v>61.388649465272501</v>
      </c>
      <c r="AK2635">
        <v>12.728386152759199</v>
      </c>
      <c r="AL2635">
        <v>87.966881294956906</v>
      </c>
      <c r="AM2635">
        <v>78.617967251004202</v>
      </c>
      <c r="AN2635">
        <v>1.00000002349384</v>
      </c>
    </row>
    <row r="2636" spans="1:40" x14ac:dyDescent="0.25">
      <c r="A2636" t="str">
        <f>"20190312150713957"</f>
        <v>20190312150713957</v>
      </c>
      <c r="B2636" t="str">
        <f>"1552374433953152"</f>
        <v>1552374433953152</v>
      </c>
      <c r="C2636" t="s">
        <v>40</v>
      </c>
      <c r="D2636">
        <v>4.4486160000000003</v>
      </c>
      <c r="E2636">
        <v>0.61359249999999999</v>
      </c>
      <c r="F2636" t="s">
        <v>61</v>
      </c>
      <c r="G2636">
        <v>-197.95769999999999</v>
      </c>
      <c r="H2636" s="1">
        <v>7.2240499999999999E-7</v>
      </c>
      <c r="I2636">
        <v>295.56560000000002</v>
      </c>
      <c r="J2636">
        <v>-190.31829999999999</v>
      </c>
      <c r="K2636">
        <v>1.1065049999999901</v>
      </c>
      <c r="L2636">
        <v>306.25409999999999</v>
      </c>
      <c r="M2636">
        <v>-0.1232486</v>
      </c>
      <c r="N2636">
        <v>0</v>
      </c>
      <c r="O2636">
        <v>-0.99226380000000003</v>
      </c>
      <c r="P2636">
        <v>-0.31675439999999999</v>
      </c>
      <c r="Q2636">
        <v>2.2126409999999999E-2</v>
      </c>
      <c r="R2636">
        <v>-0.94824920000000001</v>
      </c>
      <c r="S2636">
        <v>-1.810562</v>
      </c>
      <c r="T2636">
        <v>-0.26112540000000001</v>
      </c>
      <c r="U2636">
        <v>-2.572327</v>
      </c>
      <c r="V2636">
        <v>0.19781460000000001</v>
      </c>
      <c r="W2636">
        <v>3.4750919999999998E-2</v>
      </c>
      <c r="X2636">
        <v>0.97962329999999997</v>
      </c>
      <c r="Y2636">
        <v>0.46833550000000002</v>
      </c>
      <c r="Z2636">
        <v>8.4640119999999999E-2</v>
      </c>
      <c r="AA2636">
        <v>0.87948729999999997</v>
      </c>
      <c r="AB2636">
        <v>22</v>
      </c>
      <c r="AC2636">
        <v>-7.6393999999999904</v>
      </c>
      <c r="AD2636">
        <v>-1.10650427759499</v>
      </c>
      <c r="AE2636">
        <v>-10.6884999999999</v>
      </c>
      <c r="AF2636">
        <v>6.2195361332869998</v>
      </c>
      <c r="AG2636">
        <v>-1.10650427759499</v>
      </c>
      <c r="AH2636">
        <v>11.4672987945673</v>
      </c>
      <c r="AI2636">
        <v>94.848207551971797</v>
      </c>
      <c r="AJ2636">
        <v>61.525857217071</v>
      </c>
      <c r="AK2636">
        <v>13.0922084872448</v>
      </c>
      <c r="AL2636">
        <v>88.008518036962499</v>
      </c>
      <c r="AM2636">
        <v>78.5838205425637</v>
      </c>
      <c r="AN2636">
        <v>1.0000000261584401</v>
      </c>
    </row>
    <row r="2637" spans="1:40" x14ac:dyDescent="0.25">
      <c r="A2637" t="str">
        <f>"20190312150713979"</f>
        <v>20190312150713979</v>
      </c>
      <c r="B2637" t="str">
        <f>"1552374433972672"</f>
        <v>1552374433972672</v>
      </c>
      <c r="C2637" t="s">
        <v>40</v>
      </c>
      <c r="D2637">
        <v>4.7045130000000004</v>
      </c>
      <c r="E2637">
        <v>0.6126876</v>
      </c>
      <c r="F2637" t="s">
        <v>61</v>
      </c>
      <c r="G2637">
        <v>-198.3141</v>
      </c>
      <c r="H2637" s="1">
        <v>8.9767219999999995E-7</v>
      </c>
      <c r="I2637">
        <v>294.9803</v>
      </c>
      <c r="J2637">
        <v>-190.35400000000001</v>
      </c>
      <c r="K2637">
        <v>1.1065210000000001</v>
      </c>
      <c r="L2637">
        <v>306.03269999999998</v>
      </c>
      <c r="M2637">
        <v>-0.13020489999999901</v>
      </c>
      <c r="N2637">
        <v>0</v>
      </c>
      <c r="O2637">
        <v>-0.99137529999999996</v>
      </c>
      <c r="P2637">
        <v>-0.32279289999999999</v>
      </c>
      <c r="Q2637">
        <v>2.189528E-2</v>
      </c>
      <c r="R2637">
        <v>-0.94621679999999997</v>
      </c>
      <c r="S2637">
        <v>-1.8174129999999999</v>
      </c>
      <c r="T2637">
        <v>-0.2515039</v>
      </c>
      <c r="U2637">
        <v>-2.5624690000000001</v>
      </c>
      <c r="V2637">
        <v>0.19718340000000001</v>
      </c>
      <c r="W2637">
        <v>3.4537419999999999E-2</v>
      </c>
      <c r="X2637">
        <v>0.97975809999999997</v>
      </c>
      <c r="Y2637">
        <v>0.4654411</v>
      </c>
      <c r="Z2637">
        <v>8.1696299999999999E-2</v>
      </c>
      <c r="AA2637">
        <v>0.88130030000000004</v>
      </c>
      <c r="AB2637">
        <v>22</v>
      </c>
      <c r="AC2637">
        <v>-7.9600999999999802</v>
      </c>
      <c r="AD2637">
        <v>-1.1065201023278</v>
      </c>
      <c r="AE2637">
        <v>-11.052399999999899</v>
      </c>
      <c r="AF2637">
        <v>6.4107754068430696</v>
      </c>
      <c r="AG2637">
        <v>-1.1065201023278</v>
      </c>
      <c r="AH2637">
        <v>11.916205500377099</v>
      </c>
      <c r="AI2637">
        <v>94.674978440974002</v>
      </c>
      <c r="AJ2637">
        <v>61.7202823135258</v>
      </c>
      <c r="AK2637">
        <v>13.576390594744201</v>
      </c>
      <c r="AL2637">
        <v>88.0207580418584</v>
      </c>
      <c r="AM2637">
        <v>78.620820938074303</v>
      </c>
      <c r="AN2637">
        <v>1.00000003056571</v>
      </c>
    </row>
    <row r="2638" spans="1:40" x14ac:dyDescent="0.25">
      <c r="A2638" t="str">
        <f>"20190312150714003"</f>
        <v>20190312150714003</v>
      </c>
      <c r="B2638" t="str">
        <f>"1552374433993167"</f>
        <v>1552374433993167</v>
      </c>
      <c r="C2638" t="s">
        <v>40</v>
      </c>
      <c r="D2638">
        <v>4.4948499999999996</v>
      </c>
      <c r="E2638">
        <v>0.611626</v>
      </c>
      <c r="F2638" t="s">
        <v>61</v>
      </c>
      <c r="G2638">
        <v>-198.54490000000001</v>
      </c>
      <c r="H2638" s="1">
        <v>1.010832E-6</v>
      </c>
      <c r="I2638">
        <v>294.58819999999997</v>
      </c>
      <c r="J2638">
        <v>-190.39410000000001</v>
      </c>
      <c r="K2638">
        <v>1.106554</v>
      </c>
      <c r="L2638">
        <v>305.79509999999999</v>
      </c>
      <c r="M2638">
        <v>-0.1376647</v>
      </c>
      <c r="N2638">
        <v>0</v>
      </c>
      <c r="O2638">
        <v>-0.99036690000000005</v>
      </c>
      <c r="P2638">
        <v>-0.33003579999999999</v>
      </c>
      <c r="Q2638">
        <v>2.1161920000000001E-2</v>
      </c>
      <c r="R2638">
        <v>-0.94373149999999995</v>
      </c>
      <c r="S2638">
        <v>-1.8271329999999999</v>
      </c>
      <c r="T2638">
        <v>-0.24683169999999999</v>
      </c>
      <c r="U2638">
        <v>-2.5529169999999999</v>
      </c>
      <c r="V2638">
        <v>0.19730490000000001</v>
      </c>
      <c r="W2638">
        <v>3.3814009999999999E-2</v>
      </c>
      <c r="X2638">
        <v>0.97975889999999999</v>
      </c>
      <c r="Y2638">
        <v>0.46262550000000002</v>
      </c>
      <c r="Z2638">
        <v>8.0289739999999998E-2</v>
      </c>
      <c r="AA2638">
        <v>0.88291070000000005</v>
      </c>
      <c r="AB2638">
        <v>22</v>
      </c>
      <c r="AC2638">
        <v>-8.1508000000000003</v>
      </c>
      <c r="AD2638">
        <v>-1.1065529891679999</v>
      </c>
      <c r="AE2638">
        <v>-11.206899999999999</v>
      </c>
      <c r="AF2638">
        <v>6.48883698423551</v>
      </c>
      <c r="AG2638">
        <v>-1.1065529891679999</v>
      </c>
      <c r="AH2638">
        <v>12.144935123141501</v>
      </c>
      <c r="AI2638">
        <v>94.594500458350794</v>
      </c>
      <c r="AJ2638">
        <v>61.885150644573102</v>
      </c>
      <c r="AK2638">
        <v>13.8140839027109</v>
      </c>
      <c r="AL2638">
        <v>88.062230658225502</v>
      </c>
      <c r="AM2638">
        <v>78.614001486504307</v>
      </c>
      <c r="AN2638">
        <v>1.00000005648274</v>
      </c>
    </row>
    <row r="2639" spans="1:40" x14ac:dyDescent="0.25">
      <c r="A2639" t="str">
        <f>"20190312150714028"</f>
        <v>20190312150714028</v>
      </c>
      <c r="B2639" t="str">
        <f>"1552374434022448"</f>
        <v>1552374434022448</v>
      </c>
      <c r="C2639" t="s">
        <v>40</v>
      </c>
      <c r="D2639">
        <v>5.103313</v>
      </c>
      <c r="E2639">
        <v>0.61074549999999905</v>
      </c>
      <c r="F2639" t="s">
        <v>61</v>
      </c>
      <c r="G2639">
        <v>-198.7208</v>
      </c>
      <c r="H2639" s="1">
        <v>1.048507E-6</v>
      </c>
      <c r="I2639">
        <v>294.28570000000002</v>
      </c>
      <c r="J2639">
        <v>-190.43369999999999</v>
      </c>
      <c r="K2639">
        <v>1.1065849999999999</v>
      </c>
      <c r="L2639">
        <v>305.57100000000003</v>
      </c>
      <c r="M2639">
        <v>-0.1446894</v>
      </c>
      <c r="N2639">
        <v>0</v>
      </c>
      <c r="O2639">
        <v>-0.98936500000000005</v>
      </c>
      <c r="P2639">
        <v>-0.33651799999999998</v>
      </c>
      <c r="Q2639">
        <v>2.0721369999999999E-2</v>
      </c>
      <c r="R2639">
        <v>-0.94144930000000004</v>
      </c>
      <c r="S2639">
        <v>-1.8385929999999999</v>
      </c>
      <c r="T2639">
        <v>-0.2443342</v>
      </c>
      <c r="U2639">
        <v>-2.5413510000000001</v>
      </c>
      <c r="V2639">
        <v>0.19708120000000001</v>
      </c>
      <c r="W2639">
        <v>3.338605E-2</v>
      </c>
      <c r="X2639">
        <v>0.97981850000000004</v>
      </c>
      <c r="Y2639">
        <v>0.46088950000000001</v>
      </c>
      <c r="Z2639">
        <v>7.9594810000000002E-2</v>
      </c>
      <c r="AA2639">
        <v>0.88388099999999903</v>
      </c>
      <c r="AB2639">
        <v>22</v>
      </c>
      <c r="AC2639">
        <v>-8.2871000000000095</v>
      </c>
      <c r="AD2639">
        <v>-1.106583951493</v>
      </c>
      <c r="AE2639">
        <v>-11.2852999999999</v>
      </c>
      <c r="AF2639">
        <v>6.52606682469641</v>
      </c>
      <c r="AG2639">
        <v>-1.106583951493</v>
      </c>
      <c r="AH2639">
        <v>12.288945261915</v>
      </c>
      <c r="AI2639">
        <v>94.547079559051298</v>
      </c>
      <c r="AJ2639">
        <v>62.029381650666302</v>
      </c>
      <c r="AK2639">
        <v>13.9582324057327</v>
      </c>
      <c r="AL2639">
        <v>88.086764627780695</v>
      </c>
      <c r="AM2639">
        <v>78.627247838388001</v>
      </c>
      <c r="AN2639">
        <v>0.99999996033514504</v>
      </c>
    </row>
    <row r="2640" spans="1:40" x14ac:dyDescent="0.25">
      <c r="A2640" t="str">
        <f>"20190312150714046"</f>
        <v>20190312150714046</v>
      </c>
      <c r="B2640" t="str">
        <f>"1552374434042943"</f>
        <v>1552374434042943</v>
      </c>
      <c r="C2640" t="s">
        <v>40</v>
      </c>
      <c r="D2640">
        <v>4.4683799999999998</v>
      </c>
      <c r="E2640">
        <v>0.60991870000000004</v>
      </c>
      <c r="F2640" t="s">
        <v>61</v>
      </c>
      <c r="G2640">
        <v>-198.82300000000001</v>
      </c>
      <c r="H2640" s="1">
        <v>1.0735960000000001E-6</v>
      </c>
      <c r="I2640">
        <v>294.09179999999998</v>
      </c>
      <c r="J2640">
        <v>-190.46780000000001</v>
      </c>
      <c r="K2640">
        <v>1.106616</v>
      </c>
      <c r="L2640">
        <v>305.38470000000001</v>
      </c>
      <c r="M2640">
        <v>-0.15051979999999901</v>
      </c>
      <c r="N2640">
        <v>0</v>
      </c>
      <c r="O2640">
        <v>-0.98849489999999995</v>
      </c>
      <c r="P2640">
        <v>-0.34234740000000002</v>
      </c>
      <c r="Q2640">
        <v>2.0739569999999999E-2</v>
      </c>
      <c r="R2640">
        <v>-0.93934459999999997</v>
      </c>
      <c r="S2640">
        <v>-1.849564</v>
      </c>
      <c r="T2640">
        <v>-0.24396619999999999</v>
      </c>
      <c r="U2640">
        <v>-2.5307919999999999</v>
      </c>
      <c r="V2640">
        <v>0.19737650000000001</v>
      </c>
      <c r="W2640">
        <v>3.3408449999999999E-2</v>
      </c>
      <c r="X2640">
        <v>0.97975829999999997</v>
      </c>
      <c r="Y2640">
        <v>0.45991510000000002</v>
      </c>
      <c r="Z2640">
        <v>7.9564860000000001E-2</v>
      </c>
      <c r="AA2640">
        <v>0.88439109999999999</v>
      </c>
      <c r="AB2640">
        <v>22</v>
      </c>
      <c r="AC2640">
        <v>-8.3551999999999609</v>
      </c>
      <c r="AD2640">
        <v>-1.1066149264039999</v>
      </c>
      <c r="AE2640">
        <v>-11.292899999999999</v>
      </c>
      <c r="AF2640">
        <v>6.5195371921331997</v>
      </c>
      <c r="AG2640">
        <v>-1.1066149264039999</v>
      </c>
      <c r="AH2640">
        <v>12.34536389759</v>
      </c>
      <c r="AI2640">
        <v>94.532025940718995</v>
      </c>
      <c r="AJ2640">
        <v>62.161645325816998</v>
      </c>
      <c r="AK2640">
        <v>14.004890987039699</v>
      </c>
      <c r="AL2640">
        <v>88.085480498397999</v>
      </c>
      <c r="AM2640">
        <v>78.609970808896406</v>
      </c>
      <c r="AN2640">
        <v>0.99999996685127002</v>
      </c>
    </row>
    <row r="2641" spans="1:40" x14ac:dyDescent="0.25">
      <c r="A2641" t="str">
        <f>"20190312150714069"</f>
        <v>20190312150714069</v>
      </c>
      <c r="B2641" t="str">
        <f>"1552374434062464"</f>
        <v>1552374434062464</v>
      </c>
      <c r="C2641" t="s">
        <v>40</v>
      </c>
      <c r="D2641">
        <v>4.7258399999999998</v>
      </c>
      <c r="E2641">
        <v>0.60966849999999995</v>
      </c>
      <c r="F2641" t="s">
        <v>61</v>
      </c>
      <c r="G2641">
        <v>-198.9768</v>
      </c>
      <c r="H2641" s="1">
        <v>1.103604E-6</v>
      </c>
      <c r="I2641">
        <v>293.84390000000002</v>
      </c>
      <c r="J2641">
        <v>-190.50899999999999</v>
      </c>
      <c r="K2641">
        <v>1.1066450000000001</v>
      </c>
      <c r="L2641">
        <v>305.16820000000001</v>
      </c>
      <c r="M2641">
        <v>-0.15728919999999999</v>
      </c>
      <c r="N2641">
        <v>0</v>
      </c>
      <c r="O2641">
        <v>-0.98744030000000005</v>
      </c>
      <c r="P2641">
        <v>-0.34863850000000002</v>
      </c>
      <c r="Q2641">
        <v>2.0567470000000001E-2</v>
      </c>
      <c r="R2641">
        <v>-0.93703170000000002</v>
      </c>
      <c r="S2641">
        <v>-1.8590850000000001</v>
      </c>
      <c r="T2641">
        <v>-0.24177860000000001</v>
      </c>
      <c r="U2641">
        <v>-2.5214840000000001</v>
      </c>
      <c r="V2641">
        <v>0.1972285</v>
      </c>
      <c r="W2641">
        <v>3.3245459999999998E-2</v>
      </c>
      <c r="X2641">
        <v>0.97979369999999999</v>
      </c>
      <c r="Y2641">
        <v>0.45758529999999997</v>
      </c>
      <c r="Z2641">
        <v>7.8931669999999995E-2</v>
      </c>
      <c r="AA2641">
        <v>0.88565539999999998</v>
      </c>
      <c r="AB2641">
        <v>22</v>
      </c>
      <c r="AC2641">
        <v>-8.4677999999999791</v>
      </c>
      <c r="AD2641">
        <v>-1.1066438963959999</v>
      </c>
      <c r="AE2641">
        <v>-11.3242999999999</v>
      </c>
      <c r="AF2641">
        <v>6.5409232349210997</v>
      </c>
      <c r="AG2641">
        <v>-1.1066438963959999</v>
      </c>
      <c r="AH2641">
        <v>12.4391611466566</v>
      </c>
      <c r="AI2641">
        <v>94.502293000429006</v>
      </c>
      <c r="AJ2641">
        <v>62.263118580663502</v>
      </c>
      <c r="AK2641">
        <v>14.0975553735764</v>
      </c>
      <c r="AL2641">
        <v>88.094824426140804</v>
      </c>
      <c r="AM2641">
        <v>78.618688955491095</v>
      </c>
      <c r="AN2641">
        <v>1.00000001819127</v>
      </c>
    </row>
    <row r="2642" spans="1:40" x14ac:dyDescent="0.25">
      <c r="A2642" t="str">
        <f>"20190312150714091"</f>
        <v>20190312150714091</v>
      </c>
      <c r="B2642" t="str">
        <f>"1552374434082960"</f>
        <v>1552374434082960</v>
      </c>
      <c r="C2642" t="s">
        <v>40</v>
      </c>
      <c r="D2642">
        <v>4.5176040000000004</v>
      </c>
      <c r="E2642">
        <v>0.60915019999999998</v>
      </c>
      <c r="F2642" t="s">
        <v>61</v>
      </c>
      <c r="G2642">
        <v>-199.10069999999999</v>
      </c>
      <c r="H2642" s="1">
        <v>1.1243749999999999E-6</v>
      </c>
      <c r="I2642">
        <v>293.66359999999997</v>
      </c>
      <c r="J2642">
        <v>-190.5514</v>
      </c>
      <c r="K2642">
        <v>1.1066689999999999</v>
      </c>
      <c r="L2642">
        <v>304.95310000000001</v>
      </c>
      <c r="M2642">
        <v>-0.1640046</v>
      </c>
      <c r="N2642">
        <v>0</v>
      </c>
      <c r="O2642">
        <v>-0.98634739999999999</v>
      </c>
      <c r="P2642">
        <v>-0.35493019999999997</v>
      </c>
      <c r="Q2642">
        <v>2.0221570000000001E-2</v>
      </c>
      <c r="R2642">
        <v>-0.93467420000000001</v>
      </c>
      <c r="S2642">
        <v>-1.8741760000000001</v>
      </c>
      <c r="T2642">
        <v>-0.24140049999999999</v>
      </c>
      <c r="U2642">
        <v>-2.5095830000000001</v>
      </c>
      <c r="V2642">
        <v>0.19714180000000001</v>
      </c>
      <c r="W2642">
        <v>3.290709E-2</v>
      </c>
      <c r="X2642">
        <v>0.97982259999999999</v>
      </c>
      <c r="Y2642">
        <v>0.45697549999999998</v>
      </c>
      <c r="Z2642">
        <v>7.8860040000000006E-2</v>
      </c>
      <c r="AA2642">
        <v>0.8859766</v>
      </c>
      <c r="AB2642">
        <v>21</v>
      </c>
      <c r="AC2642">
        <v>-8.5492999999999792</v>
      </c>
      <c r="AD2642">
        <v>-1.1066678756249999</v>
      </c>
      <c r="AE2642">
        <v>-11.2895</v>
      </c>
      <c r="AF2642">
        <v>6.5418274049818397</v>
      </c>
      <c r="AG2642">
        <v>-1.1066678756249999</v>
      </c>
      <c r="AH2642">
        <v>12.462771118462699</v>
      </c>
      <c r="AI2642">
        <v>94.495597860664702</v>
      </c>
      <c r="AJ2642">
        <v>62.3045906108688</v>
      </c>
      <c r="AK2642">
        <v>14.1188131064442</v>
      </c>
      <c r="AL2642">
        <v>88.114222266408802</v>
      </c>
      <c r="AM2642">
        <v>78.623888392522602</v>
      </c>
      <c r="AN2642">
        <v>1.00000004667513</v>
      </c>
    </row>
    <row r="2643" spans="1:40" x14ac:dyDescent="0.25">
      <c r="A2643" t="str">
        <f>"20190312150714114"</f>
        <v>20190312150714114</v>
      </c>
      <c r="B2643" t="str">
        <f>"1552374434102484"</f>
        <v>1552374434102484</v>
      </c>
      <c r="C2643" t="s">
        <v>40</v>
      </c>
      <c r="D2643">
        <v>4.8314389999999996</v>
      </c>
      <c r="E2643">
        <v>0.60873940000000004</v>
      </c>
      <c r="F2643" t="s">
        <v>61</v>
      </c>
      <c r="G2643">
        <v>-198.97489999999999</v>
      </c>
      <c r="H2643" s="1">
        <v>1.1111320000000001E-6</v>
      </c>
      <c r="I2643">
        <v>293.80220000000003</v>
      </c>
      <c r="J2643">
        <v>-190.59440000000001</v>
      </c>
      <c r="K2643">
        <v>1.106679</v>
      </c>
      <c r="L2643">
        <v>304.74239999999998</v>
      </c>
      <c r="M2643">
        <v>-0.17057559999999999</v>
      </c>
      <c r="N2643">
        <v>0</v>
      </c>
      <c r="O2643">
        <v>-0.98523240000000001</v>
      </c>
      <c r="P2643">
        <v>-0.36053170000000001</v>
      </c>
      <c r="Q2643">
        <v>1.9959169999999998E-2</v>
      </c>
      <c r="R2643">
        <v>-0.93253359999999996</v>
      </c>
      <c r="S2643">
        <v>-1.887283</v>
      </c>
      <c r="T2643">
        <v>-0.2479479</v>
      </c>
      <c r="U2643">
        <v>-2.4983520000000001</v>
      </c>
      <c r="V2643">
        <v>0.19648370000000001</v>
      </c>
      <c r="W2643">
        <v>3.265784E-2</v>
      </c>
      <c r="X2643">
        <v>0.97996309999999998</v>
      </c>
      <c r="Y2643">
        <v>0.45581890000000003</v>
      </c>
      <c r="Z2643">
        <v>8.1043470000000006E-2</v>
      </c>
      <c r="AA2643">
        <v>0.88637520000000003</v>
      </c>
      <c r="AB2643">
        <v>21</v>
      </c>
      <c r="AC2643">
        <v>-8.3804999999999801</v>
      </c>
      <c r="AD2643">
        <v>-1.106677888868</v>
      </c>
      <c r="AE2643">
        <v>-10.9401999999999</v>
      </c>
      <c r="AF2643">
        <v>6.3503641013859102</v>
      </c>
      <c r="AG2643">
        <v>-1.106677888868</v>
      </c>
      <c r="AH2643">
        <v>12.1312675274804</v>
      </c>
      <c r="AI2643">
        <v>94.620684607085394</v>
      </c>
      <c r="AJ2643">
        <v>62.3692565316138</v>
      </c>
      <c r="AK2643">
        <v>13.737522047049801</v>
      </c>
      <c r="AL2643">
        <v>88.128510884084804</v>
      </c>
      <c r="AM2643">
        <v>78.662462387307599</v>
      </c>
      <c r="AN2643">
        <v>1.00000002812038</v>
      </c>
    </row>
    <row r="2644" spans="1:40" x14ac:dyDescent="0.25">
      <c r="A2644" t="str">
        <f>"20190312150714135"</f>
        <v>20190312150714135</v>
      </c>
      <c r="B2644" t="str">
        <f>"1552374434132736"</f>
        <v>1552374434132736</v>
      </c>
      <c r="C2644" t="s">
        <v>40</v>
      </c>
      <c r="D2644">
        <v>4.7685789999999999</v>
      </c>
      <c r="E2644">
        <v>0.60815399999999997</v>
      </c>
      <c r="F2644" t="s">
        <v>61</v>
      </c>
      <c r="G2644">
        <v>-198.99440000000001</v>
      </c>
      <c r="H2644" s="1">
        <v>1.1199920000000001E-6</v>
      </c>
      <c r="I2644">
        <v>293.74200000000002</v>
      </c>
      <c r="J2644">
        <v>-190.63820000000001</v>
      </c>
      <c r="K2644">
        <v>1.1067</v>
      </c>
      <c r="L2644">
        <v>304.53449999999998</v>
      </c>
      <c r="M2644">
        <v>-0.1770543</v>
      </c>
      <c r="N2644">
        <v>0</v>
      </c>
      <c r="O2644">
        <v>-0.98408879999999999</v>
      </c>
      <c r="P2644">
        <v>-0.36697940000000001</v>
      </c>
      <c r="Q2644">
        <v>1.9483500000000001E-2</v>
      </c>
      <c r="R2644">
        <v>-0.93002530000000005</v>
      </c>
      <c r="S2644">
        <v>-1.8998109999999999</v>
      </c>
      <c r="T2644">
        <v>-0.2502934</v>
      </c>
      <c r="U2644">
        <v>-2.4879150000000001</v>
      </c>
      <c r="V2644">
        <v>0.1968125</v>
      </c>
      <c r="W2644">
        <v>3.2183160000000002E-2</v>
      </c>
      <c r="X2644">
        <v>0.97991280000000003</v>
      </c>
      <c r="Y2644">
        <v>0.45453939999999998</v>
      </c>
      <c r="Z2644">
        <v>8.1847749999999997E-2</v>
      </c>
      <c r="AA2644">
        <v>0.88695820000000003</v>
      </c>
      <c r="AB2644">
        <v>21</v>
      </c>
      <c r="AC2644">
        <v>-8.3561999999999994</v>
      </c>
      <c r="AD2644">
        <v>-1.106698880008</v>
      </c>
      <c r="AE2644">
        <v>-10.792499999999899</v>
      </c>
      <c r="AF2644">
        <v>6.2718501752806404</v>
      </c>
      <c r="AG2644">
        <v>-1.106698880008</v>
      </c>
      <c r="AH2644">
        <v>12.0225792063335</v>
      </c>
      <c r="AI2644">
        <v>94.665789348779398</v>
      </c>
      <c r="AJ2644">
        <v>62.450184710915799</v>
      </c>
      <c r="AK2644">
        <v>13.6052672816355</v>
      </c>
      <c r="AL2644">
        <v>88.155722307560495</v>
      </c>
      <c r="AM2644">
        <v>78.6434147239937</v>
      </c>
      <c r="AN2644">
        <v>1.0000000057738301</v>
      </c>
    </row>
    <row r="2645" spans="1:40" x14ac:dyDescent="0.25">
      <c r="A2645" t="str">
        <f>"20190312150714159"</f>
        <v>20190312150714159</v>
      </c>
      <c r="B2645" t="str">
        <f>"1552374434153231"</f>
        <v>1552374434153231</v>
      </c>
      <c r="C2645" t="s">
        <v>40</v>
      </c>
      <c r="D2645">
        <v>4.8125609999999996</v>
      </c>
      <c r="E2645">
        <v>0.60757169999999905</v>
      </c>
      <c r="F2645" t="s">
        <v>61</v>
      </c>
      <c r="G2645">
        <v>-199.15870000000001</v>
      </c>
      <c r="H2645" s="1">
        <v>1.147613E-6</v>
      </c>
      <c r="I2645">
        <v>293.5025</v>
      </c>
      <c r="J2645">
        <v>-190.68510000000001</v>
      </c>
      <c r="K2645">
        <v>1.106722</v>
      </c>
      <c r="L2645">
        <v>304.31889999999999</v>
      </c>
      <c r="M2645">
        <v>-0.1837625</v>
      </c>
      <c r="N2645">
        <v>0</v>
      </c>
      <c r="O2645">
        <v>-0.98285829999999996</v>
      </c>
      <c r="P2645">
        <v>-0.37371080000000001</v>
      </c>
      <c r="Q2645">
        <v>1.868415E-2</v>
      </c>
      <c r="R2645">
        <v>-0.92735719999999999</v>
      </c>
      <c r="S2645">
        <v>-1.9125209999999999</v>
      </c>
      <c r="T2645">
        <v>-0.24841079999999999</v>
      </c>
      <c r="U2645">
        <v>-2.4762569999999999</v>
      </c>
      <c r="V2645">
        <v>0.1972188</v>
      </c>
      <c r="W2645">
        <v>3.1384389999999998E-2</v>
      </c>
      <c r="X2645">
        <v>0.97985699999999998</v>
      </c>
      <c r="Y2645">
        <v>0.45336599999999999</v>
      </c>
      <c r="Z2645">
        <v>8.1295329999999999E-2</v>
      </c>
      <c r="AA2645">
        <v>0.88760930000000005</v>
      </c>
      <c r="AB2645">
        <v>21</v>
      </c>
      <c r="AC2645">
        <v>-8.4735999999999994</v>
      </c>
      <c r="AD2645">
        <v>-1.106720852387</v>
      </c>
      <c r="AE2645">
        <v>-10.8163999999999</v>
      </c>
      <c r="AF2645">
        <v>6.3005247169192797</v>
      </c>
      <c r="AG2645">
        <v>-1.106720852387</v>
      </c>
      <c r="AH2645">
        <v>12.1108945222224</v>
      </c>
      <c r="AI2645">
        <v>94.634720861623904</v>
      </c>
      <c r="AJ2645">
        <v>62.514920473385096</v>
      </c>
      <c r="AK2645">
        <v>13.6965400332353</v>
      </c>
      <c r="AL2645">
        <v>88.201511560058407</v>
      </c>
      <c r="AM2645">
        <v>78.619950125414306</v>
      </c>
      <c r="AN2645">
        <v>0.99999998772905596</v>
      </c>
    </row>
    <row r="2646" spans="1:40" x14ac:dyDescent="0.25">
      <c r="A2646" t="str">
        <f>"20190312150714181"</f>
        <v>20190312150714181</v>
      </c>
      <c r="B2646" t="str">
        <f>"1552374434172751"</f>
        <v>1552374434172751</v>
      </c>
      <c r="C2646" t="s">
        <v>40</v>
      </c>
      <c r="D2646">
        <v>4.5084679999999997</v>
      </c>
      <c r="E2646">
        <v>0.60717469999999996</v>
      </c>
      <c r="F2646" t="s">
        <v>61</v>
      </c>
      <c r="G2646">
        <v>-199.23339999999999</v>
      </c>
      <c r="H2646" s="1">
        <v>1.1622530000000001E-6</v>
      </c>
      <c r="I2646">
        <v>293.38170000000002</v>
      </c>
      <c r="J2646">
        <v>-190.733</v>
      </c>
      <c r="K2646">
        <v>1.1067450000000001</v>
      </c>
      <c r="L2646">
        <v>304.10550000000001</v>
      </c>
      <c r="M2646">
        <v>-0.19038659999999999</v>
      </c>
      <c r="N2646">
        <v>0</v>
      </c>
      <c r="O2646">
        <v>-0.98159680000000005</v>
      </c>
      <c r="P2646">
        <v>-0.3796949</v>
      </c>
      <c r="Q2646">
        <v>1.744091E-2</v>
      </c>
      <c r="R2646">
        <v>-0.92494739999999998</v>
      </c>
      <c r="S2646">
        <v>-1.9258120000000001</v>
      </c>
      <c r="T2646">
        <v>-0.249329</v>
      </c>
      <c r="U2646">
        <v>-2.4639890000000002</v>
      </c>
      <c r="V2646">
        <v>0.19692309999999999</v>
      </c>
      <c r="W2646">
        <v>3.0152350000000001E-2</v>
      </c>
      <c r="X2646">
        <v>0.97995509999999997</v>
      </c>
      <c r="Y2646">
        <v>0.45245610000000003</v>
      </c>
      <c r="Z2646">
        <v>8.1652160000000001E-2</v>
      </c>
      <c r="AA2646">
        <v>0.88804079999999996</v>
      </c>
      <c r="AB2646">
        <v>21</v>
      </c>
      <c r="AC2646">
        <v>-8.5003999999999795</v>
      </c>
      <c r="AD2646">
        <v>-1.106743837747</v>
      </c>
      <c r="AE2646">
        <v>-10.723799999999899</v>
      </c>
      <c r="AF2646">
        <v>6.2620319277186498</v>
      </c>
      <c r="AG2646">
        <v>-1.106743837747</v>
      </c>
      <c r="AH2646">
        <v>12.0672162290358</v>
      </c>
      <c r="AI2646">
        <v>94.653996058330804</v>
      </c>
      <c r="AJ2646">
        <v>62.573879262770397</v>
      </c>
      <c r="AK2646">
        <v>13.6402211603941</v>
      </c>
      <c r="AL2646">
        <v>88.272135603652998</v>
      </c>
      <c r="AM2646">
        <v>78.6376765181179</v>
      </c>
      <c r="AN2646">
        <v>0.99999993477006899</v>
      </c>
    </row>
    <row r="2647" spans="1:40" x14ac:dyDescent="0.25">
      <c r="A2647" t="str">
        <f>"20190312150714203"</f>
        <v>20190312150714203</v>
      </c>
      <c r="B2647" t="str">
        <f>"1552374434193248"</f>
        <v>1552374434193248</v>
      </c>
      <c r="C2647" t="s">
        <v>40</v>
      </c>
      <c r="D2647">
        <v>4.8282920000000003</v>
      </c>
      <c r="E2647">
        <v>0.60681180000000001</v>
      </c>
      <c r="F2647" t="s">
        <v>61</v>
      </c>
      <c r="G2647">
        <v>-199.30629999999999</v>
      </c>
      <c r="H2647" s="1">
        <v>1.1764169999999999E-6</v>
      </c>
      <c r="I2647">
        <v>293.26459999999997</v>
      </c>
      <c r="J2647">
        <v>-190.7818</v>
      </c>
      <c r="K2647">
        <v>1.106781</v>
      </c>
      <c r="L2647">
        <v>303.89440000000002</v>
      </c>
      <c r="M2647">
        <v>-0.19691529999999999</v>
      </c>
      <c r="N2647">
        <v>0</v>
      </c>
      <c r="O2647">
        <v>-0.98030810000000002</v>
      </c>
      <c r="P2647">
        <v>-0.38525930000000003</v>
      </c>
      <c r="Q2647">
        <v>1.656846E-2</v>
      </c>
      <c r="R2647">
        <v>-0.92265969999999997</v>
      </c>
      <c r="S2647">
        <v>-1.939209</v>
      </c>
      <c r="T2647">
        <v>-0.2503359</v>
      </c>
      <c r="U2647">
        <v>-2.452118</v>
      </c>
      <c r="V2647">
        <v>0.19628950000000001</v>
      </c>
      <c r="W2647">
        <v>2.9296800000000001E-2</v>
      </c>
      <c r="X2647">
        <v>0.98010819999999998</v>
      </c>
      <c r="Y2647">
        <v>0.45158219999999999</v>
      </c>
      <c r="Z2647">
        <v>8.2021559999999993E-2</v>
      </c>
      <c r="AA2647">
        <v>0.88845149999999995</v>
      </c>
      <c r="AB2647">
        <v>21</v>
      </c>
      <c r="AC2647">
        <v>-8.5244999999999802</v>
      </c>
      <c r="AD2647">
        <v>-1.106779823583</v>
      </c>
      <c r="AE2647">
        <v>-10.629799999999999</v>
      </c>
      <c r="AF2647">
        <v>6.2230971942604398</v>
      </c>
      <c r="AG2647">
        <v>-1.106779823583</v>
      </c>
      <c r="AH2647">
        <v>12.0211031671356</v>
      </c>
      <c r="AI2647">
        <v>94.674293793928697</v>
      </c>
      <c r="AJ2647">
        <v>62.630254052670402</v>
      </c>
      <c r="AK2647">
        <v>13.5815618255789</v>
      </c>
      <c r="AL2647">
        <v>88.3211767533585</v>
      </c>
      <c r="AM2647">
        <v>78.675011848586607</v>
      </c>
      <c r="AN2647">
        <v>0.999999977003864</v>
      </c>
    </row>
    <row r="2648" spans="1:40" x14ac:dyDescent="0.25">
      <c r="A2648" t="str">
        <f>"20190312150714227"</f>
        <v>20190312150714227</v>
      </c>
      <c r="B2648" t="str">
        <f>"1552374434222528"</f>
        <v>1552374434222528</v>
      </c>
      <c r="C2648" t="s">
        <v>40</v>
      </c>
      <c r="D2648">
        <v>5.2850769999999896</v>
      </c>
      <c r="E2648">
        <v>0.6063383</v>
      </c>
      <c r="F2648" t="s">
        <v>61</v>
      </c>
      <c r="G2648">
        <v>-199.452</v>
      </c>
      <c r="H2648" s="1">
        <v>1.20113E-6</v>
      </c>
      <c r="I2648">
        <v>293.05079999999998</v>
      </c>
      <c r="J2648">
        <v>-190.83240000000001</v>
      </c>
      <c r="K2648">
        <v>1.106824</v>
      </c>
      <c r="L2648">
        <v>303.68259999999998</v>
      </c>
      <c r="M2648">
        <v>-0.20342879999999999</v>
      </c>
      <c r="N2648">
        <v>0</v>
      </c>
      <c r="O2648">
        <v>-0.97897749999999994</v>
      </c>
      <c r="P2648">
        <v>-0.39095960000000002</v>
      </c>
      <c r="Q2648">
        <v>1.569951E-2</v>
      </c>
      <c r="R2648">
        <v>-0.92027409999999998</v>
      </c>
      <c r="S2648">
        <v>-1.9517359999999999</v>
      </c>
      <c r="T2648">
        <v>-0.2491458</v>
      </c>
      <c r="U2648">
        <v>-2.440979</v>
      </c>
      <c r="V2648">
        <v>0.19582140000000001</v>
      </c>
      <c r="W2648">
        <v>2.844696E-2</v>
      </c>
      <c r="X2648">
        <v>0.98022690000000001</v>
      </c>
      <c r="Y2648">
        <v>0.45043070000000002</v>
      </c>
      <c r="Z2648">
        <v>8.1665219999999997E-2</v>
      </c>
      <c r="AA2648">
        <v>0.88906859999999999</v>
      </c>
      <c r="AB2648">
        <v>21</v>
      </c>
      <c r="AC2648">
        <v>-8.6195999999999895</v>
      </c>
      <c r="AD2648">
        <v>-1.1068227988699999</v>
      </c>
      <c r="AE2648">
        <v>-10.631799999999901</v>
      </c>
      <c r="AF2648">
        <v>6.2354930439358496</v>
      </c>
      <c r="AG2648">
        <v>-1.1068227988699999</v>
      </c>
      <c r="AH2648">
        <v>12.0840810282126</v>
      </c>
      <c r="AI2648">
        <v>94.653378793084798</v>
      </c>
      <c r="AJ2648">
        <v>62.705864428456799</v>
      </c>
      <c r="AK2648">
        <v>13.642999835281</v>
      </c>
      <c r="AL2648">
        <v>88.369889366943298</v>
      </c>
      <c r="AM2648">
        <v>78.7026565190382</v>
      </c>
      <c r="AN2648">
        <v>1.0000000128574</v>
      </c>
    </row>
    <row r="2649" spans="1:40" x14ac:dyDescent="0.25">
      <c r="A2649" t="str">
        <f>"20190312150714248"</f>
        <v>20190312150714248</v>
      </c>
      <c r="B2649" t="str">
        <f>"1552374434243024"</f>
        <v>1552374434243024</v>
      </c>
      <c r="C2649" t="s">
        <v>40</v>
      </c>
      <c r="D2649">
        <v>4.7525760000000004</v>
      </c>
      <c r="E2649">
        <v>0.60597119999999904</v>
      </c>
      <c r="F2649" t="s">
        <v>61</v>
      </c>
      <c r="G2649">
        <v>-199.6027</v>
      </c>
      <c r="H2649" s="1">
        <v>1.226653E-6</v>
      </c>
      <c r="I2649">
        <v>292.83</v>
      </c>
      <c r="J2649">
        <v>-190.8819</v>
      </c>
      <c r="K2649">
        <v>1.1068709999999999</v>
      </c>
      <c r="L2649">
        <v>303.48079999999999</v>
      </c>
      <c r="M2649">
        <v>-0.20958379999999999</v>
      </c>
      <c r="N2649">
        <v>0</v>
      </c>
      <c r="O2649">
        <v>-0.97767850000000001</v>
      </c>
      <c r="P2649">
        <v>-0.39566410000000002</v>
      </c>
      <c r="Q2649">
        <v>1.4610690000000001E-2</v>
      </c>
      <c r="R2649">
        <v>-0.91827919999999996</v>
      </c>
      <c r="S2649">
        <v>-1.963684</v>
      </c>
      <c r="T2649">
        <v>-0.2478197</v>
      </c>
      <c r="U2649">
        <v>-2.4299010000000001</v>
      </c>
      <c r="V2649">
        <v>0.1946531</v>
      </c>
      <c r="W2649">
        <v>2.7386879999999999E-2</v>
      </c>
      <c r="X2649">
        <v>0.98048970000000002</v>
      </c>
      <c r="Y2649">
        <v>0.44946320000000001</v>
      </c>
      <c r="Z2649">
        <v>8.1266989999999997E-2</v>
      </c>
      <c r="AA2649">
        <v>0.88959460000000001</v>
      </c>
      <c r="AB2649">
        <v>21</v>
      </c>
      <c r="AC2649">
        <v>-8.7207999999999899</v>
      </c>
      <c r="AD2649">
        <v>-1.1068697733470001</v>
      </c>
      <c r="AE2649">
        <v>-10.6508</v>
      </c>
      <c r="AF2649">
        <v>6.2541577369012797</v>
      </c>
      <c r="AG2649">
        <v>-1.1068697733470001</v>
      </c>
      <c r="AH2649">
        <v>12.1634963526247</v>
      </c>
      <c r="AI2649">
        <v>94.626763463502897</v>
      </c>
      <c r="AJ2649">
        <v>62.788935090841001</v>
      </c>
      <c r="AK2649">
        <v>13.721891021776299</v>
      </c>
      <c r="AL2649">
        <v>88.430651079927998</v>
      </c>
      <c r="AM2649">
        <v>78.771273655597199</v>
      </c>
      <c r="AN2649">
        <v>0.99999996117091605</v>
      </c>
    </row>
    <row r="2650" spans="1:40" x14ac:dyDescent="0.25">
      <c r="A2650" t="str">
        <f>"20190312150714270"</f>
        <v>20190312150714270</v>
      </c>
      <c r="B2650" t="str">
        <f>"1552374434262544"</f>
        <v>1552374434262544</v>
      </c>
      <c r="C2650" t="s">
        <v>40</v>
      </c>
      <c r="D2650">
        <v>4.4777529999999999</v>
      </c>
      <c r="E2650">
        <v>0.60568169999999899</v>
      </c>
      <c r="F2650" t="s">
        <v>61</v>
      </c>
      <c r="G2650">
        <v>-199.70089999999999</v>
      </c>
      <c r="H2650" s="1">
        <v>1.246604E-6</v>
      </c>
      <c r="I2650">
        <v>292.66730000000001</v>
      </c>
      <c r="J2650">
        <v>-190.9325</v>
      </c>
      <c r="K2650">
        <v>1.1069180000000001</v>
      </c>
      <c r="L2650">
        <v>303.27949999999998</v>
      </c>
      <c r="M2650">
        <v>-0.2156767</v>
      </c>
      <c r="N2650">
        <v>0</v>
      </c>
      <c r="O2650">
        <v>-0.97635249999999996</v>
      </c>
      <c r="P2650">
        <v>-0.4002675</v>
      </c>
      <c r="Q2650">
        <v>1.3936810000000001E-2</v>
      </c>
      <c r="R2650">
        <v>-0.91629249999999995</v>
      </c>
      <c r="S2650">
        <v>-1.9739530000000001</v>
      </c>
      <c r="T2650">
        <v>-0.24774940000000001</v>
      </c>
      <c r="U2650">
        <v>-2.4203800000000002</v>
      </c>
      <c r="V2650">
        <v>0.1934468</v>
      </c>
      <c r="W2650">
        <v>2.6742430000000001E-2</v>
      </c>
      <c r="X2650">
        <v>0.98074629999999996</v>
      </c>
      <c r="Y2650">
        <v>0.4478762</v>
      </c>
      <c r="Z2650">
        <v>8.1261929999999996E-2</v>
      </c>
      <c r="AA2650">
        <v>0.890395099999999</v>
      </c>
      <c r="AB2650">
        <v>21</v>
      </c>
      <c r="AC2650">
        <v>-8.7683999999999802</v>
      </c>
      <c r="AD2650">
        <v>-1.106916753396</v>
      </c>
      <c r="AE2650">
        <v>-10.6121999999999</v>
      </c>
      <c r="AF2650">
        <v>6.2326349732406596</v>
      </c>
      <c r="AG2650">
        <v>-1.106916753396</v>
      </c>
      <c r="AH2650">
        <v>12.175012215912799</v>
      </c>
      <c r="AI2650">
        <v>94.626817037509696</v>
      </c>
      <c r="AJ2650">
        <v>62.891175196418502</v>
      </c>
      <c r="AK2650">
        <v>13.722314887300801</v>
      </c>
      <c r="AL2650">
        <v>88.467589034789597</v>
      </c>
      <c r="AM2650">
        <v>78.8419546883284</v>
      </c>
      <c r="AN2650">
        <v>1.0000000634781101</v>
      </c>
    </row>
    <row r="2651" spans="1:40" x14ac:dyDescent="0.25">
      <c r="A2651" t="str">
        <f>"20190312150714292"</f>
        <v>20190312150714292</v>
      </c>
      <c r="B2651" t="str">
        <f>"1552374434283043"</f>
        <v>1552374434283043</v>
      </c>
      <c r="C2651" t="s">
        <v>40</v>
      </c>
      <c r="D2651">
        <v>4.8044370000000001</v>
      </c>
      <c r="E2651">
        <v>0.60544619999999905</v>
      </c>
      <c r="F2651" t="s">
        <v>61</v>
      </c>
      <c r="G2651">
        <v>-199.82339999999999</v>
      </c>
      <c r="H2651" s="1">
        <v>1.269219E-6</v>
      </c>
      <c r="I2651">
        <v>292.47719999999998</v>
      </c>
      <c r="J2651">
        <v>-190.98650000000001</v>
      </c>
      <c r="K2651">
        <v>1.1069770000000001</v>
      </c>
      <c r="L2651">
        <v>303.07029999999997</v>
      </c>
      <c r="M2651">
        <v>-0.22194620000000001</v>
      </c>
      <c r="N2651">
        <v>0</v>
      </c>
      <c r="O2651">
        <v>-0.97494669999999894</v>
      </c>
      <c r="P2651">
        <v>-0.40519929999999998</v>
      </c>
      <c r="Q2651">
        <v>1.3451329999999999E-2</v>
      </c>
      <c r="R2651">
        <v>-0.91412959999999999</v>
      </c>
      <c r="S2651">
        <v>-1.9843599999999999</v>
      </c>
      <c r="T2651">
        <v>-0.24705489999999999</v>
      </c>
      <c r="U2651">
        <v>-2.4109799999999999</v>
      </c>
      <c r="V2651">
        <v>0.19241920000000001</v>
      </c>
      <c r="W2651">
        <v>2.6285780000000002E-2</v>
      </c>
      <c r="X2651">
        <v>0.98096070000000002</v>
      </c>
      <c r="Y2651">
        <v>0.44613960000000003</v>
      </c>
      <c r="Z2651">
        <v>8.1041530000000001E-2</v>
      </c>
      <c r="AA2651">
        <v>0.89128660000000004</v>
      </c>
      <c r="AB2651">
        <v>21</v>
      </c>
      <c r="AC2651">
        <v>-8.8368999999999804</v>
      </c>
      <c r="AD2651">
        <v>-1.106975730781</v>
      </c>
      <c r="AE2651">
        <v>-10.5930999999999</v>
      </c>
      <c r="AF2651">
        <v>6.2250100626660503</v>
      </c>
      <c r="AG2651">
        <v>-1.106975730781</v>
      </c>
      <c r="AH2651">
        <v>12.211736085489299</v>
      </c>
      <c r="AI2651">
        <v>94.617236200975</v>
      </c>
      <c r="AJ2651">
        <v>62.989497898848903</v>
      </c>
      <c r="AK2651">
        <v>13.751459695991301</v>
      </c>
      <c r="AL2651">
        <v>88.493762246174796</v>
      </c>
      <c r="AM2651">
        <v>78.902116875296599</v>
      </c>
      <c r="AN2651">
        <v>0.99999999285166896</v>
      </c>
    </row>
    <row r="2652" spans="1:40" x14ac:dyDescent="0.25">
      <c r="A2652" t="str">
        <f>"20190312150714315"</f>
        <v>20190312150714315</v>
      </c>
      <c r="B2652" t="str">
        <f>"1552374434312320"</f>
        <v>1552374434312320</v>
      </c>
      <c r="C2652" t="s">
        <v>40</v>
      </c>
      <c r="D2652">
        <v>4.4822480000000002</v>
      </c>
      <c r="E2652">
        <v>0.60494669999999995</v>
      </c>
      <c r="F2652" t="s">
        <v>61</v>
      </c>
      <c r="G2652">
        <v>-199.97710000000001</v>
      </c>
      <c r="H2652" s="1">
        <v>1.305453E-6</v>
      </c>
      <c r="I2652">
        <v>292.25740000000002</v>
      </c>
      <c r="J2652">
        <v>-191.04050000000001</v>
      </c>
      <c r="K2652">
        <v>1.1070439999999999</v>
      </c>
      <c r="L2652">
        <v>302.86610000000002</v>
      </c>
      <c r="M2652">
        <v>-0.22797680000000001</v>
      </c>
      <c r="N2652">
        <v>0</v>
      </c>
      <c r="O2652">
        <v>-0.97355429999999998</v>
      </c>
      <c r="P2652">
        <v>-0.40899950000000002</v>
      </c>
      <c r="Q2652">
        <v>1.249888E-2</v>
      </c>
      <c r="R2652">
        <v>-0.91244890000000001</v>
      </c>
      <c r="S2652">
        <v>-1.996048</v>
      </c>
      <c r="T2652">
        <v>-0.24576509999999999</v>
      </c>
      <c r="U2652">
        <v>-2.400604</v>
      </c>
      <c r="V2652">
        <v>0.1904122</v>
      </c>
      <c r="W2652">
        <v>2.5375809999999999E-2</v>
      </c>
      <c r="X2652">
        <v>0.98137620000000003</v>
      </c>
      <c r="Y2652">
        <v>0.44508449999999999</v>
      </c>
      <c r="Z2652">
        <v>8.062648E-2</v>
      </c>
      <c r="AA2652">
        <v>0.89185149999999902</v>
      </c>
      <c r="AB2652">
        <v>21</v>
      </c>
      <c r="AC2652">
        <v>-8.9365999999999897</v>
      </c>
      <c r="AD2652">
        <v>-1.107042694547</v>
      </c>
      <c r="AE2652">
        <v>-10.608700000000001</v>
      </c>
      <c r="AF2652">
        <v>6.2426518625694598</v>
      </c>
      <c r="AG2652">
        <v>-1.107042694547</v>
      </c>
      <c r="AH2652">
        <v>12.288562446351101</v>
      </c>
      <c r="AI2652">
        <v>94.592005512511506</v>
      </c>
      <c r="AJ2652">
        <v>63.069200170526599</v>
      </c>
      <c r="AK2652">
        <v>13.827690074725499</v>
      </c>
      <c r="AL2652">
        <v>88.545917089823703</v>
      </c>
      <c r="AM2652">
        <v>79.019579416264094</v>
      </c>
      <c r="AN2652">
        <v>0.99999999178421795</v>
      </c>
    </row>
    <row r="2653" spans="1:40" x14ac:dyDescent="0.25">
      <c r="A2653" t="str">
        <f>"20190312150714337"</f>
        <v>20190312150714337</v>
      </c>
      <c r="B2653" t="str">
        <f>"1552374434332816"</f>
        <v>1552374434332816</v>
      </c>
      <c r="C2653" t="s">
        <v>40</v>
      </c>
      <c r="D2653">
        <v>4.4931989999999997</v>
      </c>
      <c r="E2653">
        <v>0.59965190000000002</v>
      </c>
      <c r="F2653" t="s">
        <v>61</v>
      </c>
      <c r="G2653">
        <v>-200.03270000000001</v>
      </c>
      <c r="H2653" s="1">
        <v>1.35731E-6</v>
      </c>
      <c r="I2653">
        <v>292.11680000000001</v>
      </c>
      <c r="J2653">
        <v>-191.09620000000001</v>
      </c>
      <c r="K2653">
        <v>1.107127</v>
      </c>
      <c r="L2653">
        <v>302.66019999999997</v>
      </c>
      <c r="M2653">
        <v>-0.23395869999999999</v>
      </c>
      <c r="N2653">
        <v>0</v>
      </c>
      <c r="O2653">
        <v>-0.97213439999999995</v>
      </c>
      <c r="P2653">
        <v>-0.41302299999999997</v>
      </c>
      <c r="Q2653">
        <v>1.244849E-2</v>
      </c>
      <c r="R2653">
        <v>-0.91063570000000005</v>
      </c>
      <c r="S2653">
        <v>-2.0023650000000002</v>
      </c>
      <c r="T2653">
        <v>-0.24651380000000001</v>
      </c>
      <c r="U2653">
        <v>-2.3936459999999999</v>
      </c>
      <c r="V2653">
        <v>0.18870319999999999</v>
      </c>
      <c r="W2653">
        <v>2.5367710000000002E-2</v>
      </c>
      <c r="X2653">
        <v>0.98170639999999998</v>
      </c>
      <c r="Y2653">
        <v>0.44222640000000002</v>
      </c>
      <c r="Z2653">
        <v>8.0872360000000004E-2</v>
      </c>
      <c r="AA2653">
        <v>0.89324989999999904</v>
      </c>
      <c r="AB2653">
        <v>21</v>
      </c>
      <c r="AC2653">
        <v>-8.9364999999999899</v>
      </c>
      <c r="AD2653">
        <v>-1.10712564269</v>
      </c>
      <c r="AE2653">
        <v>-10.543399999999901</v>
      </c>
      <c r="AF2653">
        <v>6.18177121916698</v>
      </c>
      <c r="AG2653">
        <v>-1.10712564269</v>
      </c>
      <c r="AH2653">
        <v>12.263032283283801</v>
      </c>
      <c r="AI2653">
        <v>94.609085774693497</v>
      </c>
      <c r="AJ2653">
        <v>63.247414046531397</v>
      </c>
      <c r="AK2653">
        <v>13.7775898972093</v>
      </c>
      <c r="AL2653">
        <v>88.546381255583299</v>
      </c>
      <c r="AM2653">
        <v>79.119340986792807</v>
      </c>
      <c r="AN2653">
        <v>0.99999993710092006</v>
      </c>
    </row>
    <row r="2654" spans="1:40" x14ac:dyDescent="0.25">
      <c r="A2654" t="str">
        <f>"20190312150714359"</f>
        <v>20190312150714359</v>
      </c>
      <c r="B2654" t="str">
        <f>"1552374434352336"</f>
        <v>1552374434352336</v>
      </c>
      <c r="C2654" t="s">
        <v>40</v>
      </c>
      <c r="D2654">
        <v>4.4331469999999999</v>
      </c>
      <c r="E2654">
        <v>0.59888319999999995</v>
      </c>
      <c r="F2654" t="s">
        <v>61</v>
      </c>
      <c r="G2654">
        <v>-195.85409999999999</v>
      </c>
      <c r="H2654" s="1">
        <v>4.7827740000000001E-7</v>
      </c>
      <c r="I2654">
        <v>296.9006</v>
      </c>
      <c r="J2654">
        <v>-191.15010000000001</v>
      </c>
      <c r="K2654">
        <v>1.1072169999999999</v>
      </c>
      <c r="L2654">
        <v>302.46519999999998</v>
      </c>
      <c r="M2654">
        <v>-0.23950469999999999</v>
      </c>
      <c r="N2654">
        <v>0</v>
      </c>
      <c r="O2654">
        <v>-0.97078299999999995</v>
      </c>
      <c r="P2654">
        <v>-0.4178172</v>
      </c>
      <c r="Q2654">
        <v>1.329873E-2</v>
      </c>
      <c r="R2654">
        <v>-0.90843370000000001</v>
      </c>
      <c r="S2654">
        <v>-1.9835050000000001</v>
      </c>
      <c r="T2654">
        <v>-0.4615494</v>
      </c>
      <c r="U2654">
        <v>-2.4010929999999999</v>
      </c>
      <c r="V2654">
        <v>0.18827730000000001</v>
      </c>
      <c r="W2654">
        <v>2.6249080000000001E-2</v>
      </c>
      <c r="X2654">
        <v>0.981765</v>
      </c>
      <c r="Y2654">
        <v>0.42634290000000002</v>
      </c>
      <c r="Z2654">
        <v>0.15029389999999901</v>
      </c>
      <c r="AA2654">
        <v>0.89198849999999996</v>
      </c>
      <c r="AB2654">
        <v>21</v>
      </c>
      <c r="AC2654">
        <v>-4.7039999999999704</v>
      </c>
      <c r="AD2654">
        <v>-1.1072165217226</v>
      </c>
      <c r="AE2654">
        <v>-5.56459999999998</v>
      </c>
      <c r="AF2654">
        <v>3.1611746829982601</v>
      </c>
      <c r="AG2654">
        <v>-1.1072165217226</v>
      </c>
      <c r="AH2654">
        <v>6.3819971521814898</v>
      </c>
      <c r="AI2654">
        <v>98.836705221085893</v>
      </c>
      <c r="AJ2654">
        <v>63.649549398092702</v>
      </c>
      <c r="AK2654">
        <v>7.2075544710294999</v>
      </c>
      <c r="AL2654">
        <v>88.495865640907695</v>
      </c>
      <c r="AM2654">
        <v>79.143946829003397</v>
      </c>
      <c r="AN2654">
        <v>0.99999993556056599</v>
      </c>
    </row>
    <row r="2655" spans="1:40" x14ac:dyDescent="0.25">
      <c r="A2655" t="str">
        <f>"20190312150714382"</f>
        <v>20190312150714382</v>
      </c>
      <c r="B2655" t="str">
        <f>"1552374434372832"</f>
        <v>1552374434372832</v>
      </c>
      <c r="C2655" t="s">
        <v>40</v>
      </c>
      <c r="D2655">
        <v>4.4750829999999997</v>
      </c>
      <c r="E2655">
        <v>0.59883679999999995</v>
      </c>
      <c r="F2655" t="s">
        <v>61</v>
      </c>
      <c r="G2655">
        <v>-196.5376</v>
      </c>
      <c r="H2655" s="1">
        <v>7.01451E-7</v>
      </c>
      <c r="I2655">
        <v>295.98110000000003</v>
      </c>
      <c r="J2655">
        <v>-191.20930000000001</v>
      </c>
      <c r="K2655">
        <v>1.1073299999999999</v>
      </c>
      <c r="L2655">
        <v>302.25510000000003</v>
      </c>
      <c r="M2655">
        <v>-0.24534400000000001</v>
      </c>
      <c r="N2655">
        <v>0</v>
      </c>
      <c r="O2655">
        <v>-0.96932410000000002</v>
      </c>
      <c r="P2655">
        <v>-0.42274250000000002</v>
      </c>
      <c r="Q2655">
        <v>1.3989039999999999E-2</v>
      </c>
      <c r="R2655">
        <v>-0.906142</v>
      </c>
      <c r="S2655">
        <v>-1.988831</v>
      </c>
      <c r="T2655">
        <v>-0.40873150000000003</v>
      </c>
      <c r="U2655">
        <v>-2.3936160000000002</v>
      </c>
      <c r="V2655">
        <v>0.18769759999999999</v>
      </c>
      <c r="W2655">
        <v>2.6979340000000001E-2</v>
      </c>
      <c r="X2655">
        <v>0.98185630000000002</v>
      </c>
      <c r="Y2655">
        <v>0.42501489999999997</v>
      </c>
      <c r="Z2655">
        <v>0.13344230000000001</v>
      </c>
      <c r="AA2655">
        <v>0.89529629999999905</v>
      </c>
      <c r="AB2655">
        <v>21</v>
      </c>
      <c r="AC2655">
        <v>-5.3282999999999801</v>
      </c>
      <c r="AD2655">
        <v>-1.107329298549</v>
      </c>
      <c r="AE2655">
        <v>-6.274</v>
      </c>
      <c r="AF2655">
        <v>3.56150058305745</v>
      </c>
      <c r="AG2655">
        <v>-1.107329298549</v>
      </c>
      <c r="AH2655">
        <v>7.2582515618133403</v>
      </c>
      <c r="AI2655">
        <v>97.798804822542706</v>
      </c>
      <c r="AJ2655">
        <v>63.8635986007938</v>
      </c>
      <c r="AK2655">
        <v>8.1604338311825906</v>
      </c>
      <c r="AL2655">
        <v>88.4540101471664</v>
      </c>
      <c r="AM2655">
        <v>79.177564245938498</v>
      </c>
      <c r="AN2655">
        <v>1.0000000338411399</v>
      </c>
    </row>
    <row r="2656" spans="1:40" x14ac:dyDescent="0.25">
      <c r="A2656" t="str">
        <f>"20190312150714405"</f>
        <v>20190312150714405</v>
      </c>
      <c r="B2656" t="str">
        <f>"1552374434392355"</f>
        <v>1552374434392355</v>
      </c>
      <c r="C2656" t="s">
        <v>40</v>
      </c>
      <c r="D2656">
        <v>4.4536720000000001</v>
      </c>
      <c r="E2656">
        <v>0.59832919999999901</v>
      </c>
      <c r="F2656" t="s">
        <v>61</v>
      </c>
      <c r="G2656">
        <v>-197.55510000000001</v>
      </c>
      <c r="H2656" s="1">
        <v>1.066537E-6</v>
      </c>
      <c r="I2656">
        <v>294.69310000000002</v>
      </c>
      <c r="J2656">
        <v>-191.2671</v>
      </c>
      <c r="K2656">
        <v>1.107456</v>
      </c>
      <c r="L2656">
        <v>302.05360000000002</v>
      </c>
      <c r="M2656">
        <v>-0.25077880000000002</v>
      </c>
      <c r="N2656">
        <v>0</v>
      </c>
      <c r="O2656">
        <v>-0.96793260000000003</v>
      </c>
      <c r="P2656">
        <v>-0.4272069</v>
      </c>
      <c r="Q2656">
        <v>1.3837240000000001E-2</v>
      </c>
      <c r="R2656">
        <v>-0.90404830000000003</v>
      </c>
      <c r="S2656">
        <v>-1.9998629999999999</v>
      </c>
      <c r="T2656">
        <v>-0.34896870000000002</v>
      </c>
      <c r="U2656">
        <v>-2.3831180000000001</v>
      </c>
      <c r="V2656">
        <v>0.1870214</v>
      </c>
      <c r="W2656">
        <v>2.687256E-2</v>
      </c>
      <c r="X2656">
        <v>0.98198830000000004</v>
      </c>
      <c r="Y2656">
        <v>0.42588510000000002</v>
      </c>
      <c r="Z2656">
        <v>0.114208</v>
      </c>
      <c r="AA2656">
        <v>0.89754020000000001</v>
      </c>
      <c r="AB2656">
        <v>21</v>
      </c>
      <c r="AC2656">
        <v>-6.28800000000001</v>
      </c>
      <c r="AD2656">
        <v>-1.1074549334629999</v>
      </c>
      <c r="AE2656">
        <v>-7.3605</v>
      </c>
      <c r="AF2656">
        <v>4.1861775437589399</v>
      </c>
      <c r="AG2656">
        <v>-1.1074549334629999</v>
      </c>
      <c r="AH2656">
        <v>8.5898913872932692</v>
      </c>
      <c r="AI2656">
        <v>96.610823347588195</v>
      </c>
      <c r="AJ2656">
        <v>64.018282360569302</v>
      </c>
      <c r="AK2656">
        <v>9.6196035730698508</v>
      </c>
      <c r="AL2656">
        <v>88.460130480316707</v>
      </c>
      <c r="AM2656">
        <v>79.217052896591298</v>
      </c>
      <c r="AN2656">
        <v>1.0000000799378901</v>
      </c>
    </row>
    <row r="2657" spans="1:40" x14ac:dyDescent="0.25">
      <c r="A2657" t="str">
        <f>"20190312150714428"</f>
        <v>20190312150714428</v>
      </c>
      <c r="B2657" t="str">
        <f>"1552374434422608"</f>
        <v>1552374434422608</v>
      </c>
      <c r="C2657" t="s">
        <v>40</v>
      </c>
      <c r="D2657">
        <v>4.4264429999999999</v>
      </c>
      <c r="E2657">
        <v>0.59782899999999894</v>
      </c>
      <c r="F2657" t="s">
        <v>61</v>
      </c>
      <c r="G2657">
        <v>-198.28389999999999</v>
      </c>
      <c r="H2657" s="1">
        <v>1.181704E-6</v>
      </c>
      <c r="I2657">
        <v>293.74939999999998</v>
      </c>
      <c r="J2657">
        <v>-191.33019999999999</v>
      </c>
      <c r="K2657">
        <v>1.107594</v>
      </c>
      <c r="L2657">
        <v>301.8381</v>
      </c>
      <c r="M2657">
        <v>-0.25638420000000001</v>
      </c>
      <c r="N2657">
        <v>0</v>
      </c>
      <c r="O2657">
        <v>-0.96646330000000003</v>
      </c>
      <c r="P2657">
        <v>-0.43191370000000001</v>
      </c>
      <c r="Q2657">
        <v>1.35791E-2</v>
      </c>
      <c r="R2657">
        <v>-0.90181299999999998</v>
      </c>
      <c r="S2657">
        <v>-2.0067750000000002</v>
      </c>
      <c r="T2657">
        <v>-0.3167238</v>
      </c>
      <c r="U2657">
        <v>-2.3749389999999999</v>
      </c>
      <c r="V2657">
        <v>0.18643670000000001</v>
      </c>
      <c r="W2657">
        <v>2.6663780000000002E-2</v>
      </c>
      <c r="X2657">
        <v>0.98210509999999995</v>
      </c>
      <c r="Y2657">
        <v>0.42444320000000002</v>
      </c>
      <c r="Z2657">
        <v>0.1037781</v>
      </c>
      <c r="AA2657">
        <v>0.8994877</v>
      </c>
      <c r="AB2657">
        <v>21</v>
      </c>
      <c r="AC2657">
        <v>-6.9536999999999898</v>
      </c>
      <c r="AD2657">
        <v>-1.107592818296</v>
      </c>
      <c r="AE2657">
        <v>-8.08870000000001</v>
      </c>
      <c r="AF2657">
        <v>4.5976120599897703</v>
      </c>
      <c r="AG2657">
        <v>-1.107592818296</v>
      </c>
      <c r="AH2657">
        <v>9.4988719443103502</v>
      </c>
      <c r="AI2657">
        <v>95.991536006902393</v>
      </c>
      <c r="AJ2657">
        <v>64.172245539742903</v>
      </c>
      <c r="AK2657">
        <v>10.6110021543542</v>
      </c>
      <c r="AL2657">
        <v>88.472096879217105</v>
      </c>
      <c r="AM2657">
        <v>79.251226392156894</v>
      </c>
      <c r="AN2657">
        <v>1.00000001385839</v>
      </c>
    </row>
    <row r="2658" spans="1:40" x14ac:dyDescent="0.25">
      <c r="A2658" t="str">
        <f>"20190312150714451"</f>
        <v>20190312150714451</v>
      </c>
      <c r="B2658" t="str">
        <f>"1552374434443105"</f>
        <v>1552374434443105</v>
      </c>
      <c r="C2658" t="s">
        <v>40</v>
      </c>
      <c r="D2658">
        <v>4.4488709999999996</v>
      </c>
      <c r="E2658">
        <v>0.59784630000000005</v>
      </c>
      <c r="F2658" t="s">
        <v>61</v>
      </c>
      <c r="G2658">
        <v>-198.95849999999999</v>
      </c>
      <c r="H2658" s="1">
        <v>1.275128E-6</v>
      </c>
      <c r="I2658">
        <v>292.8793</v>
      </c>
      <c r="J2658">
        <v>-191.3905</v>
      </c>
      <c r="K2658">
        <v>1.1077140000000001</v>
      </c>
      <c r="L2658">
        <v>301.6354</v>
      </c>
      <c r="M2658">
        <v>-0.26149790000000001</v>
      </c>
      <c r="N2658">
        <v>0</v>
      </c>
      <c r="O2658">
        <v>-0.96509259999999997</v>
      </c>
      <c r="P2658">
        <v>-0.43609890000000001</v>
      </c>
      <c r="Q2658">
        <v>1.3247490000000001E-2</v>
      </c>
      <c r="R2658">
        <v>-0.89980170000000004</v>
      </c>
      <c r="S2658">
        <v>-2.0147400000000002</v>
      </c>
      <c r="T2658">
        <v>-0.29253089999999998</v>
      </c>
      <c r="U2658">
        <v>-2.3661500000000002</v>
      </c>
      <c r="V2658">
        <v>0.18578749999999999</v>
      </c>
      <c r="W2658">
        <v>2.6373489999999999E-2</v>
      </c>
      <c r="X2658">
        <v>0.982236</v>
      </c>
      <c r="Y2658">
        <v>0.42357590000000001</v>
      </c>
      <c r="Z2658">
        <v>9.5932569999999995E-2</v>
      </c>
      <c r="AA2658">
        <v>0.90076659999999997</v>
      </c>
      <c r="AB2658">
        <v>21</v>
      </c>
      <c r="AC2658">
        <v>-7.5679999999999801</v>
      </c>
      <c r="AD2658">
        <v>-1.10771272487199</v>
      </c>
      <c r="AE2658">
        <v>-8.7561</v>
      </c>
      <c r="AF2658">
        <v>4.9691373897164697</v>
      </c>
      <c r="AG2658">
        <v>-1.10771272487199</v>
      </c>
      <c r="AH2658">
        <v>10.3359007409902</v>
      </c>
      <c r="AI2658">
        <v>95.517006651832006</v>
      </c>
      <c r="AJ2658">
        <v>64.323389903805605</v>
      </c>
      <c r="AK2658">
        <v>11.521727214542199</v>
      </c>
      <c r="AL2658">
        <v>88.488735188825501</v>
      </c>
      <c r="AM2658">
        <v>79.289182157306399</v>
      </c>
      <c r="AN2658">
        <v>1.00000005791351</v>
      </c>
    </row>
    <row r="2659" spans="1:40" x14ac:dyDescent="0.25">
      <c r="A2659" t="str">
        <f>"20190312150714474"</f>
        <v>20190312150714474</v>
      </c>
      <c r="B2659" t="str">
        <f>"1552374434462625"</f>
        <v>1552374434462625</v>
      </c>
      <c r="C2659" t="s">
        <v>40</v>
      </c>
      <c r="D2659">
        <v>4.4090889999999998</v>
      </c>
      <c r="E2659">
        <v>0.59782100000000005</v>
      </c>
      <c r="F2659" t="s">
        <v>61</v>
      </c>
      <c r="G2659">
        <v>-199.309</v>
      </c>
      <c r="H2659" s="1">
        <v>1.324738E-6</v>
      </c>
      <c r="I2659">
        <v>292.42099999999999</v>
      </c>
      <c r="J2659">
        <v>-191.45099999999999</v>
      </c>
      <c r="K2659">
        <v>1.1078159999999999</v>
      </c>
      <c r="L2659">
        <v>301.43520000000001</v>
      </c>
      <c r="M2659">
        <v>-0.26638770000000001</v>
      </c>
      <c r="N2659">
        <v>0</v>
      </c>
      <c r="O2659">
        <v>-0.96375469999999996</v>
      </c>
      <c r="P2659">
        <v>-0.44043070000000001</v>
      </c>
      <c r="Q2659">
        <v>1.2868879999999999E-2</v>
      </c>
      <c r="R2659">
        <v>-0.89769460000000001</v>
      </c>
      <c r="S2659">
        <v>-2.0252530000000002</v>
      </c>
      <c r="T2659">
        <v>-0.28331089999999998</v>
      </c>
      <c r="U2659">
        <v>-2.3566889999999998</v>
      </c>
      <c r="V2659">
        <v>0.18553049999999999</v>
      </c>
      <c r="W2659">
        <v>2.60279E-2</v>
      </c>
      <c r="X2659">
        <v>0.98229370000000005</v>
      </c>
      <c r="Y2659">
        <v>0.42327550000000003</v>
      </c>
      <c r="Z2659">
        <v>9.2916730000000003E-2</v>
      </c>
      <c r="AA2659">
        <v>0.90122380000000002</v>
      </c>
      <c r="AB2659">
        <v>21</v>
      </c>
      <c r="AC2659">
        <v>-7.8580000000000298</v>
      </c>
      <c r="AD2659">
        <v>-1.1078146752619999</v>
      </c>
      <c r="AE2659">
        <v>-9.0142000000000095</v>
      </c>
      <c r="AF2659">
        <v>5.1284549693941903</v>
      </c>
      <c r="AG2659">
        <v>-1.1078146752619999</v>
      </c>
      <c r="AH2659">
        <v>10.690165926722599</v>
      </c>
      <c r="AI2659">
        <v>95.337868540712506</v>
      </c>
      <c r="AJ2659">
        <v>64.371299843293102</v>
      </c>
      <c r="AK2659">
        <v>11.908314375623901</v>
      </c>
      <c r="AL2659">
        <v>88.508542698316404</v>
      </c>
      <c r="AM2659">
        <v>79.304270162547297</v>
      </c>
      <c r="AN2659">
        <v>0.99999996553417403</v>
      </c>
    </row>
    <row r="2660" spans="1:40" x14ac:dyDescent="0.25">
      <c r="A2660" t="str">
        <f>"20190312150714495"</f>
        <v>20190312150714495</v>
      </c>
      <c r="B2660" t="str">
        <f>"1552374434492880"</f>
        <v>1552374434492880</v>
      </c>
      <c r="C2660" t="s">
        <v>40</v>
      </c>
      <c r="D2660">
        <v>4.3593859999999998</v>
      </c>
      <c r="E2660">
        <v>0.59737799999999996</v>
      </c>
      <c r="F2660" t="s">
        <v>61</v>
      </c>
      <c r="G2660">
        <v>-199.0694</v>
      </c>
      <c r="H2660" s="1">
        <v>1.3041529999999999E-6</v>
      </c>
      <c r="I2660">
        <v>292.65859999999998</v>
      </c>
      <c r="J2660">
        <v>-191.51159999999999</v>
      </c>
      <c r="K2660">
        <v>1.10792</v>
      </c>
      <c r="L2660">
        <v>301.23790000000002</v>
      </c>
      <c r="M2660">
        <v>-0.27103290000000002</v>
      </c>
      <c r="N2660">
        <v>0</v>
      </c>
      <c r="O2660">
        <v>-0.96245899999999995</v>
      </c>
      <c r="P2660">
        <v>-0.44364209999999898</v>
      </c>
      <c r="Q2660">
        <v>1.187816E-2</v>
      </c>
      <c r="R2660">
        <v>-0.89612559999999997</v>
      </c>
      <c r="S2660">
        <v>-2.0370180000000002</v>
      </c>
      <c r="T2660">
        <v>-0.29621029999999998</v>
      </c>
      <c r="U2660">
        <v>-2.3467099999999999</v>
      </c>
      <c r="V2660">
        <v>0.1842925</v>
      </c>
      <c r="W2660">
        <v>2.507788E-2</v>
      </c>
      <c r="X2660">
        <v>0.98255150000000002</v>
      </c>
      <c r="Y2660">
        <v>0.42311769999999999</v>
      </c>
      <c r="Z2660">
        <v>9.7081959999999995E-2</v>
      </c>
      <c r="AA2660">
        <v>0.90085879999999996</v>
      </c>
      <c r="AB2660">
        <v>21</v>
      </c>
      <c r="AC2660">
        <v>-7.5578000000000101</v>
      </c>
      <c r="AD2660">
        <v>-1.107918695847</v>
      </c>
      <c r="AE2660">
        <v>-8.5793000000000408</v>
      </c>
      <c r="AF2660">
        <v>4.9032882082393598</v>
      </c>
      <c r="AG2660">
        <v>-1.107918695847</v>
      </c>
      <c r="AH2660">
        <v>10.210860695437299</v>
      </c>
      <c r="AI2660">
        <v>95.586390855090997</v>
      </c>
      <c r="AJ2660">
        <v>64.349531516393697</v>
      </c>
      <c r="AK2660">
        <v>11.3811860204152</v>
      </c>
      <c r="AL2660">
        <v>88.562992722137594</v>
      </c>
      <c r="AM2660">
        <v>79.376734185589996</v>
      </c>
      <c r="AN2660">
        <v>1.0000000378868901</v>
      </c>
    </row>
    <row r="2661" spans="1:40" x14ac:dyDescent="0.25">
      <c r="A2661" t="str">
        <f>"20190312150714528"</f>
        <v>20190312150714528</v>
      </c>
      <c r="B2661" t="str">
        <f>"1552374434523136"</f>
        <v>1552374434523136</v>
      </c>
      <c r="C2661" t="s">
        <v>40</v>
      </c>
      <c r="D2661">
        <v>4.4501369999999998</v>
      </c>
      <c r="E2661">
        <v>0.59717379999999998</v>
      </c>
      <c r="F2661" t="s">
        <v>61</v>
      </c>
      <c r="G2661">
        <v>-198.708</v>
      </c>
      <c r="H2661" s="1">
        <v>1.2768959999999999E-6</v>
      </c>
      <c r="I2661">
        <v>292.99540000000002</v>
      </c>
      <c r="J2661">
        <v>-191.60140000000001</v>
      </c>
      <c r="K2661">
        <v>1.108093</v>
      </c>
      <c r="L2661">
        <v>300.94979999999998</v>
      </c>
      <c r="M2661">
        <v>-0.27749040000000003</v>
      </c>
      <c r="N2661">
        <v>0</v>
      </c>
      <c r="O2661">
        <v>-0.96061739999999995</v>
      </c>
      <c r="P2661">
        <v>-0.44796730000000001</v>
      </c>
      <c r="Q2661">
        <v>1.1231369999999999E-2</v>
      </c>
      <c r="R2661">
        <v>-0.89397959999999999</v>
      </c>
      <c r="S2661">
        <v>-2.04332</v>
      </c>
      <c r="T2661">
        <v>-0.31457639999999998</v>
      </c>
      <c r="U2661">
        <v>-2.3403320000000001</v>
      </c>
      <c r="V2661">
        <v>0.18242420000000001</v>
      </c>
      <c r="W2661">
        <v>2.449488E-2</v>
      </c>
      <c r="X2661">
        <v>0.98291470000000003</v>
      </c>
      <c r="Y2661">
        <v>0.4192285</v>
      </c>
      <c r="Z2661">
        <v>0.1029658</v>
      </c>
      <c r="AA2661">
        <v>0.90202300000000002</v>
      </c>
      <c r="AB2661">
        <v>21</v>
      </c>
      <c r="AC2661">
        <v>-7.1065999999999798</v>
      </c>
      <c r="AD2661">
        <v>-1.1080917231039999</v>
      </c>
      <c r="AE2661">
        <v>-7.9543999999999597</v>
      </c>
      <c r="AF2661">
        <v>4.5706207939106704</v>
      </c>
      <c r="AG2661">
        <v>-1.1080917231039999</v>
      </c>
      <c r="AH2661">
        <v>9.5115257861577298</v>
      </c>
      <c r="AI2661">
        <v>95.994399747156606</v>
      </c>
      <c r="AJ2661">
        <v>64.334087364934405</v>
      </c>
      <c r="AK2661">
        <v>10.6107287444964</v>
      </c>
      <c r="AL2661">
        <v>88.596406299844105</v>
      </c>
      <c r="AM2661">
        <v>79.485814290202399</v>
      </c>
      <c r="AN2661">
        <v>0.99999994768397005</v>
      </c>
    </row>
    <row r="2662" spans="1:40" x14ac:dyDescent="0.25">
      <c r="A2662" t="str">
        <f>"20190312150714549"</f>
        <v>20190312150714549</v>
      </c>
      <c r="B2662" t="str">
        <f>"1552374434542657"</f>
        <v>1552374434542657</v>
      </c>
      <c r="C2662" t="s">
        <v>40</v>
      </c>
      <c r="D2662">
        <v>5.0503339999999897</v>
      </c>
      <c r="E2662">
        <v>0.59733740000000002</v>
      </c>
      <c r="F2662" t="s">
        <v>61</v>
      </c>
      <c r="G2662">
        <v>-198.55850000000001</v>
      </c>
      <c r="H2662" s="1">
        <v>1.27977E-6</v>
      </c>
      <c r="I2662">
        <v>293.05430000000001</v>
      </c>
      <c r="J2662">
        <v>-191.661</v>
      </c>
      <c r="K2662">
        <v>1.1082110000000001</v>
      </c>
      <c r="L2662">
        <v>300.76170000000002</v>
      </c>
      <c r="M2662">
        <v>-0.2814933</v>
      </c>
      <c r="N2662">
        <v>0</v>
      </c>
      <c r="O2662">
        <v>-0.95945230000000004</v>
      </c>
      <c r="P2662">
        <v>-0.45089950000000001</v>
      </c>
      <c r="Q2662">
        <v>1.147372E-2</v>
      </c>
      <c r="R2662">
        <v>-0.892501199999999</v>
      </c>
      <c r="S2662">
        <v>-2.0537719999999999</v>
      </c>
      <c r="T2662">
        <v>-0.32711319999999999</v>
      </c>
      <c r="U2662">
        <v>-2.3307799999999999</v>
      </c>
      <c r="V2662">
        <v>0.18154729999999999</v>
      </c>
      <c r="W2662">
        <v>2.4779470000000001E-2</v>
      </c>
      <c r="X2662">
        <v>0.98307</v>
      </c>
      <c r="Y2662">
        <v>0.41926829999999998</v>
      </c>
      <c r="Z2662">
        <v>0.1070102</v>
      </c>
      <c r="AA2662">
        <v>0.90153369999999999</v>
      </c>
      <c r="AB2662">
        <v>21</v>
      </c>
      <c r="AC2662">
        <v>-6.8975000000000302</v>
      </c>
      <c r="AD2662">
        <v>-1.1082097202299901</v>
      </c>
      <c r="AE2662">
        <v>-7.7073999999999998</v>
      </c>
      <c r="AF2662">
        <v>4.3982224078509597</v>
      </c>
      <c r="AG2662">
        <v>-1.1082097202299901</v>
      </c>
      <c r="AH2662">
        <v>9.2314983464210201</v>
      </c>
      <c r="AI2662">
        <v>96.185287462598595</v>
      </c>
      <c r="AJ2662">
        <v>64.525167269164498</v>
      </c>
      <c r="AK2662">
        <v>10.2855748917067</v>
      </c>
      <c r="AL2662">
        <v>88.580095665472598</v>
      </c>
      <c r="AM2662">
        <v>79.536852753562002</v>
      </c>
      <c r="AN2662">
        <v>1.0000000345853799</v>
      </c>
    </row>
    <row r="2663" spans="1:40" x14ac:dyDescent="0.25">
      <c r="A2663" t="str">
        <f>"20190312150714571"</f>
        <v>20190312150714571</v>
      </c>
      <c r="B2663" t="str">
        <f>"1552374434563152"</f>
        <v>1552374434563152</v>
      </c>
      <c r="C2663" t="s">
        <v>40</v>
      </c>
      <c r="D2663">
        <v>4.4422459999999999</v>
      </c>
      <c r="E2663">
        <v>0.59731339999999999</v>
      </c>
      <c r="F2663" t="s">
        <v>61</v>
      </c>
      <c r="G2663">
        <v>-198.7003</v>
      </c>
      <c r="H2663" s="1">
        <v>1.306496E-6</v>
      </c>
      <c r="I2663">
        <v>292.83120000000002</v>
      </c>
      <c r="J2663">
        <v>-191.72540000000001</v>
      </c>
      <c r="K2663">
        <v>1.108331</v>
      </c>
      <c r="L2663">
        <v>300.56049999999999</v>
      </c>
      <c r="M2663">
        <v>-0.2856166</v>
      </c>
      <c r="N2663">
        <v>0</v>
      </c>
      <c r="O2663">
        <v>-0.95823349999999996</v>
      </c>
      <c r="P2663">
        <v>-0.45408510000000002</v>
      </c>
      <c r="Q2663">
        <v>1.095076E-2</v>
      </c>
      <c r="R2663">
        <v>-0.8908914</v>
      </c>
      <c r="S2663">
        <v>-2.0624539999999998</v>
      </c>
      <c r="T2663">
        <v>-0.32469799999999999</v>
      </c>
      <c r="U2663">
        <v>-2.3235779999999999</v>
      </c>
      <c r="V2663">
        <v>0.18081920000000001</v>
      </c>
      <c r="W2663">
        <v>2.4297059999999999E-2</v>
      </c>
      <c r="X2663">
        <v>0.98321619999999998</v>
      </c>
      <c r="Y2663">
        <v>0.41870109999999999</v>
      </c>
      <c r="Z2663">
        <v>0.10617459999999999</v>
      </c>
      <c r="AA2663">
        <v>0.90189600000000003</v>
      </c>
      <c r="AB2663">
        <v>21</v>
      </c>
      <c r="AC2663">
        <v>-6.9748999999999901</v>
      </c>
      <c r="AD2663">
        <v>-1.1083296935039999</v>
      </c>
      <c r="AE2663">
        <v>-7.7292999999999603</v>
      </c>
      <c r="AF2663">
        <v>4.4262775076768097</v>
      </c>
      <c r="AG2663">
        <v>-1.1083296935039999</v>
      </c>
      <c r="AH2663">
        <v>9.2942847116630904</v>
      </c>
      <c r="AI2663">
        <v>96.144957621764206</v>
      </c>
      <c r="AJ2663">
        <v>64.534506001510294</v>
      </c>
      <c r="AK2663">
        <v>10.353939133775199</v>
      </c>
      <c r="AL2663">
        <v>88.607744016994104</v>
      </c>
      <c r="AM2663">
        <v>79.579409926923702</v>
      </c>
      <c r="AN2663">
        <v>1.0000000130778599</v>
      </c>
    </row>
    <row r="2664" spans="1:40" x14ac:dyDescent="0.25">
      <c r="A2664" t="str">
        <f>"20190312150714594"</f>
        <v>20190312150714594</v>
      </c>
      <c r="B2664" t="str">
        <f>"1552374434582672"</f>
        <v>1552374434582672</v>
      </c>
      <c r="C2664" t="s">
        <v>40</v>
      </c>
      <c r="D2664">
        <v>5.2924660000000001</v>
      </c>
      <c r="E2664">
        <v>0.59730859999999997</v>
      </c>
      <c r="F2664" t="s">
        <v>61</v>
      </c>
      <c r="G2664">
        <v>-198.86920000000001</v>
      </c>
      <c r="H2664" s="1">
        <v>1.3377269999999901E-6</v>
      </c>
      <c r="I2664">
        <v>292.56880000000001</v>
      </c>
      <c r="J2664">
        <v>-191.78870000000001</v>
      </c>
      <c r="K2664">
        <v>1.108436</v>
      </c>
      <c r="L2664">
        <v>300.36520000000002</v>
      </c>
      <c r="M2664">
        <v>-0.2894447</v>
      </c>
      <c r="N2664">
        <v>0</v>
      </c>
      <c r="O2664">
        <v>-0.9570843</v>
      </c>
      <c r="P2664">
        <v>-0.45733610000000002</v>
      </c>
      <c r="Q2664">
        <v>1.0533259999999999E-2</v>
      </c>
      <c r="R2664">
        <v>-0.88923189999999996</v>
      </c>
      <c r="S2664">
        <v>-2.0703740000000002</v>
      </c>
      <c r="T2664">
        <v>-0.321212</v>
      </c>
      <c r="U2664">
        <v>-2.3161320000000001</v>
      </c>
      <c r="V2664">
        <v>0.18046960000000001</v>
      </c>
      <c r="W2664">
        <v>2.3915700000000002E-2</v>
      </c>
      <c r="X2664">
        <v>0.98328979999999999</v>
      </c>
      <c r="Y2664">
        <v>0.41831289999999999</v>
      </c>
      <c r="Z2664">
        <v>0.1050181</v>
      </c>
      <c r="AA2664">
        <v>0.90221150000000006</v>
      </c>
      <c r="AB2664">
        <v>20</v>
      </c>
      <c r="AC2664">
        <v>-7.0804999999999998</v>
      </c>
      <c r="AD2664">
        <v>-1.1084346622729999</v>
      </c>
      <c r="AE2664">
        <v>-7.7964000000000002</v>
      </c>
      <c r="AF2664">
        <v>4.4709618988284703</v>
      </c>
      <c r="AG2664">
        <v>-1.1084346622729999</v>
      </c>
      <c r="AH2664">
        <v>9.4080184804964198</v>
      </c>
      <c r="AI2664">
        <v>96.074156103052204</v>
      </c>
      <c r="AJ2664">
        <v>64.581584036461805</v>
      </c>
      <c r="AK2664">
        <v>10.4751582055196</v>
      </c>
      <c r="AL2664">
        <v>88.629600715573403</v>
      </c>
      <c r="AM2664">
        <v>79.599878745816099</v>
      </c>
      <c r="AN2664">
        <v>1.0000000340073401</v>
      </c>
    </row>
    <row r="2665" spans="1:40" x14ac:dyDescent="0.25">
      <c r="A2665" t="str">
        <f>"20190312150714616"</f>
        <v>20190312150714616</v>
      </c>
      <c r="B2665" t="str">
        <f>"1552374434612928"</f>
        <v>1552374434612928</v>
      </c>
      <c r="C2665" t="s">
        <v>40</v>
      </c>
      <c r="D2665">
        <v>4.8521400000000003</v>
      </c>
      <c r="E2665">
        <v>0.59738760000000002</v>
      </c>
      <c r="F2665" t="s">
        <v>61</v>
      </c>
      <c r="G2665">
        <v>-199.01240000000001</v>
      </c>
      <c r="H2665" s="1">
        <v>1.3648930000000001E-6</v>
      </c>
      <c r="I2665">
        <v>292.3424</v>
      </c>
      <c r="J2665">
        <v>-191.8503</v>
      </c>
      <c r="K2665">
        <v>1.1085499999999999</v>
      </c>
      <c r="L2665">
        <v>300.17669999999998</v>
      </c>
      <c r="M2665">
        <v>-0.29295719999999997</v>
      </c>
      <c r="N2665">
        <v>0</v>
      </c>
      <c r="O2665">
        <v>-0.95601519999999995</v>
      </c>
      <c r="P2665">
        <v>-0.46027990000000002</v>
      </c>
      <c r="Q2665">
        <v>9.6781009999999997E-3</v>
      </c>
      <c r="R2665">
        <v>-0.88772090000000003</v>
      </c>
      <c r="S2665">
        <v>-2.0785680000000002</v>
      </c>
      <c r="T2665">
        <v>-0.3189437</v>
      </c>
      <c r="U2665">
        <v>-2.3085019999999998</v>
      </c>
      <c r="V2665">
        <v>0.18010290000000001</v>
      </c>
      <c r="W2665">
        <v>2.3096709999999999E-2</v>
      </c>
      <c r="X2665">
        <v>0.98337660000000005</v>
      </c>
      <c r="Y2665">
        <v>0.41828670000000001</v>
      </c>
      <c r="Z2665">
        <v>0.1042603</v>
      </c>
      <c r="AA2665">
        <v>0.90231150000000004</v>
      </c>
      <c r="AB2665">
        <v>20</v>
      </c>
      <c r="AC2665">
        <v>-7.1620999999999997</v>
      </c>
      <c r="AD2665">
        <v>-1.108548635107</v>
      </c>
      <c r="AE2665">
        <v>-7.8342999999999803</v>
      </c>
      <c r="AF2665">
        <v>4.5033257499863204</v>
      </c>
      <c r="AG2665">
        <v>-1.108548635107</v>
      </c>
      <c r="AH2665">
        <v>9.4854552968499899</v>
      </c>
      <c r="AI2665">
        <v>96.026633675309498</v>
      </c>
      <c r="AJ2665">
        <v>64.603448316569697</v>
      </c>
      <c r="AK2665">
        <v>10.5585361236976</v>
      </c>
      <c r="AL2665">
        <v>88.676538343143207</v>
      </c>
      <c r="AM2665">
        <v>79.621447465988695</v>
      </c>
      <c r="AN2665">
        <v>1.0000000250143899</v>
      </c>
    </row>
    <row r="2666" spans="1:40" x14ac:dyDescent="0.25">
      <c r="A2666" t="str">
        <f>"20190312150714640"</f>
        <v>20190312150714640</v>
      </c>
      <c r="B2666" t="str">
        <f>"1552374434632448"</f>
        <v>1552374434632448</v>
      </c>
      <c r="C2666" t="s">
        <v>40</v>
      </c>
      <c r="D2666">
        <v>4.4598589999999998</v>
      </c>
      <c r="E2666">
        <v>0.59734580000000004</v>
      </c>
      <c r="F2666" t="s">
        <v>61</v>
      </c>
      <c r="G2666">
        <v>-199.0932</v>
      </c>
      <c r="H2666" s="1">
        <v>1.384559E-6</v>
      </c>
      <c r="I2666">
        <v>292.19</v>
      </c>
      <c r="J2666">
        <v>-191.91849999999999</v>
      </c>
      <c r="K2666">
        <v>1.108684</v>
      </c>
      <c r="L2666">
        <v>299.9701</v>
      </c>
      <c r="M2666">
        <v>-0.296597</v>
      </c>
      <c r="N2666">
        <v>0</v>
      </c>
      <c r="O2666">
        <v>-0.95489259999999998</v>
      </c>
      <c r="P2666">
        <v>-0.4635821</v>
      </c>
      <c r="Q2666">
        <v>9.2962589999999994E-3</v>
      </c>
      <c r="R2666">
        <v>-0.8860053</v>
      </c>
      <c r="S2666">
        <v>-2.0866850000000001</v>
      </c>
      <c r="T2666">
        <v>-0.31937510000000002</v>
      </c>
      <c r="U2666">
        <v>-2.300964</v>
      </c>
      <c r="V2666">
        <v>0.180008</v>
      </c>
      <c r="W2666">
        <v>2.2753010000000001E-2</v>
      </c>
      <c r="X2666">
        <v>0.983402</v>
      </c>
      <c r="Y2666">
        <v>0.41803940000000001</v>
      </c>
      <c r="Z2666">
        <v>0.10436819999999999</v>
      </c>
      <c r="AA2666">
        <v>0.90241360000000004</v>
      </c>
      <c r="AB2666">
        <v>20</v>
      </c>
      <c r="AC2666">
        <v>-7.1746999999999996</v>
      </c>
      <c r="AD2666">
        <v>-1.1086826154410001</v>
      </c>
      <c r="AE2666">
        <v>-7.7801</v>
      </c>
      <c r="AF2666">
        <v>4.4946662580759904</v>
      </c>
      <c r="AG2666">
        <v>-1.1086826154410001</v>
      </c>
      <c r="AH2666">
        <v>9.4544053523711504</v>
      </c>
      <c r="AI2666">
        <v>96.045508803649994</v>
      </c>
      <c r="AJ2666">
        <v>64.573378125859605</v>
      </c>
      <c r="AK2666">
        <v>10.526964542555</v>
      </c>
      <c r="AL2666">
        <v>88.696236093974306</v>
      </c>
      <c r="AM2666">
        <v>79.627059503183403</v>
      </c>
      <c r="AN2666">
        <v>1.00000003656602</v>
      </c>
    </row>
    <row r="2667" spans="1:40" x14ac:dyDescent="0.25">
      <c r="A2667" t="str">
        <f>"20190312150714662"</f>
        <v>20190312150714662</v>
      </c>
      <c r="B2667" t="str">
        <f>"1552374434652944"</f>
        <v>1552374434652944</v>
      </c>
      <c r="C2667" t="s">
        <v>40</v>
      </c>
      <c r="D2667">
        <v>4.7385999999999999</v>
      </c>
      <c r="E2667">
        <v>0.59747779999999995</v>
      </c>
      <c r="F2667" t="s">
        <v>61</v>
      </c>
      <c r="G2667">
        <v>-199.25229999999999</v>
      </c>
      <c r="H2667" s="1">
        <v>1.414042E-6</v>
      </c>
      <c r="I2667">
        <v>291.9425</v>
      </c>
      <c r="J2667">
        <v>-191.98500000000001</v>
      </c>
      <c r="K2667">
        <v>1.1088089999999999</v>
      </c>
      <c r="L2667">
        <v>299.77030000000002</v>
      </c>
      <c r="M2667">
        <v>-0.29991889999999999</v>
      </c>
      <c r="N2667">
        <v>0</v>
      </c>
      <c r="O2667">
        <v>-0.95385489999999995</v>
      </c>
      <c r="P2667">
        <v>-0.46642610000000001</v>
      </c>
      <c r="Q2667">
        <v>9.2186409999999996E-3</v>
      </c>
      <c r="R2667">
        <v>-0.88451239999999998</v>
      </c>
      <c r="S2667">
        <v>-2.0950009999999999</v>
      </c>
      <c r="T2667">
        <v>-0.31670910000000002</v>
      </c>
      <c r="U2667">
        <v>-2.2931819999999998</v>
      </c>
      <c r="V2667">
        <v>0.1797366</v>
      </c>
      <c r="W2667">
        <v>2.2714399999999999E-2</v>
      </c>
      <c r="X2667">
        <v>0.98345249999999995</v>
      </c>
      <c r="Y2667">
        <v>0.41825319999999999</v>
      </c>
      <c r="Z2667">
        <v>0.10348350000000001</v>
      </c>
      <c r="AA2667">
        <v>0.90241640000000001</v>
      </c>
      <c r="AB2667">
        <v>20</v>
      </c>
      <c r="AC2667">
        <v>-7.2672999999999703</v>
      </c>
      <c r="AD2667">
        <v>-1.108807585958</v>
      </c>
      <c r="AE2667">
        <v>-7.8278000000000203</v>
      </c>
      <c r="AF2667">
        <v>4.5358448961899303</v>
      </c>
      <c r="AG2667">
        <v>-1.108807585958</v>
      </c>
      <c r="AH2667">
        <v>9.5443432613453307</v>
      </c>
      <c r="AI2667">
        <v>95.990008377959995</v>
      </c>
      <c r="AJ2667">
        <v>64.5811064349204</v>
      </c>
      <c r="AK2667">
        <v>10.625339122840099</v>
      </c>
      <c r="AL2667">
        <v>88.698448814140093</v>
      </c>
      <c r="AM2667">
        <v>79.642880495571802</v>
      </c>
      <c r="AN2667">
        <v>1.00000000455158</v>
      </c>
    </row>
    <row r="2668" spans="1:40" x14ac:dyDescent="0.25">
      <c r="A2668" t="str">
        <f>"20190312150714685"</f>
        <v>20190312150714685</v>
      </c>
      <c r="B2668" t="str">
        <f>"1552374434672468"</f>
        <v>1552374434672468</v>
      </c>
      <c r="C2668" t="s">
        <v>40</v>
      </c>
      <c r="D2668">
        <v>4.7594250000000002</v>
      </c>
      <c r="E2668">
        <v>0.59764709999999999</v>
      </c>
      <c r="F2668" t="s">
        <v>61</v>
      </c>
      <c r="G2668">
        <v>-199.34710000000001</v>
      </c>
      <c r="H2668" s="1">
        <v>1.4362060000000001E-6</v>
      </c>
      <c r="I2668">
        <v>291.76889999999997</v>
      </c>
      <c r="J2668">
        <v>-192.04740000000001</v>
      </c>
      <c r="K2668">
        <v>1.1089260000000001</v>
      </c>
      <c r="L2668">
        <v>299.584</v>
      </c>
      <c r="M2668">
        <v>-0.30284719999999998</v>
      </c>
      <c r="N2668">
        <v>0</v>
      </c>
      <c r="O2668">
        <v>-0.95292960000000004</v>
      </c>
      <c r="P2668">
        <v>-0.46919159999999999</v>
      </c>
      <c r="Q2668">
        <v>9.2633590000000005E-3</v>
      </c>
      <c r="R2668">
        <v>-0.88304830000000001</v>
      </c>
      <c r="S2668">
        <v>-2.1032709999999999</v>
      </c>
      <c r="T2668">
        <v>-0.31677110000000003</v>
      </c>
      <c r="U2668">
        <v>-2.2858890000000001</v>
      </c>
      <c r="V2668">
        <v>0.17978729999999901</v>
      </c>
      <c r="W2668">
        <v>2.2791619999999999E-2</v>
      </c>
      <c r="X2668">
        <v>0.98344140000000002</v>
      </c>
      <c r="Y2668">
        <v>0.41866959999999998</v>
      </c>
      <c r="Z2668">
        <v>0.1034759</v>
      </c>
      <c r="AA2668">
        <v>0.90222420000000003</v>
      </c>
      <c r="AB2668">
        <v>20</v>
      </c>
      <c r="AC2668">
        <v>-7.2996999999999996</v>
      </c>
      <c r="AD2668">
        <v>-1.108924563794</v>
      </c>
      <c r="AE2668">
        <v>-7.8151000000000197</v>
      </c>
      <c r="AF2668">
        <v>4.5409696658921002</v>
      </c>
      <c r="AG2668">
        <v>-1.108924563794</v>
      </c>
      <c r="AH2668">
        <v>9.5561855826559494</v>
      </c>
      <c r="AI2668">
        <v>95.983387072015603</v>
      </c>
      <c r="AJ2668">
        <v>64.583567474060601</v>
      </c>
      <c r="AK2668">
        <v>10.6381766334696</v>
      </c>
      <c r="AL2668">
        <v>88.694023229143696</v>
      </c>
      <c r="AM2668">
        <v>79.639907819801707</v>
      </c>
      <c r="AN2668">
        <v>0.99999995920873597</v>
      </c>
    </row>
    <row r="2669" spans="1:40" x14ac:dyDescent="0.25">
      <c r="A2669" t="str">
        <f>"20190312150714705"</f>
        <v>20190312150714705</v>
      </c>
      <c r="B2669" t="str">
        <f>"1552374434702720"</f>
        <v>1552374434702720</v>
      </c>
      <c r="C2669" t="s">
        <v>40</v>
      </c>
      <c r="D2669">
        <v>4.5324339999999896</v>
      </c>
      <c r="E2669">
        <v>0.59779459999999995</v>
      </c>
      <c r="F2669" t="s">
        <v>61</v>
      </c>
      <c r="G2669">
        <v>-199.51320000000001</v>
      </c>
      <c r="H2669" s="1">
        <v>1.463843E-6</v>
      </c>
      <c r="I2669">
        <v>291.5283</v>
      </c>
      <c r="J2669">
        <v>-192.10830000000001</v>
      </c>
      <c r="K2669">
        <v>1.109029</v>
      </c>
      <c r="L2669">
        <v>299.40390000000002</v>
      </c>
      <c r="M2669">
        <v>-0.30553649999999999</v>
      </c>
      <c r="N2669">
        <v>0</v>
      </c>
      <c r="O2669">
        <v>-0.95207079999999999</v>
      </c>
      <c r="P2669">
        <v>-0.4714777</v>
      </c>
      <c r="Q2669">
        <v>8.8801850000000005E-3</v>
      </c>
      <c r="R2669">
        <v>-0.88183349999999905</v>
      </c>
      <c r="S2669">
        <v>-2.1117859999999999</v>
      </c>
      <c r="T2669">
        <v>-0.31367139999999999</v>
      </c>
      <c r="U2669">
        <v>-2.2786249999999999</v>
      </c>
      <c r="V2669">
        <v>0.1795506</v>
      </c>
      <c r="W2669">
        <v>2.2435989999999999E-2</v>
      </c>
      <c r="X2669">
        <v>0.9834929</v>
      </c>
      <c r="Y2669">
        <v>0.41943039999999998</v>
      </c>
      <c r="Z2669">
        <v>0.10244540000000001</v>
      </c>
      <c r="AA2669">
        <v>0.90198840000000002</v>
      </c>
      <c r="AB2669">
        <v>20</v>
      </c>
      <c r="AC2669">
        <v>-7.4048999999999898</v>
      </c>
      <c r="AD2669">
        <v>-1.1090275361569999</v>
      </c>
      <c r="AE2669">
        <v>-7.8756000000000101</v>
      </c>
      <c r="AF2669">
        <v>4.5958187056388402</v>
      </c>
      <c r="AG2669">
        <v>-1.1090275361569999</v>
      </c>
      <c r="AH2669">
        <v>9.6599422169186298</v>
      </c>
      <c r="AI2669">
        <v>95.918816172761794</v>
      </c>
      <c r="AJ2669">
        <v>64.556741483557801</v>
      </c>
      <c r="AK2669">
        <v>10.754811727094999</v>
      </c>
      <c r="AL2669">
        <v>88.714404641441206</v>
      </c>
      <c r="AM2669">
        <v>79.653782764849197</v>
      </c>
      <c r="AN2669">
        <v>1.0000000379790199</v>
      </c>
    </row>
    <row r="2670" spans="1:40" x14ac:dyDescent="0.25">
      <c r="A2670" t="str">
        <f>"20190312150714729"</f>
        <v>20190312150714729</v>
      </c>
      <c r="B2670" t="str">
        <f>"1552374434723216"</f>
        <v>1552374434723216</v>
      </c>
      <c r="C2670" t="s">
        <v>40</v>
      </c>
      <c r="D2670">
        <v>4.5334120000000002</v>
      </c>
      <c r="E2670">
        <v>0.59767740000000003</v>
      </c>
      <c r="F2670" t="s">
        <v>61</v>
      </c>
      <c r="G2670">
        <v>-199.59909999999999</v>
      </c>
      <c r="H2670" s="1">
        <v>1.483895E-6</v>
      </c>
      <c r="I2670">
        <v>291.37119999999999</v>
      </c>
      <c r="J2670">
        <v>-192.17439999999999</v>
      </c>
      <c r="K2670">
        <v>1.1091070000000001</v>
      </c>
      <c r="L2670">
        <v>299.20940000000002</v>
      </c>
      <c r="M2670">
        <v>-0.30832559999999998</v>
      </c>
      <c r="N2670">
        <v>0</v>
      </c>
      <c r="O2670">
        <v>-0.95117149999999995</v>
      </c>
      <c r="P2670">
        <v>-0.47337820000000003</v>
      </c>
      <c r="Q2670">
        <v>8.9627600000000002E-3</v>
      </c>
      <c r="R2670">
        <v>-0.88081399999999999</v>
      </c>
      <c r="S2670">
        <v>-2.118973</v>
      </c>
      <c r="T2670">
        <v>-0.31371660000000001</v>
      </c>
      <c r="U2670">
        <v>-2.2722470000000001</v>
      </c>
      <c r="V2670">
        <v>0.17878520000000001</v>
      </c>
      <c r="W2670">
        <v>2.2539440000000001E-2</v>
      </c>
      <c r="X2670">
        <v>0.98362989999999995</v>
      </c>
      <c r="Y2670">
        <v>0.4195625</v>
      </c>
      <c r="Z2670">
        <v>0.10242709999999999</v>
      </c>
      <c r="AA2670">
        <v>0.90192899999999998</v>
      </c>
      <c r="AB2670">
        <v>20</v>
      </c>
      <c r="AC2670">
        <v>-7.4246999999999996</v>
      </c>
      <c r="AD2670">
        <v>-1.1091055161049901</v>
      </c>
      <c r="AE2670">
        <v>-7.83820000000002</v>
      </c>
      <c r="AF2670">
        <v>4.5974114880516401</v>
      </c>
      <c r="AG2670">
        <v>-1.1091055161049901</v>
      </c>
      <c r="AH2670">
        <v>9.6439375174235096</v>
      </c>
      <c r="AI2670">
        <v>95.926801478725906</v>
      </c>
      <c r="AJ2670">
        <v>64.512153225607904</v>
      </c>
      <c r="AK2670">
        <v>10.741128352100199</v>
      </c>
      <c r="AL2670">
        <v>88.708475815412001</v>
      </c>
      <c r="AM2670">
        <v>79.698344974268807</v>
      </c>
      <c r="AN2670">
        <v>0.99999997713428102</v>
      </c>
    </row>
    <row r="2671" spans="1:40" x14ac:dyDescent="0.25">
      <c r="A2671" t="str">
        <f>"20190312150714751"</f>
        <v>20190312150714751</v>
      </c>
      <c r="B2671" t="str">
        <f>"1552374434742736"</f>
        <v>1552374434742736</v>
      </c>
      <c r="C2671" t="s">
        <v>40</v>
      </c>
      <c r="D2671">
        <v>4.5314430000000003</v>
      </c>
      <c r="E2671">
        <v>0.57334430000000003</v>
      </c>
      <c r="F2671" t="s">
        <v>61</v>
      </c>
      <c r="G2671">
        <v>-199.64420000000001</v>
      </c>
      <c r="H2671" s="1">
        <v>1.5048660000000001E-6</v>
      </c>
      <c r="I2671">
        <v>291.22949999999997</v>
      </c>
      <c r="J2671">
        <v>-192.24170000000001</v>
      </c>
      <c r="K2671">
        <v>1.109154</v>
      </c>
      <c r="L2671">
        <v>299.01319999999998</v>
      </c>
      <c r="M2671">
        <v>-0.31104959999999998</v>
      </c>
      <c r="N2671">
        <v>0</v>
      </c>
      <c r="O2671">
        <v>-0.95028420000000002</v>
      </c>
      <c r="P2671">
        <v>-0.47531220000000002</v>
      </c>
      <c r="Q2671">
        <v>9.7214339999999993E-3</v>
      </c>
      <c r="R2671">
        <v>-0.87976350000000003</v>
      </c>
      <c r="S2671">
        <v>-2.1231080000000002</v>
      </c>
      <c r="T2671">
        <v>-0.31523899999999999</v>
      </c>
      <c r="U2671">
        <v>-2.2681269999999998</v>
      </c>
      <c r="V2671">
        <v>0.1781307</v>
      </c>
      <c r="W2671">
        <v>2.3306469999999999E-2</v>
      </c>
      <c r="X2671">
        <v>0.98373080000000002</v>
      </c>
      <c r="Y2671">
        <v>0.4186242</v>
      </c>
      <c r="Z2671">
        <v>0.1028801</v>
      </c>
      <c r="AA2671">
        <v>0.90231340000000004</v>
      </c>
      <c r="AB2671">
        <v>20</v>
      </c>
      <c r="AC2671">
        <v>-7.4024999999999999</v>
      </c>
      <c r="AD2671">
        <v>-1.1091524951339999</v>
      </c>
      <c r="AE2671">
        <v>-7.7836999999999996</v>
      </c>
      <c r="AF2671">
        <v>4.5651680300227504</v>
      </c>
      <c r="AG2671">
        <v>-1.1091524951339999</v>
      </c>
      <c r="AH2671">
        <v>9.5979472920336395</v>
      </c>
      <c r="AI2671">
        <v>95.957715569315695</v>
      </c>
      <c r="AJ2671">
        <v>64.5623686059633</v>
      </c>
      <c r="AK2671">
        <v>10.6860456025818</v>
      </c>
      <c r="AL2671">
        <v>88.6645167276602</v>
      </c>
      <c r="AM2671">
        <v>79.736284709428602</v>
      </c>
      <c r="AN2671">
        <v>1.0000000123474899</v>
      </c>
    </row>
    <row r="2672" spans="1:40" x14ac:dyDescent="0.25">
      <c r="A2672" t="str">
        <f>"20190312150714773"</f>
        <v>20190312150714773</v>
      </c>
      <c r="B2672" t="str">
        <f>"1552374434763237"</f>
        <v>1552374434763237</v>
      </c>
      <c r="C2672" t="s">
        <v>40</v>
      </c>
      <c r="D2672">
        <v>4.5403370000000001</v>
      </c>
      <c r="E2672">
        <v>0.57292769999999904</v>
      </c>
      <c r="F2672" t="s">
        <v>61</v>
      </c>
      <c r="G2672">
        <v>-197.9776</v>
      </c>
      <c r="H2672" s="1">
        <v>1.495857E-6</v>
      </c>
      <c r="I2672">
        <v>292.11989999999997</v>
      </c>
      <c r="J2672">
        <v>-192.30609999999999</v>
      </c>
      <c r="K2672">
        <v>1.1091719999999901</v>
      </c>
      <c r="L2672">
        <v>298.82670000000002</v>
      </c>
      <c r="M2672">
        <v>-0.313581099999999</v>
      </c>
      <c r="N2672">
        <v>0</v>
      </c>
      <c r="O2672">
        <v>-0.94945219999999997</v>
      </c>
      <c r="P2672">
        <v>-0.47784910000000003</v>
      </c>
      <c r="Q2672">
        <v>1.085742E-2</v>
      </c>
      <c r="R2672">
        <v>-0.87837509999999996</v>
      </c>
      <c r="S2672">
        <v>-1.9598690000000001</v>
      </c>
      <c r="T2672">
        <v>-0.37898209999999999</v>
      </c>
      <c r="U2672">
        <v>-2.3553470000000001</v>
      </c>
      <c r="V2672">
        <v>0.17835509999999999</v>
      </c>
      <c r="W2672">
        <v>2.443625E-2</v>
      </c>
      <c r="X2672">
        <v>0.9836627</v>
      </c>
      <c r="Y2672">
        <v>0.36117929999999998</v>
      </c>
      <c r="Z2672">
        <v>0.1238317</v>
      </c>
      <c r="AA2672">
        <v>0.92423770000000005</v>
      </c>
      <c r="AB2672">
        <v>20</v>
      </c>
      <c r="AC2672">
        <v>-5.6715</v>
      </c>
      <c r="AD2672">
        <v>-1.10917050414299</v>
      </c>
      <c r="AE2672">
        <v>-6.7068000000000403</v>
      </c>
      <c r="AF2672">
        <v>3.2305159990040102</v>
      </c>
      <c r="AG2672">
        <v>-1.10917050414299</v>
      </c>
      <c r="AH2672">
        <v>8.0192241563486508</v>
      </c>
      <c r="AI2672">
        <v>97.3108231830644</v>
      </c>
      <c r="AJ2672">
        <v>68.058134102202004</v>
      </c>
      <c r="AK2672">
        <v>8.71633230761927</v>
      </c>
      <c r="AL2672">
        <v>88.5997666162191</v>
      </c>
      <c r="AM2672">
        <v>79.722934062356899</v>
      </c>
      <c r="AN2672">
        <v>0.99999998969068105</v>
      </c>
    </row>
    <row r="2673" spans="1:40" x14ac:dyDescent="0.25">
      <c r="A2673" t="str">
        <f>"20190312150714794"</f>
        <v>20190312150714794</v>
      </c>
      <c r="B2673" t="str">
        <f>"1552374434783039"</f>
        <v>1552374434783039</v>
      </c>
      <c r="C2673" t="s">
        <v>40</v>
      </c>
      <c r="D2673">
        <v>4.5190830000000002</v>
      </c>
      <c r="E2673">
        <v>0.57359530000000003</v>
      </c>
      <c r="F2673" t="s">
        <v>61</v>
      </c>
      <c r="G2673">
        <v>-198.43279999999999</v>
      </c>
      <c r="H2673" s="1">
        <v>1.5680230000000001E-6</v>
      </c>
      <c r="I2673">
        <v>291.48090000000002</v>
      </c>
      <c r="J2673">
        <v>-192.3699</v>
      </c>
      <c r="K2673">
        <v>1.1091610000000001</v>
      </c>
      <c r="L2673">
        <v>298.64359999999999</v>
      </c>
      <c r="M2673">
        <v>-0.3160406</v>
      </c>
      <c r="N2673">
        <v>0</v>
      </c>
      <c r="O2673">
        <v>-0.94863649999999999</v>
      </c>
      <c r="P2673">
        <v>-0.48029100000000002</v>
      </c>
      <c r="Q2673">
        <v>1.1398109999999999E-2</v>
      </c>
      <c r="R2673">
        <v>-0.87703529999999996</v>
      </c>
      <c r="S2673">
        <v>-1.9619899999999999</v>
      </c>
      <c r="T2673">
        <v>-0.35519970000000001</v>
      </c>
      <c r="U2673">
        <v>-2.352417</v>
      </c>
      <c r="V2673">
        <v>0.1785466</v>
      </c>
      <c r="W2673">
        <v>2.4965859999999999E-2</v>
      </c>
      <c r="X2673">
        <v>0.98361469999999995</v>
      </c>
      <c r="Y2673">
        <v>0.3604387</v>
      </c>
      <c r="Z2673">
        <v>0.1161364</v>
      </c>
      <c r="AA2673">
        <v>0.92552489999999998</v>
      </c>
      <c r="AB2673">
        <v>20</v>
      </c>
      <c r="AC2673">
        <v>-6.0628999999999804</v>
      </c>
      <c r="AD2673">
        <v>-1.109159431977</v>
      </c>
      <c r="AE2673">
        <v>-7.1626999999999699</v>
      </c>
      <c r="AF2673">
        <v>3.44008770214149</v>
      </c>
      <c r="AG2673">
        <v>-1.109159431977</v>
      </c>
      <c r="AH2673">
        <v>8.5917966705027808</v>
      </c>
      <c r="AI2673">
        <v>96.834054760241202</v>
      </c>
      <c r="AJ2673">
        <v>68.179225076581702</v>
      </c>
      <c r="AK2673">
        <v>9.32112697431117</v>
      </c>
      <c r="AL2673">
        <v>88.569412994422805</v>
      </c>
      <c r="AM2673">
        <v>79.711643774696697</v>
      </c>
      <c r="AN2673">
        <v>1.0000000302965899</v>
      </c>
    </row>
    <row r="2674" spans="1:40" x14ac:dyDescent="0.25">
      <c r="A2674" t="str">
        <f>"20190312150714818"</f>
        <v>20190312150714818</v>
      </c>
      <c r="B2674" t="str">
        <f>"1552374434812316"</f>
        <v>1552374434812316</v>
      </c>
      <c r="C2674" t="s">
        <v>40</v>
      </c>
      <c r="D2674">
        <v>4.5515530000000002</v>
      </c>
      <c r="E2674">
        <v>0.57416669999999903</v>
      </c>
      <c r="F2674" t="s">
        <v>61</v>
      </c>
      <c r="G2674">
        <v>-198.52459999999999</v>
      </c>
      <c r="H2674" s="1">
        <v>1.5864430000000001E-6</v>
      </c>
      <c r="I2674">
        <v>291.33010000000002</v>
      </c>
      <c r="J2674">
        <v>-192.43879999999999</v>
      </c>
      <c r="K2674">
        <v>1.109143</v>
      </c>
      <c r="L2674">
        <v>298.44729999999998</v>
      </c>
      <c r="M2674">
        <v>-0.31867620000000002</v>
      </c>
      <c r="N2674">
        <v>0</v>
      </c>
      <c r="O2674">
        <v>-0.9477544</v>
      </c>
      <c r="P2674">
        <v>-0.4821724</v>
      </c>
      <c r="Q2674">
        <v>1.092717E-2</v>
      </c>
      <c r="R2674">
        <v>-0.87600859999999903</v>
      </c>
      <c r="S2674">
        <v>-1.9731749999999999</v>
      </c>
      <c r="T2674">
        <v>-0.35559449999999998</v>
      </c>
      <c r="U2674">
        <v>-2.3446959999999999</v>
      </c>
      <c r="V2674">
        <v>0.17792079999999999</v>
      </c>
      <c r="W2674">
        <v>2.44844E-2</v>
      </c>
      <c r="X2674">
        <v>0.98374019999999995</v>
      </c>
      <c r="Y2674">
        <v>0.36192999999999997</v>
      </c>
      <c r="Z2674">
        <v>0.1162029</v>
      </c>
      <c r="AA2674">
        <v>0.92493429999999999</v>
      </c>
      <c r="AB2674">
        <v>20</v>
      </c>
      <c r="AC2674">
        <v>-6.0857999999999999</v>
      </c>
      <c r="AD2674">
        <v>-1.1091414135569999</v>
      </c>
      <c r="AE2674">
        <v>-7.1171999999999596</v>
      </c>
      <c r="AF2674">
        <v>3.4517011327299798</v>
      </c>
      <c r="AG2674">
        <v>-1.1091414135569999</v>
      </c>
      <c r="AH2674">
        <v>8.5654941283496395</v>
      </c>
      <c r="AI2674">
        <v>96.848662177166105</v>
      </c>
      <c r="AJ2674">
        <v>68.051675875049796</v>
      </c>
      <c r="AK2674">
        <v>9.3011894426330706</v>
      </c>
      <c r="AL2674">
        <v>88.597007067936303</v>
      </c>
      <c r="AM2674">
        <v>79.7482181891274</v>
      </c>
      <c r="AN2674">
        <v>1.00000003900601</v>
      </c>
    </row>
    <row r="2675" spans="1:40" x14ac:dyDescent="0.25">
      <c r="A2675" t="str">
        <f>"20190312150714841"</f>
        <v>20190312150714841</v>
      </c>
      <c r="B2675" t="str">
        <f>"1552374434832812"</f>
        <v>1552374434832812</v>
      </c>
      <c r="C2675" t="s">
        <v>40</v>
      </c>
      <c r="D2675">
        <v>4.5517989999999999</v>
      </c>
      <c r="E2675">
        <v>0.57443959999999905</v>
      </c>
      <c r="F2675" t="s">
        <v>61</v>
      </c>
      <c r="G2675">
        <v>-198.64619999999999</v>
      </c>
      <c r="H2675" s="1">
        <v>1.61197E-6</v>
      </c>
      <c r="I2675">
        <v>291.12389999999999</v>
      </c>
      <c r="J2675">
        <v>-192.50980000000001</v>
      </c>
      <c r="K2675">
        <v>1.1091260000000001</v>
      </c>
      <c r="L2675">
        <v>298.24689999999998</v>
      </c>
      <c r="M2675">
        <v>-0.3213876</v>
      </c>
      <c r="N2675">
        <v>0</v>
      </c>
      <c r="O2675">
        <v>-0.94683839999999997</v>
      </c>
      <c r="P2675">
        <v>-0.48475190000000001</v>
      </c>
      <c r="Q2675">
        <v>9.5999250000000005E-3</v>
      </c>
      <c r="R2675">
        <v>-0.87459900000000002</v>
      </c>
      <c r="S2675">
        <v>-1.981873</v>
      </c>
      <c r="T2675">
        <v>-0.35412339999999998</v>
      </c>
      <c r="U2675">
        <v>-2.3381959999999999</v>
      </c>
      <c r="V2675">
        <v>0.17799579999999901</v>
      </c>
      <c r="W2675">
        <v>2.314153E-2</v>
      </c>
      <c r="X2675">
        <v>0.9837591</v>
      </c>
      <c r="Y2675">
        <v>0.36257620000000002</v>
      </c>
      <c r="Z2675">
        <v>0.1156712</v>
      </c>
      <c r="AA2675">
        <v>0.92474789999999996</v>
      </c>
      <c r="AB2675">
        <v>20</v>
      </c>
      <c r="AC2675">
        <v>-6.1363999999999796</v>
      </c>
      <c r="AD2675">
        <v>-1.1091243880299999</v>
      </c>
      <c r="AE2675">
        <v>-7.1229999999999896</v>
      </c>
      <c r="AF2675">
        <v>3.47296665408662</v>
      </c>
      <c r="AG2675">
        <v>-1.1091243880299999</v>
      </c>
      <c r="AH2675">
        <v>8.5977407631297105</v>
      </c>
      <c r="AI2675">
        <v>96.820858870977005</v>
      </c>
      <c r="AJ2675">
        <v>68.004274432638098</v>
      </c>
      <c r="AK2675">
        <v>9.3387793912535901</v>
      </c>
      <c r="AL2675">
        <v>88.6739696279963</v>
      </c>
      <c r="AM2675">
        <v>79.7441812548673</v>
      </c>
      <c r="AN2675">
        <v>1.0000000010305901</v>
      </c>
    </row>
    <row r="2676" spans="1:40" x14ac:dyDescent="0.25">
      <c r="A2676" t="str">
        <f>"20190312150714864"</f>
        <v>20190312150714864</v>
      </c>
      <c r="B2676" t="str">
        <f>"1552374434852332"</f>
        <v>1552374434852332</v>
      </c>
      <c r="C2676" t="s">
        <v>40</v>
      </c>
      <c r="D2676">
        <v>4.5119400000000001</v>
      </c>
      <c r="E2676">
        <v>0.57467469999999998</v>
      </c>
      <c r="F2676" t="s">
        <v>61</v>
      </c>
      <c r="G2676">
        <v>-198.51920000000001</v>
      </c>
      <c r="H2676" s="1">
        <v>1.607812E-6</v>
      </c>
      <c r="I2676">
        <v>291.2115</v>
      </c>
      <c r="J2676">
        <v>-192.5753</v>
      </c>
      <c r="K2676">
        <v>1.109108</v>
      </c>
      <c r="L2676">
        <v>298.06360000000001</v>
      </c>
      <c r="M2676">
        <v>-0.32389299999999999</v>
      </c>
      <c r="N2676">
        <v>0</v>
      </c>
      <c r="O2676">
        <v>-0.94598450000000001</v>
      </c>
      <c r="P2676">
        <v>-0.48769810000000002</v>
      </c>
      <c r="Q2676">
        <v>8.6404910000000001E-3</v>
      </c>
      <c r="R2676">
        <v>-0.87296969999999996</v>
      </c>
      <c r="S2676">
        <v>-1.990829</v>
      </c>
      <c r="T2676">
        <v>-0.36743870000000001</v>
      </c>
      <c r="U2676">
        <v>-2.3307500000000001</v>
      </c>
      <c r="V2676">
        <v>0.178703</v>
      </c>
      <c r="W2676">
        <v>2.2164739999999999E-2</v>
      </c>
      <c r="X2676">
        <v>0.98365340000000001</v>
      </c>
      <c r="Y2676">
        <v>0.36328329999999998</v>
      </c>
      <c r="Z2676">
        <v>0.1199308</v>
      </c>
      <c r="AA2676">
        <v>0.92392739999999995</v>
      </c>
      <c r="AB2676">
        <v>20</v>
      </c>
      <c r="AC2676">
        <v>-5.94390000000001</v>
      </c>
      <c r="AD2676">
        <v>-1.109106392188</v>
      </c>
      <c r="AE2676">
        <v>-6.8521000000000001</v>
      </c>
      <c r="AF2676">
        <v>3.3537033806616598</v>
      </c>
      <c r="AG2676">
        <v>-1.109106392188</v>
      </c>
      <c r="AH2676">
        <v>8.2841869259347796</v>
      </c>
      <c r="AI2676">
        <v>97.074169744859006</v>
      </c>
      <c r="AJ2676">
        <v>67.960325788278993</v>
      </c>
      <c r="AK2676">
        <v>9.0058423469702404</v>
      </c>
      <c r="AL2676">
        <v>88.729949970001499</v>
      </c>
      <c r="AM2676">
        <v>79.703220750533703</v>
      </c>
      <c r="AN2676">
        <v>1.0000000246199101</v>
      </c>
    </row>
    <row r="2677" spans="1:40" x14ac:dyDescent="0.25">
      <c r="A2677" t="str">
        <f>"20190312150714885"</f>
        <v>20190312150714885</v>
      </c>
      <c r="B2677" t="str">
        <f>"1552374434882588"</f>
        <v>1552374434882588</v>
      </c>
      <c r="C2677" t="s">
        <v>40</v>
      </c>
      <c r="D2677">
        <v>4.5298730000000003</v>
      </c>
      <c r="E2677">
        <v>0.57505949999999995</v>
      </c>
      <c r="F2677" t="s">
        <v>61</v>
      </c>
      <c r="G2677">
        <v>-198.53299999999999</v>
      </c>
      <c r="H2677" s="1">
        <v>1.6182429999999999E-6</v>
      </c>
      <c r="I2677">
        <v>291.14530000000002</v>
      </c>
      <c r="J2677">
        <v>-192.6422</v>
      </c>
      <c r="K2677">
        <v>1.109091</v>
      </c>
      <c r="L2677">
        <v>297.87810000000002</v>
      </c>
      <c r="M2677">
        <v>-0.32645170000000001</v>
      </c>
      <c r="N2677">
        <v>0</v>
      </c>
      <c r="O2677">
        <v>-0.94510470000000002</v>
      </c>
      <c r="P2677">
        <v>-0.48999670000000001</v>
      </c>
      <c r="Q2677">
        <v>6.9278339999999999E-3</v>
      </c>
      <c r="R2677">
        <v>-0.87169680000000005</v>
      </c>
      <c r="S2677">
        <v>-2.000229</v>
      </c>
      <c r="T2677">
        <v>-0.37237170000000003</v>
      </c>
      <c r="U2677">
        <v>-2.3227540000000002</v>
      </c>
      <c r="V2677">
        <v>0.1786229</v>
      </c>
      <c r="W2677">
        <v>2.043994E-2</v>
      </c>
      <c r="X2677">
        <v>0.9837053</v>
      </c>
      <c r="Y2677">
        <v>0.36435420000000002</v>
      </c>
      <c r="Z2677">
        <v>0.1214943</v>
      </c>
      <c r="AA2677">
        <v>0.92330120000000004</v>
      </c>
      <c r="AB2677">
        <v>20</v>
      </c>
      <c r="AC2677">
        <v>-5.8907999999999801</v>
      </c>
      <c r="AD2677">
        <v>-1.109089381757</v>
      </c>
      <c r="AE2677">
        <v>-6.7327999999999903</v>
      </c>
      <c r="AF2677">
        <v>3.3188267665023901</v>
      </c>
      <c r="AG2677">
        <v>-1.109089381757</v>
      </c>
      <c r="AH2677">
        <v>8.1616743835270196</v>
      </c>
      <c r="AI2677">
        <v>97.1746866401174</v>
      </c>
      <c r="AJ2677">
        <v>67.871594251896397</v>
      </c>
      <c r="AK2677">
        <v>8.8801812540904805</v>
      </c>
      <c r="AL2677">
        <v>88.828796170324097</v>
      </c>
      <c r="AM2677">
        <v>79.708268816142393</v>
      </c>
      <c r="AN2677">
        <v>1.0000000243998499</v>
      </c>
    </row>
    <row r="2678" spans="1:40" x14ac:dyDescent="0.25">
      <c r="A2678" t="str">
        <f>"20190312150714906"</f>
        <v>20190312150714906</v>
      </c>
      <c r="B2678" t="str">
        <f>"1552374434903083"</f>
        <v>1552374434903083</v>
      </c>
      <c r="C2678" t="s">
        <v>40</v>
      </c>
      <c r="D2678">
        <v>4.5827169999999997</v>
      </c>
      <c r="E2678">
        <v>0.57535780000000003</v>
      </c>
      <c r="F2678" t="s">
        <v>61</v>
      </c>
      <c r="G2678">
        <v>-198.55260000000001</v>
      </c>
      <c r="H2678" s="1">
        <v>1.6298679999999901E-6</v>
      </c>
      <c r="I2678">
        <v>291.06939999999997</v>
      </c>
      <c r="J2678">
        <v>-192.70519999999999</v>
      </c>
      <c r="K2678">
        <v>1.109076</v>
      </c>
      <c r="L2678">
        <v>297.70479999999998</v>
      </c>
      <c r="M2678">
        <v>-0.3288587</v>
      </c>
      <c r="N2678">
        <v>0</v>
      </c>
      <c r="O2678">
        <v>-0.9442699</v>
      </c>
      <c r="P2678">
        <v>-0.4927011</v>
      </c>
      <c r="Q2678">
        <v>5.9838549999999997E-3</v>
      </c>
      <c r="R2678">
        <v>-0.87017819999999901</v>
      </c>
      <c r="S2678">
        <v>-2.0095209999999999</v>
      </c>
      <c r="T2678">
        <v>-0.3770906</v>
      </c>
      <c r="U2678">
        <v>-2.3149410000000001</v>
      </c>
      <c r="V2678">
        <v>0.17916599999999999</v>
      </c>
      <c r="W2678">
        <v>1.948312E-2</v>
      </c>
      <c r="X2678">
        <v>0.98362590000000005</v>
      </c>
      <c r="Y2678">
        <v>0.3655137</v>
      </c>
      <c r="Z2678">
        <v>0.1229872</v>
      </c>
      <c r="AA2678">
        <v>0.92264500000000005</v>
      </c>
      <c r="AB2678">
        <v>20</v>
      </c>
      <c r="AC2678">
        <v>-5.8474000000000199</v>
      </c>
      <c r="AD2678">
        <v>-1.1090743701320001</v>
      </c>
      <c r="AE2678">
        <v>-6.6353999999999997</v>
      </c>
      <c r="AF2678">
        <v>3.2880535631799801</v>
      </c>
      <c r="AG2678">
        <v>-1.1090743701320001</v>
      </c>
      <c r="AH2678">
        <v>8.0626340128699798</v>
      </c>
      <c r="AI2678">
        <v>97.258830844691502</v>
      </c>
      <c r="AJ2678">
        <v>67.813686158051496</v>
      </c>
      <c r="AK2678">
        <v>8.7776653740224209</v>
      </c>
      <c r="AL2678">
        <v>88.8836287939952</v>
      </c>
      <c r="AM2678">
        <v>79.676833385007697</v>
      </c>
      <c r="AN2678">
        <v>0.99999997933587204</v>
      </c>
    </row>
    <row r="2679" spans="1:40" x14ac:dyDescent="0.25">
      <c r="A2679" t="str">
        <f>"20190312150714929"</f>
        <v>20190312150714929</v>
      </c>
      <c r="B2679" t="str">
        <f>"1552374434922604"</f>
        <v>1552374434922604</v>
      </c>
      <c r="C2679" t="s">
        <v>40</v>
      </c>
      <c r="D2679">
        <v>4.4883009999999999</v>
      </c>
      <c r="E2679">
        <v>0.57578989999999997</v>
      </c>
      <c r="F2679" t="s">
        <v>61</v>
      </c>
      <c r="G2679">
        <v>-198.61410000000001</v>
      </c>
      <c r="H2679" s="1">
        <v>1.6447380000000001E-6</v>
      </c>
      <c r="I2679">
        <v>290.95389999999998</v>
      </c>
      <c r="J2679">
        <v>-192.77629999999999</v>
      </c>
      <c r="K2679">
        <v>1.109064</v>
      </c>
      <c r="L2679">
        <v>297.51100000000002</v>
      </c>
      <c r="M2679">
        <v>-0.33156449999999998</v>
      </c>
      <c r="N2679">
        <v>0</v>
      </c>
      <c r="O2679">
        <v>-0.94332309999999997</v>
      </c>
      <c r="P2679">
        <v>-0.49597619999999998</v>
      </c>
      <c r="Q2679">
        <v>5.7085629999999998E-3</v>
      </c>
      <c r="R2679">
        <v>-0.86831749999999996</v>
      </c>
      <c r="S2679">
        <v>-2.019196</v>
      </c>
      <c r="T2679">
        <v>-0.37899260000000001</v>
      </c>
      <c r="U2679">
        <v>-2.3068849999999999</v>
      </c>
      <c r="V2679">
        <v>0.18005099999999999</v>
      </c>
      <c r="W2679">
        <v>1.9192299999999999E-2</v>
      </c>
      <c r="X2679">
        <v>0.98346999999999996</v>
      </c>
      <c r="Y2679">
        <v>0.36658629999999998</v>
      </c>
      <c r="Z2679">
        <v>0.12356</v>
      </c>
      <c r="AA2679">
        <v>0.92214280000000004</v>
      </c>
      <c r="AB2679">
        <v>20</v>
      </c>
      <c r="AC2679">
        <v>-5.8378000000000103</v>
      </c>
      <c r="AD2679">
        <v>-1.109062355262</v>
      </c>
      <c r="AE2679">
        <v>-6.5570999999999904</v>
      </c>
      <c r="AF2679">
        <v>3.2808168375984801</v>
      </c>
      <c r="AG2679">
        <v>-1.109062355262</v>
      </c>
      <c r="AH2679">
        <v>7.9943311972658098</v>
      </c>
      <c r="AI2679">
        <v>97.313559697886305</v>
      </c>
      <c r="AJ2679">
        <v>67.687101139923101</v>
      </c>
      <c r="AK2679">
        <v>8.7122390762252593</v>
      </c>
      <c r="AL2679">
        <v>88.900294663430699</v>
      </c>
      <c r="AM2679">
        <v>79.625337245989797</v>
      </c>
      <c r="AN2679">
        <v>0.99999997394014395</v>
      </c>
    </row>
    <row r="2680" spans="1:40" x14ac:dyDescent="0.25">
      <c r="A2680" t="str">
        <f>"20190312150714951"</f>
        <v>20190312150714951</v>
      </c>
      <c r="B2680" t="str">
        <f>"1552374434943100"</f>
        <v>1552374434943100</v>
      </c>
      <c r="C2680" t="s">
        <v>40</v>
      </c>
      <c r="D2680">
        <v>4.4568269999999997</v>
      </c>
      <c r="E2680">
        <v>0.57600649999999998</v>
      </c>
      <c r="F2680" t="s">
        <v>61</v>
      </c>
      <c r="G2680">
        <v>-198.74019999999999</v>
      </c>
      <c r="H2680" s="1">
        <v>1.66659699999999E-6</v>
      </c>
      <c r="I2680">
        <v>290.76639999999998</v>
      </c>
      <c r="J2680">
        <v>-192.84729999999999</v>
      </c>
      <c r="K2680">
        <v>1.1090580000000001</v>
      </c>
      <c r="L2680">
        <v>297.3193</v>
      </c>
      <c r="M2680">
        <v>-0.3342521</v>
      </c>
      <c r="N2680">
        <v>0</v>
      </c>
      <c r="O2680">
        <v>-0.9423745</v>
      </c>
      <c r="P2680">
        <v>-0.49890489999999998</v>
      </c>
      <c r="Q2680">
        <v>5.843595E-3</v>
      </c>
      <c r="R2680">
        <v>-0.86663749999999995</v>
      </c>
      <c r="S2680">
        <v>-2.03125</v>
      </c>
      <c r="T2680">
        <v>-0.37773630000000002</v>
      </c>
      <c r="U2680">
        <v>-2.29718</v>
      </c>
      <c r="V2680">
        <v>0.1805689</v>
      </c>
      <c r="W2680">
        <v>1.931625E-2</v>
      </c>
      <c r="X2680">
        <v>0.98337260000000004</v>
      </c>
      <c r="Y2680">
        <v>0.36862349999999999</v>
      </c>
      <c r="Z2680">
        <v>0.1231235</v>
      </c>
      <c r="AA2680">
        <v>0.92138880000000001</v>
      </c>
      <c r="AB2680">
        <v>20</v>
      </c>
      <c r="AC2680">
        <v>-5.8928999999999903</v>
      </c>
      <c r="AD2680">
        <v>-1.1090563334029999</v>
      </c>
      <c r="AE2680">
        <v>-6.5529000000000197</v>
      </c>
      <c r="AF2680">
        <v>3.3109095102091501</v>
      </c>
      <c r="AG2680">
        <v>-1.1090563334029999</v>
      </c>
      <c r="AH2680">
        <v>8.0188442935216706</v>
      </c>
      <c r="AI2680">
        <v>97.285064367260304</v>
      </c>
      <c r="AJ2680">
        <v>67.564704835614705</v>
      </c>
      <c r="AK2680">
        <v>8.7460843546812299</v>
      </c>
      <c r="AL2680">
        <v>88.893191516716399</v>
      </c>
      <c r="AM2680">
        <v>79.595138271102599</v>
      </c>
      <c r="AN2680">
        <v>0.99999995779601503</v>
      </c>
    </row>
    <row r="2681" spans="1:40" x14ac:dyDescent="0.25">
      <c r="A2681" t="str">
        <f>"20190312150714974"</f>
        <v>20190312150714974</v>
      </c>
      <c r="B2681" t="str">
        <f>"1552374434962624"</f>
        <v>1552374434962624</v>
      </c>
      <c r="C2681" t="s">
        <v>40</v>
      </c>
      <c r="D2681">
        <v>4.4082299999999996</v>
      </c>
      <c r="E2681">
        <v>0.57622329999999999</v>
      </c>
      <c r="F2681" t="s">
        <v>61</v>
      </c>
      <c r="G2681">
        <v>-198.85400000000001</v>
      </c>
      <c r="H2681" s="1">
        <v>1.689198E-6</v>
      </c>
      <c r="I2681">
        <v>290.58069999999998</v>
      </c>
      <c r="J2681">
        <v>-192.91470000000001</v>
      </c>
      <c r="K2681">
        <v>1.1090519999999999</v>
      </c>
      <c r="L2681">
        <v>297.13889999999998</v>
      </c>
      <c r="M2681">
        <v>-0.3367848</v>
      </c>
      <c r="N2681">
        <v>0</v>
      </c>
      <c r="O2681">
        <v>-0.94147230000000004</v>
      </c>
      <c r="P2681">
        <v>-0.50163349999999995</v>
      </c>
      <c r="Q2681">
        <v>5.9505729999999998E-3</v>
      </c>
      <c r="R2681">
        <v>-0.8650601</v>
      </c>
      <c r="S2681">
        <v>-2.0407259999999998</v>
      </c>
      <c r="T2681">
        <v>-0.37678990000000001</v>
      </c>
      <c r="U2681">
        <v>-2.2893680000000001</v>
      </c>
      <c r="V2681">
        <v>0.18102460000000001</v>
      </c>
      <c r="W2681">
        <v>1.9414939999999999E-2</v>
      </c>
      <c r="X2681">
        <v>0.98328689999999996</v>
      </c>
      <c r="Y2681">
        <v>0.36984270000000002</v>
      </c>
      <c r="Z2681">
        <v>0.1227795</v>
      </c>
      <c r="AA2681">
        <v>0.92094600000000004</v>
      </c>
      <c r="AB2681">
        <v>20</v>
      </c>
      <c r="AC2681">
        <v>-5.9393000000000002</v>
      </c>
      <c r="AD2681">
        <v>-1.109050310802</v>
      </c>
      <c r="AE2681">
        <v>-6.5581999999999896</v>
      </c>
      <c r="AF2681">
        <v>3.3309971613660498</v>
      </c>
      <c r="AG2681">
        <v>-1.109050310802</v>
      </c>
      <c r="AH2681">
        <v>8.0490079553424092</v>
      </c>
      <c r="AI2681">
        <v>97.255612509899194</v>
      </c>
      <c r="AJ2681">
        <v>67.518297560821196</v>
      </c>
      <c r="AK2681">
        <v>8.7813474903390603</v>
      </c>
      <c r="AL2681">
        <v>88.887535967565398</v>
      </c>
      <c r="AM2681">
        <v>79.568566114700204</v>
      </c>
      <c r="AN2681">
        <v>0.999999986705986</v>
      </c>
    </row>
    <row r="2682" spans="1:40" x14ac:dyDescent="0.25">
      <c r="A2682" t="str">
        <f>"20190312150714996"</f>
        <v>20190312150714996</v>
      </c>
      <c r="B2682" t="str">
        <f>"1552374434992877"</f>
        <v>1552374434992877</v>
      </c>
      <c r="C2682" t="s">
        <v>40</v>
      </c>
      <c r="D2682">
        <v>4.5549470000000003</v>
      </c>
      <c r="E2682">
        <v>0.57679469999999899</v>
      </c>
      <c r="F2682" t="s">
        <v>61</v>
      </c>
      <c r="G2682">
        <v>-198.9522</v>
      </c>
      <c r="H2682" s="1">
        <v>1.7090259999999999E-6</v>
      </c>
      <c r="I2682">
        <v>290.4187</v>
      </c>
      <c r="J2682">
        <v>-192.98339999999999</v>
      </c>
      <c r="K2682">
        <v>1.1090599999999999</v>
      </c>
      <c r="L2682">
        <v>296.95620000000002</v>
      </c>
      <c r="M2682">
        <v>-0.3393506</v>
      </c>
      <c r="N2682">
        <v>0</v>
      </c>
      <c r="O2682">
        <v>-0.94055069999999996</v>
      </c>
      <c r="P2682">
        <v>-0.50464169999999997</v>
      </c>
      <c r="Q2682">
        <v>6.3543339999999997E-3</v>
      </c>
      <c r="R2682">
        <v>-0.86330569999999895</v>
      </c>
      <c r="S2682">
        <v>-2.0499879999999999</v>
      </c>
      <c r="T2682">
        <v>-0.37656980000000001</v>
      </c>
      <c r="U2682">
        <v>-2.2817989999999999</v>
      </c>
      <c r="V2682">
        <v>0.18176870000000001</v>
      </c>
      <c r="W2682">
        <v>1.980873E-2</v>
      </c>
      <c r="X2682">
        <v>0.98314179999999995</v>
      </c>
      <c r="Y2682">
        <v>0.37090919999999999</v>
      </c>
      <c r="Z2682">
        <v>0.12266100000000001</v>
      </c>
      <c r="AA2682">
        <v>0.92053280000000004</v>
      </c>
      <c r="AB2682">
        <v>20</v>
      </c>
      <c r="AC2682">
        <v>-5.9688000000000097</v>
      </c>
      <c r="AD2682">
        <v>-1.1090582909740001</v>
      </c>
      <c r="AE2682">
        <v>-6.5375000000000201</v>
      </c>
      <c r="AF2682">
        <v>3.3433272387538802</v>
      </c>
      <c r="AG2682">
        <v>-1.1090582909740001</v>
      </c>
      <c r="AH2682">
        <v>8.0488726774444608</v>
      </c>
      <c r="AI2682">
        <v>97.251877635300403</v>
      </c>
      <c r="AJ2682">
        <v>67.443060816105898</v>
      </c>
      <c r="AK2682">
        <v>8.7859090989995892</v>
      </c>
      <c r="AL2682">
        <v>88.864969162438996</v>
      </c>
      <c r="AM2682">
        <v>79.525123184006901</v>
      </c>
      <c r="AN2682">
        <v>1.0000000224955701</v>
      </c>
    </row>
    <row r="2683" spans="1:40" x14ac:dyDescent="0.25">
      <c r="A2683" t="str">
        <f>"20190312150715018"</f>
        <v>20190312150715018</v>
      </c>
      <c r="B2683" t="str">
        <f>"1552374435012396"</f>
        <v>1552374435012396</v>
      </c>
      <c r="C2683" t="s">
        <v>40</v>
      </c>
      <c r="D2683">
        <v>4.9370710000000004</v>
      </c>
      <c r="E2683">
        <v>0.57726560000000005</v>
      </c>
      <c r="F2683" t="s">
        <v>61</v>
      </c>
      <c r="G2683">
        <v>-199.137</v>
      </c>
      <c r="H2683" s="1">
        <v>1.735419E-6</v>
      </c>
      <c r="I2683">
        <v>290.17579999999998</v>
      </c>
      <c r="J2683">
        <v>-193.05189999999999</v>
      </c>
      <c r="K2683">
        <v>1.1090660000000001</v>
      </c>
      <c r="L2683">
        <v>296.7758</v>
      </c>
      <c r="M2683">
        <v>-0.34188439999999998</v>
      </c>
      <c r="N2683">
        <v>0</v>
      </c>
      <c r="O2683">
        <v>-0.93963269999999999</v>
      </c>
      <c r="P2683">
        <v>-0.50751449999999998</v>
      </c>
      <c r="Q2683">
        <v>6.8437979999999999E-3</v>
      </c>
      <c r="R2683">
        <v>-0.86161639999999995</v>
      </c>
      <c r="S2683">
        <v>-2.0622099999999999</v>
      </c>
      <c r="T2683">
        <v>-0.3716738</v>
      </c>
      <c r="U2683">
        <v>-2.2723080000000002</v>
      </c>
      <c r="V2683">
        <v>0.18239649999999999</v>
      </c>
      <c r="W2683">
        <v>2.0290720000000002E-2</v>
      </c>
      <c r="X2683">
        <v>0.98301570000000005</v>
      </c>
      <c r="Y2683">
        <v>0.3731776</v>
      </c>
      <c r="Z2683">
        <v>0.1210442</v>
      </c>
      <c r="AA2683">
        <v>0.91982980000000003</v>
      </c>
      <c r="AB2683">
        <v>20</v>
      </c>
      <c r="AC2683">
        <v>-6.0851000000000104</v>
      </c>
      <c r="AD2683">
        <v>-1.1090642645809901</v>
      </c>
      <c r="AE2683">
        <v>-6.6000000000000201</v>
      </c>
      <c r="AF2683">
        <v>3.4096361475616201</v>
      </c>
      <c r="AG2683">
        <v>-1.1090642645809901</v>
      </c>
      <c r="AH2683">
        <v>8.1583070058141196</v>
      </c>
      <c r="AI2683">
        <v>97.149232167874004</v>
      </c>
      <c r="AJ2683">
        <v>67.318278040609897</v>
      </c>
      <c r="AK2683">
        <v>8.9114317257579394</v>
      </c>
      <c r="AL2683">
        <v>88.837347628111402</v>
      </c>
      <c r="AM2683">
        <v>79.488431257020196</v>
      </c>
      <c r="AN2683">
        <v>1.0000000314884201</v>
      </c>
    </row>
    <row r="2684" spans="1:40" x14ac:dyDescent="0.25">
      <c r="A2684" t="str">
        <f>"20190312150715042"</f>
        <v>20190312150715042</v>
      </c>
      <c r="B2684" t="str">
        <f>"1552374435032892"</f>
        <v>1552374435032892</v>
      </c>
      <c r="C2684" t="s">
        <v>40</v>
      </c>
      <c r="D2684">
        <v>4.6115680000000001</v>
      </c>
      <c r="E2684">
        <v>0.61584729999999999</v>
      </c>
      <c r="F2684" t="s">
        <v>61</v>
      </c>
      <c r="G2684">
        <v>-199.29169999999999</v>
      </c>
      <c r="H2684" s="1">
        <v>1.7594559999999999E-6</v>
      </c>
      <c r="I2684">
        <v>289.96129999999999</v>
      </c>
      <c r="J2684">
        <v>-193.12780000000001</v>
      </c>
      <c r="K2684">
        <v>1.1090719999999901</v>
      </c>
      <c r="L2684">
        <v>296.57760000000002</v>
      </c>
      <c r="M2684">
        <v>-0.34466360000000001</v>
      </c>
      <c r="N2684">
        <v>0</v>
      </c>
      <c r="O2684">
        <v>-0.93861689999999998</v>
      </c>
      <c r="P2684">
        <v>-0.51064969999999998</v>
      </c>
      <c r="Q2684">
        <v>6.2174379999999996E-3</v>
      </c>
      <c r="R2684">
        <v>-0.85976679999999905</v>
      </c>
      <c r="S2684">
        <v>-2.0729060000000001</v>
      </c>
      <c r="T2684">
        <v>-0.3684386</v>
      </c>
      <c r="U2684">
        <v>-2.2637939999999999</v>
      </c>
      <c r="V2684">
        <v>0.18306430000000001</v>
      </c>
      <c r="W2684">
        <v>1.965712E-2</v>
      </c>
      <c r="X2684">
        <v>0.98290440000000001</v>
      </c>
      <c r="Y2684">
        <v>0.37461640000000002</v>
      </c>
      <c r="Z2684">
        <v>0.11994630000000001</v>
      </c>
      <c r="AA2684">
        <v>0.91938869999999895</v>
      </c>
      <c r="AB2684">
        <v>20</v>
      </c>
      <c r="AC2684">
        <v>-6.1638999999999804</v>
      </c>
      <c r="AD2684">
        <v>-1.1090702405439901</v>
      </c>
      <c r="AE2684">
        <v>-6.6163000000000203</v>
      </c>
      <c r="AF2684">
        <v>3.4535517037302199</v>
      </c>
      <c r="AG2684">
        <v>-1.1090702405439901</v>
      </c>
      <c r="AH2684">
        <v>8.2119676547040203</v>
      </c>
      <c r="AI2684">
        <v>97.096475574941707</v>
      </c>
      <c r="AJ2684">
        <v>67.190760528974593</v>
      </c>
      <c r="AK2684">
        <v>8.9773865312073493</v>
      </c>
      <c r="AL2684">
        <v>88.873657441679995</v>
      </c>
      <c r="AM2684">
        <v>79.449640363079297</v>
      </c>
      <c r="AN2684">
        <v>0.999999999920272</v>
      </c>
    </row>
    <row r="2685" spans="1:40" x14ac:dyDescent="0.25">
      <c r="A2685" t="str">
        <f>"20190312150715065"</f>
        <v>20190312150715065</v>
      </c>
      <c r="B2685" t="str">
        <f>"1552374435052412"</f>
        <v>1552374435052412</v>
      </c>
      <c r="C2685" t="s">
        <v>40</v>
      </c>
      <c r="D2685">
        <v>4.5652799999999996</v>
      </c>
      <c r="E2685">
        <v>0.62456449999999997</v>
      </c>
      <c r="F2685" t="s">
        <v>61</v>
      </c>
      <c r="G2685">
        <v>-202.60929999999999</v>
      </c>
      <c r="H2685" s="1">
        <v>3.0722329999999998E-6</v>
      </c>
      <c r="I2685">
        <v>288.06920000000002</v>
      </c>
      <c r="J2685">
        <v>-193.19759999999999</v>
      </c>
      <c r="K2685">
        <v>1.1090789999999999</v>
      </c>
      <c r="L2685">
        <v>296.39679999999998</v>
      </c>
      <c r="M2685">
        <v>-0.3471979</v>
      </c>
      <c r="N2685">
        <v>0</v>
      </c>
      <c r="O2685">
        <v>-0.93768249999999997</v>
      </c>
      <c r="P2685">
        <v>-0.51336649999999995</v>
      </c>
      <c r="Q2685">
        <v>5.7555230000000002E-3</v>
      </c>
      <c r="R2685">
        <v>-0.85815030000000003</v>
      </c>
      <c r="S2685">
        <v>-2.3410489999999999</v>
      </c>
      <c r="T2685">
        <v>-0.27383689999999999</v>
      </c>
      <c r="U2685">
        <v>-2.1008</v>
      </c>
      <c r="V2685">
        <v>0.18351500000000001</v>
      </c>
      <c r="W2685">
        <v>1.9189910000000001E-2</v>
      </c>
      <c r="X2685">
        <v>0.98282959999999997</v>
      </c>
      <c r="Y2685">
        <v>0.4629857</v>
      </c>
      <c r="Z2685">
        <v>8.8765280000000002E-2</v>
      </c>
      <c r="AA2685">
        <v>0.88190979999999997</v>
      </c>
      <c r="AB2685">
        <v>20</v>
      </c>
      <c r="AC2685">
        <v>-9.4116999999999909</v>
      </c>
      <c r="AD2685">
        <v>-1.1090759277669999</v>
      </c>
      <c r="AE2685">
        <v>-8.3275999999999595</v>
      </c>
      <c r="AF2685">
        <v>5.8886057810989101</v>
      </c>
      <c r="AG2685">
        <v>-1.1090759277669999</v>
      </c>
      <c r="AH2685">
        <v>10.991891891477</v>
      </c>
      <c r="AI2685">
        <v>95.082544033505201</v>
      </c>
      <c r="AJ2685">
        <v>61.821036189467101</v>
      </c>
      <c r="AK2685">
        <v>12.519082027555401</v>
      </c>
      <c r="AL2685">
        <v>88.900431671003503</v>
      </c>
      <c r="AM2685">
        <v>79.423464177855294</v>
      </c>
      <c r="AN2685">
        <v>1.00000001525348</v>
      </c>
    </row>
    <row r="2686" spans="1:40" x14ac:dyDescent="0.25">
      <c r="A2686" t="str">
        <f>"20190312150715086"</f>
        <v>20190312150715086</v>
      </c>
      <c r="B2686" t="str">
        <f>"1552374435082668"</f>
        <v>1552374435082668</v>
      </c>
      <c r="C2686" t="s">
        <v>40</v>
      </c>
      <c r="D2686">
        <v>4.6266800000000003</v>
      </c>
      <c r="E2686">
        <v>0.63009659999999901</v>
      </c>
      <c r="F2686" t="s">
        <v>61</v>
      </c>
      <c r="G2686">
        <v>-201.82900000000001</v>
      </c>
      <c r="H2686" s="1">
        <v>2.6423690000000001E-6</v>
      </c>
      <c r="I2686">
        <v>289.02809999999999</v>
      </c>
      <c r="J2686">
        <v>-193.267</v>
      </c>
      <c r="K2686">
        <v>1.1090899999999999</v>
      </c>
      <c r="L2686">
        <v>296.21859999999998</v>
      </c>
      <c r="M2686">
        <v>-0.3496938</v>
      </c>
      <c r="N2686">
        <v>0</v>
      </c>
      <c r="O2686">
        <v>-0.93675459999999999</v>
      </c>
      <c r="P2686">
        <v>-0.51629009999999997</v>
      </c>
      <c r="Q2686">
        <v>5.7279940000000001E-3</v>
      </c>
      <c r="R2686">
        <v>-0.85639489999999996</v>
      </c>
      <c r="S2686">
        <v>-2.4091800000000001</v>
      </c>
      <c r="T2686">
        <v>-0.30956440000000002</v>
      </c>
      <c r="U2686">
        <v>-2.0567319999999998</v>
      </c>
      <c r="V2686">
        <v>0.1842491</v>
      </c>
      <c r="W2686">
        <v>1.915559E-2</v>
      </c>
      <c r="X2686">
        <v>0.98269289999999998</v>
      </c>
      <c r="Y2686">
        <v>0.48148590000000002</v>
      </c>
      <c r="Z2686">
        <v>9.9907899999999994E-2</v>
      </c>
      <c r="AA2686">
        <v>0.87074099999999999</v>
      </c>
      <c r="AB2686">
        <v>20</v>
      </c>
      <c r="AC2686">
        <v>-8.56200000000001</v>
      </c>
      <c r="AD2686">
        <v>-1.1090873576310001</v>
      </c>
      <c r="AE2686">
        <v>-7.1904999999999797</v>
      </c>
      <c r="AF2686">
        <v>5.4529289476666802</v>
      </c>
      <c r="AG2686">
        <v>-1.1090873576310001</v>
      </c>
      <c r="AH2686">
        <v>9.6359945410427699</v>
      </c>
      <c r="AI2686">
        <v>95.720317714890996</v>
      </c>
      <c r="AJ2686">
        <v>60.494840473064698</v>
      </c>
      <c r="AK2686">
        <v>11.127304240927501</v>
      </c>
      <c r="AL2686">
        <v>88.902398408649603</v>
      </c>
      <c r="AM2686">
        <v>79.380672463558298</v>
      </c>
      <c r="AN2686">
        <v>1.0000000015947299</v>
      </c>
    </row>
    <row r="2687" spans="1:40" x14ac:dyDescent="0.25">
      <c r="A2687" t="str">
        <f>"20190312150715108"</f>
        <v>20190312150715108</v>
      </c>
      <c r="B2687" t="str">
        <f>"1552374435103164"</f>
        <v>1552374435103164</v>
      </c>
      <c r="C2687" t="s">
        <v>40</v>
      </c>
      <c r="D2687">
        <v>4.6576550000000001</v>
      </c>
      <c r="E2687">
        <v>0.6318184</v>
      </c>
      <c r="F2687" t="s">
        <v>61</v>
      </c>
      <c r="G2687">
        <v>-201.41669999999999</v>
      </c>
      <c r="H2687" s="1">
        <v>2.4186119999999999E-6</v>
      </c>
      <c r="I2687">
        <v>289.4966</v>
      </c>
      <c r="J2687">
        <v>-193.3373</v>
      </c>
      <c r="K2687">
        <v>1.109092</v>
      </c>
      <c r="L2687">
        <v>296.03960000000001</v>
      </c>
      <c r="M2687">
        <v>-0.35220200000000002</v>
      </c>
      <c r="N2687">
        <v>0</v>
      </c>
      <c r="O2687">
        <v>-0.93581440000000005</v>
      </c>
      <c r="P2687">
        <v>-0.51979339999999996</v>
      </c>
      <c r="Q2687">
        <v>6.0424839999999999E-3</v>
      </c>
      <c r="R2687">
        <v>-0.85427059999999999</v>
      </c>
      <c r="S2687">
        <v>-2.455276</v>
      </c>
      <c r="T2687">
        <v>-0.33413409999999999</v>
      </c>
      <c r="U2687">
        <v>-2.0251160000000001</v>
      </c>
      <c r="V2687">
        <v>0.18564320000000001</v>
      </c>
      <c r="W2687">
        <v>1.9459279999999999E-2</v>
      </c>
      <c r="X2687">
        <v>0.98242450000000003</v>
      </c>
      <c r="Y2687">
        <v>0.49322939999999998</v>
      </c>
      <c r="Z2687">
        <v>0.1074971</v>
      </c>
      <c r="AA2687">
        <v>0.86323179999999999</v>
      </c>
      <c r="AB2687">
        <v>19</v>
      </c>
      <c r="AC2687">
        <v>-8.0793999999999908</v>
      </c>
      <c r="AD2687">
        <v>-1.109089581388</v>
      </c>
      <c r="AE2687">
        <v>-6.5430000000000001</v>
      </c>
      <c r="AF2687">
        <v>5.1977480012227604</v>
      </c>
      <c r="AG2687">
        <v>-1.109089581388</v>
      </c>
      <c r="AH2687">
        <v>8.8686063038423697</v>
      </c>
      <c r="AI2687">
        <v>96.1579930682163</v>
      </c>
      <c r="AJ2687">
        <v>59.626116085856602</v>
      </c>
      <c r="AK2687">
        <v>10.339189608296699</v>
      </c>
      <c r="AL2687">
        <v>88.884994984865202</v>
      </c>
      <c r="AM2687">
        <v>79.299315064007104</v>
      </c>
      <c r="AN2687">
        <v>0.99999997974230403</v>
      </c>
    </row>
    <row r="2688" spans="1:40" x14ac:dyDescent="0.25">
      <c r="A2688" t="str">
        <f>"20190312150715130"</f>
        <v>20190312150715130</v>
      </c>
      <c r="B2688" t="str">
        <f>"1552374435122684"</f>
        <v>1552374435122684</v>
      </c>
      <c r="C2688" t="s">
        <v>40</v>
      </c>
      <c r="D2688">
        <v>4.4792439999999996</v>
      </c>
      <c r="E2688">
        <v>0.63230940000000002</v>
      </c>
      <c r="F2688" t="s">
        <v>61</v>
      </c>
      <c r="G2688">
        <v>-201.405</v>
      </c>
      <c r="H2688" s="1">
        <v>2.4135350000000002E-6</v>
      </c>
      <c r="I2688">
        <v>289.49529999999999</v>
      </c>
      <c r="J2688">
        <v>-193.40899999999999</v>
      </c>
      <c r="K2688">
        <v>1.109102</v>
      </c>
      <c r="L2688">
        <v>295.85840000000002</v>
      </c>
      <c r="M2688">
        <v>-0.3547401</v>
      </c>
      <c r="N2688">
        <v>0</v>
      </c>
      <c r="O2688">
        <v>-0.93485560000000001</v>
      </c>
      <c r="P2688">
        <v>-0.52386779999999999</v>
      </c>
      <c r="Q2688">
        <v>5.926471E-3</v>
      </c>
      <c r="R2688">
        <v>-0.85177950000000002</v>
      </c>
      <c r="S2688">
        <v>-2.4754179999999999</v>
      </c>
      <c r="T2688">
        <v>-0.34029949999999998</v>
      </c>
      <c r="U2688">
        <v>-2.007965</v>
      </c>
      <c r="V2688">
        <v>0.18766859999999999</v>
      </c>
      <c r="W2688">
        <v>1.9328169999999999E-2</v>
      </c>
      <c r="X2688">
        <v>0.98204219999999998</v>
      </c>
      <c r="Y2688">
        <v>0.49775629999999998</v>
      </c>
      <c r="Z2688">
        <v>0.1093763</v>
      </c>
      <c r="AA2688">
        <v>0.86039259999999995</v>
      </c>
      <c r="AB2688">
        <v>19</v>
      </c>
      <c r="AC2688">
        <v>-7.99599999999998</v>
      </c>
      <c r="AD2688">
        <v>-1.109099586465</v>
      </c>
      <c r="AE2688">
        <v>-6.3631000000000304</v>
      </c>
      <c r="AF2688">
        <v>5.1576364645766599</v>
      </c>
      <c r="AG2688">
        <v>-1.109099586465</v>
      </c>
      <c r="AH2688">
        <v>8.6836880399712992</v>
      </c>
      <c r="AI2688">
        <v>96.266717951651401</v>
      </c>
      <c r="AJ2688">
        <v>59.2920011903147</v>
      </c>
      <c r="AK2688">
        <v>10.160598100947</v>
      </c>
      <c r="AL2688">
        <v>88.892508450367202</v>
      </c>
      <c r="AM2688">
        <v>79.181196897704595</v>
      </c>
      <c r="AN2688">
        <v>0.99999998208117402</v>
      </c>
    </row>
    <row r="2689" spans="1:40" x14ac:dyDescent="0.25">
      <c r="A2689" t="str">
        <f>"20190312150715152"</f>
        <v>20190312150715152</v>
      </c>
      <c r="B2689" t="str">
        <f>"1552374435143180"</f>
        <v>1552374435143180</v>
      </c>
      <c r="C2689" t="s">
        <v>40</v>
      </c>
      <c r="D2689">
        <v>4.7036309999999997</v>
      </c>
      <c r="E2689">
        <v>0.63351099999999905</v>
      </c>
      <c r="F2689" t="s">
        <v>61</v>
      </c>
      <c r="G2689">
        <v>-201.5652</v>
      </c>
      <c r="H2689" s="1">
        <v>2.4998810000000001E-6</v>
      </c>
      <c r="I2689">
        <v>289.31979999999999</v>
      </c>
      <c r="J2689">
        <v>-193.48169999999999</v>
      </c>
      <c r="K2689">
        <v>1.10911</v>
      </c>
      <c r="L2689">
        <v>295.67590000000001</v>
      </c>
      <c r="M2689">
        <v>-0.35730030000000002</v>
      </c>
      <c r="N2689">
        <v>0</v>
      </c>
      <c r="O2689">
        <v>-0.93388000000000004</v>
      </c>
      <c r="P2689">
        <v>-0.52811450000000004</v>
      </c>
      <c r="Q2689">
        <v>6.1649369999999997E-3</v>
      </c>
      <c r="R2689">
        <v>-0.84915090000000004</v>
      </c>
      <c r="S2689">
        <v>-2.4877470000000002</v>
      </c>
      <c r="T2689">
        <v>-0.33828930000000001</v>
      </c>
      <c r="U2689">
        <v>-1.994354</v>
      </c>
      <c r="V2689">
        <v>0.18988279999999999</v>
      </c>
      <c r="W2689">
        <v>1.9549380000000002E-2</v>
      </c>
      <c r="X2689">
        <v>0.98161209999999999</v>
      </c>
      <c r="Y2689">
        <v>0.50038870000000002</v>
      </c>
      <c r="Z2689">
        <v>0.1087327</v>
      </c>
      <c r="AA2689">
        <v>0.85894599999999899</v>
      </c>
      <c r="AB2689">
        <v>19</v>
      </c>
      <c r="AC2689">
        <v>-8.0835000000000097</v>
      </c>
      <c r="AD2689">
        <v>-1.1091075001189901</v>
      </c>
      <c r="AE2689">
        <v>-6.3561000000000201</v>
      </c>
      <c r="AF2689">
        <v>5.2178231745881396</v>
      </c>
      <c r="AG2689">
        <v>-1.1091075001189901</v>
      </c>
      <c r="AH2689">
        <v>8.7234933304040503</v>
      </c>
      <c r="AI2689">
        <v>96.227000340479094</v>
      </c>
      <c r="AJ2689">
        <v>59.114896142462001</v>
      </c>
      <c r="AK2689">
        <v>10.225220487289899</v>
      </c>
      <c r="AL2689">
        <v>88.879831659189094</v>
      </c>
      <c r="AM2689">
        <v>79.051937127132305</v>
      </c>
      <c r="AN2689">
        <v>0.99999998543031698</v>
      </c>
    </row>
    <row r="2690" spans="1:40" x14ac:dyDescent="0.25">
      <c r="A2690" t="str">
        <f>"20190312150715175"</f>
        <v>20190312150715175</v>
      </c>
      <c r="B2690" t="str">
        <f>"1552374435162700"</f>
        <v>1552374435162700</v>
      </c>
      <c r="C2690" t="s">
        <v>40</v>
      </c>
      <c r="D2690">
        <v>4.6147830000000001</v>
      </c>
      <c r="E2690">
        <v>0.63438280000000002</v>
      </c>
      <c r="F2690" t="s">
        <v>61</v>
      </c>
      <c r="G2690">
        <v>-201.58940000000001</v>
      </c>
      <c r="H2690" s="1">
        <v>2.513986E-6</v>
      </c>
      <c r="I2690">
        <v>289.28160000000003</v>
      </c>
      <c r="J2690">
        <v>-193.55189999999999</v>
      </c>
      <c r="K2690">
        <v>1.109113</v>
      </c>
      <c r="L2690">
        <v>295.50130000000001</v>
      </c>
      <c r="M2690">
        <v>-0.35975659999999998</v>
      </c>
      <c r="N2690">
        <v>0</v>
      </c>
      <c r="O2690">
        <v>-0.93293669999999995</v>
      </c>
      <c r="P2690">
        <v>-0.53255859999999899</v>
      </c>
      <c r="Q2690">
        <v>6.6540799999999997E-3</v>
      </c>
      <c r="R2690">
        <v>-0.84636699999999998</v>
      </c>
      <c r="S2690">
        <v>-2.5063170000000001</v>
      </c>
      <c r="T2690">
        <v>-0.34285599999999999</v>
      </c>
      <c r="U2690">
        <v>-1.976685</v>
      </c>
      <c r="V2690">
        <v>0.19244810000000001</v>
      </c>
      <c r="W2690">
        <v>2.0019450000000001E-2</v>
      </c>
      <c r="X2690">
        <v>0.9811029</v>
      </c>
      <c r="Y2690">
        <v>0.50481799999999999</v>
      </c>
      <c r="Z2690">
        <v>0.11014210000000001</v>
      </c>
      <c r="AA2690">
        <v>0.85617030000000005</v>
      </c>
      <c r="AB2690">
        <v>19</v>
      </c>
      <c r="AC2690">
        <v>-8.0375000000000192</v>
      </c>
      <c r="AD2690">
        <v>-1.109110486014</v>
      </c>
      <c r="AE2690">
        <v>-6.21969999999998</v>
      </c>
      <c r="AF2690">
        <v>5.1995124554829797</v>
      </c>
      <c r="AG2690">
        <v>-1.109110486014</v>
      </c>
      <c r="AH2690">
        <v>8.5926804156944296</v>
      </c>
      <c r="AI2690">
        <v>96.301765145048904</v>
      </c>
      <c r="AJ2690">
        <v>58.8214696786575</v>
      </c>
      <c r="AK2690">
        <v>10.104415498739501</v>
      </c>
      <c r="AL2690">
        <v>88.852893346831195</v>
      </c>
      <c r="AM2690">
        <v>78.902060250250003</v>
      </c>
      <c r="AN2690">
        <v>0.99999997498016002</v>
      </c>
    </row>
    <row r="2691" spans="1:40" x14ac:dyDescent="0.25">
      <c r="A2691" t="str">
        <f>"20190312150715196"</f>
        <v>20190312150715196</v>
      </c>
      <c r="B2691" t="str">
        <f>"1552374435192956"</f>
        <v>1552374435192956</v>
      </c>
      <c r="C2691" t="s">
        <v>40</v>
      </c>
      <c r="D2691">
        <v>4.6535510000000002</v>
      </c>
      <c r="E2691">
        <v>0.63542379999999998</v>
      </c>
      <c r="F2691" t="s">
        <v>61</v>
      </c>
      <c r="G2691">
        <v>-201.6634</v>
      </c>
      <c r="H2691" s="1">
        <v>2.5539689999999998E-6</v>
      </c>
      <c r="I2691">
        <v>289.19920000000002</v>
      </c>
      <c r="J2691">
        <v>-193.62289999999999</v>
      </c>
      <c r="K2691">
        <v>1.1091200000000001</v>
      </c>
      <c r="L2691">
        <v>295.3261</v>
      </c>
      <c r="M2691">
        <v>-0.36223070000000002</v>
      </c>
      <c r="N2691">
        <v>0</v>
      </c>
      <c r="O2691">
        <v>-0.9319788</v>
      </c>
      <c r="P2691">
        <v>-0.53682419999999997</v>
      </c>
      <c r="Q2691">
        <v>6.7966190000000003E-3</v>
      </c>
      <c r="R2691">
        <v>-0.84366659999999905</v>
      </c>
      <c r="S2691">
        <v>-2.5226289999999998</v>
      </c>
      <c r="T2691">
        <v>-0.34492850000000003</v>
      </c>
      <c r="U2691">
        <v>-1.9599299999999999</v>
      </c>
      <c r="V2691">
        <v>0.19479830000000001</v>
      </c>
      <c r="W2691">
        <v>2.0142449999999999E-2</v>
      </c>
      <c r="X2691">
        <v>0.98063650000000002</v>
      </c>
      <c r="Y2691">
        <v>0.50870309999999996</v>
      </c>
      <c r="Z2691">
        <v>0.11077969999999999</v>
      </c>
      <c r="AA2691">
        <v>0.85378509999999996</v>
      </c>
      <c r="AB2691">
        <v>19</v>
      </c>
      <c r="AC2691">
        <v>-8.0404999999999998</v>
      </c>
      <c r="AD2691">
        <v>-1.109117446031</v>
      </c>
      <c r="AE2691">
        <v>-6.1268999999999698</v>
      </c>
      <c r="AF2691">
        <v>5.2120213698107802</v>
      </c>
      <c r="AG2691">
        <v>-1.109117446031</v>
      </c>
      <c r="AH2691">
        <v>8.5209633720209403</v>
      </c>
      <c r="AI2691">
        <v>96.336077031641096</v>
      </c>
      <c r="AJ2691">
        <v>58.547107181908601</v>
      </c>
      <c r="AK2691">
        <v>10.0499813460412</v>
      </c>
      <c r="AL2691">
        <v>88.8458445970372</v>
      </c>
      <c r="AM2691">
        <v>78.764750082501806</v>
      </c>
      <c r="AN2691">
        <v>1.00000002055357</v>
      </c>
    </row>
    <row r="2692" spans="1:40" x14ac:dyDescent="0.25">
      <c r="A2692" t="str">
        <f>"20190312150715220"</f>
        <v>20190312150715220</v>
      </c>
      <c r="B2692" t="str">
        <f>"1552374435212476"</f>
        <v>1552374435212476</v>
      </c>
      <c r="C2692" t="s">
        <v>40</v>
      </c>
      <c r="D2692">
        <v>4.4973599999999996</v>
      </c>
      <c r="E2692">
        <v>0.63580019999999904</v>
      </c>
      <c r="F2692" t="s">
        <v>61</v>
      </c>
      <c r="G2692">
        <v>-201.66579999999999</v>
      </c>
      <c r="H2692" s="1">
        <v>2.5572970000000002E-6</v>
      </c>
      <c r="I2692">
        <v>289.17329999999998</v>
      </c>
      <c r="J2692">
        <v>-193.6979</v>
      </c>
      <c r="K2692">
        <v>1.109116</v>
      </c>
      <c r="L2692">
        <v>295.14240000000001</v>
      </c>
      <c r="M2692">
        <v>-0.3648402</v>
      </c>
      <c r="N2692">
        <v>0</v>
      </c>
      <c r="O2692">
        <v>-0.93096049999999997</v>
      </c>
      <c r="P2692">
        <v>-0.54116549999999997</v>
      </c>
      <c r="Q2692">
        <v>6.9923269999999996E-3</v>
      </c>
      <c r="R2692">
        <v>-0.84088750000000001</v>
      </c>
      <c r="S2692">
        <v>-2.5395970000000001</v>
      </c>
      <c r="T2692">
        <v>-0.35021229999999998</v>
      </c>
      <c r="U2692">
        <v>-1.94278</v>
      </c>
      <c r="V2692">
        <v>0.19710659999999999</v>
      </c>
      <c r="W2692">
        <v>2.0316939999999999E-2</v>
      </c>
      <c r="X2692">
        <v>0.98017149999999997</v>
      </c>
      <c r="Y2692">
        <v>0.51253579999999999</v>
      </c>
      <c r="Z2692">
        <v>0.11242000000000001</v>
      </c>
      <c r="AA2692">
        <v>0.8512748</v>
      </c>
      <c r="AB2692">
        <v>19</v>
      </c>
      <c r="AC2692">
        <v>-7.9678999999999798</v>
      </c>
      <c r="AD2692">
        <v>-1.1091134427030001</v>
      </c>
      <c r="AE2692">
        <v>-5.9691000000000196</v>
      </c>
      <c r="AF2692">
        <v>5.1763250076147997</v>
      </c>
      <c r="AG2692">
        <v>-1.1091134427030001</v>
      </c>
      <c r="AH2692">
        <v>8.36110243937107</v>
      </c>
      <c r="AI2692">
        <v>96.435000409515993</v>
      </c>
      <c r="AJ2692">
        <v>58.2385162590897</v>
      </c>
      <c r="AK2692">
        <v>9.8960854490500303</v>
      </c>
      <c r="AL2692">
        <v>88.835844962668006</v>
      </c>
      <c r="AM2692">
        <v>78.629809901058096</v>
      </c>
      <c r="AN2692">
        <v>0.99999997961338605</v>
      </c>
    </row>
    <row r="2693" spans="1:40" x14ac:dyDescent="0.25">
      <c r="A2693" t="str">
        <f>"20190312150715243"</f>
        <v>20190312150715243</v>
      </c>
      <c r="B2693" t="str">
        <f>"1552374435232972"</f>
        <v>1552374435232972</v>
      </c>
      <c r="C2693" t="s">
        <v>40</v>
      </c>
      <c r="D2693">
        <v>4.6495470000000001</v>
      </c>
      <c r="E2693">
        <v>0.63643000000000005</v>
      </c>
      <c r="F2693" t="s">
        <v>61</v>
      </c>
      <c r="G2693">
        <v>-201.7337</v>
      </c>
      <c r="H2693" s="1">
        <v>2.5964120000000002E-6</v>
      </c>
      <c r="I2693">
        <v>289.07029999999997</v>
      </c>
      <c r="J2693">
        <v>-193.77520000000001</v>
      </c>
      <c r="K2693">
        <v>1.1091</v>
      </c>
      <c r="L2693">
        <v>294.95460000000003</v>
      </c>
      <c r="M2693">
        <v>-0.36753479999999999</v>
      </c>
      <c r="N2693">
        <v>0</v>
      </c>
      <c r="O2693">
        <v>-0.92990010000000001</v>
      </c>
      <c r="P2693">
        <v>-0.54546329999999998</v>
      </c>
      <c r="Q2693">
        <v>6.8823599999999997E-3</v>
      </c>
      <c r="R2693">
        <v>-0.83810689999999999</v>
      </c>
      <c r="S2693">
        <v>-2.5518800000000001</v>
      </c>
      <c r="T2693">
        <v>-0.35221520000000001</v>
      </c>
      <c r="U2693">
        <v>-1.9282840000000001</v>
      </c>
      <c r="V2693">
        <v>0.19928580000000001</v>
      </c>
      <c r="W2693">
        <v>2.0183449999999999E-2</v>
      </c>
      <c r="X2693">
        <v>0.97973350000000003</v>
      </c>
      <c r="Y2693">
        <v>0.51504399999999995</v>
      </c>
      <c r="Z2693">
        <v>0.1130514</v>
      </c>
      <c r="AA2693">
        <v>0.84967579999999998</v>
      </c>
      <c r="AB2693">
        <v>19</v>
      </c>
      <c r="AC2693">
        <v>-7.9584999999999804</v>
      </c>
      <c r="AD2693">
        <v>-1.1090974035879999</v>
      </c>
      <c r="AE2693">
        <v>-5.8843000000000503</v>
      </c>
      <c r="AF2693">
        <v>5.1734967005333097</v>
      </c>
      <c r="AG2693">
        <v>-1.1090974035879999</v>
      </c>
      <c r="AH2693">
        <v>8.2935529732033899</v>
      </c>
      <c r="AI2693">
        <v>96.473332504349003</v>
      </c>
      <c r="AJ2693">
        <v>58.044192852423201</v>
      </c>
      <c r="AK2693">
        <v>9.8375904611040603</v>
      </c>
      <c r="AL2693">
        <v>88.843494929805502</v>
      </c>
      <c r="AM2693">
        <v>78.502427857521894</v>
      </c>
      <c r="AN2693">
        <v>0.99999996637889499</v>
      </c>
    </row>
    <row r="2694" spans="1:40" x14ac:dyDescent="0.25">
      <c r="A2694" t="str">
        <f>"20190312150715266"</f>
        <v>20190312150715266</v>
      </c>
      <c r="B2694" t="str">
        <f>"1552374435263228"</f>
        <v>1552374435263228</v>
      </c>
      <c r="C2694" t="s">
        <v>40</v>
      </c>
      <c r="D2694">
        <v>4.54481</v>
      </c>
      <c r="E2694">
        <v>0.63711240000000002</v>
      </c>
      <c r="F2694" t="s">
        <v>61</v>
      </c>
      <c r="G2694">
        <v>-201.80959999999999</v>
      </c>
      <c r="H2694" s="1">
        <v>2.6391759999999998E-6</v>
      </c>
      <c r="I2694">
        <v>288.96640000000002</v>
      </c>
      <c r="J2694">
        <v>-193.84889999999999</v>
      </c>
      <c r="K2694">
        <v>1.109084</v>
      </c>
      <c r="L2694">
        <v>294.77719999999999</v>
      </c>
      <c r="M2694">
        <v>-0.37011569999999999</v>
      </c>
      <c r="N2694">
        <v>0</v>
      </c>
      <c r="O2694">
        <v>-0.92887620000000004</v>
      </c>
      <c r="P2694">
        <v>-0.54999480000000001</v>
      </c>
      <c r="Q2694">
        <v>6.9633339999999998E-3</v>
      </c>
      <c r="R2694">
        <v>-0.83513969999999904</v>
      </c>
      <c r="S2694">
        <v>-2.565903</v>
      </c>
      <c r="T2694">
        <v>-0.35420669999999999</v>
      </c>
      <c r="U2694">
        <v>-1.912415</v>
      </c>
      <c r="V2694">
        <v>0.20187289999999999</v>
      </c>
      <c r="W2694">
        <v>2.023542E-2</v>
      </c>
      <c r="X2694">
        <v>0.97920269999999998</v>
      </c>
      <c r="Y2694">
        <v>0.51821329999999999</v>
      </c>
      <c r="Z2694">
        <v>0.1136736</v>
      </c>
      <c r="AA2694">
        <v>0.84766339999999996</v>
      </c>
      <c r="AB2694">
        <v>19</v>
      </c>
      <c r="AC2694">
        <v>-7.9607000000000001</v>
      </c>
      <c r="AD2694">
        <v>-1.109081360824</v>
      </c>
      <c r="AE2694">
        <v>-5.8107999999999702</v>
      </c>
      <c r="AF2694">
        <v>5.1787906768510004</v>
      </c>
      <c r="AG2694">
        <v>-1.109081360824</v>
      </c>
      <c r="AH2694">
        <v>8.2403942567229294</v>
      </c>
      <c r="AI2694">
        <v>96.501097927418797</v>
      </c>
      <c r="AJ2694">
        <v>57.8521193713297</v>
      </c>
      <c r="AK2694">
        <v>9.79561288770633</v>
      </c>
      <c r="AL2694">
        <v>88.840516738008802</v>
      </c>
      <c r="AM2694">
        <v>78.3510792585693</v>
      </c>
      <c r="AN2694">
        <v>1.00000003383213</v>
      </c>
    </row>
    <row r="2695" spans="1:40" x14ac:dyDescent="0.25">
      <c r="A2695" t="str">
        <f>"20190312150715287"</f>
        <v>20190312150715287</v>
      </c>
      <c r="B2695" t="str">
        <f>"1552374435282748"</f>
        <v>1552374435282748</v>
      </c>
      <c r="C2695" t="s">
        <v>40</v>
      </c>
      <c r="D2695">
        <v>4.5989490000000002</v>
      </c>
      <c r="E2695">
        <v>0.63743099999999997</v>
      </c>
      <c r="F2695" t="s">
        <v>61</v>
      </c>
      <c r="G2695">
        <v>-201.8177</v>
      </c>
      <c r="H2695" s="1">
        <v>2.6464569999999999E-6</v>
      </c>
      <c r="I2695">
        <v>288.92450000000002</v>
      </c>
      <c r="J2695">
        <v>-193.9213</v>
      </c>
      <c r="K2695">
        <v>1.109065</v>
      </c>
      <c r="L2695">
        <v>294.60430000000002</v>
      </c>
      <c r="M2695">
        <v>-0.37267549999999999</v>
      </c>
      <c r="N2695">
        <v>0</v>
      </c>
      <c r="O2695">
        <v>-0.92785189999999995</v>
      </c>
      <c r="P2695">
        <v>-0.55497069999999904</v>
      </c>
      <c r="Q2695">
        <v>7.2384429999999998E-3</v>
      </c>
      <c r="R2695">
        <v>-0.83183869999999904</v>
      </c>
      <c r="S2695">
        <v>-2.5808409999999999</v>
      </c>
      <c r="T2695">
        <v>-0.359193599999999</v>
      </c>
      <c r="U2695">
        <v>-1.895508</v>
      </c>
      <c r="V2695">
        <v>0.20502129999999999</v>
      </c>
      <c r="W2695">
        <v>2.047473E-2</v>
      </c>
      <c r="X2695">
        <v>0.9785433</v>
      </c>
      <c r="Y2695">
        <v>0.52165660000000003</v>
      </c>
      <c r="Z2695">
        <v>0.1152454</v>
      </c>
      <c r="AA2695">
        <v>0.84533599999999998</v>
      </c>
      <c r="AB2695">
        <v>19</v>
      </c>
      <c r="AC2695">
        <v>-7.8963999999999999</v>
      </c>
      <c r="AD2695">
        <v>-1.109062353543</v>
      </c>
      <c r="AE2695">
        <v>-5.6798000000000002</v>
      </c>
      <c r="AF2695">
        <v>5.1436287519068502</v>
      </c>
      <c r="AG2695">
        <v>-1.109062353543</v>
      </c>
      <c r="AH2695">
        <v>8.1082340855508797</v>
      </c>
      <c r="AI2695">
        <v>96.5885835198482</v>
      </c>
      <c r="AJ2695">
        <v>57.610142052168499</v>
      </c>
      <c r="AK2695">
        <v>9.6659399971021092</v>
      </c>
      <c r="AL2695">
        <v>88.826802367961903</v>
      </c>
      <c r="AM2695">
        <v>78.166737226547298</v>
      </c>
      <c r="AN2695">
        <v>0.99999996899857502</v>
      </c>
    </row>
    <row r="2696" spans="1:40" x14ac:dyDescent="0.25">
      <c r="A2696" t="str">
        <f>"20190312150715309"</f>
        <v>20190312150715309</v>
      </c>
      <c r="B2696" t="str">
        <f>"1552374435303244"</f>
        <v>1552374435303244</v>
      </c>
      <c r="C2696" t="s">
        <v>40</v>
      </c>
      <c r="D2696">
        <v>4.6312009999999999</v>
      </c>
      <c r="E2696">
        <v>0.63779219999999903</v>
      </c>
      <c r="F2696" t="s">
        <v>61</v>
      </c>
      <c r="G2696">
        <v>-201.90889999999999</v>
      </c>
      <c r="H2696" s="1">
        <v>2.6961470000000001E-6</v>
      </c>
      <c r="I2696">
        <v>288.81849999999997</v>
      </c>
      <c r="J2696">
        <v>-193.99279999999999</v>
      </c>
      <c r="K2696">
        <v>1.1090359999999999</v>
      </c>
      <c r="L2696">
        <v>294.43529999999998</v>
      </c>
      <c r="M2696">
        <v>-0.37521520000000003</v>
      </c>
      <c r="N2696">
        <v>0</v>
      </c>
      <c r="O2696">
        <v>-0.92682799999999999</v>
      </c>
      <c r="P2696">
        <v>-0.55979489999999998</v>
      </c>
      <c r="Q2696">
        <v>7.1327939999999996E-3</v>
      </c>
      <c r="R2696">
        <v>-0.82860109999999998</v>
      </c>
      <c r="S2696">
        <v>-2.5940249999999998</v>
      </c>
      <c r="T2696">
        <v>-0.36017529999999998</v>
      </c>
      <c r="U2696">
        <v>-1.8789670000000001</v>
      </c>
      <c r="V2696">
        <v>0.2080275</v>
      </c>
      <c r="W2696">
        <v>2.033362E-2</v>
      </c>
      <c r="X2696">
        <v>0.97791159999999999</v>
      </c>
      <c r="Y2696">
        <v>0.52486869999999997</v>
      </c>
      <c r="Z2696">
        <v>0.115577399999999</v>
      </c>
      <c r="AA2696">
        <v>0.84330000000000005</v>
      </c>
      <c r="AB2696">
        <v>19</v>
      </c>
      <c r="AC2696">
        <v>-7.9161000000000001</v>
      </c>
      <c r="AD2696">
        <v>-1.109033303853</v>
      </c>
      <c r="AE2696">
        <v>-5.6168000000000102</v>
      </c>
      <c r="AF2696">
        <v>5.1624898591161301</v>
      </c>
      <c r="AG2696">
        <v>-1.109033303853</v>
      </c>
      <c r="AH2696">
        <v>8.0715064540766708</v>
      </c>
      <c r="AI2696">
        <v>96.602619140634602</v>
      </c>
      <c r="AJ2696">
        <v>57.397248681515997</v>
      </c>
      <c r="AK2696">
        <v>9.6452305754053</v>
      </c>
      <c r="AL2696">
        <v>88.834889091997596</v>
      </c>
      <c r="AM2696">
        <v>77.990696348085393</v>
      </c>
      <c r="AN2696">
        <v>0.99999999713655696</v>
      </c>
    </row>
    <row r="2697" spans="1:40" x14ac:dyDescent="0.25">
      <c r="A2697" t="str">
        <f>"20190312150715331"</f>
        <v>20190312150715331</v>
      </c>
      <c r="B2697" t="str">
        <f>"1552374435322765"</f>
        <v>1552374435322765</v>
      </c>
      <c r="C2697" t="s">
        <v>40</v>
      </c>
      <c r="D2697">
        <v>4.5918140000000003</v>
      </c>
      <c r="E2697">
        <v>0.63806799999999997</v>
      </c>
      <c r="F2697" t="s">
        <v>61</v>
      </c>
      <c r="G2697">
        <v>-201.9684</v>
      </c>
      <c r="H2697" s="1">
        <v>2.7295680000000001E-6</v>
      </c>
      <c r="I2697">
        <v>288.73809999999997</v>
      </c>
      <c r="J2697">
        <v>-194.0692</v>
      </c>
      <c r="K2697">
        <v>1.109013</v>
      </c>
      <c r="L2697">
        <v>294.25599999999997</v>
      </c>
      <c r="M2697">
        <v>-0.37796160000000001</v>
      </c>
      <c r="N2697">
        <v>0</v>
      </c>
      <c r="O2697">
        <v>-0.92571119999999996</v>
      </c>
      <c r="P2697">
        <v>-0.56435959999999996</v>
      </c>
      <c r="Q2697">
        <v>6.8705769999999897E-3</v>
      </c>
      <c r="R2697">
        <v>-0.82550080000000003</v>
      </c>
      <c r="S2697">
        <v>-2.6071170000000001</v>
      </c>
      <c r="T2697">
        <v>-0.36252509999999999</v>
      </c>
      <c r="U2697">
        <v>-1.8623350000000001</v>
      </c>
      <c r="V2697">
        <v>0.21052460000000001</v>
      </c>
      <c r="W2697">
        <v>2.003804E-2</v>
      </c>
      <c r="X2697">
        <v>0.97738320000000001</v>
      </c>
      <c r="Y2697">
        <v>0.52784030000000004</v>
      </c>
      <c r="Z2697">
        <v>0.1163348</v>
      </c>
      <c r="AA2697">
        <v>0.84133880000000005</v>
      </c>
      <c r="AB2697">
        <v>19</v>
      </c>
      <c r="AC2697">
        <v>-7.8992000000000004</v>
      </c>
      <c r="AD2697">
        <v>-1.109010270432</v>
      </c>
      <c r="AE2697">
        <v>-5.5178999999999903</v>
      </c>
      <c r="AF2697">
        <v>5.1590152916717802</v>
      </c>
      <c r="AG2697">
        <v>-1.109010270432</v>
      </c>
      <c r="AH2697">
        <v>7.98857701705903</v>
      </c>
      <c r="AI2697">
        <v>96.651780127850301</v>
      </c>
      <c r="AJ2697">
        <v>57.145664998018397</v>
      </c>
      <c r="AK2697">
        <v>9.5740642005947905</v>
      </c>
      <c r="AL2697">
        <v>88.851828061939003</v>
      </c>
      <c r="AM2697">
        <v>77.844425506448204</v>
      </c>
      <c r="AN2697">
        <v>1.0000000249472201</v>
      </c>
    </row>
    <row r="2698" spans="1:40" x14ac:dyDescent="0.25">
      <c r="A2698" t="str">
        <f>"20190312150715353"</f>
        <v>20190312150715353</v>
      </c>
      <c r="B2698" t="str">
        <f>"1552374435343265"</f>
        <v>1552374435343265</v>
      </c>
      <c r="C2698" t="s">
        <v>40</v>
      </c>
      <c r="D2698">
        <v>4.5964609999999997</v>
      </c>
      <c r="E2698">
        <v>0.63833859999999998</v>
      </c>
      <c r="F2698" t="s">
        <v>61</v>
      </c>
      <c r="G2698">
        <v>-202.0557</v>
      </c>
      <c r="H2698" s="1">
        <v>2.7780969999999998E-6</v>
      </c>
      <c r="I2698">
        <v>288.6259</v>
      </c>
      <c r="J2698">
        <v>-194.14400000000001</v>
      </c>
      <c r="K2698">
        <v>1.1089850000000001</v>
      </c>
      <c r="L2698">
        <v>294.08210000000003</v>
      </c>
      <c r="M2698">
        <v>-0.38068170000000001</v>
      </c>
      <c r="N2698">
        <v>0</v>
      </c>
      <c r="O2698">
        <v>-0.92459599999999997</v>
      </c>
      <c r="P2698">
        <v>-0.56898329999999997</v>
      </c>
      <c r="Q2698">
        <v>6.4386969999999898E-3</v>
      </c>
      <c r="R2698">
        <v>-0.8223241</v>
      </c>
      <c r="S2698">
        <v>-2.619354</v>
      </c>
      <c r="T2698">
        <v>-0.3637243</v>
      </c>
      <c r="U2698">
        <v>-1.8464970000000001</v>
      </c>
      <c r="V2698">
        <v>0.2131342</v>
      </c>
      <c r="W2698">
        <v>1.9570830000000001E-2</v>
      </c>
      <c r="X2698">
        <v>0.97682690000000005</v>
      </c>
      <c r="Y2698">
        <v>0.53055940000000001</v>
      </c>
      <c r="Z2698">
        <v>0.1167243</v>
      </c>
      <c r="AA2698">
        <v>0.8395726</v>
      </c>
      <c r="AB2698">
        <v>19</v>
      </c>
      <c r="AC2698">
        <v>-7.91169999999999</v>
      </c>
      <c r="AD2698">
        <v>-1.1089822219030001</v>
      </c>
      <c r="AE2698">
        <v>-5.4562000000000204</v>
      </c>
      <c r="AF2698">
        <v>5.1697489953129896</v>
      </c>
      <c r="AG2698">
        <v>-1.1089822219030001</v>
      </c>
      <c r="AH2698">
        <v>7.9515656118144102</v>
      </c>
      <c r="AI2698">
        <v>96.669144269789101</v>
      </c>
      <c r="AJ2698">
        <v>56.969895560310597</v>
      </c>
      <c r="AK2698">
        <v>9.5490073788863601</v>
      </c>
      <c r="AL2698">
        <v>88.878602444275799</v>
      </c>
      <c r="AM2698">
        <v>77.691517738277298</v>
      </c>
      <c r="AN2698">
        <v>0.99999999858006905</v>
      </c>
    </row>
    <row r="2699" spans="1:40" x14ac:dyDescent="0.25">
      <c r="A2699" t="str">
        <f>"20190312150715376"</f>
        <v>20190312150715376</v>
      </c>
      <c r="B2699" t="str">
        <f>"1552374435373118"</f>
        <v>1552374435373118</v>
      </c>
      <c r="C2699" t="s">
        <v>40</v>
      </c>
      <c r="D2699">
        <v>4.6254720000000002</v>
      </c>
      <c r="E2699">
        <v>0.63867390000000002</v>
      </c>
      <c r="F2699" t="s">
        <v>61</v>
      </c>
      <c r="G2699">
        <v>-202.0941</v>
      </c>
      <c r="H2699" s="1">
        <v>2.8014739999999999E-6</v>
      </c>
      <c r="I2699">
        <v>288.55309999999997</v>
      </c>
      <c r="J2699">
        <v>-194.2176</v>
      </c>
      <c r="K2699">
        <v>1.108954</v>
      </c>
      <c r="L2699">
        <v>293.91239999999999</v>
      </c>
      <c r="M2699">
        <v>-0.38340180000000001</v>
      </c>
      <c r="N2699">
        <v>0</v>
      </c>
      <c r="O2699">
        <v>-0.92347129999999999</v>
      </c>
      <c r="P2699">
        <v>-0.57385839999999999</v>
      </c>
      <c r="Q2699">
        <v>6.5772360000000002E-3</v>
      </c>
      <c r="R2699">
        <v>-0.81892810000000005</v>
      </c>
      <c r="S2699">
        <v>-2.6316069999999998</v>
      </c>
      <c r="T2699">
        <v>-0.367089</v>
      </c>
      <c r="U2699">
        <v>-1.8301700000000001</v>
      </c>
      <c r="V2699">
        <v>0.2160638</v>
      </c>
      <c r="W2699">
        <v>1.9669519999999999E-2</v>
      </c>
      <c r="X2699">
        <v>0.97618110000000002</v>
      </c>
      <c r="Y2699">
        <v>0.53330279999999997</v>
      </c>
      <c r="Z2699">
        <v>0.11780739999999899</v>
      </c>
      <c r="AA2699">
        <v>0.83768109999999996</v>
      </c>
      <c r="AB2699">
        <v>19</v>
      </c>
      <c r="AC2699">
        <v>-7.8764999999999903</v>
      </c>
      <c r="AD2699">
        <v>-1.1089511985259899</v>
      </c>
      <c r="AE2699">
        <v>-5.3593000000000099</v>
      </c>
      <c r="AF2699">
        <v>5.1497122354139098</v>
      </c>
      <c r="AG2699">
        <v>-1.1089511985259899</v>
      </c>
      <c r="AH2699">
        <v>7.86329241235459</v>
      </c>
      <c r="AI2699">
        <v>96.728629441015897</v>
      </c>
      <c r="AJ2699">
        <v>56.7789964640493</v>
      </c>
      <c r="AK2699">
        <v>9.4647068856081003</v>
      </c>
      <c r="AL2699">
        <v>88.872946834282004</v>
      </c>
      <c r="AM2699">
        <v>77.519600965590797</v>
      </c>
      <c r="AN2699">
        <v>0.99999999784233995</v>
      </c>
    </row>
    <row r="2700" spans="1:40" x14ac:dyDescent="0.25">
      <c r="A2700" t="str">
        <f>"20190312150715398"</f>
        <v>20190312150715398</v>
      </c>
      <c r="B2700" t="str">
        <f>"1552374435392637"</f>
        <v>1552374435392637</v>
      </c>
      <c r="C2700" t="s">
        <v>40</v>
      </c>
      <c r="D2700">
        <v>4.6061139999999998</v>
      </c>
      <c r="E2700">
        <v>0.63896850000000005</v>
      </c>
      <c r="F2700" t="s">
        <v>61</v>
      </c>
      <c r="G2700">
        <v>-202.16489999999999</v>
      </c>
      <c r="H2700" s="1">
        <v>2.840717E-6</v>
      </c>
      <c r="I2700">
        <v>288.46359999999999</v>
      </c>
      <c r="J2700">
        <v>-194.29349999999999</v>
      </c>
      <c r="K2700">
        <v>1.1089199999999999</v>
      </c>
      <c r="L2700">
        <v>293.73910000000001</v>
      </c>
      <c r="M2700">
        <v>-0.38625199999999998</v>
      </c>
      <c r="N2700">
        <v>0</v>
      </c>
      <c r="O2700">
        <v>-0.92228279999999996</v>
      </c>
      <c r="P2700">
        <v>-0.57863909999999996</v>
      </c>
      <c r="Q2700">
        <v>6.515173E-3</v>
      </c>
      <c r="R2700">
        <v>-0.81555759999999999</v>
      </c>
      <c r="S2700">
        <v>-2.6445470000000002</v>
      </c>
      <c r="T2700">
        <v>-0.36901430000000002</v>
      </c>
      <c r="U2700">
        <v>-1.8131409999999999</v>
      </c>
      <c r="V2700">
        <v>0.2187606</v>
      </c>
      <c r="W2700">
        <v>1.9565590000000001E-2</v>
      </c>
      <c r="X2700">
        <v>0.97558239999999996</v>
      </c>
      <c r="Y2700">
        <v>0.53621409999999903</v>
      </c>
      <c r="Z2700">
        <v>0.1184259</v>
      </c>
      <c r="AA2700">
        <v>0.83573310000000001</v>
      </c>
      <c r="AB2700">
        <v>19</v>
      </c>
      <c r="AC2700">
        <v>-7.8713999999999897</v>
      </c>
      <c r="AD2700">
        <v>-1.1089171592829901</v>
      </c>
      <c r="AE2700">
        <v>-5.2755000000000196</v>
      </c>
      <c r="AF2700">
        <v>5.1519591443466197</v>
      </c>
      <c r="AG2700">
        <v>-1.1089171592829901</v>
      </c>
      <c r="AH2700">
        <v>7.7998318427996098</v>
      </c>
      <c r="AI2700">
        <v>96.765355361196697</v>
      </c>
      <c r="AJ2700">
        <v>56.554367518132402</v>
      </c>
      <c r="AK2700">
        <v>9.4132755758619897</v>
      </c>
      <c r="AL2700">
        <v>88.878902750974305</v>
      </c>
      <c r="AM2700">
        <v>77.361293333921594</v>
      </c>
      <c r="AN2700">
        <v>1.0000000158070801</v>
      </c>
    </row>
    <row r="2701" spans="1:40" x14ac:dyDescent="0.25">
      <c r="A2701" t="str">
        <f>"20190312150715421"</f>
        <v>20190312150715421</v>
      </c>
      <c r="B2701" t="str">
        <f>"1552374435413133"</f>
        <v>1552374435413133</v>
      </c>
      <c r="C2701" t="s">
        <v>40</v>
      </c>
      <c r="D2701">
        <v>4.6626300000000001</v>
      </c>
      <c r="E2701">
        <v>0.639300599999999</v>
      </c>
      <c r="F2701" t="s">
        <v>61</v>
      </c>
      <c r="G2701">
        <v>-202.3408</v>
      </c>
      <c r="H2701" s="1">
        <v>2.933148E-6</v>
      </c>
      <c r="I2701">
        <v>288.29849999999999</v>
      </c>
      <c r="J2701">
        <v>-194.37479999999999</v>
      </c>
      <c r="K2701">
        <v>1.1088720000000001</v>
      </c>
      <c r="L2701">
        <v>293.55540000000002</v>
      </c>
      <c r="M2701">
        <v>-0.38935690000000001</v>
      </c>
      <c r="N2701">
        <v>0</v>
      </c>
      <c r="O2701">
        <v>-0.92097649999999998</v>
      </c>
      <c r="P2701">
        <v>-0.58366660000000004</v>
      </c>
      <c r="Q2701">
        <v>6.1793000000000004E-3</v>
      </c>
      <c r="R2701">
        <v>-0.81196999999999997</v>
      </c>
      <c r="S2701">
        <v>-2.6569370000000001</v>
      </c>
      <c r="T2701">
        <v>-0.36612630000000002</v>
      </c>
      <c r="U2701">
        <v>-1.796295</v>
      </c>
      <c r="V2701">
        <v>0.22150069999999999</v>
      </c>
      <c r="W2701">
        <v>1.918276E-2</v>
      </c>
      <c r="X2701">
        <v>0.97497149999999999</v>
      </c>
      <c r="Y2701">
        <v>0.53891709999999904</v>
      </c>
      <c r="Z2701">
        <v>0.1175148</v>
      </c>
      <c r="AA2701">
        <v>0.83412149999999996</v>
      </c>
      <c r="AB2701">
        <v>19</v>
      </c>
      <c r="AC2701">
        <v>-7.9660000000000002</v>
      </c>
      <c r="AD2701">
        <v>-1.10886906685199</v>
      </c>
      <c r="AE2701">
        <v>-5.2569000000000301</v>
      </c>
      <c r="AF2701">
        <v>5.21976871153357</v>
      </c>
      <c r="AG2701">
        <v>-1.10886906685199</v>
      </c>
      <c r="AH2701">
        <v>7.8381055064272704</v>
      </c>
      <c r="AI2701">
        <v>96.715683408332097</v>
      </c>
      <c r="AJ2701">
        <v>56.338458782071697</v>
      </c>
      <c r="AK2701">
        <v>9.4821660995371495</v>
      </c>
      <c r="AL2701">
        <v>88.900841374794894</v>
      </c>
      <c r="AM2701">
        <v>77.200412975945099</v>
      </c>
      <c r="AN2701">
        <v>0.99999998209697805</v>
      </c>
    </row>
    <row r="2702" spans="1:40" x14ac:dyDescent="0.25">
      <c r="A2702" t="str">
        <f>"20190312150715446"</f>
        <v>20190312150715446</v>
      </c>
      <c r="B2702" t="str">
        <f>"1552374435443389"</f>
        <v>1552374435443389</v>
      </c>
      <c r="C2702" t="s">
        <v>40</v>
      </c>
      <c r="D2702">
        <v>4.6864140000000001</v>
      </c>
      <c r="E2702">
        <v>0.63988970000000001</v>
      </c>
      <c r="F2702" t="s">
        <v>61</v>
      </c>
      <c r="G2702">
        <v>-202.5307</v>
      </c>
      <c r="H2702" s="1">
        <v>3.0326110000000001E-6</v>
      </c>
      <c r="I2702">
        <v>288.12380000000002</v>
      </c>
      <c r="J2702">
        <v>-194.4556</v>
      </c>
      <c r="K2702">
        <v>1.1088169999999999</v>
      </c>
      <c r="L2702">
        <v>293.37470000000002</v>
      </c>
      <c r="M2702">
        <v>-0.39250930000000001</v>
      </c>
      <c r="N2702">
        <v>0</v>
      </c>
      <c r="O2702">
        <v>-0.91963729999999999</v>
      </c>
      <c r="P2702">
        <v>-0.5883718</v>
      </c>
      <c r="Q2702">
        <v>5.7668909999999997E-3</v>
      </c>
      <c r="R2702">
        <v>-0.80857029999999996</v>
      </c>
      <c r="S2702">
        <v>-2.6700590000000002</v>
      </c>
      <c r="T2702">
        <v>-0.36301899999999998</v>
      </c>
      <c r="U2702">
        <v>-1.7781979999999999</v>
      </c>
      <c r="V2702">
        <v>0.22382179999999999</v>
      </c>
      <c r="W2702">
        <v>1.8723170000000001E-2</v>
      </c>
      <c r="X2702">
        <v>0.97445020000000004</v>
      </c>
      <c r="Y2702">
        <v>0.54194739999999997</v>
      </c>
      <c r="Z2702">
        <v>0.11654059999999999</v>
      </c>
      <c r="AA2702">
        <v>0.83229279999999894</v>
      </c>
      <c r="AB2702">
        <v>19</v>
      </c>
      <c r="AC2702">
        <v>-8.0750999999999902</v>
      </c>
      <c r="AD2702">
        <v>-1.1088139673889901</v>
      </c>
      <c r="AE2702">
        <v>-5.2508999999999997</v>
      </c>
      <c r="AF2702">
        <v>5.2955088435820397</v>
      </c>
      <c r="AG2702">
        <v>-1.1088139673889901</v>
      </c>
      <c r="AH2702">
        <v>7.8946733727779197</v>
      </c>
      <c r="AI2702">
        <v>96.652965721565707</v>
      </c>
      <c r="AJ2702">
        <v>56.147482569313802</v>
      </c>
      <c r="AK2702">
        <v>9.5706713447689395</v>
      </c>
      <c r="AL2702">
        <v>88.927178664665007</v>
      </c>
      <c r="AM2702">
        <v>77.064087304031005</v>
      </c>
      <c r="AN2702">
        <v>0.999999973765064</v>
      </c>
    </row>
    <row r="2703" spans="1:40" x14ac:dyDescent="0.25">
      <c r="A2703" t="str">
        <f>"20190312150715467"</f>
        <v>20190312150715467</v>
      </c>
      <c r="B2703" t="str">
        <f>"1552374435462910"</f>
        <v>1552374435462910</v>
      </c>
      <c r="C2703" t="s">
        <v>40</v>
      </c>
      <c r="D2703">
        <v>4.6478640000000002</v>
      </c>
      <c r="E2703">
        <v>0.64014179999999998</v>
      </c>
      <c r="F2703" t="s">
        <v>61</v>
      </c>
      <c r="G2703">
        <v>-202.77</v>
      </c>
      <c r="H2703" s="1">
        <v>3.156255E-6</v>
      </c>
      <c r="I2703">
        <v>287.92320000000001</v>
      </c>
      <c r="J2703">
        <v>-194.53270000000001</v>
      </c>
      <c r="K2703">
        <v>1.108768</v>
      </c>
      <c r="L2703">
        <v>293.20420000000001</v>
      </c>
      <c r="M2703">
        <v>-0.3955902</v>
      </c>
      <c r="N2703">
        <v>0</v>
      </c>
      <c r="O2703">
        <v>-0.91831629999999997</v>
      </c>
      <c r="P2703">
        <v>-0.59334589999999998</v>
      </c>
      <c r="Q2703">
        <v>5.6208569999999999E-3</v>
      </c>
      <c r="R2703">
        <v>-0.80492839999999999</v>
      </c>
      <c r="S2703">
        <v>-2.683945</v>
      </c>
      <c r="T2703">
        <v>-0.357933</v>
      </c>
      <c r="U2703">
        <v>-1.7597659999999999</v>
      </c>
      <c r="V2703">
        <v>0.22656409999999999</v>
      </c>
      <c r="W2703">
        <v>1.8526270000000001E-2</v>
      </c>
      <c r="X2703">
        <v>0.97382000000000002</v>
      </c>
      <c r="Y2703">
        <v>0.54527539999999997</v>
      </c>
      <c r="Z2703">
        <v>0.1149251</v>
      </c>
      <c r="AA2703">
        <v>0.83034149999999995</v>
      </c>
      <c r="AB2703">
        <v>19</v>
      </c>
      <c r="AC2703">
        <v>-8.2372999999999994</v>
      </c>
      <c r="AD2703">
        <v>-1.108764843745</v>
      </c>
      <c r="AE2703">
        <v>-5.2809999999999997</v>
      </c>
      <c r="AF2703">
        <v>5.4064715348273502</v>
      </c>
      <c r="AG2703">
        <v>-1.108764843745</v>
      </c>
      <c r="AH2703">
        <v>8.00624612819189</v>
      </c>
      <c r="AI2703">
        <v>96.547199576678295</v>
      </c>
      <c r="AJ2703">
        <v>55.969563095543201</v>
      </c>
      <c r="AK2703">
        <v>9.7241591410677195</v>
      </c>
      <c r="AL2703">
        <v>88.938462139359999</v>
      </c>
      <c r="AM2703">
        <v>76.902841657197101</v>
      </c>
      <c r="AN2703">
        <v>0.99999995324446</v>
      </c>
    </row>
    <row r="2704" spans="1:40" x14ac:dyDescent="0.25">
      <c r="A2704" t="str">
        <f>"20190312150715490"</f>
        <v>20190312150715490</v>
      </c>
      <c r="B2704" t="str">
        <f>"1552374435482938"</f>
        <v>1552374435482938</v>
      </c>
      <c r="C2704" t="s">
        <v>40</v>
      </c>
      <c r="D2704">
        <v>4.6352580000000003</v>
      </c>
      <c r="E2704">
        <v>0.64029099999999906</v>
      </c>
      <c r="F2704" t="s">
        <v>61</v>
      </c>
      <c r="G2704">
        <v>-202.93450000000001</v>
      </c>
      <c r="H2704" s="1">
        <v>3.2420410000000001E-6</v>
      </c>
      <c r="I2704">
        <v>287.7765</v>
      </c>
      <c r="J2704">
        <v>-194.61189999999999</v>
      </c>
      <c r="K2704">
        <v>1.108722</v>
      </c>
      <c r="L2704">
        <v>293.03089999999997</v>
      </c>
      <c r="M2704">
        <v>-0.39880900000000002</v>
      </c>
      <c r="N2704">
        <v>0</v>
      </c>
      <c r="O2704">
        <v>-0.91692300000000004</v>
      </c>
      <c r="P2704">
        <v>-0.59832229999999997</v>
      </c>
      <c r="Q2704">
        <v>5.89559E-3</v>
      </c>
      <c r="R2704">
        <v>-0.80123369999999905</v>
      </c>
      <c r="S2704">
        <v>-2.6963650000000001</v>
      </c>
      <c r="T2704">
        <v>-0.35583409999999999</v>
      </c>
      <c r="U2704">
        <v>-1.7418819999999999</v>
      </c>
      <c r="V2704">
        <v>0.22918669999999999</v>
      </c>
      <c r="W2704">
        <v>1.8751779999999999E-2</v>
      </c>
      <c r="X2704">
        <v>0.97320180000000001</v>
      </c>
      <c r="Y2704">
        <v>0.54803840000000004</v>
      </c>
      <c r="Z2704">
        <v>0.1142677</v>
      </c>
      <c r="AA2704">
        <v>0.8286114</v>
      </c>
      <c r="AB2704">
        <v>19</v>
      </c>
      <c r="AC2704">
        <v>-8.3226000000000209</v>
      </c>
      <c r="AD2704">
        <v>-1.1087187579590001</v>
      </c>
      <c r="AE2704">
        <v>-5.2543999999999702</v>
      </c>
      <c r="AF2704">
        <v>5.46687475299938</v>
      </c>
      <c r="AG2704">
        <v>-1.1087187579590001</v>
      </c>
      <c r="AH2704">
        <v>8.0358678103871295</v>
      </c>
      <c r="AI2704">
        <v>96.507922712646106</v>
      </c>
      <c r="AJ2704">
        <v>55.772185611606801</v>
      </c>
      <c r="AK2704">
        <v>9.7821852525521198</v>
      </c>
      <c r="AL2704">
        <v>88.925539127717201</v>
      </c>
      <c r="AM2704">
        <v>76.748432851623505</v>
      </c>
      <c r="AN2704">
        <v>0.99999995811664799</v>
      </c>
    </row>
    <row r="2705" spans="1:40" x14ac:dyDescent="0.25">
      <c r="A2705" t="str">
        <f>"20190312150715510"</f>
        <v>20190312150715510</v>
      </c>
      <c r="B2705" t="str">
        <f>"1552374435502458"</f>
        <v>1552374435502458</v>
      </c>
      <c r="C2705" t="s">
        <v>40</v>
      </c>
      <c r="D2705">
        <v>4.6893549999999999</v>
      </c>
      <c r="E2705">
        <v>0.64046999999999998</v>
      </c>
      <c r="F2705" t="s">
        <v>61</v>
      </c>
      <c r="G2705">
        <v>-203.1294</v>
      </c>
      <c r="H2705" s="1">
        <v>3.3433470000000001E-6</v>
      </c>
      <c r="I2705">
        <v>287.60660000000001</v>
      </c>
      <c r="J2705">
        <v>-194.6831</v>
      </c>
      <c r="K2705">
        <v>1.108687</v>
      </c>
      <c r="L2705">
        <v>292.8768</v>
      </c>
      <c r="M2705">
        <v>-0.40175169999999999</v>
      </c>
      <c r="N2705">
        <v>0</v>
      </c>
      <c r="O2705">
        <v>-0.91563740000000005</v>
      </c>
      <c r="P2705">
        <v>-0.60317940000000003</v>
      </c>
      <c r="Q2705">
        <v>5.6928669999999999E-3</v>
      </c>
      <c r="R2705">
        <v>-0.79758560000000001</v>
      </c>
      <c r="S2705">
        <v>-2.7080690000000001</v>
      </c>
      <c r="T2705">
        <v>-0.35250690000000001</v>
      </c>
      <c r="U2705">
        <v>-1.7246090000000001</v>
      </c>
      <c r="V2705">
        <v>0.23197390000000001</v>
      </c>
      <c r="W2705">
        <v>1.8503869999999999E-2</v>
      </c>
      <c r="X2705">
        <v>0.97254600000000002</v>
      </c>
      <c r="Y2705">
        <v>0.55084690000000003</v>
      </c>
      <c r="Z2705">
        <v>0.11322939999999899</v>
      </c>
      <c r="AA2705">
        <v>0.82688980000000001</v>
      </c>
      <c r="AB2705">
        <v>19</v>
      </c>
      <c r="AC2705">
        <v>-8.4463000000000008</v>
      </c>
      <c r="AD2705">
        <v>-1.1086836566530001</v>
      </c>
      <c r="AE2705">
        <v>-5.2701999999999796</v>
      </c>
      <c r="AF2705">
        <v>5.5482022457400104</v>
      </c>
      <c r="AG2705">
        <v>-1.1086836566530001</v>
      </c>
      <c r="AH2705">
        <v>8.1190560550259701</v>
      </c>
      <c r="AI2705">
        <v>96.432552631910795</v>
      </c>
      <c r="AJ2705">
        <v>55.653033767068202</v>
      </c>
      <c r="AK2705">
        <v>9.8959991327211601</v>
      </c>
      <c r="AL2705">
        <v>88.939745837470497</v>
      </c>
      <c r="AM2705">
        <v>76.584348826234901</v>
      </c>
      <c r="AN2705">
        <v>1.00000000280109</v>
      </c>
    </row>
    <row r="2706" spans="1:40" x14ac:dyDescent="0.25">
      <c r="A2706" t="str">
        <f>"20190312150715533"</f>
        <v>20190312150715533</v>
      </c>
      <c r="B2706" t="str">
        <f>"1552374435522956"</f>
        <v>1552374435522956</v>
      </c>
      <c r="C2706" t="s">
        <v>40</v>
      </c>
      <c r="D2706">
        <v>4.6493919999999997</v>
      </c>
      <c r="E2706">
        <v>0.64058719999999902</v>
      </c>
      <c r="F2706" t="s">
        <v>61</v>
      </c>
      <c r="G2706">
        <v>-203.24590000000001</v>
      </c>
      <c r="H2706" s="1">
        <v>3.4043650000000001E-6</v>
      </c>
      <c r="I2706">
        <v>287.49950000000001</v>
      </c>
      <c r="J2706">
        <v>-194.76480000000001</v>
      </c>
      <c r="K2706">
        <v>1.108636</v>
      </c>
      <c r="L2706">
        <v>292.70190000000002</v>
      </c>
      <c r="M2706">
        <v>-0.40519949999999999</v>
      </c>
      <c r="N2706">
        <v>0</v>
      </c>
      <c r="O2706">
        <v>-0.91411699999999996</v>
      </c>
      <c r="P2706">
        <v>-0.60861180000000004</v>
      </c>
      <c r="Q2706">
        <v>6.0046500000000003E-3</v>
      </c>
      <c r="R2706">
        <v>-0.79344579999999998</v>
      </c>
      <c r="S2706">
        <v>-2.719131</v>
      </c>
      <c r="T2706">
        <v>-0.35206349999999997</v>
      </c>
      <c r="U2706">
        <v>-1.7075499999999999</v>
      </c>
      <c r="V2706">
        <v>0.2349541</v>
      </c>
      <c r="W2706">
        <v>1.8763220000000001E-2</v>
      </c>
      <c r="X2706">
        <v>0.97182539999999995</v>
      </c>
      <c r="Y2706">
        <v>0.55295909999999904</v>
      </c>
      <c r="Z2706">
        <v>0.1130905</v>
      </c>
      <c r="AA2706">
        <v>0.82549789999999901</v>
      </c>
      <c r="AB2706">
        <v>19</v>
      </c>
      <c r="AC2706">
        <v>-8.4810999999999908</v>
      </c>
      <c r="AD2706">
        <v>-1.1086325956350001</v>
      </c>
      <c r="AE2706">
        <v>-5.2024000000000097</v>
      </c>
      <c r="AF2706">
        <v>5.5760523647427798</v>
      </c>
      <c r="AG2706">
        <v>-1.1086325956350001</v>
      </c>
      <c r="AH2706">
        <v>8.0925004129230107</v>
      </c>
      <c r="AI2706">
        <v>96.436243073474301</v>
      </c>
      <c r="AJ2706">
        <v>55.431623973690499</v>
      </c>
      <c r="AK2706">
        <v>9.8898932825191395</v>
      </c>
      <c r="AL2706">
        <v>88.924883645071603</v>
      </c>
      <c r="AM2706">
        <v>76.408644933441494</v>
      </c>
      <c r="AN2706">
        <v>1.0000000478083599</v>
      </c>
    </row>
    <row r="2707" spans="1:40" x14ac:dyDescent="0.25">
      <c r="A2707" t="str">
        <f>"20190312150715556"</f>
        <v>20190312150715556</v>
      </c>
      <c r="B2707" t="str">
        <f>"1552374435553209"</f>
        <v>1552374435553209</v>
      </c>
      <c r="C2707" t="s">
        <v>40</v>
      </c>
      <c r="D2707">
        <v>4.710445</v>
      </c>
      <c r="E2707">
        <v>0.64077450000000002</v>
      </c>
      <c r="F2707" t="s">
        <v>61</v>
      </c>
      <c r="G2707">
        <v>-203.4126</v>
      </c>
      <c r="H2707" s="1">
        <v>3.490812E-6</v>
      </c>
      <c r="I2707">
        <v>287.35599999999999</v>
      </c>
      <c r="J2707">
        <v>-194.84350000000001</v>
      </c>
      <c r="K2707">
        <v>1.1085769999999999</v>
      </c>
      <c r="L2707">
        <v>292.5351</v>
      </c>
      <c r="M2707">
        <v>-0.4086052</v>
      </c>
      <c r="N2707">
        <v>0</v>
      </c>
      <c r="O2707">
        <v>-0.91259950000000001</v>
      </c>
      <c r="P2707">
        <v>-0.61415379999999997</v>
      </c>
      <c r="Q2707">
        <v>5.7556880000000001E-3</v>
      </c>
      <c r="R2707">
        <v>-0.78916529999999996</v>
      </c>
      <c r="S2707">
        <v>-2.7314150000000001</v>
      </c>
      <c r="T2707">
        <v>-0.35016239999999998</v>
      </c>
      <c r="U2707">
        <v>-1.688507</v>
      </c>
      <c r="V2707">
        <v>0.23813680000000001</v>
      </c>
      <c r="W2707">
        <v>1.845571E-2</v>
      </c>
      <c r="X2707">
        <v>0.97105629999999998</v>
      </c>
      <c r="Y2707">
        <v>0.55574349999999995</v>
      </c>
      <c r="Z2707">
        <v>0.1125034</v>
      </c>
      <c r="AA2707">
        <v>0.82370639999999995</v>
      </c>
      <c r="AB2707">
        <v>19</v>
      </c>
      <c r="AC2707">
        <v>-8.5690999999999899</v>
      </c>
      <c r="AD2707">
        <v>-1.108573509188</v>
      </c>
      <c r="AE2707">
        <v>-5.1791</v>
      </c>
      <c r="AF2707">
        <v>5.6354493580682696</v>
      </c>
      <c r="AG2707">
        <v>-1.108573509188</v>
      </c>
      <c r="AH2707">
        <v>8.1290133775141804</v>
      </c>
      <c r="AI2707">
        <v>96.394730725744793</v>
      </c>
      <c r="AJ2707">
        <v>55.268313575178603</v>
      </c>
      <c r="AK2707">
        <v>9.9532950917989904</v>
      </c>
      <c r="AL2707">
        <v>88.942505716277793</v>
      </c>
      <c r="AM2707">
        <v>76.221008609003306</v>
      </c>
      <c r="AN2707">
        <v>1.00000004325776</v>
      </c>
    </row>
    <row r="2708" spans="1:40" x14ac:dyDescent="0.25">
      <c r="A2708" t="str">
        <f>"20190312150715577"</f>
        <v>20190312150715577</v>
      </c>
      <c r="B2708" t="str">
        <f>"1552374435572730"</f>
        <v>1552374435572730</v>
      </c>
      <c r="C2708" t="s">
        <v>40</v>
      </c>
      <c r="D2708">
        <v>4.6464049999999997</v>
      </c>
      <c r="E2708">
        <v>0.64075819999999895</v>
      </c>
      <c r="F2708" t="s">
        <v>61</v>
      </c>
      <c r="G2708">
        <v>-203.5301</v>
      </c>
      <c r="H2708" s="1">
        <v>3.551977E-6</v>
      </c>
      <c r="I2708">
        <v>287.25259999999997</v>
      </c>
      <c r="J2708">
        <v>-194.92080000000001</v>
      </c>
      <c r="K2708">
        <v>1.108514</v>
      </c>
      <c r="L2708">
        <v>292.37329999999997</v>
      </c>
      <c r="M2708">
        <v>-0.4120316</v>
      </c>
      <c r="N2708">
        <v>0</v>
      </c>
      <c r="O2708">
        <v>-0.91105780000000003</v>
      </c>
      <c r="P2708">
        <v>-0.61962819999999996</v>
      </c>
      <c r="Q2708">
        <v>4.7888189999999997E-3</v>
      </c>
      <c r="R2708">
        <v>-0.78488119999999995</v>
      </c>
      <c r="S2708">
        <v>-2.7439420000000001</v>
      </c>
      <c r="T2708">
        <v>-0.35017769999999998</v>
      </c>
      <c r="U2708">
        <v>-1.6686399999999999</v>
      </c>
      <c r="V2708">
        <v>0.2412369</v>
      </c>
      <c r="W2708">
        <v>1.7425429999999999E-2</v>
      </c>
      <c r="X2708">
        <v>0.9703098</v>
      </c>
      <c r="Y2708">
        <v>0.55864669999999905</v>
      </c>
      <c r="Z2708">
        <v>0.1125313</v>
      </c>
      <c r="AA2708">
        <v>0.82173629999999998</v>
      </c>
      <c r="AB2708">
        <v>19</v>
      </c>
      <c r="AC2708">
        <v>-8.6092999999999904</v>
      </c>
      <c r="AD2708">
        <v>-1.1085104480229999</v>
      </c>
      <c r="AE2708">
        <v>-5.1206999999999896</v>
      </c>
      <c r="AF2708">
        <v>5.6648906835239501</v>
      </c>
      <c r="AG2708">
        <v>-1.1085104480229999</v>
      </c>
      <c r="AH2708">
        <v>8.1140283229981396</v>
      </c>
      <c r="AI2708">
        <v>96.391478155591599</v>
      </c>
      <c r="AJ2708">
        <v>55.078792321729303</v>
      </c>
      <c r="AK2708">
        <v>9.9577727176346293</v>
      </c>
      <c r="AL2708">
        <v>89.001545868839898</v>
      </c>
      <c r="AM2708">
        <v>76.038282435483595</v>
      </c>
      <c r="AN2708">
        <v>0.99999999775416704</v>
      </c>
    </row>
    <row r="2709" spans="1:40" x14ac:dyDescent="0.25">
      <c r="A2709" t="str">
        <f>"20190312150715601"</f>
        <v>20190312150715601</v>
      </c>
      <c r="B2709" t="str">
        <f>"1552374435593225"</f>
        <v>1552374435593225</v>
      </c>
      <c r="C2709" t="s">
        <v>40</v>
      </c>
      <c r="D2709">
        <v>4.7719449999999997</v>
      </c>
      <c r="E2709">
        <v>0.64086460000000001</v>
      </c>
      <c r="F2709" t="s">
        <v>61</v>
      </c>
      <c r="G2709">
        <v>-203.60810000000001</v>
      </c>
      <c r="H2709" s="1">
        <v>3.593693E-6</v>
      </c>
      <c r="I2709">
        <v>287.17110000000002</v>
      </c>
      <c r="J2709">
        <v>-195.006</v>
      </c>
      <c r="K2709">
        <v>1.10843</v>
      </c>
      <c r="L2709">
        <v>292.19709999999998</v>
      </c>
      <c r="M2709">
        <v>-0.415904</v>
      </c>
      <c r="N2709">
        <v>0</v>
      </c>
      <c r="O2709">
        <v>-0.9092962</v>
      </c>
      <c r="P2709">
        <v>-0.62714419999999904</v>
      </c>
      <c r="Q2709">
        <v>4.4403059999999998E-3</v>
      </c>
      <c r="R2709">
        <v>-0.77889059999999999</v>
      </c>
      <c r="S2709">
        <v>-2.7547609999999998</v>
      </c>
      <c r="T2709">
        <v>-0.35151159999999998</v>
      </c>
      <c r="U2709">
        <v>-1.6496280000000001</v>
      </c>
      <c r="V2709">
        <v>0.24643419999999999</v>
      </c>
      <c r="W2709">
        <v>1.6983950000000001E-2</v>
      </c>
      <c r="X2709">
        <v>0.9690107</v>
      </c>
      <c r="Y2709">
        <v>0.5606759</v>
      </c>
      <c r="Z2709">
        <v>0.1129753</v>
      </c>
      <c r="AA2709">
        <v>0.82029209999999997</v>
      </c>
      <c r="AB2709">
        <v>19</v>
      </c>
      <c r="AC2709">
        <v>-8.6021000000000303</v>
      </c>
      <c r="AD2709">
        <v>-1.108426406307</v>
      </c>
      <c r="AE2709">
        <v>-5.0259999999999501</v>
      </c>
      <c r="AF2709">
        <v>5.6620238438035102</v>
      </c>
      <c r="AG2709">
        <v>-1.108426406307</v>
      </c>
      <c r="AH2709">
        <v>8.0489719960750392</v>
      </c>
      <c r="AI2709">
        <v>96.426367644214693</v>
      </c>
      <c r="AJ2709">
        <v>54.8756514517979</v>
      </c>
      <c r="AK2709">
        <v>9.9031850078446197</v>
      </c>
      <c r="AL2709">
        <v>89.026844559545196</v>
      </c>
      <c r="AM2709">
        <v>75.731292001845702</v>
      </c>
      <c r="AN2709">
        <v>1.00000000310086</v>
      </c>
    </row>
    <row r="2710" spans="1:40" x14ac:dyDescent="0.25">
      <c r="A2710" t="str">
        <f>"20190312150715634"</f>
        <v>20190312150715634</v>
      </c>
      <c r="B2710" t="str">
        <f>"1552374435622505"</f>
        <v>1552374435622505</v>
      </c>
      <c r="C2710" t="s">
        <v>40</v>
      </c>
      <c r="D2710">
        <v>4.6972040000000002</v>
      </c>
      <c r="E2710">
        <v>0.6408722</v>
      </c>
      <c r="F2710" t="s">
        <v>61</v>
      </c>
      <c r="G2710">
        <v>-203.71090000000001</v>
      </c>
      <c r="H2710" s="1">
        <v>3.645611E-6</v>
      </c>
      <c r="I2710">
        <v>287.0985</v>
      </c>
      <c r="J2710">
        <v>-195.1285</v>
      </c>
      <c r="K2710">
        <v>1.1082939999999999</v>
      </c>
      <c r="L2710">
        <v>291.94819999999999</v>
      </c>
      <c r="M2710">
        <v>-0.421684</v>
      </c>
      <c r="N2710">
        <v>0</v>
      </c>
      <c r="O2710">
        <v>-0.90663050000000001</v>
      </c>
      <c r="P2710">
        <v>-0.63574750000000002</v>
      </c>
      <c r="Q2710">
        <v>3.0314780000000002E-3</v>
      </c>
      <c r="R2710">
        <v>-0.77189140000000001</v>
      </c>
      <c r="S2710">
        <v>-2.770645</v>
      </c>
      <c r="T2710">
        <v>-0.35279729999999998</v>
      </c>
      <c r="U2710">
        <v>-1.622803</v>
      </c>
      <c r="V2710">
        <v>0.25101020000000002</v>
      </c>
      <c r="W2710">
        <v>1.545589E-2</v>
      </c>
      <c r="X2710">
        <v>0.96786110000000003</v>
      </c>
      <c r="Y2710">
        <v>0.56333949999999999</v>
      </c>
      <c r="Z2710">
        <v>0.11337170000000001</v>
      </c>
      <c r="AA2710">
        <v>0.81841030000000003</v>
      </c>
      <c r="AB2710">
        <v>18</v>
      </c>
      <c r="AC2710">
        <v>-8.5823999999999998</v>
      </c>
      <c r="AD2710">
        <v>-1.1082903543889999</v>
      </c>
      <c r="AE2710">
        <v>-4.8496999999999799</v>
      </c>
      <c r="AF2710">
        <v>5.6650041775900002</v>
      </c>
      <c r="AG2710">
        <v>-1.1082903543889999</v>
      </c>
      <c r="AH2710">
        <v>7.9166973360300501</v>
      </c>
      <c r="AI2710">
        <v>96.495059924497795</v>
      </c>
      <c r="AJ2710">
        <v>54.413373165701799</v>
      </c>
      <c r="AK2710">
        <v>9.7976873063008707</v>
      </c>
      <c r="AL2710">
        <v>89.114407523387897</v>
      </c>
      <c r="AM2710">
        <v>75.460927247954999</v>
      </c>
      <c r="AN2710">
        <v>1.00000005696646</v>
      </c>
    </row>
    <row r="2711" spans="1:40" x14ac:dyDescent="0.25">
      <c r="A2711" t="str">
        <f>"20190312150715658"</f>
        <v>20190312150715658</v>
      </c>
      <c r="B2711" t="str">
        <f>"1552374435652761"</f>
        <v>1552374435652761</v>
      </c>
      <c r="C2711" t="s">
        <v>40</v>
      </c>
      <c r="D2711">
        <v>4.7092939999999999</v>
      </c>
      <c r="E2711">
        <v>0.64085139999999996</v>
      </c>
      <c r="F2711" t="s">
        <v>61</v>
      </c>
      <c r="G2711">
        <v>-203.85980000000001</v>
      </c>
      <c r="H2711" s="1">
        <v>3.7233079999999998E-6</v>
      </c>
      <c r="I2711">
        <v>286.96530000000001</v>
      </c>
      <c r="J2711">
        <v>-195.21729999999999</v>
      </c>
      <c r="K2711">
        <v>1.108193</v>
      </c>
      <c r="L2711">
        <v>291.77080000000001</v>
      </c>
      <c r="M2711">
        <v>-0.42602499999999999</v>
      </c>
      <c r="N2711">
        <v>0</v>
      </c>
      <c r="O2711">
        <v>-0.90459840000000002</v>
      </c>
      <c r="P2711">
        <v>-0.64179529999999996</v>
      </c>
      <c r="Q2711">
        <v>2.5675559999999999E-3</v>
      </c>
      <c r="R2711">
        <v>-0.76687190000000005</v>
      </c>
      <c r="S2711">
        <v>-2.7884370000000001</v>
      </c>
      <c r="T2711">
        <v>-0.35394360000000002</v>
      </c>
      <c r="U2711">
        <v>-1.5913389999999901</v>
      </c>
      <c r="V2711">
        <v>0.25397819999999999</v>
      </c>
      <c r="W2711">
        <v>1.490854E-2</v>
      </c>
      <c r="X2711">
        <v>0.96709500000000004</v>
      </c>
      <c r="Y2711">
        <v>0.56854490000000002</v>
      </c>
      <c r="Z2711">
        <v>0.1138381</v>
      </c>
      <c r="AA2711">
        <v>0.81473769999999901</v>
      </c>
      <c r="AB2711">
        <v>18</v>
      </c>
      <c r="AC2711">
        <v>-8.6425000000000107</v>
      </c>
      <c r="AD2711">
        <v>-1.1081892766920001</v>
      </c>
      <c r="AE2711">
        <v>-4.8054999999999897</v>
      </c>
      <c r="AF2711">
        <v>5.6997358781914098</v>
      </c>
      <c r="AG2711">
        <v>-1.1081892766920001</v>
      </c>
      <c r="AH2711">
        <v>7.9301946956560103</v>
      </c>
      <c r="AI2711">
        <v>96.473894635658098</v>
      </c>
      <c r="AJ2711">
        <v>54.293744785854201</v>
      </c>
      <c r="AK2711">
        <v>9.8286855919358995</v>
      </c>
      <c r="AL2711">
        <v>89.145771903156799</v>
      </c>
      <c r="AM2711">
        <v>75.285280031593899</v>
      </c>
      <c r="AN2711">
        <v>0.99999996483258502</v>
      </c>
    </row>
    <row r="2712" spans="1:40" x14ac:dyDescent="0.25">
      <c r="A2712" t="str">
        <f>"20190312150715680"</f>
        <v>20190312150715680</v>
      </c>
      <c r="B2712" t="str">
        <f>"1552374435673257"</f>
        <v>1552374435673257</v>
      </c>
      <c r="C2712" t="s">
        <v>40</v>
      </c>
      <c r="D2712">
        <v>4.7323930000000001</v>
      </c>
      <c r="E2712">
        <v>0.64077600000000001</v>
      </c>
      <c r="F2712" t="s">
        <v>61</v>
      </c>
      <c r="G2712">
        <v>-203.99170000000001</v>
      </c>
      <c r="H2712" s="1">
        <v>3.7914939999999999E-6</v>
      </c>
      <c r="I2712">
        <v>286.8544</v>
      </c>
      <c r="J2712">
        <v>-195.2987</v>
      </c>
      <c r="K2712">
        <v>1.108112</v>
      </c>
      <c r="L2712">
        <v>291.6105</v>
      </c>
      <c r="M2712">
        <v>-0.43010599999999999</v>
      </c>
      <c r="N2712">
        <v>0</v>
      </c>
      <c r="O2712">
        <v>-0.90266519999999995</v>
      </c>
      <c r="P2712">
        <v>-0.64813639999999995</v>
      </c>
      <c r="Q2712">
        <v>2.59049E-3</v>
      </c>
      <c r="R2712">
        <v>-0.76152039999999999</v>
      </c>
      <c r="S2712">
        <v>-2.800751</v>
      </c>
      <c r="T2712">
        <v>-0.3537303</v>
      </c>
      <c r="U2712">
        <v>-1.5693049999999999</v>
      </c>
      <c r="V2712">
        <v>0.25763720000000001</v>
      </c>
      <c r="W2712">
        <v>1.485037E-2</v>
      </c>
      <c r="X2712">
        <v>0.96612759999999998</v>
      </c>
      <c r="Y2712">
        <v>0.5712488</v>
      </c>
      <c r="Z2712">
        <v>0.11379019999999999</v>
      </c>
      <c r="AA2712">
        <v>0.81285099999999999</v>
      </c>
      <c r="AB2712">
        <v>18</v>
      </c>
      <c r="AC2712">
        <v>-8.6930000000000103</v>
      </c>
      <c r="AD2712">
        <v>-1.1081082085059999</v>
      </c>
      <c r="AE2712">
        <v>-4.7561</v>
      </c>
      <c r="AF2712">
        <v>5.7301753406969302</v>
      </c>
      <c r="AG2712">
        <v>-1.1081082085059999</v>
      </c>
      <c r="AH2712">
        <v>7.93368323693291</v>
      </c>
      <c r="AI2712">
        <v>96.459898360296194</v>
      </c>
      <c r="AJ2712">
        <v>54.1609564202166</v>
      </c>
      <c r="AK2712">
        <v>9.8491696574320393</v>
      </c>
      <c r="AL2712">
        <v>89.149105197617203</v>
      </c>
      <c r="AM2712">
        <v>75.068407122996803</v>
      </c>
      <c r="AN2712">
        <v>0.99999999989736799</v>
      </c>
    </row>
    <row r="2713" spans="1:40" x14ac:dyDescent="0.25">
      <c r="A2713" t="str">
        <f>"20190312150715700"</f>
        <v>20190312150715700</v>
      </c>
      <c r="B2713" t="str">
        <f>"1552374435692778"</f>
        <v>1552374435692778</v>
      </c>
      <c r="C2713" t="s">
        <v>40</v>
      </c>
      <c r="D2713">
        <v>4.7331570000000003</v>
      </c>
      <c r="E2713">
        <v>0.64067759999999996</v>
      </c>
      <c r="F2713" t="s">
        <v>61</v>
      </c>
      <c r="G2713">
        <v>-204.12020000000001</v>
      </c>
      <c r="H2713" s="1">
        <v>3.8566350000000004E-6</v>
      </c>
      <c r="I2713">
        <v>286.76100000000002</v>
      </c>
      <c r="J2713">
        <v>-195.37799999999999</v>
      </c>
      <c r="K2713">
        <v>1.1080319999999999</v>
      </c>
      <c r="L2713">
        <v>291.45650000000001</v>
      </c>
      <c r="M2713">
        <v>-0.43419160000000001</v>
      </c>
      <c r="N2713">
        <v>0</v>
      </c>
      <c r="O2713">
        <v>-0.90070699999999904</v>
      </c>
      <c r="P2713">
        <v>-0.65446959999999998</v>
      </c>
      <c r="Q2713">
        <v>3.1792220000000002E-3</v>
      </c>
      <c r="R2713">
        <v>-0.75608180000000003</v>
      </c>
      <c r="S2713">
        <v>-2.8130489999999999</v>
      </c>
      <c r="T2713">
        <v>-0.3533599</v>
      </c>
      <c r="U2713">
        <v>-1.546448</v>
      </c>
      <c r="V2713">
        <v>0.26132939999999999</v>
      </c>
      <c r="W2713">
        <v>1.535767E-2</v>
      </c>
      <c r="X2713">
        <v>0.96512750000000003</v>
      </c>
      <c r="Y2713">
        <v>0.57411899999999905</v>
      </c>
      <c r="Z2713">
        <v>0.113704399999999</v>
      </c>
      <c r="AA2713">
        <v>0.81083830000000001</v>
      </c>
      <c r="AB2713">
        <v>18</v>
      </c>
      <c r="AC2713">
        <v>-8.74220000000002</v>
      </c>
      <c r="AD2713">
        <v>-1.1080281433650001</v>
      </c>
      <c r="AE2713">
        <v>-4.6955000000000302</v>
      </c>
      <c r="AF2713">
        <v>5.76414624295849</v>
      </c>
      <c r="AG2713">
        <v>-1.1080281433650001</v>
      </c>
      <c r="AH2713">
        <v>7.9270495786176101</v>
      </c>
      <c r="AI2713">
        <v>96.449918806777006</v>
      </c>
      <c r="AJ2713">
        <v>53.977263184195102</v>
      </c>
      <c r="AK2713">
        <v>9.8636313444168806</v>
      </c>
      <c r="AL2713">
        <v>89.120035734446304</v>
      </c>
      <c r="AM2713">
        <v>74.849211712733194</v>
      </c>
      <c r="AN2713">
        <v>1.0000000022942099</v>
      </c>
    </row>
    <row r="2714" spans="1:40" x14ac:dyDescent="0.25">
      <c r="A2714" t="str">
        <f>"20190312150715723"</f>
        <v>20190312150715723</v>
      </c>
      <c r="B2714" t="str">
        <f>"1552374435713273"</f>
        <v>1552374435713273</v>
      </c>
      <c r="C2714" t="s">
        <v>40</v>
      </c>
      <c r="D2714">
        <v>4.7384589999999998</v>
      </c>
      <c r="E2714">
        <v>0.64053059999999995</v>
      </c>
      <c r="F2714" t="s">
        <v>61</v>
      </c>
      <c r="G2714">
        <v>-204.26859999999999</v>
      </c>
      <c r="H2714" s="1">
        <v>3.9311710000000004E-6</v>
      </c>
      <c r="I2714">
        <v>286.66120000000001</v>
      </c>
      <c r="J2714">
        <v>-195.464</v>
      </c>
      <c r="K2714">
        <v>1.107942</v>
      </c>
      <c r="L2714">
        <v>291.2919</v>
      </c>
      <c r="M2714">
        <v>-0.43873649999999997</v>
      </c>
      <c r="N2714">
        <v>0</v>
      </c>
      <c r="O2714">
        <v>-0.89850160000000001</v>
      </c>
      <c r="P2714">
        <v>-0.66106919999999902</v>
      </c>
      <c r="Q2714">
        <v>3.840521E-3</v>
      </c>
      <c r="R2714">
        <v>-0.75031539999999997</v>
      </c>
      <c r="S2714">
        <v>-2.8251949999999999</v>
      </c>
      <c r="T2714">
        <v>-0.35210320000000001</v>
      </c>
      <c r="U2714">
        <v>-1.5238339999999999</v>
      </c>
      <c r="V2714">
        <v>0.26491740000000003</v>
      </c>
      <c r="W2714">
        <v>1.5932189999999999E-2</v>
      </c>
      <c r="X2714">
        <v>0.96413950000000004</v>
      </c>
      <c r="Y2714">
        <v>0.57651929999999996</v>
      </c>
      <c r="Z2714">
        <v>0.11330519999999999</v>
      </c>
      <c r="AA2714">
        <v>0.80918939999999995</v>
      </c>
      <c r="AB2714">
        <v>18</v>
      </c>
      <c r="AC2714">
        <v>-8.8045999999999598</v>
      </c>
      <c r="AD2714">
        <v>-1.1079380688289999</v>
      </c>
      <c r="AE2714">
        <v>-4.6306999999999903</v>
      </c>
      <c r="AF2714">
        <v>5.8078542348699997</v>
      </c>
      <c r="AG2714">
        <v>-1.1079380688289999</v>
      </c>
      <c r="AH2714">
        <v>7.9261007519853903</v>
      </c>
      <c r="AI2714">
        <v>96.433125892330807</v>
      </c>
      <c r="AJ2714">
        <v>53.767884233794597</v>
      </c>
      <c r="AK2714">
        <v>9.8884665498994995</v>
      </c>
      <c r="AL2714">
        <v>89.087114149258099</v>
      </c>
      <c r="AM2714">
        <v>74.635957351735698</v>
      </c>
      <c r="AN2714">
        <v>1.0000000194806</v>
      </c>
    </row>
    <row r="2715" spans="1:40" x14ac:dyDescent="0.25">
      <c r="A2715" t="str">
        <f>"20190312150715746"</f>
        <v>20190312150715746</v>
      </c>
      <c r="B2715" t="str">
        <f>"1552374435742554"</f>
        <v>1552374435742554</v>
      </c>
      <c r="C2715" t="s">
        <v>40</v>
      </c>
      <c r="D2715">
        <v>4.7197180000000003</v>
      </c>
      <c r="E2715">
        <v>0.64020900000000003</v>
      </c>
      <c r="F2715" t="s">
        <v>61</v>
      </c>
      <c r="G2715">
        <v>-204.44640000000001</v>
      </c>
      <c r="H2715" s="1">
        <v>4.0203189999999998E-6</v>
      </c>
      <c r="I2715">
        <v>286.54349999999999</v>
      </c>
      <c r="J2715">
        <v>-195.54990000000001</v>
      </c>
      <c r="K2715">
        <v>1.1078490000000001</v>
      </c>
      <c r="L2715">
        <v>291.12990000000002</v>
      </c>
      <c r="M2715">
        <v>-0.44340370000000001</v>
      </c>
      <c r="N2715">
        <v>0</v>
      </c>
      <c r="O2715">
        <v>-0.89620750000000005</v>
      </c>
      <c r="P2715">
        <v>-0.66758530000000005</v>
      </c>
      <c r="Q2715">
        <v>3.9546370000000004E-3</v>
      </c>
      <c r="R2715">
        <v>-0.74452320000000005</v>
      </c>
      <c r="S2715">
        <v>-2.8375849999999998</v>
      </c>
      <c r="T2715">
        <v>-0.35000120000000001</v>
      </c>
      <c r="U2715">
        <v>-1.5000610000000001</v>
      </c>
      <c r="V2715">
        <v>0.26831189999999999</v>
      </c>
      <c r="W2715">
        <v>1.595746E-2</v>
      </c>
      <c r="X2715">
        <v>0.9631999</v>
      </c>
      <c r="Y2715">
        <v>0.57910930000000005</v>
      </c>
      <c r="Z2715">
        <v>0.1126433</v>
      </c>
      <c r="AA2715">
        <v>0.80743039999999999</v>
      </c>
      <c r="AB2715">
        <v>18</v>
      </c>
      <c r="AC2715">
        <v>-8.8964999999999996</v>
      </c>
      <c r="AD2715">
        <v>-1.1078449796809999</v>
      </c>
      <c r="AE2715">
        <v>-4.5864000000000198</v>
      </c>
      <c r="AF2715">
        <v>5.8682027477029903</v>
      </c>
      <c r="AG2715">
        <v>-1.1078449796809999</v>
      </c>
      <c r="AH2715">
        <v>7.9584366598703902</v>
      </c>
      <c r="AI2715">
        <v>96.3927221726467</v>
      </c>
      <c r="AJ2715">
        <v>53.596561722876501</v>
      </c>
      <c r="AK2715">
        <v>9.9498662330868708</v>
      </c>
      <c r="AL2715">
        <v>89.085666066383496</v>
      </c>
      <c r="AM2715">
        <v>74.434127767341593</v>
      </c>
      <c r="AN2715">
        <v>0.99999998178563498</v>
      </c>
    </row>
    <row r="2716" spans="1:40" x14ac:dyDescent="0.25">
      <c r="A2716" t="str">
        <f>"20190312150715767"</f>
        <v>20190312150715767</v>
      </c>
      <c r="B2716" t="str">
        <f>"1552374435763049"</f>
        <v>1552374435763049</v>
      </c>
      <c r="C2716" t="s">
        <v>40</v>
      </c>
      <c r="D2716">
        <v>4.8924139999999996</v>
      </c>
      <c r="E2716">
        <v>0.640011</v>
      </c>
      <c r="F2716" t="s">
        <v>61</v>
      </c>
      <c r="G2716">
        <v>-204.58009999999999</v>
      </c>
      <c r="H2716" s="1">
        <v>4.0881720000000002E-6</v>
      </c>
      <c r="I2716">
        <v>286.44560000000001</v>
      </c>
      <c r="J2716">
        <v>-195.63669999999999</v>
      </c>
      <c r="K2716">
        <v>1.1077619999999999</v>
      </c>
      <c r="L2716">
        <v>290.96899999999999</v>
      </c>
      <c r="M2716">
        <v>-0.44823049999999998</v>
      </c>
      <c r="N2716">
        <v>0</v>
      </c>
      <c r="O2716">
        <v>-0.89380309999999896</v>
      </c>
      <c r="P2716">
        <v>-0.6739444</v>
      </c>
      <c r="Q2716">
        <v>4.6560739999999996E-3</v>
      </c>
      <c r="R2716">
        <v>-0.73876779999999997</v>
      </c>
      <c r="S2716">
        <v>-2.8481290000000001</v>
      </c>
      <c r="T2716">
        <v>-0.349414</v>
      </c>
      <c r="U2716">
        <v>-1.4774480000000001</v>
      </c>
      <c r="V2716">
        <v>0.27138559999999901</v>
      </c>
      <c r="W2716">
        <v>1.657202E-2</v>
      </c>
      <c r="X2716">
        <v>0.96232799999999996</v>
      </c>
      <c r="Y2716">
        <v>0.58101389999999997</v>
      </c>
      <c r="Z2716">
        <v>0.112467899999999</v>
      </c>
      <c r="AA2716">
        <v>0.80608550000000001</v>
      </c>
      <c r="AB2716">
        <v>18</v>
      </c>
      <c r="AC2716">
        <v>-8.9433999999999898</v>
      </c>
      <c r="AD2716">
        <v>-1.1077579118279901</v>
      </c>
      <c r="AE2716">
        <v>-4.5233999999999801</v>
      </c>
      <c r="AF2716">
        <v>5.8947109642472402</v>
      </c>
      <c r="AG2716">
        <v>-1.1077579118279901</v>
      </c>
      <c r="AH2716">
        <v>7.95537126020667</v>
      </c>
      <c r="AI2716">
        <v>96.383713796526706</v>
      </c>
      <c r="AJ2716">
        <v>53.462573094953399</v>
      </c>
      <c r="AK2716">
        <v>9.9630656341788892</v>
      </c>
      <c r="AL2716">
        <v>89.050449708604702</v>
      </c>
      <c r="AM2716">
        <v>74.251045987571203</v>
      </c>
      <c r="AN2716">
        <v>0.99999997765911897</v>
      </c>
    </row>
    <row r="2717" spans="1:40" x14ac:dyDescent="0.25">
      <c r="A2717" t="str">
        <f>"20190312150715790"</f>
        <v>20190312150715790</v>
      </c>
      <c r="B2717" t="str">
        <f>"1552374435782569"</f>
        <v>1552374435782569</v>
      </c>
      <c r="C2717" t="s">
        <v>40</v>
      </c>
      <c r="D2717">
        <v>4.7102510000000004</v>
      </c>
      <c r="E2717">
        <v>0.63968829999999999</v>
      </c>
      <c r="F2717" t="s">
        <v>61</v>
      </c>
      <c r="G2717">
        <v>-204.74789999999999</v>
      </c>
      <c r="H2717" s="1">
        <v>4.1721710000000003E-6</v>
      </c>
      <c r="I2717">
        <v>286.33580000000001</v>
      </c>
      <c r="J2717">
        <v>-195.72319999999999</v>
      </c>
      <c r="K2717">
        <v>1.1076870000000001</v>
      </c>
      <c r="L2717">
        <v>290.81099999999998</v>
      </c>
      <c r="M2717">
        <v>-0.4531133</v>
      </c>
      <c r="N2717">
        <v>0</v>
      </c>
      <c r="O2717">
        <v>-0.8913373</v>
      </c>
      <c r="P2717">
        <v>-0.68028029999999995</v>
      </c>
      <c r="Q2717">
        <v>5.5605680000000001E-3</v>
      </c>
      <c r="R2717">
        <v>-0.73293109999999995</v>
      </c>
      <c r="S2717">
        <v>-2.8597410000000001</v>
      </c>
      <c r="T2717">
        <v>-0.34769240000000001</v>
      </c>
      <c r="U2717">
        <v>-1.454224</v>
      </c>
      <c r="V2717">
        <v>0.27441890000000002</v>
      </c>
      <c r="W2717">
        <v>1.7398259999999999E-2</v>
      </c>
      <c r="X2717">
        <v>0.9614528</v>
      </c>
      <c r="Y2717">
        <v>0.58315669999999897</v>
      </c>
      <c r="Z2717">
        <v>0.1119054</v>
      </c>
      <c r="AA2717">
        <v>0.80461510000000003</v>
      </c>
      <c r="AB2717">
        <v>18</v>
      </c>
      <c r="AC2717">
        <v>-9.0246999999999904</v>
      </c>
      <c r="AD2717">
        <v>-1.1076828278290001</v>
      </c>
      <c r="AE2717">
        <v>-4.4751999999999699</v>
      </c>
      <c r="AF2717">
        <v>5.9450148895422501</v>
      </c>
      <c r="AG2717">
        <v>-1.1076828278290001</v>
      </c>
      <c r="AH2717">
        <v>7.9824370540665797</v>
      </c>
      <c r="AI2717">
        <v>96.350383296642306</v>
      </c>
      <c r="AJ2717">
        <v>53.322663689034798</v>
      </c>
      <c r="AK2717">
        <v>10.014462771715699</v>
      </c>
      <c r="AL2717">
        <v>89.003102792943693</v>
      </c>
      <c r="AM2717">
        <v>74.070136678277905</v>
      </c>
      <c r="AN2717">
        <v>0.99999995937803798</v>
      </c>
    </row>
    <row r="2718" spans="1:40" x14ac:dyDescent="0.25">
      <c r="A2718" t="str">
        <f>"20190312150715812"</f>
        <v>20190312150715812</v>
      </c>
      <c r="B2718" t="str">
        <f>"1552374435803066"</f>
        <v>1552374435803066</v>
      </c>
      <c r="C2718" t="s">
        <v>40</v>
      </c>
      <c r="D2718">
        <v>4.7116239999999996</v>
      </c>
      <c r="E2718">
        <v>0.63938209999999995</v>
      </c>
      <c r="F2718" t="s">
        <v>61</v>
      </c>
      <c r="G2718">
        <v>-204.92500000000001</v>
      </c>
      <c r="H2718" s="1">
        <v>4.2607380000000003E-6</v>
      </c>
      <c r="I2718">
        <v>286.22109999999998</v>
      </c>
      <c r="J2718">
        <v>-195.8143</v>
      </c>
      <c r="K2718">
        <v>1.107623</v>
      </c>
      <c r="L2718">
        <v>290.64729999999997</v>
      </c>
      <c r="M2718">
        <v>-0.45833040000000003</v>
      </c>
      <c r="N2718">
        <v>0</v>
      </c>
      <c r="O2718">
        <v>-0.888665699999999</v>
      </c>
      <c r="P2718">
        <v>-0.68692169999999997</v>
      </c>
      <c r="Q2718">
        <v>6.5032689999999999E-3</v>
      </c>
      <c r="R2718">
        <v>-0.72670230000000002</v>
      </c>
      <c r="S2718">
        <v>-2.8702700000000001</v>
      </c>
      <c r="T2718">
        <v>-0.34551419999999999</v>
      </c>
      <c r="U2718">
        <v>-1.431702</v>
      </c>
      <c r="V2718">
        <v>0.27754489999999998</v>
      </c>
      <c r="W2718">
        <v>1.8267390000000001E-2</v>
      </c>
      <c r="X2718">
        <v>0.96053900000000003</v>
      </c>
      <c r="Y2718">
        <v>0.58471850000000003</v>
      </c>
      <c r="Z2718">
        <v>0.1111843</v>
      </c>
      <c r="AA2718">
        <v>0.80358090000000004</v>
      </c>
      <c r="AB2718">
        <v>18</v>
      </c>
      <c r="AC2718">
        <v>-9.1106999999999996</v>
      </c>
      <c r="AD2718">
        <v>-1.1076187392620001</v>
      </c>
      <c r="AE2718">
        <v>-4.4261999999999899</v>
      </c>
      <c r="AF2718">
        <v>5.9966250323549</v>
      </c>
      <c r="AG2718">
        <v>-1.1076187392620001</v>
      </c>
      <c r="AH2718">
        <v>8.0141293530613797</v>
      </c>
      <c r="AI2718">
        <v>96.314609667657095</v>
      </c>
      <c r="AJ2718">
        <v>53.194085810496802</v>
      </c>
      <c r="AK2718">
        <v>10.0703823332498</v>
      </c>
      <c r="AL2718">
        <v>88.953297451810897</v>
      </c>
      <c r="AM2718">
        <v>73.883506692172404</v>
      </c>
      <c r="AN2718">
        <v>1.0000000197872101</v>
      </c>
    </row>
    <row r="2719" spans="1:40" x14ac:dyDescent="0.25">
      <c r="A2719" t="str">
        <f>"20190312150715835"</f>
        <v>20190312150715835</v>
      </c>
      <c r="B2719" t="str">
        <f>"1552374435822585"</f>
        <v>1552374435822585</v>
      </c>
      <c r="C2719" t="s">
        <v>40</v>
      </c>
      <c r="D2719">
        <v>4.7085290000000004</v>
      </c>
      <c r="E2719">
        <v>0.63904689999999997</v>
      </c>
      <c r="F2719" t="s">
        <v>61</v>
      </c>
      <c r="G2719">
        <v>-205.1147</v>
      </c>
      <c r="H2719" s="1">
        <v>4.3551349999999999E-6</v>
      </c>
      <c r="I2719">
        <v>286.1037</v>
      </c>
      <c r="J2719">
        <v>-195.90360000000001</v>
      </c>
      <c r="K2719">
        <v>1.107567</v>
      </c>
      <c r="L2719">
        <v>290.48939999999999</v>
      </c>
      <c r="M2719">
        <v>-0.46352959999999899</v>
      </c>
      <c r="N2719">
        <v>0</v>
      </c>
      <c r="O2719">
        <v>-0.88596489999999894</v>
      </c>
      <c r="P2719">
        <v>-0.69280799999999998</v>
      </c>
      <c r="Q2719">
        <v>7.7491640000000002E-3</v>
      </c>
      <c r="R2719">
        <v>-0.72108039999999995</v>
      </c>
      <c r="S2719">
        <v>-2.8813930000000001</v>
      </c>
      <c r="T2719">
        <v>-0.34315440000000003</v>
      </c>
      <c r="U2719">
        <v>-1.407654</v>
      </c>
      <c r="V2719">
        <v>0.27974490000000002</v>
      </c>
      <c r="W2719">
        <v>1.94526E-2</v>
      </c>
      <c r="X2719">
        <v>0.95987730000000004</v>
      </c>
      <c r="Y2719">
        <v>0.58669700000000002</v>
      </c>
      <c r="Z2719">
        <v>0.11041529999999999</v>
      </c>
      <c r="AA2719">
        <v>0.80224379999999995</v>
      </c>
      <c r="AB2719">
        <v>18</v>
      </c>
      <c r="AC2719">
        <v>-9.2110999999999805</v>
      </c>
      <c r="AD2719">
        <v>-1.107562644865</v>
      </c>
      <c r="AE2719">
        <v>-4.3856999999999804</v>
      </c>
      <c r="AF2719">
        <v>6.0570525685390502</v>
      </c>
      <c r="AG2719">
        <v>-1.107562644865</v>
      </c>
      <c r="AH2719">
        <v>8.0610268845833097</v>
      </c>
      <c r="AI2719">
        <v>96.268463250266805</v>
      </c>
      <c r="AJ2719">
        <v>53.078813601093998</v>
      </c>
      <c r="AK2719">
        <v>10.143704218101</v>
      </c>
      <c r="AL2719">
        <v>88.885377840123397</v>
      </c>
      <c r="AM2719">
        <v>73.751860627931293</v>
      </c>
      <c r="AN2719">
        <v>1.0000000218890299</v>
      </c>
    </row>
    <row r="2720" spans="1:40" x14ac:dyDescent="0.25">
      <c r="A2720" t="str">
        <f>"20190312150715858"</f>
        <v>20190312150715858</v>
      </c>
      <c r="B2720" t="str">
        <f>"1552374435852841"</f>
        <v>1552374435852841</v>
      </c>
      <c r="C2720" t="s">
        <v>40</v>
      </c>
      <c r="D2720">
        <v>4.758832</v>
      </c>
      <c r="E2720">
        <v>0.63868419999999904</v>
      </c>
      <c r="F2720" t="s">
        <v>61</v>
      </c>
      <c r="G2720">
        <v>-205.35069999999999</v>
      </c>
      <c r="H2720" s="1">
        <v>4.472447E-6</v>
      </c>
      <c r="I2720">
        <v>285.95870000000002</v>
      </c>
      <c r="J2720">
        <v>-196.00059999999999</v>
      </c>
      <c r="K2720">
        <v>1.107494</v>
      </c>
      <c r="L2720">
        <v>290.32060000000001</v>
      </c>
      <c r="M2720">
        <v>-0.46927780000000002</v>
      </c>
      <c r="N2720">
        <v>0</v>
      </c>
      <c r="O2720">
        <v>-0.88293319999999997</v>
      </c>
      <c r="P2720">
        <v>-0.69926940000000004</v>
      </c>
      <c r="Q2720">
        <v>8.4922680000000007E-3</v>
      </c>
      <c r="R2720">
        <v>-0.71480769999999905</v>
      </c>
      <c r="S2720">
        <v>-2.89093</v>
      </c>
      <c r="T2720">
        <v>-0.33892810000000001</v>
      </c>
      <c r="U2720">
        <v>-1.386444</v>
      </c>
      <c r="V2720">
        <v>0.28215800000000002</v>
      </c>
      <c r="W2720">
        <v>2.0126720000000001E-2</v>
      </c>
      <c r="X2720">
        <v>0.95915680000000003</v>
      </c>
      <c r="Y2720">
        <v>0.58741659999999996</v>
      </c>
      <c r="Z2720">
        <v>0.1089933</v>
      </c>
      <c r="AA2720">
        <v>0.80191159999999995</v>
      </c>
      <c r="AB2720">
        <v>18</v>
      </c>
      <c r="AC2720">
        <v>-9.3500999999999905</v>
      </c>
      <c r="AD2720">
        <v>-1.1074895275529999</v>
      </c>
      <c r="AE2720">
        <v>-4.3618999999999897</v>
      </c>
      <c r="AF2720">
        <v>6.1384863183672698</v>
      </c>
      <c r="AG2720">
        <v>-1.1074895275529999</v>
      </c>
      <c r="AH2720">
        <v>8.1460552316830306</v>
      </c>
      <c r="AI2720">
        <v>96.196774593801194</v>
      </c>
      <c r="AJ2720">
        <v>53.000029580828397</v>
      </c>
      <c r="AK2720">
        <v>10.259910485576899</v>
      </c>
      <c r="AL2720">
        <v>88.846746012211597</v>
      </c>
      <c r="AM2720">
        <v>73.607542559166703</v>
      </c>
      <c r="AN2720">
        <v>0.99999999440409904</v>
      </c>
    </row>
    <row r="2721" spans="1:40" x14ac:dyDescent="0.25">
      <c r="A2721" t="str">
        <f>"20190312150715880"</f>
        <v>20190312150715880</v>
      </c>
      <c r="B2721" t="str">
        <f>"1552374435873337"</f>
        <v>1552374435873337</v>
      </c>
      <c r="C2721" t="s">
        <v>40</v>
      </c>
      <c r="D2721">
        <v>4.7254290000000001</v>
      </c>
      <c r="E2721">
        <v>0.62205459999999901</v>
      </c>
      <c r="F2721" t="s">
        <v>61</v>
      </c>
      <c r="G2721">
        <v>-205.48670000000001</v>
      </c>
      <c r="H2721" s="1">
        <v>4.5410399999999996E-6</v>
      </c>
      <c r="I2721">
        <v>285.86419999999998</v>
      </c>
      <c r="J2721">
        <v>-196.08789999999999</v>
      </c>
      <c r="K2721">
        <v>1.1074120000000001</v>
      </c>
      <c r="L2721">
        <v>290.1712</v>
      </c>
      <c r="M2721">
        <v>-0.4745394</v>
      </c>
      <c r="N2721">
        <v>0</v>
      </c>
      <c r="O2721">
        <v>-0.88011649999999997</v>
      </c>
      <c r="P2721">
        <v>-0.704959</v>
      </c>
      <c r="Q2721">
        <v>8.0493639999999998E-3</v>
      </c>
      <c r="R2721">
        <v>-0.70920300000000003</v>
      </c>
      <c r="S2721">
        <v>-2.9011079999999998</v>
      </c>
      <c r="T2721">
        <v>-0.33869860000000002</v>
      </c>
      <c r="U2721">
        <v>-1.3628849999999999</v>
      </c>
      <c r="V2721">
        <v>0.28409499999999999</v>
      </c>
      <c r="W2721">
        <v>1.9618980000000001E-2</v>
      </c>
      <c r="X2721">
        <v>0.95859539999999999</v>
      </c>
      <c r="Y2721">
        <v>0.58902449999999995</v>
      </c>
      <c r="Z2721">
        <v>0.108892</v>
      </c>
      <c r="AA2721">
        <v>0.80074509999999999</v>
      </c>
      <c r="AB2721">
        <v>18</v>
      </c>
      <c r="AC2721">
        <v>-9.3988000000000191</v>
      </c>
      <c r="AD2721">
        <v>-1.10740745896</v>
      </c>
      <c r="AE2721">
        <v>-4.3070000000000102</v>
      </c>
      <c r="AF2721">
        <v>6.1581888701746799</v>
      </c>
      <c r="AG2721">
        <v>-1.10740745896</v>
      </c>
      <c r="AH2721">
        <v>8.15801887118816</v>
      </c>
      <c r="AI2721">
        <v>96.183437348065496</v>
      </c>
      <c r="AJ2721">
        <v>52.952185243937699</v>
      </c>
      <c r="AK2721">
        <v>10.2811922141143</v>
      </c>
      <c r="AL2721">
        <v>88.875843132338801</v>
      </c>
      <c r="AM2721">
        <v>73.491971911178396</v>
      </c>
      <c r="AN2721">
        <v>1.0000000071512001</v>
      </c>
    </row>
    <row r="2722" spans="1:40" x14ac:dyDescent="0.25">
      <c r="A2722" t="str">
        <f>"20190312150715902"</f>
        <v>20190312150715902</v>
      </c>
      <c r="B2722" t="str">
        <f>"1552374435892858"</f>
        <v>1552374435892858</v>
      </c>
      <c r="C2722" t="s">
        <v>40</v>
      </c>
      <c r="D2722">
        <v>4.7221729999999997</v>
      </c>
      <c r="E2722">
        <v>0.62187819999999905</v>
      </c>
      <c r="F2722" t="s">
        <v>61</v>
      </c>
      <c r="G2722">
        <v>-204.58269999999999</v>
      </c>
      <c r="H2722" s="1">
        <v>4.1410239999999996E-6</v>
      </c>
      <c r="I2722">
        <v>285.85390000000001</v>
      </c>
      <c r="J2722">
        <v>-196.17930000000001</v>
      </c>
      <c r="K2722">
        <v>1.107332</v>
      </c>
      <c r="L2722">
        <v>290.01760000000002</v>
      </c>
      <c r="M2722">
        <v>-0.480124</v>
      </c>
      <c r="N2722">
        <v>0</v>
      </c>
      <c r="O2722">
        <v>-0.87708189999999997</v>
      </c>
      <c r="P2722">
        <v>-0.71128259999999999</v>
      </c>
      <c r="Q2722">
        <v>8.1354619999999996E-3</v>
      </c>
      <c r="R2722">
        <v>-0.70285929999999996</v>
      </c>
      <c r="S2722">
        <v>-2.8186040000000001</v>
      </c>
      <c r="T2722">
        <v>-0.3674443</v>
      </c>
      <c r="U2722">
        <v>-1.432526</v>
      </c>
      <c r="V2722">
        <v>0.28659299999999999</v>
      </c>
      <c r="W2722">
        <v>1.962185E-2</v>
      </c>
      <c r="X2722">
        <v>0.95785149999999997</v>
      </c>
      <c r="Y2722">
        <v>0.55755869999999996</v>
      </c>
      <c r="Z2722">
        <v>0.118335</v>
      </c>
      <c r="AA2722">
        <v>0.82165999999999995</v>
      </c>
      <c r="AB2722">
        <v>18</v>
      </c>
      <c r="AC2722">
        <v>-8.4033999999999693</v>
      </c>
      <c r="AD2722">
        <v>-1.1073278589760001</v>
      </c>
      <c r="AE2722">
        <v>-4.1637000000000004</v>
      </c>
      <c r="AF2722">
        <v>5.2980758475461904</v>
      </c>
      <c r="AG2722">
        <v>-1.1073278589760001</v>
      </c>
      <c r="AH2722">
        <v>7.5816830325334497</v>
      </c>
      <c r="AI2722">
        <v>96.826889913099805</v>
      </c>
      <c r="AJ2722">
        <v>55.054171680556799</v>
      </c>
      <c r="AK2722">
        <v>9.3154549153233699</v>
      </c>
      <c r="AL2722">
        <v>88.875678687877894</v>
      </c>
      <c r="AM2722">
        <v>73.342606627191699</v>
      </c>
      <c r="AN2722">
        <v>1.0000000303493299</v>
      </c>
    </row>
    <row r="2723" spans="1:40" x14ac:dyDescent="0.25">
      <c r="A2723" t="str">
        <f>"20190312150715925"</f>
        <v>20190312150715925</v>
      </c>
      <c r="B2723" t="str">
        <f>"1552374435913358"</f>
        <v>1552374435913358</v>
      </c>
      <c r="C2723" t="s">
        <v>40</v>
      </c>
      <c r="D2723">
        <v>4.7165780000000002</v>
      </c>
      <c r="E2723">
        <v>0.62192990000000004</v>
      </c>
      <c r="F2723" t="s">
        <v>61</v>
      </c>
      <c r="G2723">
        <v>-204.66480000000001</v>
      </c>
      <c r="H2723" s="1">
        <v>4.1826170000000002E-6</v>
      </c>
      <c r="I2723">
        <v>285.7946</v>
      </c>
      <c r="J2723">
        <v>-196.27430000000001</v>
      </c>
      <c r="K2723">
        <v>1.1072310000000001</v>
      </c>
      <c r="L2723">
        <v>289.86070000000001</v>
      </c>
      <c r="M2723">
        <v>-0.4860217</v>
      </c>
      <c r="N2723">
        <v>0</v>
      </c>
      <c r="O2723">
        <v>-0.87382749999999998</v>
      </c>
      <c r="P2723">
        <v>-0.71784569999999903</v>
      </c>
      <c r="Q2723">
        <v>9.0836960000000005E-3</v>
      </c>
      <c r="R2723">
        <v>-0.69614359999999997</v>
      </c>
      <c r="S2723">
        <v>-2.8301539999999998</v>
      </c>
      <c r="T2723">
        <v>-0.36932530000000002</v>
      </c>
      <c r="U2723">
        <v>-1.4085080000000001</v>
      </c>
      <c r="V2723">
        <v>0.2891454</v>
      </c>
      <c r="W2723">
        <v>2.0478550000000002E-2</v>
      </c>
      <c r="X2723">
        <v>0.95706610000000003</v>
      </c>
      <c r="Y2723">
        <v>0.55884509999999998</v>
      </c>
      <c r="Z2723">
        <v>0.1188348</v>
      </c>
      <c r="AA2723">
        <v>0.82071340000000004</v>
      </c>
      <c r="AB2723">
        <v>18</v>
      </c>
      <c r="AC2723">
        <v>-8.3904999999999994</v>
      </c>
      <c r="AD2723">
        <v>-1.10722681738299</v>
      </c>
      <c r="AE2723">
        <v>-4.0660999999999996</v>
      </c>
      <c r="AF2723">
        <v>5.2817114979721103</v>
      </c>
      <c r="AG2723">
        <v>-1.10722681738299</v>
      </c>
      <c r="AH2723">
        <v>7.5257018261835196</v>
      </c>
      <c r="AI2723">
        <v>96.866897233676397</v>
      </c>
      <c r="AJ2723">
        <v>54.937934599513298</v>
      </c>
      <c r="AK2723">
        <v>9.2605947729918991</v>
      </c>
      <c r="AL2723">
        <v>88.826583461051897</v>
      </c>
      <c r="AM2723">
        <v>73.189570303555897</v>
      </c>
      <c r="AN2723">
        <v>0.99999997656023598</v>
      </c>
    </row>
    <row r="2724" spans="1:40" x14ac:dyDescent="0.25">
      <c r="A2724" t="str">
        <f>"20190312150715945"</f>
        <v>20190312150715945</v>
      </c>
      <c r="B2724" t="str">
        <f>"1552374435942636"</f>
        <v>1552374435942636</v>
      </c>
      <c r="C2724" t="s">
        <v>40</v>
      </c>
      <c r="D2724">
        <v>4.8238830000000004</v>
      </c>
      <c r="E2724">
        <v>0.62216549999999904</v>
      </c>
      <c r="F2724" t="s">
        <v>61</v>
      </c>
      <c r="G2724">
        <v>-204.79679999999999</v>
      </c>
      <c r="H2724" s="1">
        <v>4.247594E-6</v>
      </c>
      <c r="I2724">
        <v>285.7208</v>
      </c>
      <c r="J2724">
        <v>-196.36410000000001</v>
      </c>
      <c r="K2724">
        <v>1.107135</v>
      </c>
      <c r="L2724">
        <v>289.71510000000001</v>
      </c>
      <c r="M2724">
        <v>-0.4916914</v>
      </c>
      <c r="N2724">
        <v>0</v>
      </c>
      <c r="O2724">
        <v>-0.87064940000000002</v>
      </c>
      <c r="P2724">
        <v>-0.72385679999999997</v>
      </c>
      <c r="Q2724">
        <v>9.7528210000000001E-3</v>
      </c>
      <c r="R2724">
        <v>-0.68988169999999904</v>
      </c>
      <c r="S2724">
        <v>-2.8440859999999999</v>
      </c>
      <c r="T2724">
        <v>-0.36949900000000002</v>
      </c>
      <c r="U2724">
        <v>-1.3815309999999901</v>
      </c>
      <c r="V2724">
        <v>0.29124090000000002</v>
      </c>
      <c r="W2724">
        <v>2.1063499999999999E-2</v>
      </c>
      <c r="X2724">
        <v>0.95641779999999998</v>
      </c>
      <c r="Y2724">
        <v>0.56135019999999902</v>
      </c>
      <c r="Z2724">
        <v>0.1187988</v>
      </c>
      <c r="AA2724">
        <v>0.81900729999999999</v>
      </c>
      <c r="AB2724">
        <v>18</v>
      </c>
      <c r="AC2724">
        <v>-8.4326999999999792</v>
      </c>
      <c r="AD2724">
        <v>-1.1071307524059999</v>
      </c>
      <c r="AE2724">
        <v>-3.9943</v>
      </c>
      <c r="AF2724">
        <v>5.3038547648247798</v>
      </c>
      <c r="AG2724">
        <v>-1.1071307524059999</v>
      </c>
      <c r="AH2724">
        <v>7.5188645385320001</v>
      </c>
      <c r="AI2724">
        <v>96.861022171021105</v>
      </c>
      <c r="AJ2724">
        <v>54.800614212177102</v>
      </c>
      <c r="AK2724">
        <v>9.2676824405064604</v>
      </c>
      <c r="AL2724">
        <v>88.793061054102495</v>
      </c>
      <c r="AM2724">
        <v>73.063867168925398</v>
      </c>
      <c r="AN2724">
        <v>0.99999997051094902</v>
      </c>
    </row>
    <row r="2725" spans="1:40" x14ac:dyDescent="0.25">
      <c r="A2725" t="str">
        <f>"20190312150715968"</f>
        <v>20190312150715968</v>
      </c>
      <c r="B2725" t="str">
        <f>"1552374435963129"</f>
        <v>1552374435963129</v>
      </c>
      <c r="C2725" t="s">
        <v>40</v>
      </c>
      <c r="D2725">
        <v>4.6185039999999997</v>
      </c>
      <c r="E2725">
        <v>0.65674030000000005</v>
      </c>
      <c r="F2725" t="s">
        <v>61</v>
      </c>
      <c r="G2725">
        <v>-204.91149999999999</v>
      </c>
      <c r="H2725" s="1">
        <v>4.3035899999999999E-6</v>
      </c>
      <c r="I2725">
        <v>285.66219999999998</v>
      </c>
      <c r="J2725">
        <v>-196.46039999999999</v>
      </c>
      <c r="K2725">
        <v>1.107048</v>
      </c>
      <c r="L2725">
        <v>289.56180000000001</v>
      </c>
      <c r="M2725">
        <v>-0.49784</v>
      </c>
      <c r="N2725">
        <v>0</v>
      </c>
      <c r="O2725">
        <v>-0.86714789999999997</v>
      </c>
      <c r="P2725">
        <v>-0.73064839999999998</v>
      </c>
      <c r="Q2725">
        <v>1.0789959999999999E-2</v>
      </c>
      <c r="R2725">
        <v>-0.68266899999999997</v>
      </c>
      <c r="S2725">
        <v>-2.8579249999999998</v>
      </c>
      <c r="T2725">
        <v>-0.37018200000000001</v>
      </c>
      <c r="U2725">
        <v>-1.3551329999999999</v>
      </c>
      <c r="V2725">
        <v>0.29395900000000003</v>
      </c>
      <c r="W2725">
        <v>2.2016959999999999E-2</v>
      </c>
      <c r="X2725">
        <v>0.95556439999999998</v>
      </c>
      <c r="Y2725">
        <v>0.56321269999999901</v>
      </c>
      <c r="Z2725">
        <v>0.1188652</v>
      </c>
      <c r="AA2725">
        <v>0.8177179</v>
      </c>
      <c r="AB2725">
        <v>18</v>
      </c>
      <c r="AC2725">
        <v>-8.4510999999999896</v>
      </c>
      <c r="AD2725">
        <v>-1.1070436964100001</v>
      </c>
      <c r="AE2725">
        <v>-3.8996000000000199</v>
      </c>
      <c r="AF2725">
        <v>5.3123865331422504</v>
      </c>
      <c r="AG2725">
        <v>-1.1070436964100001</v>
      </c>
      <c r="AH2725">
        <v>7.4837476806504997</v>
      </c>
      <c r="AI2725">
        <v>96.878062486684698</v>
      </c>
      <c r="AJ2725">
        <v>54.630716929450003</v>
      </c>
      <c r="AK2725">
        <v>9.2441049199429806</v>
      </c>
      <c r="AL2725">
        <v>88.738419152305099</v>
      </c>
      <c r="AM2725">
        <v>72.900602216877203</v>
      </c>
      <c r="AN2725">
        <v>0.99999998137799995</v>
      </c>
    </row>
    <row r="2726" spans="1:40" x14ac:dyDescent="0.25">
      <c r="A2726" t="str">
        <f>"20190312150715992"</f>
        <v>20190312150715992</v>
      </c>
      <c r="B2726" t="str">
        <f>"1552374435982650"</f>
        <v>1552374435982650</v>
      </c>
      <c r="C2726" t="s">
        <v>40</v>
      </c>
      <c r="D2726">
        <v>4.4604689999999998</v>
      </c>
      <c r="E2726">
        <v>0.6607229</v>
      </c>
      <c r="F2726" t="s">
        <v>61</v>
      </c>
      <c r="G2726">
        <v>-209.5367</v>
      </c>
      <c r="H2726" s="1">
        <v>6.4356359999999898E-6</v>
      </c>
      <c r="I2726">
        <v>284.7362</v>
      </c>
      <c r="J2726">
        <v>-196.5633</v>
      </c>
      <c r="K2726">
        <v>1.106976</v>
      </c>
      <c r="L2726">
        <v>289.40100000000001</v>
      </c>
      <c r="M2726">
        <v>-0.5044788</v>
      </c>
      <c r="N2726">
        <v>0</v>
      </c>
      <c r="O2726">
        <v>-0.86330219999999902</v>
      </c>
      <c r="P2726">
        <v>-0.73773120000000003</v>
      </c>
      <c r="Q2726">
        <v>1.1158380000000001E-2</v>
      </c>
      <c r="R2726">
        <v>-0.67500260000000001</v>
      </c>
      <c r="S2726">
        <v>-3.0560459999999998</v>
      </c>
      <c r="T2726">
        <v>-0.25872499999999998</v>
      </c>
      <c r="U2726">
        <v>-1.127777</v>
      </c>
      <c r="V2726">
        <v>0.29660700000000001</v>
      </c>
      <c r="W2726">
        <v>2.2313E-2</v>
      </c>
      <c r="X2726">
        <v>0.95473889999999995</v>
      </c>
      <c r="Y2726">
        <v>0.63178730000000005</v>
      </c>
      <c r="Z2726">
        <v>8.2654060000000001E-2</v>
      </c>
      <c r="AA2726">
        <v>0.77072240000000003</v>
      </c>
      <c r="AB2726">
        <v>18</v>
      </c>
      <c r="AC2726">
        <v>-12.9733999999999</v>
      </c>
      <c r="AD2726">
        <v>-1.1069695643640001</v>
      </c>
      <c r="AE2726">
        <v>-4.6648000000000103</v>
      </c>
      <c r="AF2726">
        <v>8.7909278155662101</v>
      </c>
      <c r="AG2726">
        <v>-1.1069695643640001</v>
      </c>
      <c r="AH2726">
        <v>10.5053219650394</v>
      </c>
      <c r="AI2726">
        <v>94.620089013632395</v>
      </c>
      <c r="AJ2726">
        <v>50.077168411531403</v>
      </c>
      <c r="AK2726">
        <v>13.742910283635799</v>
      </c>
      <c r="AL2726">
        <v>88.721453132845895</v>
      </c>
      <c r="AM2726">
        <v>72.741642844045202</v>
      </c>
      <c r="AN2726">
        <v>0.99999997479560399</v>
      </c>
    </row>
    <row r="2727" spans="1:40" x14ac:dyDescent="0.25">
      <c r="A2727" t="str">
        <f>"20190312150716013"</f>
        <v>20190312150716013</v>
      </c>
      <c r="B2727" t="str">
        <f>"1552374436003149"</f>
        <v>1552374436003149</v>
      </c>
      <c r="C2727" t="s">
        <v>40</v>
      </c>
      <c r="D2727">
        <v>4.6117319999999999</v>
      </c>
      <c r="E2727">
        <v>0.66311569999999997</v>
      </c>
      <c r="F2727" t="s">
        <v>67</v>
      </c>
      <c r="G2727">
        <v>-210.50829999999999</v>
      </c>
      <c r="H2727" s="1">
        <v>-1.2663189999999999E-6</v>
      </c>
      <c r="I2727">
        <v>284.55810000000002</v>
      </c>
      <c r="J2727">
        <v>-196.65870000000001</v>
      </c>
      <c r="K2727">
        <v>1.1069260000000001</v>
      </c>
      <c r="L2727">
        <v>289.25490000000002</v>
      </c>
      <c r="M2727">
        <v>-0.51069419999999999</v>
      </c>
      <c r="N2727">
        <v>0</v>
      </c>
      <c r="O2727">
        <v>-0.85963959999999995</v>
      </c>
      <c r="P2727">
        <v>-0.74375559999999996</v>
      </c>
      <c r="Q2727">
        <v>1.176845E-2</v>
      </c>
      <c r="R2727">
        <v>-0.66834819999999995</v>
      </c>
      <c r="S2727">
        <v>-3.0887600000000002</v>
      </c>
      <c r="T2727">
        <v>-0.24519170000000001</v>
      </c>
      <c r="U2727">
        <v>-1.0726929999999999</v>
      </c>
      <c r="V2727">
        <v>0.29829620000000001</v>
      </c>
      <c r="W2727">
        <v>2.287028E-2</v>
      </c>
      <c r="X2727">
        <v>0.95419929999999997</v>
      </c>
      <c r="Y2727">
        <v>0.64138980000000001</v>
      </c>
      <c r="Z2727">
        <v>7.8219179999999999E-2</v>
      </c>
      <c r="AA2727">
        <v>0.76321749999999999</v>
      </c>
      <c r="AB2727">
        <v>18</v>
      </c>
      <c r="AC2727">
        <v>-13.849599999999899</v>
      </c>
      <c r="AD2727">
        <v>-1.106927266319</v>
      </c>
      <c r="AE2727">
        <v>-4.6967999999999899</v>
      </c>
      <c r="AF2727">
        <v>9.4538780431022094</v>
      </c>
      <c r="AG2727">
        <v>-1.106927266319</v>
      </c>
      <c r="AH2727">
        <v>11.048342139329099</v>
      </c>
      <c r="AI2727">
        <v>94.353210035424894</v>
      </c>
      <c r="AJ2727">
        <v>49.446959764249797</v>
      </c>
      <c r="AK2727">
        <v>14.583105363894401</v>
      </c>
      <c r="AL2727">
        <v>88.689515206107004</v>
      </c>
      <c r="AM2727">
        <v>72.640017292138097</v>
      </c>
      <c r="AN2727">
        <v>0.99999998838110404</v>
      </c>
    </row>
    <row r="2728" spans="1:40" x14ac:dyDescent="0.25">
      <c r="A2728" t="str">
        <f>"20190312150716035"</f>
        <v>20190312150716035</v>
      </c>
      <c r="B2728" t="str">
        <f>"1552374436032426"</f>
        <v>1552374436032426</v>
      </c>
      <c r="C2728" t="s">
        <v>40</v>
      </c>
      <c r="D2728">
        <v>4.3695300000000001</v>
      </c>
      <c r="E2728">
        <v>0.66266819999999904</v>
      </c>
      <c r="F2728" t="s">
        <v>67</v>
      </c>
      <c r="G2728">
        <v>-210.87639999999999</v>
      </c>
      <c r="H2728" s="1">
        <v>-1.0704200000000001E-6</v>
      </c>
      <c r="I2728">
        <v>284.5446</v>
      </c>
      <c r="J2728">
        <v>-196.755</v>
      </c>
      <c r="K2728">
        <v>1.106865</v>
      </c>
      <c r="L2728">
        <v>289.10989999999998</v>
      </c>
      <c r="M2728">
        <v>-0.51703969999999999</v>
      </c>
      <c r="N2728">
        <v>0</v>
      </c>
      <c r="O2728">
        <v>-0.85583779999999998</v>
      </c>
      <c r="P2728">
        <v>-0.75003140000000001</v>
      </c>
      <c r="Q2728">
        <v>1.2629670000000001E-2</v>
      </c>
      <c r="R2728">
        <v>-0.66128180000000003</v>
      </c>
      <c r="S2728">
        <v>-3.1111909999999998</v>
      </c>
      <c r="T2728">
        <v>-0.2422233</v>
      </c>
      <c r="U2728">
        <v>-1.0307309999999901</v>
      </c>
      <c r="V2728">
        <v>0.30026459999999999</v>
      </c>
      <c r="W2728">
        <v>2.3671629999999999E-2</v>
      </c>
      <c r="X2728">
        <v>0.95356220000000003</v>
      </c>
      <c r="Y2728">
        <v>0.64674419999999899</v>
      </c>
      <c r="Z2728">
        <v>7.7136289999999996E-2</v>
      </c>
      <c r="AA2728">
        <v>0.75879629999999998</v>
      </c>
      <c r="AB2728">
        <v>18</v>
      </c>
      <c r="AC2728">
        <v>-14.1213999999999</v>
      </c>
      <c r="AD2728">
        <v>-1.10686607042</v>
      </c>
      <c r="AE2728">
        <v>-4.5652999999999704</v>
      </c>
      <c r="AF2728">
        <v>9.6724138154390999</v>
      </c>
      <c r="AG2728">
        <v>-1.10686607042</v>
      </c>
      <c r="AH2728">
        <v>11.1476590296119</v>
      </c>
      <c r="AI2728">
        <v>94.288947319509006</v>
      </c>
      <c r="AJ2728">
        <v>49.053025707449201</v>
      </c>
      <c r="AK2728">
        <v>14.8003730816298</v>
      </c>
      <c r="AL2728">
        <v>88.643588840836202</v>
      </c>
      <c r="AM2728">
        <v>72.521448669108295</v>
      </c>
      <c r="AN2728">
        <v>1.0000000226744199</v>
      </c>
    </row>
    <row r="2729" spans="1:40" x14ac:dyDescent="0.25">
      <c r="A2729" t="str">
        <f>"20190312150716059"</f>
        <v>20190312150716059</v>
      </c>
      <c r="B2729" t="str">
        <f>"1552374436052922"</f>
        <v>1552374436052922</v>
      </c>
      <c r="C2729" t="s">
        <v>40</v>
      </c>
      <c r="D2729">
        <v>4.6629239999999896</v>
      </c>
      <c r="E2729">
        <v>0.66388499999999995</v>
      </c>
      <c r="F2729" t="s">
        <v>67</v>
      </c>
      <c r="G2729">
        <v>-212.30850000000001</v>
      </c>
      <c r="H2729" s="1">
        <v>-3.0830259999999998E-7</v>
      </c>
      <c r="I2729">
        <v>284.09949999999998</v>
      </c>
      <c r="J2729">
        <v>-196.86359999999999</v>
      </c>
      <c r="K2729">
        <v>1.1067769999999999</v>
      </c>
      <c r="L2729">
        <v>288.94959999999998</v>
      </c>
      <c r="M2729">
        <v>-0.52426969999999995</v>
      </c>
      <c r="N2729">
        <v>0</v>
      </c>
      <c r="O2729">
        <v>-0.85142790000000002</v>
      </c>
      <c r="P2729">
        <v>-0.75689150000000005</v>
      </c>
      <c r="Q2729">
        <v>1.3240719999999999E-2</v>
      </c>
      <c r="R2729">
        <v>-0.65340679999999995</v>
      </c>
      <c r="S2729">
        <v>-3.1180110000000001</v>
      </c>
      <c r="T2729">
        <v>-0.22189239999999999</v>
      </c>
      <c r="U2729">
        <v>-1.0044249999999999</v>
      </c>
      <c r="V2729">
        <v>0.30215720000000001</v>
      </c>
      <c r="W2729">
        <v>2.420887E-2</v>
      </c>
      <c r="X2729">
        <v>0.95295070000000004</v>
      </c>
      <c r="Y2729">
        <v>0.64708859999999901</v>
      </c>
      <c r="Z2729">
        <v>7.0610489999999998E-2</v>
      </c>
      <c r="AA2729">
        <v>0.75913799999999998</v>
      </c>
      <c r="AB2729">
        <v>18</v>
      </c>
      <c r="AC2729">
        <v>-15.444900000000001</v>
      </c>
      <c r="AD2729">
        <v>-1.1067773083026</v>
      </c>
      <c r="AE2729">
        <v>-4.8500999999999896</v>
      </c>
      <c r="AF2729">
        <v>10.559226108621401</v>
      </c>
      <c r="AG2729">
        <v>-1.1067773083026</v>
      </c>
      <c r="AH2729">
        <v>12.1712081802706</v>
      </c>
      <c r="AI2729">
        <v>93.929336139426198</v>
      </c>
      <c r="AJ2729">
        <v>49.056473345951197</v>
      </c>
      <c r="AK2729">
        <v>16.151177065175499</v>
      </c>
      <c r="AL2729">
        <v>88.612798455485901</v>
      </c>
      <c r="AM2729">
        <v>72.407460710404706</v>
      </c>
      <c r="AN2729">
        <v>1.0000000397644999</v>
      </c>
    </row>
    <row r="2730" spans="1:40" x14ac:dyDescent="0.25">
      <c r="A2730" t="str">
        <f>"20190312150716082"</f>
        <v>20190312150716082</v>
      </c>
      <c r="B2730" t="str">
        <f>"1552374436073418"</f>
        <v>1552374436073418</v>
      </c>
      <c r="C2730" t="s">
        <v>40</v>
      </c>
      <c r="D2730">
        <v>4.6028699999999896</v>
      </c>
      <c r="E2730">
        <v>0.66440500000000002</v>
      </c>
      <c r="F2730" t="s">
        <v>67</v>
      </c>
      <c r="G2730">
        <v>-214.0393</v>
      </c>
      <c r="H2730" s="1">
        <v>6.1272089999999998E-7</v>
      </c>
      <c r="I2730">
        <v>283.66160000000002</v>
      </c>
      <c r="J2730">
        <v>-196.96270000000001</v>
      </c>
      <c r="K2730">
        <v>1.106684</v>
      </c>
      <c r="L2730">
        <v>288.8064</v>
      </c>
      <c r="M2730">
        <v>-0.53092969999999995</v>
      </c>
      <c r="N2730">
        <v>0</v>
      </c>
      <c r="O2730">
        <v>-0.84729049999999995</v>
      </c>
      <c r="P2730">
        <v>-0.76277790000000001</v>
      </c>
      <c r="Q2730">
        <v>1.3361110000000001E-2</v>
      </c>
      <c r="R2730">
        <v>-0.64652279999999995</v>
      </c>
      <c r="S2730">
        <v>-3.134109</v>
      </c>
      <c r="T2730">
        <v>-0.20195689999999999</v>
      </c>
      <c r="U2730">
        <v>-0.96493530000000005</v>
      </c>
      <c r="V2730">
        <v>0.30332369999999997</v>
      </c>
      <c r="W2730">
        <v>2.4260830000000001E-2</v>
      </c>
      <c r="X2730">
        <v>0.9525787</v>
      </c>
      <c r="Y2730">
        <v>0.65141759999999904</v>
      </c>
      <c r="Z2730">
        <v>6.4218010000000006E-2</v>
      </c>
      <c r="AA2730">
        <v>0.75599689999999997</v>
      </c>
      <c r="AB2730">
        <v>18</v>
      </c>
      <c r="AC2730">
        <v>-17.0765999999999</v>
      </c>
      <c r="AD2730">
        <v>-1.1066833872791</v>
      </c>
      <c r="AE2730">
        <v>-5.1447999999999698</v>
      </c>
      <c r="AF2730">
        <v>11.6935355272884</v>
      </c>
      <c r="AG2730">
        <v>-1.1066833872791</v>
      </c>
      <c r="AH2730">
        <v>13.375538884163401</v>
      </c>
      <c r="AI2730">
        <v>93.564401468160099</v>
      </c>
      <c r="AJ2730">
        <v>48.838493153205398</v>
      </c>
      <c r="AK2730">
        <v>17.800802276566198</v>
      </c>
      <c r="AL2730">
        <v>88.609820460979407</v>
      </c>
      <c r="AM2730">
        <v>72.337288332958295</v>
      </c>
      <c r="AN2730">
        <v>1.0000000172738299</v>
      </c>
    </row>
    <row r="2731" spans="1:40" x14ac:dyDescent="0.25">
      <c r="A2731" t="str">
        <f>"20190312150716103"</f>
        <v>20190312150716103</v>
      </c>
      <c r="B2731" t="str">
        <f>"1552374436092937"</f>
        <v>1552374436092937</v>
      </c>
      <c r="C2731" t="s">
        <v>40</v>
      </c>
      <c r="D2731">
        <v>4.6478489999999999</v>
      </c>
      <c r="E2731">
        <v>0.66460200000000003</v>
      </c>
      <c r="F2731" t="s">
        <v>67</v>
      </c>
      <c r="G2731">
        <v>-215.52019999999999</v>
      </c>
      <c r="H2731" s="1">
        <v>1.400768E-6</v>
      </c>
      <c r="I2731">
        <v>283.29820000000001</v>
      </c>
      <c r="J2731">
        <v>-197.06469999999999</v>
      </c>
      <c r="K2731">
        <v>1.106571</v>
      </c>
      <c r="L2731">
        <v>288.6617</v>
      </c>
      <c r="M2731">
        <v>-0.53785070000000001</v>
      </c>
      <c r="N2731">
        <v>0</v>
      </c>
      <c r="O2731">
        <v>-0.84291340000000003</v>
      </c>
      <c r="P2731">
        <v>-0.768814</v>
      </c>
      <c r="Q2731">
        <v>1.4192679999999999E-2</v>
      </c>
      <c r="R2731">
        <v>-0.63931510000000003</v>
      </c>
      <c r="S2731">
        <v>-3.1450499999999999</v>
      </c>
      <c r="T2731">
        <v>-0.187556</v>
      </c>
      <c r="U2731">
        <v>-0.93350219999999995</v>
      </c>
      <c r="V2731">
        <v>0.3044906</v>
      </c>
      <c r="W2731">
        <v>2.5016389999999999E-2</v>
      </c>
      <c r="X2731">
        <v>0.9521868</v>
      </c>
      <c r="Y2731">
        <v>0.65318569999999998</v>
      </c>
      <c r="Z2731">
        <v>5.956214E-2</v>
      </c>
      <c r="AA2731">
        <v>0.75485150000000001</v>
      </c>
      <c r="AB2731">
        <v>18</v>
      </c>
      <c r="AC2731">
        <v>-18.455500000000001</v>
      </c>
      <c r="AD2731">
        <v>-1.1065695992319999</v>
      </c>
      <c r="AE2731">
        <v>-5.3634999999999797</v>
      </c>
      <c r="AF2731">
        <v>12.631106716552599</v>
      </c>
      <c r="AG2731">
        <v>-1.1065695992319999</v>
      </c>
      <c r="AH2731">
        <v>14.401072436756699</v>
      </c>
      <c r="AI2731">
        <v>93.306160719279404</v>
      </c>
      <c r="AJ2731">
        <v>48.746165445333197</v>
      </c>
      <c r="AK2731">
        <v>19.187502195220699</v>
      </c>
      <c r="AL2731">
        <v>88.566516924760805</v>
      </c>
      <c r="AM2731">
        <v>72.266746658244301</v>
      </c>
      <c r="AN2731">
        <v>1.0000000236756099</v>
      </c>
    </row>
    <row r="2732" spans="1:40" x14ac:dyDescent="0.25">
      <c r="A2732" t="str">
        <f>"20190312150716126"</f>
        <v>20190312150716126</v>
      </c>
      <c r="B2732" t="str">
        <f>"1552374436123194"</f>
        <v>1552374436123194</v>
      </c>
      <c r="C2732" t="s">
        <v>40</v>
      </c>
      <c r="D2732">
        <v>4.6260820000000002</v>
      </c>
      <c r="E2732">
        <v>0.66447029999999996</v>
      </c>
      <c r="F2732" t="s">
        <v>67</v>
      </c>
      <c r="G2732">
        <v>-216.8954</v>
      </c>
      <c r="H2732" s="1">
        <v>2.132603E-6</v>
      </c>
      <c r="I2732">
        <v>282.9828</v>
      </c>
      <c r="J2732">
        <v>-197.16579999999999</v>
      </c>
      <c r="K2732">
        <v>1.1064609999999999</v>
      </c>
      <c r="L2732">
        <v>288.5215</v>
      </c>
      <c r="M2732">
        <v>-0.54478159999999998</v>
      </c>
      <c r="N2732">
        <v>0</v>
      </c>
      <c r="O2732">
        <v>-0.83845009999999998</v>
      </c>
      <c r="P2732">
        <v>-0.77439269999999905</v>
      </c>
      <c r="Q2732">
        <v>1.431491E-2</v>
      </c>
      <c r="R2732">
        <v>-0.63254370000000004</v>
      </c>
      <c r="S2732">
        <v>-3.154236</v>
      </c>
      <c r="T2732">
        <v>-0.17600859999999999</v>
      </c>
      <c r="U2732">
        <v>-0.90328980000000003</v>
      </c>
      <c r="V2732">
        <v>0.30500300000000002</v>
      </c>
      <c r="W2732">
        <v>2.5072629999999999E-2</v>
      </c>
      <c r="X2732">
        <v>0.95202129999999996</v>
      </c>
      <c r="Y2732">
        <v>0.65444789999999997</v>
      </c>
      <c r="Z2732">
        <v>5.582322E-2</v>
      </c>
      <c r="AA2732">
        <v>0.75404359999999904</v>
      </c>
      <c r="AB2732">
        <v>17</v>
      </c>
      <c r="AC2732">
        <v>-19.729600000000001</v>
      </c>
      <c r="AD2732">
        <v>-1.1064588673969999</v>
      </c>
      <c r="AE2732">
        <v>-5.5387000000000004</v>
      </c>
      <c r="AF2732">
        <v>13.487034317513499</v>
      </c>
      <c r="AG2732">
        <v>-1.1064588673969999</v>
      </c>
      <c r="AH2732">
        <v>15.3491492459107</v>
      </c>
      <c r="AI2732">
        <v>93.099613429186604</v>
      </c>
      <c r="AJ2732">
        <v>48.694781408141999</v>
      </c>
      <c r="AK2732">
        <v>20.462666700121702</v>
      </c>
      <c r="AL2732">
        <v>88.563293581258804</v>
      </c>
      <c r="AM2732">
        <v>72.235885342983394</v>
      </c>
      <c r="AN2732">
        <v>1.0000000112189</v>
      </c>
    </row>
    <row r="2733" spans="1:40" x14ac:dyDescent="0.25">
      <c r="A2733" t="str">
        <f>"20190312150716147"</f>
        <v>20190312150716147</v>
      </c>
      <c r="B2733" t="str">
        <f>"1552374436142714"</f>
        <v>1552374436142714</v>
      </c>
      <c r="C2733" t="s">
        <v>40</v>
      </c>
      <c r="D2733">
        <v>4.6281089999999896</v>
      </c>
      <c r="E2733">
        <v>0.6641224</v>
      </c>
      <c r="F2733" t="s">
        <v>67</v>
      </c>
      <c r="G2733">
        <v>-217.44130000000001</v>
      </c>
      <c r="H2733" s="1">
        <v>2.4230899999999999E-6</v>
      </c>
      <c r="I2733">
        <v>282.90030000000002</v>
      </c>
      <c r="J2733">
        <v>-197.26830000000001</v>
      </c>
      <c r="K2733">
        <v>1.1063480000000001</v>
      </c>
      <c r="L2733">
        <v>288.38240000000002</v>
      </c>
      <c r="M2733">
        <v>-0.55187330000000001</v>
      </c>
      <c r="N2733">
        <v>0</v>
      </c>
      <c r="O2733">
        <v>-0.83379890000000001</v>
      </c>
      <c r="P2733">
        <v>-0.78087759999999995</v>
      </c>
      <c r="Q2733">
        <v>1.46407E-2</v>
      </c>
      <c r="R2733">
        <v>-0.62451269999999903</v>
      </c>
      <c r="S2733">
        <v>-3.1612849999999999</v>
      </c>
      <c r="T2733">
        <v>-0.17251549999999999</v>
      </c>
      <c r="U2733">
        <v>-0.8764343</v>
      </c>
      <c r="V2733">
        <v>0.30676510000000001</v>
      </c>
      <c r="W2733">
        <v>2.5317650000000001E-2</v>
      </c>
      <c r="X2733">
        <v>0.95144839999999997</v>
      </c>
      <c r="Y2733">
        <v>0.65449299999999999</v>
      </c>
      <c r="Z2733">
        <v>5.4621639999999999E-2</v>
      </c>
      <c r="AA2733">
        <v>0.7540924</v>
      </c>
      <c r="AB2733">
        <v>17</v>
      </c>
      <c r="AC2733">
        <v>-20.172999999999998</v>
      </c>
      <c r="AD2733">
        <v>-1.1063455769099999</v>
      </c>
      <c r="AE2733">
        <v>-5.4821</v>
      </c>
      <c r="AF2733">
        <v>13.757751513476601</v>
      </c>
      <c r="AG2733">
        <v>-1.1063455769099999</v>
      </c>
      <c r="AH2733">
        <v>15.6617326068486</v>
      </c>
      <c r="AI2733">
        <v>93.037935281195402</v>
      </c>
      <c r="AJ2733">
        <v>48.702925426556</v>
      </c>
      <c r="AK2733">
        <v>20.8755741355907</v>
      </c>
      <c r="AL2733">
        <v>88.549250399377698</v>
      </c>
      <c r="AM2733">
        <v>72.129689293528202</v>
      </c>
      <c r="AN2733">
        <v>0.99999993392104403</v>
      </c>
    </row>
    <row r="2734" spans="1:40" x14ac:dyDescent="0.25">
      <c r="A2734" t="str">
        <f>"20190312150716169"</f>
        <v>20190312150716169</v>
      </c>
      <c r="B2734" t="str">
        <f>"1552374436163210"</f>
        <v>1552374436163210</v>
      </c>
      <c r="C2734" t="s">
        <v>40</v>
      </c>
      <c r="D2734">
        <v>4.6094039999999996</v>
      </c>
      <c r="E2734">
        <v>0.66358530000000004</v>
      </c>
      <c r="F2734" t="s">
        <v>67</v>
      </c>
      <c r="G2734">
        <v>-216.9205</v>
      </c>
      <c r="H2734" s="1">
        <v>2.1459320000000001E-6</v>
      </c>
      <c r="I2734">
        <v>283.1352</v>
      </c>
      <c r="J2734">
        <v>-197.37280000000001</v>
      </c>
      <c r="K2734">
        <v>1.106258</v>
      </c>
      <c r="L2734">
        <v>288.24340000000001</v>
      </c>
      <c r="M2734">
        <v>-0.55913930000000001</v>
      </c>
      <c r="N2734">
        <v>0</v>
      </c>
      <c r="O2734">
        <v>-0.8289434</v>
      </c>
      <c r="P2734">
        <v>-0.78744320000000001</v>
      </c>
      <c r="Q2734">
        <v>1.4651910000000001E-2</v>
      </c>
      <c r="R2734">
        <v>-0.6162128</v>
      </c>
      <c r="S2734">
        <v>-3.1685639999999999</v>
      </c>
      <c r="T2734">
        <v>-0.1783786</v>
      </c>
      <c r="U2734">
        <v>-0.84600830000000005</v>
      </c>
      <c r="V2734">
        <v>0.30852499999999999</v>
      </c>
      <c r="W2734">
        <v>2.526378E-2</v>
      </c>
      <c r="X2734">
        <v>0.95088070000000002</v>
      </c>
      <c r="Y2734">
        <v>0.65497139999999998</v>
      </c>
      <c r="Z2734">
        <v>5.6386070000000003E-2</v>
      </c>
      <c r="AA2734">
        <v>0.75354699999999997</v>
      </c>
      <c r="AB2734">
        <v>17</v>
      </c>
      <c r="AC2734">
        <v>-19.547699999999899</v>
      </c>
      <c r="AD2734">
        <v>-1.1062558540680001</v>
      </c>
      <c r="AE2734">
        <v>-5.1082000000000098</v>
      </c>
      <c r="AF2734">
        <v>13.3092826546082</v>
      </c>
      <c r="AG2734">
        <v>-1.1062558540680001</v>
      </c>
      <c r="AH2734">
        <v>15.1206030553723</v>
      </c>
      <c r="AI2734">
        <v>93.143419892844605</v>
      </c>
      <c r="AJ2734">
        <v>48.645492415560703</v>
      </c>
      <c r="AK2734">
        <v>20.174078505672799</v>
      </c>
      <c r="AL2734">
        <v>88.552338035321995</v>
      </c>
      <c r="AM2734">
        <v>72.0237041971493</v>
      </c>
      <c r="AN2734">
        <v>1.00000001991868</v>
      </c>
    </row>
    <row r="2735" spans="1:40" x14ac:dyDescent="0.25">
      <c r="A2735" t="str">
        <f>"20190312150716192"</f>
        <v>20190312150716192</v>
      </c>
      <c r="B2735" t="str">
        <f>"1552374436182730"</f>
        <v>1552374436182730</v>
      </c>
      <c r="C2735" t="s">
        <v>40</v>
      </c>
      <c r="D2735">
        <v>4.6476119999999996</v>
      </c>
      <c r="E2735">
        <v>0.66293639999999998</v>
      </c>
      <c r="F2735" t="s">
        <v>67</v>
      </c>
      <c r="G2735">
        <v>-216.59469999999999</v>
      </c>
      <c r="H2735" s="1">
        <v>1.972556E-6</v>
      </c>
      <c r="I2735">
        <v>283.3048</v>
      </c>
      <c r="J2735">
        <v>-197.48480000000001</v>
      </c>
      <c r="K2735">
        <v>1.106196</v>
      </c>
      <c r="L2735">
        <v>288.09769999999997</v>
      </c>
      <c r="M2735">
        <v>-0.56694560000000005</v>
      </c>
      <c r="N2735">
        <v>0</v>
      </c>
      <c r="O2735">
        <v>-0.82362369999999996</v>
      </c>
      <c r="P2735">
        <v>-0.79474400000000001</v>
      </c>
      <c r="Q2735">
        <v>1.468594E-2</v>
      </c>
      <c r="R2735">
        <v>-0.60676750000000002</v>
      </c>
      <c r="S2735">
        <v>-3.1748660000000002</v>
      </c>
      <c r="T2735">
        <v>-0.18271979999999999</v>
      </c>
      <c r="U2735">
        <v>-0.81570430000000005</v>
      </c>
      <c r="V2735">
        <v>0.31089879999999998</v>
      </c>
      <c r="W2735">
        <v>2.523661E-2</v>
      </c>
      <c r="X2735">
        <v>0.95010790000000001</v>
      </c>
      <c r="Y2735">
        <v>0.65486279999999997</v>
      </c>
      <c r="Z2735">
        <v>5.7647549999999999E-2</v>
      </c>
      <c r="AA2735">
        <v>0.75354589999999999</v>
      </c>
      <c r="AB2735">
        <v>17</v>
      </c>
      <c r="AC2735">
        <v>-19.1098999999999</v>
      </c>
      <c r="AD2735">
        <v>-1.1061940274440001</v>
      </c>
      <c r="AE2735">
        <v>-4.7928999999999702</v>
      </c>
      <c r="AF2735">
        <v>12.982536942245201</v>
      </c>
      <c r="AG2735">
        <v>-1.1061940274440001</v>
      </c>
      <c r="AH2735">
        <v>14.736963621450901</v>
      </c>
      <c r="AI2735">
        <v>93.223716095349005</v>
      </c>
      <c r="AJ2735">
        <v>48.621542162148501</v>
      </c>
      <c r="AK2735">
        <v>19.6709945722905</v>
      </c>
      <c r="AL2735">
        <v>88.553895209037194</v>
      </c>
      <c r="AM2735">
        <v>71.880623832054894</v>
      </c>
      <c r="AN2735">
        <v>0.99999998598407003</v>
      </c>
    </row>
    <row r="2736" spans="1:40" x14ac:dyDescent="0.25">
      <c r="A2736" t="str">
        <f>"20190312150716214"</f>
        <v>20190312150716214</v>
      </c>
      <c r="B2736" t="str">
        <f>"1552374436203226"</f>
        <v>1552374436203226</v>
      </c>
      <c r="C2736" t="s">
        <v>40</v>
      </c>
      <c r="D2736">
        <v>4.6737719999999996</v>
      </c>
      <c r="E2736">
        <v>0.66231030000000002</v>
      </c>
      <c r="F2736" t="s">
        <v>67</v>
      </c>
      <c r="G2736">
        <v>-216.1789</v>
      </c>
      <c r="H2736" s="1">
        <v>1.7513150000000001E-6</v>
      </c>
      <c r="I2736">
        <v>283.50349999999997</v>
      </c>
      <c r="J2736">
        <v>-197.59129999999999</v>
      </c>
      <c r="K2736">
        <v>1.1061449999999999</v>
      </c>
      <c r="L2736">
        <v>287.96199999999999</v>
      </c>
      <c r="M2736">
        <v>-0.57438859999999903</v>
      </c>
      <c r="N2736">
        <v>0</v>
      </c>
      <c r="O2736">
        <v>-0.81844969999999995</v>
      </c>
      <c r="P2736">
        <v>-0.801486699999999</v>
      </c>
      <c r="Q2736">
        <v>1.4587889999999999E-2</v>
      </c>
      <c r="R2736">
        <v>-0.59783450000000005</v>
      </c>
      <c r="S2736">
        <v>-3.181381</v>
      </c>
      <c r="T2736">
        <v>-0.1882529</v>
      </c>
      <c r="U2736">
        <v>-0.78182980000000002</v>
      </c>
      <c r="V2736">
        <v>0.312922599999999</v>
      </c>
      <c r="W2736">
        <v>2.5091229999999999E-2</v>
      </c>
      <c r="X2736">
        <v>0.94944720000000005</v>
      </c>
      <c r="Y2736">
        <v>0.65582759999999996</v>
      </c>
      <c r="Z2736">
        <v>5.9311889999999999E-2</v>
      </c>
      <c r="AA2736">
        <v>0.7525771</v>
      </c>
      <c r="AB2736">
        <v>17</v>
      </c>
      <c r="AC2736">
        <v>-18.587599999999998</v>
      </c>
      <c r="AD2736">
        <v>-1.106143248685</v>
      </c>
      <c r="AE2736">
        <v>-4.4585000000000097</v>
      </c>
      <c r="AF2736">
        <v>12.6112504679928</v>
      </c>
      <c r="AG2736">
        <v>-1.106143248685</v>
      </c>
      <c r="AH2736">
        <v>14.2793063310704</v>
      </c>
      <c r="AI2736">
        <v>93.322981585402999</v>
      </c>
      <c r="AJ2736">
        <v>48.5495828502672</v>
      </c>
      <c r="AK2736">
        <v>19.0831281646802</v>
      </c>
      <c r="AL2736">
        <v>88.562227606637904</v>
      </c>
      <c r="AM2736">
        <v>71.758607356306399</v>
      </c>
      <c r="AN2736">
        <v>1.0000000545007499</v>
      </c>
    </row>
    <row r="2737" spans="1:40" x14ac:dyDescent="0.25">
      <c r="A2737" t="str">
        <f>"20190312150716237"</f>
        <v>20190312150716237</v>
      </c>
      <c r="B2737" t="str">
        <f>"1552374436232505"</f>
        <v>1552374436232505</v>
      </c>
      <c r="C2737" t="s">
        <v>40</v>
      </c>
      <c r="D2737">
        <v>4.6728189999999996</v>
      </c>
      <c r="E2737">
        <v>0.66114209999999995</v>
      </c>
      <c r="F2737" t="s">
        <v>67</v>
      </c>
      <c r="G2737">
        <v>-215.9922</v>
      </c>
      <c r="H2737" s="1">
        <v>1.6519780000000001E-6</v>
      </c>
      <c r="I2737">
        <v>283.63159999999999</v>
      </c>
      <c r="J2737">
        <v>-197.70140000000001</v>
      </c>
      <c r="K2737">
        <v>1.1060950000000001</v>
      </c>
      <c r="L2737">
        <v>287.82459999999998</v>
      </c>
      <c r="M2737">
        <v>-0.58209339999999998</v>
      </c>
      <c r="N2737">
        <v>0</v>
      </c>
      <c r="O2737">
        <v>-0.81298769999999998</v>
      </c>
      <c r="P2737">
        <v>-0.80857780000000001</v>
      </c>
      <c r="Q2737">
        <v>1.4413779999999999E-2</v>
      </c>
      <c r="R2737">
        <v>-0.58821279999999998</v>
      </c>
      <c r="S2737">
        <v>-3.1870729999999998</v>
      </c>
      <c r="T2737">
        <v>-0.19158610000000001</v>
      </c>
      <c r="U2737">
        <v>-0.75003050000000004</v>
      </c>
      <c r="V2737">
        <v>0.31530599999999998</v>
      </c>
      <c r="W2737">
        <v>2.4861939999999999E-2</v>
      </c>
      <c r="X2737">
        <v>0.94866430000000002</v>
      </c>
      <c r="Y2737">
        <v>0.65605059999999904</v>
      </c>
      <c r="Z2737">
        <v>6.0250480000000002E-2</v>
      </c>
      <c r="AA2737">
        <v>0.75230810000000004</v>
      </c>
      <c r="AB2737">
        <v>17</v>
      </c>
      <c r="AC2737">
        <v>-18.290799999999901</v>
      </c>
      <c r="AD2737">
        <v>-1.1060933480220001</v>
      </c>
      <c r="AE2737">
        <v>-4.1929999999999801</v>
      </c>
      <c r="AF2737">
        <v>12.387794869056901</v>
      </c>
      <c r="AG2737">
        <v>-1.1060933480220001</v>
      </c>
      <c r="AH2737">
        <v>14.0086744610193</v>
      </c>
      <c r="AI2737">
        <v>93.385015290552403</v>
      </c>
      <c r="AJ2737">
        <v>48.513844879753897</v>
      </c>
      <c r="AK2737">
        <v>18.732961975277298</v>
      </c>
      <c r="AL2737">
        <v>88.575368937181693</v>
      </c>
      <c r="AM2737">
        <v>71.614825451726006</v>
      </c>
      <c r="AN2737">
        <v>0.99999997189552603</v>
      </c>
    </row>
    <row r="2738" spans="1:40" x14ac:dyDescent="0.25">
      <c r="A2738" t="str">
        <f>"20190312150716260"</f>
        <v>20190312150716260</v>
      </c>
      <c r="B2738" t="str">
        <f>"1552374436253002"</f>
        <v>1552374436253002</v>
      </c>
      <c r="C2738" t="s">
        <v>40</v>
      </c>
      <c r="D2738">
        <v>4.6708020000000001</v>
      </c>
      <c r="E2738">
        <v>0.64677320000000005</v>
      </c>
      <c r="F2738" t="s">
        <v>67</v>
      </c>
      <c r="G2738">
        <v>-215.8134</v>
      </c>
      <c r="H2738" s="1">
        <v>1.5568310000000001E-6</v>
      </c>
      <c r="I2738">
        <v>283.74239999999998</v>
      </c>
      <c r="J2738">
        <v>-197.81829999999999</v>
      </c>
      <c r="K2738">
        <v>1.1060299999999901</v>
      </c>
      <c r="L2738">
        <v>287.68200000000002</v>
      </c>
      <c r="M2738">
        <v>-0.59027439999999998</v>
      </c>
      <c r="N2738">
        <v>0</v>
      </c>
      <c r="O2738">
        <v>-0.80706690000000003</v>
      </c>
      <c r="P2738">
        <v>-0.81561419999999996</v>
      </c>
      <c r="Q2738">
        <v>1.459128E-2</v>
      </c>
      <c r="R2738">
        <v>-0.57841229999999999</v>
      </c>
      <c r="S2738">
        <v>-3.1905519999999998</v>
      </c>
      <c r="T2738">
        <v>-0.19484570000000001</v>
      </c>
      <c r="U2738">
        <v>-0.71911619999999998</v>
      </c>
      <c r="V2738">
        <v>0.31717649999999997</v>
      </c>
      <c r="W2738">
        <v>2.4984920000000001E-2</v>
      </c>
      <c r="X2738">
        <v>0.94803740000000003</v>
      </c>
      <c r="Y2738">
        <v>0.65547719999999998</v>
      </c>
      <c r="Z2738">
        <v>6.1155040000000001E-2</v>
      </c>
      <c r="AA2738">
        <v>0.75273480000000004</v>
      </c>
      <c r="AB2738">
        <v>17</v>
      </c>
      <c r="AC2738">
        <v>-17.995100000000001</v>
      </c>
      <c r="AD2738">
        <v>-1.106028443169</v>
      </c>
      <c r="AE2738">
        <v>-3.93960000000004</v>
      </c>
      <c r="AF2738">
        <v>12.155322717756199</v>
      </c>
      <c r="AG2738">
        <v>-1.106028443169</v>
      </c>
      <c r="AH2738">
        <v>13.753500290597</v>
      </c>
      <c r="AI2738">
        <v>93.448313628362399</v>
      </c>
      <c r="AJ2738">
        <v>48.5297996526932</v>
      </c>
      <c r="AK2738">
        <v>18.388418625138801</v>
      </c>
      <c r="AL2738">
        <v>88.568320617325199</v>
      </c>
      <c r="AM2738">
        <v>71.501759738287603</v>
      </c>
      <c r="AN2738">
        <v>1.0000000450891999</v>
      </c>
    </row>
    <row r="2739" spans="1:40" x14ac:dyDescent="0.25">
      <c r="A2739" t="str">
        <f>"20190312150716282"</f>
        <v>20190312150716282</v>
      </c>
      <c r="B2739" t="str">
        <f>"1552374436272522"</f>
        <v>1552374436272522</v>
      </c>
      <c r="C2739" t="s">
        <v>40</v>
      </c>
      <c r="D2739">
        <v>4.6946960000000004</v>
      </c>
      <c r="E2739">
        <v>0.64756579999999997</v>
      </c>
      <c r="F2739" t="s">
        <v>67</v>
      </c>
      <c r="G2739">
        <v>-212.83279999999999</v>
      </c>
      <c r="H2739" s="1">
        <v>-2.9289370000000001E-8</v>
      </c>
      <c r="I2739">
        <v>283.97980000000001</v>
      </c>
      <c r="J2739">
        <v>-197.92920000000001</v>
      </c>
      <c r="K2739">
        <v>1.105961</v>
      </c>
      <c r="L2739">
        <v>287.54969999999997</v>
      </c>
      <c r="M2739">
        <v>-0.59803219999999901</v>
      </c>
      <c r="N2739">
        <v>0</v>
      </c>
      <c r="O2739">
        <v>-0.80133480000000001</v>
      </c>
      <c r="P2739">
        <v>-0.82214569999999998</v>
      </c>
      <c r="Q2739">
        <v>1.411781E-2</v>
      </c>
      <c r="R2739">
        <v>-0.5691022</v>
      </c>
      <c r="S2739">
        <v>-3.134277</v>
      </c>
      <c r="T2739">
        <v>-0.23088230000000001</v>
      </c>
      <c r="U2739">
        <v>-0.77282709999999999</v>
      </c>
      <c r="V2739">
        <v>0.31881490000000001</v>
      </c>
      <c r="W2739">
        <v>2.4455319999999999E-2</v>
      </c>
      <c r="X2739">
        <v>0.94750140000000005</v>
      </c>
      <c r="Y2739">
        <v>0.63193639999999995</v>
      </c>
      <c r="Z2739">
        <v>7.2434570000000004E-2</v>
      </c>
      <c r="AA2739">
        <v>0.77162790000000003</v>
      </c>
      <c r="AB2739">
        <v>17</v>
      </c>
      <c r="AC2739">
        <v>-14.9035999999999</v>
      </c>
      <c r="AD2739">
        <v>-1.10596102928937</v>
      </c>
      <c r="AE2739">
        <v>-3.5698999999999601</v>
      </c>
      <c r="AF2739">
        <v>9.75811743421324</v>
      </c>
      <c r="AG2739">
        <v>-1.10596102928937</v>
      </c>
      <c r="AH2739">
        <v>11.7138081777812</v>
      </c>
      <c r="AI2739">
        <v>94.149085738077105</v>
      </c>
      <c r="AJ2739">
        <v>50.204214324602603</v>
      </c>
      <c r="AK2739">
        <v>15.2858531879662</v>
      </c>
      <c r="AL2739">
        <v>88.598673607742498</v>
      </c>
      <c r="AM2739">
        <v>71.402963149343407</v>
      </c>
      <c r="AN2739">
        <v>0.99999995307013501</v>
      </c>
    </row>
    <row r="2740" spans="1:40" x14ac:dyDescent="0.25">
      <c r="A2740" t="str">
        <f>"20190312150716305"</f>
        <v>20190312150716305</v>
      </c>
      <c r="B2740" t="str">
        <f>"1552374436302778"</f>
        <v>1552374436302778</v>
      </c>
      <c r="C2740" t="s">
        <v>40</v>
      </c>
      <c r="D2740">
        <v>4.5892030000000004</v>
      </c>
      <c r="E2740">
        <v>0.64564060000000001</v>
      </c>
      <c r="F2740" t="s">
        <v>67</v>
      </c>
      <c r="G2740">
        <v>-212.69</v>
      </c>
      <c r="H2740" s="1">
        <v>-1.052891E-7</v>
      </c>
      <c r="I2740">
        <v>284.11709999999999</v>
      </c>
      <c r="J2740">
        <v>-198.0445</v>
      </c>
      <c r="K2740">
        <v>1.105885</v>
      </c>
      <c r="L2740">
        <v>287.4153</v>
      </c>
      <c r="M2740">
        <v>-0.60608709999999999</v>
      </c>
      <c r="N2740">
        <v>0</v>
      </c>
      <c r="O2740">
        <v>-0.79525959999999996</v>
      </c>
      <c r="P2740">
        <v>-0.82838440000000002</v>
      </c>
      <c r="Q2740">
        <v>1.4139469999999999E-2</v>
      </c>
      <c r="R2740">
        <v>-0.55998210000000004</v>
      </c>
      <c r="S2740">
        <v>-3.1465299999999998</v>
      </c>
      <c r="T2740">
        <v>-0.23575479999999999</v>
      </c>
      <c r="U2740">
        <v>-0.73172000000000004</v>
      </c>
      <c r="V2740">
        <v>0.31973049999999997</v>
      </c>
      <c r="W2740">
        <v>2.4427669999999999E-2</v>
      </c>
      <c r="X2740">
        <v>0.94719359999999997</v>
      </c>
      <c r="Y2740">
        <v>0.63424519999999995</v>
      </c>
      <c r="Z2740">
        <v>7.3747380000000001E-2</v>
      </c>
      <c r="AA2740">
        <v>0.76960660000000003</v>
      </c>
      <c r="AB2740">
        <v>17</v>
      </c>
      <c r="AC2740">
        <v>-14.645499999999901</v>
      </c>
      <c r="AD2740">
        <v>-1.1058851052890999</v>
      </c>
      <c r="AE2740">
        <v>-3.2982</v>
      </c>
      <c r="AF2740">
        <v>9.5969636322291301</v>
      </c>
      <c r="AG2740">
        <v>-1.1058851052890999</v>
      </c>
      <c r="AH2740">
        <v>11.438570082926599</v>
      </c>
      <c r="AI2740">
        <v>94.235882143410095</v>
      </c>
      <c r="AJ2740">
        <v>50.003340220981599</v>
      </c>
      <c r="AK2740">
        <v>14.972160110233</v>
      </c>
      <c r="AL2740">
        <v>88.600258388935003</v>
      </c>
      <c r="AM2740">
        <v>71.347601622987199</v>
      </c>
      <c r="AN2740">
        <v>1.0000000097864099</v>
      </c>
    </row>
    <row r="2741" spans="1:40" x14ac:dyDescent="0.25">
      <c r="A2741" t="str">
        <f>"20190312150716327"</f>
        <v>20190312150716327</v>
      </c>
      <c r="B2741" t="str">
        <f>"1552374436323274"</f>
        <v>1552374436323274</v>
      </c>
      <c r="C2741" t="s">
        <v>40</v>
      </c>
      <c r="D2741">
        <v>4.7230410000000003</v>
      </c>
      <c r="E2741">
        <v>0.6469163</v>
      </c>
      <c r="F2741" t="s">
        <v>67</v>
      </c>
      <c r="G2741">
        <v>-213.26220000000001</v>
      </c>
      <c r="H2741" s="1">
        <v>1.9917019999999999E-7</v>
      </c>
      <c r="I2741">
        <v>283.98270000000002</v>
      </c>
      <c r="J2741">
        <v>-198.15389999999999</v>
      </c>
      <c r="K2741">
        <v>1.105818</v>
      </c>
      <c r="L2741">
        <v>287.29070000000002</v>
      </c>
      <c r="M2741">
        <v>-0.61371369999999903</v>
      </c>
      <c r="N2741">
        <v>0</v>
      </c>
      <c r="O2741">
        <v>-0.78938839999999999</v>
      </c>
      <c r="P2741">
        <v>-0.83352630000000005</v>
      </c>
      <c r="Q2741">
        <v>1.422609E-2</v>
      </c>
      <c r="R2741">
        <v>-0.55229689999999998</v>
      </c>
      <c r="S2741">
        <v>-3.1457670000000002</v>
      </c>
      <c r="T2741">
        <v>-0.22860620000000001</v>
      </c>
      <c r="U2741">
        <v>-0.70956419999999998</v>
      </c>
      <c r="V2741">
        <v>0.31937739999999998</v>
      </c>
      <c r="W2741">
        <v>2.4490120000000001E-2</v>
      </c>
      <c r="X2741">
        <v>0.94731109999999996</v>
      </c>
      <c r="Y2741">
        <v>0.63211669999999998</v>
      </c>
      <c r="Z2741">
        <v>7.1355020000000005E-2</v>
      </c>
      <c r="AA2741">
        <v>0.77158079999999996</v>
      </c>
      <c r="AB2741">
        <v>17</v>
      </c>
      <c r="AC2741">
        <v>-15.1083</v>
      </c>
      <c r="AD2741">
        <v>-1.1058178008298001</v>
      </c>
      <c r="AE2741">
        <v>-3.3079999999999901</v>
      </c>
      <c r="AF2741">
        <v>9.8469093709011499</v>
      </c>
      <c r="AG2741">
        <v>-1.1058178008298001</v>
      </c>
      <c r="AH2741">
        <v>11.824336321190801</v>
      </c>
      <c r="AI2741">
        <v>94.110464400805498</v>
      </c>
      <c r="AJ2741">
        <v>50.213606255193497</v>
      </c>
      <c r="AK2741">
        <v>15.4272287402503</v>
      </c>
      <c r="AL2741">
        <v>88.596679189910603</v>
      </c>
      <c r="AM2741">
        <v>71.368929695496305</v>
      </c>
      <c r="AN2741">
        <v>1.00000000489579</v>
      </c>
    </row>
    <row r="2742" spans="1:40" x14ac:dyDescent="0.25">
      <c r="A2742" t="str">
        <f>"20190312150716347"</f>
        <v>20190312150716347</v>
      </c>
      <c r="B2742" t="str">
        <f>"1552374436342794"</f>
        <v>1552374436342794</v>
      </c>
      <c r="C2742" t="s">
        <v>40</v>
      </c>
      <c r="D2742">
        <v>4.3160239999999996</v>
      </c>
      <c r="E2742">
        <v>0.66607879999999997</v>
      </c>
      <c r="F2742" t="s">
        <v>67</v>
      </c>
      <c r="G2742">
        <v>-213.69</v>
      </c>
      <c r="H2742" s="1">
        <v>4.2683169999999999E-7</v>
      </c>
      <c r="I2742">
        <v>283.9871</v>
      </c>
      <c r="J2742">
        <v>-198.2637</v>
      </c>
      <c r="K2742">
        <v>1.105764</v>
      </c>
      <c r="L2742">
        <v>287.16829999999999</v>
      </c>
      <c r="M2742">
        <v>-0.62133959999999999</v>
      </c>
      <c r="N2742">
        <v>0</v>
      </c>
      <c r="O2742">
        <v>-0.78339950000000003</v>
      </c>
      <c r="P2742">
        <v>-0.83849259999999903</v>
      </c>
      <c r="Q2742">
        <v>1.473788E-2</v>
      </c>
      <c r="R2742">
        <v>-0.54471400000000003</v>
      </c>
      <c r="S2742">
        <v>-3.1580509999999999</v>
      </c>
      <c r="T2742">
        <v>-0.22478119999999999</v>
      </c>
      <c r="U2742">
        <v>-0.67153929999999995</v>
      </c>
      <c r="V2742">
        <v>0.31878579999999901</v>
      </c>
      <c r="W2742">
        <v>2.499351E-2</v>
      </c>
      <c r="X2742">
        <v>0.94749720000000004</v>
      </c>
      <c r="Y2742">
        <v>0.6342371</v>
      </c>
      <c r="Z2742">
        <v>6.9921700000000003E-2</v>
      </c>
      <c r="AA2742">
        <v>0.7699703</v>
      </c>
      <c r="AB2742">
        <v>17</v>
      </c>
      <c r="AC2742">
        <v>-15.4262999999999</v>
      </c>
      <c r="AD2742">
        <v>-1.1057635731683</v>
      </c>
      <c r="AE2742">
        <v>-3.1811999999999898</v>
      </c>
      <c r="AF2742">
        <v>10.059893931800501</v>
      </c>
      <c r="AG2742">
        <v>-1.1057635731683</v>
      </c>
      <c r="AH2742">
        <v>12.019227652847301</v>
      </c>
      <c r="AI2742">
        <v>94.035485567743606</v>
      </c>
      <c r="AJ2742">
        <v>50.071227524846798</v>
      </c>
      <c r="AK2742">
        <v>15.7126067974029</v>
      </c>
      <c r="AL2742">
        <v>88.567828232446601</v>
      </c>
      <c r="AM2742">
        <v>71.404467124442206</v>
      </c>
      <c r="AN2742">
        <v>1.0000000029158</v>
      </c>
    </row>
    <row r="2743" spans="1:40" x14ac:dyDescent="0.25">
      <c r="A2743" t="str">
        <f>"20190312150716370"</f>
        <v>20190312150716370</v>
      </c>
      <c r="B2743" t="str">
        <f>"1552374436363290"</f>
        <v>1552374436363290</v>
      </c>
      <c r="C2743" t="s">
        <v>40</v>
      </c>
      <c r="D2743">
        <v>4.3932640000000003</v>
      </c>
      <c r="E2743">
        <v>0.66649399999999903</v>
      </c>
      <c r="F2743" t="s">
        <v>67</v>
      </c>
      <c r="G2743">
        <v>-217.29759999999999</v>
      </c>
      <c r="H2743" s="1">
        <v>2.3466129999999998E-6</v>
      </c>
      <c r="I2743">
        <v>284.14640000000003</v>
      </c>
      <c r="J2743">
        <v>-198.38570000000001</v>
      </c>
      <c r="K2743">
        <v>1.1057349999999999</v>
      </c>
      <c r="L2743">
        <v>287.03559999999999</v>
      </c>
      <c r="M2743">
        <v>-0.62975729999999996</v>
      </c>
      <c r="N2743">
        <v>0</v>
      </c>
      <c r="O2743">
        <v>-0.77664820000000001</v>
      </c>
      <c r="P2743">
        <v>-0.84434619999999905</v>
      </c>
      <c r="Q2743">
        <v>1.500169E-2</v>
      </c>
      <c r="R2743">
        <v>-0.53558809999999901</v>
      </c>
      <c r="S2743">
        <v>-3.2463229999999998</v>
      </c>
      <c r="T2743">
        <v>-0.1885936</v>
      </c>
      <c r="U2743">
        <v>-0.51541139999999996</v>
      </c>
      <c r="V2743">
        <v>0.31883889999999998</v>
      </c>
      <c r="W2743">
        <v>2.5249959999999998E-2</v>
      </c>
      <c r="X2743">
        <v>0.94747250000000005</v>
      </c>
      <c r="Y2743">
        <v>0.66634869999999902</v>
      </c>
      <c r="Z2743">
        <v>5.8307310000000001E-2</v>
      </c>
      <c r="AA2743">
        <v>0.74335709999999999</v>
      </c>
      <c r="AB2743">
        <v>17</v>
      </c>
      <c r="AC2743">
        <v>-18.9118999999999</v>
      </c>
      <c r="AD2743">
        <v>-1.105732653387</v>
      </c>
      <c r="AE2743">
        <v>-2.8891999999999598</v>
      </c>
      <c r="AF2743">
        <v>12.826986966488301</v>
      </c>
      <c r="AG2743">
        <v>-1.105732653387</v>
      </c>
      <c r="AH2743">
        <v>14.108251222809599</v>
      </c>
      <c r="AI2743">
        <v>93.318868436871298</v>
      </c>
      <c r="AJ2743">
        <v>47.7234115656589</v>
      </c>
      <c r="AK2743">
        <v>19.099659470920798</v>
      </c>
      <c r="AL2743">
        <v>88.553130045506705</v>
      </c>
      <c r="AM2743">
        <v>71.401131200430498</v>
      </c>
      <c r="AN2743">
        <v>0.99999997144472996</v>
      </c>
    </row>
    <row r="2744" spans="1:40" x14ac:dyDescent="0.25">
      <c r="A2744" t="str">
        <f>"20190312150716393"</f>
        <v>20190312150716393</v>
      </c>
      <c r="B2744" t="str">
        <f>"1552374436382810"</f>
        <v>1552374436382810</v>
      </c>
      <c r="C2744" t="s">
        <v>40</v>
      </c>
      <c r="D2744">
        <v>4.4244599999999998</v>
      </c>
      <c r="E2744">
        <v>0.66583950000000003</v>
      </c>
      <c r="F2744" t="s">
        <v>67</v>
      </c>
      <c r="G2744">
        <v>-217.99189999999999</v>
      </c>
      <c r="H2744" s="1">
        <v>2.7160860000000002E-6</v>
      </c>
      <c r="I2744">
        <v>284.15589999999997</v>
      </c>
      <c r="J2744">
        <v>-198.50579999999999</v>
      </c>
      <c r="K2744">
        <v>1.1057079999999999</v>
      </c>
      <c r="L2744">
        <v>286.90780000000001</v>
      </c>
      <c r="M2744">
        <v>-0.63799669999999997</v>
      </c>
      <c r="N2744">
        <v>0</v>
      </c>
      <c r="O2744">
        <v>-0.76989370000000001</v>
      </c>
      <c r="P2744">
        <v>-0.84946980000000005</v>
      </c>
      <c r="Q2744">
        <v>1.4387809999999999E-2</v>
      </c>
      <c r="R2744">
        <v>-0.5274411</v>
      </c>
      <c r="S2744">
        <v>-3.2532199999999998</v>
      </c>
      <c r="T2744">
        <v>-0.183472</v>
      </c>
      <c r="U2744">
        <v>-0.47781370000000001</v>
      </c>
      <c r="V2744">
        <v>0.31785960000000002</v>
      </c>
      <c r="W2744">
        <v>2.4654579999999999E-2</v>
      </c>
      <c r="X2744">
        <v>0.94781720000000003</v>
      </c>
      <c r="Y2744">
        <v>0.66717150000000003</v>
      </c>
      <c r="Z2744">
        <v>5.6529129999999997E-2</v>
      </c>
      <c r="AA2744">
        <v>0.74275609999999903</v>
      </c>
      <c r="AB2744">
        <v>17</v>
      </c>
      <c r="AC2744">
        <v>-19.4861</v>
      </c>
      <c r="AD2744">
        <v>-1.10570528391399</v>
      </c>
      <c r="AE2744">
        <v>-2.7519000000000302</v>
      </c>
      <c r="AF2744">
        <v>13.2063154952269</v>
      </c>
      <c r="AG2744">
        <v>-1.10570528391399</v>
      </c>
      <c r="AH2744">
        <v>14.506572285476</v>
      </c>
      <c r="AI2744">
        <v>93.225956276598694</v>
      </c>
      <c r="AJ2744">
        <v>47.686281994527903</v>
      </c>
      <c r="AK2744">
        <v>19.648663888623201</v>
      </c>
      <c r="AL2744">
        <v>88.587253485965107</v>
      </c>
      <c r="AM2744">
        <v>71.460627734761999</v>
      </c>
      <c r="AN2744">
        <v>1.00000000912148</v>
      </c>
    </row>
    <row r="2745" spans="1:40" x14ac:dyDescent="0.25">
      <c r="A2745" t="str">
        <f>"20190312150716415"</f>
        <v>20190312150716415</v>
      </c>
      <c r="B2745" t="str">
        <f>"1552374436413066"</f>
        <v>1552374436413066</v>
      </c>
      <c r="C2745" t="s">
        <v>40</v>
      </c>
      <c r="D2745">
        <v>4.6175620000000004</v>
      </c>
      <c r="E2745">
        <v>0.66477010000000003</v>
      </c>
      <c r="F2745" t="s">
        <v>67</v>
      </c>
      <c r="G2745">
        <v>-218.1285</v>
      </c>
      <c r="H2745" s="1">
        <v>2.7888150000000001E-6</v>
      </c>
      <c r="I2745">
        <v>284.1891</v>
      </c>
      <c r="J2745">
        <v>-198.62790000000001</v>
      </c>
      <c r="K2745">
        <v>1.1056820000000001</v>
      </c>
      <c r="L2745">
        <v>286.7808</v>
      </c>
      <c r="M2745">
        <v>-0.64632080000000003</v>
      </c>
      <c r="N2745">
        <v>0</v>
      </c>
      <c r="O2745">
        <v>-0.76291880000000001</v>
      </c>
      <c r="P2745">
        <v>-0.85437199999999902</v>
      </c>
      <c r="Q2745">
        <v>1.4222129999999999E-2</v>
      </c>
      <c r="R2745">
        <v>-0.51946749999999997</v>
      </c>
      <c r="S2745">
        <v>-3.2547450000000002</v>
      </c>
      <c r="T2745">
        <v>-0.1833987</v>
      </c>
      <c r="U2745">
        <v>-0.45092769999999999</v>
      </c>
      <c r="V2745">
        <v>0.31643729999999998</v>
      </c>
      <c r="W2745">
        <v>2.4516329999999999E-2</v>
      </c>
      <c r="X2745">
        <v>0.94829660000000005</v>
      </c>
      <c r="Y2745">
        <v>0.66516330000000001</v>
      </c>
      <c r="Z2745">
        <v>5.6279339999999997E-2</v>
      </c>
      <c r="AA2745">
        <v>0.74457399999999996</v>
      </c>
      <c r="AB2745">
        <v>17</v>
      </c>
      <c r="AC2745">
        <v>-19.500599999999899</v>
      </c>
      <c r="AD2745">
        <v>-1.105679211185</v>
      </c>
      <c r="AE2745">
        <v>-2.5916999999999999</v>
      </c>
      <c r="AF2745">
        <v>13.162205578872801</v>
      </c>
      <c r="AG2745">
        <v>-1.105679211185</v>
      </c>
      <c r="AH2745">
        <v>14.536613705269</v>
      </c>
      <c r="AI2745">
        <v>93.227096483637794</v>
      </c>
      <c r="AJ2745">
        <v>47.840671679292598</v>
      </c>
      <c r="AK2745">
        <v>19.641265749303699</v>
      </c>
      <c r="AL2745">
        <v>88.595177049564299</v>
      </c>
      <c r="AM2745">
        <v>71.546649916752997</v>
      </c>
      <c r="AN2745">
        <v>1.0000000284197501</v>
      </c>
    </row>
    <row r="2746" spans="1:40" x14ac:dyDescent="0.25">
      <c r="A2746" t="str">
        <f>"20190312150716438"</f>
        <v>20190312150716438</v>
      </c>
      <c r="B2746" t="str">
        <f>"1552374436432586"</f>
        <v>1552374436432586</v>
      </c>
      <c r="C2746" t="s">
        <v>40</v>
      </c>
      <c r="D2746">
        <v>4.4565010000000003</v>
      </c>
      <c r="E2746">
        <v>0.6632924</v>
      </c>
      <c r="F2746" t="s">
        <v>67</v>
      </c>
      <c r="G2746">
        <v>-217.29929999999999</v>
      </c>
      <c r="H2746" s="1">
        <v>2.3475629999999998E-6</v>
      </c>
      <c r="I2746">
        <v>284.3295</v>
      </c>
      <c r="J2746">
        <v>-198.7482</v>
      </c>
      <c r="K2746">
        <v>1.1056589999999999</v>
      </c>
      <c r="L2746">
        <v>286.6585</v>
      </c>
      <c r="M2746">
        <v>-0.65446190000000004</v>
      </c>
      <c r="N2746">
        <v>0</v>
      </c>
      <c r="O2746">
        <v>-0.75594629999999996</v>
      </c>
      <c r="P2746">
        <v>-0.85942779999999996</v>
      </c>
      <c r="Q2746">
        <v>1.4360960000000001E-2</v>
      </c>
      <c r="R2746">
        <v>-0.51105559999999906</v>
      </c>
      <c r="S2746">
        <v>-3.2547450000000002</v>
      </c>
      <c r="T2746">
        <v>-0.1927382</v>
      </c>
      <c r="U2746">
        <v>-0.4273071</v>
      </c>
      <c r="V2746">
        <v>0.31558209999999998</v>
      </c>
      <c r="W2746">
        <v>2.46684E-2</v>
      </c>
      <c r="X2746">
        <v>0.94857760000000002</v>
      </c>
      <c r="Y2746">
        <v>0.66228180000000003</v>
      </c>
      <c r="Z2746">
        <v>5.8885779999999999E-2</v>
      </c>
      <c r="AA2746">
        <v>0.74693730000000003</v>
      </c>
      <c r="AB2746">
        <v>17</v>
      </c>
      <c r="AC2746">
        <v>-18.551099999999899</v>
      </c>
      <c r="AD2746">
        <v>-1.105656652437</v>
      </c>
      <c r="AE2746">
        <v>-2.3290000000000002</v>
      </c>
      <c r="AF2746">
        <v>12.4572345550525</v>
      </c>
      <c r="AG2746">
        <v>-1.105656652437</v>
      </c>
      <c r="AH2746">
        <v>13.8546985550953</v>
      </c>
      <c r="AI2746">
        <v>93.396131172550696</v>
      </c>
      <c r="AJ2746">
        <v>48.040203448502197</v>
      </c>
      <c r="AK2746">
        <v>18.664346799318501</v>
      </c>
      <c r="AL2746">
        <v>88.586461443397795</v>
      </c>
      <c r="AM2746">
        <v>71.598241717281894</v>
      </c>
      <c r="AN2746">
        <v>1.00000002751036</v>
      </c>
    </row>
    <row r="2747" spans="1:40" x14ac:dyDescent="0.25">
      <c r="A2747" t="str">
        <f>"20190312150716462"</f>
        <v>20190312150716462</v>
      </c>
      <c r="B2747" t="str">
        <f>"1552374436453082"</f>
        <v>1552374436453082</v>
      </c>
      <c r="C2747" t="s">
        <v>40</v>
      </c>
      <c r="D2747">
        <v>4.6205559999999997</v>
      </c>
      <c r="E2747">
        <v>0.66321989999999997</v>
      </c>
      <c r="F2747" t="s">
        <v>67</v>
      </c>
      <c r="G2747">
        <v>-216.95480000000001</v>
      </c>
      <c r="H2747" s="1">
        <v>2.164216E-6</v>
      </c>
      <c r="I2747">
        <v>284.38819999999998</v>
      </c>
      <c r="J2747">
        <v>-198.87979999999999</v>
      </c>
      <c r="K2747">
        <v>1.105626</v>
      </c>
      <c r="L2747">
        <v>286.52800000000002</v>
      </c>
      <c r="M2747">
        <v>-0.66328419999999999</v>
      </c>
      <c r="N2747">
        <v>0</v>
      </c>
      <c r="O2747">
        <v>-0.74821680000000002</v>
      </c>
      <c r="P2747">
        <v>-0.86496309999999998</v>
      </c>
      <c r="Q2747">
        <v>1.4404510000000001E-2</v>
      </c>
      <c r="R2747">
        <v>-0.50162910000000005</v>
      </c>
      <c r="S2747">
        <v>-3.2528079999999999</v>
      </c>
      <c r="T2747">
        <v>-0.19753780000000001</v>
      </c>
      <c r="U2747">
        <v>-0.4056091</v>
      </c>
      <c r="V2747">
        <v>0.31482769999999999</v>
      </c>
      <c r="W2747">
        <v>2.4717980000000001E-2</v>
      </c>
      <c r="X2747">
        <v>0.94882699999999998</v>
      </c>
      <c r="Y2747">
        <v>0.6582462</v>
      </c>
      <c r="Z2747">
        <v>6.0049079999999998E-2</v>
      </c>
      <c r="AA2747">
        <v>0.75040399999999996</v>
      </c>
      <c r="AB2747">
        <v>17</v>
      </c>
      <c r="AC2747">
        <v>-18.074999999999999</v>
      </c>
      <c r="AD2747">
        <v>-1.105623835784</v>
      </c>
      <c r="AE2747">
        <v>-2.1398000000000299</v>
      </c>
      <c r="AF2747">
        <v>12.0615833599617</v>
      </c>
      <c r="AG2747">
        <v>-1.105623835784</v>
      </c>
      <c r="AH2747">
        <v>13.5414634775188</v>
      </c>
      <c r="AI2747">
        <v>93.488926758985698</v>
      </c>
      <c r="AJ2747">
        <v>48.308069034536103</v>
      </c>
      <c r="AK2747">
        <v>18.167978157421299</v>
      </c>
      <c r="AL2747">
        <v>88.583619909019504</v>
      </c>
      <c r="AM2747">
        <v>71.643780274298194</v>
      </c>
      <c r="AN2747">
        <v>1.0000000675757801</v>
      </c>
    </row>
    <row r="2748" spans="1:40" x14ac:dyDescent="0.25">
      <c r="A2748" t="str">
        <f>"20190312150716484"</f>
        <v>20190312150716484</v>
      </c>
      <c r="B2748" t="str">
        <f>"1552374436473578"</f>
        <v>1552374436473578</v>
      </c>
      <c r="C2748" t="s">
        <v>40</v>
      </c>
      <c r="D2748">
        <v>4.6771719999999997</v>
      </c>
      <c r="E2748">
        <v>0.66298349999999995</v>
      </c>
      <c r="F2748" t="s">
        <v>67</v>
      </c>
      <c r="G2748">
        <v>-216.22810000000001</v>
      </c>
      <c r="H2748" s="1">
        <v>1.7775130000000001E-6</v>
      </c>
      <c r="I2748">
        <v>284.55619999999999</v>
      </c>
      <c r="J2748">
        <v>-198.99979999999999</v>
      </c>
      <c r="K2748">
        <v>1.1055870000000001</v>
      </c>
      <c r="L2748">
        <v>286.4119</v>
      </c>
      <c r="M2748">
        <v>-0.67125630000000003</v>
      </c>
      <c r="N2748">
        <v>0</v>
      </c>
      <c r="O2748">
        <v>-0.74107270000000003</v>
      </c>
      <c r="P2748">
        <v>-0.86980480000000004</v>
      </c>
      <c r="Q2748">
        <v>1.3801300000000001E-2</v>
      </c>
      <c r="R2748">
        <v>-0.49320310000000001</v>
      </c>
      <c r="S2748">
        <v>-3.2570950000000001</v>
      </c>
      <c r="T2748">
        <v>-0.20757709999999999</v>
      </c>
      <c r="U2748">
        <v>-0.3702087</v>
      </c>
      <c r="V2748">
        <v>0.3138881</v>
      </c>
      <c r="W2748">
        <v>2.4121150000000001E-2</v>
      </c>
      <c r="X2748">
        <v>0.94915349999999998</v>
      </c>
      <c r="Y2748">
        <v>0.65814150000000005</v>
      </c>
      <c r="Z2748">
        <v>6.2828480000000006E-2</v>
      </c>
      <c r="AA2748">
        <v>0.75026819999999905</v>
      </c>
      <c r="AB2748">
        <v>17</v>
      </c>
      <c r="AC2748">
        <v>-17.228300000000001</v>
      </c>
      <c r="AD2748">
        <v>-1.105585222487</v>
      </c>
      <c r="AE2748">
        <v>-1.8557000000000099</v>
      </c>
      <c r="AF2748">
        <v>11.4763569565173</v>
      </c>
      <c r="AG2748">
        <v>-1.105585222487</v>
      </c>
      <c r="AH2748">
        <v>12.8888084863234</v>
      </c>
      <c r="AI2748">
        <v>93.665547966520805</v>
      </c>
      <c r="AJ2748">
        <v>48.317730007922897</v>
      </c>
      <c r="AK2748">
        <v>17.293075836146301</v>
      </c>
      <c r="AL2748">
        <v>88.617825809790503</v>
      </c>
      <c r="AM2748">
        <v>71.700783993514094</v>
      </c>
      <c r="AN2748">
        <v>0.99999996788058998</v>
      </c>
    </row>
    <row r="2749" spans="1:40" x14ac:dyDescent="0.25">
      <c r="A2749" t="str">
        <f>"20190312150716506"</f>
        <v>20190312150716506</v>
      </c>
      <c r="B2749" t="str">
        <f>"1552374436502859"</f>
        <v>1552374436502859</v>
      </c>
      <c r="C2749" t="s">
        <v>40</v>
      </c>
      <c r="D2749">
        <v>4.6502689999999998</v>
      </c>
      <c r="E2749">
        <v>0.66240500000000002</v>
      </c>
      <c r="F2749" t="s">
        <v>67</v>
      </c>
      <c r="G2749">
        <v>-215.7636</v>
      </c>
      <c r="H2749" s="1">
        <v>1.530331E-6</v>
      </c>
      <c r="I2749">
        <v>284.66379999999998</v>
      </c>
      <c r="J2749">
        <v>-199.1242</v>
      </c>
      <c r="K2749">
        <v>1.1055549999999901</v>
      </c>
      <c r="L2749">
        <v>286.29430000000002</v>
      </c>
      <c r="M2749">
        <v>-0.67944490000000002</v>
      </c>
      <c r="N2749">
        <v>0</v>
      </c>
      <c r="O2749">
        <v>-0.73357190000000005</v>
      </c>
      <c r="P2749">
        <v>-0.87500919999999904</v>
      </c>
      <c r="Q2749">
        <v>1.296888E-2</v>
      </c>
      <c r="R2749">
        <v>-0.48393239999999998</v>
      </c>
      <c r="S2749">
        <v>-3.2597200000000002</v>
      </c>
      <c r="T2749">
        <v>-0.2149799</v>
      </c>
      <c r="U2749">
        <v>-0.33990479999999901</v>
      </c>
      <c r="V2749">
        <v>0.31343409999999999</v>
      </c>
      <c r="W2749">
        <v>2.3286919999999999E-2</v>
      </c>
      <c r="X2749">
        <v>0.94932439999999996</v>
      </c>
      <c r="Y2749">
        <v>0.65659040000000002</v>
      </c>
      <c r="Z2749">
        <v>6.4736310000000005E-2</v>
      </c>
      <c r="AA2749">
        <v>0.75146409999999997</v>
      </c>
      <c r="AB2749">
        <v>17</v>
      </c>
      <c r="AC2749">
        <v>-16.639399999999899</v>
      </c>
      <c r="AD2749">
        <v>-1.1055534696689999</v>
      </c>
      <c r="AE2749">
        <v>-1.63050000000004</v>
      </c>
      <c r="AF2749">
        <v>11.051298401039899</v>
      </c>
      <c r="AG2749">
        <v>-1.1055534696689999</v>
      </c>
      <c r="AH2749">
        <v>12.4486308220566</v>
      </c>
      <c r="AI2749">
        <v>93.799680759837997</v>
      </c>
      <c r="AJ2749">
        <v>48.402865329753197</v>
      </c>
      <c r="AK2749">
        <v>16.682980973644401</v>
      </c>
      <c r="AL2749">
        <v>88.665637169183299</v>
      </c>
      <c r="AM2749">
        <v>71.728562803374999</v>
      </c>
      <c r="AN2749">
        <v>1.0000000160606199</v>
      </c>
    </row>
    <row r="2750" spans="1:40" x14ac:dyDescent="0.25">
      <c r="A2750" t="str">
        <f>"20190312150716527"</f>
        <v>20190312150716527</v>
      </c>
      <c r="B2750" t="str">
        <f>"1552374436523354"</f>
        <v>1552374436523354</v>
      </c>
      <c r="C2750" t="s">
        <v>40</v>
      </c>
      <c r="D2750">
        <v>4.5651120000000001</v>
      </c>
      <c r="E2750">
        <v>0.66172259999999905</v>
      </c>
      <c r="F2750" t="s">
        <v>67</v>
      </c>
      <c r="G2750">
        <v>-214.84</v>
      </c>
      <c r="H2750" s="1">
        <v>1.038842E-6</v>
      </c>
      <c r="I2750">
        <v>284.80709999999999</v>
      </c>
      <c r="J2750">
        <v>-199.2389</v>
      </c>
      <c r="K2750">
        <v>1.105526</v>
      </c>
      <c r="L2750">
        <v>286.18849999999998</v>
      </c>
      <c r="M2750">
        <v>-0.68692129999999996</v>
      </c>
      <c r="N2750">
        <v>0</v>
      </c>
      <c r="O2750">
        <v>-0.72657559999999999</v>
      </c>
      <c r="P2750">
        <v>-0.87981399999999998</v>
      </c>
      <c r="Q2750">
        <v>1.26321E-2</v>
      </c>
      <c r="R2750">
        <v>-0.47515089999999999</v>
      </c>
      <c r="S2750">
        <v>-3.2612299999999999</v>
      </c>
      <c r="T2750">
        <v>-0.2294158</v>
      </c>
      <c r="U2750">
        <v>-0.30862430000000002</v>
      </c>
      <c r="V2750">
        <v>0.31321480000000002</v>
      </c>
      <c r="W2750">
        <v>2.2947990000000001E-2</v>
      </c>
      <c r="X2750">
        <v>0.94940500000000005</v>
      </c>
      <c r="Y2750">
        <v>0.65570010000000001</v>
      </c>
      <c r="Z2750">
        <v>6.8781590000000004E-2</v>
      </c>
      <c r="AA2750">
        <v>0.75188199999999905</v>
      </c>
      <c r="AB2750">
        <v>17</v>
      </c>
      <c r="AC2750">
        <v>-15.601100000000001</v>
      </c>
      <c r="AD2750">
        <v>-1.105524961158</v>
      </c>
      <c r="AE2750">
        <v>-1.38139999999998</v>
      </c>
      <c r="AF2750">
        <v>10.3361463174009</v>
      </c>
      <c r="AG2750">
        <v>-1.105524961158</v>
      </c>
      <c r="AH2750">
        <v>11.6636376438773</v>
      </c>
      <c r="AI2750">
        <v>94.057622753796906</v>
      </c>
      <c r="AJ2750">
        <v>48.453103872088398</v>
      </c>
      <c r="AK2750">
        <v>15.6236535170918</v>
      </c>
      <c r="AL2750">
        <v>88.685061581159104</v>
      </c>
      <c r="AM2750">
        <v>71.741945634333305</v>
      </c>
      <c r="AN2750">
        <v>0.99999998760454001</v>
      </c>
    </row>
    <row r="2751" spans="1:40" x14ac:dyDescent="0.25">
      <c r="A2751" t="str">
        <f>"20190312150716549"</f>
        <v>20190312150716549</v>
      </c>
      <c r="B2751" t="str">
        <f>"1552374436542874"</f>
        <v>1552374436542874</v>
      </c>
      <c r="C2751" t="s">
        <v>40</v>
      </c>
      <c r="D2751">
        <v>4.4262499999999996</v>
      </c>
      <c r="E2751">
        <v>0.66123619999999905</v>
      </c>
      <c r="F2751" t="s">
        <v>67</v>
      </c>
      <c r="G2751">
        <v>-214.71719999999999</v>
      </c>
      <c r="H2751" s="1">
        <v>9.7344950000000006E-7</v>
      </c>
      <c r="I2751">
        <v>284.85680000000002</v>
      </c>
      <c r="J2751">
        <v>-199.364</v>
      </c>
      <c r="K2751">
        <v>1.105513</v>
      </c>
      <c r="L2751">
        <v>286.07580000000002</v>
      </c>
      <c r="M2751">
        <v>-0.69497439999999999</v>
      </c>
      <c r="N2751">
        <v>0</v>
      </c>
      <c r="O2751">
        <v>-0.71887609999999902</v>
      </c>
      <c r="P2751">
        <v>-0.88504859999999896</v>
      </c>
      <c r="Q2751">
        <v>1.3277870000000001E-2</v>
      </c>
      <c r="R2751">
        <v>-0.46530949999999999</v>
      </c>
      <c r="S2751">
        <v>-3.261612</v>
      </c>
      <c r="T2751">
        <v>-0.23295869999999999</v>
      </c>
      <c r="U2751">
        <v>-0.2806091</v>
      </c>
      <c r="V2751">
        <v>0.31322640000000002</v>
      </c>
      <c r="W2751">
        <v>2.3597739999999999E-2</v>
      </c>
      <c r="X2751">
        <v>0.94938529999999999</v>
      </c>
      <c r="Y2751">
        <v>0.65364040000000001</v>
      </c>
      <c r="Z2751">
        <v>6.9477769999999994E-2</v>
      </c>
      <c r="AA2751">
        <v>0.75360939999999998</v>
      </c>
      <c r="AB2751">
        <v>17</v>
      </c>
      <c r="AC2751">
        <v>-15.3531999999999</v>
      </c>
      <c r="AD2751">
        <v>-1.1055120265504901</v>
      </c>
      <c r="AE2751">
        <v>-1.2189999999999901</v>
      </c>
      <c r="AF2751">
        <v>10.138797260598899</v>
      </c>
      <c r="AG2751">
        <v>-1.1055120265504901</v>
      </c>
      <c r="AH2751">
        <v>11.4885138041774</v>
      </c>
      <c r="AI2751">
        <v>94.126697182812606</v>
      </c>
      <c r="AJ2751">
        <v>48.571081835161102</v>
      </c>
      <c r="AK2751">
        <v>15.362399427210301</v>
      </c>
      <c r="AL2751">
        <v>88.647823631473003</v>
      </c>
      <c r="AM2751">
        <v>71.740960562723899</v>
      </c>
      <c r="AN2751">
        <v>1.0000000394230699</v>
      </c>
    </row>
    <row r="2752" spans="1:40" x14ac:dyDescent="0.25">
      <c r="A2752" t="str">
        <f>"20190312150716572"</f>
        <v>20190312150716572</v>
      </c>
      <c r="B2752" t="str">
        <f>"1552374436563370"</f>
        <v>1552374436563370</v>
      </c>
      <c r="C2752" t="s">
        <v>40</v>
      </c>
      <c r="D2752">
        <v>4.585229</v>
      </c>
      <c r="E2752">
        <v>0.66050679999999995</v>
      </c>
      <c r="F2752" t="s">
        <v>67</v>
      </c>
      <c r="G2752">
        <v>-215.0847</v>
      </c>
      <c r="H2752" s="1">
        <v>1.169039E-6</v>
      </c>
      <c r="I2752">
        <v>284.8811</v>
      </c>
      <c r="J2752">
        <v>-199.49760000000001</v>
      </c>
      <c r="K2752">
        <v>1.1055200000000001</v>
      </c>
      <c r="L2752">
        <v>285.95819999999998</v>
      </c>
      <c r="M2752">
        <v>-0.70346839999999999</v>
      </c>
      <c r="N2752">
        <v>0</v>
      </c>
      <c r="O2752">
        <v>-0.71056580000000003</v>
      </c>
      <c r="P2752">
        <v>-0.89093829999999996</v>
      </c>
      <c r="Q2752">
        <v>1.406374E-2</v>
      </c>
      <c r="R2752">
        <v>-0.45390649999999999</v>
      </c>
      <c r="S2752">
        <v>-3.2627109999999999</v>
      </c>
      <c r="T2752">
        <v>-0.2294397</v>
      </c>
      <c r="U2752">
        <v>-0.24795529999999999</v>
      </c>
      <c r="V2752">
        <v>0.31413590000000002</v>
      </c>
      <c r="W2752">
        <v>2.438048E-2</v>
      </c>
      <c r="X2752">
        <v>0.94906489999999999</v>
      </c>
      <c r="Y2752">
        <v>0.65228989999999998</v>
      </c>
      <c r="Z2752">
        <v>6.8053520000000006E-2</v>
      </c>
      <c r="AA2752">
        <v>0.75490829999999998</v>
      </c>
      <c r="AB2752">
        <v>17</v>
      </c>
      <c r="AC2752">
        <v>-15.5870999999999</v>
      </c>
      <c r="AD2752">
        <v>-1.105518830961</v>
      </c>
      <c r="AE2752">
        <v>-1.07709999999997</v>
      </c>
      <c r="AF2752">
        <v>10.267727948576599</v>
      </c>
      <c r="AG2752">
        <v>-1.105518830961</v>
      </c>
      <c r="AH2752">
        <v>11.6732807899382</v>
      </c>
      <c r="AI2752">
        <v>94.067498959878506</v>
      </c>
      <c r="AJ2752">
        <v>48.665390029788298</v>
      </c>
      <c r="AK2752">
        <v>15.5856951565316</v>
      </c>
      <c r="AL2752">
        <v>88.602962937740898</v>
      </c>
      <c r="AM2752">
        <v>71.685705720314004</v>
      </c>
      <c r="AN2752">
        <v>0.99999997794292395</v>
      </c>
    </row>
    <row r="2753" spans="1:40" x14ac:dyDescent="0.25">
      <c r="A2753" t="str">
        <f>"20190312150716594"</f>
        <v>20190312150716594</v>
      </c>
      <c r="B2753" t="str">
        <f>"1552374436582890"</f>
        <v>1552374436582890</v>
      </c>
      <c r="C2753" t="s">
        <v>40</v>
      </c>
      <c r="D2753">
        <v>4.5757669999999999</v>
      </c>
      <c r="E2753">
        <v>0.6597151</v>
      </c>
      <c r="F2753" t="s">
        <v>67</v>
      </c>
      <c r="G2753">
        <v>-215.05420000000001</v>
      </c>
      <c r="H2753" s="1">
        <v>1.152817E-6</v>
      </c>
      <c r="I2753">
        <v>284.94920000000002</v>
      </c>
      <c r="J2753">
        <v>-199.62260000000001</v>
      </c>
      <c r="K2753">
        <v>1.105529</v>
      </c>
      <c r="L2753">
        <v>285.85090000000002</v>
      </c>
      <c r="M2753">
        <v>-0.71129100000000001</v>
      </c>
      <c r="N2753">
        <v>0</v>
      </c>
      <c r="O2753">
        <v>-0.70273490000000005</v>
      </c>
      <c r="P2753">
        <v>-0.89642630000000001</v>
      </c>
      <c r="Q2753">
        <v>1.443212E-2</v>
      </c>
      <c r="R2753">
        <v>-0.44295810000000002</v>
      </c>
      <c r="S2753">
        <v>-3.263077</v>
      </c>
      <c r="T2753">
        <v>-0.2318885</v>
      </c>
      <c r="U2753">
        <v>-0.21163940000000001</v>
      </c>
      <c r="V2753">
        <v>0.31525690000000001</v>
      </c>
      <c r="W2753">
        <v>2.4746110000000002E-2</v>
      </c>
      <c r="X2753">
        <v>0.94868370000000002</v>
      </c>
      <c r="Y2753">
        <v>0.65223149999999996</v>
      </c>
      <c r="Z2753">
        <v>6.8474069999999998E-2</v>
      </c>
      <c r="AA2753">
        <v>0.75492079999999995</v>
      </c>
      <c r="AB2753">
        <v>17</v>
      </c>
      <c r="AC2753">
        <v>-15.4316</v>
      </c>
      <c r="AD2753">
        <v>-1.1055278471829999</v>
      </c>
      <c r="AE2753">
        <v>-0.90170000000000505</v>
      </c>
      <c r="AF2753">
        <v>10.152192619004699</v>
      </c>
      <c r="AG2753">
        <v>-1.1055278471829999</v>
      </c>
      <c r="AH2753">
        <v>11.5522538889378</v>
      </c>
      <c r="AI2753">
        <v>94.111597058367494</v>
      </c>
      <c r="AJ2753">
        <v>48.690792907713004</v>
      </c>
      <c r="AK2753">
        <v>15.4189421397432</v>
      </c>
      <c r="AL2753">
        <v>88.582007622195505</v>
      </c>
      <c r="AM2753">
        <v>71.617846589130096</v>
      </c>
      <c r="AN2753">
        <v>1.0000000228017101</v>
      </c>
    </row>
    <row r="2754" spans="1:40" x14ac:dyDescent="0.25">
      <c r="A2754" t="str">
        <f>"20190312150716617"</f>
        <v>20190312150716617</v>
      </c>
      <c r="B2754" t="str">
        <f>"1552374436613146"</f>
        <v>1552374436613146</v>
      </c>
      <c r="C2754" t="s">
        <v>40</v>
      </c>
      <c r="D2754">
        <v>4.5834570000000001</v>
      </c>
      <c r="E2754">
        <v>0.65845949999999998</v>
      </c>
      <c r="F2754" t="s">
        <v>67</v>
      </c>
      <c r="G2754">
        <v>-215.11269999999999</v>
      </c>
      <c r="H2754" s="1">
        <v>1.1839170000000001E-6</v>
      </c>
      <c r="I2754">
        <v>285.0093</v>
      </c>
      <c r="J2754">
        <v>-199.75659999999999</v>
      </c>
      <c r="K2754">
        <v>1.1055459999999999</v>
      </c>
      <c r="L2754">
        <v>285.73849999999999</v>
      </c>
      <c r="M2754">
        <v>-0.719557</v>
      </c>
      <c r="N2754">
        <v>0</v>
      </c>
      <c r="O2754">
        <v>-0.69426849999999996</v>
      </c>
      <c r="P2754">
        <v>-0.90217760000000002</v>
      </c>
      <c r="Q2754">
        <v>1.442101E-2</v>
      </c>
      <c r="R2754">
        <v>-0.4311236</v>
      </c>
      <c r="S2754">
        <v>-3.262772</v>
      </c>
      <c r="T2754">
        <v>-0.23286380000000001</v>
      </c>
      <c r="U2754">
        <v>-0.17727660000000001</v>
      </c>
      <c r="V2754">
        <v>0.31651319999999999</v>
      </c>
      <c r="W2754">
        <v>2.4732279999999999E-2</v>
      </c>
      <c r="X2754">
        <v>0.94826569999999999</v>
      </c>
      <c r="Y2754">
        <v>0.65118849999999995</v>
      </c>
      <c r="Z2754">
        <v>6.8387580000000003E-2</v>
      </c>
      <c r="AA2754">
        <v>0.75582850000000001</v>
      </c>
      <c r="AB2754">
        <v>16</v>
      </c>
      <c r="AC2754">
        <v>-15.3560999999999</v>
      </c>
      <c r="AD2754">
        <v>-1.1055448160829999</v>
      </c>
      <c r="AE2754">
        <v>-0.72919999999999097</v>
      </c>
      <c r="AF2754">
        <v>10.085559246791799</v>
      </c>
      <c r="AG2754">
        <v>-1.1055448160829999</v>
      </c>
      <c r="AH2754">
        <v>11.497713165986699</v>
      </c>
      <c r="AI2754">
        <v>94.134418167107498</v>
      </c>
      <c r="AJ2754">
        <v>48.743422158128297</v>
      </c>
      <c r="AK2754">
        <v>15.3342147731216</v>
      </c>
      <c r="AL2754">
        <v>88.582800324685294</v>
      </c>
      <c r="AM2754">
        <v>71.541962937504906</v>
      </c>
      <c r="AN2754">
        <v>1.0000000646223599</v>
      </c>
    </row>
    <row r="2755" spans="1:40" x14ac:dyDescent="0.25">
      <c r="A2755" t="str">
        <f>"20190312150716638"</f>
        <v>20190312150716638</v>
      </c>
      <c r="B2755" t="str">
        <f>"1552374436632667"</f>
        <v>1552374436632667</v>
      </c>
      <c r="C2755" t="s">
        <v>40</v>
      </c>
      <c r="D2755">
        <v>4.5351189999999999</v>
      </c>
      <c r="E2755">
        <v>0.65765779999999996</v>
      </c>
      <c r="F2755" t="s">
        <v>67</v>
      </c>
      <c r="G2755">
        <v>-215.8253</v>
      </c>
      <c r="H2755" s="1">
        <v>1.563149E-6</v>
      </c>
      <c r="I2755">
        <v>285.02839999999998</v>
      </c>
      <c r="J2755">
        <v>-199.87809999999999</v>
      </c>
      <c r="K2755">
        <v>1.105556</v>
      </c>
      <c r="L2755">
        <v>285.63900000000001</v>
      </c>
      <c r="M2755">
        <v>-0.7269333</v>
      </c>
      <c r="N2755">
        <v>0</v>
      </c>
      <c r="O2755">
        <v>-0.68654130000000002</v>
      </c>
      <c r="P2755">
        <v>-0.90722800000000003</v>
      </c>
      <c r="Q2755">
        <v>1.34547E-2</v>
      </c>
      <c r="R2755">
        <v>-0.42042400000000002</v>
      </c>
      <c r="S2755">
        <v>-3.2600250000000002</v>
      </c>
      <c r="T2755">
        <v>-0.22429279999999999</v>
      </c>
      <c r="U2755">
        <v>-0.14407349999999999</v>
      </c>
      <c r="V2755">
        <v>0.31759379999999998</v>
      </c>
      <c r="W2755">
        <v>2.3763630000000001E-2</v>
      </c>
      <c r="X2755">
        <v>0.94792900000000002</v>
      </c>
      <c r="Y2755">
        <v>0.65097519999999998</v>
      </c>
      <c r="Z2755">
        <v>6.5614399999999906E-2</v>
      </c>
      <c r="AA2755">
        <v>0.75625790000000004</v>
      </c>
      <c r="AB2755">
        <v>16</v>
      </c>
      <c r="AC2755">
        <v>-15.9472</v>
      </c>
      <c r="AD2755">
        <v>-1.105554436851</v>
      </c>
      <c r="AE2755">
        <v>-0.61060000000003301</v>
      </c>
      <c r="AF2755">
        <v>10.455572232229001</v>
      </c>
      <c r="AG2755">
        <v>-1.105554436851</v>
      </c>
      <c r="AH2755">
        <v>11.9557523086252</v>
      </c>
      <c r="AI2755">
        <v>93.981800315838697</v>
      </c>
      <c r="AJ2755">
        <v>48.829579596167001</v>
      </c>
      <c r="AK2755">
        <v>15.9210946414308</v>
      </c>
      <c r="AL2755">
        <v>88.638316061304394</v>
      </c>
      <c r="AM2755">
        <v>71.477108015603207</v>
      </c>
      <c r="AN2755">
        <v>0.99999996047510697</v>
      </c>
    </row>
    <row r="2756" spans="1:40" x14ac:dyDescent="0.25">
      <c r="A2756" t="str">
        <f>"20190312150716674"</f>
        <v>20190312150716674</v>
      </c>
      <c r="B2756" t="str">
        <f>"1552374436662922"</f>
        <v>1552374436662922</v>
      </c>
      <c r="C2756" t="s">
        <v>40</v>
      </c>
      <c r="D2756">
        <v>4.5486469999999999</v>
      </c>
      <c r="E2756">
        <v>0.64150469999999904</v>
      </c>
      <c r="F2756" t="s">
        <v>67</v>
      </c>
      <c r="G2756">
        <v>-215.84190000000001</v>
      </c>
      <c r="H2756" s="1">
        <v>1.5719569999999901E-6</v>
      </c>
      <c r="I2756">
        <v>285.09280000000001</v>
      </c>
      <c r="J2756">
        <v>-200.08760000000001</v>
      </c>
      <c r="K2756">
        <v>1.1055680000000001</v>
      </c>
      <c r="L2756">
        <v>285.4726</v>
      </c>
      <c r="M2756">
        <v>-0.73936899999999905</v>
      </c>
      <c r="N2756">
        <v>0</v>
      </c>
      <c r="O2756">
        <v>-0.67313020000000001</v>
      </c>
      <c r="P2756">
        <v>-0.91429510000000003</v>
      </c>
      <c r="Q2756">
        <v>1.2544390000000001E-2</v>
      </c>
      <c r="R2756">
        <v>-0.4048544</v>
      </c>
      <c r="S2756">
        <v>-3.2584840000000002</v>
      </c>
      <c r="T2756">
        <v>-0.22566349999999999</v>
      </c>
      <c r="U2756">
        <v>-0.1114807</v>
      </c>
      <c r="V2756">
        <v>0.31645469999999998</v>
      </c>
      <c r="W2756">
        <v>2.2896980000000001E-2</v>
      </c>
      <c r="X2756">
        <v>0.94833120000000004</v>
      </c>
      <c r="Y2756">
        <v>0.64463619999999899</v>
      </c>
      <c r="Z2756">
        <v>6.5221790000000002E-2</v>
      </c>
      <c r="AA2756">
        <v>0.7617022</v>
      </c>
      <c r="AB2756">
        <v>16</v>
      </c>
      <c r="AC2756">
        <v>-15.754300000000001</v>
      </c>
      <c r="AD2756">
        <v>-1.105566428043</v>
      </c>
      <c r="AE2756">
        <v>-0.37979999999998798</v>
      </c>
      <c r="AF2756">
        <v>10.274497704677801</v>
      </c>
      <c r="AG2756">
        <v>-1.105566428043</v>
      </c>
      <c r="AH2756">
        <v>11.846952717705101</v>
      </c>
      <c r="AI2756">
        <v>94.032705066293303</v>
      </c>
      <c r="AJ2756">
        <v>49.065906588948302</v>
      </c>
      <c r="AK2756">
        <v>15.7206192278099</v>
      </c>
      <c r="AL2756">
        <v>88.687984966720407</v>
      </c>
      <c r="AM2756">
        <v>71.546331652689901</v>
      </c>
      <c r="AN2756">
        <v>0.99999995686932397</v>
      </c>
    </row>
    <row r="2757" spans="1:40" x14ac:dyDescent="0.25">
      <c r="A2757" t="str">
        <f>"20190312150716696"</f>
        <v>20190312150716696</v>
      </c>
      <c r="B2757" t="str">
        <f>"1552374436693178"</f>
        <v>1552374436693178</v>
      </c>
      <c r="C2757" t="s">
        <v>40</v>
      </c>
      <c r="D2757">
        <v>4.5095859999999997</v>
      </c>
      <c r="E2757">
        <v>0.64017919999999995</v>
      </c>
      <c r="F2757" t="s">
        <v>67</v>
      </c>
      <c r="G2757">
        <v>-214.1788</v>
      </c>
      <c r="H2757" s="1">
        <v>6.869729E-7</v>
      </c>
      <c r="I2757">
        <v>284.71510000000001</v>
      </c>
      <c r="J2757">
        <v>-200.21940000000001</v>
      </c>
      <c r="K2757">
        <v>1.105586</v>
      </c>
      <c r="L2757">
        <v>285.37119999999999</v>
      </c>
      <c r="M2757">
        <v>-0.74701110000000004</v>
      </c>
      <c r="N2757">
        <v>0</v>
      </c>
      <c r="O2757">
        <v>-0.66463909999999904</v>
      </c>
      <c r="P2757">
        <v>-0.91832009999999997</v>
      </c>
      <c r="Q2757">
        <v>1.26949E-2</v>
      </c>
      <c r="R2757">
        <v>-0.39563530000000002</v>
      </c>
      <c r="S2757">
        <v>-3.2082820000000001</v>
      </c>
      <c r="T2757">
        <v>-0.25171470000000001</v>
      </c>
      <c r="U2757">
        <v>-0.17248540000000001</v>
      </c>
      <c r="V2757">
        <v>0.31516040000000001</v>
      </c>
      <c r="W2757">
        <v>2.308385E-2</v>
      </c>
      <c r="X2757">
        <v>0.94875759999999998</v>
      </c>
      <c r="Y2757">
        <v>0.62004110000000001</v>
      </c>
      <c r="Z2757">
        <v>7.2307709999999997E-2</v>
      </c>
      <c r="AA2757">
        <v>0.78123019999999999</v>
      </c>
      <c r="AB2757">
        <v>16</v>
      </c>
      <c r="AC2757">
        <v>-13.959399999999899</v>
      </c>
      <c r="AD2757">
        <v>-1.1055853130271001</v>
      </c>
      <c r="AE2757">
        <v>-0.65609999999998003</v>
      </c>
      <c r="AF2757">
        <v>8.7341909379813707</v>
      </c>
      <c r="AG2757">
        <v>-1.1055853130271001</v>
      </c>
      <c r="AH2757">
        <v>10.797562097732699</v>
      </c>
      <c r="AI2757">
        <v>94.551596518655899</v>
      </c>
      <c r="AJ2757">
        <v>51.030466632564398</v>
      </c>
      <c r="AK2757">
        <v>13.931825346303</v>
      </c>
      <c r="AL2757">
        <v>88.677275280922402</v>
      </c>
      <c r="AM2757">
        <v>71.624430519582504</v>
      </c>
      <c r="AN2757">
        <v>0.99999996270836999</v>
      </c>
    </row>
    <row r="2758" spans="1:40" x14ac:dyDescent="0.25">
      <c r="A2758" t="str">
        <f>"20190312150716717"</f>
        <v>20190312150716717</v>
      </c>
      <c r="B2758" t="str">
        <f>"1552374436712699"</f>
        <v>1552374436712699</v>
      </c>
      <c r="C2758" t="s">
        <v>40</v>
      </c>
      <c r="D2758">
        <v>4.489204</v>
      </c>
      <c r="E2758">
        <v>0.63890970000000002</v>
      </c>
      <c r="F2758" t="s">
        <v>67</v>
      </c>
      <c r="G2758">
        <v>-214.37540000000001</v>
      </c>
      <c r="H2758" s="1">
        <v>7.9156190000000004E-7</v>
      </c>
      <c r="I2758">
        <v>284.70890000000003</v>
      </c>
      <c r="J2758">
        <v>-200.34829999999999</v>
      </c>
      <c r="K2758">
        <v>1.105607</v>
      </c>
      <c r="L2758">
        <v>285.27420000000001</v>
      </c>
      <c r="M2758">
        <v>-0.7543474</v>
      </c>
      <c r="N2758">
        <v>0</v>
      </c>
      <c r="O2758">
        <v>-0.65630119999999903</v>
      </c>
      <c r="P2758">
        <v>-0.92219700000000004</v>
      </c>
      <c r="Q2758">
        <v>1.241362E-2</v>
      </c>
      <c r="R2758">
        <v>-0.38652180000000003</v>
      </c>
      <c r="S2758">
        <v>-3.205673</v>
      </c>
      <c r="T2758">
        <v>-0.25036419999999998</v>
      </c>
      <c r="U2758">
        <v>-0.1499634</v>
      </c>
      <c r="V2758">
        <v>0.3140154</v>
      </c>
      <c r="W2758">
        <v>2.2836909999999998E-2</v>
      </c>
      <c r="X2758">
        <v>0.94914319999999996</v>
      </c>
      <c r="Y2758">
        <v>0.61684430000000001</v>
      </c>
      <c r="Z2758">
        <v>7.142039E-2</v>
      </c>
      <c r="AA2758">
        <v>0.78383819999999904</v>
      </c>
      <c r="AB2758">
        <v>16</v>
      </c>
      <c r="AC2758">
        <v>-14.027100000000001</v>
      </c>
      <c r="AD2758">
        <v>-1.1056062084381</v>
      </c>
      <c r="AE2758">
        <v>-0.56529999999997904</v>
      </c>
      <c r="AF2758">
        <v>8.7264492435073606</v>
      </c>
      <c r="AG2758">
        <v>-1.1056062084381</v>
      </c>
      <c r="AH2758">
        <v>10.8860465779783</v>
      </c>
      <c r="AI2758">
        <v>94.530869682910406</v>
      </c>
      <c r="AJ2758">
        <v>51.283714428638</v>
      </c>
      <c r="AK2758">
        <v>13.995688321249499</v>
      </c>
      <c r="AL2758">
        <v>88.691427687535096</v>
      </c>
      <c r="AM2758">
        <v>71.693671938835095</v>
      </c>
      <c r="AN2758">
        <v>1.0000000050008699</v>
      </c>
    </row>
    <row r="2759" spans="1:40" x14ac:dyDescent="0.25">
      <c r="A2759" t="str">
        <f>"20190312150716739"</f>
        <v>20190312150716739</v>
      </c>
      <c r="B2759" t="str">
        <f>"1552374436733194"</f>
        <v>1552374436733194</v>
      </c>
      <c r="C2759" t="s">
        <v>40</v>
      </c>
      <c r="D2759">
        <v>4.4692610000000004</v>
      </c>
      <c r="E2759">
        <v>0.63762799999999997</v>
      </c>
      <c r="F2759" t="s">
        <v>67</v>
      </c>
      <c r="G2759">
        <v>-214.5848</v>
      </c>
      <c r="H2759" s="1">
        <v>9.0299450000000003E-7</v>
      </c>
      <c r="I2759">
        <v>284.70490000000001</v>
      </c>
      <c r="J2759">
        <v>-200.48099999999999</v>
      </c>
      <c r="K2759">
        <v>1.1056360000000001</v>
      </c>
      <c r="L2759">
        <v>285.17689999999999</v>
      </c>
      <c r="M2759">
        <v>-0.76175559999999998</v>
      </c>
      <c r="N2759">
        <v>0</v>
      </c>
      <c r="O2759">
        <v>-0.64768760000000003</v>
      </c>
      <c r="P2759">
        <v>-0.92592949999999996</v>
      </c>
      <c r="Q2759">
        <v>1.1950570000000001E-2</v>
      </c>
      <c r="R2759">
        <v>-0.37750719999999999</v>
      </c>
      <c r="S2759">
        <v>-3.2027890000000001</v>
      </c>
      <c r="T2759">
        <v>-0.24872929999999999</v>
      </c>
      <c r="U2759">
        <v>-0.12808230000000001</v>
      </c>
      <c r="V2759">
        <v>0.31248599999999999</v>
      </c>
      <c r="W2759">
        <v>2.2417400000000001E-2</v>
      </c>
      <c r="X2759">
        <v>0.9496578</v>
      </c>
      <c r="Y2759">
        <v>0.61329849999999997</v>
      </c>
      <c r="Z2759">
        <v>7.0422929999999995E-2</v>
      </c>
      <c r="AA2759">
        <v>0.7867056</v>
      </c>
      <c r="AB2759">
        <v>16</v>
      </c>
      <c r="AC2759">
        <v>-14.1038</v>
      </c>
      <c r="AD2759">
        <v>-1.1056350970055</v>
      </c>
      <c r="AE2759">
        <v>-0.47199999999997899</v>
      </c>
      <c r="AF2759">
        <v>8.7227683805497094</v>
      </c>
      <c r="AG2759">
        <v>-1.1056350970055</v>
      </c>
      <c r="AH2759">
        <v>10.9832026854014</v>
      </c>
      <c r="AI2759">
        <v>94.507293649747197</v>
      </c>
      <c r="AJ2759">
        <v>51.543688953507399</v>
      </c>
      <c r="AK2759">
        <v>14.0691100790724</v>
      </c>
      <c r="AL2759">
        <v>88.715469974408606</v>
      </c>
      <c r="AM2759">
        <v>71.786149566415403</v>
      </c>
      <c r="AN2759">
        <v>0.99999998855979899</v>
      </c>
    </row>
    <row r="2760" spans="1:40" x14ac:dyDescent="0.25">
      <c r="A2760" t="str">
        <f>"20190312150716761"</f>
        <v>20190312150716761</v>
      </c>
      <c r="B2760" t="str">
        <f>"1552374436752715"</f>
        <v>1552374436752715</v>
      </c>
      <c r="C2760" t="s">
        <v>40</v>
      </c>
      <c r="D2760">
        <v>4.4629320000000003</v>
      </c>
      <c r="E2760">
        <v>0.63624219999999998</v>
      </c>
      <c r="F2760" t="s">
        <v>67</v>
      </c>
      <c r="G2760">
        <v>-214.64240000000001</v>
      </c>
      <c r="H2760" s="1">
        <v>9.3367790000000004E-7</v>
      </c>
      <c r="I2760">
        <v>284.7081</v>
      </c>
      <c r="J2760">
        <v>-200.61259999999999</v>
      </c>
      <c r="K2760">
        <v>1.105661</v>
      </c>
      <c r="L2760">
        <v>285.08260000000001</v>
      </c>
      <c r="M2760">
        <v>-0.76896200000000003</v>
      </c>
      <c r="N2760">
        <v>0</v>
      </c>
      <c r="O2760">
        <v>-0.63911569999999995</v>
      </c>
      <c r="P2760">
        <v>-0.92950650000000001</v>
      </c>
      <c r="Q2760">
        <v>1.137115E-2</v>
      </c>
      <c r="R2760">
        <v>-0.3686313</v>
      </c>
      <c r="S2760">
        <v>-3.200027</v>
      </c>
      <c r="T2760">
        <v>-0.24983849999999999</v>
      </c>
      <c r="U2760">
        <v>-0.10592650000000001</v>
      </c>
      <c r="V2760">
        <v>0.31093110000000002</v>
      </c>
      <c r="W2760">
        <v>2.1881569999999999E-2</v>
      </c>
      <c r="X2760">
        <v>0.95018049999999998</v>
      </c>
      <c r="Y2760">
        <v>0.60987259999999999</v>
      </c>
      <c r="Z2760">
        <v>7.0195060000000004E-2</v>
      </c>
      <c r="AA2760">
        <v>0.78938469999999905</v>
      </c>
      <c r="AB2760">
        <v>16</v>
      </c>
      <c r="AC2760">
        <v>-14.0298</v>
      </c>
      <c r="AD2760">
        <v>-1.1056600663220999</v>
      </c>
      <c r="AE2760">
        <v>-0.37450000000001099</v>
      </c>
      <c r="AF2760">
        <v>8.6261449493319304</v>
      </c>
      <c r="AG2760">
        <v>-1.1056600663220999</v>
      </c>
      <c r="AH2760">
        <v>10.960965630589</v>
      </c>
      <c r="AI2760">
        <v>94.532292813318705</v>
      </c>
      <c r="AJ2760">
        <v>51.797690203404997</v>
      </c>
      <c r="AK2760">
        <v>13.9919844348147</v>
      </c>
      <c r="AL2760">
        <v>88.7461782796981</v>
      </c>
      <c r="AM2760">
        <v>71.880158489291105</v>
      </c>
      <c r="AN2760">
        <v>0.99999996731656204</v>
      </c>
    </row>
    <row r="2761" spans="1:40" x14ac:dyDescent="0.25">
      <c r="A2761" t="str">
        <f>"20190312150716783"</f>
        <v>20190312150716783</v>
      </c>
      <c r="B2761" t="str">
        <f>"1552374436773214"</f>
        <v>1552374436773214</v>
      </c>
      <c r="C2761" t="s">
        <v>40</v>
      </c>
      <c r="D2761">
        <v>4.4564959999999996</v>
      </c>
      <c r="E2761">
        <v>0.63500519999999905</v>
      </c>
      <c r="F2761" t="s">
        <v>67</v>
      </c>
      <c r="G2761">
        <v>-214.89099999999999</v>
      </c>
      <c r="H2761" s="1">
        <v>1.065936E-6</v>
      </c>
      <c r="I2761">
        <v>284.69970000000001</v>
      </c>
      <c r="J2761">
        <v>-200.7501</v>
      </c>
      <c r="K2761">
        <v>1.1056919999999999</v>
      </c>
      <c r="L2761">
        <v>284.9864</v>
      </c>
      <c r="M2761">
        <v>-0.77634380000000003</v>
      </c>
      <c r="N2761">
        <v>0</v>
      </c>
      <c r="O2761">
        <v>-0.63012829999999997</v>
      </c>
      <c r="P2761">
        <v>-0.93353280000000005</v>
      </c>
      <c r="Q2761">
        <v>1.146728E-2</v>
      </c>
      <c r="R2761">
        <v>-0.35830899999999999</v>
      </c>
      <c r="S2761">
        <v>-3.1965479999999999</v>
      </c>
      <c r="T2761">
        <v>-0.247528</v>
      </c>
      <c r="U2761">
        <v>-8.5723880000000002E-2</v>
      </c>
      <c r="V2761">
        <v>0.31040630000000002</v>
      </c>
      <c r="W2761">
        <v>2.200361E-2</v>
      </c>
      <c r="X2761">
        <v>0.95034929999999995</v>
      </c>
      <c r="Y2761">
        <v>0.60571469999999905</v>
      </c>
      <c r="Z2761">
        <v>6.8961140000000004E-2</v>
      </c>
      <c r="AA2761">
        <v>0.79268780000000005</v>
      </c>
      <c r="AB2761">
        <v>16</v>
      </c>
      <c r="AC2761">
        <v>-14.140899999999901</v>
      </c>
      <c r="AD2761">
        <v>-1.105690934064</v>
      </c>
      <c r="AE2761">
        <v>-0.28669999999999601</v>
      </c>
      <c r="AF2761">
        <v>8.6362181691741</v>
      </c>
      <c r="AG2761">
        <v>-1.105690934064</v>
      </c>
      <c r="AH2761">
        <v>11.092344816012099</v>
      </c>
      <c r="AI2761">
        <v>94.497207896252206</v>
      </c>
      <c r="AJ2761">
        <v>52.096580259849198</v>
      </c>
      <c r="AK2761">
        <v>14.1013095216208</v>
      </c>
      <c r="AL2761">
        <v>88.739184273639793</v>
      </c>
      <c r="AM2761">
        <v>71.911751693070798</v>
      </c>
      <c r="AN2761">
        <v>1.0000000109716001</v>
      </c>
    </row>
    <row r="2762" spans="1:40" x14ac:dyDescent="0.25">
      <c r="A2762" t="str">
        <f>"20190312150716806"</f>
        <v>20190312150716806</v>
      </c>
      <c r="B2762" t="str">
        <f>"1552374436802491"</f>
        <v>1552374436802491</v>
      </c>
      <c r="C2762" t="s">
        <v>40</v>
      </c>
      <c r="D2762">
        <v>4.4992609999999997</v>
      </c>
      <c r="E2762">
        <v>0.6339129</v>
      </c>
      <c r="F2762" t="s">
        <v>67</v>
      </c>
      <c r="G2762">
        <v>-215.06129999999999</v>
      </c>
      <c r="H2762" s="1">
        <v>1.156589E-6</v>
      </c>
      <c r="I2762">
        <v>284.7199</v>
      </c>
      <c r="J2762">
        <v>-200.88720000000001</v>
      </c>
      <c r="K2762">
        <v>1.1057129999999999</v>
      </c>
      <c r="L2762">
        <v>284.8929</v>
      </c>
      <c r="M2762">
        <v>-0.78355620000000004</v>
      </c>
      <c r="N2762">
        <v>0</v>
      </c>
      <c r="O2762">
        <v>-0.6211371</v>
      </c>
      <c r="P2762">
        <v>-0.93738279999999996</v>
      </c>
      <c r="Q2762">
        <v>1.161205E-2</v>
      </c>
      <c r="R2762">
        <v>-0.34810780000000002</v>
      </c>
      <c r="S2762">
        <v>-3.1938019999999998</v>
      </c>
      <c r="T2762">
        <v>-0.2467541</v>
      </c>
      <c r="U2762">
        <v>-5.9478759999999999E-2</v>
      </c>
      <c r="V2762">
        <v>0.30981340000000002</v>
      </c>
      <c r="W2762">
        <v>2.21738E-2</v>
      </c>
      <c r="X2762">
        <v>0.95053880000000002</v>
      </c>
      <c r="Y2762">
        <v>0.60309669999999904</v>
      </c>
      <c r="Z2762">
        <v>6.8202230000000003E-2</v>
      </c>
      <c r="AA2762">
        <v>0.79474699999999998</v>
      </c>
      <c r="AB2762">
        <v>16</v>
      </c>
      <c r="AC2762">
        <v>-14.1740999999999</v>
      </c>
      <c r="AD2762">
        <v>-1.105711843411</v>
      </c>
      <c r="AE2762">
        <v>-0.17300000000000099</v>
      </c>
      <c r="AF2762">
        <v>8.6170632659655695</v>
      </c>
      <c r="AG2762">
        <v>-1.105711843411</v>
      </c>
      <c r="AH2762">
        <v>11.1471162330193</v>
      </c>
      <c r="AI2762">
        <v>94.487268164622506</v>
      </c>
      <c r="AJ2762">
        <v>52.294875115418002</v>
      </c>
      <c r="AK2762">
        <v>14.132748434850001</v>
      </c>
      <c r="AL2762">
        <v>88.729430730755098</v>
      </c>
      <c r="AM2762">
        <v>71.947423351521294</v>
      </c>
      <c r="AN2762">
        <v>1.00000001526571</v>
      </c>
    </row>
    <row r="2763" spans="1:40" x14ac:dyDescent="0.25">
      <c r="A2763" t="str">
        <f>"20190312150716827"</f>
        <v>20190312150716827</v>
      </c>
      <c r="B2763" t="str">
        <f>"1552374436822986"</f>
        <v>1552374436822986</v>
      </c>
      <c r="C2763" t="s">
        <v>40</v>
      </c>
      <c r="D2763">
        <v>4.5228449999999896</v>
      </c>
      <c r="E2763">
        <v>0.62391569999999996</v>
      </c>
      <c r="F2763" t="s">
        <v>67</v>
      </c>
      <c r="G2763">
        <v>-215.22190000000001</v>
      </c>
      <c r="H2763" s="1">
        <v>1.2420459999999999E-6</v>
      </c>
      <c r="I2763">
        <v>284.74630000000002</v>
      </c>
      <c r="J2763">
        <v>-201.02119999999999</v>
      </c>
      <c r="K2763">
        <v>1.105734</v>
      </c>
      <c r="L2763">
        <v>284.80399999999997</v>
      </c>
      <c r="M2763">
        <v>-0.7904542</v>
      </c>
      <c r="N2763">
        <v>0</v>
      </c>
      <c r="O2763">
        <v>-0.61233470000000001</v>
      </c>
      <c r="P2763">
        <v>-0.94082560000000004</v>
      </c>
      <c r="Q2763">
        <v>1.136382E-2</v>
      </c>
      <c r="R2763">
        <v>-0.33870149999999999</v>
      </c>
      <c r="S2763">
        <v>-3.1913149999999999</v>
      </c>
      <c r="T2763">
        <v>-0.24616370000000001</v>
      </c>
      <c r="U2763">
        <v>-3.2653809999999998E-2</v>
      </c>
      <c r="V2763">
        <v>0.30870009999999998</v>
      </c>
      <c r="W2763">
        <v>2.1958789999999999E-2</v>
      </c>
      <c r="X2763">
        <v>0.95090589999999997</v>
      </c>
      <c r="Y2763">
        <v>0.60089890000000001</v>
      </c>
      <c r="Z2763">
        <v>6.7508529999999997E-2</v>
      </c>
      <c r="AA2763">
        <v>0.79646919999999899</v>
      </c>
      <c r="AB2763">
        <v>16</v>
      </c>
      <c r="AC2763">
        <v>-14.200699999999999</v>
      </c>
      <c r="AD2763">
        <v>-1.1057327579539999</v>
      </c>
      <c r="AE2763">
        <v>-5.7700000000011097E-2</v>
      </c>
      <c r="AF2763">
        <v>8.5988270250093795</v>
      </c>
      <c r="AG2763">
        <v>-1.1057327579539999</v>
      </c>
      <c r="AH2763">
        <v>11.1937551015618</v>
      </c>
      <c r="AI2763">
        <v>94.479180480710895</v>
      </c>
      <c r="AJ2763">
        <v>52.469224420918103</v>
      </c>
      <c r="AK2763">
        <v>14.1584824190936</v>
      </c>
      <c r="AL2763">
        <v>88.741752858920904</v>
      </c>
      <c r="AM2763">
        <v>72.014604862358098</v>
      </c>
      <c r="AN2763">
        <v>0.999999985426541</v>
      </c>
    </row>
    <row r="2764" spans="1:40" x14ac:dyDescent="0.25">
      <c r="A2764" t="str">
        <f>"20190312150716851"</f>
        <v>20190312150716851</v>
      </c>
      <c r="B2764" t="str">
        <f>"1552374436843482"</f>
        <v>1552374436843482</v>
      </c>
      <c r="C2764" t="s">
        <v>40</v>
      </c>
      <c r="D2764">
        <v>4.4512970000000003</v>
      </c>
      <c r="E2764">
        <v>0.62193580000000004</v>
      </c>
      <c r="F2764" t="s">
        <v>67</v>
      </c>
      <c r="G2764">
        <v>-213.84700000000001</v>
      </c>
      <c r="H2764" s="1">
        <v>5.1040479999999996E-7</v>
      </c>
      <c r="I2764">
        <v>284.50229999999999</v>
      </c>
      <c r="J2764">
        <v>-201.1627</v>
      </c>
      <c r="K2764">
        <v>1.1057539999999999</v>
      </c>
      <c r="L2764">
        <v>284.7122</v>
      </c>
      <c r="M2764">
        <v>-0.79758790000000002</v>
      </c>
      <c r="N2764">
        <v>0</v>
      </c>
      <c r="O2764">
        <v>-0.60301359999999904</v>
      </c>
      <c r="P2764">
        <v>-0.94441929999999996</v>
      </c>
      <c r="Q2764">
        <v>1.072027E-2</v>
      </c>
      <c r="R2764">
        <v>-0.32856929999999901</v>
      </c>
      <c r="S2764">
        <v>-3.1652070000000001</v>
      </c>
      <c r="T2764">
        <v>-0.27287699999999998</v>
      </c>
      <c r="U2764">
        <v>-7.4432369999999998E-2</v>
      </c>
      <c r="V2764">
        <v>0.3077531</v>
      </c>
      <c r="W2764">
        <v>2.1344769999999999E-2</v>
      </c>
      <c r="X2764">
        <v>0.95122680000000004</v>
      </c>
      <c r="Y2764">
        <v>0.58004389999999995</v>
      </c>
      <c r="Z2764">
        <v>7.3827710000000005E-2</v>
      </c>
      <c r="AA2764">
        <v>0.81123269999999903</v>
      </c>
      <c r="AB2764">
        <v>16</v>
      </c>
      <c r="AC2764">
        <v>-12.6843</v>
      </c>
      <c r="AD2764">
        <v>-1.1057534895951999</v>
      </c>
      <c r="AE2764">
        <v>-0.209900000000004</v>
      </c>
      <c r="AF2764">
        <v>7.4258283024014098</v>
      </c>
      <c r="AG2764">
        <v>-1.1057534895951999</v>
      </c>
      <c r="AH2764">
        <v>10.1673401201445</v>
      </c>
      <c r="AI2764">
        <v>95.019137934801094</v>
      </c>
      <c r="AJ2764">
        <v>53.857066395542098</v>
      </c>
      <c r="AK2764">
        <v>12.6388457493237</v>
      </c>
      <c r="AL2764">
        <v>88.776941878435494</v>
      </c>
      <c r="AM2764">
        <v>72.071902867543301</v>
      </c>
      <c r="AN2764">
        <v>0.99999999740210099</v>
      </c>
    </row>
    <row r="2765" spans="1:40" x14ac:dyDescent="0.25">
      <c r="A2765" t="str">
        <f>"20190312150716875"</f>
        <v>20190312150716875</v>
      </c>
      <c r="B2765" t="str">
        <f>"1552374436863002"</f>
        <v>1552374436863002</v>
      </c>
      <c r="C2765" t="s">
        <v>40</v>
      </c>
      <c r="D2765">
        <v>4.4996929999999997</v>
      </c>
      <c r="E2765">
        <v>0.62059500000000001</v>
      </c>
      <c r="F2765" t="s">
        <v>67</v>
      </c>
      <c r="G2765">
        <v>-213.3553</v>
      </c>
      <c r="H2765" s="1">
        <v>2.4871120000000002E-7</v>
      </c>
      <c r="I2765">
        <v>284.50139999999999</v>
      </c>
      <c r="J2765">
        <v>-201.31399999999999</v>
      </c>
      <c r="K2765">
        <v>1.1057809999999999</v>
      </c>
      <c r="L2765">
        <v>284.61680000000001</v>
      </c>
      <c r="M2765">
        <v>-0.80503659999999999</v>
      </c>
      <c r="N2765">
        <v>0</v>
      </c>
      <c r="O2765">
        <v>-0.59303300000000003</v>
      </c>
      <c r="P2765">
        <v>-0.94795940000000001</v>
      </c>
      <c r="Q2765">
        <v>1.0331999999999999E-2</v>
      </c>
      <c r="R2765">
        <v>-0.3182238</v>
      </c>
      <c r="S2765">
        <v>-3.1607970000000001</v>
      </c>
      <c r="T2765">
        <v>-0.28665639999999998</v>
      </c>
      <c r="U2765">
        <v>-5.4656980000000001E-2</v>
      </c>
      <c r="V2765">
        <v>0.3063014</v>
      </c>
      <c r="W2765">
        <v>2.0994860000000001E-2</v>
      </c>
      <c r="X2765">
        <v>0.95170299999999997</v>
      </c>
      <c r="Y2765">
        <v>0.57457609999999903</v>
      </c>
      <c r="Z2765">
        <v>7.670391E-2</v>
      </c>
      <c r="AA2765">
        <v>0.81484899999999905</v>
      </c>
      <c r="AB2765">
        <v>16</v>
      </c>
      <c r="AC2765">
        <v>-12.0412999999999</v>
      </c>
      <c r="AD2765">
        <v>-1.1057807512887901</v>
      </c>
      <c r="AE2765">
        <v>-0.115400000000022</v>
      </c>
      <c r="AF2765">
        <v>6.9898491800553897</v>
      </c>
      <c r="AG2765">
        <v>-1.1057807512887901</v>
      </c>
      <c r="AH2765">
        <v>9.6815968308794709</v>
      </c>
      <c r="AI2765">
        <v>95.290641447748101</v>
      </c>
      <c r="AJ2765">
        <v>54.171741636277901</v>
      </c>
      <c r="AK2765">
        <v>11.992249990120101</v>
      </c>
      <c r="AL2765">
        <v>88.796994700974594</v>
      </c>
      <c r="AM2765">
        <v>72.159458468711804</v>
      </c>
      <c r="AN2765">
        <v>0.99999996599868901</v>
      </c>
    </row>
    <row r="2766" spans="1:40" x14ac:dyDescent="0.25">
      <c r="A2766" t="str">
        <f>"20190312150716896"</f>
        <v>20190312150716896</v>
      </c>
      <c r="B2766" t="str">
        <f>"1552374436893258"</f>
        <v>1552374436893258</v>
      </c>
      <c r="C2766" t="s">
        <v>40</v>
      </c>
      <c r="D2766">
        <v>4.4620309999999996</v>
      </c>
      <c r="E2766">
        <v>0.61935319999999905</v>
      </c>
      <c r="F2766" t="s">
        <v>67</v>
      </c>
      <c r="G2766">
        <v>-213.55520000000001</v>
      </c>
      <c r="H2766" s="1">
        <v>3.550885E-7</v>
      </c>
      <c r="I2766">
        <v>284.49860000000001</v>
      </c>
      <c r="J2766">
        <v>-201.44550000000001</v>
      </c>
      <c r="K2766">
        <v>1.105807</v>
      </c>
      <c r="L2766">
        <v>284.53590000000003</v>
      </c>
      <c r="M2766">
        <v>-0.81137440000000005</v>
      </c>
      <c r="N2766">
        <v>0</v>
      </c>
      <c r="O2766">
        <v>-0.58433190000000002</v>
      </c>
      <c r="P2766">
        <v>-0.9506308</v>
      </c>
      <c r="Q2766">
        <v>9.6759680000000001E-3</v>
      </c>
      <c r="R2766">
        <v>-0.31017329999999999</v>
      </c>
      <c r="S2766">
        <v>-3.157562</v>
      </c>
      <c r="T2766">
        <v>-0.28523169999999998</v>
      </c>
      <c r="U2766">
        <v>-3.048706E-2</v>
      </c>
      <c r="V2766">
        <v>0.3041199</v>
      </c>
      <c r="W2766">
        <v>2.0387969999999998E-2</v>
      </c>
      <c r="X2766">
        <v>0.95241560000000003</v>
      </c>
      <c r="Y2766">
        <v>0.57208289999999995</v>
      </c>
      <c r="Z2766">
        <v>7.5684699999999994E-2</v>
      </c>
      <c r="AA2766">
        <v>0.81669630000000004</v>
      </c>
      <c r="AB2766">
        <v>16</v>
      </c>
      <c r="AC2766">
        <v>-12.1097</v>
      </c>
      <c r="AD2766">
        <v>-1.1058066449115</v>
      </c>
      <c r="AE2766">
        <v>-3.7300000000016098E-2</v>
      </c>
      <c r="AF2766">
        <v>6.9883501486366502</v>
      </c>
      <c r="AG2766">
        <v>-1.1058066449115</v>
      </c>
      <c r="AH2766">
        <v>9.7669761676670497</v>
      </c>
      <c r="AI2766">
        <v>95.260776841303596</v>
      </c>
      <c r="AJ2766">
        <v>54.415974402712003</v>
      </c>
      <c r="AK2766">
        <v>12.060417471864501</v>
      </c>
      <c r="AL2766">
        <v>88.831774457933307</v>
      </c>
      <c r="AM2766">
        <v>72.290974940212394</v>
      </c>
      <c r="AN2766">
        <v>1.0000000290100399</v>
      </c>
    </row>
    <row r="2767" spans="1:40" x14ac:dyDescent="0.25">
      <c r="A2767" t="str">
        <f>"20190312150716916"</f>
        <v>20190312150716916</v>
      </c>
      <c r="B2767" t="str">
        <f>"1552374436912778"</f>
        <v>1552374436912778</v>
      </c>
      <c r="C2767" t="s">
        <v>40</v>
      </c>
      <c r="D2767">
        <v>5.2583739999999999</v>
      </c>
      <c r="E2767">
        <v>0.60723549999999904</v>
      </c>
      <c r="F2767" t="s">
        <v>67</v>
      </c>
      <c r="G2767">
        <v>-213.81</v>
      </c>
      <c r="H2767" s="1">
        <v>4.9072470000000005E-7</v>
      </c>
      <c r="I2767">
        <v>284.48450000000003</v>
      </c>
      <c r="J2767">
        <v>-201.5771</v>
      </c>
      <c r="K2767">
        <v>1.1058319999999999</v>
      </c>
      <c r="L2767">
        <v>284.45690000000002</v>
      </c>
      <c r="M2767">
        <v>-0.81757809999999997</v>
      </c>
      <c r="N2767">
        <v>0</v>
      </c>
      <c r="O2767">
        <v>-0.57562019999999903</v>
      </c>
      <c r="P2767">
        <v>-0.95308409999999999</v>
      </c>
      <c r="Q2767">
        <v>9.2563320000000008E-3</v>
      </c>
      <c r="R2767">
        <v>-0.30256509999999998</v>
      </c>
      <c r="S2767">
        <v>-3.154388</v>
      </c>
      <c r="T2767">
        <v>-0.28210950000000001</v>
      </c>
      <c r="U2767">
        <v>-1.312256E-2</v>
      </c>
      <c r="V2767">
        <v>0.30153999999999997</v>
      </c>
      <c r="W2767">
        <v>2.0023740000000002E-2</v>
      </c>
      <c r="X2767">
        <v>0.95324330000000002</v>
      </c>
      <c r="Y2767">
        <v>0.56794829999999996</v>
      </c>
      <c r="Z2767">
        <v>7.4132459999999997E-2</v>
      </c>
      <c r="AA2767">
        <v>0.81971899999999998</v>
      </c>
      <c r="AB2767">
        <v>16</v>
      </c>
      <c r="AC2767">
        <v>-12.232900000000001</v>
      </c>
      <c r="AD2767">
        <v>-1.1058315092752999</v>
      </c>
      <c r="AE2767">
        <v>2.7600000000006699E-2</v>
      </c>
      <c r="AF2767">
        <v>7.0076082894568197</v>
      </c>
      <c r="AG2767">
        <v>-1.1058315092752999</v>
      </c>
      <c r="AH2767">
        <v>9.9056528893215106</v>
      </c>
      <c r="AI2767">
        <v>95.207358840546505</v>
      </c>
      <c r="AJ2767">
        <v>54.723064668169698</v>
      </c>
      <c r="AK2767">
        <v>12.1840632150811</v>
      </c>
      <c r="AL2767">
        <v>88.852647590908504</v>
      </c>
      <c r="AM2767">
        <v>72.446244591330796</v>
      </c>
      <c r="AN2767">
        <v>1.0000000553792301</v>
      </c>
    </row>
    <row r="2768" spans="1:40" x14ac:dyDescent="0.25">
      <c r="A2768" t="str">
        <f>"20190312150716939"</f>
        <v>20190312150716939</v>
      </c>
      <c r="B2768" t="str">
        <f>"1552374436933274"</f>
        <v>1552374436933274</v>
      </c>
      <c r="C2768" t="s">
        <v>40</v>
      </c>
      <c r="D2768">
        <v>4.4190889999999996</v>
      </c>
      <c r="E2768">
        <v>0.60486689999999999</v>
      </c>
      <c r="F2768" t="s">
        <v>67</v>
      </c>
      <c r="G2768">
        <v>-216.47499999999999</v>
      </c>
      <c r="H2768" s="1">
        <v>1.9089029999999999E-6</v>
      </c>
      <c r="I2768">
        <v>284.06569999999999</v>
      </c>
      <c r="J2768">
        <v>-201.7158</v>
      </c>
      <c r="K2768">
        <v>1.1058589999999999</v>
      </c>
      <c r="L2768">
        <v>284.37569999999999</v>
      </c>
      <c r="M2768">
        <v>-0.82397849999999995</v>
      </c>
      <c r="N2768">
        <v>0</v>
      </c>
      <c r="O2768">
        <v>-0.56642040000000005</v>
      </c>
      <c r="P2768">
        <v>-0.95557389999999998</v>
      </c>
      <c r="Q2768">
        <v>8.4632760000000005E-3</v>
      </c>
      <c r="R2768">
        <v>-0.29463060000000002</v>
      </c>
      <c r="S2768">
        <v>-3.1238860000000002</v>
      </c>
      <c r="T2768">
        <v>-0.23187650000000001</v>
      </c>
      <c r="U2768">
        <v>-8.203125E-2</v>
      </c>
      <c r="V2768">
        <v>0.29877229999999999</v>
      </c>
      <c r="W2768">
        <v>1.928908E-2</v>
      </c>
      <c r="X2768">
        <v>0.95412949999999996</v>
      </c>
      <c r="Y2768">
        <v>0.54177219999999904</v>
      </c>
      <c r="Z2768">
        <v>5.9955439999999999E-2</v>
      </c>
      <c r="AA2768">
        <v>0.83838429999999997</v>
      </c>
      <c r="AB2768">
        <v>16</v>
      </c>
      <c r="AC2768">
        <v>-14.7591999999999</v>
      </c>
      <c r="AD2768">
        <v>-1.105857091097</v>
      </c>
      <c r="AE2768">
        <v>-0.310000000000002</v>
      </c>
      <c r="AF2768">
        <v>8.0601702759011307</v>
      </c>
      <c r="AG2768">
        <v>-1.105857091097</v>
      </c>
      <c r="AH2768">
        <v>12.269406437276</v>
      </c>
      <c r="AI2768">
        <v>94.307981270647304</v>
      </c>
      <c r="AJ2768">
        <v>56.697792667871497</v>
      </c>
      <c r="AK2768">
        <v>14.7216710704159</v>
      </c>
      <c r="AL2768">
        <v>88.894748612258596</v>
      </c>
      <c r="AM2768">
        <v>72.612782997564096</v>
      </c>
      <c r="AN2768">
        <v>1.0000000293123901</v>
      </c>
    </row>
    <row r="2769" spans="1:40" x14ac:dyDescent="0.25">
      <c r="A2769" t="str">
        <f>"20190312150716962"</f>
        <v>20190312150716962</v>
      </c>
      <c r="B2769" t="str">
        <f>"1552374436952794"</f>
        <v>1552374436952794</v>
      </c>
      <c r="C2769" t="s">
        <v>40</v>
      </c>
      <c r="D2769">
        <v>4.4099690000000002</v>
      </c>
      <c r="E2769">
        <v>0.60278369999999903</v>
      </c>
      <c r="F2769" t="s">
        <v>67</v>
      </c>
      <c r="G2769">
        <v>-217.24359999999999</v>
      </c>
      <c r="H2769" s="1">
        <v>2.317899E-6</v>
      </c>
      <c r="I2769">
        <v>284.00279999999998</v>
      </c>
      <c r="J2769">
        <v>-201.86269999999999</v>
      </c>
      <c r="K2769">
        <v>1.1058889999999999</v>
      </c>
      <c r="L2769">
        <v>284.29180000000002</v>
      </c>
      <c r="M2769">
        <v>-0.83060499999999904</v>
      </c>
      <c r="N2769">
        <v>0</v>
      </c>
      <c r="O2769">
        <v>-0.55665819999999999</v>
      </c>
      <c r="P2769">
        <v>-0.9581172</v>
      </c>
      <c r="Q2769">
        <v>8.1155930000000008E-3</v>
      </c>
      <c r="R2769">
        <v>-0.2862616</v>
      </c>
      <c r="S2769">
        <v>-3.1183619999999999</v>
      </c>
      <c r="T2769">
        <v>-0.22208240000000001</v>
      </c>
      <c r="U2769">
        <v>-7.4890139999999994E-2</v>
      </c>
      <c r="V2769">
        <v>0.29585319999999998</v>
      </c>
      <c r="W2769">
        <v>1.900255E-2</v>
      </c>
      <c r="X2769">
        <v>0.95504440000000002</v>
      </c>
      <c r="Y2769">
        <v>0.53399540000000001</v>
      </c>
      <c r="Z2769">
        <v>5.6682650000000001E-2</v>
      </c>
      <c r="AA2769">
        <v>0.84358519999999904</v>
      </c>
      <c r="AB2769">
        <v>16</v>
      </c>
      <c r="AC2769">
        <v>-15.380899999999899</v>
      </c>
      <c r="AD2769">
        <v>-1.1058866821009901</v>
      </c>
      <c r="AE2769">
        <v>-0.289000000000044</v>
      </c>
      <c r="AF2769">
        <v>8.2800145445737794</v>
      </c>
      <c r="AG2769">
        <v>-1.1058866821009901</v>
      </c>
      <c r="AH2769">
        <v>12.8712790668196</v>
      </c>
      <c r="AI2769">
        <v>94.132941543892699</v>
      </c>
      <c r="AJ2769">
        <v>57.247072898086998</v>
      </c>
      <c r="AK2769">
        <v>15.344427360705</v>
      </c>
      <c r="AL2769">
        <v>88.911168559614893</v>
      </c>
      <c r="AM2769">
        <v>72.788089317222799</v>
      </c>
      <c r="AN2769">
        <v>1.00000000941405</v>
      </c>
    </row>
    <row r="2770" spans="1:40" x14ac:dyDescent="0.25">
      <c r="A2770" t="str">
        <f>"20190312150716985"</f>
        <v>20190312150716985</v>
      </c>
      <c r="B2770" t="str">
        <f>"1552374436973291"</f>
        <v>1552374436973291</v>
      </c>
      <c r="C2770" t="s">
        <v>40</v>
      </c>
      <c r="D2770">
        <v>4.4300519999999999</v>
      </c>
      <c r="E2770">
        <v>0.60242609999999996</v>
      </c>
      <c r="F2770" t="s">
        <v>67</v>
      </c>
      <c r="G2770">
        <v>-217.70320000000001</v>
      </c>
      <c r="H2770" s="1">
        <v>2.5624869999999999E-6</v>
      </c>
      <c r="I2770">
        <v>283.96679999999998</v>
      </c>
      <c r="J2770">
        <v>-202.00530000000001</v>
      </c>
      <c r="K2770">
        <v>1.1059239999999999</v>
      </c>
      <c r="L2770">
        <v>284.21260000000001</v>
      </c>
      <c r="M2770">
        <v>-0.83688390000000001</v>
      </c>
      <c r="N2770">
        <v>0</v>
      </c>
      <c r="O2770">
        <v>-0.54717340000000003</v>
      </c>
      <c r="P2770">
        <v>-0.96061209999999997</v>
      </c>
      <c r="Q2770">
        <v>7.9577199999999997E-3</v>
      </c>
      <c r="R2770">
        <v>-0.27778009999999997</v>
      </c>
      <c r="S2770">
        <v>-3.1138919999999999</v>
      </c>
      <c r="T2770">
        <v>-0.21739230000000001</v>
      </c>
      <c r="U2770">
        <v>-6.3903810000000005E-2</v>
      </c>
      <c r="V2770">
        <v>0.29342790000000002</v>
      </c>
      <c r="W2770">
        <v>1.8895760000000001E-2</v>
      </c>
      <c r="X2770">
        <v>0.95579449999999999</v>
      </c>
      <c r="Y2770">
        <v>0.52745799999999998</v>
      </c>
      <c r="Z2770">
        <v>5.4793939999999999E-2</v>
      </c>
      <c r="AA2770">
        <v>0.84781229999999996</v>
      </c>
      <c r="AB2770">
        <v>16</v>
      </c>
      <c r="AC2770">
        <v>-15.697900000000001</v>
      </c>
      <c r="AD2770">
        <v>-1.105921437513</v>
      </c>
      <c r="AE2770">
        <v>-0.24580000000003099</v>
      </c>
      <c r="AF2770">
        <v>8.3433175775747799</v>
      </c>
      <c r="AG2770">
        <v>-1.105921437513</v>
      </c>
      <c r="AH2770">
        <v>13.207781656359</v>
      </c>
      <c r="AI2770">
        <v>94.049280541675998</v>
      </c>
      <c r="AJ2770">
        <v>57.719516006874798</v>
      </c>
      <c r="AK2770">
        <v>15.661401811724</v>
      </c>
      <c r="AL2770">
        <v>88.917288323193901</v>
      </c>
      <c r="AM2770">
        <v>72.933569200492698</v>
      </c>
      <c r="AN2770">
        <v>1.00000005423731</v>
      </c>
    </row>
    <row r="2771" spans="1:40" x14ac:dyDescent="0.25">
      <c r="A2771" t="str">
        <f>"20190312150717006"</f>
        <v>20190312150717006</v>
      </c>
      <c r="B2771" t="str">
        <f>"1552374437003078"</f>
        <v>1552374437003078</v>
      </c>
      <c r="C2771" t="s">
        <v>40</v>
      </c>
      <c r="D2771">
        <v>4.4719680000000004</v>
      </c>
      <c r="E2771">
        <v>0.60502069999999997</v>
      </c>
      <c r="F2771" t="s">
        <v>67</v>
      </c>
      <c r="G2771">
        <v>-218.07730000000001</v>
      </c>
      <c r="H2771" s="1">
        <v>2.7615659999999999E-6</v>
      </c>
      <c r="I2771">
        <v>284.01119999999997</v>
      </c>
      <c r="J2771">
        <v>-202.13800000000001</v>
      </c>
      <c r="K2771">
        <v>1.1059540000000001</v>
      </c>
      <c r="L2771">
        <v>284.14100000000002</v>
      </c>
      <c r="M2771">
        <v>-0.84259319999999904</v>
      </c>
      <c r="N2771">
        <v>0</v>
      </c>
      <c r="O2771">
        <v>-0.53834059999999995</v>
      </c>
      <c r="P2771">
        <v>-0.96271680000000004</v>
      </c>
      <c r="Q2771">
        <v>8.2036160000000004E-3</v>
      </c>
      <c r="R2771">
        <v>-0.2703875</v>
      </c>
      <c r="S2771">
        <v>-3.1134949999999999</v>
      </c>
      <c r="T2771">
        <v>-0.21424080000000001</v>
      </c>
      <c r="U2771">
        <v>-3.9031980000000001E-2</v>
      </c>
      <c r="V2771">
        <v>0.29072049999999999</v>
      </c>
      <c r="W2771">
        <v>1.9188960000000001E-2</v>
      </c>
      <c r="X2771">
        <v>0.95661560000000001</v>
      </c>
      <c r="Y2771">
        <v>0.52539360000000002</v>
      </c>
      <c r="Z2771">
        <v>5.344459E-2</v>
      </c>
      <c r="AA2771">
        <v>0.84917909999999996</v>
      </c>
      <c r="AB2771">
        <v>16</v>
      </c>
      <c r="AC2771">
        <v>-15.939299999999999</v>
      </c>
      <c r="AD2771">
        <v>-1.105951238434</v>
      </c>
      <c r="AE2771">
        <v>-0.12979999999998801</v>
      </c>
      <c r="AF2771">
        <v>8.4317711591118005</v>
      </c>
      <c r="AG2771">
        <v>-1.105951238434</v>
      </c>
      <c r="AH2771">
        <v>13.4370630356077</v>
      </c>
      <c r="AI2771">
        <v>93.988030711303395</v>
      </c>
      <c r="AJ2771">
        <v>57.891685708391599</v>
      </c>
      <c r="AK2771">
        <v>15.9019670495294</v>
      </c>
      <c r="AL2771">
        <v>88.900486112546901</v>
      </c>
      <c r="AM2771">
        <v>73.095698001545202</v>
      </c>
      <c r="AN2771">
        <v>1.00000001573474</v>
      </c>
    </row>
    <row r="2772" spans="1:40" x14ac:dyDescent="0.25">
      <c r="A2772" t="str">
        <f>"20190312150717028"</f>
        <v>20190312150717028</v>
      </c>
      <c r="B2772" t="str">
        <f>"1552374437023574"</f>
        <v>1552374437023574</v>
      </c>
      <c r="C2772" t="s">
        <v>40</v>
      </c>
      <c r="D2772">
        <v>4.4343810000000001</v>
      </c>
      <c r="E2772">
        <v>0.60596779999999995</v>
      </c>
      <c r="F2772" t="s">
        <v>67</v>
      </c>
      <c r="G2772">
        <v>-219.45269999999999</v>
      </c>
      <c r="H2772" s="1">
        <v>3.4934700000000001E-6</v>
      </c>
      <c r="I2772">
        <v>284.16399999999999</v>
      </c>
      <c r="J2772">
        <v>-202.28360000000001</v>
      </c>
      <c r="K2772">
        <v>1.10597099999999</v>
      </c>
      <c r="L2772">
        <v>284.06439999999998</v>
      </c>
      <c r="M2772">
        <v>-0.84871659999999904</v>
      </c>
      <c r="N2772">
        <v>0</v>
      </c>
      <c r="O2772">
        <v>-0.52863509999999903</v>
      </c>
      <c r="P2772">
        <v>-0.96523899999999996</v>
      </c>
      <c r="Q2772">
        <v>8.3154179999999998E-3</v>
      </c>
      <c r="R2772">
        <v>-0.2612372</v>
      </c>
      <c r="S2772">
        <v>-3.119049</v>
      </c>
      <c r="T2772">
        <v>-0.19922480000000001</v>
      </c>
      <c r="U2772">
        <v>4.1503909999999998E-3</v>
      </c>
      <c r="V2772">
        <v>0.28882049999999998</v>
      </c>
      <c r="W2772">
        <v>1.9322929999999999E-2</v>
      </c>
      <c r="X2772">
        <v>0.95718820000000004</v>
      </c>
      <c r="Y2772">
        <v>0.52775859999999997</v>
      </c>
      <c r="Z2772">
        <v>4.9195269999999999E-2</v>
      </c>
      <c r="AA2772">
        <v>0.84796849999999901</v>
      </c>
      <c r="AB2772">
        <v>16</v>
      </c>
      <c r="AC2772">
        <v>-17.169099999999901</v>
      </c>
      <c r="AD2772">
        <v>-1.1059675065300001</v>
      </c>
      <c r="AE2772">
        <v>9.9600000000009403E-2</v>
      </c>
      <c r="AF2772">
        <v>9.1238943225569606</v>
      </c>
      <c r="AG2772">
        <v>-1.1059675065300001</v>
      </c>
      <c r="AH2772">
        <v>14.460680521388401</v>
      </c>
      <c r="AI2772">
        <v>93.700870428092898</v>
      </c>
      <c r="AJ2772">
        <v>57.750327605420502</v>
      </c>
      <c r="AK2772">
        <v>17.134173247529301</v>
      </c>
      <c r="AL2772">
        <v>88.892808704723606</v>
      </c>
      <c r="AM2772">
        <v>73.209417146832806</v>
      </c>
      <c r="AN2772">
        <v>0.99999995353163595</v>
      </c>
    </row>
    <row r="2773" spans="1:40" x14ac:dyDescent="0.25">
      <c r="A2773" t="str">
        <f>"20190312150717050"</f>
        <v>20190312150717050</v>
      </c>
      <c r="B2773" t="str">
        <f>"1552374437043094"</f>
        <v>1552374437043094</v>
      </c>
      <c r="C2773" t="s">
        <v>40</v>
      </c>
      <c r="D2773">
        <v>4.3781910000000002</v>
      </c>
      <c r="E2773">
        <v>0.60609449999999998</v>
      </c>
      <c r="F2773" t="s">
        <v>67</v>
      </c>
      <c r="G2773">
        <v>-220.2946</v>
      </c>
      <c r="H2773" s="1">
        <v>-1.3799959999999901E-6</v>
      </c>
      <c r="I2773">
        <v>284.29899999999998</v>
      </c>
      <c r="J2773">
        <v>-202.43</v>
      </c>
      <c r="K2773">
        <v>1.1059779999999999</v>
      </c>
      <c r="L2773">
        <v>283.98950000000002</v>
      </c>
      <c r="M2773">
        <v>-0.8547302</v>
      </c>
      <c r="N2773">
        <v>0</v>
      </c>
      <c r="O2773">
        <v>-0.5188566</v>
      </c>
      <c r="P2773">
        <v>-0.96782489999999999</v>
      </c>
      <c r="Q2773">
        <v>8.3051989999999992E-3</v>
      </c>
      <c r="R2773">
        <v>-0.25148759999999998</v>
      </c>
      <c r="S2773">
        <v>-3.120682</v>
      </c>
      <c r="T2773">
        <v>-0.19162660000000001</v>
      </c>
      <c r="U2773">
        <v>4.0649409999999997E-2</v>
      </c>
      <c r="V2773">
        <v>0.28748420000000002</v>
      </c>
      <c r="W2773">
        <v>1.9298139999999998E-2</v>
      </c>
      <c r="X2773">
        <v>0.95759090000000002</v>
      </c>
      <c r="Y2773">
        <v>0.52810599999999996</v>
      </c>
      <c r="Z2773">
        <v>4.6811060000000002E-2</v>
      </c>
      <c r="AA2773">
        <v>0.84788730000000001</v>
      </c>
      <c r="AB2773">
        <v>16</v>
      </c>
      <c r="AC2773">
        <v>-17.8645999999999</v>
      </c>
      <c r="AD2773">
        <v>-1.1059793799959901</v>
      </c>
      <c r="AE2773">
        <v>0.30950000000001399</v>
      </c>
      <c r="AF2773">
        <v>9.4983793739989402</v>
      </c>
      <c r="AG2773">
        <v>-1.1059793799959901</v>
      </c>
      <c r="AH2773">
        <v>15.052844270849899</v>
      </c>
      <c r="AI2773">
        <v>93.555609418956493</v>
      </c>
      <c r="AJ2773">
        <v>57.747980094268797</v>
      </c>
      <c r="AK2773">
        <v>17.833410267356101</v>
      </c>
      <c r="AL2773">
        <v>88.894229336572394</v>
      </c>
      <c r="AM2773">
        <v>73.289397455235303</v>
      </c>
      <c r="AN2773">
        <v>0.99999995760995297</v>
      </c>
    </row>
    <row r="2774" spans="1:40" x14ac:dyDescent="0.25">
      <c r="A2774" t="str">
        <f>"20190312150717073"</f>
        <v>20190312150717073</v>
      </c>
      <c r="B2774" t="str">
        <f>"1552374437062614"</f>
        <v>1552374437062614</v>
      </c>
      <c r="C2774" t="s">
        <v>40</v>
      </c>
      <c r="D2774">
        <v>4.3803929999999998</v>
      </c>
      <c r="E2774">
        <v>0.60566619999999904</v>
      </c>
      <c r="F2774" t="s">
        <v>67</v>
      </c>
      <c r="G2774">
        <v>-220.55340000000001</v>
      </c>
      <c r="H2774" s="1">
        <v>-1.242311E-6</v>
      </c>
      <c r="I2774">
        <v>284.4135</v>
      </c>
      <c r="J2774">
        <v>-202.5752</v>
      </c>
      <c r="K2774">
        <v>1.1059650000000001</v>
      </c>
      <c r="L2774">
        <v>283.91739999999999</v>
      </c>
      <c r="M2774">
        <v>-0.86055769999999998</v>
      </c>
      <c r="N2774">
        <v>0</v>
      </c>
      <c r="O2774">
        <v>-0.50913569999999997</v>
      </c>
      <c r="P2774">
        <v>-0.97047950000000005</v>
      </c>
      <c r="Q2774">
        <v>8.5084159999999995E-3</v>
      </c>
      <c r="R2774">
        <v>-0.24103369999999999</v>
      </c>
      <c r="S2774">
        <v>-3.1203310000000002</v>
      </c>
      <c r="T2774">
        <v>-0.1904187</v>
      </c>
      <c r="U2774">
        <v>7.2998049999999995E-2</v>
      </c>
      <c r="V2774">
        <v>0.28695900000000002</v>
      </c>
      <c r="W2774">
        <v>1.9429720000000001E-2</v>
      </c>
      <c r="X2774">
        <v>0.95774579999999998</v>
      </c>
      <c r="Y2774">
        <v>0.52731969999999995</v>
      </c>
      <c r="Z2774">
        <v>4.5995880000000003E-2</v>
      </c>
      <c r="AA2774">
        <v>0.84842109999999904</v>
      </c>
      <c r="AB2774">
        <v>16</v>
      </c>
      <c r="AC2774">
        <v>-17.978200000000001</v>
      </c>
      <c r="AD2774">
        <v>-1.1059662423109999</v>
      </c>
      <c r="AE2774">
        <v>0.49610000000001198</v>
      </c>
      <c r="AF2774">
        <v>9.5452312585680801</v>
      </c>
      <c r="AG2774">
        <v>-1.1059662423109999</v>
      </c>
      <c r="AH2774">
        <v>15.1630417273585</v>
      </c>
      <c r="AI2774">
        <v>93.532169382453702</v>
      </c>
      <c r="AJ2774">
        <v>57.809323962573302</v>
      </c>
      <c r="AK2774">
        <v>17.951390908068699</v>
      </c>
      <c r="AL2774">
        <v>88.886688990474994</v>
      </c>
      <c r="AM2774">
        <v>73.320776259474997</v>
      </c>
      <c r="AN2774">
        <v>0.99999999955895902</v>
      </c>
    </row>
    <row r="2775" spans="1:40" x14ac:dyDescent="0.25">
      <c r="A2775" t="str">
        <f>"20190312150717096"</f>
        <v>20190312150717096</v>
      </c>
      <c r="B2775" t="str">
        <f>"1552374437093377"</f>
        <v>1552374437093377</v>
      </c>
      <c r="C2775" t="s">
        <v>40</v>
      </c>
      <c r="D2775">
        <v>4.3892309999999997</v>
      </c>
      <c r="E2775">
        <v>0.60477930000000002</v>
      </c>
      <c r="F2775" t="s">
        <v>67</v>
      </c>
      <c r="G2775">
        <v>-220.90280000000001</v>
      </c>
      <c r="H2775" s="1">
        <v>-1.0563510000000001E-6</v>
      </c>
      <c r="I2775">
        <v>284.52269999999999</v>
      </c>
      <c r="J2775">
        <v>-202.72190000000001</v>
      </c>
      <c r="K2775">
        <v>1.105934</v>
      </c>
      <c r="L2775">
        <v>283.84640000000002</v>
      </c>
      <c r="M2775">
        <v>-0.86631029999999998</v>
      </c>
      <c r="N2775">
        <v>0</v>
      </c>
      <c r="O2775">
        <v>-0.49928879999999998</v>
      </c>
      <c r="P2775">
        <v>-0.97307909999999997</v>
      </c>
      <c r="Q2775">
        <v>8.8056660000000002E-3</v>
      </c>
      <c r="R2775">
        <v>-0.23030349999999999</v>
      </c>
      <c r="S2775">
        <v>-3.1184539999999998</v>
      </c>
      <c r="T2775">
        <v>-0.1881806</v>
      </c>
      <c r="U2775">
        <v>0.1029968</v>
      </c>
      <c r="V2775">
        <v>0.28661130000000001</v>
      </c>
      <c r="W2775">
        <v>1.9601819999999999E-2</v>
      </c>
      <c r="X2775">
        <v>0.95784639999999999</v>
      </c>
      <c r="Y2775">
        <v>0.52586549999999999</v>
      </c>
      <c r="Z2775">
        <v>4.492848E-2</v>
      </c>
      <c r="AA2775">
        <v>0.84938029999999998</v>
      </c>
      <c r="AB2775">
        <v>16</v>
      </c>
      <c r="AC2775">
        <v>-18.180900000000001</v>
      </c>
      <c r="AD2775">
        <v>-1.105935056351</v>
      </c>
      <c r="AE2775">
        <v>0.67629999999996904</v>
      </c>
      <c r="AF2775">
        <v>9.6288750139763408</v>
      </c>
      <c r="AG2775">
        <v>-1.105935056351</v>
      </c>
      <c r="AH2775">
        <v>15.357557737992201</v>
      </c>
      <c r="AI2775">
        <v>93.491406454374797</v>
      </c>
      <c r="AJ2775">
        <v>57.913127993984702</v>
      </c>
      <c r="AK2775">
        <v>18.160201156909299</v>
      </c>
      <c r="AL2775">
        <v>88.876826505965099</v>
      </c>
      <c r="AM2775">
        <v>73.341518144136401</v>
      </c>
      <c r="AN2775">
        <v>0.99999999731398104</v>
      </c>
    </row>
    <row r="2776" spans="1:40" x14ac:dyDescent="0.25">
      <c r="A2776" t="str">
        <f>"20190312150717117"</f>
        <v>20190312150717117</v>
      </c>
      <c r="B2776" t="str">
        <f>"1552374437112897"</f>
        <v>1552374437112897</v>
      </c>
      <c r="C2776" t="s">
        <v>40</v>
      </c>
      <c r="D2776">
        <v>4.3867240000000001</v>
      </c>
      <c r="E2776">
        <v>0.60443290000000005</v>
      </c>
      <c r="F2776" t="s">
        <v>67</v>
      </c>
      <c r="G2776">
        <v>-221.59139999999999</v>
      </c>
      <c r="H2776" s="1">
        <v>-6.8992469999999998E-7</v>
      </c>
      <c r="I2776">
        <v>284.63619999999997</v>
      </c>
      <c r="J2776">
        <v>-202.86109999999999</v>
      </c>
      <c r="K2776">
        <v>1.1058920000000001</v>
      </c>
      <c r="L2776">
        <v>283.78109999999998</v>
      </c>
      <c r="M2776">
        <v>-0.87164349999999902</v>
      </c>
      <c r="N2776">
        <v>0</v>
      </c>
      <c r="O2776">
        <v>-0.48992380000000002</v>
      </c>
      <c r="P2776">
        <v>-0.97533829999999999</v>
      </c>
      <c r="Q2776">
        <v>8.8111679999999994E-3</v>
      </c>
      <c r="R2776">
        <v>-0.22054019999999999</v>
      </c>
      <c r="S2776">
        <v>-3.1155240000000002</v>
      </c>
      <c r="T2776">
        <v>-0.1825995</v>
      </c>
      <c r="U2776">
        <v>0.13040160000000001</v>
      </c>
      <c r="V2776">
        <v>0.2858849</v>
      </c>
      <c r="W2776">
        <v>1.9458329999999999E-2</v>
      </c>
      <c r="X2776">
        <v>0.95806639999999998</v>
      </c>
      <c r="Y2776">
        <v>0.52431329999999998</v>
      </c>
      <c r="Z2776">
        <v>4.3115149999999998E-2</v>
      </c>
      <c r="AA2776">
        <v>0.85043329999999995</v>
      </c>
      <c r="AB2776">
        <v>16</v>
      </c>
      <c r="AC2776">
        <v>-18.7303</v>
      </c>
      <c r="AD2776">
        <v>-1.1058926899246999</v>
      </c>
      <c r="AE2776">
        <v>0.85509999999999298</v>
      </c>
      <c r="AF2776">
        <v>9.8884153243390394</v>
      </c>
      <c r="AG2776">
        <v>-1.1058926899246999</v>
      </c>
      <c r="AH2776">
        <v>15.8537466874084</v>
      </c>
      <c r="AI2776">
        <v>93.387198375438999</v>
      </c>
      <c r="AJ2776">
        <v>58.047082043452299</v>
      </c>
      <c r="AK2776">
        <v>18.717506252082998</v>
      </c>
      <c r="AL2776">
        <v>88.885049465181098</v>
      </c>
      <c r="AM2776">
        <v>73.385012729792294</v>
      </c>
      <c r="AN2776">
        <v>1.0000000147316701</v>
      </c>
    </row>
    <row r="2777" spans="1:40" x14ac:dyDescent="0.25">
      <c r="A2777" t="str">
        <f>"20190312150717140"</f>
        <v>20190312150717140</v>
      </c>
      <c r="B2777" t="str">
        <f>"1552374437133393"</f>
        <v>1552374437133393</v>
      </c>
      <c r="C2777" t="s">
        <v>40</v>
      </c>
      <c r="D2777">
        <v>4.4252690000000001</v>
      </c>
      <c r="E2777">
        <v>0.59101949999999903</v>
      </c>
      <c r="F2777" t="s">
        <v>67</v>
      </c>
      <c r="G2777">
        <v>-221.98779999999999</v>
      </c>
      <c r="H2777" s="1">
        <v>-4.7899659999999898E-7</v>
      </c>
      <c r="I2777">
        <v>284.75650000000002</v>
      </c>
      <c r="J2777">
        <v>-203.00989999999999</v>
      </c>
      <c r="K2777">
        <v>1.1058460000000001</v>
      </c>
      <c r="L2777">
        <v>283.7131</v>
      </c>
      <c r="M2777">
        <v>-0.87721190000000004</v>
      </c>
      <c r="N2777">
        <v>0</v>
      </c>
      <c r="O2777">
        <v>-0.47988829999999999</v>
      </c>
      <c r="P2777">
        <v>-0.97772870000000001</v>
      </c>
      <c r="Q2777">
        <v>8.6608220000000003E-3</v>
      </c>
      <c r="R2777">
        <v>-0.20969489999999999</v>
      </c>
      <c r="S2777">
        <v>-3.113388</v>
      </c>
      <c r="T2777">
        <v>-0.1800138</v>
      </c>
      <c r="U2777">
        <v>0.15878299999999901</v>
      </c>
      <c r="V2777">
        <v>0.28552509999999998</v>
      </c>
      <c r="W2777">
        <v>1.911554E-2</v>
      </c>
      <c r="X2777">
        <v>0.95818060000000005</v>
      </c>
      <c r="Y2777">
        <v>0.52237159999999905</v>
      </c>
      <c r="Z2777">
        <v>4.1966360000000001E-2</v>
      </c>
      <c r="AA2777">
        <v>0.85168459999999901</v>
      </c>
      <c r="AB2777">
        <v>16</v>
      </c>
      <c r="AC2777">
        <v>-18.977900000000002</v>
      </c>
      <c r="AD2777">
        <v>-1.1058464789965901</v>
      </c>
      <c r="AE2777">
        <v>1.0434000000000101</v>
      </c>
      <c r="AF2777">
        <v>9.9897728218908597</v>
      </c>
      <c r="AG2777">
        <v>-1.1058464789965901</v>
      </c>
      <c r="AH2777">
        <v>16.094110147654799</v>
      </c>
      <c r="AI2777">
        <v>93.341095998297902</v>
      </c>
      <c r="AJ2777">
        <v>58.171717824936501</v>
      </c>
      <c r="AK2777">
        <v>18.9746894286295</v>
      </c>
      <c r="AL2777">
        <v>88.904693549845703</v>
      </c>
      <c r="AM2777">
        <v>73.4066419310508</v>
      </c>
      <c r="AN2777">
        <v>1.0000000244079299</v>
      </c>
    </row>
    <row r="2778" spans="1:40" x14ac:dyDescent="0.25">
      <c r="A2778" t="str">
        <f>"20190312150717162"</f>
        <v>20190312150717162</v>
      </c>
      <c r="B2778" t="str">
        <f>"1552374437152916"</f>
        <v>1552374437152916</v>
      </c>
      <c r="C2778" t="s">
        <v>40</v>
      </c>
      <c r="D2778">
        <v>4.412865</v>
      </c>
      <c r="E2778">
        <v>0.5915762</v>
      </c>
      <c r="F2778" t="s">
        <v>67</v>
      </c>
      <c r="G2778">
        <v>-222.98859999999999</v>
      </c>
      <c r="H2778" s="1">
        <v>5.3583019999999997E-8</v>
      </c>
      <c r="I2778">
        <v>284.28440000000001</v>
      </c>
      <c r="J2778">
        <v>-203.15799999999999</v>
      </c>
      <c r="K2778">
        <v>1.105804</v>
      </c>
      <c r="L2778">
        <v>283.64760000000001</v>
      </c>
      <c r="M2778">
        <v>-0.88261880000000004</v>
      </c>
      <c r="N2778">
        <v>0</v>
      </c>
      <c r="O2778">
        <v>-0.46987600000000002</v>
      </c>
      <c r="P2778">
        <v>-0.98006709999999997</v>
      </c>
      <c r="Q2778">
        <v>8.1801080000000002E-3</v>
      </c>
      <c r="R2778">
        <v>-0.19849739999999999</v>
      </c>
      <c r="S2778">
        <v>-3.0887910000000001</v>
      </c>
      <c r="T2778">
        <v>-0.17096829999999999</v>
      </c>
      <c r="U2778">
        <v>8.8317870000000007E-2</v>
      </c>
      <c r="V2778">
        <v>0.28557490000000002</v>
      </c>
      <c r="W2778">
        <v>1.8419959999999999E-2</v>
      </c>
      <c r="X2778">
        <v>0.95817940000000001</v>
      </c>
      <c r="Y2778">
        <v>0.49352649999999998</v>
      </c>
      <c r="Z2778">
        <v>3.8864589999999997E-2</v>
      </c>
      <c r="AA2778">
        <v>0.86886200000000002</v>
      </c>
      <c r="AB2778">
        <v>16</v>
      </c>
      <c r="AC2778">
        <v>-19.8306</v>
      </c>
      <c r="AD2778">
        <v>-1.10580394641698</v>
      </c>
      <c r="AE2778">
        <v>0.63679999999999304</v>
      </c>
      <c r="AF2778">
        <v>9.8503680161869003</v>
      </c>
      <c r="AG2778">
        <v>-1.10580394641698</v>
      </c>
      <c r="AH2778">
        <v>17.152090362462499</v>
      </c>
      <c r="AI2778">
        <v>93.199898378819498</v>
      </c>
      <c r="AJ2778">
        <v>60.131443412427302</v>
      </c>
      <c r="AK2778">
        <v>19.8102689589088</v>
      </c>
      <c r="AL2778">
        <v>88.944554385663395</v>
      </c>
      <c r="AM2778">
        <v>73.403887324105796</v>
      </c>
      <c r="AN2778">
        <v>1.0000000405103799</v>
      </c>
    </row>
    <row r="2779" spans="1:40" x14ac:dyDescent="0.25">
      <c r="A2779" t="str">
        <f>"20190312150717185"</f>
        <v>20190312150717185</v>
      </c>
      <c r="B2779" t="str">
        <f>"1552374437173409"</f>
        <v>1552374437173409</v>
      </c>
      <c r="C2779" t="s">
        <v>40</v>
      </c>
      <c r="D2779">
        <v>4.3535789999999999</v>
      </c>
      <c r="E2779">
        <v>0.5908101</v>
      </c>
      <c r="F2779" t="s">
        <v>67</v>
      </c>
      <c r="G2779">
        <v>-224.69409999999999</v>
      </c>
      <c r="H2779" s="1">
        <v>9.611643000000001E-7</v>
      </c>
      <c r="I2779">
        <v>284.53699999999998</v>
      </c>
      <c r="J2779">
        <v>-203.3047</v>
      </c>
      <c r="K2779">
        <v>1.105761</v>
      </c>
      <c r="L2779">
        <v>283.58449999999999</v>
      </c>
      <c r="M2779">
        <v>-0.88784089999999904</v>
      </c>
      <c r="N2779">
        <v>0</v>
      </c>
      <c r="O2779">
        <v>-0.45994000000000002</v>
      </c>
      <c r="P2779">
        <v>-0.98210129999999995</v>
      </c>
      <c r="Q2779">
        <v>7.822575E-3</v>
      </c>
      <c r="R2779">
        <v>-0.18819140000000001</v>
      </c>
      <c r="S2779">
        <v>-3.0881810000000001</v>
      </c>
      <c r="T2779">
        <v>-0.15856709999999999</v>
      </c>
      <c r="U2779">
        <v>0.12753299999999901</v>
      </c>
      <c r="V2779">
        <v>0.28487859999999998</v>
      </c>
      <c r="W2779">
        <v>1.7850709999999999E-2</v>
      </c>
      <c r="X2779">
        <v>0.95839739999999995</v>
      </c>
      <c r="Y2779">
        <v>0.49500440000000001</v>
      </c>
      <c r="Z2779">
        <v>3.5642920000000002E-2</v>
      </c>
      <c r="AA2779">
        <v>0.86815909999999996</v>
      </c>
      <c r="AB2779">
        <v>16</v>
      </c>
      <c r="AC2779">
        <v>-21.389399999999899</v>
      </c>
      <c r="AD2779">
        <v>-1.1057600388357001</v>
      </c>
      <c r="AE2779">
        <v>0.95250000000004298</v>
      </c>
      <c r="AF2779">
        <v>10.6561215444732</v>
      </c>
      <c r="AG2779">
        <v>-1.1057600388357001</v>
      </c>
      <c r="AH2779">
        <v>18.504731849618199</v>
      </c>
      <c r="AI2779">
        <v>92.964311433012</v>
      </c>
      <c r="AJ2779">
        <v>60.0641119408847</v>
      </c>
      <c r="AK2779">
        <v>21.382252745217201</v>
      </c>
      <c r="AL2779">
        <v>88.977175351561698</v>
      </c>
      <c r="AM2779">
        <v>73.445694662537605</v>
      </c>
      <c r="AN2779">
        <v>1.0000000204561099</v>
      </c>
    </row>
    <row r="2780" spans="1:40" x14ac:dyDescent="0.25">
      <c r="A2780" t="str">
        <f>"20190312150717197"</f>
        <v>20190312150717197</v>
      </c>
      <c r="B2780" t="str">
        <f>"1552374437192929"</f>
        <v>1552374437192929</v>
      </c>
      <c r="C2780" t="s">
        <v>40</v>
      </c>
      <c r="D2780">
        <v>4.2522630000000001</v>
      </c>
      <c r="E2780">
        <v>0.58981349999999999</v>
      </c>
      <c r="F2780" t="s">
        <v>67</v>
      </c>
      <c r="G2780">
        <v>-225.8528</v>
      </c>
      <c r="H2780" s="1">
        <v>1.5777839999999999E-6</v>
      </c>
      <c r="I2780">
        <v>284.7054</v>
      </c>
      <c r="J2780">
        <v>-203.39150000000001</v>
      </c>
      <c r="K2780">
        <v>1.105734</v>
      </c>
      <c r="L2780">
        <v>283.54829999999998</v>
      </c>
      <c r="M2780">
        <v>-0.89086430000000005</v>
      </c>
      <c r="N2780">
        <v>0</v>
      </c>
      <c r="O2780">
        <v>-0.45406029999999997</v>
      </c>
      <c r="P2780">
        <v>-0.98320549999999995</v>
      </c>
      <c r="Q2780">
        <v>7.5173810000000001E-3</v>
      </c>
      <c r="R2780">
        <v>-0.18234739999999999</v>
      </c>
      <c r="S2780">
        <v>-3.0852659999999998</v>
      </c>
      <c r="T2780">
        <v>-0.15130150000000001</v>
      </c>
      <c r="U2780">
        <v>0.1533813</v>
      </c>
      <c r="V2780">
        <v>0.28423720000000002</v>
      </c>
      <c r="W2780">
        <v>1.7423049999999999E-2</v>
      </c>
      <c r="X2780">
        <v>0.95859559999999999</v>
      </c>
      <c r="Y2780">
        <v>0.49666660000000001</v>
      </c>
      <c r="Z2780">
        <v>3.3826759999999997E-2</v>
      </c>
      <c r="AA2780">
        <v>0.867282</v>
      </c>
      <c r="AB2780">
        <v>16</v>
      </c>
      <c r="AC2780">
        <v>-22.461299999999898</v>
      </c>
      <c r="AD2780">
        <v>-1.1057324222159901</v>
      </c>
      <c r="AE2780">
        <v>1.15710000000001</v>
      </c>
      <c r="AF2780">
        <v>11.2035916574719</v>
      </c>
      <c r="AG2780">
        <v>-1.1057324222159901</v>
      </c>
      <c r="AH2780">
        <v>19.439443424545502</v>
      </c>
      <c r="AI2780">
        <v>92.821366386608005</v>
      </c>
      <c r="AJ2780">
        <v>60.043735589971199</v>
      </c>
      <c r="AK2780">
        <v>22.464084020342799</v>
      </c>
      <c r="AL2780">
        <v>89.001682192280498</v>
      </c>
      <c r="AM2780">
        <v>73.484162360356095</v>
      </c>
      <c r="AN2780">
        <v>0.99999993643724905</v>
      </c>
    </row>
    <row r="2781" spans="1:40" x14ac:dyDescent="0.25">
      <c r="A2781" t="str">
        <f>"20190312150717218"</f>
        <v>20190312150717218</v>
      </c>
      <c r="B2781" t="str">
        <f>"1552374437212448"</f>
        <v>1552374437212448</v>
      </c>
      <c r="C2781" t="s">
        <v>40</v>
      </c>
      <c r="D2781">
        <v>4.3085769999999997</v>
      </c>
      <c r="E2781">
        <v>0.58952150000000003</v>
      </c>
      <c r="F2781" t="s">
        <v>67</v>
      </c>
      <c r="G2781">
        <v>-227.38990000000001</v>
      </c>
      <c r="H2781" s="1">
        <v>2.3957549999999998E-6</v>
      </c>
      <c r="I2781">
        <v>284.82249999999999</v>
      </c>
      <c r="J2781">
        <v>-203.52770000000001</v>
      </c>
      <c r="K2781">
        <v>1.105694</v>
      </c>
      <c r="L2781">
        <v>283.49259999999998</v>
      </c>
      <c r="M2781">
        <v>-0.89551190000000003</v>
      </c>
      <c r="N2781">
        <v>0</v>
      </c>
      <c r="O2781">
        <v>-0.44483040000000001</v>
      </c>
      <c r="P2781">
        <v>-0.98477170000000003</v>
      </c>
      <c r="Q2781">
        <v>6.9950660000000003E-3</v>
      </c>
      <c r="R2781">
        <v>-0.1737129</v>
      </c>
      <c r="S2781">
        <v>-3.0826720000000001</v>
      </c>
      <c r="T2781">
        <v>-0.14203479999999999</v>
      </c>
      <c r="U2781">
        <v>0.1636658</v>
      </c>
      <c r="V2781">
        <v>0.28273500000000001</v>
      </c>
      <c r="W2781">
        <v>1.672268E-2</v>
      </c>
      <c r="X2781">
        <v>0.95905229999999997</v>
      </c>
      <c r="Y2781">
        <v>0.49075819999999998</v>
      </c>
      <c r="Z2781">
        <v>3.1260740000000002E-2</v>
      </c>
      <c r="AA2781">
        <v>0.87073489999999998</v>
      </c>
      <c r="AB2781">
        <v>16</v>
      </c>
      <c r="AC2781">
        <v>-23.862200000000001</v>
      </c>
      <c r="AD2781">
        <v>-1.105691604245</v>
      </c>
      <c r="AE2781">
        <v>1.3299000000000001</v>
      </c>
      <c r="AF2781">
        <v>11.7814442810984</v>
      </c>
      <c r="AG2781">
        <v>-1.105691604245</v>
      </c>
      <c r="AH2781">
        <v>20.734838163526501</v>
      </c>
      <c r="AI2781">
        <v>92.654546942390894</v>
      </c>
      <c r="AJ2781">
        <v>60.394951343941997</v>
      </c>
      <c r="AK2781">
        <v>23.873803570859</v>
      </c>
      <c r="AL2781">
        <v>89.041816371594393</v>
      </c>
      <c r="AM2781">
        <v>73.574132321569394</v>
      </c>
      <c r="AN2781">
        <v>1.00000002119333</v>
      </c>
    </row>
    <row r="2782" spans="1:40" x14ac:dyDescent="0.25">
      <c r="A2782" t="str">
        <f>"20190312150717231"</f>
        <v>20190312150717231</v>
      </c>
      <c r="B2782" t="str">
        <f>"1552374437223186"</f>
        <v>1552374437223186</v>
      </c>
      <c r="C2782" t="s">
        <v>40</v>
      </c>
      <c r="D2782">
        <v>4.2209000000000003</v>
      </c>
      <c r="E2782">
        <v>0.58904690000000004</v>
      </c>
      <c r="F2782" t="s">
        <v>67</v>
      </c>
      <c r="G2782">
        <v>-229.70580000000001</v>
      </c>
      <c r="H2782" s="1">
        <v>3.6281780000000001E-6</v>
      </c>
      <c r="I2782">
        <v>285.09070000000003</v>
      </c>
      <c r="J2782">
        <v>-203.62039999999999</v>
      </c>
      <c r="K2782">
        <v>1.1056709999999901</v>
      </c>
      <c r="L2782">
        <v>283.4556</v>
      </c>
      <c r="M2782">
        <v>-0.89860830000000003</v>
      </c>
      <c r="N2782">
        <v>0</v>
      </c>
      <c r="O2782">
        <v>-0.4385462</v>
      </c>
      <c r="P2782">
        <v>-0.98580939999999995</v>
      </c>
      <c r="Q2782">
        <v>6.854354E-3</v>
      </c>
      <c r="R2782">
        <v>-0.1677295</v>
      </c>
      <c r="S2782">
        <v>-3.080505</v>
      </c>
      <c r="T2782">
        <v>-0.13011159999999999</v>
      </c>
      <c r="U2782">
        <v>0.1880493</v>
      </c>
      <c r="V2782">
        <v>0.281837</v>
      </c>
      <c r="W2782">
        <v>1.6465219999999999E-2</v>
      </c>
      <c r="X2782">
        <v>0.95932099999999998</v>
      </c>
      <c r="Y2782">
        <v>0.49171819999999999</v>
      </c>
      <c r="Z2782">
        <v>2.843758E-2</v>
      </c>
      <c r="AA2782">
        <v>0.87028989999999995</v>
      </c>
      <c r="AB2782">
        <v>16</v>
      </c>
      <c r="AC2782">
        <v>-26.0854</v>
      </c>
      <c r="AD2782">
        <v>-1.10566737182199</v>
      </c>
      <c r="AE2782">
        <v>1.63510000000002</v>
      </c>
      <c r="AF2782">
        <v>12.8870692918156</v>
      </c>
      <c r="AG2782">
        <v>-1.10566737182199</v>
      </c>
      <c r="AH2782">
        <v>22.6849429627182</v>
      </c>
      <c r="AI2782">
        <v>92.426692895425603</v>
      </c>
      <c r="AJ2782">
        <v>60.399564438386101</v>
      </c>
      <c r="AK2782">
        <v>26.113324041396002</v>
      </c>
      <c r="AL2782">
        <v>89.056569744232604</v>
      </c>
      <c r="AM2782">
        <v>73.627844716482002</v>
      </c>
      <c r="AN2782">
        <v>0.99999998953982405</v>
      </c>
    </row>
    <row r="2783" spans="1:40" x14ac:dyDescent="0.25">
      <c r="A2783" t="str">
        <f>"20190312150717244"</f>
        <v>20190312150717244</v>
      </c>
      <c r="B2783" t="str">
        <f>"1552374437232945"</f>
        <v>1552374437232945</v>
      </c>
      <c r="C2783" t="s">
        <v>40</v>
      </c>
      <c r="D2783">
        <v>4.2995130000000001</v>
      </c>
      <c r="E2783">
        <v>0.58898899999999998</v>
      </c>
      <c r="F2783" t="s">
        <v>67</v>
      </c>
      <c r="G2783">
        <v>-230.68360000000001</v>
      </c>
      <c r="H2783" s="1">
        <v>-1.200224E-6</v>
      </c>
      <c r="I2783">
        <v>285.23860000000002</v>
      </c>
      <c r="J2783">
        <v>-203.70609999999999</v>
      </c>
      <c r="K2783">
        <v>1.1056509999999999</v>
      </c>
      <c r="L2783">
        <v>283.42189999999999</v>
      </c>
      <c r="M2783">
        <v>-0.90142610000000001</v>
      </c>
      <c r="N2783">
        <v>0</v>
      </c>
      <c r="O2783">
        <v>-0.43272729999999998</v>
      </c>
      <c r="P2783">
        <v>-0.98671569999999997</v>
      </c>
      <c r="Q2783">
        <v>6.7253499999999997E-3</v>
      </c>
      <c r="R2783">
        <v>-0.16231670000000001</v>
      </c>
      <c r="S2783">
        <v>-3.0785830000000001</v>
      </c>
      <c r="T2783">
        <v>-0.1257761</v>
      </c>
      <c r="U2783">
        <v>0.20281979999999999</v>
      </c>
      <c r="V2783">
        <v>0.28089629999999999</v>
      </c>
      <c r="W2783">
        <v>1.6233029999999999E-2</v>
      </c>
      <c r="X2783">
        <v>0.95960080000000003</v>
      </c>
      <c r="Y2783">
        <v>0.49033969999999999</v>
      </c>
      <c r="Z2783">
        <v>2.726141E-2</v>
      </c>
      <c r="AA2783">
        <v>0.87110499999999902</v>
      </c>
      <c r="AB2783">
        <v>16</v>
      </c>
      <c r="AC2783">
        <v>-26.977499999999999</v>
      </c>
      <c r="AD2783">
        <v>-1.1056522002239999</v>
      </c>
      <c r="AE2783">
        <v>1.81670000000002</v>
      </c>
      <c r="AF2783">
        <v>13.290483536159099</v>
      </c>
      <c r="AG2783">
        <v>-1.1056522002239999</v>
      </c>
      <c r="AH2783">
        <v>23.4948959913953</v>
      </c>
      <c r="AI2783">
        <v>92.345523836103197</v>
      </c>
      <c r="AJ2783">
        <v>60.504228774980099</v>
      </c>
      <c r="AK2783">
        <v>27.016098109446801</v>
      </c>
      <c r="AL2783">
        <v>89.069875010659601</v>
      </c>
      <c r="AM2783">
        <v>73.684083608429304</v>
      </c>
      <c r="AN2783">
        <v>0.99999996898865495</v>
      </c>
    </row>
    <row r="2784" spans="1:40" x14ac:dyDescent="0.25">
      <c r="A2784" t="str">
        <f>"20190312150717263"</f>
        <v>20190312150717263</v>
      </c>
      <c r="B2784" t="str">
        <f>"1552374437253441"</f>
        <v>1552374437253441</v>
      </c>
      <c r="C2784" t="s">
        <v>40</v>
      </c>
      <c r="D2784">
        <v>4.2647469999999998</v>
      </c>
      <c r="E2784">
        <v>0.58833970000000002</v>
      </c>
      <c r="F2784" t="s">
        <v>67</v>
      </c>
      <c r="G2784">
        <v>-231.93610000000001</v>
      </c>
      <c r="H2784" s="1">
        <v>-5.4210679999999996E-7</v>
      </c>
      <c r="I2784">
        <v>285.43119999999999</v>
      </c>
      <c r="J2784">
        <v>-203.83449999999999</v>
      </c>
      <c r="K2784">
        <v>1.1056189999999999</v>
      </c>
      <c r="L2784">
        <v>283.37279999999998</v>
      </c>
      <c r="M2784">
        <v>-0.90555929999999996</v>
      </c>
      <c r="N2784">
        <v>0</v>
      </c>
      <c r="O2784">
        <v>-0.4240158</v>
      </c>
      <c r="P2784">
        <v>-0.98788120000000001</v>
      </c>
      <c r="Q2784">
        <v>5.7831719999999996E-3</v>
      </c>
      <c r="R2784">
        <v>-0.15510499999999999</v>
      </c>
      <c r="S2784">
        <v>-3.0772249999999999</v>
      </c>
      <c r="T2784">
        <v>-0.1205219</v>
      </c>
      <c r="U2784">
        <v>0.21902469999999999</v>
      </c>
      <c r="V2784">
        <v>0.27864139999999998</v>
      </c>
      <c r="W2784">
        <v>1.5155510000000001E-2</v>
      </c>
      <c r="X2784">
        <v>0.96027569999999995</v>
      </c>
      <c r="Y2784">
        <v>0.48659550000000001</v>
      </c>
      <c r="Z2784">
        <v>2.5746430000000001E-2</v>
      </c>
      <c r="AA2784">
        <v>0.87324789999999997</v>
      </c>
      <c r="AB2784">
        <v>16</v>
      </c>
      <c r="AC2784">
        <v>-28.101600000000001</v>
      </c>
      <c r="AD2784">
        <v>-1.1056195421068</v>
      </c>
      <c r="AE2784">
        <v>2.0583999999999998</v>
      </c>
      <c r="AF2784">
        <v>13.759532415617</v>
      </c>
      <c r="AG2784">
        <v>-1.1056195421068</v>
      </c>
      <c r="AH2784">
        <v>24.539214460423601</v>
      </c>
      <c r="AI2784">
        <v>92.250505415306804</v>
      </c>
      <c r="AJ2784">
        <v>60.719949178577998</v>
      </c>
      <c r="AK2784">
        <v>28.155286771811902</v>
      </c>
      <c r="AL2784">
        <v>89.131620055990894</v>
      </c>
      <c r="AM2784">
        <v>73.818955772242603</v>
      </c>
      <c r="AN2784">
        <v>1.0000000696439</v>
      </c>
    </row>
    <row r="2785" spans="1:40" x14ac:dyDescent="0.25">
      <c r="A2785" t="str">
        <f>"20190312150717276"</f>
        <v>20190312150717276</v>
      </c>
      <c r="B2785" t="str">
        <f>"1552374437272961"</f>
        <v>1552374437272961</v>
      </c>
      <c r="C2785" t="s">
        <v>40</v>
      </c>
      <c r="D2785">
        <v>4.2791379999999997</v>
      </c>
      <c r="E2785">
        <v>0.58753159999999904</v>
      </c>
      <c r="F2785" t="s">
        <v>67</v>
      </c>
      <c r="G2785">
        <v>-233.756</v>
      </c>
      <c r="H2785" s="1">
        <v>4.1590309999999898E-7</v>
      </c>
      <c r="I2785">
        <v>285.66980000000001</v>
      </c>
      <c r="J2785">
        <v>-203.92349999999999</v>
      </c>
      <c r="K2785">
        <v>1.1055969999999999</v>
      </c>
      <c r="L2785">
        <v>283.33980000000003</v>
      </c>
      <c r="M2785">
        <v>-0.908362</v>
      </c>
      <c r="N2785">
        <v>0</v>
      </c>
      <c r="O2785">
        <v>-0.4179813</v>
      </c>
      <c r="P2785">
        <v>-0.9886798</v>
      </c>
      <c r="Q2785">
        <v>5.2565579999999997E-3</v>
      </c>
      <c r="R2785">
        <v>-0.1499511</v>
      </c>
      <c r="S2785">
        <v>-3.0745239999999998</v>
      </c>
      <c r="T2785">
        <v>-0.1136059</v>
      </c>
      <c r="U2785">
        <v>0.23602290000000001</v>
      </c>
      <c r="V2785">
        <v>0.27725319999999998</v>
      </c>
      <c r="W2785">
        <v>1.4537130000000001E-2</v>
      </c>
      <c r="X2785">
        <v>0.96068690000000001</v>
      </c>
      <c r="Y2785">
        <v>0.48571979999999998</v>
      </c>
      <c r="Z2785">
        <v>2.4067849999999998E-2</v>
      </c>
      <c r="AA2785">
        <v>0.87378310000000003</v>
      </c>
      <c r="AB2785">
        <v>16</v>
      </c>
      <c r="AC2785">
        <v>-29.8324999999999</v>
      </c>
      <c r="AD2785">
        <v>-1.1055965840969</v>
      </c>
      <c r="AE2785">
        <v>2.3299999999999801</v>
      </c>
      <c r="AF2785">
        <v>14.5672651933249</v>
      </c>
      <c r="AG2785">
        <v>-1.1055965840969</v>
      </c>
      <c r="AH2785">
        <v>26.091417176718799</v>
      </c>
      <c r="AI2785">
        <v>92.118866069543103</v>
      </c>
      <c r="AJ2785">
        <v>60.824662107280297</v>
      </c>
      <c r="AK2785">
        <v>29.903003349312598</v>
      </c>
      <c r="AL2785">
        <v>89.167054459244</v>
      </c>
      <c r="AM2785">
        <v>73.901917297748298</v>
      </c>
      <c r="AN2785">
        <v>0.99999999244524296</v>
      </c>
    </row>
    <row r="2786" spans="1:40" x14ac:dyDescent="0.25">
      <c r="A2786" t="str">
        <f>"20190312150717298"</f>
        <v>20190312150717298</v>
      </c>
      <c r="B2786" t="str">
        <f>"1552374437292481"</f>
        <v>1552374437292481</v>
      </c>
      <c r="C2786" t="s">
        <v>40</v>
      </c>
      <c r="D2786">
        <v>4.3033020000000004</v>
      </c>
      <c r="E2786">
        <v>0.57544879999999998</v>
      </c>
      <c r="F2786" t="s">
        <v>67</v>
      </c>
      <c r="G2786">
        <v>-235.19319999999999</v>
      </c>
      <c r="H2786" s="1">
        <v>1.173407E-6</v>
      </c>
      <c r="I2786">
        <v>285.83749999999998</v>
      </c>
      <c r="J2786">
        <v>-204.06639999999999</v>
      </c>
      <c r="K2786">
        <v>1.1055619999999999</v>
      </c>
      <c r="L2786">
        <v>283.28789999999998</v>
      </c>
      <c r="M2786">
        <v>-0.91276559999999995</v>
      </c>
      <c r="N2786">
        <v>0</v>
      </c>
      <c r="O2786">
        <v>-0.40828059999999999</v>
      </c>
      <c r="P2786">
        <v>-0.98975170000000001</v>
      </c>
      <c r="Q2786">
        <v>4.5057780000000002E-3</v>
      </c>
      <c r="R2786">
        <v>-0.14272839999999901</v>
      </c>
      <c r="S2786">
        <v>-3.0721440000000002</v>
      </c>
      <c r="T2786">
        <v>-0.108621</v>
      </c>
      <c r="U2786">
        <v>0.24539179999999999</v>
      </c>
      <c r="V2786">
        <v>0.27402179999999998</v>
      </c>
      <c r="W2786">
        <v>1.366174E-2</v>
      </c>
      <c r="X2786">
        <v>0.96162639999999999</v>
      </c>
      <c r="Y2786">
        <v>0.4791571</v>
      </c>
      <c r="Z2786">
        <v>2.2594489999999998E-2</v>
      </c>
      <c r="AA2786">
        <v>0.8774383</v>
      </c>
      <c r="AB2786">
        <v>16</v>
      </c>
      <c r="AC2786">
        <v>-31.126799999999999</v>
      </c>
      <c r="AD2786">
        <v>-1.1055608265929999</v>
      </c>
      <c r="AE2786">
        <v>2.5495999999999901</v>
      </c>
      <c r="AF2786">
        <v>15.0180837563084</v>
      </c>
      <c r="AG2786">
        <v>-1.1055608265929999</v>
      </c>
      <c r="AH2786">
        <v>27.338532449083502</v>
      </c>
      <c r="AI2786">
        <v>92.029929168209705</v>
      </c>
      <c r="AJ2786">
        <v>61.218352850392598</v>
      </c>
      <c r="AK2786">
        <v>31.211543712581499</v>
      </c>
      <c r="AL2786">
        <v>89.217215575620301</v>
      </c>
      <c r="AM2786">
        <v>74.094747345332195</v>
      </c>
      <c r="AN2786">
        <v>0.99999996159601301</v>
      </c>
    </row>
    <row r="2787" spans="1:40" x14ac:dyDescent="0.25">
      <c r="A2787" t="str">
        <f>"20190312150717319"</f>
        <v>20190312150717319</v>
      </c>
      <c r="B2787" t="str">
        <f>"1552374437312977"</f>
        <v>1552374437312977</v>
      </c>
      <c r="C2787" t="s">
        <v>40</v>
      </c>
      <c r="D2787">
        <v>4.2622039999999997</v>
      </c>
      <c r="E2787">
        <v>0.57469459999999895</v>
      </c>
      <c r="F2787" t="s">
        <v>67</v>
      </c>
      <c r="G2787">
        <v>-276.30020000000002</v>
      </c>
      <c r="H2787" s="1">
        <v>1.698295E-6</v>
      </c>
      <c r="I2787">
        <v>287.30599999999998</v>
      </c>
      <c r="J2787">
        <v>-204.2167</v>
      </c>
      <c r="K2787">
        <v>1.105524</v>
      </c>
      <c r="L2787">
        <v>283.23509999999999</v>
      </c>
      <c r="M2787">
        <v>-0.91726779999999997</v>
      </c>
      <c r="N2787">
        <v>0</v>
      </c>
      <c r="O2787">
        <v>-0.39806780000000003</v>
      </c>
      <c r="P2787">
        <v>-0.99086269999999999</v>
      </c>
      <c r="Q2787">
        <v>4.620664E-3</v>
      </c>
      <c r="R2787">
        <v>-0.134795</v>
      </c>
      <c r="S2787">
        <v>-3.0557859999999999</v>
      </c>
      <c r="T2787">
        <v>-4.6769739999999997E-2</v>
      </c>
      <c r="U2787">
        <v>0.16998289999999999</v>
      </c>
      <c r="V2787">
        <v>0.27099000000000001</v>
      </c>
      <c r="W2787">
        <v>1.365602E-2</v>
      </c>
      <c r="X2787">
        <v>0.96248529999999999</v>
      </c>
      <c r="Y2787">
        <v>0.44833800000000001</v>
      </c>
      <c r="Z2787">
        <v>9.4017749999999994E-3</v>
      </c>
      <c r="AA2787">
        <v>0.89381469999999896</v>
      </c>
      <c r="AB2787">
        <v>16</v>
      </c>
      <c r="AC2787">
        <v>-72.083500000000001</v>
      </c>
      <c r="AD2787">
        <v>-1.105522301705</v>
      </c>
      <c r="AE2787">
        <v>4.0708999999999902</v>
      </c>
      <c r="AF2787">
        <v>32.423247509801399</v>
      </c>
      <c r="AG2787">
        <v>-1.105522301705</v>
      </c>
      <c r="AH2787">
        <v>64.489477593402299</v>
      </c>
      <c r="AI2787">
        <v>90.877466748388002</v>
      </c>
      <c r="AJ2787">
        <v>63.308212272674403</v>
      </c>
      <c r="AK2787">
        <v>72.189901502297104</v>
      </c>
      <c r="AL2787">
        <v>89.217543375825997</v>
      </c>
      <c r="AM2787">
        <v>74.275309808718703</v>
      </c>
      <c r="AN2787">
        <v>1.0000000098491599</v>
      </c>
    </row>
    <row r="2788" spans="1:40" x14ac:dyDescent="0.25">
      <c r="A2788" t="str">
        <f>"20190312150717341"</f>
        <v>20190312150717341</v>
      </c>
      <c r="B2788" t="str">
        <f>"1552374437332502"</f>
        <v>1552374437332502</v>
      </c>
      <c r="C2788" t="s">
        <v>40</v>
      </c>
      <c r="D2788">
        <v>4.2840699999999998</v>
      </c>
      <c r="E2788">
        <v>0.57440649999999904</v>
      </c>
      <c r="F2788" t="s">
        <v>68</v>
      </c>
      <c r="G2788">
        <v>-296.34859999999998</v>
      </c>
      <c r="H2788" s="1">
        <v>2.9563529999999902E-6</v>
      </c>
      <c r="I2788">
        <v>288.9119</v>
      </c>
      <c r="J2788">
        <v>-204.37190000000001</v>
      </c>
      <c r="K2788">
        <v>1.1054900000000001</v>
      </c>
      <c r="L2788">
        <v>283.18259999999998</v>
      </c>
      <c r="M2788">
        <v>-0.92177560000000003</v>
      </c>
      <c r="N2788">
        <v>0</v>
      </c>
      <c r="O2788">
        <v>-0.38752019999999998</v>
      </c>
      <c r="P2788">
        <v>-0.99183480000000002</v>
      </c>
      <c r="Q2788">
        <v>4.1064420000000001E-3</v>
      </c>
      <c r="R2788">
        <v>-0.1274633</v>
      </c>
      <c r="S2788">
        <v>-3.053436</v>
      </c>
      <c r="T2788">
        <v>-3.6639209999999998E-2</v>
      </c>
      <c r="U2788">
        <v>0.1881409</v>
      </c>
      <c r="V2788">
        <v>0.26705849999999998</v>
      </c>
      <c r="W2788">
        <v>1.3048580000000001E-2</v>
      </c>
      <c r="X2788">
        <v>0.963592</v>
      </c>
      <c r="Y2788">
        <v>0.4434516</v>
      </c>
      <c r="Z2788">
        <v>7.22318099999999E-3</v>
      </c>
      <c r="AA2788">
        <v>0.89626930000000005</v>
      </c>
      <c r="AB2788">
        <v>16</v>
      </c>
      <c r="AC2788">
        <v>-91.976699999999894</v>
      </c>
      <c r="AD2788">
        <v>-1.1054870436469999</v>
      </c>
      <c r="AE2788">
        <v>5.7293000000000198</v>
      </c>
      <c r="AF2788">
        <v>40.921299484139404</v>
      </c>
      <c r="AG2788">
        <v>-1.1054870436469999</v>
      </c>
      <c r="AH2788">
        <v>82.556294697575893</v>
      </c>
      <c r="AI2788">
        <v>90.687383636495596</v>
      </c>
      <c r="AJ2788">
        <v>63.633419034856601</v>
      </c>
      <c r="AK2788">
        <v>92.148340447711306</v>
      </c>
      <c r="AL2788">
        <v>89.252350238665301</v>
      </c>
      <c r="AM2788">
        <v>74.509343324392901</v>
      </c>
      <c r="AN2788">
        <v>1.00000002516313</v>
      </c>
    </row>
    <row r="2789" spans="1:40" x14ac:dyDescent="0.25">
      <c r="A2789" t="str">
        <f>"20190312150717363"</f>
        <v>20190312150717363</v>
      </c>
      <c r="B2789" t="str">
        <f>"1552374437352996"</f>
        <v>1552374437352996</v>
      </c>
      <c r="C2789" t="s">
        <v>40</v>
      </c>
      <c r="D2789">
        <v>4.3517349999999997</v>
      </c>
      <c r="E2789">
        <v>0.57367299999999999</v>
      </c>
      <c r="F2789" t="s">
        <v>67</v>
      </c>
      <c r="G2789">
        <v>-278.7552</v>
      </c>
      <c r="H2789" s="1">
        <v>2.9626729999999999E-6</v>
      </c>
      <c r="I2789">
        <v>288.26830000000001</v>
      </c>
      <c r="J2789">
        <v>-204.5239</v>
      </c>
      <c r="K2789">
        <v>1.1054600000000001</v>
      </c>
      <c r="L2789">
        <v>283.13299999999998</v>
      </c>
      <c r="M2789">
        <v>-0.92605820000000005</v>
      </c>
      <c r="N2789">
        <v>0</v>
      </c>
      <c r="O2789">
        <v>-0.37717610000000001</v>
      </c>
      <c r="P2789">
        <v>-0.99267660000000002</v>
      </c>
      <c r="Q2789">
        <v>3.394537E-3</v>
      </c>
      <c r="R2789">
        <v>-0.1207556</v>
      </c>
      <c r="S2789">
        <v>-3.0516969999999999</v>
      </c>
      <c r="T2789">
        <v>-4.5354369999999998E-2</v>
      </c>
      <c r="U2789">
        <v>0.20864869999999999</v>
      </c>
      <c r="V2789">
        <v>0.26277240000000002</v>
      </c>
      <c r="W2789">
        <v>1.227235E-2</v>
      </c>
      <c r="X2789">
        <v>0.96477979999999997</v>
      </c>
      <c r="Y2789">
        <v>0.4394112</v>
      </c>
      <c r="Z2789">
        <v>8.7712160000000001E-3</v>
      </c>
      <c r="AA2789">
        <v>0.89824319999999902</v>
      </c>
      <c r="AB2789">
        <v>16</v>
      </c>
      <c r="AC2789">
        <v>-74.231300000000005</v>
      </c>
      <c r="AD2789">
        <v>-1.1054570373270001</v>
      </c>
      <c r="AE2789">
        <v>5.1353000000000204</v>
      </c>
      <c r="AF2789">
        <v>32.749159492379</v>
      </c>
      <c r="AG2789">
        <v>-1.1054570373270001</v>
      </c>
      <c r="AH2789">
        <v>66.796006592717504</v>
      </c>
      <c r="AI2789">
        <v>90.851342992950805</v>
      </c>
      <c r="AJ2789">
        <v>63.8819248393538</v>
      </c>
      <c r="AK2789">
        <v>74.400510612851406</v>
      </c>
      <c r="AL2789">
        <v>89.2968284912493</v>
      </c>
      <c r="AM2789">
        <v>74.764194488786302</v>
      </c>
      <c r="AN2789">
        <v>1.0000000036321599</v>
      </c>
    </row>
    <row r="2790" spans="1:40" x14ac:dyDescent="0.25">
      <c r="A2790" t="str">
        <f>"20190312150717376"</f>
        <v>20190312150717376</v>
      </c>
      <c r="B2790" t="str">
        <f>"1552374437372513"</f>
        <v>1552374437372513</v>
      </c>
      <c r="C2790" t="s">
        <v>40</v>
      </c>
      <c r="D2790">
        <v>4.3296859999999997</v>
      </c>
      <c r="E2790">
        <v>0.55044389999999999</v>
      </c>
      <c r="F2790" t="s">
        <v>67</v>
      </c>
      <c r="G2790">
        <v>-268.23649999999998</v>
      </c>
      <c r="H2790" s="1">
        <v>2.8462669999999999E-6</v>
      </c>
      <c r="I2790">
        <v>287.80279999999999</v>
      </c>
      <c r="J2790">
        <v>-204.61080000000001</v>
      </c>
      <c r="K2790">
        <v>1.1054459999999999</v>
      </c>
      <c r="L2790">
        <v>283.10570000000001</v>
      </c>
      <c r="M2790">
        <v>-0.92844179999999998</v>
      </c>
      <c r="N2790">
        <v>0</v>
      </c>
      <c r="O2790">
        <v>-0.37127159999999998</v>
      </c>
      <c r="P2790">
        <v>-0.99314279999999999</v>
      </c>
      <c r="Q2790">
        <v>2.9904860000000001E-3</v>
      </c>
      <c r="R2790">
        <v>-0.11687069999999999</v>
      </c>
      <c r="S2790">
        <v>-3.0495000000000001</v>
      </c>
      <c r="T2790">
        <v>-5.291092E-2</v>
      </c>
      <c r="U2790">
        <v>0.22351070000000001</v>
      </c>
      <c r="V2790">
        <v>0.26039790000000002</v>
      </c>
      <c r="W2790">
        <v>1.183942E-2</v>
      </c>
      <c r="X2790">
        <v>0.96542879999999998</v>
      </c>
      <c r="Y2790">
        <v>0.43805939999999999</v>
      </c>
      <c r="Z2790">
        <v>1.013088E-2</v>
      </c>
      <c r="AA2790">
        <v>0.89888889999999999</v>
      </c>
      <c r="AB2790">
        <v>16</v>
      </c>
      <c r="AC2790">
        <v>-63.625699999999902</v>
      </c>
      <c r="AD2790">
        <v>-1.1054431537329901</v>
      </c>
      <c r="AE2790">
        <v>4.6970999999999696</v>
      </c>
      <c r="AF2790">
        <v>27.977144071087999</v>
      </c>
      <c r="AG2790">
        <v>-1.1054431537329901</v>
      </c>
      <c r="AH2790">
        <v>57.3160444341963</v>
      </c>
      <c r="AI2790">
        <v>90.992963131968295</v>
      </c>
      <c r="AJ2790">
        <v>63.982041850369903</v>
      </c>
      <c r="AK2790">
        <v>63.789274525764299</v>
      </c>
      <c r="AL2790">
        <v>89.321635355603505</v>
      </c>
      <c r="AM2790">
        <v>74.905243480506101</v>
      </c>
      <c r="AN2790">
        <v>1.0000000030298899</v>
      </c>
    </row>
    <row r="2791" spans="1:40" x14ac:dyDescent="0.25">
      <c r="A2791" t="str">
        <f>"20190312150717389"</f>
        <v>20190312150717389</v>
      </c>
      <c r="B2791" t="str">
        <f>"1552374437383249"</f>
        <v>1552374437383249</v>
      </c>
      <c r="C2791" t="s">
        <v>40</v>
      </c>
      <c r="D2791">
        <v>4.2507400000000004</v>
      </c>
      <c r="E2791">
        <v>0.54504079999999999</v>
      </c>
      <c r="F2791" t="s">
        <v>67</v>
      </c>
      <c r="G2791">
        <v>-237.09020000000001</v>
      </c>
      <c r="H2791" s="1">
        <v>2.277301E-6</v>
      </c>
      <c r="I2791">
        <v>283.6771</v>
      </c>
      <c r="J2791">
        <v>-204.7012</v>
      </c>
      <c r="K2791">
        <v>1.105434</v>
      </c>
      <c r="L2791">
        <v>283.07780000000002</v>
      </c>
      <c r="M2791">
        <v>-0.93087730000000002</v>
      </c>
      <c r="N2791">
        <v>0</v>
      </c>
      <c r="O2791">
        <v>-0.36512420000000001</v>
      </c>
      <c r="P2791">
        <v>-0.99365329999999996</v>
      </c>
      <c r="Q2791">
        <v>2.5642460000000001E-3</v>
      </c>
      <c r="R2791">
        <v>-0.11245910000000001</v>
      </c>
      <c r="S2791">
        <v>-3.027298</v>
      </c>
      <c r="T2791">
        <v>-0.1030349</v>
      </c>
      <c r="U2791">
        <v>5.3253170000000002E-2</v>
      </c>
      <c r="V2791">
        <v>0.25829530000000001</v>
      </c>
      <c r="W2791">
        <v>1.1382160000000001E-2</v>
      </c>
      <c r="X2791">
        <v>0.96599889999999999</v>
      </c>
      <c r="Y2791">
        <v>0.3810442</v>
      </c>
      <c r="Z2791">
        <v>1.8693350000000001E-2</v>
      </c>
      <c r="AA2791">
        <v>0.92436779999999996</v>
      </c>
      <c r="AB2791">
        <v>16</v>
      </c>
      <c r="AC2791">
        <v>-32.389000000000003</v>
      </c>
      <c r="AD2791">
        <v>-1.105431722699</v>
      </c>
      <c r="AE2791">
        <v>0.59929999999997097</v>
      </c>
      <c r="AF2791">
        <v>12.370417635036</v>
      </c>
      <c r="AG2791">
        <v>-1.105431722699</v>
      </c>
      <c r="AH2791">
        <v>29.898821926853401</v>
      </c>
      <c r="AI2791">
        <v>91.956677384109099</v>
      </c>
      <c r="AJ2791">
        <v>67.523034102485994</v>
      </c>
      <c r="AK2791">
        <v>32.375743456675202</v>
      </c>
      <c r="AL2791">
        <v>89.347836152299095</v>
      </c>
      <c r="AM2791">
        <v>75.030071451572496</v>
      </c>
      <c r="AN2791">
        <v>0.99999994518478097</v>
      </c>
    </row>
    <row r="2792" spans="1:40" x14ac:dyDescent="0.25">
      <c r="A2792" t="str">
        <f>"20190312150717407"</f>
        <v>20190312150717407</v>
      </c>
      <c r="B2792" t="str">
        <f>"1552374437402769"</f>
        <v>1552374437402769</v>
      </c>
      <c r="C2792" t="s">
        <v>40</v>
      </c>
      <c r="D2792">
        <v>4.2820450000000001</v>
      </c>
      <c r="E2792">
        <v>0.53902740000000005</v>
      </c>
      <c r="F2792" t="s">
        <v>67</v>
      </c>
      <c r="G2792">
        <v>-236.5085</v>
      </c>
      <c r="H2792" s="1">
        <v>1.9829449999999999E-6</v>
      </c>
      <c r="I2792">
        <v>283.33019999999999</v>
      </c>
      <c r="J2792">
        <v>-204.83349999999999</v>
      </c>
      <c r="K2792">
        <v>1.105424</v>
      </c>
      <c r="L2792">
        <v>283.03800000000001</v>
      </c>
      <c r="M2792">
        <v>-0.93435440000000003</v>
      </c>
      <c r="N2792">
        <v>0</v>
      </c>
      <c r="O2792">
        <v>-0.35613529999999999</v>
      </c>
      <c r="P2792">
        <v>-0.99421320000000002</v>
      </c>
      <c r="Q2792">
        <v>2.0642220000000001E-3</v>
      </c>
      <c r="R2792">
        <v>-0.1074075</v>
      </c>
      <c r="S2792">
        <v>-3.0221559999999998</v>
      </c>
      <c r="T2792">
        <v>-0.105032</v>
      </c>
      <c r="U2792">
        <v>2.3986819999999999E-2</v>
      </c>
      <c r="V2792">
        <v>0.25388490000000002</v>
      </c>
      <c r="W2792">
        <v>1.0867689999999999E-2</v>
      </c>
      <c r="X2792">
        <v>0.96717339999999996</v>
      </c>
      <c r="Y2792">
        <v>0.36313980000000001</v>
      </c>
      <c r="Z2792">
        <v>1.8476960000000001E-2</v>
      </c>
      <c r="AA2792">
        <v>0.93155149999999998</v>
      </c>
      <c r="AB2792">
        <v>16</v>
      </c>
      <c r="AC2792">
        <v>-31.675000000000001</v>
      </c>
      <c r="AD2792">
        <v>-1.105422017055</v>
      </c>
      <c r="AE2792">
        <v>0.29219999999997898</v>
      </c>
      <c r="AF2792">
        <v>11.5404134902802</v>
      </c>
      <c r="AG2792">
        <v>-1.105422017055</v>
      </c>
      <c r="AH2792">
        <v>29.457942966331899</v>
      </c>
      <c r="AI2792">
        <v>92.001094416392405</v>
      </c>
      <c r="AJ2792">
        <v>68.606791947101001</v>
      </c>
      <c r="AK2792">
        <v>31.6571240824257</v>
      </c>
      <c r="AL2792">
        <v>89.377314983158001</v>
      </c>
      <c r="AM2792">
        <v>75.291591769298094</v>
      </c>
      <c r="AN2792">
        <v>1.00000001740075</v>
      </c>
    </row>
    <row r="2793" spans="1:40" x14ac:dyDescent="0.25">
      <c r="A2793" t="str">
        <f>"20190312150717422"</f>
        <v>20190312150717422</v>
      </c>
      <c r="B2793" t="str">
        <f>"1552374437412529"</f>
        <v>1552374437412529</v>
      </c>
      <c r="C2793" t="s">
        <v>40</v>
      </c>
      <c r="D2793">
        <v>4.2620750000000003</v>
      </c>
      <c r="E2793">
        <v>0.537265199999999</v>
      </c>
      <c r="F2793" t="s">
        <v>67</v>
      </c>
      <c r="G2793">
        <v>-237.56460000000001</v>
      </c>
      <c r="H2793" s="1">
        <v>2.5618779999999998E-6</v>
      </c>
      <c r="I2793">
        <v>282.94229999999999</v>
      </c>
      <c r="J2793">
        <v>-204.94049999999999</v>
      </c>
      <c r="K2793">
        <v>1.105421</v>
      </c>
      <c r="L2793">
        <v>283.0068</v>
      </c>
      <c r="M2793">
        <v>-0.93709390000000004</v>
      </c>
      <c r="N2793">
        <v>0</v>
      </c>
      <c r="O2793">
        <v>-0.34886519999999999</v>
      </c>
      <c r="P2793">
        <v>-0.9948226</v>
      </c>
      <c r="Q2793">
        <v>1.7764879999999999E-3</v>
      </c>
      <c r="R2793">
        <v>-0.1016118</v>
      </c>
      <c r="S2793">
        <v>-3.016724</v>
      </c>
      <c r="T2793">
        <v>-0.10188319999999999</v>
      </c>
      <c r="U2793">
        <v>-8.8195800000000005E-3</v>
      </c>
      <c r="V2793">
        <v>0.2520019</v>
      </c>
      <c r="W2793">
        <v>1.055013E-2</v>
      </c>
      <c r="X2793">
        <v>0.96766920000000001</v>
      </c>
      <c r="Y2793">
        <v>0.34576020000000002</v>
      </c>
      <c r="Z2793">
        <v>1.7423999999999999E-2</v>
      </c>
      <c r="AA2793">
        <v>0.93816109999999997</v>
      </c>
      <c r="AB2793">
        <v>16</v>
      </c>
      <c r="AC2793">
        <v>-32.624099999999999</v>
      </c>
      <c r="AD2793">
        <v>-1.105418438122</v>
      </c>
      <c r="AE2793">
        <v>-6.4500000000009494E-2</v>
      </c>
      <c r="AF2793">
        <v>11.3088254858865</v>
      </c>
      <c r="AG2793">
        <v>-1.105418438122</v>
      </c>
      <c r="AH2793">
        <v>30.5615253157059</v>
      </c>
      <c r="AI2793">
        <v>91.942861169656098</v>
      </c>
      <c r="AJ2793">
        <v>69.693776505583401</v>
      </c>
      <c r="AK2793">
        <v>32.6054951414038</v>
      </c>
      <c r="AL2793">
        <v>89.395510846445305</v>
      </c>
      <c r="AM2793">
        <v>75.403163168256597</v>
      </c>
      <c r="AN2793">
        <v>0.999999971737633</v>
      </c>
    </row>
    <row r="2794" spans="1:40" x14ac:dyDescent="0.25">
      <c r="A2794" t="str">
        <f>"20190312150717443"</f>
        <v>20190312150717443</v>
      </c>
      <c r="B2794" t="str">
        <f>"1552374437433025"</f>
        <v>1552374437433025</v>
      </c>
      <c r="C2794" t="s">
        <v>40</v>
      </c>
      <c r="D2794">
        <v>4.5747749999999998</v>
      </c>
      <c r="E2794">
        <v>0.53484390000000004</v>
      </c>
      <c r="F2794" t="s">
        <v>67</v>
      </c>
      <c r="G2794">
        <v>-237.7064</v>
      </c>
      <c r="H2794" s="1">
        <v>2.637002E-6</v>
      </c>
      <c r="I2794">
        <v>282.94979999999998</v>
      </c>
      <c r="J2794">
        <v>-205.0838</v>
      </c>
      <c r="K2794">
        <v>1.1054219999999999</v>
      </c>
      <c r="L2794">
        <v>282.9665</v>
      </c>
      <c r="M2794">
        <v>-0.94065019999999999</v>
      </c>
      <c r="N2794">
        <v>0</v>
      </c>
      <c r="O2794">
        <v>-0.33916180000000001</v>
      </c>
      <c r="P2794">
        <v>-0.99542220000000003</v>
      </c>
      <c r="Q2794">
        <v>1.3758069999999999E-3</v>
      </c>
      <c r="R2794">
        <v>-9.5564549999999998E-2</v>
      </c>
      <c r="S2794">
        <v>-3.0152739999999998</v>
      </c>
      <c r="T2794">
        <v>-0.1017261</v>
      </c>
      <c r="U2794">
        <v>-5.2490230000000002E-3</v>
      </c>
      <c r="V2794">
        <v>0.24787310000000001</v>
      </c>
      <c r="W2794">
        <v>1.014484E-2</v>
      </c>
      <c r="X2794">
        <v>0.96873940000000003</v>
      </c>
      <c r="Y2794">
        <v>0.33716960000000001</v>
      </c>
      <c r="Z2794">
        <v>1.6950150000000001E-2</v>
      </c>
      <c r="AA2794">
        <v>0.94129130000000005</v>
      </c>
      <c r="AB2794">
        <v>16</v>
      </c>
      <c r="AC2794">
        <v>-32.622599999999998</v>
      </c>
      <c r="AD2794">
        <v>-1.10541936299799</v>
      </c>
      <c r="AE2794">
        <v>-1.6700000000014301E-2</v>
      </c>
      <c r="AF2794">
        <v>11.0367677421055</v>
      </c>
      <c r="AG2794">
        <v>-1.10541936299799</v>
      </c>
      <c r="AH2794">
        <v>30.659164473535501</v>
      </c>
      <c r="AI2794">
        <v>91.942955815669293</v>
      </c>
      <c r="AJ2794">
        <v>70.202002905752295</v>
      </c>
      <c r="AK2794">
        <v>32.603934737644401</v>
      </c>
      <c r="AL2794">
        <v>89.4187335182542</v>
      </c>
      <c r="AM2794">
        <v>75.647556879143494</v>
      </c>
      <c r="AN2794">
        <v>1.00000000829729</v>
      </c>
    </row>
    <row r="2795" spans="1:40" x14ac:dyDescent="0.25">
      <c r="A2795" t="str">
        <f>"20190312150717465"</f>
        <v>20190312150717465</v>
      </c>
      <c r="B2795" t="str">
        <f>"1552374437453521"</f>
        <v>1552374437453521</v>
      </c>
      <c r="C2795" t="s">
        <v>40</v>
      </c>
      <c r="D2795">
        <v>4.2456839999999998</v>
      </c>
      <c r="E2795">
        <v>0.53325100000000003</v>
      </c>
      <c r="F2795" t="s">
        <v>67</v>
      </c>
      <c r="G2795">
        <v>-240.333</v>
      </c>
      <c r="H2795" s="1">
        <v>-1.359597E-6</v>
      </c>
      <c r="I2795">
        <v>282.88799999999998</v>
      </c>
      <c r="J2795">
        <v>-205.23689999999999</v>
      </c>
      <c r="K2795">
        <v>1.1054379999999999</v>
      </c>
      <c r="L2795">
        <v>282.92509999999999</v>
      </c>
      <c r="M2795">
        <v>-0.94431449999999995</v>
      </c>
      <c r="N2795">
        <v>0</v>
      </c>
      <c r="O2795">
        <v>-0.32882400000000001</v>
      </c>
      <c r="P2795">
        <v>-0.99602979999999997</v>
      </c>
      <c r="Q2795">
        <v>8.1335009999999896E-4</v>
      </c>
      <c r="R2795">
        <v>-8.9018079999999999E-2</v>
      </c>
      <c r="S2795">
        <v>-3.013245</v>
      </c>
      <c r="T2795">
        <v>-9.4496010000000005E-2</v>
      </c>
      <c r="U2795">
        <v>-6.7138669999999897E-3</v>
      </c>
      <c r="V2795">
        <v>0.24360619999999999</v>
      </c>
      <c r="W2795">
        <v>9.5888740000000007E-3</v>
      </c>
      <c r="X2795">
        <v>0.96982679999999999</v>
      </c>
      <c r="Y2795">
        <v>0.32642539999999998</v>
      </c>
      <c r="Z2795">
        <v>1.527888E-2</v>
      </c>
      <c r="AA2795">
        <v>0.94509949999999998</v>
      </c>
      <c r="AB2795">
        <v>16</v>
      </c>
      <c r="AC2795">
        <v>-35.0961</v>
      </c>
      <c r="AD2795">
        <v>-1.105439359597</v>
      </c>
      <c r="AE2795">
        <v>-3.7100000000009403E-2</v>
      </c>
      <c r="AF2795">
        <v>11.494835661327899</v>
      </c>
      <c r="AG2795">
        <v>-1.105439359597</v>
      </c>
      <c r="AH2795">
        <v>33.123496261323503</v>
      </c>
      <c r="AI2795">
        <v>91.805864903856005</v>
      </c>
      <c r="AJ2795">
        <v>70.861709048642595</v>
      </c>
      <c r="AK2795">
        <v>35.078757783487603</v>
      </c>
      <c r="AL2795">
        <v>89.4505895559425</v>
      </c>
      <c r="AM2795">
        <v>75.899858540672099</v>
      </c>
      <c r="AN2795">
        <v>0.99999997459063295</v>
      </c>
    </row>
    <row r="2796" spans="1:40" x14ac:dyDescent="0.25">
      <c r="A2796" t="str">
        <f>"20190312150717487"</f>
        <v>20190312150717487</v>
      </c>
      <c r="B2796" t="str">
        <f>"1552374437482801"</f>
        <v>1552374437482801</v>
      </c>
      <c r="C2796" t="s">
        <v>40</v>
      </c>
      <c r="D2796">
        <v>4.2797980000000004</v>
      </c>
      <c r="E2796">
        <v>0.53126099999999998</v>
      </c>
      <c r="F2796" t="s">
        <v>67</v>
      </c>
      <c r="G2796">
        <v>-243.28559999999999</v>
      </c>
      <c r="H2796" s="1">
        <v>2.116414E-7</v>
      </c>
      <c r="I2796">
        <v>282.92860000000002</v>
      </c>
      <c r="J2796">
        <v>-205.39699999999999</v>
      </c>
      <c r="K2796">
        <v>1.105467</v>
      </c>
      <c r="L2796">
        <v>282.88369999999998</v>
      </c>
      <c r="M2796">
        <v>-0.94798629999999995</v>
      </c>
      <c r="N2796">
        <v>0</v>
      </c>
      <c r="O2796">
        <v>-0.3180867</v>
      </c>
      <c r="P2796">
        <v>-0.99655139999999998</v>
      </c>
      <c r="Q2796">
        <v>5.6601690000000001E-4</v>
      </c>
      <c r="R2796">
        <v>-8.2979189999999994E-2</v>
      </c>
      <c r="S2796">
        <v>-3.0120390000000001</v>
      </c>
      <c r="T2796">
        <v>-8.7509509999999999E-2</v>
      </c>
      <c r="U2796">
        <v>2.7465820000000001E-4</v>
      </c>
      <c r="V2796">
        <v>0.23847070000000001</v>
      </c>
      <c r="W2796">
        <v>9.3728760000000005E-3</v>
      </c>
      <c r="X2796">
        <v>0.97110450000000004</v>
      </c>
      <c r="Y2796">
        <v>0.31793110000000002</v>
      </c>
      <c r="Z2796">
        <v>1.373446E-2</v>
      </c>
      <c r="AA2796">
        <v>0.94801440000000003</v>
      </c>
      <c r="AB2796">
        <v>16</v>
      </c>
      <c r="AC2796">
        <v>-37.888599999999897</v>
      </c>
      <c r="AD2796">
        <v>-1.1054667883586</v>
      </c>
      <c r="AE2796">
        <v>4.4900000000040997E-2</v>
      </c>
      <c r="AF2796">
        <v>12.0850003713793</v>
      </c>
      <c r="AG2796">
        <v>-1.1054667883586</v>
      </c>
      <c r="AH2796">
        <v>35.875615615084598</v>
      </c>
      <c r="AI2796">
        <v>91.672652094656698</v>
      </c>
      <c r="AJ2796">
        <v>71.383472531044006</v>
      </c>
      <c r="AK2796">
        <v>37.8725373662461</v>
      </c>
      <c r="AL2796">
        <v>89.462965920227603</v>
      </c>
      <c r="AM2796">
        <v>76.203085085190295</v>
      </c>
      <c r="AN2796">
        <v>1.0000000377416201</v>
      </c>
    </row>
    <row r="2797" spans="1:40" x14ac:dyDescent="0.25">
      <c r="A2797" t="str">
        <f>"20190312150717510"</f>
        <v>20190312150717510</v>
      </c>
      <c r="B2797" t="str">
        <f>"1552374437503297"</f>
        <v>1552374437503297</v>
      </c>
      <c r="C2797" t="s">
        <v>40</v>
      </c>
      <c r="D2797">
        <v>4.5748360000000003</v>
      </c>
      <c r="E2797">
        <v>0.53010539999999995</v>
      </c>
      <c r="F2797" t="s">
        <v>67</v>
      </c>
      <c r="G2797">
        <v>-247.34209999999999</v>
      </c>
      <c r="H2797" s="1">
        <v>2.3703E-6</v>
      </c>
      <c r="I2797">
        <v>282.9203</v>
      </c>
      <c r="J2797">
        <v>-205.5565</v>
      </c>
      <c r="K2797">
        <v>1.1054999999999999</v>
      </c>
      <c r="L2797">
        <v>282.84429999999998</v>
      </c>
      <c r="M2797">
        <v>-0.95148679999999997</v>
      </c>
      <c r="N2797">
        <v>0</v>
      </c>
      <c r="O2797">
        <v>-0.3074595</v>
      </c>
      <c r="P2797">
        <v>-0.99707279999999998</v>
      </c>
      <c r="Q2797">
        <v>4.2454530000000002E-4</v>
      </c>
      <c r="R2797">
        <v>-7.6458020000000002E-2</v>
      </c>
      <c r="S2797">
        <v>-3.0106510000000002</v>
      </c>
      <c r="T2797">
        <v>-7.9345940000000004E-2</v>
      </c>
      <c r="U2797">
        <v>2.6245119999999999E-3</v>
      </c>
      <c r="V2797">
        <v>0.2339514</v>
      </c>
      <c r="W2797">
        <v>9.2603479999999998E-3</v>
      </c>
      <c r="X2797">
        <v>0.97220419999999996</v>
      </c>
      <c r="Y2797">
        <v>0.30809950000000003</v>
      </c>
      <c r="Z2797">
        <v>1.2061260000000001E-2</v>
      </c>
      <c r="AA2797">
        <v>0.9512777</v>
      </c>
      <c r="AB2797">
        <v>16</v>
      </c>
      <c r="AC2797">
        <v>-41.785599999999903</v>
      </c>
      <c r="AD2797">
        <v>-1.1054976297000001</v>
      </c>
      <c r="AE2797">
        <v>7.60000000000218E-2</v>
      </c>
      <c r="AF2797">
        <v>12.9115696825583</v>
      </c>
      <c r="AG2797">
        <v>-1.1054976297000001</v>
      </c>
      <c r="AH2797">
        <v>39.710097274171197</v>
      </c>
      <c r="AI2797">
        <v>91.5165457741887</v>
      </c>
      <c r="AJ2797">
        <v>71.988285230685406</v>
      </c>
      <c r="AK2797">
        <v>41.771073510276999</v>
      </c>
      <c r="AL2797">
        <v>89.469413564074202</v>
      </c>
      <c r="AM2797">
        <v>76.469589476527005</v>
      </c>
      <c r="AN2797">
        <v>1.00000000905234</v>
      </c>
    </row>
    <row r="2798" spans="1:40" x14ac:dyDescent="0.25">
      <c r="A2798" t="str">
        <f>"20190312150717531"</f>
        <v>20190312150717531</v>
      </c>
      <c r="B2798" t="str">
        <f>"1552374437522817"</f>
        <v>1552374437522817</v>
      </c>
      <c r="C2798" t="s">
        <v>40</v>
      </c>
      <c r="D2798">
        <v>4.2909569999999997</v>
      </c>
      <c r="E2798">
        <v>0.52899439999999998</v>
      </c>
      <c r="F2798" t="s">
        <v>67</v>
      </c>
      <c r="G2798">
        <v>-248.92240000000001</v>
      </c>
      <c r="H2798" s="1">
        <v>3.2112549999999999E-6</v>
      </c>
      <c r="I2798">
        <v>283.02890000000002</v>
      </c>
      <c r="J2798">
        <v>-205.71860000000001</v>
      </c>
      <c r="K2798">
        <v>1.105529</v>
      </c>
      <c r="L2798">
        <v>282.80599999999998</v>
      </c>
      <c r="M2798">
        <v>-0.95488459999999997</v>
      </c>
      <c r="N2798">
        <v>0</v>
      </c>
      <c r="O2798">
        <v>-0.29674109999999998</v>
      </c>
      <c r="P2798">
        <v>-0.99753670000000005</v>
      </c>
      <c r="Q2798">
        <v>-4.5466609999999998E-4</v>
      </c>
      <c r="R2798">
        <v>-7.0147310000000004E-2</v>
      </c>
      <c r="S2798">
        <v>-3.0098419999999999</v>
      </c>
      <c r="T2798">
        <v>-7.6727870000000004E-2</v>
      </c>
      <c r="U2798">
        <v>1.281738E-2</v>
      </c>
      <c r="V2798">
        <v>0.22915630000000001</v>
      </c>
      <c r="W2798">
        <v>8.4201940000000006E-3</v>
      </c>
      <c r="X2798">
        <v>0.97335320000000003</v>
      </c>
      <c r="Y2798">
        <v>0.30063400000000001</v>
      </c>
      <c r="Z2798">
        <v>1.130921E-2</v>
      </c>
      <c r="AA2798">
        <v>0.95367250000000003</v>
      </c>
      <c r="AB2798">
        <v>16</v>
      </c>
      <c r="AC2798">
        <v>-43.203800000000001</v>
      </c>
      <c r="AD2798">
        <v>-1.1055257887450001</v>
      </c>
      <c r="AE2798">
        <v>0.22290000000003801</v>
      </c>
      <c r="AF2798">
        <v>13.025571489850099</v>
      </c>
      <c r="AG2798">
        <v>-1.1055257887450001</v>
      </c>
      <c r="AH2798">
        <v>41.164432831005897</v>
      </c>
      <c r="AI2798">
        <v>91.466740100162795</v>
      </c>
      <c r="AJ2798">
        <v>72.441180078626303</v>
      </c>
      <c r="AK2798">
        <v>43.190256195178698</v>
      </c>
      <c r="AL2798">
        <v>89.517552710811998</v>
      </c>
      <c r="AM2798">
        <v>76.752116843596696</v>
      </c>
      <c r="AN2798">
        <v>0.99999998072346297</v>
      </c>
    </row>
    <row r="2799" spans="1:40" x14ac:dyDescent="0.25">
      <c r="A2799" t="str">
        <f>"20190312150717543"</f>
        <v>20190312150717543</v>
      </c>
      <c r="B2799" t="str">
        <f>"1552374437533554"</f>
        <v>1552374437533554</v>
      </c>
      <c r="C2799" t="s">
        <v>40</v>
      </c>
      <c r="D2799">
        <v>4.270594</v>
      </c>
      <c r="E2799">
        <v>0.52840919999999902</v>
      </c>
      <c r="F2799" t="s">
        <v>67</v>
      </c>
      <c r="G2799">
        <v>-248.86859999999999</v>
      </c>
      <c r="H2799" s="1">
        <v>3.182615E-6</v>
      </c>
      <c r="I2799">
        <v>283.13029999999998</v>
      </c>
      <c r="J2799">
        <v>-205.80680000000001</v>
      </c>
      <c r="K2799">
        <v>1.1055539999999999</v>
      </c>
      <c r="L2799">
        <v>282.78579999999999</v>
      </c>
      <c r="M2799">
        <v>-0.95667000000000002</v>
      </c>
      <c r="N2799">
        <v>0</v>
      </c>
      <c r="O2799">
        <v>-0.2909352</v>
      </c>
      <c r="P2799">
        <v>-0.9977781</v>
      </c>
      <c r="Q2799">
        <v>-9.6477200000000003E-4</v>
      </c>
      <c r="R2799">
        <v>-6.6618140000000006E-2</v>
      </c>
      <c r="S2799">
        <v>-3.0089570000000001</v>
      </c>
      <c r="T2799">
        <v>-7.7091099999999996E-2</v>
      </c>
      <c r="U2799">
        <v>2.261353E-2</v>
      </c>
      <c r="V2799">
        <v>0.22667899999999999</v>
      </c>
      <c r="W2799">
        <v>7.9319279999999995E-3</v>
      </c>
      <c r="X2799">
        <v>0.97393719999999995</v>
      </c>
      <c r="Y2799">
        <v>0.29794609999999999</v>
      </c>
      <c r="Z2799">
        <v>1.118883E-2</v>
      </c>
      <c r="AA2799">
        <v>0.95451710000000001</v>
      </c>
      <c r="AB2799">
        <v>16</v>
      </c>
      <c r="AC2799">
        <v>-43.061799999999899</v>
      </c>
      <c r="AD2799">
        <v>-1.1055508173849999</v>
      </c>
      <c r="AE2799">
        <v>0.34449999999998199</v>
      </c>
      <c r="AF2799">
        <v>12.8501918925752</v>
      </c>
      <c r="AG2799">
        <v>-1.1055508173849999</v>
      </c>
      <c r="AH2799">
        <v>41.071496164359402</v>
      </c>
      <c r="AI2799">
        <v>91.471586852179499</v>
      </c>
      <c r="AJ2799">
        <v>72.626469765611304</v>
      </c>
      <c r="AK2799">
        <v>43.049012433095598</v>
      </c>
      <c r="AL2799">
        <v>89.545529226134306</v>
      </c>
      <c r="AM2799">
        <v>76.897951121762105</v>
      </c>
      <c r="AN2799">
        <v>0.999999977033318</v>
      </c>
    </row>
    <row r="2800" spans="1:40" x14ac:dyDescent="0.25">
      <c r="A2800" t="str">
        <f>"20190312150717557"</f>
        <v>20190312150717557</v>
      </c>
      <c r="B2800" t="str">
        <f>"1552374437553073"</f>
        <v>1552374437553073</v>
      </c>
      <c r="C2800" t="s">
        <v>40</v>
      </c>
      <c r="D2800">
        <v>4.2041779999999997</v>
      </c>
      <c r="E2800">
        <v>0.52806560000000002</v>
      </c>
      <c r="F2800" t="s">
        <v>67</v>
      </c>
      <c r="G2800">
        <v>-248.07810000000001</v>
      </c>
      <c r="H2800" s="1">
        <v>2.7619990000000002E-6</v>
      </c>
      <c r="I2800">
        <v>283.19060000000002</v>
      </c>
      <c r="J2800">
        <v>-205.9034</v>
      </c>
      <c r="K2800">
        <v>1.105585</v>
      </c>
      <c r="L2800">
        <v>282.7645</v>
      </c>
      <c r="M2800">
        <v>-0.95855749999999995</v>
      </c>
      <c r="N2800">
        <v>0</v>
      </c>
      <c r="O2800">
        <v>-0.28465600000000002</v>
      </c>
      <c r="P2800">
        <v>-0.99802610000000003</v>
      </c>
      <c r="Q2800">
        <v>-1.177462E-3</v>
      </c>
      <c r="R2800">
        <v>-6.2790349999999995E-2</v>
      </c>
      <c r="S2800">
        <v>-3.0085449999999998</v>
      </c>
      <c r="T2800">
        <v>-7.8684569999999995E-2</v>
      </c>
      <c r="U2800">
        <v>2.8808589999999999E-2</v>
      </c>
      <c r="V2800">
        <v>0.2240241</v>
      </c>
      <c r="W2800">
        <v>7.7459669999999899E-3</v>
      </c>
      <c r="X2800">
        <v>0.9745528</v>
      </c>
      <c r="Y2800">
        <v>0.29364580000000001</v>
      </c>
      <c r="Z2800">
        <v>1.120699E-2</v>
      </c>
      <c r="AA2800">
        <v>0.95584860000000005</v>
      </c>
      <c r="AB2800">
        <v>16</v>
      </c>
      <c r="AC2800">
        <v>-42.174700000000001</v>
      </c>
      <c r="AD2800">
        <v>-1.1055822380010001</v>
      </c>
      <c r="AE2800">
        <v>0.42610000000001902</v>
      </c>
      <c r="AF2800">
        <v>12.406057900983001</v>
      </c>
      <c r="AG2800">
        <v>-1.1055822380010001</v>
      </c>
      <c r="AH2800">
        <v>40.280696391859699</v>
      </c>
      <c r="AI2800">
        <v>91.5025822412357</v>
      </c>
      <c r="AJ2800">
        <v>72.881682900140305</v>
      </c>
      <c r="AK2800">
        <v>42.162389478547198</v>
      </c>
      <c r="AL2800">
        <v>89.556184334960605</v>
      </c>
      <c r="AM2800">
        <v>77.054106211368506</v>
      </c>
      <c r="AN2800">
        <v>0.99999997868670698</v>
      </c>
    </row>
    <row r="2801" spans="1:40" x14ac:dyDescent="0.25">
      <c r="A2801" t="str">
        <f>"20190312150717575"</f>
        <v>20190312150717575</v>
      </c>
      <c r="B2801" t="str">
        <f>"1552374437573569"</f>
        <v>1552374437573569</v>
      </c>
      <c r="C2801" t="s">
        <v>40</v>
      </c>
      <c r="D2801">
        <v>4.2538629999999999</v>
      </c>
      <c r="E2801">
        <v>0.52698650000000002</v>
      </c>
      <c r="F2801" t="s">
        <v>67</v>
      </c>
      <c r="G2801">
        <v>-248.70959999999999</v>
      </c>
      <c r="H2801" s="1">
        <v>3.098006E-6</v>
      </c>
      <c r="I2801">
        <v>283.29649999999998</v>
      </c>
      <c r="J2801">
        <v>-206.03290000000001</v>
      </c>
      <c r="K2801">
        <v>1.1056360000000001</v>
      </c>
      <c r="L2801">
        <v>282.73669999999998</v>
      </c>
      <c r="M2801">
        <v>-0.96099869999999998</v>
      </c>
      <c r="N2801">
        <v>0</v>
      </c>
      <c r="O2801">
        <v>-0.276304299999999</v>
      </c>
      <c r="P2801">
        <v>-0.99829020000000002</v>
      </c>
      <c r="Q2801">
        <v>-1.7921409999999999E-3</v>
      </c>
      <c r="R2801">
        <v>-5.8427020000000003E-2</v>
      </c>
      <c r="S2801">
        <v>-3.008194</v>
      </c>
      <c r="T2801">
        <v>-7.769442E-2</v>
      </c>
      <c r="U2801">
        <v>3.7384029999999999E-2</v>
      </c>
      <c r="V2801">
        <v>0.2197933</v>
      </c>
      <c r="W2801">
        <v>7.1818849999999998E-3</v>
      </c>
      <c r="X2801">
        <v>0.97552000000000005</v>
      </c>
      <c r="Y2801">
        <v>0.28805799999999998</v>
      </c>
      <c r="Z2801">
        <v>1.078668E-2</v>
      </c>
      <c r="AA2801">
        <v>0.95755219999999996</v>
      </c>
      <c r="AB2801">
        <v>16</v>
      </c>
      <c r="AC2801">
        <v>-42.676699999999897</v>
      </c>
      <c r="AD2801">
        <v>-1.1056329019939899</v>
      </c>
      <c r="AE2801">
        <v>0.55979999999999497</v>
      </c>
      <c r="AF2801">
        <v>12.3223010482362</v>
      </c>
      <c r="AG2801">
        <v>-1.1056329019939899</v>
      </c>
      <c r="AH2801">
        <v>40.8329842940974</v>
      </c>
      <c r="AI2801">
        <v>91.484907808021006</v>
      </c>
      <c r="AJ2801">
        <v>73.2075922555792</v>
      </c>
      <c r="AK2801">
        <v>42.666077082377001</v>
      </c>
      <c r="AL2801">
        <v>89.588504751649495</v>
      </c>
      <c r="AM2801">
        <v>77.302773908838404</v>
      </c>
      <c r="AN2801">
        <v>0.999999972298521</v>
      </c>
    </row>
    <row r="2802" spans="1:40" x14ac:dyDescent="0.25">
      <c r="A2802" t="str">
        <f>"20190312150717589"</f>
        <v>20190312150717589</v>
      </c>
      <c r="B2802" t="str">
        <f>"1552374437583329"</f>
        <v>1552374437583329</v>
      </c>
      <c r="C2802" t="s">
        <v>40</v>
      </c>
      <c r="D2802">
        <v>4.2185959999999998</v>
      </c>
      <c r="E2802">
        <v>0.52662219999999904</v>
      </c>
      <c r="F2802" t="s">
        <v>67</v>
      </c>
      <c r="G2802">
        <v>-249.0531</v>
      </c>
      <c r="H2802" s="1">
        <v>3.280846E-6</v>
      </c>
      <c r="I2802">
        <v>283.33569999999997</v>
      </c>
      <c r="J2802">
        <v>-206.12989999999999</v>
      </c>
      <c r="K2802">
        <v>1.1056839999999999</v>
      </c>
      <c r="L2802">
        <v>282.71660000000003</v>
      </c>
      <c r="M2802">
        <v>-0.96275619999999995</v>
      </c>
      <c r="N2802">
        <v>0</v>
      </c>
      <c r="O2802">
        <v>-0.27011800000000002</v>
      </c>
      <c r="P2802">
        <v>-0.99853239999999999</v>
      </c>
      <c r="Q2802">
        <v>-1.9236850000000001E-3</v>
      </c>
      <c r="R2802">
        <v>-5.4122820000000002E-2</v>
      </c>
      <c r="S2802">
        <v>-3.0074459999999998</v>
      </c>
      <c r="T2802">
        <v>-7.7292200000000005E-2</v>
      </c>
      <c r="U2802">
        <v>4.1870119999999997E-2</v>
      </c>
      <c r="V2802">
        <v>0.21772130000000001</v>
      </c>
      <c r="W2802">
        <v>7.0769830000000002E-3</v>
      </c>
      <c r="X2802">
        <v>0.97598529999999994</v>
      </c>
      <c r="Y2802">
        <v>0.28333239999999998</v>
      </c>
      <c r="Z2802">
        <v>1.0518700000000001E-2</v>
      </c>
      <c r="AA2802">
        <v>0.95896400000000004</v>
      </c>
      <c r="AB2802">
        <v>16</v>
      </c>
      <c r="AC2802">
        <v>-42.923200000000001</v>
      </c>
      <c r="AD2802">
        <v>-1.1056807191539999</v>
      </c>
      <c r="AE2802">
        <v>0.61909999999994603</v>
      </c>
      <c r="AF2802">
        <v>12.1831225373035</v>
      </c>
      <c r="AG2802">
        <v>-1.1056807191539999</v>
      </c>
      <c r="AH2802">
        <v>41.132873465966497</v>
      </c>
      <c r="AI2802">
        <v>91.476410040943193</v>
      </c>
      <c r="AJ2802">
        <v>73.501267362087802</v>
      </c>
      <c r="AK2802">
        <v>42.913451086796499</v>
      </c>
      <c r="AL2802">
        <v>89.594515348340906</v>
      </c>
      <c r="AM2802">
        <v>77.424450487212894</v>
      </c>
      <c r="AN2802">
        <v>0.99999997698908005</v>
      </c>
    </row>
    <row r="2803" spans="1:40" x14ac:dyDescent="0.25">
      <c r="A2803" t="str">
        <f>"20190312150717601"</f>
        <v>20190312150717601</v>
      </c>
      <c r="B2803" t="str">
        <f>"1552374437593089"</f>
        <v>1552374437593089</v>
      </c>
      <c r="C2803" t="s">
        <v>40</v>
      </c>
      <c r="D2803">
        <v>4.2187199999999896</v>
      </c>
      <c r="E2803">
        <v>0.52616319999999905</v>
      </c>
      <c r="F2803" t="s">
        <v>67</v>
      </c>
      <c r="G2803">
        <v>-249.62569999999999</v>
      </c>
      <c r="H2803" s="1">
        <v>3.585545E-6</v>
      </c>
      <c r="I2803">
        <v>283.4674</v>
      </c>
      <c r="J2803">
        <v>-206.22559999999999</v>
      </c>
      <c r="K2803">
        <v>1.105747</v>
      </c>
      <c r="L2803">
        <v>282.69720000000001</v>
      </c>
      <c r="M2803">
        <v>-0.96442830000000002</v>
      </c>
      <c r="N2803">
        <v>0</v>
      </c>
      <c r="O2803">
        <v>-0.26408720000000002</v>
      </c>
      <c r="P2803">
        <v>-0.99876200000000004</v>
      </c>
      <c r="Q2803">
        <v>-2.258183E-3</v>
      </c>
      <c r="R2803">
        <v>-4.9694780000000001E-2</v>
      </c>
      <c r="S2803">
        <v>-3.00705</v>
      </c>
      <c r="T2803">
        <v>-7.6440330000000001E-2</v>
      </c>
      <c r="U2803">
        <v>5.1910400000000002E-2</v>
      </c>
      <c r="V2803">
        <v>0.21593499999999999</v>
      </c>
      <c r="W2803">
        <v>6.7680010000000001E-3</v>
      </c>
      <c r="X2803">
        <v>0.97638429999999998</v>
      </c>
      <c r="Y2803">
        <v>0.28053869999999997</v>
      </c>
      <c r="Z2803">
        <v>1.0220089999999999E-2</v>
      </c>
      <c r="AA2803">
        <v>0.95978830000000004</v>
      </c>
      <c r="AB2803">
        <v>16</v>
      </c>
      <c r="AC2803">
        <v>-43.400100000000002</v>
      </c>
      <c r="AD2803">
        <v>-1.105743414455</v>
      </c>
      <c r="AE2803">
        <v>0.77019999999998801</v>
      </c>
      <c r="AF2803">
        <v>12.1971286179724</v>
      </c>
      <c r="AG2803">
        <v>-1.105743414455</v>
      </c>
      <c r="AH2803">
        <v>41.628703831733603</v>
      </c>
      <c r="AI2803">
        <v>91.460177260694195</v>
      </c>
      <c r="AJ2803">
        <v>73.669518934334505</v>
      </c>
      <c r="AK2803">
        <v>43.392874965046602</v>
      </c>
      <c r="AL2803">
        <v>89.612219152561806</v>
      </c>
      <c r="AM2803">
        <v>77.529322512344095</v>
      </c>
      <c r="AN2803">
        <v>1.0000000156745099</v>
      </c>
    </row>
    <row r="2804" spans="1:40" x14ac:dyDescent="0.25">
      <c r="A2804" t="str">
        <f>"20190312150717620"</f>
        <v>20190312150717620</v>
      </c>
      <c r="B2804" t="str">
        <f>"1552374437612609"</f>
        <v>1552374437612609</v>
      </c>
      <c r="C2804" t="s">
        <v>40</v>
      </c>
      <c r="D2804">
        <v>4.3038100000000004</v>
      </c>
      <c r="E2804">
        <v>0.52517740000000002</v>
      </c>
      <c r="F2804" t="s">
        <v>67</v>
      </c>
      <c r="G2804">
        <v>-250.01140000000001</v>
      </c>
      <c r="H2804" s="1">
        <v>-1.5306969999999999E-6</v>
      </c>
      <c r="I2804">
        <v>283.59359999999998</v>
      </c>
      <c r="J2804">
        <v>-206.3587</v>
      </c>
      <c r="K2804">
        <v>1.1058300000000001</v>
      </c>
      <c r="L2804">
        <v>282.67129999999997</v>
      </c>
      <c r="M2804">
        <v>-0.96665500000000004</v>
      </c>
      <c r="N2804">
        <v>0</v>
      </c>
      <c r="O2804">
        <v>-0.25581900000000002</v>
      </c>
      <c r="P2804">
        <v>-0.99889720000000004</v>
      </c>
      <c r="Q2804">
        <v>-3.4676049999999999E-3</v>
      </c>
      <c r="R2804">
        <v>-4.682704E-2</v>
      </c>
      <c r="S2804">
        <v>-3.0066069999999998</v>
      </c>
      <c r="T2804">
        <v>-7.5927499999999995E-2</v>
      </c>
      <c r="U2804">
        <v>6.1553959999999998E-2</v>
      </c>
      <c r="V2804">
        <v>0.21035789999999999</v>
      </c>
      <c r="W2804">
        <v>5.637441E-3</v>
      </c>
      <c r="X2804">
        <v>0.97760820000000004</v>
      </c>
      <c r="Y2804">
        <v>0.27540189999999998</v>
      </c>
      <c r="Z2804">
        <v>9.8851619999999994E-3</v>
      </c>
      <c r="AA2804">
        <v>0.96127830000000003</v>
      </c>
      <c r="AB2804">
        <v>16</v>
      </c>
      <c r="AC2804">
        <v>-43.652700000000003</v>
      </c>
      <c r="AD2804">
        <v>-1.1058315306969999</v>
      </c>
      <c r="AE2804">
        <v>0.922300000000007</v>
      </c>
      <c r="AF2804">
        <v>12.0518178863061</v>
      </c>
      <c r="AG2804">
        <v>-1.1058315306969999</v>
      </c>
      <c r="AH2804">
        <v>41.937085791312299</v>
      </c>
      <c r="AI2804">
        <v>91.451740904744199</v>
      </c>
      <c r="AJ2804">
        <v>73.966485502686197</v>
      </c>
      <c r="AK2804">
        <v>43.648463230758402</v>
      </c>
      <c r="AL2804">
        <v>89.676996715705798</v>
      </c>
      <c r="AM2804">
        <v>77.856477294575598</v>
      </c>
      <c r="AN2804">
        <v>1.0000000097703301</v>
      </c>
    </row>
    <row r="2805" spans="1:40" x14ac:dyDescent="0.25">
      <c r="A2805" t="str">
        <f>"20190312150717633"</f>
        <v>20190312150717633</v>
      </c>
      <c r="B2805" t="str">
        <f>"1552374437623345"</f>
        <v>1552374437623345</v>
      </c>
      <c r="C2805" t="s">
        <v>40</v>
      </c>
      <c r="D2805">
        <v>4.2377339999999997</v>
      </c>
      <c r="E2805">
        <v>0.52480099999999996</v>
      </c>
      <c r="F2805" t="s">
        <v>67</v>
      </c>
      <c r="G2805">
        <v>-248.02940000000001</v>
      </c>
      <c r="H2805" s="1">
        <v>2.7360320000000002E-6</v>
      </c>
      <c r="I2805">
        <v>283.53309999999999</v>
      </c>
      <c r="J2805">
        <v>-206.45330000000001</v>
      </c>
      <c r="K2805">
        <v>1.105896</v>
      </c>
      <c r="L2805">
        <v>282.65339999999998</v>
      </c>
      <c r="M2805">
        <v>-0.96816959999999996</v>
      </c>
      <c r="N2805">
        <v>0</v>
      </c>
      <c r="O2805">
        <v>-0.250027</v>
      </c>
      <c r="P2805">
        <v>-0.99908799999999998</v>
      </c>
      <c r="Q2805">
        <v>-3.9535899999999999E-3</v>
      </c>
      <c r="R2805">
        <v>-4.251659E-2</v>
      </c>
      <c r="S2805">
        <v>-3.0059360000000002</v>
      </c>
      <c r="T2805">
        <v>-7.9769370000000006E-2</v>
      </c>
      <c r="U2805">
        <v>6.216431E-2</v>
      </c>
      <c r="V2805">
        <v>0.20871590000000001</v>
      </c>
      <c r="W2805">
        <v>5.1777769999999997E-3</v>
      </c>
      <c r="X2805">
        <v>0.97796260000000002</v>
      </c>
      <c r="Y2805">
        <v>0.26982790000000001</v>
      </c>
      <c r="Z2805">
        <v>1.01636E-2</v>
      </c>
      <c r="AA2805">
        <v>0.96285489999999996</v>
      </c>
      <c r="AB2805">
        <v>16</v>
      </c>
      <c r="AC2805">
        <v>-41.576099999999997</v>
      </c>
      <c r="AD2805">
        <v>-1.1058932639679999</v>
      </c>
      <c r="AE2805">
        <v>0.87970000000001303</v>
      </c>
      <c r="AF2805">
        <v>11.239651945059199</v>
      </c>
      <c r="AG2805">
        <v>-1.1058932639679999</v>
      </c>
      <c r="AH2805">
        <v>40.007159108303597</v>
      </c>
      <c r="AI2805">
        <v>91.524401745628495</v>
      </c>
      <c r="AJ2805">
        <v>74.307769226107396</v>
      </c>
      <c r="AK2805">
        <v>41.570729554272702</v>
      </c>
      <c r="AL2805">
        <v>89.703333902578706</v>
      </c>
      <c r="AM2805">
        <v>77.952724664560606</v>
      </c>
      <c r="AN2805">
        <v>0.99999999164311504</v>
      </c>
    </row>
    <row r="2806" spans="1:40" x14ac:dyDescent="0.25">
      <c r="A2806" t="str">
        <f>"20190312150717653"</f>
        <v>20190312150717653</v>
      </c>
      <c r="B2806" t="str">
        <f>"1552374437642868"</f>
        <v>1552374437642868</v>
      </c>
      <c r="C2806" t="s">
        <v>40</v>
      </c>
      <c r="D2806">
        <v>4.2523650000000002</v>
      </c>
      <c r="E2806">
        <v>0.52402729999999997</v>
      </c>
      <c r="F2806" t="s">
        <v>67</v>
      </c>
      <c r="G2806">
        <v>-247.85919999999999</v>
      </c>
      <c r="H2806" s="1">
        <v>2.6454889999999998E-6</v>
      </c>
      <c r="I2806">
        <v>283.64530000000002</v>
      </c>
      <c r="J2806">
        <v>-206.5993</v>
      </c>
      <c r="K2806">
        <v>1.105998</v>
      </c>
      <c r="L2806">
        <v>282.6268</v>
      </c>
      <c r="M2806">
        <v>-0.97040040000000005</v>
      </c>
      <c r="N2806">
        <v>0</v>
      </c>
      <c r="O2806">
        <v>-0.2412263</v>
      </c>
      <c r="P2806">
        <v>-0.99931599999999998</v>
      </c>
      <c r="Q2806">
        <v>-5.6594799999999997E-3</v>
      </c>
      <c r="R2806">
        <v>-3.6545649999999999E-2</v>
      </c>
      <c r="S2806">
        <v>-3.0054630000000002</v>
      </c>
      <c r="T2806">
        <v>-8.0271720000000005E-2</v>
      </c>
      <c r="U2806">
        <v>7.1990970000000001E-2</v>
      </c>
      <c r="V2806">
        <v>0.2056578</v>
      </c>
      <c r="W2806">
        <v>3.5193529999999998E-3</v>
      </c>
      <c r="X2806">
        <v>0.97861759999999998</v>
      </c>
      <c r="Y2806">
        <v>0.2642333</v>
      </c>
      <c r="Z2806">
        <v>9.9250689999999999E-3</v>
      </c>
      <c r="AA2806">
        <v>0.96440769999999998</v>
      </c>
      <c r="AB2806">
        <v>16</v>
      </c>
      <c r="AC2806">
        <v>-41.259899999999902</v>
      </c>
      <c r="AD2806">
        <v>-1.105995354511</v>
      </c>
      <c r="AE2806">
        <v>1.01850000000001</v>
      </c>
      <c r="AF2806">
        <v>10.934201278556399</v>
      </c>
      <c r="AG2806">
        <v>-1.105995354511</v>
      </c>
      <c r="AH2806">
        <v>39.767022944780102</v>
      </c>
      <c r="AI2806">
        <v>91.536113015296607</v>
      </c>
      <c r="AJ2806">
        <v>74.6260661321908</v>
      </c>
      <c r="AK2806">
        <v>41.2576792514418</v>
      </c>
      <c r="AL2806">
        <v>89.798355502520295</v>
      </c>
      <c r="AM2806">
        <v>78.131916233898806</v>
      </c>
      <c r="AN2806">
        <v>0.99999996178806805</v>
      </c>
    </row>
    <row r="2807" spans="1:40" x14ac:dyDescent="0.25">
      <c r="A2807" t="str">
        <f>"20190312150717675"</f>
        <v>20190312150717675</v>
      </c>
      <c r="B2807" t="str">
        <f>"1552374437663365"</f>
        <v>1552374437663365</v>
      </c>
      <c r="C2807" t="s">
        <v>40</v>
      </c>
      <c r="D2807">
        <v>4.2635389999999997</v>
      </c>
      <c r="E2807">
        <v>0.52369359999999998</v>
      </c>
      <c r="F2807" t="s">
        <v>67</v>
      </c>
      <c r="G2807">
        <v>-246.30430000000001</v>
      </c>
      <c r="H2807" s="1">
        <v>1.8180480000000001E-6</v>
      </c>
      <c r="I2807">
        <v>283.7362</v>
      </c>
      <c r="J2807">
        <v>-206.76150000000001</v>
      </c>
      <c r="K2807">
        <v>1.1061049999999999</v>
      </c>
      <c r="L2807">
        <v>282.5985</v>
      </c>
      <c r="M2807">
        <v>-0.97273180000000004</v>
      </c>
      <c r="N2807">
        <v>0</v>
      </c>
      <c r="O2807">
        <v>-0.2316484</v>
      </c>
      <c r="P2807">
        <v>-0.99952580000000002</v>
      </c>
      <c r="Q2807">
        <v>-6.7063660000000001E-3</v>
      </c>
      <c r="R2807">
        <v>-3.0059740000000001E-2</v>
      </c>
      <c r="S2807">
        <v>-3.0046689999999998</v>
      </c>
      <c r="T2807">
        <v>-8.3696010000000001E-2</v>
      </c>
      <c r="U2807">
        <v>8.3953860000000005E-2</v>
      </c>
      <c r="V2807">
        <v>0.2023472</v>
      </c>
      <c r="W2807">
        <v>2.51943E-3</v>
      </c>
      <c r="X2807">
        <v>0.97931060000000003</v>
      </c>
      <c r="Y2807">
        <v>0.25855470000000003</v>
      </c>
      <c r="Z2807">
        <v>1.0010959999999999E-2</v>
      </c>
      <c r="AA2807">
        <v>0.96594480000000005</v>
      </c>
      <c r="AB2807">
        <v>16</v>
      </c>
      <c r="AC2807">
        <v>-39.5428</v>
      </c>
      <c r="AD2807">
        <v>-1.106103181952</v>
      </c>
      <c r="AE2807">
        <v>1.1376999999999899</v>
      </c>
      <c r="AF2807">
        <v>10.259359498286999</v>
      </c>
      <c r="AG2807">
        <v>-1.106103181952</v>
      </c>
      <c r="AH2807">
        <v>38.173667283231197</v>
      </c>
      <c r="AI2807">
        <v>91.602866165259698</v>
      </c>
      <c r="AJ2807">
        <v>74.956938305538898</v>
      </c>
      <c r="AK2807">
        <v>39.543732694512499</v>
      </c>
      <c r="AL2807">
        <v>89.855647140651598</v>
      </c>
      <c r="AM2807">
        <v>78.325711791856605</v>
      </c>
      <c r="AN2807">
        <v>0.99999999407386198</v>
      </c>
    </row>
    <row r="2808" spans="1:40" x14ac:dyDescent="0.25">
      <c r="A2808" t="str">
        <f>"20190312150717698"</f>
        <v>20190312150717698</v>
      </c>
      <c r="B2808" t="str">
        <f>"1552374437692642"</f>
        <v>1552374437692642</v>
      </c>
      <c r="C2808" t="s">
        <v>40</v>
      </c>
      <c r="D2808">
        <v>4.3070149999999998</v>
      </c>
      <c r="E2808">
        <v>0.50838950000000005</v>
      </c>
      <c r="F2808" t="s">
        <v>67</v>
      </c>
      <c r="G2808">
        <v>-245.62270000000001</v>
      </c>
      <c r="H2808" s="1">
        <v>1.4553409999999999E-6</v>
      </c>
      <c r="I2808">
        <v>283.90100000000001</v>
      </c>
      <c r="J2808">
        <v>-206.9298</v>
      </c>
      <c r="K2808">
        <v>1.106196</v>
      </c>
      <c r="L2808">
        <v>282.57060000000001</v>
      </c>
      <c r="M2808">
        <v>-0.97499619999999998</v>
      </c>
      <c r="N2808">
        <v>0</v>
      </c>
      <c r="O2808">
        <v>-0.22192819999999999</v>
      </c>
      <c r="P2808">
        <v>-0.99967810000000001</v>
      </c>
      <c r="Q2808">
        <v>-7.6622610000000001E-3</v>
      </c>
      <c r="R2808">
        <v>-2.4193369999999999E-2</v>
      </c>
      <c r="S2808">
        <v>-3.00386</v>
      </c>
      <c r="T2808">
        <v>-8.5498569999999996E-2</v>
      </c>
      <c r="U2808">
        <v>0.1006775</v>
      </c>
      <c r="V2808">
        <v>0.19830629999999999</v>
      </c>
      <c r="W2808">
        <v>1.6129650000000001E-3</v>
      </c>
      <c r="X2808">
        <v>0.98013879999999998</v>
      </c>
      <c r="Y2808">
        <v>0.25428810000000002</v>
      </c>
      <c r="Z2808">
        <v>9.8972250000000008E-3</v>
      </c>
      <c r="AA2808">
        <v>0.96707790000000005</v>
      </c>
      <c r="AB2808">
        <v>16</v>
      </c>
      <c r="AC2808">
        <v>-38.692900000000002</v>
      </c>
      <c r="AD2808">
        <v>-1.106194544659</v>
      </c>
      <c r="AE2808">
        <v>1.33039999999999</v>
      </c>
      <c r="AF2808">
        <v>9.8767614354448003</v>
      </c>
      <c r="AG2808">
        <v>-1.106194544659</v>
      </c>
      <c r="AH2808">
        <v>37.402081747047603</v>
      </c>
      <c r="AI2808">
        <v>91.637956505386398</v>
      </c>
      <c r="AJ2808">
        <v>75.207582072943595</v>
      </c>
      <c r="AK2808">
        <v>38.699997439743498</v>
      </c>
      <c r="AL2808">
        <v>89.907583875583995</v>
      </c>
      <c r="AM2808">
        <v>78.562051738050101</v>
      </c>
      <c r="AN2808">
        <v>1.0000000287706099</v>
      </c>
    </row>
    <row r="2809" spans="1:40" x14ac:dyDescent="0.25">
      <c r="A2809" t="str">
        <f>"20190312150717721"</f>
        <v>20190312150717721</v>
      </c>
      <c r="B2809" t="str">
        <f>"1552374437713139"</f>
        <v>1552374437713139</v>
      </c>
      <c r="C2809" t="s">
        <v>40</v>
      </c>
      <c r="D2809">
        <v>4.3162330000000004</v>
      </c>
      <c r="E2809">
        <v>0.5085134</v>
      </c>
      <c r="F2809" t="s">
        <v>67</v>
      </c>
      <c r="G2809">
        <v>-258.29739999999998</v>
      </c>
      <c r="H2809" s="1">
        <v>2.8786619999999999E-6</v>
      </c>
      <c r="I2809">
        <v>282.49380000000002</v>
      </c>
      <c r="J2809">
        <v>-207.1002</v>
      </c>
      <c r="K2809">
        <v>1.106277</v>
      </c>
      <c r="L2809">
        <v>282.54379999999998</v>
      </c>
      <c r="M2809">
        <v>-0.97713539999999999</v>
      </c>
      <c r="N2809">
        <v>0</v>
      </c>
      <c r="O2809">
        <v>-0.21231369999999999</v>
      </c>
      <c r="P2809">
        <v>-0.99979759999999995</v>
      </c>
      <c r="Q2809">
        <v>-7.6791539999999997E-3</v>
      </c>
      <c r="R2809">
        <v>-1.8598320000000002E-2</v>
      </c>
      <c r="S2809">
        <v>-3.0003660000000001</v>
      </c>
      <c r="T2809">
        <v>-6.4612509999999998E-2</v>
      </c>
      <c r="U2809">
        <v>-4.4860840000000004E-3</v>
      </c>
      <c r="V2809">
        <v>0.19413459999999999</v>
      </c>
      <c r="W2809">
        <v>1.6406210000000001E-3</v>
      </c>
      <c r="X2809">
        <v>0.98097350000000005</v>
      </c>
      <c r="Y2809">
        <v>0.2107686</v>
      </c>
      <c r="Z2809">
        <v>6.8145380000000002E-3</v>
      </c>
      <c r="AA2809">
        <v>0.97751220000000005</v>
      </c>
      <c r="AB2809">
        <v>16</v>
      </c>
      <c r="AC2809">
        <v>-51.197199999999903</v>
      </c>
      <c r="AD2809">
        <v>-1.1062741213379901</v>
      </c>
      <c r="AE2809">
        <v>-4.9999999999954498E-2</v>
      </c>
      <c r="AF2809">
        <v>10.8166594526542</v>
      </c>
      <c r="AG2809">
        <v>-1.1062741213379901</v>
      </c>
      <c r="AH2809">
        <v>50.017094022608397</v>
      </c>
      <c r="AI2809">
        <v>91.238437391728695</v>
      </c>
      <c r="AJ2809">
        <v>77.797175527147203</v>
      </c>
      <c r="AK2809">
        <v>51.185287521051301</v>
      </c>
      <c r="AL2809">
        <v>89.9059992960361</v>
      </c>
      <c r="AM2809">
        <v>78.805810638554505</v>
      </c>
      <c r="AN2809">
        <v>0.99999997112833705</v>
      </c>
    </row>
    <row r="2810" spans="1:40" x14ac:dyDescent="0.25">
      <c r="A2810" t="str">
        <f>"20190312150717743"</f>
        <v>20190312150717743</v>
      </c>
      <c r="B2810" t="str">
        <f>"1552374437732657"</f>
        <v>1552374437732657</v>
      </c>
      <c r="C2810" t="s">
        <v>40</v>
      </c>
      <c r="D2810">
        <v>4.3473750000000004</v>
      </c>
      <c r="E2810">
        <v>0.50818929999999995</v>
      </c>
      <c r="F2810" t="s">
        <v>67</v>
      </c>
      <c r="G2810">
        <v>-264.7534</v>
      </c>
      <c r="H2810" s="1">
        <v>9.9271780000000002E-7</v>
      </c>
      <c r="I2810">
        <v>282.79599999999999</v>
      </c>
      <c r="J2810">
        <v>-207.26240000000001</v>
      </c>
      <c r="K2810">
        <v>1.1063499999999999</v>
      </c>
      <c r="L2810">
        <v>282.51960000000003</v>
      </c>
      <c r="M2810">
        <v>-0.97903379999999995</v>
      </c>
      <c r="N2810">
        <v>0</v>
      </c>
      <c r="O2810">
        <v>-0.20338239999999999</v>
      </c>
      <c r="P2810">
        <v>-0.99987179999999998</v>
      </c>
      <c r="Q2810">
        <v>-7.972425E-3</v>
      </c>
      <c r="R2810">
        <v>-1.389145E-2</v>
      </c>
      <c r="S2810">
        <v>-3.0004119999999999</v>
      </c>
      <c r="T2810">
        <v>-5.7573319999999997E-2</v>
      </c>
      <c r="U2810">
        <v>1.312256E-2</v>
      </c>
      <c r="V2810">
        <v>0.18978929999999999</v>
      </c>
      <c r="W2810">
        <v>1.39219E-3</v>
      </c>
      <c r="X2810">
        <v>0.98182389999999997</v>
      </c>
      <c r="Y2810">
        <v>0.20760029999999999</v>
      </c>
      <c r="Z2810">
        <v>5.8738660000000002E-3</v>
      </c>
      <c r="AA2810">
        <v>0.97819610000000001</v>
      </c>
      <c r="AB2810">
        <v>16</v>
      </c>
      <c r="AC2810">
        <v>-57.4909999999999</v>
      </c>
      <c r="AD2810">
        <v>-1.1063490072822</v>
      </c>
      <c r="AE2810">
        <v>0.27639999999996601</v>
      </c>
      <c r="AF2810">
        <v>11.9596018698652</v>
      </c>
      <c r="AG2810">
        <v>-1.1063490072822</v>
      </c>
      <c r="AH2810">
        <v>56.212211697879397</v>
      </c>
      <c r="AI2810">
        <v>91.102851550433599</v>
      </c>
      <c r="AJ2810">
        <v>77.988953766089693</v>
      </c>
      <c r="AK2810">
        <v>57.481030166297501</v>
      </c>
      <c r="AL2810">
        <v>89.920233366430196</v>
      </c>
      <c r="AM2810">
        <v>79.059501502927404</v>
      </c>
      <c r="AN2810">
        <v>1.0000000435993399</v>
      </c>
    </row>
    <row r="2811" spans="1:40" x14ac:dyDescent="0.25">
      <c r="A2811" t="str">
        <f>"20190312150717764"</f>
        <v>20190312150717764</v>
      </c>
      <c r="B2811" t="str">
        <f>"1552374437753157"</f>
        <v>1552374437753157</v>
      </c>
      <c r="C2811" t="s">
        <v>40</v>
      </c>
      <c r="D2811">
        <v>4.3099930000000004</v>
      </c>
      <c r="E2811">
        <v>0.50724269999999905</v>
      </c>
      <c r="F2811" t="s">
        <v>67</v>
      </c>
      <c r="G2811">
        <v>-268.2337</v>
      </c>
      <c r="H2811" s="1">
        <v>2.8447609999999998E-6</v>
      </c>
      <c r="I2811">
        <v>283.02199999999999</v>
      </c>
      <c r="J2811">
        <v>-207.4186</v>
      </c>
      <c r="K2811">
        <v>1.1064320000000001</v>
      </c>
      <c r="L2811">
        <v>282.49759999999998</v>
      </c>
      <c r="M2811">
        <v>-0.98074099999999997</v>
      </c>
      <c r="N2811">
        <v>0</v>
      </c>
      <c r="O2811">
        <v>-0.19498650000000001</v>
      </c>
      <c r="P2811">
        <v>-0.99990699999999999</v>
      </c>
      <c r="Q2811">
        <v>-8.6649829999999994E-3</v>
      </c>
      <c r="R2811">
        <v>-1.0528539999999999E-2</v>
      </c>
      <c r="S2811">
        <v>-3.000305</v>
      </c>
      <c r="T2811">
        <v>-5.4441690000000001E-2</v>
      </c>
      <c r="U2811">
        <v>2.471924E-2</v>
      </c>
      <c r="V2811">
        <v>0.18466869999999999</v>
      </c>
      <c r="W2811">
        <v>7.5465839999999998E-4</v>
      </c>
      <c r="X2811">
        <v>0.98280049999999997</v>
      </c>
      <c r="Y2811">
        <v>0.20300750000000001</v>
      </c>
      <c r="Z2811">
        <v>5.3631869999999898E-3</v>
      </c>
      <c r="AA2811">
        <v>0.97916250000000005</v>
      </c>
      <c r="AB2811">
        <v>16</v>
      </c>
      <c r="AC2811">
        <v>-60.815100000000001</v>
      </c>
      <c r="AD2811">
        <v>-1.10642915523899</v>
      </c>
      <c r="AE2811">
        <v>0.52440000000001397</v>
      </c>
      <c r="AF2811">
        <v>12.369118161825501</v>
      </c>
      <c r="AG2811">
        <v>-1.10642915523899</v>
      </c>
      <c r="AH2811">
        <v>59.525701535531198</v>
      </c>
      <c r="AI2811">
        <v>91.042592151080399</v>
      </c>
      <c r="AJ2811">
        <v>78.261298490418895</v>
      </c>
      <c r="AK2811">
        <v>60.807305588012298</v>
      </c>
      <c r="AL2811">
        <v>89.956761252895305</v>
      </c>
      <c r="AM2811">
        <v>79.358179005235201</v>
      </c>
      <c r="AN2811">
        <v>0.99999996053461904</v>
      </c>
    </row>
    <row r="2812" spans="1:40" x14ac:dyDescent="0.25">
      <c r="A2812" t="str">
        <f>"20190312150717786"</f>
        <v>20190312150717786</v>
      </c>
      <c r="B2812" t="str">
        <f>"1552374437783409"</f>
        <v>1552374437783409</v>
      </c>
      <c r="C2812" t="s">
        <v>40</v>
      </c>
      <c r="D2812">
        <v>4.329491</v>
      </c>
      <c r="E2812">
        <v>0.50619670000000005</v>
      </c>
      <c r="F2812" t="s">
        <v>67</v>
      </c>
      <c r="G2812">
        <v>-267.19439999999997</v>
      </c>
      <c r="H2812" s="1">
        <v>2.2917309999999998E-6</v>
      </c>
      <c r="I2812">
        <v>283.03390000000002</v>
      </c>
      <c r="J2812">
        <v>-207.5822</v>
      </c>
      <c r="K2812">
        <v>1.106517</v>
      </c>
      <c r="L2812">
        <v>282.47570000000002</v>
      </c>
      <c r="M2812">
        <v>-0.98240760000000005</v>
      </c>
      <c r="N2812">
        <v>0</v>
      </c>
      <c r="O2812">
        <v>-0.1864111</v>
      </c>
      <c r="P2812">
        <v>-0.99991770000000002</v>
      </c>
      <c r="Q2812">
        <v>-9.3181859999999991E-3</v>
      </c>
      <c r="R2812">
        <v>-8.8256919999999996E-3</v>
      </c>
      <c r="S2812">
        <v>-3.0000610000000001</v>
      </c>
      <c r="T2812">
        <v>-5.5530070000000001E-2</v>
      </c>
      <c r="U2812">
        <v>2.6916499999999999E-2</v>
      </c>
      <c r="V2812">
        <v>0.17774499999999999</v>
      </c>
      <c r="W2812">
        <v>1.781621E-4</v>
      </c>
      <c r="X2812">
        <v>0.98407659999999997</v>
      </c>
      <c r="Y2812">
        <v>0.19516459999999999</v>
      </c>
      <c r="Z2812">
        <v>5.2417439999999996E-3</v>
      </c>
      <c r="AA2812">
        <v>0.98075650000000003</v>
      </c>
      <c r="AB2812">
        <v>16</v>
      </c>
      <c r="AC2812">
        <v>-59.612199999999902</v>
      </c>
      <c r="AD2812">
        <v>-1.1065147082689999</v>
      </c>
      <c r="AE2812">
        <v>0.55819999999999903</v>
      </c>
      <c r="AF2812">
        <v>11.657475459617901</v>
      </c>
      <c r="AG2812">
        <v>-1.1065147082689999</v>
      </c>
      <c r="AH2812">
        <v>58.442978682202501</v>
      </c>
      <c r="AI2812">
        <v>91.063715110972197</v>
      </c>
      <c r="AJ2812">
        <v>78.719406494343204</v>
      </c>
      <c r="AK2812">
        <v>59.604554072147799</v>
      </c>
      <c r="AL2812">
        <v>89.989792063911395</v>
      </c>
      <c r="AM2812">
        <v>79.761560306792404</v>
      </c>
      <c r="AN2812">
        <v>1.0000000357171399</v>
      </c>
    </row>
    <row r="2813" spans="1:40" x14ac:dyDescent="0.25">
      <c r="A2813" t="str">
        <f>"20190312150717809"</f>
        <v>20190312150717809</v>
      </c>
      <c r="B2813" t="str">
        <f>"1552374437802931"</f>
        <v>1552374437802931</v>
      </c>
      <c r="C2813" t="s">
        <v>40</v>
      </c>
      <c r="D2813">
        <v>4.532184</v>
      </c>
      <c r="E2813">
        <v>0.50565640000000001</v>
      </c>
      <c r="F2813" t="s">
        <v>67</v>
      </c>
      <c r="G2813">
        <v>-264.97629999999998</v>
      </c>
      <c r="H2813" s="1">
        <v>1.11132E-6</v>
      </c>
      <c r="I2813">
        <v>282.93340000000001</v>
      </c>
      <c r="J2813">
        <v>-207.75200000000001</v>
      </c>
      <c r="K2813">
        <v>1.1065940000000001</v>
      </c>
      <c r="L2813">
        <v>282.45429999999999</v>
      </c>
      <c r="M2813">
        <v>-0.98402489999999998</v>
      </c>
      <c r="N2813">
        <v>0</v>
      </c>
      <c r="O2813">
        <v>-0.177678</v>
      </c>
      <c r="P2813">
        <v>-0.99994329999999998</v>
      </c>
      <c r="Q2813">
        <v>-9.1326640000000004E-3</v>
      </c>
      <c r="R2813">
        <v>-5.524401E-3</v>
      </c>
      <c r="S2813">
        <v>-2.9999389999999999</v>
      </c>
      <c r="T2813">
        <v>-5.7836650000000003E-2</v>
      </c>
      <c r="U2813">
        <v>2.3925780000000001E-2</v>
      </c>
      <c r="V2813">
        <v>0.17225279999999901</v>
      </c>
      <c r="W2813">
        <v>4.1944170000000002E-4</v>
      </c>
      <c r="X2813">
        <v>0.9850527</v>
      </c>
      <c r="Y2813">
        <v>0.1854645</v>
      </c>
      <c r="Z2813">
        <v>5.1998319999999997E-3</v>
      </c>
      <c r="AA2813">
        <v>0.98263719999999999</v>
      </c>
      <c r="AB2813">
        <v>16</v>
      </c>
      <c r="AC2813">
        <v>-57.2242999999999</v>
      </c>
      <c r="AD2813">
        <v>-1.1065928886799901</v>
      </c>
      <c r="AE2813">
        <v>0.47910000000001601</v>
      </c>
      <c r="AF2813">
        <v>10.6356363632349</v>
      </c>
      <c r="AG2813">
        <v>-1.1065928886799901</v>
      </c>
      <c r="AH2813">
        <v>56.2075223060803</v>
      </c>
      <c r="AI2813">
        <v>91.108212382139996</v>
      </c>
      <c r="AJ2813">
        <v>79.285124444849998</v>
      </c>
      <c r="AK2813">
        <v>57.215617382501101</v>
      </c>
      <c r="AL2813">
        <v>89.975967760431701</v>
      </c>
      <c r="AM2813">
        <v>80.081171728610002</v>
      </c>
      <c r="AN2813">
        <v>1.00000001240823</v>
      </c>
    </row>
    <row r="2814" spans="1:40" x14ac:dyDescent="0.25">
      <c r="A2814" t="str">
        <f>"20190312150717832"</f>
        <v>20190312150717832</v>
      </c>
      <c r="B2814" t="str">
        <f>"1552374437823429"</f>
        <v>1552374437823429</v>
      </c>
      <c r="C2814" t="s">
        <v>40</v>
      </c>
      <c r="D2814">
        <v>4.3619940000000001</v>
      </c>
      <c r="E2814">
        <v>0.50490579999999996</v>
      </c>
      <c r="F2814" t="s">
        <v>67</v>
      </c>
      <c r="G2814">
        <v>-262.87959999999998</v>
      </c>
      <c r="H2814" s="1">
        <v>-4.4176429999999998E-9</v>
      </c>
      <c r="I2814">
        <v>283.00170000000003</v>
      </c>
      <c r="J2814">
        <v>-207.9248</v>
      </c>
      <c r="K2814">
        <v>1.1066609999999999</v>
      </c>
      <c r="L2814">
        <v>282.43389999999999</v>
      </c>
      <c r="M2814">
        <v>-0.98555890000000002</v>
      </c>
      <c r="N2814">
        <v>0</v>
      </c>
      <c r="O2814">
        <v>-0.16896410000000001</v>
      </c>
      <c r="P2814">
        <v>-0.99995460000000003</v>
      </c>
      <c r="Q2814">
        <v>-9.3433070000000003E-3</v>
      </c>
      <c r="R2814">
        <v>-1.9590039999999999E-3</v>
      </c>
      <c r="S2814">
        <v>-2.9997859999999998</v>
      </c>
      <c r="T2814">
        <v>-6.0215709999999999E-2</v>
      </c>
      <c r="U2814">
        <v>2.9785160000000001E-2</v>
      </c>
      <c r="V2814">
        <v>0.16704440000000001</v>
      </c>
      <c r="W2814">
        <v>2.587477E-4</v>
      </c>
      <c r="X2814">
        <v>0.98594930000000003</v>
      </c>
      <c r="Y2814">
        <v>0.17868229999999999</v>
      </c>
      <c r="Z2814">
        <v>5.1730400000000003E-3</v>
      </c>
      <c r="AA2814">
        <v>0.98389320000000002</v>
      </c>
      <c r="AB2814">
        <v>16</v>
      </c>
      <c r="AC2814">
        <v>-54.954799999999899</v>
      </c>
      <c r="AD2814">
        <v>-1.1066610044176399</v>
      </c>
      <c r="AE2814">
        <v>0.56780000000003295</v>
      </c>
      <c r="AF2814">
        <v>9.8416123927875994</v>
      </c>
      <c r="AG2814">
        <v>-1.1066610044176399</v>
      </c>
      <c r="AH2814">
        <v>54.046713102717199</v>
      </c>
      <c r="AI2814">
        <v>91.154052998969306</v>
      </c>
      <c r="AJ2814">
        <v>79.679825753903501</v>
      </c>
      <c r="AK2814">
        <v>54.946603446218496</v>
      </c>
      <c r="AL2814">
        <v>89.985174848077904</v>
      </c>
      <c r="AM2814">
        <v>80.383980824708502</v>
      </c>
      <c r="AN2814">
        <v>0.99999996034611005</v>
      </c>
    </row>
    <row r="2815" spans="1:40" x14ac:dyDescent="0.25">
      <c r="A2815" t="str">
        <f>"20190312150717853"</f>
        <v>20190312150717853</v>
      </c>
      <c r="B2815" t="str">
        <f>"1552374437842949"</f>
        <v>1552374437842949</v>
      </c>
      <c r="C2815" t="s">
        <v>40</v>
      </c>
      <c r="D2815">
        <v>4.375426</v>
      </c>
      <c r="E2815">
        <v>0.50421110000000002</v>
      </c>
      <c r="F2815" t="s">
        <v>67</v>
      </c>
      <c r="G2815">
        <v>-266.30239999999998</v>
      </c>
      <c r="H2815" s="1">
        <v>1.817047E-6</v>
      </c>
      <c r="I2815">
        <v>283.1026</v>
      </c>
      <c r="J2815">
        <v>-208.08109999999999</v>
      </c>
      <c r="K2815">
        <v>1.1067209999999901</v>
      </c>
      <c r="L2815">
        <v>282.41649999999998</v>
      </c>
      <c r="M2815">
        <v>-0.98685020000000001</v>
      </c>
      <c r="N2815">
        <v>0</v>
      </c>
      <c r="O2815">
        <v>-0.1612526</v>
      </c>
      <c r="P2815">
        <v>-0.99994680000000002</v>
      </c>
      <c r="Q2815">
        <v>-1.028924E-2</v>
      </c>
      <c r="R2815">
        <v>-7.6317829999999998E-4</v>
      </c>
      <c r="S2815">
        <v>-2.999695</v>
      </c>
      <c r="T2815">
        <v>-5.6864980000000002E-2</v>
      </c>
      <c r="U2815">
        <v>3.4362789999999997E-2</v>
      </c>
      <c r="V2815">
        <v>0.16050130000000001</v>
      </c>
      <c r="W2815">
        <v>-6.1922150000000005E-4</v>
      </c>
      <c r="X2815">
        <v>0.98703549999999995</v>
      </c>
      <c r="Y2815">
        <v>0.17249709999999999</v>
      </c>
      <c r="Z2815">
        <v>4.6821129999999999E-3</v>
      </c>
      <c r="AA2815">
        <v>0.98499890000000001</v>
      </c>
      <c r="AB2815">
        <v>16</v>
      </c>
      <c r="AC2815">
        <v>-58.2212999999999</v>
      </c>
      <c r="AD2815">
        <v>-1.1067191829530001</v>
      </c>
      <c r="AE2815">
        <v>0.68610000000001004</v>
      </c>
      <c r="AF2815">
        <v>10.0624040518616</v>
      </c>
      <c r="AG2815">
        <v>-1.1067191829530001</v>
      </c>
      <c r="AH2815">
        <v>57.327918188225297</v>
      </c>
      <c r="AI2815">
        <v>91.089312690976897</v>
      </c>
      <c r="AJ2815">
        <v>80.0446470386877</v>
      </c>
      <c r="AK2815">
        <v>58.214834934479498</v>
      </c>
      <c r="AL2815">
        <v>90.035478778512697</v>
      </c>
      <c r="AM2815">
        <v>80.764004160940402</v>
      </c>
      <c r="AN2815">
        <v>1.0000000644986</v>
      </c>
    </row>
    <row r="2816" spans="1:40" x14ac:dyDescent="0.25">
      <c r="A2816" t="str">
        <f>"20190312150717876"</f>
        <v>20190312150717876</v>
      </c>
      <c r="B2816" t="str">
        <f>"1552374437873201"</f>
        <v>1552374437873201</v>
      </c>
      <c r="C2816" t="s">
        <v>40</v>
      </c>
      <c r="D2816">
        <v>4.363753</v>
      </c>
      <c r="E2816">
        <v>0.50342779999999998</v>
      </c>
      <c r="F2816" t="s">
        <v>67</v>
      </c>
      <c r="G2816">
        <v>-264.02080000000001</v>
      </c>
      <c r="H2816" s="1">
        <v>6.0286370000000001E-7</v>
      </c>
      <c r="I2816">
        <v>283.01519999999999</v>
      </c>
      <c r="J2816">
        <v>-208.2473</v>
      </c>
      <c r="K2816">
        <v>1.106792</v>
      </c>
      <c r="L2816">
        <v>282.39909999999998</v>
      </c>
      <c r="M2816">
        <v>-0.98812679999999997</v>
      </c>
      <c r="N2816">
        <v>0</v>
      </c>
      <c r="O2816">
        <v>-0.15323729999999999</v>
      </c>
      <c r="P2816">
        <v>-0.99995579999999995</v>
      </c>
      <c r="Q2816">
        <v>-9.3533850000000005E-3</v>
      </c>
      <c r="R2816">
        <v>1.0408940000000001E-3</v>
      </c>
      <c r="S2816">
        <v>-2.9995729999999998</v>
      </c>
      <c r="T2816">
        <v>-5.9344050000000002E-2</v>
      </c>
      <c r="U2816">
        <v>3.2104489999999999E-2</v>
      </c>
      <c r="V2816">
        <v>0.154277</v>
      </c>
      <c r="W2816">
        <v>3.8749409999999998E-4</v>
      </c>
      <c r="X2816">
        <v>0.98802760000000001</v>
      </c>
      <c r="Y2816">
        <v>0.16375209999999901</v>
      </c>
      <c r="Z2816">
        <v>4.6427370000000001E-3</v>
      </c>
      <c r="AA2816">
        <v>0.9864906</v>
      </c>
      <c r="AB2816">
        <v>16</v>
      </c>
      <c r="AC2816">
        <v>-55.773499999999999</v>
      </c>
      <c r="AD2816">
        <v>-1.1067913971362999</v>
      </c>
      <c r="AE2816">
        <v>0.61610000000001697</v>
      </c>
      <c r="AF2816">
        <v>9.1523282984794996</v>
      </c>
      <c r="AG2816">
        <v>-1.1067913971362999</v>
      </c>
      <c r="AH2816">
        <v>54.998629437899801</v>
      </c>
      <c r="AI2816">
        <v>91.137229054266498</v>
      </c>
      <c r="AJ2816">
        <v>80.5519803857634</v>
      </c>
      <c r="AK2816">
        <v>55.7659335125607</v>
      </c>
      <c r="AL2816">
        <v>89.977798223830007</v>
      </c>
      <c r="AM2816">
        <v>81.125132649779999</v>
      </c>
      <c r="AN2816">
        <v>1.00000004062121</v>
      </c>
    </row>
    <row r="2817" spans="1:40" x14ac:dyDescent="0.25">
      <c r="A2817" t="str">
        <f>"20190312150717899"</f>
        <v>20190312150717899</v>
      </c>
      <c r="B2817" t="str">
        <f>"1552374437892721"</f>
        <v>1552374437892721</v>
      </c>
      <c r="C2817" t="s">
        <v>40</v>
      </c>
      <c r="D2817">
        <v>4.58066</v>
      </c>
      <c r="E2817">
        <v>0.50307120000000005</v>
      </c>
      <c r="F2817" t="s">
        <v>67</v>
      </c>
      <c r="G2817">
        <v>-269.68239999999997</v>
      </c>
      <c r="H2817" s="1">
        <v>3.6156839999999999E-6</v>
      </c>
      <c r="I2817">
        <v>283.041</v>
      </c>
      <c r="J2817">
        <v>-208.4237</v>
      </c>
      <c r="K2817">
        <v>1.1068849999999999</v>
      </c>
      <c r="L2817">
        <v>282.38189999999997</v>
      </c>
      <c r="M2817">
        <v>-0.98937450000000005</v>
      </c>
      <c r="N2817">
        <v>0</v>
      </c>
      <c r="O2817">
        <v>-0.1449648</v>
      </c>
      <c r="P2817">
        <v>-0.99996649999999998</v>
      </c>
      <c r="Q2817">
        <v>-7.3859779999999996E-3</v>
      </c>
      <c r="R2817">
        <v>3.5449460000000002E-3</v>
      </c>
      <c r="S2817">
        <v>-2.9995880000000001</v>
      </c>
      <c r="T2817">
        <v>-5.4039360000000002E-2</v>
      </c>
      <c r="U2817">
        <v>3.1341550000000003E-2</v>
      </c>
      <c r="V2817">
        <v>0.1485003</v>
      </c>
      <c r="W2817">
        <v>2.4259709999999999E-3</v>
      </c>
      <c r="X2817">
        <v>0.98890940000000005</v>
      </c>
      <c r="Y2817">
        <v>0.1552549</v>
      </c>
      <c r="Z2817">
        <v>4.0034179999999999E-3</v>
      </c>
      <c r="AA2817">
        <v>0.98786629999999997</v>
      </c>
      <c r="AB2817">
        <v>16</v>
      </c>
      <c r="AC2817">
        <v>-61.258699999999898</v>
      </c>
      <c r="AD2817">
        <v>-1.1068813843159999</v>
      </c>
      <c r="AE2817">
        <v>0.659100000000023</v>
      </c>
      <c r="AF2817">
        <v>9.5299286401544201</v>
      </c>
      <c r="AG2817">
        <v>-1.1068813843159999</v>
      </c>
      <c r="AH2817">
        <v>60.496231495680803</v>
      </c>
      <c r="AI2817">
        <v>91.035440798950404</v>
      </c>
      <c r="AJ2817">
        <v>81.047803553376397</v>
      </c>
      <c r="AK2817">
        <v>61.252255072481802</v>
      </c>
      <c r="AL2817">
        <v>89.861001965932999</v>
      </c>
      <c r="AM2817">
        <v>81.459948047418095</v>
      </c>
      <c r="AN2817">
        <v>1.00000001292187</v>
      </c>
    </row>
    <row r="2818" spans="1:40" x14ac:dyDescent="0.25">
      <c r="A2818" t="str">
        <f>"20190312150717922"</f>
        <v>20190312150717922</v>
      </c>
      <c r="B2818" t="str">
        <f>"1552374437913217"</f>
        <v>1552374437913217</v>
      </c>
      <c r="C2818" t="s">
        <v>40</v>
      </c>
      <c r="D2818">
        <v>4.3769030000000004</v>
      </c>
      <c r="E2818">
        <v>0.5027682</v>
      </c>
      <c r="F2818" t="s">
        <v>67</v>
      </c>
      <c r="G2818">
        <v>-275.4196</v>
      </c>
      <c r="H2818" s="1">
        <v>1.409829E-6</v>
      </c>
      <c r="I2818">
        <v>283.1848</v>
      </c>
      <c r="J2818">
        <v>-208.5933</v>
      </c>
      <c r="K2818">
        <v>1.106997</v>
      </c>
      <c r="L2818">
        <v>282.3664</v>
      </c>
      <c r="M2818">
        <v>-0.99047560000000001</v>
      </c>
      <c r="N2818">
        <v>0</v>
      </c>
      <c r="O2818">
        <v>-0.13724049999999999</v>
      </c>
      <c r="P2818">
        <v>-0.99996969999999996</v>
      </c>
      <c r="Q2818">
        <v>-5.7077100000000004E-3</v>
      </c>
      <c r="R2818">
        <v>5.2754419999999896E-3</v>
      </c>
      <c r="S2818">
        <v>-2.999603</v>
      </c>
      <c r="T2818">
        <v>-4.9558400000000002E-2</v>
      </c>
      <c r="U2818">
        <v>3.5949710000000003E-2</v>
      </c>
      <c r="V2818">
        <v>0.14250650000000001</v>
      </c>
      <c r="W2818">
        <v>4.1802439999999996E-3</v>
      </c>
      <c r="X2818">
        <v>0.98978500000000003</v>
      </c>
      <c r="Y2818">
        <v>0.1490706</v>
      </c>
      <c r="Z2818">
        <v>3.4937369999999998E-3</v>
      </c>
      <c r="AA2818">
        <v>0.98882040000000004</v>
      </c>
      <c r="AB2818">
        <v>16</v>
      </c>
      <c r="AC2818">
        <v>-66.826300000000003</v>
      </c>
      <c r="AD2818">
        <v>-1.106995590171</v>
      </c>
      <c r="AE2818">
        <v>0.81839999999999602</v>
      </c>
      <c r="AF2818">
        <v>9.9797565366980194</v>
      </c>
      <c r="AG2818">
        <v>-1.106995590171</v>
      </c>
      <c r="AH2818">
        <v>66.063444805249006</v>
      </c>
      <c r="AI2818">
        <v>90.949222328698497</v>
      </c>
      <c r="AJ2818">
        <v>81.4096663137543</v>
      </c>
      <c r="AK2818">
        <v>66.822149915313304</v>
      </c>
      <c r="AL2818">
        <v>89.760488954711704</v>
      </c>
      <c r="AM2818">
        <v>81.807014938439295</v>
      </c>
      <c r="AN2818">
        <v>0.99999996160357396</v>
      </c>
    </row>
    <row r="2819" spans="1:40" x14ac:dyDescent="0.25">
      <c r="A2819" t="str">
        <f>"20190312150717943"</f>
        <v>20190312150717943</v>
      </c>
      <c r="B2819" t="str">
        <f>"1552374437932737"</f>
        <v>1552374437932737</v>
      </c>
      <c r="C2819" t="s">
        <v>40</v>
      </c>
      <c r="D2819">
        <v>4.3992769999999997</v>
      </c>
      <c r="E2819">
        <v>0.50330050000000004</v>
      </c>
      <c r="F2819" t="s">
        <v>67</v>
      </c>
      <c r="G2819">
        <v>-278.47719999999998</v>
      </c>
      <c r="H2819" s="1">
        <v>3.0329300000000002E-6</v>
      </c>
      <c r="I2819">
        <v>283.2758</v>
      </c>
      <c r="J2819">
        <v>-208.75219999999999</v>
      </c>
      <c r="K2819">
        <v>1.1071230000000001</v>
      </c>
      <c r="L2819">
        <v>282.35289999999998</v>
      </c>
      <c r="M2819">
        <v>-0.99142180000000002</v>
      </c>
      <c r="N2819">
        <v>0</v>
      </c>
      <c r="O2819">
        <v>-0.1302315</v>
      </c>
      <c r="P2819">
        <v>-0.99996300000000005</v>
      </c>
      <c r="Q2819">
        <v>-3.4622950000000002E-3</v>
      </c>
      <c r="R2819">
        <v>7.8959919999999992E-3</v>
      </c>
      <c r="S2819">
        <v>-2.9996339999999999</v>
      </c>
      <c r="T2819">
        <v>-4.7515630000000003E-2</v>
      </c>
      <c r="U2819">
        <v>3.9031980000000001E-2</v>
      </c>
      <c r="V2819">
        <v>0.13811519999999999</v>
      </c>
      <c r="W2819">
        <v>6.4861950000000002E-3</v>
      </c>
      <c r="X2819">
        <v>0.99039489999999997</v>
      </c>
      <c r="Y2819">
        <v>0.14309450000000001</v>
      </c>
      <c r="Z2819">
        <v>3.192088E-3</v>
      </c>
      <c r="AA2819">
        <v>0.98970389999999997</v>
      </c>
      <c r="AB2819">
        <v>16</v>
      </c>
      <c r="AC2819">
        <v>-69.724999999999994</v>
      </c>
      <c r="AD2819">
        <v>-1.1071199670699901</v>
      </c>
      <c r="AE2819">
        <v>0.92290000000002603</v>
      </c>
      <c r="AF2819">
        <v>9.9934680030867291</v>
      </c>
      <c r="AG2819">
        <v>-1.1071199670699901</v>
      </c>
      <c r="AH2819">
        <v>68.993532045088799</v>
      </c>
      <c r="AI2819">
        <v>90.909837239026601</v>
      </c>
      <c r="AJ2819">
        <v>81.758229713581002</v>
      </c>
      <c r="AK2819">
        <v>69.722324842240496</v>
      </c>
      <c r="AL2819">
        <v>89.628365783869796</v>
      </c>
      <c r="AM2819">
        <v>82.061036029889493</v>
      </c>
      <c r="AN2819">
        <v>0.99999996857131301</v>
      </c>
    </row>
    <row r="2820" spans="1:40" x14ac:dyDescent="0.25">
      <c r="A2820" t="str">
        <f>"20190312150717966"</f>
        <v>20190312150717966</v>
      </c>
      <c r="B2820" t="str">
        <f>"1552374437962994"</f>
        <v>1552374437962994</v>
      </c>
      <c r="C2820" t="s">
        <v>40</v>
      </c>
      <c r="D2820">
        <v>4.3683800000000002</v>
      </c>
      <c r="E2820">
        <v>0.51439020000000002</v>
      </c>
      <c r="F2820" t="s">
        <v>68</v>
      </c>
      <c r="G2820">
        <v>-287.40320000000003</v>
      </c>
      <c r="H2820" s="1">
        <v>5.3102980000000002E-6</v>
      </c>
      <c r="I2820">
        <v>283.69159999999999</v>
      </c>
      <c r="J2820">
        <v>-208.91800000000001</v>
      </c>
      <c r="K2820">
        <v>1.107262</v>
      </c>
      <c r="L2820">
        <v>282.33969999999999</v>
      </c>
      <c r="M2820">
        <v>-0.99232319999999996</v>
      </c>
      <c r="N2820">
        <v>0</v>
      </c>
      <c r="O2820">
        <v>-0.12317839999999999</v>
      </c>
      <c r="P2820">
        <v>-0.99994649999999996</v>
      </c>
      <c r="Q2820">
        <v>-3.548917E-3</v>
      </c>
      <c r="R2820">
        <v>9.7499920000000007E-3</v>
      </c>
      <c r="S2820">
        <v>-2.9995729999999998</v>
      </c>
      <c r="T2820">
        <v>-4.222298E-2</v>
      </c>
      <c r="U2820">
        <v>5.1055910000000003E-2</v>
      </c>
      <c r="V2820">
        <v>0.1329041</v>
      </c>
      <c r="W2820">
        <v>6.4704609999999899E-3</v>
      </c>
      <c r="X2820">
        <v>0.99110779999999998</v>
      </c>
      <c r="Y2820">
        <v>0.14003109999999999</v>
      </c>
      <c r="Z2820">
        <v>2.7163759999999999E-3</v>
      </c>
      <c r="AA2820">
        <v>0.99014340000000001</v>
      </c>
      <c r="AB2820">
        <v>17</v>
      </c>
      <c r="AC2820">
        <v>-78.485200000000006</v>
      </c>
      <c r="AD2820">
        <v>-1.107256689702</v>
      </c>
      <c r="AE2820">
        <v>1.3519000000000001</v>
      </c>
      <c r="AF2820">
        <v>11.007683109855799</v>
      </c>
      <c r="AG2820">
        <v>-1.107256689702</v>
      </c>
      <c r="AH2820">
        <v>77.705430068206795</v>
      </c>
      <c r="AI2820">
        <v>90.808307017533394</v>
      </c>
      <c r="AJ2820">
        <v>81.937177526636901</v>
      </c>
      <c r="AK2820">
        <v>78.489037240298003</v>
      </c>
      <c r="AL2820">
        <v>89.629267313284998</v>
      </c>
      <c r="AM2820">
        <v>82.362397749777102</v>
      </c>
      <c r="AN2820">
        <v>1.0000000189416001</v>
      </c>
    </row>
    <row r="2821" spans="1:40" x14ac:dyDescent="0.25">
      <c r="A2821" t="str">
        <f>"20190312150717990"</f>
        <v>20190312150717990</v>
      </c>
      <c r="B2821" t="str">
        <f>"1552374437983491"</f>
        <v>1552374437983491</v>
      </c>
      <c r="C2821" t="s">
        <v>40</v>
      </c>
      <c r="D2821">
        <v>4.4761369999999996</v>
      </c>
      <c r="E2821">
        <v>0.51519490000000001</v>
      </c>
      <c r="F2821" t="s">
        <v>67</v>
      </c>
      <c r="G2821">
        <v>-243.16370000000001</v>
      </c>
      <c r="H2821" s="1">
        <v>1.46769999999999E-7</v>
      </c>
      <c r="I2821">
        <v>284.01240000000001</v>
      </c>
      <c r="J2821">
        <v>-209.1028</v>
      </c>
      <c r="K2821">
        <v>1.1074120000000001</v>
      </c>
      <c r="L2821">
        <v>282.32600000000002</v>
      </c>
      <c r="M2821">
        <v>-0.99322580000000005</v>
      </c>
      <c r="N2821">
        <v>0</v>
      </c>
      <c r="O2821">
        <v>-0.11567719999999999</v>
      </c>
      <c r="P2821">
        <v>-0.9999266</v>
      </c>
      <c r="Q2821">
        <v>-6.214926E-3</v>
      </c>
      <c r="R2821">
        <v>1.0403559999999999E-2</v>
      </c>
      <c r="S2821">
        <v>-2.9984130000000002</v>
      </c>
      <c r="T2821">
        <v>-9.6947430000000001E-2</v>
      </c>
      <c r="U2821">
        <v>0.1464539</v>
      </c>
      <c r="V2821">
        <v>0.12603809999999999</v>
      </c>
      <c r="W2821">
        <v>3.8869920000000001E-3</v>
      </c>
      <c r="X2821">
        <v>0.99201779999999995</v>
      </c>
      <c r="Y2821">
        <v>0.1638588</v>
      </c>
      <c r="Z2821">
        <v>6.3802980000000004E-3</v>
      </c>
      <c r="AA2821">
        <v>0.98646319999999998</v>
      </c>
      <c r="AB2821">
        <v>17</v>
      </c>
      <c r="AC2821">
        <v>-34.060899999999997</v>
      </c>
      <c r="AD2821">
        <v>-1.1074118532299999</v>
      </c>
      <c r="AE2821">
        <v>1.6864000000000401</v>
      </c>
      <c r="AF2821">
        <v>5.6094709664194502</v>
      </c>
      <c r="AG2821">
        <v>-1.1074118532299999</v>
      </c>
      <c r="AH2821">
        <v>33.601694024754501</v>
      </c>
      <c r="AI2821">
        <v>91.861867781714807</v>
      </c>
      <c r="AJ2821">
        <v>80.522433976505994</v>
      </c>
      <c r="AK2821">
        <v>34.084694026336798</v>
      </c>
      <c r="AL2821">
        <v>89.777291205582102</v>
      </c>
      <c r="AM2821">
        <v>82.759236417273399</v>
      </c>
      <c r="AN2821">
        <v>1.0000000134376199</v>
      </c>
    </row>
    <row r="2822" spans="1:40" x14ac:dyDescent="0.25">
      <c r="A2822" t="str">
        <f>"20190312150718010"</f>
        <v>20190312150718010</v>
      </c>
      <c r="B2822" t="str">
        <f>"1552374438003009"</f>
        <v>1552374438003009</v>
      </c>
      <c r="C2822" t="s">
        <v>40</v>
      </c>
      <c r="D2822">
        <v>4.3742720000000004</v>
      </c>
      <c r="E2822">
        <v>0.51419729999999997</v>
      </c>
      <c r="F2822" t="s">
        <v>67</v>
      </c>
      <c r="G2822">
        <v>-239.9444</v>
      </c>
      <c r="H2822" s="1">
        <v>3.785638E-6</v>
      </c>
      <c r="I2822">
        <v>283.91770000000002</v>
      </c>
      <c r="J2822">
        <v>-209.2638</v>
      </c>
      <c r="K2822">
        <v>1.107518</v>
      </c>
      <c r="L2822">
        <v>282.31479999999999</v>
      </c>
      <c r="M2822">
        <v>-0.99393960000000003</v>
      </c>
      <c r="N2822">
        <v>0</v>
      </c>
      <c r="O2822">
        <v>-0.1093741</v>
      </c>
      <c r="P2822">
        <v>-0.99992400000000004</v>
      </c>
      <c r="Q2822">
        <v>-8.1908129999999999E-3</v>
      </c>
      <c r="R2822">
        <v>9.2167550000000001E-3</v>
      </c>
      <c r="S2822">
        <v>-2.9979550000000001</v>
      </c>
      <c r="T2822">
        <v>-0.10764559999999999</v>
      </c>
      <c r="U2822">
        <v>0.1547241</v>
      </c>
      <c r="V2822">
        <v>0.118549</v>
      </c>
      <c r="W2822">
        <v>1.9844200000000002E-3</v>
      </c>
      <c r="X2822">
        <v>0.9929462</v>
      </c>
      <c r="Y2822">
        <v>0.16029409999999999</v>
      </c>
      <c r="Z2822">
        <v>6.7954039999999997E-3</v>
      </c>
      <c r="AA2822">
        <v>0.98704590000000003</v>
      </c>
      <c r="AB2822">
        <v>17</v>
      </c>
      <c r="AC2822">
        <v>-30.680599999999998</v>
      </c>
      <c r="AD2822">
        <v>-1.107514214362</v>
      </c>
      <c r="AE2822">
        <v>1.60290000000003</v>
      </c>
      <c r="AF2822">
        <v>4.9427259321767698</v>
      </c>
      <c r="AG2822">
        <v>-1.107514214362</v>
      </c>
      <c r="AH2822">
        <v>30.281835534832702</v>
      </c>
      <c r="AI2822">
        <v>92.067243798892605</v>
      </c>
      <c r="AJ2822">
        <v>80.729696806476497</v>
      </c>
      <c r="AK2822">
        <v>30.702551860297898</v>
      </c>
      <c r="AL2822">
        <v>89.8863010322885</v>
      </c>
      <c r="AM2822">
        <v>83.191617746792502</v>
      </c>
      <c r="AN2822">
        <v>0.99999997970908805</v>
      </c>
    </row>
    <row r="2823" spans="1:40" x14ac:dyDescent="0.25">
      <c r="A2823" t="str">
        <f>"20190312150718033"</f>
        <v>20190312150718033</v>
      </c>
      <c r="B2823" t="str">
        <f>"1552374438023514"</f>
        <v>1552374438023514</v>
      </c>
      <c r="C2823" t="s">
        <v>40</v>
      </c>
      <c r="D2823">
        <v>4.4305719999999997</v>
      </c>
      <c r="E2823">
        <v>0.51389439999999997</v>
      </c>
      <c r="F2823" t="s">
        <v>67</v>
      </c>
      <c r="G2823">
        <v>-239.12989999999999</v>
      </c>
      <c r="H2823" s="1">
        <v>3.3598859999999998E-6</v>
      </c>
      <c r="I2823">
        <v>283.74299999999999</v>
      </c>
      <c r="J2823">
        <v>-209.42830000000001</v>
      </c>
      <c r="K2823">
        <v>1.107618</v>
      </c>
      <c r="L2823">
        <v>282.30410000000001</v>
      </c>
      <c r="M2823">
        <v>-0.99460150000000003</v>
      </c>
      <c r="N2823">
        <v>0</v>
      </c>
      <c r="O2823">
        <v>-0.1031856</v>
      </c>
      <c r="P2823">
        <v>-0.9999268</v>
      </c>
      <c r="Q2823">
        <v>-7.4787480000000003E-3</v>
      </c>
      <c r="R2823">
        <v>9.5070429999999997E-3</v>
      </c>
      <c r="S2823">
        <v>-2.9980159999999998</v>
      </c>
      <c r="T2823">
        <v>-0.1111743</v>
      </c>
      <c r="U2823">
        <v>0.14337159999999999</v>
      </c>
      <c r="V2823">
        <v>0.1126593</v>
      </c>
      <c r="W2823">
        <v>2.750218E-3</v>
      </c>
      <c r="X2823">
        <v>0.99362989999999995</v>
      </c>
      <c r="Y2823">
        <v>0.15041270000000001</v>
      </c>
      <c r="Z2823">
        <v>6.6066700000000003E-3</v>
      </c>
      <c r="AA2823">
        <v>0.98860119999999896</v>
      </c>
      <c r="AB2823">
        <v>17</v>
      </c>
      <c r="AC2823">
        <v>-29.7015999999999</v>
      </c>
      <c r="AD2823">
        <v>-1.1076146401139999</v>
      </c>
      <c r="AE2823">
        <v>1.4388999999999801</v>
      </c>
      <c r="AF2823">
        <v>4.4899512878537902</v>
      </c>
      <c r="AG2823">
        <v>-1.1076146401139999</v>
      </c>
      <c r="AH2823">
        <v>29.353829215220099</v>
      </c>
      <c r="AI2823">
        <v>92.136108354165501</v>
      </c>
      <c r="AJ2823">
        <v>81.303463158361893</v>
      </c>
      <c r="AK2823">
        <v>29.715884007624702</v>
      </c>
      <c r="AL2823">
        <v>89.842423921923199</v>
      </c>
      <c r="AM2823">
        <v>83.531340235351394</v>
      </c>
      <c r="AN2823">
        <v>1.00000002987477</v>
      </c>
    </row>
    <row r="2824" spans="1:40" x14ac:dyDescent="0.25">
      <c r="A2824" t="str">
        <f>"20190312150718054"</f>
        <v>20190312150718054</v>
      </c>
      <c r="B2824" t="str">
        <f>"1552374438043026"</f>
        <v>1552374438043026</v>
      </c>
      <c r="C2824" t="s">
        <v>40</v>
      </c>
      <c r="D2824">
        <v>4.3811249999999999</v>
      </c>
      <c r="E2824">
        <v>0.51381739999999998</v>
      </c>
      <c r="F2824" t="s">
        <v>67</v>
      </c>
      <c r="G2824">
        <v>-239.8416</v>
      </c>
      <c r="H2824" s="1">
        <v>3.7385030000000002E-6</v>
      </c>
      <c r="I2824">
        <v>283.74549999999999</v>
      </c>
      <c r="J2824">
        <v>-209.5924</v>
      </c>
      <c r="K2824">
        <v>1.1077239999999999</v>
      </c>
      <c r="L2824">
        <v>282.29419999999999</v>
      </c>
      <c r="M2824">
        <v>-0.99519539999999995</v>
      </c>
      <c r="N2824">
        <v>0</v>
      </c>
      <c r="O2824">
        <v>-9.7294080000000005E-2</v>
      </c>
      <c r="P2824">
        <v>-0.99991799999999997</v>
      </c>
      <c r="Q2824">
        <v>-5.375253E-3</v>
      </c>
      <c r="R2824">
        <v>1.1634240000000001E-2</v>
      </c>
      <c r="S2824">
        <v>-2.9980470000000001</v>
      </c>
      <c r="T2824">
        <v>-0.109185</v>
      </c>
      <c r="U2824">
        <v>0.14208979999999999</v>
      </c>
      <c r="V2824">
        <v>0.10890130000000001</v>
      </c>
      <c r="W2824">
        <v>4.886909E-3</v>
      </c>
      <c r="X2824">
        <v>0.99404049999999999</v>
      </c>
      <c r="Y2824">
        <v>0.14414749999999901</v>
      </c>
      <c r="Z2824">
        <v>6.160703E-3</v>
      </c>
      <c r="AA2824">
        <v>0.98953709999999995</v>
      </c>
      <c r="AB2824">
        <v>17</v>
      </c>
      <c r="AC2824">
        <v>-30.249199999999998</v>
      </c>
      <c r="AD2824">
        <v>-1.1077202614970001</v>
      </c>
      <c r="AE2824">
        <v>1.4513</v>
      </c>
      <c r="AF2824">
        <v>4.3817958450742198</v>
      </c>
      <c r="AG2824">
        <v>-1.1077202614970001</v>
      </c>
      <c r="AH2824">
        <v>29.924422558811401</v>
      </c>
      <c r="AI2824">
        <v>92.097616730366099</v>
      </c>
      <c r="AJ2824">
        <v>81.669453332364697</v>
      </c>
      <c r="AK2824">
        <v>30.2638108057122</v>
      </c>
      <c r="AL2824">
        <v>89.719999609631202</v>
      </c>
      <c r="AM2824">
        <v>83.747940490281593</v>
      </c>
      <c r="AN2824">
        <v>0.99999994533075498</v>
      </c>
    </row>
    <row r="2825" spans="1:40" x14ac:dyDescent="0.25">
      <c r="A2825" t="str">
        <f>"20190312150718077"</f>
        <v>20190312150718077</v>
      </c>
      <c r="B2825" t="str">
        <f>"1552374438073281"</f>
        <v>1552374438073281</v>
      </c>
      <c r="C2825" t="s">
        <v>40</v>
      </c>
      <c r="D2825">
        <v>4.4212339999999903</v>
      </c>
      <c r="E2825">
        <v>0.51353870000000001</v>
      </c>
      <c r="F2825" t="s">
        <v>67</v>
      </c>
      <c r="G2825">
        <v>-242.1123</v>
      </c>
      <c r="H2825" s="1">
        <v>-4.1274659999999999E-7</v>
      </c>
      <c r="I2825">
        <v>283.8947</v>
      </c>
      <c r="J2825">
        <v>-209.7619</v>
      </c>
      <c r="K2825">
        <v>1.1078399999999999</v>
      </c>
      <c r="L2825">
        <v>282.28460000000001</v>
      </c>
      <c r="M2825">
        <v>-0.99574320000000005</v>
      </c>
      <c r="N2825">
        <v>0</v>
      </c>
      <c r="O2825">
        <v>-9.1520939999999995E-2</v>
      </c>
      <c r="P2825">
        <v>-0.99990389999999996</v>
      </c>
      <c r="Q2825">
        <v>-4.6261870000000004E-3</v>
      </c>
      <c r="R2825">
        <v>1.3091490000000001E-2</v>
      </c>
      <c r="S2825">
        <v>-2.997986</v>
      </c>
      <c r="T2825">
        <v>-0.1021204</v>
      </c>
      <c r="U2825">
        <v>0.1475525</v>
      </c>
      <c r="V2825">
        <v>0.10458720000000001</v>
      </c>
      <c r="W2825">
        <v>5.6670039999999998E-3</v>
      </c>
      <c r="X2825">
        <v>0.99449960000000004</v>
      </c>
      <c r="Y2825">
        <v>0.140233</v>
      </c>
      <c r="Z2825">
        <v>5.499599E-3</v>
      </c>
      <c r="AA2825">
        <v>0.99010319999999996</v>
      </c>
      <c r="AB2825">
        <v>17</v>
      </c>
      <c r="AC2825">
        <v>-32.3504</v>
      </c>
      <c r="AD2825">
        <v>-1.1078404127465999</v>
      </c>
      <c r="AE2825">
        <v>1.6100999999999801</v>
      </c>
      <c r="AF2825">
        <v>4.5589244910641202</v>
      </c>
      <c r="AG2825">
        <v>-1.1078404127465999</v>
      </c>
      <c r="AH2825">
        <v>32.029778166552198</v>
      </c>
      <c r="AI2825">
        <v>91.961196181256298</v>
      </c>
      <c r="AJ2825">
        <v>81.899277621879605</v>
      </c>
      <c r="AK2825">
        <v>32.371558385315403</v>
      </c>
      <c r="AL2825">
        <v>89.675302858762194</v>
      </c>
      <c r="AM2825">
        <v>83.996519485317506</v>
      </c>
      <c r="AN2825">
        <v>1.0000000258691599</v>
      </c>
    </row>
    <row r="2826" spans="1:40" x14ac:dyDescent="0.25">
      <c r="A2826" t="str">
        <f>"20190312150718101"</f>
        <v>20190312150718101</v>
      </c>
      <c r="B2826" t="str">
        <f>"1552374438092802"</f>
        <v>1552374438092802</v>
      </c>
      <c r="C2826" t="s">
        <v>40</v>
      </c>
      <c r="D2826">
        <v>4.430898</v>
      </c>
      <c r="E2826">
        <v>0.51318169999999996</v>
      </c>
      <c r="F2826" t="s">
        <v>67</v>
      </c>
      <c r="G2826">
        <v>-243.42779999999999</v>
      </c>
      <c r="H2826" s="1">
        <v>2.8732680000000001E-7</v>
      </c>
      <c r="I2826">
        <v>283.96359999999999</v>
      </c>
      <c r="J2826">
        <v>-209.9478</v>
      </c>
      <c r="K2826">
        <v>1.1080000000000001</v>
      </c>
      <c r="L2826">
        <v>282.27480000000003</v>
      </c>
      <c r="M2826">
        <v>-0.99627379999999999</v>
      </c>
      <c r="N2826">
        <v>0</v>
      </c>
      <c r="O2826">
        <v>-8.5557359999999999E-2</v>
      </c>
      <c r="P2826">
        <v>-0.999884</v>
      </c>
      <c r="Q2826">
        <v>-5.3857499999999999E-3</v>
      </c>
      <c r="R2826">
        <v>1.426207E-2</v>
      </c>
      <c r="S2826">
        <v>-2.9978790000000002</v>
      </c>
      <c r="T2826">
        <v>-9.8650689999999999E-2</v>
      </c>
      <c r="U2826">
        <v>0.14950559999999999</v>
      </c>
      <c r="V2826">
        <v>9.9788959999999996E-2</v>
      </c>
      <c r="W2826">
        <v>4.9336400000000004E-3</v>
      </c>
      <c r="X2826">
        <v>0.9949964</v>
      </c>
      <c r="Y2826">
        <v>0.134963</v>
      </c>
      <c r="Z2826">
        <v>5.0306200000000004E-3</v>
      </c>
      <c r="AA2826">
        <v>0.99083790000000005</v>
      </c>
      <c r="AB2826">
        <v>17</v>
      </c>
      <c r="AC2826">
        <v>-33.479999999999897</v>
      </c>
      <c r="AD2826">
        <v>-1.1079997126732</v>
      </c>
      <c r="AE2826">
        <v>1.6887999999999499</v>
      </c>
      <c r="AF2826">
        <v>4.5422746877871498</v>
      </c>
      <c r="AG2826">
        <v>-1.1079997126732</v>
      </c>
      <c r="AH2826">
        <v>33.176480781326099</v>
      </c>
      <c r="AI2826">
        <v>91.895137792786699</v>
      </c>
      <c r="AJ2826">
        <v>82.203963178697904</v>
      </c>
      <c r="AK2826">
        <v>33.504310166548599</v>
      </c>
      <c r="AL2826">
        <v>89.717322105474807</v>
      </c>
      <c r="AM2826">
        <v>84.272912114284395</v>
      </c>
      <c r="AN2826">
        <v>1.0000000066772401</v>
      </c>
    </row>
    <row r="2827" spans="1:40" x14ac:dyDescent="0.25">
      <c r="A2827" t="str">
        <f>"20190312150718124"</f>
        <v>20190312150718124</v>
      </c>
      <c r="B2827" t="str">
        <f>"1552374438113298"</f>
        <v>1552374438113298</v>
      </c>
      <c r="C2827" t="s">
        <v>40</v>
      </c>
      <c r="D2827">
        <v>4.3962089999999998</v>
      </c>
      <c r="E2827">
        <v>0.51295259999999998</v>
      </c>
      <c r="F2827" t="s">
        <v>67</v>
      </c>
      <c r="G2827">
        <v>-242.7439</v>
      </c>
      <c r="H2827" s="1">
        <v>-7.6651449999999994E-8</v>
      </c>
      <c r="I2827">
        <v>283.91750000000002</v>
      </c>
      <c r="J2827">
        <v>-210.11150000000001</v>
      </c>
      <c r="K2827">
        <v>1.108168</v>
      </c>
      <c r="L2827">
        <v>282.26679999999999</v>
      </c>
      <c r="M2827">
        <v>-0.99668319999999999</v>
      </c>
      <c r="N2827">
        <v>0</v>
      </c>
      <c r="O2827">
        <v>-8.0656889999999995E-2</v>
      </c>
      <c r="P2827">
        <v>-0.99985849999999998</v>
      </c>
      <c r="Q2827">
        <v>-6.179553E-3</v>
      </c>
      <c r="R2827">
        <v>1.5661169999999999E-2</v>
      </c>
      <c r="S2827">
        <v>-2.9976500000000001</v>
      </c>
      <c r="T2827">
        <v>-0.1012743</v>
      </c>
      <c r="U2827">
        <v>0.15014649999999999</v>
      </c>
      <c r="V2827">
        <v>9.6280950000000004E-2</v>
      </c>
      <c r="W2827">
        <v>4.1525879999999996E-3</v>
      </c>
      <c r="X2827">
        <v>0.99534549999999999</v>
      </c>
      <c r="Y2827">
        <v>0.1303029</v>
      </c>
      <c r="Z2827">
        <v>4.9208940000000003E-3</v>
      </c>
      <c r="AA2827">
        <v>0.99146210000000001</v>
      </c>
      <c r="AB2827">
        <v>17</v>
      </c>
      <c r="AC2827">
        <v>-32.632399999999897</v>
      </c>
      <c r="AD2827">
        <v>-1.1081680766514499</v>
      </c>
      <c r="AE2827">
        <v>1.65070000000002</v>
      </c>
      <c r="AF2827">
        <v>4.2725885645772701</v>
      </c>
      <c r="AG2827">
        <v>-1.1081680766514499</v>
      </c>
      <c r="AH2827">
        <v>32.355702519047099</v>
      </c>
      <c r="AI2827">
        <v>91.944718633862607</v>
      </c>
      <c r="AJ2827">
        <v>82.477582555362702</v>
      </c>
      <c r="AK2827">
        <v>32.655390596796401</v>
      </c>
      <c r="AL2827">
        <v>89.7620735413755</v>
      </c>
      <c r="AM2827">
        <v>84.474901185784105</v>
      </c>
      <c r="AN2827">
        <v>0.99999996484512399</v>
      </c>
    </row>
    <row r="2828" spans="1:40" x14ac:dyDescent="0.25">
      <c r="A2828" t="str">
        <f>"20190312150718147"</f>
        <v>20190312150718147</v>
      </c>
      <c r="B2828" t="str">
        <f>"1552374438142578"</f>
        <v>1552374438142578</v>
      </c>
      <c r="C2828" t="s">
        <v>40</v>
      </c>
      <c r="D2828">
        <v>4.4264070000000002</v>
      </c>
      <c r="E2828">
        <v>0.51249809999999996</v>
      </c>
      <c r="F2828" t="s">
        <v>67</v>
      </c>
      <c r="G2828">
        <v>-242.15520000000001</v>
      </c>
      <c r="H2828" s="1">
        <v>-3.8991459999999999E-7</v>
      </c>
      <c r="I2828">
        <v>283.89800000000002</v>
      </c>
      <c r="J2828">
        <v>-210.28229999999999</v>
      </c>
      <c r="K2828">
        <v>1.1083670000000001</v>
      </c>
      <c r="L2828">
        <v>282.25869999999998</v>
      </c>
      <c r="M2828">
        <v>-0.99705489999999997</v>
      </c>
      <c r="N2828">
        <v>0</v>
      </c>
      <c r="O2828">
        <v>-7.5932540000000007E-2</v>
      </c>
      <c r="P2828">
        <v>-0.9998688</v>
      </c>
      <c r="Q2828">
        <v>-5.1861729999999997E-3</v>
      </c>
      <c r="R2828">
        <v>1.535181E-2</v>
      </c>
      <c r="S2828">
        <v>-2.9974059999999998</v>
      </c>
      <c r="T2828">
        <v>-0.1036593</v>
      </c>
      <c r="U2828">
        <v>0.1525879</v>
      </c>
      <c r="V2828">
        <v>9.1256770000000001E-2</v>
      </c>
      <c r="W2828">
        <v>5.1539350000000001E-3</v>
      </c>
      <c r="X2828">
        <v>0.99581410000000004</v>
      </c>
      <c r="Y2828">
        <v>0.126412</v>
      </c>
      <c r="Z2828">
        <v>4.8068030000000001E-3</v>
      </c>
      <c r="AA2828">
        <v>0.99196620000000002</v>
      </c>
      <c r="AB2828">
        <v>17</v>
      </c>
      <c r="AC2828">
        <v>-31.872900000000001</v>
      </c>
      <c r="AD2828">
        <v>-1.1083673899146</v>
      </c>
      <c r="AE2828">
        <v>1.63929999999999</v>
      </c>
      <c r="AF2828">
        <v>4.0500124389718497</v>
      </c>
      <c r="AG2828">
        <v>-1.1083673899146</v>
      </c>
      <c r="AH2828">
        <v>31.618253262999801</v>
      </c>
      <c r="AI2828">
        <v>91.991405414036805</v>
      </c>
      <c r="AJ2828">
        <v>82.700676092365995</v>
      </c>
      <c r="AK2828">
        <v>31.895846413444598</v>
      </c>
      <c r="AL2828">
        <v>89.704699981497299</v>
      </c>
      <c r="AM2828">
        <v>84.764018216840597</v>
      </c>
      <c r="AN2828">
        <v>1.0000000414378101</v>
      </c>
    </row>
    <row r="2829" spans="1:40" x14ac:dyDescent="0.25">
      <c r="A2829" t="str">
        <f>"20190312150718159"</f>
        <v>20190312150718159</v>
      </c>
      <c r="B2829" t="str">
        <f>"1552374438153314"</f>
        <v>1552374438153314</v>
      </c>
      <c r="C2829" t="s">
        <v>40</v>
      </c>
      <c r="D2829">
        <v>4.4342259999999998</v>
      </c>
      <c r="E2829">
        <v>0.51239279999999998</v>
      </c>
      <c r="F2829" t="s">
        <v>67</v>
      </c>
      <c r="G2829">
        <v>-242.90119999999999</v>
      </c>
      <c r="H2829" s="1">
        <v>7.1069049999999999E-9</v>
      </c>
      <c r="I2829">
        <v>283.86869999999999</v>
      </c>
      <c r="J2829">
        <v>-210.38749999999999</v>
      </c>
      <c r="K2829">
        <v>1.108495</v>
      </c>
      <c r="L2829">
        <v>282.25389999999999</v>
      </c>
      <c r="M2829">
        <v>-0.9972567</v>
      </c>
      <c r="N2829">
        <v>0</v>
      </c>
      <c r="O2829">
        <v>-7.3241769999999998E-2</v>
      </c>
      <c r="P2829">
        <v>-0.99986699999999995</v>
      </c>
      <c r="Q2829">
        <v>-4.5374050000000004E-3</v>
      </c>
      <c r="R2829">
        <v>1.566874E-2</v>
      </c>
      <c r="S2829">
        <v>-2.9976039999999999</v>
      </c>
      <c r="T2829">
        <v>-0.10185619999999999</v>
      </c>
      <c r="U2829">
        <v>0.1479492</v>
      </c>
      <c r="V2829">
        <v>8.8885790000000006E-2</v>
      </c>
      <c r="W2829">
        <v>5.793365E-3</v>
      </c>
      <c r="X2829">
        <v>0.99602500000000005</v>
      </c>
      <c r="Y2829">
        <v>0.1222077</v>
      </c>
      <c r="Z2829">
        <v>4.5604620000000004E-3</v>
      </c>
      <c r="AA2829">
        <v>0.99249399999999999</v>
      </c>
      <c r="AB2829">
        <v>17</v>
      </c>
      <c r="AC2829">
        <v>-32.5137</v>
      </c>
      <c r="AD2829">
        <v>-1.1084949928930901</v>
      </c>
      <c r="AE2829">
        <v>1.6148</v>
      </c>
      <c r="AF2829">
        <v>3.9873367835136202</v>
      </c>
      <c r="AG2829">
        <v>-1.1084949928930901</v>
      </c>
      <c r="AH2829">
        <v>32.270670234668202</v>
      </c>
      <c r="AI2829">
        <v>91.952495848658401</v>
      </c>
      <c r="AJ2829">
        <v>82.956282217810198</v>
      </c>
      <c r="AK2829">
        <v>32.534962320081597</v>
      </c>
      <c r="AL2829">
        <v>89.668062787359204</v>
      </c>
      <c r="AM2829">
        <v>84.900403659250799</v>
      </c>
      <c r="AN2829">
        <v>1.0000000236834701</v>
      </c>
    </row>
    <row r="2830" spans="1:40" x14ac:dyDescent="0.25">
      <c r="A2830" t="str">
        <f>"20190312150718177"</f>
        <v>20190312150718177</v>
      </c>
      <c r="B2830" t="str">
        <f>"1552374438172834"</f>
        <v>1552374438172834</v>
      </c>
      <c r="C2830" t="s">
        <v>40</v>
      </c>
      <c r="D2830">
        <v>4.40991</v>
      </c>
      <c r="E2830">
        <v>0.51220350000000003</v>
      </c>
      <c r="F2830" t="s">
        <v>67</v>
      </c>
      <c r="G2830">
        <v>-243.69110000000001</v>
      </c>
      <c r="H2830" s="1">
        <v>4.274592E-7</v>
      </c>
      <c r="I2830">
        <v>283.90069999999997</v>
      </c>
      <c r="J2830">
        <v>-210.52529999999999</v>
      </c>
      <c r="K2830">
        <v>1.1086469999999999</v>
      </c>
      <c r="L2830">
        <v>282.24770000000001</v>
      </c>
      <c r="M2830">
        <v>-0.99749719999999997</v>
      </c>
      <c r="N2830">
        <v>0</v>
      </c>
      <c r="O2830">
        <v>-6.9900169999999998E-2</v>
      </c>
      <c r="P2830">
        <v>-0.99989530000000004</v>
      </c>
      <c r="Q2830">
        <v>-3.1081590000000001E-3</v>
      </c>
      <c r="R2830">
        <v>1.4129259999999999E-2</v>
      </c>
      <c r="S2830">
        <v>-2.9976500000000001</v>
      </c>
      <c r="T2830">
        <v>-9.9775310000000006E-2</v>
      </c>
      <c r="U2830">
        <v>0.14822389999999999</v>
      </c>
      <c r="V2830">
        <v>8.4016809999999997E-2</v>
      </c>
      <c r="W2830">
        <v>7.2071569999999996E-3</v>
      </c>
      <c r="X2830">
        <v>0.9964383</v>
      </c>
      <c r="Y2830">
        <v>0.11898</v>
      </c>
      <c r="Z2830">
        <v>4.3025820000000001E-3</v>
      </c>
      <c r="AA2830">
        <v>0.99288730000000003</v>
      </c>
      <c r="AB2830">
        <v>17</v>
      </c>
      <c r="AC2830">
        <v>-33.165799999999997</v>
      </c>
      <c r="AD2830">
        <v>-1.1086465725407999</v>
      </c>
      <c r="AE2830">
        <v>1.6529999999999601</v>
      </c>
      <c r="AF2830">
        <v>3.96296548236199</v>
      </c>
      <c r="AG2830">
        <v>-1.1086465725407999</v>
      </c>
      <c r="AH2830">
        <v>32.9324082420138</v>
      </c>
      <c r="AI2830">
        <v>91.914294261210202</v>
      </c>
      <c r="AJ2830">
        <v>83.1382300303233</v>
      </c>
      <c r="AK2830">
        <v>33.188517671867402</v>
      </c>
      <c r="AL2830">
        <v>89.587056757613595</v>
      </c>
      <c r="AM2830">
        <v>85.180384666507393</v>
      </c>
      <c r="AN2830">
        <v>1.0000000265907401</v>
      </c>
    </row>
    <row r="2831" spans="1:40" x14ac:dyDescent="0.25">
      <c r="A2831" t="str">
        <f>"20190312150718191"</f>
        <v>20190312150718191</v>
      </c>
      <c r="B2831" t="str">
        <f>"1552374438182595"</f>
        <v>1552374438182595</v>
      </c>
      <c r="C2831" t="s">
        <v>40</v>
      </c>
      <c r="D2831">
        <v>4.4614089999999997</v>
      </c>
      <c r="E2831">
        <v>0.512131</v>
      </c>
      <c r="F2831" t="s">
        <v>67</v>
      </c>
      <c r="G2831">
        <v>-245.0232</v>
      </c>
      <c r="H2831" s="1">
        <v>1.1363020000000001E-6</v>
      </c>
      <c r="I2831">
        <v>283.87959999999998</v>
      </c>
      <c r="J2831">
        <v>-210.63079999999999</v>
      </c>
      <c r="K2831">
        <v>1.108749</v>
      </c>
      <c r="L2831">
        <v>282.2432</v>
      </c>
      <c r="M2831">
        <v>-0.99766310000000002</v>
      </c>
      <c r="N2831">
        <v>0</v>
      </c>
      <c r="O2831">
        <v>-6.7500939999999995E-2</v>
      </c>
      <c r="P2831">
        <v>-0.99989989999999995</v>
      </c>
      <c r="Q2831">
        <v>-3.121698E-3</v>
      </c>
      <c r="R2831">
        <v>1.3809210000000001E-2</v>
      </c>
      <c r="S2831">
        <v>-2.9980319999999998</v>
      </c>
      <c r="T2831">
        <v>-9.6346619999999994E-2</v>
      </c>
      <c r="U2831">
        <v>0.1418152</v>
      </c>
      <c r="V2831">
        <v>8.1299029999999994E-2</v>
      </c>
      <c r="W2831">
        <v>7.1699650000000004E-3</v>
      </c>
      <c r="X2831">
        <v>0.99666399999999999</v>
      </c>
      <c r="Y2831">
        <v>0.1144777</v>
      </c>
      <c r="Z2831">
        <v>4.0051929999999998E-3</v>
      </c>
      <c r="AA2831">
        <v>0.99341769999999996</v>
      </c>
      <c r="AB2831">
        <v>17</v>
      </c>
      <c r="AC2831">
        <v>-34.392400000000002</v>
      </c>
      <c r="AD2831">
        <v>-1.1087478636979999</v>
      </c>
      <c r="AE2831">
        <v>1.6363999999999801</v>
      </c>
      <c r="AF2831">
        <v>3.95022041055319</v>
      </c>
      <c r="AG2831">
        <v>-1.1087478636979999</v>
      </c>
      <c r="AH2831">
        <v>34.168054037934297</v>
      </c>
      <c r="AI2831">
        <v>91.846297391490296</v>
      </c>
      <c r="AJ2831">
        <v>83.405226228871101</v>
      </c>
      <c r="AK2831">
        <v>34.413507229813099</v>
      </c>
      <c r="AL2831">
        <v>89.589187760616497</v>
      </c>
      <c r="AM2831">
        <v>85.336642107185398</v>
      </c>
      <c r="AN2831">
        <v>1.0000000347865201</v>
      </c>
    </row>
    <row r="2832" spans="1:40" x14ac:dyDescent="0.25">
      <c r="A2832" t="str">
        <f>"20190312150718205"</f>
        <v>20190312150718205</v>
      </c>
      <c r="B2832" t="str">
        <f>"1552374438193330"</f>
        <v>1552374438193330</v>
      </c>
      <c r="C2832" t="s">
        <v>40</v>
      </c>
      <c r="D2832">
        <v>4.4463150000000002</v>
      </c>
      <c r="E2832">
        <v>0.51204070000000002</v>
      </c>
      <c r="F2832" t="s">
        <v>67</v>
      </c>
      <c r="G2832">
        <v>-244.929</v>
      </c>
      <c r="H2832" s="1">
        <v>1.086151E-6</v>
      </c>
      <c r="I2832">
        <v>283.84949999999998</v>
      </c>
      <c r="J2832">
        <v>-210.72970000000001</v>
      </c>
      <c r="K2832">
        <v>1.10884</v>
      </c>
      <c r="L2832">
        <v>282.2389</v>
      </c>
      <c r="M2832">
        <v>-0.99780670000000005</v>
      </c>
      <c r="N2832">
        <v>0</v>
      </c>
      <c r="O2832">
        <v>-6.5352930000000004E-2</v>
      </c>
      <c r="P2832">
        <v>-0.99991260000000004</v>
      </c>
      <c r="Q2832">
        <v>-2.9542879999999998E-3</v>
      </c>
      <c r="R2832">
        <v>1.288797E-2</v>
      </c>
      <c r="S2832">
        <v>-2.998062</v>
      </c>
      <c r="T2832">
        <v>-9.6917749999999997E-2</v>
      </c>
      <c r="U2832">
        <v>0.14041139999999999</v>
      </c>
      <c r="V2832">
        <v>7.8232979999999994E-2</v>
      </c>
      <c r="W2832">
        <v>7.3139659999999999E-3</v>
      </c>
      <c r="X2832">
        <v>0.99690820000000002</v>
      </c>
      <c r="Y2832">
        <v>0.1118753</v>
      </c>
      <c r="Z2832">
        <v>3.9175620000000003E-3</v>
      </c>
      <c r="AA2832">
        <v>0.99371449999999995</v>
      </c>
      <c r="AB2832">
        <v>17</v>
      </c>
      <c r="AC2832">
        <v>-34.199299999999901</v>
      </c>
      <c r="AD2832">
        <v>-1.108838913849</v>
      </c>
      <c r="AE2832">
        <v>1.6105999999999701</v>
      </c>
      <c r="AF2832">
        <v>3.8382787402957299</v>
      </c>
      <c r="AG2832">
        <v>-1.108838913849</v>
      </c>
      <c r="AH2832">
        <v>33.9852701222474</v>
      </c>
      <c r="AI2832">
        <v>91.856932005478996</v>
      </c>
      <c r="AJ2832">
        <v>83.556348833538493</v>
      </c>
      <c r="AK2832">
        <v>34.219300003173601</v>
      </c>
      <c r="AL2832">
        <v>89.580936849497704</v>
      </c>
      <c r="AM2832">
        <v>85.512874825345605</v>
      </c>
      <c r="AN2832">
        <v>0.999999926242782</v>
      </c>
    </row>
    <row r="2833" spans="1:40" x14ac:dyDescent="0.25">
      <c r="A2833" t="str">
        <f>"20190312150718223"</f>
        <v>20190312150718223</v>
      </c>
      <c r="B2833" t="str">
        <f>"1552374438212853"</f>
        <v>1552374438212853</v>
      </c>
      <c r="C2833" t="s">
        <v>40</v>
      </c>
      <c r="D2833">
        <v>4.4595019999999996</v>
      </c>
      <c r="E2833">
        <v>0.51192689999999996</v>
      </c>
      <c r="F2833" t="s">
        <v>67</v>
      </c>
      <c r="G2833">
        <v>-245.00980000000001</v>
      </c>
      <c r="H2833" s="1">
        <v>1.129163E-6</v>
      </c>
      <c r="I2833">
        <v>283.80419999999998</v>
      </c>
      <c r="J2833">
        <v>-210.87289999999999</v>
      </c>
      <c r="K2833">
        <v>1.108954</v>
      </c>
      <c r="L2833">
        <v>282.23289999999997</v>
      </c>
      <c r="M2833">
        <v>-0.99798799999999999</v>
      </c>
      <c r="N2833">
        <v>0</v>
      </c>
      <c r="O2833">
        <v>-6.2538339999999998E-2</v>
      </c>
      <c r="P2833">
        <v>-0.99994590000000005</v>
      </c>
      <c r="Q2833">
        <v>-3.085324E-3</v>
      </c>
      <c r="R2833">
        <v>9.9391759999999992E-3</v>
      </c>
      <c r="S2833">
        <v>-2.9982150000000001</v>
      </c>
      <c r="T2833">
        <v>-9.6981639999999994E-2</v>
      </c>
      <c r="U2833">
        <v>0.13690189999999999</v>
      </c>
      <c r="V2833">
        <v>7.2476890000000002E-2</v>
      </c>
      <c r="W2833">
        <v>7.1461229999999999E-3</v>
      </c>
      <c r="X2833">
        <v>0.99734449999999997</v>
      </c>
      <c r="Y2833">
        <v>0.10791190000000001</v>
      </c>
      <c r="Z2833">
        <v>3.7650750000000001E-3</v>
      </c>
      <c r="AA2833">
        <v>0.99415330000000002</v>
      </c>
      <c r="AB2833">
        <v>17</v>
      </c>
      <c r="AC2833">
        <v>-34.136899999999997</v>
      </c>
      <c r="AD2833">
        <v>-1.108952870837</v>
      </c>
      <c r="AE2833">
        <v>1.5712999999999999</v>
      </c>
      <c r="AF2833">
        <v>3.69930961633731</v>
      </c>
      <c r="AG2833">
        <v>-1.108952870837</v>
      </c>
      <c r="AH2833">
        <v>33.936062830145602</v>
      </c>
      <c r="AI2833">
        <v>91.860614761916494</v>
      </c>
      <c r="AJ2833">
        <v>83.778853304682997</v>
      </c>
      <c r="AK2833">
        <v>34.155102525374602</v>
      </c>
      <c r="AL2833">
        <v>89.590553831052802</v>
      </c>
      <c r="AM2833">
        <v>85.8436296442772</v>
      </c>
      <c r="AN2833">
        <v>1.0000000091691199</v>
      </c>
    </row>
    <row r="2834" spans="1:40" x14ac:dyDescent="0.25">
      <c r="A2834" t="str">
        <f>"20190312150718236"</f>
        <v>20190312150718236</v>
      </c>
      <c r="B2834" t="str">
        <f>"1552374438233346"</f>
        <v>1552374438233346</v>
      </c>
      <c r="C2834" t="s">
        <v>40</v>
      </c>
      <c r="D2834">
        <v>4.4752049999999999</v>
      </c>
      <c r="E2834">
        <v>0.51179030000000003</v>
      </c>
      <c r="F2834" t="s">
        <v>67</v>
      </c>
      <c r="G2834">
        <v>-244.22370000000001</v>
      </c>
      <c r="H2834" s="1">
        <v>7.1083789999999998E-7</v>
      </c>
      <c r="I2834">
        <v>283.64789999999999</v>
      </c>
      <c r="J2834">
        <v>-210.9676</v>
      </c>
      <c r="K2834">
        <v>1.10902099999999</v>
      </c>
      <c r="L2834">
        <v>282.22899999999998</v>
      </c>
      <c r="M2834">
        <v>-0.99809300000000001</v>
      </c>
      <c r="N2834">
        <v>0</v>
      </c>
      <c r="O2834">
        <v>-6.0847369999999998E-2</v>
      </c>
      <c r="P2834">
        <v>-0.99995520000000004</v>
      </c>
      <c r="Q2834">
        <v>-3.226577E-3</v>
      </c>
      <c r="R2834">
        <v>8.9004519999999997E-3</v>
      </c>
      <c r="S2834">
        <v>-2.998596</v>
      </c>
      <c r="T2834">
        <v>-9.9707009999999999E-2</v>
      </c>
      <c r="U2834">
        <v>0.1272278</v>
      </c>
      <c r="V2834">
        <v>6.974901E-2</v>
      </c>
      <c r="W2834">
        <v>6.9716040000000002E-3</v>
      </c>
      <c r="X2834">
        <v>0.99754019999999999</v>
      </c>
      <c r="Y2834">
        <v>0.103017899999999</v>
      </c>
      <c r="Z2834">
        <v>3.733101E-3</v>
      </c>
      <c r="AA2834">
        <v>0.99467249999999996</v>
      </c>
      <c r="AB2834">
        <v>17</v>
      </c>
      <c r="AC2834">
        <v>-33.256100000000004</v>
      </c>
      <c r="AD2834">
        <v>-1.1090202891620899</v>
      </c>
      <c r="AE2834">
        <v>1.4188999999999501</v>
      </c>
      <c r="AF2834">
        <v>3.4361117824051601</v>
      </c>
      <c r="AG2834">
        <v>-1.1090202891620899</v>
      </c>
      <c r="AH2834">
        <v>33.071420260653198</v>
      </c>
      <c r="AI2834">
        <v>91.910366637049194</v>
      </c>
      <c r="AJ2834">
        <v>84.068267282125902</v>
      </c>
      <c r="AK2834">
        <v>33.267936939938103</v>
      </c>
      <c r="AL2834">
        <v>89.600553274244106</v>
      </c>
      <c r="AM2834">
        <v>86.000331283817403</v>
      </c>
      <c r="AN2834">
        <v>0.99999998913717603</v>
      </c>
    </row>
    <row r="2835" spans="1:40" x14ac:dyDescent="0.25">
      <c r="A2835" t="str">
        <f>"20190312150718248"</f>
        <v>20190312150718248</v>
      </c>
      <c r="B2835" t="str">
        <f>"1552374438243106"</f>
        <v>1552374438243106</v>
      </c>
      <c r="C2835" t="s">
        <v>40</v>
      </c>
      <c r="D2835">
        <v>4.4519169999999999</v>
      </c>
      <c r="E2835">
        <v>0.51171489999999997</v>
      </c>
      <c r="F2835" t="s">
        <v>67</v>
      </c>
      <c r="G2835">
        <v>-243.69110000000001</v>
      </c>
      <c r="H2835" s="1">
        <v>4.2740890000000002E-7</v>
      </c>
      <c r="I2835">
        <v>283.57080000000002</v>
      </c>
      <c r="J2835">
        <v>-211.0633</v>
      </c>
      <c r="K2835">
        <v>1.109091</v>
      </c>
      <c r="L2835">
        <v>282.22519999999997</v>
      </c>
      <c r="M2835">
        <v>-0.99819210000000003</v>
      </c>
      <c r="N2835">
        <v>0</v>
      </c>
      <c r="O2835">
        <v>-5.9211960000000001E-2</v>
      </c>
      <c r="P2835">
        <v>-0.99996450000000003</v>
      </c>
      <c r="Q2835">
        <v>-3.2215379999999999E-3</v>
      </c>
      <c r="R2835">
        <v>7.812945E-3</v>
      </c>
      <c r="S2835">
        <v>-2.9987490000000001</v>
      </c>
      <c r="T2835">
        <v>-0.1016297</v>
      </c>
      <c r="U2835">
        <v>0.1229553</v>
      </c>
      <c r="V2835">
        <v>6.7027870000000003E-2</v>
      </c>
      <c r="W2835">
        <v>6.9396569999999897E-3</v>
      </c>
      <c r="X2835">
        <v>0.99772700000000003</v>
      </c>
      <c r="Y2835">
        <v>9.9970039999999996E-2</v>
      </c>
      <c r="Z2835">
        <v>3.6979840000000001E-3</v>
      </c>
      <c r="AA2835">
        <v>0.99498359999999997</v>
      </c>
      <c r="AB2835">
        <v>17</v>
      </c>
      <c r="AC2835">
        <v>-32.627800000000001</v>
      </c>
      <c r="AD2835">
        <v>-1.1090905725911</v>
      </c>
      <c r="AE2835">
        <v>1.3456000000000401</v>
      </c>
      <c r="AF2835">
        <v>3.2715239246764098</v>
      </c>
      <c r="AG2835">
        <v>-1.1090905725911</v>
      </c>
      <c r="AH2835">
        <v>32.4534310944534</v>
      </c>
      <c r="AI2835">
        <v>91.947449595355096</v>
      </c>
      <c r="AJ2835">
        <v>84.243646545311194</v>
      </c>
      <c r="AK2835">
        <v>32.636760569798803</v>
      </c>
      <c r="AL2835">
        <v>89.6023837632046</v>
      </c>
      <c r="AM2835">
        <v>86.156611879314497</v>
      </c>
      <c r="AN2835">
        <v>1.0000000303625001</v>
      </c>
    </row>
    <row r="2836" spans="1:40" x14ac:dyDescent="0.25">
      <c r="A2836" t="str">
        <f>"20190312150718267"</f>
        <v>20190312150718267</v>
      </c>
      <c r="B2836" t="str">
        <f>"1552374438262689"</f>
        <v>1552374438262689</v>
      </c>
      <c r="C2836" t="s">
        <v>40</v>
      </c>
      <c r="D2836">
        <v>4.4610279999999998</v>
      </c>
      <c r="E2836">
        <v>0.51154140000000003</v>
      </c>
      <c r="F2836" t="s">
        <v>67</v>
      </c>
      <c r="G2836">
        <v>-243.4813</v>
      </c>
      <c r="H2836" s="1">
        <v>3.1577599999999998E-7</v>
      </c>
      <c r="I2836">
        <v>283.51339999999999</v>
      </c>
      <c r="J2836">
        <v>-211.20699999999999</v>
      </c>
      <c r="K2836">
        <v>1.1091949999999999</v>
      </c>
      <c r="L2836">
        <v>282.21929999999998</v>
      </c>
      <c r="M2836">
        <v>-0.99832279999999995</v>
      </c>
      <c r="N2836">
        <v>0</v>
      </c>
      <c r="O2836">
        <v>-5.6982129999999999E-2</v>
      </c>
      <c r="P2836">
        <v>-0.99997879999999995</v>
      </c>
      <c r="Q2836">
        <v>-4.6970550000000003E-3</v>
      </c>
      <c r="R2836">
        <v>4.5394889999999999E-3</v>
      </c>
      <c r="S2836">
        <v>-2.99884</v>
      </c>
      <c r="T2836">
        <v>-0.1025969</v>
      </c>
      <c r="U2836">
        <v>0.1191711</v>
      </c>
      <c r="V2836">
        <v>6.1526289999999997E-2</v>
      </c>
      <c r="W2836">
        <v>5.4042719999999999E-3</v>
      </c>
      <c r="X2836">
        <v>0.99809079999999994</v>
      </c>
      <c r="Y2836">
        <v>9.6493709999999996E-2</v>
      </c>
      <c r="Z2836">
        <v>3.5975040000000001E-3</v>
      </c>
      <c r="AA2836">
        <v>0.99532710000000002</v>
      </c>
      <c r="AB2836">
        <v>17</v>
      </c>
      <c r="AC2836">
        <v>-32.274299999999997</v>
      </c>
      <c r="AD2836">
        <v>-1.1091946842239999</v>
      </c>
      <c r="AE2836">
        <v>1.29410000000001</v>
      </c>
      <c r="AF2836">
        <v>3.12746364729573</v>
      </c>
      <c r="AG2836">
        <v>-1.1091946842239999</v>
      </c>
      <c r="AH2836">
        <v>32.110244882729198</v>
      </c>
      <c r="AI2836">
        <v>91.969089919975801</v>
      </c>
      <c r="AJ2836">
        <v>84.437069762697107</v>
      </c>
      <c r="AK2836">
        <v>32.281251031233303</v>
      </c>
      <c r="AL2836">
        <v>89.690356505820901</v>
      </c>
      <c r="AM2836">
        <v>86.472523669107403</v>
      </c>
      <c r="AN2836">
        <v>0.999999967780826</v>
      </c>
    </row>
    <row r="2837" spans="1:40" x14ac:dyDescent="0.25">
      <c r="A2837" t="str">
        <f>"20190312150718280"</f>
        <v>20190312150718280</v>
      </c>
      <c r="B2837" t="str">
        <f>"1552374438273425"</f>
        <v>1552374438273425</v>
      </c>
      <c r="C2837" t="s">
        <v>40</v>
      </c>
      <c r="D2837">
        <v>4.6023079999999998</v>
      </c>
      <c r="E2837">
        <v>0.51151979999999997</v>
      </c>
      <c r="F2837" t="s">
        <v>67</v>
      </c>
      <c r="G2837">
        <v>-241.8442</v>
      </c>
      <c r="H2837" s="1">
        <v>-5.5538439999999996E-7</v>
      </c>
      <c r="I2837">
        <v>283.32319999999999</v>
      </c>
      <c r="J2837">
        <v>-211.31110000000001</v>
      </c>
      <c r="K2837">
        <v>1.1092660000000001</v>
      </c>
      <c r="L2837">
        <v>282.21510000000001</v>
      </c>
      <c r="M2837">
        <v>-0.99840589999999996</v>
      </c>
      <c r="N2837">
        <v>0</v>
      </c>
      <c r="O2837">
        <v>-5.5520659999999999E-2</v>
      </c>
      <c r="P2837">
        <v>-0.99997930000000002</v>
      </c>
      <c r="Q2837">
        <v>-5.6566940000000003E-3</v>
      </c>
      <c r="R2837">
        <v>3.0941599999999999E-3</v>
      </c>
      <c r="S2837">
        <v>-2.999069</v>
      </c>
      <c r="T2837">
        <v>-0.10857890000000001</v>
      </c>
      <c r="U2837">
        <v>0.1080627</v>
      </c>
      <c r="V2837">
        <v>5.8619339999999999E-2</v>
      </c>
      <c r="W2837">
        <v>4.3900509999999998E-3</v>
      </c>
      <c r="X2837">
        <v>0.99827080000000001</v>
      </c>
      <c r="Y2837">
        <v>9.134457E-2</v>
      </c>
      <c r="Z2837">
        <v>3.661054E-3</v>
      </c>
      <c r="AA2837">
        <v>0.99581260000000005</v>
      </c>
      <c r="AB2837">
        <v>17</v>
      </c>
      <c r="AC2837">
        <v>-30.533099999999902</v>
      </c>
      <c r="AD2837">
        <v>-1.1092665553843899</v>
      </c>
      <c r="AE2837">
        <v>1.1080999999999701</v>
      </c>
      <c r="AF2837">
        <v>2.7980077546620601</v>
      </c>
      <c r="AG2837">
        <v>-1.1092665553843899</v>
      </c>
      <c r="AH2837">
        <v>30.384422760267501</v>
      </c>
      <c r="AI2837">
        <v>92.082009485220297</v>
      </c>
      <c r="AJ2837">
        <v>84.738647033435598</v>
      </c>
      <c r="AK2837">
        <v>30.533137181768701</v>
      </c>
      <c r="AL2837">
        <v>89.748467809185598</v>
      </c>
      <c r="AM2837">
        <v>86.639400460934496</v>
      </c>
      <c r="AN2837">
        <v>1.0000000448512201</v>
      </c>
    </row>
    <row r="2838" spans="1:40" x14ac:dyDescent="0.25">
      <c r="A2838" t="str">
        <f>"20190312150718292"</f>
        <v>20190312150718292</v>
      </c>
      <c r="B2838" t="str">
        <f>"1552374438283186"</f>
        <v>1552374438283186</v>
      </c>
      <c r="C2838" t="s">
        <v>40</v>
      </c>
      <c r="D2838">
        <v>4.5045710000000003</v>
      </c>
      <c r="E2838">
        <v>0.5114919</v>
      </c>
      <c r="F2838" t="s">
        <v>67</v>
      </c>
      <c r="G2838">
        <v>-241.23410000000001</v>
      </c>
      <c r="H2838" s="1">
        <v>-8.8004880000000004E-7</v>
      </c>
      <c r="I2838">
        <v>283.24770000000001</v>
      </c>
      <c r="J2838">
        <v>-211.40379999999999</v>
      </c>
      <c r="K2838">
        <v>1.1093249999999999</v>
      </c>
      <c r="L2838">
        <v>282.2115</v>
      </c>
      <c r="M2838">
        <v>-0.99847330000000001</v>
      </c>
      <c r="N2838">
        <v>0</v>
      </c>
      <c r="O2838">
        <v>-5.4309139999999999E-2</v>
      </c>
      <c r="P2838">
        <v>-0.99997590000000003</v>
      </c>
      <c r="Q2838">
        <v>-6.8260369999999897E-3</v>
      </c>
      <c r="R2838">
        <v>1.346442E-3</v>
      </c>
      <c r="S2838">
        <v>-2.9991300000000001</v>
      </c>
      <c r="T2838">
        <v>-0.1111796</v>
      </c>
      <c r="U2838">
        <v>0.1034851</v>
      </c>
      <c r="V2838">
        <v>5.565991E-2</v>
      </c>
      <c r="W2838">
        <v>3.1698329999999999E-3</v>
      </c>
      <c r="X2838">
        <v>0.99844469999999996</v>
      </c>
      <c r="Y2838">
        <v>8.8615150000000004E-2</v>
      </c>
      <c r="Z2838">
        <v>3.6532729999999999E-3</v>
      </c>
      <c r="AA2838">
        <v>0.99605920000000003</v>
      </c>
      <c r="AB2838">
        <v>17</v>
      </c>
      <c r="AC2838">
        <v>-29.830300000000001</v>
      </c>
      <c r="AD2838">
        <v>-1.1093258800488</v>
      </c>
      <c r="AE2838">
        <v>1.0362</v>
      </c>
      <c r="AF2838">
        <v>2.6511488635451701</v>
      </c>
      <c r="AG2838">
        <v>-1.1093258800488</v>
      </c>
      <c r="AH2838">
        <v>29.6889844965993</v>
      </c>
      <c r="AI2838">
        <v>92.131382384702206</v>
      </c>
      <c r="AJ2838">
        <v>84.897171000578894</v>
      </c>
      <c r="AK2838">
        <v>29.827755440933402</v>
      </c>
      <c r="AL2838">
        <v>89.818381633419506</v>
      </c>
      <c r="AM2838">
        <v>86.809256909700196</v>
      </c>
      <c r="AN2838">
        <v>0.99999994619027099</v>
      </c>
    </row>
    <row r="2839" spans="1:40" x14ac:dyDescent="0.25">
      <c r="A2839" t="str">
        <f>"20190312150718307"</f>
        <v>20190312150718307</v>
      </c>
      <c r="B2839" t="str">
        <f>"1552374438302704"</f>
        <v>1552374438302704</v>
      </c>
      <c r="C2839" t="s">
        <v>40</v>
      </c>
      <c r="D2839">
        <v>4.526154</v>
      </c>
      <c r="E2839">
        <v>0.51143159999999999</v>
      </c>
      <c r="F2839" t="s">
        <v>67</v>
      </c>
      <c r="G2839">
        <v>-240.5224</v>
      </c>
      <c r="H2839" s="1">
        <v>-1.2588079999999999E-6</v>
      </c>
      <c r="I2839">
        <v>283.16460000000001</v>
      </c>
      <c r="J2839">
        <v>-211.51320000000001</v>
      </c>
      <c r="K2839">
        <v>1.1093930000000001</v>
      </c>
      <c r="L2839">
        <v>282.20710000000003</v>
      </c>
      <c r="M2839">
        <v>-0.9985465</v>
      </c>
      <c r="N2839">
        <v>0</v>
      </c>
      <c r="O2839">
        <v>-5.295747E-2</v>
      </c>
      <c r="P2839">
        <v>-0.99997400000000003</v>
      </c>
      <c r="Q2839">
        <v>-7.2060079999999999E-3</v>
      </c>
      <c r="R2839">
        <v>1.001406E-4</v>
      </c>
      <c r="S2839">
        <v>-2.999161</v>
      </c>
      <c r="T2839">
        <v>-0.1142587</v>
      </c>
      <c r="U2839">
        <v>9.817505E-2</v>
      </c>
      <c r="V2839">
        <v>5.3062459999999999E-2</v>
      </c>
      <c r="W2839">
        <v>2.7258999999999999E-3</v>
      </c>
      <c r="X2839">
        <v>0.99858749999999996</v>
      </c>
      <c r="Y2839">
        <v>8.5502159999999994E-2</v>
      </c>
      <c r="Z2839">
        <v>3.6437309999999999E-3</v>
      </c>
      <c r="AA2839">
        <v>0.99633130000000003</v>
      </c>
      <c r="AB2839">
        <v>17</v>
      </c>
      <c r="AC2839">
        <v>-29.0092</v>
      </c>
      <c r="AD2839">
        <v>-1.1093942588079999</v>
      </c>
      <c r="AE2839">
        <v>0.95749999999998103</v>
      </c>
      <c r="AF2839">
        <v>2.4888512097031299</v>
      </c>
      <c r="AG2839">
        <v>-1.1093942588079999</v>
      </c>
      <c r="AH2839">
        <v>28.875594936450501</v>
      </c>
      <c r="AI2839">
        <v>92.192090027884802</v>
      </c>
      <c r="AJ2839">
        <v>85.073725585240098</v>
      </c>
      <c r="AK2839">
        <v>29.00388110063</v>
      </c>
      <c r="AL2839">
        <v>89.843817245136506</v>
      </c>
      <c r="AM2839">
        <v>86.958305243168098</v>
      </c>
      <c r="AN2839">
        <v>1.0000000251741501</v>
      </c>
    </row>
    <row r="2840" spans="1:40" x14ac:dyDescent="0.25">
      <c r="A2840" t="str">
        <f>"20190312150718325"</f>
        <v>20190312150718325</v>
      </c>
      <c r="B2840" t="str">
        <f>"1552374438313441"</f>
        <v>1552374438313441</v>
      </c>
      <c r="C2840" t="s">
        <v>40</v>
      </c>
      <c r="D2840">
        <v>4.5187099999999996</v>
      </c>
      <c r="E2840">
        <v>0.51144000000000001</v>
      </c>
      <c r="F2840" t="s">
        <v>67</v>
      </c>
      <c r="G2840">
        <v>-240.64519999999999</v>
      </c>
      <c r="H2840" s="1">
        <v>-1.193465E-6</v>
      </c>
      <c r="I2840">
        <v>283.1189</v>
      </c>
      <c r="J2840">
        <v>-211.6499</v>
      </c>
      <c r="K2840">
        <v>1.1094679999999999</v>
      </c>
      <c r="L2840">
        <v>282.20170000000002</v>
      </c>
      <c r="M2840">
        <v>-0.99862740000000005</v>
      </c>
      <c r="N2840">
        <v>0</v>
      </c>
      <c r="O2840">
        <v>-5.1430480000000001E-2</v>
      </c>
      <c r="P2840">
        <v>-0.99996819999999997</v>
      </c>
      <c r="Q2840">
        <v>-7.4082949999999996E-3</v>
      </c>
      <c r="R2840">
        <v>-3.0268740000000001E-3</v>
      </c>
      <c r="S2840">
        <v>-2.9992679999999998</v>
      </c>
      <c r="T2840">
        <v>-0.114216899999999</v>
      </c>
      <c r="U2840">
        <v>9.3872070000000002E-2</v>
      </c>
      <c r="V2840">
        <v>4.8411429999999998E-2</v>
      </c>
      <c r="W2840">
        <v>2.4417060000000001E-3</v>
      </c>
      <c r="X2840">
        <v>0.9988245</v>
      </c>
      <c r="Y2840">
        <v>8.2552420000000001E-2</v>
      </c>
      <c r="Z2840">
        <v>3.52812E-3</v>
      </c>
      <c r="AA2840">
        <v>0.99658049999999998</v>
      </c>
      <c r="AB2840">
        <v>17</v>
      </c>
      <c r="AC2840">
        <v>-28.995299999999901</v>
      </c>
      <c r="AD2840">
        <v>-1.1094691934649901</v>
      </c>
      <c r="AE2840">
        <v>0.91719999999997903</v>
      </c>
      <c r="AF2840">
        <v>2.4037855743908998</v>
      </c>
      <c r="AG2840">
        <v>-1.1094691934649901</v>
      </c>
      <c r="AH2840">
        <v>28.867525695419801</v>
      </c>
      <c r="AI2840">
        <v>92.193388845182795</v>
      </c>
      <c r="AJ2840">
        <v>85.239988231771306</v>
      </c>
      <c r="AK2840">
        <v>28.988672731855502</v>
      </c>
      <c r="AL2840">
        <v>89.860100413095395</v>
      </c>
      <c r="AM2840">
        <v>87.225136506985905</v>
      </c>
      <c r="AN2840">
        <v>1.0000000051415401</v>
      </c>
    </row>
    <row r="2841" spans="1:40" x14ac:dyDescent="0.25">
      <c r="A2841" t="str">
        <f>"20190312150718339"</f>
        <v>20190312150718339</v>
      </c>
      <c r="B2841" t="str">
        <f>"1552374438332961"</f>
        <v>1552374438332961</v>
      </c>
      <c r="C2841" t="s">
        <v>40</v>
      </c>
      <c r="D2841">
        <v>4.8928269999999996</v>
      </c>
      <c r="E2841">
        <v>0.51132479999999902</v>
      </c>
      <c r="F2841" t="s">
        <v>67</v>
      </c>
      <c r="G2841">
        <v>-240.70240000000001</v>
      </c>
      <c r="H2841" s="1">
        <v>-1.1630149999999999E-6</v>
      </c>
      <c r="I2841">
        <v>283.02109999999999</v>
      </c>
      <c r="J2841">
        <v>-211.7653</v>
      </c>
      <c r="K2841">
        <v>1.109521</v>
      </c>
      <c r="L2841">
        <v>282.19709999999998</v>
      </c>
      <c r="M2841">
        <v>-0.99868630000000003</v>
      </c>
      <c r="N2841">
        <v>0</v>
      </c>
      <c r="O2841">
        <v>-5.0292370000000003E-2</v>
      </c>
      <c r="P2841">
        <v>-0.99996629999999997</v>
      </c>
      <c r="Q2841">
        <v>-7.1907069999999898E-3</v>
      </c>
      <c r="R2841">
        <v>-3.9920149999999998E-3</v>
      </c>
      <c r="S2841">
        <v>-2.9995270000000001</v>
      </c>
      <c r="T2841">
        <v>-0.1145473</v>
      </c>
      <c r="U2841">
        <v>8.4594730000000007E-2</v>
      </c>
      <c r="V2841">
        <v>4.6308549999999997E-2</v>
      </c>
      <c r="W2841">
        <v>2.5852330000000001E-3</v>
      </c>
      <c r="X2841">
        <v>0.99892380000000003</v>
      </c>
      <c r="Y2841">
        <v>7.8336920000000004E-2</v>
      </c>
      <c r="Z2841">
        <v>3.4142729999999998E-3</v>
      </c>
      <c r="AA2841">
        <v>0.9969211</v>
      </c>
      <c r="AB2841">
        <v>17</v>
      </c>
      <c r="AC2841">
        <v>-28.937100000000001</v>
      </c>
      <c r="AD2841">
        <v>-1.1095221630149901</v>
      </c>
      <c r="AE2841">
        <v>0.82400000000001195</v>
      </c>
      <c r="AF2841">
        <v>2.2750007299954</v>
      </c>
      <c r="AG2841">
        <v>-1.1095221630149901</v>
      </c>
      <c r="AH2841">
        <v>28.816704177694</v>
      </c>
      <c r="AI2841">
        <v>92.198122821272904</v>
      </c>
      <c r="AJ2841">
        <v>85.486015951176697</v>
      </c>
      <c r="AK2841">
        <v>28.927652988385098</v>
      </c>
      <c r="AL2841">
        <v>89.851876889376399</v>
      </c>
      <c r="AM2841">
        <v>87.345757315504699</v>
      </c>
      <c r="AN2841">
        <v>0.99999996171960204</v>
      </c>
    </row>
    <row r="2842" spans="1:40" x14ac:dyDescent="0.25">
      <c r="A2842" t="str">
        <f>"20190312150718357"</f>
        <v>20190312150718357</v>
      </c>
      <c r="B2842" t="str">
        <f>"1552374438353457"</f>
        <v>1552374438353457</v>
      </c>
      <c r="C2842" t="s">
        <v>40</v>
      </c>
      <c r="D2842">
        <v>4.6175030000000001</v>
      </c>
      <c r="E2842">
        <v>0.4943979</v>
      </c>
      <c r="F2842" t="s">
        <v>67</v>
      </c>
      <c r="G2842">
        <v>-241.0531</v>
      </c>
      <c r="H2842" s="1">
        <v>-9.7635349999999997E-7</v>
      </c>
      <c r="I2842">
        <v>282.9837</v>
      </c>
      <c r="J2842">
        <v>-211.89519999999999</v>
      </c>
      <c r="K2842">
        <v>1.1095710000000001</v>
      </c>
      <c r="L2842">
        <v>282.19189999999998</v>
      </c>
      <c r="M2842">
        <v>-0.99874560000000001</v>
      </c>
      <c r="N2842">
        <v>0</v>
      </c>
      <c r="O2842">
        <v>-4.9117340000000002E-2</v>
      </c>
      <c r="P2842">
        <v>-0.99995599999999996</v>
      </c>
      <c r="Q2842">
        <v>-6.2838429999999999E-3</v>
      </c>
      <c r="R2842">
        <v>-6.9798359999999997E-3</v>
      </c>
      <c r="S2842">
        <v>-2.999619</v>
      </c>
      <c r="T2842">
        <v>-0.1136356</v>
      </c>
      <c r="U2842">
        <v>8.0566410000000005E-2</v>
      </c>
      <c r="V2842">
        <v>4.2148970000000001E-2</v>
      </c>
      <c r="W2842">
        <v>3.4092039999999999E-3</v>
      </c>
      <c r="X2842">
        <v>0.99910549999999998</v>
      </c>
      <c r="Y2842">
        <v>7.5829190000000005E-2</v>
      </c>
      <c r="Z2842">
        <v>3.295119E-3</v>
      </c>
      <c r="AA2842">
        <v>0.99711539999999999</v>
      </c>
      <c r="AB2842">
        <v>17</v>
      </c>
      <c r="AC2842">
        <v>-29.157900000000001</v>
      </c>
      <c r="AD2842">
        <v>-1.1095719763534999</v>
      </c>
      <c r="AE2842">
        <v>0.79180000000002304</v>
      </c>
      <c r="AF2842">
        <v>2.2198583263407801</v>
      </c>
      <c r="AG2842">
        <v>-1.1095719763534999</v>
      </c>
      <c r="AH2842">
        <v>29.041786153216901</v>
      </c>
      <c r="AI2842">
        <v>92.181623628578805</v>
      </c>
      <c r="AJ2842">
        <v>85.628999032475505</v>
      </c>
      <c r="AK2842">
        <v>29.147628787414501</v>
      </c>
      <c r="AL2842">
        <v>89.804666616861297</v>
      </c>
      <c r="AM2842">
        <v>87.584312195811904</v>
      </c>
      <c r="AN2842">
        <v>0.99999997923711204</v>
      </c>
    </row>
    <row r="2843" spans="1:40" x14ac:dyDescent="0.25">
      <c r="A2843" t="str">
        <f>"20190312150718370"</f>
        <v>20190312150718370</v>
      </c>
      <c r="B2843" t="str">
        <f>"1552374438363217"</f>
        <v>1552374438363217</v>
      </c>
      <c r="C2843" t="s">
        <v>40</v>
      </c>
      <c r="D2843">
        <v>4.6178369999999997</v>
      </c>
      <c r="E2843">
        <v>0.49400709999999998</v>
      </c>
      <c r="F2843" t="s">
        <v>67</v>
      </c>
      <c r="G2843">
        <v>-237.8862</v>
      </c>
      <c r="H2843" s="1">
        <v>2.7896029999999998E-6</v>
      </c>
      <c r="I2843">
        <v>281.6481</v>
      </c>
      <c r="J2843">
        <v>-212.00139999999999</v>
      </c>
      <c r="K2843">
        <v>1.109604</v>
      </c>
      <c r="L2843">
        <v>282.18779999999998</v>
      </c>
      <c r="M2843">
        <v>-0.99878900000000004</v>
      </c>
      <c r="N2843">
        <v>0</v>
      </c>
      <c r="O2843">
        <v>-4.8242010000000002E-2</v>
      </c>
      <c r="P2843">
        <v>-0.99994760000000005</v>
      </c>
      <c r="Q2843">
        <v>-6.076896E-3</v>
      </c>
      <c r="R2843">
        <v>-8.2557840000000004E-3</v>
      </c>
      <c r="S2843">
        <v>-2.9988860000000002</v>
      </c>
      <c r="T2843">
        <v>-0.1280239</v>
      </c>
      <c r="U2843">
        <v>-6.2744140000000004E-2</v>
      </c>
      <c r="V2843">
        <v>3.9998239999999997E-2</v>
      </c>
      <c r="W2843">
        <v>3.544625E-3</v>
      </c>
      <c r="X2843">
        <v>0.99919349999999996</v>
      </c>
      <c r="Y2843">
        <v>2.7271449999999999E-2</v>
      </c>
      <c r="Z2843">
        <v>2.6393359999999999E-3</v>
      </c>
      <c r="AA2843">
        <v>0.99962459999999997</v>
      </c>
      <c r="AB2843">
        <v>17</v>
      </c>
      <c r="AC2843">
        <v>-25.884799999999998</v>
      </c>
      <c r="AD2843">
        <v>-1.1096012103970001</v>
      </c>
      <c r="AE2843">
        <v>-0.53969999999998197</v>
      </c>
      <c r="AF2843">
        <v>0.70842023874345905</v>
      </c>
      <c r="AG2843">
        <v>-1.1096012103970001</v>
      </c>
      <c r="AH2843">
        <v>25.833246524819899</v>
      </c>
      <c r="AI2843">
        <v>92.458559172392498</v>
      </c>
      <c r="AJ2843">
        <v>88.429182341601802</v>
      </c>
      <c r="AK2843">
        <v>25.866768257609898</v>
      </c>
      <c r="AL2843">
        <v>89.796907529769499</v>
      </c>
      <c r="AM2843">
        <v>87.707643821522694</v>
      </c>
      <c r="AN2843">
        <v>1.0000000370058599</v>
      </c>
    </row>
    <row r="2844" spans="1:40" x14ac:dyDescent="0.25">
      <c r="A2844" t="str">
        <f>"20190312150718382"</f>
        <v>20190312150718382</v>
      </c>
      <c r="B2844" t="str">
        <f>"1552374438372977"</f>
        <v>1552374438372977</v>
      </c>
      <c r="C2844" t="s">
        <v>40</v>
      </c>
      <c r="D2844">
        <v>4.6389659999999999</v>
      </c>
      <c r="E2844">
        <v>0.49374689999999999</v>
      </c>
      <c r="F2844" t="s">
        <v>67</v>
      </c>
      <c r="G2844">
        <v>-237.27760000000001</v>
      </c>
      <c r="H2844" s="1">
        <v>2.4677710000000002E-6</v>
      </c>
      <c r="I2844">
        <v>281.60180000000003</v>
      </c>
      <c r="J2844">
        <v>-212.1009</v>
      </c>
      <c r="K2844">
        <v>1.109632</v>
      </c>
      <c r="L2844">
        <v>282.18380000000002</v>
      </c>
      <c r="M2844">
        <v>-0.99882590000000004</v>
      </c>
      <c r="N2844">
        <v>0</v>
      </c>
      <c r="O2844">
        <v>-4.748691E-2</v>
      </c>
      <c r="P2844">
        <v>-0.99993529999999997</v>
      </c>
      <c r="Q2844">
        <v>-5.8997449999999996E-3</v>
      </c>
      <c r="R2844">
        <v>-9.7124849999999999E-3</v>
      </c>
      <c r="S2844">
        <v>-2.9987949999999999</v>
      </c>
      <c r="T2844">
        <v>-0.13164400000000001</v>
      </c>
      <c r="U2844">
        <v>-6.9519040000000004E-2</v>
      </c>
      <c r="V2844">
        <v>3.7786800000000002E-2</v>
      </c>
      <c r="W2844">
        <v>3.6538199999999999E-3</v>
      </c>
      <c r="X2844">
        <v>0.99927909999999998</v>
      </c>
      <c r="Y2844">
        <v>2.425737E-2</v>
      </c>
      <c r="Z2844">
        <v>2.614674E-3</v>
      </c>
      <c r="AA2844">
        <v>0.99970230000000004</v>
      </c>
      <c r="AB2844">
        <v>17</v>
      </c>
      <c r="AC2844">
        <v>-25.1767</v>
      </c>
      <c r="AD2844">
        <v>-1.109629532229</v>
      </c>
      <c r="AE2844">
        <v>-0.58199999999999297</v>
      </c>
      <c r="AF2844">
        <v>0.61308493939965902</v>
      </c>
      <c r="AG2844">
        <v>-1.109629532229</v>
      </c>
      <c r="AH2844">
        <v>25.127150081649901</v>
      </c>
      <c r="AI2844">
        <v>92.527820679152995</v>
      </c>
      <c r="AJ2844">
        <v>88.602300253790801</v>
      </c>
      <c r="AK2844">
        <v>25.159110120739001</v>
      </c>
      <c r="AL2844">
        <v>89.790651059907802</v>
      </c>
      <c r="AM2844">
        <v>87.834445731146999</v>
      </c>
      <c r="AN2844">
        <v>0.99999995617582005</v>
      </c>
    </row>
    <row r="2845" spans="1:40" x14ac:dyDescent="0.25">
      <c r="A2845" t="str">
        <f>"20190312150718403"</f>
        <v>20190312150718403</v>
      </c>
      <c r="B2845" t="str">
        <f>"1552374438393478"</f>
        <v>1552374438393478</v>
      </c>
      <c r="C2845" t="s">
        <v>40</v>
      </c>
      <c r="D2845">
        <v>4.834308</v>
      </c>
      <c r="E2845">
        <v>0.49477109999999902</v>
      </c>
      <c r="F2845" t="s">
        <v>67</v>
      </c>
      <c r="G2845">
        <v>-237.40889999999999</v>
      </c>
      <c r="H2845" s="1">
        <v>2.5402959999999999E-6</v>
      </c>
      <c r="I2845">
        <v>281.54050000000001</v>
      </c>
      <c r="J2845">
        <v>-212.25739999999999</v>
      </c>
      <c r="K2845">
        <v>1.109664</v>
      </c>
      <c r="L2845">
        <v>282.17770000000002</v>
      </c>
      <c r="M2845">
        <v>-0.99887599999999999</v>
      </c>
      <c r="N2845">
        <v>0</v>
      </c>
      <c r="O2845">
        <v>-4.6447240000000001E-2</v>
      </c>
      <c r="P2845">
        <v>-0.99990179999999995</v>
      </c>
      <c r="Q2845">
        <v>-4.860451E-3</v>
      </c>
      <c r="R2845">
        <v>-1.314537E-2</v>
      </c>
      <c r="S2845">
        <v>-2.998688</v>
      </c>
      <c r="T2845">
        <v>-0.1314775</v>
      </c>
      <c r="U2845">
        <v>-7.6232910000000001E-2</v>
      </c>
      <c r="V2845">
        <v>3.3315740000000003E-2</v>
      </c>
      <c r="W2845">
        <v>4.5769690000000002E-3</v>
      </c>
      <c r="X2845">
        <v>0.99943439999999995</v>
      </c>
      <c r="Y2845">
        <v>2.0983169999999999E-2</v>
      </c>
      <c r="Z2845">
        <v>2.494123E-3</v>
      </c>
      <c r="AA2845">
        <v>0.99977669999999996</v>
      </c>
      <c r="AB2845">
        <v>17</v>
      </c>
      <c r="AC2845">
        <v>-25.151499999999999</v>
      </c>
      <c r="AD2845">
        <v>-1.109661459704</v>
      </c>
      <c r="AE2845">
        <v>-0.63720000000000698</v>
      </c>
      <c r="AF2845">
        <v>0.53072534579947395</v>
      </c>
      <c r="AG2845">
        <v>-1.109661459704</v>
      </c>
      <c r="AH2845">
        <v>25.105114555061899</v>
      </c>
      <c r="AI2845">
        <v>92.530296671080393</v>
      </c>
      <c r="AJ2845">
        <v>88.788940250995196</v>
      </c>
      <c r="AK2845">
        <v>25.135230151534401</v>
      </c>
      <c r="AL2845">
        <v>89.737758078658501</v>
      </c>
      <c r="AM2845">
        <v>88.090775413639506</v>
      </c>
      <c r="AN2845">
        <v>1.0000000035401599</v>
      </c>
    </row>
    <row r="2846" spans="1:40" x14ac:dyDescent="0.25">
      <c r="A2846" t="str">
        <f>"20190312150718417"</f>
        <v>20190312150718417</v>
      </c>
      <c r="B2846" t="str">
        <f>"1552374438412993"</f>
        <v>1552374438412993</v>
      </c>
      <c r="C2846" t="s">
        <v>40</v>
      </c>
      <c r="D2846">
        <v>4.8479219999999996</v>
      </c>
      <c r="E2846">
        <v>0.49516640000000001</v>
      </c>
      <c r="F2846" t="s">
        <v>67</v>
      </c>
      <c r="G2846">
        <v>-243.17189999999999</v>
      </c>
      <c r="H2846" s="1">
        <v>1.5113200000000001E-7</v>
      </c>
      <c r="I2846">
        <v>281.3657</v>
      </c>
      <c r="J2846">
        <v>-212.3673</v>
      </c>
      <c r="K2846">
        <v>1.1096900000000001</v>
      </c>
      <c r="L2846">
        <v>282.17329999999998</v>
      </c>
      <c r="M2846">
        <v>-0.99890610000000002</v>
      </c>
      <c r="N2846">
        <v>0</v>
      </c>
      <c r="O2846">
        <v>-4.5816629999999997E-2</v>
      </c>
      <c r="P2846">
        <v>-0.99987919999999997</v>
      </c>
      <c r="Q2846">
        <v>-4.1023889999999997E-3</v>
      </c>
      <c r="R2846">
        <v>-1.500168E-2</v>
      </c>
      <c r="S2846">
        <v>-2.9987339999999998</v>
      </c>
      <c r="T2846">
        <v>-0.1076385</v>
      </c>
      <c r="U2846">
        <v>-7.8765870000000002E-2</v>
      </c>
      <c r="V2846">
        <v>3.0829530000000001E-2</v>
      </c>
      <c r="W2846">
        <v>5.2469179999999997E-3</v>
      </c>
      <c r="X2846">
        <v>0.99951089999999998</v>
      </c>
      <c r="Y2846">
        <v>1.9531070000000001E-2</v>
      </c>
      <c r="Z2846">
        <v>1.9935090000000001E-3</v>
      </c>
      <c r="AA2846">
        <v>0.99980720000000001</v>
      </c>
      <c r="AB2846">
        <v>17</v>
      </c>
      <c r="AC2846">
        <v>-30.804599999999901</v>
      </c>
      <c r="AD2846">
        <v>-1.109689848868</v>
      </c>
      <c r="AE2846">
        <v>-0.807599999999979</v>
      </c>
      <c r="AF2846">
        <v>0.60388970555735799</v>
      </c>
      <c r="AG2846">
        <v>-1.109689848868</v>
      </c>
      <c r="AH2846">
        <v>30.769349610336999</v>
      </c>
      <c r="AI2846">
        <v>92.065067201892404</v>
      </c>
      <c r="AJ2846">
        <v>88.875637922795804</v>
      </c>
      <c r="AK2846">
        <v>30.795275121036099</v>
      </c>
      <c r="AL2846">
        <v>89.699372368153007</v>
      </c>
      <c r="AM2846">
        <v>88.233293810331404</v>
      </c>
      <c r="AN2846">
        <v>1.0000000146436601</v>
      </c>
    </row>
    <row r="2847" spans="1:40" x14ac:dyDescent="0.25">
      <c r="A2847" t="str">
        <f>"20190312150718435"</f>
        <v>20190312150718435</v>
      </c>
      <c r="B2847" t="str">
        <f>"1552374438422753"</f>
        <v>1552374438422753</v>
      </c>
      <c r="C2847" t="s">
        <v>40</v>
      </c>
      <c r="D2847">
        <v>5.0392239999999999</v>
      </c>
      <c r="E2847">
        <v>0.49485299999999999</v>
      </c>
      <c r="F2847" t="s">
        <v>67</v>
      </c>
      <c r="G2847">
        <v>-244.63079999999999</v>
      </c>
      <c r="H2847" s="1">
        <v>9.275049E-7</v>
      </c>
      <c r="I2847">
        <v>281.29930000000002</v>
      </c>
      <c r="J2847">
        <v>-212.51220000000001</v>
      </c>
      <c r="K2847">
        <v>1.10972</v>
      </c>
      <c r="L2847">
        <v>282.16759999999999</v>
      </c>
      <c r="M2847">
        <v>-0.99894110000000003</v>
      </c>
      <c r="N2847">
        <v>0</v>
      </c>
      <c r="O2847">
        <v>-4.506988E-2</v>
      </c>
      <c r="P2847">
        <v>-0.9998146</v>
      </c>
      <c r="Q2847">
        <v>-3.1083690000000001E-3</v>
      </c>
      <c r="R2847">
        <v>-1.900816E-2</v>
      </c>
      <c r="S2847">
        <v>-2.998688</v>
      </c>
      <c r="T2847">
        <v>-0.1031386</v>
      </c>
      <c r="U2847">
        <v>-8.1237790000000004E-2</v>
      </c>
      <c r="V2847">
        <v>2.6076599999999998E-2</v>
      </c>
      <c r="W2847">
        <v>6.1195149999999999E-3</v>
      </c>
      <c r="X2847">
        <v>0.99964120000000001</v>
      </c>
      <c r="Y2847">
        <v>1.7964399999999998E-2</v>
      </c>
      <c r="Z2847">
        <v>1.8576440000000001E-3</v>
      </c>
      <c r="AA2847">
        <v>0.99983690000000003</v>
      </c>
      <c r="AB2847">
        <v>17</v>
      </c>
      <c r="AC2847">
        <v>-32.118599999999901</v>
      </c>
      <c r="AD2847">
        <v>-1.1097190724951</v>
      </c>
      <c r="AE2847">
        <v>-0.86829999999997598</v>
      </c>
      <c r="AF2847">
        <v>0.57953434925612901</v>
      </c>
      <c r="AG2847">
        <v>-1.1097190724951</v>
      </c>
      <c r="AH2847">
        <v>32.086819692023703</v>
      </c>
      <c r="AI2847">
        <v>91.9804558914648</v>
      </c>
      <c r="AJ2847">
        <v>88.965267899127099</v>
      </c>
      <c r="AK2847">
        <v>32.111233773093602</v>
      </c>
      <c r="AL2847">
        <v>89.649375423504296</v>
      </c>
      <c r="AM2847">
        <v>88.505723486874999</v>
      </c>
      <c r="AN2847">
        <v>0.99999998313441696</v>
      </c>
    </row>
    <row r="2848" spans="1:40" x14ac:dyDescent="0.25">
      <c r="A2848" t="str">
        <f>"20190312150718450"</f>
        <v>20190312150718450</v>
      </c>
      <c r="B2848" t="str">
        <f>"1552374438443249"</f>
        <v>1552374438443249</v>
      </c>
      <c r="C2848" t="s">
        <v>40</v>
      </c>
      <c r="D2848">
        <v>4.6671100000000001</v>
      </c>
      <c r="E2848">
        <v>0.49492079999999999</v>
      </c>
      <c r="F2848" t="s">
        <v>67</v>
      </c>
      <c r="G2848">
        <v>-245.52420000000001</v>
      </c>
      <c r="H2848" s="1">
        <v>1.4029130000000001E-6</v>
      </c>
      <c r="I2848">
        <v>281.11160000000001</v>
      </c>
      <c r="J2848">
        <v>-212.62020000000001</v>
      </c>
      <c r="K2848">
        <v>1.1097360000000001</v>
      </c>
      <c r="L2848">
        <v>282.16329999999999</v>
      </c>
      <c r="M2848">
        <v>-0.99896430000000003</v>
      </c>
      <c r="N2848">
        <v>0</v>
      </c>
      <c r="O2848">
        <v>-4.4574269999999999E-2</v>
      </c>
      <c r="P2848">
        <v>-0.99977939999999998</v>
      </c>
      <c r="Q2848">
        <v>-2.4969620000000001E-3</v>
      </c>
      <c r="R2848">
        <v>-2.0869180000000001E-2</v>
      </c>
      <c r="S2848">
        <v>-2.998383</v>
      </c>
      <c r="T2848">
        <v>-0.1007923</v>
      </c>
      <c r="U2848">
        <v>-9.5916749999999995E-2</v>
      </c>
      <c r="V2848">
        <v>2.3719500000000001E-2</v>
      </c>
      <c r="W2848">
        <v>6.6359189999999997E-3</v>
      </c>
      <c r="X2848">
        <v>0.99969660000000005</v>
      </c>
      <c r="Y2848">
        <v>1.2579750000000001E-2</v>
      </c>
      <c r="Z2848">
        <v>1.7083300000000001E-3</v>
      </c>
      <c r="AA2848">
        <v>0.99991940000000001</v>
      </c>
      <c r="AB2848">
        <v>17</v>
      </c>
      <c r="AC2848">
        <v>-32.904000000000003</v>
      </c>
      <c r="AD2848">
        <v>-1.1097345970870001</v>
      </c>
      <c r="AE2848">
        <v>-1.0516999999999801</v>
      </c>
      <c r="AF2848">
        <v>0.41560613142460101</v>
      </c>
      <c r="AG2848">
        <v>-1.1097345970870001</v>
      </c>
      <c r="AH2848">
        <v>32.880810976464801</v>
      </c>
      <c r="AI2848">
        <v>91.9328571469797</v>
      </c>
      <c r="AJ2848">
        <v>89.275832664721705</v>
      </c>
      <c r="AK2848">
        <v>32.902157525038596</v>
      </c>
      <c r="AL2848">
        <v>89.619787046604401</v>
      </c>
      <c r="AM2848">
        <v>88.640815319385794</v>
      </c>
      <c r="AN2848">
        <v>0.99999997107639105</v>
      </c>
    </row>
    <row r="2849" spans="1:40" x14ac:dyDescent="0.25">
      <c r="A2849" t="str">
        <f>"20190312150718470"</f>
        <v>20190312150718470</v>
      </c>
      <c r="B2849" t="str">
        <f>"1552374438462770"</f>
        <v>1552374438462770</v>
      </c>
      <c r="C2849" t="s">
        <v>40</v>
      </c>
      <c r="D2849">
        <v>4.6086530000000003</v>
      </c>
      <c r="E2849">
        <v>0.49499470000000001</v>
      </c>
      <c r="F2849" t="s">
        <v>67</v>
      </c>
      <c r="G2849">
        <v>-245.4462</v>
      </c>
      <c r="H2849" s="1">
        <v>1.3614260000000001E-6</v>
      </c>
      <c r="I2849">
        <v>281.06040000000002</v>
      </c>
      <c r="J2849">
        <v>-212.78139999999999</v>
      </c>
      <c r="K2849">
        <v>1.1097600000000001</v>
      </c>
      <c r="L2849">
        <v>282.15690000000001</v>
      </c>
      <c r="M2849">
        <v>-0.99899400000000005</v>
      </c>
      <c r="N2849">
        <v>0</v>
      </c>
      <c r="O2849">
        <v>-4.3932970000000002E-2</v>
      </c>
      <c r="P2849">
        <v>-0.99970510000000001</v>
      </c>
      <c r="Q2849">
        <v>-1.764247E-3</v>
      </c>
      <c r="R2849">
        <v>-2.4222009999999999E-2</v>
      </c>
      <c r="S2849">
        <v>-2.9983059999999999</v>
      </c>
      <c r="T2849">
        <v>-0.10136249999999999</v>
      </c>
      <c r="U2849">
        <v>-0.10073849999999999</v>
      </c>
      <c r="V2849">
        <v>1.972407E-2</v>
      </c>
      <c r="W2849">
        <v>7.2214619999999997E-3</v>
      </c>
      <c r="X2849">
        <v>0.99977939999999998</v>
      </c>
      <c r="Y2849">
        <v>1.033192E-2</v>
      </c>
      <c r="Z2849">
        <v>1.65835299999999E-3</v>
      </c>
      <c r="AA2849">
        <v>0.99994519999999998</v>
      </c>
      <c r="AB2849">
        <v>18</v>
      </c>
      <c r="AC2849">
        <v>-32.6648</v>
      </c>
      <c r="AD2849">
        <v>-1.1097586385739999</v>
      </c>
      <c r="AE2849">
        <v>-1.09649999999999</v>
      </c>
      <c r="AF2849">
        <v>0.33928731564187697</v>
      </c>
      <c r="AG2849">
        <v>-1.1097586385739999</v>
      </c>
      <c r="AH2849">
        <v>32.643796963099298</v>
      </c>
      <c r="AI2849">
        <v>91.946972579780805</v>
      </c>
      <c r="AJ2849">
        <v>89.404510716443497</v>
      </c>
      <c r="AK2849">
        <v>32.664417341910301</v>
      </c>
      <c r="AL2849">
        <v>89.586237116855699</v>
      </c>
      <c r="AM2849">
        <v>88.869791292330504</v>
      </c>
      <c r="AN2849">
        <v>1.0000000185575699</v>
      </c>
    </row>
    <row r="2850" spans="1:40" x14ac:dyDescent="0.25">
      <c r="A2850" t="str">
        <f>"20190312150718485"</f>
        <v>20190312150718485</v>
      </c>
      <c r="B2850" t="str">
        <f>"1552374438472530"</f>
        <v>1552374438472530</v>
      </c>
      <c r="C2850" t="s">
        <v>40</v>
      </c>
      <c r="D2850">
        <v>4.752529</v>
      </c>
      <c r="E2850">
        <v>0.49508429999999998</v>
      </c>
      <c r="F2850" t="s">
        <v>67</v>
      </c>
      <c r="G2850">
        <v>-245.49109999999999</v>
      </c>
      <c r="H2850" s="1">
        <v>1.3852830000000001E-6</v>
      </c>
      <c r="I2850">
        <v>280.95319999999998</v>
      </c>
      <c r="J2850">
        <v>-212.898</v>
      </c>
      <c r="K2850">
        <v>1.1097699999999999</v>
      </c>
      <c r="L2850">
        <v>282.15230000000003</v>
      </c>
      <c r="M2850">
        <v>-0.99901300000000004</v>
      </c>
      <c r="N2850">
        <v>0</v>
      </c>
      <c r="O2850">
        <v>-4.3523510000000001E-2</v>
      </c>
      <c r="P2850">
        <v>-0.99967430000000002</v>
      </c>
      <c r="Q2850">
        <v>-1.3276760000000001E-3</v>
      </c>
      <c r="R2850">
        <v>-2.5495670000000002E-2</v>
      </c>
      <c r="S2850">
        <v>-2.9980319999999998</v>
      </c>
      <c r="T2850">
        <v>-0.10171570000000001</v>
      </c>
      <c r="U2850">
        <v>-0.110321</v>
      </c>
      <c r="V2850">
        <v>1.8040279999999999E-2</v>
      </c>
      <c r="W2850">
        <v>7.5476090000000003E-3</v>
      </c>
      <c r="X2850">
        <v>0.99980880000000005</v>
      </c>
      <c r="Y2850">
        <v>6.7288469999999996E-3</v>
      </c>
      <c r="Z2850">
        <v>1.5892079999999999E-3</v>
      </c>
      <c r="AA2850">
        <v>0.99997610000000003</v>
      </c>
      <c r="AB2850">
        <v>18</v>
      </c>
      <c r="AC2850">
        <v>-32.5930999999999</v>
      </c>
      <c r="AD2850">
        <v>-1.1097686147170001</v>
      </c>
      <c r="AE2850">
        <v>-1.19910000000004</v>
      </c>
      <c r="AF2850">
        <v>0.220403133473074</v>
      </c>
      <c r="AG2850">
        <v>-1.1097686147170001</v>
      </c>
      <c r="AH2850">
        <v>32.576686897953302</v>
      </c>
      <c r="AI2850">
        <v>91.951058573674899</v>
      </c>
      <c r="AJ2850">
        <v>89.612361542398403</v>
      </c>
      <c r="AK2850">
        <v>32.596329443155703</v>
      </c>
      <c r="AL2850">
        <v>89.567549764782399</v>
      </c>
      <c r="AM2850">
        <v>88.966282601404103</v>
      </c>
      <c r="AN2850">
        <v>1.0000000273307601</v>
      </c>
    </row>
    <row r="2851" spans="1:40" x14ac:dyDescent="0.25">
      <c r="A2851" t="str">
        <f>"20190312150718503"</f>
        <v>20190312150718503</v>
      </c>
      <c r="B2851" t="str">
        <f>"1552374438493302"</f>
        <v>1552374438493302</v>
      </c>
      <c r="C2851" t="s">
        <v>40</v>
      </c>
      <c r="D2851">
        <v>4.6988300000000001</v>
      </c>
      <c r="E2851">
        <v>0.49496630000000003</v>
      </c>
      <c r="F2851" t="s">
        <v>67</v>
      </c>
      <c r="G2851">
        <v>-244.9247</v>
      </c>
      <c r="H2851" s="1">
        <v>1.0839009999999999E-6</v>
      </c>
      <c r="I2851">
        <v>280.94049999999999</v>
      </c>
      <c r="J2851">
        <v>-213.04650000000001</v>
      </c>
      <c r="K2851">
        <v>1.1097680000000001</v>
      </c>
      <c r="L2851">
        <v>282.1463</v>
      </c>
      <c r="M2851">
        <v>-0.99903330000000001</v>
      </c>
      <c r="N2851">
        <v>0</v>
      </c>
      <c r="O2851">
        <v>-4.3081809999999998E-2</v>
      </c>
      <c r="P2851">
        <v>-0.99960329999999997</v>
      </c>
      <c r="Q2851">
        <v>-1.237344E-3</v>
      </c>
      <c r="R2851">
        <v>-2.814111E-2</v>
      </c>
      <c r="S2851">
        <v>-2.9979399999999998</v>
      </c>
      <c r="T2851">
        <v>-0.10388269999999999</v>
      </c>
      <c r="U2851">
        <v>-0.1134338</v>
      </c>
      <c r="V2851">
        <v>1.4951600000000001E-2</v>
      </c>
      <c r="W2851">
        <v>7.495636E-3</v>
      </c>
      <c r="X2851">
        <v>0.99986010000000003</v>
      </c>
      <c r="Y2851">
        <v>5.2486089999999996E-3</v>
      </c>
      <c r="Z2851">
        <v>1.5821450000000001E-3</v>
      </c>
      <c r="AA2851">
        <v>0.99998500000000001</v>
      </c>
      <c r="AB2851">
        <v>18</v>
      </c>
      <c r="AC2851">
        <v>-31.8782</v>
      </c>
      <c r="AD2851">
        <v>-1.109766916099</v>
      </c>
      <c r="AE2851">
        <v>-1.20580000000001</v>
      </c>
      <c r="AF2851">
        <v>0.16853868591750801</v>
      </c>
      <c r="AG2851">
        <v>-1.109766916099</v>
      </c>
      <c r="AH2851">
        <v>31.861991189084499</v>
      </c>
      <c r="AI2851">
        <v>91.994802443484403</v>
      </c>
      <c r="AJ2851">
        <v>89.6969283787911</v>
      </c>
      <c r="AK2851">
        <v>31.881757643361201</v>
      </c>
      <c r="AL2851">
        <v>89.570527660974406</v>
      </c>
      <c r="AM2851">
        <v>89.143280413073299</v>
      </c>
      <c r="AN2851">
        <v>0.999999977236807</v>
      </c>
    </row>
    <row r="2852" spans="1:40" x14ac:dyDescent="0.25">
      <c r="A2852" t="str">
        <f>"20190312150718526"</f>
        <v>20190312150718526</v>
      </c>
      <c r="B2852" t="str">
        <f>"1552374438522579"</f>
        <v>1552374438522579</v>
      </c>
      <c r="C2852" t="s">
        <v>40</v>
      </c>
      <c r="D2852">
        <v>4.8251850000000003</v>
      </c>
      <c r="E2852">
        <v>0.49481720000000001</v>
      </c>
      <c r="F2852" t="s">
        <v>67</v>
      </c>
      <c r="G2852">
        <v>-244.1926</v>
      </c>
      <c r="H2852" s="1">
        <v>6.9431119999999898E-7</v>
      </c>
      <c r="I2852">
        <v>280.87479999999999</v>
      </c>
      <c r="J2852">
        <v>-213.22739999999999</v>
      </c>
      <c r="K2852">
        <v>1.1097619999999999</v>
      </c>
      <c r="L2852">
        <v>282.13900000000001</v>
      </c>
      <c r="M2852">
        <v>-0.99905409999999994</v>
      </c>
      <c r="N2852">
        <v>0</v>
      </c>
      <c r="O2852">
        <v>-4.2633850000000001E-2</v>
      </c>
      <c r="P2852">
        <v>-0.9995387</v>
      </c>
      <c r="Q2852">
        <v>-9.377869E-4</v>
      </c>
      <c r="R2852">
        <v>-3.0355259999999998E-2</v>
      </c>
      <c r="S2852">
        <v>-2.99762</v>
      </c>
      <c r="T2852">
        <v>-0.10680820000000001</v>
      </c>
      <c r="U2852">
        <v>-0.1223755</v>
      </c>
      <c r="V2852">
        <v>1.2287879999999999E-2</v>
      </c>
      <c r="W2852">
        <v>7.6243780000000002E-3</v>
      </c>
      <c r="X2852">
        <v>0.99989550000000005</v>
      </c>
      <c r="Y2852">
        <v>1.818641E-3</v>
      </c>
      <c r="Z2852">
        <v>1.54973E-3</v>
      </c>
      <c r="AA2852">
        <v>0.99999709999999997</v>
      </c>
      <c r="AB2852">
        <v>18</v>
      </c>
      <c r="AC2852">
        <v>-30.965199999999999</v>
      </c>
      <c r="AD2852">
        <v>-1.1097613056888</v>
      </c>
      <c r="AE2852">
        <v>-1.26420000000001</v>
      </c>
      <c r="AF2852">
        <v>5.70903860022378E-2</v>
      </c>
      <c r="AG2852">
        <v>-1.1097613056888</v>
      </c>
      <c r="AH2852">
        <v>30.951254298974199</v>
      </c>
      <c r="AI2852">
        <v>92.053464570604206</v>
      </c>
      <c r="AJ2852">
        <v>89.894316578337794</v>
      </c>
      <c r="AK2852">
        <v>30.9711958462624</v>
      </c>
      <c r="AL2852">
        <v>89.5631511159784</v>
      </c>
      <c r="AM2852">
        <v>89.295918199470194</v>
      </c>
      <c r="AN2852">
        <v>1.00000006702751</v>
      </c>
    </row>
    <row r="2853" spans="1:40" x14ac:dyDescent="0.25">
      <c r="A2853" t="str">
        <f>"20190312150718547"</f>
        <v>20190312150718547</v>
      </c>
      <c r="B2853" t="str">
        <f>"1552374438543075"</f>
        <v>1552374438543075</v>
      </c>
      <c r="C2853" t="s">
        <v>40</v>
      </c>
      <c r="D2853">
        <v>4.8875039999999998</v>
      </c>
      <c r="E2853">
        <v>0.49496109999999999</v>
      </c>
      <c r="F2853" t="s">
        <v>67</v>
      </c>
      <c r="G2853">
        <v>-244.41130000000001</v>
      </c>
      <c r="H2853" s="1">
        <v>8.1067960000000004E-7</v>
      </c>
      <c r="I2853">
        <v>280.7842</v>
      </c>
      <c r="J2853">
        <v>-213.39830000000001</v>
      </c>
      <c r="K2853">
        <v>1.1097549999999901</v>
      </c>
      <c r="L2853">
        <v>282.13209999999998</v>
      </c>
      <c r="M2853">
        <v>-0.99906989999999996</v>
      </c>
      <c r="N2853">
        <v>0</v>
      </c>
      <c r="O2853">
        <v>-4.2295340000000001E-2</v>
      </c>
      <c r="P2853">
        <v>-0.99947419999999998</v>
      </c>
      <c r="Q2853">
        <v>4.7425370000000002E-4</v>
      </c>
      <c r="R2853">
        <v>-3.2421470000000001E-2</v>
      </c>
      <c r="S2853">
        <v>-2.9973139999999998</v>
      </c>
      <c r="T2853">
        <v>-0.10666730000000001</v>
      </c>
      <c r="U2853">
        <v>-0.13021849999999999</v>
      </c>
      <c r="V2853">
        <v>9.8818780000000002E-3</v>
      </c>
      <c r="W2853">
        <v>8.8774630000000004E-3</v>
      </c>
      <c r="X2853">
        <v>0.99991180000000002</v>
      </c>
      <c r="Y2853">
        <v>-1.134288E-3</v>
      </c>
      <c r="Z2853">
        <v>1.4832090000000001E-3</v>
      </c>
      <c r="AA2853">
        <v>0.99999830000000001</v>
      </c>
      <c r="AB2853">
        <v>18</v>
      </c>
      <c r="AC2853">
        <v>-31.013000000000002</v>
      </c>
      <c r="AD2853">
        <v>-1.1097541893203999</v>
      </c>
      <c r="AE2853">
        <v>-1.3478999999999799</v>
      </c>
      <c r="AF2853">
        <v>-3.4897568767409098E-2</v>
      </c>
      <c r="AG2853">
        <v>-1.1097541893203999</v>
      </c>
      <c r="AH2853">
        <v>31.002635222886301</v>
      </c>
      <c r="AI2853">
        <v>92.050053304985695</v>
      </c>
      <c r="AJ2853">
        <v>90.064493955006895</v>
      </c>
      <c r="AK2853">
        <v>31.0225105844832</v>
      </c>
      <c r="AL2853">
        <v>89.491352173590599</v>
      </c>
      <c r="AM2853">
        <v>89.433778588146396</v>
      </c>
      <c r="AN2853">
        <v>1.0000000343206801</v>
      </c>
    </row>
    <row r="2854" spans="1:40" x14ac:dyDescent="0.25">
      <c r="A2854" t="str">
        <f>"20190312150718560"</f>
        <v>20190312150718560</v>
      </c>
      <c r="B2854" t="str">
        <f>"1552374438552835"</f>
        <v>1552374438552835</v>
      </c>
      <c r="C2854" t="s">
        <v>40</v>
      </c>
      <c r="D2854">
        <v>4.9198409999999999</v>
      </c>
      <c r="E2854">
        <v>0.494944</v>
      </c>
      <c r="F2854" t="s">
        <v>67</v>
      </c>
      <c r="G2854">
        <v>-245.7646</v>
      </c>
      <c r="H2854" s="1">
        <v>1.530838E-6</v>
      </c>
      <c r="I2854">
        <v>280.67020000000002</v>
      </c>
      <c r="J2854">
        <v>-213.50819999999999</v>
      </c>
      <c r="K2854">
        <v>1.109747</v>
      </c>
      <c r="L2854">
        <v>282.1277</v>
      </c>
      <c r="M2854">
        <v>-0.99907860000000004</v>
      </c>
      <c r="N2854">
        <v>0</v>
      </c>
      <c r="O2854">
        <v>-4.2109939999999998E-2</v>
      </c>
      <c r="P2854">
        <v>-0.99943760000000004</v>
      </c>
      <c r="Q2854">
        <v>8.6920149999999996E-4</v>
      </c>
      <c r="R2854">
        <v>-3.3531449999999997E-2</v>
      </c>
      <c r="S2854">
        <v>-2.9972530000000002</v>
      </c>
      <c r="T2854">
        <v>-0.10276780000000001</v>
      </c>
      <c r="U2854">
        <v>-0.135376</v>
      </c>
      <c r="V2854">
        <v>8.585868E-3</v>
      </c>
      <c r="W2854">
        <v>9.1711819999999999E-3</v>
      </c>
      <c r="X2854">
        <v>0.99992110000000001</v>
      </c>
      <c r="Y2854">
        <v>-3.0350450000000001E-3</v>
      </c>
      <c r="Z2854">
        <v>1.3900760000000001E-3</v>
      </c>
      <c r="AA2854">
        <v>0.99999450000000001</v>
      </c>
      <c r="AB2854">
        <v>18</v>
      </c>
      <c r="AC2854">
        <v>-32.256399999999999</v>
      </c>
      <c r="AD2854">
        <v>-1.1097454691619999</v>
      </c>
      <c r="AE2854">
        <v>-1.45749999999998</v>
      </c>
      <c r="AF2854">
        <v>-9.7729912023763299E-2</v>
      </c>
      <c r="AG2854">
        <v>-1.1097454691619999</v>
      </c>
      <c r="AH2854">
        <v>32.251067940824797</v>
      </c>
      <c r="AI2854">
        <v>91.970736698848398</v>
      </c>
      <c r="AJ2854">
        <v>90.173621982444402</v>
      </c>
      <c r="AK2854">
        <v>32.270303213104903</v>
      </c>
      <c r="AL2854">
        <v>89.474522620626104</v>
      </c>
      <c r="AM2854">
        <v>89.508039273802595</v>
      </c>
      <c r="AN2854">
        <v>1.0000000169669001</v>
      </c>
    </row>
    <row r="2855" spans="1:40" x14ac:dyDescent="0.25">
      <c r="A2855" t="str">
        <f>"20190312150718581"</f>
        <v>20190312150718581</v>
      </c>
      <c r="B2855" t="str">
        <f>"1552374438573331"</f>
        <v>1552374438573331</v>
      </c>
      <c r="C2855" t="s">
        <v>40</v>
      </c>
      <c r="D2855">
        <v>4.7880000000000003</v>
      </c>
      <c r="E2855">
        <v>0.49509219999999998</v>
      </c>
      <c r="F2855" t="s">
        <v>67</v>
      </c>
      <c r="G2855">
        <v>-246.37219999999999</v>
      </c>
      <c r="H2855" s="1">
        <v>1.8541899999999999E-6</v>
      </c>
      <c r="I2855">
        <v>280.6044</v>
      </c>
      <c r="J2855">
        <v>-213.66890000000001</v>
      </c>
      <c r="K2855">
        <v>1.1097300000000001</v>
      </c>
      <c r="L2855">
        <v>282.12119999999999</v>
      </c>
      <c r="M2855">
        <v>-0.99908980000000003</v>
      </c>
      <c r="N2855">
        <v>0</v>
      </c>
      <c r="O2855">
        <v>-4.1872270000000003E-2</v>
      </c>
      <c r="P2855">
        <v>-0.99936130000000001</v>
      </c>
      <c r="Q2855">
        <v>1.9588240000000001E-3</v>
      </c>
      <c r="R2855">
        <v>-3.5689079999999998E-2</v>
      </c>
      <c r="S2855">
        <v>-2.9971160000000001</v>
      </c>
      <c r="T2855">
        <v>-0.1012058</v>
      </c>
      <c r="U2855">
        <v>-0.13891600000000001</v>
      </c>
      <c r="V2855">
        <v>6.1887929999999997E-3</v>
      </c>
      <c r="W2855">
        <v>1.011718E-2</v>
      </c>
      <c r="X2855">
        <v>0.99992970000000003</v>
      </c>
      <c r="Y2855">
        <v>-4.4520860000000001E-3</v>
      </c>
      <c r="Z2855">
        <v>1.337059E-3</v>
      </c>
      <c r="AA2855">
        <v>0.99998920000000002</v>
      </c>
      <c r="AB2855">
        <v>18</v>
      </c>
      <c r="AC2855">
        <v>-32.703299999999899</v>
      </c>
      <c r="AD2855">
        <v>-1.1097281458099999</v>
      </c>
      <c r="AE2855">
        <v>-1.5167999999999799</v>
      </c>
      <c r="AF2855">
        <v>-0.145895209729691</v>
      </c>
      <c r="AG2855">
        <v>-1.1097281458099999</v>
      </c>
      <c r="AH2855">
        <v>32.700557687077399</v>
      </c>
      <c r="AI2855">
        <v>91.943627874831407</v>
      </c>
      <c r="AJ2855">
        <v>90.255626353072003</v>
      </c>
      <c r="AK2855">
        <v>32.719707440863601</v>
      </c>
      <c r="AL2855">
        <v>89.420318414414496</v>
      </c>
      <c r="AM2855">
        <v>89.645387879211498</v>
      </c>
      <c r="AN2855">
        <v>1.00000003171601</v>
      </c>
    </row>
    <row r="2856" spans="1:40" x14ac:dyDescent="0.25">
      <c r="A2856" t="str">
        <f>"20190312150718594"</f>
        <v>20190312150718594</v>
      </c>
      <c r="B2856" t="str">
        <f>"1552374438583091"</f>
        <v>1552374438583091</v>
      </c>
      <c r="C2856" t="s">
        <v>40</v>
      </c>
      <c r="D2856">
        <v>4.6339959999999998</v>
      </c>
      <c r="E2856">
        <v>0.49529879999999998</v>
      </c>
      <c r="F2856" t="s">
        <v>67</v>
      </c>
      <c r="G2856">
        <v>-248.13069999999999</v>
      </c>
      <c r="H2856" s="1">
        <v>2.7899550000000002E-6</v>
      </c>
      <c r="I2856">
        <v>280.46409999999997</v>
      </c>
      <c r="J2856">
        <v>-213.77520000000001</v>
      </c>
      <c r="K2856">
        <v>1.1097170000000001</v>
      </c>
      <c r="L2856">
        <v>282.11680000000001</v>
      </c>
      <c r="M2856">
        <v>-0.99909599999999998</v>
      </c>
      <c r="N2856">
        <v>0</v>
      </c>
      <c r="O2856">
        <v>-4.1737330000000003E-2</v>
      </c>
      <c r="P2856">
        <v>-0.99933490000000003</v>
      </c>
      <c r="Q2856">
        <v>2.1735230000000001E-3</v>
      </c>
      <c r="R2856">
        <v>-3.6401540000000003E-2</v>
      </c>
      <c r="S2856">
        <v>-2.9969480000000002</v>
      </c>
      <c r="T2856">
        <v>-9.6506830000000002E-2</v>
      </c>
      <c r="U2856">
        <v>-0.14410400000000001</v>
      </c>
      <c r="V2856">
        <v>5.3407569999999998E-3</v>
      </c>
      <c r="W2856">
        <v>1.0239720000000001E-2</v>
      </c>
      <c r="X2856">
        <v>0.99993330000000002</v>
      </c>
      <c r="Y2856">
        <v>-6.3140139999999997E-3</v>
      </c>
      <c r="Z2856">
        <v>1.240728E-3</v>
      </c>
      <c r="AA2856">
        <v>0.99997930000000002</v>
      </c>
      <c r="AB2856">
        <v>18</v>
      </c>
      <c r="AC2856">
        <v>-34.3554999999999</v>
      </c>
      <c r="AD2856">
        <v>-1.1097142100449999</v>
      </c>
      <c r="AE2856">
        <v>-1.65270000000003</v>
      </c>
      <c r="AF2856">
        <v>-0.217080232708869</v>
      </c>
      <c r="AG2856">
        <v>-1.1097142100449999</v>
      </c>
      <c r="AH2856">
        <v>34.358777375994897</v>
      </c>
      <c r="AI2856">
        <v>91.849849826285293</v>
      </c>
      <c r="AJ2856">
        <v>90.361992381802594</v>
      </c>
      <c r="AK2856">
        <v>34.3773787864721</v>
      </c>
      <c r="AL2856">
        <v>89.413297001615206</v>
      </c>
      <c r="AM2856">
        <v>89.693979662719698</v>
      </c>
      <c r="AN2856">
        <v>0.99999998999994999</v>
      </c>
    </row>
    <row r="2857" spans="1:40" x14ac:dyDescent="0.25">
      <c r="A2857" t="str">
        <f>"20190312150718607"</f>
        <v>20190312150718607</v>
      </c>
      <c r="B2857" t="str">
        <f>"1552374438603117"</f>
        <v>1552374438603117</v>
      </c>
      <c r="C2857" t="s">
        <v>40</v>
      </c>
      <c r="D2857">
        <v>4.7130679999999998</v>
      </c>
      <c r="E2857">
        <v>0.49574249999999997</v>
      </c>
      <c r="F2857" t="s">
        <v>67</v>
      </c>
      <c r="G2857">
        <v>-249.3305</v>
      </c>
      <c r="H2857" s="1">
        <v>3.4284570000000002E-6</v>
      </c>
      <c r="I2857">
        <v>280.39920000000001</v>
      </c>
      <c r="J2857">
        <v>-213.87639999999999</v>
      </c>
      <c r="K2857">
        <v>1.1097079999999999</v>
      </c>
      <c r="L2857">
        <v>282.11270000000002</v>
      </c>
      <c r="M2857">
        <v>-0.99910180000000004</v>
      </c>
      <c r="N2857">
        <v>0</v>
      </c>
      <c r="O2857">
        <v>-4.1618629999999997E-2</v>
      </c>
      <c r="P2857">
        <v>-0.99930739999999996</v>
      </c>
      <c r="Q2857">
        <v>2.5121290000000001E-3</v>
      </c>
      <c r="R2857">
        <v>-3.7128679999999997E-2</v>
      </c>
      <c r="S2857">
        <v>-2.9969329999999998</v>
      </c>
      <c r="T2857">
        <v>-9.3536850000000005E-2</v>
      </c>
      <c r="U2857">
        <v>-0.1447754</v>
      </c>
      <c r="V2857">
        <v>4.4942719999999997E-3</v>
      </c>
      <c r="W2857">
        <v>1.049196E-2</v>
      </c>
      <c r="X2857">
        <v>0.99993489999999996</v>
      </c>
      <c r="Y2857">
        <v>-6.6552729999999997E-3</v>
      </c>
      <c r="Z2857">
        <v>1.1935419999999999E-3</v>
      </c>
      <c r="AA2857">
        <v>0.99997709999999995</v>
      </c>
      <c r="AB2857">
        <v>18</v>
      </c>
      <c r="AC2857">
        <v>-35.454099999999997</v>
      </c>
      <c r="AD2857">
        <v>-1.1097045715429901</v>
      </c>
      <c r="AE2857">
        <v>-1.71350000000001</v>
      </c>
      <c r="AF2857">
        <v>-0.236186522053078</v>
      </c>
      <c r="AG2857">
        <v>-1.1097045715429901</v>
      </c>
      <c r="AH2857">
        <v>35.460036980019197</v>
      </c>
      <c r="AI2857">
        <v>91.792418763402196</v>
      </c>
      <c r="AJ2857">
        <v>90.381620887351502</v>
      </c>
      <c r="AK2857">
        <v>35.478182745648503</v>
      </c>
      <c r="AL2857">
        <v>89.398843968735903</v>
      </c>
      <c r="AM2857">
        <v>89.742482151930901</v>
      </c>
      <c r="AN2857">
        <v>1.0000000419717201</v>
      </c>
    </row>
    <row r="2858" spans="1:40" x14ac:dyDescent="0.25">
      <c r="A2858" t="str">
        <f>"20190312150718625"</f>
        <v>20190312150718625</v>
      </c>
      <c r="B2858" t="str">
        <f>"1552374438612877"</f>
        <v>1552374438612877</v>
      </c>
      <c r="C2858" t="s">
        <v>40</v>
      </c>
      <c r="D2858">
        <v>4.6777220000000002</v>
      </c>
      <c r="E2858">
        <v>0.49589440000000001</v>
      </c>
      <c r="F2858" t="s">
        <v>67</v>
      </c>
      <c r="G2858">
        <v>-251.44640000000001</v>
      </c>
      <c r="H2858" s="1">
        <v>-7.6707589999999996E-7</v>
      </c>
      <c r="I2858">
        <v>280.3143</v>
      </c>
      <c r="J2858">
        <v>-214.0266</v>
      </c>
      <c r="K2858">
        <v>1.1096969999999999</v>
      </c>
      <c r="L2858">
        <v>282.10669999999999</v>
      </c>
      <c r="M2858">
        <v>-0.99910900000000002</v>
      </c>
      <c r="N2858">
        <v>0</v>
      </c>
      <c r="O2858">
        <v>-4.1468680000000001E-2</v>
      </c>
      <c r="P2858">
        <v>-0.99928030000000001</v>
      </c>
      <c r="Q2858">
        <v>3.3054909999999998E-3</v>
      </c>
      <c r="R2858">
        <v>-3.7789360000000001E-2</v>
      </c>
      <c r="S2858">
        <v>-2.9969790000000001</v>
      </c>
      <c r="T2858">
        <v>-8.8522080000000003E-2</v>
      </c>
      <c r="U2858">
        <v>-0.14346310000000001</v>
      </c>
      <c r="V2858">
        <v>3.6827100000000001E-3</v>
      </c>
      <c r="W2858">
        <v>1.116283E-2</v>
      </c>
      <c r="X2858">
        <v>0.99993089999999996</v>
      </c>
      <c r="Y2858">
        <v>-6.3661029999999997E-3</v>
      </c>
      <c r="Z2858">
        <v>1.1294250000000001E-3</v>
      </c>
      <c r="AA2858">
        <v>0.99997910000000001</v>
      </c>
      <c r="AB2858">
        <v>18</v>
      </c>
      <c r="AC2858">
        <v>-37.419800000000002</v>
      </c>
      <c r="AD2858">
        <v>-1.1096977670758901</v>
      </c>
      <c r="AE2858">
        <v>-1.79239999999998</v>
      </c>
      <c r="AF2858">
        <v>-0.238851043047143</v>
      </c>
      <c r="AG2858">
        <v>-1.1096977670758901</v>
      </c>
      <c r="AH2858">
        <v>37.429099099387003</v>
      </c>
      <c r="AI2858">
        <v>91.698173004736702</v>
      </c>
      <c r="AJ2858">
        <v>90.365623839944107</v>
      </c>
      <c r="AK2858">
        <v>37.446307406028097</v>
      </c>
      <c r="AL2858">
        <v>89.360403662182904</v>
      </c>
      <c r="AM2858">
        <v>89.788982632555701</v>
      </c>
      <c r="AN2858">
        <v>0.99999998795068101</v>
      </c>
    </row>
    <row r="2859" spans="1:40" x14ac:dyDescent="0.25">
      <c r="A2859" t="str">
        <f>"20190312150718638"</f>
        <v>20190312150718638</v>
      </c>
      <c r="B2859" t="str">
        <f>"1552374438633373"</f>
        <v>1552374438633373</v>
      </c>
      <c r="C2859" t="s">
        <v>40</v>
      </c>
      <c r="D2859">
        <v>4.8178080000000003</v>
      </c>
      <c r="E2859">
        <v>0.49602279999999999</v>
      </c>
      <c r="F2859" t="s">
        <v>67</v>
      </c>
      <c r="G2859">
        <v>-252.62090000000001</v>
      </c>
      <c r="H2859" s="1">
        <v>-1.4206960000000001E-7</v>
      </c>
      <c r="I2859">
        <v>280.24860000000001</v>
      </c>
      <c r="J2859">
        <v>-214.13560000000001</v>
      </c>
      <c r="K2859">
        <v>1.1096870000000001</v>
      </c>
      <c r="L2859">
        <v>282.10230000000001</v>
      </c>
      <c r="M2859">
        <v>-0.99911329999999998</v>
      </c>
      <c r="N2859">
        <v>0</v>
      </c>
      <c r="O2859">
        <v>-4.1377289999999997E-2</v>
      </c>
      <c r="P2859">
        <v>-0.99926919999999997</v>
      </c>
      <c r="Q2859">
        <v>3.9728860000000001E-3</v>
      </c>
      <c r="R2859">
        <v>-3.8013640000000001E-2</v>
      </c>
      <c r="S2859">
        <v>-2.9969939999999999</v>
      </c>
      <c r="T2859">
        <v>-8.6172219999999994E-2</v>
      </c>
      <c r="U2859">
        <v>-0.1442871</v>
      </c>
      <c r="V2859">
        <v>3.366768E-3</v>
      </c>
      <c r="W2859">
        <v>1.174596E-2</v>
      </c>
      <c r="X2859">
        <v>0.99992539999999996</v>
      </c>
      <c r="Y2859">
        <v>-6.7306609999999998E-3</v>
      </c>
      <c r="Z2859">
        <v>1.0915810000000001E-3</v>
      </c>
      <c r="AA2859">
        <v>0.9999768</v>
      </c>
      <c r="AB2859">
        <v>18</v>
      </c>
      <c r="AC2859">
        <v>-38.485300000000002</v>
      </c>
      <c r="AD2859">
        <v>-1.1096871420696</v>
      </c>
      <c r="AE2859">
        <v>-1.8536999999999999</v>
      </c>
      <c r="AF2859">
        <v>-0.25943157135044698</v>
      </c>
      <c r="AG2859">
        <v>-1.1096871420696</v>
      </c>
      <c r="AH2859">
        <v>38.4971098242425</v>
      </c>
      <c r="AI2859">
        <v>91.651068013236397</v>
      </c>
      <c r="AJ2859">
        <v>90.386109740931502</v>
      </c>
      <c r="AK2859">
        <v>38.513973764249201</v>
      </c>
      <c r="AL2859">
        <v>89.326990625920402</v>
      </c>
      <c r="AM2859">
        <v>89.807084740480406</v>
      </c>
      <c r="AN2859">
        <v>1.0000000541341201</v>
      </c>
    </row>
    <row r="2860" spans="1:40" x14ac:dyDescent="0.25">
      <c r="A2860" t="str">
        <f>"20190312150718650"</f>
        <v>20190312150718650</v>
      </c>
      <c r="B2860" t="str">
        <f>"1552374438643132"</f>
        <v>1552374438643132</v>
      </c>
      <c r="C2860" t="s">
        <v>40</v>
      </c>
      <c r="D2860">
        <v>4.7868649999999997</v>
      </c>
      <c r="E2860">
        <v>0.49603659999999999</v>
      </c>
      <c r="F2860" t="s">
        <v>67</v>
      </c>
      <c r="G2860">
        <v>-253.68199999999999</v>
      </c>
      <c r="H2860" s="1">
        <v>4.2260009999999998E-7</v>
      </c>
      <c r="I2860">
        <v>280.20319999999998</v>
      </c>
      <c r="J2860">
        <v>-214.23759999999999</v>
      </c>
      <c r="K2860">
        <v>1.109675</v>
      </c>
      <c r="L2860">
        <v>282.09809999999999</v>
      </c>
      <c r="M2860">
        <v>-0.99911729999999999</v>
      </c>
      <c r="N2860">
        <v>0</v>
      </c>
      <c r="O2860">
        <v>-4.1297970000000003E-2</v>
      </c>
      <c r="P2860">
        <v>-0.99926409999999999</v>
      </c>
      <c r="Q2860">
        <v>4.6902910000000001E-3</v>
      </c>
      <c r="R2860">
        <v>-3.8076699999999998E-2</v>
      </c>
      <c r="S2860">
        <v>-2.9970400000000001</v>
      </c>
      <c r="T2860">
        <v>-8.4097980000000003E-2</v>
      </c>
      <c r="U2860">
        <v>-0.14392089999999999</v>
      </c>
      <c r="V2860">
        <v>3.2242030000000001E-3</v>
      </c>
      <c r="W2860">
        <v>1.2387260000000001E-2</v>
      </c>
      <c r="X2860">
        <v>0.99991810000000003</v>
      </c>
      <c r="Y2860">
        <v>-6.686745E-3</v>
      </c>
      <c r="Z2860">
        <v>1.0636980000000001E-3</v>
      </c>
      <c r="AA2860">
        <v>0.99997709999999995</v>
      </c>
      <c r="AB2860">
        <v>18</v>
      </c>
      <c r="AC2860">
        <v>-39.444400000000002</v>
      </c>
      <c r="AD2860">
        <v>-1.1096745773998999</v>
      </c>
      <c r="AE2860">
        <v>-1.8949</v>
      </c>
      <c r="AF2860">
        <v>-0.26405303056844698</v>
      </c>
      <c r="AG2860">
        <v>-1.1096745773998999</v>
      </c>
      <c r="AH2860">
        <v>39.457848039821201</v>
      </c>
      <c r="AI2860">
        <v>91.610870757373604</v>
      </c>
      <c r="AJ2860">
        <v>90.383419246946005</v>
      </c>
      <c r="AK2860">
        <v>39.474331832271702</v>
      </c>
      <c r="AL2860">
        <v>89.290244146626193</v>
      </c>
      <c r="AM2860">
        <v>89.815252285200103</v>
      </c>
      <c r="AN2860">
        <v>1.0000000232014501</v>
      </c>
    </row>
    <row r="2861" spans="1:40" x14ac:dyDescent="0.25">
      <c r="A2861" t="str">
        <f>"20190312150718662"</f>
        <v>20190312150718662</v>
      </c>
      <c r="B2861" t="str">
        <f>"1552374438652893"</f>
        <v>1552374438652893</v>
      </c>
      <c r="C2861" t="s">
        <v>40</v>
      </c>
      <c r="D2861">
        <v>4.7429920000000001</v>
      </c>
      <c r="E2861">
        <v>0.49612810000000002</v>
      </c>
      <c r="F2861" t="s">
        <v>67</v>
      </c>
      <c r="G2861">
        <v>-254.97280000000001</v>
      </c>
      <c r="H2861" s="1">
        <v>1.1094670000000001E-6</v>
      </c>
      <c r="I2861">
        <v>280.13959999999997</v>
      </c>
      <c r="J2861">
        <v>-214.3399</v>
      </c>
      <c r="K2861">
        <v>1.109674</v>
      </c>
      <c r="L2861">
        <v>282.09399999999999</v>
      </c>
      <c r="M2861">
        <v>-0.99912080000000003</v>
      </c>
      <c r="N2861">
        <v>0</v>
      </c>
      <c r="O2861">
        <v>-4.1224139999999999E-2</v>
      </c>
      <c r="P2861">
        <v>-0.99926700000000002</v>
      </c>
      <c r="Q2861">
        <v>4.9248180000000001E-3</v>
      </c>
      <c r="R2861">
        <v>-3.7965159999999998E-2</v>
      </c>
      <c r="S2861">
        <v>-2.9971009999999998</v>
      </c>
      <c r="T2861">
        <v>-8.1644649999999999E-2</v>
      </c>
      <c r="U2861">
        <v>-0.14410400000000001</v>
      </c>
      <c r="V2861">
        <v>3.2618870000000002E-3</v>
      </c>
      <c r="W2861">
        <v>1.254747E-2</v>
      </c>
      <c r="X2861">
        <v>0.99991600000000003</v>
      </c>
      <c r="Y2861">
        <v>-6.8197809999999996E-3</v>
      </c>
      <c r="Z2861">
        <v>1.0288369999999999E-3</v>
      </c>
      <c r="AA2861">
        <v>0.99997619999999998</v>
      </c>
      <c r="AB2861">
        <v>18</v>
      </c>
      <c r="AC2861">
        <v>-40.632899999999999</v>
      </c>
      <c r="AD2861">
        <v>-1.109672890533</v>
      </c>
      <c r="AE2861">
        <v>-1.9544000000000199</v>
      </c>
      <c r="AF2861">
        <v>-0.27742697904547903</v>
      </c>
      <c r="AG2861">
        <v>-1.109672890533</v>
      </c>
      <c r="AH2861">
        <v>40.648681088825903</v>
      </c>
      <c r="AI2861">
        <v>91.563699115124393</v>
      </c>
      <c r="AJ2861">
        <v>90.391037243968597</v>
      </c>
      <c r="AK2861">
        <v>40.664771165146803</v>
      </c>
      <c r="AL2861">
        <v>89.281064090735399</v>
      </c>
      <c r="AM2861">
        <v>89.813092604376394</v>
      </c>
      <c r="AN2861">
        <v>1.0000000429831</v>
      </c>
    </row>
    <row r="2862" spans="1:40" x14ac:dyDescent="0.25">
      <c r="A2862" t="str">
        <f>"20190312150718682"</f>
        <v>20190312150718682</v>
      </c>
      <c r="B2862" t="str">
        <f>"1552374438673389"</f>
        <v>1552374438673389</v>
      </c>
      <c r="C2862" t="s">
        <v>40</v>
      </c>
      <c r="D2862">
        <v>4.6816950000000004</v>
      </c>
      <c r="E2862">
        <v>0.4963436</v>
      </c>
      <c r="F2862" t="s">
        <v>67</v>
      </c>
      <c r="G2862">
        <v>-255.6961</v>
      </c>
      <c r="H2862" s="1">
        <v>1.4944029999999999E-6</v>
      </c>
      <c r="I2862">
        <v>280.1182</v>
      </c>
      <c r="J2862">
        <v>-214.4924</v>
      </c>
      <c r="K2862">
        <v>1.109661</v>
      </c>
      <c r="L2862">
        <v>282.08780000000002</v>
      </c>
      <c r="M2862">
        <v>-0.99912579999999995</v>
      </c>
      <c r="N2862">
        <v>0</v>
      </c>
      <c r="O2862">
        <v>-4.1126210000000003E-2</v>
      </c>
      <c r="P2862">
        <v>-0.999274</v>
      </c>
      <c r="Q2862">
        <v>5.6517729999999997E-3</v>
      </c>
      <c r="R2862">
        <v>-3.7682229999999997E-2</v>
      </c>
      <c r="S2862">
        <v>-2.9971770000000002</v>
      </c>
      <c r="T2862">
        <v>-8.0420370000000005E-2</v>
      </c>
      <c r="U2862">
        <v>-0.1431885</v>
      </c>
      <c r="V2862">
        <v>3.4468810000000002E-3</v>
      </c>
      <c r="W2862">
        <v>1.316969E-2</v>
      </c>
      <c r="X2862">
        <v>0.99990730000000005</v>
      </c>
      <c r="Y2862">
        <v>-6.6115180000000003E-3</v>
      </c>
      <c r="Z2862">
        <v>1.0135669999999999E-3</v>
      </c>
      <c r="AA2862">
        <v>0.99997760000000002</v>
      </c>
      <c r="AB2862">
        <v>18</v>
      </c>
      <c r="AC2862">
        <v>-41.203699999999998</v>
      </c>
      <c r="AD2862">
        <v>-1.109659505597</v>
      </c>
      <c r="AE2862">
        <v>-1.96960000000001</v>
      </c>
      <c r="AF2862">
        <v>-0.27313619793694199</v>
      </c>
      <c r="AG2862">
        <v>-1.109659505597</v>
      </c>
      <c r="AH2862">
        <v>41.220014514336597</v>
      </c>
      <c r="AI2862">
        <v>91.542019340566497</v>
      </c>
      <c r="AJ2862">
        <v>90.379653489169399</v>
      </c>
      <c r="AK2862">
        <v>41.2358526547361</v>
      </c>
      <c r="AL2862">
        <v>89.245410505381003</v>
      </c>
      <c r="AM2862">
        <v>89.802490739379493</v>
      </c>
      <c r="AN2862">
        <v>0.99999996515830603</v>
      </c>
    </row>
    <row r="2863" spans="1:40" x14ac:dyDescent="0.25">
      <c r="A2863" t="str">
        <f>"20190312150718694"</f>
        <v>20190312150718694</v>
      </c>
      <c r="B2863" t="str">
        <f>"1552374438683149"</f>
        <v>1552374438683149</v>
      </c>
      <c r="C2863" t="s">
        <v>40</v>
      </c>
      <c r="D2863">
        <v>4.8383900000000004</v>
      </c>
      <c r="E2863">
        <v>0.49659979999999998</v>
      </c>
      <c r="F2863" t="s">
        <v>67</v>
      </c>
      <c r="G2863">
        <v>-257.59730000000002</v>
      </c>
      <c r="H2863" s="1">
        <v>2.506098E-6</v>
      </c>
      <c r="I2863">
        <v>280.0641</v>
      </c>
      <c r="J2863">
        <v>-214.60050000000001</v>
      </c>
      <c r="K2863">
        <v>1.1096469999999901</v>
      </c>
      <c r="L2863">
        <v>282.08339999999998</v>
      </c>
      <c r="M2863">
        <v>-0.99912880000000004</v>
      </c>
      <c r="N2863">
        <v>0</v>
      </c>
      <c r="O2863">
        <v>-4.1061899999999998E-2</v>
      </c>
      <c r="P2863">
        <v>-0.99928099999999997</v>
      </c>
      <c r="Q2863">
        <v>5.4020379999999996E-3</v>
      </c>
      <c r="R2863">
        <v>-3.7526190000000001E-2</v>
      </c>
      <c r="S2863">
        <v>-2.9972989999999999</v>
      </c>
      <c r="T2863">
        <v>-7.7160119999999999E-2</v>
      </c>
      <c r="U2863">
        <v>-0.1407166</v>
      </c>
      <c r="V2863">
        <v>3.5387439999999999E-3</v>
      </c>
      <c r="W2863">
        <v>1.2849279999999999E-2</v>
      </c>
      <c r="X2863">
        <v>0.9999112</v>
      </c>
      <c r="Y2863">
        <v>-5.8503440000000004E-3</v>
      </c>
      <c r="Z2863">
        <v>9.8061169999999996E-4</v>
      </c>
      <c r="AA2863">
        <v>0.99998240000000005</v>
      </c>
      <c r="AB2863">
        <v>18</v>
      </c>
      <c r="AC2863">
        <v>-42.9968</v>
      </c>
      <c r="AD2863">
        <v>-1.10964449390199</v>
      </c>
      <c r="AE2863">
        <v>-2.0192999999999799</v>
      </c>
      <c r="AF2863">
        <v>-0.25185011401886598</v>
      </c>
      <c r="AG2863">
        <v>-1.10964449390199</v>
      </c>
      <c r="AH2863">
        <v>43.014867024505499</v>
      </c>
      <c r="AI2863">
        <v>91.477692810820699</v>
      </c>
      <c r="AJ2863">
        <v>90.335460381865801</v>
      </c>
      <c r="AK2863">
        <v>43.029914298295701</v>
      </c>
      <c r="AL2863">
        <v>89.263770238924806</v>
      </c>
      <c r="AM2863">
        <v>89.797227744338102</v>
      </c>
      <c r="AN2863">
        <v>1.0000000172955199</v>
      </c>
    </row>
    <row r="2864" spans="1:40" x14ac:dyDescent="0.25">
      <c r="A2864" t="str">
        <f>"20190312150718709"</f>
        <v>20190312150718709</v>
      </c>
      <c r="B2864" t="str">
        <f>"1552374438702669"</f>
        <v>1552374438702669</v>
      </c>
      <c r="C2864" t="s">
        <v>40</v>
      </c>
      <c r="D2864">
        <v>4.6235480000000004</v>
      </c>
      <c r="E2864">
        <v>0.49703180000000002</v>
      </c>
      <c r="F2864" t="s">
        <v>67</v>
      </c>
      <c r="G2864">
        <v>-257.9846</v>
      </c>
      <c r="H2864" s="1">
        <v>2.712221E-6</v>
      </c>
      <c r="I2864">
        <v>280.0838</v>
      </c>
      <c r="J2864">
        <v>-214.71520000000001</v>
      </c>
      <c r="K2864">
        <v>1.109634</v>
      </c>
      <c r="L2864">
        <v>282.0788</v>
      </c>
      <c r="M2864">
        <v>-0.99913220000000003</v>
      </c>
      <c r="N2864">
        <v>0</v>
      </c>
      <c r="O2864">
        <v>-4.099614E-2</v>
      </c>
      <c r="P2864">
        <v>-0.99928419999999896</v>
      </c>
      <c r="Q2864">
        <v>5.6765490000000004E-3</v>
      </c>
      <c r="R2864">
        <v>-3.7409829999999998E-2</v>
      </c>
      <c r="S2864">
        <v>-2.9973909999999999</v>
      </c>
      <c r="T2864">
        <v>-7.6664919999999998E-2</v>
      </c>
      <c r="U2864">
        <v>-0.1381531</v>
      </c>
      <c r="V2864">
        <v>3.5895689999999999E-3</v>
      </c>
      <c r="W2864">
        <v>1.305192E-2</v>
      </c>
      <c r="X2864">
        <v>0.99990840000000003</v>
      </c>
      <c r="Y2864">
        <v>-5.0614750000000002E-3</v>
      </c>
      <c r="Z2864">
        <v>9.827162999999999E-4</v>
      </c>
      <c r="AA2864">
        <v>0.99998670000000001</v>
      </c>
      <c r="AB2864">
        <v>19</v>
      </c>
      <c r="AC2864">
        <v>-43.269399999999898</v>
      </c>
      <c r="AD2864">
        <v>-1.109631287779</v>
      </c>
      <c r="AE2864">
        <v>-1.9950000000000001</v>
      </c>
      <c r="AF2864">
        <v>-0.219252414843917</v>
      </c>
      <c r="AG2864">
        <v>-1.109631287779</v>
      </c>
      <c r="AH2864">
        <v>43.286404199678799</v>
      </c>
      <c r="AI2864">
        <v>91.468416122796796</v>
      </c>
      <c r="AJ2864">
        <v>90.290209612488098</v>
      </c>
      <c r="AK2864">
        <v>43.301179449920397</v>
      </c>
      <c r="AL2864">
        <v>89.252158852855302</v>
      </c>
      <c r="AM2864">
        <v>89.794314888768596</v>
      </c>
      <c r="AN2864">
        <v>1.0000000230059201</v>
      </c>
    </row>
    <row r="2865" spans="1:40" x14ac:dyDescent="0.25">
      <c r="A2865" t="str">
        <f>"20190312150718727"</f>
        <v>20190312150718727</v>
      </c>
      <c r="B2865" t="str">
        <f>"1552374438723164"</f>
        <v>1552374438723164</v>
      </c>
      <c r="C2865" t="s">
        <v>40</v>
      </c>
      <c r="D2865">
        <v>4.6828260000000004</v>
      </c>
      <c r="E2865">
        <v>0.49728660000000002</v>
      </c>
      <c r="F2865" t="s">
        <v>67</v>
      </c>
      <c r="G2865">
        <v>-259.6069</v>
      </c>
      <c r="H2865" s="1">
        <v>3.5755299999999999E-6</v>
      </c>
      <c r="I2865">
        <v>280.06650000000002</v>
      </c>
      <c r="J2865">
        <v>-214.8664</v>
      </c>
      <c r="K2865">
        <v>1.1096159999999999</v>
      </c>
      <c r="L2865">
        <v>282.0727</v>
      </c>
      <c r="M2865">
        <v>-0.99913640000000004</v>
      </c>
      <c r="N2865">
        <v>0</v>
      </c>
      <c r="O2865">
        <v>-4.0911570000000001E-2</v>
      </c>
      <c r="P2865">
        <v>-0.99927460000000001</v>
      </c>
      <c r="Q2865">
        <v>6.3077280000000003E-3</v>
      </c>
      <c r="R2865">
        <v>-3.7560240000000002E-2</v>
      </c>
      <c r="S2865">
        <v>-2.9975589999999999</v>
      </c>
      <c r="T2865">
        <v>-7.409346E-2</v>
      </c>
      <c r="U2865">
        <v>-0.13436890000000001</v>
      </c>
      <c r="V2865">
        <v>3.3545060000000002E-3</v>
      </c>
      <c r="W2865">
        <v>1.359165E-2</v>
      </c>
      <c r="X2865">
        <v>0.99990199999999996</v>
      </c>
      <c r="Y2865">
        <v>-3.8833209999999999E-3</v>
      </c>
      <c r="Z2865">
        <v>9.6220910000000004E-4</v>
      </c>
      <c r="AA2865">
        <v>0.99999199999999999</v>
      </c>
      <c r="AB2865">
        <v>19</v>
      </c>
      <c r="AC2865">
        <v>-44.740499999999997</v>
      </c>
      <c r="AD2865">
        <v>-1.1096124244700001</v>
      </c>
      <c r="AE2865">
        <v>-2.00619999999997</v>
      </c>
      <c r="AF2865">
        <v>-0.17396114703138599</v>
      </c>
      <c r="AG2865">
        <v>-1.1096124244700001</v>
      </c>
      <c r="AH2865">
        <v>44.757644065706202</v>
      </c>
      <c r="AI2865">
        <v>91.420150902454296</v>
      </c>
      <c r="AJ2865">
        <v>90.222692448226695</v>
      </c>
      <c r="AK2865">
        <v>44.7717344373172</v>
      </c>
      <c r="AL2865">
        <v>89.221231837925103</v>
      </c>
      <c r="AM2865">
        <v>89.807782847624196</v>
      </c>
      <c r="AN2865">
        <v>0.999999997632113</v>
      </c>
    </row>
    <row r="2866" spans="1:40" x14ac:dyDescent="0.25">
      <c r="A2866" t="str">
        <f>"20190312150718749"</f>
        <v>20190312150718749</v>
      </c>
      <c r="B2866" t="str">
        <f>"1552374438742685"</f>
        <v>1552374438742685</v>
      </c>
      <c r="C2866" t="s">
        <v>40</v>
      </c>
      <c r="D2866">
        <v>4.599208</v>
      </c>
      <c r="E2866">
        <v>0.4971064</v>
      </c>
      <c r="F2866" t="s">
        <v>67</v>
      </c>
      <c r="G2866">
        <v>-261.78649999999999</v>
      </c>
      <c r="H2866" s="1">
        <v>-5.8608209999999996E-7</v>
      </c>
      <c r="I2866">
        <v>279.99099999999999</v>
      </c>
      <c r="J2866">
        <v>-215.05170000000001</v>
      </c>
      <c r="K2866">
        <v>1.1095950000000001</v>
      </c>
      <c r="L2866">
        <v>282.0652</v>
      </c>
      <c r="M2866">
        <v>-0.99914119999999995</v>
      </c>
      <c r="N2866">
        <v>0</v>
      </c>
      <c r="O2866">
        <v>-4.0807250000000003E-2</v>
      </c>
      <c r="P2866">
        <v>-0.99926020000000004</v>
      </c>
      <c r="Q2866">
        <v>7.3448389999999997E-3</v>
      </c>
      <c r="R2866">
        <v>-3.7749560000000001E-2</v>
      </c>
      <c r="S2866">
        <v>-2.99762</v>
      </c>
      <c r="T2866">
        <v>-7.0890899999999896E-2</v>
      </c>
      <c r="U2866">
        <v>-0.13299559999999999</v>
      </c>
      <c r="V2866">
        <v>3.0606499999999998E-3</v>
      </c>
      <c r="W2866">
        <v>1.452377E-2</v>
      </c>
      <c r="X2866">
        <v>0.9998899</v>
      </c>
      <c r="Y2866">
        <v>-3.528738E-3</v>
      </c>
      <c r="Z2866">
        <v>9.2235090000000004E-4</v>
      </c>
      <c r="AA2866">
        <v>0.99999329999999997</v>
      </c>
      <c r="AB2866">
        <v>19</v>
      </c>
      <c r="AC2866">
        <v>-46.7347999999999</v>
      </c>
      <c r="AD2866">
        <v>-1.1095955860821001</v>
      </c>
      <c r="AE2866">
        <v>-2.07420000000001</v>
      </c>
      <c r="AF2866">
        <v>-0.16521133051570699</v>
      </c>
      <c r="AG2866">
        <v>-1.1095955860821001</v>
      </c>
      <c r="AH2866">
        <v>46.754210651078402</v>
      </c>
      <c r="AI2866">
        <v>91.359509970109499</v>
      </c>
      <c r="AJ2866">
        <v>90.202460322531195</v>
      </c>
      <c r="AK2866">
        <v>46.7676673648986</v>
      </c>
      <c r="AL2866">
        <v>89.167820067738802</v>
      </c>
      <c r="AM2866">
        <v>89.824618910666302</v>
      </c>
      <c r="AN2866">
        <v>1.0000000597977201</v>
      </c>
    </row>
    <row r="2867" spans="1:40" x14ac:dyDescent="0.25">
      <c r="A2867" t="str">
        <f>"20190312150718770"</f>
        <v>20190312150718770</v>
      </c>
      <c r="B2867" t="str">
        <f>"1552374438763182"</f>
        <v>1552374438763182</v>
      </c>
      <c r="C2867" t="s">
        <v>40</v>
      </c>
      <c r="D2867">
        <v>4.7203080000000002</v>
      </c>
      <c r="E2867">
        <v>0.49695250000000002</v>
      </c>
      <c r="F2867" t="s">
        <v>67</v>
      </c>
      <c r="G2867">
        <v>-263.61090000000002</v>
      </c>
      <c r="H2867" s="1">
        <v>3.8475860000000002E-7</v>
      </c>
      <c r="I2867">
        <v>279.87959999999998</v>
      </c>
      <c r="J2867">
        <v>-215.2405</v>
      </c>
      <c r="K2867">
        <v>1.109578</v>
      </c>
      <c r="L2867">
        <v>282.05759999999998</v>
      </c>
      <c r="M2867">
        <v>-0.99914650000000005</v>
      </c>
      <c r="N2867">
        <v>0</v>
      </c>
      <c r="O2867">
        <v>-4.0697820000000003E-2</v>
      </c>
      <c r="P2867">
        <v>-0.99925980000000003</v>
      </c>
      <c r="Q2867">
        <v>8.8916910000000002E-3</v>
      </c>
      <c r="R2867">
        <v>-3.7431779999999998E-2</v>
      </c>
      <c r="S2867">
        <v>-2.99762</v>
      </c>
      <c r="T2867">
        <v>-6.8496580000000001E-2</v>
      </c>
      <c r="U2867">
        <v>-0.13491819999999999</v>
      </c>
      <c r="V2867">
        <v>3.2695440000000001E-3</v>
      </c>
      <c r="W2867">
        <v>1.5969379999999998E-2</v>
      </c>
      <c r="X2867">
        <v>0.99986710000000001</v>
      </c>
      <c r="Y2867">
        <v>-4.2774789999999998E-3</v>
      </c>
      <c r="Z2867">
        <v>8.801452E-4</v>
      </c>
      <c r="AA2867">
        <v>0.9999905</v>
      </c>
      <c r="AB2867">
        <v>19</v>
      </c>
      <c r="AC2867">
        <v>-48.370399999999997</v>
      </c>
      <c r="AD2867">
        <v>-1.1095776152413901</v>
      </c>
      <c r="AE2867">
        <v>-2.1779999999999902</v>
      </c>
      <c r="AF2867">
        <v>-0.20746747989606101</v>
      </c>
      <c r="AG2867">
        <v>-1.1095776152413901</v>
      </c>
      <c r="AH2867">
        <v>48.393551746930399</v>
      </c>
      <c r="AI2867">
        <v>91.313447584325402</v>
      </c>
      <c r="AJ2867">
        <v>90.245630620849994</v>
      </c>
      <c r="AK2867">
        <v>48.406714987925902</v>
      </c>
      <c r="AL2867">
        <v>89.084982997676903</v>
      </c>
      <c r="AM2867">
        <v>89.812644696038802</v>
      </c>
      <c r="AN2867">
        <v>0.99999996433897997</v>
      </c>
    </row>
    <row r="2868" spans="1:40" x14ac:dyDescent="0.25">
      <c r="A2868" t="str">
        <f>"20190312150718792"</f>
        <v>20190312150718792</v>
      </c>
      <c r="B2868" t="str">
        <f>"1552374438782701"</f>
        <v>1552374438782701</v>
      </c>
      <c r="C2868" t="s">
        <v>40</v>
      </c>
      <c r="D2868">
        <v>5.0385859999999996</v>
      </c>
      <c r="E2868">
        <v>0.49681730000000002</v>
      </c>
      <c r="F2868" t="s">
        <v>67</v>
      </c>
      <c r="G2868">
        <v>-269.25029999999998</v>
      </c>
      <c r="H2868">
        <v>3.9392370000000003E-2</v>
      </c>
      <c r="I2868">
        <v>279.61630000000002</v>
      </c>
      <c r="J2868">
        <v>-215.42939999999999</v>
      </c>
      <c r="K2868">
        <v>1.109558</v>
      </c>
      <c r="L2868">
        <v>282.05009999999999</v>
      </c>
      <c r="M2868">
        <v>-0.99915180000000003</v>
      </c>
      <c r="N2868">
        <v>0</v>
      </c>
      <c r="O2868">
        <v>-4.0582340000000001E-2</v>
      </c>
      <c r="P2868">
        <v>-0.99927080000000001</v>
      </c>
      <c r="Q2868">
        <v>1.035206E-2</v>
      </c>
      <c r="R2868">
        <v>-3.675233E-2</v>
      </c>
      <c r="S2868">
        <v>-2.9976959999999999</v>
      </c>
      <c r="T2868">
        <v>-5.9398289999999999E-2</v>
      </c>
      <c r="U2868">
        <v>-0.13549800000000001</v>
      </c>
      <c r="V2868">
        <v>3.8338589999999998E-3</v>
      </c>
      <c r="W2868">
        <v>1.7329130000000002E-2</v>
      </c>
      <c r="X2868">
        <v>0.99984249999999997</v>
      </c>
      <c r="Y2868">
        <v>-4.5825390000000001E-3</v>
      </c>
      <c r="Z2868">
        <v>7.5793259999999999E-4</v>
      </c>
      <c r="AA2868">
        <v>0.99998920000000002</v>
      </c>
      <c r="AB2868">
        <v>19</v>
      </c>
      <c r="AC2868">
        <v>-53.820900000000002</v>
      </c>
      <c r="AD2868">
        <v>-1.07016563</v>
      </c>
      <c r="AE2868">
        <v>-2.4337999999999602</v>
      </c>
      <c r="AF2868">
        <v>-0.24746598274911299</v>
      </c>
      <c r="AG2868">
        <v>-1.07016563</v>
      </c>
      <c r="AH2868">
        <v>53.854083092999304</v>
      </c>
      <c r="AI2868">
        <v>91.138395725604596</v>
      </c>
      <c r="AJ2868">
        <v>90.263279138295502</v>
      </c>
      <c r="AK2868">
        <v>53.865283436327701</v>
      </c>
      <c r="AL2868">
        <v>89.0070642988495</v>
      </c>
      <c r="AM2868">
        <v>89.780302534272096</v>
      </c>
      <c r="AN2868">
        <v>1.0000000110138101</v>
      </c>
    </row>
    <row r="2869" spans="1:40" x14ac:dyDescent="0.25">
      <c r="A2869" t="str">
        <f>"20190312150718805"</f>
        <v>20190312150718805</v>
      </c>
      <c r="B2869" t="str">
        <f>"1552374438792968"</f>
        <v>1552374438792968</v>
      </c>
      <c r="C2869" t="s">
        <v>40</v>
      </c>
      <c r="D2869">
        <v>4.5764319999999996</v>
      </c>
      <c r="E2869">
        <v>0.49679450000000003</v>
      </c>
      <c r="F2869" t="s">
        <v>67</v>
      </c>
      <c r="G2869">
        <v>-274.98259999999999</v>
      </c>
      <c r="H2869">
        <v>8.0001699999999995E-2</v>
      </c>
      <c r="I2869">
        <v>279.3734</v>
      </c>
      <c r="J2869">
        <v>-215.53319999999999</v>
      </c>
      <c r="K2869">
        <v>1.109548</v>
      </c>
      <c r="L2869">
        <v>282.04590000000002</v>
      </c>
      <c r="M2869">
        <v>-0.99915489999999996</v>
      </c>
      <c r="N2869">
        <v>0</v>
      </c>
      <c r="O2869">
        <v>-4.0516419999999997E-2</v>
      </c>
      <c r="P2869">
        <v>-0.99928720000000004</v>
      </c>
      <c r="Q2869">
        <v>1.1053260000000001E-2</v>
      </c>
      <c r="R2869">
        <v>-3.6100390000000003E-2</v>
      </c>
      <c r="S2869">
        <v>-2.997757</v>
      </c>
      <c r="T2869">
        <v>-5.1825280000000001E-2</v>
      </c>
      <c r="U2869">
        <v>-0.1347351</v>
      </c>
      <c r="V2869">
        <v>4.4204719999999999E-3</v>
      </c>
      <c r="W2869">
        <v>1.7974670000000002E-2</v>
      </c>
      <c r="X2869">
        <v>0.99982870000000001</v>
      </c>
      <c r="Y2869">
        <v>-4.3919629999999996E-3</v>
      </c>
      <c r="Z2869">
        <v>6.6181490000000003E-4</v>
      </c>
      <c r="AA2869">
        <v>0.99999020000000005</v>
      </c>
      <c r="AB2869">
        <v>19</v>
      </c>
      <c r="AC2869">
        <v>-59.449399999999997</v>
      </c>
      <c r="AD2869">
        <v>-1.0295463</v>
      </c>
      <c r="AE2869">
        <v>-2.6725000000000101</v>
      </c>
      <c r="AF2869">
        <v>-0.26149260938174501</v>
      </c>
      <c r="AG2869">
        <v>-1.0295463</v>
      </c>
      <c r="AH2869">
        <v>59.491058642876297</v>
      </c>
      <c r="AI2869">
        <v>90.991446473212406</v>
      </c>
      <c r="AJ2869">
        <v>90.251841650588901</v>
      </c>
      <c r="AK2869">
        <v>59.500541194335</v>
      </c>
      <c r="AL2869">
        <v>88.970071836298004</v>
      </c>
      <c r="AM2869">
        <v>89.746683868145695</v>
      </c>
      <c r="AN2869">
        <v>1.0000000293389999</v>
      </c>
    </row>
    <row r="2870" spans="1:40" x14ac:dyDescent="0.25">
      <c r="A2870" t="str">
        <f>"20190312150718825"</f>
        <v>20190312150718825</v>
      </c>
      <c r="B2870" t="str">
        <f>"1552374438813463"</f>
        <v>1552374438813463</v>
      </c>
      <c r="C2870" t="s">
        <v>40</v>
      </c>
      <c r="D2870">
        <v>4.634061</v>
      </c>
      <c r="E2870">
        <v>0.49658659999999999</v>
      </c>
      <c r="F2870" t="s">
        <v>67</v>
      </c>
      <c r="G2870">
        <v>-278.95319999999998</v>
      </c>
      <c r="H2870">
        <v>8.000053E-2</v>
      </c>
      <c r="I2870">
        <v>279.23630000000003</v>
      </c>
      <c r="J2870">
        <v>-215.70259999999999</v>
      </c>
      <c r="K2870">
        <v>1.1095250000000001</v>
      </c>
      <c r="L2870">
        <v>282.03919999999999</v>
      </c>
      <c r="M2870">
        <v>-0.9991601</v>
      </c>
      <c r="N2870">
        <v>0</v>
      </c>
      <c r="O2870">
        <v>-4.0404959999999997E-2</v>
      </c>
      <c r="P2870">
        <v>-0.99929259999999998</v>
      </c>
      <c r="Q2870">
        <v>1.246829E-2</v>
      </c>
      <c r="R2870">
        <v>-3.5481909999999998E-2</v>
      </c>
      <c r="S2870">
        <v>-2.997849</v>
      </c>
      <c r="T2870">
        <v>-4.8666479999999998E-2</v>
      </c>
      <c r="U2870">
        <v>-0.1328125</v>
      </c>
      <c r="V2870">
        <v>4.9276349999999997E-3</v>
      </c>
      <c r="W2870">
        <v>1.9300990000000001E-2</v>
      </c>
      <c r="X2870">
        <v>0.99980159999999996</v>
      </c>
      <c r="Y2870">
        <v>-3.8615429999999998E-3</v>
      </c>
      <c r="Z2870">
        <v>6.2397009999999998E-4</v>
      </c>
      <c r="AA2870">
        <v>0.9999924</v>
      </c>
      <c r="AB2870">
        <v>19</v>
      </c>
      <c r="AC2870">
        <v>-63.250599999999899</v>
      </c>
      <c r="AD2870">
        <v>-1.0295244699999999</v>
      </c>
      <c r="AE2870">
        <v>-2.8028999999999602</v>
      </c>
      <c r="AF2870">
        <v>-0.24484883716470901</v>
      </c>
      <c r="AG2870">
        <v>-1.0295244699999999</v>
      </c>
      <c r="AH2870">
        <v>63.295463479148403</v>
      </c>
      <c r="AI2870">
        <v>90.931848215400393</v>
      </c>
      <c r="AJ2870">
        <v>90.221638870173905</v>
      </c>
      <c r="AK2870">
        <v>63.3043092421645</v>
      </c>
      <c r="AL2870">
        <v>88.894066087250295</v>
      </c>
      <c r="AM2870">
        <v>89.717613572087302</v>
      </c>
      <c r="AN2870">
        <v>1.0000000245821099</v>
      </c>
    </row>
    <row r="2871" spans="1:40" x14ac:dyDescent="0.25">
      <c r="A2871" t="str">
        <f>"20190312150718837"</f>
        <v>20190312150718837</v>
      </c>
      <c r="B2871" t="str">
        <f>"1552374438832984"</f>
        <v>1552374438832984</v>
      </c>
      <c r="C2871" t="s">
        <v>40</v>
      </c>
      <c r="D2871">
        <v>4.6037309999999998</v>
      </c>
      <c r="E2871">
        <v>0.49641489999999999</v>
      </c>
      <c r="F2871" t="s">
        <v>68</v>
      </c>
      <c r="G2871">
        <v>-284.98320000000001</v>
      </c>
      <c r="H2871">
        <v>8.0001039999999995E-2</v>
      </c>
      <c r="I2871">
        <v>278.97000000000003</v>
      </c>
      <c r="J2871">
        <v>-215.81540000000001</v>
      </c>
      <c r="K2871">
        <v>1.1095139999999999</v>
      </c>
      <c r="L2871">
        <v>282.03469999999999</v>
      </c>
      <c r="M2871">
        <v>-0.99916360000000004</v>
      </c>
      <c r="N2871">
        <v>0</v>
      </c>
      <c r="O2871">
        <v>-4.032761E-2</v>
      </c>
      <c r="P2871">
        <v>-0.99929349999999995</v>
      </c>
      <c r="Q2871">
        <v>1.326192E-2</v>
      </c>
      <c r="R2871">
        <v>-3.5169430000000002E-2</v>
      </c>
      <c r="S2871">
        <v>-2.9979710000000002</v>
      </c>
      <c r="T2871">
        <v>-4.455042E-2</v>
      </c>
      <c r="U2871">
        <v>-0.1328125</v>
      </c>
      <c r="V2871">
        <v>5.162776E-3</v>
      </c>
      <c r="W2871">
        <v>2.003518E-2</v>
      </c>
      <c r="X2871">
        <v>0.99978599999999995</v>
      </c>
      <c r="Y2871">
        <v>-3.9363799999999997E-3</v>
      </c>
      <c r="Z2871">
        <v>5.6947589999999896E-4</v>
      </c>
      <c r="AA2871">
        <v>0.99999210000000005</v>
      </c>
      <c r="AB2871">
        <v>19</v>
      </c>
      <c r="AC2871">
        <v>-69.1678</v>
      </c>
      <c r="AD2871">
        <v>-1.0295129599999999</v>
      </c>
      <c r="AE2871">
        <v>-3.0646999999999598</v>
      </c>
      <c r="AF2871">
        <v>-0.27271056793027298</v>
      </c>
      <c r="AG2871">
        <v>-1.0295129599999999</v>
      </c>
      <c r="AH2871">
        <v>69.219820000152694</v>
      </c>
      <c r="AI2871">
        <v>90.852096133575998</v>
      </c>
      <c r="AJ2871">
        <v>90.225731354516697</v>
      </c>
      <c r="AK2871">
        <v>69.228012746591304</v>
      </c>
      <c r="AL2871">
        <v>88.851991994405907</v>
      </c>
      <c r="AM2871">
        <v>89.704134038552496</v>
      </c>
      <c r="AN2871">
        <v>1.00000005424482</v>
      </c>
    </row>
    <row r="2872" spans="1:40" x14ac:dyDescent="0.25">
      <c r="A2872" t="str">
        <f>"20190312150718851"</f>
        <v>20190312150718851</v>
      </c>
      <c r="B2872" t="str">
        <f>"1552374438842744"</f>
        <v>1552374438842744</v>
      </c>
      <c r="C2872" t="s">
        <v>40</v>
      </c>
      <c r="D2872">
        <v>4.7716010000000004</v>
      </c>
      <c r="E2872">
        <v>0.49634309999999998</v>
      </c>
      <c r="F2872" t="s">
        <v>68</v>
      </c>
      <c r="G2872">
        <v>-299.63369999999998</v>
      </c>
      <c r="H2872" s="1">
        <v>4.8130609999999997E-6</v>
      </c>
      <c r="I2872">
        <v>278.31130000000002</v>
      </c>
      <c r="J2872">
        <v>-215.9297</v>
      </c>
      <c r="K2872">
        <v>1.109502</v>
      </c>
      <c r="L2872">
        <v>282.03019999999998</v>
      </c>
      <c r="M2872">
        <v>-0.99916729999999998</v>
      </c>
      <c r="N2872">
        <v>0</v>
      </c>
      <c r="O2872">
        <v>-4.0248239999999998E-2</v>
      </c>
      <c r="P2872">
        <v>-0.99929539999999994</v>
      </c>
      <c r="Q2872">
        <v>1.371001E-2</v>
      </c>
      <c r="R2872">
        <v>-3.4946690000000002E-2</v>
      </c>
      <c r="S2872">
        <v>-2.997986</v>
      </c>
      <c r="T2872">
        <v>-3.9684530000000003E-2</v>
      </c>
      <c r="U2872">
        <v>-0.13317870000000001</v>
      </c>
      <c r="V2872">
        <v>5.3062680000000003E-3</v>
      </c>
      <c r="W2872">
        <v>2.042277E-2</v>
      </c>
      <c r="X2872">
        <v>0.99977740000000004</v>
      </c>
      <c r="Y2872">
        <v>-4.1366770000000001E-3</v>
      </c>
      <c r="Z2872">
        <v>5.0490370000000004E-4</v>
      </c>
      <c r="AA2872">
        <v>0.99999130000000003</v>
      </c>
      <c r="AB2872">
        <v>19</v>
      </c>
      <c r="AC2872">
        <v>-83.703999999999894</v>
      </c>
      <c r="AD2872">
        <v>-1.109497186939</v>
      </c>
      <c r="AE2872">
        <v>-3.7188999999999601</v>
      </c>
      <c r="AF2872">
        <v>-0.34681154547853799</v>
      </c>
      <c r="AG2872">
        <v>-1.109497186939</v>
      </c>
      <c r="AH2872">
        <v>83.771165888691897</v>
      </c>
      <c r="AI2872">
        <v>90.758796230808997</v>
      </c>
      <c r="AJ2872">
        <v>90.237202432451895</v>
      </c>
      <c r="AK2872">
        <v>83.779230699539298</v>
      </c>
      <c r="AL2872">
        <v>88.829780171597704</v>
      </c>
      <c r="AM2872">
        <v>89.695908402508707</v>
      </c>
      <c r="AN2872">
        <v>1.0000000477826501</v>
      </c>
    </row>
    <row r="2873" spans="1:40" x14ac:dyDescent="0.25">
      <c r="A2873" t="str">
        <f>"20190312150718863"</f>
        <v>20190312150718863</v>
      </c>
      <c r="B2873" t="str">
        <f>"1552374438853480"</f>
        <v>1552374438853480</v>
      </c>
      <c r="C2873" t="s">
        <v>40</v>
      </c>
      <c r="D2873">
        <v>4.5897069999999998</v>
      </c>
      <c r="E2873">
        <v>0.49631049999999899</v>
      </c>
      <c r="F2873" t="s">
        <v>68</v>
      </c>
      <c r="G2873">
        <v>-305.31169999999997</v>
      </c>
      <c r="H2873" s="1">
        <v>3.8719810000000001E-6</v>
      </c>
      <c r="I2873">
        <v>278.05869999999999</v>
      </c>
      <c r="J2873">
        <v>-216.0395</v>
      </c>
      <c r="K2873">
        <v>1.109483</v>
      </c>
      <c r="L2873">
        <v>282.02589999999998</v>
      </c>
      <c r="M2873">
        <v>-0.99917069999999997</v>
      </c>
      <c r="N2873">
        <v>0</v>
      </c>
      <c r="O2873">
        <v>-4.0170900000000002E-2</v>
      </c>
      <c r="P2873">
        <v>-0.99930079999999999</v>
      </c>
      <c r="Q2873">
        <v>1.416188E-2</v>
      </c>
      <c r="R2873">
        <v>-3.460469E-2</v>
      </c>
      <c r="S2873">
        <v>-2.9979550000000001</v>
      </c>
      <c r="T2873">
        <v>-3.721356E-2</v>
      </c>
      <c r="U2873">
        <v>-0.1332092</v>
      </c>
      <c r="V2873">
        <v>5.5708930000000004E-3</v>
      </c>
      <c r="W2873">
        <v>2.081703E-2</v>
      </c>
      <c r="X2873">
        <v>0.99976779999999998</v>
      </c>
      <c r="Y2873">
        <v>-4.2243020000000001E-3</v>
      </c>
      <c r="Z2873">
        <v>4.719708E-4</v>
      </c>
      <c r="AA2873">
        <v>0.99999090000000002</v>
      </c>
      <c r="AB2873">
        <v>19</v>
      </c>
      <c r="AC2873">
        <v>-89.272199999999899</v>
      </c>
      <c r="AD2873">
        <v>-1.1094791280189999</v>
      </c>
      <c r="AE2873">
        <v>-3.9671999999999898</v>
      </c>
      <c r="AF2873">
        <v>-0.37771550746439803</v>
      </c>
      <c r="AG2873">
        <v>-1.1094791280189999</v>
      </c>
      <c r="AH2873">
        <v>89.345735102155601</v>
      </c>
      <c r="AI2873">
        <v>90.711445669928196</v>
      </c>
      <c r="AJ2873">
        <v>90.242220576983499</v>
      </c>
      <c r="AK2873">
        <v>89.353421836461607</v>
      </c>
      <c r="AL2873">
        <v>88.807185900044203</v>
      </c>
      <c r="AM2873">
        <v>89.680740514391402</v>
      </c>
      <c r="AN2873">
        <v>1.0000000187518301</v>
      </c>
    </row>
    <row r="2874" spans="1:40" x14ac:dyDescent="0.25">
      <c r="A2874" t="str">
        <f>"20190312150718881"</f>
        <v>20190312150718881</v>
      </c>
      <c r="B2874" t="str">
        <f>"1552374438873003"</f>
        <v>1552374438873003</v>
      </c>
      <c r="C2874" t="s">
        <v>40</v>
      </c>
      <c r="D2874">
        <v>4.7190640000000004</v>
      </c>
      <c r="E2874">
        <v>0.4962049</v>
      </c>
      <c r="F2874" t="s">
        <v>68</v>
      </c>
      <c r="G2874">
        <v>-310.36349999999999</v>
      </c>
      <c r="H2874">
        <v>5.5382469999999996E-3</v>
      </c>
      <c r="I2874">
        <v>277.86360000000002</v>
      </c>
      <c r="J2874">
        <v>-216.1943</v>
      </c>
      <c r="K2874">
        <v>1.1094679999999999</v>
      </c>
      <c r="L2874">
        <v>282.01979999999998</v>
      </c>
      <c r="M2874">
        <v>-0.99917579999999995</v>
      </c>
      <c r="N2874">
        <v>0</v>
      </c>
      <c r="O2874">
        <v>-4.0060480000000002E-2</v>
      </c>
      <c r="P2874">
        <v>-0.99930189999999997</v>
      </c>
      <c r="Q2874">
        <v>1.480184E-2</v>
      </c>
      <c r="R2874">
        <v>-3.4307810000000001E-2</v>
      </c>
      <c r="S2874">
        <v>-2.9980159999999998</v>
      </c>
      <c r="T2874">
        <v>-3.5088059999999997E-2</v>
      </c>
      <c r="U2874">
        <v>-0.13229369999999999</v>
      </c>
      <c r="V2874">
        <v>5.7574280000000002E-3</v>
      </c>
      <c r="W2874">
        <v>2.13729E-2</v>
      </c>
      <c r="X2874">
        <v>0.99975499999999995</v>
      </c>
      <c r="Y2874">
        <v>-4.0288629999999997E-3</v>
      </c>
      <c r="Z2874">
        <v>4.4486260000000001E-4</v>
      </c>
      <c r="AA2874">
        <v>0.99999179999999999</v>
      </c>
      <c r="AB2874">
        <v>19</v>
      </c>
      <c r="AC2874">
        <v>-94.169200000000004</v>
      </c>
      <c r="AD2874">
        <v>-1.1039297530000001</v>
      </c>
      <c r="AE2874">
        <v>-4.1561999999999504</v>
      </c>
      <c r="AF2874">
        <v>-0.38026710408380099</v>
      </c>
      <c r="AG2874">
        <v>-1.1039297530000001</v>
      </c>
      <c r="AH2874">
        <v>94.247179287046293</v>
      </c>
      <c r="AI2874">
        <v>90.671076939090099</v>
      </c>
      <c r="AJ2874">
        <v>90.231174896551295</v>
      </c>
      <c r="AK2874">
        <v>94.2544113956193</v>
      </c>
      <c r="AL2874">
        <v>88.775329788998206</v>
      </c>
      <c r="AM2874">
        <v>89.670046482762899</v>
      </c>
      <c r="AN2874">
        <v>1.00000000442829</v>
      </c>
    </row>
    <row r="2875" spans="1:40" x14ac:dyDescent="0.25">
      <c r="A2875" t="str">
        <f>"20190312150718894"</f>
        <v>20190312150718894</v>
      </c>
      <c r="B2875" t="str">
        <f>"1552374438882759"</f>
        <v>1552374438882759</v>
      </c>
      <c r="C2875" t="s">
        <v>40</v>
      </c>
      <c r="D2875">
        <v>4.5702819999999997</v>
      </c>
      <c r="E2875">
        <v>0.4961507</v>
      </c>
      <c r="F2875" t="s">
        <v>68</v>
      </c>
      <c r="G2875">
        <v>-313.37920000000003</v>
      </c>
      <c r="H2875">
        <v>8.0001420000000004E-2</v>
      </c>
      <c r="I2875">
        <v>277.72340000000003</v>
      </c>
      <c r="J2875">
        <v>-216.2997</v>
      </c>
      <c r="K2875">
        <v>1.109461</v>
      </c>
      <c r="L2875">
        <v>282.01560000000001</v>
      </c>
      <c r="M2875">
        <v>-0.99917909999999999</v>
      </c>
      <c r="N2875">
        <v>0</v>
      </c>
      <c r="O2875">
        <v>-3.9985060000000003E-2</v>
      </c>
      <c r="P2875">
        <v>-0.99930549999999996</v>
      </c>
      <c r="Q2875">
        <v>1.517198E-2</v>
      </c>
      <c r="R2875">
        <v>-3.4035950000000002E-2</v>
      </c>
      <c r="S2875">
        <v>-2.9980159999999998</v>
      </c>
      <c r="T2875">
        <v>-3.1757590000000002E-2</v>
      </c>
      <c r="U2875">
        <v>-0.13253779999999901</v>
      </c>
      <c r="V2875">
        <v>5.9539110000000001E-3</v>
      </c>
      <c r="W2875">
        <v>2.1682770000000001E-2</v>
      </c>
      <c r="X2875">
        <v>0.99974719999999995</v>
      </c>
      <c r="Y2875">
        <v>-4.1851650000000002E-3</v>
      </c>
      <c r="Z2875">
        <v>4.0101379999999998E-4</v>
      </c>
      <c r="AA2875">
        <v>0.99999119999999997</v>
      </c>
      <c r="AB2875">
        <v>19</v>
      </c>
      <c r="AC2875">
        <v>-97.079499999999996</v>
      </c>
      <c r="AD2875">
        <v>-1.0294595799999999</v>
      </c>
      <c r="AE2875">
        <v>-4.2921999999999798</v>
      </c>
      <c r="AF2875">
        <v>-0.40690984407464598</v>
      </c>
      <c r="AG2875">
        <v>-1.0294595799999999</v>
      </c>
      <c r="AH2875">
        <v>97.162582860824998</v>
      </c>
      <c r="AI2875">
        <v>90.607033728354693</v>
      </c>
      <c r="AJ2875">
        <v>90.239949162755394</v>
      </c>
      <c r="AK2875">
        <v>97.168888389415798</v>
      </c>
      <c r="AL2875">
        <v>88.757571459263005</v>
      </c>
      <c r="AM2875">
        <v>89.658783801560602</v>
      </c>
      <c r="AN2875">
        <v>1.0000000277394501</v>
      </c>
    </row>
    <row r="2876" spans="1:40" x14ac:dyDescent="0.25">
      <c r="A2876" t="str">
        <f>"20190312150718906"</f>
        <v>20190312150718906</v>
      </c>
      <c r="B2876" t="str">
        <f>"1552374438902787"</f>
        <v>1552374438902787</v>
      </c>
      <c r="C2876" t="s">
        <v>40</v>
      </c>
      <c r="D2876">
        <v>4.874047</v>
      </c>
      <c r="E2876">
        <v>0.49596760000000001</v>
      </c>
      <c r="F2876" t="s">
        <v>68</v>
      </c>
      <c r="G2876">
        <v>-319.32499999999999</v>
      </c>
      <c r="H2876">
        <v>8.000053E-2</v>
      </c>
      <c r="I2876">
        <v>277.48099999999999</v>
      </c>
      <c r="J2876">
        <v>-216.41</v>
      </c>
      <c r="K2876">
        <v>1.10945</v>
      </c>
      <c r="L2876">
        <v>282.01130000000001</v>
      </c>
      <c r="M2876">
        <v>-0.99918269999999998</v>
      </c>
      <c r="N2876">
        <v>0</v>
      </c>
      <c r="O2876">
        <v>-3.9906049999999998E-2</v>
      </c>
      <c r="P2876">
        <v>-0.99930359999999996</v>
      </c>
      <c r="Q2876">
        <v>1.551804E-2</v>
      </c>
      <c r="R2876">
        <v>-3.3934850000000003E-2</v>
      </c>
      <c r="S2876">
        <v>-2.998062</v>
      </c>
      <c r="T2876">
        <v>-2.995753E-2</v>
      </c>
      <c r="U2876">
        <v>-0.13195799999999999</v>
      </c>
      <c r="V2876">
        <v>5.975869E-3</v>
      </c>
      <c r="W2876">
        <v>2.196356E-2</v>
      </c>
      <c r="X2876">
        <v>0.99974090000000004</v>
      </c>
      <c r="Y2876">
        <v>-4.0703390000000001E-3</v>
      </c>
      <c r="Z2876">
        <v>3.7806610000000002E-4</v>
      </c>
      <c r="AA2876">
        <v>0.99999170000000004</v>
      </c>
      <c r="AB2876">
        <v>19</v>
      </c>
      <c r="AC2876">
        <v>-102.91500000000001</v>
      </c>
      <c r="AD2876">
        <v>-1.0294494700000001</v>
      </c>
      <c r="AE2876">
        <v>-4.5303000000000102</v>
      </c>
      <c r="AF2876">
        <v>-0.41963303912093702</v>
      </c>
      <c r="AG2876">
        <v>-1.0294494700000001</v>
      </c>
      <c r="AH2876">
        <v>103.003521960355</v>
      </c>
      <c r="AI2876">
        <v>90.572608155112604</v>
      </c>
      <c r="AJ2876">
        <v>90.233419873542999</v>
      </c>
      <c r="AK2876">
        <v>103.009520891693</v>
      </c>
      <c r="AL2876">
        <v>88.741479495428393</v>
      </c>
      <c r="AM2876">
        <v>89.657523269403697</v>
      </c>
      <c r="AN2876">
        <v>0.99999998805549395</v>
      </c>
    </row>
    <row r="2877" spans="1:40" x14ac:dyDescent="0.25">
      <c r="A2877" t="str">
        <f>"20190312150718920"</f>
        <v>20190312150718920</v>
      </c>
      <c r="B2877" t="str">
        <f>"1552374438913523"</f>
        <v>1552374438913523</v>
      </c>
      <c r="C2877" t="s">
        <v>40</v>
      </c>
      <c r="D2877">
        <v>4.5705739999999997</v>
      </c>
      <c r="E2877">
        <v>0.49591659999999999</v>
      </c>
      <c r="F2877" t="s">
        <v>67</v>
      </c>
      <c r="G2877">
        <v>-325.1481</v>
      </c>
      <c r="H2877">
        <v>8.0001740000000002E-2</v>
      </c>
      <c r="I2877">
        <v>277.17090000000002</v>
      </c>
      <c r="J2877">
        <v>-216.5273</v>
      </c>
      <c r="K2877">
        <v>1.1094379999999999</v>
      </c>
      <c r="L2877">
        <v>282.00670000000002</v>
      </c>
      <c r="M2877">
        <v>-0.99918649999999998</v>
      </c>
      <c r="N2877">
        <v>0</v>
      </c>
      <c r="O2877">
        <v>-3.982202E-2</v>
      </c>
      <c r="P2877">
        <v>-0.99930609999999997</v>
      </c>
      <c r="Q2877">
        <v>1.6105359999999999E-2</v>
      </c>
      <c r="R2877">
        <v>-3.3590729999999999E-2</v>
      </c>
      <c r="S2877">
        <v>-2.9980159999999998</v>
      </c>
      <c r="T2877">
        <v>-2.8382899999999999E-2</v>
      </c>
      <c r="U2877">
        <v>-0.1334534</v>
      </c>
      <c r="V2877">
        <v>6.2359379999999999E-3</v>
      </c>
      <c r="W2877">
        <v>2.2475559999999999E-2</v>
      </c>
      <c r="X2877">
        <v>0.99972799999999995</v>
      </c>
      <c r="Y2877">
        <v>-4.6527230000000001E-3</v>
      </c>
      <c r="Z2877">
        <v>3.5464570000000003E-4</v>
      </c>
      <c r="AA2877">
        <v>0.99998909999999996</v>
      </c>
      <c r="AB2877">
        <v>20</v>
      </c>
      <c r="AC2877">
        <v>-108.6208</v>
      </c>
      <c r="AD2877">
        <v>-1.02943626</v>
      </c>
      <c r="AE2877">
        <v>-4.8357999999999999</v>
      </c>
      <c r="AF2877">
        <v>-0.506331283592929</v>
      </c>
      <c r="AG2877">
        <v>-1.02943626</v>
      </c>
      <c r="AH2877">
        <v>108.717466811192</v>
      </c>
      <c r="AI2877">
        <v>90.542506667932898</v>
      </c>
      <c r="AJ2877">
        <v>90.266842455830798</v>
      </c>
      <c r="AK2877">
        <v>108.723519535677</v>
      </c>
      <c r="AL2877">
        <v>88.712136898707797</v>
      </c>
      <c r="AM2877">
        <v>89.642614496190802</v>
      </c>
      <c r="AN2877">
        <v>1.0000000558520199</v>
      </c>
    </row>
    <row r="2878" spans="1:40" x14ac:dyDescent="0.25">
      <c r="A2878" t="str">
        <f>"20190312150718939"</f>
        <v>20190312150718939</v>
      </c>
      <c r="B2878" t="str">
        <f>"1552374438933043"</f>
        <v>1552374438933043</v>
      </c>
      <c r="C2878" t="s">
        <v>40</v>
      </c>
      <c r="D2878">
        <v>4.9645330000000003</v>
      </c>
      <c r="E2878">
        <v>0.4957954</v>
      </c>
      <c r="F2878" t="s">
        <v>67</v>
      </c>
      <c r="G2878">
        <v>-334.65269999999998</v>
      </c>
      <c r="H2878">
        <v>8.0000440000000006E-2</v>
      </c>
      <c r="I2878">
        <v>276.77499999999998</v>
      </c>
      <c r="J2878">
        <v>-216.69649999999999</v>
      </c>
      <c r="K2878">
        <v>1.1094269999999999</v>
      </c>
      <c r="L2878">
        <v>282.00009999999997</v>
      </c>
      <c r="M2878">
        <v>-0.99919210000000003</v>
      </c>
      <c r="N2878">
        <v>0</v>
      </c>
      <c r="O2878">
        <v>-3.9701510000000002E-2</v>
      </c>
      <c r="P2878">
        <v>-0.99930730000000001</v>
      </c>
      <c r="Q2878">
        <v>1.7104830000000001E-2</v>
      </c>
      <c r="R2878">
        <v>-3.3052320000000003E-2</v>
      </c>
      <c r="S2878">
        <v>-2.9980470000000001</v>
      </c>
      <c r="T2878">
        <v>-2.6127339999999999E-2</v>
      </c>
      <c r="U2878">
        <v>-0.13278199999999901</v>
      </c>
      <c r="V2878">
        <v>6.6534799999999998E-3</v>
      </c>
      <c r="W2878">
        <v>2.336272E-2</v>
      </c>
      <c r="X2878">
        <v>0.99970490000000001</v>
      </c>
      <c r="Y2878">
        <v>-4.5491589999999997E-3</v>
      </c>
      <c r="Z2878">
        <v>3.2586440000000001E-4</v>
      </c>
      <c r="AA2878">
        <v>0.99998960000000003</v>
      </c>
      <c r="AB2878">
        <v>20</v>
      </c>
      <c r="AC2878">
        <v>-117.9562</v>
      </c>
      <c r="AD2878">
        <v>-1.0294265600000001</v>
      </c>
      <c r="AE2878">
        <v>-5.2250999999999896</v>
      </c>
      <c r="AF2878">
        <v>-0.53780897777526504</v>
      </c>
      <c r="AG2878">
        <v>-1.0294265600000001</v>
      </c>
      <c r="AH2878">
        <v>118.061671822428</v>
      </c>
      <c r="AI2878">
        <v>90.499566791679996</v>
      </c>
      <c r="AJ2878">
        <v>90.260998942302294</v>
      </c>
      <c r="AK2878">
        <v>118.06738462016401</v>
      </c>
      <c r="AL2878">
        <v>88.6612929274078</v>
      </c>
      <c r="AM2878">
        <v>89.618676776943303</v>
      </c>
      <c r="AN2878">
        <v>0.99999998628295905</v>
      </c>
    </row>
    <row r="2879" spans="1:40" x14ac:dyDescent="0.25">
      <c r="A2879" t="str">
        <f>"20190312150718961"</f>
        <v>20190312150718961</v>
      </c>
      <c r="B2879" t="str">
        <f>"1552374438953540"</f>
        <v>1552374438953540</v>
      </c>
      <c r="C2879" t="s">
        <v>40</v>
      </c>
      <c r="D2879">
        <v>4.6831300000000002</v>
      </c>
      <c r="E2879">
        <v>0.49567860000000002</v>
      </c>
      <c r="F2879" t="s">
        <v>67</v>
      </c>
      <c r="G2879">
        <v>-355.90730000000002</v>
      </c>
      <c r="H2879">
        <v>8.0001199999999995E-2</v>
      </c>
      <c r="I2879">
        <v>275.8587</v>
      </c>
      <c r="J2879">
        <v>-216.89609999999999</v>
      </c>
      <c r="K2879">
        <v>1.1094090000000001</v>
      </c>
      <c r="L2879">
        <v>281.9923</v>
      </c>
      <c r="M2879">
        <v>-0.99919860000000005</v>
      </c>
      <c r="N2879">
        <v>0</v>
      </c>
      <c r="O2879">
        <v>-3.955997E-2</v>
      </c>
      <c r="P2879">
        <v>-0.99928810000000001</v>
      </c>
      <c r="Q2879">
        <v>1.8669160000000001E-2</v>
      </c>
      <c r="R2879">
        <v>-3.279E-2</v>
      </c>
      <c r="S2879">
        <v>-2.9980769999999999</v>
      </c>
      <c r="T2879">
        <v>-2.2169950000000001E-2</v>
      </c>
      <c r="U2879">
        <v>-0.1322632</v>
      </c>
      <c r="V2879">
        <v>6.7736480000000002E-3</v>
      </c>
      <c r="W2879">
        <v>2.478996E-2</v>
      </c>
      <c r="X2879">
        <v>0.99966969999999999</v>
      </c>
      <c r="Y2879">
        <v>-4.5173219999999998E-3</v>
      </c>
      <c r="Z2879">
        <v>2.7557949999999998E-4</v>
      </c>
      <c r="AA2879">
        <v>0.99998969999999998</v>
      </c>
      <c r="AB2879">
        <v>20</v>
      </c>
      <c r="AC2879">
        <v>-139.0112</v>
      </c>
      <c r="AD2879">
        <v>-1.0294078</v>
      </c>
      <c r="AE2879">
        <v>-6.1336000000000004</v>
      </c>
      <c r="AF2879">
        <v>-0.62938288149709198</v>
      </c>
      <c r="AG2879">
        <v>-1.0294078</v>
      </c>
      <c r="AH2879">
        <v>139.137412167717</v>
      </c>
      <c r="AI2879">
        <v>90.423890612277503</v>
      </c>
      <c r="AJ2879">
        <v>90.259173548596806</v>
      </c>
      <c r="AK2879">
        <v>139.142643599867</v>
      </c>
      <c r="AL2879">
        <v>88.579494351714899</v>
      </c>
      <c r="AM2879">
        <v>89.611776266816307</v>
      </c>
      <c r="AN2879">
        <v>0.99999996676105896</v>
      </c>
    </row>
    <row r="2880" spans="1:40" x14ac:dyDescent="0.25">
      <c r="A2880" t="str">
        <f>"20190312150718983"</f>
        <v>20190312150718983</v>
      </c>
      <c r="B2880" t="str">
        <f>"1552374438973059"</f>
        <v>1552374438973059</v>
      </c>
      <c r="C2880" t="s">
        <v>40</v>
      </c>
      <c r="D2880">
        <v>4.5053089999999996</v>
      </c>
      <c r="E2880">
        <v>0.49554100000000001</v>
      </c>
      <c r="F2880" t="s">
        <v>68</v>
      </c>
      <c r="G2880">
        <v>-406.6567</v>
      </c>
      <c r="H2880">
        <v>8.0001310000000006E-2</v>
      </c>
      <c r="I2880">
        <v>273.6112</v>
      </c>
      <c r="J2880">
        <v>-217.0908</v>
      </c>
      <c r="K2880">
        <v>1.109397</v>
      </c>
      <c r="L2880">
        <v>281.98489999999998</v>
      </c>
      <c r="M2880">
        <v>-0.9992046</v>
      </c>
      <c r="N2880">
        <v>0</v>
      </c>
      <c r="O2880">
        <v>-3.9422720000000001E-2</v>
      </c>
      <c r="P2880">
        <v>-0.99926479999999995</v>
      </c>
      <c r="Q2880">
        <v>2.044062E-2</v>
      </c>
      <c r="R2880">
        <v>-3.243447E-2</v>
      </c>
      <c r="S2880">
        <v>-2.9980929999999999</v>
      </c>
      <c r="T2880">
        <v>-1.6263960000000001E-2</v>
      </c>
      <c r="U2880">
        <v>-0.1324158</v>
      </c>
      <c r="V2880">
        <v>6.9911410000000002E-3</v>
      </c>
      <c r="W2880">
        <v>2.64245E-2</v>
      </c>
      <c r="X2880">
        <v>0.99962629999999997</v>
      </c>
      <c r="Y2880">
        <v>-4.7048300000000001E-3</v>
      </c>
      <c r="Z2880">
        <v>2.0091419999999999E-4</v>
      </c>
      <c r="AA2880">
        <v>0.99998889999999996</v>
      </c>
      <c r="AB2880">
        <v>20</v>
      </c>
      <c r="AC2880">
        <v>-189.5659</v>
      </c>
      <c r="AD2880">
        <v>-1.0293956900000001</v>
      </c>
      <c r="AE2880">
        <v>-8.3736999999999799</v>
      </c>
      <c r="AF2880">
        <v>-0.89382595287983901</v>
      </c>
      <c r="AG2880">
        <v>-1.0293956900000001</v>
      </c>
      <c r="AH2880">
        <v>189.74306615064401</v>
      </c>
      <c r="AI2880">
        <v>90.3108350500668</v>
      </c>
      <c r="AJ2880">
        <v>90.2699022259267</v>
      </c>
      <c r="AK2880">
        <v>189.74796371125601</v>
      </c>
      <c r="AL2880">
        <v>88.485811326108902</v>
      </c>
      <c r="AM2880">
        <v>89.599293913520498</v>
      </c>
      <c r="AN2880">
        <v>0.99999993495220796</v>
      </c>
    </row>
    <row r="2881" spans="1:40" x14ac:dyDescent="0.25">
      <c r="A2881" t="str">
        <f>"20190312150719005"</f>
        <v>20190312150719005</v>
      </c>
      <c r="B2881" t="str">
        <f>"1552374438993085"</f>
        <v>1552374438993085</v>
      </c>
      <c r="C2881" t="s">
        <v>40</v>
      </c>
      <c r="D2881">
        <v>4.4894999999999996</v>
      </c>
      <c r="E2881">
        <v>0.49540200000000001</v>
      </c>
      <c r="F2881" t="s">
        <v>42</v>
      </c>
      <c r="G2881">
        <v>-501.5829</v>
      </c>
      <c r="H2881">
        <v>7.9985490000000006E-2</v>
      </c>
      <c r="I2881">
        <v>269.38240000000002</v>
      </c>
      <c r="J2881">
        <v>-217.27950000000001</v>
      </c>
      <c r="K2881">
        <v>1.1093770000000001</v>
      </c>
      <c r="L2881">
        <v>281.97750000000002</v>
      </c>
      <c r="M2881">
        <v>-0.99921079999999995</v>
      </c>
      <c r="N2881">
        <v>0</v>
      </c>
      <c r="O2881">
        <v>-3.9290859999999997E-2</v>
      </c>
      <c r="P2881">
        <v>-0.99922710000000003</v>
      </c>
      <c r="Q2881">
        <v>2.2404690000000001E-2</v>
      </c>
      <c r="R2881">
        <v>-3.2307080000000002E-2</v>
      </c>
      <c r="S2881">
        <v>-2.998138</v>
      </c>
      <c r="T2881">
        <v>-1.084852E-2</v>
      </c>
      <c r="U2881">
        <v>-0.1328125</v>
      </c>
      <c r="V2881">
        <v>6.9855250000000002E-3</v>
      </c>
      <c r="W2881">
        <v>2.8254390000000001E-2</v>
      </c>
      <c r="X2881">
        <v>0.99957629999999997</v>
      </c>
      <c r="Y2881">
        <v>-4.9679390000000002E-3</v>
      </c>
      <c r="Z2881">
        <v>1.3306120000000001E-4</v>
      </c>
      <c r="AA2881">
        <v>0.99998770000000003</v>
      </c>
      <c r="AB2881">
        <v>20</v>
      </c>
      <c r="AC2881">
        <v>-284.30340000000001</v>
      </c>
      <c r="AD2881">
        <v>-1.02939151</v>
      </c>
      <c r="AE2881">
        <v>-12.5951</v>
      </c>
      <c r="AF2881">
        <v>-1.4146404040728999</v>
      </c>
      <c r="AG2881">
        <v>-1.02939151</v>
      </c>
      <c r="AH2881">
        <v>284.57501530515299</v>
      </c>
      <c r="AI2881">
        <v>90.207252217719102</v>
      </c>
      <c r="AJ2881">
        <v>90.284818598566702</v>
      </c>
      <c r="AK2881">
        <v>284.58039319370198</v>
      </c>
      <c r="AL2881">
        <v>88.380927140070497</v>
      </c>
      <c r="AM2881">
        <v>89.599595764134406</v>
      </c>
      <c r="AN2881">
        <v>0.99999994381774204</v>
      </c>
    </row>
    <row r="2882" spans="1:40" x14ac:dyDescent="0.25">
      <c r="A2882" t="str">
        <f>"20190312150719019"</f>
        <v>20190312150719019</v>
      </c>
      <c r="B2882" t="str">
        <f>"1552374439012606"</f>
        <v>1552374439012606</v>
      </c>
      <c r="C2882" t="s">
        <v>40</v>
      </c>
      <c r="D2882">
        <v>4.8105379999999904</v>
      </c>
      <c r="E2882">
        <v>0.49528060000000002</v>
      </c>
      <c r="F2882" t="s">
        <v>69</v>
      </c>
      <c r="G2882">
        <v>-512.82539999999995</v>
      </c>
      <c r="H2882">
        <v>0.69114039999999999</v>
      </c>
      <c r="I2882">
        <v>268.82810000000001</v>
      </c>
      <c r="J2882">
        <v>-217.4136</v>
      </c>
      <c r="K2882">
        <v>1.109367</v>
      </c>
      <c r="L2882">
        <v>281.97239999999999</v>
      </c>
      <c r="M2882">
        <v>-0.99921479999999996</v>
      </c>
      <c r="N2882">
        <v>0</v>
      </c>
      <c r="O2882">
        <v>-3.9197500000000003E-2</v>
      </c>
      <c r="P2882">
        <v>-0.99920659999999994</v>
      </c>
      <c r="Q2882">
        <v>2.3501279999999999E-2</v>
      </c>
      <c r="R2882">
        <v>-3.2155820000000002E-2</v>
      </c>
      <c r="S2882">
        <v>-2.9981230000000001</v>
      </c>
      <c r="T2882">
        <v>-4.2419429999999998E-3</v>
      </c>
      <c r="U2882">
        <v>-0.13339229999999899</v>
      </c>
      <c r="V2882">
        <v>7.0425599999999998E-3</v>
      </c>
      <c r="W2882">
        <v>2.925581E-2</v>
      </c>
      <c r="X2882">
        <v>0.99954710000000002</v>
      </c>
      <c r="Y2882">
        <v>-5.2544339999999997E-3</v>
      </c>
      <c r="Z2882" s="1">
        <v>5.1694650000000001E-5</v>
      </c>
      <c r="AA2882">
        <v>0.99998620000000005</v>
      </c>
      <c r="AB2882">
        <v>20</v>
      </c>
      <c r="AC2882">
        <v>-295.41180000000003</v>
      </c>
      <c r="AD2882">
        <v>-0.418226599999999</v>
      </c>
      <c r="AE2882">
        <v>-13.1442999999999</v>
      </c>
      <c r="AF2882">
        <v>-1.55459787037148</v>
      </c>
      <c r="AG2882">
        <v>-0.418226599999999</v>
      </c>
      <c r="AH2882">
        <v>295.69940412733803</v>
      </c>
      <c r="AI2882">
        <v>90.081035915505495</v>
      </c>
      <c r="AJ2882">
        <v>90.301221696556993</v>
      </c>
      <c r="AK2882">
        <v>295.70378639660697</v>
      </c>
      <c r="AL2882">
        <v>88.323526273603903</v>
      </c>
      <c r="AM2882">
        <v>89.596314882922997</v>
      </c>
      <c r="AN2882">
        <v>0.999999952594258</v>
      </c>
    </row>
    <row r="2883" spans="1:40" x14ac:dyDescent="0.25">
      <c r="A2883" t="str">
        <f>"20190312150719037"</f>
        <v>20190312150719037</v>
      </c>
      <c r="B2883" t="str">
        <f>"1552374439033101"</f>
        <v>1552374439033101</v>
      </c>
      <c r="C2883" t="s">
        <v>40</v>
      </c>
      <c r="D2883">
        <v>4.4965250000000001</v>
      </c>
      <c r="E2883">
        <v>0.49513509999999999</v>
      </c>
      <c r="F2883" t="s">
        <v>69</v>
      </c>
      <c r="G2883">
        <v>-512.82550000000003</v>
      </c>
      <c r="H2883">
        <v>1.0802989999999999</v>
      </c>
      <c r="I2883">
        <v>268.75959999999998</v>
      </c>
      <c r="J2883">
        <v>-217.5822</v>
      </c>
      <c r="K2883">
        <v>1.1093599999999999</v>
      </c>
      <c r="L2883">
        <v>281.96589999999998</v>
      </c>
      <c r="M2883">
        <v>-0.99922010000000006</v>
      </c>
      <c r="N2883">
        <v>0</v>
      </c>
      <c r="O2883">
        <v>-3.9080240000000002E-2</v>
      </c>
      <c r="P2883">
        <v>-0.99915089999999995</v>
      </c>
      <c r="Q2883">
        <v>2.6239140000000001E-2</v>
      </c>
      <c r="R2883">
        <v>-3.1765010000000003E-2</v>
      </c>
      <c r="S2883">
        <v>-2.998062</v>
      </c>
      <c r="T2883">
        <v>-2.9420850000000002E-4</v>
      </c>
      <c r="U2883">
        <v>-0.1340942</v>
      </c>
      <c r="V2883">
        <v>7.3142529999999997E-3</v>
      </c>
      <c r="W2883">
        <v>3.1876719999999997E-2</v>
      </c>
      <c r="X2883">
        <v>0.99946500000000005</v>
      </c>
      <c r="Y2883">
        <v>-5.606331E-3</v>
      </c>
      <c r="Z2883" s="1">
        <v>3.5566890000000001E-6</v>
      </c>
      <c r="AA2883">
        <v>0.99998430000000005</v>
      </c>
      <c r="AB2883">
        <v>20</v>
      </c>
      <c r="AC2883">
        <v>-295.24329999999998</v>
      </c>
      <c r="AD2883">
        <v>-2.9061000000000201E-2</v>
      </c>
      <c r="AE2883">
        <v>-13.206300000000001</v>
      </c>
      <c r="AF2883">
        <v>-1.6578478331396</v>
      </c>
      <c r="AG2883">
        <v>-2.9061000000000201E-2</v>
      </c>
      <c r="AH2883">
        <v>295.53385999925399</v>
      </c>
      <c r="AI2883">
        <v>90.005634029363193</v>
      </c>
      <c r="AJ2883">
        <v>90.321407122562206</v>
      </c>
      <c r="AK2883">
        <v>295.53851138225298</v>
      </c>
      <c r="AL2883">
        <v>88.1732889465559</v>
      </c>
      <c r="AM2883">
        <v>89.580707332275296</v>
      </c>
      <c r="AN2883">
        <v>0.99999995489995197</v>
      </c>
    </row>
    <row r="2884" spans="1:40" x14ac:dyDescent="0.25">
      <c r="A2884" t="str">
        <f>"20190312150719049"</f>
        <v>20190312150719049</v>
      </c>
      <c r="B2884" t="str">
        <f>"1552374439042861"</f>
        <v>1552374439042861</v>
      </c>
      <c r="C2884" t="s">
        <v>40</v>
      </c>
      <c r="D2884">
        <v>4.4951720000000002</v>
      </c>
      <c r="E2884">
        <v>0.49506070000000002</v>
      </c>
      <c r="F2884" t="s">
        <v>69</v>
      </c>
      <c r="G2884">
        <v>-512.82579999999996</v>
      </c>
      <c r="H2884">
        <v>1.878169</v>
      </c>
      <c r="I2884">
        <v>268.7516</v>
      </c>
      <c r="J2884">
        <v>-217.6934</v>
      </c>
      <c r="K2884">
        <v>1.1093519999999999</v>
      </c>
      <c r="L2884">
        <v>281.96170000000001</v>
      </c>
      <c r="M2884">
        <v>-0.99922359999999999</v>
      </c>
      <c r="N2884">
        <v>0</v>
      </c>
      <c r="O2884">
        <v>-3.9003040000000003E-2</v>
      </c>
      <c r="P2884">
        <v>-0.99911879999999997</v>
      </c>
      <c r="Q2884">
        <v>2.7624820000000001E-2</v>
      </c>
      <c r="R2884">
        <v>-3.1602209999999999E-2</v>
      </c>
      <c r="S2884">
        <v>-2.9980769999999999</v>
      </c>
      <c r="T2884">
        <v>7.80773199999999E-3</v>
      </c>
      <c r="U2884">
        <v>-0.13418579999999999</v>
      </c>
      <c r="V2884">
        <v>7.3988659999999996E-3</v>
      </c>
      <c r="W2884">
        <v>3.3188750000000003E-2</v>
      </c>
      <c r="X2884">
        <v>0.99942169999999997</v>
      </c>
      <c r="Y2884">
        <v>-5.713971E-3</v>
      </c>
      <c r="Z2884" s="1">
        <v>-9.4046090000000007E-5</v>
      </c>
      <c r="AA2884">
        <v>0.99998370000000003</v>
      </c>
      <c r="AB2884">
        <v>20</v>
      </c>
      <c r="AC2884">
        <v>-295.13240000000002</v>
      </c>
      <c r="AD2884">
        <v>0.76881699999999897</v>
      </c>
      <c r="AE2884">
        <v>-13.210100000000001</v>
      </c>
      <c r="AF2884">
        <v>-1.68879758167009</v>
      </c>
      <c r="AG2884">
        <v>0.76881699999999897</v>
      </c>
      <c r="AH2884">
        <v>295.42106574743099</v>
      </c>
      <c r="AI2884">
        <v>89.8508936726531</v>
      </c>
      <c r="AJ2884">
        <v>90.327532228047502</v>
      </c>
      <c r="AK2884">
        <v>295.42689316343399</v>
      </c>
      <c r="AL2884">
        <v>88.098075401379106</v>
      </c>
      <c r="AM2884">
        <v>89.575838656863496</v>
      </c>
      <c r="AN2884">
        <v>0.99999998538776902</v>
      </c>
    </row>
    <row r="2885" spans="1:40" x14ac:dyDescent="0.25">
      <c r="A2885" t="str">
        <f>"20190312150719061"</f>
        <v>20190312150719061</v>
      </c>
      <c r="B2885" t="str">
        <f>"1552374439052622"</f>
        <v>1552374439052622</v>
      </c>
      <c r="C2885" t="s">
        <v>40</v>
      </c>
      <c r="D2885">
        <v>4.4776069999999999</v>
      </c>
      <c r="E2885">
        <v>0.49498900000000001</v>
      </c>
      <c r="F2885" t="s">
        <v>69</v>
      </c>
      <c r="G2885">
        <v>-512.82590000000005</v>
      </c>
      <c r="H2885">
        <v>2.2585160000000002</v>
      </c>
      <c r="I2885">
        <v>268.74340000000001</v>
      </c>
      <c r="J2885">
        <v>-217.80600000000001</v>
      </c>
      <c r="K2885">
        <v>1.1093489999999999</v>
      </c>
      <c r="L2885">
        <v>281.95740000000001</v>
      </c>
      <c r="M2885">
        <v>-0.99922719999999998</v>
      </c>
      <c r="N2885">
        <v>0</v>
      </c>
      <c r="O2885">
        <v>-3.8925010000000003E-2</v>
      </c>
      <c r="P2885">
        <v>-0.99908229999999998</v>
      </c>
      <c r="Q2885">
        <v>2.9095409999999999E-2</v>
      </c>
      <c r="R2885">
        <v>-3.1444550000000002E-2</v>
      </c>
      <c r="S2885">
        <v>-2.9980929999999999</v>
      </c>
      <c r="T2885">
        <v>1.1674520000000001E-2</v>
      </c>
      <c r="U2885">
        <v>-0.13427729999999999</v>
      </c>
      <c r="V2885">
        <v>7.4774079999999996E-3</v>
      </c>
      <c r="W2885">
        <v>3.4586510000000001E-2</v>
      </c>
      <c r="X2885">
        <v>0.99937370000000003</v>
      </c>
      <c r="Y2885">
        <v>-5.8224690000000003E-3</v>
      </c>
      <c r="Z2885">
        <v>-1.4010690000000001E-4</v>
      </c>
      <c r="AA2885">
        <v>0.99998299999999996</v>
      </c>
      <c r="AB2885">
        <v>20</v>
      </c>
      <c r="AC2885">
        <v>-295.01990000000001</v>
      </c>
      <c r="AD2885">
        <v>1.149167</v>
      </c>
      <c r="AE2885">
        <v>-13.214</v>
      </c>
      <c r="AF2885">
        <v>-1.7201352866937101</v>
      </c>
      <c r="AG2885">
        <v>1.149167</v>
      </c>
      <c r="AH2885">
        <v>295.30619908326798</v>
      </c>
      <c r="AI2885">
        <v>89.777041694539804</v>
      </c>
      <c r="AJ2885">
        <v>90.333739615976498</v>
      </c>
      <c r="AK2885">
        <v>295.313444778941</v>
      </c>
      <c r="AL2885">
        <v>88.017943581269407</v>
      </c>
      <c r="AM2885">
        <v>89.571315589225193</v>
      </c>
      <c r="AN2885">
        <v>0.99999996527803303</v>
      </c>
    </row>
    <row r="2886" spans="1:40" x14ac:dyDescent="0.25">
      <c r="A2886" t="str">
        <f>"20190312150719074"</f>
        <v>20190312150719074</v>
      </c>
      <c r="B2886" t="str">
        <f>"1552374439063358"</f>
        <v>1552374439063358</v>
      </c>
      <c r="C2886" t="s">
        <v>40</v>
      </c>
      <c r="D2886">
        <v>4.4687720000000004</v>
      </c>
      <c r="E2886">
        <v>0.49498900000000001</v>
      </c>
      <c r="F2886" t="s">
        <v>69</v>
      </c>
      <c r="G2886">
        <v>-512.82600000000002</v>
      </c>
      <c r="H2886">
        <v>2.589693</v>
      </c>
      <c r="I2886">
        <v>268.72919999999999</v>
      </c>
      <c r="J2886">
        <v>-217.91370000000001</v>
      </c>
      <c r="K2886">
        <v>1.1093459999999999</v>
      </c>
      <c r="L2886">
        <v>281.95330000000001</v>
      </c>
      <c r="M2886">
        <v>-0.99923030000000002</v>
      </c>
      <c r="N2886">
        <v>0</v>
      </c>
      <c r="O2886">
        <v>-3.8849620000000001E-2</v>
      </c>
      <c r="P2886">
        <v>-0.99906360000000005</v>
      </c>
      <c r="Q2886">
        <v>3.0173430000000001E-2</v>
      </c>
      <c r="R2886">
        <v>-3.1009490000000001E-2</v>
      </c>
      <c r="S2886">
        <v>-2.9981230000000001</v>
      </c>
      <c r="T2886">
        <v>1.5044689999999999E-2</v>
      </c>
      <c r="U2886">
        <v>-0.13442989999999999</v>
      </c>
      <c r="V2886">
        <v>7.8361430000000003E-3</v>
      </c>
      <c r="W2886">
        <v>3.5601069999999999E-2</v>
      </c>
      <c r="X2886">
        <v>0.99933530000000004</v>
      </c>
      <c r="Y2886">
        <v>-5.9484209999999997E-3</v>
      </c>
      <c r="Z2886">
        <v>-1.7985629999999999E-4</v>
      </c>
      <c r="AA2886">
        <v>0.99998229999999999</v>
      </c>
      <c r="AB2886">
        <v>20</v>
      </c>
      <c r="AC2886">
        <v>-294.91230000000002</v>
      </c>
      <c r="AD2886">
        <v>1.4803469999999901</v>
      </c>
      <c r="AE2886">
        <v>-13.2241</v>
      </c>
      <c r="AF2886">
        <v>-1.7566723731926599</v>
      </c>
      <c r="AG2886">
        <v>1.4803469999999901</v>
      </c>
      <c r="AH2886">
        <v>295.19599069957502</v>
      </c>
      <c r="AI2886">
        <v>89.712680980579606</v>
      </c>
      <c r="AJ2886">
        <v>90.3409555958347</v>
      </c>
      <c r="AK2886">
        <v>295.20492924436502</v>
      </c>
      <c r="AL2886">
        <v>87.959777693493294</v>
      </c>
      <c r="AM2886">
        <v>89.550732652172897</v>
      </c>
      <c r="AN2886">
        <v>0.99999994157417404</v>
      </c>
    </row>
    <row r="2887" spans="1:40" x14ac:dyDescent="0.25">
      <c r="A2887" t="str">
        <f>"20190312150719086"</f>
        <v>20190312150719086</v>
      </c>
      <c r="B2887" t="str">
        <f>"1552374439082877"</f>
        <v>1552374439082877</v>
      </c>
      <c r="C2887" t="s">
        <v>40</v>
      </c>
      <c r="D2887">
        <v>4.5792510000000002</v>
      </c>
      <c r="E2887">
        <v>0.4881318</v>
      </c>
      <c r="F2887" t="s">
        <v>69</v>
      </c>
      <c r="G2887">
        <v>-512.8261</v>
      </c>
      <c r="H2887">
        <v>2.909904</v>
      </c>
      <c r="I2887">
        <v>268.85300000000001</v>
      </c>
      <c r="J2887">
        <v>-218.03190000000001</v>
      </c>
      <c r="K2887">
        <v>1.1093409999999999</v>
      </c>
      <c r="L2887">
        <v>281.94880000000001</v>
      </c>
      <c r="M2887">
        <v>-0.99923399999999996</v>
      </c>
      <c r="N2887">
        <v>0</v>
      </c>
      <c r="O2887">
        <v>-3.8766839999999997E-2</v>
      </c>
      <c r="P2887">
        <v>-0.99903589999999998</v>
      </c>
      <c r="Q2887">
        <v>3.1404340000000003E-2</v>
      </c>
      <c r="R2887">
        <v>-3.068311E-2</v>
      </c>
      <c r="S2887">
        <v>-2.9981080000000002</v>
      </c>
      <c r="T2887">
        <v>1.8305419999999999E-2</v>
      </c>
      <c r="U2887">
        <v>-0.13317870000000001</v>
      </c>
      <c r="V2887">
        <v>8.0787849999999998E-3</v>
      </c>
      <c r="W2887">
        <v>3.6764749999999999E-2</v>
      </c>
      <c r="X2887">
        <v>0.99929129999999999</v>
      </c>
      <c r="Y2887">
        <v>-5.6152179999999999E-3</v>
      </c>
      <c r="Z2887">
        <v>-2.193525E-4</v>
      </c>
      <c r="AA2887">
        <v>0.99998419999999999</v>
      </c>
      <c r="AB2887">
        <v>21</v>
      </c>
      <c r="AC2887">
        <v>-294.79419999999999</v>
      </c>
      <c r="AD2887">
        <v>1.8005629999999999</v>
      </c>
      <c r="AE2887">
        <v>-13.095799999999899</v>
      </c>
      <c r="AF2887">
        <v>-1.65749097817608</v>
      </c>
      <c r="AG2887">
        <v>1.8005629999999999</v>
      </c>
      <c r="AH2887">
        <v>295.06929586592298</v>
      </c>
      <c r="AI2887">
        <v>89.650381269431094</v>
      </c>
      <c r="AJ2887">
        <v>90.321843851985903</v>
      </c>
      <c r="AK2887">
        <v>295.07944466918002</v>
      </c>
      <c r="AL2887">
        <v>87.893060185208199</v>
      </c>
      <c r="AM2887">
        <v>89.536801531278101</v>
      </c>
      <c r="AN2887">
        <v>1.0000000079326601</v>
      </c>
    </row>
    <row r="2888" spans="1:40" x14ac:dyDescent="0.25">
      <c r="A2888" t="str">
        <f>"20190312150719131"</f>
        <v>20190312150719131</v>
      </c>
      <c r="B2888" t="str">
        <f>"1552374439122893"</f>
        <v>1552374439122893</v>
      </c>
      <c r="C2888" t="s">
        <v>40</v>
      </c>
      <c r="D2888">
        <v>4.8614420000000003</v>
      </c>
      <c r="E2888">
        <v>0.4881318</v>
      </c>
      <c r="F2888" t="s">
        <v>42</v>
      </c>
      <c r="G2888">
        <v>-432.86270000000002</v>
      </c>
      <c r="H2888">
        <v>7.9985780000000006E-2</v>
      </c>
      <c r="I2888">
        <v>268.55270000000002</v>
      </c>
      <c r="J2888">
        <v>-218.4442</v>
      </c>
      <c r="K2888">
        <v>1.1093360000000001</v>
      </c>
      <c r="L2888">
        <v>281.93329999999997</v>
      </c>
      <c r="M2888">
        <v>-0.99924650000000004</v>
      </c>
      <c r="N2888">
        <v>0</v>
      </c>
      <c r="O2888">
        <v>-3.8469030000000001E-2</v>
      </c>
      <c r="P2888">
        <v>-0.99897519999999995</v>
      </c>
      <c r="Q2888">
        <v>3.4750660000000003E-2</v>
      </c>
      <c r="R2888">
        <v>-2.9005019999999999E-2</v>
      </c>
      <c r="S2888">
        <v>-2.9976039999999999</v>
      </c>
      <c r="T2888">
        <v>-1.4362929999999999E-2</v>
      </c>
      <c r="U2888">
        <v>-0.18692020000000001</v>
      </c>
      <c r="V2888">
        <v>9.4567499999999999E-3</v>
      </c>
      <c r="W2888">
        <v>3.9918130000000003E-2</v>
      </c>
      <c r="X2888">
        <v>0.9991582</v>
      </c>
      <c r="Y2888">
        <v>-2.379477E-2</v>
      </c>
      <c r="Z2888">
        <v>1.271062E-4</v>
      </c>
      <c r="AA2888">
        <v>0.99971690000000002</v>
      </c>
      <c r="AB2888">
        <v>21</v>
      </c>
      <c r="AC2888">
        <v>-214.41849999999999</v>
      </c>
      <c r="AD2888">
        <v>-1.02935022</v>
      </c>
      <c r="AE2888">
        <v>-13.3805999999999</v>
      </c>
      <c r="AF2888">
        <v>-5.1219964609353497</v>
      </c>
      <c r="AG2888">
        <v>-1.02935022</v>
      </c>
      <c r="AH2888">
        <v>214.769596777765</v>
      </c>
      <c r="AI2888">
        <v>90.274527716830704</v>
      </c>
      <c r="AJ2888">
        <v>91.366176428166597</v>
      </c>
      <c r="AK2888">
        <v>214.83313084742099</v>
      </c>
      <c r="AL2888">
        <v>87.712251774223404</v>
      </c>
      <c r="AM2888">
        <v>89.457727830765506</v>
      </c>
      <c r="AN2888">
        <v>0.99999999792524896</v>
      </c>
    </row>
    <row r="2889" spans="1:40" x14ac:dyDescent="0.25">
      <c r="A2889" t="str">
        <f>"20190312150719152"</f>
        <v>20190312150719152</v>
      </c>
      <c r="B2889" t="str">
        <f>"1552374439143390"</f>
        <v>1552374439143390</v>
      </c>
      <c r="C2889" t="s">
        <v>40</v>
      </c>
      <c r="D2889">
        <v>4.4789779999999997</v>
      </c>
      <c r="E2889">
        <v>0.48921559999999997</v>
      </c>
      <c r="F2889" t="s">
        <v>70</v>
      </c>
      <c r="G2889">
        <v>-440.6841</v>
      </c>
      <c r="H2889">
        <v>0.80101679999999997</v>
      </c>
      <c r="I2889">
        <v>268.42059999999998</v>
      </c>
      <c r="J2889">
        <v>-218.6361</v>
      </c>
      <c r="K2889">
        <v>1.109335</v>
      </c>
      <c r="L2889">
        <v>281.92599999999999</v>
      </c>
      <c r="M2889">
        <v>-0.99925249999999999</v>
      </c>
      <c r="N2889">
        <v>0</v>
      </c>
      <c r="O2889">
        <v>-3.8323879999999998E-2</v>
      </c>
      <c r="P2889">
        <v>-0.99895080000000003</v>
      </c>
      <c r="Q2889">
        <v>3.6303580000000002E-2</v>
      </c>
      <c r="R2889">
        <v>-2.792238E-2</v>
      </c>
      <c r="S2889">
        <v>-2.9979399999999998</v>
      </c>
      <c r="T2889">
        <v>-4.1589740000000002E-3</v>
      </c>
      <c r="U2889">
        <v>-0.18228150000000001</v>
      </c>
      <c r="V2889">
        <v>1.039328E-2</v>
      </c>
      <c r="W2889">
        <v>4.1399869999999998E-2</v>
      </c>
      <c r="X2889">
        <v>0.99908859999999999</v>
      </c>
      <c r="Y2889">
        <v>-2.2391870000000001E-2</v>
      </c>
      <c r="Z2889" s="1">
        <v>3.7574719999999999E-5</v>
      </c>
      <c r="AA2889">
        <v>0.9997492</v>
      </c>
      <c r="AB2889">
        <v>21</v>
      </c>
      <c r="AC2889">
        <v>-222.048</v>
      </c>
      <c r="AD2889">
        <v>-0.30831819999999899</v>
      </c>
      <c r="AE2889">
        <v>-13.5054</v>
      </c>
      <c r="AF2889">
        <v>-4.9856183497099797</v>
      </c>
      <c r="AG2889">
        <v>-0.30831819999999899</v>
      </c>
      <c r="AH2889">
        <v>222.40203151759599</v>
      </c>
      <c r="AI2889">
        <v>90.079409721150796</v>
      </c>
      <c r="AJ2889">
        <v>91.284192650049903</v>
      </c>
      <c r="AK2889">
        <v>222.45811981942799</v>
      </c>
      <c r="AL2889">
        <v>87.627284061579601</v>
      </c>
      <c r="AM2889">
        <v>89.403987194075896</v>
      </c>
      <c r="AN2889">
        <v>1.00000000007756</v>
      </c>
    </row>
    <row r="2890" spans="1:40" x14ac:dyDescent="0.25">
      <c r="A2890" t="str">
        <f>"20190312150719174"</f>
        <v>20190312150719174</v>
      </c>
      <c r="B2890" t="str">
        <f>"1552374439162909"</f>
        <v>1552374439162909</v>
      </c>
      <c r="C2890" t="s">
        <v>40</v>
      </c>
      <c r="D2890">
        <v>4.4243009999999998</v>
      </c>
      <c r="E2890">
        <v>0.4890292</v>
      </c>
      <c r="F2890" t="s">
        <v>70</v>
      </c>
      <c r="G2890">
        <v>-440.6841</v>
      </c>
      <c r="H2890">
        <v>0.54536719999999905</v>
      </c>
      <c r="I2890">
        <v>269.31420000000003</v>
      </c>
      <c r="J2890">
        <v>-218.84989999999999</v>
      </c>
      <c r="K2890">
        <v>1.1093219999999999</v>
      </c>
      <c r="L2890">
        <v>281.91800000000001</v>
      </c>
      <c r="M2890">
        <v>-0.99925929999999996</v>
      </c>
      <c r="N2890">
        <v>0</v>
      </c>
      <c r="O2890">
        <v>-3.8153109999999997E-2</v>
      </c>
      <c r="P2890">
        <v>-0.99892749999999997</v>
      </c>
      <c r="Q2890">
        <v>3.759171E-2</v>
      </c>
      <c r="R2890">
        <v>-2.7042759999999999E-2</v>
      </c>
      <c r="S2890">
        <v>-2.998688</v>
      </c>
      <c r="T2890">
        <v>-7.6160430000000003E-3</v>
      </c>
      <c r="U2890">
        <v>-0.17031859999999999</v>
      </c>
      <c r="V2890">
        <v>1.110162E-2</v>
      </c>
      <c r="W2890">
        <v>4.262092E-2</v>
      </c>
      <c r="X2890">
        <v>0.99902959999999996</v>
      </c>
      <c r="Y2890">
        <v>-1.85729E-2</v>
      </c>
      <c r="Z2890" s="1">
        <v>7.3213549999999895E-5</v>
      </c>
      <c r="AA2890">
        <v>0.99982749999999998</v>
      </c>
      <c r="AB2890">
        <v>21</v>
      </c>
      <c r="AC2890">
        <v>-221.83420000000001</v>
      </c>
      <c r="AD2890">
        <v>-0.56395479999999998</v>
      </c>
      <c r="AE2890">
        <v>-12.6037999999999</v>
      </c>
      <c r="AF2890">
        <v>-4.1308251511463796</v>
      </c>
      <c r="AG2890">
        <v>-0.56395479999999998</v>
      </c>
      <c r="AH2890">
        <v>222.15212865008601</v>
      </c>
      <c r="AI2890">
        <v>90.145425461522905</v>
      </c>
      <c r="AJ2890">
        <v>91.065268094739693</v>
      </c>
      <c r="AK2890">
        <v>222.19124650897001</v>
      </c>
      <c r="AL2890">
        <v>87.557261142461996</v>
      </c>
      <c r="AM2890">
        <v>89.363332386105199</v>
      </c>
      <c r="AN2890">
        <v>0.99999996523221402</v>
      </c>
    </row>
    <row r="2891" spans="1:40" x14ac:dyDescent="0.25">
      <c r="A2891" t="str">
        <f>"20190312150719187"</f>
        <v>20190312150719187</v>
      </c>
      <c r="B2891" t="str">
        <f>"1552374439183406"</f>
        <v>1552374439183406</v>
      </c>
      <c r="C2891" t="s">
        <v>40</v>
      </c>
      <c r="D2891">
        <v>4.4012289999999998</v>
      </c>
      <c r="E2891">
        <v>0.4888941</v>
      </c>
      <c r="F2891" t="s">
        <v>70</v>
      </c>
      <c r="G2891">
        <v>-440.6841</v>
      </c>
      <c r="H2891">
        <v>0.78696919999999904</v>
      </c>
      <c r="I2891">
        <v>269.37520000000001</v>
      </c>
      <c r="J2891">
        <v>-218.97190000000001</v>
      </c>
      <c r="K2891">
        <v>1.1093170000000001</v>
      </c>
      <c r="L2891">
        <v>281.9135</v>
      </c>
      <c r="M2891">
        <v>-0.99926329999999997</v>
      </c>
      <c r="N2891">
        <v>0</v>
      </c>
      <c r="O2891">
        <v>-3.8051679999999997E-2</v>
      </c>
      <c r="P2891">
        <v>-0.99891490000000005</v>
      </c>
      <c r="Q2891">
        <v>3.8217950000000001E-2</v>
      </c>
      <c r="R2891">
        <v>-2.661815E-2</v>
      </c>
      <c r="S2891">
        <v>-2.9987949999999999</v>
      </c>
      <c r="T2891">
        <v>-4.3574570000000003E-3</v>
      </c>
      <c r="U2891">
        <v>-0.1695557</v>
      </c>
      <c r="V2891">
        <v>1.1424520000000001E-2</v>
      </c>
      <c r="W2891">
        <v>4.3214040000000002E-2</v>
      </c>
      <c r="X2891">
        <v>0.99900049999999996</v>
      </c>
      <c r="Y2891">
        <v>-1.8418770000000001E-2</v>
      </c>
      <c r="Z2891" s="1">
        <v>4.1852240000000002E-5</v>
      </c>
      <c r="AA2891">
        <v>0.99983040000000001</v>
      </c>
      <c r="AB2891">
        <v>21</v>
      </c>
      <c r="AC2891">
        <v>-221.7122</v>
      </c>
      <c r="AD2891">
        <v>-0.32234780000000002</v>
      </c>
      <c r="AE2891">
        <v>-12.5382999999999</v>
      </c>
      <c r="AF2891">
        <v>-4.0925837326268297</v>
      </c>
      <c r="AG2891">
        <v>-0.32234780000000002</v>
      </c>
      <c r="AH2891">
        <v>222.028267431356</v>
      </c>
      <c r="AI2891">
        <v>90.083169674429499</v>
      </c>
      <c r="AJ2891">
        <v>91.055997177284695</v>
      </c>
      <c r="AK2891">
        <v>222.06621690001001</v>
      </c>
      <c r="AL2891">
        <v>87.523246579020395</v>
      </c>
      <c r="AM2891">
        <v>89.344796878671104</v>
      </c>
      <c r="AN2891">
        <v>0.99999998595530004</v>
      </c>
    </row>
    <row r="2892" spans="1:40" x14ac:dyDescent="0.25">
      <c r="A2892" t="str">
        <f>"20190312150719204"</f>
        <v>20190312150719204</v>
      </c>
      <c r="B2892" t="str">
        <f>"1552374439193169"</f>
        <v>1552374439193169</v>
      </c>
      <c r="C2892" t="s">
        <v>40</v>
      </c>
      <c r="D2892">
        <v>4.3934129999999998</v>
      </c>
      <c r="E2892">
        <v>0.48858879999999999</v>
      </c>
      <c r="F2892" t="s">
        <v>70</v>
      </c>
      <c r="G2892">
        <v>-440.6841</v>
      </c>
      <c r="H2892">
        <v>0.30124089999999998</v>
      </c>
      <c r="I2892">
        <v>269.39710000000002</v>
      </c>
      <c r="J2892">
        <v>-219.14599999999999</v>
      </c>
      <c r="K2892">
        <v>1.109308</v>
      </c>
      <c r="L2892">
        <v>281.90699999999998</v>
      </c>
      <c r="M2892">
        <v>-0.99926919999999997</v>
      </c>
      <c r="N2892">
        <v>0</v>
      </c>
      <c r="O2892">
        <v>-3.789944E-2</v>
      </c>
      <c r="P2892">
        <v>-0.99888310000000002</v>
      </c>
      <c r="Q2892">
        <v>3.9768680000000001E-2</v>
      </c>
      <c r="R2892">
        <v>-2.5519569999999998E-2</v>
      </c>
      <c r="S2892">
        <v>-2.999161</v>
      </c>
      <c r="T2892">
        <v>-1.09309E-2</v>
      </c>
      <c r="U2892">
        <v>-0.1693115</v>
      </c>
      <c r="V2892">
        <v>1.237018E-2</v>
      </c>
      <c r="W2892">
        <v>4.4723690000000003E-2</v>
      </c>
      <c r="X2892">
        <v>0.9989228</v>
      </c>
      <c r="Y2892">
        <v>-1.8483200000000002E-2</v>
      </c>
      <c r="Z2892">
        <v>1.043044E-4</v>
      </c>
      <c r="AA2892">
        <v>0.99982919999999997</v>
      </c>
      <c r="AB2892">
        <v>21</v>
      </c>
      <c r="AC2892">
        <v>-221.53809999999999</v>
      </c>
      <c r="AD2892">
        <v>-0.80806709999999904</v>
      </c>
      <c r="AE2892">
        <v>-12.509899999999901</v>
      </c>
      <c r="AF2892">
        <v>-4.1045840898978296</v>
      </c>
      <c r="AG2892">
        <v>-0.80806709999999904</v>
      </c>
      <c r="AH2892">
        <v>221.85011566409301</v>
      </c>
      <c r="AI2892">
        <v>90.2086575766658</v>
      </c>
      <c r="AJ2892">
        <v>91.059943176317603</v>
      </c>
      <c r="AK2892">
        <v>221.88955451566599</v>
      </c>
      <c r="AL2892">
        <v>87.436666287724293</v>
      </c>
      <c r="AM2892">
        <v>89.290512861074106</v>
      </c>
      <c r="AN2892">
        <v>0.99999999508014403</v>
      </c>
    </row>
    <row r="2893" spans="1:40" x14ac:dyDescent="0.25">
      <c r="A2893" t="str">
        <f>"20190312150719217"</f>
        <v>20190312150719217</v>
      </c>
      <c r="B2893" t="str">
        <f>"1552374439212686"</f>
        <v>1552374439212686</v>
      </c>
      <c r="C2893" t="s">
        <v>40</v>
      </c>
      <c r="D2893">
        <v>4.3753469999999997</v>
      </c>
      <c r="E2893">
        <v>0.4880951</v>
      </c>
      <c r="F2893" t="s">
        <v>70</v>
      </c>
      <c r="G2893">
        <v>-440.40789999999998</v>
      </c>
      <c r="H2893">
        <v>0.290728599999999</v>
      </c>
      <c r="I2893">
        <v>269.46929999999998</v>
      </c>
      <c r="J2893">
        <v>-219.2637</v>
      </c>
      <c r="K2893">
        <v>1.1093</v>
      </c>
      <c r="L2893">
        <v>281.90269999999998</v>
      </c>
      <c r="M2893">
        <v>-0.99927350000000004</v>
      </c>
      <c r="N2893">
        <v>0</v>
      </c>
      <c r="O2893">
        <v>-3.7787889999999998E-2</v>
      </c>
      <c r="P2893">
        <v>-0.99886779999999997</v>
      </c>
      <c r="Q2893">
        <v>4.0403479999999999E-2</v>
      </c>
      <c r="R2893">
        <v>-2.511097E-2</v>
      </c>
      <c r="S2893">
        <v>-2.9994960000000002</v>
      </c>
      <c r="T2893">
        <v>-1.1096719999999999E-2</v>
      </c>
      <c r="U2893">
        <v>-0.1686096</v>
      </c>
      <c r="V2893">
        <v>1.2667049999999999E-2</v>
      </c>
      <c r="W2893">
        <v>4.5335309999999997E-2</v>
      </c>
      <c r="X2893">
        <v>0.99889150000000004</v>
      </c>
      <c r="Y2893">
        <v>-1.835529E-2</v>
      </c>
      <c r="Z2893">
        <v>1.057003E-4</v>
      </c>
      <c r="AA2893">
        <v>0.99983149999999998</v>
      </c>
      <c r="AB2893">
        <v>21</v>
      </c>
      <c r="AC2893">
        <v>-221.14420000000001</v>
      </c>
      <c r="AD2893">
        <v>-0.81857139999999995</v>
      </c>
      <c r="AE2893">
        <v>-12.433400000000001</v>
      </c>
      <c r="AF2893">
        <v>-4.0677888009045002</v>
      </c>
      <c r="AG2893">
        <v>-0.81857139999999995</v>
      </c>
      <c r="AH2893">
        <v>221.45306417535099</v>
      </c>
      <c r="AI2893">
        <v>90.211749441515096</v>
      </c>
      <c r="AJ2893">
        <v>91.052326476627101</v>
      </c>
      <c r="AK2893">
        <v>221.49193348182601</v>
      </c>
      <c r="AL2893">
        <v>87.401587438422794</v>
      </c>
      <c r="AM2893">
        <v>89.2734650320795</v>
      </c>
      <c r="AN2893">
        <v>0.99999998663037404</v>
      </c>
    </row>
    <row r="2894" spans="1:40" x14ac:dyDescent="0.25">
      <c r="A2894" t="str">
        <f>"20190312150719231"</f>
        <v>20190312150719231</v>
      </c>
      <c r="B2894" t="str">
        <f>"1552374439223423"</f>
        <v>1552374439223423</v>
      </c>
      <c r="C2894" t="s">
        <v>40</v>
      </c>
      <c r="D2894">
        <v>4.5981050000000003</v>
      </c>
      <c r="E2894">
        <v>0.48802509999999999</v>
      </c>
      <c r="F2894" t="s">
        <v>43</v>
      </c>
      <c r="G2894">
        <v>-483.87979999999999</v>
      </c>
      <c r="H2894">
        <v>-0.05</v>
      </c>
      <c r="I2894">
        <v>266.76740000000001</v>
      </c>
      <c r="J2894">
        <v>-219.39760000000001</v>
      </c>
      <c r="K2894">
        <v>1.109291</v>
      </c>
      <c r="L2894">
        <v>281.89780000000002</v>
      </c>
      <c r="M2894">
        <v>-0.99927880000000002</v>
      </c>
      <c r="N2894">
        <v>0</v>
      </c>
      <c r="O2894">
        <v>-3.7655710000000002E-2</v>
      </c>
      <c r="P2894">
        <v>-0.99884819999999996</v>
      </c>
      <c r="Q2894">
        <v>4.1220449999999999E-2</v>
      </c>
      <c r="R2894">
        <v>-2.4568220000000002E-2</v>
      </c>
      <c r="S2894">
        <v>-2.999619</v>
      </c>
      <c r="T2894">
        <v>-1.314151E-2</v>
      </c>
      <c r="U2894">
        <v>-0.17156979999999999</v>
      </c>
      <c r="V2894">
        <v>1.3077790000000001E-2</v>
      </c>
      <c r="W2894">
        <v>4.6129370000000003E-2</v>
      </c>
      <c r="X2894">
        <v>0.99884989999999996</v>
      </c>
      <c r="Y2894">
        <v>-1.9468840000000001E-2</v>
      </c>
      <c r="Z2894">
        <v>1.221529E-4</v>
      </c>
      <c r="AA2894">
        <v>0.99981050000000005</v>
      </c>
      <c r="AB2894">
        <v>21</v>
      </c>
      <c r="AC2894">
        <v>-264.48219999999998</v>
      </c>
      <c r="AD2894">
        <v>-1.1592910000000001</v>
      </c>
      <c r="AE2894">
        <v>-15.1304</v>
      </c>
      <c r="AF2894">
        <v>-5.1601858500338</v>
      </c>
      <c r="AG2894">
        <v>-1.1592910000000001</v>
      </c>
      <c r="AH2894">
        <v>264.85929806022801</v>
      </c>
      <c r="AI2894">
        <v>90.250734844637407</v>
      </c>
      <c r="AJ2894">
        <v>91.1161377877972</v>
      </c>
      <c r="AK2894">
        <v>264.91209719940298</v>
      </c>
      <c r="AL2894">
        <v>87.356043626740899</v>
      </c>
      <c r="AM2894">
        <v>89.249877923631601</v>
      </c>
      <c r="AN2894">
        <v>1.00000003504894</v>
      </c>
    </row>
    <row r="2895" spans="1:40" x14ac:dyDescent="0.25">
      <c r="A2895" t="str">
        <f>"20190312150719250"</f>
        <v>20190312150719250</v>
      </c>
      <c r="B2895" t="str">
        <f>"1552374439242941"</f>
        <v>1552374439242941</v>
      </c>
      <c r="C2895" t="s">
        <v>40</v>
      </c>
      <c r="D2895">
        <v>4.4097239999999998</v>
      </c>
      <c r="E2895">
        <v>0.4874464</v>
      </c>
      <c r="F2895" t="s">
        <v>70</v>
      </c>
      <c r="G2895">
        <v>-440.6841</v>
      </c>
      <c r="H2895">
        <v>0.45961570000000002</v>
      </c>
      <c r="I2895">
        <v>269.31740000000002</v>
      </c>
      <c r="J2895">
        <v>-219.58680000000001</v>
      </c>
      <c r="K2895">
        <v>1.1092789999999999</v>
      </c>
      <c r="L2895">
        <v>281.89089999999999</v>
      </c>
      <c r="M2895">
        <v>-0.99928649999999997</v>
      </c>
      <c r="N2895">
        <v>0</v>
      </c>
      <c r="O2895">
        <v>-3.7453399999999998E-2</v>
      </c>
      <c r="P2895">
        <v>-0.99882150000000003</v>
      </c>
      <c r="Q2895">
        <v>4.2312219999999998E-2</v>
      </c>
      <c r="R2895">
        <v>-2.378222E-2</v>
      </c>
      <c r="S2895">
        <v>-2.9996339999999999</v>
      </c>
      <c r="T2895">
        <v>-8.8064670000000001E-3</v>
      </c>
      <c r="U2895">
        <v>-0.17053219999999999</v>
      </c>
      <c r="V2895">
        <v>1.366203E-2</v>
      </c>
      <c r="W2895">
        <v>4.7192989999999997E-2</v>
      </c>
      <c r="X2895">
        <v>0.99879240000000002</v>
      </c>
      <c r="Y2895">
        <v>-1.9326159999999998E-2</v>
      </c>
      <c r="Z2895" s="1">
        <v>8.147498E-5</v>
      </c>
      <c r="AA2895">
        <v>0.99981330000000002</v>
      </c>
      <c r="AB2895">
        <v>21</v>
      </c>
      <c r="AC2895">
        <v>-221.09729999999999</v>
      </c>
      <c r="AD2895">
        <v>-0.64966330000000005</v>
      </c>
      <c r="AE2895">
        <v>-12.5734999999999</v>
      </c>
      <c r="AF2895">
        <v>-4.2836971607366197</v>
      </c>
      <c r="AG2895">
        <v>-0.64966330000000005</v>
      </c>
      <c r="AH2895">
        <v>221.41118940619299</v>
      </c>
      <c r="AI2895">
        <v>90.168084973079701</v>
      </c>
      <c r="AJ2895">
        <v>91.108377366994404</v>
      </c>
      <c r="AK2895">
        <v>221.45357734304801</v>
      </c>
      <c r="AL2895">
        <v>87.295036261919293</v>
      </c>
      <c r="AM2895">
        <v>89.216325790834503</v>
      </c>
      <c r="AN2895">
        <v>1.0000000438333001</v>
      </c>
    </row>
    <row r="2896" spans="1:40" x14ac:dyDescent="0.25">
      <c r="A2896" t="str">
        <f>"20190312150719262"</f>
        <v>20190312150719262</v>
      </c>
      <c r="B2896" t="str">
        <f>"1552374439252702"</f>
        <v>1552374439252702</v>
      </c>
      <c r="C2896" t="s">
        <v>40</v>
      </c>
      <c r="D2896">
        <v>4.3959429999999999</v>
      </c>
      <c r="E2896">
        <v>0.48730000000000001</v>
      </c>
      <c r="F2896" t="s">
        <v>70</v>
      </c>
      <c r="G2896">
        <v>-440.6841</v>
      </c>
      <c r="H2896">
        <v>0.55066490000000001</v>
      </c>
      <c r="I2896">
        <v>269.13279999999997</v>
      </c>
      <c r="J2896">
        <v>-219.70849999999999</v>
      </c>
      <c r="K2896">
        <v>1.1092679999999999</v>
      </c>
      <c r="L2896">
        <v>281.88650000000001</v>
      </c>
      <c r="M2896">
        <v>-0.99929190000000001</v>
      </c>
      <c r="N2896">
        <v>0</v>
      </c>
      <c r="O2896">
        <v>-3.7314439999999997E-2</v>
      </c>
      <c r="P2896">
        <v>-0.99881039999999999</v>
      </c>
      <c r="Q2896">
        <v>4.2690779999999998E-2</v>
      </c>
      <c r="R2896">
        <v>-2.3569090000000001E-2</v>
      </c>
      <c r="S2896">
        <v>-2.9997410000000002</v>
      </c>
      <c r="T2896">
        <v>-7.5788499999999998E-3</v>
      </c>
      <c r="U2896">
        <v>-0.17309569999999999</v>
      </c>
      <c r="V2896">
        <v>1.3736709999999999E-2</v>
      </c>
      <c r="W2896">
        <v>4.7556399999999999E-2</v>
      </c>
      <c r="X2896">
        <v>0.9987741</v>
      </c>
      <c r="Y2896">
        <v>-2.0314760000000001E-2</v>
      </c>
      <c r="Z2896" s="1">
        <v>6.8514600000000003E-5</v>
      </c>
      <c r="AA2896">
        <v>0.99979359999999995</v>
      </c>
      <c r="AB2896">
        <v>22</v>
      </c>
      <c r="AC2896">
        <v>-220.97559999999999</v>
      </c>
      <c r="AD2896">
        <v>-0.55860309999999902</v>
      </c>
      <c r="AE2896">
        <v>-12.7537</v>
      </c>
      <c r="AF2896">
        <v>-4.4991121677513002</v>
      </c>
      <c r="AG2896">
        <v>-0.55860309999999902</v>
      </c>
      <c r="AH2896">
        <v>221.296196487575</v>
      </c>
      <c r="AI2896">
        <v>90.144597693517596</v>
      </c>
      <c r="AJ2896">
        <v>91.164704296122693</v>
      </c>
      <c r="AK2896">
        <v>221.34263174451601</v>
      </c>
      <c r="AL2896">
        <v>87.274190893912504</v>
      </c>
      <c r="AM2896">
        <v>89.212028138925902</v>
      </c>
      <c r="AN2896">
        <v>1.00000000560669</v>
      </c>
    </row>
    <row r="2897" spans="1:40" x14ac:dyDescent="0.25">
      <c r="A2897" t="str">
        <f>"20190312150719275"</f>
        <v>20190312150719275</v>
      </c>
      <c r="B2897" t="str">
        <f>"1552374439273197"</f>
        <v>1552374439273197</v>
      </c>
      <c r="C2897" t="s">
        <v>40</v>
      </c>
      <c r="D2897">
        <v>4.3057080000000001</v>
      </c>
      <c r="E2897">
        <v>0.4872341</v>
      </c>
      <c r="F2897" t="s">
        <v>70</v>
      </c>
      <c r="G2897">
        <v>-440.6841</v>
      </c>
      <c r="H2897">
        <v>0.52371120000000004</v>
      </c>
      <c r="I2897">
        <v>269.09989999999999</v>
      </c>
      <c r="J2897">
        <v>-219.82769999999999</v>
      </c>
      <c r="K2897">
        <v>1.109253</v>
      </c>
      <c r="L2897">
        <v>281.88220000000001</v>
      </c>
      <c r="M2897">
        <v>-0.99929730000000005</v>
      </c>
      <c r="N2897">
        <v>0</v>
      </c>
      <c r="O2897">
        <v>-3.7163910000000001E-2</v>
      </c>
      <c r="P2897">
        <v>-0.9987975</v>
      </c>
      <c r="Q2897">
        <v>4.325859E-2</v>
      </c>
      <c r="R2897">
        <v>-2.3070400000000001E-2</v>
      </c>
      <c r="S2897">
        <v>-2.9998320000000001</v>
      </c>
      <c r="T2897">
        <v>-7.9489950000000004E-3</v>
      </c>
      <c r="U2897">
        <v>-0.17358399999999999</v>
      </c>
      <c r="V2897">
        <v>1.408594E-2</v>
      </c>
      <c r="W2897">
        <v>4.8112240000000001E-2</v>
      </c>
      <c r="X2897">
        <v>0.99874260000000004</v>
      </c>
      <c r="Y2897">
        <v>-2.0625810000000001E-2</v>
      </c>
      <c r="Z2897" s="1">
        <v>7.1048299999999995E-5</v>
      </c>
      <c r="AA2897">
        <v>0.99978730000000005</v>
      </c>
      <c r="AB2897">
        <v>22</v>
      </c>
      <c r="AC2897">
        <v>-220.85640000000001</v>
      </c>
      <c r="AD2897">
        <v>-0.5855418</v>
      </c>
      <c r="AE2897">
        <v>-12.782299999999999</v>
      </c>
      <c r="AF2897">
        <v>-4.56545273713051</v>
      </c>
      <c r="AG2897">
        <v>-0.5855418</v>
      </c>
      <c r="AH2897">
        <v>221.17732149648899</v>
      </c>
      <c r="AI2897">
        <v>90.151651400689303</v>
      </c>
      <c r="AJ2897">
        <v>91.182508360366398</v>
      </c>
      <c r="AK2897">
        <v>221.22521050335999</v>
      </c>
      <c r="AL2897">
        <v>87.242307069944204</v>
      </c>
      <c r="AM2897">
        <v>89.191972579528795</v>
      </c>
      <c r="AN2897">
        <v>0.99999999119912997</v>
      </c>
    </row>
    <row r="2898" spans="1:40" x14ac:dyDescent="0.25">
      <c r="A2898" t="str">
        <f>"20190312150719294"</f>
        <v>20190312150719294</v>
      </c>
      <c r="B2898" t="str">
        <f>"1552374439282961"</f>
        <v>1552374439282961</v>
      </c>
      <c r="C2898" t="s">
        <v>40</v>
      </c>
      <c r="D2898">
        <v>4.7932059999999996</v>
      </c>
      <c r="E2898">
        <v>0.48727730000000002</v>
      </c>
      <c r="F2898" t="s">
        <v>70</v>
      </c>
      <c r="G2898">
        <v>-440.6841</v>
      </c>
      <c r="H2898">
        <v>0.56724549999999996</v>
      </c>
      <c r="I2898">
        <v>269.1635</v>
      </c>
      <c r="J2898">
        <v>-220.0119</v>
      </c>
      <c r="K2898">
        <v>1.1092299999999999</v>
      </c>
      <c r="L2898">
        <v>281.87560000000002</v>
      </c>
      <c r="M2898">
        <v>-0.99930669999999999</v>
      </c>
      <c r="N2898">
        <v>0</v>
      </c>
      <c r="O2898">
        <v>-3.6912229999999997E-2</v>
      </c>
      <c r="P2898">
        <v>-0.99878</v>
      </c>
      <c r="Q2898">
        <v>4.4003340000000002E-2</v>
      </c>
      <c r="R2898">
        <v>-2.2413289999999999E-2</v>
      </c>
      <c r="S2898">
        <v>-2.999924</v>
      </c>
      <c r="T2898">
        <v>-7.3620079999999997E-3</v>
      </c>
      <c r="U2898">
        <v>-0.17276</v>
      </c>
      <c r="V2898">
        <v>1.449315E-2</v>
      </c>
      <c r="W2898">
        <v>4.8841410000000002E-2</v>
      </c>
      <c r="X2898">
        <v>0.99870139999999996</v>
      </c>
      <c r="Y2898">
        <v>-2.0602140000000001E-2</v>
      </c>
      <c r="Z2898" s="1">
        <v>6.5213010000000001E-5</v>
      </c>
      <c r="AA2898">
        <v>0.99978769999999995</v>
      </c>
      <c r="AB2898">
        <v>22</v>
      </c>
      <c r="AC2898">
        <v>-220.6722</v>
      </c>
      <c r="AD2898">
        <v>-0.54198449999999998</v>
      </c>
      <c r="AE2898">
        <v>-12.7121</v>
      </c>
      <c r="AF2898">
        <v>-4.5578100950707903</v>
      </c>
      <c r="AG2898">
        <v>-0.54198449999999998</v>
      </c>
      <c r="AH2898">
        <v>220.989719709512</v>
      </c>
      <c r="AI2898">
        <v>90.140489610637303</v>
      </c>
      <c r="AJ2898">
        <v>91.181531269556203</v>
      </c>
      <c r="AK2898">
        <v>221.03738054308801</v>
      </c>
      <c r="AL2898">
        <v>87.200479582973102</v>
      </c>
      <c r="AM2898">
        <v>89.168582280004401</v>
      </c>
      <c r="AN2898">
        <v>1.0000000105448299</v>
      </c>
    </row>
    <row r="2899" spans="1:40" x14ac:dyDescent="0.25">
      <c r="A2899" t="str">
        <f>"20190312150719306"</f>
        <v>20190312150719306</v>
      </c>
      <c r="B2899" t="str">
        <f>"1552374439303454"</f>
        <v>1552374439303454</v>
      </c>
      <c r="C2899" t="s">
        <v>40</v>
      </c>
      <c r="D2899">
        <v>4.3544219999999996</v>
      </c>
      <c r="E2899">
        <v>0.4872918</v>
      </c>
      <c r="F2899" t="s">
        <v>70</v>
      </c>
      <c r="G2899">
        <v>-440.6841</v>
      </c>
      <c r="H2899">
        <v>0.71511749999999996</v>
      </c>
      <c r="I2899">
        <v>269.3365</v>
      </c>
      <c r="J2899">
        <v>-220.12809999999999</v>
      </c>
      <c r="K2899">
        <v>1.1092109999999999</v>
      </c>
      <c r="L2899">
        <v>281.87150000000003</v>
      </c>
      <c r="M2899">
        <v>-0.99931320000000001</v>
      </c>
      <c r="N2899">
        <v>0</v>
      </c>
      <c r="O2899">
        <v>-3.674036E-2</v>
      </c>
      <c r="P2899">
        <v>-0.99878129999999998</v>
      </c>
      <c r="Q2899">
        <v>4.4196640000000002E-2</v>
      </c>
      <c r="R2899">
        <v>-2.1973619999999999E-2</v>
      </c>
      <c r="S2899">
        <v>-3.000076</v>
      </c>
      <c r="T2899">
        <v>-5.3578619999999997E-3</v>
      </c>
      <c r="U2899">
        <v>-0.17047119999999999</v>
      </c>
      <c r="V2899">
        <v>1.476276E-2</v>
      </c>
      <c r="W2899">
        <v>4.9026689999999998E-2</v>
      </c>
      <c r="X2899">
        <v>0.99868829999999997</v>
      </c>
      <c r="Y2899">
        <v>-2.001089E-2</v>
      </c>
      <c r="Z2899" s="1">
        <v>4.7680219999999999E-5</v>
      </c>
      <c r="AA2899">
        <v>0.99979980000000002</v>
      </c>
      <c r="AB2899">
        <v>22</v>
      </c>
      <c r="AC2899">
        <v>-220.55599999999899</v>
      </c>
      <c r="AD2899">
        <v>-0.39409349999999999</v>
      </c>
      <c r="AE2899">
        <v>-12.535</v>
      </c>
      <c r="AF2899">
        <v>-4.4231215184078296</v>
      </c>
      <c r="AG2899">
        <v>-0.39409349999999999</v>
      </c>
      <c r="AH2899">
        <v>220.866929935521</v>
      </c>
      <c r="AI2899">
        <v>90.102212422169799</v>
      </c>
      <c r="AJ2899">
        <v>91.147262402807996</v>
      </c>
      <c r="AK2899">
        <v>220.91156613630699</v>
      </c>
      <c r="AL2899">
        <v>87.189850884165693</v>
      </c>
      <c r="AM2899">
        <v>89.153106889262006</v>
      </c>
      <c r="AN2899">
        <v>0.99999993798602904</v>
      </c>
    </row>
    <row r="2900" spans="1:40" x14ac:dyDescent="0.25">
      <c r="A2900" t="str">
        <f>"20190312150719319"</f>
        <v>20190312150719319</v>
      </c>
      <c r="B2900" t="str">
        <f>"1552374439313214"</f>
        <v>1552374439313214</v>
      </c>
      <c r="C2900" t="s">
        <v>40</v>
      </c>
      <c r="D2900">
        <v>4.4659990000000001</v>
      </c>
      <c r="E2900">
        <v>0.48723109999999997</v>
      </c>
      <c r="F2900" t="s">
        <v>70</v>
      </c>
      <c r="G2900">
        <v>-440.40789999999998</v>
      </c>
      <c r="H2900">
        <v>0.75941939999999997</v>
      </c>
      <c r="I2900">
        <v>269.45139999999998</v>
      </c>
      <c r="J2900">
        <v>-220.25970000000001</v>
      </c>
      <c r="K2900">
        <v>1.109189</v>
      </c>
      <c r="L2900">
        <v>281.86689999999999</v>
      </c>
      <c r="M2900">
        <v>-0.99932109999999996</v>
      </c>
      <c r="N2900">
        <v>0</v>
      </c>
      <c r="O2900">
        <v>-3.6524000000000001E-2</v>
      </c>
      <c r="P2900">
        <v>-0.9987684</v>
      </c>
      <c r="Q2900">
        <v>4.4637110000000001E-2</v>
      </c>
      <c r="R2900">
        <v>-2.1659620000000001E-2</v>
      </c>
      <c r="S2900">
        <v>-3.0001530000000001</v>
      </c>
      <c r="T2900">
        <v>-4.7639609999999997E-3</v>
      </c>
      <c r="U2900">
        <v>-0.1691589</v>
      </c>
      <c r="V2900">
        <v>1.486236E-2</v>
      </c>
      <c r="W2900">
        <v>4.9461030000000003E-2</v>
      </c>
      <c r="X2900">
        <v>0.99866549999999998</v>
      </c>
      <c r="Y2900">
        <v>-1.9789999999999999E-2</v>
      </c>
      <c r="Z2900" s="1">
        <v>4.222689E-5</v>
      </c>
      <c r="AA2900">
        <v>0.99980409999999997</v>
      </c>
      <c r="AB2900">
        <v>22</v>
      </c>
      <c r="AC2900">
        <v>-220.1482</v>
      </c>
      <c r="AD2900">
        <v>-0.34976959999999901</v>
      </c>
      <c r="AE2900">
        <v>-12.4155</v>
      </c>
      <c r="AF2900">
        <v>-4.3664182221516299</v>
      </c>
      <c r="AG2900">
        <v>-0.34976959999999901</v>
      </c>
      <c r="AH2900">
        <v>220.45422272838499</v>
      </c>
      <c r="AI2900">
        <v>90.090886784186097</v>
      </c>
      <c r="AJ2900">
        <v>91.134678328237797</v>
      </c>
      <c r="AK2900">
        <v>220.49773755220301</v>
      </c>
      <c r="AL2900">
        <v>87.1649350719198</v>
      </c>
      <c r="AM2900">
        <v>89.147374528623104</v>
      </c>
      <c r="AN2900">
        <v>1.0000000320618301</v>
      </c>
    </row>
    <row r="2901" spans="1:40" x14ac:dyDescent="0.25">
      <c r="A2901" t="str">
        <f>"20190312150719333"</f>
        <v>20190312150719333</v>
      </c>
      <c r="B2901" t="str">
        <f>"1552374439322973"</f>
        <v>1552374439322973</v>
      </c>
      <c r="C2901" t="s">
        <v>40</v>
      </c>
      <c r="D2901">
        <v>4.3613609999999996</v>
      </c>
      <c r="E2901">
        <v>0.48717670000000002</v>
      </c>
      <c r="F2901" t="s">
        <v>70</v>
      </c>
      <c r="G2901">
        <v>-440.40789999999998</v>
      </c>
      <c r="H2901">
        <v>0.71316429999999997</v>
      </c>
      <c r="I2901">
        <v>269.49509999999998</v>
      </c>
      <c r="J2901">
        <v>-220.39680000000001</v>
      </c>
      <c r="K2901">
        <v>1.1091660000000001</v>
      </c>
      <c r="L2901">
        <v>281.8621</v>
      </c>
      <c r="M2901">
        <v>-0.99933000000000005</v>
      </c>
      <c r="N2901">
        <v>0</v>
      </c>
      <c r="O2901">
        <v>-3.6279970000000002E-2</v>
      </c>
      <c r="P2901">
        <v>-0.99876450000000006</v>
      </c>
      <c r="Q2901">
        <v>4.4890159999999998E-2</v>
      </c>
      <c r="R2901">
        <v>-2.1315810000000001E-2</v>
      </c>
      <c r="S2901">
        <v>-3.000305</v>
      </c>
      <c r="T2901">
        <v>-5.3970809999999998E-3</v>
      </c>
      <c r="U2901">
        <v>-0.1686096</v>
      </c>
      <c r="V2901">
        <v>1.4964699999999999E-2</v>
      </c>
      <c r="W2901">
        <v>4.9709150000000001E-2</v>
      </c>
      <c r="X2901">
        <v>0.99865159999999997</v>
      </c>
      <c r="Y2901">
        <v>-1.98488E-2</v>
      </c>
      <c r="Z2901" s="1">
        <v>4.7345580000000001E-5</v>
      </c>
      <c r="AA2901">
        <v>0.999803</v>
      </c>
      <c r="AB2901">
        <v>22</v>
      </c>
      <c r="AC2901">
        <v>-220.0111</v>
      </c>
      <c r="AD2901">
        <v>-0.39600170000000001</v>
      </c>
      <c r="AE2901">
        <v>-12.367000000000001</v>
      </c>
      <c r="AF2901">
        <v>-4.3767548898297797</v>
      </c>
      <c r="AG2901">
        <v>-0.39600170000000001</v>
      </c>
      <c r="AH2901">
        <v>220.314223770665</v>
      </c>
      <c r="AI2901">
        <v>90.102965325523797</v>
      </c>
      <c r="AJ2901">
        <v>91.1380863086262</v>
      </c>
      <c r="AK2901">
        <v>220.35804953843399</v>
      </c>
      <c r="AL2901">
        <v>87.150701186217304</v>
      </c>
      <c r="AM2901">
        <v>89.141492404739395</v>
      </c>
      <c r="AN2901">
        <v>0.99999998001118595</v>
      </c>
    </row>
    <row r="2902" spans="1:40" x14ac:dyDescent="0.25">
      <c r="A2902" t="str">
        <f>"20190312150719352"</f>
        <v>20190312150719352</v>
      </c>
      <c r="B2902" t="str">
        <f>"1552374439343472"</f>
        <v>1552374439343472</v>
      </c>
      <c r="C2902" t="s">
        <v>40</v>
      </c>
      <c r="D2902">
        <v>4.369999</v>
      </c>
      <c r="E2902">
        <v>0.48697230000000002</v>
      </c>
      <c r="F2902" t="s">
        <v>70</v>
      </c>
      <c r="G2902">
        <v>-440.40789999999998</v>
      </c>
      <c r="H2902">
        <v>0.75245569999999995</v>
      </c>
      <c r="I2902">
        <v>269.5453</v>
      </c>
      <c r="J2902">
        <v>-220.5839</v>
      </c>
      <c r="K2902">
        <v>1.109129</v>
      </c>
      <c r="L2902">
        <v>281.85570000000001</v>
      </c>
      <c r="M2902">
        <v>-0.99934319999999999</v>
      </c>
      <c r="N2902">
        <v>0</v>
      </c>
      <c r="O2902">
        <v>-3.59149E-2</v>
      </c>
      <c r="P2902">
        <v>-0.99876880000000001</v>
      </c>
      <c r="Q2902">
        <v>4.5041900000000003E-2</v>
      </c>
      <c r="R2902">
        <v>-2.0798250000000001E-2</v>
      </c>
      <c r="S2902">
        <v>-3.0003660000000001</v>
      </c>
      <c r="T2902">
        <v>-4.8644539999999998E-3</v>
      </c>
      <c r="U2902">
        <v>-0.167968799999999</v>
      </c>
      <c r="V2902">
        <v>1.512163E-2</v>
      </c>
      <c r="W2902">
        <v>4.9856789999999998E-2</v>
      </c>
      <c r="X2902">
        <v>0.99864189999999997</v>
      </c>
      <c r="Y2902">
        <v>-2.000002E-2</v>
      </c>
      <c r="Z2902" s="1">
        <v>4.1959260000000001E-5</v>
      </c>
      <c r="AA2902">
        <v>0.99980000000000002</v>
      </c>
      <c r="AB2902">
        <v>22</v>
      </c>
      <c r="AC2902">
        <v>-219.82400000000001</v>
      </c>
      <c r="AD2902">
        <v>-0.35667330000000003</v>
      </c>
      <c r="AE2902">
        <v>-12.3104</v>
      </c>
      <c r="AF2902">
        <v>-4.4073973063052998</v>
      </c>
      <c r="AG2902">
        <v>-0.35667330000000003</v>
      </c>
      <c r="AH2902">
        <v>220.12373189290599</v>
      </c>
      <c r="AI2902">
        <v>90.092819441213393</v>
      </c>
      <c r="AJ2902">
        <v>91.147043641581902</v>
      </c>
      <c r="AK2902">
        <v>220.168139632687</v>
      </c>
      <c r="AL2902">
        <v>87.142231603381703</v>
      </c>
      <c r="AM2902">
        <v>89.1324824551955</v>
      </c>
      <c r="AN2902">
        <v>1.00000000381928</v>
      </c>
    </row>
    <row r="2903" spans="1:40" x14ac:dyDescent="0.25">
      <c r="A2903" t="str">
        <f>"20190312150719374"</f>
        <v>20190312150719374</v>
      </c>
      <c r="B2903" t="str">
        <f>"1552374439362989"</f>
        <v>1552374439362989</v>
      </c>
      <c r="C2903" t="s">
        <v>40</v>
      </c>
      <c r="D2903">
        <v>4.3875320000000002</v>
      </c>
      <c r="E2903">
        <v>0.48675859999999899</v>
      </c>
      <c r="F2903" t="s">
        <v>70</v>
      </c>
      <c r="G2903">
        <v>-440.40789999999998</v>
      </c>
      <c r="H2903">
        <v>0.63977620000000002</v>
      </c>
      <c r="I2903">
        <v>269.5342</v>
      </c>
      <c r="J2903">
        <v>-220.8038</v>
      </c>
      <c r="K2903">
        <v>1.109081</v>
      </c>
      <c r="L2903">
        <v>281.84829999999999</v>
      </c>
      <c r="M2903">
        <v>-0.99936040000000004</v>
      </c>
      <c r="N2903">
        <v>0</v>
      </c>
      <c r="O2903">
        <v>-3.5430940000000001E-2</v>
      </c>
      <c r="P2903">
        <v>-0.99878330000000004</v>
      </c>
      <c r="Q2903">
        <v>4.4923629999999999E-2</v>
      </c>
      <c r="R2903">
        <v>-2.033689E-2</v>
      </c>
      <c r="S2903">
        <v>-3.0005039999999998</v>
      </c>
      <c r="T2903">
        <v>-6.4063069999999904E-3</v>
      </c>
      <c r="U2903">
        <v>-0.16818239999999901</v>
      </c>
      <c r="V2903">
        <v>1.510422E-2</v>
      </c>
      <c r="W2903">
        <v>4.9736780000000001E-2</v>
      </c>
      <c r="X2903">
        <v>0.99864819999999999</v>
      </c>
      <c r="Y2903">
        <v>-2.0552609999999999E-2</v>
      </c>
      <c r="Z2903" s="1">
        <v>5.3635189999999997E-5</v>
      </c>
      <c r="AA2903">
        <v>0.99978880000000003</v>
      </c>
      <c r="AB2903">
        <v>22</v>
      </c>
      <c r="AC2903">
        <v>-219.60409999999999</v>
      </c>
      <c r="AD2903">
        <v>-0.46930480000000002</v>
      </c>
      <c r="AE2903">
        <v>-12.3140999999999</v>
      </c>
      <c r="AF2903">
        <v>-4.5254766455936304</v>
      </c>
      <c r="AG2903">
        <v>-0.46930480000000002</v>
      </c>
      <c r="AH2903">
        <v>219.90151742488601</v>
      </c>
      <c r="AI2903">
        <v>90.122252231996796</v>
      </c>
      <c r="AJ2903">
        <v>91.178955559848902</v>
      </c>
      <c r="AK2903">
        <v>219.94857933533601</v>
      </c>
      <c r="AL2903">
        <v>87.149116360146905</v>
      </c>
      <c r="AM2903">
        <v>89.133486568203196</v>
      </c>
      <c r="AN2903">
        <v>1.0000000560549001</v>
      </c>
    </row>
    <row r="2904" spans="1:40" x14ac:dyDescent="0.25">
      <c r="A2904" t="str">
        <f>"20190312150719388"</f>
        <v>20190312150719388</v>
      </c>
      <c r="B2904" t="str">
        <f>"1552374439383486"</f>
        <v>1552374439383486</v>
      </c>
      <c r="C2904" t="s">
        <v>40</v>
      </c>
      <c r="D2904">
        <v>4.3824920000000001</v>
      </c>
      <c r="E2904">
        <v>0.48659859999999999</v>
      </c>
      <c r="F2904" t="s">
        <v>70</v>
      </c>
      <c r="G2904">
        <v>-440.40789999999998</v>
      </c>
      <c r="H2904">
        <v>0.4253902</v>
      </c>
      <c r="I2904">
        <v>269.52420000000001</v>
      </c>
      <c r="J2904">
        <v>-220.9426</v>
      </c>
      <c r="K2904">
        <v>1.109051</v>
      </c>
      <c r="L2904">
        <v>281.84379999999999</v>
      </c>
      <c r="M2904">
        <v>-0.99937229999999999</v>
      </c>
      <c r="N2904">
        <v>0</v>
      </c>
      <c r="O2904">
        <v>-3.5097509999999998E-2</v>
      </c>
      <c r="P2904">
        <v>-0.99880899999999995</v>
      </c>
      <c r="Q2904">
        <v>4.4457120000000003E-2</v>
      </c>
      <c r="R2904">
        <v>-2.0109040000000002E-2</v>
      </c>
      <c r="S2904">
        <v>-3.0006560000000002</v>
      </c>
      <c r="T2904">
        <v>-9.3417169999999994E-3</v>
      </c>
      <c r="U2904">
        <v>-0.16839599999999999</v>
      </c>
      <c r="V2904">
        <v>1.500254E-2</v>
      </c>
      <c r="W2904">
        <v>4.9271959999999997E-2</v>
      </c>
      <c r="X2904">
        <v>0.99867269999999997</v>
      </c>
      <c r="Y2904">
        <v>-2.095433E-2</v>
      </c>
      <c r="Z2904" s="1">
        <v>7.6545809999999995E-5</v>
      </c>
      <c r="AA2904">
        <v>0.99978040000000001</v>
      </c>
      <c r="AB2904">
        <v>22</v>
      </c>
      <c r="AC2904">
        <v>-219.46530000000001</v>
      </c>
      <c r="AD2904">
        <v>-0.68366079999999996</v>
      </c>
      <c r="AE2904">
        <v>-12.3195999999999</v>
      </c>
      <c r="AF2904">
        <v>-4.6091902388145201</v>
      </c>
      <c r="AG2904">
        <v>-0.68366079999999996</v>
      </c>
      <c r="AH2904">
        <v>219.760349114614</v>
      </c>
      <c r="AI2904">
        <v>90.178203846187401</v>
      </c>
      <c r="AJ2904">
        <v>91.201529007665599</v>
      </c>
      <c r="AK2904">
        <v>219.80974289081001</v>
      </c>
      <c r="AL2904">
        <v>87.175781067439203</v>
      </c>
      <c r="AM2904">
        <v>89.139340075391701</v>
      </c>
      <c r="AN2904">
        <v>0.99999998198699103</v>
      </c>
    </row>
    <row r="2905" spans="1:40" x14ac:dyDescent="0.25">
      <c r="A2905" t="str">
        <f>"20190312150719406"</f>
        <v>20190312150719406</v>
      </c>
      <c r="B2905" t="str">
        <f>"1552374439403006"</f>
        <v>1552374439403006</v>
      </c>
      <c r="C2905" t="s">
        <v>40</v>
      </c>
      <c r="D2905">
        <v>4.3644829999999999</v>
      </c>
      <c r="E2905">
        <v>0.48650850000000001</v>
      </c>
      <c r="F2905" t="s">
        <v>43</v>
      </c>
      <c r="G2905">
        <v>-485.91309999999999</v>
      </c>
      <c r="H2905">
        <v>-0.05</v>
      </c>
      <c r="I2905">
        <v>266.90679999999998</v>
      </c>
      <c r="J2905">
        <v>-221.13</v>
      </c>
      <c r="K2905">
        <v>1.109013</v>
      </c>
      <c r="L2905">
        <v>281.83760000000001</v>
      </c>
      <c r="M2905">
        <v>-0.99938939999999998</v>
      </c>
      <c r="N2905">
        <v>0</v>
      </c>
      <c r="O2905">
        <v>-3.4606560000000001E-2</v>
      </c>
      <c r="P2905">
        <v>-0.99883869999999997</v>
      </c>
      <c r="Q2905">
        <v>4.4066210000000001E-2</v>
      </c>
      <c r="R2905">
        <v>-1.9487580000000001E-2</v>
      </c>
      <c r="S2905">
        <v>-3.0007630000000001</v>
      </c>
      <c r="T2905">
        <v>-1.312613E-2</v>
      </c>
      <c r="U2905">
        <v>-0.1691589</v>
      </c>
      <c r="V2905">
        <v>1.5137950000000001E-2</v>
      </c>
      <c r="W2905">
        <v>4.8884280000000002E-2</v>
      </c>
      <c r="X2905">
        <v>0.99868970000000001</v>
      </c>
      <c r="Y2905">
        <v>-2.1696920000000001E-2</v>
      </c>
      <c r="Z2905">
        <v>1.0378359999999999E-4</v>
      </c>
      <c r="AA2905">
        <v>0.9997646</v>
      </c>
      <c r="AB2905">
        <v>22</v>
      </c>
      <c r="AC2905">
        <v>-264.78309999999999</v>
      </c>
      <c r="AD2905">
        <v>-1.1590129999999901</v>
      </c>
      <c r="AE2905">
        <v>-14.9308</v>
      </c>
      <c r="AF2905">
        <v>-5.7584078719708298</v>
      </c>
      <c r="AG2905">
        <v>-1.1590129999999901</v>
      </c>
      <c r="AH2905">
        <v>265.13614055373199</v>
      </c>
      <c r="AI2905">
        <v>90.250401450329505</v>
      </c>
      <c r="AJ2905">
        <v>91.244193285958104</v>
      </c>
      <c r="AK2905">
        <v>265.20119833832302</v>
      </c>
      <c r="AL2905">
        <v>87.198020271867406</v>
      </c>
      <c r="AM2905">
        <v>89.131587891488294</v>
      </c>
      <c r="AN2905">
        <v>0.99999997362370496</v>
      </c>
    </row>
    <row r="2906" spans="1:40" x14ac:dyDescent="0.25">
      <c r="A2906" t="str">
        <f>"20190312150719421"</f>
        <v>20190312150719421</v>
      </c>
      <c r="B2906" t="str">
        <f>"1552374439412766"</f>
        <v>1552374439412766</v>
      </c>
      <c r="C2906" t="s">
        <v>40</v>
      </c>
      <c r="D2906">
        <v>4.555707</v>
      </c>
      <c r="E2906">
        <v>0.48650850000000001</v>
      </c>
      <c r="F2906" t="s">
        <v>68</v>
      </c>
      <c r="G2906">
        <v>-410.51240000000001</v>
      </c>
      <c r="H2906" s="1">
        <v>5.002171E-6</v>
      </c>
      <c r="I2906">
        <v>271.23570000000001</v>
      </c>
      <c r="J2906">
        <v>-221.28450000000001</v>
      </c>
      <c r="K2906">
        <v>1.1089800000000001</v>
      </c>
      <c r="L2906">
        <v>281.83280000000002</v>
      </c>
      <c r="M2906">
        <v>-0.99940450000000003</v>
      </c>
      <c r="N2906">
        <v>0</v>
      </c>
      <c r="O2906">
        <v>-3.4166910000000002E-2</v>
      </c>
      <c r="P2906">
        <v>-0.99886180000000002</v>
      </c>
      <c r="Q2906">
        <v>4.373734E-2</v>
      </c>
      <c r="R2906">
        <v>-1.9039489999999999E-2</v>
      </c>
      <c r="S2906">
        <v>-3.0009769999999998</v>
      </c>
      <c r="T2906">
        <v>-1.7573479999999999E-2</v>
      </c>
      <c r="U2906">
        <v>-0.16799929999999999</v>
      </c>
      <c r="V2906">
        <v>1.5150439999999999E-2</v>
      </c>
      <c r="W2906">
        <v>4.856042E-2</v>
      </c>
      <c r="X2906">
        <v>0.99870530000000002</v>
      </c>
      <c r="Y2906">
        <v>-2.1747699999999998E-2</v>
      </c>
      <c r="Z2906">
        <v>1.3621990000000001E-4</v>
      </c>
      <c r="AA2906">
        <v>0.99976350000000003</v>
      </c>
      <c r="AB2906">
        <v>23</v>
      </c>
      <c r="AC2906">
        <v>-189.22790000000001</v>
      </c>
      <c r="AD2906">
        <v>-1.10897499782899</v>
      </c>
      <c r="AE2906">
        <v>-10.597099999999999</v>
      </c>
      <c r="AF2906">
        <v>-4.1253635480377699</v>
      </c>
      <c r="AG2906">
        <v>-1.10897499782899</v>
      </c>
      <c r="AH2906">
        <v>189.47300208114299</v>
      </c>
      <c r="AI2906">
        <v>90.335265741941797</v>
      </c>
      <c r="AJ2906">
        <v>91.247294221577306</v>
      </c>
      <c r="AK2906">
        <v>189.52115176831799</v>
      </c>
      <c r="AL2906">
        <v>87.216598118463807</v>
      </c>
      <c r="AM2906">
        <v>89.130885066923597</v>
      </c>
      <c r="AN2906">
        <v>0.99999996323542895</v>
      </c>
    </row>
    <row r="2907" spans="1:40" x14ac:dyDescent="0.25">
      <c r="A2907" t="str">
        <f>"20190312150719442"</f>
        <v>20190312150719442</v>
      </c>
      <c r="B2907" t="str">
        <f>"1552374439433262"</f>
        <v>1552374439433262</v>
      </c>
      <c r="C2907" t="s">
        <v>40</v>
      </c>
      <c r="D2907">
        <v>4.3965269999999999</v>
      </c>
      <c r="E2907">
        <v>0.50677429999999901</v>
      </c>
      <c r="F2907" t="s">
        <v>43</v>
      </c>
      <c r="G2907">
        <v>-408.84519999999998</v>
      </c>
      <c r="H2907">
        <v>-0.05</v>
      </c>
      <c r="I2907">
        <v>271.42270000000002</v>
      </c>
      <c r="J2907">
        <v>-221.4873</v>
      </c>
      <c r="K2907">
        <v>1.10894</v>
      </c>
      <c r="L2907">
        <v>281.82650000000001</v>
      </c>
      <c r="M2907">
        <v>-0.99942540000000002</v>
      </c>
      <c r="N2907">
        <v>0</v>
      </c>
      <c r="O2907">
        <v>-3.3546390000000002E-2</v>
      </c>
      <c r="P2907">
        <v>-0.99887760000000003</v>
      </c>
      <c r="Q2907">
        <v>4.3621489999999999E-2</v>
      </c>
      <c r="R2907">
        <v>-1.846155E-2</v>
      </c>
      <c r="S2907">
        <v>-3.0010530000000002</v>
      </c>
      <c r="T2907">
        <v>-1.85442E-2</v>
      </c>
      <c r="U2907">
        <v>-0.16656489999999999</v>
      </c>
      <c r="V2907">
        <v>1.5112779999999999E-2</v>
      </c>
      <c r="W2907">
        <v>4.8452299999999997E-2</v>
      </c>
      <c r="X2907">
        <v>0.99871120000000002</v>
      </c>
      <c r="Y2907">
        <v>-2.1890670000000001E-2</v>
      </c>
      <c r="Z2907">
        <v>1.394736E-4</v>
      </c>
      <c r="AA2907">
        <v>0.99976039999999999</v>
      </c>
      <c r="AB2907">
        <v>23</v>
      </c>
      <c r="AC2907">
        <v>-187.3579</v>
      </c>
      <c r="AD2907">
        <v>-1.1589399999999901</v>
      </c>
      <c r="AE2907">
        <v>-10.403799999999899</v>
      </c>
      <c r="AF2907">
        <v>-4.1125322638683697</v>
      </c>
      <c r="AG2907">
        <v>-1.1589399999999901</v>
      </c>
      <c r="AH2907">
        <v>187.59430347181899</v>
      </c>
      <c r="AI2907">
        <v>90.353878421399799</v>
      </c>
      <c r="AJ2907">
        <v>91.255864387625607</v>
      </c>
      <c r="AK2907">
        <v>187.64295552623901</v>
      </c>
      <c r="AL2907">
        <v>87.222800455887295</v>
      </c>
      <c r="AM2907">
        <v>89.1330502482421</v>
      </c>
      <c r="AN2907">
        <v>1.0000000412500201</v>
      </c>
    </row>
    <row r="2908" spans="1:40" x14ac:dyDescent="0.25">
      <c r="A2908" t="str">
        <f>"20190312150719455"</f>
        <v>20190312150719455</v>
      </c>
      <c r="B2908" t="str">
        <f>"1552374439443022"</f>
        <v>1552374439443022</v>
      </c>
      <c r="C2908" t="s">
        <v>40</v>
      </c>
      <c r="D2908">
        <v>4.6749900000000002</v>
      </c>
      <c r="E2908">
        <v>0.50783100000000003</v>
      </c>
      <c r="F2908" t="s">
        <v>68</v>
      </c>
      <c r="G2908">
        <v>-309.38569999999999</v>
      </c>
      <c r="H2908" s="1">
        <v>2.5530700000000002E-6</v>
      </c>
      <c r="I2908">
        <v>281.71850000000001</v>
      </c>
      <c r="J2908">
        <v>-221.62389999999999</v>
      </c>
      <c r="K2908">
        <v>1.1089119999999999</v>
      </c>
      <c r="L2908">
        <v>281.82240000000002</v>
      </c>
      <c r="M2908">
        <v>-0.99944040000000001</v>
      </c>
      <c r="N2908">
        <v>0</v>
      </c>
      <c r="O2908">
        <v>-3.3095079999999999E-2</v>
      </c>
      <c r="P2908">
        <v>-0.99888750000000004</v>
      </c>
      <c r="Q2908">
        <v>4.3598100000000001E-2</v>
      </c>
      <c r="R2908">
        <v>-1.7981E-2</v>
      </c>
      <c r="S2908">
        <v>-3.0049589999999999</v>
      </c>
      <c r="T2908">
        <v>-3.7910939999999997E-2</v>
      </c>
      <c r="U2908">
        <v>-3.692627E-3</v>
      </c>
      <c r="V2908">
        <v>1.514544E-2</v>
      </c>
      <c r="W2908">
        <v>4.8434680000000001E-2</v>
      </c>
      <c r="X2908">
        <v>0.99871149999999997</v>
      </c>
      <c r="Y2908">
        <v>3.1862109999999999E-2</v>
      </c>
      <c r="Z2908">
        <v>6.1844069999999996E-4</v>
      </c>
      <c r="AA2908">
        <v>0.99949209999999999</v>
      </c>
      <c r="AB2908">
        <v>23</v>
      </c>
      <c r="AC2908">
        <v>-87.761799999999994</v>
      </c>
      <c r="AD2908">
        <v>-1.1089094469299901</v>
      </c>
      <c r="AE2908">
        <v>-0.10390000000001</v>
      </c>
      <c r="AF2908">
        <v>2.8002279177646701</v>
      </c>
      <c r="AG2908">
        <v>-1.1089094469299901</v>
      </c>
      <c r="AH2908">
        <v>87.703160071808497</v>
      </c>
      <c r="AI2908">
        <v>90.724034236492798</v>
      </c>
      <c r="AJ2908">
        <v>88.171254545925194</v>
      </c>
      <c r="AK2908">
        <v>87.754858800719305</v>
      </c>
      <c r="AL2908">
        <v>87.223811027894399</v>
      </c>
      <c r="AM2908">
        <v>89.131177244087397</v>
      </c>
      <c r="AN2908">
        <v>0.99999998140587198</v>
      </c>
    </row>
    <row r="2909" spans="1:40" x14ac:dyDescent="0.25">
      <c r="A2909" t="str">
        <f>"20190312150719475"</f>
        <v>20190312150719475</v>
      </c>
      <c r="B2909" t="str">
        <f>"1552374439463518"</f>
        <v>1552374439463518</v>
      </c>
      <c r="C2909" t="s">
        <v>40</v>
      </c>
      <c r="D2909">
        <v>4.3646209999999996</v>
      </c>
      <c r="E2909">
        <v>0.50925589999999998</v>
      </c>
      <c r="F2909" t="s">
        <v>67</v>
      </c>
      <c r="G2909">
        <v>-338.05059999999997</v>
      </c>
      <c r="H2909" s="1">
        <v>2.8585580000000002E-6</v>
      </c>
      <c r="I2909">
        <v>282.07190000000003</v>
      </c>
      <c r="J2909">
        <v>-221.8253</v>
      </c>
      <c r="K2909">
        <v>1.108867</v>
      </c>
      <c r="L2909">
        <v>281.81650000000002</v>
      </c>
      <c r="M2909">
        <v>-0.99946349999999995</v>
      </c>
      <c r="N2909">
        <v>0</v>
      </c>
      <c r="O2909">
        <v>-3.2390170000000003E-2</v>
      </c>
      <c r="P2909">
        <v>-0.99889220000000001</v>
      </c>
      <c r="Q2909">
        <v>4.3812129999999998E-2</v>
      </c>
      <c r="R2909">
        <v>-1.7174680000000001E-2</v>
      </c>
      <c r="S2909">
        <v>-3.0047000000000001</v>
      </c>
      <c r="T2909">
        <v>-2.8618339999999999E-2</v>
      </c>
      <c r="U2909">
        <v>6.4392090000000004E-3</v>
      </c>
      <c r="V2909">
        <v>1.5251590000000001E-2</v>
      </c>
      <c r="W2909">
        <v>4.8659000000000001E-2</v>
      </c>
      <c r="X2909">
        <v>0.998699</v>
      </c>
      <c r="Y2909">
        <v>3.4529369999999997E-2</v>
      </c>
      <c r="Z2909">
        <v>4.7289350000000001E-4</v>
      </c>
      <c r="AA2909">
        <v>0.99940359999999995</v>
      </c>
      <c r="AB2909">
        <v>23</v>
      </c>
      <c r="AC2909">
        <v>-116.225299999999</v>
      </c>
      <c r="AD2909">
        <v>-1.108864141442</v>
      </c>
      <c r="AE2909">
        <v>0.25540000000000801</v>
      </c>
      <c r="AF2909">
        <v>4.0195017470560899</v>
      </c>
      <c r="AG2909">
        <v>-1.108864141442</v>
      </c>
      <c r="AH2909">
        <v>116.145470730924</v>
      </c>
      <c r="AI2909">
        <v>90.546670448477002</v>
      </c>
      <c r="AJ2909">
        <v>88.017928650044297</v>
      </c>
      <c r="AK2909">
        <v>116.22029231286</v>
      </c>
      <c r="AL2909">
        <v>87.210943320604002</v>
      </c>
      <c r="AM2909">
        <v>89.125077911481497</v>
      </c>
      <c r="AN2909">
        <v>1.00000000093976</v>
      </c>
    </row>
    <row r="2910" spans="1:40" x14ac:dyDescent="0.25">
      <c r="A2910" t="str">
        <f>"20190312150719489"</f>
        <v>20190312150719489</v>
      </c>
      <c r="B2910" t="str">
        <f>"1552374439483038"</f>
        <v>1552374439483038</v>
      </c>
      <c r="C2910" t="s">
        <v>40</v>
      </c>
      <c r="D2910">
        <v>4.4031279999999997</v>
      </c>
      <c r="E2910">
        <v>0.50993409999999995</v>
      </c>
      <c r="F2910" t="s">
        <v>67</v>
      </c>
      <c r="G2910">
        <v>-332.45080000000002</v>
      </c>
      <c r="H2910" s="1">
        <v>-1.4285299999999999E-7</v>
      </c>
      <c r="I2910">
        <v>282.56360000000001</v>
      </c>
      <c r="J2910">
        <v>-221.97890000000001</v>
      </c>
      <c r="K2910">
        <v>1.1088340000000001</v>
      </c>
      <c r="L2910">
        <v>281.81209999999999</v>
      </c>
      <c r="M2910">
        <v>-0.99948170000000003</v>
      </c>
      <c r="N2910">
        <v>0</v>
      </c>
      <c r="O2910">
        <v>-3.182024E-2</v>
      </c>
      <c r="P2910">
        <v>-0.99887760000000003</v>
      </c>
      <c r="Q2910">
        <v>4.4415929999999999E-2</v>
      </c>
      <c r="R2910">
        <v>-1.6462830000000001E-2</v>
      </c>
      <c r="S2910">
        <v>-3.0049899999999998</v>
      </c>
      <c r="T2910">
        <v>-3.0120850000000001E-2</v>
      </c>
      <c r="U2910">
        <v>2.029419E-2</v>
      </c>
      <c r="V2910">
        <v>1.5397630000000001E-2</v>
      </c>
      <c r="W2910">
        <v>4.9271959999999997E-2</v>
      </c>
      <c r="X2910">
        <v>0.99866670000000002</v>
      </c>
      <c r="Y2910">
        <v>3.8566280000000001E-2</v>
      </c>
      <c r="Z2910">
        <v>5.121937E-4</v>
      </c>
      <c r="AA2910">
        <v>0.99925589999999997</v>
      </c>
      <c r="AB2910">
        <v>23</v>
      </c>
      <c r="AC2910">
        <v>-110.47190000000001</v>
      </c>
      <c r="AD2910">
        <v>-1.108834142853</v>
      </c>
      <c r="AE2910">
        <v>0.75150000000002104</v>
      </c>
      <c r="AF2910">
        <v>4.2659738855653204</v>
      </c>
      <c r="AG2910">
        <v>-1.108834142853</v>
      </c>
      <c r="AH2910">
        <v>110.380923414759</v>
      </c>
      <c r="AI2910">
        <v>90.575117408725703</v>
      </c>
      <c r="AJ2910">
        <v>87.786748770578697</v>
      </c>
      <c r="AK2910">
        <v>110.468892907658</v>
      </c>
      <c r="AL2910">
        <v>87.175781105267404</v>
      </c>
      <c r="AM2910">
        <v>89.116672943757806</v>
      </c>
      <c r="AN2910">
        <v>0.99999999537037398</v>
      </c>
    </row>
    <row r="2911" spans="1:40" x14ac:dyDescent="0.25">
      <c r="A2911" t="str">
        <f>"20190312150719507"</f>
        <v>20190312150719507</v>
      </c>
      <c r="B2911" t="str">
        <f>"1552374439503534"</f>
        <v>1552374439503534</v>
      </c>
      <c r="C2911" t="s">
        <v>40</v>
      </c>
      <c r="D2911">
        <v>4.4025100000000004</v>
      </c>
      <c r="E2911">
        <v>0.5102527</v>
      </c>
      <c r="F2911" t="s">
        <v>67</v>
      </c>
      <c r="G2911">
        <v>-328.93689999999998</v>
      </c>
      <c r="H2911" s="1">
        <v>3.2988219999999998E-6</v>
      </c>
      <c r="I2911">
        <v>282.78960000000001</v>
      </c>
      <c r="J2911">
        <v>-222.1574</v>
      </c>
      <c r="K2911">
        <v>1.108798</v>
      </c>
      <c r="L2911">
        <v>281.80709999999999</v>
      </c>
      <c r="M2911">
        <v>-0.99950360000000005</v>
      </c>
      <c r="N2911">
        <v>0</v>
      </c>
      <c r="O2911">
        <v>-3.112417E-2</v>
      </c>
      <c r="P2911">
        <v>-0.99889289999999997</v>
      </c>
      <c r="Q2911">
        <v>4.4324540000000003E-2</v>
      </c>
      <c r="R2911">
        <v>-1.576412E-2</v>
      </c>
      <c r="S2911">
        <v>-3.0052029999999998</v>
      </c>
      <c r="T2911">
        <v>-3.1154870000000001E-2</v>
      </c>
      <c r="U2911">
        <v>2.7465819999999998E-2</v>
      </c>
      <c r="V2911">
        <v>1.5404910000000001E-2</v>
      </c>
      <c r="W2911">
        <v>4.9192420000000001E-2</v>
      </c>
      <c r="X2911">
        <v>0.99867050000000002</v>
      </c>
      <c r="Y2911">
        <v>4.0254020000000001E-2</v>
      </c>
      <c r="Z2911">
        <v>5.3127070000000005E-4</v>
      </c>
      <c r="AA2911">
        <v>0.99918929999999995</v>
      </c>
      <c r="AB2911">
        <v>23</v>
      </c>
      <c r="AC2911">
        <v>-106.779499999999</v>
      </c>
      <c r="AD2911">
        <v>-1.1087947011779999</v>
      </c>
      <c r="AE2911">
        <v>0.98250000000001603</v>
      </c>
      <c r="AF2911">
        <v>4.3050227611069101</v>
      </c>
      <c r="AG2911">
        <v>-1.1087947011779999</v>
      </c>
      <c r="AH2911">
        <v>106.685684380575</v>
      </c>
      <c r="AI2911">
        <v>90.594975002044606</v>
      </c>
      <c r="AJ2911">
        <v>87.689231811375606</v>
      </c>
      <c r="AK2911">
        <v>106.778265103038</v>
      </c>
      <c r="AL2911">
        <v>87.180343919650994</v>
      </c>
      <c r="AM2911">
        <v>89.116258735082397</v>
      </c>
      <c r="AN2911">
        <v>0.99999998650390698</v>
      </c>
    </row>
    <row r="2912" spans="1:40" x14ac:dyDescent="0.25">
      <c r="A2912" t="str">
        <f>"20190312150719520"</f>
        <v>20190312150719520</v>
      </c>
      <c r="B2912" t="str">
        <f>"1552374439513295"</f>
        <v>1552374439513295</v>
      </c>
      <c r="C2912" t="s">
        <v>40</v>
      </c>
      <c r="D2912">
        <v>4.4156110000000002</v>
      </c>
      <c r="E2912">
        <v>0.51046530000000001</v>
      </c>
      <c r="F2912" t="s">
        <v>67</v>
      </c>
      <c r="G2912">
        <v>-323.43090000000001</v>
      </c>
      <c r="H2912" s="1">
        <v>3.6430110000000002E-7</v>
      </c>
      <c r="I2912">
        <v>282.8931</v>
      </c>
      <c r="J2912">
        <v>-222.2963</v>
      </c>
      <c r="K2912">
        <v>1.10877</v>
      </c>
      <c r="L2912">
        <v>281.80340000000001</v>
      </c>
      <c r="M2912">
        <v>-0.99952110000000005</v>
      </c>
      <c r="N2912">
        <v>0</v>
      </c>
      <c r="O2912">
        <v>-3.0556059999999999E-2</v>
      </c>
      <c r="P2912">
        <v>-0.99890080000000003</v>
      </c>
      <c r="Q2912">
        <v>4.433517E-2</v>
      </c>
      <c r="R2912">
        <v>-1.522423E-2</v>
      </c>
      <c r="S2912">
        <v>-3.00528</v>
      </c>
      <c r="T2912">
        <v>-3.2903429999999997E-2</v>
      </c>
      <c r="U2912">
        <v>3.2226560000000001E-2</v>
      </c>
      <c r="V2912">
        <v>1.5380090000000001E-2</v>
      </c>
      <c r="W2912">
        <v>4.9214330000000001E-2</v>
      </c>
      <c r="X2912">
        <v>0.99866980000000005</v>
      </c>
      <c r="Y2912">
        <v>4.1268060000000002E-2</v>
      </c>
      <c r="Z2912">
        <v>5.6040259999999998E-4</v>
      </c>
      <c r="AA2912">
        <v>0.99914800000000004</v>
      </c>
      <c r="AB2912">
        <v>23</v>
      </c>
      <c r="AC2912">
        <v>-101.13460000000001</v>
      </c>
      <c r="AD2912">
        <v>-1.1087696356988901</v>
      </c>
      <c r="AE2912">
        <v>1.0896999999999899</v>
      </c>
      <c r="AF2912">
        <v>4.1790007563162801</v>
      </c>
      <c r="AG2912">
        <v>-1.1087696356988901</v>
      </c>
      <c r="AH2912">
        <v>101.04193396251399</v>
      </c>
      <c r="AI2912">
        <v>90.628165060086999</v>
      </c>
      <c r="AJ2912">
        <v>87.631649450214098</v>
      </c>
      <c r="AK2912">
        <v>101.134394922358</v>
      </c>
      <c r="AL2912">
        <v>87.179087038102693</v>
      </c>
      <c r="AM2912">
        <v>89.117681752957196</v>
      </c>
      <c r="AN2912">
        <v>0.99999998343889795</v>
      </c>
    </row>
    <row r="2913" spans="1:40" x14ac:dyDescent="0.25">
      <c r="A2913" t="str">
        <f>"20190312150719532"</f>
        <v>20190312150719532</v>
      </c>
      <c r="B2913" t="str">
        <f>"1552374439523054"</f>
        <v>1552374439523054</v>
      </c>
      <c r="C2913" t="s">
        <v>40</v>
      </c>
      <c r="D2913">
        <v>4.4963350000000002</v>
      </c>
      <c r="E2913">
        <v>0.51087539999999998</v>
      </c>
      <c r="F2913" t="s">
        <v>67</v>
      </c>
      <c r="G2913">
        <v>-325.19600000000003</v>
      </c>
      <c r="H2913" s="1">
        <v>1.298088E-6</v>
      </c>
      <c r="I2913">
        <v>283.01859999999999</v>
      </c>
      <c r="J2913">
        <v>-222.4255</v>
      </c>
      <c r="K2913">
        <v>1.1087499999999999</v>
      </c>
      <c r="L2913">
        <v>281.8</v>
      </c>
      <c r="M2913">
        <v>-0.99953769999999997</v>
      </c>
      <c r="N2913">
        <v>0</v>
      </c>
      <c r="O2913">
        <v>-3.0008699999999999E-2</v>
      </c>
      <c r="P2913">
        <v>-0.99890909999999999</v>
      </c>
      <c r="Q2913">
        <v>4.4391769999999997E-2</v>
      </c>
      <c r="R2913">
        <v>-1.4510159999999999E-2</v>
      </c>
      <c r="S2913">
        <v>-3.00528</v>
      </c>
      <c r="T2913">
        <v>-3.2382609999999999E-2</v>
      </c>
      <c r="U2913">
        <v>3.549194E-2</v>
      </c>
      <c r="V2913">
        <v>1.555016E-2</v>
      </c>
      <c r="W2913">
        <v>4.9283390000000003E-2</v>
      </c>
      <c r="X2913">
        <v>0.99866379999999999</v>
      </c>
      <c r="Y2913">
        <v>4.180652E-2</v>
      </c>
      <c r="Z2913">
        <v>5.4853529999999897E-4</v>
      </c>
      <c r="AA2913">
        <v>0.99912559999999995</v>
      </c>
      <c r="AB2913">
        <v>23</v>
      </c>
      <c r="AC2913">
        <v>-102.770499999999</v>
      </c>
      <c r="AD2913">
        <v>-1.1087487019119999</v>
      </c>
      <c r="AE2913">
        <v>1.2185999999999799</v>
      </c>
      <c r="AF2913">
        <v>4.3015964697810896</v>
      </c>
      <c r="AG2913">
        <v>-1.1087487019119999</v>
      </c>
      <c r="AH2913">
        <v>102.67569676307301</v>
      </c>
      <c r="AI2913">
        <v>90.618145123144203</v>
      </c>
      <c r="AJ2913">
        <v>87.600997259294402</v>
      </c>
      <c r="AK2913">
        <v>102.77174593075399</v>
      </c>
      <c r="AL2913">
        <v>87.175125495238206</v>
      </c>
      <c r="AM2913">
        <v>89.107921461208406</v>
      </c>
      <c r="AN2913">
        <v>1.00000002271817</v>
      </c>
    </row>
    <row r="2914" spans="1:40" x14ac:dyDescent="0.25">
      <c r="A2914" t="str">
        <f>"20190312150719547"</f>
        <v>20190312150719547</v>
      </c>
      <c r="B2914" t="str">
        <f>"1552374439542574"</f>
        <v>1552374439542574</v>
      </c>
      <c r="C2914" t="s">
        <v>40</v>
      </c>
      <c r="D2914">
        <v>4.4107200000000004</v>
      </c>
      <c r="E2914">
        <v>0.51108999999999905</v>
      </c>
      <c r="F2914" t="s">
        <v>67</v>
      </c>
      <c r="G2914">
        <v>-330.17790000000002</v>
      </c>
      <c r="H2914" s="1">
        <v>-1.3831740000000001E-6</v>
      </c>
      <c r="I2914">
        <v>283.26729999999998</v>
      </c>
      <c r="J2914">
        <v>-222.57220000000001</v>
      </c>
      <c r="K2914">
        <v>1.1087229999999999</v>
      </c>
      <c r="L2914">
        <v>281.7962</v>
      </c>
      <c r="M2914">
        <v>-0.99955640000000001</v>
      </c>
      <c r="N2914">
        <v>0</v>
      </c>
      <c r="O2914">
        <v>-2.937145E-2</v>
      </c>
      <c r="P2914">
        <v>-0.99892619999999999</v>
      </c>
      <c r="Q2914">
        <v>4.4274670000000002E-2</v>
      </c>
      <c r="R2914">
        <v>-1.364834E-2</v>
      </c>
      <c r="S2914">
        <v>-3.0052189999999999</v>
      </c>
      <c r="T2914">
        <v>-3.092313E-2</v>
      </c>
      <c r="U2914">
        <v>4.092407E-2</v>
      </c>
      <c r="V2914">
        <v>1.5777869999999999E-2</v>
      </c>
      <c r="W2914">
        <v>4.9181469999999998E-2</v>
      </c>
      <c r="X2914">
        <v>0.99866520000000003</v>
      </c>
      <c r="Y2914">
        <v>4.297579E-2</v>
      </c>
      <c r="Z2914">
        <v>5.2328119999999997E-4</v>
      </c>
      <c r="AA2914">
        <v>0.99907590000000002</v>
      </c>
      <c r="AB2914">
        <v>23</v>
      </c>
      <c r="AC2914">
        <v>-107.6057</v>
      </c>
      <c r="AD2914">
        <v>-1.1087243831739999</v>
      </c>
      <c r="AE2914">
        <v>1.4710999999999701</v>
      </c>
      <c r="AF2914">
        <v>4.6305476688461997</v>
      </c>
      <c r="AG2914">
        <v>-1.1087243831739999</v>
      </c>
      <c r="AH2914">
        <v>107.504654261358</v>
      </c>
      <c r="AI2914">
        <v>90.590338489121805</v>
      </c>
      <c r="AJ2914">
        <v>87.533623572738307</v>
      </c>
      <c r="AK2914">
        <v>107.61004567105</v>
      </c>
      <c r="AL2914">
        <v>87.1809720220092</v>
      </c>
      <c r="AM2914">
        <v>89.0948616647633</v>
      </c>
      <c r="AN2914">
        <v>0.99999996993206797</v>
      </c>
    </row>
    <row r="2915" spans="1:40" x14ac:dyDescent="0.25">
      <c r="A2915" t="str">
        <f>"20190312150719565"</f>
        <v>20190312150719565</v>
      </c>
      <c r="B2915" t="str">
        <f>"1552374439553311"</f>
        <v>1552374439553311</v>
      </c>
      <c r="C2915" t="s">
        <v>40</v>
      </c>
      <c r="D2915">
        <v>4.4033449999999998</v>
      </c>
      <c r="E2915">
        <v>0.51115940000000004</v>
      </c>
      <c r="F2915" t="s">
        <v>67</v>
      </c>
      <c r="G2915">
        <v>-330.49369999999999</v>
      </c>
      <c r="H2915" s="1">
        <v>-1.2217140000000001E-6</v>
      </c>
      <c r="I2915">
        <v>283.41820000000001</v>
      </c>
      <c r="J2915">
        <v>-222.76060000000001</v>
      </c>
      <c r="K2915">
        <v>1.1086860000000001</v>
      </c>
      <c r="L2915">
        <v>281.79160000000002</v>
      </c>
      <c r="M2915">
        <v>-0.99958100000000005</v>
      </c>
      <c r="N2915">
        <v>0</v>
      </c>
      <c r="O2915">
        <v>-2.8516400000000001E-2</v>
      </c>
      <c r="P2915">
        <v>-0.99894179999999999</v>
      </c>
      <c r="Q2915">
        <v>4.4150380000000003E-2</v>
      </c>
      <c r="R2915">
        <v>-1.289044E-2</v>
      </c>
      <c r="S2915">
        <v>-3.0052029999999998</v>
      </c>
      <c r="T2915">
        <v>-3.087378E-2</v>
      </c>
      <c r="U2915">
        <v>4.5166020000000001E-2</v>
      </c>
      <c r="V2915">
        <v>1.5685629999999999E-2</v>
      </c>
      <c r="W2915">
        <v>4.9080499999999999E-2</v>
      </c>
      <c r="X2915">
        <v>0.99867169999999905</v>
      </c>
      <c r="Y2915">
        <v>4.3531189999999997E-2</v>
      </c>
      <c r="Z2915">
        <v>5.165158E-4</v>
      </c>
      <c r="AA2915">
        <v>0.99905189999999999</v>
      </c>
      <c r="AB2915">
        <v>23</v>
      </c>
      <c r="AC2915">
        <v>-107.733099999999</v>
      </c>
      <c r="AD2915">
        <v>-1.108687221714</v>
      </c>
      <c r="AE2915">
        <v>1.6265999999999901</v>
      </c>
      <c r="AF2915">
        <v>4.6976391134880702</v>
      </c>
      <c r="AG2915">
        <v>-1.108687221714</v>
      </c>
      <c r="AH2915">
        <v>107.63150498626401</v>
      </c>
      <c r="AI2915">
        <v>90.589608414468202</v>
      </c>
      <c r="AJ2915">
        <v>87.500878740488702</v>
      </c>
      <c r="AK2915">
        <v>107.739676378781</v>
      </c>
      <c r="AL2915">
        <v>87.186764395780202</v>
      </c>
      <c r="AM2915">
        <v>89.100158234194495</v>
      </c>
      <c r="AN2915">
        <v>1.00000004942481</v>
      </c>
    </row>
    <row r="2916" spans="1:40" x14ac:dyDescent="0.25">
      <c r="A2916" t="str">
        <f>"20190312150719585"</f>
        <v>20190312150719585</v>
      </c>
      <c r="B2916" t="str">
        <f>"1552374439583566"</f>
        <v>1552374439583566</v>
      </c>
      <c r="C2916" t="s">
        <v>40</v>
      </c>
      <c r="D2916">
        <v>4.4230839999999896</v>
      </c>
      <c r="E2916">
        <v>0.50748709999999997</v>
      </c>
      <c r="F2916" t="s">
        <v>67</v>
      </c>
      <c r="G2916">
        <v>-328.54919999999998</v>
      </c>
      <c r="H2916" s="1">
        <v>3.0619560000000001E-6</v>
      </c>
      <c r="I2916">
        <v>283.48899999999998</v>
      </c>
      <c r="J2916">
        <v>-222.98599999999999</v>
      </c>
      <c r="K2916">
        <v>1.1086419999999999</v>
      </c>
      <c r="L2916">
        <v>281.78629999999998</v>
      </c>
      <c r="M2916">
        <v>-0.99961089999999997</v>
      </c>
      <c r="N2916">
        <v>0</v>
      </c>
      <c r="O2916">
        <v>-2.7447240000000001E-2</v>
      </c>
      <c r="P2916">
        <v>-0.99898920000000002</v>
      </c>
      <c r="Q2916">
        <v>4.3584230000000002E-2</v>
      </c>
      <c r="R2916">
        <v>-1.102029E-2</v>
      </c>
      <c r="S2916">
        <v>-3.0051730000000001</v>
      </c>
      <c r="T2916">
        <v>-3.149474E-2</v>
      </c>
      <c r="U2916">
        <v>4.821777E-2</v>
      </c>
      <c r="V2916">
        <v>1.649136E-2</v>
      </c>
      <c r="W2916">
        <v>4.854518E-2</v>
      </c>
      <c r="X2916">
        <v>0.99868480000000004</v>
      </c>
      <c r="Y2916">
        <v>4.3476969999999997E-2</v>
      </c>
      <c r="Z2916">
        <v>5.1542000000000005E-4</v>
      </c>
      <c r="AA2916">
        <v>0.99905429999999995</v>
      </c>
      <c r="AB2916">
        <v>23</v>
      </c>
      <c r="AC2916">
        <v>-105.56319999999999</v>
      </c>
      <c r="AD2916">
        <v>-1.1086389380439901</v>
      </c>
      <c r="AE2916">
        <v>1.7027000000000401</v>
      </c>
      <c r="AF2916">
        <v>4.5990056492323896</v>
      </c>
      <c r="AG2916">
        <v>-1.1086389380439901</v>
      </c>
      <c r="AH2916">
        <v>105.465064236914</v>
      </c>
      <c r="AI2916">
        <v>90.601693952449295</v>
      </c>
      <c r="AJ2916">
        <v>87.503089928508004</v>
      </c>
      <c r="AK2916">
        <v>105.57111208921199</v>
      </c>
      <c r="AL2916">
        <v>87.217472341023793</v>
      </c>
      <c r="AM2916">
        <v>89.053956307182105</v>
      </c>
      <c r="AN2916">
        <v>0.99999996460345997</v>
      </c>
    </row>
    <row r="2917" spans="1:40" x14ac:dyDescent="0.25">
      <c r="A2917" t="str">
        <f>"20190312150719599"</f>
        <v>20190312150719599</v>
      </c>
      <c r="B2917" t="str">
        <f>"1552374439593327"</f>
        <v>1552374439593327</v>
      </c>
      <c r="C2917" t="s">
        <v>40</v>
      </c>
      <c r="D2917">
        <v>4.3950849999999999</v>
      </c>
      <c r="E2917">
        <v>0.50748709999999997</v>
      </c>
      <c r="F2917" t="s">
        <v>67</v>
      </c>
      <c r="G2917">
        <v>-253.51929999999999</v>
      </c>
      <c r="H2917" s="1">
        <v>3.360344E-7</v>
      </c>
      <c r="I2917">
        <v>282.02510000000001</v>
      </c>
      <c r="J2917">
        <v>-223.125</v>
      </c>
      <c r="K2917">
        <v>1.1086240000000001</v>
      </c>
      <c r="L2917">
        <v>281.78320000000002</v>
      </c>
      <c r="M2917">
        <v>-0.99962930000000005</v>
      </c>
      <c r="N2917">
        <v>0</v>
      </c>
      <c r="O2917">
        <v>-2.6766519999999999E-2</v>
      </c>
      <c r="P2917">
        <v>-0.99901169999999995</v>
      </c>
      <c r="Q2917">
        <v>4.3260899999999998E-2</v>
      </c>
      <c r="R2917">
        <v>-1.0220419999999999E-2</v>
      </c>
      <c r="S2917">
        <v>-3.0080719999999999</v>
      </c>
      <c r="T2917">
        <v>-0.1092207</v>
      </c>
      <c r="U2917">
        <v>2.3529049999999999E-2</v>
      </c>
      <c r="V2917">
        <v>1.6613070000000001E-2</v>
      </c>
      <c r="W2917">
        <v>4.8244170000000003E-2</v>
      </c>
      <c r="X2917">
        <v>0.99869739999999996</v>
      </c>
      <c r="Y2917">
        <v>3.4544560000000002E-2</v>
      </c>
      <c r="Z2917">
        <v>1.598414E-3</v>
      </c>
      <c r="AA2917">
        <v>0.99940189999999995</v>
      </c>
      <c r="AB2917">
        <v>24</v>
      </c>
      <c r="AC2917">
        <v>-30.394299999999902</v>
      </c>
      <c r="AD2917">
        <v>-1.1086236639656</v>
      </c>
      <c r="AE2917">
        <v>0.24189999999998599</v>
      </c>
      <c r="AF2917">
        <v>1.05397094183455</v>
      </c>
      <c r="AG2917">
        <v>-1.1086236639656</v>
      </c>
      <c r="AH2917">
        <v>30.336577540824599</v>
      </c>
      <c r="AI2917">
        <v>92.091631913052595</v>
      </c>
      <c r="AJ2917">
        <v>88.010197191340794</v>
      </c>
      <c r="AK2917">
        <v>30.375118733348199</v>
      </c>
      <c r="AL2917">
        <v>87.234739261221506</v>
      </c>
      <c r="AM2917">
        <v>89.046987593426906</v>
      </c>
      <c r="AN2917">
        <v>0.99999999540028595</v>
      </c>
    </row>
    <row r="2918" spans="1:40" x14ac:dyDescent="0.25">
      <c r="A2918" t="str">
        <f>"20190312150719610"</f>
        <v>20190312150719610</v>
      </c>
      <c r="B2918" t="str">
        <f>"1552374439603086"</f>
        <v>1552374439603086</v>
      </c>
      <c r="C2918" t="s">
        <v>40</v>
      </c>
      <c r="D2918">
        <v>4.5368279999999999</v>
      </c>
      <c r="E2918">
        <v>0.51121159999999999</v>
      </c>
      <c r="F2918" t="s">
        <v>67</v>
      </c>
      <c r="G2918">
        <v>-253.38489999999999</v>
      </c>
      <c r="H2918" s="1">
        <v>2.6448699999999998E-7</v>
      </c>
      <c r="I2918">
        <v>282.04329999999999</v>
      </c>
      <c r="J2918">
        <v>-223.2516</v>
      </c>
      <c r="K2918">
        <v>1.1086069999999999</v>
      </c>
      <c r="L2918">
        <v>281.78050000000002</v>
      </c>
      <c r="M2918">
        <v>-0.99964580000000003</v>
      </c>
      <c r="N2918">
        <v>0</v>
      </c>
      <c r="O2918">
        <v>-2.613671E-2</v>
      </c>
      <c r="P2918">
        <v>-0.99903739999999996</v>
      </c>
      <c r="Q2918">
        <v>4.2948630000000002E-2</v>
      </c>
      <c r="R2918">
        <v>-8.9395499999999992E-3</v>
      </c>
      <c r="S2918">
        <v>-3.0080110000000002</v>
      </c>
      <c r="T2918">
        <v>-0.1102035</v>
      </c>
      <c r="U2918">
        <v>2.5848389999999999E-2</v>
      </c>
      <c r="V2918">
        <v>1.726627E-2</v>
      </c>
      <c r="W2918">
        <v>4.7952689999999999E-2</v>
      </c>
      <c r="X2918">
        <v>0.99870040000000004</v>
      </c>
      <c r="Y2918">
        <v>3.4685199999999999E-2</v>
      </c>
      <c r="Z2918">
        <v>1.5923300000000001E-3</v>
      </c>
      <c r="AA2918">
        <v>0.99939699999999998</v>
      </c>
      <c r="AB2918">
        <v>24</v>
      </c>
      <c r="AC2918">
        <v>-30.133299999999899</v>
      </c>
      <c r="AD2918">
        <v>-1.10860673551299</v>
      </c>
      <c r="AE2918">
        <v>0.26279999999997</v>
      </c>
      <c r="AF2918">
        <v>1.0488858756536901</v>
      </c>
      <c r="AG2918">
        <v>-1.10860673551299</v>
      </c>
      <c r="AH2918">
        <v>30.075432406236501</v>
      </c>
      <c r="AI2918">
        <v>92.109735318302896</v>
      </c>
      <c r="AJ2918">
        <v>88.002609370703198</v>
      </c>
      <c r="AK2918">
        <v>30.1141296553009</v>
      </c>
      <c r="AL2918">
        <v>87.251459300563795</v>
      </c>
      <c r="AM2918">
        <v>89.009526930451997</v>
      </c>
      <c r="AN2918">
        <v>1.00000003675905</v>
      </c>
    </row>
    <row r="2919" spans="1:40" x14ac:dyDescent="0.25">
      <c r="A2919" t="str">
        <f>"20190312150719630"</f>
        <v>20190312150719630</v>
      </c>
      <c r="B2919" t="str">
        <f>"1552374439623581"</f>
        <v>1552374439623581</v>
      </c>
      <c r="C2919" t="s">
        <v>40</v>
      </c>
      <c r="D2919">
        <v>4.3815799999999996</v>
      </c>
      <c r="E2919">
        <v>0.51072790000000001</v>
      </c>
      <c r="F2919" t="s">
        <v>67</v>
      </c>
      <c r="G2919">
        <v>-348.18130000000002</v>
      </c>
      <c r="H2919" s="1">
        <v>2.816903E-6</v>
      </c>
      <c r="I2919">
        <v>284.298</v>
      </c>
      <c r="J2919">
        <v>-223.45769999999999</v>
      </c>
      <c r="K2919">
        <v>1.108584</v>
      </c>
      <c r="L2919">
        <v>281.77620000000002</v>
      </c>
      <c r="M2919">
        <v>-0.99967229999999996</v>
      </c>
      <c r="N2919">
        <v>0</v>
      </c>
      <c r="O2919">
        <v>-2.5092639999999999E-2</v>
      </c>
      <c r="P2919">
        <v>-0.99906589999999995</v>
      </c>
      <c r="Q2919">
        <v>4.2602149999999998E-2</v>
      </c>
      <c r="R2919">
        <v>-7.2575809999999999E-3</v>
      </c>
      <c r="S2919">
        <v>-3.0045929999999998</v>
      </c>
      <c r="T2919">
        <v>-2.6662229999999999E-2</v>
      </c>
      <c r="U2919">
        <v>6.0546879999999997E-2</v>
      </c>
      <c r="V2919">
        <v>1.790744E-2</v>
      </c>
      <c r="W2919">
        <v>4.7641179999999998E-2</v>
      </c>
      <c r="X2919">
        <v>0.99870400000000004</v>
      </c>
      <c r="Y2919">
        <v>4.5226120000000002E-2</v>
      </c>
      <c r="Z2919">
        <v>4.2328020000000001E-4</v>
      </c>
      <c r="AA2919">
        <v>0.99897670000000005</v>
      </c>
      <c r="AB2919">
        <v>24</v>
      </c>
      <c r="AC2919">
        <v>-124.7236</v>
      </c>
      <c r="AD2919">
        <v>-1.108581183097</v>
      </c>
      <c r="AE2919">
        <v>2.5217999999999798</v>
      </c>
      <c r="AF2919">
        <v>5.6502442789298204</v>
      </c>
      <c r="AG2919">
        <v>-1.108581183097</v>
      </c>
      <c r="AH2919">
        <v>124.61120735483</v>
      </c>
      <c r="AI2919">
        <v>90.509185003411403</v>
      </c>
      <c r="AJ2919">
        <v>87.403816514309995</v>
      </c>
      <c r="AK2919">
        <v>124.744167042309</v>
      </c>
      <c r="AL2919">
        <v>87.269327882333101</v>
      </c>
      <c r="AM2919">
        <v>88.972757897519699</v>
      </c>
      <c r="AN2919">
        <v>1.00000001902757</v>
      </c>
    </row>
    <row r="2920" spans="1:40" x14ac:dyDescent="0.25">
      <c r="A2920" t="str">
        <f>"20190312150719653"</f>
        <v>20190312150719653</v>
      </c>
      <c r="B2920" t="str">
        <f>"1552374439643105"</f>
        <v>1552374439643105</v>
      </c>
      <c r="C2920" t="s">
        <v>40</v>
      </c>
      <c r="D2920">
        <v>4.380147</v>
      </c>
      <c r="E2920">
        <v>0.50977329999999998</v>
      </c>
      <c r="F2920" t="s">
        <v>68</v>
      </c>
      <c r="G2920">
        <v>-313.108</v>
      </c>
      <c r="H2920" s="1">
        <v>3.6831430000000001E-6</v>
      </c>
      <c r="I2920">
        <v>283.61099999999999</v>
      </c>
      <c r="J2920">
        <v>-223.70590000000001</v>
      </c>
      <c r="K2920">
        <v>1.108562</v>
      </c>
      <c r="L2920">
        <v>281.77140000000003</v>
      </c>
      <c r="M2920">
        <v>-0.99970329999999996</v>
      </c>
      <c r="N2920">
        <v>0</v>
      </c>
      <c r="O2920">
        <v>-2.38103E-2</v>
      </c>
      <c r="P2920">
        <v>-0.99911360000000005</v>
      </c>
      <c r="Q2920">
        <v>4.1722200000000001E-2</v>
      </c>
      <c r="R2920">
        <v>-5.591019E-3</v>
      </c>
      <c r="S2920">
        <v>-3.0048219999999999</v>
      </c>
      <c r="T2920">
        <v>-3.7156460000000002E-2</v>
      </c>
      <c r="U2920">
        <v>6.149292E-2</v>
      </c>
      <c r="V2920">
        <v>1.8294049999999999E-2</v>
      </c>
      <c r="W2920">
        <v>4.6805270000000003E-2</v>
      </c>
      <c r="X2920">
        <v>0.99873650000000003</v>
      </c>
      <c r="Y2920">
        <v>4.4255089999999997E-2</v>
      </c>
      <c r="Z2920">
        <v>5.6796940000000001E-4</v>
      </c>
      <c r="AA2920">
        <v>0.99902009999999997</v>
      </c>
      <c r="AB2920">
        <v>24</v>
      </c>
      <c r="AC2920">
        <v>-89.402099999999905</v>
      </c>
      <c r="AD2920">
        <v>-1.1085583168569999</v>
      </c>
      <c r="AE2920">
        <v>1.8395999999999599</v>
      </c>
      <c r="AF2920">
        <v>3.9671876449290502</v>
      </c>
      <c r="AG2920">
        <v>-1.1085583168569999</v>
      </c>
      <c r="AH2920">
        <v>89.319224124258596</v>
      </c>
      <c r="AI2920">
        <v>90.710372306713893</v>
      </c>
      <c r="AJ2920">
        <v>87.456831767902898</v>
      </c>
      <c r="AK2920">
        <v>89.414155912313404</v>
      </c>
      <c r="AL2920">
        <v>87.317275441689901</v>
      </c>
      <c r="AM2920">
        <v>88.950619456284301</v>
      </c>
      <c r="AN2920">
        <v>1.00000000099871</v>
      </c>
    </row>
    <row r="2921" spans="1:40" x14ac:dyDescent="0.25">
      <c r="A2921" t="str">
        <f>"20190312150719665"</f>
        <v>20190312150719665</v>
      </c>
      <c r="B2921" t="str">
        <f>"1552374439652862"</f>
        <v>1552374439652862</v>
      </c>
      <c r="C2921" t="s">
        <v>40</v>
      </c>
      <c r="D2921">
        <v>4.3940010000000003</v>
      </c>
      <c r="E2921">
        <v>0.50935600000000003</v>
      </c>
      <c r="F2921" t="s">
        <v>68</v>
      </c>
      <c r="G2921">
        <v>-307.66379999999998</v>
      </c>
      <c r="H2921" s="1">
        <v>2.7098580000000002E-6</v>
      </c>
      <c r="I2921">
        <v>283.41890000000001</v>
      </c>
      <c r="J2921">
        <v>-223.83369999999999</v>
      </c>
      <c r="K2921">
        <v>1.108552</v>
      </c>
      <c r="L2921">
        <v>281.76900000000001</v>
      </c>
      <c r="M2921">
        <v>-0.99971900000000002</v>
      </c>
      <c r="N2921">
        <v>0</v>
      </c>
      <c r="O2921">
        <v>-2.314476E-2</v>
      </c>
      <c r="P2921">
        <v>-0.99912350000000005</v>
      </c>
      <c r="Q2921">
        <v>4.159653E-2</v>
      </c>
      <c r="R2921">
        <v>-4.6989969999999999E-3</v>
      </c>
      <c r="S2921">
        <v>-3.0046539999999999</v>
      </c>
      <c r="T2921">
        <v>-3.9672730000000003E-2</v>
      </c>
      <c r="U2921">
        <v>5.8959959999999999E-2</v>
      </c>
      <c r="V2921">
        <v>1.8521739999999998E-2</v>
      </c>
      <c r="W2921">
        <v>4.6701909999999999E-2</v>
      </c>
      <c r="X2921">
        <v>0.99873719999999999</v>
      </c>
      <c r="Y2921">
        <v>4.2748729999999999E-2</v>
      </c>
      <c r="Z2921">
        <v>5.8773859999999996E-4</v>
      </c>
      <c r="AA2921">
        <v>0.99908569999999997</v>
      </c>
      <c r="AB2921">
        <v>24</v>
      </c>
      <c r="AC2921">
        <v>-83.830099999999902</v>
      </c>
      <c r="AD2921">
        <v>-1.108549290142</v>
      </c>
      <c r="AE2921">
        <v>1.6498999999999999</v>
      </c>
      <c r="AF2921">
        <v>3.5890836502760401</v>
      </c>
      <c r="AG2921">
        <v>-1.108549290142</v>
      </c>
      <c r="AH2921">
        <v>83.754815955799899</v>
      </c>
      <c r="AI2921">
        <v>90.757607306944905</v>
      </c>
      <c r="AJ2921">
        <v>87.546247237835502</v>
      </c>
      <c r="AK2921">
        <v>83.839010005887204</v>
      </c>
      <c r="AL2921">
        <v>87.323204171888094</v>
      </c>
      <c r="AM2921">
        <v>88.937562456542096</v>
      </c>
      <c r="AN2921">
        <v>1.0000000589570499</v>
      </c>
    </row>
    <row r="2922" spans="1:40" x14ac:dyDescent="0.25">
      <c r="A2922" t="str">
        <f>"20190312150719677"</f>
        <v>20190312150719677</v>
      </c>
      <c r="B2922" t="str">
        <f>"1552374439673358"</f>
        <v>1552374439673358</v>
      </c>
      <c r="C2922" t="s">
        <v>40</v>
      </c>
      <c r="D2922">
        <v>4.4245910000000004</v>
      </c>
      <c r="E2922">
        <v>0.5091618</v>
      </c>
      <c r="F2922" t="s">
        <v>68</v>
      </c>
      <c r="G2922">
        <v>-302.61680000000001</v>
      </c>
      <c r="H2922" s="1">
        <v>3.615741E-6</v>
      </c>
      <c r="I2922">
        <v>283.29739999999998</v>
      </c>
      <c r="J2922">
        <v>-223.96559999999999</v>
      </c>
      <c r="K2922">
        <v>1.1085469999999999</v>
      </c>
      <c r="L2922">
        <v>281.76670000000001</v>
      </c>
      <c r="M2922">
        <v>-0.99973460000000003</v>
      </c>
      <c r="N2922">
        <v>0</v>
      </c>
      <c r="O2922">
        <v>-2.2453130000000002E-2</v>
      </c>
      <c r="P2922">
        <v>-0.99914530000000001</v>
      </c>
      <c r="Q2922">
        <v>4.1181189999999999E-2</v>
      </c>
      <c r="R2922">
        <v>-3.595507E-3</v>
      </c>
      <c r="S2922">
        <v>-3.0046689999999998</v>
      </c>
      <c r="T2922">
        <v>-4.2278410000000002E-2</v>
      </c>
      <c r="U2922">
        <v>5.8288569999999998E-2</v>
      </c>
      <c r="V2922">
        <v>1.8934099999999999E-2</v>
      </c>
      <c r="W2922">
        <v>4.6310850000000001E-2</v>
      </c>
      <c r="X2922">
        <v>0.99874759999999996</v>
      </c>
      <c r="Y2922">
        <v>4.1833639999999998E-2</v>
      </c>
      <c r="Z2922">
        <v>6.1016819999999998E-4</v>
      </c>
      <c r="AA2922">
        <v>0.99912440000000002</v>
      </c>
      <c r="AB2922">
        <v>24</v>
      </c>
      <c r="AC2922">
        <v>-78.651200000000003</v>
      </c>
      <c r="AD2922">
        <v>-1.108543384259</v>
      </c>
      <c r="AE2922">
        <v>1.53069999999996</v>
      </c>
      <c r="AF2922">
        <v>3.2956487474163501</v>
      </c>
      <c r="AG2922">
        <v>-1.108543384259</v>
      </c>
      <c r="AH2922">
        <v>78.581397278729199</v>
      </c>
      <c r="AI2922">
        <v>90.807504996386498</v>
      </c>
      <c r="AJ2922">
        <v>87.598462514365707</v>
      </c>
      <c r="AK2922">
        <v>78.658287340741197</v>
      </c>
      <c r="AL2922">
        <v>87.345634322934401</v>
      </c>
      <c r="AM2922">
        <v>88.913925717914594</v>
      </c>
      <c r="AN2922">
        <v>0.99999998173814597</v>
      </c>
    </row>
    <row r="2923" spans="1:40" x14ac:dyDescent="0.25">
      <c r="A2923" t="str">
        <f>"20190312150719695"</f>
        <v>20190312150719695</v>
      </c>
      <c r="B2923" t="str">
        <f>"1552374439692878"</f>
        <v>1552374439692878</v>
      </c>
      <c r="C2923" t="s">
        <v>40</v>
      </c>
      <c r="D2923">
        <v>4.3743650000000001</v>
      </c>
      <c r="E2923">
        <v>0.51356939999999995</v>
      </c>
      <c r="F2923" t="s">
        <v>68</v>
      </c>
      <c r="G2923">
        <v>-301.75009999999997</v>
      </c>
      <c r="H2923" s="1">
        <v>3.767357E-6</v>
      </c>
      <c r="I2923">
        <v>283.32159999999999</v>
      </c>
      <c r="J2923">
        <v>-224.1661</v>
      </c>
      <c r="K2923">
        <v>1.1085320000000001</v>
      </c>
      <c r="L2923">
        <v>281.76330000000002</v>
      </c>
      <c r="M2923">
        <v>-0.99975740000000002</v>
      </c>
      <c r="N2923">
        <v>0</v>
      </c>
      <c r="O2923">
        <v>-2.1399000000000001E-2</v>
      </c>
      <c r="P2923">
        <v>-0.99919259999999999</v>
      </c>
      <c r="Q2923">
        <v>4.012553E-2</v>
      </c>
      <c r="R2923">
        <v>-2.0933150000000001E-3</v>
      </c>
      <c r="S2923">
        <v>-3.0045169999999999</v>
      </c>
      <c r="T2923">
        <v>-4.2818780000000001E-2</v>
      </c>
      <c r="U2923">
        <v>6.0058590000000002E-2</v>
      </c>
      <c r="V2923">
        <v>1.9382679999999999E-2</v>
      </c>
      <c r="W2923">
        <v>4.529387E-2</v>
      </c>
      <c r="X2923">
        <v>0.9987857</v>
      </c>
      <c r="Y2923">
        <v>4.136952E-2</v>
      </c>
      <c r="Z2923">
        <v>5.9966809999999996E-4</v>
      </c>
      <c r="AA2923">
        <v>0.99914369999999997</v>
      </c>
      <c r="AB2923">
        <v>24</v>
      </c>
      <c r="AC2923">
        <v>-77.583999999999904</v>
      </c>
      <c r="AD2923">
        <v>-1.1085282326429999</v>
      </c>
      <c r="AE2923">
        <v>1.55829999999997</v>
      </c>
      <c r="AF2923">
        <v>3.2175291851770398</v>
      </c>
      <c r="AG2923">
        <v>-1.1085282326429999</v>
      </c>
      <c r="AH2923">
        <v>77.5170687219196</v>
      </c>
      <c r="AI2923">
        <v>90.818594279291204</v>
      </c>
      <c r="AJ2923">
        <v>87.623167583535206</v>
      </c>
      <c r="AK2923">
        <v>77.591734560704595</v>
      </c>
      <c r="AL2923">
        <v>87.403964378398499</v>
      </c>
      <c r="AM2923">
        <v>88.888243614454396</v>
      </c>
      <c r="AN2923">
        <v>1.0000000487340199</v>
      </c>
    </row>
    <row r="2924" spans="1:40" x14ac:dyDescent="0.25">
      <c r="A2924" t="str">
        <f>"20190312150719708"</f>
        <v>20190312150719708</v>
      </c>
      <c r="B2924" t="str">
        <f>"1552374439703614"</f>
        <v>1552374439703614</v>
      </c>
      <c r="C2924" t="s">
        <v>40</v>
      </c>
      <c r="D2924">
        <v>4.4223990000000004</v>
      </c>
      <c r="E2924">
        <v>0.51478970000000002</v>
      </c>
      <c r="F2924" t="s">
        <v>68</v>
      </c>
      <c r="G2924">
        <v>-293.1189</v>
      </c>
      <c r="H2924" s="1">
        <v>2.8086239999999999E-6</v>
      </c>
      <c r="I2924">
        <v>284.04860000000002</v>
      </c>
      <c r="J2924">
        <v>-224.2954</v>
      </c>
      <c r="K2924">
        <v>1.108528</v>
      </c>
      <c r="L2924">
        <v>281.76130000000001</v>
      </c>
      <c r="M2924">
        <v>-0.99977159999999998</v>
      </c>
      <c r="N2924">
        <v>0</v>
      </c>
      <c r="O2924">
        <v>-2.071835E-2</v>
      </c>
      <c r="P2924">
        <v>-0.99921110000000002</v>
      </c>
      <c r="Q2924">
        <v>3.9688660000000001E-2</v>
      </c>
      <c r="R2924">
        <v>-1.2839940000000001E-3</v>
      </c>
      <c r="S2924">
        <v>-3.004562</v>
      </c>
      <c r="T2924">
        <v>-4.8303249999999999E-2</v>
      </c>
      <c r="U2924">
        <v>9.9578860000000005E-2</v>
      </c>
      <c r="V2924">
        <v>1.9511210000000001E-2</v>
      </c>
      <c r="W2924">
        <v>4.488325E-2</v>
      </c>
      <c r="X2924">
        <v>0.99880170000000001</v>
      </c>
      <c r="Y2924">
        <v>5.3814899999999999E-2</v>
      </c>
      <c r="Z2924">
        <v>7.6541819999999998E-4</v>
      </c>
      <c r="AA2924">
        <v>0.99855070000000001</v>
      </c>
      <c r="AB2924">
        <v>24</v>
      </c>
      <c r="AC2924">
        <v>-68.823499999999996</v>
      </c>
      <c r="AD2924">
        <v>-1.1085251913759999</v>
      </c>
      <c r="AE2924">
        <v>2.2873000000000099</v>
      </c>
      <c r="AF2924">
        <v>3.7117761103680098</v>
      </c>
      <c r="AG2924">
        <v>-1.1085251913759999</v>
      </c>
      <c r="AH2924">
        <v>68.743522679889395</v>
      </c>
      <c r="AI2924">
        <v>90.922500761857407</v>
      </c>
      <c r="AJ2924">
        <v>86.909340903658901</v>
      </c>
      <c r="AK2924">
        <v>68.852581799333294</v>
      </c>
      <c r="AL2924">
        <v>87.427515034002894</v>
      </c>
      <c r="AM2924">
        <v>88.880891151764303</v>
      </c>
      <c r="AN2924">
        <v>1.00000001468455</v>
      </c>
    </row>
    <row r="2925" spans="1:40" x14ac:dyDescent="0.25">
      <c r="A2925" t="str">
        <f>"20190312150719719"</f>
        <v>20190312150719719</v>
      </c>
      <c r="B2925" t="str">
        <f>"1552374439713374"</f>
        <v>1552374439713374</v>
      </c>
      <c r="C2925" t="s">
        <v>40</v>
      </c>
      <c r="D2925">
        <v>4.4211600000000004</v>
      </c>
      <c r="E2925">
        <v>0.51592420000000005</v>
      </c>
      <c r="F2925" t="s">
        <v>68</v>
      </c>
      <c r="G2925">
        <v>-286.12090000000001</v>
      </c>
      <c r="H2925" s="1">
        <v>5.8033110000000001E-6</v>
      </c>
      <c r="I2925">
        <v>284.05770000000001</v>
      </c>
      <c r="J2925">
        <v>-224.4254</v>
      </c>
      <c r="K2925">
        <v>1.108525</v>
      </c>
      <c r="L2925">
        <v>281.7593</v>
      </c>
      <c r="M2925">
        <v>-0.99978540000000005</v>
      </c>
      <c r="N2925">
        <v>0</v>
      </c>
      <c r="O2925">
        <v>-2.0034960000000001E-2</v>
      </c>
      <c r="P2925">
        <v>-0.9992335</v>
      </c>
      <c r="Q2925">
        <v>3.9141280000000001E-2</v>
      </c>
      <c r="R2925">
        <v>-5.9656960000000001E-4</v>
      </c>
      <c r="S2925">
        <v>-3.0046689999999998</v>
      </c>
      <c r="T2925">
        <v>-5.3873299999999999E-2</v>
      </c>
      <c r="U2925">
        <v>0.1116028</v>
      </c>
      <c r="V2925">
        <v>1.9515399999999999E-2</v>
      </c>
      <c r="W2925">
        <v>4.436259E-2</v>
      </c>
      <c r="X2925">
        <v>0.99882479999999996</v>
      </c>
      <c r="Y2925">
        <v>5.7119120000000002E-2</v>
      </c>
      <c r="Z2925">
        <v>8.7094329999999999E-4</v>
      </c>
      <c r="AA2925">
        <v>0.998367</v>
      </c>
      <c r="AB2925">
        <v>24</v>
      </c>
      <c r="AC2925">
        <v>-61.695500000000003</v>
      </c>
      <c r="AD2925">
        <v>-1.108519196689</v>
      </c>
      <c r="AE2925">
        <v>2.2984000000000102</v>
      </c>
      <c r="AF2925">
        <v>3.5328837257995001</v>
      </c>
      <c r="AG2925">
        <v>-1.108519196689</v>
      </c>
      <c r="AH2925">
        <v>61.617202579484101</v>
      </c>
      <c r="AI2925">
        <v>91.028974226674094</v>
      </c>
      <c r="AJ2925">
        <v>86.718482131456497</v>
      </c>
      <c r="AK2925">
        <v>61.728354392050903</v>
      </c>
      <c r="AL2925">
        <v>87.457376198272101</v>
      </c>
      <c r="AM2925">
        <v>88.880676766934499</v>
      </c>
      <c r="AN2925">
        <v>0.99999993566185097</v>
      </c>
    </row>
    <row r="2926" spans="1:40" x14ac:dyDescent="0.25">
      <c r="A2926" t="str">
        <f>"20190312150719731"</f>
        <v>20190312150719731</v>
      </c>
      <c r="B2926" t="str">
        <f>"1552374439723134"</f>
        <v>1552374439723134</v>
      </c>
      <c r="C2926" t="s">
        <v>40</v>
      </c>
      <c r="D2926">
        <v>4.3888699999999998</v>
      </c>
      <c r="E2926">
        <v>0.51673610000000003</v>
      </c>
      <c r="F2926" t="s">
        <v>68</v>
      </c>
      <c r="G2926">
        <v>-280.69119999999998</v>
      </c>
      <c r="H2926" s="1">
        <v>8.2112619999999999E-6</v>
      </c>
      <c r="I2926">
        <v>284.05720000000002</v>
      </c>
      <c r="J2926">
        <v>-224.55410000000001</v>
      </c>
      <c r="K2926">
        <v>1.1085290000000001</v>
      </c>
      <c r="L2926">
        <v>281.75740000000002</v>
      </c>
      <c r="M2926">
        <v>-0.99979870000000004</v>
      </c>
      <c r="N2926">
        <v>0</v>
      </c>
      <c r="O2926">
        <v>-1.9358489999999999E-2</v>
      </c>
      <c r="P2926">
        <v>-0.99924930000000001</v>
      </c>
      <c r="Q2926">
        <v>3.8744840000000003E-2</v>
      </c>
      <c r="R2926" s="1">
        <v>-2.7922390000000002E-5</v>
      </c>
      <c r="S2926">
        <v>-3.0047000000000001</v>
      </c>
      <c r="T2926">
        <v>-5.9196829999999999E-2</v>
      </c>
      <c r="U2926">
        <v>0.12271120000000001</v>
      </c>
      <c r="V2926">
        <v>1.94077E-2</v>
      </c>
      <c r="W2926">
        <v>4.399293E-2</v>
      </c>
      <c r="X2926">
        <v>0.99884329999999999</v>
      </c>
      <c r="Y2926">
        <v>6.0125329999999998E-2</v>
      </c>
      <c r="Z2926">
        <v>9.7319189999999997E-4</v>
      </c>
      <c r="AA2926">
        <v>0.99819029999999997</v>
      </c>
      <c r="AB2926">
        <v>24</v>
      </c>
      <c r="AC2926">
        <v>-56.137099999999897</v>
      </c>
      <c r="AD2926">
        <v>-1.108520788738</v>
      </c>
      <c r="AE2926">
        <v>2.2997999999999998</v>
      </c>
      <c r="AF2926">
        <v>3.38479599528887</v>
      </c>
      <c r="AG2926">
        <v>-1.108520788738</v>
      </c>
      <c r="AH2926">
        <v>56.060235730436901</v>
      </c>
      <c r="AI2926">
        <v>91.130745842199005</v>
      </c>
      <c r="AJ2926">
        <v>86.544799091082197</v>
      </c>
      <c r="AK2926">
        <v>56.173264925771697</v>
      </c>
      <c r="AL2926">
        <v>87.478576986476</v>
      </c>
      <c r="AM2926">
        <v>88.886873050121807</v>
      </c>
      <c r="AN2926">
        <v>0.99999998733208195</v>
      </c>
    </row>
    <row r="2927" spans="1:40" x14ac:dyDescent="0.25">
      <c r="A2927" t="str">
        <f>"20190312150719744"</f>
        <v>20190312150719744</v>
      </c>
      <c r="B2927" t="str">
        <f>"1552374439732894"</f>
        <v>1552374439732894</v>
      </c>
      <c r="C2927" t="s">
        <v>40</v>
      </c>
      <c r="D2927">
        <v>4.3629360000000004</v>
      </c>
      <c r="E2927">
        <v>0.51750240000000003</v>
      </c>
      <c r="F2927" t="s">
        <v>67</v>
      </c>
      <c r="G2927">
        <v>-276.99169999999998</v>
      </c>
      <c r="H2927" s="1">
        <v>2.2089600000000001E-6</v>
      </c>
      <c r="I2927">
        <v>284.04169999999999</v>
      </c>
      <c r="J2927">
        <v>-224.6942</v>
      </c>
      <c r="K2927">
        <v>1.108528</v>
      </c>
      <c r="L2927">
        <v>281.75540000000001</v>
      </c>
      <c r="M2927">
        <v>-0.99981249999999999</v>
      </c>
      <c r="N2927">
        <v>0</v>
      </c>
      <c r="O2927">
        <v>-1.862289E-2</v>
      </c>
      <c r="P2927">
        <v>-0.999255</v>
      </c>
      <c r="Q2927">
        <v>3.8586309999999999E-2</v>
      </c>
      <c r="R2927">
        <v>6.7086689999999998E-4</v>
      </c>
      <c r="S2927">
        <v>-3.0047000000000001</v>
      </c>
      <c r="T2927">
        <v>-6.3519119999999998E-2</v>
      </c>
      <c r="U2927">
        <v>0.130889899999999</v>
      </c>
      <c r="V2927">
        <v>1.9371200000000002E-2</v>
      </c>
      <c r="W2927">
        <v>4.3863350000000002E-2</v>
      </c>
      <c r="X2927">
        <v>0.99884969999999995</v>
      </c>
      <c r="Y2927">
        <v>6.21004E-2</v>
      </c>
      <c r="Z2927">
        <v>1.049499E-3</v>
      </c>
      <c r="AA2927">
        <v>0.99806930000000005</v>
      </c>
      <c r="AB2927">
        <v>24</v>
      </c>
      <c r="AC2927">
        <v>-52.2974999999999</v>
      </c>
      <c r="AD2927">
        <v>-1.1085257910399999</v>
      </c>
      <c r="AE2927">
        <v>2.2862999999999798</v>
      </c>
      <c r="AF2927">
        <v>3.2583866177656402</v>
      </c>
      <c r="AG2927">
        <v>-1.1085257910399999</v>
      </c>
      <c r="AH2927">
        <v>52.222433722459897</v>
      </c>
      <c r="AI2927">
        <v>91.213675647148307</v>
      </c>
      <c r="AJ2927">
        <v>86.429693431658606</v>
      </c>
      <c r="AK2927">
        <v>52.335728682009801</v>
      </c>
      <c r="AL2927">
        <v>87.486008529041698</v>
      </c>
      <c r="AM2927">
        <v>88.888973096237393</v>
      </c>
      <c r="AN2927">
        <v>0.99999998002637602</v>
      </c>
    </row>
    <row r="2928" spans="1:40" x14ac:dyDescent="0.25">
      <c r="A2928" t="str">
        <f>"20190312150719758"</f>
        <v>20190312150719758</v>
      </c>
      <c r="B2928" t="str">
        <f>"1552374439753391"</f>
        <v>1552374439753391</v>
      </c>
      <c r="C2928" t="s">
        <v>40</v>
      </c>
      <c r="D2928">
        <v>4.3156080000000001</v>
      </c>
      <c r="E2928">
        <v>0.51902020000000004</v>
      </c>
      <c r="F2928" t="s">
        <v>67</v>
      </c>
      <c r="G2928">
        <v>-274.49509999999998</v>
      </c>
      <c r="H2928" s="1">
        <v>8.7947099999999995E-7</v>
      </c>
      <c r="I2928">
        <v>284.06240000000003</v>
      </c>
      <c r="J2928">
        <v>-224.84719999999999</v>
      </c>
      <c r="K2928">
        <v>1.108528</v>
      </c>
      <c r="L2928">
        <v>281.7534</v>
      </c>
      <c r="M2928">
        <v>-0.99982680000000002</v>
      </c>
      <c r="N2928">
        <v>0</v>
      </c>
      <c r="O2928">
        <v>-1.7822330000000001E-2</v>
      </c>
      <c r="P2928">
        <v>-0.99925730000000001</v>
      </c>
      <c r="Q2928">
        <v>3.851185E-2</v>
      </c>
      <c r="R2928">
        <v>1.374531E-3</v>
      </c>
      <c r="S2928">
        <v>-3.0047299999999999</v>
      </c>
      <c r="T2928">
        <v>-6.6882849999999994E-2</v>
      </c>
      <c r="U2928">
        <v>0.1391907</v>
      </c>
      <c r="V2928">
        <v>1.92751E-2</v>
      </c>
      <c r="W2928">
        <v>4.3820949999999997E-2</v>
      </c>
      <c r="X2928">
        <v>0.9988534</v>
      </c>
      <c r="Y2928">
        <v>6.4050120000000002E-2</v>
      </c>
      <c r="Z2928">
        <v>1.108861E-3</v>
      </c>
      <c r="AA2928">
        <v>0.99794609999999995</v>
      </c>
      <c r="AB2928">
        <v>24</v>
      </c>
      <c r="AC2928">
        <v>-49.6478999999999</v>
      </c>
      <c r="AD2928">
        <v>-1.1085271205289999</v>
      </c>
      <c r="AE2928">
        <v>2.3090000000000201</v>
      </c>
      <c r="AF2928">
        <v>3.1918993991590998</v>
      </c>
      <c r="AG2928">
        <v>-1.1085271205289999</v>
      </c>
      <c r="AH2928">
        <v>49.574200967108403</v>
      </c>
      <c r="AI2928">
        <v>91.278329521049997</v>
      </c>
      <c r="AJ2928">
        <v>86.316021870131905</v>
      </c>
      <c r="AK2928">
        <v>49.689218706662601</v>
      </c>
      <c r="AL2928">
        <v>87.488440157729997</v>
      </c>
      <c r="AM2928">
        <v>88.894487593484797</v>
      </c>
      <c r="AN2928">
        <v>0.99999995991523505</v>
      </c>
    </row>
    <row r="2929" spans="1:40" x14ac:dyDescent="0.25">
      <c r="A2929" t="str">
        <f>"20190312150719775"</f>
        <v>20190312150719775</v>
      </c>
      <c r="B2929" t="str">
        <f>"1552374439763150"</f>
        <v>1552374439763150</v>
      </c>
      <c r="C2929" t="s">
        <v>40</v>
      </c>
      <c r="D2929">
        <v>4.3769039999999997</v>
      </c>
      <c r="E2929">
        <v>0.51951709999999995</v>
      </c>
      <c r="F2929" t="s">
        <v>67</v>
      </c>
      <c r="G2929">
        <v>-275.62849999999997</v>
      </c>
      <c r="H2929" s="1">
        <v>1.4702689999999999E-6</v>
      </c>
      <c r="I2929">
        <v>284.3458</v>
      </c>
      <c r="J2929">
        <v>-225.03710000000001</v>
      </c>
      <c r="K2929">
        <v>1.1085259999999999</v>
      </c>
      <c r="L2929">
        <v>281.75110000000001</v>
      </c>
      <c r="M2929">
        <v>-0.99984379999999995</v>
      </c>
      <c r="N2929">
        <v>0</v>
      </c>
      <c r="O2929">
        <v>-1.6830930000000001E-2</v>
      </c>
      <c r="P2929">
        <v>-0.99926300000000001</v>
      </c>
      <c r="Q2929">
        <v>3.8349420000000002E-2</v>
      </c>
      <c r="R2929">
        <v>1.71052799999999E-3</v>
      </c>
      <c r="S2929">
        <v>-3.0045320000000002</v>
      </c>
      <c r="T2929">
        <v>-6.5587160000000005E-2</v>
      </c>
      <c r="U2929">
        <v>0.1533813</v>
      </c>
      <c r="V2929">
        <v>1.862043E-2</v>
      </c>
      <c r="W2929">
        <v>4.3701379999999998E-2</v>
      </c>
      <c r="X2929">
        <v>0.99887110000000001</v>
      </c>
      <c r="Y2929">
        <v>6.7765560000000002E-2</v>
      </c>
      <c r="Z2929">
        <v>1.1062299999999999E-3</v>
      </c>
      <c r="AA2929">
        <v>0.99770060000000005</v>
      </c>
      <c r="AB2929">
        <v>24</v>
      </c>
      <c r="AC2929">
        <v>-50.591399999999901</v>
      </c>
      <c r="AD2929">
        <v>-1.108524529731</v>
      </c>
      <c r="AE2929">
        <v>2.59469999999998</v>
      </c>
      <c r="AF2929">
        <v>3.4441959080475999</v>
      </c>
      <c r="AG2929">
        <v>-1.108524529731</v>
      </c>
      <c r="AH2929">
        <v>50.516372073444899</v>
      </c>
      <c r="AI2929">
        <v>91.254178489682999</v>
      </c>
      <c r="AJ2929">
        <v>86.099621623032107</v>
      </c>
      <c r="AK2929">
        <v>50.645781261115403</v>
      </c>
      <c r="AL2929">
        <v>87.495297690917894</v>
      </c>
      <c r="AM2929">
        <v>88.932045890095793</v>
      </c>
      <c r="AN2929">
        <v>1.0000000027212399</v>
      </c>
    </row>
    <row r="2930" spans="1:40" x14ac:dyDescent="0.25">
      <c r="A2930" t="str">
        <f>"20190312150719798"</f>
        <v>20190312150719798</v>
      </c>
      <c r="B2930" t="str">
        <f>"1552374439793406"</f>
        <v>1552374439793406</v>
      </c>
      <c r="C2930" t="s">
        <v>40</v>
      </c>
      <c r="D2930">
        <v>4.2962689999999997</v>
      </c>
      <c r="E2930">
        <v>0.52096579999999904</v>
      </c>
      <c r="F2930" t="s">
        <v>67</v>
      </c>
      <c r="G2930">
        <v>-274.50560000000002</v>
      </c>
      <c r="H2930" s="1">
        <v>8.7208679999999996E-7</v>
      </c>
      <c r="I2930">
        <v>284.35939999999999</v>
      </c>
      <c r="J2930">
        <v>-225.27950000000001</v>
      </c>
      <c r="K2930">
        <v>1.1085290000000001</v>
      </c>
      <c r="L2930">
        <v>281.7484</v>
      </c>
      <c r="M2930">
        <v>-0.99986390000000003</v>
      </c>
      <c r="N2930">
        <v>0</v>
      </c>
      <c r="O2930">
        <v>-1.556894E-2</v>
      </c>
      <c r="P2930">
        <v>-0.99926280000000001</v>
      </c>
      <c r="Q2930">
        <v>3.8315269999999998E-2</v>
      </c>
      <c r="R2930">
        <v>2.3893289999999999E-3</v>
      </c>
      <c r="S2930">
        <v>-3.0045320000000002</v>
      </c>
      <c r="T2930">
        <v>-6.7327739999999997E-2</v>
      </c>
      <c r="U2930">
        <v>0.15841669999999999</v>
      </c>
      <c r="V2930">
        <v>1.8038559999999999E-2</v>
      </c>
      <c r="W2930">
        <v>4.3722339999999998E-2</v>
      </c>
      <c r="X2930">
        <v>0.99888089999999996</v>
      </c>
      <c r="Y2930">
        <v>6.8173010000000006E-2</v>
      </c>
      <c r="Z2930">
        <v>1.1118339999999999E-3</v>
      </c>
      <c r="AA2930">
        <v>0.99767289999999997</v>
      </c>
      <c r="AB2930">
        <v>25</v>
      </c>
      <c r="AC2930">
        <v>-49.226100000000002</v>
      </c>
      <c r="AD2930">
        <v>-1.1085281279132</v>
      </c>
      <c r="AE2930">
        <v>2.61099999999999</v>
      </c>
      <c r="AF2930">
        <v>3.3753862500811</v>
      </c>
      <c r="AG2930">
        <v>-1.1085281279132</v>
      </c>
      <c r="AH2930">
        <v>49.154625454944203</v>
      </c>
      <c r="AI2930">
        <v>91.288873119244599</v>
      </c>
      <c r="AJ2930">
        <v>86.071737642190101</v>
      </c>
      <c r="AK2930">
        <v>49.2828496595261</v>
      </c>
      <c r="AL2930">
        <v>87.494095722225197</v>
      </c>
      <c r="AM2930">
        <v>88.965421176041801</v>
      </c>
      <c r="AN2930">
        <v>1.0000000425233699</v>
      </c>
    </row>
    <row r="2931" spans="1:40" x14ac:dyDescent="0.25">
      <c r="A2931" t="str">
        <f>"20190312150719809"</f>
        <v>20190312150719809</v>
      </c>
      <c r="B2931" t="str">
        <f>"1552374439803167"</f>
        <v>1552374439803167</v>
      </c>
      <c r="C2931" t="s">
        <v>40</v>
      </c>
      <c r="D2931">
        <v>4.3260379999999996</v>
      </c>
      <c r="E2931">
        <v>0.52137939999999905</v>
      </c>
      <c r="F2931" t="s">
        <v>67</v>
      </c>
      <c r="G2931">
        <v>-277.28829999999999</v>
      </c>
      <c r="H2931" s="1">
        <v>2.3370159999999998E-6</v>
      </c>
      <c r="I2931">
        <v>284.72280000000001</v>
      </c>
      <c r="J2931">
        <v>-225.42019999999999</v>
      </c>
      <c r="K2931">
        <v>1.1085320000000001</v>
      </c>
      <c r="L2931">
        <v>281.74700000000001</v>
      </c>
      <c r="M2931">
        <v>-0.99987499999999996</v>
      </c>
      <c r="N2931">
        <v>0</v>
      </c>
      <c r="O2931">
        <v>-1.4838230000000001E-2</v>
      </c>
      <c r="P2931">
        <v>-0.99926250000000005</v>
      </c>
      <c r="Q2931">
        <v>3.8286090000000002E-2</v>
      </c>
      <c r="R2931">
        <v>2.9479340000000001E-3</v>
      </c>
      <c r="S2931">
        <v>-3.004257</v>
      </c>
      <c r="T2931">
        <v>-6.4033389999999996E-2</v>
      </c>
      <c r="U2931">
        <v>0.17181399999999999</v>
      </c>
      <c r="V2931">
        <v>1.7867259999999999E-2</v>
      </c>
      <c r="W2931">
        <v>4.3724720000000002E-2</v>
      </c>
      <c r="X2931">
        <v>0.99888379999999999</v>
      </c>
      <c r="Y2931">
        <v>7.1885199999999996E-2</v>
      </c>
      <c r="Z2931">
        <v>1.0813769999999999E-3</v>
      </c>
      <c r="AA2931">
        <v>0.99741230000000003</v>
      </c>
      <c r="AB2931">
        <v>25</v>
      </c>
      <c r="AC2931">
        <v>-51.868099999999998</v>
      </c>
      <c r="AD2931">
        <v>-1.108529662984</v>
      </c>
      <c r="AE2931">
        <v>2.9757999999999898</v>
      </c>
      <c r="AF2931">
        <v>3.7434103926376201</v>
      </c>
      <c r="AG2931">
        <v>-1.108529662984</v>
      </c>
      <c r="AH2931">
        <v>51.794652843582099</v>
      </c>
      <c r="AI2931">
        <v>91.222890991024101</v>
      </c>
      <c r="AJ2931">
        <v>85.866188503443396</v>
      </c>
      <c r="AK2931">
        <v>51.941582788442403</v>
      </c>
      <c r="AL2931">
        <v>87.493959040890999</v>
      </c>
      <c r="AM2931">
        <v>88.975246740552095</v>
      </c>
      <c r="AN2931">
        <v>0.999999968010712</v>
      </c>
    </row>
    <row r="2932" spans="1:40" x14ac:dyDescent="0.25">
      <c r="A2932" t="str">
        <f>"20190312150719821"</f>
        <v>20190312150719821</v>
      </c>
      <c r="B2932" t="str">
        <f>"1552374439812926"</f>
        <v>1552374439812926</v>
      </c>
      <c r="C2932" t="s">
        <v>40</v>
      </c>
      <c r="D2932">
        <v>4.332109</v>
      </c>
      <c r="E2932">
        <v>0.52175959999999999</v>
      </c>
      <c r="F2932" t="s">
        <v>67</v>
      </c>
      <c r="G2932">
        <v>-278.32569999999998</v>
      </c>
      <c r="H2932" s="1">
        <v>2.8830589999999999E-6</v>
      </c>
      <c r="I2932">
        <v>284.86090000000002</v>
      </c>
      <c r="J2932">
        <v>-225.55549999999999</v>
      </c>
      <c r="K2932">
        <v>1.1085320000000001</v>
      </c>
      <c r="L2932">
        <v>281.7457</v>
      </c>
      <c r="M2932">
        <v>-0.99988489999999997</v>
      </c>
      <c r="N2932">
        <v>0</v>
      </c>
      <c r="O2932">
        <v>-1.4136009999999999E-2</v>
      </c>
      <c r="P2932">
        <v>-0.99925830000000004</v>
      </c>
      <c r="Q2932">
        <v>3.8350080000000002E-2</v>
      </c>
      <c r="R2932">
        <v>3.4690160000000001E-3</v>
      </c>
      <c r="S2932">
        <v>-3.0041199999999999</v>
      </c>
      <c r="T2932">
        <v>-6.2945249999999994E-2</v>
      </c>
      <c r="U2932">
        <v>0.1768188</v>
      </c>
      <c r="V2932">
        <v>1.7686879999999999E-2</v>
      </c>
      <c r="W2932">
        <v>4.3819049999999998E-2</v>
      </c>
      <c r="X2932">
        <v>0.99888290000000002</v>
      </c>
      <c r="Y2932">
        <v>7.2844019999999995E-2</v>
      </c>
      <c r="Z2932">
        <v>1.0583369999999999E-3</v>
      </c>
      <c r="AA2932">
        <v>0.99734279999999997</v>
      </c>
      <c r="AB2932">
        <v>25</v>
      </c>
      <c r="AC2932">
        <v>-52.770199999999903</v>
      </c>
      <c r="AD2932">
        <v>-1.1085291169410001</v>
      </c>
      <c r="AE2932">
        <v>3.11520000000001</v>
      </c>
      <c r="AF2932">
        <v>3.8591630565784598</v>
      </c>
      <c r="AG2932">
        <v>-1.1085291169410001</v>
      </c>
      <c r="AH2932">
        <v>52.697716138079102</v>
      </c>
      <c r="AI2932">
        <v>91.201857018669102</v>
      </c>
      <c r="AJ2932">
        <v>85.811587943677793</v>
      </c>
      <c r="AK2932">
        <v>52.850461326935701</v>
      </c>
      <c r="AL2932">
        <v>87.488549203481497</v>
      </c>
      <c r="AM2932">
        <v>88.985589112227501</v>
      </c>
      <c r="AN2932">
        <v>0.99999999138972295</v>
      </c>
    </row>
    <row r="2933" spans="1:40" x14ac:dyDescent="0.25">
      <c r="A2933" t="str">
        <f>"20190312150719834"</f>
        <v>20190312150719834</v>
      </c>
      <c r="B2933" t="str">
        <f>"1552374439822686"</f>
        <v>1552374439822686</v>
      </c>
      <c r="C2933" t="s">
        <v>40</v>
      </c>
      <c r="D2933">
        <v>4.3182809999999998</v>
      </c>
      <c r="E2933">
        <v>0.52206600000000003</v>
      </c>
      <c r="F2933" t="s">
        <v>67</v>
      </c>
      <c r="G2933">
        <v>-279.58190000000002</v>
      </c>
      <c r="H2933" s="1">
        <v>3.5451959999999998E-6</v>
      </c>
      <c r="I2933">
        <v>285.0059</v>
      </c>
      <c r="J2933">
        <v>-225.68770000000001</v>
      </c>
      <c r="K2933">
        <v>1.108525</v>
      </c>
      <c r="L2933">
        <v>281.74459999999999</v>
      </c>
      <c r="M2933">
        <v>-0.99989430000000001</v>
      </c>
      <c r="N2933">
        <v>0</v>
      </c>
      <c r="O2933">
        <v>-1.345096E-2</v>
      </c>
      <c r="P2933">
        <v>-0.99926000000000004</v>
      </c>
      <c r="Q2933">
        <v>3.8282629999999998E-2</v>
      </c>
      <c r="R2933">
        <v>3.7424860000000002E-3</v>
      </c>
      <c r="S2933">
        <v>-3.0039669999999998</v>
      </c>
      <c r="T2933">
        <v>-6.1636209999999997E-2</v>
      </c>
      <c r="U2933">
        <v>0.1812744</v>
      </c>
      <c r="V2933">
        <v>1.727621E-2</v>
      </c>
      <c r="W2933">
        <v>4.3779989999999998E-2</v>
      </c>
      <c r="X2933">
        <v>0.9988918</v>
      </c>
      <c r="Y2933">
        <v>7.3638460000000003E-2</v>
      </c>
      <c r="Z2933">
        <v>1.0304380000000001E-3</v>
      </c>
      <c r="AA2933">
        <v>0.99728450000000002</v>
      </c>
      <c r="AB2933">
        <v>25</v>
      </c>
      <c r="AC2933">
        <v>-53.894199999999998</v>
      </c>
      <c r="AD2933">
        <v>-1.1085214548040001</v>
      </c>
      <c r="AE2933">
        <v>3.2612999999999999</v>
      </c>
      <c r="AF2933">
        <v>3.98426527450974</v>
      </c>
      <c r="AG2933">
        <v>-1.1085214548040001</v>
      </c>
      <c r="AH2933">
        <v>53.822768555316401</v>
      </c>
      <c r="AI2933">
        <v>91.176665354689803</v>
      </c>
      <c r="AJ2933">
        <v>85.766364726920898</v>
      </c>
      <c r="AK2933">
        <v>53.981419067606701</v>
      </c>
      <c r="AL2933">
        <v>87.490789326760606</v>
      </c>
      <c r="AM2933">
        <v>89.0091466980315</v>
      </c>
      <c r="AN2933">
        <v>0.99999999153180197</v>
      </c>
    </row>
    <row r="2934" spans="1:40" x14ac:dyDescent="0.25">
      <c r="A2934" t="str">
        <f>"20190312150719846"</f>
        <v>20190312150719846</v>
      </c>
      <c r="B2934" t="str">
        <f>"1552374439843183"</f>
        <v>1552374439843183</v>
      </c>
      <c r="C2934" t="s">
        <v>40</v>
      </c>
      <c r="D2934">
        <v>4.3034220000000003</v>
      </c>
      <c r="E2934">
        <v>0.52261309999999905</v>
      </c>
      <c r="F2934" t="s">
        <v>68</v>
      </c>
      <c r="G2934">
        <v>-280.3784</v>
      </c>
      <c r="H2934" s="1">
        <v>8.1332640000000004E-6</v>
      </c>
      <c r="I2934">
        <v>285.10610000000003</v>
      </c>
      <c r="J2934">
        <v>-225.81790000000001</v>
      </c>
      <c r="K2934">
        <v>1.1085240000000001</v>
      </c>
      <c r="L2934">
        <v>281.74349999999998</v>
      </c>
      <c r="M2934">
        <v>-0.99990290000000004</v>
      </c>
      <c r="N2934">
        <v>0</v>
      </c>
      <c r="O2934">
        <v>-1.277579E-2</v>
      </c>
      <c r="P2934">
        <v>-0.99926210000000004</v>
      </c>
      <c r="Q2934">
        <v>3.8139529999999998E-2</v>
      </c>
      <c r="R2934">
        <v>4.5284699999999997E-3</v>
      </c>
      <c r="S2934">
        <v>-3.003876</v>
      </c>
      <c r="T2934">
        <v>-6.0885069999999999E-2</v>
      </c>
      <c r="U2934">
        <v>0.1846313</v>
      </c>
      <c r="V2934">
        <v>1.738746E-2</v>
      </c>
      <c r="W2934">
        <v>4.3664700000000001E-2</v>
      </c>
      <c r="X2934">
        <v>0.99889490000000003</v>
      </c>
      <c r="Y2934">
        <v>7.4077760000000006E-2</v>
      </c>
      <c r="Z2934">
        <v>1.008655E-3</v>
      </c>
      <c r="AA2934">
        <v>0.99725200000000003</v>
      </c>
      <c r="AB2934">
        <v>25</v>
      </c>
      <c r="AC2934">
        <v>-54.560499999999898</v>
      </c>
      <c r="AD2934">
        <v>-1.108515866736</v>
      </c>
      <c r="AE2934">
        <v>3.36260000000004</v>
      </c>
      <c r="AF2934">
        <v>4.0577212006227796</v>
      </c>
      <c r="AG2934">
        <v>-1.108515866736</v>
      </c>
      <c r="AH2934">
        <v>54.490678449957699</v>
      </c>
      <c r="AI2934">
        <v>91.162202901352202</v>
      </c>
      <c r="AJ2934">
        <v>85.741253509887002</v>
      </c>
      <c r="AK2934">
        <v>54.652794500423099</v>
      </c>
      <c r="AL2934">
        <v>87.497401240012294</v>
      </c>
      <c r="AM2934">
        <v>89.002770485657805</v>
      </c>
      <c r="AN2934">
        <v>0.99999997551867503</v>
      </c>
    </row>
    <row r="2935" spans="1:40" x14ac:dyDescent="0.25">
      <c r="A2935" t="str">
        <f>"20190312150719863"</f>
        <v>20190312150719863</v>
      </c>
      <c r="B2935" t="str">
        <f>"1552374439852946"</f>
        <v>1552374439852946</v>
      </c>
      <c r="C2935" t="s">
        <v>40</v>
      </c>
      <c r="D2935">
        <v>4.3173120000000003</v>
      </c>
      <c r="E2935">
        <v>0.52286129999999997</v>
      </c>
      <c r="F2935" t="s">
        <v>68</v>
      </c>
      <c r="G2935">
        <v>-282.08859999999999</v>
      </c>
      <c r="H2935" s="1">
        <v>7.3288540000000003E-6</v>
      </c>
      <c r="I2935">
        <v>285.3288</v>
      </c>
      <c r="J2935">
        <v>-226.02420000000001</v>
      </c>
      <c r="K2935">
        <v>1.1085259999999999</v>
      </c>
      <c r="L2935">
        <v>281.74200000000002</v>
      </c>
      <c r="M2935">
        <v>-0.99991569999999996</v>
      </c>
      <c r="N2935">
        <v>0</v>
      </c>
      <c r="O2935">
        <v>-1.170821E-2</v>
      </c>
      <c r="P2935">
        <v>-0.99925790000000003</v>
      </c>
      <c r="Q2935">
        <v>3.8141210000000002E-2</v>
      </c>
      <c r="R2935">
        <v>5.3968330000000002E-3</v>
      </c>
      <c r="S2935">
        <v>-3.0036160000000001</v>
      </c>
      <c r="T2935">
        <v>-5.9170479999999998E-2</v>
      </c>
      <c r="U2935">
        <v>0.19137570000000001</v>
      </c>
      <c r="V2935">
        <v>1.7189739999999998E-2</v>
      </c>
      <c r="W2935">
        <v>4.3708530000000002E-2</v>
      </c>
      <c r="X2935">
        <v>0.99889640000000002</v>
      </c>
      <c r="Y2935">
        <v>7.5249709999999997E-2</v>
      </c>
      <c r="Z2935">
        <v>9.7079190000000002E-4</v>
      </c>
      <c r="AA2935">
        <v>0.99716419999999995</v>
      </c>
      <c r="AB2935">
        <v>25</v>
      </c>
      <c r="AC2935">
        <v>-56.0643999999999</v>
      </c>
      <c r="AD2935">
        <v>-1.108518671146</v>
      </c>
      <c r="AE2935">
        <v>3.5867999999999798</v>
      </c>
      <c r="AF2935">
        <v>4.2413269003067402</v>
      </c>
      <c r="AG2935">
        <v>-1.108518671146</v>
      </c>
      <c r="AH2935">
        <v>55.996759147285701</v>
      </c>
      <c r="AI2935">
        <v>91.130847808017293</v>
      </c>
      <c r="AJ2935">
        <v>85.6685526278239</v>
      </c>
      <c r="AK2935">
        <v>56.168093278289803</v>
      </c>
      <c r="AL2935">
        <v>87.494887553119796</v>
      </c>
      <c r="AM2935">
        <v>89.014109624045403</v>
      </c>
      <c r="AN2935">
        <v>0.99999997034449295</v>
      </c>
    </row>
    <row r="2936" spans="1:40" x14ac:dyDescent="0.25">
      <c r="A2936" t="str">
        <f>"20190312150719876"</f>
        <v>20190312150719876</v>
      </c>
      <c r="B2936" t="str">
        <f>"1552374439873438"</f>
        <v>1552374439873438</v>
      </c>
      <c r="C2936" t="s">
        <v>40</v>
      </c>
      <c r="D2936">
        <v>4.2884909999999996</v>
      </c>
      <c r="E2936">
        <v>0.52323229999999998</v>
      </c>
      <c r="F2936" t="s">
        <v>68</v>
      </c>
      <c r="G2936">
        <v>-282.89210000000003</v>
      </c>
      <c r="H2936" s="1">
        <v>6.94723899999999E-6</v>
      </c>
      <c r="I2936">
        <v>285.4511</v>
      </c>
      <c r="J2936">
        <v>-226.15860000000001</v>
      </c>
      <c r="K2936">
        <v>1.108522</v>
      </c>
      <c r="L2936">
        <v>281.74110000000002</v>
      </c>
      <c r="M2936">
        <v>-0.99992349999999997</v>
      </c>
      <c r="N2936">
        <v>0</v>
      </c>
      <c r="O2936">
        <v>-1.101278E-2</v>
      </c>
      <c r="P2936">
        <v>-0.99925580000000003</v>
      </c>
      <c r="Q2936">
        <v>3.8069350000000002E-2</v>
      </c>
      <c r="R2936">
        <v>6.2097000000000003E-3</v>
      </c>
      <c r="S2936">
        <v>-3.003403</v>
      </c>
      <c r="T2936">
        <v>-5.8544989999999998E-2</v>
      </c>
      <c r="U2936">
        <v>0.19589229999999999</v>
      </c>
      <c r="V2936">
        <v>1.7307969999999999E-2</v>
      </c>
      <c r="W2936">
        <v>4.3662319999999998E-2</v>
      </c>
      <c r="X2936">
        <v>0.99889640000000002</v>
      </c>
      <c r="Y2936">
        <v>7.6054369999999996E-2</v>
      </c>
      <c r="Z2936">
        <v>9.5484520000000002E-4</v>
      </c>
      <c r="AA2936">
        <v>0.99710319999999997</v>
      </c>
      <c r="AB2936">
        <v>25</v>
      </c>
      <c r="AC2936">
        <v>-56.733499999999999</v>
      </c>
      <c r="AD2936">
        <v>-1.1085150527609999</v>
      </c>
      <c r="AE2936">
        <v>3.70999999999998</v>
      </c>
      <c r="AF2936">
        <v>4.3329313225294799</v>
      </c>
      <c r="AG2936">
        <v>-1.1085150527609999</v>
      </c>
      <c r="AH2936">
        <v>56.667659364294998</v>
      </c>
      <c r="AI2936">
        <v>91.117398391650795</v>
      </c>
      <c r="AJ2936">
        <v>85.627549134509593</v>
      </c>
      <c r="AK2936">
        <v>56.8438802097089</v>
      </c>
      <c r="AL2936">
        <v>87.497537772845007</v>
      </c>
      <c r="AM2936">
        <v>89.007330081436606</v>
      </c>
      <c r="AN2936">
        <v>0.99999999097313097</v>
      </c>
    </row>
    <row r="2937" spans="1:40" x14ac:dyDescent="0.25">
      <c r="A2937" t="str">
        <f>"20190312150719889"</f>
        <v>20190312150719889</v>
      </c>
      <c r="B2937" t="str">
        <f>"1552374439883198"</f>
        <v>1552374439883198</v>
      </c>
      <c r="C2937" t="s">
        <v>40</v>
      </c>
      <c r="D2937">
        <v>4.3256129999999997</v>
      </c>
      <c r="E2937">
        <v>0.52336870000000002</v>
      </c>
      <c r="F2937" t="s">
        <v>68</v>
      </c>
      <c r="G2937">
        <v>-283.81659999999999</v>
      </c>
      <c r="H2937" s="1">
        <v>6.5058999999999998E-6</v>
      </c>
      <c r="I2937">
        <v>285.60289999999998</v>
      </c>
      <c r="J2937">
        <v>-226.29650000000001</v>
      </c>
      <c r="K2937">
        <v>1.108519</v>
      </c>
      <c r="L2937">
        <v>281.74040000000002</v>
      </c>
      <c r="M2937">
        <v>-0.99993100000000001</v>
      </c>
      <c r="N2937">
        <v>0</v>
      </c>
      <c r="O2937">
        <v>-1.029947E-2</v>
      </c>
      <c r="P2937">
        <v>-0.99925450000000005</v>
      </c>
      <c r="Q2937">
        <v>3.7994229999999997E-2</v>
      </c>
      <c r="R2937">
        <v>6.8632010000000002E-3</v>
      </c>
      <c r="S2937">
        <v>-3.0031590000000001</v>
      </c>
      <c r="T2937">
        <v>-5.7737829999999997E-2</v>
      </c>
      <c r="U2937">
        <v>0.2011414</v>
      </c>
      <c r="V2937">
        <v>1.7248820000000002E-2</v>
      </c>
      <c r="W2937">
        <v>4.3613720000000002E-2</v>
      </c>
      <c r="X2937">
        <v>0.9988996</v>
      </c>
      <c r="Y2937">
        <v>7.7083869999999999E-2</v>
      </c>
      <c r="Z2937">
        <v>9.3789079999999998E-4</v>
      </c>
      <c r="AA2937">
        <v>0.99702420000000003</v>
      </c>
      <c r="AB2937">
        <v>25</v>
      </c>
      <c r="AC2937">
        <v>-57.5200999999999</v>
      </c>
      <c r="AD2937">
        <v>-1.1085124941</v>
      </c>
      <c r="AE2937">
        <v>3.8624999999999501</v>
      </c>
      <c r="AF2937">
        <v>4.4530846697865396</v>
      </c>
      <c r="AG2937">
        <v>-1.1085124941</v>
      </c>
      <c r="AH2937">
        <v>57.456023266459802</v>
      </c>
      <c r="AI2937">
        <v>91.101979778020294</v>
      </c>
      <c r="AJ2937">
        <v>85.568194540321599</v>
      </c>
      <c r="AK2937">
        <v>57.638991773120402</v>
      </c>
      <c r="AL2937">
        <v>87.500325137037706</v>
      </c>
      <c r="AM2937">
        <v>89.010725024794993</v>
      </c>
      <c r="AN2937">
        <v>1.00000004462189</v>
      </c>
    </row>
    <row r="2938" spans="1:40" x14ac:dyDescent="0.25">
      <c r="A2938" t="str">
        <f>"20190312150719900"</f>
        <v>20190312150719900</v>
      </c>
      <c r="B2938" t="str">
        <f>"1552374439892958"</f>
        <v>1552374439892958</v>
      </c>
      <c r="C2938" t="s">
        <v>40</v>
      </c>
      <c r="D2938">
        <v>4.2810870000000003</v>
      </c>
      <c r="E2938">
        <v>0.5234799</v>
      </c>
      <c r="F2938" t="s">
        <v>68</v>
      </c>
      <c r="G2938">
        <v>-284.00240000000002</v>
      </c>
      <c r="H2938" s="1">
        <v>6.4107229999999999E-6</v>
      </c>
      <c r="I2938">
        <v>285.66469999999998</v>
      </c>
      <c r="J2938">
        <v>-226.43780000000001</v>
      </c>
      <c r="K2938">
        <v>1.108519</v>
      </c>
      <c r="L2938">
        <v>281.7396</v>
      </c>
      <c r="M2938">
        <v>-0.99993810000000005</v>
      </c>
      <c r="N2938">
        <v>0</v>
      </c>
      <c r="O2938">
        <v>-9.5688709999999996E-3</v>
      </c>
      <c r="P2938">
        <v>-0.9992489</v>
      </c>
      <c r="Q2938">
        <v>3.8051479999999999E-2</v>
      </c>
      <c r="R2938">
        <v>7.3481789999999998E-3</v>
      </c>
      <c r="S2938">
        <v>-3.0030359999999998</v>
      </c>
      <c r="T2938">
        <v>-5.76874E-2</v>
      </c>
      <c r="U2938">
        <v>0.20422360000000001</v>
      </c>
      <c r="V2938">
        <v>1.7004160000000001E-2</v>
      </c>
      <c r="W2938">
        <v>4.3697569999999998E-2</v>
      </c>
      <c r="X2938">
        <v>0.99890009999999996</v>
      </c>
      <c r="Y2938">
        <v>7.7376899999999901E-2</v>
      </c>
      <c r="Z2938">
        <v>9.2586950000000002E-4</v>
      </c>
      <c r="AA2938">
        <v>0.99700149999999998</v>
      </c>
      <c r="AB2938">
        <v>25</v>
      </c>
      <c r="AC2938">
        <v>-57.564599999999999</v>
      </c>
      <c r="AD2938">
        <v>-1.108512589277</v>
      </c>
      <c r="AE2938">
        <v>3.92509999999998</v>
      </c>
      <c r="AF2938">
        <v>4.4741059646006098</v>
      </c>
      <c r="AG2938">
        <v>-1.108512589277</v>
      </c>
      <c r="AH2938">
        <v>57.503180074533098</v>
      </c>
      <c r="AI2938">
        <v>91.101050729571796</v>
      </c>
      <c r="AJ2938">
        <v>85.550994456568304</v>
      </c>
      <c r="AK2938">
        <v>57.687625562396299</v>
      </c>
      <c r="AL2938">
        <v>87.495516225915594</v>
      </c>
      <c r="AM2938">
        <v>89.024754816490201</v>
      </c>
      <c r="AN2938">
        <v>1.00000001443061</v>
      </c>
    </row>
    <row r="2939" spans="1:40" x14ac:dyDescent="0.25">
      <c r="A2939" t="str">
        <f>"20190312150719912"</f>
        <v>20190312150719912</v>
      </c>
      <c r="B2939" t="str">
        <f>"1552374439902718"</f>
        <v>1552374439902718</v>
      </c>
      <c r="C2939" t="s">
        <v>40</v>
      </c>
      <c r="D2939">
        <v>4.2952349999999999</v>
      </c>
      <c r="E2939">
        <v>0.52362609999999998</v>
      </c>
      <c r="F2939" t="s">
        <v>68</v>
      </c>
      <c r="G2939">
        <v>-284.83440000000002</v>
      </c>
      <c r="H2939" s="1">
        <v>6.0228979999999999E-6</v>
      </c>
      <c r="I2939">
        <v>285.75619999999998</v>
      </c>
      <c r="J2939">
        <v>-226.572</v>
      </c>
      <c r="K2939">
        <v>1.108514</v>
      </c>
      <c r="L2939">
        <v>281.73910000000001</v>
      </c>
      <c r="M2939">
        <v>-0.99994439999999996</v>
      </c>
      <c r="N2939">
        <v>0</v>
      </c>
      <c r="O2939">
        <v>-8.8758220000000002E-3</v>
      </c>
      <c r="P2939">
        <v>-0.99925019999999998</v>
      </c>
      <c r="Q2939">
        <v>3.7888110000000003E-2</v>
      </c>
      <c r="R2939">
        <v>7.9741719999999999E-3</v>
      </c>
      <c r="S2939">
        <v>-3.0029300000000001</v>
      </c>
      <c r="T2939">
        <v>-5.7003140000000001E-2</v>
      </c>
      <c r="U2939">
        <v>0.206543</v>
      </c>
      <c r="V2939">
        <v>1.6937799999999999E-2</v>
      </c>
      <c r="W2939">
        <v>4.3558470000000002E-2</v>
      </c>
      <c r="X2939">
        <v>0.99890730000000005</v>
      </c>
      <c r="Y2939">
        <v>7.745523E-2</v>
      </c>
      <c r="Z2939">
        <v>9.0249939999999999E-4</v>
      </c>
      <c r="AA2939">
        <v>0.99699539999999998</v>
      </c>
      <c r="AB2939">
        <v>25</v>
      </c>
      <c r="AC2939">
        <v>-58.2624</v>
      </c>
      <c r="AD2939">
        <v>-1.1085079771019899</v>
      </c>
      <c r="AE2939">
        <v>4.0170999999999699</v>
      </c>
      <c r="AF2939">
        <v>4.5324438785611196</v>
      </c>
      <c r="AG2939">
        <v>-1.1085079771019899</v>
      </c>
      <c r="AH2939">
        <v>58.203479674998199</v>
      </c>
      <c r="AI2939">
        <v>91.087796087025694</v>
      </c>
      <c r="AJ2939">
        <v>85.547227090069299</v>
      </c>
      <c r="AK2939">
        <v>58.390212225385298</v>
      </c>
      <c r="AL2939">
        <v>87.503493657640306</v>
      </c>
      <c r="AM2939">
        <v>89.028567053304798</v>
      </c>
      <c r="AN2939">
        <v>1.00000001168543</v>
      </c>
    </row>
    <row r="2940" spans="1:40" x14ac:dyDescent="0.25">
      <c r="A2940" t="str">
        <f>"20190312150719925"</f>
        <v>20190312150719925</v>
      </c>
      <c r="B2940" t="str">
        <f>"1552374439913455"</f>
        <v>1552374439913455</v>
      </c>
      <c r="C2940" t="s">
        <v>40</v>
      </c>
      <c r="D2940">
        <v>4.2834919999999999</v>
      </c>
      <c r="E2940">
        <v>0.52364469999999996</v>
      </c>
      <c r="F2940" t="s">
        <v>68</v>
      </c>
      <c r="G2940">
        <v>-285.37310000000002</v>
      </c>
      <c r="H2940" s="1">
        <v>5.7655769999999999E-6</v>
      </c>
      <c r="I2940">
        <v>285.84519999999998</v>
      </c>
      <c r="J2940">
        <v>-226.71299999999999</v>
      </c>
      <c r="K2940">
        <v>1.1085130000000001</v>
      </c>
      <c r="L2940">
        <v>281.73849999999999</v>
      </c>
      <c r="M2940">
        <v>-0.99995049999999996</v>
      </c>
      <c r="N2940">
        <v>0</v>
      </c>
      <c r="O2940">
        <v>-8.1471300000000007E-3</v>
      </c>
      <c r="P2940">
        <v>-0.99925589999999997</v>
      </c>
      <c r="Q2940">
        <v>3.7675390000000003E-2</v>
      </c>
      <c r="R2940">
        <v>8.2762789999999992E-3</v>
      </c>
      <c r="S2940">
        <v>-3.0027469999999998</v>
      </c>
      <c r="T2940">
        <v>-5.6607249999999998E-2</v>
      </c>
      <c r="U2940">
        <v>0.20968629999999999</v>
      </c>
      <c r="V2940">
        <v>1.6511850000000002E-2</v>
      </c>
      <c r="W2940">
        <v>4.337125E-2</v>
      </c>
      <c r="X2940">
        <v>0.99892259999999999</v>
      </c>
      <c r="Y2940">
        <v>7.7771809999999997E-2</v>
      </c>
      <c r="Z2940">
        <v>8.8551389999999997E-4</v>
      </c>
      <c r="AA2940">
        <v>0.99697080000000005</v>
      </c>
      <c r="AB2940">
        <v>25</v>
      </c>
      <c r="AC2940">
        <v>-58.6601</v>
      </c>
      <c r="AD2940">
        <v>-1.10850723442299</v>
      </c>
      <c r="AE2940">
        <v>4.1066999999999796</v>
      </c>
      <c r="AF2940">
        <v>4.58285439504363</v>
      </c>
      <c r="AG2940">
        <v>-1.10850723442299</v>
      </c>
      <c r="AH2940">
        <v>58.603869285919998</v>
      </c>
      <c r="AI2940">
        <v>91.080337668172007</v>
      </c>
      <c r="AJ2940">
        <v>85.528538931210406</v>
      </c>
      <c r="AK2940">
        <v>58.7932380293528</v>
      </c>
      <c r="AL2940">
        <v>87.514230775005899</v>
      </c>
      <c r="AM2940">
        <v>89.053006541984303</v>
      </c>
      <c r="AN2940">
        <v>1.0000000336538699</v>
      </c>
    </row>
    <row r="2941" spans="1:40" x14ac:dyDescent="0.25">
      <c r="A2941" t="str">
        <f>"20190312150719942"</f>
        <v>20190312150719942</v>
      </c>
      <c r="B2941" t="str">
        <f>"1552374439932978"</f>
        <v>1552374439932978</v>
      </c>
      <c r="C2941" t="s">
        <v>40</v>
      </c>
      <c r="D2941">
        <v>4.29725</v>
      </c>
      <c r="E2941">
        <v>0.52385879999999996</v>
      </c>
      <c r="F2941" t="s">
        <v>68</v>
      </c>
      <c r="G2941">
        <v>-287.64890000000003</v>
      </c>
      <c r="H2941" s="1">
        <v>4.7218789999999997E-6</v>
      </c>
      <c r="I2941">
        <v>286.012</v>
      </c>
      <c r="J2941">
        <v>-226.91200000000001</v>
      </c>
      <c r="K2941">
        <v>1.1085050000000001</v>
      </c>
      <c r="L2941">
        <v>281.738</v>
      </c>
      <c r="M2941">
        <v>-0.99995809999999996</v>
      </c>
      <c r="N2941">
        <v>0</v>
      </c>
      <c r="O2941">
        <v>-7.1223349999999996E-3</v>
      </c>
      <c r="P2941">
        <v>-0.99925149999999996</v>
      </c>
      <c r="Q2941">
        <v>3.7582280000000003E-2</v>
      </c>
      <c r="R2941">
        <v>9.1793880000000001E-3</v>
      </c>
      <c r="S2941">
        <v>-3.002548</v>
      </c>
      <c r="T2941">
        <v>-5.4620500000000002E-2</v>
      </c>
      <c r="U2941">
        <v>0.21057129999999999</v>
      </c>
      <c r="V2941">
        <v>1.639115E-2</v>
      </c>
      <c r="W2941">
        <v>4.331169E-2</v>
      </c>
      <c r="X2941">
        <v>0.99892709999999996</v>
      </c>
      <c r="Y2941">
        <v>7.7048399999999906E-2</v>
      </c>
      <c r="Z2941">
        <v>8.2929610000000002E-4</v>
      </c>
      <c r="AA2941">
        <v>0.997027</v>
      </c>
      <c r="AB2941">
        <v>25</v>
      </c>
      <c r="AC2941">
        <v>-60.736899999999999</v>
      </c>
      <c r="AD2941">
        <v>-1.1085002781209901</v>
      </c>
      <c r="AE2941">
        <v>4.274</v>
      </c>
      <c r="AF2941">
        <v>4.7049278323600703</v>
      </c>
      <c r="AG2941">
        <v>-1.1085002781209901</v>
      </c>
      <c r="AH2941">
        <v>60.684803923786298</v>
      </c>
      <c r="AI2941">
        <v>91.043347826330304</v>
      </c>
      <c r="AJ2941">
        <v>85.566693843418705</v>
      </c>
      <c r="AK2941">
        <v>60.877011638570899</v>
      </c>
      <c r="AL2941">
        <v>87.517646342515306</v>
      </c>
      <c r="AM2941">
        <v>89.059931958302599</v>
      </c>
      <c r="AN2941">
        <v>0.99999996170169303</v>
      </c>
    </row>
    <row r="2942" spans="1:40" x14ac:dyDescent="0.25">
      <c r="A2942" t="str">
        <f>"20190312150719956"</f>
        <v>20190312150719956</v>
      </c>
      <c r="B2942" t="str">
        <f>"1552374439953471"</f>
        <v>1552374439953471</v>
      </c>
      <c r="C2942" t="s">
        <v>40</v>
      </c>
      <c r="D2942">
        <v>4.2992559999999997</v>
      </c>
      <c r="E2942">
        <v>0.52388329999999905</v>
      </c>
      <c r="F2942" t="s">
        <v>68</v>
      </c>
      <c r="G2942">
        <v>-289.80180000000001</v>
      </c>
      <c r="H2942" s="1">
        <v>3.718514E-6</v>
      </c>
      <c r="I2942">
        <v>286.24740000000003</v>
      </c>
      <c r="J2942">
        <v>-227.05760000000001</v>
      </c>
      <c r="K2942">
        <v>1.108503</v>
      </c>
      <c r="L2942">
        <v>281.73779999999999</v>
      </c>
      <c r="M2942">
        <v>-0.99996289999999999</v>
      </c>
      <c r="N2942">
        <v>0</v>
      </c>
      <c r="O2942">
        <v>-6.3738559999999998E-3</v>
      </c>
      <c r="P2942">
        <v>-0.99924840000000004</v>
      </c>
      <c r="Q2942">
        <v>3.7470539999999997E-2</v>
      </c>
      <c r="R2942">
        <v>9.9371279999999999E-3</v>
      </c>
      <c r="S2942">
        <v>-3.0022739999999999</v>
      </c>
      <c r="T2942">
        <v>-5.2918310000000003E-2</v>
      </c>
      <c r="U2942">
        <v>0.21527099999999999</v>
      </c>
      <c r="V2942">
        <v>1.6401120000000002E-2</v>
      </c>
      <c r="W2942">
        <v>4.3224039999999998E-2</v>
      </c>
      <c r="X2942">
        <v>0.99893080000000001</v>
      </c>
      <c r="Y2942">
        <v>7.7862219999999996E-2</v>
      </c>
      <c r="Z2942">
        <v>7.9747110000000004E-4</v>
      </c>
      <c r="AA2942">
        <v>0.99696379999999996</v>
      </c>
      <c r="AB2942">
        <v>25</v>
      </c>
      <c r="AC2942">
        <v>-62.744199999999999</v>
      </c>
      <c r="AD2942">
        <v>-1.108499281486</v>
      </c>
      <c r="AE2942">
        <v>4.50960000000003</v>
      </c>
      <c r="AF2942">
        <v>4.9079136086371102</v>
      </c>
      <c r="AG2942">
        <v>-1.108499281486</v>
      </c>
      <c r="AH2942">
        <v>62.694713594420897</v>
      </c>
      <c r="AI2942">
        <v>91.009846800433195</v>
      </c>
      <c r="AJ2942">
        <v>85.523858362882294</v>
      </c>
      <c r="AK2942">
        <v>62.896291618293098</v>
      </c>
      <c r="AL2942">
        <v>87.522673191513306</v>
      </c>
      <c r="AM2942">
        <v>89.059363743328404</v>
      </c>
      <c r="AN2942">
        <v>1.0000000287799</v>
      </c>
    </row>
    <row r="2943" spans="1:40" x14ac:dyDescent="0.25">
      <c r="A2943" t="str">
        <f>"20190312150719976"</f>
        <v>20190312150719976</v>
      </c>
      <c r="B2943" t="str">
        <f>"1552374439972990"</f>
        <v>1552374439972990</v>
      </c>
      <c r="C2943" t="s">
        <v>40</v>
      </c>
      <c r="D2943">
        <v>4.2717580000000002</v>
      </c>
      <c r="E2943">
        <v>0.5240899</v>
      </c>
      <c r="F2943" t="s">
        <v>68</v>
      </c>
      <c r="G2943">
        <v>-294.65100000000001</v>
      </c>
      <c r="H2943" s="1">
        <v>2.853925E-6</v>
      </c>
      <c r="I2943">
        <v>286.63920000000002</v>
      </c>
      <c r="J2943">
        <v>-227.29839999999999</v>
      </c>
      <c r="K2943">
        <v>1.108506</v>
      </c>
      <c r="L2943">
        <v>281.73750000000001</v>
      </c>
      <c r="M2943">
        <v>-0.99996980000000002</v>
      </c>
      <c r="N2943">
        <v>0</v>
      </c>
      <c r="O2943">
        <v>-5.1410589999999999E-3</v>
      </c>
      <c r="P2943">
        <v>-0.99925359999999996</v>
      </c>
      <c r="Q2943">
        <v>3.7069589999999999E-2</v>
      </c>
      <c r="R2943">
        <v>1.0856960000000001E-2</v>
      </c>
      <c r="S2943">
        <v>-3.0019680000000002</v>
      </c>
      <c r="T2943">
        <v>-4.923081E-2</v>
      </c>
      <c r="U2943">
        <v>0.21768190000000001</v>
      </c>
      <c r="V2943">
        <v>1.6088470000000001E-2</v>
      </c>
      <c r="W2943">
        <v>4.2861509999999998E-2</v>
      </c>
      <c r="X2943">
        <v>0.99895149999999999</v>
      </c>
      <c r="Y2943">
        <v>7.7438850000000004E-2</v>
      </c>
      <c r="Z2943">
        <v>7.1830449999999997E-4</v>
      </c>
      <c r="AA2943">
        <v>0.99699680000000002</v>
      </c>
      <c r="AB2943">
        <v>25</v>
      </c>
      <c r="AC2943">
        <v>-67.352599999999995</v>
      </c>
      <c r="AD2943">
        <v>-1.1085031460749999</v>
      </c>
      <c r="AE2943">
        <v>4.9016999999999999</v>
      </c>
      <c r="AF2943">
        <v>5.2464911482290004</v>
      </c>
      <c r="AG2943">
        <v>-1.1085031460749999</v>
      </c>
      <c r="AH2943">
        <v>67.308373585626896</v>
      </c>
      <c r="AI2943">
        <v>90.940667421619807</v>
      </c>
      <c r="AJ2943">
        <v>85.542973328746399</v>
      </c>
      <c r="AK2943">
        <v>67.521638038006898</v>
      </c>
      <c r="AL2943">
        <v>87.543463885512296</v>
      </c>
      <c r="AM2943">
        <v>89.077310817890293</v>
      </c>
      <c r="AN2943">
        <v>1.00000002362933</v>
      </c>
    </row>
    <row r="2944" spans="1:40" x14ac:dyDescent="0.25">
      <c r="A2944" t="str">
        <f>"20190312150719999"</f>
        <v>20190312150719999</v>
      </c>
      <c r="B2944" t="str">
        <f>"1552374439993486"</f>
        <v>1552374439993486</v>
      </c>
      <c r="C2944" t="s">
        <v>40</v>
      </c>
      <c r="D2944">
        <v>4.2719750000000003</v>
      </c>
      <c r="E2944">
        <v>0.52423229999999998</v>
      </c>
      <c r="F2944" t="s">
        <v>68</v>
      </c>
      <c r="G2944">
        <v>-295.28899999999999</v>
      </c>
      <c r="H2944" s="1">
        <v>2.955295E-6</v>
      </c>
      <c r="I2944">
        <v>286.774</v>
      </c>
      <c r="J2944">
        <v>-227.55529999999999</v>
      </c>
      <c r="K2944">
        <v>1.108509</v>
      </c>
      <c r="L2944">
        <v>281.73770000000002</v>
      </c>
      <c r="M2944">
        <v>-0.99997550000000002</v>
      </c>
      <c r="N2944">
        <v>0</v>
      </c>
      <c r="O2944">
        <v>-3.836753E-3</v>
      </c>
      <c r="P2944">
        <v>-0.99923839999999997</v>
      </c>
      <c r="Q2944">
        <v>3.7036439999999997E-2</v>
      </c>
      <c r="R2944">
        <v>1.2298369999999999E-2</v>
      </c>
      <c r="S2944">
        <v>-3.0016479999999999</v>
      </c>
      <c r="T2944">
        <v>-4.8938160000000001E-2</v>
      </c>
      <c r="U2944">
        <v>0.2223511</v>
      </c>
      <c r="V2944">
        <v>1.6226560000000001E-2</v>
      </c>
      <c r="W2944">
        <v>4.2866269999999998E-2</v>
      </c>
      <c r="X2944">
        <v>0.99894910000000003</v>
      </c>
      <c r="Y2944">
        <v>7.7688939999999998E-2</v>
      </c>
      <c r="Z2944">
        <v>6.948697E-4</v>
      </c>
      <c r="AA2944">
        <v>0.99697740000000001</v>
      </c>
      <c r="AB2944">
        <v>25</v>
      </c>
      <c r="AC2944">
        <v>-67.733699999999999</v>
      </c>
      <c r="AD2944">
        <v>-1.1085060447049999</v>
      </c>
      <c r="AE2944">
        <v>5.0362999999999802</v>
      </c>
      <c r="AF2944">
        <v>5.2947345450725898</v>
      </c>
      <c r="AG2944">
        <v>-1.1085060447049999</v>
      </c>
      <c r="AH2944">
        <v>67.695846473261398</v>
      </c>
      <c r="AI2944">
        <v>90.935267357394295</v>
      </c>
      <c r="AJ2944">
        <v>85.527796467464199</v>
      </c>
      <c r="AK2944">
        <v>67.911638393469104</v>
      </c>
      <c r="AL2944">
        <v>87.543190999502599</v>
      </c>
      <c r="AM2944">
        <v>89.069390375394306</v>
      </c>
      <c r="AN2944">
        <v>1.00000006137197</v>
      </c>
    </row>
    <row r="2945" spans="1:40" x14ac:dyDescent="0.25">
      <c r="A2945" t="str">
        <f>"20190312150720021"</f>
        <v>20190312150720021</v>
      </c>
      <c r="B2945" t="str">
        <f>"1552374440013010"</f>
        <v>1552374440013010</v>
      </c>
      <c r="C2945" t="s">
        <v>40</v>
      </c>
      <c r="D2945">
        <v>4.2730360000000003</v>
      </c>
      <c r="E2945">
        <v>0.52426110000000004</v>
      </c>
      <c r="F2945" t="s">
        <v>68</v>
      </c>
      <c r="G2945">
        <v>-297.0761</v>
      </c>
      <c r="H2945" s="1">
        <v>3.2515140000000001E-6</v>
      </c>
      <c r="I2945">
        <v>287.01190000000003</v>
      </c>
      <c r="J2945">
        <v>-227.816</v>
      </c>
      <c r="K2945">
        <v>1.108517</v>
      </c>
      <c r="L2945">
        <v>281.73809999999997</v>
      </c>
      <c r="M2945">
        <v>-0.99997930000000002</v>
      </c>
      <c r="N2945">
        <v>0</v>
      </c>
      <c r="O2945">
        <v>-2.5299599999999999E-3</v>
      </c>
      <c r="P2945">
        <v>-0.99922670000000002</v>
      </c>
      <c r="Q2945">
        <v>3.6889669999999999E-2</v>
      </c>
      <c r="R2945">
        <v>1.360628E-2</v>
      </c>
      <c r="S2945">
        <v>-3.0012509999999999</v>
      </c>
      <c r="T2945">
        <v>-4.785478E-2</v>
      </c>
      <c r="U2945">
        <v>0.2276917</v>
      </c>
      <c r="V2945">
        <v>1.6227930000000002E-2</v>
      </c>
      <c r="W2945">
        <v>4.2757179999999999E-2</v>
      </c>
      <c r="X2945">
        <v>0.99895369999999994</v>
      </c>
      <c r="Y2945">
        <v>7.8160510000000002E-2</v>
      </c>
      <c r="Z2945">
        <v>6.6248019999999997E-4</v>
      </c>
      <c r="AA2945">
        <v>0.99694059999999995</v>
      </c>
      <c r="AB2945">
        <v>26</v>
      </c>
      <c r="AC2945">
        <v>-69.260099999999994</v>
      </c>
      <c r="AD2945">
        <v>-1.1085137484859999</v>
      </c>
      <c r="AE2945">
        <v>5.2738000000000502</v>
      </c>
      <c r="AF2945">
        <v>5.4476240365645703</v>
      </c>
      <c r="AG2945">
        <v>-1.1085137484859999</v>
      </c>
      <c r="AH2945">
        <v>69.2289039628903</v>
      </c>
      <c r="AI2945">
        <v>90.914532029423697</v>
      </c>
      <c r="AJ2945">
        <v>85.500665320550894</v>
      </c>
      <c r="AK2945">
        <v>69.451757028007805</v>
      </c>
      <c r="AL2945">
        <v>87.549447001823907</v>
      </c>
      <c r="AM2945">
        <v>89.069316103224395</v>
      </c>
      <c r="AN2945">
        <v>1.00000000844866</v>
      </c>
    </row>
    <row r="2946" spans="1:40" x14ac:dyDescent="0.25">
      <c r="A2946" t="str">
        <f>"20190312150720034"</f>
        <v>20190312150720034</v>
      </c>
      <c r="B2946" t="str">
        <f>"1552374440022766"</f>
        <v>1552374440022766</v>
      </c>
      <c r="C2946" t="s">
        <v>40</v>
      </c>
      <c r="D2946">
        <v>4.2452800000000002</v>
      </c>
      <c r="E2946">
        <v>0.52433850000000004</v>
      </c>
      <c r="F2946" t="s">
        <v>68</v>
      </c>
      <c r="G2946">
        <v>-301.22840000000002</v>
      </c>
      <c r="H2946" s="1">
        <v>3.5023590000000001E-6</v>
      </c>
      <c r="I2946">
        <v>287.41140000000001</v>
      </c>
      <c r="J2946">
        <v>-227.96129999999999</v>
      </c>
      <c r="K2946">
        <v>1.1085229999999999</v>
      </c>
      <c r="L2946">
        <v>281.73849999999999</v>
      </c>
      <c r="M2946">
        <v>-0.99998089999999995</v>
      </c>
      <c r="N2946">
        <v>0</v>
      </c>
      <c r="O2946">
        <v>-1.8134570000000001E-3</v>
      </c>
      <c r="P2946">
        <v>-0.9992084</v>
      </c>
      <c r="Q2946">
        <v>3.708591E-2</v>
      </c>
      <c r="R2946">
        <v>1.440143E-2</v>
      </c>
      <c r="S2946">
        <v>-3.000839</v>
      </c>
      <c r="T2946">
        <v>-4.5312169999999999E-2</v>
      </c>
      <c r="U2946">
        <v>0.2319031</v>
      </c>
      <c r="V2946">
        <v>1.6307100000000001E-2</v>
      </c>
      <c r="W2946">
        <v>4.2973940000000002E-2</v>
      </c>
      <c r="X2946">
        <v>0.99894309999999997</v>
      </c>
      <c r="Y2946">
        <v>7.8848500000000002E-2</v>
      </c>
      <c r="Z2946">
        <v>6.2172110000000003E-4</v>
      </c>
      <c r="AA2946">
        <v>0.99688639999999995</v>
      </c>
      <c r="AB2946">
        <v>26</v>
      </c>
      <c r="AC2946">
        <v>-73.267099999999999</v>
      </c>
      <c r="AD2946">
        <v>-1.108519497641</v>
      </c>
      <c r="AE2946">
        <v>5.6729000000000198</v>
      </c>
      <c r="AF2946">
        <v>5.8044389384440702</v>
      </c>
      <c r="AG2946">
        <v>-1.108519497641</v>
      </c>
      <c r="AH2946">
        <v>73.240026167835794</v>
      </c>
      <c r="AI2946">
        <v>90.864420196661797</v>
      </c>
      <c r="AJ2946">
        <v>85.4686501181002</v>
      </c>
      <c r="AK2946">
        <v>73.478035901431497</v>
      </c>
      <c r="AL2946">
        <v>87.537016119703097</v>
      </c>
      <c r="AM2946">
        <v>89.064766527023295</v>
      </c>
      <c r="AN2946">
        <v>0.99999999903357095</v>
      </c>
    </row>
    <row r="2947" spans="1:40" x14ac:dyDescent="0.25">
      <c r="A2947" t="str">
        <f>"20190312150720046"</f>
        <v>20190312150720046</v>
      </c>
      <c r="B2947" t="str">
        <f>"1552374440043263"</f>
        <v>1552374440043263</v>
      </c>
      <c r="C2947" t="s">
        <v>40</v>
      </c>
      <c r="D2947">
        <v>4.2205890000000004</v>
      </c>
      <c r="E2947">
        <v>0.52441070000000001</v>
      </c>
      <c r="F2947" t="s">
        <v>68</v>
      </c>
      <c r="G2947">
        <v>-303.0899</v>
      </c>
      <c r="H2947" s="1">
        <v>3.153822E-6</v>
      </c>
      <c r="I2947">
        <v>287.62110000000001</v>
      </c>
      <c r="J2947">
        <v>-228.10069999999999</v>
      </c>
      <c r="K2947">
        <v>1.1085309999999999</v>
      </c>
      <c r="L2947">
        <v>281.7389</v>
      </c>
      <c r="M2947">
        <v>-0.99998160000000003</v>
      </c>
      <c r="N2947">
        <v>0</v>
      </c>
      <c r="O2947">
        <v>-1.130214E-3</v>
      </c>
      <c r="P2947">
        <v>-0.99920620000000004</v>
      </c>
      <c r="Q2947">
        <v>3.6856890000000003E-2</v>
      </c>
      <c r="R2947">
        <v>1.512207E-2</v>
      </c>
      <c r="S2947">
        <v>-3.0006710000000001</v>
      </c>
      <c r="T2947">
        <v>-4.4274809999999998E-2</v>
      </c>
      <c r="U2947">
        <v>0.23495479999999999</v>
      </c>
      <c r="V2947">
        <v>1.634412E-2</v>
      </c>
      <c r="W2947">
        <v>4.276431E-2</v>
      </c>
      <c r="X2947">
        <v>0.99895149999999999</v>
      </c>
      <c r="Y2947">
        <v>7.9179879999999994E-2</v>
      </c>
      <c r="Z2947">
        <v>5.9987440000000005E-4</v>
      </c>
      <c r="AA2947">
        <v>0.99686010000000003</v>
      </c>
      <c r="AB2947">
        <v>26</v>
      </c>
      <c r="AC2947">
        <v>-74.989199999999997</v>
      </c>
      <c r="AD2947">
        <v>-1.1085278461779999</v>
      </c>
      <c r="AE2947">
        <v>5.8822000000000099</v>
      </c>
      <c r="AF2947">
        <v>5.9656559352077601</v>
      </c>
      <c r="AG2947">
        <v>-1.1085278461779999</v>
      </c>
      <c r="AH2947">
        <v>74.966222228387196</v>
      </c>
      <c r="AI2947">
        <v>90.844503358813995</v>
      </c>
      <c r="AJ2947">
        <v>85.450109233980399</v>
      </c>
      <c r="AK2947">
        <v>75.211384510052596</v>
      </c>
      <c r="AL2947">
        <v>87.549038107601504</v>
      </c>
      <c r="AM2947">
        <v>89.062651640734202</v>
      </c>
      <c r="AN2947">
        <v>1.0000000079103</v>
      </c>
    </row>
    <row r="2948" spans="1:40" x14ac:dyDescent="0.25">
      <c r="A2948" t="str">
        <f>"20190312150720064"</f>
        <v>20190312150720064</v>
      </c>
      <c r="B2948" t="str">
        <f>"1552374440053022"</f>
        <v>1552374440053022</v>
      </c>
      <c r="C2948" t="s">
        <v>40</v>
      </c>
      <c r="D2948">
        <v>4.2513489999999896</v>
      </c>
      <c r="E2948">
        <v>0.52443619999999902</v>
      </c>
      <c r="F2948" t="s">
        <v>68</v>
      </c>
      <c r="G2948">
        <v>-303.17700000000002</v>
      </c>
      <c r="H2948" s="1">
        <v>3.1325000000000001E-6</v>
      </c>
      <c r="I2948">
        <v>287.68819999999999</v>
      </c>
      <c r="J2948">
        <v>-228.31870000000001</v>
      </c>
      <c r="K2948">
        <v>1.108538</v>
      </c>
      <c r="L2948">
        <v>281.73970000000003</v>
      </c>
      <c r="M2948">
        <v>-0.99998220000000004</v>
      </c>
      <c r="N2948">
        <v>0</v>
      </c>
      <c r="O2948" s="1">
        <v>-8.1764309999999898E-5</v>
      </c>
      <c r="P2948">
        <v>-0.99919599999999997</v>
      </c>
      <c r="Q2948">
        <v>3.6845320000000001E-2</v>
      </c>
      <c r="R2948">
        <v>1.581538E-2</v>
      </c>
      <c r="S2948">
        <v>-3.0004119999999999</v>
      </c>
      <c r="T2948">
        <v>-4.4302109999999999E-2</v>
      </c>
      <c r="U2948">
        <v>0.23776249999999999</v>
      </c>
      <c r="V2948">
        <v>1.5988539999999999E-2</v>
      </c>
      <c r="W2948">
        <v>4.2782420000000002E-2</v>
      </c>
      <c r="X2948">
        <v>0.99895639999999997</v>
      </c>
      <c r="Y2948">
        <v>7.9068570000000005E-2</v>
      </c>
      <c r="Z2948">
        <v>5.8399739999999997E-4</v>
      </c>
      <c r="AA2948">
        <v>0.99686900000000001</v>
      </c>
      <c r="AB2948">
        <v>26</v>
      </c>
      <c r="AC2948">
        <v>-74.8583</v>
      </c>
      <c r="AD2948">
        <v>-1.1085348675</v>
      </c>
      <c r="AE2948">
        <v>5.9484999999999602</v>
      </c>
      <c r="AF2948">
        <v>5.9533235138817204</v>
      </c>
      <c r="AG2948">
        <v>-1.1085348675</v>
      </c>
      <c r="AH2948">
        <v>74.841504356147695</v>
      </c>
      <c r="AI2948">
        <v>90.8459179656614</v>
      </c>
      <c r="AJ2948">
        <v>85.451940830832001</v>
      </c>
      <c r="AK2948">
        <v>75.086095148866704</v>
      </c>
      <c r="AL2948">
        <v>87.547999336898798</v>
      </c>
      <c r="AM2948">
        <v>89.083045414645696</v>
      </c>
      <c r="AN2948">
        <v>0.99999992898667101</v>
      </c>
    </row>
    <row r="2949" spans="1:40" x14ac:dyDescent="0.25">
      <c r="A2949" t="str">
        <f>"20190312150720076"</f>
        <v>20190312150720076</v>
      </c>
      <c r="B2949" t="str">
        <f>"1552374440073518"</f>
        <v>1552374440073518</v>
      </c>
      <c r="C2949" t="s">
        <v>40</v>
      </c>
      <c r="D2949">
        <v>4.7084250000000001</v>
      </c>
      <c r="E2949">
        <v>0.52448680000000003</v>
      </c>
      <c r="F2949" t="s">
        <v>68</v>
      </c>
      <c r="G2949">
        <v>-304.18689999999998</v>
      </c>
      <c r="H2949" s="1">
        <v>2.943184E-6</v>
      </c>
      <c r="I2949">
        <v>287.80459999999999</v>
      </c>
      <c r="J2949">
        <v>-228.45500000000001</v>
      </c>
      <c r="K2949">
        <v>1.10854599999999</v>
      </c>
      <c r="L2949">
        <v>281.74040000000002</v>
      </c>
      <c r="M2949">
        <v>-0.99998200000000004</v>
      </c>
      <c r="N2949">
        <v>0</v>
      </c>
      <c r="O2949">
        <v>5.5962399999999999E-4</v>
      </c>
      <c r="P2949">
        <v>-0.99917880000000003</v>
      </c>
      <c r="Q2949">
        <v>3.7035279999999997E-2</v>
      </c>
      <c r="R2949">
        <v>1.6442129999999999E-2</v>
      </c>
      <c r="S2949">
        <v>-3.000229</v>
      </c>
      <c r="T2949">
        <v>-4.3837309999999997E-2</v>
      </c>
      <c r="U2949">
        <v>0.23983760000000001</v>
      </c>
      <c r="V2949">
        <v>1.5974160000000001E-2</v>
      </c>
      <c r="W2949">
        <v>4.2990609999999999E-2</v>
      </c>
      <c r="X2949">
        <v>0.99894769999999999</v>
      </c>
      <c r="Y2949">
        <v>7.9119399999999895E-2</v>
      </c>
      <c r="Z2949">
        <v>5.6890489999999897E-4</v>
      </c>
      <c r="AA2949">
        <v>0.996865</v>
      </c>
      <c r="AB2949">
        <v>26</v>
      </c>
      <c r="AC2949">
        <v>-75.731899999999897</v>
      </c>
      <c r="AD2949">
        <v>-1.10854305681599</v>
      </c>
      <c r="AE2949">
        <v>6.0641999999999703</v>
      </c>
      <c r="AF2949">
        <v>6.0205351452439997</v>
      </c>
      <c r="AG2949">
        <v>-1.10854305681599</v>
      </c>
      <c r="AH2949">
        <v>75.719161412716701</v>
      </c>
      <c r="AI2949">
        <v>90.836122818961897</v>
      </c>
      <c r="AJ2949">
        <v>85.453897551197301</v>
      </c>
      <c r="AK2949">
        <v>75.966223521963897</v>
      </c>
      <c r="AL2949">
        <v>87.5360599622054</v>
      </c>
      <c r="AM2949">
        <v>89.083862000285393</v>
      </c>
      <c r="AN2949">
        <v>0.99999993683558097</v>
      </c>
    </row>
    <row r="2950" spans="1:40" x14ac:dyDescent="0.25">
      <c r="A2950" t="str">
        <f>"20190312150720088"</f>
        <v>20190312150720088</v>
      </c>
      <c r="B2950" t="str">
        <f>"1552374440083279"</f>
        <v>1552374440083279</v>
      </c>
      <c r="C2950" t="s">
        <v>40</v>
      </c>
      <c r="D2950">
        <v>4.3275699999999997</v>
      </c>
      <c r="E2950">
        <v>0.52458570000000004</v>
      </c>
      <c r="F2950" t="s">
        <v>68</v>
      </c>
      <c r="G2950">
        <v>-307.63479999999998</v>
      </c>
      <c r="H2950" s="1">
        <v>2.3030689999999998E-6</v>
      </c>
      <c r="I2950">
        <v>288.1309</v>
      </c>
      <c r="J2950">
        <v>-228.5898</v>
      </c>
      <c r="K2950">
        <v>1.108555</v>
      </c>
      <c r="L2950">
        <v>281.74110000000002</v>
      </c>
      <c r="M2950">
        <v>-0.99998129999999996</v>
      </c>
      <c r="N2950">
        <v>0</v>
      </c>
      <c r="O2950">
        <v>1.1892700000000001E-3</v>
      </c>
      <c r="P2950">
        <v>-0.99917769999999995</v>
      </c>
      <c r="Q2950">
        <v>3.6960930000000003E-2</v>
      </c>
      <c r="R2950">
        <v>1.667683E-2</v>
      </c>
      <c r="S2950">
        <v>-3.0000149999999999</v>
      </c>
      <c r="T2950">
        <v>-4.2001249999999997E-2</v>
      </c>
      <c r="U2950">
        <v>0.24212649999999999</v>
      </c>
      <c r="V2950">
        <v>1.5578699999999999E-2</v>
      </c>
      <c r="W2950">
        <v>4.2934399999999998E-2</v>
      </c>
      <c r="X2950">
        <v>0.99895639999999997</v>
      </c>
      <c r="Y2950">
        <v>7.9253740000000003E-2</v>
      </c>
      <c r="Z2950">
        <v>5.3723979999999996E-4</v>
      </c>
      <c r="AA2950">
        <v>0.99685429999999997</v>
      </c>
      <c r="AB2950">
        <v>26</v>
      </c>
      <c r="AC2950">
        <v>-79.044999999999902</v>
      </c>
      <c r="AD2950">
        <v>-1.108552696931</v>
      </c>
      <c r="AE2950">
        <v>6.3897999999999797</v>
      </c>
      <c r="AF2950">
        <v>6.2945579559270604</v>
      </c>
      <c r="AG2950">
        <v>-1.108552696931</v>
      </c>
      <c r="AH2950">
        <v>79.0370992080326</v>
      </c>
      <c r="AI2950">
        <v>90.801026260334595</v>
      </c>
      <c r="AJ2950">
        <v>85.446543391048095</v>
      </c>
      <c r="AK2950">
        <v>79.295103254632195</v>
      </c>
      <c r="AL2950">
        <v>87.539283625683296</v>
      </c>
      <c r="AM2950">
        <v>89.106546181302804</v>
      </c>
      <c r="AN2950">
        <v>0.99999997384900396</v>
      </c>
    </row>
    <row r="2951" spans="1:40" x14ac:dyDescent="0.25">
      <c r="A2951" t="str">
        <f>"20190312150720100"</f>
        <v>20190312150720100</v>
      </c>
      <c r="B2951" t="str">
        <f>"1552374440093039"</f>
        <v>1552374440093039</v>
      </c>
      <c r="C2951" t="s">
        <v>40</v>
      </c>
      <c r="D2951">
        <v>4.236065</v>
      </c>
      <c r="E2951">
        <v>0.52464119999999903</v>
      </c>
      <c r="F2951" t="s">
        <v>68</v>
      </c>
      <c r="G2951">
        <v>-308.14229999999998</v>
      </c>
      <c r="H2951" s="1">
        <v>2.2061700000000002E-6</v>
      </c>
      <c r="I2951">
        <v>288.20949999999999</v>
      </c>
      <c r="J2951">
        <v>-228.74080000000001</v>
      </c>
      <c r="K2951">
        <v>1.1085659999999999</v>
      </c>
      <c r="L2951">
        <v>281.74200000000002</v>
      </c>
      <c r="M2951">
        <v>-0.99998019999999999</v>
      </c>
      <c r="N2951">
        <v>0</v>
      </c>
      <c r="O2951">
        <v>1.8832199999999999E-3</v>
      </c>
      <c r="P2951">
        <v>-0.99916769999999999</v>
      </c>
      <c r="Q2951">
        <v>3.706802E-2</v>
      </c>
      <c r="R2951">
        <v>1.7033880000000001E-2</v>
      </c>
      <c r="S2951">
        <v>-2.9999539999999998</v>
      </c>
      <c r="T2951">
        <v>-4.1803960000000001E-2</v>
      </c>
      <c r="U2951">
        <v>0.243927</v>
      </c>
      <c r="V2951">
        <v>1.5241620000000001E-2</v>
      </c>
      <c r="W2951">
        <v>4.306111E-2</v>
      </c>
      <c r="X2951">
        <v>0.99895610000000001</v>
      </c>
      <c r="Y2951">
        <v>7.9158119999999998E-2</v>
      </c>
      <c r="Z2951">
        <v>5.243957E-4</v>
      </c>
      <c r="AA2951">
        <v>0.99686189999999997</v>
      </c>
      <c r="AB2951">
        <v>26</v>
      </c>
      <c r="AC2951">
        <v>-79.401499999999899</v>
      </c>
      <c r="AD2951">
        <v>-1.1085637938299999</v>
      </c>
      <c r="AE2951">
        <v>6.4674999999999701</v>
      </c>
      <c r="AF2951">
        <v>6.3167321789381701</v>
      </c>
      <c r="AG2951">
        <v>-1.1085637938299999</v>
      </c>
      <c r="AH2951">
        <v>79.398164584711694</v>
      </c>
      <c r="AI2951">
        <v>90.797397250693706</v>
      </c>
      <c r="AJ2951">
        <v>85.451262670294199</v>
      </c>
      <c r="AK2951">
        <v>79.656754632149003</v>
      </c>
      <c r="AL2951">
        <v>87.5320168434788</v>
      </c>
      <c r="AM2951">
        <v>89.125874756709507</v>
      </c>
      <c r="AN2951">
        <v>0.99999992795092996</v>
      </c>
    </row>
    <row r="2952" spans="1:40" x14ac:dyDescent="0.25">
      <c r="A2952" t="str">
        <f>"20190312150720113"</f>
        <v>20190312150720113</v>
      </c>
      <c r="B2952" t="str">
        <f>"1552374440102799"</f>
        <v>1552374440102799</v>
      </c>
      <c r="C2952" t="s">
        <v>40</v>
      </c>
      <c r="D2952">
        <v>4.2291100000000004</v>
      </c>
      <c r="E2952">
        <v>0.52467699999999995</v>
      </c>
      <c r="F2952" t="s">
        <v>68</v>
      </c>
      <c r="G2952">
        <v>-310.137</v>
      </c>
      <c r="H2952" s="1">
        <v>1.9470050000000001E-6</v>
      </c>
      <c r="I2952">
        <v>288.39949999999999</v>
      </c>
      <c r="J2952">
        <v>-228.8836</v>
      </c>
      <c r="K2952">
        <v>1.1085739999999999</v>
      </c>
      <c r="L2952">
        <v>281.74290000000002</v>
      </c>
      <c r="M2952">
        <v>-0.99997849999999999</v>
      </c>
      <c r="N2952">
        <v>0</v>
      </c>
      <c r="O2952">
        <v>2.5276389999999999E-3</v>
      </c>
      <c r="P2952">
        <v>-0.99916349999999998</v>
      </c>
      <c r="Q2952">
        <v>3.7052309999999998E-2</v>
      </c>
      <c r="R2952">
        <v>1.7312930000000001E-2</v>
      </c>
      <c r="S2952">
        <v>-2.9998320000000001</v>
      </c>
      <c r="T2952">
        <v>-4.085577E-2</v>
      </c>
      <c r="U2952">
        <v>0.2453613</v>
      </c>
      <c r="V2952">
        <v>1.4875930000000001E-2</v>
      </c>
      <c r="W2952">
        <v>4.306397E-2</v>
      </c>
      <c r="X2952">
        <v>0.99896160000000001</v>
      </c>
      <c r="Y2952">
        <v>7.8992889999999996E-2</v>
      </c>
      <c r="Z2952">
        <v>5.0262889999999995E-4</v>
      </c>
      <c r="AA2952">
        <v>0.99687499999999996</v>
      </c>
      <c r="AB2952">
        <v>26</v>
      </c>
      <c r="AC2952">
        <v>-81.253399999999999</v>
      </c>
      <c r="AD2952">
        <v>-1.1085720529950001</v>
      </c>
      <c r="AE2952">
        <v>6.6565999999999601</v>
      </c>
      <c r="AF2952">
        <v>6.4500030991725996</v>
      </c>
      <c r="AG2952">
        <v>-1.1085720529950001</v>
      </c>
      <c r="AH2952">
        <v>81.254942081526707</v>
      </c>
      <c r="AI2952">
        <v>90.779194740306195</v>
      </c>
      <c r="AJ2952">
        <v>85.461387907285697</v>
      </c>
      <c r="AK2952">
        <v>81.5180782688618</v>
      </c>
      <c r="AL2952">
        <v>87.531853098509998</v>
      </c>
      <c r="AM2952">
        <v>89.146849076633401</v>
      </c>
      <c r="AN2952">
        <v>1.00000003854004</v>
      </c>
    </row>
    <row r="2953" spans="1:40" x14ac:dyDescent="0.25">
      <c r="A2953" t="str">
        <f>"20190312150720133"</f>
        <v>20190312150720133</v>
      </c>
      <c r="B2953" t="str">
        <f>"1552374440122993"</f>
        <v>1552374440122993</v>
      </c>
      <c r="C2953" t="s">
        <v>40</v>
      </c>
      <c r="D2953">
        <v>4.5092650000000001</v>
      </c>
      <c r="E2953">
        <v>0.52467529999999996</v>
      </c>
      <c r="F2953" t="s">
        <v>68</v>
      </c>
      <c r="G2953">
        <v>-311.18549999999999</v>
      </c>
      <c r="H2953" s="1">
        <v>2.4031540000000001E-6</v>
      </c>
      <c r="I2953">
        <v>288.50069999999999</v>
      </c>
      <c r="J2953">
        <v>-229.1208</v>
      </c>
      <c r="K2953">
        <v>1.108595</v>
      </c>
      <c r="L2953">
        <v>281.74459999999999</v>
      </c>
      <c r="M2953">
        <v>-0.99997510000000001</v>
      </c>
      <c r="N2953">
        <v>0</v>
      </c>
      <c r="O2953">
        <v>3.5746229999999999E-3</v>
      </c>
      <c r="P2953">
        <v>-0.99915739999999997</v>
      </c>
      <c r="Q2953">
        <v>3.7148819999999999E-2</v>
      </c>
      <c r="R2953">
        <v>1.7451640000000001E-2</v>
      </c>
      <c r="S2953">
        <v>-2.9997560000000001</v>
      </c>
      <c r="T2953">
        <v>-4.0405389999999999E-2</v>
      </c>
      <c r="U2953">
        <v>0.24630740000000001</v>
      </c>
      <c r="V2953">
        <v>1.3966869999999999E-2</v>
      </c>
      <c r="W2953">
        <v>4.319166E-2</v>
      </c>
      <c r="X2953">
        <v>0.9989692</v>
      </c>
      <c r="Y2953">
        <v>7.8263799999999994E-2</v>
      </c>
      <c r="Z2953">
        <v>4.7811579999999999E-4</v>
      </c>
      <c r="AA2953">
        <v>0.99693259999999995</v>
      </c>
      <c r="AB2953">
        <v>26</v>
      </c>
      <c r="AC2953">
        <v>-82.064699999999903</v>
      </c>
      <c r="AD2953">
        <v>-1.108592596846</v>
      </c>
      <c r="AE2953">
        <v>6.7561</v>
      </c>
      <c r="AF2953">
        <v>6.4615298342722403</v>
      </c>
      <c r="AG2953">
        <v>-1.108592596846</v>
      </c>
      <c r="AH2953">
        <v>82.073450143968302</v>
      </c>
      <c r="AI2953">
        <v>90.771478631810297</v>
      </c>
      <c r="AJ2953">
        <v>85.498467230430606</v>
      </c>
      <c r="AK2953">
        <v>82.334874530052105</v>
      </c>
      <c r="AL2953">
        <v>87.524530160466</v>
      </c>
      <c r="AM2953">
        <v>89.198983745134399</v>
      </c>
      <c r="AN2953">
        <v>1.0000000277498899</v>
      </c>
    </row>
    <row r="2954" spans="1:40" x14ac:dyDescent="0.25">
      <c r="A2954" t="str">
        <f>"20190312150720145"</f>
        <v>20190312150720145</v>
      </c>
      <c r="B2954" t="str">
        <f>"1552374440132750"</f>
        <v>1552374440132750</v>
      </c>
      <c r="C2954" t="s">
        <v>40</v>
      </c>
      <c r="D2954">
        <v>4.2215930000000004</v>
      </c>
      <c r="E2954">
        <v>0.52469580000000005</v>
      </c>
      <c r="F2954" t="s">
        <v>68</v>
      </c>
      <c r="G2954">
        <v>-314.14179999999999</v>
      </c>
      <c r="H2954" s="1">
        <v>3.6931650000000002E-6</v>
      </c>
      <c r="I2954">
        <v>288.7405</v>
      </c>
      <c r="J2954">
        <v>-229.26060000000001</v>
      </c>
      <c r="K2954">
        <v>1.108608</v>
      </c>
      <c r="L2954">
        <v>281.7457</v>
      </c>
      <c r="M2954">
        <v>-0.99997270000000005</v>
      </c>
      <c r="N2954">
        <v>0</v>
      </c>
      <c r="O2954">
        <v>4.1790999999999998E-3</v>
      </c>
      <c r="P2954">
        <v>-0.99916110000000002</v>
      </c>
      <c r="Q2954">
        <v>3.697545E-2</v>
      </c>
      <c r="R2954">
        <v>1.7610540000000001E-2</v>
      </c>
      <c r="S2954">
        <v>-2.9996800000000001</v>
      </c>
      <c r="T2954">
        <v>-3.9112929999999997E-2</v>
      </c>
      <c r="U2954">
        <v>0.2468262</v>
      </c>
      <c r="V2954">
        <v>1.3520219999999999E-2</v>
      </c>
      <c r="W2954">
        <v>4.3036350000000001E-2</v>
      </c>
      <c r="X2954">
        <v>0.99898200000000004</v>
      </c>
      <c r="Y2954">
        <v>7.7835009999999996E-2</v>
      </c>
      <c r="Z2954">
        <v>4.521735E-4</v>
      </c>
      <c r="AA2954">
        <v>0.99696609999999997</v>
      </c>
      <c r="AB2954">
        <v>26</v>
      </c>
      <c r="AC2954">
        <v>-84.881199999999893</v>
      </c>
      <c r="AD2954">
        <v>-1.108604306835</v>
      </c>
      <c r="AE2954">
        <v>6.9947999999999899</v>
      </c>
      <c r="AF2954">
        <v>6.6388804795836904</v>
      </c>
      <c r="AG2954">
        <v>-1.108604306835</v>
      </c>
      <c r="AH2954">
        <v>84.895307432091698</v>
      </c>
      <c r="AI2954">
        <v>90.745876774184495</v>
      </c>
      <c r="AJ2954">
        <v>85.528524611363295</v>
      </c>
      <c r="AK2954">
        <v>85.161710654029804</v>
      </c>
      <c r="AL2954">
        <v>87.533436932000001</v>
      </c>
      <c r="AM2954">
        <v>89.224606397433305</v>
      </c>
      <c r="AN2954">
        <v>0.99999998004708501</v>
      </c>
    </row>
    <row r="2955" spans="1:40" x14ac:dyDescent="0.25">
      <c r="A2955" t="str">
        <f>"20190312150720166"</f>
        <v>20190312150720166</v>
      </c>
      <c r="B2955" t="str">
        <f>"1552374440163005"</f>
        <v>1552374440163005</v>
      </c>
      <c r="C2955" t="s">
        <v>40</v>
      </c>
      <c r="D2955">
        <v>4.2607759999999999</v>
      </c>
      <c r="E2955">
        <v>0.52458260000000001</v>
      </c>
      <c r="F2955" t="s">
        <v>68</v>
      </c>
      <c r="G2955">
        <v>-314.98579999999998</v>
      </c>
      <c r="H2955" s="1">
        <v>4.0607129999999997E-6</v>
      </c>
      <c r="I2955">
        <v>288.81729999999999</v>
      </c>
      <c r="J2955">
        <v>-229.51499999999999</v>
      </c>
      <c r="K2955">
        <v>1.10863</v>
      </c>
      <c r="L2955">
        <v>281.74790000000002</v>
      </c>
      <c r="M2955">
        <v>-0.99996750000000001</v>
      </c>
      <c r="N2955">
        <v>0</v>
      </c>
      <c r="O2955">
        <v>5.2447780000000003E-3</v>
      </c>
      <c r="P2955">
        <v>-0.99916760000000004</v>
      </c>
      <c r="Q2955">
        <v>3.6693129999999997E-2</v>
      </c>
      <c r="R2955">
        <v>1.7831739999999999E-2</v>
      </c>
      <c r="S2955">
        <v>-2.9995729999999998</v>
      </c>
      <c r="T2955">
        <v>-3.8790699999999997E-2</v>
      </c>
      <c r="U2955">
        <v>0.2474365</v>
      </c>
      <c r="V2955">
        <v>1.2674039999999999E-2</v>
      </c>
      <c r="W2955">
        <v>4.2786230000000001E-2</v>
      </c>
      <c r="X2955">
        <v>0.9990038</v>
      </c>
      <c r="Y2955">
        <v>7.6977139999999999E-2</v>
      </c>
      <c r="Z2955">
        <v>4.2916710000000003E-4</v>
      </c>
      <c r="AA2955">
        <v>0.99703280000000005</v>
      </c>
      <c r="AB2955">
        <v>26</v>
      </c>
      <c r="AC2955">
        <v>-85.470799999999997</v>
      </c>
      <c r="AD2955">
        <v>-1.1086259392869999</v>
      </c>
      <c r="AE2955">
        <v>7.0693999999999697</v>
      </c>
      <c r="AF2955">
        <v>6.6199128092071602</v>
      </c>
      <c r="AG2955">
        <v>-1.1086259392869999</v>
      </c>
      <c r="AH2955">
        <v>85.492416835846598</v>
      </c>
      <c r="AI2955">
        <v>90.740726337680798</v>
      </c>
      <c r="AJ2955">
        <v>85.572265526780697</v>
      </c>
      <c r="AK2955">
        <v>85.755499144421705</v>
      </c>
      <c r="AL2955">
        <v>87.547780873273695</v>
      </c>
      <c r="AM2955">
        <v>89.273145862171106</v>
      </c>
      <c r="AN2955">
        <v>0.99999994259098501</v>
      </c>
    </row>
    <row r="2956" spans="1:40" x14ac:dyDescent="0.25">
      <c r="A2956" t="str">
        <f>"20190312150720189"</f>
        <v>20190312150720189</v>
      </c>
      <c r="B2956" t="str">
        <f>"1552374440183501"</f>
        <v>1552374440183501</v>
      </c>
      <c r="C2956" t="s">
        <v>40</v>
      </c>
      <c r="D2956">
        <v>4.434177</v>
      </c>
      <c r="E2956">
        <v>0.50157280000000004</v>
      </c>
      <c r="F2956" t="s">
        <v>68</v>
      </c>
      <c r="G2956">
        <v>-314.80369999999999</v>
      </c>
      <c r="H2956" s="1">
        <v>3.9830559999999997E-6</v>
      </c>
      <c r="I2956">
        <v>288.78190000000001</v>
      </c>
      <c r="J2956">
        <v>-229.7783</v>
      </c>
      <c r="K2956">
        <v>1.108646</v>
      </c>
      <c r="L2956">
        <v>281.75049999999999</v>
      </c>
      <c r="M2956">
        <v>-0.99996130000000005</v>
      </c>
      <c r="N2956">
        <v>0</v>
      </c>
      <c r="O2956">
        <v>6.3116419999999897E-3</v>
      </c>
      <c r="P2956">
        <v>-0.99919360000000002</v>
      </c>
      <c r="Q2956">
        <v>3.589937E-2</v>
      </c>
      <c r="R2956">
        <v>1.7988029999999999E-2</v>
      </c>
      <c r="S2956">
        <v>-2.9995120000000002</v>
      </c>
      <c r="T2956">
        <v>-3.898919E-2</v>
      </c>
      <c r="U2956">
        <v>0.2473755</v>
      </c>
      <c r="V2956">
        <v>1.1760369999999999E-2</v>
      </c>
      <c r="W2956">
        <v>4.2024939999999997E-2</v>
      </c>
      <c r="X2956">
        <v>0.99904729999999997</v>
      </c>
      <c r="Y2956">
        <v>7.5895000000000004E-2</v>
      </c>
      <c r="Z2956">
        <v>4.105092E-4</v>
      </c>
      <c r="AA2956">
        <v>0.99711570000000005</v>
      </c>
      <c r="AB2956">
        <v>26</v>
      </c>
      <c r="AC2956">
        <v>-85.025399999999905</v>
      </c>
      <c r="AD2956">
        <v>-1.1086420169439899</v>
      </c>
      <c r="AE2956">
        <v>7.0314000000000103</v>
      </c>
      <c r="AF2956">
        <v>6.4935034850082696</v>
      </c>
      <c r="AG2956">
        <v>-1.1086420169439899</v>
      </c>
      <c r="AH2956">
        <v>85.053724738281701</v>
      </c>
      <c r="AI2956">
        <v>90.744619090964406</v>
      </c>
      <c r="AJ2956">
        <v>85.634171150628404</v>
      </c>
      <c r="AK2956">
        <v>85.308444872046195</v>
      </c>
      <c r="AL2956">
        <v>87.591438881443807</v>
      </c>
      <c r="AM2956">
        <v>89.325569024282302</v>
      </c>
      <c r="AN2956">
        <v>0.99999995476091397</v>
      </c>
    </row>
    <row r="2957" spans="1:40" x14ac:dyDescent="0.25">
      <c r="A2957" t="str">
        <f>"20190312150720203"</f>
        <v>20190312150720203</v>
      </c>
      <c r="B2957" t="str">
        <f>"1552374440193261"</f>
        <v>1552374440193261</v>
      </c>
      <c r="C2957" t="s">
        <v>40</v>
      </c>
      <c r="D2957">
        <v>4.2195199999999904</v>
      </c>
      <c r="E2957">
        <v>0.49842370000000003</v>
      </c>
      <c r="F2957" t="s">
        <v>43</v>
      </c>
      <c r="G2957">
        <v>-552.2903</v>
      </c>
      <c r="H2957">
        <v>-0.05</v>
      </c>
      <c r="I2957">
        <v>288.70179999999999</v>
      </c>
      <c r="J2957">
        <v>-229.95189999999999</v>
      </c>
      <c r="K2957">
        <v>1.108657</v>
      </c>
      <c r="L2957">
        <v>281.75220000000002</v>
      </c>
      <c r="M2957">
        <v>-0.99995659999999997</v>
      </c>
      <c r="N2957">
        <v>0</v>
      </c>
      <c r="O2957">
        <v>6.9989479999999996E-3</v>
      </c>
      <c r="P2957">
        <v>-0.99919930000000001</v>
      </c>
      <c r="Q2957">
        <v>3.5565630000000001E-2</v>
      </c>
      <c r="R2957">
        <v>1.8338170000000001E-2</v>
      </c>
      <c r="S2957">
        <v>-3.0016630000000002</v>
      </c>
      <c r="T2957">
        <v>-1.078367E-2</v>
      </c>
      <c r="U2957">
        <v>6.4697270000000001E-2</v>
      </c>
      <c r="V2957">
        <v>1.142176E-2</v>
      </c>
      <c r="W2957">
        <v>4.1712880000000001E-2</v>
      </c>
      <c r="X2957">
        <v>0.99906430000000002</v>
      </c>
      <c r="Y2957">
        <v>1.4550769999999999E-2</v>
      </c>
      <c r="Z2957" s="1">
        <v>9.9315550000000002E-7</v>
      </c>
      <c r="AA2957">
        <v>0.99989410000000001</v>
      </c>
      <c r="AB2957">
        <v>27</v>
      </c>
      <c r="AC2957">
        <v>-322.33839999999998</v>
      </c>
      <c r="AD2957">
        <v>-1.158657</v>
      </c>
      <c r="AE2957">
        <v>6.94959999999997</v>
      </c>
      <c r="AF2957">
        <v>4.6932968103341501</v>
      </c>
      <c r="AG2957">
        <v>-1.158657</v>
      </c>
      <c r="AH2957">
        <v>322.37498212438101</v>
      </c>
      <c r="AI2957">
        <v>90.2059056681491</v>
      </c>
      <c r="AJ2957">
        <v>89.165918205984696</v>
      </c>
      <c r="AK2957">
        <v>322.41122595326698</v>
      </c>
      <c r="AL2957">
        <v>87.609334279961203</v>
      </c>
      <c r="AM2957">
        <v>89.344996979901794</v>
      </c>
      <c r="AN2957">
        <v>0.99999994824693905</v>
      </c>
    </row>
    <row r="2958" spans="1:40" x14ac:dyDescent="0.25">
      <c r="A2958" t="str">
        <f>"20190312150720223"</f>
        <v>20190312150720223</v>
      </c>
      <c r="B2958" t="str">
        <f>"1552374440212781"</f>
        <v>1552374440212781</v>
      </c>
      <c r="C2958" t="s">
        <v>40</v>
      </c>
      <c r="D2958">
        <v>4.394755</v>
      </c>
      <c r="E2958">
        <v>0.49582340000000003</v>
      </c>
      <c r="F2958" t="s">
        <v>48</v>
      </c>
      <c r="G2958">
        <v>0</v>
      </c>
      <c r="H2958">
        <v>0</v>
      </c>
      <c r="I2958">
        <v>0</v>
      </c>
      <c r="J2958">
        <v>-230.18799999999999</v>
      </c>
      <c r="K2958">
        <v>1.1086720000000001</v>
      </c>
      <c r="L2958">
        <v>281.75479999999999</v>
      </c>
      <c r="M2958">
        <v>-0.99994959999999999</v>
      </c>
      <c r="N2958">
        <v>0</v>
      </c>
      <c r="O2958">
        <v>7.9083049999999992E-3</v>
      </c>
      <c r="P2958">
        <v>-0.99922160000000004</v>
      </c>
      <c r="Q2958">
        <v>3.4939520000000002E-2</v>
      </c>
      <c r="R2958">
        <v>1.8316740000000001E-2</v>
      </c>
      <c r="S2958">
        <v>-3.0019230000000001</v>
      </c>
      <c r="T2958">
        <v>-8.0518719999999998E-3</v>
      </c>
      <c r="U2958">
        <v>4.0740970000000001E-2</v>
      </c>
      <c r="V2958">
        <v>1.048867E-2</v>
      </c>
      <c r="W2958">
        <v>4.1114959999999999E-2</v>
      </c>
      <c r="X2958">
        <v>0.99909939999999997</v>
      </c>
      <c r="Y2958">
        <v>5.6622290000000004E-3</v>
      </c>
      <c r="Z2958" s="1">
        <v>-1.3617540000000001E-5</v>
      </c>
      <c r="AA2958">
        <v>0.99998399999999998</v>
      </c>
      <c r="AB2958">
        <v>27</v>
      </c>
      <c r="AC2958">
        <v>-3.0019230000000001</v>
      </c>
      <c r="AD2958">
        <v>-8.0518719999999998E-3</v>
      </c>
      <c r="AE2958">
        <v>4.0740970000000001E-2</v>
      </c>
      <c r="AF2958">
        <v>1.69989968732439E-2</v>
      </c>
      <c r="AG2958">
        <v>-8.0518719999999998E-3</v>
      </c>
      <c r="AH2958">
        <v>3.0021297265082398</v>
      </c>
      <c r="AI2958">
        <v>90.1536675037988</v>
      </c>
      <c r="AJ2958">
        <v>89.675576854886302</v>
      </c>
      <c r="AK2958">
        <v>3.0021886505217901</v>
      </c>
      <c r="AL2958">
        <v>87.6436221875407</v>
      </c>
      <c r="AM2958">
        <v>89.398523862689203</v>
      </c>
      <c r="AN2958">
        <v>1.0000000316072599</v>
      </c>
    </row>
    <row r="2959" spans="1:40" x14ac:dyDescent="0.25">
      <c r="A2959" t="str">
        <f>"20190312150720244"</f>
        <v>20190312150720244</v>
      </c>
      <c r="B2959" t="str">
        <f>"1552374440233281"</f>
        <v>1552374440233281</v>
      </c>
      <c r="C2959" t="s">
        <v>40</v>
      </c>
      <c r="D2959">
        <v>4.3969370000000003</v>
      </c>
      <c r="E2959">
        <v>0.49490420000000002</v>
      </c>
      <c r="F2959" t="s">
        <v>48</v>
      </c>
      <c r="G2959">
        <v>0</v>
      </c>
      <c r="H2959">
        <v>0</v>
      </c>
      <c r="I2959">
        <v>0</v>
      </c>
      <c r="J2959">
        <v>-230.44139999999999</v>
      </c>
      <c r="K2959">
        <v>1.1086929999999999</v>
      </c>
      <c r="L2959">
        <v>281.75790000000001</v>
      </c>
      <c r="M2959">
        <v>-0.99994150000000004</v>
      </c>
      <c r="N2959">
        <v>0</v>
      </c>
      <c r="O2959">
        <v>8.8553199999999999E-3</v>
      </c>
      <c r="P2959">
        <v>-0.99923320000000004</v>
      </c>
      <c r="Q2959">
        <v>3.45308E-2</v>
      </c>
      <c r="R2959">
        <v>1.8461959999999999E-2</v>
      </c>
      <c r="S2959">
        <v>-3.002075</v>
      </c>
      <c r="T2959">
        <v>-2.9097799999999998E-3</v>
      </c>
      <c r="U2959">
        <v>2.005005E-2</v>
      </c>
      <c r="V2959">
        <v>9.6849889999999998E-3</v>
      </c>
      <c r="W2959">
        <v>4.0736670000000003E-2</v>
      </c>
      <c r="X2959">
        <v>0.99912299999999998</v>
      </c>
      <c r="Y2959">
        <v>-2.176969E-3</v>
      </c>
      <c r="Z2959" s="1">
        <v>-9.6379999999999999E-6</v>
      </c>
      <c r="AA2959">
        <v>0.99999760000000004</v>
      </c>
      <c r="AB2959">
        <v>27</v>
      </c>
      <c r="AC2959">
        <v>-3.002075</v>
      </c>
      <c r="AD2959">
        <v>-2.9097799999999998E-3</v>
      </c>
      <c r="AE2959">
        <v>2.005005E-2</v>
      </c>
      <c r="AF2959">
        <v>-6.5355776495529998E-3</v>
      </c>
      <c r="AG2959">
        <v>-2.9097799999999998E-3</v>
      </c>
      <c r="AH2959">
        <v>3.0021320195386698</v>
      </c>
      <c r="AI2959">
        <v>90.055533089472306</v>
      </c>
      <c r="AJ2959">
        <v>90.124731498152201</v>
      </c>
      <c r="AK2959">
        <v>3.0021405435678998</v>
      </c>
      <c r="AL2959">
        <v>87.665314759787606</v>
      </c>
      <c r="AM2959">
        <v>89.444621318029107</v>
      </c>
      <c r="AN2959">
        <v>1.0000000222118</v>
      </c>
    </row>
    <row r="2960" spans="1:40" x14ac:dyDescent="0.25">
      <c r="A2960" t="str">
        <f>"20190312150720256"</f>
        <v>20190312150720256</v>
      </c>
      <c r="B2960" t="str">
        <f>"1552374440252798"</f>
        <v>1552374440252798</v>
      </c>
      <c r="C2960" t="s">
        <v>40</v>
      </c>
      <c r="D2960">
        <v>4.4514680000000002</v>
      </c>
      <c r="E2960">
        <v>0.49465999999999999</v>
      </c>
      <c r="F2960" t="s">
        <v>48</v>
      </c>
      <c r="G2960">
        <v>0</v>
      </c>
      <c r="H2960">
        <v>0</v>
      </c>
      <c r="I2960">
        <v>0</v>
      </c>
      <c r="J2960">
        <v>-230.58600000000001</v>
      </c>
      <c r="K2960">
        <v>1.108703</v>
      </c>
      <c r="L2960">
        <v>281.75970000000001</v>
      </c>
      <c r="M2960">
        <v>-0.99993659999999995</v>
      </c>
      <c r="N2960">
        <v>0</v>
      </c>
      <c r="O2960">
        <v>9.3796330000000001E-3</v>
      </c>
      <c r="P2960">
        <v>-0.99922759999999999</v>
      </c>
      <c r="Q2960">
        <v>3.4668989999999997E-2</v>
      </c>
      <c r="R2960">
        <v>1.8502089999999999E-2</v>
      </c>
      <c r="S2960">
        <v>-3.0021360000000001</v>
      </c>
      <c r="T2960">
        <v>-2.1821259999999999E-3</v>
      </c>
      <c r="U2960">
        <v>1.3214109999999999E-2</v>
      </c>
      <c r="V2960">
        <v>9.2004630000000007E-3</v>
      </c>
      <c r="W2960">
        <v>4.0891520000000001E-2</v>
      </c>
      <c r="X2960">
        <v>0.99912120000000004</v>
      </c>
      <c r="Y2960">
        <v>-4.9783869999999999E-3</v>
      </c>
      <c r="Z2960" s="1">
        <v>-8.6269280000000003E-6</v>
      </c>
      <c r="AA2960">
        <v>0.99998759999999998</v>
      </c>
      <c r="AB2960">
        <v>27</v>
      </c>
      <c r="AC2960">
        <v>-3.0021360000000001</v>
      </c>
      <c r="AD2960">
        <v>-2.1821259999999999E-3</v>
      </c>
      <c r="AE2960">
        <v>1.3214109999999999E-2</v>
      </c>
      <c r="AF2960">
        <v>-1.4945943866809501E-2</v>
      </c>
      <c r="AG2960">
        <v>-2.1821259999999999E-3</v>
      </c>
      <c r="AH2960">
        <v>3.0021262915841498</v>
      </c>
      <c r="AI2960">
        <v>90.041645496105801</v>
      </c>
      <c r="AJ2960">
        <v>90.2852419740382</v>
      </c>
      <c r="AK2960">
        <v>3.0021642882315298</v>
      </c>
      <c r="AL2960">
        <v>87.656434983924996</v>
      </c>
      <c r="AM2960">
        <v>89.472403548281804</v>
      </c>
      <c r="AN2960">
        <v>0.99999996860838103</v>
      </c>
    </row>
    <row r="2961" spans="1:40" x14ac:dyDescent="0.25">
      <c r="A2961" t="str">
        <f>"20190312150720269"</f>
        <v>20190312150720269</v>
      </c>
      <c r="B2961" t="str">
        <f>"1552374440263533"</f>
        <v>1552374440263533</v>
      </c>
      <c r="C2961" t="s">
        <v>40</v>
      </c>
      <c r="D2961">
        <v>4.3999180000000004</v>
      </c>
      <c r="E2961">
        <v>0.49454340000000002</v>
      </c>
      <c r="F2961" t="s">
        <v>48</v>
      </c>
      <c r="G2961">
        <v>0</v>
      </c>
      <c r="H2961">
        <v>0</v>
      </c>
      <c r="I2961">
        <v>0</v>
      </c>
      <c r="J2961">
        <v>-230.74039999999999</v>
      </c>
      <c r="K2961">
        <v>1.1087100000000001</v>
      </c>
      <c r="L2961">
        <v>281.76170000000002</v>
      </c>
      <c r="M2961">
        <v>-0.99993120000000002</v>
      </c>
      <c r="N2961">
        <v>0</v>
      </c>
      <c r="O2961">
        <v>9.9350559999999994E-3</v>
      </c>
      <c r="P2961">
        <v>-0.99922759999999999</v>
      </c>
      <c r="Q2961">
        <v>3.4533769999999998E-2</v>
      </c>
      <c r="R2961">
        <v>1.8758759999999999E-2</v>
      </c>
      <c r="S2961">
        <v>-3.002075</v>
      </c>
      <c r="T2961">
        <v>7.6150890000000002E-4</v>
      </c>
      <c r="U2961">
        <v>1.147461E-2</v>
      </c>
      <c r="V2961">
        <v>8.9010719999999995E-3</v>
      </c>
      <c r="W2961">
        <v>4.0773829999999997E-2</v>
      </c>
      <c r="X2961">
        <v>0.99912880000000004</v>
      </c>
      <c r="Y2961">
        <v>-6.1131680000000004E-3</v>
      </c>
      <c r="Z2961" s="1">
        <v>3.2954650000000001E-6</v>
      </c>
      <c r="AA2961">
        <v>0.99998129999999996</v>
      </c>
      <c r="AB2961">
        <v>27</v>
      </c>
      <c r="AC2961">
        <v>-3.002075</v>
      </c>
      <c r="AD2961">
        <v>7.6150890000000002E-4</v>
      </c>
      <c r="AE2961">
        <v>1.147461E-2</v>
      </c>
      <c r="AF2961">
        <v>-1.83523183771972E-2</v>
      </c>
      <c r="AG2961">
        <v>7.6150890000000002E-4</v>
      </c>
      <c r="AH2961">
        <v>3.0020406401177002</v>
      </c>
      <c r="AI2961">
        <v>89.9854664093358</v>
      </c>
      <c r="AJ2961">
        <v>90.350260844056507</v>
      </c>
      <c r="AK2961">
        <v>3.0020968326161501</v>
      </c>
      <c r="AL2961">
        <v>87.663183935367599</v>
      </c>
      <c r="AM2961">
        <v>89.489574950592996</v>
      </c>
      <c r="AN2961">
        <v>1.0000000466425201</v>
      </c>
    </row>
    <row r="2962" spans="1:40" x14ac:dyDescent="0.25">
      <c r="A2962" t="str">
        <f>"20190312150720280"</f>
        <v>20190312150720280</v>
      </c>
      <c r="B2962" t="str">
        <f>"1552374440273294"</f>
        <v>1552374440273294</v>
      </c>
      <c r="C2962" t="s">
        <v>40</v>
      </c>
      <c r="D2962">
        <v>4.1830449999999999</v>
      </c>
      <c r="E2962">
        <v>0.49456240000000001</v>
      </c>
      <c r="F2962" t="s">
        <v>48</v>
      </c>
      <c r="G2962">
        <v>0</v>
      </c>
      <c r="H2962">
        <v>0</v>
      </c>
      <c r="I2962">
        <v>0</v>
      </c>
      <c r="J2962">
        <v>-230.87880000000001</v>
      </c>
      <c r="K2962">
        <v>1.108716</v>
      </c>
      <c r="L2962">
        <v>281.7636</v>
      </c>
      <c r="M2962">
        <v>-0.99992599999999998</v>
      </c>
      <c r="N2962">
        <v>0</v>
      </c>
      <c r="O2962">
        <v>1.042588E-2</v>
      </c>
      <c r="P2962">
        <v>-0.99922060000000001</v>
      </c>
      <c r="Q2962">
        <v>3.4767409999999999E-2</v>
      </c>
      <c r="R2962">
        <v>1.869678E-2</v>
      </c>
      <c r="S2962">
        <v>-3.0020899999999999</v>
      </c>
      <c r="T2962">
        <v>1.0708569999999999E-3</v>
      </c>
      <c r="U2962">
        <v>1.126099E-2</v>
      </c>
      <c r="V2962">
        <v>8.3482039999999997E-3</v>
      </c>
      <c r="W2962">
        <v>4.1023490000000003E-2</v>
      </c>
      <c r="X2962">
        <v>0.99912330000000005</v>
      </c>
      <c r="Y2962">
        <v>-6.6751950000000001E-3</v>
      </c>
      <c r="Z2962" s="1">
        <v>4.9094720000000002E-6</v>
      </c>
      <c r="AA2962">
        <v>0.99997769999999997</v>
      </c>
      <c r="AB2962">
        <v>27</v>
      </c>
      <c r="AC2962">
        <v>-3.0020899999999999</v>
      </c>
      <c r="AD2962">
        <v>1.0708569999999999E-3</v>
      </c>
      <c r="AE2962">
        <v>1.126099E-2</v>
      </c>
      <c r="AF2962">
        <v>-2.0039664591438001E-2</v>
      </c>
      <c r="AG2962">
        <v>1.0708569999999999E-3</v>
      </c>
      <c r="AH2962">
        <v>3.0020438531723399</v>
      </c>
      <c r="AI2962">
        <v>89.979562518071404</v>
      </c>
      <c r="AJ2962">
        <v>90.382463150464204</v>
      </c>
      <c r="AK2962">
        <v>3.0021109292065602</v>
      </c>
      <c r="AL2962">
        <v>87.648867369092997</v>
      </c>
      <c r="AM2962">
        <v>89.521274576450296</v>
      </c>
      <c r="AN2962">
        <v>0.99999999392234795</v>
      </c>
    </row>
    <row r="2963" spans="1:40" x14ac:dyDescent="0.25">
      <c r="A2963" t="str">
        <f>"20190312150720291"</f>
        <v>20190312150720291</v>
      </c>
      <c r="B2963" t="str">
        <f>"1552374440283054"</f>
        <v>1552374440283054</v>
      </c>
      <c r="C2963" t="s">
        <v>40</v>
      </c>
      <c r="D2963">
        <v>4.4311369999999997</v>
      </c>
      <c r="E2963">
        <v>0.49445270000000002</v>
      </c>
      <c r="F2963" t="s">
        <v>48</v>
      </c>
      <c r="G2963">
        <v>0</v>
      </c>
      <c r="H2963">
        <v>0</v>
      </c>
      <c r="I2963">
        <v>0</v>
      </c>
      <c r="J2963">
        <v>-231.0204</v>
      </c>
      <c r="K2963">
        <v>1.108722</v>
      </c>
      <c r="L2963">
        <v>281.76560000000001</v>
      </c>
      <c r="M2963">
        <v>-0.99992060000000005</v>
      </c>
      <c r="N2963">
        <v>0</v>
      </c>
      <c r="O2963">
        <v>1.092286E-2</v>
      </c>
      <c r="P2963">
        <v>-0.99921439999999995</v>
      </c>
      <c r="Q2963">
        <v>3.4849669999999999E-2</v>
      </c>
      <c r="R2963">
        <v>1.8877620000000001E-2</v>
      </c>
      <c r="S2963">
        <v>-3.0020600000000002</v>
      </c>
      <c r="T2963">
        <v>2.5600190000000002E-3</v>
      </c>
      <c r="U2963">
        <v>1.141357E-2</v>
      </c>
      <c r="V2963">
        <v>8.0321549999999992E-3</v>
      </c>
      <c r="W2963">
        <v>4.1122110000000003E-2</v>
      </c>
      <c r="X2963">
        <v>0.99912179999999995</v>
      </c>
      <c r="Y2963">
        <v>-7.1213250000000004E-3</v>
      </c>
      <c r="Z2963" s="1">
        <v>1.2350830000000001E-5</v>
      </c>
      <c r="AA2963">
        <v>0.99997469999999999</v>
      </c>
      <c r="AB2963">
        <v>27</v>
      </c>
      <c r="AC2963">
        <v>-3.0020600000000002</v>
      </c>
      <c r="AD2963">
        <v>2.5600190000000002E-3</v>
      </c>
      <c r="AE2963">
        <v>1.141357E-2</v>
      </c>
      <c r="AF2963">
        <v>-2.1378823856858301E-2</v>
      </c>
      <c r="AG2963">
        <v>2.5600190000000002E-3</v>
      </c>
      <c r="AH2963">
        <v>3.0020033896866898</v>
      </c>
      <c r="AI2963">
        <v>89.951141118029497</v>
      </c>
      <c r="AJ2963">
        <v>90.408026078570501</v>
      </c>
      <c r="AK2963">
        <v>3.00208060509659</v>
      </c>
      <c r="AL2963">
        <v>87.643212000842396</v>
      </c>
      <c r="AM2963">
        <v>89.539396830287203</v>
      </c>
      <c r="AN2963">
        <v>0.99999995734001701</v>
      </c>
    </row>
    <row r="2964" spans="1:40" x14ac:dyDescent="0.25">
      <c r="A2964" t="str">
        <f>"20190312150720311"</f>
        <v>20190312150720311</v>
      </c>
      <c r="B2964" t="str">
        <f>"1552374440303553"</f>
        <v>1552374440303553</v>
      </c>
      <c r="C2964" t="s">
        <v>40</v>
      </c>
      <c r="D2964">
        <v>4.1831329999999998</v>
      </c>
      <c r="E2964">
        <v>0.49421609999999999</v>
      </c>
      <c r="F2964" t="s">
        <v>48</v>
      </c>
      <c r="G2964">
        <v>0</v>
      </c>
      <c r="H2964">
        <v>0</v>
      </c>
      <c r="I2964">
        <v>0</v>
      </c>
      <c r="J2964">
        <v>-231.25139999999999</v>
      </c>
      <c r="K2964">
        <v>1.1087320000000001</v>
      </c>
      <c r="L2964">
        <v>281.76889999999997</v>
      </c>
      <c r="M2964">
        <v>-0.99991140000000001</v>
      </c>
      <c r="N2964">
        <v>0</v>
      </c>
      <c r="O2964">
        <v>1.172599E-2</v>
      </c>
      <c r="P2964">
        <v>-0.9992103</v>
      </c>
      <c r="Q2964">
        <v>3.4903150000000001E-2</v>
      </c>
      <c r="R2964">
        <v>1.8987460000000001E-2</v>
      </c>
      <c r="S2964">
        <v>-3.0019990000000001</v>
      </c>
      <c r="T2964">
        <v>4.3925049999999997E-3</v>
      </c>
      <c r="U2964">
        <v>1.101685E-2</v>
      </c>
      <c r="V2964">
        <v>7.3387510000000001E-3</v>
      </c>
      <c r="W2964">
        <v>4.1201189999999999E-2</v>
      </c>
      <c r="X2964">
        <v>0.99912389999999995</v>
      </c>
      <c r="Y2964">
        <v>-8.0565640000000004E-3</v>
      </c>
      <c r="Z2964" s="1">
        <v>2.3051410000000002E-5</v>
      </c>
      <c r="AA2964">
        <v>0.99996750000000001</v>
      </c>
      <c r="AB2964">
        <v>27</v>
      </c>
      <c r="AC2964">
        <v>-3.0019990000000001</v>
      </c>
      <c r="AD2964">
        <v>4.3925049999999997E-3</v>
      </c>
      <c r="AE2964">
        <v>1.101685E-2</v>
      </c>
      <c r="AF2964">
        <v>-2.41859645833125E-2</v>
      </c>
      <c r="AG2964">
        <v>4.3925049999999997E-3</v>
      </c>
      <c r="AH2964">
        <v>3.00191535823808</v>
      </c>
      <c r="AI2964">
        <v>89.916165640799605</v>
      </c>
      <c r="AJ2964">
        <v>90.461613185423502</v>
      </c>
      <c r="AK2964">
        <v>3.0020160014577901</v>
      </c>
      <c r="AL2964">
        <v>87.638677264100806</v>
      </c>
      <c r="AM2964">
        <v>89.579159403980398</v>
      </c>
      <c r="AN2964">
        <v>0.99999998143743196</v>
      </c>
    </row>
    <row r="2965" spans="1:40" x14ac:dyDescent="0.25">
      <c r="A2965" t="str">
        <f>"20190312150720322"</f>
        <v>20190312150720322</v>
      </c>
      <c r="B2965" t="str">
        <f>"1552374440313310"</f>
        <v>1552374440313310</v>
      </c>
      <c r="C2965" t="s">
        <v>40</v>
      </c>
      <c r="D2965">
        <v>4.3507360000000004</v>
      </c>
      <c r="E2965">
        <v>0.49414239999999998</v>
      </c>
      <c r="F2965" t="s">
        <v>48</v>
      </c>
      <c r="G2965">
        <v>0</v>
      </c>
      <c r="H2965">
        <v>0</v>
      </c>
      <c r="I2965">
        <v>0</v>
      </c>
      <c r="J2965">
        <v>-231.39179999999999</v>
      </c>
      <c r="K2965">
        <v>1.108735</v>
      </c>
      <c r="L2965">
        <v>281.77100000000002</v>
      </c>
      <c r="M2965">
        <v>-0.9999055</v>
      </c>
      <c r="N2965">
        <v>0</v>
      </c>
      <c r="O2965">
        <v>1.22104E-2</v>
      </c>
      <c r="P2965">
        <v>-0.9992048</v>
      </c>
      <c r="Q2965">
        <v>3.488343E-2</v>
      </c>
      <c r="R2965">
        <v>1.9321040000000001E-2</v>
      </c>
      <c r="S2965">
        <v>-3.002075</v>
      </c>
      <c r="T2965">
        <v>3.7010910000000001E-3</v>
      </c>
      <c r="U2965">
        <v>9.3383790000000008E-3</v>
      </c>
      <c r="V2965">
        <v>7.1882179999999997E-3</v>
      </c>
      <c r="W2965">
        <v>4.1196910000000003E-2</v>
      </c>
      <c r="X2965">
        <v>0.99912520000000005</v>
      </c>
      <c r="Y2965">
        <v>-9.1001799999999994E-3</v>
      </c>
      <c r="Z2965" s="1">
        <v>2.066297E-5</v>
      </c>
      <c r="AA2965">
        <v>0.99995860000000003</v>
      </c>
      <c r="AB2965">
        <v>27</v>
      </c>
      <c r="AC2965">
        <v>-3.002075</v>
      </c>
      <c r="AD2965">
        <v>3.7010910000000001E-3</v>
      </c>
      <c r="AE2965">
        <v>9.3383790000000008E-3</v>
      </c>
      <c r="AF2965">
        <v>-2.7319543527037801E-2</v>
      </c>
      <c r="AG2965">
        <v>3.7010910000000001E-3</v>
      </c>
      <c r="AH2965">
        <v>3.0019606522075</v>
      </c>
      <c r="AI2965">
        <v>89.929363495972694</v>
      </c>
      <c r="AJ2965">
        <v>90.521409676235905</v>
      </c>
      <c r="AK2965">
        <v>3.0020872427255001</v>
      </c>
      <c r="AL2965">
        <v>87.638922767256503</v>
      </c>
      <c r="AM2965">
        <v>89.587791952560494</v>
      </c>
      <c r="AN2965">
        <v>1.0000000105733</v>
      </c>
    </row>
    <row r="2966" spans="1:40" x14ac:dyDescent="0.25">
      <c r="A2966" t="str">
        <f>"20190312150720333"</f>
        <v>20190312150720333</v>
      </c>
      <c r="B2966" t="str">
        <f>"1552374440323069"</f>
        <v>1552374440323069</v>
      </c>
      <c r="C2966" t="s">
        <v>40</v>
      </c>
      <c r="D2966">
        <v>4.5173649999999999</v>
      </c>
      <c r="E2966">
        <v>0.49409140000000001</v>
      </c>
      <c r="F2966" t="s">
        <v>48</v>
      </c>
      <c r="G2966">
        <v>0</v>
      </c>
      <c r="H2966">
        <v>0</v>
      </c>
      <c r="I2966">
        <v>0</v>
      </c>
      <c r="J2966">
        <v>-231.5291</v>
      </c>
      <c r="K2966">
        <v>1.10873</v>
      </c>
      <c r="L2966">
        <v>281.77319999999997</v>
      </c>
      <c r="M2966">
        <v>-0.99989939999999999</v>
      </c>
      <c r="N2966">
        <v>0</v>
      </c>
      <c r="O2966">
        <v>1.268184E-2</v>
      </c>
      <c r="P2966">
        <v>-0.99919899999999995</v>
      </c>
      <c r="Q2966">
        <v>3.495881E-2</v>
      </c>
      <c r="R2966">
        <v>1.9477459999999999E-2</v>
      </c>
      <c r="S2966">
        <v>-3.0020449999999999</v>
      </c>
      <c r="T2966">
        <v>4.282475E-3</v>
      </c>
      <c r="U2966">
        <v>9.7045900000000008E-3</v>
      </c>
      <c r="V2966">
        <v>6.873545E-3</v>
      </c>
      <c r="W2966">
        <v>4.128743E-2</v>
      </c>
      <c r="X2966">
        <v>0.99912369999999995</v>
      </c>
      <c r="Y2966">
        <v>-9.4496200000000006E-3</v>
      </c>
      <c r="Z2966" s="1">
        <v>2.4830749999999999E-5</v>
      </c>
      <c r="AA2966">
        <v>0.99995540000000005</v>
      </c>
      <c r="AB2966">
        <v>27</v>
      </c>
      <c r="AC2966">
        <v>-3.0020449999999999</v>
      </c>
      <c r="AD2966">
        <v>4.282475E-3</v>
      </c>
      <c r="AE2966">
        <v>9.7045900000000008E-3</v>
      </c>
      <c r="AF2966">
        <v>-2.8368355408666099E-2</v>
      </c>
      <c r="AG2966">
        <v>4.282475E-3</v>
      </c>
      <c r="AH2966">
        <v>3.0019205383272798</v>
      </c>
      <c r="AI2966">
        <v>89.918266783411894</v>
      </c>
      <c r="AJ2966">
        <v>90.541432937371894</v>
      </c>
      <c r="AK2966">
        <v>3.0020576312942202</v>
      </c>
      <c r="AL2966">
        <v>87.633731989270402</v>
      </c>
      <c r="AM2966">
        <v>89.605835687898605</v>
      </c>
      <c r="AN2966">
        <v>1.00000003269928</v>
      </c>
    </row>
    <row r="2967" spans="1:40" x14ac:dyDescent="0.25">
      <c r="A2967" t="str">
        <f>"20190312150720345"</f>
        <v>20190312150720345</v>
      </c>
      <c r="B2967" t="str">
        <f>"1552374440332830"</f>
        <v>1552374440332830</v>
      </c>
      <c r="C2967" t="s">
        <v>40</v>
      </c>
      <c r="D2967">
        <v>4.3690110000000004</v>
      </c>
      <c r="E2967">
        <v>0.49402620000000003</v>
      </c>
      <c r="F2967" t="s">
        <v>48</v>
      </c>
      <c r="G2967">
        <v>0</v>
      </c>
      <c r="H2967">
        <v>0</v>
      </c>
      <c r="I2967">
        <v>0</v>
      </c>
      <c r="J2967">
        <v>-231.6661</v>
      </c>
      <c r="K2967">
        <v>1.1087309999999999</v>
      </c>
      <c r="L2967">
        <v>281.77539999999999</v>
      </c>
      <c r="M2967">
        <v>-0.99989340000000004</v>
      </c>
      <c r="N2967">
        <v>0</v>
      </c>
      <c r="O2967">
        <v>1.315095E-2</v>
      </c>
      <c r="P2967">
        <v>-0.99919519999999995</v>
      </c>
      <c r="Q2967">
        <v>3.4918999999999999E-2</v>
      </c>
      <c r="R2967">
        <v>1.9747130000000002E-2</v>
      </c>
      <c r="S2967">
        <v>-3.0020449999999999</v>
      </c>
      <c r="T2967">
        <v>5.0610300000000002E-3</v>
      </c>
      <c r="U2967">
        <v>9.765625E-3</v>
      </c>
      <c r="V2967">
        <v>6.6743870000000004E-3</v>
      </c>
      <c r="W2967">
        <v>4.126266E-2</v>
      </c>
      <c r="X2967">
        <v>0.99912599999999996</v>
      </c>
      <c r="Y2967">
        <v>-9.8984150000000007E-3</v>
      </c>
      <c r="Z2967" s="1">
        <v>3.0514089999999999E-5</v>
      </c>
      <c r="AA2967">
        <v>0.99995100000000003</v>
      </c>
      <c r="AB2967">
        <v>27</v>
      </c>
      <c r="AC2967">
        <v>-3.0020449999999999</v>
      </c>
      <c r="AD2967">
        <v>5.0610300000000002E-3</v>
      </c>
      <c r="AE2967">
        <v>9.765625E-3</v>
      </c>
      <c r="AF2967">
        <v>-2.9715673157714801E-2</v>
      </c>
      <c r="AG2967">
        <v>5.0610300000000002E-3</v>
      </c>
      <c r="AH2967">
        <v>3.0019052783847902</v>
      </c>
      <c r="AI2967">
        <v>89.903407619083495</v>
      </c>
      <c r="AJ2967">
        <v>90.567148824254105</v>
      </c>
      <c r="AK2967">
        <v>3.00205661766236</v>
      </c>
      <c r="AL2967">
        <v>87.635152242258599</v>
      </c>
      <c r="AM2967">
        <v>89.617256964961996</v>
      </c>
      <c r="AN2967">
        <v>0.99999995921404905</v>
      </c>
    </row>
    <row r="2968" spans="1:40" x14ac:dyDescent="0.25">
      <c r="A2968" t="str">
        <f>"20190312150720356"</f>
        <v>20190312150720356</v>
      </c>
      <c r="B2968" t="str">
        <f>"1552374440353325"</f>
        <v>1552374440353325</v>
      </c>
      <c r="C2968" t="s">
        <v>40</v>
      </c>
      <c r="D2968">
        <v>4.176031</v>
      </c>
      <c r="E2968">
        <v>0.49378680000000003</v>
      </c>
      <c r="F2968" t="s">
        <v>48</v>
      </c>
      <c r="G2968">
        <v>0</v>
      </c>
      <c r="H2968">
        <v>0</v>
      </c>
      <c r="I2968">
        <v>0</v>
      </c>
      <c r="J2968">
        <v>-231.81039999999999</v>
      </c>
      <c r="K2968">
        <v>1.1087290000000001</v>
      </c>
      <c r="L2968">
        <v>281.77780000000001</v>
      </c>
      <c r="M2968">
        <v>-0.99988670000000002</v>
      </c>
      <c r="N2968">
        <v>0</v>
      </c>
      <c r="O2968">
        <v>1.364337E-2</v>
      </c>
      <c r="P2968">
        <v>-0.99919959999999997</v>
      </c>
      <c r="Q2968">
        <v>3.473627E-2</v>
      </c>
      <c r="R2968">
        <v>1.9841629999999999E-2</v>
      </c>
      <c r="S2968">
        <v>-3.0020600000000002</v>
      </c>
      <c r="T2968">
        <v>5.0429109999999997E-3</v>
      </c>
      <c r="U2968">
        <v>1.031494E-2</v>
      </c>
      <c r="V2968">
        <v>6.2764659999999996E-3</v>
      </c>
      <c r="W2968">
        <v>4.1095430000000002E-2</v>
      </c>
      <c r="X2968">
        <v>0.99913549999999995</v>
      </c>
      <c r="Y2968">
        <v>-1.0207920000000001E-2</v>
      </c>
      <c r="Z2968" s="1">
        <v>3.149176E-5</v>
      </c>
      <c r="AA2968">
        <v>0.9999479</v>
      </c>
      <c r="AB2968">
        <v>27</v>
      </c>
      <c r="AC2968">
        <v>-3.0020600000000002</v>
      </c>
      <c r="AD2968">
        <v>5.0429109999999997E-3</v>
      </c>
      <c r="AE2968">
        <v>1.031494E-2</v>
      </c>
      <c r="AF2968">
        <v>-3.0644977287935402E-2</v>
      </c>
      <c r="AG2968">
        <v>5.0429109999999997E-3</v>
      </c>
      <c r="AH2968">
        <v>3.0019128343885599</v>
      </c>
      <c r="AI2968">
        <v>89.903753970692193</v>
      </c>
      <c r="AJ2968">
        <v>90.584882696170297</v>
      </c>
      <c r="AK2968">
        <v>3.0020734852516702</v>
      </c>
      <c r="AL2968">
        <v>87.644742017563701</v>
      </c>
      <c r="AM2968">
        <v>89.640078566154003</v>
      </c>
      <c r="AN2968">
        <v>0.99999998787629096</v>
      </c>
    </row>
    <row r="2969" spans="1:40" x14ac:dyDescent="0.25">
      <c r="A2969" t="str">
        <f>"20190312150720368"</f>
        <v>20190312150720368</v>
      </c>
      <c r="B2969" t="str">
        <f>"1552374440363086"</f>
        <v>1552374440363086</v>
      </c>
      <c r="C2969" t="s">
        <v>40</v>
      </c>
      <c r="D2969">
        <v>4.1519329999999997</v>
      </c>
      <c r="E2969">
        <v>0.49369370000000001</v>
      </c>
      <c r="F2969" t="s">
        <v>48</v>
      </c>
      <c r="G2969">
        <v>0</v>
      </c>
      <c r="H2969">
        <v>0</v>
      </c>
      <c r="I2969">
        <v>0</v>
      </c>
      <c r="J2969">
        <v>-231.9546</v>
      </c>
      <c r="K2969">
        <v>1.1087309999999999</v>
      </c>
      <c r="L2969">
        <v>281.78019999999998</v>
      </c>
      <c r="M2969">
        <v>-0.99987969999999904</v>
      </c>
      <c r="N2969">
        <v>0</v>
      </c>
      <c r="O2969">
        <v>1.413472E-2</v>
      </c>
      <c r="P2969">
        <v>-0.99919279999999999</v>
      </c>
      <c r="Q2969">
        <v>3.4665349999999998E-2</v>
      </c>
      <c r="R2969">
        <v>2.0301079999999999E-2</v>
      </c>
      <c r="S2969">
        <v>-3.002075</v>
      </c>
      <c r="T2969">
        <v>3.9287810000000001E-3</v>
      </c>
      <c r="U2969">
        <v>8.6669920000000001E-3</v>
      </c>
      <c r="V2969">
        <v>6.2450209999999999E-3</v>
      </c>
      <c r="W2969">
        <v>4.1039680000000002E-2</v>
      </c>
      <c r="X2969">
        <v>0.99913799999999997</v>
      </c>
      <c r="Y2969">
        <v>-1.124822E-2</v>
      </c>
      <c r="Z2969" s="1">
        <v>2.5857909999999999E-5</v>
      </c>
      <c r="AA2969">
        <v>0.99993679999999996</v>
      </c>
      <c r="AB2969">
        <v>27</v>
      </c>
      <c r="AC2969">
        <v>-3.002075</v>
      </c>
      <c r="AD2969">
        <v>3.9287810000000001E-3</v>
      </c>
      <c r="AE2969">
        <v>8.6669920000000001E-3</v>
      </c>
      <c r="AF2969">
        <v>-3.37681711481993E-2</v>
      </c>
      <c r="AG2969">
        <v>3.9287810000000001E-3</v>
      </c>
      <c r="AH2969">
        <v>3.0018924468460901</v>
      </c>
      <c r="AI2969">
        <v>89.925017899665704</v>
      </c>
      <c r="AJ2969">
        <v>90.644490807359205</v>
      </c>
      <c r="AK2969">
        <v>3.0020849400265899</v>
      </c>
      <c r="AL2969">
        <v>87.6479389812975</v>
      </c>
      <c r="AM2969">
        <v>89.641882616072706</v>
      </c>
      <c r="AN2969">
        <v>0.99999999933289596</v>
      </c>
    </row>
    <row r="2970" spans="1:40" x14ac:dyDescent="0.25">
      <c r="A2970" t="str">
        <f>"20190312150720381"</f>
        <v>20190312150720381</v>
      </c>
      <c r="B2970" t="str">
        <f>"1552374440372846"</f>
        <v>1552374440372846</v>
      </c>
      <c r="C2970" t="s">
        <v>40</v>
      </c>
      <c r="D2970">
        <v>4.4238679999999997</v>
      </c>
      <c r="E2970">
        <v>0.49366280000000001</v>
      </c>
      <c r="F2970" t="s">
        <v>48</v>
      </c>
      <c r="G2970">
        <v>0</v>
      </c>
      <c r="H2970">
        <v>0</v>
      </c>
      <c r="I2970">
        <v>0</v>
      </c>
      <c r="J2970">
        <v>-232.11770000000001</v>
      </c>
      <c r="K2970">
        <v>1.108727</v>
      </c>
      <c r="L2970">
        <v>281.78309999999999</v>
      </c>
      <c r="M2970">
        <v>-0.99987159999999997</v>
      </c>
      <c r="N2970">
        <v>0</v>
      </c>
      <c r="O2970">
        <v>1.4690679999999999E-2</v>
      </c>
      <c r="P2970">
        <v>-0.99918410000000002</v>
      </c>
      <c r="Q2970">
        <v>3.4570749999999997E-2</v>
      </c>
      <c r="R2970">
        <v>2.088311E-2</v>
      </c>
      <c r="S2970">
        <v>-3.0021360000000001</v>
      </c>
      <c r="T2970">
        <v>2.4687049999999999E-3</v>
      </c>
      <c r="U2970">
        <v>9.0026859999999993E-3</v>
      </c>
      <c r="V2970">
        <v>6.2715069999999999E-3</v>
      </c>
      <c r="W2970">
        <v>4.0962510000000001E-2</v>
      </c>
      <c r="X2970">
        <v>0.99914099999999995</v>
      </c>
      <c r="Y2970">
        <v>-1.169248E-2</v>
      </c>
      <c r="Z2970" s="1">
        <v>1.6887660000000002E-5</v>
      </c>
      <c r="AA2970">
        <v>0.99993160000000003</v>
      </c>
      <c r="AB2970">
        <v>27</v>
      </c>
      <c r="AC2970">
        <v>-3.0021360000000001</v>
      </c>
      <c r="AD2970">
        <v>2.4687049999999999E-3</v>
      </c>
      <c r="AE2970">
        <v>9.0026859999999993E-3</v>
      </c>
      <c r="AF2970">
        <v>-3.51025845403398E-2</v>
      </c>
      <c r="AG2970">
        <v>2.4687049999999999E-3</v>
      </c>
      <c r="AH2970">
        <v>3.0019422430175702</v>
      </c>
      <c r="AI2970">
        <v>89.952884944203703</v>
      </c>
      <c r="AJ2970">
        <v>90.669945695708805</v>
      </c>
      <c r="AK2970">
        <v>3.0021484833963799</v>
      </c>
      <c r="AL2970">
        <v>87.652364215714897</v>
      </c>
      <c r="AM2970">
        <v>89.640364910206998</v>
      </c>
      <c r="AN2970">
        <v>0.99999999845327503</v>
      </c>
    </row>
    <row r="2971" spans="1:40" x14ac:dyDescent="0.25">
      <c r="A2971" t="str">
        <f>"20190312150720402"</f>
        <v>20190312150720402</v>
      </c>
      <c r="B2971" t="str">
        <f>"1552374440393341"</f>
        <v>1552374440393341</v>
      </c>
      <c r="C2971" t="s">
        <v>40</v>
      </c>
      <c r="D2971">
        <v>4.4996029999999996</v>
      </c>
      <c r="E2971">
        <v>0.49363649999999998</v>
      </c>
      <c r="F2971" t="s">
        <v>48</v>
      </c>
      <c r="G2971">
        <v>0</v>
      </c>
      <c r="H2971">
        <v>0</v>
      </c>
      <c r="I2971">
        <v>0</v>
      </c>
      <c r="J2971">
        <v>-232.35759999999999</v>
      </c>
      <c r="K2971">
        <v>1.108727</v>
      </c>
      <c r="L2971">
        <v>281.78739999999999</v>
      </c>
      <c r="M2971">
        <v>-0.99985900000000005</v>
      </c>
      <c r="N2971">
        <v>0</v>
      </c>
      <c r="O2971">
        <v>1.5508589999999999E-2</v>
      </c>
      <c r="P2971">
        <v>-0.99917109999999998</v>
      </c>
      <c r="Q2971">
        <v>3.436902E-2</v>
      </c>
      <c r="R2971">
        <v>2.1821529999999999E-2</v>
      </c>
      <c r="S2971">
        <v>-3.0021209999999998</v>
      </c>
      <c r="T2971">
        <v>2.9176470000000002E-3</v>
      </c>
      <c r="U2971">
        <v>1.062012E-2</v>
      </c>
      <c r="V2971">
        <v>6.392727E-3</v>
      </c>
      <c r="W2971">
        <v>4.0785269999999998E-2</v>
      </c>
      <c r="X2971">
        <v>0.99914749999999997</v>
      </c>
      <c r="Y2971">
        <v>-1.197171E-2</v>
      </c>
      <c r="Z2971" s="1">
        <v>2.0889329999999999E-5</v>
      </c>
      <c r="AA2971">
        <v>0.99992840000000005</v>
      </c>
      <c r="AB2971">
        <v>27</v>
      </c>
      <c r="AC2971">
        <v>-3.0021209999999998</v>
      </c>
      <c r="AD2971">
        <v>2.9176470000000002E-3</v>
      </c>
      <c r="AE2971">
        <v>1.062012E-2</v>
      </c>
      <c r="AF2971">
        <v>-3.5940752337841997E-2</v>
      </c>
      <c r="AG2971">
        <v>2.9176470000000002E-3</v>
      </c>
      <c r="AH2971">
        <v>3.0019218048788798</v>
      </c>
      <c r="AI2971">
        <v>89.944316728576695</v>
      </c>
      <c r="AJ2971">
        <v>90.685945594457905</v>
      </c>
      <c r="AK2971">
        <v>3.00213836672294</v>
      </c>
      <c r="AL2971">
        <v>87.662527854282899</v>
      </c>
      <c r="AM2971">
        <v>89.633416208566203</v>
      </c>
      <c r="AN2971">
        <v>1.0000000159818501</v>
      </c>
    </row>
    <row r="2972" spans="1:40" x14ac:dyDescent="0.25">
      <c r="A2972" t="str">
        <f>"20190312150720424"</f>
        <v>20190312150720424</v>
      </c>
      <c r="B2972" t="str">
        <f>"1552374440412861"</f>
        <v>1552374440412861</v>
      </c>
      <c r="C2972" t="s">
        <v>40</v>
      </c>
      <c r="D2972">
        <v>4.1131929999999999</v>
      </c>
      <c r="E2972">
        <v>0.49354609999999899</v>
      </c>
      <c r="F2972" t="s">
        <v>48</v>
      </c>
      <c r="G2972">
        <v>0</v>
      </c>
      <c r="H2972">
        <v>0</v>
      </c>
      <c r="I2972">
        <v>0</v>
      </c>
      <c r="J2972">
        <v>-232.63650000000001</v>
      </c>
      <c r="K2972">
        <v>1.108724</v>
      </c>
      <c r="L2972">
        <v>281.7928</v>
      </c>
      <c r="M2972">
        <v>-0.99984379999999995</v>
      </c>
      <c r="N2972">
        <v>0</v>
      </c>
      <c r="O2972">
        <v>1.6459479999999999E-2</v>
      </c>
      <c r="P2972">
        <v>-0.99916850000000001</v>
      </c>
      <c r="Q2972">
        <v>3.3706170000000001E-2</v>
      </c>
      <c r="R2972">
        <v>2.2946069999999999E-2</v>
      </c>
      <c r="S2972">
        <v>-3.0020449999999999</v>
      </c>
      <c r="T2972">
        <v>4.1768550000000002E-3</v>
      </c>
      <c r="U2972">
        <v>1.312256E-2</v>
      </c>
      <c r="V2972">
        <v>6.5660980000000002E-3</v>
      </c>
      <c r="W2972">
        <v>4.0151119999999998E-2</v>
      </c>
      <c r="X2972">
        <v>0.99917199999999995</v>
      </c>
      <c r="Y2972">
        <v>-1.208906E-2</v>
      </c>
      <c r="Z2972" s="1">
        <v>3.1309980000000002E-5</v>
      </c>
      <c r="AA2972">
        <v>0.99992689999999995</v>
      </c>
      <c r="AB2972">
        <v>27</v>
      </c>
      <c r="AC2972">
        <v>-3.0020449999999999</v>
      </c>
      <c r="AD2972">
        <v>4.1768550000000002E-3</v>
      </c>
      <c r="AE2972">
        <v>1.312256E-2</v>
      </c>
      <c r="AF2972">
        <v>-3.6292271494962697E-2</v>
      </c>
      <c r="AG2972">
        <v>4.1768550000000002E-3</v>
      </c>
      <c r="AH2972">
        <v>3.0018484909304801</v>
      </c>
      <c r="AI2972">
        <v>89.920282945242704</v>
      </c>
      <c r="AJ2972">
        <v>90.692670761868897</v>
      </c>
      <c r="AK2972">
        <v>3.0020707749134701</v>
      </c>
      <c r="AL2972">
        <v>87.698891622734706</v>
      </c>
      <c r="AM2972">
        <v>89.623483956861307</v>
      </c>
      <c r="AN2972">
        <v>0.999999955832099</v>
      </c>
    </row>
    <row r="2973" spans="1:40" x14ac:dyDescent="0.25">
      <c r="A2973" t="str">
        <f>"20190312150720446"</f>
        <v>20190312150720446</v>
      </c>
      <c r="B2973" t="str">
        <f>"1552374440433358"</f>
        <v>1552374440433358</v>
      </c>
      <c r="C2973" t="s">
        <v>40</v>
      </c>
      <c r="D2973">
        <v>4.1860039999999996</v>
      </c>
      <c r="E2973">
        <v>0.49342979999999997</v>
      </c>
      <c r="F2973" t="s">
        <v>48</v>
      </c>
      <c r="G2973">
        <v>0</v>
      </c>
      <c r="H2973">
        <v>0</v>
      </c>
      <c r="I2973">
        <v>0</v>
      </c>
      <c r="J2973">
        <v>-232.9042</v>
      </c>
      <c r="K2973">
        <v>1.1087180000000001</v>
      </c>
      <c r="L2973">
        <v>281.79820000000001</v>
      </c>
      <c r="M2973">
        <v>-0.99982789999999999</v>
      </c>
      <c r="N2973">
        <v>0</v>
      </c>
      <c r="O2973">
        <v>1.7373220000000002E-2</v>
      </c>
      <c r="P2973">
        <v>-0.9991681</v>
      </c>
      <c r="Q2973">
        <v>3.3308289999999997E-2</v>
      </c>
      <c r="R2973">
        <v>2.352595E-2</v>
      </c>
      <c r="S2973">
        <v>-3.002014</v>
      </c>
      <c r="T2973">
        <v>3.2831430000000001E-3</v>
      </c>
      <c r="U2973">
        <v>1.586914E-2</v>
      </c>
      <c r="V2973">
        <v>6.2321649999999996E-3</v>
      </c>
      <c r="W2973">
        <v>3.978139E-2</v>
      </c>
      <c r="X2973">
        <v>0.99918899999999999</v>
      </c>
      <c r="Y2973">
        <v>-1.208804E-2</v>
      </c>
      <c r="Z2973" s="1">
        <v>2.5609480000000001E-5</v>
      </c>
      <c r="AA2973">
        <v>0.99992689999999995</v>
      </c>
      <c r="AB2973">
        <v>28</v>
      </c>
      <c r="AC2973">
        <v>-3.002014</v>
      </c>
      <c r="AD2973">
        <v>3.2831430000000001E-3</v>
      </c>
      <c r="AE2973">
        <v>1.586914E-2</v>
      </c>
      <c r="AF2973">
        <v>-3.6288965617023702E-2</v>
      </c>
      <c r="AG2973">
        <v>3.2831430000000001E-3</v>
      </c>
      <c r="AH2973">
        <v>3.0018330131367299</v>
      </c>
      <c r="AI2973">
        <v>89.937339479679807</v>
      </c>
      <c r="AJ2973">
        <v>90.692611243167306</v>
      </c>
      <c r="AK2973">
        <v>3.0020541478812501</v>
      </c>
      <c r="AL2973">
        <v>87.720092696539496</v>
      </c>
      <c r="AM2973">
        <v>89.642638058074795</v>
      </c>
      <c r="AN2973">
        <v>1.00000002829595</v>
      </c>
    </row>
    <row r="2974" spans="1:40" x14ac:dyDescent="0.25">
      <c r="A2974" t="str">
        <f>"20190312150720458"</f>
        <v>20190312150720458</v>
      </c>
      <c r="B2974" t="str">
        <f>"1552374440452878"</f>
        <v>1552374440452878</v>
      </c>
      <c r="C2974" t="s">
        <v>40</v>
      </c>
      <c r="D2974">
        <v>4.3939279999999998</v>
      </c>
      <c r="E2974">
        <v>0.4932531</v>
      </c>
      <c r="F2974" t="s">
        <v>48</v>
      </c>
      <c r="G2974">
        <v>0</v>
      </c>
      <c r="H2974">
        <v>0</v>
      </c>
      <c r="I2974">
        <v>0</v>
      </c>
      <c r="J2974">
        <v>-233.07130000000001</v>
      </c>
      <c r="K2974">
        <v>1.108716</v>
      </c>
      <c r="L2974">
        <v>281.80160000000001</v>
      </c>
      <c r="M2974">
        <v>-0.99981779999999998</v>
      </c>
      <c r="N2974">
        <v>0</v>
      </c>
      <c r="O2974">
        <v>1.7941809999999999E-2</v>
      </c>
      <c r="P2974">
        <v>-0.99916020000000005</v>
      </c>
      <c r="Q2974">
        <v>3.3209710000000003E-2</v>
      </c>
      <c r="R2974">
        <v>2.400644E-2</v>
      </c>
      <c r="S2974">
        <v>-3.0019840000000002</v>
      </c>
      <c r="T2974">
        <v>3.3986569999999998E-3</v>
      </c>
      <c r="U2974">
        <v>1.663208E-2</v>
      </c>
      <c r="V2974">
        <v>6.1445340000000001E-3</v>
      </c>
      <c r="W2974">
        <v>3.969992E-2</v>
      </c>
      <c r="X2974">
        <v>0.99919279999999999</v>
      </c>
      <c r="Y2974">
        <v>-1.240251E-2</v>
      </c>
      <c r="Z2974" s="1">
        <v>2.733241E-5</v>
      </c>
      <c r="AA2974">
        <v>0.99992309999999995</v>
      </c>
      <c r="AB2974">
        <v>28</v>
      </c>
      <c r="AC2974">
        <v>-3.0019840000000002</v>
      </c>
      <c r="AD2974">
        <v>3.3986569999999998E-3</v>
      </c>
      <c r="AE2974">
        <v>1.663208E-2</v>
      </c>
      <c r="AF2974">
        <v>-3.7232719622629702E-2</v>
      </c>
      <c r="AG2974">
        <v>3.3986569999999998E-3</v>
      </c>
      <c r="AH2974">
        <v>3.0017953270061901</v>
      </c>
      <c r="AI2974">
        <v>89.935134271232499</v>
      </c>
      <c r="AJ2974">
        <v>90.710630830169606</v>
      </c>
      <c r="AK2974">
        <v>3.0020281496874901</v>
      </c>
      <c r="AL2974">
        <v>87.724764312595298</v>
      </c>
      <c r="AM2974">
        <v>89.6476641669598</v>
      </c>
      <c r="AN2974">
        <v>1.0000000452589599</v>
      </c>
    </row>
    <row r="2975" spans="1:40" x14ac:dyDescent="0.25">
      <c r="A2975" t="str">
        <f>"20190312150720479"</f>
        <v>20190312150720479</v>
      </c>
      <c r="B2975" t="str">
        <f>"1552374440473373"</f>
        <v>1552374440473373</v>
      </c>
      <c r="C2975" t="s">
        <v>40</v>
      </c>
      <c r="D2975">
        <v>4.2578129999999996</v>
      </c>
      <c r="E2975">
        <v>0.48021390000000003</v>
      </c>
      <c r="F2975" t="s">
        <v>48</v>
      </c>
      <c r="G2975">
        <v>0</v>
      </c>
      <c r="H2975">
        <v>0</v>
      </c>
      <c r="I2975">
        <v>0</v>
      </c>
      <c r="J2975">
        <v>-233.3176</v>
      </c>
      <c r="K2975">
        <v>1.108717</v>
      </c>
      <c r="L2975">
        <v>281.80689999999998</v>
      </c>
      <c r="M2975">
        <v>-0.99980250000000004</v>
      </c>
      <c r="N2975">
        <v>0</v>
      </c>
      <c r="O2975">
        <v>1.877759E-2</v>
      </c>
      <c r="P2975">
        <v>-0.99914429999999999</v>
      </c>
      <c r="Q2975">
        <v>3.2997760000000001E-2</v>
      </c>
      <c r="R2975">
        <v>2.4946409999999999E-2</v>
      </c>
      <c r="S2975">
        <v>-3.0019840000000002</v>
      </c>
      <c r="T2975">
        <v>3.9632319999999997E-3</v>
      </c>
      <c r="U2975">
        <v>1.672363E-2</v>
      </c>
      <c r="V2975">
        <v>6.2489429999999999E-3</v>
      </c>
      <c r="W2975">
        <v>3.9513140000000002E-2</v>
      </c>
      <c r="X2975">
        <v>0.99919950000000002</v>
      </c>
      <c r="Y2975">
        <v>-1.320788E-2</v>
      </c>
      <c r="Z2975" s="1">
        <v>3.350764E-5</v>
      </c>
      <c r="AA2975">
        <v>0.99991280000000005</v>
      </c>
      <c r="AB2975">
        <v>28</v>
      </c>
      <c r="AC2975">
        <v>-3.0019840000000002</v>
      </c>
      <c r="AD2975">
        <v>3.9632319999999997E-3</v>
      </c>
      <c r="AE2975">
        <v>1.672363E-2</v>
      </c>
      <c r="AF2975">
        <v>-3.9650468418160299E-2</v>
      </c>
      <c r="AG2975">
        <v>3.9632319999999997E-3</v>
      </c>
      <c r="AH2975">
        <v>3.0017634886974198</v>
      </c>
      <c r="AI2975">
        <v>89.924358954892796</v>
      </c>
      <c r="AJ2975">
        <v>90.756779270220605</v>
      </c>
      <c r="AK2975">
        <v>3.0020279660473799</v>
      </c>
      <c r="AL2975">
        <v>87.735474294370107</v>
      </c>
      <c r="AM2975">
        <v>89.641679772077595</v>
      </c>
      <c r="AN2975">
        <v>0.99999998916076305</v>
      </c>
    </row>
    <row r="2976" spans="1:40" x14ac:dyDescent="0.25">
      <c r="A2976" t="str">
        <f>"20190312150720491"</f>
        <v>20190312150720491</v>
      </c>
      <c r="B2976" t="str">
        <f>"1552374440483134"</f>
        <v>1552374440483134</v>
      </c>
      <c r="C2976" t="s">
        <v>40</v>
      </c>
      <c r="D2976">
        <v>4.1300610000000004</v>
      </c>
      <c r="E2976">
        <v>0.47796939999999999</v>
      </c>
      <c r="F2976" t="s">
        <v>69</v>
      </c>
      <c r="G2976">
        <v>-512.82600000000002</v>
      </c>
      <c r="H2976">
        <v>2.6142629999999998</v>
      </c>
      <c r="I2976">
        <v>273.97019999999998</v>
      </c>
      <c r="J2976">
        <v>-233.47730000000001</v>
      </c>
      <c r="K2976">
        <v>1.108716</v>
      </c>
      <c r="L2976">
        <v>281.81040000000002</v>
      </c>
      <c r="M2976">
        <v>-0.99979200000000001</v>
      </c>
      <c r="N2976">
        <v>0</v>
      </c>
      <c r="O2976">
        <v>1.9315539999999999E-2</v>
      </c>
      <c r="P2976">
        <v>-0.99913589999999997</v>
      </c>
      <c r="Q2976">
        <v>3.2926110000000001E-2</v>
      </c>
      <c r="R2976">
        <v>2.5368849999999998E-2</v>
      </c>
      <c r="S2976">
        <v>-3.0041500000000001</v>
      </c>
      <c r="T2976">
        <v>1.6182419999999999E-2</v>
      </c>
      <c r="U2976">
        <v>-8.4228520000000001E-2</v>
      </c>
      <c r="V2976">
        <v>6.1337369999999898E-3</v>
      </c>
      <c r="W2976">
        <v>3.9457869999999999E-2</v>
      </c>
      <c r="X2976">
        <v>0.99920240000000005</v>
      </c>
      <c r="Y2976">
        <v>-4.7328549999999997E-2</v>
      </c>
      <c r="Z2976">
        <v>2.314761E-4</v>
      </c>
      <c r="AA2976">
        <v>0.99887939999999997</v>
      </c>
      <c r="AB2976">
        <v>28</v>
      </c>
      <c r="AC2976">
        <v>-279.34870000000001</v>
      </c>
      <c r="AD2976">
        <v>1.505547</v>
      </c>
      <c r="AE2976">
        <v>-7.8402000000000296</v>
      </c>
      <c r="AF2976">
        <v>-13.2342397851087</v>
      </c>
      <c r="AG2976">
        <v>1.505547</v>
      </c>
      <c r="AH2976">
        <v>279.13703924570098</v>
      </c>
      <c r="AI2976">
        <v>89.691320549223093</v>
      </c>
      <c r="AJ2976">
        <v>92.714432671751894</v>
      </c>
      <c r="AK2976">
        <v>279.45464471594499</v>
      </c>
      <c r="AL2976">
        <v>87.738643508281697</v>
      </c>
      <c r="AM2976">
        <v>89.648286644966703</v>
      </c>
      <c r="AN2976">
        <v>0.99999999120014005</v>
      </c>
    </row>
    <row r="2977" spans="1:40" x14ac:dyDescent="0.25">
      <c r="A2977" t="str">
        <f>"20190312150720503"</f>
        <v>20190312150720503</v>
      </c>
      <c r="B2977" t="str">
        <f>"1552374440492894"</f>
        <v>1552374440492894</v>
      </c>
      <c r="C2977" t="s">
        <v>40</v>
      </c>
      <c r="D2977">
        <v>4.1387499999999999</v>
      </c>
      <c r="E2977">
        <v>0.47671520000000001</v>
      </c>
      <c r="F2977" t="s">
        <v>69</v>
      </c>
      <c r="G2977">
        <v>-512.82640000000004</v>
      </c>
      <c r="H2977">
        <v>3.5809039999999999</v>
      </c>
      <c r="I2977">
        <v>272.44900000000001</v>
      </c>
      <c r="J2977">
        <v>-233.62729999999999</v>
      </c>
      <c r="K2977">
        <v>1.108716</v>
      </c>
      <c r="L2977">
        <v>281.81380000000001</v>
      </c>
      <c r="M2977">
        <v>-0.99978219999999995</v>
      </c>
      <c r="N2977">
        <v>0</v>
      </c>
      <c r="O2977">
        <v>1.981813E-2</v>
      </c>
      <c r="P2977">
        <v>-0.99912599999999996</v>
      </c>
      <c r="Q2977">
        <v>3.2842199999999898E-2</v>
      </c>
      <c r="R2977">
        <v>2.5862619999999999E-2</v>
      </c>
      <c r="S2977">
        <v>-3.0042719999999998</v>
      </c>
      <c r="T2977">
        <v>2.658808E-2</v>
      </c>
      <c r="U2977">
        <v>-0.1006775</v>
      </c>
      <c r="V2977">
        <v>6.1248980000000001E-3</v>
      </c>
      <c r="W2977">
        <v>3.9389260000000002E-2</v>
      </c>
      <c r="X2977">
        <v>0.99920520000000002</v>
      </c>
      <c r="Y2977">
        <v>-5.3290650000000002E-2</v>
      </c>
      <c r="Z2977">
        <v>4.1109209999999998E-4</v>
      </c>
      <c r="AA2977">
        <v>0.99857899999999999</v>
      </c>
      <c r="AB2977">
        <v>28</v>
      </c>
      <c r="AC2977">
        <v>-279.19909999999999</v>
      </c>
      <c r="AD2977">
        <v>2.4721880000000001</v>
      </c>
      <c r="AE2977">
        <v>-9.3648000000000007</v>
      </c>
      <c r="AF2977">
        <v>-14.8951166319787</v>
      </c>
      <c r="AG2977">
        <v>2.4721880000000001</v>
      </c>
      <c r="AH2977">
        <v>278.93682157278403</v>
      </c>
      <c r="AI2977">
        <v>89.4929291771262</v>
      </c>
      <c r="AJ2977">
        <v>93.056668928887902</v>
      </c>
      <c r="AK2977">
        <v>279.34517472495298</v>
      </c>
      <c r="AL2977">
        <v>87.742577717683005</v>
      </c>
      <c r="AM2977">
        <v>89.6487944516836</v>
      </c>
      <c r="AN2977">
        <v>1.0000000299429399</v>
      </c>
    </row>
    <row r="2978" spans="1:40" x14ac:dyDescent="0.25">
      <c r="A2978" t="str">
        <f>"20190312150720514"</f>
        <v>20190312150720514</v>
      </c>
      <c r="B2978" t="str">
        <f>"1552374440503161"</f>
        <v>1552374440503161</v>
      </c>
      <c r="C2978" t="s">
        <v>40</v>
      </c>
      <c r="D2978">
        <v>4.111618</v>
      </c>
      <c r="E2978">
        <v>0.4763289</v>
      </c>
      <c r="F2978" t="s">
        <v>69</v>
      </c>
      <c r="G2978">
        <v>-512.82650000000001</v>
      </c>
      <c r="H2978">
        <v>3.9431180000000001</v>
      </c>
      <c r="I2978">
        <v>271.6696</v>
      </c>
      <c r="J2978">
        <v>-233.7704</v>
      </c>
      <c r="K2978">
        <v>1.108719</v>
      </c>
      <c r="L2978">
        <v>281.81709999999998</v>
      </c>
      <c r="M2978">
        <v>-0.99977260000000001</v>
      </c>
      <c r="N2978">
        <v>0</v>
      </c>
      <c r="O2978">
        <v>2.0288649999999998E-2</v>
      </c>
      <c r="P2978">
        <v>-0.99912199999999995</v>
      </c>
      <c r="Q2978">
        <v>3.2760119999999997E-2</v>
      </c>
      <c r="R2978">
        <v>2.6117499999999998E-2</v>
      </c>
      <c r="S2978">
        <v>-3.0044400000000002</v>
      </c>
      <c r="T2978">
        <v>3.05016E-2</v>
      </c>
      <c r="U2978">
        <v>-0.10916140000000001</v>
      </c>
      <c r="V2978">
        <v>5.9088709999999996E-3</v>
      </c>
      <c r="W2978">
        <v>3.9322080000000002E-2</v>
      </c>
      <c r="X2978">
        <v>0.99920909999999996</v>
      </c>
      <c r="Y2978">
        <v>-5.657367E-2</v>
      </c>
      <c r="Z2978">
        <v>4.9298419999999998E-4</v>
      </c>
      <c r="AA2978">
        <v>0.99839829999999996</v>
      </c>
      <c r="AB2978">
        <v>28</v>
      </c>
      <c r="AC2978">
        <v>-279.05610000000001</v>
      </c>
      <c r="AD2978">
        <v>2.8343989999999999</v>
      </c>
      <c r="AE2978">
        <v>-10.1474999999999</v>
      </c>
      <c r="AF2978">
        <v>-15.8055763470937</v>
      </c>
      <c r="AG2978">
        <v>2.8343989999999999</v>
      </c>
      <c r="AH2978">
        <v>278.76405311168202</v>
      </c>
      <c r="AI2978">
        <v>89.418385833375396</v>
      </c>
      <c r="AJ2978">
        <v>93.2451252478794</v>
      </c>
      <c r="AK2978">
        <v>279.22615810236698</v>
      </c>
      <c r="AL2978">
        <v>87.746429726845605</v>
      </c>
      <c r="AM2978">
        <v>89.661182605662205</v>
      </c>
      <c r="AN2978">
        <v>0.999999983127415</v>
      </c>
    </row>
    <row r="2979" spans="1:40" x14ac:dyDescent="0.25">
      <c r="A2979" t="str">
        <f>"20190312150720527"</f>
        <v>20190312150720527</v>
      </c>
      <c r="B2979" t="str">
        <f>"1552374440523657"</f>
        <v>1552374440523657</v>
      </c>
      <c r="C2979" t="s">
        <v>40</v>
      </c>
      <c r="D2979">
        <v>4.1125819999999997</v>
      </c>
      <c r="E2979">
        <v>0.47540860000000001</v>
      </c>
      <c r="F2979" t="s">
        <v>69</v>
      </c>
      <c r="G2979">
        <v>-512.82640000000004</v>
      </c>
      <c r="H2979">
        <v>3.62256</v>
      </c>
      <c r="I2979">
        <v>271.45499999999998</v>
      </c>
      <c r="J2979">
        <v>-233.91900000000001</v>
      </c>
      <c r="K2979">
        <v>1.108725</v>
      </c>
      <c r="L2979">
        <v>281.82060000000001</v>
      </c>
      <c r="M2979">
        <v>-0.9997625</v>
      </c>
      <c r="N2979">
        <v>0</v>
      </c>
      <c r="O2979">
        <v>2.0773099999999999E-2</v>
      </c>
      <c r="P2979">
        <v>-0.99911229999999995</v>
      </c>
      <c r="Q2979">
        <v>3.2781560000000001E-2</v>
      </c>
      <c r="R2979">
        <v>2.6462900000000001E-2</v>
      </c>
      <c r="S2979">
        <v>-3.0046689999999998</v>
      </c>
      <c r="T2979">
        <v>2.7068020000000002E-2</v>
      </c>
      <c r="U2979">
        <v>-0.1115723</v>
      </c>
      <c r="V2979">
        <v>5.7696910000000004E-3</v>
      </c>
      <c r="W2979">
        <v>3.935876E-2</v>
      </c>
      <c r="X2979">
        <v>0.99920850000000005</v>
      </c>
      <c r="Y2979">
        <v>-5.7855440000000001E-2</v>
      </c>
      <c r="Z2979">
        <v>4.4758599999999998E-4</v>
      </c>
      <c r="AA2979">
        <v>0.99832489999999996</v>
      </c>
      <c r="AB2979">
        <v>28</v>
      </c>
      <c r="AC2979">
        <v>-278.9074</v>
      </c>
      <c r="AD2979">
        <v>2.5138349999999998</v>
      </c>
      <c r="AE2979">
        <v>-10.365600000000001</v>
      </c>
      <c r="AF2979">
        <v>-16.155949624991599</v>
      </c>
      <c r="AG2979">
        <v>2.5138349999999998</v>
      </c>
      <c r="AH2979">
        <v>278.60928113547698</v>
      </c>
      <c r="AI2979">
        <v>89.483912757372295</v>
      </c>
      <c r="AJ2979">
        <v>93.318741806717199</v>
      </c>
      <c r="AK2979">
        <v>279.08863396691601</v>
      </c>
      <c r="AL2979">
        <v>87.744326558873297</v>
      </c>
      <c r="AM2979">
        <v>89.669162873010606</v>
      </c>
      <c r="AN2979">
        <v>1.00000001389761</v>
      </c>
    </row>
    <row r="2980" spans="1:40" x14ac:dyDescent="0.25">
      <c r="A2980" t="str">
        <f>"20190312150720546"</f>
        <v>20190312150720546</v>
      </c>
      <c r="B2980" t="str">
        <f>"1552374440543177"</f>
        <v>1552374440543177</v>
      </c>
      <c r="C2980" t="s">
        <v>40</v>
      </c>
      <c r="D2980">
        <v>4.1474589999999996</v>
      </c>
      <c r="E2980">
        <v>0.47520960000000001</v>
      </c>
      <c r="F2980" t="s">
        <v>46</v>
      </c>
      <c r="G2980">
        <v>-355.43090000000001</v>
      </c>
      <c r="H2980">
        <v>2.268008</v>
      </c>
      <c r="I2980">
        <v>277.05329999999998</v>
      </c>
      <c r="J2980">
        <v>-234.15860000000001</v>
      </c>
      <c r="K2980">
        <v>1.1087359999999999</v>
      </c>
      <c r="L2980">
        <v>281.82639999999998</v>
      </c>
      <c r="M2980">
        <v>-0.99974629999999998</v>
      </c>
      <c r="N2980">
        <v>0</v>
      </c>
      <c r="O2980">
        <v>2.1531890000000001E-2</v>
      </c>
      <c r="P2980">
        <v>-0.99908699999999995</v>
      </c>
      <c r="Q2980">
        <v>3.2893060000000002E-2</v>
      </c>
      <c r="R2980">
        <v>2.726721E-2</v>
      </c>
      <c r="S2980">
        <v>-3.0048520000000001</v>
      </c>
      <c r="T2980">
        <v>2.8669360000000001E-2</v>
      </c>
      <c r="U2980">
        <v>-0.11788940000000001</v>
      </c>
      <c r="V2980">
        <v>5.814746E-3</v>
      </c>
      <c r="W2980">
        <v>3.9494080000000001E-2</v>
      </c>
      <c r="X2980">
        <v>0.9992029</v>
      </c>
      <c r="Y2980">
        <v>-6.0705839999999997E-2</v>
      </c>
      <c r="Z2980">
        <v>4.9484669999999998E-4</v>
      </c>
      <c r="AA2980">
        <v>0.99815560000000003</v>
      </c>
      <c r="AB2980">
        <v>28</v>
      </c>
      <c r="AC2980">
        <v>-121.2723</v>
      </c>
      <c r="AD2980">
        <v>1.1592720000000001</v>
      </c>
      <c r="AE2980">
        <v>-4.7731000000000003</v>
      </c>
      <c r="AF2980">
        <v>-7.3825986910107098</v>
      </c>
      <c r="AG2980">
        <v>1.1592720000000001</v>
      </c>
      <c r="AH2980">
        <v>121.130355452833</v>
      </c>
      <c r="AI2980">
        <v>89.452685876044399</v>
      </c>
      <c r="AJ2980">
        <v>93.487723292086997</v>
      </c>
      <c r="AK2980">
        <v>121.360659552971</v>
      </c>
      <c r="AL2980">
        <v>87.736567262412606</v>
      </c>
      <c r="AM2980">
        <v>89.666577585028094</v>
      </c>
      <c r="AN2980">
        <v>1.0000000144972501</v>
      </c>
    </row>
    <row r="2981" spans="1:40" x14ac:dyDescent="0.25">
      <c r="A2981" t="str">
        <f>"20190312150720558"</f>
        <v>20190312150720558</v>
      </c>
      <c r="B2981" t="str">
        <f>"1552374440552937"</f>
        <v>1552374440552937</v>
      </c>
      <c r="C2981" t="s">
        <v>40</v>
      </c>
      <c r="D2981">
        <v>4.1343639999999997</v>
      </c>
      <c r="E2981">
        <v>0.47509869999999998</v>
      </c>
      <c r="F2981" t="s">
        <v>69</v>
      </c>
      <c r="G2981">
        <v>-512.82650000000001</v>
      </c>
      <c r="H2981">
        <v>4.0839869999999996</v>
      </c>
      <c r="I2981">
        <v>270.98689999999999</v>
      </c>
      <c r="J2981">
        <v>-234.32040000000001</v>
      </c>
      <c r="K2981">
        <v>1.1087499999999999</v>
      </c>
      <c r="L2981">
        <v>281.8304</v>
      </c>
      <c r="M2981">
        <v>-0.99973540000000005</v>
      </c>
      <c r="N2981">
        <v>0</v>
      </c>
      <c r="O2981">
        <v>2.2026960000000002E-2</v>
      </c>
      <c r="P2981">
        <v>-0.99907060000000003</v>
      </c>
      <c r="Q2981">
        <v>3.3266980000000002E-2</v>
      </c>
      <c r="R2981">
        <v>2.7412579999999999E-2</v>
      </c>
      <c r="S2981">
        <v>-3.004883</v>
      </c>
      <c r="T2981">
        <v>3.2083029999999998E-2</v>
      </c>
      <c r="U2981">
        <v>-0.11688229999999999</v>
      </c>
      <c r="V2981">
        <v>5.4647150000000002E-3</v>
      </c>
      <c r="W2981">
        <v>3.9884780000000002E-2</v>
      </c>
      <c r="X2981">
        <v>0.99918929999999995</v>
      </c>
      <c r="Y2981">
        <v>-6.0864719999999997E-2</v>
      </c>
      <c r="Z2981">
        <v>5.5989479999999996E-4</v>
      </c>
      <c r="AA2981">
        <v>0.99814590000000003</v>
      </c>
      <c r="AB2981">
        <v>28</v>
      </c>
      <c r="AC2981">
        <v>-278.5061</v>
      </c>
      <c r="AD2981">
        <v>2.9752369999999999</v>
      </c>
      <c r="AE2981">
        <v>-10.843500000000001</v>
      </c>
      <c r="AF2981">
        <v>-16.973712357692701</v>
      </c>
      <c r="AG2981">
        <v>2.9752369999999999</v>
      </c>
      <c r="AH2981">
        <v>278.16797312678699</v>
      </c>
      <c r="AI2981">
        <v>89.388335113866901</v>
      </c>
      <c r="AJ2981">
        <v>93.491838871396396</v>
      </c>
      <c r="AK2981">
        <v>278.70123828191498</v>
      </c>
      <c r="AL2981">
        <v>87.714164020133694</v>
      </c>
      <c r="AM2981">
        <v>89.686643978299102</v>
      </c>
      <c r="AN2981">
        <v>0.99999995801008301</v>
      </c>
    </row>
    <row r="2982" spans="1:40" x14ac:dyDescent="0.25">
      <c r="A2982" t="str">
        <f>"20190312150720580"</f>
        <v>20190312150720580</v>
      </c>
      <c r="B2982" t="str">
        <f>"1552374440573433"</f>
        <v>1552374440573433</v>
      </c>
      <c r="C2982" t="s">
        <v>40</v>
      </c>
      <c r="D2982">
        <v>4.3826320000000001</v>
      </c>
      <c r="E2982">
        <v>0.47486859999999997</v>
      </c>
      <c r="F2982" t="s">
        <v>69</v>
      </c>
      <c r="G2982">
        <v>-512.82650000000001</v>
      </c>
      <c r="H2982">
        <v>4.0015130000000001</v>
      </c>
      <c r="I2982">
        <v>270.95229999999998</v>
      </c>
      <c r="J2982">
        <v>-234.58670000000001</v>
      </c>
      <c r="K2982">
        <v>1.108778</v>
      </c>
      <c r="L2982">
        <v>281.83699999999999</v>
      </c>
      <c r="M2982">
        <v>-0.99971750000000004</v>
      </c>
      <c r="N2982">
        <v>0</v>
      </c>
      <c r="O2982">
        <v>2.281948E-2</v>
      </c>
      <c r="P2982">
        <v>-0.99904170000000003</v>
      </c>
      <c r="Q2982">
        <v>3.3343600000000001E-2</v>
      </c>
      <c r="R2982">
        <v>2.8357199999999999E-2</v>
      </c>
      <c r="S2982">
        <v>-3.0049899999999998</v>
      </c>
      <c r="T2982">
        <v>3.1212810000000001E-2</v>
      </c>
      <c r="U2982">
        <v>-0.11737060000000001</v>
      </c>
      <c r="V2982">
        <v>5.6154050000000004E-3</v>
      </c>
      <c r="W2982">
        <v>3.9988170000000003E-2</v>
      </c>
      <c r="X2982">
        <v>0.99918439999999997</v>
      </c>
      <c r="Y2982">
        <v>-6.1816690000000001E-2</v>
      </c>
      <c r="Z2982">
        <v>5.5785909999999999E-4</v>
      </c>
      <c r="AA2982">
        <v>0.99808730000000001</v>
      </c>
      <c r="AB2982">
        <v>28</v>
      </c>
      <c r="AC2982">
        <v>-278.2398</v>
      </c>
      <c r="AD2982">
        <v>2.8927350000000001</v>
      </c>
      <c r="AE2982">
        <v>-10.8847</v>
      </c>
      <c r="AF2982">
        <v>-17.229433911288499</v>
      </c>
      <c r="AG2982">
        <v>2.8927350000000001</v>
      </c>
      <c r="AH2982">
        <v>277.88896430508402</v>
      </c>
      <c r="AI2982">
        <v>89.404733815779906</v>
      </c>
      <c r="AJ2982">
        <v>93.547862410102397</v>
      </c>
      <c r="AK2982">
        <v>278.43760125248099</v>
      </c>
      <c r="AL2982">
        <v>87.708235635146593</v>
      </c>
      <c r="AM2982">
        <v>89.678001758711005</v>
      </c>
      <c r="AN2982">
        <v>1.0000000258583099</v>
      </c>
    </row>
    <row r="2983" spans="1:40" x14ac:dyDescent="0.25">
      <c r="A2983" t="str">
        <f>"20190312150720604"</f>
        <v>20190312150720604</v>
      </c>
      <c r="B2983" t="str">
        <f>"1552374440592954"</f>
        <v>1552374440592954</v>
      </c>
      <c r="C2983" t="s">
        <v>40</v>
      </c>
      <c r="D2983">
        <v>4.1590369999999997</v>
      </c>
      <c r="E2983">
        <v>0.4748465</v>
      </c>
      <c r="F2983" t="s">
        <v>69</v>
      </c>
      <c r="G2983">
        <v>-512.82669999999996</v>
      </c>
      <c r="H2983">
        <v>4.6101130000000001</v>
      </c>
      <c r="I2983">
        <v>271.05669999999998</v>
      </c>
      <c r="J2983">
        <v>-234.8931</v>
      </c>
      <c r="K2983">
        <v>1.1088129999999901</v>
      </c>
      <c r="L2983">
        <v>281.8449</v>
      </c>
      <c r="M2983">
        <v>-0.99969719999999995</v>
      </c>
      <c r="N2983">
        <v>0</v>
      </c>
      <c r="O2983">
        <v>2.368077E-2</v>
      </c>
      <c r="P2983">
        <v>-0.99901819999999997</v>
      </c>
      <c r="Q2983">
        <v>3.3766959999999999E-2</v>
      </c>
      <c r="R2983">
        <v>2.867857E-2</v>
      </c>
      <c r="S2983">
        <v>-3.0049130000000002</v>
      </c>
      <c r="T2983">
        <v>3.7814260000000002E-2</v>
      </c>
      <c r="U2983">
        <v>-0.1164246</v>
      </c>
      <c r="V2983">
        <v>5.0737029999999997E-3</v>
      </c>
      <c r="W2983">
        <v>4.0445090000000003E-2</v>
      </c>
      <c r="X2983">
        <v>0.99916890000000003</v>
      </c>
      <c r="Y2983">
        <v>-6.2361560000000003E-2</v>
      </c>
      <c r="Z2983">
        <v>6.9011929999999902E-4</v>
      </c>
      <c r="AA2983">
        <v>0.99805339999999998</v>
      </c>
      <c r="AB2983">
        <v>28</v>
      </c>
      <c r="AC2983">
        <v>-277.93360000000001</v>
      </c>
      <c r="AD2983">
        <v>3.5013000000000001</v>
      </c>
      <c r="AE2983">
        <v>-10.7882</v>
      </c>
      <c r="AF2983">
        <v>-17.3642518438044</v>
      </c>
      <c r="AG2983">
        <v>3.5013000000000001</v>
      </c>
      <c r="AH2983">
        <v>277.55619547988198</v>
      </c>
      <c r="AI2983">
        <v>89.278676883894093</v>
      </c>
      <c r="AJ2983">
        <v>93.579827874771894</v>
      </c>
      <c r="AK2983">
        <v>278.120869395037</v>
      </c>
      <c r="AL2983">
        <v>87.682034835836404</v>
      </c>
      <c r="AM2983">
        <v>89.709058929045597</v>
      </c>
      <c r="AN2983">
        <v>1.00000001924722</v>
      </c>
    </row>
    <row r="2984" spans="1:40" x14ac:dyDescent="0.25">
      <c r="A2984" t="str">
        <f>"20190312150720624"</f>
        <v>20190312150720624</v>
      </c>
      <c r="B2984" t="str">
        <f>"1552374440613449"</f>
        <v>1552374440613449</v>
      </c>
      <c r="C2984" t="s">
        <v>40</v>
      </c>
      <c r="D2984">
        <v>4.4107050000000001</v>
      </c>
      <c r="E2984">
        <v>0.4746803</v>
      </c>
      <c r="F2984" t="s">
        <v>69</v>
      </c>
      <c r="G2984">
        <v>-512.82680000000005</v>
      </c>
      <c r="H2984">
        <v>4.8988969999999998</v>
      </c>
      <c r="I2984">
        <v>271.16669999999999</v>
      </c>
      <c r="J2984">
        <v>-235.15539999999999</v>
      </c>
      <c r="K2984">
        <v>1.1088549999999999</v>
      </c>
      <c r="L2984">
        <v>281.8519</v>
      </c>
      <c r="M2984">
        <v>-0.99968060000000003</v>
      </c>
      <c r="N2984">
        <v>0</v>
      </c>
      <c r="O2984">
        <v>2.4360960000000001E-2</v>
      </c>
      <c r="P2984">
        <v>-0.99899689999999997</v>
      </c>
      <c r="Q2984">
        <v>3.4135400000000003E-2</v>
      </c>
      <c r="R2984">
        <v>2.8987949999999998E-2</v>
      </c>
      <c r="S2984">
        <v>-3.004883</v>
      </c>
      <c r="T2984">
        <v>4.0977359999999997E-2</v>
      </c>
      <c r="U2984">
        <v>-0.115448</v>
      </c>
      <c r="V2984">
        <v>4.7007510000000004E-3</v>
      </c>
      <c r="W2984">
        <v>4.0846250000000001E-2</v>
      </c>
      <c r="X2984">
        <v>0.9991544</v>
      </c>
      <c r="Y2984">
        <v>-6.2715889999999996E-2</v>
      </c>
      <c r="Z2984">
        <v>7.5954080000000001E-4</v>
      </c>
      <c r="AA2984">
        <v>0.99803109999999995</v>
      </c>
      <c r="AB2984">
        <v>28</v>
      </c>
      <c r="AC2984">
        <v>-277.67140000000001</v>
      </c>
      <c r="AD2984">
        <v>3.7900420000000001</v>
      </c>
      <c r="AE2984">
        <v>-10.6852</v>
      </c>
      <c r="AF2984">
        <v>-17.443278700502301</v>
      </c>
      <c r="AG2984">
        <v>3.7900420000000001</v>
      </c>
      <c r="AH2984">
        <v>277.27710162057298</v>
      </c>
      <c r="AI2984">
        <v>89.218429727576293</v>
      </c>
      <c r="AJ2984">
        <v>93.599687584916694</v>
      </c>
      <c r="AK2984">
        <v>277.85108146863598</v>
      </c>
      <c r="AL2984">
        <v>87.659031039412298</v>
      </c>
      <c r="AM2984">
        <v>89.730440855101904</v>
      </c>
      <c r="AN2984">
        <v>1.00000001411919</v>
      </c>
    </row>
    <row r="2985" spans="1:40" x14ac:dyDescent="0.25">
      <c r="A2985" t="str">
        <f>"20190312150720637"</f>
        <v>20190312150720637</v>
      </c>
      <c r="B2985" t="str">
        <f>"1552374440632969"</f>
        <v>1552374440632969</v>
      </c>
      <c r="C2985" t="s">
        <v>40</v>
      </c>
      <c r="D2985">
        <v>4.1767789999999998</v>
      </c>
      <c r="E2985">
        <v>0.47465990000000002</v>
      </c>
      <c r="F2985" t="s">
        <v>69</v>
      </c>
      <c r="G2985">
        <v>-512.82669999999996</v>
      </c>
      <c r="H2985">
        <v>4.499358</v>
      </c>
      <c r="I2985">
        <v>271.15910000000002</v>
      </c>
      <c r="J2985">
        <v>-235.3194</v>
      </c>
      <c r="K2985">
        <v>1.1088819999999999</v>
      </c>
      <c r="L2985">
        <v>281.85629999999998</v>
      </c>
      <c r="M2985">
        <v>-0.99967099999999998</v>
      </c>
      <c r="N2985">
        <v>0</v>
      </c>
      <c r="O2985">
        <v>2.4750910000000001E-2</v>
      </c>
      <c r="P2985">
        <v>-0.99898819999999999</v>
      </c>
      <c r="Q2985">
        <v>3.4236320000000001E-2</v>
      </c>
      <c r="R2985">
        <v>2.916902E-2</v>
      </c>
      <c r="S2985">
        <v>-3.005096</v>
      </c>
      <c r="T2985">
        <v>3.6694530000000003E-2</v>
      </c>
      <c r="U2985">
        <v>-0.115722699999999</v>
      </c>
      <c r="V2985">
        <v>4.4898869999999997E-3</v>
      </c>
      <c r="W2985">
        <v>4.0968690000000002E-2</v>
      </c>
      <c r="X2985">
        <v>0.99915030000000005</v>
      </c>
      <c r="Y2985">
        <v>-6.3195089999999995E-2</v>
      </c>
      <c r="Z2985">
        <v>6.8779690000000005E-4</v>
      </c>
      <c r="AA2985">
        <v>0.99800100000000003</v>
      </c>
      <c r="AB2985">
        <v>28</v>
      </c>
      <c r="AC2985">
        <v>-277.50729999999999</v>
      </c>
      <c r="AD2985">
        <v>3.390476</v>
      </c>
      <c r="AE2985">
        <v>-10.697199999999899</v>
      </c>
      <c r="AF2985">
        <v>-17.560019192469301</v>
      </c>
      <c r="AG2985">
        <v>3.390476</v>
      </c>
      <c r="AH2985">
        <v>277.11620640291</v>
      </c>
      <c r="AI2985">
        <v>89.300432511381601</v>
      </c>
      <c r="AJ2985">
        <v>93.625813130901406</v>
      </c>
      <c r="AK2985">
        <v>277.69271047812299</v>
      </c>
      <c r="AL2985">
        <v>87.652009733671093</v>
      </c>
      <c r="AM2985">
        <v>89.742531384899607</v>
      </c>
      <c r="AN2985">
        <v>0.99999995731783797</v>
      </c>
    </row>
    <row r="2986" spans="1:40" x14ac:dyDescent="0.25">
      <c r="A2986" t="str">
        <f>"20190312150720657"</f>
        <v>20190312150720657</v>
      </c>
      <c r="B2986" t="str">
        <f>"1552374440653465"</f>
        <v>1552374440653465</v>
      </c>
      <c r="C2986" t="s">
        <v>40</v>
      </c>
      <c r="D2986">
        <v>4.1707140000000003</v>
      </c>
      <c r="E2986">
        <v>0.47472760000000003</v>
      </c>
      <c r="F2986" t="s">
        <v>69</v>
      </c>
      <c r="G2986">
        <v>-512.82669999999996</v>
      </c>
      <c r="H2986">
        <v>4.52935</v>
      </c>
      <c r="I2986">
        <v>271.18119999999999</v>
      </c>
      <c r="J2986">
        <v>-235.5701</v>
      </c>
      <c r="K2986">
        <v>1.1089230000000001</v>
      </c>
      <c r="L2986">
        <v>281.863</v>
      </c>
      <c r="M2986">
        <v>-0.99965669999999995</v>
      </c>
      <c r="N2986">
        <v>0</v>
      </c>
      <c r="O2986">
        <v>2.5311489999999999E-2</v>
      </c>
      <c r="P2986">
        <v>-0.99898489999999995</v>
      </c>
      <c r="Q2986">
        <v>3.4348629999999998E-2</v>
      </c>
      <c r="R2986">
        <v>2.9147240000000001E-2</v>
      </c>
      <c r="S2986">
        <v>-3.0051269999999999</v>
      </c>
      <c r="T2986">
        <v>3.7041070000000002E-2</v>
      </c>
      <c r="U2986">
        <v>-0.1156006</v>
      </c>
      <c r="V2986">
        <v>3.9039410000000002E-3</v>
      </c>
      <c r="W2986">
        <v>4.1114489999999997E-2</v>
      </c>
      <c r="X2986">
        <v>0.9991468</v>
      </c>
      <c r="Y2986">
        <v>-6.3713649999999997E-2</v>
      </c>
      <c r="Z2986">
        <v>7.0438710000000004E-4</v>
      </c>
      <c r="AA2986">
        <v>0.99796799999999997</v>
      </c>
      <c r="AB2986">
        <v>28</v>
      </c>
      <c r="AC2986">
        <v>-277.25659999999903</v>
      </c>
      <c r="AD2986">
        <v>3.4204269999999899</v>
      </c>
      <c r="AE2986">
        <v>-10.681800000000001</v>
      </c>
      <c r="AF2986">
        <v>-17.693627071999501</v>
      </c>
      <c r="AG2986">
        <v>3.4204269999999899</v>
      </c>
      <c r="AH2986">
        <v>276.85531482492001</v>
      </c>
      <c r="AI2986">
        <v>89.293612543018597</v>
      </c>
      <c r="AJ2986">
        <v>93.656759543375003</v>
      </c>
      <c r="AK2986">
        <v>277.441217389614</v>
      </c>
      <c r="AL2986">
        <v>87.643649029453201</v>
      </c>
      <c r="AM2986">
        <v>89.776130790300698</v>
      </c>
      <c r="AN2986">
        <v>0.99999998499676501</v>
      </c>
    </row>
    <row r="2987" spans="1:40" x14ac:dyDescent="0.25">
      <c r="A2987" t="str">
        <f>"20190312150720669"</f>
        <v>20190312150720669</v>
      </c>
      <c r="B2987" t="str">
        <f>"1552374440663225"</f>
        <v>1552374440663225</v>
      </c>
      <c r="C2987" t="s">
        <v>40</v>
      </c>
      <c r="D2987">
        <v>4.1722769999999896</v>
      </c>
      <c r="E2987">
        <v>0.47474870000000002</v>
      </c>
      <c r="F2987" t="s">
        <v>69</v>
      </c>
      <c r="G2987">
        <v>-512.82659999999998</v>
      </c>
      <c r="H2987">
        <v>4.3972319999999998</v>
      </c>
      <c r="I2987">
        <v>271.24579999999997</v>
      </c>
      <c r="J2987">
        <v>-235.72739999999999</v>
      </c>
      <c r="K2987">
        <v>1.1089500000000001</v>
      </c>
      <c r="L2987">
        <v>281.8673</v>
      </c>
      <c r="M2987">
        <v>-0.99964819999999999</v>
      </c>
      <c r="N2987">
        <v>0</v>
      </c>
      <c r="O2987">
        <v>2.5637759999999999E-2</v>
      </c>
      <c r="P2987">
        <v>-0.99898679999999995</v>
      </c>
      <c r="Q2987">
        <v>3.4380819999999999E-2</v>
      </c>
      <c r="R2987">
        <v>2.9042769999999999E-2</v>
      </c>
      <c r="S2987">
        <v>-3.0052189999999999</v>
      </c>
      <c r="T2987">
        <v>3.5643220000000003E-2</v>
      </c>
      <c r="U2987">
        <v>-0.1150818</v>
      </c>
      <c r="V2987">
        <v>3.4707140000000002E-3</v>
      </c>
      <c r="W2987">
        <v>4.1167849999999999E-2</v>
      </c>
      <c r="X2987">
        <v>0.99914619999999998</v>
      </c>
      <c r="Y2987">
        <v>-6.3866640000000002E-2</v>
      </c>
      <c r="Z2987">
        <v>6.8256359999999995E-4</v>
      </c>
      <c r="AA2987">
        <v>0.99795820000000002</v>
      </c>
      <c r="AB2987">
        <v>29</v>
      </c>
      <c r="AC2987">
        <v>-277.0992</v>
      </c>
      <c r="AD2987">
        <v>3.2882820000000001</v>
      </c>
      <c r="AE2987">
        <v>-10.621499999999999</v>
      </c>
      <c r="AF2987">
        <v>-17.719883698120601</v>
      </c>
      <c r="AG2987">
        <v>3.2882820000000001</v>
      </c>
      <c r="AH2987">
        <v>276.69688756479297</v>
      </c>
      <c r="AI2987">
        <v>89.320517453941505</v>
      </c>
      <c r="AJ2987">
        <v>93.664262393973601</v>
      </c>
      <c r="AK2987">
        <v>277.28320299799998</v>
      </c>
      <c r="AL2987">
        <v>87.640589132050593</v>
      </c>
      <c r="AM2987">
        <v>89.800973606996706</v>
      </c>
      <c r="AN2987">
        <v>0.99999998335186602</v>
      </c>
    </row>
    <row r="2988" spans="1:40" x14ac:dyDescent="0.25">
      <c r="A2988" t="str">
        <f>"20190312150720681"</f>
        <v>20190312150720681</v>
      </c>
      <c r="B2988" t="str">
        <f>"1552374440672985"</f>
        <v>1552374440672985</v>
      </c>
      <c r="C2988" t="s">
        <v>40</v>
      </c>
      <c r="D2988">
        <v>4.1756949999999904</v>
      </c>
      <c r="E2988">
        <v>0.47465810000000003</v>
      </c>
      <c r="F2988" t="s">
        <v>69</v>
      </c>
      <c r="G2988">
        <v>-512.82659999999998</v>
      </c>
      <c r="H2988">
        <v>4.3223510000000003</v>
      </c>
      <c r="I2988">
        <v>271.23910000000001</v>
      </c>
      <c r="J2988">
        <v>-235.8904</v>
      </c>
      <c r="K2988">
        <v>1.1089789999999999</v>
      </c>
      <c r="L2988">
        <v>281.87189999999998</v>
      </c>
      <c r="M2988">
        <v>-0.99963990000000003</v>
      </c>
      <c r="N2988">
        <v>0</v>
      </c>
      <c r="O2988">
        <v>2.595418E-2</v>
      </c>
      <c r="P2988">
        <v>-0.99898209999999998</v>
      </c>
      <c r="Q2988">
        <v>3.445455E-2</v>
      </c>
      <c r="R2988">
        <v>2.9117870000000001E-2</v>
      </c>
      <c r="S2988">
        <v>-3.005188</v>
      </c>
      <c r="T2988">
        <v>3.4850720000000002E-2</v>
      </c>
      <c r="U2988">
        <v>-0.1152649</v>
      </c>
      <c r="V2988">
        <v>3.2267569999999998E-3</v>
      </c>
      <c r="W2988">
        <v>4.1263609999999999E-2</v>
      </c>
      <c r="X2988">
        <v>0.99914309999999995</v>
      </c>
      <c r="Y2988">
        <v>-6.4243869999999995E-2</v>
      </c>
      <c r="Z2988">
        <v>6.7324899999999903E-4</v>
      </c>
      <c r="AA2988">
        <v>0.99793399999999999</v>
      </c>
      <c r="AB2988">
        <v>29</v>
      </c>
      <c r="AC2988">
        <v>-276.93619999999999</v>
      </c>
      <c r="AD2988">
        <v>3.2133720000000001</v>
      </c>
      <c r="AE2988">
        <v>-10.6327999999999</v>
      </c>
      <c r="AF2988">
        <v>-17.814641956154102</v>
      </c>
      <c r="AG2988">
        <v>3.2133720000000001</v>
      </c>
      <c r="AH2988">
        <v>276.52975695721699</v>
      </c>
      <c r="AI2988">
        <v>89.335610198939193</v>
      </c>
      <c r="AJ2988">
        <v>93.686023769574703</v>
      </c>
      <c r="AK2988">
        <v>277.12162259638598</v>
      </c>
      <c r="AL2988">
        <v>87.635097898940302</v>
      </c>
      <c r="AM2988">
        <v>89.814962526524596</v>
      </c>
      <c r="AN2988">
        <v>1.0000000158742799</v>
      </c>
    </row>
    <row r="2989" spans="1:40" x14ac:dyDescent="0.25">
      <c r="A2989" t="str">
        <f>"20190312150720693"</f>
        <v>20190312150720693</v>
      </c>
      <c r="B2989" t="str">
        <f>"1552374440682745"</f>
        <v>1552374440682745</v>
      </c>
      <c r="C2989" t="s">
        <v>40</v>
      </c>
      <c r="D2989">
        <v>4.2769339999999998</v>
      </c>
      <c r="E2989">
        <v>0.47456300000000001</v>
      </c>
      <c r="F2989" t="s">
        <v>69</v>
      </c>
      <c r="G2989">
        <v>-512.82659999999998</v>
      </c>
      <c r="H2989">
        <v>4.423616</v>
      </c>
      <c r="I2989">
        <v>271.20490000000001</v>
      </c>
      <c r="J2989">
        <v>-236.04150000000001</v>
      </c>
      <c r="K2989">
        <v>1.1090070000000001</v>
      </c>
      <c r="L2989">
        <v>281.87599999999998</v>
      </c>
      <c r="M2989">
        <v>-0.99963279999999999</v>
      </c>
      <c r="N2989">
        <v>0</v>
      </c>
      <c r="O2989">
        <v>2.622246E-2</v>
      </c>
      <c r="P2989">
        <v>-0.99899059999999995</v>
      </c>
      <c r="Q2989">
        <v>3.4332830000000002E-2</v>
      </c>
      <c r="R2989">
        <v>2.897375E-2</v>
      </c>
      <c r="S2989">
        <v>-3.0052029999999998</v>
      </c>
      <c r="T2989">
        <v>3.5969969999999997E-2</v>
      </c>
      <c r="U2989">
        <v>-0.1157532</v>
      </c>
      <c r="V2989">
        <v>2.8117189999999999E-3</v>
      </c>
      <c r="W2989">
        <v>4.1162129999999998E-2</v>
      </c>
      <c r="X2989">
        <v>0.99914849999999999</v>
      </c>
      <c r="Y2989">
        <v>-6.4672939999999998E-2</v>
      </c>
      <c r="Z2989">
        <v>7.0064039999999904E-4</v>
      </c>
      <c r="AA2989">
        <v>0.99790630000000002</v>
      </c>
      <c r="AB2989">
        <v>29</v>
      </c>
      <c r="AC2989">
        <v>-276.78509999999898</v>
      </c>
      <c r="AD2989">
        <v>3.3146089999999901</v>
      </c>
      <c r="AE2989">
        <v>-10.6710999999999</v>
      </c>
      <c r="AF2989">
        <v>-17.923019360548199</v>
      </c>
      <c r="AG2989">
        <v>3.3146089999999901</v>
      </c>
      <c r="AH2989">
        <v>276.37051359983298</v>
      </c>
      <c r="AI2989">
        <v>89.314304727813294</v>
      </c>
      <c r="AJ2989">
        <v>93.710516516644304</v>
      </c>
      <c r="AK2989">
        <v>276.97090468722001</v>
      </c>
      <c r="AL2989">
        <v>87.6409171243141</v>
      </c>
      <c r="AM2989">
        <v>89.838763500504299</v>
      </c>
      <c r="AN2989">
        <v>0.99999997588106004</v>
      </c>
    </row>
    <row r="2990" spans="1:40" x14ac:dyDescent="0.25">
      <c r="A2990" t="str">
        <f>"20190312150720705"</f>
        <v>20190312150720705</v>
      </c>
      <c r="B2990" t="str">
        <f>"1552374440702772"</f>
        <v>1552374440702772</v>
      </c>
      <c r="C2990" t="s">
        <v>40</v>
      </c>
      <c r="D2990">
        <v>4.1786199999999996</v>
      </c>
      <c r="E2990">
        <v>0.47450829999999999</v>
      </c>
      <c r="F2990" t="s">
        <v>69</v>
      </c>
      <c r="G2990">
        <v>-512.82669999999996</v>
      </c>
      <c r="H2990">
        <v>4.4952639999999997</v>
      </c>
      <c r="I2990">
        <v>271.11079999999998</v>
      </c>
      <c r="J2990">
        <v>-236.20099999999999</v>
      </c>
      <c r="K2990">
        <v>1.109035</v>
      </c>
      <c r="L2990">
        <v>281.88049999999998</v>
      </c>
      <c r="M2990">
        <v>-0.9996256</v>
      </c>
      <c r="N2990">
        <v>0</v>
      </c>
      <c r="O2990">
        <v>2.649323E-2</v>
      </c>
      <c r="P2990">
        <v>-0.99899300000000002</v>
      </c>
      <c r="Q2990">
        <v>3.4502329999999998E-2</v>
      </c>
      <c r="R2990">
        <v>2.868424E-2</v>
      </c>
      <c r="S2990">
        <v>-3.0051570000000001</v>
      </c>
      <c r="T2990">
        <v>3.6766649999999998E-2</v>
      </c>
      <c r="U2990">
        <v>-0.11688229999999999</v>
      </c>
      <c r="V2990">
        <v>2.24895E-3</v>
      </c>
      <c r="W2990">
        <v>4.1353180000000003E-2</v>
      </c>
      <c r="X2990">
        <v>0.99914210000000003</v>
      </c>
      <c r="Y2990">
        <v>-6.5317849999999997E-2</v>
      </c>
      <c r="Z2990">
        <v>7.2341840000000001E-4</v>
      </c>
      <c r="AA2990">
        <v>0.99786419999999998</v>
      </c>
      <c r="AB2990">
        <v>29</v>
      </c>
      <c r="AC2990">
        <v>-276.62569999999897</v>
      </c>
      <c r="AD2990">
        <v>3.3862290000000002</v>
      </c>
      <c r="AE2990">
        <v>-10.7697</v>
      </c>
      <c r="AF2990">
        <v>-18.092092317467099</v>
      </c>
      <c r="AG2990">
        <v>3.3862290000000002</v>
      </c>
      <c r="AH2990">
        <v>276.20194167732598</v>
      </c>
      <c r="AI2990">
        <v>89.299092264437604</v>
      </c>
      <c r="AJ2990">
        <v>93.7476991080961</v>
      </c>
      <c r="AK2990">
        <v>276.814564171737</v>
      </c>
      <c r="AL2990">
        <v>87.6299615882116</v>
      </c>
      <c r="AM2990">
        <v>89.871034234546897</v>
      </c>
      <c r="AN2990">
        <v>1.0000000396323101</v>
      </c>
    </row>
    <row r="2991" spans="1:40" x14ac:dyDescent="0.25">
      <c r="A2991" t="str">
        <f>"20190312150720723"</f>
        <v>20190312150720723</v>
      </c>
      <c r="B2991" t="str">
        <f>"1552374440713512"</f>
        <v>1552374440713512</v>
      </c>
      <c r="C2991" t="s">
        <v>40</v>
      </c>
      <c r="D2991">
        <v>4.1661039999999998</v>
      </c>
      <c r="E2991">
        <v>0.47441909999999998</v>
      </c>
      <c r="F2991" t="s">
        <v>69</v>
      </c>
      <c r="G2991">
        <v>-512.82659999999998</v>
      </c>
      <c r="H2991">
        <v>4.3517140000000003</v>
      </c>
      <c r="I2991">
        <v>270.98110000000003</v>
      </c>
      <c r="J2991">
        <v>-236.43780000000001</v>
      </c>
      <c r="K2991">
        <v>1.1090819999999999</v>
      </c>
      <c r="L2991">
        <v>281.88709999999998</v>
      </c>
      <c r="M2991">
        <v>-0.99961580000000005</v>
      </c>
      <c r="N2991">
        <v>0</v>
      </c>
      <c r="O2991">
        <v>2.684688E-2</v>
      </c>
      <c r="P2991">
        <v>-0.99898830000000005</v>
      </c>
      <c r="Q2991">
        <v>3.4729389999999999E-2</v>
      </c>
      <c r="R2991">
        <v>2.8570959999999999E-2</v>
      </c>
      <c r="S2991">
        <v>-3.0052029999999998</v>
      </c>
      <c r="T2991">
        <v>3.522861E-2</v>
      </c>
      <c r="U2991">
        <v>-0.11840820000000001</v>
      </c>
      <c r="V2991">
        <v>1.778167E-3</v>
      </c>
      <c r="W2991">
        <v>4.161045E-2</v>
      </c>
      <c r="X2991">
        <v>0.99913229999999997</v>
      </c>
      <c r="Y2991">
        <v>-6.6176659999999998E-2</v>
      </c>
      <c r="Z2991">
        <v>7.0231699999999896E-4</v>
      </c>
      <c r="AA2991">
        <v>0.99780769999999996</v>
      </c>
      <c r="AB2991">
        <v>29</v>
      </c>
      <c r="AC2991">
        <v>-276.38879999999898</v>
      </c>
      <c r="AD2991">
        <v>3.242632</v>
      </c>
      <c r="AE2991">
        <v>-10.905999999999899</v>
      </c>
      <c r="AF2991">
        <v>-18.319904312457801</v>
      </c>
      <c r="AG2991">
        <v>3.242632</v>
      </c>
      <c r="AH2991">
        <v>275.95844925842601</v>
      </c>
      <c r="AI2991">
        <v>89.328259085344598</v>
      </c>
      <c r="AJ2991">
        <v>93.798090866566895</v>
      </c>
      <c r="AK2991">
        <v>276.58488619846997</v>
      </c>
      <c r="AL2991">
        <v>87.615208243903894</v>
      </c>
      <c r="AM2991">
        <v>89.898030163969096</v>
      </c>
      <c r="AN2991">
        <v>0.99999997216518499</v>
      </c>
    </row>
    <row r="2992" spans="1:40" x14ac:dyDescent="0.25">
      <c r="A2992" t="str">
        <f>"20190312150720736"</f>
        <v>20190312150720736</v>
      </c>
      <c r="B2992" t="str">
        <f>"1552374440733028"</f>
        <v>1552374440733028</v>
      </c>
      <c r="C2992" t="s">
        <v>40</v>
      </c>
      <c r="D2992">
        <v>4.4837350000000002</v>
      </c>
      <c r="E2992">
        <v>0.47418630000000001</v>
      </c>
      <c r="F2992" t="s">
        <v>69</v>
      </c>
      <c r="G2992">
        <v>-512.82669999999996</v>
      </c>
      <c r="H2992">
        <v>4.472601</v>
      </c>
      <c r="I2992">
        <v>270.9101</v>
      </c>
      <c r="J2992">
        <v>-236.59790000000001</v>
      </c>
      <c r="K2992">
        <v>1.109111</v>
      </c>
      <c r="L2992">
        <v>281.89159999999998</v>
      </c>
      <c r="M2992">
        <v>-0.99961029999999995</v>
      </c>
      <c r="N2992">
        <v>0</v>
      </c>
      <c r="O2992">
        <v>2.7050040000000001E-2</v>
      </c>
      <c r="P2992">
        <v>-0.99898920000000002</v>
      </c>
      <c r="Q2992">
        <v>3.4635409999999998E-2</v>
      </c>
      <c r="R2992">
        <v>2.8657780000000001E-2</v>
      </c>
      <c r="S2992">
        <v>-3.0052029999999998</v>
      </c>
      <c r="T2992">
        <v>3.6572689999999998E-2</v>
      </c>
      <c r="U2992">
        <v>-0.11935419999999999</v>
      </c>
      <c r="V2992">
        <v>1.659071E-3</v>
      </c>
      <c r="W2992">
        <v>4.1536610000000002E-2</v>
      </c>
      <c r="X2992">
        <v>0.99913560000000001</v>
      </c>
      <c r="Y2992">
        <v>-6.6692500000000002E-2</v>
      </c>
      <c r="Z2992">
        <v>7.3471539999999996E-4</v>
      </c>
      <c r="AA2992">
        <v>0.99777329999999997</v>
      </c>
      <c r="AB2992">
        <v>29</v>
      </c>
      <c r="AC2992">
        <v>-276.22879999999998</v>
      </c>
      <c r="AD2992">
        <v>3.3634900000000001</v>
      </c>
      <c r="AE2992">
        <v>-10.981499999999899</v>
      </c>
      <c r="AF2992">
        <v>-18.446928442757699</v>
      </c>
      <c r="AG2992">
        <v>3.3634900000000001</v>
      </c>
      <c r="AH2992">
        <v>275.78983486681199</v>
      </c>
      <c r="AI2992">
        <v>89.302821888875698</v>
      </c>
      <c r="AJ2992">
        <v>93.826678898944905</v>
      </c>
      <c r="AK2992">
        <v>276.42654584864999</v>
      </c>
      <c r="AL2992">
        <v>87.619442679231796</v>
      </c>
      <c r="AM2992">
        <v>89.904860082209296</v>
      </c>
      <c r="AN2992">
        <v>0.99999999483711699</v>
      </c>
    </row>
    <row r="2993" spans="1:40" x14ac:dyDescent="0.25">
      <c r="A2993" t="str">
        <f>"20190312150720749"</f>
        <v>20190312150720749</v>
      </c>
      <c r="B2993" t="str">
        <f>"1552374440742788"</f>
        <v>1552374440742788</v>
      </c>
      <c r="C2993" t="s">
        <v>40</v>
      </c>
      <c r="D2993">
        <v>4.143967</v>
      </c>
      <c r="E2993">
        <v>0.47408060000000002</v>
      </c>
      <c r="F2993" t="s">
        <v>69</v>
      </c>
      <c r="G2993">
        <v>-512.82669999999996</v>
      </c>
      <c r="H2993">
        <v>4.5856640000000004</v>
      </c>
      <c r="I2993">
        <v>270.78059999999999</v>
      </c>
      <c r="J2993">
        <v>-236.76310000000001</v>
      </c>
      <c r="K2993">
        <v>1.1091439999999999</v>
      </c>
      <c r="L2993">
        <v>281.8963</v>
      </c>
      <c r="M2993">
        <v>-0.99960490000000002</v>
      </c>
      <c r="N2993">
        <v>0</v>
      </c>
      <c r="O2993">
        <v>2.7243469999999999E-2</v>
      </c>
      <c r="P2993">
        <v>-0.99899070000000001</v>
      </c>
      <c r="Q2993">
        <v>3.4611870000000003E-2</v>
      </c>
      <c r="R2993">
        <v>2.8632189999999998E-2</v>
      </c>
      <c r="S2993">
        <v>-3.005188</v>
      </c>
      <c r="T2993">
        <v>3.782344E-2</v>
      </c>
      <c r="U2993">
        <v>-0.1208801</v>
      </c>
      <c r="V2993">
        <v>1.4369560000000001E-3</v>
      </c>
      <c r="W2993">
        <v>4.1533750000000001E-2</v>
      </c>
      <c r="X2993">
        <v>0.99913609999999997</v>
      </c>
      <c r="Y2993">
        <v>-6.7391019999999996E-2</v>
      </c>
      <c r="Z2993">
        <v>7.6666379999999995E-4</v>
      </c>
      <c r="AA2993">
        <v>0.99772629999999995</v>
      </c>
      <c r="AB2993">
        <v>29</v>
      </c>
      <c r="AC2993">
        <v>-276.06359999999898</v>
      </c>
      <c r="AD2993">
        <v>3.4765199999999901</v>
      </c>
      <c r="AE2993">
        <v>-11.1157</v>
      </c>
      <c r="AF2993">
        <v>-18.629734589133999</v>
      </c>
      <c r="AG2993">
        <v>3.4765199999999901</v>
      </c>
      <c r="AH2993">
        <v>275.61465196472102</v>
      </c>
      <c r="AI2993">
        <v>89.278971753224496</v>
      </c>
      <c r="AJ2993">
        <v>93.866935186807794</v>
      </c>
      <c r="AK2993">
        <v>276.26543319750698</v>
      </c>
      <c r="AL2993">
        <v>87.619606774676598</v>
      </c>
      <c r="AM2993">
        <v>89.917597354974106</v>
      </c>
      <c r="AN2993">
        <v>1.0000000317774</v>
      </c>
    </row>
    <row r="2994" spans="1:40" x14ac:dyDescent="0.25">
      <c r="A2994" t="str">
        <f>"20190312150720761"</f>
        <v>20190312150720761</v>
      </c>
      <c r="B2994" t="str">
        <f>"1552374440753524"</f>
        <v>1552374440753524</v>
      </c>
      <c r="C2994" t="s">
        <v>40</v>
      </c>
      <c r="D2994">
        <v>4.1466919999999998</v>
      </c>
      <c r="E2994">
        <v>0.47401300000000002</v>
      </c>
      <c r="F2994" t="s">
        <v>46</v>
      </c>
      <c r="G2994">
        <v>-355.46949999999998</v>
      </c>
      <c r="H2994">
        <v>2.6219169999999998</v>
      </c>
      <c r="I2994">
        <v>277.08409999999998</v>
      </c>
      <c r="J2994">
        <v>-236.92660000000001</v>
      </c>
      <c r="K2994">
        <v>1.1091719999999901</v>
      </c>
      <c r="L2994">
        <v>281.90089999999998</v>
      </c>
      <c r="M2994">
        <v>-0.99960020000000005</v>
      </c>
      <c r="N2994">
        <v>0</v>
      </c>
      <c r="O2994">
        <v>2.7410899999999998E-2</v>
      </c>
      <c r="P2994">
        <v>-0.99898900000000002</v>
      </c>
      <c r="Q2994">
        <v>3.4589340000000003E-2</v>
      </c>
      <c r="R2994">
        <v>2.87145E-2</v>
      </c>
      <c r="S2994">
        <v>-3.005188</v>
      </c>
      <c r="T2994">
        <v>3.8299199999999999E-2</v>
      </c>
      <c r="U2994">
        <v>-0.1218262</v>
      </c>
      <c r="V2994">
        <v>1.3487939999999999E-3</v>
      </c>
      <c r="W2994">
        <v>4.1531360000000003E-2</v>
      </c>
      <c r="X2994">
        <v>0.99913629999999998</v>
      </c>
      <c r="Y2994">
        <v>-6.7871470000000003E-2</v>
      </c>
      <c r="Z2994">
        <v>7.8149509999999895E-4</v>
      </c>
      <c r="AA2994">
        <v>0.99769379999999996</v>
      </c>
      <c r="AB2994">
        <v>29</v>
      </c>
      <c r="AC2994">
        <v>-118.54289999999899</v>
      </c>
      <c r="AD2994">
        <v>1.512745</v>
      </c>
      <c r="AE2994">
        <v>-4.8167999999999997</v>
      </c>
      <c r="AF2994">
        <v>-8.0631248102017601</v>
      </c>
      <c r="AG2994">
        <v>1.512745</v>
      </c>
      <c r="AH2994">
        <v>118.347078721732</v>
      </c>
      <c r="AI2994">
        <v>89.269363035134006</v>
      </c>
      <c r="AJ2994">
        <v>93.8976051710804</v>
      </c>
      <c r="AK2994">
        <v>118.63108117650999</v>
      </c>
      <c r="AL2994">
        <v>87.619743776889607</v>
      </c>
      <c r="AM2994">
        <v>89.922653038741799</v>
      </c>
      <c r="AN2994">
        <v>1.00000000954319</v>
      </c>
    </row>
    <row r="2995" spans="1:40" x14ac:dyDescent="0.25">
      <c r="A2995" t="str">
        <f>"20190312150720781"</f>
        <v>20190312150720781</v>
      </c>
      <c r="B2995" t="str">
        <f>"1552374440773046"</f>
        <v>1552374440773046</v>
      </c>
      <c r="C2995" t="s">
        <v>40</v>
      </c>
      <c r="D2995">
        <v>4.1588919999999998</v>
      </c>
      <c r="E2995">
        <v>0.47392040000000002</v>
      </c>
      <c r="F2995" t="s">
        <v>46</v>
      </c>
      <c r="G2995">
        <v>-355.47149999999999</v>
      </c>
      <c r="H2995">
        <v>2.637575</v>
      </c>
      <c r="I2995">
        <v>277.08569999999997</v>
      </c>
      <c r="J2995">
        <v>-237.1824</v>
      </c>
      <c r="K2995">
        <v>1.109221</v>
      </c>
      <c r="L2995">
        <v>281.90820000000002</v>
      </c>
      <c r="M2995">
        <v>-0.99959399999999998</v>
      </c>
      <c r="N2995">
        <v>0</v>
      </c>
      <c r="O2995">
        <v>2.7623390000000001E-2</v>
      </c>
      <c r="P2995">
        <v>-0.99898659999999995</v>
      </c>
      <c r="Q2995">
        <v>3.4671880000000002E-2</v>
      </c>
      <c r="R2995">
        <v>2.8702769999999999E-2</v>
      </c>
      <c r="S2995">
        <v>-3.0052189999999999</v>
      </c>
      <c r="T2995">
        <v>3.8748030000000003E-2</v>
      </c>
      <c r="U2995">
        <v>-0.12207030000000001</v>
      </c>
      <c r="V2995">
        <v>1.119894E-3</v>
      </c>
      <c r="W2995">
        <v>4.1644750000000001E-2</v>
      </c>
      <c r="X2995">
        <v>0.99913189999999996</v>
      </c>
      <c r="Y2995">
        <v>-6.8163840000000003E-2</v>
      </c>
      <c r="Z2995">
        <v>7.9526619999999897E-4</v>
      </c>
      <c r="AA2995">
        <v>0.99767380000000006</v>
      </c>
      <c r="AB2995">
        <v>29</v>
      </c>
      <c r="AC2995">
        <v>-118.2891</v>
      </c>
      <c r="AD2995">
        <v>1.528354</v>
      </c>
      <c r="AE2995">
        <v>-4.8225000000000398</v>
      </c>
      <c r="AF2995">
        <v>-8.0869375096976999</v>
      </c>
      <c r="AG2995">
        <v>1.528354</v>
      </c>
      <c r="AH2995">
        <v>118.091060468259</v>
      </c>
      <c r="AI2995">
        <v>89.260242315687407</v>
      </c>
      <c r="AJ2995">
        <v>93.917528693618806</v>
      </c>
      <c r="AK2995">
        <v>118.377502029537</v>
      </c>
      <c r="AL2995">
        <v>87.613241471128404</v>
      </c>
      <c r="AM2995">
        <v>89.935779076985796</v>
      </c>
      <c r="AN2995">
        <v>1.0000000464813701</v>
      </c>
    </row>
    <row r="2996" spans="1:40" x14ac:dyDescent="0.25">
      <c r="A2996" t="str">
        <f>"20190312150720796"</f>
        <v>20190312150720796</v>
      </c>
      <c r="B2996" t="str">
        <f>"1552374440782804"</f>
        <v>1552374440782804</v>
      </c>
      <c r="C2996" t="s">
        <v>40</v>
      </c>
      <c r="D2996">
        <v>4.1722260000000002</v>
      </c>
      <c r="E2996">
        <v>0.4644102</v>
      </c>
      <c r="F2996" t="s">
        <v>46</v>
      </c>
      <c r="G2996">
        <v>-355.4597</v>
      </c>
      <c r="H2996">
        <v>2.6049820000000001</v>
      </c>
      <c r="I2996">
        <v>277.0763</v>
      </c>
      <c r="J2996">
        <v>-237.36500000000001</v>
      </c>
      <c r="K2996">
        <v>1.109262</v>
      </c>
      <c r="L2996">
        <v>281.91340000000002</v>
      </c>
      <c r="M2996">
        <v>-0.9995908</v>
      </c>
      <c r="N2996">
        <v>0</v>
      </c>
      <c r="O2996">
        <v>2.773743E-2</v>
      </c>
      <c r="P2996">
        <v>-0.99899859999999896</v>
      </c>
      <c r="Q2996">
        <v>3.4460440000000002E-2</v>
      </c>
      <c r="R2996">
        <v>2.8537119999999999E-2</v>
      </c>
      <c r="S2996">
        <v>-3.0052639999999999</v>
      </c>
      <c r="T2996">
        <v>3.8006900000000003E-2</v>
      </c>
      <c r="U2996">
        <v>-0.1227722</v>
      </c>
      <c r="V2996">
        <v>8.3637139999999995E-4</v>
      </c>
      <c r="W2996">
        <v>4.1456090000000001E-2</v>
      </c>
      <c r="X2996">
        <v>0.99914000000000003</v>
      </c>
      <c r="Y2996">
        <v>-6.8509940000000005E-2</v>
      </c>
      <c r="Z2996">
        <v>7.8367020000000005E-4</v>
      </c>
      <c r="AA2996">
        <v>0.99765009999999998</v>
      </c>
      <c r="AB2996">
        <v>29</v>
      </c>
      <c r="AC2996">
        <v>-118.0947</v>
      </c>
      <c r="AD2996">
        <v>1.4957199999999999</v>
      </c>
      <c r="AE2996">
        <v>-4.8371000000000199</v>
      </c>
      <c r="AF2996">
        <v>-8.1096635997671704</v>
      </c>
      <c r="AG2996">
        <v>1.4957199999999999</v>
      </c>
      <c r="AH2996">
        <v>117.8962076521</v>
      </c>
      <c r="AI2996">
        <v>89.274854956724198</v>
      </c>
      <c r="AJ2996">
        <v>93.934975844283002</v>
      </c>
      <c r="AK2996">
        <v>118.18426122274801</v>
      </c>
      <c r="AL2996">
        <v>87.624060180188195</v>
      </c>
      <c r="AM2996">
        <v>89.9520382127305</v>
      </c>
      <c r="AN2996">
        <v>1.0000000232576001</v>
      </c>
    </row>
    <row r="2997" spans="1:40" x14ac:dyDescent="0.25">
      <c r="A2997" t="str">
        <f>"20190312150720815"</f>
        <v>20190312150720815</v>
      </c>
      <c r="B2997" t="str">
        <f>"1552374440803300"</f>
        <v>1552374440803300</v>
      </c>
      <c r="C2997" t="s">
        <v>40</v>
      </c>
      <c r="D2997">
        <v>4.1435019999999998</v>
      </c>
      <c r="E2997">
        <v>0.46375070000000002</v>
      </c>
      <c r="F2997" t="s">
        <v>70</v>
      </c>
      <c r="G2997">
        <v>-440.6841</v>
      </c>
      <c r="H2997">
        <v>0.49965759999999998</v>
      </c>
      <c r="I2997">
        <v>268.39870000000002</v>
      </c>
      <c r="J2997">
        <v>-237.62119999999999</v>
      </c>
      <c r="K2997">
        <v>1.1093109999999999</v>
      </c>
      <c r="L2997">
        <v>281.92059999999998</v>
      </c>
      <c r="M2997">
        <v>-0.99958720000000001</v>
      </c>
      <c r="N2997">
        <v>0</v>
      </c>
      <c r="O2997">
        <v>2.7857280000000002E-2</v>
      </c>
      <c r="P2997">
        <v>-0.99899769999999999</v>
      </c>
      <c r="Q2997">
        <v>3.4464880000000003E-2</v>
      </c>
      <c r="R2997">
        <v>2.8571050000000001E-2</v>
      </c>
      <c r="S2997">
        <v>-3.0090479999999999</v>
      </c>
      <c r="T2997">
        <v>-9.0217590000000007E-3</v>
      </c>
      <c r="U2997">
        <v>-0.2000122</v>
      </c>
      <c r="V2997">
        <v>7.4587199999999996E-4</v>
      </c>
      <c r="W2997">
        <v>4.1494669999999997E-2</v>
      </c>
      <c r="X2997">
        <v>0.99913850000000004</v>
      </c>
      <c r="Y2997">
        <v>-9.4094239999999996E-2</v>
      </c>
      <c r="Z2997">
        <v>-2.2434439999999999E-4</v>
      </c>
      <c r="AA2997">
        <v>0.99556330000000004</v>
      </c>
      <c r="AB2997">
        <v>29</v>
      </c>
      <c r="AC2997">
        <v>-203.06290000000001</v>
      </c>
      <c r="AD2997">
        <v>-0.60965340000000001</v>
      </c>
      <c r="AE2997">
        <v>-13.521899999999899</v>
      </c>
      <c r="AF2997">
        <v>-19.173399769486</v>
      </c>
      <c r="AG2997">
        <v>-0.60965340000000001</v>
      </c>
      <c r="AH2997">
        <v>202.60557873061899</v>
      </c>
      <c r="AI2997">
        <v>90.171639366533796</v>
      </c>
      <c r="AJ2997">
        <v>95.406035659395499</v>
      </c>
      <c r="AK2997">
        <v>203.51169860417801</v>
      </c>
      <c r="AL2997">
        <v>87.621847876321297</v>
      </c>
      <c r="AM2997">
        <v>89.957227842067496</v>
      </c>
      <c r="AN2997">
        <v>1.0000000530728399</v>
      </c>
    </row>
    <row r="2998" spans="1:40" x14ac:dyDescent="0.25">
      <c r="A2998" t="str">
        <f>"20190312150720836"</f>
        <v>20190312150720836</v>
      </c>
      <c r="B2998" t="str">
        <f>"1552374440833556"</f>
        <v>1552374440833556</v>
      </c>
      <c r="C2998" t="s">
        <v>40</v>
      </c>
      <c r="D2998">
        <v>4.1357210000000002</v>
      </c>
      <c r="E2998">
        <v>0.4633893</v>
      </c>
      <c r="F2998" t="s">
        <v>68</v>
      </c>
      <c r="G2998">
        <v>-408.83699999999999</v>
      </c>
      <c r="H2998">
        <v>8.0001169999999996E-2</v>
      </c>
      <c r="I2998">
        <v>270.24110000000002</v>
      </c>
      <c r="J2998">
        <v>-237.89680000000001</v>
      </c>
      <c r="K2998">
        <v>1.1093630000000001</v>
      </c>
      <c r="L2998">
        <v>281.92840000000001</v>
      </c>
      <c r="M2998">
        <v>-0.99958460000000005</v>
      </c>
      <c r="N2998">
        <v>0</v>
      </c>
      <c r="O2998">
        <v>2.7937900000000002E-2</v>
      </c>
      <c r="P2998">
        <v>-0.99900060000000002</v>
      </c>
      <c r="Q2998">
        <v>3.4284839999999997E-2</v>
      </c>
      <c r="R2998">
        <v>2.8675470000000002E-2</v>
      </c>
      <c r="S2998">
        <v>-3.0094759999999998</v>
      </c>
      <c r="T2998">
        <v>-1.8092270000000001E-2</v>
      </c>
      <c r="U2998">
        <v>-0.20529169999999999</v>
      </c>
      <c r="V2998">
        <v>7.6498319999999996E-4</v>
      </c>
      <c r="W2998">
        <v>4.1352699999999999E-2</v>
      </c>
      <c r="X2998">
        <v>0.99914429999999999</v>
      </c>
      <c r="Y2998">
        <v>-9.5901990000000006E-2</v>
      </c>
      <c r="Z2998">
        <v>-4.5572080000000001E-4</v>
      </c>
      <c r="AA2998">
        <v>0.99539069999999996</v>
      </c>
      <c r="AB2998">
        <v>29</v>
      </c>
      <c r="AC2998">
        <v>-170.94019999999901</v>
      </c>
      <c r="AD2998">
        <v>-1.02936182999999</v>
      </c>
      <c r="AE2998">
        <v>-11.687299999999899</v>
      </c>
      <c r="AF2998">
        <v>-16.457973594493701</v>
      </c>
      <c r="AG2998">
        <v>-1.02936182999999</v>
      </c>
      <c r="AH2998">
        <v>170.54078985880099</v>
      </c>
      <c r="AI2998">
        <v>90.344226446201901</v>
      </c>
      <c r="AJ2998">
        <v>95.512237463142398</v>
      </c>
      <c r="AK2998">
        <v>171.33617681703399</v>
      </c>
      <c r="AL2998">
        <v>87.6299889761369</v>
      </c>
      <c r="AM2998">
        <v>89.956132162097106</v>
      </c>
      <c r="AN2998">
        <v>0.99999998160953696</v>
      </c>
    </row>
    <row r="2999" spans="1:40" x14ac:dyDescent="0.25">
      <c r="A2999" t="str">
        <f>"20190312150720849"</f>
        <v>20190312150720849</v>
      </c>
      <c r="B2999" t="str">
        <f>"1552374440843317"</f>
        <v>1552374440843317</v>
      </c>
      <c r="C2999" t="s">
        <v>40</v>
      </c>
      <c r="D2999">
        <v>4.4479379999999997</v>
      </c>
      <c r="E2999">
        <v>0.46354990000000001</v>
      </c>
      <c r="F2999" t="s">
        <v>43</v>
      </c>
      <c r="G2999">
        <v>-389.47590000000002</v>
      </c>
      <c r="H2999">
        <v>-0.05</v>
      </c>
      <c r="I2999">
        <v>271.46480000000003</v>
      </c>
      <c r="J2999">
        <v>-238.05779999999999</v>
      </c>
      <c r="K2999">
        <v>1.1093869999999999</v>
      </c>
      <c r="L2999">
        <v>281.93290000000002</v>
      </c>
      <c r="M2999">
        <v>-0.99958360000000002</v>
      </c>
      <c r="N2999">
        <v>0</v>
      </c>
      <c r="O2999">
        <v>2.7968400000000001E-2</v>
      </c>
      <c r="P2999">
        <v>-0.99899389999999999</v>
      </c>
      <c r="Q2999">
        <v>3.435908E-2</v>
      </c>
      <c r="R2999">
        <v>2.8819859999999999E-2</v>
      </c>
      <c r="S2999">
        <v>-3.0097499999999999</v>
      </c>
      <c r="T2999">
        <v>-2.3020269999999999E-2</v>
      </c>
      <c r="U2999">
        <v>-0.2077637</v>
      </c>
      <c r="V2999">
        <v>8.7683550000000002E-4</v>
      </c>
      <c r="W2999">
        <v>4.1449420000000001E-2</v>
      </c>
      <c r="X2999">
        <v>0.99914020000000003</v>
      </c>
      <c r="Y2999">
        <v>-9.6738459999999998E-2</v>
      </c>
      <c r="Z2999">
        <v>-5.8320680000000001E-4</v>
      </c>
      <c r="AA2999">
        <v>0.99530969999999996</v>
      </c>
      <c r="AB2999">
        <v>29</v>
      </c>
      <c r="AC2999">
        <v>-151.41810000000001</v>
      </c>
      <c r="AD2999">
        <v>-1.1593869999999999</v>
      </c>
      <c r="AE2999">
        <v>-10.4680999999999</v>
      </c>
      <c r="AF2999">
        <v>-14.698175838196301</v>
      </c>
      <c r="AG2999">
        <v>-1.1593869999999999</v>
      </c>
      <c r="AH2999">
        <v>151.057266065199</v>
      </c>
      <c r="AI2999">
        <v>90.437678064502407</v>
      </c>
      <c r="AJ2999">
        <v>95.5574997797018</v>
      </c>
      <c r="AK2999">
        <v>151.77509078329899</v>
      </c>
      <c r="AL2999">
        <v>87.624442571962504</v>
      </c>
      <c r="AM2999">
        <v>89.949717806790403</v>
      </c>
      <c r="AN2999">
        <v>0.99999998125743494</v>
      </c>
    </row>
    <row r="3000" spans="1:40" x14ac:dyDescent="0.25">
      <c r="A3000" t="str">
        <f>"20190312150720860"</f>
        <v>20190312150720860</v>
      </c>
      <c r="B3000" t="str">
        <f>"1552374440853076"</f>
        <v>1552374440853076</v>
      </c>
      <c r="C3000" t="s">
        <v>40</v>
      </c>
      <c r="D3000">
        <v>4.1446699999999996</v>
      </c>
      <c r="E3000">
        <v>0.46353420000000001</v>
      </c>
      <c r="F3000" t="s">
        <v>43</v>
      </c>
      <c r="G3000">
        <v>-400.68169999999998</v>
      </c>
      <c r="H3000">
        <v>-0.05</v>
      </c>
      <c r="I3000">
        <v>270.79750000000001</v>
      </c>
      <c r="J3000">
        <v>-238.2278</v>
      </c>
      <c r="K3000">
        <v>1.1094059999999999</v>
      </c>
      <c r="L3000">
        <v>281.93770000000001</v>
      </c>
      <c r="M3000">
        <v>-0.99958290000000005</v>
      </c>
      <c r="N3000">
        <v>0</v>
      </c>
      <c r="O3000">
        <v>2.7988119999999998E-2</v>
      </c>
      <c r="P3000">
        <v>-0.99898509999999996</v>
      </c>
      <c r="Q3000">
        <v>3.4672269999999998E-2</v>
      </c>
      <c r="R3000">
        <v>2.875144E-2</v>
      </c>
      <c r="S3000">
        <v>-3.0097049999999999</v>
      </c>
      <c r="T3000">
        <v>-2.1456960000000001E-2</v>
      </c>
      <c r="U3000">
        <v>-0.2060852</v>
      </c>
      <c r="V3000">
        <v>7.8701979999999997E-4</v>
      </c>
      <c r="W3000">
        <v>4.1786249999999997E-2</v>
      </c>
      <c r="X3000">
        <v>0.99912630000000002</v>
      </c>
      <c r="Y3000">
        <v>-9.6207139999999997E-2</v>
      </c>
      <c r="Z3000">
        <v>-5.4186930000000005E-4</v>
      </c>
      <c r="AA3000">
        <v>0.99536119999999995</v>
      </c>
      <c r="AB3000">
        <v>29</v>
      </c>
      <c r="AC3000">
        <v>-162.45389999999901</v>
      </c>
      <c r="AD3000">
        <v>-1.1594059999999999</v>
      </c>
      <c r="AE3000">
        <v>-11.140199999999901</v>
      </c>
      <c r="AF3000">
        <v>-15.681935152500699</v>
      </c>
      <c r="AG3000">
        <v>-1.1594059999999999</v>
      </c>
      <c r="AH3000">
        <v>162.07023894288201</v>
      </c>
      <c r="AI3000">
        <v>90.407966006024196</v>
      </c>
      <c r="AJ3000">
        <v>95.526741061530998</v>
      </c>
      <c r="AK3000">
        <v>162.83129202767799</v>
      </c>
      <c r="AL3000">
        <v>87.605127031950005</v>
      </c>
      <c r="AM3000">
        <v>89.954867664271504</v>
      </c>
      <c r="AN3000">
        <v>1.00000003672045</v>
      </c>
    </row>
    <row r="3001" spans="1:40" x14ac:dyDescent="0.25">
      <c r="A3001" t="str">
        <f>"20190312150720873"</f>
        <v>20190312150720873</v>
      </c>
      <c r="B3001" t="str">
        <f>"1552374440862836"</f>
        <v>1552374440862836</v>
      </c>
      <c r="C3001" t="s">
        <v>40</v>
      </c>
      <c r="D3001">
        <v>4.4504380000000001</v>
      </c>
      <c r="E3001">
        <v>0.4636827</v>
      </c>
      <c r="F3001" t="s">
        <v>68</v>
      </c>
      <c r="G3001">
        <v>-416.00869999999998</v>
      </c>
      <c r="H3001" s="1">
        <v>6.8576100000000001E-6</v>
      </c>
      <c r="I3001">
        <v>269.7516</v>
      </c>
      <c r="J3001">
        <v>-238.38319999999999</v>
      </c>
      <c r="K3001">
        <v>1.1094219999999999</v>
      </c>
      <c r="L3001">
        <v>281.94200000000001</v>
      </c>
      <c r="M3001">
        <v>-0.99958250000000004</v>
      </c>
      <c r="N3001">
        <v>0</v>
      </c>
      <c r="O3001">
        <v>2.7995389999999998E-2</v>
      </c>
      <c r="P3001">
        <v>-0.99898909999999996</v>
      </c>
      <c r="Q3001">
        <v>3.4659330000000002E-2</v>
      </c>
      <c r="R3001">
        <v>2.8620690000000001E-2</v>
      </c>
      <c r="S3001">
        <v>-3.0096590000000001</v>
      </c>
      <c r="T3001">
        <v>-1.878107E-2</v>
      </c>
      <c r="U3001">
        <v>-0.2062988</v>
      </c>
      <c r="V3001">
        <v>6.4761150000000004E-4</v>
      </c>
      <c r="W3001">
        <v>4.1794829999999998E-2</v>
      </c>
      <c r="X3001">
        <v>0.99912599999999996</v>
      </c>
      <c r="Y3001">
        <v>-9.6286460000000004E-2</v>
      </c>
      <c r="Z3001">
        <v>-4.7459279999999997E-4</v>
      </c>
      <c r="AA3001">
        <v>0.99535359999999995</v>
      </c>
      <c r="AB3001">
        <v>29</v>
      </c>
      <c r="AC3001">
        <v>-177.62549999999999</v>
      </c>
      <c r="AD3001">
        <v>-1.1094151423899901</v>
      </c>
      <c r="AE3001">
        <v>-12.1904</v>
      </c>
      <c r="AF3001">
        <v>-17.157777729987099</v>
      </c>
      <c r="AG3001">
        <v>-1.1094151423899901</v>
      </c>
      <c r="AH3001">
        <v>177.20771231868099</v>
      </c>
      <c r="AI3001">
        <v>90.357027999526395</v>
      </c>
      <c r="AJ3001">
        <v>95.530309122932593</v>
      </c>
      <c r="AK3001">
        <v>178.03986476014401</v>
      </c>
      <c r="AL3001">
        <v>87.604634905655402</v>
      </c>
      <c r="AM3001">
        <v>89.962862140993494</v>
      </c>
      <c r="AN3001">
        <v>0.99999999554569097</v>
      </c>
    </row>
    <row r="3002" spans="1:40" x14ac:dyDescent="0.25">
      <c r="A3002" t="str">
        <f>"20190312150720886"</f>
        <v>20190312150720886</v>
      </c>
      <c r="B3002" t="str">
        <f>"1552374440883332"</f>
        <v>1552374440883332</v>
      </c>
      <c r="C3002" t="s">
        <v>40</v>
      </c>
      <c r="D3002">
        <v>4.1389079999999998</v>
      </c>
      <c r="E3002">
        <v>0.46381460000000002</v>
      </c>
      <c r="F3002" t="s">
        <v>42</v>
      </c>
      <c r="G3002">
        <v>-429.97059999999999</v>
      </c>
      <c r="H3002">
        <v>6.2859650000000003E-2</v>
      </c>
      <c r="I3002">
        <v>268.8614</v>
      </c>
      <c r="J3002">
        <v>-238.54849999999999</v>
      </c>
      <c r="K3002">
        <v>1.109437</v>
      </c>
      <c r="L3002">
        <v>281.94670000000002</v>
      </c>
      <c r="M3002">
        <v>-0.99958250000000004</v>
      </c>
      <c r="N3002">
        <v>0</v>
      </c>
      <c r="O3002">
        <v>2.7997040000000001E-2</v>
      </c>
      <c r="P3002">
        <v>-0.99898549999999997</v>
      </c>
      <c r="Q3002">
        <v>3.474257E-2</v>
      </c>
      <c r="R3002">
        <v>2.8650829999999999E-2</v>
      </c>
      <c r="S3002">
        <v>-3.009506</v>
      </c>
      <c r="T3002">
        <v>-1.6439680000000002E-2</v>
      </c>
      <c r="U3002">
        <v>-0.20547489999999999</v>
      </c>
      <c r="V3002">
        <v>6.7483099999999998E-4</v>
      </c>
      <c r="W3002">
        <v>4.1900590000000001E-2</v>
      </c>
      <c r="X3002">
        <v>0.9991215</v>
      </c>
      <c r="Y3002">
        <v>-9.6020880000000003E-2</v>
      </c>
      <c r="Z3002">
        <v>-4.1473669999999999E-4</v>
      </c>
      <c r="AA3002">
        <v>0.99537920000000002</v>
      </c>
      <c r="AB3002">
        <v>29</v>
      </c>
      <c r="AC3002">
        <v>-191.4221</v>
      </c>
      <c r="AD3002">
        <v>-1.04657735</v>
      </c>
      <c r="AE3002">
        <v>-13.0853</v>
      </c>
      <c r="AF3002">
        <v>-18.439010593944602</v>
      </c>
      <c r="AG3002">
        <v>-1.04657735</v>
      </c>
      <c r="AH3002">
        <v>190.97501873879099</v>
      </c>
      <c r="AI3002">
        <v>90.312534644062794</v>
      </c>
      <c r="AJ3002">
        <v>95.514924452324607</v>
      </c>
      <c r="AK3002">
        <v>191.86596941123901</v>
      </c>
      <c r="AL3002">
        <v>87.598569865588402</v>
      </c>
      <c r="AM3002">
        <v>89.961301040659194</v>
      </c>
      <c r="AN3002">
        <v>0.99999994330073605</v>
      </c>
    </row>
    <row r="3003" spans="1:40" x14ac:dyDescent="0.25">
      <c r="A3003" t="str">
        <f>"20190312150720902"</f>
        <v>20190312150720902</v>
      </c>
      <c r="B3003" t="str">
        <f>"1552374440893095"</f>
        <v>1552374440893095</v>
      </c>
      <c r="C3003" t="s">
        <v>40</v>
      </c>
      <c r="D3003">
        <v>4.1595149999999999</v>
      </c>
      <c r="E3003">
        <v>0.46384209999999898</v>
      </c>
      <c r="F3003" t="s">
        <v>70</v>
      </c>
      <c r="G3003">
        <v>-440.6841</v>
      </c>
      <c r="H3003">
        <v>0.2575731</v>
      </c>
      <c r="I3003">
        <v>268.21890000000002</v>
      </c>
      <c r="J3003">
        <v>-238.7808</v>
      </c>
      <c r="K3003">
        <v>1.10945</v>
      </c>
      <c r="L3003">
        <v>281.95310000000001</v>
      </c>
      <c r="M3003">
        <v>-0.99958259999999999</v>
      </c>
      <c r="N3003">
        <v>0</v>
      </c>
      <c r="O3003">
        <v>2.7979790000000001E-2</v>
      </c>
      <c r="P3003">
        <v>-0.9990059</v>
      </c>
      <c r="Q3003">
        <v>3.4446190000000002E-2</v>
      </c>
      <c r="R3003">
        <v>2.8302850000000001E-2</v>
      </c>
      <c r="S3003">
        <v>-3.0093540000000001</v>
      </c>
      <c r="T3003">
        <v>-1.2682199999999999E-2</v>
      </c>
      <c r="U3003">
        <v>-0.20437620000000001</v>
      </c>
      <c r="V3003">
        <v>3.4217759999999997E-4</v>
      </c>
      <c r="W3003">
        <v>4.1638090000000003E-2</v>
      </c>
      <c r="X3003">
        <v>0.99913269999999998</v>
      </c>
      <c r="Y3003">
        <v>-9.5646190000000006E-2</v>
      </c>
      <c r="Z3003">
        <v>-3.1910370000000002E-4</v>
      </c>
      <c r="AA3003">
        <v>0.9954153</v>
      </c>
      <c r="AB3003">
        <v>30</v>
      </c>
      <c r="AC3003">
        <v>-201.9033</v>
      </c>
      <c r="AD3003">
        <v>-0.85187690000000005</v>
      </c>
      <c r="AE3003">
        <v>-13.7341999999999</v>
      </c>
      <c r="AF3003">
        <v>-19.377837391366</v>
      </c>
      <c r="AG3003">
        <v>-0.85187690000000005</v>
      </c>
      <c r="AH3003">
        <v>201.436389137204</v>
      </c>
      <c r="AI3003">
        <v>90.241189677757006</v>
      </c>
      <c r="AJ3003">
        <v>95.494848005358094</v>
      </c>
      <c r="AK3003">
        <v>202.36809319864099</v>
      </c>
      <c r="AL3003">
        <v>87.613623281088195</v>
      </c>
      <c r="AM3003">
        <v>89.980377649978394</v>
      </c>
      <c r="AN3003">
        <v>0.99999999991682398</v>
      </c>
    </row>
    <row r="3004" spans="1:40" x14ac:dyDescent="0.25">
      <c r="A3004" t="str">
        <f>"20190312150720914"</f>
        <v>20190312150720914</v>
      </c>
      <c r="B3004" t="str">
        <f>"1552374440902853"</f>
        <v>1552374440902853</v>
      </c>
      <c r="C3004" t="s">
        <v>40</v>
      </c>
      <c r="D3004">
        <v>4.1468910000000001</v>
      </c>
      <c r="E3004">
        <v>0.4636538</v>
      </c>
      <c r="F3004" t="s">
        <v>70</v>
      </c>
      <c r="G3004">
        <v>-440.6841</v>
      </c>
      <c r="H3004">
        <v>0.2515926</v>
      </c>
      <c r="I3004">
        <v>268.19150000000002</v>
      </c>
      <c r="J3004">
        <v>-238.92920000000001</v>
      </c>
      <c r="K3004">
        <v>1.1094580000000001</v>
      </c>
      <c r="L3004">
        <v>281.95729999999998</v>
      </c>
      <c r="M3004">
        <v>-0.99958320000000001</v>
      </c>
      <c r="N3004">
        <v>0</v>
      </c>
      <c r="O3004">
        <v>2.795655E-2</v>
      </c>
      <c r="P3004">
        <v>-0.99900949999999999</v>
      </c>
      <c r="Q3004">
        <v>3.4516190000000002E-2</v>
      </c>
      <c r="R3004">
        <v>2.8087560000000001E-2</v>
      </c>
      <c r="S3004">
        <v>-3.0092469999999998</v>
      </c>
      <c r="T3004">
        <v>-1.2785670000000001E-2</v>
      </c>
      <c r="U3004">
        <v>-0.2051086</v>
      </c>
      <c r="V3004">
        <v>1.4899029999999999E-4</v>
      </c>
      <c r="W3004">
        <v>4.1730980000000001E-2</v>
      </c>
      <c r="X3004">
        <v>0.99912889999999999</v>
      </c>
      <c r="Y3004">
        <v>-9.5866560000000003E-2</v>
      </c>
      <c r="Z3004">
        <v>-3.22085E-4</v>
      </c>
      <c r="AA3004">
        <v>0.99539420000000001</v>
      </c>
      <c r="AB3004">
        <v>30</v>
      </c>
      <c r="AC3004">
        <v>-201.75489999999999</v>
      </c>
      <c r="AD3004">
        <v>-0.8578654</v>
      </c>
      <c r="AE3004">
        <v>-13.765799999999899</v>
      </c>
      <c r="AF3004">
        <v>-19.400587283001599</v>
      </c>
      <c r="AG3004">
        <v>-0.8578654</v>
      </c>
      <c r="AH3004">
        <v>201.287561241041</v>
      </c>
      <c r="AI3004">
        <v>90.243060477725805</v>
      </c>
      <c r="AJ3004">
        <v>95.505302031708197</v>
      </c>
      <c r="AK3004">
        <v>202.222157614678</v>
      </c>
      <c r="AL3004">
        <v>87.608296513011993</v>
      </c>
      <c r="AM3004">
        <v>89.991456042043097</v>
      </c>
      <c r="AN3004">
        <v>1.0000000278525301</v>
      </c>
    </row>
    <row r="3005" spans="1:40" x14ac:dyDescent="0.25">
      <c r="A3005" t="str">
        <f>"20190312150720937"</f>
        <v>20190312150720937</v>
      </c>
      <c r="B3005" t="str">
        <f>"1552374440933108"</f>
        <v>1552374440933108</v>
      </c>
      <c r="C3005" t="s">
        <v>40</v>
      </c>
      <c r="D3005">
        <v>4.1763789999999998</v>
      </c>
      <c r="E3005">
        <v>0.46310050000000003</v>
      </c>
      <c r="F3005" t="s">
        <v>71</v>
      </c>
      <c r="G3005">
        <v>-458.29559999999998</v>
      </c>
      <c r="H3005">
        <v>7.5374129999999998E-2</v>
      </c>
      <c r="I3005">
        <v>266.84530000000001</v>
      </c>
      <c r="J3005">
        <v>-239.21940000000001</v>
      </c>
      <c r="K3005">
        <v>1.1094839999999999</v>
      </c>
      <c r="L3005">
        <v>281.96539999999999</v>
      </c>
      <c r="M3005">
        <v>-0.99958460000000005</v>
      </c>
      <c r="N3005">
        <v>0</v>
      </c>
      <c r="O3005">
        <v>2.7894869999999999E-2</v>
      </c>
      <c r="P3005">
        <v>-0.99901930000000005</v>
      </c>
      <c r="Q3005">
        <v>3.4480089999999998E-2</v>
      </c>
      <c r="R3005">
        <v>2.777756E-2</v>
      </c>
      <c r="S3005">
        <v>-3.0092620000000001</v>
      </c>
      <c r="T3005">
        <v>-1.418471E-2</v>
      </c>
      <c r="U3005">
        <v>-0.20730589999999999</v>
      </c>
      <c r="V3005">
        <v>-1.017796E-4</v>
      </c>
      <c r="W3005">
        <v>4.1739560000000002E-2</v>
      </c>
      <c r="X3005">
        <v>0.99912849999999997</v>
      </c>
      <c r="Y3005">
        <v>-9.6527929999999998E-2</v>
      </c>
      <c r="Z3005">
        <v>-3.5858400000000001E-4</v>
      </c>
      <c r="AA3005">
        <v>0.99533020000000005</v>
      </c>
      <c r="AB3005">
        <v>30</v>
      </c>
      <c r="AC3005">
        <v>-219.0762</v>
      </c>
      <c r="AD3005">
        <v>-1.03410987</v>
      </c>
      <c r="AE3005">
        <v>-15.1200999999999</v>
      </c>
      <c r="AF3005">
        <v>-21.225007763260201</v>
      </c>
      <c r="AG3005">
        <v>-1.03410987</v>
      </c>
      <c r="AH3005">
        <v>218.56431360264199</v>
      </c>
      <c r="AI3005">
        <v>90.269816577319403</v>
      </c>
      <c r="AJ3005">
        <v>95.546660332659201</v>
      </c>
      <c r="AK3005">
        <v>219.59492143118399</v>
      </c>
      <c r="AL3005">
        <v>87.607804372883706</v>
      </c>
      <c r="AM3005">
        <v>90.005836628121699</v>
      </c>
      <c r="AN3005">
        <v>0.99999998037016502</v>
      </c>
    </row>
    <row r="3006" spans="1:40" x14ac:dyDescent="0.25">
      <c r="A3006" t="str">
        <f>"20190312150720948"</f>
        <v>20190312150720948</v>
      </c>
      <c r="B3006" t="str">
        <f>"1552374440942869"</f>
        <v>1552374440942869</v>
      </c>
      <c r="C3006" t="s">
        <v>40</v>
      </c>
      <c r="D3006">
        <v>4.5358450000000001</v>
      </c>
      <c r="E3006">
        <v>0.46305370000000001</v>
      </c>
      <c r="F3006" t="s">
        <v>70</v>
      </c>
      <c r="G3006">
        <v>-440.6841</v>
      </c>
      <c r="H3006">
        <v>0.46586420000000001</v>
      </c>
      <c r="I3006">
        <v>267.7389</v>
      </c>
      <c r="J3006">
        <v>-239.3827</v>
      </c>
      <c r="K3006">
        <v>1.1094999999999999</v>
      </c>
      <c r="L3006">
        <v>281.9699</v>
      </c>
      <c r="M3006">
        <v>-0.99958559999999996</v>
      </c>
      <c r="N3006">
        <v>0</v>
      </c>
      <c r="O3006">
        <v>2.7849120000000002E-2</v>
      </c>
      <c r="P3006">
        <v>-0.99903640000000005</v>
      </c>
      <c r="Q3006">
        <v>3.4246020000000002E-2</v>
      </c>
      <c r="R3006">
        <v>2.745593E-2</v>
      </c>
      <c r="S3006">
        <v>-3.0091860000000001</v>
      </c>
      <c r="T3006">
        <v>-9.6132760000000005E-3</v>
      </c>
      <c r="U3006">
        <v>-0.21249390000000001</v>
      </c>
      <c r="V3006">
        <v>-3.7906019999999998E-4</v>
      </c>
      <c r="W3006">
        <v>4.1530890000000001E-2</v>
      </c>
      <c r="X3006">
        <v>0.99913719999999995</v>
      </c>
      <c r="Y3006">
        <v>-9.8192399999999999E-2</v>
      </c>
      <c r="Z3006">
        <v>-2.4552210000000001E-4</v>
      </c>
      <c r="AA3006">
        <v>0.99516740000000004</v>
      </c>
      <c r="AB3006">
        <v>30</v>
      </c>
      <c r="AC3006">
        <v>-201.3014</v>
      </c>
      <c r="AD3006">
        <v>-0.64363579999999998</v>
      </c>
      <c r="AE3006">
        <v>-14.2309999999999</v>
      </c>
      <c r="AF3006">
        <v>-19.831493875466901</v>
      </c>
      <c r="AG3006">
        <v>-0.64363579999999998</v>
      </c>
      <c r="AH3006">
        <v>200.8249444969</v>
      </c>
      <c r="AI3006">
        <v>90.182741179186095</v>
      </c>
      <c r="AJ3006">
        <v>95.6396824260964</v>
      </c>
      <c r="AK3006">
        <v>201.80277686037601</v>
      </c>
      <c r="AL3006">
        <v>87.619770829006299</v>
      </c>
      <c r="AM3006">
        <v>90.021737303544796</v>
      </c>
      <c r="AN3006">
        <v>1.00000005146733</v>
      </c>
    </row>
    <row r="3007" spans="1:40" x14ac:dyDescent="0.25">
      <c r="A3007" t="str">
        <f>"20190312150720960"</f>
        <v>20190312150720960</v>
      </c>
      <c r="B3007" t="str">
        <f>"1552374440953604"</f>
        <v>1552374440953604</v>
      </c>
      <c r="C3007" t="s">
        <v>40</v>
      </c>
      <c r="D3007">
        <v>4.1627710000000002</v>
      </c>
      <c r="E3007">
        <v>0.46299620000000002</v>
      </c>
      <c r="F3007" t="s">
        <v>70</v>
      </c>
      <c r="G3007">
        <v>-440.6841</v>
      </c>
      <c r="H3007">
        <v>0.44505020000000001</v>
      </c>
      <c r="I3007">
        <v>267.66879999999998</v>
      </c>
      <c r="J3007">
        <v>-239.54419999999999</v>
      </c>
      <c r="K3007">
        <v>1.1095170000000001</v>
      </c>
      <c r="L3007">
        <v>281.97430000000003</v>
      </c>
      <c r="M3007">
        <v>-0.99958689999999994</v>
      </c>
      <c r="N3007">
        <v>0</v>
      </c>
      <c r="O3007">
        <v>2.779585E-2</v>
      </c>
      <c r="P3007">
        <v>-0.99904059999999995</v>
      </c>
      <c r="Q3007">
        <v>3.4495699999999997E-2</v>
      </c>
      <c r="R3007">
        <v>2.6978680000000001E-2</v>
      </c>
      <c r="S3007">
        <v>-3.0090940000000002</v>
      </c>
      <c r="T3007">
        <v>-9.9321600000000006E-3</v>
      </c>
      <c r="U3007">
        <v>-0.21377560000000001</v>
      </c>
      <c r="V3007">
        <v>-8.044991E-4</v>
      </c>
      <c r="W3007">
        <v>4.1805299999999997E-2</v>
      </c>
      <c r="X3007">
        <v>0.9991255</v>
      </c>
      <c r="Y3007">
        <v>-9.8563220000000007E-2</v>
      </c>
      <c r="Z3007">
        <v>-2.5410599999999998E-4</v>
      </c>
      <c r="AA3007">
        <v>0.99513079999999998</v>
      </c>
      <c r="AB3007">
        <v>30</v>
      </c>
      <c r="AC3007">
        <v>-201.13990000000001</v>
      </c>
      <c r="AD3007">
        <v>-0.66446680000000002</v>
      </c>
      <c r="AE3007">
        <v>-14.3055</v>
      </c>
      <c r="AF3007">
        <v>-19.890760204794301</v>
      </c>
      <c r="AG3007">
        <v>-0.66446680000000002</v>
      </c>
      <c r="AH3007">
        <v>200.66235656659799</v>
      </c>
      <c r="AI3007">
        <v>90.188801392330902</v>
      </c>
      <c r="AJ3007">
        <v>95.660980854186604</v>
      </c>
      <c r="AK3007">
        <v>201.64688244679999</v>
      </c>
      <c r="AL3007">
        <v>87.604034618724498</v>
      </c>
      <c r="AM3007">
        <v>90.046134737918507</v>
      </c>
      <c r="AN3007">
        <v>1.00000004753856</v>
      </c>
    </row>
    <row r="3008" spans="1:40" x14ac:dyDescent="0.25">
      <c r="A3008" t="str">
        <f>"20190312150720972"</f>
        <v>20190312150720972</v>
      </c>
      <c r="B3008" t="str">
        <f>"1552374440963364"</f>
        <v>1552374440963364</v>
      </c>
      <c r="C3008" t="s">
        <v>40</v>
      </c>
      <c r="D3008">
        <v>4.1521220000000003</v>
      </c>
      <c r="E3008">
        <v>0.46292899999999998</v>
      </c>
      <c r="F3008" t="s">
        <v>70</v>
      </c>
      <c r="G3008">
        <v>-440.6841</v>
      </c>
      <c r="H3008">
        <v>0.47422409999999998</v>
      </c>
      <c r="I3008">
        <v>267.55610000000001</v>
      </c>
      <c r="J3008">
        <v>-239.69229999999999</v>
      </c>
      <c r="K3008">
        <v>1.109532</v>
      </c>
      <c r="L3008">
        <v>281.97840000000002</v>
      </c>
      <c r="M3008">
        <v>-0.99958829999999999</v>
      </c>
      <c r="N3008">
        <v>0</v>
      </c>
      <c r="O3008">
        <v>2.773962E-2</v>
      </c>
      <c r="P3008">
        <v>-0.99905509999999997</v>
      </c>
      <c r="Q3008">
        <v>3.4186790000000002E-2</v>
      </c>
      <c r="R3008">
        <v>2.683733E-2</v>
      </c>
      <c r="S3008">
        <v>-3.009064</v>
      </c>
      <c r="T3008">
        <v>-9.5038410000000007E-3</v>
      </c>
      <c r="U3008">
        <v>-0.21569820000000001</v>
      </c>
      <c r="V3008">
        <v>-8.9121830000000004E-4</v>
      </c>
      <c r="W3008">
        <v>4.1519449999999999E-2</v>
      </c>
      <c r="X3008">
        <v>0.99913730000000001</v>
      </c>
      <c r="Y3008">
        <v>-9.9140590000000001E-2</v>
      </c>
      <c r="Z3008">
        <v>-2.4387820000000001E-4</v>
      </c>
      <c r="AA3008">
        <v>0.9950734</v>
      </c>
      <c r="AB3008">
        <v>30</v>
      </c>
      <c r="AC3008">
        <v>-200.99180000000001</v>
      </c>
      <c r="AD3008">
        <v>-0.63530789999999904</v>
      </c>
      <c r="AE3008">
        <v>-14.4223</v>
      </c>
      <c r="AF3008">
        <v>-19.9921370157439</v>
      </c>
      <c r="AG3008">
        <v>-0.63530789999999904</v>
      </c>
      <c r="AH3008">
        <v>200.51237777716699</v>
      </c>
      <c r="AI3008">
        <v>90.180640959312996</v>
      </c>
      <c r="AJ3008">
        <v>95.693872000175105</v>
      </c>
      <c r="AK3008">
        <v>201.50757504480501</v>
      </c>
      <c r="AL3008">
        <v>87.620426739870993</v>
      </c>
      <c r="AM3008">
        <v>90.051107123787801</v>
      </c>
      <c r="AN3008">
        <v>1.0000000016248201</v>
      </c>
    </row>
    <row r="3009" spans="1:40" x14ac:dyDescent="0.25">
      <c r="A3009" t="str">
        <f>"20190312150720984"</f>
        <v>20190312150720984</v>
      </c>
      <c r="B3009" t="str">
        <f>"1552374440973124"</f>
        <v>1552374440973124</v>
      </c>
      <c r="C3009" t="s">
        <v>40</v>
      </c>
      <c r="D3009">
        <v>4.1480829999999997</v>
      </c>
      <c r="E3009">
        <v>0.4628061</v>
      </c>
      <c r="F3009" t="s">
        <v>70</v>
      </c>
      <c r="G3009">
        <v>-440.6841</v>
      </c>
      <c r="H3009">
        <v>0.36495490000000003</v>
      </c>
      <c r="I3009">
        <v>267.5093</v>
      </c>
      <c r="J3009">
        <v>-239.863</v>
      </c>
      <c r="K3009">
        <v>1.109551</v>
      </c>
      <c r="L3009">
        <v>281.983</v>
      </c>
      <c r="M3009">
        <v>-0.99958999999999998</v>
      </c>
      <c r="N3009">
        <v>0</v>
      </c>
      <c r="O3009">
        <v>2.7670420000000001E-2</v>
      </c>
      <c r="P3009">
        <v>-0.99906410000000001</v>
      </c>
      <c r="Q3009">
        <v>3.419585E-2</v>
      </c>
      <c r="R3009">
        <v>2.6493369999999999E-2</v>
      </c>
      <c r="S3009">
        <v>-3.0090180000000002</v>
      </c>
      <c r="T3009">
        <v>-1.114678E-2</v>
      </c>
      <c r="U3009">
        <v>-0.2166138</v>
      </c>
      <c r="V3009">
        <v>-1.167544E-3</v>
      </c>
      <c r="W3009">
        <v>4.1554229999999998E-2</v>
      </c>
      <c r="X3009">
        <v>0.99913560000000001</v>
      </c>
      <c r="Y3009">
        <v>-9.937377E-2</v>
      </c>
      <c r="Z3009">
        <v>-2.862141E-4</v>
      </c>
      <c r="AA3009">
        <v>0.99505010000000005</v>
      </c>
      <c r="AB3009">
        <v>30</v>
      </c>
      <c r="AC3009">
        <v>-200.8211</v>
      </c>
      <c r="AD3009">
        <v>-0.74459609999999898</v>
      </c>
      <c r="AE3009">
        <v>-14.473699999999999</v>
      </c>
      <c r="AF3009">
        <v>-20.024838581771899</v>
      </c>
      <c r="AG3009">
        <v>-0.74459609999999898</v>
      </c>
      <c r="AH3009">
        <v>200.340957401917</v>
      </c>
      <c r="AI3009">
        <v>90.211891221377698</v>
      </c>
      <c r="AJ3009">
        <v>95.707971870884407</v>
      </c>
      <c r="AK3009">
        <v>201.34062629358999</v>
      </c>
      <c r="AL3009">
        <v>87.618432344214298</v>
      </c>
      <c r="AM3009">
        <v>90.066953187482099</v>
      </c>
      <c r="AN3009">
        <v>1.00000003218862</v>
      </c>
    </row>
    <row r="3010" spans="1:40" x14ac:dyDescent="0.25">
      <c r="A3010" t="str">
        <f>"20190312150721005"</f>
        <v>20190312150721005</v>
      </c>
      <c r="B3010" t="str">
        <f>"1552374440993620"</f>
        <v>1552374440993620</v>
      </c>
      <c r="C3010" t="s">
        <v>40</v>
      </c>
      <c r="D3010">
        <v>4.1605349999999897</v>
      </c>
      <c r="E3010">
        <v>0.46267760000000002</v>
      </c>
      <c r="F3010" t="s">
        <v>70</v>
      </c>
      <c r="G3010">
        <v>-440.6841</v>
      </c>
      <c r="H3010">
        <v>0.33634380000000003</v>
      </c>
      <c r="I3010">
        <v>267.38760000000002</v>
      </c>
      <c r="J3010">
        <v>-240.13300000000001</v>
      </c>
      <c r="K3010">
        <v>1.1095759999999999</v>
      </c>
      <c r="L3010">
        <v>281.99040000000002</v>
      </c>
      <c r="M3010">
        <v>-0.99959339999999997</v>
      </c>
      <c r="N3010">
        <v>0</v>
      </c>
      <c r="O3010">
        <v>2.7539040000000001E-2</v>
      </c>
      <c r="P3010">
        <v>-0.99909769999999998</v>
      </c>
      <c r="Q3010">
        <v>3.3951240000000001E-2</v>
      </c>
      <c r="R3010">
        <v>2.5524760000000001E-2</v>
      </c>
      <c r="S3010">
        <v>-3.0089869999999999</v>
      </c>
      <c r="T3010">
        <v>-1.1585120000000001E-2</v>
      </c>
      <c r="U3010">
        <v>-0.21868899999999999</v>
      </c>
      <c r="V3010">
        <v>-2.007974E-3</v>
      </c>
      <c r="W3010">
        <v>4.1349370000000003E-2</v>
      </c>
      <c r="X3010">
        <v>0.99914270000000005</v>
      </c>
      <c r="Y3010">
        <v>-9.9926319999999999E-2</v>
      </c>
      <c r="Z3010">
        <v>-2.9802190000000002E-4</v>
      </c>
      <c r="AA3010">
        <v>0.99499479999999996</v>
      </c>
      <c r="AB3010">
        <v>30</v>
      </c>
      <c r="AC3010">
        <v>-200.55109999999999</v>
      </c>
      <c r="AD3010">
        <v>-0.77323219999999904</v>
      </c>
      <c r="AE3010">
        <v>-14.6028</v>
      </c>
      <c r="AF3010">
        <v>-20.120099411217002</v>
      </c>
      <c r="AG3010">
        <v>-0.77323219999999904</v>
      </c>
      <c r="AH3010">
        <v>200.06991610230699</v>
      </c>
      <c r="AI3010">
        <v>90.220324893744504</v>
      </c>
      <c r="AJ3010">
        <v>95.742662304082998</v>
      </c>
      <c r="AK3010">
        <v>201.080550072693</v>
      </c>
      <c r="AL3010">
        <v>87.630179903713696</v>
      </c>
      <c r="AM3010">
        <v>90.115146996203194</v>
      </c>
      <c r="AN3010">
        <v>0.99999996866113505</v>
      </c>
    </row>
    <row r="3011" spans="1:40" x14ac:dyDescent="0.25">
      <c r="A3011" t="str">
        <f>"20190312150721019"</f>
        <v>20190312150721019</v>
      </c>
      <c r="B3011" t="str">
        <f>"1552374441013140"</f>
        <v>1552374441013140</v>
      </c>
      <c r="C3011" t="s">
        <v>40</v>
      </c>
      <c r="D3011">
        <v>4.164377</v>
      </c>
      <c r="E3011">
        <v>0.46256989999999998</v>
      </c>
      <c r="F3011" t="s">
        <v>70</v>
      </c>
      <c r="G3011">
        <v>-440.6841</v>
      </c>
      <c r="H3011">
        <v>0.23707010000000001</v>
      </c>
      <c r="I3011">
        <v>267.1515</v>
      </c>
      <c r="J3011">
        <v>-240.33940000000001</v>
      </c>
      <c r="K3011">
        <v>1.109591</v>
      </c>
      <c r="L3011">
        <v>281.99599999999998</v>
      </c>
      <c r="M3011">
        <v>-0.99959640000000005</v>
      </c>
      <c r="N3011">
        <v>0</v>
      </c>
      <c r="O3011">
        <v>2.7423920000000001E-2</v>
      </c>
      <c r="P3011">
        <v>-0.99909499999999996</v>
      </c>
      <c r="Q3011">
        <v>3.4227380000000002E-2</v>
      </c>
      <c r="R3011">
        <v>2.5254789999999999E-2</v>
      </c>
      <c r="S3011">
        <v>-3.0088349999999999</v>
      </c>
      <c r="T3011">
        <v>-1.30899E-2</v>
      </c>
      <c r="U3011">
        <v>-0.22262570000000001</v>
      </c>
      <c r="V3011">
        <v>-2.1642150000000001E-3</v>
      </c>
      <c r="W3011">
        <v>4.1654280000000002E-2</v>
      </c>
      <c r="X3011">
        <v>0.99912970000000001</v>
      </c>
      <c r="Y3011">
        <v>-0.1011099</v>
      </c>
      <c r="Z3011">
        <v>-3.3880370000000001E-4</v>
      </c>
      <c r="AA3011">
        <v>0.99487519999999996</v>
      </c>
      <c r="AB3011">
        <v>30</v>
      </c>
      <c r="AC3011">
        <v>-200.34469999999999</v>
      </c>
      <c r="AD3011">
        <v>-0.87252090000000004</v>
      </c>
      <c r="AE3011">
        <v>-14.844499999999901</v>
      </c>
      <c r="AF3011">
        <v>-20.332921063609</v>
      </c>
      <c r="AG3011">
        <v>-0.87252090000000004</v>
      </c>
      <c r="AH3011">
        <v>199.85846936519701</v>
      </c>
      <c r="AI3011">
        <v>90.248849738206999</v>
      </c>
      <c r="AJ3011">
        <v>95.809090782602397</v>
      </c>
      <c r="AK3011">
        <v>200.892002699708</v>
      </c>
      <c r="AL3011">
        <v>87.612694761935401</v>
      </c>
      <c r="AM3011">
        <v>90.124108202892202</v>
      </c>
      <c r="AN3011">
        <v>0.99999996014548598</v>
      </c>
    </row>
    <row r="3012" spans="1:40" x14ac:dyDescent="0.25">
      <c r="A3012" t="str">
        <f>"20190312150721038"</f>
        <v>20190312150721038</v>
      </c>
      <c r="B3012" t="str">
        <f>"1552374441033636"</f>
        <v>1552374441033636</v>
      </c>
      <c r="C3012" t="s">
        <v>40</v>
      </c>
      <c r="D3012">
        <v>4.1430809999999996</v>
      </c>
      <c r="E3012">
        <v>0.46245740000000002</v>
      </c>
      <c r="F3012" t="s">
        <v>70</v>
      </c>
      <c r="G3012">
        <v>-440.6841</v>
      </c>
      <c r="H3012">
        <v>0.36907010000000001</v>
      </c>
      <c r="I3012">
        <v>267.06630000000001</v>
      </c>
      <c r="J3012">
        <v>-240.5712</v>
      </c>
      <c r="K3012">
        <v>1.109612</v>
      </c>
      <c r="L3012">
        <v>282.00220000000002</v>
      </c>
      <c r="M3012">
        <v>-0.99959989999999999</v>
      </c>
      <c r="N3012">
        <v>0</v>
      </c>
      <c r="O3012">
        <v>2.7282799999999999E-2</v>
      </c>
      <c r="P3012">
        <v>-0.9991215</v>
      </c>
      <c r="Q3012">
        <v>3.4002999999999999E-2</v>
      </c>
      <c r="R3012">
        <v>2.4493480000000002E-2</v>
      </c>
      <c r="S3012">
        <v>-3.008759</v>
      </c>
      <c r="T3012">
        <v>-1.1120919999999999E-2</v>
      </c>
      <c r="U3012">
        <v>-0.22421260000000001</v>
      </c>
      <c r="V3012">
        <v>-2.7864439999999999E-3</v>
      </c>
      <c r="W3012">
        <v>4.14618E-2</v>
      </c>
      <c r="X3012">
        <v>0.99913620000000003</v>
      </c>
      <c r="Y3012">
        <v>-0.1014935</v>
      </c>
      <c r="Z3012">
        <v>-2.8803010000000003E-4</v>
      </c>
      <c r="AA3012">
        <v>0.99483619999999995</v>
      </c>
      <c r="AB3012">
        <v>30</v>
      </c>
      <c r="AC3012">
        <v>-200.1129</v>
      </c>
      <c r="AD3012">
        <v>-0.74054189999999998</v>
      </c>
      <c r="AE3012">
        <v>-14.9359</v>
      </c>
      <c r="AF3012">
        <v>-20.389854449024501</v>
      </c>
      <c r="AG3012">
        <v>-0.74054189999999998</v>
      </c>
      <c r="AH3012">
        <v>199.62818164918801</v>
      </c>
      <c r="AI3012">
        <v>90.211443730514503</v>
      </c>
      <c r="AJ3012">
        <v>95.831918490361105</v>
      </c>
      <c r="AK3012">
        <v>200.66814763514299</v>
      </c>
      <c r="AL3012">
        <v>87.6237326740996</v>
      </c>
      <c r="AM3012">
        <v>90.159789092962797</v>
      </c>
      <c r="AN3012">
        <v>0.99999999563992203</v>
      </c>
    </row>
    <row r="3013" spans="1:40" x14ac:dyDescent="0.25">
      <c r="A3013" t="str">
        <f>"20190312150721059"</f>
        <v>20190312150721059</v>
      </c>
      <c r="B3013" t="str">
        <f>"1552374441053156"</f>
        <v>1552374441053156</v>
      </c>
      <c r="C3013" t="s">
        <v>40</v>
      </c>
      <c r="D3013">
        <v>4.1347909999999999</v>
      </c>
      <c r="E3013">
        <v>0.46235969999999998</v>
      </c>
      <c r="F3013" t="s">
        <v>70</v>
      </c>
      <c r="G3013">
        <v>-440.6841</v>
      </c>
      <c r="H3013">
        <v>0.30388739999999997</v>
      </c>
      <c r="I3013">
        <v>266.87580000000003</v>
      </c>
      <c r="J3013">
        <v>-240.87129999999999</v>
      </c>
      <c r="K3013">
        <v>1.1096330000000001</v>
      </c>
      <c r="L3013">
        <v>282.0102</v>
      </c>
      <c r="M3013">
        <v>-0.99960519999999997</v>
      </c>
      <c r="N3013">
        <v>0</v>
      </c>
      <c r="O3013">
        <v>2.7078600000000001E-2</v>
      </c>
      <c r="P3013">
        <v>-0.99913410000000002</v>
      </c>
      <c r="Q3013">
        <v>3.4068729999999998E-2</v>
      </c>
      <c r="R3013">
        <v>2.3887180000000001E-2</v>
      </c>
      <c r="S3013">
        <v>-3.008591</v>
      </c>
      <c r="T3013">
        <v>-1.211345E-2</v>
      </c>
      <c r="U3013">
        <v>-0.22741700000000001</v>
      </c>
      <c r="V3013">
        <v>-3.1909149999999999E-3</v>
      </c>
      <c r="W3013">
        <v>4.1569000000000002E-2</v>
      </c>
      <c r="X3013">
        <v>0.99913050000000003</v>
      </c>
      <c r="Y3013">
        <v>-0.1023478</v>
      </c>
      <c r="Z3013">
        <v>-3.1463809999999999E-4</v>
      </c>
      <c r="AA3013">
        <v>0.99474870000000004</v>
      </c>
      <c r="AB3013">
        <v>30</v>
      </c>
      <c r="AC3013">
        <v>-199.81280000000001</v>
      </c>
      <c r="AD3013">
        <v>-0.80574559999999995</v>
      </c>
      <c r="AE3013">
        <v>-15.1343999999999</v>
      </c>
      <c r="AF3013">
        <v>-20.5393208448473</v>
      </c>
      <c r="AG3013">
        <v>-0.80574559999999995</v>
      </c>
      <c r="AH3013">
        <v>199.32647336964101</v>
      </c>
      <c r="AI3013">
        <v>90.230387938956994</v>
      </c>
      <c r="AJ3013">
        <v>95.883200429210902</v>
      </c>
      <c r="AK3013">
        <v>200.38352205887099</v>
      </c>
      <c r="AL3013">
        <v>87.617585181325396</v>
      </c>
      <c r="AM3013">
        <v>90.182984445676198</v>
      </c>
      <c r="AN3013">
        <v>0.99999995986489199</v>
      </c>
    </row>
    <row r="3014" spans="1:40" x14ac:dyDescent="0.25">
      <c r="A3014" t="str">
        <f>"20190312150721082"</f>
        <v>20190312150721082</v>
      </c>
      <c r="B3014" t="str">
        <f>"1552374441073652"</f>
        <v>1552374441073652</v>
      </c>
      <c r="C3014" t="s">
        <v>40</v>
      </c>
      <c r="D3014">
        <v>4.1335369999999996</v>
      </c>
      <c r="E3014">
        <v>0.4622869</v>
      </c>
      <c r="F3014" t="s">
        <v>70</v>
      </c>
      <c r="G3014">
        <v>-440.6841</v>
      </c>
      <c r="H3014">
        <v>0.3464527</v>
      </c>
      <c r="I3014">
        <v>266.72969999999998</v>
      </c>
      <c r="J3014">
        <v>-241.1748</v>
      </c>
      <c r="K3014">
        <v>1.1096569999999999</v>
      </c>
      <c r="L3014">
        <v>282.01819999999998</v>
      </c>
      <c r="M3014">
        <v>-0.99961120000000003</v>
      </c>
      <c r="N3014">
        <v>0</v>
      </c>
      <c r="O3014">
        <v>2.6843740000000001E-2</v>
      </c>
      <c r="P3014">
        <v>-0.9991468</v>
      </c>
      <c r="Q3014">
        <v>3.4221729999999999E-2</v>
      </c>
      <c r="R3014">
        <v>2.3124780000000001E-2</v>
      </c>
      <c r="S3014">
        <v>-3.008499</v>
      </c>
      <c r="T3014">
        <v>-1.14907E-2</v>
      </c>
      <c r="U3014">
        <v>-0.230072</v>
      </c>
      <c r="V3014">
        <v>-3.7211409999999999E-3</v>
      </c>
      <c r="W3014">
        <v>4.1765759999999999E-2</v>
      </c>
      <c r="X3014">
        <v>0.99912049999999997</v>
      </c>
      <c r="Y3014">
        <v>-0.10298930000000001</v>
      </c>
      <c r="Z3014">
        <v>-2.9878940000000002E-4</v>
      </c>
      <c r="AA3014">
        <v>0.99468239999999997</v>
      </c>
      <c r="AB3014">
        <v>30</v>
      </c>
      <c r="AC3014">
        <v>-199.5093</v>
      </c>
      <c r="AD3014">
        <v>-0.76320429999999995</v>
      </c>
      <c r="AE3014">
        <v>-15.288500000000001</v>
      </c>
      <c r="AF3014">
        <v>-20.638418146368799</v>
      </c>
      <c r="AG3014">
        <v>-0.76320429999999995</v>
      </c>
      <c r="AH3014">
        <v>199.02409346350601</v>
      </c>
      <c r="AI3014">
        <v>90.218541086471603</v>
      </c>
      <c r="AJ3014">
        <v>95.920302434860204</v>
      </c>
      <c r="AK3014">
        <v>200.09276989276299</v>
      </c>
      <c r="AL3014">
        <v>87.606301959212402</v>
      </c>
      <c r="AM3014">
        <v>90.213392367056301</v>
      </c>
      <c r="AN3014">
        <v>0.99999999955948404</v>
      </c>
    </row>
    <row r="3015" spans="1:40" x14ac:dyDescent="0.25">
      <c r="A3015" t="str">
        <f>"20190312150721095"</f>
        <v>20190312150721095</v>
      </c>
      <c r="B3015" t="str">
        <f>"1552374441083413"</f>
        <v>1552374441083413</v>
      </c>
      <c r="C3015" t="s">
        <v>40</v>
      </c>
      <c r="D3015">
        <v>4.1109530000000003</v>
      </c>
      <c r="E3015">
        <v>0.46222439999999998</v>
      </c>
      <c r="F3015" t="s">
        <v>70</v>
      </c>
      <c r="G3015">
        <v>-440.6841</v>
      </c>
      <c r="H3015">
        <v>0.37104700000000002</v>
      </c>
      <c r="I3015">
        <v>266.57380000000001</v>
      </c>
      <c r="J3015">
        <v>-241.3434</v>
      </c>
      <c r="K3015">
        <v>1.109667</v>
      </c>
      <c r="L3015">
        <v>282.02260000000001</v>
      </c>
      <c r="M3015">
        <v>-0.99961480000000003</v>
      </c>
      <c r="N3015">
        <v>0</v>
      </c>
      <c r="O3015">
        <v>2.6698320000000001E-2</v>
      </c>
      <c r="P3015">
        <v>-0.9991544</v>
      </c>
      <c r="Q3015">
        <v>3.4199189999999997E-2</v>
      </c>
      <c r="R3015">
        <v>2.282176E-2</v>
      </c>
      <c r="S3015">
        <v>-3.0083160000000002</v>
      </c>
      <c r="T3015">
        <v>-1.1137009999999999E-2</v>
      </c>
      <c r="U3015">
        <v>-0.23287959999999999</v>
      </c>
      <c r="V3015">
        <v>-3.8802649999999999E-3</v>
      </c>
      <c r="W3015">
        <v>4.1768149999999997E-2</v>
      </c>
      <c r="X3015">
        <v>0.9991198</v>
      </c>
      <c r="Y3015">
        <v>-0.10377210000000001</v>
      </c>
      <c r="Z3015">
        <v>-2.9050910000000003E-4</v>
      </c>
      <c r="AA3015">
        <v>0.99460110000000002</v>
      </c>
      <c r="AB3015">
        <v>30</v>
      </c>
      <c r="AC3015">
        <v>-199.3407</v>
      </c>
      <c r="AD3015">
        <v>-0.73861999999999906</v>
      </c>
      <c r="AE3015">
        <v>-15.4488</v>
      </c>
      <c r="AF3015">
        <v>-20.765224040383199</v>
      </c>
      <c r="AG3015">
        <v>-0.73861999999999906</v>
      </c>
      <c r="AH3015">
        <v>198.85445549901499</v>
      </c>
      <c r="AI3015">
        <v>90.211666118486207</v>
      </c>
      <c r="AJ3015">
        <v>95.961461733339902</v>
      </c>
      <c r="AK3015">
        <v>199.93707650348699</v>
      </c>
      <c r="AL3015">
        <v>87.606164915208893</v>
      </c>
      <c r="AM3015">
        <v>90.2225175500853</v>
      </c>
      <c r="AN3015">
        <v>1.0000000047814599</v>
      </c>
    </row>
    <row r="3016" spans="1:40" x14ac:dyDescent="0.25">
      <c r="A3016" t="str">
        <f>"20190312150721107"</f>
        <v>20190312150721107</v>
      </c>
      <c r="B3016" t="str">
        <f>"1552374441102933"</f>
        <v>1552374441102933</v>
      </c>
      <c r="C3016" t="s">
        <v>40</v>
      </c>
      <c r="D3016">
        <v>4.4615130000000001</v>
      </c>
      <c r="E3016">
        <v>0.46218189999999998</v>
      </c>
      <c r="F3016" t="s">
        <v>70</v>
      </c>
      <c r="G3016">
        <v>-440.6841</v>
      </c>
      <c r="H3016">
        <v>0.41045569999999998</v>
      </c>
      <c r="I3016">
        <v>266.5</v>
      </c>
      <c r="J3016">
        <v>-241.51390000000001</v>
      </c>
      <c r="K3016">
        <v>1.109683</v>
      </c>
      <c r="L3016">
        <v>282.02699999999999</v>
      </c>
      <c r="M3016">
        <v>-0.99961869999999997</v>
      </c>
      <c r="N3016">
        <v>0</v>
      </c>
      <c r="O3016">
        <v>2.6544720000000001E-2</v>
      </c>
      <c r="P3016">
        <v>-0.99916749999999999</v>
      </c>
      <c r="Q3016">
        <v>3.4071030000000002E-2</v>
      </c>
      <c r="R3016">
        <v>2.2440680000000001E-2</v>
      </c>
      <c r="S3016">
        <v>-3.00827</v>
      </c>
      <c r="T3016">
        <v>-1.0551690000000001E-2</v>
      </c>
      <c r="U3016">
        <v>-0.23425289999999999</v>
      </c>
      <c r="V3016">
        <v>-4.1089630000000002E-3</v>
      </c>
      <c r="W3016">
        <v>4.1664769999999997E-2</v>
      </c>
      <c r="X3016">
        <v>0.99912319999999999</v>
      </c>
      <c r="Y3016">
        <v>-0.10407180000000001</v>
      </c>
      <c r="Z3016">
        <v>-2.7522750000000002E-4</v>
      </c>
      <c r="AA3016">
        <v>0.9945697</v>
      </c>
      <c r="AB3016">
        <v>30</v>
      </c>
      <c r="AC3016">
        <v>-199.17019999999999</v>
      </c>
      <c r="AD3016">
        <v>-0.6992273</v>
      </c>
      <c r="AE3016">
        <v>-15.5269999999999</v>
      </c>
      <c r="AF3016">
        <v>-20.808343546822599</v>
      </c>
      <c r="AG3016">
        <v>-0.6992273</v>
      </c>
      <c r="AH3016">
        <v>198.68540790961799</v>
      </c>
      <c r="AI3016">
        <v>90.200541598984898</v>
      </c>
      <c r="AJ3016">
        <v>95.978797281671703</v>
      </c>
      <c r="AK3016">
        <v>199.773289996914</v>
      </c>
      <c r="AL3016">
        <v>87.612093308645697</v>
      </c>
      <c r="AM3016">
        <v>90.235631512526894</v>
      </c>
      <c r="AN3016">
        <v>1.0000000027071601</v>
      </c>
    </row>
    <row r="3017" spans="1:40" x14ac:dyDescent="0.25">
      <c r="A3017" t="str">
        <f>"20190312150721125"</f>
        <v>20190312150721125</v>
      </c>
      <c r="B3017" t="str">
        <f>"1552374441112692"</f>
        <v>1552374441112692</v>
      </c>
      <c r="C3017" t="s">
        <v>40</v>
      </c>
      <c r="D3017">
        <v>4.1018999999999997</v>
      </c>
      <c r="E3017">
        <v>0.46213739999999998</v>
      </c>
      <c r="F3017" t="s">
        <v>70</v>
      </c>
      <c r="G3017">
        <v>-440.6841</v>
      </c>
      <c r="H3017">
        <v>0.51318649999999999</v>
      </c>
      <c r="I3017">
        <v>266.40960000000001</v>
      </c>
      <c r="J3017">
        <v>-241.761</v>
      </c>
      <c r="K3017">
        <v>1.1097140000000001</v>
      </c>
      <c r="L3017">
        <v>282.0333</v>
      </c>
      <c r="M3017">
        <v>-0.99962499999999999</v>
      </c>
      <c r="N3017">
        <v>0</v>
      </c>
      <c r="O3017">
        <v>2.6300810000000001E-2</v>
      </c>
      <c r="P3017">
        <v>-0.99917909999999999</v>
      </c>
      <c r="Q3017">
        <v>3.4000229999999999E-2</v>
      </c>
      <c r="R3017">
        <v>2.2028909999999999E-2</v>
      </c>
      <c r="S3017">
        <v>-3.0080870000000002</v>
      </c>
      <c r="T3017">
        <v>-9.0087650000000002E-3</v>
      </c>
      <c r="U3017">
        <v>-0.23587040000000001</v>
      </c>
      <c r="V3017">
        <v>-4.2790509999999999E-3</v>
      </c>
      <c r="W3017">
        <v>4.1629510000000002E-2</v>
      </c>
      <c r="X3017">
        <v>0.99912389999999995</v>
      </c>
      <c r="Y3017">
        <v>-0.1043656</v>
      </c>
      <c r="Z3017">
        <v>-2.3470159999999999E-4</v>
      </c>
      <c r="AA3017">
        <v>0.99453899999999995</v>
      </c>
      <c r="AB3017">
        <v>30</v>
      </c>
      <c r="AC3017">
        <v>-198.92310000000001</v>
      </c>
      <c r="AD3017">
        <v>-0.59652749999999899</v>
      </c>
      <c r="AE3017">
        <v>-15.6236999999999</v>
      </c>
      <c r="AF3017">
        <v>-20.850099409565001</v>
      </c>
      <c r="AG3017">
        <v>-0.59652749999999899</v>
      </c>
      <c r="AH3017">
        <v>198.44158180516399</v>
      </c>
      <c r="AI3017">
        <v>90.171291202439505</v>
      </c>
      <c r="AJ3017">
        <v>95.998014884868596</v>
      </c>
      <c r="AK3017">
        <v>199.53481871538801</v>
      </c>
      <c r="AL3017">
        <v>87.614115179084095</v>
      </c>
      <c r="AM3017">
        <v>90.245385045464104</v>
      </c>
      <c r="AN3017">
        <v>0.99999994696575301</v>
      </c>
    </row>
    <row r="3018" spans="1:40" x14ac:dyDescent="0.25">
      <c r="A3018" t="str">
        <f>"20190312150721137"</f>
        <v>20190312150721137</v>
      </c>
      <c r="B3018" t="str">
        <f>"1552374441133189"</f>
        <v>1552374441133189</v>
      </c>
      <c r="C3018" t="s">
        <v>40</v>
      </c>
      <c r="D3018">
        <v>4.3190119999999999</v>
      </c>
      <c r="E3018">
        <v>0.46207959999999898</v>
      </c>
      <c r="F3018" t="s">
        <v>70</v>
      </c>
      <c r="G3018">
        <v>-440.6841</v>
      </c>
      <c r="H3018">
        <v>0.53573990000000005</v>
      </c>
      <c r="I3018">
        <v>266.33609999999999</v>
      </c>
      <c r="J3018">
        <v>-241.9187</v>
      </c>
      <c r="K3018">
        <v>1.1097330000000001</v>
      </c>
      <c r="L3018">
        <v>282.03730000000002</v>
      </c>
      <c r="M3018">
        <v>-0.9996292</v>
      </c>
      <c r="N3018">
        <v>0</v>
      </c>
      <c r="O3018">
        <v>2.6131060000000001E-2</v>
      </c>
      <c r="P3018">
        <v>-0.99919119999999995</v>
      </c>
      <c r="Q3018">
        <v>3.3695450000000002E-2</v>
      </c>
      <c r="R3018">
        <v>2.195012E-2</v>
      </c>
      <c r="S3018">
        <v>-3.0080110000000002</v>
      </c>
      <c r="T3018">
        <v>-8.6791519999999903E-3</v>
      </c>
      <c r="U3018">
        <v>-0.23736570000000001</v>
      </c>
      <c r="V3018">
        <v>-4.1900100000000001E-3</v>
      </c>
      <c r="W3018">
        <v>4.134699E-2</v>
      </c>
      <c r="X3018">
        <v>0.99913609999999997</v>
      </c>
      <c r="Y3018">
        <v>-0.10469009999999999</v>
      </c>
      <c r="Z3018">
        <v>-2.2609400000000001E-4</v>
      </c>
      <c r="AA3018">
        <v>0.99450490000000002</v>
      </c>
      <c r="AB3018">
        <v>30</v>
      </c>
      <c r="AC3018">
        <v>-198.7654</v>
      </c>
      <c r="AD3018">
        <v>-0.57399309999999903</v>
      </c>
      <c r="AE3018">
        <v>-15.7012</v>
      </c>
      <c r="AF3018">
        <v>-20.889767861557001</v>
      </c>
      <c r="AG3018">
        <v>-0.57399309999999903</v>
      </c>
      <c r="AH3018">
        <v>198.28557836949199</v>
      </c>
      <c r="AI3018">
        <v>90.164945369980998</v>
      </c>
      <c r="AJ3018">
        <v>96.014036292059302</v>
      </c>
      <c r="AK3018">
        <v>199.38375675744601</v>
      </c>
      <c r="AL3018">
        <v>87.6303165489023</v>
      </c>
      <c r="AM3018">
        <v>90.240276056283193</v>
      </c>
      <c r="AN3018">
        <v>1.00000003804453</v>
      </c>
    </row>
    <row r="3019" spans="1:40" x14ac:dyDescent="0.25">
      <c r="A3019" t="str">
        <f>"20190312150721148"</f>
        <v>20190312150721148</v>
      </c>
      <c r="B3019" t="str">
        <f>"1552374441142948"</f>
        <v>1552374441142948</v>
      </c>
      <c r="C3019" t="s">
        <v>40</v>
      </c>
      <c r="D3019">
        <v>4.4997259999999999</v>
      </c>
      <c r="E3019">
        <v>0.46203830000000001</v>
      </c>
      <c r="F3019" t="s">
        <v>70</v>
      </c>
      <c r="G3019">
        <v>-440.6841</v>
      </c>
      <c r="H3019">
        <v>0.5791712</v>
      </c>
      <c r="I3019">
        <v>266.29770000000002</v>
      </c>
      <c r="J3019">
        <v>-242.077</v>
      </c>
      <c r="K3019">
        <v>1.109748</v>
      </c>
      <c r="L3019">
        <v>282.04129999999998</v>
      </c>
      <c r="M3019">
        <v>-0.99963369999999996</v>
      </c>
      <c r="N3019">
        <v>0</v>
      </c>
      <c r="O3019">
        <v>2.59548E-2</v>
      </c>
      <c r="P3019">
        <v>-0.99918810000000002</v>
      </c>
      <c r="Q3019">
        <v>3.378975E-2</v>
      </c>
      <c r="R3019">
        <v>2.194608E-2</v>
      </c>
      <c r="S3019">
        <v>-3.0079349999999998</v>
      </c>
      <c r="T3019">
        <v>-8.0288649999999996E-3</v>
      </c>
      <c r="U3019">
        <v>-0.2381897</v>
      </c>
      <c r="V3019">
        <v>-4.0189539999999999E-3</v>
      </c>
      <c r="W3019">
        <v>4.1463710000000001E-2</v>
      </c>
      <c r="X3019">
        <v>0.99913189999999996</v>
      </c>
      <c r="Y3019">
        <v>-0.10478750000000001</v>
      </c>
      <c r="Z3019">
        <v>-2.08817E-4</v>
      </c>
      <c r="AA3019">
        <v>0.99449460000000001</v>
      </c>
      <c r="AB3019">
        <v>30</v>
      </c>
      <c r="AC3019">
        <v>-198.6071</v>
      </c>
      <c r="AD3019">
        <v>-0.53057679999999996</v>
      </c>
      <c r="AE3019">
        <v>-15.743599999999899</v>
      </c>
      <c r="AF3019">
        <v>-20.893106917297199</v>
      </c>
      <c r="AG3019">
        <v>-0.53057679999999996</v>
      </c>
      <c r="AH3019">
        <v>198.130149591677</v>
      </c>
      <c r="AI3019">
        <v>90.152587143604705</v>
      </c>
      <c r="AJ3019">
        <v>96.019674534013404</v>
      </c>
      <c r="AK3019">
        <v>199.22941450905</v>
      </c>
      <c r="AL3019">
        <v>87.623623089754801</v>
      </c>
      <c r="AM3019">
        <v>90.230467929555402</v>
      </c>
      <c r="AN3019">
        <v>0.99999997241791305</v>
      </c>
    </row>
    <row r="3020" spans="1:40" x14ac:dyDescent="0.25">
      <c r="A3020" t="str">
        <f>"20190312150721160"</f>
        <v>20190312150721160</v>
      </c>
      <c r="B3020" t="str">
        <f>"1552374441153685"</f>
        <v>1552374441153685</v>
      </c>
      <c r="C3020" t="s">
        <v>40</v>
      </c>
      <c r="D3020">
        <v>4.0950369999999996</v>
      </c>
      <c r="E3020">
        <v>0.4620011</v>
      </c>
      <c r="F3020" t="s">
        <v>70</v>
      </c>
      <c r="G3020">
        <v>-440.6841</v>
      </c>
      <c r="H3020">
        <v>0.62282090000000001</v>
      </c>
      <c r="I3020">
        <v>266.298</v>
      </c>
      <c r="J3020">
        <v>-242.244</v>
      </c>
      <c r="K3020">
        <v>1.1097589999999999</v>
      </c>
      <c r="L3020">
        <v>282.0455</v>
      </c>
      <c r="M3020">
        <v>-0.99963860000000004</v>
      </c>
      <c r="N3020">
        <v>0</v>
      </c>
      <c r="O3020">
        <v>2.575904E-2</v>
      </c>
      <c r="P3020">
        <v>-0.99919279999999999</v>
      </c>
      <c r="Q3020">
        <v>3.3732529999999997E-2</v>
      </c>
      <c r="R3020">
        <v>2.181545E-2</v>
      </c>
      <c r="S3020">
        <v>-3.0079349999999998</v>
      </c>
      <c r="T3020">
        <v>-7.374406E-3</v>
      </c>
      <c r="U3020">
        <v>-0.2384338</v>
      </c>
      <c r="V3020">
        <v>-3.9560719999999997E-3</v>
      </c>
      <c r="W3020">
        <v>4.1429399999999998E-2</v>
      </c>
      <c r="X3020">
        <v>0.99913359999999996</v>
      </c>
      <c r="Y3020">
        <v>-0.10467310000000001</v>
      </c>
      <c r="Z3020">
        <v>-1.9117569999999999E-4</v>
      </c>
      <c r="AA3020">
        <v>0.99450669999999997</v>
      </c>
      <c r="AB3020">
        <v>30</v>
      </c>
      <c r="AC3020">
        <v>-198.4401</v>
      </c>
      <c r="AD3020">
        <v>-0.48693809999999899</v>
      </c>
      <c r="AE3020">
        <v>-15.7475</v>
      </c>
      <c r="AF3020">
        <v>-20.853927221978601</v>
      </c>
      <c r="AG3020">
        <v>-0.48693809999999899</v>
      </c>
      <c r="AH3020">
        <v>197.96741284996901</v>
      </c>
      <c r="AI3020">
        <v>90.140154000788797</v>
      </c>
      <c r="AJ3020">
        <v>96.013371838015303</v>
      </c>
      <c r="AK3020">
        <v>199.06335659734799</v>
      </c>
      <c r="AL3020">
        <v>87.625590659820503</v>
      </c>
      <c r="AM3020">
        <v>90.226861597416899</v>
      </c>
      <c r="AN3020">
        <v>0.99999999816949403</v>
      </c>
    </row>
    <row r="3021" spans="1:40" x14ac:dyDescent="0.25">
      <c r="A3021" t="str">
        <f>"20190312150721182"</f>
        <v>20190312150721182</v>
      </c>
      <c r="B3021" t="str">
        <f>"1552374441173207"</f>
        <v>1552374441173207</v>
      </c>
      <c r="C3021" t="s">
        <v>40</v>
      </c>
      <c r="D3021">
        <v>4.1081390000000004</v>
      </c>
      <c r="E3021">
        <v>0.46194609999999903</v>
      </c>
      <c r="F3021" t="s">
        <v>70</v>
      </c>
      <c r="G3021">
        <v>-440.6841</v>
      </c>
      <c r="H3021">
        <v>0.62876319999999997</v>
      </c>
      <c r="I3021">
        <v>266.27499999999998</v>
      </c>
      <c r="J3021">
        <v>-242.54490000000001</v>
      </c>
      <c r="K3021">
        <v>1.109793</v>
      </c>
      <c r="L3021">
        <v>282.05279999999999</v>
      </c>
      <c r="M3021">
        <v>-0.99964810000000004</v>
      </c>
      <c r="N3021">
        <v>0</v>
      </c>
      <c r="O3021">
        <v>2.5374460000000001E-2</v>
      </c>
      <c r="P3021">
        <v>-0.9992103</v>
      </c>
      <c r="Q3021">
        <v>3.3446150000000001E-2</v>
      </c>
      <c r="R3021">
        <v>2.1457179999999999E-2</v>
      </c>
      <c r="S3021">
        <v>-3.007889</v>
      </c>
      <c r="T3021">
        <v>-7.2906019999999898E-3</v>
      </c>
      <c r="U3021">
        <v>-0.23904420000000001</v>
      </c>
      <c r="V3021">
        <v>-3.9327679999999997E-3</v>
      </c>
      <c r="W3021">
        <v>4.1183089999999999E-2</v>
      </c>
      <c r="X3021">
        <v>0.99914389999999997</v>
      </c>
      <c r="Y3021">
        <v>-0.10449219999999999</v>
      </c>
      <c r="Z3021">
        <v>-1.8785469999999999E-4</v>
      </c>
      <c r="AA3021">
        <v>0.99452569999999996</v>
      </c>
      <c r="AB3021">
        <v>30</v>
      </c>
      <c r="AC3021">
        <v>-198.13919999999999</v>
      </c>
      <c r="AD3021">
        <v>-0.48102980000000001</v>
      </c>
      <c r="AE3021">
        <v>-15.777799999999999</v>
      </c>
      <c r="AF3021">
        <v>-20.800423254001299</v>
      </c>
      <c r="AG3021">
        <v>-0.48102980000000001</v>
      </c>
      <c r="AH3021">
        <v>197.67387578196301</v>
      </c>
      <c r="AI3021">
        <v>90.138660684340906</v>
      </c>
      <c r="AJ3021">
        <v>96.006897997080003</v>
      </c>
      <c r="AK3021">
        <v>198.765817392923</v>
      </c>
      <c r="AL3021">
        <v>87.639715297396805</v>
      </c>
      <c r="AM3021">
        <v>90.225522914684205</v>
      </c>
      <c r="AN3021">
        <v>1.0000000232366399</v>
      </c>
    </row>
    <row r="3022" spans="1:40" x14ac:dyDescent="0.25">
      <c r="A3022" t="str">
        <f>"20190312150721196"</f>
        <v>20190312150721196</v>
      </c>
      <c r="B3022" t="str">
        <f>"1552374441192725"</f>
        <v>1552374441192725</v>
      </c>
      <c r="C3022" t="s">
        <v>40</v>
      </c>
      <c r="D3022">
        <v>4.0906089999999997</v>
      </c>
      <c r="E3022">
        <v>0.46186840000000001</v>
      </c>
      <c r="F3022" t="s">
        <v>70</v>
      </c>
      <c r="G3022">
        <v>-440.6841</v>
      </c>
      <c r="H3022">
        <v>0.52228929999999996</v>
      </c>
      <c r="I3022">
        <v>266.20749999999998</v>
      </c>
      <c r="J3022">
        <v>-242.7278</v>
      </c>
      <c r="K3022">
        <v>1.109815</v>
      </c>
      <c r="L3022">
        <v>282.05720000000002</v>
      </c>
      <c r="M3022">
        <v>-0.9996545</v>
      </c>
      <c r="N3022">
        <v>0</v>
      </c>
      <c r="O3022">
        <v>2.5113130000000001E-2</v>
      </c>
      <c r="P3022">
        <v>-0.99922350000000004</v>
      </c>
      <c r="Q3022">
        <v>3.3345479999999997E-2</v>
      </c>
      <c r="R3022">
        <v>2.0990200000000001E-2</v>
      </c>
      <c r="S3022">
        <v>-3.0078429999999998</v>
      </c>
      <c r="T3022">
        <v>-8.9184050000000008E-3</v>
      </c>
      <c r="U3022">
        <v>-0.24053959999999999</v>
      </c>
      <c r="V3022">
        <v>-4.1409790000000004E-3</v>
      </c>
      <c r="W3022">
        <v>4.1105429999999998E-2</v>
      </c>
      <c r="X3022">
        <v>0.99914619999999998</v>
      </c>
      <c r="Y3022">
        <v>-0.104724499999999</v>
      </c>
      <c r="Z3022">
        <v>-2.2936690000000001E-4</v>
      </c>
      <c r="AA3022">
        <v>0.99450119999999997</v>
      </c>
      <c r="AB3022">
        <v>30</v>
      </c>
      <c r="AC3022">
        <v>-197.9563</v>
      </c>
      <c r="AD3022">
        <v>-0.58752569999999904</v>
      </c>
      <c r="AE3022">
        <v>-15.8497</v>
      </c>
      <c r="AF3022">
        <v>-20.815970723416701</v>
      </c>
      <c r="AG3022">
        <v>-0.58752569999999904</v>
      </c>
      <c r="AH3022">
        <v>197.494087756543</v>
      </c>
      <c r="AI3022">
        <v>90.169509909103894</v>
      </c>
      <c r="AJ3022">
        <v>96.0167873339404</v>
      </c>
      <c r="AK3022">
        <v>198.58893353456401</v>
      </c>
      <c r="AL3022">
        <v>87.644168524894297</v>
      </c>
      <c r="AM3022">
        <v>90.23746200635</v>
      </c>
      <c r="AN3022">
        <v>0.99999996652850098</v>
      </c>
    </row>
    <row r="3023" spans="1:40" x14ac:dyDescent="0.25">
      <c r="A3023" t="str">
        <f>"20190312150721211"</f>
        <v>20190312150721211</v>
      </c>
      <c r="B3023" t="str">
        <f>"1552374441203461"</f>
        <v>1552374441203461</v>
      </c>
      <c r="C3023" t="s">
        <v>40</v>
      </c>
      <c r="D3023">
        <v>4.0924509999999996</v>
      </c>
      <c r="E3023">
        <v>0.4618275</v>
      </c>
      <c r="F3023" t="s">
        <v>70</v>
      </c>
      <c r="G3023">
        <v>-440.6841</v>
      </c>
      <c r="H3023">
        <v>0.52084350000000001</v>
      </c>
      <c r="I3023">
        <v>266.09129999999999</v>
      </c>
      <c r="J3023">
        <v>-242.92400000000001</v>
      </c>
      <c r="K3023">
        <v>1.109839</v>
      </c>
      <c r="L3023">
        <v>282.06189999999998</v>
      </c>
      <c r="M3023">
        <v>-0.99966169999999999</v>
      </c>
      <c r="N3023">
        <v>0</v>
      </c>
      <c r="O3023">
        <v>2.4816950000000001E-2</v>
      </c>
      <c r="P3023">
        <v>-0.99923729999999999</v>
      </c>
      <c r="Q3023">
        <v>3.3183310000000001E-2</v>
      </c>
      <c r="R3023">
        <v>2.0587049999999999E-2</v>
      </c>
      <c r="S3023">
        <v>-3.0077210000000001</v>
      </c>
      <c r="T3023">
        <v>-8.9485650000000003E-3</v>
      </c>
      <c r="U3023">
        <v>-0.2425842</v>
      </c>
      <c r="V3023">
        <v>-4.2505820000000001E-3</v>
      </c>
      <c r="W3023">
        <v>4.0967749999999997E-2</v>
      </c>
      <c r="X3023">
        <v>0.99915140000000002</v>
      </c>
      <c r="Y3023">
        <v>-0.1051048</v>
      </c>
      <c r="Z3023">
        <v>-2.2983049999999999E-4</v>
      </c>
      <c r="AA3023">
        <v>0.99446109999999999</v>
      </c>
      <c r="AB3023">
        <v>31</v>
      </c>
      <c r="AC3023">
        <v>-197.76009999999999</v>
      </c>
      <c r="AD3023">
        <v>-0.58899550000000001</v>
      </c>
      <c r="AE3023">
        <v>-15.9705999999999</v>
      </c>
      <c r="AF3023">
        <v>-20.8734482302395</v>
      </c>
      <c r="AG3023">
        <v>-0.58899550000000001</v>
      </c>
      <c r="AH3023">
        <v>197.30109617821</v>
      </c>
      <c r="AI3023">
        <v>90.170093180752502</v>
      </c>
      <c r="AJ3023">
        <v>96.039136551192499</v>
      </c>
      <c r="AK3023">
        <v>198.40305015256899</v>
      </c>
      <c r="AL3023">
        <v>87.652063671581203</v>
      </c>
      <c r="AM3023">
        <v>90.243745782550903</v>
      </c>
      <c r="AN3023">
        <v>0.99999997205468005</v>
      </c>
    </row>
    <row r="3024" spans="1:40" x14ac:dyDescent="0.25">
      <c r="A3024" t="str">
        <f>"20190312150721227"</f>
        <v>20190312150721227</v>
      </c>
      <c r="B3024" t="str">
        <f>"1552374441222982"</f>
        <v>1552374441222982</v>
      </c>
      <c r="C3024" t="s">
        <v>40</v>
      </c>
      <c r="D3024">
        <v>4.0925409999999998</v>
      </c>
      <c r="E3024">
        <v>0.46177069999999998</v>
      </c>
      <c r="F3024" t="s">
        <v>70</v>
      </c>
      <c r="G3024">
        <v>-440.6841</v>
      </c>
      <c r="H3024">
        <v>0.50642679999999995</v>
      </c>
      <c r="I3024">
        <v>266.00299999999999</v>
      </c>
      <c r="J3024">
        <v>-243.15199999999999</v>
      </c>
      <c r="K3024">
        <v>1.109874</v>
      </c>
      <c r="L3024">
        <v>282.06720000000001</v>
      </c>
      <c r="M3024">
        <v>-0.99967070000000002</v>
      </c>
      <c r="N3024">
        <v>0</v>
      </c>
      <c r="O3024">
        <v>2.44481E-2</v>
      </c>
      <c r="P3024">
        <v>-0.99925299999999995</v>
      </c>
      <c r="Q3024">
        <v>3.3129989999999998E-2</v>
      </c>
      <c r="R3024">
        <v>1.9905559999999999E-2</v>
      </c>
      <c r="S3024">
        <v>-3.0076450000000001</v>
      </c>
      <c r="T3024">
        <v>-9.1768500000000003E-3</v>
      </c>
      <c r="U3024">
        <v>-0.24423220000000001</v>
      </c>
      <c r="V3024">
        <v>-4.5669380000000004E-3</v>
      </c>
      <c r="W3024">
        <v>4.0941539999999998E-2</v>
      </c>
      <c r="X3024">
        <v>0.99915109999999996</v>
      </c>
      <c r="Y3024">
        <v>-0.10528120000000001</v>
      </c>
      <c r="Z3024">
        <v>-2.3483940000000001E-4</v>
      </c>
      <c r="AA3024">
        <v>0.99444250000000001</v>
      </c>
      <c r="AB3024">
        <v>31</v>
      </c>
      <c r="AC3024">
        <v>-197.53210000000001</v>
      </c>
      <c r="AD3024">
        <v>-0.60344719999999996</v>
      </c>
      <c r="AE3024">
        <v>-16.0642</v>
      </c>
      <c r="AF3024">
        <v>-20.888635769987999</v>
      </c>
      <c r="AG3024">
        <v>-0.60344719999999996</v>
      </c>
      <c r="AH3024">
        <v>197.07847589425</v>
      </c>
      <c r="AI3024">
        <v>90.174459851856</v>
      </c>
      <c r="AJ3024">
        <v>96.050274265902104</v>
      </c>
      <c r="AK3024">
        <v>198.18331139037599</v>
      </c>
      <c r="AL3024">
        <v>87.653566705640898</v>
      </c>
      <c r="AM3024">
        <v>90.261886766119503</v>
      </c>
      <c r="AN3024">
        <v>0.99999999362573799</v>
      </c>
    </row>
    <row r="3025" spans="1:40" x14ac:dyDescent="0.25">
      <c r="A3025" t="str">
        <f>"20190312150721250"</f>
        <v>20190312150721250</v>
      </c>
      <c r="B3025" t="str">
        <f>"1552374441243476"</f>
        <v>1552374441243476</v>
      </c>
      <c r="C3025" t="s">
        <v>40</v>
      </c>
      <c r="D3025">
        <v>4.1314390000000003</v>
      </c>
      <c r="E3025">
        <v>0.46172999999999997</v>
      </c>
      <c r="F3025" t="s">
        <v>70</v>
      </c>
      <c r="G3025">
        <v>-440.6841</v>
      </c>
      <c r="H3025">
        <v>0.49500179999999999</v>
      </c>
      <c r="I3025">
        <v>265.86950000000002</v>
      </c>
      <c r="J3025">
        <v>-243.46039999999999</v>
      </c>
      <c r="K3025">
        <v>1.1099139999999901</v>
      </c>
      <c r="L3025">
        <v>282.07420000000002</v>
      </c>
      <c r="M3025">
        <v>-0.99968349999999995</v>
      </c>
      <c r="N3025">
        <v>0</v>
      </c>
      <c r="O3025">
        <v>2.3905590000000001E-2</v>
      </c>
      <c r="P3025">
        <v>-0.9992742</v>
      </c>
      <c r="Q3025">
        <v>3.292113E-2</v>
      </c>
      <c r="R3025">
        <v>1.916967E-2</v>
      </c>
      <c r="S3025">
        <v>-3.0074619999999999</v>
      </c>
      <c r="T3025">
        <v>-9.3613859999999993E-3</v>
      </c>
      <c r="U3025">
        <v>-0.24661250000000001</v>
      </c>
      <c r="V3025">
        <v>-4.7642149999999996E-3</v>
      </c>
      <c r="W3025">
        <v>4.0768110000000003E-2</v>
      </c>
      <c r="X3025">
        <v>0.99915719999999997</v>
      </c>
      <c r="Y3025">
        <v>-0.10552830000000001</v>
      </c>
      <c r="Z3025">
        <v>-2.3826620000000001E-4</v>
      </c>
      <c r="AA3025">
        <v>0.99441630000000003</v>
      </c>
      <c r="AB3025">
        <v>31</v>
      </c>
      <c r="AC3025">
        <v>-197.22370000000001</v>
      </c>
      <c r="AD3025">
        <v>-0.61491219999999902</v>
      </c>
      <c r="AE3025">
        <v>-16.204699999999999</v>
      </c>
      <c r="AF3025">
        <v>-20.914760510744699</v>
      </c>
      <c r="AG3025">
        <v>-0.61491219999999902</v>
      </c>
      <c r="AH3025">
        <v>196.77803920530201</v>
      </c>
      <c r="AI3025">
        <v>90.178040340090405</v>
      </c>
      <c r="AJ3025">
        <v>96.066964892253694</v>
      </c>
      <c r="AK3025">
        <v>197.887346835817</v>
      </c>
      <c r="AL3025">
        <v>87.663511651884093</v>
      </c>
      <c r="AM3025">
        <v>90.273197594404706</v>
      </c>
      <c r="AN3025">
        <v>0.99999992342468602</v>
      </c>
    </row>
    <row r="3026" spans="1:40" x14ac:dyDescent="0.25">
      <c r="A3026" t="str">
        <f>"20190312150721261"</f>
        <v>20190312150721261</v>
      </c>
      <c r="B3026" t="str">
        <f>"1552374441253236"</f>
        <v>1552374441253236</v>
      </c>
      <c r="C3026" t="s">
        <v>40</v>
      </c>
      <c r="D3026">
        <v>4.1172300000000002</v>
      </c>
      <c r="E3026">
        <v>0.46170050000000001</v>
      </c>
      <c r="F3026" t="s">
        <v>70</v>
      </c>
      <c r="G3026">
        <v>-440.6841</v>
      </c>
      <c r="H3026">
        <v>0.5284643</v>
      </c>
      <c r="I3026">
        <v>265.7285</v>
      </c>
      <c r="J3026">
        <v>-243.6267</v>
      </c>
      <c r="K3026">
        <v>1.1099349999999999</v>
      </c>
      <c r="L3026">
        <v>282.0779</v>
      </c>
      <c r="M3026">
        <v>-0.99969070000000004</v>
      </c>
      <c r="N3026">
        <v>0</v>
      </c>
      <c r="O3026">
        <v>2.3597480000000001E-2</v>
      </c>
      <c r="P3026">
        <v>-0.99928070000000002</v>
      </c>
      <c r="Q3026">
        <v>3.294834E-2</v>
      </c>
      <c r="R3026">
        <v>1.879078E-2</v>
      </c>
      <c r="S3026">
        <v>-3.0072480000000001</v>
      </c>
      <c r="T3026">
        <v>-8.8657140000000002E-3</v>
      </c>
      <c r="U3026">
        <v>-0.24923709999999999</v>
      </c>
      <c r="V3026">
        <v>-4.8371000000000004E-3</v>
      </c>
      <c r="W3026">
        <v>4.081386E-2</v>
      </c>
      <c r="X3026">
        <v>0.99915500000000002</v>
      </c>
      <c r="Y3026">
        <v>-0.10608960000000001</v>
      </c>
      <c r="Z3026">
        <v>-2.255774E-4</v>
      </c>
      <c r="AA3026">
        <v>0.99435660000000003</v>
      </c>
      <c r="AB3026">
        <v>31</v>
      </c>
      <c r="AC3026">
        <v>-197.0574</v>
      </c>
      <c r="AD3026">
        <v>-0.58147070000000001</v>
      </c>
      <c r="AE3026">
        <v>-16.349399999999999</v>
      </c>
      <c r="AF3026">
        <v>-20.994866954350002</v>
      </c>
      <c r="AG3026">
        <v>-0.58147070000000001</v>
      </c>
      <c r="AH3026">
        <v>196.61500738527101</v>
      </c>
      <c r="AI3026">
        <v>90.168488623125995</v>
      </c>
      <c r="AJ3026">
        <v>96.095039730349498</v>
      </c>
      <c r="AK3026">
        <v>197.73361797053201</v>
      </c>
      <c r="AL3026">
        <v>87.660888228250599</v>
      </c>
      <c r="AM3026">
        <v>90.277377634049699</v>
      </c>
      <c r="AN3026">
        <v>0.99999994136475301</v>
      </c>
    </row>
    <row r="3027" spans="1:40" x14ac:dyDescent="0.25">
      <c r="A3027" t="str">
        <f>"20190312150721273"</f>
        <v>20190312150721273</v>
      </c>
      <c r="B3027" t="str">
        <f>"1552374441262996"</f>
        <v>1552374441262996</v>
      </c>
      <c r="C3027" t="s">
        <v>40</v>
      </c>
      <c r="D3027">
        <v>4.1106989999999897</v>
      </c>
      <c r="E3027">
        <v>0.46168239999999999</v>
      </c>
      <c r="F3027" t="s">
        <v>70</v>
      </c>
      <c r="G3027">
        <v>-440.6841</v>
      </c>
      <c r="H3027">
        <v>0.55538940000000003</v>
      </c>
      <c r="I3027">
        <v>265.65940000000001</v>
      </c>
      <c r="J3027">
        <v>-243.7886</v>
      </c>
      <c r="K3027">
        <v>1.1099540000000001</v>
      </c>
      <c r="L3027">
        <v>282.08139999999997</v>
      </c>
      <c r="M3027">
        <v>-0.99969790000000003</v>
      </c>
      <c r="N3027">
        <v>0</v>
      </c>
      <c r="O3027">
        <v>2.3282790000000001E-2</v>
      </c>
      <c r="P3027">
        <v>-0.99928249999999996</v>
      </c>
      <c r="Q3027">
        <v>3.306369E-2</v>
      </c>
      <c r="R3027">
        <v>1.8471000000000001E-2</v>
      </c>
      <c r="S3027">
        <v>-3.0071409999999998</v>
      </c>
      <c r="T3027">
        <v>-8.4623100000000007E-3</v>
      </c>
      <c r="U3027">
        <v>-0.25054929999999997</v>
      </c>
      <c r="V3027">
        <v>-4.8446970000000002E-3</v>
      </c>
      <c r="W3027">
        <v>4.0946780000000002E-2</v>
      </c>
      <c r="X3027">
        <v>0.99914959999999997</v>
      </c>
      <c r="Y3027">
        <v>-0.1062105</v>
      </c>
      <c r="Z3027">
        <v>-2.146026E-4</v>
      </c>
      <c r="AA3027">
        <v>0.99434359999999999</v>
      </c>
      <c r="AB3027">
        <v>31</v>
      </c>
      <c r="AC3027">
        <v>-196.8955</v>
      </c>
      <c r="AD3027">
        <v>-0.55456459999999996</v>
      </c>
      <c r="AE3027">
        <v>-16.421999999999901</v>
      </c>
      <c r="AF3027">
        <v>-21.001801323289101</v>
      </c>
      <c r="AG3027">
        <v>-0.55456459999999996</v>
      </c>
      <c r="AH3027">
        <v>196.45821252598299</v>
      </c>
      <c r="AI3027">
        <v>90.160818477729194</v>
      </c>
      <c r="AJ3027">
        <v>96.101867091607204</v>
      </c>
      <c r="AK3027">
        <v>197.57837044986201</v>
      </c>
      <c r="AL3027">
        <v>87.653266277563304</v>
      </c>
      <c r="AM3027">
        <v>90.277814769424893</v>
      </c>
      <c r="AN3027">
        <v>1.0000000165307701</v>
      </c>
    </row>
    <row r="3028" spans="1:40" x14ac:dyDescent="0.25">
      <c r="A3028" t="str">
        <f>"20190312150721285"</f>
        <v>20190312150721285</v>
      </c>
      <c r="B3028" t="str">
        <f>"1552374441283492"</f>
        <v>1552374441283492</v>
      </c>
      <c r="C3028" t="s">
        <v>40</v>
      </c>
      <c r="D3028">
        <v>4.0999679999999996</v>
      </c>
      <c r="E3028">
        <v>0.46161760000000002</v>
      </c>
      <c r="F3028" t="s">
        <v>70</v>
      </c>
      <c r="G3028">
        <v>-440.6841</v>
      </c>
      <c r="H3028">
        <v>0.61643409999999998</v>
      </c>
      <c r="I3028">
        <v>265.59800000000001</v>
      </c>
      <c r="J3028">
        <v>-243.95230000000001</v>
      </c>
      <c r="K3028">
        <v>1.109974</v>
      </c>
      <c r="L3028">
        <v>282.0849</v>
      </c>
      <c r="M3028">
        <v>-0.99970519999999996</v>
      </c>
      <c r="N3028">
        <v>0</v>
      </c>
      <c r="O3028">
        <v>2.295844E-2</v>
      </c>
      <c r="P3028">
        <v>-0.99928019999999995</v>
      </c>
      <c r="Q3028">
        <v>3.3205539999999999E-2</v>
      </c>
      <c r="R3028">
        <v>1.8349290000000001E-2</v>
      </c>
      <c r="S3028">
        <v>-3.00705</v>
      </c>
      <c r="T3028">
        <v>-7.5370069999999897E-3</v>
      </c>
      <c r="U3028">
        <v>-0.2517395</v>
      </c>
      <c r="V3028">
        <v>-4.6440880000000002E-3</v>
      </c>
      <c r="W3028">
        <v>4.110639E-2</v>
      </c>
      <c r="X3028">
        <v>0.99914400000000003</v>
      </c>
      <c r="Y3028">
        <v>-0.1062813</v>
      </c>
      <c r="Z3028">
        <v>-1.904168E-4</v>
      </c>
      <c r="AA3028">
        <v>0.99433609999999994</v>
      </c>
      <c r="AB3028">
        <v>31</v>
      </c>
      <c r="AC3028">
        <v>-196.73179999999999</v>
      </c>
      <c r="AD3028">
        <v>-0.49353989999999998</v>
      </c>
      <c r="AE3028">
        <v>-16.486899999999899</v>
      </c>
      <c r="AF3028">
        <v>-20.999219083189999</v>
      </c>
      <c r="AG3028">
        <v>-0.49353989999999998</v>
      </c>
      <c r="AH3028">
        <v>196.30019012228999</v>
      </c>
      <c r="AI3028">
        <v>90.143236080504494</v>
      </c>
      <c r="AJ3028">
        <v>96.105996845595897</v>
      </c>
      <c r="AK3028">
        <v>197.42080798584499</v>
      </c>
      <c r="AL3028">
        <v>87.644113595259199</v>
      </c>
      <c r="AM3028">
        <v>90.266312689549295</v>
      </c>
      <c r="AN3028">
        <v>1.00000001779409</v>
      </c>
    </row>
    <row r="3029" spans="1:40" x14ac:dyDescent="0.25">
      <c r="A3029" t="str">
        <f>"20190312150721297"</f>
        <v>20190312150721297</v>
      </c>
      <c r="B3029" t="str">
        <f>"1552374441293253"</f>
        <v>1552374441293253</v>
      </c>
      <c r="C3029" t="s">
        <v>40</v>
      </c>
      <c r="D3029">
        <v>4.2116049999999996</v>
      </c>
      <c r="E3029">
        <v>0.46160459999999898</v>
      </c>
      <c r="F3029" t="s">
        <v>70</v>
      </c>
      <c r="G3029">
        <v>-440.6841</v>
      </c>
      <c r="H3029">
        <v>0.68077369999999904</v>
      </c>
      <c r="I3029">
        <v>265.5652</v>
      </c>
      <c r="J3029">
        <v>-244.1208</v>
      </c>
      <c r="K3029">
        <v>1.1099969999999999</v>
      </c>
      <c r="L3029">
        <v>282.08839999999998</v>
      </c>
      <c r="M3029">
        <v>-0.99971310000000002</v>
      </c>
      <c r="N3029">
        <v>0</v>
      </c>
      <c r="O3029">
        <v>2.2605710000000001E-2</v>
      </c>
      <c r="P3029">
        <v>-0.99928550000000005</v>
      </c>
      <c r="Q3029">
        <v>3.3242140000000003E-2</v>
      </c>
      <c r="R3029">
        <v>1.7992089999999999E-2</v>
      </c>
      <c r="S3029">
        <v>-3.0070190000000001</v>
      </c>
      <c r="T3029">
        <v>-6.5600869999999896E-3</v>
      </c>
      <c r="U3029">
        <v>-0.25250240000000002</v>
      </c>
      <c r="V3029">
        <v>-4.6502720000000004E-3</v>
      </c>
      <c r="W3029">
        <v>4.1160700000000001E-2</v>
      </c>
      <c r="X3029">
        <v>0.99914170000000002</v>
      </c>
      <c r="Y3029">
        <v>-0.106182</v>
      </c>
      <c r="Z3029">
        <v>-1.64859E-4</v>
      </c>
      <c r="AA3029">
        <v>0.99434670000000003</v>
      </c>
      <c r="AB3029">
        <v>31</v>
      </c>
      <c r="AC3029">
        <v>-196.5633</v>
      </c>
      <c r="AD3029">
        <v>-0.42922329999999997</v>
      </c>
      <c r="AE3029">
        <v>-16.5231999999999</v>
      </c>
      <c r="AF3029">
        <v>-20.962470379073</v>
      </c>
      <c r="AG3029">
        <v>-0.42922329999999997</v>
      </c>
      <c r="AH3029">
        <v>196.138607668329</v>
      </c>
      <c r="AI3029">
        <v>90.124673989378906</v>
      </c>
      <c r="AJ3029">
        <v>96.100375484677201</v>
      </c>
      <c r="AK3029">
        <v>197.25608435509801</v>
      </c>
      <c r="AL3029">
        <v>87.640999142320993</v>
      </c>
      <c r="AM3029">
        <v>90.266667916386396</v>
      </c>
      <c r="AN3029">
        <v>0.99999998246652599</v>
      </c>
    </row>
    <row r="3030" spans="1:40" x14ac:dyDescent="0.25">
      <c r="A3030" t="str">
        <f>"20190312150721315"</f>
        <v>20190312150721315</v>
      </c>
      <c r="B3030" t="str">
        <f>"1552374441303013"</f>
        <v>1552374441303013</v>
      </c>
      <c r="C3030" t="s">
        <v>40</v>
      </c>
      <c r="D3030">
        <v>4.0221419999999997</v>
      </c>
      <c r="E3030">
        <v>0.46163209999999999</v>
      </c>
      <c r="F3030" t="s">
        <v>70</v>
      </c>
      <c r="G3030">
        <v>-440.6841</v>
      </c>
      <c r="H3030">
        <v>0.72188850000000004</v>
      </c>
      <c r="I3030">
        <v>265.49439999999998</v>
      </c>
      <c r="J3030">
        <v>-244.36949999999999</v>
      </c>
      <c r="K3030">
        <v>1.110025</v>
      </c>
      <c r="L3030">
        <v>282.09359999999998</v>
      </c>
      <c r="M3030">
        <v>-0.99972490000000003</v>
      </c>
      <c r="N3030">
        <v>0</v>
      </c>
      <c r="O3030">
        <v>2.206839E-2</v>
      </c>
      <c r="P3030">
        <v>-0.99929990000000002</v>
      </c>
      <c r="Q3030">
        <v>3.311455E-2</v>
      </c>
      <c r="R3030">
        <v>1.7417620000000002E-2</v>
      </c>
      <c r="S3030">
        <v>-3.0068969999999999</v>
      </c>
      <c r="T3030">
        <v>-5.9368609999999999E-3</v>
      </c>
      <c r="U3030">
        <v>-0.25384519999999999</v>
      </c>
      <c r="V3030">
        <v>-4.690311E-3</v>
      </c>
      <c r="W3030">
        <v>4.1058749999999998E-2</v>
      </c>
      <c r="X3030">
        <v>0.99914570000000003</v>
      </c>
      <c r="Y3030">
        <v>-0.1060919</v>
      </c>
      <c r="Z3030">
        <v>-1.4805219999999901E-4</v>
      </c>
      <c r="AA3030">
        <v>0.99435629999999997</v>
      </c>
      <c r="AB3030">
        <v>31</v>
      </c>
      <c r="AC3030">
        <v>-196.31460000000001</v>
      </c>
      <c r="AD3030">
        <v>-0.3881365</v>
      </c>
      <c r="AE3030">
        <v>-16.5991999999999</v>
      </c>
      <c r="AF3030">
        <v>-20.927559877994199</v>
      </c>
      <c r="AG3030">
        <v>-0.3881365</v>
      </c>
      <c r="AH3030">
        <v>195.899697685376</v>
      </c>
      <c r="AI3030">
        <v>90.112877841099802</v>
      </c>
      <c r="AJ3030">
        <v>96.097663961000094</v>
      </c>
      <c r="AK3030">
        <v>197.01473286435001</v>
      </c>
      <c r="AL3030">
        <v>87.646845371524606</v>
      </c>
      <c r="AM3030">
        <v>90.268962825865202</v>
      </c>
      <c r="AN3030">
        <v>0.99999997489866399</v>
      </c>
    </row>
    <row r="3031" spans="1:40" x14ac:dyDescent="0.25">
      <c r="A3031" t="str">
        <f>"20190312150721328"</f>
        <v>20190312150721328</v>
      </c>
      <c r="B3031" t="str">
        <f>"1552374441323509"</f>
        <v>1552374441323509</v>
      </c>
      <c r="C3031" t="s">
        <v>40</v>
      </c>
      <c r="D3031">
        <v>4.0457739999999998</v>
      </c>
      <c r="E3031">
        <v>0.46189069999999999</v>
      </c>
      <c r="F3031" t="s">
        <v>70</v>
      </c>
      <c r="G3031">
        <v>-440.6841</v>
      </c>
      <c r="H3031">
        <v>0.71654219999999902</v>
      </c>
      <c r="I3031">
        <v>265.428</v>
      </c>
      <c r="J3031">
        <v>-244.5359</v>
      </c>
      <c r="K3031">
        <v>1.1100410000000001</v>
      </c>
      <c r="L3031">
        <v>282.09690000000001</v>
      </c>
      <c r="M3031">
        <v>-0.99973279999999998</v>
      </c>
      <c r="N3031">
        <v>0</v>
      </c>
      <c r="O3031">
        <v>2.1697979999999999E-2</v>
      </c>
      <c r="P3031">
        <v>-0.99930379999999996</v>
      </c>
      <c r="Q3031">
        <v>3.3169070000000002E-2</v>
      </c>
      <c r="R3031">
        <v>1.7087769999999999E-2</v>
      </c>
      <c r="S3031">
        <v>-3.0067439999999999</v>
      </c>
      <c r="T3031">
        <v>-6.0263869999999898E-3</v>
      </c>
      <c r="U3031">
        <v>-0.255249</v>
      </c>
      <c r="V3031">
        <v>-4.6517080000000001E-3</v>
      </c>
      <c r="W3031">
        <v>4.1129260000000001E-2</v>
      </c>
      <c r="X3031">
        <v>0.999143</v>
      </c>
      <c r="Y3031">
        <v>-0.10618859999999999</v>
      </c>
      <c r="Z3031">
        <v>-1.4964500000000001E-4</v>
      </c>
      <c r="AA3031">
        <v>0.99434599999999995</v>
      </c>
      <c r="AB3031">
        <v>31</v>
      </c>
      <c r="AC3031">
        <v>-196.1482</v>
      </c>
      <c r="AD3031">
        <v>-0.39349879999999998</v>
      </c>
      <c r="AE3031">
        <v>-16.668900000000001</v>
      </c>
      <c r="AF3031">
        <v>-20.9210467275153</v>
      </c>
      <c r="AG3031">
        <v>-0.39349879999999998</v>
      </c>
      <c r="AH3031">
        <v>195.73954305024799</v>
      </c>
      <c r="AI3031">
        <v>90.114530278514493</v>
      </c>
      <c r="AJ3031">
        <v>96.100730501515102</v>
      </c>
      <c r="AK3031">
        <v>196.85480372853601</v>
      </c>
      <c r="AL3031">
        <v>87.642802076606799</v>
      </c>
      <c r="AM3031">
        <v>90.266749914952499</v>
      </c>
      <c r="AN3031">
        <v>0.99999999443223198</v>
      </c>
    </row>
    <row r="3032" spans="1:40" x14ac:dyDescent="0.25">
      <c r="A3032" t="str">
        <f>"20190312150721340"</f>
        <v>20190312150721340</v>
      </c>
      <c r="B3032" t="str">
        <f>"1552374441333269"</f>
        <v>1552374441333269</v>
      </c>
      <c r="C3032" t="s">
        <v>40</v>
      </c>
      <c r="D3032">
        <v>4.1060739999999996</v>
      </c>
      <c r="E3032">
        <v>0.4621981</v>
      </c>
      <c r="F3032" t="s">
        <v>70</v>
      </c>
      <c r="G3032">
        <v>-440.6841</v>
      </c>
      <c r="H3032">
        <v>0.64942739999999999</v>
      </c>
      <c r="I3032">
        <v>265.51479999999998</v>
      </c>
      <c r="J3032">
        <v>-244.71430000000001</v>
      </c>
      <c r="K3032">
        <v>1.1100589999999999</v>
      </c>
      <c r="L3032">
        <v>282.10039999999998</v>
      </c>
      <c r="M3032">
        <v>-0.9997414</v>
      </c>
      <c r="N3032">
        <v>0</v>
      </c>
      <c r="O3032">
        <v>2.1289309999999999E-2</v>
      </c>
      <c r="P3032">
        <v>-0.99931570000000003</v>
      </c>
      <c r="Q3032">
        <v>3.3004480000000003E-2</v>
      </c>
      <c r="R3032">
        <v>1.6698580000000001E-2</v>
      </c>
      <c r="S3032">
        <v>-3.0066830000000002</v>
      </c>
      <c r="T3032">
        <v>-7.0604090000000001E-3</v>
      </c>
      <c r="U3032">
        <v>-0.25418089999999999</v>
      </c>
      <c r="V3032">
        <v>-4.6341070000000002E-3</v>
      </c>
      <c r="W3032">
        <v>4.098251E-2</v>
      </c>
      <c r="X3032">
        <v>0.99914910000000001</v>
      </c>
      <c r="Y3032">
        <v>-0.105433</v>
      </c>
      <c r="Z3032">
        <v>-1.7348369999999999E-4</v>
      </c>
      <c r="AA3032">
        <v>0.99442640000000004</v>
      </c>
      <c r="AB3032">
        <v>31</v>
      </c>
      <c r="AC3032">
        <v>-195.96979999999999</v>
      </c>
      <c r="AD3032">
        <v>-0.46063159999999898</v>
      </c>
      <c r="AE3032">
        <v>-16.585599999999999</v>
      </c>
      <c r="AF3032">
        <v>-20.753922023060099</v>
      </c>
      <c r="AG3032">
        <v>-0.46063159999999898</v>
      </c>
      <c r="AH3032">
        <v>195.57120186932099</v>
      </c>
      <c r="AI3032">
        <v>90.134195810116196</v>
      </c>
      <c r="AJ3032">
        <v>96.057529832141398</v>
      </c>
      <c r="AK3032">
        <v>196.66985651446601</v>
      </c>
      <c r="AL3032">
        <v>87.651217299690103</v>
      </c>
      <c r="AM3032">
        <v>90.265738986362805</v>
      </c>
      <c r="AN3032">
        <v>0.99999998255219802</v>
      </c>
    </row>
    <row r="3033" spans="1:40" x14ac:dyDescent="0.25">
      <c r="A3033" t="str">
        <f>"20190312150721352"</f>
        <v>20190312150721352</v>
      </c>
      <c r="B3033" t="str">
        <f>"1552374441343029"</f>
        <v>1552374441343029</v>
      </c>
      <c r="C3033" t="s">
        <v>40</v>
      </c>
      <c r="D3033">
        <v>4.1126839999999998</v>
      </c>
      <c r="E3033">
        <v>0.4621981</v>
      </c>
      <c r="F3033" t="s">
        <v>70</v>
      </c>
      <c r="G3033">
        <v>-440.6841</v>
      </c>
      <c r="H3033">
        <v>0.67663289999999998</v>
      </c>
      <c r="I3033">
        <v>265.6198</v>
      </c>
      <c r="J3033">
        <v>-244.8912</v>
      </c>
      <c r="K3033">
        <v>1.1100749999999999</v>
      </c>
      <c r="L3033">
        <v>282.10379999999998</v>
      </c>
      <c r="M3033">
        <v>-0.99975009999999997</v>
      </c>
      <c r="N3033">
        <v>0</v>
      </c>
      <c r="O3033">
        <v>2.0875709999999999E-2</v>
      </c>
      <c r="P3033">
        <v>-0.99932370000000004</v>
      </c>
      <c r="Q3033">
        <v>3.2983999999999999E-2</v>
      </c>
      <c r="R3033">
        <v>1.625681E-2</v>
      </c>
      <c r="S3033">
        <v>-3.0064850000000001</v>
      </c>
      <c r="T3033">
        <v>-6.6492560000000001E-3</v>
      </c>
      <c r="U3033">
        <v>-0.25283810000000001</v>
      </c>
      <c r="V3033">
        <v>-4.6641230000000001E-3</v>
      </c>
      <c r="W3033">
        <v>4.097775E-2</v>
      </c>
      <c r="X3033">
        <v>0.99914910000000001</v>
      </c>
      <c r="Y3033">
        <v>-0.1045862</v>
      </c>
      <c r="Z3033">
        <v>-1.615466E-4</v>
      </c>
      <c r="AA3033">
        <v>0.99451579999999995</v>
      </c>
      <c r="AB3033">
        <v>31</v>
      </c>
      <c r="AC3033">
        <v>-195.7929</v>
      </c>
      <c r="AD3033">
        <v>-0.433442099999999</v>
      </c>
      <c r="AE3033">
        <v>-16.483999999999899</v>
      </c>
      <c r="AF3033">
        <v>-20.567753947821501</v>
      </c>
      <c r="AG3033">
        <v>-0.433442099999999</v>
      </c>
      <c r="AH3033">
        <v>195.405152702241</v>
      </c>
      <c r="AI3033">
        <v>90.126393417508794</v>
      </c>
      <c r="AJ3033">
        <v>96.008655201466794</v>
      </c>
      <c r="AK3033">
        <v>196.48509886782401</v>
      </c>
      <c r="AL3033">
        <v>87.651490126443207</v>
      </c>
      <c r="AM3033">
        <v>90.267460203829899</v>
      </c>
      <c r="AN3033">
        <v>0.99999992703461305</v>
      </c>
    </row>
    <row r="3034" spans="1:40" x14ac:dyDescent="0.25">
      <c r="A3034" t="str">
        <f>"20190312150721365"</f>
        <v>20190312150721365</v>
      </c>
      <c r="B3034" t="str">
        <f>"1552374441352788"</f>
        <v>1552374441352788</v>
      </c>
      <c r="C3034" t="s">
        <v>40</v>
      </c>
      <c r="D3034">
        <v>4.1069589999999998</v>
      </c>
      <c r="E3034">
        <v>0.48592000000000002</v>
      </c>
      <c r="F3034" t="s">
        <v>70</v>
      </c>
      <c r="G3034">
        <v>-440.6841</v>
      </c>
      <c r="H3034">
        <v>0.67349530000000002</v>
      </c>
      <c r="I3034">
        <v>265.54410000000001</v>
      </c>
      <c r="J3034">
        <v>-245.05609999999999</v>
      </c>
      <c r="K3034">
        <v>1.1100909999999999</v>
      </c>
      <c r="L3034">
        <v>282.1069</v>
      </c>
      <c r="M3034">
        <v>-0.99975809999999998</v>
      </c>
      <c r="N3034">
        <v>0</v>
      </c>
      <c r="O3034">
        <v>2.0486460000000001E-2</v>
      </c>
      <c r="P3034">
        <v>-0.99932560000000004</v>
      </c>
      <c r="Q3034">
        <v>3.3145229999999998E-2</v>
      </c>
      <c r="R3034">
        <v>1.581836E-2</v>
      </c>
      <c r="S3034">
        <v>-3.0063930000000001</v>
      </c>
      <c r="T3034">
        <v>-6.7034959999999998E-3</v>
      </c>
      <c r="U3034">
        <v>-0.25427250000000001</v>
      </c>
      <c r="V3034">
        <v>-4.7145909999999997E-3</v>
      </c>
      <c r="W3034">
        <v>4.1153080000000002E-2</v>
      </c>
      <c r="X3034">
        <v>0.99914179999999997</v>
      </c>
      <c r="Y3034">
        <v>-0.1046726</v>
      </c>
      <c r="Z3034">
        <v>-1.6209570000000001E-4</v>
      </c>
      <c r="AA3034">
        <v>0.99450669999999997</v>
      </c>
      <c r="AB3034">
        <v>31</v>
      </c>
      <c r="AC3034">
        <v>-195.62799999999999</v>
      </c>
      <c r="AD3034">
        <v>-0.43659569999999898</v>
      </c>
      <c r="AE3034">
        <v>-16.5627999999999</v>
      </c>
      <c r="AF3034">
        <v>-20.567075582471102</v>
      </c>
      <c r="AG3034">
        <v>-0.43659569999999898</v>
      </c>
      <c r="AH3034">
        <v>195.246651446426</v>
      </c>
      <c r="AI3034">
        <v>90.127415281271993</v>
      </c>
      <c r="AJ3034">
        <v>96.013300416321201</v>
      </c>
      <c r="AK3034">
        <v>196.32740540959199</v>
      </c>
      <c r="AL3034">
        <v>87.641436312825306</v>
      </c>
      <c r="AM3034">
        <v>90.270356181294304</v>
      </c>
      <c r="AN3034">
        <v>1.0000000699345</v>
      </c>
    </row>
    <row r="3035" spans="1:40" x14ac:dyDescent="0.25">
      <c r="A3035" t="str">
        <f>"20190312150721383"</f>
        <v>20190312150721383</v>
      </c>
      <c r="B3035" t="str">
        <f>"1552374441373288"</f>
        <v>1552374441373288</v>
      </c>
      <c r="C3035" t="s">
        <v>40</v>
      </c>
      <c r="D3035">
        <v>4.0897870000000003</v>
      </c>
      <c r="E3035">
        <v>0.48542679999999999</v>
      </c>
      <c r="F3035" t="s">
        <v>69</v>
      </c>
      <c r="G3035">
        <v>-511.95960000000002</v>
      </c>
      <c r="H3035">
        <v>2.8158590000000001</v>
      </c>
      <c r="I3035">
        <v>276.24979999999999</v>
      </c>
      <c r="J3035">
        <v>-245.3107</v>
      </c>
      <c r="K3035">
        <v>1.1101049999999999</v>
      </c>
      <c r="L3035">
        <v>282.11149999999998</v>
      </c>
      <c r="M3035">
        <v>-0.9997703</v>
      </c>
      <c r="N3035">
        <v>0</v>
      </c>
      <c r="O3035">
        <v>1.987293E-2</v>
      </c>
      <c r="P3035">
        <v>-0.9993322</v>
      </c>
      <c r="Q3035">
        <v>3.3383759999999998E-2</v>
      </c>
      <c r="R3035">
        <v>1.4866519999999999E-2</v>
      </c>
      <c r="S3035">
        <v>-3.0024410000000001</v>
      </c>
      <c r="T3035">
        <v>1.9189359999999999E-2</v>
      </c>
      <c r="U3035">
        <v>-6.588745E-2</v>
      </c>
      <c r="V3035">
        <v>-5.0551839999999999E-3</v>
      </c>
      <c r="W3035">
        <v>4.1406529999999997E-2</v>
      </c>
      <c r="X3035">
        <v>0.99912959999999995</v>
      </c>
      <c r="Y3035">
        <v>-4.1802539999999999E-2</v>
      </c>
      <c r="Z3035">
        <v>2.6056890000000001E-4</v>
      </c>
      <c r="AA3035">
        <v>0.99912579999999995</v>
      </c>
      <c r="AB3035">
        <v>31</v>
      </c>
      <c r="AC3035">
        <v>-266.64890000000003</v>
      </c>
      <c r="AD3035">
        <v>1.705754</v>
      </c>
      <c r="AE3035">
        <v>-5.8616999999999804</v>
      </c>
      <c r="AF3035">
        <v>-11.1593514823267</v>
      </c>
      <c r="AG3035">
        <v>1.705754</v>
      </c>
      <c r="AH3035">
        <v>266.468845151138</v>
      </c>
      <c r="AI3035">
        <v>89.633557222822404</v>
      </c>
      <c r="AJ3035">
        <v>92.398067761011902</v>
      </c>
      <c r="AK3035">
        <v>266.707866697621</v>
      </c>
      <c r="AL3035">
        <v>87.626902159698304</v>
      </c>
      <c r="AM3035">
        <v>90.289890557095305</v>
      </c>
      <c r="AN3035">
        <v>1.00000000660403</v>
      </c>
    </row>
    <row r="3036" spans="1:40" x14ac:dyDescent="0.25">
      <c r="A3036" t="str">
        <f>"20190312150721396"</f>
        <v>20190312150721396</v>
      </c>
      <c r="B3036" t="str">
        <f>"1552374441392804"</f>
        <v>1552374441392804</v>
      </c>
      <c r="C3036" t="s">
        <v>40</v>
      </c>
      <c r="D3036">
        <v>4.1041379999999998</v>
      </c>
      <c r="E3036">
        <v>0.4863461</v>
      </c>
      <c r="F3036" t="s">
        <v>46</v>
      </c>
      <c r="G3036">
        <v>-455.29300000000001</v>
      </c>
      <c r="H3036">
        <v>1.747541</v>
      </c>
      <c r="I3036">
        <v>277.01319999999998</v>
      </c>
      <c r="J3036">
        <v>-245.4862</v>
      </c>
      <c r="K3036">
        <v>1.1101080000000001</v>
      </c>
      <c r="L3036">
        <v>282.1146</v>
      </c>
      <c r="M3036">
        <v>-0.99977859999999996</v>
      </c>
      <c r="N3036">
        <v>0</v>
      </c>
      <c r="O3036">
        <v>1.9444469999999998E-2</v>
      </c>
      <c r="P3036">
        <v>-0.99933989999999995</v>
      </c>
      <c r="Q3036">
        <v>3.3338880000000001E-2</v>
      </c>
      <c r="R3036">
        <v>1.4440049999999999E-2</v>
      </c>
      <c r="S3036">
        <v>-3.0027919999999999</v>
      </c>
      <c r="T3036">
        <v>9.1164109999999996E-3</v>
      </c>
      <c r="U3036">
        <v>-7.2906490000000004E-2</v>
      </c>
      <c r="V3036">
        <v>-5.0542390000000003E-3</v>
      </c>
      <c r="W3036">
        <v>4.1369860000000001E-2</v>
      </c>
      <c r="X3036">
        <v>0.99913110000000005</v>
      </c>
      <c r="Y3036">
        <v>-4.37069E-2</v>
      </c>
      <c r="Z3036">
        <v>1.253634E-4</v>
      </c>
      <c r="AA3036">
        <v>0.99904440000000005</v>
      </c>
      <c r="AB3036">
        <v>31</v>
      </c>
      <c r="AC3036">
        <v>-209.80680000000001</v>
      </c>
      <c r="AD3036">
        <v>0.63743299999999903</v>
      </c>
      <c r="AE3036">
        <v>-5.1014000000000097</v>
      </c>
      <c r="AF3036">
        <v>-9.1800647063994791</v>
      </c>
      <c r="AG3036">
        <v>0.63743299999999903</v>
      </c>
      <c r="AH3036">
        <v>209.665999603589</v>
      </c>
      <c r="AI3036">
        <v>89.825974878528697</v>
      </c>
      <c r="AJ3036">
        <v>92.507050449349194</v>
      </c>
      <c r="AK3036">
        <v>209.86784245952299</v>
      </c>
      <c r="AL3036">
        <v>87.629004941324396</v>
      </c>
      <c r="AM3036">
        <v>90.289835931676905</v>
      </c>
      <c r="AN3036">
        <v>0.99999998281774904</v>
      </c>
    </row>
    <row r="3037" spans="1:40" x14ac:dyDescent="0.25">
      <c r="A3037" t="str">
        <f>"20190312150721418"</f>
        <v>20190312150721418</v>
      </c>
      <c r="B3037" t="str">
        <f>"1552374441413301"</f>
        <v>1552374441413301</v>
      </c>
      <c r="C3037" t="s">
        <v>40</v>
      </c>
      <c r="D3037">
        <v>4.3097500000000002</v>
      </c>
      <c r="E3037">
        <v>0.48660949999999997</v>
      </c>
      <c r="F3037" t="s">
        <v>69</v>
      </c>
      <c r="G3037">
        <v>-511.95960000000002</v>
      </c>
      <c r="H3037">
        <v>2.99884</v>
      </c>
      <c r="I3037">
        <v>276.19889999999998</v>
      </c>
      <c r="J3037">
        <v>-245.79390000000001</v>
      </c>
      <c r="K3037">
        <v>1.110117</v>
      </c>
      <c r="L3037">
        <v>282.1198</v>
      </c>
      <c r="M3037">
        <v>-0.99979289999999998</v>
      </c>
      <c r="N3037">
        <v>0</v>
      </c>
      <c r="O3037">
        <v>1.8687889999999999E-2</v>
      </c>
      <c r="P3037">
        <v>-0.9993649</v>
      </c>
      <c r="Q3037">
        <v>3.3027189999999998E-2</v>
      </c>
      <c r="R3037">
        <v>1.3388219999999999E-2</v>
      </c>
      <c r="S3037">
        <v>-3.0022739999999999</v>
      </c>
      <c r="T3037">
        <v>2.1280650000000002E-2</v>
      </c>
      <c r="U3037">
        <v>-6.6650390000000004E-2</v>
      </c>
      <c r="V3037">
        <v>-5.3511160000000004E-3</v>
      </c>
      <c r="W3037">
        <v>4.1069710000000002E-2</v>
      </c>
      <c r="X3037">
        <v>0.99914190000000003</v>
      </c>
      <c r="Y3037">
        <v>-4.0873020000000003E-2</v>
      </c>
      <c r="Z3037">
        <v>2.7728840000000002E-4</v>
      </c>
      <c r="AA3037">
        <v>0.99916430000000001</v>
      </c>
      <c r="AB3037">
        <v>31</v>
      </c>
      <c r="AC3037">
        <v>-266.16570000000002</v>
      </c>
      <c r="AD3037">
        <v>1.8887229999999999</v>
      </c>
      <c r="AE3037">
        <v>-5.9209000000000103</v>
      </c>
      <c r="AF3037">
        <v>-10.8935544719295</v>
      </c>
      <c r="AG3037">
        <v>1.8887229999999999</v>
      </c>
      <c r="AH3037">
        <v>265.99517547072202</v>
      </c>
      <c r="AI3037">
        <v>89.593513660315807</v>
      </c>
      <c r="AJ3037">
        <v>92.345178235614497</v>
      </c>
      <c r="AK3037">
        <v>266.224848910285</v>
      </c>
      <c r="AL3037">
        <v>87.646216811410696</v>
      </c>
      <c r="AM3037">
        <v>90.306856744873997</v>
      </c>
      <c r="AN3037">
        <v>0.99999994592876795</v>
      </c>
    </row>
    <row r="3038" spans="1:40" x14ac:dyDescent="0.25">
      <c r="A3038" t="str">
        <f>"20190312150721440"</f>
        <v>20190312150721440</v>
      </c>
      <c r="B3038" t="str">
        <f>"1552374441432821"</f>
        <v>1552374441432821</v>
      </c>
      <c r="C3038" t="s">
        <v>40</v>
      </c>
      <c r="D3038">
        <v>4.0938470000000002</v>
      </c>
      <c r="E3038">
        <v>0.4868576</v>
      </c>
      <c r="F3038" t="s">
        <v>69</v>
      </c>
      <c r="G3038">
        <v>-511.95979999999997</v>
      </c>
      <c r="H3038">
        <v>3.576114</v>
      </c>
      <c r="I3038">
        <v>276.11279999999999</v>
      </c>
      <c r="J3038">
        <v>-246.1062</v>
      </c>
      <c r="K3038">
        <v>1.1101319999999999</v>
      </c>
      <c r="L3038">
        <v>282.12490000000003</v>
      </c>
      <c r="M3038">
        <v>-0.99980709999999995</v>
      </c>
      <c r="N3038">
        <v>0</v>
      </c>
      <c r="O3038">
        <v>1.7914900000000001E-2</v>
      </c>
      <c r="P3038">
        <v>-0.99938320000000003</v>
      </c>
      <c r="Q3038">
        <v>3.2923609999999999E-2</v>
      </c>
      <c r="R3038">
        <v>1.2241119999999999E-2</v>
      </c>
      <c r="S3038">
        <v>-3.0018919999999998</v>
      </c>
      <c r="T3038">
        <v>2.781308E-2</v>
      </c>
      <c r="U3038">
        <v>-6.7749019999999993E-2</v>
      </c>
      <c r="V3038">
        <v>-5.726564E-3</v>
      </c>
      <c r="W3038">
        <v>4.0975839999999999E-2</v>
      </c>
      <c r="X3038">
        <v>0.99914369999999997</v>
      </c>
      <c r="Y3038">
        <v>-4.0467820000000002E-2</v>
      </c>
      <c r="Z3038">
        <v>3.5341019999999998E-4</v>
      </c>
      <c r="AA3038">
        <v>0.99918079999999998</v>
      </c>
      <c r="AB3038">
        <v>31</v>
      </c>
      <c r="AC3038">
        <v>-265.85359999999997</v>
      </c>
      <c r="AD3038">
        <v>2.4659819999999999</v>
      </c>
      <c r="AE3038">
        <v>-6.0121000000000304</v>
      </c>
      <c r="AF3038">
        <v>-10.773103680017201</v>
      </c>
      <c r="AG3038">
        <v>2.4659819999999999</v>
      </c>
      <c r="AH3038">
        <v>265.68037498216398</v>
      </c>
      <c r="AI3038">
        <v>89.468646113595696</v>
      </c>
      <c r="AJ3038">
        <v>92.322020978117493</v>
      </c>
      <c r="AK3038">
        <v>265.91013986079503</v>
      </c>
      <c r="AL3038">
        <v>87.651599761679705</v>
      </c>
      <c r="AM3038">
        <v>90.328385552173799</v>
      </c>
      <c r="AN3038">
        <v>0.99999997312431999</v>
      </c>
    </row>
    <row r="3039" spans="1:40" x14ac:dyDescent="0.25">
      <c r="A3039" t="str">
        <f>"20190312150721462"</f>
        <v>20190312150721462</v>
      </c>
      <c r="B3039" t="str">
        <f>"1552374441453316"</f>
        <v>1552374441453316</v>
      </c>
      <c r="C3039" t="s">
        <v>40</v>
      </c>
      <c r="D3039">
        <v>4.1142329999999996</v>
      </c>
      <c r="E3039">
        <v>0.48658269999999998</v>
      </c>
      <c r="F3039" t="s">
        <v>69</v>
      </c>
      <c r="G3039">
        <v>-511.9599</v>
      </c>
      <c r="H3039">
        <v>3.8780220000000001</v>
      </c>
      <c r="I3039">
        <v>276.00819999999999</v>
      </c>
      <c r="J3039">
        <v>-246.41800000000001</v>
      </c>
      <c r="K3039">
        <v>1.110134</v>
      </c>
      <c r="L3039">
        <v>282.12970000000001</v>
      </c>
      <c r="M3039">
        <v>-0.99982059999999995</v>
      </c>
      <c r="N3039">
        <v>0</v>
      </c>
      <c r="O3039">
        <v>1.71404E-2</v>
      </c>
      <c r="P3039">
        <v>-0.99940130000000005</v>
      </c>
      <c r="Q3039">
        <v>3.2758009999999997E-2</v>
      </c>
      <c r="R3039">
        <v>1.113866E-2</v>
      </c>
      <c r="S3039">
        <v>-3.0016940000000001</v>
      </c>
      <c r="T3039">
        <v>3.1252500000000003E-2</v>
      </c>
      <c r="U3039">
        <v>-6.9061280000000003E-2</v>
      </c>
      <c r="V3039">
        <v>-6.0553380000000004E-3</v>
      </c>
      <c r="W3039">
        <v>4.081862E-2</v>
      </c>
      <c r="X3039">
        <v>0.99914820000000004</v>
      </c>
      <c r="Y3039">
        <v>-4.013129E-2</v>
      </c>
      <c r="Z3039">
        <v>3.8732149999999999E-4</v>
      </c>
      <c r="AA3039">
        <v>0.99919429999999998</v>
      </c>
      <c r="AB3039">
        <v>31</v>
      </c>
      <c r="AC3039">
        <v>-265.5419</v>
      </c>
      <c r="AD3039">
        <v>2.7678880000000001</v>
      </c>
      <c r="AE3039">
        <v>-6.1215000000000197</v>
      </c>
      <c r="AF3039">
        <v>-10.6710841025271</v>
      </c>
      <c r="AG3039">
        <v>2.7678880000000001</v>
      </c>
      <c r="AH3039">
        <v>265.36914189382298</v>
      </c>
      <c r="AI3039">
        <v>89.402890262572797</v>
      </c>
      <c r="AJ3039">
        <v>92.302750211390702</v>
      </c>
      <c r="AK3039">
        <v>265.59803220161001</v>
      </c>
      <c r="AL3039">
        <v>87.660615354424195</v>
      </c>
      <c r="AM3039">
        <v>90.347236839630497</v>
      </c>
      <c r="AN3039">
        <v>0.99999997621011905</v>
      </c>
    </row>
    <row r="3040" spans="1:40" x14ac:dyDescent="0.25">
      <c r="A3040" t="str">
        <f>"20190312150721475"</f>
        <v>20190312150721475</v>
      </c>
      <c r="B3040" t="str">
        <f>"1552374441463077"</f>
        <v>1552374441463077</v>
      </c>
      <c r="C3040" t="s">
        <v>40</v>
      </c>
      <c r="D3040">
        <v>4.0509170000000001</v>
      </c>
      <c r="E3040">
        <v>0.48640729999999999</v>
      </c>
      <c r="F3040" t="s">
        <v>46</v>
      </c>
      <c r="G3040">
        <v>-455.29300000000001</v>
      </c>
      <c r="H3040">
        <v>3.3550049999999998</v>
      </c>
      <c r="I3040">
        <v>276.93099999999998</v>
      </c>
      <c r="J3040">
        <v>-246.59960000000001</v>
      </c>
      <c r="K3040">
        <v>1.1101369999999999</v>
      </c>
      <c r="L3040">
        <v>282.13240000000002</v>
      </c>
      <c r="M3040">
        <v>-0.99982819999999994</v>
      </c>
      <c r="N3040">
        <v>0</v>
      </c>
      <c r="O3040">
        <v>1.6689010000000001E-2</v>
      </c>
      <c r="P3040">
        <v>-0.99940839999999997</v>
      </c>
      <c r="Q3040">
        <v>3.2680359999999999E-2</v>
      </c>
      <c r="R3040">
        <v>1.07177E-2</v>
      </c>
      <c r="S3040">
        <v>-3.0015869999999998</v>
      </c>
      <c r="T3040">
        <v>3.2260299999999999E-2</v>
      </c>
      <c r="U3040">
        <v>-7.4707029999999994E-2</v>
      </c>
      <c r="V3040">
        <v>-6.0253399999999997E-3</v>
      </c>
      <c r="W3040">
        <v>4.0746669999999999E-2</v>
      </c>
      <c r="X3040">
        <v>0.99915129999999996</v>
      </c>
      <c r="Y3040">
        <v>-4.1559029999999997E-2</v>
      </c>
      <c r="Z3040">
        <v>4.0263709999999999E-4</v>
      </c>
      <c r="AA3040">
        <v>0.99913600000000002</v>
      </c>
      <c r="AB3040">
        <v>31</v>
      </c>
      <c r="AC3040">
        <v>-208.6934</v>
      </c>
      <c r="AD3040">
        <v>2.2448679999999999</v>
      </c>
      <c r="AE3040">
        <v>-5.2014000000000298</v>
      </c>
      <c r="AF3040">
        <v>-8.68267103631654</v>
      </c>
      <c r="AG3040">
        <v>2.2448679999999999</v>
      </c>
      <c r="AH3040">
        <v>208.55340772204099</v>
      </c>
      <c r="AI3040">
        <v>89.383826021315201</v>
      </c>
      <c r="AJ3040">
        <v>92.384009365938994</v>
      </c>
      <c r="AK3040">
        <v>208.746142673674</v>
      </c>
      <c r="AL3040">
        <v>87.664741176008306</v>
      </c>
      <c r="AM3040">
        <v>90.345515606432699</v>
      </c>
      <c r="AN3040">
        <v>0.99999995806494602</v>
      </c>
    </row>
    <row r="3041" spans="1:40" x14ac:dyDescent="0.25">
      <c r="A3041" t="str">
        <f>"20190312150721488"</f>
        <v>20190312150721488</v>
      </c>
      <c r="B3041" t="str">
        <f>"1552374441483573"</f>
        <v>1552374441483573</v>
      </c>
      <c r="C3041" t="s">
        <v>40</v>
      </c>
      <c r="D3041">
        <v>4.0934119999999998</v>
      </c>
      <c r="E3041">
        <v>0.4862784</v>
      </c>
      <c r="F3041" t="s">
        <v>69</v>
      </c>
      <c r="G3041">
        <v>-512.82650000000001</v>
      </c>
      <c r="H3041">
        <v>4.0823299999999998</v>
      </c>
      <c r="I3041">
        <v>275.2921</v>
      </c>
      <c r="J3041">
        <v>-246.78270000000001</v>
      </c>
      <c r="K3041">
        <v>1.110139</v>
      </c>
      <c r="L3041">
        <v>282.13510000000002</v>
      </c>
      <c r="M3041">
        <v>-0.99983560000000005</v>
      </c>
      <c r="N3041">
        <v>0</v>
      </c>
      <c r="O3041">
        <v>1.6234220000000001E-2</v>
      </c>
      <c r="P3041">
        <v>-0.99941159999999996</v>
      </c>
      <c r="Q3041">
        <v>3.2743469999999997E-2</v>
      </c>
      <c r="R3041">
        <v>1.0234170000000001E-2</v>
      </c>
      <c r="S3041">
        <v>-3.0014949999999998</v>
      </c>
      <c r="T3041">
        <v>3.350997E-2</v>
      </c>
      <c r="U3041">
        <v>-7.7117920000000006E-2</v>
      </c>
      <c r="V3041">
        <v>-6.0548619999999899E-3</v>
      </c>
      <c r="W3041">
        <v>4.081481E-2</v>
      </c>
      <c r="X3041">
        <v>0.99914840000000005</v>
      </c>
      <c r="Y3041">
        <v>-4.1907090000000001E-2</v>
      </c>
      <c r="Z3041">
        <v>4.1510800000000002E-4</v>
      </c>
      <c r="AA3041">
        <v>0.99912140000000005</v>
      </c>
      <c r="AB3041">
        <v>31</v>
      </c>
      <c r="AC3041">
        <v>-266.04379999999998</v>
      </c>
      <c r="AD3041">
        <v>2.972191</v>
      </c>
      <c r="AE3041">
        <v>-6.8430000000000097</v>
      </c>
      <c r="AF3041">
        <v>-11.1598606470275</v>
      </c>
      <c r="AG3041">
        <v>2.972191</v>
      </c>
      <c r="AH3041">
        <v>265.864482667446</v>
      </c>
      <c r="AI3041">
        <v>89.360060826936703</v>
      </c>
      <c r="AJ3041">
        <v>92.403622192785605</v>
      </c>
      <c r="AK3041">
        <v>266.11519977827299</v>
      </c>
      <c r="AL3041">
        <v>87.6608339303977</v>
      </c>
      <c r="AM3041">
        <v>90.347209475091702</v>
      </c>
      <c r="AN3041">
        <v>1.0000000176458601</v>
      </c>
    </row>
    <row r="3042" spans="1:40" x14ac:dyDescent="0.25">
      <c r="A3042" t="str">
        <f>"20190312150721506"</f>
        <v>20190312150721506</v>
      </c>
      <c r="B3042" t="str">
        <f>"1552374441503092"</f>
        <v>1552374441503092</v>
      </c>
      <c r="C3042" t="s">
        <v>40</v>
      </c>
      <c r="D3042">
        <v>4.0986900000000004</v>
      </c>
      <c r="E3042">
        <v>0.48646610000000001</v>
      </c>
      <c r="F3042" t="s">
        <v>69</v>
      </c>
      <c r="G3042">
        <v>-512.82650000000001</v>
      </c>
      <c r="H3042">
        <v>3.9661209999999998</v>
      </c>
      <c r="I3042">
        <v>275.06700000000001</v>
      </c>
      <c r="J3042">
        <v>-247.03</v>
      </c>
      <c r="K3042">
        <v>1.110147</v>
      </c>
      <c r="L3042">
        <v>282.13850000000002</v>
      </c>
      <c r="M3042">
        <v>-0.99984530000000005</v>
      </c>
      <c r="N3042">
        <v>0</v>
      </c>
      <c r="O3042">
        <v>1.561951E-2</v>
      </c>
      <c r="P3042">
        <v>-0.99941869999999999</v>
      </c>
      <c r="Q3042">
        <v>3.2741109999999997E-2</v>
      </c>
      <c r="R3042">
        <v>9.5095360000000007E-3</v>
      </c>
      <c r="S3042">
        <v>-3.0015260000000001</v>
      </c>
      <c r="T3042">
        <v>3.2222269999999997E-2</v>
      </c>
      <c r="U3042">
        <v>-7.9742430000000003E-2</v>
      </c>
      <c r="V3042">
        <v>-6.1653940000000003E-3</v>
      </c>
      <c r="W3042">
        <v>4.0818140000000003E-2</v>
      </c>
      <c r="X3042">
        <v>0.99914760000000002</v>
      </c>
      <c r="Y3042">
        <v>-4.2165880000000003E-2</v>
      </c>
      <c r="Z3042">
        <v>3.9393989999999998E-4</v>
      </c>
      <c r="AA3042">
        <v>0.99911050000000001</v>
      </c>
      <c r="AB3042">
        <v>32</v>
      </c>
      <c r="AC3042">
        <v>-265.79649999999998</v>
      </c>
      <c r="AD3042">
        <v>2.8559739999999998</v>
      </c>
      <c r="AE3042">
        <v>-7.0715000000000101</v>
      </c>
      <c r="AF3042">
        <v>-11.2210895394674</v>
      </c>
      <c r="AG3042">
        <v>2.8559739999999998</v>
      </c>
      <c r="AH3042">
        <v>265.62297024499901</v>
      </c>
      <c r="AI3042">
        <v>89.3845293118558</v>
      </c>
      <c r="AJ3042">
        <v>92.418988952922305</v>
      </c>
      <c r="AK3042">
        <v>265.875218400883</v>
      </c>
      <c r="AL3042">
        <v>87.660643004332002</v>
      </c>
      <c r="AM3042">
        <v>90.353547936021798</v>
      </c>
      <c r="AN3042">
        <v>1.0000000296109901</v>
      </c>
    </row>
    <row r="3043" spans="1:40" x14ac:dyDescent="0.25">
      <c r="A3043" t="str">
        <f>"20190312150721517"</f>
        <v>20190312150721517</v>
      </c>
      <c r="B3043" t="str">
        <f>"1552374441512853"</f>
        <v>1552374441512853</v>
      </c>
      <c r="C3043" t="s">
        <v>40</v>
      </c>
      <c r="D3043">
        <v>4.1142940000000001</v>
      </c>
      <c r="E3043">
        <v>0.48647319999999999</v>
      </c>
      <c r="F3043" t="s">
        <v>69</v>
      </c>
      <c r="G3043">
        <v>-512.82650000000001</v>
      </c>
      <c r="H3043">
        <v>4.0135839999999998</v>
      </c>
      <c r="I3043">
        <v>275.01729999999998</v>
      </c>
      <c r="J3043">
        <v>-247.20150000000001</v>
      </c>
      <c r="K3043">
        <v>1.110147</v>
      </c>
      <c r="L3043">
        <v>282.14069999999998</v>
      </c>
      <c r="M3043">
        <v>-0.99985190000000002</v>
      </c>
      <c r="N3043">
        <v>0</v>
      </c>
      <c r="O3043">
        <v>1.51936E-2</v>
      </c>
      <c r="P3043">
        <v>-0.99941749999999996</v>
      </c>
      <c r="Q3043">
        <v>3.288373E-2</v>
      </c>
      <c r="R3043">
        <v>9.1377920000000005E-3</v>
      </c>
      <c r="S3043">
        <v>-3.0014500000000002</v>
      </c>
      <c r="T3043">
        <v>3.2787320000000002E-2</v>
      </c>
      <c r="U3043">
        <v>-8.0413819999999997E-2</v>
      </c>
      <c r="V3043">
        <v>-6.1115199999999996E-3</v>
      </c>
      <c r="W3043">
        <v>4.096346E-2</v>
      </c>
      <c r="X3043">
        <v>0.99914190000000003</v>
      </c>
      <c r="Y3043">
        <v>-4.19642E-2</v>
      </c>
      <c r="Z3043">
        <v>3.9510359999999999E-4</v>
      </c>
      <c r="AA3043">
        <v>0.99911899999999998</v>
      </c>
      <c r="AB3043">
        <v>32</v>
      </c>
      <c r="AC3043">
        <v>-265.625</v>
      </c>
      <c r="AD3043">
        <v>2.9034369999999998</v>
      </c>
      <c r="AE3043">
        <v>-7.1234000000000002</v>
      </c>
      <c r="AF3043">
        <v>-11.1571774614505</v>
      </c>
      <c r="AG3043">
        <v>2.9034369999999998</v>
      </c>
      <c r="AH3043">
        <v>265.45441034148899</v>
      </c>
      <c r="AI3043">
        <v>89.373898792147102</v>
      </c>
      <c r="AJ3043">
        <v>92.406752810182496</v>
      </c>
      <c r="AK3043">
        <v>265.704641519615</v>
      </c>
      <c r="AL3043">
        <v>87.652309615866301</v>
      </c>
      <c r="AM3043">
        <v>90.3504606656888</v>
      </c>
      <c r="AN3043">
        <v>0.99999994603374398</v>
      </c>
    </row>
    <row r="3044" spans="1:40" x14ac:dyDescent="0.25">
      <c r="A3044" t="str">
        <f>"20190312150721528"</f>
        <v>20190312150721528</v>
      </c>
      <c r="B3044" t="str">
        <f>"1552374441523589"</f>
        <v>1552374441523589</v>
      </c>
      <c r="C3044" t="s">
        <v>40</v>
      </c>
      <c r="D3044">
        <v>4.3122429999999996</v>
      </c>
      <c r="E3044">
        <v>0.48662090000000002</v>
      </c>
      <c r="F3044" t="s">
        <v>69</v>
      </c>
      <c r="G3044">
        <v>-512.82650000000001</v>
      </c>
      <c r="H3044">
        <v>4.0448449999999996</v>
      </c>
      <c r="I3044">
        <v>274.93490000000003</v>
      </c>
      <c r="J3044">
        <v>-247.3526</v>
      </c>
      <c r="K3044">
        <v>1.1101430000000001</v>
      </c>
      <c r="L3044">
        <v>282.14269999999999</v>
      </c>
      <c r="M3044">
        <v>-0.99985749999999995</v>
      </c>
      <c r="N3044">
        <v>0</v>
      </c>
      <c r="O3044">
        <v>1.481877E-2</v>
      </c>
      <c r="P3044">
        <v>-0.99942260000000005</v>
      </c>
      <c r="Q3044">
        <v>3.284919E-2</v>
      </c>
      <c r="R3044">
        <v>8.6954340000000001E-3</v>
      </c>
      <c r="S3044">
        <v>-3.0013890000000001</v>
      </c>
      <c r="T3044">
        <v>3.3161040000000003E-2</v>
      </c>
      <c r="U3044">
        <v>-8.1420899999999893E-2</v>
      </c>
      <c r="V3044">
        <v>-6.1796580000000002E-3</v>
      </c>
      <c r="W3044">
        <v>4.0931540000000002E-2</v>
      </c>
      <c r="X3044">
        <v>0.9991428</v>
      </c>
      <c r="Y3044">
        <v>-4.192514E-2</v>
      </c>
      <c r="Z3044">
        <v>3.9525680000000003E-4</v>
      </c>
      <c r="AA3044">
        <v>0.99912069999999997</v>
      </c>
      <c r="AB3044">
        <v>32</v>
      </c>
      <c r="AC3044">
        <v>-265.47390000000001</v>
      </c>
      <c r="AD3044">
        <v>2.9347020000000001</v>
      </c>
      <c r="AE3044">
        <v>-7.2077999999999598</v>
      </c>
      <c r="AF3044">
        <v>-11.1397734653423</v>
      </c>
      <c r="AG3044">
        <v>2.9347020000000001</v>
      </c>
      <c r="AH3044">
        <v>265.305536338997</v>
      </c>
      <c r="AI3044">
        <v>89.366801108230504</v>
      </c>
      <c r="AJ3044">
        <v>92.4043497823466</v>
      </c>
      <c r="AK3044">
        <v>265.55552082532699</v>
      </c>
      <c r="AL3044">
        <v>87.654140058078198</v>
      </c>
      <c r="AM3044">
        <v>90.354367571409099</v>
      </c>
      <c r="AN3044">
        <v>0.99999995696580302</v>
      </c>
    </row>
    <row r="3045" spans="1:40" x14ac:dyDescent="0.25">
      <c r="A3045" t="str">
        <f>"20190312150721540"</f>
        <v>20190312150721540</v>
      </c>
      <c r="B3045" t="str">
        <f>"1552374441533349"</f>
        <v>1552374441533349</v>
      </c>
      <c r="C3045" t="s">
        <v>40</v>
      </c>
      <c r="D3045">
        <v>4.1039810000000001</v>
      </c>
      <c r="E3045">
        <v>0.48675020000000002</v>
      </c>
      <c r="F3045" t="s">
        <v>69</v>
      </c>
      <c r="G3045">
        <v>-512.82650000000001</v>
      </c>
      <c r="H3045">
        <v>4.140587</v>
      </c>
      <c r="I3045">
        <v>274.93</v>
      </c>
      <c r="J3045">
        <v>-247.52629999999999</v>
      </c>
      <c r="K3045">
        <v>1.110144</v>
      </c>
      <c r="L3045">
        <v>282.14490000000001</v>
      </c>
      <c r="M3045">
        <v>-0.99986379999999997</v>
      </c>
      <c r="N3045">
        <v>0</v>
      </c>
      <c r="O3045">
        <v>1.4387789999999999E-2</v>
      </c>
      <c r="P3045">
        <v>-0.99943070000000001</v>
      </c>
      <c r="Q3045">
        <v>3.2724759999999999E-2</v>
      </c>
      <c r="R3045">
        <v>8.2434550000000002E-3</v>
      </c>
      <c r="S3045">
        <v>-3.0012970000000001</v>
      </c>
      <c r="T3045">
        <v>3.4261350000000003E-2</v>
      </c>
      <c r="U3045">
        <v>-8.1542970000000006E-2</v>
      </c>
      <c r="V3045">
        <v>-6.2011280000000002E-3</v>
      </c>
      <c r="W3045">
        <v>4.0809560000000002E-2</v>
      </c>
      <c r="X3045">
        <v>0.99914769999999997</v>
      </c>
      <c r="Y3045">
        <v>-4.1535719999999998E-2</v>
      </c>
      <c r="Z3045">
        <v>4.0124190000000003E-4</v>
      </c>
      <c r="AA3045">
        <v>0.99913689999999999</v>
      </c>
      <c r="AB3045">
        <v>32</v>
      </c>
      <c r="AC3045">
        <v>-265.30020000000002</v>
      </c>
      <c r="AD3045">
        <v>3.030443</v>
      </c>
      <c r="AE3045">
        <v>-7.2149000000000001</v>
      </c>
      <c r="AF3045">
        <v>-11.029923379314599</v>
      </c>
      <c r="AG3045">
        <v>3.030443</v>
      </c>
      <c r="AH3045">
        <v>265.13435860753401</v>
      </c>
      <c r="AI3045">
        <v>89.345712869541003</v>
      </c>
      <c r="AJ3045">
        <v>92.382202987373304</v>
      </c>
      <c r="AK3045">
        <v>265.38099198842002</v>
      </c>
      <c r="AL3045">
        <v>87.661134943459402</v>
      </c>
      <c r="AM3045">
        <v>90.355596976041099</v>
      </c>
      <c r="AN3045">
        <v>1.00000000029557</v>
      </c>
    </row>
    <row r="3046" spans="1:40" x14ac:dyDescent="0.25">
      <c r="A3046" t="str">
        <f>"20190312150721551"</f>
        <v>20190312150721551</v>
      </c>
      <c r="B3046" t="str">
        <f>"1552374441543110"</f>
        <v>1552374441543110</v>
      </c>
      <c r="C3046" t="s">
        <v>40</v>
      </c>
      <c r="D3046">
        <v>4.1077570000000003</v>
      </c>
      <c r="E3046">
        <v>0.4868268</v>
      </c>
      <c r="F3046" t="s">
        <v>69</v>
      </c>
      <c r="G3046">
        <v>-512.82650000000001</v>
      </c>
      <c r="H3046">
        <v>4.2099919999999997</v>
      </c>
      <c r="I3046">
        <v>274.9151</v>
      </c>
      <c r="J3046">
        <v>-247.6865</v>
      </c>
      <c r="K3046">
        <v>1.1101460000000001</v>
      </c>
      <c r="L3046">
        <v>282.14690000000002</v>
      </c>
      <c r="M3046">
        <v>-0.99986940000000002</v>
      </c>
      <c r="N3046">
        <v>0</v>
      </c>
      <c r="O3046">
        <v>1.399073E-2</v>
      </c>
      <c r="P3046">
        <v>-0.99944520000000003</v>
      </c>
      <c r="Q3046">
        <v>3.2398379999999997E-2</v>
      </c>
      <c r="R3046">
        <v>7.7649879999999996E-3</v>
      </c>
      <c r="S3046">
        <v>-3.0012210000000001</v>
      </c>
      <c r="T3046">
        <v>3.5068040000000002E-2</v>
      </c>
      <c r="U3046">
        <v>-8.1787109999999996E-2</v>
      </c>
      <c r="V3046">
        <v>-6.2826799999999997E-3</v>
      </c>
      <c r="W3046">
        <v>4.048558E-2</v>
      </c>
      <c r="X3046">
        <v>0.9991603</v>
      </c>
      <c r="Y3046">
        <v>-4.1220729999999997E-2</v>
      </c>
      <c r="Z3046">
        <v>4.0421990000000002E-4</v>
      </c>
      <c r="AA3046">
        <v>0.99914999999999998</v>
      </c>
      <c r="AB3046">
        <v>32</v>
      </c>
      <c r="AC3046">
        <v>-265.14</v>
      </c>
      <c r="AD3046">
        <v>3.0998459999999999</v>
      </c>
      <c r="AE3046">
        <v>-7.2318000000000202</v>
      </c>
      <c r="AF3046">
        <v>-10.9392215319308</v>
      </c>
      <c r="AG3046">
        <v>3.0998459999999999</v>
      </c>
      <c r="AH3046">
        <v>264.976674086115</v>
      </c>
      <c r="AI3046">
        <v>89.330322742300098</v>
      </c>
      <c r="AJ3046">
        <v>92.364040203241402</v>
      </c>
      <c r="AK3046">
        <v>265.22049962755</v>
      </c>
      <c r="AL3046">
        <v>87.679712820130703</v>
      </c>
      <c r="AM3046">
        <v>90.360268821641895</v>
      </c>
      <c r="AN3046">
        <v>0.99999992967600104</v>
      </c>
    </row>
    <row r="3047" spans="1:40" x14ac:dyDescent="0.25">
      <c r="A3047" t="str">
        <f>"20190312150721563"</f>
        <v>20190312150721563</v>
      </c>
      <c r="B3047" t="str">
        <f>"1552374441552869"</f>
        <v>1552374441552869</v>
      </c>
      <c r="C3047" t="s">
        <v>40</v>
      </c>
      <c r="D3047">
        <v>4.0953869999999997</v>
      </c>
      <c r="E3047">
        <v>0.48695899999999998</v>
      </c>
      <c r="F3047" t="s">
        <v>69</v>
      </c>
      <c r="G3047">
        <v>-512.82650000000001</v>
      </c>
      <c r="H3047">
        <v>4.1913539999999996</v>
      </c>
      <c r="I3047">
        <v>274.84050000000002</v>
      </c>
      <c r="J3047">
        <v>-247.85239999999999</v>
      </c>
      <c r="K3047">
        <v>1.11015</v>
      </c>
      <c r="L3047">
        <v>282.14879999999999</v>
      </c>
      <c r="M3047">
        <v>-0.99987490000000001</v>
      </c>
      <c r="N3047">
        <v>0</v>
      </c>
      <c r="O3047">
        <v>1.3579539999999999E-2</v>
      </c>
      <c r="P3047">
        <v>-0.99945519999999999</v>
      </c>
      <c r="Q3047">
        <v>3.2199319999999997E-2</v>
      </c>
      <c r="R3047">
        <v>7.2487899999999997E-3</v>
      </c>
      <c r="S3047">
        <v>-3.0011899999999998</v>
      </c>
      <c r="T3047">
        <v>3.4877900000000003E-2</v>
      </c>
      <c r="U3047">
        <v>-8.2702639999999994E-2</v>
      </c>
      <c r="V3047">
        <v>-6.3875479999999998E-3</v>
      </c>
      <c r="W3047">
        <v>4.0289289999999998E-2</v>
      </c>
      <c r="X3047">
        <v>0.99916760000000004</v>
      </c>
      <c r="Y3047">
        <v>-4.111476E-2</v>
      </c>
      <c r="Z3047">
        <v>3.9663749999999998E-4</v>
      </c>
      <c r="AA3047">
        <v>0.99915430000000005</v>
      </c>
      <c r="AB3047">
        <v>32</v>
      </c>
      <c r="AC3047">
        <v>-264.97410000000002</v>
      </c>
      <c r="AD3047">
        <v>3.0812040000000001</v>
      </c>
      <c r="AE3047">
        <v>-7.3082999999999698</v>
      </c>
      <c r="AF3047">
        <v>-10.904497465301301</v>
      </c>
      <c r="AG3047">
        <v>3.0812040000000001</v>
      </c>
      <c r="AH3047">
        <v>264.814639070672</v>
      </c>
      <c r="AI3047">
        <v>89.333939551394906</v>
      </c>
      <c r="AJ3047">
        <v>92.357984867055094</v>
      </c>
      <c r="AK3047">
        <v>265.05696547948099</v>
      </c>
      <c r="AL3047">
        <v>87.6909686638365</v>
      </c>
      <c r="AM3047">
        <v>90.366279447258904</v>
      </c>
      <c r="AN3047">
        <v>0.99999996027395699</v>
      </c>
    </row>
    <row r="3048" spans="1:40" x14ac:dyDescent="0.25">
      <c r="A3048" t="str">
        <f>"20190312150721575"</f>
        <v>20190312150721575</v>
      </c>
      <c r="B3048" t="str">
        <f>"1552374441563605"</f>
        <v>1552374441563605</v>
      </c>
      <c r="C3048" t="s">
        <v>40</v>
      </c>
      <c r="D3048">
        <v>4.0883969999999996</v>
      </c>
      <c r="E3048">
        <v>0.48704890000000001</v>
      </c>
      <c r="F3048" t="s">
        <v>69</v>
      </c>
      <c r="G3048">
        <v>-512.82650000000001</v>
      </c>
      <c r="H3048">
        <v>4.2035609999999997</v>
      </c>
      <c r="I3048">
        <v>274.80369999999999</v>
      </c>
      <c r="J3048">
        <v>-248.01130000000001</v>
      </c>
      <c r="K3048">
        <v>1.1101479999999999</v>
      </c>
      <c r="L3048">
        <v>282.1506</v>
      </c>
      <c r="M3048">
        <v>-0.99988030000000006</v>
      </c>
      <c r="N3048">
        <v>0</v>
      </c>
      <c r="O3048">
        <v>1.3186109999999999E-2</v>
      </c>
      <c r="P3048">
        <v>-0.99946520000000005</v>
      </c>
      <c r="Q3048">
        <v>3.197212E-2</v>
      </c>
      <c r="R3048">
        <v>6.8949619999999897E-3</v>
      </c>
      <c r="S3048">
        <v>-3.0011139999999998</v>
      </c>
      <c r="T3048">
        <v>3.5037039999999998E-2</v>
      </c>
      <c r="U3048">
        <v>-8.3190920000000002E-2</v>
      </c>
      <c r="V3048">
        <v>-6.34806E-3</v>
      </c>
      <c r="W3048">
        <v>4.0064879999999997E-2</v>
      </c>
      <c r="X3048">
        <v>0.99917690000000003</v>
      </c>
      <c r="Y3048">
        <v>-4.0884770000000001E-2</v>
      </c>
      <c r="Z3048">
        <v>3.9252189999999999E-4</v>
      </c>
      <c r="AA3048">
        <v>0.99916380000000005</v>
      </c>
      <c r="AB3048">
        <v>32</v>
      </c>
      <c r="AC3048">
        <v>-264.8152</v>
      </c>
      <c r="AD3048">
        <v>3.093413</v>
      </c>
      <c r="AE3048">
        <v>-7.3468999999999998</v>
      </c>
      <c r="AF3048">
        <v>-10.8367803602885</v>
      </c>
      <c r="AG3048">
        <v>3.093413</v>
      </c>
      <c r="AH3048">
        <v>264.65920877172101</v>
      </c>
      <c r="AI3048">
        <v>89.330901549333205</v>
      </c>
      <c r="AJ3048">
        <v>92.344732800808998</v>
      </c>
      <c r="AK3048">
        <v>264.89904076881601</v>
      </c>
      <c r="AL3048">
        <v>87.7038368570811</v>
      </c>
      <c r="AM3048">
        <v>90.364011770576397</v>
      </c>
      <c r="AN3048">
        <v>0.99999998498439402</v>
      </c>
    </row>
    <row r="3049" spans="1:40" x14ac:dyDescent="0.25">
      <c r="A3049" t="str">
        <f>"20190312150721594"</f>
        <v>20190312150721594</v>
      </c>
      <c r="B3049" t="str">
        <f>"1552374441583125"</f>
        <v>1552374441583125</v>
      </c>
      <c r="C3049" t="s">
        <v>40</v>
      </c>
      <c r="D3049">
        <v>4.1126959999999997</v>
      </c>
      <c r="E3049">
        <v>0.4871374</v>
      </c>
      <c r="F3049" t="s">
        <v>69</v>
      </c>
      <c r="G3049">
        <v>-512.82650000000001</v>
      </c>
      <c r="H3049">
        <v>4.1835849999999999</v>
      </c>
      <c r="I3049">
        <v>274.77749999999997</v>
      </c>
      <c r="J3049">
        <v>-248.297</v>
      </c>
      <c r="K3049">
        <v>1.1101529999999999</v>
      </c>
      <c r="L3049">
        <v>282.15370000000001</v>
      </c>
      <c r="M3049">
        <v>-0.99988920000000003</v>
      </c>
      <c r="N3049">
        <v>0</v>
      </c>
      <c r="O3049">
        <v>1.247855E-2</v>
      </c>
      <c r="P3049">
        <v>-0.99948020000000004</v>
      </c>
      <c r="Q3049">
        <v>3.154378E-2</v>
      </c>
      <c r="R3049">
        <v>6.6360489999999998E-3</v>
      </c>
      <c r="S3049">
        <v>-3.0010680000000001</v>
      </c>
      <c r="T3049">
        <v>3.4831170000000002E-2</v>
      </c>
      <c r="U3049">
        <v>-8.3557129999999993E-2</v>
      </c>
      <c r="V3049">
        <v>-5.8998239999999997E-3</v>
      </c>
      <c r="W3049">
        <v>3.9644169999999999E-2</v>
      </c>
      <c r="X3049">
        <v>0.99919650000000004</v>
      </c>
      <c r="Y3049">
        <v>-4.0300080000000002E-2</v>
      </c>
      <c r="Z3049">
        <v>3.7861779999999999E-4</v>
      </c>
      <c r="AA3049">
        <v>0.99918750000000001</v>
      </c>
      <c r="AB3049">
        <v>32</v>
      </c>
      <c r="AC3049">
        <v>-264.52949999999998</v>
      </c>
      <c r="AD3049">
        <v>3.0734319999999902</v>
      </c>
      <c r="AE3049">
        <v>-7.3762000000000398</v>
      </c>
      <c r="AF3049">
        <v>-10.6752390479305</v>
      </c>
      <c r="AG3049">
        <v>3.0734319999999902</v>
      </c>
      <c r="AH3049">
        <v>264.38119415173998</v>
      </c>
      <c r="AI3049">
        <v>89.334508669563704</v>
      </c>
      <c r="AJ3049">
        <v>92.312244863939696</v>
      </c>
      <c r="AK3049">
        <v>264.614479071137</v>
      </c>
      <c r="AL3049">
        <v>87.727961095197003</v>
      </c>
      <c r="AM3049">
        <v>90.338302913133504</v>
      </c>
      <c r="AN3049">
        <v>1.0000000568752301</v>
      </c>
    </row>
    <row r="3050" spans="1:40" x14ac:dyDescent="0.25">
      <c r="A3050" t="str">
        <f>"20190312150721610"</f>
        <v>20190312150721610</v>
      </c>
      <c r="B3050" t="str">
        <f>"1552374441603621"</f>
        <v>1552374441603621</v>
      </c>
      <c r="C3050" t="s">
        <v>40</v>
      </c>
      <c r="D3050">
        <v>4.1346749999999997</v>
      </c>
      <c r="E3050">
        <v>0.4870929</v>
      </c>
      <c r="F3050" t="s">
        <v>69</v>
      </c>
      <c r="G3050">
        <v>-512.82650000000001</v>
      </c>
      <c r="H3050">
        <v>4.0111660000000002</v>
      </c>
      <c r="I3050">
        <v>274.80189999999999</v>
      </c>
      <c r="J3050">
        <v>-248.50710000000001</v>
      </c>
      <c r="K3050">
        <v>1.1101559999999999</v>
      </c>
      <c r="L3050">
        <v>282.15589999999997</v>
      </c>
      <c r="M3050">
        <v>-0.99989550000000005</v>
      </c>
      <c r="N3050">
        <v>0</v>
      </c>
      <c r="O3050">
        <v>1.1958089999999999E-2</v>
      </c>
      <c r="P3050">
        <v>-0.99948349999999997</v>
      </c>
      <c r="Q3050">
        <v>3.1483049999999999E-2</v>
      </c>
      <c r="R3050">
        <v>6.4450480000000001E-3</v>
      </c>
      <c r="S3050">
        <v>-3.0010530000000002</v>
      </c>
      <c r="T3050">
        <v>3.2912490000000003E-2</v>
      </c>
      <c r="U3050">
        <v>-8.3404539999999999E-2</v>
      </c>
      <c r="V3050">
        <v>-5.5706059999999996E-3</v>
      </c>
      <c r="W3050">
        <v>3.9588900000000003E-2</v>
      </c>
      <c r="X3050">
        <v>0.99920050000000005</v>
      </c>
      <c r="Y3050">
        <v>-3.9729809999999997E-2</v>
      </c>
      <c r="Z3050">
        <v>3.4893180000000003E-4</v>
      </c>
      <c r="AA3050">
        <v>0.99921040000000005</v>
      </c>
      <c r="AB3050">
        <v>32</v>
      </c>
      <c r="AC3050">
        <v>-264.31939999999997</v>
      </c>
      <c r="AD3050">
        <v>2.9010099999999999</v>
      </c>
      <c r="AE3050">
        <v>-7.3539999999999797</v>
      </c>
      <c r="AF3050">
        <v>-10.5130682063349</v>
      </c>
      <c r="AG3050">
        <v>2.9010099999999999</v>
      </c>
      <c r="AH3050">
        <v>264.18075866662599</v>
      </c>
      <c r="AI3050">
        <v>89.371348963421994</v>
      </c>
      <c r="AJ3050">
        <v>92.278881973935995</v>
      </c>
      <c r="AK3050">
        <v>264.40577473233299</v>
      </c>
      <c r="AL3050">
        <v>87.731130136972993</v>
      </c>
      <c r="AM3050">
        <v>90.319424286143004</v>
      </c>
      <c r="AN3050">
        <v>0.99999997592733303</v>
      </c>
    </row>
    <row r="3051" spans="1:40" x14ac:dyDescent="0.25">
      <c r="A3051" t="str">
        <f>"20190312150721629"</f>
        <v>20190312150721629</v>
      </c>
      <c r="B3051" t="str">
        <f>"1552374441623143"</f>
        <v>1552374441623143</v>
      </c>
      <c r="C3051" t="s">
        <v>40</v>
      </c>
      <c r="D3051">
        <v>4.1176409999999999</v>
      </c>
      <c r="E3051">
        <v>0.51114510000000002</v>
      </c>
      <c r="F3051" t="s">
        <v>69</v>
      </c>
      <c r="G3051">
        <v>-512.82650000000001</v>
      </c>
      <c r="H3051">
        <v>4.1046079999999998</v>
      </c>
      <c r="I3051">
        <v>274.72379999999998</v>
      </c>
      <c r="J3051">
        <v>-248.7912</v>
      </c>
      <c r="K3051">
        <v>1.1101559999999999</v>
      </c>
      <c r="L3051">
        <v>282.1585</v>
      </c>
      <c r="M3051">
        <v>-0.99990369999999995</v>
      </c>
      <c r="N3051">
        <v>0</v>
      </c>
      <c r="O3051">
        <v>1.1254750000000001E-2</v>
      </c>
      <c r="P3051">
        <v>-0.99949560000000004</v>
      </c>
      <c r="Q3051">
        <v>3.1146030000000002E-2</v>
      </c>
      <c r="R3051">
        <v>6.2178609999999999E-3</v>
      </c>
      <c r="S3051">
        <v>-3.0010219999999999</v>
      </c>
      <c r="T3051">
        <v>3.3999199999999903E-2</v>
      </c>
      <c r="U3051">
        <v>-8.4381100000000001E-2</v>
      </c>
      <c r="V3051">
        <v>-5.0942160000000004E-3</v>
      </c>
      <c r="W3051">
        <v>3.9261089999999998E-2</v>
      </c>
      <c r="X3051">
        <v>0.99921599999999999</v>
      </c>
      <c r="Y3051">
        <v>-3.9351990000000003E-2</v>
      </c>
      <c r="Z3051">
        <v>3.5034749999999999E-4</v>
      </c>
      <c r="AA3051">
        <v>0.99922540000000004</v>
      </c>
      <c r="AB3051">
        <v>32</v>
      </c>
      <c r="AC3051">
        <v>-264.03530000000001</v>
      </c>
      <c r="AD3051">
        <v>2.9944519999999999</v>
      </c>
      <c r="AE3051">
        <v>-7.4347000000000198</v>
      </c>
      <c r="AF3051">
        <v>-10.4046411331157</v>
      </c>
      <c r="AG3051">
        <v>2.9944519999999999</v>
      </c>
      <c r="AH3051">
        <v>263.90098109727001</v>
      </c>
      <c r="AI3051">
        <v>89.350404368170899</v>
      </c>
      <c r="AJ3051">
        <v>92.257791622511206</v>
      </c>
      <c r="AK3051">
        <v>264.12298484605799</v>
      </c>
      <c r="AL3051">
        <v>87.749926933780301</v>
      </c>
      <c r="AM3051">
        <v>90.292103557155002</v>
      </c>
      <c r="AN3051">
        <v>0.99999999944032103</v>
      </c>
    </row>
    <row r="3052" spans="1:40" x14ac:dyDescent="0.25">
      <c r="A3052" t="str">
        <f>"20190312150721651"</f>
        <v>20190312150721651</v>
      </c>
      <c r="B3052" t="str">
        <f>"1552374441643637"</f>
        <v>1552374441643637</v>
      </c>
      <c r="C3052" t="s">
        <v>40</v>
      </c>
      <c r="D3052">
        <v>4.1200700000000001</v>
      </c>
      <c r="E3052">
        <v>0.51354659999999996</v>
      </c>
      <c r="F3052" t="s">
        <v>48</v>
      </c>
      <c r="G3052">
        <v>0</v>
      </c>
      <c r="H3052">
        <v>0</v>
      </c>
      <c r="I3052">
        <v>0</v>
      </c>
      <c r="J3052">
        <v>-249.10980000000001</v>
      </c>
      <c r="K3052">
        <v>1.1101570000000001</v>
      </c>
      <c r="L3052">
        <v>282.16129999999998</v>
      </c>
      <c r="M3052">
        <v>-0.99991220000000003</v>
      </c>
      <c r="N3052">
        <v>0</v>
      </c>
      <c r="O3052">
        <v>1.046562E-2</v>
      </c>
      <c r="P3052">
        <v>-0.9995153</v>
      </c>
      <c r="Q3052">
        <v>3.0610410000000001E-2</v>
      </c>
      <c r="R3052">
        <v>5.6913969999999999E-3</v>
      </c>
      <c r="S3052">
        <v>-2.9995569999999998</v>
      </c>
      <c r="T3052">
        <v>4.1077259999999997E-2</v>
      </c>
      <c r="U3052">
        <v>0.10668950000000001</v>
      </c>
      <c r="V3052">
        <v>-4.8322590000000002E-3</v>
      </c>
      <c r="W3052">
        <v>3.8736489999999998E-2</v>
      </c>
      <c r="X3052">
        <v>0.99923779999999995</v>
      </c>
      <c r="Y3052">
        <v>2.5083250000000001E-2</v>
      </c>
      <c r="Z3052" s="1">
        <v>-2.8423220000000001E-5</v>
      </c>
      <c r="AA3052">
        <v>0.9996853</v>
      </c>
      <c r="AB3052">
        <v>32</v>
      </c>
      <c r="AC3052">
        <v>-2.9995569999999998</v>
      </c>
      <c r="AD3052">
        <v>4.1077259999999997E-2</v>
      </c>
      <c r="AE3052">
        <v>0.10668950000000001</v>
      </c>
      <c r="AF3052">
        <v>7.5276296620808106E-2</v>
      </c>
      <c r="AG3052">
        <v>4.1077259999999997E-2</v>
      </c>
      <c r="AH3052">
        <v>2.99994743122816</v>
      </c>
      <c r="AI3052">
        <v>89.215764221854201</v>
      </c>
      <c r="AJ3052">
        <v>88.562605070421995</v>
      </c>
      <c r="AK3052">
        <v>3.00117284611441</v>
      </c>
      <c r="AL3052">
        <v>87.780007237200294</v>
      </c>
      <c r="AM3052">
        <v>90.277077076079493</v>
      </c>
      <c r="AN3052">
        <v>1.0000000236666999</v>
      </c>
    </row>
    <row r="3053" spans="1:40" x14ac:dyDescent="0.25">
      <c r="A3053" t="str">
        <f>"20190312150721663"</f>
        <v>20190312150721663</v>
      </c>
      <c r="B3053" t="str">
        <f>"1552374441653397"</f>
        <v>1552374441653397</v>
      </c>
      <c r="C3053" t="s">
        <v>40</v>
      </c>
      <c r="D3053">
        <v>4.1008079999999998</v>
      </c>
      <c r="E3053">
        <v>0.51408609999999999</v>
      </c>
      <c r="F3053" t="s">
        <v>72</v>
      </c>
      <c r="G3053">
        <v>-547.77239999999995</v>
      </c>
      <c r="H3053">
        <v>5.2226280000000003</v>
      </c>
      <c r="I3053">
        <v>294.55</v>
      </c>
      <c r="J3053">
        <v>-249.28</v>
      </c>
      <c r="K3053">
        <v>1.1101570000000001</v>
      </c>
      <c r="L3053">
        <v>282.1628</v>
      </c>
      <c r="M3053">
        <v>-0.99991640000000004</v>
      </c>
      <c r="N3053">
        <v>0</v>
      </c>
      <c r="O3053">
        <v>1.004447E-2</v>
      </c>
      <c r="P3053">
        <v>-0.99953400000000003</v>
      </c>
      <c r="Q3053">
        <v>3.0058120000000001E-2</v>
      </c>
      <c r="R3053">
        <v>5.3231989999999998E-3</v>
      </c>
      <c r="S3053">
        <v>-2.9994809999999998</v>
      </c>
      <c r="T3053">
        <v>4.1302560000000002E-2</v>
      </c>
      <c r="U3053">
        <v>0.12442019999999999</v>
      </c>
      <c r="V3053">
        <v>-4.7789950000000003E-3</v>
      </c>
      <c r="W3053">
        <v>3.8190439999999999E-2</v>
      </c>
      <c r="X3053">
        <v>0.99925909999999996</v>
      </c>
      <c r="Y3053">
        <v>3.1404639999999998E-2</v>
      </c>
      <c r="Z3053" s="1">
        <v>-7.7875140000000005E-5</v>
      </c>
      <c r="AA3053">
        <v>0.99950680000000003</v>
      </c>
      <c r="AB3053">
        <v>32</v>
      </c>
      <c r="AC3053">
        <v>-298.49239999999998</v>
      </c>
      <c r="AD3053">
        <v>4.1124710000000002</v>
      </c>
      <c r="AE3053">
        <v>12.3872</v>
      </c>
      <c r="AF3053">
        <v>9.3864990368387193</v>
      </c>
      <c r="AG3053">
        <v>4.1124710000000002</v>
      </c>
      <c r="AH3053">
        <v>298.54519589816903</v>
      </c>
      <c r="AI3053">
        <v>89.211188189143002</v>
      </c>
      <c r="AJ3053">
        <v>88.199168233007001</v>
      </c>
      <c r="AK3053">
        <v>298.721028345462</v>
      </c>
      <c r="AL3053">
        <v>87.811316820933996</v>
      </c>
      <c r="AM3053">
        <v>90.274017175531597</v>
      </c>
      <c r="AN3053">
        <v>1.0000000487167</v>
      </c>
    </row>
    <row r="3054" spans="1:40" x14ac:dyDescent="0.25">
      <c r="A3054" t="str">
        <f>"20190312150721675"</f>
        <v>20190312150721675</v>
      </c>
      <c r="B3054" t="str">
        <f>"1552374441672917"</f>
        <v>1552374441672917</v>
      </c>
      <c r="C3054" t="s">
        <v>40</v>
      </c>
      <c r="D3054">
        <v>4.0983989999999997</v>
      </c>
      <c r="E3054">
        <v>0.51475079999999995</v>
      </c>
      <c r="F3054" t="s">
        <v>72</v>
      </c>
      <c r="G3054">
        <v>-540.20669999999996</v>
      </c>
      <c r="H3054">
        <v>4.8701319999999999</v>
      </c>
      <c r="I3054">
        <v>294.55</v>
      </c>
      <c r="J3054">
        <v>-249.45320000000001</v>
      </c>
      <c r="K3054">
        <v>1.1101559999999999</v>
      </c>
      <c r="L3054">
        <v>282.16410000000002</v>
      </c>
      <c r="M3054">
        <v>-0.99992060000000005</v>
      </c>
      <c r="N3054">
        <v>0</v>
      </c>
      <c r="O3054">
        <v>9.6156279999999993E-3</v>
      </c>
      <c r="P3054">
        <v>-0.99953979999999998</v>
      </c>
      <c r="Q3054">
        <v>2.996532E-2</v>
      </c>
      <c r="R3054">
        <v>4.738463E-3</v>
      </c>
      <c r="S3054">
        <v>-2.9995419999999999</v>
      </c>
      <c r="T3054">
        <v>3.8767339999999997E-2</v>
      </c>
      <c r="U3054">
        <v>0.1277161</v>
      </c>
      <c r="V3054">
        <v>-4.9343449999999997E-3</v>
      </c>
      <c r="W3054">
        <v>3.8105149999999997E-2</v>
      </c>
      <c r="X3054">
        <v>0.99926159999999997</v>
      </c>
      <c r="Y3054">
        <v>3.2928819999999998E-2</v>
      </c>
      <c r="Z3054" s="1">
        <v>-8.8476460000000003E-5</v>
      </c>
      <c r="AA3054">
        <v>0.9994577</v>
      </c>
      <c r="AB3054">
        <v>32</v>
      </c>
      <c r="AC3054">
        <v>-290.75349999999901</v>
      </c>
      <c r="AD3054">
        <v>3.759976</v>
      </c>
      <c r="AE3054">
        <v>12.3858999999999</v>
      </c>
      <c r="AF3054">
        <v>9.5878566245441004</v>
      </c>
      <c r="AG3054">
        <v>3.759976</v>
      </c>
      <c r="AH3054">
        <v>290.81061453400099</v>
      </c>
      <c r="AI3054">
        <v>89.259649503106402</v>
      </c>
      <c r="AJ3054">
        <v>88.111675506004602</v>
      </c>
      <c r="AK3054">
        <v>290.99291733617298</v>
      </c>
      <c r="AL3054">
        <v>87.816207135189302</v>
      </c>
      <c r="AM3054">
        <v>90.282923756194606</v>
      </c>
      <c r="AN3054">
        <v>1.00000004772582</v>
      </c>
    </row>
    <row r="3055" spans="1:40" x14ac:dyDescent="0.25">
      <c r="A3055" t="str">
        <f>"20190312150721687"</f>
        <v>20190312150721687</v>
      </c>
      <c r="B3055" t="str">
        <f>"1552374441683653"</f>
        <v>1552374441683653</v>
      </c>
      <c r="C3055" t="s">
        <v>40</v>
      </c>
      <c r="D3055">
        <v>4.1105010000000002</v>
      </c>
      <c r="E3055">
        <v>0.51497709999999997</v>
      </c>
      <c r="F3055" t="s">
        <v>72</v>
      </c>
      <c r="G3055">
        <v>-513.36569999999995</v>
      </c>
      <c r="H3055">
        <v>4.2503149999999996</v>
      </c>
      <c r="I3055">
        <v>293.69319999999999</v>
      </c>
      <c r="J3055">
        <v>-249.61879999999999</v>
      </c>
      <c r="K3055">
        <v>1.1101570000000001</v>
      </c>
      <c r="L3055">
        <v>282.1653</v>
      </c>
      <c r="M3055">
        <v>-0.99992440000000005</v>
      </c>
      <c r="N3055">
        <v>0</v>
      </c>
      <c r="O3055">
        <v>9.2058599999999997E-3</v>
      </c>
      <c r="P3055">
        <v>-0.99953879999999995</v>
      </c>
      <c r="Q3055">
        <v>3.0090809999999999E-2</v>
      </c>
      <c r="R3055">
        <v>4.0738750000000002E-3</v>
      </c>
      <c r="S3055">
        <v>-2.9996800000000001</v>
      </c>
      <c r="T3055">
        <v>3.569257E-2</v>
      </c>
      <c r="U3055">
        <v>0.13104250000000001</v>
      </c>
      <c r="V3055">
        <v>-5.1897139999999998E-3</v>
      </c>
      <c r="W3055">
        <v>3.8237140000000003E-2</v>
      </c>
      <c r="X3055">
        <v>0.99925520000000001</v>
      </c>
      <c r="Y3055">
        <v>3.4442849999999997E-2</v>
      </c>
      <c r="Z3055" s="1">
        <v>-9.5329710000000004E-5</v>
      </c>
      <c r="AA3055">
        <v>0.99940660000000003</v>
      </c>
      <c r="AB3055">
        <v>32</v>
      </c>
      <c r="AC3055">
        <v>-263.74689999999998</v>
      </c>
      <c r="AD3055">
        <v>3.140158</v>
      </c>
      <c r="AE3055">
        <v>11.527899999999899</v>
      </c>
      <c r="AF3055">
        <v>9.0980265657414296</v>
      </c>
      <c r="AG3055">
        <v>3.140158</v>
      </c>
      <c r="AH3055">
        <v>263.80452735042502</v>
      </c>
      <c r="AI3055">
        <v>89.318425584602494</v>
      </c>
      <c r="AJ3055">
        <v>88.024779914840494</v>
      </c>
      <c r="AK3055">
        <v>263.98004343176598</v>
      </c>
      <c r="AL3055">
        <v>87.808639009080593</v>
      </c>
      <c r="AM3055">
        <v>90.297567664027795</v>
      </c>
      <c r="AN3055">
        <v>0.99999998336690998</v>
      </c>
    </row>
    <row r="3056" spans="1:40" x14ac:dyDescent="0.25">
      <c r="A3056" t="str">
        <f>"20190312150721699"</f>
        <v>20190312150721699</v>
      </c>
      <c r="B3056" t="str">
        <f>"1552374441693413"</f>
        <v>1552374441693413</v>
      </c>
      <c r="C3056" t="s">
        <v>40</v>
      </c>
      <c r="D3056">
        <v>4.1349660000000004</v>
      </c>
      <c r="E3056">
        <v>0.51509640000000001</v>
      </c>
      <c r="F3056" t="s">
        <v>72</v>
      </c>
      <c r="G3056">
        <v>-513.57249999999999</v>
      </c>
      <c r="H3056">
        <v>4.2964019999999996</v>
      </c>
      <c r="I3056">
        <v>293.69319999999999</v>
      </c>
      <c r="J3056">
        <v>-249.7927</v>
      </c>
      <c r="K3056">
        <v>1.1101589999999999</v>
      </c>
      <c r="L3056">
        <v>282.16649999999998</v>
      </c>
      <c r="M3056">
        <v>-0.99992829999999999</v>
      </c>
      <c r="N3056">
        <v>0</v>
      </c>
      <c r="O3056">
        <v>8.7749950000000007E-3</v>
      </c>
      <c r="P3056">
        <v>-0.99954319999999997</v>
      </c>
      <c r="Q3056">
        <v>3.0014510000000001E-2</v>
      </c>
      <c r="R3056">
        <v>3.5614100000000001E-3</v>
      </c>
      <c r="S3056">
        <v>-2.999771</v>
      </c>
      <c r="T3056">
        <v>3.6211849999999997E-2</v>
      </c>
      <c r="U3056">
        <v>0.13101199999999999</v>
      </c>
      <c r="V3056">
        <v>-5.2716830000000001E-3</v>
      </c>
      <c r="W3056">
        <v>3.8166609999999997E-2</v>
      </c>
      <c r="X3056">
        <v>0.99925750000000002</v>
      </c>
      <c r="Y3056">
        <v>3.486189E-2</v>
      </c>
      <c r="Z3056">
        <v>-1.044396E-4</v>
      </c>
      <c r="AA3056">
        <v>0.99939219999999895</v>
      </c>
      <c r="AB3056">
        <v>32</v>
      </c>
      <c r="AC3056">
        <v>-263.77980000000002</v>
      </c>
      <c r="AD3056">
        <v>3.1862430000000002</v>
      </c>
      <c r="AE3056">
        <v>11.5267</v>
      </c>
      <c r="AF3056">
        <v>9.2101716476897195</v>
      </c>
      <c r="AG3056">
        <v>3.1862430000000002</v>
      </c>
      <c r="AH3056">
        <v>263.83237213181701</v>
      </c>
      <c r="AI3056">
        <v>89.308506834108499</v>
      </c>
      <c r="AJ3056">
        <v>88.000663246681995</v>
      </c>
      <c r="AK3056">
        <v>264.01231030188097</v>
      </c>
      <c r="AL3056">
        <v>87.812683103931903</v>
      </c>
      <c r="AM3056">
        <v>90.302266817820296</v>
      </c>
      <c r="AN3056">
        <v>1.0000000160333899</v>
      </c>
    </row>
    <row r="3057" spans="1:40" x14ac:dyDescent="0.25">
      <c r="A3057" t="str">
        <f>"20190312150721710"</f>
        <v>20190312150721710</v>
      </c>
      <c r="B3057" t="str">
        <f>"1552374441703173"</f>
        <v>1552374441703173</v>
      </c>
      <c r="C3057" t="s">
        <v>40</v>
      </c>
      <c r="D3057">
        <v>4.3976030000000002</v>
      </c>
      <c r="E3057">
        <v>0.51516700000000004</v>
      </c>
      <c r="F3057" t="s">
        <v>72</v>
      </c>
      <c r="G3057">
        <v>-535.06960000000004</v>
      </c>
      <c r="H3057">
        <v>4.5328210000000002</v>
      </c>
      <c r="I3057">
        <v>294.55</v>
      </c>
      <c r="J3057">
        <v>-249.96379999999999</v>
      </c>
      <c r="K3057">
        <v>1.1101589999999999</v>
      </c>
      <c r="L3057">
        <v>282.16759999999999</v>
      </c>
      <c r="M3057">
        <v>-0.99993180000000004</v>
      </c>
      <c r="N3057">
        <v>0</v>
      </c>
      <c r="O3057">
        <v>8.3517609999999992E-3</v>
      </c>
      <c r="P3057">
        <v>-0.99953919999999996</v>
      </c>
      <c r="Q3057">
        <v>3.0204189999999999E-2</v>
      </c>
      <c r="R3057">
        <v>3.0360029999999998E-3</v>
      </c>
      <c r="S3057">
        <v>-2.9998320000000001</v>
      </c>
      <c r="T3057">
        <v>3.5991910000000002E-2</v>
      </c>
      <c r="U3057">
        <v>0.13021849999999999</v>
      </c>
      <c r="V3057">
        <v>-5.3745640000000001E-3</v>
      </c>
      <c r="W3057">
        <v>3.8361970000000002E-2</v>
      </c>
      <c r="X3057">
        <v>0.99924950000000001</v>
      </c>
      <c r="Y3057">
        <v>3.502015E-2</v>
      </c>
      <c r="Z3057">
        <v>-1.0982760000000001E-4</v>
      </c>
      <c r="AA3057">
        <v>0.99938660000000001</v>
      </c>
      <c r="AB3057">
        <v>32</v>
      </c>
      <c r="AC3057">
        <v>-285.10579999999999</v>
      </c>
      <c r="AD3057">
        <v>3.4226619999999999</v>
      </c>
      <c r="AE3057">
        <v>12.382400000000001</v>
      </c>
      <c r="AF3057">
        <v>9.9993149063234004</v>
      </c>
      <c r="AG3057">
        <v>3.4226619999999999</v>
      </c>
      <c r="AH3057">
        <v>285.15825527029801</v>
      </c>
      <c r="AI3057">
        <v>89.312752727291894</v>
      </c>
      <c r="AJ3057">
        <v>87.991698006677694</v>
      </c>
      <c r="AK3057">
        <v>285.354045814252</v>
      </c>
      <c r="AL3057">
        <v>87.801481660866898</v>
      </c>
      <c r="AM3057">
        <v>90.308168144667803</v>
      </c>
      <c r="AN3057">
        <v>1.0000000449653501</v>
      </c>
    </row>
    <row r="3058" spans="1:40" x14ac:dyDescent="0.25">
      <c r="A3058" t="str">
        <f>"20190312150721729"</f>
        <v>20190312150721729</v>
      </c>
      <c r="B3058" t="str">
        <f>"1552374441723670"</f>
        <v>1552374441723670</v>
      </c>
      <c r="C3058" t="s">
        <v>40</v>
      </c>
      <c r="D3058">
        <v>4.1672330000000004</v>
      </c>
      <c r="E3058">
        <v>0.51497170000000003</v>
      </c>
      <c r="F3058" t="s">
        <v>72</v>
      </c>
      <c r="G3058">
        <v>-537.1644</v>
      </c>
      <c r="H3058">
        <v>4.7910789999999999</v>
      </c>
      <c r="I3058">
        <v>294.55</v>
      </c>
      <c r="J3058">
        <v>-250.22190000000001</v>
      </c>
      <c r="K3058">
        <v>1.11016</v>
      </c>
      <c r="L3058">
        <v>282.16919999999999</v>
      </c>
      <c r="M3058">
        <v>-0.99993679999999996</v>
      </c>
      <c r="N3058">
        <v>0</v>
      </c>
      <c r="O3058">
        <v>7.7136339999999996E-3</v>
      </c>
      <c r="P3058">
        <v>-0.99954580000000004</v>
      </c>
      <c r="Q3058">
        <v>3.007305E-2</v>
      </c>
      <c r="R3058">
        <v>2.0053879999999999E-3</v>
      </c>
      <c r="S3058">
        <v>-2.9998019999999999</v>
      </c>
      <c r="T3058">
        <v>3.844798E-2</v>
      </c>
      <c r="U3058">
        <v>0.12933349999999999</v>
      </c>
      <c r="V3058">
        <v>-5.7672089999999997E-3</v>
      </c>
      <c r="W3058">
        <v>3.8238559999999998E-2</v>
      </c>
      <c r="X3058">
        <v>0.99925200000000003</v>
      </c>
      <c r="Y3058">
        <v>3.5363720000000001E-2</v>
      </c>
      <c r="Z3058">
        <v>-1.2769809999999999E-4</v>
      </c>
      <c r="AA3058">
        <v>0.99937450000000005</v>
      </c>
      <c r="AB3058">
        <v>32</v>
      </c>
      <c r="AC3058">
        <v>-286.9425</v>
      </c>
      <c r="AD3058">
        <v>3.6809189999999998</v>
      </c>
      <c r="AE3058">
        <v>12.380800000000001</v>
      </c>
      <c r="AF3058">
        <v>10.1653184892371</v>
      </c>
      <c r="AG3058">
        <v>3.6809189999999998</v>
      </c>
      <c r="AH3058">
        <v>286.982329004017</v>
      </c>
      <c r="AI3058">
        <v>89.265608444565203</v>
      </c>
      <c r="AJ3058">
        <v>87.971350901259001</v>
      </c>
      <c r="AK3058">
        <v>287.185898026421</v>
      </c>
      <c r="AL3058">
        <v>87.808557634408899</v>
      </c>
      <c r="AM3058">
        <v>90.330680415288001</v>
      </c>
      <c r="AN3058">
        <v>1.0000000038372601</v>
      </c>
    </row>
    <row r="3059" spans="1:40" x14ac:dyDescent="0.25">
      <c r="A3059" t="str">
        <f>"20190312150721740"</f>
        <v>20190312150721740</v>
      </c>
      <c r="B3059" t="str">
        <f>"1552374441733429"</f>
        <v>1552374441733429</v>
      </c>
      <c r="C3059" t="s">
        <v>40</v>
      </c>
      <c r="D3059">
        <v>4.102843</v>
      </c>
      <c r="E3059">
        <v>0.51517290000000004</v>
      </c>
      <c r="F3059" t="s">
        <v>72</v>
      </c>
      <c r="G3059">
        <v>-548.60919999999999</v>
      </c>
      <c r="H3059">
        <v>4.4921980000000001</v>
      </c>
      <c r="I3059">
        <v>294.55</v>
      </c>
      <c r="J3059">
        <v>-250.3914</v>
      </c>
      <c r="K3059">
        <v>1.11016</v>
      </c>
      <c r="L3059">
        <v>282.17009999999999</v>
      </c>
      <c r="M3059">
        <v>-0.99993989999999999</v>
      </c>
      <c r="N3059">
        <v>0</v>
      </c>
      <c r="O3059">
        <v>7.2947530000000002E-3</v>
      </c>
      <c r="P3059">
        <v>-0.99955179999999999</v>
      </c>
      <c r="Q3059">
        <v>2.9909789999999999E-2</v>
      </c>
      <c r="R3059">
        <v>1.3651449999999999E-3</v>
      </c>
      <c r="S3059">
        <v>-3.000092</v>
      </c>
      <c r="T3059">
        <v>3.4005050000000002E-2</v>
      </c>
      <c r="U3059">
        <v>0.1244812</v>
      </c>
      <c r="V3059">
        <v>-5.9888090000000003E-3</v>
      </c>
      <c r="W3059">
        <v>3.8079889999999998E-2</v>
      </c>
      <c r="X3059">
        <v>0.9992567</v>
      </c>
      <c r="Y3059">
        <v>3.4165250000000001E-2</v>
      </c>
      <c r="Z3059">
        <v>-1.108919E-4</v>
      </c>
      <c r="AA3059">
        <v>0.99941619999999998</v>
      </c>
      <c r="AB3059">
        <v>32</v>
      </c>
      <c r="AC3059">
        <v>-298.21780000000001</v>
      </c>
      <c r="AD3059">
        <v>3.3820379999999899</v>
      </c>
      <c r="AE3059">
        <v>12.379899999999999</v>
      </c>
      <c r="AF3059">
        <v>10.2027625666221</v>
      </c>
      <c r="AG3059">
        <v>3.3820379999999899</v>
      </c>
      <c r="AH3059">
        <v>298.26188130532603</v>
      </c>
      <c r="AI3059">
        <v>89.350721792313394</v>
      </c>
      <c r="AJ3059">
        <v>88.040824462570995</v>
      </c>
      <c r="AK3059">
        <v>298.45549816482998</v>
      </c>
      <c r="AL3059">
        <v>87.817655260334902</v>
      </c>
      <c r="AM3059">
        <v>90.3433846095174</v>
      </c>
      <c r="AN3059">
        <v>0.99999994817526805</v>
      </c>
    </row>
    <row r="3060" spans="1:40" x14ac:dyDescent="0.25">
      <c r="A3060" t="str">
        <f>"20190312150721752"</f>
        <v>20190312150721752</v>
      </c>
      <c r="B3060" t="str">
        <f>"1552374441743189"</f>
        <v>1552374441743189</v>
      </c>
      <c r="C3060" t="s">
        <v>40</v>
      </c>
      <c r="D3060">
        <v>4.202223</v>
      </c>
      <c r="E3060">
        <v>0.5149899</v>
      </c>
      <c r="F3060" t="s">
        <v>72</v>
      </c>
      <c r="G3060">
        <v>-549.42790000000002</v>
      </c>
      <c r="H3060">
        <v>4.3779629999999896</v>
      </c>
      <c r="I3060">
        <v>294.55</v>
      </c>
      <c r="J3060">
        <v>-250.56039999999999</v>
      </c>
      <c r="K3060">
        <v>1.1101700000000001</v>
      </c>
      <c r="L3060">
        <v>282.17099999999999</v>
      </c>
      <c r="M3060">
        <v>-0.99994260000000001</v>
      </c>
      <c r="N3060">
        <v>0</v>
      </c>
      <c r="O3060">
        <v>6.8774719999999999E-3</v>
      </c>
      <c r="P3060">
        <v>-0.99955530000000004</v>
      </c>
      <c r="Q3060">
        <v>2.9814509999999999E-2</v>
      </c>
      <c r="R3060">
        <v>8.1273830000000002E-4</v>
      </c>
      <c r="S3060">
        <v>-3.0002140000000002</v>
      </c>
      <c r="T3060">
        <v>3.2786490000000001E-2</v>
      </c>
      <c r="U3060">
        <v>0.1242065</v>
      </c>
      <c r="V3060">
        <v>-6.1241450000000001E-3</v>
      </c>
      <c r="W3060">
        <v>3.8015569999999999E-2</v>
      </c>
      <c r="X3060">
        <v>0.99925839999999999</v>
      </c>
      <c r="Y3060">
        <v>3.4489359999999997E-2</v>
      </c>
      <c r="Z3060">
        <v>-1.132421E-4</v>
      </c>
      <c r="AA3060">
        <v>0.99940510000000005</v>
      </c>
      <c r="AB3060">
        <v>32</v>
      </c>
      <c r="AC3060">
        <v>-298.86750000000001</v>
      </c>
      <c r="AD3060">
        <v>3.2677930000000002</v>
      </c>
      <c r="AE3060">
        <v>12.379</v>
      </c>
      <c r="AF3060">
        <v>10.321953098666899</v>
      </c>
      <c r="AG3060">
        <v>3.2677930000000002</v>
      </c>
      <c r="AH3060">
        <v>298.90989672806398</v>
      </c>
      <c r="AI3060">
        <v>89.374019490899997</v>
      </c>
      <c r="AJ3060">
        <v>88.022248682929799</v>
      </c>
      <c r="AK3060">
        <v>299.10591359724702</v>
      </c>
      <c r="AL3060">
        <v>87.821343350537802</v>
      </c>
      <c r="AM3060">
        <v>90.351143676663796</v>
      </c>
      <c r="AN3060">
        <v>1.0000000193424801</v>
      </c>
    </row>
    <row r="3061" spans="1:40" x14ac:dyDescent="0.25">
      <c r="A3061" t="str">
        <f>"20190312150721763"</f>
        <v>20190312150721763</v>
      </c>
      <c r="B3061" t="str">
        <f>"1552374441752949"</f>
        <v>1552374441752949</v>
      </c>
      <c r="C3061" t="s">
        <v>40</v>
      </c>
      <c r="D3061">
        <v>4.1988659999999998</v>
      </c>
      <c r="E3061">
        <v>0.51476949999999999</v>
      </c>
      <c r="F3061" t="s">
        <v>72</v>
      </c>
      <c r="G3061">
        <v>-550.05809999999997</v>
      </c>
      <c r="H3061">
        <v>3.8167409999999999</v>
      </c>
      <c r="I3061">
        <v>294.2552</v>
      </c>
      <c r="J3061">
        <v>-250.72919999999999</v>
      </c>
      <c r="K3061">
        <v>1.1101810000000001</v>
      </c>
      <c r="L3061">
        <v>282.17180000000002</v>
      </c>
      <c r="M3061">
        <v>-0.99994510000000003</v>
      </c>
      <c r="N3061">
        <v>0</v>
      </c>
      <c r="O3061">
        <v>6.4610269999999899E-3</v>
      </c>
      <c r="P3061">
        <v>-0.99955890000000003</v>
      </c>
      <c r="Q3061">
        <v>2.9703750000000001E-2</v>
      </c>
      <c r="R3061">
        <v>2.667449E-4</v>
      </c>
      <c r="S3061">
        <v>-3.0004270000000002</v>
      </c>
      <c r="T3061">
        <v>2.7115819999999999E-2</v>
      </c>
      <c r="U3061">
        <v>0.1210632</v>
      </c>
      <c r="V3061">
        <v>-6.2537649999999997E-3</v>
      </c>
      <c r="W3061">
        <v>3.7947429999999997E-2</v>
      </c>
      <c r="X3061">
        <v>0.99926020000000004</v>
      </c>
      <c r="Y3061">
        <v>3.3857909999999998E-2</v>
      </c>
      <c r="Z3061" s="1">
        <v>-9.4561839999999996E-5</v>
      </c>
      <c r="AA3061">
        <v>0.9994267</v>
      </c>
      <c r="AB3061">
        <v>32</v>
      </c>
      <c r="AC3061">
        <v>-299.32889999999998</v>
      </c>
      <c r="AD3061">
        <v>2.7065600000000001</v>
      </c>
      <c r="AE3061">
        <v>12.0833999999999</v>
      </c>
      <c r="AF3061">
        <v>10.1482814885218</v>
      </c>
      <c r="AG3061">
        <v>2.7065600000000001</v>
      </c>
      <c r="AH3061">
        <v>299.37628859546101</v>
      </c>
      <c r="AI3061">
        <v>89.482319630211506</v>
      </c>
      <c r="AJ3061">
        <v>88.058526470118295</v>
      </c>
      <c r="AK3061">
        <v>299.560470118132</v>
      </c>
      <c r="AL3061">
        <v>87.825250331863501</v>
      </c>
      <c r="AM3061">
        <v>90.358574936321205</v>
      </c>
      <c r="AN3061">
        <v>1.0000000321621501</v>
      </c>
    </row>
    <row r="3062" spans="1:40" x14ac:dyDescent="0.25">
      <c r="A3062" t="str">
        <f>"20190312150721776"</f>
        <v>20190312150721776</v>
      </c>
      <c r="B3062" t="str">
        <f>"1552374441773446"</f>
        <v>1552374441773446</v>
      </c>
      <c r="C3062" t="s">
        <v>40</v>
      </c>
      <c r="D3062">
        <v>4.2080399999999996</v>
      </c>
      <c r="E3062">
        <v>0.5145248</v>
      </c>
      <c r="F3062" t="s">
        <v>72</v>
      </c>
      <c r="G3062">
        <v>-550.05799999999999</v>
      </c>
      <c r="H3062">
        <v>3.5038800000000001</v>
      </c>
      <c r="I3062">
        <v>293.90460000000002</v>
      </c>
      <c r="J3062">
        <v>-250.90389999999999</v>
      </c>
      <c r="K3062">
        <v>1.110217</v>
      </c>
      <c r="L3062">
        <v>282.17250000000001</v>
      </c>
      <c r="M3062">
        <v>-0.99994660000000002</v>
      </c>
      <c r="N3062">
        <v>0</v>
      </c>
      <c r="O3062">
        <v>6.0302649999999999E-3</v>
      </c>
      <c r="P3062">
        <v>-0.99956540000000005</v>
      </c>
      <c r="Q3062">
        <v>2.9472760000000001E-2</v>
      </c>
      <c r="R3062">
        <v>-3.217378E-4</v>
      </c>
      <c r="S3062">
        <v>-3.0005950000000001</v>
      </c>
      <c r="T3062">
        <v>2.399623E-2</v>
      </c>
      <c r="U3062">
        <v>0.1176147</v>
      </c>
      <c r="V3062">
        <v>-6.4119800000000003E-3</v>
      </c>
      <c r="W3062">
        <v>3.78526E-2</v>
      </c>
      <c r="X3062">
        <v>0.99926280000000001</v>
      </c>
      <c r="Y3062">
        <v>3.3139639999999998E-2</v>
      </c>
      <c r="Z3062" s="1">
        <v>-8.4252739999999895E-5</v>
      </c>
      <c r="AA3062">
        <v>0.99945070000000003</v>
      </c>
      <c r="AB3062">
        <v>32</v>
      </c>
      <c r="AC3062">
        <v>-299.15410000000003</v>
      </c>
      <c r="AD3062">
        <v>2.3936630000000001</v>
      </c>
      <c r="AE3062">
        <v>11.732100000000001</v>
      </c>
      <c r="AF3062">
        <v>9.9272100435210202</v>
      </c>
      <c r="AG3062">
        <v>2.3936630000000001</v>
      </c>
      <c r="AH3062">
        <v>299.200284210353</v>
      </c>
      <c r="AI3062">
        <v>89.541883993581393</v>
      </c>
      <c r="AJ3062">
        <v>88.099672065760103</v>
      </c>
      <c r="AK3062">
        <v>299.37449656468999</v>
      </c>
      <c r="AL3062">
        <v>87.830687609911095</v>
      </c>
      <c r="AM3062">
        <v>90.367645378438993</v>
      </c>
      <c r="AN3062">
        <v>1.0000000381390499</v>
      </c>
    </row>
    <row r="3063" spans="1:40" x14ac:dyDescent="0.25">
      <c r="A3063" t="str">
        <f>"20190312150721790"</f>
        <v>20190312150721790</v>
      </c>
      <c r="B3063" t="str">
        <f>"1552374441783205"</f>
        <v>1552374441783205</v>
      </c>
      <c r="C3063" t="s">
        <v>40</v>
      </c>
      <c r="D3063">
        <v>4.2127720000000002</v>
      </c>
      <c r="E3063">
        <v>0.51445730000000001</v>
      </c>
      <c r="F3063" t="s">
        <v>48</v>
      </c>
      <c r="G3063">
        <v>0</v>
      </c>
      <c r="H3063">
        <v>0</v>
      </c>
      <c r="I3063">
        <v>0</v>
      </c>
      <c r="J3063">
        <v>-251.0984</v>
      </c>
      <c r="K3063">
        <v>1.1102730000000001</v>
      </c>
      <c r="L3063">
        <v>282.17320000000001</v>
      </c>
      <c r="M3063">
        <v>-0.99994760000000005</v>
      </c>
      <c r="N3063">
        <v>0</v>
      </c>
      <c r="O3063">
        <v>5.5550969999999898E-3</v>
      </c>
      <c r="P3063">
        <v>-0.99957099999999999</v>
      </c>
      <c r="Q3063">
        <v>2.9282989999999998E-2</v>
      </c>
      <c r="R3063">
        <v>-6.1988319999999996E-4</v>
      </c>
      <c r="S3063">
        <v>-3.0009000000000001</v>
      </c>
      <c r="T3063">
        <v>1.530945E-2</v>
      </c>
      <c r="U3063">
        <v>0.1137085</v>
      </c>
      <c r="V3063">
        <v>-6.2356750000000004E-3</v>
      </c>
      <c r="W3063">
        <v>3.7878820000000001E-2</v>
      </c>
      <c r="X3063">
        <v>0.99926289999999995</v>
      </c>
      <c r="Y3063">
        <v>3.231204E-2</v>
      </c>
      <c r="Z3063" s="1">
        <v>-5.4061950000000002E-5</v>
      </c>
      <c r="AA3063">
        <v>0.99947779999999997</v>
      </c>
      <c r="AB3063">
        <v>32</v>
      </c>
      <c r="AC3063">
        <v>-3.0009000000000001</v>
      </c>
      <c r="AD3063">
        <v>1.530945E-2</v>
      </c>
      <c r="AE3063">
        <v>0.1137085</v>
      </c>
      <c r="AF3063">
        <v>9.7033316659894994E-2</v>
      </c>
      <c r="AG3063">
        <v>1.530945E-2</v>
      </c>
      <c r="AH3063">
        <v>3.0014073745802898</v>
      </c>
      <c r="AI3063">
        <v>89.707903284506699</v>
      </c>
      <c r="AJ3063">
        <v>88.148314072007395</v>
      </c>
      <c r="AK3063">
        <v>3.00301449746522</v>
      </c>
      <c r="AL3063">
        <v>87.829184188343305</v>
      </c>
      <c r="AM3063">
        <v>90.357536762782303</v>
      </c>
      <c r="AN3063">
        <v>1.0000000159818501</v>
      </c>
    </row>
    <row r="3064" spans="1:40" x14ac:dyDescent="0.25">
      <c r="A3064" t="str">
        <f>"20190312150721807"</f>
        <v>20190312150721807</v>
      </c>
      <c r="B3064" t="str">
        <f>"1552374441803701"</f>
        <v>1552374441803701</v>
      </c>
      <c r="C3064" t="s">
        <v>40</v>
      </c>
      <c r="D3064">
        <v>4.2066270000000001</v>
      </c>
      <c r="E3064">
        <v>0.51406169999999995</v>
      </c>
      <c r="F3064" t="s">
        <v>48</v>
      </c>
      <c r="G3064">
        <v>0</v>
      </c>
      <c r="H3064">
        <v>0</v>
      </c>
      <c r="I3064">
        <v>0</v>
      </c>
      <c r="J3064">
        <v>-251.3562</v>
      </c>
      <c r="K3064">
        <v>1.110376</v>
      </c>
      <c r="L3064">
        <v>282.17399999999998</v>
      </c>
      <c r="M3064">
        <v>-0.99994709999999998</v>
      </c>
      <c r="N3064">
        <v>0</v>
      </c>
      <c r="O3064">
        <v>4.9341280000000003E-3</v>
      </c>
      <c r="P3064">
        <v>-0.99957949999999995</v>
      </c>
      <c r="Q3064">
        <v>2.8974099999999999E-2</v>
      </c>
      <c r="R3064">
        <v>-1.06489E-3</v>
      </c>
      <c r="S3064">
        <v>-3.0009920000000001</v>
      </c>
      <c r="T3064">
        <v>1.214433E-2</v>
      </c>
      <c r="U3064">
        <v>0.112335199999999</v>
      </c>
      <c r="V3064">
        <v>-6.06078E-3</v>
      </c>
      <c r="W3064">
        <v>3.7985539999999998E-2</v>
      </c>
      <c r="X3064">
        <v>0.99925989999999998</v>
      </c>
      <c r="Y3064">
        <v>3.2474950000000002E-2</v>
      </c>
      <c r="Z3064" s="1">
        <v>-4.5725559999999999E-5</v>
      </c>
      <c r="AA3064">
        <v>0.99947260000000004</v>
      </c>
      <c r="AB3064">
        <v>32</v>
      </c>
      <c r="AC3064">
        <v>-3.0009920000000001</v>
      </c>
      <c r="AD3064">
        <v>1.214433E-2</v>
      </c>
      <c r="AE3064">
        <v>0.112335199999999</v>
      </c>
      <c r="AF3064">
        <v>9.7524355855852105E-2</v>
      </c>
      <c r="AG3064">
        <v>1.214433E-2</v>
      </c>
      <c r="AH3064">
        <v>3.0014606808970701</v>
      </c>
      <c r="AI3064">
        <v>89.768296798709898</v>
      </c>
      <c r="AJ3064">
        <v>88.138983177486395</v>
      </c>
      <c r="AK3064">
        <v>3.0030692139388599</v>
      </c>
      <c r="AL3064">
        <v>87.823065124740694</v>
      </c>
      <c r="AM3064">
        <v>90.347510048599403</v>
      </c>
      <c r="AN3064">
        <v>0.99999999102565396</v>
      </c>
    </row>
    <row r="3065" spans="1:40" x14ac:dyDescent="0.25">
      <c r="A3065" t="str">
        <f>"20190312150721831"</f>
        <v>20190312150721831</v>
      </c>
      <c r="B3065" t="str">
        <f>"1552374441823221"</f>
        <v>1552374441823221</v>
      </c>
      <c r="C3065" t="s">
        <v>40</v>
      </c>
      <c r="D3065">
        <v>4.2063980000000001</v>
      </c>
      <c r="E3065">
        <v>0.51418279999999905</v>
      </c>
      <c r="F3065" t="s">
        <v>48</v>
      </c>
      <c r="G3065">
        <v>0</v>
      </c>
      <c r="H3065">
        <v>0</v>
      </c>
      <c r="I3065">
        <v>0</v>
      </c>
      <c r="J3065">
        <v>-251.6943</v>
      </c>
      <c r="K3065">
        <v>1.110482</v>
      </c>
      <c r="L3065">
        <v>282.1748</v>
      </c>
      <c r="M3065">
        <v>-0.99994609999999995</v>
      </c>
      <c r="N3065">
        <v>0</v>
      </c>
      <c r="O3065">
        <v>4.1018490000000003E-3</v>
      </c>
      <c r="P3065">
        <v>-0.99958179999999996</v>
      </c>
      <c r="Q3065">
        <v>2.8875899999999999E-2</v>
      </c>
      <c r="R3065">
        <v>-1.6963589999999999E-3</v>
      </c>
      <c r="S3065">
        <v>-3.0010829999999999</v>
      </c>
      <c r="T3065">
        <v>1.0126110000000001E-2</v>
      </c>
      <c r="U3065">
        <v>0.1078186</v>
      </c>
      <c r="V3065">
        <v>-5.8610370000000004E-3</v>
      </c>
      <c r="W3065">
        <v>3.8410100000000003E-2</v>
      </c>
      <c r="X3065">
        <v>0.99924489999999999</v>
      </c>
      <c r="Y3065">
        <v>3.180355E-2</v>
      </c>
      <c r="Z3065" s="1">
        <v>-3.9801459999999999E-5</v>
      </c>
      <c r="AA3065">
        <v>0.99949410000000005</v>
      </c>
      <c r="AB3065">
        <v>32</v>
      </c>
      <c r="AC3065">
        <v>-3.0010829999999999</v>
      </c>
      <c r="AD3065">
        <v>1.0126110000000001E-2</v>
      </c>
      <c r="AE3065">
        <v>0.1078186</v>
      </c>
      <c r="AF3065">
        <v>9.5506057682956794E-2</v>
      </c>
      <c r="AG3065">
        <v>1.0126110000000001E-2</v>
      </c>
      <c r="AH3065">
        <v>3.0014658991284402</v>
      </c>
      <c r="AI3065">
        <v>89.806798513608896</v>
      </c>
      <c r="AJ3065">
        <v>88.177474441987002</v>
      </c>
      <c r="AK3065">
        <v>3.0030020793846899</v>
      </c>
      <c r="AL3065">
        <v>87.798721945718498</v>
      </c>
      <c r="AM3065">
        <v>90.336062593548505</v>
      </c>
      <c r="AN3065">
        <v>1.00000002885636</v>
      </c>
    </row>
    <row r="3066" spans="1:40" x14ac:dyDescent="0.25">
      <c r="A3066" t="str">
        <f>"20190312150721843"</f>
        <v>20190312150721843</v>
      </c>
      <c r="B3066" t="str">
        <f>"1552374441832980"</f>
        <v>1552374441832980</v>
      </c>
      <c r="C3066" t="s">
        <v>40</v>
      </c>
      <c r="D3066">
        <v>4.1683070000000004</v>
      </c>
      <c r="E3066">
        <v>0.5143626</v>
      </c>
      <c r="F3066" t="s">
        <v>48</v>
      </c>
      <c r="G3066">
        <v>0</v>
      </c>
      <c r="H3066">
        <v>0</v>
      </c>
      <c r="I3066">
        <v>0</v>
      </c>
      <c r="J3066">
        <v>-251.8845</v>
      </c>
      <c r="K3066">
        <v>1.1105259999999999</v>
      </c>
      <c r="L3066">
        <v>282.17520000000002</v>
      </c>
      <c r="M3066">
        <v>-0.99994530000000004</v>
      </c>
      <c r="N3066">
        <v>0</v>
      </c>
      <c r="O3066">
        <v>3.6278780000000002E-3</v>
      </c>
      <c r="P3066">
        <v>-0.99958740000000001</v>
      </c>
      <c r="Q3066">
        <v>2.8648779999999999E-2</v>
      </c>
      <c r="R3066">
        <v>-2.0782140000000001E-3</v>
      </c>
      <c r="S3066">
        <v>-3.0012210000000001</v>
      </c>
      <c r="T3066">
        <v>8.2561969999999998E-3</v>
      </c>
      <c r="U3066">
        <v>0.106781</v>
      </c>
      <c r="V3066">
        <v>-5.7695480000000002E-3</v>
      </c>
      <c r="W3066">
        <v>3.8437260000000001E-2</v>
      </c>
      <c r="X3066">
        <v>0.99924429999999997</v>
      </c>
      <c r="Y3066">
        <v>3.1930600000000003E-2</v>
      </c>
      <c r="Z3066" s="1">
        <v>-3.3928489999999998E-5</v>
      </c>
      <c r="AA3066">
        <v>0.99949010000000005</v>
      </c>
      <c r="AB3066">
        <v>32</v>
      </c>
      <c r="AC3066">
        <v>-3.0012210000000001</v>
      </c>
      <c r="AD3066">
        <v>8.2561969999999998E-3</v>
      </c>
      <c r="AE3066">
        <v>0.106781</v>
      </c>
      <c r="AF3066">
        <v>9.5890984887884598E-2</v>
      </c>
      <c r="AG3066">
        <v>8.2561969999999998E-3</v>
      </c>
      <c r="AH3066">
        <v>3.0015659685882299</v>
      </c>
      <c r="AI3066">
        <v>89.842481276777903</v>
      </c>
      <c r="AJ3066">
        <v>88.170194891216596</v>
      </c>
      <c r="AK3066">
        <v>3.0031086409849799</v>
      </c>
      <c r="AL3066">
        <v>87.7971644484482</v>
      </c>
      <c r="AM3066">
        <v>90.330817075106907</v>
      </c>
      <c r="AN3066">
        <v>0.99999994086145905</v>
      </c>
    </row>
    <row r="3067" spans="1:40" x14ac:dyDescent="0.25">
      <c r="A3067" t="str">
        <f>"20190312150721856"</f>
        <v>20190312150721856</v>
      </c>
      <c r="B3067" t="str">
        <f>"1552374441853477"</f>
        <v>1552374441853477</v>
      </c>
      <c r="C3067" t="s">
        <v>40</v>
      </c>
      <c r="D3067">
        <v>4.1276609999999998</v>
      </c>
      <c r="E3067">
        <v>0.5146136</v>
      </c>
      <c r="F3067" t="s">
        <v>48</v>
      </c>
      <c r="G3067">
        <v>0</v>
      </c>
      <c r="H3067">
        <v>0</v>
      </c>
      <c r="I3067">
        <v>0</v>
      </c>
      <c r="J3067">
        <v>-252.0607</v>
      </c>
      <c r="K3067">
        <v>1.1105560000000001</v>
      </c>
      <c r="L3067">
        <v>282.17540000000002</v>
      </c>
      <c r="M3067">
        <v>-0.99994470000000002</v>
      </c>
      <c r="N3067">
        <v>0</v>
      </c>
      <c r="O3067">
        <v>3.192397E-3</v>
      </c>
      <c r="P3067">
        <v>-0.99959580000000003</v>
      </c>
      <c r="Q3067">
        <v>2.8318240000000001E-2</v>
      </c>
      <c r="R3067">
        <v>-2.549389E-3</v>
      </c>
      <c r="S3067">
        <v>-3.0012210000000001</v>
      </c>
      <c r="T3067">
        <v>8.0268379999999997E-3</v>
      </c>
      <c r="U3067">
        <v>0.10720830000000001</v>
      </c>
      <c r="V3067">
        <v>-5.8057880000000001E-3</v>
      </c>
      <c r="W3067">
        <v>3.8310990000000003E-2</v>
      </c>
      <c r="X3067">
        <v>0.99924900000000005</v>
      </c>
      <c r="Y3067">
        <v>3.2507969999999997E-2</v>
      </c>
      <c r="Z3067" s="1">
        <v>-3.4922039999999998E-5</v>
      </c>
      <c r="AA3067">
        <v>0.99947149999999996</v>
      </c>
      <c r="AB3067">
        <v>32</v>
      </c>
      <c r="AC3067">
        <v>-3.0012210000000001</v>
      </c>
      <c r="AD3067">
        <v>8.0268379999999997E-3</v>
      </c>
      <c r="AE3067">
        <v>0.10720830000000001</v>
      </c>
      <c r="AF3067">
        <v>9.7625486259406299E-2</v>
      </c>
      <c r="AG3067">
        <v>8.0268379999999997E-3</v>
      </c>
      <c r="AH3067">
        <v>3.0015265309483401</v>
      </c>
      <c r="AI3067">
        <v>89.846858000761799</v>
      </c>
      <c r="AJ3067">
        <v>88.137095549183002</v>
      </c>
      <c r="AK3067">
        <v>3.00312448654438</v>
      </c>
      <c r="AL3067">
        <v>87.804404653038802</v>
      </c>
      <c r="AM3067">
        <v>90.332893409021693</v>
      </c>
      <c r="AN3067">
        <v>1.0000000015650401</v>
      </c>
    </row>
    <row r="3068" spans="1:40" x14ac:dyDescent="0.25">
      <c r="A3068" t="str">
        <f>"20190312150721874"</f>
        <v>20190312150721874</v>
      </c>
      <c r="B3068" t="str">
        <f>"1552374441863237"</f>
        <v>1552374441863237</v>
      </c>
      <c r="C3068" t="s">
        <v>40</v>
      </c>
      <c r="D3068">
        <v>4.2198539999999998</v>
      </c>
      <c r="E3068">
        <v>0.5145845</v>
      </c>
      <c r="F3068" t="s">
        <v>48</v>
      </c>
      <c r="G3068">
        <v>0</v>
      </c>
      <c r="H3068">
        <v>0</v>
      </c>
      <c r="I3068">
        <v>0</v>
      </c>
      <c r="J3068">
        <v>-252.32749999999999</v>
      </c>
      <c r="K3068">
        <v>1.1105959999999999</v>
      </c>
      <c r="L3068">
        <v>282.1755</v>
      </c>
      <c r="M3068">
        <v>-0.99994369999999999</v>
      </c>
      <c r="N3068">
        <v>0</v>
      </c>
      <c r="O3068">
        <v>2.5382109999999999E-3</v>
      </c>
      <c r="P3068">
        <v>-0.99960979999999999</v>
      </c>
      <c r="Q3068">
        <v>2.782374E-2</v>
      </c>
      <c r="R3068">
        <v>-2.47621E-3</v>
      </c>
      <c r="S3068">
        <v>-3.0012819999999998</v>
      </c>
      <c r="T3068">
        <v>7.0334669999999998E-3</v>
      </c>
      <c r="U3068">
        <v>0.107543899999999</v>
      </c>
      <c r="V3068">
        <v>-5.0787180000000003E-3</v>
      </c>
      <c r="W3068">
        <v>3.8114670000000003E-2</v>
      </c>
      <c r="X3068">
        <v>0.9992605</v>
      </c>
      <c r="Y3068">
        <v>3.327277E-2</v>
      </c>
      <c r="Z3068" s="1">
        <v>-3.3028009999999997E-5</v>
      </c>
      <c r="AA3068">
        <v>0.99944630000000001</v>
      </c>
      <c r="AB3068">
        <v>32</v>
      </c>
      <c r="AC3068">
        <v>-3.0012819999999998</v>
      </c>
      <c r="AD3068">
        <v>7.0334669999999998E-3</v>
      </c>
      <c r="AE3068">
        <v>0.107543899999999</v>
      </c>
      <c r="AF3068">
        <v>9.9924714105373902E-2</v>
      </c>
      <c r="AG3068">
        <v>7.0334669999999998E-3</v>
      </c>
      <c r="AH3068">
        <v>3.0015288515954799</v>
      </c>
      <c r="AI3068">
        <v>89.8658136816683</v>
      </c>
      <c r="AJ3068">
        <v>88.093254819341496</v>
      </c>
      <c r="AK3068">
        <v>3.00319993758443</v>
      </c>
      <c r="AL3068">
        <v>87.815661253199806</v>
      </c>
      <c r="AM3068">
        <v>90.291201945045998</v>
      </c>
      <c r="AN3068">
        <v>1.00000003415299</v>
      </c>
    </row>
    <row r="3069" spans="1:40" x14ac:dyDescent="0.25">
      <c r="A3069" t="str">
        <f>"20190312150721885"</f>
        <v>20190312150721885</v>
      </c>
      <c r="B3069" t="str">
        <f>"1552374441883733"</f>
        <v>1552374441883733</v>
      </c>
      <c r="C3069" t="s">
        <v>40</v>
      </c>
      <c r="D3069">
        <v>4.486707</v>
      </c>
      <c r="E3069">
        <v>0.51473190000000002</v>
      </c>
      <c r="F3069" t="s">
        <v>48</v>
      </c>
      <c r="G3069">
        <v>0</v>
      </c>
      <c r="H3069">
        <v>0</v>
      </c>
      <c r="I3069">
        <v>0</v>
      </c>
      <c r="J3069">
        <v>-252.49189999999999</v>
      </c>
      <c r="K3069">
        <v>1.110619</v>
      </c>
      <c r="L3069">
        <v>282.17559999999997</v>
      </c>
      <c r="M3069">
        <v>-0.99994280000000002</v>
      </c>
      <c r="N3069">
        <v>0</v>
      </c>
      <c r="O3069">
        <v>2.1374990000000002E-3</v>
      </c>
      <c r="P3069">
        <v>-0.99961840000000002</v>
      </c>
      <c r="Q3069">
        <v>2.7507980000000001E-2</v>
      </c>
      <c r="R3069">
        <v>-2.5143190000000001E-3</v>
      </c>
      <c r="S3069">
        <v>-3.0013429999999999</v>
      </c>
      <c r="T3069">
        <v>3.63183E-3</v>
      </c>
      <c r="U3069">
        <v>0.1074524</v>
      </c>
      <c r="V3069">
        <v>-4.716614E-3</v>
      </c>
      <c r="W3069">
        <v>3.7975540000000002E-2</v>
      </c>
      <c r="X3069">
        <v>0.99926749999999998</v>
      </c>
      <c r="Y3069">
        <v>3.3642169999999999E-2</v>
      </c>
      <c r="Z3069" s="1">
        <v>-1.776233E-5</v>
      </c>
      <c r="AA3069">
        <v>0.99943389999999999</v>
      </c>
      <c r="AB3069">
        <v>32</v>
      </c>
      <c r="AC3069">
        <v>-3.0013429999999999</v>
      </c>
      <c r="AD3069">
        <v>3.63183E-3</v>
      </c>
      <c r="AE3069">
        <v>0.1074524</v>
      </c>
      <c r="AF3069">
        <v>0.10103628676535201</v>
      </c>
      <c r="AG3069">
        <v>3.63183E-3</v>
      </c>
      <c r="AH3069">
        <v>3.0015614453732198</v>
      </c>
      <c r="AI3069">
        <v>89.930712516465306</v>
      </c>
      <c r="AJ3069">
        <v>88.072080831092805</v>
      </c>
      <c r="AK3069">
        <v>3.0032636633808001</v>
      </c>
      <c r="AL3069">
        <v>87.823638433739006</v>
      </c>
      <c r="AM3069">
        <v>90.270438164860394</v>
      </c>
      <c r="AN3069">
        <v>0.99999996232108201</v>
      </c>
    </row>
    <row r="3070" spans="1:40" x14ac:dyDescent="0.25">
      <c r="A3070" t="str">
        <f>"20190312150721897"</f>
        <v>20190312150721897</v>
      </c>
      <c r="B3070" t="str">
        <f>"1552374441893493"</f>
        <v>1552374441893493</v>
      </c>
      <c r="C3070" t="s">
        <v>40</v>
      </c>
      <c r="D3070">
        <v>4.1645190000000003</v>
      </c>
      <c r="E3070">
        <v>0.51486829999999995</v>
      </c>
      <c r="F3070" t="s">
        <v>48</v>
      </c>
      <c r="G3070">
        <v>0</v>
      </c>
      <c r="H3070">
        <v>0</v>
      </c>
      <c r="I3070">
        <v>0</v>
      </c>
      <c r="J3070">
        <v>-252.65729999999999</v>
      </c>
      <c r="K3070">
        <v>1.11063</v>
      </c>
      <c r="L3070">
        <v>282.1755</v>
      </c>
      <c r="M3070">
        <v>-0.99994179999999999</v>
      </c>
      <c r="N3070">
        <v>0</v>
      </c>
      <c r="O3070">
        <v>1.7334220000000001E-3</v>
      </c>
      <c r="P3070">
        <v>-0.99962779999999996</v>
      </c>
      <c r="Q3070">
        <v>2.7163360000000001E-2</v>
      </c>
      <c r="R3070">
        <v>-2.5592119999999999E-3</v>
      </c>
      <c r="S3070">
        <v>-3.0012210000000001</v>
      </c>
      <c r="T3070">
        <v>7.1896310000000001E-3</v>
      </c>
      <c r="U3070">
        <v>0.1086121</v>
      </c>
      <c r="V3070">
        <v>-4.3573709999999996E-3</v>
      </c>
      <c r="W3070">
        <v>3.7797810000000001E-2</v>
      </c>
      <c r="X3070">
        <v>0.99927589999999999</v>
      </c>
      <c r="Y3070">
        <v>3.443309E-2</v>
      </c>
      <c r="Z3070" s="1">
        <v>-3.707849E-5</v>
      </c>
      <c r="AA3070">
        <v>0.99940700000000005</v>
      </c>
      <c r="AB3070">
        <v>32</v>
      </c>
      <c r="AC3070">
        <v>-3.0012210000000001</v>
      </c>
      <c r="AD3070">
        <v>7.1896310000000001E-3</v>
      </c>
      <c r="AE3070">
        <v>0.1086121</v>
      </c>
      <c r="AF3070">
        <v>0.103408666657682</v>
      </c>
      <c r="AG3070">
        <v>7.1896310000000001E-3</v>
      </c>
      <c r="AH3070">
        <v>3.00138757011959</v>
      </c>
      <c r="AI3070">
        <v>89.862833293113695</v>
      </c>
      <c r="AJ3070">
        <v>88.026733530947894</v>
      </c>
      <c r="AK3070">
        <v>3.00317704926004</v>
      </c>
      <c r="AL3070">
        <v>87.833828995260006</v>
      </c>
      <c r="AM3070">
        <v>90.249838293643293</v>
      </c>
      <c r="AN3070">
        <v>0.99999999272181805</v>
      </c>
    </row>
    <row r="3071" spans="1:40" x14ac:dyDescent="0.25">
      <c r="A3071" t="str">
        <f>"20190312150721919"</f>
        <v>20190312150721919</v>
      </c>
      <c r="B3071" t="str">
        <f>"1552374441913013"</f>
        <v>1552374441913013</v>
      </c>
      <c r="C3071" t="s">
        <v>40</v>
      </c>
      <c r="D3071">
        <v>4.2143920000000001</v>
      </c>
      <c r="E3071">
        <v>0.51486080000000001</v>
      </c>
      <c r="F3071" t="s">
        <v>48</v>
      </c>
      <c r="G3071">
        <v>0</v>
      </c>
      <c r="H3071">
        <v>0</v>
      </c>
      <c r="I3071">
        <v>0</v>
      </c>
      <c r="J3071">
        <v>-252.9701</v>
      </c>
      <c r="K3071">
        <v>1.110649</v>
      </c>
      <c r="L3071">
        <v>282.17520000000002</v>
      </c>
      <c r="M3071">
        <v>-0.99993969999999999</v>
      </c>
      <c r="N3071">
        <v>0</v>
      </c>
      <c r="O3071">
        <v>9.6563550000000001E-4</v>
      </c>
      <c r="P3071">
        <v>-0.99964280000000005</v>
      </c>
      <c r="Q3071">
        <v>2.6543009999999999E-2</v>
      </c>
      <c r="R3071">
        <v>-3.1369879999999998E-3</v>
      </c>
      <c r="S3071">
        <v>-3.0012050000000001</v>
      </c>
      <c r="T3071">
        <v>7.2971579999999998E-3</v>
      </c>
      <c r="U3071">
        <v>0.10955810000000001</v>
      </c>
      <c r="V3071">
        <v>-4.1673020000000003E-3</v>
      </c>
      <c r="W3071">
        <v>3.7472829999999999E-2</v>
      </c>
      <c r="X3071">
        <v>0.99928899999999998</v>
      </c>
      <c r="Y3071">
        <v>3.5515239999999997E-2</v>
      </c>
      <c r="Z3071" s="1">
        <v>-4.08144E-5</v>
      </c>
      <c r="AA3071">
        <v>0.99936910000000001</v>
      </c>
      <c r="AB3071">
        <v>32</v>
      </c>
      <c r="AC3071">
        <v>-3.0012050000000001</v>
      </c>
      <c r="AD3071">
        <v>7.2971579999999998E-3</v>
      </c>
      <c r="AE3071">
        <v>0.10955810000000001</v>
      </c>
      <c r="AF3071">
        <v>0.106659175708088</v>
      </c>
      <c r="AG3071">
        <v>7.2971579999999998E-3</v>
      </c>
      <c r="AH3071">
        <v>3.0012916808352998</v>
      </c>
      <c r="AI3071">
        <v>89.860782684882693</v>
      </c>
      <c r="AJ3071">
        <v>87.964693016197302</v>
      </c>
      <c r="AK3071">
        <v>3.0031951621113202</v>
      </c>
      <c r="AL3071">
        <v>87.852462285621698</v>
      </c>
      <c r="AM3071">
        <v>90.238937316850098</v>
      </c>
      <c r="AN3071">
        <v>1.0000000424575799</v>
      </c>
    </row>
    <row r="3072" spans="1:40" x14ac:dyDescent="0.25">
      <c r="A3072" t="str">
        <f>"20190312150721930"</f>
        <v>20190312150721930</v>
      </c>
      <c r="B3072" t="str">
        <f>"1552374441923749"</f>
        <v>1552374441923749</v>
      </c>
      <c r="C3072" t="s">
        <v>40</v>
      </c>
      <c r="D3072">
        <v>4.1410900000000002</v>
      </c>
      <c r="E3072">
        <v>0.51497749999999998</v>
      </c>
      <c r="F3072" t="s">
        <v>48</v>
      </c>
      <c r="G3072">
        <v>0</v>
      </c>
      <c r="H3072">
        <v>0</v>
      </c>
      <c r="I3072">
        <v>0</v>
      </c>
      <c r="J3072">
        <v>-253.12700000000001</v>
      </c>
      <c r="K3072">
        <v>1.1106529999999999</v>
      </c>
      <c r="L3072">
        <v>282.17500000000001</v>
      </c>
      <c r="M3072">
        <v>-0.99993860000000001</v>
      </c>
      <c r="N3072">
        <v>0</v>
      </c>
      <c r="O3072">
        <v>5.7840279999999897E-4</v>
      </c>
      <c r="P3072">
        <v>-0.99964649999999999</v>
      </c>
      <c r="Q3072">
        <v>2.6375800000000001E-2</v>
      </c>
      <c r="R3072">
        <v>-3.3862810000000001E-3</v>
      </c>
      <c r="S3072">
        <v>-3.0013429999999999</v>
      </c>
      <c r="T3072">
        <v>3.3285620000000002E-3</v>
      </c>
      <c r="U3072">
        <v>0.1077881</v>
      </c>
      <c r="V3072">
        <v>-4.028645E-3</v>
      </c>
      <c r="W3072">
        <v>3.7440439999999998E-2</v>
      </c>
      <c r="X3072">
        <v>0.99929080000000003</v>
      </c>
      <c r="Y3072">
        <v>3.5312059999999999E-2</v>
      </c>
      <c r="Z3072" s="1">
        <v>-1.8933360000000001E-5</v>
      </c>
      <c r="AA3072">
        <v>0.99937640000000005</v>
      </c>
      <c r="AB3072">
        <v>32</v>
      </c>
      <c r="AC3072">
        <v>-3.0013429999999999</v>
      </c>
      <c r="AD3072">
        <v>3.3285620000000002E-3</v>
      </c>
      <c r="AE3072">
        <v>0.1077881</v>
      </c>
      <c r="AF3072">
        <v>0.106051860198147</v>
      </c>
      <c r="AG3072">
        <v>3.3285620000000002E-3</v>
      </c>
      <c r="AH3072">
        <v>3.00140115987349</v>
      </c>
      <c r="AI3072">
        <v>89.936498480102401</v>
      </c>
      <c r="AJ3072">
        <v>87.976346111440705</v>
      </c>
      <c r="AK3072">
        <v>3.0032760443999198</v>
      </c>
      <c r="AL3072">
        <v>87.854319436176596</v>
      </c>
      <c r="AM3072">
        <v>90.230986921061699</v>
      </c>
      <c r="AN3072">
        <v>1.0000000597462799</v>
      </c>
    </row>
    <row r="3073" spans="1:40" x14ac:dyDescent="0.25">
      <c r="A3073" t="str">
        <f>"20190312150721942"</f>
        <v>20190312150721942</v>
      </c>
      <c r="B3073" t="str">
        <f>"1552374441933509"</f>
        <v>1552374441933509</v>
      </c>
      <c r="C3073" t="s">
        <v>40</v>
      </c>
      <c r="D3073">
        <v>4.2199679999999997</v>
      </c>
      <c r="E3073">
        <v>0.5149705</v>
      </c>
      <c r="F3073" t="s">
        <v>48</v>
      </c>
      <c r="G3073">
        <v>0</v>
      </c>
      <c r="H3073">
        <v>0</v>
      </c>
      <c r="I3073">
        <v>0</v>
      </c>
      <c r="J3073">
        <v>-253.3039</v>
      </c>
      <c r="K3073">
        <v>1.1106560000000001</v>
      </c>
      <c r="L3073">
        <v>282.1746</v>
      </c>
      <c r="M3073">
        <v>-0.99993719999999997</v>
      </c>
      <c r="N3073">
        <v>0</v>
      </c>
      <c r="O3073">
        <v>1.4045839999999999E-4</v>
      </c>
      <c r="P3073">
        <v>-0.99964679999999995</v>
      </c>
      <c r="Q3073">
        <v>2.6316289999999999E-2</v>
      </c>
      <c r="R3073">
        <v>-3.6969910000000002E-3</v>
      </c>
      <c r="S3073">
        <v>-3.0013730000000001</v>
      </c>
      <c r="T3073">
        <v>2.4729970000000002E-3</v>
      </c>
      <c r="U3073">
        <v>0.10800170000000001</v>
      </c>
      <c r="V3073">
        <v>-3.9014079999999999E-3</v>
      </c>
      <c r="W3073">
        <v>3.7525259999999998E-2</v>
      </c>
      <c r="X3073">
        <v>0.99928810000000001</v>
      </c>
      <c r="Y3073">
        <v>3.5820440000000002E-2</v>
      </c>
      <c r="Z3073" s="1">
        <v>-1.4636739999999999E-5</v>
      </c>
      <c r="AA3073">
        <v>0.99935819999999997</v>
      </c>
      <c r="AB3073">
        <v>32</v>
      </c>
      <c r="AC3073">
        <v>-3.0013730000000001</v>
      </c>
      <c r="AD3073">
        <v>2.4729970000000002E-3</v>
      </c>
      <c r="AE3073">
        <v>0.10800170000000001</v>
      </c>
      <c r="AF3073">
        <v>0.107580031471272</v>
      </c>
      <c r="AG3073">
        <v>2.4729970000000002E-3</v>
      </c>
      <c r="AH3073">
        <v>3.0013861060757598</v>
      </c>
      <c r="AI3073">
        <v>89.952821355979694</v>
      </c>
      <c r="AJ3073">
        <v>87.947200430032694</v>
      </c>
      <c r="AK3073">
        <v>3.0033145250922599</v>
      </c>
      <c r="AL3073">
        <v>87.849456140807106</v>
      </c>
      <c r="AM3073">
        <v>90.223692323380504</v>
      </c>
      <c r="AN3073">
        <v>1.0000000364620201</v>
      </c>
    </row>
    <row r="3074" spans="1:40" x14ac:dyDescent="0.25">
      <c r="A3074" t="str">
        <f>"20190312150721954"</f>
        <v>20190312150721954</v>
      </c>
      <c r="B3074" t="str">
        <f>"1552374441943269"</f>
        <v>1552374441943269</v>
      </c>
      <c r="C3074" t="s">
        <v>40</v>
      </c>
      <c r="D3074">
        <v>4.1981250000000001</v>
      </c>
      <c r="E3074">
        <v>0.51496009999999903</v>
      </c>
      <c r="F3074" t="s">
        <v>48</v>
      </c>
      <c r="G3074">
        <v>0</v>
      </c>
      <c r="H3074">
        <v>0</v>
      </c>
      <c r="I3074">
        <v>0</v>
      </c>
      <c r="J3074">
        <v>-253.46559999999999</v>
      </c>
      <c r="K3074">
        <v>1.110657</v>
      </c>
      <c r="L3074">
        <v>282.17419999999998</v>
      </c>
      <c r="M3074">
        <v>-0.99993569999999998</v>
      </c>
      <c r="N3074">
        <v>0</v>
      </c>
      <c r="O3074">
        <v>-2.6020200000000001E-4</v>
      </c>
      <c r="P3074">
        <v>-0.99964739999999996</v>
      </c>
      <c r="Q3074">
        <v>2.628024E-2</v>
      </c>
      <c r="R3074">
        <v>-3.83681E-3</v>
      </c>
      <c r="S3074">
        <v>-3.0014340000000002</v>
      </c>
      <c r="T3074">
        <v>8.8989729999999995E-4</v>
      </c>
      <c r="U3074">
        <v>0.1069946</v>
      </c>
      <c r="V3074">
        <v>-3.6407520000000001E-3</v>
      </c>
      <c r="W3074">
        <v>3.7610070000000002E-2</v>
      </c>
      <c r="X3074">
        <v>0.99928589999999995</v>
      </c>
      <c r="Y3074">
        <v>3.5885260000000002E-2</v>
      </c>
      <c r="Z3074" s="1">
        <v>-5.395262E-6</v>
      </c>
      <c r="AA3074">
        <v>0.99935589999999996</v>
      </c>
      <c r="AB3074">
        <v>32</v>
      </c>
      <c r="AC3074">
        <v>-3.0014340000000002</v>
      </c>
      <c r="AD3074">
        <v>8.8989729999999995E-4</v>
      </c>
      <c r="AE3074">
        <v>0.1069946</v>
      </c>
      <c r="AF3074">
        <v>0.107775616238728</v>
      </c>
      <c r="AG3074">
        <v>8.8989729999999995E-4</v>
      </c>
      <c r="AH3074">
        <v>3.0014057928736202</v>
      </c>
      <c r="AI3074">
        <v>89.983023116025606</v>
      </c>
      <c r="AJ3074">
        <v>87.943485038189394</v>
      </c>
      <c r="AK3074">
        <v>3.00334032518264</v>
      </c>
      <c r="AL3074">
        <v>87.844593463478702</v>
      </c>
      <c r="AM3074">
        <v>90.208747867727396</v>
      </c>
      <c r="AN3074">
        <v>1.0000000411896599</v>
      </c>
    </row>
    <row r="3075" spans="1:40" x14ac:dyDescent="0.25">
      <c r="A3075" t="str">
        <f>"20190312150721974"</f>
        <v>20190312150721974</v>
      </c>
      <c r="B3075" t="str">
        <f>"1552374441962789"</f>
        <v>1552374441962789</v>
      </c>
      <c r="C3075" t="s">
        <v>40</v>
      </c>
      <c r="D3075">
        <v>4.2386589999999904</v>
      </c>
      <c r="E3075">
        <v>0.51493100000000003</v>
      </c>
      <c r="F3075" t="s">
        <v>48</v>
      </c>
      <c r="G3075">
        <v>0</v>
      </c>
      <c r="H3075">
        <v>0</v>
      </c>
      <c r="I3075">
        <v>0</v>
      </c>
      <c r="J3075">
        <v>-253.76769999999999</v>
      </c>
      <c r="K3075">
        <v>1.11066</v>
      </c>
      <c r="L3075">
        <v>282.17329999999998</v>
      </c>
      <c r="M3075">
        <v>-0.99993279999999995</v>
      </c>
      <c r="N3075">
        <v>0</v>
      </c>
      <c r="O3075">
        <v>-1.008159E-3</v>
      </c>
      <c r="P3075">
        <v>-0.99965269999999995</v>
      </c>
      <c r="Q3075">
        <v>2.5934809999999999E-2</v>
      </c>
      <c r="R3075">
        <v>-4.7276690000000003E-3</v>
      </c>
      <c r="S3075">
        <v>-3.001465</v>
      </c>
      <c r="T3075">
        <v>-6.3788889999999996E-4</v>
      </c>
      <c r="U3075">
        <v>0.10632320000000001</v>
      </c>
      <c r="V3075">
        <v>-3.7827680000000002E-3</v>
      </c>
      <c r="W3075">
        <v>3.7471409999999997E-2</v>
      </c>
      <c r="X3075">
        <v>0.99929049999999997</v>
      </c>
      <c r="Y3075">
        <v>3.6409160000000003E-2</v>
      </c>
      <c r="Z3075" s="1">
        <v>4.0819389999999998E-6</v>
      </c>
      <c r="AA3075">
        <v>0.99933700000000003</v>
      </c>
      <c r="AB3075">
        <v>32</v>
      </c>
      <c r="AC3075">
        <v>-3.001465</v>
      </c>
      <c r="AD3075">
        <v>-6.3788889999999996E-4</v>
      </c>
      <c r="AE3075">
        <v>0.10632320000000001</v>
      </c>
      <c r="AF3075">
        <v>0.109349296799963</v>
      </c>
      <c r="AG3075">
        <v>-6.3788889999999996E-4</v>
      </c>
      <c r="AH3075">
        <v>3.00135614124151</v>
      </c>
      <c r="AI3075">
        <v>90.012169201774398</v>
      </c>
      <c r="AJ3075">
        <v>87.913448795851394</v>
      </c>
      <c r="AK3075">
        <v>3.0033475260417402</v>
      </c>
      <c r="AL3075">
        <v>87.852543524888404</v>
      </c>
      <c r="AM3075">
        <v>90.216889489124398</v>
      </c>
      <c r="AN3075">
        <v>0.999999959645689</v>
      </c>
    </row>
    <row r="3076" spans="1:40" x14ac:dyDescent="0.25">
      <c r="A3076" t="str">
        <f>"20190312150721989"</f>
        <v>20190312150721989</v>
      </c>
      <c r="B3076" t="str">
        <f>"1552374441983285"</f>
        <v>1552374441983285</v>
      </c>
      <c r="C3076" t="s">
        <v>40</v>
      </c>
      <c r="D3076">
        <v>4.2274409999999998</v>
      </c>
      <c r="E3076">
        <v>0.51490670000000005</v>
      </c>
      <c r="F3076" t="s">
        <v>48</v>
      </c>
      <c r="G3076">
        <v>0</v>
      </c>
      <c r="H3076">
        <v>0</v>
      </c>
      <c r="I3076">
        <v>0</v>
      </c>
      <c r="J3076">
        <v>-253.96719999999999</v>
      </c>
      <c r="K3076">
        <v>1.110657</v>
      </c>
      <c r="L3076">
        <v>282.17259999999999</v>
      </c>
      <c r="M3076">
        <v>-0.99993089999999996</v>
      </c>
      <c r="N3076">
        <v>0</v>
      </c>
      <c r="O3076">
        <v>-1.5000370000000001E-3</v>
      </c>
      <c r="P3076">
        <v>-0.99965329999999997</v>
      </c>
      <c r="Q3076">
        <v>2.581833E-2</v>
      </c>
      <c r="R3076">
        <v>-5.1990140000000001E-3</v>
      </c>
      <c r="S3076">
        <v>-3.0016630000000002</v>
      </c>
      <c r="T3076">
        <v>-4.4933560000000004E-3</v>
      </c>
      <c r="U3076">
        <v>0.10333249999999999</v>
      </c>
      <c r="V3076">
        <v>-3.762278E-3</v>
      </c>
      <c r="W3076">
        <v>3.7479499999999999E-2</v>
      </c>
      <c r="X3076">
        <v>0.99929029999999996</v>
      </c>
      <c r="Y3076">
        <v>3.5903890000000001E-2</v>
      </c>
      <c r="Z3076" s="1">
        <v>2.9110269999999999E-5</v>
      </c>
      <c r="AA3076">
        <v>0.99935529999999995</v>
      </c>
      <c r="AB3076">
        <v>32</v>
      </c>
      <c r="AC3076">
        <v>-3.0016630000000002</v>
      </c>
      <c r="AD3076">
        <v>-4.4933560000000004E-3</v>
      </c>
      <c r="AE3076">
        <v>0.10333249999999999</v>
      </c>
      <c r="AF3076">
        <v>0.10783505401674801</v>
      </c>
      <c r="AG3076">
        <v>-4.4933560000000004E-3</v>
      </c>
      <c r="AH3076">
        <v>3.0014978913685302</v>
      </c>
      <c r="AI3076">
        <v>90.085718584527001</v>
      </c>
      <c r="AJ3076">
        <v>87.942414936859095</v>
      </c>
      <c r="AK3076">
        <v>3.0034377271740902</v>
      </c>
      <c r="AL3076">
        <v>87.852079732095802</v>
      </c>
      <c r="AM3076">
        <v>90.215714724981197</v>
      </c>
      <c r="AN3076">
        <v>0.999999985665044</v>
      </c>
    </row>
    <row r="3077" spans="1:40" x14ac:dyDescent="0.25">
      <c r="A3077" t="str">
        <f>"20190312150722008"</f>
        <v>20190312150722008</v>
      </c>
      <c r="B3077" t="str">
        <f>"1552374442003781"</f>
        <v>1552374442003781</v>
      </c>
      <c r="C3077" t="s">
        <v>40</v>
      </c>
      <c r="D3077">
        <v>4.0946389999999999</v>
      </c>
      <c r="E3077">
        <v>0.51488670000000003</v>
      </c>
      <c r="F3077" t="s">
        <v>48</v>
      </c>
      <c r="G3077">
        <v>0</v>
      </c>
      <c r="H3077">
        <v>0</v>
      </c>
      <c r="I3077">
        <v>0</v>
      </c>
      <c r="J3077">
        <v>-254.2612</v>
      </c>
      <c r="K3077">
        <v>1.110654</v>
      </c>
      <c r="L3077">
        <v>282.17140000000001</v>
      </c>
      <c r="M3077">
        <v>-0.99992749999999997</v>
      </c>
      <c r="N3077">
        <v>0</v>
      </c>
      <c r="O3077">
        <v>-2.2185180000000001E-3</v>
      </c>
      <c r="P3077">
        <v>-0.99966690000000002</v>
      </c>
      <c r="Q3077">
        <v>2.5104250000000002E-2</v>
      </c>
      <c r="R3077">
        <v>-6.0022879999999997E-3</v>
      </c>
      <c r="S3077">
        <v>-3.00177</v>
      </c>
      <c r="T3077">
        <v>-7.4812169999999897E-3</v>
      </c>
      <c r="U3077">
        <v>0.1017151</v>
      </c>
      <c r="V3077">
        <v>-3.845743E-3</v>
      </c>
      <c r="W3077">
        <v>3.6929139999999999E-2</v>
      </c>
      <c r="X3077">
        <v>0.99931049999999999</v>
      </c>
      <c r="Y3077">
        <v>3.6082799999999998E-2</v>
      </c>
      <c r="Z3077" s="1">
        <v>5.0479029999999998E-5</v>
      </c>
      <c r="AA3077">
        <v>0.99934880000000004</v>
      </c>
      <c r="AB3077">
        <v>32</v>
      </c>
      <c r="AC3077">
        <v>-3.00177</v>
      </c>
      <c r="AD3077">
        <v>-7.4812169999999897E-3</v>
      </c>
      <c r="AE3077">
        <v>0.1017151</v>
      </c>
      <c r="AF3077">
        <v>0.10837412450184999</v>
      </c>
      <c r="AG3077">
        <v>-7.4812169999999897E-3</v>
      </c>
      <c r="AH3077">
        <v>3.0015183170243298</v>
      </c>
      <c r="AI3077">
        <v>90.142715151639194</v>
      </c>
      <c r="AJ3077">
        <v>87.932151978260293</v>
      </c>
      <c r="AK3077">
        <v>3.0034834986897998</v>
      </c>
      <c r="AL3077">
        <v>87.883634942875005</v>
      </c>
      <c r="AM3077">
        <v>90.220495787066298</v>
      </c>
      <c r="AN3077">
        <v>1.0000000132653</v>
      </c>
    </row>
    <row r="3078" spans="1:40" x14ac:dyDescent="0.25">
      <c r="A3078" t="str">
        <f>"20190312150722022"</f>
        <v>20190312150722022</v>
      </c>
      <c r="B3078" t="str">
        <f>"1552374442013541"</f>
        <v>1552374442013541</v>
      </c>
      <c r="C3078" t="s">
        <v>40</v>
      </c>
      <c r="D3078">
        <v>4.1702959999999996</v>
      </c>
      <c r="E3078">
        <v>0.4952201</v>
      </c>
      <c r="F3078" t="s">
        <v>48</v>
      </c>
      <c r="G3078">
        <v>0</v>
      </c>
      <c r="H3078">
        <v>0</v>
      </c>
      <c r="I3078">
        <v>0</v>
      </c>
      <c r="J3078">
        <v>-254.4572</v>
      </c>
      <c r="K3078">
        <v>1.1106510000000001</v>
      </c>
      <c r="L3078">
        <v>282.17039999999997</v>
      </c>
      <c r="M3078">
        <v>-0.99992510000000001</v>
      </c>
      <c r="N3078">
        <v>0</v>
      </c>
      <c r="O3078">
        <v>-2.693539E-3</v>
      </c>
      <c r="P3078">
        <v>-0.99966630000000001</v>
      </c>
      <c r="Q3078">
        <v>2.499912E-2</v>
      </c>
      <c r="R3078">
        <v>-6.510165E-3</v>
      </c>
      <c r="S3078">
        <v>-3.001846</v>
      </c>
      <c r="T3078">
        <v>-1.0234480000000001E-2</v>
      </c>
      <c r="U3078">
        <v>9.9182129999999993E-2</v>
      </c>
      <c r="V3078">
        <v>-3.8781470000000002E-3</v>
      </c>
      <c r="W3078">
        <v>3.6922940000000001E-2</v>
      </c>
      <c r="X3078">
        <v>0.99931060000000005</v>
      </c>
      <c r="Y3078">
        <v>3.5714269999999999E-2</v>
      </c>
      <c r="Z3078" s="1">
        <v>7.0046759999999999E-5</v>
      </c>
      <c r="AA3078">
        <v>0.99936210000000003</v>
      </c>
      <c r="AB3078">
        <v>32</v>
      </c>
      <c r="AC3078">
        <v>-3.001846</v>
      </c>
      <c r="AD3078">
        <v>-1.0234480000000001E-2</v>
      </c>
      <c r="AE3078">
        <v>9.9182129999999993E-2</v>
      </c>
      <c r="AF3078">
        <v>0.107266690242919</v>
      </c>
      <c r="AG3078">
        <v>-1.0234480000000001E-2</v>
      </c>
      <c r="AH3078">
        <v>3.0015330873203001</v>
      </c>
      <c r="AI3078">
        <v>90.195238941439897</v>
      </c>
      <c r="AJ3078">
        <v>87.953274535420803</v>
      </c>
      <c r="AK3078">
        <v>3.0034666240354699</v>
      </c>
      <c r="AL3078">
        <v>87.883990410949295</v>
      </c>
      <c r="AM3078">
        <v>90.222353630524907</v>
      </c>
      <c r="AN3078">
        <v>1.00000000939737</v>
      </c>
    </row>
    <row r="3079" spans="1:40" x14ac:dyDescent="0.25">
      <c r="A3079" t="str">
        <f>"20190312150722043"</f>
        <v>20190312150722043</v>
      </c>
      <c r="B3079" t="str">
        <f>"1552374442033061"</f>
        <v>1552374442033061</v>
      </c>
      <c r="C3079" t="s">
        <v>40</v>
      </c>
      <c r="D3079">
        <v>4.1637890000000004</v>
      </c>
      <c r="E3079">
        <v>0.4941122</v>
      </c>
      <c r="F3079" t="s">
        <v>67</v>
      </c>
      <c r="G3079">
        <v>-375.08350000000002</v>
      </c>
      <c r="H3079" s="1">
        <v>1.1684070000000001E-6</v>
      </c>
      <c r="I3079">
        <v>279.77249999999998</v>
      </c>
      <c r="J3079">
        <v>-254.75909999999999</v>
      </c>
      <c r="K3079">
        <v>1.110643</v>
      </c>
      <c r="L3079">
        <v>282.16879999999998</v>
      </c>
      <c r="M3079">
        <v>-0.99992139999999996</v>
      </c>
      <c r="N3079">
        <v>0</v>
      </c>
      <c r="O3079">
        <v>-3.4164550000000001E-3</v>
      </c>
      <c r="P3079">
        <v>-0.99966980000000005</v>
      </c>
      <c r="Q3079">
        <v>2.459302E-2</v>
      </c>
      <c r="R3079">
        <v>-7.4597409999999998E-3</v>
      </c>
      <c r="S3079">
        <v>-3.0012970000000001</v>
      </c>
      <c r="T3079">
        <v>-2.7634019999999999E-2</v>
      </c>
      <c r="U3079">
        <v>-5.9661869999999999E-2</v>
      </c>
      <c r="V3079">
        <v>-4.1040529999999999E-3</v>
      </c>
      <c r="W3079">
        <v>3.6652280000000002E-2</v>
      </c>
      <c r="X3079">
        <v>0.99931970000000003</v>
      </c>
      <c r="Y3079">
        <v>-1.6458070000000002E-2</v>
      </c>
      <c r="Z3079" s="1">
        <v>-4.430388E-5</v>
      </c>
      <c r="AA3079">
        <v>0.99986459999999999</v>
      </c>
      <c r="AB3079">
        <v>32</v>
      </c>
      <c r="AC3079">
        <v>-120.3244</v>
      </c>
      <c r="AD3079">
        <v>-1.110641831593</v>
      </c>
      <c r="AE3079">
        <v>-2.3962999999999899</v>
      </c>
      <c r="AF3079">
        <v>-1.98500414520942</v>
      </c>
      <c r="AG3079">
        <v>-1.110641831593</v>
      </c>
      <c r="AH3079">
        <v>120.321637755502</v>
      </c>
      <c r="AI3079">
        <v>90.528787891167298</v>
      </c>
      <c r="AJ3079">
        <v>90.945150395055904</v>
      </c>
      <c r="AK3079">
        <v>120.34313557033801</v>
      </c>
      <c r="AL3079">
        <v>87.899508671477903</v>
      </c>
      <c r="AM3079">
        <v>90.235303670898901</v>
      </c>
      <c r="AN3079">
        <v>1.00000004784415</v>
      </c>
    </row>
    <row r="3080" spans="1:40" x14ac:dyDescent="0.25">
      <c r="A3080" t="str">
        <f>"20190312150722064"</f>
        <v>20190312150722064</v>
      </c>
      <c r="B3080" t="str">
        <f>"1552374442053560"</f>
        <v>1552374442053560</v>
      </c>
      <c r="C3080" t="s">
        <v>40</v>
      </c>
      <c r="D3080">
        <v>4.15496</v>
      </c>
      <c r="E3080">
        <v>0.49385519999999999</v>
      </c>
      <c r="F3080" t="s">
        <v>68</v>
      </c>
      <c r="G3080">
        <v>-318.38510000000002</v>
      </c>
      <c r="H3080" s="1">
        <v>6.2824059999999999E-6</v>
      </c>
      <c r="I3080">
        <v>280.6474</v>
      </c>
      <c r="J3080">
        <v>-255.05879999999999</v>
      </c>
      <c r="K3080">
        <v>1.1106400000000001</v>
      </c>
      <c r="L3080">
        <v>282.1671</v>
      </c>
      <c r="M3080">
        <v>-0.99991739999999996</v>
      </c>
      <c r="N3080">
        <v>0</v>
      </c>
      <c r="O3080">
        <v>-4.1169140000000002E-3</v>
      </c>
      <c r="P3080">
        <v>-0.99966189999999999</v>
      </c>
      <c r="Q3080">
        <v>2.4651470000000002E-2</v>
      </c>
      <c r="R3080">
        <v>-8.2868349999999993E-3</v>
      </c>
      <c r="S3080">
        <v>-3.0017399999999999</v>
      </c>
      <c r="T3080">
        <v>-5.2397489999999998E-2</v>
      </c>
      <c r="U3080">
        <v>-7.1777339999999995E-2</v>
      </c>
      <c r="V3080">
        <v>-4.2298250000000004E-3</v>
      </c>
      <c r="W3080">
        <v>3.6828119999999999E-2</v>
      </c>
      <c r="X3080">
        <v>0.9993126</v>
      </c>
      <c r="Y3080">
        <v>-1.9786450000000001E-2</v>
      </c>
      <c r="Z3080">
        <v>-1.008033E-4</v>
      </c>
      <c r="AA3080">
        <v>0.99980420000000003</v>
      </c>
      <c r="AB3080">
        <v>32</v>
      </c>
      <c r="AC3080">
        <v>-63.326300000000003</v>
      </c>
      <c r="AD3080">
        <v>-1.110633717594</v>
      </c>
      <c r="AE3080">
        <v>-1.5197000000000001</v>
      </c>
      <c r="AF3080">
        <v>-1.2585719594109399</v>
      </c>
      <c r="AG3080">
        <v>-1.110633717594</v>
      </c>
      <c r="AH3080">
        <v>63.312557040600097</v>
      </c>
      <c r="AI3080">
        <v>91.004785401736001</v>
      </c>
      <c r="AJ3080">
        <v>91.138816193690005</v>
      </c>
      <c r="AK3080">
        <v>63.3348039363106</v>
      </c>
      <c r="AL3080">
        <v>87.8894267417609</v>
      </c>
      <c r="AM3080">
        <v>90.242516379029098</v>
      </c>
      <c r="AN3080">
        <v>0.99999993718050995</v>
      </c>
    </row>
    <row r="3081" spans="1:40" x14ac:dyDescent="0.25">
      <c r="A3081" t="str">
        <f>"20190312150722076"</f>
        <v>20190312150722076</v>
      </c>
      <c r="B3081" t="str">
        <f>"1552374442073077"</f>
        <v>1552374442073077</v>
      </c>
      <c r="C3081" t="s">
        <v>40</v>
      </c>
      <c r="D3081">
        <v>4.1646710000000002</v>
      </c>
      <c r="E3081">
        <v>0.49401390000000001</v>
      </c>
      <c r="F3081" t="s">
        <v>68</v>
      </c>
      <c r="G3081">
        <v>-315.47770000000003</v>
      </c>
      <c r="H3081" s="1">
        <v>4.9944970000000003E-6</v>
      </c>
      <c r="I3081">
        <v>280.63139999999999</v>
      </c>
      <c r="J3081">
        <v>-255.23830000000001</v>
      </c>
      <c r="K3081">
        <v>1.1106320000000001</v>
      </c>
      <c r="L3081">
        <v>282.16590000000002</v>
      </c>
      <c r="M3081">
        <v>-0.99991479999999999</v>
      </c>
      <c r="N3081">
        <v>0</v>
      </c>
      <c r="O3081">
        <v>-4.5246150000000001E-3</v>
      </c>
      <c r="P3081">
        <v>-0.99964969999999997</v>
      </c>
      <c r="Q3081">
        <v>2.4933449999999999E-2</v>
      </c>
      <c r="R3081">
        <v>-8.8932679999999993E-3</v>
      </c>
      <c r="S3081">
        <v>-3.0017239999999998</v>
      </c>
      <c r="T3081">
        <v>-5.5178400000000002E-2</v>
      </c>
      <c r="U3081">
        <v>-7.6293949999999999E-2</v>
      </c>
      <c r="V3081">
        <v>-4.4284729999999996E-3</v>
      </c>
      <c r="W3081">
        <v>3.7171210000000003E-2</v>
      </c>
      <c r="X3081">
        <v>0.9992991</v>
      </c>
      <c r="Y3081">
        <v>-2.088199E-2</v>
      </c>
      <c r="Z3081">
        <v>-1.0872470000000001E-4</v>
      </c>
      <c r="AA3081">
        <v>0.99978199999999995</v>
      </c>
      <c r="AB3081">
        <v>32</v>
      </c>
      <c r="AC3081">
        <v>-60.239400000000003</v>
      </c>
      <c r="AD3081">
        <v>-1.1106270055030001</v>
      </c>
      <c r="AE3081">
        <v>-1.53450000000003</v>
      </c>
      <c r="AF3081">
        <v>-1.2614752429137801</v>
      </c>
      <c r="AG3081">
        <v>-1.1106270055030001</v>
      </c>
      <c r="AH3081">
        <v>60.225268406273798</v>
      </c>
      <c r="AI3081">
        <v>91.056252296849394</v>
      </c>
      <c r="AJ3081">
        <v>91.199938862027906</v>
      </c>
      <c r="AK3081">
        <v>60.248715892884803</v>
      </c>
      <c r="AL3081">
        <v>87.869755797679701</v>
      </c>
      <c r="AM3081">
        <v>90.253909116496402</v>
      </c>
      <c r="AN3081">
        <v>1.00000000074339</v>
      </c>
    </row>
    <row r="3082" spans="1:40" x14ac:dyDescent="0.25">
      <c r="A3082" t="str">
        <f>"20190312150722089"</f>
        <v>20190312150722089</v>
      </c>
      <c r="B3082" t="str">
        <f>"1552374442082838"</f>
        <v>1552374442082838</v>
      </c>
      <c r="C3082" t="s">
        <v>40</v>
      </c>
      <c r="D3082">
        <v>4.1605299999999996</v>
      </c>
      <c r="E3082">
        <v>0.49414940000000002</v>
      </c>
      <c r="F3082" t="s">
        <v>67</v>
      </c>
      <c r="G3082">
        <v>-329.51139999999998</v>
      </c>
      <c r="H3082" s="1">
        <v>3.7147889999999999E-6</v>
      </c>
      <c r="I3082">
        <v>280.26740000000001</v>
      </c>
      <c r="J3082">
        <v>-255.42779999999999</v>
      </c>
      <c r="K3082">
        <v>1.1106229999999999</v>
      </c>
      <c r="L3082">
        <v>282.16460000000001</v>
      </c>
      <c r="M3082">
        <v>-0.99991200000000002</v>
      </c>
      <c r="N3082">
        <v>0</v>
      </c>
      <c r="O3082">
        <v>-4.9476329999999999E-3</v>
      </c>
      <c r="P3082">
        <v>-0.99964450000000005</v>
      </c>
      <c r="Q3082">
        <v>2.499844E-2</v>
      </c>
      <c r="R3082">
        <v>-9.2756729999999999E-3</v>
      </c>
      <c r="S3082">
        <v>-3.0014949999999998</v>
      </c>
      <c r="T3082">
        <v>-4.48823E-2</v>
      </c>
      <c r="U3082">
        <v>-7.6721189999999995E-2</v>
      </c>
      <c r="V3082">
        <v>-4.3869959999999998E-3</v>
      </c>
      <c r="W3082">
        <v>3.7293670000000001E-2</v>
      </c>
      <c r="X3082">
        <v>0.99929469999999998</v>
      </c>
      <c r="Y3082">
        <v>-2.0604190000000001E-2</v>
      </c>
      <c r="Z3082" s="1">
        <v>-8.0045199999999997E-5</v>
      </c>
      <c r="AA3082">
        <v>0.99978769999999995</v>
      </c>
      <c r="AB3082">
        <v>32</v>
      </c>
      <c r="AC3082">
        <v>-74.083599999999905</v>
      </c>
      <c r="AD3082">
        <v>-1.110619285211</v>
      </c>
      <c r="AE3082">
        <v>-1.89719999999999</v>
      </c>
      <c r="AF3082">
        <v>-1.5302668490757001</v>
      </c>
      <c r="AG3082">
        <v>-1.110619285211</v>
      </c>
      <c r="AH3082">
        <v>74.075443438620795</v>
      </c>
      <c r="AI3082">
        <v>90.858792825159895</v>
      </c>
      <c r="AJ3082">
        <v>91.183460517811199</v>
      </c>
      <c r="AK3082">
        <v>74.099571607765498</v>
      </c>
      <c r="AL3082">
        <v>87.862734444891004</v>
      </c>
      <c r="AM3082">
        <v>90.251532146392705</v>
      </c>
      <c r="AN3082">
        <v>0.99999998050203098</v>
      </c>
    </row>
    <row r="3083" spans="1:40" x14ac:dyDescent="0.25">
      <c r="A3083" t="str">
        <f>"20190312150722101"</f>
        <v>20190312150722101</v>
      </c>
      <c r="B3083" t="str">
        <f>"1552374442093573"</f>
        <v>1552374442093573</v>
      </c>
      <c r="C3083" t="s">
        <v>40</v>
      </c>
      <c r="D3083">
        <v>4.1360619999999999</v>
      </c>
      <c r="E3083">
        <v>0.49426900000000001</v>
      </c>
      <c r="F3083" t="s">
        <v>67</v>
      </c>
      <c r="G3083">
        <v>-337.5881</v>
      </c>
      <c r="H3083" s="1">
        <v>2.7002890000000001E-6</v>
      </c>
      <c r="I3083">
        <v>280.06189999999998</v>
      </c>
      <c r="J3083">
        <v>-255.60980000000001</v>
      </c>
      <c r="K3083">
        <v>1.110611</v>
      </c>
      <c r="L3083">
        <v>282.16329999999999</v>
      </c>
      <c r="M3083">
        <v>-0.99990959999999995</v>
      </c>
      <c r="N3083">
        <v>0</v>
      </c>
      <c r="O3083">
        <v>-5.3452650000000001E-3</v>
      </c>
      <c r="P3083">
        <v>-0.99963089999999999</v>
      </c>
      <c r="Q3083">
        <v>2.5250760000000001E-2</v>
      </c>
      <c r="R3083">
        <v>-1.0040449999999999E-2</v>
      </c>
      <c r="S3083">
        <v>-3.0013429999999999</v>
      </c>
      <c r="T3083">
        <v>-4.0571330000000003E-2</v>
      </c>
      <c r="U3083">
        <v>-7.6812740000000004E-2</v>
      </c>
      <c r="V3083">
        <v>-4.7533740000000003E-3</v>
      </c>
      <c r="W3083">
        <v>3.7589579999999997E-2</v>
      </c>
      <c r="X3083">
        <v>0.99928189999999995</v>
      </c>
      <c r="Y3083">
        <v>-2.023877E-2</v>
      </c>
      <c r="Z3083" s="1">
        <v>-6.451769E-5</v>
      </c>
      <c r="AA3083">
        <v>0.9997952</v>
      </c>
      <c r="AB3083">
        <v>32</v>
      </c>
      <c r="AC3083">
        <v>-81.978299999999905</v>
      </c>
      <c r="AD3083">
        <v>-1.1106082997110001</v>
      </c>
      <c r="AE3083">
        <v>-2.1014000000000101</v>
      </c>
      <c r="AF3083">
        <v>-1.6628358903589899</v>
      </c>
      <c r="AG3083">
        <v>-1.1106082997110001</v>
      </c>
      <c r="AH3083">
        <v>81.9733267996439</v>
      </c>
      <c r="AI3083">
        <v>90.776059629303404</v>
      </c>
      <c r="AJ3083">
        <v>91.1620903728857</v>
      </c>
      <c r="AK3083">
        <v>81.997712044878895</v>
      </c>
      <c r="AL3083">
        <v>87.845768073888394</v>
      </c>
      <c r="AM3083">
        <v>90.272541926886802</v>
      </c>
      <c r="AN3083">
        <v>0.99999994337828302</v>
      </c>
    </row>
    <row r="3084" spans="1:40" x14ac:dyDescent="0.25">
      <c r="A3084" t="str">
        <f>"20190312150722114"</f>
        <v>20190312150722114</v>
      </c>
      <c r="B3084" t="str">
        <f>"1552374442103334"</f>
        <v>1552374442103334</v>
      </c>
      <c r="C3084" t="s">
        <v>40</v>
      </c>
      <c r="D3084">
        <v>4.403251</v>
      </c>
      <c r="E3084">
        <v>0.49442770000000003</v>
      </c>
      <c r="F3084" t="s">
        <v>67</v>
      </c>
      <c r="G3084">
        <v>-335.83980000000003</v>
      </c>
      <c r="H3084" s="1">
        <v>1.7694289999999999E-6</v>
      </c>
      <c r="I3084">
        <v>280.07409999999999</v>
      </c>
      <c r="J3084">
        <v>-255.77879999999999</v>
      </c>
      <c r="K3084">
        <v>1.110468</v>
      </c>
      <c r="L3084">
        <v>282.16199999999998</v>
      </c>
      <c r="M3084">
        <v>-0.99991269999999999</v>
      </c>
      <c r="N3084">
        <v>0</v>
      </c>
      <c r="O3084">
        <v>-5.7014880000000002E-3</v>
      </c>
      <c r="P3084">
        <v>-0.99960930000000003</v>
      </c>
      <c r="Q3084">
        <v>2.5848550000000001E-2</v>
      </c>
      <c r="R3084">
        <v>-1.06456E-2</v>
      </c>
      <c r="S3084">
        <v>-3.0013730000000001</v>
      </c>
      <c r="T3084">
        <v>-4.1547420000000002E-2</v>
      </c>
      <c r="U3084">
        <v>-7.8155520000000006E-2</v>
      </c>
      <c r="V3084">
        <v>-5.0011170000000002E-3</v>
      </c>
      <c r="W3084">
        <v>3.7766830000000001E-2</v>
      </c>
      <c r="X3084">
        <v>0.99927410000000005</v>
      </c>
      <c r="Y3084">
        <v>-2.032931E-2</v>
      </c>
      <c r="Z3084" s="1">
        <v>-6.1765519999999998E-5</v>
      </c>
      <c r="AA3084">
        <v>0.99979340000000005</v>
      </c>
      <c r="AB3084">
        <v>32</v>
      </c>
      <c r="AC3084">
        <v>-80.061000000000007</v>
      </c>
      <c r="AD3084">
        <v>-1.110466230571</v>
      </c>
      <c r="AE3084">
        <v>-2.0879000000000398</v>
      </c>
      <c r="AF3084">
        <v>-1.63105322130054</v>
      </c>
      <c r="AG3084">
        <v>-1.110466230571</v>
      </c>
      <c r="AH3084">
        <v>80.056212459376894</v>
      </c>
      <c r="AI3084">
        <v>90.794538583104298</v>
      </c>
      <c r="AJ3084">
        <v>91.167174109034804</v>
      </c>
      <c r="AK3084">
        <v>80.080525867409506</v>
      </c>
      <c r="AL3084">
        <v>87.835605380035304</v>
      </c>
      <c r="AM3084">
        <v>90.286748655439496</v>
      </c>
      <c r="AN3084">
        <v>1.00000003577515</v>
      </c>
    </row>
    <row r="3085" spans="1:40" x14ac:dyDescent="0.25">
      <c r="A3085" t="str">
        <f>"20190312150722131"</f>
        <v>20190312150722131</v>
      </c>
      <c r="B3085" t="str">
        <f>"1552374442122856"</f>
        <v>1552374442122856</v>
      </c>
      <c r="C3085" t="s">
        <v>40</v>
      </c>
      <c r="D3085">
        <v>4.1981950000000001</v>
      </c>
      <c r="E3085">
        <v>0.49459750000000002</v>
      </c>
      <c r="F3085" t="s">
        <v>67</v>
      </c>
      <c r="G3085">
        <v>-344.16250000000002</v>
      </c>
      <c r="H3085" s="1">
        <v>6.7828289999999899E-7</v>
      </c>
      <c r="I3085">
        <v>279.84960000000001</v>
      </c>
      <c r="J3085">
        <v>-256.0394</v>
      </c>
      <c r="K3085">
        <v>1.11019</v>
      </c>
      <c r="L3085">
        <v>282.15989999999999</v>
      </c>
      <c r="M3085">
        <v>-0.99991980000000003</v>
      </c>
      <c r="N3085">
        <v>0</v>
      </c>
      <c r="O3085">
        <v>-6.2344059999999996E-3</v>
      </c>
      <c r="P3085">
        <v>-0.99956210000000001</v>
      </c>
      <c r="Q3085">
        <v>2.705511E-2</v>
      </c>
      <c r="R3085">
        <v>-1.1989049999999999E-2</v>
      </c>
      <c r="S3085">
        <v>-3.001312</v>
      </c>
      <c r="T3085">
        <v>-3.7708999999999999E-2</v>
      </c>
      <c r="U3085">
        <v>-7.8521729999999998E-2</v>
      </c>
      <c r="V3085">
        <v>-5.8091779999999999E-3</v>
      </c>
      <c r="W3085">
        <v>3.8067509999999999E-2</v>
      </c>
      <c r="X3085">
        <v>0.99925830000000004</v>
      </c>
      <c r="Y3085">
        <v>-1.9919280000000001E-2</v>
      </c>
      <c r="Z3085" s="1">
        <v>-4.6791820000000003E-5</v>
      </c>
      <c r="AA3085">
        <v>0.99980159999999996</v>
      </c>
      <c r="AB3085">
        <v>32</v>
      </c>
      <c r="AC3085">
        <v>-88.123099999999994</v>
      </c>
      <c r="AD3085">
        <v>-1.1101893217170999</v>
      </c>
      <c r="AE3085">
        <v>-2.3102999999999798</v>
      </c>
      <c r="AF3085">
        <v>-1.7605472955474599</v>
      </c>
      <c r="AG3085">
        <v>-1.1101893217170999</v>
      </c>
      <c r="AH3085">
        <v>88.121814884776001</v>
      </c>
      <c r="AI3085">
        <v>90.721650012772002</v>
      </c>
      <c r="AJ3085">
        <v>91.144535121500894</v>
      </c>
      <c r="AK3085">
        <v>88.146391336779303</v>
      </c>
      <c r="AL3085">
        <v>87.818365244825003</v>
      </c>
      <c r="AM3085">
        <v>90.333084681181404</v>
      </c>
      <c r="AN3085">
        <v>1.00000001599276</v>
      </c>
    </row>
    <row r="3086" spans="1:40" x14ac:dyDescent="0.25">
      <c r="A3086" t="str">
        <f>"20190312150722144"</f>
        <v>20190312150722144</v>
      </c>
      <c r="B3086" t="str">
        <f>"1552374442133590"</f>
        <v>1552374442133590</v>
      </c>
      <c r="C3086" t="s">
        <v>40</v>
      </c>
      <c r="D3086">
        <v>4.1749049999999999</v>
      </c>
      <c r="E3086">
        <v>0.49471100000000001</v>
      </c>
      <c r="F3086" t="s">
        <v>67</v>
      </c>
      <c r="G3086">
        <v>-363.62720000000002</v>
      </c>
      <c r="H3086">
        <v>8.0000390000000005E-2</v>
      </c>
      <c r="I3086">
        <v>279.25420000000003</v>
      </c>
      <c r="J3086">
        <v>-256.22539999999998</v>
      </c>
      <c r="K3086">
        <v>1.1099760000000001</v>
      </c>
      <c r="L3086">
        <v>282.15839999999997</v>
      </c>
      <c r="M3086">
        <v>-0.99992539999999996</v>
      </c>
      <c r="N3086">
        <v>0</v>
      </c>
      <c r="O3086">
        <v>-6.6027710000000003E-3</v>
      </c>
      <c r="P3086">
        <v>-0.99953110000000001</v>
      </c>
      <c r="Q3086">
        <v>2.7967590000000001E-2</v>
      </c>
      <c r="R3086">
        <v>-1.2476610000000001E-2</v>
      </c>
      <c r="S3086">
        <v>-3.0011290000000002</v>
      </c>
      <c r="T3086">
        <v>-2.8736830000000001E-2</v>
      </c>
      <c r="U3086">
        <v>-8.1054689999999999E-2</v>
      </c>
      <c r="V3086">
        <v>-5.9258779999999999E-3</v>
      </c>
      <c r="W3086">
        <v>3.8232839999999997E-2</v>
      </c>
      <c r="X3086">
        <v>0.99925129999999995</v>
      </c>
      <c r="Y3086">
        <v>-2.0396290000000001E-2</v>
      </c>
      <c r="Z3086" s="1">
        <v>-3.4418290000000001E-5</v>
      </c>
      <c r="AA3086">
        <v>0.99979200000000001</v>
      </c>
      <c r="AB3086">
        <v>33</v>
      </c>
      <c r="AC3086">
        <v>-107.40179999999999</v>
      </c>
      <c r="AD3086">
        <v>-1.0299756099999999</v>
      </c>
      <c r="AE3086">
        <v>-2.9041999999999399</v>
      </c>
      <c r="AF3086">
        <v>-2.1947480540078201</v>
      </c>
      <c r="AG3086">
        <v>-1.0299756099999999</v>
      </c>
      <c r="AH3086">
        <v>107.408764515676</v>
      </c>
      <c r="AI3086">
        <v>90.549295320479999</v>
      </c>
      <c r="AJ3086">
        <v>91.170596310383601</v>
      </c>
      <c r="AK3086">
        <v>107.436122712809</v>
      </c>
      <c r="AL3086">
        <v>87.808885626880098</v>
      </c>
      <c r="AM3086">
        <v>90.339778211092806</v>
      </c>
      <c r="AN3086">
        <v>1.0000000133181099</v>
      </c>
    </row>
    <row r="3087" spans="1:40" x14ac:dyDescent="0.25">
      <c r="A3087" t="str">
        <f>"20190312150722157"</f>
        <v>20190312150722157</v>
      </c>
      <c r="B3087" t="str">
        <f>"1552374442153109"</f>
        <v>1552374442153109</v>
      </c>
      <c r="C3087" t="s">
        <v>40</v>
      </c>
      <c r="D3087">
        <v>4.2073039999999997</v>
      </c>
      <c r="E3087">
        <v>0.49493290000000001</v>
      </c>
      <c r="F3087" t="s">
        <v>67</v>
      </c>
      <c r="G3087">
        <v>-385.04140000000001</v>
      </c>
      <c r="H3087">
        <v>8.0001439999999993E-2</v>
      </c>
      <c r="I3087">
        <v>278.65050000000002</v>
      </c>
      <c r="J3087">
        <v>-256.40339999999998</v>
      </c>
      <c r="K3087">
        <v>1.1097939999999999</v>
      </c>
      <c r="L3087">
        <v>282.15699999999998</v>
      </c>
      <c r="M3087">
        <v>-0.99993030000000005</v>
      </c>
      <c r="N3087">
        <v>0</v>
      </c>
      <c r="O3087">
        <v>-6.9422590000000001E-3</v>
      </c>
      <c r="P3087">
        <v>-0.9994999</v>
      </c>
      <c r="Q3087">
        <v>2.8833770000000002E-2</v>
      </c>
      <c r="R3087">
        <v>-1.2983929999999999E-2</v>
      </c>
      <c r="S3087">
        <v>-3.0010680000000001</v>
      </c>
      <c r="T3087">
        <v>-2.3995639999999999E-2</v>
      </c>
      <c r="U3087">
        <v>-8.1726069999999998E-2</v>
      </c>
      <c r="V3087">
        <v>-6.0921369999999897E-3</v>
      </c>
      <c r="W3087">
        <v>3.8373890000000001E-2</v>
      </c>
      <c r="X3087">
        <v>0.99924489999999999</v>
      </c>
      <c r="Y3087">
        <v>-2.0281159999999999E-2</v>
      </c>
      <c r="Z3087" s="1">
        <v>-2.5566769999999998E-5</v>
      </c>
      <c r="AA3087">
        <v>0.99979430000000002</v>
      </c>
      <c r="AB3087">
        <v>33</v>
      </c>
      <c r="AC3087">
        <v>-128.63800000000001</v>
      </c>
      <c r="AD3087">
        <v>-1.02979256</v>
      </c>
      <c r="AE3087">
        <v>-3.50649999999996</v>
      </c>
      <c r="AF3087">
        <v>-2.6131691124482899</v>
      </c>
      <c r="AG3087">
        <v>-1.02979256</v>
      </c>
      <c r="AH3087">
        <v>128.65100540501399</v>
      </c>
      <c r="AI3087">
        <v>90.458522185805293</v>
      </c>
      <c r="AJ3087">
        <v>91.163636264762005</v>
      </c>
      <c r="AK3087">
        <v>128.68166270781501</v>
      </c>
      <c r="AL3087">
        <v>87.800798136740298</v>
      </c>
      <c r="AM3087">
        <v>90.349313179989593</v>
      </c>
      <c r="AN3087">
        <v>1.00000001987148</v>
      </c>
    </row>
    <row r="3088" spans="1:40" x14ac:dyDescent="0.25">
      <c r="A3088" t="str">
        <f>"20190312150722169"</f>
        <v>20190312150722169</v>
      </c>
      <c r="B3088" t="str">
        <f>"1552374442163846"</f>
        <v>1552374442163846</v>
      </c>
      <c r="C3088" t="s">
        <v>40</v>
      </c>
      <c r="D3088">
        <v>4.1768199999999904</v>
      </c>
      <c r="E3088">
        <v>0.49508259999999998</v>
      </c>
      <c r="F3088" t="s">
        <v>68</v>
      </c>
      <c r="G3088">
        <v>-430.19920000000002</v>
      </c>
      <c r="H3088">
        <v>6.6299150000000001E-3</v>
      </c>
      <c r="I3088">
        <v>277.44349999999997</v>
      </c>
      <c r="J3088">
        <v>-256.59219999999999</v>
      </c>
      <c r="K3088">
        <v>1.1096109999999999</v>
      </c>
      <c r="L3088">
        <v>282.15539999999999</v>
      </c>
      <c r="M3088">
        <v>-0.99993469999999995</v>
      </c>
      <c r="N3088">
        <v>0</v>
      </c>
      <c r="O3088">
        <v>-7.2945110000000001E-3</v>
      </c>
      <c r="P3088">
        <v>-0.99946349999999995</v>
      </c>
      <c r="Q3088">
        <v>2.9640900000000001E-2</v>
      </c>
      <c r="R3088">
        <v>-1.3932689999999999E-2</v>
      </c>
      <c r="S3088">
        <v>-3.001007</v>
      </c>
      <c r="T3088">
        <v>-1.9048809999999999E-2</v>
      </c>
      <c r="U3088">
        <v>-8.1390379999999998E-2</v>
      </c>
      <c r="V3088">
        <v>-6.6862919999999999E-3</v>
      </c>
      <c r="W3088">
        <v>3.841725E-2</v>
      </c>
      <c r="X3088">
        <v>0.9992394</v>
      </c>
      <c r="Y3088">
        <v>-1.9817970000000001E-2</v>
      </c>
      <c r="Z3088" s="1">
        <v>-1.6591739999999998E-5</v>
      </c>
      <c r="AA3088">
        <v>0.99980360000000001</v>
      </c>
      <c r="AB3088">
        <v>33</v>
      </c>
      <c r="AC3088">
        <v>-173.607</v>
      </c>
      <c r="AD3088">
        <v>-1.1029810849999999</v>
      </c>
      <c r="AE3088">
        <v>-4.7119000000000097</v>
      </c>
      <c r="AF3088">
        <v>-3.4452084924737201</v>
      </c>
      <c r="AG3088">
        <v>-1.1029810849999999</v>
      </c>
      <c r="AH3088">
        <v>173.62974975996499</v>
      </c>
      <c r="AI3088">
        <v>90.363894290002904</v>
      </c>
      <c r="AJ3088">
        <v>91.136729198746707</v>
      </c>
      <c r="AK3088">
        <v>173.66742938887199</v>
      </c>
      <c r="AL3088">
        <v>87.798311881835303</v>
      </c>
      <c r="AM3088">
        <v>90.3833821951837</v>
      </c>
      <c r="AN3088">
        <v>0.99999998505531495</v>
      </c>
    </row>
    <row r="3089" spans="1:40" x14ac:dyDescent="0.25">
      <c r="A3089" t="str">
        <f>"20190312150722187"</f>
        <v>20190312150722187</v>
      </c>
      <c r="B3089" t="str">
        <f>"1552374442183365"</f>
        <v>1552374442183365</v>
      </c>
      <c r="C3089" t="s">
        <v>40</v>
      </c>
      <c r="D3089">
        <v>4.1920570000000001</v>
      </c>
      <c r="E3089">
        <v>0.4951721</v>
      </c>
      <c r="F3089" t="s">
        <v>67</v>
      </c>
      <c r="G3089">
        <v>-452.6474</v>
      </c>
      <c r="H3089">
        <v>8.0001020000000006E-2</v>
      </c>
      <c r="I3089">
        <v>276.73630000000003</v>
      </c>
      <c r="J3089">
        <v>-256.8569</v>
      </c>
      <c r="K3089">
        <v>1.1093919999999999</v>
      </c>
      <c r="L3089">
        <v>282.15309999999999</v>
      </c>
      <c r="M3089">
        <v>-0.99993989999999999</v>
      </c>
      <c r="N3089">
        <v>0</v>
      </c>
      <c r="O3089">
        <v>-7.7641359999999996E-3</v>
      </c>
      <c r="P3089">
        <v>-0.99942370000000003</v>
      </c>
      <c r="Q3089">
        <v>3.0548740000000001E-2</v>
      </c>
      <c r="R3089">
        <v>-1.480152E-2</v>
      </c>
      <c r="S3089">
        <v>-3.0009160000000001</v>
      </c>
      <c r="T3089">
        <v>-1.575971E-2</v>
      </c>
      <c r="U3089">
        <v>-8.2946779999999998E-2</v>
      </c>
      <c r="V3089">
        <v>-7.0827559999999999E-3</v>
      </c>
      <c r="W3089">
        <v>3.8274299999999997E-2</v>
      </c>
      <c r="X3089">
        <v>0.99924219999999997</v>
      </c>
      <c r="Y3089">
        <v>-1.9867530000000001E-2</v>
      </c>
      <c r="Z3089" s="1">
        <v>-1.1392030000000001E-5</v>
      </c>
      <c r="AA3089">
        <v>0.99980259999999999</v>
      </c>
      <c r="AB3089">
        <v>33</v>
      </c>
      <c r="AC3089">
        <v>-195.79050000000001</v>
      </c>
      <c r="AD3089">
        <v>-1.0293909799999901</v>
      </c>
      <c r="AE3089">
        <v>-5.4167999999999603</v>
      </c>
      <c r="AF3089">
        <v>-3.8963394873275998</v>
      </c>
      <c r="AG3089">
        <v>-1.0293909799999901</v>
      </c>
      <c r="AH3089">
        <v>195.82124743580101</v>
      </c>
      <c r="AI3089">
        <v>90.301129446588305</v>
      </c>
      <c r="AJ3089">
        <v>91.139888325596601</v>
      </c>
      <c r="AK3089">
        <v>195.862712261685</v>
      </c>
      <c r="AL3089">
        <v>87.806508442430797</v>
      </c>
      <c r="AM3089">
        <v>90.406112982535603</v>
      </c>
      <c r="AN3089">
        <v>1.0000000308669399</v>
      </c>
    </row>
    <row r="3090" spans="1:40" x14ac:dyDescent="0.25">
      <c r="A3090" t="str">
        <f>"20190312150722198"</f>
        <v>20190312150722198</v>
      </c>
      <c r="B3090" t="str">
        <f>"1552374442193125"</f>
        <v>1552374442193125</v>
      </c>
      <c r="C3090" t="s">
        <v>40</v>
      </c>
      <c r="D3090">
        <v>4.4158989999999996</v>
      </c>
      <c r="E3090">
        <v>0.49535449999999998</v>
      </c>
      <c r="F3090" t="s">
        <v>67</v>
      </c>
      <c r="G3090">
        <v>-439.99130000000002</v>
      </c>
      <c r="H3090">
        <v>8.0001790000000003E-2</v>
      </c>
      <c r="I3090">
        <v>276.95530000000002</v>
      </c>
      <c r="J3090">
        <v>-257.03750000000002</v>
      </c>
      <c r="K3090">
        <v>1.1092649999999999</v>
      </c>
      <c r="L3090">
        <v>282.1515</v>
      </c>
      <c r="M3090">
        <v>-0.99994269999999996</v>
      </c>
      <c r="N3090">
        <v>0</v>
      </c>
      <c r="O3090">
        <v>-8.0614329999999998E-3</v>
      </c>
      <c r="P3090">
        <v>-0.9993957</v>
      </c>
      <c r="Q3090">
        <v>3.1277689999999997E-2</v>
      </c>
      <c r="R3090">
        <v>-1.516194E-2</v>
      </c>
      <c r="S3090">
        <v>-3.0009769999999998</v>
      </c>
      <c r="T3090">
        <v>-1.6868350000000001E-2</v>
      </c>
      <c r="U3090">
        <v>-8.5174559999999996E-2</v>
      </c>
      <c r="V3090">
        <v>-7.1446909999999999E-3</v>
      </c>
      <c r="W3090">
        <v>3.8304320000000003E-2</v>
      </c>
      <c r="X3090">
        <v>0.99924060000000003</v>
      </c>
      <c r="Y3090">
        <v>-2.0311349999999999E-2</v>
      </c>
      <c r="Z3090" s="1">
        <v>-1.176972E-5</v>
      </c>
      <c r="AA3090">
        <v>0.99979370000000001</v>
      </c>
      <c r="AB3090">
        <v>33</v>
      </c>
      <c r="AC3090">
        <v>-182.9538</v>
      </c>
      <c r="AD3090">
        <v>-1.0292632100000001</v>
      </c>
      <c r="AE3090">
        <v>-5.19619999999997</v>
      </c>
      <c r="AF3090">
        <v>-3.7210070866635698</v>
      </c>
      <c r="AG3090">
        <v>-1.0292632100000001</v>
      </c>
      <c r="AH3090">
        <v>182.98395795842899</v>
      </c>
      <c r="AI3090">
        <v>90.322212000058101</v>
      </c>
      <c r="AJ3090">
        <v>91.164957978636593</v>
      </c>
      <c r="AK3090">
        <v>183.02468179627201</v>
      </c>
      <c r="AL3090">
        <v>87.804787141736</v>
      </c>
      <c r="AM3090">
        <v>90.409664763778494</v>
      </c>
      <c r="AN3090">
        <v>1.00000002211425</v>
      </c>
    </row>
    <row r="3091" spans="1:40" x14ac:dyDescent="0.25">
      <c r="A3091" t="str">
        <f>"20190312150722211"</f>
        <v>20190312150722211</v>
      </c>
      <c r="B3091" t="str">
        <f>"1552374442202885"</f>
        <v>1552374442202885</v>
      </c>
      <c r="C3091" t="s">
        <v>40</v>
      </c>
      <c r="D3091">
        <v>4.1625110000000003</v>
      </c>
      <c r="E3091">
        <v>0.49553940000000002</v>
      </c>
      <c r="F3091" t="s">
        <v>46</v>
      </c>
      <c r="G3091">
        <v>-454.8227</v>
      </c>
      <c r="H3091">
        <v>0.18001410000000001</v>
      </c>
      <c r="I3091">
        <v>276.57</v>
      </c>
      <c r="J3091">
        <v>-257.21190000000001</v>
      </c>
      <c r="K3091">
        <v>1.1091580000000001</v>
      </c>
      <c r="L3091">
        <v>282.1499</v>
      </c>
      <c r="M3091">
        <v>-0.99994499999999997</v>
      </c>
      <c r="N3091">
        <v>0</v>
      </c>
      <c r="O3091">
        <v>-8.3327409999999994E-3</v>
      </c>
      <c r="P3091">
        <v>-0.99936469999999999</v>
      </c>
      <c r="Q3091">
        <v>3.2131079999999999E-2</v>
      </c>
      <c r="R3091">
        <v>-1.5419189999999999E-2</v>
      </c>
      <c r="S3091">
        <v>-3.0009459999999999</v>
      </c>
      <c r="T3091">
        <v>-1.4098289999999999E-2</v>
      </c>
      <c r="U3091">
        <v>-8.4686280000000003E-2</v>
      </c>
      <c r="V3091">
        <v>-7.1303419999999996E-3</v>
      </c>
      <c r="W3091">
        <v>3.8504440000000001E-2</v>
      </c>
      <c r="X3091">
        <v>0.99923300000000004</v>
      </c>
      <c r="Y3091">
        <v>-1.9877929999999999E-2</v>
      </c>
      <c r="Z3091" s="1">
        <v>-7.5451209999999999E-6</v>
      </c>
      <c r="AA3091">
        <v>0.99980239999999998</v>
      </c>
      <c r="AB3091">
        <v>33</v>
      </c>
      <c r="AC3091">
        <v>-197.61080000000001</v>
      </c>
      <c r="AD3091">
        <v>-0.92914390000000002</v>
      </c>
      <c r="AE3091">
        <v>-5.5799000000000003</v>
      </c>
      <c r="AF3091">
        <v>-3.93294637840761</v>
      </c>
      <c r="AG3091">
        <v>-0.92914390000000002</v>
      </c>
      <c r="AH3091">
        <v>197.646069866999</v>
      </c>
      <c r="AI3091">
        <v>90.269294984678595</v>
      </c>
      <c r="AJ3091">
        <v>91.139974567362401</v>
      </c>
      <c r="AK3091">
        <v>197.68738024839399</v>
      </c>
      <c r="AL3091">
        <v>87.793312621029997</v>
      </c>
      <c r="AM3091">
        <v>90.408845153288397</v>
      </c>
      <c r="AN3091">
        <v>1.0000000109828699</v>
      </c>
    </row>
    <row r="3092" spans="1:40" x14ac:dyDescent="0.25">
      <c r="A3092" t="str">
        <f>"20190312150722225"</f>
        <v>20190312150722225</v>
      </c>
      <c r="B3092" t="str">
        <f>"1552374442213152"</f>
        <v>1552374442213152</v>
      </c>
      <c r="C3092" t="s">
        <v>40</v>
      </c>
      <c r="D3092">
        <v>4.1869110000000003</v>
      </c>
      <c r="E3092">
        <v>0.49566169999999998</v>
      </c>
      <c r="F3092" t="s">
        <v>69</v>
      </c>
      <c r="G3092">
        <v>-512.8252</v>
      </c>
      <c r="H3092">
        <v>7.8440430000000005E-2</v>
      </c>
      <c r="I3092">
        <v>275.0095</v>
      </c>
      <c r="J3092">
        <v>-257.43470000000002</v>
      </c>
      <c r="K3092">
        <v>1.10904</v>
      </c>
      <c r="L3092">
        <v>282.14789999999999</v>
      </c>
      <c r="M3092">
        <v>-0.99994700000000003</v>
      </c>
      <c r="N3092">
        <v>0</v>
      </c>
      <c r="O3092">
        <v>-8.6587379999999992E-3</v>
      </c>
      <c r="P3092">
        <v>-0.99932580000000004</v>
      </c>
      <c r="Q3092">
        <v>3.3108099999999897E-2</v>
      </c>
      <c r="R3092">
        <v>-1.5864099999999999E-2</v>
      </c>
      <c r="S3092">
        <v>-3.001007</v>
      </c>
      <c r="T3092">
        <v>-1.2100100000000001E-2</v>
      </c>
      <c r="U3092">
        <v>-8.3831790000000003E-2</v>
      </c>
      <c r="V3092">
        <v>-7.2484580000000002E-3</v>
      </c>
      <c r="W3092">
        <v>3.8675500000000002E-2</v>
      </c>
      <c r="X3092">
        <v>0.99922560000000005</v>
      </c>
      <c r="Y3092">
        <v>-1.9267030000000001E-2</v>
      </c>
      <c r="Z3092" s="1">
        <v>-3.9303810000000002E-6</v>
      </c>
      <c r="AA3092">
        <v>0.99981439999999999</v>
      </c>
      <c r="AB3092">
        <v>34</v>
      </c>
      <c r="AC3092">
        <v>-255.3905</v>
      </c>
      <c r="AD3092">
        <v>-1.0305995699999999</v>
      </c>
      <c r="AE3092">
        <v>-7.1383999999999901</v>
      </c>
      <c r="AF3092">
        <v>-4.9266584956083204</v>
      </c>
      <c r="AG3092">
        <v>-1.0305995699999999</v>
      </c>
      <c r="AH3092">
        <v>255.438579822581</v>
      </c>
      <c r="AI3092">
        <v>90.231122901536494</v>
      </c>
      <c r="AJ3092">
        <v>91.104929981516193</v>
      </c>
      <c r="AK3092">
        <v>255.48816442485699</v>
      </c>
      <c r="AL3092">
        <v>87.783504423532307</v>
      </c>
      <c r="AM3092">
        <v>90.415620623527303</v>
      </c>
      <c r="AN3092">
        <v>1.00000006706949</v>
      </c>
    </row>
    <row r="3093" spans="1:40" x14ac:dyDescent="0.25">
      <c r="A3093" t="str">
        <f>"20190312150722245"</f>
        <v>20190312150722245</v>
      </c>
      <c r="B3093" t="str">
        <f>"1552374442233648"</f>
        <v>1552374442233648</v>
      </c>
      <c r="C3093" t="s">
        <v>40</v>
      </c>
      <c r="D3093">
        <v>4.2398400000000001</v>
      </c>
      <c r="E3093">
        <v>0.49577520000000003</v>
      </c>
      <c r="F3093" t="s">
        <v>69</v>
      </c>
      <c r="G3093">
        <v>-512.82529999999997</v>
      </c>
      <c r="H3093">
        <v>0.2975699</v>
      </c>
      <c r="I3093">
        <v>274.97989999999999</v>
      </c>
      <c r="J3093">
        <v>-257.733</v>
      </c>
      <c r="K3093">
        <v>1.1089249999999999</v>
      </c>
      <c r="L3093">
        <v>282.14499999999998</v>
      </c>
      <c r="M3093">
        <v>-0.99994859999999997</v>
      </c>
      <c r="N3093">
        <v>0</v>
      </c>
      <c r="O3093">
        <v>-9.041159E-3</v>
      </c>
      <c r="P3093">
        <v>-0.99929480000000004</v>
      </c>
      <c r="Q3093">
        <v>3.4078530000000003E-2</v>
      </c>
      <c r="R3093">
        <v>-1.5781389999999999E-2</v>
      </c>
      <c r="S3093">
        <v>-3.001007</v>
      </c>
      <c r="T3093">
        <v>-9.5343589999999992E-3</v>
      </c>
      <c r="U3093">
        <v>-8.4228520000000001E-2</v>
      </c>
      <c r="V3093">
        <v>-6.7829459999999998E-3</v>
      </c>
      <c r="W3093">
        <v>3.8685980000000002E-2</v>
      </c>
      <c r="X3093">
        <v>0.99922840000000002</v>
      </c>
      <c r="Y3093">
        <v>-1.9016809999999999E-2</v>
      </c>
      <c r="Z3093" s="1">
        <v>-1.4850720000000001E-6</v>
      </c>
      <c r="AA3093">
        <v>0.99981920000000002</v>
      </c>
      <c r="AB3093">
        <v>34</v>
      </c>
      <c r="AC3093">
        <v>-255.09229999999999</v>
      </c>
      <c r="AD3093">
        <v>-0.811355099999999</v>
      </c>
      <c r="AE3093">
        <v>-7.16509999999999</v>
      </c>
      <c r="AF3093">
        <v>-4.8584037060840402</v>
      </c>
      <c r="AG3093">
        <v>-0.811355099999999</v>
      </c>
      <c r="AH3093">
        <v>255.144075997258</v>
      </c>
      <c r="AI3093">
        <v>90.182166254518506</v>
      </c>
      <c r="AJ3093">
        <v>91.090883217578906</v>
      </c>
      <c r="AK3093">
        <v>255.19161800530301</v>
      </c>
      <c r="AL3093">
        <v>87.7829033750496</v>
      </c>
      <c r="AM3093">
        <v>90.388928306362999</v>
      </c>
      <c r="AN3093">
        <v>1.00000000438577</v>
      </c>
    </row>
    <row r="3094" spans="1:40" x14ac:dyDescent="0.25">
      <c r="A3094" t="str">
        <f>"20190312150722264"</f>
        <v>20190312150722264</v>
      </c>
      <c r="B3094" t="str">
        <f>"1552374442253168"</f>
        <v>1552374442253168</v>
      </c>
      <c r="C3094" t="s">
        <v>40</v>
      </c>
      <c r="D3094">
        <v>4.1988430000000001</v>
      </c>
      <c r="E3094">
        <v>0.49591790000000002</v>
      </c>
      <c r="F3094" t="s">
        <v>69</v>
      </c>
      <c r="G3094">
        <v>-512.82529999999997</v>
      </c>
      <c r="H3094">
        <v>0.29669250000000003</v>
      </c>
      <c r="I3094">
        <v>275.0634</v>
      </c>
      <c r="J3094">
        <v>-258.04700000000003</v>
      </c>
      <c r="K3094">
        <v>1.1088690000000001</v>
      </c>
      <c r="L3094">
        <v>282.14179999999999</v>
      </c>
      <c r="M3094">
        <v>-0.99994870000000002</v>
      </c>
      <c r="N3094">
        <v>0</v>
      </c>
      <c r="O3094">
        <v>-9.3798800000000002E-3</v>
      </c>
      <c r="P3094">
        <v>-0.99926649999999995</v>
      </c>
      <c r="Q3094">
        <v>3.4916429999999998E-2</v>
      </c>
      <c r="R3094">
        <v>-1.573242E-2</v>
      </c>
      <c r="S3094">
        <v>-3.0011290000000002</v>
      </c>
      <c r="T3094">
        <v>-9.5548630000000002E-3</v>
      </c>
      <c r="U3094">
        <v>-8.3312990000000003E-2</v>
      </c>
      <c r="V3094">
        <v>-6.3946100000000002E-3</v>
      </c>
      <c r="W3094">
        <v>3.8735539999999999E-2</v>
      </c>
      <c r="X3094">
        <v>0.99922900000000003</v>
      </c>
      <c r="Y3094">
        <v>-1.8372260000000001E-2</v>
      </c>
      <c r="Z3094" s="1">
        <v>6.1564969999999995E-7</v>
      </c>
      <c r="AA3094">
        <v>0.99983120000000003</v>
      </c>
      <c r="AB3094">
        <v>34</v>
      </c>
      <c r="AC3094">
        <v>-254.7783</v>
      </c>
      <c r="AD3094">
        <v>-0.81217649999999997</v>
      </c>
      <c r="AE3094">
        <v>-7.0783999999999798</v>
      </c>
      <c r="AF3094">
        <v>-4.6882336529989397</v>
      </c>
      <c r="AG3094">
        <v>-0.81217649999999997</v>
      </c>
      <c r="AH3094">
        <v>254.83089907117599</v>
      </c>
      <c r="AI3094">
        <v>90.182576976474294</v>
      </c>
      <c r="AJ3094">
        <v>91.053976197847604</v>
      </c>
      <c r="AK3094">
        <v>254.87531517759101</v>
      </c>
      <c r="AL3094">
        <v>87.780061576035095</v>
      </c>
      <c r="AM3094">
        <v>90.366661859396203</v>
      </c>
      <c r="AN3094">
        <v>0.99999996376857103</v>
      </c>
    </row>
    <row r="3095" spans="1:40" x14ac:dyDescent="0.25">
      <c r="A3095" t="str">
        <f>"20190312150722365"</f>
        <v>20190312150722365</v>
      </c>
      <c r="B3095" t="str">
        <f>"1552374442363457"</f>
        <v>1552374442363457</v>
      </c>
      <c r="C3095" t="s">
        <v>40</v>
      </c>
      <c r="D3095">
        <v>4.2441440000000004</v>
      </c>
      <c r="E3095">
        <v>0.50316349999999999</v>
      </c>
      <c r="F3095" t="s">
        <v>46</v>
      </c>
      <c r="G3095">
        <v>-455.16120000000001</v>
      </c>
      <c r="H3095">
        <v>0.73539840000000001</v>
      </c>
      <c r="I3095">
        <v>276.75799999999998</v>
      </c>
      <c r="J3095">
        <v>-259.6114</v>
      </c>
      <c r="K3095">
        <v>1.109175</v>
      </c>
      <c r="L3095">
        <v>282.12529999999998</v>
      </c>
      <c r="M3095">
        <v>-0.99993940000000003</v>
      </c>
      <c r="N3095">
        <v>0</v>
      </c>
      <c r="O3095">
        <v>-1.0379569999999999E-2</v>
      </c>
      <c r="P3095">
        <v>-0.99925520000000001</v>
      </c>
      <c r="Q3095">
        <v>3.6092880000000001E-2</v>
      </c>
      <c r="R3095">
        <v>-1.365275E-2</v>
      </c>
      <c r="S3095">
        <v>-3.0011290000000002</v>
      </c>
      <c r="T3095">
        <v>-5.6852099999999996E-3</v>
      </c>
      <c r="U3095">
        <v>-8.1970210000000002E-2</v>
      </c>
      <c r="V3095">
        <v>-3.2993050000000002E-3</v>
      </c>
      <c r="W3095">
        <v>3.9770899999999998E-2</v>
      </c>
      <c r="X3095">
        <v>0.99920339999999996</v>
      </c>
      <c r="Y3095">
        <v>-1.6925699999999998E-2</v>
      </c>
      <c r="Z3095" s="1">
        <v>3.6294419999999998E-6</v>
      </c>
      <c r="AA3095">
        <v>0.99985679999999999</v>
      </c>
      <c r="AB3095">
        <v>35</v>
      </c>
      <c r="AC3095">
        <v>-195.5498</v>
      </c>
      <c r="AD3095">
        <v>-0.37377659999999902</v>
      </c>
      <c r="AE3095">
        <v>-5.3673000000000002</v>
      </c>
      <c r="AF3095">
        <v>-3.3372621818726298</v>
      </c>
      <c r="AG3095">
        <v>-0.37377659999999902</v>
      </c>
      <c r="AH3095">
        <v>195.59426232406699</v>
      </c>
      <c r="AI3095">
        <v>90.109474985452295</v>
      </c>
      <c r="AJ3095">
        <v>90.977495373093205</v>
      </c>
      <c r="AK3095">
        <v>195.62308780385101</v>
      </c>
      <c r="AL3095">
        <v>87.720694191454001</v>
      </c>
      <c r="AM3095">
        <v>90.189186270607394</v>
      </c>
      <c r="AN3095">
        <v>1.00000002223592</v>
      </c>
    </row>
    <row r="3096" spans="1:40" x14ac:dyDescent="0.25">
      <c r="A3096" t="str">
        <f>"20190312150722377"</f>
        <v>20190312150722377</v>
      </c>
      <c r="B3096" t="str">
        <f>"1552374442373217"</f>
        <v>1552374442373217</v>
      </c>
      <c r="C3096" t="s">
        <v>40</v>
      </c>
      <c r="D3096">
        <v>4.2928559999999996</v>
      </c>
      <c r="E3096">
        <v>0.50134009999999996</v>
      </c>
      <c r="F3096" t="s">
        <v>48</v>
      </c>
      <c r="G3096">
        <v>0</v>
      </c>
      <c r="H3096">
        <v>0</v>
      </c>
      <c r="I3096">
        <v>0</v>
      </c>
      <c r="J3096">
        <v>-259.79610000000002</v>
      </c>
      <c r="K3096">
        <v>1.109202</v>
      </c>
      <c r="L3096">
        <v>282.12329999999997</v>
      </c>
      <c r="M3096">
        <v>-0.99993810000000005</v>
      </c>
      <c r="N3096">
        <v>0</v>
      </c>
      <c r="O3096">
        <v>-1.044436E-2</v>
      </c>
      <c r="P3096">
        <v>-0.99926250000000005</v>
      </c>
      <c r="Q3096">
        <v>3.605767E-2</v>
      </c>
      <c r="R3096">
        <v>-1.321548E-2</v>
      </c>
      <c r="S3096">
        <v>-2.999908</v>
      </c>
      <c r="T3096">
        <v>5.7558770000000002E-2</v>
      </c>
      <c r="U3096">
        <v>-1.6845699999999901E-2</v>
      </c>
      <c r="V3096">
        <v>-2.7947219999999999E-3</v>
      </c>
      <c r="W3096">
        <v>3.9889069999999999E-2</v>
      </c>
      <c r="X3096">
        <v>0.99920019999999998</v>
      </c>
      <c r="Y3096">
        <v>4.826454E-3</v>
      </c>
      <c r="Z3096">
        <v>-2.4666919999999999E-4</v>
      </c>
      <c r="AA3096">
        <v>0.99998830000000005</v>
      </c>
      <c r="AB3096">
        <v>35</v>
      </c>
      <c r="AC3096">
        <v>-2.999908</v>
      </c>
      <c r="AD3096">
        <v>5.7558770000000002E-2</v>
      </c>
      <c r="AE3096">
        <v>-1.6845699999999901E-2</v>
      </c>
      <c r="AF3096">
        <v>1.4482237184507699E-2</v>
      </c>
      <c r="AG3096">
        <v>5.7558770000000002E-2</v>
      </c>
      <c r="AH3096">
        <v>2.99881638048541</v>
      </c>
      <c r="AI3096">
        <v>88.900422419548306</v>
      </c>
      <c r="AJ3096">
        <v>89.723302625881402</v>
      </c>
      <c r="AK3096">
        <v>2.9994036792444998</v>
      </c>
      <c r="AL3096">
        <v>87.713918107851001</v>
      </c>
      <c r="AM3096">
        <v>90.160253528732994</v>
      </c>
      <c r="AN3096">
        <v>0.99999999402828099</v>
      </c>
    </row>
    <row r="3097" spans="1:40" x14ac:dyDescent="0.25">
      <c r="A3097" t="str">
        <f>"20190312150722388"</f>
        <v>20190312150722388</v>
      </c>
      <c r="B3097" t="str">
        <f>"1552374442382977"</f>
        <v>1552374442382977</v>
      </c>
      <c r="C3097" t="s">
        <v>40</v>
      </c>
      <c r="D3097">
        <v>4.2687160000000004</v>
      </c>
      <c r="E3097">
        <v>0.50021930000000003</v>
      </c>
      <c r="F3097" t="s">
        <v>69</v>
      </c>
      <c r="G3097">
        <v>-544.34640000000002</v>
      </c>
      <c r="H3097">
        <v>5.5146090000000001</v>
      </c>
      <c r="I3097">
        <v>279.2491</v>
      </c>
      <c r="J3097">
        <v>-259.97660000000002</v>
      </c>
      <c r="K3097">
        <v>1.1092249999999999</v>
      </c>
      <c r="L3097">
        <v>282.12139999999999</v>
      </c>
      <c r="M3097">
        <v>-0.99993699999999996</v>
      </c>
      <c r="N3097">
        <v>0</v>
      </c>
      <c r="O3097">
        <v>-1.050094E-2</v>
      </c>
      <c r="P3097">
        <v>-0.99927109999999997</v>
      </c>
      <c r="Q3097">
        <v>3.5892149999999998E-2</v>
      </c>
      <c r="R3097">
        <v>-1.301858E-2</v>
      </c>
      <c r="S3097">
        <v>-3.0001220000000002</v>
      </c>
      <c r="T3097">
        <v>4.6448709999999997E-2</v>
      </c>
      <c r="U3097">
        <v>-3.0303960000000001E-2</v>
      </c>
      <c r="V3097">
        <v>-2.5388670000000002E-3</v>
      </c>
      <c r="W3097">
        <v>3.9875250000000001E-2</v>
      </c>
      <c r="X3097">
        <v>0.99920140000000002</v>
      </c>
      <c r="Y3097">
        <v>3.9934939999999999E-4</v>
      </c>
      <c r="Z3097">
        <v>-1.65652599999999E-4</v>
      </c>
      <c r="AA3097">
        <v>0.99999990000000005</v>
      </c>
      <c r="AB3097">
        <v>35</v>
      </c>
      <c r="AC3097">
        <v>-284.3698</v>
      </c>
      <c r="AD3097">
        <v>4.4053839999999997</v>
      </c>
      <c r="AE3097">
        <v>-2.8722999999999899</v>
      </c>
      <c r="AF3097">
        <v>0.114004701499605</v>
      </c>
      <c r="AG3097">
        <v>4.4053839999999997</v>
      </c>
      <c r="AH3097">
        <v>284.31605549630802</v>
      </c>
      <c r="AI3097">
        <v>89.112291802923707</v>
      </c>
      <c r="AJ3097">
        <v>89.977025610181897</v>
      </c>
      <c r="AK3097">
        <v>284.35020629188801</v>
      </c>
      <c r="AL3097">
        <v>87.714710487261598</v>
      </c>
      <c r="AM3097">
        <v>90.1455823128302</v>
      </c>
      <c r="AN3097">
        <v>0.99999995958508203</v>
      </c>
    </row>
    <row r="3098" spans="1:40" x14ac:dyDescent="0.25">
      <c r="A3098" t="str">
        <f>"20190312150722400"</f>
        <v>20190312150722400</v>
      </c>
      <c r="B3098" t="str">
        <f>"1552374442393713"</f>
        <v>1552374442393713</v>
      </c>
      <c r="C3098" t="s">
        <v>40</v>
      </c>
      <c r="D3098">
        <v>4.2642499999999997</v>
      </c>
      <c r="E3098">
        <v>0.49957269999999998</v>
      </c>
      <c r="F3098" t="s">
        <v>69</v>
      </c>
      <c r="G3098">
        <v>-511.96030000000002</v>
      </c>
      <c r="H3098">
        <v>4.9239059999999997</v>
      </c>
      <c r="I3098">
        <v>278.87889999999999</v>
      </c>
      <c r="J3098">
        <v>-260.16469999999998</v>
      </c>
      <c r="K3098">
        <v>1.1092420000000001</v>
      </c>
      <c r="L3098">
        <v>282.11939999999998</v>
      </c>
      <c r="M3098">
        <v>-0.99993580000000004</v>
      </c>
      <c r="N3098">
        <v>0</v>
      </c>
      <c r="O3098">
        <v>-1.054862E-2</v>
      </c>
      <c r="P3098">
        <v>-0.99927619999999895</v>
      </c>
      <c r="Q3098">
        <v>3.581314E-2</v>
      </c>
      <c r="R3098">
        <v>-1.2840849999999999E-2</v>
      </c>
      <c r="S3098">
        <v>-3.0000610000000001</v>
      </c>
      <c r="T3098">
        <v>4.541767E-2</v>
      </c>
      <c r="U3098">
        <v>-3.8604739999999999E-2</v>
      </c>
      <c r="V3098">
        <v>-2.3111130000000001E-3</v>
      </c>
      <c r="W3098">
        <v>3.9958149999999998E-2</v>
      </c>
      <c r="X3098">
        <v>0.9991987</v>
      </c>
      <c r="Y3098">
        <v>-2.3193110000000001E-3</v>
      </c>
      <c r="Z3098">
        <v>-1.421211E-4</v>
      </c>
      <c r="AA3098">
        <v>0.99999729999999998</v>
      </c>
      <c r="AB3098">
        <v>35</v>
      </c>
      <c r="AC3098">
        <v>-251.79560000000001</v>
      </c>
      <c r="AD3098">
        <v>3.8146640000000001</v>
      </c>
      <c r="AE3098">
        <v>-3.2404999999999902</v>
      </c>
      <c r="AF3098">
        <v>-0.58406682782293196</v>
      </c>
      <c r="AG3098">
        <v>3.8146640000000001</v>
      </c>
      <c r="AH3098">
        <v>251.75800002692199</v>
      </c>
      <c r="AI3098">
        <v>89.131917018504495</v>
      </c>
      <c r="AJ3098">
        <v>90.132923299942703</v>
      </c>
      <c r="AK3098">
        <v>251.78757589096401</v>
      </c>
      <c r="AL3098">
        <v>87.709957013449198</v>
      </c>
      <c r="AM3098">
        <v>90.132522975403305</v>
      </c>
      <c r="AN3098">
        <v>1.0000000185382001</v>
      </c>
    </row>
    <row r="3099" spans="1:40" x14ac:dyDescent="0.25">
      <c r="A3099" t="str">
        <f>"20190312150722413"</f>
        <v>20190312150722413</v>
      </c>
      <c r="B3099" t="str">
        <f>"1552374442403472"</f>
        <v>1552374442403472</v>
      </c>
      <c r="C3099" t="s">
        <v>40</v>
      </c>
      <c r="D3099">
        <v>4.286842</v>
      </c>
      <c r="E3099">
        <v>0.49919019999999997</v>
      </c>
      <c r="F3099" t="s">
        <v>69</v>
      </c>
      <c r="G3099">
        <v>-511.96019999999999</v>
      </c>
      <c r="H3099">
        <v>4.7762929999999999</v>
      </c>
      <c r="I3099">
        <v>278.48219999999998</v>
      </c>
      <c r="J3099">
        <v>-260.3546</v>
      </c>
      <c r="K3099">
        <v>1.109256</v>
      </c>
      <c r="L3099">
        <v>282.1173</v>
      </c>
      <c r="M3099">
        <v>-0.99993469999999995</v>
      </c>
      <c r="N3099">
        <v>0</v>
      </c>
      <c r="O3099">
        <v>-1.0584629999999999E-2</v>
      </c>
      <c r="P3099">
        <v>-0.99928380000000006</v>
      </c>
      <c r="Q3099">
        <v>3.5620739999999998E-2</v>
      </c>
      <c r="R3099">
        <v>-1.277669E-2</v>
      </c>
      <c r="S3099">
        <v>-3</v>
      </c>
      <c r="T3099">
        <v>4.3691750000000001E-2</v>
      </c>
      <c r="U3099">
        <v>-4.3334959999999999E-2</v>
      </c>
      <c r="V3099">
        <v>-2.2091540000000001E-3</v>
      </c>
      <c r="W3099">
        <v>3.992909E-2</v>
      </c>
      <c r="X3099">
        <v>0.99919999999999998</v>
      </c>
      <c r="Y3099">
        <v>-3.8597549999999999E-3</v>
      </c>
      <c r="Z3099">
        <v>-1.260302E-4</v>
      </c>
      <c r="AA3099">
        <v>0.99999249999999995</v>
      </c>
      <c r="AB3099">
        <v>35</v>
      </c>
      <c r="AC3099">
        <v>-251.60560000000001</v>
      </c>
      <c r="AD3099">
        <v>3.6670370000000001</v>
      </c>
      <c r="AE3099">
        <v>-3.63510000000002</v>
      </c>
      <c r="AF3099">
        <v>-0.97151314111704501</v>
      </c>
      <c r="AG3099">
        <v>3.6670370000000001</v>
      </c>
      <c r="AH3099">
        <v>251.57655357740401</v>
      </c>
      <c r="AI3099">
        <v>89.164909066778193</v>
      </c>
      <c r="AJ3099">
        <v>90.221258003735898</v>
      </c>
      <c r="AK3099">
        <v>251.605153580023</v>
      </c>
      <c r="AL3099">
        <v>87.7116231474225</v>
      </c>
      <c r="AM3099">
        <v>90.1266763353225</v>
      </c>
      <c r="AN3099">
        <v>0.99999992629480905</v>
      </c>
    </row>
    <row r="3100" spans="1:40" x14ac:dyDescent="0.25">
      <c r="A3100" t="str">
        <f>"20190312150722434"</f>
        <v>20190312150722434</v>
      </c>
      <c r="B3100" t="str">
        <f>"1552374442423499"</f>
        <v>1552374442423499</v>
      </c>
      <c r="C3100" t="s">
        <v>40</v>
      </c>
      <c r="D3100">
        <v>4.2619590000000001</v>
      </c>
      <c r="E3100">
        <v>0.49794329999999998</v>
      </c>
      <c r="F3100" t="s">
        <v>69</v>
      </c>
      <c r="G3100">
        <v>-511.96010000000001</v>
      </c>
      <c r="H3100">
        <v>4.4050419999999999</v>
      </c>
      <c r="I3100">
        <v>278.23219999999998</v>
      </c>
      <c r="J3100">
        <v>-260.68700000000001</v>
      </c>
      <c r="K3100">
        <v>1.109278</v>
      </c>
      <c r="L3100">
        <v>282.11380000000003</v>
      </c>
      <c r="M3100">
        <v>-0.99993310000000002</v>
      </c>
      <c r="N3100">
        <v>0</v>
      </c>
      <c r="O3100">
        <v>-1.062804E-2</v>
      </c>
      <c r="P3100">
        <v>-0.99928980000000001</v>
      </c>
      <c r="Q3100">
        <v>3.5418110000000003E-2</v>
      </c>
      <c r="R3100">
        <v>-1.2880870000000001E-2</v>
      </c>
      <c r="S3100">
        <v>-3.0001220000000002</v>
      </c>
      <c r="T3100">
        <v>3.9299609999999999E-2</v>
      </c>
      <c r="U3100">
        <v>-4.6325680000000001E-2</v>
      </c>
      <c r="V3100">
        <v>-2.266798E-3</v>
      </c>
      <c r="W3100">
        <v>4.0007229999999998E-2</v>
      </c>
      <c r="X3100">
        <v>0.9991968</v>
      </c>
      <c r="Y3100">
        <v>-4.8121739999999998E-3</v>
      </c>
      <c r="Z3100">
        <v>-1.076877E-4</v>
      </c>
      <c r="AA3100">
        <v>0.9999884</v>
      </c>
      <c r="AB3100">
        <v>35</v>
      </c>
      <c r="AC3100">
        <v>-251.2731</v>
      </c>
      <c r="AD3100">
        <v>3.2957640000000001</v>
      </c>
      <c r="AE3100">
        <v>-3.8816000000000401</v>
      </c>
      <c r="AF3100">
        <v>-1.2106041619107499</v>
      </c>
      <c r="AG3100">
        <v>3.2957640000000001</v>
      </c>
      <c r="AH3100">
        <v>251.256947212272</v>
      </c>
      <c r="AI3100">
        <v>89.248497010363707</v>
      </c>
      <c r="AJ3100">
        <v>90.276059918605</v>
      </c>
      <c r="AK3100">
        <v>251.281477919108</v>
      </c>
      <c r="AL3100">
        <v>87.707142600062795</v>
      </c>
      <c r="AM3100">
        <v>90.129982137250394</v>
      </c>
      <c r="AN3100">
        <v>0.99999998097784204</v>
      </c>
    </row>
    <row r="3101" spans="1:40" x14ac:dyDescent="0.25">
      <c r="A3101" t="str">
        <f>"20190312150722456"</f>
        <v>20190312150722456</v>
      </c>
      <c r="B3101" t="str">
        <f>"1552374442453756"</f>
        <v>1552374442453756</v>
      </c>
      <c r="C3101" t="s">
        <v>40</v>
      </c>
      <c r="D3101">
        <v>4.2629130000000002</v>
      </c>
      <c r="E3101">
        <v>0.49692750000000002</v>
      </c>
      <c r="F3101" t="s">
        <v>69</v>
      </c>
      <c r="G3101">
        <v>-511.95979999999997</v>
      </c>
      <c r="H3101">
        <v>3.4945339999999998</v>
      </c>
      <c r="I3101">
        <v>277.37799999999999</v>
      </c>
      <c r="J3101">
        <v>-261.04509999999999</v>
      </c>
      <c r="K3101">
        <v>1.109291</v>
      </c>
      <c r="L3101">
        <v>282.10989999999998</v>
      </c>
      <c r="M3101">
        <v>-0.99993140000000003</v>
      </c>
      <c r="N3101">
        <v>0</v>
      </c>
      <c r="O3101">
        <v>-1.065149E-2</v>
      </c>
      <c r="P3101">
        <v>-0.99927809999999995</v>
      </c>
      <c r="Q3101">
        <v>3.5605009999999999E-2</v>
      </c>
      <c r="R3101">
        <v>-1.326099E-2</v>
      </c>
      <c r="S3101">
        <v>-3.000397</v>
      </c>
      <c r="T3101">
        <v>2.8482790000000001E-2</v>
      </c>
      <c r="U3101">
        <v>-5.654907E-2</v>
      </c>
      <c r="V3101">
        <v>-2.621707E-3</v>
      </c>
      <c r="W3101">
        <v>4.0482249999999997E-2</v>
      </c>
      <c r="X3101">
        <v>0.99917679999999998</v>
      </c>
      <c r="Y3101">
        <v>-8.1931729999999998E-3</v>
      </c>
      <c r="Z3101" s="1">
        <v>-6.2216040000000005E-5</v>
      </c>
      <c r="AA3101">
        <v>0.99996640000000003</v>
      </c>
      <c r="AB3101">
        <v>35</v>
      </c>
      <c r="AC3101">
        <v>-250.91470000000001</v>
      </c>
      <c r="AD3101">
        <v>2.385243</v>
      </c>
      <c r="AE3101">
        <v>-4.7318999999999898</v>
      </c>
      <c r="AF3101">
        <v>-2.0587984324751001</v>
      </c>
      <c r="AG3101">
        <v>2.385243</v>
      </c>
      <c r="AH3101">
        <v>250.92820024072799</v>
      </c>
      <c r="AI3101">
        <v>89.455399426779394</v>
      </c>
      <c r="AJ3101">
        <v>90.470085921406096</v>
      </c>
      <c r="AK3101">
        <v>250.947982082354</v>
      </c>
      <c r="AL3101">
        <v>87.679903892598901</v>
      </c>
      <c r="AM3101">
        <v>90.150336158224604</v>
      </c>
      <c r="AN3101">
        <v>0.99999998178544702</v>
      </c>
    </row>
    <row r="3102" spans="1:40" x14ac:dyDescent="0.25">
      <c r="A3102" t="str">
        <f>"20190312150722478"</f>
        <v>20190312150722478</v>
      </c>
      <c r="B3102" t="str">
        <f>"1552374442473276"</f>
        <v>1552374442473276</v>
      </c>
      <c r="C3102" t="s">
        <v>40</v>
      </c>
      <c r="D3102">
        <v>4.2942929999999997</v>
      </c>
      <c r="E3102">
        <v>0.49654949999999998</v>
      </c>
      <c r="F3102" t="s">
        <v>69</v>
      </c>
      <c r="G3102">
        <v>-511.9597</v>
      </c>
      <c r="H3102">
        <v>3.199608</v>
      </c>
      <c r="I3102">
        <v>276.5872</v>
      </c>
      <c r="J3102">
        <v>-261.37950000000001</v>
      </c>
      <c r="K3102">
        <v>1.109297</v>
      </c>
      <c r="L3102">
        <v>282.10640000000001</v>
      </c>
      <c r="M3102">
        <v>-0.99993010000000004</v>
      </c>
      <c r="N3102">
        <v>0</v>
      </c>
      <c r="O3102">
        <v>-1.066049E-2</v>
      </c>
      <c r="P3102">
        <v>-0.99927829999999995</v>
      </c>
      <c r="Q3102">
        <v>3.5466449999999997E-2</v>
      </c>
      <c r="R3102">
        <v>-1.360422E-2</v>
      </c>
      <c r="S3102">
        <v>-3.0004270000000002</v>
      </c>
      <c r="T3102">
        <v>2.4996879999999999E-2</v>
      </c>
      <c r="U3102">
        <v>-6.6040039999999994E-2</v>
      </c>
      <c r="V3102">
        <v>-2.9542510000000002E-3</v>
      </c>
      <c r="W3102">
        <v>4.0593730000000001E-2</v>
      </c>
      <c r="X3102">
        <v>0.99917140000000004</v>
      </c>
      <c r="Y3102">
        <v>-1.1345559999999999E-2</v>
      </c>
      <c r="Z3102" s="1">
        <v>-4.1544690000000002E-5</v>
      </c>
      <c r="AA3102">
        <v>0.99993560000000004</v>
      </c>
      <c r="AB3102">
        <v>35</v>
      </c>
      <c r="AC3102">
        <v>-250.58019999999999</v>
      </c>
      <c r="AD3102">
        <v>2.0903109999999998</v>
      </c>
      <c r="AE3102">
        <v>-5.5192000000000103</v>
      </c>
      <c r="AF3102">
        <v>-2.8473456799146599</v>
      </c>
      <c r="AG3102">
        <v>2.0903109999999998</v>
      </c>
      <c r="AH3102">
        <v>250.60736807751499</v>
      </c>
      <c r="AI3102">
        <v>89.522138982820707</v>
      </c>
      <c r="AJ3102">
        <v>90.650954008713299</v>
      </c>
      <c r="AK3102">
        <v>250.63225991926299</v>
      </c>
      <c r="AL3102">
        <v>87.673511422416496</v>
      </c>
      <c r="AM3102">
        <v>90.169405990482602</v>
      </c>
      <c r="AN3102">
        <v>1.00000003254612</v>
      </c>
    </row>
    <row r="3103" spans="1:40" x14ac:dyDescent="0.25">
      <c r="A3103" t="str">
        <f>"20190312150722490"</f>
        <v>20190312150722490</v>
      </c>
      <c r="B3103" t="str">
        <f>"1552374442483036"</f>
        <v>1552374442483036</v>
      </c>
      <c r="C3103" t="s">
        <v>40</v>
      </c>
      <c r="D3103">
        <v>4.5259390000000002</v>
      </c>
      <c r="E3103">
        <v>0.49641210000000002</v>
      </c>
      <c r="F3103" t="s">
        <v>69</v>
      </c>
      <c r="G3103">
        <v>-511.9597</v>
      </c>
      <c r="H3103">
        <v>3.2151529999999999</v>
      </c>
      <c r="I3103">
        <v>276.262</v>
      </c>
      <c r="J3103">
        <v>-261.58659999999998</v>
      </c>
      <c r="K3103">
        <v>1.1092959999999901</v>
      </c>
      <c r="L3103">
        <v>282.10410000000002</v>
      </c>
      <c r="M3103">
        <v>-0.99992939999999997</v>
      </c>
      <c r="N3103">
        <v>0</v>
      </c>
      <c r="O3103">
        <v>-1.066166E-2</v>
      </c>
      <c r="P3103">
        <v>-0.9992721</v>
      </c>
      <c r="Q3103">
        <v>3.5676149999999997E-2</v>
      </c>
      <c r="R3103">
        <v>-1.352839E-2</v>
      </c>
      <c r="S3103">
        <v>-3.000305</v>
      </c>
      <c r="T3103">
        <v>2.5215270000000001E-2</v>
      </c>
      <c r="U3103">
        <v>-6.997681E-2</v>
      </c>
      <c r="V3103">
        <v>-2.8765489999999999E-3</v>
      </c>
      <c r="W3103">
        <v>4.0948209999999999E-2</v>
      </c>
      <c r="X3103">
        <v>0.99915710000000002</v>
      </c>
      <c r="Y3103">
        <v>-1.2656590000000001E-2</v>
      </c>
      <c r="Z3103" s="1">
        <v>-3.6410150000000002E-5</v>
      </c>
      <c r="AA3103">
        <v>0.99991989999999997</v>
      </c>
      <c r="AB3103">
        <v>35</v>
      </c>
      <c r="AC3103">
        <v>-250.37309999999999</v>
      </c>
      <c r="AD3103">
        <v>2.1058569999999999</v>
      </c>
      <c r="AE3103">
        <v>-5.8421000000000101</v>
      </c>
      <c r="AF3103">
        <v>-3.1721140582399601</v>
      </c>
      <c r="AG3103">
        <v>2.1058569999999999</v>
      </c>
      <c r="AH3103">
        <v>250.40345185633399</v>
      </c>
      <c r="AI3103">
        <v>89.518200753553799</v>
      </c>
      <c r="AJ3103">
        <v>90.725784828452007</v>
      </c>
      <c r="AK3103">
        <v>250.43239735080201</v>
      </c>
      <c r="AL3103">
        <v>87.653184167641101</v>
      </c>
      <c r="AM3103">
        <v>90.164952700542102</v>
      </c>
      <c r="AN3103">
        <v>0.99999997045838096</v>
      </c>
    </row>
    <row r="3104" spans="1:40" x14ac:dyDescent="0.25">
      <c r="A3104" t="str">
        <f>"20190312150722502"</f>
        <v>20190312150722502</v>
      </c>
      <c r="B3104" t="str">
        <f>"1552374442493772"</f>
        <v>1552374442493772</v>
      </c>
      <c r="C3104" t="s">
        <v>40</v>
      </c>
      <c r="D3104">
        <v>4.3210119999999996</v>
      </c>
      <c r="E3104">
        <v>0.49659720000000002</v>
      </c>
      <c r="F3104" t="s">
        <v>69</v>
      </c>
      <c r="G3104">
        <v>-511.9597</v>
      </c>
      <c r="H3104">
        <v>3.349809</v>
      </c>
      <c r="I3104">
        <v>276.18299999999999</v>
      </c>
      <c r="J3104">
        <v>-261.77890000000002</v>
      </c>
      <c r="K3104">
        <v>1.1092930000000001</v>
      </c>
      <c r="L3104">
        <v>282.10210000000001</v>
      </c>
      <c r="M3104">
        <v>-0.99992859999999995</v>
      </c>
      <c r="N3104">
        <v>0</v>
      </c>
      <c r="O3104">
        <v>-1.065993E-2</v>
      </c>
      <c r="P3104">
        <v>-0.9992761</v>
      </c>
      <c r="Q3104">
        <v>3.5419060000000002E-2</v>
      </c>
      <c r="R3104">
        <v>-1.3891529999999999E-2</v>
      </c>
      <c r="S3104">
        <v>-3.0002749999999998</v>
      </c>
      <c r="T3104">
        <v>2.684951E-2</v>
      </c>
      <c r="U3104">
        <v>-7.0953370000000002E-2</v>
      </c>
      <c r="V3104">
        <v>-3.2410389999999998E-3</v>
      </c>
      <c r="W3104">
        <v>4.0819569999999999E-2</v>
      </c>
      <c r="X3104">
        <v>0.99916130000000003</v>
      </c>
      <c r="Y3104">
        <v>-1.298381E-2</v>
      </c>
      <c r="Z3104" s="1">
        <v>-3.7290840000000002E-5</v>
      </c>
      <c r="AA3104">
        <v>0.99991569999999996</v>
      </c>
      <c r="AB3104">
        <v>35</v>
      </c>
      <c r="AC3104">
        <v>-250.1808</v>
      </c>
      <c r="AD3104">
        <v>2.2405159999999902</v>
      </c>
      <c r="AE3104">
        <v>-5.91910000000001</v>
      </c>
      <c r="AF3104">
        <v>-3.2515543369798299</v>
      </c>
      <c r="AG3104">
        <v>2.2405159999999902</v>
      </c>
      <c r="AH3104">
        <v>250.209626535382</v>
      </c>
      <c r="AI3104">
        <v>89.486998785189499</v>
      </c>
      <c r="AJ3104">
        <v>90.744535118984601</v>
      </c>
      <c r="AK3104">
        <v>250.240783503665</v>
      </c>
      <c r="AL3104">
        <v>87.660560986436195</v>
      </c>
      <c r="AM3104">
        <v>90.185853079616393</v>
      </c>
      <c r="AN3104">
        <v>1.0000000225232299</v>
      </c>
    </row>
    <row r="3105" spans="1:40" x14ac:dyDescent="0.25">
      <c r="A3105" t="str">
        <f>"20190312150722513"</f>
        <v>20190312150722513</v>
      </c>
      <c r="B3105" t="str">
        <f>"1552374442503532"</f>
        <v>1552374442503532</v>
      </c>
      <c r="C3105" t="s">
        <v>40</v>
      </c>
      <c r="D3105">
        <v>4.2626670000000004</v>
      </c>
      <c r="E3105">
        <v>0.49656539999999999</v>
      </c>
      <c r="F3105" t="s">
        <v>69</v>
      </c>
      <c r="G3105">
        <v>-511.95949999999999</v>
      </c>
      <c r="H3105">
        <v>2.7416779999999998</v>
      </c>
      <c r="I3105">
        <v>276.2115</v>
      </c>
      <c r="J3105">
        <v>-261.95299999999997</v>
      </c>
      <c r="K3105">
        <v>1.109289</v>
      </c>
      <c r="L3105">
        <v>282.1003</v>
      </c>
      <c r="M3105">
        <v>-0.99992809999999999</v>
      </c>
      <c r="N3105">
        <v>0</v>
      </c>
      <c r="O3105">
        <v>-1.065398E-2</v>
      </c>
      <c r="P3105">
        <v>-0.99927370000000004</v>
      </c>
      <c r="Q3105">
        <v>3.5351399999999998E-2</v>
      </c>
      <c r="R3105">
        <v>-1.4230609999999999E-2</v>
      </c>
      <c r="S3105">
        <v>-3.0005190000000002</v>
      </c>
      <c r="T3105">
        <v>1.9578809999999999E-2</v>
      </c>
      <c r="U3105">
        <v>-7.064819E-2</v>
      </c>
      <c r="V3105">
        <v>-3.5854979999999999E-3</v>
      </c>
      <c r="W3105">
        <v>4.0860069999999998E-2</v>
      </c>
      <c r="X3105">
        <v>0.9991584</v>
      </c>
      <c r="Y3105">
        <v>-1.288623E-2</v>
      </c>
      <c r="Z3105" s="1">
        <v>-2.74703E-5</v>
      </c>
      <c r="AA3105">
        <v>0.99991699999999994</v>
      </c>
      <c r="AB3105">
        <v>35</v>
      </c>
      <c r="AC3105">
        <v>-250.00649999999999</v>
      </c>
      <c r="AD3105">
        <v>1.6323890000000001</v>
      </c>
      <c r="AE3105">
        <v>-5.8887999999999998</v>
      </c>
      <c r="AF3105">
        <v>-3.2247237782936802</v>
      </c>
      <c r="AG3105">
        <v>1.6323890000000001</v>
      </c>
      <c r="AH3105">
        <v>250.044396292241</v>
      </c>
      <c r="AI3105">
        <v>89.625986839829395</v>
      </c>
      <c r="AJ3105">
        <v>90.738880066661494</v>
      </c>
      <c r="AK3105">
        <v>250.070517363493</v>
      </c>
      <c r="AL3105">
        <v>87.6582384109348</v>
      </c>
      <c r="AM3105">
        <v>90.205606059096297</v>
      </c>
      <c r="AN3105">
        <v>0.99999995470343495</v>
      </c>
    </row>
    <row r="3106" spans="1:40" x14ac:dyDescent="0.25">
      <c r="A3106" t="str">
        <f>"20190312150722525"</f>
        <v>20190312150722525</v>
      </c>
      <c r="B3106" t="str">
        <f>"1552374442523558"</f>
        <v>1552374442523558</v>
      </c>
      <c r="C3106" t="s">
        <v>40</v>
      </c>
      <c r="D3106">
        <v>4.2958119999999997</v>
      </c>
      <c r="E3106">
        <v>0.49628220000000001</v>
      </c>
      <c r="F3106" t="s">
        <v>69</v>
      </c>
      <c r="G3106">
        <v>-511.95960000000002</v>
      </c>
      <c r="H3106">
        <v>2.8671310000000001</v>
      </c>
      <c r="I3106">
        <v>276.09899999999999</v>
      </c>
      <c r="J3106">
        <v>-262.13900000000001</v>
      </c>
      <c r="K3106">
        <v>1.109283</v>
      </c>
      <c r="L3106">
        <v>282.09820000000002</v>
      </c>
      <c r="M3106">
        <v>-0.99992760000000003</v>
      </c>
      <c r="N3106">
        <v>0</v>
      </c>
      <c r="O3106">
        <v>-1.06459E-2</v>
      </c>
      <c r="P3106">
        <v>-0.99927469999999996</v>
      </c>
      <c r="Q3106">
        <v>3.5317800000000003E-2</v>
      </c>
      <c r="R3106">
        <v>-1.4247900000000001E-2</v>
      </c>
      <c r="S3106">
        <v>-3.0003660000000001</v>
      </c>
      <c r="T3106">
        <v>2.1097060000000001E-2</v>
      </c>
      <c r="U3106">
        <v>-7.2021479999999999E-2</v>
      </c>
      <c r="V3106">
        <v>-3.609784E-3</v>
      </c>
      <c r="W3106">
        <v>4.0939160000000002E-2</v>
      </c>
      <c r="X3106">
        <v>0.99915509999999996</v>
      </c>
      <c r="Y3106">
        <v>-1.3352889999999999E-2</v>
      </c>
      <c r="Z3106" s="1">
        <v>-2.7904569999999998E-5</v>
      </c>
      <c r="AA3106">
        <v>0.99991079999999999</v>
      </c>
      <c r="AB3106">
        <v>36</v>
      </c>
      <c r="AC3106">
        <v>-249.82060000000001</v>
      </c>
      <c r="AD3106">
        <v>1.7578479999999901</v>
      </c>
      <c r="AE3106">
        <v>-5.9992000000000196</v>
      </c>
      <c r="AF3106">
        <v>-3.3390878305407599</v>
      </c>
      <c r="AG3106">
        <v>1.7578479999999901</v>
      </c>
      <c r="AH3106">
        <v>249.857946595578</v>
      </c>
      <c r="AI3106">
        <v>89.596944507987601</v>
      </c>
      <c r="AJ3106">
        <v>90.765652061901406</v>
      </c>
      <c r="AK3106">
        <v>249.88644023654001</v>
      </c>
      <c r="AL3106">
        <v>87.653703151115707</v>
      </c>
      <c r="AM3106">
        <v>90.206999382069895</v>
      </c>
      <c r="AN3106">
        <v>0.99999997960901998</v>
      </c>
    </row>
    <row r="3107" spans="1:40" x14ac:dyDescent="0.25">
      <c r="A3107" t="str">
        <f>"20190312150722537"</f>
        <v>20190312150722537</v>
      </c>
      <c r="B3107" t="str">
        <f>"1552374442533318"</f>
        <v>1552374442533318</v>
      </c>
      <c r="C3107" t="s">
        <v>40</v>
      </c>
      <c r="D3107">
        <v>4.2553640000000001</v>
      </c>
      <c r="E3107">
        <v>0.49610900000000002</v>
      </c>
      <c r="F3107" t="s">
        <v>69</v>
      </c>
      <c r="G3107">
        <v>-511.95960000000002</v>
      </c>
      <c r="H3107">
        <v>2.8144230000000001</v>
      </c>
      <c r="I3107">
        <v>275.90839999999997</v>
      </c>
      <c r="J3107">
        <v>-262.32729999999998</v>
      </c>
      <c r="K3107">
        <v>1.109272</v>
      </c>
      <c r="L3107">
        <v>282.09629999999999</v>
      </c>
      <c r="M3107">
        <v>-0.99992720000000002</v>
      </c>
      <c r="N3107">
        <v>0</v>
      </c>
      <c r="O3107">
        <v>-1.06286E-2</v>
      </c>
      <c r="P3107">
        <v>-0.99927379999999999</v>
      </c>
      <c r="Q3107">
        <v>3.5336109999999997E-2</v>
      </c>
      <c r="R3107">
        <v>-1.4279419999999999E-2</v>
      </c>
      <c r="S3107">
        <v>-3.000397</v>
      </c>
      <c r="T3107">
        <v>2.0480040000000001E-2</v>
      </c>
      <c r="U3107">
        <v>-7.4340820000000002E-2</v>
      </c>
      <c r="V3107">
        <v>-3.6574089999999999E-3</v>
      </c>
      <c r="W3107">
        <v>4.1062080000000001E-2</v>
      </c>
      <c r="X3107">
        <v>0.99914990000000004</v>
      </c>
      <c r="Y3107">
        <v>-1.4142399999999999E-2</v>
      </c>
      <c r="Z3107" s="1">
        <v>-2.4275759999999999E-5</v>
      </c>
      <c r="AA3107">
        <v>0.99990000000000001</v>
      </c>
      <c r="AB3107">
        <v>36</v>
      </c>
      <c r="AC3107">
        <v>-249.63229999999999</v>
      </c>
      <c r="AD3107">
        <v>1.7051509999999901</v>
      </c>
      <c r="AE3107">
        <v>-6.1879000000000097</v>
      </c>
      <c r="AF3107">
        <v>-3.5341005227493398</v>
      </c>
      <c r="AG3107">
        <v>1.7051509999999901</v>
      </c>
      <c r="AH3107">
        <v>249.67232680061301</v>
      </c>
      <c r="AI3107">
        <v>89.608740574221102</v>
      </c>
      <c r="AJ3107">
        <v>90.810965014805106</v>
      </c>
      <c r="AK3107">
        <v>249.70316012511699</v>
      </c>
      <c r="AL3107">
        <v>87.646654467251295</v>
      </c>
      <c r="AM3107">
        <v>90.209731456404498</v>
      </c>
      <c r="AN3107">
        <v>0.99999999686226404</v>
      </c>
    </row>
    <row r="3108" spans="1:40" x14ac:dyDescent="0.25">
      <c r="A3108" t="str">
        <f>"20190312150722555"</f>
        <v>20190312150722555</v>
      </c>
      <c r="B3108" t="str">
        <f>"1552374442543079"</f>
        <v>1552374442543079</v>
      </c>
      <c r="C3108" t="s">
        <v>40</v>
      </c>
      <c r="D3108">
        <v>4.2702260000000001</v>
      </c>
      <c r="E3108">
        <v>0.4959015</v>
      </c>
      <c r="F3108" t="s">
        <v>69</v>
      </c>
      <c r="G3108">
        <v>-511.95949999999999</v>
      </c>
      <c r="H3108">
        <v>2.7747139999999999</v>
      </c>
      <c r="I3108">
        <v>275.77910000000003</v>
      </c>
      <c r="J3108">
        <v>-262.61790000000002</v>
      </c>
      <c r="K3108">
        <v>1.1092500000000001</v>
      </c>
      <c r="L3108">
        <v>282.09320000000002</v>
      </c>
      <c r="M3108">
        <v>-0.99992669999999995</v>
      </c>
      <c r="N3108">
        <v>0</v>
      </c>
      <c r="O3108">
        <v>-1.0591110000000001E-2</v>
      </c>
      <c r="P3108">
        <v>-0.99928110000000003</v>
      </c>
      <c r="Q3108">
        <v>3.5216020000000001E-2</v>
      </c>
      <c r="R3108">
        <v>-1.40488E-2</v>
      </c>
      <c r="S3108">
        <v>-3.000397</v>
      </c>
      <c r="T3108">
        <v>2.0018339999999999E-2</v>
      </c>
      <c r="U3108">
        <v>-7.5927729999999999E-2</v>
      </c>
      <c r="V3108">
        <v>-3.4625440000000001E-3</v>
      </c>
      <c r="W3108">
        <v>4.1091620000000002E-2</v>
      </c>
      <c r="X3108">
        <v>0.99914939999999997</v>
      </c>
      <c r="Y3108">
        <v>-1.470839E-2</v>
      </c>
      <c r="Z3108" s="1">
        <v>-2.1590520000000001E-5</v>
      </c>
      <c r="AA3108">
        <v>0.9998918</v>
      </c>
      <c r="AB3108">
        <v>36</v>
      </c>
      <c r="AC3108">
        <v>-249.3416</v>
      </c>
      <c r="AD3108">
        <v>1.6654639999999901</v>
      </c>
      <c r="AE3108">
        <v>-6.3140999999999901</v>
      </c>
      <c r="AF3108">
        <v>-3.67273232592993</v>
      </c>
      <c r="AG3108">
        <v>1.6654639999999901</v>
      </c>
      <c r="AH3108">
        <v>249.38336996872201</v>
      </c>
      <c r="AI3108">
        <v>89.617407153784498</v>
      </c>
      <c r="AJ3108">
        <v>90.843748522143102</v>
      </c>
      <c r="AK3108">
        <v>249.415973726684</v>
      </c>
      <c r="AL3108">
        <v>87.644960567622107</v>
      </c>
      <c r="AM3108">
        <v>90.198557256192501</v>
      </c>
      <c r="AN3108">
        <v>1.0000000169827601</v>
      </c>
    </row>
    <row r="3109" spans="1:40" x14ac:dyDescent="0.25">
      <c r="A3109" t="str">
        <f>"20190312150722567"</f>
        <v>20190312150722567</v>
      </c>
      <c r="B3109" t="str">
        <f>"1552374442563575"</f>
        <v>1552374442563575</v>
      </c>
      <c r="C3109" t="s">
        <v>40</v>
      </c>
      <c r="D3109">
        <v>4.2491450000000004</v>
      </c>
      <c r="E3109">
        <v>0.4953786</v>
      </c>
      <c r="F3109" t="s">
        <v>69</v>
      </c>
      <c r="G3109">
        <v>-511.95949999999999</v>
      </c>
      <c r="H3109">
        <v>2.73895</v>
      </c>
      <c r="I3109">
        <v>275.70729999999998</v>
      </c>
      <c r="J3109">
        <v>-262.81299999999999</v>
      </c>
      <c r="K3109">
        <v>1.1092329999999999</v>
      </c>
      <c r="L3109">
        <v>282.09120000000001</v>
      </c>
      <c r="M3109">
        <v>-0.99992639999999999</v>
      </c>
      <c r="N3109">
        <v>0</v>
      </c>
      <c r="O3109">
        <v>-1.05573E-2</v>
      </c>
      <c r="P3109">
        <v>-0.99928790000000001</v>
      </c>
      <c r="Q3109">
        <v>3.5080090000000001E-2</v>
      </c>
      <c r="R3109">
        <v>-1.3904440000000001E-2</v>
      </c>
      <c r="S3109">
        <v>-3.0004270000000002</v>
      </c>
      <c r="T3109">
        <v>1.9611839999999998E-2</v>
      </c>
      <c r="U3109">
        <v>-7.6843259999999997E-2</v>
      </c>
      <c r="V3109">
        <v>-3.3501120000000001E-3</v>
      </c>
      <c r="W3109">
        <v>4.104874E-2</v>
      </c>
      <c r="X3109">
        <v>0.99915149999999997</v>
      </c>
      <c r="Y3109">
        <v>-1.5046830000000001E-2</v>
      </c>
      <c r="Z3109" s="1">
        <v>-1.982504E-5</v>
      </c>
      <c r="AA3109">
        <v>0.99988679999999996</v>
      </c>
      <c r="AB3109">
        <v>36</v>
      </c>
      <c r="AC3109">
        <v>-249.1465</v>
      </c>
      <c r="AD3109">
        <v>1.6297170000000001</v>
      </c>
      <c r="AE3109">
        <v>-6.3839000000000397</v>
      </c>
      <c r="AF3109">
        <v>-3.75302239042446</v>
      </c>
      <c r="AG3109">
        <v>1.6297170000000001</v>
      </c>
      <c r="AH3109">
        <v>249.18935741736601</v>
      </c>
      <c r="AI3109">
        <v>89.625329157112603</v>
      </c>
      <c r="AJ3109">
        <v>90.862862239096401</v>
      </c>
      <c r="AK3109">
        <v>249.222946384643</v>
      </c>
      <c r="AL3109">
        <v>87.647419377347802</v>
      </c>
      <c r="AM3109">
        <v>90.192109564155203</v>
      </c>
      <c r="AN3109">
        <v>0.99999997112912398</v>
      </c>
    </row>
    <row r="3110" spans="1:40" x14ac:dyDescent="0.25">
      <c r="A3110" t="str">
        <f>"20190312150722580"</f>
        <v>20190312150722580</v>
      </c>
      <c r="B3110" t="str">
        <f>"1552374442573336"</f>
        <v>1552374442573336</v>
      </c>
      <c r="C3110" t="s">
        <v>40</v>
      </c>
      <c r="D3110">
        <v>4.2624029999999999</v>
      </c>
      <c r="E3110">
        <v>0.4953786</v>
      </c>
      <c r="F3110" t="s">
        <v>46</v>
      </c>
      <c r="G3110">
        <v>-455.29300000000001</v>
      </c>
      <c r="H3110">
        <v>2.2011639999999999</v>
      </c>
      <c r="I3110">
        <v>276.92090000000002</v>
      </c>
      <c r="J3110">
        <v>-263.01650000000001</v>
      </c>
      <c r="K3110">
        <v>1.1092120000000001</v>
      </c>
      <c r="L3110">
        <v>282.089</v>
      </c>
      <c r="M3110">
        <v>-0.99992639999999999</v>
      </c>
      <c r="N3110">
        <v>0</v>
      </c>
      <c r="O3110">
        <v>-1.0510469999999999E-2</v>
      </c>
      <c r="P3110">
        <v>-0.99929849999999998</v>
      </c>
      <c r="Q3110">
        <v>3.4863329999999998E-2</v>
      </c>
      <c r="R3110">
        <v>-1.3692030000000001E-2</v>
      </c>
      <c r="S3110">
        <v>-3.0004580000000001</v>
      </c>
      <c r="T3110">
        <v>1.7022490000000001E-2</v>
      </c>
      <c r="U3110">
        <v>-8.0596920000000002E-2</v>
      </c>
      <c r="V3110">
        <v>-3.1829010000000001E-3</v>
      </c>
      <c r="W3110">
        <v>4.0919150000000001E-2</v>
      </c>
      <c r="X3110">
        <v>0.99915739999999997</v>
      </c>
      <c r="Y3110">
        <v>-1.6343409999999999E-2</v>
      </c>
      <c r="Z3110" s="1">
        <v>-1.3264200000000001E-5</v>
      </c>
      <c r="AA3110">
        <v>0.99986640000000004</v>
      </c>
      <c r="AB3110">
        <v>36</v>
      </c>
      <c r="AC3110">
        <v>-192.2765</v>
      </c>
      <c r="AD3110">
        <v>1.09195199999999</v>
      </c>
      <c r="AE3110">
        <v>-5.1680999999999804</v>
      </c>
      <c r="AF3110">
        <v>-3.1467596114647098</v>
      </c>
      <c r="AG3110">
        <v>1.09195199999999</v>
      </c>
      <c r="AH3110">
        <v>192.31400107830399</v>
      </c>
      <c r="AI3110">
        <v>89.674723655165494</v>
      </c>
      <c r="AJ3110">
        <v>90.937425023271601</v>
      </c>
      <c r="AK3110">
        <v>192.34284355277899</v>
      </c>
      <c r="AL3110">
        <v>87.654850669769701</v>
      </c>
      <c r="AM3110">
        <v>90.182519968353802</v>
      </c>
      <c r="AN3110">
        <v>1.00000000883512</v>
      </c>
    </row>
    <row r="3111" spans="1:40" x14ac:dyDescent="0.25">
      <c r="A3111" t="str">
        <f>"20190312150722591"</f>
        <v>20190312150722591</v>
      </c>
      <c r="B3111" t="str">
        <f>"1552374442583095"</f>
        <v>1552374442583095</v>
      </c>
      <c r="C3111" t="s">
        <v>40</v>
      </c>
      <c r="D3111">
        <v>4.2074629999999997</v>
      </c>
      <c r="E3111">
        <v>0.48486899999999999</v>
      </c>
      <c r="F3111" t="s">
        <v>46</v>
      </c>
      <c r="G3111">
        <v>-455.29300000000001</v>
      </c>
      <c r="H3111">
        <v>2.1582669999999999</v>
      </c>
      <c r="I3111">
        <v>276.96129999999999</v>
      </c>
      <c r="J3111">
        <v>-263.20209999999997</v>
      </c>
      <c r="K3111">
        <v>1.109191</v>
      </c>
      <c r="L3111">
        <v>282.08710000000002</v>
      </c>
      <c r="M3111">
        <v>-0.9999266</v>
      </c>
      <c r="N3111">
        <v>0</v>
      </c>
      <c r="O3111">
        <v>-1.0457289999999999E-2</v>
      </c>
      <c r="P3111">
        <v>-0.99929800000000002</v>
      </c>
      <c r="Q3111">
        <v>3.4988560000000002E-2</v>
      </c>
      <c r="R3111">
        <v>-1.339167E-2</v>
      </c>
      <c r="S3111">
        <v>-3.0004270000000002</v>
      </c>
      <c r="T3111">
        <v>1.637125E-2</v>
      </c>
      <c r="U3111">
        <v>-8.0017089999999999E-2</v>
      </c>
      <c r="V3111">
        <v>-2.9346540000000001E-3</v>
      </c>
      <c r="W3111">
        <v>4.1118300000000003E-2</v>
      </c>
      <c r="X3111">
        <v>0.99914999999999998</v>
      </c>
      <c r="Y3111">
        <v>-1.6203780000000001E-2</v>
      </c>
      <c r="Z3111" s="1">
        <v>-1.2847679999999999E-5</v>
      </c>
      <c r="AA3111">
        <v>0.99986870000000005</v>
      </c>
      <c r="AB3111">
        <v>36</v>
      </c>
      <c r="AC3111">
        <v>-192.0909</v>
      </c>
      <c r="AD3111">
        <v>1.0490759999999999</v>
      </c>
      <c r="AE3111">
        <v>-5.1258000000000203</v>
      </c>
      <c r="AF3111">
        <v>-3.1166389720490701</v>
      </c>
      <c r="AG3111">
        <v>1.0490759999999999</v>
      </c>
      <c r="AH3111">
        <v>192.12827284776</v>
      </c>
      <c r="AI3111">
        <v>89.687192716021499</v>
      </c>
      <c r="AJ3111">
        <v>90.929350980306197</v>
      </c>
      <c r="AK3111">
        <v>192.15641344071599</v>
      </c>
      <c r="AL3111">
        <v>87.643430641259201</v>
      </c>
      <c r="AM3111">
        <v>90.168285847988599</v>
      </c>
      <c r="AN3111">
        <v>1.00000002464449</v>
      </c>
    </row>
    <row r="3112" spans="1:40" x14ac:dyDescent="0.25">
      <c r="A3112" t="str">
        <f>"20190312150722602"</f>
        <v>20190312150722602</v>
      </c>
      <c r="B3112" t="str">
        <f>"1552374442592855"</f>
        <v>1552374442592855</v>
      </c>
      <c r="C3112" t="s">
        <v>40</v>
      </c>
      <c r="D3112">
        <v>4.2202890000000002</v>
      </c>
      <c r="E3112">
        <v>0.48453420000000003</v>
      </c>
      <c r="F3112" t="s">
        <v>68</v>
      </c>
      <c r="G3112">
        <v>-303.61869999999999</v>
      </c>
      <c r="H3112" s="1">
        <v>3.7383779999999999E-6</v>
      </c>
      <c r="I3112">
        <v>279.86160000000001</v>
      </c>
      <c r="J3112">
        <v>-263.39280000000002</v>
      </c>
      <c r="K3112">
        <v>1.1091719999999901</v>
      </c>
      <c r="L3112">
        <v>282.08510000000001</v>
      </c>
      <c r="M3112">
        <v>-0.99992669999999995</v>
      </c>
      <c r="N3112">
        <v>0</v>
      </c>
      <c r="O3112">
        <v>-1.0396580000000001E-2</v>
      </c>
      <c r="P3112">
        <v>-0.99930920000000001</v>
      </c>
      <c r="Q3112">
        <v>3.4804090000000003E-2</v>
      </c>
      <c r="R3112">
        <v>-1.303841E-2</v>
      </c>
      <c r="S3112">
        <v>-3.002777</v>
      </c>
      <c r="T3112">
        <v>-8.2407949999999994E-2</v>
      </c>
      <c r="U3112">
        <v>-0.1653442</v>
      </c>
      <c r="V3112">
        <v>-2.6397550000000001E-3</v>
      </c>
      <c r="W3112">
        <v>4.1006330000000001E-2</v>
      </c>
      <c r="X3112">
        <v>0.99915540000000003</v>
      </c>
      <c r="Y3112">
        <v>-4.4583629999999999E-2</v>
      </c>
      <c r="Z3112">
        <v>-3.2616230000000001E-4</v>
      </c>
      <c r="AA3112">
        <v>0.99900560000000005</v>
      </c>
      <c r="AB3112">
        <v>36</v>
      </c>
      <c r="AC3112">
        <v>-40.225899999999903</v>
      </c>
      <c r="AD3112">
        <v>-1.10916826162199</v>
      </c>
      <c r="AE3112">
        <v>-2.2235</v>
      </c>
      <c r="AF3112">
        <v>-1.8037927439246999</v>
      </c>
      <c r="AG3112">
        <v>-1.10916826162199</v>
      </c>
      <c r="AH3112">
        <v>40.2163598680417</v>
      </c>
      <c r="AI3112">
        <v>91.5782327374597</v>
      </c>
      <c r="AJ3112">
        <v>92.568121322221202</v>
      </c>
      <c r="AK3112">
        <v>40.272068776404602</v>
      </c>
      <c r="AL3112">
        <v>87.649851407877193</v>
      </c>
      <c r="AM3112">
        <v>90.151374319294504</v>
      </c>
      <c r="AN3112">
        <v>1.00000000037784</v>
      </c>
    </row>
    <row r="3113" spans="1:40" x14ac:dyDescent="0.25">
      <c r="A3113" t="str">
        <f>"20190312150722617"</f>
        <v>20190312150722617</v>
      </c>
      <c r="B3113" t="str">
        <f>"1552374442612882"</f>
        <v>1552374442612882</v>
      </c>
      <c r="C3113" t="s">
        <v>40</v>
      </c>
      <c r="D3113">
        <v>4.2431169999999998</v>
      </c>
      <c r="E3113">
        <v>0.48411850000000001</v>
      </c>
      <c r="F3113" t="s">
        <v>68</v>
      </c>
      <c r="G3113">
        <v>-297.4248</v>
      </c>
      <c r="H3113" s="1">
        <v>3.9096889999999999E-6</v>
      </c>
      <c r="I3113">
        <v>280.19080000000002</v>
      </c>
      <c r="J3113">
        <v>-263.5994</v>
      </c>
      <c r="K3113">
        <v>1.1091470000000001</v>
      </c>
      <c r="L3113">
        <v>282.0831</v>
      </c>
      <c r="M3113">
        <v>-0.99992720000000002</v>
      </c>
      <c r="N3113">
        <v>0</v>
      </c>
      <c r="O3113">
        <v>-1.0310929999999999E-2</v>
      </c>
      <c r="P3113">
        <v>-0.99931519999999996</v>
      </c>
      <c r="Q3113">
        <v>3.477193E-2</v>
      </c>
      <c r="R3113">
        <v>-1.2666429999999999E-2</v>
      </c>
      <c r="S3113">
        <v>-3.0032960000000002</v>
      </c>
      <c r="T3113">
        <v>-9.7883109999999995E-2</v>
      </c>
      <c r="U3113">
        <v>-0.1671753</v>
      </c>
      <c r="V3113">
        <v>-2.3519840000000001E-3</v>
      </c>
      <c r="W3113">
        <v>4.1045400000000003E-2</v>
      </c>
      <c r="X3113">
        <v>0.99915449999999995</v>
      </c>
      <c r="Y3113">
        <v>-4.5261259999999998E-2</v>
      </c>
      <c r="Z3113">
        <v>-4.0112770000000001E-4</v>
      </c>
      <c r="AA3113">
        <v>0.9989751</v>
      </c>
      <c r="AB3113">
        <v>36</v>
      </c>
      <c r="AC3113">
        <v>-33.825400000000002</v>
      </c>
      <c r="AD3113">
        <v>-1.10914309031099</v>
      </c>
      <c r="AE3113">
        <v>-1.8922999999999699</v>
      </c>
      <c r="AF3113">
        <v>-1.54176868366991</v>
      </c>
      <c r="AG3113">
        <v>-1.10914309031099</v>
      </c>
      <c r="AH3113">
        <v>33.806877807464403</v>
      </c>
      <c r="AI3113">
        <v>91.8771481928827</v>
      </c>
      <c r="AJ3113">
        <v>92.611174963776904</v>
      </c>
      <c r="AK3113">
        <v>33.860186593661297</v>
      </c>
      <c r="AL3113">
        <v>87.6476109411593</v>
      </c>
      <c r="AM3113">
        <v>90.134872542509598</v>
      </c>
      <c r="AN3113">
        <v>0.99999998578007299</v>
      </c>
    </row>
    <row r="3114" spans="1:40" x14ac:dyDescent="0.25">
      <c r="A3114" t="str">
        <f>"20190312150722635"</f>
        <v>20190312150722635</v>
      </c>
      <c r="B3114" t="str">
        <f>"1552374442622830"</f>
        <v>1552374442622830</v>
      </c>
      <c r="C3114" t="s">
        <v>40</v>
      </c>
      <c r="D3114">
        <v>4.679932</v>
      </c>
      <c r="E3114">
        <v>0.48421219999999998</v>
      </c>
      <c r="F3114" t="s">
        <v>68</v>
      </c>
      <c r="G3114">
        <v>-294.36880000000002</v>
      </c>
      <c r="H3114" s="1">
        <v>3.3541959999999999E-6</v>
      </c>
      <c r="I3114">
        <v>280.34399999999999</v>
      </c>
      <c r="J3114">
        <v>-263.89109999999999</v>
      </c>
      <c r="K3114">
        <v>1.109108</v>
      </c>
      <c r="L3114">
        <v>282.08019999999999</v>
      </c>
      <c r="M3114">
        <v>-0.99992809999999999</v>
      </c>
      <c r="N3114">
        <v>0</v>
      </c>
      <c r="O3114">
        <v>-1.0169849999999999E-2</v>
      </c>
      <c r="P3114">
        <v>-0.99930779999999997</v>
      </c>
      <c r="Q3114">
        <v>3.511678E-2</v>
      </c>
      <c r="R3114">
        <v>-1.228898E-2</v>
      </c>
      <c r="S3114">
        <v>-3.0036619999999998</v>
      </c>
      <c r="T3114">
        <v>-0.1082731</v>
      </c>
      <c r="U3114">
        <v>-0.16976930000000001</v>
      </c>
      <c r="V3114">
        <v>-2.1123000000000001E-3</v>
      </c>
      <c r="W3114">
        <v>4.1482770000000002E-2</v>
      </c>
      <c r="X3114">
        <v>0.99913700000000005</v>
      </c>
      <c r="Y3114">
        <v>-4.6250590000000001E-2</v>
      </c>
      <c r="Z3114">
        <v>-4.6650590000000002E-4</v>
      </c>
      <c r="AA3114">
        <v>0.99892970000000003</v>
      </c>
      <c r="AB3114">
        <v>36</v>
      </c>
      <c r="AC3114">
        <v>-30.477699999999999</v>
      </c>
      <c r="AD3114">
        <v>-1.1091046458039999</v>
      </c>
      <c r="AE3114">
        <v>-1.73619999999999</v>
      </c>
      <c r="AF3114">
        <v>-1.42427028094978</v>
      </c>
      <c r="AG3114">
        <v>-1.1091046458039999</v>
      </c>
      <c r="AH3114">
        <v>30.4535823566139</v>
      </c>
      <c r="AI3114">
        <v>92.083487205346501</v>
      </c>
      <c r="AJ3114">
        <v>92.677690101077999</v>
      </c>
      <c r="AK3114">
        <v>30.507037504477701</v>
      </c>
      <c r="AL3114">
        <v>87.622530189242397</v>
      </c>
      <c r="AM3114">
        <v>90.121130230145297</v>
      </c>
      <c r="AN3114">
        <v>1.00000001339358</v>
      </c>
    </row>
    <row r="3115" spans="1:40" x14ac:dyDescent="0.25">
      <c r="A3115" t="str">
        <f>"20190312150722656"</f>
        <v>20190312150722656</v>
      </c>
      <c r="B3115" t="str">
        <f>"1552374442653550"</f>
        <v>1552374442653550</v>
      </c>
      <c r="C3115" t="s">
        <v>40</v>
      </c>
      <c r="D3115">
        <v>4.4097089999999897</v>
      </c>
      <c r="E3115">
        <v>0.48433880000000001</v>
      </c>
      <c r="F3115" t="s">
        <v>68</v>
      </c>
      <c r="G3115">
        <v>-295.74720000000002</v>
      </c>
      <c r="H3115" s="1">
        <v>3.6025389999999998E-6</v>
      </c>
      <c r="I3115">
        <v>280.30009999999999</v>
      </c>
      <c r="J3115">
        <v>-264.24349999999998</v>
      </c>
      <c r="K3115">
        <v>1.1090629999999999</v>
      </c>
      <c r="L3115">
        <v>282.07679999999999</v>
      </c>
      <c r="M3115">
        <v>-0.99992950000000003</v>
      </c>
      <c r="N3115">
        <v>0</v>
      </c>
      <c r="O3115">
        <v>-9.9632929999999998E-3</v>
      </c>
      <c r="P3115">
        <v>-0.99930890000000006</v>
      </c>
      <c r="Q3115">
        <v>3.5191739999999999E-2</v>
      </c>
      <c r="R3115">
        <v>-1.198054E-2</v>
      </c>
      <c r="S3115">
        <v>-3.0037229999999999</v>
      </c>
      <c r="T3115">
        <v>-0.1045778</v>
      </c>
      <c r="U3115">
        <v>-0.16784669999999999</v>
      </c>
      <c r="V3115">
        <v>-2.006519E-3</v>
      </c>
      <c r="W3115">
        <v>4.1658569999999999E-2</v>
      </c>
      <c r="X3115">
        <v>0.99912990000000002</v>
      </c>
      <c r="Y3115">
        <v>-4.5820100000000002E-2</v>
      </c>
      <c r="Z3115">
        <v>-4.5028880000000002E-4</v>
      </c>
      <c r="AA3115">
        <v>0.99894959999999999</v>
      </c>
      <c r="AB3115">
        <v>36</v>
      </c>
      <c r="AC3115">
        <v>-31.503699999999998</v>
      </c>
      <c r="AD3115">
        <v>-1.1090593974609999</v>
      </c>
      <c r="AE3115">
        <v>-1.7766999999999999</v>
      </c>
      <c r="AF3115">
        <v>-1.4609198479902501</v>
      </c>
      <c r="AG3115">
        <v>-1.1090593974609999</v>
      </c>
      <c r="AH3115">
        <v>31.480946864047699</v>
      </c>
      <c r="AI3115">
        <v>92.015502433145897</v>
      </c>
      <c r="AJ3115">
        <v>92.656989059578393</v>
      </c>
      <c r="AK3115">
        <v>31.5343354933371</v>
      </c>
      <c r="AL3115">
        <v>87.612448868168798</v>
      </c>
      <c r="AM3115">
        <v>90.115065033742496</v>
      </c>
      <c r="AN3115">
        <v>1.00000000982347</v>
      </c>
    </row>
    <row r="3116" spans="1:40" x14ac:dyDescent="0.25">
      <c r="A3116" t="str">
        <f>"20190312150722669"</f>
        <v>20190312150722669</v>
      </c>
      <c r="B3116" t="str">
        <f>"1552374442663310"</f>
        <v>1552374442663310</v>
      </c>
      <c r="C3116" t="s">
        <v>40</v>
      </c>
      <c r="D3116">
        <v>4.2532620000000003</v>
      </c>
      <c r="E3116">
        <v>0.484296</v>
      </c>
      <c r="F3116" t="s">
        <v>68</v>
      </c>
      <c r="G3116">
        <v>-297.03620000000001</v>
      </c>
      <c r="H3116" s="1">
        <v>3.8340869999999997E-6</v>
      </c>
      <c r="I3116">
        <v>280.267</v>
      </c>
      <c r="J3116">
        <v>-264.45409999999998</v>
      </c>
      <c r="K3116">
        <v>1.1090390000000001</v>
      </c>
      <c r="L3116">
        <v>282.07479999999998</v>
      </c>
      <c r="M3116">
        <v>-0.9999306</v>
      </c>
      <c r="N3116">
        <v>0</v>
      </c>
      <c r="O3116">
        <v>-9.8239499999999997E-3</v>
      </c>
      <c r="P3116">
        <v>-0.99931099999999995</v>
      </c>
      <c r="Q3116">
        <v>3.5294159999999998E-2</v>
      </c>
      <c r="R3116">
        <v>-1.1500389999999999E-2</v>
      </c>
      <c r="S3116">
        <v>-3.0036930000000002</v>
      </c>
      <c r="T3116">
        <v>-0.10158590000000001</v>
      </c>
      <c r="U3116">
        <v>-0.16577149999999999</v>
      </c>
      <c r="V3116">
        <v>-1.663007E-3</v>
      </c>
      <c r="W3116">
        <v>4.1815310000000001E-2</v>
      </c>
      <c r="X3116">
        <v>0.99912400000000001</v>
      </c>
      <c r="Y3116">
        <v>-4.5273269999999997E-2</v>
      </c>
      <c r="Z3116">
        <v>-4.3289579999999998E-4</v>
      </c>
      <c r="AA3116">
        <v>0.99897460000000005</v>
      </c>
      <c r="AB3116">
        <v>36</v>
      </c>
      <c r="AC3116">
        <v>-32.582099999999997</v>
      </c>
      <c r="AD3116">
        <v>-1.10903516591299</v>
      </c>
      <c r="AE3116">
        <v>-1.8077999999999801</v>
      </c>
      <c r="AF3116">
        <v>-1.4859047883143499</v>
      </c>
      <c r="AG3116">
        <v>-1.10903516591299</v>
      </c>
      <c r="AH3116">
        <v>32.560678826126598</v>
      </c>
      <c r="AI3116">
        <v>91.948746005209998</v>
      </c>
      <c r="AJ3116">
        <v>92.612876940567205</v>
      </c>
      <c r="AK3116">
        <v>32.613427873459301</v>
      </c>
      <c r="AL3116">
        <v>87.603460535738805</v>
      </c>
      <c r="AM3116">
        <v>90.095366735668904</v>
      </c>
      <c r="AN3116">
        <v>1.0000000265593301</v>
      </c>
    </row>
    <row r="3117" spans="1:40" x14ac:dyDescent="0.25">
      <c r="A3117" t="str">
        <f>"20190312150722680"</f>
        <v>20190312150722680</v>
      </c>
      <c r="B3117" t="str">
        <f>"1552374442673070"</f>
        <v>1552374442673070</v>
      </c>
      <c r="C3117" t="s">
        <v>40</v>
      </c>
      <c r="D3117">
        <v>4.2479100000000001</v>
      </c>
      <c r="E3117">
        <v>0.48424640000000002</v>
      </c>
      <c r="F3117" t="s">
        <v>68</v>
      </c>
      <c r="G3117">
        <v>-296.78289999999998</v>
      </c>
      <c r="H3117" s="1">
        <v>3.7859719999999999E-6</v>
      </c>
      <c r="I3117">
        <v>280.30349999999999</v>
      </c>
      <c r="J3117">
        <v>-264.65120000000002</v>
      </c>
      <c r="K3117">
        <v>1.1090180000000001</v>
      </c>
      <c r="L3117">
        <v>282.07299999999998</v>
      </c>
      <c r="M3117">
        <v>-0.99993160000000003</v>
      </c>
      <c r="N3117">
        <v>0</v>
      </c>
      <c r="O3117">
        <v>-9.6821019999999997E-3</v>
      </c>
      <c r="P3117">
        <v>-0.99933099999999997</v>
      </c>
      <c r="Q3117">
        <v>3.4941279999999998E-2</v>
      </c>
      <c r="R3117">
        <v>-1.081523E-2</v>
      </c>
      <c r="S3117">
        <v>-3.003784</v>
      </c>
      <c r="T3117">
        <v>-0.10304430000000001</v>
      </c>
      <c r="U3117">
        <v>-0.16458130000000001</v>
      </c>
      <c r="V3117">
        <v>-1.117521E-3</v>
      </c>
      <c r="W3117">
        <v>4.1509919999999999E-2</v>
      </c>
      <c r="X3117">
        <v>0.99913750000000001</v>
      </c>
      <c r="Y3117">
        <v>-4.5018160000000002E-2</v>
      </c>
      <c r="Z3117">
        <v>-4.395871E-4</v>
      </c>
      <c r="AA3117">
        <v>0.99898609999999999</v>
      </c>
      <c r="AB3117">
        <v>36</v>
      </c>
      <c r="AC3117">
        <v>-32.131699999999903</v>
      </c>
      <c r="AD3117">
        <v>-1.1090142140279999</v>
      </c>
      <c r="AE3117">
        <v>-1.7694999999999901</v>
      </c>
      <c r="AF3117">
        <v>-1.4565780435837501</v>
      </c>
      <c r="AG3117">
        <v>-1.1090142140279999</v>
      </c>
      <c r="AH3117">
        <v>32.1091919192869</v>
      </c>
      <c r="AI3117">
        <v>91.976112774542102</v>
      </c>
      <c r="AJ3117">
        <v>92.597343445445205</v>
      </c>
      <c r="AK3117">
        <v>32.161339179728898</v>
      </c>
      <c r="AL3117">
        <v>87.6209733147344</v>
      </c>
      <c r="AM3117">
        <v>90.064084482983404</v>
      </c>
      <c r="AN3117">
        <v>1.0000000331089201</v>
      </c>
    </row>
    <row r="3118" spans="1:40" x14ac:dyDescent="0.25">
      <c r="A3118" t="str">
        <f>"20190312150722692"</f>
        <v>20190312150722692</v>
      </c>
      <c r="B3118" t="str">
        <f>"1552374442682831"</f>
        <v>1552374442682831</v>
      </c>
      <c r="C3118" t="s">
        <v>40</v>
      </c>
      <c r="D3118">
        <v>4.2542920000000004</v>
      </c>
      <c r="E3118">
        <v>0.48421649999999999</v>
      </c>
      <c r="F3118" t="s">
        <v>68</v>
      </c>
      <c r="G3118">
        <v>-296.33980000000003</v>
      </c>
      <c r="H3118" s="1">
        <v>3.7033370000000001E-6</v>
      </c>
      <c r="I3118">
        <v>280.34969999999998</v>
      </c>
      <c r="J3118">
        <v>-264.83109999999999</v>
      </c>
      <c r="K3118">
        <v>1.1089960000000001</v>
      </c>
      <c r="L3118">
        <v>282.07139999999998</v>
      </c>
      <c r="M3118">
        <v>-0.99993270000000001</v>
      </c>
      <c r="N3118">
        <v>0</v>
      </c>
      <c r="O3118">
        <v>-9.5431140000000001E-3</v>
      </c>
      <c r="P3118">
        <v>-0.99935529999999995</v>
      </c>
      <c r="Q3118">
        <v>3.444448E-2</v>
      </c>
      <c r="R3118">
        <v>-1.0145680000000001E-2</v>
      </c>
      <c r="S3118">
        <v>-3.0039060000000002</v>
      </c>
      <c r="T3118">
        <v>-0.1051285</v>
      </c>
      <c r="U3118">
        <v>-0.16336059999999999</v>
      </c>
      <c r="V3118">
        <v>-5.858406E-4</v>
      </c>
      <c r="W3118">
        <v>4.1053510000000001E-2</v>
      </c>
      <c r="X3118">
        <v>0.99915679999999996</v>
      </c>
      <c r="Y3118">
        <v>-4.4749280000000002E-2</v>
      </c>
      <c r="Z3118">
        <v>-4.486181E-4</v>
      </c>
      <c r="AA3118">
        <v>0.99899819999999995</v>
      </c>
      <c r="AB3118">
        <v>36</v>
      </c>
      <c r="AC3118">
        <v>-31.508700000000001</v>
      </c>
      <c r="AD3118">
        <v>-1.1089922966629999</v>
      </c>
      <c r="AE3118">
        <v>-1.72169999999999</v>
      </c>
      <c r="AF3118">
        <v>-1.41917112126585</v>
      </c>
      <c r="AG3118">
        <v>-1.1089922966629999</v>
      </c>
      <c r="AH3118">
        <v>31.484809060782698</v>
      </c>
      <c r="AI3118">
        <v>92.015255963627595</v>
      </c>
      <c r="AJ3118">
        <v>92.580848243172596</v>
      </c>
      <c r="AK3118">
        <v>31.536282472406899</v>
      </c>
      <c r="AL3118">
        <v>87.647145966690999</v>
      </c>
      <c r="AM3118">
        <v>90.033594516897494</v>
      </c>
      <c r="AN3118">
        <v>1.0000000224393799</v>
      </c>
    </row>
    <row r="3119" spans="1:40" x14ac:dyDescent="0.25">
      <c r="A3119" t="str">
        <f>"20190312150722704"</f>
        <v>20190312150722704</v>
      </c>
      <c r="B3119" t="str">
        <f>"1552374442693566"</f>
        <v>1552374442693566</v>
      </c>
      <c r="C3119" t="s">
        <v>40</v>
      </c>
      <c r="D3119">
        <v>4.2530190000000001</v>
      </c>
      <c r="E3119">
        <v>0.48405969999999998</v>
      </c>
      <c r="F3119" t="s">
        <v>68</v>
      </c>
      <c r="G3119">
        <v>-295.76220000000001</v>
      </c>
      <c r="H3119" s="1">
        <v>3.5960669999999999E-6</v>
      </c>
      <c r="I3119">
        <v>280.40480000000002</v>
      </c>
      <c r="J3119">
        <v>-265.02839999999998</v>
      </c>
      <c r="K3119">
        <v>1.108976</v>
      </c>
      <c r="L3119">
        <v>282.06959999999998</v>
      </c>
      <c r="M3119">
        <v>-0.99993379999999998</v>
      </c>
      <c r="N3119">
        <v>0</v>
      </c>
      <c r="O3119">
        <v>-9.3858889999999997E-3</v>
      </c>
      <c r="P3119">
        <v>-0.99936650000000005</v>
      </c>
      <c r="Q3119">
        <v>3.4266770000000002E-2</v>
      </c>
      <c r="R3119">
        <v>-9.6176820000000007E-3</v>
      </c>
      <c r="S3119">
        <v>-3.0039980000000002</v>
      </c>
      <c r="T3119">
        <v>-0.1077042</v>
      </c>
      <c r="U3119">
        <v>-0.16186519999999999</v>
      </c>
      <c r="V3119">
        <v>-2.1326940000000001E-4</v>
      </c>
      <c r="W3119">
        <v>4.0917710000000003E-2</v>
      </c>
      <c r="X3119">
        <v>0.99916249999999995</v>
      </c>
      <c r="Y3119">
        <v>-4.4407910000000002E-2</v>
      </c>
      <c r="Z3119">
        <v>-4.5911120000000002E-4</v>
      </c>
      <c r="AA3119">
        <v>0.99901340000000005</v>
      </c>
      <c r="AB3119">
        <v>36</v>
      </c>
      <c r="AC3119">
        <v>-30.733799999999999</v>
      </c>
      <c r="AD3119">
        <v>-1.108972403933</v>
      </c>
      <c r="AE3119">
        <v>-1.6647999999999501</v>
      </c>
      <c r="AF3119">
        <v>-1.37447192127372</v>
      </c>
      <c r="AG3119">
        <v>-1.108972403933</v>
      </c>
      <c r="AH3119">
        <v>30.708207211676999</v>
      </c>
      <c r="AI3119">
        <v>92.066169768404393</v>
      </c>
      <c r="AJ3119">
        <v>92.5627974015257</v>
      </c>
      <c r="AK3119">
        <v>30.758949640882498</v>
      </c>
      <c r="AL3119">
        <v>87.654933231018703</v>
      </c>
      <c r="AM3119">
        <v>90.012229678689593</v>
      </c>
      <c r="AN3119">
        <v>1.00000000294086</v>
      </c>
    </row>
    <row r="3120" spans="1:40" x14ac:dyDescent="0.25">
      <c r="A3120" t="str">
        <f>"20190312150722715"</f>
        <v>20190312150722715</v>
      </c>
      <c r="B3120" t="str">
        <f>"1552374442703327"</f>
        <v>1552374442703327</v>
      </c>
      <c r="C3120" t="s">
        <v>40</v>
      </c>
      <c r="D3120">
        <v>4.2378609999999997</v>
      </c>
      <c r="E3120">
        <v>0.48394549999999997</v>
      </c>
      <c r="F3120" t="s">
        <v>68</v>
      </c>
      <c r="G3120">
        <v>-295.3879</v>
      </c>
      <c r="H3120" s="1">
        <v>3.5266580000000002E-6</v>
      </c>
      <c r="I3120">
        <v>280.4391</v>
      </c>
      <c r="J3120">
        <v>-265.20859999999999</v>
      </c>
      <c r="K3120">
        <v>1.1089610000000001</v>
      </c>
      <c r="L3120">
        <v>282.06810000000002</v>
      </c>
      <c r="M3120">
        <v>-0.99993500000000002</v>
      </c>
      <c r="N3120">
        <v>0</v>
      </c>
      <c r="O3120">
        <v>-9.2324829999999997E-3</v>
      </c>
      <c r="P3120">
        <v>-0.99937929999999997</v>
      </c>
      <c r="Q3120">
        <v>3.4049999999999997E-2</v>
      </c>
      <c r="R3120">
        <v>-9.0400970000000004E-3</v>
      </c>
      <c r="S3120">
        <v>-3.0041199999999999</v>
      </c>
      <c r="T3120">
        <v>-0.10973479999999999</v>
      </c>
      <c r="U3120">
        <v>-0.1613464</v>
      </c>
      <c r="V3120">
        <v>2.120686E-4</v>
      </c>
      <c r="W3120">
        <v>4.0735720000000003E-2</v>
      </c>
      <c r="X3120">
        <v>0.99916990000000006</v>
      </c>
      <c r="Y3120">
        <v>-4.438603E-2</v>
      </c>
      <c r="Z3120">
        <v>-4.7294230000000001E-4</v>
      </c>
      <c r="AA3120">
        <v>0.99901430000000002</v>
      </c>
      <c r="AB3120">
        <v>36</v>
      </c>
      <c r="AC3120">
        <v>-30.179300000000001</v>
      </c>
      <c r="AD3120">
        <v>-1.108957473342</v>
      </c>
      <c r="AE3120">
        <v>-1.62900000000001</v>
      </c>
      <c r="AF3120">
        <v>-1.34847897593251</v>
      </c>
      <c r="AG3120">
        <v>-1.108957473342</v>
      </c>
      <c r="AH3120">
        <v>30.152458916978301</v>
      </c>
      <c r="AI3120">
        <v>92.104193166271003</v>
      </c>
      <c r="AJ3120">
        <v>92.560676938114597</v>
      </c>
      <c r="AK3120">
        <v>30.202962784572598</v>
      </c>
      <c r="AL3120">
        <v>87.665369105767198</v>
      </c>
      <c r="AM3120">
        <v>89.987839269812994</v>
      </c>
      <c r="AN3120">
        <v>0.99999996646150902</v>
      </c>
    </row>
    <row r="3121" spans="1:40" x14ac:dyDescent="0.25">
      <c r="A3121" t="str">
        <f>"20190312150722726"</f>
        <v>20190312150722726</v>
      </c>
      <c r="B3121" t="str">
        <f>"1552374442722847"</f>
        <v>1552374442722847</v>
      </c>
      <c r="C3121" t="s">
        <v>40</v>
      </c>
      <c r="D3121">
        <v>4.2695959999999999</v>
      </c>
      <c r="E3121">
        <v>0.48387439999999998</v>
      </c>
      <c r="F3121" t="s">
        <v>68</v>
      </c>
      <c r="G3121">
        <v>-295.16120000000001</v>
      </c>
      <c r="H3121" s="1">
        <v>3.484053E-6</v>
      </c>
      <c r="I3121">
        <v>280.46640000000002</v>
      </c>
      <c r="J3121">
        <v>-265.39170000000001</v>
      </c>
      <c r="K3121">
        <v>1.108946</v>
      </c>
      <c r="L3121">
        <v>282.06650000000002</v>
      </c>
      <c r="M3121">
        <v>-0.9999363</v>
      </c>
      <c r="N3121">
        <v>0</v>
      </c>
      <c r="O3121">
        <v>-9.0751430000000008E-3</v>
      </c>
      <c r="P3121">
        <v>-0.99938830000000001</v>
      </c>
      <c r="Q3121">
        <v>3.3880010000000002E-2</v>
      </c>
      <c r="R3121">
        <v>-8.6966639999999998E-3</v>
      </c>
      <c r="S3121">
        <v>-3.0042110000000002</v>
      </c>
      <c r="T3121">
        <v>-0.11122750000000001</v>
      </c>
      <c r="U3121">
        <v>-0.1606445</v>
      </c>
      <c r="V3121">
        <v>3.9959300000000001E-4</v>
      </c>
      <c r="W3121">
        <v>4.0600410000000003E-2</v>
      </c>
      <c r="X3121">
        <v>0.99917540000000005</v>
      </c>
      <c r="Y3121">
        <v>-4.4308159999999999E-2</v>
      </c>
      <c r="Z3121">
        <v>-4.83738E-4</v>
      </c>
      <c r="AA3121">
        <v>0.99901779999999996</v>
      </c>
      <c r="AB3121">
        <v>36</v>
      </c>
      <c r="AC3121">
        <v>-29.769499999999901</v>
      </c>
      <c r="AD3121">
        <v>-1.1089425159470001</v>
      </c>
      <c r="AE3121">
        <v>-1.6000999999999901</v>
      </c>
      <c r="AF3121">
        <v>-1.32802804299246</v>
      </c>
      <c r="AG3121">
        <v>-1.1089425159470001</v>
      </c>
      <c r="AH3121">
        <v>29.741643867906699</v>
      </c>
      <c r="AI3121">
        <v>92.133209168767394</v>
      </c>
      <c r="AJ3121">
        <v>92.556680883561199</v>
      </c>
      <c r="AK3121">
        <v>29.7919249453949</v>
      </c>
      <c r="AL3121">
        <v>87.673128333396704</v>
      </c>
      <c r="AM3121">
        <v>89.977086114007193</v>
      </c>
      <c r="AN3121">
        <v>1.0000000164659399</v>
      </c>
    </row>
    <row r="3122" spans="1:40" x14ac:dyDescent="0.25">
      <c r="A3122" t="str">
        <f>"20190312150722738"</f>
        <v>20190312150722738</v>
      </c>
      <c r="B3122" t="str">
        <f>"1552374442733582"</f>
        <v>1552374442733582</v>
      </c>
      <c r="C3122" t="s">
        <v>40</v>
      </c>
      <c r="D3122">
        <v>4.602042</v>
      </c>
      <c r="E3122">
        <v>0.4838479</v>
      </c>
      <c r="F3122" t="s">
        <v>68</v>
      </c>
      <c r="G3122">
        <v>-294.65460000000002</v>
      </c>
      <c r="H3122" s="1">
        <v>3.3906199999999902E-6</v>
      </c>
      <c r="I3122">
        <v>280.50740000000002</v>
      </c>
      <c r="J3122">
        <v>-265.58819999999997</v>
      </c>
      <c r="K3122">
        <v>1.10893</v>
      </c>
      <c r="L3122">
        <v>282.06479999999999</v>
      </c>
      <c r="M3122">
        <v>-0.99993759999999998</v>
      </c>
      <c r="N3122">
        <v>0</v>
      </c>
      <c r="O3122">
        <v>-8.8999309999999998E-3</v>
      </c>
      <c r="P3122">
        <v>-0.99940439999999997</v>
      </c>
      <c r="Q3122">
        <v>3.3583700000000001E-2</v>
      </c>
      <c r="R3122">
        <v>-7.9709599999999992E-3</v>
      </c>
      <c r="S3122">
        <v>-3.0043030000000002</v>
      </c>
      <c r="T3122">
        <v>-0.1138504</v>
      </c>
      <c r="U3122">
        <v>-0.1600647</v>
      </c>
      <c r="V3122">
        <v>9.5115599999999998E-4</v>
      </c>
      <c r="W3122">
        <v>4.0337890000000001E-2</v>
      </c>
      <c r="X3122">
        <v>0.99918560000000001</v>
      </c>
      <c r="Y3122">
        <v>-4.4288069999999999E-2</v>
      </c>
      <c r="Z3122">
        <v>-5.0137580000000003E-4</v>
      </c>
      <c r="AA3122">
        <v>0.99901870000000004</v>
      </c>
      <c r="AB3122">
        <v>36</v>
      </c>
      <c r="AC3122">
        <v>-29.066400000000002</v>
      </c>
      <c r="AD3122">
        <v>-1.1089266093800001</v>
      </c>
      <c r="AE3122">
        <v>-1.5573999999999699</v>
      </c>
      <c r="AF3122">
        <v>-1.29676138466541</v>
      </c>
      <c r="AG3122">
        <v>-1.1089266093800001</v>
      </c>
      <c r="AH3122">
        <v>29.036966459434201</v>
      </c>
      <c r="AI3122">
        <v>92.184896942254198</v>
      </c>
      <c r="AJ3122">
        <v>92.557072170301595</v>
      </c>
      <c r="AK3122">
        <v>29.087054328000601</v>
      </c>
      <c r="AL3122">
        <v>87.688181814988397</v>
      </c>
      <c r="AM3122">
        <v>89.945458373301904</v>
      </c>
      <c r="AN3122">
        <v>0.99999995665737296</v>
      </c>
    </row>
    <row r="3123" spans="1:40" x14ac:dyDescent="0.25">
      <c r="A3123" t="str">
        <f>"20190312150722756"</f>
        <v>20190312150722756</v>
      </c>
      <c r="B3123" t="str">
        <f>"1552374442753102"</f>
        <v>1552374442753102</v>
      </c>
      <c r="C3123" t="s">
        <v>40</v>
      </c>
      <c r="D3123">
        <v>4.2878530000000001</v>
      </c>
      <c r="E3123">
        <v>0.48368739999999999</v>
      </c>
      <c r="F3123" t="s">
        <v>68</v>
      </c>
      <c r="G3123">
        <v>-294.60109999999997</v>
      </c>
      <c r="H3123" s="1">
        <v>3.3786020000000002E-6</v>
      </c>
      <c r="I3123">
        <v>280.53620000000001</v>
      </c>
      <c r="J3123">
        <v>-265.86759999999998</v>
      </c>
      <c r="K3123">
        <v>1.1089169999999999</v>
      </c>
      <c r="L3123">
        <v>282.06259999999997</v>
      </c>
      <c r="M3123">
        <v>-0.99993960000000004</v>
      </c>
      <c r="N3123">
        <v>0</v>
      </c>
      <c r="O3123">
        <v>-8.6460559999999992E-3</v>
      </c>
      <c r="P3123">
        <v>-0.99940929999999994</v>
      </c>
      <c r="Q3123">
        <v>3.3552699999999998E-2</v>
      </c>
      <c r="R3123">
        <v>-7.4445450000000003E-3</v>
      </c>
      <c r="S3123">
        <v>-3.0043639999999998</v>
      </c>
      <c r="T3123">
        <v>-0.11483260000000001</v>
      </c>
      <c r="U3123">
        <v>-0.15829470000000001</v>
      </c>
      <c r="V3123">
        <v>1.2250780000000001E-3</v>
      </c>
      <c r="W3123">
        <v>4.0353130000000001E-2</v>
      </c>
      <c r="X3123">
        <v>0.99918470000000004</v>
      </c>
      <c r="Y3123">
        <v>-4.3953329999999999E-2</v>
      </c>
      <c r="Z3123">
        <v>-5.0899720000000003E-4</v>
      </c>
      <c r="AA3123">
        <v>0.99903350000000002</v>
      </c>
      <c r="AB3123">
        <v>36</v>
      </c>
      <c r="AC3123">
        <v>-28.7334999999999</v>
      </c>
      <c r="AD3123">
        <v>-1.108913621398</v>
      </c>
      <c r="AE3123">
        <v>-1.52639999999996</v>
      </c>
      <c r="AF3123">
        <v>-1.2760106016861299</v>
      </c>
      <c r="AG3123">
        <v>-1.108913621398</v>
      </c>
      <c r="AH3123">
        <v>28.7029929730273</v>
      </c>
      <c r="AI3123">
        <v>92.210288329022902</v>
      </c>
      <c r="AJ3123">
        <v>92.545445926025707</v>
      </c>
      <c r="AK3123">
        <v>28.752733749767</v>
      </c>
      <c r="AL3123">
        <v>87.687307947335995</v>
      </c>
      <c r="AM3123">
        <v>89.929750962157399</v>
      </c>
      <c r="AN3123">
        <v>0.99999997031549603</v>
      </c>
    </row>
    <row r="3124" spans="1:40" x14ac:dyDescent="0.25">
      <c r="A3124" t="str">
        <f>"20190312150722767"</f>
        <v>20190312150722767</v>
      </c>
      <c r="B3124" t="str">
        <f>"1552374442762862"</f>
        <v>1552374442762862</v>
      </c>
      <c r="C3124" t="s">
        <v>40</v>
      </c>
      <c r="D3124">
        <v>4.3081300000000002</v>
      </c>
      <c r="E3124">
        <v>0.48345349999999998</v>
      </c>
      <c r="F3124" t="s">
        <v>68</v>
      </c>
      <c r="G3124">
        <v>-294.32940000000002</v>
      </c>
      <c r="H3124" s="1">
        <v>3.3277069999999999E-6</v>
      </c>
      <c r="I3124">
        <v>280.56709999999998</v>
      </c>
      <c r="J3124">
        <v>-266.05840000000001</v>
      </c>
      <c r="K3124">
        <v>1.108908</v>
      </c>
      <c r="L3124">
        <v>282.06110000000001</v>
      </c>
      <c r="M3124">
        <v>-0.99994090000000002</v>
      </c>
      <c r="N3124">
        <v>0</v>
      </c>
      <c r="O3124">
        <v>-8.4703720000000003E-3</v>
      </c>
      <c r="P3124">
        <v>-0.99942359999999997</v>
      </c>
      <c r="Q3124">
        <v>3.3225070000000002E-2</v>
      </c>
      <c r="R3124">
        <v>-6.9953740000000004E-3</v>
      </c>
      <c r="S3124">
        <v>-3.004486</v>
      </c>
      <c r="T3124">
        <v>-0.1170591</v>
      </c>
      <c r="U3124">
        <v>-0.15786739999999999</v>
      </c>
      <c r="V3124">
        <v>1.499362E-3</v>
      </c>
      <c r="W3124">
        <v>4.0054399999999997E-2</v>
      </c>
      <c r="X3124">
        <v>0.99919639999999998</v>
      </c>
      <c r="Y3124">
        <v>-4.3983880000000003E-2</v>
      </c>
      <c r="Z3124">
        <v>-5.2627109999999996E-4</v>
      </c>
      <c r="AA3124">
        <v>0.99903209999999998</v>
      </c>
      <c r="AB3124">
        <v>37</v>
      </c>
      <c r="AC3124">
        <v>-28.271000000000001</v>
      </c>
      <c r="AD3124">
        <v>-1.108904672293</v>
      </c>
      <c r="AE3124">
        <v>-1.49400000000002</v>
      </c>
      <c r="AF3124">
        <v>-1.2525532283690901</v>
      </c>
      <c r="AG3124">
        <v>-1.108904672293</v>
      </c>
      <c r="AH3124">
        <v>28.239314732403098</v>
      </c>
      <c r="AI3124">
        <v>92.246535399085204</v>
      </c>
      <c r="AJ3124">
        <v>92.539686480936695</v>
      </c>
      <c r="AK3124">
        <v>28.2888220984517</v>
      </c>
      <c r="AL3124">
        <v>87.704437889792402</v>
      </c>
      <c r="AM3124">
        <v>89.9140238594902</v>
      </c>
      <c r="AN3124">
        <v>1.0000000244093601</v>
      </c>
    </row>
    <row r="3125" spans="1:40" x14ac:dyDescent="0.25">
      <c r="A3125" t="str">
        <f>"20190312150722790"</f>
        <v>20190312150722790</v>
      </c>
      <c r="B3125" t="str">
        <f>"1552374442783361"</f>
        <v>1552374442783361</v>
      </c>
      <c r="C3125" t="s">
        <v>40</v>
      </c>
      <c r="D3125">
        <v>4.668679</v>
      </c>
      <c r="E3125">
        <v>0.48332130000000001</v>
      </c>
      <c r="F3125" t="s">
        <v>68</v>
      </c>
      <c r="G3125">
        <v>-294.01979999999998</v>
      </c>
      <c r="H3125" s="1">
        <v>3.2712920000000001E-6</v>
      </c>
      <c r="I3125">
        <v>280.58429999999998</v>
      </c>
      <c r="J3125">
        <v>-266.4314</v>
      </c>
      <c r="K3125">
        <v>1.1088929999999999</v>
      </c>
      <c r="L3125">
        <v>282.0582</v>
      </c>
      <c r="M3125">
        <v>-0.99994340000000004</v>
      </c>
      <c r="N3125">
        <v>0</v>
      </c>
      <c r="O3125">
        <v>-8.1224680000000007E-3</v>
      </c>
      <c r="P3125">
        <v>-0.99942089999999995</v>
      </c>
      <c r="Q3125">
        <v>3.3315129999999998E-2</v>
      </c>
      <c r="R3125">
        <v>-6.9441030000000001E-3</v>
      </c>
      <c r="S3125">
        <v>-3.0046080000000002</v>
      </c>
      <c r="T3125">
        <v>-0.1191581</v>
      </c>
      <c r="U3125">
        <v>-0.15869140000000001</v>
      </c>
      <c r="V3125">
        <v>1.2041409999999999E-3</v>
      </c>
      <c r="W3125">
        <v>4.0196860000000001E-2</v>
      </c>
      <c r="X3125">
        <v>0.99919100000000005</v>
      </c>
      <c r="Y3125">
        <v>-4.4600819999999999E-2</v>
      </c>
      <c r="Z3125">
        <v>-5.6167550000000004E-4</v>
      </c>
      <c r="AA3125">
        <v>0.99900469999999997</v>
      </c>
      <c r="AB3125">
        <v>37</v>
      </c>
      <c r="AC3125">
        <v>-27.588399999999901</v>
      </c>
      <c r="AD3125">
        <v>-1.108889728708</v>
      </c>
      <c r="AE3125">
        <v>-1.47390000000001</v>
      </c>
      <c r="AF3125">
        <v>-1.2477501089154801</v>
      </c>
      <c r="AG3125">
        <v>-1.108889728708</v>
      </c>
      <c r="AH3125">
        <v>27.5550716300428</v>
      </c>
      <c r="AI3125">
        <v>92.302135345916</v>
      </c>
      <c r="AJ3125">
        <v>92.592699195292198</v>
      </c>
      <c r="AK3125">
        <v>27.605588008617499</v>
      </c>
      <c r="AL3125">
        <v>87.6962687735804</v>
      </c>
      <c r="AM3125">
        <v>89.930951976309302</v>
      </c>
      <c r="AN3125">
        <v>0.99999994599520203</v>
      </c>
    </row>
    <row r="3126" spans="1:40" x14ac:dyDescent="0.25">
      <c r="A3126" t="str">
        <f>"20190312150722800"</f>
        <v>20190312150722800</v>
      </c>
      <c r="B3126" t="str">
        <f>"1552374442793118"</f>
        <v>1552374442793118</v>
      </c>
      <c r="C3126" t="s">
        <v>40</v>
      </c>
      <c r="D3126">
        <v>4.3075229999999998</v>
      </c>
      <c r="E3126">
        <v>0.48327120000000001</v>
      </c>
      <c r="F3126" t="s">
        <v>68</v>
      </c>
      <c r="G3126">
        <v>-294.24110000000002</v>
      </c>
      <c r="H3126" s="1">
        <v>3.3107549999999999E-6</v>
      </c>
      <c r="I3126">
        <v>280.58179999999999</v>
      </c>
      <c r="J3126">
        <v>-266.62299999999999</v>
      </c>
      <c r="K3126">
        <v>1.1088880000000001</v>
      </c>
      <c r="L3126">
        <v>282.05680000000001</v>
      </c>
      <c r="M3126">
        <v>-0.99994459999999996</v>
      </c>
      <c r="N3126">
        <v>0</v>
      </c>
      <c r="O3126">
        <v>-7.9424979999999992E-3</v>
      </c>
      <c r="P3126">
        <v>-0.99943170000000003</v>
      </c>
      <c r="Q3126">
        <v>3.2992819999999999E-2</v>
      </c>
      <c r="R3126">
        <v>-6.9139340000000001E-3</v>
      </c>
      <c r="S3126">
        <v>-3.0046080000000002</v>
      </c>
      <c r="T3126">
        <v>-0.1198065</v>
      </c>
      <c r="U3126">
        <v>-0.1595154</v>
      </c>
      <c r="V3126">
        <v>1.0549540000000001E-3</v>
      </c>
      <c r="W3126">
        <v>3.9900030000000003E-2</v>
      </c>
      <c r="X3126">
        <v>0.99920310000000001</v>
      </c>
      <c r="Y3126">
        <v>-4.5053000000000003E-2</v>
      </c>
      <c r="Z3126">
        <v>-5.8089800000000005E-4</v>
      </c>
      <c r="AA3126">
        <v>0.99898450000000005</v>
      </c>
      <c r="AB3126">
        <v>37</v>
      </c>
      <c r="AC3126">
        <v>-27.618099999999998</v>
      </c>
      <c r="AD3126">
        <v>-1.1088846892449999</v>
      </c>
      <c r="AE3126">
        <v>-1.4750000000000201</v>
      </c>
      <c r="AF3126">
        <v>-1.25357642457841</v>
      </c>
      <c r="AG3126">
        <v>-1.1088846892449999</v>
      </c>
      <c r="AH3126">
        <v>27.584602324402599</v>
      </c>
      <c r="AI3126">
        <v>92.299646078651904</v>
      </c>
      <c r="AJ3126">
        <v>92.602004335202494</v>
      </c>
      <c r="AK3126">
        <v>27.635328196020001</v>
      </c>
      <c r="AL3126">
        <v>87.713289614111702</v>
      </c>
      <c r="AM3126">
        <v>89.939507404129102</v>
      </c>
      <c r="AN3126">
        <v>0.99999998018577596</v>
      </c>
    </row>
    <row r="3127" spans="1:40" x14ac:dyDescent="0.25">
      <c r="A3127" t="str">
        <f>"20190312150722812"</f>
        <v>20190312150722812</v>
      </c>
      <c r="B3127" t="str">
        <f>"1552374442802879"</f>
        <v>1552374442802879</v>
      </c>
      <c r="C3127" t="s">
        <v>40</v>
      </c>
      <c r="D3127">
        <v>4.3072439999999999</v>
      </c>
      <c r="E3127">
        <v>0.48319869999999998</v>
      </c>
      <c r="F3127" t="s">
        <v>68</v>
      </c>
      <c r="G3127">
        <v>-294.3852</v>
      </c>
      <c r="H3127" s="1">
        <v>3.3364459999999999E-6</v>
      </c>
      <c r="I3127">
        <v>280.58030000000002</v>
      </c>
      <c r="J3127">
        <v>-266.80250000000001</v>
      </c>
      <c r="K3127">
        <v>1.108884</v>
      </c>
      <c r="L3127">
        <v>282.05549999999999</v>
      </c>
      <c r="M3127">
        <v>-0.9999458</v>
      </c>
      <c r="N3127">
        <v>0</v>
      </c>
      <c r="O3127">
        <v>-7.7739690000000004E-3</v>
      </c>
      <c r="P3127">
        <v>-0.99943910000000002</v>
      </c>
      <c r="Q3127">
        <v>3.2719459999999999E-2</v>
      </c>
      <c r="R3127">
        <v>-7.1560819999999898E-3</v>
      </c>
      <c r="S3127">
        <v>-3.004578</v>
      </c>
      <c r="T3127">
        <v>-0.1200097</v>
      </c>
      <c r="U3127">
        <v>-0.15978999999999999</v>
      </c>
      <c r="V3127">
        <v>6.4479839999999995E-4</v>
      </c>
      <c r="W3127">
        <v>3.9648929999999999E-2</v>
      </c>
      <c r="X3127">
        <v>0.99921349999999998</v>
      </c>
      <c r="Y3127">
        <v>-4.5312520000000002E-2</v>
      </c>
      <c r="Z3127">
        <v>-5.9378760000000001E-4</v>
      </c>
      <c r="AA3127">
        <v>0.99897270000000005</v>
      </c>
      <c r="AB3127">
        <v>37</v>
      </c>
      <c r="AC3127">
        <v>-27.5826999999999</v>
      </c>
      <c r="AD3127">
        <v>-1.1088806635540001</v>
      </c>
      <c r="AE3127">
        <v>-1.4751999999999701</v>
      </c>
      <c r="AF3127">
        <v>-1.25869471890713</v>
      </c>
      <c r="AG3127">
        <v>-1.1088806635540001</v>
      </c>
      <c r="AH3127">
        <v>27.548937211078101</v>
      </c>
      <c r="AI3127">
        <v>92.302586083485707</v>
      </c>
      <c r="AJ3127">
        <v>92.615991126125294</v>
      </c>
      <c r="AK3127">
        <v>27.5999614163015</v>
      </c>
      <c r="AL3127">
        <v>87.727688105242606</v>
      </c>
      <c r="AM3127">
        <v>89.963026698669793</v>
      </c>
      <c r="AN3127">
        <v>1.00000003599868</v>
      </c>
    </row>
    <row r="3128" spans="1:40" x14ac:dyDescent="0.25">
      <c r="A3128" t="str">
        <f>"20190312150722826"</f>
        <v>20190312150722826</v>
      </c>
      <c r="B3128" t="str">
        <f>"1552374442823374"</f>
        <v>1552374442823374</v>
      </c>
      <c r="C3128" t="s">
        <v>40</v>
      </c>
      <c r="D3128">
        <v>4.241835</v>
      </c>
      <c r="E3128">
        <v>0.4830044</v>
      </c>
      <c r="F3128" t="s">
        <v>68</v>
      </c>
      <c r="G3128">
        <v>-294.44740000000002</v>
      </c>
      <c r="H3128" s="1">
        <v>3.3479440000000001E-6</v>
      </c>
      <c r="I3128">
        <v>280.57510000000002</v>
      </c>
      <c r="J3128">
        <v>-267.0247</v>
      </c>
      <c r="K3128">
        <v>1.1088800000000001</v>
      </c>
      <c r="L3128">
        <v>282.0539</v>
      </c>
      <c r="M3128">
        <v>-0.99994720000000004</v>
      </c>
      <c r="N3128">
        <v>0</v>
      </c>
      <c r="O3128">
        <v>-7.564678E-3</v>
      </c>
      <c r="P3128">
        <v>-0.99943760000000004</v>
      </c>
      <c r="Q3128">
        <v>3.278503E-2</v>
      </c>
      <c r="R3128">
        <v>-7.0523720000000003E-3</v>
      </c>
      <c r="S3128">
        <v>-3.004486</v>
      </c>
      <c r="T3128">
        <v>-0.1205145</v>
      </c>
      <c r="U3128">
        <v>-0.1608887</v>
      </c>
      <c r="V3128">
        <v>5.398658E-4</v>
      </c>
      <c r="W3128">
        <v>3.9740409999999997E-2</v>
      </c>
      <c r="X3128">
        <v>0.99920989999999998</v>
      </c>
      <c r="Y3128">
        <v>-4.5886589999999998E-2</v>
      </c>
      <c r="Z3128">
        <v>-6.1618070000000005E-4</v>
      </c>
      <c r="AA3128">
        <v>0.99894649999999996</v>
      </c>
      <c r="AB3128">
        <v>37</v>
      </c>
      <c r="AC3128">
        <v>-27.422699999999999</v>
      </c>
      <c r="AD3128">
        <v>-1.1088766520559901</v>
      </c>
      <c r="AE3128">
        <v>-1.4787999999999699</v>
      </c>
      <c r="AF3128">
        <v>-1.2692394486987999</v>
      </c>
      <c r="AG3128">
        <v>-1.1088766520559901</v>
      </c>
      <c r="AH3128">
        <v>27.388449064779898</v>
      </c>
      <c r="AI3128">
        <v>92.315986190152699</v>
      </c>
      <c r="AJ3128">
        <v>92.653310935764097</v>
      </c>
      <c r="AK3128">
        <v>27.440257257934899</v>
      </c>
      <c r="AL3128">
        <v>87.722442489353497</v>
      </c>
      <c r="AM3128">
        <v>89.969043512445595</v>
      </c>
      <c r="AN3128">
        <v>1.00000000795003</v>
      </c>
    </row>
    <row r="3129" spans="1:40" x14ac:dyDescent="0.25">
      <c r="A3129" t="str">
        <f>"20190312150722838"</f>
        <v>20190312150722838</v>
      </c>
      <c r="B3129" t="str">
        <f>"1552374442833134"</f>
        <v>1552374442833134</v>
      </c>
      <c r="C3129" t="s">
        <v>40</v>
      </c>
      <c r="D3129">
        <v>4.5096270000000001</v>
      </c>
      <c r="E3129">
        <v>0.48294150000000002</v>
      </c>
      <c r="F3129" t="s">
        <v>68</v>
      </c>
      <c r="G3129">
        <v>-294.84500000000003</v>
      </c>
      <c r="H3129" s="1">
        <v>3.420712E-6</v>
      </c>
      <c r="I3129">
        <v>280.54950000000002</v>
      </c>
      <c r="J3129">
        <v>-267.24349999999998</v>
      </c>
      <c r="K3129">
        <v>1.108876</v>
      </c>
      <c r="L3129">
        <v>282.05239999999998</v>
      </c>
      <c r="M3129">
        <v>-0.99994859999999997</v>
      </c>
      <c r="N3129">
        <v>0</v>
      </c>
      <c r="O3129">
        <v>-7.358964E-3</v>
      </c>
      <c r="P3129">
        <v>-0.99944120000000003</v>
      </c>
      <c r="Q3129">
        <v>3.2657079999999998E-2</v>
      </c>
      <c r="R3129">
        <v>-7.1544299999999998E-3</v>
      </c>
      <c r="S3129">
        <v>-3.004486</v>
      </c>
      <c r="T3129">
        <v>-0.11975429999999999</v>
      </c>
      <c r="U3129">
        <v>-0.1624756</v>
      </c>
      <c r="V3129">
        <v>2.3254959999999999E-4</v>
      </c>
      <c r="W3129">
        <v>3.9637020000000002E-2</v>
      </c>
      <c r="X3129">
        <v>0.99921409999999999</v>
      </c>
      <c r="Y3129">
        <v>-4.6617819999999997E-2</v>
      </c>
      <c r="Z3129">
        <v>-6.3503460000000002E-4</v>
      </c>
      <c r="AA3129">
        <v>0.99891260000000004</v>
      </c>
      <c r="AB3129">
        <v>37</v>
      </c>
      <c r="AC3129">
        <v>-27.601500000000001</v>
      </c>
      <c r="AD3129">
        <v>-1.1088725792880001</v>
      </c>
      <c r="AE3129">
        <v>-1.5028999999999499</v>
      </c>
      <c r="AF3129">
        <v>-1.2976477326709599</v>
      </c>
      <c r="AG3129">
        <v>-1.1088725792880001</v>
      </c>
      <c r="AH3129">
        <v>27.567450871566201</v>
      </c>
      <c r="AI3129">
        <v>92.300877579366897</v>
      </c>
      <c r="AJ3129">
        <v>92.695022408095298</v>
      </c>
      <c r="AK3129">
        <v>27.6202432210764</v>
      </c>
      <c r="AL3129">
        <v>87.728370913286895</v>
      </c>
      <c r="AM3129">
        <v>89.986665409978798</v>
      </c>
      <c r="AN3129">
        <v>0.99999998253630296</v>
      </c>
    </row>
    <row r="3130" spans="1:40" x14ac:dyDescent="0.25">
      <c r="A3130" t="str">
        <f>"20190312150722858"</f>
        <v>20190312150722858</v>
      </c>
      <c r="B3130" t="str">
        <f>"1552374442853630"</f>
        <v>1552374442853630</v>
      </c>
      <c r="C3130" t="s">
        <v>40</v>
      </c>
      <c r="D3130">
        <v>4.6020149999999997</v>
      </c>
      <c r="E3130">
        <v>0.4827187</v>
      </c>
      <c r="F3130" t="s">
        <v>68</v>
      </c>
      <c r="G3130">
        <v>-295.07459999999998</v>
      </c>
      <c r="H3130" s="1">
        <v>3.4621770000000001E-6</v>
      </c>
      <c r="I3130">
        <v>280.54109999999997</v>
      </c>
      <c r="J3130">
        <v>-267.54860000000002</v>
      </c>
      <c r="K3130">
        <v>1.1088720000000001</v>
      </c>
      <c r="L3130">
        <v>282.05040000000002</v>
      </c>
      <c r="M3130">
        <v>-0.99995049999999996</v>
      </c>
      <c r="N3130">
        <v>0</v>
      </c>
      <c r="O3130">
        <v>-7.0729139999999996E-3</v>
      </c>
      <c r="P3130">
        <v>-0.99943749999999998</v>
      </c>
      <c r="Q3130">
        <v>3.2700050000000001E-2</v>
      </c>
      <c r="R3130">
        <v>-7.4686040000000002E-3</v>
      </c>
      <c r="S3130">
        <v>-3.0044249999999999</v>
      </c>
      <c r="T3130">
        <v>-0.11970509999999999</v>
      </c>
      <c r="U3130">
        <v>-0.16314699999999999</v>
      </c>
      <c r="V3130">
        <v>-3.6670019999999998E-4</v>
      </c>
      <c r="W3130">
        <v>3.9711829999999997E-2</v>
      </c>
      <c r="X3130">
        <v>0.99921110000000002</v>
      </c>
      <c r="Y3130">
        <v>-4.7126620000000001E-2</v>
      </c>
      <c r="Z3130">
        <v>-6.5629060000000001E-4</v>
      </c>
      <c r="AA3130">
        <v>0.99888869999999996</v>
      </c>
      <c r="AB3130">
        <v>37</v>
      </c>
      <c r="AC3130">
        <v>-27.5259999999999</v>
      </c>
      <c r="AD3130">
        <v>-1.1088685378230001</v>
      </c>
      <c r="AE3130">
        <v>-1.50930000000005</v>
      </c>
      <c r="AF3130">
        <v>-1.31244495239854</v>
      </c>
      <c r="AG3130">
        <v>-1.1088685378230001</v>
      </c>
      <c r="AH3130">
        <v>27.4915064580196</v>
      </c>
      <c r="AI3130">
        <v>92.307145571220204</v>
      </c>
      <c r="AJ3130">
        <v>92.7332262388652</v>
      </c>
      <c r="AK3130">
        <v>27.545145280404402</v>
      </c>
      <c r="AL3130">
        <v>87.724081262652504</v>
      </c>
      <c r="AM3130">
        <v>90.021026961032902</v>
      </c>
      <c r="AN3130">
        <v>0.99999999313709698</v>
      </c>
    </row>
    <row r="3131" spans="1:40" x14ac:dyDescent="0.25">
      <c r="A3131" t="str">
        <f>"20190312150722871"</f>
        <v>20190312150722871</v>
      </c>
      <c r="B3131" t="str">
        <f>"1552374442863390"</f>
        <v>1552374442863390</v>
      </c>
      <c r="C3131" t="s">
        <v>40</v>
      </c>
      <c r="D3131">
        <v>4.4739250000000004</v>
      </c>
      <c r="E3131">
        <v>0.48263529999999999</v>
      </c>
      <c r="F3131" t="s">
        <v>68</v>
      </c>
      <c r="G3131">
        <v>-295.58980000000003</v>
      </c>
      <c r="H3131" s="1">
        <v>3.557039E-6</v>
      </c>
      <c r="I3131">
        <v>280.50119999999998</v>
      </c>
      <c r="J3131">
        <v>-267.7679</v>
      </c>
      <c r="K3131">
        <v>1.1088709999999999</v>
      </c>
      <c r="L3131">
        <v>282.04899999999998</v>
      </c>
      <c r="M3131">
        <v>-0.9999517</v>
      </c>
      <c r="N3131">
        <v>0</v>
      </c>
      <c r="O3131">
        <v>-6.8677909999999998E-3</v>
      </c>
      <c r="P3131">
        <v>-0.99944200000000005</v>
      </c>
      <c r="Q3131">
        <v>3.2600949999999997E-2</v>
      </c>
      <c r="R3131">
        <v>-7.2958559999999999E-3</v>
      </c>
      <c r="S3131">
        <v>-3.0043329999999999</v>
      </c>
      <c r="T3131">
        <v>-0.1188046</v>
      </c>
      <c r="U3131">
        <v>-0.1659851</v>
      </c>
      <c r="V3131">
        <v>-3.9862449999999999E-4</v>
      </c>
      <c r="W3131">
        <v>3.9634160000000002E-2</v>
      </c>
      <c r="X3131">
        <v>0.99921420000000005</v>
      </c>
      <c r="Y3131">
        <v>-4.8273370000000003E-2</v>
      </c>
      <c r="Z3131">
        <v>-6.8210999999999999E-4</v>
      </c>
      <c r="AA3131">
        <v>0.998834</v>
      </c>
      <c r="AB3131">
        <v>37</v>
      </c>
      <c r="AC3131">
        <v>-27.821899999999999</v>
      </c>
      <c r="AD3131">
        <v>-1.1088674429609999</v>
      </c>
      <c r="AE3131">
        <v>-1.54780000000005</v>
      </c>
      <c r="AF3131">
        <v>-1.35453874003695</v>
      </c>
      <c r="AG3131">
        <v>-1.1088674429609999</v>
      </c>
      <c r="AH3131">
        <v>27.787869375448299</v>
      </c>
      <c r="AI3131">
        <v>92.282452974640194</v>
      </c>
      <c r="AJ3131">
        <v>92.790713068170007</v>
      </c>
      <c r="AK3131">
        <v>27.842953267053002</v>
      </c>
      <c r="AL3131">
        <v>87.728534996662205</v>
      </c>
      <c r="AM3131">
        <v>90.022857461642204</v>
      </c>
      <c r="AN3131">
        <v>1.0000000215110101</v>
      </c>
    </row>
    <row r="3132" spans="1:40" x14ac:dyDescent="0.25">
      <c r="A3132" t="str">
        <f>"20190312150722881"</f>
        <v>20190312150722881</v>
      </c>
      <c r="B3132" t="str">
        <f>"1552374442873150"</f>
        <v>1552374442873150</v>
      </c>
      <c r="C3132" t="s">
        <v>40</v>
      </c>
      <c r="D3132">
        <v>4.3150829999999996</v>
      </c>
      <c r="E3132">
        <v>0.48258699999999999</v>
      </c>
      <c r="F3132" t="s">
        <v>68</v>
      </c>
      <c r="G3132">
        <v>-295.7679</v>
      </c>
      <c r="H3132" s="1">
        <v>3.5886369999999998E-6</v>
      </c>
      <c r="I3132">
        <v>280.50119999999998</v>
      </c>
      <c r="J3132">
        <v>-267.95319999999998</v>
      </c>
      <c r="K3132">
        <v>1.1088659999999999</v>
      </c>
      <c r="L3132">
        <v>282.04790000000003</v>
      </c>
      <c r="M3132">
        <v>-0.99995270000000003</v>
      </c>
      <c r="N3132">
        <v>0</v>
      </c>
      <c r="O3132">
        <v>-6.694373E-3</v>
      </c>
      <c r="P3132">
        <v>-0.99944060000000001</v>
      </c>
      <c r="Q3132">
        <v>3.2666239999999999E-2</v>
      </c>
      <c r="R3132">
        <v>-7.1822530000000004E-3</v>
      </c>
      <c r="S3132">
        <v>-3.0043329999999999</v>
      </c>
      <c r="T3132">
        <v>-0.11897870000000001</v>
      </c>
      <c r="U3132">
        <v>-0.16607669999999999</v>
      </c>
      <c r="V3132">
        <v>-4.5818079999999998E-4</v>
      </c>
      <c r="W3132">
        <v>3.9716590000000003E-2</v>
      </c>
      <c r="X3132">
        <v>0.99921090000000001</v>
      </c>
      <c r="Y3132">
        <v>-4.847655E-2</v>
      </c>
      <c r="Z3132">
        <v>-6.9398599999999995E-4</v>
      </c>
      <c r="AA3132">
        <v>0.99882409999999999</v>
      </c>
      <c r="AB3132">
        <v>37</v>
      </c>
      <c r="AC3132">
        <v>-27.814699999999998</v>
      </c>
      <c r="AD3132">
        <v>-1.1088624113629999</v>
      </c>
      <c r="AE3132">
        <v>-1.5467000000000399</v>
      </c>
      <c r="AF3132">
        <v>-1.3583066233571699</v>
      </c>
      <c r="AG3132">
        <v>-1.1088624113629999</v>
      </c>
      <c r="AH3132">
        <v>27.780415772842201</v>
      </c>
      <c r="AI3132">
        <v>92.283037851753093</v>
      </c>
      <c r="AJ3132">
        <v>92.799213240854797</v>
      </c>
      <c r="AK3132">
        <v>27.835697822084001</v>
      </c>
      <c r="AL3132">
        <v>87.723808380734596</v>
      </c>
      <c r="AM3132">
        <v>90.026272555927903</v>
      </c>
      <c r="AN3132">
        <v>1.00000002006484</v>
      </c>
    </row>
    <row r="3133" spans="1:40" x14ac:dyDescent="0.25">
      <c r="A3133" t="str">
        <f>"20190312150722893"</f>
        <v>20190312150722893</v>
      </c>
      <c r="B3133" t="str">
        <f>"1552374442882911"</f>
        <v>1552374442882911</v>
      </c>
      <c r="C3133" t="s">
        <v>40</v>
      </c>
      <c r="D3133">
        <v>4.2880919999999998</v>
      </c>
      <c r="E3133">
        <v>0.48258699999999999</v>
      </c>
      <c r="F3133" t="s">
        <v>68</v>
      </c>
      <c r="G3133">
        <v>-296.0104</v>
      </c>
      <c r="H3133" s="1">
        <v>3.6320710000000002E-6</v>
      </c>
      <c r="I3133">
        <v>280.49630000000002</v>
      </c>
      <c r="J3133">
        <v>-268.13740000000001</v>
      </c>
      <c r="K3133">
        <v>1.108865</v>
      </c>
      <c r="L3133">
        <v>282.04680000000002</v>
      </c>
      <c r="M3133">
        <v>-0.9999538</v>
      </c>
      <c r="N3133">
        <v>0</v>
      </c>
      <c r="O3133">
        <v>-6.5222659999999997E-3</v>
      </c>
      <c r="P3133">
        <v>-0.99943959999999998</v>
      </c>
      <c r="Q3133">
        <v>3.2770970000000003E-2</v>
      </c>
      <c r="R3133">
        <v>-6.8248809999999997E-3</v>
      </c>
      <c r="S3133">
        <v>-3.0043950000000001</v>
      </c>
      <c r="T3133">
        <v>-0.1187383</v>
      </c>
      <c r="U3133">
        <v>-0.1661377</v>
      </c>
      <c r="V3133">
        <v>-2.723596E-4</v>
      </c>
      <c r="W3133">
        <v>3.983714E-2</v>
      </c>
      <c r="X3133">
        <v>0.99920609999999999</v>
      </c>
      <c r="Y3133">
        <v>-4.8667429999999998E-2</v>
      </c>
      <c r="Z3133">
        <v>-7.0313129999999995E-4</v>
      </c>
      <c r="AA3133">
        <v>0.9988148</v>
      </c>
      <c r="AB3133">
        <v>37</v>
      </c>
      <c r="AC3133">
        <v>-27.872999999999902</v>
      </c>
      <c r="AD3133">
        <v>-1.108861367929</v>
      </c>
      <c r="AE3133">
        <v>-1.55049999999999</v>
      </c>
      <c r="AF3133">
        <v>-1.3665113181598501</v>
      </c>
      <c r="AG3133">
        <v>-1.108861367929</v>
      </c>
      <c r="AH3133">
        <v>27.838597068732302</v>
      </c>
      <c r="AI3133">
        <v>92.278247891080099</v>
      </c>
      <c r="AJ3133">
        <v>92.810218375949603</v>
      </c>
      <c r="AK3133">
        <v>27.8941645057022</v>
      </c>
      <c r="AL3133">
        <v>87.7168957464675</v>
      </c>
      <c r="AM3133">
        <v>90.015617453900006</v>
      </c>
      <c r="AN3133">
        <v>0.99999995109016904</v>
      </c>
    </row>
    <row r="3134" spans="1:40" x14ac:dyDescent="0.25">
      <c r="A3134" t="str">
        <f>"20190312150722905"</f>
        <v>20190312150722905</v>
      </c>
      <c r="B3134" t="str">
        <f>"1552374442893647"</f>
        <v>1552374442893647</v>
      </c>
      <c r="C3134" t="s">
        <v>40</v>
      </c>
      <c r="D3134">
        <v>4.2633910000000004</v>
      </c>
      <c r="E3134">
        <v>0.46659270000000003</v>
      </c>
      <c r="F3134" t="s">
        <v>68</v>
      </c>
      <c r="G3134">
        <v>-296.27229999999997</v>
      </c>
      <c r="H3134" s="1">
        <v>3.6780549999999998E-6</v>
      </c>
      <c r="I3134">
        <v>280.5018</v>
      </c>
      <c r="J3134">
        <v>-268.33499999999998</v>
      </c>
      <c r="K3134">
        <v>1.108865</v>
      </c>
      <c r="L3134">
        <v>282.04559999999998</v>
      </c>
      <c r="M3134">
        <v>-0.99995480000000003</v>
      </c>
      <c r="N3134">
        <v>0</v>
      </c>
      <c r="O3134">
        <v>-6.3374049999999999E-3</v>
      </c>
      <c r="P3134">
        <v>-0.99944270000000002</v>
      </c>
      <c r="Q3134">
        <v>3.271893E-2</v>
      </c>
      <c r="R3134">
        <v>-6.6206579999999998E-3</v>
      </c>
      <c r="S3134">
        <v>-3.0044249999999999</v>
      </c>
      <c r="T3134">
        <v>-0.1184113</v>
      </c>
      <c r="U3134">
        <v>-0.16497800000000001</v>
      </c>
      <c r="V3134">
        <v>-2.5282510000000001E-4</v>
      </c>
      <c r="W3134">
        <v>3.980235E-2</v>
      </c>
      <c r="X3134">
        <v>0.99920759999999997</v>
      </c>
      <c r="Y3134">
        <v>-4.8467339999999998E-2</v>
      </c>
      <c r="Z3134">
        <v>-7.0453509999999998E-4</v>
      </c>
      <c r="AA3134">
        <v>0.9988245</v>
      </c>
      <c r="AB3134">
        <v>37</v>
      </c>
      <c r="AC3134">
        <v>-27.9373</v>
      </c>
      <c r="AD3134">
        <v>-1.1088613219450001</v>
      </c>
      <c r="AE3134">
        <v>-1.5437999999999701</v>
      </c>
      <c r="AF3134">
        <v>-1.3645713891481499</v>
      </c>
      <c r="AG3134">
        <v>-1.1088613219450001</v>
      </c>
      <c r="AH3134">
        <v>27.902699316229999</v>
      </c>
      <c r="AI3134">
        <v>92.273039593905494</v>
      </c>
      <c r="AJ3134">
        <v>92.799798677632396</v>
      </c>
      <c r="AK3134">
        <v>27.9580445961324</v>
      </c>
      <c r="AL3134">
        <v>87.718890896225503</v>
      </c>
      <c r="AM3134">
        <v>90.014497298535204</v>
      </c>
      <c r="AN3134">
        <v>1.0000000594419001</v>
      </c>
    </row>
    <row r="3135" spans="1:40" x14ac:dyDescent="0.25">
      <c r="A3135" t="str">
        <f>"20190312150722917"</f>
        <v>20190312150722917</v>
      </c>
      <c r="B3135" t="str">
        <f>"1552374442913166"</f>
        <v>1552374442913166</v>
      </c>
      <c r="C3135" t="s">
        <v>40</v>
      </c>
      <c r="D3135">
        <v>4.4376939999999996</v>
      </c>
      <c r="E3135">
        <v>0.46110380000000001</v>
      </c>
      <c r="F3135" t="s">
        <v>68</v>
      </c>
      <c r="G3135">
        <v>-289.72340000000003</v>
      </c>
      <c r="H3135" s="1">
        <v>5.0522539999999999E-6</v>
      </c>
      <c r="I3135">
        <v>279.96109999999999</v>
      </c>
      <c r="J3135">
        <v>-268.54140000000001</v>
      </c>
      <c r="K3135">
        <v>1.1088610000000001</v>
      </c>
      <c r="L3135">
        <v>282.0444</v>
      </c>
      <c r="M3135">
        <v>-0.99995599999999996</v>
      </c>
      <c r="N3135">
        <v>0</v>
      </c>
      <c r="O3135">
        <v>-6.1446779999999998E-3</v>
      </c>
      <c r="P3135">
        <v>-0.99943669999999996</v>
      </c>
      <c r="Q3135">
        <v>3.2944510000000003E-2</v>
      </c>
      <c r="R3135">
        <v>-6.4053699999999996E-3</v>
      </c>
      <c r="S3135">
        <v>-3.0048219999999999</v>
      </c>
      <c r="T3135">
        <v>-0.15578220000000001</v>
      </c>
      <c r="U3135">
        <v>-0.29284670000000002</v>
      </c>
      <c r="V3135">
        <v>-2.294764E-4</v>
      </c>
      <c r="W3135">
        <v>4.0044389999999999E-2</v>
      </c>
      <c r="X3135">
        <v>0.99919789999999997</v>
      </c>
      <c r="Y3135">
        <v>-9.0769100000000005E-2</v>
      </c>
      <c r="Z3135">
        <v>-2.0282109999999998E-3</v>
      </c>
      <c r="AA3135">
        <v>0.99586989999999997</v>
      </c>
      <c r="AB3135">
        <v>37</v>
      </c>
      <c r="AC3135">
        <v>-21.181999999999999</v>
      </c>
      <c r="AD3135">
        <v>-1.108855947746</v>
      </c>
      <c r="AE3135">
        <v>-2.0832999999999999</v>
      </c>
      <c r="AF3135">
        <v>-1.9478141488677601</v>
      </c>
      <c r="AG3135">
        <v>-1.108855947746</v>
      </c>
      <c r="AH3135">
        <v>21.1370323243044</v>
      </c>
      <c r="AI3135">
        <v>92.990356390620093</v>
      </c>
      <c r="AJ3135">
        <v>95.265035489333997</v>
      </c>
      <c r="AK3135">
        <v>21.255532855001999</v>
      </c>
      <c r="AL3135">
        <v>87.705011881475002</v>
      </c>
      <c r="AM3135">
        <v>90.013158583486501</v>
      </c>
      <c r="AN3135">
        <v>1.0000000245971401</v>
      </c>
    </row>
    <row r="3136" spans="1:40" x14ac:dyDescent="0.25">
      <c r="A3136" t="str">
        <f>"20190312150722928"</f>
        <v>20190312150722928</v>
      </c>
      <c r="B3136" t="str">
        <f>"1552374442922927"</f>
        <v>1552374442922927</v>
      </c>
      <c r="C3136" t="s">
        <v>40</v>
      </c>
      <c r="D3136">
        <v>4.2950280000000003</v>
      </c>
      <c r="E3136">
        <v>0.4597794</v>
      </c>
      <c r="F3136" t="s">
        <v>68</v>
      </c>
      <c r="G3136">
        <v>-290.91489999999999</v>
      </c>
      <c r="H3136" s="1">
        <v>2.8311490000000002E-6</v>
      </c>
      <c r="I3136">
        <v>279.5428</v>
      </c>
      <c r="J3136">
        <v>-268.73239999999998</v>
      </c>
      <c r="K3136">
        <v>1.1088610000000001</v>
      </c>
      <c r="L3136">
        <v>282.04340000000002</v>
      </c>
      <c r="M3136">
        <v>-0.99995699999999998</v>
      </c>
      <c r="N3136">
        <v>0</v>
      </c>
      <c r="O3136">
        <v>-5.9662539999999998E-3</v>
      </c>
      <c r="P3136">
        <v>-0.99943899999999997</v>
      </c>
      <c r="Q3136">
        <v>3.2972750000000002E-2</v>
      </c>
      <c r="R3136">
        <v>-5.9231290000000001E-3</v>
      </c>
      <c r="S3136">
        <v>-3.004486</v>
      </c>
      <c r="T3136">
        <v>-0.14890610000000001</v>
      </c>
      <c r="U3136">
        <v>-0.3359375</v>
      </c>
      <c r="V3136" s="1">
        <v>7.4589129999999996E-5</v>
      </c>
      <c r="W3136">
        <v>4.0087280000000003E-2</v>
      </c>
      <c r="X3136">
        <v>0.99919619999999998</v>
      </c>
      <c r="Y3136">
        <v>-0.10506799999999999</v>
      </c>
      <c r="Z3136">
        <v>-2.2994069999999998E-3</v>
      </c>
      <c r="AA3136">
        <v>0.99446239999999997</v>
      </c>
      <c r="AB3136">
        <v>37</v>
      </c>
      <c r="AC3136">
        <v>-22.182500000000001</v>
      </c>
      <c r="AD3136">
        <v>-1.108858168851</v>
      </c>
      <c r="AE3136">
        <v>-2.5006000000000199</v>
      </c>
      <c r="AF3136">
        <v>-2.3623766999081899</v>
      </c>
      <c r="AG3136">
        <v>-1.108858168851</v>
      </c>
      <c r="AH3136">
        <v>22.1423897052548</v>
      </c>
      <c r="AI3136">
        <v>92.850741125516507</v>
      </c>
      <c r="AJ3136">
        <v>96.089863168988003</v>
      </c>
      <c r="AK3136">
        <v>22.295645583168699</v>
      </c>
      <c r="AL3136">
        <v>87.702552482123394</v>
      </c>
      <c r="AM3136">
        <v>89.995722919744196</v>
      </c>
      <c r="AN3136">
        <v>1.0000000208378801</v>
      </c>
    </row>
    <row r="3137" spans="1:40" x14ac:dyDescent="0.25">
      <c r="A3137" t="str">
        <f>"20190312150722945"</f>
        <v>20190312150722945</v>
      </c>
      <c r="B3137" t="str">
        <f>"1552374442933662"</f>
        <v>1552374442933662</v>
      </c>
      <c r="C3137" t="s">
        <v>40</v>
      </c>
      <c r="D3137">
        <v>4.4123970000000003</v>
      </c>
      <c r="E3137">
        <v>0.45914519999999998</v>
      </c>
      <c r="F3137" t="s">
        <v>68</v>
      </c>
      <c r="G3137">
        <v>-290.97879999999998</v>
      </c>
      <c r="H3137" s="1">
        <v>2.8615189999999999E-6</v>
      </c>
      <c r="I3137">
        <v>279.48899999999998</v>
      </c>
      <c r="J3137">
        <v>-269.01319999999998</v>
      </c>
      <c r="K3137">
        <v>1.108859</v>
      </c>
      <c r="L3137">
        <v>282.0419</v>
      </c>
      <c r="M3137">
        <v>-0.99995840000000003</v>
      </c>
      <c r="N3137">
        <v>0</v>
      </c>
      <c r="O3137">
        <v>-5.7039209999999998E-3</v>
      </c>
      <c r="P3137">
        <v>-0.99942949999999997</v>
      </c>
      <c r="Q3137">
        <v>3.3310190000000003E-2</v>
      </c>
      <c r="R3137">
        <v>-5.5906669999999997E-3</v>
      </c>
      <c r="S3137">
        <v>-3.004578</v>
      </c>
      <c r="T3137">
        <v>-0.14976139999999999</v>
      </c>
      <c r="U3137">
        <v>-0.34500120000000001</v>
      </c>
      <c r="V3137">
        <v>1.4525399999999999E-4</v>
      </c>
      <c r="W3137">
        <v>4.0445559999999998E-2</v>
      </c>
      <c r="X3137">
        <v>0.99918169999999995</v>
      </c>
      <c r="Y3137">
        <v>-0.1082813</v>
      </c>
      <c r="Z3137">
        <v>-2.4049330000000002E-3</v>
      </c>
      <c r="AA3137">
        <v>0.99411740000000004</v>
      </c>
      <c r="AB3137">
        <v>37</v>
      </c>
      <c r="AC3137">
        <v>-21.965599999999899</v>
      </c>
      <c r="AD3137">
        <v>-1.1088561384810001</v>
      </c>
      <c r="AE3137">
        <v>-2.5528999999999602</v>
      </c>
      <c r="AF3137">
        <v>-2.4214766467655</v>
      </c>
      <c r="AG3137">
        <v>-1.1088561384810001</v>
      </c>
      <c r="AH3137">
        <v>21.924676796767599</v>
      </c>
      <c r="AI3137">
        <v>92.877838609299999</v>
      </c>
      <c r="AJ3137">
        <v>96.302503833366103</v>
      </c>
      <c r="AK3137">
        <v>22.085845325216798</v>
      </c>
      <c r="AL3137">
        <v>87.682007763636406</v>
      </c>
      <c r="AM3137">
        <v>89.991670743070202</v>
      </c>
      <c r="AN3137">
        <v>0.99999996701866301</v>
      </c>
    </row>
    <row r="3138" spans="1:40" x14ac:dyDescent="0.25">
      <c r="A3138" t="str">
        <f>"20190312150722957"</f>
        <v>20190312150722957</v>
      </c>
      <c r="B3138" t="str">
        <f>"1552374442953183"</f>
        <v>1552374442953183</v>
      </c>
      <c r="C3138" t="s">
        <v>40</v>
      </c>
      <c r="D3138">
        <v>4.4204990000000004</v>
      </c>
      <c r="E3138">
        <v>0.45638069999999997</v>
      </c>
      <c r="F3138" t="s">
        <v>68</v>
      </c>
      <c r="G3138">
        <v>-290.81290000000001</v>
      </c>
      <c r="H3138" s="1">
        <v>2.8249409999999999E-6</v>
      </c>
      <c r="I3138">
        <v>279.50920000000002</v>
      </c>
      <c r="J3138">
        <v>-269.20440000000002</v>
      </c>
      <c r="K3138">
        <v>1.1088579999999999</v>
      </c>
      <c r="L3138">
        <v>282.041</v>
      </c>
      <c r="M3138">
        <v>-0.9999593</v>
      </c>
      <c r="N3138">
        <v>0</v>
      </c>
      <c r="O3138">
        <v>-5.5254969999999999E-3</v>
      </c>
      <c r="P3138">
        <v>-0.9994305</v>
      </c>
      <c r="Q3138">
        <v>3.3336650000000002E-2</v>
      </c>
      <c r="R3138">
        <v>-5.2766660000000002E-3</v>
      </c>
      <c r="S3138">
        <v>-3.004883</v>
      </c>
      <c r="T3138">
        <v>-0.15284600000000001</v>
      </c>
      <c r="U3138">
        <v>-0.34912110000000002</v>
      </c>
      <c r="V3138">
        <v>2.811523E-4</v>
      </c>
      <c r="W3138">
        <v>4.048558E-2</v>
      </c>
      <c r="X3138">
        <v>0.99918010000000002</v>
      </c>
      <c r="Y3138">
        <v>-0.1097848</v>
      </c>
      <c r="Z3138">
        <v>-2.5010890000000002E-3</v>
      </c>
      <c r="AA3138">
        <v>0.99395219999999995</v>
      </c>
      <c r="AB3138">
        <v>37</v>
      </c>
      <c r="AC3138">
        <v>-21.6084999999999</v>
      </c>
      <c r="AD3138">
        <v>-1.1088551750590001</v>
      </c>
      <c r="AE3138">
        <v>-2.5317999999999699</v>
      </c>
      <c r="AF3138">
        <v>-2.4061104013337702</v>
      </c>
      <c r="AG3138">
        <v>-1.1088551750590001</v>
      </c>
      <c r="AH3138">
        <v>21.5661388618642</v>
      </c>
      <c r="AI3138">
        <v>92.925237990004703</v>
      </c>
      <c r="AJ3138">
        <v>96.366099972812805</v>
      </c>
      <c r="AK3138">
        <v>21.728259766301399</v>
      </c>
      <c r="AL3138">
        <v>87.679713022243703</v>
      </c>
      <c r="AM3138">
        <v>89.983877941759204</v>
      </c>
      <c r="AN3138">
        <v>1.0000000167352801</v>
      </c>
    </row>
    <row r="3139" spans="1:40" x14ac:dyDescent="0.25">
      <c r="A3139" t="str">
        <f>"20190312150722968"</f>
        <v>20190312150722968</v>
      </c>
      <c r="B3139" t="str">
        <f>"1552374442962942"</f>
        <v>1552374442962942</v>
      </c>
      <c r="C3139" t="s">
        <v>40</v>
      </c>
      <c r="D3139">
        <v>4.3991699999999998</v>
      </c>
      <c r="E3139">
        <v>0.45548129999999998</v>
      </c>
      <c r="F3139" t="s">
        <v>68</v>
      </c>
      <c r="G3139">
        <v>-287.29829999999998</v>
      </c>
      <c r="H3139" s="1">
        <v>6.1596299999999998E-6</v>
      </c>
      <c r="I3139">
        <v>279.80650000000003</v>
      </c>
      <c r="J3139">
        <v>-269.40199999999999</v>
      </c>
      <c r="K3139">
        <v>1.1088559999999901</v>
      </c>
      <c r="L3139">
        <v>282.04000000000002</v>
      </c>
      <c r="M3139">
        <v>-0.99996010000000002</v>
      </c>
      <c r="N3139">
        <v>0</v>
      </c>
      <c r="O3139">
        <v>-5.3408750000000001E-3</v>
      </c>
      <c r="P3139">
        <v>-0.99943479999999996</v>
      </c>
      <c r="Q3139">
        <v>3.3262359999999998E-2</v>
      </c>
      <c r="R3139">
        <v>-4.8532250000000001E-3</v>
      </c>
      <c r="S3139">
        <v>-3.0059200000000001</v>
      </c>
      <c r="T3139">
        <v>-0.1842124</v>
      </c>
      <c r="U3139">
        <v>-0.37121579999999998</v>
      </c>
      <c r="V3139">
        <v>5.2017009999999995E-4</v>
      </c>
      <c r="W3139">
        <v>4.0425549999999998E-2</v>
      </c>
      <c r="X3139">
        <v>0.99918240000000003</v>
      </c>
      <c r="Y3139">
        <v>-0.1170549</v>
      </c>
      <c r="Z3139">
        <v>-3.244121E-3</v>
      </c>
      <c r="AA3139">
        <v>0.99312009999999995</v>
      </c>
      <c r="AB3139">
        <v>37</v>
      </c>
      <c r="AC3139">
        <v>-17.896299999999901</v>
      </c>
      <c r="AD3139">
        <v>-1.10884984036999</v>
      </c>
      <c r="AE3139">
        <v>-2.23349999999999</v>
      </c>
      <c r="AF3139">
        <v>-2.1298327470244498</v>
      </c>
      <c r="AG3139">
        <v>-1.10884984036999</v>
      </c>
      <c r="AH3139">
        <v>17.8405343551679</v>
      </c>
      <c r="AI3139">
        <v>93.531539864452199</v>
      </c>
      <c r="AJ3139">
        <v>96.807845959387805</v>
      </c>
      <c r="AK3139">
        <v>18.001399989353899</v>
      </c>
      <c r="AL3139">
        <v>87.683155225537305</v>
      </c>
      <c r="AM3139">
        <v>89.970172064013099</v>
      </c>
      <c r="AN3139">
        <v>0.99999998206974705</v>
      </c>
    </row>
    <row r="3140" spans="1:40" x14ac:dyDescent="0.25">
      <c r="A3140" t="str">
        <f>"20190312150722979"</f>
        <v>20190312150722979</v>
      </c>
      <c r="B3140" t="str">
        <f>"1552374442973678"</f>
        <v>1552374442973678</v>
      </c>
      <c r="C3140" t="s">
        <v>40</v>
      </c>
      <c r="D3140">
        <v>4.4331950000000004</v>
      </c>
      <c r="E3140">
        <v>0.45451789999999997</v>
      </c>
      <c r="F3140" t="s">
        <v>68</v>
      </c>
      <c r="G3140">
        <v>-286.88589999999999</v>
      </c>
      <c r="H3140" s="1">
        <v>6.3345269999999998E-6</v>
      </c>
      <c r="I3140">
        <v>279.84519999999998</v>
      </c>
      <c r="J3140">
        <v>-269.59550000000002</v>
      </c>
      <c r="K3140">
        <v>1.1088530000000001</v>
      </c>
      <c r="L3140">
        <v>282.03910000000002</v>
      </c>
      <c r="M3140">
        <v>-0.99996099999999999</v>
      </c>
      <c r="N3140">
        <v>0</v>
      </c>
      <c r="O3140">
        <v>-5.1601850000000003E-3</v>
      </c>
      <c r="P3140">
        <v>-0.99943850000000001</v>
      </c>
      <c r="Q3140">
        <v>3.3180279999999999E-2</v>
      </c>
      <c r="R3140">
        <v>-4.6747280000000004E-3</v>
      </c>
      <c r="S3140">
        <v>-3.006195</v>
      </c>
      <c r="T3140">
        <v>-0.19065670000000001</v>
      </c>
      <c r="U3140">
        <v>-0.3773804</v>
      </c>
      <c r="V3140">
        <v>5.1818209999999999E-4</v>
      </c>
      <c r="W3140">
        <v>4.0355990000000001E-2</v>
      </c>
      <c r="X3140">
        <v>0.9991852</v>
      </c>
      <c r="Y3140">
        <v>-0.1192093</v>
      </c>
      <c r="Z3140">
        <v>-3.4360469999999998E-3</v>
      </c>
      <c r="AA3140">
        <v>0.99286319999999995</v>
      </c>
      <c r="AB3140">
        <v>37</v>
      </c>
      <c r="AC3140">
        <v>-17.290399999999899</v>
      </c>
      <c r="AD3140">
        <v>-1.108846665473</v>
      </c>
      <c r="AE3140">
        <v>-2.1939000000000402</v>
      </c>
      <c r="AF3140">
        <v>-2.0961624290587402</v>
      </c>
      <c r="AG3140">
        <v>-1.108846665473</v>
      </c>
      <c r="AH3140">
        <v>17.231743975855199</v>
      </c>
      <c r="AI3140">
        <v>93.654984314737604</v>
      </c>
      <c r="AJ3140">
        <v>96.935691571960206</v>
      </c>
      <c r="AK3140">
        <v>17.3941495424741</v>
      </c>
      <c r="AL3140">
        <v>87.687143945161395</v>
      </c>
      <c r="AM3140">
        <v>89.970286144462904</v>
      </c>
      <c r="AN3140">
        <v>0.99999996917030398</v>
      </c>
    </row>
    <row r="3141" spans="1:40" x14ac:dyDescent="0.25">
      <c r="A3141" t="str">
        <f>"20190312150722994"</f>
        <v>20190312150722994</v>
      </c>
      <c r="B3141" t="str">
        <f>"1552374442983438"</f>
        <v>1552374442983438</v>
      </c>
      <c r="C3141" t="s">
        <v>40</v>
      </c>
      <c r="D3141">
        <v>4.4172779999999996</v>
      </c>
      <c r="E3141">
        <v>0.4538392</v>
      </c>
      <c r="F3141" t="s">
        <v>68</v>
      </c>
      <c r="G3141">
        <v>-286.43450000000001</v>
      </c>
      <c r="H3141" s="1">
        <v>6.526457E-6</v>
      </c>
      <c r="I3141">
        <v>279.88490000000002</v>
      </c>
      <c r="J3141">
        <v>-269.82240000000002</v>
      </c>
      <c r="K3141">
        <v>1.108851</v>
      </c>
      <c r="L3141">
        <v>282.03809999999999</v>
      </c>
      <c r="M3141">
        <v>-0.99996200000000002</v>
      </c>
      <c r="N3141">
        <v>0</v>
      </c>
      <c r="O3141">
        <v>-4.9474310000000004E-3</v>
      </c>
      <c r="P3141">
        <v>-0.99944549999999999</v>
      </c>
      <c r="Q3141">
        <v>3.3000210000000002E-2</v>
      </c>
      <c r="R3141">
        <v>-4.4436720000000001E-3</v>
      </c>
      <c r="S3141">
        <v>-3.0065</v>
      </c>
      <c r="T3141">
        <v>-0.19797670000000001</v>
      </c>
      <c r="U3141">
        <v>-0.38461299999999998</v>
      </c>
      <c r="V3141">
        <v>5.3666749999999996E-4</v>
      </c>
      <c r="W3141">
        <v>4.019114E-2</v>
      </c>
      <c r="X3141">
        <v>0.99919190000000002</v>
      </c>
      <c r="Y3141">
        <v>-0.1217351</v>
      </c>
      <c r="Z3141">
        <v>-3.6634710000000002E-3</v>
      </c>
      <c r="AA3141">
        <v>0.99255590000000005</v>
      </c>
      <c r="AB3141">
        <v>37</v>
      </c>
      <c r="AC3141">
        <v>-16.612099999999899</v>
      </c>
      <c r="AD3141">
        <v>-1.1088444735430001</v>
      </c>
      <c r="AE3141">
        <v>-2.1531999999999698</v>
      </c>
      <c r="AF3141">
        <v>-2.0619491798024199</v>
      </c>
      <c r="AG3141">
        <v>-1.1088444735430001</v>
      </c>
      <c r="AH3141">
        <v>16.550030183371</v>
      </c>
      <c r="AI3141">
        <v>93.803741928689902</v>
      </c>
      <c r="AJ3141">
        <v>97.101820270132293</v>
      </c>
      <c r="AK3141">
        <v>16.7148039042367</v>
      </c>
      <c r="AL3141">
        <v>87.696596974222601</v>
      </c>
      <c r="AM3141">
        <v>89.969226352020002</v>
      </c>
      <c r="AN3141">
        <v>1.00000003438605</v>
      </c>
    </row>
    <row r="3142" spans="1:40" x14ac:dyDescent="0.25">
      <c r="A3142" t="str">
        <f>"20190312150723008"</f>
        <v>20190312150723008</v>
      </c>
      <c r="B3142" t="str">
        <f>"1552374443002959"</f>
        <v>1552374443002959</v>
      </c>
      <c r="C3142" t="s">
        <v>40</v>
      </c>
      <c r="D3142">
        <v>4.3761279999999996</v>
      </c>
      <c r="E3142">
        <v>0.4526963</v>
      </c>
      <c r="F3142" t="s">
        <v>68</v>
      </c>
      <c r="G3142">
        <v>-286.05680000000001</v>
      </c>
      <c r="H3142" s="1">
        <v>6.6835240000000003E-6</v>
      </c>
      <c r="I3142">
        <v>279.93560000000002</v>
      </c>
      <c r="J3142">
        <v>-270.06279999999998</v>
      </c>
      <c r="K3142">
        <v>1.1088499999999999</v>
      </c>
      <c r="L3142">
        <v>282.03710000000001</v>
      </c>
      <c r="M3142">
        <v>-0.99996289999999999</v>
      </c>
      <c r="N3142">
        <v>0</v>
      </c>
      <c r="O3142">
        <v>-4.7207280000000004E-3</v>
      </c>
      <c r="P3142">
        <v>-0.999448</v>
      </c>
      <c r="Q3142">
        <v>3.2936840000000002E-2</v>
      </c>
      <c r="R3142">
        <v>-4.3982960000000003E-3</v>
      </c>
      <c r="S3142">
        <v>-3.0067140000000001</v>
      </c>
      <c r="T3142">
        <v>-0.20536570000000001</v>
      </c>
      <c r="U3142">
        <v>-0.38940429999999998</v>
      </c>
      <c r="V3142">
        <v>3.5584050000000002E-4</v>
      </c>
      <c r="W3142">
        <v>4.0143499999999999E-2</v>
      </c>
      <c r="X3142">
        <v>0.99919380000000002</v>
      </c>
      <c r="Y3142">
        <v>-0.1234836</v>
      </c>
      <c r="Z3142">
        <v>-3.87404E-3</v>
      </c>
      <c r="AA3142">
        <v>0.99233910000000003</v>
      </c>
      <c r="AB3142">
        <v>38</v>
      </c>
      <c r="AC3142">
        <v>-15.994</v>
      </c>
      <c r="AD3142">
        <v>-1.1088433164760001</v>
      </c>
      <c r="AE3142">
        <v>-2.1014999999999802</v>
      </c>
      <c r="AF3142">
        <v>-2.0164438072181601</v>
      </c>
      <c r="AG3142">
        <v>-1.1088433164760001</v>
      </c>
      <c r="AH3142">
        <v>15.928482185451401</v>
      </c>
      <c r="AI3142">
        <v>93.950726529989893</v>
      </c>
      <c r="AJ3142">
        <v>97.214900146757302</v>
      </c>
      <c r="AK3142">
        <v>16.093853605038301</v>
      </c>
      <c r="AL3142">
        <v>87.699328529174593</v>
      </c>
      <c r="AM3142">
        <v>89.979595391836995</v>
      </c>
      <c r="AN3142">
        <v>0.99999993858657299</v>
      </c>
    </row>
    <row r="3143" spans="1:40" x14ac:dyDescent="0.25">
      <c r="A3143" t="str">
        <f>"20190312150723025"</f>
        <v>20190312150723025</v>
      </c>
      <c r="B3143" t="str">
        <f>"1552374443013694"</f>
        <v>1552374443013694</v>
      </c>
      <c r="C3143" t="s">
        <v>40</v>
      </c>
      <c r="D3143">
        <v>4.2772059999999996</v>
      </c>
      <c r="E3143">
        <v>0.45267499999999999</v>
      </c>
      <c r="F3143" t="s">
        <v>68</v>
      </c>
      <c r="G3143">
        <v>-285.56369999999998</v>
      </c>
      <c r="H3143" s="1">
        <v>6.8923269999999997E-6</v>
      </c>
      <c r="I3143">
        <v>279.98320000000001</v>
      </c>
      <c r="J3143">
        <v>-270.34350000000001</v>
      </c>
      <c r="K3143">
        <v>1.1088420000000001</v>
      </c>
      <c r="L3143">
        <v>282.036</v>
      </c>
      <c r="M3143">
        <v>-0.99996399999999996</v>
      </c>
      <c r="N3143">
        <v>0</v>
      </c>
      <c r="O3143">
        <v>-4.4533740000000004E-3</v>
      </c>
      <c r="P3143">
        <v>-0.99946290000000004</v>
      </c>
      <c r="Q3143">
        <v>3.2561439999999997E-2</v>
      </c>
      <c r="R3143">
        <v>-3.7361579999999998E-3</v>
      </c>
      <c r="S3143">
        <v>-3.0069889999999999</v>
      </c>
      <c r="T3143">
        <v>-0.21510170000000001</v>
      </c>
      <c r="U3143">
        <v>-0.3984375</v>
      </c>
      <c r="V3143">
        <v>7.5083080000000002E-4</v>
      </c>
      <c r="W3143">
        <v>3.97852E-2</v>
      </c>
      <c r="X3143">
        <v>0.99920799999999999</v>
      </c>
      <c r="Y3143">
        <v>-0.12663279999999999</v>
      </c>
      <c r="Z3143">
        <v>-4.1871159999999899E-3</v>
      </c>
      <c r="AA3143">
        <v>0.99194090000000001</v>
      </c>
      <c r="AB3143">
        <v>38</v>
      </c>
      <c r="AC3143">
        <v>-15.220199999999901</v>
      </c>
      <c r="AD3143">
        <v>-1.1088351076729901</v>
      </c>
      <c r="AE3143">
        <v>-2.05279999999998</v>
      </c>
      <c r="AF3143">
        <v>-1.97470306616949</v>
      </c>
      <c r="AG3143">
        <v>-1.1088351076729901</v>
      </c>
      <c r="AH3143">
        <v>15.150217412932401</v>
      </c>
      <c r="AI3143">
        <v>94.1509915842081</v>
      </c>
      <c r="AJ3143">
        <v>97.4261563487334</v>
      </c>
      <c r="AK3143">
        <v>15.318552645555901</v>
      </c>
      <c r="AL3143">
        <v>87.719874222743897</v>
      </c>
      <c r="AM3143">
        <v>89.956946473735599</v>
      </c>
      <c r="AN3143">
        <v>1.00000002657496</v>
      </c>
    </row>
    <row r="3144" spans="1:40" x14ac:dyDescent="0.25">
      <c r="A3144" t="str">
        <f>"20190312150723039"</f>
        <v>20190312150723039</v>
      </c>
      <c r="B3144" t="str">
        <f>"1552374443033214"</f>
        <v>1552374443033214</v>
      </c>
      <c r="C3144" t="s">
        <v>40</v>
      </c>
      <c r="D3144">
        <v>4.6028599999999997</v>
      </c>
      <c r="E3144">
        <v>0.45261370000000001</v>
      </c>
      <c r="F3144" t="s">
        <v>68</v>
      </c>
      <c r="G3144">
        <v>-285.94319999999999</v>
      </c>
      <c r="H3144" s="1">
        <v>6.7247290000000003E-6</v>
      </c>
      <c r="I3144">
        <v>279.97980000000001</v>
      </c>
      <c r="J3144">
        <v>-270.58010000000002</v>
      </c>
      <c r="K3144">
        <v>1.108838</v>
      </c>
      <c r="L3144">
        <v>282.0351</v>
      </c>
      <c r="M3144">
        <v>-0.99996499999999999</v>
      </c>
      <c r="N3144">
        <v>0</v>
      </c>
      <c r="O3144">
        <v>-4.2258219999999997E-3</v>
      </c>
      <c r="P3144">
        <v>-0.99947160000000002</v>
      </c>
      <c r="Q3144">
        <v>3.2331850000000002E-2</v>
      </c>
      <c r="R3144">
        <v>-3.390746E-3</v>
      </c>
      <c r="S3144">
        <v>-3.0070800000000002</v>
      </c>
      <c r="T3144">
        <v>-0.21374470000000001</v>
      </c>
      <c r="U3144">
        <v>-0.3963623</v>
      </c>
      <c r="V3144">
        <v>8.6896339999999997E-4</v>
      </c>
      <c r="W3144">
        <v>3.9569840000000002E-2</v>
      </c>
      <c r="X3144">
        <v>0.9992164</v>
      </c>
      <c r="Y3144">
        <v>-0.1261861</v>
      </c>
      <c r="Z3144">
        <v>-4.1611240000000004E-3</v>
      </c>
      <c r="AA3144">
        <v>0.99199780000000004</v>
      </c>
      <c r="AB3144">
        <v>38</v>
      </c>
      <c r="AC3144">
        <v>-15.3630999999999</v>
      </c>
      <c r="AD3144">
        <v>-1.1088312752709999</v>
      </c>
      <c r="AE3144">
        <v>-2.0552999999999799</v>
      </c>
      <c r="AF3144">
        <v>-1.9802241678681201</v>
      </c>
      <c r="AG3144">
        <v>-1.1088312752709999</v>
      </c>
      <c r="AH3144">
        <v>15.2933824532298</v>
      </c>
      <c r="AI3144">
        <v>94.112702764470399</v>
      </c>
      <c r="AJ3144">
        <v>97.377747886754804</v>
      </c>
      <c r="AK3144">
        <v>15.460864833921301</v>
      </c>
      <c r="AL3144">
        <v>87.732223039030202</v>
      </c>
      <c r="AM3144">
        <v>89.950173032768305</v>
      </c>
      <c r="AN3144">
        <v>0.99999997068198698</v>
      </c>
    </row>
    <row r="3145" spans="1:40" x14ac:dyDescent="0.25">
      <c r="A3145" t="str">
        <f>"20190312150723053"</f>
        <v>20190312150723053</v>
      </c>
      <c r="B3145" t="str">
        <f>"1552374443042974"</f>
        <v>1552374443042974</v>
      </c>
      <c r="C3145" t="s">
        <v>40</v>
      </c>
      <c r="D3145">
        <v>4.259538</v>
      </c>
      <c r="E3145">
        <v>0.45241690000000001</v>
      </c>
      <c r="F3145" t="s">
        <v>68</v>
      </c>
      <c r="G3145">
        <v>-286.57760000000002</v>
      </c>
      <c r="H3145" s="1">
        <v>6.453949E-6</v>
      </c>
      <c r="I3145">
        <v>279.9289</v>
      </c>
      <c r="J3145">
        <v>-270.83150000000001</v>
      </c>
      <c r="K3145">
        <v>1.108833</v>
      </c>
      <c r="L3145">
        <v>282.0342</v>
      </c>
      <c r="M3145">
        <v>-0.99996580000000002</v>
      </c>
      <c r="N3145">
        <v>0</v>
      </c>
      <c r="O3145">
        <v>-3.9818170000000003E-3</v>
      </c>
      <c r="P3145">
        <v>-0.99948400000000004</v>
      </c>
      <c r="Q3145">
        <v>3.1970369999999998E-2</v>
      </c>
      <c r="R3145">
        <v>-3.1600729999999998E-3</v>
      </c>
      <c r="S3145">
        <v>-3.0069889999999999</v>
      </c>
      <c r="T3145">
        <v>-0.20842269999999999</v>
      </c>
      <c r="U3145">
        <v>-0.39590449999999999</v>
      </c>
      <c r="V3145">
        <v>8.5593249999999996E-4</v>
      </c>
      <c r="W3145">
        <v>3.9222489999999999E-2</v>
      </c>
      <c r="X3145">
        <v>0.99923010000000001</v>
      </c>
      <c r="Y3145">
        <v>-0.12629769999999901</v>
      </c>
      <c r="Z3145">
        <v>-4.0785910000000003E-3</v>
      </c>
      <c r="AA3145">
        <v>0.99198399999999998</v>
      </c>
      <c r="AB3145">
        <v>38</v>
      </c>
      <c r="AC3145">
        <v>-15.7461</v>
      </c>
      <c r="AD3145">
        <v>-1.1088265460510001</v>
      </c>
      <c r="AE3145">
        <v>-2.1053000000000002</v>
      </c>
      <c r="AF3145">
        <v>-2.0326808345021798</v>
      </c>
      <c r="AG3145">
        <v>-1.1088265460510001</v>
      </c>
      <c r="AH3145">
        <v>15.677978910969999</v>
      </c>
      <c r="AI3145">
        <v>94.012044213252807</v>
      </c>
      <c r="AJ3145">
        <v>97.387301942186696</v>
      </c>
      <c r="AK3145">
        <v>15.8480380620757</v>
      </c>
      <c r="AL3145">
        <v>87.752140177212596</v>
      </c>
      <c r="AM3145">
        <v>89.950920906202299</v>
      </c>
      <c r="AN3145">
        <v>0.99999996454412599</v>
      </c>
    </row>
    <row r="3146" spans="1:40" x14ac:dyDescent="0.25">
      <c r="A3146" t="str">
        <f>"20190312150723069"</f>
        <v>20190312150723069</v>
      </c>
      <c r="B3146" t="str">
        <f>"1552374443063471"</f>
        <v>1552374443063471</v>
      </c>
      <c r="C3146" t="s">
        <v>40</v>
      </c>
      <c r="D3146">
        <v>4.243271</v>
      </c>
      <c r="E3146">
        <v>0.45246140000000001</v>
      </c>
      <c r="F3146" t="s">
        <v>68</v>
      </c>
      <c r="G3146">
        <v>-286.56569999999999</v>
      </c>
      <c r="H3146" s="1">
        <v>6.4530999999999899E-6</v>
      </c>
      <c r="I3146">
        <v>279.95839999999998</v>
      </c>
      <c r="J3146">
        <v>-271.1028</v>
      </c>
      <c r="K3146">
        <v>1.108827</v>
      </c>
      <c r="L3146">
        <v>282.03339999999997</v>
      </c>
      <c r="M3146">
        <v>-0.99996669999999999</v>
      </c>
      <c r="N3146">
        <v>0</v>
      </c>
      <c r="O3146">
        <v>-3.7156400000000001E-3</v>
      </c>
      <c r="P3146">
        <v>-0.99950309999999998</v>
      </c>
      <c r="Q3146">
        <v>3.1390620000000001E-2</v>
      </c>
      <c r="R3146">
        <v>-2.8397309999999999E-3</v>
      </c>
      <c r="S3146">
        <v>-3.0071110000000001</v>
      </c>
      <c r="T3146">
        <v>-0.21191860000000001</v>
      </c>
      <c r="U3146">
        <v>-0.39672849999999998</v>
      </c>
      <c r="V3146">
        <v>9.1000930000000003E-4</v>
      </c>
      <c r="W3146">
        <v>3.866025E-2</v>
      </c>
      <c r="X3146">
        <v>0.99925200000000003</v>
      </c>
      <c r="Y3146">
        <v>-0.12681199999999901</v>
      </c>
      <c r="Z3146">
        <v>-4.1832709999999997E-3</v>
      </c>
      <c r="AA3146">
        <v>0.99191799999999997</v>
      </c>
      <c r="AB3146">
        <v>38</v>
      </c>
      <c r="AC3146">
        <v>-15.4628999999999</v>
      </c>
      <c r="AD3146">
        <v>-1.1088205468999901</v>
      </c>
      <c r="AE3146">
        <v>-2.0749999999999802</v>
      </c>
      <c r="AF3146">
        <v>-2.00738997575501</v>
      </c>
      <c r="AG3146">
        <v>-1.1088205468999901</v>
      </c>
      <c r="AH3146">
        <v>15.3927524204877</v>
      </c>
      <c r="AI3146">
        <v>94.085720086452099</v>
      </c>
      <c r="AJ3146">
        <v>97.430089127028197</v>
      </c>
      <c r="AK3146">
        <v>15.5626451671436</v>
      </c>
      <c r="AL3146">
        <v>87.784378692222802</v>
      </c>
      <c r="AM3146">
        <v>89.947821292533305</v>
      </c>
      <c r="AN3146">
        <v>1.0000000012754899</v>
      </c>
    </row>
    <row r="3147" spans="1:40" x14ac:dyDescent="0.25">
      <c r="A3147" t="str">
        <f>"20190312150723082"</f>
        <v>20190312150723082</v>
      </c>
      <c r="B3147" t="str">
        <f>"1552374443073232"</f>
        <v>1552374443073232</v>
      </c>
      <c r="C3147" t="s">
        <v>40</v>
      </c>
      <c r="D3147">
        <v>4.2828039999999996</v>
      </c>
      <c r="E3147">
        <v>0.45245340000000001</v>
      </c>
      <c r="F3147" t="s">
        <v>68</v>
      </c>
      <c r="G3147">
        <v>-286.94139999999999</v>
      </c>
      <c r="H3147" s="1">
        <v>6.2881190000000003E-6</v>
      </c>
      <c r="I3147">
        <v>279.95060000000001</v>
      </c>
      <c r="J3147">
        <v>-271.31599999999997</v>
      </c>
      <c r="K3147">
        <v>1.108819</v>
      </c>
      <c r="L3147">
        <v>282.03269999999998</v>
      </c>
      <c r="M3147">
        <v>-0.9999673</v>
      </c>
      <c r="N3147">
        <v>0</v>
      </c>
      <c r="O3147">
        <v>-3.5041819999999998E-3</v>
      </c>
      <c r="P3147">
        <v>-0.99950729999999999</v>
      </c>
      <c r="Q3147">
        <v>3.1277520000000003E-2</v>
      </c>
      <c r="R3147">
        <v>-2.6258050000000002E-3</v>
      </c>
      <c r="S3147">
        <v>-3.006958</v>
      </c>
      <c r="T3147">
        <v>-0.21051030000000001</v>
      </c>
      <c r="U3147">
        <v>-0.3954163</v>
      </c>
      <c r="V3147">
        <v>9.128761E-4</v>
      </c>
      <c r="W3147">
        <v>3.8562569999999997E-2</v>
      </c>
      <c r="X3147">
        <v>0.99925580000000003</v>
      </c>
      <c r="Y3147">
        <v>-0.12660669999999999</v>
      </c>
      <c r="Z3147">
        <v>-4.1634380000000002E-3</v>
      </c>
      <c r="AA3147">
        <v>0.9919443</v>
      </c>
      <c r="AB3147">
        <v>38</v>
      </c>
      <c r="AC3147">
        <v>-15.625400000000001</v>
      </c>
      <c r="AD3147">
        <v>-1.1088127118810001</v>
      </c>
      <c r="AE3147">
        <v>-2.0820999999999601</v>
      </c>
      <c r="AF3147">
        <v>-2.0173501087427299</v>
      </c>
      <c r="AG3147">
        <v>-1.1088127118810001</v>
      </c>
      <c r="AH3147">
        <v>15.555634431891701</v>
      </c>
      <c r="AI3147">
        <v>94.043426689926207</v>
      </c>
      <c r="AJ3147">
        <v>97.389227150390894</v>
      </c>
      <c r="AK3147">
        <v>15.7250414838858</v>
      </c>
      <c r="AL3147">
        <v>87.789979582877194</v>
      </c>
      <c r="AM3147">
        <v>89.947657113225901</v>
      </c>
      <c r="AN3147">
        <v>1.0000000294907001</v>
      </c>
    </row>
    <row r="3148" spans="1:40" x14ac:dyDescent="0.25">
      <c r="A3148" t="str">
        <f>"20190312150723102"</f>
        <v>20190312150723102</v>
      </c>
      <c r="B3148" t="str">
        <f>"1552374443093727"</f>
        <v>1552374443093727</v>
      </c>
      <c r="C3148" t="s">
        <v>40</v>
      </c>
      <c r="D3148">
        <v>4.2879659999999999</v>
      </c>
      <c r="E3148">
        <v>0.45266729999999999</v>
      </c>
      <c r="F3148" t="s">
        <v>68</v>
      </c>
      <c r="G3148">
        <v>-287.16039999999998</v>
      </c>
      <c r="H3148" s="1">
        <v>6.1906280000000004E-6</v>
      </c>
      <c r="I3148">
        <v>279.95249999999999</v>
      </c>
      <c r="J3148">
        <v>-271.6696</v>
      </c>
      <c r="K3148">
        <v>1.108808</v>
      </c>
      <c r="L3148">
        <v>282.03179999999998</v>
      </c>
      <c r="M3148">
        <v>-0.99996830000000003</v>
      </c>
      <c r="N3148">
        <v>0</v>
      </c>
      <c r="O3148">
        <v>-3.1479099999999999E-3</v>
      </c>
      <c r="P3148">
        <v>-0.99952419999999997</v>
      </c>
      <c r="Q3148">
        <v>3.0750739999999999E-2</v>
      </c>
      <c r="R3148">
        <v>-2.4755810000000001E-3</v>
      </c>
      <c r="S3148">
        <v>-3.0070190000000001</v>
      </c>
      <c r="T3148">
        <v>-0.21043529999999999</v>
      </c>
      <c r="U3148">
        <v>-0.39480589999999999</v>
      </c>
      <c r="V3148">
        <v>7.0749639999999998E-4</v>
      </c>
      <c r="W3148">
        <v>3.8067030000000002E-2</v>
      </c>
      <c r="X3148">
        <v>0.99927489999999997</v>
      </c>
      <c r="Y3148">
        <v>-0.1267585</v>
      </c>
      <c r="Z3148">
        <v>-4.1920059999999999E-3</v>
      </c>
      <c r="AA3148">
        <v>0.99192480000000005</v>
      </c>
      <c r="AB3148">
        <v>38</v>
      </c>
      <c r="AC3148">
        <v>-15.490799999999901</v>
      </c>
      <c r="AD3148">
        <v>-1.108801809372</v>
      </c>
      <c r="AE3148">
        <v>-2.0792999999999799</v>
      </c>
      <c r="AF3148">
        <v>-2.0203568051052798</v>
      </c>
      <c r="AG3148">
        <v>-1.108801809372</v>
      </c>
      <c r="AH3148">
        <v>15.4196656003194</v>
      </c>
      <c r="AI3148">
        <v>94.078223958867198</v>
      </c>
      <c r="AJ3148">
        <v>97.464638877295897</v>
      </c>
      <c r="AK3148">
        <v>15.5909387240818</v>
      </c>
      <c r="AL3148">
        <v>87.818392650093401</v>
      </c>
      <c r="AM3148">
        <v>89.959434034651096</v>
      </c>
      <c r="AN3148">
        <v>0.999999962547092</v>
      </c>
    </row>
    <row r="3149" spans="1:40" x14ac:dyDescent="0.25">
      <c r="A3149" t="str">
        <f>"20190312150723114"</f>
        <v>20190312150723114</v>
      </c>
      <c r="B3149" t="str">
        <f>"1552374443103487"</f>
        <v>1552374443103487</v>
      </c>
      <c r="C3149" t="s">
        <v>40</v>
      </c>
      <c r="D3149">
        <v>4.1886669999999997</v>
      </c>
      <c r="E3149">
        <v>0.4886605</v>
      </c>
      <c r="F3149" t="s">
        <v>68</v>
      </c>
      <c r="G3149">
        <v>-287.22050000000002</v>
      </c>
      <c r="H3149" s="1">
        <v>6.1538999999999996E-6</v>
      </c>
      <c r="I3149">
        <v>280.00110000000001</v>
      </c>
      <c r="J3149">
        <v>-271.86369999999999</v>
      </c>
      <c r="K3149">
        <v>1.1088039999999999</v>
      </c>
      <c r="L3149">
        <v>282.03129999999999</v>
      </c>
      <c r="M3149">
        <v>-0.99996879999999999</v>
      </c>
      <c r="N3149">
        <v>0</v>
      </c>
      <c r="O3149">
        <v>-2.9495739999999999E-3</v>
      </c>
      <c r="P3149">
        <v>-0.99953559999999997</v>
      </c>
      <c r="Q3149">
        <v>3.039654E-2</v>
      </c>
      <c r="R3149">
        <v>-2.244458E-3</v>
      </c>
      <c r="S3149">
        <v>-3.00705</v>
      </c>
      <c r="T3149">
        <v>-0.21440629999999999</v>
      </c>
      <c r="U3149">
        <v>-0.39266970000000001</v>
      </c>
      <c r="V3149">
        <v>7.4041820000000003E-4</v>
      </c>
      <c r="W3149">
        <v>3.7731099999999997E-2</v>
      </c>
      <c r="X3149">
        <v>0.9992877</v>
      </c>
      <c r="Y3149">
        <v>-0.12625059999999999</v>
      </c>
      <c r="Z3149">
        <v>-4.2671230000000003E-3</v>
      </c>
      <c r="AA3149">
        <v>0.99198920000000002</v>
      </c>
      <c r="AB3149">
        <v>38</v>
      </c>
      <c r="AC3149">
        <v>-15.3568</v>
      </c>
      <c r="AD3149">
        <v>-1.1087978461000001</v>
      </c>
      <c r="AE3149">
        <v>-2.0301999999999798</v>
      </c>
      <c r="AF3149">
        <v>-1.97477589495783</v>
      </c>
      <c r="AG3149">
        <v>-1.1087978461000001</v>
      </c>
      <c r="AH3149">
        <v>15.2844097808354</v>
      </c>
      <c r="AI3149">
        <v>94.115131495101593</v>
      </c>
      <c r="AJ3149">
        <v>97.361943839516599</v>
      </c>
      <c r="AK3149">
        <v>15.451289747050801</v>
      </c>
      <c r="AL3149">
        <v>87.837654039899903</v>
      </c>
      <c r="AM3149">
        <v>89.957546930507306</v>
      </c>
      <c r="AN3149">
        <v>1.0000000457488001</v>
      </c>
    </row>
    <row r="3150" spans="1:40" x14ac:dyDescent="0.25">
      <c r="A3150" t="str">
        <f>"20190312150723126"</f>
        <v>20190312150723126</v>
      </c>
      <c r="B3150" t="str">
        <f>"1552374443123007"</f>
        <v>1552374443123007</v>
      </c>
      <c r="C3150" t="s">
        <v>40</v>
      </c>
      <c r="D3150">
        <v>4.4475749999999996</v>
      </c>
      <c r="E3150">
        <v>0.49329269999999997</v>
      </c>
      <c r="F3150" t="s">
        <v>67</v>
      </c>
      <c r="G3150">
        <v>-340.39569999999998</v>
      </c>
      <c r="H3150" s="1">
        <v>-1.326225E-6</v>
      </c>
      <c r="I3150">
        <v>279.73419999999999</v>
      </c>
      <c r="J3150">
        <v>-272.07</v>
      </c>
      <c r="K3150">
        <v>1.108806</v>
      </c>
      <c r="L3150">
        <v>282.03089999999997</v>
      </c>
      <c r="M3150">
        <v>-0.9999692</v>
      </c>
      <c r="N3150">
        <v>0</v>
      </c>
      <c r="O3150">
        <v>-2.7376509999999998E-3</v>
      </c>
      <c r="P3150">
        <v>-0.99954180000000004</v>
      </c>
      <c r="Q3150">
        <v>3.0214700000000001E-2</v>
      </c>
      <c r="R3150">
        <v>-1.85687E-3</v>
      </c>
      <c r="S3150">
        <v>-3.0026860000000002</v>
      </c>
      <c r="T3150">
        <v>-4.8581600000000003E-2</v>
      </c>
      <c r="U3150">
        <v>-0.100647</v>
      </c>
      <c r="V3150">
        <v>9.1644070000000005E-4</v>
      </c>
      <c r="W3150">
        <v>3.7569089999999999E-2</v>
      </c>
      <c r="X3150">
        <v>0.9992936</v>
      </c>
      <c r="Y3150">
        <v>-3.076019E-2</v>
      </c>
      <c r="Z3150">
        <v>-2.044755E-4</v>
      </c>
      <c r="AA3150">
        <v>0.99952680000000005</v>
      </c>
      <c r="AB3150">
        <v>38</v>
      </c>
      <c r="AC3150">
        <v>-68.325699999999898</v>
      </c>
      <c r="AD3150">
        <v>-1.108807326225</v>
      </c>
      <c r="AE3150">
        <v>-2.29669999999998</v>
      </c>
      <c r="AF3150">
        <v>-2.1090795987704301</v>
      </c>
      <c r="AG3150">
        <v>-1.108807326225</v>
      </c>
      <c r="AH3150">
        <v>68.313761111286496</v>
      </c>
      <c r="AI3150">
        <v>90.929448960040403</v>
      </c>
      <c r="AJ3150">
        <v>91.768355095617693</v>
      </c>
      <c r="AK3150">
        <v>68.355304312178703</v>
      </c>
      <c r="AL3150">
        <v>87.846942989773893</v>
      </c>
      <c r="AM3150">
        <v>89.947454712445506</v>
      </c>
      <c r="AN3150">
        <v>0.99999998769397203</v>
      </c>
    </row>
    <row r="3151" spans="1:40" x14ac:dyDescent="0.25">
      <c r="A3151" t="str">
        <f>"20190312150723138"</f>
        <v>20190312150723138</v>
      </c>
      <c r="B3151" t="str">
        <f>"1552374443133744"</f>
        <v>1552374443133744</v>
      </c>
      <c r="C3151" t="s">
        <v>40</v>
      </c>
      <c r="D3151">
        <v>4.2378799999999996</v>
      </c>
      <c r="E3151">
        <v>0.49408350000000001</v>
      </c>
      <c r="F3151" t="s">
        <v>67</v>
      </c>
      <c r="G3151">
        <v>-337.53730000000002</v>
      </c>
      <c r="H3151" s="1">
        <v>2.6469609999999998E-6</v>
      </c>
      <c r="I3151">
        <v>280.66359999999997</v>
      </c>
      <c r="J3151">
        <v>-272.27159999999998</v>
      </c>
      <c r="K3151">
        <v>1.1088020000000001</v>
      </c>
      <c r="L3151">
        <v>282.03050000000002</v>
      </c>
      <c r="M3151">
        <v>-0.99996969999999996</v>
      </c>
      <c r="N3151">
        <v>0</v>
      </c>
      <c r="O3151">
        <v>-2.52835E-3</v>
      </c>
      <c r="P3151">
        <v>-0.99955269999999996</v>
      </c>
      <c r="Q3151">
        <v>2.987774E-2</v>
      </c>
      <c r="R3151">
        <v>-1.3925319999999999E-3</v>
      </c>
      <c r="S3151">
        <v>-3.0028380000000001</v>
      </c>
      <c r="T3151">
        <v>-5.0858380000000002E-2</v>
      </c>
      <c r="U3151">
        <v>-6.2713619999999998E-2</v>
      </c>
      <c r="V3151">
        <v>1.171619E-3</v>
      </c>
      <c r="W3151">
        <v>3.7251260000000001E-2</v>
      </c>
      <c r="X3151">
        <v>0.9993052</v>
      </c>
      <c r="Y3151">
        <v>-1.835003E-2</v>
      </c>
      <c r="Z3151">
        <v>-1.125519E-4</v>
      </c>
      <c r="AA3151">
        <v>0.99983160000000004</v>
      </c>
      <c r="AB3151">
        <v>38</v>
      </c>
      <c r="AC3151">
        <v>-65.265699999999995</v>
      </c>
      <c r="AD3151">
        <v>-1.1087993530389999</v>
      </c>
      <c r="AE3151">
        <v>-1.36690000000004</v>
      </c>
      <c r="AF3151">
        <v>-1.20152998443138</v>
      </c>
      <c r="AG3151">
        <v>-1.1087993530389999</v>
      </c>
      <c r="AH3151">
        <v>65.2501228309401</v>
      </c>
      <c r="AI3151">
        <v>90.973372025766807</v>
      </c>
      <c r="AJ3151">
        <v>91.054937746240597</v>
      </c>
      <c r="AK3151">
        <v>65.270603182149003</v>
      </c>
      <c r="AL3151">
        <v>87.865165996036097</v>
      </c>
      <c r="AM3151">
        <v>89.932824533346803</v>
      </c>
      <c r="AN3151">
        <v>0.99999995590485302</v>
      </c>
    </row>
    <row r="3152" spans="1:40" x14ac:dyDescent="0.25">
      <c r="A3152" t="str">
        <f>"20190312150723151"</f>
        <v>20190312150723151</v>
      </c>
      <c r="B3152" t="str">
        <f>"1552374443143504"</f>
        <v>1552374443143504</v>
      </c>
      <c r="C3152" t="s">
        <v>40</v>
      </c>
      <c r="D3152">
        <v>4.1678610000000003</v>
      </c>
      <c r="E3152">
        <v>0.49439369999999999</v>
      </c>
      <c r="F3152" t="s">
        <v>67</v>
      </c>
      <c r="G3152">
        <v>-333.90410000000003</v>
      </c>
      <c r="H3152" s="1">
        <v>7.0309739999999998E-7</v>
      </c>
      <c r="I3152">
        <v>280.90300000000002</v>
      </c>
      <c r="J3152">
        <v>-272.49509999999998</v>
      </c>
      <c r="K3152">
        <v>1.1088</v>
      </c>
      <c r="L3152">
        <v>282.0301</v>
      </c>
      <c r="M3152">
        <v>-0.99997009999999997</v>
      </c>
      <c r="N3152">
        <v>0</v>
      </c>
      <c r="O3152">
        <v>-2.2946160000000002E-3</v>
      </c>
      <c r="P3152">
        <v>-0.99956970000000001</v>
      </c>
      <c r="Q3152">
        <v>2.9321079999999999E-2</v>
      </c>
      <c r="R3152">
        <v>-9.6729339999999996E-4</v>
      </c>
      <c r="S3152">
        <v>-3.0028990000000002</v>
      </c>
      <c r="T3152">
        <v>-5.4023740000000001E-2</v>
      </c>
      <c r="U3152">
        <v>-5.4931639999999997E-2</v>
      </c>
      <c r="V3152">
        <v>1.3631470000000001E-3</v>
      </c>
      <c r="W3152">
        <v>3.6715190000000002E-2</v>
      </c>
      <c r="X3152">
        <v>0.99932489999999996</v>
      </c>
      <c r="Y3152">
        <v>-1.5993250000000001E-2</v>
      </c>
      <c r="Z3152">
        <v>-1.025644E-4</v>
      </c>
      <c r="AA3152">
        <v>0.99987210000000004</v>
      </c>
      <c r="AB3152">
        <v>38</v>
      </c>
      <c r="AC3152">
        <v>-61.408999999999999</v>
      </c>
      <c r="AD3152">
        <v>-1.1087992969025999</v>
      </c>
      <c r="AE3152">
        <v>-1.12709999999998</v>
      </c>
      <c r="AF3152">
        <v>-0.98586181566094</v>
      </c>
      <c r="AG3152">
        <v>-1.1087992969025999</v>
      </c>
      <c r="AH3152">
        <v>61.391416677391597</v>
      </c>
      <c r="AI3152">
        <v>91.034581537969501</v>
      </c>
      <c r="AJ3152">
        <v>90.920012430494396</v>
      </c>
      <c r="AK3152">
        <v>61.409342945984299</v>
      </c>
      <c r="AL3152">
        <v>87.895901791092399</v>
      </c>
      <c r="AM3152">
        <v>89.921844715852998</v>
      </c>
      <c r="AN3152">
        <v>1.0000000595532399</v>
      </c>
    </row>
    <row r="3153" spans="1:40" x14ac:dyDescent="0.25">
      <c r="A3153" t="str">
        <f>"20190312150723162"</f>
        <v>20190312150723162</v>
      </c>
      <c r="B3153" t="str">
        <f>"1552374443153263"</f>
        <v>1552374443153263</v>
      </c>
      <c r="C3153" t="s">
        <v>40</v>
      </c>
      <c r="D3153">
        <v>4.1844080000000003</v>
      </c>
      <c r="E3153">
        <v>0.49457909999999999</v>
      </c>
      <c r="F3153" t="s">
        <v>67</v>
      </c>
      <c r="G3153">
        <v>-330.63819999999998</v>
      </c>
      <c r="H3153" s="1">
        <v>-1.0406710000000001E-6</v>
      </c>
      <c r="I3153">
        <v>281.03620000000001</v>
      </c>
      <c r="J3153">
        <v>-272.68770000000001</v>
      </c>
      <c r="K3153">
        <v>1.1088009999999999</v>
      </c>
      <c r="L3153">
        <v>282.02980000000002</v>
      </c>
      <c r="M3153">
        <v>-0.99997049999999998</v>
      </c>
      <c r="N3153">
        <v>0</v>
      </c>
      <c r="O3153">
        <v>-2.0919929999999999E-3</v>
      </c>
      <c r="P3153">
        <v>-0.99957600000000002</v>
      </c>
      <c r="Q3153">
        <v>2.9119180000000001E-2</v>
      </c>
      <c r="R3153">
        <v>-2.9893679999999997E-4</v>
      </c>
      <c r="S3153">
        <v>-3.0029300000000001</v>
      </c>
      <c r="T3153">
        <v>-5.726647E-2</v>
      </c>
      <c r="U3153">
        <v>-5.1330569999999999E-2</v>
      </c>
      <c r="V3153">
        <v>1.8289529999999999E-3</v>
      </c>
      <c r="W3153">
        <v>3.6530300000000002E-2</v>
      </c>
      <c r="X3153">
        <v>0.99933090000000002</v>
      </c>
      <c r="Y3153">
        <v>-1.4996870000000001E-2</v>
      </c>
      <c r="Z3153">
        <v>-1.030842E-4</v>
      </c>
      <c r="AA3153">
        <v>0.99988750000000004</v>
      </c>
      <c r="AB3153">
        <v>38</v>
      </c>
      <c r="AC3153">
        <v>-57.950499999999899</v>
      </c>
      <c r="AD3153">
        <v>-1.108802040671</v>
      </c>
      <c r="AE3153">
        <v>-0.99360000000001403</v>
      </c>
      <c r="AF3153">
        <v>-0.87204331740139696</v>
      </c>
      <c r="AG3153">
        <v>-1.108802040671</v>
      </c>
      <c r="AH3153">
        <v>57.931249744449303</v>
      </c>
      <c r="AI3153">
        <v>91.096381099187099</v>
      </c>
      <c r="AJ3153">
        <v>90.862412402262294</v>
      </c>
      <c r="AK3153">
        <v>57.948421880725803</v>
      </c>
      <c r="AL3153">
        <v>87.906502251859905</v>
      </c>
      <c r="AM3153">
        <v>89.895138666454898</v>
      </c>
      <c r="AN3153">
        <v>1.00000002779098</v>
      </c>
    </row>
    <row r="3154" spans="1:40" x14ac:dyDescent="0.25">
      <c r="A3154" t="str">
        <f>"20190312150723173"</f>
        <v>20190312150723173</v>
      </c>
      <c r="B3154" t="str">
        <f>"1552374443163023"</f>
        <v>1552374443163023</v>
      </c>
      <c r="C3154" t="s">
        <v>40</v>
      </c>
      <c r="D3154">
        <v>4.1216670000000004</v>
      </c>
      <c r="E3154">
        <v>0.49492180000000002</v>
      </c>
      <c r="F3154" t="s">
        <v>67</v>
      </c>
      <c r="G3154">
        <v>-328.16719999999998</v>
      </c>
      <c r="H3154" s="1">
        <v>2.9611389999999999E-6</v>
      </c>
      <c r="I3154">
        <v>281.14519999999999</v>
      </c>
      <c r="J3154">
        <v>-272.87400000000002</v>
      </c>
      <c r="K3154">
        <v>1.1087990000000001</v>
      </c>
      <c r="L3154">
        <v>282.02960000000002</v>
      </c>
      <c r="M3154">
        <v>-0.99997069999999999</v>
      </c>
      <c r="N3154">
        <v>0</v>
      </c>
      <c r="O3154">
        <v>-1.8942609999999999E-3</v>
      </c>
      <c r="P3154">
        <v>-0.99957720000000005</v>
      </c>
      <c r="Q3154">
        <v>2.908258E-2</v>
      </c>
      <c r="R3154">
        <v>-1.05466E-4</v>
      </c>
      <c r="S3154">
        <v>-3.0030209999999999</v>
      </c>
      <c r="T3154">
        <v>-6.0017470000000003E-2</v>
      </c>
      <c r="U3154">
        <v>-4.788208E-2</v>
      </c>
      <c r="V3154">
        <v>1.8251910000000001E-3</v>
      </c>
      <c r="W3154">
        <v>3.6511719999999998E-2</v>
      </c>
      <c r="X3154">
        <v>0.99933150000000004</v>
      </c>
      <c r="Y3154">
        <v>-1.4046080000000001E-2</v>
      </c>
      <c r="Z3154">
        <v>-1.024846E-4</v>
      </c>
      <c r="AA3154">
        <v>0.99990140000000005</v>
      </c>
      <c r="AB3154">
        <v>38</v>
      </c>
      <c r="AC3154">
        <v>-55.293199999999899</v>
      </c>
      <c r="AD3154">
        <v>-1.1087960388610001</v>
      </c>
      <c r="AE3154">
        <v>-0.88440000000002705</v>
      </c>
      <c r="AF3154">
        <v>-0.77934246776464899</v>
      </c>
      <c r="AG3154">
        <v>-1.1087960388610001</v>
      </c>
      <c r="AH3154">
        <v>55.272555392170197</v>
      </c>
      <c r="AI3154">
        <v>91.149114626854896</v>
      </c>
      <c r="AJ3154">
        <v>90.807816376175396</v>
      </c>
      <c r="AK3154">
        <v>55.289168766751899</v>
      </c>
      <c r="AL3154">
        <v>87.907567338384297</v>
      </c>
      <c r="AM3154">
        <v>89.895354419604601</v>
      </c>
      <c r="AN3154">
        <v>0.99999994195589503</v>
      </c>
    </row>
    <row r="3155" spans="1:40" x14ac:dyDescent="0.25">
      <c r="A3155" t="str">
        <f>"20190312150723184"</f>
        <v>20190312150723184</v>
      </c>
      <c r="B3155" t="str">
        <f>"1552374443173760"</f>
        <v>1552374443173760</v>
      </c>
      <c r="C3155" t="s">
        <v>40</v>
      </c>
      <c r="D3155">
        <v>4.1725079999999997</v>
      </c>
      <c r="E3155">
        <v>0.49525370000000002</v>
      </c>
      <c r="F3155" t="s">
        <v>67</v>
      </c>
      <c r="G3155">
        <v>-332.67219999999998</v>
      </c>
      <c r="H3155" s="1">
        <v>3.7021470000000002E-8</v>
      </c>
      <c r="I3155">
        <v>281.14409999999998</v>
      </c>
      <c r="J3155">
        <v>-273.06819999999999</v>
      </c>
      <c r="K3155">
        <v>1.108797</v>
      </c>
      <c r="L3155">
        <v>282.02929999999998</v>
      </c>
      <c r="M3155">
        <v>-0.9999709</v>
      </c>
      <c r="N3155">
        <v>0</v>
      </c>
      <c r="O3155">
        <v>-1.6877120000000001E-3</v>
      </c>
      <c r="P3155">
        <v>-0.99958170000000002</v>
      </c>
      <c r="Q3155">
        <v>2.892838E-2</v>
      </c>
      <c r="R3155">
        <v>3.7237700000000002E-4</v>
      </c>
      <c r="S3155">
        <v>-3.0028990000000002</v>
      </c>
      <c r="T3155">
        <v>-5.5680750000000001E-2</v>
      </c>
      <c r="U3155">
        <v>-4.4464110000000001E-2</v>
      </c>
      <c r="V3155">
        <v>2.0967949999999998E-3</v>
      </c>
      <c r="W3155">
        <v>3.6376859999999997E-2</v>
      </c>
      <c r="X3155">
        <v>0.99933590000000005</v>
      </c>
      <c r="Y3155">
        <v>-1.311588E-2</v>
      </c>
      <c r="Z3155" s="1">
        <v>-9.0291930000000004E-5</v>
      </c>
      <c r="AA3155">
        <v>0.99991399999999997</v>
      </c>
      <c r="AB3155">
        <v>38</v>
      </c>
      <c r="AC3155">
        <v>-59.6039999999999</v>
      </c>
      <c r="AD3155">
        <v>-1.1087969629785299</v>
      </c>
      <c r="AE3155">
        <v>-0.88519999999999699</v>
      </c>
      <c r="AF3155">
        <v>-0.78433020248100005</v>
      </c>
      <c r="AG3155">
        <v>-1.1087969629785299</v>
      </c>
      <c r="AH3155">
        <v>59.584793658022697</v>
      </c>
      <c r="AI3155">
        <v>91.065985959880706</v>
      </c>
      <c r="AJ3155">
        <v>90.754155755526696</v>
      </c>
      <c r="AK3155">
        <v>59.600270467849199</v>
      </c>
      <c r="AL3155">
        <v>87.915299415046405</v>
      </c>
      <c r="AM3155">
        <v>89.879782836074398</v>
      </c>
      <c r="AN3155">
        <v>0.99999995676076903</v>
      </c>
    </row>
    <row r="3156" spans="1:40" x14ac:dyDescent="0.25">
      <c r="A3156" t="str">
        <f>"20190312150723196"</f>
        <v>20190312150723196</v>
      </c>
      <c r="B3156" t="str">
        <f>"1552374443193279"</f>
        <v>1552374443193279</v>
      </c>
      <c r="C3156" t="s">
        <v>40</v>
      </c>
      <c r="D3156">
        <v>4.1549209999999999</v>
      </c>
      <c r="E3156">
        <v>0.49501119999999998</v>
      </c>
      <c r="F3156" t="s">
        <v>67</v>
      </c>
      <c r="G3156">
        <v>-336.6628</v>
      </c>
      <c r="H3156" s="1">
        <v>2.1592509999999999E-6</v>
      </c>
      <c r="I3156">
        <v>281.1755</v>
      </c>
      <c r="J3156">
        <v>-273.26530000000002</v>
      </c>
      <c r="K3156">
        <v>1.108795</v>
      </c>
      <c r="L3156">
        <v>282.0292</v>
      </c>
      <c r="M3156">
        <v>-0.99997100000000005</v>
      </c>
      <c r="N3156">
        <v>0</v>
      </c>
      <c r="O3156">
        <v>-1.4768779999999901E-3</v>
      </c>
      <c r="P3156">
        <v>-0.99958239999999998</v>
      </c>
      <c r="Q3156">
        <v>2.889222E-2</v>
      </c>
      <c r="R3156">
        <v>7.2079119999999999E-4</v>
      </c>
      <c r="S3156">
        <v>-3.0027469999999998</v>
      </c>
      <c r="T3156">
        <v>-5.2353980000000001E-2</v>
      </c>
      <c r="U3156">
        <v>-4.0313719999999997E-2</v>
      </c>
      <c r="V3156">
        <v>2.2345490000000002E-3</v>
      </c>
      <c r="W3156">
        <v>3.6360650000000001E-2</v>
      </c>
      <c r="X3156">
        <v>0.99933620000000001</v>
      </c>
      <c r="Y3156">
        <v>-1.194602E-2</v>
      </c>
      <c r="Z3156" s="1">
        <v>-7.8381549999999897E-5</v>
      </c>
      <c r="AA3156">
        <v>0.9999287</v>
      </c>
      <c r="AB3156">
        <v>38</v>
      </c>
      <c r="AC3156">
        <v>-63.397499999999901</v>
      </c>
      <c r="AD3156">
        <v>-1.108792840749</v>
      </c>
      <c r="AE3156">
        <v>-0.85370000000000301</v>
      </c>
      <c r="AF3156">
        <v>-0.75983370394250704</v>
      </c>
      <c r="AG3156">
        <v>-1.108792840749</v>
      </c>
      <c r="AH3156">
        <v>63.379308508939097</v>
      </c>
      <c r="AI3156">
        <v>91.002189957618896</v>
      </c>
      <c r="AJ3156">
        <v>90.686867367642506</v>
      </c>
      <c r="AK3156">
        <v>63.393560523862497</v>
      </c>
      <c r="AL3156">
        <v>87.916228812428997</v>
      </c>
      <c r="AM3156">
        <v>89.871884943786895</v>
      </c>
      <c r="AN3156">
        <v>0.999999965354047</v>
      </c>
    </row>
    <row r="3157" spans="1:40" x14ac:dyDescent="0.25">
      <c r="A3157" t="str">
        <f>"20190312150723207"</f>
        <v>20190312150723207</v>
      </c>
      <c r="B3157" t="str">
        <f>"1552374443203039"</f>
        <v>1552374443203039</v>
      </c>
      <c r="C3157" t="s">
        <v>40</v>
      </c>
      <c r="D3157">
        <v>4.1185589999999896</v>
      </c>
      <c r="E3157">
        <v>0.4947164</v>
      </c>
      <c r="F3157" t="s">
        <v>67</v>
      </c>
      <c r="G3157">
        <v>-332.67910000000001</v>
      </c>
      <c r="H3157" s="1">
        <v>3.7661959999999997E-8</v>
      </c>
      <c r="I3157">
        <v>281.21280000000002</v>
      </c>
      <c r="J3157">
        <v>-273.46370000000002</v>
      </c>
      <c r="K3157">
        <v>1.1087940000000001</v>
      </c>
      <c r="L3157">
        <v>282.02910000000003</v>
      </c>
      <c r="M3157">
        <v>-0.99997119999999995</v>
      </c>
      <c r="N3157">
        <v>0</v>
      </c>
      <c r="O3157">
        <v>-1.264615E-3</v>
      </c>
      <c r="P3157">
        <v>-0.999579</v>
      </c>
      <c r="Q3157">
        <v>2.900324E-2</v>
      </c>
      <c r="R3157">
        <v>9.4122800000000001E-4</v>
      </c>
      <c r="S3157">
        <v>-3.0028990000000002</v>
      </c>
      <c r="T3157">
        <v>-5.6040880000000001E-2</v>
      </c>
      <c r="U3157">
        <v>-4.1259770000000001E-2</v>
      </c>
      <c r="V3157">
        <v>2.2431539999999998E-3</v>
      </c>
      <c r="W3157">
        <v>3.6492169999999997E-2</v>
      </c>
      <c r="X3157">
        <v>0.99933139999999998</v>
      </c>
      <c r="Y3157">
        <v>-1.2472189999999999E-2</v>
      </c>
      <c r="Z3157" s="1">
        <v>-9.276601E-5</v>
      </c>
      <c r="AA3157">
        <v>0.99992219999999998</v>
      </c>
      <c r="AB3157">
        <v>38</v>
      </c>
      <c r="AC3157">
        <v>-59.215399999999903</v>
      </c>
      <c r="AD3157">
        <v>-1.1087939623380401</v>
      </c>
      <c r="AE3157">
        <v>-0.81630000000001202</v>
      </c>
      <c r="AF3157">
        <v>-0.74115275627704902</v>
      </c>
      <c r="AG3157">
        <v>-1.1087939623380401</v>
      </c>
      <c r="AH3157">
        <v>59.195633957745599</v>
      </c>
      <c r="AI3157">
        <v>91.072998207027894</v>
      </c>
      <c r="AJ3157">
        <v>90.717328345700906</v>
      </c>
      <c r="AK3157">
        <v>59.2106562294192</v>
      </c>
      <c r="AL3157">
        <v>87.908688294620404</v>
      </c>
      <c r="AM3157">
        <v>89.8713909708583</v>
      </c>
      <c r="AN3157">
        <v>0.99999997861856804</v>
      </c>
    </row>
    <row r="3158" spans="1:40" x14ac:dyDescent="0.25">
      <c r="A3158" t="str">
        <f>"20190312150723226"</f>
        <v>20190312150723226</v>
      </c>
      <c r="B3158" t="str">
        <f>"1552374443213774"</f>
        <v>1552374443213774</v>
      </c>
      <c r="C3158" t="s">
        <v>40</v>
      </c>
      <c r="D3158">
        <v>4.1718469999999996</v>
      </c>
      <c r="E3158">
        <v>0.49476360000000003</v>
      </c>
      <c r="F3158" t="s">
        <v>67</v>
      </c>
      <c r="G3158">
        <v>-337.8098</v>
      </c>
      <c r="H3158" s="1">
        <v>2.7724579999999998E-6</v>
      </c>
      <c r="I3158">
        <v>281.1103</v>
      </c>
      <c r="J3158">
        <v>-273.77929999999998</v>
      </c>
      <c r="K3158">
        <v>1.1087959999999999</v>
      </c>
      <c r="L3158">
        <v>282.02890000000002</v>
      </c>
      <c r="M3158">
        <v>-0.99997139999999995</v>
      </c>
      <c r="N3158">
        <v>0</v>
      </c>
      <c r="O3158">
        <v>-9.2530749999999995E-4</v>
      </c>
      <c r="P3158">
        <v>-0.99959180000000003</v>
      </c>
      <c r="Q3158">
        <v>2.856173E-2</v>
      </c>
      <c r="R3158">
        <v>8.2460490000000003E-4</v>
      </c>
      <c r="S3158">
        <v>-3.0028079999999999</v>
      </c>
      <c r="T3158">
        <v>-5.174339E-2</v>
      </c>
      <c r="U3158">
        <v>-4.2877199999999997E-2</v>
      </c>
      <c r="V3158">
        <v>1.787161E-3</v>
      </c>
      <c r="W3158">
        <v>3.6083320000000002E-2</v>
      </c>
      <c r="X3158">
        <v>0.99934719999999999</v>
      </c>
      <c r="Y3158">
        <v>-1.335049E-2</v>
      </c>
      <c r="Z3158" s="1">
        <v>-9.9068219999999996E-5</v>
      </c>
      <c r="AA3158">
        <v>0.99991090000000005</v>
      </c>
      <c r="AB3158">
        <v>38</v>
      </c>
      <c r="AC3158">
        <v>-64.030500000000004</v>
      </c>
      <c r="AD3158">
        <v>-1.1087932275419901</v>
      </c>
      <c r="AE3158">
        <v>-0.91860000000002595</v>
      </c>
      <c r="AF3158">
        <v>-0.859092475993117</v>
      </c>
      <c r="AG3158">
        <v>-1.1087932275419901</v>
      </c>
      <c r="AH3158">
        <v>64.012131481474796</v>
      </c>
      <c r="AI3158">
        <v>90.992266612242403</v>
      </c>
      <c r="AJ3158">
        <v>90.768907658599602</v>
      </c>
      <c r="AK3158">
        <v>64.027497523371693</v>
      </c>
      <c r="AL3158">
        <v>87.932129184468295</v>
      </c>
      <c r="AM3158">
        <v>89.897536438335294</v>
      </c>
      <c r="AN3158">
        <v>1.0000000130372499</v>
      </c>
    </row>
    <row r="3159" spans="1:40" x14ac:dyDescent="0.25">
      <c r="A3159" t="str">
        <f>"20190312150723240"</f>
        <v>20190312150723240</v>
      </c>
      <c r="B3159" t="str">
        <f>"1552374443233295"</f>
        <v>1552374443233295</v>
      </c>
      <c r="C3159" t="s">
        <v>40</v>
      </c>
      <c r="D3159">
        <v>4.1695270000000004</v>
      </c>
      <c r="E3159">
        <v>0.49477189999999999</v>
      </c>
      <c r="F3159" t="s">
        <v>67</v>
      </c>
      <c r="G3159">
        <v>-334.31830000000002</v>
      </c>
      <c r="H3159" s="1">
        <v>9.1217079999999999E-7</v>
      </c>
      <c r="I3159">
        <v>281.16199999999998</v>
      </c>
      <c r="J3159">
        <v>-274.01859999999999</v>
      </c>
      <c r="K3159">
        <v>1.1087959999999999</v>
      </c>
      <c r="L3159">
        <v>282.02890000000002</v>
      </c>
      <c r="M3159">
        <v>-0.99997130000000001</v>
      </c>
      <c r="N3159">
        <v>0</v>
      </c>
      <c r="O3159">
        <v>-6.6739969999999997E-4</v>
      </c>
      <c r="P3159">
        <v>-0.99959980000000004</v>
      </c>
      <c r="Q3159">
        <v>2.8270360000000001E-2</v>
      </c>
      <c r="R3159">
        <v>1.021168E-3</v>
      </c>
      <c r="S3159">
        <v>-3.0028380000000001</v>
      </c>
      <c r="T3159">
        <v>-5.4998159999999997E-2</v>
      </c>
      <c r="U3159">
        <v>-4.2999269999999999E-2</v>
      </c>
      <c r="V3159">
        <v>1.725987E-3</v>
      </c>
      <c r="W3159">
        <v>3.5815989999999999E-2</v>
      </c>
      <c r="X3159">
        <v>0.99935689999999999</v>
      </c>
      <c r="Y3159">
        <v>-1.3648540000000001E-2</v>
      </c>
      <c r="Z3159">
        <v>-1.1275E-4</v>
      </c>
      <c r="AA3159">
        <v>0.99990679999999998</v>
      </c>
      <c r="AB3159">
        <v>38</v>
      </c>
      <c r="AC3159">
        <v>-60.299700000000001</v>
      </c>
      <c r="AD3159">
        <v>-1.1087950878292001</v>
      </c>
      <c r="AE3159">
        <v>-0.86689999999998602</v>
      </c>
      <c r="AF3159">
        <v>-0.82637530196407705</v>
      </c>
      <c r="AG3159">
        <v>-1.1087950878292001</v>
      </c>
      <c r="AH3159">
        <v>60.2798874644973</v>
      </c>
      <c r="AI3159">
        <v>91.053687245319196</v>
      </c>
      <c r="AJ3159">
        <v>90.785417048765794</v>
      </c>
      <c r="AK3159">
        <v>60.2957474074163</v>
      </c>
      <c r="AL3159">
        <v>87.947455922635797</v>
      </c>
      <c r="AM3159">
        <v>89.901044689572203</v>
      </c>
      <c r="AN3159">
        <v>0.99999998887420705</v>
      </c>
    </row>
    <row r="3160" spans="1:40" x14ac:dyDescent="0.25">
      <c r="A3160" t="str">
        <f>"20190312150723253"</f>
        <v>20190312150723253</v>
      </c>
      <c r="B3160" t="str">
        <f>"1552374443243055"</f>
        <v>1552374443243055</v>
      </c>
      <c r="C3160" t="s">
        <v>40</v>
      </c>
      <c r="D3160">
        <v>4.1749839999999896</v>
      </c>
      <c r="E3160">
        <v>0.49482739999999997</v>
      </c>
      <c r="F3160" t="s">
        <v>67</v>
      </c>
      <c r="G3160">
        <v>-332.3777</v>
      </c>
      <c r="H3160" s="1">
        <v>-1.2235389999999999E-7</v>
      </c>
      <c r="I3160">
        <v>281.2045</v>
      </c>
      <c r="J3160">
        <v>-274.25319999999999</v>
      </c>
      <c r="K3160">
        <v>1.1087940000000001</v>
      </c>
      <c r="L3160">
        <v>282.02890000000002</v>
      </c>
      <c r="M3160">
        <v>-0.99997130000000001</v>
      </c>
      <c r="N3160">
        <v>0</v>
      </c>
      <c r="O3160">
        <v>-4.146156E-4</v>
      </c>
      <c r="P3160">
        <v>-0.99959949999999997</v>
      </c>
      <c r="Q3160">
        <v>2.828512E-2</v>
      </c>
      <c r="R3160">
        <v>1.0476120000000001E-3</v>
      </c>
      <c r="S3160">
        <v>-3.002869</v>
      </c>
      <c r="T3160">
        <v>-5.7053090000000001E-2</v>
      </c>
      <c r="U3160">
        <v>-4.2419430000000001E-2</v>
      </c>
      <c r="V3160">
        <v>1.499829E-3</v>
      </c>
      <c r="W3160">
        <v>3.5853639999999999E-2</v>
      </c>
      <c r="X3160">
        <v>0.99935589999999996</v>
      </c>
      <c r="Y3160">
        <v>-1.370791E-2</v>
      </c>
      <c r="Z3160">
        <v>-1.2232709999999999E-4</v>
      </c>
      <c r="AA3160">
        <v>0.99990610000000002</v>
      </c>
      <c r="AB3160">
        <v>38</v>
      </c>
      <c r="AC3160">
        <v>-58.124499999999998</v>
      </c>
      <c r="AD3160">
        <v>-1.1087941223539</v>
      </c>
      <c r="AE3160">
        <v>-0.824400000000025</v>
      </c>
      <c r="AF3160">
        <v>-0.80000884954651397</v>
      </c>
      <c r="AG3160">
        <v>-1.1087941223539</v>
      </c>
      <c r="AH3160">
        <v>58.103697075876198</v>
      </c>
      <c r="AI3160">
        <v>91.093140334631499</v>
      </c>
      <c r="AJ3160">
        <v>90.788835078608798</v>
      </c>
      <c r="AK3160">
        <v>58.119781937394599</v>
      </c>
      <c r="AL3160">
        <v>87.945297319393504</v>
      </c>
      <c r="AM3160">
        <v>89.914010807188205</v>
      </c>
      <c r="AN3160">
        <v>0.99999997392654305</v>
      </c>
    </row>
    <row r="3161" spans="1:40" x14ac:dyDescent="0.25">
      <c r="A3161" t="str">
        <f>"20190312150723267"</f>
        <v>20190312150723267</v>
      </c>
      <c r="B3161" t="str">
        <f>"1552374443263551"</f>
        <v>1552374443263551</v>
      </c>
      <c r="C3161" t="s">
        <v>40</v>
      </c>
      <c r="D3161">
        <v>4.1013659999999996</v>
      </c>
      <c r="E3161">
        <v>0.495083</v>
      </c>
      <c r="F3161" t="s">
        <v>67</v>
      </c>
      <c r="G3161">
        <v>-331.97989999999999</v>
      </c>
      <c r="H3161" s="1">
        <v>-3.3489790000000002E-7</v>
      </c>
      <c r="I3161">
        <v>281.22399999999999</v>
      </c>
      <c r="J3161">
        <v>-274.48970000000003</v>
      </c>
      <c r="K3161">
        <v>1.108789</v>
      </c>
      <c r="L3161">
        <v>282.029</v>
      </c>
      <c r="M3161">
        <v>-0.99997130000000001</v>
      </c>
      <c r="N3161">
        <v>0</v>
      </c>
      <c r="O3161">
        <v>-1.596852E-4</v>
      </c>
      <c r="P3161">
        <v>-0.99960490000000002</v>
      </c>
      <c r="Q3161">
        <v>2.8087399999999998E-2</v>
      </c>
      <c r="R3161">
        <v>1.071961E-3</v>
      </c>
      <c r="S3161">
        <v>-3.0028079999999999</v>
      </c>
      <c r="T3161">
        <v>-5.7676909999999998E-2</v>
      </c>
      <c r="U3161">
        <v>-4.1870119999999997E-2</v>
      </c>
      <c r="V3161">
        <v>1.2694799999999999E-3</v>
      </c>
      <c r="W3161">
        <v>3.5677790000000001E-2</v>
      </c>
      <c r="X3161">
        <v>0.99936250000000004</v>
      </c>
      <c r="Y3161">
        <v>-1.378012E-2</v>
      </c>
      <c r="Z3161">
        <v>-1.2925649999999999E-4</v>
      </c>
      <c r="AA3161">
        <v>0.99990500000000004</v>
      </c>
      <c r="AB3161">
        <v>39</v>
      </c>
      <c r="AC3161">
        <v>-57.490199999999902</v>
      </c>
      <c r="AD3161">
        <v>-1.1087893348978901</v>
      </c>
      <c r="AE3161">
        <v>-0.80500000000000604</v>
      </c>
      <c r="AF3161">
        <v>-0.79552353768051298</v>
      </c>
      <c r="AG3161">
        <v>-1.1087893348978901</v>
      </c>
      <c r="AH3161">
        <v>57.468955156127301</v>
      </c>
      <c r="AI3161">
        <v>91.105205140248998</v>
      </c>
      <c r="AJ3161">
        <v>90.793075671497704</v>
      </c>
      <c r="AK3161">
        <v>57.4851552857358</v>
      </c>
      <c r="AL3161">
        <v>87.955379207142997</v>
      </c>
      <c r="AM3161">
        <v>89.927217794290598</v>
      </c>
      <c r="AN3161">
        <v>0.99999996134250102</v>
      </c>
    </row>
    <row r="3162" spans="1:40" x14ac:dyDescent="0.25">
      <c r="A3162" t="str">
        <f>"20190312150723282"</f>
        <v>20190312150723282</v>
      </c>
      <c r="B3162" t="str">
        <f>"1552374443273310"</f>
        <v>1552374443273310</v>
      </c>
      <c r="C3162" t="s">
        <v>40</v>
      </c>
      <c r="D3162">
        <v>4.368595</v>
      </c>
      <c r="E3162">
        <v>0.49520439999999999</v>
      </c>
      <c r="F3162" t="s">
        <v>67</v>
      </c>
      <c r="G3162">
        <v>-335.2525</v>
      </c>
      <c r="H3162" s="1">
        <v>1.4066570000000001E-6</v>
      </c>
      <c r="I3162">
        <v>281.22309999999999</v>
      </c>
      <c r="J3162">
        <v>-274.7439</v>
      </c>
      <c r="K3162">
        <v>1.108789</v>
      </c>
      <c r="L3162">
        <v>282.0292</v>
      </c>
      <c r="M3162">
        <v>-0.99997100000000005</v>
      </c>
      <c r="N3162">
        <v>0</v>
      </c>
      <c r="O3162">
        <v>1.1419740000000001E-4</v>
      </c>
      <c r="P3162">
        <v>-0.99960530000000003</v>
      </c>
      <c r="Q3162">
        <v>2.8080319999999999E-2</v>
      </c>
      <c r="R3162">
        <v>8.8877970000000004E-4</v>
      </c>
      <c r="S3162">
        <v>-3.002777</v>
      </c>
      <c r="T3162">
        <v>-5.479407E-2</v>
      </c>
      <c r="U3162">
        <v>-3.9825439999999997E-2</v>
      </c>
      <c r="V3162">
        <v>8.1265829999999995E-4</v>
      </c>
      <c r="W3162">
        <v>3.5694469999999999E-2</v>
      </c>
      <c r="X3162">
        <v>0.99936239999999998</v>
      </c>
      <c r="Y3162">
        <v>-1.3373650000000001E-2</v>
      </c>
      <c r="Z3162">
        <v>-1.2408799999999901E-4</v>
      </c>
      <c r="AA3162">
        <v>0.99991050000000004</v>
      </c>
      <c r="AB3162">
        <v>39</v>
      </c>
      <c r="AC3162">
        <v>-60.508600000000001</v>
      </c>
      <c r="AD3162">
        <v>-1.108787593343</v>
      </c>
      <c r="AE3162">
        <v>-0.80610000000001403</v>
      </c>
      <c r="AF3162">
        <v>-0.81273726257087098</v>
      </c>
      <c r="AG3162">
        <v>-1.108787593343</v>
      </c>
      <c r="AH3162">
        <v>60.488200065298798</v>
      </c>
      <c r="AI3162">
        <v>91.050056101665405</v>
      </c>
      <c r="AJ3162">
        <v>90.769796637653897</v>
      </c>
      <c r="AK3162">
        <v>60.503820531638702</v>
      </c>
      <c r="AL3162">
        <v>87.954422944751101</v>
      </c>
      <c r="AM3162">
        <v>89.953408412690706</v>
      </c>
      <c r="AN3162">
        <v>0.99999998106792598</v>
      </c>
    </row>
    <row r="3163" spans="1:40" x14ac:dyDescent="0.25">
      <c r="A3163" t="str">
        <f>"20190312150723292"</f>
        <v>20190312150723292</v>
      </c>
      <c r="B3163" t="str">
        <f>"1552374443283071"</f>
        <v>1552374443283071</v>
      </c>
      <c r="C3163" t="s">
        <v>40</v>
      </c>
      <c r="D3163">
        <v>4.1741479999999997</v>
      </c>
      <c r="E3163">
        <v>0.49531239999999999</v>
      </c>
      <c r="F3163" t="s">
        <v>67</v>
      </c>
      <c r="G3163">
        <v>-337.29309999999998</v>
      </c>
      <c r="H3163" s="1">
        <v>2.4931139999999999E-6</v>
      </c>
      <c r="I3163">
        <v>281.21039999999999</v>
      </c>
      <c r="J3163">
        <v>-274.9393</v>
      </c>
      <c r="K3163">
        <v>1.108792</v>
      </c>
      <c r="L3163">
        <v>282.02940000000001</v>
      </c>
      <c r="M3163">
        <v>-0.9999709</v>
      </c>
      <c r="N3163">
        <v>0</v>
      </c>
      <c r="O3163">
        <v>3.2455219999999999E-4</v>
      </c>
      <c r="P3163">
        <v>-0.99960360000000004</v>
      </c>
      <c r="Q3163">
        <v>2.8141619999999999E-2</v>
      </c>
      <c r="R3163">
        <v>8.7476250000000002E-4</v>
      </c>
      <c r="S3163">
        <v>-3.0027159999999999</v>
      </c>
      <c r="T3163">
        <v>-5.3228020000000001E-2</v>
      </c>
      <c r="U3163">
        <v>-3.9306639999999997E-2</v>
      </c>
      <c r="V3163">
        <v>5.8860749999999995E-4</v>
      </c>
      <c r="W3163">
        <v>3.5773569999999998E-2</v>
      </c>
      <c r="X3163">
        <v>0.99935969999999996</v>
      </c>
      <c r="Y3163">
        <v>-1.3411620000000001E-2</v>
      </c>
      <c r="Z3163">
        <v>-1.2460959999999999E-4</v>
      </c>
      <c r="AA3163">
        <v>0.99991010000000002</v>
      </c>
      <c r="AB3163">
        <v>39</v>
      </c>
      <c r="AC3163">
        <v>-62.3537999999999</v>
      </c>
      <c r="AD3163">
        <v>-1.1087895068860001</v>
      </c>
      <c r="AE3163">
        <v>-0.81900000000001605</v>
      </c>
      <c r="AF3163">
        <v>-0.83897236396742803</v>
      </c>
      <c r="AG3163">
        <v>-1.1087895068860001</v>
      </c>
      <c r="AH3163">
        <v>62.333823868180097</v>
      </c>
      <c r="AI3163">
        <v>91.018973398027796</v>
      </c>
      <c r="AJ3163">
        <v>90.771117031682493</v>
      </c>
      <c r="AK3163">
        <v>62.349329481778497</v>
      </c>
      <c r="AL3163">
        <v>87.949887893322497</v>
      </c>
      <c r="AM3163">
        <v>89.966253670585203</v>
      </c>
      <c r="AN3163">
        <v>0.99999995237671002</v>
      </c>
    </row>
    <row r="3164" spans="1:40" x14ac:dyDescent="0.25">
      <c r="A3164" t="str">
        <f>"20190312150723304"</f>
        <v>20190312150723304</v>
      </c>
      <c r="B3164" t="str">
        <f>"1552374443293807"</f>
        <v>1552374443293807</v>
      </c>
      <c r="C3164" t="s">
        <v>40</v>
      </c>
      <c r="D3164">
        <v>4.1671959999999997</v>
      </c>
      <c r="E3164">
        <v>0.49538280000000001</v>
      </c>
      <c r="F3164" t="s">
        <v>67</v>
      </c>
      <c r="G3164">
        <v>-339.61950000000002</v>
      </c>
      <c r="H3164" s="1">
        <v>3.7312989999999999E-6</v>
      </c>
      <c r="I3164">
        <v>281.2063</v>
      </c>
      <c r="J3164">
        <v>-275.13929999999999</v>
      </c>
      <c r="K3164">
        <v>1.1087929999999999</v>
      </c>
      <c r="L3164">
        <v>282.02949999999998</v>
      </c>
      <c r="M3164">
        <v>-0.99997060000000004</v>
      </c>
      <c r="N3164">
        <v>0</v>
      </c>
      <c r="O3164">
        <v>5.399116E-4</v>
      </c>
      <c r="P3164">
        <v>-0.99960119999999997</v>
      </c>
      <c r="Q3164">
        <v>2.8229359999999998E-2</v>
      </c>
      <c r="R3164">
        <v>7.1837929999999902E-4</v>
      </c>
      <c r="S3164">
        <v>-3.0027159999999999</v>
      </c>
      <c r="T3164">
        <v>-5.1474449999999998E-2</v>
      </c>
      <c r="U3164">
        <v>-3.8208010000000001E-2</v>
      </c>
      <c r="V3164">
        <v>2.1724550000000001E-4</v>
      </c>
      <c r="W3164">
        <v>3.5880799999999997E-2</v>
      </c>
      <c r="X3164">
        <v>0.99935600000000002</v>
      </c>
      <c r="Y3164">
        <v>-1.326131E-2</v>
      </c>
      <c r="Z3164">
        <v>-1.2290860000000001E-4</v>
      </c>
      <c r="AA3164">
        <v>0.99991209999999997</v>
      </c>
      <c r="AB3164">
        <v>39</v>
      </c>
      <c r="AC3164">
        <v>-64.480199999999996</v>
      </c>
      <c r="AD3164">
        <v>-1.1087892687009999</v>
      </c>
      <c r="AE3164">
        <v>-0.82319999999998505</v>
      </c>
      <c r="AF3164">
        <v>-0.85776091139953903</v>
      </c>
      <c r="AG3164">
        <v>-1.1087892687009999</v>
      </c>
      <c r="AH3164">
        <v>64.460688479137005</v>
      </c>
      <c r="AI3164">
        <v>90.985361162619995</v>
      </c>
      <c r="AJ3164">
        <v>90.762374414118398</v>
      </c>
      <c r="AK3164">
        <v>64.475929823678101</v>
      </c>
      <c r="AL3164">
        <v>87.943740108392902</v>
      </c>
      <c r="AM3164">
        <v>89.987544728733099</v>
      </c>
      <c r="AN3164">
        <v>0.99999994687012195</v>
      </c>
    </row>
    <row r="3165" spans="1:40" x14ac:dyDescent="0.25">
      <c r="A3165" t="str">
        <f>"20190312150723315"</f>
        <v>20190312150723315</v>
      </c>
      <c r="B3165" t="str">
        <f>"1552374443303567"</f>
        <v>1552374443303567</v>
      </c>
      <c r="C3165" t="s">
        <v>40</v>
      </c>
      <c r="D3165">
        <v>4.1537040000000003</v>
      </c>
      <c r="E3165">
        <v>0.4954983</v>
      </c>
      <c r="F3165" t="s">
        <v>67</v>
      </c>
      <c r="G3165">
        <v>-341.97840000000002</v>
      </c>
      <c r="H3165" s="1">
        <v>-4.8399390000000005E-7</v>
      </c>
      <c r="I3165">
        <v>281.17899999999997</v>
      </c>
      <c r="J3165">
        <v>-275.33109999999999</v>
      </c>
      <c r="K3165">
        <v>1.1087929999999999</v>
      </c>
      <c r="L3165">
        <v>282.02980000000002</v>
      </c>
      <c r="M3165">
        <v>-0.99997040000000004</v>
      </c>
      <c r="N3165">
        <v>0</v>
      </c>
      <c r="O3165">
        <v>7.4615070000000003E-4</v>
      </c>
      <c r="P3165">
        <v>-0.99959799999999999</v>
      </c>
      <c r="Q3165">
        <v>2.834499E-2</v>
      </c>
      <c r="R3165">
        <v>7.9411839999999896E-4</v>
      </c>
      <c r="S3165">
        <v>-3.0025940000000002</v>
      </c>
      <c r="T3165">
        <v>-4.9810050000000002E-2</v>
      </c>
      <c r="U3165">
        <v>-3.8208010000000001E-2</v>
      </c>
      <c r="V3165" s="1">
        <v>8.7106509999999998E-5</v>
      </c>
      <c r="W3165">
        <v>3.6014699999999997E-2</v>
      </c>
      <c r="X3165">
        <v>0.99935130000000005</v>
      </c>
      <c r="Y3165">
        <v>-1.346812E-2</v>
      </c>
      <c r="Z3165">
        <v>-1.2407609999999999E-4</v>
      </c>
      <c r="AA3165">
        <v>0.9999093</v>
      </c>
      <c r="AB3165">
        <v>39</v>
      </c>
      <c r="AC3165">
        <v>-66.647300000000001</v>
      </c>
      <c r="AD3165">
        <v>-1.1087934839939</v>
      </c>
      <c r="AE3165">
        <v>-0.85079999999999201</v>
      </c>
      <c r="AF3165">
        <v>-0.90028101083120604</v>
      </c>
      <c r="AG3165">
        <v>-1.1087934839939</v>
      </c>
      <c r="AH3165">
        <v>66.628208188056902</v>
      </c>
      <c r="AI3165">
        <v>90.953312840023798</v>
      </c>
      <c r="AJ3165">
        <v>90.774134031817397</v>
      </c>
      <c r="AK3165">
        <v>66.643514727538701</v>
      </c>
      <c r="AL3165">
        <v>87.936063440858604</v>
      </c>
      <c r="AM3165">
        <v>89.995005924965</v>
      </c>
      <c r="AN3165">
        <v>1.0000000435076599</v>
      </c>
    </row>
    <row r="3166" spans="1:40" x14ac:dyDescent="0.25">
      <c r="A3166" t="str">
        <f>"20190312150723326"</f>
        <v>20190312150723326</v>
      </c>
      <c r="B3166" t="str">
        <f>"1552374443323087"</f>
        <v>1552374443323087</v>
      </c>
      <c r="C3166" t="s">
        <v>40</v>
      </c>
      <c r="D3166">
        <v>4.4532280000000002</v>
      </c>
      <c r="E3166">
        <v>0.4955503</v>
      </c>
      <c r="F3166" t="s">
        <v>67</v>
      </c>
      <c r="G3166">
        <v>-344.58449999999999</v>
      </c>
      <c r="H3166" s="1">
        <v>9.0283090000000003E-7</v>
      </c>
      <c r="I3166">
        <v>281.17880000000002</v>
      </c>
      <c r="J3166">
        <v>-275.5215</v>
      </c>
      <c r="K3166">
        <v>1.1087899999999999</v>
      </c>
      <c r="L3166">
        <v>282.0301</v>
      </c>
      <c r="M3166">
        <v>-0.99997009999999997</v>
      </c>
      <c r="N3166">
        <v>0</v>
      </c>
      <c r="O3166">
        <v>9.5083989999999996E-4</v>
      </c>
      <c r="P3166">
        <v>-0.99959160000000002</v>
      </c>
      <c r="Q3166">
        <v>2.8573500000000002E-2</v>
      </c>
      <c r="R3166">
        <v>8.8404610000000002E-4</v>
      </c>
      <c r="S3166">
        <v>-3.0025629999999999</v>
      </c>
      <c r="T3166">
        <v>-4.8073049999999999E-2</v>
      </c>
      <c r="U3166">
        <v>-3.6895749999999998E-2</v>
      </c>
      <c r="V3166" s="1">
        <v>-2.7097470000000001E-5</v>
      </c>
      <c r="W3166">
        <v>3.6262019999999999E-2</v>
      </c>
      <c r="X3166">
        <v>0.99934230000000002</v>
      </c>
      <c r="Y3166">
        <v>-1.323613E-2</v>
      </c>
      <c r="Z3166">
        <v>-1.211714E-4</v>
      </c>
      <c r="AA3166">
        <v>0.99991240000000003</v>
      </c>
      <c r="AB3166">
        <v>39</v>
      </c>
      <c r="AC3166">
        <v>-69.062999999999903</v>
      </c>
      <c r="AD3166">
        <v>-1.1087890971690999</v>
      </c>
      <c r="AE3166">
        <v>-0.85129999999997996</v>
      </c>
      <c r="AF3166">
        <v>-0.91673314839226305</v>
      </c>
      <c r="AG3166">
        <v>-1.1087890971690999</v>
      </c>
      <c r="AH3166">
        <v>69.044365481129304</v>
      </c>
      <c r="AI3166">
        <v>90.919957438930297</v>
      </c>
      <c r="AJ3166">
        <v>90.760697179999397</v>
      </c>
      <c r="AK3166">
        <v>69.059352861282406</v>
      </c>
      <c r="AL3166">
        <v>87.921883662701902</v>
      </c>
      <c r="AM3166">
        <v>90.001553592463793</v>
      </c>
      <c r="AN3166">
        <v>0.99999998369902099</v>
      </c>
    </row>
    <row r="3167" spans="1:40" x14ac:dyDescent="0.25">
      <c r="A3167" t="str">
        <f>"20190312150723337"</f>
        <v>20190312150723337</v>
      </c>
      <c r="B3167" t="str">
        <f>"1552374443332847"</f>
        <v>1552374443332847</v>
      </c>
      <c r="C3167" t="s">
        <v>40</v>
      </c>
      <c r="D3167">
        <v>4.1423839999999998</v>
      </c>
      <c r="E3167">
        <v>0.49544739999999998</v>
      </c>
      <c r="F3167" t="s">
        <v>67</v>
      </c>
      <c r="G3167">
        <v>-347.94880000000001</v>
      </c>
      <c r="H3167" s="1">
        <v>2.6931589999999998E-6</v>
      </c>
      <c r="I3167">
        <v>281.15699999999998</v>
      </c>
      <c r="J3167">
        <v>-275.71780000000001</v>
      </c>
      <c r="K3167">
        <v>1.1087910000000001</v>
      </c>
      <c r="L3167">
        <v>282.03050000000002</v>
      </c>
      <c r="M3167">
        <v>-0.99996960000000001</v>
      </c>
      <c r="N3167">
        <v>0</v>
      </c>
      <c r="O3167">
        <v>1.162082E-3</v>
      </c>
      <c r="P3167">
        <v>-0.99959050000000005</v>
      </c>
      <c r="Q3167">
        <v>2.8597609999999999E-2</v>
      </c>
      <c r="R3167">
        <v>1.0367449999999999E-3</v>
      </c>
      <c r="S3167">
        <v>-3.0025629999999999</v>
      </c>
      <c r="T3167">
        <v>-4.5966149999999997E-2</v>
      </c>
      <c r="U3167">
        <v>-3.619385E-2</v>
      </c>
      <c r="V3167" s="1">
        <v>-8.5528419999999906E-5</v>
      </c>
      <c r="W3167">
        <v>3.6305379999999998E-2</v>
      </c>
      <c r="X3167">
        <v>0.99934069999999997</v>
      </c>
      <c r="Y3167">
        <v>-1.321378E-2</v>
      </c>
      <c r="Z3167">
        <v>-1.189242E-4</v>
      </c>
      <c r="AA3167">
        <v>0.99991269999999999</v>
      </c>
      <c r="AB3167">
        <v>39</v>
      </c>
      <c r="AC3167">
        <v>-72.230999999999995</v>
      </c>
      <c r="AD3167">
        <v>-1.108788306841</v>
      </c>
      <c r="AE3167">
        <v>-0.87350000000003503</v>
      </c>
      <c r="AF3167">
        <v>-0.95721472460786505</v>
      </c>
      <c r="AG3167">
        <v>-1.108788306841</v>
      </c>
      <c r="AH3167">
        <v>72.212922312421497</v>
      </c>
      <c r="AI3167">
        <v>90.879597686287497</v>
      </c>
      <c r="AJ3167">
        <v>90.759436818396594</v>
      </c>
      <c r="AK3167">
        <v>72.227777346656694</v>
      </c>
      <c r="AL3167">
        <v>87.919397634101301</v>
      </c>
      <c r="AM3167">
        <v>90.004903650459198</v>
      </c>
      <c r="AN3167">
        <v>0.99999996130427105</v>
      </c>
    </row>
    <row r="3168" spans="1:40" x14ac:dyDescent="0.25">
      <c r="A3168" t="str">
        <f>"20190312150723348"</f>
        <v>20190312150723348</v>
      </c>
      <c r="B3168" t="str">
        <f>"1552374443343583"</f>
        <v>1552374443343583</v>
      </c>
      <c r="C3168" t="s">
        <v>40</v>
      </c>
      <c r="D3168">
        <v>4.1288359999999997</v>
      </c>
      <c r="E3168">
        <v>0.49535600000000002</v>
      </c>
      <c r="F3168" t="s">
        <v>67</v>
      </c>
      <c r="G3168">
        <v>-346.39260000000002</v>
      </c>
      <c r="H3168" s="1">
        <v>1.8650370000000001E-6</v>
      </c>
      <c r="I3168">
        <v>281.1678</v>
      </c>
      <c r="J3168">
        <v>-275.90109999999999</v>
      </c>
      <c r="K3168">
        <v>1.1087880000000001</v>
      </c>
      <c r="L3168">
        <v>282.0308</v>
      </c>
      <c r="M3168">
        <v>-0.99996940000000001</v>
      </c>
      <c r="N3168">
        <v>0</v>
      </c>
      <c r="O3168">
        <v>1.358964E-3</v>
      </c>
      <c r="P3168">
        <v>-0.99958800000000003</v>
      </c>
      <c r="Q3168">
        <v>2.869116E-2</v>
      </c>
      <c r="R3168">
        <v>1.1104089999999999E-3</v>
      </c>
      <c r="S3168">
        <v>-3.0025940000000002</v>
      </c>
      <c r="T3168">
        <v>-4.7106500000000003E-2</v>
      </c>
      <c r="U3168">
        <v>-3.6651610000000001E-2</v>
      </c>
      <c r="V3168">
        <v>-2.0806500000000001E-4</v>
      </c>
      <c r="W3168">
        <v>3.6416410000000003E-2</v>
      </c>
      <c r="X3168">
        <v>0.99933669999999997</v>
      </c>
      <c r="Y3168">
        <v>-1.3562799999999899E-2</v>
      </c>
      <c r="Z3168">
        <v>-1.27699E-4</v>
      </c>
      <c r="AA3168">
        <v>0.99990800000000002</v>
      </c>
      <c r="AB3168">
        <v>39</v>
      </c>
      <c r="AC3168">
        <v>-70.491500000000002</v>
      </c>
      <c r="AD3168">
        <v>-1.1087861349629999</v>
      </c>
      <c r="AE3168">
        <v>-0.86299999999999899</v>
      </c>
      <c r="AF3168">
        <v>-0.958560332332825</v>
      </c>
      <c r="AG3168">
        <v>-1.1087861349629999</v>
      </c>
      <c r="AH3168">
        <v>70.472828820958895</v>
      </c>
      <c r="AI3168">
        <v>90.901306946833202</v>
      </c>
      <c r="AJ3168">
        <v>90.779280124513903</v>
      </c>
      <c r="AK3168">
        <v>70.488068824674002</v>
      </c>
      <c r="AL3168">
        <v>87.913031994573203</v>
      </c>
      <c r="AM3168">
        <v>90.011929158803099</v>
      </c>
      <c r="AN3168">
        <v>1.0000000190876099</v>
      </c>
    </row>
    <row r="3169" spans="1:40" x14ac:dyDescent="0.25">
      <c r="A3169" t="str">
        <f>"20190312150723359"</f>
        <v>20190312150723359</v>
      </c>
      <c r="B3169" t="str">
        <f>"1552374443353343"</f>
        <v>1552374443353343</v>
      </c>
      <c r="C3169" t="s">
        <v>40</v>
      </c>
      <c r="D3169">
        <v>4.0672180000000004</v>
      </c>
      <c r="E3169">
        <v>0.4951431</v>
      </c>
      <c r="F3169" t="s">
        <v>67</v>
      </c>
      <c r="G3169">
        <v>-345.41730000000001</v>
      </c>
      <c r="H3169" s="1">
        <v>1.3460389999999999E-6</v>
      </c>
      <c r="I3169">
        <v>281.16669999999999</v>
      </c>
      <c r="J3169">
        <v>-276.09660000000002</v>
      </c>
      <c r="K3169">
        <v>1.1087929999999999</v>
      </c>
      <c r="L3169">
        <v>282.03120000000001</v>
      </c>
      <c r="M3169">
        <v>-0.99996879999999999</v>
      </c>
      <c r="N3169">
        <v>0</v>
      </c>
      <c r="O3169">
        <v>1.569314E-3</v>
      </c>
      <c r="P3169">
        <v>-0.99958290000000005</v>
      </c>
      <c r="Q3169">
        <v>2.8856010000000001E-2</v>
      </c>
      <c r="R3169">
        <v>1.282919E-3</v>
      </c>
      <c r="S3169">
        <v>-3.0026549999999999</v>
      </c>
      <c r="T3169">
        <v>-4.7892450000000003E-2</v>
      </c>
      <c r="U3169">
        <v>-3.7323000000000002E-2</v>
      </c>
      <c r="V3169">
        <v>-2.4618490000000002E-4</v>
      </c>
      <c r="W3169">
        <v>3.659987E-2</v>
      </c>
      <c r="X3169">
        <v>0.99933000000000005</v>
      </c>
      <c r="Y3169">
        <v>-1.399628E-2</v>
      </c>
      <c r="Z3169">
        <v>-1.366381E-4</v>
      </c>
      <c r="AA3169">
        <v>0.99990199999999996</v>
      </c>
      <c r="AB3169">
        <v>39</v>
      </c>
      <c r="AC3169">
        <v>-69.320699999999903</v>
      </c>
      <c r="AD3169">
        <v>-1.1087916539610001</v>
      </c>
      <c r="AE3169">
        <v>-0.86450000000002003</v>
      </c>
      <c r="AF3169">
        <v>-0.97303923383281299</v>
      </c>
      <c r="AG3169">
        <v>-1.1087916539610001</v>
      </c>
      <c r="AH3169">
        <v>69.301530348708198</v>
      </c>
      <c r="AI3169">
        <v>90.916536796211503</v>
      </c>
      <c r="AJ3169">
        <v>90.804417708566106</v>
      </c>
      <c r="AK3169">
        <v>69.317229697640101</v>
      </c>
      <c r="AL3169">
        <v>87.902513521843503</v>
      </c>
      <c r="AM3169">
        <v>90.014114812388797</v>
      </c>
      <c r="AN3169">
        <v>1.0000000299955101</v>
      </c>
    </row>
    <row r="3170" spans="1:40" x14ac:dyDescent="0.25">
      <c r="A3170" t="str">
        <f>"20190312150723370"</f>
        <v>20190312150723370</v>
      </c>
      <c r="B3170" t="str">
        <f>"1552374443363103"</f>
        <v>1552374443363103</v>
      </c>
      <c r="C3170" t="s">
        <v>40</v>
      </c>
      <c r="D3170">
        <v>4.1240399999999999</v>
      </c>
      <c r="E3170">
        <v>0.49505680000000002</v>
      </c>
      <c r="F3170" t="s">
        <v>67</v>
      </c>
      <c r="G3170">
        <v>-345.56450000000001</v>
      </c>
      <c r="H3170" s="1">
        <v>1.424335E-6</v>
      </c>
      <c r="I3170">
        <v>281.14440000000002</v>
      </c>
      <c r="J3170">
        <v>-276.29640000000001</v>
      </c>
      <c r="K3170">
        <v>1.1087929999999999</v>
      </c>
      <c r="L3170">
        <v>282.0317</v>
      </c>
      <c r="M3170">
        <v>-0.99996819999999997</v>
      </c>
      <c r="N3170">
        <v>0</v>
      </c>
      <c r="O3170">
        <v>1.7840110000000001E-3</v>
      </c>
      <c r="P3170">
        <v>-0.99958159999999896</v>
      </c>
      <c r="Q3170">
        <v>2.8895549999999999E-2</v>
      </c>
      <c r="R3170">
        <v>1.2315150000000001E-3</v>
      </c>
      <c r="S3170">
        <v>-3.0026860000000002</v>
      </c>
      <c r="T3170">
        <v>-4.7926549999999998E-2</v>
      </c>
      <c r="U3170">
        <v>-3.8330080000000002E-2</v>
      </c>
      <c r="V3170">
        <v>-5.1208059999999895E-4</v>
      </c>
      <c r="W3170">
        <v>3.6658959999999997E-2</v>
      </c>
      <c r="X3170">
        <v>0.99932770000000004</v>
      </c>
      <c r="Y3170">
        <v>-1.454605E-2</v>
      </c>
      <c r="Z3170">
        <v>-1.4454719999999901E-4</v>
      </c>
      <c r="AA3170">
        <v>0.99989419999999996</v>
      </c>
      <c r="AB3170">
        <v>39</v>
      </c>
      <c r="AC3170">
        <v>-69.268100000000004</v>
      </c>
      <c r="AD3170">
        <v>-1.108791575665</v>
      </c>
      <c r="AE3170">
        <v>-0.88729999999998199</v>
      </c>
      <c r="AF3170">
        <v>-1.01061846314488</v>
      </c>
      <c r="AG3170">
        <v>-1.108791575665</v>
      </c>
      <c r="AH3170">
        <v>69.248665953047905</v>
      </c>
      <c r="AI3170">
        <v>90.917229031105407</v>
      </c>
      <c r="AJ3170">
        <v>90.836118088819603</v>
      </c>
      <c r="AK3170">
        <v>69.264915395264396</v>
      </c>
      <c r="AL3170">
        <v>87.899125570975897</v>
      </c>
      <c r="AM3170">
        <v>90.029359793171395</v>
      </c>
      <c r="AN3170">
        <v>0.999999996781056</v>
      </c>
    </row>
    <row r="3171" spans="1:40" x14ac:dyDescent="0.25">
      <c r="A3171" t="str">
        <f>"20190312150723381"</f>
        <v>20190312150723381</v>
      </c>
      <c r="B3171" t="str">
        <f>"1552374443372863"</f>
        <v>1552374443372863</v>
      </c>
      <c r="C3171" t="s">
        <v>40</v>
      </c>
      <c r="D3171">
        <v>4.1059320000000001</v>
      </c>
      <c r="E3171">
        <v>0.49498229999999999</v>
      </c>
      <c r="F3171" t="s">
        <v>67</v>
      </c>
      <c r="G3171">
        <v>-345.67809999999997</v>
      </c>
      <c r="H3171" s="1">
        <v>1.484809E-6</v>
      </c>
      <c r="I3171">
        <v>281.1241</v>
      </c>
      <c r="J3171">
        <v>-276.49369999999999</v>
      </c>
      <c r="K3171">
        <v>1.1087940000000001</v>
      </c>
      <c r="L3171">
        <v>282.03219999999999</v>
      </c>
      <c r="M3171">
        <v>-0.99996779999999996</v>
      </c>
      <c r="N3171">
        <v>0</v>
      </c>
      <c r="O3171">
        <v>1.9960260000000001E-3</v>
      </c>
      <c r="P3171">
        <v>-0.9995868</v>
      </c>
      <c r="Q3171">
        <v>2.8704690000000001E-2</v>
      </c>
      <c r="R3171">
        <v>1.5884579999999901E-3</v>
      </c>
      <c r="S3171">
        <v>-3.0026860000000002</v>
      </c>
      <c r="T3171">
        <v>-4.7986029999999999E-2</v>
      </c>
      <c r="U3171">
        <v>-3.9276119999999998E-2</v>
      </c>
      <c r="V3171">
        <v>-3.6674530000000002E-4</v>
      </c>
      <c r="W3171">
        <v>3.6486930000000001E-2</v>
      </c>
      <c r="X3171">
        <v>0.99933399999999994</v>
      </c>
      <c r="Y3171">
        <v>-1.507292E-2</v>
      </c>
      <c r="Z3171">
        <v>-1.523238E-4</v>
      </c>
      <c r="AA3171">
        <v>0.99988639999999995</v>
      </c>
      <c r="AB3171">
        <v>39</v>
      </c>
      <c r="AC3171">
        <v>-69.184399999999897</v>
      </c>
      <c r="AD3171">
        <v>-1.1087925151909901</v>
      </c>
      <c r="AE3171">
        <v>-0.90809999999999003</v>
      </c>
      <c r="AF3171">
        <v>-1.0459276206371799</v>
      </c>
      <c r="AG3171">
        <v>-1.1087925151909901</v>
      </c>
      <c r="AH3171">
        <v>69.164687446354094</v>
      </c>
      <c r="AI3171">
        <v>90.918336096567998</v>
      </c>
      <c r="AJ3171">
        <v>90.8663766592244</v>
      </c>
      <c r="AK3171">
        <v>69.181481445407101</v>
      </c>
      <c r="AL3171">
        <v>87.908988637648307</v>
      </c>
      <c r="AM3171">
        <v>90.021026960858805</v>
      </c>
      <c r="AN3171">
        <v>0.99999993705946799</v>
      </c>
    </row>
    <row r="3172" spans="1:40" x14ac:dyDescent="0.25">
      <c r="A3172" t="str">
        <f>"20190312150723393"</f>
        <v>20190312150723393</v>
      </c>
      <c r="B3172" t="str">
        <f>"1552374443383600"</f>
        <v>1552374443383600</v>
      </c>
      <c r="C3172" t="s">
        <v>40</v>
      </c>
      <c r="D3172">
        <v>4.1077529999999998</v>
      </c>
      <c r="E3172">
        <v>0.49496849999999998</v>
      </c>
      <c r="F3172" t="s">
        <v>67</v>
      </c>
      <c r="G3172">
        <v>-344.3449</v>
      </c>
      <c r="H3172" s="1">
        <v>7.7534530000000002E-7</v>
      </c>
      <c r="I3172">
        <v>281.15499999999997</v>
      </c>
      <c r="J3172">
        <v>-276.68869999999998</v>
      </c>
      <c r="K3172">
        <v>1.108797</v>
      </c>
      <c r="L3172">
        <v>282.03280000000001</v>
      </c>
      <c r="M3172">
        <v>-0.99996719999999895</v>
      </c>
      <c r="N3172">
        <v>0</v>
      </c>
      <c r="O3172">
        <v>2.2056530000000001E-3</v>
      </c>
      <c r="P3172">
        <v>-0.99957910000000005</v>
      </c>
      <c r="Q3172">
        <v>2.8955160000000001E-2</v>
      </c>
      <c r="R3172">
        <v>1.789293E-3</v>
      </c>
      <c r="S3172">
        <v>-3.0027159999999999</v>
      </c>
      <c r="T3172">
        <v>-4.9069050000000003E-2</v>
      </c>
      <c r="U3172">
        <v>-3.8818360000000003E-2</v>
      </c>
      <c r="V3172">
        <v>-3.7531890000000001E-4</v>
      </c>
      <c r="W3172">
        <v>3.6756650000000002E-2</v>
      </c>
      <c r="X3172">
        <v>0.9993242</v>
      </c>
      <c r="Y3172">
        <v>-1.512986E-2</v>
      </c>
      <c r="Z3172">
        <v>-1.5965040000000001E-4</v>
      </c>
      <c r="AA3172">
        <v>0.99988549999999998</v>
      </c>
      <c r="AB3172">
        <v>39</v>
      </c>
      <c r="AC3172">
        <v>-67.656199999999998</v>
      </c>
      <c r="AD3172">
        <v>-1.1087962246547001</v>
      </c>
      <c r="AE3172">
        <v>-0.877800000000036</v>
      </c>
      <c r="AF3172">
        <v>-1.0267527687987399</v>
      </c>
      <c r="AG3172">
        <v>-1.1087962246547001</v>
      </c>
      <c r="AH3172">
        <v>67.635936025225305</v>
      </c>
      <c r="AI3172">
        <v>90.939091562183904</v>
      </c>
      <c r="AJ3172">
        <v>90.869716386284793</v>
      </c>
      <c r="AK3172">
        <v>67.652815849190006</v>
      </c>
      <c r="AL3172">
        <v>87.893524629712104</v>
      </c>
      <c r="AM3172">
        <v>90.021518730288307</v>
      </c>
      <c r="AN3172">
        <v>1.0000000244445599</v>
      </c>
    </row>
    <row r="3173" spans="1:40" x14ac:dyDescent="0.25">
      <c r="A3173" t="str">
        <f>"20190312150723405"</f>
        <v>20190312150723405</v>
      </c>
      <c r="B3173" t="str">
        <f>"1552374443393359"</f>
        <v>1552374443393359</v>
      </c>
      <c r="C3173" t="s">
        <v>40</v>
      </c>
      <c r="D3173">
        <v>4.0302730000000002</v>
      </c>
      <c r="E3173">
        <v>0.49487750000000003</v>
      </c>
      <c r="F3173" t="s">
        <v>67</v>
      </c>
      <c r="G3173">
        <v>-344.67219999999998</v>
      </c>
      <c r="H3173" s="1">
        <v>9.4951059999999999E-7</v>
      </c>
      <c r="I3173">
        <v>281.16559999999998</v>
      </c>
      <c r="J3173">
        <v>-276.8954</v>
      </c>
      <c r="K3173">
        <v>1.1087990000000001</v>
      </c>
      <c r="L3173">
        <v>282.03339999999997</v>
      </c>
      <c r="M3173">
        <v>-0.99996660000000004</v>
      </c>
      <c r="N3173">
        <v>0</v>
      </c>
      <c r="O3173">
        <v>2.427851E-3</v>
      </c>
      <c r="P3173">
        <v>-0.99958119999999995</v>
      </c>
      <c r="Q3173">
        <v>2.8851689999999999E-2</v>
      </c>
      <c r="R3173">
        <v>2.316289E-3</v>
      </c>
      <c r="S3173">
        <v>-3.0027469999999998</v>
      </c>
      <c r="T3173">
        <v>-4.8974160000000003E-2</v>
      </c>
      <c r="U3173">
        <v>-3.8299560000000003E-2</v>
      </c>
      <c r="V3173" s="1">
        <v>-7.0210259999999998E-5</v>
      </c>
      <c r="W3173">
        <v>3.6674209999999999E-2</v>
      </c>
      <c r="X3173">
        <v>0.99932730000000003</v>
      </c>
      <c r="Y3173">
        <v>-1.5179160000000001E-2</v>
      </c>
      <c r="Z3173">
        <v>-1.6336599999999999E-4</v>
      </c>
      <c r="AA3173">
        <v>0.99988480000000002</v>
      </c>
      <c r="AB3173">
        <v>39</v>
      </c>
      <c r="AC3173">
        <v>-67.776799999999895</v>
      </c>
      <c r="AD3173">
        <v>-1.1087980504893999</v>
      </c>
      <c r="AE3173">
        <v>-0.86779999999998803</v>
      </c>
      <c r="AF3173">
        <v>-1.032078250181</v>
      </c>
      <c r="AG3173">
        <v>-1.1087980504893999</v>
      </c>
      <c r="AH3173">
        <v>67.756362283816998</v>
      </c>
      <c r="AI3173">
        <v>90.937423580880605</v>
      </c>
      <c r="AJ3173">
        <v>90.872673105626603</v>
      </c>
      <c r="AK3173">
        <v>67.773293033223098</v>
      </c>
      <c r="AL3173">
        <v>87.898251287117105</v>
      </c>
      <c r="AM3173">
        <v>90.004025459496503</v>
      </c>
      <c r="AN3173">
        <v>1.0000000275669401</v>
      </c>
    </row>
    <row r="3174" spans="1:40" x14ac:dyDescent="0.25">
      <c r="A3174" t="str">
        <f>"20190312150723417"</f>
        <v>20190312150723417</v>
      </c>
      <c r="B3174" t="str">
        <f>"1552374443412880"</f>
        <v>1552374443412880</v>
      </c>
      <c r="C3174" t="s">
        <v>40</v>
      </c>
      <c r="D3174">
        <v>4.1227519999999904</v>
      </c>
      <c r="E3174">
        <v>0.50559200000000004</v>
      </c>
      <c r="F3174" t="s">
        <v>67</v>
      </c>
      <c r="G3174">
        <v>-348.5992</v>
      </c>
      <c r="H3174" s="1">
        <v>3.0392489999999999E-6</v>
      </c>
      <c r="I3174">
        <v>281.14139999999998</v>
      </c>
      <c r="J3174">
        <v>-277.11250000000001</v>
      </c>
      <c r="K3174">
        <v>1.1088</v>
      </c>
      <c r="L3174">
        <v>282.03410000000002</v>
      </c>
      <c r="M3174">
        <v>-0.99996560000000001</v>
      </c>
      <c r="N3174">
        <v>0</v>
      </c>
      <c r="O3174">
        <v>2.6613069999999999E-3</v>
      </c>
      <c r="P3174">
        <v>-0.9995811</v>
      </c>
      <c r="Q3174">
        <v>2.8809890000000001E-2</v>
      </c>
      <c r="R3174">
        <v>2.7477920000000002E-3</v>
      </c>
      <c r="S3174">
        <v>-3.0027159999999999</v>
      </c>
      <c r="T3174">
        <v>-4.6432729999999998E-2</v>
      </c>
      <c r="U3174">
        <v>-3.7353520000000001E-2</v>
      </c>
      <c r="V3174">
        <v>1.2786589999999999E-4</v>
      </c>
      <c r="W3174">
        <v>3.6656099999999997E-2</v>
      </c>
      <c r="X3174">
        <v>0.99932799999999999</v>
      </c>
      <c r="Y3174">
        <v>-1.5097960000000001E-2</v>
      </c>
      <c r="Z3174">
        <v>-1.5787350000000001E-4</v>
      </c>
      <c r="AA3174">
        <v>0.99988600000000005</v>
      </c>
      <c r="AB3174">
        <v>39</v>
      </c>
      <c r="AC3174">
        <v>-71.4866999999999</v>
      </c>
      <c r="AD3174">
        <v>-1.108796960751</v>
      </c>
      <c r="AE3174">
        <v>-0.89270000000004701</v>
      </c>
      <c r="AF3174">
        <v>-1.0826903351377799</v>
      </c>
      <c r="AG3174">
        <v>-1.108796960751</v>
      </c>
      <c r="AH3174">
        <v>71.466880422417901</v>
      </c>
      <c r="AI3174">
        <v>90.888761366092197</v>
      </c>
      <c r="AJ3174">
        <v>90.867938285029197</v>
      </c>
      <c r="AK3174">
        <v>71.483680979466598</v>
      </c>
      <c r="AL3174">
        <v>87.899289698476096</v>
      </c>
      <c r="AM3174">
        <v>89.992668897125199</v>
      </c>
      <c r="AN3174">
        <v>1.00000006880044</v>
      </c>
    </row>
    <row r="3175" spans="1:40" x14ac:dyDescent="0.25">
      <c r="A3175" t="str">
        <f>"20190312150723431"</f>
        <v>20190312150723431</v>
      </c>
      <c r="B3175" t="str">
        <f>"1552374443423615"</f>
        <v>1552374443423615</v>
      </c>
      <c r="C3175" t="s">
        <v>40</v>
      </c>
      <c r="D3175">
        <v>4.1252649999999997</v>
      </c>
      <c r="E3175">
        <v>0.50840799999999997</v>
      </c>
      <c r="F3175" t="s">
        <v>48</v>
      </c>
      <c r="G3175">
        <v>0</v>
      </c>
      <c r="H3175">
        <v>0</v>
      </c>
      <c r="I3175">
        <v>0</v>
      </c>
      <c r="J3175">
        <v>-277.35090000000002</v>
      </c>
      <c r="K3175">
        <v>1.1087990000000001</v>
      </c>
      <c r="L3175">
        <v>282.03489999999999</v>
      </c>
      <c r="M3175">
        <v>-0.99996479999999999</v>
      </c>
      <c r="N3175">
        <v>0</v>
      </c>
      <c r="O3175">
        <v>2.917462E-3</v>
      </c>
      <c r="P3175">
        <v>-0.99958119999999995</v>
      </c>
      <c r="Q3175">
        <v>2.8757540000000002E-2</v>
      </c>
      <c r="R3175">
        <v>3.2689780000000001E-3</v>
      </c>
      <c r="S3175">
        <v>-2.9991759999999998</v>
      </c>
      <c r="T3175">
        <v>6.6567059999999997E-2</v>
      </c>
      <c r="U3175">
        <v>5.2337649999999999E-2</v>
      </c>
      <c r="V3175">
        <v>3.9319319999999997E-4</v>
      </c>
      <c r="W3175">
        <v>3.6629889999999998E-2</v>
      </c>
      <c r="X3175">
        <v>0.99932889999999996</v>
      </c>
      <c r="Y3175">
        <v>1.4527979999999999E-2</v>
      </c>
      <c r="Z3175" s="1">
        <v>-9.6450949999999999E-5</v>
      </c>
      <c r="AA3175">
        <v>0.99989439999999996</v>
      </c>
      <c r="AB3175">
        <v>39</v>
      </c>
      <c r="AC3175">
        <v>-2.9991759999999998</v>
      </c>
      <c r="AD3175">
        <v>6.6567059999999997E-2</v>
      </c>
      <c r="AE3175">
        <v>5.2337649999999999E-2</v>
      </c>
      <c r="AF3175">
        <v>4.3565719517909197E-2</v>
      </c>
      <c r="AG3175">
        <v>6.6567059999999997E-2</v>
      </c>
      <c r="AH3175">
        <v>2.99783957744889</v>
      </c>
      <c r="AI3175">
        <v>88.728089895159798</v>
      </c>
      <c r="AJ3175">
        <v>89.167415033932201</v>
      </c>
      <c r="AK3175">
        <v>2.9988950094181499</v>
      </c>
      <c r="AL3175">
        <v>87.900792446986799</v>
      </c>
      <c r="AM3175">
        <v>89.977456561367603</v>
      </c>
      <c r="AN3175">
        <v>1.00000007690875</v>
      </c>
    </row>
    <row r="3176" spans="1:40" x14ac:dyDescent="0.25">
      <c r="A3176" t="str">
        <f>"20190312150723450"</f>
        <v>20190312150723450</v>
      </c>
      <c r="B3176" t="str">
        <f>"1552374443443134"</f>
        <v>1552374443443134</v>
      </c>
      <c r="C3176" t="s">
        <v>40</v>
      </c>
      <c r="D3176">
        <v>4.0824780000000001</v>
      </c>
      <c r="E3176">
        <v>0.51041840000000005</v>
      </c>
      <c r="F3176" t="s">
        <v>48</v>
      </c>
      <c r="G3176">
        <v>0</v>
      </c>
      <c r="H3176">
        <v>0</v>
      </c>
      <c r="I3176">
        <v>0</v>
      </c>
      <c r="J3176">
        <v>-277.6782</v>
      </c>
      <c r="K3176">
        <v>1.1088039999999999</v>
      </c>
      <c r="L3176">
        <v>282.03609999999998</v>
      </c>
      <c r="M3176">
        <v>-0.99996339999999995</v>
      </c>
      <c r="N3176">
        <v>0</v>
      </c>
      <c r="O3176">
        <v>3.2687689999999999E-3</v>
      </c>
      <c r="P3176">
        <v>-0.99958219999999998</v>
      </c>
      <c r="Q3176">
        <v>2.858699E-2</v>
      </c>
      <c r="R3176">
        <v>4.272812E-3</v>
      </c>
      <c r="S3176">
        <v>-2.9992679999999998</v>
      </c>
      <c r="T3176">
        <v>6.0999629999999999E-2</v>
      </c>
      <c r="U3176">
        <v>7.6293949999999999E-2</v>
      </c>
      <c r="V3176">
        <v>1.0457540000000001E-3</v>
      </c>
      <c r="W3176">
        <v>3.649695E-2</v>
      </c>
      <c r="X3176">
        <v>0.99933320000000003</v>
      </c>
      <c r="Y3176">
        <v>2.2157449999999999E-2</v>
      </c>
      <c r="Z3176">
        <v>-1.5879690000000001E-4</v>
      </c>
      <c r="AA3176">
        <v>0.99975449999999999</v>
      </c>
      <c r="AB3176">
        <v>39</v>
      </c>
      <c r="AC3176">
        <v>-2.9992679999999998</v>
      </c>
      <c r="AD3176">
        <v>6.0999629999999999E-2</v>
      </c>
      <c r="AE3176">
        <v>7.6293949999999999E-2</v>
      </c>
      <c r="AF3176">
        <v>6.6461848077823807E-2</v>
      </c>
      <c r="AG3176">
        <v>6.0999629999999999E-2</v>
      </c>
      <c r="AH3176">
        <v>2.9982619677996598</v>
      </c>
      <c r="AI3176">
        <v>88.834764509388705</v>
      </c>
      <c r="AJ3176">
        <v>88.730144359345502</v>
      </c>
      <c r="AK3176">
        <v>2.9996188023920598</v>
      </c>
      <c r="AL3176">
        <v>87.908414246958102</v>
      </c>
      <c r="AM3176">
        <v>89.9400427517689</v>
      </c>
      <c r="AN3176">
        <v>0.99999998279148505</v>
      </c>
    </row>
    <row r="3177" spans="1:40" x14ac:dyDescent="0.25">
      <c r="A3177" t="str">
        <f>"20190312150723463"</f>
        <v>20190312150723463</v>
      </c>
      <c r="B3177" t="str">
        <f>"1552374443452895"</f>
        <v>1552374443452895</v>
      </c>
      <c r="C3177" t="s">
        <v>40</v>
      </c>
      <c r="D3177">
        <v>4.0817119999999996</v>
      </c>
      <c r="E3177">
        <v>0.51086220000000004</v>
      </c>
      <c r="F3177" t="s">
        <v>48</v>
      </c>
      <c r="G3177">
        <v>0</v>
      </c>
      <c r="H3177">
        <v>0</v>
      </c>
      <c r="I3177">
        <v>0</v>
      </c>
      <c r="J3177">
        <v>-277.92360000000002</v>
      </c>
      <c r="K3177">
        <v>1.1088070000000001</v>
      </c>
      <c r="L3177">
        <v>282.03710000000001</v>
      </c>
      <c r="M3177">
        <v>-0.99996229999999997</v>
      </c>
      <c r="N3177">
        <v>0</v>
      </c>
      <c r="O3177">
        <v>3.5317090000000001E-3</v>
      </c>
      <c r="P3177">
        <v>-0.99958199999999997</v>
      </c>
      <c r="Q3177">
        <v>2.850726E-2</v>
      </c>
      <c r="R3177">
        <v>4.8622439999999999E-3</v>
      </c>
      <c r="S3177">
        <v>-2.9991150000000002</v>
      </c>
      <c r="T3177">
        <v>6.0350300000000003E-2</v>
      </c>
      <c r="U3177">
        <v>9.5214839999999995E-2</v>
      </c>
      <c r="V3177">
        <v>1.372498E-3</v>
      </c>
      <c r="W3177">
        <v>3.6446430000000002E-2</v>
      </c>
      <c r="X3177">
        <v>0.99933470000000002</v>
      </c>
      <c r="Y3177">
        <v>2.8196430000000001E-2</v>
      </c>
      <c r="Z3177">
        <v>-2.125505E-4</v>
      </c>
      <c r="AA3177">
        <v>0.9996024</v>
      </c>
      <c r="AB3177">
        <v>39</v>
      </c>
      <c r="AC3177">
        <v>-2.9991150000000002</v>
      </c>
      <c r="AD3177">
        <v>6.0350300000000003E-2</v>
      </c>
      <c r="AE3177">
        <v>9.5214839999999995E-2</v>
      </c>
      <c r="AF3177">
        <v>8.4587694417966805E-2</v>
      </c>
      <c r="AG3177">
        <v>6.0350300000000003E-2</v>
      </c>
      <c r="AH3177">
        <v>2.99821975029514</v>
      </c>
      <c r="AI3177">
        <v>88.847324033710706</v>
      </c>
      <c r="AJ3177">
        <v>88.383963471905901</v>
      </c>
      <c r="AK3177">
        <v>3.0000198179040201</v>
      </c>
      <c r="AL3177">
        <v>87.9113108645453</v>
      </c>
      <c r="AM3177">
        <v>89.921309353766901</v>
      </c>
      <c r="AN3177">
        <v>1.0000000343172899</v>
      </c>
    </row>
    <row r="3178" spans="1:40" x14ac:dyDescent="0.25">
      <c r="A3178" t="str">
        <f>"20190312150723483"</f>
        <v>20190312150723483</v>
      </c>
      <c r="B3178" t="str">
        <f>"1552374443473391"</f>
        <v>1552374443473391</v>
      </c>
      <c r="C3178" t="s">
        <v>40</v>
      </c>
      <c r="D3178">
        <v>4.0976350000000004</v>
      </c>
      <c r="E3178">
        <v>0.51156939999999995</v>
      </c>
      <c r="F3178" t="s">
        <v>48</v>
      </c>
      <c r="G3178">
        <v>0</v>
      </c>
      <c r="H3178">
        <v>0</v>
      </c>
      <c r="I3178">
        <v>0</v>
      </c>
      <c r="J3178">
        <v>-278.26589999999999</v>
      </c>
      <c r="K3178">
        <v>1.108811</v>
      </c>
      <c r="L3178">
        <v>282.03859999999997</v>
      </c>
      <c r="M3178">
        <v>-0.99996059999999998</v>
      </c>
      <c r="N3178">
        <v>0</v>
      </c>
      <c r="O3178">
        <v>3.8987929999999998E-3</v>
      </c>
      <c r="P3178">
        <v>-0.99958089999999999</v>
      </c>
      <c r="Q3178">
        <v>2.8361879999999999E-2</v>
      </c>
      <c r="R3178">
        <v>5.8283869999999896E-3</v>
      </c>
      <c r="S3178">
        <v>-2.9990540000000001</v>
      </c>
      <c r="T3178">
        <v>5.9986949999999997E-2</v>
      </c>
      <c r="U3178">
        <v>0.1005249</v>
      </c>
      <c r="V3178">
        <v>1.9717100000000002E-3</v>
      </c>
      <c r="W3178">
        <v>3.6343500000000001E-2</v>
      </c>
      <c r="X3178">
        <v>0.99933740000000004</v>
      </c>
      <c r="Y3178">
        <v>2.959794E-2</v>
      </c>
      <c r="Z3178">
        <v>-2.179409E-4</v>
      </c>
      <c r="AA3178">
        <v>0.99956179999999994</v>
      </c>
      <c r="AB3178">
        <v>39</v>
      </c>
      <c r="AC3178">
        <v>-2.9990540000000001</v>
      </c>
      <c r="AD3178">
        <v>5.9986949999999997E-2</v>
      </c>
      <c r="AE3178">
        <v>0.1005249</v>
      </c>
      <c r="AF3178">
        <v>8.8795588035942896E-2</v>
      </c>
      <c r="AG3178">
        <v>5.9986949999999997E-2</v>
      </c>
      <c r="AH3178">
        <v>2.9982249644518699</v>
      </c>
      <c r="AI3178">
        <v>88.854310506661406</v>
      </c>
      <c r="AJ3178">
        <v>88.303621039031796</v>
      </c>
      <c r="AK3178">
        <v>3.0001393347788601</v>
      </c>
      <c r="AL3178">
        <v>87.917212132867704</v>
      </c>
      <c r="AM3178">
        <v>89.886954581272093</v>
      </c>
      <c r="AN3178">
        <v>0.99999998833566695</v>
      </c>
    </row>
    <row r="3179" spans="1:40" x14ac:dyDescent="0.25">
      <c r="A3179" t="str">
        <f>"20190312150723495"</f>
        <v>20190312150723495</v>
      </c>
      <c r="B3179" t="str">
        <f>"1552374443492912"</f>
        <v>1552374443492912</v>
      </c>
      <c r="C3179" t="s">
        <v>40</v>
      </c>
      <c r="D3179">
        <v>4.0809730000000002</v>
      </c>
      <c r="E3179">
        <v>0.51162680000000005</v>
      </c>
      <c r="F3179" t="s">
        <v>48</v>
      </c>
      <c r="G3179">
        <v>0</v>
      </c>
      <c r="H3179">
        <v>0</v>
      </c>
      <c r="I3179">
        <v>0</v>
      </c>
      <c r="J3179">
        <v>-278.48719999999997</v>
      </c>
      <c r="K3179">
        <v>1.108808</v>
      </c>
      <c r="L3179">
        <v>282.03969999999998</v>
      </c>
      <c r="M3179">
        <v>-0.9999593</v>
      </c>
      <c r="N3179">
        <v>0</v>
      </c>
      <c r="O3179">
        <v>4.1360349999999997E-3</v>
      </c>
      <c r="P3179">
        <v>-0.99957530000000006</v>
      </c>
      <c r="Q3179">
        <v>2.8493890000000001E-2</v>
      </c>
      <c r="R3179">
        <v>6.1327469999999896E-3</v>
      </c>
      <c r="S3179">
        <v>-2.9989319999999999</v>
      </c>
      <c r="T3179">
        <v>5.9067010000000003E-2</v>
      </c>
      <c r="U3179">
        <v>0.1091003</v>
      </c>
      <c r="V3179">
        <v>2.0391680000000001E-3</v>
      </c>
      <c r="W3179">
        <v>3.6506480000000001E-2</v>
      </c>
      <c r="X3179">
        <v>0.99933139999999998</v>
      </c>
      <c r="Y3179">
        <v>3.2216500000000002E-2</v>
      </c>
      <c r="Z3179">
        <v>-2.3570319999999999E-4</v>
      </c>
      <c r="AA3179">
        <v>0.99948090000000001</v>
      </c>
      <c r="AB3179">
        <v>39</v>
      </c>
      <c r="AC3179">
        <v>-2.9989319999999999</v>
      </c>
      <c r="AD3179">
        <v>5.9067010000000003E-2</v>
      </c>
      <c r="AE3179">
        <v>0.1091003</v>
      </c>
      <c r="AF3179">
        <v>9.6657833094744003E-2</v>
      </c>
      <c r="AG3179">
        <v>5.9067010000000003E-2</v>
      </c>
      <c r="AH3179">
        <v>2.9981960424522698</v>
      </c>
      <c r="AI3179">
        <v>88.871956354373793</v>
      </c>
      <c r="AJ3179">
        <v>88.153500179829905</v>
      </c>
      <c r="AK3179">
        <v>3.0003351741672701</v>
      </c>
      <c r="AL3179">
        <v>87.9078680243516</v>
      </c>
      <c r="AM3179">
        <v>89.883086273523006</v>
      </c>
      <c r="AN3179">
        <v>1.0000000641570299</v>
      </c>
    </row>
    <row r="3180" spans="1:40" x14ac:dyDescent="0.25">
      <c r="A3180" t="str">
        <f>"20190312150723508"</f>
        <v>20190312150723508</v>
      </c>
      <c r="B3180" t="str">
        <f>"1552374443503647"</f>
        <v>1552374443503647</v>
      </c>
      <c r="C3180" t="s">
        <v>40</v>
      </c>
      <c r="D3180">
        <v>4.0650909999999998</v>
      </c>
      <c r="E3180">
        <v>0.51172059999999997</v>
      </c>
      <c r="F3180" t="s">
        <v>48</v>
      </c>
      <c r="G3180">
        <v>0</v>
      </c>
      <c r="H3180">
        <v>0</v>
      </c>
      <c r="I3180">
        <v>0</v>
      </c>
      <c r="J3180">
        <v>-278.71100000000001</v>
      </c>
      <c r="K3180">
        <v>1.108811</v>
      </c>
      <c r="L3180">
        <v>282.04079999999999</v>
      </c>
      <c r="M3180">
        <v>-0.99995800000000001</v>
      </c>
      <c r="N3180">
        <v>0</v>
      </c>
      <c r="O3180">
        <v>4.3758319999999996E-3</v>
      </c>
      <c r="P3180">
        <v>-0.99957969999999896</v>
      </c>
      <c r="Q3180">
        <v>2.833161E-2</v>
      </c>
      <c r="R3180">
        <v>6.1506549999999997E-3</v>
      </c>
      <c r="S3180">
        <v>-2.9989620000000001</v>
      </c>
      <c r="T3180">
        <v>5.7945730000000001E-2</v>
      </c>
      <c r="U3180">
        <v>0.1103821</v>
      </c>
      <c r="V3180">
        <v>1.8172139999999999E-3</v>
      </c>
      <c r="W3180">
        <v>3.6377809999999997E-2</v>
      </c>
      <c r="X3180">
        <v>0.99933649999999996</v>
      </c>
      <c r="Y3180">
        <v>3.2403260000000003E-2</v>
      </c>
      <c r="Z3180">
        <v>-2.283978E-4</v>
      </c>
      <c r="AA3180">
        <v>0.9994748</v>
      </c>
      <c r="AB3180">
        <v>39</v>
      </c>
      <c r="AC3180">
        <v>-2.9989620000000001</v>
      </c>
      <c r="AD3180">
        <v>5.7945730000000001E-2</v>
      </c>
      <c r="AE3180">
        <v>0.1103821</v>
      </c>
      <c r="AF3180">
        <v>9.7221416472767996E-2</v>
      </c>
      <c r="AG3180">
        <v>5.7945730000000001E-2</v>
      </c>
      <c r="AH3180">
        <v>2.9982984541382498</v>
      </c>
      <c r="AI3180">
        <v>88.893409305973506</v>
      </c>
      <c r="AJ3180">
        <v>88.142804694477107</v>
      </c>
      <c r="AK3180">
        <v>3.00043385721699</v>
      </c>
      <c r="AL3180">
        <v>87.915245129496398</v>
      </c>
      <c r="AM3180">
        <v>89.895812293545902</v>
      </c>
      <c r="AN3180">
        <v>1.0000000437796801</v>
      </c>
    </row>
    <row r="3181" spans="1:40" x14ac:dyDescent="0.25">
      <c r="A3181" t="str">
        <f>"20190312150723520"</f>
        <v>20190312150723520</v>
      </c>
      <c r="B3181" t="str">
        <f>"1552374443513407"</f>
        <v>1552374443513407</v>
      </c>
      <c r="C3181" t="s">
        <v>40</v>
      </c>
      <c r="D3181">
        <v>4.0840699999999996</v>
      </c>
      <c r="E3181">
        <v>0.51171279999999997</v>
      </c>
      <c r="F3181" t="s">
        <v>48</v>
      </c>
      <c r="G3181">
        <v>0</v>
      </c>
      <c r="H3181">
        <v>0</v>
      </c>
      <c r="I3181">
        <v>0</v>
      </c>
      <c r="J3181">
        <v>-278.92239999999998</v>
      </c>
      <c r="K3181">
        <v>1.108814</v>
      </c>
      <c r="L3181">
        <v>282.04180000000002</v>
      </c>
      <c r="M3181">
        <v>-0.99995690000000004</v>
      </c>
      <c r="N3181">
        <v>0</v>
      </c>
      <c r="O3181">
        <v>4.6019750000000003E-3</v>
      </c>
      <c r="P3181">
        <v>-0.99957399999999996</v>
      </c>
      <c r="Q3181">
        <v>2.8473450000000001E-2</v>
      </c>
      <c r="R3181">
        <v>6.4156530000000003E-3</v>
      </c>
      <c r="S3181">
        <v>-2.9989319999999999</v>
      </c>
      <c r="T3181">
        <v>5.7784679999999998E-2</v>
      </c>
      <c r="U3181">
        <v>0.1113281</v>
      </c>
      <c r="V3181">
        <v>1.8564090000000001E-3</v>
      </c>
      <c r="W3181">
        <v>3.6554120000000002E-2</v>
      </c>
      <c r="X3181">
        <v>0.99932989999999999</v>
      </c>
      <c r="Y3181">
        <v>3.2492519999999997E-2</v>
      </c>
      <c r="Z3181">
        <v>-2.242682E-4</v>
      </c>
      <c r="AA3181">
        <v>0.99947200000000003</v>
      </c>
      <c r="AB3181">
        <v>39</v>
      </c>
      <c r="AC3181">
        <v>-2.9989319999999999</v>
      </c>
      <c r="AD3181">
        <v>5.7784679999999998E-2</v>
      </c>
      <c r="AE3181">
        <v>0.1113281</v>
      </c>
      <c r="AF3181">
        <v>9.7489317029271202E-2</v>
      </c>
      <c r="AG3181">
        <v>5.7784679999999998E-2</v>
      </c>
      <c r="AH3181">
        <v>2.9983009343974598</v>
      </c>
      <c r="AI3181">
        <v>88.896488228319399</v>
      </c>
      <c r="AJ3181">
        <v>88.137692198352994</v>
      </c>
      <c r="AK3181">
        <v>3.00044192234847</v>
      </c>
      <c r="AL3181">
        <v>87.9051363901889</v>
      </c>
      <c r="AM3181">
        <v>89.893564399103596</v>
      </c>
      <c r="AN3181">
        <v>0.99999994948867799</v>
      </c>
    </row>
    <row r="3182" spans="1:40" x14ac:dyDescent="0.25">
      <c r="A3182" t="str">
        <f>"20190312150723531"</f>
        <v>20190312150723531</v>
      </c>
      <c r="B3182" t="str">
        <f>"1552374443523168"</f>
        <v>1552374443523168</v>
      </c>
      <c r="C3182" t="s">
        <v>40</v>
      </c>
      <c r="D3182">
        <v>4.10419</v>
      </c>
      <c r="E3182">
        <v>0.51168919999999996</v>
      </c>
      <c r="F3182" t="s">
        <v>48</v>
      </c>
      <c r="G3182">
        <v>0</v>
      </c>
      <c r="H3182">
        <v>0</v>
      </c>
      <c r="I3182">
        <v>0</v>
      </c>
      <c r="J3182">
        <v>-279.11849999999998</v>
      </c>
      <c r="K3182">
        <v>1.1088150000000001</v>
      </c>
      <c r="L3182">
        <v>282.04289999999997</v>
      </c>
      <c r="M3182">
        <v>-0.9999555</v>
      </c>
      <c r="N3182">
        <v>0</v>
      </c>
      <c r="O3182">
        <v>4.81191E-3</v>
      </c>
      <c r="P3182">
        <v>-0.99957530000000006</v>
      </c>
      <c r="Q3182">
        <v>2.835963E-2</v>
      </c>
      <c r="R3182">
        <v>6.7327460000000004E-3</v>
      </c>
      <c r="S3182">
        <v>-2.9989319999999999</v>
      </c>
      <c r="T3182">
        <v>5.7667019999999999E-2</v>
      </c>
      <c r="U3182">
        <v>0.11203</v>
      </c>
      <c r="V3182">
        <v>1.963706E-3</v>
      </c>
      <c r="W3182">
        <v>3.6473119999999998E-2</v>
      </c>
      <c r="X3182">
        <v>0.99933269999999996</v>
      </c>
      <c r="Y3182">
        <v>3.2516349999999999E-2</v>
      </c>
      <c r="Z3182">
        <v>-2.200046E-4</v>
      </c>
      <c r="AA3182">
        <v>0.9994712</v>
      </c>
      <c r="AB3182">
        <v>39</v>
      </c>
      <c r="AC3182">
        <v>-2.9989319999999999</v>
      </c>
      <c r="AD3182">
        <v>5.7667019999999999E-2</v>
      </c>
      <c r="AE3182">
        <v>0.11203</v>
      </c>
      <c r="AF3182">
        <v>9.7561612661432803E-2</v>
      </c>
      <c r="AG3182">
        <v>5.7667019999999999E-2</v>
      </c>
      <c r="AH3182">
        <v>2.9983292522376401</v>
      </c>
      <c r="AI3182">
        <v>88.8987458727768</v>
      </c>
      <c r="AJ3182">
        <v>88.136329720423802</v>
      </c>
      <c r="AK3182">
        <v>3.0004703061828</v>
      </c>
      <c r="AL3182">
        <v>87.909780540508393</v>
      </c>
      <c r="AM3182">
        <v>89.887412949470303</v>
      </c>
      <c r="AN3182">
        <v>0.99999999495653902</v>
      </c>
    </row>
    <row r="3183" spans="1:40" x14ac:dyDescent="0.25">
      <c r="A3183" t="str">
        <f>"20190312150723542"</f>
        <v>20190312150723542</v>
      </c>
      <c r="B3183" t="str">
        <f>"1552374443532927"</f>
        <v>1552374443532927</v>
      </c>
      <c r="C3183" t="s">
        <v>40</v>
      </c>
      <c r="D3183">
        <v>4.1113920000000004</v>
      </c>
      <c r="E3183">
        <v>0.51164940000000003</v>
      </c>
      <c r="F3183" t="s">
        <v>48</v>
      </c>
      <c r="G3183">
        <v>0</v>
      </c>
      <c r="H3183">
        <v>0</v>
      </c>
      <c r="I3183">
        <v>0</v>
      </c>
      <c r="J3183">
        <v>-279.33479999999997</v>
      </c>
      <c r="K3183">
        <v>1.1088180000000001</v>
      </c>
      <c r="L3183">
        <v>282.04410000000001</v>
      </c>
      <c r="M3183">
        <v>-0.99995409999999996</v>
      </c>
      <c r="N3183">
        <v>0</v>
      </c>
      <c r="O3183">
        <v>5.0437040000000004E-3</v>
      </c>
      <c r="P3183">
        <v>-0.99957189999999996</v>
      </c>
      <c r="Q3183">
        <v>2.8375620000000001E-2</v>
      </c>
      <c r="R3183">
        <v>7.1467369999999898E-3</v>
      </c>
      <c r="S3183">
        <v>-2.998901</v>
      </c>
      <c r="T3183">
        <v>5.7437299999999997E-2</v>
      </c>
      <c r="U3183">
        <v>0.1127625</v>
      </c>
      <c r="V3183">
        <v>2.1461240000000001E-3</v>
      </c>
      <c r="W3183">
        <v>3.6525540000000002E-2</v>
      </c>
      <c r="X3183">
        <v>0.99933039999999995</v>
      </c>
      <c r="Y3183">
        <v>3.2528880000000003E-2</v>
      </c>
      <c r="Z3183">
        <v>-2.148121E-4</v>
      </c>
      <c r="AA3183">
        <v>0.99947079999999999</v>
      </c>
      <c r="AB3183">
        <v>40</v>
      </c>
      <c r="AC3183">
        <v>-2.998901</v>
      </c>
      <c r="AD3183">
        <v>5.7437299999999997E-2</v>
      </c>
      <c r="AE3183">
        <v>0.1127625</v>
      </c>
      <c r="AF3183">
        <v>9.7599243068911296E-2</v>
      </c>
      <c r="AG3183">
        <v>5.7437299999999997E-2</v>
      </c>
      <c r="AH3183">
        <v>2.99833328930535</v>
      </c>
      <c r="AI3183">
        <v>88.903133632484497</v>
      </c>
      <c r="AJ3183">
        <v>88.135613901452402</v>
      </c>
      <c r="AK3183">
        <v>3.0004711579076302</v>
      </c>
      <c r="AL3183">
        <v>87.906775071534</v>
      </c>
      <c r="AM3183">
        <v>89.876953949889895</v>
      </c>
      <c r="AN3183">
        <v>0.99999998464233697</v>
      </c>
    </row>
    <row r="3184" spans="1:40" x14ac:dyDescent="0.25">
      <c r="A3184" t="str">
        <f>"20190312150723561"</f>
        <v>20190312150723561</v>
      </c>
      <c r="B3184" t="str">
        <f>"1552374443553426"</f>
        <v>1552374443553426</v>
      </c>
      <c r="C3184" t="s">
        <v>40</v>
      </c>
      <c r="D3184">
        <v>4.0907159999999996</v>
      </c>
      <c r="E3184">
        <v>0.51161099999999904</v>
      </c>
      <c r="F3184" t="s">
        <v>48</v>
      </c>
      <c r="G3184">
        <v>0</v>
      </c>
      <c r="H3184">
        <v>0</v>
      </c>
      <c r="I3184">
        <v>0</v>
      </c>
      <c r="J3184">
        <v>-279.64170000000001</v>
      </c>
      <c r="K3184">
        <v>1.1088209999999901</v>
      </c>
      <c r="L3184">
        <v>282.04590000000002</v>
      </c>
      <c r="M3184">
        <v>-0.99995179999999995</v>
      </c>
      <c r="N3184">
        <v>0</v>
      </c>
      <c r="O3184">
        <v>5.3720579999999999E-3</v>
      </c>
      <c r="P3184">
        <v>-0.99959149999999997</v>
      </c>
      <c r="Q3184">
        <v>2.763881E-2</v>
      </c>
      <c r="R3184">
        <v>7.2716119999999898E-3</v>
      </c>
      <c r="S3184">
        <v>-2.9988709999999998</v>
      </c>
      <c r="T3184">
        <v>5.7486889999999999E-2</v>
      </c>
      <c r="U3184">
        <v>0.113525399999999</v>
      </c>
      <c r="V3184">
        <v>1.941974E-3</v>
      </c>
      <c r="W3184">
        <v>3.5843630000000001E-2</v>
      </c>
      <c r="X3184">
        <v>0.99935549999999995</v>
      </c>
      <c r="Y3184">
        <v>3.2455049999999999E-2</v>
      </c>
      <c r="Z3184">
        <v>-2.0799990000000001E-4</v>
      </c>
      <c r="AA3184">
        <v>0.99947319999999995</v>
      </c>
      <c r="AB3184">
        <v>40</v>
      </c>
      <c r="AC3184">
        <v>-2.9988709999999998</v>
      </c>
      <c r="AD3184">
        <v>5.7486889999999999E-2</v>
      </c>
      <c r="AE3184">
        <v>0.113525399999999</v>
      </c>
      <c r="AF3184">
        <v>9.7377376688920797E-2</v>
      </c>
      <c r="AG3184">
        <v>5.7486889999999999E-2</v>
      </c>
      <c r="AH3184">
        <v>2.9983373874101602</v>
      </c>
      <c r="AI3184">
        <v>88.902185716489797</v>
      </c>
      <c r="AJ3184">
        <v>88.139851655934905</v>
      </c>
      <c r="AK3184">
        <v>3.0004689941331302</v>
      </c>
      <c r="AL3184">
        <v>87.945871223774503</v>
      </c>
      <c r="AM3184">
        <v>89.888661468244507</v>
      </c>
      <c r="AN3184">
        <v>0.99999997622742098</v>
      </c>
    </row>
    <row r="3185" spans="1:40" x14ac:dyDescent="0.25">
      <c r="A3185" t="str">
        <f>"20190312150723572"</f>
        <v>20190312150723572</v>
      </c>
      <c r="B3185" t="str">
        <f>"1552374443563184"</f>
        <v>1552374443563184</v>
      </c>
      <c r="C3185" t="s">
        <v>40</v>
      </c>
      <c r="D3185">
        <v>4.0740769999999999</v>
      </c>
      <c r="E3185">
        <v>0.51151099999999905</v>
      </c>
      <c r="F3185" t="s">
        <v>48</v>
      </c>
      <c r="G3185">
        <v>0</v>
      </c>
      <c r="H3185">
        <v>0</v>
      </c>
      <c r="I3185">
        <v>0</v>
      </c>
      <c r="J3185">
        <v>-279.85090000000002</v>
      </c>
      <c r="K3185">
        <v>1.108824</v>
      </c>
      <c r="L3185">
        <v>282.04719999999998</v>
      </c>
      <c r="M3185">
        <v>-0.99995029999999996</v>
      </c>
      <c r="N3185">
        <v>0</v>
      </c>
      <c r="O3185">
        <v>5.5955609999999998E-3</v>
      </c>
      <c r="P3185">
        <v>-0.99959419999999999</v>
      </c>
      <c r="Q3185">
        <v>2.753005E-2</v>
      </c>
      <c r="R3185">
        <v>7.3240939999999997E-3</v>
      </c>
      <c r="S3185">
        <v>-2.9987789999999999</v>
      </c>
      <c r="T3185">
        <v>5.8977250000000002E-2</v>
      </c>
      <c r="U3185">
        <v>0.1138306</v>
      </c>
      <c r="V3185">
        <v>1.771073E-3</v>
      </c>
      <c r="W3185">
        <v>3.5774060000000003E-2</v>
      </c>
      <c r="X3185">
        <v>0.99935839999999998</v>
      </c>
      <c r="Y3185">
        <v>3.2334170000000002E-2</v>
      </c>
      <c r="Z3185">
        <v>-2.078158E-4</v>
      </c>
      <c r="AA3185">
        <v>0.99947710000000001</v>
      </c>
      <c r="AB3185">
        <v>40</v>
      </c>
      <c r="AC3185">
        <v>-2.9987789999999999</v>
      </c>
      <c r="AD3185">
        <v>5.8977250000000002E-2</v>
      </c>
      <c r="AE3185">
        <v>0.1138306</v>
      </c>
      <c r="AF3185">
        <v>9.70109264447305E-2</v>
      </c>
      <c r="AG3185">
        <v>5.8977250000000002E-2</v>
      </c>
      <c r="AH3185">
        <v>2.9982109953686602</v>
      </c>
      <c r="AI3185">
        <v>88.873680009954995</v>
      </c>
      <c r="AJ3185">
        <v>88.146768803635993</v>
      </c>
      <c r="AK3185">
        <v>3.0003597465332001</v>
      </c>
      <c r="AL3185">
        <v>87.949860033162196</v>
      </c>
      <c r="AM3185">
        <v>89.898459950029306</v>
      </c>
      <c r="AN3185">
        <v>1.0000000658595001</v>
      </c>
    </row>
    <row r="3186" spans="1:40" x14ac:dyDescent="0.25">
      <c r="A3186" t="str">
        <f>"20190312150723584"</f>
        <v>20190312150723584</v>
      </c>
      <c r="B3186" t="str">
        <f>"1552374443572943"</f>
        <v>1552374443572943</v>
      </c>
      <c r="C3186" t="s">
        <v>40</v>
      </c>
      <c r="D3186">
        <v>4.0963599999999998</v>
      </c>
      <c r="E3186">
        <v>0.51145799999999997</v>
      </c>
      <c r="F3186" t="s">
        <v>48</v>
      </c>
      <c r="G3186">
        <v>0</v>
      </c>
      <c r="H3186">
        <v>0</v>
      </c>
      <c r="I3186">
        <v>0</v>
      </c>
      <c r="J3186">
        <v>-280.06689999999998</v>
      </c>
      <c r="K3186">
        <v>1.1088279999999999</v>
      </c>
      <c r="L3186">
        <v>282.04849999999999</v>
      </c>
      <c r="M3186">
        <v>-0.99994870000000002</v>
      </c>
      <c r="N3186">
        <v>0</v>
      </c>
      <c r="O3186">
        <v>5.8263880000000001E-3</v>
      </c>
      <c r="P3186">
        <v>-0.99959889999999996</v>
      </c>
      <c r="Q3186">
        <v>2.7350220000000001E-2</v>
      </c>
      <c r="R3186">
        <v>7.36032099999999E-3</v>
      </c>
      <c r="S3186">
        <v>-2.9987789999999999</v>
      </c>
      <c r="T3186">
        <v>5.9920429999999997E-2</v>
      </c>
      <c r="U3186">
        <v>0.1133118</v>
      </c>
      <c r="V3186">
        <v>1.5763470000000001E-3</v>
      </c>
      <c r="W3186">
        <v>3.5634430000000002E-2</v>
      </c>
      <c r="X3186">
        <v>0.99936369999999997</v>
      </c>
      <c r="Y3186">
        <v>3.1930739999999999E-2</v>
      </c>
      <c r="Z3186">
        <v>-2.0250039999999999E-4</v>
      </c>
      <c r="AA3186">
        <v>0.99949010000000005</v>
      </c>
      <c r="AB3186">
        <v>40</v>
      </c>
      <c r="AC3186">
        <v>-2.9987789999999999</v>
      </c>
      <c r="AD3186">
        <v>5.9920429999999997E-2</v>
      </c>
      <c r="AE3186">
        <v>0.1133118</v>
      </c>
      <c r="AF3186">
        <v>9.5799032182228794E-2</v>
      </c>
      <c r="AG3186">
        <v>5.9920429999999997E-2</v>
      </c>
      <c r="AH3186">
        <v>2.9981929518705699</v>
      </c>
      <c r="AI3186">
        <v>88.855650619094604</v>
      </c>
      <c r="AJ3186">
        <v>88.169893163807899</v>
      </c>
      <c r="AK3186">
        <v>3.0003214643009199</v>
      </c>
      <c r="AL3186">
        <v>87.957865316519502</v>
      </c>
      <c r="AM3186">
        <v>89.909624538850593</v>
      </c>
      <c r="AN3186">
        <v>1.00000005117448</v>
      </c>
    </row>
    <row r="3187" spans="1:40" x14ac:dyDescent="0.25">
      <c r="A3187" t="str">
        <f>"20190312150723596"</f>
        <v>20190312150723596</v>
      </c>
      <c r="B3187" t="str">
        <f>"1552374443593440"</f>
        <v>1552374443593440</v>
      </c>
      <c r="C3187" t="s">
        <v>40</v>
      </c>
      <c r="D3187">
        <v>4.0900019999999904</v>
      </c>
      <c r="E3187">
        <v>0.51150569999999995</v>
      </c>
      <c r="F3187" t="s">
        <v>48</v>
      </c>
      <c r="G3187">
        <v>0</v>
      </c>
      <c r="H3187">
        <v>0</v>
      </c>
      <c r="I3187">
        <v>0</v>
      </c>
      <c r="J3187">
        <v>-280.27080000000001</v>
      </c>
      <c r="K3187">
        <v>1.1088359999999999</v>
      </c>
      <c r="L3187">
        <v>282.04989999999998</v>
      </c>
      <c r="M3187">
        <v>-0.99994709999999998</v>
      </c>
      <c r="N3187">
        <v>0</v>
      </c>
      <c r="O3187">
        <v>6.0444050000000001E-3</v>
      </c>
      <c r="P3187">
        <v>-0.99959390000000004</v>
      </c>
      <c r="Q3187">
        <v>2.7507199999999999E-2</v>
      </c>
      <c r="R3187">
        <v>7.4736749999999999E-3</v>
      </c>
      <c r="S3187">
        <v>-2.9987789999999999</v>
      </c>
      <c r="T3187">
        <v>5.875242E-2</v>
      </c>
      <c r="U3187">
        <v>0.1127625</v>
      </c>
      <c r="V3187">
        <v>1.472297E-3</v>
      </c>
      <c r="W3187">
        <v>3.5829800000000002E-2</v>
      </c>
      <c r="X3187">
        <v>0.99935680000000005</v>
      </c>
      <c r="Y3187">
        <v>3.1530320000000001E-2</v>
      </c>
      <c r="Z3187">
        <v>-1.903644E-4</v>
      </c>
      <c r="AA3187">
        <v>0.99950280000000002</v>
      </c>
      <c r="AB3187">
        <v>40</v>
      </c>
      <c r="AC3187">
        <v>-2.9987789999999999</v>
      </c>
      <c r="AD3187">
        <v>5.875242E-2</v>
      </c>
      <c r="AE3187">
        <v>0.1127625</v>
      </c>
      <c r="AF3187">
        <v>9.4597717274762905E-2</v>
      </c>
      <c r="AG3187">
        <v>5.875242E-2</v>
      </c>
      <c r="AH3187">
        <v>2.99825656303218</v>
      </c>
      <c r="AI3187">
        <v>88.877960819249793</v>
      </c>
      <c r="AJ3187">
        <v>88.192865610291406</v>
      </c>
      <c r="AK3187">
        <v>3.0003238146465101</v>
      </c>
      <c r="AL3187">
        <v>87.946664137315096</v>
      </c>
      <c r="AM3187">
        <v>89.915589363819393</v>
      </c>
      <c r="AN3187">
        <v>0.99999997796636797</v>
      </c>
    </row>
    <row r="3188" spans="1:40" x14ac:dyDescent="0.25">
      <c r="A3188" t="str">
        <f>"20190312150723608"</f>
        <v>20190312150723608</v>
      </c>
      <c r="B3188" t="str">
        <f>"1552374443603199"</f>
        <v>1552374443603199</v>
      </c>
      <c r="C3188" t="s">
        <v>40</v>
      </c>
      <c r="D3188">
        <v>4.1033119999999998</v>
      </c>
      <c r="E3188">
        <v>0.5114474</v>
      </c>
      <c r="F3188" t="s">
        <v>48</v>
      </c>
      <c r="G3188">
        <v>0</v>
      </c>
      <c r="H3188">
        <v>0</v>
      </c>
      <c r="I3188">
        <v>0</v>
      </c>
      <c r="J3188">
        <v>-280.46409999999997</v>
      </c>
      <c r="K3188">
        <v>1.1088370000000001</v>
      </c>
      <c r="L3188">
        <v>282.05119999999999</v>
      </c>
      <c r="M3188">
        <v>-0.99994559999999999</v>
      </c>
      <c r="N3188">
        <v>0</v>
      </c>
      <c r="O3188">
        <v>6.2508640000000001E-3</v>
      </c>
      <c r="P3188">
        <v>-0.99959339999999997</v>
      </c>
      <c r="Q3188">
        <v>2.7435859999999999E-2</v>
      </c>
      <c r="R3188">
        <v>7.7922759999999999E-3</v>
      </c>
      <c r="S3188">
        <v>-2.9987789999999999</v>
      </c>
      <c r="T3188">
        <v>5.732512E-2</v>
      </c>
      <c r="U3188">
        <v>0.1135864</v>
      </c>
      <c r="V3188">
        <v>1.5845150000000001E-3</v>
      </c>
      <c r="W3188">
        <v>3.5795489999999999E-2</v>
      </c>
      <c r="X3188">
        <v>0.99935790000000002</v>
      </c>
      <c r="Y3188">
        <v>3.159845E-2</v>
      </c>
      <c r="Z3188">
        <v>-1.8244579999999999E-4</v>
      </c>
      <c r="AA3188">
        <v>0.99950059999999996</v>
      </c>
      <c r="AB3188">
        <v>40</v>
      </c>
      <c r="AC3188">
        <v>-2.9987789999999999</v>
      </c>
      <c r="AD3188">
        <v>5.732512E-2</v>
      </c>
      <c r="AE3188">
        <v>0.1135864</v>
      </c>
      <c r="AF3188">
        <v>9.4803973182335799E-2</v>
      </c>
      <c r="AG3188">
        <v>5.732512E-2</v>
      </c>
      <c r="AH3188">
        <v>2.9983363428185199</v>
      </c>
      <c r="AI3188">
        <v>88.905243794453398</v>
      </c>
      <c r="AJ3188">
        <v>88.188976207223703</v>
      </c>
      <c r="AK3188">
        <v>3.0003824401866699</v>
      </c>
      <c r="AL3188">
        <v>87.948631303743397</v>
      </c>
      <c r="AM3188">
        <v>89.909155722890503</v>
      </c>
      <c r="AN3188">
        <v>1.0000000200422601</v>
      </c>
    </row>
    <row r="3189" spans="1:40" x14ac:dyDescent="0.25">
      <c r="A3189" t="str">
        <f>"20190312150723619"</f>
        <v>20190312150723619</v>
      </c>
      <c r="B3189" t="str">
        <f>"1552374443612960"</f>
        <v>1552374443612960</v>
      </c>
      <c r="C3189" t="s">
        <v>40</v>
      </c>
      <c r="D3189">
        <v>4.1082619999999999</v>
      </c>
      <c r="E3189">
        <v>0.51139520000000005</v>
      </c>
      <c r="F3189" t="s">
        <v>48</v>
      </c>
      <c r="G3189">
        <v>0</v>
      </c>
      <c r="H3189">
        <v>0</v>
      </c>
      <c r="I3189">
        <v>0</v>
      </c>
      <c r="J3189">
        <v>-280.68200000000002</v>
      </c>
      <c r="K3189">
        <v>1.1088389999999999</v>
      </c>
      <c r="L3189">
        <v>282.05270000000002</v>
      </c>
      <c r="M3189">
        <v>-0.99994369999999999</v>
      </c>
      <c r="N3189">
        <v>0</v>
      </c>
      <c r="O3189">
        <v>6.483768E-3</v>
      </c>
      <c r="P3189">
        <v>-0.99958689999999994</v>
      </c>
      <c r="Q3189">
        <v>2.7666130000000001E-2</v>
      </c>
      <c r="R3189">
        <v>7.8101869999999997E-3</v>
      </c>
      <c r="S3189">
        <v>-2.9987789999999999</v>
      </c>
      <c r="T3189">
        <v>5.632496E-2</v>
      </c>
      <c r="U3189">
        <v>0.1141663</v>
      </c>
      <c r="V3189">
        <v>1.3698370000000001E-3</v>
      </c>
      <c r="W3189">
        <v>3.6067589999999997E-2</v>
      </c>
      <c r="X3189">
        <v>0.99934840000000003</v>
      </c>
      <c r="Y3189">
        <v>3.1558839999999998E-2</v>
      </c>
      <c r="Z3189">
        <v>-1.7451829999999999E-4</v>
      </c>
      <c r="AA3189">
        <v>0.99950190000000005</v>
      </c>
      <c r="AB3189">
        <v>40</v>
      </c>
      <c r="AC3189">
        <v>-2.9987789999999999</v>
      </c>
      <c r="AD3189">
        <v>5.632496E-2</v>
      </c>
      <c r="AE3189">
        <v>0.1141663</v>
      </c>
      <c r="AF3189">
        <v>9.4686470945542903E-2</v>
      </c>
      <c r="AG3189">
        <v>5.632496E-2</v>
      </c>
      <c r="AH3189">
        <v>2.99839994932274</v>
      </c>
      <c r="AI3189">
        <v>88.924361103305102</v>
      </c>
      <c r="AJ3189">
        <v>88.191257685067697</v>
      </c>
      <c r="AK3189">
        <v>3.0004233509619498</v>
      </c>
      <c r="AL3189">
        <v>87.933030978288102</v>
      </c>
      <c r="AM3189">
        <v>89.921462995722806</v>
      </c>
      <c r="AN3189">
        <v>0.99999998604218698</v>
      </c>
    </row>
    <row r="3190" spans="1:40" x14ac:dyDescent="0.25">
      <c r="A3190" t="str">
        <f>"20190312150723631"</f>
        <v>20190312150723631</v>
      </c>
      <c r="B3190" t="str">
        <f>"1552374443623695"</f>
        <v>1552374443623695</v>
      </c>
      <c r="C3190" t="s">
        <v>40</v>
      </c>
      <c r="D3190">
        <v>4.1145230000000002</v>
      </c>
      <c r="E3190">
        <v>0.51137319999999997</v>
      </c>
      <c r="F3190" t="s">
        <v>48</v>
      </c>
      <c r="G3190">
        <v>0</v>
      </c>
      <c r="H3190">
        <v>0</v>
      </c>
      <c r="I3190">
        <v>0</v>
      </c>
      <c r="J3190">
        <v>-280.89299999999997</v>
      </c>
      <c r="K3190">
        <v>1.10884</v>
      </c>
      <c r="L3190">
        <v>282.05430000000001</v>
      </c>
      <c r="M3190">
        <v>-0.99994190000000005</v>
      </c>
      <c r="N3190">
        <v>0</v>
      </c>
      <c r="O3190">
        <v>6.7091069999999997E-3</v>
      </c>
      <c r="P3190">
        <v>-0.99959659999999995</v>
      </c>
      <c r="Q3190">
        <v>2.7324279999999999E-2</v>
      </c>
      <c r="R3190">
        <v>7.7791450000000003E-3</v>
      </c>
      <c r="S3190">
        <v>-2.9987789999999999</v>
      </c>
      <c r="T3190">
        <v>5.6531070000000003E-2</v>
      </c>
      <c r="U3190">
        <v>0.113678</v>
      </c>
      <c r="V3190">
        <v>1.113288E-3</v>
      </c>
      <c r="W3190">
        <v>3.5765949999999998E-2</v>
      </c>
      <c r="X3190">
        <v>0.99935949999999996</v>
      </c>
      <c r="Y3190">
        <v>3.117116E-2</v>
      </c>
      <c r="Z3190">
        <v>-1.6725900000000001E-4</v>
      </c>
      <c r="AA3190">
        <v>0.99951400000000001</v>
      </c>
      <c r="AB3190">
        <v>40</v>
      </c>
      <c r="AC3190">
        <v>-2.9987789999999999</v>
      </c>
      <c r="AD3190">
        <v>5.6531070000000003E-2</v>
      </c>
      <c r="AE3190">
        <v>0.113678</v>
      </c>
      <c r="AF3190">
        <v>9.3522408313167799E-2</v>
      </c>
      <c r="AG3190">
        <v>5.6531070000000003E-2</v>
      </c>
      <c r="AH3190">
        <v>2.9984101811610602</v>
      </c>
      <c r="AI3190">
        <v>88.920416487794299</v>
      </c>
      <c r="AJ3190">
        <v>88.213485710738198</v>
      </c>
      <c r="AK3190">
        <v>3.0004009427445499</v>
      </c>
      <c r="AL3190">
        <v>87.950324713521098</v>
      </c>
      <c r="AM3190">
        <v>89.936172441052307</v>
      </c>
      <c r="AN3190">
        <v>0.99999992641490898</v>
      </c>
    </row>
    <row r="3191" spans="1:40" x14ac:dyDescent="0.25">
      <c r="A3191" t="str">
        <f>"20190312150723651"</f>
        <v>20190312150723651</v>
      </c>
      <c r="B3191" t="str">
        <f>"1552374443643215"</f>
        <v>1552374443643215</v>
      </c>
      <c r="C3191" t="s">
        <v>40</v>
      </c>
      <c r="D3191">
        <v>4.1169640000000003</v>
      </c>
      <c r="E3191">
        <v>0.51130129999999996</v>
      </c>
      <c r="F3191" t="s">
        <v>48</v>
      </c>
      <c r="G3191">
        <v>0</v>
      </c>
      <c r="H3191">
        <v>0</v>
      </c>
      <c r="I3191">
        <v>0</v>
      </c>
      <c r="J3191">
        <v>-281.25049999999999</v>
      </c>
      <c r="K3191">
        <v>1.108843</v>
      </c>
      <c r="L3191">
        <v>282.05700000000002</v>
      </c>
      <c r="M3191">
        <v>-0.99993869999999896</v>
      </c>
      <c r="N3191">
        <v>0</v>
      </c>
      <c r="O3191">
        <v>7.091104E-3</v>
      </c>
      <c r="P3191">
        <v>-0.99960139999999997</v>
      </c>
      <c r="Q3191">
        <v>2.714598E-2</v>
      </c>
      <c r="R3191">
        <v>7.7785450000000004E-3</v>
      </c>
      <c r="S3191">
        <v>-2.9988100000000002</v>
      </c>
      <c r="T3191">
        <v>5.5119750000000002E-2</v>
      </c>
      <c r="U3191">
        <v>0.113494899999999</v>
      </c>
      <c r="V3191">
        <v>7.3070259999999897E-4</v>
      </c>
      <c r="W3191">
        <v>3.5656350000000003E-2</v>
      </c>
      <c r="X3191">
        <v>0.99936380000000002</v>
      </c>
      <c r="Y3191">
        <v>3.0728350000000001E-2</v>
      </c>
      <c r="Z3191">
        <v>-1.519968E-4</v>
      </c>
      <c r="AA3191">
        <v>0.99952779999999997</v>
      </c>
      <c r="AB3191">
        <v>40</v>
      </c>
      <c r="AC3191">
        <v>-2.9988100000000002</v>
      </c>
      <c r="AD3191">
        <v>5.5119750000000002E-2</v>
      </c>
      <c r="AE3191">
        <v>0.113494899999999</v>
      </c>
      <c r="AF3191">
        <v>9.2195300692576199E-2</v>
      </c>
      <c r="AG3191">
        <v>5.5119750000000002E-2</v>
      </c>
      <c r="AH3191">
        <v>2.9985278445916301</v>
      </c>
      <c r="AI3191">
        <v>88.947389411706695</v>
      </c>
      <c r="AJ3191">
        <v>88.238889804772199</v>
      </c>
      <c r="AK3191">
        <v>3.0004511985868398</v>
      </c>
      <c r="AL3191">
        <v>87.956608401905896</v>
      </c>
      <c r="AM3191">
        <v>89.958107180189401</v>
      </c>
      <c r="AN3191">
        <v>0.99999995698602495</v>
      </c>
    </row>
    <row r="3192" spans="1:40" x14ac:dyDescent="0.25">
      <c r="A3192" t="str">
        <f>"20190312150723665"</f>
        <v>20190312150723665</v>
      </c>
      <c r="B3192" t="str">
        <f>"1552374443652976"</f>
        <v>1552374443652976</v>
      </c>
      <c r="C3192" t="s">
        <v>40</v>
      </c>
      <c r="D3192">
        <v>4.1117319999999999</v>
      </c>
      <c r="E3192">
        <v>0.51127449999999997</v>
      </c>
      <c r="F3192" t="s">
        <v>48</v>
      </c>
      <c r="G3192">
        <v>0</v>
      </c>
      <c r="H3192">
        <v>0</v>
      </c>
      <c r="I3192">
        <v>0</v>
      </c>
      <c r="J3192">
        <v>-281.48750000000001</v>
      </c>
      <c r="K3192">
        <v>1.1088530000000001</v>
      </c>
      <c r="L3192">
        <v>282.05880000000002</v>
      </c>
      <c r="M3192">
        <v>-0.99993639999999995</v>
      </c>
      <c r="N3192">
        <v>0</v>
      </c>
      <c r="O3192">
        <v>7.344555E-3</v>
      </c>
      <c r="P3192">
        <v>-0.99960190000000004</v>
      </c>
      <c r="Q3192">
        <v>2.709688E-2</v>
      </c>
      <c r="R3192">
        <v>7.8713749999999999E-3</v>
      </c>
      <c r="S3192">
        <v>-2.99884</v>
      </c>
      <c r="T3192">
        <v>5.3870920000000003E-2</v>
      </c>
      <c r="U3192">
        <v>0.1127625</v>
      </c>
      <c r="V3192">
        <v>5.7017370000000001E-4</v>
      </c>
      <c r="W3192">
        <v>3.5652540000000003E-2</v>
      </c>
      <c r="X3192">
        <v>0.99936409999999998</v>
      </c>
      <c r="Y3192">
        <v>3.0231129999999998E-2</v>
      </c>
      <c r="Z3192">
        <v>-1.3953779999999999E-4</v>
      </c>
      <c r="AA3192">
        <v>0.99954299999999996</v>
      </c>
      <c r="AB3192">
        <v>40</v>
      </c>
      <c r="AC3192">
        <v>-2.99884</v>
      </c>
      <c r="AD3192">
        <v>5.3870920000000003E-2</v>
      </c>
      <c r="AE3192">
        <v>0.1127625</v>
      </c>
      <c r="AF3192">
        <v>9.0704277161222702E-2</v>
      </c>
      <c r="AG3192">
        <v>5.3870920000000003E-2</v>
      </c>
      <c r="AH3192">
        <v>2.9986210353121501</v>
      </c>
      <c r="AI3192">
        <v>88.971249230290596</v>
      </c>
      <c r="AJ3192">
        <v>88.267407575396803</v>
      </c>
      <c r="AK3192">
        <v>3.0004762047604201</v>
      </c>
      <c r="AL3192">
        <v>87.956826959447397</v>
      </c>
      <c r="AM3192">
        <v>89.967310669800199</v>
      </c>
      <c r="AN3192">
        <v>1.0000000165376499</v>
      </c>
    </row>
    <row r="3193" spans="1:40" x14ac:dyDescent="0.25">
      <c r="A3193" t="str">
        <f>"20190312150723677"</f>
        <v>20190312150723677</v>
      </c>
      <c r="B3193" t="str">
        <f>"1552374443673471"</f>
        <v>1552374443673471</v>
      </c>
      <c r="C3193" t="s">
        <v>40</v>
      </c>
      <c r="D3193">
        <v>4.0532579999999996</v>
      </c>
      <c r="E3193">
        <v>0.51122730000000005</v>
      </c>
      <c r="F3193" t="s">
        <v>48</v>
      </c>
      <c r="G3193">
        <v>0</v>
      </c>
      <c r="H3193">
        <v>0</v>
      </c>
      <c r="I3193">
        <v>0</v>
      </c>
      <c r="J3193">
        <v>-281.70850000000002</v>
      </c>
      <c r="K3193">
        <v>1.1088549999999999</v>
      </c>
      <c r="L3193">
        <v>282.06060000000002</v>
      </c>
      <c r="M3193">
        <v>-0.99993430000000005</v>
      </c>
      <c r="N3193">
        <v>0</v>
      </c>
      <c r="O3193">
        <v>7.5807330000000001E-3</v>
      </c>
      <c r="P3193">
        <v>-0.99960950000000004</v>
      </c>
      <c r="Q3193">
        <v>2.6801209999999999E-2</v>
      </c>
      <c r="R3193">
        <v>7.916925E-3</v>
      </c>
      <c r="S3193">
        <v>-2.99884</v>
      </c>
      <c r="T3193">
        <v>5.4136040000000003E-2</v>
      </c>
      <c r="U3193">
        <v>0.112854</v>
      </c>
      <c r="V3193">
        <v>3.793332E-4</v>
      </c>
      <c r="W3193">
        <v>3.5398539999999999E-2</v>
      </c>
      <c r="X3193">
        <v>0.99937319999999996</v>
      </c>
      <c r="Y3193">
        <v>3.0025550000000002E-2</v>
      </c>
      <c r="Z3193">
        <v>-1.34108E-4</v>
      </c>
      <c r="AA3193">
        <v>0.99954920000000003</v>
      </c>
      <c r="AB3193">
        <v>40</v>
      </c>
      <c r="AC3193">
        <v>-2.99884</v>
      </c>
      <c r="AD3193">
        <v>5.4136040000000003E-2</v>
      </c>
      <c r="AE3193">
        <v>0.112854</v>
      </c>
      <c r="AF3193">
        <v>9.0087194595881701E-2</v>
      </c>
      <c r="AG3193">
        <v>5.4136040000000003E-2</v>
      </c>
      <c r="AH3193">
        <v>2.9986335398938602</v>
      </c>
      <c r="AI3193">
        <v>88.966185339030901</v>
      </c>
      <c r="AJ3193">
        <v>88.279194870177804</v>
      </c>
      <c r="AK3193">
        <v>3.0004748824200198</v>
      </c>
      <c r="AL3193">
        <v>87.971389239179601</v>
      </c>
      <c r="AM3193">
        <v>89.978252178119803</v>
      </c>
      <c r="AN3193">
        <v>0.99999999670302397</v>
      </c>
    </row>
    <row r="3194" spans="1:40" x14ac:dyDescent="0.25">
      <c r="A3194" t="str">
        <f>"20190312150723693"</f>
        <v>20190312150723693</v>
      </c>
      <c r="B3194" t="str">
        <f>"1552374443683231"</f>
        <v>1552374443683231</v>
      </c>
      <c r="C3194" t="s">
        <v>40</v>
      </c>
      <c r="D3194">
        <v>4.0992369999999996</v>
      </c>
      <c r="E3194">
        <v>0.51123580000000002</v>
      </c>
      <c r="F3194" t="s">
        <v>48</v>
      </c>
      <c r="G3194">
        <v>0</v>
      </c>
      <c r="H3194">
        <v>0</v>
      </c>
      <c r="I3194">
        <v>0</v>
      </c>
      <c r="J3194">
        <v>-282.01310000000001</v>
      </c>
      <c r="K3194">
        <v>1.1088610000000001</v>
      </c>
      <c r="L3194">
        <v>282.06319999999999</v>
      </c>
      <c r="M3194">
        <v>-0.99993140000000003</v>
      </c>
      <c r="N3194">
        <v>0</v>
      </c>
      <c r="O3194">
        <v>7.9063239999999993E-3</v>
      </c>
      <c r="P3194">
        <v>-0.99960289999999996</v>
      </c>
      <c r="Q3194">
        <v>2.7042139999999999E-2</v>
      </c>
      <c r="R3194">
        <v>7.9282940000000007E-3</v>
      </c>
      <c r="S3194">
        <v>-2.998901</v>
      </c>
      <c r="T3194">
        <v>5.215347E-2</v>
      </c>
      <c r="U3194">
        <v>0.11270139999999999</v>
      </c>
      <c r="V3194" s="1">
        <v>6.5595729999999995E-5</v>
      </c>
      <c r="W3194">
        <v>3.5695419999999999E-2</v>
      </c>
      <c r="X3194">
        <v>0.99936270000000005</v>
      </c>
      <c r="Y3194">
        <v>2.9648890000000001E-2</v>
      </c>
      <c r="Z3194">
        <v>-1.2026159999999999E-4</v>
      </c>
      <c r="AA3194">
        <v>0.99956040000000002</v>
      </c>
      <c r="AB3194">
        <v>40</v>
      </c>
      <c r="AC3194">
        <v>-2.998901</v>
      </c>
      <c r="AD3194">
        <v>5.215347E-2</v>
      </c>
      <c r="AE3194">
        <v>0.11270139999999999</v>
      </c>
      <c r="AF3194">
        <v>8.8959841546360302E-2</v>
      </c>
      <c r="AG3194">
        <v>5.215347E-2</v>
      </c>
      <c r="AH3194">
        <v>2.9987926661456998</v>
      </c>
      <c r="AI3194">
        <v>89.004079553423097</v>
      </c>
      <c r="AJ3194">
        <v>88.300806473378998</v>
      </c>
      <c r="AK3194">
        <v>3.00056516216033</v>
      </c>
      <c r="AL3194">
        <v>87.954368490640803</v>
      </c>
      <c r="AM3194">
        <v>89.996239244793003</v>
      </c>
      <c r="AN3194">
        <v>0.99999998673153301</v>
      </c>
    </row>
    <row r="3195" spans="1:40" x14ac:dyDescent="0.25">
      <c r="A3195" t="str">
        <f>"20190312150723705"</f>
        <v>20190312150723705</v>
      </c>
      <c r="B3195" t="str">
        <f>"1552374443703728"</f>
        <v>1552374443703728</v>
      </c>
      <c r="C3195" t="s">
        <v>40</v>
      </c>
      <c r="D3195">
        <v>4.1080040000000002</v>
      </c>
      <c r="E3195">
        <v>0.51120169999999998</v>
      </c>
      <c r="F3195" t="s">
        <v>48</v>
      </c>
      <c r="G3195">
        <v>0</v>
      </c>
      <c r="H3195">
        <v>0</v>
      </c>
      <c r="I3195">
        <v>0</v>
      </c>
      <c r="J3195">
        <v>-282.22129999999999</v>
      </c>
      <c r="K3195">
        <v>1.1088659999999999</v>
      </c>
      <c r="L3195">
        <v>282.065</v>
      </c>
      <c r="M3195">
        <v>-0.99992919999999996</v>
      </c>
      <c r="N3195">
        <v>0</v>
      </c>
      <c r="O3195">
        <v>8.1291650000000007E-3</v>
      </c>
      <c r="P3195">
        <v>-0.99960859999999996</v>
      </c>
      <c r="Q3195">
        <v>2.683934E-2</v>
      </c>
      <c r="R3195">
        <v>7.9054079999999992E-3</v>
      </c>
      <c r="S3195">
        <v>-2.99884</v>
      </c>
      <c r="T3195">
        <v>5.2614689999999999E-2</v>
      </c>
      <c r="U3195">
        <v>0.11267089999999901</v>
      </c>
      <c r="V3195">
        <v>-1.8043249999999999E-4</v>
      </c>
      <c r="W3195">
        <v>3.552959E-2</v>
      </c>
      <c r="X3195">
        <v>0.99936860000000005</v>
      </c>
      <c r="Y3195">
        <v>2.9416749999999998E-2</v>
      </c>
      <c r="Z3195">
        <v>-1.1538400000000001E-4</v>
      </c>
      <c r="AA3195">
        <v>0.99956719999999999</v>
      </c>
      <c r="AB3195">
        <v>40</v>
      </c>
      <c r="AC3195">
        <v>-2.99884</v>
      </c>
      <c r="AD3195">
        <v>5.2614689999999999E-2</v>
      </c>
      <c r="AE3195">
        <v>0.11267089999999901</v>
      </c>
      <c r="AF3195">
        <v>8.8261060303937502E-2</v>
      </c>
      <c r="AG3195">
        <v>5.2614689999999999E-2</v>
      </c>
      <c r="AH3195">
        <v>2.9987350671850899</v>
      </c>
      <c r="AI3195">
        <v>88.995247724844006</v>
      </c>
      <c r="AJ3195">
        <v>88.314113575250104</v>
      </c>
      <c r="AK3195">
        <v>3.0004950130829</v>
      </c>
      <c r="AL3195">
        <v>87.963875890384003</v>
      </c>
      <c r="AM3195">
        <v>90.010344552174899</v>
      </c>
      <c r="AN3195">
        <v>0.999999991493707</v>
      </c>
    </row>
    <row r="3196" spans="1:40" x14ac:dyDescent="0.25">
      <c r="A3196" t="str">
        <f>"20190312150723716"</f>
        <v>20190312150723716</v>
      </c>
      <c r="B3196" t="str">
        <f>"1552374443703728"</f>
        <v>1552374443703728</v>
      </c>
      <c r="C3196" t="s">
        <v>40</v>
      </c>
      <c r="D3196">
        <v>4.1080040000000002</v>
      </c>
      <c r="E3196">
        <v>0.51120169999999998</v>
      </c>
      <c r="F3196" t="s">
        <v>48</v>
      </c>
      <c r="G3196">
        <v>0</v>
      </c>
      <c r="H3196">
        <v>0</v>
      </c>
      <c r="I3196">
        <v>0</v>
      </c>
      <c r="J3196">
        <v>-282.4101</v>
      </c>
      <c r="K3196">
        <v>1.1088690000000001</v>
      </c>
      <c r="L3196">
        <v>282.06670000000003</v>
      </c>
      <c r="M3196">
        <v>-0.99992720000000002</v>
      </c>
      <c r="N3196">
        <v>0</v>
      </c>
      <c r="O3196">
        <v>8.3306819999999903E-3</v>
      </c>
      <c r="P3196">
        <v>-0.99960859999999996</v>
      </c>
      <c r="Q3196">
        <v>2.6768900000000002E-2</v>
      </c>
      <c r="R3196">
        <v>8.1433530000000007E-3</v>
      </c>
      <c r="S3196">
        <v>-2.998901</v>
      </c>
      <c r="T3196">
        <v>5.1761979999999999E-2</v>
      </c>
      <c r="U3196">
        <v>0.11242679999999999</v>
      </c>
      <c r="V3196">
        <v>-1.4373939999999999E-4</v>
      </c>
      <c r="W3196">
        <v>3.549194E-2</v>
      </c>
      <c r="X3196">
        <v>0.99936999999999998</v>
      </c>
      <c r="Y3196">
        <v>2.9133450000000002E-2</v>
      </c>
      <c r="Z3196">
        <v>-1.075917E-4</v>
      </c>
      <c r="AA3196">
        <v>0.99957549999999995</v>
      </c>
      <c r="AB3196">
        <v>40</v>
      </c>
      <c r="AC3196">
        <v>-2.998901</v>
      </c>
      <c r="AD3196">
        <v>5.1761979999999999E-2</v>
      </c>
      <c r="AE3196">
        <v>0.11242679999999999</v>
      </c>
      <c r="AF3196">
        <v>8.7413050579359997E-2</v>
      </c>
      <c r="AG3196">
        <v>5.1761979999999999E-2</v>
      </c>
      <c r="AH3196">
        <v>2.9988413990961802</v>
      </c>
      <c r="AI3196">
        <v>89.011555009895005</v>
      </c>
      <c r="AJ3196">
        <v>88.330361480009699</v>
      </c>
      <c r="AK3196">
        <v>3.0005616275821199</v>
      </c>
      <c r="AL3196">
        <v>87.966034552245404</v>
      </c>
      <c r="AM3196">
        <v>90.008240852650104</v>
      </c>
      <c r="AN3196">
        <v>1.00000004768298</v>
      </c>
    </row>
    <row r="3197" spans="1:40" x14ac:dyDescent="0.25">
      <c r="A3197" t="str">
        <f>"20190312150723728"</f>
        <v>20190312150723728</v>
      </c>
      <c r="B3197" t="str">
        <f>"1552374443723247"</f>
        <v>1552374443723247</v>
      </c>
      <c r="C3197" t="s">
        <v>40</v>
      </c>
      <c r="D3197">
        <v>4.3539059999999896</v>
      </c>
      <c r="E3197">
        <v>0.50978100000000004</v>
      </c>
      <c r="F3197" t="s">
        <v>48</v>
      </c>
      <c r="G3197">
        <v>0</v>
      </c>
      <c r="H3197">
        <v>0</v>
      </c>
      <c r="I3197">
        <v>0</v>
      </c>
      <c r="J3197">
        <v>-282.61090000000002</v>
      </c>
      <c r="K3197">
        <v>1.108876</v>
      </c>
      <c r="L3197">
        <v>282.06849999999997</v>
      </c>
      <c r="M3197">
        <v>-0.99992510000000001</v>
      </c>
      <c r="N3197">
        <v>0</v>
      </c>
      <c r="O3197">
        <v>8.5450660000000005E-3</v>
      </c>
      <c r="P3197">
        <v>-0.99960510000000002</v>
      </c>
      <c r="Q3197">
        <v>2.6847059999999999E-2</v>
      </c>
      <c r="R3197">
        <v>8.3243099999999997E-3</v>
      </c>
      <c r="S3197">
        <v>-2.9988709999999998</v>
      </c>
      <c r="T3197">
        <v>5.1540849999999999E-2</v>
      </c>
      <c r="U3197">
        <v>0.1130676</v>
      </c>
      <c r="V3197">
        <v>-1.7661970000000001E-4</v>
      </c>
      <c r="W3197">
        <v>3.5605360000000003E-2</v>
      </c>
      <c r="X3197">
        <v>0.99936590000000003</v>
      </c>
      <c r="Y3197">
        <v>2.9132890000000002E-2</v>
      </c>
      <c r="Z3197">
        <v>-1.034452E-4</v>
      </c>
      <c r="AA3197">
        <v>0.99957560000000001</v>
      </c>
      <c r="AB3197">
        <v>40</v>
      </c>
      <c r="AC3197">
        <v>-2.9988709999999998</v>
      </c>
      <c r="AD3197">
        <v>5.1540849999999999E-2</v>
      </c>
      <c r="AE3197">
        <v>0.1130676</v>
      </c>
      <c r="AF3197">
        <v>8.7411153979279094E-2</v>
      </c>
      <c r="AG3197">
        <v>5.1540849999999999E-2</v>
      </c>
      <c r="AH3197">
        <v>2.9988431566684999</v>
      </c>
      <c r="AI3197">
        <v>89.0157774264555</v>
      </c>
      <c r="AJ3197">
        <v>88.330398663608094</v>
      </c>
      <c r="AK3197">
        <v>3.00055952238182</v>
      </c>
      <c r="AL3197">
        <v>87.959531832337206</v>
      </c>
      <c r="AM3197">
        <v>90.010125984170003</v>
      </c>
      <c r="AN3197">
        <v>0.99999998746902896</v>
      </c>
    </row>
    <row r="3198" spans="1:40" x14ac:dyDescent="0.25">
      <c r="A3198" t="str">
        <f>"20190312150723739"</f>
        <v>20190312150723739</v>
      </c>
      <c r="B3198" t="str">
        <f>"1552374443733007"</f>
        <v>1552374443733007</v>
      </c>
      <c r="C3198" t="s">
        <v>40</v>
      </c>
      <c r="D3198">
        <v>4.1176349999999999</v>
      </c>
      <c r="E3198">
        <v>0.50907219999999997</v>
      </c>
      <c r="F3198" t="s">
        <v>48</v>
      </c>
      <c r="G3198">
        <v>0</v>
      </c>
      <c r="H3198">
        <v>0</v>
      </c>
      <c r="I3198">
        <v>0</v>
      </c>
      <c r="J3198">
        <v>-282.83909999999997</v>
      </c>
      <c r="K3198">
        <v>1.1088800000000001</v>
      </c>
      <c r="L3198">
        <v>282.07060000000001</v>
      </c>
      <c r="M3198">
        <v>-0.9999228</v>
      </c>
      <c r="N3198">
        <v>0</v>
      </c>
      <c r="O3198">
        <v>8.7882769999999902E-3</v>
      </c>
      <c r="P3198">
        <v>-0.99960329999999997</v>
      </c>
      <c r="Q3198">
        <v>2.6769689999999999E-2</v>
      </c>
      <c r="R3198">
        <v>8.7599740000000002E-3</v>
      </c>
      <c r="S3198">
        <v>-2.9990839999999999</v>
      </c>
      <c r="T3198">
        <v>4.6950100000000002E-2</v>
      </c>
      <c r="U3198">
        <v>0.1022339</v>
      </c>
      <c r="V3198" s="1">
        <v>1.539601E-5</v>
      </c>
      <c r="W3198">
        <v>3.5568660000000002E-2</v>
      </c>
      <c r="X3198">
        <v>0.99936720000000001</v>
      </c>
      <c r="Y3198">
        <v>2.5281729999999999E-2</v>
      </c>
      <c r="Z3198" s="1">
        <v>-6.0291509999999998E-5</v>
      </c>
      <c r="AA3198">
        <v>0.99968029999999997</v>
      </c>
      <c r="AB3198">
        <v>40</v>
      </c>
      <c r="AC3198">
        <v>-2.9990839999999999</v>
      </c>
      <c r="AD3198">
        <v>4.6950100000000002E-2</v>
      </c>
      <c r="AE3198">
        <v>0.1022339</v>
      </c>
      <c r="AF3198">
        <v>7.5853585714549795E-2</v>
      </c>
      <c r="AG3198">
        <v>4.6950100000000002E-2</v>
      </c>
      <c r="AH3198">
        <v>2.9991325141386098</v>
      </c>
      <c r="AI3198">
        <v>89.103419706978102</v>
      </c>
      <c r="AJ3198">
        <v>88.551193066994202</v>
      </c>
      <c r="AK3198">
        <v>3.0004589508472099</v>
      </c>
      <c r="AL3198">
        <v>87.961635874671998</v>
      </c>
      <c r="AM3198">
        <v>89.999117315042696</v>
      </c>
      <c r="AN3198">
        <v>0.99999996512353495</v>
      </c>
    </row>
    <row r="3199" spans="1:40" x14ac:dyDescent="0.25">
      <c r="A3199" t="str">
        <f>"20190312150723751"</f>
        <v>20190312150723751</v>
      </c>
      <c r="B3199" t="str">
        <f>"1552374443743743"</f>
        <v>1552374443743743</v>
      </c>
      <c r="C3199" t="s">
        <v>40</v>
      </c>
      <c r="D3199">
        <v>4.317761</v>
      </c>
      <c r="E3199">
        <v>0.50850059999999997</v>
      </c>
      <c r="F3199" t="s">
        <v>48</v>
      </c>
      <c r="G3199">
        <v>0</v>
      </c>
      <c r="H3199">
        <v>0</v>
      </c>
      <c r="I3199">
        <v>0</v>
      </c>
      <c r="J3199">
        <v>-283.04640000000001</v>
      </c>
      <c r="K3199">
        <v>1.108884</v>
      </c>
      <c r="L3199">
        <v>282.07260000000002</v>
      </c>
      <c r="M3199">
        <v>-0.99992040000000004</v>
      </c>
      <c r="N3199">
        <v>0</v>
      </c>
      <c r="O3199">
        <v>9.0095020000000008E-3</v>
      </c>
      <c r="P3199">
        <v>-0.99960519999999997</v>
      </c>
      <c r="Q3199">
        <v>2.6628679999999998E-2</v>
      </c>
      <c r="R3199">
        <v>8.9684350000000003E-3</v>
      </c>
      <c r="S3199">
        <v>-2.9990540000000001</v>
      </c>
      <c r="T3199">
        <v>4.6164629999999998E-2</v>
      </c>
      <c r="U3199">
        <v>9.7717289999999998E-2</v>
      </c>
      <c r="V3199" s="1">
        <v>2.7213830000000001E-6</v>
      </c>
      <c r="W3199">
        <v>3.5465740000000003E-2</v>
      </c>
      <c r="X3199">
        <v>0.99937089999999995</v>
      </c>
      <c r="Y3199">
        <v>2.3557310000000001E-2</v>
      </c>
      <c r="Z3199" s="1">
        <v>-4.2612979999999999E-5</v>
      </c>
      <c r="AA3199">
        <v>0.99972249999999996</v>
      </c>
      <c r="AB3199">
        <v>40</v>
      </c>
      <c r="AC3199">
        <v>-2.9990540000000001</v>
      </c>
      <c r="AD3199">
        <v>4.6164629999999998E-2</v>
      </c>
      <c r="AE3199">
        <v>9.7717289999999998E-2</v>
      </c>
      <c r="AF3199">
        <v>7.0675557981499895E-2</v>
      </c>
      <c r="AG3199">
        <v>4.6164629999999998E-2</v>
      </c>
      <c r="AH3199">
        <v>2.99910281515927</v>
      </c>
      <c r="AI3199">
        <v>89.118371130438106</v>
      </c>
      <c r="AJ3199">
        <v>88.650042332077206</v>
      </c>
      <c r="AK3199">
        <v>3.0002906364976201</v>
      </c>
      <c r="AL3199">
        <v>87.967536565049002</v>
      </c>
      <c r="AM3199">
        <v>89.999843978086204</v>
      </c>
      <c r="AN3199">
        <v>1.0000000072439801</v>
      </c>
    </row>
    <row r="3200" spans="1:40" x14ac:dyDescent="0.25">
      <c r="A3200" t="str">
        <f>"20190312150723763"</f>
        <v>20190312150723763</v>
      </c>
      <c r="B3200" t="str">
        <f>"1552374443753502"</f>
        <v>1552374443753502</v>
      </c>
      <c r="C3200" t="s">
        <v>40</v>
      </c>
      <c r="D3200">
        <v>4.1332509999999996</v>
      </c>
      <c r="E3200">
        <v>0.50784399999999996</v>
      </c>
      <c r="F3200" t="s">
        <v>48</v>
      </c>
      <c r="G3200">
        <v>0</v>
      </c>
      <c r="H3200">
        <v>0</v>
      </c>
      <c r="I3200">
        <v>0</v>
      </c>
      <c r="J3200">
        <v>-283.25749999999999</v>
      </c>
      <c r="K3200">
        <v>1.1088880000000001</v>
      </c>
      <c r="L3200">
        <v>282.07470000000001</v>
      </c>
      <c r="M3200">
        <v>-0.99991799999999997</v>
      </c>
      <c r="N3200">
        <v>0</v>
      </c>
      <c r="O3200">
        <v>9.2347729999999999E-3</v>
      </c>
      <c r="P3200">
        <v>-0.99960559999999998</v>
      </c>
      <c r="Q3200">
        <v>2.6508569999999999E-2</v>
      </c>
      <c r="R3200">
        <v>9.2913649999999993E-3</v>
      </c>
      <c r="S3200">
        <v>-2.9991759999999998</v>
      </c>
      <c r="T3200">
        <v>4.373693E-2</v>
      </c>
      <c r="U3200">
        <v>9.3719479999999994E-2</v>
      </c>
      <c r="V3200">
        <v>1.005518E-4</v>
      </c>
      <c r="W3200">
        <v>3.5385199999999999E-2</v>
      </c>
      <c r="X3200">
        <v>0.99937370000000003</v>
      </c>
      <c r="Y3200">
        <v>2.1999850000000001E-2</v>
      </c>
      <c r="Z3200" s="1">
        <v>-2.573452E-5</v>
      </c>
      <c r="AA3200">
        <v>0.99975789999999998</v>
      </c>
      <c r="AB3200">
        <v>40</v>
      </c>
      <c r="AC3200">
        <v>-2.9991759999999998</v>
      </c>
      <c r="AD3200">
        <v>4.373693E-2</v>
      </c>
      <c r="AE3200">
        <v>9.3719479999999994E-2</v>
      </c>
      <c r="AF3200">
        <v>6.6003660838743594E-2</v>
      </c>
      <c r="AG3200">
        <v>4.373693E-2</v>
      </c>
      <c r="AH3200">
        <v>2.9992763989768001</v>
      </c>
      <c r="AI3200">
        <v>89.164746055398794</v>
      </c>
      <c r="AJ3200">
        <v>88.739322292655601</v>
      </c>
      <c r="AK3200">
        <v>3.0003213694118198</v>
      </c>
      <c r="AL3200">
        <v>87.972153964228994</v>
      </c>
      <c r="AM3200">
        <v>89.994235195760098</v>
      </c>
      <c r="AN3200">
        <v>0.99999995737069602</v>
      </c>
    </row>
    <row r="3201" spans="1:40" x14ac:dyDescent="0.25">
      <c r="A3201" t="str">
        <f>"20190312150723773"</f>
        <v>20190312150723773</v>
      </c>
      <c r="B3201" t="str">
        <f>"1552374443763263"</f>
        <v>1552374443763263</v>
      </c>
      <c r="C3201" t="s">
        <v>40</v>
      </c>
      <c r="D3201">
        <v>4.1331629999999997</v>
      </c>
      <c r="E3201">
        <v>0.50717679999999998</v>
      </c>
      <c r="F3201" t="s">
        <v>48</v>
      </c>
      <c r="G3201">
        <v>0</v>
      </c>
      <c r="H3201">
        <v>0</v>
      </c>
      <c r="I3201">
        <v>0</v>
      </c>
      <c r="J3201">
        <v>-283.44439999999997</v>
      </c>
      <c r="K3201">
        <v>1.108892</v>
      </c>
      <c r="L3201">
        <v>282.07659999999998</v>
      </c>
      <c r="M3201">
        <v>-0.99991580000000002</v>
      </c>
      <c r="N3201">
        <v>0</v>
      </c>
      <c r="O3201">
        <v>9.4339479999999993E-3</v>
      </c>
      <c r="P3201">
        <v>-0.99960289999999996</v>
      </c>
      <c r="Q3201">
        <v>2.6557859999999999E-2</v>
      </c>
      <c r="R3201">
        <v>9.4375919999999999E-3</v>
      </c>
      <c r="S3201">
        <v>-2.9992369999999999</v>
      </c>
      <c r="T3201">
        <v>4.2392970000000002E-2</v>
      </c>
      <c r="U3201">
        <v>8.9630130000000002E-2</v>
      </c>
      <c r="V3201" s="1">
        <v>4.7648590000000002E-5</v>
      </c>
      <c r="W3201">
        <v>3.5471450000000002E-2</v>
      </c>
      <c r="X3201">
        <v>0.99937069999999995</v>
      </c>
      <c r="Y3201">
        <v>2.0438439999999999E-2</v>
      </c>
      <c r="Z3201" s="1">
        <v>-1.109735E-5</v>
      </c>
      <c r="AA3201">
        <v>0.99979110000000004</v>
      </c>
      <c r="AB3201">
        <v>40</v>
      </c>
      <c r="AC3201">
        <v>-2.9992369999999999</v>
      </c>
      <c r="AD3201">
        <v>4.2392970000000002E-2</v>
      </c>
      <c r="AE3201">
        <v>8.9630130000000002E-2</v>
      </c>
      <c r="AF3201">
        <v>6.1318132307641701E-2</v>
      </c>
      <c r="AG3201">
        <v>4.2392970000000002E-2</v>
      </c>
      <c r="AH3201">
        <v>2.9993504258609098</v>
      </c>
      <c r="AI3201">
        <v>89.190401631490104</v>
      </c>
      <c r="AJ3201">
        <v>88.828819458638705</v>
      </c>
      <c r="AK3201">
        <v>3.0002766629707902</v>
      </c>
      <c r="AL3201">
        <v>87.967209207862894</v>
      </c>
      <c r="AM3201">
        <v>89.997268217784693</v>
      </c>
      <c r="AN3201">
        <v>1.00000001102699</v>
      </c>
    </row>
    <row r="3202" spans="1:40" x14ac:dyDescent="0.25">
      <c r="A3202" t="str">
        <f>"20190312150723785"</f>
        <v>20190312150723785</v>
      </c>
      <c r="B3202" t="str">
        <f>"1552374443783759"</f>
        <v>1552374443783759</v>
      </c>
      <c r="C3202" t="s">
        <v>40</v>
      </c>
      <c r="D3202">
        <v>4.28423</v>
      </c>
      <c r="E3202">
        <v>0.5060405</v>
      </c>
      <c r="F3202" t="s">
        <v>48</v>
      </c>
      <c r="G3202">
        <v>0</v>
      </c>
      <c r="H3202">
        <v>0</v>
      </c>
      <c r="I3202">
        <v>0</v>
      </c>
      <c r="J3202">
        <v>-283.65890000000002</v>
      </c>
      <c r="K3202">
        <v>1.1088960000000001</v>
      </c>
      <c r="L3202">
        <v>282.07870000000003</v>
      </c>
      <c r="M3202">
        <v>-0.9999133</v>
      </c>
      <c r="N3202">
        <v>0</v>
      </c>
      <c r="O3202">
        <v>9.6623079999999997E-3</v>
      </c>
      <c r="P3202">
        <v>-0.99959770000000003</v>
      </c>
      <c r="Q3202">
        <v>2.6726409999999999E-2</v>
      </c>
      <c r="R3202">
        <v>9.5093450000000006E-3</v>
      </c>
      <c r="S3202">
        <v>-2.999298</v>
      </c>
      <c r="T3202">
        <v>4.0749309999999997E-2</v>
      </c>
      <c r="U3202">
        <v>8.4686280000000003E-2</v>
      </c>
      <c r="V3202">
        <v>-1.084749E-4</v>
      </c>
      <c r="W3202">
        <v>3.5682079999999998E-2</v>
      </c>
      <c r="X3202">
        <v>0.99936320000000001</v>
      </c>
      <c r="Y3202">
        <v>1.8563139999999999E-2</v>
      </c>
      <c r="Z3202" s="1">
        <v>5.17084799999999E-6</v>
      </c>
      <c r="AA3202">
        <v>0.99982769999999999</v>
      </c>
      <c r="AB3202">
        <v>40</v>
      </c>
      <c r="AC3202">
        <v>-2.999298</v>
      </c>
      <c r="AD3202">
        <v>4.0749309999999997E-2</v>
      </c>
      <c r="AE3202">
        <v>8.4686280000000003E-2</v>
      </c>
      <c r="AF3202">
        <v>5.5690754020204597E-2</v>
      </c>
      <c r="AG3202">
        <v>4.0749309999999997E-2</v>
      </c>
      <c r="AH3202">
        <v>2.9994230619863398</v>
      </c>
      <c r="AI3202">
        <v>89.221777808285694</v>
      </c>
      <c r="AJ3202">
        <v>88.936302581101899</v>
      </c>
      <c r="AK3202">
        <v>3.0002167706891298</v>
      </c>
      <c r="AL3202">
        <v>87.955133359471901</v>
      </c>
      <c r="AM3202">
        <v>90.006219114260603</v>
      </c>
      <c r="AN3202">
        <v>1.0000000140570799</v>
      </c>
    </row>
    <row r="3203" spans="1:40" x14ac:dyDescent="0.25">
      <c r="A3203" t="str">
        <f>"20190312150723797"</f>
        <v>20190312150723797</v>
      </c>
      <c r="B3203" t="str">
        <f>"1552374443793519"</f>
        <v>1552374443793519</v>
      </c>
      <c r="C3203" t="s">
        <v>40</v>
      </c>
      <c r="D3203">
        <v>4.3568989999999896</v>
      </c>
      <c r="E3203">
        <v>0.5055345</v>
      </c>
      <c r="F3203" t="s">
        <v>48</v>
      </c>
      <c r="G3203">
        <v>0</v>
      </c>
      <c r="H3203">
        <v>0</v>
      </c>
      <c r="I3203">
        <v>0</v>
      </c>
      <c r="J3203">
        <v>-283.87520000000001</v>
      </c>
      <c r="K3203">
        <v>1.108903</v>
      </c>
      <c r="L3203">
        <v>282.08100000000002</v>
      </c>
      <c r="M3203">
        <v>-0.99991070000000004</v>
      </c>
      <c r="N3203">
        <v>0</v>
      </c>
      <c r="O3203">
        <v>9.8922760000000002E-3</v>
      </c>
      <c r="P3203">
        <v>-0.99959299999999995</v>
      </c>
      <c r="Q3203">
        <v>2.678459E-2</v>
      </c>
      <c r="R3203">
        <v>9.8246559999999993E-3</v>
      </c>
      <c r="S3203">
        <v>-2.9994200000000002</v>
      </c>
      <c r="T3203">
        <v>3.8647649999999999E-2</v>
      </c>
      <c r="U3203">
        <v>7.5714110000000001E-2</v>
      </c>
      <c r="V3203" s="1">
        <v>-2.2990480000000002E-5</v>
      </c>
      <c r="W3203">
        <v>3.5783099999999998E-2</v>
      </c>
      <c r="X3203">
        <v>0.99935960000000001</v>
      </c>
      <c r="Y3203">
        <v>1.534367E-2</v>
      </c>
      <c r="Z3203" s="1">
        <v>2.8604370000000001E-5</v>
      </c>
      <c r="AA3203">
        <v>0.9998823</v>
      </c>
      <c r="AB3203">
        <v>40</v>
      </c>
      <c r="AC3203">
        <v>-2.9994200000000002</v>
      </c>
      <c r="AD3203">
        <v>3.8647649999999999E-2</v>
      </c>
      <c r="AE3203">
        <v>7.5714110000000001E-2</v>
      </c>
      <c r="AF3203">
        <v>4.60304794180958E-2</v>
      </c>
      <c r="AG3203">
        <v>3.8647649999999999E-2</v>
      </c>
      <c r="AH3203">
        <v>2.9995245655637399</v>
      </c>
      <c r="AI3203">
        <v>89.261895005992997</v>
      </c>
      <c r="AJ3203">
        <v>89.120812268295197</v>
      </c>
      <c r="AK3203">
        <v>3.00012667487663</v>
      </c>
      <c r="AL3203">
        <v>87.949341654339705</v>
      </c>
      <c r="AM3203">
        <v>90.001318101584999</v>
      </c>
      <c r="AN3203">
        <v>1.0000000204431601</v>
      </c>
    </row>
    <row r="3204" spans="1:40" x14ac:dyDescent="0.25">
      <c r="A3204" t="str">
        <f>"20190312150723809"</f>
        <v>20190312150723809</v>
      </c>
      <c r="B3204" t="str">
        <f>"1552374443803279"</f>
        <v>1552374443803279</v>
      </c>
      <c r="C3204" t="s">
        <v>40</v>
      </c>
      <c r="D3204">
        <v>4.4489049999999999</v>
      </c>
      <c r="E3204">
        <v>0.50505549999999999</v>
      </c>
      <c r="F3204" t="s">
        <v>48</v>
      </c>
      <c r="G3204">
        <v>0</v>
      </c>
      <c r="H3204">
        <v>0</v>
      </c>
      <c r="I3204">
        <v>0</v>
      </c>
      <c r="J3204">
        <v>-284.0729</v>
      </c>
      <c r="K3204">
        <v>1.108908</v>
      </c>
      <c r="L3204">
        <v>282.0831</v>
      </c>
      <c r="M3204">
        <v>-0.99990800000000002</v>
      </c>
      <c r="N3204">
        <v>0</v>
      </c>
      <c r="O3204">
        <v>1.0103010000000001E-2</v>
      </c>
      <c r="P3204">
        <v>-0.99958930000000001</v>
      </c>
      <c r="Q3204">
        <v>2.6850039999999999E-2</v>
      </c>
      <c r="R3204">
        <v>1.001138E-2</v>
      </c>
      <c r="S3204">
        <v>-2.9994809999999998</v>
      </c>
      <c r="T3204">
        <v>3.7783860000000002E-2</v>
      </c>
      <c r="U3204">
        <v>7.2601319999999997E-2</v>
      </c>
      <c r="V3204" s="1">
        <v>-4.6650590000000003E-5</v>
      </c>
      <c r="W3204">
        <v>3.5886990000000001E-2</v>
      </c>
      <c r="X3204">
        <v>0.99935589999999996</v>
      </c>
      <c r="Y3204">
        <v>1.409553E-2</v>
      </c>
      <c r="Z3204" s="1">
        <v>3.8478820000000003E-5</v>
      </c>
      <c r="AA3204">
        <v>0.99990060000000003</v>
      </c>
      <c r="AB3204">
        <v>40</v>
      </c>
      <c r="AC3204">
        <v>-2.9994809999999998</v>
      </c>
      <c r="AD3204">
        <v>3.7783860000000002E-2</v>
      </c>
      <c r="AE3204">
        <v>7.2601319999999997E-2</v>
      </c>
      <c r="AF3204">
        <v>4.2285880528597698E-2</v>
      </c>
      <c r="AG3204">
        <v>3.7783860000000002E-2</v>
      </c>
      <c r="AH3204">
        <v>2.9995857321039501</v>
      </c>
      <c r="AI3204">
        <v>89.278391627749897</v>
      </c>
      <c r="AJ3204">
        <v>89.192341134239001</v>
      </c>
      <c r="AK3204">
        <v>3.00012171086611</v>
      </c>
      <c r="AL3204">
        <v>87.943385424021102</v>
      </c>
      <c r="AM3204">
        <v>90.002674604629703</v>
      </c>
      <c r="AN3204">
        <v>1.00000004654617</v>
      </c>
    </row>
    <row r="3205" spans="1:40" x14ac:dyDescent="0.25">
      <c r="A3205" t="str">
        <f>"20190312150723819"</f>
        <v>20190312150723819</v>
      </c>
      <c r="B3205" t="str">
        <f>"1552374443813039"</f>
        <v>1552374443813039</v>
      </c>
      <c r="C3205" t="s">
        <v>40</v>
      </c>
      <c r="D3205">
        <v>4.0634420000000002</v>
      </c>
      <c r="E3205">
        <v>0.50505549999999999</v>
      </c>
      <c r="F3205" t="s">
        <v>48</v>
      </c>
      <c r="G3205">
        <v>0</v>
      </c>
      <c r="H3205">
        <v>0</v>
      </c>
      <c r="I3205">
        <v>0</v>
      </c>
      <c r="J3205">
        <v>-284.27870000000001</v>
      </c>
      <c r="K3205">
        <v>1.1089119999999999</v>
      </c>
      <c r="L3205">
        <v>282.08539999999999</v>
      </c>
      <c r="M3205">
        <v>-0.99990559999999995</v>
      </c>
      <c r="N3205">
        <v>0</v>
      </c>
      <c r="O3205">
        <v>1.0322370000000001E-2</v>
      </c>
      <c r="P3205">
        <v>-0.99958590000000003</v>
      </c>
      <c r="Q3205">
        <v>2.6828290000000001E-2</v>
      </c>
      <c r="R3205">
        <v>1.0421649999999999E-2</v>
      </c>
      <c r="S3205">
        <v>-2.9995120000000002</v>
      </c>
      <c r="T3205">
        <v>3.7092449999999999E-2</v>
      </c>
      <c r="U3205">
        <v>6.9183350000000005E-2</v>
      </c>
      <c r="V3205">
        <v>1.4446309999999901E-4</v>
      </c>
      <c r="W3205">
        <v>3.5904150000000003E-2</v>
      </c>
      <c r="X3205">
        <v>0.99935529999999995</v>
      </c>
      <c r="Y3205">
        <v>1.273727E-2</v>
      </c>
      <c r="Z3205" s="1">
        <v>4.8883969999999999E-5</v>
      </c>
      <c r="AA3205">
        <v>0.99991890000000005</v>
      </c>
      <c r="AB3205">
        <v>40</v>
      </c>
      <c r="AC3205">
        <v>-2.9995120000000002</v>
      </c>
      <c r="AD3205">
        <v>3.7092449999999999E-2</v>
      </c>
      <c r="AE3205">
        <v>6.9183350000000005E-2</v>
      </c>
      <c r="AF3205">
        <v>3.8210477777186003E-2</v>
      </c>
      <c r="AG3205">
        <v>3.7092449999999999E-2</v>
      </c>
      <c r="AH3205">
        <v>2.9996078851216601</v>
      </c>
      <c r="AI3205">
        <v>89.291587360788796</v>
      </c>
      <c r="AJ3205">
        <v>89.270177707683402</v>
      </c>
      <c r="AK3205">
        <v>3.0000805580755601</v>
      </c>
      <c r="AL3205">
        <v>87.942401647363596</v>
      </c>
      <c r="AM3205">
        <v>89.991717534426698</v>
      </c>
      <c r="AN3205">
        <v>1.00000007224744</v>
      </c>
    </row>
    <row r="3206" spans="1:40" x14ac:dyDescent="0.25">
      <c r="A3206" t="str">
        <f>"20190312150723832"</f>
        <v>20190312150723832</v>
      </c>
      <c r="B3206" t="str">
        <f>"1552374443823776"</f>
        <v>1552374443823776</v>
      </c>
      <c r="C3206" t="s">
        <v>40</v>
      </c>
      <c r="D3206">
        <v>4.1519529999999998</v>
      </c>
      <c r="E3206">
        <v>0.48320279999999999</v>
      </c>
      <c r="F3206" t="s">
        <v>48</v>
      </c>
      <c r="G3206">
        <v>0</v>
      </c>
      <c r="H3206">
        <v>0</v>
      </c>
      <c r="I3206">
        <v>0</v>
      </c>
      <c r="J3206">
        <v>-284.49040000000002</v>
      </c>
      <c r="K3206">
        <v>1.108914</v>
      </c>
      <c r="L3206">
        <v>282.08769999999998</v>
      </c>
      <c r="M3206">
        <v>-0.99990279999999998</v>
      </c>
      <c r="N3206">
        <v>0</v>
      </c>
      <c r="O3206">
        <v>1.0547819999999999E-2</v>
      </c>
      <c r="P3206">
        <v>-0.99957940000000001</v>
      </c>
      <c r="Q3206">
        <v>2.7015319999999999E-2</v>
      </c>
      <c r="R3206">
        <v>1.0540539999999999E-2</v>
      </c>
      <c r="S3206">
        <v>-2.9994809999999998</v>
      </c>
      <c r="T3206">
        <v>3.7007209999999999E-2</v>
      </c>
      <c r="U3206">
        <v>7.0678710000000006E-2</v>
      </c>
      <c r="V3206" s="1">
        <v>3.8125260000000003E-5</v>
      </c>
      <c r="W3206">
        <v>3.6130019999999999E-2</v>
      </c>
      <c r="X3206">
        <v>0.99934710000000004</v>
      </c>
      <c r="Y3206">
        <v>1.3010280000000001E-2</v>
      </c>
      <c r="Z3206" s="1">
        <v>4.9868799999999999E-5</v>
      </c>
      <c r="AA3206">
        <v>0.99991540000000001</v>
      </c>
      <c r="AB3206">
        <v>40</v>
      </c>
      <c r="AC3206">
        <v>-2.9994809999999998</v>
      </c>
      <c r="AD3206">
        <v>3.7007209999999999E-2</v>
      </c>
      <c r="AE3206">
        <v>7.0678710000000006E-2</v>
      </c>
      <c r="AF3206">
        <v>3.9029539071227699E-2</v>
      </c>
      <c r="AG3206">
        <v>3.7007209999999999E-2</v>
      </c>
      <c r="AH3206">
        <v>2.99960330748153</v>
      </c>
      <c r="AI3206">
        <v>89.293216563088706</v>
      </c>
      <c r="AJ3206">
        <v>89.254534199932394</v>
      </c>
      <c r="AK3206">
        <v>3.00008547224345</v>
      </c>
      <c r="AL3206">
        <v>87.929451705028498</v>
      </c>
      <c r="AM3206">
        <v>89.997814156372897</v>
      </c>
      <c r="AN3206">
        <v>1.0000000030385701</v>
      </c>
    </row>
    <row r="3207" spans="1:40" x14ac:dyDescent="0.25">
      <c r="A3207" t="str">
        <f>"20190312150723845"</f>
        <v>20190312150723845</v>
      </c>
      <c r="B3207" t="str">
        <f>"1552374443833540"</f>
        <v>1552374443833540</v>
      </c>
      <c r="C3207" t="s">
        <v>40</v>
      </c>
      <c r="D3207">
        <v>4.1410640000000001</v>
      </c>
      <c r="E3207">
        <v>0.4835353</v>
      </c>
      <c r="F3207" t="s">
        <v>69</v>
      </c>
      <c r="G3207">
        <v>-512.82539999999995</v>
      </c>
      <c r="H3207">
        <v>0.9213076</v>
      </c>
      <c r="I3207">
        <v>274.14339999999999</v>
      </c>
      <c r="J3207">
        <v>-284.72660000000002</v>
      </c>
      <c r="K3207">
        <v>1.108919</v>
      </c>
      <c r="L3207">
        <v>282.09039999999999</v>
      </c>
      <c r="M3207">
        <v>-0.99989969999999995</v>
      </c>
      <c r="N3207">
        <v>0</v>
      </c>
      <c r="O3207">
        <v>1.079918E-2</v>
      </c>
      <c r="P3207">
        <v>-0.99958040000000004</v>
      </c>
      <c r="Q3207">
        <v>2.6865920000000001E-2</v>
      </c>
      <c r="R3207">
        <v>1.0825299999999901E-2</v>
      </c>
      <c r="S3207">
        <v>-3.0024410000000001</v>
      </c>
      <c r="T3207">
        <v>-2.465844E-3</v>
      </c>
      <c r="U3207">
        <v>-0.1044617</v>
      </c>
      <c r="V3207" s="1">
        <v>7.1667400000000004E-5</v>
      </c>
      <c r="W3207">
        <v>3.6024710000000001E-2</v>
      </c>
      <c r="X3207">
        <v>0.99935090000000004</v>
      </c>
      <c r="Y3207">
        <v>-4.556226E-2</v>
      </c>
      <c r="Z3207" s="1">
        <v>-2.757114E-5</v>
      </c>
      <c r="AA3207">
        <v>0.99896149999999995</v>
      </c>
      <c r="AB3207">
        <v>40</v>
      </c>
      <c r="AC3207">
        <v>-228.09879999999899</v>
      </c>
      <c r="AD3207">
        <v>-0.18761140000000001</v>
      </c>
      <c r="AE3207">
        <v>-7.9470000000000001</v>
      </c>
      <c r="AF3207">
        <v>-10.409912938480099</v>
      </c>
      <c r="AG3207">
        <v>-0.18761140000000001</v>
      </c>
      <c r="AH3207">
        <v>227.99951905003999</v>
      </c>
      <c r="AI3207">
        <v>90.0470972587582</v>
      </c>
      <c r="AJ3207">
        <v>92.614172801893901</v>
      </c>
      <c r="AK3207">
        <v>228.23711830566401</v>
      </c>
      <c r="AL3207">
        <v>87.935489454252703</v>
      </c>
      <c r="AM3207">
        <v>89.995891093367007</v>
      </c>
      <c r="AN3207">
        <v>1.0000000030988001</v>
      </c>
    </row>
    <row r="3208" spans="1:40" x14ac:dyDescent="0.25">
      <c r="A3208" t="str">
        <f>"20190312150723863"</f>
        <v>20190312150723863</v>
      </c>
      <c r="B3208" t="str">
        <f>"1552374443853055"</f>
        <v>1552374443853055</v>
      </c>
      <c r="C3208" t="s">
        <v>40</v>
      </c>
      <c r="D3208">
        <v>4.1384629999999998</v>
      </c>
      <c r="E3208">
        <v>0.48433569999999998</v>
      </c>
      <c r="F3208" t="s">
        <v>69</v>
      </c>
      <c r="G3208">
        <v>-512.82529999999997</v>
      </c>
      <c r="H3208">
        <v>0.3464216</v>
      </c>
      <c r="I3208">
        <v>274.40989999999999</v>
      </c>
      <c r="J3208">
        <v>-285.06760000000003</v>
      </c>
      <c r="K3208">
        <v>1.108924</v>
      </c>
      <c r="L3208">
        <v>282.09440000000001</v>
      </c>
      <c r="M3208">
        <v>-0.99989519999999998</v>
      </c>
      <c r="N3208">
        <v>0</v>
      </c>
      <c r="O3208">
        <v>1.1161849999999999E-2</v>
      </c>
      <c r="P3208">
        <v>-0.99957969999999896</v>
      </c>
      <c r="Q3208">
        <v>2.6807879999999999E-2</v>
      </c>
      <c r="R3208">
        <v>1.1032459999999999E-2</v>
      </c>
      <c r="S3208">
        <v>-3.0026250000000001</v>
      </c>
      <c r="T3208">
        <v>-1.003623E-2</v>
      </c>
      <c r="U3208">
        <v>-0.10110470000000001</v>
      </c>
      <c r="V3208" s="1">
        <v>-8.3748630000000002E-5</v>
      </c>
      <c r="W3208">
        <v>3.6031380000000002E-2</v>
      </c>
      <c r="X3208">
        <v>0.99935070000000004</v>
      </c>
      <c r="Y3208">
        <v>-4.4806640000000002E-2</v>
      </c>
      <c r="Z3208">
        <v>-1.121618E-4</v>
      </c>
      <c r="AA3208">
        <v>0.99899570000000004</v>
      </c>
      <c r="AB3208">
        <v>40</v>
      </c>
      <c r="AC3208">
        <v>-227.7577</v>
      </c>
      <c r="AD3208">
        <v>-0.76250240000000002</v>
      </c>
      <c r="AE3208">
        <v>-7.6845000000000097</v>
      </c>
      <c r="AF3208">
        <v>-10.2262120998969</v>
      </c>
      <c r="AG3208">
        <v>-0.76250240000000002</v>
      </c>
      <c r="AH3208">
        <v>227.65518495157301</v>
      </c>
      <c r="AI3208">
        <v>90.191710970637402</v>
      </c>
      <c r="AJ3208">
        <v>92.571982643739602</v>
      </c>
      <c r="AK3208">
        <v>227.88602427344401</v>
      </c>
      <c r="AL3208">
        <v>87.935107128608806</v>
      </c>
      <c r="AM3208">
        <v>90.004801560681102</v>
      </c>
      <c r="AN3208">
        <v>1.0000000444745101</v>
      </c>
    </row>
    <row r="3209" spans="1:40" x14ac:dyDescent="0.25">
      <c r="A3209" t="str">
        <f>"20190312150723883"</f>
        <v>20190312150723883</v>
      </c>
      <c r="B3209" t="str">
        <f>"1552374443873550"</f>
        <v>1552374443873550</v>
      </c>
      <c r="C3209" t="s">
        <v>40</v>
      </c>
      <c r="D3209">
        <v>4.1567100000000003</v>
      </c>
      <c r="E3209">
        <v>0.4843809</v>
      </c>
      <c r="F3209" t="s">
        <v>46</v>
      </c>
      <c r="G3209">
        <v>-454.8227</v>
      </c>
      <c r="H3209">
        <v>0.1359523</v>
      </c>
      <c r="I3209">
        <v>276.76519999999999</v>
      </c>
      <c r="J3209">
        <v>-285.42469999999997</v>
      </c>
      <c r="K3209">
        <v>1.10893</v>
      </c>
      <c r="L3209">
        <v>282.09870000000001</v>
      </c>
      <c r="M3209">
        <v>-0.99989030000000001</v>
      </c>
      <c r="N3209">
        <v>0</v>
      </c>
      <c r="O3209">
        <v>1.154143E-2</v>
      </c>
      <c r="P3209">
        <v>-0.99957810000000002</v>
      </c>
      <c r="Q3209">
        <v>2.6632739999999998E-2</v>
      </c>
      <c r="R3209">
        <v>1.160015E-2</v>
      </c>
      <c r="S3209">
        <v>-3.0028079999999999</v>
      </c>
      <c r="T3209">
        <v>-1.7209769999999999E-2</v>
      </c>
      <c r="U3209">
        <v>-9.42688E-2</v>
      </c>
      <c r="V3209">
        <v>1.0449169999999999E-4</v>
      </c>
      <c r="W3209">
        <v>3.5923199999999898E-2</v>
      </c>
      <c r="X3209">
        <v>0.99935450000000003</v>
      </c>
      <c r="Y3209">
        <v>-4.2911350000000001E-2</v>
      </c>
      <c r="Z3209">
        <v>-1.8907050000000001E-4</v>
      </c>
      <c r="AA3209">
        <v>0.99907889999999999</v>
      </c>
      <c r="AB3209">
        <v>40</v>
      </c>
      <c r="AC3209">
        <v>-169.398</v>
      </c>
      <c r="AD3209">
        <v>-0.97297769999999995</v>
      </c>
      <c r="AE3209">
        <v>-5.3335000000000097</v>
      </c>
      <c r="AF3209">
        <v>-7.28808394748871</v>
      </c>
      <c r="AG3209">
        <v>-0.97297769999999995</v>
      </c>
      <c r="AH3209">
        <v>169.31957707546101</v>
      </c>
      <c r="AI3209">
        <v>90.328936168536302</v>
      </c>
      <c r="AJ3209">
        <v>92.464681632286897</v>
      </c>
      <c r="AK3209">
        <v>169.47914926103201</v>
      </c>
      <c r="AL3209">
        <v>87.941309210491895</v>
      </c>
      <c r="AM3209">
        <v>89.994009199555904</v>
      </c>
      <c r="AN3209">
        <v>0.999999951943501</v>
      </c>
    </row>
    <row r="3210" spans="1:40" x14ac:dyDescent="0.25">
      <c r="A3210" t="str">
        <f>"20190312150723896"</f>
        <v>20190312150723896</v>
      </c>
      <c r="B3210" t="str">
        <f>"1552374443893071"</f>
        <v>1552374443893071</v>
      </c>
      <c r="C3210" t="s">
        <v>40</v>
      </c>
      <c r="D3210">
        <v>4.1383010000000002</v>
      </c>
      <c r="E3210">
        <v>0.48451</v>
      </c>
      <c r="F3210" t="s">
        <v>68</v>
      </c>
      <c r="G3210">
        <v>-423.66669999999999</v>
      </c>
      <c r="H3210" s="1">
        <v>4.2200649999999997E-6</v>
      </c>
      <c r="I3210">
        <v>277.84609999999998</v>
      </c>
      <c r="J3210">
        <v>-285.65210000000002</v>
      </c>
      <c r="K3210">
        <v>1.1089340000000001</v>
      </c>
      <c r="L3210">
        <v>282.10149999999999</v>
      </c>
      <c r="M3210">
        <v>-0.99988699999999997</v>
      </c>
      <c r="N3210">
        <v>0</v>
      </c>
      <c r="O3210">
        <v>1.178325E-2</v>
      </c>
      <c r="P3210">
        <v>-0.9995792</v>
      </c>
      <c r="Q3210">
        <v>2.6446299999999999E-2</v>
      </c>
      <c r="R3210">
        <v>1.192498E-2</v>
      </c>
      <c r="S3210">
        <v>-3.0029599999999999</v>
      </c>
      <c r="T3210">
        <v>-2.4088620000000002E-2</v>
      </c>
      <c r="U3210">
        <v>-9.2376710000000001E-2</v>
      </c>
      <c r="V3210">
        <v>1.8735400000000001E-4</v>
      </c>
      <c r="W3210">
        <v>3.57793E-2</v>
      </c>
      <c r="X3210">
        <v>0.99935969999999996</v>
      </c>
      <c r="Y3210">
        <v>-4.2521650000000001E-2</v>
      </c>
      <c r="Z3210">
        <v>-2.6500699999999999E-4</v>
      </c>
      <c r="AA3210">
        <v>0.99909550000000003</v>
      </c>
      <c r="AB3210">
        <v>40</v>
      </c>
      <c r="AC3210">
        <v>-138.01459999999901</v>
      </c>
      <c r="AD3210">
        <v>-1.108929779935</v>
      </c>
      <c r="AE3210">
        <v>-4.2553999999999998</v>
      </c>
      <c r="AF3210">
        <v>-5.8810566260042796</v>
      </c>
      <c r="AG3210">
        <v>-1.108929779935</v>
      </c>
      <c r="AH3210">
        <v>137.94597566689399</v>
      </c>
      <c r="AI3210">
        <v>90.460165422732402</v>
      </c>
      <c r="AJ3210">
        <v>92.441215080489698</v>
      </c>
      <c r="AK3210">
        <v>138.075735576482</v>
      </c>
      <c r="AL3210">
        <v>87.949559479352502</v>
      </c>
      <c r="AM3210">
        <v>89.989258528886893</v>
      </c>
      <c r="AN3210">
        <v>1.0000000016970501</v>
      </c>
    </row>
    <row r="3211" spans="1:40" x14ac:dyDescent="0.25">
      <c r="A3211" t="str">
        <f>"20190312150723909"</f>
        <v>20190312150723909</v>
      </c>
      <c r="B3211" t="str">
        <f>"1552374443903808"</f>
        <v>1552374443903808</v>
      </c>
      <c r="C3211" t="s">
        <v>40</v>
      </c>
      <c r="D3211">
        <v>4.1217639999999998</v>
      </c>
      <c r="E3211">
        <v>0.48435709999999998</v>
      </c>
      <c r="F3211" t="s">
        <v>68</v>
      </c>
      <c r="G3211">
        <v>-408.86360000000002</v>
      </c>
      <c r="H3211">
        <v>8.0001139999999998E-2</v>
      </c>
      <c r="I3211">
        <v>278.38889999999998</v>
      </c>
      <c r="J3211">
        <v>-285.88060000000002</v>
      </c>
      <c r="K3211">
        <v>1.108935</v>
      </c>
      <c r="L3211">
        <v>282.1044</v>
      </c>
      <c r="M3211">
        <v>-0.99988370000000004</v>
      </c>
      <c r="N3211">
        <v>0</v>
      </c>
      <c r="O3211">
        <v>1.202627E-2</v>
      </c>
      <c r="P3211">
        <v>-0.99957580000000001</v>
      </c>
      <c r="Q3211">
        <v>2.6454640000000001E-2</v>
      </c>
      <c r="R3211">
        <v>1.21913E-2</v>
      </c>
      <c r="S3211">
        <v>-3.0029910000000002</v>
      </c>
      <c r="T3211">
        <v>-2.5077820000000001E-2</v>
      </c>
      <c r="U3211">
        <v>-9.0484620000000002E-2</v>
      </c>
      <c r="V3211">
        <v>2.109127E-4</v>
      </c>
      <c r="W3211">
        <v>3.5830750000000001E-2</v>
      </c>
      <c r="X3211">
        <v>0.99935790000000002</v>
      </c>
      <c r="Y3211">
        <v>-4.2135100000000002E-2</v>
      </c>
      <c r="Z3211">
        <v>-2.7630439999999998E-4</v>
      </c>
      <c r="AA3211">
        <v>0.99911190000000005</v>
      </c>
      <c r="AB3211">
        <v>40</v>
      </c>
      <c r="AC3211">
        <v>-122.982999999999</v>
      </c>
      <c r="AD3211">
        <v>-1.02893386</v>
      </c>
      <c r="AE3211">
        <v>-3.71550000000002</v>
      </c>
      <c r="AF3211">
        <v>-5.1939598553873196</v>
      </c>
      <c r="AG3211">
        <v>-1.02893386</v>
      </c>
      <c r="AH3211">
        <v>122.920823388846</v>
      </c>
      <c r="AI3211">
        <v>90.479167271881906</v>
      </c>
      <c r="AJ3211">
        <v>92.419566096989499</v>
      </c>
      <c r="AK3211">
        <v>123.034811116445</v>
      </c>
      <c r="AL3211">
        <v>87.946609818733194</v>
      </c>
      <c r="AM3211">
        <v>89.987907828240196</v>
      </c>
      <c r="AN3211">
        <v>1.0000000497110599</v>
      </c>
    </row>
    <row r="3212" spans="1:40" x14ac:dyDescent="0.25">
      <c r="A3212" t="str">
        <f>"20190312150723921"</f>
        <v>20190312150723921</v>
      </c>
      <c r="B3212" t="str">
        <f>"1552374443913567"</f>
        <v>1552374443913567</v>
      </c>
      <c r="C3212" t="s">
        <v>40</v>
      </c>
      <c r="D3212">
        <v>4.1575519999999999</v>
      </c>
      <c r="E3212">
        <v>0.48429260000000002</v>
      </c>
      <c r="F3212" t="s">
        <v>68</v>
      </c>
      <c r="G3212">
        <v>-406.28789999999998</v>
      </c>
      <c r="H3212">
        <v>8.0001160000000002E-2</v>
      </c>
      <c r="I3212">
        <v>278.46420000000001</v>
      </c>
      <c r="J3212">
        <v>-286.11279999999999</v>
      </c>
      <c r="K3212">
        <v>1.1089389999999999</v>
      </c>
      <c r="L3212">
        <v>282.10739999999998</v>
      </c>
      <c r="M3212">
        <v>-0.9998802</v>
      </c>
      <c r="N3212">
        <v>0</v>
      </c>
      <c r="O3212">
        <v>1.2273030000000001E-2</v>
      </c>
      <c r="P3212">
        <v>-0.9995735</v>
      </c>
      <c r="Q3212">
        <v>2.6380649999999999E-2</v>
      </c>
      <c r="R3212">
        <v>1.25273E-2</v>
      </c>
      <c r="S3212">
        <v>-3.003082</v>
      </c>
      <c r="T3212">
        <v>-2.566266E-2</v>
      </c>
      <c r="U3212">
        <v>-9.0789789999999995E-2</v>
      </c>
      <c r="V3212">
        <v>3.0020360000000001E-4</v>
      </c>
      <c r="W3212">
        <v>3.5799320000000003E-2</v>
      </c>
      <c r="X3212">
        <v>0.999359</v>
      </c>
      <c r="Y3212">
        <v>-4.248209E-2</v>
      </c>
      <c r="Z3212">
        <v>-2.863295E-4</v>
      </c>
      <c r="AA3212">
        <v>0.99909720000000002</v>
      </c>
      <c r="AB3212">
        <v>40</v>
      </c>
      <c r="AC3212">
        <v>-120.1751</v>
      </c>
      <c r="AD3212">
        <v>-1.02893784</v>
      </c>
      <c r="AE3212">
        <v>-3.64319999999997</v>
      </c>
      <c r="AF3212">
        <v>-5.1175289879244197</v>
      </c>
      <c r="AG3212">
        <v>-1.02893784</v>
      </c>
      <c r="AH3212">
        <v>120.11253585596</v>
      </c>
      <c r="AI3212">
        <v>90.490364481626699</v>
      </c>
      <c r="AJ3212">
        <v>92.439675277814104</v>
      </c>
      <c r="AK3212">
        <v>120.22590854624499</v>
      </c>
      <c r="AL3212">
        <v>87.948411773775305</v>
      </c>
      <c r="AM3212">
        <v>89.982788568715193</v>
      </c>
      <c r="AN3212">
        <v>1.00000004615783</v>
      </c>
    </row>
    <row r="3213" spans="1:40" x14ac:dyDescent="0.25">
      <c r="A3213" t="str">
        <f>"20190312150723933"</f>
        <v>20190312150723933</v>
      </c>
      <c r="B3213" t="str">
        <f>"1552374443923327"</f>
        <v>1552374443923327</v>
      </c>
      <c r="C3213" t="s">
        <v>40</v>
      </c>
      <c r="D3213">
        <v>4.1637079999999997</v>
      </c>
      <c r="E3213">
        <v>0.48423329999999998</v>
      </c>
      <c r="F3213" t="s">
        <v>68</v>
      </c>
      <c r="G3213">
        <v>-403.76560000000001</v>
      </c>
      <c r="H3213">
        <v>8.0001260000000005E-2</v>
      </c>
      <c r="I3213">
        <v>278.57440000000003</v>
      </c>
      <c r="J3213">
        <v>-286.31029999999998</v>
      </c>
      <c r="K3213">
        <v>1.108941</v>
      </c>
      <c r="L3213">
        <v>282.11</v>
      </c>
      <c r="M3213">
        <v>-0.99987749999999997</v>
      </c>
      <c r="N3213">
        <v>0</v>
      </c>
      <c r="O3213">
        <v>1.2482689999999999E-2</v>
      </c>
      <c r="P3213">
        <v>-0.99956990000000001</v>
      </c>
      <c r="Q3213">
        <v>2.647909E-2</v>
      </c>
      <c r="R3213">
        <v>1.261728E-2</v>
      </c>
      <c r="S3213">
        <v>-3.0031129999999999</v>
      </c>
      <c r="T3213">
        <v>-2.6263829999999998E-2</v>
      </c>
      <c r="U3213">
        <v>-9.017944E-2</v>
      </c>
      <c r="V3213">
        <v>1.8079200000000001E-4</v>
      </c>
      <c r="W3213">
        <v>3.5932260000000001E-2</v>
      </c>
      <c r="X3213">
        <v>0.99935419999999997</v>
      </c>
      <c r="Y3213">
        <v>-4.2488310000000001E-2</v>
      </c>
      <c r="Z3213">
        <v>-2.9489510000000002E-4</v>
      </c>
      <c r="AA3213">
        <v>0.99909689999999995</v>
      </c>
      <c r="AB3213">
        <v>40</v>
      </c>
      <c r="AC3213">
        <v>-117.45529999999999</v>
      </c>
      <c r="AD3213">
        <v>-1.02893974</v>
      </c>
      <c r="AE3213">
        <v>-3.5355999999999801</v>
      </c>
      <c r="AF3213">
        <v>-5.0011645270821496</v>
      </c>
      <c r="AG3213">
        <v>-1.02893974</v>
      </c>
      <c r="AH3213">
        <v>117.393011411861</v>
      </c>
      <c r="AI3213">
        <v>90.501724699056496</v>
      </c>
      <c r="AJ3213">
        <v>92.439433596205106</v>
      </c>
      <c r="AK3213">
        <v>117.503997770122</v>
      </c>
      <c r="AL3213">
        <v>87.940789850716001</v>
      </c>
      <c r="AM3213">
        <v>89.989634687624502</v>
      </c>
      <c r="AN3213">
        <v>0.99999998852604699</v>
      </c>
    </row>
    <row r="3214" spans="1:40" x14ac:dyDescent="0.25">
      <c r="A3214" t="str">
        <f>"20190312150723942"</f>
        <v>20190312150723942</v>
      </c>
      <c r="B3214" t="str">
        <f>"1552374443933088"</f>
        <v>1552374443933088</v>
      </c>
      <c r="C3214" t="s">
        <v>40</v>
      </c>
      <c r="D3214">
        <v>4.1714570000000002</v>
      </c>
      <c r="E3214">
        <v>0.48414550000000001</v>
      </c>
      <c r="F3214" t="s">
        <v>68</v>
      </c>
      <c r="G3214">
        <v>-400.94439999999997</v>
      </c>
      <c r="H3214">
        <v>8.000169E-2</v>
      </c>
      <c r="I3214">
        <v>278.65260000000001</v>
      </c>
      <c r="J3214">
        <v>-286.51369999999997</v>
      </c>
      <c r="K3214">
        <v>1.1089439999999999</v>
      </c>
      <c r="L3214">
        <v>282.11259999999999</v>
      </c>
      <c r="M3214">
        <v>-0.99987440000000005</v>
      </c>
      <c r="N3214">
        <v>0</v>
      </c>
      <c r="O3214">
        <v>1.269879E-2</v>
      </c>
      <c r="P3214">
        <v>-0.99956610000000001</v>
      </c>
      <c r="Q3214">
        <v>2.6416849999999999E-2</v>
      </c>
      <c r="R3214">
        <v>1.3038330000000001E-2</v>
      </c>
      <c r="S3214">
        <v>-3.0032040000000002</v>
      </c>
      <c r="T3214">
        <v>-2.6956319999999999E-2</v>
      </c>
      <c r="U3214">
        <v>-9.0576169999999998E-2</v>
      </c>
      <c r="V3214">
        <v>3.8584300000000003E-4</v>
      </c>
      <c r="W3214">
        <v>3.5905099999999898E-2</v>
      </c>
      <c r="X3214">
        <v>0.99935510000000005</v>
      </c>
      <c r="Y3214">
        <v>-4.2835060000000001E-2</v>
      </c>
      <c r="Z3214">
        <v>-3.061556E-4</v>
      </c>
      <c r="AA3214">
        <v>0.99908209999999997</v>
      </c>
      <c r="AB3214">
        <v>40</v>
      </c>
      <c r="AC3214">
        <v>-114.4307</v>
      </c>
      <c r="AD3214">
        <v>-1.0289423099999999</v>
      </c>
      <c r="AE3214">
        <v>-3.4599999999999702</v>
      </c>
      <c r="AF3214">
        <v>-4.9125209247930401</v>
      </c>
      <c r="AG3214">
        <v>-1.0289423099999999</v>
      </c>
      <c r="AH3214">
        <v>114.36829391330301</v>
      </c>
      <c r="AI3214">
        <v>90.514986745467994</v>
      </c>
      <c r="AJ3214">
        <v>92.459543593869697</v>
      </c>
      <c r="AK3214">
        <v>114.478374537523</v>
      </c>
      <c r="AL3214">
        <v>87.942346971783607</v>
      </c>
      <c r="AM3214">
        <v>89.9778785595268</v>
      </c>
      <c r="AN3214">
        <v>0.99999997048842004</v>
      </c>
    </row>
    <row r="3215" spans="1:40" x14ac:dyDescent="0.25">
      <c r="A3215" t="str">
        <f>"20190312150723954"</f>
        <v>20190312150723954</v>
      </c>
      <c r="B3215" t="str">
        <f>"1552374443943824"</f>
        <v>1552374443943824</v>
      </c>
      <c r="C3215" t="s">
        <v>40</v>
      </c>
      <c r="D3215">
        <v>4.1417619999999999</v>
      </c>
      <c r="E3215">
        <v>0.48403020000000002</v>
      </c>
      <c r="F3215" t="s">
        <v>67</v>
      </c>
      <c r="G3215">
        <v>-395.2072</v>
      </c>
      <c r="H3215">
        <v>8.0001399999999903E-2</v>
      </c>
      <c r="I3215">
        <v>278.85109999999997</v>
      </c>
      <c r="J3215">
        <v>-286.71069999999997</v>
      </c>
      <c r="K3215">
        <v>1.108946</v>
      </c>
      <c r="L3215">
        <v>282.11529999999999</v>
      </c>
      <c r="M3215">
        <v>-0.99987139999999997</v>
      </c>
      <c r="N3215">
        <v>0</v>
      </c>
      <c r="O3215">
        <v>1.2908050000000001E-2</v>
      </c>
      <c r="P3215">
        <v>-0.99956120000000004</v>
      </c>
      <c r="Q3215">
        <v>2.6464359999999999E-2</v>
      </c>
      <c r="R3215">
        <v>1.3302899999999999E-2</v>
      </c>
      <c r="S3215">
        <v>-3.0032350000000001</v>
      </c>
      <c r="T3215">
        <v>-2.8429989999999999E-2</v>
      </c>
      <c r="U3215">
        <v>-9.0118409999999996E-2</v>
      </c>
      <c r="V3215">
        <v>4.4123090000000001E-4</v>
      </c>
      <c r="W3215">
        <v>3.5984200000000001E-2</v>
      </c>
      <c r="X3215">
        <v>0.99935229999999997</v>
      </c>
      <c r="Y3215">
        <v>-4.2891440000000003E-2</v>
      </c>
      <c r="Z3215">
        <v>-3.2513680000000001E-4</v>
      </c>
      <c r="AA3215">
        <v>0.99907970000000001</v>
      </c>
      <c r="AB3215">
        <v>40</v>
      </c>
      <c r="AC3215">
        <v>-108.4965</v>
      </c>
      <c r="AD3215">
        <v>-1.0289446</v>
      </c>
      <c r="AE3215">
        <v>-3.26420000000001</v>
      </c>
      <c r="AF3215">
        <v>-4.6640505909735204</v>
      </c>
      <c r="AG3215">
        <v>-1.0289446</v>
      </c>
      <c r="AH3215">
        <v>108.435579849826</v>
      </c>
      <c r="AI3215">
        <v>90.543160834361998</v>
      </c>
      <c r="AJ3215">
        <v>92.462898257474095</v>
      </c>
      <c r="AK3215">
        <v>108.54071619568801</v>
      </c>
      <c r="AL3215">
        <v>87.937812085032405</v>
      </c>
      <c r="AM3215">
        <v>89.974702948381605</v>
      </c>
      <c r="AN3215">
        <v>1.00000003842481</v>
      </c>
    </row>
    <row r="3216" spans="1:40" x14ac:dyDescent="0.25">
      <c r="A3216" t="str">
        <f>"20190312150723966"</f>
        <v>20190312150723966</v>
      </c>
      <c r="B3216" t="str">
        <f>"1552374443963343"</f>
        <v>1552374443963343</v>
      </c>
      <c r="C3216" t="s">
        <v>40</v>
      </c>
      <c r="D3216">
        <v>4.2289879999999904</v>
      </c>
      <c r="E3216">
        <v>0.48808000000000001</v>
      </c>
      <c r="F3216" t="s">
        <v>67</v>
      </c>
      <c r="G3216">
        <v>-390.80329999999998</v>
      </c>
      <c r="H3216">
        <v>8.0001219999999998E-2</v>
      </c>
      <c r="I3216">
        <v>278.98759999999999</v>
      </c>
      <c r="J3216">
        <v>-286.9221</v>
      </c>
      <c r="K3216">
        <v>1.108948</v>
      </c>
      <c r="L3216">
        <v>282.1182</v>
      </c>
      <c r="M3216">
        <v>-0.99986810000000004</v>
      </c>
      <c r="N3216">
        <v>0</v>
      </c>
      <c r="O3216">
        <v>1.313249E-2</v>
      </c>
      <c r="P3216">
        <v>-0.99955620000000001</v>
      </c>
      <c r="Q3216">
        <v>2.6534640000000002E-2</v>
      </c>
      <c r="R3216">
        <v>1.3549469999999999E-2</v>
      </c>
      <c r="S3216">
        <v>-3.0032960000000002</v>
      </c>
      <c r="T3216">
        <v>-2.9687290000000002E-2</v>
      </c>
      <c r="U3216">
        <v>-9.0240479999999998E-2</v>
      </c>
      <c r="V3216">
        <v>4.637113E-4</v>
      </c>
      <c r="W3216">
        <v>3.6088080000000002E-2</v>
      </c>
      <c r="X3216">
        <v>0.99934849999999997</v>
      </c>
      <c r="Y3216">
        <v>-4.3155430000000002E-2</v>
      </c>
      <c r="Z3216">
        <v>-3.4303079999999998E-4</v>
      </c>
      <c r="AA3216">
        <v>0.99906830000000002</v>
      </c>
      <c r="AB3216">
        <v>41</v>
      </c>
      <c r="AC3216">
        <v>-103.881199999999</v>
      </c>
      <c r="AD3216">
        <v>-1.0289467800000001</v>
      </c>
      <c r="AE3216">
        <v>-3.13060000000001</v>
      </c>
      <c r="AF3216">
        <v>-4.4941706017624599</v>
      </c>
      <c r="AG3216">
        <v>-1.0289467800000001</v>
      </c>
      <c r="AH3216">
        <v>103.82094995106701</v>
      </c>
      <c r="AI3216">
        <v>90.567296153835898</v>
      </c>
      <c r="AJ3216">
        <v>92.478655356075095</v>
      </c>
      <c r="AK3216">
        <v>103.92326952909001</v>
      </c>
      <c r="AL3216">
        <v>87.931856240461798</v>
      </c>
      <c r="AM3216">
        <v>89.973413980712706</v>
      </c>
      <c r="AN3216">
        <v>0.99999999449925203</v>
      </c>
    </row>
    <row r="3217" spans="1:40" x14ac:dyDescent="0.25">
      <c r="A3217" t="str">
        <f>"20190312150723977"</f>
        <v>20190312150723977</v>
      </c>
      <c r="B3217" t="str">
        <f>"1552374443973103"</f>
        <v>1552374443973103</v>
      </c>
      <c r="C3217" t="s">
        <v>40</v>
      </c>
      <c r="D3217">
        <v>4.1935830000000003</v>
      </c>
      <c r="E3217">
        <v>0.48808000000000001</v>
      </c>
      <c r="F3217" t="s">
        <v>67</v>
      </c>
      <c r="G3217">
        <v>-320.851</v>
      </c>
      <c r="H3217" s="1">
        <v>-9.4561770000000004E-7</v>
      </c>
      <c r="I3217">
        <v>281.45139999999998</v>
      </c>
      <c r="J3217">
        <v>-287.13389999999998</v>
      </c>
      <c r="K3217">
        <v>1.1089500000000001</v>
      </c>
      <c r="L3217">
        <v>282.12119999999999</v>
      </c>
      <c r="M3217">
        <v>-0.99986489999999995</v>
      </c>
      <c r="N3217">
        <v>0</v>
      </c>
      <c r="O3217">
        <v>1.3357239999999999E-2</v>
      </c>
      <c r="P3217">
        <v>-0.99955709999999998</v>
      </c>
      <c r="Q3217">
        <v>2.6331520000000001E-2</v>
      </c>
      <c r="R3217">
        <v>1.3878969999999999E-2</v>
      </c>
      <c r="S3217">
        <v>-3.0047299999999999</v>
      </c>
      <c r="T3217">
        <v>-9.8208190000000001E-2</v>
      </c>
      <c r="U3217">
        <v>-5.9051510000000001E-2</v>
      </c>
      <c r="V3217">
        <v>5.6817059999999999E-4</v>
      </c>
      <c r="W3217">
        <v>3.5918440000000003E-2</v>
      </c>
      <c r="X3217">
        <v>0.99935450000000003</v>
      </c>
      <c r="Y3217">
        <v>-3.2977850000000003E-2</v>
      </c>
      <c r="Z3217">
        <v>-9.7517790000000001E-4</v>
      </c>
      <c r="AA3217">
        <v>0.9994556</v>
      </c>
      <c r="AB3217">
        <v>41</v>
      </c>
      <c r="AC3217">
        <v>-33.717100000000002</v>
      </c>
      <c r="AD3217">
        <v>-1.1089509456177</v>
      </c>
      <c r="AE3217">
        <v>-0.66980000000000905</v>
      </c>
      <c r="AF3217">
        <v>-1.1189183976903501</v>
      </c>
      <c r="AG3217">
        <v>-1.1089509456177</v>
      </c>
      <c r="AH3217">
        <v>33.668738099984601</v>
      </c>
      <c r="AI3217">
        <v>91.885435294247799</v>
      </c>
      <c r="AJ3217">
        <v>91.903418998454796</v>
      </c>
      <c r="AK3217">
        <v>33.705573364442699</v>
      </c>
      <c r="AL3217">
        <v>87.941582083578695</v>
      </c>
      <c r="AM3217">
        <v>89.967425199049998</v>
      </c>
      <c r="AN3217">
        <v>0.99999993691005495</v>
      </c>
    </row>
    <row r="3218" spans="1:40" x14ac:dyDescent="0.25">
      <c r="A3218" t="str">
        <f>"20190312150723992"</f>
        <v>20190312150723992</v>
      </c>
      <c r="B3218" t="str">
        <f>"1552374443983840"</f>
        <v>1552374443983840</v>
      </c>
      <c r="C3218" t="s">
        <v>40</v>
      </c>
      <c r="D3218">
        <v>4.1730989999999997</v>
      </c>
      <c r="E3218">
        <v>0.48200759999999998</v>
      </c>
      <c r="F3218" t="s">
        <v>67</v>
      </c>
      <c r="G3218">
        <v>-320.86059999999998</v>
      </c>
      <c r="H3218" s="1">
        <v>-9.4133430000000001E-7</v>
      </c>
      <c r="I3218">
        <v>281.47129999999999</v>
      </c>
      <c r="J3218">
        <v>-287.39389999999997</v>
      </c>
      <c r="K3218">
        <v>1.108951</v>
      </c>
      <c r="L3218">
        <v>282.12479999999999</v>
      </c>
      <c r="M3218">
        <v>-0.99986070000000005</v>
      </c>
      <c r="N3218">
        <v>0</v>
      </c>
      <c r="O3218">
        <v>1.363339E-2</v>
      </c>
      <c r="P3218">
        <v>-0.99954620000000005</v>
      </c>
      <c r="Q3218">
        <v>2.6487549999999999E-2</v>
      </c>
      <c r="R3218">
        <v>1.435225E-2</v>
      </c>
      <c r="S3218">
        <v>-3.0047000000000001</v>
      </c>
      <c r="T3218">
        <v>-9.8795770000000005E-2</v>
      </c>
      <c r="U3218">
        <v>-5.7891850000000002E-2</v>
      </c>
      <c r="V3218">
        <v>7.6582880000000003E-4</v>
      </c>
      <c r="W3218">
        <v>3.6114300000000002E-2</v>
      </c>
      <c r="X3218">
        <v>0.9993474</v>
      </c>
      <c r="Y3218">
        <v>-3.2868109999999999E-2</v>
      </c>
      <c r="Z3218">
        <v>-9.8829650000000001E-4</v>
      </c>
      <c r="AA3218">
        <v>0.99945919999999999</v>
      </c>
      <c r="AB3218">
        <v>41</v>
      </c>
      <c r="AC3218">
        <v>-33.466700000000003</v>
      </c>
      <c r="AD3218">
        <v>-1.1089519413343001</v>
      </c>
      <c r="AE3218">
        <v>-0.65350000000000796</v>
      </c>
      <c r="AF3218">
        <v>-1.1085083130343101</v>
      </c>
      <c r="AG3218">
        <v>-1.1089519413343001</v>
      </c>
      <c r="AH3218">
        <v>33.4180007635672</v>
      </c>
      <c r="AI3218">
        <v>91.899577124571294</v>
      </c>
      <c r="AJ3218">
        <v>91.899861365073093</v>
      </c>
      <c r="AK3218">
        <v>33.454765581633303</v>
      </c>
      <c r="AL3218">
        <v>87.930353033565197</v>
      </c>
      <c r="AM3218">
        <v>89.956092596548302</v>
      </c>
      <c r="AN3218">
        <v>1.0000000275225001</v>
      </c>
    </row>
    <row r="3219" spans="1:40" x14ac:dyDescent="0.25">
      <c r="A3219" t="str">
        <f>"20190312150724007"</f>
        <v>20190312150724007</v>
      </c>
      <c r="B3219" t="str">
        <f>"1552374444003360"</f>
        <v>1552374444003360</v>
      </c>
      <c r="C3219" t="s">
        <v>40</v>
      </c>
      <c r="D3219">
        <v>4.1913080000000003</v>
      </c>
      <c r="E3219">
        <v>0.48180679999999998</v>
      </c>
      <c r="F3219" t="s">
        <v>68</v>
      </c>
      <c r="G3219">
        <v>-406.80340000000001</v>
      </c>
      <c r="H3219">
        <v>8.0001240000000001E-2</v>
      </c>
      <c r="I3219">
        <v>278.02879999999999</v>
      </c>
      <c r="J3219">
        <v>-287.66329999999999</v>
      </c>
      <c r="K3219">
        <v>1.1089500000000001</v>
      </c>
      <c r="L3219">
        <v>282.12869999999998</v>
      </c>
      <c r="M3219">
        <v>-0.99985650000000004</v>
      </c>
      <c r="N3219">
        <v>0</v>
      </c>
      <c r="O3219">
        <v>1.391914E-2</v>
      </c>
      <c r="P3219">
        <v>-0.99954319999999997</v>
      </c>
      <c r="Q3219">
        <v>2.6376589999999998E-2</v>
      </c>
      <c r="R3219">
        <v>1.476978E-2</v>
      </c>
      <c r="S3219">
        <v>-3.0035099999999999</v>
      </c>
      <c r="T3219">
        <v>-2.5881169999999998E-2</v>
      </c>
      <c r="U3219">
        <v>-0.1030273</v>
      </c>
      <c r="V3219">
        <v>8.9768240000000004E-4</v>
      </c>
      <c r="W3219">
        <v>3.6043289999999999E-2</v>
      </c>
      <c r="X3219">
        <v>0.99934979999999995</v>
      </c>
      <c r="Y3219">
        <v>-4.8188139999999997E-2</v>
      </c>
      <c r="Z3219">
        <v>-3.2746640000000003E-4</v>
      </c>
      <c r="AA3219">
        <v>0.99883820000000001</v>
      </c>
      <c r="AB3219">
        <v>41</v>
      </c>
      <c r="AC3219">
        <v>-119.1401</v>
      </c>
      <c r="AD3219">
        <v>-1.02894876</v>
      </c>
      <c r="AE3219">
        <v>-4.0998999999999901</v>
      </c>
      <c r="AF3219">
        <v>-5.7574788935309202</v>
      </c>
      <c r="AG3219">
        <v>-1.02894876</v>
      </c>
      <c r="AH3219">
        <v>119.062617182362</v>
      </c>
      <c r="AI3219">
        <v>90.494564558713805</v>
      </c>
      <c r="AJ3219">
        <v>92.768480000215405</v>
      </c>
      <c r="AK3219">
        <v>119.206183183062</v>
      </c>
      <c r="AL3219">
        <v>87.934424146057495</v>
      </c>
      <c r="AM3219">
        <v>89.948533137216202</v>
      </c>
      <c r="AN3219">
        <v>0.99999997367387705</v>
      </c>
    </row>
    <row r="3220" spans="1:40" x14ac:dyDescent="0.25">
      <c r="A3220" t="str">
        <f>"20190312150724018"</f>
        <v>20190312150724018</v>
      </c>
      <c r="B3220" t="str">
        <f>"1552374444013120"</f>
        <v>1552374444013120</v>
      </c>
      <c r="C3220" t="s">
        <v>40</v>
      </c>
      <c r="D3220">
        <v>4.2122510000000002</v>
      </c>
      <c r="E3220">
        <v>0.48180679999999998</v>
      </c>
      <c r="F3220" t="s">
        <v>67</v>
      </c>
      <c r="G3220">
        <v>-387.58929999999998</v>
      </c>
      <c r="H3220">
        <v>8.0000699999999994E-2</v>
      </c>
      <c r="I3220">
        <v>278.68099999999998</v>
      </c>
      <c r="J3220">
        <v>-287.86849999999998</v>
      </c>
      <c r="K3220">
        <v>1.1089519999999999</v>
      </c>
      <c r="L3220">
        <v>282.13170000000002</v>
      </c>
      <c r="M3220">
        <v>-0.99985299999999999</v>
      </c>
      <c r="N3220">
        <v>0</v>
      </c>
      <c r="O3220">
        <v>1.413728E-2</v>
      </c>
      <c r="P3220">
        <v>-0.99954010000000004</v>
      </c>
      <c r="Q3220">
        <v>2.6295369999999998E-2</v>
      </c>
      <c r="R3220">
        <v>1.511709E-2</v>
      </c>
      <c r="S3220">
        <v>-3.0037229999999999</v>
      </c>
      <c r="T3220">
        <v>-3.0929680000000001E-2</v>
      </c>
      <c r="U3220">
        <v>-0.1036377</v>
      </c>
      <c r="V3220">
        <v>1.026875E-3</v>
      </c>
      <c r="W3220">
        <v>3.5991830000000002E-2</v>
      </c>
      <c r="X3220">
        <v>0.99935160000000001</v>
      </c>
      <c r="Y3220">
        <v>-4.8605330000000002E-2</v>
      </c>
      <c r="Z3220">
        <v>-3.9570449999999999E-4</v>
      </c>
      <c r="AA3220">
        <v>0.99881799999999998</v>
      </c>
      <c r="AB3220">
        <v>41</v>
      </c>
      <c r="AC3220">
        <v>-99.720799999999997</v>
      </c>
      <c r="AD3220">
        <v>-1.0289512999999999</v>
      </c>
      <c r="AE3220">
        <v>-3.4507000000000398</v>
      </c>
      <c r="AF3220">
        <v>-4.8596855535357202</v>
      </c>
      <c r="AG3220">
        <v>-1.0289512999999999</v>
      </c>
      <c r="AH3220">
        <v>99.651450544425899</v>
      </c>
      <c r="AI3220">
        <v>90.590884535174496</v>
      </c>
      <c r="AJ3220">
        <v>92.791921806187901</v>
      </c>
      <c r="AK3220">
        <v>99.775181683949697</v>
      </c>
      <c r="AL3220">
        <v>87.9373746450662</v>
      </c>
      <c r="AM3220">
        <v>89.941126243375706</v>
      </c>
      <c r="AN3220">
        <v>1.0000000433607801</v>
      </c>
    </row>
    <row r="3221" spans="1:40" x14ac:dyDescent="0.25">
      <c r="A3221" t="str">
        <f>"20190312150724032"</f>
        <v>20190312150724032</v>
      </c>
      <c r="B3221" t="str">
        <f>"1552374444023856"</f>
        <v>1552374444023856</v>
      </c>
      <c r="C3221" t="s">
        <v>40</v>
      </c>
      <c r="D3221">
        <v>4.2859769999999999</v>
      </c>
      <c r="E3221">
        <v>0.48469279999999998</v>
      </c>
      <c r="F3221" t="s">
        <v>67</v>
      </c>
      <c r="G3221">
        <v>-386.98750000000001</v>
      </c>
      <c r="H3221">
        <v>8.0000879999999996E-2</v>
      </c>
      <c r="I3221">
        <v>278.74810000000002</v>
      </c>
      <c r="J3221">
        <v>-288.11790000000002</v>
      </c>
      <c r="K3221">
        <v>1.108957</v>
      </c>
      <c r="L3221">
        <v>282.13549999999998</v>
      </c>
      <c r="M3221">
        <v>-0.99984899999999999</v>
      </c>
      <c r="N3221">
        <v>0</v>
      </c>
      <c r="O3221">
        <v>1.4402130000000001E-2</v>
      </c>
      <c r="P3221">
        <v>-0.99953610000000004</v>
      </c>
      <c r="Q3221">
        <v>2.627032E-2</v>
      </c>
      <c r="R3221">
        <v>1.541962E-2</v>
      </c>
      <c r="S3221">
        <v>-3.003784</v>
      </c>
      <c r="T3221">
        <v>-3.1182169999999999E-2</v>
      </c>
      <c r="U3221">
        <v>-0.10253909999999999</v>
      </c>
      <c r="V3221">
        <v>1.06477E-3</v>
      </c>
      <c r="W3221">
        <v>3.6000890000000001E-2</v>
      </c>
      <c r="X3221">
        <v>0.9993512</v>
      </c>
      <c r="Y3221">
        <v>-4.850426E-2</v>
      </c>
      <c r="Z3221">
        <v>-4.0115330000000001E-4</v>
      </c>
      <c r="AA3221">
        <v>0.99882289999999996</v>
      </c>
      <c r="AB3221">
        <v>41</v>
      </c>
      <c r="AC3221">
        <v>-98.869600000000005</v>
      </c>
      <c r="AD3221">
        <v>-1.0289561199999999</v>
      </c>
      <c r="AE3221">
        <v>-3.3873999999999498</v>
      </c>
      <c r="AF3221">
        <v>-4.8105283796666196</v>
      </c>
      <c r="AG3221">
        <v>-1.0289561199999999</v>
      </c>
      <c r="AH3221">
        <v>98.799868126436706</v>
      </c>
      <c r="AI3221">
        <v>90.595982189146298</v>
      </c>
      <c r="AJ3221">
        <v>92.787508559646795</v>
      </c>
      <c r="AK3221">
        <v>98.922261780600905</v>
      </c>
      <c r="AL3221">
        <v>87.9368551385502</v>
      </c>
      <c r="AM3221">
        <v>89.938953589021494</v>
      </c>
      <c r="AN3221">
        <v>1.00000000937869</v>
      </c>
    </row>
    <row r="3222" spans="1:40" x14ac:dyDescent="0.25">
      <c r="A3222" t="str">
        <f>"20190312150724046"</f>
        <v>20190312150724046</v>
      </c>
      <c r="B3222" t="str">
        <f>"1552374444043375"</f>
        <v>1552374444043375</v>
      </c>
      <c r="C3222" t="s">
        <v>40</v>
      </c>
      <c r="D3222">
        <v>4.1517689999999998</v>
      </c>
      <c r="E3222">
        <v>0.48419030000000002</v>
      </c>
      <c r="F3222" t="s">
        <v>67</v>
      </c>
      <c r="G3222">
        <v>-341.28879999999998</v>
      </c>
      <c r="H3222" s="1">
        <v>-8.5093269999999895E-7</v>
      </c>
      <c r="I3222">
        <v>280.72629999999998</v>
      </c>
      <c r="J3222">
        <v>-288.37</v>
      </c>
      <c r="K3222">
        <v>1.1089599999999999</v>
      </c>
      <c r="L3222">
        <v>282.13929999999999</v>
      </c>
      <c r="M3222">
        <v>-0.99984470000000003</v>
      </c>
      <c r="N3222">
        <v>0</v>
      </c>
      <c r="O3222">
        <v>1.466955E-2</v>
      </c>
      <c r="P3222">
        <v>-0.99952960000000002</v>
      </c>
      <c r="Q3222">
        <v>2.6285860000000001E-2</v>
      </c>
      <c r="R3222">
        <v>1.580527E-2</v>
      </c>
      <c r="S3222">
        <v>-3.0042420000000001</v>
      </c>
      <c r="T3222">
        <v>-6.2657829999999998E-2</v>
      </c>
      <c r="U3222">
        <v>-7.9620360000000001E-2</v>
      </c>
      <c r="V3222">
        <v>1.1831299999999999E-3</v>
      </c>
      <c r="W3222">
        <v>3.6049959999999999E-2</v>
      </c>
      <c r="X3222">
        <v>0.9993493</v>
      </c>
      <c r="Y3222">
        <v>-4.1143470000000001E-2</v>
      </c>
      <c r="Z3222">
        <v>-7.3482069999999998E-4</v>
      </c>
      <c r="AA3222">
        <v>0.99915299999999996</v>
      </c>
      <c r="AB3222">
        <v>41</v>
      </c>
      <c r="AC3222">
        <v>-52.918799999999898</v>
      </c>
      <c r="AD3222">
        <v>-1.10896085093269</v>
      </c>
      <c r="AE3222">
        <v>-1.41300000000001</v>
      </c>
      <c r="AF3222">
        <v>-2.18821967724283</v>
      </c>
      <c r="AG3222">
        <v>-1.10896085093269</v>
      </c>
      <c r="AH3222">
        <v>52.869175204800797</v>
      </c>
      <c r="AI3222">
        <v>91.200607545950007</v>
      </c>
      <c r="AJ3222">
        <v>92.370081099454197</v>
      </c>
      <c r="AK3222">
        <v>52.926059614907103</v>
      </c>
      <c r="AL3222">
        <v>87.934041812670699</v>
      </c>
      <c r="AM3222">
        <v>89.932167537472395</v>
      </c>
      <c r="AN3222">
        <v>1.0000000114115399</v>
      </c>
    </row>
    <row r="3223" spans="1:40" x14ac:dyDescent="0.25">
      <c r="A3223" t="str">
        <f>"20190312150724063"</f>
        <v>20190312150724063</v>
      </c>
      <c r="B3223" t="str">
        <f>"1552374444053135"</f>
        <v>1552374444053135</v>
      </c>
      <c r="C3223" t="s">
        <v>40</v>
      </c>
      <c r="D3223">
        <v>4.3674710000000001</v>
      </c>
      <c r="E3223">
        <v>0.48416399999999998</v>
      </c>
      <c r="F3223" t="s">
        <v>67</v>
      </c>
      <c r="G3223">
        <v>-340.92840000000001</v>
      </c>
      <c r="H3223" s="1">
        <v>-1.0427369999999999E-6</v>
      </c>
      <c r="I3223">
        <v>280.69940000000003</v>
      </c>
      <c r="J3223">
        <v>-288.7072</v>
      </c>
      <c r="K3223">
        <v>1.1089599999999999</v>
      </c>
      <c r="L3223">
        <v>282.14449999999999</v>
      </c>
      <c r="M3223">
        <v>-0.99983889999999997</v>
      </c>
      <c r="N3223">
        <v>0</v>
      </c>
      <c r="O3223">
        <v>1.502699E-2</v>
      </c>
      <c r="P3223">
        <v>-0.99952209999999997</v>
      </c>
      <c r="Q3223">
        <v>2.6212180000000002E-2</v>
      </c>
      <c r="R3223">
        <v>1.639026E-2</v>
      </c>
      <c r="S3223">
        <v>-3.0043950000000001</v>
      </c>
      <c r="T3223">
        <v>-6.3391450000000002E-2</v>
      </c>
      <c r="U3223">
        <v>-8.2305909999999996E-2</v>
      </c>
      <c r="V3223">
        <v>1.4108899999999999E-3</v>
      </c>
      <c r="W3223">
        <v>3.6019469999999998E-2</v>
      </c>
      <c r="X3223">
        <v>0.99935010000000002</v>
      </c>
      <c r="Y3223">
        <v>-4.2391119999999997E-2</v>
      </c>
      <c r="Z3223">
        <v>-7.6407470000000003E-4</v>
      </c>
      <c r="AA3223">
        <v>0.99910080000000001</v>
      </c>
      <c r="AB3223">
        <v>41</v>
      </c>
      <c r="AC3223">
        <v>-52.221200000000003</v>
      </c>
      <c r="AD3223">
        <v>-1.108961042737</v>
      </c>
      <c r="AE3223">
        <v>-1.4450999999999601</v>
      </c>
      <c r="AF3223">
        <v>-2.2286977917514199</v>
      </c>
      <c r="AG3223">
        <v>-1.108961042737</v>
      </c>
      <c r="AH3223">
        <v>52.1700778407589</v>
      </c>
      <c r="AI3223">
        <v>91.216623578108496</v>
      </c>
      <c r="AJ3223">
        <v>92.446179630510102</v>
      </c>
      <c r="AK3223">
        <v>52.229435286551798</v>
      </c>
      <c r="AL3223">
        <v>87.935789888409104</v>
      </c>
      <c r="AM3223">
        <v>89.919109440576904</v>
      </c>
      <c r="AN3223">
        <v>1.0000000075998401</v>
      </c>
    </row>
    <row r="3224" spans="1:40" x14ac:dyDescent="0.25">
      <c r="A3224" t="str">
        <f>"20190312150724087"</f>
        <v>20190312150724087</v>
      </c>
      <c r="B3224" t="str">
        <f>"1552374444083393"</f>
        <v>1552374444083393</v>
      </c>
      <c r="C3224" t="s">
        <v>40</v>
      </c>
      <c r="D3224">
        <v>4.1319540000000003</v>
      </c>
      <c r="E3224">
        <v>0.48409590000000002</v>
      </c>
      <c r="F3224" t="s">
        <v>67</v>
      </c>
      <c r="G3224">
        <v>-344.6576</v>
      </c>
      <c r="H3224" s="1">
        <v>9.4175479999999997E-7</v>
      </c>
      <c r="I3224">
        <v>280.6395</v>
      </c>
      <c r="J3224">
        <v>-289.10939999999999</v>
      </c>
      <c r="K3224">
        <v>1.1089639999999901</v>
      </c>
      <c r="L3224">
        <v>282.15089999999998</v>
      </c>
      <c r="M3224">
        <v>-0.99983200000000005</v>
      </c>
      <c r="N3224">
        <v>0</v>
      </c>
      <c r="O3224">
        <v>1.545299E-2</v>
      </c>
      <c r="P3224">
        <v>-0.99951049999999997</v>
      </c>
      <c r="Q3224">
        <v>2.6132389999999998E-2</v>
      </c>
      <c r="R3224">
        <v>1.7214750000000001E-2</v>
      </c>
      <c r="S3224">
        <v>-3.0043030000000002</v>
      </c>
      <c r="T3224">
        <v>-5.9546469999999997E-2</v>
      </c>
      <c r="U3224">
        <v>-8.0810549999999995E-2</v>
      </c>
      <c r="V3224">
        <v>1.8095450000000001E-3</v>
      </c>
      <c r="W3224">
        <v>3.5990870000000001E-2</v>
      </c>
      <c r="X3224">
        <v>0.99935050000000003</v>
      </c>
      <c r="Y3224">
        <v>-4.2322159999999998E-2</v>
      </c>
      <c r="Z3224">
        <v>-7.2552459999999995E-4</v>
      </c>
      <c r="AA3224">
        <v>0.99910370000000004</v>
      </c>
      <c r="AB3224">
        <v>41</v>
      </c>
      <c r="AC3224">
        <v>-55.548200000000001</v>
      </c>
      <c r="AD3224">
        <v>-1.1089630582451999</v>
      </c>
      <c r="AE3224">
        <v>-1.5113999999999801</v>
      </c>
      <c r="AF3224">
        <v>-2.36870363102418</v>
      </c>
      <c r="AG3224">
        <v>-1.1089630582451999</v>
      </c>
      <c r="AH3224">
        <v>55.496107672154103</v>
      </c>
      <c r="AI3224">
        <v>91.143731972151301</v>
      </c>
      <c r="AJ3224">
        <v>92.444034387405097</v>
      </c>
      <c r="AK3224">
        <v>55.557704440658</v>
      </c>
      <c r="AL3224">
        <v>87.9374296354639</v>
      </c>
      <c r="AM3224">
        <v>89.896253438580601</v>
      </c>
      <c r="AN3224">
        <v>1.00000001951335</v>
      </c>
    </row>
    <row r="3225" spans="1:40" x14ac:dyDescent="0.25">
      <c r="A3225" t="str">
        <f>"20190312150724100"</f>
        <v>20190312150724100</v>
      </c>
      <c r="B3225" t="str">
        <f>"1552374444093152"</f>
        <v>1552374444093152</v>
      </c>
      <c r="C3225" t="s">
        <v>40</v>
      </c>
      <c r="D3225">
        <v>4.2634259999999999</v>
      </c>
      <c r="E3225">
        <v>0.4844425</v>
      </c>
      <c r="F3225" t="s">
        <v>67</v>
      </c>
      <c r="G3225">
        <v>-347.14150000000001</v>
      </c>
      <c r="H3225" s="1">
        <v>2.2635609999999998E-6</v>
      </c>
      <c r="I3225">
        <v>280.62950000000001</v>
      </c>
      <c r="J3225">
        <v>-289.36759999999998</v>
      </c>
      <c r="K3225">
        <v>1.1089709999999999</v>
      </c>
      <c r="L3225">
        <v>282.1551</v>
      </c>
      <c r="M3225">
        <v>-0.99982740000000003</v>
      </c>
      <c r="N3225">
        <v>0</v>
      </c>
      <c r="O3225">
        <v>1.5726850000000001E-2</v>
      </c>
      <c r="P3225">
        <v>-0.99950640000000002</v>
      </c>
      <c r="Q3225">
        <v>2.6072250000000002E-2</v>
      </c>
      <c r="R3225">
        <v>1.7541129999999999E-2</v>
      </c>
      <c r="S3225">
        <v>-3.0043030000000002</v>
      </c>
      <c r="T3225">
        <v>-5.7410599999999999E-2</v>
      </c>
      <c r="U3225">
        <v>-7.8765870000000002E-2</v>
      </c>
      <c r="V3225">
        <v>1.8621289999999999E-3</v>
      </c>
      <c r="W3225">
        <v>3.596419E-2</v>
      </c>
      <c r="X3225">
        <v>0.99935130000000005</v>
      </c>
      <c r="Y3225">
        <v>-4.1917129999999997E-2</v>
      </c>
      <c r="Z3225">
        <v>-7.0087479999999896E-4</v>
      </c>
      <c r="AA3225">
        <v>0.99912080000000003</v>
      </c>
      <c r="AB3225">
        <v>41</v>
      </c>
      <c r="AC3225">
        <v>-57.773899999999998</v>
      </c>
      <c r="AD3225">
        <v>-1.108968736439</v>
      </c>
      <c r="AE3225">
        <v>-1.5255999999999901</v>
      </c>
      <c r="AF3225">
        <v>-2.4331613465157398</v>
      </c>
      <c r="AG3225">
        <v>-1.108968736439</v>
      </c>
      <c r="AH3225">
        <v>57.7215075761465</v>
      </c>
      <c r="AI3225">
        <v>91.0996777256846</v>
      </c>
      <c r="AJ3225">
        <v>92.413786414617903</v>
      </c>
      <c r="AK3225">
        <v>57.783410445037902</v>
      </c>
      <c r="AL3225">
        <v>87.938959145439497</v>
      </c>
      <c r="AM3225">
        <v>89.893238734837396</v>
      </c>
      <c r="AN3225">
        <v>0.99999995564922795</v>
      </c>
    </row>
    <row r="3226" spans="1:40" x14ac:dyDescent="0.25">
      <c r="A3226" t="str">
        <f>"20190312150724113"</f>
        <v>20190312150724113</v>
      </c>
      <c r="B3226" t="str">
        <f>"1552374444103887"</f>
        <v>1552374444103887</v>
      </c>
      <c r="C3226" t="s">
        <v>40</v>
      </c>
      <c r="D3226">
        <v>4.1477120000000003</v>
      </c>
      <c r="E3226">
        <v>0.48433340000000003</v>
      </c>
      <c r="F3226" t="s">
        <v>67</v>
      </c>
      <c r="G3226">
        <v>-341.4667</v>
      </c>
      <c r="H3226" s="1">
        <v>-7.5625799999999997E-7</v>
      </c>
      <c r="I3226">
        <v>280.85120000000001</v>
      </c>
      <c r="J3226">
        <v>-289.5992</v>
      </c>
      <c r="K3226">
        <v>1.108973</v>
      </c>
      <c r="L3226">
        <v>282.15899999999999</v>
      </c>
      <c r="M3226">
        <v>-0.99982329999999997</v>
      </c>
      <c r="N3226">
        <v>0</v>
      </c>
      <c r="O3226">
        <v>1.5971869999999999E-2</v>
      </c>
      <c r="P3226">
        <v>-0.99950229999999995</v>
      </c>
      <c r="Q3226">
        <v>2.6004679999999999E-2</v>
      </c>
      <c r="R3226">
        <v>1.7864640000000001E-2</v>
      </c>
      <c r="S3226">
        <v>-3.0045169999999999</v>
      </c>
      <c r="T3226">
        <v>-6.395352E-2</v>
      </c>
      <c r="U3226">
        <v>-7.5195310000000001E-2</v>
      </c>
      <c r="V3226">
        <v>1.9404929999999999E-3</v>
      </c>
      <c r="W3226">
        <v>3.592654E-2</v>
      </c>
      <c r="X3226">
        <v>0.99935260000000004</v>
      </c>
      <c r="Y3226">
        <v>-4.097116E-2</v>
      </c>
      <c r="Z3226">
        <v>-7.7583920000000002E-4</v>
      </c>
      <c r="AA3226">
        <v>0.9991601</v>
      </c>
      <c r="AB3226">
        <v>41</v>
      </c>
      <c r="AC3226">
        <v>-51.8675</v>
      </c>
      <c r="AD3226">
        <v>-1.108973756258</v>
      </c>
      <c r="AE3226">
        <v>-1.3077999999999801</v>
      </c>
      <c r="AF3226">
        <v>-2.13511940221166</v>
      </c>
      <c r="AG3226">
        <v>-1.108973756258</v>
      </c>
      <c r="AH3226">
        <v>51.816321764096799</v>
      </c>
      <c r="AI3226">
        <v>91.225018806123003</v>
      </c>
      <c r="AJ3226">
        <v>92.359568575132101</v>
      </c>
      <c r="AK3226">
        <v>51.872148199338902</v>
      </c>
      <c r="AL3226">
        <v>87.941117921887397</v>
      </c>
      <c r="AM3226">
        <v>89.888746054854295</v>
      </c>
      <c r="AN3226">
        <v>1.0000000504580999</v>
      </c>
    </row>
    <row r="3227" spans="1:40" x14ac:dyDescent="0.25">
      <c r="A3227" t="str">
        <f>"20190312150724131"</f>
        <v>20190312150724131</v>
      </c>
      <c r="B3227" t="str">
        <f>"1552374444123407"</f>
        <v>1552374444123407</v>
      </c>
      <c r="C3227" t="s">
        <v>40</v>
      </c>
      <c r="D3227">
        <v>4.1675909999999998</v>
      </c>
      <c r="E3227">
        <v>0.4837012</v>
      </c>
      <c r="F3227" t="s">
        <v>67</v>
      </c>
      <c r="G3227">
        <v>-343.44690000000003</v>
      </c>
      <c r="H3227" s="1">
        <v>2.9748440000000001E-7</v>
      </c>
      <c r="I3227">
        <v>280.81290000000001</v>
      </c>
      <c r="J3227">
        <v>-289.92149999999998</v>
      </c>
      <c r="K3227">
        <v>1.108975</v>
      </c>
      <c r="L3227">
        <v>282.1644</v>
      </c>
      <c r="M3227">
        <v>-0.99981730000000002</v>
      </c>
      <c r="N3227">
        <v>0</v>
      </c>
      <c r="O3227">
        <v>1.6312799999999999E-2</v>
      </c>
      <c r="P3227">
        <v>-0.99949429999999995</v>
      </c>
      <c r="Q3227">
        <v>2.5948329999999999E-2</v>
      </c>
      <c r="R3227">
        <v>1.837867E-2</v>
      </c>
      <c r="S3227">
        <v>-3.0044559999999998</v>
      </c>
      <c r="T3227">
        <v>-6.1875579999999999E-2</v>
      </c>
      <c r="U3227">
        <v>-7.5103760000000006E-2</v>
      </c>
      <c r="V3227">
        <v>2.113719E-3</v>
      </c>
      <c r="W3227">
        <v>3.5910820000000003E-2</v>
      </c>
      <c r="X3227">
        <v>0.99935280000000004</v>
      </c>
      <c r="Y3227">
        <v>-4.1282640000000002E-2</v>
      </c>
      <c r="Z3227">
        <v>-7.6087869999999903E-4</v>
      </c>
      <c r="AA3227">
        <v>0.99914720000000001</v>
      </c>
      <c r="AB3227">
        <v>41</v>
      </c>
      <c r="AC3227">
        <v>-53.525399999999998</v>
      </c>
      <c r="AD3227">
        <v>-1.1089747025156</v>
      </c>
      <c r="AE3227">
        <v>-1.3514999999999799</v>
      </c>
      <c r="AF3227">
        <v>-2.2235587471487399</v>
      </c>
      <c r="AG3227">
        <v>-1.1089747025156</v>
      </c>
      <c r="AH3227">
        <v>53.473289743266498</v>
      </c>
      <c r="AI3227">
        <v>91.187052907896202</v>
      </c>
      <c r="AJ3227">
        <v>92.381136048147397</v>
      </c>
      <c r="AK3227">
        <v>53.530988729521603</v>
      </c>
      <c r="AL3227">
        <v>87.942019165022501</v>
      </c>
      <c r="AM3227">
        <v>89.878814571608501</v>
      </c>
      <c r="AN3227">
        <v>1.0000000368344599</v>
      </c>
    </row>
    <row r="3228" spans="1:40" x14ac:dyDescent="0.25">
      <c r="A3228" t="str">
        <f>"20190312150724142"</f>
        <v>20190312150724142</v>
      </c>
      <c r="B3228" t="str">
        <f>"1552374444133168"</f>
        <v>1552374444133168</v>
      </c>
      <c r="C3228" t="s">
        <v>40</v>
      </c>
      <c r="D3228">
        <v>4.2521940000000003</v>
      </c>
      <c r="E3228">
        <v>0.48337669999999999</v>
      </c>
      <c r="F3228" t="s">
        <v>67</v>
      </c>
      <c r="G3228">
        <v>-345.71109999999999</v>
      </c>
      <c r="H3228" s="1">
        <v>1.5023889999999999E-6</v>
      </c>
      <c r="I3228">
        <v>280.70800000000003</v>
      </c>
      <c r="J3228">
        <v>-290.15449999999998</v>
      </c>
      <c r="K3228">
        <v>1.1089770000000001</v>
      </c>
      <c r="L3228">
        <v>282.16829999999999</v>
      </c>
      <c r="M3228">
        <v>-0.99981299999999995</v>
      </c>
      <c r="N3228">
        <v>0</v>
      </c>
      <c r="O3228">
        <v>1.6559310000000001E-2</v>
      </c>
      <c r="P3228">
        <v>-0.99949129999999997</v>
      </c>
      <c r="Q3228">
        <v>2.588379E-2</v>
      </c>
      <c r="R3228">
        <v>1.863186E-2</v>
      </c>
      <c r="S3228">
        <v>-3.004486</v>
      </c>
      <c r="T3228">
        <v>-5.9722539999999998E-2</v>
      </c>
      <c r="U3228">
        <v>-7.8430180000000002E-2</v>
      </c>
      <c r="V3228">
        <v>2.1204090000000002E-3</v>
      </c>
      <c r="W3228">
        <v>3.5875070000000002E-2</v>
      </c>
      <c r="X3228">
        <v>0.99935399999999996</v>
      </c>
      <c r="Y3228">
        <v>-4.2634709999999999E-2</v>
      </c>
      <c r="Z3228">
        <v>-7.5272509999999905E-4</v>
      </c>
      <c r="AA3228">
        <v>0.99909040000000005</v>
      </c>
      <c r="AB3228">
        <v>41</v>
      </c>
      <c r="AC3228">
        <v>-55.556600000000003</v>
      </c>
      <c r="AD3228">
        <v>-1.108975497611</v>
      </c>
      <c r="AE3228">
        <v>-1.4603000000000099</v>
      </c>
      <c r="AF3228">
        <v>-2.3791772766629</v>
      </c>
      <c r="AG3228">
        <v>-1.108975497611</v>
      </c>
      <c r="AH3228">
        <v>55.502699124476599</v>
      </c>
      <c r="AI3228">
        <v>91.143600039956894</v>
      </c>
      <c r="AJ3228">
        <v>92.454536753532807</v>
      </c>
      <c r="AK3228">
        <v>55.564736310633798</v>
      </c>
      <c r="AL3228">
        <v>87.944068666236504</v>
      </c>
      <c r="AM3228">
        <v>89.8784311623034</v>
      </c>
      <c r="AN3228">
        <v>0.99999996704891503</v>
      </c>
    </row>
    <row r="3229" spans="1:40" x14ac:dyDescent="0.25">
      <c r="A3229" t="str">
        <f>"20190312150724155"</f>
        <v>20190312150724155</v>
      </c>
      <c r="B3229" t="str">
        <f>"1552374444143904"</f>
        <v>1552374444143904</v>
      </c>
      <c r="C3229" t="s">
        <v>40</v>
      </c>
      <c r="D3229">
        <v>4.1481459999999997</v>
      </c>
      <c r="E3229">
        <v>0.48312070000000001</v>
      </c>
      <c r="F3229" t="s">
        <v>67</v>
      </c>
      <c r="G3229">
        <v>-347.15309999999999</v>
      </c>
      <c r="H3229" s="1">
        <v>2.2697180000000001E-6</v>
      </c>
      <c r="I3229">
        <v>280.64510000000001</v>
      </c>
      <c r="J3229">
        <v>-290.37240000000003</v>
      </c>
      <c r="K3229">
        <v>1.108978</v>
      </c>
      <c r="L3229">
        <v>282.1721</v>
      </c>
      <c r="M3229">
        <v>-0.99980880000000005</v>
      </c>
      <c r="N3229">
        <v>0</v>
      </c>
      <c r="O3229">
        <v>1.678957E-2</v>
      </c>
      <c r="P3229">
        <v>-0.99947940000000002</v>
      </c>
      <c r="Q3229">
        <v>2.610635E-2</v>
      </c>
      <c r="R3229">
        <v>1.8965340000000001E-2</v>
      </c>
      <c r="S3229">
        <v>-3.0045470000000001</v>
      </c>
      <c r="T3229">
        <v>-5.8457019999999998E-2</v>
      </c>
      <c r="U3229">
        <v>-8.0291749999999995E-2</v>
      </c>
      <c r="V3229">
        <v>2.2242529999999998E-3</v>
      </c>
      <c r="W3229">
        <v>3.6124299999999998E-2</v>
      </c>
      <c r="X3229">
        <v>0.99934480000000003</v>
      </c>
      <c r="Y3229">
        <v>-4.3483130000000002E-2</v>
      </c>
      <c r="Z3229">
        <v>-7.4948720000000003E-4</v>
      </c>
      <c r="AA3229">
        <v>0.99905390000000005</v>
      </c>
      <c r="AB3229">
        <v>41</v>
      </c>
      <c r="AC3229">
        <v>-56.780699999999896</v>
      </c>
      <c r="AD3229">
        <v>-1.108975730282</v>
      </c>
      <c r="AE3229">
        <v>-1.5269999999999799</v>
      </c>
      <c r="AF3229">
        <v>-2.4792111508952801</v>
      </c>
      <c r="AG3229">
        <v>-1.108975730282</v>
      </c>
      <c r="AH3229">
        <v>56.725434197156098</v>
      </c>
      <c r="AI3229">
        <v>91.118915369271605</v>
      </c>
      <c r="AJ3229">
        <v>92.502545738785599</v>
      </c>
      <c r="AK3229">
        <v>56.790414683791099</v>
      </c>
      <c r="AL3229">
        <v>87.929779584239398</v>
      </c>
      <c r="AM3229">
        <v>89.872476347470396</v>
      </c>
      <c r="AN3229">
        <v>0.99999997081946801</v>
      </c>
    </row>
    <row r="3230" spans="1:40" x14ac:dyDescent="0.25">
      <c r="A3230" t="str">
        <f>"20190312150724176"</f>
        <v>20190312150724176</v>
      </c>
      <c r="B3230" t="str">
        <f>"1552374444163423"</f>
        <v>1552374444163423</v>
      </c>
      <c r="C3230" t="s">
        <v>40</v>
      </c>
      <c r="D3230">
        <v>4.167243</v>
      </c>
      <c r="E3230">
        <v>0.48264990000000002</v>
      </c>
      <c r="F3230" t="s">
        <v>67</v>
      </c>
      <c r="G3230">
        <v>-350.22910000000002</v>
      </c>
      <c r="H3230" s="1">
        <v>-1.414871E-6</v>
      </c>
      <c r="I3230">
        <v>280.55250000000001</v>
      </c>
      <c r="J3230">
        <v>-290.7405</v>
      </c>
      <c r="K3230">
        <v>1.108978</v>
      </c>
      <c r="L3230">
        <v>282.17860000000002</v>
      </c>
      <c r="M3230">
        <v>-0.99980179999999996</v>
      </c>
      <c r="N3230">
        <v>0</v>
      </c>
      <c r="O3230">
        <v>1.7178990000000002E-2</v>
      </c>
      <c r="P3230">
        <v>-0.9994788</v>
      </c>
      <c r="Q3230">
        <v>2.582141E-2</v>
      </c>
      <c r="R3230">
        <v>1.938985E-2</v>
      </c>
      <c r="S3230">
        <v>-3.0045470000000001</v>
      </c>
      <c r="T3230">
        <v>-5.5665970000000002E-2</v>
      </c>
      <c r="U3230">
        <v>-8.1298830000000002E-2</v>
      </c>
      <c r="V3230">
        <v>2.2593399999999999E-3</v>
      </c>
      <c r="W3230">
        <v>3.5887000000000002E-2</v>
      </c>
      <c r="X3230">
        <v>0.9993533</v>
      </c>
      <c r="Y3230">
        <v>-4.4207749999999997E-2</v>
      </c>
      <c r="Z3230">
        <v>-7.2763050000000001E-4</v>
      </c>
      <c r="AA3230">
        <v>0.99902210000000002</v>
      </c>
      <c r="AB3230">
        <v>41</v>
      </c>
      <c r="AC3230">
        <v>-59.488599999999998</v>
      </c>
      <c r="AD3230">
        <v>-1.1089794148709999</v>
      </c>
      <c r="AE3230">
        <v>-1.6261000000000001</v>
      </c>
      <c r="AF3230">
        <v>-2.6469466344533301</v>
      </c>
      <c r="AG3230">
        <v>-1.1089794148709999</v>
      </c>
      <c r="AH3230">
        <v>59.431246113681901</v>
      </c>
      <c r="AI3230">
        <v>91.067949383167601</v>
      </c>
      <c r="AJ3230">
        <v>92.550152007109801</v>
      </c>
      <c r="AK3230">
        <v>59.500497279041902</v>
      </c>
      <c r="AL3230">
        <v>87.943384754521205</v>
      </c>
      <c r="AM3230">
        <v>89.870465804300295</v>
      </c>
      <c r="AN3230">
        <v>0.99999999980356202</v>
      </c>
    </row>
    <row r="3231" spans="1:40" x14ac:dyDescent="0.25">
      <c r="A3231" t="str">
        <f>"20190312150724189"</f>
        <v>20190312150724189</v>
      </c>
      <c r="B3231" t="str">
        <f>"1552374444182944"</f>
        <v>1552374444182944</v>
      </c>
      <c r="C3231" t="s">
        <v>40</v>
      </c>
      <c r="D3231">
        <v>4.1611940000000001</v>
      </c>
      <c r="E3231">
        <v>0.48221589999999998</v>
      </c>
      <c r="F3231" t="s">
        <v>67</v>
      </c>
      <c r="G3231">
        <v>-353.25229999999999</v>
      </c>
      <c r="H3231" s="1">
        <v>1.9390910000000001E-7</v>
      </c>
      <c r="I3231">
        <v>280.43700000000001</v>
      </c>
      <c r="J3231">
        <v>-290.99110000000002</v>
      </c>
      <c r="K3231">
        <v>1.108981</v>
      </c>
      <c r="L3231">
        <v>282.18310000000002</v>
      </c>
      <c r="M3231">
        <v>-0.99979680000000004</v>
      </c>
      <c r="N3231">
        <v>0</v>
      </c>
      <c r="O3231">
        <v>1.7444189999999998E-2</v>
      </c>
      <c r="P3231">
        <v>-0.99946740000000001</v>
      </c>
      <c r="Q3231">
        <v>2.6006089999999999E-2</v>
      </c>
      <c r="R3231">
        <v>1.9721410000000002E-2</v>
      </c>
      <c r="S3231">
        <v>-3.004578</v>
      </c>
      <c r="T3231">
        <v>-5.3302170000000003E-2</v>
      </c>
      <c r="U3231">
        <v>-8.3709720000000001E-2</v>
      </c>
      <c r="V3231">
        <v>2.3261610000000002E-3</v>
      </c>
      <c r="W3231">
        <v>3.6104770000000001E-2</v>
      </c>
      <c r="X3231">
        <v>0.99934529999999999</v>
      </c>
      <c r="Y3231">
        <v>-4.5274149999999999E-2</v>
      </c>
      <c r="Z3231">
        <v>-7.1088339999999996E-4</v>
      </c>
      <c r="AA3231">
        <v>0.99897429999999998</v>
      </c>
      <c r="AB3231">
        <v>41</v>
      </c>
      <c r="AC3231">
        <v>-62.261199999999903</v>
      </c>
      <c r="AD3231">
        <v>-1.1089808060909001</v>
      </c>
      <c r="AE3231">
        <v>-1.74610000000001</v>
      </c>
      <c r="AF3231">
        <v>-2.8310884327236701</v>
      </c>
      <c r="AG3231">
        <v>-1.1089808060909001</v>
      </c>
      <c r="AH3231">
        <v>62.201545971101503</v>
      </c>
      <c r="AI3231">
        <v>91.020352406438406</v>
      </c>
      <c r="AJ3231">
        <v>92.606005115453797</v>
      </c>
      <c r="AK3231">
        <v>62.275815701901699</v>
      </c>
      <c r="AL3231">
        <v>87.930899355555297</v>
      </c>
      <c r="AM3231">
        <v>89.866633718033896</v>
      </c>
      <c r="AN3231">
        <v>0.99999999703692</v>
      </c>
    </row>
    <row r="3232" spans="1:40" x14ac:dyDescent="0.25">
      <c r="A3232" t="str">
        <f>"20190312150724201"</f>
        <v>20190312150724201</v>
      </c>
      <c r="B3232" t="str">
        <f>"1552374444193680"</f>
        <v>1552374444193680</v>
      </c>
      <c r="C3232" t="s">
        <v>40</v>
      </c>
      <c r="D3232">
        <v>4.1422359999999996</v>
      </c>
      <c r="E3232">
        <v>0.48196040000000001</v>
      </c>
      <c r="F3232" t="s">
        <v>67</v>
      </c>
      <c r="G3232">
        <v>-355.32850000000002</v>
      </c>
      <c r="H3232" s="1">
        <v>1.2987729999999899E-6</v>
      </c>
      <c r="I3232">
        <v>280.33969999999999</v>
      </c>
      <c r="J3232">
        <v>-291.23</v>
      </c>
      <c r="K3232">
        <v>1.1089869999999999</v>
      </c>
      <c r="L3232">
        <v>282.1875</v>
      </c>
      <c r="M3232">
        <v>-0.99979209999999996</v>
      </c>
      <c r="N3232">
        <v>0</v>
      </c>
      <c r="O3232">
        <v>1.7697359999999999E-2</v>
      </c>
      <c r="P3232">
        <v>-0.9994651</v>
      </c>
      <c r="Q3232">
        <v>2.60506E-2</v>
      </c>
      <c r="R3232">
        <v>1.9783329999999998E-2</v>
      </c>
      <c r="S3232">
        <v>-3.0046390000000001</v>
      </c>
      <c r="T3232">
        <v>-5.1790709999999997E-2</v>
      </c>
      <c r="U3232">
        <v>-8.6090089999999994E-2</v>
      </c>
      <c r="V3232">
        <v>2.1350639999999999E-3</v>
      </c>
      <c r="W3232">
        <v>3.6181959999999999E-2</v>
      </c>
      <c r="X3232">
        <v>0.99934290000000003</v>
      </c>
      <c r="Y3232">
        <v>-4.6317659999999997E-2</v>
      </c>
      <c r="Z3232">
        <v>-7.0406099999999997E-4</v>
      </c>
      <c r="AA3232">
        <v>0.99892650000000005</v>
      </c>
      <c r="AB3232">
        <v>41</v>
      </c>
      <c r="AC3232">
        <v>-64.098500000000001</v>
      </c>
      <c r="AD3232">
        <v>-1.1089857012269999</v>
      </c>
      <c r="AE3232">
        <v>-1.8478000000000001</v>
      </c>
      <c r="AF3232">
        <v>-2.9810514013004301</v>
      </c>
      <c r="AG3232">
        <v>-1.1089857012269999</v>
      </c>
      <c r="AH3232">
        <v>64.036605188846707</v>
      </c>
      <c r="AI3232">
        <v>90.991075834964604</v>
      </c>
      <c r="AJ3232">
        <v>92.665326200499507</v>
      </c>
      <c r="AK3232">
        <v>64.115546639289803</v>
      </c>
      <c r="AL3232">
        <v>87.926473730576504</v>
      </c>
      <c r="AM3232">
        <v>89.877589594056502</v>
      </c>
      <c r="AN3232">
        <v>0.99999996225406695</v>
      </c>
    </row>
    <row r="3233" spans="1:40" x14ac:dyDescent="0.25">
      <c r="A3233" t="str">
        <f>"20190312150724213"</f>
        <v>20190312150724213</v>
      </c>
      <c r="B3233" t="str">
        <f>"1552374444203440"</f>
        <v>1552374444203440</v>
      </c>
      <c r="C3233" t="s">
        <v>40</v>
      </c>
      <c r="D3233">
        <v>4.1747350000000001</v>
      </c>
      <c r="E3233">
        <v>0.4817128</v>
      </c>
      <c r="F3233" t="s">
        <v>67</v>
      </c>
      <c r="G3233">
        <v>-355.73500000000001</v>
      </c>
      <c r="H3233" s="1">
        <v>1.515067E-6</v>
      </c>
      <c r="I3233">
        <v>280.29739999999998</v>
      </c>
      <c r="J3233">
        <v>-291.43270000000001</v>
      </c>
      <c r="K3233">
        <v>1.1089929999999999</v>
      </c>
      <c r="L3233">
        <v>282.19130000000001</v>
      </c>
      <c r="M3233">
        <v>-0.99978800000000001</v>
      </c>
      <c r="N3233">
        <v>0</v>
      </c>
      <c r="O3233">
        <v>1.7911460000000001E-2</v>
      </c>
      <c r="P3233">
        <v>-0.99946550000000001</v>
      </c>
      <c r="Q3233">
        <v>2.5882039999999999E-2</v>
      </c>
      <c r="R3233">
        <v>1.998523E-2</v>
      </c>
      <c r="S3233">
        <v>-3.0046689999999998</v>
      </c>
      <c r="T3233">
        <v>-5.1657080000000001E-2</v>
      </c>
      <c r="U3233">
        <v>-8.8043209999999997E-2</v>
      </c>
      <c r="V3233">
        <v>2.1226970000000002E-3</v>
      </c>
      <c r="W3233">
        <v>3.6039960000000003E-2</v>
      </c>
      <c r="X3233">
        <v>0.99934809999999996</v>
      </c>
      <c r="Y3233">
        <v>-4.7179949999999998E-2</v>
      </c>
      <c r="Z3233">
        <v>-7.1332169999999996E-4</v>
      </c>
      <c r="AA3233">
        <v>0.99888619999999995</v>
      </c>
      <c r="AB3233">
        <v>41</v>
      </c>
      <c r="AC3233">
        <v>-64.302300000000002</v>
      </c>
      <c r="AD3233">
        <v>-1.108991484933</v>
      </c>
      <c r="AE3233">
        <v>-1.8939000000000299</v>
      </c>
      <c r="AF3233">
        <v>-3.0444988356668201</v>
      </c>
      <c r="AG3233">
        <v>-1.108991484933</v>
      </c>
      <c r="AH3233">
        <v>64.238968244886706</v>
      </c>
      <c r="AI3233">
        <v>90.987920622816304</v>
      </c>
      <c r="AJ3233">
        <v>92.713407639373401</v>
      </c>
      <c r="AK3233">
        <v>64.320633364742207</v>
      </c>
      <c r="AL3233">
        <v>87.934615129296404</v>
      </c>
      <c r="AM3233">
        <v>89.878299266914098</v>
      </c>
      <c r="AN3233">
        <v>1.0000000047664801</v>
      </c>
    </row>
    <row r="3234" spans="1:40" x14ac:dyDescent="0.25">
      <c r="A3234" t="str">
        <f>"20190312150724225"</f>
        <v>20190312150724225</v>
      </c>
      <c r="B3234" t="str">
        <f>"1552374444213200"</f>
        <v>1552374444213200</v>
      </c>
      <c r="C3234" t="s">
        <v>40</v>
      </c>
      <c r="D3234">
        <v>4.1320240000000004</v>
      </c>
      <c r="E3234">
        <v>0.48146630000000001</v>
      </c>
      <c r="F3234" t="s">
        <v>67</v>
      </c>
      <c r="G3234">
        <v>-355.21339999999998</v>
      </c>
      <c r="H3234" s="1">
        <v>1.2375199999999999E-6</v>
      </c>
      <c r="I3234">
        <v>280.29579999999999</v>
      </c>
      <c r="J3234">
        <v>-291.66050000000001</v>
      </c>
      <c r="K3234">
        <v>1.1089960000000001</v>
      </c>
      <c r="L3234">
        <v>282.19549999999998</v>
      </c>
      <c r="M3234">
        <v>-0.99978330000000004</v>
      </c>
      <c r="N3234">
        <v>0</v>
      </c>
      <c r="O3234">
        <v>1.815201E-2</v>
      </c>
      <c r="P3234">
        <v>-0.99945989999999996</v>
      </c>
      <c r="Q3234">
        <v>2.587182E-2</v>
      </c>
      <c r="R3234">
        <v>2.0264730000000002E-2</v>
      </c>
      <c r="S3234">
        <v>-3.0046689999999998</v>
      </c>
      <c r="T3234">
        <v>-5.2243949999999997E-2</v>
      </c>
      <c r="U3234">
        <v>-8.9294429999999994E-2</v>
      </c>
      <c r="V3234">
        <v>2.1617110000000002E-3</v>
      </c>
      <c r="W3234">
        <v>3.6059010000000002E-2</v>
      </c>
      <c r="X3234">
        <v>0.99934730000000005</v>
      </c>
      <c r="Y3234">
        <v>-4.7835519999999999E-2</v>
      </c>
      <c r="Z3234">
        <v>-7.3129960000000002E-4</v>
      </c>
      <c r="AA3234">
        <v>0.99885489999999999</v>
      </c>
      <c r="AB3234">
        <v>41</v>
      </c>
      <c r="AC3234">
        <v>-63.552899999999902</v>
      </c>
      <c r="AD3234">
        <v>-1.1089947624799901</v>
      </c>
      <c r="AE3234">
        <v>-1.89969999999999</v>
      </c>
      <c r="AF3234">
        <v>-3.0521312108290499</v>
      </c>
      <c r="AG3234">
        <v>-1.1089947624799901</v>
      </c>
      <c r="AH3234">
        <v>63.488627618145003</v>
      </c>
      <c r="AI3234">
        <v>90.999564584739304</v>
      </c>
      <c r="AJ3234">
        <v>92.752299332601893</v>
      </c>
      <c r="AK3234">
        <v>63.571622687696198</v>
      </c>
      <c r="AL3234">
        <v>87.933522874498394</v>
      </c>
      <c r="AM3234">
        <v>89.876062382268998</v>
      </c>
      <c r="AN3234">
        <v>0.99999997560695797</v>
      </c>
    </row>
    <row r="3235" spans="1:40" x14ac:dyDescent="0.25">
      <c r="A3235" t="str">
        <f>"20190312150724242"</f>
        <v>20190312150724242</v>
      </c>
      <c r="B3235" t="str">
        <f>"1552374444233696"</f>
        <v>1552374444233696</v>
      </c>
      <c r="C3235" t="s">
        <v>40</v>
      </c>
      <c r="D3235">
        <v>4.1586589999999903</v>
      </c>
      <c r="E3235">
        <v>0.4810217</v>
      </c>
      <c r="F3235" t="s">
        <v>67</v>
      </c>
      <c r="G3235">
        <v>-356.17939999999999</v>
      </c>
      <c r="H3235" s="1">
        <v>1.7515990000000001E-6</v>
      </c>
      <c r="I3235">
        <v>280.25389999999999</v>
      </c>
      <c r="J3235">
        <v>-291.96609999999998</v>
      </c>
      <c r="K3235">
        <v>1.109008</v>
      </c>
      <c r="L3235">
        <v>282.2013</v>
      </c>
      <c r="M3235">
        <v>-0.99977700000000003</v>
      </c>
      <c r="N3235">
        <v>0</v>
      </c>
      <c r="O3235">
        <v>1.8475060000000001E-2</v>
      </c>
      <c r="P3235">
        <v>-0.99945550000000005</v>
      </c>
      <c r="Q3235">
        <v>2.567939E-2</v>
      </c>
      <c r="R3235">
        <v>2.0727160000000001E-2</v>
      </c>
      <c r="S3235">
        <v>-3.004791</v>
      </c>
      <c r="T3235">
        <v>-5.1648380000000001E-2</v>
      </c>
      <c r="U3235">
        <v>-9.0423580000000003E-2</v>
      </c>
      <c r="V3235">
        <v>2.3009430000000002E-3</v>
      </c>
      <c r="W3235">
        <v>3.5906050000000002E-2</v>
      </c>
      <c r="X3235">
        <v>0.99935249999999998</v>
      </c>
      <c r="Y3235">
        <v>-4.8532169999999999E-2</v>
      </c>
      <c r="Z3235">
        <v>-7.3446830000000005E-4</v>
      </c>
      <c r="AA3235">
        <v>0.99882139999999997</v>
      </c>
      <c r="AB3235">
        <v>41</v>
      </c>
      <c r="AC3235">
        <v>-64.213300000000004</v>
      </c>
      <c r="AD3235">
        <v>-1.1090062484009999</v>
      </c>
      <c r="AE3235">
        <v>-1.94740000000001</v>
      </c>
      <c r="AF3235">
        <v>-3.1325407177348001</v>
      </c>
      <c r="AG3235">
        <v>-1.1090062484009999</v>
      </c>
      <c r="AH3235">
        <v>64.147242822114606</v>
      </c>
      <c r="AI3235">
        <v>90.989277773993706</v>
      </c>
      <c r="AJ3235">
        <v>92.795738167797495</v>
      </c>
      <c r="AK3235">
        <v>64.233258269268802</v>
      </c>
      <c r="AL3235">
        <v>87.942292523215002</v>
      </c>
      <c r="AM3235">
        <v>89.868080492277898</v>
      </c>
      <c r="AN3235">
        <v>0.99999997901076998</v>
      </c>
    </row>
    <row r="3236" spans="1:40" x14ac:dyDescent="0.25">
      <c r="A3236" t="str">
        <f>"20190312150724256"</f>
        <v>20190312150724256</v>
      </c>
      <c r="B3236" t="str">
        <f>"1552374444243455"</f>
        <v>1552374444243455</v>
      </c>
      <c r="C3236" t="s">
        <v>40</v>
      </c>
      <c r="D3236">
        <v>4.5522049999999998</v>
      </c>
      <c r="E3236">
        <v>0.48082429999999898</v>
      </c>
      <c r="F3236" t="s">
        <v>67</v>
      </c>
      <c r="G3236">
        <v>-356.40949999999998</v>
      </c>
      <c r="H3236" s="1">
        <v>1.8740219999999999E-6</v>
      </c>
      <c r="I3236">
        <v>280.2149</v>
      </c>
      <c r="J3236">
        <v>-292.20949999999999</v>
      </c>
      <c r="K3236">
        <v>1.1090100000000001</v>
      </c>
      <c r="L3236">
        <v>282.20600000000002</v>
      </c>
      <c r="M3236">
        <v>-0.99977199999999999</v>
      </c>
      <c r="N3236">
        <v>0</v>
      </c>
      <c r="O3236">
        <v>1.8732100000000002E-2</v>
      </c>
      <c r="P3236">
        <v>-0.99944219999999895</v>
      </c>
      <c r="Q3236">
        <v>2.602003E-2</v>
      </c>
      <c r="R3236">
        <v>2.0947230000000001E-2</v>
      </c>
      <c r="S3236">
        <v>-3.0048520000000001</v>
      </c>
      <c r="T3236">
        <v>-5.1710489999999998E-2</v>
      </c>
      <c r="U3236">
        <v>-9.2620850000000005E-2</v>
      </c>
      <c r="V3236">
        <v>2.2647069999999999E-3</v>
      </c>
      <c r="W3236">
        <v>3.627822E-2</v>
      </c>
      <c r="X3236">
        <v>0.99933919999999998</v>
      </c>
      <c r="Y3236">
        <v>-4.9517829999999999E-2</v>
      </c>
      <c r="Z3236">
        <v>-7.4822970000000002E-4</v>
      </c>
      <c r="AA3236">
        <v>0.99877300000000002</v>
      </c>
      <c r="AB3236">
        <v>41</v>
      </c>
      <c r="AC3236">
        <v>-64.199999999999903</v>
      </c>
      <c r="AD3236">
        <v>-1.109008125978</v>
      </c>
      <c r="AE3236">
        <v>-1.9910999999999599</v>
      </c>
      <c r="AF3236">
        <v>-3.1924628812266902</v>
      </c>
      <c r="AG3236">
        <v>-1.109008125978</v>
      </c>
      <c r="AH3236">
        <v>64.132316046023504</v>
      </c>
      <c r="AI3236">
        <v>90.989463638524001</v>
      </c>
      <c r="AJ3236">
        <v>92.849792406488206</v>
      </c>
      <c r="AK3236">
        <v>64.221302382453601</v>
      </c>
      <c r="AL3236">
        <v>87.920954971624099</v>
      </c>
      <c r="AM3236">
        <v>89.870156268459993</v>
      </c>
      <c r="AN3236">
        <v>1.0000000374004001</v>
      </c>
    </row>
    <row r="3237" spans="1:40" x14ac:dyDescent="0.25">
      <c r="A3237" t="str">
        <f>"20190312150724269"</f>
        <v>20190312150724269</v>
      </c>
      <c r="B3237" t="str">
        <f>"1552374444262976"</f>
        <v>1552374444262976</v>
      </c>
      <c r="C3237" t="s">
        <v>40</v>
      </c>
      <c r="D3237">
        <v>4.168914</v>
      </c>
      <c r="E3237">
        <v>0.48050209999999999</v>
      </c>
      <c r="F3237" t="s">
        <v>67</v>
      </c>
      <c r="G3237">
        <v>-360.48070000000001</v>
      </c>
      <c r="H3237" s="1">
        <v>-1.2809610000000001E-6</v>
      </c>
      <c r="I3237">
        <v>280.0822</v>
      </c>
      <c r="J3237">
        <v>-292.46929999999998</v>
      </c>
      <c r="K3237">
        <v>1.1090150000000001</v>
      </c>
      <c r="L3237">
        <v>282.21109999999999</v>
      </c>
      <c r="M3237">
        <v>-0.99976620000000005</v>
      </c>
      <c r="N3237">
        <v>0</v>
      </c>
      <c r="O3237">
        <v>1.9006660000000002E-2</v>
      </c>
      <c r="P3237">
        <v>-0.99943610000000005</v>
      </c>
      <c r="Q3237">
        <v>2.6007949999999998E-2</v>
      </c>
      <c r="R3237">
        <v>2.1240209999999999E-2</v>
      </c>
      <c r="S3237">
        <v>-3.004883</v>
      </c>
      <c r="T3237">
        <v>-4.881191E-2</v>
      </c>
      <c r="U3237">
        <v>-9.3475340000000004E-2</v>
      </c>
      <c r="V3237">
        <v>2.2834610000000001E-3</v>
      </c>
      <c r="W3237">
        <v>3.6300140000000002E-2</v>
      </c>
      <c r="X3237">
        <v>0.99933830000000001</v>
      </c>
      <c r="Y3237">
        <v>-5.0076540000000003E-2</v>
      </c>
      <c r="Z3237">
        <v>-7.1527979999999895E-4</v>
      </c>
      <c r="AA3237">
        <v>0.99874510000000005</v>
      </c>
      <c r="AB3237">
        <v>41</v>
      </c>
      <c r="AC3237">
        <v>-68.011399999999995</v>
      </c>
      <c r="AD3237">
        <v>-1.10901628096099</v>
      </c>
      <c r="AE3237">
        <v>-2.1288999999999798</v>
      </c>
      <c r="AF3237">
        <v>-3.4203450831272102</v>
      </c>
      <c r="AG3237">
        <v>-1.10901628096099</v>
      </c>
      <c r="AH3237">
        <v>67.940600013861896</v>
      </c>
      <c r="AI3237">
        <v>90.933991784758305</v>
      </c>
      <c r="AJ3237">
        <v>92.882017970954394</v>
      </c>
      <c r="AK3237">
        <v>68.035680402584902</v>
      </c>
      <c r="AL3237">
        <v>87.919698092826707</v>
      </c>
      <c r="AM3237">
        <v>89.869080920558503</v>
      </c>
      <c r="AN3237">
        <v>0.999999976102523</v>
      </c>
    </row>
    <row r="3238" spans="1:40" x14ac:dyDescent="0.25">
      <c r="A3238" t="str">
        <f>"20190312150724287"</f>
        <v>20190312150724287</v>
      </c>
      <c r="B3238" t="str">
        <f>"1552374444283471"</f>
        <v>1552374444283471</v>
      </c>
      <c r="C3238" t="s">
        <v>40</v>
      </c>
      <c r="D3238">
        <v>4.1416120000000003</v>
      </c>
      <c r="E3238">
        <v>0.48004940000000001</v>
      </c>
      <c r="F3238" t="s">
        <v>67</v>
      </c>
      <c r="G3238">
        <v>-366.2638</v>
      </c>
      <c r="H3238" s="1">
        <v>1.7964700000000001E-6</v>
      </c>
      <c r="I3238">
        <v>279.87799999999999</v>
      </c>
      <c r="J3238">
        <v>-292.78550000000001</v>
      </c>
      <c r="K3238">
        <v>1.1090199999999999</v>
      </c>
      <c r="L3238">
        <v>282.21730000000002</v>
      </c>
      <c r="M3238">
        <v>-0.99975959999999997</v>
      </c>
      <c r="N3238">
        <v>0</v>
      </c>
      <c r="O3238">
        <v>1.9339889999999998E-2</v>
      </c>
      <c r="P3238">
        <v>-0.99942790000000004</v>
      </c>
      <c r="Q3238">
        <v>2.586565E-2</v>
      </c>
      <c r="R3238">
        <v>2.1790960000000002E-2</v>
      </c>
      <c r="S3238">
        <v>-3.004883</v>
      </c>
      <c r="T3238">
        <v>-4.5158619999999997E-2</v>
      </c>
      <c r="U3238">
        <v>-9.5001219999999997E-2</v>
      </c>
      <c r="V3238">
        <v>2.5007810000000001E-3</v>
      </c>
      <c r="W3238">
        <v>3.6199120000000001E-2</v>
      </c>
      <c r="X3238">
        <v>0.99934149999999999</v>
      </c>
      <c r="Y3238">
        <v>-5.0917259999999999E-2</v>
      </c>
      <c r="Z3238">
        <v>-6.7306889999999996E-4</v>
      </c>
      <c r="AA3238">
        <v>0.9987026</v>
      </c>
      <c r="AB3238">
        <v>41</v>
      </c>
      <c r="AC3238">
        <v>-73.478299999999905</v>
      </c>
      <c r="AD3238">
        <v>-1.10901820352999</v>
      </c>
      <c r="AE3238">
        <v>-2.3393000000000299</v>
      </c>
      <c r="AF3238">
        <v>-3.7591450166111899</v>
      </c>
      <c r="AG3238">
        <v>-1.10901820352999</v>
      </c>
      <c r="AH3238">
        <v>73.402607043657099</v>
      </c>
      <c r="AI3238">
        <v>90.864466346192103</v>
      </c>
      <c r="AJ3238">
        <v>92.931709791826606</v>
      </c>
      <c r="AK3238">
        <v>73.507168449323402</v>
      </c>
      <c r="AL3238">
        <v>87.925490035018598</v>
      </c>
      <c r="AM3238">
        <v>89.856621687682704</v>
      </c>
      <c r="AN3238">
        <v>1.00000003190831</v>
      </c>
    </row>
    <row r="3239" spans="1:40" x14ac:dyDescent="0.25">
      <c r="A3239" t="str">
        <f>"20190312150724308"</f>
        <v>20190312150724308</v>
      </c>
      <c r="B3239" t="str">
        <f>"1552374444302992"</f>
        <v>1552374444302992</v>
      </c>
      <c r="C3239" t="s">
        <v>40</v>
      </c>
      <c r="D3239">
        <v>4.1612970000000002</v>
      </c>
      <c r="E3239">
        <v>0.4797207</v>
      </c>
      <c r="F3239" t="s">
        <v>67</v>
      </c>
      <c r="G3239">
        <v>-370.91579999999999</v>
      </c>
      <c r="H3239" s="1">
        <v>-1.049444E-6</v>
      </c>
      <c r="I3239">
        <v>279.69639999999998</v>
      </c>
      <c r="J3239">
        <v>-293.18369999999999</v>
      </c>
      <c r="K3239">
        <v>1.1090230000000001</v>
      </c>
      <c r="L3239">
        <v>282.22539999999998</v>
      </c>
      <c r="M3239">
        <v>-0.9997509</v>
      </c>
      <c r="N3239">
        <v>0</v>
      </c>
      <c r="O3239">
        <v>1.9760449999999999E-2</v>
      </c>
      <c r="P3239">
        <v>-0.99942609999999998</v>
      </c>
      <c r="Q3239">
        <v>2.5596819999999999E-2</v>
      </c>
      <c r="R3239">
        <v>2.2199799999999999E-2</v>
      </c>
      <c r="S3239">
        <v>-3.0049440000000001</v>
      </c>
      <c r="T3239">
        <v>-4.2653679999999999E-2</v>
      </c>
      <c r="U3239">
        <v>-9.6954349999999995E-2</v>
      </c>
      <c r="V3239">
        <v>2.488961E-3</v>
      </c>
      <c r="W3239">
        <v>3.5983250000000001E-2</v>
      </c>
      <c r="X3239">
        <v>0.9993493</v>
      </c>
      <c r="Y3239">
        <v>-5.198589E-2</v>
      </c>
      <c r="Z3239">
        <v>-6.4926879999999999E-4</v>
      </c>
      <c r="AA3239">
        <v>0.99864759999999997</v>
      </c>
      <c r="AB3239">
        <v>41</v>
      </c>
      <c r="AC3239">
        <v>-77.732100000000003</v>
      </c>
      <c r="AD3239">
        <v>-1.10902404944399</v>
      </c>
      <c r="AE3239">
        <v>-2.5289999999999901</v>
      </c>
      <c r="AF3239">
        <v>-4.0637837830156496</v>
      </c>
      <c r="AG3239">
        <v>-1.10902404944399</v>
      </c>
      <c r="AH3239">
        <v>77.651154235913197</v>
      </c>
      <c r="AI3239">
        <v>90.817132187822494</v>
      </c>
      <c r="AJ3239">
        <v>92.995775694703894</v>
      </c>
      <c r="AK3239">
        <v>77.765326638206403</v>
      </c>
      <c r="AL3239">
        <v>87.937866485038697</v>
      </c>
      <c r="AM3239">
        <v>89.857300479611794</v>
      </c>
      <c r="AN3239">
        <v>1.00000000630895</v>
      </c>
    </row>
    <row r="3240" spans="1:40" x14ac:dyDescent="0.25">
      <c r="A3240" t="str">
        <f>"20190312150724321"</f>
        <v>20190312150724321</v>
      </c>
      <c r="B3240" t="str">
        <f>"1552374444313727"</f>
        <v>1552374444313727</v>
      </c>
      <c r="C3240" t="s">
        <v>40</v>
      </c>
      <c r="D3240">
        <v>4.145397</v>
      </c>
      <c r="E3240">
        <v>0.47951139999999998</v>
      </c>
      <c r="F3240" t="s">
        <v>67</v>
      </c>
      <c r="G3240">
        <v>-372.99259999999998</v>
      </c>
      <c r="H3240">
        <v>5.5461669999999999E-4</v>
      </c>
      <c r="I3240">
        <v>279.61630000000002</v>
      </c>
      <c r="J3240">
        <v>-293.42590000000001</v>
      </c>
      <c r="K3240">
        <v>1.109027</v>
      </c>
      <c r="L3240">
        <v>282.23039999999997</v>
      </c>
      <c r="M3240">
        <v>-0.99974529999999995</v>
      </c>
      <c r="N3240">
        <v>0</v>
      </c>
      <c r="O3240">
        <v>2.001665E-2</v>
      </c>
      <c r="P3240">
        <v>-0.99942039999999999</v>
      </c>
      <c r="Q3240">
        <v>2.5514350000000002E-2</v>
      </c>
      <c r="R3240">
        <v>2.254072E-2</v>
      </c>
      <c r="S3240">
        <v>-3.0049440000000001</v>
      </c>
      <c r="T3240">
        <v>-4.1735769999999998E-2</v>
      </c>
      <c r="U3240">
        <v>-9.8236080000000003E-2</v>
      </c>
      <c r="V3240">
        <v>2.573615E-3</v>
      </c>
      <c r="W3240">
        <v>3.5933220000000002E-2</v>
      </c>
      <c r="X3240">
        <v>0.99935090000000004</v>
      </c>
      <c r="Y3240">
        <v>-5.2667529999999997E-2</v>
      </c>
      <c r="Z3240">
        <v>-6.4358349999999896E-4</v>
      </c>
      <c r="AA3240">
        <v>0.9986119</v>
      </c>
      <c r="AB3240">
        <v>41</v>
      </c>
      <c r="AC3240">
        <v>-79.566699999999898</v>
      </c>
      <c r="AD3240">
        <v>-1.1084723833000001</v>
      </c>
      <c r="AE3240">
        <v>-2.6140999999999499</v>
      </c>
      <c r="AF3240">
        <v>-4.2055061921875101</v>
      </c>
      <c r="AG3240">
        <v>-1.1084723833000001</v>
      </c>
      <c r="AH3240">
        <v>79.483018801360004</v>
      </c>
      <c r="AI3240">
        <v>90.797880805023894</v>
      </c>
      <c r="AJ3240">
        <v>93.028738446790797</v>
      </c>
      <c r="AK3240">
        <v>79.601917509155598</v>
      </c>
      <c r="AL3240">
        <v>87.940734877222596</v>
      </c>
      <c r="AM3240">
        <v>89.852447271915196</v>
      </c>
      <c r="AN3240">
        <v>1.0000000205622701</v>
      </c>
    </row>
    <row r="3241" spans="1:40" x14ac:dyDescent="0.25">
      <c r="A3241" t="str">
        <f>"20190312150724333"</f>
        <v>20190312150724333</v>
      </c>
      <c r="B3241" t="str">
        <f>"1552374444323018"</f>
        <v>1552374444323018</v>
      </c>
      <c r="C3241" t="s">
        <v>40</v>
      </c>
      <c r="D3241">
        <v>4.146522</v>
      </c>
      <c r="E3241">
        <v>0.47931370000000001</v>
      </c>
      <c r="F3241" t="s">
        <v>67</v>
      </c>
      <c r="G3241">
        <v>-372.7724</v>
      </c>
      <c r="H3241">
        <v>3.3211699999999997E-2</v>
      </c>
      <c r="I3241">
        <v>279.61630000000002</v>
      </c>
      <c r="J3241">
        <v>-293.63440000000003</v>
      </c>
      <c r="K3241">
        <v>1.109029</v>
      </c>
      <c r="L3241">
        <v>282.23469999999998</v>
      </c>
      <c r="M3241">
        <v>-0.99974059999999998</v>
      </c>
      <c r="N3241">
        <v>0</v>
      </c>
      <c r="O3241">
        <v>2.0236460000000001E-2</v>
      </c>
      <c r="P3241">
        <v>-0.99941120000000006</v>
      </c>
      <c r="Q3241">
        <v>2.5596750000000001E-2</v>
      </c>
      <c r="R3241">
        <v>2.2854490000000002E-2</v>
      </c>
      <c r="S3241">
        <v>-3.0050050000000001</v>
      </c>
      <c r="T3241">
        <v>-4.0743229999999998E-2</v>
      </c>
      <c r="U3241">
        <v>-9.8999019999999993E-2</v>
      </c>
      <c r="V3241">
        <v>2.6679439999999998E-3</v>
      </c>
      <c r="W3241">
        <v>3.6043289999999999E-2</v>
      </c>
      <c r="X3241">
        <v>0.99934670000000003</v>
      </c>
      <c r="Y3241">
        <v>-5.3139949999999998E-2</v>
      </c>
      <c r="Z3241">
        <v>-6.344457E-4</v>
      </c>
      <c r="AA3241">
        <v>0.99858690000000006</v>
      </c>
      <c r="AB3241">
        <v>41</v>
      </c>
      <c r="AC3241">
        <v>-79.137999999999906</v>
      </c>
      <c r="AD3241">
        <v>-1.0758173</v>
      </c>
      <c r="AE3241">
        <v>-2.6183999999999501</v>
      </c>
      <c r="AF3241">
        <v>-4.2186454221697698</v>
      </c>
      <c r="AG3241">
        <v>-1.0758173</v>
      </c>
      <c r="AH3241">
        <v>79.054209049468099</v>
      </c>
      <c r="AI3241">
        <v>90.778559723608893</v>
      </c>
      <c r="AJ3241">
        <v>93.054632149141497</v>
      </c>
      <c r="AK3241">
        <v>79.174000281013804</v>
      </c>
      <c r="AL3241">
        <v>87.934424266049604</v>
      </c>
      <c r="AM3241">
        <v>89.847038502235606</v>
      </c>
      <c r="AN3241">
        <v>1.0000000317400499</v>
      </c>
    </row>
    <row r="3242" spans="1:40" x14ac:dyDescent="0.25">
      <c r="A3242" t="str">
        <f>"20190312150724344"</f>
        <v>20190312150724344</v>
      </c>
      <c r="B3242" t="str">
        <f>"1552374444333755"</f>
        <v>1552374444333755</v>
      </c>
      <c r="C3242" t="s">
        <v>40</v>
      </c>
      <c r="D3242">
        <v>4.2074249999999997</v>
      </c>
      <c r="E3242">
        <v>0.47904289999999999</v>
      </c>
      <c r="F3242" t="s">
        <v>67</v>
      </c>
      <c r="G3242">
        <v>-372.71960000000001</v>
      </c>
      <c r="H3242">
        <v>5.3897309999999997E-2</v>
      </c>
      <c r="I3242">
        <v>279.61239999999998</v>
      </c>
      <c r="J3242">
        <v>-293.84350000000001</v>
      </c>
      <c r="K3242">
        <v>1.109035</v>
      </c>
      <c r="L3242">
        <v>282.23910000000001</v>
      </c>
      <c r="M3242">
        <v>-0.99973590000000001</v>
      </c>
      <c r="N3242">
        <v>0</v>
      </c>
      <c r="O3242">
        <v>2.0456740000000001E-2</v>
      </c>
      <c r="P3242">
        <v>-0.99940649999999998</v>
      </c>
      <c r="Q3242">
        <v>2.5330700000000001E-2</v>
      </c>
      <c r="R3242">
        <v>2.3354590000000001E-2</v>
      </c>
      <c r="S3242">
        <v>-3.0050349999999999</v>
      </c>
      <c r="T3242">
        <v>-4.0092349999999999E-2</v>
      </c>
      <c r="U3242">
        <v>-9.9639889999999995E-2</v>
      </c>
      <c r="V3242">
        <v>2.947496E-3</v>
      </c>
      <c r="W3242">
        <v>3.5805499999999997E-2</v>
      </c>
      <c r="X3242">
        <v>0.99935439999999998</v>
      </c>
      <c r="Y3242">
        <v>-5.3572540000000002E-2</v>
      </c>
      <c r="Z3242">
        <v>-6.3012579999999999E-4</v>
      </c>
      <c r="AA3242">
        <v>0.9985638</v>
      </c>
      <c r="AB3242">
        <v>41</v>
      </c>
      <c r="AC3242">
        <v>-78.876099999999994</v>
      </c>
      <c r="AD3242">
        <v>-1.05513769</v>
      </c>
      <c r="AE3242">
        <v>-2.62670000000002</v>
      </c>
      <c r="AF3242">
        <v>-4.2390288890268799</v>
      </c>
      <c r="AG3242">
        <v>-1.05513769</v>
      </c>
      <c r="AH3242">
        <v>78.791771803669207</v>
      </c>
      <c r="AI3242">
        <v>90.766121053473498</v>
      </c>
      <c r="AJ3242">
        <v>93.079566930391394</v>
      </c>
      <c r="AK3242">
        <v>78.912774538906802</v>
      </c>
      <c r="AL3242">
        <v>87.948057300699404</v>
      </c>
      <c r="AM3242">
        <v>89.831012310304104</v>
      </c>
      <c r="AN3242">
        <v>0.99999996918113898</v>
      </c>
    </row>
    <row r="3243" spans="1:40" x14ac:dyDescent="0.25">
      <c r="A3243" t="str">
        <f>"20190312150724356"</f>
        <v>20190312150724356</v>
      </c>
      <c r="B3243" t="str">
        <f>"1552374444353274"</f>
        <v>1552374444353274</v>
      </c>
      <c r="C3243" t="s">
        <v>40</v>
      </c>
      <c r="D3243">
        <v>4.4781719999999998</v>
      </c>
      <c r="E3243">
        <v>0.47860469999999999</v>
      </c>
      <c r="F3243" t="s">
        <v>67</v>
      </c>
      <c r="G3243">
        <v>-372.63139999999999</v>
      </c>
      <c r="H3243">
        <v>5.8000169999999997E-2</v>
      </c>
      <c r="I3243">
        <v>279.60829999999999</v>
      </c>
      <c r="J3243">
        <v>-294.05950000000001</v>
      </c>
      <c r="K3243">
        <v>1.109038</v>
      </c>
      <c r="L3243">
        <v>282.24369999999999</v>
      </c>
      <c r="M3243">
        <v>-0.99973089999999998</v>
      </c>
      <c r="N3243">
        <v>0</v>
      </c>
      <c r="O3243">
        <v>2.068453E-2</v>
      </c>
      <c r="P3243">
        <v>-0.99939909999999998</v>
      </c>
      <c r="Q3243">
        <v>2.533521E-2</v>
      </c>
      <c r="R3243">
        <v>2.3658930000000002E-2</v>
      </c>
      <c r="S3243">
        <v>-3.0051269999999999</v>
      </c>
      <c r="T3243">
        <v>-4.0088529999999997E-2</v>
      </c>
      <c r="U3243">
        <v>-0.10034179999999999</v>
      </c>
      <c r="V3243">
        <v>3.0240940000000002E-3</v>
      </c>
      <c r="W3243">
        <v>3.583886E-2</v>
      </c>
      <c r="X3243">
        <v>0.99935300000000005</v>
      </c>
      <c r="Y3243">
        <v>-5.4031969999999999E-2</v>
      </c>
      <c r="Z3243">
        <v>-6.3614569999999998E-4</v>
      </c>
      <c r="AA3243">
        <v>0.99853899999999995</v>
      </c>
      <c r="AB3243">
        <v>41</v>
      </c>
      <c r="AC3243">
        <v>-78.5718999999999</v>
      </c>
      <c r="AD3243">
        <v>-1.0510378300000001</v>
      </c>
      <c r="AE3243">
        <v>-2.6354000000000002</v>
      </c>
      <c r="AF3243">
        <v>-4.2593872338987397</v>
      </c>
      <c r="AG3243">
        <v>-1.0510378300000001</v>
      </c>
      <c r="AH3243">
        <v>78.486544415723998</v>
      </c>
      <c r="AI3243">
        <v>90.766092664175702</v>
      </c>
      <c r="AJ3243">
        <v>93.106338228026999</v>
      </c>
      <c r="AK3243">
        <v>78.609062546565198</v>
      </c>
      <c r="AL3243">
        <v>87.946144736506795</v>
      </c>
      <c r="AM3243">
        <v>89.826620529299205</v>
      </c>
      <c r="AN3243">
        <v>0.99999999381980997</v>
      </c>
    </row>
    <row r="3244" spans="1:40" x14ac:dyDescent="0.25">
      <c r="A3244" t="str">
        <f>"20190312150724367"</f>
        <v>20190312150724367</v>
      </c>
      <c r="B3244" t="str">
        <f>"1552374444363034"</f>
        <v>1552374444363034</v>
      </c>
      <c r="C3244" t="s">
        <v>40</v>
      </c>
      <c r="D3244">
        <v>4.1574159999999996</v>
      </c>
      <c r="E3244">
        <v>0.47849079999999999</v>
      </c>
      <c r="F3244" t="s">
        <v>67</v>
      </c>
      <c r="G3244">
        <v>-374.94740000000002</v>
      </c>
      <c r="H3244">
        <v>8.0000009999999996E-2</v>
      </c>
      <c r="I3244">
        <v>279.47800000000001</v>
      </c>
      <c r="J3244">
        <v>-294.26260000000002</v>
      </c>
      <c r="K3244">
        <v>1.1090439999999999</v>
      </c>
      <c r="L3244">
        <v>282.24799999999999</v>
      </c>
      <c r="M3244">
        <v>-0.99972620000000001</v>
      </c>
      <c r="N3244">
        <v>0</v>
      </c>
      <c r="O3244">
        <v>2.089825E-2</v>
      </c>
      <c r="P3244">
        <v>-0.99939630000000002</v>
      </c>
      <c r="Q3244">
        <v>2.509306E-2</v>
      </c>
      <c r="R3244">
        <v>2.4036829999999999E-2</v>
      </c>
      <c r="S3244">
        <v>-3.0052189999999999</v>
      </c>
      <c r="T3244">
        <v>-3.8231729999999998E-2</v>
      </c>
      <c r="U3244">
        <v>-0.1027527</v>
      </c>
      <c r="V3244">
        <v>3.1881029999999999E-3</v>
      </c>
      <c r="W3244">
        <v>3.5624900000000001E-2</v>
      </c>
      <c r="X3244">
        <v>0.99936009999999997</v>
      </c>
      <c r="Y3244">
        <v>-5.5045049999999998E-2</v>
      </c>
      <c r="Z3244">
        <v>-6.1581750000000001E-4</v>
      </c>
      <c r="AA3244">
        <v>0.99848369999999997</v>
      </c>
      <c r="AB3244">
        <v>41</v>
      </c>
      <c r="AC3244">
        <v>-80.684799999999996</v>
      </c>
      <c r="AD3244">
        <v>-1.0290439899999999</v>
      </c>
      <c r="AE3244">
        <v>-2.76999999999998</v>
      </c>
      <c r="AF3244">
        <v>-4.4549357267718204</v>
      </c>
      <c r="AG3244">
        <v>-1.0290439899999999</v>
      </c>
      <c r="AH3244">
        <v>80.596191297512703</v>
      </c>
      <c r="AI3244">
        <v>90.730392137656196</v>
      </c>
      <c r="AJ3244">
        <v>93.163791395702802</v>
      </c>
      <c r="AK3244">
        <v>80.725779250052994</v>
      </c>
      <c r="AL3244">
        <v>87.958411492661597</v>
      </c>
      <c r="AM3244">
        <v>89.817218811421895</v>
      </c>
      <c r="AN3244">
        <v>0.99999995348637805</v>
      </c>
    </row>
    <row r="3245" spans="1:40" x14ac:dyDescent="0.25">
      <c r="A3245" t="str">
        <f>"20190312150724378"</f>
        <v>20190312150724378</v>
      </c>
      <c r="B3245" t="str">
        <f>"1552374444373770"</f>
        <v>1552374444373770</v>
      </c>
      <c r="C3245" t="s">
        <v>40</v>
      </c>
      <c r="D3245">
        <v>4.1997390000000001</v>
      </c>
      <c r="E3245">
        <v>0.4784813</v>
      </c>
      <c r="F3245" t="s">
        <v>67</v>
      </c>
      <c r="G3245">
        <v>-376.0514</v>
      </c>
      <c r="H3245">
        <v>8.0001149999999993E-2</v>
      </c>
      <c r="I3245">
        <v>279.4599</v>
      </c>
      <c r="J3245">
        <v>-294.47519999999997</v>
      </c>
      <c r="K3245">
        <v>1.1090469999999999</v>
      </c>
      <c r="L3245">
        <v>282.25259999999997</v>
      </c>
      <c r="M3245">
        <v>-0.99972110000000003</v>
      </c>
      <c r="N3245">
        <v>0</v>
      </c>
      <c r="O3245">
        <v>2.1122100000000001E-2</v>
      </c>
      <c r="P3245">
        <v>-0.99938199999999999</v>
      </c>
      <c r="Q3245">
        <v>2.527712E-2</v>
      </c>
      <c r="R3245">
        <v>2.4436039999999999E-2</v>
      </c>
      <c r="S3245">
        <v>-3.0052189999999999</v>
      </c>
      <c r="T3245">
        <v>-3.7810799999999999E-2</v>
      </c>
      <c r="U3245">
        <v>-0.1024475</v>
      </c>
      <c r="V3245">
        <v>3.3640179999999999E-3</v>
      </c>
      <c r="W3245">
        <v>3.5840289999999997E-2</v>
      </c>
      <c r="X3245">
        <v>0.99935189999999996</v>
      </c>
      <c r="Y3245">
        <v>-5.5167460000000001E-2</v>
      </c>
      <c r="Z3245">
        <v>-6.1262459999999997E-4</v>
      </c>
      <c r="AA3245">
        <v>0.9984769</v>
      </c>
      <c r="AB3245">
        <v>41</v>
      </c>
      <c r="AC3245">
        <v>-81.5762</v>
      </c>
      <c r="AD3245">
        <v>-1.0290458499999999</v>
      </c>
      <c r="AE3245">
        <v>-2.79269999999996</v>
      </c>
      <c r="AF3245">
        <v>-4.5145161416796196</v>
      </c>
      <c r="AG3245">
        <v>-1.0290458499999999</v>
      </c>
      <c r="AH3245">
        <v>81.486056217177406</v>
      </c>
      <c r="AI3245">
        <v>90.722412994909902</v>
      </c>
      <c r="AJ3245">
        <v>93.171077014965206</v>
      </c>
      <c r="AK3245">
        <v>81.617505163928399</v>
      </c>
      <c r="AL3245">
        <v>87.9460628283353</v>
      </c>
      <c r="AM3245">
        <v>89.807131696454903</v>
      </c>
      <c r="AN3245">
        <v>1.0000000315189901</v>
      </c>
    </row>
    <row r="3246" spans="1:40" x14ac:dyDescent="0.25">
      <c r="A3246" t="str">
        <f>"20190312150724391"</f>
        <v>20190312150724391</v>
      </c>
      <c r="B3246" t="str">
        <f>"1552374444383531"</f>
        <v>1552374444383531</v>
      </c>
      <c r="C3246" t="s">
        <v>40</v>
      </c>
      <c r="D3246">
        <v>4.25204</v>
      </c>
      <c r="E3246">
        <v>0.47871459999999999</v>
      </c>
      <c r="F3246" t="s">
        <v>67</v>
      </c>
      <c r="G3246">
        <v>-377.77679999999998</v>
      </c>
      <c r="H3246">
        <v>8.0000650000000006E-2</v>
      </c>
      <c r="I3246">
        <v>279.44080000000002</v>
      </c>
      <c r="J3246">
        <v>-294.71120000000002</v>
      </c>
      <c r="K3246">
        <v>1.1090519999999999</v>
      </c>
      <c r="L3246">
        <v>282.25779999999997</v>
      </c>
      <c r="M3246">
        <v>-0.99971540000000003</v>
      </c>
      <c r="N3246">
        <v>0</v>
      </c>
      <c r="O3246">
        <v>2.1370770000000001E-2</v>
      </c>
      <c r="P3246">
        <v>-0.99937390000000004</v>
      </c>
      <c r="Q3246">
        <v>2.5423399999999999E-2</v>
      </c>
      <c r="R3246">
        <v>2.461464E-2</v>
      </c>
      <c r="S3246">
        <v>-3.0052490000000001</v>
      </c>
      <c r="T3246">
        <v>-3.7124629999999999E-2</v>
      </c>
      <c r="U3246">
        <v>-0.1014404</v>
      </c>
      <c r="V3246">
        <v>3.294281E-3</v>
      </c>
      <c r="W3246">
        <v>3.6021850000000001E-2</v>
      </c>
      <c r="X3246">
        <v>0.99934559999999995</v>
      </c>
      <c r="Y3246">
        <v>-5.5081489999999997E-2</v>
      </c>
      <c r="Z3246">
        <v>-6.0404549999999995E-4</v>
      </c>
      <c r="AA3246">
        <v>0.99848170000000003</v>
      </c>
      <c r="AB3246">
        <v>41</v>
      </c>
      <c r="AC3246">
        <v>-83.065599999999904</v>
      </c>
      <c r="AD3246">
        <v>-1.02905135</v>
      </c>
      <c r="AE3246">
        <v>-2.81699999999995</v>
      </c>
      <c r="AF3246">
        <v>-4.5909284187327204</v>
      </c>
      <c r="AG3246">
        <v>-1.02905135</v>
      </c>
      <c r="AH3246">
        <v>82.973702835003095</v>
      </c>
      <c r="AI3246">
        <v>90.7094687178611</v>
      </c>
      <c r="AJ3246">
        <v>93.166941826557604</v>
      </c>
      <c r="AK3246">
        <v>83.106984860348902</v>
      </c>
      <c r="AL3246">
        <v>87.935653476180207</v>
      </c>
      <c r="AM3246">
        <v>89.811128688457501</v>
      </c>
      <c r="AN3246">
        <v>1.0000000271020399</v>
      </c>
    </row>
    <row r="3247" spans="1:40" x14ac:dyDescent="0.25">
      <c r="A3247" t="str">
        <f>"20190312150724403"</f>
        <v>20190312150724403</v>
      </c>
      <c r="B3247" t="str">
        <f>"1552374444393292"</f>
        <v>1552374444393292</v>
      </c>
      <c r="C3247" t="s">
        <v>40</v>
      </c>
      <c r="D3247">
        <v>4.3920789999999998</v>
      </c>
      <c r="E3247">
        <v>0.47871459999999999</v>
      </c>
      <c r="F3247" t="s">
        <v>67</v>
      </c>
      <c r="G3247">
        <v>-381.49130000000002</v>
      </c>
      <c r="H3247">
        <v>8.0001020000000006E-2</v>
      </c>
      <c r="I3247">
        <v>279.39819999999997</v>
      </c>
      <c r="J3247">
        <v>-294.92450000000002</v>
      </c>
      <c r="K3247">
        <v>1.1090549999999999</v>
      </c>
      <c r="L3247">
        <v>282.26260000000002</v>
      </c>
      <c r="M3247">
        <v>-0.99971030000000005</v>
      </c>
      <c r="N3247">
        <v>0</v>
      </c>
      <c r="O3247">
        <v>2.159544E-2</v>
      </c>
      <c r="P3247">
        <v>-0.99936590000000003</v>
      </c>
      <c r="Q3247">
        <v>2.544134E-2</v>
      </c>
      <c r="R3247">
        <v>2.491318E-2</v>
      </c>
      <c r="S3247">
        <v>-3.0052189999999999</v>
      </c>
      <c r="T3247">
        <v>-3.5636309999999997E-2</v>
      </c>
      <c r="U3247">
        <v>-9.9029539999999999E-2</v>
      </c>
      <c r="V3247">
        <v>3.368369E-3</v>
      </c>
      <c r="W3247">
        <v>3.6072840000000002E-2</v>
      </c>
      <c r="X3247">
        <v>0.99934350000000005</v>
      </c>
      <c r="Y3247">
        <v>-5.4506569999999997E-2</v>
      </c>
      <c r="Z3247">
        <v>-5.790999E-4</v>
      </c>
      <c r="AA3247">
        <v>0.99851319999999999</v>
      </c>
      <c r="AB3247">
        <v>41</v>
      </c>
      <c r="AC3247">
        <v>-86.566800000000001</v>
      </c>
      <c r="AD3247">
        <v>-1.02905397999999</v>
      </c>
      <c r="AE3247">
        <v>-2.8644000000000398</v>
      </c>
      <c r="AF3247">
        <v>-4.7326176099345503</v>
      </c>
      <c r="AG3247">
        <v>-1.02905397999999</v>
      </c>
      <c r="AH3247">
        <v>86.472542025301493</v>
      </c>
      <c r="AI3247">
        <v>90.680789213495103</v>
      </c>
      <c r="AJ3247">
        <v>93.132656405314705</v>
      </c>
      <c r="AK3247">
        <v>86.608066286305899</v>
      </c>
      <c r="AL3247">
        <v>87.932730036033306</v>
      </c>
      <c r="AM3247">
        <v>89.806880620433802</v>
      </c>
      <c r="AN3247">
        <v>1.0000000133438101</v>
      </c>
    </row>
    <row r="3248" spans="1:40" x14ac:dyDescent="0.25">
      <c r="A3248" t="str">
        <f>"20190312150724414"</f>
        <v>20190312150724414</v>
      </c>
      <c r="B3248" t="str">
        <f>"1552374444403051"</f>
        <v>1552374444403051</v>
      </c>
      <c r="C3248" t="s">
        <v>40</v>
      </c>
      <c r="D3248">
        <v>4.1901599999999997</v>
      </c>
      <c r="E3248">
        <v>0.49684719999999999</v>
      </c>
      <c r="F3248" t="s">
        <v>67</v>
      </c>
      <c r="G3248">
        <v>-381.66739999999999</v>
      </c>
      <c r="H3248">
        <v>8.0000970000000005E-2</v>
      </c>
      <c r="I3248">
        <v>279.4341</v>
      </c>
      <c r="J3248">
        <v>-295.1259</v>
      </c>
      <c r="K3248">
        <v>1.109059</v>
      </c>
      <c r="L3248">
        <v>282.26710000000003</v>
      </c>
      <c r="M3248">
        <v>-0.99970519999999996</v>
      </c>
      <c r="N3248">
        <v>0</v>
      </c>
      <c r="O3248">
        <v>2.1808000000000001E-2</v>
      </c>
      <c r="P3248">
        <v>-0.99935929999999995</v>
      </c>
      <c r="Q3248">
        <v>2.5571610000000002E-2</v>
      </c>
      <c r="R3248">
        <v>2.5049889999999998E-2</v>
      </c>
      <c r="S3248">
        <v>-3.005188</v>
      </c>
      <c r="T3248">
        <v>-3.5651330000000002E-2</v>
      </c>
      <c r="U3248">
        <v>-9.799194E-2</v>
      </c>
      <c r="V3248">
        <v>3.292854E-3</v>
      </c>
      <c r="W3248">
        <v>3.6236770000000001E-2</v>
      </c>
      <c r="X3248">
        <v>0.99933780000000005</v>
      </c>
      <c r="Y3248">
        <v>-5.4374829999999999E-2</v>
      </c>
      <c r="Z3248">
        <v>-5.8109280000000001E-4</v>
      </c>
      <c r="AA3248">
        <v>0.99852039999999997</v>
      </c>
      <c r="AB3248">
        <v>41</v>
      </c>
      <c r="AC3248">
        <v>-86.5414999999999</v>
      </c>
      <c r="AD3248">
        <v>-1.0290580300000001</v>
      </c>
      <c r="AE3248">
        <v>-2.8330000000000202</v>
      </c>
      <c r="AF3248">
        <v>-4.7190641841452203</v>
      </c>
      <c r="AG3248">
        <v>-1.0290580300000001</v>
      </c>
      <c r="AH3248">
        <v>86.4469205480694</v>
      </c>
      <c r="AI3248">
        <v>90.680998865416299</v>
      </c>
      <c r="AJ3248">
        <v>93.124626774069</v>
      </c>
      <c r="AK3248">
        <v>86.581745185965204</v>
      </c>
      <c r="AL3248">
        <v>87.9233313507806</v>
      </c>
      <c r="AM3248">
        <v>89.811209028662603</v>
      </c>
      <c r="AN3248">
        <v>0.99999999244816895</v>
      </c>
    </row>
    <row r="3249" spans="1:40" x14ac:dyDescent="0.25">
      <c r="A3249" t="str">
        <f>"20190312150724431"</f>
        <v>20190312150724431</v>
      </c>
      <c r="B3249" t="str">
        <f>"1552374444423078"</f>
        <v>1552374444423078</v>
      </c>
      <c r="C3249" t="s">
        <v>40</v>
      </c>
      <c r="D3249">
        <v>4.1910590000000001</v>
      </c>
      <c r="E3249">
        <v>0.49707269999999998</v>
      </c>
      <c r="F3249" t="s">
        <v>48</v>
      </c>
      <c r="G3249">
        <v>0</v>
      </c>
      <c r="H3249">
        <v>0</v>
      </c>
      <c r="I3249">
        <v>0</v>
      </c>
      <c r="J3249">
        <v>-295.45870000000002</v>
      </c>
      <c r="K3249">
        <v>1.10907</v>
      </c>
      <c r="L3249">
        <v>282.2747</v>
      </c>
      <c r="M3249">
        <v>-0.9996969</v>
      </c>
      <c r="N3249">
        <v>0</v>
      </c>
      <c r="O3249">
        <v>2.2158669999999998E-2</v>
      </c>
      <c r="P3249">
        <v>-0.99934299999999998</v>
      </c>
      <c r="Q3249">
        <v>2.5552459999999999E-2</v>
      </c>
      <c r="R3249">
        <v>2.569892E-2</v>
      </c>
      <c r="S3249">
        <v>-2.999695</v>
      </c>
      <c r="T3249">
        <v>3.9567230000000002E-2</v>
      </c>
      <c r="U3249">
        <v>4.9224850000000001E-2</v>
      </c>
      <c r="V3249">
        <v>3.5913759999999999E-3</v>
      </c>
      <c r="W3249">
        <v>3.627536E-2</v>
      </c>
      <c r="X3249">
        <v>0.99933539999999998</v>
      </c>
      <c r="Y3249">
        <v>-5.7508180000000004E-3</v>
      </c>
      <c r="Z3249">
        <v>3.3015889999999997E-4</v>
      </c>
      <c r="AA3249">
        <v>0.99998339999999997</v>
      </c>
      <c r="AB3249">
        <v>41</v>
      </c>
      <c r="AC3249">
        <v>-2.999695</v>
      </c>
      <c r="AD3249">
        <v>3.9567230000000002E-2</v>
      </c>
      <c r="AE3249">
        <v>4.9224850000000001E-2</v>
      </c>
      <c r="AF3249">
        <v>-1.7257313288232799E-2</v>
      </c>
      <c r="AG3249">
        <v>3.9567230000000002E-2</v>
      </c>
      <c r="AH3249">
        <v>2.99952747101876</v>
      </c>
      <c r="AI3249">
        <v>89.244258865577393</v>
      </c>
      <c r="AJ3249">
        <v>90.329638690480294</v>
      </c>
      <c r="AK3249">
        <v>2.9998380672876301</v>
      </c>
      <c r="AL3249">
        <v>87.921118910763397</v>
      </c>
      <c r="AM3249">
        <v>89.794093352843404</v>
      </c>
      <c r="AN3249">
        <v>1.0000000207089299</v>
      </c>
    </row>
    <row r="3250" spans="1:40" x14ac:dyDescent="0.25">
      <c r="A3250" t="str">
        <f>"20190312150724443"</f>
        <v>20190312150724443</v>
      </c>
      <c r="B3250" t="str">
        <f>"1552374444433815"</f>
        <v>1552374444433815</v>
      </c>
      <c r="C3250" t="s">
        <v>40</v>
      </c>
      <c r="D3250">
        <v>4.1686139999999998</v>
      </c>
      <c r="E3250">
        <v>0.49682520000000002</v>
      </c>
      <c r="F3250" t="s">
        <v>48</v>
      </c>
      <c r="G3250">
        <v>0</v>
      </c>
      <c r="H3250">
        <v>0</v>
      </c>
      <c r="I3250">
        <v>0</v>
      </c>
      <c r="J3250">
        <v>-295.68040000000002</v>
      </c>
      <c r="K3250">
        <v>1.1090739999999999</v>
      </c>
      <c r="L3250">
        <v>282.27969999999999</v>
      </c>
      <c r="M3250">
        <v>-0.9996912</v>
      </c>
      <c r="N3250">
        <v>0</v>
      </c>
      <c r="O3250">
        <v>2.2392180000000001E-2</v>
      </c>
      <c r="P3250">
        <v>-0.99933859999999997</v>
      </c>
      <c r="Q3250">
        <v>2.5310860000000001E-2</v>
      </c>
      <c r="R3250">
        <v>2.6111100000000002E-2</v>
      </c>
      <c r="S3250">
        <v>-2.9995419999999999</v>
      </c>
      <c r="T3250">
        <v>4.3488980000000003E-2</v>
      </c>
      <c r="U3250">
        <v>5.2886959999999997E-2</v>
      </c>
      <c r="V3250">
        <v>3.7699579999999999E-3</v>
      </c>
      <c r="W3250">
        <v>3.6074750000000003E-2</v>
      </c>
      <c r="X3250">
        <v>0.99934199999999995</v>
      </c>
      <c r="Y3250">
        <v>-4.7626270000000002E-3</v>
      </c>
      <c r="Z3250">
        <v>3.5911519999999998E-4</v>
      </c>
      <c r="AA3250">
        <v>0.99998860000000001</v>
      </c>
      <c r="AB3250">
        <v>41</v>
      </c>
      <c r="AC3250">
        <v>-2.9995419999999999</v>
      </c>
      <c r="AD3250">
        <v>4.3488980000000003E-2</v>
      </c>
      <c r="AE3250">
        <v>5.2886959999999997E-2</v>
      </c>
      <c r="AF3250">
        <v>-1.42934821078274E-2</v>
      </c>
      <c r="AG3250">
        <v>4.3488980000000003E-2</v>
      </c>
      <c r="AH3250">
        <v>2.9993438525610099</v>
      </c>
      <c r="AI3250">
        <v>89.169307605534797</v>
      </c>
      <c r="AJ3250">
        <v>90.273043052105905</v>
      </c>
      <c r="AK3250">
        <v>2.9996931744609698</v>
      </c>
      <c r="AL3250">
        <v>87.932620536488798</v>
      </c>
      <c r="AM3250">
        <v>89.783856119643104</v>
      </c>
      <c r="AN3250">
        <v>1.0000000165674401</v>
      </c>
    </row>
    <row r="3251" spans="1:40" x14ac:dyDescent="0.25">
      <c r="A3251" t="str">
        <f>"20190312150724457"</f>
        <v>20190312150724457</v>
      </c>
      <c r="B3251" t="str">
        <f>"1552374444453335"</f>
        <v>1552374444453335</v>
      </c>
      <c r="C3251" t="s">
        <v>40</v>
      </c>
      <c r="D3251">
        <v>4.4021059999999999</v>
      </c>
      <c r="E3251">
        <v>0.4965485</v>
      </c>
      <c r="F3251" t="s">
        <v>48</v>
      </c>
      <c r="G3251">
        <v>0</v>
      </c>
      <c r="H3251">
        <v>0</v>
      </c>
      <c r="I3251">
        <v>0</v>
      </c>
      <c r="J3251">
        <v>-295.91919999999999</v>
      </c>
      <c r="K3251">
        <v>1.1090819999999999</v>
      </c>
      <c r="L3251">
        <v>282.28519999999997</v>
      </c>
      <c r="M3251">
        <v>-0.99968489999999999</v>
      </c>
      <c r="N3251">
        <v>0</v>
      </c>
      <c r="O3251">
        <v>2.264364E-2</v>
      </c>
      <c r="P3251">
        <v>-0.99933280000000002</v>
      </c>
      <c r="Q3251">
        <v>2.5076319999999999E-2</v>
      </c>
      <c r="R3251">
        <v>2.6553279999999999E-2</v>
      </c>
      <c r="S3251">
        <v>-2.9995419999999999</v>
      </c>
      <c r="T3251">
        <v>4.1679979999999998E-2</v>
      </c>
      <c r="U3251">
        <v>5.2093510000000003E-2</v>
      </c>
      <c r="V3251">
        <v>3.9605229999999996E-3</v>
      </c>
      <c r="W3251">
        <v>3.5891279999999998E-2</v>
      </c>
      <c r="X3251">
        <v>0.99934789999999996</v>
      </c>
      <c r="Y3251">
        <v>-5.2787759999999998E-3</v>
      </c>
      <c r="Z3251">
        <v>3.5125830000000001E-4</v>
      </c>
      <c r="AA3251">
        <v>0.99998600000000004</v>
      </c>
      <c r="AB3251">
        <v>41</v>
      </c>
      <c r="AC3251">
        <v>-2.9995419999999999</v>
      </c>
      <c r="AD3251">
        <v>4.1679979999999998E-2</v>
      </c>
      <c r="AE3251">
        <v>5.2093510000000003E-2</v>
      </c>
      <c r="AF3251">
        <v>-1.58413259273507E-2</v>
      </c>
      <c r="AG3251">
        <v>4.1679979999999998E-2</v>
      </c>
      <c r="AH3251">
        <v>2.99937352795529</v>
      </c>
      <c r="AI3251">
        <v>89.203867100227797</v>
      </c>
      <c r="AJ3251">
        <v>90.302607417764406</v>
      </c>
      <c r="AK3251">
        <v>2.9997049402464402</v>
      </c>
      <c r="AL3251">
        <v>87.943139468605594</v>
      </c>
      <c r="AM3251">
        <v>89.772931864317997</v>
      </c>
      <c r="AN3251">
        <v>1.0000000474784301</v>
      </c>
    </row>
    <row r="3252" spans="1:40" x14ac:dyDescent="0.25">
      <c r="A3252" t="str">
        <f>"20190312150724477"</f>
        <v>20190312150724477</v>
      </c>
      <c r="B3252" t="str">
        <f>"1552374444473830"</f>
        <v>1552374444473830</v>
      </c>
      <c r="C3252" t="s">
        <v>40</v>
      </c>
      <c r="D3252">
        <v>4.1969640000000004</v>
      </c>
      <c r="E3252">
        <v>0.49524230000000002</v>
      </c>
      <c r="F3252" t="s">
        <v>48</v>
      </c>
      <c r="G3252">
        <v>0</v>
      </c>
      <c r="H3252">
        <v>0</v>
      </c>
      <c r="I3252">
        <v>0</v>
      </c>
      <c r="J3252">
        <v>-296.28280000000001</v>
      </c>
      <c r="K3252">
        <v>1.109091</v>
      </c>
      <c r="L3252">
        <v>282.29379999999998</v>
      </c>
      <c r="M3252">
        <v>-0.99967530000000004</v>
      </c>
      <c r="N3252">
        <v>0</v>
      </c>
      <c r="O3252">
        <v>2.302647E-2</v>
      </c>
      <c r="P3252">
        <v>-0.99932480000000001</v>
      </c>
      <c r="Q3252">
        <v>2.5039490000000001E-2</v>
      </c>
      <c r="R3252">
        <v>2.6888570000000001E-2</v>
      </c>
      <c r="S3252">
        <v>-2.999603</v>
      </c>
      <c r="T3252">
        <v>4.1502480000000001E-2</v>
      </c>
      <c r="U3252">
        <v>5.1330569999999999E-2</v>
      </c>
      <c r="V3252">
        <v>3.9132200000000002E-3</v>
      </c>
      <c r="W3252">
        <v>3.5942740000000001E-2</v>
      </c>
      <c r="X3252">
        <v>0.99934619999999996</v>
      </c>
      <c r="Y3252">
        <v>-5.9162900000000003E-3</v>
      </c>
      <c r="Z3252">
        <v>3.594615E-4</v>
      </c>
      <c r="AA3252">
        <v>0.99998240000000005</v>
      </c>
      <c r="AB3252">
        <v>41</v>
      </c>
      <c r="AC3252">
        <v>-2.999603</v>
      </c>
      <c r="AD3252">
        <v>4.1502480000000001E-2</v>
      </c>
      <c r="AE3252">
        <v>5.1330569999999999E-2</v>
      </c>
      <c r="AF3252">
        <v>-1.7754025062095401E-2</v>
      </c>
      <c r="AG3252">
        <v>4.1502480000000001E-2</v>
      </c>
      <c r="AH3252">
        <v>2.99941558584311</v>
      </c>
      <c r="AI3252">
        <v>89.207271054197406</v>
      </c>
      <c r="AJ3252">
        <v>90.339139007751996</v>
      </c>
      <c r="AK3252">
        <v>2.9997552429907799</v>
      </c>
      <c r="AL3252">
        <v>87.940189048410602</v>
      </c>
      <c r="AM3252">
        <v>89.775643471352097</v>
      </c>
      <c r="AN3252">
        <v>1.00000001065195</v>
      </c>
    </row>
    <row r="3253" spans="1:40" x14ac:dyDescent="0.25">
      <c r="A3253" t="str">
        <f>"20190312150724491"</f>
        <v>20190312150724491</v>
      </c>
      <c r="B3253" t="str">
        <f>"1552374444483590"</f>
        <v>1552374444483590</v>
      </c>
      <c r="C3253" t="s">
        <v>40</v>
      </c>
      <c r="D3253">
        <v>4.4434009999999997</v>
      </c>
      <c r="E3253">
        <v>0.49508980000000002</v>
      </c>
      <c r="F3253" t="s">
        <v>48</v>
      </c>
      <c r="G3253">
        <v>0</v>
      </c>
      <c r="H3253">
        <v>0</v>
      </c>
      <c r="I3253">
        <v>0</v>
      </c>
      <c r="J3253">
        <v>-296.54599999999999</v>
      </c>
      <c r="K3253">
        <v>1.1091009999999999</v>
      </c>
      <c r="L3253">
        <v>282.30009999999999</v>
      </c>
      <c r="M3253">
        <v>-0.99966829999999995</v>
      </c>
      <c r="N3253">
        <v>0</v>
      </c>
      <c r="O3253">
        <v>2.3303750000000002E-2</v>
      </c>
      <c r="P3253">
        <v>-0.99931899999999996</v>
      </c>
      <c r="Q3253">
        <v>2.5021649999999999E-2</v>
      </c>
      <c r="R3253">
        <v>2.7124309999999999E-2</v>
      </c>
      <c r="S3253">
        <v>-3.000092</v>
      </c>
      <c r="T3253">
        <v>3.3202290000000002E-2</v>
      </c>
      <c r="U3253">
        <v>4.1381840000000003E-2</v>
      </c>
      <c r="V3253">
        <v>3.8719430000000001E-3</v>
      </c>
      <c r="W3253">
        <v>3.5998019999999999E-2</v>
      </c>
      <c r="X3253">
        <v>0.99934429999999996</v>
      </c>
      <c r="Y3253">
        <v>-9.5124630000000005E-3</v>
      </c>
      <c r="Z3253">
        <v>3.1050590000000002E-4</v>
      </c>
      <c r="AA3253">
        <v>0.99995469999999997</v>
      </c>
      <c r="AB3253">
        <v>41</v>
      </c>
      <c r="AC3253">
        <v>-3.000092</v>
      </c>
      <c r="AD3253">
        <v>3.3202290000000002E-2</v>
      </c>
      <c r="AE3253">
        <v>4.1381840000000003E-2</v>
      </c>
      <c r="AF3253">
        <v>-2.85435010301501E-2</v>
      </c>
      <c r="AG3253">
        <v>3.3202290000000002E-2</v>
      </c>
      <c r="AH3253">
        <v>2.9998742231122999</v>
      </c>
      <c r="AI3253">
        <v>89.365910976099201</v>
      </c>
      <c r="AJ3253">
        <v>90.545147119250501</v>
      </c>
      <c r="AK3253">
        <v>3.00019374007845</v>
      </c>
      <c r="AL3253">
        <v>87.937019540211594</v>
      </c>
      <c r="AM3253">
        <v>89.778009558531707</v>
      </c>
      <c r="AN3253">
        <v>0.99999993966450096</v>
      </c>
    </row>
    <row r="3254" spans="1:40" x14ac:dyDescent="0.25">
      <c r="A3254" t="str">
        <f>"20190312150724509"</f>
        <v>20190312150724509</v>
      </c>
      <c r="B3254" t="str">
        <f>"1552374444503110"</f>
        <v>1552374444503110</v>
      </c>
      <c r="C3254" t="s">
        <v>40</v>
      </c>
      <c r="D3254">
        <v>4.1914600000000002</v>
      </c>
      <c r="E3254">
        <v>0.49475530000000001</v>
      </c>
      <c r="F3254" t="s">
        <v>48</v>
      </c>
      <c r="G3254">
        <v>0</v>
      </c>
      <c r="H3254">
        <v>0</v>
      </c>
      <c r="I3254">
        <v>0</v>
      </c>
      <c r="J3254">
        <v>-296.89859999999999</v>
      </c>
      <c r="K3254">
        <v>1.1091139999999999</v>
      </c>
      <c r="L3254">
        <v>282.30860000000001</v>
      </c>
      <c r="M3254">
        <v>-0.99965809999999999</v>
      </c>
      <c r="N3254">
        <v>0</v>
      </c>
      <c r="O3254">
        <v>2.367588E-2</v>
      </c>
      <c r="P3254">
        <v>-0.99930169999999996</v>
      </c>
      <c r="Q3254">
        <v>2.4973329999999998E-2</v>
      </c>
      <c r="R3254">
        <v>2.7796970000000001E-2</v>
      </c>
      <c r="S3254">
        <v>-3.000092</v>
      </c>
      <c r="T3254">
        <v>3.370857E-2</v>
      </c>
      <c r="U3254">
        <v>4.1137699999999902E-2</v>
      </c>
      <c r="V3254">
        <v>4.1731770000000001E-3</v>
      </c>
      <c r="W3254">
        <v>3.6059010000000002E-2</v>
      </c>
      <c r="X3254">
        <v>0.99934100000000003</v>
      </c>
      <c r="Y3254">
        <v>-9.9659780000000003E-3</v>
      </c>
      <c r="Z3254">
        <v>3.2196839999999998E-4</v>
      </c>
      <c r="AA3254">
        <v>0.99995029999999996</v>
      </c>
      <c r="AB3254">
        <v>41</v>
      </c>
      <c r="AC3254">
        <v>-3.000092</v>
      </c>
      <c r="AD3254">
        <v>3.370857E-2</v>
      </c>
      <c r="AE3254">
        <v>4.1137699999999902E-2</v>
      </c>
      <c r="AF3254">
        <v>-2.99042500626002E-2</v>
      </c>
      <c r="AG3254">
        <v>3.370857E-2</v>
      </c>
      <c r="AH3254">
        <v>2.9998463209736199</v>
      </c>
      <c r="AI3254">
        <v>89.356239832553101</v>
      </c>
      <c r="AJ3254">
        <v>90.571139446297295</v>
      </c>
      <c r="AK3254">
        <v>3.0001847411988201</v>
      </c>
      <c r="AL3254">
        <v>87.933523030249702</v>
      </c>
      <c r="AM3254">
        <v>89.760738287126202</v>
      </c>
      <c r="AN3254">
        <v>1.00000005094472</v>
      </c>
    </row>
    <row r="3255" spans="1:40" x14ac:dyDescent="0.25">
      <c r="A3255" t="str">
        <f>"20190312150724522"</f>
        <v>20190312150724522</v>
      </c>
      <c r="B3255" t="str">
        <f>"1552374444513845"</f>
        <v>1552374444513845</v>
      </c>
      <c r="C3255" t="s">
        <v>40</v>
      </c>
      <c r="D3255">
        <v>4.1783890000000001</v>
      </c>
      <c r="E3255">
        <v>0.4946006</v>
      </c>
      <c r="F3255" t="s">
        <v>48</v>
      </c>
      <c r="G3255">
        <v>0</v>
      </c>
      <c r="H3255">
        <v>0</v>
      </c>
      <c r="I3255">
        <v>0</v>
      </c>
      <c r="J3255">
        <v>-297.12819999999999</v>
      </c>
      <c r="K3255">
        <v>1.1091230000000001</v>
      </c>
      <c r="L3255">
        <v>282.31420000000003</v>
      </c>
      <c r="M3255">
        <v>-0.99965139999999997</v>
      </c>
      <c r="N3255">
        <v>0</v>
      </c>
      <c r="O3255">
        <v>2.391822E-2</v>
      </c>
      <c r="P3255">
        <v>-0.99929579999999996</v>
      </c>
      <c r="Q3255">
        <v>2.496261E-2</v>
      </c>
      <c r="R3255">
        <v>2.8011830000000001E-2</v>
      </c>
      <c r="S3255">
        <v>-3.0001530000000001</v>
      </c>
      <c r="T3255">
        <v>3.4153459999999997E-2</v>
      </c>
      <c r="U3255">
        <v>4.0374760000000003E-2</v>
      </c>
      <c r="V3255">
        <v>4.1459009999999996E-3</v>
      </c>
      <c r="W3255">
        <v>3.6124780000000002E-2</v>
      </c>
      <c r="X3255">
        <v>0.99933870000000002</v>
      </c>
      <c r="Y3255">
        <v>-1.0462829999999999E-2</v>
      </c>
      <c r="Z3255">
        <v>3.3179770000000002E-4</v>
      </c>
      <c r="AA3255">
        <v>0.99994519999999998</v>
      </c>
      <c r="AB3255">
        <v>41</v>
      </c>
      <c r="AC3255">
        <v>-3.0001530000000001</v>
      </c>
      <c r="AD3255">
        <v>3.4153459999999997E-2</v>
      </c>
      <c r="AE3255">
        <v>4.0374760000000003E-2</v>
      </c>
      <c r="AF3255">
        <v>-3.1395528707620503E-2</v>
      </c>
      <c r="AG3255">
        <v>3.4153459999999997E-2</v>
      </c>
      <c r="AH3255">
        <v>2.9998716641060899</v>
      </c>
      <c r="AI3255">
        <v>89.347752954593204</v>
      </c>
      <c r="AJ3255">
        <v>90.599614190655203</v>
      </c>
      <c r="AK3255">
        <v>3.0002303476832299</v>
      </c>
      <c r="AL3255">
        <v>87.929752151190797</v>
      </c>
      <c r="AM3255">
        <v>89.762301543219294</v>
      </c>
      <c r="AN3255">
        <v>1.0000000127714199</v>
      </c>
    </row>
    <row r="3256" spans="1:40" x14ac:dyDescent="0.25">
      <c r="A3256" t="str">
        <f>"20190312150724533"</f>
        <v>20190312150724533</v>
      </c>
      <c r="B3256" t="str">
        <f>"1552374444523606"</f>
        <v>1552374444523606</v>
      </c>
      <c r="C3256" t="s">
        <v>40</v>
      </c>
      <c r="D3256">
        <v>4.2030599999999998</v>
      </c>
      <c r="E3256">
        <v>0.49448019999999998</v>
      </c>
      <c r="F3256" t="s">
        <v>48</v>
      </c>
      <c r="G3256">
        <v>0</v>
      </c>
      <c r="H3256">
        <v>0</v>
      </c>
      <c r="I3256">
        <v>0</v>
      </c>
      <c r="J3256">
        <v>-297.33139999999997</v>
      </c>
      <c r="K3256">
        <v>1.109132</v>
      </c>
      <c r="L3256">
        <v>282.3193</v>
      </c>
      <c r="M3256">
        <v>-0.99964560000000002</v>
      </c>
      <c r="N3256">
        <v>0</v>
      </c>
      <c r="O3256">
        <v>2.4132210000000001E-2</v>
      </c>
      <c r="P3256">
        <v>-0.99929330000000005</v>
      </c>
      <c r="Q3256">
        <v>2.4852010000000001E-2</v>
      </c>
      <c r="R3256">
        <v>2.8207570000000001E-2</v>
      </c>
      <c r="S3256">
        <v>-3.0001530000000001</v>
      </c>
      <c r="T3256">
        <v>3.4205439999999997E-2</v>
      </c>
      <c r="U3256">
        <v>3.9947509999999999E-2</v>
      </c>
      <c r="V3256">
        <v>4.1280370000000002E-3</v>
      </c>
      <c r="W3256">
        <v>3.6087609999999999E-2</v>
      </c>
      <c r="X3256">
        <v>0.99934009999999995</v>
      </c>
      <c r="Y3256">
        <v>-1.0819230000000001E-2</v>
      </c>
      <c r="Z3256">
        <v>3.3677369999999998E-4</v>
      </c>
      <c r="AA3256">
        <v>0.99994139999999998</v>
      </c>
      <c r="AB3256">
        <v>41</v>
      </c>
      <c r="AC3256">
        <v>-3.0001530000000001</v>
      </c>
      <c r="AD3256">
        <v>3.4205439999999997E-2</v>
      </c>
      <c r="AE3256">
        <v>3.9947509999999999E-2</v>
      </c>
      <c r="AF3256">
        <v>-3.24648009957011E-2</v>
      </c>
      <c r="AG3256">
        <v>3.4205439999999997E-2</v>
      </c>
      <c r="AH3256">
        <v>2.9998533790024302</v>
      </c>
      <c r="AI3256">
        <v>89.346758847385303</v>
      </c>
      <c r="AJ3256">
        <v>90.620038126095693</v>
      </c>
      <c r="AK3256">
        <v>3.0002240367915198</v>
      </c>
      <c r="AL3256">
        <v>87.931883189880296</v>
      </c>
      <c r="AM3256">
        <v>89.763326066341193</v>
      </c>
      <c r="AN3256">
        <v>0.99999999587649702</v>
      </c>
    </row>
    <row r="3257" spans="1:40" x14ac:dyDescent="0.25">
      <c r="A3257" t="str">
        <f>"20190312150724545"</f>
        <v>20190312150724545</v>
      </c>
      <c r="B3257" t="str">
        <f>"1552374444533367"</f>
        <v>1552374444533367</v>
      </c>
      <c r="C3257" t="s">
        <v>40</v>
      </c>
      <c r="D3257">
        <v>4.1664719999999997</v>
      </c>
      <c r="E3257">
        <v>0.4944076</v>
      </c>
      <c r="F3257" t="s">
        <v>48</v>
      </c>
      <c r="G3257">
        <v>0</v>
      </c>
      <c r="H3257">
        <v>0</v>
      </c>
      <c r="I3257">
        <v>0</v>
      </c>
      <c r="J3257">
        <v>-297.53620000000001</v>
      </c>
      <c r="K3257">
        <v>1.1091409999999999</v>
      </c>
      <c r="L3257">
        <v>282.32440000000003</v>
      </c>
      <c r="M3257">
        <v>-0.99963950000000001</v>
      </c>
      <c r="N3257">
        <v>0</v>
      </c>
      <c r="O3257">
        <v>2.4347799999999999E-2</v>
      </c>
      <c r="P3257">
        <v>-0.99929440000000003</v>
      </c>
      <c r="Q3257">
        <v>2.4633450000000001E-2</v>
      </c>
      <c r="R3257">
        <v>2.8357239999999999E-2</v>
      </c>
      <c r="S3257">
        <v>-3.0001530000000001</v>
      </c>
      <c r="T3257">
        <v>3.4096479999999998E-2</v>
      </c>
      <c r="U3257">
        <v>3.95813E-2</v>
      </c>
      <c r="V3257">
        <v>4.0619050000000002E-3</v>
      </c>
      <c r="W3257">
        <v>3.5944660000000003E-2</v>
      </c>
      <c r="X3257">
        <v>0.9993455</v>
      </c>
      <c r="Y3257">
        <v>-1.1156910000000001E-2</v>
      </c>
      <c r="Z3257">
        <v>3.4006969999999999E-4</v>
      </c>
      <c r="AA3257">
        <v>0.99993770000000004</v>
      </c>
      <c r="AB3257">
        <v>41</v>
      </c>
      <c r="AC3257">
        <v>-3.0001530000000001</v>
      </c>
      <c r="AD3257">
        <v>3.4096479999999998E-2</v>
      </c>
      <c r="AE3257">
        <v>3.95813E-2</v>
      </c>
      <c r="AF3257">
        <v>-3.3477914821954703E-2</v>
      </c>
      <c r="AG3257">
        <v>3.4096479999999998E-2</v>
      </c>
      <c r="AH3257">
        <v>2.9998398694533899</v>
      </c>
      <c r="AI3257">
        <v>89.348839025032703</v>
      </c>
      <c r="AJ3257">
        <v>90.639388662373605</v>
      </c>
      <c r="AK3257">
        <v>3.0002204224175499</v>
      </c>
      <c r="AL3257">
        <v>87.9400788918161</v>
      </c>
      <c r="AM3257">
        <v>89.767118847610107</v>
      </c>
      <c r="AN3257">
        <v>0.99999997301249599</v>
      </c>
    </row>
    <row r="3258" spans="1:40" x14ac:dyDescent="0.25">
      <c r="A3258" t="str">
        <f>"20190312150724564"</f>
        <v>20190312150724564</v>
      </c>
      <c r="B3258" t="str">
        <f>"1552374444552886"</f>
        <v>1552374444552886</v>
      </c>
      <c r="C3258" t="s">
        <v>40</v>
      </c>
      <c r="D3258">
        <v>4.4126149999999997</v>
      </c>
      <c r="E3258">
        <v>0.49426409999999998</v>
      </c>
      <c r="F3258" t="s">
        <v>48</v>
      </c>
      <c r="G3258">
        <v>0</v>
      </c>
      <c r="H3258">
        <v>0</v>
      </c>
      <c r="I3258">
        <v>0</v>
      </c>
      <c r="J3258">
        <v>-297.90379999999999</v>
      </c>
      <c r="K3258">
        <v>1.1091549999999999</v>
      </c>
      <c r="L3258">
        <v>282.33370000000002</v>
      </c>
      <c r="M3258">
        <v>-0.99962830000000003</v>
      </c>
      <c r="N3258">
        <v>0</v>
      </c>
      <c r="O3258">
        <v>2.4731699999999999E-2</v>
      </c>
      <c r="P3258">
        <v>-0.99929009999999996</v>
      </c>
      <c r="Q3258">
        <v>2.4602840000000001E-2</v>
      </c>
      <c r="R3258">
        <v>2.8529700000000002E-2</v>
      </c>
      <c r="S3258">
        <v>-3.0002140000000002</v>
      </c>
      <c r="T3258">
        <v>3.3542040000000002E-2</v>
      </c>
      <c r="U3258">
        <v>3.9428709999999999E-2</v>
      </c>
      <c r="V3258">
        <v>3.8507599999999999E-3</v>
      </c>
      <c r="W3258">
        <v>3.6060929999999998E-2</v>
      </c>
      <c r="X3258">
        <v>0.99934219999999896</v>
      </c>
      <c r="Y3258">
        <v>-1.1592109999999999E-2</v>
      </c>
      <c r="Z3258">
        <v>3.4125710000000001E-4</v>
      </c>
      <c r="AA3258">
        <v>0.99993279999999995</v>
      </c>
      <c r="AB3258">
        <v>41</v>
      </c>
      <c r="AC3258">
        <v>-3.0002140000000002</v>
      </c>
      <c r="AD3258">
        <v>3.3542040000000002E-2</v>
      </c>
      <c r="AE3258">
        <v>3.9428709999999999E-2</v>
      </c>
      <c r="AF3258">
        <v>-3.47842805581942E-2</v>
      </c>
      <c r="AG3258">
        <v>3.3542040000000002E-2</v>
      </c>
      <c r="AH3258">
        <v>2.9998964994850401</v>
      </c>
      <c r="AI3258">
        <v>89.359441872194907</v>
      </c>
      <c r="AJ3258">
        <v>90.664323972227606</v>
      </c>
      <c r="AK3258">
        <v>3.0002856567740199</v>
      </c>
      <c r="AL3258">
        <v>87.933412898909907</v>
      </c>
      <c r="AM3258">
        <v>89.779223569310304</v>
      </c>
      <c r="AN3258">
        <v>1.00000002586294</v>
      </c>
    </row>
    <row r="3259" spans="1:40" x14ac:dyDescent="0.25">
      <c r="A3259" t="str">
        <f>"20190312150724576"</f>
        <v>20190312150724576</v>
      </c>
      <c r="B3259" t="str">
        <f>"1552374444573383"</f>
        <v>1552374444573383</v>
      </c>
      <c r="C3259" t="s">
        <v>40</v>
      </c>
      <c r="D3259">
        <v>4.1639369999999998</v>
      </c>
      <c r="E3259">
        <v>0.49417889999999998</v>
      </c>
      <c r="F3259" t="s">
        <v>48</v>
      </c>
      <c r="G3259">
        <v>0</v>
      </c>
      <c r="H3259">
        <v>0</v>
      </c>
      <c r="I3259">
        <v>0</v>
      </c>
      <c r="J3259">
        <v>-298.12650000000002</v>
      </c>
      <c r="K3259">
        <v>1.1091709999999999</v>
      </c>
      <c r="L3259">
        <v>282.33940000000001</v>
      </c>
      <c r="M3259">
        <v>-0.9996216</v>
      </c>
      <c r="N3259">
        <v>0</v>
      </c>
      <c r="O3259">
        <v>2.4962290000000002E-2</v>
      </c>
      <c r="P3259">
        <v>-0.99928919999999999</v>
      </c>
      <c r="Q3259">
        <v>2.4452370000000001E-2</v>
      </c>
      <c r="R3259">
        <v>2.869677E-2</v>
      </c>
      <c r="S3259">
        <v>-3.0001829999999998</v>
      </c>
      <c r="T3259">
        <v>3.3683900000000003E-2</v>
      </c>
      <c r="U3259">
        <v>3.8604739999999999E-2</v>
      </c>
      <c r="V3259">
        <v>3.7873350000000002E-3</v>
      </c>
      <c r="W3259">
        <v>3.6004220000000003E-2</v>
      </c>
      <c r="X3259">
        <v>0.99934449999999997</v>
      </c>
      <c r="Y3259">
        <v>-1.2097170000000001E-2</v>
      </c>
      <c r="Z3259">
        <v>3.4812800000000001E-4</v>
      </c>
      <c r="AA3259">
        <v>0.99992669999999995</v>
      </c>
      <c r="AB3259">
        <v>41</v>
      </c>
      <c r="AC3259">
        <v>-3.0001829999999998</v>
      </c>
      <c r="AD3259">
        <v>3.3683900000000003E-2</v>
      </c>
      <c r="AE3259">
        <v>3.8604739999999999E-2</v>
      </c>
      <c r="AF3259">
        <v>-3.6299155411390303E-2</v>
      </c>
      <c r="AG3259">
        <v>3.3683900000000003E-2</v>
      </c>
      <c r="AH3259">
        <v>2.9998336536267498</v>
      </c>
      <c r="AI3259">
        <v>89.356723348985</v>
      </c>
      <c r="AJ3259">
        <v>90.693267409752593</v>
      </c>
      <c r="AK3259">
        <v>3.00024235408315</v>
      </c>
      <c r="AL3259">
        <v>87.936664280404997</v>
      </c>
      <c r="AM3259">
        <v>89.782860392772307</v>
      </c>
      <c r="AN3259">
        <v>1.0000000387222201</v>
      </c>
    </row>
    <row r="3260" spans="1:40" x14ac:dyDescent="0.25">
      <c r="A3260" t="str">
        <f>"20190312150724588"</f>
        <v>20190312150724588</v>
      </c>
      <c r="B3260" t="str">
        <f>"1552374444583143"</f>
        <v>1552374444583143</v>
      </c>
      <c r="C3260" t="s">
        <v>40</v>
      </c>
      <c r="D3260">
        <v>4.2077349999999996</v>
      </c>
      <c r="E3260">
        <v>0.49418640000000003</v>
      </c>
      <c r="F3260" t="s">
        <v>48</v>
      </c>
      <c r="G3260">
        <v>0</v>
      </c>
      <c r="H3260">
        <v>0</v>
      </c>
      <c r="I3260">
        <v>0</v>
      </c>
      <c r="J3260">
        <v>-298.32369999999997</v>
      </c>
      <c r="K3260">
        <v>1.109183</v>
      </c>
      <c r="L3260">
        <v>282.34449999999998</v>
      </c>
      <c r="M3260">
        <v>-0.99961549999999999</v>
      </c>
      <c r="N3260">
        <v>0</v>
      </c>
      <c r="O3260">
        <v>2.5166580000000001E-2</v>
      </c>
      <c r="P3260">
        <v>-0.99928410000000001</v>
      </c>
      <c r="Q3260">
        <v>2.4395799999999999E-2</v>
      </c>
      <c r="R3260">
        <v>2.892028E-2</v>
      </c>
      <c r="S3260">
        <v>-3.0002140000000002</v>
      </c>
      <c r="T3260">
        <v>3.3628459999999999E-2</v>
      </c>
      <c r="U3260">
        <v>3.8604739999999999E-2</v>
      </c>
      <c r="V3260">
        <v>3.806561E-3</v>
      </c>
      <c r="W3260">
        <v>3.6030909999999999E-2</v>
      </c>
      <c r="X3260">
        <v>0.99934350000000005</v>
      </c>
      <c r="Y3260">
        <v>-1.2301660000000001E-2</v>
      </c>
      <c r="Z3260">
        <v>3.5098699999999998E-4</v>
      </c>
      <c r="AA3260">
        <v>0.99992420000000004</v>
      </c>
      <c r="AB3260">
        <v>41</v>
      </c>
      <c r="AC3260">
        <v>-3.0002140000000002</v>
      </c>
      <c r="AD3260">
        <v>3.3628459999999999E-2</v>
      </c>
      <c r="AE3260">
        <v>3.8604739999999999E-2</v>
      </c>
      <c r="AF3260">
        <v>-3.6913093550394502E-2</v>
      </c>
      <c r="AG3260">
        <v>3.3628459999999999E-2</v>
      </c>
      <c r="AH3260">
        <v>2.9998584091113001</v>
      </c>
      <c r="AI3260">
        <v>89.357788924900404</v>
      </c>
      <c r="AJ3260">
        <v>90.704985851679595</v>
      </c>
      <c r="AK3260">
        <v>3.0002739749085001</v>
      </c>
      <c r="AL3260">
        <v>87.935134135467493</v>
      </c>
      <c r="AM3260">
        <v>89.781757899092597</v>
      </c>
      <c r="AN3260">
        <v>1.0000000736871499</v>
      </c>
    </row>
    <row r="3261" spans="1:40" x14ac:dyDescent="0.25">
      <c r="A3261" t="str">
        <f>"20190312150724598"</f>
        <v>20190312150724598</v>
      </c>
      <c r="B3261" t="str">
        <f>"1552374444592902"</f>
        <v>1552374444592902</v>
      </c>
      <c r="C3261" t="s">
        <v>40</v>
      </c>
      <c r="D3261">
        <v>4.2335830000000003</v>
      </c>
      <c r="E3261">
        <v>0.49418640000000003</v>
      </c>
      <c r="F3261" t="s">
        <v>48</v>
      </c>
      <c r="G3261">
        <v>0</v>
      </c>
      <c r="H3261">
        <v>0</v>
      </c>
      <c r="I3261">
        <v>0</v>
      </c>
      <c r="J3261">
        <v>-298.53680000000003</v>
      </c>
      <c r="K3261">
        <v>1.1092</v>
      </c>
      <c r="L3261">
        <v>282.3501</v>
      </c>
      <c r="M3261">
        <v>-0.99960890000000002</v>
      </c>
      <c r="N3261">
        <v>0</v>
      </c>
      <c r="O3261">
        <v>2.5387079999999999E-2</v>
      </c>
      <c r="P3261">
        <v>-0.99928059999999996</v>
      </c>
      <c r="Q3261">
        <v>2.4226859999999999E-2</v>
      </c>
      <c r="R3261">
        <v>2.9186279999999998E-2</v>
      </c>
      <c r="S3261">
        <v>-3.0001220000000002</v>
      </c>
      <c r="T3261">
        <v>3.3615350000000002E-2</v>
      </c>
      <c r="U3261">
        <v>3.9428709999999999E-2</v>
      </c>
      <c r="V3261">
        <v>3.8518329999999998E-3</v>
      </c>
      <c r="W3261">
        <v>3.5951799999999999E-2</v>
      </c>
      <c r="X3261">
        <v>0.99934610000000001</v>
      </c>
      <c r="Y3261">
        <v>-1.2247269999999999E-2</v>
      </c>
      <c r="Z3261">
        <v>3.5302530000000002E-4</v>
      </c>
      <c r="AA3261">
        <v>0.99992499999999995</v>
      </c>
      <c r="AB3261">
        <v>41</v>
      </c>
      <c r="AC3261">
        <v>-3.0001220000000002</v>
      </c>
      <c r="AD3261">
        <v>3.3615350000000002E-2</v>
      </c>
      <c r="AE3261">
        <v>3.9428709999999999E-2</v>
      </c>
      <c r="AF3261">
        <v>-3.6748962650761399E-2</v>
      </c>
      <c r="AG3261">
        <v>3.3615350000000002E-2</v>
      </c>
      <c r="AH3261">
        <v>2.99977942418053</v>
      </c>
      <c r="AI3261">
        <v>89.358021938702393</v>
      </c>
      <c r="AJ3261">
        <v>90.701869984990495</v>
      </c>
      <c r="AK3261">
        <v>3.0001928390935801</v>
      </c>
      <c r="AL3261">
        <v>87.939669586987705</v>
      </c>
      <c r="AM3261">
        <v>89.779162913208495</v>
      </c>
      <c r="AN3261">
        <v>0.99999999806295403</v>
      </c>
    </row>
    <row r="3262" spans="1:40" x14ac:dyDescent="0.25">
      <c r="A3262" t="str">
        <f>"20190312150724621"</f>
        <v>20190312150724621</v>
      </c>
      <c r="B3262" t="str">
        <f>"1552374444613401"</f>
        <v>1552374444613401</v>
      </c>
      <c r="C3262" t="s">
        <v>40</v>
      </c>
      <c r="D3262">
        <v>4.2451019999999904</v>
      </c>
      <c r="E3262">
        <v>0.49384620000000001</v>
      </c>
      <c r="F3262" t="s">
        <v>48</v>
      </c>
      <c r="G3262">
        <v>0</v>
      </c>
      <c r="H3262">
        <v>0</v>
      </c>
      <c r="I3262">
        <v>0</v>
      </c>
      <c r="J3262">
        <v>-298.95269999999999</v>
      </c>
      <c r="K3262">
        <v>1.1092329999999999</v>
      </c>
      <c r="L3262">
        <v>282.36110000000002</v>
      </c>
      <c r="M3262">
        <v>-0.99959569999999998</v>
      </c>
      <c r="N3262">
        <v>0</v>
      </c>
      <c r="O3262">
        <v>2.581868E-2</v>
      </c>
      <c r="P3262">
        <v>-0.99927509999999997</v>
      </c>
      <c r="Q3262">
        <v>2.4065420000000001E-2</v>
      </c>
      <c r="R3262">
        <v>2.9504800000000001E-2</v>
      </c>
      <c r="S3262">
        <v>-3.0001530000000001</v>
      </c>
      <c r="T3262">
        <v>3.3102989999999999E-2</v>
      </c>
      <c r="U3262">
        <v>4.0161130000000003E-2</v>
      </c>
      <c r="V3262">
        <v>3.7380769999999998E-3</v>
      </c>
      <c r="W3262">
        <v>3.597086E-2</v>
      </c>
      <c r="X3262">
        <v>0.99934579999999995</v>
      </c>
      <c r="Y3262">
        <v>-1.2435170000000001E-2</v>
      </c>
      <c r="Z3262">
        <v>3.5343819999999999E-4</v>
      </c>
      <c r="AA3262">
        <v>0.99992259999999999</v>
      </c>
      <c r="AB3262">
        <v>41</v>
      </c>
      <c r="AC3262">
        <v>-3.0001530000000001</v>
      </c>
      <c r="AD3262">
        <v>3.3102989999999999E-2</v>
      </c>
      <c r="AE3262">
        <v>4.0161130000000003E-2</v>
      </c>
      <c r="AF3262">
        <v>-3.7313202082195303E-2</v>
      </c>
      <c r="AG3262">
        <v>3.3102989999999999E-2</v>
      </c>
      <c r="AH3262">
        <v>2.9998245696900199</v>
      </c>
      <c r="AI3262">
        <v>89.367817048802607</v>
      </c>
      <c r="AJ3262">
        <v>90.712634590880398</v>
      </c>
      <c r="AK3262">
        <v>3.0002392457789901</v>
      </c>
      <c r="AL3262">
        <v>87.938576727577697</v>
      </c>
      <c r="AM3262">
        <v>89.785684758248294</v>
      </c>
      <c r="AN3262">
        <v>0.99999995198321701</v>
      </c>
    </row>
    <row r="3263" spans="1:40" x14ac:dyDescent="0.25">
      <c r="A3263" t="str">
        <f>"20190312150724632"</f>
        <v>20190312150724632</v>
      </c>
      <c r="B3263" t="str">
        <f>"1552374444623158"</f>
        <v>1552374444623158</v>
      </c>
      <c r="C3263" t="s">
        <v>40</v>
      </c>
      <c r="D3263">
        <v>4.2370349999999997</v>
      </c>
      <c r="E3263">
        <v>0.49366369999999998</v>
      </c>
      <c r="F3263" t="s">
        <v>48</v>
      </c>
      <c r="G3263">
        <v>0</v>
      </c>
      <c r="H3263">
        <v>0</v>
      </c>
      <c r="I3263">
        <v>0</v>
      </c>
      <c r="J3263">
        <v>-299.16390000000001</v>
      </c>
      <c r="K3263">
        <v>1.1092550000000001</v>
      </c>
      <c r="L3263">
        <v>282.36669999999998</v>
      </c>
      <c r="M3263">
        <v>-0.99958880000000006</v>
      </c>
      <c r="N3263">
        <v>0</v>
      </c>
      <c r="O3263">
        <v>2.603923E-2</v>
      </c>
      <c r="P3263">
        <v>-0.99926859999999995</v>
      </c>
      <c r="Q3263">
        <v>2.4085499999999999E-2</v>
      </c>
      <c r="R3263">
        <v>2.9702269999999999E-2</v>
      </c>
      <c r="S3263">
        <v>-3.0004879999999998</v>
      </c>
      <c r="T3263">
        <v>2.3653150000000001E-2</v>
      </c>
      <c r="U3263">
        <v>3.8116459999999998E-2</v>
      </c>
      <c r="V3263">
        <v>3.7148289999999998E-3</v>
      </c>
      <c r="W3263">
        <v>3.6084280000000003E-2</v>
      </c>
      <c r="X3263">
        <v>0.99934179999999995</v>
      </c>
      <c r="Y3263">
        <v>-1.3339699999999999E-2</v>
      </c>
      <c r="Z3263">
        <v>2.5782350000000002E-4</v>
      </c>
      <c r="AA3263">
        <v>0.99991099999999999</v>
      </c>
      <c r="AB3263">
        <v>41</v>
      </c>
      <c r="AC3263">
        <v>-3.0004879999999998</v>
      </c>
      <c r="AD3263">
        <v>2.3653150000000001E-2</v>
      </c>
      <c r="AE3263">
        <v>3.8116459999999998E-2</v>
      </c>
      <c r="AF3263">
        <v>-4.00300096730117E-2</v>
      </c>
      <c r="AG3263">
        <v>2.3653150000000001E-2</v>
      </c>
      <c r="AH3263">
        <v>3.00027663095578</v>
      </c>
      <c r="AI3263">
        <v>89.548349316161904</v>
      </c>
      <c r="AJ3263">
        <v>90.764401024218401</v>
      </c>
      <c r="AK3263">
        <v>3.000636888302</v>
      </c>
      <c r="AL3263">
        <v>87.932074022999501</v>
      </c>
      <c r="AM3263">
        <v>89.787016771487401</v>
      </c>
      <c r="AN3263">
        <v>0.99999995422242705</v>
      </c>
    </row>
    <row r="3264" spans="1:40" x14ac:dyDescent="0.25">
      <c r="A3264" t="str">
        <f>"20190312150724644"</f>
        <v>20190312150724644</v>
      </c>
      <c r="B3264" t="str">
        <f>"1552374444632919"</f>
        <v>1552374444632919</v>
      </c>
      <c r="C3264" t="s">
        <v>40</v>
      </c>
      <c r="D3264">
        <v>4.2424350000000004</v>
      </c>
      <c r="E3264">
        <v>0.49346040000000002</v>
      </c>
      <c r="F3264" t="s">
        <v>48</v>
      </c>
      <c r="G3264">
        <v>0</v>
      </c>
      <c r="H3264">
        <v>0</v>
      </c>
      <c r="I3264">
        <v>0</v>
      </c>
      <c r="J3264">
        <v>-299.37790000000001</v>
      </c>
      <c r="K3264">
        <v>1.1092740000000001</v>
      </c>
      <c r="L3264">
        <v>282.3725</v>
      </c>
      <c r="M3264">
        <v>-0.99958190000000002</v>
      </c>
      <c r="N3264">
        <v>0</v>
      </c>
      <c r="O3264">
        <v>2.626293E-2</v>
      </c>
      <c r="P3264">
        <v>-0.99926530000000002</v>
      </c>
      <c r="Q3264">
        <v>2.397641E-2</v>
      </c>
      <c r="R3264">
        <v>2.9904699999999999E-2</v>
      </c>
      <c r="S3264">
        <v>-3.0005489999999999</v>
      </c>
      <c r="T3264">
        <v>2.2428989999999999E-2</v>
      </c>
      <c r="U3264">
        <v>3.7139890000000002E-2</v>
      </c>
      <c r="V3264">
        <v>3.6932470000000002E-3</v>
      </c>
      <c r="W3264">
        <v>3.6069980000000001E-2</v>
      </c>
      <c r="X3264">
        <v>0.99934239999999996</v>
      </c>
      <c r="Y3264">
        <v>-1.3889240000000001E-2</v>
      </c>
      <c r="Z3264">
        <v>2.4820160000000002E-4</v>
      </c>
      <c r="AA3264">
        <v>0.99990349999999995</v>
      </c>
      <c r="AB3264">
        <v>41</v>
      </c>
      <c r="AC3264">
        <v>-3.0005489999999999</v>
      </c>
      <c r="AD3264">
        <v>2.2428989999999999E-2</v>
      </c>
      <c r="AE3264">
        <v>3.7139890000000002E-2</v>
      </c>
      <c r="AF3264">
        <v>-4.1679566847543301E-2</v>
      </c>
      <c r="AG3264">
        <v>2.2428989999999999E-2</v>
      </c>
      <c r="AH3264">
        <v>3.0003217246920402</v>
      </c>
      <c r="AI3264">
        <v>89.571733076187698</v>
      </c>
      <c r="AJ3264">
        <v>90.795884539591896</v>
      </c>
      <c r="AK3264">
        <v>3.00069503574489</v>
      </c>
      <c r="AL3264">
        <v>87.932893894187501</v>
      </c>
      <c r="AM3264">
        <v>89.788254253570301</v>
      </c>
      <c r="AN3264">
        <v>0.99999995798417995</v>
      </c>
    </row>
    <row r="3265" spans="1:40" x14ac:dyDescent="0.25">
      <c r="A3265" t="str">
        <f>"20190312150724666"</f>
        <v>20190312150724666</v>
      </c>
      <c r="B3265" t="str">
        <f>"1552374444653415"</f>
        <v>1552374444653415</v>
      </c>
      <c r="C3265" t="s">
        <v>40</v>
      </c>
      <c r="D3265">
        <v>4.2086360000000003</v>
      </c>
      <c r="E3265">
        <v>0.49328369999999999</v>
      </c>
      <c r="F3265" t="s">
        <v>48</v>
      </c>
      <c r="G3265">
        <v>0</v>
      </c>
      <c r="H3265">
        <v>0</v>
      </c>
      <c r="I3265">
        <v>0</v>
      </c>
      <c r="J3265">
        <v>-299.77190000000002</v>
      </c>
      <c r="K3265">
        <v>1.1093059999999999</v>
      </c>
      <c r="L3265">
        <v>282.38319999999999</v>
      </c>
      <c r="M3265">
        <v>-0.99956880000000004</v>
      </c>
      <c r="N3265">
        <v>0</v>
      </c>
      <c r="O3265">
        <v>2.6676140000000001E-2</v>
      </c>
      <c r="P3265">
        <v>-0.99925520000000001</v>
      </c>
      <c r="Q3265">
        <v>2.4035870000000001E-2</v>
      </c>
      <c r="R3265">
        <v>3.0196339999999999E-2</v>
      </c>
      <c r="S3265">
        <v>-3.0005799999999998</v>
      </c>
      <c r="T3265">
        <v>2.0884750000000001E-2</v>
      </c>
      <c r="U3265">
        <v>3.6102290000000002E-2</v>
      </c>
      <c r="V3265">
        <v>3.571313E-3</v>
      </c>
      <c r="W3265">
        <v>3.630253E-2</v>
      </c>
      <c r="X3265">
        <v>0.99933450000000001</v>
      </c>
      <c r="Y3265">
        <v>-1.4648599999999999E-2</v>
      </c>
      <c r="Z3265">
        <v>2.366298E-4</v>
      </c>
      <c r="AA3265">
        <v>0.99989269999999997</v>
      </c>
      <c r="AB3265">
        <v>41</v>
      </c>
      <c r="AC3265">
        <v>-3.0005799999999998</v>
      </c>
      <c r="AD3265">
        <v>2.0884750000000001E-2</v>
      </c>
      <c r="AE3265">
        <v>3.6102290000000002E-2</v>
      </c>
      <c r="AF3265">
        <v>-4.39583505150863E-2</v>
      </c>
      <c r="AG3265">
        <v>2.0884750000000001E-2</v>
      </c>
      <c r="AH3265">
        <v>3.0003298306979298</v>
      </c>
      <c r="AI3265">
        <v>89.601223742161295</v>
      </c>
      <c r="AJ3265">
        <v>90.839390303932404</v>
      </c>
      <c r="AK3265">
        <v>3.00072451290325</v>
      </c>
      <c r="AL3265">
        <v>87.919561189066599</v>
      </c>
      <c r="AM3265">
        <v>89.795243443375298</v>
      </c>
      <c r="AN3265">
        <v>1.00000003542559</v>
      </c>
    </row>
    <row r="3266" spans="1:40" x14ac:dyDescent="0.25">
      <c r="A3266" t="str">
        <f>"20190312150724688"</f>
        <v>20190312150724688</v>
      </c>
      <c r="B3266" t="str">
        <f>"1552374444683672"</f>
        <v>1552374444683672</v>
      </c>
      <c r="C3266" t="s">
        <v>40</v>
      </c>
      <c r="D3266">
        <v>4.2016349999999996</v>
      </c>
      <c r="E3266">
        <v>0.49289549999999999</v>
      </c>
      <c r="F3266" t="s">
        <v>48</v>
      </c>
      <c r="G3266">
        <v>0</v>
      </c>
      <c r="H3266">
        <v>0</v>
      </c>
      <c r="I3266">
        <v>0</v>
      </c>
      <c r="J3266">
        <v>-300.1866</v>
      </c>
      <c r="K3266">
        <v>1.109332</v>
      </c>
      <c r="L3266">
        <v>282.3947</v>
      </c>
      <c r="M3266">
        <v>-0.99955510000000003</v>
      </c>
      <c r="N3266">
        <v>0</v>
      </c>
      <c r="O3266">
        <v>2.7111110000000001E-2</v>
      </c>
      <c r="P3266">
        <v>-0.99925180000000002</v>
      </c>
      <c r="Q3266">
        <v>2.399362E-2</v>
      </c>
      <c r="R3266">
        <v>3.0339189999999999E-2</v>
      </c>
      <c r="S3266">
        <v>-3.0007929999999998</v>
      </c>
      <c r="T3266">
        <v>1.6648409999999999E-2</v>
      </c>
      <c r="U3266">
        <v>3.5461430000000002E-2</v>
      </c>
      <c r="V3266">
        <v>3.2787139999999998E-3</v>
      </c>
      <c r="W3266">
        <v>3.6434519999999998E-2</v>
      </c>
      <c r="X3266">
        <v>0.99933059999999996</v>
      </c>
      <c r="Y3266">
        <v>-1.529848E-2</v>
      </c>
      <c r="Z3266">
        <v>1.928342E-4</v>
      </c>
      <c r="AA3266">
        <v>0.99988290000000002</v>
      </c>
      <c r="AB3266">
        <v>41</v>
      </c>
      <c r="AC3266">
        <v>-3.0007929999999998</v>
      </c>
      <c r="AD3266">
        <v>1.6648409999999999E-2</v>
      </c>
      <c r="AE3266">
        <v>3.5461430000000002E-2</v>
      </c>
      <c r="AF3266">
        <v>-4.5911311887996797E-2</v>
      </c>
      <c r="AG3266">
        <v>1.6648409999999999E-2</v>
      </c>
      <c r="AH3266">
        <v>3.00055894456113</v>
      </c>
      <c r="AI3266">
        <v>89.682138488118696</v>
      </c>
      <c r="AJ3266">
        <v>90.876609723728293</v>
      </c>
      <c r="AK3266">
        <v>3.00095634721677</v>
      </c>
      <c r="AL3266">
        <v>87.911993505730194</v>
      </c>
      <c r="AM3266">
        <v>89.812018364710795</v>
      </c>
      <c r="AN3266">
        <v>0.99999993615474003</v>
      </c>
    </row>
    <row r="3267" spans="1:40" x14ac:dyDescent="0.25">
      <c r="A3267" t="str">
        <f>"20190312150724701"</f>
        <v>20190312150724701</v>
      </c>
      <c r="B3267" t="str">
        <f>"1552374444693430"</f>
        <v>1552374444693430</v>
      </c>
      <c r="C3267" t="s">
        <v>40</v>
      </c>
      <c r="D3267">
        <v>4.2685180000000003</v>
      </c>
      <c r="E3267">
        <v>0.49270950000000002</v>
      </c>
      <c r="F3267" t="s">
        <v>48</v>
      </c>
      <c r="G3267">
        <v>0</v>
      </c>
      <c r="H3267">
        <v>0</v>
      </c>
      <c r="I3267">
        <v>0</v>
      </c>
      <c r="J3267">
        <v>-300.43029999999999</v>
      </c>
      <c r="K3267">
        <v>1.109345</v>
      </c>
      <c r="L3267">
        <v>282.4015</v>
      </c>
      <c r="M3267">
        <v>-0.99954679999999996</v>
      </c>
      <c r="N3267">
        <v>0</v>
      </c>
      <c r="O3267">
        <v>2.7365560000000001E-2</v>
      </c>
      <c r="P3267">
        <v>-0.99924639999999998</v>
      </c>
      <c r="Q3267">
        <v>2.4085169999999999E-2</v>
      </c>
      <c r="R3267">
        <v>3.044262E-2</v>
      </c>
      <c r="S3267">
        <v>-3.0009459999999999</v>
      </c>
      <c r="T3267">
        <v>1.440454E-2</v>
      </c>
      <c r="U3267">
        <v>3.2714840000000002E-2</v>
      </c>
      <c r="V3267">
        <v>3.1277620000000001E-3</v>
      </c>
      <c r="W3267">
        <v>3.6623700000000002E-2</v>
      </c>
      <c r="X3267">
        <v>0.99932430000000005</v>
      </c>
      <c r="Y3267">
        <v>-1.6468799999999999E-2</v>
      </c>
      <c r="Z3267">
        <v>1.7086679999999999E-4</v>
      </c>
      <c r="AA3267">
        <v>0.99986430000000004</v>
      </c>
      <c r="AB3267">
        <v>41</v>
      </c>
      <c r="AC3267">
        <v>-3.0009459999999999</v>
      </c>
      <c r="AD3267">
        <v>1.440454E-2</v>
      </c>
      <c r="AE3267">
        <v>3.2714840000000002E-2</v>
      </c>
      <c r="AF3267">
        <v>-4.9425303616747199E-2</v>
      </c>
      <c r="AG3267">
        <v>1.440454E-2</v>
      </c>
      <c r="AH3267">
        <v>3.00064815128815</v>
      </c>
      <c r="AI3267">
        <v>89.724992390792806</v>
      </c>
      <c r="AJ3267">
        <v>90.943664532326494</v>
      </c>
      <c r="AK3267">
        <v>3.0010897486145298</v>
      </c>
      <c r="AL3267">
        <v>87.901147326071296</v>
      </c>
      <c r="AM3267">
        <v>89.8206718512251</v>
      </c>
      <c r="AN3267">
        <v>1.00000006743365</v>
      </c>
    </row>
    <row r="3268" spans="1:40" x14ac:dyDescent="0.25">
      <c r="A3268" t="str">
        <f>"20190312150724711"</f>
        <v>20190312150724711</v>
      </c>
      <c r="B3268" t="str">
        <f>"1552374444703191"</f>
        <v>1552374444703191</v>
      </c>
      <c r="C3268" t="s">
        <v>40</v>
      </c>
      <c r="D3268">
        <v>4.2526140000000003</v>
      </c>
      <c r="E3268">
        <v>0.49255480000000001</v>
      </c>
      <c r="F3268" t="s">
        <v>48</v>
      </c>
      <c r="G3268">
        <v>0</v>
      </c>
      <c r="H3268">
        <v>0</v>
      </c>
      <c r="I3268">
        <v>0</v>
      </c>
      <c r="J3268">
        <v>-300.62479999999999</v>
      </c>
      <c r="K3268">
        <v>1.109351</v>
      </c>
      <c r="L3268">
        <v>282.40699999999998</v>
      </c>
      <c r="M3268">
        <v>-0.9995404</v>
      </c>
      <c r="N3268">
        <v>0</v>
      </c>
      <c r="O3268">
        <v>2.756745E-2</v>
      </c>
      <c r="P3268">
        <v>-0.99924049999999998</v>
      </c>
      <c r="Q3268">
        <v>2.4245949999999999E-2</v>
      </c>
      <c r="R3268">
        <v>3.0513479999999999E-2</v>
      </c>
      <c r="S3268">
        <v>-3.0009769999999998</v>
      </c>
      <c r="T3268">
        <v>1.2057780000000001E-2</v>
      </c>
      <c r="U3268">
        <v>3.1616209999999999E-2</v>
      </c>
      <c r="V3268">
        <v>2.9970890000000001E-3</v>
      </c>
      <c r="W3268">
        <v>3.6860049999999998E-2</v>
      </c>
      <c r="X3268">
        <v>0.99931590000000003</v>
      </c>
      <c r="Y3268">
        <v>-1.703704E-2</v>
      </c>
      <c r="Z3268">
        <v>1.449814E-4</v>
      </c>
      <c r="AA3268">
        <v>0.99985489999999999</v>
      </c>
      <c r="AB3268">
        <v>41</v>
      </c>
      <c r="AC3268">
        <v>-3.0009769999999998</v>
      </c>
      <c r="AD3268">
        <v>1.2057780000000001E-2</v>
      </c>
      <c r="AE3268">
        <v>3.1616209999999999E-2</v>
      </c>
      <c r="AF3268">
        <v>-5.1130844602347202E-2</v>
      </c>
      <c r="AG3268">
        <v>1.2057780000000001E-2</v>
      </c>
      <c r="AH3268">
        <v>3.0006594946640499</v>
      </c>
      <c r="AI3268">
        <v>89.769798635117695</v>
      </c>
      <c r="AJ3268">
        <v>90.976218098591403</v>
      </c>
      <c r="AK3268">
        <v>3.00111931722912</v>
      </c>
      <c r="AL3268">
        <v>87.887596086107294</v>
      </c>
      <c r="AM3268">
        <v>89.828162410243493</v>
      </c>
      <c r="AN3268">
        <v>0.99999995691064203</v>
      </c>
    </row>
    <row r="3269" spans="1:40" x14ac:dyDescent="0.25">
      <c r="A3269" t="str">
        <f>"20190312150724722"</f>
        <v>20190312150724722</v>
      </c>
      <c r="B3269" t="str">
        <f>"1552374444712951"</f>
        <v>1552374444712951</v>
      </c>
      <c r="C3269" t="s">
        <v>40</v>
      </c>
      <c r="D3269">
        <v>4.2212449999999997</v>
      </c>
      <c r="E3269">
        <v>0.49244840000000001</v>
      </c>
      <c r="F3269" t="s">
        <v>48</v>
      </c>
      <c r="G3269">
        <v>0</v>
      </c>
      <c r="H3269">
        <v>0</v>
      </c>
      <c r="I3269">
        <v>0</v>
      </c>
      <c r="J3269">
        <v>-300.82749999999999</v>
      </c>
      <c r="K3269">
        <v>1.1093649999999999</v>
      </c>
      <c r="L3269">
        <v>282.4128</v>
      </c>
      <c r="M3269">
        <v>-0.99953349999999996</v>
      </c>
      <c r="N3269">
        <v>0</v>
      </c>
      <c r="O3269">
        <v>2.7777550000000002E-2</v>
      </c>
      <c r="P3269">
        <v>-0.99924000000000002</v>
      </c>
      <c r="Q3269">
        <v>2.4112600000000001E-2</v>
      </c>
      <c r="R3269">
        <v>3.0631780000000001E-2</v>
      </c>
      <c r="S3269">
        <v>-3.0011290000000002</v>
      </c>
      <c r="T3269">
        <v>9.9084380000000003E-3</v>
      </c>
      <c r="U3269">
        <v>3.0303960000000001E-2</v>
      </c>
      <c r="V3269">
        <v>2.9048379999999999E-3</v>
      </c>
      <c r="W3269">
        <v>3.6804770000000001E-2</v>
      </c>
      <c r="X3269">
        <v>0.99931820000000005</v>
      </c>
      <c r="Y3269">
        <v>-1.7685030000000001E-2</v>
      </c>
      <c r="Z3269">
        <v>1.208956E-4</v>
      </c>
      <c r="AA3269">
        <v>0.99984360000000005</v>
      </c>
      <c r="AB3269">
        <v>41</v>
      </c>
      <c r="AC3269">
        <v>-3.0011290000000002</v>
      </c>
      <c r="AD3269">
        <v>9.9084380000000003E-3</v>
      </c>
      <c r="AE3269">
        <v>3.0303960000000001E-2</v>
      </c>
      <c r="AF3269">
        <v>-5.3077887175728901E-2</v>
      </c>
      <c r="AG3269">
        <v>9.9084380000000003E-3</v>
      </c>
      <c r="AH3269">
        <v>3.0007798972014799</v>
      </c>
      <c r="AI3269">
        <v>89.810842231677</v>
      </c>
      <c r="AJ3269">
        <v>91.013343839792498</v>
      </c>
      <c r="AK3269">
        <v>3.0012656381432099</v>
      </c>
      <c r="AL3269">
        <v>87.890765526671203</v>
      </c>
      <c r="AM3269">
        <v>89.833451958743495</v>
      </c>
      <c r="AN3269">
        <v>0.99999994701489803</v>
      </c>
    </row>
    <row r="3270" spans="1:40" x14ac:dyDescent="0.25">
      <c r="A3270" t="str">
        <f>"20190312150724734"</f>
        <v>20190312150724734</v>
      </c>
      <c r="B3270" t="str">
        <f>"1552374444723686"</f>
        <v>1552374444723686</v>
      </c>
      <c r="C3270" t="s">
        <v>40</v>
      </c>
      <c r="D3270">
        <v>4.2222929999999996</v>
      </c>
      <c r="E3270">
        <v>0.49235980000000001</v>
      </c>
      <c r="F3270" t="s">
        <v>48</v>
      </c>
      <c r="G3270">
        <v>0</v>
      </c>
      <c r="H3270">
        <v>0</v>
      </c>
      <c r="I3270">
        <v>0</v>
      </c>
      <c r="J3270">
        <v>-301.02870000000001</v>
      </c>
      <c r="K3270">
        <v>1.109372</v>
      </c>
      <c r="L3270">
        <v>282.41860000000003</v>
      </c>
      <c r="M3270">
        <v>-0.9995269</v>
      </c>
      <c r="N3270">
        <v>0</v>
      </c>
      <c r="O3270">
        <v>2.798488E-2</v>
      </c>
      <c r="P3270">
        <v>-0.9992318</v>
      </c>
      <c r="Q3270">
        <v>2.420862E-2</v>
      </c>
      <c r="R3270">
        <v>3.082704E-2</v>
      </c>
      <c r="S3270">
        <v>-3.001099</v>
      </c>
      <c r="T3270">
        <v>8.6686609999999994E-3</v>
      </c>
      <c r="U3270">
        <v>2.990723E-2</v>
      </c>
      <c r="V3270">
        <v>2.893236E-3</v>
      </c>
      <c r="W3270">
        <v>3.6975359999999999E-2</v>
      </c>
      <c r="X3270">
        <v>0.99931199999999998</v>
      </c>
      <c r="Y3270">
        <v>-1.802455E-2</v>
      </c>
      <c r="Z3270">
        <v>1.0685909999999999E-4</v>
      </c>
      <c r="AA3270">
        <v>0.99983750000000005</v>
      </c>
      <c r="AB3270">
        <v>41</v>
      </c>
      <c r="AC3270">
        <v>-3.001099</v>
      </c>
      <c r="AD3270">
        <v>8.6686609999999994E-3</v>
      </c>
      <c r="AE3270">
        <v>2.990723E-2</v>
      </c>
      <c r="AF3270">
        <v>-5.4096267456629897E-2</v>
      </c>
      <c r="AG3270">
        <v>8.6686609999999994E-3</v>
      </c>
      <c r="AH3270">
        <v>3.0007354022919399</v>
      </c>
      <c r="AI3270">
        <v>89.834508694673801</v>
      </c>
      <c r="AJ3270">
        <v>91.032797527280096</v>
      </c>
      <c r="AK3270">
        <v>3.0012354966587398</v>
      </c>
      <c r="AL3270">
        <v>87.880984916670101</v>
      </c>
      <c r="AM3270">
        <v>89.834116123136099</v>
      </c>
      <c r="AN3270">
        <v>1.0000000107028399</v>
      </c>
    </row>
    <row r="3271" spans="1:40" x14ac:dyDescent="0.25">
      <c r="A3271" t="str">
        <f>"20190312150724745"</f>
        <v>20190312150724745</v>
      </c>
      <c r="B3271" t="str">
        <f>"1552374444733447"</f>
        <v>1552374444733447</v>
      </c>
      <c r="C3271" t="s">
        <v>40</v>
      </c>
      <c r="D3271">
        <v>4.2469650000000003</v>
      </c>
      <c r="E3271">
        <v>0.49225279999999999</v>
      </c>
      <c r="F3271" t="s">
        <v>48</v>
      </c>
      <c r="G3271">
        <v>0</v>
      </c>
      <c r="H3271">
        <v>0</v>
      </c>
      <c r="I3271">
        <v>0</v>
      </c>
      <c r="J3271">
        <v>-301.22910000000002</v>
      </c>
      <c r="K3271">
        <v>1.109381</v>
      </c>
      <c r="L3271">
        <v>282.42430000000002</v>
      </c>
      <c r="M3271">
        <v>-0.99951990000000002</v>
      </c>
      <c r="N3271">
        <v>0</v>
      </c>
      <c r="O3271">
        <v>2.819137E-2</v>
      </c>
      <c r="P3271">
        <v>-0.99923010000000001</v>
      </c>
      <c r="Q3271">
        <v>2.420657E-2</v>
      </c>
      <c r="R3271">
        <v>3.0878579999999999E-2</v>
      </c>
      <c r="S3271">
        <v>-3.0012509999999999</v>
      </c>
      <c r="T3271">
        <v>8.7517500000000008E-3</v>
      </c>
      <c r="U3271">
        <v>2.9846190000000002E-2</v>
      </c>
      <c r="V3271">
        <v>2.7382069999999999E-3</v>
      </c>
      <c r="W3271">
        <v>3.7047320000000002E-2</v>
      </c>
      <c r="X3271">
        <v>0.99930980000000003</v>
      </c>
      <c r="Y3271">
        <v>-1.8251980000000001E-2</v>
      </c>
      <c r="Z3271">
        <v>1.0881150000000001E-4</v>
      </c>
      <c r="AA3271">
        <v>0.99983339999999998</v>
      </c>
      <c r="AB3271">
        <v>41</v>
      </c>
      <c r="AC3271">
        <v>-3.0012509999999999</v>
      </c>
      <c r="AD3271">
        <v>8.7517500000000008E-3</v>
      </c>
      <c r="AE3271">
        <v>2.9846190000000002E-2</v>
      </c>
      <c r="AF3271">
        <v>-5.4781576410371999E-2</v>
      </c>
      <c r="AG3271">
        <v>8.7517500000000008E-3</v>
      </c>
      <c r="AH3271">
        <v>3.0008738984905698</v>
      </c>
      <c r="AI3271">
        <v>89.8329308719902</v>
      </c>
      <c r="AJ3271">
        <v>91.045830192590302</v>
      </c>
      <c r="AK3271">
        <v>3.0013866410184602</v>
      </c>
      <c r="AL3271">
        <v>87.876859145772102</v>
      </c>
      <c r="AM3271">
        <v>89.843004329698203</v>
      </c>
      <c r="AN3271">
        <v>1.0000000390363899</v>
      </c>
    </row>
    <row r="3272" spans="1:40" x14ac:dyDescent="0.25">
      <c r="A3272" t="str">
        <f>"20190312150724755"</f>
        <v>20190312150724755</v>
      </c>
      <c r="B3272" t="str">
        <f>"1552374444743207"</f>
        <v>1552374444743207</v>
      </c>
      <c r="C3272" t="s">
        <v>40</v>
      </c>
      <c r="D3272">
        <v>4.1894339999999897</v>
      </c>
      <c r="E3272">
        <v>0.49216729999999997</v>
      </c>
      <c r="F3272" t="s">
        <v>48</v>
      </c>
      <c r="G3272">
        <v>0</v>
      </c>
      <c r="H3272">
        <v>0</v>
      </c>
      <c r="I3272">
        <v>0</v>
      </c>
      <c r="J3272">
        <v>-301.43549999999999</v>
      </c>
      <c r="K3272">
        <v>1.10938799999999</v>
      </c>
      <c r="L3272">
        <v>282.43029999999999</v>
      </c>
      <c r="M3272">
        <v>-0.99951299999999998</v>
      </c>
      <c r="N3272">
        <v>0</v>
      </c>
      <c r="O3272">
        <v>2.8403299999999999E-2</v>
      </c>
      <c r="P3272">
        <v>-0.99922820000000001</v>
      </c>
      <c r="Q3272">
        <v>2.4199390000000001E-2</v>
      </c>
      <c r="R3272">
        <v>3.0944159999999998E-2</v>
      </c>
      <c r="S3272">
        <v>-3.0011899999999998</v>
      </c>
      <c r="T3272">
        <v>8.0579520000000002E-3</v>
      </c>
      <c r="U3272">
        <v>2.896118E-2</v>
      </c>
      <c r="V3272">
        <v>2.5919929999999999E-3</v>
      </c>
      <c r="W3272">
        <v>3.711213E-2</v>
      </c>
      <c r="X3272">
        <v>0.99930779999999997</v>
      </c>
      <c r="Y3272">
        <v>-1.875862E-2</v>
      </c>
      <c r="Z3272">
        <v>1.014368E-4</v>
      </c>
      <c r="AA3272">
        <v>0.99982400000000005</v>
      </c>
      <c r="AB3272">
        <v>41</v>
      </c>
      <c r="AC3272">
        <v>-3.0011899999999998</v>
      </c>
      <c r="AD3272">
        <v>8.0579520000000002E-3</v>
      </c>
      <c r="AE3272">
        <v>2.896118E-2</v>
      </c>
      <c r="AF3272">
        <v>-5.6300919987936397E-2</v>
      </c>
      <c r="AG3272">
        <v>8.0579520000000002E-3</v>
      </c>
      <c r="AH3272">
        <v>3.00077998405059</v>
      </c>
      <c r="AI3272">
        <v>89.846171896868896</v>
      </c>
      <c r="AJ3272">
        <v>91.074862763406799</v>
      </c>
      <c r="AK3272">
        <v>3.0013189162201002</v>
      </c>
      <c r="AL3272">
        <v>87.873143282651299</v>
      </c>
      <c r="AM3272">
        <v>89.851387203839707</v>
      </c>
      <c r="AN3272">
        <v>1.00000005388084</v>
      </c>
    </row>
    <row r="3273" spans="1:40" x14ac:dyDescent="0.25">
      <c r="A3273" t="str">
        <f>"20190312150724767"</f>
        <v>20190312150724767</v>
      </c>
      <c r="B3273" t="str">
        <f>"1552374444763702"</f>
        <v>1552374444763702</v>
      </c>
      <c r="C3273" t="s">
        <v>40</v>
      </c>
      <c r="D3273">
        <v>4.2150600000000003</v>
      </c>
      <c r="E3273">
        <v>0.49210589999999999</v>
      </c>
      <c r="F3273" t="s">
        <v>48</v>
      </c>
      <c r="G3273">
        <v>0</v>
      </c>
      <c r="H3273">
        <v>0</v>
      </c>
      <c r="I3273">
        <v>0</v>
      </c>
      <c r="J3273">
        <v>-301.63720000000001</v>
      </c>
      <c r="K3273">
        <v>1.1093959999999901</v>
      </c>
      <c r="L3273">
        <v>282.43619999999999</v>
      </c>
      <c r="M3273">
        <v>-0.99950629999999996</v>
      </c>
      <c r="N3273">
        <v>0</v>
      </c>
      <c r="O3273">
        <v>2.8610710000000001E-2</v>
      </c>
      <c r="P3273">
        <v>-0.99922</v>
      </c>
      <c r="Q3273">
        <v>2.4355330000000001E-2</v>
      </c>
      <c r="R3273">
        <v>3.108563E-2</v>
      </c>
      <c r="S3273">
        <v>-3.0012509999999999</v>
      </c>
      <c r="T3273">
        <v>7.3544980000000001E-3</v>
      </c>
      <c r="U3273">
        <v>2.835083E-2</v>
      </c>
      <c r="V3273">
        <v>2.52629E-3</v>
      </c>
      <c r="W3273">
        <v>3.733798E-2</v>
      </c>
      <c r="X3273">
        <v>0.99929950000000001</v>
      </c>
      <c r="Y3273">
        <v>-1.916965E-2</v>
      </c>
      <c r="Z3273" s="1">
        <v>9.3591429999999995E-5</v>
      </c>
      <c r="AA3273">
        <v>0.99981620000000004</v>
      </c>
      <c r="AB3273">
        <v>41</v>
      </c>
      <c r="AC3273">
        <v>-3.0012509999999999</v>
      </c>
      <c r="AD3273">
        <v>7.3544980000000001E-3</v>
      </c>
      <c r="AE3273">
        <v>2.835083E-2</v>
      </c>
      <c r="AF3273">
        <v>-5.7535593352134699E-2</v>
      </c>
      <c r="AG3273">
        <v>7.3544980000000001E-3</v>
      </c>
      <c r="AH3273">
        <v>3.0008153581573298</v>
      </c>
      <c r="AI3273">
        <v>89.859603684228404</v>
      </c>
      <c r="AJ3273">
        <v>91.0984157343498</v>
      </c>
      <c r="AK3273">
        <v>3.0013758923027498</v>
      </c>
      <c r="AL3273">
        <v>87.860193938580807</v>
      </c>
      <c r="AM3273">
        <v>89.855153088272104</v>
      </c>
      <c r="AN3273">
        <v>0.99999999879594703</v>
      </c>
    </row>
    <row r="3274" spans="1:40" x14ac:dyDescent="0.25">
      <c r="A3274" t="str">
        <f>"20190312150724778"</f>
        <v>20190312150724778</v>
      </c>
      <c r="B3274" t="str">
        <f>"1552374444773462"</f>
        <v>1552374444773462</v>
      </c>
      <c r="C3274" t="s">
        <v>40</v>
      </c>
      <c r="D3274">
        <v>4.191827</v>
      </c>
      <c r="E3274">
        <v>0.49203089999999999</v>
      </c>
      <c r="F3274" t="s">
        <v>48</v>
      </c>
      <c r="G3274">
        <v>0</v>
      </c>
      <c r="H3274">
        <v>0</v>
      </c>
      <c r="I3274">
        <v>0</v>
      </c>
      <c r="J3274">
        <v>-301.83429999999998</v>
      </c>
      <c r="K3274">
        <v>1.1094040000000001</v>
      </c>
      <c r="L3274">
        <v>282.44200000000001</v>
      </c>
      <c r="M3274">
        <v>-0.99949960000000004</v>
      </c>
      <c r="N3274">
        <v>0</v>
      </c>
      <c r="O3274">
        <v>2.881355E-2</v>
      </c>
      <c r="P3274">
        <v>-0.99921570000000004</v>
      </c>
      <c r="Q3274">
        <v>2.423523E-2</v>
      </c>
      <c r="R3274">
        <v>3.1317089999999999E-2</v>
      </c>
      <c r="S3274">
        <v>-3.0013730000000001</v>
      </c>
      <c r="T3274">
        <v>5.186558E-3</v>
      </c>
      <c r="U3274">
        <v>2.8411869999999999E-2</v>
      </c>
      <c r="V3274">
        <v>2.554855E-3</v>
      </c>
      <c r="W3274">
        <v>3.7283190000000001E-2</v>
      </c>
      <c r="X3274">
        <v>0.99930149999999995</v>
      </c>
      <c r="Y3274">
        <v>-1.9352709999999999E-2</v>
      </c>
      <c r="Z3274" s="1">
        <v>6.6508760000000007E-5</v>
      </c>
      <c r="AA3274">
        <v>0.9998127</v>
      </c>
      <c r="AB3274">
        <v>41</v>
      </c>
      <c r="AC3274">
        <v>-3.0013730000000001</v>
      </c>
      <c r="AD3274">
        <v>5.186558E-3</v>
      </c>
      <c r="AE3274">
        <v>2.8411869999999999E-2</v>
      </c>
      <c r="AF3274">
        <v>-5.80873320613743E-2</v>
      </c>
      <c r="AG3274">
        <v>5.186558E-3</v>
      </c>
      <c r="AH3274">
        <v>3.0009363839996799</v>
      </c>
      <c r="AI3274">
        <v>89.9009935914967</v>
      </c>
      <c r="AJ3274">
        <v>91.108901683930995</v>
      </c>
      <c r="AK3274">
        <v>3.0015029933922999</v>
      </c>
      <c r="AL3274">
        <v>87.863335419219197</v>
      </c>
      <c r="AM3274">
        <v>89.853515590809593</v>
      </c>
      <c r="AN3274">
        <v>1.0000000257214401</v>
      </c>
    </row>
    <row r="3275" spans="1:40" x14ac:dyDescent="0.25">
      <c r="A3275" t="str">
        <f>"20190312150724800"</f>
        <v>20190312150724800</v>
      </c>
      <c r="B3275" t="str">
        <f>"1552374444792986"</f>
        <v>1552374444792986</v>
      </c>
      <c r="C3275" t="s">
        <v>40</v>
      </c>
      <c r="D3275">
        <v>4.1892569999999996</v>
      </c>
      <c r="E3275">
        <v>0.49170059999999899</v>
      </c>
      <c r="F3275" t="s">
        <v>48</v>
      </c>
      <c r="G3275">
        <v>0</v>
      </c>
      <c r="H3275">
        <v>0</v>
      </c>
      <c r="I3275">
        <v>0</v>
      </c>
      <c r="J3275">
        <v>-302.245</v>
      </c>
      <c r="K3275">
        <v>1.1094109999999999</v>
      </c>
      <c r="L3275">
        <v>282.45429999999999</v>
      </c>
      <c r="M3275">
        <v>-0.99948559999999997</v>
      </c>
      <c r="N3275">
        <v>0</v>
      </c>
      <c r="O3275">
        <v>2.9237099999999999E-2</v>
      </c>
      <c r="P3275">
        <v>-0.99920299999999995</v>
      </c>
      <c r="Q3275">
        <v>2.4100070000000001E-2</v>
      </c>
      <c r="R3275">
        <v>3.1826380000000001E-2</v>
      </c>
      <c r="S3275">
        <v>-3.0013730000000001</v>
      </c>
      <c r="T3275">
        <v>4.4476990000000003E-3</v>
      </c>
      <c r="U3275">
        <v>2.8320310000000001E-2</v>
      </c>
      <c r="V3275">
        <v>2.64066E-3</v>
      </c>
      <c r="W3275">
        <v>3.7277949999999997E-2</v>
      </c>
      <c r="X3275">
        <v>0.99930140000000001</v>
      </c>
      <c r="Y3275">
        <v>-1.9806959999999998E-2</v>
      </c>
      <c r="Z3275" s="1">
        <v>5.7998290000000003E-5</v>
      </c>
      <c r="AA3275">
        <v>0.99980380000000002</v>
      </c>
      <c r="AB3275">
        <v>41</v>
      </c>
      <c r="AC3275">
        <v>-3.0013730000000001</v>
      </c>
      <c r="AD3275">
        <v>4.4476990000000003E-3</v>
      </c>
      <c r="AE3275">
        <v>2.8320310000000001E-2</v>
      </c>
      <c r="AF3275">
        <v>-5.9450734309714898E-2</v>
      </c>
      <c r="AG3275">
        <v>4.4476990000000003E-3</v>
      </c>
      <c r="AH3275">
        <v>3.0009111901812502</v>
      </c>
      <c r="AI3275">
        <v>89.915097720089804</v>
      </c>
      <c r="AJ3275">
        <v>91.1349321695388</v>
      </c>
      <c r="AK3275">
        <v>3.0015033138731302</v>
      </c>
      <c r="AL3275">
        <v>87.863635703248505</v>
      </c>
      <c r="AM3275">
        <v>89.848595908135593</v>
      </c>
      <c r="AN3275">
        <v>0.999999953341697</v>
      </c>
    </row>
    <row r="3276" spans="1:40" x14ac:dyDescent="0.25">
      <c r="A3276" t="str">
        <f>"20190312150724812"</f>
        <v>20190312150724812</v>
      </c>
      <c r="B3276" t="str">
        <f>"1552374444803718"</f>
        <v>1552374444803718</v>
      </c>
      <c r="C3276" t="s">
        <v>40</v>
      </c>
      <c r="D3276">
        <v>4.1775010000000004</v>
      </c>
      <c r="E3276">
        <v>0.4699661</v>
      </c>
      <c r="F3276" t="s">
        <v>48</v>
      </c>
      <c r="G3276">
        <v>0</v>
      </c>
      <c r="H3276">
        <v>0</v>
      </c>
      <c r="I3276">
        <v>0</v>
      </c>
      <c r="J3276">
        <v>-302.46100000000001</v>
      </c>
      <c r="K3276">
        <v>1.109416</v>
      </c>
      <c r="L3276">
        <v>282.46080000000001</v>
      </c>
      <c r="M3276">
        <v>-0.99947819999999998</v>
      </c>
      <c r="N3276">
        <v>0</v>
      </c>
      <c r="O3276">
        <v>2.9460259999999999E-2</v>
      </c>
      <c r="P3276">
        <v>-0.99920489999999995</v>
      </c>
      <c r="Q3276">
        <v>2.4074419999999999E-2</v>
      </c>
      <c r="R3276">
        <v>3.1783640000000002E-2</v>
      </c>
      <c r="S3276">
        <v>-3.001404</v>
      </c>
      <c r="T3276">
        <v>3.7848949999999999E-3</v>
      </c>
      <c r="U3276">
        <v>2.734375E-2</v>
      </c>
      <c r="V3276">
        <v>2.3744959999999998E-3</v>
      </c>
      <c r="W3276">
        <v>3.7316540000000002E-2</v>
      </c>
      <c r="X3276">
        <v>0.99930070000000004</v>
      </c>
      <c r="Y3276">
        <v>-2.0355600000000001E-2</v>
      </c>
      <c r="Z3276" s="1">
        <v>4.9982180000000003E-5</v>
      </c>
      <c r="AA3276">
        <v>0.99979280000000004</v>
      </c>
      <c r="AB3276">
        <v>41</v>
      </c>
      <c r="AC3276">
        <v>-3.001404</v>
      </c>
      <c r="AD3276">
        <v>3.7848949999999999E-3</v>
      </c>
      <c r="AE3276">
        <v>2.734375E-2</v>
      </c>
      <c r="AF3276">
        <v>-6.1097922189290499E-2</v>
      </c>
      <c r="AG3276">
        <v>3.7848949999999999E-3</v>
      </c>
      <c r="AH3276">
        <v>3.0009018719365299</v>
      </c>
      <c r="AI3276">
        <v>89.927750565924896</v>
      </c>
      <c r="AJ3276">
        <v>91.166372526314206</v>
      </c>
      <c r="AK3276">
        <v>3.0015261662224799</v>
      </c>
      <c r="AL3276">
        <v>87.861423274358302</v>
      </c>
      <c r="AM3276">
        <v>89.863856451594103</v>
      </c>
      <c r="AN3276">
        <v>1.00000002570465</v>
      </c>
    </row>
    <row r="3277" spans="1:40" x14ac:dyDescent="0.25">
      <c r="A3277" t="str">
        <f>"20190312150724823"</f>
        <v>20190312150724823</v>
      </c>
      <c r="B3277" t="str">
        <f>"1552374444813478"</f>
        <v>1552374444813478</v>
      </c>
      <c r="C3277" t="s">
        <v>40</v>
      </c>
      <c r="D3277">
        <v>4.2070150000000002</v>
      </c>
      <c r="E3277">
        <v>0.4697904</v>
      </c>
      <c r="F3277" t="s">
        <v>68</v>
      </c>
      <c r="G3277">
        <v>-429.98829999999998</v>
      </c>
      <c r="H3277">
        <v>3.0067779999999999E-2</v>
      </c>
      <c r="I3277">
        <v>276.23289999999997</v>
      </c>
      <c r="J3277">
        <v>-302.66520000000003</v>
      </c>
      <c r="K3277">
        <v>1.109424</v>
      </c>
      <c r="L3277">
        <v>282.46690000000001</v>
      </c>
      <c r="M3277">
        <v>-0.999471</v>
      </c>
      <c r="N3277">
        <v>0</v>
      </c>
      <c r="O3277">
        <v>2.9671469999999998E-2</v>
      </c>
      <c r="P3277">
        <v>-0.9991968</v>
      </c>
      <c r="Q3277">
        <v>2.3998990000000001E-2</v>
      </c>
      <c r="R3277">
        <v>3.2091059999999998E-2</v>
      </c>
      <c r="S3277">
        <v>-3.00766</v>
      </c>
      <c r="T3277">
        <v>-2.5455829999999999E-2</v>
      </c>
      <c r="U3277">
        <v>-0.14688109999999999</v>
      </c>
      <c r="V3277">
        <v>2.470716E-3</v>
      </c>
      <c r="W3277">
        <v>3.7300819999999998E-2</v>
      </c>
      <c r="X3277">
        <v>0.99930099999999999</v>
      </c>
      <c r="Y3277">
        <v>-7.8391000000000002E-2</v>
      </c>
      <c r="Z3277">
        <v>-5.8254970000000004E-4</v>
      </c>
      <c r="AA3277">
        <v>0.99692250000000004</v>
      </c>
      <c r="AB3277">
        <v>41</v>
      </c>
      <c r="AC3277">
        <v>-127.323099999999</v>
      </c>
      <c r="AD3277">
        <v>-1.07935622</v>
      </c>
      <c r="AE3277">
        <v>-6.2340000000000302</v>
      </c>
      <c r="AF3277">
        <v>-10.008735699681701</v>
      </c>
      <c r="AG3277">
        <v>-1.07935622</v>
      </c>
      <c r="AH3277">
        <v>127.072931776004</v>
      </c>
      <c r="AI3277">
        <v>90.485155592035596</v>
      </c>
      <c r="AJ3277">
        <v>94.503530702732704</v>
      </c>
      <c r="AK3277">
        <v>127.47105471558901</v>
      </c>
      <c r="AL3277">
        <v>87.862324476865496</v>
      </c>
      <c r="AM3277">
        <v>89.858339668706293</v>
      </c>
      <c r="AN3277">
        <v>0.99999997210561198</v>
      </c>
    </row>
    <row r="3278" spans="1:40" x14ac:dyDescent="0.25">
      <c r="A3278" t="str">
        <f>"20190312150724834"</f>
        <v>20190312150724834</v>
      </c>
      <c r="B3278" t="str">
        <f>"1552374444823239"</f>
        <v>1552374444823239</v>
      </c>
      <c r="C3278" t="s">
        <v>40</v>
      </c>
      <c r="D3278">
        <v>4.197457</v>
      </c>
      <c r="E3278">
        <v>0.4697942</v>
      </c>
      <c r="F3278" t="s">
        <v>67</v>
      </c>
      <c r="G3278">
        <v>-381.28620000000001</v>
      </c>
      <c r="H3278">
        <v>8.0001089999999997E-2</v>
      </c>
      <c r="I3278">
        <v>278.60340000000002</v>
      </c>
      <c r="J3278">
        <v>-302.87290000000002</v>
      </c>
      <c r="K3278">
        <v>1.1094360000000001</v>
      </c>
      <c r="L3278">
        <v>282.47329999999999</v>
      </c>
      <c r="M3278">
        <v>-0.99946409999999997</v>
      </c>
      <c r="N3278">
        <v>0</v>
      </c>
      <c r="O3278">
        <v>2.9885430000000001E-2</v>
      </c>
      <c r="P3278">
        <v>-0.9991911</v>
      </c>
      <c r="Q3278">
        <v>2.4100449999999999E-2</v>
      </c>
      <c r="R3278">
        <v>3.219574E-2</v>
      </c>
      <c r="S3278">
        <v>-3.0081479999999998</v>
      </c>
      <c r="T3278">
        <v>-3.9387110000000003E-2</v>
      </c>
      <c r="U3278">
        <v>-0.14782709999999999</v>
      </c>
      <c r="V3278">
        <v>2.3614980000000001E-3</v>
      </c>
      <c r="W3278">
        <v>3.74595E-2</v>
      </c>
      <c r="X3278">
        <v>0.99929539999999994</v>
      </c>
      <c r="Y3278">
        <v>-7.8903849999999998E-2</v>
      </c>
      <c r="Z3278">
        <v>-9.0734330000000001E-4</v>
      </c>
      <c r="AA3278">
        <v>0.99688180000000004</v>
      </c>
      <c r="AB3278">
        <v>41</v>
      </c>
      <c r="AC3278">
        <v>-78.413299999999893</v>
      </c>
      <c r="AD3278">
        <v>-1.02943491</v>
      </c>
      <c r="AE3278">
        <v>-3.8698999999999701</v>
      </c>
      <c r="AF3278">
        <v>-6.2107275092328997</v>
      </c>
      <c r="AG3278">
        <v>-1.02943491</v>
      </c>
      <c r="AH3278">
        <v>78.249151309947294</v>
      </c>
      <c r="AI3278">
        <v>90.751369050057207</v>
      </c>
      <c r="AJ3278">
        <v>94.538119886485106</v>
      </c>
      <c r="AK3278">
        <v>78.5019907591833</v>
      </c>
      <c r="AL3278">
        <v>87.853226577473507</v>
      </c>
      <c r="AM3278">
        <v>89.864600980991696</v>
      </c>
      <c r="AN3278">
        <v>1.0000000436370999</v>
      </c>
    </row>
    <row r="3279" spans="1:40" x14ac:dyDescent="0.25">
      <c r="A3279" t="str">
        <f>"20190312150724846"</f>
        <v>20190312150724846</v>
      </c>
      <c r="B3279" t="str">
        <f>"1552374444832998"</f>
        <v>1552374444832998</v>
      </c>
      <c r="C3279" t="s">
        <v>40</v>
      </c>
      <c r="D3279">
        <v>4.1822480000000004</v>
      </c>
      <c r="E3279">
        <v>0.46981869999999998</v>
      </c>
      <c r="F3279" t="s">
        <v>67</v>
      </c>
      <c r="G3279">
        <v>-369.73829999999998</v>
      </c>
      <c r="H3279">
        <v>8.0000070000000006E-2</v>
      </c>
      <c r="I3279">
        <v>279.19299999999998</v>
      </c>
      <c r="J3279">
        <v>-303.07780000000002</v>
      </c>
      <c r="K3279">
        <v>1.109443</v>
      </c>
      <c r="L3279">
        <v>282.4796</v>
      </c>
      <c r="M3279">
        <v>-0.99945689999999998</v>
      </c>
      <c r="N3279">
        <v>0</v>
      </c>
      <c r="O3279">
        <v>3.0096769999999998E-2</v>
      </c>
      <c r="P3279">
        <v>-0.99917889999999998</v>
      </c>
      <c r="Q3279">
        <v>2.4287409999999999E-2</v>
      </c>
      <c r="R3279">
        <v>3.2429680000000002E-2</v>
      </c>
      <c r="S3279">
        <v>-3.0083009999999999</v>
      </c>
      <c r="T3279">
        <v>-4.6314719999999997E-2</v>
      </c>
      <c r="U3279">
        <v>-0.14758299999999999</v>
      </c>
      <c r="V3279">
        <v>2.3843750000000002E-3</v>
      </c>
      <c r="W3279">
        <v>3.770155E-2</v>
      </c>
      <c r="X3279">
        <v>0.99928620000000001</v>
      </c>
      <c r="Y3279">
        <v>-7.9027890000000003E-2</v>
      </c>
      <c r="Z3279">
        <v>-1.071069E-3</v>
      </c>
      <c r="AA3279">
        <v>0.99687179999999997</v>
      </c>
      <c r="AB3279">
        <v>41</v>
      </c>
      <c r="AC3279">
        <v>-66.6604999999999</v>
      </c>
      <c r="AD3279">
        <v>-1.0294429300000001</v>
      </c>
      <c r="AE3279">
        <v>-3.2866000000000199</v>
      </c>
      <c r="AF3279">
        <v>-5.2902986666478196</v>
      </c>
      <c r="AG3279">
        <v>-1.0294429300000001</v>
      </c>
      <c r="AH3279">
        <v>66.515546983193204</v>
      </c>
      <c r="AI3279">
        <v>90.883889526611597</v>
      </c>
      <c r="AJ3279">
        <v>94.5474340235928</v>
      </c>
      <c r="AK3279">
        <v>66.733537319715396</v>
      </c>
      <c r="AL3279">
        <v>87.839348238485996</v>
      </c>
      <c r="AM3279">
        <v>89.863288049998502</v>
      </c>
      <c r="AN3279">
        <v>1.0000000008134899</v>
      </c>
    </row>
    <row r="3280" spans="1:40" x14ac:dyDescent="0.25">
      <c r="A3280" t="str">
        <f>"20190312150724857"</f>
        <v>20190312150724857</v>
      </c>
      <c r="B3280" t="str">
        <f>"1552374444853495"</f>
        <v>1552374444853495</v>
      </c>
      <c r="C3280" t="s">
        <v>40</v>
      </c>
      <c r="D3280">
        <v>4.1190259999999999</v>
      </c>
      <c r="E3280">
        <v>0.46934419999999999</v>
      </c>
      <c r="F3280" t="s">
        <v>67</v>
      </c>
      <c r="G3280">
        <v>-371.642</v>
      </c>
      <c r="H3280">
        <v>8.0000979999999999E-2</v>
      </c>
      <c r="I3280">
        <v>279.13549999999998</v>
      </c>
      <c r="J3280">
        <v>-303.28120000000001</v>
      </c>
      <c r="K3280">
        <v>1.109453</v>
      </c>
      <c r="L3280">
        <v>282.48590000000002</v>
      </c>
      <c r="M3280">
        <v>-0.99944999999999995</v>
      </c>
      <c r="N3280">
        <v>0</v>
      </c>
      <c r="O3280">
        <v>3.0305760000000001E-2</v>
      </c>
      <c r="P3280">
        <v>-0.99916769999999999</v>
      </c>
      <c r="Q3280">
        <v>2.4477369999999998E-2</v>
      </c>
      <c r="R3280">
        <v>3.2638830000000001E-2</v>
      </c>
      <c r="S3280">
        <v>-3.0083310000000001</v>
      </c>
      <c r="T3280">
        <v>-4.516792E-2</v>
      </c>
      <c r="U3280">
        <v>-0.14672850000000001</v>
      </c>
      <c r="V3280">
        <v>2.3851990000000002E-3</v>
      </c>
      <c r="W3280">
        <v>3.7942190000000001E-2</v>
      </c>
      <c r="X3280">
        <v>0.99927710000000003</v>
      </c>
      <c r="Y3280">
        <v>-7.8953999999999996E-2</v>
      </c>
      <c r="Z3280">
        <v>-1.0471289999999999E-3</v>
      </c>
      <c r="AA3280">
        <v>0.99687769999999998</v>
      </c>
      <c r="AB3280">
        <v>41</v>
      </c>
      <c r="AC3280">
        <v>-68.360799999999898</v>
      </c>
      <c r="AD3280">
        <v>-1.0294520199999999</v>
      </c>
      <c r="AE3280">
        <v>-3.3504000000000298</v>
      </c>
      <c r="AF3280">
        <v>-5.41954850009758</v>
      </c>
      <c r="AG3280">
        <v>-1.0294520199999999</v>
      </c>
      <c r="AH3280">
        <v>68.212416956014195</v>
      </c>
      <c r="AI3280">
        <v>90.861918326618394</v>
      </c>
      <c r="AJ3280">
        <v>94.542667689096902</v>
      </c>
      <c r="AK3280">
        <v>68.4351160179299</v>
      </c>
      <c r="AL3280">
        <v>87.825550731571099</v>
      </c>
      <c r="AM3280">
        <v>89.863239559417195</v>
      </c>
      <c r="AN3280">
        <v>1.00000001077033</v>
      </c>
    </row>
    <row r="3281" spans="1:40" x14ac:dyDescent="0.25">
      <c r="A3281" t="str">
        <f>"20190312150724870"</f>
        <v>20190312150724870</v>
      </c>
      <c r="B3281" t="str">
        <f>"1552374444863254"</f>
        <v>1552374444863254</v>
      </c>
      <c r="C3281" t="s">
        <v>40</v>
      </c>
      <c r="D3281">
        <v>4.1674069999999999</v>
      </c>
      <c r="E3281">
        <v>0.4694296</v>
      </c>
      <c r="F3281" t="s">
        <v>67</v>
      </c>
      <c r="G3281">
        <v>-385.40879999999999</v>
      </c>
      <c r="H3281">
        <v>8.0001340000000004E-2</v>
      </c>
      <c r="I3281">
        <v>278.40019999999998</v>
      </c>
      <c r="J3281">
        <v>-303.49860000000001</v>
      </c>
      <c r="K3281">
        <v>1.109459</v>
      </c>
      <c r="L3281">
        <v>282.49270000000001</v>
      </c>
      <c r="M3281">
        <v>-0.99944250000000001</v>
      </c>
      <c r="N3281">
        <v>0</v>
      </c>
      <c r="O3281">
        <v>3.0528679999999999E-2</v>
      </c>
      <c r="P3281">
        <v>-0.99915540000000003</v>
      </c>
      <c r="Q3281">
        <v>2.4760190000000001E-2</v>
      </c>
      <c r="R3281">
        <v>3.2799469999999997E-2</v>
      </c>
      <c r="S3281">
        <v>-3.0083009999999999</v>
      </c>
      <c r="T3281">
        <v>-3.7708400000000003E-2</v>
      </c>
      <c r="U3281">
        <v>-0.14965819999999999</v>
      </c>
      <c r="V3281">
        <v>2.3233479999999998E-3</v>
      </c>
      <c r="W3281">
        <v>3.827668E-2</v>
      </c>
      <c r="X3281">
        <v>0.9992645</v>
      </c>
      <c r="Y3281">
        <v>-8.0148910000000004E-2</v>
      </c>
      <c r="Z3281">
        <v>-8.8447660000000002E-4</v>
      </c>
      <c r="AA3281">
        <v>0.99678250000000002</v>
      </c>
      <c r="AB3281">
        <v>41</v>
      </c>
      <c r="AC3281">
        <v>-81.910199999999904</v>
      </c>
      <c r="AD3281">
        <v>-1.0294576600000001</v>
      </c>
      <c r="AE3281">
        <v>-4.0925000000000296</v>
      </c>
      <c r="AF3281">
        <v>-6.59039242237679</v>
      </c>
      <c r="AG3281">
        <v>-1.0294576600000001</v>
      </c>
      <c r="AH3281">
        <v>81.734185520556593</v>
      </c>
      <c r="AI3281">
        <v>90.719278947412604</v>
      </c>
      <c r="AJ3281">
        <v>94.6099012013823</v>
      </c>
      <c r="AK3281">
        <v>82.005915262640798</v>
      </c>
      <c r="AL3281">
        <v>87.806371958076198</v>
      </c>
      <c r="AM3281">
        <v>89.866784224930498</v>
      </c>
      <c r="AN3281">
        <v>1.0000000215689999</v>
      </c>
    </row>
    <row r="3282" spans="1:40" x14ac:dyDescent="0.25">
      <c r="A3282" t="str">
        <f>"20190312150724881"</f>
        <v>20190312150724881</v>
      </c>
      <c r="B3282" t="str">
        <f>"1552374444873014"</f>
        <v>1552374444873014</v>
      </c>
      <c r="C3282" t="s">
        <v>40</v>
      </c>
      <c r="D3282">
        <v>4.1673010000000001</v>
      </c>
      <c r="E3282">
        <v>0.46974890000000002</v>
      </c>
      <c r="F3282" t="s">
        <v>67</v>
      </c>
      <c r="G3282">
        <v>-379.9486</v>
      </c>
      <c r="H3282">
        <v>8.0000009999999996E-2</v>
      </c>
      <c r="I3282">
        <v>278.71980000000002</v>
      </c>
      <c r="J3282">
        <v>-303.73059999999998</v>
      </c>
      <c r="K3282">
        <v>1.1094649999999999</v>
      </c>
      <c r="L3282">
        <v>282.5</v>
      </c>
      <c r="M3282">
        <v>-0.99943439999999995</v>
      </c>
      <c r="N3282">
        <v>0</v>
      </c>
      <c r="O3282">
        <v>3.0766499999999999E-2</v>
      </c>
      <c r="P3282">
        <v>-0.9991584</v>
      </c>
      <c r="Q3282">
        <v>2.4553479999999999E-2</v>
      </c>
      <c r="R3282">
        <v>3.2851060000000001E-2</v>
      </c>
      <c r="S3282">
        <v>-3.0084230000000001</v>
      </c>
      <c r="T3282">
        <v>-4.0510770000000002E-2</v>
      </c>
      <c r="U3282">
        <v>-0.14846799999999999</v>
      </c>
      <c r="V3282">
        <v>2.1364460000000002E-3</v>
      </c>
      <c r="W3282">
        <v>3.8122299999999998E-2</v>
      </c>
      <c r="X3282">
        <v>0.99927080000000001</v>
      </c>
      <c r="Y3282">
        <v>-7.9989379999999999E-2</v>
      </c>
      <c r="Z3282">
        <v>-9.5230019999999996E-4</v>
      </c>
      <c r="AA3282">
        <v>0.99679519999999999</v>
      </c>
      <c r="AB3282">
        <v>41</v>
      </c>
      <c r="AC3282">
        <v>-76.218000000000004</v>
      </c>
      <c r="AD3282">
        <v>-1.0294649899999999</v>
      </c>
      <c r="AE3282">
        <v>-3.78019999999997</v>
      </c>
      <c r="AF3282">
        <v>-6.1224731260283898</v>
      </c>
      <c r="AG3282">
        <v>-1.0294649899999999</v>
      </c>
      <c r="AH3282">
        <v>76.051756988243298</v>
      </c>
      <c r="AI3282">
        <v>90.773029096300405</v>
      </c>
      <c r="AJ3282">
        <v>94.602615400309205</v>
      </c>
      <c r="AK3282">
        <v>76.304745700011296</v>
      </c>
      <c r="AL3282">
        <v>87.815223700250797</v>
      </c>
      <c r="AM3282">
        <v>89.877501521665195</v>
      </c>
      <c r="AN3282">
        <v>1.0000000029457199</v>
      </c>
    </row>
    <row r="3283" spans="1:40" x14ac:dyDescent="0.25">
      <c r="A3283" t="str">
        <f>"20190312150724894"</f>
        <v>20190312150724894</v>
      </c>
      <c r="B3283" t="str">
        <f>"1552374444883750"</f>
        <v>1552374444883750</v>
      </c>
      <c r="C3283" t="s">
        <v>40</v>
      </c>
      <c r="D3283">
        <v>4.1644040000000002</v>
      </c>
      <c r="E3283">
        <v>0.46978720000000002</v>
      </c>
      <c r="F3283" t="s">
        <v>67</v>
      </c>
      <c r="G3283">
        <v>-375.7319</v>
      </c>
      <c r="H3283">
        <v>8.0001249999999996E-2</v>
      </c>
      <c r="I3283">
        <v>279.00209999999998</v>
      </c>
      <c r="J3283">
        <v>-303.95999999999998</v>
      </c>
      <c r="K3283">
        <v>1.109469</v>
      </c>
      <c r="L3283">
        <v>282.50729999999999</v>
      </c>
      <c r="M3283">
        <v>-0.9994265</v>
      </c>
      <c r="N3283">
        <v>0</v>
      </c>
      <c r="O3283">
        <v>3.100083E-2</v>
      </c>
      <c r="P3283">
        <v>-0.99914999999999998</v>
      </c>
      <c r="Q3283">
        <v>2.4512180000000001E-2</v>
      </c>
      <c r="R3283">
        <v>3.3145279999999999E-2</v>
      </c>
      <c r="S3283">
        <v>-3.0083310000000001</v>
      </c>
      <c r="T3283">
        <v>-4.3012620000000001E-2</v>
      </c>
      <c r="U3283">
        <v>-0.14614869999999999</v>
      </c>
      <c r="V3283">
        <v>2.1964089999999999E-3</v>
      </c>
      <c r="W3283">
        <v>3.8128500000000003E-2</v>
      </c>
      <c r="X3283">
        <v>0.9992704</v>
      </c>
      <c r="Y3283">
        <v>-7.9456689999999996E-2</v>
      </c>
      <c r="Z3283">
        <v>-1.010698E-3</v>
      </c>
      <c r="AA3283">
        <v>0.9968378</v>
      </c>
      <c r="AB3283">
        <v>41</v>
      </c>
      <c r="AC3283">
        <v>-71.771900000000002</v>
      </c>
      <c r="AD3283">
        <v>-1.02946775</v>
      </c>
      <c r="AE3283">
        <v>-3.5051999999999999</v>
      </c>
      <c r="AF3283">
        <v>-5.7275343704653503</v>
      </c>
      <c r="AG3283">
        <v>-1.02946775</v>
      </c>
      <c r="AH3283">
        <v>71.614024125044494</v>
      </c>
      <c r="AI3283">
        <v>90.820961950164602</v>
      </c>
      <c r="AJ3283">
        <v>94.572659186211794</v>
      </c>
      <c r="AK3283">
        <v>71.850072409118695</v>
      </c>
      <c r="AL3283">
        <v>87.814868134888698</v>
      </c>
      <c r="AM3283">
        <v>89.874063353500802</v>
      </c>
      <c r="AN3283">
        <v>0.999999969520452</v>
      </c>
    </row>
    <row r="3284" spans="1:40" x14ac:dyDescent="0.25">
      <c r="A3284" t="str">
        <f>"20190312150724912"</f>
        <v>20190312150724912</v>
      </c>
      <c r="B3284" t="str">
        <f>"1552374444903270"</f>
        <v>1552374444903270</v>
      </c>
      <c r="C3284" t="s">
        <v>40</v>
      </c>
      <c r="D3284">
        <v>4.1776309999999999</v>
      </c>
      <c r="E3284">
        <v>0.46994439999999998</v>
      </c>
      <c r="F3284" t="s">
        <v>67</v>
      </c>
      <c r="G3284">
        <v>-377.34550000000002</v>
      </c>
      <c r="H3284">
        <v>8.0000769999999999E-2</v>
      </c>
      <c r="I3284">
        <v>278.97570000000002</v>
      </c>
      <c r="J3284">
        <v>-304.28160000000003</v>
      </c>
      <c r="K3284">
        <v>1.109477</v>
      </c>
      <c r="L3284">
        <v>282.51749999999998</v>
      </c>
      <c r="M3284">
        <v>-0.99941559999999896</v>
      </c>
      <c r="N3284">
        <v>0</v>
      </c>
      <c r="O3284">
        <v>3.1328160000000001E-2</v>
      </c>
      <c r="P3284">
        <v>-0.99914899999999995</v>
      </c>
      <c r="Q3284">
        <v>2.4425430000000001E-2</v>
      </c>
      <c r="R3284">
        <v>3.3241979999999997E-2</v>
      </c>
      <c r="S3284">
        <v>-3.0084230000000001</v>
      </c>
      <c r="T3284">
        <v>-4.2202829999999997E-2</v>
      </c>
      <c r="U3284">
        <v>-0.1447754</v>
      </c>
      <c r="V3284">
        <v>1.965634E-3</v>
      </c>
      <c r="W3284">
        <v>3.8104190000000003E-2</v>
      </c>
      <c r="X3284">
        <v>0.99927180000000004</v>
      </c>
      <c r="Y3284">
        <v>-7.9328159999999995E-2</v>
      </c>
      <c r="Z3284">
        <v>-9.9534030000000004E-4</v>
      </c>
      <c r="AA3284">
        <v>0.99684799999999996</v>
      </c>
      <c r="AB3284">
        <v>41</v>
      </c>
      <c r="AC3284">
        <v>-73.063899999999904</v>
      </c>
      <c r="AD3284">
        <v>-1.02947623</v>
      </c>
      <c r="AE3284">
        <v>-3.5417999999999599</v>
      </c>
      <c r="AF3284">
        <v>-5.8280784564190702</v>
      </c>
      <c r="AG3284">
        <v>-1.02947623</v>
      </c>
      <c r="AH3284">
        <v>72.902622167612193</v>
      </c>
      <c r="AI3284">
        <v>90.806461736153594</v>
      </c>
      <c r="AJ3284">
        <v>94.570695000151701</v>
      </c>
      <c r="AK3284">
        <v>73.142454420917005</v>
      </c>
      <c r="AL3284">
        <v>87.816261991038999</v>
      </c>
      <c r="AM3284">
        <v>89.887295541604303</v>
      </c>
      <c r="AN3284">
        <v>0.99999996164390803</v>
      </c>
    </row>
    <row r="3285" spans="1:40" x14ac:dyDescent="0.25">
      <c r="A3285" t="str">
        <f>"20190312150724925"</f>
        <v>20190312150724925</v>
      </c>
      <c r="B3285" t="str">
        <f>"1552374444913030"</f>
        <v>1552374444913030</v>
      </c>
      <c r="C3285" t="s">
        <v>40</v>
      </c>
      <c r="D3285">
        <v>4.1546029999999998</v>
      </c>
      <c r="E3285">
        <v>0.46992260000000002</v>
      </c>
      <c r="F3285" t="s">
        <v>67</v>
      </c>
      <c r="G3285">
        <v>-379.0761</v>
      </c>
      <c r="H3285">
        <v>8.0000269999999998E-2</v>
      </c>
      <c r="I3285">
        <v>278.95679999999999</v>
      </c>
      <c r="J3285">
        <v>-304.52260000000001</v>
      </c>
      <c r="K3285">
        <v>1.1094809999999999</v>
      </c>
      <c r="L3285">
        <v>282.52519999999998</v>
      </c>
      <c r="M3285">
        <v>-0.99940709999999999</v>
      </c>
      <c r="N3285">
        <v>0</v>
      </c>
      <c r="O3285">
        <v>3.1573240000000002E-2</v>
      </c>
      <c r="P3285">
        <v>-0.99914389999999997</v>
      </c>
      <c r="Q3285">
        <v>2.4405340000000001E-2</v>
      </c>
      <c r="R3285">
        <v>3.3406869999999998E-2</v>
      </c>
      <c r="S3285">
        <v>-3.0083310000000001</v>
      </c>
      <c r="T3285">
        <v>-4.1406869999999998E-2</v>
      </c>
      <c r="U3285">
        <v>-0.14321900000000001</v>
      </c>
      <c r="V3285">
        <v>1.885329E-3</v>
      </c>
      <c r="W3285">
        <v>3.8129450000000002E-2</v>
      </c>
      <c r="X3285">
        <v>0.99927100000000002</v>
      </c>
      <c r="Y3285">
        <v>-7.9059909999999997E-2</v>
      </c>
      <c r="Z3285">
        <v>-9.7813739999999994E-4</v>
      </c>
      <c r="AA3285">
        <v>0.99686940000000002</v>
      </c>
      <c r="AB3285">
        <v>41</v>
      </c>
      <c r="AC3285">
        <v>-74.5534999999999</v>
      </c>
      <c r="AD3285">
        <v>-1.02948073</v>
      </c>
      <c r="AE3285">
        <v>-3.5683999999999898</v>
      </c>
      <c r="AF3285">
        <v>-5.9196119744380598</v>
      </c>
      <c r="AG3285">
        <v>-1.02948073</v>
      </c>
      <c r="AH3285">
        <v>74.389495081327894</v>
      </c>
      <c r="AI3285">
        <v>90.790370974629496</v>
      </c>
      <c r="AJ3285">
        <v>94.549776562013605</v>
      </c>
      <c r="AK3285">
        <v>74.631753395965902</v>
      </c>
      <c r="AL3285">
        <v>87.814813666279406</v>
      </c>
      <c r="AM3285">
        <v>89.891899928526897</v>
      </c>
      <c r="AN3285">
        <v>0.99999997043187006</v>
      </c>
    </row>
    <row r="3286" spans="1:40" x14ac:dyDescent="0.25">
      <c r="A3286" t="str">
        <f>"20190312150724937"</f>
        <v>20190312150724937</v>
      </c>
      <c r="B3286" t="str">
        <f>"1552374444933527"</f>
        <v>1552374444933527</v>
      </c>
      <c r="C3286" t="s">
        <v>40</v>
      </c>
      <c r="D3286">
        <v>4.1774469999999999</v>
      </c>
      <c r="E3286">
        <v>0.4700375</v>
      </c>
      <c r="F3286" t="s">
        <v>67</v>
      </c>
      <c r="G3286">
        <v>-382.11419999999998</v>
      </c>
      <c r="H3286">
        <v>8.0000840000000004E-2</v>
      </c>
      <c r="I3286">
        <v>278.83760000000001</v>
      </c>
      <c r="J3286">
        <v>-304.7509</v>
      </c>
      <c r="K3286">
        <v>1.109488</v>
      </c>
      <c r="L3286">
        <v>282.53269999999998</v>
      </c>
      <c r="M3286">
        <v>-0.99939940000000005</v>
      </c>
      <c r="N3286">
        <v>0</v>
      </c>
      <c r="O3286">
        <v>3.1804039999999999E-2</v>
      </c>
      <c r="P3286">
        <v>-0.99913459999999998</v>
      </c>
      <c r="Q3286">
        <v>2.458482E-2</v>
      </c>
      <c r="R3286">
        <v>3.3556460000000003E-2</v>
      </c>
      <c r="S3286">
        <v>-3.0083310000000001</v>
      </c>
      <c r="T3286">
        <v>-3.9914369999999998E-2</v>
      </c>
      <c r="U3286">
        <v>-0.14297489999999999</v>
      </c>
      <c r="V3286">
        <v>1.8043899999999999E-3</v>
      </c>
      <c r="W3286">
        <v>3.8348640000000003E-2</v>
      </c>
      <c r="X3286">
        <v>0.99926280000000001</v>
      </c>
      <c r="Y3286">
        <v>-7.9210149999999993E-2</v>
      </c>
      <c r="Z3286">
        <v>-9.4694250000000005E-4</v>
      </c>
      <c r="AA3286">
        <v>0.99685749999999995</v>
      </c>
      <c r="AB3286">
        <v>41</v>
      </c>
      <c r="AC3286">
        <v>-77.363299999999896</v>
      </c>
      <c r="AD3286">
        <v>-1.02948716</v>
      </c>
      <c r="AE3286">
        <v>-3.6950999999999601</v>
      </c>
      <c r="AF3286">
        <v>-6.1528417665715001</v>
      </c>
      <c r="AG3286">
        <v>-1.02948716</v>
      </c>
      <c r="AH3286">
        <v>77.1929877844549</v>
      </c>
      <c r="AI3286">
        <v>90.761666589881003</v>
      </c>
      <c r="AJ3286">
        <v>94.557254930672599</v>
      </c>
      <c r="AK3286">
        <v>77.444655520623698</v>
      </c>
      <c r="AL3286">
        <v>87.802245896326696</v>
      </c>
      <c r="AM3286">
        <v>89.896539909991304</v>
      </c>
      <c r="AN3286">
        <v>1.0000000087384799</v>
      </c>
    </row>
    <row r="3287" spans="1:40" x14ac:dyDescent="0.25">
      <c r="A3287" t="str">
        <f>"20190312150724949"</f>
        <v>20190312150724949</v>
      </c>
      <c r="B3287" t="str">
        <f>"1552374444943287"</f>
        <v>1552374444943287</v>
      </c>
      <c r="C3287" t="s">
        <v>40</v>
      </c>
      <c r="D3287">
        <v>4.1612369999999999</v>
      </c>
      <c r="E3287">
        <v>0.47008860000000002</v>
      </c>
      <c r="F3287" t="s">
        <v>67</v>
      </c>
      <c r="G3287">
        <v>-386.16500000000002</v>
      </c>
      <c r="H3287">
        <v>8.0001119999999995E-2</v>
      </c>
      <c r="I3287">
        <v>278.7029</v>
      </c>
      <c r="J3287">
        <v>-304.94670000000002</v>
      </c>
      <c r="K3287">
        <v>1.1094949999999999</v>
      </c>
      <c r="L3287">
        <v>282.53910000000002</v>
      </c>
      <c r="M3287">
        <v>-0.99939259999999996</v>
      </c>
      <c r="N3287">
        <v>0</v>
      </c>
      <c r="O3287">
        <v>3.2001509999999997E-2</v>
      </c>
      <c r="P3287">
        <v>-0.99912829999999997</v>
      </c>
      <c r="Q3287">
        <v>2.463591E-2</v>
      </c>
      <c r="R3287">
        <v>3.3706769999999997E-2</v>
      </c>
      <c r="S3287">
        <v>-3.0083009999999999</v>
      </c>
      <c r="T3287">
        <v>-3.8040160000000003E-2</v>
      </c>
      <c r="U3287">
        <v>-0.14151</v>
      </c>
      <c r="V3287">
        <v>1.7573980000000001E-3</v>
      </c>
      <c r="W3287">
        <v>3.8433929999999998E-2</v>
      </c>
      <c r="X3287">
        <v>0.99925960000000003</v>
      </c>
      <c r="Y3287">
        <v>-7.8924170000000002E-2</v>
      </c>
      <c r="Z3287">
        <v>-9.0318919999999995E-4</v>
      </c>
      <c r="AA3287">
        <v>0.99688019999999999</v>
      </c>
      <c r="AB3287">
        <v>41</v>
      </c>
      <c r="AC3287">
        <v>-81.218299999999999</v>
      </c>
      <c r="AD3287">
        <v>-1.02949388</v>
      </c>
      <c r="AE3287">
        <v>-3.83620000000001</v>
      </c>
      <c r="AF3287">
        <v>-6.4325591973218703</v>
      </c>
      <c r="AG3287">
        <v>-1.02949388</v>
      </c>
      <c r="AH3287">
        <v>81.040925845073602</v>
      </c>
      <c r="AI3287">
        <v>90.725529374741299</v>
      </c>
      <c r="AJ3287">
        <v>94.538292190595698</v>
      </c>
      <c r="AK3287">
        <v>81.302332914269599</v>
      </c>
      <c r="AL3287">
        <v>87.7973555188006</v>
      </c>
      <c r="AM3287">
        <v>89.8992340083486</v>
      </c>
      <c r="AN3287">
        <v>1.0000000018075601</v>
      </c>
    </row>
    <row r="3288" spans="1:40" x14ac:dyDescent="0.25">
      <c r="A3288" t="str">
        <f>"20190312150724959"</f>
        <v>20190312150724959</v>
      </c>
      <c r="B3288" t="str">
        <f>"1552374444953046"</f>
        <v>1552374444953046</v>
      </c>
      <c r="C3288" t="s">
        <v>40</v>
      </c>
      <c r="D3288">
        <v>4.1426610000000004</v>
      </c>
      <c r="E3288">
        <v>0.47005930000000001</v>
      </c>
      <c r="F3288" t="s">
        <v>67</v>
      </c>
      <c r="G3288">
        <v>-389.20359999999999</v>
      </c>
      <c r="H3288">
        <v>8.0000219999999997E-2</v>
      </c>
      <c r="I3288">
        <v>278.59609999999998</v>
      </c>
      <c r="J3288">
        <v>-305.16340000000002</v>
      </c>
      <c r="K3288">
        <v>1.109504</v>
      </c>
      <c r="L3288">
        <v>282.5462</v>
      </c>
      <c r="M3288">
        <v>-0.99938510000000003</v>
      </c>
      <c r="N3288">
        <v>0</v>
      </c>
      <c r="O3288">
        <v>3.221897E-2</v>
      </c>
      <c r="P3288">
        <v>-0.99911689999999997</v>
      </c>
      <c r="Q3288">
        <v>2.4876860000000001E-2</v>
      </c>
      <c r="R3288">
        <v>3.3865340000000001E-2</v>
      </c>
      <c r="S3288">
        <v>-3.00827</v>
      </c>
      <c r="T3288">
        <v>-3.6756629999999998E-2</v>
      </c>
      <c r="U3288">
        <v>-0.1407776</v>
      </c>
      <c r="V3288">
        <v>1.6987160000000001E-3</v>
      </c>
      <c r="W3288">
        <v>3.8711719999999998E-2</v>
      </c>
      <c r="X3288">
        <v>0.99924900000000005</v>
      </c>
      <c r="Y3288">
        <v>-7.889997E-2</v>
      </c>
      <c r="Z3288">
        <v>-8.7523829999999996E-4</v>
      </c>
      <c r="AA3288">
        <v>0.99688209999999999</v>
      </c>
      <c r="AB3288">
        <v>41</v>
      </c>
      <c r="AC3288">
        <v>-84.040199999999899</v>
      </c>
      <c r="AD3288">
        <v>-1.02950378</v>
      </c>
      <c r="AE3288">
        <v>-3.9501000000000199</v>
      </c>
      <c r="AF3288">
        <v>-6.6550001554309999</v>
      </c>
      <c r="AG3288">
        <v>-1.02950378</v>
      </c>
      <c r="AH3288">
        <v>83.856724232005504</v>
      </c>
      <c r="AI3288">
        <v>90.701176969722994</v>
      </c>
      <c r="AJ3288">
        <v>94.537571924204698</v>
      </c>
      <c r="AK3288">
        <v>84.126684851029495</v>
      </c>
      <c r="AL3288">
        <v>87.781427518442598</v>
      </c>
      <c r="AM3288">
        <v>89.902597687231307</v>
      </c>
      <c r="AN3288">
        <v>1.0000000234512001</v>
      </c>
    </row>
    <row r="3289" spans="1:40" x14ac:dyDescent="0.25">
      <c r="A3289" t="str">
        <f>"20190312150724971"</f>
        <v>20190312150724971</v>
      </c>
      <c r="B3289" t="str">
        <f>"1552374444963782"</f>
        <v>1552374444963782</v>
      </c>
      <c r="C3289" t="s">
        <v>40</v>
      </c>
      <c r="D3289">
        <v>4.1685559999999997</v>
      </c>
      <c r="E3289">
        <v>0.47005419999999998</v>
      </c>
      <c r="F3289" t="s">
        <v>67</v>
      </c>
      <c r="G3289">
        <v>-392.04649999999998</v>
      </c>
      <c r="H3289">
        <v>8.0000859999999993E-2</v>
      </c>
      <c r="I3289">
        <v>278.48390000000001</v>
      </c>
      <c r="J3289">
        <v>-305.36399999999998</v>
      </c>
      <c r="K3289">
        <v>1.1095109999999999</v>
      </c>
      <c r="L3289">
        <v>282.55279999999999</v>
      </c>
      <c r="M3289">
        <v>-0.99937799999999999</v>
      </c>
      <c r="N3289">
        <v>0</v>
      </c>
      <c r="O3289">
        <v>3.2418379999999997E-2</v>
      </c>
      <c r="P3289">
        <v>-0.99910129999999997</v>
      </c>
      <c r="Q3289">
        <v>2.5139849999999998E-2</v>
      </c>
      <c r="R3289">
        <v>3.4121319999999997E-2</v>
      </c>
      <c r="S3289">
        <v>-3.0083310000000001</v>
      </c>
      <c r="T3289">
        <v>-3.5646560000000001E-2</v>
      </c>
      <c r="U3289">
        <v>-0.14065549999999999</v>
      </c>
      <c r="V3289">
        <v>1.7556399999999999E-3</v>
      </c>
      <c r="W3289">
        <v>3.9008559999999998E-2</v>
      </c>
      <c r="X3289">
        <v>0.99923740000000005</v>
      </c>
      <c r="Y3289">
        <v>-7.9058069999999994E-2</v>
      </c>
      <c r="Z3289">
        <v>-8.5208899999999999E-4</v>
      </c>
      <c r="AA3289">
        <v>0.99686960000000002</v>
      </c>
      <c r="AB3289">
        <v>41</v>
      </c>
      <c r="AC3289">
        <v>-86.682499999999905</v>
      </c>
      <c r="AD3289">
        <v>-1.02951014</v>
      </c>
      <c r="AE3289">
        <v>-4.0688999999999798</v>
      </c>
      <c r="AF3289">
        <v>-6.8761700733291597</v>
      </c>
      <c r="AG3289">
        <v>-1.02951014</v>
      </c>
      <c r="AH3289">
        <v>86.492836141352896</v>
      </c>
      <c r="AI3289">
        <v>90.679805448577397</v>
      </c>
      <c r="AJ3289">
        <v>94.545447575610396</v>
      </c>
      <c r="AK3289">
        <v>86.771840534707096</v>
      </c>
      <c r="AL3289">
        <v>87.764407077993596</v>
      </c>
      <c r="AM3289">
        <v>89.899332572182104</v>
      </c>
      <c r="AN3289">
        <v>1.0000000657919099</v>
      </c>
    </row>
    <row r="3290" spans="1:40" x14ac:dyDescent="0.25">
      <c r="A3290" t="str">
        <f>"20190312150724983"</f>
        <v>20190312150724983</v>
      </c>
      <c r="B3290" t="str">
        <f>"1552374444973544"</f>
        <v>1552374444973544</v>
      </c>
      <c r="C3290" t="s">
        <v>40</v>
      </c>
      <c r="D3290">
        <v>4.1636860000000002</v>
      </c>
      <c r="E3290">
        <v>0.47006019999999998</v>
      </c>
      <c r="F3290" t="s">
        <v>67</v>
      </c>
      <c r="G3290">
        <v>-396.62240000000003</v>
      </c>
      <c r="H3290">
        <v>8.0000979999999999E-2</v>
      </c>
      <c r="I3290">
        <v>278.3193</v>
      </c>
      <c r="J3290">
        <v>-305.57569999999998</v>
      </c>
      <c r="K3290">
        <v>1.109521</v>
      </c>
      <c r="L3290">
        <v>282.5598</v>
      </c>
      <c r="M3290">
        <v>-0.9993708</v>
      </c>
      <c r="N3290">
        <v>0</v>
      </c>
      <c r="O3290">
        <v>3.2627360000000001E-2</v>
      </c>
      <c r="P3290">
        <v>-0.99909110000000001</v>
      </c>
      <c r="Q3290">
        <v>2.5035140000000001E-2</v>
      </c>
      <c r="R3290">
        <v>3.4503060000000002E-2</v>
      </c>
      <c r="S3290">
        <v>-3.0083310000000001</v>
      </c>
      <c r="T3290">
        <v>-3.3937809999999999E-2</v>
      </c>
      <c r="U3290">
        <v>-0.13955689999999901</v>
      </c>
      <c r="V3290">
        <v>1.9283239999999999E-3</v>
      </c>
      <c r="W3290">
        <v>3.8939939999999999E-2</v>
      </c>
      <c r="X3290">
        <v>0.99923969999999995</v>
      </c>
      <c r="Y3290">
        <v>-7.8903979999999999E-2</v>
      </c>
      <c r="Z3290">
        <v>-8.1274020000000002E-4</v>
      </c>
      <c r="AA3290">
        <v>0.99688189999999999</v>
      </c>
      <c r="AB3290">
        <v>41</v>
      </c>
      <c r="AC3290">
        <v>-91.046700000000001</v>
      </c>
      <c r="AD3290">
        <v>-1.0295200200000001</v>
      </c>
      <c r="AE3290">
        <v>-4.2404999999999902</v>
      </c>
      <c r="AF3290">
        <v>-7.2082230451882996</v>
      </c>
      <c r="AG3290">
        <v>-1.0295200200000001</v>
      </c>
      <c r="AH3290">
        <v>90.848255483226097</v>
      </c>
      <c r="AI3290">
        <v>90.647231460990994</v>
      </c>
      <c r="AJ3290">
        <v>94.536546650092703</v>
      </c>
      <c r="AK3290">
        <v>91.1395847877655</v>
      </c>
      <c r="AL3290">
        <v>87.768341573905602</v>
      </c>
      <c r="AM3290">
        <v>89.889431244993403</v>
      </c>
      <c r="AN3290">
        <v>1.0000000077083699</v>
      </c>
    </row>
    <row r="3291" spans="1:40" x14ac:dyDescent="0.25">
      <c r="A3291" t="str">
        <f>"20190312150724995"</f>
        <v>20190312150724995</v>
      </c>
      <c r="B3291" t="str">
        <f>"1552374444983304"</f>
        <v>1552374444983304</v>
      </c>
      <c r="C3291" t="s">
        <v>40</v>
      </c>
      <c r="D3291">
        <v>4.1398979999999996</v>
      </c>
      <c r="E3291">
        <v>0.47004790000000002</v>
      </c>
      <c r="F3291" t="s">
        <v>67</v>
      </c>
      <c r="G3291">
        <v>-396.66109999999998</v>
      </c>
      <c r="H3291">
        <v>8.0000970000000005E-2</v>
      </c>
      <c r="I3291">
        <v>278.36770000000001</v>
      </c>
      <c r="J3291">
        <v>-305.79820000000001</v>
      </c>
      <c r="K3291">
        <v>1.1095330000000001</v>
      </c>
      <c r="L3291">
        <v>282.56729999999999</v>
      </c>
      <c r="M3291">
        <v>-0.99936320000000001</v>
      </c>
      <c r="N3291">
        <v>0</v>
      </c>
      <c r="O3291">
        <v>3.284169E-2</v>
      </c>
      <c r="P3291">
        <v>-0.99908889999999995</v>
      </c>
      <c r="Q3291">
        <v>2.5107569999999999E-2</v>
      </c>
      <c r="R3291">
        <v>3.4507900000000001E-2</v>
      </c>
      <c r="S3291">
        <v>-3.0083920000000002</v>
      </c>
      <c r="T3291">
        <v>-3.400326E-2</v>
      </c>
      <c r="U3291">
        <v>-0.13845829999999901</v>
      </c>
      <c r="V3291">
        <v>1.718217E-3</v>
      </c>
      <c r="W3291">
        <v>3.9053350000000001E-2</v>
      </c>
      <c r="X3291">
        <v>0.9992356</v>
      </c>
      <c r="Y3291">
        <v>-7.8753569999999995E-2</v>
      </c>
      <c r="Z3291">
        <v>-8.1586929999999901E-4</v>
      </c>
      <c r="AA3291">
        <v>0.99689380000000005</v>
      </c>
      <c r="AB3291">
        <v>41</v>
      </c>
      <c r="AC3291">
        <v>-90.862899999999897</v>
      </c>
      <c r="AD3291">
        <v>-1.0295320299999999</v>
      </c>
      <c r="AE3291">
        <v>-4.19959999999997</v>
      </c>
      <c r="AF3291">
        <v>-7.1807958433073598</v>
      </c>
      <c r="AG3291">
        <v>-1.0295320299999999</v>
      </c>
      <c r="AH3291">
        <v>90.664325633171799</v>
      </c>
      <c r="AI3291">
        <v>90.648559177685797</v>
      </c>
      <c r="AJ3291">
        <v>94.528487068032007</v>
      </c>
      <c r="AK3291">
        <v>90.954074717199205</v>
      </c>
      <c r="AL3291">
        <v>87.761838584724998</v>
      </c>
      <c r="AM3291">
        <v>89.9014782045803</v>
      </c>
      <c r="AN3291">
        <v>0.99999995036161904</v>
      </c>
    </row>
    <row r="3292" spans="1:40" x14ac:dyDescent="0.25">
      <c r="A3292" t="str">
        <f>"20190312150725012"</f>
        <v>20190312150725012</v>
      </c>
      <c r="B3292" t="str">
        <f>"1552374445003799"</f>
        <v>1552374445003799</v>
      </c>
      <c r="C3292" t="s">
        <v>40</v>
      </c>
      <c r="D3292">
        <v>4.1847859999999999</v>
      </c>
      <c r="E3292">
        <v>0.46999839999999998</v>
      </c>
      <c r="F3292" t="s">
        <v>67</v>
      </c>
      <c r="G3292">
        <v>-397.75060000000002</v>
      </c>
      <c r="H3292">
        <v>8.0000650000000006E-2</v>
      </c>
      <c r="I3292">
        <v>278.33240000000001</v>
      </c>
      <c r="J3292">
        <v>-306.10169999999999</v>
      </c>
      <c r="K3292">
        <v>1.1095539999999999</v>
      </c>
      <c r="L3292">
        <v>282.57749999999999</v>
      </c>
      <c r="M3292">
        <v>-0.99935289999999999</v>
      </c>
      <c r="N3292">
        <v>0</v>
      </c>
      <c r="O3292">
        <v>3.312814E-2</v>
      </c>
      <c r="P3292">
        <v>-0.99905999999999995</v>
      </c>
      <c r="Q3292">
        <v>2.5361760000000001E-2</v>
      </c>
      <c r="R3292">
        <v>3.5157279999999999E-2</v>
      </c>
      <c r="S3292">
        <v>-3.008362</v>
      </c>
      <c r="T3292">
        <v>-3.3682700000000003E-2</v>
      </c>
      <c r="U3292">
        <v>-0.138549799999999</v>
      </c>
      <c r="V3292">
        <v>2.0813630000000001E-3</v>
      </c>
      <c r="W3292">
        <v>3.9365909999999997E-2</v>
      </c>
      <c r="X3292">
        <v>0.99922270000000002</v>
      </c>
      <c r="Y3292">
        <v>-7.9070169999999995E-2</v>
      </c>
      <c r="Z3292">
        <v>-8.1316349999999995E-4</v>
      </c>
      <c r="AA3292">
        <v>0.99686870000000005</v>
      </c>
      <c r="AB3292">
        <v>41</v>
      </c>
      <c r="AC3292">
        <v>-91.648899999999998</v>
      </c>
      <c r="AD3292">
        <v>-1.02955335</v>
      </c>
      <c r="AE3292">
        <v>-4.2450999999999697</v>
      </c>
      <c r="AF3292">
        <v>-7.2783085825074201</v>
      </c>
      <c r="AG3292">
        <v>-1.02955335</v>
      </c>
      <c r="AH3292">
        <v>91.446423711176394</v>
      </c>
      <c r="AI3292">
        <v>90.643006408107993</v>
      </c>
      <c r="AJ3292">
        <v>94.550633233471103</v>
      </c>
      <c r="AK3292">
        <v>91.741387418583898</v>
      </c>
      <c r="AL3292">
        <v>87.743916557519697</v>
      </c>
      <c r="AM3292">
        <v>89.880654089361201</v>
      </c>
      <c r="AN3292">
        <v>1.00000000556867</v>
      </c>
    </row>
    <row r="3293" spans="1:40" x14ac:dyDescent="0.25">
      <c r="A3293" t="str">
        <f>"20190312150725025"</f>
        <v>20190312150725025</v>
      </c>
      <c r="B3293" t="str">
        <f>"1552374445013559"</f>
        <v>1552374445013559</v>
      </c>
      <c r="C3293" t="s">
        <v>40</v>
      </c>
      <c r="D3293">
        <v>4.1684469999999996</v>
      </c>
      <c r="E3293">
        <v>0.47000249999999999</v>
      </c>
      <c r="F3293" t="s">
        <v>67</v>
      </c>
      <c r="G3293">
        <v>-398.58010000000002</v>
      </c>
      <c r="H3293">
        <v>8.0000409999999994E-2</v>
      </c>
      <c r="I3293">
        <v>278.36180000000002</v>
      </c>
      <c r="J3293">
        <v>-306.3322</v>
      </c>
      <c r="K3293">
        <v>1.109572</v>
      </c>
      <c r="L3293">
        <v>282.58530000000002</v>
      </c>
      <c r="M3293">
        <v>-0.99934520000000004</v>
      </c>
      <c r="N3293">
        <v>0</v>
      </c>
      <c r="O3293">
        <v>3.3340540000000002E-2</v>
      </c>
      <c r="P3293">
        <v>-0.99904979999999999</v>
      </c>
      <c r="Q3293">
        <v>2.5538459999999999E-2</v>
      </c>
      <c r="R3293">
        <v>3.5316380000000001E-2</v>
      </c>
      <c r="S3293">
        <v>-3.0085139999999999</v>
      </c>
      <c r="T3293">
        <v>-3.3493519999999999E-2</v>
      </c>
      <c r="U3293">
        <v>-0.13714599999999999</v>
      </c>
      <c r="V3293">
        <v>2.0276040000000001E-3</v>
      </c>
      <c r="W3293">
        <v>3.9588900000000003E-2</v>
      </c>
      <c r="X3293">
        <v>0.99921400000000005</v>
      </c>
      <c r="Y3293">
        <v>-7.8815620000000003E-2</v>
      </c>
      <c r="Z3293">
        <v>-8.0951089999999905E-4</v>
      </c>
      <c r="AA3293">
        <v>0.99688889999999997</v>
      </c>
      <c r="AB3293">
        <v>41</v>
      </c>
      <c r="AC3293">
        <v>-92.247900000000001</v>
      </c>
      <c r="AD3293">
        <v>-1.02957159</v>
      </c>
      <c r="AE3293">
        <v>-4.2234999999999996</v>
      </c>
      <c r="AF3293">
        <v>-7.29614321041855</v>
      </c>
      <c r="AG3293">
        <v>-1.02957159</v>
      </c>
      <c r="AH3293">
        <v>92.044335300050307</v>
      </c>
      <c r="AI3293">
        <v>90.638857460212506</v>
      </c>
      <c r="AJ3293">
        <v>94.532228242830996</v>
      </c>
      <c r="AK3293">
        <v>92.338796744564306</v>
      </c>
      <c r="AL3293">
        <v>87.731130202943703</v>
      </c>
      <c r="AM3293">
        <v>89.883735623929496</v>
      </c>
      <c r="AN3293">
        <v>1.00000000498859</v>
      </c>
    </row>
    <row r="3294" spans="1:40" x14ac:dyDescent="0.25">
      <c r="A3294" t="str">
        <f>"20190312150725044"</f>
        <v>20190312150725044</v>
      </c>
      <c r="B3294" t="str">
        <f>"1552374445033078"</f>
        <v>1552374445033078</v>
      </c>
      <c r="C3294" t="s">
        <v>40</v>
      </c>
      <c r="D3294">
        <v>4.1622909999999997</v>
      </c>
      <c r="E3294">
        <v>0.46997870000000003</v>
      </c>
      <c r="F3294" t="s">
        <v>67</v>
      </c>
      <c r="G3294">
        <v>-399.67540000000002</v>
      </c>
      <c r="H3294">
        <v>8.0000080000000001E-2</v>
      </c>
      <c r="I3294">
        <v>278.34910000000002</v>
      </c>
      <c r="J3294">
        <v>-306.69510000000002</v>
      </c>
      <c r="K3294">
        <v>1.1096010000000001</v>
      </c>
      <c r="L3294">
        <v>282.59769999999997</v>
      </c>
      <c r="M3294">
        <v>-0.99933360000000004</v>
      </c>
      <c r="N3294">
        <v>0</v>
      </c>
      <c r="O3294">
        <v>3.3659790000000002E-2</v>
      </c>
      <c r="P3294">
        <v>-0.99904219999999999</v>
      </c>
      <c r="Q3294">
        <v>2.5547879999999999E-2</v>
      </c>
      <c r="R3294">
        <v>3.5531300000000002E-2</v>
      </c>
      <c r="S3294">
        <v>-3.0084840000000002</v>
      </c>
      <c r="T3294">
        <v>-3.3183459999999998E-2</v>
      </c>
      <c r="U3294">
        <v>-0.13653560000000001</v>
      </c>
      <c r="V3294">
        <v>1.9219300000000001E-3</v>
      </c>
      <c r="W3294">
        <v>3.9672279999999997E-2</v>
      </c>
      <c r="X3294">
        <v>0.99921090000000001</v>
      </c>
      <c r="Y3294">
        <v>-7.8932870000000002E-2</v>
      </c>
      <c r="Z3294">
        <v>-8.0619519999999996E-4</v>
      </c>
      <c r="AA3294">
        <v>0.99687959999999998</v>
      </c>
      <c r="AB3294">
        <v>41</v>
      </c>
      <c r="AC3294">
        <v>-92.9803</v>
      </c>
      <c r="AD3294">
        <v>-1.02960092</v>
      </c>
      <c r="AE3294">
        <v>-4.24859999999995</v>
      </c>
      <c r="AF3294">
        <v>-7.3752989910399904</v>
      </c>
      <c r="AG3294">
        <v>-1.02960092</v>
      </c>
      <c r="AH3294">
        <v>92.773228831454205</v>
      </c>
      <c r="AI3294">
        <v>90.633845079327102</v>
      </c>
      <c r="AJ3294">
        <v>94.545348433075702</v>
      </c>
      <c r="AK3294">
        <v>93.071623500802104</v>
      </c>
      <c r="AL3294">
        <v>87.726349120664196</v>
      </c>
      <c r="AM3294">
        <v>89.889794695274105</v>
      </c>
      <c r="AN3294">
        <v>1.0000000031470599</v>
      </c>
    </row>
    <row r="3295" spans="1:40" x14ac:dyDescent="0.25">
      <c r="A3295" t="str">
        <f>"20190312150725058"</f>
        <v>20190312150725058</v>
      </c>
      <c r="B3295" t="str">
        <f>"1552374445053575"</f>
        <v>1552374445053575</v>
      </c>
      <c r="C3295" t="s">
        <v>40</v>
      </c>
      <c r="D3295">
        <v>4.1555999999999997</v>
      </c>
      <c r="E3295">
        <v>0.47011059999999999</v>
      </c>
      <c r="F3295" t="s">
        <v>67</v>
      </c>
      <c r="G3295">
        <v>-399.24950000000001</v>
      </c>
      <c r="H3295">
        <v>8.0000210000000002E-2</v>
      </c>
      <c r="I3295">
        <v>278.40109999999999</v>
      </c>
      <c r="J3295">
        <v>-306.93689999999998</v>
      </c>
      <c r="K3295">
        <v>1.1096220000000001</v>
      </c>
      <c r="L3295">
        <v>282.60599999999999</v>
      </c>
      <c r="M3295">
        <v>-0.99932580000000004</v>
      </c>
      <c r="N3295">
        <v>0</v>
      </c>
      <c r="O3295">
        <v>3.386144E-2</v>
      </c>
      <c r="P3295">
        <v>-0.99903569999999997</v>
      </c>
      <c r="Q3295">
        <v>2.546621E-2</v>
      </c>
      <c r="R3295">
        <v>3.5763320000000001E-2</v>
      </c>
      <c r="S3295">
        <v>-3.0085449999999998</v>
      </c>
      <c r="T3295">
        <v>-3.346789E-2</v>
      </c>
      <c r="U3295">
        <v>-0.1364136</v>
      </c>
      <c r="V3295">
        <v>1.950975E-3</v>
      </c>
      <c r="W3295">
        <v>3.9639880000000002E-2</v>
      </c>
      <c r="X3295">
        <v>0.99921210000000005</v>
      </c>
      <c r="Y3295">
        <v>-7.9092640000000006E-2</v>
      </c>
      <c r="Z3295">
        <v>-8.1621989999999995E-4</v>
      </c>
      <c r="AA3295">
        <v>0.9968669</v>
      </c>
      <c r="AB3295">
        <v>41</v>
      </c>
      <c r="AC3295">
        <v>-92.312600000000003</v>
      </c>
      <c r="AD3295">
        <v>-1.02962179</v>
      </c>
      <c r="AE3295">
        <v>-4.2049000000000003</v>
      </c>
      <c r="AF3295">
        <v>-7.3277307547988899</v>
      </c>
      <c r="AG3295">
        <v>-1.02962179</v>
      </c>
      <c r="AH3295">
        <v>92.105818586334806</v>
      </c>
      <c r="AI3295">
        <v>90.638447554083399</v>
      </c>
      <c r="AJ3295">
        <v>94.548741879303606</v>
      </c>
      <c r="AK3295">
        <v>92.402584252303697</v>
      </c>
      <c r="AL3295">
        <v>87.728206898130097</v>
      </c>
      <c r="AM3295">
        <v>89.888129365741307</v>
      </c>
      <c r="AN3295">
        <v>0.99999997358813697</v>
      </c>
    </row>
    <row r="3296" spans="1:40" x14ac:dyDescent="0.25">
      <c r="A3296" t="str">
        <f>"20190312150725070"</f>
        <v>20190312150725070</v>
      </c>
      <c r="B3296" t="str">
        <f>"1552374445063335"</f>
        <v>1552374445063335</v>
      </c>
      <c r="C3296" t="s">
        <v>40</v>
      </c>
      <c r="D3296">
        <v>4.153816</v>
      </c>
      <c r="E3296">
        <v>0.47012330000000002</v>
      </c>
      <c r="F3296" t="s">
        <v>68</v>
      </c>
      <c r="G3296">
        <v>-404.61410000000001</v>
      </c>
      <c r="H3296">
        <v>8.0001149999999993E-2</v>
      </c>
      <c r="I3296">
        <v>278.24650000000003</v>
      </c>
      <c r="J3296">
        <v>-307.14850000000001</v>
      </c>
      <c r="K3296">
        <v>1.10964</v>
      </c>
      <c r="L3296">
        <v>282.61329999999998</v>
      </c>
      <c r="M3296">
        <v>-0.99931959999999997</v>
      </c>
      <c r="N3296">
        <v>0</v>
      </c>
      <c r="O3296">
        <v>3.4032630000000001E-2</v>
      </c>
      <c r="P3296">
        <v>-0.99902579999999996</v>
      </c>
      <c r="Q3296">
        <v>2.5599460000000001E-2</v>
      </c>
      <c r="R3296">
        <v>3.5946270000000002E-2</v>
      </c>
      <c r="S3296">
        <v>-3.0085139999999999</v>
      </c>
      <c r="T3296">
        <v>-3.1712890000000001E-2</v>
      </c>
      <c r="U3296">
        <v>-0.13427729999999999</v>
      </c>
      <c r="V3296">
        <v>1.9620459999999998E-3</v>
      </c>
      <c r="W3296">
        <v>3.9816169999999998E-2</v>
      </c>
      <c r="X3296">
        <v>0.99920509999999996</v>
      </c>
      <c r="Y3296">
        <v>-7.8558180000000005E-2</v>
      </c>
      <c r="Z3296">
        <v>-7.7242869999999896E-4</v>
      </c>
      <c r="AA3296">
        <v>0.9969093</v>
      </c>
      <c r="AB3296">
        <v>41</v>
      </c>
      <c r="AC3296">
        <v>-97.465599999999995</v>
      </c>
      <c r="AD3296">
        <v>-1.02963885</v>
      </c>
      <c r="AE3296">
        <v>-4.3667999999999498</v>
      </c>
      <c r="AF3296">
        <v>-7.6807604027725898</v>
      </c>
      <c r="AG3296">
        <v>-1.02963885</v>
      </c>
      <c r="AH3296">
        <v>97.249668827669197</v>
      </c>
      <c r="AI3296">
        <v>90.604718116592693</v>
      </c>
      <c r="AJ3296">
        <v>94.515835726703997</v>
      </c>
      <c r="AK3296">
        <v>97.557943416297803</v>
      </c>
      <c r="AL3296">
        <v>87.718098314847097</v>
      </c>
      <c r="AM3296">
        <v>89.887493758261499</v>
      </c>
      <c r="AN3296">
        <v>1.0000000044419901</v>
      </c>
    </row>
    <row r="3297" spans="1:40" x14ac:dyDescent="0.25">
      <c r="A3297" t="str">
        <f>"20190312150725083"</f>
        <v>20190312150725083</v>
      </c>
      <c r="B3297" t="str">
        <f>"1552374445073096"</f>
        <v>1552374445073096</v>
      </c>
      <c r="C3297" t="s">
        <v>40</v>
      </c>
      <c r="D3297">
        <v>4.1623419999999998</v>
      </c>
      <c r="E3297">
        <v>0.47019430000000001</v>
      </c>
      <c r="F3297" t="s">
        <v>68</v>
      </c>
      <c r="G3297">
        <v>-408.83730000000003</v>
      </c>
      <c r="H3297">
        <v>8.0001290000000003E-2</v>
      </c>
      <c r="I3297">
        <v>278.10149999999999</v>
      </c>
      <c r="J3297">
        <v>-307.40600000000001</v>
      </c>
      <c r="K3297">
        <v>1.1096619999999999</v>
      </c>
      <c r="L3297">
        <v>282.6223</v>
      </c>
      <c r="M3297">
        <v>-0.99931190000000003</v>
      </c>
      <c r="N3297">
        <v>0</v>
      </c>
      <c r="O3297">
        <v>3.4233979999999997E-2</v>
      </c>
      <c r="P3297">
        <v>-0.99901439999999997</v>
      </c>
      <c r="Q3297">
        <v>2.5569700000000001E-2</v>
      </c>
      <c r="R3297">
        <v>3.6286909999999999E-2</v>
      </c>
      <c r="S3297">
        <v>-3.0085139999999999</v>
      </c>
      <c r="T3297">
        <v>-3.0462380000000001E-2</v>
      </c>
      <c r="U3297">
        <v>-0.13348389999999999</v>
      </c>
      <c r="V3297">
        <v>2.1002439999999998E-3</v>
      </c>
      <c r="W3297">
        <v>3.9839039999999999E-2</v>
      </c>
      <c r="X3297">
        <v>0.99920390000000003</v>
      </c>
      <c r="Y3297">
        <v>-7.8497159999999996E-2</v>
      </c>
      <c r="Z3297">
        <v>-7.4370519999999996E-4</v>
      </c>
      <c r="AA3297">
        <v>0.99691410000000003</v>
      </c>
      <c r="AB3297">
        <v>41</v>
      </c>
      <c r="AC3297">
        <v>-101.43129999999999</v>
      </c>
      <c r="AD3297">
        <v>-1.0296607099999999</v>
      </c>
      <c r="AE3297">
        <v>-4.5208000000000004</v>
      </c>
      <c r="AF3297">
        <v>-7.9900787538030098</v>
      </c>
      <c r="AG3297">
        <v>-1.0296607099999999</v>
      </c>
      <c r="AH3297">
        <v>101.206644142301</v>
      </c>
      <c r="AI3297">
        <v>90.581090292951203</v>
      </c>
      <c r="AJ3297">
        <v>94.514033766938198</v>
      </c>
      <c r="AK3297">
        <v>101.526776656289</v>
      </c>
      <c r="AL3297">
        <v>87.716786902764795</v>
      </c>
      <c r="AM3297">
        <v>89.879569185095903</v>
      </c>
      <c r="AN3297">
        <v>0.99999999695409503</v>
      </c>
    </row>
    <row r="3298" spans="1:40" x14ac:dyDescent="0.25">
      <c r="A3298" t="str">
        <f>"20190312150725096"</f>
        <v>20190312150725096</v>
      </c>
      <c r="B3298" t="str">
        <f>"1552374445093591"</f>
        <v>1552374445093591</v>
      </c>
      <c r="C3298" t="s">
        <v>40</v>
      </c>
      <c r="D3298">
        <v>4.1612239999999998</v>
      </c>
      <c r="E3298">
        <v>0.47031509999999999</v>
      </c>
      <c r="F3298" t="s">
        <v>68</v>
      </c>
      <c r="G3298">
        <v>-419.11529999999999</v>
      </c>
      <c r="H3298" s="1">
        <v>4.9328459999999996E-6</v>
      </c>
      <c r="I3298">
        <v>277.71230000000003</v>
      </c>
      <c r="J3298">
        <v>-307.63310000000001</v>
      </c>
      <c r="K3298">
        <v>1.1096839999999999</v>
      </c>
      <c r="L3298">
        <v>282.6302</v>
      </c>
      <c r="M3298">
        <v>-0.99930549999999996</v>
      </c>
      <c r="N3298">
        <v>0</v>
      </c>
      <c r="O3298">
        <v>3.43983E-2</v>
      </c>
      <c r="P3298">
        <v>-0.99900750000000005</v>
      </c>
      <c r="Q3298">
        <v>2.5624210000000001E-2</v>
      </c>
      <c r="R3298">
        <v>3.6433130000000001E-2</v>
      </c>
      <c r="S3298">
        <v>-3.0084840000000002</v>
      </c>
      <c r="T3298">
        <v>-2.9884580000000001E-2</v>
      </c>
      <c r="U3298">
        <v>-0.13223270000000001</v>
      </c>
      <c r="V3298">
        <v>2.0810820000000002E-3</v>
      </c>
      <c r="W3298">
        <v>3.994147E-2</v>
      </c>
      <c r="X3298">
        <v>0.99919990000000003</v>
      </c>
      <c r="Y3298">
        <v>-7.8247999999999998E-2</v>
      </c>
      <c r="Z3298">
        <v>-7.3000789999999995E-4</v>
      </c>
      <c r="AA3298">
        <v>0.99693359999999998</v>
      </c>
      <c r="AB3298">
        <v>41</v>
      </c>
      <c r="AC3298">
        <v>-111.482199999999</v>
      </c>
      <c r="AD3298">
        <v>-1.109679067154</v>
      </c>
      <c r="AE3298">
        <v>-4.9178999999999702</v>
      </c>
      <c r="AF3298">
        <v>-8.7493156258861209</v>
      </c>
      <c r="AG3298">
        <v>-1.109679067154</v>
      </c>
      <c r="AH3298">
        <v>111.236027092489</v>
      </c>
      <c r="AI3298">
        <v>90.569798050041896</v>
      </c>
      <c r="AJ3298">
        <v>94.497363864581104</v>
      </c>
      <c r="AK3298">
        <v>111.58510489699999</v>
      </c>
      <c r="AL3298">
        <v>87.710913533582001</v>
      </c>
      <c r="AM3298">
        <v>89.880667479039502</v>
      </c>
      <c r="AN3298">
        <v>1.0000000460440199</v>
      </c>
    </row>
    <row r="3299" spans="1:40" x14ac:dyDescent="0.25">
      <c r="A3299" t="str">
        <f>"20190312150725114"</f>
        <v>20190312150725114</v>
      </c>
      <c r="B3299" t="str">
        <f>"1552374445103351"</f>
        <v>1552374445103351</v>
      </c>
      <c r="C3299" t="s">
        <v>40</v>
      </c>
      <c r="D3299">
        <v>4.4719870000000004</v>
      </c>
      <c r="E3299">
        <v>0.4703581</v>
      </c>
      <c r="F3299" t="s">
        <v>68</v>
      </c>
      <c r="G3299">
        <v>-422.73219999999998</v>
      </c>
      <c r="H3299" s="1">
        <v>4.4950979999999999E-6</v>
      </c>
      <c r="I3299">
        <v>277.63310000000001</v>
      </c>
      <c r="J3299">
        <v>-307.93979999999999</v>
      </c>
      <c r="K3299">
        <v>1.1097129999999999</v>
      </c>
      <c r="L3299">
        <v>282.64100000000002</v>
      </c>
      <c r="M3299">
        <v>-0.9992974</v>
      </c>
      <c r="N3299">
        <v>0</v>
      </c>
      <c r="O3299">
        <v>3.4608369999999999E-2</v>
      </c>
      <c r="P3299">
        <v>-0.99898560000000003</v>
      </c>
      <c r="Q3299">
        <v>2.5761619999999999E-2</v>
      </c>
      <c r="R3299">
        <v>3.6938930000000002E-2</v>
      </c>
      <c r="S3299">
        <v>-3.0084840000000002</v>
      </c>
      <c r="T3299">
        <v>-2.9005050000000001E-2</v>
      </c>
      <c r="U3299">
        <v>-0.13061519999999999</v>
      </c>
      <c r="V3299">
        <v>2.3755909999999998E-3</v>
      </c>
      <c r="W3299">
        <v>4.0144449999999998E-2</v>
      </c>
      <c r="X3299">
        <v>0.99919100000000005</v>
      </c>
      <c r="Y3299">
        <v>-7.7922959999999999E-2</v>
      </c>
      <c r="Z3299">
        <v>-7.0899000000000005E-4</v>
      </c>
      <c r="AA3299">
        <v>0.99695909999999999</v>
      </c>
      <c r="AB3299">
        <v>40</v>
      </c>
      <c r="AC3299">
        <v>-114.7924</v>
      </c>
      <c r="AD3299">
        <v>-1.1097085049019999</v>
      </c>
      <c r="AE3299">
        <v>-5.0078999999999496</v>
      </c>
      <c r="AF3299">
        <v>-8.9772510801699497</v>
      </c>
      <c r="AG3299">
        <v>-1.1097085049019999</v>
      </c>
      <c r="AH3299">
        <v>114.539602591552</v>
      </c>
      <c r="AI3299">
        <v>90.553391559229496</v>
      </c>
      <c r="AJ3299">
        <v>94.481500104133502</v>
      </c>
      <c r="AK3299">
        <v>114.896227317319</v>
      </c>
      <c r="AL3299">
        <v>87.699274051513598</v>
      </c>
      <c r="AM3299">
        <v>89.863778715290294</v>
      </c>
      <c r="AN3299">
        <v>0.99999993738969895</v>
      </c>
    </row>
    <row r="3300" spans="1:40" x14ac:dyDescent="0.25">
      <c r="A3300" t="str">
        <f>"20190312150725134"</f>
        <v>20190312150725134</v>
      </c>
      <c r="B3300" t="str">
        <f>"1552374445123846"</f>
        <v>1552374445123846</v>
      </c>
      <c r="C3300" t="s">
        <v>40</v>
      </c>
      <c r="D3300">
        <v>4.4810569999999998</v>
      </c>
      <c r="E3300">
        <v>0.47038790000000003</v>
      </c>
      <c r="F3300" t="s">
        <v>68</v>
      </c>
      <c r="G3300">
        <v>-427.7611</v>
      </c>
      <c r="H3300" s="1">
        <v>3.5819960000000001E-6</v>
      </c>
      <c r="I3300">
        <v>277.51299999999998</v>
      </c>
      <c r="J3300">
        <v>-308.3152</v>
      </c>
      <c r="K3300">
        <v>1.1097490000000001</v>
      </c>
      <c r="L3300">
        <v>282.6542</v>
      </c>
      <c r="M3300">
        <v>-0.99928810000000001</v>
      </c>
      <c r="N3300">
        <v>0</v>
      </c>
      <c r="O3300">
        <v>3.4843159999999998E-2</v>
      </c>
      <c r="P3300">
        <v>-0.99896300000000005</v>
      </c>
      <c r="Q3300">
        <v>2.581081E-2</v>
      </c>
      <c r="R3300">
        <v>3.7510729999999999E-2</v>
      </c>
      <c r="S3300">
        <v>-3.0084840000000002</v>
      </c>
      <c r="T3300">
        <v>-2.7862669999999999E-2</v>
      </c>
      <c r="U3300">
        <v>-0.1287537</v>
      </c>
      <c r="V3300">
        <v>2.7108560000000002E-3</v>
      </c>
      <c r="W3300">
        <v>4.0271660000000001E-2</v>
      </c>
      <c r="X3300">
        <v>0.99918510000000005</v>
      </c>
      <c r="Y3300">
        <v>-7.7541879999999994E-2</v>
      </c>
      <c r="Z3300">
        <v>-6.8148539999999896E-4</v>
      </c>
      <c r="AA3300">
        <v>0.99698889999999996</v>
      </c>
      <c r="AB3300">
        <v>40</v>
      </c>
      <c r="AC3300">
        <v>-119.44589999999999</v>
      </c>
      <c r="AD3300">
        <v>-1.1097454180039901</v>
      </c>
      <c r="AE3300">
        <v>-5.14120000000002</v>
      </c>
      <c r="AF3300">
        <v>-9.2995844340169302</v>
      </c>
      <c r="AG3300">
        <v>-1.1097454180039901</v>
      </c>
      <c r="AH3300">
        <v>119.183933238107</v>
      </c>
      <c r="AI3300">
        <v>90.531860538376307</v>
      </c>
      <c r="AJ3300">
        <v>94.461587497120703</v>
      </c>
      <c r="AK3300">
        <v>119.551343562688</v>
      </c>
      <c r="AL3300">
        <v>87.691979723079797</v>
      </c>
      <c r="AM3300">
        <v>89.844553099742697</v>
      </c>
      <c r="AN3300">
        <v>1.0000000097007</v>
      </c>
    </row>
    <row r="3301" spans="1:40" x14ac:dyDescent="0.25">
      <c r="A3301" t="str">
        <f>"20190312150725147"</f>
        <v>20190312150725147</v>
      </c>
      <c r="B3301" t="str">
        <f>"1552374445143367"</f>
        <v>1552374445143367</v>
      </c>
      <c r="C3301" t="s">
        <v>40</v>
      </c>
      <c r="D3301">
        <v>4.1764979999999996</v>
      </c>
      <c r="E3301">
        <v>0.47026459999999998</v>
      </c>
      <c r="F3301" t="s">
        <v>68</v>
      </c>
      <c r="G3301">
        <v>-430.21749999999997</v>
      </c>
      <c r="H3301">
        <v>3.1204539999999999E-2</v>
      </c>
      <c r="I3301">
        <v>277.51029999999997</v>
      </c>
      <c r="J3301">
        <v>-308.548</v>
      </c>
      <c r="K3301">
        <v>1.1097699999999999</v>
      </c>
      <c r="L3301">
        <v>282.66239999999999</v>
      </c>
      <c r="M3301">
        <v>-0.99928269999999997</v>
      </c>
      <c r="N3301">
        <v>0</v>
      </c>
      <c r="O3301">
        <v>3.4978179999999998E-2</v>
      </c>
      <c r="P3301">
        <v>-0.99894859999999996</v>
      </c>
      <c r="Q3301">
        <v>2.573311E-2</v>
      </c>
      <c r="R3301">
        <v>3.7943480000000002E-2</v>
      </c>
      <c r="S3301">
        <v>-3.008575</v>
      </c>
      <c r="T3301">
        <v>-2.6618719999999998E-2</v>
      </c>
      <c r="U3301">
        <v>-0.12695310000000001</v>
      </c>
      <c r="V3301">
        <v>3.007296E-3</v>
      </c>
      <c r="W3301">
        <v>4.024022E-2</v>
      </c>
      <c r="X3301">
        <v>0.99918549999999995</v>
      </c>
      <c r="Y3301">
        <v>-7.708015E-2</v>
      </c>
      <c r="Z3301">
        <v>-6.5020170000000001E-4</v>
      </c>
      <c r="AA3301">
        <v>0.99702469999999999</v>
      </c>
      <c r="AB3301">
        <v>40</v>
      </c>
      <c r="AC3301">
        <v>-121.669499999999</v>
      </c>
      <c r="AD3301">
        <v>-1.0785654600000001</v>
      </c>
      <c r="AE3301">
        <v>-5.1521000000000097</v>
      </c>
      <c r="AF3301">
        <v>-9.4044348377765505</v>
      </c>
      <c r="AG3301">
        <v>-1.0785654600000001</v>
      </c>
      <c r="AH3301">
        <v>121.405278455542</v>
      </c>
      <c r="AI3301">
        <v>90.507482543069202</v>
      </c>
      <c r="AJ3301">
        <v>94.429465751717899</v>
      </c>
      <c r="AK3301">
        <v>121.77375881090801</v>
      </c>
      <c r="AL3301">
        <v>87.693782521228599</v>
      </c>
      <c r="AM3301">
        <v>89.827554695030301</v>
      </c>
      <c r="AN3301">
        <v>0.999999991272564</v>
      </c>
    </row>
    <row r="3302" spans="1:40" x14ac:dyDescent="0.25">
      <c r="A3302" t="str">
        <f>"20190312150725160"</f>
        <v>20190312150725160</v>
      </c>
      <c r="B3302" t="str">
        <f>"1552374445153126"</f>
        <v>1552374445153126</v>
      </c>
      <c r="C3302" t="s">
        <v>40</v>
      </c>
      <c r="D3302">
        <v>4.187678</v>
      </c>
      <c r="E3302">
        <v>0.4624858</v>
      </c>
      <c r="F3302" t="s">
        <v>68</v>
      </c>
      <c r="G3302">
        <v>-430.2278</v>
      </c>
      <c r="H3302">
        <v>4.0780009999999998E-2</v>
      </c>
      <c r="I3302">
        <v>277.54770000000002</v>
      </c>
      <c r="J3302">
        <v>-308.7971</v>
      </c>
      <c r="K3302">
        <v>1.1097919999999999</v>
      </c>
      <c r="L3302">
        <v>282.6712</v>
      </c>
      <c r="M3302">
        <v>-0.99927739999999998</v>
      </c>
      <c r="N3302">
        <v>0</v>
      </c>
      <c r="O3302">
        <v>3.5111389999999999E-2</v>
      </c>
      <c r="P3302">
        <v>-0.99893969999999999</v>
      </c>
      <c r="Q3302">
        <v>2.5607020000000001E-2</v>
      </c>
      <c r="R3302">
        <v>3.8261000000000003E-2</v>
      </c>
      <c r="S3302">
        <v>-3.0086360000000001</v>
      </c>
      <c r="T3302">
        <v>-2.6431679999999999E-2</v>
      </c>
      <c r="U3302">
        <v>-0.12646479999999999</v>
      </c>
      <c r="V3302">
        <v>3.1898590000000002E-3</v>
      </c>
      <c r="W3302">
        <v>4.0160179999999997E-2</v>
      </c>
      <c r="X3302">
        <v>0.99918819999999997</v>
      </c>
      <c r="Y3302">
        <v>-7.7050759999999996E-2</v>
      </c>
      <c r="Z3302">
        <v>-6.4666279999999897E-4</v>
      </c>
      <c r="AA3302">
        <v>0.997027</v>
      </c>
      <c r="AB3302">
        <v>40</v>
      </c>
      <c r="AC3302">
        <v>-121.4307</v>
      </c>
      <c r="AD3302">
        <v>-1.0690119899999999</v>
      </c>
      <c r="AE3302">
        <v>-5.1234999999999697</v>
      </c>
      <c r="AF3302">
        <v>-9.38366665153724</v>
      </c>
      <c r="AG3302">
        <v>-1.0690119899999999</v>
      </c>
      <c r="AH3302">
        <v>121.166524448156</v>
      </c>
      <c r="AI3302">
        <v>90.503979507497206</v>
      </c>
      <c r="AJ3302">
        <v>94.4283970737917</v>
      </c>
      <c r="AK3302">
        <v>121.53403899034799</v>
      </c>
      <c r="AL3302">
        <v>87.698372291162698</v>
      </c>
      <c r="AM3302">
        <v>89.817086673915597</v>
      </c>
      <c r="AN3302">
        <v>1.0000000371386499</v>
      </c>
    </row>
    <row r="3303" spans="1:40" x14ac:dyDescent="0.25">
      <c r="A3303" t="str">
        <f>"20190312150725171"</f>
        <v>20190312150725171</v>
      </c>
      <c r="B3303" t="str">
        <f>"1552374445163863"</f>
        <v>1552374445163863</v>
      </c>
      <c r="C3303" t="s">
        <v>40</v>
      </c>
      <c r="D3303">
        <v>4.4661730000000004</v>
      </c>
      <c r="E3303">
        <v>0.46209899999999998</v>
      </c>
      <c r="F3303" t="s">
        <v>61</v>
      </c>
      <c r="G3303">
        <v>-478.78840000000002</v>
      </c>
      <c r="H3303">
        <v>7.9999210000000001E-2</v>
      </c>
      <c r="I3303">
        <v>272.10219999999998</v>
      </c>
      <c r="J3303">
        <v>-308.98950000000002</v>
      </c>
      <c r="K3303">
        <v>1.109809</v>
      </c>
      <c r="L3303">
        <v>282.67809999999997</v>
      </c>
      <c r="M3303">
        <v>-0.99927339999999998</v>
      </c>
      <c r="N3303">
        <v>0</v>
      </c>
      <c r="O3303">
        <v>3.5206479999999998E-2</v>
      </c>
      <c r="P3303">
        <v>-0.99893109999999996</v>
      </c>
      <c r="Q3303">
        <v>2.563878E-2</v>
      </c>
      <c r="R3303">
        <v>3.8460639999999997E-2</v>
      </c>
      <c r="S3303">
        <v>-3.010834</v>
      </c>
      <c r="T3303">
        <v>-1.8239379999999999E-2</v>
      </c>
      <c r="U3303">
        <v>-0.18719479999999999</v>
      </c>
      <c r="V3303">
        <v>3.2933839999999999E-3</v>
      </c>
      <c r="W3303">
        <v>4.0225440000000001E-2</v>
      </c>
      <c r="X3303">
        <v>0.9991852</v>
      </c>
      <c r="Y3303">
        <v>-9.7155409999999998E-2</v>
      </c>
      <c r="Z3303">
        <v>-5.071114E-4</v>
      </c>
      <c r="AA3303">
        <v>0.99526910000000002</v>
      </c>
      <c r="AB3303">
        <v>40</v>
      </c>
      <c r="AC3303">
        <v>-169.7989</v>
      </c>
      <c r="AD3303">
        <v>-1.0298097900000001</v>
      </c>
      <c r="AE3303">
        <v>-10.575899999999899</v>
      </c>
      <c r="AF3303">
        <v>-16.547394732070899</v>
      </c>
      <c r="AG3303">
        <v>-1.0298097900000001</v>
      </c>
      <c r="AH3303">
        <v>169.31502865889101</v>
      </c>
      <c r="AI3303">
        <v>90.346828367863196</v>
      </c>
      <c r="AJ3303">
        <v>95.581870158240903</v>
      </c>
      <c r="AK3303">
        <v>170.12482390992699</v>
      </c>
      <c r="AL3303">
        <v>87.694630054929405</v>
      </c>
      <c r="AM3303">
        <v>89.8111498046799</v>
      </c>
      <c r="AN3303">
        <v>0.99999999815020202</v>
      </c>
    </row>
    <row r="3304" spans="1:40" x14ac:dyDescent="0.25">
      <c r="A3304" t="str">
        <f>"20190312150725191"</f>
        <v>20190312150725191</v>
      </c>
      <c r="B3304" t="str">
        <f>"1552374445183382"</f>
        <v>1552374445183382</v>
      </c>
      <c r="C3304" t="s">
        <v>40</v>
      </c>
      <c r="D3304">
        <v>4.4293779999999998</v>
      </c>
      <c r="E3304">
        <v>0.46174789999999999</v>
      </c>
      <c r="F3304" t="s">
        <v>43</v>
      </c>
      <c r="G3304">
        <v>-472.3691</v>
      </c>
      <c r="H3304">
        <v>-0.05</v>
      </c>
      <c r="I3304">
        <v>272.38040000000001</v>
      </c>
      <c r="J3304">
        <v>-309.33249999999998</v>
      </c>
      <c r="K3304">
        <v>1.1098410000000001</v>
      </c>
      <c r="L3304">
        <v>282.69040000000001</v>
      </c>
      <c r="M3304">
        <v>-0.99926729999999997</v>
      </c>
      <c r="N3304">
        <v>0</v>
      </c>
      <c r="O3304">
        <v>3.5361660000000003E-2</v>
      </c>
      <c r="P3304">
        <v>-0.99892320000000001</v>
      </c>
      <c r="Q3304">
        <v>2.544329E-2</v>
      </c>
      <c r="R3304">
        <v>3.8798970000000002E-2</v>
      </c>
      <c r="S3304">
        <v>-3.0111080000000001</v>
      </c>
      <c r="T3304">
        <v>-2.1375419999999999E-2</v>
      </c>
      <c r="U3304">
        <v>-0.18978880000000001</v>
      </c>
      <c r="V3304">
        <v>3.4741630000000002E-3</v>
      </c>
      <c r="W3304">
        <v>4.0085839999999998E-2</v>
      </c>
      <c r="X3304">
        <v>0.99919020000000003</v>
      </c>
      <c r="Y3304">
        <v>-9.8157439999999999E-2</v>
      </c>
      <c r="Z3304">
        <v>-5.9888580000000001E-4</v>
      </c>
      <c r="AA3304">
        <v>0.99517069999999996</v>
      </c>
      <c r="AB3304">
        <v>40</v>
      </c>
      <c r="AC3304">
        <v>-163.03659999999999</v>
      </c>
      <c r="AD3304">
        <v>-1.1598409999999999</v>
      </c>
      <c r="AE3304">
        <v>-10.31</v>
      </c>
      <c r="AF3304">
        <v>-16.068603568116199</v>
      </c>
      <c r="AG3304">
        <v>-1.1598409999999999</v>
      </c>
      <c r="AH3304">
        <v>162.561799817961</v>
      </c>
      <c r="AI3304">
        <v>90.406802807115994</v>
      </c>
      <c r="AJ3304">
        <v>95.645127949736306</v>
      </c>
      <c r="AK3304">
        <v>163.358146450764</v>
      </c>
      <c r="AL3304">
        <v>87.702635006692901</v>
      </c>
      <c r="AM3304">
        <v>89.800784600273005</v>
      </c>
      <c r="AN3304">
        <v>1.0000000000765401</v>
      </c>
    </row>
    <row r="3305" spans="1:40" x14ac:dyDescent="0.25">
      <c r="A3305" t="str">
        <f>"20190312150725202"</f>
        <v>20190312150725202</v>
      </c>
      <c r="B3305" t="str">
        <f>"1552374445193143"</f>
        <v>1552374445193143</v>
      </c>
      <c r="C3305" t="s">
        <v>40</v>
      </c>
      <c r="D3305">
        <v>4.2099359999999999</v>
      </c>
      <c r="E3305">
        <v>0.46154780000000001</v>
      </c>
      <c r="F3305" t="s">
        <v>43</v>
      </c>
      <c r="G3305">
        <v>-463.51589999999999</v>
      </c>
      <c r="H3305">
        <v>-0.05</v>
      </c>
      <c r="I3305">
        <v>272.87430000000001</v>
      </c>
      <c r="J3305">
        <v>-309.55119999999999</v>
      </c>
      <c r="K3305">
        <v>1.109861</v>
      </c>
      <c r="L3305">
        <v>282.69819999999999</v>
      </c>
      <c r="M3305">
        <v>-0.99926369999999998</v>
      </c>
      <c r="N3305">
        <v>0</v>
      </c>
      <c r="O3305">
        <v>3.5451099999999999E-2</v>
      </c>
      <c r="P3305">
        <v>-0.99892619999999999</v>
      </c>
      <c r="Q3305">
        <v>2.5463389999999999E-2</v>
      </c>
      <c r="R3305">
        <v>3.8708810000000003E-2</v>
      </c>
      <c r="S3305">
        <v>-3.0112610000000002</v>
      </c>
      <c r="T3305">
        <v>-2.2652149999999999E-2</v>
      </c>
      <c r="U3305">
        <v>-0.1917114</v>
      </c>
      <c r="V3305">
        <v>3.2930799999999999E-3</v>
      </c>
      <c r="W3305">
        <v>4.0139210000000002E-2</v>
      </c>
      <c r="X3305">
        <v>0.99918870000000004</v>
      </c>
      <c r="Y3305">
        <v>-9.8875749999999998E-2</v>
      </c>
      <c r="Z3305">
        <v>-6.3798260000000003E-4</v>
      </c>
      <c r="AA3305">
        <v>0.99509959999999997</v>
      </c>
      <c r="AB3305">
        <v>40</v>
      </c>
      <c r="AC3305">
        <v>-153.96469999999999</v>
      </c>
      <c r="AD3305">
        <v>-1.159861</v>
      </c>
      <c r="AE3305">
        <v>-9.8238999999999805</v>
      </c>
      <c r="AF3305">
        <v>-15.2756656862363</v>
      </c>
      <c r="AG3305">
        <v>-1.159861</v>
      </c>
      <c r="AH3305">
        <v>153.510916771913</v>
      </c>
      <c r="AI3305">
        <v>90.430766101106997</v>
      </c>
      <c r="AJ3305">
        <v>95.682718828403907</v>
      </c>
      <c r="AK3305">
        <v>154.27343519818999</v>
      </c>
      <c r="AL3305">
        <v>87.699574735334096</v>
      </c>
      <c r="AM3305">
        <v>89.811167898057704</v>
      </c>
      <c r="AN3305">
        <v>1.0000000293814999</v>
      </c>
    </row>
    <row r="3306" spans="1:40" x14ac:dyDescent="0.25">
      <c r="A3306" t="str">
        <f>"20190312150725213"</f>
        <v>20190312150725213</v>
      </c>
      <c r="B3306" t="str">
        <f>"1552374445203879"</f>
        <v>1552374445203879</v>
      </c>
      <c r="C3306" t="s">
        <v>40</v>
      </c>
      <c r="D3306">
        <v>4.2087219999999999</v>
      </c>
      <c r="E3306">
        <v>0.46151619999999999</v>
      </c>
      <c r="F3306" t="s">
        <v>43</v>
      </c>
      <c r="G3306">
        <v>-464.03140000000002</v>
      </c>
      <c r="H3306">
        <v>-0.05</v>
      </c>
      <c r="I3306">
        <v>272.76949999999999</v>
      </c>
      <c r="J3306">
        <v>-309.74779999999998</v>
      </c>
      <c r="K3306">
        <v>1.109882</v>
      </c>
      <c r="L3306">
        <v>282.70519999999999</v>
      </c>
      <c r="M3306">
        <v>-0.9992607</v>
      </c>
      <c r="N3306">
        <v>0</v>
      </c>
      <c r="O3306">
        <v>3.5520320000000001E-2</v>
      </c>
      <c r="P3306">
        <v>-0.99892789999999998</v>
      </c>
      <c r="Q3306">
        <v>2.5428289999999999E-2</v>
      </c>
      <c r="R3306">
        <v>3.868622E-2</v>
      </c>
      <c r="S3306">
        <v>-3.0113219999999998</v>
      </c>
      <c r="T3306">
        <v>-2.260947E-2</v>
      </c>
      <c r="U3306">
        <v>-0.19354250000000001</v>
      </c>
      <c r="V3306">
        <v>3.199726E-3</v>
      </c>
      <c r="W3306">
        <v>4.0131109999999998E-2</v>
      </c>
      <c r="X3306">
        <v>0.99918929999999995</v>
      </c>
      <c r="Y3306">
        <v>-9.9546019999999999E-2</v>
      </c>
      <c r="Z3306">
        <v>-6.3978949999999896E-4</v>
      </c>
      <c r="AA3306">
        <v>0.99503269999999999</v>
      </c>
      <c r="AB3306">
        <v>40</v>
      </c>
      <c r="AC3306">
        <v>-154.28360000000001</v>
      </c>
      <c r="AD3306">
        <v>-1.1598820000000001</v>
      </c>
      <c r="AE3306">
        <v>-9.93569999999999</v>
      </c>
      <c r="AF3306">
        <v>-15.409357238614801</v>
      </c>
      <c r="AG3306">
        <v>-1.1598820000000001</v>
      </c>
      <c r="AH3306">
        <v>153.824603518364</v>
      </c>
      <c r="AI3306">
        <v>90.429867167808098</v>
      </c>
      <c r="AJ3306">
        <v>95.720512184455401</v>
      </c>
      <c r="AK3306">
        <v>154.59884302394701</v>
      </c>
      <c r="AL3306">
        <v>87.700039139456294</v>
      </c>
      <c r="AM3306">
        <v>89.816521084919003</v>
      </c>
      <c r="AN3306">
        <v>1.00000000073539</v>
      </c>
    </row>
    <row r="3307" spans="1:40" x14ac:dyDescent="0.25">
      <c r="A3307" t="str">
        <f>"20190312150725225"</f>
        <v>20190312150725225</v>
      </c>
      <c r="B3307" t="str">
        <f>"1552374445213640"</f>
        <v>1552374445213640</v>
      </c>
      <c r="C3307" t="s">
        <v>40</v>
      </c>
      <c r="D3307">
        <v>4.4913129999999999</v>
      </c>
      <c r="E3307">
        <v>0.46148440000000002</v>
      </c>
      <c r="F3307" t="s">
        <v>43</v>
      </c>
      <c r="G3307">
        <v>-462.16550000000001</v>
      </c>
      <c r="H3307">
        <v>-0.05</v>
      </c>
      <c r="I3307">
        <v>272.88440000000003</v>
      </c>
      <c r="J3307">
        <v>-309.95190000000002</v>
      </c>
      <c r="K3307">
        <v>1.1099030000000001</v>
      </c>
      <c r="L3307">
        <v>282.71249999999998</v>
      </c>
      <c r="M3307">
        <v>-0.99925790000000003</v>
      </c>
      <c r="N3307">
        <v>0</v>
      </c>
      <c r="O3307">
        <v>3.5589240000000001E-2</v>
      </c>
      <c r="P3307">
        <v>-0.99891980000000002</v>
      </c>
      <c r="Q3307">
        <v>2.548131E-2</v>
      </c>
      <c r="R3307">
        <v>3.8863259999999997E-2</v>
      </c>
      <c r="S3307">
        <v>-3.0113219999999998</v>
      </c>
      <c r="T3307">
        <v>-2.291584E-2</v>
      </c>
      <c r="U3307">
        <v>-0.1940308</v>
      </c>
      <c r="V3307">
        <v>3.306701E-3</v>
      </c>
      <c r="W3307">
        <v>4.0211629999999998E-2</v>
      </c>
      <c r="X3307">
        <v>0.99918569999999995</v>
      </c>
      <c r="Y3307">
        <v>-9.9775210000000003E-2</v>
      </c>
      <c r="Z3307">
        <v>-6.4985059999999998E-4</v>
      </c>
      <c r="AA3307">
        <v>0.99500980000000006</v>
      </c>
      <c r="AB3307">
        <v>40</v>
      </c>
      <c r="AC3307">
        <v>-152.21360000000001</v>
      </c>
      <c r="AD3307">
        <v>-1.1599029999999999</v>
      </c>
      <c r="AE3307">
        <v>-9.8280999999999494</v>
      </c>
      <c r="AF3307">
        <v>-15.238745710357501</v>
      </c>
      <c r="AG3307">
        <v>-1.1599029999999999</v>
      </c>
      <c r="AH3307">
        <v>151.758563801798</v>
      </c>
      <c r="AI3307">
        <v>90.435716676154797</v>
      </c>
      <c r="AJ3307">
        <v>95.734100677121603</v>
      </c>
      <c r="AK3307">
        <v>152.526149997235</v>
      </c>
      <c r="AL3307">
        <v>87.695421922972798</v>
      </c>
      <c r="AM3307">
        <v>89.810386277791494</v>
      </c>
      <c r="AN3307">
        <v>0.99999998627162501</v>
      </c>
    </row>
    <row r="3308" spans="1:40" x14ac:dyDescent="0.25">
      <c r="A3308" t="str">
        <f>"20190312150725237"</f>
        <v>20190312150725237</v>
      </c>
      <c r="B3308" t="str">
        <f>"1552374445233159"</f>
        <v>1552374445233159</v>
      </c>
      <c r="C3308" t="s">
        <v>40</v>
      </c>
      <c r="D3308">
        <v>4.2236729999999998</v>
      </c>
      <c r="E3308">
        <v>0.46129249999999999</v>
      </c>
      <c r="F3308" t="s">
        <v>43</v>
      </c>
      <c r="G3308">
        <v>-452.40750000000003</v>
      </c>
      <c r="H3308">
        <v>-0.05</v>
      </c>
      <c r="I3308">
        <v>273.54829999999998</v>
      </c>
      <c r="J3308">
        <v>-310.17059999999998</v>
      </c>
      <c r="K3308">
        <v>1.1099250000000001</v>
      </c>
      <c r="L3308">
        <v>282.72039999999998</v>
      </c>
      <c r="M3308">
        <v>-0.99925540000000002</v>
      </c>
      <c r="N3308">
        <v>0</v>
      </c>
      <c r="O3308">
        <v>3.5647499999999999E-2</v>
      </c>
      <c r="P3308">
        <v>-0.99890659999999998</v>
      </c>
      <c r="Q3308">
        <v>2.5910010000000001E-2</v>
      </c>
      <c r="R3308">
        <v>3.8919460000000003E-2</v>
      </c>
      <c r="S3308">
        <v>-3.0114139999999998</v>
      </c>
      <c r="T3308">
        <v>-2.4519559999999999E-2</v>
      </c>
      <c r="U3308">
        <v>-0.1937256</v>
      </c>
      <c r="V3308">
        <v>3.30357E-3</v>
      </c>
      <c r="W3308">
        <v>4.066616E-2</v>
      </c>
      <c r="X3308">
        <v>0.99916729999999998</v>
      </c>
      <c r="Y3308">
        <v>-9.9730330000000006E-2</v>
      </c>
      <c r="Z3308">
        <v>-6.9560039999999905E-4</v>
      </c>
      <c r="AA3308">
        <v>0.99501430000000002</v>
      </c>
      <c r="AB3308">
        <v>40</v>
      </c>
      <c r="AC3308">
        <v>-142.23689999999999</v>
      </c>
      <c r="AD3308">
        <v>-1.1599250000000001</v>
      </c>
      <c r="AE3308">
        <v>-9.1721000000000004</v>
      </c>
      <c r="AF3308">
        <v>-14.2362687641125</v>
      </c>
      <c r="AG3308">
        <v>-1.1599250000000001</v>
      </c>
      <c r="AH3308">
        <v>141.81008852324399</v>
      </c>
      <c r="AI3308">
        <v>90.466292414136603</v>
      </c>
      <c r="AJ3308">
        <v>95.732697985899307</v>
      </c>
      <c r="AK3308">
        <v>142.52760427825899</v>
      </c>
      <c r="AL3308">
        <v>87.669357917921403</v>
      </c>
      <c r="AM3308">
        <v>89.810562326643094</v>
      </c>
      <c r="AN3308">
        <v>0.99999997176658895</v>
      </c>
    </row>
    <row r="3309" spans="1:40" x14ac:dyDescent="0.25">
      <c r="A3309" t="str">
        <f>"20190312150725248"</f>
        <v>20190312150725248</v>
      </c>
      <c r="B3309" t="str">
        <f>"1552374445243895"</f>
        <v>1552374445243895</v>
      </c>
      <c r="C3309" t="s">
        <v>40</v>
      </c>
      <c r="D3309">
        <v>4.1791830000000001</v>
      </c>
      <c r="E3309">
        <v>0.4612329</v>
      </c>
      <c r="F3309" t="s">
        <v>43</v>
      </c>
      <c r="G3309">
        <v>-452.14729999999997</v>
      </c>
      <c r="H3309">
        <v>-0.05</v>
      </c>
      <c r="I3309">
        <v>273.51979999999998</v>
      </c>
      <c r="J3309">
        <v>-310.36599999999999</v>
      </c>
      <c r="K3309">
        <v>1.109947</v>
      </c>
      <c r="L3309">
        <v>282.72739999999999</v>
      </c>
      <c r="M3309">
        <v>-0.99925330000000001</v>
      </c>
      <c r="N3309">
        <v>0</v>
      </c>
      <c r="O3309">
        <v>3.5694379999999998E-2</v>
      </c>
      <c r="P3309">
        <v>-0.99890889999999999</v>
      </c>
      <c r="Q3309">
        <v>2.5980590000000001E-2</v>
      </c>
      <c r="R3309">
        <v>3.8801849999999999E-2</v>
      </c>
      <c r="S3309">
        <v>-3.0115660000000002</v>
      </c>
      <c r="T3309">
        <v>-2.4603960000000001E-2</v>
      </c>
      <c r="U3309">
        <v>-0.1951599</v>
      </c>
      <c r="V3309">
        <v>3.137174E-3</v>
      </c>
      <c r="W3309">
        <v>4.075906E-2</v>
      </c>
      <c r="X3309">
        <v>0.9991641</v>
      </c>
      <c r="Y3309">
        <v>-0.1002456</v>
      </c>
      <c r="Z3309">
        <v>-7.0043489999999998E-4</v>
      </c>
      <c r="AA3309">
        <v>0.99496249999999997</v>
      </c>
      <c r="AB3309">
        <v>40</v>
      </c>
      <c r="AC3309">
        <v>-141.78129999999999</v>
      </c>
      <c r="AD3309">
        <v>-1.1599469999999901</v>
      </c>
      <c r="AE3309">
        <v>-9.20760000000001</v>
      </c>
      <c r="AF3309">
        <v>-14.2621298263178</v>
      </c>
      <c r="AG3309">
        <v>-1.1599469999999901</v>
      </c>
      <c r="AH3309">
        <v>141.352813538296</v>
      </c>
      <c r="AI3309">
        <v>90.467786008092503</v>
      </c>
      <c r="AJ3309">
        <v>95.761496133381897</v>
      </c>
      <c r="AK3309">
        <v>142.07523260377801</v>
      </c>
      <c r="AL3309">
        <v>87.6640308376234</v>
      </c>
      <c r="AM3309">
        <v>89.820103385286203</v>
      </c>
      <c r="AN3309">
        <v>1.00000002078079</v>
      </c>
    </row>
    <row r="3310" spans="1:40" x14ac:dyDescent="0.25">
      <c r="A3310" t="str">
        <f>"20190312150725259"</f>
        <v>20190312150725259</v>
      </c>
      <c r="B3310" t="str">
        <f>"1552374445253655"</f>
        <v>1552374445253655</v>
      </c>
      <c r="C3310" t="s">
        <v>40</v>
      </c>
      <c r="D3310">
        <v>4.207338</v>
      </c>
      <c r="E3310">
        <v>0.46114699999999997</v>
      </c>
      <c r="F3310" t="s">
        <v>68</v>
      </c>
      <c r="G3310">
        <v>-434.82600000000002</v>
      </c>
      <c r="H3310">
        <v>8.0001219999999998E-2</v>
      </c>
      <c r="I3310">
        <v>274.62270000000001</v>
      </c>
      <c r="J3310">
        <v>-310.57380000000001</v>
      </c>
      <c r="K3310">
        <v>1.1099680000000001</v>
      </c>
      <c r="L3310">
        <v>282.73480000000001</v>
      </c>
      <c r="M3310">
        <v>-0.99925169999999996</v>
      </c>
      <c r="N3310">
        <v>0</v>
      </c>
      <c r="O3310">
        <v>3.5734500000000002E-2</v>
      </c>
      <c r="P3310">
        <v>-0.99890310000000004</v>
      </c>
      <c r="Q3310">
        <v>2.6655370000000001E-2</v>
      </c>
      <c r="R3310">
        <v>3.850145E-2</v>
      </c>
      <c r="S3310">
        <v>-3.011536</v>
      </c>
      <c r="T3310">
        <v>-2.492142E-2</v>
      </c>
      <c r="U3310">
        <v>-0.196106</v>
      </c>
      <c r="V3310">
        <v>2.7957379999999999E-3</v>
      </c>
      <c r="W3310">
        <v>4.1455609999999997E-2</v>
      </c>
      <c r="X3310">
        <v>0.99913640000000004</v>
      </c>
      <c r="Y3310">
        <v>-0.1005974</v>
      </c>
      <c r="Z3310">
        <v>-7.1125789999999995E-4</v>
      </c>
      <c r="AA3310">
        <v>0.99492700000000001</v>
      </c>
      <c r="AB3310">
        <v>40</v>
      </c>
      <c r="AC3310">
        <v>-124.25219999999899</v>
      </c>
      <c r="AD3310">
        <v>-1.0299667800000001</v>
      </c>
      <c r="AE3310">
        <v>-8.1120999999999892</v>
      </c>
      <c r="AF3310">
        <v>-12.5466360625791</v>
      </c>
      <c r="AG3310">
        <v>-1.0299667800000001</v>
      </c>
      <c r="AH3310">
        <v>123.87443581852401</v>
      </c>
      <c r="AI3310">
        <v>90.473955928820601</v>
      </c>
      <c r="AJ3310">
        <v>95.783486272643998</v>
      </c>
      <c r="AK3310">
        <v>124.51246828094099</v>
      </c>
      <c r="AL3310">
        <v>87.6240875668028</v>
      </c>
      <c r="AM3310">
        <v>89.839677975936198</v>
      </c>
      <c r="AN3310">
        <v>0.99999996477819697</v>
      </c>
    </row>
    <row r="3311" spans="1:40" x14ac:dyDescent="0.25">
      <c r="A3311" t="str">
        <f>"20190312150725272"</f>
        <v>20190312150725272</v>
      </c>
      <c r="B3311" t="str">
        <f>"1552374445263415"</f>
        <v>1552374445263415</v>
      </c>
      <c r="C3311" t="s">
        <v>40</v>
      </c>
      <c r="D3311">
        <v>4.1974479999999996</v>
      </c>
      <c r="E3311">
        <v>0.46114699999999997</v>
      </c>
      <c r="F3311" t="s">
        <v>43</v>
      </c>
      <c r="G3311">
        <v>-469.24709999999999</v>
      </c>
      <c r="H3311">
        <v>-0.05</v>
      </c>
      <c r="I3311">
        <v>272.32830000000001</v>
      </c>
      <c r="J3311">
        <v>-310.78789999999998</v>
      </c>
      <c r="K3311">
        <v>1.10999</v>
      </c>
      <c r="L3311">
        <v>282.74259999999998</v>
      </c>
      <c r="M3311">
        <v>-0.99925019999999998</v>
      </c>
      <c r="N3311">
        <v>0</v>
      </c>
      <c r="O3311">
        <v>3.576795E-2</v>
      </c>
      <c r="P3311">
        <v>-0.99889810000000001</v>
      </c>
      <c r="Q3311">
        <v>2.6935609999999999E-2</v>
      </c>
      <c r="R3311">
        <v>3.8440309999999998E-2</v>
      </c>
      <c r="S3311">
        <v>-3.011536</v>
      </c>
      <c r="T3311">
        <v>-2.2015570000000002E-2</v>
      </c>
      <c r="U3311">
        <v>-0.19750980000000001</v>
      </c>
      <c r="V3311">
        <v>2.6998399999999998E-3</v>
      </c>
      <c r="W3311">
        <v>4.1756710000000002E-2</v>
      </c>
      <c r="X3311">
        <v>0.99912420000000002</v>
      </c>
      <c r="Y3311">
        <v>-0.1010935</v>
      </c>
      <c r="Z3311">
        <v>-6.3037409999999999E-4</v>
      </c>
      <c r="AA3311">
        <v>0.99487669999999995</v>
      </c>
      <c r="AB3311">
        <v>40</v>
      </c>
      <c r="AC3311">
        <v>-158.45920000000001</v>
      </c>
      <c r="AD3311">
        <v>-1.1599899999999901</v>
      </c>
      <c r="AE3311">
        <v>-10.4142999999999</v>
      </c>
      <c r="AF3311">
        <v>-16.0751603374936</v>
      </c>
      <c r="AG3311">
        <v>-1.1599899999999901</v>
      </c>
      <c r="AH3311">
        <v>157.97681472618399</v>
      </c>
      <c r="AI3311">
        <v>90.418541895074597</v>
      </c>
      <c r="AJ3311">
        <v>95.810216651687895</v>
      </c>
      <c r="AK3311">
        <v>158.79682096222001</v>
      </c>
      <c r="AL3311">
        <v>87.606821034395594</v>
      </c>
      <c r="AM3311">
        <v>89.845175343713706</v>
      </c>
      <c r="AN3311">
        <v>1.0000000394958399</v>
      </c>
    </row>
    <row r="3312" spans="1:40" x14ac:dyDescent="0.25">
      <c r="A3312" t="str">
        <f>"20190312150725285"</f>
        <v>20190312150725285</v>
      </c>
      <c r="B3312" t="str">
        <f>"1552374445273174"</f>
        <v>1552374445273174</v>
      </c>
      <c r="C3312" t="s">
        <v>40</v>
      </c>
      <c r="D3312">
        <v>4.2167430000000001</v>
      </c>
      <c r="E3312">
        <v>0.45849319999999999</v>
      </c>
      <c r="F3312" t="s">
        <v>43</v>
      </c>
      <c r="G3312">
        <v>-476.08150000000001</v>
      </c>
      <c r="H3312">
        <v>-0.05</v>
      </c>
      <c r="I3312">
        <v>271.89159999999998</v>
      </c>
      <c r="J3312">
        <v>-311.02330000000001</v>
      </c>
      <c r="K3312">
        <v>1.1100129999999999</v>
      </c>
      <c r="L3312">
        <v>282.75099999999998</v>
      </c>
      <c r="M3312">
        <v>-0.99924860000000004</v>
      </c>
      <c r="N3312">
        <v>0</v>
      </c>
      <c r="O3312">
        <v>3.5799039999999997E-2</v>
      </c>
      <c r="P3312">
        <v>-0.99891200000000002</v>
      </c>
      <c r="Q3312">
        <v>2.6910880000000002E-2</v>
      </c>
      <c r="R3312">
        <v>3.8087360000000001E-2</v>
      </c>
      <c r="S3312">
        <v>-3.0114749999999999</v>
      </c>
      <c r="T3312">
        <v>-2.1133780000000001E-2</v>
      </c>
      <c r="U3312">
        <v>-0.1976929</v>
      </c>
      <c r="V3312">
        <v>2.3133960000000001E-3</v>
      </c>
      <c r="W3312">
        <v>4.1753850000000002E-2</v>
      </c>
      <c r="X3312">
        <v>0.99912520000000005</v>
      </c>
      <c r="Y3312">
        <v>-0.10118630000000001</v>
      </c>
      <c r="Z3312">
        <v>-6.0568069999999996E-4</v>
      </c>
      <c r="AA3312">
        <v>0.99486730000000001</v>
      </c>
      <c r="AB3312">
        <v>40</v>
      </c>
      <c r="AC3312">
        <v>-165.0582</v>
      </c>
      <c r="AD3312">
        <v>-1.160013</v>
      </c>
      <c r="AE3312">
        <v>-10.8593999999999</v>
      </c>
      <c r="AF3312">
        <v>-16.761190549698899</v>
      </c>
      <c r="AG3312">
        <v>-1.160013</v>
      </c>
      <c r="AH3312">
        <v>164.555484214752</v>
      </c>
      <c r="AI3312">
        <v>90.401813688836199</v>
      </c>
      <c r="AJ3312">
        <v>95.815940038511499</v>
      </c>
      <c r="AK3312">
        <v>165.41097461763201</v>
      </c>
      <c r="AL3312">
        <v>87.606984830342597</v>
      </c>
      <c r="AM3312">
        <v>89.867336355571396</v>
      </c>
      <c r="AN3312">
        <v>0.99999995053295598</v>
      </c>
    </row>
    <row r="3313" spans="1:40" x14ac:dyDescent="0.25">
      <c r="A3313" t="str">
        <f>"20190312150725302"</f>
        <v>20190312150725302</v>
      </c>
      <c r="B3313" t="str">
        <f>"1552374445293670"</f>
        <v>1552374445293670</v>
      </c>
      <c r="C3313" t="s">
        <v>40</v>
      </c>
      <c r="D3313">
        <v>4.2321090000000003</v>
      </c>
      <c r="E3313">
        <v>0.45780900000000002</v>
      </c>
      <c r="F3313" t="s">
        <v>67</v>
      </c>
      <c r="G3313">
        <v>-349.50189999999998</v>
      </c>
      <c r="H3313" s="1">
        <v>3.519665E-6</v>
      </c>
      <c r="I3313">
        <v>279.91629999999998</v>
      </c>
      <c r="J3313">
        <v>-311.34350000000001</v>
      </c>
      <c r="K3313">
        <v>1.110044</v>
      </c>
      <c r="L3313">
        <v>282.76249999999999</v>
      </c>
      <c r="M3313">
        <v>-0.99924729999999995</v>
      </c>
      <c r="N3313">
        <v>0</v>
      </c>
      <c r="O3313">
        <v>3.5827600000000001E-2</v>
      </c>
      <c r="P3313">
        <v>-0.99892530000000002</v>
      </c>
      <c r="Q3313">
        <v>2.7103889999999999E-2</v>
      </c>
      <c r="R3313">
        <v>3.7601780000000001E-2</v>
      </c>
      <c r="S3313">
        <v>-3.0140380000000002</v>
      </c>
      <c r="T3313">
        <v>-8.6947200000000002E-2</v>
      </c>
      <c r="U3313">
        <v>-0.22204589999999999</v>
      </c>
      <c r="V3313">
        <v>1.7969150000000001E-3</v>
      </c>
      <c r="W3313">
        <v>4.1972530000000001E-2</v>
      </c>
      <c r="X3313">
        <v>0.99911709999999998</v>
      </c>
      <c r="Y3313">
        <v>-0.109099</v>
      </c>
      <c r="Z3313">
        <v>-2.6033670000000001E-3</v>
      </c>
      <c r="AA3313">
        <v>0.99402749999999995</v>
      </c>
      <c r="AB3313">
        <v>40</v>
      </c>
      <c r="AC3313">
        <v>-38.158399999999901</v>
      </c>
      <c r="AD3313">
        <v>-1.1100404803349999</v>
      </c>
      <c r="AE3313">
        <v>-2.8462000000000098</v>
      </c>
      <c r="AF3313">
        <v>-4.2081060299578503</v>
      </c>
      <c r="AG3313">
        <v>-1.1100404803349999</v>
      </c>
      <c r="AH3313">
        <v>37.9999331094442</v>
      </c>
      <c r="AI3313">
        <v>91.663067511236605</v>
      </c>
      <c r="AJ3313">
        <v>96.319177321904704</v>
      </c>
      <c r="AK3313">
        <v>38.248336729191003</v>
      </c>
      <c r="AL3313">
        <v>87.594444395841904</v>
      </c>
      <c r="AM3313">
        <v>89.896953485595603</v>
      </c>
      <c r="AN3313">
        <v>0.99999995084526205</v>
      </c>
    </row>
    <row r="3314" spans="1:40" x14ac:dyDescent="0.25">
      <c r="A3314" t="str">
        <f>"20190312150725381"</f>
        <v>20190312150725381</v>
      </c>
      <c r="B3314" t="str">
        <f>"1552374445373703"</f>
        <v>1552374445373703</v>
      </c>
      <c r="C3314" t="s">
        <v>40</v>
      </c>
      <c r="D3314">
        <v>5.4546590000000004</v>
      </c>
      <c r="E3314">
        <v>0.45710420000000002</v>
      </c>
      <c r="F3314" t="s">
        <v>67</v>
      </c>
      <c r="G3314">
        <v>-353.80739999999997</v>
      </c>
      <c r="H3314">
        <v>8.0000340000000003E-2</v>
      </c>
      <c r="I3314">
        <v>279.54320000000001</v>
      </c>
      <c r="J3314">
        <v>-312.75479999999999</v>
      </c>
      <c r="K3314">
        <v>1.11015</v>
      </c>
      <c r="L3314">
        <v>282.81319999999999</v>
      </c>
      <c r="M3314">
        <v>-0.999247</v>
      </c>
      <c r="N3314">
        <v>0</v>
      </c>
      <c r="O3314">
        <v>3.5805700000000003E-2</v>
      </c>
      <c r="P3314">
        <v>-0.99889209999999995</v>
      </c>
      <c r="Q3314">
        <v>2.8216310000000001E-2</v>
      </c>
      <c r="R3314">
        <v>3.7666209999999999E-2</v>
      </c>
      <c r="S3314">
        <v>-3.013763</v>
      </c>
      <c r="T3314">
        <v>-7.3104619999999995E-2</v>
      </c>
      <c r="U3314">
        <v>-0.2284851</v>
      </c>
      <c r="V3314">
        <v>1.876232E-3</v>
      </c>
      <c r="W3314">
        <v>4.3165450000000001E-2</v>
      </c>
      <c r="X3314">
        <v>0.99906620000000002</v>
      </c>
      <c r="Y3314">
        <v>-0.1112127</v>
      </c>
      <c r="Z3314">
        <v>-2.2141249999999999E-3</v>
      </c>
      <c r="AA3314">
        <v>0.99379410000000001</v>
      </c>
      <c r="AB3314">
        <v>40</v>
      </c>
      <c r="AC3314">
        <v>-41.052599999999899</v>
      </c>
      <c r="AD3314">
        <v>-1.03014966</v>
      </c>
      <c r="AE3314">
        <v>-3.26999999999998</v>
      </c>
      <c r="AF3314">
        <v>-4.7350212499950999</v>
      </c>
      <c r="AG3314">
        <v>-1.03014966</v>
      </c>
      <c r="AH3314">
        <v>40.883591014499501</v>
      </c>
      <c r="AI3314">
        <v>91.433804319234198</v>
      </c>
      <c r="AJ3314">
        <v>96.606400604183705</v>
      </c>
      <c r="AK3314">
        <v>41.169766198033798</v>
      </c>
      <c r="AL3314">
        <v>87.526033275753804</v>
      </c>
      <c r="AM3314">
        <v>89.892399474019399</v>
      </c>
      <c r="AN3314">
        <v>1.0000000241513201</v>
      </c>
    </row>
    <row r="3315" spans="1:40" x14ac:dyDescent="0.25">
      <c r="A3315" t="str">
        <f>"20190312150725394"</f>
        <v>20190312150725394</v>
      </c>
      <c r="B3315" t="str">
        <f>"1552374445383464"</f>
        <v>1552374445383464</v>
      </c>
      <c r="C3315" t="s">
        <v>40</v>
      </c>
      <c r="D3315">
        <v>4.14994</v>
      </c>
      <c r="E3315">
        <v>0.4571365</v>
      </c>
      <c r="F3315" t="s">
        <v>67</v>
      </c>
      <c r="G3315">
        <v>-360.47739999999999</v>
      </c>
      <c r="H3315">
        <v>8.0001320000000001E-2</v>
      </c>
      <c r="I3315">
        <v>279.10989999999998</v>
      </c>
      <c r="J3315">
        <v>-312.96359999999999</v>
      </c>
      <c r="K3315">
        <v>1.11016</v>
      </c>
      <c r="L3315">
        <v>282.82069999999999</v>
      </c>
      <c r="M3315">
        <v>-0.99924780000000002</v>
      </c>
      <c r="N3315">
        <v>0</v>
      </c>
      <c r="O3315">
        <v>3.5777070000000001E-2</v>
      </c>
      <c r="P3315">
        <v>-0.99890020000000002</v>
      </c>
      <c r="Q3315">
        <v>2.8228199999999998E-2</v>
      </c>
      <c r="R3315">
        <v>3.7435959999999997E-2</v>
      </c>
      <c r="S3315">
        <v>-3.014008</v>
      </c>
      <c r="T3315">
        <v>-6.5060850000000003E-2</v>
      </c>
      <c r="U3315">
        <v>-0.2338867</v>
      </c>
      <c r="V3315">
        <v>1.672906E-3</v>
      </c>
      <c r="W3315">
        <v>4.3185929999999997E-2</v>
      </c>
      <c r="X3315">
        <v>0.9990656</v>
      </c>
      <c r="Y3315">
        <v>-0.1129571</v>
      </c>
      <c r="Z3315">
        <v>-1.9884550000000001E-3</v>
      </c>
      <c r="AA3315">
        <v>0.99359790000000003</v>
      </c>
      <c r="AB3315">
        <v>40</v>
      </c>
      <c r="AC3315">
        <v>-47.513800000000003</v>
      </c>
      <c r="AD3315">
        <v>-1.03015868</v>
      </c>
      <c r="AE3315">
        <v>-3.7107999999999999</v>
      </c>
      <c r="AF3315">
        <v>-5.4059928028821496</v>
      </c>
      <c r="AG3315">
        <v>-1.03015868</v>
      </c>
      <c r="AH3315">
        <v>47.328485097858</v>
      </c>
      <c r="AI3315">
        <v>91.238858491189205</v>
      </c>
      <c r="AJ3315">
        <v>96.516244333164394</v>
      </c>
      <c r="AK3315">
        <v>47.647366000115497</v>
      </c>
      <c r="AL3315">
        <v>87.524858574707807</v>
      </c>
      <c r="AM3315">
        <v>89.904059989915794</v>
      </c>
      <c r="AN3315">
        <v>0.99999994813390303</v>
      </c>
    </row>
    <row r="3316" spans="1:40" x14ac:dyDescent="0.25">
      <c r="A3316" t="str">
        <f>"20190312150725405"</f>
        <v>20190312150725405</v>
      </c>
      <c r="B3316" t="str">
        <f>"1552374445402982"</f>
        <v>1552374445402982</v>
      </c>
      <c r="C3316" t="s">
        <v>40</v>
      </c>
      <c r="D3316">
        <v>4.1884819999999996</v>
      </c>
      <c r="E3316">
        <v>0.4571982</v>
      </c>
      <c r="F3316" t="s">
        <v>67</v>
      </c>
      <c r="G3316">
        <v>-363.10320000000002</v>
      </c>
      <c r="H3316">
        <v>8.0000550000000004E-2</v>
      </c>
      <c r="I3316">
        <v>278.9221</v>
      </c>
      <c r="J3316">
        <v>-313.17259999999999</v>
      </c>
      <c r="K3316">
        <v>1.1101760000000001</v>
      </c>
      <c r="L3316">
        <v>282.82819999999998</v>
      </c>
      <c r="M3316">
        <v>-0.9992489</v>
      </c>
      <c r="N3316">
        <v>0</v>
      </c>
      <c r="O3316">
        <v>3.57448E-2</v>
      </c>
      <c r="P3316">
        <v>-0.99890129999999999</v>
      </c>
      <c r="Q3316">
        <v>2.8244720000000001E-2</v>
      </c>
      <c r="R3316">
        <v>3.7399040000000001E-2</v>
      </c>
      <c r="S3316">
        <v>-3.013855</v>
      </c>
      <c r="T3316">
        <v>-6.1922190000000002E-2</v>
      </c>
      <c r="U3316">
        <v>-0.23434450000000001</v>
      </c>
      <c r="V3316">
        <v>1.666879E-3</v>
      </c>
      <c r="W3316">
        <v>4.3210230000000002E-2</v>
      </c>
      <c r="X3316">
        <v>0.99906459999999997</v>
      </c>
      <c r="Y3316">
        <v>-0.11308219999999999</v>
      </c>
      <c r="Z3316">
        <v>-1.8932549999999999E-3</v>
      </c>
      <c r="AA3316">
        <v>0.99358389999999996</v>
      </c>
      <c r="AB3316">
        <v>40</v>
      </c>
      <c r="AC3316">
        <v>-49.930599999999998</v>
      </c>
      <c r="AD3316">
        <v>-1.03017545</v>
      </c>
      <c r="AE3316">
        <v>-3.9060999999999799</v>
      </c>
      <c r="AF3316">
        <v>-5.6861566469955198</v>
      </c>
      <c r="AG3316">
        <v>-1.03017545</v>
      </c>
      <c r="AH3316">
        <v>49.738002367681901</v>
      </c>
      <c r="AI3316">
        <v>91.178866337730199</v>
      </c>
      <c r="AJ3316">
        <v>96.521863895646703</v>
      </c>
      <c r="AK3316">
        <v>50.072572516293597</v>
      </c>
      <c r="AL3316">
        <v>87.523465086886404</v>
      </c>
      <c r="AM3316">
        <v>89.904405537899905</v>
      </c>
      <c r="AN3316">
        <v>0.99999998871770601</v>
      </c>
    </row>
    <row r="3317" spans="1:40" x14ac:dyDescent="0.25">
      <c r="A3317" t="str">
        <f>"20190312150725418"</f>
        <v>20190312150725418</v>
      </c>
      <c r="B3317" t="str">
        <f>"1552374445413719"</f>
        <v>1552374445413719</v>
      </c>
      <c r="C3317" t="s">
        <v>40</v>
      </c>
      <c r="D3317">
        <v>4.1554390000000003</v>
      </c>
      <c r="E3317">
        <v>0.45712959999999903</v>
      </c>
      <c r="F3317" t="s">
        <v>67</v>
      </c>
      <c r="G3317">
        <v>-367.48340000000002</v>
      </c>
      <c r="H3317">
        <v>8.0000730000000006E-2</v>
      </c>
      <c r="I3317">
        <v>278.61700000000002</v>
      </c>
      <c r="J3317">
        <v>-313.39679999999998</v>
      </c>
      <c r="K3317">
        <v>1.110193</v>
      </c>
      <c r="L3317">
        <v>282.83609999999999</v>
      </c>
      <c r="M3317">
        <v>-0.99925030000000004</v>
      </c>
      <c r="N3317">
        <v>0</v>
      </c>
      <c r="O3317">
        <v>3.5699559999999998E-2</v>
      </c>
      <c r="P3317">
        <v>-0.99890049999999997</v>
      </c>
      <c r="Q3317">
        <v>2.827265E-2</v>
      </c>
      <c r="R3317">
        <v>3.7396390000000002E-2</v>
      </c>
      <c r="S3317">
        <v>-3.0136720000000001</v>
      </c>
      <c r="T3317">
        <v>-5.7163829999999999E-2</v>
      </c>
      <c r="U3317">
        <v>-0.23367309999999999</v>
      </c>
      <c r="V3317">
        <v>1.707709E-3</v>
      </c>
      <c r="W3317">
        <v>4.3245480000000003E-2</v>
      </c>
      <c r="X3317">
        <v>0.99906300000000003</v>
      </c>
      <c r="Y3317">
        <v>-0.1128265</v>
      </c>
      <c r="Z3317">
        <v>-1.7446390000000001E-3</v>
      </c>
      <c r="AA3317">
        <v>0.99361319999999997</v>
      </c>
      <c r="AB3317">
        <v>40</v>
      </c>
      <c r="AC3317">
        <v>-54.086599999999997</v>
      </c>
      <c r="AD3317">
        <v>-1.0301922699999999</v>
      </c>
      <c r="AE3317">
        <v>-4.2190999999999601</v>
      </c>
      <c r="AF3317">
        <v>-6.1452785155889798</v>
      </c>
      <c r="AG3317">
        <v>-1.0301922699999999</v>
      </c>
      <c r="AH3317">
        <v>53.882049067008097</v>
      </c>
      <c r="AI3317">
        <v>91.088273984765493</v>
      </c>
      <c r="AJ3317">
        <v>96.506502438162698</v>
      </c>
      <c r="AK3317">
        <v>54.241137117567803</v>
      </c>
      <c r="AL3317">
        <v>87.521443506501399</v>
      </c>
      <c r="AM3317">
        <v>89.9020638107461</v>
      </c>
      <c r="AN3317">
        <v>0.99999998288972902</v>
      </c>
    </row>
    <row r="3318" spans="1:40" x14ac:dyDescent="0.25">
      <c r="A3318" t="str">
        <f>"20190312150725432"</f>
        <v>20190312150725432</v>
      </c>
      <c r="B3318" t="str">
        <f>"1552374445423479"</f>
        <v>1552374445423479</v>
      </c>
      <c r="C3318" t="s">
        <v>40</v>
      </c>
      <c r="D3318">
        <v>4.1949329999999998</v>
      </c>
      <c r="E3318">
        <v>0.45710050000000002</v>
      </c>
      <c r="F3318" t="s">
        <v>67</v>
      </c>
      <c r="G3318">
        <v>-365.2946</v>
      </c>
      <c r="H3318">
        <v>8.0001379999999997E-2</v>
      </c>
      <c r="I3318">
        <v>278.80110000000002</v>
      </c>
      <c r="J3318">
        <v>-313.64229999999998</v>
      </c>
      <c r="K3318">
        <v>1.1102190000000001</v>
      </c>
      <c r="L3318">
        <v>282.84480000000002</v>
      </c>
      <c r="M3318">
        <v>-0.99925229999999998</v>
      </c>
      <c r="N3318">
        <v>0</v>
      </c>
      <c r="O3318">
        <v>3.5642739999999999E-2</v>
      </c>
      <c r="P3318">
        <v>-0.99891129999999995</v>
      </c>
      <c r="Q3318">
        <v>2.8277219999999999E-2</v>
      </c>
      <c r="R3318">
        <v>3.7102620000000003E-2</v>
      </c>
      <c r="S3318">
        <v>-3.0137330000000002</v>
      </c>
      <c r="T3318">
        <v>-5.9823870000000001E-2</v>
      </c>
      <c r="U3318">
        <v>-0.23431399999999999</v>
      </c>
      <c r="V3318">
        <v>1.4686829999999999E-3</v>
      </c>
      <c r="W3318">
        <v>4.3256919999999997E-2</v>
      </c>
      <c r="X3318">
        <v>0.99906289999999998</v>
      </c>
      <c r="Y3318">
        <v>-0.1129759</v>
      </c>
      <c r="Z3318">
        <v>-1.8261110000000001E-3</v>
      </c>
      <c r="AA3318">
        <v>0.99359609999999998</v>
      </c>
      <c r="AB3318">
        <v>40</v>
      </c>
      <c r="AC3318">
        <v>-51.652299999999997</v>
      </c>
      <c r="AD3318">
        <v>-1.0302176199999999</v>
      </c>
      <c r="AE3318">
        <v>-4.0437000000000003</v>
      </c>
      <c r="AF3318">
        <v>-5.8800412633447303</v>
      </c>
      <c r="AG3318">
        <v>-1.0302176199999999</v>
      </c>
      <c r="AH3318">
        <v>51.454983056129002</v>
      </c>
      <c r="AI3318">
        <v>91.139592412269195</v>
      </c>
      <c r="AJ3318">
        <v>96.519221144926206</v>
      </c>
      <c r="AK3318">
        <v>51.800111147657901</v>
      </c>
      <c r="AL3318">
        <v>87.520787466708597</v>
      </c>
      <c r="AM3318">
        <v>89.915771793022301</v>
      </c>
      <c r="AN3318">
        <v>0.99999999815702501</v>
      </c>
    </row>
    <row r="3319" spans="1:40" x14ac:dyDescent="0.25">
      <c r="A3319" t="str">
        <f>"20190312150725448"</f>
        <v>20190312150725448</v>
      </c>
      <c r="B3319" t="str">
        <f>"1552374445443000"</f>
        <v>1552374445443000</v>
      </c>
      <c r="C3319" t="s">
        <v>40</v>
      </c>
      <c r="D3319">
        <v>4.1651490000000004</v>
      </c>
      <c r="E3319">
        <v>0.45703500000000002</v>
      </c>
      <c r="F3319" t="s">
        <v>67</v>
      </c>
      <c r="G3319">
        <v>-363.7878</v>
      </c>
      <c r="H3319">
        <v>8.0000349999999998E-2</v>
      </c>
      <c r="I3319">
        <v>278.92630000000003</v>
      </c>
      <c r="J3319">
        <v>-313.9246</v>
      </c>
      <c r="K3319">
        <v>1.110242</v>
      </c>
      <c r="L3319">
        <v>282.85489999999999</v>
      </c>
      <c r="M3319">
        <v>-0.9992548</v>
      </c>
      <c r="N3319">
        <v>0</v>
      </c>
      <c r="O3319">
        <v>3.556836E-2</v>
      </c>
      <c r="P3319">
        <v>-0.99891600000000003</v>
      </c>
      <c r="Q3319">
        <v>2.8636990000000001E-2</v>
      </c>
      <c r="R3319">
        <v>3.670147E-2</v>
      </c>
      <c r="S3319">
        <v>-3.0137330000000002</v>
      </c>
      <c r="T3319">
        <v>-6.1915869999999998E-2</v>
      </c>
      <c r="U3319">
        <v>-0.2355042</v>
      </c>
      <c r="V3319">
        <v>1.1401029999999999E-3</v>
      </c>
      <c r="W3319">
        <v>4.3623729999999999E-2</v>
      </c>
      <c r="X3319">
        <v>0.99904740000000003</v>
      </c>
      <c r="Y3319">
        <v>-0.1132899</v>
      </c>
      <c r="Z3319">
        <v>-1.8916219999999999E-3</v>
      </c>
      <c r="AA3319">
        <v>0.9935602</v>
      </c>
      <c r="AB3319">
        <v>40</v>
      </c>
      <c r="AC3319">
        <v>-49.863199999999999</v>
      </c>
      <c r="AD3319">
        <v>-1.03024165</v>
      </c>
      <c r="AE3319">
        <v>-3.9285999999999599</v>
      </c>
      <c r="AF3319">
        <v>-5.6974479855982301</v>
      </c>
      <c r="AG3319">
        <v>-1.03024165</v>
      </c>
      <c r="AH3319">
        <v>49.670818929160603</v>
      </c>
      <c r="AI3319">
        <v>91.180485275191799</v>
      </c>
      <c r="AJ3319">
        <v>96.543464904244701</v>
      </c>
      <c r="AK3319">
        <v>50.007125137318702</v>
      </c>
      <c r="AL3319">
        <v>87.499750994706105</v>
      </c>
      <c r="AM3319">
        <v>89.934614652164498</v>
      </c>
      <c r="AN3319">
        <v>1.0000000185503599</v>
      </c>
    </row>
    <row r="3320" spans="1:40" x14ac:dyDescent="0.25">
      <c r="A3320" t="str">
        <f>"20190312150725461"</f>
        <v>20190312150725461</v>
      </c>
      <c r="B3320" t="str">
        <f>"1552374445453735"</f>
        <v>1552374445453735</v>
      </c>
      <c r="C3320" t="s">
        <v>40</v>
      </c>
      <c r="D3320">
        <v>4.3626860000000001</v>
      </c>
      <c r="E3320">
        <v>0.45712039999999998</v>
      </c>
      <c r="F3320" t="s">
        <v>67</v>
      </c>
      <c r="G3320">
        <v>-365.7319</v>
      </c>
      <c r="H3320">
        <v>8.0001240000000001E-2</v>
      </c>
      <c r="I3320">
        <v>278.77440000000001</v>
      </c>
      <c r="J3320">
        <v>-314.15949999999998</v>
      </c>
      <c r="K3320">
        <v>1.1102620000000001</v>
      </c>
      <c r="L3320">
        <v>282.86320000000001</v>
      </c>
      <c r="M3320">
        <v>-0.99925719999999996</v>
      </c>
      <c r="N3320">
        <v>0</v>
      </c>
      <c r="O3320">
        <v>3.549766E-2</v>
      </c>
      <c r="P3320">
        <v>-0.99891850000000004</v>
      </c>
      <c r="Q3320">
        <v>2.879435E-2</v>
      </c>
      <c r="R3320">
        <v>3.6509769999999997E-2</v>
      </c>
      <c r="S3320">
        <v>-3.0137330000000002</v>
      </c>
      <c r="T3320">
        <v>-5.9931039999999998E-2</v>
      </c>
      <c r="U3320">
        <v>-0.23736570000000001</v>
      </c>
      <c r="V3320">
        <v>1.017429E-3</v>
      </c>
      <c r="W3320">
        <v>4.3786180000000001E-2</v>
      </c>
      <c r="X3320">
        <v>0.99904040000000005</v>
      </c>
      <c r="Y3320">
        <v>-0.1138314</v>
      </c>
      <c r="Z3320">
        <v>-1.834923E-3</v>
      </c>
      <c r="AA3320">
        <v>0.9934984</v>
      </c>
      <c r="AB3320">
        <v>40</v>
      </c>
      <c r="AC3320">
        <v>-51.572400000000002</v>
      </c>
      <c r="AD3320">
        <v>-1.03026076</v>
      </c>
      <c r="AE3320">
        <v>-4.0887999999999902</v>
      </c>
      <c r="AF3320">
        <v>-5.9147822440374904</v>
      </c>
      <c r="AG3320">
        <v>-1.03026076</v>
      </c>
      <c r="AH3320">
        <v>51.374356112044097</v>
      </c>
      <c r="AI3320">
        <v>91.141317671320493</v>
      </c>
      <c r="AJ3320">
        <v>96.5676054460166</v>
      </c>
      <c r="AK3320">
        <v>51.723984302788402</v>
      </c>
      <c r="AL3320">
        <v>87.490434328583305</v>
      </c>
      <c r="AM3320">
        <v>89.941649639493093</v>
      </c>
      <c r="AN3320">
        <v>0.99999999277646101</v>
      </c>
    </row>
    <row r="3321" spans="1:40" x14ac:dyDescent="0.25">
      <c r="A3321" t="str">
        <f>"20190312150725474"</f>
        <v>20190312150725474</v>
      </c>
      <c r="B3321" t="str">
        <f>"1552374445463495"</f>
        <v>1552374445463495</v>
      </c>
      <c r="C3321" t="s">
        <v>40</v>
      </c>
      <c r="D3321">
        <v>4.1202009999999998</v>
      </c>
      <c r="E3321">
        <v>0.45717360000000001</v>
      </c>
      <c r="F3321" t="s">
        <v>67</v>
      </c>
      <c r="G3321">
        <v>-370.9128</v>
      </c>
      <c r="H3321">
        <v>8.0001199999999995E-2</v>
      </c>
      <c r="I3321">
        <v>278.40019999999998</v>
      </c>
      <c r="J3321">
        <v>-314.3843</v>
      </c>
      <c r="K3321">
        <v>1.1102780000000001</v>
      </c>
      <c r="L3321">
        <v>282.87110000000001</v>
      </c>
      <c r="M3321">
        <v>-0.99925989999999998</v>
      </c>
      <c r="N3321">
        <v>0</v>
      </c>
      <c r="O3321">
        <v>3.5423250000000003E-2</v>
      </c>
      <c r="P3321">
        <v>-0.9989287</v>
      </c>
      <c r="Q3321">
        <v>2.8983410000000001E-2</v>
      </c>
      <c r="R3321">
        <v>3.608194E-2</v>
      </c>
      <c r="S3321">
        <v>-3.0134280000000002</v>
      </c>
      <c r="T3321">
        <v>-5.4703710000000003E-2</v>
      </c>
      <c r="U3321">
        <v>-0.23696900000000001</v>
      </c>
      <c r="V3321">
        <v>6.6265129999999999E-4</v>
      </c>
      <c r="W3321">
        <v>4.3979119999999997E-2</v>
      </c>
      <c r="X3321">
        <v>0.99903229999999998</v>
      </c>
      <c r="Y3321">
        <v>-0.1136402</v>
      </c>
      <c r="Z3321">
        <v>-1.6720000000000001E-3</v>
      </c>
      <c r="AA3321">
        <v>0.99352059999999998</v>
      </c>
      <c r="AB3321">
        <v>40</v>
      </c>
      <c r="AC3321">
        <v>-56.528500000000001</v>
      </c>
      <c r="AD3321">
        <v>-1.0302768</v>
      </c>
      <c r="AE3321">
        <v>-4.4709000000000199</v>
      </c>
      <c r="AF3321">
        <v>-6.4686063931507203</v>
      </c>
      <c r="AG3321">
        <v>-1.0302768</v>
      </c>
      <c r="AH3321">
        <v>56.316032358282897</v>
      </c>
      <c r="AI3321">
        <v>91.041239198529595</v>
      </c>
      <c r="AJ3321">
        <v>96.552427090290195</v>
      </c>
      <c r="AK3321">
        <v>56.6956774325282</v>
      </c>
      <c r="AL3321">
        <v>87.479369214437895</v>
      </c>
      <c r="AM3321">
        <v>89.961996106421296</v>
      </c>
      <c r="AN3321">
        <v>1.000000069273</v>
      </c>
    </row>
    <row r="3322" spans="1:40" x14ac:dyDescent="0.25">
      <c r="A3322" t="str">
        <f>"20190312150725492"</f>
        <v>20190312150725492</v>
      </c>
      <c r="B3322" t="str">
        <f>"1552374445483015"</f>
        <v>1552374445483015</v>
      </c>
      <c r="C3322" t="s">
        <v>40</v>
      </c>
      <c r="D3322">
        <v>4.393135</v>
      </c>
      <c r="E3322">
        <v>0.45732050000000002</v>
      </c>
      <c r="F3322" t="s">
        <v>67</v>
      </c>
      <c r="G3322">
        <v>-372.17689999999999</v>
      </c>
      <c r="H3322">
        <v>8.000082E-2</v>
      </c>
      <c r="I3322">
        <v>278.30650000000003</v>
      </c>
      <c r="J3322">
        <v>-314.71559999999999</v>
      </c>
      <c r="K3322">
        <v>1.110304</v>
      </c>
      <c r="L3322">
        <v>282.8827</v>
      </c>
      <c r="M3322">
        <v>-0.99926389999999998</v>
      </c>
      <c r="N3322">
        <v>0</v>
      </c>
      <c r="O3322">
        <v>3.5305299999999998E-2</v>
      </c>
      <c r="P3322">
        <v>-0.99892990000000004</v>
      </c>
      <c r="Q3322">
        <v>2.9496660000000001E-2</v>
      </c>
      <c r="R3322">
        <v>3.5622210000000001E-2</v>
      </c>
      <c r="S3322">
        <v>-3.0133969999999999</v>
      </c>
      <c r="T3322">
        <v>-5.3720360000000002E-2</v>
      </c>
      <c r="U3322">
        <v>-0.23800660000000001</v>
      </c>
      <c r="V3322">
        <v>3.1891329999999998E-4</v>
      </c>
      <c r="W3322">
        <v>4.4497399999999999E-2</v>
      </c>
      <c r="X3322">
        <v>0.99900940000000005</v>
      </c>
      <c r="Y3322">
        <v>-0.1138646</v>
      </c>
      <c r="Z3322">
        <v>-1.641841E-3</v>
      </c>
      <c r="AA3322">
        <v>0.99349489999999996</v>
      </c>
      <c r="AB3322">
        <v>40</v>
      </c>
      <c r="AC3322">
        <v>-57.461300000000001</v>
      </c>
      <c r="AD3322">
        <v>-1.03030318</v>
      </c>
      <c r="AE3322">
        <v>-4.5761999999999698</v>
      </c>
      <c r="AF3322">
        <v>-6.6001547633433999</v>
      </c>
      <c r="AG3322">
        <v>-1.03030318</v>
      </c>
      <c r="AH3322">
        <v>57.245598336420898</v>
      </c>
      <c r="AI3322">
        <v>91.02431085261</v>
      </c>
      <c r="AJ3322">
        <v>96.5769006969944</v>
      </c>
      <c r="AK3322">
        <v>57.634035920084898</v>
      </c>
      <c r="AL3322">
        <v>87.449644557334196</v>
      </c>
      <c r="AM3322">
        <v>89.981709495926694</v>
      </c>
      <c r="AN3322">
        <v>0.99999995080040505</v>
      </c>
    </row>
    <row r="3323" spans="1:40" x14ac:dyDescent="0.25">
      <c r="A3323" t="str">
        <f>"20190312150725515"</f>
        <v>20190312150725515</v>
      </c>
      <c r="B3323" t="str">
        <f>"1552374445503512"</f>
        <v>1552374445503512</v>
      </c>
      <c r="C3323" t="s">
        <v>40</v>
      </c>
      <c r="D3323">
        <v>4.1496599999999999</v>
      </c>
      <c r="E3323">
        <v>0.45711970000000002</v>
      </c>
      <c r="F3323" t="s">
        <v>67</v>
      </c>
      <c r="G3323">
        <v>-379.73360000000002</v>
      </c>
      <c r="H3323">
        <v>8.0000070000000006E-2</v>
      </c>
      <c r="I3323">
        <v>277.7509</v>
      </c>
      <c r="J3323">
        <v>-315.10059999999999</v>
      </c>
      <c r="K3323">
        <v>1.1103270000000001</v>
      </c>
      <c r="L3323">
        <v>282.89620000000002</v>
      </c>
      <c r="M3323">
        <v>-0.99926910000000002</v>
      </c>
      <c r="N3323">
        <v>0</v>
      </c>
      <c r="O3323">
        <v>3.5156140000000002E-2</v>
      </c>
      <c r="P3323">
        <v>-0.99892289999999995</v>
      </c>
      <c r="Q3323">
        <v>3.0143260000000002E-2</v>
      </c>
      <c r="R3323">
        <v>3.5275359999999999E-2</v>
      </c>
      <c r="S3323">
        <v>-3.0131230000000002</v>
      </c>
      <c r="T3323">
        <v>-4.7747249999999998E-2</v>
      </c>
      <c r="U3323">
        <v>-0.23782349999999999</v>
      </c>
      <c r="V3323">
        <v>1.2004440000000001E-4</v>
      </c>
      <c r="W3323">
        <v>4.5148580000000001E-2</v>
      </c>
      <c r="X3323">
        <v>0.99898030000000004</v>
      </c>
      <c r="Y3323">
        <v>-0.1136684</v>
      </c>
      <c r="Z3323">
        <v>-1.4555340000000001E-3</v>
      </c>
      <c r="AA3323">
        <v>0.99351769999999995</v>
      </c>
      <c r="AB3323">
        <v>40</v>
      </c>
      <c r="AC3323">
        <v>-64.632999999999996</v>
      </c>
      <c r="AD3323">
        <v>-1.03032693</v>
      </c>
      <c r="AE3323">
        <v>-5.1453000000000104</v>
      </c>
      <c r="AF3323">
        <v>-7.41274956759825</v>
      </c>
      <c r="AG3323">
        <v>-1.03032693</v>
      </c>
      <c r="AH3323">
        <v>64.395866340251501</v>
      </c>
      <c r="AI3323">
        <v>90.910635635419197</v>
      </c>
      <c r="AJ3323">
        <v>96.566540753962798</v>
      </c>
      <c r="AK3323">
        <v>64.829299174417599</v>
      </c>
      <c r="AL3323">
        <v>87.412297343083296</v>
      </c>
      <c r="AM3323">
        <v>89.993114941865102</v>
      </c>
      <c r="AN3323">
        <v>1.0000000242373801</v>
      </c>
    </row>
    <row r="3324" spans="1:40" x14ac:dyDescent="0.25">
      <c r="A3324" t="str">
        <f>"20190312150725529"</f>
        <v>20190312150725529</v>
      </c>
      <c r="B3324" t="str">
        <f>"1552374445523032"</f>
        <v>1552374445523032</v>
      </c>
      <c r="C3324" t="s">
        <v>40</v>
      </c>
      <c r="D3324">
        <v>4.1532910000000003</v>
      </c>
      <c r="E3324">
        <v>0.45710919999999999</v>
      </c>
      <c r="F3324" t="s">
        <v>67</v>
      </c>
      <c r="G3324">
        <v>-389.91250000000002</v>
      </c>
      <c r="H3324">
        <v>8.000003E-2</v>
      </c>
      <c r="I3324">
        <v>276.92590000000001</v>
      </c>
      <c r="J3324">
        <v>-315.36840000000001</v>
      </c>
      <c r="K3324">
        <v>1.1103419999999999</v>
      </c>
      <c r="L3324">
        <v>282.90550000000002</v>
      </c>
      <c r="M3324">
        <v>-0.99927279999999996</v>
      </c>
      <c r="N3324">
        <v>0</v>
      </c>
      <c r="O3324">
        <v>3.5047170000000002E-2</v>
      </c>
      <c r="P3324">
        <v>-0.99891680000000005</v>
      </c>
      <c r="Q3324">
        <v>3.0528090000000001E-2</v>
      </c>
      <c r="R3324">
        <v>3.5121039999999999E-2</v>
      </c>
      <c r="S3324">
        <v>-3.0129700000000001</v>
      </c>
      <c r="T3324">
        <v>-4.1495320000000002E-2</v>
      </c>
      <c r="U3324">
        <v>-0.240448</v>
      </c>
      <c r="V3324" s="1">
        <v>7.3995669999999897E-5</v>
      </c>
      <c r="W3324">
        <v>4.5535850000000003E-2</v>
      </c>
      <c r="X3324">
        <v>0.99896269999999998</v>
      </c>
      <c r="Y3324">
        <v>-0.1144285</v>
      </c>
      <c r="Z3324">
        <v>-1.2687180000000001E-3</v>
      </c>
      <c r="AA3324">
        <v>0.9934307</v>
      </c>
      <c r="AB3324">
        <v>40</v>
      </c>
      <c r="AC3324">
        <v>-74.5441</v>
      </c>
      <c r="AD3324">
        <v>-1.0303419699999901</v>
      </c>
      <c r="AE3324">
        <v>-5.9795999999999996</v>
      </c>
      <c r="AF3324">
        <v>-8.58715006204784</v>
      </c>
      <c r="AG3324">
        <v>-1.0303419699999901</v>
      </c>
      <c r="AH3324">
        <v>74.274603398685997</v>
      </c>
      <c r="AI3324">
        <v>90.789501435377005</v>
      </c>
      <c r="AJ3324">
        <v>96.594888575253293</v>
      </c>
      <c r="AK3324">
        <v>74.776449907677204</v>
      </c>
      <c r="AL3324">
        <v>87.390085492722406</v>
      </c>
      <c r="AM3324">
        <v>89.995755958069793</v>
      </c>
      <c r="AN3324">
        <v>0.99999999755093505</v>
      </c>
    </row>
    <row r="3325" spans="1:40" x14ac:dyDescent="0.25">
      <c r="A3325" t="str">
        <f>"20190312150725547"</f>
        <v>20190312150725547</v>
      </c>
      <c r="B3325" t="str">
        <f>"1552374445543527"</f>
        <v>1552374445543527</v>
      </c>
      <c r="C3325" t="s">
        <v>40</v>
      </c>
      <c r="D3325">
        <v>4.4287700000000001</v>
      </c>
      <c r="E3325">
        <v>0.45698</v>
      </c>
      <c r="F3325" t="s">
        <v>67</v>
      </c>
      <c r="G3325">
        <v>-392.93009999999998</v>
      </c>
      <c r="H3325">
        <v>8.0000589999999996E-2</v>
      </c>
      <c r="I3325">
        <v>276.69990000000001</v>
      </c>
      <c r="J3325">
        <v>-315.6782</v>
      </c>
      <c r="K3325">
        <v>1.110358</v>
      </c>
      <c r="L3325">
        <v>282.91629999999998</v>
      </c>
      <c r="M3325">
        <v>-0.99927730000000003</v>
      </c>
      <c r="N3325">
        <v>0</v>
      </c>
      <c r="O3325">
        <v>3.4916990000000002E-2</v>
      </c>
      <c r="P3325">
        <v>-0.99890590000000001</v>
      </c>
      <c r="Q3325">
        <v>3.1359110000000003E-2</v>
      </c>
      <c r="R3325">
        <v>3.4689459999999998E-2</v>
      </c>
      <c r="S3325">
        <v>-3.0128780000000002</v>
      </c>
      <c r="T3325">
        <v>-4.0023570000000001E-2</v>
      </c>
      <c r="U3325">
        <v>-0.2410583</v>
      </c>
      <c r="V3325">
        <v>-2.284609E-4</v>
      </c>
      <c r="W3325">
        <v>4.6369439999999998E-2</v>
      </c>
      <c r="X3325">
        <v>0.99892429999999999</v>
      </c>
      <c r="Y3325">
        <v>-0.1145024</v>
      </c>
      <c r="Z3325">
        <v>-1.2225129999999999E-3</v>
      </c>
      <c r="AA3325">
        <v>0.99342220000000003</v>
      </c>
      <c r="AB3325">
        <v>40</v>
      </c>
      <c r="AC3325">
        <v>-77.251899999999907</v>
      </c>
      <c r="AD3325">
        <v>-1.0303574099999999</v>
      </c>
      <c r="AE3325">
        <v>-6.2163999999999602</v>
      </c>
      <c r="AF3325">
        <v>-8.9087421293798208</v>
      </c>
      <c r="AG3325">
        <v>-1.0303574099999999</v>
      </c>
      <c r="AH3325">
        <v>76.974094903746604</v>
      </c>
      <c r="AI3325">
        <v>90.761817529901705</v>
      </c>
      <c r="AJ3325">
        <v>96.601862349329807</v>
      </c>
      <c r="AK3325">
        <v>77.494765042363497</v>
      </c>
      <c r="AL3325">
        <v>87.342273714141101</v>
      </c>
      <c r="AM3325">
        <v>90.013103941034899</v>
      </c>
      <c r="AN3325">
        <v>0.99999996714539197</v>
      </c>
    </row>
    <row r="3326" spans="1:40" x14ac:dyDescent="0.25">
      <c r="A3326" t="str">
        <f>"20190312150725559"</f>
        <v>20190312150725559</v>
      </c>
      <c r="B3326" t="str">
        <f>"1552374445553287"</f>
        <v>1552374445553287</v>
      </c>
      <c r="C3326" t="s">
        <v>40</v>
      </c>
      <c r="D3326">
        <v>4.4948230000000002</v>
      </c>
      <c r="E3326">
        <v>0.45703650000000001</v>
      </c>
      <c r="F3326" t="s">
        <v>68</v>
      </c>
      <c r="G3326">
        <v>-406.70490000000001</v>
      </c>
      <c r="H3326">
        <v>8.0001409999999995E-2</v>
      </c>
      <c r="I3326">
        <v>275.5677</v>
      </c>
      <c r="J3326">
        <v>-315.88060000000002</v>
      </c>
      <c r="K3326">
        <v>1.1103639999999999</v>
      </c>
      <c r="L3326">
        <v>282.92329999999998</v>
      </c>
      <c r="M3326">
        <v>-0.99928039999999996</v>
      </c>
      <c r="N3326">
        <v>0</v>
      </c>
      <c r="O3326">
        <v>3.483021E-2</v>
      </c>
      <c r="P3326">
        <v>-0.99889950000000005</v>
      </c>
      <c r="Q3326">
        <v>3.1833630000000002E-2</v>
      </c>
      <c r="R3326">
        <v>3.4445589999999998E-2</v>
      </c>
      <c r="S3326">
        <v>-3.0127869999999999</v>
      </c>
      <c r="T3326">
        <v>-3.4102559999999997E-2</v>
      </c>
      <c r="U3326">
        <v>-0.2432251</v>
      </c>
      <c r="V3326">
        <v>-3.8563939999999999E-4</v>
      </c>
      <c r="W3326">
        <v>4.6844330000000003E-2</v>
      </c>
      <c r="X3326">
        <v>0.99890210000000002</v>
      </c>
      <c r="Y3326">
        <v>-0.1151319</v>
      </c>
      <c r="Z3326">
        <v>-1.0442489999999999E-3</v>
      </c>
      <c r="AA3326">
        <v>0.9933497</v>
      </c>
      <c r="AB3326">
        <v>39</v>
      </c>
      <c r="AC3326">
        <v>-90.824299999999994</v>
      </c>
      <c r="AD3326">
        <v>-1.03036259</v>
      </c>
      <c r="AE3326">
        <v>-7.3555999999999804</v>
      </c>
      <c r="AF3326">
        <v>-10.5135779071601</v>
      </c>
      <c r="AG3326">
        <v>-1.03036259</v>
      </c>
      <c r="AH3326">
        <v>90.501381837326093</v>
      </c>
      <c r="AI3326">
        <v>90.647929967780101</v>
      </c>
      <c r="AJ3326">
        <v>96.626368894314197</v>
      </c>
      <c r="AK3326">
        <v>91.115844296929495</v>
      </c>
      <c r="AL3326">
        <v>87.315034934958206</v>
      </c>
      <c r="AM3326">
        <v>90.022119794258302</v>
      </c>
      <c r="AN3326">
        <v>0.99999997267765195</v>
      </c>
    </row>
    <row r="3327" spans="1:40" x14ac:dyDescent="0.25">
      <c r="A3327" t="str">
        <f>"20190312150725570"</f>
        <v>20190312150725570</v>
      </c>
      <c r="B3327" t="str">
        <f>"1552374445563046"</f>
        <v>1552374445563046</v>
      </c>
      <c r="C3327" t="s">
        <v>40</v>
      </c>
      <c r="D3327">
        <v>4.3676079999999997</v>
      </c>
      <c r="E3327">
        <v>0.45700730000000001</v>
      </c>
      <c r="F3327" t="s">
        <v>68</v>
      </c>
      <c r="G3327">
        <v>-420.5967</v>
      </c>
      <c r="H3327" s="1">
        <v>6.0759209999999997E-6</v>
      </c>
      <c r="I3327">
        <v>274.46190000000001</v>
      </c>
      <c r="J3327">
        <v>-316.08449999999999</v>
      </c>
      <c r="K3327">
        <v>1.1103730000000001</v>
      </c>
      <c r="L3327">
        <v>282.93040000000002</v>
      </c>
      <c r="M3327">
        <v>-0.99928340000000004</v>
      </c>
      <c r="N3327">
        <v>0</v>
      </c>
      <c r="O3327">
        <v>3.4742019999999998E-2</v>
      </c>
      <c r="P3327">
        <v>-0.99889570000000005</v>
      </c>
      <c r="Q3327">
        <v>3.2111380000000002E-2</v>
      </c>
      <c r="R3327">
        <v>3.4295279999999997E-2</v>
      </c>
      <c r="S3327">
        <v>-3.0127259999999998</v>
      </c>
      <c r="T3327">
        <v>-3.1945469999999997E-2</v>
      </c>
      <c r="U3327">
        <v>-0.24343870000000001</v>
      </c>
      <c r="V3327">
        <v>-4.480307E-4</v>
      </c>
      <c r="W3327">
        <v>4.7123440000000003E-2</v>
      </c>
      <c r="X3327">
        <v>0.99888900000000003</v>
      </c>
      <c r="Y3327">
        <v>-0.115117</v>
      </c>
      <c r="Z3327">
        <v>-9.7720500000000009E-4</v>
      </c>
      <c r="AA3327">
        <v>0.99335150000000005</v>
      </c>
      <c r="AB3327">
        <v>39</v>
      </c>
      <c r="AC3327">
        <v>-104.51220000000001</v>
      </c>
      <c r="AD3327">
        <v>-1.110366924079</v>
      </c>
      <c r="AE3327">
        <v>-8.4685000000000006</v>
      </c>
      <c r="AF3327">
        <v>-12.093405113358299</v>
      </c>
      <c r="AG3327">
        <v>-1.110366924079</v>
      </c>
      <c r="AH3327">
        <v>104.143168662921</v>
      </c>
      <c r="AI3327">
        <v>90.606783222466106</v>
      </c>
      <c r="AJ3327">
        <v>96.6236850629938</v>
      </c>
      <c r="AK3327">
        <v>104.848857605105</v>
      </c>
      <c r="AL3327">
        <v>87.299025575669106</v>
      </c>
      <c r="AM3327">
        <v>90.025698817867493</v>
      </c>
      <c r="AN3327">
        <v>1.00000002682497</v>
      </c>
    </row>
    <row r="3328" spans="1:40" x14ac:dyDescent="0.25">
      <c r="A3328" t="str">
        <f>"20190312150725581"</f>
        <v>20190312150725581</v>
      </c>
      <c r="B3328" t="str">
        <f>"1552374445573783"</f>
        <v>1552374445573783</v>
      </c>
      <c r="C3328" t="s">
        <v>40</v>
      </c>
      <c r="D3328">
        <v>4.3976379999999997</v>
      </c>
      <c r="E3328">
        <v>0.45697890000000002</v>
      </c>
      <c r="F3328" t="s">
        <v>68</v>
      </c>
      <c r="G3328">
        <v>-426.12360000000001</v>
      </c>
      <c r="H3328" s="1">
        <v>4.970199E-6</v>
      </c>
      <c r="I3328">
        <v>274.00959999999998</v>
      </c>
      <c r="J3328">
        <v>-316.29340000000002</v>
      </c>
      <c r="K3328">
        <v>1.1103799999999999</v>
      </c>
      <c r="L3328">
        <v>282.93759999999997</v>
      </c>
      <c r="M3328">
        <v>-0.99928649999999997</v>
      </c>
      <c r="N3328">
        <v>0</v>
      </c>
      <c r="O3328">
        <v>3.4651029999999999E-2</v>
      </c>
      <c r="P3328">
        <v>-0.99889059999999996</v>
      </c>
      <c r="Q3328">
        <v>3.252497E-2</v>
      </c>
      <c r="R3328">
        <v>3.4057799999999999E-2</v>
      </c>
      <c r="S3328">
        <v>-3.0126650000000001</v>
      </c>
      <c r="T3328">
        <v>-3.0399800000000001E-2</v>
      </c>
      <c r="U3328">
        <v>-0.24423220000000001</v>
      </c>
      <c r="V3328">
        <v>-5.9472159999999997E-4</v>
      </c>
      <c r="W3328">
        <v>4.7537349999999999E-2</v>
      </c>
      <c r="X3328">
        <v>0.99886929999999996</v>
      </c>
      <c r="Y3328">
        <v>-0.1152889</v>
      </c>
      <c r="Z3328">
        <v>-9.2988399999999996E-4</v>
      </c>
      <c r="AA3328">
        <v>0.99333159999999998</v>
      </c>
      <c r="AB3328">
        <v>39</v>
      </c>
      <c r="AC3328">
        <v>-109.8302</v>
      </c>
      <c r="AD3328">
        <v>-1.110375029801</v>
      </c>
      <c r="AE3328">
        <v>-8.9279999999999902</v>
      </c>
      <c r="AF3328">
        <v>-12.7275042247293</v>
      </c>
      <c r="AG3328">
        <v>-1.110375029801</v>
      </c>
      <c r="AH3328">
        <v>109.443716870177</v>
      </c>
      <c r="AI3328">
        <v>90.577390677082093</v>
      </c>
      <c r="AJ3328">
        <v>96.633284578055694</v>
      </c>
      <c r="AK3328">
        <v>110.186884241532</v>
      </c>
      <c r="AL3328">
        <v>87.275283642461005</v>
      </c>
      <c r="AM3328">
        <v>90.034113605892898</v>
      </c>
      <c r="AN3328">
        <v>1.0000000159106399</v>
      </c>
    </row>
    <row r="3329" spans="1:40" x14ac:dyDescent="0.25">
      <c r="A3329" t="str">
        <f>"20190312150725593"</f>
        <v>20190312150725593</v>
      </c>
      <c r="B3329" t="str">
        <f>"1552374445583542"</f>
        <v>1552374445583542</v>
      </c>
      <c r="C3329" t="s">
        <v>40</v>
      </c>
      <c r="D3329">
        <v>4.4215150000000003</v>
      </c>
      <c r="E3329">
        <v>0.4569935</v>
      </c>
      <c r="F3329" t="s">
        <v>68</v>
      </c>
      <c r="G3329">
        <v>-429.9615</v>
      </c>
      <c r="H3329">
        <v>5.3715690000000003E-2</v>
      </c>
      <c r="I3329">
        <v>273.68689999999998</v>
      </c>
      <c r="J3329">
        <v>-316.47919999999999</v>
      </c>
      <c r="K3329">
        <v>1.1103889999999901</v>
      </c>
      <c r="L3329">
        <v>282.94389999999999</v>
      </c>
      <c r="M3329">
        <v>-0.99928939999999999</v>
      </c>
      <c r="N3329">
        <v>0</v>
      </c>
      <c r="O3329">
        <v>3.4568590000000003E-2</v>
      </c>
      <c r="P3329">
        <v>-0.99887769999999998</v>
      </c>
      <c r="Q3329">
        <v>3.2879829999999999E-2</v>
      </c>
      <c r="R3329">
        <v>3.4092499999999998E-2</v>
      </c>
      <c r="S3329">
        <v>-3.0126339999999998</v>
      </c>
      <c r="T3329">
        <v>-2.8005599999999999E-2</v>
      </c>
      <c r="U3329">
        <v>-0.24517820000000001</v>
      </c>
      <c r="V3329">
        <v>-4.7802050000000002E-4</v>
      </c>
      <c r="W3329">
        <v>4.7892669999999998E-2</v>
      </c>
      <c r="X3329">
        <v>0.99885239999999997</v>
      </c>
      <c r="Y3329">
        <v>-0.1155188</v>
      </c>
      <c r="Z3329">
        <v>-8.5695179999999995E-4</v>
      </c>
      <c r="AA3329">
        <v>0.99330490000000005</v>
      </c>
      <c r="AB3329">
        <v>39</v>
      </c>
      <c r="AC3329">
        <v>-113.4823</v>
      </c>
      <c r="AD3329">
        <v>-1.0566733100000001</v>
      </c>
      <c r="AE3329">
        <v>-9.2569999999999997</v>
      </c>
      <c r="AF3329">
        <v>-13.173697364905401</v>
      </c>
      <c r="AG3329">
        <v>-1.0566733100000001</v>
      </c>
      <c r="AH3329">
        <v>113.08468212595299</v>
      </c>
      <c r="AI3329">
        <v>90.531765377697695</v>
      </c>
      <c r="AJ3329">
        <v>96.644669829752104</v>
      </c>
      <c r="AK3329">
        <v>113.854328825363</v>
      </c>
      <c r="AL3329">
        <v>87.254902121058606</v>
      </c>
      <c r="AM3329">
        <v>90.027420022297406</v>
      </c>
      <c r="AN3329">
        <v>1.0000000266645399</v>
      </c>
    </row>
    <row r="3330" spans="1:40" x14ac:dyDescent="0.25">
      <c r="A3330" t="str">
        <f>"20190312150725604"</f>
        <v>20190312150725604</v>
      </c>
      <c r="B3330" t="str">
        <f>"1552374445593305"</f>
        <v>1552374445593305</v>
      </c>
      <c r="C3330" t="s">
        <v>40</v>
      </c>
      <c r="D3330">
        <v>4.1749769999999904</v>
      </c>
      <c r="E3330">
        <v>0.45699129999999899</v>
      </c>
      <c r="F3330" t="s">
        <v>68</v>
      </c>
      <c r="G3330">
        <v>-434.72019999999998</v>
      </c>
      <c r="H3330">
        <v>8.0001589999999997E-2</v>
      </c>
      <c r="I3330">
        <v>273.32819999999998</v>
      </c>
      <c r="J3330">
        <v>-316.67680000000001</v>
      </c>
      <c r="K3330">
        <v>1.1103970000000001</v>
      </c>
      <c r="L3330">
        <v>282.95069999999998</v>
      </c>
      <c r="M3330">
        <v>-0.99929259999999998</v>
      </c>
      <c r="N3330">
        <v>0</v>
      </c>
      <c r="O3330">
        <v>3.4480719999999999E-2</v>
      </c>
      <c r="P3330">
        <v>-0.99887999999999999</v>
      </c>
      <c r="Q3330">
        <v>3.2967080000000003E-2</v>
      </c>
      <c r="R3330">
        <v>3.3945709999999997E-2</v>
      </c>
      <c r="S3330">
        <v>-3.0126040000000001</v>
      </c>
      <c r="T3330">
        <v>-2.6252749999999998E-2</v>
      </c>
      <c r="U3330">
        <v>-0.24499509999999999</v>
      </c>
      <c r="V3330">
        <v>-5.3755459999999997E-4</v>
      </c>
      <c r="W3330">
        <v>4.7979819999999999E-2</v>
      </c>
      <c r="X3330">
        <v>0.99884810000000002</v>
      </c>
      <c r="Y3330">
        <v>-0.11537310000000001</v>
      </c>
      <c r="Z3330">
        <v>-8.0192909999999998E-4</v>
      </c>
      <c r="AA3330">
        <v>0.99332189999999998</v>
      </c>
      <c r="AB3330">
        <v>39</v>
      </c>
      <c r="AC3330">
        <v>-118.043399999999</v>
      </c>
      <c r="AD3330">
        <v>-1.0303954099999999</v>
      </c>
      <c r="AE3330">
        <v>-9.6225000000000005</v>
      </c>
      <c r="AF3330">
        <v>-13.6864210419374</v>
      </c>
      <c r="AG3330">
        <v>-1.0303954099999999</v>
      </c>
      <c r="AH3330">
        <v>117.632459298169</v>
      </c>
      <c r="AI3330">
        <v>90.498503932205793</v>
      </c>
      <c r="AJ3330">
        <v>96.6364688173161</v>
      </c>
      <c r="AK3330">
        <v>118.430466165482</v>
      </c>
      <c r="AL3330">
        <v>87.249902807115205</v>
      </c>
      <c r="AM3330">
        <v>90.030835125845698</v>
      </c>
      <c r="AN3330">
        <v>0.99999993948289301</v>
      </c>
    </row>
    <row r="3331" spans="1:40" x14ac:dyDescent="0.25">
      <c r="A3331" t="str">
        <f>"20190312150725615"</f>
        <v>20190312150725615</v>
      </c>
      <c r="B3331" t="str">
        <f>"1552374445603063"</f>
        <v>1552374445603063</v>
      </c>
      <c r="C3331" t="s">
        <v>40</v>
      </c>
      <c r="D3331">
        <v>4.1129889999999998</v>
      </c>
      <c r="E3331">
        <v>0.4571114</v>
      </c>
      <c r="F3331" t="s">
        <v>43</v>
      </c>
      <c r="G3331">
        <v>-451.55200000000002</v>
      </c>
      <c r="H3331">
        <v>-0.05</v>
      </c>
      <c r="I3331">
        <v>271.95589999999999</v>
      </c>
      <c r="J3331">
        <v>-316.87139999999999</v>
      </c>
      <c r="K3331">
        <v>1.110403</v>
      </c>
      <c r="L3331">
        <v>282.95729999999998</v>
      </c>
      <c r="M3331">
        <v>-0.99929539999999994</v>
      </c>
      <c r="N3331">
        <v>0</v>
      </c>
      <c r="O3331">
        <v>3.4393220000000002E-2</v>
      </c>
      <c r="P3331">
        <v>-0.99887510000000002</v>
      </c>
      <c r="Q3331">
        <v>3.3278549999999997E-2</v>
      </c>
      <c r="R3331">
        <v>3.3777519999999998E-2</v>
      </c>
      <c r="S3331">
        <v>-3.012543</v>
      </c>
      <c r="T3331">
        <v>-2.5918360000000001E-2</v>
      </c>
      <c r="U3331">
        <v>-0.24557499999999999</v>
      </c>
      <c r="V3331">
        <v>-6.1803779999999896E-4</v>
      </c>
      <c r="W3331">
        <v>4.8290840000000002E-2</v>
      </c>
      <c r="X3331">
        <v>0.99883310000000003</v>
      </c>
      <c r="Y3331">
        <v>-0.11547780000000001</v>
      </c>
      <c r="Z3331">
        <v>-7.9142310000000001E-4</v>
      </c>
      <c r="AA3331">
        <v>0.99330969999999996</v>
      </c>
      <c r="AB3331">
        <v>39</v>
      </c>
      <c r="AC3331">
        <v>-134.680599999999</v>
      </c>
      <c r="AD3331">
        <v>-1.1604030000000001</v>
      </c>
      <c r="AE3331">
        <v>-11.001399999999901</v>
      </c>
      <c r="AF3331">
        <v>-15.626360111671801</v>
      </c>
      <c r="AG3331">
        <v>-1.1604030000000001</v>
      </c>
      <c r="AH3331">
        <v>134.212588513886</v>
      </c>
      <c r="AI3331">
        <v>90.492043713897203</v>
      </c>
      <c r="AJ3331">
        <v>96.641041896140607</v>
      </c>
      <c r="AK3331">
        <v>135.12419687480099</v>
      </c>
      <c r="AL3331">
        <v>87.232062088756606</v>
      </c>
      <c r="AM3331">
        <v>90.035452322315194</v>
      </c>
      <c r="AN3331">
        <v>0.99999997442711797</v>
      </c>
    </row>
    <row r="3332" spans="1:40" x14ac:dyDescent="0.25">
      <c r="A3332" t="str">
        <f>"20190312150725637"</f>
        <v>20190312150725637</v>
      </c>
      <c r="B3332" t="str">
        <f>"1552374445633319"</f>
        <v>1552374445633319</v>
      </c>
      <c r="C3332" t="s">
        <v>40</v>
      </c>
      <c r="D3332">
        <v>4.1948030000000003</v>
      </c>
      <c r="E3332">
        <v>0.45758789999999999</v>
      </c>
      <c r="F3332" t="s">
        <v>43</v>
      </c>
      <c r="G3332">
        <v>-458.99040000000002</v>
      </c>
      <c r="H3332">
        <v>-0.05</v>
      </c>
      <c r="I3332">
        <v>271.40350000000001</v>
      </c>
      <c r="J3332">
        <v>-317.2577</v>
      </c>
      <c r="K3332">
        <v>1.1104099999999999</v>
      </c>
      <c r="L3332">
        <v>282.97050000000002</v>
      </c>
      <c r="M3332">
        <v>-0.99930160000000001</v>
      </c>
      <c r="N3332">
        <v>0</v>
      </c>
      <c r="O3332">
        <v>3.4217030000000002E-2</v>
      </c>
      <c r="P3332">
        <v>-0.99888679999999996</v>
      </c>
      <c r="Q3332">
        <v>3.3521570000000001E-2</v>
      </c>
      <c r="R3332">
        <v>3.3187939999999999E-2</v>
      </c>
      <c r="S3332">
        <v>-3.0124819999999999</v>
      </c>
      <c r="T3332">
        <v>-2.4596929999999999E-2</v>
      </c>
      <c r="U3332">
        <v>-0.2449036</v>
      </c>
      <c r="V3332">
        <v>-1.0328659999999999E-3</v>
      </c>
      <c r="W3332">
        <v>4.8533750000000001E-2</v>
      </c>
      <c r="X3332">
        <v>0.99882099999999996</v>
      </c>
      <c r="Y3332">
        <v>-0.1150849</v>
      </c>
      <c r="Z3332">
        <v>-7.4805800000000001E-4</v>
      </c>
      <c r="AA3332">
        <v>0.9933554</v>
      </c>
      <c r="AB3332">
        <v>39</v>
      </c>
      <c r="AC3332">
        <v>-141.73269999999999</v>
      </c>
      <c r="AD3332">
        <v>-1.1604099999999999</v>
      </c>
      <c r="AE3332">
        <v>-11.567</v>
      </c>
      <c r="AF3332">
        <v>-16.409351419640998</v>
      </c>
      <c r="AG3332">
        <v>-1.1604099999999999</v>
      </c>
      <c r="AH3332">
        <v>141.24444799889099</v>
      </c>
      <c r="AI3332">
        <v>90.467564808463806</v>
      </c>
      <c r="AJ3332">
        <v>96.626742470461906</v>
      </c>
      <c r="AK3332">
        <v>142.19918233201199</v>
      </c>
      <c r="AL3332">
        <v>87.218128077790993</v>
      </c>
      <c r="AM3332">
        <v>90.059248695720797</v>
      </c>
      <c r="AN3332">
        <v>0.99999999087111802</v>
      </c>
    </row>
    <row r="3333" spans="1:40" x14ac:dyDescent="0.25">
      <c r="A3333" t="str">
        <f>"20190312150725649"</f>
        <v>20190312150725649</v>
      </c>
      <c r="B3333" t="str">
        <f>"1552374445643079"</f>
        <v>1552374445643079</v>
      </c>
      <c r="C3333" t="s">
        <v>40</v>
      </c>
      <c r="D3333">
        <v>4.402298</v>
      </c>
      <c r="E3333">
        <v>0.45774769999999998</v>
      </c>
      <c r="F3333" t="s">
        <v>68</v>
      </c>
      <c r="G3333">
        <v>-429.95850000000002</v>
      </c>
      <c r="H3333">
        <v>5.0778459999999997E-2</v>
      </c>
      <c r="I3333">
        <v>273.88560000000001</v>
      </c>
      <c r="J3333">
        <v>-317.47519999999997</v>
      </c>
      <c r="K3333">
        <v>1.110414</v>
      </c>
      <c r="L3333">
        <v>282.9778</v>
      </c>
      <c r="M3333">
        <v>-0.999305</v>
      </c>
      <c r="N3333">
        <v>0</v>
      </c>
      <c r="O3333">
        <v>3.4116229999999997E-2</v>
      </c>
      <c r="P3333">
        <v>-0.99889220000000001</v>
      </c>
      <c r="Q3333">
        <v>3.357421E-2</v>
      </c>
      <c r="R3333">
        <v>3.2975009999999999E-2</v>
      </c>
      <c r="S3333">
        <v>-3.0123600000000001</v>
      </c>
      <c r="T3333">
        <v>-2.8322699999999999E-2</v>
      </c>
      <c r="U3333">
        <v>-0.2428284</v>
      </c>
      <c r="V3333">
        <v>-1.145264E-3</v>
      </c>
      <c r="W3333">
        <v>4.858614E-2</v>
      </c>
      <c r="X3333">
        <v>0.99881830000000005</v>
      </c>
      <c r="Y3333">
        <v>-0.11430650000000001</v>
      </c>
      <c r="Z3333">
        <v>-8.568216E-4</v>
      </c>
      <c r="AA3333">
        <v>0.99344520000000003</v>
      </c>
      <c r="AB3333">
        <v>39</v>
      </c>
      <c r="AC3333">
        <v>-112.4833</v>
      </c>
      <c r="AD3333">
        <v>-1.0596355399999999</v>
      </c>
      <c r="AE3333">
        <v>-9.0921999999999894</v>
      </c>
      <c r="AF3333">
        <v>-12.923705607592799</v>
      </c>
      <c r="AG3333">
        <v>-1.0596355399999999</v>
      </c>
      <c r="AH3333">
        <v>112.097695583356</v>
      </c>
      <c r="AI3333">
        <v>90.538024997654901</v>
      </c>
      <c r="AJ3333">
        <v>96.576575736200397</v>
      </c>
      <c r="AK3333">
        <v>112.84519639403401</v>
      </c>
      <c r="AL3333">
        <v>87.2151227218814</v>
      </c>
      <c r="AM3333">
        <v>90.065696398304993</v>
      </c>
      <c r="AN3333">
        <v>0.999999960522308</v>
      </c>
    </row>
    <row r="3334" spans="1:40" x14ac:dyDescent="0.25">
      <c r="A3334" t="str">
        <f>"20190312150725660"</f>
        <v>20190312150725660</v>
      </c>
      <c r="B3334" t="str">
        <f>"1552374445653815"</f>
        <v>1552374445653815</v>
      </c>
      <c r="C3334" t="s">
        <v>40</v>
      </c>
      <c r="D3334">
        <v>4.1902210000000002</v>
      </c>
      <c r="E3334">
        <v>0.45790170000000002</v>
      </c>
      <c r="F3334" t="s">
        <v>68</v>
      </c>
      <c r="G3334">
        <v>-429.8741</v>
      </c>
      <c r="H3334" s="1">
        <v>4.1588800000000004E-6</v>
      </c>
      <c r="I3334">
        <v>273.93299999999999</v>
      </c>
      <c r="J3334">
        <v>-317.6694</v>
      </c>
      <c r="K3334">
        <v>1.110425</v>
      </c>
      <c r="L3334">
        <v>282.98439999999999</v>
      </c>
      <c r="M3334">
        <v>-0.99930810000000003</v>
      </c>
      <c r="N3334">
        <v>0</v>
      </c>
      <c r="O3334">
        <v>3.402517E-2</v>
      </c>
      <c r="P3334">
        <v>-0.99888969999999999</v>
      </c>
      <c r="Q3334">
        <v>3.396557E-2</v>
      </c>
      <c r="R3334">
        <v>3.2646679999999997E-2</v>
      </c>
      <c r="S3334">
        <v>-3.0122990000000001</v>
      </c>
      <c r="T3334">
        <v>-2.9759049999999999E-2</v>
      </c>
      <c r="U3334">
        <v>-0.24240110000000001</v>
      </c>
      <c r="V3334">
        <v>-1.3833739999999999E-3</v>
      </c>
      <c r="W3334">
        <v>4.8976680000000002E-2</v>
      </c>
      <c r="X3334">
        <v>0.99879899999999999</v>
      </c>
      <c r="Y3334">
        <v>-0.11407689999999999</v>
      </c>
      <c r="Z3334">
        <v>-8.9826469999999999E-4</v>
      </c>
      <c r="AA3334">
        <v>0.99347149999999995</v>
      </c>
      <c r="AB3334">
        <v>39</v>
      </c>
      <c r="AC3334">
        <v>-112.2047</v>
      </c>
      <c r="AD3334">
        <v>-1.1104208411200001</v>
      </c>
      <c r="AE3334">
        <v>-9.0513999999999992</v>
      </c>
      <c r="AF3334">
        <v>-12.863120921358</v>
      </c>
      <c r="AG3334">
        <v>-1.1104208411200001</v>
      </c>
      <c r="AH3334">
        <v>111.82082523045101</v>
      </c>
      <c r="AI3334">
        <v>90.565221748301198</v>
      </c>
      <c r="AJ3334">
        <v>96.562080646409996</v>
      </c>
      <c r="AK3334">
        <v>112.563714710829</v>
      </c>
      <c r="AL3334">
        <v>87.192719966990495</v>
      </c>
      <c r="AM3334">
        <v>90.079356748459901</v>
      </c>
      <c r="AN3334">
        <v>1.00000003565422</v>
      </c>
    </row>
    <row r="3335" spans="1:40" x14ac:dyDescent="0.25">
      <c r="A3335" t="str">
        <f>"20190312150725671"</f>
        <v>20190312150725671</v>
      </c>
      <c r="B3335" t="str">
        <f>"1552374445663575"</f>
        <v>1552374445663575</v>
      </c>
      <c r="C3335" t="s">
        <v>40</v>
      </c>
      <c r="D3335">
        <v>4.2122310000000001</v>
      </c>
      <c r="E3335">
        <v>0.45806520000000001</v>
      </c>
      <c r="F3335" t="s">
        <v>68</v>
      </c>
      <c r="G3335">
        <v>-428.5444</v>
      </c>
      <c r="H3335" s="1">
        <v>4.4180599999999998E-6</v>
      </c>
      <c r="I3335">
        <v>274.0677</v>
      </c>
      <c r="J3335">
        <v>-317.85379999999998</v>
      </c>
      <c r="K3335">
        <v>1.11043</v>
      </c>
      <c r="L3335">
        <v>282.99059999999997</v>
      </c>
      <c r="M3335">
        <v>-0.99931110000000001</v>
      </c>
      <c r="N3335">
        <v>0</v>
      </c>
      <c r="O3335">
        <v>3.3937500000000002E-2</v>
      </c>
      <c r="P3335">
        <v>-0.99889870000000003</v>
      </c>
      <c r="Q3335">
        <v>3.394341E-2</v>
      </c>
      <c r="R3335">
        <v>3.2398570000000002E-2</v>
      </c>
      <c r="S3335">
        <v>-3.0122680000000002</v>
      </c>
      <c r="T3335">
        <v>-3.016806E-2</v>
      </c>
      <c r="U3335">
        <v>-0.24224850000000001</v>
      </c>
      <c r="V3335">
        <v>-1.5438779999999901E-3</v>
      </c>
      <c r="W3335">
        <v>4.895381E-2</v>
      </c>
      <c r="X3335">
        <v>0.99879989999999996</v>
      </c>
      <c r="Y3335">
        <v>-0.1139404</v>
      </c>
      <c r="Z3335">
        <v>-9.0906139999999999E-4</v>
      </c>
      <c r="AA3335">
        <v>0.99348720000000001</v>
      </c>
      <c r="AB3335">
        <v>39</v>
      </c>
      <c r="AC3335">
        <v>-110.6906</v>
      </c>
      <c r="AD3335">
        <v>-1.11042558194</v>
      </c>
      <c r="AE3335">
        <v>-8.9228999999999701</v>
      </c>
      <c r="AF3335">
        <v>-12.6734776773205</v>
      </c>
      <c r="AG3335">
        <v>-1.11042558194</v>
      </c>
      <c r="AH3335">
        <v>110.312938117898</v>
      </c>
      <c r="AI3335">
        <v>90.572959336812801</v>
      </c>
      <c r="AJ3335">
        <v>96.553783413842197</v>
      </c>
      <c r="AK3335">
        <v>111.044110143734</v>
      </c>
      <c r="AL3335">
        <v>87.194031934422398</v>
      </c>
      <c r="AM3335">
        <v>90.088563908579502</v>
      </c>
      <c r="AN3335">
        <v>1.0000000496564001</v>
      </c>
    </row>
    <row r="3336" spans="1:40" x14ac:dyDescent="0.25">
      <c r="A3336" t="str">
        <f>"20190312150725682"</f>
        <v>20190312150725682</v>
      </c>
      <c r="B3336" t="str">
        <f>"1552374445673336"</f>
        <v>1552374445673336</v>
      </c>
      <c r="C3336" t="s">
        <v>40</v>
      </c>
      <c r="D3336">
        <v>4.2257559999999996</v>
      </c>
      <c r="E3336">
        <v>0.45820870000000002</v>
      </c>
      <c r="F3336" t="s">
        <v>68</v>
      </c>
      <c r="G3336">
        <v>-425.3381</v>
      </c>
      <c r="H3336" s="1">
        <v>5.0485419999999999E-6</v>
      </c>
      <c r="I3336">
        <v>274.37150000000003</v>
      </c>
      <c r="J3336">
        <v>-318.05349999999999</v>
      </c>
      <c r="K3336">
        <v>1.1104339999999999</v>
      </c>
      <c r="L3336">
        <v>282.9973</v>
      </c>
      <c r="M3336">
        <v>-0.99931429999999999</v>
      </c>
      <c r="N3336">
        <v>0</v>
      </c>
      <c r="O3336">
        <v>3.3841830000000003E-2</v>
      </c>
      <c r="P3336">
        <v>-0.99890449999999997</v>
      </c>
      <c r="Q3336">
        <v>3.4017819999999997E-2</v>
      </c>
      <c r="R3336">
        <v>3.213498E-2</v>
      </c>
      <c r="S3336">
        <v>-3.0122070000000001</v>
      </c>
      <c r="T3336">
        <v>-3.1119230000000001E-2</v>
      </c>
      <c r="U3336">
        <v>-0.2415466</v>
      </c>
      <c r="V3336">
        <v>-1.7124690000000001E-3</v>
      </c>
      <c r="W3336">
        <v>4.902716E-2</v>
      </c>
      <c r="X3336">
        <v>0.99879600000000002</v>
      </c>
      <c r="Y3336">
        <v>-0.11361640000000001</v>
      </c>
      <c r="Z3336">
        <v>-9.3509110000000002E-4</v>
      </c>
      <c r="AA3336">
        <v>0.99352430000000003</v>
      </c>
      <c r="AB3336">
        <v>39</v>
      </c>
      <c r="AC3336">
        <v>-107.2846</v>
      </c>
      <c r="AD3336">
        <v>-1.1104289514579999</v>
      </c>
      <c r="AE3336">
        <v>-8.6257999999999697</v>
      </c>
      <c r="AF3336">
        <v>-12.250670982281999</v>
      </c>
      <c r="AG3336">
        <v>-1.1104289514579999</v>
      </c>
      <c r="AH3336">
        <v>106.919807201738</v>
      </c>
      <c r="AI3336">
        <v>90.591163538195502</v>
      </c>
      <c r="AJ3336">
        <v>96.536339072690794</v>
      </c>
      <c r="AK3336">
        <v>107.625076836346</v>
      </c>
      <c r="AL3336">
        <v>87.189824159829698</v>
      </c>
      <c r="AM3336">
        <v>90.098235425556894</v>
      </c>
      <c r="AN3336">
        <v>1.0000000222918699</v>
      </c>
    </row>
    <row r="3337" spans="1:40" x14ac:dyDescent="0.25">
      <c r="A3337" t="str">
        <f>"20190312150725695"</f>
        <v>20190312150725695</v>
      </c>
      <c r="B3337" t="str">
        <f>"1552374445683095"</f>
        <v>1552374445683095</v>
      </c>
      <c r="C3337" t="s">
        <v>40</v>
      </c>
      <c r="D3337">
        <v>4.4525899999999998</v>
      </c>
      <c r="E3337">
        <v>0.45826699999999998</v>
      </c>
      <c r="F3337" t="s">
        <v>68</v>
      </c>
      <c r="G3337">
        <v>-422.30509999999998</v>
      </c>
      <c r="H3337" s="1">
        <v>5.644348E-6</v>
      </c>
      <c r="I3337">
        <v>274.6499</v>
      </c>
      <c r="J3337">
        <v>-318.2697</v>
      </c>
      <c r="K3337">
        <v>1.11043799999999</v>
      </c>
      <c r="L3337">
        <v>283.00450000000001</v>
      </c>
      <c r="M3337">
        <v>-0.99931809999999999</v>
      </c>
      <c r="N3337">
        <v>0</v>
      </c>
      <c r="O3337">
        <v>3.3734069999999998E-2</v>
      </c>
      <c r="P3337">
        <v>-0.99891319999999995</v>
      </c>
      <c r="Q3337">
        <v>3.4253140000000001E-2</v>
      </c>
      <c r="R3337">
        <v>3.1617279999999998E-2</v>
      </c>
      <c r="S3337">
        <v>-3.012146</v>
      </c>
      <c r="T3337">
        <v>-3.2083630000000002E-2</v>
      </c>
      <c r="U3337">
        <v>-0.24118039999999999</v>
      </c>
      <c r="V3337">
        <v>-2.122507E-3</v>
      </c>
      <c r="W3337">
        <v>4.9261480000000003E-2</v>
      </c>
      <c r="X3337">
        <v>0.99878359999999999</v>
      </c>
      <c r="Y3337">
        <v>-0.1133904</v>
      </c>
      <c r="Z3337">
        <v>-9.6174409999999998E-4</v>
      </c>
      <c r="AA3337">
        <v>0.99355009999999999</v>
      </c>
      <c r="AB3337">
        <v>39</v>
      </c>
      <c r="AC3337">
        <v>-104.035399999999</v>
      </c>
      <c r="AD3337">
        <v>-1.1104323556519899</v>
      </c>
      <c r="AE3337">
        <v>-8.3545999999999996</v>
      </c>
      <c r="AF3337">
        <v>-11.8584345007839</v>
      </c>
      <c r="AG3337">
        <v>-1.1104323556519899</v>
      </c>
      <c r="AH3337">
        <v>103.682571458013</v>
      </c>
      <c r="AI3337">
        <v>90.609635840147405</v>
      </c>
      <c r="AJ3337">
        <v>96.524709829742406</v>
      </c>
      <c r="AK3337">
        <v>104.364415166146</v>
      </c>
      <c r="AL3337">
        <v>87.176382135900695</v>
      </c>
      <c r="AM3337">
        <v>90.121758617204094</v>
      </c>
      <c r="AN3337">
        <v>0.99999993903835505</v>
      </c>
    </row>
    <row r="3338" spans="1:40" x14ac:dyDescent="0.25">
      <c r="A3338" t="str">
        <f>"20190312150725716"</f>
        <v>20190312150725716</v>
      </c>
      <c r="B3338" t="str">
        <f>"1552374445703591"</f>
        <v>1552374445703591</v>
      </c>
      <c r="C3338" t="s">
        <v>40</v>
      </c>
      <c r="D3338">
        <v>4.2322639999999998</v>
      </c>
      <c r="E3338">
        <v>0.4584355</v>
      </c>
      <c r="F3338" t="s">
        <v>68</v>
      </c>
      <c r="G3338">
        <v>-421.56060000000002</v>
      </c>
      <c r="H3338" s="1">
        <v>5.7949220000000004E-6</v>
      </c>
      <c r="I3338">
        <v>274.6909</v>
      </c>
      <c r="J3338">
        <v>-318.62670000000003</v>
      </c>
      <c r="K3338">
        <v>1.1104480000000001</v>
      </c>
      <c r="L3338">
        <v>283.01639999999998</v>
      </c>
      <c r="M3338">
        <v>-0.9993242</v>
      </c>
      <c r="N3338">
        <v>0</v>
      </c>
      <c r="O3338">
        <v>3.3550660000000003E-2</v>
      </c>
      <c r="P3338">
        <v>-0.99892040000000004</v>
      </c>
      <c r="Q3338">
        <v>3.4780169999999999E-2</v>
      </c>
      <c r="R3338">
        <v>3.0798180000000001E-2</v>
      </c>
      <c r="S3338">
        <v>-3.012054</v>
      </c>
      <c r="T3338">
        <v>-3.2381180000000002E-2</v>
      </c>
      <c r="U3338">
        <v>-0.2424316</v>
      </c>
      <c r="V3338">
        <v>-2.7591909999999998E-3</v>
      </c>
      <c r="W3338">
        <v>4.9785830000000003E-2</v>
      </c>
      <c r="X3338">
        <v>0.99875610000000004</v>
      </c>
      <c r="Y3338">
        <v>-0.1136204</v>
      </c>
      <c r="Z3338">
        <v>-9.69942E-4</v>
      </c>
      <c r="AA3338">
        <v>0.99352379999999996</v>
      </c>
      <c r="AB3338">
        <v>39</v>
      </c>
      <c r="AC3338">
        <v>-102.93389999999999</v>
      </c>
      <c r="AD3338">
        <v>-1.1104422050779901</v>
      </c>
      <c r="AE3338">
        <v>-8.3254999999999697</v>
      </c>
      <c r="AF3338">
        <v>-11.773340294659601</v>
      </c>
      <c r="AG3338">
        <v>-1.1104422050779901</v>
      </c>
      <c r="AH3338">
        <v>102.584718363094</v>
      </c>
      <c r="AI3338">
        <v>90.616137590595102</v>
      </c>
      <c r="AJ3338">
        <v>96.547020341105807</v>
      </c>
      <c r="AK3338">
        <v>103.264074417098</v>
      </c>
      <c r="AL3338">
        <v>87.146302340968802</v>
      </c>
      <c r="AM3338">
        <v>90.158286489549894</v>
      </c>
      <c r="AN3338">
        <v>0.99999999464548595</v>
      </c>
    </row>
    <row r="3339" spans="1:40" x14ac:dyDescent="0.25">
      <c r="A3339" t="str">
        <f>"20190312150725731"</f>
        <v>20190312150725731</v>
      </c>
      <c r="B3339" t="str">
        <f>"1552374445723111"</f>
        <v>1552374445723111</v>
      </c>
      <c r="C3339" t="s">
        <v>40</v>
      </c>
      <c r="D3339">
        <v>4.5073109999999996</v>
      </c>
      <c r="E3339">
        <v>0.45862049999999999</v>
      </c>
      <c r="F3339" t="s">
        <v>68</v>
      </c>
      <c r="G3339">
        <v>-418.7004</v>
      </c>
      <c r="H3339" s="1">
        <v>5.8180610000000002E-6</v>
      </c>
      <c r="I3339">
        <v>274.9178</v>
      </c>
      <c r="J3339">
        <v>-318.89699999999999</v>
      </c>
      <c r="K3339">
        <v>1.110457</v>
      </c>
      <c r="L3339">
        <v>283.02539999999999</v>
      </c>
      <c r="M3339">
        <v>-0.99932900000000002</v>
      </c>
      <c r="N3339">
        <v>0</v>
      </c>
      <c r="O3339">
        <v>3.3404990000000002E-2</v>
      </c>
      <c r="P3339">
        <v>-0.99893339999999997</v>
      </c>
      <c r="Q3339">
        <v>3.4789189999999998E-2</v>
      </c>
      <c r="R3339">
        <v>3.0367890000000002E-2</v>
      </c>
      <c r="S3339">
        <v>-3.0119319999999998</v>
      </c>
      <c r="T3339">
        <v>-3.3421159999999998E-2</v>
      </c>
      <c r="U3339">
        <v>-0.24374390000000001</v>
      </c>
      <c r="V3339">
        <v>-3.0449359999999998E-3</v>
      </c>
      <c r="W3339">
        <v>4.9793459999999998E-2</v>
      </c>
      <c r="X3339">
        <v>0.9987549</v>
      </c>
      <c r="Y3339">
        <v>-0.1139083</v>
      </c>
      <c r="Z3339">
        <v>-1.0010959999999999E-3</v>
      </c>
      <c r="AA3339">
        <v>0.99349080000000001</v>
      </c>
      <c r="AB3339">
        <v>39</v>
      </c>
      <c r="AC3339">
        <v>-99.803399999999996</v>
      </c>
      <c r="AD3339">
        <v>-1.1104511819389999</v>
      </c>
      <c r="AE3339">
        <v>-8.1075999999999908</v>
      </c>
      <c r="AF3339">
        <v>-11.435975459498801</v>
      </c>
      <c r="AG3339">
        <v>-1.1104511819389999</v>
      </c>
      <c r="AH3339">
        <v>99.464589406676694</v>
      </c>
      <c r="AI3339">
        <v>90.635453927609703</v>
      </c>
      <c r="AJ3339">
        <v>96.558802194407505</v>
      </c>
      <c r="AK3339">
        <v>100.126016511077</v>
      </c>
      <c r="AL3339">
        <v>87.145864661678004</v>
      </c>
      <c r="AM3339">
        <v>90.174678933903195</v>
      </c>
      <c r="AN3339">
        <v>1.0000000052840099</v>
      </c>
    </row>
    <row r="3340" spans="1:40" x14ac:dyDescent="0.25">
      <c r="A3340" t="str">
        <f>"20190312150725743"</f>
        <v>20190312150725743</v>
      </c>
      <c r="B3340" t="str">
        <f>"1552374445733847"</f>
        <v>1552374445733847</v>
      </c>
      <c r="C3340" t="s">
        <v>40</v>
      </c>
      <c r="D3340">
        <v>4.240602</v>
      </c>
      <c r="E3340">
        <v>0.45872790000000002</v>
      </c>
      <c r="F3340" t="s">
        <v>68</v>
      </c>
      <c r="G3340">
        <v>-406.43630000000002</v>
      </c>
      <c r="H3340">
        <v>8.0001359999999994E-2</v>
      </c>
      <c r="I3340">
        <v>275.9427</v>
      </c>
      <c r="J3340">
        <v>-319.12900000000002</v>
      </c>
      <c r="K3340">
        <v>1.110465</v>
      </c>
      <c r="L3340">
        <v>283.03300000000002</v>
      </c>
      <c r="M3340">
        <v>-0.99933340000000004</v>
      </c>
      <c r="N3340">
        <v>0</v>
      </c>
      <c r="O3340">
        <v>3.3275970000000002E-2</v>
      </c>
      <c r="P3340">
        <v>-0.99894939999999999</v>
      </c>
      <c r="Q3340">
        <v>3.4830479999999997E-2</v>
      </c>
      <c r="R3340">
        <v>2.978774E-2</v>
      </c>
      <c r="S3340">
        <v>-3.011841</v>
      </c>
      <c r="T3340">
        <v>-3.5453440000000003E-2</v>
      </c>
      <c r="U3340">
        <v>-0.24368290000000001</v>
      </c>
      <c r="V3340">
        <v>-3.4973600000000001E-3</v>
      </c>
      <c r="W3340">
        <v>4.9832500000000002E-2</v>
      </c>
      <c r="X3340">
        <v>0.99875150000000001</v>
      </c>
      <c r="Y3340">
        <v>-0.1137613</v>
      </c>
      <c r="Z3340">
        <v>-1.0596189999999999E-3</v>
      </c>
      <c r="AA3340">
        <v>0.99350760000000005</v>
      </c>
      <c r="AB3340">
        <v>39</v>
      </c>
      <c r="AC3340">
        <v>-87.307299999999998</v>
      </c>
      <c r="AD3340">
        <v>-1.03046364</v>
      </c>
      <c r="AE3340">
        <v>-7.0903000000000098</v>
      </c>
      <c r="AF3340">
        <v>-9.9905525758384002</v>
      </c>
      <c r="AG3340">
        <v>-1.03046364</v>
      </c>
      <c r="AH3340">
        <v>87.0109336621355</v>
      </c>
      <c r="AI3340">
        <v>90.674089215138494</v>
      </c>
      <c r="AJ3340">
        <v>96.5499897304352</v>
      </c>
      <c r="AK3340">
        <v>87.588672628602495</v>
      </c>
      <c r="AL3340">
        <v>87.143625136696798</v>
      </c>
      <c r="AM3340">
        <v>90.200633639498193</v>
      </c>
      <c r="AN3340">
        <v>1.00000003416773</v>
      </c>
    </row>
    <row r="3341" spans="1:40" x14ac:dyDescent="0.25">
      <c r="A3341" t="str">
        <f>"20190312150725760"</f>
        <v>20190312150725760</v>
      </c>
      <c r="B3341" t="str">
        <f>"1552374445753367"</f>
        <v>1552374445753367</v>
      </c>
      <c r="C3341" t="s">
        <v>40</v>
      </c>
      <c r="D3341">
        <v>4.2586519999999997</v>
      </c>
      <c r="E3341">
        <v>0.45887679999999997</v>
      </c>
      <c r="F3341" t="s">
        <v>68</v>
      </c>
      <c r="G3341">
        <v>-404.0598</v>
      </c>
      <c r="H3341">
        <v>8.0001329999999996E-2</v>
      </c>
      <c r="I3341">
        <v>276.1379</v>
      </c>
      <c r="J3341">
        <v>-319.40309999999999</v>
      </c>
      <c r="K3341">
        <v>1.110479</v>
      </c>
      <c r="L3341">
        <v>283.04199999999997</v>
      </c>
      <c r="M3341">
        <v>-0.99933890000000003</v>
      </c>
      <c r="N3341">
        <v>0</v>
      </c>
      <c r="O3341">
        <v>3.3113509999999999E-2</v>
      </c>
      <c r="P3341">
        <v>-0.99897499999999995</v>
      </c>
      <c r="Q3341">
        <v>3.476344E-2</v>
      </c>
      <c r="R3341">
        <v>2.8995090000000001E-2</v>
      </c>
      <c r="S3341">
        <v>-3.0117189999999998</v>
      </c>
      <c r="T3341">
        <v>-3.65411E-2</v>
      </c>
      <c r="U3341">
        <v>-0.2445068</v>
      </c>
      <c r="V3341">
        <v>-4.1288710000000001E-3</v>
      </c>
      <c r="W3341">
        <v>4.9762969999999997E-2</v>
      </c>
      <c r="X3341">
        <v>0.99875250000000004</v>
      </c>
      <c r="Y3341">
        <v>-0.1138724</v>
      </c>
      <c r="Z3341">
        <v>-1.090862E-3</v>
      </c>
      <c r="AA3341">
        <v>0.99349480000000001</v>
      </c>
      <c r="AB3341">
        <v>39</v>
      </c>
      <c r="AC3341">
        <v>-84.656700000000001</v>
      </c>
      <c r="AD3341">
        <v>-1.03047767</v>
      </c>
      <c r="AE3341">
        <v>-6.9041000000000201</v>
      </c>
      <c r="AF3341">
        <v>-9.7024810875015906</v>
      </c>
      <c r="AG3341">
        <v>-1.03047767</v>
      </c>
      <c r="AH3341">
        <v>84.369200617234497</v>
      </c>
      <c r="AI3341">
        <v>90.695189187513193</v>
      </c>
      <c r="AJ3341">
        <v>96.5602118272502</v>
      </c>
      <c r="AK3341">
        <v>84.931513799489395</v>
      </c>
      <c r="AL3341">
        <v>87.147613701932897</v>
      </c>
      <c r="AM3341">
        <v>90.236861018931293</v>
      </c>
      <c r="AN3341">
        <v>0.99999997850760203</v>
      </c>
    </row>
    <row r="3342" spans="1:40" x14ac:dyDescent="0.25">
      <c r="A3342" t="str">
        <f>"20190312150725771"</f>
        <v>20190312150725771</v>
      </c>
      <c r="B3342" t="str">
        <f>"1552374445763128"</f>
        <v>1552374445763128</v>
      </c>
      <c r="C3342" t="s">
        <v>40</v>
      </c>
      <c r="D3342">
        <v>4.5037349999999998</v>
      </c>
      <c r="E3342">
        <v>0.45896490000000001</v>
      </c>
      <c r="F3342" t="s">
        <v>68</v>
      </c>
      <c r="G3342">
        <v>-401.2878</v>
      </c>
      <c r="H3342">
        <v>8.0001840000000005E-2</v>
      </c>
      <c r="I3342">
        <v>276.36149999999998</v>
      </c>
      <c r="J3342">
        <v>-319.60039999999998</v>
      </c>
      <c r="K3342">
        <v>1.1104860000000001</v>
      </c>
      <c r="L3342">
        <v>283.04840000000002</v>
      </c>
      <c r="M3342">
        <v>-0.99934299999999998</v>
      </c>
      <c r="N3342">
        <v>0</v>
      </c>
      <c r="O3342">
        <v>3.2991079999999999E-2</v>
      </c>
      <c r="P3342">
        <v>-0.998977</v>
      </c>
      <c r="Q3342">
        <v>3.4946089999999999E-2</v>
      </c>
      <c r="R3342">
        <v>2.8703389999999999E-2</v>
      </c>
      <c r="S3342">
        <v>-3.0115660000000002</v>
      </c>
      <c r="T3342">
        <v>-3.7899019999999999E-2</v>
      </c>
      <c r="U3342">
        <v>-0.245697</v>
      </c>
      <c r="V3342">
        <v>-4.2988490000000004E-3</v>
      </c>
      <c r="W3342">
        <v>4.9944420000000003E-2</v>
      </c>
      <c r="X3342">
        <v>0.99874280000000004</v>
      </c>
      <c r="Y3342">
        <v>-0.114144</v>
      </c>
      <c r="Z3342">
        <v>-1.1316029999999999E-3</v>
      </c>
      <c r="AA3342">
        <v>0.9934636</v>
      </c>
      <c r="AB3342">
        <v>39</v>
      </c>
      <c r="AC3342">
        <v>-81.687399999999997</v>
      </c>
      <c r="AD3342">
        <v>-1.0304841600000001</v>
      </c>
      <c r="AE3342">
        <v>-6.6869000000000298</v>
      </c>
      <c r="AF3342">
        <v>-9.3770358290040701</v>
      </c>
      <c r="AG3342">
        <v>-1.0304841600000001</v>
      </c>
      <c r="AH3342">
        <v>81.409421185179994</v>
      </c>
      <c r="AI3342">
        <v>90.720450898251201</v>
      </c>
      <c r="AJ3342">
        <v>96.570582290253995</v>
      </c>
      <c r="AK3342">
        <v>81.954161311360295</v>
      </c>
      <c r="AL3342">
        <v>87.137204651977498</v>
      </c>
      <c r="AM3342">
        <v>90.246614427063605</v>
      </c>
      <c r="AN3342">
        <v>1.00000005287184</v>
      </c>
    </row>
    <row r="3343" spans="1:40" x14ac:dyDescent="0.25">
      <c r="A3343" t="str">
        <f>"20190312150725782"</f>
        <v>20190312150725782</v>
      </c>
      <c r="B3343" t="str">
        <f>"1552374445773864"</f>
        <v>1552374445773864</v>
      </c>
      <c r="C3343" t="s">
        <v>40</v>
      </c>
      <c r="D3343">
        <v>4.514742</v>
      </c>
      <c r="E3343">
        <v>0.45904440000000002</v>
      </c>
      <c r="F3343" t="s">
        <v>68</v>
      </c>
      <c r="G3343">
        <v>-401.29169999999999</v>
      </c>
      <c r="H3343">
        <v>8.0001829999999996E-2</v>
      </c>
      <c r="I3343">
        <v>276.37849999999997</v>
      </c>
      <c r="J3343">
        <v>-319.80739999999997</v>
      </c>
      <c r="K3343">
        <v>1.110495</v>
      </c>
      <c r="L3343">
        <v>283.05520000000001</v>
      </c>
      <c r="M3343">
        <v>-0.99934730000000005</v>
      </c>
      <c r="N3343">
        <v>0</v>
      </c>
      <c r="O3343">
        <v>3.285946E-2</v>
      </c>
      <c r="P3343">
        <v>-0.99897659999999999</v>
      </c>
      <c r="Q3343">
        <v>3.5168779999999997E-2</v>
      </c>
      <c r="R3343">
        <v>2.8446099999999998E-2</v>
      </c>
      <c r="S3343">
        <v>-3.0114749999999999</v>
      </c>
      <c r="T3343">
        <v>-3.798783E-2</v>
      </c>
      <c r="U3343">
        <v>-0.24588009999999999</v>
      </c>
      <c r="V3343">
        <v>-4.4254799999999999E-3</v>
      </c>
      <c r="W3343">
        <v>5.0165399999999999E-2</v>
      </c>
      <c r="X3343">
        <v>0.99873109999999998</v>
      </c>
      <c r="Y3343">
        <v>-0.1140755</v>
      </c>
      <c r="Z3343">
        <v>-1.1321969999999999E-3</v>
      </c>
      <c r="AA3343">
        <v>0.9934714</v>
      </c>
      <c r="AB3343">
        <v>39</v>
      </c>
      <c r="AC3343">
        <v>-81.484300000000005</v>
      </c>
      <c r="AD3343">
        <v>-1.03049317</v>
      </c>
      <c r="AE3343">
        <v>-6.6767000000000296</v>
      </c>
      <c r="AF3343">
        <v>-9.3494400011967098</v>
      </c>
      <c r="AG3343">
        <v>-1.03049317</v>
      </c>
      <c r="AH3343">
        <v>81.207968295625605</v>
      </c>
      <c r="AI3343">
        <v>90.722248687005006</v>
      </c>
      <c r="AJ3343">
        <v>96.567524274355804</v>
      </c>
      <c r="AK3343">
        <v>81.750890265566696</v>
      </c>
      <c r="AL3343">
        <v>87.1245273337383</v>
      </c>
      <c r="AM3343">
        <v>90.253881817446199</v>
      </c>
      <c r="AN3343">
        <v>0.99999998116879996</v>
      </c>
    </row>
    <row r="3344" spans="1:40" x14ac:dyDescent="0.25">
      <c r="A3344" t="str">
        <f>"20190312150725795"</f>
        <v>20190312150725795</v>
      </c>
      <c r="B3344" t="str">
        <f>"1552374445783624"</f>
        <v>1552374445783624</v>
      </c>
      <c r="C3344" t="s">
        <v>40</v>
      </c>
      <c r="D3344">
        <v>4.5268059999999997</v>
      </c>
      <c r="E3344">
        <v>0.45910960000000001</v>
      </c>
      <c r="F3344" t="s">
        <v>68</v>
      </c>
      <c r="G3344">
        <v>-400.95490000000001</v>
      </c>
      <c r="H3344">
        <v>8.0001879999999997E-2</v>
      </c>
      <c r="I3344">
        <v>276.42290000000003</v>
      </c>
      <c r="J3344">
        <v>-320.00560000000002</v>
      </c>
      <c r="K3344">
        <v>1.110511</v>
      </c>
      <c r="L3344">
        <v>283.06150000000002</v>
      </c>
      <c r="M3344">
        <v>-0.99935169999999995</v>
      </c>
      <c r="N3344">
        <v>0</v>
      </c>
      <c r="O3344">
        <v>3.2724660000000003E-2</v>
      </c>
      <c r="P3344">
        <v>-0.99898410000000004</v>
      </c>
      <c r="Q3344">
        <v>3.5261569999999999E-2</v>
      </c>
      <c r="R3344">
        <v>2.8064019999999999E-2</v>
      </c>
      <c r="S3344">
        <v>-3.0114139999999998</v>
      </c>
      <c r="T3344">
        <v>-3.8241980000000002E-2</v>
      </c>
      <c r="U3344">
        <v>-0.24612429999999999</v>
      </c>
      <c r="V3344">
        <v>-4.6745279999999998E-3</v>
      </c>
      <c r="W3344">
        <v>5.0256839999999997E-2</v>
      </c>
      <c r="X3344">
        <v>0.99872539999999999</v>
      </c>
      <c r="Y3344">
        <v>-0.114023</v>
      </c>
      <c r="Z3344">
        <v>-1.1377480000000001E-3</v>
      </c>
      <c r="AA3344">
        <v>0.99347750000000001</v>
      </c>
      <c r="AB3344">
        <v>39</v>
      </c>
      <c r="AC3344">
        <v>-80.949299999999994</v>
      </c>
      <c r="AD3344">
        <v>-1.0305091200000001</v>
      </c>
      <c r="AE3344">
        <v>-6.6385999999999896</v>
      </c>
      <c r="AF3344">
        <v>-9.2828860098652601</v>
      </c>
      <c r="AG3344">
        <v>-1.0305091200000001</v>
      </c>
      <c r="AH3344">
        <v>80.675676770797097</v>
      </c>
      <c r="AI3344">
        <v>90.727030162202993</v>
      </c>
      <c r="AJ3344">
        <v>96.563829416855199</v>
      </c>
      <c r="AK3344">
        <v>81.214522987854096</v>
      </c>
      <c r="AL3344">
        <v>87.119281682178595</v>
      </c>
      <c r="AM3344">
        <v>90.268170580071597</v>
      </c>
      <c r="AN3344">
        <v>1.0000000128919799</v>
      </c>
    </row>
    <row r="3345" spans="1:40" x14ac:dyDescent="0.25">
      <c r="A3345" t="str">
        <f>"20190312150725807"</f>
        <v>20190312150725807</v>
      </c>
      <c r="B3345" t="str">
        <f>"1552374445803144"</f>
        <v>1552374445803144</v>
      </c>
      <c r="C3345" t="s">
        <v>40</v>
      </c>
      <c r="D3345">
        <v>4.4813280000000004</v>
      </c>
      <c r="E3345">
        <v>0.45925159999999998</v>
      </c>
      <c r="F3345" t="s">
        <v>68</v>
      </c>
      <c r="G3345">
        <v>-400.29989999999998</v>
      </c>
      <c r="H3345">
        <v>8.0001970000000006E-2</v>
      </c>
      <c r="I3345">
        <v>276.48020000000002</v>
      </c>
      <c r="J3345">
        <v>-320.2174</v>
      </c>
      <c r="K3345">
        <v>1.110522</v>
      </c>
      <c r="L3345">
        <v>283.0684</v>
      </c>
      <c r="M3345">
        <v>-0.99935660000000004</v>
      </c>
      <c r="N3345">
        <v>0</v>
      </c>
      <c r="O3345">
        <v>3.2577460000000003E-2</v>
      </c>
      <c r="P3345">
        <v>-0.99899539999999998</v>
      </c>
      <c r="Q3345">
        <v>3.5037099999999897E-2</v>
      </c>
      <c r="R3345">
        <v>2.7940619999999999E-2</v>
      </c>
      <c r="S3345">
        <v>-3.0113530000000002</v>
      </c>
      <c r="T3345">
        <v>-3.8648130000000003E-2</v>
      </c>
      <c r="U3345">
        <v>-0.2468262</v>
      </c>
      <c r="V3345">
        <v>-4.6517210000000002E-3</v>
      </c>
      <c r="W3345">
        <v>5.0030619999999998E-2</v>
      </c>
      <c r="X3345">
        <v>0.99873690000000004</v>
      </c>
      <c r="Y3345">
        <v>-0.1141081</v>
      </c>
      <c r="Z3345">
        <v>-1.148502E-3</v>
      </c>
      <c r="AA3345">
        <v>0.99346769999999995</v>
      </c>
      <c r="AB3345">
        <v>39</v>
      </c>
      <c r="AC3345">
        <v>-80.082499999999897</v>
      </c>
      <c r="AD3345">
        <v>-1.0305200299999999</v>
      </c>
      <c r="AE3345">
        <v>-6.5881999999999703</v>
      </c>
      <c r="AF3345">
        <v>-9.1923684558308008</v>
      </c>
      <c r="AG3345">
        <v>-1.0305200299999999</v>
      </c>
      <c r="AH3345">
        <v>79.812205385493797</v>
      </c>
      <c r="AI3345">
        <v>90.734893425501298</v>
      </c>
      <c r="AJ3345">
        <v>96.570090463094303</v>
      </c>
      <c r="AK3345">
        <v>80.346435750792594</v>
      </c>
      <c r="AL3345">
        <v>87.132259561179097</v>
      </c>
      <c r="AM3345">
        <v>90.266859123296697</v>
      </c>
      <c r="AN3345">
        <v>1.0000000484337199</v>
      </c>
    </row>
    <row r="3346" spans="1:40" x14ac:dyDescent="0.25">
      <c r="A3346" t="str">
        <f>"20190312150725817"</f>
        <v>20190312150725817</v>
      </c>
      <c r="B3346" t="str">
        <f>"1552374445813879"</f>
        <v>1552374445813879</v>
      </c>
      <c r="C3346" t="s">
        <v>40</v>
      </c>
      <c r="D3346">
        <v>4.3302319999999996</v>
      </c>
      <c r="E3346">
        <v>0.45930759999999998</v>
      </c>
      <c r="F3346" t="s">
        <v>67</v>
      </c>
      <c r="G3346">
        <v>-394.70240000000001</v>
      </c>
      <c r="H3346">
        <v>8.0000080000000001E-2</v>
      </c>
      <c r="I3346">
        <v>276.98050000000001</v>
      </c>
      <c r="J3346">
        <v>-320.41059999999999</v>
      </c>
      <c r="K3346">
        <v>1.11053</v>
      </c>
      <c r="L3346">
        <v>283.07459999999998</v>
      </c>
      <c r="M3346">
        <v>-0.99936119999999995</v>
      </c>
      <c r="N3346">
        <v>0</v>
      </c>
      <c r="O3346">
        <v>3.2435499999999999E-2</v>
      </c>
      <c r="P3346">
        <v>-0.99900310000000003</v>
      </c>
      <c r="Q3346">
        <v>3.5263370000000002E-2</v>
      </c>
      <c r="R3346">
        <v>2.7379130000000002E-2</v>
      </c>
      <c r="S3346">
        <v>-3.0113530000000002</v>
      </c>
      <c r="T3346">
        <v>-4.1662930000000001E-2</v>
      </c>
      <c r="U3346">
        <v>-0.24612429999999999</v>
      </c>
      <c r="V3346">
        <v>-5.0721780000000001E-3</v>
      </c>
      <c r="W3346">
        <v>5.0254930000000003E-2</v>
      </c>
      <c r="X3346">
        <v>0.99872360000000004</v>
      </c>
      <c r="Y3346">
        <v>-0.11373510000000001</v>
      </c>
      <c r="Z3346">
        <v>-1.2335580000000001E-3</v>
      </c>
      <c r="AA3346">
        <v>0.99351040000000002</v>
      </c>
      <c r="AB3346">
        <v>39</v>
      </c>
      <c r="AC3346">
        <v>-74.291799999999995</v>
      </c>
      <c r="AD3346">
        <v>-1.03052992</v>
      </c>
      <c r="AE3346">
        <v>-6.0940999999999601</v>
      </c>
      <c r="AF3346">
        <v>-8.4992312707149296</v>
      </c>
      <c r="AG3346">
        <v>-1.03052992</v>
      </c>
      <c r="AH3346">
        <v>74.040862331570693</v>
      </c>
      <c r="AI3346">
        <v>90.792212029252596</v>
      </c>
      <c r="AJ3346">
        <v>96.548382675982594</v>
      </c>
      <c r="AK3346">
        <v>74.534208380526294</v>
      </c>
      <c r="AL3346">
        <v>87.119391382994493</v>
      </c>
      <c r="AM3346">
        <v>90.290983304882602</v>
      </c>
      <c r="AN3346">
        <v>1.0000000570879599</v>
      </c>
    </row>
    <row r="3347" spans="1:40" x14ac:dyDescent="0.25">
      <c r="A3347" t="str">
        <f>"20190312150725830"</f>
        <v>20190312150725830</v>
      </c>
      <c r="B3347" t="str">
        <f>"1552374445823639"</f>
        <v>1552374445823639</v>
      </c>
      <c r="C3347" t="s">
        <v>40</v>
      </c>
      <c r="D3347">
        <v>4.469894</v>
      </c>
      <c r="E3347">
        <v>0.4593641</v>
      </c>
      <c r="F3347" t="s">
        <v>67</v>
      </c>
      <c r="G3347">
        <v>-394.39789999999999</v>
      </c>
      <c r="H3347">
        <v>8.0000169999999995E-2</v>
      </c>
      <c r="I3347">
        <v>276.99650000000003</v>
      </c>
      <c r="J3347">
        <v>-320.61520000000002</v>
      </c>
      <c r="K3347">
        <v>1.1105449999999999</v>
      </c>
      <c r="L3347">
        <v>283.08109999999999</v>
      </c>
      <c r="M3347">
        <v>-0.99936619999999998</v>
      </c>
      <c r="N3347">
        <v>0</v>
      </c>
      <c r="O3347">
        <v>3.2281320000000002E-2</v>
      </c>
      <c r="P3347">
        <v>-0.99901099999999998</v>
      </c>
      <c r="Q3347">
        <v>3.5126280000000003E-2</v>
      </c>
      <c r="R3347">
        <v>2.7267E-2</v>
      </c>
      <c r="S3347">
        <v>-3.0112610000000002</v>
      </c>
      <c r="T3347">
        <v>-4.1942239999999999E-2</v>
      </c>
      <c r="U3347">
        <v>-0.2473755</v>
      </c>
      <c r="V3347">
        <v>-5.0312589999999997E-3</v>
      </c>
      <c r="W3347">
        <v>5.0116819999999999E-2</v>
      </c>
      <c r="X3347">
        <v>0.99873069999999997</v>
      </c>
      <c r="Y3347">
        <v>-0.1139941</v>
      </c>
      <c r="Z3347">
        <v>-1.2415E-3</v>
      </c>
      <c r="AA3347">
        <v>0.99348060000000005</v>
      </c>
      <c r="AB3347">
        <v>39</v>
      </c>
      <c r="AC3347">
        <v>-73.782699999999906</v>
      </c>
      <c r="AD3347">
        <v>-1.03054483</v>
      </c>
      <c r="AE3347">
        <v>-6.08459999999996</v>
      </c>
      <c r="AF3347">
        <v>-8.4618595779789807</v>
      </c>
      <c r="AG3347">
        <v>-1.03054483</v>
      </c>
      <c r="AH3347">
        <v>73.533547995704495</v>
      </c>
      <c r="AI3347">
        <v>90.7976627351524</v>
      </c>
      <c r="AJ3347">
        <v>96.564427110589094</v>
      </c>
      <c r="AK3347">
        <v>74.025993887287001</v>
      </c>
      <c r="AL3347">
        <v>87.127314351700093</v>
      </c>
      <c r="AM3347">
        <v>90.288633830729196</v>
      </c>
      <c r="AN3347">
        <v>1.00000001016826</v>
      </c>
    </row>
    <row r="3348" spans="1:40" x14ac:dyDescent="0.25">
      <c r="A3348" t="str">
        <f>"20190312150725842"</f>
        <v>20190312150725842</v>
      </c>
      <c r="B3348" t="str">
        <f>"1552374445833400"</f>
        <v>1552374445833400</v>
      </c>
      <c r="C3348" t="s">
        <v>40</v>
      </c>
      <c r="D3348">
        <v>4.5482339999999999</v>
      </c>
      <c r="E3348">
        <v>0.45940120000000001</v>
      </c>
      <c r="F3348" t="s">
        <v>67</v>
      </c>
      <c r="G3348">
        <v>-394.03320000000002</v>
      </c>
      <c r="H3348">
        <v>8.0000280000000007E-2</v>
      </c>
      <c r="I3348">
        <v>277.05200000000002</v>
      </c>
      <c r="J3348">
        <v>-320.84500000000003</v>
      </c>
      <c r="K3348">
        <v>1.110557</v>
      </c>
      <c r="L3348">
        <v>283.08839999999998</v>
      </c>
      <c r="M3348">
        <v>-0.99937189999999998</v>
      </c>
      <c r="N3348">
        <v>0</v>
      </c>
      <c r="O3348">
        <v>3.2102680000000001E-2</v>
      </c>
      <c r="P3348">
        <v>-0.99902690000000005</v>
      </c>
      <c r="Q3348">
        <v>3.4985259999999997E-2</v>
      </c>
      <c r="R3348">
        <v>2.6862469999999999E-2</v>
      </c>
      <c r="S3348">
        <v>-3.0112299999999999</v>
      </c>
      <c r="T3348">
        <v>-4.2267680000000002E-2</v>
      </c>
      <c r="U3348">
        <v>-0.2472839</v>
      </c>
      <c r="V3348">
        <v>-5.2589350000000002E-3</v>
      </c>
      <c r="W3348">
        <v>4.9973469999999999E-2</v>
      </c>
      <c r="X3348">
        <v>0.99873670000000003</v>
      </c>
      <c r="Y3348">
        <v>-0.11378720000000001</v>
      </c>
      <c r="Z3348">
        <v>-1.247193E-3</v>
      </c>
      <c r="AA3348">
        <v>0.99350430000000001</v>
      </c>
      <c r="AB3348">
        <v>39</v>
      </c>
      <c r="AC3348">
        <v>-73.188199999999995</v>
      </c>
      <c r="AD3348">
        <v>-1.0305567200000001</v>
      </c>
      <c r="AE3348">
        <v>-6.0363999999999498</v>
      </c>
      <c r="AF3348">
        <v>-8.38143941119408</v>
      </c>
      <c r="AG3348">
        <v>-1.0305567200000001</v>
      </c>
      <c r="AH3348">
        <v>72.942297404045505</v>
      </c>
      <c r="AI3348">
        <v>90.804152294910097</v>
      </c>
      <c r="AJ3348">
        <v>96.554827954427907</v>
      </c>
      <c r="AK3348">
        <v>73.429485387934406</v>
      </c>
      <c r="AL3348">
        <v>87.135537977101393</v>
      </c>
      <c r="AM3348">
        <v>90.301693124411898</v>
      </c>
      <c r="AN3348">
        <v>1.0000000000140301</v>
      </c>
    </row>
    <row r="3349" spans="1:40" x14ac:dyDescent="0.25">
      <c r="A3349" t="str">
        <f>"20190312150725854"</f>
        <v>20190312150725854</v>
      </c>
      <c r="B3349" t="str">
        <f>"1552374445843159"</f>
        <v>1552374445843159</v>
      </c>
      <c r="C3349" t="s">
        <v>40</v>
      </c>
      <c r="D3349">
        <v>4.5592169999999896</v>
      </c>
      <c r="E3349">
        <v>0.4594683</v>
      </c>
      <c r="F3349" t="s">
        <v>67</v>
      </c>
      <c r="G3349">
        <v>-393.13369999999998</v>
      </c>
      <c r="H3349">
        <v>8.0000539999999995E-2</v>
      </c>
      <c r="I3349">
        <v>277.13200000000001</v>
      </c>
      <c r="J3349">
        <v>-321.04599999999999</v>
      </c>
      <c r="K3349">
        <v>1.110565</v>
      </c>
      <c r="L3349">
        <v>283.09469999999999</v>
      </c>
      <c r="M3349">
        <v>-0.99937730000000002</v>
      </c>
      <c r="N3349">
        <v>0</v>
      </c>
      <c r="O3349">
        <v>3.1938679999999997E-2</v>
      </c>
      <c r="P3349">
        <v>-0.99902999999999997</v>
      </c>
      <c r="Q3349">
        <v>3.4956340000000002E-2</v>
      </c>
      <c r="R3349">
        <v>2.6783100000000001E-2</v>
      </c>
      <c r="S3349">
        <v>-3.011139</v>
      </c>
      <c r="T3349">
        <v>-4.2927149999999997E-2</v>
      </c>
      <c r="U3349">
        <v>-0.24810789999999999</v>
      </c>
      <c r="V3349">
        <v>-5.1756019999999996E-3</v>
      </c>
      <c r="W3349">
        <v>4.9943469999999997E-2</v>
      </c>
      <c r="X3349">
        <v>0.99873860000000003</v>
      </c>
      <c r="Y3349">
        <v>-0.1138962</v>
      </c>
      <c r="Z3349">
        <v>-1.265115E-3</v>
      </c>
      <c r="AA3349">
        <v>0.99349180000000004</v>
      </c>
      <c r="AB3349">
        <v>39</v>
      </c>
      <c r="AC3349">
        <v>-72.087699999999899</v>
      </c>
      <c r="AD3349">
        <v>-1.0305644599999999</v>
      </c>
      <c r="AE3349">
        <v>-5.9626999999999803</v>
      </c>
      <c r="AF3349">
        <v>-8.2606254992219199</v>
      </c>
      <c r="AG3349">
        <v>-1.0305644599999999</v>
      </c>
      <c r="AH3349">
        <v>71.845868839530695</v>
      </c>
      <c r="AI3349">
        <v>90.816422154137996</v>
      </c>
      <c r="AJ3349">
        <v>96.5588981855866</v>
      </c>
      <c r="AK3349">
        <v>72.326543302245895</v>
      </c>
      <c r="AL3349">
        <v>87.137258896609893</v>
      </c>
      <c r="AM3349">
        <v>90.296912021420695</v>
      </c>
      <c r="AN3349">
        <v>0.99999996409083103</v>
      </c>
    </row>
    <row r="3350" spans="1:40" x14ac:dyDescent="0.25">
      <c r="A3350" t="str">
        <f>"20190312150725868"</f>
        <v>20190312150725868</v>
      </c>
      <c r="B3350" t="str">
        <f>"1552374445863655"</f>
        <v>1552374445863655</v>
      </c>
      <c r="C3350" t="s">
        <v>40</v>
      </c>
      <c r="D3350">
        <v>4.5060500000000001</v>
      </c>
      <c r="E3350">
        <v>0.45959630000000001</v>
      </c>
      <c r="F3350" t="s">
        <v>67</v>
      </c>
      <c r="G3350">
        <v>-392.08819999999997</v>
      </c>
      <c r="H3350">
        <v>8.0000840000000004E-2</v>
      </c>
      <c r="I3350">
        <v>277.24310000000003</v>
      </c>
      <c r="J3350">
        <v>-321.27719999999999</v>
      </c>
      <c r="K3350">
        <v>1.1105780000000001</v>
      </c>
      <c r="L3350">
        <v>283.1019</v>
      </c>
      <c r="M3350">
        <v>-0.99938340000000003</v>
      </c>
      <c r="N3350">
        <v>0</v>
      </c>
      <c r="O3350">
        <v>3.1746040000000003E-2</v>
      </c>
      <c r="P3350">
        <v>-0.9990424</v>
      </c>
      <c r="Q3350">
        <v>3.4899399999999997E-2</v>
      </c>
      <c r="R3350">
        <v>2.638886E-2</v>
      </c>
      <c r="S3350">
        <v>-3.0111080000000001</v>
      </c>
      <c r="T3350">
        <v>-4.3680190000000001E-2</v>
      </c>
      <c r="U3350">
        <v>-0.2480164</v>
      </c>
      <c r="V3350">
        <v>-5.3789689999999999E-3</v>
      </c>
      <c r="W3350">
        <v>4.9884419999999999E-2</v>
      </c>
      <c r="X3350">
        <v>0.99874050000000003</v>
      </c>
      <c r="Y3350">
        <v>-0.113675</v>
      </c>
      <c r="Z3350">
        <v>-1.2829289999999999E-3</v>
      </c>
      <c r="AA3350">
        <v>0.99351719999999999</v>
      </c>
      <c r="AB3350">
        <v>39</v>
      </c>
      <c r="AC3350">
        <v>-70.810999999999893</v>
      </c>
      <c r="AD3350">
        <v>-1.03057716</v>
      </c>
      <c r="AE3350">
        <v>-5.8587999999999703</v>
      </c>
      <c r="AF3350">
        <v>-8.1023635520782396</v>
      </c>
      <c r="AG3350">
        <v>-1.03057716</v>
      </c>
      <c r="AH3350">
        <v>70.5744391041938</v>
      </c>
      <c r="AI3350">
        <v>90.831154681652905</v>
      </c>
      <c r="AJ3350">
        <v>96.549221450065403</v>
      </c>
      <c r="AK3350">
        <v>71.045491336778895</v>
      </c>
      <c r="AL3350">
        <v>87.140646502003904</v>
      </c>
      <c r="AM3350">
        <v>90.308577895901806</v>
      </c>
      <c r="AN3350">
        <v>0.99999998750324404</v>
      </c>
    </row>
    <row r="3351" spans="1:40" x14ac:dyDescent="0.25">
      <c r="A3351" t="str">
        <f>"20190312150725883"</f>
        <v>20190312150725883</v>
      </c>
      <c r="B3351" t="str">
        <f>"1552374445873416"</f>
        <v>1552374445873416</v>
      </c>
      <c r="C3351" t="s">
        <v>40</v>
      </c>
      <c r="D3351">
        <v>4.4833559999999997</v>
      </c>
      <c r="E3351">
        <v>0.45962130000000001</v>
      </c>
      <c r="F3351" t="s">
        <v>67</v>
      </c>
      <c r="G3351">
        <v>-390.0496</v>
      </c>
      <c r="H3351">
        <v>8.0001439999999993E-2</v>
      </c>
      <c r="I3351">
        <v>277.4393</v>
      </c>
      <c r="J3351">
        <v>-321.53660000000002</v>
      </c>
      <c r="K3351">
        <v>1.11059</v>
      </c>
      <c r="L3351">
        <v>283.11</v>
      </c>
      <c r="M3351">
        <v>-0.99939069999999997</v>
      </c>
      <c r="N3351">
        <v>0</v>
      </c>
      <c r="O3351">
        <v>3.1522109999999999E-2</v>
      </c>
      <c r="P3351">
        <v>-0.99904550000000003</v>
      </c>
      <c r="Q3351">
        <v>3.4916019999999999E-2</v>
      </c>
      <c r="R3351">
        <v>2.6260249999999999E-2</v>
      </c>
      <c r="S3351">
        <v>-3.0110169999999998</v>
      </c>
      <c r="T3351">
        <v>-4.5121069999999999E-2</v>
      </c>
      <c r="U3351">
        <v>-0.2479248</v>
      </c>
      <c r="V3351">
        <v>-5.2846710000000003E-3</v>
      </c>
      <c r="W3351">
        <v>4.9898699999999997E-2</v>
      </c>
      <c r="X3351">
        <v>0.99874030000000003</v>
      </c>
      <c r="Y3351">
        <v>-0.11342389999999999</v>
      </c>
      <c r="Z3351">
        <v>-1.320056E-3</v>
      </c>
      <c r="AA3351">
        <v>0.99354580000000003</v>
      </c>
      <c r="AB3351">
        <v>39</v>
      </c>
      <c r="AC3351">
        <v>-68.512999999999906</v>
      </c>
      <c r="AD3351">
        <v>-1.03058856</v>
      </c>
      <c r="AE3351">
        <v>-5.6707000000000098</v>
      </c>
      <c r="AF3351">
        <v>-7.8260394784820404</v>
      </c>
      <c r="AG3351">
        <v>-1.03058856</v>
      </c>
      <c r="AH3351">
        <v>68.284827039835207</v>
      </c>
      <c r="AI3351">
        <v>90.859048128723202</v>
      </c>
      <c r="AJ3351">
        <v>96.538071709085898</v>
      </c>
      <c r="AK3351">
        <v>68.739556374470297</v>
      </c>
      <c r="AL3351">
        <v>87.139827326465195</v>
      </c>
      <c r="AM3351">
        <v>90.303168419864704</v>
      </c>
      <c r="AN3351">
        <v>0.999999997426679</v>
      </c>
    </row>
    <row r="3352" spans="1:40" x14ac:dyDescent="0.25">
      <c r="A3352" t="str">
        <f>"20190312150725899"</f>
        <v>20190312150725899</v>
      </c>
      <c r="B3352" t="str">
        <f>"1552374445893911"</f>
        <v>1552374445893911</v>
      </c>
      <c r="C3352" t="s">
        <v>40</v>
      </c>
      <c r="D3352">
        <v>4.5353469999999998</v>
      </c>
      <c r="E3352">
        <v>0.45970949999999999</v>
      </c>
      <c r="F3352" t="s">
        <v>67</v>
      </c>
      <c r="G3352">
        <v>-389.142</v>
      </c>
      <c r="H3352">
        <v>8.000024E-2</v>
      </c>
      <c r="I3352">
        <v>277.53719999999998</v>
      </c>
      <c r="J3352">
        <v>-321.80470000000003</v>
      </c>
      <c r="K3352">
        <v>1.1106020000000001</v>
      </c>
      <c r="L3352">
        <v>283.1182</v>
      </c>
      <c r="M3352">
        <v>-0.99939820000000001</v>
      </c>
      <c r="N3352">
        <v>0</v>
      </c>
      <c r="O3352">
        <v>3.1282209999999998E-2</v>
      </c>
      <c r="P3352">
        <v>-0.99905849999999996</v>
      </c>
      <c r="Q3352">
        <v>3.4794369999999998E-2</v>
      </c>
      <c r="R3352">
        <v>2.5920539999999999E-2</v>
      </c>
      <c r="S3352">
        <v>-3.0109859999999999</v>
      </c>
      <c r="T3352">
        <v>-4.5900110000000001E-2</v>
      </c>
      <c r="U3352">
        <v>-0.24819949999999999</v>
      </c>
      <c r="V3352">
        <v>-5.3856669999999898E-3</v>
      </c>
      <c r="W3352">
        <v>4.9774400000000003E-2</v>
      </c>
      <c r="X3352">
        <v>0.99874600000000002</v>
      </c>
      <c r="Y3352">
        <v>-0.11327570000000001</v>
      </c>
      <c r="Z3352">
        <v>-1.3380740000000001E-3</v>
      </c>
      <c r="AA3352">
        <v>0.99356270000000002</v>
      </c>
      <c r="AB3352">
        <v>39</v>
      </c>
      <c r="AC3352">
        <v>-67.3372999999999</v>
      </c>
      <c r="AD3352">
        <v>-1.0306017599999999</v>
      </c>
      <c r="AE3352">
        <v>-5.5810000000000102</v>
      </c>
      <c r="AF3352">
        <v>-7.68317675144585</v>
      </c>
      <c r="AG3352">
        <v>-1.0306017599999999</v>
      </c>
      <c r="AH3352">
        <v>67.114117653452297</v>
      </c>
      <c r="AI3352">
        <v>90.874054669994706</v>
      </c>
      <c r="AJ3352">
        <v>96.530749768522696</v>
      </c>
      <c r="AK3352">
        <v>67.560329583144494</v>
      </c>
      <c r="AL3352">
        <v>87.146958158216805</v>
      </c>
      <c r="AM3352">
        <v>90.308960434445595</v>
      </c>
      <c r="AN3352">
        <v>1.00000003441019</v>
      </c>
    </row>
    <row r="3353" spans="1:40" x14ac:dyDescent="0.25">
      <c r="A3353" t="str">
        <f>"20190312150725913"</f>
        <v>20190312150725913</v>
      </c>
      <c r="B3353" t="str">
        <f>"1552374445903672"</f>
        <v>1552374445903672</v>
      </c>
      <c r="C3353" t="s">
        <v>40</v>
      </c>
      <c r="D3353">
        <v>4.3537679999999996</v>
      </c>
      <c r="E3353">
        <v>0.4597755</v>
      </c>
      <c r="F3353" t="s">
        <v>67</v>
      </c>
      <c r="G3353">
        <v>-387.80880000000002</v>
      </c>
      <c r="H3353">
        <v>8.0000639999999998E-2</v>
      </c>
      <c r="I3353">
        <v>277.66590000000002</v>
      </c>
      <c r="J3353">
        <v>-322.05759999999998</v>
      </c>
      <c r="K3353">
        <v>1.110611</v>
      </c>
      <c r="L3353">
        <v>283.1259</v>
      </c>
      <c r="M3353">
        <v>-0.9994054</v>
      </c>
      <c r="N3353">
        <v>0</v>
      </c>
      <c r="O3353">
        <v>3.1050069999999999E-2</v>
      </c>
      <c r="P3353">
        <v>-0.99906759999999994</v>
      </c>
      <c r="Q3353">
        <v>3.46319E-2</v>
      </c>
      <c r="R3353">
        <v>2.5787959999999999E-2</v>
      </c>
      <c r="S3353">
        <v>-3.0109249999999999</v>
      </c>
      <c r="T3353">
        <v>-4.7013159999999998E-2</v>
      </c>
      <c r="U3353">
        <v>-0.2487183</v>
      </c>
      <c r="V3353">
        <v>-5.2871289999999998E-3</v>
      </c>
      <c r="W3353">
        <v>4.960962E-2</v>
      </c>
      <c r="X3353">
        <v>0.9987547</v>
      </c>
      <c r="Y3353">
        <v>-0.11321580000000001</v>
      </c>
      <c r="Z3353">
        <v>-1.36645E-3</v>
      </c>
      <c r="AA3353">
        <v>0.99356949999999999</v>
      </c>
      <c r="AB3353">
        <v>39</v>
      </c>
      <c r="AC3353">
        <v>-65.751199999999997</v>
      </c>
      <c r="AD3353">
        <v>-1.0306103600000001</v>
      </c>
      <c r="AE3353">
        <v>-5.4599999999999804</v>
      </c>
      <c r="AF3353">
        <v>-7.4973461914567601</v>
      </c>
      <c r="AG3353">
        <v>-1.0306103600000001</v>
      </c>
      <c r="AH3353">
        <v>65.533946648716807</v>
      </c>
      <c r="AI3353">
        <v>90.895141786834699</v>
      </c>
      <c r="AJ3353">
        <v>96.526492038819399</v>
      </c>
      <c r="AK3353">
        <v>65.969466581029394</v>
      </c>
      <c r="AL3353">
        <v>87.156410963605595</v>
      </c>
      <c r="AM3353">
        <v>90.303305053552194</v>
      </c>
      <c r="AN3353">
        <v>1.0000000094508401</v>
      </c>
    </row>
    <row r="3354" spans="1:40" x14ac:dyDescent="0.25">
      <c r="A3354" t="str">
        <f>"20190312150725927"</f>
        <v>20190312150725927</v>
      </c>
      <c r="B3354" t="str">
        <f>"1552374445923193"</f>
        <v>1552374445923193</v>
      </c>
      <c r="C3354" t="s">
        <v>40</v>
      </c>
      <c r="D3354">
        <v>4.2729599999999897</v>
      </c>
      <c r="E3354">
        <v>0.45983669999999999</v>
      </c>
      <c r="F3354" t="s">
        <v>67</v>
      </c>
      <c r="G3354">
        <v>-386.70850000000002</v>
      </c>
      <c r="H3354">
        <v>8.0000950000000001E-2</v>
      </c>
      <c r="I3354">
        <v>277.79320000000001</v>
      </c>
      <c r="J3354">
        <v>-322.30430000000001</v>
      </c>
      <c r="K3354">
        <v>1.1106210000000001</v>
      </c>
      <c r="L3354">
        <v>283.13330000000002</v>
      </c>
      <c r="M3354">
        <v>-0.99941270000000004</v>
      </c>
      <c r="N3354">
        <v>0</v>
      </c>
      <c r="O3354">
        <v>3.0818729999999999E-2</v>
      </c>
      <c r="P3354">
        <v>-0.99908019999999997</v>
      </c>
      <c r="Q3354">
        <v>3.4497189999999997E-2</v>
      </c>
      <c r="R3354">
        <v>2.5475629999999999E-2</v>
      </c>
      <c r="S3354">
        <v>-3.0108640000000002</v>
      </c>
      <c r="T3354">
        <v>-4.799664E-2</v>
      </c>
      <c r="U3354">
        <v>-0.24835209999999999</v>
      </c>
      <c r="V3354">
        <v>-5.3700319999999899E-3</v>
      </c>
      <c r="W3354">
        <v>4.9472460000000003E-2</v>
      </c>
      <c r="X3354">
        <v>0.99876109999999896</v>
      </c>
      <c r="Y3354">
        <v>-0.1128668</v>
      </c>
      <c r="Z3354">
        <v>-1.3886059999999999E-3</v>
      </c>
      <c r="AA3354">
        <v>0.99360910000000002</v>
      </c>
      <c r="AB3354">
        <v>39</v>
      </c>
      <c r="AC3354">
        <v>-64.404200000000003</v>
      </c>
      <c r="AD3354">
        <v>-1.03062004999999</v>
      </c>
      <c r="AE3354">
        <v>-5.3400999999999996</v>
      </c>
      <c r="AF3354">
        <v>-7.3207794043796302</v>
      </c>
      <c r="AG3354">
        <v>-1.03062004999999</v>
      </c>
      <c r="AH3354">
        <v>64.192680963919898</v>
      </c>
      <c r="AI3354">
        <v>90.913887769298697</v>
      </c>
      <c r="AJ3354">
        <v>96.506121295353196</v>
      </c>
      <c r="AK3354">
        <v>64.616996820578507</v>
      </c>
      <c r="AL3354">
        <v>87.1642794242847</v>
      </c>
      <c r="AM3354">
        <v>90.308058858730504</v>
      </c>
      <c r="AN3354">
        <v>1.0000000482076701</v>
      </c>
    </row>
    <row r="3355" spans="1:40" x14ac:dyDescent="0.25">
      <c r="A3355" t="str">
        <f>"20190312150725941"</f>
        <v>20190312150725941</v>
      </c>
      <c r="B3355" t="str">
        <f>"1552374445933459"</f>
        <v>1552374445933459</v>
      </c>
      <c r="C3355" t="s">
        <v>40</v>
      </c>
      <c r="D3355">
        <v>4.2603960000000001</v>
      </c>
      <c r="E3355">
        <v>0.45984700000000001</v>
      </c>
      <c r="F3355" t="s">
        <v>67</v>
      </c>
      <c r="G3355">
        <v>-384.42009999999999</v>
      </c>
      <c r="H3355">
        <v>8.0000169999999995E-2</v>
      </c>
      <c r="I3355">
        <v>277.99650000000003</v>
      </c>
      <c r="J3355">
        <v>-322.54559999999998</v>
      </c>
      <c r="K3355">
        <v>1.110625</v>
      </c>
      <c r="L3355">
        <v>283.14060000000001</v>
      </c>
      <c r="M3355">
        <v>-0.99941979999999997</v>
      </c>
      <c r="N3355">
        <v>0</v>
      </c>
      <c r="O3355">
        <v>3.0587570000000001E-2</v>
      </c>
      <c r="P3355">
        <v>-0.99908079999999999</v>
      </c>
      <c r="Q3355">
        <v>3.4617349999999998E-2</v>
      </c>
      <c r="R3355">
        <v>2.5293079999999999E-2</v>
      </c>
      <c r="S3355">
        <v>-3.0108640000000002</v>
      </c>
      <c r="T3355">
        <v>-4.9955960000000001E-2</v>
      </c>
      <c r="U3355">
        <v>-0.24899289999999999</v>
      </c>
      <c r="V3355">
        <v>-5.3218999999999897E-3</v>
      </c>
      <c r="W3355">
        <v>4.9590080000000002E-2</v>
      </c>
      <c r="X3355">
        <v>0.99875550000000002</v>
      </c>
      <c r="Y3355">
        <v>-0.1128455</v>
      </c>
      <c r="Z3355">
        <v>-1.4412660000000001E-3</v>
      </c>
      <c r="AA3355">
        <v>0.99361149999999998</v>
      </c>
      <c r="AB3355">
        <v>39</v>
      </c>
      <c r="AC3355">
        <v>-61.874499999999998</v>
      </c>
      <c r="AD3355">
        <v>-1.03062483</v>
      </c>
      <c r="AE3355">
        <v>-5.1440999999999804</v>
      </c>
      <c r="AF3355">
        <v>-7.0325577742239602</v>
      </c>
      <c r="AG3355">
        <v>-1.03062483</v>
      </c>
      <c r="AH3355">
        <v>61.6711857258978</v>
      </c>
      <c r="AI3355">
        <v>90.951251917376297</v>
      </c>
      <c r="AJ3355">
        <v>96.505515398432294</v>
      </c>
      <c r="AK3355">
        <v>62.079418531637202</v>
      </c>
      <c r="AL3355">
        <v>87.157531943397103</v>
      </c>
      <c r="AM3355">
        <v>90.305299468315795</v>
      </c>
      <c r="AN3355">
        <v>1.00000002371713</v>
      </c>
    </row>
    <row r="3356" spans="1:40" x14ac:dyDescent="0.25">
      <c r="A3356" t="str">
        <f>"20190312150725953"</f>
        <v>20190312150725953</v>
      </c>
      <c r="B3356" t="str">
        <f>"1552374445943220"</f>
        <v>1552374445943220</v>
      </c>
      <c r="C3356" t="s">
        <v>40</v>
      </c>
      <c r="D3356">
        <v>4.2709109999999999</v>
      </c>
      <c r="E3356">
        <v>0.45989079999999899</v>
      </c>
      <c r="F3356" t="s">
        <v>67</v>
      </c>
      <c r="G3356">
        <v>-384.1574</v>
      </c>
      <c r="H3356">
        <v>8.000024E-2</v>
      </c>
      <c r="I3356">
        <v>278.03480000000002</v>
      </c>
      <c r="J3356">
        <v>-322.76369999999997</v>
      </c>
      <c r="K3356">
        <v>1.110633</v>
      </c>
      <c r="L3356">
        <v>283.14710000000002</v>
      </c>
      <c r="M3356">
        <v>-0.99942609999999998</v>
      </c>
      <c r="N3356">
        <v>0</v>
      </c>
      <c r="O3356">
        <v>3.037552E-2</v>
      </c>
      <c r="P3356">
        <v>-0.9990926</v>
      </c>
      <c r="Q3356">
        <v>3.4528540000000003E-2</v>
      </c>
      <c r="R3356">
        <v>2.4936199999999999E-2</v>
      </c>
      <c r="S3356">
        <v>-3.010834</v>
      </c>
      <c r="T3356">
        <v>-5.036438E-2</v>
      </c>
      <c r="U3356">
        <v>-0.2495117</v>
      </c>
      <c r="V3356">
        <v>-5.4676550000000001E-3</v>
      </c>
      <c r="W3356">
        <v>4.9499130000000002E-2</v>
      </c>
      <c r="X3356">
        <v>0.99875919999999896</v>
      </c>
      <c r="Y3356">
        <v>-0.1128053</v>
      </c>
      <c r="Z3356">
        <v>-1.4491739999999999E-3</v>
      </c>
      <c r="AA3356">
        <v>0.99361600000000005</v>
      </c>
      <c r="AB3356">
        <v>39</v>
      </c>
      <c r="AC3356">
        <v>-61.393700000000003</v>
      </c>
      <c r="AD3356">
        <v>-1.03063276</v>
      </c>
      <c r="AE3356">
        <v>-5.1123000000000003</v>
      </c>
      <c r="AF3356">
        <v>-6.9730640790634002</v>
      </c>
      <c r="AG3356">
        <v>-1.03063276</v>
      </c>
      <c r="AH3356">
        <v>61.1929315531426</v>
      </c>
      <c r="AI3356">
        <v>90.958701169655498</v>
      </c>
      <c r="AJ3356">
        <v>96.500933740023896</v>
      </c>
      <c r="AK3356">
        <v>61.597570557647003</v>
      </c>
      <c r="AL3356">
        <v>87.162749332737306</v>
      </c>
      <c r="AM3356">
        <v>90.313659614681001</v>
      </c>
      <c r="AN3356">
        <v>0.99999999935329698</v>
      </c>
    </row>
    <row r="3357" spans="1:40" x14ac:dyDescent="0.25">
      <c r="A3357" t="str">
        <f>"20190312150725966"</f>
        <v>20190312150725966</v>
      </c>
      <c r="B3357" t="str">
        <f>"1552374445953956"</f>
        <v>1552374445953956</v>
      </c>
      <c r="C3357" t="s">
        <v>40</v>
      </c>
      <c r="D3357">
        <v>4.3236309999999998</v>
      </c>
      <c r="E3357">
        <v>0.45989079999999899</v>
      </c>
      <c r="F3357" t="s">
        <v>67</v>
      </c>
      <c r="G3357">
        <v>-383.86660000000001</v>
      </c>
      <c r="H3357">
        <v>8.0000329999999995E-2</v>
      </c>
      <c r="I3357">
        <v>278.0677</v>
      </c>
      <c r="J3357">
        <v>-322.97109999999998</v>
      </c>
      <c r="K3357">
        <v>1.1106370000000001</v>
      </c>
      <c r="L3357">
        <v>283.15320000000003</v>
      </c>
      <c r="M3357">
        <v>-0.9994324</v>
      </c>
      <c r="N3357">
        <v>0</v>
      </c>
      <c r="O3357">
        <v>3.0172060000000001E-2</v>
      </c>
      <c r="P3357">
        <v>-0.99909250000000005</v>
      </c>
      <c r="Q3357">
        <v>3.4673799999999998E-2</v>
      </c>
      <c r="R3357">
        <v>2.4736520000000001E-2</v>
      </c>
      <c r="S3357">
        <v>-3.0106809999999999</v>
      </c>
      <c r="T3357">
        <v>-5.0781609999999998E-2</v>
      </c>
      <c r="U3357">
        <v>-0.25027470000000002</v>
      </c>
      <c r="V3357">
        <v>-5.4652340000000002E-3</v>
      </c>
      <c r="W3357">
        <v>4.9642480000000003E-2</v>
      </c>
      <c r="X3357">
        <v>0.99875210000000003</v>
      </c>
      <c r="Y3357">
        <v>-0.1128569</v>
      </c>
      <c r="Z3357">
        <v>-1.458244E-3</v>
      </c>
      <c r="AA3357">
        <v>0.9936102</v>
      </c>
      <c r="AB3357">
        <v>39</v>
      </c>
      <c r="AC3357">
        <v>-60.895499999999998</v>
      </c>
      <c r="AD3357">
        <v>-1.03063667</v>
      </c>
      <c r="AE3357">
        <v>-5.0855000000000201</v>
      </c>
      <c r="AF3357">
        <v>-6.9187650136598</v>
      </c>
      <c r="AG3357">
        <v>-1.03063667</v>
      </c>
      <c r="AH3357">
        <v>60.697046084829701</v>
      </c>
      <c r="AI3357">
        <v>90.966531840780803</v>
      </c>
      <c r="AJ3357">
        <v>96.502991409180495</v>
      </c>
      <c r="AK3357">
        <v>61.098796425819401</v>
      </c>
      <c r="AL3357">
        <v>87.154525877395201</v>
      </c>
      <c r="AM3357">
        <v>90.3135229621642</v>
      </c>
      <c r="AN3357">
        <v>1.0000000009288099</v>
      </c>
    </row>
    <row r="3358" spans="1:40" x14ac:dyDescent="0.25">
      <c r="A3358" t="str">
        <f>"20190312150725978"</f>
        <v>20190312150725978</v>
      </c>
      <c r="B3358" t="str">
        <f>"1552374445973476"</f>
        <v>1552374445973476</v>
      </c>
      <c r="C3358" t="s">
        <v>40</v>
      </c>
      <c r="D3358">
        <v>4.3077300000000003</v>
      </c>
      <c r="E3358">
        <v>0.4863864</v>
      </c>
      <c r="F3358" t="s">
        <v>67</v>
      </c>
      <c r="G3358">
        <v>-384.68470000000002</v>
      </c>
      <c r="H3358">
        <v>8.0000089999999996E-2</v>
      </c>
      <c r="I3358">
        <v>278.0136</v>
      </c>
      <c r="J3358">
        <v>-323.18360000000001</v>
      </c>
      <c r="K3358">
        <v>1.110644</v>
      </c>
      <c r="L3358">
        <v>283.15949999999998</v>
      </c>
      <c r="M3358">
        <v>-0.99943870000000001</v>
      </c>
      <c r="N3358">
        <v>0</v>
      </c>
      <c r="O3358">
        <v>2.9960440000000001E-2</v>
      </c>
      <c r="P3358">
        <v>-0.99910290000000002</v>
      </c>
      <c r="Q3358">
        <v>3.4487549999999999E-2</v>
      </c>
      <c r="R3358">
        <v>2.4571039999999999E-2</v>
      </c>
      <c r="S3358">
        <v>-3.0106510000000002</v>
      </c>
      <c r="T3358">
        <v>-5.0278900000000001E-2</v>
      </c>
      <c r="U3358">
        <v>-0.25073240000000002</v>
      </c>
      <c r="V3358">
        <v>-5.4200419999999999E-3</v>
      </c>
      <c r="W3358">
        <v>4.9453879999999999E-2</v>
      </c>
      <c r="X3358">
        <v>0.99876169999999997</v>
      </c>
      <c r="Y3358">
        <v>-0.11279790000000001</v>
      </c>
      <c r="Z3358">
        <v>-1.439795E-3</v>
      </c>
      <c r="AA3358">
        <v>0.99361690000000003</v>
      </c>
      <c r="AB3358">
        <v>39</v>
      </c>
      <c r="AC3358">
        <v>-61.501100000000001</v>
      </c>
      <c r="AD3358">
        <v>-1.03064391</v>
      </c>
      <c r="AE3358">
        <v>-5.1458999999999797</v>
      </c>
      <c r="AF3358">
        <v>-6.9844485960903704</v>
      </c>
      <c r="AG3358">
        <v>-1.03064391</v>
      </c>
      <c r="AH3358">
        <v>61.302198169967703</v>
      </c>
      <c r="AI3358">
        <v>90.957004898155304</v>
      </c>
      <c r="AJ3358">
        <v>96.4999495830223</v>
      </c>
      <c r="AK3358">
        <v>61.707408384493398</v>
      </c>
      <c r="AL3358">
        <v>87.165345142741003</v>
      </c>
      <c r="AM3358">
        <v>90.310927504470698</v>
      </c>
      <c r="AN3358">
        <v>0.99999999824461305</v>
      </c>
    </row>
    <row r="3359" spans="1:40" x14ac:dyDescent="0.25">
      <c r="A3359" t="str">
        <f>"20190312150725994"</f>
        <v>20190312150725994</v>
      </c>
      <c r="B3359" t="str">
        <f>"1552374445983236"</f>
        <v>1552374445983236</v>
      </c>
      <c r="C3359" t="s">
        <v>40</v>
      </c>
      <c r="D3359">
        <v>4.2437310000000004</v>
      </c>
      <c r="E3359">
        <v>0.48917769999999999</v>
      </c>
      <c r="F3359" t="s">
        <v>48</v>
      </c>
      <c r="G3359">
        <v>0</v>
      </c>
      <c r="H3359">
        <v>0</v>
      </c>
      <c r="I3359">
        <v>0</v>
      </c>
      <c r="J3359">
        <v>-323.45679999999999</v>
      </c>
      <c r="K3359">
        <v>1.110652</v>
      </c>
      <c r="L3359">
        <v>283.16739999999999</v>
      </c>
      <c r="M3359">
        <v>-0.99944710000000003</v>
      </c>
      <c r="N3359">
        <v>0</v>
      </c>
      <c r="O3359">
        <v>2.9685389999999999E-2</v>
      </c>
      <c r="P3359">
        <v>-0.99911300000000003</v>
      </c>
      <c r="Q3359">
        <v>3.4448390000000002E-2</v>
      </c>
      <c r="R3359">
        <v>2.4229819999999999E-2</v>
      </c>
      <c r="S3359">
        <v>-3.0035099999999999</v>
      </c>
      <c r="T3359">
        <v>3.678083E-3</v>
      </c>
      <c r="U3359">
        <v>-3.823853E-2</v>
      </c>
      <c r="V3359">
        <v>-5.4862519999999996E-3</v>
      </c>
      <c r="W3359">
        <v>4.941197E-2</v>
      </c>
      <c r="X3359">
        <v>0.99876339999999997</v>
      </c>
      <c r="Y3359">
        <v>-4.2410900000000001E-2</v>
      </c>
      <c r="Z3359" s="1">
        <v>6.2319929999999995E-5</v>
      </c>
      <c r="AA3359">
        <v>0.99910030000000005</v>
      </c>
      <c r="AB3359">
        <v>39</v>
      </c>
      <c r="AC3359">
        <v>-3.0035099999999999</v>
      </c>
      <c r="AD3359">
        <v>3.678083E-3</v>
      </c>
      <c r="AE3359">
        <v>-3.823853E-2</v>
      </c>
      <c r="AF3359">
        <v>-0.127391848655482</v>
      </c>
      <c r="AG3359">
        <v>3.678083E-3</v>
      </c>
      <c r="AH3359">
        <v>3.0010462784909602</v>
      </c>
      <c r="AI3359">
        <v>89.929841496625599</v>
      </c>
      <c r="AJ3359">
        <v>92.430697571636401</v>
      </c>
      <c r="AK3359">
        <v>3.0037511509848498</v>
      </c>
      <c r="AL3359">
        <v>87.167749311897595</v>
      </c>
      <c r="AM3359">
        <v>90.314725112502202</v>
      </c>
      <c r="AN3359">
        <v>0.99999998545992397</v>
      </c>
    </row>
    <row r="3360" spans="1:40" x14ac:dyDescent="0.25">
      <c r="A3360" t="str">
        <f>"20190312150726007"</f>
        <v>20190312150726007</v>
      </c>
      <c r="B3360" t="str">
        <f>"1552374446003732"</f>
        <v>1552374446003732</v>
      </c>
      <c r="C3360" t="s">
        <v>40</v>
      </c>
      <c r="D3360">
        <v>4.1821089999999996</v>
      </c>
      <c r="E3360">
        <v>0.49190240000000002</v>
      </c>
      <c r="F3360" t="s">
        <v>48</v>
      </c>
      <c r="G3360">
        <v>0</v>
      </c>
      <c r="H3360">
        <v>0</v>
      </c>
      <c r="I3360">
        <v>0</v>
      </c>
      <c r="J3360">
        <v>-323.6635</v>
      </c>
      <c r="K3360">
        <v>1.1106590000000001</v>
      </c>
      <c r="L3360">
        <v>283.17329999999998</v>
      </c>
      <c r="M3360">
        <v>-0.99945329999999999</v>
      </c>
      <c r="N3360">
        <v>0</v>
      </c>
      <c r="O3360">
        <v>2.947576E-2</v>
      </c>
      <c r="P3360">
        <v>-0.99912999999999996</v>
      </c>
      <c r="Q3360">
        <v>3.4075250000000001E-2</v>
      </c>
      <c r="R3360">
        <v>2.405123E-2</v>
      </c>
      <c r="S3360">
        <v>-3.0032040000000002</v>
      </c>
      <c r="T3360">
        <v>-3.2416580000000001E-3</v>
      </c>
      <c r="U3360">
        <v>-1.724243E-2</v>
      </c>
      <c r="V3360">
        <v>-5.4563499999999996E-3</v>
      </c>
      <c r="W3360">
        <v>4.9036690000000001E-2</v>
      </c>
      <c r="X3360">
        <v>0.99878210000000001</v>
      </c>
      <c r="Y3360">
        <v>-3.5217289999999998E-2</v>
      </c>
      <c r="Z3360" s="1">
        <v>-5.0823250000000002E-5</v>
      </c>
      <c r="AA3360">
        <v>0.99937969999999998</v>
      </c>
      <c r="AB3360">
        <v>38</v>
      </c>
      <c r="AC3360">
        <v>-3.0032040000000002</v>
      </c>
      <c r="AD3360">
        <v>-3.2416580000000001E-3</v>
      </c>
      <c r="AE3360">
        <v>-1.724243E-2</v>
      </c>
      <c r="AF3360">
        <v>-0.105766462040233</v>
      </c>
      <c r="AG3360">
        <v>-3.2416580000000001E-3</v>
      </c>
      <c r="AH3360">
        <v>3.0013870136754002</v>
      </c>
      <c r="AI3360">
        <v>90.061844085580304</v>
      </c>
      <c r="AJ3360">
        <v>92.018222009544004</v>
      </c>
      <c r="AK3360">
        <v>3.0032517474728002</v>
      </c>
      <c r="AL3360">
        <v>87.189277483948899</v>
      </c>
      <c r="AM3360">
        <v>90.313003924036906</v>
      </c>
      <c r="AN3360">
        <v>1.0000000260009401</v>
      </c>
    </row>
    <row r="3361" spans="1:40" x14ac:dyDescent="0.25">
      <c r="A3361" t="str">
        <f>"20190312150726019"</f>
        <v>20190312150726019</v>
      </c>
      <c r="B3361" t="str">
        <f>"1552374446013493"</f>
        <v>1552374446013493</v>
      </c>
      <c r="C3361" t="s">
        <v>40</v>
      </c>
      <c r="D3361">
        <v>4.2131889999999999</v>
      </c>
      <c r="E3361">
        <v>0.49278159999999999</v>
      </c>
      <c r="F3361" t="s">
        <v>48</v>
      </c>
      <c r="G3361">
        <v>0</v>
      </c>
      <c r="H3361">
        <v>0</v>
      </c>
      <c r="I3361">
        <v>0</v>
      </c>
      <c r="J3361">
        <v>-323.89139999999998</v>
      </c>
      <c r="K3361">
        <v>1.1106640000000001</v>
      </c>
      <c r="L3361">
        <v>283.17989999999998</v>
      </c>
      <c r="M3361">
        <v>-0.99946029999999997</v>
      </c>
      <c r="N3361">
        <v>0</v>
      </c>
      <c r="O3361">
        <v>2.9241329999999999E-2</v>
      </c>
      <c r="P3361">
        <v>-0.99912889999999999</v>
      </c>
      <c r="Q3361">
        <v>3.4308180000000001E-2</v>
      </c>
      <c r="R3361">
        <v>2.376112E-2</v>
      </c>
      <c r="S3361">
        <v>-3.0025940000000002</v>
      </c>
      <c r="T3361">
        <v>-2.6643280000000001E-3</v>
      </c>
      <c r="U3361">
        <v>4.1503909999999998E-3</v>
      </c>
      <c r="V3361">
        <v>-5.5129619999999997E-3</v>
      </c>
      <c r="W3361">
        <v>4.9267199999999997E-2</v>
      </c>
      <c r="X3361">
        <v>0.99877039999999995</v>
      </c>
      <c r="Y3361">
        <v>-2.786288E-2</v>
      </c>
      <c r="Z3361" s="1">
        <v>-3.8308980000000001E-5</v>
      </c>
      <c r="AA3361">
        <v>0.99961169999999999</v>
      </c>
      <c r="AB3361">
        <v>38</v>
      </c>
      <c r="AC3361">
        <v>-3.0025940000000002</v>
      </c>
      <c r="AD3361">
        <v>-2.6643280000000001E-3</v>
      </c>
      <c r="AE3361">
        <v>4.1503909999999998E-3</v>
      </c>
      <c r="AF3361">
        <v>-8.3660997899080103E-2</v>
      </c>
      <c r="AG3361">
        <v>-2.6643280000000001E-3</v>
      </c>
      <c r="AH3361">
        <v>3.00142875889822</v>
      </c>
      <c r="AI3361">
        <v>90.050840934183299</v>
      </c>
      <c r="AJ3361">
        <v>91.596633352028405</v>
      </c>
      <c r="AK3361">
        <v>3.0025956863944399</v>
      </c>
      <c r="AL3361">
        <v>87.176054123713797</v>
      </c>
      <c r="AM3361">
        <v>90.316255114632298</v>
      </c>
      <c r="AN3361">
        <v>0.99999998083100605</v>
      </c>
    </row>
    <row r="3362" spans="1:40" x14ac:dyDescent="0.25">
      <c r="A3362" t="str">
        <f>"20190312150726031"</f>
        <v>20190312150726031</v>
      </c>
      <c r="B3362" t="str">
        <f>"1552374446023252"</f>
        <v>1552374446023252</v>
      </c>
      <c r="C3362" t="s">
        <v>40</v>
      </c>
      <c r="D3362">
        <v>4.3422450000000001</v>
      </c>
      <c r="E3362">
        <v>0.49339149999999998</v>
      </c>
      <c r="F3362" t="s">
        <v>48</v>
      </c>
      <c r="G3362">
        <v>0</v>
      </c>
      <c r="H3362">
        <v>0</v>
      </c>
      <c r="I3362">
        <v>0</v>
      </c>
      <c r="J3362">
        <v>-324.08449999999999</v>
      </c>
      <c r="K3362">
        <v>1.1106659999999999</v>
      </c>
      <c r="L3362">
        <v>283.18540000000002</v>
      </c>
      <c r="M3362">
        <v>-0.99946619999999997</v>
      </c>
      <c r="N3362">
        <v>0</v>
      </c>
      <c r="O3362">
        <v>2.9041299999999999E-2</v>
      </c>
      <c r="P3362">
        <v>-0.99913620000000003</v>
      </c>
      <c r="Q3362">
        <v>3.4268060000000003E-2</v>
      </c>
      <c r="R3362">
        <v>2.351278E-2</v>
      </c>
      <c r="S3362">
        <v>-3.0022280000000001</v>
      </c>
      <c r="T3362">
        <v>2.6761290000000002E-3</v>
      </c>
      <c r="U3362">
        <v>1.0406489999999999E-2</v>
      </c>
      <c r="V3362">
        <v>-5.5615509999999996E-3</v>
      </c>
      <c r="W3362">
        <v>4.9224810000000001E-2</v>
      </c>
      <c r="X3362">
        <v>0.99877229999999995</v>
      </c>
      <c r="Y3362">
        <v>-2.5579580000000001E-2</v>
      </c>
      <c r="Z3362" s="1">
        <v>3.7287170000000002E-5</v>
      </c>
      <c r="AA3362">
        <v>0.99967280000000003</v>
      </c>
      <c r="AB3362">
        <v>38</v>
      </c>
      <c r="AC3362">
        <v>-3.0022280000000001</v>
      </c>
      <c r="AD3362">
        <v>2.6761290000000002E-3</v>
      </c>
      <c r="AE3362">
        <v>1.0406489999999999E-2</v>
      </c>
      <c r="AF3362">
        <v>-7.6796206495128194E-2</v>
      </c>
      <c r="AG3362">
        <v>2.6761290000000002E-3</v>
      </c>
      <c r="AH3362">
        <v>3.0012612812566402</v>
      </c>
      <c r="AI3362">
        <v>89.948927910461805</v>
      </c>
      <c r="AJ3362">
        <v>91.465763279511904</v>
      </c>
      <c r="AK3362">
        <v>3.0022448430080999</v>
      </c>
      <c r="AL3362">
        <v>87.178486065888606</v>
      </c>
      <c r="AM3362">
        <v>90.3190417940299</v>
      </c>
      <c r="AN3362">
        <v>1.00000006000817</v>
      </c>
    </row>
    <row r="3363" spans="1:40" x14ac:dyDescent="0.25">
      <c r="A3363" t="str">
        <f>"20190312150726042"</f>
        <v>20190312150726042</v>
      </c>
      <c r="B3363" t="str">
        <f>"1552374446033521"</f>
        <v>1552374446033521</v>
      </c>
      <c r="C3363" t="s">
        <v>40</v>
      </c>
      <c r="D3363">
        <v>4.1957409999999999</v>
      </c>
      <c r="E3363">
        <v>0.4938612</v>
      </c>
      <c r="F3363" t="s">
        <v>48</v>
      </c>
      <c r="G3363">
        <v>0</v>
      </c>
      <c r="H3363">
        <v>0</v>
      </c>
      <c r="I3363">
        <v>0</v>
      </c>
      <c r="J3363">
        <v>-324.2835</v>
      </c>
      <c r="K3363">
        <v>1.1106720000000001</v>
      </c>
      <c r="L3363">
        <v>283.1909</v>
      </c>
      <c r="M3363">
        <v>-0.99947209999999997</v>
      </c>
      <c r="N3363">
        <v>0</v>
      </c>
      <c r="O3363">
        <v>2.8833890000000001E-2</v>
      </c>
      <c r="P3363">
        <v>-0.99913810000000003</v>
      </c>
      <c r="Q3363">
        <v>3.4252869999999998E-2</v>
      </c>
      <c r="R3363">
        <v>2.3453439999999999E-2</v>
      </c>
      <c r="S3363">
        <v>-3.002014</v>
      </c>
      <c r="T3363">
        <v>7.1477889999999999E-3</v>
      </c>
      <c r="U3363">
        <v>1.4709470000000001E-2</v>
      </c>
      <c r="V3363">
        <v>-5.4139169999999999E-3</v>
      </c>
      <c r="W3363">
        <v>4.920766E-2</v>
      </c>
      <c r="X3363">
        <v>0.99877389999999999</v>
      </c>
      <c r="Y3363">
        <v>-2.3938850000000001E-2</v>
      </c>
      <c r="Z3363" s="1">
        <v>9.7151219999999994E-5</v>
      </c>
      <c r="AA3363">
        <v>0.99971339999999997</v>
      </c>
      <c r="AB3363">
        <v>38</v>
      </c>
      <c r="AC3363">
        <v>-3.002014</v>
      </c>
      <c r="AD3363">
        <v>7.1477889999999999E-3</v>
      </c>
      <c r="AE3363">
        <v>1.4709470000000001E-2</v>
      </c>
      <c r="AF3363">
        <v>-7.1865683232858496E-2</v>
      </c>
      <c r="AG3363">
        <v>7.1477889999999999E-3</v>
      </c>
      <c r="AH3363">
        <v>3.0011726986914402</v>
      </c>
      <c r="AI3363">
        <v>89.863579991913497</v>
      </c>
      <c r="AJ3363">
        <v>91.371734987652999</v>
      </c>
      <c r="AK3363">
        <v>3.0020415278082</v>
      </c>
      <c r="AL3363">
        <v>87.179469722052104</v>
      </c>
      <c r="AM3363">
        <v>90.310572349447199</v>
      </c>
      <c r="AN3363">
        <v>1.0000000038105801</v>
      </c>
    </row>
    <row r="3364" spans="1:40" x14ac:dyDescent="0.25">
      <c r="A3364" t="str">
        <f>"20190312150726054"</f>
        <v>20190312150726054</v>
      </c>
      <c r="B3364" t="str">
        <f>"1552374446043281"</f>
        <v>1552374446043281</v>
      </c>
      <c r="C3364" t="s">
        <v>40</v>
      </c>
      <c r="D3364">
        <v>4.1909070000000002</v>
      </c>
      <c r="E3364">
        <v>0.49423270000000002</v>
      </c>
      <c r="F3364" t="s">
        <v>48</v>
      </c>
      <c r="G3364">
        <v>0</v>
      </c>
      <c r="H3364">
        <v>0</v>
      </c>
      <c r="I3364">
        <v>0</v>
      </c>
      <c r="J3364">
        <v>-324.49079999999998</v>
      </c>
      <c r="K3364">
        <v>1.1106780000000001</v>
      </c>
      <c r="L3364">
        <v>283.19670000000002</v>
      </c>
      <c r="M3364">
        <v>-0.99947830000000004</v>
      </c>
      <c r="N3364">
        <v>0</v>
      </c>
      <c r="O3364">
        <v>2.8614190000000001E-2</v>
      </c>
      <c r="P3364">
        <v>-0.9991525</v>
      </c>
      <c r="Q3364">
        <v>3.4086100000000001E-2</v>
      </c>
      <c r="R3364">
        <v>2.306948E-2</v>
      </c>
      <c r="S3364">
        <v>-3.0018009999999999</v>
      </c>
      <c r="T3364">
        <v>1.0409E-2</v>
      </c>
      <c r="U3364">
        <v>1.824951E-2</v>
      </c>
      <c r="V3364">
        <v>-5.5792230000000003E-3</v>
      </c>
      <c r="W3364">
        <v>4.903859E-2</v>
      </c>
      <c r="X3364">
        <v>0.99878129999999998</v>
      </c>
      <c r="Y3364">
        <v>-2.2539650000000001E-2</v>
      </c>
      <c r="Z3364">
        <v>1.3829829999999999E-4</v>
      </c>
      <c r="AA3364">
        <v>0.99974600000000002</v>
      </c>
      <c r="AB3364">
        <v>38</v>
      </c>
      <c r="AC3364">
        <v>-3.0018009999999999</v>
      </c>
      <c r="AD3364">
        <v>1.0409E-2</v>
      </c>
      <c r="AE3364">
        <v>1.824951E-2</v>
      </c>
      <c r="AF3364">
        <v>-6.7660891970429404E-2</v>
      </c>
      <c r="AG3364">
        <v>1.0409E-2</v>
      </c>
      <c r="AH3364">
        <v>3.0010577470718802</v>
      </c>
      <c r="AI3364">
        <v>89.801324095711607</v>
      </c>
      <c r="AJ3364">
        <v>91.291553587264701</v>
      </c>
      <c r="AK3364">
        <v>3.0018384275046102</v>
      </c>
      <c r="AL3364">
        <v>87.189168412452503</v>
      </c>
      <c r="AM3364">
        <v>90.320052654170098</v>
      </c>
      <c r="AN3364">
        <v>0.99999999813408003</v>
      </c>
    </row>
    <row r="3365" spans="1:40" x14ac:dyDescent="0.25">
      <c r="A3365" t="str">
        <f>"20190312150726066"</f>
        <v>20190312150726066</v>
      </c>
      <c r="B3365" t="str">
        <f>"1552374446063777"</f>
        <v>1552374446063777</v>
      </c>
      <c r="C3365" t="s">
        <v>40</v>
      </c>
      <c r="D3365">
        <v>4.1603000000000003</v>
      </c>
      <c r="E3365">
        <v>0.49483100000000002</v>
      </c>
      <c r="F3365" t="s">
        <v>48</v>
      </c>
      <c r="G3365">
        <v>0</v>
      </c>
      <c r="H3365">
        <v>0</v>
      </c>
      <c r="I3365">
        <v>0</v>
      </c>
      <c r="J3365">
        <v>-324.69490000000002</v>
      </c>
      <c r="K3365">
        <v>1.110681</v>
      </c>
      <c r="L3365">
        <v>283.20240000000001</v>
      </c>
      <c r="M3365">
        <v>-0.9994847</v>
      </c>
      <c r="N3365">
        <v>0</v>
      </c>
      <c r="O3365">
        <v>2.8396459999999998E-2</v>
      </c>
      <c r="P3365">
        <v>-0.9991487</v>
      </c>
      <c r="Q3365">
        <v>3.4501660000000003E-2</v>
      </c>
      <c r="R3365">
        <v>2.2628539999999999E-2</v>
      </c>
      <c r="S3365">
        <v>-3.0016780000000001</v>
      </c>
      <c r="T3365">
        <v>1.168776E-2</v>
      </c>
      <c r="U3365">
        <v>2.035522E-2</v>
      </c>
      <c r="V3365">
        <v>-5.8024690000000002E-3</v>
      </c>
      <c r="W3365">
        <v>4.9451500000000002E-2</v>
      </c>
      <c r="X3365">
        <v>0.99875970000000003</v>
      </c>
      <c r="Y3365">
        <v>-2.1620219999999999E-2</v>
      </c>
      <c r="Z3365">
        <v>1.5265639999999901E-4</v>
      </c>
      <c r="AA3365">
        <v>0.99976620000000005</v>
      </c>
      <c r="AB3365">
        <v>38</v>
      </c>
      <c r="AC3365">
        <v>-3.0016780000000001</v>
      </c>
      <c r="AD3365">
        <v>1.168776E-2</v>
      </c>
      <c r="AE3365">
        <v>2.035522E-2</v>
      </c>
      <c r="AF3365">
        <v>-6.4898582772088001E-2</v>
      </c>
      <c r="AG3365">
        <v>1.168776E-2</v>
      </c>
      <c r="AH3365">
        <v>3.0009998539427798</v>
      </c>
      <c r="AI3365">
        <v>89.776907885830198</v>
      </c>
      <c r="AJ3365">
        <v>91.238865568293704</v>
      </c>
      <c r="AK3365">
        <v>3.0017242633433598</v>
      </c>
      <c r="AL3365">
        <v>87.165481760771598</v>
      </c>
      <c r="AM3365">
        <v>90.332866097954295</v>
      </c>
      <c r="AN3365">
        <v>1.0000000289214099</v>
      </c>
    </row>
    <row r="3366" spans="1:40" x14ac:dyDescent="0.25">
      <c r="A3366" t="str">
        <f>"20190312150726078"</f>
        <v>20190312150726078</v>
      </c>
      <c r="B3366" t="str">
        <f>"1552374446073537"</f>
        <v>1552374446073537</v>
      </c>
      <c r="C3366" t="s">
        <v>40</v>
      </c>
      <c r="D3366">
        <v>4.1773369999999996</v>
      </c>
      <c r="E3366">
        <v>0.4950155</v>
      </c>
      <c r="F3366" t="s">
        <v>48</v>
      </c>
      <c r="G3366">
        <v>0</v>
      </c>
      <c r="H3366">
        <v>0</v>
      </c>
      <c r="I3366">
        <v>0</v>
      </c>
      <c r="J3366">
        <v>-324.8931</v>
      </c>
      <c r="K3366">
        <v>1.110687</v>
      </c>
      <c r="L3366">
        <v>283.2079</v>
      </c>
      <c r="M3366">
        <v>-0.99949089999999996</v>
      </c>
      <c r="N3366">
        <v>0</v>
      </c>
      <c r="O3366">
        <v>2.8180859999999999E-2</v>
      </c>
      <c r="P3366">
        <v>-0.99917869999999998</v>
      </c>
      <c r="Q3366">
        <v>3.392672E-2</v>
      </c>
      <c r="R3366">
        <v>2.2164150000000001E-2</v>
      </c>
      <c r="S3366">
        <v>-3.0014340000000002</v>
      </c>
      <c r="T3366">
        <v>1.713932E-2</v>
      </c>
      <c r="U3366">
        <v>2.3864750000000001E-2</v>
      </c>
      <c r="V3366">
        <v>-6.052193E-3</v>
      </c>
      <c r="W3366">
        <v>4.8874750000000002E-2</v>
      </c>
      <c r="X3366">
        <v>0.99878659999999997</v>
      </c>
      <c r="Y3366">
        <v>-2.023463E-2</v>
      </c>
      <c r="Z3366">
        <v>2.1868920000000001E-4</v>
      </c>
      <c r="AA3366">
        <v>0.99979530000000005</v>
      </c>
      <c r="AB3366">
        <v>38</v>
      </c>
      <c r="AC3366">
        <v>-3.0014340000000002</v>
      </c>
      <c r="AD3366">
        <v>1.713932E-2</v>
      </c>
      <c r="AE3366">
        <v>2.3864750000000001E-2</v>
      </c>
      <c r="AF3366">
        <v>-6.0735206806834301E-2</v>
      </c>
      <c r="AG3366">
        <v>1.713932E-2</v>
      </c>
      <c r="AH3366">
        <v>3.0008164444791099</v>
      </c>
      <c r="AI3366">
        <v>89.672822722496306</v>
      </c>
      <c r="AJ3366">
        <v>91.159483105493194</v>
      </c>
      <c r="AK3366">
        <v>3.0014799441429201</v>
      </c>
      <c r="AL3366">
        <v>87.198567087742205</v>
      </c>
      <c r="AM3366">
        <v>90.347182142419101</v>
      </c>
      <c r="AN3366">
        <v>1.00000002128361</v>
      </c>
    </row>
    <row r="3367" spans="1:40" x14ac:dyDescent="0.25">
      <c r="A3367" t="str">
        <f>"20190312150726091"</f>
        <v>20190312150726091</v>
      </c>
      <c r="B3367" t="str">
        <f>"1552374446083298"</f>
        <v>1552374446083298</v>
      </c>
      <c r="C3367" t="s">
        <v>40</v>
      </c>
      <c r="D3367">
        <v>4.1551489999999998</v>
      </c>
      <c r="E3367">
        <v>0.49526140000000002</v>
      </c>
      <c r="F3367" t="s">
        <v>48</v>
      </c>
      <c r="G3367">
        <v>0</v>
      </c>
      <c r="H3367">
        <v>0</v>
      </c>
      <c r="I3367">
        <v>0</v>
      </c>
      <c r="J3367">
        <v>-325.09649999999999</v>
      </c>
      <c r="K3367">
        <v>1.110692</v>
      </c>
      <c r="L3367">
        <v>283.21339999999998</v>
      </c>
      <c r="M3367">
        <v>-0.99949719999999997</v>
      </c>
      <c r="N3367">
        <v>0</v>
      </c>
      <c r="O3367">
        <v>2.7957269999999999E-2</v>
      </c>
      <c r="P3367">
        <v>-0.99918660000000004</v>
      </c>
      <c r="Q3367">
        <v>3.389756E-2</v>
      </c>
      <c r="R3367">
        <v>2.1855010000000001E-2</v>
      </c>
      <c r="S3367">
        <v>-3.001312</v>
      </c>
      <c r="T3367">
        <v>1.7370699999999999E-2</v>
      </c>
      <c r="U3367">
        <v>2.39563E-2</v>
      </c>
      <c r="V3367">
        <v>-6.1384059999999999E-3</v>
      </c>
      <c r="W3367">
        <v>4.8842839999999998E-2</v>
      </c>
      <c r="X3367">
        <v>0.9987876</v>
      </c>
      <c r="Y3367">
        <v>-1.998014E-2</v>
      </c>
      <c r="Z3367">
        <v>2.1962030000000001E-4</v>
      </c>
      <c r="AA3367">
        <v>0.99980029999999998</v>
      </c>
      <c r="AB3367">
        <v>38</v>
      </c>
      <c r="AC3367">
        <v>-3.001312</v>
      </c>
      <c r="AD3367">
        <v>1.7370699999999999E-2</v>
      </c>
      <c r="AE3367">
        <v>2.39563E-2</v>
      </c>
      <c r="AF3367">
        <v>-5.9968935756910202E-2</v>
      </c>
      <c r="AG3367">
        <v>1.7370699999999999E-2</v>
      </c>
      <c r="AH3367">
        <v>3.0007078998596799</v>
      </c>
      <c r="AI3367">
        <v>89.6683922508835</v>
      </c>
      <c r="AJ3367">
        <v>91.144899705750305</v>
      </c>
      <c r="AK3367">
        <v>3.00135734539468</v>
      </c>
      <c r="AL3367">
        <v>87.200397484682398</v>
      </c>
      <c r="AM3367">
        <v>90.352127247767399</v>
      </c>
      <c r="AN3367">
        <v>0.99999998648062305</v>
      </c>
    </row>
    <row r="3368" spans="1:40" x14ac:dyDescent="0.25">
      <c r="A3368" t="str">
        <f>"20190312150726102"</f>
        <v>20190312150726102</v>
      </c>
      <c r="B3368" t="str">
        <f>"1552374446094034"</f>
        <v>1552374446094034</v>
      </c>
      <c r="C3368" t="s">
        <v>40</v>
      </c>
      <c r="D3368">
        <v>4.1410419999999997</v>
      </c>
      <c r="E3368">
        <v>0.495479</v>
      </c>
      <c r="F3368" t="s">
        <v>48</v>
      </c>
      <c r="G3368">
        <v>0</v>
      </c>
      <c r="H3368">
        <v>0</v>
      </c>
      <c r="I3368">
        <v>0</v>
      </c>
      <c r="J3368">
        <v>-325.32029999999997</v>
      </c>
      <c r="K3368">
        <v>1.1106940000000001</v>
      </c>
      <c r="L3368">
        <v>283.21949999999998</v>
      </c>
      <c r="M3368">
        <v>-0.99950410000000001</v>
      </c>
      <c r="N3368">
        <v>0</v>
      </c>
      <c r="O3368">
        <v>2.7708150000000001E-2</v>
      </c>
      <c r="P3368">
        <v>-0.99919619999999998</v>
      </c>
      <c r="Q3368">
        <v>3.3699260000000002E-2</v>
      </c>
      <c r="R3368">
        <v>2.1716780000000001E-2</v>
      </c>
      <c r="S3368">
        <v>-3.0012509999999999</v>
      </c>
      <c r="T3368">
        <v>1.8209820000000002E-2</v>
      </c>
      <c r="U3368">
        <v>2.5115970000000001E-2</v>
      </c>
      <c r="V3368">
        <v>-6.0284479999999996E-3</v>
      </c>
      <c r="W3368">
        <v>4.8642810000000002E-2</v>
      </c>
      <c r="X3368">
        <v>0.99879810000000002</v>
      </c>
      <c r="Y3368">
        <v>-1.9344429999999999E-2</v>
      </c>
      <c r="Z3368">
        <v>2.267937E-4</v>
      </c>
      <c r="AA3368">
        <v>0.99981279999999995</v>
      </c>
      <c r="AB3368">
        <v>38</v>
      </c>
      <c r="AC3368">
        <v>-3.0012509999999999</v>
      </c>
      <c r="AD3368">
        <v>1.8209820000000002E-2</v>
      </c>
      <c r="AE3368">
        <v>2.5115970000000001E-2</v>
      </c>
      <c r="AF3368">
        <v>-5.8059958541924299E-2</v>
      </c>
      <c r="AG3368">
        <v>1.8209820000000002E-2</v>
      </c>
      <c r="AH3368">
        <v>3.0006839653140198</v>
      </c>
      <c r="AI3368">
        <v>89.652366662363704</v>
      </c>
      <c r="AJ3368">
        <v>91.108472461021904</v>
      </c>
      <c r="AK3368">
        <v>3.0013008539669901</v>
      </c>
      <c r="AL3368">
        <v>87.211872189467698</v>
      </c>
      <c r="AM3368">
        <v>90.345816069510406</v>
      </c>
      <c r="AN3368">
        <v>1.00000005485679</v>
      </c>
    </row>
    <row r="3369" spans="1:40" x14ac:dyDescent="0.25">
      <c r="A3369" t="str">
        <f>"20190312150726118"</f>
        <v>20190312150726118</v>
      </c>
      <c r="B3369" t="str">
        <f>"1552374446113552"</f>
        <v>1552374446113552</v>
      </c>
      <c r="C3369" t="s">
        <v>40</v>
      </c>
      <c r="D3369">
        <v>4.157756</v>
      </c>
      <c r="E3369">
        <v>0.49575340000000001</v>
      </c>
      <c r="F3369" t="s">
        <v>48</v>
      </c>
      <c r="G3369">
        <v>0</v>
      </c>
      <c r="H3369">
        <v>0</v>
      </c>
      <c r="I3369">
        <v>0</v>
      </c>
      <c r="J3369">
        <v>-325.57530000000003</v>
      </c>
      <c r="K3369">
        <v>1.1107009999999999</v>
      </c>
      <c r="L3369">
        <v>283.22629999999998</v>
      </c>
      <c r="M3369">
        <v>-0.99951230000000002</v>
      </c>
      <c r="N3369">
        <v>0</v>
      </c>
      <c r="O3369">
        <v>2.7416449999999998E-2</v>
      </c>
      <c r="P3369">
        <v>-0.99918609999999997</v>
      </c>
      <c r="Q3369">
        <v>3.3856919999999999E-2</v>
      </c>
      <c r="R3369">
        <v>2.193546E-2</v>
      </c>
      <c r="S3369">
        <v>-3.0012509999999999</v>
      </c>
      <c r="T3369">
        <v>1.796114E-2</v>
      </c>
      <c r="U3369">
        <v>2.630615E-2</v>
      </c>
      <c r="V3369">
        <v>-5.5188040000000004E-3</v>
      </c>
      <c r="W3369">
        <v>4.8797599999999997E-2</v>
      </c>
      <c r="X3369">
        <v>0.99879340000000005</v>
      </c>
      <c r="Y3369">
        <v>-1.8656209999999999E-2</v>
      </c>
      <c r="Z3369">
        <v>2.1989150000000001E-4</v>
      </c>
      <c r="AA3369">
        <v>0.99982599999999999</v>
      </c>
      <c r="AB3369">
        <v>38</v>
      </c>
      <c r="AC3369">
        <v>-3.0012509999999999</v>
      </c>
      <c r="AD3369">
        <v>1.796114E-2</v>
      </c>
      <c r="AE3369">
        <v>2.630615E-2</v>
      </c>
      <c r="AF3369">
        <v>-5.5994580184579902E-2</v>
      </c>
      <c r="AG3369">
        <v>1.796114E-2</v>
      </c>
      <c r="AH3369">
        <v>3.0007364121288802</v>
      </c>
      <c r="AI3369">
        <v>89.657115464161095</v>
      </c>
      <c r="AJ3369">
        <v>91.069031190910593</v>
      </c>
      <c r="AK3369">
        <v>3.0013125479756799</v>
      </c>
      <c r="AL3369">
        <v>87.202992564553597</v>
      </c>
      <c r="AM3369">
        <v>90.316582948212101</v>
      </c>
      <c r="AN3369">
        <v>0.99999995942345399</v>
      </c>
    </row>
    <row r="3370" spans="1:40" x14ac:dyDescent="0.25">
      <c r="A3370" t="str">
        <f>"20190312150726140"</f>
        <v>20190312150726140</v>
      </c>
      <c r="B3370" t="str">
        <f>"1552374446133072"</f>
        <v>1552374446133072</v>
      </c>
      <c r="C3370" t="s">
        <v>40</v>
      </c>
      <c r="D3370">
        <v>4.1156739999999896</v>
      </c>
      <c r="E3370">
        <v>0.4960502</v>
      </c>
      <c r="F3370" t="s">
        <v>48</v>
      </c>
      <c r="G3370">
        <v>0</v>
      </c>
      <c r="H3370">
        <v>0</v>
      </c>
      <c r="I3370">
        <v>0</v>
      </c>
      <c r="J3370">
        <v>-325.95819999999998</v>
      </c>
      <c r="K3370">
        <v>1.110724</v>
      </c>
      <c r="L3370">
        <v>283.23630000000003</v>
      </c>
      <c r="M3370">
        <v>-0.99952450000000004</v>
      </c>
      <c r="N3370">
        <v>0</v>
      </c>
      <c r="O3370">
        <v>2.6966819999999999E-2</v>
      </c>
      <c r="P3370">
        <v>-0.99919610000000003</v>
      </c>
      <c r="Q3370">
        <v>3.3770340000000003E-2</v>
      </c>
      <c r="R3370">
        <v>2.160513E-2</v>
      </c>
      <c r="S3370">
        <v>-3.0011290000000002</v>
      </c>
      <c r="T3370">
        <v>2.001762E-2</v>
      </c>
      <c r="U3370">
        <v>2.9174800000000001E-2</v>
      </c>
      <c r="V3370">
        <v>-5.4011909999999996E-3</v>
      </c>
      <c r="W3370">
        <v>4.8707109999999998E-2</v>
      </c>
      <c r="X3370">
        <v>0.99879850000000003</v>
      </c>
      <c r="Y3370">
        <v>-1.72503E-2</v>
      </c>
      <c r="Z3370">
        <v>2.373892E-4</v>
      </c>
      <c r="AA3370">
        <v>0.99985119999999905</v>
      </c>
      <c r="AB3370">
        <v>38</v>
      </c>
      <c r="AC3370">
        <v>-3.0011290000000002</v>
      </c>
      <c r="AD3370">
        <v>2.001762E-2</v>
      </c>
      <c r="AE3370">
        <v>2.9174800000000001E-2</v>
      </c>
      <c r="AF3370">
        <v>-5.1773462945435403E-2</v>
      </c>
      <c r="AG3370">
        <v>2.001762E-2</v>
      </c>
      <c r="AH3370">
        <v>3.0006906863891798</v>
      </c>
      <c r="AI3370">
        <v>89.617842164624193</v>
      </c>
      <c r="AJ3370">
        <v>90.988474627649595</v>
      </c>
      <c r="AK3370">
        <v>3.0012040570342098</v>
      </c>
      <c r="AL3370">
        <v>87.208183544349396</v>
      </c>
      <c r="AM3370">
        <v>90.309834698511594</v>
      </c>
      <c r="AN3370">
        <v>0.99999999951551</v>
      </c>
    </row>
    <row r="3371" spans="1:40" x14ac:dyDescent="0.25">
      <c r="A3371" t="str">
        <f>"20190312150726153"</f>
        <v>20190312150726153</v>
      </c>
      <c r="B3371" t="str">
        <f>"1552374446143809"</f>
        <v>1552374446143809</v>
      </c>
      <c r="C3371" t="s">
        <v>40</v>
      </c>
      <c r="D3371">
        <v>4.3025270000000004</v>
      </c>
      <c r="E3371">
        <v>0.49618689999999999</v>
      </c>
      <c r="F3371" t="s">
        <v>48</v>
      </c>
      <c r="G3371">
        <v>0</v>
      </c>
      <c r="H3371">
        <v>0</v>
      </c>
      <c r="I3371">
        <v>0</v>
      </c>
      <c r="J3371">
        <v>-326.17110000000002</v>
      </c>
      <c r="K3371">
        <v>1.110733</v>
      </c>
      <c r="L3371">
        <v>283.24189999999999</v>
      </c>
      <c r="M3371">
        <v>-0.99953150000000002</v>
      </c>
      <c r="N3371">
        <v>0</v>
      </c>
      <c r="O3371">
        <v>2.6706750000000001E-2</v>
      </c>
      <c r="P3371">
        <v>-0.99919780000000002</v>
      </c>
      <c r="Q3371">
        <v>3.3951000000000002E-2</v>
      </c>
      <c r="R3371">
        <v>2.1241940000000001E-2</v>
      </c>
      <c r="S3371">
        <v>-3.0010379999999999</v>
      </c>
      <c r="T3371">
        <v>2.137172E-2</v>
      </c>
      <c r="U3371">
        <v>3.067017E-2</v>
      </c>
      <c r="V3371">
        <v>-5.5054450000000003E-3</v>
      </c>
      <c r="W3371">
        <v>4.8885230000000002E-2</v>
      </c>
      <c r="X3371">
        <v>0.99878929999999999</v>
      </c>
      <c r="Y3371">
        <v>-1.6491579999999999E-2</v>
      </c>
      <c r="Z3371">
        <v>2.4890079999999998E-4</v>
      </c>
      <c r="AA3371">
        <v>0.99986399999999998</v>
      </c>
      <c r="AB3371">
        <v>38</v>
      </c>
      <c r="AC3371">
        <v>-3.0010379999999999</v>
      </c>
      <c r="AD3371">
        <v>2.137172E-2</v>
      </c>
      <c r="AE3371">
        <v>3.067017E-2</v>
      </c>
      <c r="AF3371">
        <v>-4.9495193117535599E-2</v>
      </c>
      <c r="AG3371">
        <v>2.137172E-2</v>
      </c>
      <c r="AH3371">
        <v>3.0006343548121301</v>
      </c>
      <c r="AI3371">
        <v>89.591978906510604</v>
      </c>
      <c r="AJ3371">
        <v>90.945003016846201</v>
      </c>
      <c r="AK3371">
        <v>3.0011186340823501</v>
      </c>
      <c r="AL3371">
        <v>87.197966047993205</v>
      </c>
      <c r="AM3371">
        <v>90.3158179289602</v>
      </c>
      <c r="AN3371">
        <v>1.00000007071564</v>
      </c>
    </row>
    <row r="3372" spans="1:40" x14ac:dyDescent="0.25">
      <c r="A3372" t="str">
        <f>"20190312150726165"</f>
        <v>20190312150726165</v>
      </c>
      <c r="B3372" t="str">
        <f>"1552374446153569"</f>
        <v>1552374446153569</v>
      </c>
      <c r="C3372" t="s">
        <v>40</v>
      </c>
      <c r="D3372">
        <v>4.1204150000000004</v>
      </c>
      <c r="E3372">
        <v>0.49630560000000001</v>
      </c>
      <c r="F3372" t="s">
        <v>48</v>
      </c>
      <c r="G3372">
        <v>0</v>
      </c>
      <c r="H3372">
        <v>0</v>
      </c>
      <c r="I3372">
        <v>0</v>
      </c>
      <c r="J3372">
        <v>-326.37290000000002</v>
      </c>
      <c r="K3372">
        <v>1.110741</v>
      </c>
      <c r="L3372">
        <v>283.24700000000001</v>
      </c>
      <c r="M3372">
        <v>-0.99953809999999998</v>
      </c>
      <c r="N3372">
        <v>0</v>
      </c>
      <c r="O3372">
        <v>2.6457120000000001E-2</v>
      </c>
      <c r="P3372">
        <v>-0.99920299999999995</v>
      </c>
      <c r="Q3372">
        <v>3.3883709999999997E-2</v>
      </c>
      <c r="R3372">
        <v>2.1100589999999999E-2</v>
      </c>
      <c r="S3372">
        <v>-3.0009769999999998</v>
      </c>
      <c r="T3372">
        <v>2.2526379999999999E-2</v>
      </c>
      <c r="U3372">
        <v>3.07312E-2</v>
      </c>
      <c r="V3372">
        <v>-5.3987810000000001E-3</v>
      </c>
      <c r="W3372">
        <v>4.8815699999999997E-2</v>
      </c>
      <c r="X3372">
        <v>0.99879320000000005</v>
      </c>
      <c r="Y3372">
        <v>-1.622121E-2</v>
      </c>
      <c r="Z3372">
        <v>2.5946509999999999E-4</v>
      </c>
      <c r="AA3372">
        <v>0.99986839999999999</v>
      </c>
      <c r="AB3372">
        <v>38</v>
      </c>
      <c r="AC3372">
        <v>-3.0009769999999998</v>
      </c>
      <c r="AD3372">
        <v>2.2526379999999999E-2</v>
      </c>
      <c r="AE3372">
        <v>3.07312E-2</v>
      </c>
      <c r="AF3372">
        <v>-4.8682904124667199E-2</v>
      </c>
      <c r="AG3372">
        <v>2.2526379999999999E-2</v>
      </c>
      <c r="AH3372">
        <v>3.0005703701457</v>
      </c>
      <c r="AI3372">
        <v>89.569924293076397</v>
      </c>
      <c r="AJ3372">
        <v>90.929516686865</v>
      </c>
      <c r="AK3372">
        <v>3.00104981783812</v>
      </c>
      <c r="AL3372">
        <v>87.201954353212699</v>
      </c>
      <c r="AM3372">
        <v>90.309698096960204</v>
      </c>
      <c r="AN3372">
        <v>0.99999998788450795</v>
      </c>
    </row>
    <row r="3373" spans="1:40" x14ac:dyDescent="0.25">
      <c r="A3373" t="str">
        <f>"20190312150726183"</f>
        <v>20190312150726183</v>
      </c>
      <c r="B3373" t="str">
        <f>"1552374446173089"</f>
        <v>1552374446173089</v>
      </c>
      <c r="C3373" t="s">
        <v>40</v>
      </c>
      <c r="D3373">
        <v>4.147411</v>
      </c>
      <c r="E3373">
        <v>0.4963863</v>
      </c>
      <c r="F3373" t="s">
        <v>48</v>
      </c>
      <c r="G3373">
        <v>0</v>
      </c>
      <c r="H3373">
        <v>0</v>
      </c>
      <c r="I3373">
        <v>0</v>
      </c>
      <c r="J3373">
        <v>-326.69670000000002</v>
      </c>
      <c r="K3373">
        <v>1.1107549999999999</v>
      </c>
      <c r="L3373">
        <v>283.2552</v>
      </c>
      <c r="M3373">
        <v>-0.99954920000000003</v>
      </c>
      <c r="N3373">
        <v>0</v>
      </c>
      <c r="O3373">
        <v>2.6041669999999999E-2</v>
      </c>
      <c r="P3373">
        <v>-0.99921289999999996</v>
      </c>
      <c r="Q3373">
        <v>3.3909599999999998E-2</v>
      </c>
      <c r="R3373">
        <v>2.0586009999999998E-2</v>
      </c>
      <c r="S3373">
        <v>-3.0009769999999998</v>
      </c>
      <c r="T3373">
        <v>2.2885079999999999E-2</v>
      </c>
      <c r="U3373">
        <v>3.1280519999999999E-2</v>
      </c>
      <c r="V3373">
        <v>-5.4997429999999996E-3</v>
      </c>
      <c r="W3373">
        <v>4.8838079999999999E-2</v>
      </c>
      <c r="X3373">
        <v>0.9987916</v>
      </c>
      <c r="Y3373">
        <v>-1.562261E-2</v>
      </c>
      <c r="Z3373">
        <v>2.5814650000000001E-4</v>
      </c>
      <c r="AA3373">
        <v>0.99987789999999999</v>
      </c>
      <c r="AB3373">
        <v>38</v>
      </c>
      <c r="AC3373">
        <v>-3.0009769999999998</v>
      </c>
      <c r="AD3373">
        <v>2.2885079999999999E-2</v>
      </c>
      <c r="AE3373">
        <v>3.1280519999999999E-2</v>
      </c>
      <c r="AF3373">
        <v>-4.6886541422230602E-2</v>
      </c>
      <c r="AG3373">
        <v>2.2885079999999999E-2</v>
      </c>
      <c r="AH3373">
        <v>3.0005992260337102</v>
      </c>
      <c r="AI3373">
        <v>89.563076259471799</v>
      </c>
      <c r="AJ3373">
        <v>90.895215298328694</v>
      </c>
      <c r="AK3373">
        <v>3.0010527802635001</v>
      </c>
      <c r="AL3373">
        <v>87.200670668033794</v>
      </c>
      <c r="AM3373">
        <v>90.315490115845193</v>
      </c>
      <c r="AN3373">
        <v>1.00000003273085</v>
      </c>
    </row>
    <row r="3374" spans="1:40" x14ac:dyDescent="0.25">
      <c r="A3374" t="str">
        <f>"20190312150726195"</f>
        <v>20190312150726195</v>
      </c>
      <c r="B3374" t="str">
        <f>"1552374446183825"</f>
        <v>1552374446183825</v>
      </c>
      <c r="C3374" t="s">
        <v>40</v>
      </c>
      <c r="D3374">
        <v>4.1103209999999999</v>
      </c>
      <c r="E3374">
        <v>0.49644690000000002</v>
      </c>
      <c r="F3374" t="s">
        <v>48</v>
      </c>
      <c r="G3374">
        <v>0</v>
      </c>
      <c r="H3374">
        <v>0</v>
      </c>
      <c r="I3374">
        <v>0</v>
      </c>
      <c r="J3374">
        <v>-326.87860000000001</v>
      </c>
      <c r="K3374">
        <v>1.110765</v>
      </c>
      <c r="L3374">
        <v>283.25970000000001</v>
      </c>
      <c r="M3374">
        <v>-0.99955550000000004</v>
      </c>
      <c r="N3374">
        <v>0</v>
      </c>
      <c r="O3374">
        <v>2.5799780000000001E-2</v>
      </c>
      <c r="P3374">
        <v>-0.99921819999999895</v>
      </c>
      <c r="Q3374">
        <v>3.3922099999999997E-2</v>
      </c>
      <c r="R3374">
        <v>2.030566E-2</v>
      </c>
      <c r="S3374">
        <v>-3.0009459999999999</v>
      </c>
      <c r="T3374">
        <v>2.373099E-2</v>
      </c>
      <c r="U3374">
        <v>3.048706E-2</v>
      </c>
      <c r="V3374">
        <v>-5.5392690000000003E-3</v>
      </c>
      <c r="W3374">
        <v>4.8848080000000002E-2</v>
      </c>
      <c r="X3374">
        <v>0.99879090000000004</v>
      </c>
      <c r="Y3374">
        <v>-1.5644789999999999E-2</v>
      </c>
      <c r="Z3374">
        <v>2.6586680000000002E-4</v>
      </c>
      <c r="AA3374">
        <v>0.99987760000000003</v>
      </c>
      <c r="AB3374">
        <v>38</v>
      </c>
      <c r="AC3374">
        <v>-3.0009459999999999</v>
      </c>
      <c r="AD3374">
        <v>2.373099E-2</v>
      </c>
      <c r="AE3374">
        <v>3.048706E-2</v>
      </c>
      <c r="AF3374">
        <v>-4.69525421765115E-2</v>
      </c>
      <c r="AG3374">
        <v>2.373099E-2</v>
      </c>
      <c r="AH3374">
        <v>3.0005458837324599</v>
      </c>
      <c r="AI3374">
        <v>89.546918844288101</v>
      </c>
      <c r="AJ3374">
        <v>90.896491194602007</v>
      </c>
      <c r="AK3374">
        <v>3.0010070478902602</v>
      </c>
      <c r="AL3374">
        <v>87.200097046445293</v>
      </c>
      <c r="AM3374">
        <v>90.317757682220801</v>
      </c>
      <c r="AN3374">
        <v>1.0000000401717699</v>
      </c>
    </row>
    <row r="3375" spans="1:40" x14ac:dyDescent="0.25">
      <c r="A3375" t="str">
        <f>"20190312150726206"</f>
        <v>20190312150726206</v>
      </c>
      <c r="B3375" t="str">
        <f>"1552374446203345"</f>
        <v>1552374446203345</v>
      </c>
      <c r="C3375" t="s">
        <v>40</v>
      </c>
      <c r="D3375">
        <v>4.110989</v>
      </c>
      <c r="E3375">
        <v>0.49648940000000003</v>
      </c>
      <c r="F3375" t="s">
        <v>48</v>
      </c>
      <c r="G3375">
        <v>0</v>
      </c>
      <c r="H3375">
        <v>0</v>
      </c>
      <c r="I3375">
        <v>0</v>
      </c>
      <c r="J3375">
        <v>-327.07490000000001</v>
      </c>
      <c r="K3375">
        <v>1.1107720000000001</v>
      </c>
      <c r="L3375">
        <v>283.26459999999997</v>
      </c>
      <c r="M3375">
        <v>-0.99956230000000001</v>
      </c>
      <c r="N3375">
        <v>0</v>
      </c>
      <c r="O3375">
        <v>2.5536710000000001E-2</v>
      </c>
      <c r="P3375">
        <v>-0.99922759999999999</v>
      </c>
      <c r="Q3375">
        <v>3.3916120000000001E-2</v>
      </c>
      <c r="R3375">
        <v>1.9846929999999999E-2</v>
      </c>
      <c r="S3375">
        <v>-3.0009160000000001</v>
      </c>
      <c r="T3375">
        <v>2.4169449999999999E-2</v>
      </c>
      <c r="U3375">
        <v>3.0059809999999999E-2</v>
      </c>
      <c r="V3375">
        <v>-5.7359680000000001E-3</v>
      </c>
      <c r="W3375">
        <v>4.8839510000000003E-2</v>
      </c>
      <c r="X3375">
        <v>0.99879010000000001</v>
      </c>
      <c r="Y3375">
        <v>-1.5523840000000001E-2</v>
      </c>
      <c r="Z3375">
        <v>2.6817650000000002E-4</v>
      </c>
      <c r="AA3375">
        <v>0.99987950000000003</v>
      </c>
      <c r="AB3375">
        <v>38</v>
      </c>
      <c r="AC3375">
        <v>-3.0009160000000001</v>
      </c>
      <c r="AD3375">
        <v>2.4169449999999999E-2</v>
      </c>
      <c r="AE3375">
        <v>3.0059809999999999E-2</v>
      </c>
      <c r="AF3375">
        <v>-4.6589044284806799E-2</v>
      </c>
      <c r="AG3375">
        <v>2.4169449999999999E-2</v>
      </c>
      <c r="AH3375">
        <v>3.00051023681258</v>
      </c>
      <c r="AI3375">
        <v>89.538541604887996</v>
      </c>
      <c r="AJ3375">
        <v>90.889562411729102</v>
      </c>
      <c r="AK3375">
        <v>3.0009692405250998</v>
      </c>
      <c r="AL3375">
        <v>87.200588353463104</v>
      </c>
      <c r="AM3375">
        <v>90.329041251861597</v>
      </c>
      <c r="AN3375">
        <v>0.99999993146197097</v>
      </c>
    </row>
    <row r="3376" spans="1:40" x14ac:dyDescent="0.25">
      <c r="A3376" t="str">
        <f>"20190312150726217"</f>
        <v>20190312150726217</v>
      </c>
      <c r="B3376" t="str">
        <f>"1552374446213105"</f>
        <v>1552374446213105</v>
      </c>
      <c r="C3376" t="s">
        <v>40</v>
      </c>
      <c r="D3376">
        <v>4.079669</v>
      </c>
      <c r="E3376">
        <v>0.49648179999999997</v>
      </c>
      <c r="F3376" t="s">
        <v>48</v>
      </c>
      <c r="G3376">
        <v>0</v>
      </c>
      <c r="H3376">
        <v>0</v>
      </c>
      <c r="I3376">
        <v>0</v>
      </c>
      <c r="J3376">
        <v>-327.26479999999998</v>
      </c>
      <c r="K3376">
        <v>1.1107819999999999</v>
      </c>
      <c r="L3376">
        <v>283.26920000000001</v>
      </c>
      <c r="M3376">
        <v>-0.99956900000000004</v>
      </c>
      <c r="N3376">
        <v>0</v>
      </c>
      <c r="O3376">
        <v>2.5273650000000002E-2</v>
      </c>
      <c r="P3376">
        <v>-0.99924060000000003</v>
      </c>
      <c r="Q3376">
        <v>3.3668299999999998E-2</v>
      </c>
      <c r="R3376">
        <v>1.9616060000000001E-2</v>
      </c>
      <c r="S3376">
        <v>-3.0010680000000001</v>
      </c>
      <c r="T3376">
        <v>2.160776E-2</v>
      </c>
      <c r="U3376">
        <v>2.8717039999999999E-2</v>
      </c>
      <c r="V3376">
        <v>-5.7046029999999999E-3</v>
      </c>
      <c r="W3376">
        <v>4.8589939999999998E-2</v>
      </c>
      <c r="X3376">
        <v>0.99880250000000004</v>
      </c>
      <c r="Y3376">
        <v>-1.5708799999999998E-2</v>
      </c>
      <c r="Z3376">
        <v>2.385144E-4</v>
      </c>
      <c r="AA3376">
        <v>0.9998766</v>
      </c>
      <c r="AB3376">
        <v>38</v>
      </c>
      <c r="AC3376">
        <v>-3.0010680000000001</v>
      </c>
      <c r="AD3376">
        <v>2.160776E-2</v>
      </c>
      <c r="AE3376">
        <v>2.8717039999999999E-2</v>
      </c>
      <c r="AF3376">
        <v>-4.7146094152320503E-2</v>
      </c>
      <c r="AG3376">
        <v>2.160776E-2</v>
      </c>
      <c r="AH3376">
        <v>3.0006794791900799</v>
      </c>
      <c r="AI3376">
        <v>89.587473674447395</v>
      </c>
      <c r="AJ3376">
        <v>90.900146112789201</v>
      </c>
      <c r="AK3376">
        <v>3.00112761913226</v>
      </c>
      <c r="AL3376">
        <v>87.214904793030598</v>
      </c>
      <c r="AM3376">
        <v>90.327237989251202</v>
      </c>
      <c r="AN3376">
        <v>0.99999997938541996</v>
      </c>
    </row>
    <row r="3377" spans="1:40" x14ac:dyDescent="0.25">
      <c r="A3377" t="str">
        <f>"20190312150726229"</f>
        <v>20190312150726229</v>
      </c>
      <c r="B3377" t="str">
        <f>"1552374446223841"</f>
        <v>1552374446223841</v>
      </c>
      <c r="C3377" t="s">
        <v>40</v>
      </c>
      <c r="D3377">
        <v>4.1582119999999998</v>
      </c>
      <c r="E3377">
        <v>0.49648179999999997</v>
      </c>
      <c r="F3377" t="s">
        <v>48</v>
      </c>
      <c r="G3377">
        <v>0</v>
      </c>
      <c r="H3377">
        <v>0</v>
      </c>
      <c r="I3377">
        <v>0</v>
      </c>
      <c r="J3377">
        <v>-327.46100000000001</v>
      </c>
      <c r="K3377">
        <v>1.1107910000000001</v>
      </c>
      <c r="L3377">
        <v>283.27390000000003</v>
      </c>
      <c r="M3377">
        <v>-0.99957600000000002</v>
      </c>
      <c r="N3377">
        <v>0</v>
      </c>
      <c r="O3377">
        <v>2.499782E-2</v>
      </c>
      <c r="P3377">
        <v>-0.99925269999999999</v>
      </c>
      <c r="Q3377">
        <v>3.3584099999999999E-2</v>
      </c>
      <c r="R3377">
        <v>1.9140359999999999E-2</v>
      </c>
      <c r="S3377">
        <v>-3.0009459999999999</v>
      </c>
      <c r="T3377">
        <v>2.286637E-2</v>
      </c>
      <c r="U3377">
        <v>2.816772E-2</v>
      </c>
      <c r="V3377">
        <v>-5.9056119999999898E-3</v>
      </c>
      <c r="W3377">
        <v>4.8503249999999998E-2</v>
      </c>
      <c r="X3377">
        <v>0.99880559999999996</v>
      </c>
      <c r="Y3377">
        <v>-1.561539E-2</v>
      </c>
      <c r="Z3377">
        <v>2.4996049999999998E-4</v>
      </c>
      <c r="AA3377">
        <v>0.99987800000000004</v>
      </c>
      <c r="AB3377">
        <v>38</v>
      </c>
      <c r="AC3377">
        <v>-3.0009459999999999</v>
      </c>
      <c r="AD3377">
        <v>2.286637E-2</v>
      </c>
      <c r="AE3377">
        <v>2.816772E-2</v>
      </c>
      <c r="AF3377">
        <v>-4.6863834623284799E-2</v>
      </c>
      <c r="AG3377">
        <v>2.286637E-2</v>
      </c>
      <c r="AH3377">
        <v>3.0005380260338699</v>
      </c>
      <c r="AI3377">
        <v>89.563424504985704</v>
      </c>
      <c r="AJ3377">
        <v>90.894800070114201</v>
      </c>
      <c r="AK3377">
        <v>3.000991092214</v>
      </c>
      <c r="AL3377">
        <v>87.219877779736393</v>
      </c>
      <c r="AM3377">
        <v>90.338767323748797</v>
      </c>
      <c r="AN3377">
        <v>1.0000000340524999</v>
      </c>
    </row>
    <row r="3378" spans="1:40" x14ac:dyDescent="0.25">
      <c r="A3378" t="str">
        <f>"20190312150726241"</f>
        <v>20190312150726241</v>
      </c>
      <c r="B3378" t="str">
        <f>"1552374446233601"</f>
        <v>1552374446233601</v>
      </c>
      <c r="C3378" t="s">
        <v>40</v>
      </c>
      <c r="D3378">
        <v>4.1403829999999999</v>
      </c>
      <c r="E3378">
        <v>0.51490089999999999</v>
      </c>
      <c r="F3378" t="s">
        <v>48</v>
      </c>
      <c r="G3378">
        <v>0</v>
      </c>
      <c r="H3378">
        <v>0</v>
      </c>
      <c r="I3378">
        <v>0</v>
      </c>
      <c r="J3378">
        <v>-327.6628</v>
      </c>
      <c r="K3378">
        <v>1.1108009999999999</v>
      </c>
      <c r="L3378">
        <v>283.27870000000001</v>
      </c>
      <c r="M3378">
        <v>-0.99958320000000001</v>
      </c>
      <c r="N3378">
        <v>0</v>
      </c>
      <c r="O3378">
        <v>2.470816E-2</v>
      </c>
      <c r="P3378">
        <v>-0.99926700000000002</v>
      </c>
      <c r="Q3378">
        <v>3.3328480000000001E-2</v>
      </c>
      <c r="R3378">
        <v>1.8832419999999999E-2</v>
      </c>
      <c r="S3378">
        <v>-3.0009769999999998</v>
      </c>
      <c r="T3378">
        <v>2.262223E-2</v>
      </c>
      <c r="U3378">
        <v>2.6611329999999999E-2</v>
      </c>
      <c r="V3378">
        <v>-5.9256909999999899E-3</v>
      </c>
      <c r="W3378">
        <v>4.8245120000000002E-2</v>
      </c>
      <c r="X3378">
        <v>0.99881790000000004</v>
      </c>
      <c r="Y3378">
        <v>-1.584429E-2</v>
      </c>
      <c r="Z3378">
        <v>2.4596980000000002E-4</v>
      </c>
      <c r="AA3378">
        <v>0.99987440000000005</v>
      </c>
      <c r="AB3378">
        <v>38</v>
      </c>
      <c r="AC3378">
        <v>-3.0009769999999998</v>
      </c>
      <c r="AD3378">
        <v>2.262223E-2</v>
      </c>
      <c r="AE3378">
        <v>2.6611329999999999E-2</v>
      </c>
      <c r="AF3378">
        <v>-4.7550980505567199E-2</v>
      </c>
      <c r="AG3378">
        <v>2.262223E-2</v>
      </c>
      <c r="AH3378">
        <v>3.0005477130545501</v>
      </c>
      <c r="AI3378">
        <v>89.568088512919701</v>
      </c>
      <c r="AJ3378">
        <v>90.907915058852595</v>
      </c>
      <c r="AK3378">
        <v>3.0010097366310098</v>
      </c>
      <c r="AL3378">
        <v>87.234684644975005</v>
      </c>
      <c r="AM3378">
        <v>90.339914915178895</v>
      </c>
      <c r="AN3378">
        <v>0.99999995138902398</v>
      </c>
    </row>
    <row r="3379" spans="1:40" x14ac:dyDescent="0.25">
      <c r="A3379" t="str">
        <f>"20190312150726252"</f>
        <v>20190312150726252</v>
      </c>
      <c r="B3379" t="str">
        <f>"1552374446243361"</f>
        <v>1552374446243361</v>
      </c>
      <c r="C3379" t="s">
        <v>40</v>
      </c>
      <c r="D3379">
        <v>4.1037689999999998</v>
      </c>
      <c r="E3379">
        <v>0.5164436</v>
      </c>
      <c r="F3379" t="s">
        <v>72</v>
      </c>
      <c r="G3379">
        <v>-510.07100000000003</v>
      </c>
      <c r="H3379">
        <v>6.8335850000000002</v>
      </c>
      <c r="I3379">
        <v>293.93529999999998</v>
      </c>
      <c r="J3379">
        <v>-327.84210000000002</v>
      </c>
      <c r="K3379">
        <v>1.1108100000000001</v>
      </c>
      <c r="L3379">
        <v>283.28289999999998</v>
      </c>
      <c r="M3379">
        <v>-0.99958959999999997</v>
      </c>
      <c r="N3379">
        <v>0</v>
      </c>
      <c r="O3379">
        <v>2.4445100000000001E-2</v>
      </c>
      <c r="P3379">
        <v>-0.99927290000000002</v>
      </c>
      <c r="Q3379">
        <v>3.3234010000000001E-2</v>
      </c>
      <c r="R3379">
        <v>1.8688650000000001E-2</v>
      </c>
      <c r="S3379">
        <v>-2.9957579999999999</v>
      </c>
      <c r="T3379">
        <v>9.3988779999999994E-2</v>
      </c>
      <c r="U3379">
        <v>0.17501829999999999</v>
      </c>
      <c r="V3379">
        <v>-5.8071249999999998E-3</v>
      </c>
      <c r="W3379">
        <v>4.8148910000000003E-2</v>
      </c>
      <c r="X3379">
        <v>0.99882329999999997</v>
      </c>
      <c r="Y3379">
        <v>3.389433E-2</v>
      </c>
      <c r="Z3379">
        <v>2.3487369999999999E-4</v>
      </c>
      <c r="AA3379">
        <v>0.99942540000000002</v>
      </c>
      <c r="AB3379">
        <v>38</v>
      </c>
      <c r="AC3379">
        <v>-182.22889999999899</v>
      </c>
      <c r="AD3379">
        <v>5.7227750000000004</v>
      </c>
      <c r="AE3379">
        <v>10.6524</v>
      </c>
      <c r="AF3379">
        <v>6.1880334168013702</v>
      </c>
      <c r="AG3379">
        <v>5.7227750000000004</v>
      </c>
      <c r="AH3379">
        <v>182.25572692596799</v>
      </c>
      <c r="AI3379">
        <v>88.202555710534497</v>
      </c>
      <c r="AJ3379">
        <v>88.055413342523806</v>
      </c>
      <c r="AK3379">
        <v>182.450519069092</v>
      </c>
      <c r="AL3379">
        <v>87.2402036545096</v>
      </c>
      <c r="AM3379">
        <v>90.333111977612901</v>
      </c>
      <c r="AN3379">
        <v>1.0000000124289199</v>
      </c>
    </row>
    <row r="3380" spans="1:40" x14ac:dyDescent="0.25">
      <c r="A3380" t="str">
        <f>"20190312150726262"</f>
        <v>20190312150726262</v>
      </c>
      <c r="B3380" t="str">
        <f>"1552374446253121"</f>
        <v>1552374446253121</v>
      </c>
      <c r="C3380" t="s">
        <v>40</v>
      </c>
      <c r="D3380">
        <v>4.1032279999999997</v>
      </c>
      <c r="E3380">
        <v>0.51725639999999995</v>
      </c>
      <c r="F3380" t="s">
        <v>72</v>
      </c>
      <c r="G3380">
        <v>-510.07069999999999</v>
      </c>
      <c r="H3380">
        <v>5.9712990000000001</v>
      </c>
      <c r="I3380">
        <v>294.64109999999999</v>
      </c>
      <c r="J3380">
        <v>-328.0437</v>
      </c>
      <c r="K3380">
        <v>1.110822</v>
      </c>
      <c r="L3380">
        <v>283.2876</v>
      </c>
      <c r="M3380">
        <v>-0.99959710000000002</v>
      </c>
      <c r="N3380">
        <v>0</v>
      </c>
      <c r="O3380">
        <v>2.4146089999999999E-2</v>
      </c>
      <c r="P3380">
        <v>-0.99927940000000004</v>
      </c>
      <c r="Q3380">
        <v>3.3127650000000002E-2</v>
      </c>
      <c r="R3380">
        <v>1.8536830000000001E-2</v>
      </c>
      <c r="S3380">
        <v>-2.9959720000000001</v>
      </c>
      <c r="T3380">
        <v>7.9911350000000006E-2</v>
      </c>
      <c r="U3380">
        <v>0.18673709999999999</v>
      </c>
      <c r="V3380">
        <v>-5.661414E-3</v>
      </c>
      <c r="W3380">
        <v>4.8040319999999997E-2</v>
      </c>
      <c r="X3380">
        <v>0.99882939999999998</v>
      </c>
      <c r="Y3380">
        <v>3.8083579999999999E-2</v>
      </c>
      <c r="Z3380">
        <v>1.358943E-4</v>
      </c>
      <c r="AA3380">
        <v>0.99927460000000001</v>
      </c>
      <c r="AB3380">
        <v>38</v>
      </c>
      <c r="AC3380">
        <v>-182.02699999999999</v>
      </c>
      <c r="AD3380">
        <v>4.8604769999999897</v>
      </c>
      <c r="AE3380">
        <v>11.353499999999899</v>
      </c>
      <c r="AF3380">
        <v>6.9495236686694097</v>
      </c>
      <c r="AG3380">
        <v>4.8604769999999897</v>
      </c>
      <c r="AH3380">
        <v>182.11874320644401</v>
      </c>
      <c r="AI3380">
        <v>88.472335508404598</v>
      </c>
      <c r="AJ3380">
        <v>87.814693475613794</v>
      </c>
      <c r="AK3380">
        <v>182.316090192236</v>
      </c>
      <c r="AL3380">
        <v>87.246432707001802</v>
      </c>
      <c r="AM3380">
        <v>90.3247518091015</v>
      </c>
      <c r="AN3380">
        <v>1.0000000471292601</v>
      </c>
    </row>
    <row r="3381" spans="1:40" x14ac:dyDescent="0.25">
      <c r="A3381" t="str">
        <f>"20190312150726274"</f>
        <v>20190312150726274</v>
      </c>
      <c r="B3381" t="str">
        <f>"1552374446263856"</f>
        <v>1552374446263856</v>
      </c>
      <c r="C3381" t="s">
        <v>40</v>
      </c>
      <c r="D3381">
        <v>4.3969670000000001</v>
      </c>
      <c r="E3381">
        <v>0.5168893</v>
      </c>
      <c r="F3381" t="s">
        <v>72</v>
      </c>
      <c r="G3381">
        <v>-510.07060000000001</v>
      </c>
      <c r="H3381">
        <v>5.5968010000000001</v>
      </c>
      <c r="I3381">
        <v>294.97919999999999</v>
      </c>
      <c r="J3381">
        <v>-328.2353</v>
      </c>
      <c r="K3381">
        <v>1.1108309999999999</v>
      </c>
      <c r="L3381">
        <v>283.29199999999997</v>
      </c>
      <c r="M3381">
        <v>-0.99960400000000005</v>
      </c>
      <c r="N3381">
        <v>0</v>
      </c>
      <c r="O3381">
        <v>2.3854480000000001E-2</v>
      </c>
      <c r="P3381">
        <v>-0.99928479999999997</v>
      </c>
      <c r="Q3381">
        <v>3.3128129999999999E-2</v>
      </c>
      <c r="R3381">
        <v>1.823197E-2</v>
      </c>
      <c r="S3381">
        <v>-2.9961549999999999</v>
      </c>
      <c r="T3381">
        <v>7.3840379999999997E-2</v>
      </c>
      <c r="U3381">
        <v>0.1924438</v>
      </c>
      <c r="V3381">
        <v>-5.6757029999999998E-3</v>
      </c>
      <c r="W3381">
        <v>4.8038890000000001E-2</v>
      </c>
      <c r="X3381">
        <v>0.99882939999999998</v>
      </c>
      <c r="Y3381">
        <v>4.0266910000000003E-2</v>
      </c>
      <c r="Z3381" s="1">
        <v>9.1507909999999999E-5</v>
      </c>
      <c r="AA3381">
        <v>0.99918899999999999</v>
      </c>
      <c r="AB3381">
        <v>38</v>
      </c>
      <c r="AC3381">
        <v>-181.83529999999999</v>
      </c>
      <c r="AD3381">
        <v>4.48597</v>
      </c>
      <c r="AE3381">
        <v>11.687199999999899</v>
      </c>
      <c r="AF3381">
        <v>7.3413539190692703</v>
      </c>
      <c r="AG3381">
        <v>4.48597</v>
      </c>
      <c r="AH3381">
        <v>181.95208216036201</v>
      </c>
      <c r="AI3381">
        <v>88.588824841637106</v>
      </c>
      <c r="AJ3381">
        <v>87.689498462801097</v>
      </c>
      <c r="AK3381">
        <v>182.15537215986001</v>
      </c>
      <c r="AL3381">
        <v>87.246514768566996</v>
      </c>
      <c r="AM3381">
        <v>90.325571441589005</v>
      </c>
      <c r="AN3381">
        <v>1.0000000594306599</v>
      </c>
    </row>
    <row r="3382" spans="1:40" x14ac:dyDescent="0.25">
      <c r="A3382" t="str">
        <f>"20190312150726287"</f>
        <v>20190312150726287</v>
      </c>
      <c r="B3382" t="str">
        <f>"1552374446283377"</f>
        <v>1552374446283377</v>
      </c>
      <c r="C3382" t="s">
        <v>40</v>
      </c>
      <c r="D3382">
        <v>4.1482219999999996</v>
      </c>
      <c r="E3382">
        <v>0.51631210000000005</v>
      </c>
      <c r="F3382" t="s">
        <v>72</v>
      </c>
      <c r="G3382">
        <v>-510.9554</v>
      </c>
      <c r="H3382">
        <v>5.5004210000000002</v>
      </c>
      <c r="I3382">
        <v>294.79660000000001</v>
      </c>
      <c r="J3382">
        <v>-328.43400000000003</v>
      </c>
      <c r="K3382">
        <v>1.1108420000000001</v>
      </c>
      <c r="L3382">
        <v>283.29640000000001</v>
      </c>
      <c r="M3382">
        <v>-0.99961140000000004</v>
      </c>
      <c r="N3382">
        <v>0</v>
      </c>
      <c r="O3382">
        <v>2.354964E-2</v>
      </c>
      <c r="P3382">
        <v>-0.99928649999999997</v>
      </c>
      <c r="Q3382">
        <v>3.3018180000000001E-2</v>
      </c>
      <c r="R3382">
        <v>1.835125E-2</v>
      </c>
      <c r="S3382">
        <v>-2.9963380000000002</v>
      </c>
      <c r="T3382">
        <v>7.1984049999999994E-2</v>
      </c>
      <c r="U3382">
        <v>0.18865970000000001</v>
      </c>
      <c r="V3382">
        <v>-5.2523190000000001E-3</v>
      </c>
      <c r="W3382">
        <v>4.7926959999999998E-2</v>
      </c>
      <c r="X3382">
        <v>0.99883710000000003</v>
      </c>
      <c r="Y3382">
        <v>3.9311319999999997E-2</v>
      </c>
      <c r="Z3382" s="1">
        <v>9.3362210000000006E-5</v>
      </c>
      <c r="AA3382">
        <v>0.99922699999999998</v>
      </c>
      <c r="AB3382">
        <v>38</v>
      </c>
      <c r="AC3382">
        <v>-182.5214</v>
      </c>
      <c r="AD3382">
        <v>4.3895790000000003</v>
      </c>
      <c r="AE3382">
        <v>11.5002</v>
      </c>
      <c r="AF3382">
        <v>7.19407397280811</v>
      </c>
      <c r="AG3382">
        <v>4.3895790000000003</v>
      </c>
      <c r="AH3382">
        <v>182.63640881836</v>
      </c>
      <c r="AI3382">
        <v>88.624254795073099</v>
      </c>
      <c r="AJ3382">
        <v>87.744277306754398</v>
      </c>
      <c r="AK3382">
        <v>182.830743941468</v>
      </c>
      <c r="AL3382">
        <v>87.252935299219899</v>
      </c>
      <c r="AM3382">
        <v>90.301283300014603</v>
      </c>
      <c r="AN3382">
        <v>1.0000000663430599</v>
      </c>
    </row>
    <row r="3383" spans="1:40" x14ac:dyDescent="0.25">
      <c r="A3383" t="str">
        <f>"20190312150726298"</f>
        <v>20190312150726298</v>
      </c>
      <c r="B3383" t="str">
        <f>"1552374446293137"</f>
        <v>1552374446293137</v>
      </c>
      <c r="C3383" t="s">
        <v>40</v>
      </c>
      <c r="D3383">
        <v>4.1750980000000002</v>
      </c>
      <c r="E3383">
        <v>0.51616919999999999</v>
      </c>
      <c r="F3383" t="s">
        <v>72</v>
      </c>
      <c r="G3383">
        <v>-510.95519999999999</v>
      </c>
      <c r="H3383">
        <v>4.7834899999999996</v>
      </c>
      <c r="I3383">
        <v>294.49329999999998</v>
      </c>
      <c r="J3383">
        <v>-328.6404</v>
      </c>
      <c r="K3383">
        <v>1.110852</v>
      </c>
      <c r="L3383">
        <v>283.30099999999999</v>
      </c>
      <c r="M3383">
        <v>-0.99961880000000003</v>
      </c>
      <c r="N3383">
        <v>0</v>
      </c>
      <c r="O3383">
        <v>2.3226320000000002E-2</v>
      </c>
      <c r="P3383">
        <v>-0.99929109999999999</v>
      </c>
      <c r="Q3383">
        <v>3.3058450000000003E-2</v>
      </c>
      <c r="R3383">
        <v>1.8020169999999999E-2</v>
      </c>
      <c r="S3383">
        <v>-2.9967649999999999</v>
      </c>
      <c r="T3383">
        <v>6.0301540000000001E-2</v>
      </c>
      <c r="U3383">
        <v>0.1838379</v>
      </c>
      <c r="V3383">
        <v>-5.2613570000000004E-3</v>
      </c>
      <c r="W3383">
        <v>4.7965050000000002E-2</v>
      </c>
      <c r="X3383">
        <v>0.99883509999999998</v>
      </c>
      <c r="Y3383">
        <v>3.8025509999999998E-2</v>
      </c>
      <c r="Z3383" s="1">
        <v>8.4635599999999898E-5</v>
      </c>
      <c r="AA3383">
        <v>0.99927679999999997</v>
      </c>
      <c r="AB3383">
        <v>38</v>
      </c>
      <c r="AC3383">
        <v>-182.31479999999999</v>
      </c>
      <c r="AD3383">
        <v>3.6726380000000001</v>
      </c>
      <c r="AE3383">
        <v>11.1922999999999</v>
      </c>
      <c r="AF3383">
        <v>6.95149600934554</v>
      </c>
      <c r="AG3383">
        <v>3.6726380000000001</v>
      </c>
      <c r="AH3383">
        <v>182.45183033329801</v>
      </c>
      <c r="AI3383">
        <v>88.847664404639005</v>
      </c>
      <c r="AJ3383">
        <v>87.818060669272896</v>
      </c>
      <c r="AK3383">
        <v>182.62114324091201</v>
      </c>
      <c r="AL3383">
        <v>87.250750049435794</v>
      </c>
      <c r="AM3383">
        <v>90.301802332102696</v>
      </c>
      <c r="AN3383">
        <v>0.99999994244549495</v>
      </c>
    </row>
    <row r="3384" spans="1:40" x14ac:dyDescent="0.25">
      <c r="A3384" t="str">
        <f>"20190312150726311"</f>
        <v>20190312150726311</v>
      </c>
      <c r="B3384" t="str">
        <f>"1552374446303873"</f>
        <v>1552374446303873</v>
      </c>
      <c r="C3384" t="s">
        <v>40</v>
      </c>
      <c r="D3384">
        <v>4.1352000000000002</v>
      </c>
      <c r="E3384">
        <v>0.51608120000000002</v>
      </c>
      <c r="F3384" t="s">
        <v>72</v>
      </c>
      <c r="G3384">
        <v>-510.95510000000002</v>
      </c>
      <c r="H3384">
        <v>4.6187829999999996</v>
      </c>
      <c r="I3384">
        <v>294.34710000000001</v>
      </c>
      <c r="J3384">
        <v>-328.8596</v>
      </c>
      <c r="K3384">
        <v>1.1108640000000001</v>
      </c>
      <c r="L3384">
        <v>283.30579999999998</v>
      </c>
      <c r="M3384">
        <v>-0.99962689999999998</v>
      </c>
      <c r="N3384">
        <v>0</v>
      </c>
      <c r="O3384">
        <v>2.2878920000000001E-2</v>
      </c>
      <c r="P3384">
        <v>-0.99929429999999997</v>
      </c>
      <c r="Q3384">
        <v>3.2990779999999997E-2</v>
      </c>
      <c r="R3384">
        <v>1.7964520000000001E-2</v>
      </c>
      <c r="S3384">
        <v>-2.9969480000000002</v>
      </c>
      <c r="T3384">
        <v>5.766582E-2</v>
      </c>
      <c r="U3384">
        <v>0.18157960000000001</v>
      </c>
      <c r="V3384">
        <v>-4.970843E-3</v>
      </c>
      <c r="W3384">
        <v>4.7895050000000002E-2</v>
      </c>
      <c r="X3384">
        <v>0.99883999999999995</v>
      </c>
      <c r="Y3384">
        <v>3.7619119999999999E-2</v>
      </c>
      <c r="Z3384" s="1">
        <v>7.816585E-5</v>
      </c>
      <c r="AA3384">
        <v>0.99929210000000002</v>
      </c>
      <c r="AB3384">
        <v>38</v>
      </c>
      <c r="AC3384">
        <v>-182.09549999999999</v>
      </c>
      <c r="AD3384">
        <v>3.5079189999999998</v>
      </c>
      <c r="AE3384">
        <v>11.0413</v>
      </c>
      <c r="AF3384">
        <v>6.8692571416900101</v>
      </c>
      <c r="AG3384">
        <v>3.5079189999999998</v>
      </c>
      <c r="AH3384">
        <v>182.233085316429</v>
      </c>
      <c r="AI3384">
        <v>88.897996238991396</v>
      </c>
      <c r="AJ3384">
        <v>87.841263634046101</v>
      </c>
      <c r="AK3384">
        <v>182.39624330926901</v>
      </c>
      <c r="AL3384">
        <v>87.2547655144011</v>
      </c>
      <c r="AM3384">
        <v>90.285136731911393</v>
      </c>
      <c r="AN3384">
        <v>0.99999999534731598</v>
      </c>
    </row>
    <row r="3385" spans="1:40" x14ac:dyDescent="0.25">
      <c r="A3385" t="str">
        <f>"20190312150726325"</f>
        <v>20190312150726325</v>
      </c>
      <c r="B3385" t="str">
        <f>"1552374446313633"</f>
        <v>1552374446313633</v>
      </c>
      <c r="C3385" t="s">
        <v>40</v>
      </c>
      <c r="D3385">
        <v>4.2469219999999996</v>
      </c>
      <c r="E3385">
        <v>0.51618050000000004</v>
      </c>
      <c r="F3385" t="s">
        <v>72</v>
      </c>
      <c r="G3385">
        <v>-510.95510000000002</v>
      </c>
      <c r="H3385">
        <v>4.4843209999999996</v>
      </c>
      <c r="I3385">
        <v>294.28629999999998</v>
      </c>
      <c r="J3385">
        <v>-329.07339999999999</v>
      </c>
      <c r="K3385">
        <v>1.1108750000000001</v>
      </c>
      <c r="L3385">
        <v>283.31040000000002</v>
      </c>
      <c r="M3385">
        <v>-0.99963469999999999</v>
      </c>
      <c r="N3385">
        <v>0</v>
      </c>
      <c r="O3385">
        <v>2.2536839999999999E-2</v>
      </c>
      <c r="P3385">
        <v>-0.99929049999999997</v>
      </c>
      <c r="Q3385">
        <v>3.3153799999999997E-2</v>
      </c>
      <c r="R3385">
        <v>1.787936E-2</v>
      </c>
      <c r="S3385">
        <v>-2.9970699999999999</v>
      </c>
      <c r="T3385">
        <v>5.552435E-2</v>
      </c>
      <c r="U3385">
        <v>0.1807251</v>
      </c>
      <c r="V3385">
        <v>-4.7145659999999999E-3</v>
      </c>
      <c r="W3385">
        <v>4.805603E-2</v>
      </c>
      <c r="X3385">
        <v>0.99883350000000004</v>
      </c>
      <c r="Y3385">
        <v>3.7674890000000003E-2</v>
      </c>
      <c r="Z3385" s="1">
        <v>6.8416819999999898E-5</v>
      </c>
      <c r="AA3385">
        <v>0.99929000000000001</v>
      </c>
      <c r="AB3385">
        <v>38</v>
      </c>
      <c r="AC3385">
        <v>-181.8817</v>
      </c>
      <c r="AD3385">
        <v>3.3734459999999902</v>
      </c>
      <c r="AE3385">
        <v>10.9758999999999</v>
      </c>
      <c r="AF3385">
        <v>6.8712614642596401</v>
      </c>
      <c r="AG3385">
        <v>3.3734459999999902</v>
      </c>
      <c r="AH3385">
        <v>182.02049434720499</v>
      </c>
      <c r="AI3385">
        <v>88.938995484539404</v>
      </c>
      <c r="AJ3385">
        <v>87.838114709765307</v>
      </c>
      <c r="AK3385">
        <v>182.18137867089001</v>
      </c>
      <c r="AL3385">
        <v>87.245531378090305</v>
      </c>
      <c r="AM3385">
        <v>90.270438194172698</v>
      </c>
      <c r="AN3385">
        <v>0.99999998493708897</v>
      </c>
    </row>
    <row r="3386" spans="1:40" x14ac:dyDescent="0.25">
      <c r="A3386" t="str">
        <f>"20190312150726338"</f>
        <v>20190312150726338</v>
      </c>
      <c r="B3386" t="str">
        <f>"1552374446333153"</f>
        <v>1552374446333153</v>
      </c>
      <c r="C3386" t="s">
        <v>40</v>
      </c>
      <c r="D3386">
        <v>4.1355680000000001</v>
      </c>
      <c r="E3386">
        <v>0.51595409999999997</v>
      </c>
      <c r="F3386" t="s">
        <v>72</v>
      </c>
      <c r="G3386">
        <v>-510.95499999999998</v>
      </c>
      <c r="H3386">
        <v>4.2461149999999996</v>
      </c>
      <c r="I3386">
        <v>294.31459999999998</v>
      </c>
      <c r="J3386">
        <v>-329.29500000000002</v>
      </c>
      <c r="K3386">
        <v>1.110884</v>
      </c>
      <c r="L3386">
        <v>283.31509999999997</v>
      </c>
      <c r="M3386">
        <v>-0.99964280000000005</v>
      </c>
      <c r="N3386">
        <v>0</v>
      </c>
      <c r="O3386">
        <v>2.2175830000000001E-2</v>
      </c>
      <c r="P3386">
        <v>-0.999282</v>
      </c>
      <c r="Q3386">
        <v>3.3503650000000003E-2</v>
      </c>
      <c r="R3386">
        <v>1.769051E-2</v>
      </c>
      <c r="S3386">
        <v>-2.9971920000000001</v>
      </c>
      <c r="T3386">
        <v>5.1666379999999998E-2</v>
      </c>
      <c r="U3386">
        <v>0.18133540000000001</v>
      </c>
      <c r="V3386">
        <v>-4.5439809999999999E-3</v>
      </c>
      <c r="W3386">
        <v>4.8403250000000002E-2</v>
      </c>
      <c r="X3386">
        <v>0.99881759999999997</v>
      </c>
      <c r="Y3386">
        <v>3.8236300000000001E-2</v>
      </c>
      <c r="Z3386" s="1">
        <v>5.2611980000000002E-5</v>
      </c>
      <c r="AA3386">
        <v>0.99926870000000001</v>
      </c>
      <c r="AB3386">
        <v>38</v>
      </c>
      <c r="AC3386">
        <v>-181.66</v>
      </c>
      <c r="AD3386">
        <v>3.1352310000000001</v>
      </c>
      <c r="AE3386">
        <v>10.999499999999999</v>
      </c>
      <c r="AF3386">
        <v>6.9658176397507203</v>
      </c>
      <c r="AG3386">
        <v>3.1352310000000001</v>
      </c>
      <c r="AH3386">
        <v>181.80531176572401</v>
      </c>
      <c r="AI3386">
        <v>89.012756951795197</v>
      </c>
      <c r="AJ3386">
        <v>87.805802159742697</v>
      </c>
      <c r="AK3386">
        <v>181.965721153863</v>
      </c>
      <c r="AL3386">
        <v>87.225614167735699</v>
      </c>
      <c r="AM3386">
        <v>90.260657338613996</v>
      </c>
      <c r="AN3386">
        <v>1.00000006022182</v>
      </c>
    </row>
    <row r="3387" spans="1:40" x14ac:dyDescent="0.25">
      <c r="A3387" t="str">
        <f>"20190312150726352"</f>
        <v>20190312150726352</v>
      </c>
      <c r="B3387" t="str">
        <f>"1552374446343889"</f>
        <v>1552374446343889</v>
      </c>
      <c r="C3387" t="s">
        <v>40</v>
      </c>
      <c r="D3387">
        <v>4.1495150000000001</v>
      </c>
      <c r="E3387">
        <v>0.51592970000000005</v>
      </c>
      <c r="F3387" t="s">
        <v>72</v>
      </c>
      <c r="G3387">
        <v>-510.95499999999998</v>
      </c>
      <c r="H3387">
        <v>4.0736100000000004</v>
      </c>
      <c r="I3387">
        <v>294.13709999999998</v>
      </c>
      <c r="J3387">
        <v>-329.54329999999999</v>
      </c>
      <c r="K3387">
        <v>1.1108929999999999</v>
      </c>
      <c r="L3387">
        <v>283.32029999999997</v>
      </c>
      <c r="M3387">
        <v>-0.99965170000000003</v>
      </c>
      <c r="N3387">
        <v>0</v>
      </c>
      <c r="O3387">
        <v>2.1768740000000002E-2</v>
      </c>
      <c r="P3387">
        <v>-0.9992839</v>
      </c>
      <c r="Q3387">
        <v>3.3785780000000001E-2</v>
      </c>
      <c r="R3387">
        <v>1.7036820000000001E-2</v>
      </c>
      <c r="S3387">
        <v>-2.9973139999999998</v>
      </c>
      <c r="T3387">
        <v>4.8885110000000002E-2</v>
      </c>
      <c r="U3387">
        <v>0.178558299999999</v>
      </c>
      <c r="V3387">
        <v>-4.7915780000000003E-3</v>
      </c>
      <c r="W3387">
        <v>4.868186E-2</v>
      </c>
      <c r="X3387">
        <v>0.99880279999999999</v>
      </c>
      <c r="Y3387">
        <v>3.7718500000000002E-2</v>
      </c>
      <c r="Z3387" s="1">
        <v>4.7368460000000003E-5</v>
      </c>
      <c r="AA3387">
        <v>0.99928839999999997</v>
      </c>
      <c r="AB3387">
        <v>38</v>
      </c>
      <c r="AC3387">
        <v>-181.4117</v>
      </c>
      <c r="AD3387">
        <v>2.962717</v>
      </c>
      <c r="AE3387">
        <v>10.816800000000001</v>
      </c>
      <c r="AF3387">
        <v>6.8628685081663399</v>
      </c>
      <c r="AG3387">
        <v>2.962717</v>
      </c>
      <c r="AH3387">
        <v>181.55594373919101</v>
      </c>
      <c r="AI3387">
        <v>89.065770045500301</v>
      </c>
      <c r="AJ3387">
        <v>87.835233203843998</v>
      </c>
      <c r="AK3387">
        <v>181.70976133166499</v>
      </c>
      <c r="AL3387">
        <v>87.209631865100107</v>
      </c>
      <c r="AM3387">
        <v>90.274864157913598</v>
      </c>
      <c r="AN3387">
        <v>0.99999995800031305</v>
      </c>
    </row>
    <row r="3388" spans="1:40" x14ac:dyDescent="0.25">
      <c r="A3388" t="str">
        <f>"20190312150726366"</f>
        <v>20190312150726366</v>
      </c>
      <c r="B3388" t="str">
        <f>"1552374446363409"</f>
        <v>1552374446363409</v>
      </c>
      <c r="C3388" t="s">
        <v>40</v>
      </c>
      <c r="D3388">
        <v>4.0943449999999997</v>
      </c>
      <c r="E3388">
        <v>0.51607840000000005</v>
      </c>
      <c r="F3388" t="s">
        <v>72</v>
      </c>
      <c r="G3388">
        <v>-510.95499999999998</v>
      </c>
      <c r="H3388">
        <v>4.0815700000000001</v>
      </c>
      <c r="I3388">
        <v>294.00299999999999</v>
      </c>
      <c r="J3388">
        <v>-329.77629999999999</v>
      </c>
      <c r="K3388">
        <v>1.1108979999999999</v>
      </c>
      <c r="L3388">
        <v>283.32499999999999</v>
      </c>
      <c r="M3388">
        <v>-0.99966029999999995</v>
      </c>
      <c r="N3388">
        <v>0</v>
      </c>
      <c r="O3388">
        <v>2.138396E-2</v>
      </c>
      <c r="P3388">
        <v>-0.99928410000000001</v>
      </c>
      <c r="Q3388">
        <v>3.404223E-2</v>
      </c>
      <c r="R3388">
        <v>1.6516719999999999E-2</v>
      </c>
      <c r="S3388">
        <v>-2.9974980000000002</v>
      </c>
      <c r="T3388">
        <v>4.9086449999999997E-2</v>
      </c>
      <c r="U3388">
        <v>0.1765137</v>
      </c>
      <c r="V3388">
        <v>-4.9277280000000001E-3</v>
      </c>
      <c r="W3388">
        <v>4.8935239999999998E-2</v>
      </c>
      <c r="X3388">
        <v>0.99878979999999995</v>
      </c>
      <c r="Y3388">
        <v>3.7420229999999999E-2</v>
      </c>
      <c r="Z3388" s="1">
        <v>4.3709409999999999E-5</v>
      </c>
      <c r="AA3388">
        <v>0.99929959999999995</v>
      </c>
      <c r="AB3388">
        <v>38</v>
      </c>
      <c r="AC3388">
        <v>-181.17869999999999</v>
      </c>
      <c r="AD3388">
        <v>2.970672</v>
      </c>
      <c r="AE3388">
        <v>10.6779999999999</v>
      </c>
      <c r="AF3388">
        <v>6.7989880602865496</v>
      </c>
      <c r="AG3388">
        <v>2.970672</v>
      </c>
      <c r="AH3388">
        <v>181.31704852298199</v>
      </c>
      <c r="AI3388">
        <v>89.062017402023002</v>
      </c>
      <c r="AJ3388">
        <v>87.852541190698304</v>
      </c>
      <c r="AK3388">
        <v>181.46879405523401</v>
      </c>
      <c r="AL3388">
        <v>87.195097061055804</v>
      </c>
      <c r="AM3388">
        <v>90.282677822890506</v>
      </c>
      <c r="AN3388">
        <v>1.00000000240056</v>
      </c>
    </row>
    <row r="3389" spans="1:40" x14ac:dyDescent="0.25">
      <c r="A3389" t="str">
        <f>"20190312150726378"</f>
        <v>20190312150726378</v>
      </c>
      <c r="B3389" t="str">
        <f>"1552374446373168"</f>
        <v>1552374446373168</v>
      </c>
      <c r="C3389" t="s">
        <v>40</v>
      </c>
      <c r="D3389">
        <v>4.1600199999999896</v>
      </c>
      <c r="E3389">
        <v>0.51600919999999995</v>
      </c>
      <c r="F3389" t="s">
        <v>72</v>
      </c>
      <c r="G3389">
        <v>-510.95499999999998</v>
      </c>
      <c r="H3389">
        <v>4.1773540000000002</v>
      </c>
      <c r="I3389">
        <v>293.96640000000002</v>
      </c>
      <c r="J3389">
        <v>-329.98160000000001</v>
      </c>
      <c r="K3389">
        <v>1.1109039999999999</v>
      </c>
      <c r="L3389">
        <v>283.32909999999998</v>
      </c>
      <c r="M3389">
        <v>-0.99966739999999998</v>
      </c>
      <c r="N3389">
        <v>0</v>
      </c>
      <c r="O3389">
        <v>2.104249E-2</v>
      </c>
      <c r="P3389">
        <v>-0.99928740000000005</v>
      </c>
      <c r="Q3389">
        <v>3.4058129999999999E-2</v>
      </c>
      <c r="R3389">
        <v>1.6276450000000001E-2</v>
      </c>
      <c r="S3389">
        <v>-2.9974980000000002</v>
      </c>
      <c r="T3389">
        <v>5.073416E-2</v>
      </c>
      <c r="U3389">
        <v>0.17605589999999999</v>
      </c>
      <c r="V3389">
        <v>-4.8277110000000002E-3</v>
      </c>
      <c r="W3389">
        <v>4.8949060000000003E-2</v>
      </c>
      <c r="X3389">
        <v>0.99878960000000006</v>
      </c>
      <c r="Y3389">
        <v>3.760927E-2</v>
      </c>
      <c r="Z3389" s="1">
        <v>3.780643E-5</v>
      </c>
      <c r="AA3389">
        <v>0.99929250000000003</v>
      </c>
      <c r="AB3389">
        <v>38</v>
      </c>
      <c r="AC3389">
        <v>-180.9734</v>
      </c>
      <c r="AD3389">
        <v>3.0664500000000001</v>
      </c>
      <c r="AE3389">
        <v>10.6373</v>
      </c>
      <c r="AF3389">
        <v>6.8244372888855898</v>
      </c>
      <c r="AG3389">
        <v>3.0664500000000001</v>
      </c>
      <c r="AH3389">
        <v>181.10536312170601</v>
      </c>
      <c r="AI3389">
        <v>89.030656611982295</v>
      </c>
      <c r="AJ3389">
        <v>87.841993557845399</v>
      </c>
      <c r="AK3389">
        <v>181.25983728161401</v>
      </c>
      <c r="AL3389">
        <v>87.194304251792204</v>
      </c>
      <c r="AM3389">
        <v>90.276940519688097</v>
      </c>
      <c r="AN3389">
        <v>0.99999999116827099</v>
      </c>
    </row>
    <row r="3390" spans="1:40" x14ac:dyDescent="0.25">
      <c r="A3390" t="str">
        <f>"20190312150726390"</f>
        <v>20190312150726390</v>
      </c>
      <c r="B3390" t="str">
        <f>"1552374446383905"</f>
        <v>1552374446383905</v>
      </c>
      <c r="C3390" t="s">
        <v>40</v>
      </c>
      <c r="D3390">
        <v>4.0950980000000001</v>
      </c>
      <c r="E3390">
        <v>0.51619700000000002</v>
      </c>
      <c r="F3390" t="s">
        <v>72</v>
      </c>
      <c r="G3390">
        <v>-510.95499999999998</v>
      </c>
      <c r="H3390">
        <v>4.1062440000000002</v>
      </c>
      <c r="I3390">
        <v>293.87709999999998</v>
      </c>
      <c r="J3390">
        <v>-330.18669999999997</v>
      </c>
      <c r="K3390">
        <v>1.110908</v>
      </c>
      <c r="L3390">
        <v>283.3331</v>
      </c>
      <c r="M3390">
        <v>-0.99967470000000003</v>
      </c>
      <c r="N3390">
        <v>0</v>
      </c>
      <c r="O3390">
        <v>2.0700199999999998E-2</v>
      </c>
      <c r="P3390">
        <v>-0.99929520000000005</v>
      </c>
      <c r="Q3390">
        <v>3.4044659999999997E-2</v>
      </c>
      <c r="R3390">
        <v>1.581925E-2</v>
      </c>
      <c r="S3390">
        <v>-2.9975589999999999</v>
      </c>
      <c r="T3390">
        <v>4.961467E-2</v>
      </c>
      <c r="U3390">
        <v>0.17471310000000001</v>
      </c>
      <c r="V3390">
        <v>-4.9434470000000001E-3</v>
      </c>
      <c r="W3390">
        <v>4.8933329999999997E-2</v>
      </c>
      <c r="X3390">
        <v>0.99878979999999995</v>
      </c>
      <c r="Y3390">
        <v>3.7504210000000003E-2</v>
      </c>
      <c r="Z3390" s="1">
        <v>3.2182840000000002E-5</v>
      </c>
      <c r="AA3390">
        <v>0.99929650000000003</v>
      </c>
      <c r="AB3390">
        <v>38</v>
      </c>
      <c r="AC3390">
        <v>-180.76830000000001</v>
      </c>
      <c r="AD3390">
        <v>2.995336</v>
      </c>
      <c r="AE3390">
        <v>10.543999999999899</v>
      </c>
      <c r="AF3390">
        <v>6.7975247928481304</v>
      </c>
      <c r="AG3390">
        <v>2.995336</v>
      </c>
      <c r="AH3390">
        <v>180.89834483647499</v>
      </c>
      <c r="AI3390">
        <v>89.052045349140101</v>
      </c>
      <c r="AJ3390">
        <v>87.848038201119294</v>
      </c>
      <c r="AK3390">
        <v>181.050792723032</v>
      </c>
      <c r="AL3390">
        <v>87.195206582673407</v>
      </c>
      <c r="AM3390">
        <v>90.283579524495806</v>
      </c>
      <c r="AN3390">
        <v>0.99999998651858502</v>
      </c>
    </row>
    <row r="3391" spans="1:40" x14ac:dyDescent="0.25">
      <c r="A3391" t="str">
        <f>"20190312150726401"</f>
        <v>20190312150726401</v>
      </c>
      <c r="B3391" t="str">
        <f>"1552374446393665"</f>
        <v>1552374446393665</v>
      </c>
      <c r="C3391" t="s">
        <v>40</v>
      </c>
      <c r="D3391">
        <v>4.0890490000000002</v>
      </c>
      <c r="E3391">
        <v>0.51640699999999995</v>
      </c>
      <c r="F3391" t="s">
        <v>72</v>
      </c>
      <c r="G3391">
        <v>-510.95499999999998</v>
      </c>
      <c r="H3391">
        <v>4.2294340000000004</v>
      </c>
      <c r="I3391">
        <v>293.88929999999999</v>
      </c>
      <c r="J3391">
        <v>-330.37889999999999</v>
      </c>
      <c r="K3391">
        <v>1.1109100000000001</v>
      </c>
      <c r="L3391">
        <v>283.33679999999998</v>
      </c>
      <c r="M3391">
        <v>-0.99968120000000005</v>
      </c>
      <c r="N3391">
        <v>0</v>
      </c>
      <c r="O3391">
        <v>2.037831E-2</v>
      </c>
      <c r="P3391">
        <v>-0.9992972</v>
      </c>
      <c r="Q3391">
        <v>3.4159429999999998E-2</v>
      </c>
      <c r="R3391">
        <v>1.54353999999999E-2</v>
      </c>
      <c r="S3391">
        <v>-2.9975890000000001</v>
      </c>
      <c r="T3391">
        <v>5.1714179999999998E-2</v>
      </c>
      <c r="U3391">
        <v>0.17504879999999901</v>
      </c>
      <c r="V3391">
        <v>-5.0062839999999997E-3</v>
      </c>
      <c r="W3391">
        <v>4.9045730000000003E-2</v>
      </c>
      <c r="X3391">
        <v>0.99878400000000001</v>
      </c>
      <c r="Y3391">
        <v>3.7936600000000001E-2</v>
      </c>
      <c r="Z3391" s="1">
        <v>2.427146E-5</v>
      </c>
      <c r="AA3391">
        <v>0.99928019999999995</v>
      </c>
      <c r="AB3391">
        <v>38</v>
      </c>
      <c r="AC3391">
        <v>-180.5761</v>
      </c>
      <c r="AD3391">
        <v>3.1185239999999901</v>
      </c>
      <c r="AE3391">
        <v>10.5525</v>
      </c>
      <c r="AF3391">
        <v>6.8680221006015403</v>
      </c>
      <c r="AG3391">
        <v>3.1185239999999901</v>
      </c>
      <c r="AH3391">
        <v>180.69994937607899</v>
      </c>
      <c r="AI3391">
        <v>89.0119994667687</v>
      </c>
      <c r="AJ3391">
        <v>87.823356575459897</v>
      </c>
      <c r="AK3391">
        <v>180.85731012052099</v>
      </c>
      <c r="AL3391">
        <v>87.188758868389598</v>
      </c>
      <c r="AM3391">
        <v>90.287185759989001</v>
      </c>
      <c r="AN3391">
        <v>1.0000000125833599</v>
      </c>
    </row>
    <row r="3392" spans="1:40" x14ac:dyDescent="0.25">
      <c r="A3392" t="str">
        <f>"20190312150726413"</f>
        <v>20190312150726413</v>
      </c>
      <c r="B3392" t="str">
        <f>"1552374446403425"</f>
        <v>1552374446403425</v>
      </c>
      <c r="C3392" t="s">
        <v>40</v>
      </c>
      <c r="D3392">
        <v>4.0942879999999997</v>
      </c>
      <c r="E3392">
        <v>0.51652189999999998</v>
      </c>
      <c r="F3392" t="s">
        <v>72</v>
      </c>
      <c r="G3392">
        <v>-510.95499999999998</v>
      </c>
      <c r="H3392">
        <v>4.3567559999999999</v>
      </c>
      <c r="I3392">
        <v>293.91480000000001</v>
      </c>
      <c r="J3392">
        <v>-330.56060000000002</v>
      </c>
      <c r="K3392">
        <v>1.110914</v>
      </c>
      <c r="L3392">
        <v>283.34019999999998</v>
      </c>
      <c r="M3392">
        <v>-0.9996874</v>
      </c>
      <c r="N3392">
        <v>0</v>
      </c>
      <c r="O3392">
        <v>2.0073589999999999E-2</v>
      </c>
      <c r="P3392">
        <v>-0.99931080000000005</v>
      </c>
      <c r="Q3392">
        <v>3.3875889999999999E-2</v>
      </c>
      <c r="R3392">
        <v>1.518277E-2</v>
      </c>
      <c r="S3392">
        <v>-2.99762</v>
      </c>
      <c r="T3392">
        <v>5.3883430000000003E-2</v>
      </c>
      <c r="U3392">
        <v>0.17559810000000001</v>
      </c>
      <c r="V3392">
        <v>-4.9539659999999998E-3</v>
      </c>
      <c r="W3392">
        <v>4.8760919999999999E-2</v>
      </c>
      <c r="X3392">
        <v>0.99879819999999997</v>
      </c>
      <c r="Y3392">
        <v>3.8422749999999999E-2</v>
      </c>
      <c r="Z3392" s="1">
        <v>1.5453089999999999E-5</v>
      </c>
      <c r="AA3392">
        <v>0.99926159999999997</v>
      </c>
      <c r="AB3392">
        <v>38</v>
      </c>
      <c r="AC3392">
        <v>-180.39439999999999</v>
      </c>
      <c r="AD3392">
        <v>3.2458420000000001</v>
      </c>
      <c r="AE3392">
        <v>10.5746</v>
      </c>
      <c r="AF3392">
        <v>6.9486613624370799</v>
      </c>
      <c r="AG3392">
        <v>3.2458420000000001</v>
      </c>
      <c r="AH3392">
        <v>180.51209664273</v>
      </c>
      <c r="AI3392">
        <v>88.970620687084406</v>
      </c>
      <c r="AJ3392">
        <v>87.795535578058704</v>
      </c>
      <c r="AK3392">
        <v>180.67494685034001</v>
      </c>
      <c r="AL3392">
        <v>87.205096810872703</v>
      </c>
      <c r="AM3392">
        <v>90.284180544281995</v>
      </c>
      <c r="AN3392">
        <v>1.0000000067107999</v>
      </c>
    </row>
    <row r="3393" spans="1:40" x14ac:dyDescent="0.25">
      <c r="A3393" t="str">
        <f>"20190312150726425"</f>
        <v>20190312150726425</v>
      </c>
      <c r="B3393" t="str">
        <f>"1552374446413185"</f>
        <v>1552374446413185</v>
      </c>
      <c r="C3393" t="s">
        <v>40</v>
      </c>
      <c r="D3393">
        <v>4.1600169999999999</v>
      </c>
      <c r="E3393">
        <v>0.5164725</v>
      </c>
      <c r="F3393" t="s">
        <v>72</v>
      </c>
      <c r="G3393">
        <v>-510.95510000000002</v>
      </c>
      <c r="H3393">
        <v>4.3761789999999996</v>
      </c>
      <c r="I3393">
        <v>293.91129999999998</v>
      </c>
      <c r="J3393">
        <v>-330.76409999999998</v>
      </c>
      <c r="K3393">
        <v>1.1109180000000001</v>
      </c>
      <c r="L3393">
        <v>283.34410000000003</v>
      </c>
      <c r="M3393">
        <v>-0.99969419999999998</v>
      </c>
      <c r="N3393">
        <v>0</v>
      </c>
      <c r="O3393">
        <v>1.973192E-2</v>
      </c>
      <c r="P3393">
        <v>-0.99932100000000001</v>
      </c>
      <c r="Q3393">
        <v>3.3713670000000001E-2</v>
      </c>
      <c r="R3393">
        <v>1.4872359999999999E-2</v>
      </c>
      <c r="S3393">
        <v>-2.9975890000000001</v>
      </c>
      <c r="T3393">
        <v>5.4259780000000001E-2</v>
      </c>
      <c r="U3393">
        <v>0.17565919999999999</v>
      </c>
      <c r="V3393">
        <v>-4.9225730000000004E-3</v>
      </c>
      <c r="W3393">
        <v>4.8596609999999998E-2</v>
      </c>
      <c r="X3393">
        <v>0.99880639999999998</v>
      </c>
      <c r="Y3393">
        <v>3.8784979999999997E-2</v>
      </c>
      <c r="Z3393" s="1">
        <v>6.1090399999999997E-6</v>
      </c>
      <c r="AA3393">
        <v>0.99924760000000001</v>
      </c>
      <c r="AB3393">
        <v>38</v>
      </c>
      <c r="AC3393">
        <v>-180.191</v>
      </c>
      <c r="AD3393">
        <v>3.2652610000000002</v>
      </c>
      <c r="AE3393">
        <v>10.5671999999999</v>
      </c>
      <c r="AF3393">
        <v>7.0069397594407397</v>
      </c>
      <c r="AG3393">
        <v>3.2652610000000002</v>
      </c>
      <c r="AH3393">
        <v>180.30543972939</v>
      </c>
      <c r="AI3393">
        <v>88.963291608557498</v>
      </c>
      <c r="AJ3393">
        <v>87.774519959778203</v>
      </c>
      <c r="AK3393">
        <v>180.471080038324</v>
      </c>
      <c r="AL3393">
        <v>87.214522356775106</v>
      </c>
      <c r="AM3393">
        <v>90.282377419391295</v>
      </c>
      <c r="AN3393">
        <v>1.0000000434546901</v>
      </c>
    </row>
    <row r="3394" spans="1:40" x14ac:dyDescent="0.25">
      <c r="A3394" t="str">
        <f>"20190312150726437"</f>
        <v>20190312150726437</v>
      </c>
      <c r="B3394" t="str">
        <f>"1552374446433681"</f>
        <v>1552374446433681</v>
      </c>
      <c r="C3394" t="s">
        <v>40</v>
      </c>
      <c r="D3394">
        <v>4.1739449999999998</v>
      </c>
      <c r="E3394">
        <v>0.51640520000000001</v>
      </c>
      <c r="F3394" t="s">
        <v>72</v>
      </c>
      <c r="G3394">
        <v>-510.95499999999998</v>
      </c>
      <c r="H3394">
        <v>4.2493239999999997</v>
      </c>
      <c r="I3394">
        <v>293.82940000000002</v>
      </c>
      <c r="J3394">
        <v>-330.97179999999997</v>
      </c>
      <c r="K3394">
        <v>1.1109230000000001</v>
      </c>
      <c r="L3394">
        <v>283.34780000000001</v>
      </c>
      <c r="M3394">
        <v>-0.99970110000000001</v>
      </c>
      <c r="N3394">
        <v>0</v>
      </c>
      <c r="O3394">
        <v>1.9382750000000001E-2</v>
      </c>
      <c r="P3394">
        <v>-0.99932270000000001</v>
      </c>
      <c r="Q3394">
        <v>3.3800070000000002E-2</v>
      </c>
      <c r="R3394">
        <v>1.4549899999999999E-2</v>
      </c>
      <c r="S3394">
        <v>-2.9977109999999998</v>
      </c>
      <c r="T3394">
        <v>5.2212830000000002E-2</v>
      </c>
      <c r="U3394">
        <v>0.1744385</v>
      </c>
      <c r="V3394">
        <v>-4.8963569999999996E-3</v>
      </c>
      <c r="W3394">
        <v>4.8680439999999998E-2</v>
      </c>
      <c r="X3394">
        <v>0.99880239999999998</v>
      </c>
      <c r="Y3394">
        <v>3.8726280000000002E-2</v>
      </c>
      <c r="Z3394" s="1">
        <v>3.1539820000000001E-7</v>
      </c>
      <c r="AA3394">
        <v>0.99924990000000002</v>
      </c>
      <c r="AB3394">
        <v>38</v>
      </c>
      <c r="AC3394">
        <v>-179.98320000000001</v>
      </c>
      <c r="AD3394">
        <v>3.138401</v>
      </c>
      <c r="AE3394">
        <v>10.4816</v>
      </c>
      <c r="AF3394">
        <v>6.9885560295923304</v>
      </c>
      <c r="AG3394">
        <v>3.138401</v>
      </c>
      <c r="AH3394">
        <v>180.097990366923</v>
      </c>
      <c r="AI3394">
        <v>89.002411155996796</v>
      </c>
      <c r="AJ3394">
        <v>87.777798802101103</v>
      </c>
      <c r="AK3394">
        <v>180.26085434841301</v>
      </c>
      <c r="AL3394">
        <v>87.209713430309705</v>
      </c>
      <c r="AM3394">
        <v>90.280874719383604</v>
      </c>
      <c r="AN3394">
        <v>0.99999999689811203</v>
      </c>
    </row>
    <row r="3395" spans="1:40" x14ac:dyDescent="0.25">
      <c r="A3395" t="str">
        <f>"20190312150726453"</f>
        <v>20190312150726453</v>
      </c>
      <c r="B3395" t="str">
        <f>"1552374446443441"</f>
        <v>1552374446443441</v>
      </c>
      <c r="C3395" t="s">
        <v>40</v>
      </c>
      <c r="D3395">
        <v>4.1253320000000002</v>
      </c>
      <c r="E3395">
        <v>0.51659639999999996</v>
      </c>
      <c r="F3395" t="s">
        <v>72</v>
      </c>
      <c r="G3395">
        <v>-510.95499999999998</v>
      </c>
      <c r="H3395">
        <v>4.1424500000000002</v>
      </c>
      <c r="I3395">
        <v>293.72910000000002</v>
      </c>
      <c r="J3395">
        <v>-331.23270000000002</v>
      </c>
      <c r="K3395">
        <v>1.110922</v>
      </c>
      <c r="L3395">
        <v>283.35250000000002</v>
      </c>
      <c r="M3395">
        <v>-0.99970950000000003</v>
      </c>
      <c r="N3395">
        <v>0</v>
      </c>
      <c r="O3395">
        <v>1.8944309999999999E-2</v>
      </c>
      <c r="P3395">
        <v>-0.99932339999999997</v>
      </c>
      <c r="Q3395">
        <v>3.383253E-2</v>
      </c>
      <c r="R3395">
        <v>1.443826E-2</v>
      </c>
      <c r="S3395">
        <v>-2.997833</v>
      </c>
      <c r="T3395">
        <v>5.0495030000000003E-2</v>
      </c>
      <c r="U3395">
        <v>0.1729126</v>
      </c>
      <c r="V3395">
        <v>-4.5701079999999998E-3</v>
      </c>
      <c r="W3395">
        <v>4.8710919999999998E-2</v>
      </c>
      <c r="X3395">
        <v>0.99880250000000004</v>
      </c>
      <c r="Y3395">
        <v>3.8655389999999998E-2</v>
      </c>
      <c r="Z3395" s="1">
        <v>-6.474293E-6</v>
      </c>
      <c r="AA3395">
        <v>0.99925260000000005</v>
      </c>
      <c r="AB3395">
        <v>38</v>
      </c>
      <c r="AC3395">
        <v>-179.722299999999</v>
      </c>
      <c r="AD3395">
        <v>3.0315279999999998</v>
      </c>
      <c r="AE3395">
        <v>10.3765999999999</v>
      </c>
      <c r="AF3395">
        <v>6.9676685224688804</v>
      </c>
      <c r="AG3395">
        <v>3.0315279999999998</v>
      </c>
      <c r="AH3395">
        <v>179.835641716635</v>
      </c>
      <c r="AI3395">
        <v>89.034968140966996</v>
      </c>
      <c r="AJ3395">
        <v>87.781205029336604</v>
      </c>
      <c r="AK3395">
        <v>179.996101619695</v>
      </c>
      <c r="AL3395">
        <v>87.207965092216398</v>
      </c>
      <c r="AM3395">
        <v>90.262160009604301</v>
      </c>
      <c r="AN3395">
        <v>1.0000000368103099</v>
      </c>
    </row>
    <row r="3396" spans="1:40" x14ac:dyDescent="0.25">
      <c r="A3396" t="str">
        <f>"20190312150726465"</f>
        <v>20190312150726465</v>
      </c>
      <c r="B3396" t="str">
        <f>"1552374446453201"</f>
        <v>1552374446453201</v>
      </c>
      <c r="C3396" t="s">
        <v>40</v>
      </c>
      <c r="D3396">
        <v>4.1096259999999996</v>
      </c>
      <c r="E3396">
        <v>0.51673190000000002</v>
      </c>
      <c r="F3396" t="s">
        <v>72</v>
      </c>
      <c r="G3396">
        <v>-510.95499999999998</v>
      </c>
      <c r="H3396">
        <v>4.2245109999999997</v>
      </c>
      <c r="I3396">
        <v>293.77940000000001</v>
      </c>
      <c r="J3396">
        <v>-331.44110000000001</v>
      </c>
      <c r="K3396">
        <v>1.110924</v>
      </c>
      <c r="L3396">
        <v>283.35610000000003</v>
      </c>
      <c r="M3396">
        <v>-0.99971620000000005</v>
      </c>
      <c r="N3396">
        <v>0</v>
      </c>
      <c r="O3396">
        <v>1.8593599999999998E-2</v>
      </c>
      <c r="P3396">
        <v>-0.99933079999999996</v>
      </c>
      <c r="Q3396">
        <v>3.3750969999999998E-2</v>
      </c>
      <c r="R3396">
        <v>1.4117380000000001E-2</v>
      </c>
      <c r="S3396">
        <v>-2.9977420000000001</v>
      </c>
      <c r="T3396">
        <v>5.1935429999999998E-2</v>
      </c>
      <c r="U3396">
        <v>0.17391970000000001</v>
      </c>
      <c r="V3396">
        <v>-4.5405979999999999E-3</v>
      </c>
      <c r="W3396">
        <v>4.8627089999999998E-2</v>
      </c>
      <c r="X3396">
        <v>0.99880670000000005</v>
      </c>
      <c r="Y3396">
        <v>3.9341939999999999E-2</v>
      </c>
      <c r="Z3396" s="1">
        <v>-1.866967E-5</v>
      </c>
      <c r="AA3396">
        <v>0.99922580000000005</v>
      </c>
      <c r="AB3396">
        <v>38</v>
      </c>
      <c r="AC3396">
        <v>-179.51389999999901</v>
      </c>
      <c r="AD3396">
        <v>3.1135869999999999</v>
      </c>
      <c r="AE3396">
        <v>10.4232999999999</v>
      </c>
      <c r="AF3396">
        <v>7.0811946900832696</v>
      </c>
      <c r="AG3396">
        <v>3.1135869999999999</v>
      </c>
      <c r="AH3396">
        <v>179.62283269723901</v>
      </c>
      <c r="AI3396">
        <v>89.007703504811104</v>
      </c>
      <c r="AJ3396">
        <v>87.742421850351604</v>
      </c>
      <c r="AK3396">
        <v>179.789320507159</v>
      </c>
      <c r="AL3396">
        <v>87.212773841816798</v>
      </c>
      <c r="AM3396">
        <v>90.260466123949897</v>
      </c>
      <c r="AN3396">
        <v>1.00000001743847</v>
      </c>
    </row>
    <row r="3397" spans="1:40" x14ac:dyDescent="0.25">
      <c r="A3397" t="str">
        <f>"20190312150726478"</f>
        <v>20190312150726478</v>
      </c>
      <c r="B3397" t="str">
        <f>"1552374446473697"</f>
        <v>1552374446473697</v>
      </c>
      <c r="C3397" t="s">
        <v>40</v>
      </c>
      <c r="D3397">
        <v>4.1152319999999998</v>
      </c>
      <c r="E3397">
        <v>0.51694110000000004</v>
      </c>
      <c r="F3397" t="s">
        <v>72</v>
      </c>
      <c r="G3397">
        <v>-510.95499999999998</v>
      </c>
      <c r="H3397">
        <v>4.2749240000000004</v>
      </c>
      <c r="I3397">
        <v>293.79450000000003</v>
      </c>
      <c r="J3397">
        <v>-331.66989999999998</v>
      </c>
      <c r="K3397">
        <v>1.1109260000000001</v>
      </c>
      <c r="L3397">
        <v>283.36</v>
      </c>
      <c r="M3397">
        <v>-0.99972340000000004</v>
      </c>
      <c r="N3397">
        <v>0</v>
      </c>
      <c r="O3397">
        <v>1.8208640000000002E-2</v>
      </c>
      <c r="P3397">
        <v>-0.99934909999999999</v>
      </c>
      <c r="Q3397">
        <v>3.3318960000000002E-2</v>
      </c>
      <c r="R3397">
        <v>1.38437E-2</v>
      </c>
      <c r="S3397">
        <v>-2.9978030000000002</v>
      </c>
      <c r="T3397">
        <v>5.2838919999999998E-2</v>
      </c>
      <c r="U3397">
        <v>0.17431640000000001</v>
      </c>
      <c r="V3397">
        <v>-4.4297199999999998E-3</v>
      </c>
      <c r="W3397">
        <v>4.819321E-2</v>
      </c>
      <c r="X3397">
        <v>0.99882820000000005</v>
      </c>
      <c r="Y3397">
        <v>3.9857070000000001E-2</v>
      </c>
      <c r="Z3397" s="1">
        <v>-3.030695E-5</v>
      </c>
      <c r="AA3397">
        <v>0.99920540000000002</v>
      </c>
      <c r="AB3397">
        <v>37</v>
      </c>
      <c r="AC3397">
        <v>-179.2851</v>
      </c>
      <c r="AD3397">
        <v>3.1639979999999901</v>
      </c>
      <c r="AE3397">
        <v>10.4345</v>
      </c>
      <c r="AF3397">
        <v>7.1656459224821702</v>
      </c>
      <c r="AG3397">
        <v>3.1639979999999901</v>
      </c>
      <c r="AH3397">
        <v>179.389706901561</v>
      </c>
      <c r="AI3397">
        <v>88.990351605797898</v>
      </c>
      <c r="AJ3397">
        <v>87.712560407744704</v>
      </c>
      <c r="AK3397">
        <v>179.56064242215899</v>
      </c>
      <c r="AL3397">
        <v>87.237662440897694</v>
      </c>
      <c r="AM3397">
        <v>90.254100351253896</v>
      </c>
      <c r="AN3397">
        <v>0.99999999051231103</v>
      </c>
    </row>
    <row r="3398" spans="1:40" x14ac:dyDescent="0.25">
      <c r="A3398" t="str">
        <f>"20190312150726492"</f>
        <v>20190312150726492</v>
      </c>
      <c r="B3398" t="str">
        <f>"1552374446483459"</f>
        <v>1552374446483459</v>
      </c>
      <c r="C3398" t="s">
        <v>40</v>
      </c>
      <c r="D3398">
        <v>4.3801560000000004</v>
      </c>
      <c r="E3398">
        <v>0.51689759999999996</v>
      </c>
      <c r="F3398" t="s">
        <v>72</v>
      </c>
      <c r="G3398">
        <v>-510.95499999999998</v>
      </c>
      <c r="H3398">
        <v>4.2287600000000003</v>
      </c>
      <c r="I3398">
        <v>293.8272</v>
      </c>
      <c r="J3398">
        <v>-331.88350000000003</v>
      </c>
      <c r="K3398">
        <v>1.110927</v>
      </c>
      <c r="L3398">
        <v>283.36360000000002</v>
      </c>
      <c r="M3398">
        <v>-0.99972989999999995</v>
      </c>
      <c r="N3398">
        <v>0</v>
      </c>
      <c r="O3398">
        <v>1.7849009999999998E-2</v>
      </c>
      <c r="P3398">
        <v>-0.99935220000000002</v>
      </c>
      <c r="Q3398">
        <v>3.3322549999999999E-2</v>
      </c>
      <c r="R3398">
        <v>1.3601149999999999E-2</v>
      </c>
      <c r="S3398">
        <v>-2.9977719999999999</v>
      </c>
      <c r="T3398">
        <v>5.2133800000000001E-2</v>
      </c>
      <c r="U3398">
        <v>0.17501829999999999</v>
      </c>
      <c r="V3398">
        <v>-4.312555E-3</v>
      </c>
      <c r="W3398">
        <v>4.8194630000000002E-2</v>
      </c>
      <c r="X3398">
        <v>0.99882859999999996</v>
      </c>
      <c r="Y3398">
        <v>4.0450220000000002E-2</v>
      </c>
      <c r="Z3398" s="1">
        <v>-4.13025E-5</v>
      </c>
      <c r="AA3398">
        <v>0.9991816</v>
      </c>
      <c r="AB3398">
        <v>37</v>
      </c>
      <c r="AC3398">
        <v>-179.07149999999899</v>
      </c>
      <c r="AD3398">
        <v>3.1178330000000001</v>
      </c>
      <c r="AE3398">
        <v>10.4635999999999</v>
      </c>
      <c r="AF3398">
        <v>7.2631353092482698</v>
      </c>
      <c r="AG3398">
        <v>3.1178330000000001</v>
      </c>
      <c r="AH3398">
        <v>179.175620396265</v>
      </c>
      <c r="AI3398">
        <v>89.003915263839104</v>
      </c>
      <c r="AJ3398">
        <v>87.678706035960204</v>
      </c>
      <c r="AK3398">
        <v>179.349873045739</v>
      </c>
      <c r="AL3398">
        <v>87.237580864107798</v>
      </c>
      <c r="AM3398">
        <v>90.247379445310898</v>
      </c>
      <c r="AN3398">
        <v>0.99999994633471001</v>
      </c>
    </row>
    <row r="3399" spans="1:40" x14ac:dyDescent="0.25">
      <c r="A3399" t="str">
        <f>"20190312150726503"</f>
        <v>20190312150726503</v>
      </c>
      <c r="B3399" t="str">
        <f>"1552374446493217"</f>
        <v>1552374446493217</v>
      </c>
      <c r="C3399" t="s">
        <v>40</v>
      </c>
      <c r="D3399">
        <v>4.168228</v>
      </c>
      <c r="E3399">
        <v>0.51684830000000004</v>
      </c>
      <c r="F3399" t="s">
        <v>72</v>
      </c>
      <c r="G3399">
        <v>-510.95499999999998</v>
      </c>
      <c r="H3399">
        <v>4.1787479999999997</v>
      </c>
      <c r="I3399">
        <v>293.76139999999998</v>
      </c>
      <c r="J3399">
        <v>-332.08940000000001</v>
      </c>
      <c r="K3399">
        <v>1.110922</v>
      </c>
      <c r="L3399">
        <v>283.36700000000002</v>
      </c>
      <c r="M3399">
        <v>-0.99973599999999996</v>
      </c>
      <c r="N3399">
        <v>0</v>
      </c>
      <c r="O3399">
        <v>1.7502319999999998E-2</v>
      </c>
      <c r="P3399">
        <v>-0.99935879999999999</v>
      </c>
      <c r="Q3399">
        <v>3.3305370000000001E-2</v>
      </c>
      <c r="R3399">
        <v>1.3149279999999999E-2</v>
      </c>
      <c r="S3399">
        <v>-2.9978639999999999</v>
      </c>
      <c r="T3399">
        <v>5.1360250000000003E-2</v>
      </c>
      <c r="U3399">
        <v>0.17407230000000001</v>
      </c>
      <c r="V3399">
        <v>-4.4178170000000001E-3</v>
      </c>
      <c r="W3399">
        <v>4.8175099999999998E-2</v>
      </c>
      <c r="X3399">
        <v>0.99882910000000003</v>
      </c>
      <c r="Y3399">
        <v>4.0480740000000001E-2</v>
      </c>
      <c r="Z3399" s="1">
        <v>-4.6882460000000001E-5</v>
      </c>
      <c r="AA3399">
        <v>0.99918030000000002</v>
      </c>
      <c r="AB3399">
        <v>37</v>
      </c>
      <c r="AC3399">
        <v>-178.86559999999901</v>
      </c>
      <c r="AD3399">
        <v>3.0678260000000002</v>
      </c>
      <c r="AE3399">
        <v>10.3943999999999</v>
      </c>
      <c r="AF3399">
        <v>7.2597691052263702</v>
      </c>
      <c r="AG3399">
        <v>3.0678260000000002</v>
      </c>
      <c r="AH3399">
        <v>178.96767118479301</v>
      </c>
      <c r="AI3399">
        <v>89.018750867427997</v>
      </c>
      <c r="AJ3399">
        <v>87.677087699010897</v>
      </c>
      <c r="AK3399">
        <v>179.14112630307901</v>
      </c>
      <c r="AL3399">
        <v>87.2387012013629</v>
      </c>
      <c r="AM3399">
        <v>90.253417344547998</v>
      </c>
      <c r="AN3399">
        <v>0.99999996418693204</v>
      </c>
    </row>
    <row r="3400" spans="1:40" x14ac:dyDescent="0.25">
      <c r="A3400" t="str">
        <f>"20190312150726520"</f>
        <v>20190312150726520</v>
      </c>
      <c r="B3400" t="str">
        <f>"1552374446513713"</f>
        <v>1552374446513713</v>
      </c>
      <c r="C3400" t="s">
        <v>40</v>
      </c>
      <c r="D3400">
        <v>4.0936899999999996</v>
      </c>
      <c r="E3400">
        <v>0.51705310000000004</v>
      </c>
      <c r="F3400" t="s">
        <v>72</v>
      </c>
      <c r="G3400">
        <v>-511.95249999999999</v>
      </c>
      <c r="H3400">
        <v>4.1416079999999997</v>
      </c>
      <c r="I3400">
        <v>293.69319999999999</v>
      </c>
      <c r="J3400">
        <v>-332.35579999999999</v>
      </c>
      <c r="K3400">
        <v>1.110924</v>
      </c>
      <c r="L3400">
        <v>283.37119999999999</v>
      </c>
      <c r="M3400">
        <v>-0.99974390000000002</v>
      </c>
      <c r="N3400">
        <v>0</v>
      </c>
      <c r="O3400">
        <v>1.7054659999999999E-2</v>
      </c>
      <c r="P3400">
        <v>-0.99937370000000003</v>
      </c>
      <c r="Q3400">
        <v>3.2997369999999998E-2</v>
      </c>
      <c r="R3400">
        <v>1.279193E-2</v>
      </c>
      <c r="S3400">
        <v>-2.997986</v>
      </c>
      <c r="T3400">
        <v>5.0517319999999998E-2</v>
      </c>
      <c r="U3400">
        <v>0.1721191</v>
      </c>
      <c r="V3400">
        <v>-4.3273890000000001E-3</v>
      </c>
      <c r="W3400">
        <v>4.7864089999999998E-2</v>
      </c>
      <c r="X3400">
        <v>0.99884450000000002</v>
      </c>
      <c r="Y3400">
        <v>4.027708E-2</v>
      </c>
      <c r="Z3400" s="1">
        <v>-5.1931939999999999E-5</v>
      </c>
      <c r="AA3400">
        <v>0.99918850000000003</v>
      </c>
      <c r="AB3400">
        <v>37</v>
      </c>
      <c r="AC3400">
        <v>-179.5967</v>
      </c>
      <c r="AD3400">
        <v>3.0306839999999999</v>
      </c>
      <c r="AE3400">
        <v>10.321999999999999</v>
      </c>
      <c r="AF3400">
        <v>7.2551396371937997</v>
      </c>
      <c r="AG3400">
        <v>3.0306839999999999</v>
      </c>
      <c r="AH3400">
        <v>179.69562880223</v>
      </c>
      <c r="AI3400">
        <v>89.034547338477196</v>
      </c>
      <c r="AJ3400">
        <v>87.687961405887407</v>
      </c>
      <c r="AK3400">
        <v>179.867565467741</v>
      </c>
      <c r="AL3400">
        <v>87.256541486020595</v>
      </c>
      <c r="AM3400">
        <v>90.248226400378599</v>
      </c>
      <c r="AN3400">
        <v>1.00000001629366</v>
      </c>
    </row>
    <row r="3401" spans="1:40" x14ac:dyDescent="0.25">
      <c r="A3401" t="str">
        <f>"20190312150726535"</f>
        <v>20190312150726535</v>
      </c>
      <c r="B3401" t="str">
        <f>"1552374446523473"</f>
        <v>1552374446523473</v>
      </c>
      <c r="C3401" t="s">
        <v>40</v>
      </c>
      <c r="D3401">
        <v>4.0963710000000004</v>
      </c>
      <c r="E3401">
        <v>0.51712639999999999</v>
      </c>
      <c r="F3401" t="s">
        <v>72</v>
      </c>
      <c r="G3401">
        <v>-511.41359999999997</v>
      </c>
      <c r="H3401">
        <v>4.2166940000000004</v>
      </c>
      <c r="I3401">
        <v>293.69319999999999</v>
      </c>
      <c r="J3401">
        <v>-332.57580000000002</v>
      </c>
      <c r="K3401">
        <v>1.110927</v>
      </c>
      <c r="L3401">
        <v>283.37459999999999</v>
      </c>
      <c r="M3401">
        <v>-0.99975029999999998</v>
      </c>
      <c r="N3401">
        <v>0</v>
      </c>
      <c r="O3401">
        <v>1.6684319999999999E-2</v>
      </c>
      <c r="P3401">
        <v>-0.99937180000000003</v>
      </c>
      <c r="Q3401">
        <v>3.316827E-2</v>
      </c>
      <c r="R3401">
        <v>1.250218E-2</v>
      </c>
      <c r="S3401">
        <v>-2.9979550000000001</v>
      </c>
      <c r="T3401">
        <v>5.2001119999999998E-2</v>
      </c>
      <c r="U3401">
        <v>0.172821</v>
      </c>
      <c r="V3401">
        <v>-4.2473390000000001E-3</v>
      </c>
      <c r="W3401">
        <v>4.803317E-2</v>
      </c>
      <c r="X3401">
        <v>0.99883670000000002</v>
      </c>
      <c r="Y3401">
        <v>4.0880619999999999E-2</v>
      </c>
      <c r="Z3401" s="1">
        <v>-6.5103580000000003E-5</v>
      </c>
      <c r="AA3401">
        <v>0.99916400000000005</v>
      </c>
      <c r="AB3401">
        <v>37</v>
      </c>
      <c r="AC3401">
        <v>-178.83779999999899</v>
      </c>
      <c r="AD3401">
        <v>3.10576699999999</v>
      </c>
      <c r="AE3401">
        <v>10.3186</v>
      </c>
      <c r="AF3401">
        <v>7.3308430186973599</v>
      </c>
      <c r="AG3401">
        <v>3.10576699999999</v>
      </c>
      <c r="AH3401">
        <v>178.93129428062599</v>
      </c>
      <c r="AI3401">
        <v>89.006432271627901</v>
      </c>
      <c r="AJ3401">
        <v>87.653895082629305</v>
      </c>
      <c r="AK3401">
        <v>179.108333477153</v>
      </c>
      <c r="AL3401">
        <v>87.246842685912995</v>
      </c>
      <c r="AM3401">
        <v>90.243636554507205</v>
      </c>
      <c r="AN3401">
        <v>0.99999998928785905</v>
      </c>
    </row>
    <row r="3402" spans="1:40" x14ac:dyDescent="0.25">
      <c r="A3402" t="str">
        <f>"20190312150726548"</f>
        <v>20190312150726548</v>
      </c>
      <c r="B3402" t="str">
        <f>"1552374446543971"</f>
        <v>1552374446543971</v>
      </c>
      <c r="C3402" t="s">
        <v>40</v>
      </c>
      <c r="D3402">
        <v>4.1115199999999996</v>
      </c>
      <c r="E3402">
        <v>0.51727820000000002</v>
      </c>
      <c r="F3402" t="s">
        <v>72</v>
      </c>
      <c r="G3402">
        <v>-511.98590000000002</v>
      </c>
      <c r="H3402">
        <v>4.2962879999999997</v>
      </c>
      <c r="I3402">
        <v>293.69319999999999</v>
      </c>
      <c r="J3402">
        <v>-332.8306</v>
      </c>
      <c r="K3402">
        <v>1.1109249999999999</v>
      </c>
      <c r="L3402">
        <v>283.37849999999997</v>
      </c>
      <c r="M3402">
        <v>-0.99975729999999996</v>
      </c>
      <c r="N3402">
        <v>0</v>
      </c>
      <c r="O3402">
        <v>1.6255329999999998E-2</v>
      </c>
      <c r="P3402">
        <v>-0.99938769999999999</v>
      </c>
      <c r="Q3402">
        <v>3.2954030000000002E-2</v>
      </c>
      <c r="R3402">
        <v>1.1783460000000001E-2</v>
      </c>
      <c r="S3402">
        <v>-2.9979550000000001</v>
      </c>
      <c r="T3402">
        <v>5.322897E-2</v>
      </c>
      <c r="U3402">
        <v>0.1724243</v>
      </c>
      <c r="V3402">
        <v>-4.5364890000000003E-3</v>
      </c>
      <c r="W3402">
        <v>4.7815509999999999E-2</v>
      </c>
      <c r="X3402">
        <v>0.99884589999999995</v>
      </c>
      <c r="Y3402">
        <v>4.1177289999999998E-2</v>
      </c>
      <c r="Z3402" s="1">
        <v>-7.6880100000000003E-5</v>
      </c>
      <c r="AA3402">
        <v>0.99915180000000003</v>
      </c>
      <c r="AB3402">
        <v>37</v>
      </c>
      <c r="AC3402">
        <v>-179.15530000000001</v>
      </c>
      <c r="AD3402">
        <v>3.1853630000000002</v>
      </c>
      <c r="AE3402">
        <v>10.3147</v>
      </c>
      <c r="AF3402">
        <v>7.3984552135545796</v>
      </c>
      <c r="AG3402">
        <v>3.1853630000000002</v>
      </c>
      <c r="AH3402">
        <v>179.24283507757201</v>
      </c>
      <c r="AI3402">
        <v>88.982757537694695</v>
      </c>
      <c r="AJ3402">
        <v>87.6363921697195</v>
      </c>
      <c r="AK3402">
        <v>179.42373757012899</v>
      </c>
      <c r="AL3402">
        <v>87.259328108428406</v>
      </c>
      <c r="AM3402">
        <v>90.260220206507697</v>
      </c>
      <c r="AN3402">
        <v>1.0000000173379</v>
      </c>
    </row>
    <row r="3403" spans="1:40" x14ac:dyDescent="0.25">
      <c r="A3403" t="str">
        <f>"20190312150726563"</f>
        <v>20190312150726563</v>
      </c>
      <c r="B3403" t="str">
        <f>"1552374446553729"</f>
        <v>1552374446553729</v>
      </c>
      <c r="C3403" t="s">
        <v>40</v>
      </c>
      <c r="D3403">
        <v>4.0856539999999999</v>
      </c>
      <c r="E3403">
        <v>0.51736939999999998</v>
      </c>
      <c r="F3403" t="s">
        <v>72</v>
      </c>
      <c r="G3403">
        <v>-512.9819</v>
      </c>
      <c r="H3403">
        <v>4.239655</v>
      </c>
      <c r="I3403">
        <v>293.69319999999999</v>
      </c>
      <c r="J3403">
        <v>-333.0795</v>
      </c>
      <c r="K3403">
        <v>1.110922</v>
      </c>
      <c r="L3403">
        <v>283.38209999999998</v>
      </c>
      <c r="M3403">
        <v>-0.99976399999999999</v>
      </c>
      <c r="N3403">
        <v>0</v>
      </c>
      <c r="O3403">
        <v>1.583648E-2</v>
      </c>
      <c r="P3403">
        <v>-0.99939239999999996</v>
      </c>
      <c r="Q3403">
        <v>3.2871270000000001E-2</v>
      </c>
      <c r="R3403">
        <v>1.1604939999999999E-2</v>
      </c>
      <c r="S3403">
        <v>-2.998138</v>
      </c>
      <c r="T3403">
        <v>5.2070739999999997E-2</v>
      </c>
      <c r="U3403">
        <v>0.17166139999999999</v>
      </c>
      <c r="V3403">
        <v>-4.2964570000000001E-3</v>
      </c>
      <c r="W3403">
        <v>4.7730250000000002E-2</v>
      </c>
      <c r="X3403">
        <v>0.99885100000000004</v>
      </c>
      <c r="Y3403">
        <v>4.1339040000000001E-2</v>
      </c>
      <c r="Z3403" s="1">
        <v>-8.3873159999999904E-5</v>
      </c>
      <c r="AA3403">
        <v>0.99914519999999996</v>
      </c>
      <c r="AB3403">
        <v>37</v>
      </c>
      <c r="AC3403">
        <v>-179.9024</v>
      </c>
      <c r="AD3403">
        <v>3.128733</v>
      </c>
      <c r="AE3403">
        <v>10.3111</v>
      </c>
      <c r="AF3403">
        <v>7.4582224060777502</v>
      </c>
      <c r="AG3403">
        <v>3.128733</v>
      </c>
      <c r="AH3403">
        <v>179.98888336982799</v>
      </c>
      <c r="AI3403">
        <v>89.004985841641897</v>
      </c>
      <c r="AJ3403">
        <v>87.627184896181802</v>
      </c>
      <c r="AK3403">
        <v>180.17050865322301</v>
      </c>
      <c r="AL3403">
        <v>87.264218623495196</v>
      </c>
      <c r="AM3403">
        <v>90.246450506399796</v>
      </c>
      <c r="AN3403">
        <v>0.99999997825440701</v>
      </c>
    </row>
    <row r="3404" spans="1:40" x14ac:dyDescent="0.25">
      <c r="A3404" t="str">
        <f>"20190312150726575"</f>
        <v>20190312150726575</v>
      </c>
      <c r="B3404" t="str">
        <f>"1552374446563489"</f>
        <v>1552374446563489</v>
      </c>
      <c r="C3404" t="s">
        <v>40</v>
      </c>
      <c r="D3404">
        <v>4.1156480000000002</v>
      </c>
      <c r="E3404">
        <v>0.51729929999999902</v>
      </c>
      <c r="F3404" t="s">
        <v>72</v>
      </c>
      <c r="G3404">
        <v>-513.03899999999999</v>
      </c>
      <c r="H3404">
        <v>4.1826619999999997</v>
      </c>
      <c r="I3404">
        <v>293.69319999999999</v>
      </c>
      <c r="J3404">
        <v>-333.26350000000002</v>
      </c>
      <c r="K3404">
        <v>1.110924</v>
      </c>
      <c r="L3404">
        <v>283.38479999999998</v>
      </c>
      <c r="M3404">
        <v>-0.99976869999999995</v>
      </c>
      <c r="N3404">
        <v>0</v>
      </c>
      <c r="O3404">
        <v>1.552693E-2</v>
      </c>
      <c r="P3404">
        <v>-0.99940589999999996</v>
      </c>
      <c r="Q3404">
        <v>3.2604420000000002E-2</v>
      </c>
      <c r="R3404">
        <v>1.1173529999999999E-2</v>
      </c>
      <c r="S3404">
        <v>-2.998138</v>
      </c>
      <c r="T3404">
        <v>5.117679E-2</v>
      </c>
      <c r="U3404">
        <v>0.171783399999999</v>
      </c>
      <c r="V3404">
        <v>-4.4179680000000004E-3</v>
      </c>
      <c r="W3404">
        <v>4.7461620000000003E-2</v>
      </c>
      <c r="X3404">
        <v>0.99886330000000001</v>
      </c>
      <c r="Y3404">
        <v>4.1688969999999999E-2</v>
      </c>
      <c r="Z3404" s="1">
        <v>-9.0695310000000006E-5</v>
      </c>
      <c r="AA3404">
        <v>0.99913059999999998</v>
      </c>
      <c r="AB3404">
        <v>37</v>
      </c>
      <c r="AC3404">
        <v>-179.775499999999</v>
      </c>
      <c r="AD3404">
        <v>3.0717379999999999</v>
      </c>
      <c r="AE3404">
        <v>10.308400000000001</v>
      </c>
      <c r="AF3404">
        <v>7.5132999885975904</v>
      </c>
      <c r="AG3404">
        <v>3.0717379999999999</v>
      </c>
      <c r="AH3404">
        <v>179.86156042706401</v>
      </c>
      <c r="AI3404">
        <v>89.022430329904694</v>
      </c>
      <c r="AJ3404">
        <v>87.607992222240895</v>
      </c>
      <c r="AK3404">
        <v>180.04462271980699</v>
      </c>
      <c r="AL3404">
        <v>87.279627533241893</v>
      </c>
      <c r="AM3404">
        <v>90.253417329263897</v>
      </c>
      <c r="AN3404">
        <v>1.00000000795058</v>
      </c>
    </row>
    <row r="3405" spans="1:40" x14ac:dyDescent="0.25">
      <c r="A3405" t="str">
        <f>"20190312150726585"</f>
        <v>20190312150726585</v>
      </c>
      <c r="B3405" t="str">
        <f>"1552374446583985"</f>
        <v>1552374446583985</v>
      </c>
      <c r="C3405" t="s">
        <v>40</v>
      </c>
      <c r="D3405">
        <v>4.0840230000000002</v>
      </c>
      <c r="E3405">
        <v>0.49807869999999999</v>
      </c>
      <c r="F3405" t="s">
        <v>72</v>
      </c>
      <c r="G3405">
        <v>-530.26940000000002</v>
      </c>
      <c r="H3405">
        <v>4.49099</v>
      </c>
      <c r="I3405">
        <v>294.55</v>
      </c>
      <c r="J3405">
        <v>-333.45429999999999</v>
      </c>
      <c r="K3405">
        <v>1.1109230000000001</v>
      </c>
      <c r="L3405">
        <v>283.38749999999999</v>
      </c>
      <c r="M3405">
        <v>-0.99977369999999999</v>
      </c>
      <c r="N3405">
        <v>0</v>
      </c>
      <c r="O3405">
        <v>1.520528E-2</v>
      </c>
      <c r="P3405">
        <v>-0.9994054</v>
      </c>
      <c r="Q3405">
        <v>3.2738089999999997E-2</v>
      </c>
      <c r="R3405">
        <v>1.081345E-2</v>
      </c>
      <c r="S3405">
        <v>-2.9981990000000001</v>
      </c>
      <c r="T3405">
        <v>5.144191E-2</v>
      </c>
      <c r="U3405">
        <v>0.16992189999999999</v>
      </c>
      <c r="V3405">
        <v>-4.4569969999999999E-3</v>
      </c>
      <c r="W3405">
        <v>4.7593080000000003E-2</v>
      </c>
      <c r="X3405">
        <v>0.99885679999999999</v>
      </c>
      <c r="Y3405">
        <v>4.1390860000000002E-2</v>
      </c>
      <c r="Z3405" s="1">
        <v>-9.4122079999999997E-5</v>
      </c>
      <c r="AA3405">
        <v>0.999143</v>
      </c>
      <c r="AB3405">
        <v>37</v>
      </c>
      <c r="AC3405">
        <v>-196.8151</v>
      </c>
      <c r="AD3405">
        <v>3.3800669999999999</v>
      </c>
      <c r="AE3405">
        <v>11.1625</v>
      </c>
      <c r="AF3405">
        <v>8.1658485726887093</v>
      </c>
      <c r="AG3405">
        <v>3.3800669999999999</v>
      </c>
      <c r="AH3405">
        <v>196.90420076290499</v>
      </c>
      <c r="AI3405">
        <v>89.017398916836697</v>
      </c>
      <c r="AJ3405">
        <v>87.625237494265804</v>
      </c>
      <c r="AK3405">
        <v>197.10243583962901</v>
      </c>
      <c r="AL3405">
        <v>87.272086713671996</v>
      </c>
      <c r="AM3405">
        <v>90.255657690480803</v>
      </c>
      <c r="AN3405">
        <v>0.99999993649619001</v>
      </c>
    </row>
    <row r="3406" spans="1:40" x14ac:dyDescent="0.25">
      <c r="A3406" t="str">
        <f>"20190312150726597"</f>
        <v>20190312150726597</v>
      </c>
      <c r="B3406" t="str">
        <f>"1552374446593745"</f>
        <v>1552374446593745</v>
      </c>
      <c r="C3406" t="s">
        <v>40</v>
      </c>
      <c r="D3406">
        <v>4.1804589999999999</v>
      </c>
      <c r="E3406">
        <v>0.4945503</v>
      </c>
      <c r="F3406" t="s">
        <v>48</v>
      </c>
      <c r="G3406">
        <v>0</v>
      </c>
      <c r="H3406">
        <v>0</v>
      </c>
      <c r="I3406">
        <v>0</v>
      </c>
      <c r="J3406">
        <v>-333.64609999999999</v>
      </c>
      <c r="K3406">
        <v>1.1109279999999999</v>
      </c>
      <c r="L3406">
        <v>283.39010000000002</v>
      </c>
      <c r="M3406">
        <v>-0.99977879999999997</v>
      </c>
      <c r="N3406">
        <v>0</v>
      </c>
      <c r="O3406">
        <v>1.488227E-2</v>
      </c>
      <c r="P3406">
        <v>-0.99941170000000001</v>
      </c>
      <c r="Q3406">
        <v>3.2704039999999997E-2</v>
      </c>
      <c r="R3406">
        <v>1.0352449999999999E-2</v>
      </c>
      <c r="S3406">
        <v>-2.9997560000000001</v>
      </c>
      <c r="T3406">
        <v>5.7085160000000003E-2</v>
      </c>
      <c r="U3406">
        <v>1.5625E-2</v>
      </c>
      <c r="V3406">
        <v>-4.5946520000000003E-3</v>
      </c>
      <c r="W3406">
        <v>4.755641E-2</v>
      </c>
      <c r="X3406">
        <v>0.99885800000000002</v>
      </c>
      <c r="Y3406">
        <v>-9.6711539999999995E-3</v>
      </c>
      <c r="Z3406">
        <v>3.7521350000000001E-4</v>
      </c>
      <c r="AA3406">
        <v>0.99995319999999999</v>
      </c>
      <c r="AB3406">
        <v>37</v>
      </c>
      <c r="AC3406">
        <v>-2.9997560000000001</v>
      </c>
      <c r="AD3406">
        <v>5.7085160000000003E-2</v>
      </c>
      <c r="AE3406">
        <v>1.5625E-2</v>
      </c>
      <c r="AF3406">
        <v>-2.9014333579069601E-2</v>
      </c>
      <c r="AG3406">
        <v>5.7085160000000003E-2</v>
      </c>
      <c r="AH3406">
        <v>2.99857040539937</v>
      </c>
      <c r="AI3406">
        <v>88.909416753539205</v>
      </c>
      <c r="AJ3406">
        <v>90.554379839841999</v>
      </c>
      <c r="AK3406">
        <v>2.99925407779704</v>
      </c>
      <c r="AL3406">
        <v>87.274190342005497</v>
      </c>
      <c r="AM3406">
        <v>90.263553289068199</v>
      </c>
      <c r="AN3406">
        <v>1.0000000135615399</v>
      </c>
    </row>
    <row r="3407" spans="1:40" x14ac:dyDescent="0.25">
      <c r="A3407" t="str">
        <f>"20190312150726609"</f>
        <v>20190312150726609</v>
      </c>
      <c r="B3407" t="str">
        <f>"1552374446603505"</f>
        <v>1552374446603505</v>
      </c>
      <c r="C3407" t="s">
        <v>40</v>
      </c>
      <c r="D3407">
        <v>4.1387960000000001</v>
      </c>
      <c r="E3407">
        <v>0.49295650000000002</v>
      </c>
      <c r="F3407" t="s">
        <v>48</v>
      </c>
      <c r="G3407">
        <v>0</v>
      </c>
      <c r="H3407">
        <v>0</v>
      </c>
      <c r="I3407">
        <v>0</v>
      </c>
      <c r="J3407">
        <v>-333.82490000000001</v>
      </c>
      <c r="K3407">
        <v>1.110927</v>
      </c>
      <c r="L3407">
        <v>283.39249999999998</v>
      </c>
      <c r="M3407">
        <v>-0.99978319999999998</v>
      </c>
      <c r="N3407">
        <v>0</v>
      </c>
      <c r="O3407">
        <v>1.4581119999999999E-2</v>
      </c>
      <c r="P3407">
        <v>-0.99941340000000001</v>
      </c>
      <c r="Q3407">
        <v>3.2792290000000002E-2</v>
      </c>
      <c r="R3407">
        <v>9.8818199999999995E-3</v>
      </c>
      <c r="S3407">
        <v>-3.0004879999999998</v>
      </c>
      <c r="T3407">
        <v>4.409838E-2</v>
      </c>
      <c r="U3407">
        <v>-1.4434809999999999E-2</v>
      </c>
      <c r="V3407">
        <v>-4.7646700000000004E-3</v>
      </c>
      <c r="W3407">
        <v>4.7642610000000002E-2</v>
      </c>
      <c r="X3407">
        <v>0.99885310000000005</v>
      </c>
      <c r="Y3407">
        <v>-1.9389159999999999E-2</v>
      </c>
      <c r="Z3407">
        <v>3.5678020000000002E-4</v>
      </c>
      <c r="AA3407">
        <v>0.99981189999999998</v>
      </c>
      <c r="AB3407">
        <v>37</v>
      </c>
      <c r="AC3407">
        <v>-3.0004879999999998</v>
      </c>
      <c r="AD3407">
        <v>4.409838E-2</v>
      </c>
      <c r="AE3407">
        <v>-1.4434809999999999E-2</v>
      </c>
      <c r="AF3407">
        <v>-5.8176018729437597E-2</v>
      </c>
      <c r="AG3407">
        <v>4.409838E-2</v>
      </c>
      <c r="AH3407">
        <v>2.99931060049905</v>
      </c>
      <c r="AI3407">
        <v>89.157808477567499</v>
      </c>
      <c r="AJ3407">
        <v>91.111196160271305</v>
      </c>
      <c r="AK3407">
        <v>3.0001988591658102</v>
      </c>
      <c r="AL3407">
        <v>87.269245853074395</v>
      </c>
      <c r="AM3407">
        <v>90.273306866844493</v>
      </c>
      <c r="AN3407">
        <v>1.0000000178737101</v>
      </c>
    </row>
    <row r="3408" spans="1:40" x14ac:dyDescent="0.25">
      <c r="A3408" t="str">
        <f>"20190312150726621"</f>
        <v>20190312150726621</v>
      </c>
      <c r="B3408" t="str">
        <f>"1552374446613265"</f>
        <v>1552374446613265</v>
      </c>
      <c r="C3408" t="s">
        <v>40</v>
      </c>
      <c r="D3408">
        <v>4.1554129999999896</v>
      </c>
      <c r="E3408">
        <v>0.49187649999999999</v>
      </c>
      <c r="F3408" t="s">
        <v>48</v>
      </c>
      <c r="G3408">
        <v>0</v>
      </c>
      <c r="H3408">
        <v>0</v>
      </c>
      <c r="I3408">
        <v>0</v>
      </c>
      <c r="J3408">
        <v>-334.02859999999998</v>
      </c>
      <c r="K3408">
        <v>1.110927</v>
      </c>
      <c r="L3408">
        <v>283.39510000000001</v>
      </c>
      <c r="M3408">
        <v>-0.99978829999999996</v>
      </c>
      <c r="N3408">
        <v>0</v>
      </c>
      <c r="O3408">
        <v>1.4237909999999999E-2</v>
      </c>
      <c r="P3408">
        <v>-0.99941829999999998</v>
      </c>
      <c r="Q3408">
        <v>3.2742920000000002E-2</v>
      </c>
      <c r="R3408">
        <v>9.5664340000000004E-3</v>
      </c>
      <c r="S3408">
        <v>-3.0007929999999998</v>
      </c>
      <c r="T3408">
        <v>3.8331990000000003E-2</v>
      </c>
      <c r="U3408">
        <v>-2.8594970000000001E-2</v>
      </c>
      <c r="V3408">
        <v>-4.7365799999999998E-3</v>
      </c>
      <c r="W3408">
        <v>4.75907E-2</v>
      </c>
      <c r="X3408">
        <v>0.99885570000000001</v>
      </c>
      <c r="Y3408">
        <v>-2.3763469999999998E-2</v>
      </c>
      <c r="Z3408">
        <v>3.3364849999999998E-4</v>
      </c>
      <c r="AA3408">
        <v>0.99971750000000004</v>
      </c>
      <c r="AB3408">
        <v>37</v>
      </c>
      <c r="AC3408">
        <v>-3.0007929999999998</v>
      </c>
      <c r="AD3408">
        <v>3.8331990000000003E-2</v>
      </c>
      <c r="AE3408">
        <v>-2.8594970000000001E-2</v>
      </c>
      <c r="AF3408">
        <v>-7.1310170758613303E-2</v>
      </c>
      <c r="AG3408">
        <v>3.8331990000000003E-2</v>
      </c>
      <c r="AH3408">
        <v>2.9995921717531302</v>
      </c>
      <c r="AI3408">
        <v>89.268060017921997</v>
      </c>
      <c r="AJ3408">
        <v>91.361852588715095</v>
      </c>
      <c r="AK3408">
        <v>3.0006845350275699</v>
      </c>
      <c r="AL3408">
        <v>87.272223432081603</v>
      </c>
      <c r="AM3408">
        <v>90.271694909653306</v>
      </c>
      <c r="AN3408">
        <v>1.0000000096695301</v>
      </c>
    </row>
    <row r="3409" spans="1:40" x14ac:dyDescent="0.25">
      <c r="A3409" t="str">
        <f>"20190312150726630"</f>
        <v>20190312150726630</v>
      </c>
      <c r="B3409" t="str">
        <f>"1552374446624001"</f>
        <v>1552374446624001</v>
      </c>
      <c r="C3409" t="s">
        <v>40</v>
      </c>
      <c r="D3409">
        <v>4.1341159999999997</v>
      </c>
      <c r="E3409">
        <v>0.49132110000000001</v>
      </c>
      <c r="F3409" t="s">
        <v>48</v>
      </c>
      <c r="G3409">
        <v>0</v>
      </c>
      <c r="H3409">
        <v>0</v>
      </c>
      <c r="I3409">
        <v>0</v>
      </c>
      <c r="J3409">
        <v>-334.19749999999999</v>
      </c>
      <c r="K3409">
        <v>1.110924</v>
      </c>
      <c r="L3409">
        <v>283.39729999999997</v>
      </c>
      <c r="M3409">
        <v>-0.99979220000000002</v>
      </c>
      <c r="N3409">
        <v>0</v>
      </c>
      <c r="O3409">
        <v>1.3953399999999999E-2</v>
      </c>
      <c r="P3409">
        <v>-0.99942540000000002</v>
      </c>
      <c r="Q3409">
        <v>3.2628629999999999E-2</v>
      </c>
      <c r="R3409">
        <v>9.1841200000000005E-3</v>
      </c>
      <c r="S3409">
        <v>-3.0010680000000001</v>
      </c>
      <c r="T3409">
        <v>3.2671209999999999E-2</v>
      </c>
      <c r="U3409">
        <v>-3.8330080000000002E-2</v>
      </c>
      <c r="V3409">
        <v>-4.834723E-3</v>
      </c>
      <c r="W3409">
        <v>4.7474479999999999E-2</v>
      </c>
      <c r="X3409">
        <v>0.99886079999999999</v>
      </c>
      <c r="Y3409">
        <v>-2.6721249999999998E-2</v>
      </c>
      <c r="Z3409">
        <v>2.9735040000000002E-4</v>
      </c>
      <c r="AA3409">
        <v>0.9996429</v>
      </c>
      <c r="AB3409">
        <v>37</v>
      </c>
      <c r="AC3409">
        <v>-3.0010680000000001</v>
      </c>
      <c r="AD3409">
        <v>3.2671209999999999E-2</v>
      </c>
      <c r="AE3409">
        <v>-3.8330080000000002E-2</v>
      </c>
      <c r="AF3409">
        <v>-8.0196571798704097E-2</v>
      </c>
      <c r="AG3409">
        <v>3.2671209999999999E-2</v>
      </c>
      <c r="AH3409">
        <v>2.99988539931066</v>
      </c>
      <c r="AI3409">
        <v>89.376249512748302</v>
      </c>
      <c r="AJ3409">
        <v>91.531335482196795</v>
      </c>
      <c r="AK3409">
        <v>3.0011350031427102</v>
      </c>
      <c r="AL3409">
        <v>87.278889990572495</v>
      </c>
      <c r="AM3409">
        <v>90.277322986143403</v>
      </c>
      <c r="AN3409">
        <v>1.0000000492871901</v>
      </c>
    </row>
    <row r="3410" spans="1:40" x14ac:dyDescent="0.25">
      <c r="A3410" t="str">
        <f>"20190312150726641"</f>
        <v>20190312150726641</v>
      </c>
      <c r="B3410" t="str">
        <f>"1552374446633761"</f>
        <v>1552374446633761</v>
      </c>
      <c r="C3410" t="s">
        <v>40</v>
      </c>
      <c r="D3410">
        <v>4.1223239999999999</v>
      </c>
      <c r="E3410">
        <v>0.4909154</v>
      </c>
      <c r="F3410" t="s">
        <v>48</v>
      </c>
      <c r="G3410">
        <v>0</v>
      </c>
      <c r="H3410">
        <v>0</v>
      </c>
      <c r="I3410">
        <v>0</v>
      </c>
      <c r="J3410">
        <v>-334.38310000000001</v>
      </c>
      <c r="K3410">
        <v>1.110927</v>
      </c>
      <c r="L3410">
        <v>283.39960000000002</v>
      </c>
      <c r="M3410">
        <v>-0.99979649999999998</v>
      </c>
      <c r="N3410">
        <v>0</v>
      </c>
      <c r="O3410">
        <v>1.36407E-2</v>
      </c>
      <c r="P3410">
        <v>-0.99944370000000005</v>
      </c>
      <c r="Q3410">
        <v>3.2153660000000001E-2</v>
      </c>
      <c r="R3410">
        <v>8.8491030000000005E-3</v>
      </c>
      <c r="S3410">
        <v>-3.0011899999999998</v>
      </c>
      <c r="T3410">
        <v>2.9095409999999999E-2</v>
      </c>
      <c r="U3410">
        <v>-4.4036869999999999E-2</v>
      </c>
      <c r="V3410">
        <v>-4.8567419999999998E-3</v>
      </c>
      <c r="W3410">
        <v>4.6997700000000003E-2</v>
      </c>
      <c r="X3410">
        <v>0.99888319999999997</v>
      </c>
      <c r="Y3410">
        <v>-2.8308949999999999E-2</v>
      </c>
      <c r="Z3410">
        <v>2.6945780000000002E-4</v>
      </c>
      <c r="AA3410">
        <v>0.99959920000000002</v>
      </c>
      <c r="AB3410">
        <v>37</v>
      </c>
      <c r="AC3410">
        <v>-3.0011899999999998</v>
      </c>
      <c r="AD3410">
        <v>2.9095409999999999E-2</v>
      </c>
      <c r="AE3410">
        <v>-4.4036869999999999E-2</v>
      </c>
      <c r="AF3410">
        <v>-8.4967642548647096E-2</v>
      </c>
      <c r="AG3410">
        <v>2.9095409999999999E-2</v>
      </c>
      <c r="AH3410">
        <v>3.0000280522989402</v>
      </c>
      <c r="AI3410">
        <v>89.444563931689103</v>
      </c>
      <c r="AJ3410">
        <v>91.622313576028205</v>
      </c>
      <c r="AK3410">
        <v>3.0013720791904301</v>
      </c>
      <c r="AL3410">
        <v>87.306237891105596</v>
      </c>
      <c r="AM3410">
        <v>90.278579743832296</v>
      </c>
      <c r="AN3410">
        <v>1.00000000949519</v>
      </c>
    </row>
    <row r="3411" spans="1:40" x14ac:dyDescent="0.25">
      <c r="A3411" t="str">
        <f>"20190312150726653"</f>
        <v>20190312150726653</v>
      </c>
      <c r="B3411" t="str">
        <f>"1552374446643521"</f>
        <v>1552374446643521</v>
      </c>
      <c r="C3411" t="s">
        <v>40</v>
      </c>
      <c r="D3411">
        <v>4.3333909999999998</v>
      </c>
      <c r="E3411">
        <v>0.49099179999999998</v>
      </c>
      <c r="F3411" t="s">
        <v>48</v>
      </c>
      <c r="G3411">
        <v>0</v>
      </c>
      <c r="H3411">
        <v>0</v>
      </c>
      <c r="I3411">
        <v>0</v>
      </c>
      <c r="J3411">
        <v>-334.56880000000001</v>
      </c>
      <c r="K3411">
        <v>1.110927</v>
      </c>
      <c r="L3411">
        <v>283.40190000000001</v>
      </c>
      <c r="M3411">
        <v>-0.99980089999999999</v>
      </c>
      <c r="N3411">
        <v>0</v>
      </c>
      <c r="O3411">
        <v>1.332764E-2</v>
      </c>
      <c r="P3411">
        <v>-0.99944999999999995</v>
      </c>
      <c r="Q3411">
        <v>3.207368E-2</v>
      </c>
      <c r="R3411">
        <v>8.4278859999999903E-3</v>
      </c>
      <c r="S3411">
        <v>-3.0013429999999999</v>
      </c>
      <c r="T3411">
        <v>2.4624710000000001E-2</v>
      </c>
      <c r="U3411">
        <v>-4.8309329999999998E-2</v>
      </c>
      <c r="V3411">
        <v>-4.9644069999999997E-3</v>
      </c>
      <c r="W3411">
        <v>4.69153E-2</v>
      </c>
      <c r="X3411">
        <v>0.99888650000000001</v>
      </c>
      <c r="Y3411">
        <v>-2.9418340000000001E-2</v>
      </c>
      <c r="Z3411">
        <v>2.300236E-4</v>
      </c>
      <c r="AA3411">
        <v>0.99956719999999999</v>
      </c>
      <c r="AB3411">
        <v>37</v>
      </c>
      <c r="AC3411">
        <v>-3.0013429999999999</v>
      </c>
      <c r="AD3411">
        <v>2.4624710000000001E-2</v>
      </c>
      <c r="AE3411">
        <v>-4.8309329999999998E-2</v>
      </c>
      <c r="AF3411">
        <v>-8.8304326240348105E-2</v>
      </c>
      <c r="AG3411">
        <v>2.4624710000000001E-2</v>
      </c>
      <c r="AH3411">
        <v>3.0002305429263001</v>
      </c>
      <c r="AI3411">
        <v>89.529952920775202</v>
      </c>
      <c r="AJ3411">
        <v>91.685872113395405</v>
      </c>
      <c r="AK3411">
        <v>3.0016307802731399</v>
      </c>
      <c r="AL3411">
        <v>87.310964157864802</v>
      </c>
      <c r="AM3411">
        <v>90.284754300918394</v>
      </c>
      <c r="AN3411">
        <v>0.99999996529659996</v>
      </c>
    </row>
    <row r="3412" spans="1:40" x14ac:dyDescent="0.25">
      <c r="A3412" t="str">
        <f>"20190312150726664"</f>
        <v>20190312150726664</v>
      </c>
      <c r="B3412" t="str">
        <f>"1552374446653281"</f>
        <v>1552374446653281</v>
      </c>
      <c r="C3412" t="s">
        <v>40</v>
      </c>
      <c r="D3412">
        <v>4.116695</v>
      </c>
      <c r="E3412">
        <v>0.49078880000000003</v>
      </c>
      <c r="F3412" t="s">
        <v>48</v>
      </c>
      <c r="G3412">
        <v>0</v>
      </c>
      <c r="H3412">
        <v>0</v>
      </c>
      <c r="I3412">
        <v>0</v>
      </c>
      <c r="J3412">
        <v>-334.75189999999998</v>
      </c>
      <c r="K3412">
        <v>1.1109290000000001</v>
      </c>
      <c r="L3412">
        <v>283.40410000000003</v>
      </c>
      <c r="M3412">
        <v>-0.99980500000000005</v>
      </c>
      <c r="N3412">
        <v>0</v>
      </c>
      <c r="O3412">
        <v>1.3018689999999999E-2</v>
      </c>
      <c r="P3412">
        <v>-0.99944480000000002</v>
      </c>
      <c r="Q3412">
        <v>3.2302329999999997E-2</v>
      </c>
      <c r="R3412">
        <v>8.1848189999999994E-3</v>
      </c>
      <c r="S3412">
        <v>-3.0011899999999998</v>
      </c>
      <c r="T3412">
        <v>2.7498129999999999E-2</v>
      </c>
      <c r="U3412">
        <v>-4.9011230000000003E-2</v>
      </c>
      <c r="V3412">
        <v>-4.8991E-3</v>
      </c>
      <c r="W3412">
        <v>4.714202E-2</v>
      </c>
      <c r="X3412">
        <v>0.99887619999999999</v>
      </c>
      <c r="Y3412">
        <v>-2.9343660000000001E-2</v>
      </c>
      <c r="Z3412">
        <v>2.5370340000000001E-4</v>
      </c>
      <c r="AA3412">
        <v>0.99956940000000005</v>
      </c>
      <c r="AB3412">
        <v>37</v>
      </c>
      <c r="AC3412">
        <v>-3.0011899999999998</v>
      </c>
      <c r="AD3412">
        <v>2.7498129999999999E-2</v>
      </c>
      <c r="AE3412">
        <v>-4.9011230000000003E-2</v>
      </c>
      <c r="AF3412">
        <v>-8.8075553712210694E-2</v>
      </c>
      <c r="AG3412">
        <v>2.7498129999999999E-2</v>
      </c>
      <c r="AH3412">
        <v>3.0000456845955501</v>
      </c>
      <c r="AI3412">
        <v>89.475073260714893</v>
      </c>
      <c r="AJ3412">
        <v>91.681610539751702</v>
      </c>
      <c r="AK3412">
        <v>3.0014642359980899</v>
      </c>
      <c r="AL3412">
        <v>87.297959809333605</v>
      </c>
      <c r="AM3412">
        <v>90.281011303199094</v>
      </c>
      <c r="AN3412">
        <v>1.00000001707846</v>
      </c>
    </row>
    <row r="3413" spans="1:40" x14ac:dyDescent="0.25">
      <c r="A3413" t="str">
        <f>"20190312150726675"</f>
        <v>20190312150726675</v>
      </c>
      <c r="B3413" t="str">
        <f>"1552374446664017"</f>
        <v>1552374446664017</v>
      </c>
      <c r="C3413" t="s">
        <v>40</v>
      </c>
      <c r="D3413">
        <v>4.1728579999999997</v>
      </c>
      <c r="E3413">
        <v>0.49056070000000002</v>
      </c>
      <c r="F3413" t="s">
        <v>48</v>
      </c>
      <c r="G3413">
        <v>0</v>
      </c>
      <c r="H3413">
        <v>0</v>
      </c>
      <c r="I3413">
        <v>0</v>
      </c>
      <c r="J3413">
        <v>-334.94220000000001</v>
      </c>
      <c r="K3413">
        <v>1.11093</v>
      </c>
      <c r="L3413">
        <v>283.40620000000001</v>
      </c>
      <c r="M3413">
        <v>-0.99980910000000001</v>
      </c>
      <c r="N3413">
        <v>0</v>
      </c>
      <c r="O3413">
        <v>1.2697470000000001E-2</v>
      </c>
      <c r="P3413">
        <v>-0.99945740000000005</v>
      </c>
      <c r="Q3413">
        <v>3.2019249999999999E-2</v>
      </c>
      <c r="R3413">
        <v>7.7380729999999998E-3</v>
      </c>
      <c r="S3413">
        <v>-3.0012210000000001</v>
      </c>
      <c r="T3413">
        <v>2.7004E-2</v>
      </c>
      <c r="U3413">
        <v>-5.1330569999999999E-2</v>
      </c>
      <c r="V3413">
        <v>-5.0239569999999999E-3</v>
      </c>
      <c r="W3413">
        <v>4.6856710000000003E-2</v>
      </c>
      <c r="X3413">
        <v>0.99888900000000003</v>
      </c>
      <c r="Y3413">
        <v>-2.9794640000000001E-2</v>
      </c>
      <c r="Z3413">
        <v>2.4827920000000003E-4</v>
      </c>
      <c r="AA3413">
        <v>0.999556</v>
      </c>
      <c r="AB3413">
        <v>37</v>
      </c>
      <c r="AC3413">
        <v>-3.0012210000000001</v>
      </c>
      <c r="AD3413">
        <v>2.7004E-2</v>
      </c>
      <c r="AE3413">
        <v>-5.1330569999999999E-2</v>
      </c>
      <c r="AF3413">
        <v>-8.94313093691112E-2</v>
      </c>
      <c r="AG3413">
        <v>2.7004E-2</v>
      </c>
      <c r="AH3413">
        <v>3.00008434950868</v>
      </c>
      <c r="AI3413">
        <v>89.484518985698699</v>
      </c>
      <c r="AJ3413">
        <v>91.7074585360686</v>
      </c>
      <c r="AK3413">
        <v>3.0015384853901801</v>
      </c>
      <c r="AL3413">
        <v>87.314324941452696</v>
      </c>
      <c r="AM3413">
        <v>90.288169261446498</v>
      </c>
      <c r="AN3413">
        <v>1.0000000128684801</v>
      </c>
    </row>
    <row r="3414" spans="1:40" x14ac:dyDescent="0.25">
      <c r="A3414" t="str">
        <f>"20190312150726690"</f>
        <v>20190312150726690</v>
      </c>
      <c r="B3414" t="str">
        <f>"1552374446683537"</f>
        <v>1552374446683537</v>
      </c>
      <c r="C3414" t="s">
        <v>40</v>
      </c>
      <c r="D3414">
        <v>4.1380809999999997</v>
      </c>
      <c r="E3414">
        <v>0.49031740000000001</v>
      </c>
      <c r="F3414" t="s">
        <v>48</v>
      </c>
      <c r="G3414">
        <v>0</v>
      </c>
      <c r="H3414">
        <v>0</v>
      </c>
      <c r="I3414">
        <v>0</v>
      </c>
      <c r="J3414">
        <v>-335.13850000000002</v>
      </c>
      <c r="K3414">
        <v>1.1109290000000001</v>
      </c>
      <c r="L3414">
        <v>283.4083</v>
      </c>
      <c r="M3414">
        <v>-0.99981330000000002</v>
      </c>
      <c r="N3414">
        <v>0</v>
      </c>
      <c r="O3414">
        <v>1.2366479999999999E-2</v>
      </c>
      <c r="P3414">
        <v>-0.9994577</v>
      </c>
      <c r="Q3414">
        <v>3.2129190000000002E-2</v>
      </c>
      <c r="R3414">
        <v>7.23418699999999E-3</v>
      </c>
      <c r="S3414">
        <v>-3.0011899999999998</v>
      </c>
      <c r="T3414">
        <v>2.5370119999999999E-2</v>
      </c>
      <c r="U3414">
        <v>-5.4473880000000002E-2</v>
      </c>
      <c r="V3414">
        <v>-5.1968309999999998E-3</v>
      </c>
      <c r="W3414">
        <v>4.6964350000000002E-2</v>
      </c>
      <c r="X3414">
        <v>0.99888310000000002</v>
      </c>
      <c r="Y3414">
        <v>-3.0510659999999998E-2</v>
      </c>
      <c r="Z3414">
        <v>2.3348600000000001E-4</v>
      </c>
      <c r="AA3414">
        <v>0.99953440000000005</v>
      </c>
      <c r="AB3414">
        <v>37</v>
      </c>
      <c r="AC3414">
        <v>-3.0011899999999998</v>
      </c>
      <c r="AD3414">
        <v>2.5370119999999999E-2</v>
      </c>
      <c r="AE3414">
        <v>-5.4473880000000002E-2</v>
      </c>
      <c r="AF3414">
        <v>-9.1581418826438096E-2</v>
      </c>
      <c r="AG3414">
        <v>2.5370119999999999E-2</v>
      </c>
      <c r="AH3414">
        <v>3.0000724183549901</v>
      </c>
      <c r="AI3414">
        <v>89.515715224614596</v>
      </c>
      <c r="AJ3414">
        <v>91.748491057337404</v>
      </c>
      <c r="AK3414">
        <v>3.00157713787892</v>
      </c>
      <c r="AL3414">
        <v>87.308150933050996</v>
      </c>
      <c r="AM3414">
        <v>90.298086729748704</v>
      </c>
      <c r="AN3414">
        <v>1.0000000523444801</v>
      </c>
    </row>
    <row r="3415" spans="1:40" x14ac:dyDescent="0.25">
      <c r="A3415" t="str">
        <f>"20190312150726703"</f>
        <v>20190312150726703</v>
      </c>
      <c r="B3415" t="str">
        <f>"1552374446693298"</f>
        <v>1552374446693298</v>
      </c>
      <c r="C3415" t="s">
        <v>40</v>
      </c>
      <c r="D3415">
        <v>4.1431500000000003</v>
      </c>
      <c r="E3415">
        <v>0.4902321</v>
      </c>
      <c r="F3415" t="s">
        <v>69</v>
      </c>
      <c r="G3415">
        <v>-551.06290000000001</v>
      </c>
      <c r="H3415">
        <v>3.0890170000000001</v>
      </c>
      <c r="I3415">
        <v>279.2432</v>
      </c>
      <c r="J3415">
        <v>-335.39049999999997</v>
      </c>
      <c r="K3415">
        <v>1.1109279999999999</v>
      </c>
      <c r="L3415">
        <v>283.41109999999998</v>
      </c>
      <c r="M3415">
        <v>-0.9998184</v>
      </c>
      <c r="N3415">
        <v>0</v>
      </c>
      <c r="O3415">
        <v>1.1942639999999999E-2</v>
      </c>
      <c r="P3415">
        <v>-0.99946650000000004</v>
      </c>
      <c r="Q3415">
        <v>3.1988299999999997E-2</v>
      </c>
      <c r="R3415">
        <v>6.6068409999999996E-3</v>
      </c>
      <c r="S3415">
        <v>-3.00116</v>
      </c>
      <c r="T3415">
        <v>2.7494790000000002E-2</v>
      </c>
      <c r="U3415">
        <v>-5.7891850000000002E-2</v>
      </c>
      <c r="V3415">
        <v>-5.4002499999999997E-3</v>
      </c>
      <c r="W3415">
        <v>4.6820029999999999E-2</v>
      </c>
      <c r="X3415">
        <v>0.99888869999999996</v>
      </c>
      <c r="Y3415">
        <v>-3.1224780000000001E-2</v>
      </c>
      <c r="Z3415">
        <v>2.5242679999999999E-4</v>
      </c>
      <c r="AA3415">
        <v>0.99951239999999997</v>
      </c>
      <c r="AB3415">
        <v>37</v>
      </c>
      <c r="AC3415">
        <v>-215.67240000000001</v>
      </c>
      <c r="AD3415">
        <v>1.97808899999999</v>
      </c>
      <c r="AE3415">
        <v>-4.1678999999999702</v>
      </c>
      <c r="AF3415">
        <v>-6.7430175827004097</v>
      </c>
      <c r="AG3415">
        <v>1.97808899999999</v>
      </c>
      <c r="AH3415">
        <v>215.58910580276699</v>
      </c>
      <c r="AI3415">
        <v>89.474567234652596</v>
      </c>
      <c r="AJ3415">
        <v>91.791465939380799</v>
      </c>
      <c r="AK3415">
        <v>215.70360141418399</v>
      </c>
      <c r="AL3415">
        <v>87.316428708190003</v>
      </c>
      <c r="AM3415">
        <v>90.309752747141502</v>
      </c>
      <c r="AN3415">
        <v>0.99999995644847495</v>
      </c>
    </row>
    <row r="3416" spans="1:40" x14ac:dyDescent="0.25">
      <c r="A3416" t="str">
        <f>"20190312150726715"</f>
        <v>20190312150726715</v>
      </c>
      <c r="B3416" t="str">
        <f>"1552374446703057"</f>
        <v>1552374446703057</v>
      </c>
      <c r="C3416" t="s">
        <v>40</v>
      </c>
      <c r="D3416">
        <v>4.04556</v>
      </c>
      <c r="E3416">
        <v>0.49043959999999998</v>
      </c>
      <c r="F3416" t="s">
        <v>69</v>
      </c>
      <c r="G3416">
        <v>-551.06290000000001</v>
      </c>
      <c r="H3416">
        <v>3.0478450000000001</v>
      </c>
      <c r="I3416">
        <v>279.05560000000003</v>
      </c>
      <c r="J3416">
        <v>-335.5926</v>
      </c>
      <c r="K3416">
        <v>1.1109249999999999</v>
      </c>
      <c r="L3416">
        <v>283.41309999999999</v>
      </c>
      <c r="M3416">
        <v>-0.9998224</v>
      </c>
      <c r="N3416">
        <v>0</v>
      </c>
      <c r="O3416">
        <v>1.160505E-2</v>
      </c>
      <c r="P3416">
        <v>-0.99947790000000003</v>
      </c>
      <c r="Q3416">
        <v>3.1740740000000003E-2</v>
      </c>
      <c r="R3416">
        <v>6.0593969999999898E-3</v>
      </c>
      <c r="S3416">
        <v>-3.0011899999999998</v>
      </c>
      <c r="T3416">
        <v>2.6954289999999999E-2</v>
      </c>
      <c r="U3416">
        <v>-6.0607910000000001E-2</v>
      </c>
      <c r="V3416">
        <v>-5.6098909999999997E-3</v>
      </c>
      <c r="W3416">
        <v>4.6569970000000002E-2</v>
      </c>
      <c r="X3416">
        <v>0.99889930000000005</v>
      </c>
      <c r="Y3416">
        <v>-3.1791359999999998E-2</v>
      </c>
      <c r="Z3416">
        <v>2.4697229999999997E-4</v>
      </c>
      <c r="AA3416">
        <v>0.99949449999999995</v>
      </c>
      <c r="AB3416">
        <v>37</v>
      </c>
      <c r="AC3416">
        <v>-215.47030000000001</v>
      </c>
      <c r="AD3416">
        <v>1.93692</v>
      </c>
      <c r="AE3416">
        <v>-4.3574999999999502</v>
      </c>
      <c r="AF3416">
        <v>-6.8574719174918402</v>
      </c>
      <c r="AG3416">
        <v>1.93692</v>
      </c>
      <c r="AH3416">
        <v>215.387814553373</v>
      </c>
      <c r="AI3416">
        <v>89.485030517834105</v>
      </c>
      <c r="AJ3416">
        <v>91.823554992618199</v>
      </c>
      <c r="AK3416">
        <v>215.50565477096799</v>
      </c>
      <c r="AL3416">
        <v>87.330771912743899</v>
      </c>
      <c r="AM3416">
        <v>90.321773875139698</v>
      </c>
      <c r="AN3416">
        <v>1.0000000222616601</v>
      </c>
    </row>
    <row r="3417" spans="1:40" x14ac:dyDescent="0.25">
      <c r="A3417" t="str">
        <f>"20190312150726729"</f>
        <v>20190312150726729</v>
      </c>
      <c r="B3417" t="str">
        <f>"1552374446723553"</f>
        <v>1552374446723553</v>
      </c>
      <c r="C3417" t="s">
        <v>40</v>
      </c>
      <c r="D3417">
        <v>4.1498999999999997</v>
      </c>
      <c r="E3417">
        <v>0.49037750000000002</v>
      </c>
      <c r="F3417" t="s">
        <v>69</v>
      </c>
      <c r="G3417">
        <v>-551.06290000000001</v>
      </c>
      <c r="H3417">
        <v>3.211881</v>
      </c>
      <c r="I3417">
        <v>279.07240000000002</v>
      </c>
      <c r="J3417">
        <v>-335.815</v>
      </c>
      <c r="K3417">
        <v>1.1109209999999901</v>
      </c>
      <c r="L3417">
        <v>283.41539999999998</v>
      </c>
      <c r="M3417">
        <v>-0.99982669999999996</v>
      </c>
      <c r="N3417">
        <v>0</v>
      </c>
      <c r="O3417">
        <v>1.1235240000000001E-2</v>
      </c>
      <c r="P3417">
        <v>-0.99948130000000002</v>
      </c>
      <c r="Q3417">
        <v>3.174635E-2</v>
      </c>
      <c r="R3417">
        <v>5.4432019999999899E-3</v>
      </c>
      <c r="S3417">
        <v>-3.0009769999999998</v>
      </c>
      <c r="T3417">
        <v>2.9262300000000002E-2</v>
      </c>
      <c r="U3417">
        <v>-6.045532E-2</v>
      </c>
      <c r="V3417">
        <v>-5.8561430000000003E-3</v>
      </c>
      <c r="W3417">
        <v>4.6572349999999998E-2</v>
      </c>
      <c r="X3417">
        <v>0.9988977</v>
      </c>
      <c r="Y3417">
        <v>-3.1372030000000002E-2</v>
      </c>
      <c r="Z3417">
        <v>2.624878E-4</v>
      </c>
      <c r="AA3417">
        <v>0.9995077</v>
      </c>
      <c r="AB3417">
        <v>37</v>
      </c>
      <c r="AC3417">
        <v>-215.24789999999999</v>
      </c>
      <c r="AD3417">
        <v>2.1009599999999899</v>
      </c>
      <c r="AE3417">
        <v>-4.34299999999996</v>
      </c>
      <c r="AF3417">
        <v>-6.7607102782435504</v>
      </c>
      <c r="AG3417">
        <v>2.1009599999999899</v>
      </c>
      <c r="AH3417">
        <v>215.16502061210099</v>
      </c>
      <c r="AI3417">
        <v>89.440834099757495</v>
      </c>
      <c r="AJ3417">
        <v>91.7997012798821</v>
      </c>
      <c r="AK3417">
        <v>215.28146072384899</v>
      </c>
      <c r="AL3417">
        <v>87.330635198638802</v>
      </c>
      <c r="AM3417">
        <v>90.335898695238797</v>
      </c>
      <c r="AN3417">
        <v>0.99999994663032299</v>
      </c>
    </row>
    <row r="3418" spans="1:40" x14ac:dyDescent="0.25">
      <c r="A3418" t="str">
        <f>"20190312150726743"</f>
        <v>20190312150726743</v>
      </c>
      <c r="B3418" t="str">
        <f>"1552374446733313"</f>
        <v>1552374446733313</v>
      </c>
      <c r="C3418" t="s">
        <v>40</v>
      </c>
      <c r="D3418">
        <v>4.1545439999999996</v>
      </c>
      <c r="E3418">
        <v>0.49037019999999998</v>
      </c>
      <c r="F3418" t="s">
        <v>69</v>
      </c>
      <c r="G3418">
        <v>-551.06290000000001</v>
      </c>
      <c r="H3418">
        <v>3.186636</v>
      </c>
      <c r="I3418">
        <v>278.90410000000003</v>
      </c>
      <c r="J3418">
        <v>-336.05360000000002</v>
      </c>
      <c r="K3418">
        <v>1.110914</v>
      </c>
      <c r="L3418">
        <v>283.41770000000002</v>
      </c>
      <c r="M3418">
        <v>-0.99983109999999997</v>
      </c>
      <c r="N3418">
        <v>0</v>
      </c>
      <c r="O3418">
        <v>1.084186E-2</v>
      </c>
      <c r="P3418">
        <v>-0.99949370000000004</v>
      </c>
      <c r="Q3418">
        <v>3.146082E-2</v>
      </c>
      <c r="R3418">
        <v>4.7687889999999998E-3</v>
      </c>
      <c r="S3418">
        <v>-3.001007</v>
      </c>
      <c r="T3418">
        <v>2.8940919999999998E-2</v>
      </c>
      <c r="U3418">
        <v>-6.2896729999999998E-2</v>
      </c>
      <c r="V3418">
        <v>-6.1367729999999999E-3</v>
      </c>
      <c r="W3418">
        <v>4.6284169999999999E-2</v>
      </c>
      <c r="X3418">
        <v>0.99890950000000001</v>
      </c>
      <c r="Y3418">
        <v>-3.1791399999999997E-2</v>
      </c>
      <c r="Z3418">
        <v>2.5782859999999997E-4</v>
      </c>
      <c r="AA3418">
        <v>0.99949449999999995</v>
      </c>
      <c r="AB3418">
        <v>37</v>
      </c>
      <c r="AC3418">
        <v>-215.0093</v>
      </c>
      <c r="AD3418">
        <v>2.0757219999999998</v>
      </c>
      <c r="AE3418">
        <v>-4.5135999999999896</v>
      </c>
      <c r="AF3418">
        <v>-6.8440545151708099</v>
      </c>
      <c r="AG3418">
        <v>2.0757219999999998</v>
      </c>
      <c r="AH3418">
        <v>214.92769609716001</v>
      </c>
      <c r="AI3418">
        <v>89.446948122285207</v>
      </c>
      <c r="AJ3418">
        <v>91.8238830226028</v>
      </c>
      <c r="AK3418">
        <v>215.04665599274301</v>
      </c>
      <c r="AL3418">
        <v>87.347164761428402</v>
      </c>
      <c r="AM3418">
        <v>90.351990615062704</v>
      </c>
      <c r="AN3418">
        <v>1.0000000367828401</v>
      </c>
    </row>
    <row r="3419" spans="1:40" x14ac:dyDescent="0.25">
      <c r="A3419" t="str">
        <f>"20190312150726765"</f>
        <v>20190312150726765</v>
      </c>
      <c r="B3419" t="str">
        <f>"1552374446753809"</f>
        <v>1552374446753809</v>
      </c>
      <c r="C3419" t="s">
        <v>40</v>
      </c>
      <c r="D3419">
        <v>4.1350550000000004</v>
      </c>
      <c r="E3419">
        <v>0.49025370000000001</v>
      </c>
      <c r="F3419" t="s">
        <v>69</v>
      </c>
      <c r="G3419">
        <v>-551.06290000000001</v>
      </c>
      <c r="H3419">
        <v>3.083701</v>
      </c>
      <c r="I3419">
        <v>278.78019999999998</v>
      </c>
      <c r="J3419">
        <v>-336.40789999999998</v>
      </c>
      <c r="K3419">
        <v>1.1109</v>
      </c>
      <c r="L3419">
        <v>283.42099999999999</v>
      </c>
      <c r="M3419">
        <v>-0.99983730000000004</v>
      </c>
      <c r="N3419">
        <v>0</v>
      </c>
      <c r="O3419">
        <v>1.026932E-2</v>
      </c>
      <c r="P3419">
        <v>-0.99951599999999996</v>
      </c>
      <c r="Q3419">
        <v>3.0854260000000001E-2</v>
      </c>
      <c r="R3419">
        <v>3.9892340000000004E-3</v>
      </c>
      <c r="S3419">
        <v>-3.0009769999999998</v>
      </c>
      <c r="T3419">
        <v>2.7536149999999999E-2</v>
      </c>
      <c r="U3419">
        <v>-6.4727779999999999E-2</v>
      </c>
      <c r="V3419">
        <v>-6.3417669999999999E-3</v>
      </c>
      <c r="W3419">
        <v>4.5673989999999998E-2</v>
      </c>
      <c r="X3419">
        <v>0.9989363</v>
      </c>
      <c r="Y3419">
        <v>-3.1829049999999998E-2</v>
      </c>
      <c r="Z3419">
        <v>2.402347E-4</v>
      </c>
      <c r="AA3419">
        <v>0.99949330000000003</v>
      </c>
      <c r="AB3419">
        <v>37</v>
      </c>
      <c r="AC3419">
        <v>-214.655</v>
      </c>
      <c r="AD3419">
        <v>1.97280099999999</v>
      </c>
      <c r="AE3419">
        <v>-4.6408000000000103</v>
      </c>
      <c r="AF3419">
        <v>-6.8445806752369096</v>
      </c>
      <c r="AG3419">
        <v>1.97280099999999</v>
      </c>
      <c r="AH3419">
        <v>214.57789928856599</v>
      </c>
      <c r="AI3419">
        <v>89.473512736623107</v>
      </c>
      <c r="AJ3419">
        <v>91.826994585418802</v>
      </c>
      <c r="AK3419">
        <v>214.696099385851</v>
      </c>
      <c r="AL3419">
        <v>87.382162498889002</v>
      </c>
      <c r="AM3419">
        <v>90.363738510990004</v>
      </c>
      <c r="AN3419">
        <v>1.0000000314144399</v>
      </c>
    </row>
    <row r="3420" spans="1:40" x14ac:dyDescent="0.25">
      <c r="A3420" t="str">
        <f>"20190312150726776"</f>
        <v>20190312150726776</v>
      </c>
      <c r="B3420" t="str">
        <f>"1552374446773329"</f>
        <v>1552374446773329</v>
      </c>
      <c r="C3420" t="s">
        <v>40</v>
      </c>
      <c r="D3420">
        <v>4.6036700000000002</v>
      </c>
      <c r="E3420">
        <v>0.4904519</v>
      </c>
      <c r="F3420" t="s">
        <v>69</v>
      </c>
      <c r="G3420">
        <v>-551.06290000000001</v>
      </c>
      <c r="H3420">
        <v>3.2324630000000001</v>
      </c>
      <c r="I3420">
        <v>278.55079999999998</v>
      </c>
      <c r="J3420">
        <v>-336.60430000000002</v>
      </c>
      <c r="K3420">
        <v>1.1108910000000001</v>
      </c>
      <c r="L3420">
        <v>283.42270000000002</v>
      </c>
      <c r="M3420">
        <v>-0.99984039999999996</v>
      </c>
      <c r="N3420">
        <v>0</v>
      </c>
      <c r="O3420">
        <v>9.9598550000000001E-3</v>
      </c>
      <c r="P3420">
        <v>-0.99952490000000005</v>
      </c>
      <c r="Q3420">
        <v>3.0615980000000001E-2</v>
      </c>
      <c r="R3420">
        <v>3.5213520000000002E-3</v>
      </c>
      <c r="S3420">
        <v>-3.0008539999999999</v>
      </c>
      <c r="T3420">
        <v>2.966034E-2</v>
      </c>
      <c r="U3420">
        <v>-6.8084720000000001E-2</v>
      </c>
      <c r="V3420">
        <v>-6.4995030000000002E-3</v>
      </c>
      <c r="W3420">
        <v>4.5433439999999999E-2</v>
      </c>
      <c r="X3420">
        <v>0.99894620000000001</v>
      </c>
      <c r="Y3420">
        <v>-3.263779E-2</v>
      </c>
      <c r="Z3420">
        <v>2.597109E-4</v>
      </c>
      <c r="AA3420">
        <v>0.9994672</v>
      </c>
      <c r="AB3420">
        <v>37</v>
      </c>
      <c r="AC3420">
        <v>-214.45859999999999</v>
      </c>
      <c r="AD3420">
        <v>2.121572</v>
      </c>
      <c r="AE3420">
        <v>-4.8719000000000303</v>
      </c>
      <c r="AF3420">
        <v>-7.0071844212928998</v>
      </c>
      <c r="AG3420">
        <v>2.121572</v>
      </c>
      <c r="AH3420">
        <v>214.378462246547</v>
      </c>
      <c r="AI3420">
        <v>89.433299987319899</v>
      </c>
      <c r="AJ3420">
        <v>91.8721060073958</v>
      </c>
      <c r="AK3420">
        <v>214.50344234174801</v>
      </c>
      <c r="AL3420">
        <v>87.395959175812607</v>
      </c>
      <c r="AM3420">
        <v>90.372781673476197</v>
      </c>
      <c r="AN3420">
        <v>0.99999997575195998</v>
      </c>
    </row>
    <row r="3421" spans="1:40" x14ac:dyDescent="0.25">
      <c r="A3421" t="str">
        <f>"20190312150726787"</f>
        <v>20190312150726787</v>
      </c>
      <c r="B3421" t="str">
        <f>"1552374446783089"</f>
        <v>1552374446783089</v>
      </c>
      <c r="C3421" t="s">
        <v>40</v>
      </c>
      <c r="D3421">
        <v>4.4729599999999996</v>
      </c>
      <c r="E3421">
        <v>0.49058469999999998</v>
      </c>
      <c r="F3421" t="s">
        <v>69</v>
      </c>
      <c r="G3421">
        <v>-551.06290000000001</v>
      </c>
      <c r="H3421">
        <v>3.2590680000000001</v>
      </c>
      <c r="I3421">
        <v>278.57859999999999</v>
      </c>
      <c r="J3421">
        <v>-336.78910000000002</v>
      </c>
      <c r="K3421">
        <v>1.1108830000000001</v>
      </c>
      <c r="L3421">
        <v>283.42430000000002</v>
      </c>
      <c r="M3421">
        <v>-0.99984320000000004</v>
      </c>
      <c r="N3421">
        <v>0</v>
      </c>
      <c r="O3421">
        <v>9.6710059999999994E-3</v>
      </c>
      <c r="P3421">
        <v>-0.99953259999999999</v>
      </c>
      <c r="Q3421">
        <v>3.0371740000000001E-2</v>
      </c>
      <c r="R3421">
        <v>3.4720189999999998E-3</v>
      </c>
      <c r="S3421">
        <v>-3.0007630000000001</v>
      </c>
      <c r="T3421">
        <v>3.0058979999999999E-2</v>
      </c>
      <c r="U3421">
        <v>-6.7779539999999999E-2</v>
      </c>
      <c r="V3421">
        <v>-6.2590249999999997E-3</v>
      </c>
      <c r="W3421">
        <v>4.5187650000000003E-2</v>
      </c>
      <c r="X3421">
        <v>0.99895889999999998</v>
      </c>
      <c r="Y3421">
        <v>-3.2248119999999998E-2</v>
      </c>
      <c r="Z3421">
        <v>2.5836480000000002E-4</v>
      </c>
      <c r="AA3421">
        <v>0.99947989999999998</v>
      </c>
      <c r="AB3421">
        <v>37</v>
      </c>
      <c r="AC3421">
        <v>-214.27379999999999</v>
      </c>
      <c r="AD3421">
        <v>2.1481849999999998</v>
      </c>
      <c r="AE3421">
        <v>-4.8457000000000203</v>
      </c>
      <c r="AF3421">
        <v>-6.9172496873373497</v>
      </c>
      <c r="AG3421">
        <v>2.1481849999999998</v>
      </c>
      <c r="AH3421">
        <v>214.19539169801001</v>
      </c>
      <c r="AI3421">
        <v>89.425694074502005</v>
      </c>
      <c r="AJ3421">
        <v>91.8496734099663</v>
      </c>
      <c r="AK3421">
        <v>214.317822093019</v>
      </c>
      <c r="AL3421">
        <v>87.410056425186099</v>
      </c>
      <c r="AM3421">
        <v>90.358984762777098</v>
      </c>
      <c r="AN3421">
        <v>0.99999999149784102</v>
      </c>
    </row>
    <row r="3422" spans="1:40" x14ac:dyDescent="0.25">
      <c r="A3422" t="str">
        <f>"20190312150726799"</f>
        <v>20190312150726799</v>
      </c>
      <c r="B3422" t="str">
        <f>"1552374446793825"</f>
        <v>1552374446793825</v>
      </c>
      <c r="C3422" t="s">
        <v>40</v>
      </c>
      <c r="D3422">
        <v>4.1917299999999997</v>
      </c>
      <c r="E3422">
        <v>0.4906373</v>
      </c>
      <c r="F3422" t="s">
        <v>69</v>
      </c>
      <c r="G3422">
        <v>-551.06299999999999</v>
      </c>
      <c r="H3422">
        <v>3.326829</v>
      </c>
      <c r="I3422">
        <v>278.66269999999997</v>
      </c>
      <c r="J3422">
        <v>-336.97620000000001</v>
      </c>
      <c r="K3422">
        <v>1.110873</v>
      </c>
      <c r="L3422">
        <v>283.42590000000001</v>
      </c>
      <c r="M3422">
        <v>-0.99984609999999996</v>
      </c>
      <c r="N3422">
        <v>0</v>
      </c>
      <c r="O3422">
        <v>9.382764E-3</v>
      </c>
      <c r="P3422">
        <v>-0.999533</v>
      </c>
      <c r="Q3422">
        <v>3.0361019999999999E-2</v>
      </c>
      <c r="R3422">
        <v>3.4858879999999999E-3</v>
      </c>
      <c r="S3422">
        <v>-3.0006409999999999</v>
      </c>
      <c r="T3422">
        <v>3.103268E-2</v>
      </c>
      <c r="U3422">
        <v>-6.6680909999999996E-2</v>
      </c>
      <c r="V3422">
        <v>-5.9560759999999898E-3</v>
      </c>
      <c r="W3422">
        <v>4.5175260000000002E-2</v>
      </c>
      <c r="X3422">
        <v>0.99896130000000005</v>
      </c>
      <c r="Y3422">
        <v>-3.159505E-2</v>
      </c>
      <c r="Z3422">
        <v>2.6038800000000001E-4</v>
      </c>
      <c r="AA3422">
        <v>0.99950070000000002</v>
      </c>
      <c r="AB3422">
        <v>37</v>
      </c>
      <c r="AC3422">
        <v>-214.08680000000001</v>
      </c>
      <c r="AD3422">
        <v>2.2159559999999998</v>
      </c>
      <c r="AE3422">
        <v>-4.7632000000000403</v>
      </c>
      <c r="AF3422">
        <v>-6.7712118438014404</v>
      </c>
      <c r="AG3422">
        <v>2.2159559999999998</v>
      </c>
      <c r="AH3422">
        <v>214.009759950193</v>
      </c>
      <c r="AI3422">
        <v>89.407050906874503</v>
      </c>
      <c r="AJ3422">
        <v>91.812218654338594</v>
      </c>
      <c r="AK3422">
        <v>214.128319296554</v>
      </c>
      <c r="AL3422">
        <v>87.410767013018599</v>
      </c>
      <c r="AM3422">
        <v>90.341608802654505</v>
      </c>
      <c r="AN3422">
        <v>0.999999978927537</v>
      </c>
    </row>
    <row r="3423" spans="1:40" x14ac:dyDescent="0.25">
      <c r="A3423" t="str">
        <f>"20190312150726812"</f>
        <v>20190312150726812</v>
      </c>
      <c r="B3423" t="str">
        <f>"1552374446803585"</f>
        <v>1552374446803585</v>
      </c>
      <c r="C3423" t="s">
        <v>40</v>
      </c>
      <c r="D3423">
        <v>4.186172</v>
      </c>
      <c r="E3423">
        <v>0.49066759999999898</v>
      </c>
      <c r="F3423" t="s">
        <v>69</v>
      </c>
      <c r="G3423">
        <v>-551.06290000000001</v>
      </c>
      <c r="H3423">
        <v>3.2747480000000002</v>
      </c>
      <c r="I3423">
        <v>278.69459999999998</v>
      </c>
      <c r="J3423">
        <v>-337.1798</v>
      </c>
      <c r="K3423">
        <v>1.110867</v>
      </c>
      <c r="L3423">
        <v>283.42750000000001</v>
      </c>
      <c r="M3423">
        <v>-0.99984890000000004</v>
      </c>
      <c r="N3423">
        <v>0</v>
      </c>
      <c r="O3423">
        <v>9.0748700000000005E-3</v>
      </c>
      <c r="P3423">
        <v>-0.99953400000000003</v>
      </c>
      <c r="Q3423">
        <v>3.0355489999999999E-2</v>
      </c>
      <c r="R3423">
        <v>3.2470530000000002E-3</v>
      </c>
      <c r="S3423">
        <v>-3.0006710000000001</v>
      </c>
      <c r="T3423">
        <v>3.0330300000000001E-2</v>
      </c>
      <c r="U3423">
        <v>-6.6314699999999893E-2</v>
      </c>
      <c r="V3423">
        <v>-5.8860550000000003E-3</v>
      </c>
      <c r="W3423">
        <v>4.5167159999999998E-2</v>
      </c>
      <c r="X3423">
        <v>0.99896209999999996</v>
      </c>
      <c r="Y3423">
        <v>-3.1165249999999999E-2</v>
      </c>
      <c r="Z3423">
        <v>2.4920859999999999E-4</v>
      </c>
      <c r="AA3423">
        <v>0.99951420000000002</v>
      </c>
      <c r="AB3423">
        <v>37</v>
      </c>
      <c r="AC3423">
        <v>-213.88310000000001</v>
      </c>
      <c r="AD3423">
        <v>2.1638809999999999</v>
      </c>
      <c r="AE3423">
        <v>-4.7329000000000203</v>
      </c>
      <c r="AF3423">
        <v>-6.6731970577276698</v>
      </c>
      <c r="AG3423">
        <v>2.1638809999999999</v>
      </c>
      <c r="AH3423">
        <v>213.809461727014</v>
      </c>
      <c r="AI3423">
        <v>89.420434069364305</v>
      </c>
      <c r="AJ3423">
        <v>91.787675559027804</v>
      </c>
      <c r="AK3423">
        <v>213.924519080794</v>
      </c>
      <c r="AL3423">
        <v>87.411231631448302</v>
      </c>
      <c r="AM3423">
        <v>90.337592594116501</v>
      </c>
      <c r="AN3423">
        <v>0.99999999761116898</v>
      </c>
    </row>
    <row r="3424" spans="1:40" x14ac:dyDescent="0.25">
      <c r="A3424" t="str">
        <f>"20190312150726824"</f>
        <v>20190312150726824</v>
      </c>
      <c r="B3424" t="str">
        <f>"1552374446813345"</f>
        <v>1552374446813345</v>
      </c>
      <c r="C3424" t="s">
        <v>40</v>
      </c>
      <c r="D3424">
        <v>4.17387</v>
      </c>
      <c r="E3424">
        <v>0.49069780000000002</v>
      </c>
      <c r="F3424" t="s">
        <v>69</v>
      </c>
      <c r="G3424">
        <v>-551.06290000000001</v>
      </c>
      <c r="H3424">
        <v>3.247995</v>
      </c>
      <c r="I3424">
        <v>278.66379999999998</v>
      </c>
      <c r="J3424">
        <v>-337.38159999999999</v>
      </c>
      <c r="K3424">
        <v>1.110857</v>
      </c>
      <c r="L3424">
        <v>283.42910000000001</v>
      </c>
      <c r="M3424">
        <v>-0.99985159999999995</v>
      </c>
      <c r="N3424">
        <v>0</v>
      </c>
      <c r="O3424">
        <v>8.7728179999999999E-3</v>
      </c>
      <c r="P3424">
        <v>-0.99952940000000001</v>
      </c>
      <c r="Q3424">
        <v>3.052299E-2</v>
      </c>
      <c r="R3424">
        <v>3.0835509999999999E-3</v>
      </c>
      <c r="S3424">
        <v>-3.000702</v>
      </c>
      <c r="T3424">
        <v>2.9984239999999999E-2</v>
      </c>
      <c r="U3424">
        <v>-6.6833500000000004E-2</v>
      </c>
      <c r="V3424">
        <v>-5.74692E-3</v>
      </c>
      <c r="W3424">
        <v>4.533293E-2</v>
      </c>
      <c r="X3424">
        <v>0.99895540000000005</v>
      </c>
      <c r="Y3424">
        <v>-3.1035859999999998E-2</v>
      </c>
      <c r="Z3424">
        <v>2.426978E-4</v>
      </c>
      <c r="AA3424">
        <v>0.99951820000000002</v>
      </c>
      <c r="AB3424">
        <v>37</v>
      </c>
      <c r="AC3424">
        <v>-213.68129999999999</v>
      </c>
      <c r="AD3424">
        <v>2.1371380000000002</v>
      </c>
      <c r="AE3424">
        <v>-4.7653000000000203</v>
      </c>
      <c r="AF3424">
        <v>-6.63924600606122</v>
      </c>
      <c r="AG3424">
        <v>2.1371380000000002</v>
      </c>
      <c r="AH3424">
        <v>213.60990875506999</v>
      </c>
      <c r="AI3424">
        <v>89.427059322934596</v>
      </c>
      <c r="AJ3424">
        <v>91.780246779976693</v>
      </c>
      <c r="AK3424">
        <v>213.72374707717699</v>
      </c>
      <c r="AL3424">
        <v>87.4017239681516</v>
      </c>
      <c r="AM3424">
        <v>90.329614944466996</v>
      </c>
      <c r="AN3424">
        <v>0.99999999641051496</v>
      </c>
    </row>
    <row r="3425" spans="1:40" x14ac:dyDescent="0.25">
      <c r="A3425" t="str">
        <f>"20190312150726836"</f>
        <v>20190312150726836</v>
      </c>
      <c r="B3425" t="str">
        <f>"1552374446833841"</f>
        <v>1552374446833841</v>
      </c>
      <c r="C3425" t="s">
        <v>40</v>
      </c>
      <c r="D3425">
        <v>4.0917209999999997</v>
      </c>
      <c r="E3425">
        <v>0.49063430000000002</v>
      </c>
      <c r="F3425" t="s">
        <v>69</v>
      </c>
      <c r="G3425">
        <v>-551.06290000000001</v>
      </c>
      <c r="H3425">
        <v>3.2625139999999999</v>
      </c>
      <c r="I3425">
        <v>278.65899999999999</v>
      </c>
      <c r="J3425">
        <v>-337.58</v>
      </c>
      <c r="K3425">
        <v>1.110849</v>
      </c>
      <c r="L3425">
        <v>283.43060000000003</v>
      </c>
      <c r="M3425">
        <v>-0.99985409999999997</v>
      </c>
      <c r="N3425">
        <v>0</v>
      </c>
      <c r="O3425">
        <v>8.4853759999999993E-3</v>
      </c>
      <c r="P3425">
        <v>-0.99953599999999998</v>
      </c>
      <c r="Q3425">
        <v>3.0318359999999999E-2</v>
      </c>
      <c r="R3425">
        <v>2.8992430000000001E-3</v>
      </c>
      <c r="S3425">
        <v>-3.000702</v>
      </c>
      <c r="T3425">
        <v>3.0216570000000002E-2</v>
      </c>
      <c r="U3425">
        <v>-6.6986080000000003E-2</v>
      </c>
      <c r="V3425">
        <v>-5.6426540000000004E-3</v>
      </c>
      <c r="W3425">
        <v>4.5126199999999901E-2</v>
      </c>
      <c r="X3425">
        <v>0.9989654</v>
      </c>
      <c r="Y3425">
        <v>-3.0799320000000002E-2</v>
      </c>
      <c r="Z3425">
        <v>2.4049299999999999E-4</v>
      </c>
      <c r="AA3425">
        <v>0.99952549999999996</v>
      </c>
      <c r="AB3425">
        <v>37</v>
      </c>
      <c r="AC3425">
        <v>-213.4829</v>
      </c>
      <c r="AD3425">
        <v>2.1516649999999999</v>
      </c>
      <c r="AE3425">
        <v>-4.7716000000000296</v>
      </c>
      <c r="AF3425">
        <v>-6.5824416143134501</v>
      </c>
      <c r="AG3425">
        <v>2.1516649999999999</v>
      </c>
      <c r="AH3425">
        <v>213.41305092898099</v>
      </c>
      <c r="AI3425">
        <v>89.422628780237901</v>
      </c>
      <c r="AJ3425">
        <v>91.766652006133199</v>
      </c>
      <c r="AK3425">
        <v>213.52538141095499</v>
      </c>
      <c r="AL3425">
        <v>87.4135809766466</v>
      </c>
      <c r="AM3425">
        <v>90.323631650468698</v>
      </c>
      <c r="AN3425">
        <v>1.0000000419338799</v>
      </c>
    </row>
    <row r="3426" spans="1:40" x14ac:dyDescent="0.25">
      <c r="A3426" t="str">
        <f>"20190312150726849"</f>
        <v>20190312150726849</v>
      </c>
      <c r="B3426" t="str">
        <f>"1552374446843602"</f>
        <v>1552374446843602</v>
      </c>
      <c r="C3426" t="s">
        <v>40</v>
      </c>
      <c r="D3426">
        <v>4.1972319999999996</v>
      </c>
      <c r="E3426">
        <v>0.49069220000000002</v>
      </c>
      <c r="F3426" t="s">
        <v>69</v>
      </c>
      <c r="G3426">
        <v>-551.06299999999999</v>
      </c>
      <c r="H3426">
        <v>3.3754219999999999</v>
      </c>
      <c r="I3426">
        <v>278.58010000000002</v>
      </c>
      <c r="J3426">
        <v>-337.78410000000002</v>
      </c>
      <c r="K3426">
        <v>1.1108389999999999</v>
      </c>
      <c r="L3426">
        <v>283.43200000000002</v>
      </c>
      <c r="M3426">
        <v>-0.99985670000000004</v>
      </c>
      <c r="N3426">
        <v>0</v>
      </c>
      <c r="O3426">
        <v>8.1932930000000008E-3</v>
      </c>
      <c r="P3426">
        <v>-0.9995404</v>
      </c>
      <c r="Q3426">
        <v>3.021155E-2</v>
      </c>
      <c r="R3426">
        <v>2.4596129999999998E-3</v>
      </c>
      <c r="S3426">
        <v>-3.0006409999999999</v>
      </c>
      <c r="T3426">
        <v>3.1831150000000002E-2</v>
      </c>
      <c r="U3426">
        <v>-6.8176269999999997E-2</v>
      </c>
      <c r="V3426">
        <v>-5.7893969999999999E-3</v>
      </c>
      <c r="W3426">
        <v>4.5017109999999999E-2</v>
      </c>
      <c r="X3426">
        <v>0.99896940000000001</v>
      </c>
      <c r="Y3426">
        <v>-3.090383E-2</v>
      </c>
      <c r="Z3426">
        <v>2.5080250000000001E-4</v>
      </c>
      <c r="AA3426">
        <v>0.99952229999999997</v>
      </c>
      <c r="AB3426">
        <v>37</v>
      </c>
      <c r="AC3426">
        <v>-213.27889999999999</v>
      </c>
      <c r="AD3426">
        <v>2.264583</v>
      </c>
      <c r="AE3426">
        <v>-4.8518999999999997</v>
      </c>
      <c r="AF3426">
        <v>-6.5986418458572196</v>
      </c>
      <c r="AG3426">
        <v>2.264583</v>
      </c>
      <c r="AH3426">
        <v>213.20795741632401</v>
      </c>
      <c r="AI3426">
        <v>89.391748409670996</v>
      </c>
      <c r="AJ3426">
        <v>91.772699706106707</v>
      </c>
      <c r="AK3426">
        <v>213.32206523473999</v>
      </c>
      <c r="AL3426">
        <v>87.4198375191</v>
      </c>
      <c r="AM3426">
        <v>90.332046507615203</v>
      </c>
      <c r="AN3426">
        <v>0.99999995972336697</v>
      </c>
    </row>
    <row r="3427" spans="1:40" x14ac:dyDescent="0.25">
      <c r="A3427" t="str">
        <f>"20190312150726861"</f>
        <v>20190312150726861</v>
      </c>
      <c r="B3427" t="str">
        <f>"1552374446853361"</f>
        <v>1552374446853361</v>
      </c>
      <c r="C3427" t="s">
        <v>40</v>
      </c>
      <c r="D3427">
        <v>4.0843449999999999</v>
      </c>
      <c r="E3427">
        <v>0.4908284</v>
      </c>
      <c r="F3427" t="s">
        <v>69</v>
      </c>
      <c r="G3427">
        <v>-551.06290000000001</v>
      </c>
      <c r="H3427">
        <v>3.3240660000000002</v>
      </c>
      <c r="I3427">
        <v>278.52760000000001</v>
      </c>
      <c r="J3427">
        <v>-337.99329999999998</v>
      </c>
      <c r="K3427">
        <v>1.1108290000000001</v>
      </c>
      <c r="L3427">
        <v>283.43349999999998</v>
      </c>
      <c r="M3427">
        <v>-0.9998591</v>
      </c>
      <c r="N3427">
        <v>0</v>
      </c>
      <c r="O3427">
        <v>7.9002059999999999E-3</v>
      </c>
      <c r="P3427">
        <v>-0.99953919999999996</v>
      </c>
      <c r="Q3427">
        <v>3.0275799999999999E-2</v>
      </c>
      <c r="R3427">
        <v>2.2217579999999999E-3</v>
      </c>
      <c r="S3427">
        <v>-3.00061</v>
      </c>
      <c r="T3427">
        <v>3.1138900000000001E-2</v>
      </c>
      <c r="U3427">
        <v>-6.9000240000000004E-2</v>
      </c>
      <c r="V3427">
        <v>-5.7331719999999999E-3</v>
      </c>
      <c r="W3427">
        <v>4.5079029999999999E-2</v>
      </c>
      <c r="X3427">
        <v>0.99896700000000005</v>
      </c>
      <c r="Y3427">
        <v>-3.0885510000000001E-2</v>
      </c>
      <c r="Z3427">
        <v>2.4221379999999999E-4</v>
      </c>
      <c r="AA3427">
        <v>0.99952289999999999</v>
      </c>
      <c r="AB3427">
        <v>37</v>
      </c>
      <c r="AC3427">
        <v>-213.06960000000001</v>
      </c>
      <c r="AD3427">
        <v>2.2132369999999999</v>
      </c>
      <c r="AE3427">
        <v>-4.9058999999999697</v>
      </c>
      <c r="AF3427">
        <v>-6.5885147495809804</v>
      </c>
      <c r="AG3427">
        <v>2.2132369999999999</v>
      </c>
      <c r="AH3427">
        <v>213.00121718160801</v>
      </c>
      <c r="AI3427">
        <v>89.404961326618107</v>
      </c>
      <c r="AJ3427">
        <v>91.771697692038302</v>
      </c>
      <c r="AK3427">
        <v>213.11458294886901</v>
      </c>
      <c r="AL3427">
        <v>87.416286334637306</v>
      </c>
      <c r="AM3427">
        <v>90.328822626182699</v>
      </c>
      <c r="AN3427">
        <v>1.0000000276479599</v>
      </c>
    </row>
    <row r="3428" spans="1:40" x14ac:dyDescent="0.25">
      <c r="A3428" t="str">
        <f>"20190312150726876"</f>
        <v>20190312150726876</v>
      </c>
      <c r="B3428" t="str">
        <f>"1552374446873857"</f>
        <v>1552374446873857</v>
      </c>
      <c r="C3428" t="s">
        <v>40</v>
      </c>
      <c r="D3428">
        <v>4.202312</v>
      </c>
      <c r="E3428">
        <v>0.49097659999999999</v>
      </c>
      <c r="F3428" t="s">
        <v>69</v>
      </c>
      <c r="G3428">
        <v>-551.06299999999999</v>
      </c>
      <c r="H3428">
        <v>3.4152550000000002</v>
      </c>
      <c r="I3428">
        <v>278.5684</v>
      </c>
      <c r="J3428">
        <v>-338.23289999999997</v>
      </c>
      <c r="K3428">
        <v>1.110819</v>
      </c>
      <c r="L3428">
        <v>283.43509999999998</v>
      </c>
      <c r="M3428">
        <v>-0.99986149999999996</v>
      </c>
      <c r="N3428">
        <v>0</v>
      </c>
      <c r="O3428">
        <v>7.57317699999999E-3</v>
      </c>
      <c r="P3428">
        <v>-0.99954869999999996</v>
      </c>
      <c r="Q3428">
        <v>2.9961069999999999E-2</v>
      </c>
      <c r="R3428">
        <v>2.1428620000000002E-3</v>
      </c>
      <c r="S3428">
        <v>-3.0005190000000002</v>
      </c>
      <c r="T3428">
        <v>3.245282E-2</v>
      </c>
      <c r="U3428">
        <v>-6.8511959999999997E-2</v>
      </c>
      <c r="V3428">
        <v>-5.4836449999999997E-3</v>
      </c>
      <c r="W3428">
        <v>4.4762259999999998E-2</v>
      </c>
      <c r="X3428">
        <v>0.99898260000000005</v>
      </c>
      <c r="Y3428">
        <v>-3.0396590000000001E-2</v>
      </c>
      <c r="Z3428">
        <v>2.4626109999999999E-4</v>
      </c>
      <c r="AA3428">
        <v>0.99953789999999998</v>
      </c>
      <c r="AB3428">
        <v>37</v>
      </c>
      <c r="AC3428">
        <v>-212.83009999999999</v>
      </c>
      <c r="AD3428">
        <v>2.3044359999999999</v>
      </c>
      <c r="AE3428">
        <v>-4.8666999999999803</v>
      </c>
      <c r="AF3428">
        <v>-6.4777784170212902</v>
      </c>
      <c r="AG3428">
        <v>2.3044359999999999</v>
      </c>
      <c r="AH3428">
        <v>212.762204438628</v>
      </c>
      <c r="AI3428">
        <v>89.379738762070602</v>
      </c>
      <c r="AJ3428">
        <v>91.743894071059998</v>
      </c>
      <c r="AK3428">
        <v>212.873266701299</v>
      </c>
      <c r="AL3428">
        <v>87.434454142334005</v>
      </c>
      <c r="AM3428">
        <v>90.314506538172793</v>
      </c>
      <c r="AN3428">
        <v>0.99999998269277601</v>
      </c>
    </row>
    <row r="3429" spans="1:40" x14ac:dyDescent="0.25">
      <c r="A3429" t="str">
        <f>"20190312150726888"</f>
        <v>20190312150726888</v>
      </c>
      <c r="B3429" t="str">
        <f>"1552374446883618"</f>
        <v>1552374446883618</v>
      </c>
      <c r="C3429" t="s">
        <v>40</v>
      </c>
      <c r="D3429">
        <v>4.1804779999999999</v>
      </c>
      <c r="E3429">
        <v>0.49100919999999998</v>
      </c>
      <c r="F3429" t="s">
        <v>69</v>
      </c>
      <c r="G3429">
        <v>-551.06299999999999</v>
      </c>
      <c r="H3429">
        <v>3.3775569999999999</v>
      </c>
      <c r="I3429">
        <v>278.6361</v>
      </c>
      <c r="J3429">
        <v>-338.42880000000002</v>
      </c>
      <c r="K3429">
        <v>1.1108070000000001</v>
      </c>
      <c r="L3429">
        <v>283.43630000000002</v>
      </c>
      <c r="M3429">
        <v>-0.99986370000000002</v>
      </c>
      <c r="N3429">
        <v>0</v>
      </c>
      <c r="O3429">
        <v>7.3098769999999898E-3</v>
      </c>
      <c r="P3429">
        <v>-0.99955870000000002</v>
      </c>
      <c r="Q3429">
        <v>2.965338E-2</v>
      </c>
      <c r="R3429">
        <v>1.7667780000000001E-3</v>
      </c>
      <c r="S3429">
        <v>-3.0005489999999999</v>
      </c>
      <c r="T3429">
        <v>3.1958340000000002E-2</v>
      </c>
      <c r="U3429">
        <v>-6.7657469999999997E-2</v>
      </c>
      <c r="V3429">
        <v>-5.5951890000000004E-3</v>
      </c>
      <c r="W3429">
        <v>4.4452150000000003E-2</v>
      </c>
      <c r="X3429">
        <v>0.99899579999999999</v>
      </c>
      <c r="Y3429">
        <v>-2.984875E-2</v>
      </c>
      <c r="Z3429">
        <v>2.3678610000000001E-4</v>
      </c>
      <c r="AA3429">
        <v>0.99955439999999995</v>
      </c>
      <c r="AB3429">
        <v>37</v>
      </c>
      <c r="AC3429">
        <v>-212.63419999999999</v>
      </c>
      <c r="AD3429">
        <v>2.26675</v>
      </c>
      <c r="AE3429">
        <v>-4.80020000000001</v>
      </c>
      <c r="AF3429">
        <v>-6.3538502119387799</v>
      </c>
      <c r="AG3429">
        <v>2.26675</v>
      </c>
      <c r="AH3429">
        <v>212.56928036906299</v>
      </c>
      <c r="AI3429">
        <v>89.389317628071794</v>
      </c>
      <c r="AJ3429">
        <v>91.7121026979232</v>
      </c>
      <c r="AK3429">
        <v>212.676299866016</v>
      </c>
      <c r="AL3429">
        <v>87.452239767826399</v>
      </c>
      <c r="AM3429">
        <v>90.320899610619506</v>
      </c>
      <c r="AN3429">
        <v>0.99999995409860298</v>
      </c>
    </row>
    <row r="3430" spans="1:40" x14ac:dyDescent="0.25">
      <c r="A3430" t="str">
        <f>"20190312150726899"</f>
        <v>20190312150726899</v>
      </c>
      <c r="B3430" t="str">
        <f>"1552374446893377"</f>
        <v>1552374446893377</v>
      </c>
      <c r="C3430" t="s">
        <v>40</v>
      </c>
      <c r="D3430">
        <v>4.3515069999999998</v>
      </c>
      <c r="E3430">
        <v>0.49109969999999997</v>
      </c>
      <c r="F3430" t="s">
        <v>69</v>
      </c>
      <c r="G3430">
        <v>-551.06290000000001</v>
      </c>
      <c r="H3430">
        <v>3.2996989999999999</v>
      </c>
      <c r="I3430">
        <v>278.58550000000002</v>
      </c>
      <c r="J3430">
        <v>-338.61489999999998</v>
      </c>
      <c r="K3430">
        <v>1.110798</v>
      </c>
      <c r="L3430">
        <v>283.43740000000003</v>
      </c>
      <c r="M3430">
        <v>-0.99986540000000002</v>
      </c>
      <c r="N3430">
        <v>0</v>
      </c>
      <c r="O3430">
        <v>7.0656419999999996E-3</v>
      </c>
      <c r="P3430">
        <v>-0.99956509999999998</v>
      </c>
      <c r="Q3430">
        <v>2.9452200000000001E-2</v>
      </c>
      <c r="R3430">
        <v>1.6060099999999999E-3</v>
      </c>
      <c r="S3430">
        <v>-3.0005489999999999</v>
      </c>
      <c r="T3430">
        <v>3.088927E-2</v>
      </c>
      <c r="U3430">
        <v>-6.8450929999999993E-2</v>
      </c>
      <c r="V3430">
        <v>-5.5104469999999999E-3</v>
      </c>
      <c r="W3430">
        <v>4.4249690000000001E-2</v>
      </c>
      <c r="X3430">
        <v>0.99900529999999998</v>
      </c>
      <c r="Y3430">
        <v>-2.986892E-2</v>
      </c>
      <c r="Z3430">
        <v>2.2645449999999999E-4</v>
      </c>
      <c r="AA3430">
        <v>0.99955380000000005</v>
      </c>
      <c r="AB3430">
        <v>37</v>
      </c>
      <c r="AC3430">
        <v>-212.44800000000001</v>
      </c>
      <c r="AD3430">
        <v>2.188901</v>
      </c>
      <c r="AE3430">
        <v>-4.8518999999999997</v>
      </c>
      <c r="AF3430">
        <v>-6.3523509693356299</v>
      </c>
      <c r="AG3430">
        <v>2.188901</v>
      </c>
      <c r="AH3430">
        <v>212.38587576499901</v>
      </c>
      <c r="AI3430">
        <v>89.409780450756003</v>
      </c>
      <c r="AJ3430">
        <v>91.713176201069501</v>
      </c>
      <c r="AK3430">
        <v>212.49212661858999</v>
      </c>
      <c r="AL3430">
        <v>87.463851400674599</v>
      </c>
      <c r="AM3430">
        <v>90.316036515874799</v>
      </c>
      <c r="AN3430">
        <v>0.99999999475966295</v>
      </c>
    </row>
    <row r="3431" spans="1:40" x14ac:dyDescent="0.25">
      <c r="A3431" t="str">
        <f>"20190312150726910"</f>
        <v>20190312150726910</v>
      </c>
      <c r="B3431" t="str">
        <f>"1552374446903137"</f>
        <v>1552374446903137</v>
      </c>
      <c r="C3431" t="s">
        <v>40</v>
      </c>
      <c r="D3431">
        <v>4.224971</v>
      </c>
      <c r="E3431">
        <v>0.491207</v>
      </c>
      <c r="F3431" t="s">
        <v>69</v>
      </c>
      <c r="G3431">
        <v>-551.06290000000001</v>
      </c>
      <c r="H3431">
        <v>3.285374</v>
      </c>
      <c r="I3431">
        <v>278.59949999999998</v>
      </c>
      <c r="J3431">
        <v>-338.78879999999998</v>
      </c>
      <c r="K3431">
        <v>1.1107910000000001</v>
      </c>
      <c r="L3431">
        <v>283.4384</v>
      </c>
      <c r="M3431">
        <v>-0.99986699999999995</v>
      </c>
      <c r="N3431">
        <v>0</v>
      </c>
      <c r="O3431">
        <v>6.8415969999999996E-3</v>
      </c>
      <c r="P3431">
        <v>-0.99957459999999998</v>
      </c>
      <c r="Q3431">
        <v>2.914371E-2</v>
      </c>
      <c r="R3431">
        <v>1.1542639999999999E-3</v>
      </c>
      <c r="S3431">
        <v>-3.0005489999999999</v>
      </c>
      <c r="T3431">
        <v>3.0714149999999999E-2</v>
      </c>
      <c r="U3431">
        <v>-6.8328860000000005E-2</v>
      </c>
      <c r="V3431">
        <v>-5.7372739999999997E-3</v>
      </c>
      <c r="W3431">
        <v>4.3938619999999998E-2</v>
      </c>
      <c r="X3431">
        <v>0.99901779999999996</v>
      </c>
      <c r="Y3431">
        <v>-2.9604350000000001E-2</v>
      </c>
      <c r="Z3431">
        <v>2.2152350000000001E-4</v>
      </c>
      <c r="AA3431">
        <v>0.9995617</v>
      </c>
      <c r="AB3431">
        <v>37</v>
      </c>
      <c r="AC3431">
        <v>-212.2741</v>
      </c>
      <c r="AD3431">
        <v>2.1745830000000002</v>
      </c>
      <c r="AE3431">
        <v>-4.8389000000000202</v>
      </c>
      <c r="AF3431">
        <v>-6.2905799343354101</v>
      </c>
      <c r="AG3431">
        <v>2.1745830000000002</v>
      </c>
      <c r="AH3431">
        <v>212.213762403532</v>
      </c>
      <c r="AI3431">
        <v>89.413160729867499</v>
      </c>
      <c r="AJ3431">
        <v>91.697901992376302</v>
      </c>
      <c r="AK3431">
        <v>212.31811312414399</v>
      </c>
      <c r="AL3431">
        <v>87.481691869092103</v>
      </c>
      <c r="AM3431">
        <v>90.329041156542502</v>
      </c>
      <c r="AN3431">
        <v>1.0000000416786401</v>
      </c>
    </row>
    <row r="3432" spans="1:40" x14ac:dyDescent="0.25">
      <c r="A3432" t="str">
        <f>"20190312150726922"</f>
        <v>20190312150726922</v>
      </c>
      <c r="B3432" t="str">
        <f>"1552374446913875"</f>
        <v>1552374446913875</v>
      </c>
      <c r="C3432" t="s">
        <v>40</v>
      </c>
      <c r="D3432">
        <v>4.2229429999999999</v>
      </c>
      <c r="E3432">
        <v>0.49122939999999998</v>
      </c>
      <c r="F3432" t="s">
        <v>69</v>
      </c>
      <c r="G3432">
        <v>-551.06290000000001</v>
      </c>
      <c r="H3432">
        <v>3.2736939999999999</v>
      </c>
      <c r="I3432">
        <v>278.58710000000002</v>
      </c>
      <c r="J3432">
        <v>-338.99619999999999</v>
      </c>
      <c r="K3432">
        <v>1.1107800000000001</v>
      </c>
      <c r="L3432">
        <v>283.43959999999998</v>
      </c>
      <c r="M3432">
        <v>-0.99986870000000005</v>
      </c>
      <c r="N3432">
        <v>0</v>
      </c>
      <c r="O3432">
        <v>6.5784859999999997E-3</v>
      </c>
      <c r="P3432">
        <v>-0.99957099999999999</v>
      </c>
      <c r="Q3432">
        <v>2.9282530000000001E-2</v>
      </c>
      <c r="R3432">
        <v>7.6062660000000002E-4</v>
      </c>
      <c r="S3432">
        <v>-3.0004580000000001</v>
      </c>
      <c r="T3432">
        <v>3.0573369999999999E-2</v>
      </c>
      <c r="U3432">
        <v>-6.8572999999999995E-2</v>
      </c>
      <c r="V3432">
        <v>-5.8668100000000001E-3</v>
      </c>
      <c r="W3432">
        <v>4.407486E-2</v>
      </c>
      <c r="X3432">
        <v>0.99901099999999998</v>
      </c>
      <c r="Y3432">
        <v>-2.9423350000000001E-2</v>
      </c>
      <c r="Z3432">
        <v>2.169118E-4</v>
      </c>
      <c r="AA3432">
        <v>0.99956699999999998</v>
      </c>
      <c r="AB3432">
        <v>37</v>
      </c>
      <c r="AC3432">
        <v>-212.0667</v>
      </c>
      <c r="AD3432">
        <v>2.1629139999999998</v>
      </c>
      <c r="AE3432">
        <v>-4.8524999999999601</v>
      </c>
      <c r="AF3432">
        <v>-6.2469762977301198</v>
      </c>
      <c r="AG3432">
        <v>2.1629139999999998</v>
      </c>
      <c r="AH3432">
        <v>212.00814219576699</v>
      </c>
      <c r="AI3432">
        <v>89.415740425228805</v>
      </c>
      <c r="AJ3432">
        <v>91.687774062139198</v>
      </c>
      <c r="AK3432">
        <v>212.11118609619899</v>
      </c>
      <c r="AL3432">
        <v>87.473878206014902</v>
      </c>
      <c r="AM3432">
        <v>90.336472359183205</v>
      </c>
      <c r="AN3432">
        <v>0.99999999543229701</v>
      </c>
    </row>
    <row r="3433" spans="1:40" x14ac:dyDescent="0.25">
      <c r="A3433" t="str">
        <f>"20190312150726944"</f>
        <v>20190312150726944</v>
      </c>
      <c r="B3433" t="str">
        <f>"1552374446933393"</f>
        <v>1552374446933393</v>
      </c>
      <c r="C3433" t="s">
        <v>40</v>
      </c>
      <c r="D3433">
        <v>4.2345379999999997</v>
      </c>
      <c r="E3433">
        <v>0.49127219999999999</v>
      </c>
      <c r="F3433" t="s">
        <v>69</v>
      </c>
      <c r="G3433">
        <v>-551.06290000000001</v>
      </c>
      <c r="H3433">
        <v>3.266683</v>
      </c>
      <c r="I3433">
        <v>278.51960000000003</v>
      </c>
      <c r="J3433">
        <v>-339.3374</v>
      </c>
      <c r="K3433">
        <v>1.110768</v>
      </c>
      <c r="L3433">
        <v>283.44150000000002</v>
      </c>
      <c r="M3433">
        <v>-0.99987150000000002</v>
      </c>
      <c r="N3433">
        <v>0</v>
      </c>
      <c r="O3433">
        <v>6.1596059999999998E-3</v>
      </c>
      <c r="P3433">
        <v>-0.99958089999999999</v>
      </c>
      <c r="Q3433">
        <v>2.8943880000000002E-2</v>
      </c>
      <c r="R3433">
        <v>4.7519389999999998E-4</v>
      </c>
      <c r="S3433">
        <v>-3.0004580000000001</v>
      </c>
      <c r="T3433">
        <v>3.050423E-2</v>
      </c>
      <c r="U3433">
        <v>-6.9610599999999995E-2</v>
      </c>
      <c r="V3433">
        <v>-5.7316099999999998E-3</v>
      </c>
      <c r="W3433">
        <v>4.373283E-2</v>
      </c>
      <c r="X3433">
        <v>0.99902679999999999</v>
      </c>
      <c r="Y3433">
        <v>-2.93501E-2</v>
      </c>
      <c r="Z3433">
        <v>2.1178979999999999E-4</v>
      </c>
      <c r="AA3433">
        <v>0.99956920000000005</v>
      </c>
      <c r="AB3433">
        <v>37</v>
      </c>
      <c r="AC3433">
        <v>-211.72550000000001</v>
      </c>
      <c r="AD3433">
        <v>2.1559149999999998</v>
      </c>
      <c r="AE3433">
        <v>-4.9218999999999902</v>
      </c>
      <c r="AF3433">
        <v>-6.2254499851857901</v>
      </c>
      <c r="AG3433">
        <v>2.1559149999999998</v>
      </c>
      <c r="AH3433">
        <v>211.669227163904</v>
      </c>
      <c r="AI3433">
        <v>89.416697574019196</v>
      </c>
      <c r="AJ3433">
        <v>91.684653075438007</v>
      </c>
      <c r="AK3433">
        <v>211.771730703533</v>
      </c>
      <c r="AL3433">
        <v>87.493493955874797</v>
      </c>
      <c r="AM3433">
        <v>90.328713363625894</v>
      </c>
      <c r="AN3433">
        <v>0.99999997944562002</v>
      </c>
    </row>
    <row r="3434" spans="1:40" x14ac:dyDescent="0.25">
      <c r="A3434" t="str">
        <f>"20190312150726957"</f>
        <v>20190312150726957</v>
      </c>
      <c r="B3434" t="str">
        <f>"1552374446953889"</f>
        <v>1552374446953889</v>
      </c>
      <c r="C3434" t="s">
        <v>40</v>
      </c>
      <c r="D3434">
        <v>4.234839</v>
      </c>
      <c r="E3434">
        <v>0.4913748</v>
      </c>
      <c r="F3434" t="s">
        <v>69</v>
      </c>
      <c r="G3434">
        <v>-551.06290000000001</v>
      </c>
      <c r="H3434">
        <v>3.1416620000000002</v>
      </c>
      <c r="I3434">
        <v>278.47989999999999</v>
      </c>
      <c r="J3434">
        <v>-339.54989999999998</v>
      </c>
      <c r="K3434">
        <v>1.1107530000000001</v>
      </c>
      <c r="L3434">
        <v>283.4425</v>
      </c>
      <c r="M3434">
        <v>-0.99987300000000001</v>
      </c>
      <c r="N3434">
        <v>0</v>
      </c>
      <c r="O3434">
        <v>5.9102959999999998E-3</v>
      </c>
      <c r="P3434">
        <v>-0.9995849</v>
      </c>
      <c r="Q3434">
        <v>2.8815750000000001E-2</v>
      </c>
      <c r="R3434">
        <v>1.051041E-4</v>
      </c>
      <c r="S3434">
        <v>-3.0004879999999998</v>
      </c>
      <c r="T3434">
        <v>2.878213E-2</v>
      </c>
      <c r="U3434">
        <v>-7.03125E-2</v>
      </c>
      <c r="V3434">
        <v>-5.850737E-3</v>
      </c>
      <c r="W3434">
        <v>4.3602299999999997E-2</v>
      </c>
      <c r="X3434">
        <v>0.99903180000000003</v>
      </c>
      <c r="Y3434">
        <v>-2.9334550000000001E-2</v>
      </c>
      <c r="Z3434">
        <v>1.9736530000000001E-4</v>
      </c>
      <c r="AA3434">
        <v>0.99956970000000001</v>
      </c>
      <c r="AB3434">
        <v>37</v>
      </c>
      <c r="AC3434">
        <v>-211.51300000000001</v>
      </c>
      <c r="AD3434">
        <v>2.0309089999999901</v>
      </c>
      <c r="AE3434">
        <v>-4.9626000000000001</v>
      </c>
      <c r="AF3434">
        <v>-6.2121822676451703</v>
      </c>
      <c r="AG3434">
        <v>2.0309089999999901</v>
      </c>
      <c r="AH3434">
        <v>211.46048641893299</v>
      </c>
      <c r="AI3434">
        <v>89.449974020560504</v>
      </c>
      <c r="AJ3434">
        <v>91.682723284550505</v>
      </c>
      <c r="AK3434">
        <v>211.561464157404</v>
      </c>
      <c r="AL3434">
        <v>87.500979877615407</v>
      </c>
      <c r="AM3434">
        <v>90.335543578079907</v>
      </c>
      <c r="AN3434">
        <v>0.99999996454998596</v>
      </c>
    </row>
    <row r="3435" spans="1:40" x14ac:dyDescent="0.25">
      <c r="A3435" t="str">
        <f>"20190312150726969"</f>
        <v>20190312150726969</v>
      </c>
      <c r="B3435" t="str">
        <f>"1552374446963650"</f>
        <v>1552374446963650</v>
      </c>
      <c r="C3435" t="s">
        <v>40</v>
      </c>
      <c r="D3435">
        <v>4.2255469999999997</v>
      </c>
      <c r="E3435">
        <v>0.49138130000000002</v>
      </c>
      <c r="F3435" t="s">
        <v>69</v>
      </c>
      <c r="G3435">
        <v>-551.06290000000001</v>
      </c>
      <c r="H3435">
        <v>3.1422889999999999</v>
      </c>
      <c r="I3435">
        <v>278.46870000000001</v>
      </c>
      <c r="J3435">
        <v>-339.7516</v>
      </c>
      <c r="K3435">
        <v>1.1107400000000001</v>
      </c>
      <c r="L3435">
        <v>283.44349999999997</v>
      </c>
      <c r="M3435">
        <v>-0.99987440000000005</v>
      </c>
      <c r="N3435">
        <v>0</v>
      </c>
      <c r="O3435">
        <v>5.6783850000000002E-3</v>
      </c>
      <c r="P3435">
        <v>-0.99958599999999997</v>
      </c>
      <c r="Q3435">
        <v>2.8781109999999999E-2</v>
      </c>
      <c r="R3435">
        <v>-1.6557989999999999E-4</v>
      </c>
      <c r="S3435">
        <v>-3.0004270000000002</v>
      </c>
      <c r="T3435">
        <v>2.8819560000000001E-2</v>
      </c>
      <c r="U3435">
        <v>-7.0556640000000004E-2</v>
      </c>
      <c r="V3435">
        <v>-5.888379E-3</v>
      </c>
      <c r="W3435">
        <v>4.3565609999999998E-2</v>
      </c>
      <c r="X3435">
        <v>0.99903319999999995</v>
      </c>
      <c r="Y3435">
        <v>-2.9184479999999999E-2</v>
      </c>
      <c r="Z3435">
        <v>1.946777E-4</v>
      </c>
      <c r="AA3435">
        <v>0.99957399999999996</v>
      </c>
      <c r="AB3435">
        <v>36</v>
      </c>
      <c r="AC3435">
        <v>-211.31129999999999</v>
      </c>
      <c r="AD3435">
        <v>2.031549</v>
      </c>
      <c r="AE3435">
        <v>-4.9747999999999504</v>
      </c>
      <c r="AF3435">
        <v>-6.17418771059448</v>
      </c>
      <c r="AG3435">
        <v>2.031549</v>
      </c>
      <c r="AH3435">
        <v>211.26012475100299</v>
      </c>
      <c r="AI3435">
        <v>89.449276467719201</v>
      </c>
      <c r="AJ3435">
        <v>91.674022639337906</v>
      </c>
      <c r="AK3435">
        <v>211.36009106507001</v>
      </c>
      <c r="AL3435">
        <v>87.503084110500794</v>
      </c>
      <c r="AM3435">
        <v>90.337701848233195</v>
      </c>
      <c r="AN3435">
        <v>0.99999998504207899</v>
      </c>
    </row>
    <row r="3436" spans="1:40" x14ac:dyDescent="0.25">
      <c r="A3436" t="str">
        <f>"20190312150726982"</f>
        <v>20190312150726982</v>
      </c>
      <c r="B3436" t="str">
        <f>"1552374446973411"</f>
        <v>1552374446973411</v>
      </c>
      <c r="C3436" t="s">
        <v>40</v>
      </c>
      <c r="D3436">
        <v>4.2487959999999996</v>
      </c>
      <c r="E3436">
        <v>0.49137219999999998</v>
      </c>
      <c r="F3436" t="s">
        <v>69</v>
      </c>
      <c r="G3436">
        <v>-515.25319999999999</v>
      </c>
      <c r="H3436">
        <v>2.769549</v>
      </c>
      <c r="I3436">
        <v>279.27539999999999</v>
      </c>
      <c r="J3436">
        <v>-339.95150000000001</v>
      </c>
      <c r="K3436">
        <v>1.110727</v>
      </c>
      <c r="L3436">
        <v>283.44450000000001</v>
      </c>
      <c r="M3436">
        <v>-0.99987570000000003</v>
      </c>
      <c r="N3436">
        <v>0</v>
      </c>
      <c r="O3436">
        <v>5.454586E-3</v>
      </c>
      <c r="P3436">
        <v>-0.99959799999999999</v>
      </c>
      <c r="Q3436">
        <v>2.8357759999999999E-2</v>
      </c>
      <c r="R3436">
        <v>-3.7758049999999998E-4</v>
      </c>
      <c r="S3436">
        <v>-3.0004270000000002</v>
      </c>
      <c r="T3436">
        <v>2.8360839999999998E-2</v>
      </c>
      <c r="U3436">
        <v>-7.1258539999999995E-2</v>
      </c>
      <c r="V3436">
        <v>-5.8746730000000004E-3</v>
      </c>
      <c r="W3436">
        <v>4.3140669999999999E-2</v>
      </c>
      <c r="X3436">
        <v>0.99905169999999999</v>
      </c>
      <c r="Y3436">
        <v>-2.9194520000000002E-2</v>
      </c>
      <c r="Z3436">
        <v>1.8951079999999999E-4</v>
      </c>
      <c r="AA3436">
        <v>0.99957370000000001</v>
      </c>
      <c r="AB3436">
        <v>36</v>
      </c>
      <c r="AC3436">
        <v>-175.30169999999899</v>
      </c>
      <c r="AD3436">
        <v>1.658822</v>
      </c>
      <c r="AE3436">
        <v>-4.16910000000001</v>
      </c>
      <c r="AF3436">
        <v>-5.1248821711927004</v>
      </c>
      <c r="AG3436">
        <v>1.658822</v>
      </c>
      <c r="AH3436">
        <v>175.26066403573401</v>
      </c>
      <c r="AI3436">
        <v>89.457949919181303</v>
      </c>
      <c r="AJ3436">
        <v>91.674936423427596</v>
      </c>
      <c r="AK3436">
        <v>175.343424359007</v>
      </c>
      <c r="AL3436">
        <v>87.527454240695803</v>
      </c>
      <c r="AM3436">
        <v>90.336909580848399</v>
      </c>
      <c r="AN3436">
        <v>0.99999996423189697</v>
      </c>
    </row>
    <row r="3437" spans="1:40" x14ac:dyDescent="0.25">
      <c r="A3437" t="str">
        <f>"20190312150726995"</f>
        <v>20190312150726995</v>
      </c>
      <c r="B3437" t="str">
        <f>"1552374446983169"</f>
        <v>1552374446983169</v>
      </c>
      <c r="C3437" t="s">
        <v>40</v>
      </c>
      <c r="D3437">
        <v>4.23088</v>
      </c>
      <c r="E3437">
        <v>0.49135299999999998</v>
      </c>
      <c r="F3437" t="s">
        <v>69</v>
      </c>
      <c r="G3437">
        <v>-513.56320000000005</v>
      </c>
      <c r="H3437">
        <v>2.6558670000000002</v>
      </c>
      <c r="I3437">
        <v>279.27539999999999</v>
      </c>
      <c r="J3437">
        <v>-340.1678</v>
      </c>
      <c r="K3437">
        <v>1.110716</v>
      </c>
      <c r="L3437">
        <v>283.44540000000001</v>
      </c>
      <c r="M3437">
        <v>-0.99987689999999996</v>
      </c>
      <c r="N3437">
        <v>0</v>
      </c>
      <c r="O3437">
        <v>5.2211569999999997E-3</v>
      </c>
      <c r="P3437">
        <v>-0.99959770000000003</v>
      </c>
      <c r="Q3437">
        <v>2.8351060000000001E-2</v>
      </c>
      <c r="R3437">
        <v>-8.4895649999999995E-4</v>
      </c>
      <c r="S3437">
        <v>-3.0004879999999998</v>
      </c>
      <c r="T3437">
        <v>2.6705619999999999E-2</v>
      </c>
      <c r="U3437">
        <v>-7.2052000000000005E-2</v>
      </c>
      <c r="V3437">
        <v>-6.1114380000000003E-3</v>
      </c>
      <c r="W3437">
        <v>4.31321E-2</v>
      </c>
      <c r="X3437">
        <v>0.99905069999999996</v>
      </c>
      <c r="Y3437">
        <v>-2.9225040000000001E-2</v>
      </c>
      <c r="Z3437">
        <v>1.765049E-4</v>
      </c>
      <c r="AA3437">
        <v>0.99957280000000004</v>
      </c>
      <c r="AB3437">
        <v>36</v>
      </c>
      <c r="AC3437">
        <v>-173.3954</v>
      </c>
      <c r="AD3437">
        <v>1.5451509999999899</v>
      </c>
      <c r="AE3437">
        <v>-4.1700000000000097</v>
      </c>
      <c r="AF3437">
        <v>-5.0749641085394304</v>
      </c>
      <c r="AG3437">
        <v>1.5451509999999899</v>
      </c>
      <c r="AH3437">
        <v>173.357503343822</v>
      </c>
      <c r="AI3437">
        <v>89.489549762514201</v>
      </c>
      <c r="AJ3437">
        <v>91.676829656993803</v>
      </c>
      <c r="AK3437">
        <v>173.438654047819</v>
      </c>
      <c r="AL3437">
        <v>87.527945847232203</v>
      </c>
      <c r="AM3437">
        <v>90.350487954731605</v>
      </c>
      <c r="AN3437">
        <v>1.00000001444766</v>
      </c>
    </row>
    <row r="3438" spans="1:40" x14ac:dyDescent="0.25">
      <c r="A3438" t="str">
        <f>"20190312150727007"</f>
        <v>20190312150727007</v>
      </c>
      <c r="B3438" t="str">
        <f>"1552374447003665"</f>
        <v>1552374447003665</v>
      </c>
      <c r="C3438" t="s">
        <v>40</v>
      </c>
      <c r="D3438">
        <v>4.2548719999999998</v>
      </c>
      <c r="E3438">
        <v>0.49136269999999999</v>
      </c>
      <c r="F3438" t="s">
        <v>69</v>
      </c>
      <c r="G3438">
        <v>-511.95949999999999</v>
      </c>
      <c r="H3438">
        <v>2.6175549999999999</v>
      </c>
      <c r="I3438">
        <v>279.22550000000001</v>
      </c>
      <c r="J3438">
        <v>-340.3673</v>
      </c>
      <c r="K3438">
        <v>1.1107020000000001</v>
      </c>
      <c r="L3438">
        <v>283.44619999999998</v>
      </c>
      <c r="M3438">
        <v>-0.99987820000000005</v>
      </c>
      <c r="N3438">
        <v>0</v>
      </c>
      <c r="O3438">
        <v>5.0105360000000003E-3</v>
      </c>
      <c r="P3438">
        <v>-0.99960539999999998</v>
      </c>
      <c r="Q3438">
        <v>2.8068650000000001E-2</v>
      </c>
      <c r="R3438">
        <v>-1.28652E-3</v>
      </c>
      <c r="S3438">
        <v>-3.0003660000000001</v>
      </c>
      <c r="T3438">
        <v>2.631855E-2</v>
      </c>
      <c r="U3438">
        <v>-7.369995E-2</v>
      </c>
      <c r="V3438">
        <v>-6.3373229999999997E-3</v>
      </c>
      <c r="W3438">
        <v>4.2847209999999997E-2</v>
      </c>
      <c r="X3438">
        <v>0.99906150000000005</v>
      </c>
      <c r="Y3438">
        <v>-2.9564190000000001E-2</v>
      </c>
      <c r="Z3438">
        <v>1.735924E-4</v>
      </c>
      <c r="AA3438">
        <v>0.99956290000000003</v>
      </c>
      <c r="AB3438">
        <v>36</v>
      </c>
      <c r="AC3438">
        <v>-171.59219999999999</v>
      </c>
      <c r="AD3438">
        <v>1.50685299999999</v>
      </c>
      <c r="AE3438">
        <v>-4.2206999999999599</v>
      </c>
      <c r="AF3438">
        <v>-5.08011831509112</v>
      </c>
      <c r="AG3438">
        <v>1.50685299999999</v>
      </c>
      <c r="AH3438">
        <v>171.55567352972801</v>
      </c>
      <c r="AI3438">
        <v>89.496978036077294</v>
      </c>
      <c r="AJ3438">
        <v>91.696150879338205</v>
      </c>
      <c r="AK3438">
        <v>171.63748812044901</v>
      </c>
      <c r="AL3438">
        <v>87.544283819361496</v>
      </c>
      <c r="AM3438">
        <v>90.363438078003298</v>
      </c>
      <c r="AN3438">
        <v>0.99999996292491899</v>
      </c>
    </row>
    <row r="3439" spans="1:40" x14ac:dyDescent="0.25">
      <c r="A3439" t="str">
        <f>"20190312150727021"</f>
        <v>20190312150727021</v>
      </c>
      <c r="B3439" t="str">
        <f>"1552374447013425"</f>
        <v>1552374447013425</v>
      </c>
      <c r="C3439" t="s">
        <v>40</v>
      </c>
      <c r="D3439">
        <v>4.2609919999999999</v>
      </c>
      <c r="E3439">
        <v>0.49140010000000001</v>
      </c>
      <c r="F3439" t="s">
        <v>69</v>
      </c>
      <c r="G3439">
        <v>-511.95949999999999</v>
      </c>
      <c r="H3439">
        <v>2.5462980000000002</v>
      </c>
      <c r="I3439">
        <v>279.15800000000002</v>
      </c>
      <c r="J3439">
        <v>-340.60430000000002</v>
      </c>
      <c r="K3439">
        <v>1.110689</v>
      </c>
      <c r="L3439">
        <v>283.44709999999998</v>
      </c>
      <c r="M3439">
        <v>-0.99987919999999997</v>
      </c>
      <c r="N3439">
        <v>0</v>
      </c>
      <c r="O3439">
        <v>4.7705220000000001E-3</v>
      </c>
      <c r="P3439">
        <v>-0.99961169999999999</v>
      </c>
      <c r="Q3439">
        <v>2.783325E-2</v>
      </c>
      <c r="R3439">
        <v>-1.441751E-3</v>
      </c>
      <c r="S3439">
        <v>-3.000397</v>
      </c>
      <c r="T3439">
        <v>2.5103690000000001E-2</v>
      </c>
      <c r="U3439">
        <v>-7.4981690000000004E-2</v>
      </c>
      <c r="V3439">
        <v>-6.2506829999999999E-3</v>
      </c>
      <c r="W3439">
        <v>4.2609969999999997E-2</v>
      </c>
      <c r="X3439">
        <v>0.99907230000000002</v>
      </c>
      <c r="Y3439">
        <v>-2.975086E-2</v>
      </c>
      <c r="Z3439">
        <v>1.643499E-4</v>
      </c>
      <c r="AA3439">
        <v>0.99955729999999998</v>
      </c>
      <c r="AB3439">
        <v>36</v>
      </c>
      <c r="AC3439">
        <v>-171.355199999999</v>
      </c>
      <c r="AD3439">
        <v>1.4356089999999999</v>
      </c>
      <c r="AE3439">
        <v>-4.2890999999999604</v>
      </c>
      <c r="AF3439">
        <v>-5.10623620602302</v>
      </c>
      <c r="AG3439">
        <v>1.4356089999999999</v>
      </c>
      <c r="AH3439">
        <v>171.320768691148</v>
      </c>
      <c r="AI3439">
        <v>89.520105449323495</v>
      </c>
      <c r="AJ3439">
        <v>91.707202220981102</v>
      </c>
      <c r="AK3439">
        <v>171.40285997123399</v>
      </c>
      <c r="AL3439">
        <v>87.557889359225896</v>
      </c>
      <c r="AM3439">
        <v>90.358465630712104</v>
      </c>
      <c r="AN3439">
        <v>1.0000000706043199</v>
      </c>
    </row>
    <row r="3440" spans="1:40" x14ac:dyDescent="0.25">
      <c r="A3440" t="str">
        <f>"20190312150727032"</f>
        <v>20190312150727032</v>
      </c>
      <c r="B3440" t="str">
        <f>"1552374447023186"</f>
        <v>1552374447023186</v>
      </c>
      <c r="C3440" t="s">
        <v>40</v>
      </c>
      <c r="D3440">
        <v>4.2815640000000004</v>
      </c>
      <c r="E3440">
        <v>0.49141109999999999</v>
      </c>
      <c r="F3440" t="s">
        <v>69</v>
      </c>
      <c r="G3440">
        <v>-511.95940000000002</v>
      </c>
      <c r="H3440">
        <v>2.4710130000000001</v>
      </c>
      <c r="I3440">
        <v>279.15609999999998</v>
      </c>
      <c r="J3440">
        <v>-340.78160000000003</v>
      </c>
      <c r="K3440">
        <v>1.1106780000000001</v>
      </c>
      <c r="L3440">
        <v>283.44779999999997</v>
      </c>
      <c r="M3440">
        <v>-0.99988010000000005</v>
      </c>
      <c r="N3440">
        <v>0</v>
      </c>
      <c r="O3440">
        <v>4.5978950000000003E-3</v>
      </c>
      <c r="P3440">
        <v>-0.99961040000000001</v>
      </c>
      <c r="Q3440">
        <v>2.7868259999999999E-2</v>
      </c>
      <c r="R3440">
        <v>-1.68716E-3</v>
      </c>
      <c r="S3440">
        <v>-3.000397</v>
      </c>
      <c r="T3440">
        <v>2.3820399999999999E-2</v>
      </c>
      <c r="U3440">
        <v>-7.5134279999999998E-2</v>
      </c>
      <c r="V3440">
        <v>-6.3226100000000002E-3</v>
      </c>
      <c r="W3440">
        <v>4.2642840000000001E-2</v>
      </c>
      <c r="X3440">
        <v>0.99907029999999997</v>
      </c>
      <c r="Y3440">
        <v>-2.9629220000000001E-2</v>
      </c>
      <c r="Z3440">
        <v>1.540953E-4</v>
      </c>
      <c r="AA3440">
        <v>0.99956100000000003</v>
      </c>
      <c r="AB3440">
        <v>36</v>
      </c>
      <c r="AC3440">
        <v>-171.17779999999999</v>
      </c>
      <c r="AD3440">
        <v>1.3603350000000001</v>
      </c>
      <c r="AE3440">
        <v>-4.2916999999999899</v>
      </c>
      <c r="AF3440">
        <v>-5.07847771138412</v>
      </c>
      <c r="AG3440">
        <v>1.3603350000000001</v>
      </c>
      <c r="AH3440">
        <v>171.14545361647501</v>
      </c>
      <c r="AI3440">
        <v>89.5447993400131</v>
      </c>
      <c r="AJ3440">
        <v>91.699665258511402</v>
      </c>
      <c r="AK3440">
        <v>171.226188828597</v>
      </c>
      <c r="AL3440">
        <v>87.5560039795661</v>
      </c>
      <c r="AM3440">
        <v>90.362591133464605</v>
      </c>
      <c r="AN3440">
        <v>0.99999992577128105</v>
      </c>
    </row>
    <row r="3441" spans="1:40" x14ac:dyDescent="0.25">
      <c r="A3441" t="str">
        <f>"20190312150727043"</f>
        <v>20190312150727043</v>
      </c>
      <c r="B3441" t="str">
        <f>"1552374447033922"</f>
        <v>1552374447033922</v>
      </c>
      <c r="C3441" t="s">
        <v>40</v>
      </c>
      <c r="D3441">
        <v>4.2595150000000004</v>
      </c>
      <c r="E3441">
        <v>0.49141220000000002</v>
      </c>
      <c r="F3441" t="s">
        <v>69</v>
      </c>
      <c r="G3441">
        <v>-511.95940000000002</v>
      </c>
      <c r="H3441">
        <v>2.4598680000000002</v>
      </c>
      <c r="I3441">
        <v>279.12470000000002</v>
      </c>
      <c r="J3441">
        <v>-340.96539999999999</v>
      </c>
      <c r="K3441">
        <v>1.110668</v>
      </c>
      <c r="L3441">
        <v>283.44850000000002</v>
      </c>
      <c r="M3441">
        <v>-0.99988100000000002</v>
      </c>
      <c r="N3441">
        <v>0</v>
      </c>
      <c r="O3441">
        <v>4.4211620000000002E-3</v>
      </c>
      <c r="P3441">
        <v>-0.999614</v>
      </c>
      <c r="Q3441">
        <v>2.7725929999999999E-2</v>
      </c>
      <c r="R3441">
        <v>-1.810746E-3</v>
      </c>
      <c r="S3441">
        <v>-3.000397</v>
      </c>
      <c r="T3441">
        <v>2.364993E-2</v>
      </c>
      <c r="U3441">
        <v>-7.5775149999999999E-2</v>
      </c>
      <c r="V3441">
        <v>-6.2683390000000004E-3</v>
      </c>
      <c r="W3441">
        <v>4.2499439999999999E-2</v>
      </c>
      <c r="X3441">
        <v>0.99907679999999999</v>
      </c>
      <c r="Y3441">
        <v>-2.9665919999999998E-2</v>
      </c>
      <c r="Z3441">
        <v>1.517438E-4</v>
      </c>
      <c r="AA3441">
        <v>0.99955989999999995</v>
      </c>
      <c r="AB3441">
        <v>36</v>
      </c>
      <c r="AC3441">
        <v>-170.994</v>
      </c>
      <c r="AD3441">
        <v>1.3492</v>
      </c>
      <c r="AE3441">
        <v>-4.3238000000000003</v>
      </c>
      <c r="AF3441">
        <v>-5.0795164549410599</v>
      </c>
      <c r="AG3441">
        <v>1.3492</v>
      </c>
      <c r="AH3441">
        <v>170.96257325358499</v>
      </c>
      <c r="AI3441">
        <v>89.5480428027426</v>
      </c>
      <c r="AJ3441">
        <v>91.701830152946698</v>
      </c>
      <c r="AK3441">
        <v>171.04333743687101</v>
      </c>
      <c r="AL3441">
        <v>87.564227766281903</v>
      </c>
      <c r="AM3441">
        <v>90.359476525491701</v>
      </c>
      <c r="AN3441">
        <v>0.99999997338618496</v>
      </c>
    </row>
    <row r="3442" spans="1:40" x14ac:dyDescent="0.25">
      <c r="A3442" t="str">
        <f>"20190312150727055"</f>
        <v>20190312150727055</v>
      </c>
      <c r="B3442" t="str">
        <f>"1552374447043682"</f>
        <v>1552374447043682</v>
      </c>
      <c r="C3442" t="s">
        <v>40</v>
      </c>
      <c r="D3442">
        <v>4.2384170000000001</v>
      </c>
      <c r="E3442">
        <v>0.49141220000000002</v>
      </c>
      <c r="F3442" t="s">
        <v>69</v>
      </c>
      <c r="G3442">
        <v>-511.95940000000002</v>
      </c>
      <c r="H3442">
        <v>2.4220959999999998</v>
      </c>
      <c r="I3442">
        <v>279.11259999999999</v>
      </c>
      <c r="J3442">
        <v>-341.14670000000001</v>
      </c>
      <c r="K3442">
        <v>1.1106590000000001</v>
      </c>
      <c r="L3442">
        <v>283.44920000000002</v>
      </c>
      <c r="M3442">
        <v>-0.99988169999999998</v>
      </c>
      <c r="N3442">
        <v>0</v>
      </c>
      <c r="O3442">
        <v>4.2561639999999998E-3</v>
      </c>
      <c r="P3442">
        <v>-0.99961009999999995</v>
      </c>
      <c r="Q3442">
        <v>2.7862669999999999E-2</v>
      </c>
      <c r="R3442">
        <v>-1.948874E-3</v>
      </c>
      <c r="S3442">
        <v>-3.0003660000000001</v>
      </c>
      <c r="T3442">
        <v>2.3012520000000002E-2</v>
      </c>
      <c r="U3442">
        <v>-7.6080320000000007E-2</v>
      </c>
      <c r="V3442">
        <v>-6.2406719999999897E-3</v>
      </c>
      <c r="W3442">
        <v>4.2633789999999998E-2</v>
      </c>
      <c r="X3442">
        <v>0.9990713</v>
      </c>
      <c r="Y3442">
        <v>-2.960291E-2</v>
      </c>
      <c r="Z3442">
        <v>1.461484E-4</v>
      </c>
      <c r="AA3442">
        <v>0.9995617</v>
      </c>
      <c r="AB3442">
        <v>36</v>
      </c>
      <c r="AC3442">
        <v>-170.81270000000001</v>
      </c>
      <c r="AD3442">
        <v>1.31143699999999</v>
      </c>
      <c r="AE3442">
        <v>-4.33660000000003</v>
      </c>
      <c r="AF3442">
        <v>-5.06334873306775</v>
      </c>
      <c r="AG3442">
        <v>1.31143699999999</v>
      </c>
      <c r="AH3442">
        <v>170.78263275393499</v>
      </c>
      <c r="AI3442">
        <v>89.560228537747193</v>
      </c>
      <c r="AJ3442">
        <v>91.698202862062601</v>
      </c>
      <c r="AK3442">
        <v>170.86270809560199</v>
      </c>
      <c r="AL3442">
        <v>87.556523219202006</v>
      </c>
      <c r="AM3442">
        <v>90.357891890702803</v>
      </c>
      <c r="AN3442">
        <v>1.00000002426023</v>
      </c>
    </row>
    <row r="3443" spans="1:40" x14ac:dyDescent="0.25">
      <c r="A3443" t="str">
        <f>"20190312150727077"</f>
        <v>20190312150727077</v>
      </c>
      <c r="B3443" t="str">
        <f>"1552374447073938"</f>
        <v>1552374447073938</v>
      </c>
      <c r="C3443" t="s">
        <v>40</v>
      </c>
      <c r="D3443">
        <v>4.2700329999999997</v>
      </c>
      <c r="E3443">
        <v>0.49142469999999999</v>
      </c>
      <c r="F3443" t="s">
        <v>69</v>
      </c>
      <c r="G3443">
        <v>-511.95940000000002</v>
      </c>
      <c r="H3443">
        <v>2.444674</v>
      </c>
      <c r="I3443">
        <v>279.08659999999998</v>
      </c>
      <c r="J3443">
        <v>-341.50049999999999</v>
      </c>
      <c r="K3443">
        <v>1.1106419999999999</v>
      </c>
      <c r="L3443">
        <v>283.4504</v>
      </c>
      <c r="M3443">
        <v>-0.99988299999999997</v>
      </c>
      <c r="N3443">
        <v>0</v>
      </c>
      <c r="O3443">
        <v>3.9456990000000004E-3</v>
      </c>
      <c r="P3443">
        <v>-0.99961540000000004</v>
      </c>
      <c r="Q3443">
        <v>2.7667509999999999E-2</v>
      </c>
      <c r="R3443">
        <v>-1.9565390000000002E-3</v>
      </c>
      <c r="S3443">
        <v>-3.0003660000000001</v>
      </c>
      <c r="T3443">
        <v>2.343369E-2</v>
      </c>
      <c r="U3443">
        <v>-7.6629639999999999E-2</v>
      </c>
      <c r="V3443">
        <v>-5.9348780000000002E-3</v>
      </c>
      <c r="W3443">
        <v>4.2436090000000003E-2</v>
      </c>
      <c r="X3443">
        <v>0.99908160000000001</v>
      </c>
      <c r="Y3443">
        <v>-2.9475399999999999E-2</v>
      </c>
      <c r="Z3443">
        <v>1.4590020000000001E-4</v>
      </c>
      <c r="AA3443">
        <v>0.9995655</v>
      </c>
      <c r="AB3443">
        <v>36</v>
      </c>
      <c r="AC3443">
        <v>-170.4589</v>
      </c>
      <c r="AD3443">
        <v>1.3340319999999899</v>
      </c>
      <c r="AE3443">
        <v>-4.3638000000000199</v>
      </c>
      <c r="AF3443">
        <v>-5.0361107478547398</v>
      </c>
      <c r="AG3443">
        <v>1.3340319999999899</v>
      </c>
      <c r="AH3443">
        <v>170.42992100036199</v>
      </c>
      <c r="AI3443">
        <v>89.551724863298105</v>
      </c>
      <c r="AJ3443">
        <v>91.692566360963596</v>
      </c>
      <c r="AK3443">
        <v>170.509530598824</v>
      </c>
      <c r="AL3443">
        <v>87.567860903345604</v>
      </c>
      <c r="AM3443">
        <v>90.340352040955693</v>
      </c>
      <c r="AN3443">
        <v>1.0000000439849599</v>
      </c>
    </row>
    <row r="3444" spans="1:40" x14ac:dyDescent="0.25">
      <c r="A3444" t="str">
        <f>"20190312150727089"</f>
        <v>20190312150727089</v>
      </c>
      <c r="B3444" t="str">
        <f>"1552374447083698"</f>
        <v>1552374447083698</v>
      </c>
      <c r="C3444" t="s">
        <v>40</v>
      </c>
      <c r="D3444">
        <v>4.2832350000000003</v>
      </c>
      <c r="E3444">
        <v>0.47838570000000002</v>
      </c>
      <c r="F3444" t="s">
        <v>69</v>
      </c>
      <c r="G3444">
        <v>-511.95940000000002</v>
      </c>
      <c r="H3444">
        <v>2.4317820000000001</v>
      </c>
      <c r="I3444">
        <v>279.11070000000001</v>
      </c>
      <c r="J3444">
        <v>-341.68709999999999</v>
      </c>
      <c r="K3444">
        <v>1.1106339999999999</v>
      </c>
      <c r="L3444">
        <v>283.45089999999999</v>
      </c>
      <c r="M3444">
        <v>-0.99988370000000004</v>
      </c>
      <c r="N3444">
        <v>0</v>
      </c>
      <c r="O3444">
        <v>3.7891019999999999E-3</v>
      </c>
      <c r="P3444">
        <v>-0.99960700000000002</v>
      </c>
      <c r="Q3444">
        <v>2.796798E-2</v>
      </c>
      <c r="R3444">
        <v>-1.92228E-3</v>
      </c>
      <c r="S3444">
        <v>-3.0003660000000001</v>
      </c>
      <c r="T3444">
        <v>2.3255709999999999E-2</v>
      </c>
      <c r="U3444">
        <v>-7.6385499999999995E-2</v>
      </c>
      <c r="V3444">
        <v>-5.7437679999999998E-3</v>
      </c>
      <c r="W3444">
        <v>4.2734309999999998E-2</v>
      </c>
      <c r="X3444">
        <v>0.99907000000000001</v>
      </c>
      <c r="Y3444">
        <v>-2.9237590000000001E-2</v>
      </c>
      <c r="Z3444">
        <v>1.42657099999999E-4</v>
      </c>
      <c r="AA3444">
        <v>0.99957249999999997</v>
      </c>
      <c r="AB3444">
        <v>36</v>
      </c>
      <c r="AC3444">
        <v>-170.2723</v>
      </c>
      <c r="AD3444">
        <v>1.321148</v>
      </c>
      <c r="AE3444">
        <v>-4.3401999999999799</v>
      </c>
      <c r="AF3444">
        <v>-4.9851184367672703</v>
      </c>
      <c r="AG3444">
        <v>1.321148</v>
      </c>
      <c r="AH3444">
        <v>170.244387656198</v>
      </c>
      <c r="AI3444">
        <v>89.555566816121996</v>
      </c>
      <c r="AJ3444">
        <v>91.677263236755707</v>
      </c>
      <c r="AK3444">
        <v>170.322483443321</v>
      </c>
      <c r="AL3444">
        <v>87.550758628747104</v>
      </c>
      <c r="AM3444">
        <v>90.329396377835906</v>
      </c>
      <c r="AN3444">
        <v>1.0000000385109999</v>
      </c>
    </row>
    <row r="3445" spans="1:40" x14ac:dyDescent="0.25">
      <c r="A3445" t="str">
        <f>"20190312150727100"</f>
        <v>20190312150727100</v>
      </c>
      <c r="B3445" t="str">
        <f>"1552374447093457"</f>
        <v>1552374447093457</v>
      </c>
      <c r="C3445" t="s">
        <v>40</v>
      </c>
      <c r="D3445">
        <v>4.2318530000000001</v>
      </c>
      <c r="E3445">
        <v>0.47669</v>
      </c>
      <c r="F3445" t="s">
        <v>69</v>
      </c>
      <c r="G3445">
        <v>-512.82619999999997</v>
      </c>
      <c r="H3445">
        <v>2.9843380000000002</v>
      </c>
      <c r="I3445">
        <v>273.18270000000001</v>
      </c>
      <c r="J3445">
        <v>-341.87009999999998</v>
      </c>
      <c r="K3445">
        <v>1.110625</v>
      </c>
      <c r="L3445">
        <v>283.45150000000001</v>
      </c>
      <c r="M3445">
        <v>-0.9998842</v>
      </c>
      <c r="N3445">
        <v>0</v>
      </c>
      <c r="O3445">
        <v>3.6405999999999999E-3</v>
      </c>
      <c r="P3445">
        <v>-0.99960090000000001</v>
      </c>
      <c r="Q3445">
        <v>2.8184009999999999E-2</v>
      </c>
      <c r="R3445">
        <v>-1.9382620000000001E-3</v>
      </c>
      <c r="S3445">
        <v>-2.999908</v>
      </c>
      <c r="T3445">
        <v>3.2845619999999999E-2</v>
      </c>
      <c r="U3445">
        <v>-0.17999270000000001</v>
      </c>
      <c r="V3445">
        <v>-5.6103259999999997E-3</v>
      </c>
      <c r="W3445">
        <v>4.2948210000000001E-2</v>
      </c>
      <c r="X3445">
        <v>0.99906150000000005</v>
      </c>
      <c r="Y3445">
        <v>-6.3521739999999993E-2</v>
      </c>
      <c r="Z3445">
        <v>3.8725180000000002E-4</v>
      </c>
      <c r="AA3445">
        <v>0.99798039999999999</v>
      </c>
      <c r="AB3445">
        <v>36</v>
      </c>
      <c r="AC3445">
        <v>-170.95609999999999</v>
      </c>
      <c r="AD3445">
        <v>1.873713</v>
      </c>
      <c r="AE3445">
        <v>-10.268800000000001</v>
      </c>
      <c r="AF3445">
        <v>-10.889879211270699</v>
      </c>
      <c r="AG3445">
        <v>1.873713</v>
      </c>
      <c r="AH3445">
        <v>170.89712277000601</v>
      </c>
      <c r="AI3445">
        <v>89.373106617527895</v>
      </c>
      <c r="AJ3445">
        <v>93.646062946361397</v>
      </c>
      <c r="AK3445">
        <v>171.25398343019299</v>
      </c>
      <c r="AL3445">
        <v>87.538491588182197</v>
      </c>
      <c r="AM3445">
        <v>90.321746581777603</v>
      </c>
      <c r="AN3445">
        <v>0.99999995264113894</v>
      </c>
    </row>
    <row r="3446" spans="1:40" x14ac:dyDescent="0.25">
      <c r="A3446" t="str">
        <f>"20190312150727112"</f>
        <v>20190312150727112</v>
      </c>
      <c r="B3446" t="str">
        <f>"1552374447103217"</f>
        <v>1552374447103217</v>
      </c>
      <c r="C3446" t="s">
        <v>40</v>
      </c>
      <c r="D3446">
        <v>4.2768879999999996</v>
      </c>
      <c r="E3446">
        <v>0.47608210000000001</v>
      </c>
      <c r="F3446" t="s">
        <v>69</v>
      </c>
      <c r="G3446">
        <v>-512.82600000000002</v>
      </c>
      <c r="H3446">
        <v>2.5140829999999998</v>
      </c>
      <c r="I3446">
        <v>272.40370000000001</v>
      </c>
      <c r="J3446">
        <v>-342.06360000000001</v>
      </c>
      <c r="K3446">
        <v>1.110614</v>
      </c>
      <c r="L3446">
        <v>283.45209999999997</v>
      </c>
      <c r="M3446">
        <v>-0.99988480000000002</v>
      </c>
      <c r="N3446">
        <v>0</v>
      </c>
      <c r="O3446">
        <v>3.4881690000000002E-3</v>
      </c>
      <c r="P3446">
        <v>-0.99960190000000004</v>
      </c>
      <c r="Q3446">
        <v>2.813303E-2</v>
      </c>
      <c r="R3446">
        <v>-2.097359E-3</v>
      </c>
      <c r="S3446">
        <v>-3.0001220000000002</v>
      </c>
      <c r="T3446">
        <v>2.4630780000000001E-2</v>
      </c>
      <c r="U3446">
        <v>-0.1938782</v>
      </c>
      <c r="V3446">
        <v>-5.616055E-3</v>
      </c>
      <c r="W3446">
        <v>4.2895809999999999E-2</v>
      </c>
      <c r="X3446">
        <v>0.99906379999999995</v>
      </c>
      <c r="Y3446">
        <v>-6.7967410000000006E-2</v>
      </c>
      <c r="Z3446">
        <v>3.073196E-4</v>
      </c>
      <c r="AA3446">
        <v>0.99768749999999995</v>
      </c>
      <c r="AB3446">
        <v>36</v>
      </c>
      <c r="AC3446">
        <v>-170.76240000000001</v>
      </c>
      <c r="AD3446">
        <v>1.4034690000000001</v>
      </c>
      <c r="AE3446">
        <v>-11.0483999999999</v>
      </c>
      <c r="AF3446">
        <v>-11.643262665949599</v>
      </c>
      <c r="AG3446">
        <v>1.4034690000000001</v>
      </c>
      <c r="AH3446">
        <v>170.71133464947499</v>
      </c>
      <c r="AI3446">
        <v>89.530056585341995</v>
      </c>
      <c r="AJ3446">
        <v>93.901781099573896</v>
      </c>
      <c r="AK3446">
        <v>171.113690476675</v>
      </c>
      <c r="AL3446">
        <v>87.541496855552097</v>
      </c>
      <c r="AM3446">
        <v>90.322074385825502</v>
      </c>
      <c r="AN3446">
        <v>1.00000003352987</v>
      </c>
    </row>
    <row r="3447" spans="1:40" x14ac:dyDescent="0.25">
      <c r="A3447" t="str">
        <f>"20190312150727125"</f>
        <v>20190312150727125</v>
      </c>
      <c r="B3447" t="str">
        <f>"1552374447113954"</f>
        <v>1552374447113954</v>
      </c>
      <c r="C3447" t="s">
        <v>40</v>
      </c>
      <c r="D3447">
        <v>4.2127249999999998</v>
      </c>
      <c r="E3447">
        <v>0.47576370000000001</v>
      </c>
      <c r="F3447" t="s">
        <v>69</v>
      </c>
      <c r="G3447">
        <v>-512.82579999999996</v>
      </c>
      <c r="H3447">
        <v>1.977447</v>
      </c>
      <c r="I3447">
        <v>272.08760000000001</v>
      </c>
      <c r="J3447">
        <v>-342.27379999999999</v>
      </c>
      <c r="K3447">
        <v>1.1106049999999901</v>
      </c>
      <c r="L3447">
        <v>283.45260000000002</v>
      </c>
      <c r="M3447">
        <v>-0.99988540000000004</v>
      </c>
      <c r="N3447">
        <v>0</v>
      </c>
      <c r="O3447">
        <v>3.3256779999999999E-3</v>
      </c>
      <c r="P3447">
        <v>-0.99960059999999995</v>
      </c>
      <c r="Q3447">
        <v>2.8166210000000001E-2</v>
      </c>
      <c r="R3447">
        <v>-2.3559309999999999E-3</v>
      </c>
      <c r="S3447">
        <v>-3.0003359999999999</v>
      </c>
      <c r="T3447">
        <v>1.523185E-2</v>
      </c>
      <c r="U3447">
        <v>-0.19967650000000001</v>
      </c>
      <c r="V3447">
        <v>-5.7108489999999996E-3</v>
      </c>
      <c r="W3447">
        <v>4.2926779999999998E-2</v>
      </c>
      <c r="X3447">
        <v>0.99906189999999995</v>
      </c>
      <c r="Y3447">
        <v>-6.9721889999999995E-2</v>
      </c>
      <c r="Z3447">
        <v>1.9364950000000001E-4</v>
      </c>
      <c r="AA3447">
        <v>0.99756650000000002</v>
      </c>
      <c r="AB3447">
        <v>36</v>
      </c>
      <c r="AC3447">
        <v>-170.551999999999</v>
      </c>
      <c r="AD3447">
        <v>0.866842</v>
      </c>
      <c r="AE3447">
        <v>-11.365</v>
      </c>
      <c r="AF3447">
        <v>-11.931893174257301</v>
      </c>
      <c r="AG3447">
        <v>0.866842</v>
      </c>
      <c r="AH3447">
        <v>170.50887097786199</v>
      </c>
      <c r="AI3447">
        <v>89.709429772054193</v>
      </c>
      <c r="AJ3447">
        <v>94.002926403071001</v>
      </c>
      <c r="AK3447">
        <v>170.92804501286599</v>
      </c>
      <c r="AL3447">
        <v>87.539720689591903</v>
      </c>
      <c r="AM3447">
        <v>90.327511219637998</v>
      </c>
      <c r="AN3447">
        <v>1.00000000113453</v>
      </c>
    </row>
    <row r="3448" spans="1:40" x14ac:dyDescent="0.25">
      <c r="A3448" t="str">
        <f>"20190312150727138"</f>
        <v>20190312150727138</v>
      </c>
      <c r="B3448" t="str">
        <f>"1552374447133473"</f>
        <v>1552374447133473</v>
      </c>
      <c r="C3448" t="s">
        <v>40</v>
      </c>
      <c r="D3448">
        <v>4.2535930000000004</v>
      </c>
      <c r="E3448">
        <v>0.47531250000000003</v>
      </c>
      <c r="F3448" t="s">
        <v>69</v>
      </c>
      <c r="G3448">
        <v>-512.82569999999998</v>
      </c>
      <c r="H3448">
        <v>1.6526270000000001</v>
      </c>
      <c r="I3448">
        <v>271.9083</v>
      </c>
      <c r="J3448">
        <v>-342.47919999999999</v>
      </c>
      <c r="K3448">
        <v>1.1105959999999999</v>
      </c>
      <c r="L3448">
        <v>283.45319999999998</v>
      </c>
      <c r="M3448">
        <v>-0.99988600000000005</v>
      </c>
      <c r="N3448">
        <v>0</v>
      </c>
      <c r="O3448">
        <v>3.1749019999999998E-3</v>
      </c>
      <c r="P3448">
        <v>-0.99959500000000001</v>
      </c>
      <c r="Q3448">
        <v>2.83471E-2</v>
      </c>
      <c r="R3448">
        <v>-2.509093E-3</v>
      </c>
      <c r="S3448">
        <v>-3.0004580000000001</v>
      </c>
      <c r="T3448">
        <v>9.5369819999999994E-3</v>
      </c>
      <c r="U3448">
        <v>-0.20309450000000001</v>
      </c>
      <c r="V3448">
        <v>-5.7127109999999997E-3</v>
      </c>
      <c r="W3448">
        <v>4.3105419999999998E-2</v>
      </c>
      <c r="X3448">
        <v>0.9990542</v>
      </c>
      <c r="Y3448">
        <v>-7.0700600000000002E-2</v>
      </c>
      <c r="Z3448">
        <v>1.2231379999999901E-4</v>
      </c>
      <c r="AA3448">
        <v>0.99749759999999998</v>
      </c>
      <c r="AB3448">
        <v>36</v>
      </c>
      <c r="AC3448">
        <v>-170.34649999999999</v>
      </c>
      <c r="AD3448">
        <v>0.54203100000000004</v>
      </c>
      <c r="AE3448">
        <v>-11.544899999999901</v>
      </c>
      <c r="AF3448">
        <v>-12.085612376095</v>
      </c>
      <c r="AG3448">
        <v>0.54203100000000004</v>
      </c>
      <c r="AH3448">
        <v>170.30726691902399</v>
      </c>
      <c r="AI3448">
        <v>89.818104754514593</v>
      </c>
      <c r="AJ3448">
        <v>94.059108768814895</v>
      </c>
      <c r="AK3448">
        <v>170.736407920331</v>
      </c>
      <c r="AL3448">
        <v>87.529475894384007</v>
      </c>
      <c r="AM3448">
        <v>90.327620526055995</v>
      </c>
      <c r="AN3448">
        <v>1.00000000341899</v>
      </c>
    </row>
    <row r="3449" spans="1:40" x14ac:dyDescent="0.25">
      <c r="A3449" t="str">
        <f>"20190312150727156"</f>
        <v>20190312150727156</v>
      </c>
      <c r="B3449" t="str">
        <f>"1552374447153970"</f>
        <v>1552374447153970</v>
      </c>
      <c r="C3449" t="s">
        <v>40</v>
      </c>
      <c r="D3449">
        <v>4.3377619999999997</v>
      </c>
      <c r="E3449">
        <v>0.47575129999999999</v>
      </c>
      <c r="F3449" t="s">
        <v>69</v>
      </c>
      <c r="G3449">
        <v>-512.82600000000002</v>
      </c>
      <c r="H3449">
        <v>2.4556830000000001</v>
      </c>
      <c r="I3449">
        <v>271.70769999999999</v>
      </c>
      <c r="J3449">
        <v>-342.77429999999998</v>
      </c>
      <c r="K3449">
        <v>1.1105830000000001</v>
      </c>
      <c r="L3449">
        <v>283.45389999999998</v>
      </c>
      <c r="M3449">
        <v>-0.99988670000000002</v>
      </c>
      <c r="N3449">
        <v>0</v>
      </c>
      <c r="O3449">
        <v>2.9641279999999999E-3</v>
      </c>
      <c r="P3449">
        <v>-0.99959770000000003</v>
      </c>
      <c r="Q3449">
        <v>2.824631E-2</v>
      </c>
      <c r="R3449">
        <v>-2.5981910000000001E-3</v>
      </c>
      <c r="S3449">
        <v>-2.9999690000000001</v>
      </c>
      <c r="T3449">
        <v>2.368963E-2</v>
      </c>
      <c r="U3449">
        <v>-0.20684810000000001</v>
      </c>
      <c r="V3449">
        <v>-5.5898279999999998E-3</v>
      </c>
      <c r="W3449">
        <v>4.3001570000000003E-2</v>
      </c>
      <c r="X3449">
        <v>0.99905940000000004</v>
      </c>
      <c r="Y3449">
        <v>-7.1741600000000003E-2</v>
      </c>
      <c r="Z3449">
        <v>3.0629950000000001E-4</v>
      </c>
      <c r="AA3449">
        <v>0.99742319999999995</v>
      </c>
      <c r="AB3449">
        <v>36</v>
      </c>
      <c r="AC3449">
        <v>-170.05170000000001</v>
      </c>
      <c r="AD3449">
        <v>1.3451</v>
      </c>
      <c r="AE3449">
        <v>-11.7461999999999</v>
      </c>
      <c r="AF3449">
        <v>-12.2494955154678</v>
      </c>
      <c r="AG3449">
        <v>1.3451</v>
      </c>
      <c r="AH3449">
        <v>170.00554548865</v>
      </c>
      <c r="AI3449">
        <v>89.547851959533403</v>
      </c>
      <c r="AJ3449">
        <v>94.121239524188098</v>
      </c>
      <c r="AK3449">
        <v>170.451591166779</v>
      </c>
      <c r="AL3449">
        <v>87.535431656232205</v>
      </c>
      <c r="AM3449">
        <v>90.320571740386995</v>
      </c>
      <c r="AN3449">
        <v>1.00000003296394</v>
      </c>
    </row>
    <row r="3450" spans="1:40" x14ac:dyDescent="0.25">
      <c r="A3450" t="str">
        <f>"20190312150727178"</f>
        <v>20190312150727178</v>
      </c>
      <c r="B3450" t="str">
        <f>"1552374447173489"</f>
        <v>1552374447173489</v>
      </c>
      <c r="C3450" t="s">
        <v>40</v>
      </c>
      <c r="D3450">
        <v>4.3170089999999997</v>
      </c>
      <c r="E3450">
        <v>0.47666370000000002</v>
      </c>
      <c r="F3450" t="s">
        <v>69</v>
      </c>
      <c r="G3450">
        <v>-512.82590000000005</v>
      </c>
      <c r="H3450">
        <v>2.2769750000000002</v>
      </c>
      <c r="I3450">
        <v>271.9128</v>
      </c>
      <c r="J3450">
        <v>-343.13060000000002</v>
      </c>
      <c r="K3450">
        <v>1.110568</v>
      </c>
      <c r="L3450">
        <v>283.4547</v>
      </c>
      <c r="M3450">
        <v>-0.99988739999999998</v>
      </c>
      <c r="N3450">
        <v>0</v>
      </c>
      <c r="O3450">
        <v>2.7213290000000002E-3</v>
      </c>
      <c r="P3450">
        <v>-0.99959779999999998</v>
      </c>
      <c r="Q3450">
        <v>2.8219279999999999E-2</v>
      </c>
      <c r="R3450">
        <v>-2.854423E-3</v>
      </c>
      <c r="S3450">
        <v>-3.0001220000000002</v>
      </c>
      <c r="T3450">
        <v>2.0579340000000002E-2</v>
      </c>
      <c r="U3450">
        <v>-0.2036133</v>
      </c>
      <c r="V3450">
        <v>-5.6012689999999999E-3</v>
      </c>
      <c r="W3450">
        <v>4.2970609999999999E-2</v>
      </c>
      <c r="X3450">
        <v>0.99906059999999997</v>
      </c>
      <c r="Y3450">
        <v>-7.0425959999999996E-2</v>
      </c>
      <c r="Z3450">
        <v>2.5991090000000001E-4</v>
      </c>
      <c r="AA3450">
        <v>0.99751699999999999</v>
      </c>
      <c r="AB3450">
        <v>36</v>
      </c>
      <c r="AC3450">
        <v>-169.6953</v>
      </c>
      <c r="AD3450">
        <v>1.166407</v>
      </c>
      <c r="AE3450">
        <v>-11.541899999999901</v>
      </c>
      <c r="AF3450">
        <v>-12.003139804596501</v>
      </c>
      <c r="AG3450">
        <v>1.166407</v>
      </c>
      <c r="AH3450">
        <v>169.655280241687</v>
      </c>
      <c r="AI3450">
        <v>89.607070783344795</v>
      </c>
      <c r="AJ3450">
        <v>94.046942651676403</v>
      </c>
      <c r="AK3450">
        <v>170.08336186806599</v>
      </c>
      <c r="AL3450">
        <v>87.537207007199598</v>
      </c>
      <c r="AM3450">
        <v>90.321227472154305</v>
      </c>
      <c r="AN3450">
        <v>0.99999996500527</v>
      </c>
    </row>
    <row r="3451" spans="1:40" x14ac:dyDescent="0.25">
      <c r="A3451" t="str">
        <f>"20190312150727191"</f>
        <v>20190312150727191</v>
      </c>
      <c r="B3451" t="str">
        <f>"1552374447183250"</f>
        <v>1552374447183250</v>
      </c>
      <c r="C3451" t="s">
        <v>40</v>
      </c>
      <c r="D3451">
        <v>4.2263830000000002</v>
      </c>
      <c r="E3451">
        <v>0.47640959999999899</v>
      </c>
      <c r="F3451" t="s">
        <v>69</v>
      </c>
      <c r="G3451">
        <v>-512.82569999999998</v>
      </c>
      <c r="H3451">
        <v>1.743134</v>
      </c>
      <c r="I3451">
        <v>272.28550000000001</v>
      </c>
      <c r="J3451">
        <v>-343.32010000000002</v>
      </c>
      <c r="K3451">
        <v>1.1105609999999999</v>
      </c>
      <c r="L3451">
        <v>283.45510000000002</v>
      </c>
      <c r="M3451">
        <v>-0.99988790000000005</v>
      </c>
      <c r="N3451">
        <v>0</v>
      </c>
      <c r="O3451">
        <v>2.597102E-3</v>
      </c>
      <c r="P3451">
        <v>-0.99959920000000002</v>
      </c>
      <c r="Q3451">
        <v>2.8157069999999999E-2</v>
      </c>
      <c r="R3451">
        <v>-3.018317E-3</v>
      </c>
      <c r="S3451">
        <v>-3.0003359999999999</v>
      </c>
      <c r="T3451">
        <v>1.118565E-2</v>
      </c>
      <c r="U3451">
        <v>-0.19747919999999999</v>
      </c>
      <c r="V3451">
        <v>-5.6403479999999999E-3</v>
      </c>
      <c r="W3451">
        <v>4.2906760000000002E-2</v>
      </c>
      <c r="X3451">
        <v>0.99906309999999998</v>
      </c>
      <c r="Y3451">
        <v>-6.8268010000000004E-2</v>
      </c>
      <c r="Z3451">
        <v>1.367912E-4</v>
      </c>
      <c r="AA3451">
        <v>0.99766699999999997</v>
      </c>
      <c r="AB3451">
        <v>36</v>
      </c>
      <c r="AC3451">
        <v>-169.50559999999899</v>
      </c>
      <c r="AD3451">
        <v>0.63257299999999905</v>
      </c>
      <c r="AE3451">
        <v>-11.169600000000001</v>
      </c>
      <c r="AF3451">
        <v>-11.6096725375712</v>
      </c>
      <c r="AG3451">
        <v>0.63257299999999905</v>
      </c>
      <c r="AH3451">
        <v>169.47366644566199</v>
      </c>
      <c r="AI3451">
        <v>89.786640297173804</v>
      </c>
      <c r="AJ3451">
        <v>93.918883898402996</v>
      </c>
      <c r="AK3451">
        <v>169.872034966222</v>
      </c>
      <c r="AL3451">
        <v>87.540868660159106</v>
      </c>
      <c r="AM3451">
        <v>90.323467758924195</v>
      </c>
      <c r="AN3451">
        <v>0.99999994068043196</v>
      </c>
    </row>
    <row r="3452" spans="1:40" x14ac:dyDescent="0.25">
      <c r="A3452" t="str">
        <f>"20190312150727201"</f>
        <v>20190312150727201</v>
      </c>
      <c r="B3452" t="str">
        <f>"1552374447193985"</f>
        <v>1552374447193985</v>
      </c>
      <c r="C3452" t="s">
        <v>40</v>
      </c>
      <c r="D3452">
        <v>4.2475550000000002</v>
      </c>
      <c r="E3452">
        <v>0.4761879</v>
      </c>
      <c r="F3452" t="s">
        <v>69</v>
      </c>
      <c r="G3452">
        <v>-512.82569999999998</v>
      </c>
      <c r="H3452">
        <v>1.847534</v>
      </c>
      <c r="I3452">
        <v>272.1549</v>
      </c>
      <c r="J3452">
        <v>-343.51870000000002</v>
      </c>
      <c r="K3452">
        <v>1.1105529999999999</v>
      </c>
      <c r="L3452">
        <v>283.45549999999997</v>
      </c>
      <c r="M3452">
        <v>-0.99988809999999995</v>
      </c>
      <c r="N3452">
        <v>0</v>
      </c>
      <c r="O3452">
        <v>2.4699610000000001E-3</v>
      </c>
      <c r="P3452">
        <v>-0.99959920000000002</v>
      </c>
      <c r="Q3452">
        <v>2.8134849999999999E-2</v>
      </c>
      <c r="R3452">
        <v>-3.1481180000000001E-3</v>
      </c>
      <c r="S3452">
        <v>-3.0002439999999999</v>
      </c>
      <c r="T3452">
        <v>1.304579E-2</v>
      </c>
      <c r="U3452">
        <v>-0.2000122</v>
      </c>
      <c r="V3452">
        <v>-5.6422590000000002E-3</v>
      </c>
      <c r="W3452">
        <v>4.2882459999999997E-2</v>
      </c>
      <c r="X3452">
        <v>0.99906419999999996</v>
      </c>
      <c r="Y3452">
        <v>-6.8981570000000006E-2</v>
      </c>
      <c r="Z3452">
        <v>1.605368E-4</v>
      </c>
      <c r="AA3452">
        <v>0.99761789999999995</v>
      </c>
      <c r="AB3452">
        <v>36</v>
      </c>
      <c r="AC3452">
        <v>-169.30699999999899</v>
      </c>
      <c r="AD3452">
        <v>0.736980999999999</v>
      </c>
      <c r="AE3452">
        <v>-11.3005999999999</v>
      </c>
      <c r="AF3452">
        <v>-11.7185716740345</v>
      </c>
      <c r="AG3452">
        <v>0.736980999999999</v>
      </c>
      <c r="AH3452">
        <v>169.27537516138699</v>
      </c>
      <c r="AI3452">
        <v>89.751146234588603</v>
      </c>
      <c r="AJ3452">
        <v>93.960145838131197</v>
      </c>
      <c r="AK3452">
        <v>169.682116615458</v>
      </c>
      <c r="AL3452">
        <v>87.542262396103894</v>
      </c>
      <c r="AM3452">
        <v>90.323576994083197</v>
      </c>
      <c r="AN3452">
        <v>1.00000000809195</v>
      </c>
    </row>
    <row r="3453" spans="1:40" x14ac:dyDescent="0.25">
      <c r="A3453" t="str">
        <f>"20190312150727213"</f>
        <v>20190312150727213</v>
      </c>
      <c r="B3453" t="str">
        <f>"1552374447203746"</f>
        <v>1552374447203746</v>
      </c>
      <c r="C3453" t="s">
        <v>40</v>
      </c>
      <c r="D3453">
        <v>4.1794929999999999</v>
      </c>
      <c r="E3453">
        <v>0.47620760000000001</v>
      </c>
      <c r="F3453" t="s">
        <v>69</v>
      </c>
      <c r="G3453">
        <v>-512.82579999999996</v>
      </c>
      <c r="H3453">
        <v>1.905043</v>
      </c>
      <c r="I3453">
        <v>272.04259999999999</v>
      </c>
      <c r="J3453">
        <v>-343.6952</v>
      </c>
      <c r="K3453">
        <v>1.11054599999999</v>
      </c>
      <c r="L3453">
        <v>283.45589999999999</v>
      </c>
      <c r="M3453">
        <v>-0.99988829999999995</v>
      </c>
      <c r="N3453">
        <v>0</v>
      </c>
      <c r="O3453">
        <v>2.361868E-3</v>
      </c>
      <c r="P3453">
        <v>-0.99960369999999998</v>
      </c>
      <c r="Q3453">
        <v>2.7952899999999999E-2</v>
      </c>
      <c r="R3453">
        <v>-3.2971739999999999E-3</v>
      </c>
      <c r="S3453">
        <v>-3.0001829999999998</v>
      </c>
      <c r="T3453">
        <v>1.408005E-2</v>
      </c>
      <c r="U3453">
        <v>-0.20224</v>
      </c>
      <c r="V3453">
        <v>-5.6823209999999997E-3</v>
      </c>
      <c r="W3453">
        <v>4.2699059999999997E-2</v>
      </c>
      <c r="X3453">
        <v>0.99907179999999995</v>
      </c>
      <c r="Y3453">
        <v>-6.9612389999999996E-2</v>
      </c>
      <c r="Z3453">
        <v>1.742348E-4</v>
      </c>
      <c r="AA3453">
        <v>0.99757410000000002</v>
      </c>
      <c r="AB3453">
        <v>36</v>
      </c>
      <c r="AC3453">
        <v>-169.13059999999899</v>
      </c>
      <c r="AD3453">
        <v>0.79449700000000001</v>
      </c>
      <c r="AE3453">
        <v>-11.4132999999999</v>
      </c>
      <c r="AF3453">
        <v>-11.8125163381993</v>
      </c>
      <c r="AG3453">
        <v>0.79449700000000001</v>
      </c>
      <c r="AH3453">
        <v>169.099453936553</v>
      </c>
      <c r="AI3453">
        <v>89.731457854379002</v>
      </c>
      <c r="AJ3453">
        <v>93.995930425386902</v>
      </c>
      <c r="AK3453">
        <v>169.51339796418301</v>
      </c>
      <c r="AL3453">
        <v>87.552780006876901</v>
      </c>
      <c r="AM3453">
        <v>90.325871974942103</v>
      </c>
      <c r="AN3453">
        <v>0.99999998002603496</v>
      </c>
    </row>
    <row r="3454" spans="1:40" x14ac:dyDescent="0.25">
      <c r="A3454" t="str">
        <f>"20190312150727227"</f>
        <v>20190312150727227</v>
      </c>
      <c r="B3454" t="str">
        <f>"1552374447223266"</f>
        <v>1552374447223266</v>
      </c>
      <c r="C3454" t="s">
        <v>40</v>
      </c>
      <c r="D3454">
        <v>4.2514310000000002</v>
      </c>
      <c r="E3454">
        <v>0.47602499999999998</v>
      </c>
      <c r="F3454" t="s">
        <v>69</v>
      </c>
      <c r="G3454">
        <v>-512.82569999999998</v>
      </c>
      <c r="H3454">
        <v>1.812551</v>
      </c>
      <c r="I3454">
        <v>272.041</v>
      </c>
      <c r="J3454">
        <v>-343.9024</v>
      </c>
      <c r="K3454">
        <v>1.110536</v>
      </c>
      <c r="L3454">
        <v>283.45620000000002</v>
      </c>
      <c r="M3454">
        <v>-0.99988869999999996</v>
      </c>
      <c r="N3454">
        <v>0</v>
      </c>
      <c r="O3454">
        <v>2.237111E-3</v>
      </c>
      <c r="P3454">
        <v>-0.9995984</v>
      </c>
      <c r="Q3454">
        <v>2.8141269999999999E-2</v>
      </c>
      <c r="R3454">
        <v>-3.3385889999999999E-3</v>
      </c>
      <c r="S3454">
        <v>-3.0001530000000001</v>
      </c>
      <c r="T3454">
        <v>1.245403E-2</v>
      </c>
      <c r="U3454">
        <v>-0.2024841</v>
      </c>
      <c r="V3454">
        <v>-5.5979549999999999E-3</v>
      </c>
      <c r="W3454">
        <v>4.2884369999999998E-2</v>
      </c>
      <c r="X3454">
        <v>0.99906439999999996</v>
      </c>
      <c r="Y3454">
        <v>-6.9569590000000001E-2</v>
      </c>
      <c r="Z3454">
        <v>1.5350879999999901E-4</v>
      </c>
      <c r="AA3454">
        <v>0.99757709999999999</v>
      </c>
      <c r="AB3454">
        <v>36</v>
      </c>
      <c r="AC3454">
        <v>-168.92329999999899</v>
      </c>
      <c r="AD3454">
        <v>0.70201499999999895</v>
      </c>
      <c r="AE3454">
        <v>-11.4152</v>
      </c>
      <c r="AF3454">
        <v>-11.7929099730289</v>
      </c>
      <c r="AG3454">
        <v>0.70201499999999895</v>
      </c>
      <c r="AH3454">
        <v>168.8944336667</v>
      </c>
      <c r="AI3454">
        <v>89.762428090172804</v>
      </c>
      <c r="AJ3454">
        <v>93.994146383773597</v>
      </c>
      <c r="AK3454">
        <v>169.307103437178</v>
      </c>
      <c r="AL3454">
        <v>87.542152940889494</v>
      </c>
      <c r="AM3454">
        <v>90.321036200312903</v>
      </c>
      <c r="AN3454">
        <v>1.00000004081891</v>
      </c>
    </row>
    <row r="3455" spans="1:40" x14ac:dyDescent="0.25">
      <c r="A3455" t="str">
        <f>"20190312150727238"</f>
        <v>20190312150727238</v>
      </c>
      <c r="B3455" t="str">
        <f>"1552374447234003"</f>
        <v>1552374447234003</v>
      </c>
      <c r="C3455" t="s">
        <v>40</v>
      </c>
      <c r="D3455">
        <v>4.2246430000000004</v>
      </c>
      <c r="E3455">
        <v>0.47589179999999998</v>
      </c>
      <c r="F3455" t="s">
        <v>69</v>
      </c>
      <c r="G3455">
        <v>-512.82579999999996</v>
      </c>
      <c r="H3455">
        <v>2.0476070000000002</v>
      </c>
      <c r="I3455">
        <v>271.97770000000003</v>
      </c>
      <c r="J3455">
        <v>-344.10410000000002</v>
      </c>
      <c r="K3455">
        <v>1.1105290000000001</v>
      </c>
      <c r="L3455">
        <v>283.45650000000001</v>
      </c>
      <c r="M3455">
        <v>-0.99988900000000003</v>
      </c>
      <c r="N3455">
        <v>0</v>
      </c>
      <c r="O3455">
        <v>2.1217760000000001E-3</v>
      </c>
      <c r="P3455">
        <v>-0.99960210000000005</v>
      </c>
      <c r="Q3455">
        <v>2.801406E-2</v>
      </c>
      <c r="R3455">
        <v>-3.3204929999999999E-3</v>
      </c>
      <c r="S3455">
        <v>-3.0000610000000001</v>
      </c>
      <c r="T3455">
        <v>1.6643640000000001E-2</v>
      </c>
      <c r="U3455">
        <v>-0.20385739999999999</v>
      </c>
      <c r="V3455">
        <v>-5.4641189999999999E-3</v>
      </c>
      <c r="W3455">
        <v>4.2755750000000002E-2</v>
      </c>
      <c r="X3455">
        <v>0.99907060000000003</v>
      </c>
      <c r="Y3455">
        <v>-6.9910620000000007E-2</v>
      </c>
      <c r="Z3455">
        <v>2.054581E-4</v>
      </c>
      <c r="AA3455">
        <v>0.99755320000000003</v>
      </c>
      <c r="AB3455">
        <v>36</v>
      </c>
      <c r="AC3455">
        <v>-168.721699999999</v>
      </c>
      <c r="AD3455">
        <v>0.93707799999999997</v>
      </c>
      <c r="AE3455">
        <v>-11.4787999999999</v>
      </c>
      <c r="AF3455">
        <v>-11.8364393112219</v>
      </c>
      <c r="AG3455">
        <v>0.93707799999999997</v>
      </c>
      <c r="AH3455">
        <v>168.691782417783</v>
      </c>
      <c r="AI3455">
        <v>89.682507442570397</v>
      </c>
      <c r="AJ3455">
        <v>94.013641509910798</v>
      </c>
      <c r="AK3455">
        <v>169.10912709264099</v>
      </c>
      <c r="AL3455">
        <v>87.549528957851393</v>
      </c>
      <c r="AM3455">
        <v>90.313359071890602</v>
      </c>
      <c r="AN3455">
        <v>0.99999998726943395</v>
      </c>
    </row>
    <row r="3456" spans="1:40" x14ac:dyDescent="0.25">
      <c r="A3456" t="str">
        <f>"20190312150727251"</f>
        <v>20190312150727251</v>
      </c>
      <c r="B3456" t="str">
        <f>"1552374447243761"</f>
        <v>1552374447243761</v>
      </c>
      <c r="C3456" t="s">
        <v>40</v>
      </c>
      <c r="D3456">
        <v>4.1680570000000001</v>
      </c>
      <c r="E3456">
        <v>0.47584290000000001</v>
      </c>
      <c r="F3456" t="s">
        <v>69</v>
      </c>
      <c r="G3456">
        <v>-512.82590000000005</v>
      </c>
      <c r="H3456">
        <v>2.0711780000000002</v>
      </c>
      <c r="I3456">
        <v>271.9314</v>
      </c>
      <c r="J3456">
        <v>-344.2962</v>
      </c>
      <c r="K3456">
        <v>1.1105229999999999</v>
      </c>
      <c r="L3456">
        <v>283.45679999999999</v>
      </c>
      <c r="M3456">
        <v>-0.99988920000000003</v>
      </c>
      <c r="N3456">
        <v>0</v>
      </c>
      <c r="O3456">
        <v>2.015672E-3</v>
      </c>
      <c r="P3456">
        <v>-0.99959560000000003</v>
      </c>
      <c r="Q3456">
        <v>2.8226190000000002E-2</v>
      </c>
      <c r="R3456">
        <v>-3.5039210000000001E-3</v>
      </c>
      <c r="S3456">
        <v>-3</v>
      </c>
      <c r="T3456">
        <v>1.7082449999999999E-2</v>
      </c>
      <c r="U3456">
        <v>-0.20492550000000001</v>
      </c>
      <c r="V3456">
        <v>-5.5407690000000001E-3</v>
      </c>
      <c r="W3456">
        <v>4.2965360000000001E-2</v>
      </c>
      <c r="X3456">
        <v>0.99906119999999998</v>
      </c>
      <c r="Y3456">
        <v>-7.0159620000000006E-2</v>
      </c>
      <c r="Z3456">
        <v>2.1098119999999999E-4</v>
      </c>
      <c r="AA3456">
        <v>0.99753579999999997</v>
      </c>
      <c r="AB3456">
        <v>36</v>
      </c>
      <c r="AC3456">
        <v>-168.52969999999999</v>
      </c>
      <c r="AD3456">
        <v>0.96065499999999904</v>
      </c>
      <c r="AE3456">
        <v>-11.5253999999999</v>
      </c>
      <c r="AF3456">
        <v>-11.8647304124208</v>
      </c>
      <c r="AG3456">
        <v>0.96065499999999904</v>
      </c>
      <c r="AH3456">
        <v>168.50067410241201</v>
      </c>
      <c r="AI3456">
        <v>89.674155957830706</v>
      </c>
      <c r="AJ3456">
        <v>94.027751314695195</v>
      </c>
      <c r="AK3456">
        <v>168.92060815292999</v>
      </c>
      <c r="AL3456">
        <v>87.537508178811194</v>
      </c>
      <c r="AM3456">
        <v>90.317757735156107</v>
      </c>
      <c r="AN3456">
        <v>1.00000000181324</v>
      </c>
    </row>
    <row r="3457" spans="1:40" x14ac:dyDescent="0.25">
      <c r="A3457" t="str">
        <f>"20190312150727262"</f>
        <v>20190312150727262</v>
      </c>
      <c r="B3457" t="str">
        <f>"1552374447253522"</f>
        <v>1552374447253522</v>
      </c>
      <c r="C3457" t="s">
        <v>40</v>
      </c>
      <c r="D3457">
        <v>4.2321720000000003</v>
      </c>
      <c r="E3457">
        <v>0.47580719999999999</v>
      </c>
      <c r="F3457" t="s">
        <v>69</v>
      </c>
      <c r="G3457">
        <v>-512.82590000000005</v>
      </c>
      <c r="H3457">
        <v>2.213171</v>
      </c>
      <c r="I3457">
        <v>271.89830000000001</v>
      </c>
      <c r="J3457">
        <v>-344.48320000000001</v>
      </c>
      <c r="K3457">
        <v>1.110517</v>
      </c>
      <c r="L3457">
        <v>283.4572</v>
      </c>
      <c r="M3457">
        <v>-0.99988960000000005</v>
      </c>
      <c r="N3457">
        <v>0</v>
      </c>
      <c r="O3457">
        <v>1.9154650000000001E-3</v>
      </c>
      <c r="P3457">
        <v>-0.99959529999999996</v>
      </c>
      <c r="Q3457">
        <v>2.8210369999999999E-2</v>
      </c>
      <c r="R3457">
        <v>-3.7461640000000002E-3</v>
      </c>
      <c r="S3457">
        <v>-2.9999389999999999</v>
      </c>
      <c r="T3457">
        <v>1.9629239999999999E-2</v>
      </c>
      <c r="U3457">
        <v>-0.2057495</v>
      </c>
      <c r="V3457">
        <v>-5.6817839999999996E-3</v>
      </c>
      <c r="W3457">
        <v>4.2947260000000001E-2</v>
      </c>
      <c r="X3457">
        <v>0.99906119999999998</v>
      </c>
      <c r="Y3457">
        <v>-7.0333350000000003E-2</v>
      </c>
      <c r="Z3457">
        <v>2.423506E-4</v>
      </c>
      <c r="AA3457">
        <v>0.99752350000000001</v>
      </c>
      <c r="AB3457">
        <v>36</v>
      </c>
      <c r="AC3457">
        <v>-168.34270000000001</v>
      </c>
      <c r="AD3457">
        <v>1.102654</v>
      </c>
      <c r="AE3457">
        <v>-11.5588999999999</v>
      </c>
      <c r="AF3457">
        <v>-11.880861016197199</v>
      </c>
      <c r="AG3457">
        <v>1.102654</v>
      </c>
      <c r="AH3457">
        <v>168.31306074715101</v>
      </c>
      <c r="AI3457">
        <v>89.625580371304906</v>
      </c>
      <c r="AJ3457">
        <v>94.037689986272099</v>
      </c>
      <c r="AK3457">
        <v>168.73546492188299</v>
      </c>
      <c r="AL3457">
        <v>87.538546224456098</v>
      </c>
      <c r="AM3457">
        <v>90.325844636606902</v>
      </c>
      <c r="AN3457">
        <v>1.0000000155781801</v>
      </c>
    </row>
    <row r="3458" spans="1:40" x14ac:dyDescent="0.25">
      <c r="A3458" t="str">
        <f>"20190312150727274"</f>
        <v>20190312150727274</v>
      </c>
      <c r="B3458" t="str">
        <f>"1552374447263281"</f>
        <v>1552374447263281</v>
      </c>
      <c r="C3458" t="s">
        <v>40</v>
      </c>
      <c r="D3458">
        <v>4.2445250000000003</v>
      </c>
      <c r="E3458">
        <v>0.47572710000000001</v>
      </c>
      <c r="F3458" t="s">
        <v>69</v>
      </c>
      <c r="G3458">
        <v>-512.82590000000005</v>
      </c>
      <c r="H3458">
        <v>2.2811780000000002</v>
      </c>
      <c r="I3458">
        <v>271.851</v>
      </c>
      <c r="J3458">
        <v>-344.66059999999999</v>
      </c>
      <c r="K3458">
        <v>1.110509</v>
      </c>
      <c r="L3458">
        <v>283.45740000000001</v>
      </c>
      <c r="M3458">
        <v>-0.99988969999999999</v>
      </c>
      <c r="N3458">
        <v>0</v>
      </c>
      <c r="O3458">
        <v>1.827541E-3</v>
      </c>
      <c r="P3458">
        <v>-0.99959100000000001</v>
      </c>
      <c r="Q3458">
        <v>2.8392529999999999E-2</v>
      </c>
      <c r="R3458">
        <v>-3.4913769999999999E-3</v>
      </c>
      <c r="S3458">
        <v>-2.9998170000000002</v>
      </c>
      <c r="T3458">
        <v>2.0862220000000001E-2</v>
      </c>
      <c r="U3458">
        <v>-0.20681759999999999</v>
      </c>
      <c r="V3458">
        <v>-5.3382660000000004E-3</v>
      </c>
      <c r="W3458">
        <v>4.3127810000000003E-2</v>
      </c>
      <c r="X3458">
        <v>0.99905529999999998</v>
      </c>
      <c r="Y3458">
        <v>-7.0601720000000007E-2</v>
      </c>
      <c r="Z3458">
        <v>2.579018E-4</v>
      </c>
      <c r="AA3458">
        <v>0.99750450000000002</v>
      </c>
      <c r="AB3458">
        <v>36</v>
      </c>
      <c r="AC3458">
        <v>-168.1653</v>
      </c>
      <c r="AD3458">
        <v>1.17066899999999</v>
      </c>
      <c r="AE3458">
        <v>-11.606400000000001</v>
      </c>
      <c r="AF3458">
        <v>-11.913168391765501</v>
      </c>
      <c r="AG3458">
        <v>1.17066899999999</v>
      </c>
      <c r="AH3458">
        <v>168.13569618136</v>
      </c>
      <c r="AI3458">
        <v>89.602073912592203</v>
      </c>
      <c r="AJ3458">
        <v>94.052889764621597</v>
      </c>
      <c r="AK3458">
        <v>168.56128374401001</v>
      </c>
      <c r="AL3458">
        <v>87.528191836279404</v>
      </c>
      <c r="AM3458">
        <v>90.306146417417594</v>
      </c>
      <c r="AN3458">
        <v>0.99999999876868595</v>
      </c>
    </row>
    <row r="3459" spans="1:40" x14ac:dyDescent="0.25">
      <c r="A3459" t="str">
        <f>"20190312150727284"</f>
        <v>20190312150727284</v>
      </c>
      <c r="B3459" t="str">
        <f>"1552374447274018"</f>
        <v>1552374447274018</v>
      </c>
      <c r="C3459" t="s">
        <v>40</v>
      </c>
      <c r="D3459">
        <v>4.2016260000000001</v>
      </c>
      <c r="E3459">
        <v>0.47557290000000002</v>
      </c>
      <c r="F3459" t="s">
        <v>69</v>
      </c>
      <c r="G3459">
        <v>-512.82590000000005</v>
      </c>
      <c r="H3459">
        <v>2.3274330000000001</v>
      </c>
      <c r="I3459">
        <v>271.86720000000003</v>
      </c>
      <c r="J3459">
        <v>-344.84109999999998</v>
      </c>
      <c r="K3459">
        <v>1.1105020000000001</v>
      </c>
      <c r="L3459">
        <v>283.45769999999999</v>
      </c>
      <c r="M3459">
        <v>-0.9998899</v>
      </c>
      <c r="N3459">
        <v>0</v>
      </c>
      <c r="O3459">
        <v>1.7399819999999999E-3</v>
      </c>
      <c r="P3459">
        <v>-0.99958309999999995</v>
      </c>
      <c r="Q3459">
        <v>2.8638469999999999E-2</v>
      </c>
      <c r="R3459">
        <v>-3.6937519999999998E-3</v>
      </c>
      <c r="S3459">
        <v>-2.9998779999999998</v>
      </c>
      <c r="T3459">
        <v>2.1709920000000001E-2</v>
      </c>
      <c r="U3459">
        <v>-0.20675660000000001</v>
      </c>
      <c r="V3459">
        <v>-5.4520649999999999E-3</v>
      </c>
      <c r="W3459">
        <v>4.337125E-2</v>
      </c>
      <c r="X3459">
        <v>0.99904409999999999</v>
      </c>
      <c r="Y3459">
        <v>-7.0492620000000006E-2</v>
      </c>
      <c r="Z3459">
        <v>2.6734829999999998E-4</v>
      </c>
      <c r="AA3459">
        <v>0.99751230000000002</v>
      </c>
      <c r="AB3459">
        <v>36</v>
      </c>
      <c r="AC3459">
        <v>-167.98480000000001</v>
      </c>
      <c r="AD3459">
        <v>1.216931</v>
      </c>
      <c r="AE3459">
        <v>-11.590499999999899</v>
      </c>
      <c r="AF3459">
        <v>-11.8821841014725</v>
      </c>
      <c r="AG3459">
        <v>1.216931</v>
      </c>
      <c r="AH3459">
        <v>167.95560369390901</v>
      </c>
      <c r="AI3459">
        <v>89.585902682854595</v>
      </c>
      <c r="AJ3459">
        <v>94.046703925448995</v>
      </c>
      <c r="AK3459">
        <v>168.37978510577</v>
      </c>
      <c r="AL3459">
        <v>87.514230572010405</v>
      </c>
      <c r="AM3459">
        <v>90.312676100175096</v>
      </c>
      <c r="AN3459">
        <v>0.99999995204206704</v>
      </c>
    </row>
    <row r="3460" spans="1:40" x14ac:dyDescent="0.25">
      <c r="A3460" t="str">
        <f>"20190312150727297"</f>
        <v>20190312150727297</v>
      </c>
      <c r="B3460" t="str">
        <f>"1552374447293538"</f>
        <v>1552374447293538</v>
      </c>
      <c r="C3460" t="s">
        <v>40</v>
      </c>
      <c r="D3460">
        <v>4.2137900000000004</v>
      </c>
      <c r="E3460">
        <v>0.47538859999999999</v>
      </c>
      <c r="F3460" t="s">
        <v>69</v>
      </c>
      <c r="G3460">
        <v>-512.82590000000005</v>
      </c>
      <c r="H3460">
        <v>2.372725</v>
      </c>
      <c r="I3460">
        <v>271.77539999999999</v>
      </c>
      <c r="J3460">
        <v>-345.0326</v>
      </c>
      <c r="K3460">
        <v>1.11049</v>
      </c>
      <c r="L3460">
        <v>283.4579</v>
      </c>
      <c r="M3460">
        <v>-0.9998899</v>
      </c>
      <c r="N3460">
        <v>0</v>
      </c>
      <c r="O3460">
        <v>1.657824E-3</v>
      </c>
      <c r="P3460">
        <v>-0.99957720000000005</v>
      </c>
      <c r="Q3460">
        <v>2.8847480000000002E-2</v>
      </c>
      <c r="R3460">
        <v>-3.661961E-3</v>
      </c>
      <c r="S3460">
        <v>-2.9998170000000002</v>
      </c>
      <c r="T3460">
        <v>2.2541760000000001E-2</v>
      </c>
      <c r="U3460">
        <v>-0.2086182</v>
      </c>
      <c r="V3460">
        <v>-5.3372089999999999E-3</v>
      </c>
      <c r="W3460">
        <v>4.3578480000000003E-2</v>
      </c>
      <c r="X3460">
        <v>0.99903580000000003</v>
      </c>
      <c r="Y3460">
        <v>-7.1027939999999998E-2</v>
      </c>
      <c r="Z3460">
        <v>2.789836E-4</v>
      </c>
      <c r="AA3460">
        <v>0.99747430000000004</v>
      </c>
      <c r="AB3460">
        <v>36</v>
      </c>
      <c r="AC3460">
        <v>-167.79329999999999</v>
      </c>
      <c r="AD3460">
        <v>1.262235</v>
      </c>
      <c r="AE3460">
        <v>-11.682499999999999</v>
      </c>
      <c r="AF3460">
        <v>-11.9600124111354</v>
      </c>
      <c r="AG3460">
        <v>1.262235</v>
      </c>
      <c r="AH3460">
        <v>167.764251940121</v>
      </c>
      <c r="AI3460">
        <v>89.570013866886697</v>
      </c>
      <c r="AJ3460">
        <v>94.077751049334594</v>
      </c>
      <c r="AK3460">
        <v>168.19476615845701</v>
      </c>
      <c r="AL3460">
        <v>87.502346174423195</v>
      </c>
      <c r="AM3460">
        <v>90.306091774562304</v>
      </c>
      <c r="AN3460">
        <v>1.0000000497003201</v>
      </c>
    </row>
    <row r="3461" spans="1:40" x14ac:dyDescent="0.25">
      <c r="A3461" t="str">
        <f>"20190312150727313"</f>
        <v>20190312150727313</v>
      </c>
      <c r="B3461" t="str">
        <f>"1552374447303298"</f>
        <v>1552374447303298</v>
      </c>
      <c r="C3461" t="s">
        <v>40</v>
      </c>
      <c r="D3461">
        <v>4.2450099999999997</v>
      </c>
      <c r="E3461">
        <v>0.47535379999999999</v>
      </c>
      <c r="F3461" t="s">
        <v>69</v>
      </c>
      <c r="G3461">
        <v>-512.82590000000005</v>
      </c>
      <c r="H3461">
        <v>2.424525</v>
      </c>
      <c r="I3461">
        <v>271.71890000000002</v>
      </c>
      <c r="J3461">
        <v>-345.28269999999998</v>
      </c>
      <c r="K3461">
        <v>1.1104780000000001</v>
      </c>
      <c r="L3461">
        <v>283.45819999999998</v>
      </c>
      <c r="M3461">
        <v>-0.99989019999999995</v>
      </c>
      <c r="N3461">
        <v>0</v>
      </c>
      <c r="O3461">
        <v>1.558582E-3</v>
      </c>
      <c r="P3461">
        <v>-0.99957589999999996</v>
      </c>
      <c r="Q3461">
        <v>2.888375E-2</v>
      </c>
      <c r="R3461">
        <v>-3.7144489999999999E-3</v>
      </c>
      <c r="S3461">
        <v>-2.9998170000000002</v>
      </c>
      <c r="T3461">
        <v>2.3493770000000001E-2</v>
      </c>
      <c r="U3461">
        <v>-0.20986940000000001</v>
      </c>
      <c r="V3461">
        <v>-5.2895619999999898E-3</v>
      </c>
      <c r="W3461">
        <v>4.3611820000000003E-2</v>
      </c>
      <c r="X3461">
        <v>0.99903450000000005</v>
      </c>
      <c r="Y3461">
        <v>-7.1342799999999998E-2</v>
      </c>
      <c r="Z3461">
        <v>2.9121639999999999E-4</v>
      </c>
      <c r="AA3461">
        <v>0.9974518</v>
      </c>
      <c r="AB3461">
        <v>36</v>
      </c>
      <c r="AC3461">
        <v>-167.54320000000001</v>
      </c>
      <c r="AD3461">
        <v>1.314047</v>
      </c>
      <c r="AE3461">
        <v>-11.739299999999901</v>
      </c>
      <c r="AF3461">
        <v>-11.999709377992501</v>
      </c>
      <c r="AG3461">
        <v>1.314047</v>
      </c>
      <c r="AH3461">
        <v>167.514443805908</v>
      </c>
      <c r="AI3461">
        <v>89.551708002244098</v>
      </c>
      <c r="AJ3461">
        <v>94.097320147508398</v>
      </c>
      <c r="AK3461">
        <v>167.94882740965201</v>
      </c>
      <c r="AL3461">
        <v>87.500433869156296</v>
      </c>
      <c r="AM3461">
        <v>90.303359639811603</v>
      </c>
      <c r="AN3461">
        <v>0.99999995125005503</v>
      </c>
    </row>
    <row r="3462" spans="1:40" x14ac:dyDescent="0.25">
      <c r="A3462" t="str">
        <f>"20190312150727324"</f>
        <v>20190312150727324</v>
      </c>
      <c r="B3462" t="str">
        <f>"1552374447314034"</f>
        <v>1552374447314034</v>
      </c>
      <c r="C3462" t="s">
        <v>40</v>
      </c>
      <c r="D3462">
        <v>4.6730010000000002</v>
      </c>
      <c r="E3462">
        <v>0.4753406</v>
      </c>
      <c r="F3462" t="s">
        <v>69</v>
      </c>
      <c r="G3462">
        <v>-512.82600000000002</v>
      </c>
      <c r="H3462">
        <v>2.4412039999999999</v>
      </c>
      <c r="I3462">
        <v>271.70780000000002</v>
      </c>
      <c r="J3462">
        <v>-345.47</v>
      </c>
      <c r="K3462">
        <v>1.110463</v>
      </c>
      <c r="L3462">
        <v>283.45839999999998</v>
      </c>
      <c r="M3462">
        <v>-0.99989030000000001</v>
      </c>
      <c r="N3462">
        <v>0</v>
      </c>
      <c r="O3462">
        <v>1.490033E-3</v>
      </c>
      <c r="P3462">
        <v>-0.99957470000000004</v>
      </c>
      <c r="Q3462">
        <v>2.8926830000000001E-2</v>
      </c>
      <c r="R3462">
        <v>-3.7022410000000002E-3</v>
      </c>
      <c r="S3462">
        <v>-2.9998170000000002</v>
      </c>
      <c r="T3462">
        <v>2.3827669999999999E-2</v>
      </c>
      <c r="U3462">
        <v>-0.2103882</v>
      </c>
      <c r="V3462">
        <v>-5.207616E-3</v>
      </c>
      <c r="W3462">
        <v>4.3653270000000001E-2</v>
      </c>
      <c r="X3462">
        <v>0.99903319999999995</v>
      </c>
      <c r="Y3462">
        <v>-7.1445999999999996E-2</v>
      </c>
      <c r="Z3462">
        <v>2.9521890000000001E-4</v>
      </c>
      <c r="AA3462">
        <v>0.99744449999999996</v>
      </c>
      <c r="AB3462">
        <v>36</v>
      </c>
      <c r="AC3462">
        <v>-167.35599999999999</v>
      </c>
      <c r="AD3462">
        <v>1.330741</v>
      </c>
      <c r="AE3462">
        <v>-11.750599999999899</v>
      </c>
      <c r="AF3462">
        <v>-11.999225040601999</v>
      </c>
      <c r="AG3462">
        <v>1.330741</v>
      </c>
      <c r="AH3462">
        <v>167.32777571519</v>
      </c>
      <c r="AI3462">
        <v>89.545509076052696</v>
      </c>
      <c r="AJ3462">
        <v>94.101710459803897</v>
      </c>
      <c r="AK3462">
        <v>167.76273960262199</v>
      </c>
      <c r="AL3462">
        <v>87.498056894662597</v>
      </c>
      <c r="AM3462">
        <v>90.298660460647696</v>
      </c>
      <c r="AN3462">
        <v>1.0000000309741599</v>
      </c>
    </row>
    <row r="3463" spans="1:40" x14ac:dyDescent="0.25">
      <c r="A3463" t="str">
        <f>"20190312150727347"</f>
        <v>20190312150727347</v>
      </c>
      <c r="B3463" t="str">
        <f>"1552374447343313"</f>
        <v>1552374447343313</v>
      </c>
      <c r="C3463" t="s">
        <v>40</v>
      </c>
      <c r="D3463">
        <v>4.215757</v>
      </c>
      <c r="E3463">
        <v>0.47535729999999998</v>
      </c>
      <c r="F3463" t="s">
        <v>69</v>
      </c>
      <c r="G3463">
        <v>-512.82600000000002</v>
      </c>
      <c r="H3463">
        <v>2.4924279999999999</v>
      </c>
      <c r="I3463">
        <v>271.7176</v>
      </c>
      <c r="J3463">
        <v>-345.81139999999999</v>
      </c>
      <c r="K3463">
        <v>1.1104400000000001</v>
      </c>
      <c r="L3463">
        <v>283.45890000000003</v>
      </c>
      <c r="M3463">
        <v>-0.99989070000000002</v>
      </c>
      <c r="N3463">
        <v>0</v>
      </c>
      <c r="O3463">
        <v>1.389478E-3</v>
      </c>
      <c r="P3463">
        <v>-0.99957499999999999</v>
      </c>
      <c r="Q3463">
        <v>2.8953240000000002E-2</v>
      </c>
      <c r="R3463">
        <v>-3.4687720000000002E-3</v>
      </c>
      <c r="S3463">
        <v>-2.9997859999999998</v>
      </c>
      <c r="T3463">
        <v>2.4772519999999999E-2</v>
      </c>
      <c r="U3463">
        <v>-0.2104492</v>
      </c>
      <c r="V3463">
        <v>-4.8703369999999998E-3</v>
      </c>
      <c r="W3463">
        <v>4.3676600000000003E-2</v>
      </c>
      <c r="X3463">
        <v>0.99903390000000003</v>
      </c>
      <c r="Y3463">
        <v>-7.136642E-2</v>
      </c>
      <c r="Z3463">
        <v>3.0577030000000002E-4</v>
      </c>
      <c r="AA3463">
        <v>0.99745010000000001</v>
      </c>
      <c r="AB3463">
        <v>36</v>
      </c>
      <c r="AC3463">
        <v>-167.0146</v>
      </c>
      <c r="AD3463">
        <v>1.381988</v>
      </c>
      <c r="AE3463">
        <v>-11.741300000000001</v>
      </c>
      <c r="AF3463">
        <v>-11.9725611904361</v>
      </c>
      <c r="AG3463">
        <v>1.381988</v>
      </c>
      <c r="AH3463">
        <v>166.98674536043899</v>
      </c>
      <c r="AI3463">
        <v>89.527043017540606</v>
      </c>
      <c r="AJ3463">
        <v>94.100956647739494</v>
      </c>
      <c r="AK3463">
        <v>167.42110153252199</v>
      </c>
      <c r="AL3463">
        <v>87.496718954342796</v>
      </c>
      <c r="AM3463">
        <v>90.279317392831402</v>
      </c>
      <c r="AN3463">
        <v>1.0000000494596299</v>
      </c>
    </row>
    <row r="3464" spans="1:40" x14ac:dyDescent="0.25">
      <c r="A3464" t="str">
        <f>"20190312150727360"</f>
        <v>20190312150727360</v>
      </c>
      <c r="B3464" t="str">
        <f>"1552374447354049"</f>
        <v>1552374447354049</v>
      </c>
      <c r="C3464" t="s">
        <v>40</v>
      </c>
      <c r="D3464">
        <v>4.2206349999999997</v>
      </c>
      <c r="E3464">
        <v>0.47535519999999998</v>
      </c>
      <c r="F3464" t="s">
        <v>69</v>
      </c>
      <c r="G3464">
        <v>-512.82600000000002</v>
      </c>
      <c r="H3464">
        <v>2.5899730000000001</v>
      </c>
      <c r="I3464">
        <v>271.79109999999997</v>
      </c>
      <c r="J3464">
        <v>-346.04700000000003</v>
      </c>
      <c r="K3464">
        <v>1.1104210000000001</v>
      </c>
      <c r="L3464">
        <v>283.45909999999998</v>
      </c>
      <c r="M3464">
        <v>-0.99989070000000002</v>
      </c>
      <c r="N3464">
        <v>0</v>
      </c>
      <c r="O3464">
        <v>1.335695E-3</v>
      </c>
      <c r="P3464">
        <v>-0.99957309999999999</v>
      </c>
      <c r="Q3464">
        <v>2.9010620000000001E-2</v>
      </c>
      <c r="R3464">
        <v>-3.4770309999999998E-3</v>
      </c>
      <c r="S3464">
        <v>-2.9997560000000001</v>
      </c>
      <c r="T3464">
        <v>2.6575330000000001E-2</v>
      </c>
      <c r="U3464">
        <v>-0.20956420000000001</v>
      </c>
      <c r="V3464">
        <v>-4.8231639999999996E-3</v>
      </c>
      <c r="W3464">
        <v>4.3731399999999997E-2</v>
      </c>
      <c r="X3464">
        <v>0.99903169999999997</v>
      </c>
      <c r="Y3464">
        <v>-7.1020269999999996E-2</v>
      </c>
      <c r="Z3464">
        <v>3.2602100000000001E-4</v>
      </c>
      <c r="AA3464">
        <v>0.99747479999999999</v>
      </c>
      <c r="AB3464">
        <v>36</v>
      </c>
      <c r="AC3464">
        <v>-166.779</v>
      </c>
      <c r="AD3464">
        <v>1.479552</v>
      </c>
      <c r="AE3464">
        <v>-11.667999999999999</v>
      </c>
      <c r="AF3464">
        <v>-11.8898484381399</v>
      </c>
      <c r="AG3464">
        <v>1.479552</v>
      </c>
      <c r="AH3464">
        <v>166.75020520272099</v>
      </c>
      <c r="AI3464">
        <v>89.492922974882305</v>
      </c>
      <c r="AJ3464">
        <v>94.078478543038202</v>
      </c>
      <c r="AK3464">
        <v>167.18010798283399</v>
      </c>
      <c r="AL3464">
        <v>87.493576063824193</v>
      </c>
      <c r="AM3464">
        <v>90.276612638112894</v>
      </c>
      <c r="AN3464">
        <v>1.0000000179309101</v>
      </c>
    </row>
    <row r="3465" spans="1:40" x14ac:dyDescent="0.25">
      <c r="A3465" t="str">
        <f>"20190312150727373"</f>
        <v>20190312150727373</v>
      </c>
      <c r="B3465" t="str">
        <f>"1552374447363810"</f>
        <v>1552374447363810</v>
      </c>
      <c r="C3465" t="s">
        <v>40</v>
      </c>
      <c r="D3465">
        <v>4.3473639999999998</v>
      </c>
      <c r="E3465">
        <v>0.47537180000000001</v>
      </c>
      <c r="F3465" t="s">
        <v>69</v>
      </c>
      <c r="G3465">
        <v>-512.82600000000002</v>
      </c>
      <c r="H3465">
        <v>2.6227149999999999</v>
      </c>
      <c r="I3465">
        <v>271.80619999999999</v>
      </c>
      <c r="J3465">
        <v>-346.2491</v>
      </c>
      <c r="K3465">
        <v>1.110406</v>
      </c>
      <c r="L3465">
        <v>283.45940000000002</v>
      </c>
      <c r="M3465">
        <v>-0.99989070000000002</v>
      </c>
      <c r="N3465">
        <v>0</v>
      </c>
      <c r="O3465">
        <v>1.2996240000000001E-3</v>
      </c>
      <c r="P3465">
        <v>-0.99957569999999996</v>
      </c>
      <c r="Q3465">
        <v>2.8921840000000001E-2</v>
      </c>
      <c r="R3465">
        <v>-3.5061910000000001E-3</v>
      </c>
      <c r="S3465">
        <v>-2.9997560000000001</v>
      </c>
      <c r="T3465">
        <v>2.7202130000000001E-2</v>
      </c>
      <c r="U3465">
        <v>-0.20959469999999999</v>
      </c>
      <c r="V3465">
        <v>-4.8146090000000001E-3</v>
      </c>
      <c r="W3465">
        <v>4.3640409999999998E-2</v>
      </c>
      <c r="X3465">
        <v>0.99903569999999997</v>
      </c>
      <c r="Y3465">
        <v>-7.0994249999999995E-2</v>
      </c>
      <c r="Z3465">
        <v>3.3326550000000002E-4</v>
      </c>
      <c r="AA3465">
        <v>0.99747669999999999</v>
      </c>
      <c r="AB3465">
        <v>36</v>
      </c>
      <c r="AC3465">
        <v>-166.57689999999999</v>
      </c>
      <c r="AD3465">
        <v>1.5123089999999999</v>
      </c>
      <c r="AE3465">
        <v>-11.6532</v>
      </c>
      <c r="AF3465">
        <v>-11.8687274766058</v>
      </c>
      <c r="AG3465">
        <v>1.5123089999999999</v>
      </c>
      <c r="AH3465">
        <v>166.54795224686799</v>
      </c>
      <c r="AI3465">
        <v>89.4810661275218</v>
      </c>
      <c r="AJ3465">
        <v>94.076185384252994</v>
      </c>
      <c r="AK3465">
        <v>166.977166606846</v>
      </c>
      <c r="AL3465">
        <v>87.498794338331507</v>
      </c>
      <c r="AM3465">
        <v>90.276120903510304</v>
      </c>
      <c r="AN3465">
        <v>0.99999999785964</v>
      </c>
    </row>
    <row r="3466" spans="1:40" x14ac:dyDescent="0.25">
      <c r="A3466" t="str">
        <f>"20190312150727391"</f>
        <v>20190312150727391</v>
      </c>
      <c r="B3466" t="str">
        <f>"1552374447383340"</f>
        <v>1552374447383340</v>
      </c>
      <c r="C3466" t="s">
        <v>40</v>
      </c>
      <c r="D3466">
        <v>4.273269</v>
      </c>
      <c r="E3466">
        <v>0.47551290000000002</v>
      </c>
      <c r="F3466" t="s">
        <v>69</v>
      </c>
      <c r="G3466">
        <v>-512.82600000000002</v>
      </c>
      <c r="H3466">
        <v>2.63991</v>
      </c>
      <c r="I3466">
        <v>271.82229999999998</v>
      </c>
      <c r="J3466">
        <v>-346.52330000000001</v>
      </c>
      <c r="K3466">
        <v>1.1103940000000001</v>
      </c>
      <c r="L3466">
        <v>283.4597</v>
      </c>
      <c r="M3466">
        <v>-0.99989070000000002</v>
      </c>
      <c r="N3466">
        <v>0</v>
      </c>
      <c r="O3466">
        <v>1.2622670000000001E-3</v>
      </c>
      <c r="P3466">
        <v>-0.99957569999999996</v>
      </c>
      <c r="Q3466">
        <v>2.8930750000000002E-2</v>
      </c>
      <c r="R3466">
        <v>-3.4010170000000001E-3</v>
      </c>
      <c r="S3466">
        <v>-2.9997859999999998</v>
      </c>
      <c r="T3466">
        <v>2.754533E-2</v>
      </c>
      <c r="U3466">
        <v>-0.20956420000000001</v>
      </c>
      <c r="V3466">
        <v>-4.6697880000000002E-3</v>
      </c>
      <c r="W3466">
        <v>4.3646600000000001E-2</v>
      </c>
      <c r="X3466">
        <v>0.99903609999999998</v>
      </c>
      <c r="Y3466">
        <v>-7.0946120000000001E-2</v>
      </c>
      <c r="Z3466">
        <v>3.3690329999999999E-4</v>
      </c>
      <c r="AA3466">
        <v>0.99748009999999998</v>
      </c>
      <c r="AB3466">
        <v>36</v>
      </c>
      <c r="AC3466">
        <v>-166.30269999999999</v>
      </c>
      <c r="AD3466">
        <v>1.5295160000000001</v>
      </c>
      <c r="AE3466">
        <v>-11.6374</v>
      </c>
      <c r="AF3466">
        <v>-11.8463347400929</v>
      </c>
      <c r="AG3466">
        <v>1.5295160000000001</v>
      </c>
      <c r="AH3466">
        <v>166.27388012429699</v>
      </c>
      <c r="AI3466">
        <v>89.474296351762703</v>
      </c>
      <c r="AJ3466">
        <v>94.075204329985397</v>
      </c>
      <c r="AK3466">
        <v>166.70236434303399</v>
      </c>
      <c r="AL3466">
        <v>87.498439296641905</v>
      </c>
      <c r="AM3466">
        <v>90.267815342219706</v>
      </c>
      <c r="AN3466">
        <v>0.99999998085736697</v>
      </c>
    </row>
    <row r="3467" spans="1:40" x14ac:dyDescent="0.25">
      <c r="A3467" t="str">
        <f>"20190312150727402"</f>
        <v>20190312150727402</v>
      </c>
      <c r="B3467" t="str">
        <f>"1552374447394066"</f>
        <v>1552374447394066</v>
      </c>
      <c r="C3467" t="s">
        <v>40</v>
      </c>
      <c r="D3467">
        <v>4.231217</v>
      </c>
      <c r="E3467">
        <v>0.47547929999999999</v>
      </c>
      <c r="F3467" t="s">
        <v>69</v>
      </c>
      <c r="G3467">
        <v>-512.82600000000002</v>
      </c>
      <c r="H3467">
        <v>2.502872</v>
      </c>
      <c r="I3467">
        <v>271.91640000000001</v>
      </c>
      <c r="J3467">
        <v>-346.72059999999999</v>
      </c>
      <c r="K3467">
        <v>1.110382</v>
      </c>
      <c r="L3467">
        <v>283.4599</v>
      </c>
      <c r="M3467">
        <v>-0.99989090000000003</v>
      </c>
      <c r="N3467">
        <v>0</v>
      </c>
      <c r="O3467">
        <v>1.2421330000000001E-3</v>
      </c>
      <c r="P3467">
        <v>-0.99957620000000003</v>
      </c>
      <c r="Q3467">
        <v>2.8933170000000001E-2</v>
      </c>
      <c r="R3467">
        <v>-3.2525639999999999E-3</v>
      </c>
      <c r="S3467">
        <v>-2.9998170000000002</v>
      </c>
      <c r="T3467">
        <v>2.5119300000000001E-2</v>
      </c>
      <c r="U3467">
        <v>-0.2082214</v>
      </c>
      <c r="V3467">
        <v>-4.5001980000000004E-3</v>
      </c>
      <c r="W3467">
        <v>4.3646589999999999E-2</v>
      </c>
      <c r="X3467">
        <v>0.99903690000000001</v>
      </c>
      <c r="Y3467">
        <v>-7.0481500000000002E-2</v>
      </c>
      <c r="Z3467">
        <v>3.0512239999999998E-4</v>
      </c>
      <c r="AA3467">
        <v>0.99751310000000004</v>
      </c>
      <c r="AB3467">
        <v>36</v>
      </c>
      <c r="AC3467">
        <v>-166.1054</v>
      </c>
      <c r="AD3467">
        <v>1.39249</v>
      </c>
      <c r="AE3467">
        <v>-11.5434999999999</v>
      </c>
      <c r="AF3467">
        <v>-11.7490167213265</v>
      </c>
      <c r="AG3467">
        <v>1.39249</v>
      </c>
      <c r="AH3467">
        <v>166.07931616399199</v>
      </c>
      <c r="AI3467">
        <v>89.520813016651402</v>
      </c>
      <c r="AJ3467">
        <v>94.046557150222895</v>
      </c>
      <c r="AK3467">
        <v>166.50020324257099</v>
      </c>
      <c r="AL3467">
        <v>87.4984399232725</v>
      </c>
      <c r="AM3467">
        <v>90.258089174131399</v>
      </c>
      <c r="AN3467">
        <v>1.0000000020811299</v>
      </c>
    </row>
    <row r="3468" spans="1:40" x14ac:dyDescent="0.25">
      <c r="A3468" t="str">
        <f>"20190312150727415"</f>
        <v>20190312150727415</v>
      </c>
      <c r="B3468" t="str">
        <f>"1552374447403826"</f>
        <v>1552374447403826</v>
      </c>
      <c r="C3468" t="s">
        <v>40</v>
      </c>
      <c r="D3468">
        <v>4.3716410000000003</v>
      </c>
      <c r="E3468">
        <v>0.47551850000000001</v>
      </c>
      <c r="F3468" t="s">
        <v>69</v>
      </c>
      <c r="G3468">
        <v>-512.82600000000002</v>
      </c>
      <c r="H3468">
        <v>2.5008339999999998</v>
      </c>
      <c r="I3468">
        <v>271.93889999999999</v>
      </c>
      <c r="J3468">
        <v>-346.90480000000002</v>
      </c>
      <c r="K3468">
        <v>1.110371</v>
      </c>
      <c r="L3468">
        <v>283.46010000000001</v>
      </c>
      <c r="M3468">
        <v>-0.99989099999999997</v>
      </c>
      <c r="N3468">
        <v>0</v>
      </c>
      <c r="O3468">
        <v>1.2308849999999999E-3</v>
      </c>
      <c r="P3468">
        <v>-0.99957819999999997</v>
      </c>
      <c r="Q3468">
        <v>2.8870710000000001E-2</v>
      </c>
      <c r="R3468">
        <v>-3.2194789999999999E-3</v>
      </c>
      <c r="S3468">
        <v>-2.9998779999999998</v>
      </c>
      <c r="T3468">
        <v>2.5113110000000001E-2</v>
      </c>
      <c r="U3468">
        <v>-0.2080688</v>
      </c>
      <c r="V3468">
        <v>-4.454955E-3</v>
      </c>
      <c r="W3468">
        <v>4.3582290000000003E-2</v>
      </c>
      <c r="X3468">
        <v>0.99903989999999998</v>
      </c>
      <c r="Y3468">
        <v>-7.0418380000000003E-2</v>
      </c>
      <c r="Z3468">
        <v>3.0468349999999999E-4</v>
      </c>
      <c r="AA3468">
        <v>0.99751749999999995</v>
      </c>
      <c r="AB3468">
        <v>36</v>
      </c>
      <c r="AC3468">
        <v>-165.9212</v>
      </c>
      <c r="AD3468">
        <v>1.390463</v>
      </c>
      <c r="AE3468">
        <v>-11.5212</v>
      </c>
      <c r="AF3468">
        <v>-11.724623840415999</v>
      </c>
      <c r="AG3468">
        <v>1.390463</v>
      </c>
      <c r="AH3468">
        <v>165.89529675466301</v>
      </c>
      <c r="AI3468">
        <v>89.520977469652095</v>
      </c>
      <c r="AJ3468">
        <v>94.0426481711999</v>
      </c>
      <c r="AK3468">
        <v>166.31491116815499</v>
      </c>
      <c r="AL3468">
        <v>87.502127526220704</v>
      </c>
      <c r="AM3468">
        <v>90.255493727103399</v>
      </c>
      <c r="AN3468">
        <v>0.99999999220885305</v>
      </c>
    </row>
    <row r="3469" spans="1:40" x14ac:dyDescent="0.25">
      <c r="A3469" t="str">
        <f>"20190312150727430"</f>
        <v>20190312150727430</v>
      </c>
      <c r="B3469" t="str">
        <f>"1552374447423346"</f>
        <v>1552374447423346</v>
      </c>
      <c r="C3469" t="s">
        <v>40</v>
      </c>
      <c r="D3469">
        <v>4.2220389999999997</v>
      </c>
      <c r="E3469">
        <v>0.47545500000000002</v>
      </c>
      <c r="F3469" t="s">
        <v>69</v>
      </c>
      <c r="G3469">
        <v>-512.82600000000002</v>
      </c>
      <c r="H3469">
        <v>2.5193780000000001</v>
      </c>
      <c r="I3469">
        <v>271.97399999999999</v>
      </c>
      <c r="J3469">
        <v>-347.1454</v>
      </c>
      <c r="K3469">
        <v>1.110363</v>
      </c>
      <c r="L3469">
        <v>283.46039999999999</v>
      </c>
      <c r="M3469">
        <v>-0.99989099999999997</v>
      </c>
      <c r="N3469">
        <v>0</v>
      </c>
      <c r="O3469">
        <v>1.2199719999999999E-3</v>
      </c>
      <c r="P3469">
        <v>-0.99957260000000003</v>
      </c>
      <c r="Q3469">
        <v>2.907728E-2</v>
      </c>
      <c r="R3469">
        <v>-3.0742809999999999E-3</v>
      </c>
      <c r="S3469">
        <v>-2.999908</v>
      </c>
      <c r="T3469">
        <v>2.547669E-2</v>
      </c>
      <c r="U3469">
        <v>-0.2076721</v>
      </c>
      <c r="V3469">
        <v>-4.2972349999999999E-3</v>
      </c>
      <c r="W3469">
        <v>4.3786650000000003E-2</v>
      </c>
      <c r="X3469">
        <v>0.99903169999999997</v>
      </c>
      <c r="Y3469">
        <v>-7.0275450000000003E-2</v>
      </c>
      <c r="Z3469">
        <v>3.0839399999999998E-4</v>
      </c>
      <c r="AA3469">
        <v>0.99752759999999996</v>
      </c>
      <c r="AB3469">
        <v>36</v>
      </c>
      <c r="AC3469">
        <v>-165.6806</v>
      </c>
      <c r="AD3469">
        <v>1.4090149999999899</v>
      </c>
      <c r="AE3469">
        <v>-11.4864</v>
      </c>
      <c r="AF3469">
        <v>-11.687697758739899</v>
      </c>
      <c r="AG3469">
        <v>1.4090149999999899</v>
      </c>
      <c r="AH3469">
        <v>165.654538436298</v>
      </c>
      <c r="AI3469">
        <v>89.513876942666798</v>
      </c>
      <c r="AJ3469">
        <v>94.035795785254606</v>
      </c>
      <c r="AK3469">
        <v>166.072314690658</v>
      </c>
      <c r="AL3469">
        <v>87.490407485461603</v>
      </c>
      <c r="AM3469">
        <v>90.246450548675199</v>
      </c>
      <c r="AN3469">
        <v>1.0000000372758699</v>
      </c>
    </row>
    <row r="3470" spans="1:40" x14ac:dyDescent="0.25">
      <c r="A3470" t="str">
        <f>"20190312150727442"</f>
        <v>20190312150727442</v>
      </c>
      <c r="B3470" t="str">
        <f>"1552374447433106"</f>
        <v>1552374447433106</v>
      </c>
      <c r="C3470" t="s">
        <v>40</v>
      </c>
      <c r="D3470">
        <v>4.2653309999999998</v>
      </c>
      <c r="E3470">
        <v>0.47546680000000002</v>
      </c>
      <c r="F3470" t="s">
        <v>69</v>
      </c>
      <c r="G3470">
        <v>-512.82600000000002</v>
      </c>
      <c r="H3470">
        <v>2.5927519999999999</v>
      </c>
      <c r="I3470">
        <v>271.99590000000001</v>
      </c>
      <c r="J3470">
        <v>-347.35980000000001</v>
      </c>
      <c r="K3470">
        <v>1.110355</v>
      </c>
      <c r="L3470">
        <v>283.4606</v>
      </c>
      <c r="M3470">
        <v>-0.99989110000000003</v>
      </c>
      <c r="N3470">
        <v>0</v>
      </c>
      <c r="O3470">
        <v>1.214251E-3</v>
      </c>
      <c r="P3470">
        <v>-0.99956630000000002</v>
      </c>
      <c r="Q3470">
        <v>2.927778E-2</v>
      </c>
      <c r="R3470">
        <v>-3.219754E-3</v>
      </c>
      <c r="S3470">
        <v>-2.9998779999999998</v>
      </c>
      <c r="T3470">
        <v>2.6842120000000001E-2</v>
      </c>
      <c r="U3470">
        <v>-0.2075806</v>
      </c>
      <c r="V3470">
        <v>-4.4362969999999996E-3</v>
      </c>
      <c r="W3470">
        <v>4.3984349999999998E-2</v>
      </c>
      <c r="X3470">
        <v>0.99902239999999998</v>
      </c>
      <c r="Y3470">
        <v>-7.0239850000000006E-2</v>
      </c>
      <c r="Z3470">
        <v>3.2471520000000001E-4</v>
      </c>
      <c r="AA3470">
        <v>0.99753009999999998</v>
      </c>
      <c r="AB3470">
        <v>35</v>
      </c>
      <c r="AC3470">
        <v>-165.46619999999999</v>
      </c>
      <c r="AD3470">
        <v>1.482397</v>
      </c>
      <c r="AE3470">
        <v>-11.464699999999899</v>
      </c>
      <c r="AF3470">
        <v>-11.664699019302001</v>
      </c>
      <c r="AG3470">
        <v>1.482397</v>
      </c>
      <c r="AH3470">
        <v>165.43894042858099</v>
      </c>
      <c r="AI3470">
        <v>89.487892635775196</v>
      </c>
      <c r="AJ3470">
        <v>94.033112192744795</v>
      </c>
      <c r="AK3470">
        <v>165.856280297757</v>
      </c>
      <c r="AL3470">
        <v>87.479069167556403</v>
      </c>
      <c r="AM3470">
        <v>90.254428152993697</v>
      </c>
      <c r="AN3470">
        <v>1.00000002973887</v>
      </c>
    </row>
    <row r="3471" spans="1:40" x14ac:dyDescent="0.25">
      <c r="A3471" t="str">
        <f>"20190312150727458"</f>
        <v>20190312150727458</v>
      </c>
      <c r="B3471" t="str">
        <f>"1552374447453586"</f>
        <v>1552374447453586</v>
      </c>
      <c r="C3471" t="s">
        <v>40</v>
      </c>
      <c r="D3471">
        <v>4.2296170000000002</v>
      </c>
      <c r="E3471">
        <v>0.47539670000000001</v>
      </c>
      <c r="F3471" t="s">
        <v>69</v>
      </c>
      <c r="G3471">
        <v>-512.82600000000002</v>
      </c>
      <c r="H3471">
        <v>2.6506460000000001</v>
      </c>
      <c r="I3471">
        <v>271.99560000000002</v>
      </c>
      <c r="J3471">
        <v>-347.58909999999997</v>
      </c>
      <c r="K3471">
        <v>1.110352</v>
      </c>
      <c r="L3471">
        <v>283.46089999999998</v>
      </c>
      <c r="M3471">
        <v>-0.99989099999999997</v>
      </c>
      <c r="N3471">
        <v>0</v>
      </c>
      <c r="O3471">
        <v>1.2133809999999999E-3</v>
      </c>
      <c r="P3471">
        <v>-0.99956409999999996</v>
      </c>
      <c r="Q3471">
        <v>2.93823E-2</v>
      </c>
      <c r="R3471">
        <v>-2.8769059999999998E-3</v>
      </c>
      <c r="S3471">
        <v>-2.9998170000000002</v>
      </c>
      <c r="T3471">
        <v>2.7926090000000001E-2</v>
      </c>
      <c r="U3471">
        <v>-0.20785519999999999</v>
      </c>
      <c r="V3471">
        <v>-4.0918630000000003E-3</v>
      </c>
      <c r="W3471">
        <v>4.4086769999999997E-2</v>
      </c>
      <c r="X3471">
        <v>0.99901930000000005</v>
      </c>
      <c r="Y3471">
        <v>-7.0331039999999997E-2</v>
      </c>
      <c r="Z3471">
        <v>3.3824940000000002E-4</v>
      </c>
      <c r="AA3471">
        <v>0.99752370000000001</v>
      </c>
      <c r="AB3471">
        <v>35</v>
      </c>
      <c r="AC3471">
        <v>-165.23689999999999</v>
      </c>
      <c r="AD3471">
        <v>1.5402940000000001</v>
      </c>
      <c r="AE3471">
        <v>-11.4652999999999</v>
      </c>
      <c r="AF3471">
        <v>-11.6647998294085</v>
      </c>
      <c r="AG3471">
        <v>1.5402940000000001</v>
      </c>
      <c r="AH3471">
        <v>165.20857809105101</v>
      </c>
      <c r="AI3471">
        <v>89.467154512681503</v>
      </c>
      <c r="AJ3471">
        <v>94.038752046085193</v>
      </c>
      <c r="AK3471">
        <v>165.627033830632</v>
      </c>
      <c r="AL3471">
        <v>87.473195095645906</v>
      </c>
      <c r="AM3471">
        <v>90.234675315297807</v>
      </c>
      <c r="AN3471">
        <v>0.99999997420216602</v>
      </c>
    </row>
    <row r="3472" spans="1:40" x14ac:dyDescent="0.25">
      <c r="A3472" t="str">
        <f>"20190312150727480"</f>
        <v>20190312150727480</v>
      </c>
      <c r="B3472" t="str">
        <f>"1552374447473105"</f>
        <v>1552374447473105</v>
      </c>
      <c r="C3472" t="s">
        <v>40</v>
      </c>
      <c r="D3472">
        <v>4.2555870000000002</v>
      </c>
      <c r="E3472">
        <v>0.47529539999999998</v>
      </c>
      <c r="F3472" t="s">
        <v>69</v>
      </c>
      <c r="G3472">
        <v>-512.82600000000002</v>
      </c>
      <c r="H3472">
        <v>2.6405690000000002</v>
      </c>
      <c r="I3472">
        <v>272.0222</v>
      </c>
      <c r="J3472">
        <v>-347.94619999999998</v>
      </c>
      <c r="K3472">
        <v>1.1103430000000001</v>
      </c>
      <c r="L3472">
        <v>283.46129999999999</v>
      </c>
      <c r="M3472">
        <v>-0.99989099999999997</v>
      </c>
      <c r="N3472">
        <v>0</v>
      </c>
      <c r="O3472">
        <v>1.218303E-3</v>
      </c>
      <c r="P3472">
        <v>-0.99954580000000004</v>
      </c>
      <c r="Q3472">
        <v>3.0010640000000002E-2</v>
      </c>
      <c r="R3472">
        <v>-2.7715029999999998E-3</v>
      </c>
      <c r="S3472">
        <v>-2.999908</v>
      </c>
      <c r="T3472">
        <v>2.77828E-2</v>
      </c>
      <c r="U3472">
        <v>-0.2076721</v>
      </c>
      <c r="V3472">
        <v>-3.9902849999999997E-3</v>
      </c>
      <c r="W3472">
        <v>4.471033E-2</v>
      </c>
      <c r="X3472">
        <v>0.99899199999999999</v>
      </c>
      <c r="Y3472">
        <v>-7.0273290000000002E-2</v>
      </c>
      <c r="Z3472">
        <v>3.3628269999999902E-4</v>
      </c>
      <c r="AA3472">
        <v>0.99752770000000002</v>
      </c>
      <c r="AB3472">
        <v>35</v>
      </c>
      <c r="AC3472">
        <v>-164.87979999999999</v>
      </c>
      <c r="AD3472">
        <v>1.5302259999999901</v>
      </c>
      <c r="AE3472">
        <v>-11.4390999999999</v>
      </c>
      <c r="AF3472">
        <v>-11.6389890982115</v>
      </c>
      <c r="AG3472">
        <v>1.5302259999999901</v>
      </c>
      <c r="AH3472">
        <v>164.851608449861</v>
      </c>
      <c r="AI3472">
        <v>89.469490859072096</v>
      </c>
      <c r="AJ3472">
        <v>94.038542347400195</v>
      </c>
      <c r="AK3472">
        <v>165.2690547784</v>
      </c>
      <c r="AL3472">
        <v>87.437432476948302</v>
      </c>
      <c r="AM3472">
        <v>90.228855960498706</v>
      </c>
      <c r="AN3472">
        <v>0.99999997602354396</v>
      </c>
    </row>
    <row r="3473" spans="1:40" x14ac:dyDescent="0.25">
      <c r="A3473" t="str">
        <f>"20190312150727494"</f>
        <v>20190312150727494</v>
      </c>
      <c r="B3473" t="str">
        <f>"1552374447483842"</f>
        <v>1552374447483842</v>
      </c>
      <c r="C3473" t="s">
        <v>40</v>
      </c>
      <c r="D3473">
        <v>4.2640940000000001</v>
      </c>
      <c r="E3473">
        <v>0.47524640000000001</v>
      </c>
      <c r="F3473" t="s">
        <v>69</v>
      </c>
      <c r="G3473">
        <v>-512.82600000000002</v>
      </c>
      <c r="H3473">
        <v>2.7065199999999998</v>
      </c>
      <c r="I3473">
        <v>272.0222</v>
      </c>
      <c r="J3473">
        <v>-348.16460000000001</v>
      </c>
      <c r="K3473">
        <v>1.1103339999999999</v>
      </c>
      <c r="L3473">
        <v>283.46159999999998</v>
      </c>
      <c r="M3473">
        <v>-0.99989119999999998</v>
      </c>
      <c r="N3473">
        <v>0</v>
      </c>
      <c r="O3473">
        <v>1.2263689999999999E-3</v>
      </c>
      <c r="P3473">
        <v>-0.99954180000000004</v>
      </c>
      <c r="Q3473">
        <v>3.0176870000000001E-2</v>
      </c>
      <c r="R3473">
        <v>-2.3964989999999999E-3</v>
      </c>
      <c r="S3473">
        <v>-2.999908</v>
      </c>
      <c r="T3473">
        <v>2.9043079999999999E-2</v>
      </c>
      <c r="U3473">
        <v>-0.20812990000000001</v>
      </c>
      <c r="V3473">
        <v>-3.6225110000000001E-3</v>
      </c>
      <c r="W3473">
        <v>4.4874200000000003E-2</v>
      </c>
      <c r="X3473">
        <v>0.99898609999999999</v>
      </c>
      <c r="Y3473">
        <v>-7.0432540000000002E-2</v>
      </c>
      <c r="Z3473">
        <v>3.523825E-4</v>
      </c>
      <c r="AA3473">
        <v>0.99751650000000003</v>
      </c>
      <c r="AB3473">
        <v>35</v>
      </c>
      <c r="AC3473">
        <v>-164.66139999999999</v>
      </c>
      <c r="AD3473">
        <v>1.5961860000000001</v>
      </c>
      <c r="AE3473">
        <v>-11.4393999999999</v>
      </c>
      <c r="AF3473">
        <v>-11.6402602866604</v>
      </c>
      <c r="AG3473">
        <v>1.5961860000000001</v>
      </c>
      <c r="AH3473">
        <v>164.631849767868</v>
      </c>
      <c r="AI3473">
        <v>89.445890136518102</v>
      </c>
      <c r="AJ3473">
        <v>94.044355522148706</v>
      </c>
      <c r="AK3473">
        <v>165.05056627372599</v>
      </c>
      <c r="AL3473">
        <v>87.428034103121007</v>
      </c>
      <c r="AM3473">
        <v>90.207764334076998</v>
      </c>
      <c r="AN3473">
        <v>1.0000000222023899</v>
      </c>
    </row>
    <row r="3474" spans="1:40" x14ac:dyDescent="0.25">
      <c r="A3474" t="str">
        <f>"20190312150727507"</f>
        <v>20190312150727507</v>
      </c>
      <c r="B3474" t="str">
        <f>"1552374447503362"</f>
        <v>1552374447503362</v>
      </c>
      <c r="C3474" t="s">
        <v>40</v>
      </c>
      <c r="D3474">
        <v>4.4386710000000003</v>
      </c>
      <c r="E3474">
        <v>0.47520279999999998</v>
      </c>
      <c r="F3474" t="s">
        <v>69</v>
      </c>
      <c r="G3474">
        <v>-512.82600000000002</v>
      </c>
      <c r="H3474">
        <v>2.7085720000000002</v>
      </c>
      <c r="I3474">
        <v>272.07470000000001</v>
      </c>
      <c r="J3474">
        <v>-348.36720000000003</v>
      </c>
      <c r="K3474">
        <v>1.1103289999999999</v>
      </c>
      <c r="L3474">
        <v>283.46190000000001</v>
      </c>
      <c r="M3474">
        <v>-0.99989119999999998</v>
      </c>
      <c r="N3474">
        <v>0</v>
      </c>
      <c r="O3474">
        <v>1.2366370000000001E-3</v>
      </c>
      <c r="P3474">
        <v>-0.99954069999999995</v>
      </c>
      <c r="Q3474">
        <v>3.020432E-2</v>
      </c>
      <c r="R3474">
        <v>-2.5138299999999999E-3</v>
      </c>
      <c r="S3474">
        <v>-2.9999690000000001</v>
      </c>
      <c r="T3474">
        <v>2.911973E-2</v>
      </c>
      <c r="U3474">
        <v>-0.20745849999999999</v>
      </c>
      <c r="V3474">
        <v>-3.749694E-3</v>
      </c>
      <c r="W3474">
        <v>4.4899929999999998E-2</v>
      </c>
      <c r="X3474">
        <v>0.99898450000000005</v>
      </c>
      <c r="Y3474">
        <v>-7.0219190000000001E-2</v>
      </c>
      <c r="Z3474">
        <v>3.5237339999999998E-4</v>
      </c>
      <c r="AA3474">
        <v>0.99753150000000002</v>
      </c>
      <c r="AB3474">
        <v>35</v>
      </c>
      <c r="AC3474">
        <v>-164.4588</v>
      </c>
      <c r="AD3474">
        <v>1.5982430000000001</v>
      </c>
      <c r="AE3474">
        <v>-11.3872</v>
      </c>
      <c r="AF3474">
        <v>-11.5894997735601</v>
      </c>
      <c r="AG3474">
        <v>1.5982430000000001</v>
      </c>
      <c r="AH3474">
        <v>164.42913572446301</v>
      </c>
      <c r="AI3474">
        <v>89.444483493535998</v>
      </c>
      <c r="AJ3474">
        <v>94.031725148902296</v>
      </c>
      <c r="AK3474">
        <v>164.84481053640201</v>
      </c>
      <c r="AL3474">
        <v>87.426558460684305</v>
      </c>
      <c r="AM3474">
        <v>90.215059024159103</v>
      </c>
      <c r="AN3474">
        <v>1.00000004757967</v>
      </c>
    </row>
    <row r="3475" spans="1:40" x14ac:dyDescent="0.25">
      <c r="A3475" t="str">
        <f>"20190312150727519"</f>
        <v>20190312150727519</v>
      </c>
      <c r="B3475" t="str">
        <f>"1552374447513121"</f>
        <v>1552374447513121</v>
      </c>
      <c r="C3475" t="s">
        <v>40</v>
      </c>
      <c r="D3475">
        <v>4.2185589999999999</v>
      </c>
      <c r="E3475">
        <v>0.47516229999999998</v>
      </c>
      <c r="F3475" t="s">
        <v>69</v>
      </c>
      <c r="G3475">
        <v>-512.82600000000002</v>
      </c>
      <c r="H3475">
        <v>2.6936390000000001</v>
      </c>
      <c r="I3475">
        <v>272.04700000000003</v>
      </c>
      <c r="J3475">
        <v>-348.56479999999999</v>
      </c>
      <c r="K3475">
        <v>1.1103229999999999</v>
      </c>
      <c r="L3475">
        <v>283.46210000000002</v>
      </c>
      <c r="M3475">
        <v>-0.99989119999999998</v>
      </c>
      <c r="N3475">
        <v>0</v>
      </c>
      <c r="O3475">
        <v>1.251088E-3</v>
      </c>
      <c r="P3475">
        <v>-0.99954030000000005</v>
      </c>
      <c r="Q3475">
        <v>3.0238540000000001E-2</v>
      </c>
      <c r="R3475">
        <v>-2.2533929999999998E-3</v>
      </c>
      <c r="S3475">
        <v>-2.9999389999999999</v>
      </c>
      <c r="T3475">
        <v>2.8882979999999999E-2</v>
      </c>
      <c r="U3475">
        <v>-0.2082214</v>
      </c>
      <c r="V3475">
        <v>-3.5029369999999998E-3</v>
      </c>
      <c r="W3475">
        <v>4.4931840000000001E-2</v>
      </c>
      <c r="X3475">
        <v>0.99898390000000004</v>
      </c>
      <c r="Y3475">
        <v>-7.0486839999999995E-2</v>
      </c>
      <c r="Z3475">
        <v>3.5093499999999997E-4</v>
      </c>
      <c r="AA3475">
        <v>0.99751259999999997</v>
      </c>
      <c r="AB3475">
        <v>35</v>
      </c>
      <c r="AC3475">
        <v>-164.2612</v>
      </c>
      <c r="AD3475">
        <v>1.5833159999999999</v>
      </c>
      <c r="AE3475">
        <v>-11.415099999999899</v>
      </c>
      <c r="AF3475">
        <v>-11.619544091107599</v>
      </c>
      <c r="AG3475">
        <v>1.5833159999999999</v>
      </c>
      <c r="AH3475">
        <v>164.23160306335299</v>
      </c>
      <c r="AI3475">
        <v>89.449019979088007</v>
      </c>
      <c r="AJ3475">
        <v>94.046987905917106</v>
      </c>
      <c r="AK3475">
        <v>164.64974989109399</v>
      </c>
      <c r="AL3475">
        <v>87.424728148352301</v>
      </c>
      <c r="AM3475">
        <v>90.200906824844907</v>
      </c>
      <c r="AN3475">
        <v>0.99999998663630996</v>
      </c>
    </row>
    <row r="3476" spans="1:40" x14ac:dyDescent="0.25">
      <c r="A3476" t="str">
        <f>"20190312150727531"</f>
        <v>20190312150727531</v>
      </c>
      <c r="B3476" t="str">
        <f>"1552374447523859"</f>
        <v>1552374447523859</v>
      </c>
      <c r="C3476" t="s">
        <v>40</v>
      </c>
      <c r="D3476">
        <v>4.2752780000000001</v>
      </c>
      <c r="E3476">
        <v>0.47513899999999998</v>
      </c>
      <c r="F3476" t="s">
        <v>69</v>
      </c>
      <c r="G3476">
        <v>-512.82600000000002</v>
      </c>
      <c r="H3476">
        <v>2.7056100000000001</v>
      </c>
      <c r="I3476">
        <v>272.08800000000002</v>
      </c>
      <c r="J3476">
        <v>-348.75229999999999</v>
      </c>
      <c r="K3476">
        <v>1.1103190000000001</v>
      </c>
      <c r="L3476">
        <v>283.4624</v>
      </c>
      <c r="M3476">
        <v>-0.99989130000000004</v>
      </c>
      <c r="N3476">
        <v>0</v>
      </c>
      <c r="O3476">
        <v>1.268223E-3</v>
      </c>
      <c r="P3476">
        <v>-0.99953400000000003</v>
      </c>
      <c r="Q3476">
        <v>3.0449460000000001E-2</v>
      </c>
      <c r="R3476">
        <v>-2.1954449999999999E-3</v>
      </c>
      <c r="S3476">
        <v>-3.0000309999999999</v>
      </c>
      <c r="T3476">
        <v>2.9137369999999999E-2</v>
      </c>
      <c r="U3476">
        <v>-0.20773320000000001</v>
      </c>
      <c r="V3476">
        <v>-3.4614619999999998E-3</v>
      </c>
      <c r="W3476">
        <v>4.5140010000000001E-2</v>
      </c>
      <c r="X3476">
        <v>0.99897469999999999</v>
      </c>
      <c r="Y3476">
        <v>-7.0340199999999894E-2</v>
      </c>
      <c r="Z3476">
        <v>3.5347200000000002E-4</v>
      </c>
      <c r="AA3476">
        <v>0.99752300000000005</v>
      </c>
      <c r="AB3476">
        <v>35</v>
      </c>
      <c r="AC3476">
        <v>-164.0737</v>
      </c>
      <c r="AD3476">
        <v>1.595291</v>
      </c>
      <c r="AE3476">
        <v>-11.3744</v>
      </c>
      <c r="AF3476">
        <v>-11.581405709607999</v>
      </c>
      <c r="AG3476">
        <v>1.595291</v>
      </c>
      <c r="AH3476">
        <v>164.043707164659</v>
      </c>
      <c r="AI3476">
        <v>89.444211299043999</v>
      </c>
      <c r="AJ3476">
        <v>94.038353537621305</v>
      </c>
      <c r="AK3476">
        <v>164.45975730223401</v>
      </c>
      <c r="AL3476">
        <v>87.412788875480004</v>
      </c>
      <c r="AM3476">
        <v>90.198529922553305</v>
      </c>
      <c r="AN3476">
        <v>1.0000000267310301</v>
      </c>
    </row>
    <row r="3477" spans="1:40" x14ac:dyDescent="0.25">
      <c r="A3477" t="str">
        <f>"20190312150727547"</f>
        <v>20190312150727547</v>
      </c>
      <c r="B3477" t="str">
        <f>"1552374447543378"</f>
        <v>1552374447543378</v>
      </c>
      <c r="C3477" t="s">
        <v>40</v>
      </c>
      <c r="D3477">
        <v>4.229031</v>
      </c>
      <c r="E3477">
        <v>0.47505710000000001</v>
      </c>
      <c r="F3477" t="s">
        <v>69</v>
      </c>
      <c r="G3477">
        <v>-512.82600000000002</v>
      </c>
      <c r="H3477">
        <v>2.6999360000000001</v>
      </c>
      <c r="I3477">
        <v>272.10309999999998</v>
      </c>
      <c r="J3477">
        <v>-348.99430000000001</v>
      </c>
      <c r="K3477">
        <v>1.1103099999999999</v>
      </c>
      <c r="L3477">
        <v>283.46269999999998</v>
      </c>
      <c r="M3477">
        <v>-0.99989130000000004</v>
      </c>
      <c r="N3477">
        <v>0</v>
      </c>
      <c r="O3477">
        <v>1.294889E-3</v>
      </c>
      <c r="P3477">
        <v>-0.99953420000000004</v>
      </c>
      <c r="Q3477">
        <v>3.045351E-2</v>
      </c>
      <c r="R3477">
        <v>-1.986214E-3</v>
      </c>
      <c r="S3477">
        <v>-3.0000610000000001</v>
      </c>
      <c r="T3477">
        <v>2.9067280000000001E-2</v>
      </c>
      <c r="U3477">
        <v>-0.20770259999999999</v>
      </c>
      <c r="V3477">
        <v>-3.2771150000000001E-3</v>
      </c>
      <c r="W3477">
        <v>4.514191E-2</v>
      </c>
      <c r="X3477">
        <v>0.99897519999999995</v>
      </c>
      <c r="Y3477">
        <v>-7.0355999999999905E-2</v>
      </c>
      <c r="Z3477">
        <v>3.5295280000000002E-4</v>
      </c>
      <c r="AA3477">
        <v>0.99752189999999996</v>
      </c>
      <c r="AB3477">
        <v>35</v>
      </c>
      <c r="AC3477">
        <v>-163.83170000000001</v>
      </c>
      <c r="AD3477">
        <v>1.589626</v>
      </c>
      <c r="AE3477">
        <v>-11.3596</v>
      </c>
      <c r="AF3477">
        <v>-11.5706731242236</v>
      </c>
      <c r="AG3477">
        <v>1.589626</v>
      </c>
      <c r="AH3477">
        <v>163.80150441629601</v>
      </c>
      <c r="AI3477">
        <v>89.445367498957495</v>
      </c>
      <c r="AJ3477">
        <v>94.040569519534202</v>
      </c>
      <c r="AK3477">
        <v>164.217356684393</v>
      </c>
      <c r="AL3477">
        <v>87.412679809565702</v>
      </c>
      <c r="AM3477">
        <v>90.187956803069497</v>
      </c>
      <c r="AN3477">
        <v>0.99999999086810498</v>
      </c>
    </row>
    <row r="3478" spans="1:40" x14ac:dyDescent="0.25">
      <c r="A3478" t="str">
        <f>"20190312150727569"</f>
        <v>20190312150727569</v>
      </c>
      <c r="B3478" t="str">
        <f>"1552374447563873"</f>
        <v>1552374447563873</v>
      </c>
      <c r="C3478" t="s">
        <v>40</v>
      </c>
      <c r="D3478">
        <v>4.170458</v>
      </c>
      <c r="E3478">
        <v>0.47500799999999999</v>
      </c>
      <c r="F3478" t="s">
        <v>69</v>
      </c>
      <c r="G3478">
        <v>-512.82600000000002</v>
      </c>
      <c r="H3478">
        <v>2.6733060000000002</v>
      </c>
      <c r="I3478">
        <v>272.11700000000002</v>
      </c>
      <c r="J3478">
        <v>-349.34969999999998</v>
      </c>
      <c r="K3478">
        <v>1.1102879999999999</v>
      </c>
      <c r="L3478">
        <v>283.46319999999997</v>
      </c>
      <c r="M3478">
        <v>-0.99989119999999998</v>
      </c>
      <c r="N3478">
        <v>0</v>
      </c>
      <c r="O3478">
        <v>1.3506480000000001E-3</v>
      </c>
      <c r="P3478">
        <v>-0.99953820000000004</v>
      </c>
      <c r="Q3478">
        <v>3.032634E-2</v>
      </c>
      <c r="R3478">
        <v>-2.0487769999999999E-3</v>
      </c>
      <c r="S3478">
        <v>-3.0001220000000002</v>
      </c>
      <c r="T3478">
        <v>2.8623340000000001E-2</v>
      </c>
      <c r="U3478">
        <v>-0.2077637</v>
      </c>
      <c r="V3478">
        <v>-3.3938409999999999E-3</v>
      </c>
      <c r="W3478">
        <v>4.5010920000000003E-2</v>
      </c>
      <c r="X3478">
        <v>0.99898069999999894</v>
      </c>
      <c r="Y3478">
        <v>-7.043054E-2</v>
      </c>
      <c r="Z3478">
        <v>3.4844169999999997E-4</v>
      </c>
      <c r="AA3478">
        <v>0.99751659999999998</v>
      </c>
      <c r="AB3478">
        <v>35</v>
      </c>
      <c r="AC3478">
        <v>-163.47630000000001</v>
      </c>
      <c r="AD3478">
        <v>1.563018</v>
      </c>
      <c r="AE3478">
        <v>-11.3461999999999</v>
      </c>
      <c r="AF3478">
        <v>-11.565960174687</v>
      </c>
      <c r="AG3478">
        <v>1.563018</v>
      </c>
      <c r="AH3478">
        <v>163.44595466858999</v>
      </c>
      <c r="AI3478">
        <v>89.453469218710595</v>
      </c>
      <c r="AJ3478">
        <v>94.047686021576297</v>
      </c>
      <c r="AK3478">
        <v>163.86212056957399</v>
      </c>
      <c r="AL3478">
        <v>87.420192566446602</v>
      </c>
      <c r="AM3478">
        <v>90.194650424718105</v>
      </c>
      <c r="AN3478">
        <v>0.99999997002423402</v>
      </c>
    </row>
    <row r="3479" spans="1:40" x14ac:dyDescent="0.25">
      <c r="A3479" t="str">
        <f>"20190312150727582"</f>
        <v>20190312150727582</v>
      </c>
      <c r="B3479" t="str">
        <f>"1552374447573633"</f>
        <v>1552374447573633</v>
      </c>
      <c r="C3479" t="s">
        <v>40</v>
      </c>
      <c r="D3479">
        <v>4.2171019999999997</v>
      </c>
      <c r="E3479">
        <v>0.47499039999999998</v>
      </c>
      <c r="F3479" t="s">
        <v>69</v>
      </c>
      <c r="G3479">
        <v>-512.82600000000002</v>
      </c>
      <c r="H3479">
        <v>2.6324239999999999</v>
      </c>
      <c r="I3479">
        <v>272.11559999999997</v>
      </c>
      <c r="J3479">
        <v>-349.55160000000001</v>
      </c>
      <c r="K3479">
        <v>1.1102810000000001</v>
      </c>
      <c r="L3479">
        <v>283.46350000000001</v>
      </c>
      <c r="M3479">
        <v>-0.99989119999999998</v>
      </c>
      <c r="N3479">
        <v>0</v>
      </c>
      <c r="O3479">
        <v>1.3901199999999999E-3</v>
      </c>
      <c r="P3479">
        <v>-0.9995503</v>
      </c>
      <c r="Q3479">
        <v>2.992794E-2</v>
      </c>
      <c r="R3479">
        <v>-1.9039879999999999E-3</v>
      </c>
      <c r="S3479">
        <v>-3.0001530000000001</v>
      </c>
      <c r="T3479">
        <v>2.7935979999999999E-2</v>
      </c>
      <c r="U3479">
        <v>-0.20825199999999999</v>
      </c>
      <c r="V3479">
        <v>-3.2871969999999999E-3</v>
      </c>
      <c r="W3479">
        <v>4.4610299999999999E-2</v>
      </c>
      <c r="X3479">
        <v>0.99899910000000003</v>
      </c>
      <c r="Y3479">
        <v>-7.063092E-2</v>
      </c>
      <c r="Z3479">
        <v>3.413682E-4</v>
      </c>
      <c r="AA3479">
        <v>0.99750240000000001</v>
      </c>
      <c r="AB3479">
        <v>35</v>
      </c>
      <c r="AC3479">
        <v>-163.27440000000001</v>
      </c>
      <c r="AD3479">
        <v>1.522143</v>
      </c>
      <c r="AE3479">
        <v>-11.347899999999999</v>
      </c>
      <c r="AF3479">
        <v>-11.573883457729901</v>
      </c>
      <c r="AG3479">
        <v>1.522143</v>
      </c>
      <c r="AH3479">
        <v>163.24434603984199</v>
      </c>
      <c r="AI3479">
        <v>89.467108713801906</v>
      </c>
      <c r="AJ3479">
        <v>94.0554353414459</v>
      </c>
      <c r="AK3479">
        <v>163.66119946884601</v>
      </c>
      <c r="AL3479">
        <v>87.443169669923407</v>
      </c>
      <c r="AM3479">
        <v>90.188530534996204</v>
      </c>
      <c r="AN3479">
        <v>1.0000000431655001</v>
      </c>
    </row>
    <row r="3480" spans="1:40" x14ac:dyDescent="0.25">
      <c r="A3480" t="str">
        <f>"20190312150727594"</f>
        <v>20190312150727594</v>
      </c>
      <c r="B3480" t="str">
        <f>"1552374447583393"</f>
        <v>1552374447583393</v>
      </c>
      <c r="C3480" t="s">
        <v>40</v>
      </c>
      <c r="D3480">
        <v>4.2729499999999998</v>
      </c>
      <c r="E3480">
        <v>0.47496179999999899</v>
      </c>
      <c r="F3480" t="s">
        <v>69</v>
      </c>
      <c r="G3480">
        <v>-512.82600000000002</v>
      </c>
      <c r="H3480">
        <v>2.568613</v>
      </c>
      <c r="I3480">
        <v>272.14330000000001</v>
      </c>
      <c r="J3480">
        <v>-349.7346</v>
      </c>
      <c r="K3480">
        <v>1.110277</v>
      </c>
      <c r="L3480">
        <v>283.46379999999999</v>
      </c>
      <c r="M3480">
        <v>-0.99989119999999998</v>
      </c>
      <c r="N3480">
        <v>0</v>
      </c>
      <c r="O3480">
        <v>1.4333919999999999E-3</v>
      </c>
      <c r="P3480">
        <v>-0.99954339999999997</v>
      </c>
      <c r="Q3480">
        <v>3.0152209999999999E-2</v>
      </c>
      <c r="R3480">
        <v>-2.0040399999999999E-3</v>
      </c>
      <c r="S3480">
        <v>-3.0001530000000001</v>
      </c>
      <c r="T3480">
        <v>2.679813E-2</v>
      </c>
      <c r="U3480">
        <v>-0.20800779999999999</v>
      </c>
      <c r="V3480">
        <v>-3.4300709999999998E-3</v>
      </c>
      <c r="W3480">
        <v>4.4832759999999999E-2</v>
      </c>
      <c r="X3480">
        <v>0.9989886</v>
      </c>
      <c r="Y3480">
        <v>-7.0593550000000005E-2</v>
      </c>
      <c r="Z3480">
        <v>3.276849E-4</v>
      </c>
      <c r="AA3480">
        <v>0.99750510000000003</v>
      </c>
      <c r="AB3480">
        <v>35</v>
      </c>
      <c r="AC3480">
        <v>-163.09139999999999</v>
      </c>
      <c r="AD3480">
        <v>1.4583360000000001</v>
      </c>
      <c r="AE3480">
        <v>-11.3204999999999</v>
      </c>
      <c r="AF3480">
        <v>-11.5533681370284</v>
      </c>
      <c r="AG3480">
        <v>1.4583360000000001</v>
      </c>
      <c r="AH3480">
        <v>163.06202862335101</v>
      </c>
      <c r="AI3480">
        <v>89.488873385153497</v>
      </c>
      <c r="AJ3480">
        <v>94.052782030951093</v>
      </c>
      <c r="AK3480">
        <v>163.47731413857099</v>
      </c>
      <c r="AL3480">
        <v>87.430410729677305</v>
      </c>
      <c r="AM3480">
        <v>90.196726788903504</v>
      </c>
      <c r="AN3480">
        <v>0.99999998234312104</v>
      </c>
    </row>
    <row r="3481" spans="1:40" x14ac:dyDescent="0.25">
      <c r="A3481" t="str">
        <f>"20190312150727606"</f>
        <v>20190312150727606</v>
      </c>
      <c r="B3481" t="str">
        <f>"1552374447603889"</f>
        <v>1552374447603889</v>
      </c>
      <c r="C3481" t="s">
        <v>40</v>
      </c>
      <c r="D3481">
        <v>4.260046</v>
      </c>
      <c r="E3481">
        <v>0.4749062</v>
      </c>
      <c r="F3481" t="s">
        <v>69</v>
      </c>
      <c r="G3481">
        <v>-512.82600000000002</v>
      </c>
      <c r="H3481">
        <v>2.562424</v>
      </c>
      <c r="I3481">
        <v>272.12639999999999</v>
      </c>
      <c r="J3481">
        <v>-349.92959999999999</v>
      </c>
      <c r="K3481">
        <v>1.1102669999999999</v>
      </c>
      <c r="L3481">
        <v>283.46409999999997</v>
      </c>
      <c r="M3481">
        <v>-0.99989099999999997</v>
      </c>
      <c r="N3481">
        <v>0</v>
      </c>
      <c r="O3481">
        <v>1.483652E-3</v>
      </c>
      <c r="P3481">
        <v>-0.99954390000000004</v>
      </c>
      <c r="Q3481">
        <v>3.014797E-2</v>
      </c>
      <c r="R3481">
        <v>-1.7666680000000001E-3</v>
      </c>
      <c r="S3481">
        <v>-3.0001530000000001</v>
      </c>
      <c r="T3481">
        <v>2.6714439999999999E-2</v>
      </c>
      <c r="U3481">
        <v>-0.2085571</v>
      </c>
      <c r="V3481">
        <v>-3.2414340000000001E-3</v>
      </c>
      <c r="W3481">
        <v>4.4826570000000003E-2</v>
      </c>
      <c r="X3481">
        <v>0.99898949999999997</v>
      </c>
      <c r="Y3481">
        <v>-7.0825460000000007E-2</v>
      </c>
      <c r="Z3481">
        <v>3.2813789999999997E-4</v>
      </c>
      <c r="AA3481">
        <v>0.99748870000000001</v>
      </c>
      <c r="AB3481">
        <v>35</v>
      </c>
      <c r="AC3481">
        <v>-162.8964</v>
      </c>
      <c r="AD3481">
        <v>1.4521569999999999</v>
      </c>
      <c r="AE3481">
        <v>-11.3376999999999</v>
      </c>
      <c r="AF3481">
        <v>-11.5784794607537</v>
      </c>
      <c r="AG3481">
        <v>1.4521569999999999</v>
      </c>
      <c r="AH3481">
        <v>162.86651702543301</v>
      </c>
      <c r="AI3481">
        <v>89.490436587954605</v>
      </c>
      <c r="AJ3481">
        <v>94.066420648962506</v>
      </c>
      <c r="AK3481">
        <v>163.284023451688</v>
      </c>
      <c r="AL3481">
        <v>87.430765727805095</v>
      </c>
      <c r="AM3481">
        <v>90.185907695735807</v>
      </c>
      <c r="AN3481">
        <v>0.99999997469129498</v>
      </c>
    </row>
    <row r="3482" spans="1:40" x14ac:dyDescent="0.25">
      <c r="A3482" t="str">
        <f>"20190312150727619"</f>
        <v>20190312150727619</v>
      </c>
      <c r="B3482" t="str">
        <f>"1552374447613650"</f>
        <v>1552374447613650</v>
      </c>
      <c r="C3482" t="s">
        <v>40</v>
      </c>
      <c r="D3482">
        <v>4.2110089999999998</v>
      </c>
      <c r="E3482">
        <v>0.47488019999999997</v>
      </c>
      <c r="F3482" t="s">
        <v>69</v>
      </c>
      <c r="G3482">
        <v>-512.82600000000002</v>
      </c>
      <c r="H3482">
        <v>2.498739</v>
      </c>
      <c r="I3482">
        <v>272.14389999999997</v>
      </c>
      <c r="J3482">
        <v>-350.1404</v>
      </c>
      <c r="K3482">
        <v>1.110255</v>
      </c>
      <c r="L3482">
        <v>283.46440000000001</v>
      </c>
      <c r="M3482">
        <v>-0.99989090000000003</v>
      </c>
      <c r="N3482">
        <v>0</v>
      </c>
      <c r="O3482">
        <v>1.5490199999999999E-3</v>
      </c>
      <c r="P3482">
        <v>-0.9995328</v>
      </c>
      <c r="Q3482">
        <v>3.0509089999999999E-2</v>
      </c>
      <c r="R3482">
        <v>-1.8888010000000001E-3</v>
      </c>
      <c r="S3482">
        <v>-3.0002439999999999</v>
      </c>
      <c r="T3482">
        <v>2.5574449999999999E-2</v>
      </c>
      <c r="U3482">
        <v>-0.20849609999999999</v>
      </c>
      <c r="V3482">
        <v>-3.427158E-3</v>
      </c>
      <c r="W3482">
        <v>4.5185259999999998E-2</v>
      </c>
      <c r="X3482">
        <v>0.99897279999999999</v>
      </c>
      <c r="Y3482">
        <v>-7.0868600000000004E-2</v>
      </c>
      <c r="Z3482">
        <v>3.1486650000000003E-4</v>
      </c>
      <c r="AA3482">
        <v>0.99748559999999997</v>
      </c>
      <c r="AB3482">
        <v>35</v>
      </c>
      <c r="AC3482">
        <v>-162.68559999999999</v>
      </c>
      <c r="AD3482">
        <v>1.3884840000000001</v>
      </c>
      <c r="AE3482">
        <v>-11.320499999999999</v>
      </c>
      <c r="AF3482">
        <v>-11.571678012086499</v>
      </c>
      <c r="AG3482">
        <v>1.3884840000000001</v>
      </c>
      <c r="AH3482">
        <v>162.65607605983399</v>
      </c>
      <c r="AI3482">
        <v>89.512149813596395</v>
      </c>
      <c r="AJ3482">
        <v>94.069280268104606</v>
      </c>
      <c r="AK3482">
        <v>163.07308391949999</v>
      </c>
      <c r="AL3482">
        <v>87.410193664447405</v>
      </c>
      <c r="AM3482">
        <v>90.196562828102103</v>
      </c>
      <c r="AN3482">
        <v>1.0000000541365299</v>
      </c>
    </row>
    <row r="3483" spans="1:40" x14ac:dyDescent="0.25">
      <c r="A3483" t="str">
        <f>"20190312150727631"</f>
        <v>20190312150727631</v>
      </c>
      <c r="B3483" t="str">
        <f>"1552374447623713"</f>
        <v>1552374447623713</v>
      </c>
      <c r="C3483" t="s">
        <v>40</v>
      </c>
      <c r="D3483">
        <v>4.4854430000000001</v>
      </c>
      <c r="E3483">
        <v>0.47488170000000002</v>
      </c>
      <c r="F3483" t="s">
        <v>69</v>
      </c>
      <c r="G3483">
        <v>-512.82600000000002</v>
      </c>
      <c r="H3483">
        <v>2.5328010000000001</v>
      </c>
      <c r="I3483">
        <v>272.12889999999999</v>
      </c>
      <c r="J3483">
        <v>-350.3202</v>
      </c>
      <c r="K3483">
        <v>1.1102430000000001</v>
      </c>
      <c r="L3483">
        <v>283.46480000000003</v>
      </c>
      <c r="M3483">
        <v>-0.99989099999999997</v>
      </c>
      <c r="N3483">
        <v>0</v>
      </c>
      <c r="O3483">
        <v>1.61192E-3</v>
      </c>
      <c r="P3483">
        <v>-0.99954600000000005</v>
      </c>
      <c r="Q3483">
        <v>3.0074500000000001E-2</v>
      </c>
      <c r="R3483">
        <v>-1.9316509999999999E-3</v>
      </c>
      <c r="S3483">
        <v>-3.0001829999999998</v>
      </c>
      <c r="T3483">
        <v>2.6235459999999999E-2</v>
      </c>
      <c r="U3483">
        <v>-0.20904539999999999</v>
      </c>
      <c r="V3483">
        <v>-3.5320239999999999E-3</v>
      </c>
      <c r="W3483">
        <v>4.4748919999999998E-2</v>
      </c>
      <c r="X3483">
        <v>0.99899199999999999</v>
      </c>
      <c r="Y3483">
        <v>-7.1114360000000001E-2</v>
      </c>
      <c r="Z3483">
        <v>3.2463160000000002E-4</v>
      </c>
      <c r="AA3483">
        <v>0.99746809999999997</v>
      </c>
      <c r="AB3483">
        <v>35</v>
      </c>
      <c r="AC3483">
        <v>-162.50579999999999</v>
      </c>
      <c r="AD3483">
        <v>1.42255799999999</v>
      </c>
      <c r="AE3483">
        <v>-11.335900000000001</v>
      </c>
      <c r="AF3483">
        <v>-11.5969754540591</v>
      </c>
      <c r="AG3483">
        <v>1.42255799999999</v>
      </c>
      <c r="AH3483">
        <v>162.47492404419401</v>
      </c>
      <c r="AI3483">
        <v>89.4996294459593</v>
      </c>
      <c r="AJ3483">
        <v>94.082677925708097</v>
      </c>
      <c r="AK3483">
        <v>162.89448871619899</v>
      </c>
      <c r="AL3483">
        <v>87.435219224060006</v>
      </c>
      <c r="AM3483">
        <v>90.2025734191173</v>
      </c>
      <c r="AN3483">
        <v>0.99999997854935097</v>
      </c>
    </row>
    <row r="3484" spans="1:40" x14ac:dyDescent="0.25">
      <c r="A3484" t="str">
        <f>"20190312150727642"</f>
        <v>20190312150727642</v>
      </c>
      <c r="B3484" t="str">
        <f>"1552374447633869"</f>
        <v>1552374447633869</v>
      </c>
      <c r="C3484" t="s">
        <v>40</v>
      </c>
      <c r="D3484">
        <v>4.46896</v>
      </c>
      <c r="E3484">
        <v>0.47487679999999999</v>
      </c>
      <c r="F3484" t="s">
        <v>69</v>
      </c>
      <c r="G3484">
        <v>-512.82600000000002</v>
      </c>
      <c r="H3484">
        <v>2.4471590000000001</v>
      </c>
      <c r="I3484">
        <v>272.13679999999999</v>
      </c>
      <c r="J3484">
        <v>-350.5027</v>
      </c>
      <c r="K3484">
        <v>1.110231</v>
      </c>
      <c r="L3484">
        <v>283.46510000000001</v>
      </c>
      <c r="M3484">
        <v>-0.99989090000000003</v>
      </c>
      <c r="N3484">
        <v>0</v>
      </c>
      <c r="O3484">
        <v>1.680668E-3</v>
      </c>
      <c r="P3484">
        <v>-0.99953999999999998</v>
      </c>
      <c r="Q3484">
        <v>3.0266149999999999E-2</v>
      </c>
      <c r="R3484">
        <v>-2.0105090000000002E-3</v>
      </c>
      <c r="S3484">
        <v>-3.0001829999999998</v>
      </c>
      <c r="T3484">
        <v>2.4683589999999998E-2</v>
      </c>
      <c r="U3484">
        <v>-0.20913699999999999</v>
      </c>
      <c r="V3484">
        <v>-3.6782339999999998E-3</v>
      </c>
      <c r="W3484">
        <v>4.4938989999999998E-2</v>
      </c>
      <c r="X3484">
        <v>0.99898299999999995</v>
      </c>
      <c r="Y3484">
        <v>-7.1213540000000006E-2</v>
      </c>
      <c r="Z3484">
        <v>3.06402E-4</v>
      </c>
      <c r="AA3484">
        <v>0.99746100000000004</v>
      </c>
      <c r="AB3484">
        <v>35</v>
      </c>
      <c r="AC3484">
        <v>-162.32329999999999</v>
      </c>
      <c r="AD3484">
        <v>1.3369279999999999</v>
      </c>
      <c r="AE3484">
        <v>-11.3283</v>
      </c>
      <c r="AF3484">
        <v>-11.600341858816</v>
      </c>
      <c r="AG3484">
        <v>1.3369279999999999</v>
      </c>
      <c r="AH3484">
        <v>162.293073732458</v>
      </c>
      <c r="AI3484">
        <v>89.529224019140798</v>
      </c>
      <c r="AJ3484">
        <v>94.088419526977603</v>
      </c>
      <c r="AK3484">
        <v>162.712621173797</v>
      </c>
      <c r="AL3484">
        <v>87.4243182023515</v>
      </c>
      <c r="AM3484">
        <v>90.210960879118701</v>
      </c>
      <c r="AN3484">
        <v>1.0000000382582801</v>
      </c>
    </row>
    <row r="3485" spans="1:40" x14ac:dyDescent="0.25">
      <c r="A3485" t="str">
        <f>"20190312150727659"</f>
        <v>20190312150727659</v>
      </c>
      <c r="B3485" t="str">
        <f>"1552374447653391"</f>
        <v>1552374447653391</v>
      </c>
      <c r="C3485" t="s">
        <v>40</v>
      </c>
      <c r="D3485">
        <v>4.2081480000000004</v>
      </c>
      <c r="E3485">
        <v>0.47487960000000001</v>
      </c>
      <c r="F3485" t="s">
        <v>69</v>
      </c>
      <c r="G3485">
        <v>-512.82600000000002</v>
      </c>
      <c r="H3485">
        <v>2.4773399999999999</v>
      </c>
      <c r="I3485">
        <v>272.14479999999998</v>
      </c>
      <c r="J3485">
        <v>-350.74939999999998</v>
      </c>
      <c r="K3485">
        <v>1.1102190000000001</v>
      </c>
      <c r="L3485">
        <v>283.46570000000003</v>
      </c>
      <c r="M3485">
        <v>-0.99989070000000002</v>
      </c>
      <c r="N3485">
        <v>0</v>
      </c>
      <c r="O3485">
        <v>1.78842E-3</v>
      </c>
      <c r="P3485">
        <v>-0.99954829999999995</v>
      </c>
      <c r="Q3485">
        <v>3.000303E-2</v>
      </c>
      <c r="R3485">
        <v>-1.755279E-3</v>
      </c>
      <c r="S3485">
        <v>-3.0001530000000001</v>
      </c>
      <c r="T3485">
        <v>2.5269150000000001E-2</v>
      </c>
      <c r="U3485">
        <v>-0.20922850000000001</v>
      </c>
      <c r="V3485">
        <v>-3.5296529999999998E-3</v>
      </c>
      <c r="W3485">
        <v>4.4673650000000002E-2</v>
      </c>
      <c r="X3485">
        <v>0.99899539999999998</v>
      </c>
      <c r="Y3485">
        <v>-7.1351910000000004E-2</v>
      </c>
      <c r="Z3485">
        <v>3.151618E-4</v>
      </c>
      <c r="AA3485">
        <v>0.99745110000000003</v>
      </c>
      <c r="AB3485">
        <v>35</v>
      </c>
      <c r="AC3485">
        <v>-162.07660000000001</v>
      </c>
      <c r="AD3485">
        <v>1.367121</v>
      </c>
      <c r="AE3485">
        <v>-11.3209</v>
      </c>
      <c r="AF3485">
        <v>-11.6099521116102</v>
      </c>
      <c r="AG3485">
        <v>1.367121</v>
      </c>
      <c r="AH3485">
        <v>162.04461858897099</v>
      </c>
      <c r="AI3485">
        <v>89.517860287108405</v>
      </c>
      <c r="AJ3485">
        <v>94.0980474527952</v>
      </c>
      <c r="AK3485">
        <v>162.46574537885701</v>
      </c>
      <c r="AL3485">
        <v>87.439536253050306</v>
      </c>
      <c r="AM3485">
        <v>90.202436746475897</v>
      </c>
      <c r="AN3485">
        <v>1.00000000133789</v>
      </c>
    </row>
    <row r="3486" spans="1:40" x14ac:dyDescent="0.25">
      <c r="A3486" t="str">
        <f>"20190312150727670"</f>
        <v>20190312150727670</v>
      </c>
      <c r="B3486" t="str">
        <f>"1552374447663148"</f>
        <v>1552374447663148</v>
      </c>
      <c r="C3486" t="s">
        <v>40</v>
      </c>
      <c r="D3486">
        <v>4.2035900000000002</v>
      </c>
      <c r="E3486">
        <v>0.47487289999999999</v>
      </c>
      <c r="F3486" t="s">
        <v>69</v>
      </c>
      <c r="G3486">
        <v>-512.82600000000002</v>
      </c>
      <c r="H3486">
        <v>2.434161</v>
      </c>
      <c r="I3486">
        <v>272.19099999999997</v>
      </c>
      <c r="J3486">
        <v>-350.92770000000002</v>
      </c>
      <c r="K3486">
        <v>1.110209</v>
      </c>
      <c r="L3486">
        <v>283.46609999999998</v>
      </c>
      <c r="M3486">
        <v>-0.99989059999999996</v>
      </c>
      <c r="N3486">
        <v>0</v>
      </c>
      <c r="O3486">
        <v>1.872667E-3</v>
      </c>
      <c r="P3486">
        <v>-0.99955119999999997</v>
      </c>
      <c r="Q3486">
        <v>2.9930109999999999E-2</v>
      </c>
      <c r="R3486">
        <v>-1.391876E-3</v>
      </c>
      <c r="S3486">
        <v>-3.0002749999999998</v>
      </c>
      <c r="T3486">
        <v>2.4509550000000001E-2</v>
      </c>
      <c r="U3486">
        <v>-0.2087097</v>
      </c>
      <c r="V3486">
        <v>-3.2490900000000001E-3</v>
      </c>
      <c r="W3486">
        <v>4.4598869999999999E-2</v>
      </c>
      <c r="X3486">
        <v>0.99899970000000005</v>
      </c>
      <c r="Y3486">
        <v>-7.1261640000000001E-2</v>
      </c>
      <c r="Z3486">
        <v>3.059968E-4</v>
      </c>
      <c r="AA3486">
        <v>0.99745760000000006</v>
      </c>
      <c r="AB3486">
        <v>35</v>
      </c>
      <c r="AC3486">
        <v>-161.89830000000001</v>
      </c>
      <c r="AD3486">
        <v>1.323952</v>
      </c>
      <c r="AE3486">
        <v>-11.2751</v>
      </c>
      <c r="AF3486">
        <v>-11.577523966270199</v>
      </c>
      <c r="AG3486">
        <v>1.323952</v>
      </c>
      <c r="AH3486">
        <v>161.866126826608</v>
      </c>
      <c r="AI3486">
        <v>89.5325650329372</v>
      </c>
      <c r="AJ3486">
        <v>94.091130989562004</v>
      </c>
      <c r="AK3486">
        <v>162.28504220640701</v>
      </c>
      <c r="AL3486">
        <v>87.443825123655202</v>
      </c>
      <c r="AM3486">
        <v>90.186344888673602</v>
      </c>
      <c r="AN3486">
        <v>1.00000000819559</v>
      </c>
    </row>
    <row r="3487" spans="1:40" x14ac:dyDescent="0.25">
      <c r="A3487" t="str">
        <f>"20190312150727681"</f>
        <v>20190312150727681</v>
      </c>
      <c r="B3487" t="str">
        <f>"1552374447673883"</f>
        <v>1552374447673883</v>
      </c>
      <c r="C3487" t="s">
        <v>40</v>
      </c>
      <c r="D3487">
        <v>4.2081169999999997</v>
      </c>
      <c r="E3487">
        <v>0.4748656</v>
      </c>
      <c r="F3487" t="s">
        <v>69</v>
      </c>
      <c r="G3487">
        <v>-512.82600000000002</v>
      </c>
      <c r="H3487">
        <v>2.428763</v>
      </c>
      <c r="I3487">
        <v>272.26330000000002</v>
      </c>
      <c r="J3487">
        <v>-351.11259999999999</v>
      </c>
      <c r="K3487">
        <v>1.110195</v>
      </c>
      <c r="L3487">
        <v>283.4665</v>
      </c>
      <c r="M3487">
        <v>-0.99989039999999996</v>
      </c>
      <c r="N3487">
        <v>0</v>
      </c>
      <c r="O3487">
        <v>1.9653230000000002E-3</v>
      </c>
      <c r="P3487">
        <v>-0.99955280000000002</v>
      </c>
      <c r="Q3487">
        <v>2.988965E-2</v>
      </c>
      <c r="R3487">
        <v>-8.7870199999999998E-4</v>
      </c>
      <c r="S3487">
        <v>-3.0003359999999999</v>
      </c>
      <c r="T3487">
        <v>2.4437190000000001E-2</v>
      </c>
      <c r="U3487">
        <v>-0.20761109999999999</v>
      </c>
      <c r="V3487">
        <v>-2.8270389999999999E-3</v>
      </c>
      <c r="W3487">
        <v>4.4556470000000001E-2</v>
      </c>
      <c r="X3487">
        <v>0.99900290000000003</v>
      </c>
      <c r="Y3487">
        <v>-7.0989189999999994E-2</v>
      </c>
      <c r="Z3487">
        <v>3.0473680000000001E-4</v>
      </c>
      <c r="AA3487">
        <v>0.99747710000000001</v>
      </c>
      <c r="AB3487">
        <v>35</v>
      </c>
      <c r="AC3487">
        <v>-161.71340000000001</v>
      </c>
      <c r="AD3487">
        <v>1.318568</v>
      </c>
      <c r="AE3487">
        <v>-11.203199999999899</v>
      </c>
      <c r="AF3487">
        <v>-11.5202693984044</v>
      </c>
      <c r="AG3487">
        <v>1.318568</v>
      </c>
      <c r="AH3487">
        <v>161.6803696332</v>
      </c>
      <c r="AI3487">
        <v>89.5339219878351</v>
      </c>
      <c r="AJ3487">
        <v>94.075628674210805</v>
      </c>
      <c r="AK3487">
        <v>162.09564199357999</v>
      </c>
      <c r="AL3487">
        <v>87.446256944635095</v>
      </c>
      <c r="AM3487">
        <v>90.162138639280499</v>
      </c>
      <c r="AN3487">
        <v>1.00000003268838</v>
      </c>
    </row>
    <row r="3488" spans="1:40" x14ac:dyDescent="0.25">
      <c r="A3488" t="str">
        <f>"20190312150727706"</f>
        <v>20190312150727706</v>
      </c>
      <c r="B3488" t="str">
        <f>"1552374447693403"</f>
        <v>1552374447693403</v>
      </c>
      <c r="C3488" t="s">
        <v>40</v>
      </c>
      <c r="D3488">
        <v>4.2058939999999998</v>
      </c>
      <c r="E3488">
        <v>0.47484349999999997</v>
      </c>
      <c r="F3488" t="s">
        <v>69</v>
      </c>
      <c r="G3488">
        <v>-512.82600000000002</v>
      </c>
      <c r="H3488">
        <v>2.4372769999999999</v>
      </c>
      <c r="I3488">
        <v>272.36090000000002</v>
      </c>
      <c r="J3488">
        <v>-351.47329999999999</v>
      </c>
      <c r="K3488">
        <v>1.110182</v>
      </c>
      <c r="L3488">
        <v>283.4674</v>
      </c>
      <c r="M3488">
        <v>-0.9998901</v>
      </c>
      <c r="N3488">
        <v>0</v>
      </c>
      <c r="O3488">
        <v>2.1639509999999999E-3</v>
      </c>
      <c r="P3488">
        <v>-0.99955559999999999</v>
      </c>
      <c r="Q3488">
        <v>2.980093E-2</v>
      </c>
      <c r="R3488">
        <v>-7.6389060000000002E-4</v>
      </c>
      <c r="S3488">
        <v>-3.0004580000000001</v>
      </c>
      <c r="T3488">
        <v>2.462435E-2</v>
      </c>
      <c r="U3488">
        <v>-0.20605470000000001</v>
      </c>
      <c r="V3488">
        <v>-2.9089860000000001E-3</v>
      </c>
      <c r="W3488">
        <v>4.446406E-2</v>
      </c>
      <c r="X3488">
        <v>0.99900670000000003</v>
      </c>
      <c r="Y3488">
        <v>-7.0669549999999998E-2</v>
      </c>
      <c r="Z3488">
        <v>3.0738199999999998E-4</v>
      </c>
      <c r="AA3488">
        <v>0.99749980000000005</v>
      </c>
      <c r="AB3488">
        <v>35</v>
      </c>
      <c r="AC3488">
        <v>-161.3527</v>
      </c>
      <c r="AD3488">
        <v>1.3270949999999999</v>
      </c>
      <c r="AE3488">
        <v>-11.106499999999899</v>
      </c>
      <c r="AF3488">
        <v>-11.454899645067799</v>
      </c>
      <c r="AG3488">
        <v>1.3270949999999999</v>
      </c>
      <c r="AH3488">
        <v>161.31742437531099</v>
      </c>
      <c r="AI3488">
        <v>89.529844555652502</v>
      </c>
      <c r="AJ3488">
        <v>94.061666852002602</v>
      </c>
      <c r="AK3488">
        <v>161.72905525632001</v>
      </c>
      <c r="AL3488">
        <v>87.451556691107299</v>
      </c>
      <c r="AM3488">
        <v>90.166837869446397</v>
      </c>
      <c r="AN3488">
        <v>0.99999995073805903</v>
      </c>
    </row>
    <row r="3489" spans="1:40" x14ac:dyDescent="0.25">
      <c r="A3489" t="str">
        <f>"20190312150727717"</f>
        <v>20190312150727717</v>
      </c>
      <c r="B3489" t="str">
        <f>"1552374447713900"</f>
        <v>1552374447713900</v>
      </c>
      <c r="C3489" t="s">
        <v>40</v>
      </c>
      <c r="D3489">
        <v>4.2406699999999997</v>
      </c>
      <c r="E3489">
        <v>0.49876740000000003</v>
      </c>
      <c r="F3489" t="s">
        <v>69</v>
      </c>
      <c r="G3489">
        <v>-512.82590000000005</v>
      </c>
      <c r="H3489">
        <v>2.4127580000000002</v>
      </c>
      <c r="I3489">
        <v>272.39479999999998</v>
      </c>
      <c r="J3489">
        <v>-351.66899999999998</v>
      </c>
      <c r="K3489">
        <v>1.110171</v>
      </c>
      <c r="L3489">
        <v>283.46800000000002</v>
      </c>
      <c r="M3489">
        <v>-0.9998899</v>
      </c>
      <c r="N3489">
        <v>0</v>
      </c>
      <c r="O3489">
        <v>2.281132E-3</v>
      </c>
      <c r="P3489">
        <v>-0.99956049999999996</v>
      </c>
      <c r="Q3489">
        <v>2.9647119999999999E-2</v>
      </c>
      <c r="R3489">
        <v>-4.2214789999999998E-4</v>
      </c>
      <c r="S3489">
        <v>-3.0004580000000001</v>
      </c>
      <c r="T3489">
        <v>2.4223689999999999E-2</v>
      </c>
      <c r="U3489">
        <v>-0.2059021</v>
      </c>
      <c r="V3489">
        <v>-2.6836849999999999E-3</v>
      </c>
      <c r="W3489">
        <v>4.4307810000000003E-2</v>
      </c>
      <c r="X3489">
        <v>0.99901430000000002</v>
      </c>
      <c r="Y3489">
        <v>-7.0736030000000005E-2</v>
      </c>
      <c r="Z3489">
        <v>3.0359439999999999E-4</v>
      </c>
      <c r="AA3489">
        <v>0.99749500000000002</v>
      </c>
      <c r="AB3489">
        <v>35</v>
      </c>
      <c r="AC3489">
        <v>-161.15690000000001</v>
      </c>
      <c r="AD3489">
        <v>1.3025869999999999</v>
      </c>
      <c r="AE3489">
        <v>-11.0732</v>
      </c>
      <c r="AF3489">
        <v>-11.440086993868301</v>
      </c>
      <c r="AG3489">
        <v>1.3025869999999999</v>
      </c>
      <c r="AH3489">
        <v>161.120741838508</v>
      </c>
      <c r="AI3489">
        <v>89.537963252812801</v>
      </c>
      <c r="AJ3489">
        <v>94.061367329585593</v>
      </c>
      <c r="AK3489">
        <v>161.53162468665701</v>
      </c>
      <c r="AL3489">
        <v>87.460518057854202</v>
      </c>
      <c r="AM3489">
        <v>90.153915168352597</v>
      </c>
      <c r="AN3489">
        <v>0.99999997789833195</v>
      </c>
    </row>
    <row r="3490" spans="1:40" x14ac:dyDescent="0.25">
      <c r="A3490" t="str">
        <f>"20190312150727729"</f>
        <v>20190312150727729</v>
      </c>
      <c r="B3490" t="str">
        <f>"1552374447723660"</f>
        <v>1552374447723660</v>
      </c>
      <c r="C3490" t="s">
        <v>40</v>
      </c>
      <c r="D3490">
        <v>4.2681589999999998</v>
      </c>
      <c r="E3490">
        <v>0.5019614</v>
      </c>
      <c r="F3490" t="s">
        <v>48</v>
      </c>
      <c r="G3490">
        <v>0</v>
      </c>
      <c r="H3490">
        <v>0</v>
      </c>
      <c r="I3490">
        <v>0</v>
      </c>
      <c r="J3490">
        <v>-351.85449999999997</v>
      </c>
      <c r="K3490">
        <v>1.1101570000000001</v>
      </c>
      <c r="L3490">
        <v>283.46850000000001</v>
      </c>
      <c r="M3490">
        <v>-0.99988969999999999</v>
      </c>
      <c r="N3490">
        <v>0</v>
      </c>
      <c r="O3490">
        <v>2.3945939999999999E-3</v>
      </c>
      <c r="P3490">
        <v>-0.99955930000000004</v>
      </c>
      <c r="Q3490">
        <v>2.9689139999999999E-2</v>
      </c>
      <c r="R3490">
        <v>-1.8615370000000001E-4</v>
      </c>
      <c r="S3490">
        <v>-3.0015559999999999</v>
      </c>
      <c r="T3490">
        <v>-8.5837840000000006E-3</v>
      </c>
      <c r="U3490">
        <v>-1.522827E-2</v>
      </c>
      <c r="V3490">
        <v>-2.559824E-3</v>
      </c>
      <c r="W3490">
        <v>4.4347820000000003E-2</v>
      </c>
      <c r="X3490">
        <v>0.99901289999999998</v>
      </c>
      <c r="Y3490">
        <v>-7.4681590000000003E-3</v>
      </c>
      <c r="Z3490" s="1">
        <v>-1.752724E-5</v>
      </c>
      <c r="AA3490">
        <v>0.99997210000000003</v>
      </c>
      <c r="AB3490">
        <v>35</v>
      </c>
      <c r="AC3490">
        <v>-3.0015559999999999</v>
      </c>
      <c r="AD3490">
        <v>-8.5837840000000006E-3</v>
      </c>
      <c r="AE3490">
        <v>-1.522827E-2</v>
      </c>
      <c r="AF3490">
        <v>-2.2416323251352101E-2</v>
      </c>
      <c r="AG3490">
        <v>-8.5837840000000006E-3</v>
      </c>
      <c r="AH3490">
        <v>3.0014863765986401</v>
      </c>
      <c r="AI3490">
        <v>90.1638519978559</v>
      </c>
      <c r="AJ3490">
        <v>90.427900271680798</v>
      </c>
      <c r="AK3490">
        <v>3.0015823563252599</v>
      </c>
      <c r="AL3490">
        <v>87.458223525795006</v>
      </c>
      <c r="AM3490">
        <v>90.146811708346306</v>
      </c>
      <c r="AN3490">
        <v>1.00000002810203</v>
      </c>
    </row>
    <row r="3491" spans="1:40" x14ac:dyDescent="0.25">
      <c r="A3491" t="str">
        <f>"20190312150727742"</f>
        <v>20190312150727742</v>
      </c>
      <c r="B3491" t="str">
        <f>"1552374447733420"</f>
        <v>1552374447733420</v>
      </c>
      <c r="C3491" t="s">
        <v>40</v>
      </c>
      <c r="D3491">
        <v>4.2805369999999998</v>
      </c>
      <c r="E3491">
        <v>0.50393279999999996</v>
      </c>
      <c r="F3491" t="s">
        <v>43</v>
      </c>
      <c r="G3491">
        <v>-549.78610000000003</v>
      </c>
      <c r="H3491">
        <v>-0.05</v>
      </c>
      <c r="I3491">
        <v>284.15460000000002</v>
      </c>
      <c r="J3491">
        <v>-352.06380000000001</v>
      </c>
      <c r="K3491">
        <v>1.1101490000000001</v>
      </c>
      <c r="L3491">
        <v>283.46910000000003</v>
      </c>
      <c r="M3491">
        <v>-0.99988929999999998</v>
      </c>
      <c r="N3491">
        <v>0</v>
      </c>
      <c r="O3491">
        <v>2.526417E-3</v>
      </c>
      <c r="P3491">
        <v>-0.9995636</v>
      </c>
      <c r="Q3491">
        <v>2.954242E-2</v>
      </c>
      <c r="R3491" s="1">
        <v>-1.5459539999999999E-5</v>
      </c>
      <c r="S3491">
        <v>-3.0018310000000001</v>
      </c>
      <c r="T3491">
        <v>-1.7594930000000002E-2</v>
      </c>
      <c r="U3491">
        <v>1.0406489999999999E-2</v>
      </c>
      <c r="V3491">
        <v>-2.5203030000000002E-3</v>
      </c>
      <c r="W3491">
        <v>4.4198719999999997E-2</v>
      </c>
      <c r="X3491">
        <v>0.99901960000000001</v>
      </c>
      <c r="Y3491">
        <v>9.4003749999999997E-4</v>
      </c>
      <c r="Z3491" s="1">
        <v>-1.2054789999999999E-5</v>
      </c>
      <c r="AA3491">
        <v>0.99999959999999999</v>
      </c>
      <c r="AB3491">
        <v>35</v>
      </c>
      <c r="AC3491">
        <v>-197.72229999999999</v>
      </c>
      <c r="AD3491">
        <v>-1.1601489999999901</v>
      </c>
      <c r="AE3491">
        <v>0.68549999999999001</v>
      </c>
      <c r="AF3491">
        <v>0.18590872210832601</v>
      </c>
      <c r="AG3491">
        <v>-1.1601489999999901</v>
      </c>
      <c r="AH3491">
        <v>197.71659392446199</v>
      </c>
      <c r="AI3491">
        <v>90.336192566029794</v>
      </c>
      <c r="AJ3491">
        <v>89.946126008945996</v>
      </c>
      <c r="AK3491">
        <v>197.720085021339</v>
      </c>
      <c r="AL3491">
        <v>87.466774690496607</v>
      </c>
      <c r="AM3491">
        <v>90.144544129714504</v>
      </c>
      <c r="AN3491">
        <v>1.0000000199804999</v>
      </c>
    </row>
    <row r="3492" spans="1:40" x14ac:dyDescent="0.25">
      <c r="A3492" t="str">
        <f>"20190312150727755"</f>
        <v>20190312150727755</v>
      </c>
      <c r="B3492" t="str">
        <f>"1552374447743688"</f>
        <v>1552374447743688</v>
      </c>
      <c r="C3492" t="s">
        <v>40</v>
      </c>
      <c r="D3492">
        <v>4.529261</v>
      </c>
      <c r="E3492">
        <v>0.5050017</v>
      </c>
      <c r="F3492" t="s">
        <v>43</v>
      </c>
      <c r="G3492">
        <v>-539.88109999999995</v>
      </c>
      <c r="H3492">
        <v>-0.05</v>
      </c>
      <c r="I3492">
        <v>285.13600000000002</v>
      </c>
      <c r="J3492">
        <v>-352.25810000000001</v>
      </c>
      <c r="K3492">
        <v>1.1101430000000001</v>
      </c>
      <c r="L3492">
        <v>283.46969999999999</v>
      </c>
      <c r="M3492">
        <v>-0.99988900000000003</v>
      </c>
      <c r="N3492">
        <v>0</v>
      </c>
      <c r="O3492">
        <v>2.6531940000000002E-3</v>
      </c>
      <c r="P3492">
        <v>-0.99957050000000003</v>
      </c>
      <c r="Q3492">
        <v>2.9305060000000001E-2</v>
      </c>
      <c r="R3492" s="1">
        <v>7.0800539999999997E-5</v>
      </c>
      <c r="S3492">
        <v>-3.001862</v>
      </c>
      <c r="T3492">
        <v>-1.8542530000000002E-2</v>
      </c>
      <c r="U3492">
        <v>2.6641850000000002E-2</v>
      </c>
      <c r="V3492">
        <v>-2.5598679999999999E-3</v>
      </c>
      <c r="W3492">
        <v>4.3960050000000001E-2</v>
      </c>
      <c r="X3492">
        <v>0.99902999999999997</v>
      </c>
      <c r="Y3492">
        <v>6.221285E-3</v>
      </c>
      <c r="Z3492" s="1">
        <v>2.8238809999999999E-6</v>
      </c>
      <c r="AA3492">
        <v>0.9999806</v>
      </c>
      <c r="AB3492">
        <v>35</v>
      </c>
      <c r="AC3492">
        <v>-187.62299999999999</v>
      </c>
      <c r="AD3492">
        <v>-1.1601429999999999</v>
      </c>
      <c r="AE3492">
        <v>1.6662999999999699</v>
      </c>
      <c r="AF3492">
        <v>1.1683957376529099</v>
      </c>
      <c r="AG3492">
        <v>-1.1601429999999999</v>
      </c>
      <c r="AH3492">
        <v>187.619588068225</v>
      </c>
      <c r="AI3492">
        <v>90.354276236342699</v>
      </c>
      <c r="AJ3492">
        <v>89.643196747834594</v>
      </c>
      <c r="AK3492">
        <v>187.62681286871199</v>
      </c>
      <c r="AL3492">
        <v>87.480462702529096</v>
      </c>
      <c r="AM3492">
        <v>90.146811718885004</v>
      </c>
      <c r="AN3492">
        <v>0.99999998991008898</v>
      </c>
    </row>
    <row r="3493" spans="1:40" x14ac:dyDescent="0.25">
      <c r="A3493" t="str">
        <f>"20190312150727771"</f>
        <v>20190312150727771</v>
      </c>
      <c r="B3493" t="str">
        <f>"1552374447763208"</f>
        <v>1552374447763208</v>
      </c>
      <c r="C3493" t="s">
        <v>40</v>
      </c>
      <c r="D3493">
        <v>4.3299560000000001</v>
      </c>
      <c r="E3493">
        <v>0.50701790000000002</v>
      </c>
      <c r="F3493" t="s">
        <v>48</v>
      </c>
      <c r="G3493">
        <v>0</v>
      </c>
      <c r="H3493">
        <v>0</v>
      </c>
      <c r="I3493">
        <v>0</v>
      </c>
      <c r="J3493">
        <v>-352.49709999999999</v>
      </c>
      <c r="K3493">
        <v>1.1101379999999901</v>
      </c>
      <c r="L3493">
        <v>283.47050000000002</v>
      </c>
      <c r="M3493">
        <v>-0.99988869999999996</v>
      </c>
      <c r="N3493">
        <v>0</v>
      </c>
      <c r="O3493">
        <v>2.8116909999999998E-3</v>
      </c>
      <c r="P3493">
        <v>-0.9995735</v>
      </c>
      <c r="Q3493">
        <v>2.9213449999999998E-2</v>
      </c>
      <c r="R3493" s="1">
        <v>-8.2207259999999999E-5</v>
      </c>
      <c r="S3493">
        <v>-3.0017399999999999</v>
      </c>
      <c r="T3493">
        <v>-1.509011E-2</v>
      </c>
      <c r="U3493">
        <v>3.5705569999999999E-2</v>
      </c>
      <c r="V3493">
        <v>-2.8709529999999999E-3</v>
      </c>
      <c r="W3493">
        <v>4.386574E-2</v>
      </c>
      <c r="X3493">
        <v>0.99903330000000001</v>
      </c>
      <c r="Y3493">
        <v>9.0821960000000007E-3</v>
      </c>
      <c r="Z3493" s="1">
        <v>8.6921299999999997E-6</v>
      </c>
      <c r="AA3493">
        <v>0.99995880000000004</v>
      </c>
      <c r="AB3493">
        <v>35</v>
      </c>
      <c r="AC3493">
        <v>-3.0017399999999999</v>
      </c>
      <c r="AD3493">
        <v>-1.509011E-2</v>
      </c>
      <c r="AE3493">
        <v>3.5705569999999999E-2</v>
      </c>
      <c r="AF3493">
        <v>2.72638684762374E-2</v>
      </c>
      <c r="AG3493">
        <v>-1.509011E-2</v>
      </c>
      <c r="AH3493">
        <v>3.00175268655267</v>
      </c>
      <c r="AI3493">
        <v>90.288017289632407</v>
      </c>
      <c r="AJ3493">
        <v>89.479616808211702</v>
      </c>
      <c r="AK3493">
        <v>3.0019144260238799</v>
      </c>
      <c r="AL3493">
        <v>87.485871485318896</v>
      </c>
      <c r="AM3493">
        <v>90.164652206556894</v>
      </c>
      <c r="AN3493">
        <v>0.99999999001288198</v>
      </c>
    </row>
    <row r="3494" spans="1:40" x14ac:dyDescent="0.25">
      <c r="A3494" t="str">
        <f>"20190312150727784"</f>
        <v>20190312150727784</v>
      </c>
      <c r="B3494" t="str">
        <f>"1552374447773944"</f>
        <v>1552374447773944</v>
      </c>
      <c r="C3494" t="s">
        <v>40</v>
      </c>
      <c r="D3494">
        <v>4.2814019999999999</v>
      </c>
      <c r="E3494">
        <v>0.50694209999999995</v>
      </c>
      <c r="F3494" t="s">
        <v>48</v>
      </c>
      <c r="G3494">
        <v>0</v>
      </c>
      <c r="H3494">
        <v>0</v>
      </c>
      <c r="I3494">
        <v>0</v>
      </c>
      <c r="J3494">
        <v>-352.70760000000001</v>
      </c>
      <c r="K3494">
        <v>1.110133</v>
      </c>
      <c r="L3494">
        <v>283.47120000000001</v>
      </c>
      <c r="M3494">
        <v>-0.99988840000000001</v>
      </c>
      <c r="N3494">
        <v>0</v>
      </c>
      <c r="O3494">
        <v>2.9534100000000001E-3</v>
      </c>
      <c r="P3494">
        <v>-0.99957739999999995</v>
      </c>
      <c r="Q3494">
        <v>2.9078440000000001E-2</v>
      </c>
      <c r="R3494" s="1">
        <v>-6.11948099999999E-6</v>
      </c>
      <c r="S3494">
        <v>-3.0012210000000001</v>
      </c>
      <c r="T3494">
        <v>1.9637349999999999E-3</v>
      </c>
      <c r="U3494">
        <v>5.2032469999999997E-2</v>
      </c>
      <c r="V3494">
        <v>-2.9357580000000001E-3</v>
      </c>
      <c r="W3494">
        <v>4.3728540000000003E-2</v>
      </c>
      <c r="X3494">
        <v>0.99903909999999996</v>
      </c>
      <c r="Y3494">
        <v>1.4381140000000001E-2</v>
      </c>
      <c r="Z3494" s="1">
        <v>-2.7720229999999999E-6</v>
      </c>
      <c r="AA3494">
        <v>0.99989660000000002</v>
      </c>
      <c r="AB3494">
        <v>35</v>
      </c>
      <c r="AC3494">
        <v>-3.0012210000000001</v>
      </c>
      <c r="AD3494">
        <v>1.9637349999999999E-3</v>
      </c>
      <c r="AE3494">
        <v>5.2032469999999997E-2</v>
      </c>
      <c r="AF3494">
        <v>4.3167437787893802E-2</v>
      </c>
      <c r="AG3494">
        <v>1.9637349999999999E-3</v>
      </c>
      <c r="AH3494">
        <v>3.0013603130222002</v>
      </c>
      <c r="AI3494">
        <v>89.962516304503396</v>
      </c>
      <c r="AJ3494">
        <v>89.175993143820705</v>
      </c>
      <c r="AK3494">
        <v>3.0016713698413202</v>
      </c>
      <c r="AL3494">
        <v>87.493739950420704</v>
      </c>
      <c r="AM3494">
        <v>90.168367843565903</v>
      </c>
      <c r="AN3494">
        <v>0.99999996360718701</v>
      </c>
    </row>
    <row r="3495" spans="1:40" x14ac:dyDescent="0.25">
      <c r="A3495" t="str">
        <f>"20190312150727803"</f>
        <v>20190312150727803</v>
      </c>
      <c r="B3495" t="str">
        <f>"1552374447793464"</f>
        <v>1552374447793464</v>
      </c>
      <c r="C3495" t="s">
        <v>40</v>
      </c>
      <c r="D3495">
        <v>4.2359910000000003</v>
      </c>
      <c r="E3495">
        <v>0.50735200000000003</v>
      </c>
      <c r="F3495" t="s">
        <v>48</v>
      </c>
      <c r="G3495">
        <v>0</v>
      </c>
      <c r="H3495">
        <v>0</v>
      </c>
      <c r="I3495">
        <v>0</v>
      </c>
      <c r="J3495">
        <v>-353.00080000000003</v>
      </c>
      <c r="K3495">
        <v>1.110131</v>
      </c>
      <c r="L3495">
        <v>283.47219999999999</v>
      </c>
      <c r="M3495">
        <v>-0.99988770000000005</v>
      </c>
      <c r="N3495">
        <v>0</v>
      </c>
      <c r="O3495">
        <v>3.1551610000000001E-3</v>
      </c>
      <c r="P3495">
        <v>-0.99957660000000004</v>
      </c>
      <c r="Q3495">
        <v>2.9100009999999999E-2</v>
      </c>
      <c r="R3495">
        <v>-2.473404E-4</v>
      </c>
      <c r="S3495">
        <v>-3.001099</v>
      </c>
      <c r="T3495">
        <v>3.6730769999999999E-3</v>
      </c>
      <c r="U3495">
        <v>5.1727290000000002E-2</v>
      </c>
      <c r="V3495">
        <v>-3.377835E-3</v>
      </c>
      <c r="W3495">
        <v>4.374712E-2</v>
      </c>
      <c r="X3495">
        <v>0.99903690000000001</v>
      </c>
      <c r="Y3495">
        <v>1.4078429999999999E-2</v>
      </c>
      <c r="Z3495" s="1">
        <v>-4.7530000000000001E-6</v>
      </c>
      <c r="AA3495">
        <v>0.99990089999999998</v>
      </c>
      <c r="AB3495">
        <v>35</v>
      </c>
      <c r="AC3495">
        <v>-3.001099</v>
      </c>
      <c r="AD3495">
        <v>3.6730769999999999E-3</v>
      </c>
      <c r="AE3495">
        <v>5.1727290000000002E-2</v>
      </c>
      <c r="AF3495">
        <v>4.2257002332969897E-2</v>
      </c>
      <c r="AG3495">
        <v>3.6730769999999999E-3</v>
      </c>
      <c r="AH3495">
        <v>3.00124278977174</v>
      </c>
      <c r="AI3495">
        <v>89.929885429950303</v>
      </c>
      <c r="AJ3495">
        <v>89.193338198105295</v>
      </c>
      <c r="AK3495">
        <v>3.0015425082609899</v>
      </c>
      <c r="AL3495">
        <v>87.492674400962002</v>
      </c>
      <c r="AM3495">
        <v>90.193721525111698</v>
      </c>
      <c r="AN3495">
        <v>0.99999997391959505</v>
      </c>
    </row>
    <row r="3496" spans="1:40" x14ac:dyDescent="0.25">
      <c r="A3496" t="str">
        <f>"20190312150727814"</f>
        <v>20190312150727814</v>
      </c>
      <c r="B3496" t="str">
        <f>"1552374447803224"</f>
        <v>1552374447803224</v>
      </c>
      <c r="C3496" t="s">
        <v>40</v>
      </c>
      <c r="D3496">
        <v>4.1863519999999896</v>
      </c>
      <c r="E3496">
        <v>0.50772609999999996</v>
      </c>
      <c r="F3496" t="s">
        <v>48</v>
      </c>
      <c r="G3496">
        <v>0</v>
      </c>
      <c r="H3496">
        <v>0</v>
      </c>
      <c r="I3496">
        <v>0</v>
      </c>
      <c r="J3496">
        <v>-353.18099999999998</v>
      </c>
      <c r="K3496">
        <v>1.1101289999999999</v>
      </c>
      <c r="L3496">
        <v>283.47289999999998</v>
      </c>
      <c r="M3496">
        <v>-0.99988719999999998</v>
      </c>
      <c r="N3496">
        <v>0</v>
      </c>
      <c r="O3496">
        <v>3.2802719999999999E-3</v>
      </c>
      <c r="P3496">
        <v>-0.99957620000000003</v>
      </c>
      <c r="Q3496">
        <v>2.910807E-2</v>
      </c>
      <c r="R3496">
        <v>-2.6400160000000002E-4</v>
      </c>
      <c r="S3496">
        <v>-3.001007</v>
      </c>
      <c r="T3496">
        <v>9.8282100000000004E-3</v>
      </c>
      <c r="U3496">
        <v>5.4595949999999997E-2</v>
      </c>
      <c r="V3496">
        <v>-3.5193170000000001E-3</v>
      </c>
      <c r="W3496">
        <v>4.3753309999999997E-2</v>
      </c>
      <c r="X3496">
        <v>0.99903620000000004</v>
      </c>
      <c r="Y3496">
        <v>1.49093E-2</v>
      </c>
      <c r="Z3496" s="1">
        <v>-1.3668730000000001E-5</v>
      </c>
      <c r="AA3496">
        <v>0.99988880000000002</v>
      </c>
      <c r="AB3496">
        <v>35</v>
      </c>
      <c r="AC3496">
        <v>-3.001007</v>
      </c>
      <c r="AD3496">
        <v>9.8282100000000004E-3</v>
      </c>
      <c r="AE3496">
        <v>5.4595949999999997E-2</v>
      </c>
      <c r="AF3496">
        <v>4.4749999604468502E-2</v>
      </c>
      <c r="AG3496">
        <v>9.8282100000000004E-3</v>
      </c>
      <c r="AH3496">
        <v>3.0011377817461402</v>
      </c>
      <c r="AI3496">
        <v>89.812387703865895</v>
      </c>
      <c r="AJ3496">
        <v>89.145725288782998</v>
      </c>
      <c r="AK3496">
        <v>3.0014874880966098</v>
      </c>
      <c r="AL3496">
        <v>87.492319549215196</v>
      </c>
      <c r="AM3496">
        <v>90.201835706035993</v>
      </c>
      <c r="AN3496">
        <v>1.00000003331927</v>
      </c>
    </row>
    <row r="3497" spans="1:40" x14ac:dyDescent="0.25">
      <c r="A3497" t="str">
        <f>"20190312150727833"</f>
        <v>20190312150727833</v>
      </c>
      <c r="B3497" t="str">
        <f>"1552374447823719"</f>
        <v>1552374447823719</v>
      </c>
      <c r="C3497" t="s">
        <v>40</v>
      </c>
      <c r="D3497">
        <v>4.1850649999999998</v>
      </c>
      <c r="E3497">
        <v>0.50828899999999999</v>
      </c>
      <c r="F3497" t="s">
        <v>48</v>
      </c>
      <c r="G3497">
        <v>0</v>
      </c>
      <c r="H3497">
        <v>0</v>
      </c>
      <c r="I3497">
        <v>0</v>
      </c>
      <c r="J3497">
        <v>-353.46969999999999</v>
      </c>
      <c r="K3497">
        <v>1.1101240000000001</v>
      </c>
      <c r="L3497">
        <v>283.47399999999999</v>
      </c>
      <c r="M3497">
        <v>-0.99988670000000002</v>
      </c>
      <c r="N3497">
        <v>0</v>
      </c>
      <c r="O3497">
        <v>3.4808130000000001E-3</v>
      </c>
      <c r="P3497">
        <v>-0.99957039999999997</v>
      </c>
      <c r="Q3497">
        <v>2.9305769999999998E-2</v>
      </c>
      <c r="R3497">
        <v>-2.5071270000000002E-4</v>
      </c>
      <c r="S3497">
        <v>-3.0008539999999999</v>
      </c>
      <c r="T3497">
        <v>1.4988899999999999E-2</v>
      </c>
      <c r="U3497">
        <v>5.7525630000000001E-2</v>
      </c>
      <c r="V3497">
        <v>-3.7060249999999999E-3</v>
      </c>
      <c r="W3497">
        <v>4.3947670000000001E-2</v>
      </c>
      <c r="X3497">
        <v>0.999027</v>
      </c>
      <c r="Y3497">
        <v>1.5685419999999999E-2</v>
      </c>
      <c r="Z3497" s="1">
        <v>-2.1783309999999999E-5</v>
      </c>
      <c r="AA3497">
        <v>0.99987700000000002</v>
      </c>
      <c r="AB3497">
        <v>35</v>
      </c>
      <c r="AC3497">
        <v>-3.0008539999999999</v>
      </c>
      <c r="AD3497">
        <v>1.4988899999999999E-2</v>
      </c>
      <c r="AE3497">
        <v>5.7525630000000001E-2</v>
      </c>
      <c r="AF3497">
        <v>4.7077575420320497E-2</v>
      </c>
      <c r="AG3497">
        <v>1.4988899999999999E-2</v>
      </c>
      <c r="AH3497">
        <v>3.0009612313186902</v>
      </c>
      <c r="AI3497">
        <v>89.713862376189894</v>
      </c>
      <c r="AJ3497">
        <v>89.101246255486004</v>
      </c>
      <c r="AK3497">
        <v>3.00136790099255</v>
      </c>
      <c r="AL3497">
        <v>87.481172835515594</v>
      </c>
      <c r="AM3497">
        <v>90.212545423946295</v>
      </c>
      <c r="AN3497">
        <v>1.00000003952436</v>
      </c>
    </row>
    <row r="3498" spans="1:40" x14ac:dyDescent="0.25">
      <c r="A3498" t="str">
        <f>"20190312150727848"</f>
        <v>20190312150727848</v>
      </c>
      <c r="B3498" t="str">
        <f>"1552374447843746"</f>
        <v>1552374447843746</v>
      </c>
      <c r="C3498" t="s">
        <v>40</v>
      </c>
      <c r="D3498">
        <v>4.185791</v>
      </c>
      <c r="E3498">
        <v>0.50866690000000003</v>
      </c>
      <c r="F3498" t="s">
        <v>48</v>
      </c>
      <c r="G3498">
        <v>0</v>
      </c>
      <c r="H3498">
        <v>0</v>
      </c>
      <c r="I3498">
        <v>0</v>
      </c>
      <c r="J3498">
        <v>-353.69540000000001</v>
      </c>
      <c r="K3498">
        <v>1.1101240000000001</v>
      </c>
      <c r="L3498">
        <v>283.47500000000002</v>
      </c>
      <c r="M3498">
        <v>-0.99988619999999995</v>
      </c>
      <c r="N3498">
        <v>0</v>
      </c>
      <c r="O3498">
        <v>3.6382319999999999E-3</v>
      </c>
      <c r="P3498">
        <v>-0.99958409999999998</v>
      </c>
      <c r="Q3498">
        <v>2.8837580000000002E-2</v>
      </c>
      <c r="R3498">
        <v>-4.0768320000000001E-4</v>
      </c>
      <c r="S3498">
        <v>-3.0006710000000001</v>
      </c>
      <c r="T3498">
        <v>2.0440699999999999E-2</v>
      </c>
      <c r="U3498">
        <v>6.2591549999999996E-2</v>
      </c>
      <c r="V3498">
        <v>-4.0200380000000001E-3</v>
      </c>
      <c r="W3498">
        <v>4.3477479999999999E-2</v>
      </c>
      <c r="X3498">
        <v>0.99904630000000005</v>
      </c>
      <c r="Y3498">
        <v>1.7216370000000002E-2</v>
      </c>
      <c r="Z3498" s="1">
        <v>-3.3849059999999998E-5</v>
      </c>
      <c r="AA3498">
        <v>0.99985179999999996</v>
      </c>
      <c r="AB3498">
        <v>35</v>
      </c>
      <c r="AC3498">
        <v>-3.0006710000000001</v>
      </c>
      <c r="AD3498">
        <v>2.0440699999999999E-2</v>
      </c>
      <c r="AE3498">
        <v>6.2591549999999996E-2</v>
      </c>
      <c r="AF3498">
        <v>5.1670431499999399E-2</v>
      </c>
      <c r="AG3498">
        <v>2.0440699999999999E-2</v>
      </c>
      <c r="AH3498">
        <v>3.0007396975720599</v>
      </c>
      <c r="AI3498">
        <v>89.609771501608606</v>
      </c>
      <c r="AJ3498">
        <v>89.013508200245198</v>
      </c>
      <c r="AK3498">
        <v>3.0012541359059801</v>
      </c>
      <c r="AL3498">
        <v>87.508138365919393</v>
      </c>
      <c r="AM3498">
        <v>90.230549843137993</v>
      </c>
      <c r="AN3498">
        <v>0.99999998075817997</v>
      </c>
    </row>
    <row r="3499" spans="1:40" x14ac:dyDescent="0.25">
      <c r="A3499" t="str">
        <f>"20190312150727860"</f>
        <v>20190312150727860</v>
      </c>
      <c r="B3499" t="str">
        <f>"1552374447853507"</f>
        <v>1552374447853507</v>
      </c>
      <c r="C3499" t="s">
        <v>40</v>
      </c>
      <c r="D3499">
        <v>4.1893449999999897</v>
      </c>
      <c r="E3499">
        <v>0.50881799999999999</v>
      </c>
      <c r="F3499" t="s">
        <v>48</v>
      </c>
      <c r="G3499">
        <v>0</v>
      </c>
      <c r="H3499">
        <v>0</v>
      </c>
      <c r="I3499">
        <v>0</v>
      </c>
      <c r="J3499">
        <v>-353.88170000000002</v>
      </c>
      <c r="K3499">
        <v>1.1101219999999901</v>
      </c>
      <c r="L3499">
        <v>283.47579999999999</v>
      </c>
      <c r="M3499">
        <v>-0.99988580000000005</v>
      </c>
      <c r="N3499">
        <v>0</v>
      </c>
      <c r="O3499">
        <v>3.7688069999999999E-3</v>
      </c>
      <c r="P3499">
        <v>-0.99958170000000002</v>
      </c>
      <c r="Q3499">
        <v>2.8921530000000001E-2</v>
      </c>
      <c r="R3499">
        <v>-6.9805949999999996E-4</v>
      </c>
      <c r="S3499">
        <v>-3.00061</v>
      </c>
      <c r="T3499">
        <v>2.2873040000000001E-2</v>
      </c>
      <c r="U3499">
        <v>6.5429689999999999E-2</v>
      </c>
      <c r="V3499">
        <v>-4.4411429999999998E-3</v>
      </c>
      <c r="W3499">
        <v>4.3559420000000001E-2</v>
      </c>
      <c r="X3499">
        <v>0.99904099999999996</v>
      </c>
      <c r="Y3499">
        <v>1.80314E-2</v>
      </c>
      <c r="Z3499" s="1">
        <v>-3.9987919999999998E-5</v>
      </c>
      <c r="AA3499">
        <v>0.99983739999999999</v>
      </c>
      <c r="AB3499">
        <v>35</v>
      </c>
      <c r="AC3499">
        <v>-3.00061</v>
      </c>
      <c r="AD3499">
        <v>2.2873040000000001E-2</v>
      </c>
      <c r="AE3499">
        <v>6.5429689999999999E-2</v>
      </c>
      <c r="AF3499">
        <v>5.4116150950949203E-2</v>
      </c>
      <c r="AG3499">
        <v>2.2873040000000001E-2</v>
      </c>
      <c r="AH3499">
        <v>3.0006610268193001</v>
      </c>
      <c r="AI3499">
        <v>89.563332811878993</v>
      </c>
      <c r="AJ3499">
        <v>88.966797339258505</v>
      </c>
      <c r="AK3499">
        <v>3.0012361339329598</v>
      </c>
      <c r="AL3499">
        <v>87.503439228813605</v>
      </c>
      <c r="AM3499">
        <v>90.254701332538104</v>
      </c>
      <c r="AN3499">
        <v>1.00000003325144</v>
      </c>
    </row>
    <row r="3500" spans="1:40" x14ac:dyDescent="0.25">
      <c r="A3500" t="str">
        <f>"20190312150727872"</f>
        <v>20190312150727872</v>
      </c>
      <c r="B3500" t="str">
        <f>"1552374447863267"</f>
        <v>1552374447863267</v>
      </c>
      <c r="C3500" t="s">
        <v>40</v>
      </c>
      <c r="D3500">
        <v>4.1742189999999999</v>
      </c>
      <c r="E3500">
        <v>0.508938</v>
      </c>
      <c r="F3500" t="s">
        <v>48</v>
      </c>
      <c r="G3500">
        <v>0</v>
      </c>
      <c r="H3500">
        <v>0</v>
      </c>
      <c r="I3500">
        <v>0</v>
      </c>
      <c r="J3500">
        <v>-354.0659</v>
      </c>
      <c r="K3500">
        <v>1.1101219999999901</v>
      </c>
      <c r="L3500">
        <v>283.47660000000002</v>
      </c>
      <c r="M3500">
        <v>-0.99988529999999998</v>
      </c>
      <c r="N3500">
        <v>0</v>
      </c>
      <c r="O3500">
        <v>3.8986049999999999E-3</v>
      </c>
      <c r="P3500">
        <v>-0.99958199999999997</v>
      </c>
      <c r="Q3500">
        <v>2.8911240000000001E-2</v>
      </c>
      <c r="R3500">
        <v>-4.2532460000000002E-4</v>
      </c>
      <c r="S3500">
        <v>-3.00061</v>
      </c>
      <c r="T3500">
        <v>2.422237E-2</v>
      </c>
      <c r="U3500">
        <v>6.5734860000000006E-2</v>
      </c>
      <c r="V3500">
        <v>-4.2982319999999999E-3</v>
      </c>
      <c r="W3500">
        <v>4.354703E-2</v>
      </c>
      <c r="X3500">
        <v>0.99904219999999999</v>
      </c>
      <c r="Y3500">
        <v>1.80032E-2</v>
      </c>
      <c r="Z3500" s="1">
        <v>-4.1185230000000002E-5</v>
      </c>
      <c r="AA3500">
        <v>0.99983789999999995</v>
      </c>
      <c r="AB3500">
        <v>35</v>
      </c>
      <c r="AC3500">
        <v>-3.00061</v>
      </c>
      <c r="AD3500">
        <v>2.422237E-2</v>
      </c>
      <c r="AE3500">
        <v>6.5734860000000006E-2</v>
      </c>
      <c r="AF3500">
        <v>5.4031394915069801E-2</v>
      </c>
      <c r="AG3500">
        <v>2.422237E-2</v>
      </c>
      <c r="AH3500">
        <v>3.0006480500889001</v>
      </c>
      <c r="AI3500">
        <v>89.537571725017898</v>
      </c>
      <c r="AJ3500">
        <v>88.968410718059204</v>
      </c>
      <c r="AK3500">
        <v>3.0012322194970502</v>
      </c>
      <c r="AL3500">
        <v>87.504149884534499</v>
      </c>
      <c r="AM3500">
        <v>90.246505136095294</v>
      </c>
      <c r="AN3500">
        <v>1.0000000680004899</v>
      </c>
    </row>
    <row r="3501" spans="1:40" x14ac:dyDescent="0.25">
      <c r="A3501" t="str">
        <f>"20190312150727883"</f>
        <v>20190312150727883</v>
      </c>
      <c r="B3501" t="str">
        <f>"1552374447874003"</f>
        <v>1552374447874003</v>
      </c>
      <c r="C3501" t="s">
        <v>40</v>
      </c>
      <c r="D3501">
        <v>4.1916539999999998</v>
      </c>
      <c r="E3501">
        <v>0.50914700000000002</v>
      </c>
      <c r="F3501" t="s">
        <v>48</v>
      </c>
      <c r="G3501">
        <v>0</v>
      </c>
      <c r="H3501">
        <v>0</v>
      </c>
      <c r="I3501">
        <v>0</v>
      </c>
      <c r="J3501">
        <v>-354.2518</v>
      </c>
      <c r="K3501">
        <v>1.110123</v>
      </c>
      <c r="L3501">
        <v>283.47739999999999</v>
      </c>
      <c r="M3501">
        <v>-0.99988469999999996</v>
      </c>
      <c r="N3501">
        <v>0</v>
      </c>
      <c r="O3501">
        <v>4.0295340000000004E-3</v>
      </c>
      <c r="P3501">
        <v>-0.9995849</v>
      </c>
      <c r="Q3501">
        <v>2.8807949999999999E-2</v>
      </c>
      <c r="R3501">
        <v>-5.0625750000000004E-4</v>
      </c>
      <c r="S3501">
        <v>-3.0005489999999999</v>
      </c>
      <c r="T3501">
        <v>2.5466079999999999E-2</v>
      </c>
      <c r="U3501">
        <v>6.7565920000000002E-2</v>
      </c>
      <c r="V3501">
        <v>-4.5097660000000001E-3</v>
      </c>
      <c r="W3501">
        <v>4.3441750000000001E-2</v>
      </c>
      <c r="X3501">
        <v>0.99904579999999998</v>
      </c>
      <c r="Y3501">
        <v>1.8482499999999999E-2</v>
      </c>
      <c r="Z3501" s="1">
        <v>-4.4222940000000003E-5</v>
      </c>
      <c r="AA3501">
        <v>0.99982919999999997</v>
      </c>
      <c r="AB3501">
        <v>35</v>
      </c>
      <c r="AC3501">
        <v>-3.0005489999999999</v>
      </c>
      <c r="AD3501">
        <v>2.5466079999999999E-2</v>
      </c>
      <c r="AE3501">
        <v>6.7565920000000002E-2</v>
      </c>
      <c r="AF3501">
        <v>5.5469267576170697E-2</v>
      </c>
      <c r="AG3501">
        <v>2.5466079999999999E-2</v>
      </c>
      <c r="AH3501">
        <v>3.0005808959095499</v>
      </c>
      <c r="AI3501">
        <v>89.513822592881695</v>
      </c>
      <c r="AJ3501">
        <v>88.940940745679598</v>
      </c>
      <c r="AK3501">
        <v>3.0012016049864698</v>
      </c>
      <c r="AL3501">
        <v>87.510187570649904</v>
      </c>
      <c r="AM3501">
        <v>90.258635593433695</v>
      </c>
      <c r="AN3501">
        <v>1.0000000170650301</v>
      </c>
    </row>
    <row r="3502" spans="1:40" x14ac:dyDescent="0.25">
      <c r="A3502" t="str">
        <f>"20190312150727894"</f>
        <v>20190312150727894</v>
      </c>
      <c r="B3502" t="str">
        <f>"1552374447883763"</f>
        <v>1552374447883763</v>
      </c>
      <c r="C3502" t="s">
        <v>40</v>
      </c>
      <c r="D3502">
        <v>4.2289529999999997</v>
      </c>
      <c r="E3502">
        <v>0.50912579999999996</v>
      </c>
      <c r="F3502" t="s">
        <v>48</v>
      </c>
      <c r="G3502">
        <v>0</v>
      </c>
      <c r="H3502">
        <v>0</v>
      </c>
      <c r="I3502">
        <v>0</v>
      </c>
      <c r="J3502">
        <v>-354.41570000000002</v>
      </c>
      <c r="K3502">
        <v>1.1101190000000001</v>
      </c>
      <c r="L3502">
        <v>283.47820000000002</v>
      </c>
      <c r="M3502">
        <v>-0.99988429999999995</v>
      </c>
      <c r="N3502">
        <v>0</v>
      </c>
      <c r="O3502">
        <v>4.1453130000000003E-3</v>
      </c>
      <c r="P3502">
        <v>-0.99957600000000002</v>
      </c>
      <c r="Q3502">
        <v>2.9118290000000002E-2</v>
      </c>
      <c r="R3502">
        <v>-4.9797790000000001E-4</v>
      </c>
      <c r="S3502">
        <v>-3.0005489999999999</v>
      </c>
      <c r="T3502">
        <v>2.5365829999999999E-2</v>
      </c>
      <c r="U3502">
        <v>6.8939210000000001E-2</v>
      </c>
      <c r="V3502">
        <v>-4.6168900000000002E-3</v>
      </c>
      <c r="W3502">
        <v>4.3750450000000003E-2</v>
      </c>
      <c r="X3502">
        <v>0.99903180000000003</v>
      </c>
      <c r="Y3502">
        <v>1.882408E-2</v>
      </c>
      <c r="Z3502" s="1">
        <v>-4.4513569999999998E-5</v>
      </c>
      <c r="AA3502">
        <v>0.99982280000000001</v>
      </c>
      <c r="AB3502">
        <v>35</v>
      </c>
      <c r="AC3502">
        <v>-3.0005489999999999</v>
      </c>
      <c r="AD3502">
        <v>2.5365829999999999E-2</v>
      </c>
      <c r="AE3502">
        <v>6.8939210000000001E-2</v>
      </c>
      <c r="AF3502">
        <v>5.6495035097340399E-2</v>
      </c>
      <c r="AG3502">
        <v>2.5365829999999999E-2</v>
      </c>
      <c r="AH3502">
        <v>3.0005946934374301</v>
      </c>
      <c r="AI3502">
        <v>89.5157417052054</v>
      </c>
      <c r="AJ3502">
        <v>88.9213655962389</v>
      </c>
      <c r="AK3502">
        <v>3.0012336844383101</v>
      </c>
      <c r="AL3502">
        <v>87.492483432095298</v>
      </c>
      <c r="AM3502">
        <v>90.264782791020707</v>
      </c>
      <c r="AN3502">
        <v>0.99999997747985703</v>
      </c>
    </row>
    <row r="3503" spans="1:40" x14ac:dyDescent="0.25">
      <c r="A3503" t="str">
        <f>"20190312150727907"</f>
        <v>20190312150727907</v>
      </c>
      <c r="B3503" t="str">
        <f>"1552374447903283"</f>
        <v>1552374447903283</v>
      </c>
      <c r="C3503" t="s">
        <v>40</v>
      </c>
      <c r="D3503">
        <v>4.188072</v>
      </c>
      <c r="E3503">
        <v>0.50913940000000002</v>
      </c>
      <c r="F3503" t="s">
        <v>48</v>
      </c>
      <c r="G3503">
        <v>0</v>
      </c>
      <c r="H3503">
        <v>0</v>
      </c>
      <c r="I3503">
        <v>0</v>
      </c>
      <c r="J3503">
        <v>-354.6</v>
      </c>
      <c r="K3503">
        <v>1.1101190000000001</v>
      </c>
      <c r="L3503">
        <v>283.47910000000002</v>
      </c>
      <c r="M3503">
        <v>-0.99988390000000005</v>
      </c>
      <c r="N3503">
        <v>0</v>
      </c>
      <c r="O3503">
        <v>4.2755179999999999E-3</v>
      </c>
      <c r="P3503">
        <v>-0.99957410000000002</v>
      </c>
      <c r="Q3503">
        <v>2.918227E-2</v>
      </c>
      <c r="R3503">
        <v>-5.8028180000000004E-4</v>
      </c>
      <c r="S3503">
        <v>-3.00061</v>
      </c>
      <c r="T3503">
        <v>2.457869E-2</v>
      </c>
      <c r="U3503">
        <v>6.8725590000000003E-2</v>
      </c>
      <c r="V3503">
        <v>-4.8288630000000001E-3</v>
      </c>
      <c r="W3503">
        <v>4.3811900000000001E-2</v>
      </c>
      <c r="X3503">
        <v>0.99902809999999997</v>
      </c>
      <c r="Y3503">
        <v>1.8622320000000001E-2</v>
      </c>
      <c r="Z3503" s="1">
        <v>-4.1238780000000001E-5</v>
      </c>
      <c r="AA3503">
        <v>0.99982660000000001</v>
      </c>
      <c r="AB3503">
        <v>35</v>
      </c>
      <c r="AC3503">
        <v>-3.00061</v>
      </c>
      <c r="AD3503">
        <v>2.457869E-2</v>
      </c>
      <c r="AE3503">
        <v>6.8725590000000003E-2</v>
      </c>
      <c r="AF3503">
        <v>5.5890679212721298E-2</v>
      </c>
      <c r="AG3503">
        <v>2.457869E-2</v>
      </c>
      <c r="AH3503">
        <v>3.0006752087355402</v>
      </c>
      <c r="AI3503">
        <v>89.530779105046506</v>
      </c>
      <c r="AJ3503">
        <v>88.932930236165205</v>
      </c>
      <c r="AK3503">
        <v>3.0012963179841199</v>
      </c>
      <c r="AL3503">
        <v>87.488959214760797</v>
      </c>
      <c r="AM3503">
        <v>90.276940473554006</v>
      </c>
      <c r="AN3503">
        <v>0.99999997254454598</v>
      </c>
    </row>
    <row r="3504" spans="1:40" x14ac:dyDescent="0.25">
      <c r="A3504" t="str">
        <f>"20190312150727920"</f>
        <v>20190312150727920</v>
      </c>
      <c r="B3504" t="str">
        <f>"1552374447914018"</f>
        <v>1552374447914018</v>
      </c>
      <c r="C3504" t="s">
        <v>40</v>
      </c>
      <c r="D3504">
        <v>4.2455990000000003</v>
      </c>
      <c r="E3504">
        <v>0.50919320000000001</v>
      </c>
      <c r="F3504" t="s">
        <v>48</v>
      </c>
      <c r="G3504">
        <v>0</v>
      </c>
      <c r="H3504">
        <v>0</v>
      </c>
      <c r="I3504">
        <v>0</v>
      </c>
      <c r="J3504">
        <v>-354.81169999999997</v>
      </c>
      <c r="K3504">
        <v>1.1101179999999999</v>
      </c>
      <c r="L3504">
        <v>283.48020000000002</v>
      </c>
      <c r="M3504">
        <v>-0.99988319999999997</v>
      </c>
      <c r="N3504">
        <v>0</v>
      </c>
      <c r="O3504">
        <v>4.4258079999999998E-3</v>
      </c>
      <c r="P3504">
        <v>-0.99957079999999998</v>
      </c>
      <c r="Q3504">
        <v>2.9288390000000001E-2</v>
      </c>
      <c r="R3504">
        <v>-4.6637609999999999E-4</v>
      </c>
      <c r="S3504">
        <v>-3.0005190000000002</v>
      </c>
      <c r="T3504">
        <v>2.7300120000000001E-2</v>
      </c>
      <c r="U3504">
        <v>6.8786620000000007E-2</v>
      </c>
      <c r="V3504">
        <v>-4.8650459999999996E-3</v>
      </c>
      <c r="W3504">
        <v>4.3915750000000003E-2</v>
      </c>
      <c r="X3504">
        <v>0.99902340000000001</v>
      </c>
      <c r="Y3504">
        <v>1.8492959999999999E-2</v>
      </c>
      <c r="Z3504" s="1">
        <v>-4.3850380000000001E-5</v>
      </c>
      <c r="AA3504">
        <v>0.99982899999999997</v>
      </c>
      <c r="AB3504">
        <v>35</v>
      </c>
      <c r="AC3504">
        <v>-3.0005190000000002</v>
      </c>
      <c r="AD3504">
        <v>2.7300120000000001E-2</v>
      </c>
      <c r="AE3504">
        <v>6.8786620000000007E-2</v>
      </c>
      <c r="AF3504">
        <v>5.5500212011041203E-2</v>
      </c>
      <c r="AG3504">
        <v>2.7300120000000001E-2</v>
      </c>
      <c r="AH3504">
        <v>3.00054581481248</v>
      </c>
      <c r="AI3504">
        <v>89.478804487888794</v>
      </c>
      <c r="AJ3504">
        <v>88.940337680742502</v>
      </c>
      <c r="AK3504">
        <v>3.0011832261416398</v>
      </c>
      <c r="AL3504">
        <v>87.483003404145506</v>
      </c>
      <c r="AM3504">
        <v>90.279016887371398</v>
      </c>
      <c r="AN3504">
        <v>1.0000000077591</v>
      </c>
    </row>
    <row r="3505" spans="1:40" x14ac:dyDescent="0.25">
      <c r="A3505" t="str">
        <f>"20190312150727938"</f>
        <v>20190312150727938</v>
      </c>
      <c r="B3505" t="str">
        <f>"1552374447933538"</f>
        <v>1552374447933538</v>
      </c>
      <c r="C3505" t="s">
        <v>40</v>
      </c>
      <c r="D3505">
        <v>4.2111369999999999</v>
      </c>
      <c r="E3505">
        <v>0.50931369999999998</v>
      </c>
      <c r="F3505" t="s">
        <v>48</v>
      </c>
      <c r="G3505">
        <v>0</v>
      </c>
      <c r="H3505">
        <v>0</v>
      </c>
      <c r="I3505">
        <v>0</v>
      </c>
      <c r="J3505">
        <v>-355.08440000000002</v>
      </c>
      <c r="K3505">
        <v>1.1101179999999999</v>
      </c>
      <c r="L3505">
        <v>283.48160000000001</v>
      </c>
      <c r="M3505">
        <v>-0.9998823</v>
      </c>
      <c r="N3505">
        <v>0</v>
      </c>
      <c r="O3505">
        <v>4.6194349999999999E-3</v>
      </c>
      <c r="P3505">
        <v>-0.99956449999999997</v>
      </c>
      <c r="Q3505">
        <v>2.950701E-2</v>
      </c>
      <c r="R3505">
        <v>-4.5791780000000002E-4</v>
      </c>
      <c r="S3505">
        <v>-3.00061</v>
      </c>
      <c r="T3505">
        <v>2.3860449999999998E-2</v>
      </c>
      <c r="U3505">
        <v>6.9152829999999998E-2</v>
      </c>
      <c r="V3505">
        <v>-5.0498289999999996E-3</v>
      </c>
      <c r="W3505">
        <v>4.4131549999999999E-2</v>
      </c>
      <c r="X3505">
        <v>0.99901289999999998</v>
      </c>
      <c r="Y3505">
        <v>1.842075E-2</v>
      </c>
      <c r="Z3505" s="1">
        <v>-3.649778E-5</v>
      </c>
      <c r="AA3505">
        <v>0.99983029999999995</v>
      </c>
      <c r="AB3505">
        <v>35</v>
      </c>
      <c r="AC3505">
        <v>-3.00061</v>
      </c>
      <c r="AD3505">
        <v>2.3860449999999998E-2</v>
      </c>
      <c r="AE3505">
        <v>6.9152829999999998E-2</v>
      </c>
      <c r="AF3505">
        <v>5.5285991448568397E-2</v>
      </c>
      <c r="AG3505">
        <v>2.3860449999999998E-2</v>
      </c>
      <c r="AH3505">
        <v>3.0007078183205298</v>
      </c>
      <c r="AI3505">
        <v>89.544493369075795</v>
      </c>
      <c r="AJ3505">
        <v>88.944483830100097</v>
      </c>
      <c r="AK3505">
        <v>3.00131192528444</v>
      </c>
      <c r="AL3505">
        <v>87.4706267903004</v>
      </c>
      <c r="AM3505">
        <v>90.289617305968093</v>
      </c>
      <c r="AN3505">
        <v>0.99999993442236801</v>
      </c>
    </row>
    <row r="3506" spans="1:40" x14ac:dyDescent="0.25">
      <c r="A3506" t="str">
        <f>"20190312150727952"</f>
        <v>20190312150727952</v>
      </c>
      <c r="B3506" t="str">
        <f>"1552374447943806"</f>
        <v>1552374447943806</v>
      </c>
      <c r="C3506" t="s">
        <v>40</v>
      </c>
      <c r="D3506">
        <v>4.1861550000000003</v>
      </c>
      <c r="E3506">
        <v>0.50948179999999998</v>
      </c>
      <c r="F3506" t="s">
        <v>48</v>
      </c>
      <c r="G3506">
        <v>0</v>
      </c>
      <c r="H3506">
        <v>0</v>
      </c>
      <c r="I3506">
        <v>0</v>
      </c>
      <c r="J3506">
        <v>-355.30509999999998</v>
      </c>
      <c r="K3506">
        <v>1.1101190000000001</v>
      </c>
      <c r="L3506">
        <v>283.48270000000002</v>
      </c>
      <c r="M3506">
        <v>-0.99988160000000004</v>
      </c>
      <c r="N3506">
        <v>0</v>
      </c>
      <c r="O3506">
        <v>4.7765129999999996E-3</v>
      </c>
      <c r="P3506">
        <v>-0.99957169999999895</v>
      </c>
      <c r="Q3506">
        <v>2.9267089999999999E-2</v>
      </c>
      <c r="R3506" s="1">
        <v>-6.8089839999999996E-5</v>
      </c>
      <c r="S3506">
        <v>-3.00061</v>
      </c>
      <c r="T3506">
        <v>2.4228099999999999E-2</v>
      </c>
      <c r="U3506">
        <v>7.0251460000000002E-2</v>
      </c>
      <c r="V3506">
        <v>-4.8174139999999999E-3</v>
      </c>
      <c r="W3506">
        <v>4.3889079999999997E-2</v>
      </c>
      <c r="X3506">
        <v>0.99902480000000005</v>
      </c>
      <c r="Y3506">
        <v>1.8629550000000002E-2</v>
      </c>
      <c r="Z3506" s="1">
        <v>-3.6634590000000003E-5</v>
      </c>
      <c r="AA3506">
        <v>0.9998264</v>
      </c>
      <c r="AB3506">
        <v>34</v>
      </c>
      <c r="AC3506">
        <v>-3.00061</v>
      </c>
      <c r="AD3506">
        <v>2.4228099999999999E-2</v>
      </c>
      <c r="AE3506">
        <v>7.0251460000000002E-2</v>
      </c>
      <c r="AF3506">
        <v>5.5913028847181398E-2</v>
      </c>
      <c r="AG3506">
        <v>2.4228099999999999E-2</v>
      </c>
      <c r="AH3506">
        <v>3.0007158289340099</v>
      </c>
      <c r="AI3506">
        <v>89.537478093605699</v>
      </c>
      <c r="AJ3506">
        <v>88.932518080877301</v>
      </c>
      <c r="AK3506">
        <v>3.0013344954602399</v>
      </c>
      <c r="AL3506">
        <v>87.484532950180096</v>
      </c>
      <c r="AM3506">
        <v>90.276284783924396</v>
      </c>
      <c r="AN3506">
        <v>1.00000000491796</v>
      </c>
    </row>
    <row r="3507" spans="1:40" x14ac:dyDescent="0.25">
      <c r="A3507" t="str">
        <f>"20190312150727966"</f>
        <v>20190312150727966</v>
      </c>
      <c r="B3507" t="str">
        <f>"1552374447953566"</f>
        <v>1552374447953566</v>
      </c>
      <c r="C3507" t="s">
        <v>40</v>
      </c>
      <c r="D3507">
        <v>4.1756789999999997</v>
      </c>
      <c r="E3507">
        <v>0.50921309999999997</v>
      </c>
      <c r="F3507" t="s">
        <v>48</v>
      </c>
      <c r="G3507">
        <v>0</v>
      </c>
      <c r="H3507">
        <v>0</v>
      </c>
      <c r="I3507">
        <v>0</v>
      </c>
      <c r="J3507">
        <v>-355.50959999999998</v>
      </c>
      <c r="K3507">
        <v>1.1101179999999999</v>
      </c>
      <c r="L3507">
        <v>283.48390000000001</v>
      </c>
      <c r="M3507">
        <v>-0.99988100000000002</v>
      </c>
      <c r="N3507">
        <v>0</v>
      </c>
      <c r="O3507">
        <v>4.9226770000000003E-3</v>
      </c>
      <c r="P3507">
        <v>-0.99956880000000004</v>
      </c>
      <c r="Q3507">
        <v>2.9362570000000001E-2</v>
      </c>
      <c r="R3507">
        <v>1.8578999999999999E-4</v>
      </c>
      <c r="S3507">
        <v>-3.0005190000000002</v>
      </c>
      <c r="T3507">
        <v>2.4842260000000001E-2</v>
      </c>
      <c r="U3507">
        <v>7.2723389999999999E-2</v>
      </c>
      <c r="V3507">
        <v>-4.7097349999999996E-3</v>
      </c>
      <c r="W3507">
        <v>4.3982449999999999E-2</v>
      </c>
      <c r="X3507">
        <v>0.99902120000000005</v>
      </c>
      <c r="Y3507">
        <v>1.930728E-2</v>
      </c>
      <c r="Z3507" s="1">
        <v>-3.9159129999999998E-5</v>
      </c>
      <c r="AA3507">
        <v>0.99981359999999997</v>
      </c>
      <c r="AB3507">
        <v>34</v>
      </c>
      <c r="AC3507">
        <v>-3.0005190000000002</v>
      </c>
      <c r="AD3507">
        <v>2.4842260000000001E-2</v>
      </c>
      <c r="AE3507">
        <v>7.2723389999999999E-2</v>
      </c>
      <c r="AF3507">
        <v>5.7946374183536598E-2</v>
      </c>
      <c r="AG3507">
        <v>2.4842260000000001E-2</v>
      </c>
      <c r="AH3507">
        <v>3.0006351043724502</v>
      </c>
      <c r="AI3507">
        <v>89.525747459963</v>
      </c>
      <c r="AJ3507">
        <v>88.893677525829901</v>
      </c>
      <c r="AK3507">
        <v>3.0012973777610199</v>
      </c>
      <c r="AL3507">
        <v>87.479178054372994</v>
      </c>
      <c r="AM3507">
        <v>90.270110323004204</v>
      </c>
      <c r="AN3507">
        <v>0.999999997780606</v>
      </c>
    </row>
    <row r="3508" spans="1:40" x14ac:dyDescent="0.25">
      <c r="A3508" t="str">
        <f>"20190312150727982"</f>
        <v>20190312150727982</v>
      </c>
      <c r="B3508" t="str">
        <f>"1552374447974061"</f>
        <v>1552374447974061</v>
      </c>
      <c r="C3508" t="s">
        <v>40</v>
      </c>
      <c r="D3508">
        <v>4.1745919999999996</v>
      </c>
      <c r="E3508">
        <v>0.4872899</v>
      </c>
      <c r="F3508" t="s">
        <v>48</v>
      </c>
      <c r="G3508">
        <v>0</v>
      </c>
      <c r="H3508">
        <v>0</v>
      </c>
      <c r="I3508">
        <v>0</v>
      </c>
      <c r="J3508">
        <v>-355.77499999999998</v>
      </c>
      <c r="K3508">
        <v>1.1101190000000001</v>
      </c>
      <c r="L3508">
        <v>283.48540000000003</v>
      </c>
      <c r="M3508">
        <v>-0.99987999999999999</v>
      </c>
      <c r="N3508">
        <v>0</v>
      </c>
      <c r="O3508">
        <v>5.1125370000000003E-3</v>
      </c>
      <c r="P3508">
        <v>-0.99957759999999996</v>
      </c>
      <c r="Q3508">
        <v>2.906396E-2</v>
      </c>
      <c r="R3508">
        <v>2.2066619999999999E-4</v>
      </c>
      <c r="S3508">
        <v>-3.0005799999999998</v>
      </c>
      <c r="T3508">
        <v>2.526784E-2</v>
      </c>
      <c r="U3508">
        <v>7.1533200000000005E-2</v>
      </c>
      <c r="V3508">
        <v>-4.8646189999999997E-3</v>
      </c>
      <c r="W3508">
        <v>4.3681379999999999E-2</v>
      </c>
      <c r="X3508">
        <v>0.99903370000000002</v>
      </c>
      <c r="Y3508">
        <v>1.87206E-2</v>
      </c>
      <c r="Z3508" s="1">
        <v>-3.576083E-5</v>
      </c>
      <c r="AA3508">
        <v>0.99982479999999996</v>
      </c>
      <c r="AB3508">
        <v>34</v>
      </c>
      <c r="AC3508">
        <v>-3.0005799999999998</v>
      </c>
      <c r="AD3508">
        <v>2.526784E-2</v>
      </c>
      <c r="AE3508">
        <v>7.1533200000000005E-2</v>
      </c>
      <c r="AF3508">
        <v>5.6186066059307302E-2</v>
      </c>
      <c r="AG3508">
        <v>2.526784E-2</v>
      </c>
      <c r="AH3508">
        <v>3.0006938646490799</v>
      </c>
      <c r="AI3508">
        <v>89.517627344814301</v>
      </c>
      <c r="AJ3508">
        <v>88.927298666499297</v>
      </c>
      <c r="AK3508">
        <v>3.00132620804539</v>
      </c>
      <c r="AL3508">
        <v>87.496444771669601</v>
      </c>
      <c r="AM3508">
        <v>90.278989522382403</v>
      </c>
      <c r="AN3508">
        <v>1.0000000306062</v>
      </c>
    </row>
    <row r="3509" spans="1:40" x14ac:dyDescent="0.25">
      <c r="A3509" t="str">
        <f>"20190312150728005"</f>
        <v>20190312150728005</v>
      </c>
      <c r="B3509" t="str">
        <f>"1552374447993582"</f>
        <v>1552374447993582</v>
      </c>
      <c r="C3509" t="s">
        <v>40</v>
      </c>
      <c r="D3509">
        <v>4.1716699999999998</v>
      </c>
      <c r="E3509">
        <v>0.4848075</v>
      </c>
      <c r="F3509" t="s">
        <v>69</v>
      </c>
      <c r="G3509">
        <v>-511.959</v>
      </c>
      <c r="H3509">
        <v>1.1180969999999999</v>
      </c>
      <c r="I3509">
        <v>278.04289999999997</v>
      </c>
      <c r="J3509">
        <v>-356.10230000000001</v>
      </c>
      <c r="K3509">
        <v>1.1101190000000001</v>
      </c>
      <c r="L3509">
        <v>283.4873</v>
      </c>
      <c r="M3509">
        <v>-0.99987890000000001</v>
      </c>
      <c r="N3509">
        <v>0</v>
      </c>
      <c r="O3509">
        <v>5.3474550000000001E-3</v>
      </c>
      <c r="P3509">
        <v>-0.99958530000000001</v>
      </c>
      <c r="Q3509">
        <v>2.8792100000000001E-2</v>
      </c>
      <c r="R3509">
        <v>6.2881459999999999E-4</v>
      </c>
      <c r="S3509">
        <v>-3.0012509999999999</v>
      </c>
      <c r="T3509">
        <v>1.5485290000000001E-4</v>
      </c>
      <c r="U3509">
        <v>-0.1045837</v>
      </c>
      <c r="V3509">
        <v>-4.6917520000000004E-3</v>
      </c>
      <c r="W3509">
        <v>4.3405550000000001E-2</v>
      </c>
      <c r="X3509">
        <v>0.99904649999999995</v>
      </c>
      <c r="Y3509">
        <v>-4.016985E-2</v>
      </c>
      <c r="Z3509" s="1">
        <v>1.311849E-6</v>
      </c>
      <c r="AA3509">
        <v>0.99919290000000005</v>
      </c>
      <c r="AB3509">
        <v>34</v>
      </c>
      <c r="AC3509">
        <v>-155.85669999999999</v>
      </c>
      <c r="AD3509">
        <v>7.9779999999998099E-3</v>
      </c>
      <c r="AE3509">
        <v>-5.4444000000000301</v>
      </c>
      <c r="AF3509">
        <v>-6.2778478351821301</v>
      </c>
      <c r="AG3509">
        <v>7.9779999999998099E-3</v>
      </c>
      <c r="AH3509">
        <v>155.82535392390801</v>
      </c>
      <c r="AI3509">
        <v>89.997068928747197</v>
      </c>
      <c r="AJ3509">
        <v>92.307068516534798</v>
      </c>
      <c r="AK3509">
        <v>155.95176293521499</v>
      </c>
      <c r="AL3509">
        <v>87.512263548137696</v>
      </c>
      <c r="AM3509">
        <v>90.269072172245203</v>
      </c>
      <c r="AN3509">
        <v>0.99999998173493998</v>
      </c>
    </row>
    <row r="3510" spans="1:40" x14ac:dyDescent="0.25">
      <c r="A3510" t="str">
        <f>"20190312150728017"</f>
        <v>20190312150728017</v>
      </c>
      <c r="B3510" t="str">
        <f>"1552374448013102"</f>
        <v>1552374448013102</v>
      </c>
      <c r="C3510" t="s">
        <v>40</v>
      </c>
      <c r="D3510">
        <v>4.17516</v>
      </c>
      <c r="E3510">
        <v>0.48389670000000001</v>
      </c>
      <c r="F3510" t="s">
        <v>69</v>
      </c>
      <c r="G3510">
        <v>-511.95890000000003</v>
      </c>
      <c r="H3510">
        <v>0.81471070000000001</v>
      </c>
      <c r="I3510">
        <v>277.08999999999997</v>
      </c>
      <c r="J3510">
        <v>-356.29149999999998</v>
      </c>
      <c r="K3510">
        <v>1.1101190000000001</v>
      </c>
      <c r="L3510">
        <v>283.48840000000001</v>
      </c>
      <c r="M3510">
        <v>-0.99987809999999999</v>
      </c>
      <c r="N3510">
        <v>0</v>
      </c>
      <c r="O3510">
        <v>5.4834829999999999E-3</v>
      </c>
      <c r="P3510">
        <v>-0.99959109999999995</v>
      </c>
      <c r="Q3510">
        <v>2.8583509999999999E-2</v>
      </c>
      <c r="R3510">
        <v>7.8254259999999999E-4</v>
      </c>
      <c r="S3510">
        <v>-3.0015260000000001</v>
      </c>
      <c r="T3510">
        <v>-5.687475E-3</v>
      </c>
      <c r="U3510">
        <v>-0.1231995</v>
      </c>
      <c r="V3510">
        <v>-4.6736909999999998E-3</v>
      </c>
      <c r="W3510">
        <v>4.3194980000000001E-2</v>
      </c>
      <c r="X3510">
        <v>0.99905569999999999</v>
      </c>
      <c r="Y3510">
        <v>-4.6489830000000003E-2</v>
      </c>
      <c r="Z3510" s="1">
        <v>-5.4414740000000002E-5</v>
      </c>
      <c r="AA3510">
        <v>0.9989188</v>
      </c>
      <c r="AB3510">
        <v>34</v>
      </c>
      <c r="AC3510">
        <v>-155.66739999999999</v>
      </c>
      <c r="AD3510">
        <v>-0.29540830000000001</v>
      </c>
      <c r="AE3510">
        <v>-6.3984000000000298</v>
      </c>
      <c r="AF3510">
        <v>-7.2519684817377401</v>
      </c>
      <c r="AG3510">
        <v>-0.29540830000000001</v>
      </c>
      <c r="AH3510">
        <v>155.62941035444899</v>
      </c>
      <c r="AI3510">
        <v>90.108638095446196</v>
      </c>
      <c r="AJ3510">
        <v>92.667920164831202</v>
      </c>
      <c r="AK3510">
        <v>155.79856122633899</v>
      </c>
      <c r="AL3510">
        <v>87.524339619449606</v>
      </c>
      <c r="AM3510">
        <v>90.268033920056098</v>
      </c>
      <c r="AN3510">
        <v>0.99999997069362601</v>
      </c>
    </row>
    <row r="3511" spans="1:40" x14ac:dyDescent="0.25">
      <c r="A3511" t="str">
        <f>"20190312150728028"</f>
        <v>20190312150728028</v>
      </c>
      <c r="B3511" t="str">
        <f>"1552374448023839"</f>
        <v>1552374448023839</v>
      </c>
      <c r="C3511" t="s">
        <v>40</v>
      </c>
      <c r="D3511">
        <v>4.4298549999999999</v>
      </c>
      <c r="E3511">
        <v>0.48403049999999997</v>
      </c>
      <c r="F3511" t="s">
        <v>69</v>
      </c>
      <c r="G3511">
        <v>-511.9588</v>
      </c>
      <c r="H3511">
        <v>0.51592209999999905</v>
      </c>
      <c r="I3511">
        <v>276.7303</v>
      </c>
      <c r="J3511">
        <v>-356.47019999999998</v>
      </c>
      <c r="K3511">
        <v>1.1101110000000001</v>
      </c>
      <c r="L3511">
        <v>283.48950000000002</v>
      </c>
      <c r="M3511">
        <v>-0.99987749999999997</v>
      </c>
      <c r="N3511">
        <v>0</v>
      </c>
      <c r="O3511">
        <v>5.6115849999999997E-3</v>
      </c>
      <c r="P3511">
        <v>-0.99959529999999996</v>
      </c>
      <c r="Q3511">
        <v>2.8423730000000001E-2</v>
      </c>
      <c r="R3511">
        <v>1.126667E-3</v>
      </c>
      <c r="S3511">
        <v>-3.001617</v>
      </c>
      <c r="T3511">
        <v>-1.145589E-2</v>
      </c>
      <c r="U3511">
        <v>-0.13031010000000001</v>
      </c>
      <c r="V3511">
        <v>-4.4579190000000003E-3</v>
      </c>
      <c r="W3511">
        <v>4.3033009999999997E-2</v>
      </c>
      <c r="X3511">
        <v>0.9990637</v>
      </c>
      <c r="Y3511">
        <v>-4.8978250000000001E-2</v>
      </c>
      <c r="Z3511">
        <v>-1.148299E-4</v>
      </c>
      <c r="AA3511">
        <v>0.99879989999999996</v>
      </c>
      <c r="AB3511">
        <v>34</v>
      </c>
      <c r="AC3511">
        <v>-155.48859999999999</v>
      </c>
      <c r="AD3511">
        <v>-0.59418890000000002</v>
      </c>
      <c r="AE3511">
        <v>-6.7592000000000203</v>
      </c>
      <c r="AF3511">
        <v>-7.6316129680330702</v>
      </c>
      <c r="AG3511">
        <v>-0.59418890000000002</v>
      </c>
      <c r="AH3511">
        <v>155.44595167660799</v>
      </c>
      <c r="AI3511">
        <v>90.2187473886394</v>
      </c>
      <c r="AJ3511">
        <v>92.810677316304705</v>
      </c>
      <c r="AK3511">
        <v>155.63431006558</v>
      </c>
      <c r="AL3511">
        <v>87.533628513828404</v>
      </c>
      <c r="AM3511">
        <v>90.255657621198793</v>
      </c>
      <c r="AN3511">
        <v>0.99999999482458002</v>
      </c>
    </row>
    <row r="3512" spans="1:40" x14ac:dyDescent="0.25">
      <c r="A3512" t="str">
        <f>"20190312150728040"</f>
        <v>20190312150728040</v>
      </c>
      <c r="B3512" t="str">
        <f>"1552374448033598"</f>
        <v>1552374448033598</v>
      </c>
      <c r="C3512" t="s">
        <v>40</v>
      </c>
      <c r="D3512">
        <v>4.1692090000000004</v>
      </c>
      <c r="E3512">
        <v>0.48419830000000003</v>
      </c>
      <c r="F3512" t="s">
        <v>69</v>
      </c>
      <c r="G3512">
        <v>-511.9588</v>
      </c>
      <c r="H3512">
        <v>0.65167339999999996</v>
      </c>
      <c r="I3512">
        <v>276.8578</v>
      </c>
      <c r="J3512">
        <v>-356.65820000000002</v>
      </c>
      <c r="K3512">
        <v>1.110109</v>
      </c>
      <c r="L3512">
        <v>283.4907</v>
      </c>
      <c r="M3512">
        <v>-0.99987669999999995</v>
      </c>
      <c r="N3512">
        <v>0</v>
      </c>
      <c r="O3512">
        <v>5.746602E-3</v>
      </c>
      <c r="P3512">
        <v>-0.99959940000000003</v>
      </c>
      <c r="Q3512">
        <v>2.8277859999999998E-2</v>
      </c>
      <c r="R3512">
        <v>1.197643E-3</v>
      </c>
      <c r="S3512">
        <v>-3.001617</v>
      </c>
      <c r="T3512">
        <v>-8.8483099999999999E-3</v>
      </c>
      <c r="U3512">
        <v>-0.1280212</v>
      </c>
      <c r="V3512">
        <v>-4.5222600000000002E-3</v>
      </c>
      <c r="W3512">
        <v>4.2885800000000002E-2</v>
      </c>
      <c r="X3512">
        <v>0.99906980000000001</v>
      </c>
      <c r="Y3512">
        <v>-4.8353060000000003E-2</v>
      </c>
      <c r="Z3512" s="1">
        <v>-8.8170809999999993E-5</v>
      </c>
      <c r="AA3512">
        <v>0.99883029999999995</v>
      </c>
      <c r="AB3512">
        <v>34</v>
      </c>
      <c r="AC3512">
        <v>-155.30059999999901</v>
      </c>
      <c r="AD3512">
        <v>-0.4584356</v>
      </c>
      <c r="AE3512">
        <v>-6.6329000000000002</v>
      </c>
      <c r="AF3512">
        <v>-7.5252710507242604</v>
      </c>
      <c r="AG3512">
        <v>-0.4584356</v>
      </c>
      <c r="AH3512">
        <v>155.258564006847</v>
      </c>
      <c r="AI3512">
        <v>90.168979727058698</v>
      </c>
      <c r="AJ3512">
        <v>92.774913619804806</v>
      </c>
      <c r="AK3512">
        <v>155.441505284317</v>
      </c>
      <c r="AL3512">
        <v>87.542070964836896</v>
      </c>
      <c r="AM3512">
        <v>90.259345885820693</v>
      </c>
      <c r="AN3512">
        <v>1.0000000539745899</v>
      </c>
    </row>
    <row r="3513" spans="1:40" x14ac:dyDescent="0.25">
      <c r="A3513" t="str">
        <f>"20190312150728052"</f>
        <v>20190312150728052</v>
      </c>
      <c r="B3513" t="str">
        <f>"1552374448043358"</f>
        <v>1552374448043358</v>
      </c>
      <c r="C3513" t="s">
        <v>40</v>
      </c>
      <c r="D3513">
        <v>4.1760539999999997</v>
      </c>
      <c r="E3513">
        <v>0.48418800000000001</v>
      </c>
      <c r="F3513" t="s">
        <v>69</v>
      </c>
      <c r="G3513">
        <v>-511.95890000000003</v>
      </c>
      <c r="H3513">
        <v>0.69515539999999998</v>
      </c>
      <c r="I3513">
        <v>276.9443</v>
      </c>
      <c r="J3513">
        <v>-356.82400000000001</v>
      </c>
      <c r="K3513">
        <v>1.110109</v>
      </c>
      <c r="L3513">
        <v>283.49180000000001</v>
      </c>
      <c r="M3513">
        <v>-0.99987599999999999</v>
      </c>
      <c r="N3513">
        <v>0</v>
      </c>
      <c r="O3513">
        <v>5.8656400000000001E-3</v>
      </c>
      <c r="P3513">
        <v>-0.9995986</v>
      </c>
      <c r="Q3513">
        <v>2.830239E-2</v>
      </c>
      <c r="R3513">
        <v>1.2501890000000001E-3</v>
      </c>
      <c r="S3513">
        <v>-3.0015869999999998</v>
      </c>
      <c r="T3513">
        <v>-8.0184939999999993E-3</v>
      </c>
      <c r="U3513">
        <v>-0.1265259</v>
      </c>
      <c r="V3513">
        <v>-4.5879980000000002E-3</v>
      </c>
      <c r="W3513">
        <v>4.2908200000000001E-2</v>
      </c>
      <c r="X3513">
        <v>0.99906850000000003</v>
      </c>
      <c r="Y3513">
        <v>-4.7975740000000003E-2</v>
      </c>
      <c r="Z3513" s="1">
        <v>-7.9717759999999995E-5</v>
      </c>
      <c r="AA3513">
        <v>0.99884850000000003</v>
      </c>
      <c r="AB3513">
        <v>34</v>
      </c>
      <c r="AC3513">
        <v>-155.13489999999999</v>
      </c>
      <c r="AD3513">
        <v>-0.41495359999999998</v>
      </c>
      <c r="AE3513">
        <v>-6.5475000000000101</v>
      </c>
      <c r="AF3513">
        <v>-7.4573967451455596</v>
      </c>
      <c r="AG3513">
        <v>-0.41495359999999998</v>
      </c>
      <c r="AH3513">
        <v>155.09271362238201</v>
      </c>
      <c r="AI3513">
        <v>90.153118713329405</v>
      </c>
      <c r="AJ3513">
        <v>92.752859978811401</v>
      </c>
      <c r="AK3513">
        <v>155.272453356862</v>
      </c>
      <c r="AL3513">
        <v>87.540786262343801</v>
      </c>
      <c r="AM3513">
        <v>90.263116166638397</v>
      </c>
      <c r="AN3513">
        <v>1.0000000155225599</v>
      </c>
    </row>
    <row r="3514" spans="1:40" x14ac:dyDescent="0.25">
      <c r="A3514" t="str">
        <f>"20190312150728063"</f>
        <v>20190312150728063</v>
      </c>
      <c r="B3514" t="str">
        <f>"1552374448054093"</f>
        <v>1552374448054093</v>
      </c>
      <c r="C3514" t="s">
        <v>40</v>
      </c>
      <c r="D3514">
        <v>4.1852450000000001</v>
      </c>
      <c r="E3514">
        <v>0.4841316</v>
      </c>
      <c r="F3514" t="s">
        <v>69</v>
      </c>
      <c r="G3514">
        <v>-511.9588</v>
      </c>
      <c r="H3514">
        <v>0.55537919999999996</v>
      </c>
      <c r="I3514">
        <v>276.95400000000001</v>
      </c>
      <c r="J3514">
        <v>-357.0138</v>
      </c>
      <c r="K3514">
        <v>1.1101080000000001</v>
      </c>
      <c r="L3514">
        <v>283.49299999999999</v>
      </c>
      <c r="M3514">
        <v>-0.99987539999999997</v>
      </c>
      <c r="N3514">
        <v>0</v>
      </c>
      <c r="O3514">
        <v>6.0017859999999899E-3</v>
      </c>
      <c r="P3514">
        <v>-0.99959960000000003</v>
      </c>
      <c r="Q3514">
        <v>2.8262949999999998E-2</v>
      </c>
      <c r="R3514">
        <v>1.4513289999999999E-3</v>
      </c>
      <c r="S3514">
        <v>-3.0016479999999999</v>
      </c>
      <c r="T3514">
        <v>-1.07317E-2</v>
      </c>
      <c r="U3514">
        <v>-0.12649540000000001</v>
      </c>
      <c r="V3514">
        <v>-4.5232170000000004E-3</v>
      </c>
      <c r="W3514">
        <v>4.2866269999999998E-2</v>
      </c>
      <c r="X3514">
        <v>0.99907060000000003</v>
      </c>
      <c r="Y3514">
        <v>-4.8100610000000002E-2</v>
      </c>
      <c r="Z3514">
        <v>-1.0739920000000001E-4</v>
      </c>
      <c r="AA3514">
        <v>0.99884249999999997</v>
      </c>
      <c r="AB3514">
        <v>34</v>
      </c>
      <c r="AC3514">
        <v>-154.94499999999999</v>
      </c>
      <c r="AD3514">
        <v>-0.55472880000000002</v>
      </c>
      <c r="AE3514">
        <v>-6.5389999999999802</v>
      </c>
      <c r="AF3514">
        <v>-7.4688325022838598</v>
      </c>
      <c r="AG3514">
        <v>-0.55472880000000002</v>
      </c>
      <c r="AH3514">
        <v>154.90097692003499</v>
      </c>
      <c r="AI3514">
        <v>90.2049477174549</v>
      </c>
      <c r="AJ3514">
        <v>92.760482358312302</v>
      </c>
      <c r="AK3514">
        <v>155.08192619957299</v>
      </c>
      <c r="AL3514">
        <v>87.543190898264399</v>
      </c>
      <c r="AM3514">
        <v>90.259400560098399</v>
      </c>
      <c r="AN3514">
        <v>1.0000000201900501</v>
      </c>
    </row>
    <row r="3515" spans="1:40" x14ac:dyDescent="0.25">
      <c r="A3515" t="str">
        <f>"20190312150728076"</f>
        <v>20190312150728076</v>
      </c>
      <c r="B3515" t="str">
        <f>"1552374448073614"</f>
        <v>1552374448073614</v>
      </c>
      <c r="C3515" t="s">
        <v>40</v>
      </c>
      <c r="D3515">
        <v>4.1791539999999996</v>
      </c>
      <c r="E3515">
        <v>0.48407099999999997</v>
      </c>
      <c r="F3515" t="s">
        <v>69</v>
      </c>
      <c r="G3515">
        <v>-511.9588</v>
      </c>
      <c r="H3515">
        <v>0.4309209</v>
      </c>
      <c r="I3515">
        <v>276.9667</v>
      </c>
      <c r="J3515">
        <v>-357.19659999999999</v>
      </c>
      <c r="K3515">
        <v>1.110107</v>
      </c>
      <c r="L3515">
        <v>283.49419999999998</v>
      </c>
      <c r="M3515">
        <v>-0.99987470000000001</v>
      </c>
      <c r="N3515">
        <v>0</v>
      </c>
      <c r="O3515">
        <v>6.1328659999999998E-3</v>
      </c>
      <c r="P3515">
        <v>-0.99959989999999999</v>
      </c>
      <c r="Q3515">
        <v>2.8256130000000001E-2</v>
      </c>
      <c r="R3515">
        <v>1.4243680000000001E-3</v>
      </c>
      <c r="S3515">
        <v>-3.00177</v>
      </c>
      <c r="T3515">
        <v>-1.315641E-2</v>
      </c>
      <c r="U3515">
        <v>-0.1264343</v>
      </c>
      <c r="V3515">
        <v>-4.6813810000000001E-3</v>
      </c>
      <c r="W3515">
        <v>4.2858170000000001E-2</v>
      </c>
      <c r="X3515">
        <v>0.99907020000000002</v>
      </c>
      <c r="Y3515">
        <v>-4.8209399999999999E-2</v>
      </c>
      <c r="Z3515">
        <v>-1.3247209999999999E-4</v>
      </c>
      <c r="AA3515">
        <v>0.99883719999999998</v>
      </c>
      <c r="AB3515">
        <v>34</v>
      </c>
      <c r="AC3515">
        <v>-154.76220000000001</v>
      </c>
      <c r="AD3515">
        <v>-0.67918609999999902</v>
      </c>
      <c r="AE3515">
        <v>-6.5274999999999697</v>
      </c>
      <c r="AF3515">
        <v>-7.47647039849371</v>
      </c>
      <c r="AG3515">
        <v>-0.67918609999999902</v>
      </c>
      <c r="AH3515">
        <v>154.716277859049</v>
      </c>
      <c r="AI3515">
        <v>90.251226901448504</v>
      </c>
      <c r="AJ3515">
        <v>92.766594637980901</v>
      </c>
      <c r="AK3515">
        <v>154.898307085444</v>
      </c>
      <c r="AL3515">
        <v>87.543655374529806</v>
      </c>
      <c r="AM3515">
        <v>90.268471034936994</v>
      </c>
      <c r="AN3515">
        <v>1.00000000129592</v>
      </c>
    </row>
    <row r="3516" spans="1:40" x14ac:dyDescent="0.25">
      <c r="A3516" t="str">
        <f>"20190312150728087"</f>
        <v>20190312150728087</v>
      </c>
      <c r="B3516" t="str">
        <f>"1552374448083374"</f>
        <v>1552374448083374</v>
      </c>
      <c r="C3516" t="s">
        <v>40</v>
      </c>
      <c r="D3516">
        <v>4.1747750000000003</v>
      </c>
      <c r="E3516">
        <v>0.48402289999999998</v>
      </c>
      <c r="F3516" t="s">
        <v>69</v>
      </c>
      <c r="G3516">
        <v>-511.95870000000002</v>
      </c>
      <c r="H3516">
        <v>0.37340990000000002</v>
      </c>
      <c r="I3516">
        <v>276.93799999999999</v>
      </c>
      <c r="J3516">
        <v>-357.3689</v>
      </c>
      <c r="K3516">
        <v>1.110106</v>
      </c>
      <c r="L3516">
        <v>283.49540000000002</v>
      </c>
      <c r="M3516">
        <v>-0.99987380000000003</v>
      </c>
      <c r="N3516">
        <v>0</v>
      </c>
      <c r="O3516">
        <v>6.2565529999999998E-3</v>
      </c>
      <c r="P3516">
        <v>-0.99959330000000002</v>
      </c>
      <c r="Q3516">
        <v>2.8485750000000001E-2</v>
      </c>
      <c r="R3516">
        <v>1.381607E-3</v>
      </c>
      <c r="S3516">
        <v>-3.0018310000000001</v>
      </c>
      <c r="T3516">
        <v>-1.428771E-2</v>
      </c>
      <c r="U3516">
        <v>-0.12716669999999999</v>
      </c>
      <c r="V3516">
        <v>-4.8475949999999997E-3</v>
      </c>
      <c r="W3516">
        <v>4.3085890000000002E-2</v>
      </c>
      <c r="X3516">
        <v>0.99905960000000005</v>
      </c>
      <c r="Y3516">
        <v>-4.8575269999999997E-2</v>
      </c>
      <c r="Z3516">
        <v>-1.453181E-4</v>
      </c>
      <c r="AA3516">
        <v>0.99881949999999997</v>
      </c>
      <c r="AB3516">
        <v>34</v>
      </c>
      <c r="AC3516">
        <v>-154.5898</v>
      </c>
      <c r="AD3516">
        <v>-0.73669609999999996</v>
      </c>
      <c r="AE3516">
        <v>-6.5574000000000296</v>
      </c>
      <c r="AF3516">
        <v>-7.5244034730176397</v>
      </c>
      <c r="AG3516">
        <v>-0.73669609999999996</v>
      </c>
      <c r="AH3516">
        <v>154.542239228618</v>
      </c>
      <c r="AI3516">
        <v>90.272801259286197</v>
      </c>
      <c r="AJ3516">
        <v>92.787434597860297</v>
      </c>
      <c r="AK3516">
        <v>154.72705992994199</v>
      </c>
      <c r="AL3516">
        <v>87.530595885202302</v>
      </c>
      <c r="AM3516">
        <v>90.278005991449604</v>
      </c>
      <c r="AN3516">
        <v>0.99999998872326801</v>
      </c>
    </row>
    <row r="3517" spans="1:40" x14ac:dyDescent="0.25">
      <c r="A3517" t="str">
        <f>"20190312150728104"</f>
        <v>20190312150728104</v>
      </c>
      <c r="B3517" t="str">
        <f>"1552374448094110"</f>
        <v>1552374448094110</v>
      </c>
      <c r="C3517" t="s">
        <v>40</v>
      </c>
      <c r="D3517">
        <v>4.1661830000000002</v>
      </c>
      <c r="E3517">
        <v>0.48396679999999997</v>
      </c>
      <c r="F3517" t="s">
        <v>69</v>
      </c>
      <c r="G3517">
        <v>-511.95870000000002</v>
      </c>
      <c r="H3517">
        <v>0.2596908</v>
      </c>
      <c r="I3517">
        <v>276.91520000000003</v>
      </c>
      <c r="J3517">
        <v>-357.63869999999997</v>
      </c>
      <c r="K3517">
        <v>1.1101129999999999</v>
      </c>
      <c r="L3517">
        <v>283.4973</v>
      </c>
      <c r="M3517">
        <v>-0.9998726</v>
      </c>
      <c r="N3517">
        <v>0</v>
      </c>
      <c r="O3517">
        <v>6.4506919999999896E-3</v>
      </c>
      <c r="P3517">
        <v>-0.99959560000000003</v>
      </c>
      <c r="Q3517">
        <v>2.8407140000000001E-2</v>
      </c>
      <c r="R3517">
        <v>1.347967E-3</v>
      </c>
      <c r="S3517">
        <v>-3.0018919999999998</v>
      </c>
      <c r="T3517">
        <v>-1.6512160000000001E-2</v>
      </c>
      <c r="U3517">
        <v>-0.1277771</v>
      </c>
      <c r="V3517">
        <v>-5.074851E-3</v>
      </c>
      <c r="W3517">
        <v>4.3004420000000002E-2</v>
      </c>
      <c r="X3517">
        <v>0.99906200000000001</v>
      </c>
      <c r="Y3517">
        <v>-4.8970840000000002E-2</v>
      </c>
      <c r="Z3517">
        <v>-1.700932E-4</v>
      </c>
      <c r="AA3517">
        <v>0.99880020000000003</v>
      </c>
      <c r="AB3517">
        <v>34</v>
      </c>
      <c r="AC3517">
        <v>-154.32</v>
      </c>
      <c r="AD3517">
        <v>-0.85042219999999902</v>
      </c>
      <c r="AE3517">
        <v>-6.5820999999999596</v>
      </c>
      <c r="AF3517">
        <v>-7.5773102394867804</v>
      </c>
      <c r="AG3517">
        <v>-0.85042219999999902</v>
      </c>
      <c r="AH3517">
        <v>154.26964847265</v>
      </c>
      <c r="AI3517">
        <v>90.3154634900514</v>
      </c>
      <c r="AJ3517">
        <v>92.811954761240003</v>
      </c>
      <c r="AK3517">
        <v>154.45796608870199</v>
      </c>
      <c r="AL3517">
        <v>87.535268148155893</v>
      </c>
      <c r="AM3517">
        <v>90.291038036832205</v>
      </c>
      <c r="AN3517">
        <v>1.0000000070481001</v>
      </c>
    </row>
    <row r="3518" spans="1:40" x14ac:dyDescent="0.25">
      <c r="A3518" t="str">
        <f>"20190312150728116"</f>
        <v>20190312150728116</v>
      </c>
      <c r="B3518" t="str">
        <f>"1552374448113630"</f>
        <v>1552374448113630</v>
      </c>
      <c r="C3518" t="s">
        <v>40</v>
      </c>
      <c r="D3518">
        <v>4.2323209999999998</v>
      </c>
      <c r="E3518">
        <v>0.4840952</v>
      </c>
      <c r="F3518" t="s">
        <v>69</v>
      </c>
      <c r="G3518">
        <v>-511.95870000000002</v>
      </c>
      <c r="H3518">
        <v>0.19103990000000001</v>
      </c>
      <c r="I3518">
        <v>276.89400000000001</v>
      </c>
      <c r="J3518">
        <v>-357.8218</v>
      </c>
      <c r="K3518">
        <v>1.1101129999999999</v>
      </c>
      <c r="L3518">
        <v>283.49860000000001</v>
      </c>
      <c r="M3518">
        <v>-0.99987190000000004</v>
      </c>
      <c r="N3518">
        <v>0</v>
      </c>
      <c r="O3518">
        <v>6.5825969999999999E-3</v>
      </c>
      <c r="P3518">
        <v>-0.99959279999999995</v>
      </c>
      <c r="Q3518">
        <v>2.850743E-2</v>
      </c>
      <c r="R3518">
        <v>1.332567E-3</v>
      </c>
      <c r="S3518">
        <v>-3.001862</v>
      </c>
      <c r="T3518">
        <v>-1.7876389999999999E-2</v>
      </c>
      <c r="U3518">
        <v>-0.12844849999999999</v>
      </c>
      <c r="V3518">
        <v>-5.2229859999999998E-3</v>
      </c>
      <c r="W3518">
        <v>4.3102090000000003E-2</v>
      </c>
      <c r="X3518">
        <v>0.99905699999999997</v>
      </c>
      <c r="Y3518">
        <v>-4.9325859999999999E-2</v>
      </c>
      <c r="Z3518">
        <v>-1.859888E-4</v>
      </c>
      <c r="AA3518">
        <v>0.99878270000000002</v>
      </c>
      <c r="AB3518">
        <v>34</v>
      </c>
      <c r="AC3518">
        <v>-154.1369</v>
      </c>
      <c r="AD3518">
        <v>-0.91907309999999998</v>
      </c>
      <c r="AE3518">
        <v>-6.6045999999999996</v>
      </c>
      <c r="AF3518">
        <v>-7.6189155872547403</v>
      </c>
      <c r="AG3518">
        <v>-0.91907309999999998</v>
      </c>
      <c r="AH3518">
        <v>154.084611519921</v>
      </c>
      <c r="AI3518">
        <v>90.341332796157104</v>
      </c>
      <c r="AJ3518">
        <v>92.830759412167893</v>
      </c>
      <c r="AK3518">
        <v>154.27559780254899</v>
      </c>
      <c r="AL3518">
        <v>87.529666807686894</v>
      </c>
      <c r="AM3518">
        <v>90.299534789283101</v>
      </c>
      <c r="AN3518">
        <v>0.99999997949706099</v>
      </c>
    </row>
    <row r="3519" spans="1:40" x14ac:dyDescent="0.25">
      <c r="A3519" t="str">
        <f>"20190312150728129"</f>
        <v>20190312150728129</v>
      </c>
      <c r="B3519" t="str">
        <f>"1552374448123390"</f>
        <v>1552374448123390</v>
      </c>
      <c r="C3519" t="s">
        <v>40</v>
      </c>
      <c r="D3519">
        <v>4.2353019999999999</v>
      </c>
      <c r="E3519">
        <v>0.48409459999999999</v>
      </c>
      <c r="F3519" t="s">
        <v>69</v>
      </c>
      <c r="G3519">
        <v>-511.95870000000002</v>
      </c>
      <c r="H3519">
        <v>0.36118479999999997</v>
      </c>
      <c r="I3519">
        <v>276.95940000000002</v>
      </c>
      <c r="J3519">
        <v>-358.00189999999998</v>
      </c>
      <c r="K3519">
        <v>1.1101129999999999</v>
      </c>
      <c r="L3519">
        <v>283.49990000000003</v>
      </c>
      <c r="M3519">
        <v>-0.99987079999999995</v>
      </c>
      <c r="N3519">
        <v>0</v>
      </c>
      <c r="O3519">
        <v>6.712656E-3</v>
      </c>
      <c r="P3519">
        <v>-0.99959189999999998</v>
      </c>
      <c r="Q3519">
        <v>2.8526630000000001E-2</v>
      </c>
      <c r="R3519">
        <v>1.4730819999999999E-3</v>
      </c>
      <c r="S3519">
        <v>-3.0018009999999999</v>
      </c>
      <c r="T3519">
        <v>-1.458371E-2</v>
      </c>
      <c r="U3519">
        <v>-0.12734989999999999</v>
      </c>
      <c r="V3519">
        <v>-5.2125009999999996E-3</v>
      </c>
      <c r="W3519">
        <v>4.3119709999999999E-2</v>
      </c>
      <c r="X3519">
        <v>0.99905630000000001</v>
      </c>
      <c r="Y3519">
        <v>-4.90921E-2</v>
      </c>
      <c r="Z3519">
        <v>-1.5180010000000001E-4</v>
      </c>
      <c r="AA3519">
        <v>0.99879430000000002</v>
      </c>
      <c r="AB3519">
        <v>34</v>
      </c>
      <c r="AC3519">
        <v>-153.95679999999999</v>
      </c>
      <c r="AD3519">
        <v>-0.74892819999999904</v>
      </c>
      <c r="AE3519">
        <v>-6.5404999999999998</v>
      </c>
      <c r="AF3519">
        <v>-7.5737429958345297</v>
      </c>
      <c r="AG3519">
        <v>-0.74892819999999904</v>
      </c>
      <c r="AH3519">
        <v>153.905786364161</v>
      </c>
      <c r="AI3519">
        <v>90.278470522406195</v>
      </c>
      <c r="AJ3519">
        <v>92.817267243734094</v>
      </c>
      <c r="AK3519">
        <v>154.09384657664501</v>
      </c>
      <c r="AL3519">
        <v>87.528656330335394</v>
      </c>
      <c r="AM3519">
        <v>90.298933701844902</v>
      </c>
      <c r="AN3519">
        <v>0.99999998506342402</v>
      </c>
    </row>
    <row r="3520" spans="1:40" x14ac:dyDescent="0.25">
      <c r="A3520" t="str">
        <f>"20190312150728139"</f>
        <v>20190312150728139</v>
      </c>
      <c r="B3520" t="str">
        <f>"1552374448134125"</f>
        <v>1552374448134125</v>
      </c>
      <c r="C3520" t="s">
        <v>40</v>
      </c>
      <c r="D3520">
        <v>4.2379020000000001</v>
      </c>
      <c r="E3520">
        <v>0.48415170000000002</v>
      </c>
      <c r="F3520" t="s">
        <v>69</v>
      </c>
      <c r="G3520">
        <v>-511.9588</v>
      </c>
      <c r="H3520">
        <v>0.43943179999999998</v>
      </c>
      <c r="I3520">
        <v>276.9948</v>
      </c>
      <c r="J3520">
        <v>-358.17140000000001</v>
      </c>
      <c r="K3520">
        <v>1.110115</v>
      </c>
      <c r="L3520">
        <v>283.50119999999998</v>
      </c>
      <c r="M3520">
        <v>-0.99987020000000004</v>
      </c>
      <c r="N3520">
        <v>0</v>
      </c>
      <c r="O3520">
        <v>6.8346090000000002E-3</v>
      </c>
      <c r="P3520">
        <v>-0.99959699999999996</v>
      </c>
      <c r="Q3520">
        <v>2.8346070000000001E-2</v>
      </c>
      <c r="R3520">
        <v>1.5793020000000001E-3</v>
      </c>
      <c r="S3520">
        <v>-3.00177</v>
      </c>
      <c r="T3520">
        <v>-1.307499E-2</v>
      </c>
      <c r="U3520">
        <v>-0.1268311</v>
      </c>
      <c r="V3520">
        <v>-5.228262E-3</v>
      </c>
      <c r="W3520">
        <v>4.2937250000000003E-2</v>
      </c>
      <c r="X3520">
        <v>0.99906410000000001</v>
      </c>
      <c r="Y3520">
        <v>-4.9042160000000001E-2</v>
      </c>
      <c r="Z3520">
        <v>-1.365204E-4</v>
      </c>
      <c r="AA3520">
        <v>0.99879669999999998</v>
      </c>
      <c r="AB3520">
        <v>34</v>
      </c>
      <c r="AC3520">
        <v>-153.78739999999999</v>
      </c>
      <c r="AD3520">
        <v>-0.67068319999999904</v>
      </c>
      <c r="AE3520">
        <v>-6.5063999999999798</v>
      </c>
      <c r="AF3520">
        <v>-7.5572931635750598</v>
      </c>
      <c r="AG3520">
        <v>-0.67068319999999904</v>
      </c>
      <c r="AH3520">
        <v>153.736415183486</v>
      </c>
      <c r="AI3520">
        <v>90.249652815224906</v>
      </c>
      <c r="AJ3520">
        <v>92.814250163397901</v>
      </c>
      <c r="AK3520">
        <v>153.92351298415701</v>
      </c>
      <c r="AL3520">
        <v>87.539120268626604</v>
      </c>
      <c r="AM3520">
        <v>90.299835228068204</v>
      </c>
      <c r="AN3520">
        <v>1.0000000090349499</v>
      </c>
    </row>
    <row r="3521" spans="1:40" x14ac:dyDescent="0.25">
      <c r="A3521" t="str">
        <f>"20190312150728154"</f>
        <v>20190312150728154</v>
      </c>
      <c r="B3521" t="str">
        <f>"1552374448143886"</f>
        <v>1552374448143886</v>
      </c>
      <c r="C3521" t="s">
        <v>40</v>
      </c>
      <c r="D3521">
        <v>4.1970640000000001</v>
      </c>
      <c r="E3521">
        <v>0.48403560000000001</v>
      </c>
      <c r="F3521" t="s">
        <v>69</v>
      </c>
      <c r="G3521">
        <v>-511.9588</v>
      </c>
      <c r="H3521">
        <v>0.4377354</v>
      </c>
      <c r="I3521">
        <v>277.04239999999999</v>
      </c>
      <c r="J3521">
        <v>-358.39139999999998</v>
      </c>
      <c r="K3521">
        <v>1.1101160000000001</v>
      </c>
      <c r="L3521">
        <v>283.50279999999998</v>
      </c>
      <c r="M3521">
        <v>-0.99986920000000001</v>
      </c>
      <c r="N3521">
        <v>0</v>
      </c>
      <c r="O3521">
        <v>6.9933969999999897E-3</v>
      </c>
      <c r="P3521">
        <v>-0.99959370000000003</v>
      </c>
      <c r="Q3521">
        <v>2.8468009999999998E-2</v>
      </c>
      <c r="R3521">
        <v>1.4825019999999999E-3</v>
      </c>
      <c r="S3521">
        <v>-3.00177</v>
      </c>
      <c r="T3521">
        <v>-1.312256E-2</v>
      </c>
      <c r="U3521">
        <v>-0.12606809999999999</v>
      </c>
      <c r="V3521">
        <v>-5.4835810000000004E-3</v>
      </c>
      <c r="W3521">
        <v>4.3056829999999997E-2</v>
      </c>
      <c r="X3521">
        <v>0.99905759999999999</v>
      </c>
      <c r="Y3521">
        <v>-4.8947369999999997E-2</v>
      </c>
      <c r="Z3521">
        <v>-1.375046E-4</v>
      </c>
      <c r="AA3521">
        <v>0.99880139999999995</v>
      </c>
      <c r="AB3521">
        <v>34</v>
      </c>
      <c r="AC3521">
        <v>-153.56739999999999</v>
      </c>
      <c r="AD3521">
        <v>-0.672380599999999</v>
      </c>
      <c r="AE3521">
        <v>-6.4603999999999902</v>
      </c>
      <c r="AF3521">
        <v>-7.5341698196925204</v>
      </c>
      <c r="AG3521">
        <v>-0.672380599999999</v>
      </c>
      <c r="AH3521">
        <v>153.515521139263</v>
      </c>
      <c r="AI3521">
        <v>90.250645753632298</v>
      </c>
      <c r="AJ3521">
        <v>92.809683672346793</v>
      </c>
      <c r="AK3521">
        <v>153.70176004588399</v>
      </c>
      <c r="AL3521">
        <v>87.532262534732595</v>
      </c>
      <c r="AM3521">
        <v>90.314479258128102</v>
      </c>
      <c r="AN3521">
        <v>1.0000000241939899</v>
      </c>
    </row>
    <row r="3522" spans="1:40" x14ac:dyDescent="0.25">
      <c r="A3522" t="str">
        <f>"20190312150728169"</f>
        <v>20190312150728169</v>
      </c>
      <c r="B3522" t="str">
        <f>"1552374448163406"</f>
        <v>1552374448163406</v>
      </c>
      <c r="C3522" t="s">
        <v>40</v>
      </c>
      <c r="D3522">
        <v>4.2346219999999999</v>
      </c>
      <c r="E3522">
        <v>0.48389900000000002</v>
      </c>
      <c r="F3522" t="s">
        <v>69</v>
      </c>
      <c r="G3522">
        <v>-511.95870000000002</v>
      </c>
      <c r="H3522">
        <v>0.36735899999999999</v>
      </c>
      <c r="I3522">
        <v>276.9941</v>
      </c>
      <c r="J3522">
        <v>-358.6046</v>
      </c>
      <c r="K3522">
        <v>1.1101209999999999</v>
      </c>
      <c r="L3522">
        <v>283.50450000000001</v>
      </c>
      <c r="M3522">
        <v>-0.99986799999999998</v>
      </c>
      <c r="N3522">
        <v>0</v>
      </c>
      <c r="O3522">
        <v>7.1474160000000002E-3</v>
      </c>
      <c r="P3522">
        <v>-0.99958849999999999</v>
      </c>
      <c r="Q3522">
        <v>2.8635480000000001E-2</v>
      </c>
      <c r="R3522">
        <v>1.7116119999999999E-3</v>
      </c>
      <c r="S3522">
        <v>-3.0018310000000001</v>
      </c>
      <c r="T3522">
        <v>-1.451731E-2</v>
      </c>
      <c r="U3522">
        <v>-0.1272278</v>
      </c>
      <c r="V3522">
        <v>-5.4082720000000004E-3</v>
      </c>
      <c r="W3522">
        <v>4.3222139999999999E-2</v>
      </c>
      <c r="X3522">
        <v>0.99905089999999996</v>
      </c>
      <c r="Y3522">
        <v>-4.9485399999999999E-2</v>
      </c>
      <c r="Z3522">
        <v>-1.5416010000000001E-4</v>
      </c>
      <c r="AA3522">
        <v>0.99877479999999996</v>
      </c>
      <c r="AB3522">
        <v>34</v>
      </c>
      <c r="AC3522">
        <v>-153.35409999999999</v>
      </c>
      <c r="AD3522">
        <v>-0.74276199999999903</v>
      </c>
      <c r="AE3522">
        <v>-6.5103999999999997</v>
      </c>
      <c r="AF3522">
        <v>-7.6062577982675696</v>
      </c>
      <c r="AG3522">
        <v>-0.74276199999999903</v>
      </c>
      <c r="AH3522">
        <v>153.300054746417</v>
      </c>
      <c r="AI3522">
        <v>90.277263491228197</v>
      </c>
      <c r="AJ3522">
        <v>92.840503684858703</v>
      </c>
      <c r="AK3522">
        <v>153.490435006018</v>
      </c>
      <c r="AL3522">
        <v>87.522782212364106</v>
      </c>
      <c r="AM3522">
        <v>90.310162508423304</v>
      </c>
      <c r="AN3522">
        <v>1.0000000517915</v>
      </c>
    </row>
    <row r="3523" spans="1:40" x14ac:dyDescent="0.25">
      <c r="A3523" t="str">
        <f>"20190312150728181"</f>
        <v>20190312150728181</v>
      </c>
      <c r="B3523" t="str">
        <f>"1552374448174143"</f>
        <v>1552374448174143</v>
      </c>
      <c r="C3523" t="s">
        <v>40</v>
      </c>
      <c r="D3523">
        <v>4.2223129999999998</v>
      </c>
      <c r="E3523">
        <v>0.48380909999999999</v>
      </c>
      <c r="F3523" t="s">
        <v>69</v>
      </c>
      <c r="G3523">
        <v>-511.95870000000002</v>
      </c>
      <c r="H3523">
        <v>0.21286260000000001</v>
      </c>
      <c r="I3523">
        <v>276.97219999999999</v>
      </c>
      <c r="J3523">
        <v>-358.81580000000002</v>
      </c>
      <c r="K3523">
        <v>1.1101209999999999</v>
      </c>
      <c r="L3523">
        <v>283.5061</v>
      </c>
      <c r="M3523">
        <v>-0.99986710000000001</v>
      </c>
      <c r="N3523">
        <v>0</v>
      </c>
      <c r="O3523">
        <v>7.2995909999999898E-3</v>
      </c>
      <c r="P3523">
        <v>-0.99958239999999998</v>
      </c>
      <c r="Q3523">
        <v>2.8848459999999999E-2</v>
      </c>
      <c r="R3523">
        <v>1.704059E-3</v>
      </c>
      <c r="S3523">
        <v>-3.0018919999999998</v>
      </c>
      <c r="T3523">
        <v>-1.7562149999999999E-2</v>
      </c>
      <c r="U3523">
        <v>-0.1278687</v>
      </c>
      <c r="V3523">
        <v>-5.5682860000000004E-3</v>
      </c>
      <c r="W3523">
        <v>4.3432220000000001E-2</v>
      </c>
      <c r="X3523">
        <v>0.99904079999999995</v>
      </c>
      <c r="Y3523">
        <v>-4.9849070000000002E-2</v>
      </c>
      <c r="Z3523">
        <v>-1.8844160000000001E-4</v>
      </c>
      <c r="AA3523">
        <v>0.9987568</v>
      </c>
      <c r="AB3523">
        <v>34</v>
      </c>
      <c r="AC3523">
        <v>-153.1429</v>
      </c>
      <c r="AD3523">
        <v>-0.89725839999999901</v>
      </c>
      <c r="AE3523">
        <v>-6.5339000000000098</v>
      </c>
      <c r="AF3523">
        <v>-7.6514630339362499</v>
      </c>
      <c r="AG3523">
        <v>-0.89725839999999901</v>
      </c>
      <c r="AH3523">
        <v>153.085873680563</v>
      </c>
      <c r="AI3523">
        <v>90.335396323165099</v>
      </c>
      <c r="AJ3523">
        <v>92.861348433612207</v>
      </c>
      <c r="AK3523">
        <v>153.27959642345499</v>
      </c>
      <c r="AL3523">
        <v>87.510733927802207</v>
      </c>
      <c r="AM3523">
        <v>90.319342296422207</v>
      </c>
      <c r="AN3523">
        <v>0.99999994180387097</v>
      </c>
    </row>
    <row r="3524" spans="1:40" x14ac:dyDescent="0.25">
      <c r="A3524" t="str">
        <f>"20190312150728194"</f>
        <v>20190312150728194</v>
      </c>
      <c r="B3524" t="str">
        <f>"1552374448183902"</f>
        <v>1552374448183902</v>
      </c>
      <c r="C3524" t="s">
        <v>40</v>
      </c>
      <c r="D3524">
        <v>4.2157660000000003</v>
      </c>
      <c r="E3524">
        <v>0.48372720000000002</v>
      </c>
      <c r="F3524" t="s">
        <v>69</v>
      </c>
      <c r="G3524">
        <v>-511.95870000000002</v>
      </c>
      <c r="H3524">
        <v>0.234984</v>
      </c>
      <c r="I3524">
        <v>276.94720000000001</v>
      </c>
      <c r="J3524">
        <v>-359.00290000000001</v>
      </c>
      <c r="K3524">
        <v>1.1101240000000001</v>
      </c>
      <c r="L3524">
        <v>283.50760000000002</v>
      </c>
      <c r="M3524">
        <v>-0.99986589999999997</v>
      </c>
      <c r="N3524">
        <v>0</v>
      </c>
      <c r="O3524">
        <v>7.4343050000000004E-3</v>
      </c>
      <c r="P3524">
        <v>-0.99957689999999999</v>
      </c>
      <c r="Q3524">
        <v>2.904313E-2</v>
      </c>
      <c r="R3524">
        <v>1.6563229999999999E-3</v>
      </c>
      <c r="S3524">
        <v>-3.0019840000000002</v>
      </c>
      <c r="T3524">
        <v>-1.715326E-2</v>
      </c>
      <c r="U3524">
        <v>-0.12857060000000001</v>
      </c>
      <c r="V3524">
        <v>-5.7502159999999998E-3</v>
      </c>
      <c r="W3524">
        <v>4.3624679999999999E-2</v>
      </c>
      <c r="X3524">
        <v>0.99903140000000001</v>
      </c>
      <c r="Y3524">
        <v>-5.0215469999999998E-2</v>
      </c>
      <c r="Z3524">
        <v>-1.858637E-4</v>
      </c>
      <c r="AA3524">
        <v>0.99873840000000003</v>
      </c>
      <c r="AB3524">
        <v>34</v>
      </c>
      <c r="AC3524">
        <v>-152.95580000000001</v>
      </c>
      <c r="AD3524">
        <v>-0.87513999999999903</v>
      </c>
      <c r="AE3524">
        <v>-6.5604000000000102</v>
      </c>
      <c r="AF3524">
        <v>-7.6972082961106496</v>
      </c>
      <c r="AG3524">
        <v>-0.87513999999999903</v>
      </c>
      <c r="AH3524">
        <v>152.89779894190701</v>
      </c>
      <c r="AI3524">
        <v>90.327525090466693</v>
      </c>
      <c r="AJ3524">
        <v>92.881961387818706</v>
      </c>
      <c r="AK3524">
        <v>153.09392478754</v>
      </c>
      <c r="AL3524">
        <v>87.499696360202805</v>
      </c>
      <c r="AM3524">
        <v>90.329778893721894</v>
      </c>
      <c r="AN3524">
        <v>0.99999995793755303</v>
      </c>
    </row>
    <row r="3525" spans="1:40" x14ac:dyDescent="0.25">
      <c r="A3525" t="str">
        <f>"20190312150728218"</f>
        <v>20190312150728218</v>
      </c>
      <c r="B3525" t="str">
        <f>"1552374448214158"</f>
        <v>1552374448214158</v>
      </c>
      <c r="C3525" t="s">
        <v>40</v>
      </c>
      <c r="D3525">
        <v>4.2717109999999998</v>
      </c>
      <c r="E3525">
        <v>0.48370639999999998</v>
      </c>
      <c r="F3525" t="s">
        <v>69</v>
      </c>
      <c r="G3525">
        <v>-511.95870000000002</v>
      </c>
      <c r="H3525">
        <v>0.27001530000000001</v>
      </c>
      <c r="I3525">
        <v>276.91480000000001</v>
      </c>
      <c r="J3525">
        <v>-359.3347</v>
      </c>
      <c r="K3525">
        <v>1.1101240000000001</v>
      </c>
      <c r="L3525">
        <v>283.51029999999997</v>
      </c>
      <c r="M3525">
        <v>-0.99986439999999999</v>
      </c>
      <c r="N3525">
        <v>0</v>
      </c>
      <c r="O3525">
        <v>7.6731519999999999E-3</v>
      </c>
      <c r="P3525">
        <v>-0.99958340000000001</v>
      </c>
      <c r="Q3525">
        <v>2.8806120000000001E-2</v>
      </c>
      <c r="R3525">
        <v>1.8655360000000001E-3</v>
      </c>
      <c r="S3525">
        <v>-3.0019840000000002</v>
      </c>
      <c r="T3525">
        <v>-1.648676E-2</v>
      </c>
      <c r="U3525">
        <v>-0.1293945</v>
      </c>
      <c r="V3525">
        <v>-5.7798110000000001E-3</v>
      </c>
      <c r="W3525">
        <v>4.3384109999999997E-2</v>
      </c>
      <c r="X3525">
        <v>0.99904170000000003</v>
      </c>
      <c r="Y3525">
        <v>-5.0727729999999999E-2</v>
      </c>
      <c r="Z3525">
        <v>-1.8135819999999999E-4</v>
      </c>
      <c r="AA3525">
        <v>0.9987125</v>
      </c>
      <c r="AB3525">
        <v>34</v>
      </c>
      <c r="AC3525">
        <v>-152.624</v>
      </c>
      <c r="AD3525">
        <v>-0.84010869999999904</v>
      </c>
      <c r="AE3525">
        <v>-6.5954999999999497</v>
      </c>
      <c r="AF3525">
        <v>-7.7663024086747203</v>
      </c>
      <c r="AG3525">
        <v>-0.84010869999999904</v>
      </c>
      <c r="AH3525">
        <v>152.564278394132</v>
      </c>
      <c r="AI3525">
        <v>90.315093108442497</v>
      </c>
      <c r="AJ3525">
        <v>92.914132923470703</v>
      </c>
      <c r="AK3525">
        <v>152.764132824603</v>
      </c>
      <c r="AL3525">
        <v>87.513493055887594</v>
      </c>
      <c r="AM3525">
        <v>90.331472732411996</v>
      </c>
      <c r="AN3525">
        <v>0.99999995277728704</v>
      </c>
    </row>
    <row r="3526" spans="1:40" x14ac:dyDescent="0.25">
      <c r="A3526" t="str">
        <f>"20190312150728228"</f>
        <v>20190312150728228</v>
      </c>
      <c r="B3526" t="str">
        <f>"1552374448223918"</f>
        <v>1552374448223918</v>
      </c>
      <c r="C3526" t="s">
        <v>40</v>
      </c>
      <c r="D3526">
        <v>4.2798150000000001</v>
      </c>
      <c r="E3526">
        <v>0.48370639999999998</v>
      </c>
      <c r="F3526" t="s">
        <v>69</v>
      </c>
      <c r="G3526">
        <v>-511.95859999999999</v>
      </c>
      <c r="H3526">
        <v>6.7801239999999999E-2</v>
      </c>
      <c r="I3526">
        <v>276.94740000000002</v>
      </c>
      <c r="J3526">
        <v>-359.51990000000001</v>
      </c>
      <c r="K3526">
        <v>1.1101219999999901</v>
      </c>
      <c r="L3526">
        <v>283.51190000000003</v>
      </c>
      <c r="M3526">
        <v>-0.99986339999999996</v>
      </c>
      <c r="N3526">
        <v>0</v>
      </c>
      <c r="O3526">
        <v>7.8063129999999996E-3</v>
      </c>
      <c r="P3526">
        <v>-0.99958840000000004</v>
      </c>
      <c r="Q3526">
        <v>2.8642549999999999E-2</v>
      </c>
      <c r="R3526">
        <v>1.7363189999999901E-3</v>
      </c>
      <c r="S3526">
        <v>-3.0020449999999999</v>
      </c>
      <c r="T3526">
        <v>-2.0500419999999998E-2</v>
      </c>
      <c r="U3526">
        <v>-0.12908939999999999</v>
      </c>
      <c r="V3526">
        <v>-6.0423409999999997E-3</v>
      </c>
      <c r="W3526">
        <v>4.3218800000000002E-2</v>
      </c>
      <c r="X3526">
        <v>0.99904729999999997</v>
      </c>
      <c r="Y3526">
        <v>-5.0758039999999997E-2</v>
      </c>
      <c r="Z3526">
        <v>-2.2651680000000001E-4</v>
      </c>
      <c r="AA3526">
        <v>0.99871089999999996</v>
      </c>
      <c r="AB3526">
        <v>34</v>
      </c>
      <c r="AC3526">
        <v>-152.43869999999899</v>
      </c>
      <c r="AD3526">
        <v>-1.04232075999999</v>
      </c>
      <c r="AE3526">
        <v>-6.5644999999999998</v>
      </c>
      <c r="AF3526">
        <v>-7.7540485910976198</v>
      </c>
      <c r="AG3526">
        <v>-1.04232075999999</v>
      </c>
      <c r="AH3526">
        <v>152.37569338757601</v>
      </c>
      <c r="AI3526">
        <v>90.391417267233905</v>
      </c>
      <c r="AJ3526">
        <v>92.913137600631401</v>
      </c>
      <c r="AK3526">
        <v>152.576419008523</v>
      </c>
      <c r="AL3526">
        <v>87.522973484884702</v>
      </c>
      <c r="AM3526">
        <v>90.346526552330005</v>
      </c>
      <c r="AN3526">
        <v>0.99999994109774304</v>
      </c>
    </row>
    <row r="3527" spans="1:40" x14ac:dyDescent="0.25">
      <c r="A3527" t="str">
        <f>"20190312150728241"</f>
        <v>20190312150728241</v>
      </c>
      <c r="B3527" t="str">
        <f>"1552374448233679"</f>
        <v>1552374448233679</v>
      </c>
      <c r="C3527" t="s">
        <v>40</v>
      </c>
      <c r="D3527">
        <v>4.2213909999999997</v>
      </c>
      <c r="E3527">
        <v>0.48339409999999999</v>
      </c>
      <c r="F3527" t="s">
        <v>69</v>
      </c>
      <c r="G3527">
        <v>-511.95859999999999</v>
      </c>
      <c r="H3527">
        <v>4.4002119999999999E-2</v>
      </c>
      <c r="I3527">
        <v>276.9477</v>
      </c>
      <c r="J3527">
        <v>-359.72120000000001</v>
      </c>
      <c r="K3527">
        <v>1.1101219999999901</v>
      </c>
      <c r="L3527">
        <v>283.51350000000002</v>
      </c>
      <c r="M3527">
        <v>-0.99986220000000003</v>
      </c>
      <c r="N3527">
        <v>0</v>
      </c>
      <c r="O3527">
        <v>7.9509200000000002E-3</v>
      </c>
      <c r="P3527">
        <v>-0.99959160000000002</v>
      </c>
      <c r="Q3527">
        <v>2.851863E-2</v>
      </c>
      <c r="R3527">
        <v>1.9566000000000002E-3</v>
      </c>
      <c r="S3527">
        <v>-3.002075</v>
      </c>
      <c r="T3527">
        <v>-2.0994189999999999E-2</v>
      </c>
      <c r="U3527">
        <v>-0.12927249999999901</v>
      </c>
      <c r="V3527">
        <v>-5.9671029999999996E-3</v>
      </c>
      <c r="W3527">
        <v>4.3092560000000002E-2</v>
      </c>
      <c r="X3527">
        <v>0.99905319999999997</v>
      </c>
      <c r="Y3527">
        <v>-5.0962769999999998E-2</v>
      </c>
      <c r="Z3527">
        <v>-2.336963E-4</v>
      </c>
      <c r="AA3527">
        <v>0.99870049999999999</v>
      </c>
      <c r="AB3527">
        <v>34</v>
      </c>
      <c r="AC3527">
        <v>-152.23739999999901</v>
      </c>
      <c r="AD3527">
        <v>-1.06611987999999</v>
      </c>
      <c r="AE3527">
        <v>-6.5658000000000198</v>
      </c>
      <c r="AF3527">
        <v>-7.7757677192948798</v>
      </c>
      <c r="AG3527">
        <v>-1.06611987999999</v>
      </c>
      <c r="AH3527">
        <v>152.172928172138</v>
      </c>
      <c r="AI3527">
        <v>90.400883287025295</v>
      </c>
      <c r="AJ3527">
        <v>92.925168953179593</v>
      </c>
      <c r="AK3527">
        <v>152.37519235002</v>
      </c>
      <c r="AL3527">
        <v>87.530213236132894</v>
      </c>
      <c r="AM3527">
        <v>90.342209756597001</v>
      </c>
      <c r="AN3527">
        <v>0.99999993573790102</v>
      </c>
    </row>
    <row r="3528" spans="1:40" x14ac:dyDescent="0.25">
      <c r="A3528" t="str">
        <f>"20190312150728253"</f>
        <v>20190312150728253</v>
      </c>
      <c r="B3528" t="str">
        <f>"1552374448243438"</f>
        <v>1552374448243438</v>
      </c>
      <c r="C3528" t="s">
        <v>40</v>
      </c>
      <c r="D3528">
        <v>4.2023250000000001</v>
      </c>
      <c r="E3528">
        <v>0.48313539999999999</v>
      </c>
      <c r="F3528" t="s">
        <v>61</v>
      </c>
      <c r="G3528">
        <v>-499.96629999999999</v>
      </c>
      <c r="H3528">
        <v>5.8596139999999998E-2</v>
      </c>
      <c r="I3528">
        <v>277.38189999999997</v>
      </c>
      <c r="J3528">
        <v>-359.89179999999999</v>
      </c>
      <c r="K3528">
        <v>1.1101219999999901</v>
      </c>
      <c r="L3528">
        <v>283.51499999999999</v>
      </c>
      <c r="M3528">
        <v>-0.99986120000000001</v>
      </c>
      <c r="N3528">
        <v>0</v>
      </c>
      <c r="O3528">
        <v>8.0740050000000004E-3</v>
      </c>
      <c r="P3528">
        <v>-0.9995927</v>
      </c>
      <c r="Q3528">
        <v>2.8474449999999998E-2</v>
      </c>
      <c r="R3528">
        <v>1.933901E-3</v>
      </c>
      <c r="S3528">
        <v>-3.0021360000000001</v>
      </c>
      <c r="T3528">
        <v>-2.2509339999999999E-2</v>
      </c>
      <c r="U3528">
        <v>-0.13125609999999999</v>
      </c>
      <c r="V3528">
        <v>-6.1128900000000002E-3</v>
      </c>
      <c r="W3528">
        <v>4.3046830000000001E-2</v>
      </c>
      <c r="X3528">
        <v>0.99905440000000001</v>
      </c>
      <c r="Y3528">
        <v>-5.1743219999999999E-2</v>
      </c>
      <c r="Z3528">
        <v>-2.544E-4</v>
      </c>
      <c r="AA3528">
        <v>0.9986604</v>
      </c>
      <c r="AB3528">
        <v>34</v>
      </c>
      <c r="AC3528">
        <v>-140.0745</v>
      </c>
      <c r="AD3528">
        <v>-1.0515258599999999</v>
      </c>
      <c r="AE3528">
        <v>-6.1331000000000104</v>
      </c>
      <c r="AF3528">
        <v>-7.2635738375428698</v>
      </c>
      <c r="AG3528">
        <v>-1.0515258599999999</v>
      </c>
      <c r="AH3528">
        <v>140.012534204113</v>
      </c>
      <c r="AI3528">
        <v>90.429718351357806</v>
      </c>
      <c r="AJ3528">
        <v>92.969729653536206</v>
      </c>
      <c r="AK3528">
        <v>140.204760781457</v>
      </c>
      <c r="AL3528">
        <v>87.5328360770215</v>
      </c>
      <c r="AM3528">
        <v>90.350569925828495</v>
      </c>
      <c r="AN3528">
        <v>1.00000004557827</v>
      </c>
    </row>
    <row r="3529" spans="1:40" x14ac:dyDescent="0.25">
      <c r="A3529" t="str">
        <f>"20190312150728264"</f>
        <v>20190312150728264</v>
      </c>
      <c r="B3529" t="str">
        <f>"1552374448254174"</f>
        <v>1552374448254174</v>
      </c>
      <c r="C3529" t="s">
        <v>40</v>
      </c>
      <c r="D3529">
        <v>4.2435700000000001</v>
      </c>
      <c r="E3529">
        <v>0.4828673</v>
      </c>
      <c r="F3529" t="s">
        <v>61</v>
      </c>
      <c r="G3529">
        <v>-499.96109999999999</v>
      </c>
      <c r="H3529">
        <v>5.3307790000000001E-2</v>
      </c>
      <c r="I3529">
        <v>277.29140000000001</v>
      </c>
      <c r="J3529">
        <v>-360.06670000000003</v>
      </c>
      <c r="K3529">
        <v>1.110123</v>
      </c>
      <c r="L3529">
        <v>283.51650000000001</v>
      </c>
      <c r="M3529">
        <v>-0.99986019999999998</v>
      </c>
      <c r="N3529">
        <v>0</v>
      </c>
      <c r="O3529">
        <v>8.2000709999999997E-3</v>
      </c>
      <c r="P3529">
        <v>-0.99959379999999998</v>
      </c>
      <c r="Q3529">
        <v>2.8418079999999998E-2</v>
      </c>
      <c r="R3529">
        <v>2.15891E-3</v>
      </c>
      <c r="S3529">
        <v>-3.0021360000000001</v>
      </c>
      <c r="T3529">
        <v>-2.2650960000000001E-2</v>
      </c>
      <c r="U3529">
        <v>-0.13339229999999899</v>
      </c>
      <c r="V3529">
        <v>-6.013816E-3</v>
      </c>
      <c r="W3529">
        <v>4.2988699999999998E-2</v>
      </c>
      <c r="X3529">
        <v>0.99905750000000004</v>
      </c>
      <c r="Y3529">
        <v>-5.2578310000000003E-2</v>
      </c>
      <c r="Z3529">
        <v>-2.6009630000000002E-4</v>
      </c>
      <c r="AA3529">
        <v>0.99861679999999997</v>
      </c>
      <c r="AB3529">
        <v>34</v>
      </c>
      <c r="AC3529">
        <v>-139.894399999999</v>
      </c>
      <c r="AD3529">
        <v>-1.0568152099999999</v>
      </c>
      <c r="AE3529">
        <v>-6.2250999999999896</v>
      </c>
      <c r="AF3529">
        <v>-7.3717366207869004</v>
      </c>
      <c r="AG3529">
        <v>-1.0568152099999999</v>
      </c>
      <c r="AH3529">
        <v>139.83067973305401</v>
      </c>
      <c r="AI3529">
        <v>90.432422510318403</v>
      </c>
      <c r="AJ3529">
        <v>93.017783734345201</v>
      </c>
      <c r="AK3529">
        <v>140.02884829135101</v>
      </c>
      <c r="AL3529">
        <v>87.536169755977596</v>
      </c>
      <c r="AM3529">
        <v>90.344887170116095</v>
      </c>
      <c r="AN3529">
        <v>1.00000004130841</v>
      </c>
    </row>
    <row r="3530" spans="1:40" x14ac:dyDescent="0.25">
      <c r="A3530" t="str">
        <f>"20190312150728276"</f>
        <v>20190312150728276</v>
      </c>
      <c r="B3530" t="str">
        <f>"1552374448273694"</f>
        <v>1552374448273694</v>
      </c>
      <c r="C3530" t="s">
        <v>40</v>
      </c>
      <c r="D3530">
        <v>4.2233199999999904</v>
      </c>
      <c r="E3530">
        <v>0.48223749999999999</v>
      </c>
      <c r="F3530" t="s">
        <v>61</v>
      </c>
      <c r="G3530">
        <v>-499.95780000000002</v>
      </c>
      <c r="H3530">
        <v>2.4239759999999999E-2</v>
      </c>
      <c r="I3530">
        <v>277.23110000000003</v>
      </c>
      <c r="J3530">
        <v>-360.24340000000001</v>
      </c>
      <c r="K3530">
        <v>1.1101240000000001</v>
      </c>
      <c r="L3530">
        <v>283.51819999999998</v>
      </c>
      <c r="M3530">
        <v>-0.99985919999999895</v>
      </c>
      <c r="N3530">
        <v>0</v>
      </c>
      <c r="O3530">
        <v>8.3271519999999905E-3</v>
      </c>
      <c r="P3530">
        <v>-0.99959770000000003</v>
      </c>
      <c r="Q3530">
        <v>2.827611E-2</v>
      </c>
      <c r="R3530">
        <v>2.2155569999999999E-3</v>
      </c>
      <c r="S3530">
        <v>-3.0021360000000001</v>
      </c>
      <c r="T3530">
        <v>-2.3303629999999999E-2</v>
      </c>
      <c r="U3530">
        <v>-0.1348877</v>
      </c>
      <c r="V3530">
        <v>-6.083883E-3</v>
      </c>
      <c r="W3530">
        <v>4.2845309999999998E-2</v>
      </c>
      <c r="X3530">
        <v>0.99906320000000004</v>
      </c>
      <c r="Y3530">
        <v>-5.3201529999999997E-2</v>
      </c>
      <c r="Z3530">
        <v>-2.7099120000000001E-4</v>
      </c>
      <c r="AA3530">
        <v>0.99858369999999996</v>
      </c>
      <c r="AB3530">
        <v>34</v>
      </c>
      <c r="AC3530">
        <v>-139.71440000000001</v>
      </c>
      <c r="AD3530">
        <v>-1.0858842399999999</v>
      </c>
      <c r="AE3530">
        <v>-6.28709999999995</v>
      </c>
      <c r="AF3530">
        <v>-7.4499793795365701</v>
      </c>
      <c r="AG3530">
        <v>-1.0858842399999999</v>
      </c>
      <c r="AH3530">
        <v>139.64877702681301</v>
      </c>
      <c r="AI3530">
        <v>90.444880298158395</v>
      </c>
      <c r="AJ3530">
        <v>93.053719005180398</v>
      </c>
      <c r="AK3530">
        <v>139.85157225581199</v>
      </c>
      <c r="AL3530">
        <v>87.544392887022696</v>
      </c>
      <c r="AM3530">
        <v>90.348903362900899</v>
      </c>
      <c r="AN3530">
        <v>1.00000000590779</v>
      </c>
    </row>
    <row r="3531" spans="1:40" x14ac:dyDescent="0.25">
      <c r="A3531" t="str">
        <f>"20190312150728289"</f>
        <v>20190312150728289</v>
      </c>
      <c r="B3531" t="str">
        <f>"1552374448283454"</f>
        <v>1552374448283454</v>
      </c>
      <c r="C3531" t="s">
        <v>40</v>
      </c>
      <c r="D3531">
        <v>4.2174559999999897</v>
      </c>
      <c r="E3531">
        <v>0.48192839999999998</v>
      </c>
      <c r="F3531" t="s">
        <v>61</v>
      </c>
      <c r="G3531">
        <v>-489.79390000000001</v>
      </c>
      <c r="H3531" s="1">
        <v>2.7526999999999999E-6</v>
      </c>
      <c r="I3531">
        <v>277.48559999999998</v>
      </c>
      <c r="J3531">
        <v>-360.42520000000002</v>
      </c>
      <c r="K3531">
        <v>1.110125</v>
      </c>
      <c r="L3531">
        <v>283.51979999999998</v>
      </c>
      <c r="M3531">
        <v>-0.99985809999999997</v>
      </c>
      <c r="N3531">
        <v>0</v>
      </c>
      <c r="O3531">
        <v>8.4581050000000005E-3</v>
      </c>
      <c r="P3531">
        <v>-0.99959810000000004</v>
      </c>
      <c r="Q3531">
        <v>2.8228469999999999E-2</v>
      </c>
      <c r="R3531">
        <v>2.5890359999999999E-3</v>
      </c>
      <c r="S3531">
        <v>-3.0022579999999999</v>
      </c>
      <c r="T3531">
        <v>-2.572644E-2</v>
      </c>
      <c r="U3531">
        <v>-0.13980100000000001</v>
      </c>
      <c r="V3531">
        <v>-5.8418890000000003E-3</v>
      </c>
      <c r="W3531">
        <v>4.2795769999999997E-2</v>
      </c>
      <c r="X3531">
        <v>0.99906680000000003</v>
      </c>
      <c r="Y3531">
        <v>-5.4960740000000001E-2</v>
      </c>
      <c r="Z3531">
        <v>-3.0779610000000003E-4</v>
      </c>
      <c r="AA3531">
        <v>0.9984885</v>
      </c>
      <c r="AB3531">
        <v>34</v>
      </c>
      <c r="AC3531">
        <v>-129.36869999999999</v>
      </c>
      <c r="AD3531">
        <v>-1.1101222473000001</v>
      </c>
      <c r="AE3531">
        <v>-6.0341999999999896</v>
      </c>
      <c r="AF3531">
        <v>-7.1277905792196297</v>
      </c>
      <c r="AG3531">
        <v>-1.1101222473000001</v>
      </c>
      <c r="AH3531">
        <v>129.303527560541</v>
      </c>
      <c r="AI3531">
        <v>90.491149358195401</v>
      </c>
      <c r="AJ3531">
        <v>93.155207099895406</v>
      </c>
      <c r="AK3531">
        <v>129.504594549941</v>
      </c>
      <c r="AL3531">
        <v>87.547234005107001</v>
      </c>
      <c r="AM3531">
        <v>90.335024414141401</v>
      </c>
      <c r="AN3531">
        <v>1.0000000382296099</v>
      </c>
    </row>
    <row r="3532" spans="1:40" x14ac:dyDescent="0.25">
      <c r="A3532" t="str">
        <f>"20190312150728301"</f>
        <v>20190312150728301</v>
      </c>
      <c r="B3532" t="str">
        <f>"1552374448293214"</f>
        <v>1552374448293214</v>
      </c>
      <c r="C3532" t="s">
        <v>40</v>
      </c>
      <c r="D3532">
        <v>4.2049560000000001</v>
      </c>
      <c r="E3532">
        <v>0.48161369999999998</v>
      </c>
      <c r="F3532" t="s">
        <v>61</v>
      </c>
      <c r="G3532">
        <v>-474.846</v>
      </c>
      <c r="H3532">
        <v>7.999995E-2</v>
      </c>
      <c r="I3532">
        <v>278.14179999999999</v>
      </c>
      <c r="J3532">
        <v>-360.61360000000002</v>
      </c>
      <c r="K3532">
        <v>1.110125</v>
      </c>
      <c r="L3532">
        <v>283.5215</v>
      </c>
      <c r="M3532">
        <v>-0.999857</v>
      </c>
      <c r="N3532">
        <v>0</v>
      </c>
      <c r="O3532">
        <v>8.5938850000000008E-3</v>
      </c>
      <c r="P3532">
        <v>-0.99958829999999999</v>
      </c>
      <c r="Q3532">
        <v>2.857473E-2</v>
      </c>
      <c r="R3532">
        <v>2.6407029999999999E-3</v>
      </c>
      <c r="S3532">
        <v>-3.002319</v>
      </c>
      <c r="T3532">
        <v>-2.7029750000000002E-2</v>
      </c>
      <c r="U3532">
        <v>-0.141113299999999</v>
      </c>
      <c r="V3532">
        <v>-5.9261230000000002E-3</v>
      </c>
      <c r="W3532">
        <v>4.3139249999999997E-2</v>
      </c>
      <c r="X3532">
        <v>0.99905149999999998</v>
      </c>
      <c r="Y3532">
        <v>-5.5530589999999998E-2</v>
      </c>
      <c r="Z3532">
        <v>-3.2716430000000001E-4</v>
      </c>
      <c r="AA3532">
        <v>0.99845700000000004</v>
      </c>
      <c r="AB3532">
        <v>34</v>
      </c>
      <c r="AC3532">
        <v>-114.232399999999</v>
      </c>
      <c r="AD3532">
        <v>-1.0301250500000001</v>
      </c>
      <c r="AE3532">
        <v>-5.3797000000000104</v>
      </c>
      <c r="AF3532">
        <v>-6.3607894231660103</v>
      </c>
      <c r="AG3532">
        <v>-1.0301250500000001</v>
      </c>
      <c r="AH3532">
        <v>114.172679231103</v>
      </c>
      <c r="AI3532">
        <v>90.516137835721295</v>
      </c>
      <c r="AJ3532">
        <v>93.188766627668997</v>
      </c>
      <c r="AK3532">
        <v>114.354368008016</v>
      </c>
      <c r="AL3532">
        <v>87.527535781680101</v>
      </c>
      <c r="AM3532">
        <v>90.339860211937093</v>
      </c>
      <c r="AN3532">
        <v>1.0000000067383099</v>
      </c>
    </row>
    <row r="3533" spans="1:40" x14ac:dyDescent="0.25">
      <c r="A3533" t="str">
        <f>"20190312150728312"</f>
        <v>20190312150728312</v>
      </c>
      <c r="B3533" t="str">
        <f>"1552374448303950"</f>
        <v>1552374448303950</v>
      </c>
      <c r="C3533" t="s">
        <v>40</v>
      </c>
      <c r="D3533">
        <v>4.1718950000000001</v>
      </c>
      <c r="E3533">
        <v>0.48130309999999998</v>
      </c>
      <c r="F3533" t="s">
        <v>61</v>
      </c>
      <c r="G3533">
        <v>-473.9513</v>
      </c>
      <c r="H3533">
        <v>8.0000139999999997E-2</v>
      </c>
      <c r="I3533">
        <v>278.10140000000001</v>
      </c>
      <c r="J3533">
        <v>-360.7851</v>
      </c>
      <c r="K3533">
        <v>1.1101259999999999</v>
      </c>
      <c r="L3533">
        <v>283.5231</v>
      </c>
      <c r="M3533">
        <v>-0.99985590000000002</v>
      </c>
      <c r="N3533">
        <v>0</v>
      </c>
      <c r="O3533">
        <v>8.7179830000000003E-3</v>
      </c>
      <c r="P3533">
        <v>-0.9995927</v>
      </c>
      <c r="Q3533">
        <v>2.8404929999999998E-2</v>
      </c>
      <c r="R3533">
        <v>2.7940080000000002E-3</v>
      </c>
      <c r="S3533">
        <v>-3.0024410000000001</v>
      </c>
      <c r="T3533">
        <v>-2.7289150000000002E-2</v>
      </c>
      <c r="U3533">
        <v>-0.1435852</v>
      </c>
      <c r="V3533">
        <v>-5.8966299999999999E-3</v>
      </c>
      <c r="W3533">
        <v>4.2968220000000001E-2</v>
      </c>
      <c r="X3533">
        <v>0.99905900000000003</v>
      </c>
      <c r="Y3533">
        <v>-5.6472670000000003E-2</v>
      </c>
      <c r="Z3533">
        <v>-3.3569040000000001E-4</v>
      </c>
      <c r="AA3533">
        <v>0.99840410000000002</v>
      </c>
      <c r="AB3533">
        <v>34</v>
      </c>
      <c r="AC3533">
        <v>-113.1662</v>
      </c>
      <c r="AD3533">
        <v>-1.0301258600000001</v>
      </c>
      <c r="AE3533">
        <v>-5.42169999999998</v>
      </c>
      <c r="AF3533">
        <v>-6.40764988318357</v>
      </c>
      <c r="AG3533">
        <v>-1.0301258600000001</v>
      </c>
      <c r="AH3533">
        <v>113.10527671545999</v>
      </c>
      <c r="AI3533">
        <v>90.5209814702595</v>
      </c>
      <c r="AJ3533">
        <v>93.242459555357797</v>
      </c>
      <c r="AK3533">
        <v>113.291318101581</v>
      </c>
      <c r="AL3533">
        <v>87.537344062881999</v>
      </c>
      <c r="AM3533">
        <v>90.338166303811803</v>
      </c>
      <c r="AN3533">
        <v>0.99999996182816098</v>
      </c>
    </row>
    <row r="3534" spans="1:40" x14ac:dyDescent="0.25">
      <c r="A3534" t="str">
        <f>"20190312150728324"</f>
        <v>20190312150728324</v>
      </c>
      <c r="B3534" t="str">
        <f>"1552374448313710"</f>
        <v>1552374448313710</v>
      </c>
      <c r="C3534" t="s">
        <v>40</v>
      </c>
      <c r="D3534">
        <v>4.2005540000000003</v>
      </c>
      <c r="E3534">
        <v>0.4810566</v>
      </c>
      <c r="F3534" t="s">
        <v>61</v>
      </c>
      <c r="G3534">
        <v>-472.67849999999999</v>
      </c>
      <c r="H3534">
        <v>8.0000329999999995E-2</v>
      </c>
      <c r="I3534">
        <v>278.08890000000002</v>
      </c>
      <c r="J3534">
        <v>-360.96379999999999</v>
      </c>
      <c r="K3534">
        <v>1.1101259999999999</v>
      </c>
      <c r="L3534">
        <v>283.52480000000003</v>
      </c>
      <c r="M3534">
        <v>-0.99985489999999999</v>
      </c>
      <c r="N3534">
        <v>0</v>
      </c>
      <c r="O3534">
        <v>8.8472059999999998E-3</v>
      </c>
      <c r="P3534">
        <v>-0.99958320000000001</v>
      </c>
      <c r="Q3534">
        <v>2.8719580000000001E-2</v>
      </c>
      <c r="R3534">
        <v>3.0187880000000001E-3</v>
      </c>
      <c r="S3534">
        <v>-3.00238</v>
      </c>
      <c r="T3534">
        <v>-2.764082E-2</v>
      </c>
      <c r="U3534">
        <v>-0.145813</v>
      </c>
      <c r="V3534">
        <v>-5.8007980000000002E-3</v>
      </c>
      <c r="W3534">
        <v>4.3280260000000001E-2</v>
      </c>
      <c r="X3534">
        <v>0.99904610000000005</v>
      </c>
      <c r="Y3534">
        <v>-5.7341660000000003E-2</v>
      </c>
      <c r="Z3534">
        <v>-3.4520379999999998E-4</v>
      </c>
      <c r="AA3534">
        <v>0.99835459999999998</v>
      </c>
      <c r="AB3534">
        <v>34</v>
      </c>
      <c r="AC3534">
        <v>-111.71469999999999</v>
      </c>
      <c r="AD3534">
        <v>-1.0301256700000001</v>
      </c>
      <c r="AE3534">
        <v>-5.4359000000000002</v>
      </c>
      <c r="AF3534">
        <v>-6.4236100154151901</v>
      </c>
      <c r="AG3534">
        <v>-1.0301256700000001</v>
      </c>
      <c r="AH3534">
        <v>111.65275810068999</v>
      </c>
      <c r="AI3534">
        <v>90.527732144907205</v>
      </c>
      <c r="AJ3534">
        <v>93.292712914478798</v>
      </c>
      <c r="AK3534">
        <v>111.84213122083</v>
      </c>
      <c r="AL3534">
        <v>87.5194488598612</v>
      </c>
      <c r="AM3534">
        <v>90.332674846794504</v>
      </c>
      <c r="AN3534">
        <v>0.99999997004415597</v>
      </c>
    </row>
    <row r="3535" spans="1:40" x14ac:dyDescent="0.25">
      <c r="A3535" t="str">
        <f>"20190312150728336"</f>
        <v>20190312150728336</v>
      </c>
      <c r="B3535" t="str">
        <f>"1552374448333230"</f>
        <v>1552374448333230</v>
      </c>
      <c r="C3535" t="s">
        <v>40</v>
      </c>
      <c r="D3535">
        <v>4.2086829999999997</v>
      </c>
      <c r="E3535">
        <v>0.48053879999999999</v>
      </c>
      <c r="F3535" t="s">
        <v>61</v>
      </c>
      <c r="G3535">
        <v>-473.12650000000002</v>
      </c>
      <c r="H3535">
        <v>8.0000249999999995E-2</v>
      </c>
      <c r="I3535">
        <v>278.03559999999999</v>
      </c>
      <c r="J3535">
        <v>-361.14729999999997</v>
      </c>
      <c r="K3535">
        <v>1.110125</v>
      </c>
      <c r="L3535">
        <v>283.52659999999997</v>
      </c>
      <c r="M3535">
        <v>-0.99985369999999996</v>
      </c>
      <c r="N3535">
        <v>0</v>
      </c>
      <c r="O3535">
        <v>8.9797690000000003E-3</v>
      </c>
      <c r="P3535">
        <v>-0.99958309999999995</v>
      </c>
      <c r="Q3535">
        <v>2.870901E-2</v>
      </c>
      <c r="R3535">
        <v>3.0892039999999999E-3</v>
      </c>
      <c r="S3535">
        <v>-3.0025019999999998</v>
      </c>
      <c r="T3535">
        <v>-2.757561E-2</v>
      </c>
      <c r="U3535">
        <v>-0.14694209999999999</v>
      </c>
      <c r="V3535">
        <v>-5.8632069999999996E-3</v>
      </c>
      <c r="W3535">
        <v>4.3268349999999997E-2</v>
      </c>
      <c r="X3535">
        <v>0.99904630000000005</v>
      </c>
      <c r="Y3535">
        <v>-5.7846590000000003E-2</v>
      </c>
      <c r="Z3535">
        <v>-3.4790670000000001E-4</v>
      </c>
      <c r="AA3535">
        <v>0.99832540000000003</v>
      </c>
      <c r="AB3535">
        <v>34</v>
      </c>
      <c r="AC3535">
        <v>-111.97920000000001</v>
      </c>
      <c r="AD3535">
        <v>-1.0301247499999999</v>
      </c>
      <c r="AE3535">
        <v>-5.4909999999999801</v>
      </c>
      <c r="AF3535">
        <v>-6.4958840831098303</v>
      </c>
      <c r="AG3535">
        <v>-1.0301247499999999</v>
      </c>
      <c r="AH3535">
        <v>111.91592272034499</v>
      </c>
      <c r="AI3535">
        <v>90.526475330211298</v>
      </c>
      <c r="AJ3535">
        <v>93.321865362534197</v>
      </c>
      <c r="AK3535">
        <v>112.10901580768601</v>
      </c>
      <c r="AL3535">
        <v>87.520132012516399</v>
      </c>
      <c r="AM3535">
        <v>90.336253844004901</v>
      </c>
      <c r="AN3535">
        <v>1.0000000184258599</v>
      </c>
    </row>
    <row r="3536" spans="1:40" x14ac:dyDescent="0.25">
      <c r="A3536" t="str">
        <f>"20190312150728351"</f>
        <v>20190312150728351</v>
      </c>
      <c r="B3536" t="str">
        <f>"1552374448343970"</f>
        <v>1552374448343970</v>
      </c>
      <c r="C3536" t="s">
        <v>40</v>
      </c>
      <c r="D3536">
        <v>4.1372799999999996</v>
      </c>
      <c r="E3536">
        <v>0.48053879999999999</v>
      </c>
      <c r="F3536" t="s">
        <v>67</v>
      </c>
      <c r="G3536">
        <v>-467.88670000000002</v>
      </c>
      <c r="H3536">
        <v>8.0000899999999903E-2</v>
      </c>
      <c r="I3536">
        <v>278.15980000000002</v>
      </c>
      <c r="J3536">
        <v>-361.36919999999998</v>
      </c>
      <c r="K3536">
        <v>1.110125</v>
      </c>
      <c r="L3536">
        <v>283.52870000000001</v>
      </c>
      <c r="M3536">
        <v>-0.99985219999999997</v>
      </c>
      <c r="N3536">
        <v>0</v>
      </c>
      <c r="O3536">
        <v>9.1404069999999997E-3</v>
      </c>
      <c r="P3536">
        <v>-0.99958979999999997</v>
      </c>
      <c r="Q3536">
        <v>2.8451819999999999E-2</v>
      </c>
      <c r="R3536">
        <v>3.3025260000000001E-3</v>
      </c>
      <c r="S3536">
        <v>-3.0025940000000002</v>
      </c>
      <c r="T3536">
        <v>-2.8977510000000001E-2</v>
      </c>
      <c r="U3536">
        <v>-0.15097049999999901</v>
      </c>
      <c r="V3536">
        <v>-5.810394E-3</v>
      </c>
      <c r="W3536">
        <v>4.3008709999999999E-2</v>
      </c>
      <c r="X3536">
        <v>0.9990578</v>
      </c>
      <c r="Y3536">
        <v>-5.9341140000000001E-2</v>
      </c>
      <c r="Z3536">
        <v>-3.7432639999999999E-4</v>
      </c>
      <c r="AA3536">
        <v>0.99823770000000001</v>
      </c>
      <c r="AB3536">
        <v>34</v>
      </c>
      <c r="AC3536">
        <v>-106.5175</v>
      </c>
      <c r="AD3536">
        <v>-1.0301241000000001</v>
      </c>
      <c r="AE3536">
        <v>-5.3688999999999902</v>
      </c>
      <c r="AF3536">
        <v>-6.34180058035101</v>
      </c>
      <c r="AG3536">
        <v>-1.0301241000000001</v>
      </c>
      <c r="AH3536">
        <v>106.45403911775701</v>
      </c>
      <c r="AI3536">
        <v>90.553435797136501</v>
      </c>
      <c r="AJ3536">
        <v>93.409259769241302</v>
      </c>
      <c r="AK3536">
        <v>106.64774744338099</v>
      </c>
      <c r="AL3536">
        <v>87.5350221012379</v>
      </c>
      <c r="AM3536">
        <v>90.333221261152403</v>
      </c>
      <c r="AN3536">
        <v>0.99999999877756895</v>
      </c>
    </row>
    <row r="3537" spans="1:40" x14ac:dyDescent="0.25">
      <c r="A3537" t="str">
        <f>"20190312150728365"</f>
        <v>20190312150728365</v>
      </c>
      <c r="B3537" t="str">
        <f>"1552374448353726"</f>
        <v>1552374448353726</v>
      </c>
      <c r="C3537" t="s">
        <v>40</v>
      </c>
      <c r="D3537">
        <v>4.1944749999999997</v>
      </c>
      <c r="E3537">
        <v>0.47087410000000002</v>
      </c>
      <c r="F3537" t="s">
        <v>67</v>
      </c>
      <c r="G3537">
        <v>-465.40109999999999</v>
      </c>
      <c r="H3537">
        <v>8.0001619999999996E-2</v>
      </c>
      <c r="I3537">
        <v>278.32130000000001</v>
      </c>
      <c r="J3537">
        <v>-361.56909999999999</v>
      </c>
      <c r="K3537">
        <v>1.110123</v>
      </c>
      <c r="L3537">
        <v>283.53070000000002</v>
      </c>
      <c r="M3537">
        <v>-0.99985100000000005</v>
      </c>
      <c r="N3537">
        <v>0</v>
      </c>
      <c r="O3537">
        <v>9.2850090000000003E-3</v>
      </c>
      <c r="P3537">
        <v>-0.99958420000000003</v>
      </c>
      <c r="Q3537">
        <v>2.8647740000000001E-2</v>
      </c>
      <c r="R3537">
        <v>3.298259E-3</v>
      </c>
      <c r="S3537">
        <v>-3.0025629999999999</v>
      </c>
      <c r="T3537">
        <v>-2.973139E-2</v>
      </c>
      <c r="U3537">
        <v>-0.15029909999999999</v>
      </c>
      <c r="V3537">
        <v>-5.9594540000000003E-3</v>
      </c>
      <c r="W3537">
        <v>4.3202129999999998E-2</v>
      </c>
      <c r="X3537">
        <v>0.99904859999999895</v>
      </c>
      <c r="Y3537">
        <v>-5.926319E-2</v>
      </c>
      <c r="Z3537">
        <v>-3.8511589999999998E-4</v>
      </c>
      <c r="AA3537">
        <v>0.99824230000000003</v>
      </c>
      <c r="AB3537">
        <v>34</v>
      </c>
      <c r="AC3537">
        <v>-103.83199999999999</v>
      </c>
      <c r="AD3537">
        <v>-1.03012138</v>
      </c>
      <c r="AE3537">
        <v>-5.2094000000000102</v>
      </c>
      <c r="AF3537">
        <v>-6.1727525033120596</v>
      </c>
      <c r="AG3537">
        <v>-1.03012138</v>
      </c>
      <c r="AH3537">
        <v>103.76896073146099</v>
      </c>
      <c r="AI3537">
        <v>90.567756775098104</v>
      </c>
      <c r="AJ3537">
        <v>93.404258720663293</v>
      </c>
      <c r="AK3537">
        <v>103.95749725157999</v>
      </c>
      <c r="AL3537">
        <v>87.523929699314607</v>
      </c>
      <c r="AM3537">
        <v>90.341772675081401</v>
      </c>
      <c r="AN3537">
        <v>1.0000000221452301</v>
      </c>
    </row>
    <row r="3538" spans="1:40" x14ac:dyDescent="0.25">
      <c r="A3538" t="str">
        <f>"20190312150728379"</f>
        <v>20190312150728379</v>
      </c>
      <c r="B3538" t="str">
        <f>"1552374448373246"</f>
        <v>1552374448373246</v>
      </c>
      <c r="C3538" t="s">
        <v>40</v>
      </c>
      <c r="D3538">
        <v>4.1986169999999996</v>
      </c>
      <c r="E3538">
        <v>0.47124509999999997</v>
      </c>
      <c r="F3538" t="s">
        <v>68</v>
      </c>
      <c r="G3538">
        <v>-428.6891</v>
      </c>
      <c r="H3538" s="1">
        <v>3.1752679999999999E-6</v>
      </c>
      <c r="I3538">
        <v>278.4273</v>
      </c>
      <c r="J3538">
        <v>-361.79349999999999</v>
      </c>
      <c r="K3538">
        <v>1.1101219999999901</v>
      </c>
      <c r="L3538">
        <v>283.53300000000002</v>
      </c>
      <c r="M3538">
        <v>-0.99984960000000001</v>
      </c>
      <c r="N3538">
        <v>0</v>
      </c>
      <c r="O3538">
        <v>9.4471399999999997E-3</v>
      </c>
      <c r="P3538">
        <v>-0.99959010000000004</v>
      </c>
      <c r="Q3538">
        <v>2.8434629999999999E-2</v>
      </c>
      <c r="R3538">
        <v>3.371317E-3</v>
      </c>
      <c r="S3538">
        <v>-3.0034480000000001</v>
      </c>
      <c r="T3538">
        <v>-4.9674990000000002E-2</v>
      </c>
      <c r="U3538">
        <v>-0.22836300000000001</v>
      </c>
      <c r="V3538">
        <v>-6.0481160000000001E-3</v>
      </c>
      <c r="W3538">
        <v>4.2986799999999999E-2</v>
      </c>
      <c r="X3538">
        <v>0.99905739999999998</v>
      </c>
      <c r="Y3538">
        <v>-8.5219470000000005E-2</v>
      </c>
      <c r="Z3538">
        <v>-8.5971449999999998E-4</v>
      </c>
      <c r="AA3538">
        <v>0.99636190000000002</v>
      </c>
      <c r="AB3538">
        <v>34</v>
      </c>
      <c r="AC3538">
        <v>-66.895600000000002</v>
      </c>
      <c r="AD3538">
        <v>-1.11011882473199</v>
      </c>
      <c r="AE3538">
        <v>-5.1057000000000103</v>
      </c>
      <c r="AF3538">
        <v>-5.7359406015911603</v>
      </c>
      <c r="AG3538">
        <v>-1.11011882473199</v>
      </c>
      <c r="AH3538">
        <v>66.826078304213397</v>
      </c>
      <c r="AI3538">
        <v>90.948227430314006</v>
      </c>
      <c r="AJ3538">
        <v>94.905893818609698</v>
      </c>
      <c r="AK3538">
        <v>67.080981804911502</v>
      </c>
      <c r="AL3538">
        <v>87.536278780999794</v>
      </c>
      <c r="AM3538">
        <v>90.346854232380593</v>
      </c>
      <c r="AN3538">
        <v>1.0000000665880699</v>
      </c>
    </row>
    <row r="3539" spans="1:40" x14ac:dyDescent="0.25">
      <c r="A3539" t="str">
        <f>"20190312150728392"</f>
        <v>20190312150728392</v>
      </c>
      <c r="B3539" t="str">
        <f>"1552374448383982"</f>
        <v>1552374448383982</v>
      </c>
      <c r="C3539" t="s">
        <v>40</v>
      </c>
      <c r="D3539">
        <v>4.1436769999999896</v>
      </c>
      <c r="E3539">
        <v>0.47105659999999999</v>
      </c>
      <c r="F3539" t="s">
        <v>68</v>
      </c>
      <c r="G3539">
        <v>-418.16120000000001</v>
      </c>
      <c r="H3539" s="1">
        <v>4.2016770000000004E-6</v>
      </c>
      <c r="I3539">
        <v>279.30189999999999</v>
      </c>
      <c r="J3539">
        <v>-361.99520000000001</v>
      </c>
      <c r="K3539">
        <v>1.1101219999999901</v>
      </c>
      <c r="L3539">
        <v>283.5351</v>
      </c>
      <c r="M3539">
        <v>-0.99984810000000002</v>
      </c>
      <c r="N3539">
        <v>0</v>
      </c>
      <c r="O3539">
        <v>9.5931149999999993E-3</v>
      </c>
      <c r="P3539">
        <v>-0.99959129999999996</v>
      </c>
      <c r="Q3539">
        <v>2.8388360000000001E-2</v>
      </c>
      <c r="R3539">
        <v>3.4008340000000001E-3</v>
      </c>
      <c r="S3539">
        <v>-3.0036930000000002</v>
      </c>
      <c r="T3539">
        <v>-5.9155340000000001E-2</v>
      </c>
      <c r="U3539">
        <v>-0.22546389999999999</v>
      </c>
      <c r="V3539">
        <v>-6.1648450000000004E-3</v>
      </c>
      <c r="W3539">
        <v>4.2938209999999997E-2</v>
      </c>
      <c r="X3539">
        <v>0.99905869999999997</v>
      </c>
      <c r="Y3539">
        <v>-8.4397310000000003E-2</v>
      </c>
      <c r="Z3539">
        <v>-1.018501E-3</v>
      </c>
      <c r="AA3539">
        <v>0.99643159999999997</v>
      </c>
      <c r="AB3539">
        <v>34</v>
      </c>
      <c r="AC3539">
        <v>-56.165999999999997</v>
      </c>
      <c r="AD3539">
        <v>-1.11011779832299</v>
      </c>
      <c r="AE3539">
        <v>-4.2332000000000098</v>
      </c>
      <c r="AF3539">
        <v>-4.7700162246085496</v>
      </c>
      <c r="AG3539">
        <v>-1.11011779832299</v>
      </c>
      <c r="AH3539">
        <v>56.101008865976397</v>
      </c>
      <c r="AI3539">
        <v>91.129537298186605</v>
      </c>
      <c r="AJ3539">
        <v>94.859913371790896</v>
      </c>
      <c r="AK3539">
        <v>56.314373050665701</v>
      </c>
      <c r="AL3539">
        <v>87.539065168555695</v>
      </c>
      <c r="AM3539">
        <v>90.3535479114271</v>
      </c>
      <c r="AN3539">
        <v>0.99999999061878397</v>
      </c>
    </row>
    <row r="3540" spans="1:40" x14ac:dyDescent="0.25">
      <c r="A3540" t="str">
        <f>"20190312150728407"</f>
        <v>20190312150728407</v>
      </c>
      <c r="B3540" t="str">
        <f>"1552374448403503"</f>
        <v>1552374448403503</v>
      </c>
      <c r="C3540" t="s">
        <v>40</v>
      </c>
      <c r="D3540">
        <v>4.1986169999999996</v>
      </c>
      <c r="E3540">
        <v>0.47125489999999998</v>
      </c>
      <c r="F3540" t="s">
        <v>68</v>
      </c>
      <c r="G3540">
        <v>-411.15499999999997</v>
      </c>
      <c r="H3540" s="1">
        <v>2.830044E-6</v>
      </c>
      <c r="I3540">
        <v>279.81880000000001</v>
      </c>
      <c r="J3540">
        <v>-362.1977</v>
      </c>
      <c r="K3540">
        <v>1.110128</v>
      </c>
      <c r="L3540">
        <v>283.53710000000001</v>
      </c>
      <c r="M3540">
        <v>-0.99984669999999998</v>
      </c>
      <c r="N3540">
        <v>0</v>
      </c>
      <c r="O3540">
        <v>9.7397439999999998E-3</v>
      </c>
      <c r="P3540">
        <v>-0.99958610000000003</v>
      </c>
      <c r="Q3540">
        <v>2.8566069999999999E-2</v>
      </c>
      <c r="R3540">
        <v>3.4585190000000002E-3</v>
      </c>
      <c r="S3540">
        <v>-3.0039370000000001</v>
      </c>
      <c r="T3540">
        <v>-6.783438E-2</v>
      </c>
      <c r="U3540">
        <v>-0.22708130000000001</v>
      </c>
      <c r="V3540">
        <v>-6.2538810000000002E-3</v>
      </c>
      <c r="W3540">
        <v>4.3113989999999998E-2</v>
      </c>
      <c r="X3540">
        <v>0.99905060000000001</v>
      </c>
      <c r="Y3540">
        <v>-8.506495E-2</v>
      </c>
      <c r="Z3540">
        <v>-1.1786120000000001E-3</v>
      </c>
      <c r="AA3540">
        <v>0.99637469999999995</v>
      </c>
      <c r="AB3540">
        <v>34</v>
      </c>
      <c r="AC3540">
        <v>-48.957299999999897</v>
      </c>
      <c r="AD3540">
        <v>-1.110125169956</v>
      </c>
      <c r="AE3540">
        <v>-3.7182999999999899</v>
      </c>
      <c r="AF3540">
        <v>-4.1928621568935203</v>
      </c>
      <c r="AG3540">
        <v>-1.110125169956</v>
      </c>
      <c r="AH3540">
        <v>48.893762568474003</v>
      </c>
      <c r="AI3540">
        <v>91.295913555947607</v>
      </c>
      <c r="AJ3540">
        <v>94.901382070551506</v>
      </c>
      <c r="AK3540">
        <v>49.085766664706199</v>
      </c>
      <c r="AL3540">
        <v>87.528984439453495</v>
      </c>
      <c r="AM3540">
        <v>90.3586568154509</v>
      </c>
      <c r="AN3540">
        <v>1.0000000142608201</v>
      </c>
    </row>
    <row r="3541" spans="1:40" x14ac:dyDescent="0.25">
      <c r="A3541" t="str">
        <f>"20190312150728430"</f>
        <v>20190312150728430</v>
      </c>
      <c r="B3541" t="str">
        <f>"1552374448423998"</f>
        <v>1552374448423998</v>
      </c>
      <c r="C3541" t="s">
        <v>40</v>
      </c>
      <c r="D3541">
        <v>4.2286539999999997</v>
      </c>
      <c r="E3541">
        <v>0.47117160000000002</v>
      </c>
      <c r="F3541" t="s">
        <v>68</v>
      </c>
      <c r="G3541">
        <v>-413.82</v>
      </c>
      <c r="H3541" s="1">
        <v>3.316435E-6</v>
      </c>
      <c r="I3541">
        <v>279.66250000000002</v>
      </c>
      <c r="J3541">
        <v>-362.548</v>
      </c>
      <c r="K3541">
        <v>1.110128</v>
      </c>
      <c r="L3541">
        <v>283.54079999999999</v>
      </c>
      <c r="M3541">
        <v>-0.99984430000000002</v>
      </c>
      <c r="N3541">
        <v>0</v>
      </c>
      <c r="O3541">
        <v>9.9927139999999998E-3</v>
      </c>
      <c r="P3541">
        <v>-0.99957819999999997</v>
      </c>
      <c r="Q3541">
        <v>2.8784110000000002E-2</v>
      </c>
      <c r="R3541">
        <v>3.882969E-3</v>
      </c>
      <c r="S3541">
        <v>-3.003876</v>
      </c>
      <c r="T3541">
        <v>-6.459761E-2</v>
      </c>
      <c r="U3541">
        <v>-0.22546389999999999</v>
      </c>
      <c r="V3541">
        <v>-6.0818510000000001E-3</v>
      </c>
      <c r="W3541">
        <v>4.3327890000000001E-2</v>
      </c>
      <c r="X3541">
        <v>0.9990424</v>
      </c>
      <c r="Y3541">
        <v>-8.4787340000000003E-2</v>
      </c>
      <c r="Z3541">
        <v>-1.1248849999999999E-3</v>
      </c>
      <c r="AA3541">
        <v>0.99639840000000002</v>
      </c>
      <c r="AB3541">
        <v>34</v>
      </c>
      <c r="AC3541">
        <v>-51.271999999999899</v>
      </c>
      <c r="AD3541">
        <v>-1.110124683565</v>
      </c>
      <c r="AE3541">
        <v>-3.8782999999999599</v>
      </c>
      <c r="AF3541">
        <v>-4.38846136385476</v>
      </c>
      <c r="AG3541">
        <v>-1.110124683565</v>
      </c>
      <c r="AH3541">
        <v>51.206811757689302</v>
      </c>
      <c r="AI3541">
        <v>91.237399944243805</v>
      </c>
      <c r="AJ3541">
        <v>94.898321671409803</v>
      </c>
      <c r="AK3541">
        <v>51.406502899366103</v>
      </c>
      <c r="AL3541">
        <v>87.516717388725596</v>
      </c>
      <c r="AM3541">
        <v>90.348794094568106</v>
      </c>
      <c r="AN3541">
        <v>1.00000000598059</v>
      </c>
    </row>
    <row r="3542" spans="1:40" x14ac:dyDescent="0.25">
      <c r="A3542" t="str">
        <f>"20190312150728443"</f>
        <v>20190312150728443</v>
      </c>
      <c r="B3542" t="str">
        <f>"1552374448433759"</f>
        <v>1552374448433759</v>
      </c>
      <c r="C3542" t="s">
        <v>40</v>
      </c>
      <c r="D3542">
        <v>4.207668</v>
      </c>
      <c r="E3542">
        <v>0.47125590000000001</v>
      </c>
      <c r="F3542" t="s">
        <v>68</v>
      </c>
      <c r="G3542">
        <v>-420.34989999999999</v>
      </c>
      <c r="H3542" s="1">
        <v>4.4634560000000002E-6</v>
      </c>
      <c r="I3542">
        <v>279.21690000000001</v>
      </c>
      <c r="J3542">
        <v>-362.75889999999998</v>
      </c>
      <c r="K3542">
        <v>1.1101319999999999</v>
      </c>
      <c r="L3542">
        <v>283.54309999999998</v>
      </c>
      <c r="M3542">
        <v>-0.99984280000000003</v>
      </c>
      <c r="N3542">
        <v>0</v>
      </c>
      <c r="O3542">
        <v>1.0145009999999999E-2</v>
      </c>
      <c r="P3542">
        <v>-0.99958530000000001</v>
      </c>
      <c r="Q3542">
        <v>2.850745E-2</v>
      </c>
      <c r="R3542">
        <v>4.1010150000000004E-3</v>
      </c>
      <c r="S3542">
        <v>-3.003784</v>
      </c>
      <c r="T3542">
        <v>-5.7689669999999998E-2</v>
      </c>
      <c r="U3542">
        <v>-0.22470090000000001</v>
      </c>
      <c r="V3542">
        <v>-6.0161829999999996E-3</v>
      </c>
      <c r="W3542">
        <v>4.3049200000000003E-2</v>
      </c>
      <c r="X3542">
        <v>0.99905480000000002</v>
      </c>
      <c r="Y3542">
        <v>-8.469409E-2</v>
      </c>
      <c r="Z3542">
        <v>-1.0066820000000001E-3</v>
      </c>
      <c r="AA3542">
        <v>0.99640649999999997</v>
      </c>
      <c r="AB3542">
        <v>33</v>
      </c>
      <c r="AC3542">
        <v>-57.591000000000001</v>
      </c>
      <c r="AD3542">
        <v>-1.110127536544</v>
      </c>
      <c r="AE3542">
        <v>-4.3261999999999698</v>
      </c>
      <c r="AF3542">
        <v>-4.9084867760821398</v>
      </c>
      <c r="AG3542">
        <v>-1.110127536544</v>
      </c>
      <c r="AH3542">
        <v>57.522888001820199</v>
      </c>
      <c r="AI3542">
        <v>91.101605011826393</v>
      </c>
      <c r="AJ3542">
        <v>94.877292463291994</v>
      </c>
      <c r="AK3542">
        <v>57.742603592566802</v>
      </c>
      <c r="AL3542">
        <v>87.532699950586803</v>
      </c>
      <c r="AM3542">
        <v>90.345023844668006</v>
      </c>
      <c r="AN3542">
        <v>0.99999996074078401</v>
      </c>
    </row>
    <row r="3543" spans="1:40" x14ac:dyDescent="0.25">
      <c r="A3543" t="str">
        <f>"20190312150728457"</f>
        <v>20190312150728457</v>
      </c>
      <c r="B3543" t="str">
        <f>"1552374448453279"</f>
        <v>1552374448453279</v>
      </c>
      <c r="C3543" t="s">
        <v>40</v>
      </c>
      <c r="D3543">
        <v>4.2096920000000004</v>
      </c>
      <c r="E3543">
        <v>0.47145510000000002</v>
      </c>
      <c r="F3543" t="s">
        <v>68</v>
      </c>
      <c r="G3543">
        <v>-418.00940000000003</v>
      </c>
      <c r="H3543" s="1">
        <v>4.1275730000000004E-6</v>
      </c>
      <c r="I3543">
        <v>279.43540000000002</v>
      </c>
      <c r="J3543">
        <v>-362.94439999999997</v>
      </c>
      <c r="K3543">
        <v>1.110131</v>
      </c>
      <c r="L3543">
        <v>283.54509999999999</v>
      </c>
      <c r="M3543">
        <v>-0.99984150000000005</v>
      </c>
      <c r="N3543">
        <v>0</v>
      </c>
      <c r="O3543">
        <v>1.027936E-2</v>
      </c>
      <c r="P3543">
        <v>-0.99957589999999996</v>
      </c>
      <c r="Q3543">
        <v>2.8810869999999999E-2</v>
      </c>
      <c r="R3543">
        <v>4.3160330000000004E-3</v>
      </c>
      <c r="S3543">
        <v>-3.0038450000000001</v>
      </c>
      <c r="T3543">
        <v>-6.0355069999999997E-2</v>
      </c>
      <c r="U3543">
        <v>-0.22332759999999999</v>
      </c>
      <c r="V3543">
        <v>-5.9355959999999996E-3</v>
      </c>
      <c r="W3543">
        <v>4.335029E-2</v>
      </c>
      <c r="X3543">
        <v>0.99904230000000005</v>
      </c>
      <c r="Y3543">
        <v>-8.4371860000000007E-2</v>
      </c>
      <c r="Z3543">
        <v>-1.0526439999999999E-3</v>
      </c>
      <c r="AA3543">
        <v>0.99643380000000004</v>
      </c>
      <c r="AB3543">
        <v>33</v>
      </c>
      <c r="AC3543">
        <v>-55.064999999999998</v>
      </c>
      <c r="AD3543">
        <v>-1.1101268724269999</v>
      </c>
      <c r="AE3543">
        <v>-4.1096999999999699</v>
      </c>
      <c r="AF3543">
        <v>-4.6736865541887704</v>
      </c>
      <c r="AG3543">
        <v>-1.1101268724269999</v>
      </c>
      <c r="AH3543">
        <v>54.997611250560503</v>
      </c>
      <c r="AI3543">
        <v>91.152206613343097</v>
      </c>
      <c r="AJ3543">
        <v>94.8573144128802</v>
      </c>
      <c r="AK3543">
        <v>55.207001104456602</v>
      </c>
      <c r="AL3543">
        <v>87.515432736581104</v>
      </c>
      <c r="AM3543">
        <v>90.3404066056506</v>
      </c>
      <c r="AN3543">
        <v>0.99999999806612405</v>
      </c>
    </row>
    <row r="3544" spans="1:40" x14ac:dyDescent="0.25">
      <c r="A3544" t="str">
        <f>"20190312150728473"</f>
        <v>20190312150728473</v>
      </c>
      <c r="B3544" t="str">
        <f>"1552374448464015"</f>
        <v>1552374448464015</v>
      </c>
      <c r="C3544" t="s">
        <v>40</v>
      </c>
      <c r="D3544">
        <v>4.1681730000000003</v>
      </c>
      <c r="E3544">
        <v>0.47145670000000001</v>
      </c>
      <c r="F3544" t="s">
        <v>68</v>
      </c>
      <c r="G3544">
        <v>-417.30160000000001</v>
      </c>
      <c r="H3544" s="1">
        <v>3.9640840000000003E-6</v>
      </c>
      <c r="I3544">
        <v>279.54270000000002</v>
      </c>
      <c r="J3544">
        <v>-363.20119999999997</v>
      </c>
      <c r="K3544">
        <v>1.1101399999999999</v>
      </c>
      <c r="L3544">
        <v>283.54790000000003</v>
      </c>
      <c r="M3544">
        <v>-0.99983949999999999</v>
      </c>
      <c r="N3544">
        <v>0</v>
      </c>
      <c r="O3544">
        <v>1.046533E-2</v>
      </c>
      <c r="P3544">
        <v>-0.99957669999999998</v>
      </c>
      <c r="Q3544">
        <v>2.8779229999999999E-2</v>
      </c>
      <c r="R3544">
        <v>4.2360920000000003E-3</v>
      </c>
      <c r="S3544">
        <v>-3.0040279999999999</v>
      </c>
      <c r="T3544">
        <v>-6.1350700000000001E-2</v>
      </c>
      <c r="U3544">
        <v>-0.22119140000000001</v>
      </c>
      <c r="V3544">
        <v>-6.201425E-3</v>
      </c>
      <c r="W3544">
        <v>4.3315979999999997E-2</v>
      </c>
      <c r="X3544">
        <v>0.99904219999999999</v>
      </c>
      <c r="Y3544">
        <v>-8.3847389999999994E-2</v>
      </c>
      <c r="Z3544">
        <v>-1.068414E-3</v>
      </c>
      <c r="AA3544">
        <v>0.99647799999999997</v>
      </c>
      <c r="AB3544">
        <v>33</v>
      </c>
      <c r="AC3544">
        <v>-54.1004</v>
      </c>
      <c r="AD3544">
        <v>-1.110136035916</v>
      </c>
      <c r="AE3544">
        <v>-4.0052000000000003</v>
      </c>
      <c r="AF3544">
        <v>-4.5693055274819603</v>
      </c>
      <c r="AG3544">
        <v>-1.110136035916</v>
      </c>
      <c r="AH3544">
        <v>54.0328890360529</v>
      </c>
      <c r="AI3544">
        <v>91.1728234076825</v>
      </c>
      <c r="AJ3544">
        <v>94.833732150073303</v>
      </c>
      <c r="AK3544">
        <v>54.237109552446903</v>
      </c>
      <c r="AL3544">
        <v>87.517400468936202</v>
      </c>
      <c r="AM3544">
        <v>90.355651559028999</v>
      </c>
      <c r="AN3544">
        <v>1.00000002458811</v>
      </c>
    </row>
    <row r="3545" spans="1:40" x14ac:dyDescent="0.25">
      <c r="A3545" t="str">
        <f>"20190312150728488"</f>
        <v>20190312150728488</v>
      </c>
      <c r="B3545" t="str">
        <f>"1552374448483535"</f>
        <v>1552374448483535</v>
      </c>
      <c r="C3545" t="s">
        <v>40</v>
      </c>
      <c r="D3545">
        <v>4.3786379999999996</v>
      </c>
      <c r="E3545">
        <v>0.47191719999999998</v>
      </c>
      <c r="F3545" t="s">
        <v>68</v>
      </c>
      <c r="G3545">
        <v>-419.08330000000001</v>
      </c>
      <c r="H3545" s="1">
        <v>4.3192320000000001E-6</v>
      </c>
      <c r="I3545">
        <v>279.43200000000002</v>
      </c>
      <c r="J3545">
        <v>-363.40600000000001</v>
      </c>
      <c r="K3545">
        <v>1.1101399999999999</v>
      </c>
      <c r="L3545">
        <v>283.55020000000002</v>
      </c>
      <c r="M3545">
        <v>-0.99983809999999995</v>
      </c>
      <c r="N3545">
        <v>0</v>
      </c>
      <c r="O3545">
        <v>1.061345E-2</v>
      </c>
      <c r="P3545">
        <v>-0.99957169999999895</v>
      </c>
      <c r="Q3545">
        <v>2.894921E-2</v>
      </c>
      <c r="R3545">
        <v>4.348307E-3</v>
      </c>
      <c r="S3545">
        <v>-3.0039669999999998</v>
      </c>
      <c r="T3545">
        <v>-5.9675930000000002E-2</v>
      </c>
      <c r="U3545">
        <v>-0.22125239999999999</v>
      </c>
      <c r="V3545">
        <v>-6.2371070000000004E-3</v>
      </c>
      <c r="W3545">
        <v>4.3483679999999997E-2</v>
      </c>
      <c r="X3545">
        <v>0.99903459999999999</v>
      </c>
      <c r="Y3545">
        <v>-8.4017620000000001E-2</v>
      </c>
      <c r="Z3545">
        <v>-1.043902E-3</v>
      </c>
      <c r="AA3545">
        <v>0.99646369999999895</v>
      </c>
      <c r="AB3545">
        <v>33</v>
      </c>
      <c r="AC3545">
        <v>-55.677300000000002</v>
      </c>
      <c r="AD3545">
        <v>-1.1101356807679901</v>
      </c>
      <c r="AE3545">
        <v>-4.1181999999999999</v>
      </c>
      <c r="AF3545">
        <v>-4.7070974850912499</v>
      </c>
      <c r="AG3545">
        <v>-1.1101356807679901</v>
      </c>
      <c r="AH3545">
        <v>55.608463370295802</v>
      </c>
      <c r="AI3545">
        <v>91.139594075973903</v>
      </c>
      <c r="AJ3545">
        <v>94.838390059533694</v>
      </c>
      <c r="AK3545">
        <v>55.818369434885803</v>
      </c>
      <c r="AL3545">
        <v>87.507782674123703</v>
      </c>
      <c r="AM3545">
        <v>90.357700588822397</v>
      </c>
      <c r="AN3545">
        <v>0.99999993196361303</v>
      </c>
    </row>
    <row r="3546" spans="1:40" x14ac:dyDescent="0.25">
      <c r="A3546" t="str">
        <f>"20190312150728501"</f>
        <v>20190312150728501</v>
      </c>
      <c r="B3546" t="str">
        <f>"1552374448493295"</f>
        <v>1552374448493295</v>
      </c>
      <c r="C3546" t="s">
        <v>40</v>
      </c>
      <c r="D3546">
        <v>4.2797609999999997</v>
      </c>
      <c r="E3546">
        <v>0.50617820000000002</v>
      </c>
      <c r="F3546" t="s">
        <v>68</v>
      </c>
      <c r="G3546">
        <v>-420.52890000000002</v>
      </c>
      <c r="H3546" s="1">
        <v>4.3607700000000003E-6</v>
      </c>
      <c r="I3546">
        <v>279.41669999999999</v>
      </c>
      <c r="J3546">
        <v>-363.61680000000001</v>
      </c>
      <c r="K3546">
        <v>1.1101399999999999</v>
      </c>
      <c r="L3546">
        <v>283.55259999999998</v>
      </c>
      <c r="M3546">
        <v>-0.99983639999999996</v>
      </c>
      <c r="N3546">
        <v>0</v>
      </c>
      <c r="O3546">
        <v>1.076616E-2</v>
      </c>
      <c r="P3546">
        <v>-0.99957629999999997</v>
      </c>
      <c r="Q3546">
        <v>2.8742710000000001E-2</v>
      </c>
      <c r="R3546">
        <v>4.6289959999999998E-3</v>
      </c>
      <c r="S3546">
        <v>-3.0039980000000002</v>
      </c>
      <c r="T3546">
        <v>-5.8380250000000002E-2</v>
      </c>
      <c r="U3546">
        <v>-0.21737670000000001</v>
      </c>
      <c r="V3546">
        <v>-6.1094950000000004E-3</v>
      </c>
      <c r="W3546">
        <v>4.327454E-2</v>
      </c>
      <c r="X3546">
        <v>0.9990445</v>
      </c>
      <c r="Y3546">
        <v>-8.2891190000000003E-2</v>
      </c>
      <c r="Z3546">
        <v>-1.0133119999999999E-3</v>
      </c>
      <c r="AA3546">
        <v>0.9965581</v>
      </c>
      <c r="AB3546">
        <v>33</v>
      </c>
      <c r="AC3546">
        <v>-56.912100000000002</v>
      </c>
      <c r="AD3546">
        <v>-1.1101356392299999</v>
      </c>
      <c r="AE3546">
        <v>-4.1358999999999897</v>
      </c>
      <c r="AF3546">
        <v>-4.7466531892210799</v>
      </c>
      <c r="AG3546">
        <v>-1.1101356392299999</v>
      </c>
      <c r="AH3546">
        <v>56.842753936608901</v>
      </c>
      <c r="AI3546">
        <v>91.114961347004396</v>
      </c>
      <c r="AJ3546">
        <v>94.773408515186304</v>
      </c>
      <c r="AK3546">
        <v>57.051396062972003</v>
      </c>
      <c r="AL3546">
        <v>87.519776880003306</v>
      </c>
      <c r="AM3546">
        <v>90.350378701776407</v>
      </c>
      <c r="AN3546">
        <v>0.99999996236080702</v>
      </c>
    </row>
    <row r="3547" spans="1:40" x14ac:dyDescent="0.25">
      <c r="A3547" t="str">
        <f>"20190312150728514"</f>
        <v>20190312150728514</v>
      </c>
      <c r="B3547" t="str">
        <f>"1552374448504030"</f>
        <v>1552374448504030</v>
      </c>
      <c r="C3547" t="s">
        <v>40</v>
      </c>
      <c r="D3547">
        <v>4.3183290000000003</v>
      </c>
      <c r="E3547">
        <v>0.51039860000000004</v>
      </c>
      <c r="F3547" t="s">
        <v>48</v>
      </c>
      <c r="G3547">
        <v>0</v>
      </c>
      <c r="H3547">
        <v>0</v>
      </c>
      <c r="I3547">
        <v>0</v>
      </c>
      <c r="J3547">
        <v>-363.80869999999999</v>
      </c>
      <c r="K3547">
        <v>1.110139</v>
      </c>
      <c r="L3547">
        <v>283.5548</v>
      </c>
      <c r="M3547">
        <v>-0.99983489999999997</v>
      </c>
      <c r="N3547">
        <v>0</v>
      </c>
      <c r="O3547">
        <v>1.0905339999999999E-2</v>
      </c>
      <c r="P3547">
        <v>-0.99957989999999997</v>
      </c>
      <c r="Q3547">
        <v>2.8580749999999999E-2</v>
      </c>
      <c r="R3547">
        <v>4.8300089999999997E-3</v>
      </c>
      <c r="S3547">
        <v>-2.9998170000000002</v>
      </c>
      <c r="T3547">
        <v>4.0618899999999999E-2</v>
      </c>
      <c r="U3547">
        <v>6.1431880000000001E-2</v>
      </c>
      <c r="V3547">
        <v>-6.0476089999999998E-3</v>
      </c>
      <c r="W3547">
        <v>4.3110660000000002E-2</v>
      </c>
      <c r="X3547">
        <v>0.99905200000000005</v>
      </c>
      <c r="Y3547">
        <v>9.5689550000000005E-3</v>
      </c>
      <c r="Z3547" s="1">
        <v>8.287604E-5</v>
      </c>
      <c r="AA3547">
        <v>0.99995420000000002</v>
      </c>
      <c r="AB3547">
        <v>33</v>
      </c>
      <c r="AC3547">
        <v>-2.9998170000000002</v>
      </c>
      <c r="AD3547">
        <v>4.0618899999999999E-2</v>
      </c>
      <c r="AE3547">
        <v>6.1431880000000001E-2</v>
      </c>
      <c r="AF3547">
        <v>2.8705485180094598E-2</v>
      </c>
      <c r="AG3547">
        <v>4.0618899999999999E-2</v>
      </c>
      <c r="AH3547">
        <v>2.9997588271907301</v>
      </c>
      <c r="AI3547">
        <v>89.224256708014195</v>
      </c>
      <c r="AJ3547">
        <v>89.451738274666198</v>
      </c>
      <c r="AK3547">
        <v>3.0001711486555802</v>
      </c>
      <c r="AL3547">
        <v>87.529175378286496</v>
      </c>
      <c r="AM3547">
        <v>90.346827031665697</v>
      </c>
      <c r="AN3547">
        <v>1.0000000006421199</v>
      </c>
    </row>
    <row r="3548" spans="1:40" x14ac:dyDescent="0.25">
      <c r="A3548" t="str">
        <f>"20190312150728527"</f>
        <v>20190312150728527</v>
      </c>
      <c r="B3548" t="str">
        <f>"1552374448523551"</f>
        <v>1552374448523551</v>
      </c>
      <c r="C3548" t="s">
        <v>40</v>
      </c>
      <c r="D3548">
        <v>4.2877130000000001</v>
      </c>
      <c r="E3548">
        <v>0.51333669999999998</v>
      </c>
      <c r="F3548" t="s">
        <v>48</v>
      </c>
      <c r="G3548">
        <v>0</v>
      </c>
      <c r="H3548">
        <v>0</v>
      </c>
      <c r="I3548">
        <v>0</v>
      </c>
      <c r="J3548">
        <v>-363.99900000000002</v>
      </c>
      <c r="K3548">
        <v>1.1101399999999999</v>
      </c>
      <c r="L3548">
        <v>283.55700000000002</v>
      </c>
      <c r="M3548">
        <v>-0.99983339999999998</v>
      </c>
      <c r="N3548">
        <v>0</v>
      </c>
      <c r="O3548">
        <v>1.1043320000000001E-2</v>
      </c>
      <c r="P3548">
        <v>-0.99957969999999896</v>
      </c>
      <c r="Q3548">
        <v>2.851513E-2</v>
      </c>
      <c r="R3548">
        <v>5.2111880000000003E-3</v>
      </c>
      <c r="S3548">
        <v>-3.0002140000000002</v>
      </c>
      <c r="T3548">
        <v>1.929867E-2</v>
      </c>
      <c r="U3548">
        <v>9.4696039999999995E-2</v>
      </c>
      <c r="V3548">
        <v>-5.8046690000000001E-3</v>
      </c>
      <c r="W3548">
        <v>4.304301E-2</v>
      </c>
      <c r="X3548">
        <v>0.99905630000000001</v>
      </c>
      <c r="Y3548">
        <v>2.050629E-2</v>
      </c>
      <c r="Z3548" s="1">
        <v>5.0848099999999999E-6</v>
      </c>
      <c r="AA3548">
        <v>0.9997897</v>
      </c>
      <c r="AB3548">
        <v>33</v>
      </c>
      <c r="AC3548">
        <v>-3.0002140000000002</v>
      </c>
      <c r="AD3548">
        <v>1.929867E-2</v>
      </c>
      <c r="AE3548">
        <v>9.4696039999999995E-2</v>
      </c>
      <c r="AF3548">
        <v>6.1551897147728997E-2</v>
      </c>
      <c r="AG3548">
        <v>1.929867E-2</v>
      </c>
      <c r="AH3548">
        <v>3.0009528351174302</v>
      </c>
      <c r="AI3548">
        <v>89.631622136048406</v>
      </c>
      <c r="AJ3548">
        <v>88.824983363833397</v>
      </c>
      <c r="AK3548">
        <v>3.0016460473056399</v>
      </c>
      <c r="AL3548">
        <v>87.533054896063803</v>
      </c>
      <c r="AM3548">
        <v>90.332893444358405</v>
      </c>
      <c r="AN3548">
        <v>0.999999942730873</v>
      </c>
    </row>
    <row r="3549" spans="1:40" x14ac:dyDescent="0.25">
      <c r="A3549" t="str">
        <f>"20190312150728540"</f>
        <v>20190312150728540</v>
      </c>
      <c r="B3549" t="str">
        <f>"1552374448533310"</f>
        <v>1552374448533310</v>
      </c>
      <c r="C3549" t="s">
        <v>40</v>
      </c>
      <c r="D3549">
        <v>4.2752749999999997</v>
      </c>
      <c r="E3549">
        <v>0.51414570000000004</v>
      </c>
      <c r="F3549" t="s">
        <v>48</v>
      </c>
      <c r="G3549">
        <v>0</v>
      </c>
      <c r="H3549">
        <v>0</v>
      </c>
      <c r="I3549">
        <v>0</v>
      </c>
      <c r="J3549">
        <v>-364.20409999999998</v>
      </c>
      <c r="K3549">
        <v>1.110141</v>
      </c>
      <c r="L3549">
        <v>283.55939999999998</v>
      </c>
      <c r="M3549">
        <v>-0.99983180000000005</v>
      </c>
      <c r="N3549">
        <v>0</v>
      </c>
      <c r="O3549">
        <v>1.119204E-2</v>
      </c>
      <c r="P3549">
        <v>-0.99958320000000001</v>
      </c>
      <c r="Q3549">
        <v>2.8358290000000001E-2</v>
      </c>
      <c r="R3549">
        <v>5.4015579999999999E-3</v>
      </c>
      <c r="S3549">
        <v>-3.0004879999999998</v>
      </c>
      <c r="T3549">
        <v>5.4614540000000001E-3</v>
      </c>
      <c r="U3549">
        <v>0.1187439</v>
      </c>
      <c r="V3549">
        <v>-5.7632630000000002E-3</v>
      </c>
      <c r="W3549">
        <v>4.2883900000000003E-2</v>
      </c>
      <c r="X3549">
        <v>0.99906340000000005</v>
      </c>
      <c r="Y3549">
        <v>2.8356940000000001E-2</v>
      </c>
      <c r="Z3549" s="1">
        <v>-5.4330250000000004E-6</v>
      </c>
      <c r="AA3549">
        <v>0.99959779999999998</v>
      </c>
      <c r="AB3549">
        <v>33</v>
      </c>
      <c r="AC3549">
        <v>-3.0004879999999998</v>
      </c>
      <c r="AD3549">
        <v>5.4614540000000001E-3</v>
      </c>
      <c r="AE3549">
        <v>0.1187439</v>
      </c>
      <c r="AF3549">
        <v>8.5151052510192102E-2</v>
      </c>
      <c r="AG3549">
        <v>5.4614540000000001E-3</v>
      </c>
      <c r="AH3549">
        <v>3.0016192289369399</v>
      </c>
      <c r="AI3549">
        <v>89.895792217922306</v>
      </c>
      <c r="AJ3549">
        <v>88.375047789604494</v>
      </c>
      <c r="AK3549">
        <v>3.0028317509889502</v>
      </c>
      <c r="AL3549">
        <v>87.542179697538103</v>
      </c>
      <c r="AM3549">
        <v>90.330516545130806</v>
      </c>
      <c r="AN3549">
        <v>0.99999996064958696</v>
      </c>
    </row>
    <row r="3550" spans="1:40" x14ac:dyDescent="0.25">
      <c r="A3550" t="str">
        <f>"20190312150728552"</f>
        <v>20190312150728552</v>
      </c>
      <c r="B3550" t="str">
        <f>"1552374448544047"</f>
        <v>1552374448544047</v>
      </c>
      <c r="C3550" t="s">
        <v>40</v>
      </c>
      <c r="D3550">
        <v>4.2853190000000003</v>
      </c>
      <c r="E3550">
        <v>0.51455740000000005</v>
      </c>
      <c r="F3550" t="s">
        <v>48</v>
      </c>
      <c r="G3550">
        <v>0</v>
      </c>
      <c r="H3550">
        <v>0</v>
      </c>
      <c r="I3550">
        <v>0</v>
      </c>
      <c r="J3550">
        <v>-364.37240000000003</v>
      </c>
      <c r="K3550">
        <v>1.110142</v>
      </c>
      <c r="L3550">
        <v>283.56150000000002</v>
      </c>
      <c r="M3550">
        <v>-0.99983049999999996</v>
      </c>
      <c r="N3550">
        <v>0</v>
      </c>
      <c r="O3550">
        <v>1.1314050000000001E-2</v>
      </c>
      <c r="P3550">
        <v>-0.99958309999999995</v>
      </c>
      <c r="Q3550">
        <v>2.8334399999999999E-2</v>
      </c>
      <c r="R3550">
        <v>5.5864879999999997E-3</v>
      </c>
      <c r="S3550">
        <v>-3.0004879999999998</v>
      </c>
      <c r="T3550">
        <v>3.4942630000000001E-3</v>
      </c>
      <c r="U3550">
        <v>0.12542719999999999</v>
      </c>
      <c r="V3550">
        <v>-5.6999090000000004E-3</v>
      </c>
      <c r="W3550">
        <v>4.2858170000000001E-2</v>
      </c>
      <c r="X3550">
        <v>0.99906490000000003</v>
      </c>
      <c r="Y3550">
        <v>3.0457740000000001E-2</v>
      </c>
      <c r="Z3550" s="1">
        <v>-4.5566690000000001E-6</v>
      </c>
      <c r="AA3550">
        <v>0.99953599999999998</v>
      </c>
      <c r="AB3550">
        <v>33</v>
      </c>
      <c r="AC3550">
        <v>-3.0004879999999998</v>
      </c>
      <c r="AD3550">
        <v>3.4942630000000001E-3</v>
      </c>
      <c r="AE3550">
        <v>0.12542719999999999</v>
      </c>
      <c r="AF3550">
        <v>9.1467793706781098E-2</v>
      </c>
      <c r="AG3550">
        <v>3.4942630000000001E-3</v>
      </c>
      <c r="AH3550">
        <v>3.0017110859741298</v>
      </c>
      <c r="AI3550">
        <v>89.933333508258102</v>
      </c>
      <c r="AJ3550">
        <v>88.254629699872794</v>
      </c>
      <c r="AK3550">
        <v>3.0031063935231299</v>
      </c>
      <c r="AL3550">
        <v>87.543655354275302</v>
      </c>
      <c r="AM3550">
        <v>90.326882854154604</v>
      </c>
      <c r="AN3550">
        <v>0.99999999305518295</v>
      </c>
    </row>
    <row r="3551" spans="1:40" x14ac:dyDescent="0.25">
      <c r="A3551" t="str">
        <f>"20190312150728565"</f>
        <v>20190312150728565</v>
      </c>
      <c r="B3551" t="str">
        <f>"1552374448553807"</f>
        <v>1552374448553807</v>
      </c>
      <c r="C3551" t="s">
        <v>40</v>
      </c>
      <c r="D3551">
        <v>4.2313179999999999</v>
      </c>
      <c r="E3551">
        <v>0.51533909999999905</v>
      </c>
      <c r="F3551" t="s">
        <v>48</v>
      </c>
      <c r="G3551">
        <v>0</v>
      </c>
      <c r="H3551">
        <v>0</v>
      </c>
      <c r="I3551">
        <v>0</v>
      </c>
      <c r="J3551">
        <v>-364.56009999999998</v>
      </c>
      <c r="K3551">
        <v>1.1101430000000001</v>
      </c>
      <c r="L3551">
        <v>283.56369999999998</v>
      </c>
      <c r="M3551">
        <v>-0.99982890000000002</v>
      </c>
      <c r="N3551">
        <v>0</v>
      </c>
      <c r="O3551">
        <v>1.1450190000000001E-2</v>
      </c>
      <c r="P3551">
        <v>-0.99957949999999995</v>
      </c>
      <c r="Q3551">
        <v>2.8435800000000001E-2</v>
      </c>
      <c r="R3551">
        <v>5.693788E-3</v>
      </c>
      <c r="S3551">
        <v>-3.0004879999999998</v>
      </c>
      <c r="T3551">
        <v>1.5120509999999999E-3</v>
      </c>
      <c r="U3551">
        <v>0.12948609999999999</v>
      </c>
      <c r="V3551">
        <v>-5.7284679999999996E-3</v>
      </c>
      <c r="W3551">
        <v>4.2957259999999997E-2</v>
      </c>
      <c r="X3551">
        <v>0.99906050000000002</v>
      </c>
      <c r="Y3551">
        <v>3.1671299999999999E-2</v>
      </c>
      <c r="Z3551" s="1">
        <v>-2.2087979999999999E-6</v>
      </c>
      <c r="AA3551">
        <v>0.99949840000000001</v>
      </c>
      <c r="AB3551">
        <v>33</v>
      </c>
      <c r="AC3551">
        <v>-3.0004879999999998</v>
      </c>
      <c r="AD3551">
        <v>1.5120509999999999E-3</v>
      </c>
      <c r="AE3551">
        <v>0.12948609999999999</v>
      </c>
      <c r="AF3551">
        <v>9.5117801623357798E-2</v>
      </c>
      <c r="AG3551">
        <v>1.5120509999999999E-3</v>
      </c>
      <c r="AH3551">
        <v>3.00177329581313</v>
      </c>
      <c r="AI3551">
        <v>89.971153493675203</v>
      </c>
      <c r="AJ3551">
        <v>88.185064252077495</v>
      </c>
      <c r="AK3551">
        <v>3.0032803069212002</v>
      </c>
      <c r="AL3551">
        <v>87.537972728835697</v>
      </c>
      <c r="AM3551">
        <v>90.328522089108702</v>
      </c>
      <c r="AN3551">
        <v>1.00000001209629</v>
      </c>
    </row>
    <row r="3552" spans="1:40" x14ac:dyDescent="0.25">
      <c r="A3552" t="str">
        <f>"20190312150728586"</f>
        <v>20190312150728586</v>
      </c>
      <c r="B3552" t="str">
        <f>"1552374448573326"</f>
        <v>1552374448573326</v>
      </c>
      <c r="C3552" t="s">
        <v>40</v>
      </c>
      <c r="D3552">
        <v>4.2343970000000004</v>
      </c>
      <c r="E3552">
        <v>0.51530399999999998</v>
      </c>
      <c r="F3552" t="s">
        <v>48</v>
      </c>
      <c r="G3552">
        <v>0</v>
      </c>
      <c r="H3552">
        <v>0</v>
      </c>
      <c r="I3552">
        <v>0</v>
      </c>
      <c r="J3552">
        <v>-364.87009999999998</v>
      </c>
      <c r="K3552">
        <v>1.110139</v>
      </c>
      <c r="L3552">
        <v>283.5675</v>
      </c>
      <c r="M3552">
        <v>-0.9998264</v>
      </c>
      <c r="N3552">
        <v>0</v>
      </c>
      <c r="O3552">
        <v>1.1674790000000001E-2</v>
      </c>
      <c r="P3552">
        <v>-0.99957790000000002</v>
      </c>
      <c r="Q3552">
        <v>2.8430980000000002E-2</v>
      </c>
      <c r="R3552">
        <v>5.9861840000000003E-3</v>
      </c>
      <c r="S3552">
        <v>-3.0002140000000002</v>
      </c>
      <c r="T3552">
        <v>8.9931490000000006E-3</v>
      </c>
      <c r="U3552">
        <v>0.13619999999999999</v>
      </c>
      <c r="V3552">
        <v>-5.6608229999999997E-3</v>
      </c>
      <c r="W3552">
        <v>4.294916E-2</v>
      </c>
      <c r="X3552">
        <v>0.99906119999999998</v>
      </c>
      <c r="Y3552">
        <v>3.3682839999999999E-2</v>
      </c>
      <c r="Z3552" s="1">
        <v>-1.54782E-5</v>
      </c>
      <c r="AA3552">
        <v>0.9994326</v>
      </c>
      <c r="AB3552">
        <v>33</v>
      </c>
      <c r="AC3552">
        <v>-3.0002140000000002</v>
      </c>
      <c r="AD3552">
        <v>8.9931490000000006E-3</v>
      </c>
      <c r="AE3552">
        <v>0.13619999999999999</v>
      </c>
      <c r="AF3552">
        <v>0.10115924656596301</v>
      </c>
      <c r="AG3552">
        <v>8.9931490000000006E-3</v>
      </c>
      <c r="AH3552">
        <v>3.0015728445846199</v>
      </c>
      <c r="AI3552">
        <v>89.828431429311493</v>
      </c>
      <c r="AJ3552">
        <v>88.069743678345901</v>
      </c>
      <c r="AK3552">
        <v>3.0032904640148601</v>
      </c>
      <c r="AL3552">
        <v>87.538437170126798</v>
      </c>
      <c r="AM3552">
        <v>90.324642569971701</v>
      </c>
      <c r="AN3552">
        <v>0.999999978303591</v>
      </c>
    </row>
    <row r="3553" spans="1:40" x14ac:dyDescent="0.25">
      <c r="A3553" t="str">
        <f>"20190312150728607"</f>
        <v>20190312150728607</v>
      </c>
      <c r="B3553" t="str">
        <f>"1552374448603583"</f>
        <v>1552374448603583</v>
      </c>
      <c r="C3553" t="s">
        <v>40</v>
      </c>
      <c r="D3553">
        <v>4.2825550000000003</v>
      </c>
      <c r="E3553">
        <v>0.51593849999999997</v>
      </c>
      <c r="F3553" t="s">
        <v>48</v>
      </c>
      <c r="G3553">
        <v>0</v>
      </c>
      <c r="H3553">
        <v>0</v>
      </c>
      <c r="I3553">
        <v>0</v>
      </c>
      <c r="J3553">
        <v>-365.18880000000001</v>
      </c>
      <c r="K3553">
        <v>1.110144</v>
      </c>
      <c r="L3553">
        <v>283.57150000000001</v>
      </c>
      <c r="M3553">
        <v>-0.99982369999999998</v>
      </c>
      <c r="N3553">
        <v>0</v>
      </c>
      <c r="O3553">
        <v>1.1905880000000001E-2</v>
      </c>
      <c r="P3553">
        <v>-0.99958769999999997</v>
      </c>
      <c r="Q3553">
        <v>2.809118E-2</v>
      </c>
      <c r="R3553">
        <v>5.9344640000000004E-3</v>
      </c>
      <c r="S3553">
        <v>-2.9999389999999999</v>
      </c>
      <c r="T3553">
        <v>1.7724630000000002E-2</v>
      </c>
      <c r="U3553">
        <v>0.13723750000000001</v>
      </c>
      <c r="V3553">
        <v>-5.944838E-3</v>
      </c>
      <c r="W3553">
        <v>4.260568E-2</v>
      </c>
      <c r="X3553">
        <v>0.99907429999999997</v>
      </c>
      <c r="Y3553">
        <v>3.380068E-2</v>
      </c>
      <c r="Z3553" s="1">
        <v>-2.9491840000000001E-5</v>
      </c>
      <c r="AA3553">
        <v>0.9994286</v>
      </c>
      <c r="AB3553">
        <v>33</v>
      </c>
      <c r="AC3553">
        <v>-2.9999389999999999</v>
      </c>
      <c r="AD3553">
        <v>1.7724630000000002E-2</v>
      </c>
      <c r="AE3553">
        <v>0.13723750000000001</v>
      </c>
      <c r="AF3553">
        <v>0.101503555736829</v>
      </c>
      <c r="AG3553">
        <v>1.7724630000000002E-2</v>
      </c>
      <c r="AH3553">
        <v>3.0012558823121398</v>
      </c>
      <c r="AI3553">
        <v>89.661823435167804</v>
      </c>
      <c r="AJ3553">
        <v>88.062974393711599</v>
      </c>
      <c r="AK3553">
        <v>3.0030241433343599</v>
      </c>
      <c r="AL3553">
        <v>87.558135260306202</v>
      </c>
      <c r="AM3553">
        <v>90.340925702298605</v>
      </c>
      <c r="AN3553">
        <v>1.00000002099379</v>
      </c>
    </row>
    <row r="3554" spans="1:40" x14ac:dyDescent="0.25">
      <c r="A3554" t="str">
        <f>"20190312150728619"</f>
        <v>20190312150728619</v>
      </c>
      <c r="B3554" t="str">
        <f>"1552374448613343"</f>
        <v>1552374448613343</v>
      </c>
      <c r="C3554" t="s">
        <v>40</v>
      </c>
      <c r="D3554">
        <v>4.2794589999999904</v>
      </c>
      <c r="E3554">
        <v>0.51603909999999997</v>
      </c>
      <c r="F3554" t="s">
        <v>48</v>
      </c>
      <c r="G3554">
        <v>0</v>
      </c>
      <c r="H3554">
        <v>0</v>
      </c>
      <c r="I3554">
        <v>0</v>
      </c>
      <c r="J3554">
        <v>-365.36259999999999</v>
      </c>
      <c r="K3554">
        <v>1.110142</v>
      </c>
      <c r="L3554">
        <v>283.57369999999997</v>
      </c>
      <c r="M3554">
        <v>-0.99982219999999999</v>
      </c>
      <c r="N3554">
        <v>0</v>
      </c>
      <c r="O3554">
        <v>1.2031709999999999E-2</v>
      </c>
      <c r="P3554">
        <v>-0.99958579999999997</v>
      </c>
      <c r="Q3554">
        <v>2.81496E-2</v>
      </c>
      <c r="R3554">
        <v>5.9942650000000004E-3</v>
      </c>
      <c r="S3554">
        <v>-2.9998779999999998</v>
      </c>
      <c r="T3554">
        <v>1.738286E-2</v>
      </c>
      <c r="U3554">
        <v>0.142059299999999</v>
      </c>
      <c r="V3554">
        <v>-6.0100900000000001E-3</v>
      </c>
      <c r="W3554">
        <v>4.2661900000000003E-2</v>
      </c>
      <c r="X3554">
        <v>0.9990715</v>
      </c>
      <c r="Y3554">
        <v>3.5278700000000003E-2</v>
      </c>
      <c r="Z3554" s="1">
        <v>-3.2474000000000001E-5</v>
      </c>
      <c r="AA3554">
        <v>0.99937750000000003</v>
      </c>
      <c r="AB3554">
        <v>33</v>
      </c>
      <c r="AC3554">
        <v>-2.9998779999999998</v>
      </c>
      <c r="AD3554">
        <v>1.738286E-2</v>
      </c>
      <c r="AE3554">
        <v>0.142059299999999</v>
      </c>
      <c r="AF3554">
        <v>0.105947998540541</v>
      </c>
      <c r="AG3554">
        <v>1.738286E-2</v>
      </c>
      <c r="AH3554">
        <v>3.0012696619813299</v>
      </c>
      <c r="AI3554">
        <v>89.668362552601906</v>
      </c>
      <c r="AJ3554">
        <v>87.978237822806904</v>
      </c>
      <c r="AK3554">
        <v>3.0031894256183702</v>
      </c>
      <c r="AL3554">
        <v>87.554911134522897</v>
      </c>
      <c r="AM3554">
        <v>90.3446686625838</v>
      </c>
      <c r="AN3554">
        <v>1.0000000105028299</v>
      </c>
    </row>
    <row r="3555" spans="1:40" x14ac:dyDescent="0.25">
      <c r="A3555" t="str">
        <f>"20190312150728629"</f>
        <v>20190312150728629</v>
      </c>
      <c r="B3555" t="str">
        <f>"1552374448624079"</f>
        <v>1552374448624079</v>
      </c>
      <c r="C3555" t="s">
        <v>40</v>
      </c>
      <c r="D3555">
        <v>4.2542239999999998</v>
      </c>
      <c r="E3555">
        <v>0.51597320000000002</v>
      </c>
      <c r="F3555" t="s">
        <v>48</v>
      </c>
      <c r="G3555">
        <v>0</v>
      </c>
      <c r="H3555">
        <v>0</v>
      </c>
      <c r="I3555">
        <v>0</v>
      </c>
      <c r="J3555">
        <v>-365.5204</v>
      </c>
      <c r="K3555">
        <v>1.110144</v>
      </c>
      <c r="L3555">
        <v>283.57569999999998</v>
      </c>
      <c r="M3555">
        <v>-0.99982090000000001</v>
      </c>
      <c r="N3555">
        <v>0</v>
      </c>
      <c r="O3555">
        <v>1.214615E-2</v>
      </c>
      <c r="P3555">
        <v>-0.99958959999999997</v>
      </c>
      <c r="Q3555">
        <v>2.805233E-2</v>
      </c>
      <c r="R3555">
        <v>5.8352650000000001E-3</v>
      </c>
      <c r="S3555">
        <v>-2.9999389999999999</v>
      </c>
      <c r="T3555">
        <v>1.6050459999999999E-2</v>
      </c>
      <c r="U3555">
        <v>0.14315799999999901</v>
      </c>
      <c r="V3555">
        <v>-6.283566E-3</v>
      </c>
      <c r="W3555">
        <v>4.2563759999999999E-2</v>
      </c>
      <c r="X3555">
        <v>0.99907400000000002</v>
      </c>
      <c r="Y3555">
        <v>3.5528570000000002E-2</v>
      </c>
      <c r="Z3555" s="1">
        <v>-3.0040200000000001E-5</v>
      </c>
      <c r="AA3555">
        <v>0.9993687</v>
      </c>
      <c r="AB3555">
        <v>33</v>
      </c>
      <c r="AC3555">
        <v>-2.9999389999999999</v>
      </c>
      <c r="AD3555">
        <v>1.6050459999999999E-2</v>
      </c>
      <c r="AE3555">
        <v>0.14315799999999901</v>
      </c>
      <c r="AF3555">
        <v>0.106702842656625</v>
      </c>
      <c r="AG3555">
        <v>1.6050459999999999E-2</v>
      </c>
      <c r="AH3555">
        <v>3.0013709380204201</v>
      </c>
      <c r="AI3555">
        <v>89.693795175345898</v>
      </c>
      <c r="AJ3555">
        <v>87.963914172809893</v>
      </c>
      <c r="AK3555">
        <v>3.0033099442932598</v>
      </c>
      <c r="AL3555">
        <v>87.5605392463778</v>
      </c>
      <c r="AM3555">
        <v>90.360350749940196</v>
      </c>
      <c r="AN3555">
        <v>1.0000000071715001</v>
      </c>
    </row>
    <row r="3556" spans="1:40" x14ac:dyDescent="0.25">
      <c r="A3556" t="str">
        <f>"20190312150728640"</f>
        <v>20190312150728640</v>
      </c>
      <c r="B3556" t="str">
        <f>"1552374448633838"</f>
        <v>1552374448633838</v>
      </c>
      <c r="C3556" t="s">
        <v>40</v>
      </c>
      <c r="D3556">
        <v>4.3696999999999999</v>
      </c>
      <c r="E3556">
        <v>0.5159802</v>
      </c>
      <c r="F3556" t="s">
        <v>48</v>
      </c>
      <c r="G3556">
        <v>0</v>
      </c>
      <c r="H3556">
        <v>0</v>
      </c>
      <c r="I3556">
        <v>0</v>
      </c>
      <c r="J3556">
        <v>-365.69159999999999</v>
      </c>
      <c r="K3556">
        <v>1.110144</v>
      </c>
      <c r="L3556">
        <v>283.5779</v>
      </c>
      <c r="M3556">
        <v>-0.99981929999999997</v>
      </c>
      <c r="N3556">
        <v>0</v>
      </c>
      <c r="O3556">
        <v>1.2270669999999999E-2</v>
      </c>
      <c r="P3556">
        <v>-0.99958990000000003</v>
      </c>
      <c r="Q3556">
        <v>2.8030940000000001E-2</v>
      </c>
      <c r="R3556">
        <v>5.8512520000000004E-3</v>
      </c>
      <c r="S3556">
        <v>-2.9997859999999998</v>
      </c>
      <c r="T3556">
        <v>2.1684889999999998E-2</v>
      </c>
      <c r="U3556">
        <v>0.1424561</v>
      </c>
      <c r="V3556">
        <v>-6.3921910000000002E-3</v>
      </c>
      <c r="W3556">
        <v>4.2540410000000001E-2</v>
      </c>
      <c r="X3556">
        <v>0.99907429999999997</v>
      </c>
      <c r="Y3556">
        <v>3.5172969999999998E-2</v>
      </c>
      <c r="Z3556" s="1">
        <v>-3.8403640000000002E-5</v>
      </c>
      <c r="AA3556">
        <v>0.99938119999999997</v>
      </c>
      <c r="AB3556">
        <v>33</v>
      </c>
      <c r="AC3556">
        <v>-2.9997859999999998</v>
      </c>
      <c r="AD3556">
        <v>2.1684889999999998E-2</v>
      </c>
      <c r="AE3556">
        <v>0.1424561</v>
      </c>
      <c r="AF3556">
        <v>0.105626601036545</v>
      </c>
      <c r="AG3556">
        <v>2.1684889999999998E-2</v>
      </c>
      <c r="AH3556">
        <v>3.0011518475435999</v>
      </c>
      <c r="AI3556">
        <v>89.586271421412206</v>
      </c>
      <c r="AJ3556">
        <v>87.984286791575897</v>
      </c>
      <c r="AK3556">
        <v>3.00308834790374</v>
      </c>
      <c r="AL3556">
        <v>87.561878302466994</v>
      </c>
      <c r="AM3556">
        <v>90.366579911762898</v>
      </c>
      <c r="AN3556">
        <v>1.00000000175461</v>
      </c>
    </row>
    <row r="3557" spans="1:40" x14ac:dyDescent="0.25">
      <c r="A3557" t="str">
        <f>"20190312150728652"</f>
        <v>20190312150728652</v>
      </c>
      <c r="B3557" t="str">
        <f>"1552374448643600"</f>
        <v>1552374448643600</v>
      </c>
      <c r="C3557" t="s">
        <v>40</v>
      </c>
      <c r="D3557">
        <v>4.2790150000000002</v>
      </c>
      <c r="E3557">
        <v>0.51598100000000002</v>
      </c>
      <c r="F3557" t="s">
        <v>48</v>
      </c>
      <c r="G3557">
        <v>0</v>
      </c>
      <c r="H3557">
        <v>0</v>
      </c>
      <c r="I3557">
        <v>0</v>
      </c>
      <c r="J3557">
        <v>-365.85539999999997</v>
      </c>
      <c r="K3557">
        <v>1.110144</v>
      </c>
      <c r="L3557">
        <v>283.58</v>
      </c>
      <c r="M3557">
        <v>-0.99981799999999998</v>
      </c>
      <c r="N3557">
        <v>0</v>
      </c>
      <c r="O3557">
        <v>1.2389290000000001E-2</v>
      </c>
      <c r="P3557">
        <v>-0.99958899999999995</v>
      </c>
      <c r="Q3557">
        <v>2.8055119999999999E-2</v>
      </c>
      <c r="R3557">
        <v>5.9011259999999996E-3</v>
      </c>
      <c r="S3557">
        <v>-2.999695</v>
      </c>
      <c r="T3557">
        <v>2.309251E-2</v>
      </c>
      <c r="U3557">
        <v>0.1424561</v>
      </c>
      <c r="V3557">
        <v>-6.4607850000000001E-3</v>
      </c>
      <c r="W3557">
        <v>4.2562799999999998E-2</v>
      </c>
      <c r="X3557">
        <v>0.99907290000000004</v>
      </c>
      <c r="Y3557">
        <v>3.5055759999999998E-2</v>
      </c>
      <c r="Z3557" s="1">
        <v>-3.9534309999999898E-5</v>
      </c>
      <c r="AA3557">
        <v>0.99938539999999998</v>
      </c>
      <c r="AB3557">
        <v>33</v>
      </c>
      <c r="AC3557">
        <v>-2.999695</v>
      </c>
      <c r="AD3557">
        <v>2.309251E-2</v>
      </c>
      <c r="AE3557">
        <v>0.1424561</v>
      </c>
      <c r="AF3557">
        <v>0.105270936576285</v>
      </c>
      <c r="AG3557">
        <v>2.309251E-2</v>
      </c>
      <c r="AH3557">
        <v>3.0010523870664101</v>
      </c>
      <c r="AI3557">
        <v>89.559399883962897</v>
      </c>
      <c r="AJ3557">
        <v>87.991001977839503</v>
      </c>
      <c r="AK3557">
        <v>3.00298695701842</v>
      </c>
      <c r="AL3557">
        <v>87.560594274414498</v>
      </c>
      <c r="AM3557">
        <v>90.370514056395905</v>
      </c>
      <c r="AN3557">
        <v>0.99999999660053296</v>
      </c>
    </row>
    <row r="3558" spans="1:40" x14ac:dyDescent="0.25">
      <c r="A3558" t="str">
        <f>"20190312150728663"</f>
        <v>20190312150728663</v>
      </c>
      <c r="B3558" t="str">
        <f>"1552374448653359"</f>
        <v>1552374448653359</v>
      </c>
      <c r="C3558" t="s">
        <v>40</v>
      </c>
      <c r="D3558">
        <v>4.2958259999999999</v>
      </c>
      <c r="E3558">
        <v>0.51595740000000001</v>
      </c>
      <c r="F3558" t="s">
        <v>48</v>
      </c>
      <c r="G3558">
        <v>0</v>
      </c>
      <c r="H3558">
        <v>0</v>
      </c>
      <c r="I3558">
        <v>0</v>
      </c>
      <c r="J3558">
        <v>-366.02330000000001</v>
      </c>
      <c r="K3558">
        <v>1.110147</v>
      </c>
      <c r="L3558">
        <v>283.5822</v>
      </c>
      <c r="M3558">
        <v>-0.99981640000000005</v>
      </c>
      <c r="N3558">
        <v>0</v>
      </c>
      <c r="O3558">
        <v>1.2510769999999999E-2</v>
      </c>
      <c r="P3558">
        <v>-0.99959399999999998</v>
      </c>
      <c r="Q3558">
        <v>2.7864420000000001E-2</v>
      </c>
      <c r="R3558">
        <v>5.9604000000000002E-3</v>
      </c>
      <c r="S3558">
        <v>-2.9997250000000002</v>
      </c>
      <c r="T3558">
        <v>2.3700120000000002E-2</v>
      </c>
      <c r="U3558">
        <v>0.14266970000000001</v>
      </c>
      <c r="V3558">
        <v>-6.5232469999999898E-3</v>
      </c>
      <c r="W3558">
        <v>4.2370339999999999E-2</v>
      </c>
      <c r="X3558">
        <v>0.99908070000000004</v>
      </c>
      <c r="Y3558">
        <v>3.5004840000000002E-2</v>
      </c>
      <c r="Z3558" s="1">
        <v>-3.9413860000000003E-5</v>
      </c>
      <c r="AA3558">
        <v>0.99938709999999997</v>
      </c>
      <c r="AB3558">
        <v>33</v>
      </c>
      <c r="AC3558">
        <v>-2.9997250000000002</v>
      </c>
      <c r="AD3558">
        <v>2.3700120000000002E-2</v>
      </c>
      <c r="AE3558">
        <v>0.14266970000000001</v>
      </c>
      <c r="AF3558">
        <v>0.105119162144843</v>
      </c>
      <c r="AG3558">
        <v>2.3700120000000002E-2</v>
      </c>
      <c r="AH3558">
        <v>3.0010883682820002</v>
      </c>
      <c r="AI3558">
        <v>89.547811905334001</v>
      </c>
      <c r="AJ3558">
        <v>87.993920115811704</v>
      </c>
      <c r="AK3558">
        <v>3.0030223322805298</v>
      </c>
      <c r="AL3558">
        <v>87.571631438094101</v>
      </c>
      <c r="AM3558">
        <v>90.374093114569007</v>
      </c>
      <c r="AN3558">
        <v>1.00000002178781</v>
      </c>
    </row>
    <row r="3559" spans="1:40" x14ac:dyDescent="0.25">
      <c r="A3559" t="str">
        <f>"20190312150728674"</f>
        <v>20190312150728674</v>
      </c>
      <c r="B3559" t="str">
        <f>"1552374448664095"</f>
        <v>1552374448664095</v>
      </c>
      <c r="C3559" t="s">
        <v>40</v>
      </c>
      <c r="D3559">
        <v>4.2869830000000002</v>
      </c>
      <c r="E3559">
        <v>0.51595820000000003</v>
      </c>
      <c r="F3559" t="s">
        <v>48</v>
      </c>
      <c r="G3559">
        <v>0</v>
      </c>
      <c r="H3559">
        <v>0</v>
      </c>
      <c r="I3559">
        <v>0</v>
      </c>
      <c r="J3559">
        <v>-366.19040000000001</v>
      </c>
      <c r="K3559">
        <v>1.1101479999999999</v>
      </c>
      <c r="L3559">
        <v>283.58440000000002</v>
      </c>
      <c r="M3559">
        <v>-0.99981500000000001</v>
      </c>
      <c r="N3559">
        <v>0</v>
      </c>
      <c r="O3559">
        <v>1.263153E-2</v>
      </c>
      <c r="P3559">
        <v>-0.9995967</v>
      </c>
      <c r="Q3559">
        <v>2.775126E-2</v>
      </c>
      <c r="R3559">
        <v>6.0618379999999999E-3</v>
      </c>
      <c r="S3559">
        <v>-2.9996339999999999</v>
      </c>
      <c r="T3559">
        <v>2.3868199999999999E-2</v>
      </c>
      <c r="U3559">
        <v>0.1425476</v>
      </c>
      <c r="V3559">
        <v>-6.542333E-3</v>
      </c>
      <c r="W3559">
        <v>4.2255519999999998E-2</v>
      </c>
      <c r="X3559">
        <v>0.99908540000000001</v>
      </c>
      <c r="Y3559">
        <v>3.4844989999999999E-2</v>
      </c>
      <c r="Z3559" s="1">
        <v>-3.8098800000000002E-5</v>
      </c>
      <c r="AA3559">
        <v>0.99939270000000002</v>
      </c>
      <c r="AB3559">
        <v>33</v>
      </c>
      <c r="AC3559">
        <v>-2.9996339999999999</v>
      </c>
      <c r="AD3559">
        <v>2.3868199999999999E-2</v>
      </c>
      <c r="AE3559">
        <v>0.1425476</v>
      </c>
      <c r="AF3559">
        <v>0.10463566129374501</v>
      </c>
      <c r="AG3559">
        <v>2.3868199999999999E-2</v>
      </c>
      <c r="AH3559">
        <v>3.0010058408175402</v>
      </c>
      <c r="AI3559">
        <v>89.544590077428495</v>
      </c>
      <c r="AJ3559">
        <v>88.003084824469497</v>
      </c>
      <c r="AK3559">
        <v>3.0029243029431498</v>
      </c>
      <c r="AL3559">
        <v>87.578215944406793</v>
      </c>
      <c r="AM3559">
        <v>90.375185856297506</v>
      </c>
      <c r="AN3559">
        <v>0.999999983792356</v>
      </c>
    </row>
    <row r="3560" spans="1:40" x14ac:dyDescent="0.25">
      <c r="A3560" t="str">
        <f>"20190312150728697"</f>
        <v>20190312150728697</v>
      </c>
      <c r="B3560" t="str">
        <f>"1552374448693375"</f>
        <v>1552374448693375</v>
      </c>
      <c r="C3560" t="s">
        <v>40</v>
      </c>
      <c r="D3560">
        <v>4.258902</v>
      </c>
      <c r="E3560">
        <v>0.51591909999999996</v>
      </c>
      <c r="F3560" t="s">
        <v>48</v>
      </c>
      <c r="G3560">
        <v>0</v>
      </c>
      <c r="H3560">
        <v>0</v>
      </c>
      <c r="I3560">
        <v>0</v>
      </c>
      <c r="J3560">
        <v>-366.50760000000002</v>
      </c>
      <c r="K3560">
        <v>1.110147</v>
      </c>
      <c r="L3560">
        <v>283.58870000000002</v>
      </c>
      <c r="M3560">
        <v>-0.99981220000000004</v>
      </c>
      <c r="N3560">
        <v>0</v>
      </c>
      <c r="O3560">
        <v>1.28609E-2</v>
      </c>
      <c r="P3560">
        <v>-0.9995946</v>
      </c>
      <c r="Q3560">
        <v>2.7811349999999999E-2</v>
      </c>
      <c r="R3560">
        <v>6.1311940000000004E-3</v>
      </c>
      <c r="S3560">
        <v>-2.9996339999999999</v>
      </c>
      <c r="T3560">
        <v>2.4055239999999999E-2</v>
      </c>
      <c r="U3560">
        <v>0.14312739999999999</v>
      </c>
      <c r="V3560">
        <v>-6.7023889999999996E-3</v>
      </c>
      <c r="W3560">
        <v>4.2311729999999999E-2</v>
      </c>
      <c r="X3560">
        <v>0.99908200000000003</v>
      </c>
      <c r="Y3560">
        <v>3.4808470000000001E-2</v>
      </c>
      <c r="Z3560" s="1">
        <v>-3.6412699999999998E-5</v>
      </c>
      <c r="AA3560">
        <v>0.999394</v>
      </c>
      <c r="AB3560">
        <v>33</v>
      </c>
      <c r="AC3560">
        <v>-2.9996339999999999</v>
      </c>
      <c r="AD3560">
        <v>2.4055239999999999E-2</v>
      </c>
      <c r="AE3560">
        <v>0.14312739999999999</v>
      </c>
      <c r="AF3560">
        <v>0.10452680590963701</v>
      </c>
      <c r="AG3560">
        <v>2.4055239999999999E-2</v>
      </c>
      <c r="AH3560">
        <v>3.00103424433444</v>
      </c>
      <c r="AI3560">
        <v>89.5410252288804</v>
      </c>
      <c r="AJ3560">
        <v>88.005179456529802</v>
      </c>
      <c r="AK3560">
        <v>3.0029503897655498</v>
      </c>
      <c r="AL3560">
        <v>87.574992562299201</v>
      </c>
      <c r="AM3560">
        <v>90.384365689344193</v>
      </c>
      <c r="AN3560">
        <v>1.0000000236189499</v>
      </c>
    </row>
    <row r="3561" spans="1:40" x14ac:dyDescent="0.25">
      <c r="A3561" t="str">
        <f>"20190312150728708"</f>
        <v>20190312150728708</v>
      </c>
      <c r="B3561" t="str">
        <f>"1552374448704111"</f>
        <v>1552374448704111</v>
      </c>
      <c r="C3561" t="s">
        <v>40</v>
      </c>
      <c r="D3561">
        <v>4.2621719999999996</v>
      </c>
      <c r="E3561">
        <v>0.51597959999999998</v>
      </c>
      <c r="F3561" t="s">
        <v>48</v>
      </c>
      <c r="G3561">
        <v>0</v>
      </c>
      <c r="H3561">
        <v>0</v>
      </c>
      <c r="I3561">
        <v>0</v>
      </c>
      <c r="J3561">
        <v>-366.67610000000002</v>
      </c>
      <c r="K3561">
        <v>1.1101460000000001</v>
      </c>
      <c r="L3561">
        <v>283.59089999999998</v>
      </c>
      <c r="M3561">
        <v>-0.99981070000000005</v>
      </c>
      <c r="N3561">
        <v>0</v>
      </c>
      <c r="O3561">
        <v>1.298261E-2</v>
      </c>
      <c r="P3561">
        <v>-0.99959529999999996</v>
      </c>
      <c r="Q3561">
        <v>2.774476E-2</v>
      </c>
      <c r="R3561">
        <v>6.3203629999999998E-3</v>
      </c>
      <c r="S3561">
        <v>-2.999603</v>
      </c>
      <c r="T3561">
        <v>2.6713850000000001E-2</v>
      </c>
      <c r="U3561">
        <v>0.1430969</v>
      </c>
      <c r="V3561">
        <v>-6.6352370000000004E-3</v>
      </c>
      <c r="W3561">
        <v>4.2243129999999997E-2</v>
      </c>
      <c r="X3561">
        <v>0.99908529999999995</v>
      </c>
      <c r="Y3561">
        <v>3.4676989999999998E-2</v>
      </c>
      <c r="Z3561" s="1">
        <v>-3.8768969999999999E-5</v>
      </c>
      <c r="AA3561">
        <v>0.99939860000000003</v>
      </c>
      <c r="AB3561">
        <v>33</v>
      </c>
      <c r="AC3561">
        <v>-2.999603</v>
      </c>
      <c r="AD3561">
        <v>2.6713850000000001E-2</v>
      </c>
      <c r="AE3561">
        <v>0.1430969</v>
      </c>
      <c r="AF3561">
        <v>0.104129831641884</v>
      </c>
      <c r="AG3561">
        <v>2.6713850000000001E-2</v>
      </c>
      <c r="AH3561">
        <v>3.0009706377094898</v>
      </c>
      <c r="AI3561">
        <v>89.490288274922904</v>
      </c>
      <c r="AJ3561">
        <v>88.012707258453403</v>
      </c>
      <c r="AK3561">
        <v>3.0028955060098399</v>
      </c>
      <c r="AL3561">
        <v>87.578926446297899</v>
      </c>
      <c r="AM3561">
        <v>90.380513542649695</v>
      </c>
      <c r="AN3561">
        <v>0.99999997253916595</v>
      </c>
    </row>
    <row r="3562" spans="1:40" x14ac:dyDescent="0.25">
      <c r="A3562" t="str">
        <f>"20190312150728719"</f>
        <v>20190312150728719</v>
      </c>
      <c r="B3562" t="str">
        <f>"1552374448713871"</f>
        <v>1552374448713871</v>
      </c>
      <c r="C3562" t="s">
        <v>40</v>
      </c>
      <c r="D3562">
        <v>4.2545970000000004</v>
      </c>
      <c r="E3562">
        <v>0.51602269999999995</v>
      </c>
      <c r="F3562" t="s">
        <v>48</v>
      </c>
      <c r="G3562">
        <v>0</v>
      </c>
      <c r="H3562">
        <v>0</v>
      </c>
      <c r="I3562">
        <v>0</v>
      </c>
      <c r="J3562">
        <v>-366.84640000000002</v>
      </c>
      <c r="K3562">
        <v>1.110147</v>
      </c>
      <c r="L3562">
        <v>283.5933</v>
      </c>
      <c r="M3562">
        <v>-0.99980899999999995</v>
      </c>
      <c r="N3562">
        <v>0</v>
      </c>
      <c r="O3562">
        <v>1.310624E-2</v>
      </c>
      <c r="P3562">
        <v>-0.99959410000000004</v>
      </c>
      <c r="Q3562">
        <v>2.77524E-2</v>
      </c>
      <c r="R3562">
        <v>6.4538360000000001E-3</v>
      </c>
      <c r="S3562">
        <v>-2.9995729999999998</v>
      </c>
      <c r="T3562">
        <v>2.7332430000000001E-2</v>
      </c>
      <c r="U3562">
        <v>0.14410400000000001</v>
      </c>
      <c r="V3562">
        <v>-6.6252289999999998E-3</v>
      </c>
      <c r="W3562">
        <v>4.2249330000000002E-2</v>
      </c>
      <c r="X3562">
        <v>0.99908509999999995</v>
      </c>
      <c r="Y3562">
        <v>3.4888639999999999E-2</v>
      </c>
      <c r="Z3562" s="1">
        <v>-3.9504859999999999E-5</v>
      </c>
      <c r="AA3562">
        <v>0.99939120000000004</v>
      </c>
      <c r="AB3562">
        <v>33</v>
      </c>
      <c r="AC3562">
        <v>-2.9995729999999998</v>
      </c>
      <c r="AD3562">
        <v>2.7332430000000001E-2</v>
      </c>
      <c r="AE3562">
        <v>0.14410400000000001</v>
      </c>
      <c r="AF3562">
        <v>0.104765685624369</v>
      </c>
      <c r="AG3562">
        <v>2.7332430000000001E-2</v>
      </c>
      <c r="AH3562">
        <v>3.00095557421947</v>
      </c>
      <c r="AI3562">
        <v>89.4784873741105</v>
      </c>
      <c r="AJ3562">
        <v>88.000571929908304</v>
      </c>
      <c r="AK3562">
        <v>3.00290813530034</v>
      </c>
      <c r="AL3562">
        <v>87.578570884742504</v>
      </c>
      <c r="AM3562">
        <v>90.379939702835202</v>
      </c>
      <c r="AN3562">
        <v>0.99999996829338</v>
      </c>
    </row>
    <row r="3563" spans="1:40" x14ac:dyDescent="0.25">
      <c r="A3563" t="str">
        <f>"20190312150728730"</f>
        <v>20190312150728730</v>
      </c>
      <c r="B3563" t="str">
        <f>"1552374448723631"</f>
        <v>1552374448723631</v>
      </c>
      <c r="C3563" t="s">
        <v>40</v>
      </c>
      <c r="D3563">
        <v>4.2661369999999996</v>
      </c>
      <c r="E3563">
        <v>0.51606320000000006</v>
      </c>
      <c r="F3563" t="s">
        <v>48</v>
      </c>
      <c r="G3563">
        <v>0</v>
      </c>
      <c r="H3563">
        <v>0</v>
      </c>
      <c r="I3563">
        <v>0</v>
      </c>
      <c r="J3563">
        <v>-367.00380000000001</v>
      </c>
      <c r="K3563">
        <v>1.110152</v>
      </c>
      <c r="L3563">
        <v>283.59539999999998</v>
      </c>
      <c r="M3563">
        <v>-0.99980760000000002</v>
      </c>
      <c r="N3563">
        <v>0</v>
      </c>
      <c r="O3563">
        <v>1.3220259999999999E-2</v>
      </c>
      <c r="P3563">
        <v>-0.99959209999999998</v>
      </c>
      <c r="Q3563">
        <v>2.785849E-2</v>
      </c>
      <c r="R3563">
        <v>6.3138059999999999E-3</v>
      </c>
      <c r="S3563">
        <v>-2.9995120000000002</v>
      </c>
      <c r="T3563">
        <v>2.7049900000000002E-2</v>
      </c>
      <c r="U3563">
        <v>0.144928</v>
      </c>
      <c r="V3563">
        <v>-6.8791210000000002E-3</v>
      </c>
      <c r="W3563">
        <v>4.2353660000000001E-2</v>
      </c>
      <c r="X3563">
        <v>0.99907900000000005</v>
      </c>
      <c r="Y3563">
        <v>3.5049539999999997E-2</v>
      </c>
      <c r="Z3563" s="1">
        <v>-3.8794670000000001E-5</v>
      </c>
      <c r="AA3563">
        <v>0.99938559999999999</v>
      </c>
      <c r="AB3563">
        <v>33</v>
      </c>
      <c r="AC3563">
        <v>-2.9995120000000002</v>
      </c>
      <c r="AD3563">
        <v>2.7049900000000002E-2</v>
      </c>
      <c r="AE3563">
        <v>0.144928</v>
      </c>
      <c r="AF3563">
        <v>0.105248299739821</v>
      </c>
      <c r="AG3563">
        <v>2.7049900000000002E-2</v>
      </c>
      <c r="AH3563">
        <v>3.0009225152664398</v>
      </c>
      <c r="AI3563">
        <v>89.483875077544695</v>
      </c>
      <c r="AJ3563">
        <v>87.991346772837701</v>
      </c>
      <c r="AK3563">
        <v>3.0028894159327901</v>
      </c>
      <c r="AL3563">
        <v>87.572587941145201</v>
      </c>
      <c r="AM3563">
        <v>90.394501707564501</v>
      </c>
      <c r="AN3563">
        <v>1.0000000015310599</v>
      </c>
    </row>
    <row r="3564" spans="1:40" x14ac:dyDescent="0.25">
      <c r="A3564" t="str">
        <f>"20190312150728743"</f>
        <v>20190312150728743</v>
      </c>
      <c r="B3564" t="str">
        <f>"1552374448733391"</f>
        <v>1552374448733391</v>
      </c>
      <c r="C3564" t="s">
        <v>40</v>
      </c>
      <c r="D3564">
        <v>4.205184</v>
      </c>
      <c r="E3564">
        <v>0.51624829999999999</v>
      </c>
      <c r="F3564" t="s">
        <v>48</v>
      </c>
      <c r="G3564">
        <v>0</v>
      </c>
      <c r="H3564">
        <v>0</v>
      </c>
      <c r="I3564">
        <v>0</v>
      </c>
      <c r="J3564">
        <v>-367.19670000000002</v>
      </c>
      <c r="K3564">
        <v>1.11015</v>
      </c>
      <c r="L3564">
        <v>283.59809999999999</v>
      </c>
      <c r="M3564">
        <v>-0.99980579999999997</v>
      </c>
      <c r="N3564">
        <v>0</v>
      </c>
      <c r="O3564">
        <v>1.3359619999999999E-2</v>
      </c>
      <c r="P3564">
        <v>-0.99958590000000003</v>
      </c>
      <c r="Q3564">
        <v>2.804005E-2</v>
      </c>
      <c r="R3564">
        <v>6.4905479999999996E-3</v>
      </c>
      <c r="S3564">
        <v>-2.9995419999999999</v>
      </c>
      <c r="T3564">
        <v>2.730405E-2</v>
      </c>
      <c r="U3564">
        <v>0.14471439999999999</v>
      </c>
      <c r="V3564">
        <v>-6.841911E-3</v>
      </c>
      <c r="W3564">
        <v>4.2532790000000001E-2</v>
      </c>
      <c r="X3564">
        <v>0.99907170000000001</v>
      </c>
      <c r="Y3564">
        <v>3.483874E-2</v>
      </c>
      <c r="Z3564" s="1">
        <v>-3.693232E-5</v>
      </c>
      <c r="AA3564">
        <v>0.99939290000000003</v>
      </c>
      <c r="AB3564">
        <v>33</v>
      </c>
      <c r="AC3564">
        <v>-2.9995419999999999</v>
      </c>
      <c r="AD3564">
        <v>2.730405E-2</v>
      </c>
      <c r="AE3564">
        <v>0.14471439999999999</v>
      </c>
      <c r="AF3564">
        <v>0.104615886864251</v>
      </c>
      <c r="AG3564">
        <v>2.730405E-2</v>
      </c>
      <c r="AH3564">
        <v>3.0009597041816898</v>
      </c>
      <c r="AI3564">
        <v>89.479028654882697</v>
      </c>
      <c r="AJ3564">
        <v>88.003431233489493</v>
      </c>
      <c r="AK3564">
        <v>3.0029067819452999</v>
      </c>
      <c r="AL3564">
        <v>87.562315423783204</v>
      </c>
      <c r="AM3564">
        <v>90.392370733724306</v>
      </c>
      <c r="AN3564">
        <v>1.0000000558561</v>
      </c>
    </row>
    <row r="3565" spans="1:40" x14ac:dyDescent="0.25">
      <c r="A3565" t="str">
        <f>"20190312150728754"</f>
        <v>20190312150728754</v>
      </c>
      <c r="B3565" t="str">
        <f>"1552374448744127"</f>
        <v>1552374448744127</v>
      </c>
      <c r="C3565" t="s">
        <v>40</v>
      </c>
      <c r="D3565">
        <v>4.5032430000000003</v>
      </c>
      <c r="E3565">
        <v>0.51629999999999998</v>
      </c>
      <c r="F3565" t="s">
        <v>48</v>
      </c>
      <c r="G3565">
        <v>0</v>
      </c>
      <c r="H3565">
        <v>0</v>
      </c>
      <c r="I3565">
        <v>0</v>
      </c>
      <c r="J3565">
        <v>-367.36579999999998</v>
      </c>
      <c r="K3565">
        <v>1.1101510000000001</v>
      </c>
      <c r="L3565">
        <v>283.60050000000001</v>
      </c>
      <c r="M3565">
        <v>-0.99980409999999997</v>
      </c>
      <c r="N3565">
        <v>0</v>
      </c>
      <c r="O3565">
        <v>1.3482360000000001E-2</v>
      </c>
      <c r="P3565">
        <v>-0.99958559999999996</v>
      </c>
      <c r="Q3565">
        <v>2.800772E-2</v>
      </c>
      <c r="R3565">
        <v>6.6591519999999998E-3</v>
      </c>
      <c r="S3565">
        <v>-2.9994809999999998</v>
      </c>
      <c r="T3565">
        <v>2.877617E-2</v>
      </c>
      <c r="U3565">
        <v>0.14678959999999999</v>
      </c>
      <c r="V3565">
        <v>-6.7961849999999997E-3</v>
      </c>
      <c r="W3565">
        <v>4.2497529999999999E-2</v>
      </c>
      <c r="X3565">
        <v>0.9990734</v>
      </c>
      <c r="Y3565">
        <v>3.5406720000000003E-2</v>
      </c>
      <c r="Z3565" s="1">
        <v>-4.046995E-5</v>
      </c>
      <c r="AA3565">
        <v>0.99937299999999996</v>
      </c>
      <c r="AB3565">
        <v>33</v>
      </c>
      <c r="AC3565">
        <v>-2.9994809999999998</v>
      </c>
      <c r="AD3565">
        <v>2.877617E-2</v>
      </c>
      <c r="AE3565">
        <v>0.14678959999999999</v>
      </c>
      <c r="AF3565">
        <v>0.10632216359407</v>
      </c>
      <c r="AG3565">
        <v>2.877617E-2</v>
      </c>
      <c r="AH3565">
        <v>3.0009120523115098</v>
      </c>
      <c r="AI3565">
        <v>89.450943988307401</v>
      </c>
      <c r="AJ3565">
        <v>87.970862166043403</v>
      </c>
      <c r="AK3565">
        <v>3.0029328357690099</v>
      </c>
      <c r="AL3565">
        <v>87.5643372270725</v>
      </c>
      <c r="AM3565">
        <v>90.389747851583294</v>
      </c>
      <c r="AN3565">
        <v>0.99999994338710596</v>
      </c>
    </row>
    <row r="3566" spans="1:40" x14ac:dyDescent="0.25">
      <c r="A3566" t="str">
        <f>"20190312150728769"</f>
        <v>20190312150728769</v>
      </c>
      <c r="B3566" t="str">
        <f>"1552374448763647"</f>
        <v>1552374448763647</v>
      </c>
      <c r="C3566" t="s">
        <v>40</v>
      </c>
      <c r="D3566">
        <v>4.2501670000000003</v>
      </c>
      <c r="E3566">
        <v>0.5164453</v>
      </c>
      <c r="F3566" t="s">
        <v>48</v>
      </c>
      <c r="G3566">
        <v>0</v>
      </c>
      <c r="H3566">
        <v>0</v>
      </c>
      <c r="I3566">
        <v>0</v>
      </c>
      <c r="J3566">
        <v>-367.56580000000002</v>
      </c>
      <c r="K3566">
        <v>1.110152</v>
      </c>
      <c r="L3566">
        <v>283.60340000000002</v>
      </c>
      <c r="M3566">
        <v>-0.99980219999999997</v>
      </c>
      <c r="N3566">
        <v>0</v>
      </c>
      <c r="O3566">
        <v>1.3627749999999999E-2</v>
      </c>
      <c r="P3566">
        <v>-0.99958469999999999</v>
      </c>
      <c r="Q3566">
        <v>2.8038270000000001E-2</v>
      </c>
      <c r="R3566">
        <v>6.6544569999999999E-3</v>
      </c>
      <c r="S3566">
        <v>-2.9994200000000002</v>
      </c>
      <c r="T3566">
        <v>2.9150490000000001E-2</v>
      </c>
      <c r="U3566">
        <v>0.1478882</v>
      </c>
      <c r="V3566">
        <v>-6.9462419999999896E-3</v>
      </c>
      <c r="W3566">
        <v>4.2524689999999997E-2</v>
      </c>
      <c r="X3566">
        <v>0.99907120000000005</v>
      </c>
      <c r="Y3566">
        <v>3.5627510000000001E-2</v>
      </c>
      <c r="Z3566" s="1">
        <v>-4.0657239999999997E-5</v>
      </c>
      <c r="AA3566">
        <v>0.99936519999999995</v>
      </c>
      <c r="AB3566">
        <v>33</v>
      </c>
      <c r="AC3566">
        <v>-2.9994200000000002</v>
      </c>
      <c r="AD3566">
        <v>2.9150490000000001E-2</v>
      </c>
      <c r="AE3566">
        <v>0.1478882</v>
      </c>
      <c r="AF3566">
        <v>0.106984748022631</v>
      </c>
      <c r="AG3566">
        <v>2.9150490000000001E-2</v>
      </c>
      <c r="AH3566">
        <v>3.0008742489192302</v>
      </c>
      <c r="AI3566">
        <v>89.4437996829691</v>
      </c>
      <c r="AJ3566">
        <v>87.958201841275198</v>
      </c>
      <c r="AK3566">
        <v>3.0029222009907701</v>
      </c>
      <c r="AL3566">
        <v>87.562779635611903</v>
      </c>
      <c r="AM3566">
        <v>90.398353928435697</v>
      </c>
      <c r="AN3566">
        <v>0.99999993110347696</v>
      </c>
    </row>
    <row r="3567" spans="1:40" x14ac:dyDescent="0.25">
      <c r="A3567" t="str">
        <f>"20190312150728782"</f>
        <v>20190312150728782</v>
      </c>
      <c r="B3567" t="str">
        <f>"1552374448773407"</f>
        <v>1552374448773407</v>
      </c>
      <c r="C3567" t="s">
        <v>40</v>
      </c>
      <c r="D3567">
        <v>4.1894859999999996</v>
      </c>
      <c r="E3567">
        <v>0.51658219999999999</v>
      </c>
      <c r="F3567" t="s">
        <v>48</v>
      </c>
      <c r="G3567">
        <v>0</v>
      </c>
      <c r="H3567">
        <v>0</v>
      </c>
      <c r="I3567">
        <v>0</v>
      </c>
      <c r="J3567">
        <v>-367.76409999999998</v>
      </c>
      <c r="K3567">
        <v>1.1101510000000001</v>
      </c>
      <c r="L3567">
        <v>283.6062</v>
      </c>
      <c r="M3567">
        <v>-0.99980029999999998</v>
      </c>
      <c r="N3567">
        <v>0</v>
      </c>
      <c r="O3567">
        <v>1.377171E-2</v>
      </c>
      <c r="P3567">
        <v>-0.99958290000000005</v>
      </c>
      <c r="Q3567">
        <v>2.8058799999999998E-2</v>
      </c>
      <c r="R3567">
        <v>6.8577999999999998E-3</v>
      </c>
      <c r="S3567">
        <v>-2.9994200000000002</v>
      </c>
      <c r="T3567">
        <v>2.9299019999999999E-2</v>
      </c>
      <c r="U3567">
        <v>0.1488342</v>
      </c>
      <c r="V3567">
        <v>-6.8866889999999997E-3</v>
      </c>
      <c r="W3567">
        <v>4.2541370000000002E-2</v>
      </c>
      <c r="X3567">
        <v>0.99907089999999998</v>
      </c>
      <c r="Y3567">
        <v>3.5798049999999998E-2</v>
      </c>
      <c r="Z3567" s="1">
        <v>-4.0291399999999998E-5</v>
      </c>
      <c r="AA3567">
        <v>0.99935909999999994</v>
      </c>
      <c r="AB3567">
        <v>33</v>
      </c>
      <c r="AC3567">
        <v>-2.9994200000000002</v>
      </c>
      <c r="AD3567">
        <v>2.9299019999999999E-2</v>
      </c>
      <c r="AE3567">
        <v>0.1488342</v>
      </c>
      <c r="AF3567">
        <v>0.107498376160181</v>
      </c>
      <c r="AG3567">
        <v>2.9299019999999999E-2</v>
      </c>
      <c r="AH3567">
        <v>3.0008997708291498</v>
      </c>
      <c r="AI3567">
        <v>89.440974027150602</v>
      </c>
      <c r="AJ3567">
        <v>87.948425066021102</v>
      </c>
      <c r="AK3567">
        <v>3.0029674936656399</v>
      </c>
      <c r="AL3567">
        <v>87.561823071030204</v>
      </c>
      <c r="AM3567">
        <v>90.394938903005496</v>
      </c>
      <c r="AN3567">
        <v>0.99999992893683198</v>
      </c>
    </row>
    <row r="3568" spans="1:40" x14ac:dyDescent="0.25">
      <c r="A3568" t="str">
        <f>"20190312150728797"</f>
        <v>20190312150728797</v>
      </c>
      <c r="B3568" t="str">
        <f>"1552374448793904"</f>
        <v>1552374448793904</v>
      </c>
      <c r="C3568" t="s">
        <v>40</v>
      </c>
      <c r="D3568">
        <v>4.1586439999999998</v>
      </c>
      <c r="E3568">
        <v>0.51669480000000001</v>
      </c>
      <c r="F3568" t="s">
        <v>48</v>
      </c>
      <c r="G3568">
        <v>0</v>
      </c>
      <c r="H3568">
        <v>0</v>
      </c>
      <c r="I3568">
        <v>0</v>
      </c>
      <c r="J3568">
        <v>-367.99059999999997</v>
      </c>
      <c r="K3568">
        <v>1.110155</v>
      </c>
      <c r="L3568">
        <v>283.60950000000003</v>
      </c>
      <c r="M3568">
        <v>-0.99979810000000002</v>
      </c>
      <c r="N3568">
        <v>0</v>
      </c>
      <c r="O3568">
        <v>1.393665E-2</v>
      </c>
      <c r="P3568">
        <v>-0.99957929999999995</v>
      </c>
      <c r="Q3568">
        <v>2.805494E-2</v>
      </c>
      <c r="R3568">
        <v>7.3858079999999998E-3</v>
      </c>
      <c r="S3568">
        <v>-2.9993289999999999</v>
      </c>
      <c r="T3568">
        <v>3.0365940000000001E-2</v>
      </c>
      <c r="U3568">
        <v>0.15072629999999901</v>
      </c>
      <c r="V3568">
        <v>-6.5236790000000001E-3</v>
      </c>
      <c r="W3568">
        <v>4.2532309999999997E-2</v>
      </c>
      <c r="X3568">
        <v>0.99907380000000001</v>
      </c>
      <c r="Y3568">
        <v>3.6263459999999997E-2</v>
      </c>
      <c r="Z3568" s="1">
        <v>-4.244513E-5</v>
      </c>
      <c r="AA3568">
        <v>0.99934230000000002</v>
      </c>
      <c r="AB3568">
        <v>33</v>
      </c>
      <c r="AC3568">
        <v>-2.9993289999999999</v>
      </c>
      <c r="AD3568">
        <v>3.0365940000000001E-2</v>
      </c>
      <c r="AE3568">
        <v>0.15072629999999901</v>
      </c>
      <c r="AF3568">
        <v>0.108895546293121</v>
      </c>
      <c r="AG3568">
        <v>3.0365940000000001E-2</v>
      </c>
      <c r="AH3568">
        <v>3.0008316730394702</v>
      </c>
      <c r="AI3568">
        <v>89.420615115389893</v>
      </c>
      <c r="AJ3568">
        <v>87.921736596210906</v>
      </c>
      <c r="AK3568">
        <v>3.0029603827275899</v>
      </c>
      <c r="AL3568">
        <v>87.562342831045498</v>
      </c>
      <c r="AM3568">
        <v>90.374120471797895</v>
      </c>
      <c r="AN3568">
        <v>1.00000000681403</v>
      </c>
    </row>
    <row r="3569" spans="1:40" x14ac:dyDescent="0.25">
      <c r="A3569" t="str">
        <f>"20190312150728820"</f>
        <v>20190312150728820</v>
      </c>
      <c r="B3569" t="str">
        <f>"1552374448813422"</f>
        <v>1552374448813422</v>
      </c>
      <c r="C3569" t="s">
        <v>40</v>
      </c>
      <c r="D3569">
        <v>4.2327539999999999</v>
      </c>
      <c r="E3569">
        <v>0.51693149999999999</v>
      </c>
      <c r="F3569" t="s">
        <v>48</v>
      </c>
      <c r="G3569">
        <v>0</v>
      </c>
      <c r="H3569">
        <v>0</v>
      </c>
      <c r="I3569">
        <v>0</v>
      </c>
      <c r="J3569">
        <v>-368.31479999999999</v>
      </c>
      <c r="K3569">
        <v>1.110155</v>
      </c>
      <c r="L3569">
        <v>283.61430000000001</v>
      </c>
      <c r="M3569">
        <v>-0.99979479999999998</v>
      </c>
      <c r="N3569">
        <v>0</v>
      </c>
      <c r="O3569">
        <v>1.417235E-2</v>
      </c>
      <c r="P3569">
        <v>-0.99957569999999996</v>
      </c>
      <c r="Q3569">
        <v>2.8108790000000002E-2</v>
      </c>
      <c r="R3569">
        <v>7.6399450000000004E-3</v>
      </c>
      <c r="S3569">
        <v>-2.999298</v>
      </c>
      <c r="T3569">
        <v>3.0217649999999999E-2</v>
      </c>
      <c r="U3569">
        <v>0.1530762</v>
      </c>
      <c r="V3569">
        <v>-6.5050859999999898E-3</v>
      </c>
      <c r="W3569">
        <v>4.2578999999999999E-2</v>
      </c>
      <c r="X3569">
        <v>0.99907190000000001</v>
      </c>
      <c r="Y3569">
        <v>3.6809309999999998E-2</v>
      </c>
      <c r="Z3569" s="1">
        <v>-4.2612779999999998E-5</v>
      </c>
      <c r="AA3569">
        <v>0.9993223</v>
      </c>
      <c r="AB3569">
        <v>33</v>
      </c>
      <c r="AC3569">
        <v>-2.999298</v>
      </c>
      <c r="AD3569">
        <v>3.0217649999999999E-2</v>
      </c>
      <c r="AE3569">
        <v>0.1530762</v>
      </c>
      <c r="AF3569">
        <v>0.110538077647368</v>
      </c>
      <c r="AG3569">
        <v>3.0217649999999999E-2</v>
      </c>
      <c r="AH3569">
        <v>3.0008625782845799</v>
      </c>
      <c r="AI3569">
        <v>89.423461761891701</v>
      </c>
      <c r="AJ3569">
        <v>87.890438827079095</v>
      </c>
      <c r="AK3569">
        <v>3.0030497809277601</v>
      </c>
      <c r="AL3569">
        <v>87.559665186300904</v>
      </c>
      <c r="AM3569">
        <v>90.373054938547199</v>
      </c>
      <c r="AN3569">
        <v>0.99999997437723798</v>
      </c>
    </row>
    <row r="3570" spans="1:40" x14ac:dyDescent="0.25">
      <c r="A3570" t="str">
        <f>"20190312150728831"</f>
        <v>20190312150728831</v>
      </c>
      <c r="B3570" t="str">
        <f>"1552374448824159"</f>
        <v>1552374448824159</v>
      </c>
      <c r="C3570" t="s">
        <v>40</v>
      </c>
      <c r="D3570">
        <v>4.244516</v>
      </c>
      <c r="E3570">
        <v>0.51708949999999998</v>
      </c>
      <c r="F3570" t="s">
        <v>48</v>
      </c>
      <c r="G3570">
        <v>0</v>
      </c>
      <c r="H3570">
        <v>0</v>
      </c>
      <c r="I3570">
        <v>0</v>
      </c>
      <c r="J3570">
        <v>-368.49029999999999</v>
      </c>
      <c r="K3570">
        <v>1.1101589999999999</v>
      </c>
      <c r="L3570">
        <v>283.61689999999999</v>
      </c>
      <c r="M3570">
        <v>-0.99979309999999999</v>
      </c>
      <c r="N3570">
        <v>0</v>
      </c>
      <c r="O3570">
        <v>1.4299920000000001E-2</v>
      </c>
      <c r="P3570">
        <v>-0.99957689999999999</v>
      </c>
      <c r="Q3570">
        <v>2.8051010000000001E-2</v>
      </c>
      <c r="R3570">
        <v>7.6931229999999996E-3</v>
      </c>
      <c r="S3570">
        <v>-2.9992679999999998</v>
      </c>
      <c r="T3570">
        <v>2.8702620000000002E-2</v>
      </c>
      <c r="U3570">
        <v>0.15567020000000001</v>
      </c>
      <c r="V3570">
        <v>-6.5794209999999898E-3</v>
      </c>
      <c r="W3570">
        <v>4.251754E-2</v>
      </c>
      <c r="X3570">
        <v>0.99907400000000002</v>
      </c>
      <c r="Y3570">
        <v>3.7544399999999999E-2</v>
      </c>
      <c r="Z3570" s="1">
        <v>-4.277127E-5</v>
      </c>
      <c r="AA3570">
        <v>0.99929489999999999</v>
      </c>
      <c r="AB3570">
        <v>33</v>
      </c>
      <c r="AC3570">
        <v>-2.9992679999999998</v>
      </c>
      <c r="AD3570">
        <v>2.8702620000000002E-2</v>
      </c>
      <c r="AE3570">
        <v>0.15567020000000001</v>
      </c>
      <c r="AF3570">
        <v>0.112750200455957</v>
      </c>
      <c r="AG3570">
        <v>2.8702620000000002E-2</v>
      </c>
      <c r="AH3570">
        <v>3.0009134749625699</v>
      </c>
      <c r="AI3570">
        <v>89.4523902705686</v>
      </c>
      <c r="AJ3570">
        <v>87.848297379568194</v>
      </c>
      <c r="AK3570">
        <v>3.0031680159973799</v>
      </c>
      <c r="AL3570">
        <v>87.563189702105205</v>
      </c>
      <c r="AM3570">
        <v>90.377317000968404</v>
      </c>
      <c r="AN3570">
        <v>0.99999994373217105</v>
      </c>
    </row>
    <row r="3571" spans="1:40" x14ac:dyDescent="0.25">
      <c r="A3571" t="str">
        <f>"20190312150728843"</f>
        <v>20190312150728843</v>
      </c>
      <c r="B3571" t="str">
        <f>"1552374448833919"</f>
        <v>1552374448833919</v>
      </c>
      <c r="C3571" t="s">
        <v>40</v>
      </c>
      <c r="D3571">
        <v>4.1830930000000004</v>
      </c>
      <c r="E3571">
        <v>0.51725880000000002</v>
      </c>
      <c r="F3571" t="s">
        <v>48</v>
      </c>
      <c r="G3571">
        <v>0</v>
      </c>
      <c r="H3571">
        <v>0</v>
      </c>
      <c r="I3571">
        <v>0</v>
      </c>
      <c r="J3571">
        <v>-368.66649999999998</v>
      </c>
      <c r="K3571">
        <v>1.1101570000000001</v>
      </c>
      <c r="L3571">
        <v>283.61950000000002</v>
      </c>
      <c r="M3571">
        <v>-0.99979130000000005</v>
      </c>
      <c r="N3571">
        <v>0</v>
      </c>
      <c r="O3571">
        <v>1.442832E-2</v>
      </c>
      <c r="P3571">
        <v>-0.99958089999999999</v>
      </c>
      <c r="Q3571">
        <v>2.7884920000000001E-2</v>
      </c>
      <c r="R3571">
        <v>7.7821119999999999E-3</v>
      </c>
      <c r="S3571">
        <v>-2.9993590000000001</v>
      </c>
      <c r="T3571">
        <v>2.7718779999999998E-2</v>
      </c>
      <c r="U3571">
        <v>0.15707399999999999</v>
      </c>
      <c r="V3571">
        <v>-6.6194859999999999E-3</v>
      </c>
      <c r="W3571">
        <v>4.2347950000000002E-2</v>
      </c>
      <c r="X3571">
        <v>0.999081</v>
      </c>
      <c r="Y3571">
        <v>3.7880990000000003E-2</v>
      </c>
      <c r="Z3571" s="1">
        <v>-4.1672219999999999E-5</v>
      </c>
      <c r="AA3571">
        <v>0.99928220000000001</v>
      </c>
      <c r="AB3571">
        <v>33</v>
      </c>
      <c r="AC3571">
        <v>-2.9993590000000001</v>
      </c>
      <c r="AD3571">
        <v>2.7718779999999998E-2</v>
      </c>
      <c r="AE3571">
        <v>0.15707399999999999</v>
      </c>
      <c r="AF3571">
        <v>0.11376771787574699</v>
      </c>
      <c r="AG3571">
        <v>2.7718779999999998E-2</v>
      </c>
      <c r="AH3571">
        <v>3.0010576624746399</v>
      </c>
      <c r="AI3571">
        <v>89.471191737620202</v>
      </c>
      <c r="AJ3571">
        <v>87.829001989146093</v>
      </c>
      <c r="AK3571">
        <v>3.0033412256840002</v>
      </c>
      <c r="AL3571">
        <v>87.572915403504695</v>
      </c>
      <c r="AM3571">
        <v>90.379611924108502</v>
      </c>
      <c r="AN3571">
        <v>1.00000000551255</v>
      </c>
    </row>
    <row r="3572" spans="1:40" x14ac:dyDescent="0.25">
      <c r="A3572" t="str">
        <f>"20190312150728855"</f>
        <v>20190312150728855</v>
      </c>
      <c r="B3572" t="str">
        <f>"1552374448843679"</f>
        <v>1552374448843679</v>
      </c>
      <c r="C3572" t="s">
        <v>40</v>
      </c>
      <c r="D3572">
        <v>4.2313409999999996</v>
      </c>
      <c r="E3572">
        <v>0.51740189999999997</v>
      </c>
      <c r="F3572" t="s">
        <v>48</v>
      </c>
      <c r="G3572">
        <v>0</v>
      </c>
      <c r="H3572">
        <v>0</v>
      </c>
      <c r="I3572">
        <v>0</v>
      </c>
      <c r="J3572">
        <v>-368.83789999999999</v>
      </c>
      <c r="K3572">
        <v>1.110155</v>
      </c>
      <c r="L3572">
        <v>283.62209999999999</v>
      </c>
      <c r="M3572">
        <v>-0.9997897</v>
      </c>
      <c r="N3572">
        <v>0</v>
      </c>
      <c r="O3572">
        <v>1.455267E-2</v>
      </c>
      <c r="P3572">
        <v>-0.99957810000000002</v>
      </c>
      <c r="Q3572">
        <v>2.788363E-2</v>
      </c>
      <c r="R3572">
        <v>8.1510530000000001E-3</v>
      </c>
      <c r="S3572">
        <v>-2.999298</v>
      </c>
      <c r="T3572">
        <v>2.6059510000000001E-2</v>
      </c>
      <c r="U3572">
        <v>0.15859989999999999</v>
      </c>
      <c r="V3572">
        <v>-6.3746189999999998E-3</v>
      </c>
      <c r="W3572">
        <v>4.2342699999999997E-2</v>
      </c>
      <c r="X3572">
        <v>0.99908280000000005</v>
      </c>
      <c r="Y3572">
        <v>3.8264840000000001E-2</v>
      </c>
      <c r="Z3572" s="1">
        <v>-3.9765029999999998E-5</v>
      </c>
      <c r="AA3572">
        <v>0.99926760000000003</v>
      </c>
      <c r="AB3572">
        <v>33</v>
      </c>
      <c r="AC3572">
        <v>-2.999298</v>
      </c>
      <c r="AD3572">
        <v>2.6059510000000001E-2</v>
      </c>
      <c r="AE3572">
        <v>0.15859989999999999</v>
      </c>
      <c r="AF3572">
        <v>0.114922099053146</v>
      </c>
      <c r="AG3572">
        <v>2.6059510000000001E-2</v>
      </c>
      <c r="AH3572">
        <v>3.0010626933575999</v>
      </c>
      <c r="AI3572">
        <v>89.502853122881305</v>
      </c>
      <c r="AJ3572">
        <v>87.806998324327395</v>
      </c>
      <c r="AK3572">
        <v>3.0033753472343401</v>
      </c>
      <c r="AL3572">
        <v>87.573216440267103</v>
      </c>
      <c r="AM3572">
        <v>90.365569108471007</v>
      </c>
      <c r="AN3572">
        <v>0.99999999063326195</v>
      </c>
    </row>
    <row r="3573" spans="1:40" x14ac:dyDescent="0.25">
      <c r="A3573" t="str">
        <f>"20190312150728868"</f>
        <v>20190312150728868</v>
      </c>
      <c r="B3573" t="str">
        <f>"1552374448864175"</f>
        <v>1552374448864175</v>
      </c>
      <c r="C3573" t="s">
        <v>40</v>
      </c>
      <c r="D3573">
        <v>4.2256349999999996</v>
      </c>
      <c r="E3573">
        <v>0.51755899999999999</v>
      </c>
      <c r="F3573" t="s">
        <v>48</v>
      </c>
      <c r="G3573">
        <v>0</v>
      </c>
      <c r="H3573">
        <v>0</v>
      </c>
      <c r="I3573">
        <v>0</v>
      </c>
      <c r="J3573">
        <v>-369.01940000000002</v>
      </c>
      <c r="K3573">
        <v>1.1101540000000001</v>
      </c>
      <c r="L3573">
        <v>283.62490000000003</v>
      </c>
      <c r="M3573">
        <v>-0.9997876</v>
      </c>
      <c r="N3573">
        <v>0</v>
      </c>
      <c r="O3573">
        <v>1.4684539999999999E-2</v>
      </c>
      <c r="P3573">
        <v>-0.99958179999999996</v>
      </c>
      <c r="Q3573">
        <v>2.7728880000000001E-2</v>
      </c>
      <c r="R3573">
        <v>8.2095299999999996E-3</v>
      </c>
      <c r="S3573">
        <v>-2.9992679999999998</v>
      </c>
      <c r="T3573">
        <v>2.4916649999999999E-2</v>
      </c>
      <c r="U3573">
        <v>0.16085820000000001</v>
      </c>
      <c r="V3573">
        <v>-6.4480259999999999E-3</v>
      </c>
      <c r="W3573">
        <v>4.2185E-2</v>
      </c>
      <c r="X3573">
        <v>0.999089</v>
      </c>
      <c r="Y3573">
        <v>3.8883910000000001E-2</v>
      </c>
      <c r="Z3573" s="1">
        <v>-3.949606E-5</v>
      </c>
      <c r="AA3573">
        <v>0.99924369999999996</v>
      </c>
      <c r="AB3573">
        <v>33</v>
      </c>
      <c r="AC3573">
        <v>-2.9992679999999998</v>
      </c>
      <c r="AD3573">
        <v>2.4916649999999999E-2</v>
      </c>
      <c r="AE3573">
        <v>0.16085820000000001</v>
      </c>
      <c r="AF3573">
        <v>0.11678533838696099</v>
      </c>
      <c r="AG3573">
        <v>2.4916649999999999E-2</v>
      </c>
      <c r="AH3573">
        <v>3.0011003865811299</v>
      </c>
      <c r="AI3573">
        <v>89.524672197126307</v>
      </c>
      <c r="AJ3573">
        <v>87.771506572505004</v>
      </c>
      <c r="AK3573">
        <v>3.0034751846896999</v>
      </c>
      <c r="AL3573">
        <v>87.582260065313207</v>
      </c>
      <c r="AM3573">
        <v>90.369776412950699</v>
      </c>
      <c r="AN3573">
        <v>0.99999999059264799</v>
      </c>
    </row>
    <row r="3574" spans="1:40" x14ac:dyDescent="0.25">
      <c r="A3574" t="str">
        <f>"20190312150728878"</f>
        <v>20190312150728878</v>
      </c>
      <c r="B3574" t="str">
        <f>"1552374448873935"</f>
        <v>1552374448873935</v>
      </c>
      <c r="C3574" t="s">
        <v>40</v>
      </c>
      <c r="D3574">
        <v>4.233778</v>
      </c>
      <c r="E3574">
        <v>0.51767129999999995</v>
      </c>
      <c r="F3574" t="s">
        <v>48</v>
      </c>
      <c r="G3574">
        <v>0</v>
      </c>
      <c r="H3574">
        <v>0</v>
      </c>
      <c r="I3574">
        <v>0</v>
      </c>
      <c r="J3574">
        <v>-369.1891</v>
      </c>
      <c r="K3574">
        <v>1.110155</v>
      </c>
      <c r="L3574">
        <v>283.6275</v>
      </c>
      <c r="M3574">
        <v>-0.99978579999999995</v>
      </c>
      <c r="N3574">
        <v>0</v>
      </c>
      <c r="O3574">
        <v>1.4807870000000001E-2</v>
      </c>
      <c r="P3574">
        <v>-0.99958519999999895</v>
      </c>
      <c r="Q3574">
        <v>2.756308E-2</v>
      </c>
      <c r="R3574">
        <v>8.3536519999999996E-3</v>
      </c>
      <c r="S3574">
        <v>-2.9992070000000002</v>
      </c>
      <c r="T3574">
        <v>2.451563E-2</v>
      </c>
      <c r="U3574">
        <v>0.16220090000000001</v>
      </c>
      <c r="V3574">
        <v>-6.4275869999999898E-3</v>
      </c>
      <c r="W3574">
        <v>4.2015410000000003E-2</v>
      </c>
      <c r="X3574">
        <v>0.99909630000000005</v>
      </c>
      <c r="Y3574">
        <v>3.9207819999999997E-2</v>
      </c>
      <c r="Z3574" s="1">
        <v>-3.9176530000000002E-5</v>
      </c>
      <c r="AA3574">
        <v>0.99923110000000004</v>
      </c>
      <c r="AB3574">
        <v>33</v>
      </c>
      <c r="AC3574">
        <v>-2.9992070000000002</v>
      </c>
      <c r="AD3574">
        <v>2.451563E-2</v>
      </c>
      <c r="AE3574">
        <v>0.16220090000000001</v>
      </c>
      <c r="AF3574">
        <v>0.117758756144522</v>
      </c>
      <c r="AG3574">
        <v>2.451563E-2</v>
      </c>
      <c r="AH3574">
        <v>3.0010802595133899</v>
      </c>
      <c r="AI3574">
        <v>89.532324785089301</v>
      </c>
      <c r="AJ3574">
        <v>87.752935758784702</v>
      </c>
      <c r="AK3574">
        <v>3.0034897810387098</v>
      </c>
      <c r="AL3574">
        <v>87.591985532337404</v>
      </c>
      <c r="AM3574">
        <v>90.368601632192195</v>
      </c>
      <c r="AN3574">
        <v>1.0000000126129001</v>
      </c>
    </row>
    <row r="3575" spans="1:40" x14ac:dyDescent="0.25">
      <c r="A3575" t="str">
        <f>"20190312150728891"</f>
        <v>20190312150728891</v>
      </c>
      <c r="B3575" t="str">
        <f>"1552374448883696"</f>
        <v>1552374448883696</v>
      </c>
      <c r="C3575" t="s">
        <v>40</v>
      </c>
      <c r="D3575">
        <v>4.3281720000000004</v>
      </c>
      <c r="E3575">
        <v>0.51780039999999905</v>
      </c>
      <c r="F3575" t="s">
        <v>72</v>
      </c>
      <c r="G3575">
        <v>-553.71439999999996</v>
      </c>
      <c r="H3575">
        <v>2.5558299999999998</v>
      </c>
      <c r="I3575">
        <v>293.69319999999999</v>
      </c>
      <c r="J3575">
        <v>-369.35390000000001</v>
      </c>
      <c r="K3575">
        <v>1.110152</v>
      </c>
      <c r="L3575">
        <v>283.63</v>
      </c>
      <c r="M3575">
        <v>-0.99978420000000001</v>
      </c>
      <c r="N3575">
        <v>0</v>
      </c>
      <c r="O3575">
        <v>1.492721E-2</v>
      </c>
      <c r="P3575">
        <v>-0.99958970000000003</v>
      </c>
      <c r="Q3575">
        <v>2.741029E-2</v>
      </c>
      <c r="R3575">
        <v>8.3295399999999999E-3</v>
      </c>
      <c r="S3575">
        <v>-2.9992070000000002</v>
      </c>
      <c r="T3575">
        <v>2.3498769999999999E-2</v>
      </c>
      <c r="U3575">
        <v>0.16360469999999999</v>
      </c>
      <c r="V3575">
        <v>-6.5710279999999996E-3</v>
      </c>
      <c r="W3575">
        <v>4.185962E-2</v>
      </c>
      <c r="X3575">
        <v>0.99910189999999999</v>
      </c>
      <c r="Y3575">
        <v>3.9554930000000002E-2</v>
      </c>
      <c r="Z3575" s="1">
        <v>-3.7975829999999999E-5</v>
      </c>
      <c r="AA3575">
        <v>0.99921740000000003</v>
      </c>
      <c r="AB3575">
        <v>33</v>
      </c>
      <c r="AC3575">
        <v>-184.3605</v>
      </c>
      <c r="AD3575">
        <v>1.44567799999999</v>
      </c>
      <c r="AE3575">
        <v>10.063199999999901</v>
      </c>
      <c r="AF3575">
        <v>7.3093552762753404</v>
      </c>
      <c r="AG3575">
        <v>1.44567799999999</v>
      </c>
      <c r="AH3575">
        <v>184.478876011702</v>
      </c>
      <c r="AI3575">
        <v>89.551359931795304</v>
      </c>
      <c r="AJ3575">
        <v>87.731034188832496</v>
      </c>
      <c r="AK3575">
        <v>184.62928357651001</v>
      </c>
      <c r="AL3575">
        <v>87.600919486574597</v>
      </c>
      <c r="AM3575">
        <v>90.376825169764103</v>
      </c>
      <c r="AN3575">
        <v>1.00000000638956</v>
      </c>
    </row>
    <row r="3576" spans="1:40" x14ac:dyDescent="0.25">
      <c r="A3576" t="str">
        <f>"20190312150728903"</f>
        <v>20190312150728903</v>
      </c>
      <c r="B3576" t="str">
        <f>"1552374448893455"</f>
        <v>1552374448893455</v>
      </c>
      <c r="C3576" t="s">
        <v>40</v>
      </c>
      <c r="D3576">
        <v>4.1955559999999998</v>
      </c>
      <c r="E3576">
        <v>0.5179359</v>
      </c>
      <c r="F3576" t="s">
        <v>72</v>
      </c>
      <c r="G3576">
        <v>-552.67179999999996</v>
      </c>
      <c r="H3576">
        <v>2.5124819999999999</v>
      </c>
      <c r="I3576">
        <v>293.69319999999999</v>
      </c>
      <c r="J3576">
        <v>-369.53750000000002</v>
      </c>
      <c r="K3576">
        <v>1.1101510000000001</v>
      </c>
      <c r="L3576">
        <v>283.63290000000001</v>
      </c>
      <c r="M3576">
        <v>-0.99978210000000001</v>
      </c>
      <c r="N3576">
        <v>0</v>
      </c>
      <c r="O3576">
        <v>1.506039E-2</v>
      </c>
      <c r="P3576">
        <v>-0.99958930000000001</v>
      </c>
      <c r="Q3576">
        <v>2.7467100000000001E-2</v>
      </c>
      <c r="R3576">
        <v>8.1911889999999998E-3</v>
      </c>
      <c r="S3576">
        <v>-2.9992369999999999</v>
      </c>
      <c r="T3576">
        <v>2.294469E-2</v>
      </c>
      <c r="U3576">
        <v>0.16464229999999899</v>
      </c>
      <c r="V3576">
        <v>-6.8425659999999996E-3</v>
      </c>
      <c r="W3576">
        <v>4.1913449999999998E-2</v>
      </c>
      <c r="X3576">
        <v>0.99909780000000004</v>
      </c>
      <c r="Y3576">
        <v>3.9765960000000003E-2</v>
      </c>
      <c r="Z3576" s="1">
        <v>-3.6868520000000003E-5</v>
      </c>
      <c r="AA3576">
        <v>0.99920900000000001</v>
      </c>
      <c r="AB3576">
        <v>33</v>
      </c>
      <c r="AC3576">
        <v>-183.1343</v>
      </c>
      <c r="AD3576">
        <v>1.40233099999999</v>
      </c>
      <c r="AE3576">
        <v>10.0602999999999</v>
      </c>
      <c r="AF3576">
        <v>7.3003698500213901</v>
      </c>
      <c r="AG3576">
        <v>1.40233099999999</v>
      </c>
      <c r="AH3576">
        <v>183.25434061168801</v>
      </c>
      <c r="AI3576">
        <v>89.561907225547003</v>
      </c>
      <c r="AJ3576">
        <v>87.718693495263594</v>
      </c>
      <c r="AK3576">
        <v>183.405057959712</v>
      </c>
      <c r="AL3576">
        <v>87.597832496553394</v>
      </c>
      <c r="AM3576">
        <v>90.392398044783903</v>
      </c>
      <c r="AN3576">
        <v>0.99999998598260298</v>
      </c>
    </row>
    <row r="3577" spans="1:40" x14ac:dyDescent="0.25">
      <c r="A3577" t="str">
        <f>"20190312150728914"</f>
        <v>20190312150728914</v>
      </c>
      <c r="B3577" t="str">
        <f>"1552374448903216"</f>
        <v>1552374448903216</v>
      </c>
      <c r="C3577" t="s">
        <v>40</v>
      </c>
      <c r="D3577">
        <v>4.2338360000000002</v>
      </c>
      <c r="E3577">
        <v>0.51803599999999905</v>
      </c>
      <c r="F3577" t="s">
        <v>72</v>
      </c>
      <c r="G3577">
        <v>-552.33010000000002</v>
      </c>
      <c r="H3577">
        <v>2.5247299999999999</v>
      </c>
      <c r="I3577">
        <v>293.69319999999999</v>
      </c>
      <c r="J3577">
        <v>-369.70679999999999</v>
      </c>
      <c r="K3577">
        <v>1.110152</v>
      </c>
      <c r="L3577">
        <v>283.63560000000001</v>
      </c>
      <c r="M3577">
        <v>-0.99978049999999996</v>
      </c>
      <c r="N3577">
        <v>0</v>
      </c>
      <c r="O3577">
        <v>1.5183179999999999E-2</v>
      </c>
      <c r="P3577">
        <v>-0.99959370000000003</v>
      </c>
      <c r="Q3577">
        <v>2.7335620000000001E-2</v>
      </c>
      <c r="R3577">
        <v>8.0940319999999993E-3</v>
      </c>
      <c r="S3577">
        <v>-2.9992679999999998</v>
      </c>
      <c r="T3577">
        <v>2.3211840000000001E-2</v>
      </c>
      <c r="U3577">
        <v>0.16506960000000001</v>
      </c>
      <c r="V3577">
        <v>-7.0622289999999997E-3</v>
      </c>
      <c r="W3577">
        <v>4.17791E-2</v>
      </c>
      <c r="X3577">
        <v>0.99910189999999999</v>
      </c>
      <c r="Y3577">
        <v>3.978458E-2</v>
      </c>
      <c r="Z3577" s="1">
        <v>-3.6419859999999997E-5</v>
      </c>
      <c r="AA3577">
        <v>0.99920830000000005</v>
      </c>
      <c r="AB3577">
        <v>33</v>
      </c>
      <c r="AC3577">
        <v>-182.6233</v>
      </c>
      <c r="AD3577">
        <v>1.4145779999999999</v>
      </c>
      <c r="AE3577">
        <v>10.0575999999999</v>
      </c>
      <c r="AF3577">
        <v>7.2829133248913998</v>
      </c>
      <c r="AG3577">
        <v>1.4145779999999999</v>
      </c>
      <c r="AH3577">
        <v>182.74403544678401</v>
      </c>
      <c r="AI3577">
        <v>89.556847660684895</v>
      </c>
      <c r="AJ3577">
        <v>87.717794248598395</v>
      </c>
      <c r="AK3577">
        <v>182.894571676667</v>
      </c>
      <c r="AL3577">
        <v>87.605536936727802</v>
      </c>
      <c r="AM3577">
        <v>90.404992900798902</v>
      </c>
      <c r="AN3577">
        <v>0.99999998742943397</v>
      </c>
    </row>
    <row r="3578" spans="1:40" x14ac:dyDescent="0.25">
      <c r="A3578" t="str">
        <f>"20190312150728927"</f>
        <v>20190312150728927</v>
      </c>
      <c r="B3578" t="str">
        <f>"1552374448923711"</f>
        <v>1552374448923711</v>
      </c>
      <c r="C3578" t="s">
        <v>40</v>
      </c>
      <c r="D3578">
        <v>4.4715759999999998</v>
      </c>
      <c r="E3578">
        <v>0.51824859999999995</v>
      </c>
      <c r="F3578" t="s">
        <v>72</v>
      </c>
      <c r="G3578">
        <v>-551.74459999999999</v>
      </c>
      <c r="H3578">
        <v>2.5002010000000001</v>
      </c>
      <c r="I3578">
        <v>293.69319999999999</v>
      </c>
      <c r="J3578">
        <v>-369.88220000000001</v>
      </c>
      <c r="K3578">
        <v>1.110152</v>
      </c>
      <c r="L3578">
        <v>283.63839999999999</v>
      </c>
      <c r="M3578">
        <v>-0.99977859999999996</v>
      </c>
      <c r="N3578">
        <v>0</v>
      </c>
      <c r="O3578">
        <v>1.531039E-2</v>
      </c>
      <c r="P3578">
        <v>-0.99958809999999998</v>
      </c>
      <c r="Q3578">
        <v>2.7523430000000002E-2</v>
      </c>
      <c r="R3578">
        <v>8.1443829999999998E-3</v>
      </c>
      <c r="S3578">
        <v>-2.9992679999999998</v>
      </c>
      <c r="T3578">
        <v>2.2903920000000001E-2</v>
      </c>
      <c r="U3578">
        <v>0.16571040000000001</v>
      </c>
      <c r="V3578">
        <v>-7.1393510000000004E-3</v>
      </c>
      <c r="W3578">
        <v>4.196395E-2</v>
      </c>
      <c r="X3578">
        <v>0.99909360000000003</v>
      </c>
      <c r="Y3578">
        <v>3.9870330000000002E-2</v>
      </c>
      <c r="Z3578" s="1">
        <v>-3.5293259999999899E-5</v>
      </c>
      <c r="AA3578">
        <v>0.99920489999999995</v>
      </c>
      <c r="AB3578">
        <v>33</v>
      </c>
      <c r="AC3578">
        <v>-181.86240000000001</v>
      </c>
      <c r="AD3578">
        <v>1.3900489999999901</v>
      </c>
      <c r="AE3578">
        <v>10.0548</v>
      </c>
      <c r="AF3578">
        <v>7.2685235076443497</v>
      </c>
      <c r="AG3578">
        <v>1.3900489999999901</v>
      </c>
      <c r="AH3578">
        <v>181.98443880719401</v>
      </c>
      <c r="AI3578">
        <v>89.562715653016497</v>
      </c>
      <c r="AJ3578">
        <v>87.712801781992994</v>
      </c>
      <c r="AK3578">
        <v>182.134839166407</v>
      </c>
      <c r="AL3578">
        <v>87.594936503329194</v>
      </c>
      <c r="AM3578">
        <v>90.409418815690003</v>
      </c>
      <c r="AN3578">
        <v>0.99999998249663102</v>
      </c>
    </row>
    <row r="3579" spans="1:40" x14ac:dyDescent="0.25">
      <c r="A3579" t="str">
        <f>"20190312150728939"</f>
        <v>20190312150728939</v>
      </c>
      <c r="B3579" t="str">
        <f>"1552374448933471"</f>
        <v>1552374448933471</v>
      </c>
      <c r="C3579" t="s">
        <v>40</v>
      </c>
      <c r="D3579">
        <v>4.1915339999999999</v>
      </c>
      <c r="E3579">
        <v>0.51834119999999995</v>
      </c>
      <c r="F3579" t="s">
        <v>72</v>
      </c>
      <c r="G3579">
        <v>-550.05769999999995</v>
      </c>
      <c r="H3579">
        <v>2.577528</v>
      </c>
      <c r="I3579">
        <v>293.7088</v>
      </c>
      <c r="J3579">
        <v>-370.06819999999999</v>
      </c>
      <c r="K3579">
        <v>1.1101479999999999</v>
      </c>
      <c r="L3579">
        <v>283.64139999999998</v>
      </c>
      <c r="M3579">
        <v>-0.99977649999999996</v>
      </c>
      <c r="N3579">
        <v>0</v>
      </c>
      <c r="O3579">
        <v>1.5445220000000001E-2</v>
      </c>
      <c r="P3579">
        <v>-0.99958749999999996</v>
      </c>
      <c r="Q3579">
        <v>2.754995E-2</v>
      </c>
      <c r="R3579">
        <v>8.1443039999999998E-3</v>
      </c>
      <c r="S3579">
        <v>-2.9992070000000002</v>
      </c>
      <c r="T3579">
        <v>2.4427290000000001E-2</v>
      </c>
      <c r="U3579">
        <v>0.16763310000000001</v>
      </c>
      <c r="V3579">
        <v>-7.2741669999999998E-3</v>
      </c>
      <c r="W3579">
        <v>4.1987289999999997E-2</v>
      </c>
      <c r="X3579">
        <v>0.99909170000000003</v>
      </c>
      <c r="Y3579">
        <v>4.037512E-2</v>
      </c>
      <c r="Z3579" s="1">
        <v>-3.859782E-5</v>
      </c>
      <c r="AA3579">
        <v>0.99918459999999998</v>
      </c>
      <c r="AB3579">
        <v>33</v>
      </c>
      <c r="AC3579">
        <v>-179.989499999999</v>
      </c>
      <c r="AD3579">
        <v>1.4673799999999999</v>
      </c>
      <c r="AE3579">
        <v>10.067399999999999</v>
      </c>
      <c r="AF3579">
        <v>7.2854490123905098</v>
      </c>
      <c r="AG3579">
        <v>1.4673799999999999</v>
      </c>
      <c r="AH3579">
        <v>180.11160125191299</v>
      </c>
      <c r="AI3579">
        <v>89.533599564019099</v>
      </c>
      <c r="AJ3579">
        <v>87.683669233544407</v>
      </c>
      <c r="AK3579">
        <v>180.264860349721</v>
      </c>
      <c r="AL3579">
        <v>87.593598167803407</v>
      </c>
      <c r="AM3579">
        <v>90.417150602246807</v>
      </c>
      <c r="AN3579">
        <v>1.0000000355179799</v>
      </c>
    </row>
    <row r="3580" spans="1:40" x14ac:dyDescent="0.25">
      <c r="A3580" t="str">
        <f>"20190312150728952"</f>
        <v>20190312150728952</v>
      </c>
      <c r="B3580" t="str">
        <f>"1552374448943231"</f>
        <v>1552374448943231</v>
      </c>
      <c r="C3580" t="s">
        <v>40</v>
      </c>
      <c r="D3580">
        <v>4.2123790000000003</v>
      </c>
      <c r="E3580">
        <v>0.5184453</v>
      </c>
      <c r="F3580" t="s">
        <v>72</v>
      </c>
      <c r="G3580">
        <v>-550.05769999999995</v>
      </c>
      <c r="H3580">
        <v>2.6034790000000001</v>
      </c>
      <c r="I3580">
        <v>293.738</v>
      </c>
      <c r="J3580">
        <v>-370.26029999999997</v>
      </c>
      <c r="K3580">
        <v>1.110147</v>
      </c>
      <c r="L3580">
        <v>283.64449999999999</v>
      </c>
      <c r="M3580">
        <v>-0.99977419999999995</v>
      </c>
      <c r="N3580">
        <v>0</v>
      </c>
      <c r="O3580">
        <v>1.5585359999999999E-2</v>
      </c>
      <c r="P3580">
        <v>-0.99958599999999997</v>
      </c>
      <c r="Q3580">
        <v>2.7579369999999999E-2</v>
      </c>
      <c r="R3580">
        <v>8.1895700000000002E-3</v>
      </c>
      <c r="S3580">
        <v>-2.9992070000000002</v>
      </c>
      <c r="T3580">
        <v>2.4885060000000001E-2</v>
      </c>
      <c r="U3580">
        <v>0.16824339999999999</v>
      </c>
      <c r="V3580">
        <v>-7.3689640000000004E-3</v>
      </c>
      <c r="W3580">
        <v>4.2013979999999999E-2</v>
      </c>
      <c r="X3580">
        <v>0.99908980000000003</v>
      </c>
      <c r="Y3580">
        <v>4.043774E-2</v>
      </c>
      <c r="Z3580" s="1">
        <v>-3.841892E-5</v>
      </c>
      <c r="AA3580">
        <v>0.99918200000000001</v>
      </c>
      <c r="AB3580">
        <v>33</v>
      </c>
      <c r="AC3580">
        <v>-179.79739999999899</v>
      </c>
      <c r="AD3580">
        <v>1.4933319999999899</v>
      </c>
      <c r="AE3580">
        <v>10.093500000000001</v>
      </c>
      <c r="AF3580">
        <v>7.2892729501949596</v>
      </c>
      <c r="AG3580">
        <v>1.4933319999999899</v>
      </c>
      <c r="AH3580">
        <v>179.920512082307</v>
      </c>
      <c r="AI3580">
        <v>89.524848349618495</v>
      </c>
      <c r="AJ3580">
        <v>87.679996058760494</v>
      </c>
      <c r="AK3580">
        <v>180.07430191052899</v>
      </c>
      <c r="AL3580">
        <v>87.592067392409305</v>
      </c>
      <c r="AM3580">
        <v>90.422587519823097</v>
      </c>
      <c r="AN3580">
        <v>0.99999995230495498</v>
      </c>
    </row>
    <row r="3581" spans="1:40" x14ac:dyDescent="0.25">
      <c r="A3581" t="str">
        <f>"20190312150728966"</f>
        <v>20190312150728966</v>
      </c>
      <c r="B3581" t="str">
        <f>"1552374448953967"</f>
        <v>1552374448953967</v>
      </c>
      <c r="C3581" t="s">
        <v>40</v>
      </c>
      <c r="D3581">
        <v>4.1907809999999897</v>
      </c>
      <c r="E3581">
        <v>0.51852429999999905</v>
      </c>
      <c r="F3581" t="s">
        <v>72</v>
      </c>
      <c r="G3581">
        <v>-550.05769999999995</v>
      </c>
      <c r="H3581">
        <v>2.6130390000000001</v>
      </c>
      <c r="I3581">
        <v>293.7946</v>
      </c>
      <c r="J3581">
        <v>-370.44139999999999</v>
      </c>
      <c r="K3581">
        <v>1.1101529999999999</v>
      </c>
      <c r="L3581">
        <v>283.64749999999998</v>
      </c>
      <c r="M3581">
        <v>-0.99977240000000001</v>
      </c>
      <c r="N3581">
        <v>0</v>
      </c>
      <c r="O3581">
        <v>1.571703E-2</v>
      </c>
      <c r="P3581">
        <v>-0.99958769999999997</v>
      </c>
      <c r="Q3581">
        <v>2.7452910000000001E-2</v>
      </c>
      <c r="R3581">
        <v>8.4371050000000003E-3</v>
      </c>
      <c r="S3581">
        <v>-2.9991460000000001</v>
      </c>
      <c r="T3581">
        <v>2.5070789999999999E-2</v>
      </c>
      <c r="U3581">
        <v>0.1693115</v>
      </c>
      <c r="V3581">
        <v>-7.2527599999999996E-3</v>
      </c>
      <c r="W3581">
        <v>4.1884869999999998E-2</v>
      </c>
      <c r="X3581">
        <v>0.99909610000000004</v>
      </c>
      <c r="Y3581">
        <v>4.0662009999999998E-2</v>
      </c>
      <c r="Z3581" s="1">
        <v>-3.8543179999999999E-5</v>
      </c>
      <c r="AA3581">
        <v>0.99917299999999998</v>
      </c>
      <c r="AB3581">
        <v>33</v>
      </c>
      <c r="AC3581">
        <v>-179.616299999999</v>
      </c>
      <c r="AD3581">
        <v>1.5028859999999999</v>
      </c>
      <c r="AE3581">
        <v>10.1471</v>
      </c>
      <c r="AF3581">
        <v>7.3220067933935997</v>
      </c>
      <c r="AG3581">
        <v>1.5028859999999999</v>
      </c>
      <c r="AH3581">
        <v>179.741064369816</v>
      </c>
      <c r="AI3581">
        <v>89.521335509522103</v>
      </c>
      <c r="AJ3581">
        <v>87.6672650695632</v>
      </c>
      <c r="AK3581">
        <v>179.896416502958</v>
      </c>
      <c r="AL3581">
        <v>87.599471437119306</v>
      </c>
      <c r="AM3581">
        <v>90.415921189653901</v>
      </c>
      <c r="AN3581">
        <v>0.99999998094887199</v>
      </c>
    </row>
    <row r="3582" spans="1:40" x14ac:dyDescent="0.25">
      <c r="A3582" t="str">
        <f>"20190312150728989"</f>
        <v>20190312150728989</v>
      </c>
      <c r="B3582" t="str">
        <f>"1552374448983247"</f>
        <v>1552374448983247</v>
      </c>
      <c r="C3582" t="s">
        <v>40</v>
      </c>
      <c r="D3582">
        <v>4.4835240000000001</v>
      </c>
      <c r="E3582">
        <v>0.51874670000000001</v>
      </c>
      <c r="F3582" t="s">
        <v>72</v>
      </c>
      <c r="G3582">
        <v>-550.05769999999995</v>
      </c>
      <c r="H3582">
        <v>2.6016539999999999</v>
      </c>
      <c r="I3582">
        <v>293.8716</v>
      </c>
      <c r="J3582">
        <v>-370.76639999999998</v>
      </c>
      <c r="K3582">
        <v>1.110155</v>
      </c>
      <c r="L3582">
        <v>283.65280000000001</v>
      </c>
      <c r="M3582">
        <v>-0.99976860000000001</v>
      </c>
      <c r="N3582">
        <v>0</v>
      </c>
      <c r="O3582">
        <v>1.595415E-2</v>
      </c>
      <c r="P3582">
        <v>-0.99959120000000001</v>
      </c>
      <c r="Q3582">
        <v>2.7216170000000001E-2</v>
      </c>
      <c r="R3582">
        <v>8.7390519999999902E-3</v>
      </c>
      <c r="S3582">
        <v>-2.9991150000000002</v>
      </c>
      <c r="T3582">
        <v>2.4905440000000001E-2</v>
      </c>
      <c r="U3582">
        <v>0.17071529999999999</v>
      </c>
      <c r="V3582">
        <v>-7.1889939999999998E-3</v>
      </c>
      <c r="W3582">
        <v>4.164284E-2</v>
      </c>
      <c r="X3582">
        <v>0.99910670000000001</v>
      </c>
      <c r="Y3582">
        <v>4.0891789999999997E-2</v>
      </c>
      <c r="Z3582" s="1">
        <v>-3.7275230000000001E-5</v>
      </c>
      <c r="AA3582">
        <v>0.99916360000000004</v>
      </c>
      <c r="AB3582">
        <v>32</v>
      </c>
      <c r="AC3582">
        <v>-179.29129999999901</v>
      </c>
      <c r="AD3582">
        <v>1.4914989999999999</v>
      </c>
      <c r="AE3582">
        <v>10.2187999999999</v>
      </c>
      <c r="AF3582">
        <v>7.3562535675076504</v>
      </c>
      <c r="AG3582">
        <v>1.4914989999999999</v>
      </c>
      <c r="AH3582">
        <v>179.419148878686</v>
      </c>
      <c r="AI3582">
        <v>89.524114913304004</v>
      </c>
      <c r="AJ3582">
        <v>87.652166181617503</v>
      </c>
      <c r="AK3582">
        <v>179.57608420992</v>
      </c>
      <c r="AL3582">
        <v>87.613350896935302</v>
      </c>
      <c r="AM3582">
        <v>90.412260178817405</v>
      </c>
      <c r="AN3582">
        <v>1.00000000287144</v>
      </c>
    </row>
    <row r="3583" spans="1:40" x14ac:dyDescent="0.25">
      <c r="A3583" t="str">
        <f>"20190312150729011"</f>
        <v>20190312150729011</v>
      </c>
      <c r="B3583" t="str">
        <f>"1552374449003744"</f>
        <v>1552374449003744</v>
      </c>
      <c r="C3583" t="s">
        <v>40</v>
      </c>
      <c r="D3583">
        <v>4.2056259999999996</v>
      </c>
      <c r="E3583">
        <v>0.51890899999999995</v>
      </c>
      <c r="F3583" t="s">
        <v>72</v>
      </c>
      <c r="G3583">
        <v>-550.05769999999995</v>
      </c>
      <c r="H3583">
        <v>2.6390440000000002</v>
      </c>
      <c r="I3583">
        <v>294.02289999999999</v>
      </c>
      <c r="J3583">
        <v>-371.09629999999999</v>
      </c>
      <c r="K3583">
        <v>1.110158</v>
      </c>
      <c r="L3583">
        <v>283.6583</v>
      </c>
      <c r="M3583">
        <v>-0.99976489999999996</v>
      </c>
      <c r="N3583">
        <v>0</v>
      </c>
      <c r="O3583">
        <v>1.6194670000000001E-2</v>
      </c>
      <c r="P3583">
        <v>-0.99958840000000004</v>
      </c>
      <c r="Q3583">
        <v>2.7229239999999998E-2</v>
      </c>
      <c r="R3583">
        <v>9.0427259999999992E-3</v>
      </c>
      <c r="S3583">
        <v>-2.9990230000000002</v>
      </c>
      <c r="T3583">
        <v>2.5575279999999999E-2</v>
      </c>
      <c r="U3583">
        <v>0.1734619</v>
      </c>
      <c r="V3583">
        <v>-7.1256310000000003E-3</v>
      </c>
      <c r="W3583">
        <v>4.1651420000000001E-2</v>
      </c>
      <c r="X3583">
        <v>0.99910679999999996</v>
      </c>
      <c r="Y3583">
        <v>4.1565150000000002E-2</v>
      </c>
      <c r="Z3583" s="1">
        <v>-3.9097999999999997E-5</v>
      </c>
      <c r="AA3583">
        <v>0.99913580000000002</v>
      </c>
      <c r="AB3583">
        <v>32</v>
      </c>
      <c r="AC3583">
        <v>-178.961399999999</v>
      </c>
      <c r="AD3583">
        <v>1.52888599999999</v>
      </c>
      <c r="AE3583">
        <v>10.3645999999999</v>
      </c>
      <c r="AF3583">
        <v>7.4641754312120998</v>
      </c>
      <c r="AG3583">
        <v>1.52888599999999</v>
      </c>
      <c r="AH3583">
        <v>179.09276711663301</v>
      </c>
      <c r="AI3583">
        <v>89.511311303496498</v>
      </c>
      <c r="AJ3583">
        <v>87.613424643014</v>
      </c>
      <c r="AK3583">
        <v>179.25476462499299</v>
      </c>
      <c r="AL3583">
        <v>87.612858881178298</v>
      </c>
      <c r="AM3583">
        <v>90.408626645944906</v>
      </c>
      <c r="AN3583">
        <v>1.0000000066057</v>
      </c>
    </row>
    <row r="3584" spans="1:40" x14ac:dyDescent="0.25">
      <c r="A3584" t="str">
        <f>"20190312150729032"</f>
        <v>20190312150729032</v>
      </c>
      <c r="B3584" t="str">
        <f>"1552374449023264"</f>
        <v>1552374449023264</v>
      </c>
      <c r="C3584" t="s">
        <v>40</v>
      </c>
      <c r="D3584">
        <v>4.2186500000000002</v>
      </c>
      <c r="E3584">
        <v>0.51906019999999997</v>
      </c>
      <c r="F3584" t="s">
        <v>72</v>
      </c>
      <c r="G3584">
        <v>-550.05769999999995</v>
      </c>
      <c r="H3584">
        <v>2.6866699999999999</v>
      </c>
      <c r="I3584">
        <v>294.14449999999999</v>
      </c>
      <c r="J3584">
        <v>-371.39980000000003</v>
      </c>
      <c r="K3584">
        <v>1.11016</v>
      </c>
      <c r="L3584">
        <v>283.6635</v>
      </c>
      <c r="M3584">
        <v>-0.99976129999999996</v>
      </c>
      <c r="N3584">
        <v>0</v>
      </c>
      <c r="O3584">
        <v>1.6415519999999999E-2</v>
      </c>
      <c r="P3584">
        <v>-0.99958840000000004</v>
      </c>
      <c r="Q3584">
        <v>2.7106990000000001E-2</v>
      </c>
      <c r="R3584">
        <v>9.4185339999999992E-3</v>
      </c>
      <c r="S3584">
        <v>-2.998901</v>
      </c>
      <c r="T3584">
        <v>2.6419399999999999E-2</v>
      </c>
      <c r="U3584">
        <v>0.17572019999999999</v>
      </c>
      <c r="V3584">
        <v>-6.9708330000000001E-3</v>
      </c>
      <c r="W3584">
        <v>4.1524699999999998E-2</v>
      </c>
      <c r="X3584">
        <v>0.99911309999999998</v>
      </c>
      <c r="Y3584">
        <v>4.2096540000000002E-2</v>
      </c>
      <c r="Z3584" s="1">
        <v>-4.0784539999999998E-5</v>
      </c>
      <c r="AA3584">
        <v>0.99911360000000005</v>
      </c>
      <c r="AB3584">
        <v>32</v>
      </c>
      <c r="AC3584">
        <v>-178.65789999999899</v>
      </c>
      <c r="AD3584">
        <v>1.5765100000000001</v>
      </c>
      <c r="AE3584">
        <v>10.4809999999999</v>
      </c>
      <c r="AF3584">
        <v>7.5459346990577103</v>
      </c>
      <c r="AG3584">
        <v>1.5765100000000001</v>
      </c>
      <c r="AH3584">
        <v>178.792016806954</v>
      </c>
      <c r="AI3584">
        <v>89.495253228088998</v>
      </c>
      <c r="AJ3584">
        <v>87.583260250663201</v>
      </c>
      <c r="AK3584">
        <v>178.95812858923401</v>
      </c>
      <c r="AL3584">
        <v>87.620125530424005</v>
      </c>
      <c r="AM3584">
        <v>90.399747365956102</v>
      </c>
      <c r="AN3584">
        <v>0.99999993990720504</v>
      </c>
    </row>
    <row r="3585" spans="1:40" x14ac:dyDescent="0.25">
      <c r="A3585" t="str">
        <f>"20190312150729043"</f>
        <v>20190312150729043</v>
      </c>
      <c r="B3585" t="str">
        <f>"1552374449033999"</f>
        <v>1552374449033999</v>
      </c>
      <c r="C3585" t="s">
        <v>40</v>
      </c>
      <c r="D3585">
        <v>4.4424229999999998</v>
      </c>
      <c r="E3585">
        <v>0.51909529999999904</v>
      </c>
      <c r="F3585" t="s">
        <v>72</v>
      </c>
      <c r="G3585">
        <v>-550.05769999999995</v>
      </c>
      <c r="H3585">
        <v>2.7018770000000001</v>
      </c>
      <c r="I3585">
        <v>294.27210000000002</v>
      </c>
      <c r="J3585">
        <v>-371.57459999999998</v>
      </c>
      <c r="K3585">
        <v>1.110163</v>
      </c>
      <c r="L3585">
        <v>283.66649999999998</v>
      </c>
      <c r="M3585">
        <v>-0.99975910000000001</v>
      </c>
      <c r="N3585">
        <v>0</v>
      </c>
      <c r="O3585">
        <v>1.6542959999999999E-2</v>
      </c>
      <c r="P3585">
        <v>-0.9995889</v>
      </c>
      <c r="Q3585">
        <v>2.7051559999999999E-2</v>
      </c>
      <c r="R3585">
        <v>9.5228420000000001E-3</v>
      </c>
      <c r="S3585">
        <v>-2.99884</v>
      </c>
      <c r="T3585">
        <v>2.6718970000000002E-2</v>
      </c>
      <c r="U3585">
        <v>0.17807010000000001</v>
      </c>
      <c r="V3585">
        <v>-6.9937169999999896E-3</v>
      </c>
      <c r="W3585">
        <v>4.1467039999999997E-2</v>
      </c>
      <c r="X3585">
        <v>0.99911539999999999</v>
      </c>
      <c r="Y3585">
        <v>4.2750499999999997E-2</v>
      </c>
      <c r="Z3585" s="1">
        <v>-4.3023599999999999E-5</v>
      </c>
      <c r="AA3585">
        <v>0.99908580000000002</v>
      </c>
      <c r="AB3585">
        <v>32</v>
      </c>
      <c r="AC3585">
        <v>-178.48309999999901</v>
      </c>
      <c r="AD3585">
        <v>1.5917139999999901</v>
      </c>
      <c r="AE3585">
        <v>10.605600000000001</v>
      </c>
      <c r="AF3585">
        <v>7.6505960526235599</v>
      </c>
      <c r="AG3585">
        <v>1.5917139999999901</v>
      </c>
      <c r="AH3585">
        <v>178.61998099986101</v>
      </c>
      <c r="AI3585">
        <v>89.489908423013901</v>
      </c>
      <c r="AJ3585">
        <v>87.547423867038603</v>
      </c>
      <c r="AK3585">
        <v>178.79083529590901</v>
      </c>
      <c r="AL3585">
        <v>87.623432208046793</v>
      </c>
      <c r="AM3585">
        <v>90.401058699158895</v>
      </c>
      <c r="AN3585">
        <v>1.00000000500049</v>
      </c>
    </row>
    <row r="3586" spans="1:40" x14ac:dyDescent="0.25">
      <c r="A3586" t="str">
        <f>"20190312150729056"</f>
        <v>20190312150729056</v>
      </c>
      <c r="B3586" t="str">
        <f>"1552374449043760"</f>
        <v>1552374449043760</v>
      </c>
      <c r="C3586" t="s">
        <v>40</v>
      </c>
      <c r="D3586">
        <v>4.3414129999999904</v>
      </c>
      <c r="E3586">
        <v>0.51915690000000003</v>
      </c>
      <c r="F3586" t="s">
        <v>72</v>
      </c>
      <c r="G3586">
        <v>-550.05769999999995</v>
      </c>
      <c r="H3586">
        <v>2.7120890000000002</v>
      </c>
      <c r="I3586">
        <v>294.29930000000002</v>
      </c>
      <c r="J3586">
        <v>-371.74540000000002</v>
      </c>
      <c r="K3586">
        <v>1.1101650000000001</v>
      </c>
      <c r="L3586">
        <v>283.6694</v>
      </c>
      <c r="M3586">
        <v>-0.99975729999999996</v>
      </c>
      <c r="N3586">
        <v>0</v>
      </c>
      <c r="O3586">
        <v>1.6666830000000001E-2</v>
      </c>
      <c r="P3586">
        <v>-0.99958570000000002</v>
      </c>
      <c r="Q3586">
        <v>2.7134189999999999E-2</v>
      </c>
      <c r="R3586">
        <v>9.620834E-3</v>
      </c>
      <c r="S3586">
        <v>-2.9988100000000002</v>
      </c>
      <c r="T3586">
        <v>2.691638E-2</v>
      </c>
      <c r="U3586">
        <v>0.1786499</v>
      </c>
      <c r="V3586">
        <v>-7.0194219999999896E-3</v>
      </c>
      <c r="W3586">
        <v>4.1546609999999998E-2</v>
      </c>
      <c r="X3586">
        <v>0.99911190000000005</v>
      </c>
      <c r="Y3586">
        <v>4.281981E-2</v>
      </c>
      <c r="Z3586" s="1">
        <v>-4.2542010000000001E-5</v>
      </c>
      <c r="AA3586">
        <v>0.99908280000000005</v>
      </c>
      <c r="AB3586">
        <v>32</v>
      </c>
      <c r="AC3586">
        <v>-178.312299999999</v>
      </c>
      <c r="AD3586">
        <v>1.6019239999999899</v>
      </c>
      <c r="AE3586">
        <v>10.629899999999999</v>
      </c>
      <c r="AF3586">
        <v>7.6555982406741299</v>
      </c>
      <c r="AG3586">
        <v>1.6019239999999899</v>
      </c>
      <c r="AH3586">
        <v>178.450360657923</v>
      </c>
      <c r="AI3586">
        <v>89.486150207185304</v>
      </c>
      <c r="AJ3586">
        <v>87.5434923748942</v>
      </c>
      <c r="AK3586">
        <v>178.62168279317899</v>
      </c>
      <c r="AL3586">
        <v>87.618869217045599</v>
      </c>
      <c r="AM3586">
        <v>90.402534128732597</v>
      </c>
      <c r="AN3586">
        <v>0.99999999090465796</v>
      </c>
    </row>
    <row r="3587" spans="1:40" x14ac:dyDescent="0.25">
      <c r="A3587" t="str">
        <f>"20190312150729069"</f>
        <v>20190312150729069</v>
      </c>
      <c r="B3587" t="str">
        <f>"1552374449063279"</f>
        <v>1552374449063279</v>
      </c>
      <c r="C3587" t="s">
        <v>40</v>
      </c>
      <c r="D3587">
        <v>4.1975280000000001</v>
      </c>
      <c r="E3587">
        <v>0.51927789999999996</v>
      </c>
      <c r="F3587" t="s">
        <v>72</v>
      </c>
      <c r="G3587">
        <v>-550.05769999999995</v>
      </c>
      <c r="H3587">
        <v>2.7542209999999998</v>
      </c>
      <c r="I3587">
        <v>294.34109999999998</v>
      </c>
      <c r="J3587">
        <v>-371.92500000000001</v>
      </c>
      <c r="K3587">
        <v>1.1101650000000001</v>
      </c>
      <c r="L3587">
        <v>283.67250000000001</v>
      </c>
      <c r="M3587">
        <v>-0.99975499999999995</v>
      </c>
      <c r="N3587">
        <v>0</v>
      </c>
      <c r="O3587">
        <v>1.679773E-2</v>
      </c>
      <c r="P3587">
        <v>-0.99957960000000001</v>
      </c>
      <c r="Q3587">
        <v>2.7238519999999999E-2</v>
      </c>
      <c r="R3587">
        <v>9.9389000000000005E-3</v>
      </c>
      <c r="S3587">
        <v>-2.9988100000000002</v>
      </c>
      <c r="T3587">
        <v>2.7650709999999998E-2</v>
      </c>
      <c r="U3587">
        <v>0.17947389999999999</v>
      </c>
      <c r="V3587">
        <v>-6.8326369999999999E-3</v>
      </c>
      <c r="W3587">
        <v>4.1648570000000003E-2</v>
      </c>
      <c r="X3587">
        <v>0.99910900000000002</v>
      </c>
      <c r="Y3587">
        <v>4.2962470000000003E-2</v>
      </c>
      <c r="Z3587" s="1">
        <v>-4.315389E-5</v>
      </c>
      <c r="AA3587">
        <v>0.99907670000000004</v>
      </c>
      <c r="AB3587">
        <v>32</v>
      </c>
      <c r="AC3587">
        <v>-178.13269999999901</v>
      </c>
      <c r="AD3587">
        <v>1.64405599999999</v>
      </c>
      <c r="AE3587">
        <v>10.6685999999999</v>
      </c>
      <c r="AF3587">
        <v>7.6739071915763901</v>
      </c>
      <c r="AG3587">
        <v>1.64405599999999</v>
      </c>
      <c r="AH3587">
        <v>178.271657398402</v>
      </c>
      <c r="AI3587">
        <v>89.472110950945904</v>
      </c>
      <c r="AJ3587">
        <v>87.535159376908595</v>
      </c>
      <c r="AK3587">
        <v>178.444320737</v>
      </c>
      <c r="AL3587">
        <v>87.613022398343105</v>
      </c>
      <c r="AM3587">
        <v>90.391824275683604</v>
      </c>
      <c r="AN3587">
        <v>1.0000000410962</v>
      </c>
    </row>
    <row r="3588" spans="1:40" x14ac:dyDescent="0.25">
      <c r="A3588" t="str">
        <f>"20190312150729080"</f>
        <v>20190312150729080</v>
      </c>
      <c r="B3588" t="str">
        <f>"1552374449074015"</f>
        <v>1552374449074015</v>
      </c>
      <c r="C3588" t="s">
        <v>40</v>
      </c>
      <c r="D3588">
        <v>4.5064250000000001</v>
      </c>
      <c r="E3588">
        <v>0.51933390000000001</v>
      </c>
      <c r="F3588" t="s">
        <v>72</v>
      </c>
      <c r="G3588">
        <v>-550.05769999999995</v>
      </c>
      <c r="H3588">
        <v>2.697387</v>
      </c>
      <c r="I3588">
        <v>294.45159999999998</v>
      </c>
      <c r="J3588">
        <v>-372.1037</v>
      </c>
      <c r="K3588">
        <v>1.1101650000000001</v>
      </c>
      <c r="L3588">
        <v>283.67570000000001</v>
      </c>
      <c r="M3588">
        <v>-0.99975290000000006</v>
      </c>
      <c r="N3588">
        <v>0</v>
      </c>
      <c r="O3588">
        <v>1.6927790000000002E-2</v>
      </c>
      <c r="P3588">
        <v>-0.99958619999999998</v>
      </c>
      <c r="Q3588">
        <v>2.7004130000000001E-2</v>
      </c>
      <c r="R3588">
        <v>9.9266589999999991E-3</v>
      </c>
      <c r="S3588">
        <v>-2.9987180000000002</v>
      </c>
      <c r="T3588">
        <v>2.6721000000000002E-2</v>
      </c>
      <c r="U3588">
        <v>0.18145749999999999</v>
      </c>
      <c r="V3588">
        <v>-6.9746770000000003E-3</v>
      </c>
      <c r="W3588">
        <v>4.1412249999999998E-2</v>
      </c>
      <c r="X3588">
        <v>0.99911779999999994</v>
      </c>
      <c r="Y3588">
        <v>4.3492889999999999E-2</v>
      </c>
      <c r="Z3588" s="1">
        <v>-4.2907090000000001E-5</v>
      </c>
      <c r="AA3588">
        <v>0.99905370000000004</v>
      </c>
      <c r="AB3588">
        <v>32</v>
      </c>
      <c r="AC3588">
        <v>-177.95399999999901</v>
      </c>
      <c r="AD3588">
        <v>1.5872219999999999</v>
      </c>
      <c r="AE3588">
        <v>10.775899999999901</v>
      </c>
      <c r="AF3588">
        <v>7.7610598293787101</v>
      </c>
      <c r="AG3588">
        <v>1.5872219999999999</v>
      </c>
      <c r="AH3588">
        <v>178.096811141502</v>
      </c>
      <c r="AI3588">
        <v>89.489870179794394</v>
      </c>
      <c r="AJ3588">
        <v>87.504757063276998</v>
      </c>
      <c r="AK3588">
        <v>178.272901648356</v>
      </c>
      <c r="AL3588">
        <v>87.626574129439504</v>
      </c>
      <c r="AM3588">
        <v>90.399965914257706</v>
      </c>
      <c r="AN3588">
        <v>0.99999999942307805</v>
      </c>
    </row>
    <row r="3589" spans="1:40" x14ac:dyDescent="0.25">
      <c r="A3589" t="str">
        <f>"20190312150729092"</f>
        <v>20190312150729092</v>
      </c>
      <c r="B3589" t="str">
        <f>"1552374449083775"</f>
        <v>1552374449083775</v>
      </c>
      <c r="C3589" t="s">
        <v>40</v>
      </c>
      <c r="D3589">
        <v>4.4510909999999999</v>
      </c>
      <c r="E3589">
        <v>0.51939170000000001</v>
      </c>
      <c r="F3589" t="s">
        <v>72</v>
      </c>
      <c r="G3589">
        <v>-550.05769999999995</v>
      </c>
      <c r="H3589">
        <v>2.660663</v>
      </c>
      <c r="I3589">
        <v>294.46190000000001</v>
      </c>
      <c r="J3589">
        <v>-372.26580000000001</v>
      </c>
      <c r="K3589">
        <v>1.110166</v>
      </c>
      <c r="L3589">
        <v>283.67860000000002</v>
      </c>
      <c r="M3589">
        <v>-0.9997509</v>
      </c>
      <c r="N3589">
        <v>0</v>
      </c>
      <c r="O3589">
        <v>1.704611E-2</v>
      </c>
      <c r="P3589">
        <v>-0.99959339999999997</v>
      </c>
      <c r="Q3589">
        <v>2.677556E-2</v>
      </c>
      <c r="R3589">
        <v>9.8015889999999994E-3</v>
      </c>
      <c r="S3589">
        <v>-2.9987490000000001</v>
      </c>
      <c r="T3589">
        <v>2.612925E-2</v>
      </c>
      <c r="U3589">
        <v>0.1817627</v>
      </c>
      <c r="V3589">
        <v>-7.2186709999999899E-3</v>
      </c>
      <c r="W3589">
        <v>4.1181660000000002E-2</v>
      </c>
      <c r="X3589">
        <v>0.99912559999999995</v>
      </c>
      <c r="Y3589">
        <v>4.3475369999999999E-2</v>
      </c>
      <c r="Z3589" s="1">
        <v>-4.0850399999999998E-5</v>
      </c>
      <c r="AA3589">
        <v>0.99905449999999996</v>
      </c>
      <c r="AB3589">
        <v>32</v>
      </c>
      <c r="AC3589">
        <v>-177.791899999999</v>
      </c>
      <c r="AD3589">
        <v>1.550497</v>
      </c>
      <c r="AE3589">
        <v>10.783299999999899</v>
      </c>
      <c r="AF3589">
        <v>7.7501707766349597</v>
      </c>
      <c r="AG3589">
        <v>1.550497</v>
      </c>
      <c r="AH3589">
        <v>177.93641162499199</v>
      </c>
      <c r="AI3589">
        <v>89.5012232494567</v>
      </c>
      <c r="AJ3589">
        <v>87.506010233098394</v>
      </c>
      <c r="AK3589">
        <v>178.11186308046101</v>
      </c>
      <c r="AL3589">
        <v>87.639797248484697</v>
      </c>
      <c r="AM3589">
        <v>90.413954147032399</v>
      </c>
      <c r="AN3589">
        <v>1.0000000014533601</v>
      </c>
    </row>
    <row r="3590" spans="1:40" x14ac:dyDescent="0.25">
      <c r="A3590" t="str">
        <f>"20190312150729103"</f>
        <v>20190312150729103</v>
      </c>
      <c r="B3590" t="str">
        <f>"1552374449093535"</f>
        <v>1552374449093535</v>
      </c>
      <c r="C3590" t="s">
        <v>40</v>
      </c>
      <c r="D3590">
        <v>4.2458070000000001</v>
      </c>
      <c r="E3590">
        <v>0.51942520000000003</v>
      </c>
      <c r="F3590" t="s">
        <v>72</v>
      </c>
      <c r="G3590">
        <v>-550.05769999999995</v>
      </c>
      <c r="H3590">
        <v>2.631678</v>
      </c>
      <c r="I3590">
        <v>294.47300000000001</v>
      </c>
      <c r="J3590">
        <v>-372.4427</v>
      </c>
      <c r="K3590">
        <v>1.110166</v>
      </c>
      <c r="L3590">
        <v>283.68169999999998</v>
      </c>
      <c r="M3590">
        <v>-0.99974859999999999</v>
      </c>
      <c r="N3590">
        <v>0</v>
      </c>
      <c r="O3590">
        <v>1.717515E-2</v>
      </c>
      <c r="P3590">
        <v>-0.99958999999999998</v>
      </c>
      <c r="Q3590">
        <v>2.683468E-2</v>
      </c>
      <c r="R3590">
        <v>9.9757000000000005E-3</v>
      </c>
      <c r="S3590">
        <v>-2.9987789999999999</v>
      </c>
      <c r="T3590">
        <v>2.5664449999999998E-2</v>
      </c>
      <c r="U3590">
        <v>0.1820679</v>
      </c>
      <c r="V3590">
        <v>-7.1733939999999996E-3</v>
      </c>
      <c r="W3590">
        <v>4.1237879999999998E-2</v>
      </c>
      <c r="X3590">
        <v>0.9991236</v>
      </c>
      <c r="Y3590">
        <v>4.344713E-2</v>
      </c>
      <c r="Z3590" s="1">
        <v>-3.8899480000000001E-5</v>
      </c>
      <c r="AA3590">
        <v>0.99905569999999999</v>
      </c>
      <c r="AB3590">
        <v>32</v>
      </c>
      <c r="AC3590">
        <v>-177.61499999999899</v>
      </c>
      <c r="AD3590">
        <v>1.521512</v>
      </c>
      <c r="AE3590">
        <v>10.7913</v>
      </c>
      <c r="AF3590">
        <v>7.7382609531030502</v>
      </c>
      <c r="AG3590">
        <v>1.521512</v>
      </c>
      <c r="AH3590">
        <v>177.7611605731</v>
      </c>
      <c r="AI3590">
        <v>89.5100638966112</v>
      </c>
      <c r="AJ3590">
        <v>87.507386058514101</v>
      </c>
      <c r="AK3590">
        <v>177.936016280122</v>
      </c>
      <c r="AL3590">
        <v>87.636573323962693</v>
      </c>
      <c r="AM3590">
        <v>90.411358653776006</v>
      </c>
      <c r="AN3590">
        <v>0.99999999420266605</v>
      </c>
    </row>
    <row r="3591" spans="1:40" x14ac:dyDescent="0.25">
      <c r="A3591" t="str">
        <f>"20190312150729115"</f>
        <v>20190312150729115</v>
      </c>
      <c r="B3591" t="str">
        <f>"1552374449103295"</f>
        <v>1552374449103295</v>
      </c>
      <c r="C3591" t="s">
        <v>40</v>
      </c>
      <c r="D3591">
        <v>4.178858</v>
      </c>
      <c r="E3591">
        <v>0.51944670000000004</v>
      </c>
      <c r="F3591" t="s">
        <v>72</v>
      </c>
      <c r="G3591">
        <v>-550.05769999999995</v>
      </c>
      <c r="H3591">
        <v>2.6061239999999999</v>
      </c>
      <c r="I3591">
        <v>294.49810000000002</v>
      </c>
      <c r="J3591">
        <v>-372.60379999999998</v>
      </c>
      <c r="K3591">
        <v>1.1101650000000001</v>
      </c>
      <c r="L3591">
        <v>283.68459999999999</v>
      </c>
      <c r="M3591">
        <v>-0.99974669999999999</v>
      </c>
      <c r="N3591">
        <v>0</v>
      </c>
      <c r="O3591">
        <v>1.7292640000000001E-2</v>
      </c>
      <c r="P3591">
        <v>-0.99959290000000001</v>
      </c>
      <c r="Q3591">
        <v>2.6734580000000001E-2</v>
      </c>
      <c r="R3591">
        <v>9.9785900000000007E-3</v>
      </c>
      <c r="S3591">
        <v>-2.9987180000000002</v>
      </c>
      <c r="T3591">
        <v>2.5258059999999999E-2</v>
      </c>
      <c r="U3591">
        <v>0.18261720000000001</v>
      </c>
      <c r="V3591">
        <v>-7.2882419999999899E-3</v>
      </c>
      <c r="W3591">
        <v>4.1135930000000001E-2</v>
      </c>
      <c r="X3591">
        <v>0.99912699999999999</v>
      </c>
      <c r="Y3591">
        <v>4.3513339999999998E-2</v>
      </c>
      <c r="Z3591" s="1">
        <v>-3.7574350000000001E-5</v>
      </c>
      <c r="AA3591">
        <v>0.99905279999999996</v>
      </c>
      <c r="AB3591">
        <v>32</v>
      </c>
      <c r="AC3591">
        <v>-177.45389999999901</v>
      </c>
      <c r="AD3591">
        <v>1.495959</v>
      </c>
      <c r="AE3591">
        <v>10.813499999999999</v>
      </c>
      <c r="AF3591">
        <v>7.7423697105067903</v>
      </c>
      <c r="AG3591">
        <v>1.495959</v>
      </c>
      <c r="AH3591">
        <v>177.601798435088</v>
      </c>
      <c r="AI3591">
        <v>89.517860813966905</v>
      </c>
      <c r="AJ3591">
        <v>87.503829254703106</v>
      </c>
      <c r="AK3591">
        <v>177.776772918853</v>
      </c>
      <c r="AL3591">
        <v>87.642419656662994</v>
      </c>
      <c r="AM3591">
        <v>90.417942964353102</v>
      </c>
      <c r="AN3591">
        <v>1.0000000226687</v>
      </c>
    </row>
    <row r="3592" spans="1:40" x14ac:dyDescent="0.25">
      <c r="A3592" t="str">
        <f>"20190312150729128"</f>
        <v>20190312150729128</v>
      </c>
      <c r="B3592" t="str">
        <f>"1552374449123792"</f>
        <v>1552374449123792</v>
      </c>
      <c r="C3592" t="s">
        <v>40</v>
      </c>
      <c r="D3592">
        <v>4.4584000000000001</v>
      </c>
      <c r="E3592">
        <v>0.51952390000000004</v>
      </c>
      <c r="F3592" t="s">
        <v>72</v>
      </c>
      <c r="G3592">
        <v>-550.05769999999995</v>
      </c>
      <c r="H3592">
        <v>2.549509</v>
      </c>
      <c r="I3592">
        <v>294.50200000000001</v>
      </c>
      <c r="J3592">
        <v>-372.78399999999999</v>
      </c>
      <c r="K3592">
        <v>1.1101650000000001</v>
      </c>
      <c r="L3592">
        <v>283.68779999999998</v>
      </c>
      <c r="M3592">
        <v>-0.99974439999999998</v>
      </c>
      <c r="N3592">
        <v>0</v>
      </c>
      <c r="O3592">
        <v>1.7424200000000001E-2</v>
      </c>
      <c r="P3592">
        <v>-0.9995965</v>
      </c>
      <c r="Q3592">
        <v>2.6529480000000001E-2</v>
      </c>
      <c r="R3592">
        <v>1.0150620000000001E-2</v>
      </c>
      <c r="S3592">
        <v>-2.9987180000000002</v>
      </c>
      <c r="T3592">
        <v>2.43243E-2</v>
      </c>
      <c r="U3592">
        <v>0.1828003</v>
      </c>
      <c r="V3592">
        <v>-7.2478079999999997E-3</v>
      </c>
      <c r="W3592">
        <v>4.0927730000000002E-2</v>
      </c>
      <c r="X3592">
        <v>0.99913580000000002</v>
      </c>
      <c r="Y3592">
        <v>4.3442729999999999E-2</v>
      </c>
      <c r="Z3592" s="1">
        <v>-3.4833280000000003E-5</v>
      </c>
      <c r="AA3592">
        <v>0.9990559</v>
      </c>
      <c r="AB3592">
        <v>32</v>
      </c>
      <c r="AC3592">
        <v>-177.273699999999</v>
      </c>
      <c r="AD3592">
        <v>1.439344</v>
      </c>
      <c r="AE3592">
        <v>10.8142</v>
      </c>
      <c r="AF3592">
        <v>7.7228777210621598</v>
      </c>
      <c r="AG3592">
        <v>1.439344</v>
      </c>
      <c r="AH3592">
        <v>177.423577291474</v>
      </c>
      <c r="AI3592">
        <v>89.535639405362502</v>
      </c>
      <c r="AJ3592">
        <v>87.507607695929195</v>
      </c>
      <c r="AK3592">
        <v>177.59741082107101</v>
      </c>
      <c r="AL3592">
        <v>87.654358588210599</v>
      </c>
      <c r="AM3592">
        <v>90.415620704723196</v>
      </c>
      <c r="AN3592">
        <v>0.99999997832269805</v>
      </c>
    </row>
    <row r="3593" spans="1:40" x14ac:dyDescent="0.25">
      <c r="A3593" t="str">
        <f>"20190312150729140"</f>
        <v>20190312150729140</v>
      </c>
      <c r="B3593" t="str">
        <f>"1552374449133552"</f>
        <v>1552374449133552</v>
      </c>
      <c r="C3593" t="s">
        <v>40</v>
      </c>
      <c r="D3593">
        <v>4.2050549999999998</v>
      </c>
      <c r="E3593">
        <v>0.51957259999999905</v>
      </c>
      <c r="F3593" t="s">
        <v>72</v>
      </c>
      <c r="G3593">
        <v>-550.02499999999998</v>
      </c>
      <c r="H3593">
        <v>2.4944030000000001</v>
      </c>
      <c r="I3593">
        <v>294.55</v>
      </c>
      <c r="J3593">
        <v>-372.96960000000001</v>
      </c>
      <c r="K3593">
        <v>1.1101639999999999</v>
      </c>
      <c r="L3593">
        <v>283.69119999999998</v>
      </c>
      <c r="M3593">
        <v>-0.99974220000000003</v>
      </c>
      <c r="N3593">
        <v>0</v>
      </c>
      <c r="O3593">
        <v>1.7559580000000002E-2</v>
      </c>
      <c r="P3593">
        <v>-0.99959520000000002</v>
      </c>
      <c r="Q3593">
        <v>2.659487E-2</v>
      </c>
      <c r="R3593">
        <v>1.010171E-2</v>
      </c>
      <c r="S3593">
        <v>-2.9987180000000002</v>
      </c>
      <c r="T3593">
        <v>2.3421170000000002E-2</v>
      </c>
      <c r="U3593">
        <v>0.18377689999999999</v>
      </c>
      <c r="V3593">
        <v>-7.4326430000000001E-3</v>
      </c>
      <c r="W3593">
        <v>4.0987759999999998E-2</v>
      </c>
      <c r="X3593">
        <v>0.99913200000000002</v>
      </c>
      <c r="Y3593">
        <v>4.3631629999999998E-2</v>
      </c>
      <c r="Z3593" s="1">
        <v>-3.3220670000000003E-5</v>
      </c>
      <c r="AA3593">
        <v>0.99904769999999998</v>
      </c>
      <c r="AB3593">
        <v>32</v>
      </c>
      <c r="AC3593">
        <v>-177.055399999999</v>
      </c>
      <c r="AD3593">
        <v>1.38423899999999</v>
      </c>
      <c r="AE3593">
        <v>10.8588</v>
      </c>
      <c r="AF3593">
        <v>7.7473130685326996</v>
      </c>
      <c r="AG3593">
        <v>1.38423899999999</v>
      </c>
      <c r="AH3593">
        <v>177.208000557567</v>
      </c>
      <c r="AI3593">
        <v>89.552877084907195</v>
      </c>
      <c r="AJ3593">
        <v>87.496693951457004</v>
      </c>
      <c r="AK3593">
        <v>177.38267231891999</v>
      </c>
      <c r="AL3593">
        <v>87.650916277929397</v>
      </c>
      <c r="AM3593">
        <v>90.4262211790614</v>
      </c>
      <c r="AN3593">
        <v>0.999999997037891</v>
      </c>
    </row>
    <row r="3594" spans="1:40" x14ac:dyDescent="0.25">
      <c r="A3594" t="str">
        <f>"20190312150729155"</f>
        <v>20190312150729155</v>
      </c>
      <c r="B3594" t="str">
        <f>"1552374449143311"</f>
        <v>1552374449143311</v>
      </c>
      <c r="C3594" t="s">
        <v>40</v>
      </c>
      <c r="D3594">
        <v>4.209695</v>
      </c>
      <c r="E3594">
        <v>0.51960839999999997</v>
      </c>
      <c r="F3594" t="s">
        <v>72</v>
      </c>
      <c r="G3594">
        <v>-549.80280000000005</v>
      </c>
      <c r="H3594">
        <v>2.5109279999999998</v>
      </c>
      <c r="I3594">
        <v>294.55</v>
      </c>
      <c r="J3594">
        <v>-373.16800000000001</v>
      </c>
      <c r="K3594">
        <v>1.110161</v>
      </c>
      <c r="L3594">
        <v>283.69479999999999</v>
      </c>
      <c r="M3594">
        <v>-0.99973979999999996</v>
      </c>
      <c r="N3594">
        <v>0</v>
      </c>
      <c r="O3594">
        <v>1.7703989999999999E-2</v>
      </c>
      <c r="P3594">
        <v>-0.99960269999999996</v>
      </c>
      <c r="Q3594">
        <v>2.6350749999999999E-2</v>
      </c>
      <c r="R3594">
        <v>1.0027370000000001E-2</v>
      </c>
      <c r="S3594">
        <v>-2.9987180000000002</v>
      </c>
      <c r="T3594">
        <v>2.3755430000000001E-2</v>
      </c>
      <c r="U3594">
        <v>0.1841431</v>
      </c>
      <c r="V3594">
        <v>-7.6513989999999997E-3</v>
      </c>
      <c r="W3594">
        <v>4.0736679999999997E-2</v>
      </c>
      <c r="X3594">
        <v>0.99914060000000005</v>
      </c>
      <c r="Y3594">
        <v>4.3608859999999999E-2</v>
      </c>
      <c r="Z3594" s="1">
        <v>-3.2462090000000001E-5</v>
      </c>
      <c r="AA3594">
        <v>0.99904870000000001</v>
      </c>
      <c r="AB3594">
        <v>32</v>
      </c>
      <c r="AC3594">
        <v>-176.63480000000001</v>
      </c>
      <c r="AD3594">
        <v>1.4007670000000001</v>
      </c>
      <c r="AE3594">
        <v>10.8552</v>
      </c>
      <c r="AF3594">
        <v>7.7255500185179002</v>
      </c>
      <c r="AG3594">
        <v>1.4007670000000001</v>
      </c>
      <c r="AH3594">
        <v>176.78823458417</v>
      </c>
      <c r="AI3594">
        <v>89.546463936467504</v>
      </c>
      <c r="AJ3594">
        <v>87.497797454582297</v>
      </c>
      <c r="AK3594">
        <v>176.96249930045701</v>
      </c>
      <c r="AL3594">
        <v>87.665314087248603</v>
      </c>
      <c r="AM3594">
        <v>90.438761372094802</v>
      </c>
      <c r="AN3594">
        <v>0.99999997978621902</v>
      </c>
    </row>
    <row r="3595" spans="1:40" x14ac:dyDescent="0.25">
      <c r="A3595" t="str">
        <f>"20190312150729167"</f>
        <v>20190312150729167</v>
      </c>
      <c r="B3595" t="str">
        <f>"1552374449163807"</f>
        <v>1552374449163807</v>
      </c>
      <c r="C3595" t="s">
        <v>40</v>
      </c>
      <c r="D3595">
        <v>4.2208030000000001</v>
      </c>
      <c r="E3595">
        <v>0.51969379999999998</v>
      </c>
      <c r="F3595" t="s">
        <v>72</v>
      </c>
      <c r="G3595">
        <v>-549.7971</v>
      </c>
      <c r="H3595">
        <v>2.4711110000000001</v>
      </c>
      <c r="I3595">
        <v>294.55</v>
      </c>
      <c r="J3595">
        <v>-373.3503</v>
      </c>
      <c r="K3595">
        <v>1.1101589999999999</v>
      </c>
      <c r="L3595">
        <v>283.69819999999999</v>
      </c>
      <c r="M3595">
        <v>-0.99973749999999995</v>
      </c>
      <c r="N3595">
        <v>0</v>
      </c>
      <c r="O3595">
        <v>1.7837019999999999E-2</v>
      </c>
      <c r="P3595">
        <v>-0.99960519999999997</v>
      </c>
      <c r="Q3595">
        <v>2.633628E-2</v>
      </c>
      <c r="R3595">
        <v>9.7825700000000008E-3</v>
      </c>
      <c r="S3595">
        <v>-2.9987490000000001</v>
      </c>
      <c r="T3595">
        <v>2.310717E-2</v>
      </c>
      <c r="U3595">
        <v>0.18429570000000001</v>
      </c>
      <c r="V3595">
        <v>-8.0292130000000003E-3</v>
      </c>
      <c r="W3595">
        <v>4.0714279999999999E-2</v>
      </c>
      <c r="X3595">
        <v>0.99913859999999999</v>
      </c>
      <c r="Y3595">
        <v>4.3526000000000002E-2</v>
      </c>
      <c r="Z3595" s="1">
        <v>-3.0233179999999999E-5</v>
      </c>
      <c r="AA3595">
        <v>0.9990523</v>
      </c>
      <c r="AB3595">
        <v>32</v>
      </c>
      <c r="AC3595">
        <v>-176.4468</v>
      </c>
      <c r="AD3595">
        <v>1.3609519999999999</v>
      </c>
      <c r="AE3595">
        <v>10.851800000000001</v>
      </c>
      <c r="AF3595">
        <v>7.7020061886401798</v>
      </c>
      <c r="AG3595">
        <v>1.3609519999999999</v>
      </c>
      <c r="AH3595">
        <v>176.60183986232099</v>
      </c>
      <c r="AI3595">
        <v>89.558887862468495</v>
      </c>
      <c r="AJ3595">
        <v>87.502783754538797</v>
      </c>
      <c r="AK3595">
        <v>176.77494995737601</v>
      </c>
      <c r="AL3595">
        <v>87.666598698964407</v>
      </c>
      <c r="AM3595">
        <v>90.460426726630601</v>
      </c>
      <c r="AN3595">
        <v>1.0000000314336299</v>
      </c>
    </row>
    <row r="3596" spans="1:40" x14ac:dyDescent="0.25">
      <c r="A3596" t="str">
        <f>"20190312150729181"</f>
        <v>20190312150729181</v>
      </c>
      <c r="B3596" t="str">
        <f>"1552374449173567"</f>
        <v>1552374449173567</v>
      </c>
      <c r="C3596" t="s">
        <v>40</v>
      </c>
      <c r="D3596">
        <v>4.1969750000000001</v>
      </c>
      <c r="E3596">
        <v>0.51973709999999995</v>
      </c>
      <c r="F3596" t="s">
        <v>72</v>
      </c>
      <c r="G3596">
        <v>-549.92690000000005</v>
      </c>
      <c r="H3596">
        <v>2.4902120000000001</v>
      </c>
      <c r="I3596">
        <v>294.55</v>
      </c>
      <c r="J3596">
        <v>-373.54989999999998</v>
      </c>
      <c r="K3596">
        <v>1.1101570000000001</v>
      </c>
      <c r="L3596">
        <v>283.70190000000002</v>
      </c>
      <c r="M3596">
        <v>-0.99973500000000004</v>
      </c>
      <c r="N3596">
        <v>0</v>
      </c>
      <c r="O3596">
        <v>1.798276E-2</v>
      </c>
      <c r="P3596">
        <v>-0.99960680000000002</v>
      </c>
      <c r="Q3596">
        <v>2.626419E-2</v>
      </c>
      <c r="R3596">
        <v>9.806024E-3</v>
      </c>
      <c r="S3596">
        <v>-2.9987789999999999</v>
      </c>
      <c r="T3596">
        <v>2.3438690000000002E-2</v>
      </c>
      <c r="U3596">
        <v>0.18429570000000001</v>
      </c>
      <c r="V3596">
        <v>-8.1516820000000004E-3</v>
      </c>
      <c r="W3596">
        <v>4.0630899999999998E-2</v>
      </c>
      <c r="X3596">
        <v>0.99914099999999995</v>
      </c>
      <c r="Y3596">
        <v>4.3379719999999997E-2</v>
      </c>
      <c r="Z3596" s="1">
        <v>-2.8957799999999999E-5</v>
      </c>
      <c r="AA3596">
        <v>0.99905869999999997</v>
      </c>
      <c r="AB3596">
        <v>32</v>
      </c>
      <c r="AC3596">
        <v>-176.37700000000001</v>
      </c>
      <c r="AD3596">
        <v>1.380055</v>
      </c>
      <c r="AE3596">
        <v>10.848099999999899</v>
      </c>
      <c r="AF3596">
        <v>7.6738045582453198</v>
      </c>
      <c r="AG3596">
        <v>1.380055</v>
      </c>
      <c r="AH3596">
        <v>176.532805367902</v>
      </c>
      <c r="AI3596">
        <v>89.552518753425403</v>
      </c>
      <c r="AJ3596">
        <v>87.510944277341807</v>
      </c>
      <c r="AK3596">
        <v>176.70490428752299</v>
      </c>
      <c r="AL3596">
        <v>87.671379971423704</v>
      </c>
      <c r="AM3596">
        <v>90.467448149811702</v>
      </c>
      <c r="AN3596">
        <v>1.0000000289176101</v>
      </c>
    </row>
    <row r="3597" spans="1:40" x14ac:dyDescent="0.25">
      <c r="A3597" t="str">
        <f>"20190312150729201"</f>
        <v>20190312150729201</v>
      </c>
      <c r="B3597" t="str">
        <f>"1552374449194064"</f>
        <v>1552374449194064</v>
      </c>
      <c r="C3597" t="s">
        <v>40</v>
      </c>
      <c r="D3597">
        <v>4.1972889999999996</v>
      </c>
      <c r="E3597">
        <v>0.51979259999999905</v>
      </c>
      <c r="F3597" t="s">
        <v>72</v>
      </c>
      <c r="G3597">
        <v>-549.80330000000004</v>
      </c>
      <c r="H3597">
        <v>2.4825750000000002</v>
      </c>
      <c r="I3597">
        <v>294.55</v>
      </c>
      <c r="J3597">
        <v>-373.83679999999998</v>
      </c>
      <c r="K3597">
        <v>1.110147</v>
      </c>
      <c r="L3597">
        <v>283.7072</v>
      </c>
      <c r="M3597">
        <v>-0.9997315</v>
      </c>
      <c r="N3597">
        <v>0</v>
      </c>
      <c r="O3597">
        <v>1.8191849999999999E-2</v>
      </c>
      <c r="P3597">
        <v>-0.99961069999999996</v>
      </c>
      <c r="Q3597">
        <v>2.6112819999999998E-2</v>
      </c>
      <c r="R3597">
        <v>9.8372790000000009E-3</v>
      </c>
      <c r="S3597">
        <v>-2.9987789999999999</v>
      </c>
      <c r="T3597">
        <v>2.3351790000000001E-2</v>
      </c>
      <c r="U3597">
        <v>0.18457029999999999</v>
      </c>
      <c r="V3597">
        <v>-8.3294479999999997E-3</v>
      </c>
      <c r="W3597">
        <v>4.045986E-2</v>
      </c>
      <c r="X3597">
        <v>0.99914650000000005</v>
      </c>
      <c r="Y3597">
        <v>4.326195E-2</v>
      </c>
      <c r="Z3597" s="1">
        <v>-2.6766109999999998E-5</v>
      </c>
      <c r="AA3597">
        <v>0.99906379999999995</v>
      </c>
      <c r="AB3597">
        <v>32</v>
      </c>
      <c r="AC3597">
        <v>-175.9665</v>
      </c>
      <c r="AD3597">
        <v>1.372428</v>
      </c>
      <c r="AE3597">
        <v>10.8428</v>
      </c>
      <c r="AF3597">
        <v>7.6390564594279402</v>
      </c>
      <c r="AG3597">
        <v>1.372428</v>
      </c>
      <c r="AH3597">
        <v>176.12397189387099</v>
      </c>
      <c r="AI3597">
        <v>89.553956888192602</v>
      </c>
      <c r="AJ3597">
        <v>87.516456525489104</v>
      </c>
      <c r="AK3597">
        <v>176.29490128156999</v>
      </c>
      <c r="AL3597">
        <v>87.681187965065007</v>
      </c>
      <c r="AM3597">
        <v>90.477638825433303</v>
      </c>
      <c r="AN3597">
        <v>1.00000005421872</v>
      </c>
    </row>
    <row r="3598" spans="1:40" x14ac:dyDescent="0.25">
      <c r="A3598" t="str">
        <f>"20190312150729223"</f>
        <v>20190312150729223</v>
      </c>
      <c r="B3598" t="str">
        <f>"1552374449213582"</f>
        <v>1552374449213582</v>
      </c>
      <c r="C3598" t="s">
        <v>40</v>
      </c>
      <c r="D3598">
        <v>4.2093249999999998</v>
      </c>
      <c r="E3598">
        <v>0.51986690000000002</v>
      </c>
      <c r="F3598" t="s">
        <v>72</v>
      </c>
      <c r="G3598">
        <v>-549.50729999999999</v>
      </c>
      <c r="H3598">
        <v>2.468871</v>
      </c>
      <c r="I3598">
        <v>294.55</v>
      </c>
      <c r="J3598">
        <v>-374.14749999999998</v>
      </c>
      <c r="K3598">
        <v>1.110142</v>
      </c>
      <c r="L3598">
        <v>283.7131</v>
      </c>
      <c r="M3598">
        <v>-0.9997277</v>
      </c>
      <c r="N3598">
        <v>0</v>
      </c>
      <c r="O3598">
        <v>1.8418520000000001E-2</v>
      </c>
      <c r="P3598">
        <v>-0.9996138</v>
      </c>
      <c r="Q3598">
        <v>2.6010780000000001E-2</v>
      </c>
      <c r="R3598">
        <v>9.7891200000000001E-3</v>
      </c>
      <c r="S3598">
        <v>-2.9987490000000001</v>
      </c>
      <c r="T3598">
        <v>2.319527E-2</v>
      </c>
      <c r="U3598">
        <v>0.18508910000000001</v>
      </c>
      <c r="V3598">
        <v>-8.6043919999999902E-3</v>
      </c>
      <c r="W3598">
        <v>4.0332170000000001E-2</v>
      </c>
      <c r="X3598">
        <v>0.99914930000000002</v>
      </c>
      <c r="Y3598">
        <v>4.3208259999999998E-2</v>
      </c>
      <c r="Z3598" s="1">
        <v>-2.4628520000000001E-5</v>
      </c>
      <c r="AA3598">
        <v>0.99906609999999996</v>
      </c>
      <c r="AB3598">
        <v>32</v>
      </c>
      <c r="AC3598">
        <v>-175.35980000000001</v>
      </c>
      <c r="AD3598">
        <v>1.3587290000000001</v>
      </c>
      <c r="AE3598">
        <v>10.8369</v>
      </c>
      <c r="AF3598">
        <v>7.6044069519617397</v>
      </c>
      <c r="AG3598">
        <v>1.3587290000000001</v>
      </c>
      <c r="AH3598">
        <v>175.519169593458</v>
      </c>
      <c r="AI3598">
        <v>89.556886436831505</v>
      </c>
      <c r="AJ3598">
        <v>87.519199084787601</v>
      </c>
      <c r="AK3598">
        <v>175.68907776058199</v>
      </c>
      <c r="AL3598">
        <v>87.688509963966197</v>
      </c>
      <c r="AM3598">
        <v>90.493402898141696</v>
      </c>
      <c r="AN3598">
        <v>1.0000000215945399</v>
      </c>
    </row>
    <row r="3599" spans="1:40" x14ac:dyDescent="0.25">
      <c r="A3599" t="str">
        <f>"20190312150729243"</f>
        <v>20190312150729243</v>
      </c>
      <c r="B3599" t="str">
        <f>"1552374449234079"</f>
        <v>1552374449234079</v>
      </c>
      <c r="C3599" t="s">
        <v>40</v>
      </c>
      <c r="D3599">
        <v>4.1851010000000004</v>
      </c>
      <c r="E3599">
        <v>0.51993350000000005</v>
      </c>
      <c r="F3599" t="s">
        <v>72</v>
      </c>
      <c r="G3599">
        <v>-549.25890000000004</v>
      </c>
      <c r="H3599">
        <v>2.4840740000000001</v>
      </c>
      <c r="I3599">
        <v>294.55</v>
      </c>
      <c r="J3599">
        <v>-374.44670000000002</v>
      </c>
      <c r="K3599">
        <v>1.1101319999999999</v>
      </c>
      <c r="L3599">
        <v>283.71890000000002</v>
      </c>
      <c r="M3599">
        <v>-0.99972439999999996</v>
      </c>
      <c r="N3599">
        <v>0</v>
      </c>
      <c r="O3599">
        <v>1.8636389999999999E-2</v>
      </c>
      <c r="P3599">
        <v>-0.99962059999999997</v>
      </c>
      <c r="Q3599">
        <v>2.5886300000000001E-2</v>
      </c>
      <c r="R3599">
        <v>9.4335630000000007E-3</v>
      </c>
      <c r="S3599">
        <v>-2.9987180000000002</v>
      </c>
      <c r="T3599">
        <v>2.352953E-2</v>
      </c>
      <c r="U3599">
        <v>0.1855774</v>
      </c>
      <c r="V3599">
        <v>-9.1775969999999991E-3</v>
      </c>
      <c r="W3599">
        <v>4.0170640000000001E-2</v>
      </c>
      <c r="X3599">
        <v>0.99915069999999995</v>
      </c>
      <c r="Y3599">
        <v>4.3153219999999999E-2</v>
      </c>
      <c r="Z3599" s="1">
        <v>-2.3060650000000001E-5</v>
      </c>
      <c r="AA3599">
        <v>0.99906839999999997</v>
      </c>
      <c r="AB3599">
        <v>32</v>
      </c>
      <c r="AC3599">
        <v>-174.81219999999999</v>
      </c>
      <c r="AD3599">
        <v>1.373942</v>
      </c>
      <c r="AE3599">
        <v>10.8310999999999</v>
      </c>
      <c r="AF3599">
        <v>7.5705523114952902</v>
      </c>
      <c r="AG3599">
        <v>1.373942</v>
      </c>
      <c r="AH3599">
        <v>174.97293976203599</v>
      </c>
      <c r="AI3599">
        <v>89.550525448468505</v>
      </c>
      <c r="AJ3599">
        <v>87.522529318618695</v>
      </c>
      <c r="AK3599">
        <v>175.142029872585</v>
      </c>
      <c r="AL3599">
        <v>87.697772442227603</v>
      </c>
      <c r="AM3599">
        <v>90.526269747241599</v>
      </c>
      <c r="AN3599">
        <v>1.0000000149575901</v>
      </c>
    </row>
    <row r="3600" spans="1:40" x14ac:dyDescent="0.25">
      <c r="A3600" t="str">
        <f>"20190312150729256"</f>
        <v>20190312150729256</v>
      </c>
      <c r="B3600" t="str">
        <f>"1552374449243840"</f>
        <v>1552374449243840</v>
      </c>
      <c r="C3600" t="s">
        <v>40</v>
      </c>
      <c r="D3600">
        <v>4.2025980000000001</v>
      </c>
      <c r="E3600">
        <v>0.51997749999999998</v>
      </c>
      <c r="F3600" t="s">
        <v>72</v>
      </c>
      <c r="G3600">
        <v>-549.81510000000003</v>
      </c>
      <c r="H3600">
        <v>2.4910369999999999</v>
      </c>
      <c r="I3600">
        <v>294.55</v>
      </c>
      <c r="J3600">
        <v>-374.62020000000001</v>
      </c>
      <c r="K3600">
        <v>1.1101289999999999</v>
      </c>
      <c r="L3600">
        <v>283.72219999999999</v>
      </c>
      <c r="M3600">
        <v>-0.99972229999999995</v>
      </c>
      <c r="N3600">
        <v>0</v>
      </c>
      <c r="O3600">
        <v>1.8763180000000001E-2</v>
      </c>
      <c r="P3600">
        <v>-0.9996256</v>
      </c>
      <c r="Q3600">
        <v>2.5690910000000001E-2</v>
      </c>
      <c r="R3600">
        <v>9.4211720000000002E-3</v>
      </c>
      <c r="S3600">
        <v>-2.9987789999999999</v>
      </c>
      <c r="T3600">
        <v>2.3614759999999999E-2</v>
      </c>
      <c r="U3600">
        <v>0.18521119999999999</v>
      </c>
      <c r="V3600">
        <v>-9.3172759999999993E-3</v>
      </c>
      <c r="W3600">
        <v>3.9946250000000003E-2</v>
      </c>
      <c r="X3600">
        <v>0.9991584</v>
      </c>
      <c r="Y3600">
        <v>4.2903730000000001E-2</v>
      </c>
      <c r="Z3600" s="1">
        <v>-2.1165180000000001E-5</v>
      </c>
      <c r="AA3600">
        <v>0.99907919999999995</v>
      </c>
      <c r="AB3600">
        <v>32</v>
      </c>
      <c r="AC3600">
        <v>-175.19489999999999</v>
      </c>
      <c r="AD3600">
        <v>1.38090799999999</v>
      </c>
      <c r="AE3600">
        <v>10.8278</v>
      </c>
      <c r="AF3600">
        <v>7.5378793291821102</v>
      </c>
      <c r="AG3600">
        <v>1.38090799999999</v>
      </c>
      <c r="AH3600">
        <v>175.35638327216401</v>
      </c>
      <c r="AI3600">
        <v>89.549229005226906</v>
      </c>
      <c r="AJ3600">
        <v>87.538595722907104</v>
      </c>
      <c r="AK3600">
        <v>175.52375248375901</v>
      </c>
      <c r="AL3600">
        <v>87.710639361680705</v>
      </c>
      <c r="AM3600">
        <v>90.534274763914695</v>
      </c>
      <c r="AN3600">
        <v>1.0000000114058401</v>
      </c>
    </row>
    <row r="3601" spans="1:40" x14ac:dyDescent="0.25">
      <c r="A3601" t="str">
        <f>"20190312150729268"</f>
        <v>20190312150729268</v>
      </c>
      <c r="B3601" t="str">
        <f>"1552374449263360"</f>
        <v>1552374449263360</v>
      </c>
      <c r="C3601" t="s">
        <v>40</v>
      </c>
      <c r="D3601">
        <v>4.1795609999999996</v>
      </c>
      <c r="E3601">
        <v>0.52008319999999997</v>
      </c>
      <c r="F3601" t="s">
        <v>72</v>
      </c>
      <c r="G3601">
        <v>-549.75940000000003</v>
      </c>
      <c r="H3601">
        <v>2.4733139999999998</v>
      </c>
      <c r="I3601">
        <v>294.55</v>
      </c>
      <c r="J3601">
        <v>-374.79169999999999</v>
      </c>
      <c r="K3601">
        <v>1.11012</v>
      </c>
      <c r="L3601">
        <v>283.72559999999999</v>
      </c>
      <c r="M3601">
        <v>-0.99972050000000001</v>
      </c>
      <c r="N3601">
        <v>0</v>
      </c>
      <c r="O3601">
        <v>1.8888450000000001E-2</v>
      </c>
      <c r="P3601">
        <v>-0.9996313</v>
      </c>
      <c r="Q3601">
        <v>2.5586100000000001E-2</v>
      </c>
      <c r="R3601">
        <v>9.10797E-3</v>
      </c>
      <c r="S3601">
        <v>-2.9987490000000001</v>
      </c>
      <c r="T3601">
        <v>2.334201E-2</v>
      </c>
      <c r="U3601">
        <v>0.18539430000000001</v>
      </c>
      <c r="V3601">
        <v>-9.7556489999999999E-3</v>
      </c>
      <c r="W3601">
        <v>3.9809980000000002E-2</v>
      </c>
      <c r="X3601">
        <v>0.99915960000000004</v>
      </c>
      <c r="Y3601">
        <v>4.2839969999999998E-2</v>
      </c>
      <c r="Z3601" s="1">
        <v>-1.969926E-5</v>
      </c>
      <c r="AA3601">
        <v>0.99908200000000003</v>
      </c>
      <c r="AB3601">
        <v>32</v>
      </c>
      <c r="AC3601">
        <v>-174.96770000000001</v>
      </c>
      <c r="AD3601">
        <v>1.36319399999999</v>
      </c>
      <c r="AE3601">
        <v>10.824400000000001</v>
      </c>
      <c r="AF3601">
        <v>7.5168112247216703</v>
      </c>
      <c r="AG3601">
        <v>1.36319399999999</v>
      </c>
      <c r="AH3601">
        <v>175.130365639388</v>
      </c>
      <c r="AI3601">
        <v>89.554435664095607</v>
      </c>
      <c r="AJ3601">
        <v>87.542302974522997</v>
      </c>
      <c r="AK3601">
        <v>175.29690732541599</v>
      </c>
      <c r="AL3601">
        <v>87.718453148231802</v>
      </c>
      <c r="AM3601">
        <v>90.559409880852101</v>
      </c>
      <c r="AN3601">
        <v>0.99999995673358399</v>
      </c>
    </row>
    <row r="3602" spans="1:40" x14ac:dyDescent="0.25">
      <c r="A3602" t="str">
        <f>"20190312150729278"</f>
        <v>20190312150729278</v>
      </c>
      <c r="B3602" t="str">
        <f>"1552374449274096"</f>
        <v>1552374449274096</v>
      </c>
      <c r="C3602" t="s">
        <v>40</v>
      </c>
      <c r="D3602">
        <v>4.4327809999999896</v>
      </c>
      <c r="E3602">
        <v>0.52011790000000002</v>
      </c>
      <c r="F3602" t="s">
        <v>72</v>
      </c>
      <c r="G3602">
        <v>-549.76310000000001</v>
      </c>
      <c r="H3602">
        <v>2.465363</v>
      </c>
      <c r="I3602">
        <v>294.55</v>
      </c>
      <c r="J3602">
        <v>-374.95249999999999</v>
      </c>
      <c r="K3602">
        <v>1.110114</v>
      </c>
      <c r="L3602">
        <v>283.72879999999998</v>
      </c>
      <c r="M3602">
        <v>-0.99971880000000002</v>
      </c>
      <c r="N3602">
        <v>0</v>
      </c>
      <c r="O3602">
        <v>1.9005589999999999E-2</v>
      </c>
      <c r="P3602">
        <v>-0.99964350000000002</v>
      </c>
      <c r="Q3602">
        <v>2.5089170000000001E-2</v>
      </c>
      <c r="R3602">
        <v>9.1464470000000003E-3</v>
      </c>
      <c r="S3602">
        <v>-2.9987789999999999</v>
      </c>
      <c r="T3602">
        <v>2.3228530000000001E-2</v>
      </c>
      <c r="U3602">
        <v>0.1855164</v>
      </c>
      <c r="V3602">
        <v>-9.834944E-3</v>
      </c>
      <c r="W3602">
        <v>3.9276810000000002E-2</v>
      </c>
      <c r="X3602">
        <v>0.99917999999999996</v>
      </c>
      <c r="Y3602">
        <v>4.276282E-2</v>
      </c>
      <c r="Z3602" s="1">
        <v>-1.8398660000000001E-5</v>
      </c>
      <c r="AA3602">
        <v>0.99908520000000001</v>
      </c>
      <c r="AB3602">
        <v>32</v>
      </c>
      <c r="AC3602">
        <v>-174.81059999999999</v>
      </c>
      <c r="AD3602">
        <v>1.3552489999999999</v>
      </c>
      <c r="AE3602">
        <v>10.821199999999999</v>
      </c>
      <c r="AF3602">
        <v>7.4960835092913696</v>
      </c>
      <c r="AG3602">
        <v>1.3552489999999999</v>
      </c>
      <c r="AH3602">
        <v>174.97422639921999</v>
      </c>
      <c r="AI3602">
        <v>89.556635619062902</v>
      </c>
      <c r="AJ3602">
        <v>87.546887404754301</v>
      </c>
      <c r="AK3602">
        <v>175.13996651774201</v>
      </c>
      <c r="AL3602">
        <v>87.749025624816596</v>
      </c>
      <c r="AM3602">
        <v>90.563945020673899</v>
      </c>
      <c r="AN3602">
        <v>1.0000000331636201</v>
      </c>
    </row>
    <row r="3603" spans="1:40" x14ac:dyDescent="0.25">
      <c r="A3603" t="str">
        <f>"20190312150729290"</f>
        <v>20190312150729290</v>
      </c>
      <c r="B3603" t="str">
        <f>"1552374449283855"</f>
        <v>1552374449283855</v>
      </c>
      <c r="C3603" t="s">
        <v>40</v>
      </c>
      <c r="D3603">
        <v>4.2305409999999997</v>
      </c>
      <c r="E3603">
        <v>0.52015749999999905</v>
      </c>
      <c r="F3603" t="s">
        <v>72</v>
      </c>
      <c r="G3603">
        <v>-549.44380000000001</v>
      </c>
      <c r="H3603">
        <v>2.3836379999999999</v>
      </c>
      <c r="I3603">
        <v>294.55</v>
      </c>
      <c r="J3603">
        <v>-375.10469999999998</v>
      </c>
      <c r="K3603">
        <v>1.110107</v>
      </c>
      <c r="L3603">
        <v>283.73180000000002</v>
      </c>
      <c r="M3603">
        <v>-0.99971710000000003</v>
      </c>
      <c r="N3603">
        <v>0</v>
      </c>
      <c r="O3603">
        <v>1.9116419999999999E-2</v>
      </c>
      <c r="P3603">
        <v>-0.99965340000000003</v>
      </c>
      <c r="Q3603">
        <v>2.4722629999999999E-2</v>
      </c>
      <c r="R3603">
        <v>9.0406549999999999E-3</v>
      </c>
      <c r="S3603">
        <v>-2.9988100000000002</v>
      </c>
      <c r="T3603">
        <v>2.188826E-2</v>
      </c>
      <c r="U3603">
        <v>0.1859741</v>
      </c>
      <c r="V3603">
        <v>-1.0051890000000001E-2</v>
      </c>
      <c r="W3603">
        <v>3.8872289999999997E-2</v>
      </c>
      <c r="X3603">
        <v>0.99919360000000002</v>
      </c>
      <c r="Y3603">
        <v>4.2803439999999998E-2</v>
      </c>
      <c r="Z3603" s="1">
        <v>-1.6677160000000001E-5</v>
      </c>
      <c r="AA3603">
        <v>0.99908350000000001</v>
      </c>
      <c r="AB3603">
        <v>32</v>
      </c>
      <c r="AC3603">
        <v>-174.3391</v>
      </c>
      <c r="AD3603">
        <v>1.273531</v>
      </c>
      <c r="AE3603">
        <v>10.8181999999999</v>
      </c>
      <c r="AF3603">
        <v>7.48275172192736</v>
      </c>
      <c r="AG3603">
        <v>1.273531</v>
      </c>
      <c r="AH3603">
        <v>174.50478550150601</v>
      </c>
      <c r="AI3603">
        <v>89.5822483087329</v>
      </c>
      <c r="AJ3603">
        <v>87.544665527881506</v>
      </c>
      <c r="AK3603">
        <v>174.66978450054401</v>
      </c>
      <c r="AL3603">
        <v>87.772220492570995</v>
      </c>
      <c r="AM3603">
        <v>90.576376235337094</v>
      </c>
      <c r="AN3603">
        <v>0.99999997285168696</v>
      </c>
    </row>
    <row r="3604" spans="1:40" x14ac:dyDescent="0.25">
      <c r="A3604" t="str">
        <f>"20190312150729302"</f>
        <v>20190312150729302</v>
      </c>
      <c r="B3604" t="str">
        <f>"1552374449293615"</f>
        <v>1552374449293615</v>
      </c>
      <c r="C3604" t="s">
        <v>40</v>
      </c>
      <c r="D3604">
        <v>4.211919</v>
      </c>
      <c r="E3604">
        <v>0.52021709999999999</v>
      </c>
      <c r="F3604" t="s">
        <v>72</v>
      </c>
      <c r="G3604">
        <v>-549.89549999999997</v>
      </c>
      <c r="H3604">
        <v>2.3306369999999998</v>
      </c>
      <c r="I3604">
        <v>294.55</v>
      </c>
      <c r="J3604">
        <v>-375.28089999999997</v>
      </c>
      <c r="K3604">
        <v>1.1100969999999999</v>
      </c>
      <c r="L3604">
        <v>283.7353</v>
      </c>
      <c r="M3604">
        <v>-0.99971549999999998</v>
      </c>
      <c r="N3604">
        <v>0</v>
      </c>
      <c r="O3604">
        <v>1.924449E-2</v>
      </c>
      <c r="P3604">
        <v>-0.9996583</v>
      </c>
      <c r="Q3604">
        <v>2.4588189999999999E-2</v>
      </c>
      <c r="R3604">
        <v>8.8959369999999996E-3</v>
      </c>
      <c r="S3604">
        <v>-2.9988709999999998</v>
      </c>
      <c r="T3604">
        <v>2.0941970000000001E-2</v>
      </c>
      <c r="U3604">
        <v>0.18560789999999999</v>
      </c>
      <c r="V3604">
        <v>-1.032449E-2</v>
      </c>
      <c r="W3604">
        <v>3.8689800000000003E-2</v>
      </c>
      <c r="X3604">
        <v>0.99919800000000003</v>
      </c>
      <c r="Y3604">
        <v>4.2552739999999999E-2</v>
      </c>
      <c r="Z3604" s="1">
        <v>-1.4188320000000001E-5</v>
      </c>
      <c r="AA3604">
        <v>0.99909420000000004</v>
      </c>
      <c r="AB3604">
        <v>32</v>
      </c>
      <c r="AC3604">
        <v>-174.6146</v>
      </c>
      <c r="AD3604">
        <v>1.22054</v>
      </c>
      <c r="AE3604">
        <v>10.8147</v>
      </c>
      <c r="AF3604">
        <v>7.4516315106440398</v>
      </c>
      <c r="AG3604">
        <v>1.22054</v>
      </c>
      <c r="AH3604">
        <v>174.781893337969</v>
      </c>
      <c r="AI3604">
        <v>89.600260721644901</v>
      </c>
      <c r="AJ3604">
        <v>87.558736607152994</v>
      </c>
      <c r="AK3604">
        <v>174.94492495887701</v>
      </c>
      <c r="AL3604">
        <v>87.782684485555805</v>
      </c>
      <c r="AM3604">
        <v>90.592003438210895</v>
      </c>
      <c r="AN3604">
        <v>1.0000000694608899</v>
      </c>
    </row>
    <row r="3605" spans="1:40" x14ac:dyDescent="0.25">
      <c r="A3605" t="str">
        <f>"20190312150729315"</f>
        <v>20190312150729315</v>
      </c>
      <c r="B3605" t="str">
        <f>"1552374449303375"</f>
        <v>1552374449303375</v>
      </c>
      <c r="C3605" t="s">
        <v>40</v>
      </c>
      <c r="D3605">
        <v>4.19313</v>
      </c>
      <c r="E3605">
        <v>0.52026649999999997</v>
      </c>
      <c r="F3605" t="s">
        <v>72</v>
      </c>
      <c r="G3605">
        <v>-549.9</v>
      </c>
      <c r="H3605">
        <v>2.3029120000000001</v>
      </c>
      <c r="I3605">
        <v>294.55</v>
      </c>
      <c r="J3605">
        <v>-375.45429999999999</v>
      </c>
      <c r="K3605">
        <v>1.110088</v>
      </c>
      <c r="L3605">
        <v>283.73869999999999</v>
      </c>
      <c r="M3605">
        <v>-0.99971379999999999</v>
      </c>
      <c r="N3605">
        <v>0</v>
      </c>
      <c r="O3605">
        <v>1.9369939999999999E-2</v>
      </c>
      <c r="P3605">
        <v>-0.9996642</v>
      </c>
      <c r="Q3605">
        <v>2.4391639999999999E-2</v>
      </c>
      <c r="R3605">
        <v>8.7646849999999995E-3</v>
      </c>
      <c r="S3605">
        <v>-2.9988709999999998</v>
      </c>
      <c r="T3605">
        <v>2.0486589999999999E-2</v>
      </c>
      <c r="U3605">
        <v>0.18573000000000001</v>
      </c>
      <c r="V3605">
        <v>-1.058188E-2</v>
      </c>
      <c r="W3605">
        <v>3.8437730000000003E-2</v>
      </c>
      <c r="X3605">
        <v>0.99920500000000001</v>
      </c>
      <c r="Y3605">
        <v>4.2467930000000001E-2</v>
      </c>
      <c r="Z3605" s="1">
        <v>-1.273463E-5</v>
      </c>
      <c r="AA3605">
        <v>0.99909780000000004</v>
      </c>
      <c r="AB3605">
        <v>32</v>
      </c>
      <c r="AC3605">
        <v>-174.44569999999999</v>
      </c>
      <c r="AD3605">
        <v>1.1928239999999899</v>
      </c>
      <c r="AE3605">
        <v>10.811299999999999</v>
      </c>
      <c r="AF3605">
        <v>7.4295893626313401</v>
      </c>
      <c r="AG3605">
        <v>1.1928239999999899</v>
      </c>
      <c r="AH3605">
        <v>174.614266881866</v>
      </c>
      <c r="AI3605">
        <v>89.608961274227397</v>
      </c>
      <c r="AJ3605">
        <v>87.563615409689803</v>
      </c>
      <c r="AK3605">
        <v>174.77632512981799</v>
      </c>
      <c r="AL3605">
        <v>87.797137704012897</v>
      </c>
      <c r="AM3605">
        <v>90.606756770169</v>
      </c>
      <c r="AN3605">
        <v>1.00000003364844</v>
      </c>
    </row>
    <row r="3606" spans="1:40" x14ac:dyDescent="0.25">
      <c r="A3606" t="str">
        <f>"20190312150729327"</f>
        <v>20190312150729327</v>
      </c>
      <c r="B3606" t="str">
        <f>"1552374449323873"</f>
        <v>1552374449323873</v>
      </c>
      <c r="C3606" t="s">
        <v>40</v>
      </c>
      <c r="D3606">
        <v>4.2084970000000004</v>
      </c>
      <c r="E3606">
        <v>0.52035240000000005</v>
      </c>
      <c r="F3606" t="s">
        <v>72</v>
      </c>
      <c r="G3606">
        <v>-549.84910000000002</v>
      </c>
      <c r="H3606">
        <v>2.2650830000000002</v>
      </c>
      <c r="I3606">
        <v>294.55</v>
      </c>
      <c r="J3606">
        <v>-375.63459999999998</v>
      </c>
      <c r="K3606">
        <v>1.11007099999999</v>
      </c>
      <c r="L3606">
        <v>283.74239999999998</v>
      </c>
      <c r="M3606">
        <v>-0.99971200000000005</v>
      </c>
      <c r="N3606">
        <v>0</v>
      </c>
      <c r="O3606">
        <v>1.9500389999999999E-2</v>
      </c>
      <c r="P3606">
        <v>-0.99966080000000002</v>
      </c>
      <c r="Q3606">
        <v>2.457059E-2</v>
      </c>
      <c r="R3606">
        <v>8.6314540000000002E-3</v>
      </c>
      <c r="S3606">
        <v>-2.9989319999999999</v>
      </c>
      <c r="T3606">
        <v>1.986301E-2</v>
      </c>
      <c r="U3606">
        <v>0.1859131</v>
      </c>
      <c r="V3606">
        <v>-1.084531E-2</v>
      </c>
      <c r="W3606">
        <v>3.855401E-2</v>
      </c>
      <c r="X3606">
        <v>0.99919769999999997</v>
      </c>
      <c r="Y3606">
        <v>4.2397120000000003E-2</v>
      </c>
      <c r="Z3606" s="1">
        <v>-1.1249689999999999E-5</v>
      </c>
      <c r="AA3606">
        <v>0.99910089999999996</v>
      </c>
      <c r="AB3606">
        <v>32</v>
      </c>
      <c r="AC3606">
        <v>-174.21449999999999</v>
      </c>
      <c r="AD3606">
        <v>1.1550119999999999</v>
      </c>
      <c r="AE3606">
        <v>10.807600000000001</v>
      </c>
      <c r="AF3606">
        <v>7.4076370921503099</v>
      </c>
      <c r="AG3606">
        <v>1.1550119999999999</v>
      </c>
      <c r="AH3606">
        <v>174.38450392884499</v>
      </c>
      <c r="AI3606">
        <v>89.620856668154701</v>
      </c>
      <c r="AJ3606">
        <v>87.567608799075003</v>
      </c>
      <c r="AK3606">
        <v>174.545588172599</v>
      </c>
      <c r="AL3606">
        <v>87.790470418675099</v>
      </c>
      <c r="AM3606">
        <v>90.621865012590703</v>
      </c>
      <c r="AN3606">
        <v>1.0000000380606799</v>
      </c>
    </row>
    <row r="3607" spans="1:40" x14ac:dyDescent="0.25">
      <c r="A3607" t="str">
        <f>"20190312150729344"</f>
        <v>20190312150729344</v>
      </c>
      <c r="B3607" t="str">
        <f>"1552374449333630"</f>
        <v>1552374449333630</v>
      </c>
      <c r="C3607" t="s">
        <v>40</v>
      </c>
      <c r="D3607">
        <v>4.1894150000000003</v>
      </c>
      <c r="E3607">
        <v>0.52040140000000001</v>
      </c>
      <c r="F3607" t="s">
        <v>72</v>
      </c>
      <c r="G3607">
        <v>-549.76699999999903</v>
      </c>
      <c r="H3607">
        <v>2.3124090000000002</v>
      </c>
      <c r="I3607">
        <v>294.55</v>
      </c>
      <c r="J3607">
        <v>-375.88</v>
      </c>
      <c r="K3607">
        <v>1.1100490000000001</v>
      </c>
      <c r="L3607">
        <v>283.7473</v>
      </c>
      <c r="M3607">
        <v>-0.99970999999999999</v>
      </c>
      <c r="N3607">
        <v>0</v>
      </c>
      <c r="O3607">
        <v>1.967679E-2</v>
      </c>
      <c r="P3607">
        <v>-0.99965660000000001</v>
      </c>
      <c r="Q3607">
        <v>2.4885259999999999E-2</v>
      </c>
      <c r="R3607">
        <v>8.215445E-3</v>
      </c>
      <c r="S3607">
        <v>-2.9988709999999998</v>
      </c>
      <c r="T3607">
        <v>2.070785E-2</v>
      </c>
      <c r="U3607">
        <v>0.18612670000000001</v>
      </c>
      <c r="V3607">
        <v>-1.1436490000000001E-2</v>
      </c>
      <c r="W3607">
        <v>3.8770329999999999E-2</v>
      </c>
      <c r="X3607">
        <v>0.99918269999999998</v>
      </c>
      <c r="Y3607">
        <v>4.2292969999999999E-2</v>
      </c>
      <c r="Z3607" s="1">
        <v>-1.0152900000000001E-5</v>
      </c>
      <c r="AA3607">
        <v>0.99910529999999997</v>
      </c>
      <c r="AB3607">
        <v>32</v>
      </c>
      <c r="AC3607">
        <v>-173.88699999999901</v>
      </c>
      <c r="AD3607">
        <v>1.2023600000000001</v>
      </c>
      <c r="AE3607">
        <v>10.8027</v>
      </c>
      <c r="AF3607">
        <v>7.3783889396062596</v>
      </c>
      <c r="AG3607">
        <v>1.2023600000000001</v>
      </c>
      <c r="AH3607">
        <v>174.05762074771701</v>
      </c>
      <c r="AI3607">
        <v>89.604572052413602</v>
      </c>
      <c r="AJ3607">
        <v>87.572656712322299</v>
      </c>
      <c r="AK3607">
        <v>174.218086412605</v>
      </c>
      <c r="AL3607">
        <v>87.778066837620997</v>
      </c>
      <c r="AM3607">
        <v>90.655769957737405</v>
      </c>
      <c r="AN3607">
        <v>0.99999999988555899</v>
      </c>
    </row>
    <row r="3608" spans="1:40" x14ac:dyDescent="0.25">
      <c r="A3608" t="str">
        <f>"20190312150729357"</f>
        <v>20190312150729357</v>
      </c>
      <c r="B3608" t="str">
        <f>"1552374449354127"</f>
        <v>1552374449354127</v>
      </c>
      <c r="C3608" t="s">
        <v>40</v>
      </c>
      <c r="D3608">
        <v>4.1840919999999997</v>
      </c>
      <c r="E3608">
        <v>0.52046939999999997</v>
      </c>
      <c r="F3608" t="s">
        <v>72</v>
      </c>
      <c r="G3608">
        <v>-550.05759999999998</v>
      </c>
      <c r="H3608">
        <v>2.3763169999999998</v>
      </c>
      <c r="I3608">
        <v>294.50959999999998</v>
      </c>
      <c r="J3608">
        <v>-376.05239999999998</v>
      </c>
      <c r="K3608">
        <v>1.110033</v>
      </c>
      <c r="L3608">
        <v>283.7509</v>
      </c>
      <c r="M3608">
        <v>-0.99970859999999995</v>
      </c>
      <c r="N3608">
        <v>0</v>
      </c>
      <c r="O3608">
        <v>1.9803649999999999E-2</v>
      </c>
      <c r="P3608">
        <v>-0.99965610000000005</v>
      </c>
      <c r="Q3608">
        <v>2.4901349999999999E-2</v>
      </c>
      <c r="R3608">
        <v>8.2224800000000008E-3</v>
      </c>
      <c r="S3608">
        <v>-2.9989620000000001</v>
      </c>
      <c r="T3608">
        <v>2.1803860000000001E-2</v>
      </c>
      <c r="U3608">
        <v>0.18530269999999999</v>
      </c>
      <c r="V3608">
        <v>-1.155611E-2</v>
      </c>
      <c r="W3608">
        <v>3.8706949999999997E-2</v>
      </c>
      <c r="X3608">
        <v>0.99918379999999996</v>
      </c>
      <c r="Y3608">
        <v>4.1890829999999997E-2</v>
      </c>
      <c r="Z3608" s="1">
        <v>-8.3084600000000007E-6</v>
      </c>
      <c r="AA3608">
        <v>0.99912219999999996</v>
      </c>
      <c r="AB3608">
        <v>32</v>
      </c>
      <c r="AC3608">
        <v>-174.0052</v>
      </c>
      <c r="AD3608">
        <v>1.26628399999999</v>
      </c>
      <c r="AE3608">
        <v>10.7586999999999</v>
      </c>
      <c r="AF3608">
        <v>7.3099376380105001</v>
      </c>
      <c r="AG3608">
        <v>1.26628399999999</v>
      </c>
      <c r="AH3608">
        <v>174.174961943119</v>
      </c>
      <c r="AI3608">
        <v>89.583822837671306</v>
      </c>
      <c r="AJ3608">
        <v>87.596767508840202</v>
      </c>
      <c r="AK3608">
        <v>174.332888553271</v>
      </c>
      <c r="AL3608">
        <v>87.781701014236006</v>
      </c>
      <c r="AM3608">
        <v>90.662627647655199</v>
      </c>
      <c r="AN3608">
        <v>1.0000000189195299</v>
      </c>
    </row>
    <row r="3609" spans="1:40" x14ac:dyDescent="0.25">
      <c r="A3609" t="str">
        <f>"20190312150729368"</f>
        <v>20190312150729368</v>
      </c>
      <c r="B3609" t="str">
        <f>"1552374449363888"</f>
        <v>1552374449363888</v>
      </c>
      <c r="C3609" t="s">
        <v>40</v>
      </c>
      <c r="D3609">
        <v>4.2325619999999997</v>
      </c>
      <c r="E3609">
        <v>0.52043009999999901</v>
      </c>
      <c r="F3609" t="s">
        <v>72</v>
      </c>
      <c r="G3609">
        <v>-550.05759999999998</v>
      </c>
      <c r="H3609">
        <v>2.3828420000000001</v>
      </c>
      <c r="I3609">
        <v>294.54860000000002</v>
      </c>
      <c r="J3609">
        <v>-376.22550000000001</v>
      </c>
      <c r="K3609">
        <v>1.11002</v>
      </c>
      <c r="L3609">
        <v>283.75450000000001</v>
      </c>
      <c r="M3609">
        <v>-0.99970720000000002</v>
      </c>
      <c r="N3609">
        <v>0</v>
      </c>
      <c r="O3609">
        <v>1.9931770000000001E-2</v>
      </c>
      <c r="P3609">
        <v>-0.99965079999999995</v>
      </c>
      <c r="Q3609">
        <v>2.506529E-2</v>
      </c>
      <c r="R3609">
        <v>8.3677439999999999E-3</v>
      </c>
      <c r="S3609">
        <v>-2.9989319999999999</v>
      </c>
      <c r="T3609">
        <v>2.1937970000000001E-2</v>
      </c>
      <c r="U3609">
        <v>0.18609619999999999</v>
      </c>
      <c r="V3609">
        <v>-1.1538919999999999E-2</v>
      </c>
      <c r="W3609">
        <v>3.8786040000000001E-2</v>
      </c>
      <c r="X3609">
        <v>0.99918090000000004</v>
      </c>
      <c r="Y3609">
        <v>4.2026750000000002E-2</v>
      </c>
      <c r="Z3609" s="1">
        <v>-7.9205350000000006E-6</v>
      </c>
      <c r="AA3609">
        <v>0.99911649999999996</v>
      </c>
      <c r="AB3609">
        <v>32</v>
      </c>
      <c r="AC3609">
        <v>-173.832099999999</v>
      </c>
      <c r="AD3609">
        <v>1.2728219999999899</v>
      </c>
      <c r="AE3609">
        <v>10.7941</v>
      </c>
      <c r="AF3609">
        <v>7.3264563933559703</v>
      </c>
      <c r="AG3609">
        <v>1.2728219999999899</v>
      </c>
      <c r="AH3609">
        <v>174.00343309775201</v>
      </c>
      <c r="AI3609">
        <v>89.581264166425896</v>
      </c>
      <c r="AJ3609">
        <v>87.588971550953104</v>
      </c>
      <c r="AK3609">
        <v>174.16225701606899</v>
      </c>
      <c r="AL3609">
        <v>87.777166015283797</v>
      </c>
      <c r="AM3609">
        <v>90.661643980463793</v>
      </c>
      <c r="AN3609">
        <v>0.99999998724922901</v>
      </c>
    </row>
    <row r="3610" spans="1:40" x14ac:dyDescent="0.25">
      <c r="A3610" t="str">
        <f>"20190312150729382"</f>
        <v>20190312150729382</v>
      </c>
      <c r="B3610" t="str">
        <f>"1552374449373647"</f>
        <v>1552374449373647</v>
      </c>
      <c r="C3610" t="s">
        <v>40</v>
      </c>
      <c r="D3610">
        <v>4.206772</v>
      </c>
      <c r="E3610">
        <v>0.52045569999999997</v>
      </c>
      <c r="F3610" t="s">
        <v>72</v>
      </c>
      <c r="G3610">
        <v>-550.05769999999995</v>
      </c>
      <c r="H3610">
        <v>2.4309889999999998</v>
      </c>
      <c r="I3610">
        <v>294.5256</v>
      </c>
      <c r="J3610">
        <v>-376.41809999999998</v>
      </c>
      <c r="K3610">
        <v>1.110004</v>
      </c>
      <c r="L3610">
        <v>283.75850000000003</v>
      </c>
      <c r="M3610">
        <v>-0.99970570000000003</v>
      </c>
      <c r="N3610">
        <v>0</v>
      </c>
      <c r="O3610">
        <v>2.0075929999999999E-2</v>
      </c>
      <c r="P3610">
        <v>-0.99964940000000002</v>
      </c>
      <c r="Q3610">
        <v>2.5086890000000001E-2</v>
      </c>
      <c r="R3610">
        <v>8.4593540000000005E-3</v>
      </c>
      <c r="S3610">
        <v>-2.998901</v>
      </c>
      <c r="T3610">
        <v>2.279043E-2</v>
      </c>
      <c r="U3610">
        <v>0.1858215</v>
      </c>
      <c r="V3610">
        <v>-1.1591840000000001E-2</v>
      </c>
      <c r="W3610">
        <v>3.8704559999999999E-2</v>
      </c>
      <c r="X3610">
        <v>0.9991835</v>
      </c>
      <c r="Y3610">
        <v>4.179215E-2</v>
      </c>
      <c r="Z3610" s="1">
        <v>-6.2438780000000003E-6</v>
      </c>
      <c r="AA3610">
        <v>0.99912630000000002</v>
      </c>
      <c r="AB3610">
        <v>32</v>
      </c>
      <c r="AC3610">
        <v>-173.63959999999901</v>
      </c>
      <c r="AD3610">
        <v>1.3209850000000001</v>
      </c>
      <c r="AE3610">
        <v>10.7670999999999</v>
      </c>
      <c r="AF3610">
        <v>7.2782101842534104</v>
      </c>
      <c r="AG3610">
        <v>1.3209850000000001</v>
      </c>
      <c r="AH3610">
        <v>173.81075653175299</v>
      </c>
      <c r="AI3610">
        <v>89.564934048976895</v>
      </c>
      <c r="AJ3610">
        <v>87.602178063256403</v>
      </c>
      <c r="AK3610">
        <v>173.968090266568</v>
      </c>
      <c r="AL3610">
        <v>87.781838101054703</v>
      </c>
      <c r="AM3610">
        <v>90.664676422807304</v>
      </c>
      <c r="AN3610">
        <v>1.00000004019581</v>
      </c>
    </row>
    <row r="3611" spans="1:40" x14ac:dyDescent="0.25">
      <c r="A3611" t="str">
        <f>"20190312150729396"</f>
        <v>20190312150729396</v>
      </c>
      <c r="B3611" t="str">
        <f>"1552374449383408"</f>
        <v>1552374449383408</v>
      </c>
      <c r="C3611" t="s">
        <v>40</v>
      </c>
      <c r="D3611">
        <v>4.1934100000000001</v>
      </c>
      <c r="E3611">
        <v>0.52047330000000003</v>
      </c>
      <c r="F3611" t="s">
        <v>72</v>
      </c>
      <c r="G3611">
        <v>-549.98009999999999</v>
      </c>
      <c r="H3611">
        <v>2.4028969999999998</v>
      </c>
      <c r="I3611">
        <v>294.55</v>
      </c>
      <c r="J3611">
        <v>-376.61090000000002</v>
      </c>
      <c r="K3611">
        <v>1.1099909999999999</v>
      </c>
      <c r="L3611">
        <v>283.76249999999999</v>
      </c>
      <c r="M3611">
        <v>-0.99970429999999999</v>
      </c>
      <c r="N3611">
        <v>0</v>
      </c>
      <c r="O3611">
        <v>2.0222730000000001E-2</v>
      </c>
      <c r="P3611">
        <v>-0.99963800000000003</v>
      </c>
      <c r="Q3611">
        <v>2.539019E-2</v>
      </c>
      <c r="R3611">
        <v>8.8968009999999993E-3</v>
      </c>
      <c r="S3611">
        <v>-2.998901</v>
      </c>
      <c r="T3611">
        <v>2.2340769999999999E-2</v>
      </c>
      <c r="U3611">
        <v>0.1864624</v>
      </c>
      <c r="V3611">
        <v>-1.130113E-2</v>
      </c>
      <c r="W3611">
        <v>3.8898490000000001E-2</v>
      </c>
      <c r="X3611">
        <v>0.99917920000000005</v>
      </c>
      <c r="Y3611">
        <v>4.1858180000000002E-2</v>
      </c>
      <c r="Z3611" s="1">
        <v>-5.27458899999999E-6</v>
      </c>
      <c r="AA3611">
        <v>0.9991236</v>
      </c>
      <c r="AB3611">
        <v>32</v>
      </c>
      <c r="AC3611">
        <v>-173.36919999999901</v>
      </c>
      <c r="AD3611">
        <v>1.2929060000000001</v>
      </c>
      <c r="AE3611">
        <v>10.7875</v>
      </c>
      <c r="AF3611">
        <v>7.2785720840282702</v>
      </c>
      <c r="AG3611">
        <v>1.2929060000000001</v>
      </c>
      <c r="AH3611">
        <v>173.54229778143301</v>
      </c>
      <c r="AI3611">
        <v>89.573524017080501</v>
      </c>
      <c r="AJ3611">
        <v>87.598353853697603</v>
      </c>
      <c r="AK3611">
        <v>173.699678574161</v>
      </c>
      <c r="AL3611">
        <v>87.770718135602095</v>
      </c>
      <c r="AM3611">
        <v>90.648011331670503</v>
      </c>
      <c r="AN3611">
        <v>0.99999994088809596</v>
      </c>
    </row>
    <row r="3612" spans="1:40" x14ac:dyDescent="0.25">
      <c r="A3612" t="str">
        <f>"20190312150729412"</f>
        <v>20190312150729412</v>
      </c>
      <c r="B3612" t="str">
        <f>"1552374449403903"</f>
        <v>1552374449403903</v>
      </c>
      <c r="C3612" t="s">
        <v>40</v>
      </c>
      <c r="D3612">
        <v>4.2271269999999896</v>
      </c>
      <c r="E3612">
        <v>0.52051530000000001</v>
      </c>
      <c r="F3612" t="s">
        <v>72</v>
      </c>
      <c r="G3612">
        <v>-548.86379999999997</v>
      </c>
      <c r="H3612">
        <v>2.4195470000000001</v>
      </c>
      <c r="I3612">
        <v>294.55</v>
      </c>
      <c r="J3612">
        <v>-376.85160000000002</v>
      </c>
      <c r="K3612">
        <v>1.1099749999999999</v>
      </c>
      <c r="L3612">
        <v>283.76760000000002</v>
      </c>
      <c r="M3612">
        <v>-0.99970230000000004</v>
      </c>
      <c r="N3612">
        <v>0</v>
      </c>
      <c r="O3612">
        <v>2.040726E-2</v>
      </c>
      <c r="P3612">
        <v>-0.99964430000000004</v>
      </c>
      <c r="Q3612">
        <v>2.5186480000000001E-2</v>
      </c>
      <c r="R3612">
        <v>8.7743219999999993E-3</v>
      </c>
      <c r="S3612">
        <v>-2.99884</v>
      </c>
      <c r="T3612">
        <v>2.2800210000000001E-2</v>
      </c>
      <c r="U3612">
        <v>0.18780520000000001</v>
      </c>
      <c r="V3612">
        <v>-1.1609059999999999E-2</v>
      </c>
      <c r="W3612">
        <v>3.8553520000000001E-2</v>
      </c>
      <c r="X3612">
        <v>0.99918910000000005</v>
      </c>
      <c r="Y3612">
        <v>4.2120659999999997E-2</v>
      </c>
      <c r="Z3612" s="1">
        <v>-4.979272E-6</v>
      </c>
      <c r="AA3612">
        <v>0.99911249999999996</v>
      </c>
      <c r="AB3612">
        <v>32</v>
      </c>
      <c r="AC3612">
        <v>-172.01219999999901</v>
      </c>
      <c r="AD3612">
        <v>1.309572</v>
      </c>
      <c r="AE3612">
        <v>10.7823999999999</v>
      </c>
      <c r="AF3612">
        <v>7.2691228365993199</v>
      </c>
      <c r="AG3612">
        <v>1.309572</v>
      </c>
      <c r="AH3612">
        <v>172.18648986247001</v>
      </c>
      <c r="AI3612">
        <v>89.564630583245304</v>
      </c>
      <c r="AJ3612">
        <v>87.582604212171404</v>
      </c>
      <c r="AK3612">
        <v>172.34483577060101</v>
      </c>
      <c r="AL3612">
        <v>87.790498432277801</v>
      </c>
      <c r="AM3612">
        <v>90.665659998888998</v>
      </c>
      <c r="AN3612">
        <v>1.00000000086864</v>
      </c>
    </row>
    <row r="3613" spans="1:40" x14ac:dyDescent="0.25">
      <c r="A3613" t="str">
        <f>"20190312150729434"</f>
        <v>20190312150729434</v>
      </c>
      <c r="B3613" t="str">
        <f>"1552374449423423"</f>
        <v>1552374449423423</v>
      </c>
      <c r="C3613" t="s">
        <v>40</v>
      </c>
      <c r="D3613">
        <v>4.1482910000000004</v>
      </c>
      <c r="E3613">
        <v>0.52460839999999997</v>
      </c>
      <c r="F3613" t="s">
        <v>72</v>
      </c>
      <c r="G3613">
        <v>-549.02539999999999</v>
      </c>
      <c r="H3613">
        <v>2.3363420000000001</v>
      </c>
      <c r="I3613">
        <v>294.55</v>
      </c>
      <c r="J3613">
        <v>-377.16500000000002</v>
      </c>
      <c r="K3613">
        <v>1.109958</v>
      </c>
      <c r="L3613">
        <v>283.77420000000001</v>
      </c>
      <c r="M3613">
        <v>-0.99970000000000003</v>
      </c>
      <c r="N3613">
        <v>0</v>
      </c>
      <c r="O3613">
        <v>2.0647160000000001E-2</v>
      </c>
      <c r="P3613">
        <v>-0.99963100000000005</v>
      </c>
      <c r="Q3613">
        <v>2.5670740000000001E-2</v>
      </c>
      <c r="R3613">
        <v>8.8988069999999999E-3</v>
      </c>
      <c r="S3613">
        <v>-2.9988709999999998</v>
      </c>
      <c r="T3613">
        <v>2.1361950000000001E-2</v>
      </c>
      <c r="U3613">
        <v>0.18780520000000001</v>
      </c>
      <c r="V3613">
        <v>-1.172423E-2</v>
      </c>
      <c r="W3613">
        <v>3.8851320000000002E-2</v>
      </c>
      <c r="X3613">
        <v>0.99917619999999896</v>
      </c>
      <c r="Y3613">
        <v>4.188041E-2</v>
      </c>
      <c r="Z3613" s="1">
        <v>-2.1042210000000001E-6</v>
      </c>
      <c r="AA3613">
        <v>0.99912259999999997</v>
      </c>
      <c r="AB3613">
        <v>32</v>
      </c>
      <c r="AC3613">
        <v>-171.860399999999</v>
      </c>
      <c r="AD3613">
        <v>1.2263839999999899</v>
      </c>
      <c r="AE3613">
        <v>10.7758</v>
      </c>
      <c r="AF3613">
        <v>7.2243988009392597</v>
      </c>
      <c r="AG3613">
        <v>1.2263839999999899</v>
      </c>
      <c r="AH3613">
        <v>172.037540116043</v>
      </c>
      <c r="AI3613">
        <v>89.591928790591098</v>
      </c>
      <c r="AJ3613">
        <v>87.595382335819195</v>
      </c>
      <c r="AK3613">
        <v>172.19352823184099</v>
      </c>
      <c r="AL3613">
        <v>87.773422910751407</v>
      </c>
      <c r="AM3613">
        <v>90.672271887403696</v>
      </c>
      <c r="AN3613">
        <v>0.999999980640637</v>
      </c>
    </row>
    <row r="3614" spans="1:40" x14ac:dyDescent="0.25">
      <c r="A3614" t="str">
        <f>"20190312150729448"</f>
        <v>20190312150729448</v>
      </c>
      <c r="B3614" t="str">
        <f>"1552374449443920"</f>
        <v>1552374449443920</v>
      </c>
      <c r="C3614" t="s">
        <v>40</v>
      </c>
      <c r="D3614">
        <v>4.1276799999999998</v>
      </c>
      <c r="E3614">
        <v>0.52553909999999904</v>
      </c>
      <c r="F3614" t="s">
        <v>41</v>
      </c>
      <c r="G3614">
        <v>-378.02809999999999</v>
      </c>
      <c r="H3614">
        <v>1.0269839999999999</v>
      </c>
      <c r="I3614">
        <v>283.834</v>
      </c>
      <c r="J3614">
        <v>-377.3503</v>
      </c>
      <c r="K3614">
        <v>1.109947</v>
      </c>
      <c r="L3614">
        <v>283.77809999999999</v>
      </c>
      <c r="M3614">
        <v>-0.99969859999999999</v>
      </c>
      <c r="N3614">
        <v>0</v>
      </c>
      <c r="O3614">
        <v>2.0787300000000002E-2</v>
      </c>
      <c r="P3614">
        <v>-0.9996254</v>
      </c>
      <c r="Q3614">
        <v>2.56925E-2</v>
      </c>
      <c r="R3614">
        <v>9.4389980000000005E-3</v>
      </c>
      <c r="S3614">
        <v>-3.0066830000000002</v>
      </c>
      <c r="T3614">
        <v>-0.28913280000000002</v>
      </c>
      <c r="U3614">
        <v>0.20785519999999999</v>
      </c>
      <c r="V3614">
        <v>-1.1324529999999999E-2</v>
      </c>
      <c r="W3614">
        <v>3.8764130000000001E-2</v>
      </c>
      <c r="X3614">
        <v>0.99918419999999997</v>
      </c>
      <c r="Y3614">
        <v>4.8086690000000001E-2</v>
      </c>
      <c r="Z3614">
        <v>3.1231649999999999E-4</v>
      </c>
      <c r="AA3614">
        <v>0.99884309999999998</v>
      </c>
      <c r="AB3614">
        <v>32</v>
      </c>
      <c r="AC3614">
        <v>-0.67779999999998997</v>
      </c>
      <c r="AD3614">
        <v>-8.2962999999999898E-2</v>
      </c>
      <c r="AE3614">
        <v>5.59000000000082E-2</v>
      </c>
      <c r="AF3614">
        <v>4.1184237104172697E-2</v>
      </c>
      <c r="AG3614">
        <v>-8.2962999999999898E-2</v>
      </c>
      <c r="AH3614">
        <v>0.66886251882818204</v>
      </c>
      <c r="AI3614">
        <v>97.057393335068198</v>
      </c>
      <c r="AJ3614">
        <v>86.476544016800403</v>
      </c>
      <c r="AK3614">
        <v>0.67524519239164804</v>
      </c>
      <c r="AL3614">
        <v>87.778422303702399</v>
      </c>
      <c r="AM3614">
        <v>90.649349733154693</v>
      </c>
      <c r="AN3614">
        <v>0.99999998414200797</v>
      </c>
    </row>
    <row r="3615" spans="1:40" x14ac:dyDescent="0.25">
      <c r="A3615" t="str">
        <f>"20190312150729461"</f>
        <v>20190312150729461</v>
      </c>
      <c r="B3615" t="str">
        <f>"1552374449454187"</f>
        <v>1552374449454187</v>
      </c>
      <c r="C3615" t="s">
        <v>40</v>
      </c>
      <c r="D3615">
        <v>4.1574010000000001</v>
      </c>
      <c r="E3615">
        <v>0.52572830000000004</v>
      </c>
      <c r="F3615" t="s">
        <v>41</v>
      </c>
      <c r="G3615">
        <v>-378.28359999999998</v>
      </c>
      <c r="H3615">
        <v>0.96607480000000001</v>
      </c>
      <c r="I3615">
        <v>283.84339999999997</v>
      </c>
      <c r="J3615">
        <v>-377.56290000000001</v>
      </c>
      <c r="K3615">
        <v>1.109934</v>
      </c>
      <c r="L3615">
        <v>283.78269999999998</v>
      </c>
      <c r="M3615">
        <v>-0.99969680000000005</v>
      </c>
      <c r="N3615">
        <v>0</v>
      </c>
      <c r="O3615">
        <v>2.0945729999999999E-2</v>
      </c>
      <c r="P3615">
        <v>-0.99962169999999895</v>
      </c>
      <c r="Q3615">
        <v>2.5861249999999999E-2</v>
      </c>
      <c r="R3615">
        <v>9.3639480000000004E-3</v>
      </c>
      <c r="S3615">
        <v>-3.0110779999999999</v>
      </c>
      <c r="T3615">
        <v>-0.46429110000000001</v>
      </c>
      <c r="U3615">
        <v>0.20977779999999999</v>
      </c>
      <c r="V3615">
        <v>-1.155749E-2</v>
      </c>
      <c r="W3615">
        <v>3.8811770000000002E-2</v>
      </c>
      <c r="X3615">
        <v>0.9991797</v>
      </c>
      <c r="Y3615">
        <v>4.8266919999999998E-2</v>
      </c>
      <c r="Z3615">
        <v>4.8855060000000002E-4</v>
      </c>
      <c r="AA3615">
        <v>0.99883440000000001</v>
      </c>
      <c r="AB3615">
        <v>32</v>
      </c>
      <c r="AC3615">
        <v>-0.72069999999996504</v>
      </c>
      <c r="AD3615">
        <v>-0.14385919999999899</v>
      </c>
      <c r="AE3615">
        <v>6.0699999999996999E-2</v>
      </c>
      <c r="AF3615">
        <v>4.38547733250804E-2</v>
      </c>
      <c r="AG3615">
        <v>-0.14385919999999899</v>
      </c>
      <c r="AH3615">
        <v>0.69434264271179302</v>
      </c>
      <c r="AI3615">
        <v>101.682723255805</v>
      </c>
      <c r="AJ3615">
        <v>86.385991542130299</v>
      </c>
      <c r="AK3615">
        <v>0.71044381625574804</v>
      </c>
      <c r="AL3615">
        <v>87.775690714545405</v>
      </c>
      <c r="AM3615">
        <v>90.6627094889202</v>
      </c>
      <c r="AN3615">
        <v>1.0000000009788601</v>
      </c>
    </row>
    <row r="3616" spans="1:40" x14ac:dyDescent="0.25">
      <c r="A3616" t="str">
        <f>"20190312150729479"</f>
        <v>20190312150729479</v>
      </c>
      <c r="B3616" t="str">
        <f>"1552374449473706"</f>
        <v>1552374449473706</v>
      </c>
      <c r="C3616" t="s">
        <v>40</v>
      </c>
      <c r="D3616">
        <v>4.1388699999999998</v>
      </c>
      <c r="E3616">
        <v>0.52576599999999996</v>
      </c>
      <c r="F3616" t="s">
        <v>41</v>
      </c>
      <c r="G3616">
        <v>-378.2937</v>
      </c>
      <c r="H3616">
        <v>0.98583969999999999</v>
      </c>
      <c r="I3616">
        <v>283.83370000000002</v>
      </c>
      <c r="J3616">
        <v>-377.81009999999998</v>
      </c>
      <c r="K3616">
        <v>1.109918</v>
      </c>
      <c r="L3616">
        <v>283.78809999999999</v>
      </c>
      <c r="M3616">
        <v>-0.99969459999999999</v>
      </c>
      <c r="N3616">
        <v>0</v>
      </c>
      <c r="O3616">
        <v>2.1127389999999999E-2</v>
      </c>
      <c r="P3616">
        <v>-0.99962600000000001</v>
      </c>
      <c r="Q3616">
        <v>2.5636349999999999E-2</v>
      </c>
      <c r="R3616">
        <v>9.5303139999999998E-3</v>
      </c>
      <c r="S3616">
        <v>-3.0123899999999999</v>
      </c>
      <c r="T3616">
        <v>-0.51164560000000003</v>
      </c>
      <c r="U3616">
        <v>0.20889279999999999</v>
      </c>
      <c r="V3616">
        <v>-1.1573379999999999E-2</v>
      </c>
      <c r="W3616">
        <v>3.8449169999999998E-2</v>
      </c>
      <c r="X3616">
        <v>0.99919349999999996</v>
      </c>
      <c r="Y3616">
        <v>4.7705770000000002E-2</v>
      </c>
      <c r="Z3616">
        <v>4.5963960000000001E-4</v>
      </c>
      <c r="AA3616">
        <v>0.99886129999999995</v>
      </c>
      <c r="AB3616">
        <v>32</v>
      </c>
      <c r="AC3616">
        <v>-0.48360000000002401</v>
      </c>
      <c r="AD3616">
        <v>-0.1240783</v>
      </c>
      <c r="AE3616">
        <v>4.5600000000035799E-2</v>
      </c>
      <c r="AF3616">
        <v>3.3205166105423199E-2</v>
      </c>
      <c r="AG3616">
        <v>-0.1240783</v>
      </c>
      <c r="AH3616">
        <v>0.45478143052589198</v>
      </c>
      <c r="AI3616">
        <v>105.221997016473</v>
      </c>
      <c r="AJ3616">
        <v>85.824046954895607</v>
      </c>
      <c r="AK3616">
        <v>0.47257185394197498</v>
      </c>
      <c r="AL3616">
        <v>87.796481606552405</v>
      </c>
      <c r="AM3616">
        <v>90.6636113796975</v>
      </c>
      <c r="AN3616">
        <v>0.99999996612028097</v>
      </c>
    </row>
    <row r="3617" spans="1:40" x14ac:dyDescent="0.25">
      <c r="A3617" t="str">
        <f>"20190312150729502"</f>
        <v>20190312150729502</v>
      </c>
      <c r="B3617" t="str">
        <f>"1552374449493226"</f>
        <v>1552374449493226</v>
      </c>
      <c r="C3617" t="s">
        <v>40</v>
      </c>
      <c r="D3617">
        <v>4.1105260000000001</v>
      </c>
      <c r="E3617">
        <v>0.52573419999999904</v>
      </c>
      <c r="F3617" t="s">
        <v>41</v>
      </c>
      <c r="G3617">
        <v>-378.57010000000002</v>
      </c>
      <c r="H3617">
        <v>0.96683339999999995</v>
      </c>
      <c r="I3617">
        <v>283.84019999999998</v>
      </c>
      <c r="J3617">
        <v>-378.13010000000003</v>
      </c>
      <c r="K3617">
        <v>1.1098939999999999</v>
      </c>
      <c r="L3617">
        <v>283.79500000000002</v>
      </c>
      <c r="M3617">
        <v>-0.99969200000000003</v>
      </c>
      <c r="N3617">
        <v>0</v>
      </c>
      <c r="O3617">
        <v>2.1360580000000001E-2</v>
      </c>
      <c r="P3617">
        <v>-0.99962930000000005</v>
      </c>
      <c r="Q3617">
        <v>2.5553880000000001E-2</v>
      </c>
      <c r="R3617">
        <v>9.3986130000000001E-3</v>
      </c>
      <c r="S3617">
        <v>-3.0137330000000002</v>
      </c>
      <c r="T3617">
        <v>-0.56739779999999995</v>
      </c>
      <c r="U3617">
        <v>0.2073364</v>
      </c>
      <c r="V3617">
        <v>-1.1937980000000001E-2</v>
      </c>
      <c r="W3617">
        <v>3.8188060000000003E-2</v>
      </c>
      <c r="X3617">
        <v>0.99919930000000001</v>
      </c>
      <c r="Y3617">
        <v>4.6861630000000001E-2</v>
      </c>
      <c r="Z3617">
        <v>3.8656310000000001E-4</v>
      </c>
      <c r="AA3617">
        <v>0.99890129999999999</v>
      </c>
      <c r="AB3617">
        <v>32</v>
      </c>
      <c r="AC3617">
        <v>-0.439999999999997</v>
      </c>
      <c r="AD3617">
        <v>-0.14306060000000001</v>
      </c>
      <c r="AE3617">
        <v>4.5199999999965698E-2</v>
      </c>
      <c r="AF3617">
        <v>3.24008116671652E-2</v>
      </c>
      <c r="AG3617">
        <v>-0.14306060000000001</v>
      </c>
      <c r="AH3617">
        <v>0.39911365011132499</v>
      </c>
      <c r="AI3617">
        <v>109.660305226318</v>
      </c>
      <c r="AJ3617">
        <v>85.358796816800293</v>
      </c>
      <c r="AK3617">
        <v>0.42521506743557003</v>
      </c>
      <c r="AL3617">
        <v>87.811453270175093</v>
      </c>
      <c r="AM3617">
        <v>90.684511415584396</v>
      </c>
      <c r="AN3617">
        <v>1.0000000422067601</v>
      </c>
    </row>
    <row r="3618" spans="1:40" x14ac:dyDescent="0.25">
      <c r="A3618" t="str">
        <f>"20190312150729514"</f>
        <v>20190312150729514</v>
      </c>
      <c r="B3618" t="str">
        <f>"1552374449503963"</f>
        <v>1552374449503963</v>
      </c>
      <c r="C3618" t="s">
        <v>40</v>
      </c>
      <c r="D3618">
        <v>4.1215539999999997</v>
      </c>
      <c r="E3618">
        <v>0.52577379999999996</v>
      </c>
      <c r="F3618" t="s">
        <v>41</v>
      </c>
      <c r="G3618">
        <v>-378.85570000000001</v>
      </c>
      <c r="H3618">
        <v>0.96631990000000001</v>
      </c>
      <c r="I3618">
        <v>283.84469999999999</v>
      </c>
      <c r="J3618">
        <v>-378.30959999999999</v>
      </c>
      <c r="K3618">
        <v>1.109882</v>
      </c>
      <c r="L3618">
        <v>283.79899999999998</v>
      </c>
      <c r="M3618">
        <v>-0.99969050000000004</v>
      </c>
      <c r="N3618">
        <v>0</v>
      </c>
      <c r="O3618">
        <v>2.1491739999999999E-2</v>
      </c>
      <c r="P3618">
        <v>-0.99963000000000002</v>
      </c>
      <c r="Q3618">
        <v>2.5528769999999999E-2</v>
      </c>
      <c r="R3618">
        <v>9.3886460000000005E-3</v>
      </c>
      <c r="S3618">
        <v>-3.0144039999999999</v>
      </c>
      <c r="T3618">
        <v>-0.59641189999999999</v>
      </c>
      <c r="U3618">
        <v>0.2055054</v>
      </c>
      <c r="V3618">
        <v>-1.2079070000000001E-2</v>
      </c>
      <c r="W3618">
        <v>3.8063220000000002E-2</v>
      </c>
      <c r="X3618">
        <v>0.99920229999999999</v>
      </c>
      <c r="Y3618">
        <v>4.6082850000000002E-2</v>
      </c>
      <c r="Z3618">
        <v>3.0400460000000001E-4</v>
      </c>
      <c r="AA3618">
        <v>0.99893750000000003</v>
      </c>
      <c r="AB3618">
        <v>32</v>
      </c>
      <c r="AC3618">
        <v>-0.54610000000002401</v>
      </c>
      <c r="AD3618">
        <v>-0.1435621</v>
      </c>
      <c r="AE3618">
        <v>4.5699999999953798E-2</v>
      </c>
      <c r="AF3618">
        <v>3.1771455051729403E-2</v>
      </c>
      <c r="AG3618">
        <v>-0.1435621</v>
      </c>
      <c r="AH3618">
        <v>0.51182997516223805</v>
      </c>
      <c r="AI3618">
        <v>105.639538798901</v>
      </c>
      <c r="AJ3618">
        <v>86.447965785218599</v>
      </c>
      <c r="AK3618">
        <v>0.532531149687126</v>
      </c>
      <c r="AL3618">
        <v>87.818611131403003</v>
      </c>
      <c r="AM3618">
        <v>90.692598507412796</v>
      </c>
      <c r="AN3618">
        <v>0.99999997448706102</v>
      </c>
    </row>
    <row r="3619" spans="1:40" x14ac:dyDescent="0.25">
      <c r="A3619" t="str">
        <f>"20190312150729527"</f>
        <v>20190312150729527</v>
      </c>
      <c r="B3619" t="str">
        <f>"1552374449523483"</f>
        <v>1552374449523483</v>
      </c>
      <c r="C3619" t="s">
        <v>40</v>
      </c>
      <c r="D3619">
        <v>4.1051979999999997</v>
      </c>
      <c r="E3619">
        <v>0.52592249999999996</v>
      </c>
      <c r="F3619" t="s">
        <v>41</v>
      </c>
      <c r="G3619">
        <v>-379.13119999999998</v>
      </c>
      <c r="H3619">
        <v>0.94488190000000005</v>
      </c>
      <c r="I3619">
        <v>283.85520000000002</v>
      </c>
      <c r="J3619">
        <v>-378.49189999999999</v>
      </c>
      <c r="K3619">
        <v>1.109874</v>
      </c>
      <c r="L3619">
        <v>283.80309999999997</v>
      </c>
      <c r="M3619">
        <v>-0.99968889999999999</v>
      </c>
      <c r="N3619">
        <v>0</v>
      </c>
      <c r="O3619">
        <v>2.162528E-2</v>
      </c>
      <c r="P3619">
        <v>-0.9996294</v>
      </c>
      <c r="Q3619">
        <v>2.5548640000000001E-2</v>
      </c>
      <c r="R3619">
        <v>9.3912300000000004E-3</v>
      </c>
      <c r="S3619">
        <v>-3.0146790000000001</v>
      </c>
      <c r="T3619">
        <v>-0.60552510000000004</v>
      </c>
      <c r="U3619">
        <v>0.20532230000000001</v>
      </c>
      <c r="V3619">
        <v>-1.221013E-2</v>
      </c>
      <c r="W3619">
        <v>3.7982679999999998E-2</v>
      </c>
      <c r="X3619">
        <v>0.99920379999999998</v>
      </c>
      <c r="Y3619">
        <v>4.5875279999999997E-2</v>
      </c>
      <c r="Z3619">
        <v>2.6140359999999999E-4</v>
      </c>
      <c r="AA3619">
        <v>0.99894709999999998</v>
      </c>
      <c r="AB3619">
        <v>32</v>
      </c>
      <c r="AC3619">
        <v>-0.63929999999999099</v>
      </c>
      <c r="AD3619">
        <v>-0.1649921</v>
      </c>
      <c r="AE3619">
        <v>5.2100000000052597E-2</v>
      </c>
      <c r="AF3619">
        <v>3.5887156227208797E-2</v>
      </c>
      <c r="AG3619">
        <v>-0.1649921</v>
      </c>
      <c r="AH3619">
        <v>0.60054117397429896</v>
      </c>
      <c r="AI3619">
        <v>105.33628188479901</v>
      </c>
      <c r="AJ3619">
        <v>86.580184086132704</v>
      </c>
      <c r="AK3619">
        <v>0.62382688518764096</v>
      </c>
      <c r="AL3619">
        <v>87.823229134206798</v>
      </c>
      <c r="AM3619">
        <v>90.7001115261926</v>
      </c>
      <c r="AN3619">
        <v>1.0000000025945099</v>
      </c>
    </row>
    <row r="3620" spans="1:40" x14ac:dyDescent="0.25">
      <c r="A3620" t="str">
        <f>"20190312150729541"</f>
        <v>20190312150729541</v>
      </c>
      <c r="B3620" t="str">
        <f>"1552374449533243"</f>
        <v>1552374449533243</v>
      </c>
      <c r="C3620" t="s">
        <v>40</v>
      </c>
      <c r="D3620">
        <v>4.1244059999999996</v>
      </c>
      <c r="E3620">
        <v>0.52598559999999905</v>
      </c>
      <c r="F3620" t="s">
        <v>41</v>
      </c>
      <c r="G3620">
        <v>-379.40629999999999</v>
      </c>
      <c r="H3620">
        <v>0.9219193</v>
      </c>
      <c r="I3620">
        <v>283.86590000000001</v>
      </c>
      <c r="J3620">
        <v>-378.69220000000001</v>
      </c>
      <c r="K3620">
        <v>1.109861</v>
      </c>
      <c r="L3620">
        <v>283.80759999999998</v>
      </c>
      <c r="M3620">
        <v>-0.99968710000000005</v>
      </c>
      <c r="N3620">
        <v>0</v>
      </c>
      <c r="O3620">
        <v>2.1772679999999999E-2</v>
      </c>
      <c r="P3620">
        <v>-0.99962569999999995</v>
      </c>
      <c r="Q3620">
        <v>2.5652680000000001E-2</v>
      </c>
      <c r="R3620">
        <v>9.5183049999999995E-3</v>
      </c>
      <c r="S3620">
        <v>-3.0150450000000002</v>
      </c>
      <c r="T3620">
        <v>-0.61976719999999996</v>
      </c>
      <c r="U3620">
        <v>0.2060852</v>
      </c>
      <c r="V3620">
        <v>-1.223015E-2</v>
      </c>
      <c r="W3620">
        <v>3.7977919999999998E-2</v>
      </c>
      <c r="X3620">
        <v>0.99920370000000003</v>
      </c>
      <c r="Y3620">
        <v>4.5950329999999998E-2</v>
      </c>
      <c r="Z3620">
        <v>2.4508819999999998E-4</v>
      </c>
      <c r="AA3620">
        <v>0.99894369999999999</v>
      </c>
      <c r="AB3620">
        <v>32</v>
      </c>
      <c r="AC3620">
        <v>-0.71409999999997298</v>
      </c>
      <c r="AD3620">
        <v>-0.18794169999999899</v>
      </c>
      <c r="AE3620">
        <v>5.8300000000031098E-2</v>
      </c>
      <c r="AF3620">
        <v>3.9985760969879401E-2</v>
      </c>
      <c r="AG3620">
        <v>-0.18794169999999899</v>
      </c>
      <c r="AH3620">
        <v>0.66915638015869305</v>
      </c>
      <c r="AI3620">
        <v>105.66155972565301</v>
      </c>
      <c r="AJ3620">
        <v>86.5803295266454</v>
      </c>
      <c r="AK3620">
        <v>0.69619767651602804</v>
      </c>
      <c r="AL3620">
        <v>87.823501980514095</v>
      </c>
      <c r="AM3620">
        <v>90.701259400214397</v>
      </c>
      <c r="AN3620">
        <v>0.99999996653511802</v>
      </c>
    </row>
    <row r="3621" spans="1:40" x14ac:dyDescent="0.25">
      <c r="A3621" t="str">
        <f>"20190312150729552"</f>
        <v>20190312150729552</v>
      </c>
      <c r="B3621" t="str">
        <f>"1552374449543979"</f>
        <v>1552374449543979</v>
      </c>
      <c r="C3621" t="s">
        <v>40</v>
      </c>
      <c r="D3621">
        <v>4.1409789999999997</v>
      </c>
      <c r="E3621">
        <v>0.52599200000000002</v>
      </c>
      <c r="F3621" t="s">
        <v>41</v>
      </c>
      <c r="G3621">
        <v>-379.42399999999998</v>
      </c>
      <c r="H3621">
        <v>0.95829900000000001</v>
      </c>
      <c r="I3621">
        <v>283.85809999999998</v>
      </c>
      <c r="J3621">
        <v>-378.8612</v>
      </c>
      <c r="K3621">
        <v>1.1098490000000001</v>
      </c>
      <c r="L3621">
        <v>283.81139999999999</v>
      </c>
      <c r="M3621">
        <v>-0.9996853</v>
      </c>
      <c r="N3621">
        <v>0</v>
      </c>
      <c r="O3621">
        <v>2.1897920000000001E-2</v>
      </c>
      <c r="P3621">
        <v>-0.9996235</v>
      </c>
      <c r="Q3621">
        <v>2.571789E-2</v>
      </c>
      <c r="R3621">
        <v>9.5704020000000004E-3</v>
      </c>
      <c r="S3621">
        <v>-3.015228</v>
      </c>
      <c r="T3621">
        <v>-0.62456129999999999</v>
      </c>
      <c r="U3621">
        <v>0.2067261</v>
      </c>
      <c r="V3621">
        <v>-1.2303059999999999E-2</v>
      </c>
      <c r="W3621">
        <v>3.7952670000000001E-2</v>
      </c>
      <c r="X3621">
        <v>0.99920379999999998</v>
      </c>
      <c r="Y3621">
        <v>4.602581E-2</v>
      </c>
      <c r="Z3621">
        <v>2.2903600000000001E-4</v>
      </c>
      <c r="AA3621">
        <v>0.99894019999999994</v>
      </c>
      <c r="AB3621">
        <v>32</v>
      </c>
      <c r="AC3621">
        <v>-0.56280000000003805</v>
      </c>
      <c r="AD3621">
        <v>-0.15154999999999999</v>
      </c>
      <c r="AE3621">
        <v>4.6699999999987002E-2</v>
      </c>
      <c r="AF3621">
        <v>3.2055264095234501E-2</v>
      </c>
      <c r="AG3621">
        <v>-0.15154999999999999</v>
      </c>
      <c r="AH3621">
        <v>0.52582069623610095</v>
      </c>
      <c r="AI3621">
        <v>106.04957678277501</v>
      </c>
      <c r="AJ3621">
        <v>86.511432141741295</v>
      </c>
      <c r="AK3621">
        <v>0.54816270125431998</v>
      </c>
      <c r="AL3621">
        <v>87.824949820335902</v>
      </c>
      <c r="AM3621">
        <v>90.705439464060504</v>
      </c>
      <c r="AN3621">
        <v>1.00000000218996</v>
      </c>
    </row>
    <row r="3622" spans="1:40" x14ac:dyDescent="0.25">
      <c r="A3622" t="str">
        <f>"20190312150729565"</f>
        <v>20190312150729565</v>
      </c>
      <c r="B3622" t="str">
        <f>"1552374449553739"</f>
        <v>1552374449553739</v>
      </c>
      <c r="C3622" t="s">
        <v>40</v>
      </c>
      <c r="D3622">
        <v>4.1150880000000001</v>
      </c>
      <c r="E3622">
        <v>0.52600570000000002</v>
      </c>
      <c r="F3622" t="s">
        <v>41</v>
      </c>
      <c r="G3622">
        <v>-379.69909999999999</v>
      </c>
      <c r="H3622">
        <v>0.93515619999999999</v>
      </c>
      <c r="I3622">
        <v>283.8689</v>
      </c>
      <c r="J3622">
        <v>-379.03190000000001</v>
      </c>
      <c r="K3622">
        <v>1.1098410000000001</v>
      </c>
      <c r="L3622">
        <v>283.8152</v>
      </c>
      <c r="M3622">
        <v>-0.99968369999999995</v>
      </c>
      <c r="N3622">
        <v>0</v>
      </c>
      <c r="O3622">
        <v>2.2024510000000001E-2</v>
      </c>
      <c r="P3622">
        <v>-0.99963069999999998</v>
      </c>
      <c r="Q3622">
        <v>2.5514769999999999E-2</v>
      </c>
      <c r="R3622">
        <v>9.3657380000000002E-3</v>
      </c>
      <c r="S3622">
        <v>-3.0153810000000001</v>
      </c>
      <c r="T3622">
        <v>-0.62867919999999999</v>
      </c>
      <c r="U3622">
        <v>0.20697019999999999</v>
      </c>
      <c r="V3622">
        <v>-1.263481E-2</v>
      </c>
      <c r="W3622">
        <v>3.7659629999999999E-2</v>
      </c>
      <c r="X3622">
        <v>0.99921079999999995</v>
      </c>
      <c r="Y3622">
        <v>4.597358E-2</v>
      </c>
      <c r="Z3622">
        <v>1.9905810000000001E-4</v>
      </c>
      <c r="AA3622">
        <v>0.99894260000000001</v>
      </c>
      <c r="AB3622">
        <v>32</v>
      </c>
      <c r="AC3622">
        <v>-0.66719999999997903</v>
      </c>
      <c r="AD3622">
        <v>-0.1746848</v>
      </c>
      <c r="AE3622">
        <v>5.3699999999991997E-2</v>
      </c>
      <c r="AF3622">
        <v>3.6504885249052703E-2</v>
      </c>
      <c r="AG3622">
        <v>-0.1746848</v>
      </c>
      <c r="AH3622">
        <v>0.62561215922484803</v>
      </c>
      <c r="AI3622">
        <v>105.575708678803</v>
      </c>
      <c r="AJ3622">
        <v>86.660539818477503</v>
      </c>
      <c r="AK3622">
        <v>0.65056741369981297</v>
      </c>
      <c r="AL3622">
        <v>87.841751900392197</v>
      </c>
      <c r="AM3622">
        <v>90.724454448341803</v>
      </c>
      <c r="AN3622">
        <v>1.0000000544960499</v>
      </c>
    </row>
    <row r="3623" spans="1:40" x14ac:dyDescent="0.25">
      <c r="A3623" t="str">
        <f>"20190312150729580"</f>
        <v>20190312150729580</v>
      </c>
      <c r="B3623" t="str">
        <f>"1552374449573258"</f>
        <v>1552374449573258</v>
      </c>
      <c r="C3623" t="s">
        <v>40</v>
      </c>
      <c r="D3623">
        <v>4.1074789999999997</v>
      </c>
      <c r="E3623">
        <v>0.5261091</v>
      </c>
      <c r="F3623" t="s">
        <v>41</v>
      </c>
      <c r="G3623">
        <v>-379.97480000000002</v>
      </c>
      <c r="H3623">
        <v>0.91198659999999998</v>
      </c>
      <c r="I3623">
        <v>283.88010000000003</v>
      </c>
      <c r="J3623">
        <v>-379.2407</v>
      </c>
      <c r="K3623">
        <v>1.1098269999999999</v>
      </c>
      <c r="L3623">
        <v>283.82</v>
      </c>
      <c r="M3623">
        <v>-0.99968179999999995</v>
      </c>
      <c r="N3623">
        <v>0</v>
      </c>
      <c r="O3623">
        <v>2.2180040000000002E-2</v>
      </c>
      <c r="P3623">
        <v>-0.99963959999999996</v>
      </c>
      <c r="Q3623">
        <v>2.5267209999999998E-2</v>
      </c>
      <c r="R3623">
        <v>9.1093159999999992E-3</v>
      </c>
      <c r="S3623">
        <v>-3.01532</v>
      </c>
      <c r="T3623">
        <v>-0.63271889999999997</v>
      </c>
      <c r="U3623">
        <v>0.20611570000000001</v>
      </c>
      <c r="V3623">
        <v>-1.3047130000000001E-2</v>
      </c>
      <c r="W3623">
        <v>3.729843E-2</v>
      </c>
      <c r="X3623">
        <v>0.99921899999999997</v>
      </c>
      <c r="Y3623">
        <v>4.5543939999999998E-2</v>
      </c>
      <c r="Z3623">
        <v>1.235474E-4</v>
      </c>
      <c r="AA3623">
        <v>0.99896229999999997</v>
      </c>
      <c r="AB3623">
        <v>32</v>
      </c>
      <c r="AC3623">
        <v>-0.73410000000001197</v>
      </c>
      <c r="AD3623">
        <v>-0.1978404</v>
      </c>
      <c r="AE3623">
        <v>6.0100000000034001E-2</v>
      </c>
      <c r="AF3623">
        <v>4.0854164268645798E-2</v>
      </c>
      <c r="AG3623">
        <v>-0.1978404</v>
      </c>
      <c r="AH3623">
        <v>0.68577581946386501</v>
      </c>
      <c r="AI3623">
        <v>106.065384161905</v>
      </c>
      <c r="AJ3623">
        <v>86.590711051096903</v>
      </c>
      <c r="AK3623">
        <v>0.71491143589369499</v>
      </c>
      <c r="AL3623">
        <v>87.862461579958506</v>
      </c>
      <c r="AM3623">
        <v>90.748087260295307</v>
      </c>
      <c r="AN3623">
        <v>1.00000000522135</v>
      </c>
    </row>
    <row r="3624" spans="1:40" x14ac:dyDescent="0.25">
      <c r="A3624" t="str">
        <f>"20190312150729593"</f>
        <v>20190312150729593</v>
      </c>
      <c r="B3624" t="str">
        <f>"1552374449583996"</f>
        <v>1552374449583996</v>
      </c>
      <c r="C3624" t="s">
        <v>40</v>
      </c>
      <c r="D3624">
        <v>4.1152579999999999</v>
      </c>
      <c r="E3624">
        <v>0.52614090000000002</v>
      </c>
      <c r="F3624" t="s">
        <v>41</v>
      </c>
      <c r="G3624">
        <v>-379.99329999999998</v>
      </c>
      <c r="H3624">
        <v>0.95061669999999998</v>
      </c>
      <c r="I3624">
        <v>283.87180000000001</v>
      </c>
      <c r="J3624">
        <v>-379.43560000000002</v>
      </c>
      <c r="K3624">
        <v>1.1098140000000001</v>
      </c>
      <c r="L3624">
        <v>283.8245</v>
      </c>
      <c r="M3624">
        <v>-0.99967980000000001</v>
      </c>
      <c r="N3624">
        <v>0</v>
      </c>
      <c r="O3624">
        <v>2.2325190000000002E-2</v>
      </c>
      <c r="P3624">
        <v>-0.99963950000000001</v>
      </c>
      <c r="Q3624">
        <v>2.5308009999999999E-2</v>
      </c>
      <c r="R3624">
        <v>8.98678199999999E-3</v>
      </c>
      <c r="S3624">
        <v>-3.01532</v>
      </c>
      <c r="T3624">
        <v>-0.63783049999999997</v>
      </c>
      <c r="U3624">
        <v>0.20605470000000001</v>
      </c>
      <c r="V3624">
        <v>-1.3314930000000001E-2</v>
      </c>
      <c r="W3624">
        <v>3.7234099999999999E-2</v>
      </c>
      <c r="X3624">
        <v>0.99921789999999999</v>
      </c>
      <c r="Y3624">
        <v>4.5377529999999999E-2</v>
      </c>
      <c r="Z3624" s="1">
        <v>7.6821069999999993E-5</v>
      </c>
      <c r="AA3624">
        <v>0.99896989999999997</v>
      </c>
      <c r="AB3624">
        <v>32</v>
      </c>
      <c r="AC3624">
        <v>-0.55769999999995401</v>
      </c>
      <c r="AD3624">
        <v>-0.15919729999999899</v>
      </c>
      <c r="AE3624">
        <v>4.7300000000007003E-2</v>
      </c>
      <c r="AF3624">
        <v>3.2229174436108801E-2</v>
      </c>
      <c r="AG3624">
        <v>-0.15919729999999899</v>
      </c>
      <c r="AH3624">
        <v>0.51680653956213896</v>
      </c>
      <c r="AI3624">
        <v>107.08968775944599</v>
      </c>
      <c r="AJ3624">
        <v>86.431532355583798</v>
      </c>
      <c r="AK3624">
        <v>0.54173009824664098</v>
      </c>
      <c r="AL3624">
        <v>87.8661500508085</v>
      </c>
      <c r="AM3624">
        <v>90.763441231563704</v>
      </c>
      <c r="AN3624">
        <v>1.00000003862206</v>
      </c>
    </row>
    <row r="3625" spans="1:40" x14ac:dyDescent="0.25">
      <c r="A3625" t="str">
        <f>"20190312150729613"</f>
        <v>20190312150729613</v>
      </c>
      <c r="B3625" t="str">
        <f>"1552374449603514"</f>
        <v>1552374449603514</v>
      </c>
      <c r="C3625" t="s">
        <v>40</v>
      </c>
      <c r="D3625">
        <v>4.087129</v>
      </c>
      <c r="E3625">
        <v>0.52620749999999905</v>
      </c>
      <c r="F3625" t="s">
        <v>41</v>
      </c>
      <c r="G3625">
        <v>-380.27140000000003</v>
      </c>
      <c r="H3625">
        <v>0.93252889999999999</v>
      </c>
      <c r="I3625">
        <v>283.88170000000002</v>
      </c>
      <c r="J3625">
        <v>-379.72239999999999</v>
      </c>
      <c r="K3625">
        <v>1.109796</v>
      </c>
      <c r="L3625">
        <v>283.83109999999999</v>
      </c>
      <c r="M3625">
        <v>-0.99967680000000003</v>
      </c>
      <c r="N3625">
        <v>0</v>
      </c>
      <c r="O3625">
        <v>2.2538269999999999E-2</v>
      </c>
      <c r="P3625">
        <v>-0.99963489999999999</v>
      </c>
      <c r="Q3625">
        <v>2.557599E-2</v>
      </c>
      <c r="R3625">
        <v>8.7326209999999994E-3</v>
      </c>
      <c r="S3625">
        <v>-3.0154420000000002</v>
      </c>
      <c r="T3625">
        <v>-0.63960069999999902</v>
      </c>
      <c r="U3625">
        <v>0.2061462</v>
      </c>
      <c r="V3625">
        <v>-1.378133E-2</v>
      </c>
      <c r="W3625">
        <v>3.734846E-2</v>
      </c>
      <c r="X3625">
        <v>0.99920730000000002</v>
      </c>
      <c r="Y3625">
        <v>4.5198019999999998E-2</v>
      </c>
      <c r="Z3625" s="1">
        <v>1.36015E-5</v>
      </c>
      <c r="AA3625">
        <v>0.99897800000000003</v>
      </c>
      <c r="AB3625">
        <v>32</v>
      </c>
      <c r="AC3625">
        <v>-0.54900000000003402</v>
      </c>
      <c r="AD3625">
        <v>-0.17726709999999901</v>
      </c>
      <c r="AE3625">
        <v>5.0600000000031203E-2</v>
      </c>
      <c r="AF3625">
        <v>3.46324633896593E-2</v>
      </c>
      <c r="AG3625">
        <v>-0.17726709999999901</v>
      </c>
      <c r="AH3625">
        <v>0.49846913725242498</v>
      </c>
      <c r="AI3625">
        <v>109.533046039708</v>
      </c>
      <c r="AJ3625">
        <v>86.025610755273107</v>
      </c>
      <c r="AK3625">
        <v>0.53018347112676301</v>
      </c>
      <c r="AL3625">
        <v>87.859593127474895</v>
      </c>
      <c r="AM3625">
        <v>90.790188364723093</v>
      </c>
      <c r="AN3625">
        <v>1.0000000304471099</v>
      </c>
    </row>
    <row r="3626" spans="1:40" x14ac:dyDescent="0.25">
      <c r="A3626" t="str">
        <f>"20190312150729634"</f>
        <v>20190312150729634</v>
      </c>
      <c r="B3626" t="str">
        <f>"1552374449624011"</f>
        <v>1552374449624011</v>
      </c>
      <c r="C3626" t="s">
        <v>40</v>
      </c>
      <c r="D3626">
        <v>4.116142</v>
      </c>
      <c r="E3626">
        <v>0.52629669999999995</v>
      </c>
      <c r="F3626" t="s">
        <v>41</v>
      </c>
      <c r="G3626">
        <v>-380.55810000000002</v>
      </c>
      <c r="H3626">
        <v>0.93160089999999995</v>
      </c>
      <c r="I3626">
        <v>283.88830000000002</v>
      </c>
      <c r="J3626">
        <v>-380.03100000000001</v>
      </c>
      <c r="K3626">
        <v>1.1097779999999999</v>
      </c>
      <c r="L3626">
        <v>283.8383</v>
      </c>
      <c r="M3626">
        <v>-0.99967349999999999</v>
      </c>
      <c r="N3626">
        <v>0</v>
      </c>
      <c r="O3626">
        <v>2.2766890000000001E-2</v>
      </c>
      <c r="P3626">
        <v>-0.99963559999999996</v>
      </c>
      <c r="Q3626">
        <v>2.5716309999999999E-2</v>
      </c>
      <c r="R3626">
        <v>8.2147780000000007E-3</v>
      </c>
      <c r="S3626">
        <v>-3.0157470000000002</v>
      </c>
      <c r="T3626">
        <v>-0.64301709999999901</v>
      </c>
      <c r="U3626">
        <v>0.2057495</v>
      </c>
      <c r="V3626">
        <v>-1.4527470000000001E-2</v>
      </c>
      <c r="W3626">
        <v>3.7328449999999999E-2</v>
      </c>
      <c r="X3626">
        <v>0.99919740000000001</v>
      </c>
      <c r="Y3626">
        <v>4.4839839999999999E-2</v>
      </c>
      <c r="Z3626" s="1">
        <v>-7.2166319999999995E-5</v>
      </c>
      <c r="AA3626">
        <v>0.99899420000000005</v>
      </c>
      <c r="AB3626">
        <v>32</v>
      </c>
      <c r="AC3626">
        <v>-0.527100000000018</v>
      </c>
      <c r="AD3626">
        <v>-0.1781771</v>
      </c>
      <c r="AE3626">
        <v>5.0000000000011299E-2</v>
      </c>
      <c r="AF3626">
        <v>3.4121625520051803E-2</v>
      </c>
      <c r="AG3626">
        <v>-0.1781771</v>
      </c>
      <c r="AH3626">
        <v>0.47437962779824699</v>
      </c>
      <c r="AI3626">
        <v>110.537575454316</v>
      </c>
      <c r="AJ3626">
        <v>85.885860548762096</v>
      </c>
      <c r="AK3626">
        <v>0.50788521888566895</v>
      </c>
      <c r="AL3626">
        <v>87.860740248904193</v>
      </c>
      <c r="AM3626">
        <v>90.832972619165702</v>
      </c>
      <c r="AN3626">
        <v>0.99999995236537997</v>
      </c>
    </row>
    <row r="3627" spans="1:40" x14ac:dyDescent="0.25">
      <c r="A3627" t="str">
        <f>"20190312150729647"</f>
        <v>20190312150729647</v>
      </c>
      <c r="B3627" t="str">
        <f>"1552374449643531"</f>
        <v>1552374449643531</v>
      </c>
      <c r="C3627" t="s">
        <v>40</v>
      </c>
      <c r="D3627">
        <v>4.1029400000000003</v>
      </c>
      <c r="E3627">
        <v>0.52636400000000005</v>
      </c>
      <c r="F3627" t="s">
        <v>41</v>
      </c>
      <c r="G3627">
        <v>-380.84739999999999</v>
      </c>
      <c r="H3627">
        <v>0.93509209999999998</v>
      </c>
      <c r="I3627">
        <v>283.89389999999997</v>
      </c>
      <c r="J3627">
        <v>-380.20800000000003</v>
      </c>
      <c r="K3627">
        <v>1.109769</v>
      </c>
      <c r="L3627">
        <v>283.8424</v>
      </c>
      <c r="M3627">
        <v>-0.99967150000000005</v>
      </c>
      <c r="N3627">
        <v>0</v>
      </c>
      <c r="O3627">
        <v>2.2897879999999999E-2</v>
      </c>
      <c r="P3627">
        <v>-0.99963329999999995</v>
      </c>
      <c r="Q3627">
        <v>2.586521E-2</v>
      </c>
      <c r="R3627">
        <v>8.043461E-3</v>
      </c>
      <c r="S3627">
        <v>-3.0160520000000002</v>
      </c>
      <c r="T3627">
        <v>-0.64542759999999999</v>
      </c>
      <c r="U3627">
        <v>0.2050476</v>
      </c>
      <c r="V3627">
        <v>-1.482998E-2</v>
      </c>
      <c r="W3627">
        <v>3.7387549999999999E-2</v>
      </c>
      <c r="X3627">
        <v>0.99919080000000005</v>
      </c>
      <c r="Y3627">
        <v>4.4478200000000002E-2</v>
      </c>
      <c r="Z3627">
        <v>-1.383135E-4</v>
      </c>
      <c r="AA3627">
        <v>0.99901030000000002</v>
      </c>
      <c r="AB3627">
        <v>32</v>
      </c>
      <c r="AC3627">
        <v>-0.639399999999966</v>
      </c>
      <c r="AD3627">
        <v>-0.1746769</v>
      </c>
      <c r="AE3627">
        <v>5.1499999999975898E-2</v>
      </c>
      <c r="AF3627">
        <v>3.4301153438021703E-2</v>
      </c>
      <c r="AG3627">
        <v>-0.1746769</v>
      </c>
      <c r="AH3627">
        <v>0.59620259820704802</v>
      </c>
      <c r="AI3627">
        <v>106.304132874785</v>
      </c>
      <c r="AJ3627">
        <v>86.707248132549793</v>
      </c>
      <c r="AK3627">
        <v>0.62221067704566402</v>
      </c>
      <c r="AL3627">
        <v>87.8573518177664</v>
      </c>
      <c r="AM3627">
        <v>90.850320960615804</v>
      </c>
      <c r="AN3627">
        <v>1.0000000060032199</v>
      </c>
    </row>
    <row r="3628" spans="1:40" x14ac:dyDescent="0.25">
      <c r="A3628" t="str">
        <f>"20190312150729658"</f>
        <v>20190312150729658</v>
      </c>
      <c r="B3628" t="str">
        <f>"1552374449653798"</f>
        <v>1552374449653798</v>
      </c>
      <c r="C3628" t="s">
        <v>40</v>
      </c>
      <c r="D3628">
        <v>4.1814499999999999</v>
      </c>
      <c r="E3628">
        <v>0.52636400000000005</v>
      </c>
      <c r="F3628" t="s">
        <v>41</v>
      </c>
      <c r="G3628">
        <v>-381.12490000000003</v>
      </c>
      <c r="H3628">
        <v>0.91325619999999996</v>
      </c>
      <c r="I3628">
        <v>283.90519999999998</v>
      </c>
      <c r="J3628">
        <v>-380.3827</v>
      </c>
      <c r="K3628">
        <v>1.109761</v>
      </c>
      <c r="L3628">
        <v>283.84649999999999</v>
      </c>
      <c r="M3628">
        <v>-0.99966960000000005</v>
      </c>
      <c r="N3628">
        <v>0</v>
      </c>
      <c r="O3628">
        <v>2.302734E-2</v>
      </c>
      <c r="P3628">
        <v>-0.99962130000000005</v>
      </c>
      <c r="Q3628">
        <v>2.6297359999999999E-2</v>
      </c>
      <c r="R3628">
        <v>8.1265239999999996E-3</v>
      </c>
      <c r="S3628">
        <v>-3.0161440000000002</v>
      </c>
      <c r="T3628">
        <v>-0.64657830000000005</v>
      </c>
      <c r="U3628">
        <v>0.20477290000000001</v>
      </c>
      <c r="V3628">
        <v>-1.487553E-2</v>
      </c>
      <c r="W3628">
        <v>3.7734440000000001E-2</v>
      </c>
      <c r="X3628">
        <v>0.99917710000000004</v>
      </c>
      <c r="Y3628">
        <v>4.4262349999999999E-2</v>
      </c>
      <c r="Z3628">
        <v>-1.8879580000000001E-4</v>
      </c>
      <c r="AA3628">
        <v>0.99901989999999996</v>
      </c>
      <c r="AB3628">
        <v>32</v>
      </c>
      <c r="AC3628">
        <v>-0.74220000000002495</v>
      </c>
      <c r="AD3628">
        <v>-0.19650480000000001</v>
      </c>
      <c r="AE3628">
        <v>5.8699999999987498E-2</v>
      </c>
      <c r="AF3628">
        <v>3.8883707106682902E-2</v>
      </c>
      <c r="AG3628">
        <v>-0.19650480000000001</v>
      </c>
      <c r="AH3628">
        <v>0.69494374724934604</v>
      </c>
      <c r="AI3628">
        <v>105.765541910743</v>
      </c>
      <c r="AJ3628">
        <v>86.797508041497906</v>
      </c>
      <c r="AK3628">
        <v>0.72323778312693399</v>
      </c>
      <c r="AL3628">
        <v>87.837462486971503</v>
      </c>
      <c r="AM3628">
        <v>90.852944013009093</v>
      </c>
      <c r="AN3628">
        <v>1.00000002325965</v>
      </c>
    </row>
    <row r="3629" spans="1:40" x14ac:dyDescent="0.25">
      <c r="A3629" t="str">
        <f>"20190312150729670"</f>
        <v>20190312150729670</v>
      </c>
      <c r="B3629" t="str">
        <f>"1552374449663558"</f>
        <v>1552374449663558</v>
      </c>
      <c r="C3629" t="s">
        <v>40</v>
      </c>
      <c r="D3629">
        <v>4.1325699999999896</v>
      </c>
      <c r="E3629">
        <v>0.50316170000000005</v>
      </c>
      <c r="F3629" t="s">
        <v>41</v>
      </c>
      <c r="G3629">
        <v>-381.14109999999999</v>
      </c>
      <c r="H3629">
        <v>0.94751439999999998</v>
      </c>
      <c r="I3629">
        <v>283.89859999999999</v>
      </c>
      <c r="J3629">
        <v>-380.5428</v>
      </c>
      <c r="K3629">
        <v>1.1097539999999999</v>
      </c>
      <c r="L3629">
        <v>283.8503</v>
      </c>
      <c r="M3629">
        <v>-0.99966759999999999</v>
      </c>
      <c r="N3629">
        <v>0</v>
      </c>
      <c r="O3629">
        <v>2.3145900000000001E-2</v>
      </c>
      <c r="P3629">
        <v>-0.99961560000000005</v>
      </c>
      <c r="Q3629">
        <v>2.6544620000000001E-2</v>
      </c>
      <c r="R3629">
        <v>8.0204560000000005E-3</v>
      </c>
      <c r="S3629">
        <v>-3.0164490000000002</v>
      </c>
      <c r="T3629">
        <v>-0.64537730000000004</v>
      </c>
      <c r="U3629">
        <v>0.20462040000000001</v>
      </c>
      <c r="V3629">
        <v>-1.509984E-2</v>
      </c>
      <c r="W3629">
        <v>3.7905969999999997E-2</v>
      </c>
      <c r="X3629">
        <v>0.99916719999999903</v>
      </c>
      <c r="Y3629">
        <v>4.4095049999999997E-2</v>
      </c>
      <c r="Z3629">
        <v>-2.3114819999999999E-4</v>
      </c>
      <c r="AA3629">
        <v>0.99902729999999995</v>
      </c>
      <c r="AB3629">
        <v>32</v>
      </c>
      <c r="AC3629">
        <v>-0.59829999999999395</v>
      </c>
      <c r="AD3629">
        <v>-0.16223960000000001</v>
      </c>
      <c r="AE3629">
        <v>4.8299999999983301E-2</v>
      </c>
      <c r="AF3629">
        <v>3.2093367797561001E-2</v>
      </c>
      <c r="AG3629">
        <v>-0.16223960000000001</v>
      </c>
      <c r="AH3629">
        <v>0.55845905298462295</v>
      </c>
      <c r="AI3629">
        <v>106.17397935535099</v>
      </c>
      <c r="AJ3629">
        <v>86.710959800963494</v>
      </c>
      <c r="AK3629">
        <v>0.58243298835594104</v>
      </c>
      <c r="AL3629">
        <v>87.827627413166496</v>
      </c>
      <c r="AM3629">
        <v>90.865812297742096</v>
      </c>
      <c r="AN3629">
        <v>0.99999998064275197</v>
      </c>
    </row>
    <row r="3630" spans="1:40" x14ac:dyDescent="0.25">
      <c r="A3630" t="str">
        <f>"20190312150729691"</f>
        <v>20190312150729691</v>
      </c>
      <c r="B3630" t="str">
        <f>"1552374449684058"</f>
        <v>1552374449684058</v>
      </c>
      <c r="C3630" t="s">
        <v>40</v>
      </c>
      <c r="D3630">
        <v>4.2307930000000002</v>
      </c>
      <c r="E3630">
        <v>0.49307889999999999</v>
      </c>
      <c r="F3630" t="s">
        <v>41</v>
      </c>
      <c r="G3630">
        <v>-381.45859999999999</v>
      </c>
      <c r="H3630">
        <v>1.0037990000000001</v>
      </c>
      <c r="I3630">
        <v>283.85980000000001</v>
      </c>
      <c r="J3630">
        <v>-380.8458</v>
      </c>
      <c r="K3630">
        <v>1.1097399999999999</v>
      </c>
      <c r="L3630">
        <v>283.85750000000002</v>
      </c>
      <c r="M3630">
        <v>-0.99966390000000005</v>
      </c>
      <c r="N3630">
        <v>0</v>
      </c>
      <c r="O3630">
        <v>2.3370220000000001E-2</v>
      </c>
      <c r="P3630">
        <v>-0.9996237</v>
      </c>
      <c r="Q3630">
        <v>2.6224649999999999E-2</v>
      </c>
      <c r="R3630">
        <v>8.0824369999999996E-3</v>
      </c>
      <c r="S3630">
        <v>-3.0101930000000001</v>
      </c>
      <c r="T3630">
        <v>-0.34826629999999997</v>
      </c>
      <c r="U3630">
        <v>3.1341550000000003E-2</v>
      </c>
      <c r="V3630">
        <v>-1.526257E-2</v>
      </c>
      <c r="W3630">
        <v>3.7451390000000001E-2</v>
      </c>
      <c r="X3630">
        <v>0.99918189999999996</v>
      </c>
      <c r="Y3630">
        <v>-1.2721329999999999E-2</v>
      </c>
      <c r="Z3630">
        <v>-3.4281120000000001E-3</v>
      </c>
      <c r="AA3630">
        <v>0.99991319999999995</v>
      </c>
      <c r="AB3630">
        <v>32</v>
      </c>
      <c r="AC3630">
        <v>-0.61279999999999202</v>
      </c>
      <c r="AD3630">
        <v>-0.10594099999999999</v>
      </c>
      <c r="AE3630">
        <v>2.29999999999108E-3</v>
      </c>
      <c r="AF3630">
        <v>-1.16739011872847E-2</v>
      </c>
      <c r="AG3630">
        <v>-0.10594099999999999</v>
      </c>
      <c r="AH3630">
        <v>0.59490631110465597</v>
      </c>
      <c r="AI3630">
        <v>100.09548697923699</v>
      </c>
      <c r="AJ3630">
        <v>91.124176065147097</v>
      </c>
      <c r="AK3630">
        <v>0.60437843644696698</v>
      </c>
      <c r="AL3630">
        <v>87.853691502370097</v>
      </c>
      <c r="AM3630">
        <v>90.8751287843791</v>
      </c>
      <c r="AN3630">
        <v>1.0000000109717699</v>
      </c>
    </row>
    <row r="3631" spans="1:40" x14ac:dyDescent="0.25">
      <c r="A3631" t="str">
        <f>"20190312150729702"</f>
        <v>20190312150729702</v>
      </c>
      <c r="B3631" t="str">
        <f>"1552374449693814"</f>
        <v>1552374449693814</v>
      </c>
      <c r="C3631" t="s">
        <v>40</v>
      </c>
      <c r="D3631">
        <v>4.4241190000000001</v>
      </c>
      <c r="E3631">
        <v>0.49154369999999997</v>
      </c>
      <c r="F3631" t="s">
        <v>67</v>
      </c>
      <c r="G3631">
        <v>-398.60300000000001</v>
      </c>
      <c r="H3631" s="1">
        <v>3.0413E-6</v>
      </c>
      <c r="I3631">
        <v>283.60860000000002</v>
      </c>
      <c r="J3631">
        <v>-381.0181</v>
      </c>
      <c r="K3631">
        <v>1.109731</v>
      </c>
      <c r="L3631">
        <v>283.86169999999998</v>
      </c>
      <c r="M3631">
        <v>-0.99966160000000004</v>
      </c>
      <c r="N3631">
        <v>0</v>
      </c>
      <c r="O3631">
        <v>2.3498049999999999E-2</v>
      </c>
      <c r="P3631">
        <v>-0.99961820000000001</v>
      </c>
      <c r="Q3631">
        <v>2.6380629999999999E-2</v>
      </c>
      <c r="R3631">
        <v>8.2224099999999994E-3</v>
      </c>
      <c r="S3631">
        <v>-3.0063780000000002</v>
      </c>
      <c r="T3631">
        <v>-0.18788340000000001</v>
      </c>
      <c r="U3631">
        <v>-4.214478E-2</v>
      </c>
      <c r="V3631">
        <v>-1.5250130000000001E-2</v>
      </c>
      <c r="W3631">
        <v>3.7534779999999997E-2</v>
      </c>
      <c r="X3631">
        <v>0.99917889999999998</v>
      </c>
      <c r="Y3631">
        <v>-3.7391639999999997E-2</v>
      </c>
      <c r="Z3631">
        <v>-2.6342549999999998E-3</v>
      </c>
      <c r="AA3631">
        <v>0.9992972</v>
      </c>
      <c r="AB3631">
        <v>32</v>
      </c>
      <c r="AC3631">
        <v>-17.584900000000001</v>
      </c>
      <c r="AD3631">
        <v>-1.1097279587</v>
      </c>
      <c r="AE3631">
        <v>-0.25309999999996002</v>
      </c>
      <c r="AF3631">
        <v>-0.66362437457100598</v>
      </c>
      <c r="AG3631">
        <v>-1.1097279587</v>
      </c>
      <c r="AH3631">
        <v>17.504399746471002</v>
      </c>
      <c r="AI3631">
        <v>93.624933631459399</v>
      </c>
      <c r="AJ3631">
        <v>92.171149837327306</v>
      </c>
      <c r="AK3631">
        <v>17.552091155674301</v>
      </c>
      <c r="AL3631">
        <v>87.848910114795601</v>
      </c>
      <c r="AM3631">
        <v>90.874418232559194</v>
      </c>
      <c r="AN3631">
        <v>0.99999995018993604</v>
      </c>
    </row>
    <row r="3632" spans="1:40" x14ac:dyDescent="0.25">
      <c r="A3632" t="str">
        <f>"20190312150729715"</f>
        <v>20190312150729715</v>
      </c>
      <c r="B3632" t="str">
        <f>"1552374449703575"</f>
        <v>1552374449703575</v>
      </c>
      <c r="C3632" t="s">
        <v>40</v>
      </c>
      <c r="D3632">
        <v>4.1808519999999998</v>
      </c>
      <c r="E3632">
        <v>0.49079699999999998</v>
      </c>
      <c r="F3632" t="s">
        <v>68</v>
      </c>
      <c r="G3632">
        <v>-403.8836</v>
      </c>
      <c r="H3632" s="1">
        <v>6.9177470000000001E-6</v>
      </c>
      <c r="I3632">
        <v>283.4658</v>
      </c>
      <c r="J3632">
        <v>-381.18560000000002</v>
      </c>
      <c r="K3632">
        <v>1.1097250000000001</v>
      </c>
      <c r="L3632">
        <v>283.86579999999998</v>
      </c>
      <c r="M3632">
        <v>-0.99965939999999998</v>
      </c>
      <c r="N3632">
        <v>0</v>
      </c>
      <c r="O3632">
        <v>2.3622020000000001E-2</v>
      </c>
      <c r="P3632">
        <v>-0.99962379999999995</v>
      </c>
      <c r="Q3632">
        <v>2.6090249999999999E-2</v>
      </c>
      <c r="R3632">
        <v>8.4602940000000001E-3</v>
      </c>
      <c r="S3632">
        <v>-3.0054630000000002</v>
      </c>
      <c r="T3632">
        <v>-0.14586279999999999</v>
      </c>
      <c r="U3632">
        <v>-5.2032469999999997E-2</v>
      </c>
      <c r="V3632">
        <v>-1.513694E-2</v>
      </c>
      <c r="W3632">
        <v>3.718026E-2</v>
      </c>
      <c r="X3632">
        <v>0.99919389999999997</v>
      </c>
      <c r="Y3632">
        <v>-4.0849290000000003E-2</v>
      </c>
      <c r="Z3632">
        <v>-2.1363300000000001E-3</v>
      </c>
      <c r="AA3632">
        <v>0.99916300000000002</v>
      </c>
      <c r="AB3632">
        <v>32</v>
      </c>
      <c r="AC3632">
        <v>-22.697999999999901</v>
      </c>
      <c r="AD3632">
        <v>-1.1097180822529999</v>
      </c>
      <c r="AE3632">
        <v>-0.39999999999997699</v>
      </c>
      <c r="AF3632">
        <v>-0.93386247411313605</v>
      </c>
      <c r="AG3632">
        <v>-1.1097180822529999</v>
      </c>
      <c r="AH3632">
        <v>22.6281452263167</v>
      </c>
      <c r="AI3632">
        <v>92.805237197478206</v>
      </c>
      <c r="AJ3632">
        <v>92.363252991745199</v>
      </c>
      <c r="AK3632">
        <v>22.674578931612199</v>
      </c>
      <c r="AL3632">
        <v>87.869236855697594</v>
      </c>
      <c r="AM3632">
        <v>90.867916066811603</v>
      </c>
      <c r="AN3632">
        <v>0.99999997424172005</v>
      </c>
    </row>
    <row r="3633" spans="1:40" x14ac:dyDescent="0.25">
      <c r="A3633" t="str">
        <f>"20190312150729734"</f>
        <v>20190312150729734</v>
      </c>
      <c r="B3633" t="str">
        <f>"1552374449724074"</f>
        <v>1552374449724074</v>
      </c>
      <c r="C3633" t="s">
        <v>40</v>
      </c>
      <c r="D3633">
        <v>4.138992</v>
      </c>
      <c r="E3633">
        <v>0.4900195</v>
      </c>
      <c r="F3633" t="s">
        <v>68</v>
      </c>
      <c r="G3633">
        <v>-408.67880000000002</v>
      </c>
      <c r="H3633" s="1">
        <v>4.8150499999999997E-6</v>
      </c>
      <c r="I3633">
        <v>283.35090000000002</v>
      </c>
      <c r="J3633">
        <v>-381.4778</v>
      </c>
      <c r="K3633">
        <v>1.1097109999999999</v>
      </c>
      <c r="L3633">
        <v>283.87290000000002</v>
      </c>
      <c r="M3633">
        <v>-0.99965550000000003</v>
      </c>
      <c r="N3633">
        <v>0</v>
      </c>
      <c r="O3633">
        <v>2.3838120000000001E-2</v>
      </c>
      <c r="P3633">
        <v>-0.99961529999999998</v>
      </c>
      <c r="Q3633">
        <v>2.6270769999999999E-2</v>
      </c>
      <c r="R3633">
        <v>8.8889390000000002E-3</v>
      </c>
      <c r="S3633">
        <v>-3.0047609999999998</v>
      </c>
      <c r="T3633">
        <v>-0.1212826</v>
      </c>
      <c r="U3633">
        <v>-5.6274409999999997E-2</v>
      </c>
      <c r="V3633">
        <v>-1.492392E-2</v>
      </c>
      <c r="W3633">
        <v>3.7256030000000002E-2</v>
      </c>
      <c r="X3633">
        <v>0.99919429999999998</v>
      </c>
      <c r="Y3633">
        <v>-4.2501190000000001E-2</v>
      </c>
      <c r="Z3633">
        <v>-1.81908E-3</v>
      </c>
      <c r="AA3633">
        <v>0.99909479999999995</v>
      </c>
      <c r="AB3633">
        <v>32</v>
      </c>
      <c r="AC3633">
        <v>-27.201000000000001</v>
      </c>
      <c r="AD3633">
        <v>-1.1097061849500001</v>
      </c>
      <c r="AE3633">
        <v>-0.52199999999999103</v>
      </c>
      <c r="AF3633">
        <v>-1.1683675959152899</v>
      </c>
      <c r="AG3633">
        <v>-1.1097061849500001</v>
      </c>
      <c r="AH3633">
        <v>27.135678347154901</v>
      </c>
      <c r="AI3633">
        <v>92.339625190571297</v>
      </c>
      <c r="AJ3633">
        <v>92.465433509141903</v>
      </c>
      <c r="AK3633">
        <v>27.183479726045999</v>
      </c>
      <c r="AL3633">
        <v>87.864892582745995</v>
      </c>
      <c r="AM3633">
        <v>90.855703494258094</v>
      </c>
      <c r="AN3633">
        <v>0.99999999215600799</v>
      </c>
    </row>
    <row r="3634" spans="1:40" x14ac:dyDescent="0.25">
      <c r="A3634" t="str">
        <f>"20190312150729746"</f>
        <v>20190312150729746</v>
      </c>
      <c r="B3634" t="str">
        <f>"1552374449743590"</f>
        <v>1552374449743590</v>
      </c>
      <c r="C3634" t="s">
        <v>40</v>
      </c>
      <c r="D3634">
        <v>4.1866159999999999</v>
      </c>
      <c r="E3634">
        <v>0.4890506</v>
      </c>
      <c r="F3634" t="s">
        <v>68</v>
      </c>
      <c r="G3634">
        <v>-418.43939999999998</v>
      </c>
      <c r="H3634" s="1">
        <v>3.83228E-6</v>
      </c>
      <c r="I3634">
        <v>283.13470000000001</v>
      </c>
      <c r="J3634">
        <v>-381.64370000000002</v>
      </c>
      <c r="K3634">
        <v>1.1097060000000001</v>
      </c>
      <c r="L3634">
        <v>283.87700000000001</v>
      </c>
      <c r="M3634">
        <v>-0.99965329999999997</v>
      </c>
      <c r="N3634">
        <v>0</v>
      </c>
      <c r="O3634">
        <v>2.3961030000000001E-2</v>
      </c>
      <c r="P3634">
        <v>-0.99962099999999998</v>
      </c>
      <c r="Q3634">
        <v>2.596267E-2</v>
      </c>
      <c r="R3634">
        <v>9.1783939999999994E-3</v>
      </c>
      <c r="S3634">
        <v>-3.0040279999999999</v>
      </c>
      <c r="T3634">
        <v>-9.0190649999999997E-2</v>
      </c>
      <c r="U3634">
        <v>-5.9997559999999998E-2</v>
      </c>
      <c r="V3634">
        <v>-1.475784E-2</v>
      </c>
      <c r="W3634">
        <v>3.6892460000000002E-2</v>
      </c>
      <c r="X3634">
        <v>0.99921020000000005</v>
      </c>
      <c r="Y3634">
        <v>-4.3889770000000002E-2</v>
      </c>
      <c r="Z3634">
        <v>-1.3778309999999999E-3</v>
      </c>
      <c r="AA3634">
        <v>0.99903540000000002</v>
      </c>
      <c r="AB3634">
        <v>32</v>
      </c>
      <c r="AC3634">
        <v>-36.795699999999897</v>
      </c>
      <c r="AD3634">
        <v>-1.1097021677200001</v>
      </c>
      <c r="AE3634">
        <v>-0.74229999999999996</v>
      </c>
      <c r="AF3634">
        <v>-1.62232729526231</v>
      </c>
      <c r="AG3634">
        <v>-1.1097021677200001</v>
      </c>
      <c r="AH3634">
        <v>36.733949948190698</v>
      </c>
      <c r="AI3634">
        <v>91.728647751284797</v>
      </c>
      <c r="AJ3634">
        <v>92.528781787339099</v>
      </c>
      <c r="AK3634">
        <v>36.786498386638698</v>
      </c>
      <c r="AL3634">
        <v>87.885737820880607</v>
      </c>
      <c r="AM3634">
        <v>90.846168775732295</v>
      </c>
      <c r="AN3634">
        <v>0.99999993561517597</v>
      </c>
    </row>
    <row r="3635" spans="1:40" x14ac:dyDescent="0.25">
      <c r="A3635" t="str">
        <f>"20190312150729757"</f>
        <v>20190312150729757</v>
      </c>
      <c r="B3635" t="str">
        <f>"1552374449753856"</f>
        <v>1552374449753856</v>
      </c>
      <c r="C3635" t="s">
        <v>40</v>
      </c>
      <c r="D3635">
        <v>4.111497</v>
      </c>
      <c r="E3635">
        <v>0.48904500000000001</v>
      </c>
      <c r="F3635" t="s">
        <v>68</v>
      </c>
      <c r="G3635">
        <v>-420.80509999999998</v>
      </c>
      <c r="H3635" s="1">
        <v>3.9622799999999996E-6</v>
      </c>
      <c r="I3635">
        <v>283.00920000000002</v>
      </c>
      <c r="J3635">
        <v>-381.80950000000001</v>
      </c>
      <c r="K3635">
        <v>1.109702</v>
      </c>
      <c r="L3635">
        <v>283.88099999999997</v>
      </c>
      <c r="M3635">
        <v>-0.99965090000000001</v>
      </c>
      <c r="N3635">
        <v>0</v>
      </c>
      <c r="O3635">
        <v>2.4083839999999999E-2</v>
      </c>
      <c r="P3635">
        <v>-0.99961999999999995</v>
      </c>
      <c r="Q3635">
        <v>2.5930399999999999E-2</v>
      </c>
      <c r="R3635">
        <v>9.3732520000000003E-3</v>
      </c>
      <c r="S3635">
        <v>-3.0039669999999998</v>
      </c>
      <c r="T3635">
        <v>-8.5122229999999993E-2</v>
      </c>
      <c r="U3635">
        <v>-6.6558839999999994E-2</v>
      </c>
      <c r="V3635">
        <v>-1.468593E-2</v>
      </c>
      <c r="W3635">
        <v>3.6810009999999997E-2</v>
      </c>
      <c r="X3635">
        <v>0.99921439999999995</v>
      </c>
      <c r="Y3635">
        <v>-4.6196269999999998E-2</v>
      </c>
      <c r="Z3635">
        <v>-1.3365810000000001E-3</v>
      </c>
      <c r="AA3635">
        <v>0.99893149999999997</v>
      </c>
      <c r="AB3635">
        <v>32</v>
      </c>
      <c r="AC3635">
        <v>-38.995599999999897</v>
      </c>
      <c r="AD3635">
        <v>-1.1096980377200001</v>
      </c>
      <c r="AE3635">
        <v>-0.87179999999994995</v>
      </c>
      <c r="AF3635">
        <v>-1.8093018835268799</v>
      </c>
      <c r="AG3635">
        <v>-1.1096980377200001</v>
      </c>
      <c r="AH3635">
        <v>38.931778905492003</v>
      </c>
      <c r="AI3635">
        <v>91.630937777818403</v>
      </c>
      <c r="AJ3635">
        <v>92.660829510312496</v>
      </c>
      <c r="AK3635">
        <v>38.989593634542601</v>
      </c>
      <c r="AL3635">
        <v>87.890465279455498</v>
      </c>
      <c r="AM3635">
        <v>90.842042735604494</v>
      </c>
      <c r="AN3635">
        <v>1.00000003527176</v>
      </c>
    </row>
    <row r="3636" spans="1:40" x14ac:dyDescent="0.25">
      <c r="A3636" t="str">
        <f>"20190312150729769"</f>
        <v>20190312150729769</v>
      </c>
      <c r="B3636" t="str">
        <f>"1552374449763617"</f>
        <v>1552374449763617</v>
      </c>
      <c r="C3636" t="s">
        <v>40</v>
      </c>
      <c r="D3636">
        <v>4.1066839999999996</v>
      </c>
      <c r="E3636">
        <v>0.48902960000000001</v>
      </c>
      <c r="F3636" t="s">
        <v>68</v>
      </c>
      <c r="G3636">
        <v>-424.30739999999997</v>
      </c>
      <c r="H3636" s="1">
        <v>3.3463099999999999E-6</v>
      </c>
      <c r="I3636">
        <v>282.94889999999998</v>
      </c>
      <c r="J3636">
        <v>-381.97250000000003</v>
      </c>
      <c r="K3636">
        <v>1.1096969999999999</v>
      </c>
      <c r="L3636">
        <v>283.88510000000002</v>
      </c>
      <c r="M3636">
        <v>-0.99964850000000005</v>
      </c>
      <c r="N3636">
        <v>0</v>
      </c>
      <c r="O3636">
        <v>2.420485E-2</v>
      </c>
      <c r="P3636">
        <v>-0.99962010000000001</v>
      </c>
      <c r="Q3636">
        <v>2.5906620000000002E-2</v>
      </c>
      <c r="R3636">
        <v>9.4168780000000001E-3</v>
      </c>
      <c r="S3636">
        <v>-3.0037539999999998</v>
      </c>
      <c r="T3636">
        <v>-7.8433509999999998E-2</v>
      </c>
      <c r="U3636">
        <v>-6.588745E-2</v>
      </c>
      <c r="V3636">
        <v>-1.4763160000000001E-2</v>
      </c>
      <c r="W3636">
        <v>3.673854E-2</v>
      </c>
      <c r="X3636">
        <v>0.99921579999999999</v>
      </c>
      <c r="Y3636">
        <v>-4.6099830000000001E-2</v>
      </c>
      <c r="Z3636">
        <v>-1.2335829999999999E-3</v>
      </c>
      <c r="AA3636">
        <v>0.99893609999999999</v>
      </c>
      <c r="AB3636">
        <v>32</v>
      </c>
      <c r="AC3636">
        <v>-42.334899999999898</v>
      </c>
      <c r="AD3636">
        <v>-1.1096936536899999</v>
      </c>
      <c r="AE3636">
        <v>-0.936200000000042</v>
      </c>
      <c r="AF3636">
        <v>-1.9593499578809901</v>
      </c>
      <c r="AG3636">
        <v>-1.1096936536899999</v>
      </c>
      <c r="AH3636">
        <v>42.270804000912101</v>
      </c>
      <c r="AI3636">
        <v>91.502171970558905</v>
      </c>
      <c r="AJ3636">
        <v>92.653892899591199</v>
      </c>
      <c r="AK3636">
        <v>42.330737569123599</v>
      </c>
      <c r="AL3636">
        <v>87.8945627862024</v>
      </c>
      <c r="AM3636">
        <v>90.846469020374798</v>
      </c>
      <c r="AN3636">
        <v>0.99999994309207596</v>
      </c>
    </row>
    <row r="3637" spans="1:40" x14ac:dyDescent="0.25">
      <c r="A3637" t="str">
        <f>"20190312150729782"</f>
        <v>20190312150729782</v>
      </c>
      <c r="B3637" t="str">
        <f>"1552374449773377"</f>
        <v>1552374449773377</v>
      </c>
      <c r="C3637" t="s">
        <v>40</v>
      </c>
      <c r="D3637">
        <v>4.1644420000000002</v>
      </c>
      <c r="E3637">
        <v>0.48891600000000002</v>
      </c>
      <c r="F3637" t="s">
        <v>68</v>
      </c>
      <c r="G3637">
        <v>-427.16030000000001</v>
      </c>
      <c r="H3637" s="1">
        <v>2.8445839999999998E-6</v>
      </c>
      <c r="I3637">
        <v>282.89940000000001</v>
      </c>
      <c r="J3637">
        <v>-382.1549</v>
      </c>
      <c r="K3637">
        <v>1.1096919999999999</v>
      </c>
      <c r="L3637">
        <v>283.88959999999997</v>
      </c>
      <c r="M3637">
        <v>-0.99964569999999997</v>
      </c>
      <c r="N3637">
        <v>0</v>
      </c>
      <c r="O3637">
        <v>2.4340000000000001E-2</v>
      </c>
      <c r="P3637">
        <v>-0.99962839999999997</v>
      </c>
      <c r="Q3637">
        <v>2.5559390000000001E-2</v>
      </c>
      <c r="R3637">
        <v>9.4880109999999993E-3</v>
      </c>
      <c r="S3637">
        <v>-3.0036619999999998</v>
      </c>
      <c r="T3637">
        <v>-7.3762060000000004E-2</v>
      </c>
      <c r="U3637">
        <v>-6.5521239999999994E-2</v>
      </c>
      <c r="V3637">
        <v>-1.4827699999999999E-2</v>
      </c>
      <c r="W3637">
        <v>3.6342069999999997E-2</v>
      </c>
      <c r="X3637">
        <v>0.99922940000000005</v>
      </c>
      <c r="Y3637">
        <v>-4.6116530000000003E-2</v>
      </c>
      <c r="Z3637">
        <v>-1.1636929999999999E-3</v>
      </c>
      <c r="AA3637">
        <v>0.99893540000000003</v>
      </c>
      <c r="AB3637">
        <v>32</v>
      </c>
      <c r="AC3637">
        <v>-45.005400000000002</v>
      </c>
      <c r="AD3637">
        <v>-1.109689155416</v>
      </c>
      <c r="AE3637">
        <v>-0.990199999999958</v>
      </c>
      <c r="AF3637">
        <v>-2.0841351523251999</v>
      </c>
      <c r="AG3637">
        <v>-1.109689155416</v>
      </c>
      <c r="AH3637">
        <v>44.940653409306201</v>
      </c>
      <c r="AI3637">
        <v>91.412960528846099</v>
      </c>
      <c r="AJ3637">
        <v>92.655205124669607</v>
      </c>
      <c r="AK3637">
        <v>45.002637236168702</v>
      </c>
      <c r="AL3637">
        <v>87.917294144886696</v>
      </c>
      <c r="AM3637">
        <v>90.850157411401099</v>
      </c>
      <c r="AN3637">
        <v>1.0000000002817599</v>
      </c>
    </row>
    <row r="3638" spans="1:40" x14ac:dyDescent="0.25">
      <c r="A3638" t="str">
        <f>"20190312150729803"</f>
        <v>20190312150729803</v>
      </c>
      <c r="B3638" t="str">
        <f>"1552374449793873"</f>
        <v>1552374449793873</v>
      </c>
      <c r="C3638" t="s">
        <v>40</v>
      </c>
      <c r="D3638">
        <v>4.1868449999999999</v>
      </c>
      <c r="E3638">
        <v>0.4885139</v>
      </c>
      <c r="F3638" t="s">
        <v>68</v>
      </c>
      <c r="G3638">
        <v>-429.60879999999997</v>
      </c>
      <c r="H3638" s="1">
        <v>2.4149910000000001E-6</v>
      </c>
      <c r="I3638">
        <v>282.84530000000001</v>
      </c>
      <c r="J3638">
        <v>-382.46420000000001</v>
      </c>
      <c r="K3638">
        <v>1.1096820000000001</v>
      </c>
      <c r="L3638">
        <v>283.8974</v>
      </c>
      <c r="M3638">
        <v>-0.99964090000000005</v>
      </c>
      <c r="N3638">
        <v>0</v>
      </c>
      <c r="O3638">
        <v>2.4568380000000001E-2</v>
      </c>
      <c r="P3638">
        <v>-0.99962430000000002</v>
      </c>
      <c r="Q3638">
        <v>2.5641489999999999E-2</v>
      </c>
      <c r="R3638">
        <v>9.7014809999999996E-3</v>
      </c>
      <c r="S3638">
        <v>-3.0035400000000001</v>
      </c>
      <c r="T3638">
        <v>-7.0236560000000003E-2</v>
      </c>
      <c r="U3638">
        <v>-6.6101069999999998E-2</v>
      </c>
      <c r="V3638">
        <v>-1.4841989999999999E-2</v>
      </c>
      <c r="W3638">
        <v>3.6349699999999999E-2</v>
      </c>
      <c r="X3638">
        <v>0.99922889999999998</v>
      </c>
      <c r="Y3638">
        <v>-4.6540159999999997E-2</v>
      </c>
      <c r="Z3638">
        <v>-1.1184229999999999E-3</v>
      </c>
      <c r="AA3638">
        <v>0.99891580000000002</v>
      </c>
      <c r="AB3638">
        <v>32</v>
      </c>
      <c r="AC3638">
        <v>-47.144599999999897</v>
      </c>
      <c r="AD3638">
        <v>-1.109679585009</v>
      </c>
      <c r="AE3638">
        <v>-1.05209999999999</v>
      </c>
      <c r="AF3638">
        <v>-2.20889195589917</v>
      </c>
      <c r="AG3638">
        <v>-1.109679585009</v>
      </c>
      <c r="AH3638">
        <v>47.078448216522801</v>
      </c>
      <c r="AI3638">
        <v>91.348777607852597</v>
      </c>
      <c r="AJ3638">
        <v>92.686312796113199</v>
      </c>
      <c r="AK3638">
        <v>47.1433015276831</v>
      </c>
      <c r="AL3638">
        <v>87.916856667571594</v>
      </c>
      <c r="AM3638">
        <v>90.850977044701494</v>
      </c>
      <c r="AN3638">
        <v>0.99999998997622996</v>
      </c>
    </row>
    <row r="3639" spans="1:40" x14ac:dyDescent="0.25">
      <c r="A3639" t="str">
        <f>"20190312150729820"</f>
        <v>20190312150729820</v>
      </c>
      <c r="B3639" t="str">
        <f>"1552374449813393"</f>
        <v>1552374449813393</v>
      </c>
      <c r="C3639" t="s">
        <v>40</v>
      </c>
      <c r="D3639">
        <v>4.1759639999999996</v>
      </c>
      <c r="E3639">
        <v>0.48811880000000002</v>
      </c>
      <c r="F3639" t="s">
        <v>68</v>
      </c>
      <c r="G3639">
        <v>-433.03399999999999</v>
      </c>
      <c r="H3639" s="1">
        <v>3.726108E-6</v>
      </c>
      <c r="I3639">
        <v>282.74439999999998</v>
      </c>
      <c r="J3639">
        <v>-382.70679999999999</v>
      </c>
      <c r="K3639">
        <v>1.109677</v>
      </c>
      <c r="L3639">
        <v>283.90350000000001</v>
      </c>
      <c r="M3639">
        <v>-0.999637</v>
      </c>
      <c r="N3639">
        <v>0</v>
      </c>
      <c r="O3639">
        <v>2.4748240000000001E-2</v>
      </c>
      <c r="P3639">
        <v>-0.9996237</v>
      </c>
      <c r="Q3639">
        <v>2.5596009999999999E-2</v>
      </c>
      <c r="R3639">
        <v>9.8705330000000008E-3</v>
      </c>
      <c r="S3639">
        <v>-3.003479</v>
      </c>
      <c r="T3639">
        <v>-6.5906759999999995E-2</v>
      </c>
      <c r="U3639">
        <v>-6.8481449999999999E-2</v>
      </c>
      <c r="V3639">
        <v>-1.4853480000000001E-2</v>
      </c>
      <c r="W3639">
        <v>3.6252489999999998E-2</v>
      </c>
      <c r="X3639">
        <v>0.99923229999999996</v>
      </c>
      <c r="Y3639">
        <v>-4.7513609999999998E-2</v>
      </c>
      <c r="Z3639">
        <v>-1.0641299999999999E-3</v>
      </c>
      <c r="AA3639">
        <v>0.99887000000000004</v>
      </c>
      <c r="AB3639">
        <v>32</v>
      </c>
      <c r="AC3639">
        <v>-50.327199999999998</v>
      </c>
      <c r="AD3639">
        <v>-1.1096732738920001</v>
      </c>
      <c r="AE3639">
        <v>-1.15910000000002</v>
      </c>
      <c r="AF3639">
        <v>-2.4031574769222099</v>
      </c>
      <c r="AG3639">
        <v>-1.1096732738920001</v>
      </c>
      <c r="AH3639">
        <v>50.258675381324302</v>
      </c>
      <c r="AI3639">
        <v>91.2633986749982</v>
      </c>
      <c r="AJ3639">
        <v>92.737556993842105</v>
      </c>
      <c r="AK3639">
        <v>50.328331898832197</v>
      </c>
      <c r="AL3639">
        <v>87.922430145175497</v>
      </c>
      <c r="AM3639">
        <v>90.851632838441503</v>
      </c>
      <c r="AN3639">
        <v>1.00000002913129</v>
      </c>
    </row>
    <row r="3640" spans="1:40" x14ac:dyDescent="0.25">
      <c r="A3640" t="str">
        <f>"20190312150729832"</f>
        <v>20190312150729832</v>
      </c>
      <c r="B3640" t="str">
        <f>"1552374449824129"</f>
        <v>1552374449824129</v>
      </c>
      <c r="C3640" t="s">
        <v>40</v>
      </c>
      <c r="D3640">
        <v>4.1772</v>
      </c>
      <c r="E3640">
        <v>0.4880524</v>
      </c>
      <c r="F3640" t="s">
        <v>68</v>
      </c>
      <c r="G3640">
        <v>-433.81450000000001</v>
      </c>
      <c r="H3640" s="1">
        <v>4.0768069999999996E-6</v>
      </c>
      <c r="I3640">
        <v>282.69150000000002</v>
      </c>
      <c r="J3640">
        <v>-382.89609999999999</v>
      </c>
      <c r="K3640">
        <v>1.1096729999999999</v>
      </c>
      <c r="L3640">
        <v>283.9083</v>
      </c>
      <c r="M3640">
        <v>-0.99963380000000002</v>
      </c>
      <c r="N3640">
        <v>0</v>
      </c>
      <c r="O3640">
        <v>2.4888440000000001E-2</v>
      </c>
      <c r="P3640">
        <v>-0.99962289999999998</v>
      </c>
      <c r="Q3640">
        <v>2.5611430000000001E-2</v>
      </c>
      <c r="R3640">
        <v>9.9139599999999994E-3</v>
      </c>
      <c r="S3640">
        <v>-3.0035099999999999</v>
      </c>
      <c r="T3640">
        <v>-6.5213560000000004E-2</v>
      </c>
      <c r="U3640">
        <v>-7.1228029999999998E-2</v>
      </c>
      <c r="V3640">
        <v>-1.494973E-2</v>
      </c>
      <c r="W3640">
        <v>3.6231520000000003E-2</v>
      </c>
      <c r="X3640">
        <v>0.9992316</v>
      </c>
      <c r="Y3640">
        <v>-4.856647E-2</v>
      </c>
      <c r="Z3640">
        <v>-1.0673900000000001E-3</v>
      </c>
      <c r="AA3640">
        <v>0.99881940000000002</v>
      </c>
      <c r="AB3640">
        <v>32</v>
      </c>
      <c r="AC3640">
        <v>-50.918399999999998</v>
      </c>
      <c r="AD3640">
        <v>-1.1096689231929999</v>
      </c>
      <c r="AE3640">
        <v>-1.2167999999999699</v>
      </c>
      <c r="AF3640">
        <v>-2.4825956717650302</v>
      </c>
      <c r="AG3640">
        <v>-1.1096689231929999</v>
      </c>
      <c r="AH3640">
        <v>50.848203524312297</v>
      </c>
      <c r="AI3640">
        <v>91.248690095906895</v>
      </c>
      <c r="AJ3640">
        <v>92.795170378044205</v>
      </c>
      <c r="AK3640">
        <v>50.920864564915398</v>
      </c>
      <c r="AL3640">
        <v>87.9236323751839</v>
      </c>
      <c r="AM3640">
        <v>90.857151167356605</v>
      </c>
      <c r="AN3640">
        <v>1.0000000039535699</v>
      </c>
    </row>
    <row r="3641" spans="1:40" x14ac:dyDescent="0.25">
      <c r="A3641" t="str">
        <f>"20190312150729847"</f>
        <v>20190312150729847</v>
      </c>
      <c r="B3641" t="str">
        <f>"1552374449843649"</f>
        <v>1552374449843649</v>
      </c>
      <c r="C3641" t="s">
        <v>40</v>
      </c>
      <c r="D3641">
        <v>4.1635339999999896</v>
      </c>
      <c r="E3641">
        <v>0.48782619999999999</v>
      </c>
      <c r="F3641" t="s">
        <v>68</v>
      </c>
      <c r="G3641">
        <v>-433.70589999999999</v>
      </c>
      <c r="H3641" s="1">
        <v>4.0283010000000003E-6</v>
      </c>
      <c r="I3641">
        <v>282.69560000000001</v>
      </c>
      <c r="J3641">
        <v>-383.10090000000002</v>
      </c>
      <c r="K3641">
        <v>1.109667</v>
      </c>
      <c r="L3641">
        <v>283.91359999999997</v>
      </c>
      <c r="M3641">
        <v>-0.99963060000000004</v>
      </c>
      <c r="N3641">
        <v>0</v>
      </c>
      <c r="O3641">
        <v>2.5039789999999999E-2</v>
      </c>
      <c r="P3641">
        <v>-0.99962969999999896</v>
      </c>
      <c r="Q3641">
        <v>2.534585E-2</v>
      </c>
      <c r="R3641">
        <v>9.9106490000000005E-3</v>
      </c>
      <c r="S3641">
        <v>-3.0035099999999999</v>
      </c>
      <c r="T3641">
        <v>-6.5595630000000002E-2</v>
      </c>
      <c r="U3641">
        <v>-7.1685789999999999E-2</v>
      </c>
      <c r="V3641">
        <v>-1.510475E-2</v>
      </c>
      <c r="W3641">
        <v>3.5928929999999998E-2</v>
      </c>
      <c r="X3641">
        <v>0.99924020000000002</v>
      </c>
      <c r="Y3641">
        <v>-4.8869509999999998E-2</v>
      </c>
      <c r="Z3641">
        <v>-1.080253E-3</v>
      </c>
      <c r="AA3641">
        <v>0.99880460000000004</v>
      </c>
      <c r="AB3641">
        <v>32</v>
      </c>
      <c r="AC3641">
        <v>-50.604999999999897</v>
      </c>
      <c r="AD3641">
        <v>-1.1096629716990001</v>
      </c>
      <c r="AE3641">
        <v>-1.21799999999996</v>
      </c>
      <c r="AF3641">
        <v>-2.48363386638409</v>
      </c>
      <c r="AG3641">
        <v>-1.1096629716990001</v>
      </c>
      <c r="AH3641">
        <v>50.534346558151199</v>
      </c>
      <c r="AI3641">
        <v>91.256416328813401</v>
      </c>
      <c r="AJ3641">
        <v>92.813677005964806</v>
      </c>
      <c r="AK3641">
        <v>50.607509039196401</v>
      </c>
      <c r="AL3641">
        <v>87.940980811919502</v>
      </c>
      <c r="AM3641">
        <v>90.866030526905803</v>
      </c>
      <c r="AN3641">
        <v>1.0000000093897701</v>
      </c>
    </row>
    <row r="3642" spans="1:40" x14ac:dyDescent="0.25">
      <c r="A3642" t="str">
        <f>"20190312150729858"</f>
        <v>20190312150729858</v>
      </c>
      <c r="B3642" t="str">
        <f>"1552374449853918"</f>
        <v>1552374449853918</v>
      </c>
      <c r="C3642" t="s">
        <v>40</v>
      </c>
      <c r="D3642">
        <v>4.3985589999999997</v>
      </c>
      <c r="E3642">
        <v>0.48789519999999997</v>
      </c>
      <c r="F3642" t="s">
        <v>68</v>
      </c>
      <c r="G3642">
        <v>-433.44029999999998</v>
      </c>
      <c r="H3642" s="1">
        <v>3.9116580000000003E-6</v>
      </c>
      <c r="I3642">
        <v>282.68299999999999</v>
      </c>
      <c r="J3642">
        <v>-383.27809999999999</v>
      </c>
      <c r="K3642">
        <v>1.1096600000000001</v>
      </c>
      <c r="L3642">
        <v>283.91820000000001</v>
      </c>
      <c r="M3642">
        <v>-0.9996275</v>
      </c>
      <c r="N3642">
        <v>0</v>
      </c>
      <c r="O3642">
        <v>2.5170950000000001E-2</v>
      </c>
      <c r="P3642">
        <v>-0.99963409999999997</v>
      </c>
      <c r="Q3642">
        <v>2.5120409999999999E-2</v>
      </c>
      <c r="R3642">
        <v>1.0045129999999999E-2</v>
      </c>
      <c r="S3642">
        <v>-3.003479</v>
      </c>
      <c r="T3642">
        <v>-6.6207530000000001E-2</v>
      </c>
      <c r="U3642">
        <v>-7.3425290000000004E-2</v>
      </c>
      <c r="V3642">
        <v>-1.510156E-2</v>
      </c>
      <c r="W3642">
        <v>3.5674459999999998E-2</v>
      </c>
      <c r="X3642">
        <v>0.99924930000000001</v>
      </c>
      <c r="Y3642">
        <v>-4.957839E-2</v>
      </c>
      <c r="Z3642">
        <v>-1.1010340000000001E-3</v>
      </c>
      <c r="AA3642">
        <v>0.99876960000000004</v>
      </c>
      <c r="AB3642">
        <v>32</v>
      </c>
      <c r="AC3642">
        <v>-50.162199999999899</v>
      </c>
      <c r="AD3642">
        <v>-1.1096560883419999</v>
      </c>
      <c r="AE3642">
        <v>-1.2352000000000201</v>
      </c>
      <c r="AF3642">
        <v>-2.4962882571824698</v>
      </c>
      <c r="AG3642">
        <v>-1.1096560883419999</v>
      </c>
      <c r="AH3642">
        <v>50.090714757888598</v>
      </c>
      <c r="AI3642">
        <v>91.267489356901393</v>
      </c>
      <c r="AJ3642">
        <v>92.852994873577998</v>
      </c>
      <c r="AK3642">
        <v>50.165152213997096</v>
      </c>
      <c r="AL3642">
        <v>87.955570087918005</v>
      </c>
      <c r="AM3642">
        <v>90.865839772236896</v>
      </c>
      <c r="AN3642">
        <v>0.99999994388060598</v>
      </c>
    </row>
    <row r="3643" spans="1:40" x14ac:dyDescent="0.25">
      <c r="A3643" t="str">
        <f>"20190312150729870"</f>
        <v>20190312150729870</v>
      </c>
      <c r="B3643" t="str">
        <f>"1552374449863677"</f>
        <v>1552374449863677</v>
      </c>
      <c r="C3643" t="s">
        <v>40</v>
      </c>
      <c r="D3643">
        <v>4.1937170000000004</v>
      </c>
      <c r="E3643">
        <v>0.48785899999999999</v>
      </c>
      <c r="F3643" t="s">
        <v>68</v>
      </c>
      <c r="G3643">
        <v>-434.32380000000001</v>
      </c>
      <c r="H3643" s="1">
        <v>4.3027889999999996E-6</v>
      </c>
      <c r="I3643">
        <v>282.69049999999999</v>
      </c>
      <c r="J3643">
        <v>-383.44560000000001</v>
      </c>
      <c r="K3643">
        <v>1.1096569999999999</v>
      </c>
      <c r="L3643">
        <v>283.92250000000001</v>
      </c>
      <c r="M3643">
        <v>-0.99962470000000003</v>
      </c>
      <c r="N3643">
        <v>0</v>
      </c>
      <c r="O3643">
        <v>2.5294759999999999E-2</v>
      </c>
      <c r="P3643">
        <v>-0.99963170000000001</v>
      </c>
      <c r="Q3643">
        <v>2.5153100000000001E-2</v>
      </c>
      <c r="R3643">
        <v>1.019248E-2</v>
      </c>
      <c r="S3643">
        <v>-3.003479</v>
      </c>
      <c r="T3643">
        <v>-6.5291050000000003E-2</v>
      </c>
      <c r="U3643">
        <v>-7.2235110000000005E-2</v>
      </c>
      <c r="V3643">
        <v>-1.50782E-2</v>
      </c>
      <c r="W3643">
        <v>3.5682079999999998E-2</v>
      </c>
      <c r="X3643">
        <v>0.99924950000000001</v>
      </c>
      <c r="Y3643">
        <v>-4.930706E-2</v>
      </c>
      <c r="Z3643">
        <v>-1.085543E-3</v>
      </c>
      <c r="AA3643">
        <v>0.99878310000000003</v>
      </c>
      <c r="AB3643">
        <v>32</v>
      </c>
      <c r="AC3643">
        <v>-50.8781999999999</v>
      </c>
      <c r="AD3643">
        <v>-1.1096526972109999</v>
      </c>
      <c r="AE3643">
        <v>-1.23200000000002</v>
      </c>
      <c r="AF3643">
        <v>-2.5174320371141699</v>
      </c>
      <c r="AG3643">
        <v>-1.1096526972109999</v>
      </c>
      <c r="AH3643">
        <v>50.806600869948902</v>
      </c>
      <c r="AI3643">
        <v>91.249649504145793</v>
      </c>
      <c r="AJ3643">
        <v>92.836646432694394</v>
      </c>
      <c r="AK3643">
        <v>50.881032665701802</v>
      </c>
      <c r="AL3643">
        <v>87.955133459799299</v>
      </c>
      <c r="AM3643">
        <v>90.864500469694093</v>
      </c>
      <c r="AN3643">
        <v>1.0000000630993</v>
      </c>
    </row>
    <row r="3644" spans="1:40" x14ac:dyDescent="0.25">
      <c r="A3644" t="str">
        <f>"20190312150729883"</f>
        <v>20190312150729883</v>
      </c>
      <c r="B3644" t="str">
        <f>"1552374449873438"</f>
        <v>1552374449873438</v>
      </c>
      <c r="C3644" t="s">
        <v>40</v>
      </c>
      <c r="D3644">
        <v>4.1969059999999896</v>
      </c>
      <c r="E3644">
        <v>0.48788100000000001</v>
      </c>
      <c r="F3644" t="s">
        <v>68</v>
      </c>
      <c r="G3644">
        <v>-436.35649999999998</v>
      </c>
      <c r="H3644" s="1">
        <v>5.2074659999999899E-6</v>
      </c>
      <c r="I3644">
        <v>282.65320000000003</v>
      </c>
      <c r="J3644">
        <v>-383.63850000000002</v>
      </c>
      <c r="K3644">
        <v>1.109653</v>
      </c>
      <c r="L3644">
        <v>283.92750000000001</v>
      </c>
      <c r="M3644">
        <v>-0.99962130000000005</v>
      </c>
      <c r="N3644">
        <v>0</v>
      </c>
      <c r="O3644">
        <v>2.543718E-2</v>
      </c>
      <c r="P3644">
        <v>-0.99963089999999999</v>
      </c>
      <c r="Q3644">
        <v>2.512416E-2</v>
      </c>
      <c r="R3644">
        <v>1.03245E-2</v>
      </c>
      <c r="S3644">
        <v>-3.0034179999999999</v>
      </c>
      <c r="T3644">
        <v>-6.2987920000000003E-2</v>
      </c>
      <c r="U3644">
        <v>-7.2052000000000005E-2</v>
      </c>
      <c r="V3644">
        <v>-1.5088239999999999E-2</v>
      </c>
      <c r="W3644">
        <v>3.5625370000000003E-2</v>
      </c>
      <c r="X3644">
        <v>0.99925129999999995</v>
      </c>
      <c r="Y3644">
        <v>-4.9390160000000002E-2</v>
      </c>
      <c r="Z3644">
        <v>-1.0511380000000001E-3</v>
      </c>
      <c r="AA3644">
        <v>0.99877899999999997</v>
      </c>
      <c r="AB3644">
        <v>33</v>
      </c>
      <c r="AC3644">
        <v>-52.717999999999897</v>
      </c>
      <c r="AD3644">
        <v>-1.109647792534</v>
      </c>
      <c r="AE3644">
        <v>-1.27429999999998</v>
      </c>
      <c r="AF3644">
        <v>-2.61380140675635</v>
      </c>
      <c r="AG3644">
        <v>-1.109647792534</v>
      </c>
      <c r="AH3644">
        <v>52.645212554740397</v>
      </c>
      <c r="AI3644">
        <v>91.206007851550098</v>
      </c>
      <c r="AJ3644">
        <v>92.842365106292704</v>
      </c>
      <c r="AK3644">
        <v>52.721738220123498</v>
      </c>
      <c r="AL3644">
        <v>87.958384623696901</v>
      </c>
      <c r="AM3644">
        <v>90.865074462166305</v>
      </c>
      <c r="AN3644">
        <v>0.99999999126281203</v>
      </c>
    </row>
    <row r="3645" spans="1:40" x14ac:dyDescent="0.25">
      <c r="A3645" t="str">
        <f>"20190312150729895"</f>
        <v>20190312150729895</v>
      </c>
      <c r="B3645" t="str">
        <f>"1552374449883199"</f>
        <v>1552374449883199</v>
      </c>
      <c r="C3645" t="s">
        <v>40</v>
      </c>
      <c r="D3645">
        <v>4.4151210000000001</v>
      </c>
      <c r="E3645">
        <v>0.48792469999999999</v>
      </c>
      <c r="F3645" t="s">
        <v>68</v>
      </c>
      <c r="G3645">
        <v>-437.61619999999999</v>
      </c>
      <c r="H3645" s="1">
        <v>5.7667740000000001E-6</v>
      </c>
      <c r="I3645">
        <v>282.64519999999999</v>
      </c>
      <c r="J3645">
        <v>-383.80399999999997</v>
      </c>
      <c r="K3645">
        <v>1.10965</v>
      </c>
      <c r="L3645">
        <v>283.93180000000001</v>
      </c>
      <c r="M3645">
        <v>-0.99961849999999997</v>
      </c>
      <c r="N3645">
        <v>0</v>
      </c>
      <c r="O3645">
        <v>2.555965E-2</v>
      </c>
      <c r="P3645">
        <v>-0.99962660000000003</v>
      </c>
      <c r="Q3645">
        <v>2.5277640000000001E-2</v>
      </c>
      <c r="R3645">
        <v>1.038233E-2</v>
      </c>
      <c r="S3645">
        <v>-3.0033569999999998</v>
      </c>
      <c r="T3645">
        <v>-6.1741589999999999E-2</v>
      </c>
      <c r="U3645">
        <v>-7.13501E-2</v>
      </c>
      <c r="V3645">
        <v>-1.515297E-2</v>
      </c>
      <c r="W3645">
        <v>3.57588E-2</v>
      </c>
      <c r="X3645">
        <v>0.99924559999999996</v>
      </c>
      <c r="Y3645">
        <v>-4.9280360000000002E-2</v>
      </c>
      <c r="Z3645">
        <v>-1.031756E-3</v>
      </c>
      <c r="AA3645">
        <v>0.99878440000000002</v>
      </c>
      <c r="AB3645">
        <v>33</v>
      </c>
      <c r="AC3645">
        <v>-53.812199999999898</v>
      </c>
      <c r="AD3645">
        <v>-1.1096442332259999</v>
      </c>
      <c r="AE3645">
        <v>-1.2866000000000199</v>
      </c>
      <c r="AF3645">
        <v>-2.6605453179660001</v>
      </c>
      <c r="AG3645">
        <v>-1.1096442332259999</v>
      </c>
      <c r="AH3645">
        <v>53.738893320216597</v>
      </c>
      <c r="AI3645">
        <v>91.181474930783097</v>
      </c>
      <c r="AJ3645">
        <v>92.834328055531302</v>
      </c>
      <c r="AK3645">
        <v>53.816154331156902</v>
      </c>
      <c r="AL3645">
        <v>87.950734866692699</v>
      </c>
      <c r="AM3645">
        <v>90.868790102197494</v>
      </c>
      <c r="AN3645">
        <v>1.0000000366983</v>
      </c>
    </row>
    <row r="3646" spans="1:40" x14ac:dyDescent="0.25">
      <c r="A3646" t="str">
        <f>"20190312150729908"</f>
        <v>20190312150729908</v>
      </c>
      <c r="B3646" t="str">
        <f>"1552374449903694"</f>
        <v>1552374449903694</v>
      </c>
      <c r="C3646" t="s">
        <v>40</v>
      </c>
      <c r="D3646">
        <v>4.3771100000000001</v>
      </c>
      <c r="E3646">
        <v>0.48798029999999998</v>
      </c>
      <c r="F3646" t="s">
        <v>68</v>
      </c>
      <c r="G3646">
        <v>-439.21730000000002</v>
      </c>
      <c r="H3646" s="1">
        <v>6.4786449999999999E-6</v>
      </c>
      <c r="I3646">
        <v>282.62380000000002</v>
      </c>
      <c r="J3646">
        <v>-383.98259999999999</v>
      </c>
      <c r="K3646">
        <v>1.1096469999999901</v>
      </c>
      <c r="L3646">
        <v>283.93650000000002</v>
      </c>
      <c r="M3646">
        <v>-0.99961529999999998</v>
      </c>
      <c r="N3646">
        <v>0</v>
      </c>
      <c r="O3646">
        <v>2.5691840000000001E-2</v>
      </c>
      <c r="P3646">
        <v>-0.99962709999999999</v>
      </c>
      <c r="Q3646">
        <v>2.5293329999999999E-2</v>
      </c>
      <c r="R3646">
        <v>1.0311030000000001E-2</v>
      </c>
      <c r="S3646">
        <v>-3.0033569999999998</v>
      </c>
      <c r="T3646">
        <v>-6.0141800000000002E-2</v>
      </c>
      <c r="U3646">
        <v>-7.0892330000000003E-2</v>
      </c>
      <c r="V3646">
        <v>-1.5356430000000001E-2</v>
      </c>
      <c r="W3646">
        <v>3.5753559999999997E-2</v>
      </c>
      <c r="X3646">
        <v>0.99924270000000004</v>
      </c>
      <c r="Y3646">
        <v>-4.9261069999999997E-2</v>
      </c>
      <c r="Z3646">
        <v>-1.0074820000000001E-3</v>
      </c>
      <c r="AA3646">
        <v>0.99878540000000005</v>
      </c>
      <c r="AB3646">
        <v>33</v>
      </c>
      <c r="AC3646">
        <v>-55.234699999999997</v>
      </c>
      <c r="AD3646">
        <v>-1.10964052135499</v>
      </c>
      <c r="AE3646">
        <v>-1.3127</v>
      </c>
      <c r="AF3646">
        <v>-2.7303238836558701</v>
      </c>
      <c r="AG3646">
        <v>-1.10964052135499</v>
      </c>
      <c r="AH3646">
        <v>55.1604884122589</v>
      </c>
      <c r="AI3646">
        <v>91.151031052409607</v>
      </c>
      <c r="AJ3646">
        <v>92.833703423248707</v>
      </c>
      <c r="AK3646">
        <v>55.239165928490003</v>
      </c>
      <c r="AL3646">
        <v>87.951035326699397</v>
      </c>
      <c r="AM3646">
        <v>90.880456139026194</v>
      </c>
      <c r="AN3646">
        <v>1.0000000552491499</v>
      </c>
    </row>
    <row r="3647" spans="1:40" x14ac:dyDescent="0.25">
      <c r="A3647" t="str">
        <f>"20190312150729920"</f>
        <v>20190312150729920</v>
      </c>
      <c r="B3647" t="str">
        <f>"1552374449913454"</f>
        <v>1552374449913454</v>
      </c>
      <c r="C3647" t="s">
        <v>40</v>
      </c>
      <c r="D3647">
        <v>4.1729789999999998</v>
      </c>
      <c r="E3647">
        <v>0.48800719999999997</v>
      </c>
      <c r="F3647" t="s">
        <v>67</v>
      </c>
      <c r="G3647">
        <v>-441.08159999999998</v>
      </c>
      <c r="H3647" s="1">
        <v>-8.7281710000000002E-7</v>
      </c>
      <c r="I3647">
        <v>282.59390000000002</v>
      </c>
      <c r="J3647">
        <v>-384.17489999999998</v>
      </c>
      <c r="K3647">
        <v>1.1096429999999999</v>
      </c>
      <c r="L3647">
        <v>283.94159999999999</v>
      </c>
      <c r="M3647">
        <v>-0.99961169999999999</v>
      </c>
      <c r="N3647">
        <v>0</v>
      </c>
      <c r="O3647">
        <v>2.5834099999999999E-2</v>
      </c>
      <c r="P3647">
        <v>-0.99962770000000001</v>
      </c>
      <c r="Q3647">
        <v>2.5287440000000001E-2</v>
      </c>
      <c r="R3647">
        <v>1.0248490000000001E-2</v>
      </c>
      <c r="S3647">
        <v>-3.0033259999999999</v>
      </c>
      <c r="T3647">
        <v>-5.8365939999999998E-2</v>
      </c>
      <c r="U3647">
        <v>-7.0617680000000002E-2</v>
      </c>
      <c r="V3647">
        <v>-1.5560849999999999E-2</v>
      </c>
      <c r="W3647">
        <v>3.572736E-2</v>
      </c>
      <c r="X3647">
        <v>0.99924040000000003</v>
      </c>
      <c r="Y3647">
        <v>-4.9312990000000001E-2</v>
      </c>
      <c r="Z3647">
        <v>-9.8101770000000007E-4</v>
      </c>
      <c r="AA3647">
        <v>0.99878290000000003</v>
      </c>
      <c r="AB3647">
        <v>33</v>
      </c>
      <c r="AC3647">
        <v>-56.906700000000001</v>
      </c>
      <c r="AD3647">
        <v>-1.1096438728171001</v>
      </c>
      <c r="AE3647">
        <v>-1.3476999999999699</v>
      </c>
      <c r="AF3647">
        <v>-2.8163934285014598</v>
      </c>
      <c r="AG3647">
        <v>-1.1096438728171001</v>
      </c>
      <c r="AH3647">
        <v>56.831289904523103</v>
      </c>
      <c r="AI3647">
        <v>91.117200326935802</v>
      </c>
      <c r="AJ3647">
        <v>92.837091159175003</v>
      </c>
      <c r="AK3647">
        <v>56.911851961437101</v>
      </c>
      <c r="AL3647">
        <v>87.952537282921895</v>
      </c>
      <c r="AM3647">
        <v>90.892176667383197</v>
      </c>
      <c r="AN3647">
        <v>0.99999998064872497</v>
      </c>
    </row>
    <row r="3648" spans="1:40" x14ac:dyDescent="0.25">
      <c r="A3648" t="str">
        <f>"20190312150729932"</f>
        <v>20190312150729932</v>
      </c>
      <c r="B3648" t="str">
        <f>"1552374449923216"</f>
        <v>1552374449923216</v>
      </c>
      <c r="C3648" t="s">
        <v>40</v>
      </c>
      <c r="D3648">
        <v>4.133057</v>
      </c>
      <c r="E3648">
        <v>0.48804950000000002</v>
      </c>
      <c r="F3648" t="s">
        <v>67</v>
      </c>
      <c r="G3648">
        <v>-442.15370000000001</v>
      </c>
      <c r="H3648" s="1">
        <v>-3.0175200000000001E-7</v>
      </c>
      <c r="I3648">
        <v>282.58179999999999</v>
      </c>
      <c r="J3648">
        <v>-384.35230000000001</v>
      </c>
      <c r="K3648">
        <v>1.1096379999999999</v>
      </c>
      <c r="L3648">
        <v>283.94630000000001</v>
      </c>
      <c r="M3648">
        <v>-0.99960859999999996</v>
      </c>
      <c r="N3648">
        <v>0</v>
      </c>
      <c r="O3648">
        <v>2.5964959999999999E-2</v>
      </c>
      <c r="P3648">
        <v>-0.9996353</v>
      </c>
      <c r="Q3648">
        <v>2.5027710000000002E-2</v>
      </c>
      <c r="R3648">
        <v>1.016735E-2</v>
      </c>
      <c r="S3648">
        <v>-3.0032649999999999</v>
      </c>
      <c r="T3648">
        <v>-5.7478790000000002E-2</v>
      </c>
      <c r="U3648">
        <v>-7.0434570000000002E-2</v>
      </c>
      <c r="V3648">
        <v>-1.5773510000000001E-2</v>
      </c>
      <c r="W3648">
        <v>3.5450479999999999E-2</v>
      </c>
      <c r="X3648">
        <v>0.999247</v>
      </c>
      <c r="Y3648">
        <v>-4.9383740000000002E-2</v>
      </c>
      <c r="Z3648">
        <v>-9.6930989999999999E-4</v>
      </c>
      <c r="AA3648">
        <v>0.99877939999999998</v>
      </c>
      <c r="AB3648">
        <v>33</v>
      </c>
      <c r="AC3648">
        <v>-57.801400000000001</v>
      </c>
      <c r="AD3648">
        <v>-1.109638301752</v>
      </c>
      <c r="AE3648">
        <v>-1.36450000000002</v>
      </c>
      <c r="AF3648">
        <v>-2.8638774848325799</v>
      </c>
      <c r="AG3648">
        <v>-1.109638301752</v>
      </c>
      <c r="AH3648">
        <v>57.7252169642166</v>
      </c>
      <c r="AI3648">
        <v>91.099895235084105</v>
      </c>
      <c r="AJ3648">
        <v>92.840243356270406</v>
      </c>
      <c r="AK3648">
        <v>57.8068660712092</v>
      </c>
      <c r="AL3648">
        <v>87.968411542970998</v>
      </c>
      <c r="AM3648">
        <v>90.904361480966998</v>
      </c>
      <c r="AN3648">
        <v>1.00000005357947</v>
      </c>
    </row>
    <row r="3649" spans="1:40" x14ac:dyDescent="0.25">
      <c r="A3649" t="str">
        <f>"20190312150729946"</f>
        <v>20190312150729946</v>
      </c>
      <c r="B3649" t="str">
        <f>"1552374449943710"</f>
        <v>1552374449943710</v>
      </c>
      <c r="C3649" t="s">
        <v>40</v>
      </c>
      <c r="D3649">
        <v>4.1655259999999998</v>
      </c>
      <c r="E3649">
        <v>0.48791909999999999</v>
      </c>
      <c r="F3649" t="s">
        <v>67</v>
      </c>
      <c r="G3649">
        <v>-441.88189999999997</v>
      </c>
      <c r="H3649" s="1">
        <v>-4.4714589999999998E-7</v>
      </c>
      <c r="I3649">
        <v>282.59879999999998</v>
      </c>
      <c r="J3649">
        <v>-384.54259999999999</v>
      </c>
      <c r="K3649">
        <v>1.109632</v>
      </c>
      <c r="L3649">
        <v>283.95139999999998</v>
      </c>
      <c r="M3649">
        <v>-0.99960510000000002</v>
      </c>
      <c r="N3649">
        <v>0</v>
      </c>
      <c r="O3649">
        <v>2.6105469999999999E-2</v>
      </c>
      <c r="P3649">
        <v>-0.99963670000000004</v>
      </c>
      <c r="Q3649">
        <v>2.5001590000000001E-2</v>
      </c>
      <c r="R3649">
        <v>1.008003E-2</v>
      </c>
      <c r="S3649">
        <v>-3.0032960000000002</v>
      </c>
      <c r="T3649">
        <v>-5.7927970000000002E-2</v>
      </c>
      <c r="U3649">
        <v>-7.0343020000000006E-2</v>
      </c>
      <c r="V3649">
        <v>-1.6001290000000001E-2</v>
      </c>
      <c r="W3649">
        <v>3.5407599999999997E-2</v>
      </c>
      <c r="X3649">
        <v>0.99924489999999999</v>
      </c>
      <c r="Y3649">
        <v>-4.9493219999999997E-2</v>
      </c>
      <c r="Z3649">
        <v>-9.806388000000001E-4</v>
      </c>
      <c r="AA3649">
        <v>0.99877400000000005</v>
      </c>
      <c r="AB3649">
        <v>33</v>
      </c>
      <c r="AC3649">
        <v>-57.339299999999902</v>
      </c>
      <c r="AD3649">
        <v>-1.10963244714589</v>
      </c>
      <c r="AE3649">
        <v>-1.35259999999999</v>
      </c>
      <c r="AF3649">
        <v>-2.8480233050316999</v>
      </c>
      <c r="AG3649">
        <v>-1.10963244714589</v>
      </c>
      <c r="AH3649">
        <v>57.263010993682698</v>
      </c>
      <c r="AI3649">
        <v>91.108758340778095</v>
      </c>
      <c r="AJ3649">
        <v>92.847306871765198</v>
      </c>
      <c r="AK3649">
        <v>57.344528500776697</v>
      </c>
      <c r="AL3649">
        <v>87.970869931726398</v>
      </c>
      <c r="AM3649">
        <v>90.917420775184297</v>
      </c>
      <c r="AN3649">
        <v>1.0000000547977099</v>
      </c>
    </row>
    <row r="3650" spans="1:40" x14ac:dyDescent="0.25">
      <c r="A3650" t="str">
        <f>"20190312150729958"</f>
        <v>20190312150729958</v>
      </c>
      <c r="B3650" t="str">
        <f>"1552374449953981"</f>
        <v>1552374449953981</v>
      </c>
      <c r="C3650" t="s">
        <v>40</v>
      </c>
      <c r="D3650">
        <v>4.1514419999999896</v>
      </c>
      <c r="E3650">
        <v>0.48789450000000001</v>
      </c>
      <c r="F3650" t="s">
        <v>67</v>
      </c>
      <c r="G3650">
        <v>-441.96859999999998</v>
      </c>
      <c r="H3650" s="1">
        <v>-4.001053E-7</v>
      </c>
      <c r="I3650">
        <v>282.57830000000001</v>
      </c>
      <c r="J3650">
        <v>-384.72789999999998</v>
      </c>
      <c r="K3650">
        <v>1.1096360000000001</v>
      </c>
      <c r="L3650">
        <v>283.95639999999997</v>
      </c>
      <c r="M3650">
        <v>-0.99960179999999998</v>
      </c>
      <c r="N3650">
        <v>0</v>
      </c>
      <c r="O3650">
        <v>2.6242580000000001E-2</v>
      </c>
      <c r="P3650">
        <v>-0.99963769999999996</v>
      </c>
      <c r="Q3650">
        <v>2.518919E-2</v>
      </c>
      <c r="R3650">
        <v>9.4837150000000002E-3</v>
      </c>
      <c r="S3650">
        <v>-3.0032649999999999</v>
      </c>
      <c r="T3650">
        <v>-5.8031560000000003E-2</v>
      </c>
      <c r="U3650">
        <v>-7.1807860000000001E-2</v>
      </c>
      <c r="V3650">
        <v>-1.6734490000000001E-2</v>
      </c>
      <c r="W3650">
        <v>3.5580580000000001E-2</v>
      </c>
      <c r="X3650">
        <v>0.99922670000000002</v>
      </c>
      <c r="Y3650">
        <v>-5.0117109999999999E-2</v>
      </c>
      <c r="Z3650">
        <v>-9.9107179999999989E-4</v>
      </c>
      <c r="AA3650">
        <v>0.99874289999999999</v>
      </c>
      <c r="AB3650">
        <v>33</v>
      </c>
      <c r="AC3650">
        <v>-57.240699999999997</v>
      </c>
      <c r="AD3650">
        <v>-1.1096364001053001</v>
      </c>
      <c r="AE3650">
        <v>-1.3780999999999599</v>
      </c>
      <c r="AF3650">
        <v>-2.8787685827775298</v>
      </c>
      <c r="AG3650">
        <v>-1.1096364001053001</v>
      </c>
      <c r="AH3650">
        <v>57.163348295128998</v>
      </c>
      <c r="AI3650">
        <v>91.110660279507201</v>
      </c>
      <c r="AJ3650">
        <v>92.883002256564097</v>
      </c>
      <c r="AK3650">
        <v>57.246545658265298</v>
      </c>
      <c r="AL3650">
        <v>87.960952566722895</v>
      </c>
      <c r="AM3650">
        <v>90.9594679791348</v>
      </c>
      <c r="AN3650">
        <v>1.0000000094107899</v>
      </c>
    </row>
    <row r="3651" spans="1:40" x14ac:dyDescent="0.25">
      <c r="A3651" t="str">
        <f>"20190312150729970"</f>
        <v>20190312150729970</v>
      </c>
      <c r="B3651" t="str">
        <f>"1552374449963738"</f>
        <v>1552374449963738</v>
      </c>
      <c r="C3651" t="s">
        <v>40</v>
      </c>
      <c r="D3651">
        <v>4.1522459999999999</v>
      </c>
      <c r="E3651">
        <v>0.48781720000000001</v>
      </c>
      <c r="F3651" t="s">
        <v>67</v>
      </c>
      <c r="G3651">
        <v>-442.65249999999997</v>
      </c>
      <c r="H3651" s="1">
        <v>-3.4120530000000001E-8</v>
      </c>
      <c r="I3651">
        <v>282.5308</v>
      </c>
      <c r="J3651">
        <v>-384.89429999999999</v>
      </c>
      <c r="K3651">
        <v>1.1096349999999999</v>
      </c>
      <c r="L3651">
        <v>283.96089999999998</v>
      </c>
      <c r="M3651">
        <v>-0.99959869999999995</v>
      </c>
      <c r="N3651">
        <v>0</v>
      </c>
      <c r="O3651">
        <v>2.6365779999999998E-2</v>
      </c>
      <c r="P3651">
        <v>-0.99963690000000005</v>
      </c>
      <c r="Q3651">
        <v>2.519629E-2</v>
      </c>
      <c r="R3651">
        <v>9.5681489999999998E-3</v>
      </c>
      <c r="S3651">
        <v>-3.0032350000000001</v>
      </c>
      <c r="T3651">
        <v>-5.753171E-2</v>
      </c>
      <c r="U3651">
        <v>-7.3913569999999998E-2</v>
      </c>
      <c r="V3651">
        <v>-1.6773079999999999E-2</v>
      </c>
      <c r="W3651">
        <v>3.557486E-2</v>
      </c>
      <c r="X3651">
        <v>0.99922630000000001</v>
      </c>
      <c r="Y3651">
        <v>-5.0940359999999997E-2</v>
      </c>
      <c r="Z3651">
        <v>-9.9278259999999998E-4</v>
      </c>
      <c r="AA3651">
        <v>0.99870119999999896</v>
      </c>
      <c r="AB3651">
        <v>33</v>
      </c>
      <c r="AC3651">
        <v>-57.758199999999903</v>
      </c>
      <c r="AD3651">
        <v>-1.1096350341205301</v>
      </c>
      <c r="AE3651">
        <v>-1.4300999999999799</v>
      </c>
      <c r="AF3651">
        <v>-2.9514357998548402</v>
      </c>
      <c r="AG3651">
        <v>-1.1096350341205301</v>
      </c>
      <c r="AH3651">
        <v>57.679135413241099</v>
      </c>
      <c r="AI3651">
        <v>91.100684358323207</v>
      </c>
      <c r="AJ3651">
        <v>92.929264675844905</v>
      </c>
      <c r="AK3651">
        <v>57.765257077317798</v>
      </c>
      <c r="AL3651">
        <v>87.961280594574902</v>
      </c>
      <c r="AM3651">
        <v>90.961680497403506</v>
      </c>
      <c r="AN3651">
        <v>1.0000000527441899</v>
      </c>
    </row>
    <row r="3652" spans="1:40" x14ac:dyDescent="0.25">
      <c r="A3652" t="str">
        <f>"20190312150729993"</f>
        <v>20190312150729993</v>
      </c>
      <c r="B3652" t="str">
        <f>"1552374449983258"</f>
        <v>1552374449983258</v>
      </c>
      <c r="C3652" t="s">
        <v>40</v>
      </c>
      <c r="D3652">
        <v>4.3156049999999997</v>
      </c>
      <c r="E3652">
        <v>0.48785650000000003</v>
      </c>
      <c r="F3652" t="s">
        <v>67</v>
      </c>
      <c r="G3652">
        <v>-442.44319999999999</v>
      </c>
      <c r="H3652" s="1">
        <v>-1.4583200000000001E-7</v>
      </c>
      <c r="I3652">
        <v>282.53870000000001</v>
      </c>
      <c r="J3652">
        <v>-385.22859999999997</v>
      </c>
      <c r="K3652">
        <v>1.1096349999999999</v>
      </c>
      <c r="L3652">
        <v>283.9699</v>
      </c>
      <c r="M3652">
        <v>-0.99959219999999904</v>
      </c>
      <c r="N3652">
        <v>0</v>
      </c>
      <c r="O3652">
        <v>2.6612710000000001E-2</v>
      </c>
      <c r="P3652">
        <v>-0.99963519999999995</v>
      </c>
      <c r="Q3652">
        <v>2.551633E-2</v>
      </c>
      <c r="R3652">
        <v>8.8632390000000002E-3</v>
      </c>
      <c r="S3652">
        <v>-3.0032350000000001</v>
      </c>
      <c r="T3652">
        <v>-5.7907220000000002E-2</v>
      </c>
      <c r="U3652">
        <v>-7.421875E-2</v>
      </c>
      <c r="V3652">
        <v>-1.772439E-2</v>
      </c>
      <c r="W3652">
        <v>3.5874120000000002E-2</v>
      </c>
      <c r="X3652">
        <v>0.99919919999999995</v>
      </c>
      <c r="Y3652">
        <v>-5.1288189999999997E-2</v>
      </c>
      <c r="Z3652">
        <v>-1.007373E-3</v>
      </c>
      <c r="AA3652">
        <v>0.9986834</v>
      </c>
      <c r="AB3652">
        <v>33</v>
      </c>
      <c r="AC3652">
        <v>-57.214599999999997</v>
      </c>
      <c r="AD3652">
        <v>-1.109635145832</v>
      </c>
      <c r="AE3652">
        <v>-1.43119999999998</v>
      </c>
      <c r="AF3652">
        <v>-2.95230044075221</v>
      </c>
      <c r="AG3652">
        <v>-1.109635145832</v>
      </c>
      <c r="AH3652">
        <v>57.134766265669398</v>
      </c>
      <c r="AI3652">
        <v>91.111140325571697</v>
      </c>
      <c r="AJ3652">
        <v>92.957989616682198</v>
      </c>
      <c r="AK3652">
        <v>57.221751845622599</v>
      </c>
      <c r="AL3652">
        <v>87.944123352022004</v>
      </c>
      <c r="AM3652">
        <v>91.016240051497903</v>
      </c>
      <c r="AN3652">
        <v>1.0000000738836401</v>
      </c>
    </row>
    <row r="3653" spans="1:40" x14ac:dyDescent="0.25">
      <c r="A3653" t="str">
        <f>"20190312150730015"</f>
        <v>20190312150730015</v>
      </c>
      <c r="B3653" t="str">
        <f>"1552374450003754"</f>
        <v>1552374450003754</v>
      </c>
      <c r="C3653" t="s">
        <v>40</v>
      </c>
      <c r="D3653">
        <v>4.0985769999999997</v>
      </c>
      <c r="E3653">
        <v>0.48805609999999999</v>
      </c>
      <c r="F3653" t="s">
        <v>67</v>
      </c>
      <c r="G3653">
        <v>-445.16070000000002</v>
      </c>
      <c r="H3653" s="1">
        <v>1.303894E-6</v>
      </c>
      <c r="I3653">
        <v>282.45589999999999</v>
      </c>
      <c r="J3653">
        <v>-385.55180000000001</v>
      </c>
      <c r="K3653">
        <v>1.109631</v>
      </c>
      <c r="L3653">
        <v>283.97879999999998</v>
      </c>
      <c r="M3653">
        <v>-0.99958599999999997</v>
      </c>
      <c r="N3653">
        <v>0</v>
      </c>
      <c r="O3653">
        <v>2.685127E-2</v>
      </c>
      <c r="P3653">
        <v>-0.99963639999999998</v>
      </c>
      <c r="Q3653">
        <v>2.5821630000000002E-2</v>
      </c>
      <c r="R3653">
        <v>7.7897640000000002E-3</v>
      </c>
      <c r="S3653">
        <v>-3.0032040000000002</v>
      </c>
      <c r="T3653">
        <v>-5.5603859999999998E-2</v>
      </c>
      <c r="U3653">
        <v>-7.5866699999999995E-2</v>
      </c>
      <c r="V3653">
        <v>-1.9035860000000002E-2</v>
      </c>
      <c r="W3653">
        <v>3.6161949999999998E-2</v>
      </c>
      <c r="X3653">
        <v>0.99916459999999996</v>
      </c>
      <c r="Y3653">
        <v>-5.2075370000000003E-2</v>
      </c>
      <c r="Z3653">
        <v>-9.7901470000000008E-4</v>
      </c>
      <c r="AA3653">
        <v>0.99864269999999999</v>
      </c>
      <c r="AB3653">
        <v>33</v>
      </c>
      <c r="AC3653">
        <v>-59.608899999999998</v>
      </c>
      <c r="AD3653">
        <v>-1.1096296961059999</v>
      </c>
      <c r="AE3653">
        <v>-1.5228999999999899</v>
      </c>
      <c r="AF3653">
        <v>-3.1219299006413301</v>
      </c>
      <c r="AG3653">
        <v>-1.1096296961059999</v>
      </c>
      <c r="AH3653">
        <v>59.525897387348998</v>
      </c>
      <c r="AI3653">
        <v>91.066468710620995</v>
      </c>
      <c r="AJ3653">
        <v>93.002217178369406</v>
      </c>
      <c r="AK3653">
        <v>59.618035728596404</v>
      </c>
      <c r="AL3653">
        <v>87.927620994800904</v>
      </c>
      <c r="AM3653">
        <v>91.091454306301102</v>
      </c>
      <c r="AN3653">
        <v>0.99999997424345</v>
      </c>
    </row>
    <row r="3654" spans="1:40" x14ac:dyDescent="0.25">
      <c r="A3654" t="str">
        <f>"20190312150730029"</f>
        <v>20190312150730029</v>
      </c>
      <c r="B3654" t="str">
        <f>"1552374450023273"</f>
        <v>1552374450023273</v>
      </c>
      <c r="C3654" t="s">
        <v>40</v>
      </c>
      <c r="D3654">
        <v>4.1614009999999997</v>
      </c>
      <c r="E3654">
        <v>0.46552539999999998</v>
      </c>
      <c r="F3654" t="s">
        <v>67</v>
      </c>
      <c r="G3654">
        <v>-445.66590000000002</v>
      </c>
      <c r="H3654" s="1">
        <v>1.5742929999999999E-6</v>
      </c>
      <c r="I3654">
        <v>282.42110000000002</v>
      </c>
      <c r="J3654">
        <v>-385.75400000000002</v>
      </c>
      <c r="K3654">
        <v>1.109632</v>
      </c>
      <c r="L3654">
        <v>283.98430000000002</v>
      </c>
      <c r="M3654">
        <v>-0.99958219999999998</v>
      </c>
      <c r="N3654">
        <v>0</v>
      </c>
      <c r="O3654">
        <v>2.7000329999999999E-2</v>
      </c>
      <c r="P3654">
        <v>-0.99963900000000006</v>
      </c>
      <c r="Q3654">
        <v>2.5865260000000001E-2</v>
      </c>
      <c r="R3654">
        <v>7.2850669999999897E-3</v>
      </c>
      <c r="S3654">
        <v>-3.003174</v>
      </c>
      <c r="T3654">
        <v>-5.5434700000000003E-2</v>
      </c>
      <c r="U3654">
        <v>-7.7819819999999998E-2</v>
      </c>
      <c r="V3654">
        <v>-1.9689499999999999E-2</v>
      </c>
      <c r="W3654">
        <v>3.6196730000000003E-2</v>
      </c>
      <c r="X3654">
        <v>0.99915069999999995</v>
      </c>
      <c r="Y3654">
        <v>-5.2873490000000002E-2</v>
      </c>
      <c r="Z3654">
        <v>-9.8615450000000011E-4</v>
      </c>
      <c r="AA3654">
        <v>0.99860070000000001</v>
      </c>
      <c r="AB3654">
        <v>33</v>
      </c>
      <c r="AC3654">
        <v>-59.911900000000003</v>
      </c>
      <c r="AD3654">
        <v>-1.109630425707</v>
      </c>
      <c r="AE3654">
        <v>-1.5631999999999899</v>
      </c>
      <c r="AF3654">
        <v>-3.1792673394074198</v>
      </c>
      <c r="AG3654">
        <v>-1.109630425707</v>
      </c>
      <c r="AH3654">
        <v>59.827337575089899</v>
      </c>
      <c r="AI3654">
        <v>91.061058467655698</v>
      </c>
      <c r="AJ3654">
        <v>93.041877338642706</v>
      </c>
      <c r="AK3654">
        <v>59.922027183839802</v>
      </c>
      <c r="AL3654">
        <v>87.925626996530696</v>
      </c>
      <c r="AM3654">
        <v>91.128938061376402</v>
      </c>
      <c r="AN3654">
        <v>1.00000000049171</v>
      </c>
    </row>
    <row r="3655" spans="1:40" x14ac:dyDescent="0.25">
      <c r="A3655" t="str">
        <f>"20190312150730042"</f>
        <v>20190312150730042</v>
      </c>
      <c r="B3655" t="str">
        <f>"1552374450034012"</f>
        <v>1552374450034012</v>
      </c>
      <c r="C3655" t="s">
        <v>40</v>
      </c>
      <c r="D3655">
        <v>4.0253930000000002</v>
      </c>
      <c r="E3655">
        <v>0.46437400000000001</v>
      </c>
      <c r="F3655" t="s">
        <v>61</v>
      </c>
      <c r="G3655">
        <v>-470.1447</v>
      </c>
      <c r="H3655">
        <v>8.000061E-2</v>
      </c>
      <c r="I3655">
        <v>276.7251</v>
      </c>
      <c r="J3655">
        <v>-385.96339999999998</v>
      </c>
      <c r="K3655">
        <v>1.109629</v>
      </c>
      <c r="L3655">
        <v>283.99009999999998</v>
      </c>
      <c r="M3655">
        <v>-0.99957810000000002</v>
      </c>
      <c r="N3655">
        <v>0</v>
      </c>
      <c r="O3655">
        <v>2.7154029999999999E-2</v>
      </c>
      <c r="P3655">
        <v>-0.99963900000000006</v>
      </c>
      <c r="Q3655">
        <v>2.599943E-2</v>
      </c>
      <c r="R3655">
        <v>6.800899E-3</v>
      </c>
      <c r="S3655">
        <v>-3.0039060000000002</v>
      </c>
      <c r="T3655">
        <v>-3.6649939999999999E-2</v>
      </c>
      <c r="U3655">
        <v>-0.25839230000000002</v>
      </c>
      <c r="V3655">
        <v>-2.0326879999999999E-2</v>
      </c>
      <c r="W3655">
        <v>3.6322050000000002E-2</v>
      </c>
      <c r="X3655">
        <v>0.99913339999999995</v>
      </c>
      <c r="Y3655">
        <v>-0.11271589999999999</v>
      </c>
      <c r="Z3655">
        <v>-1.017078E-3</v>
      </c>
      <c r="AA3655">
        <v>0.99362669999999997</v>
      </c>
      <c r="AB3655">
        <v>33</v>
      </c>
      <c r="AC3655">
        <v>-84.181299999999993</v>
      </c>
      <c r="AD3655">
        <v>-1.0296283900000001</v>
      </c>
      <c r="AE3655">
        <v>-7.2649999999999801</v>
      </c>
      <c r="AF3655">
        <v>-9.5468862061259099</v>
      </c>
      <c r="AG3655">
        <v>-1.0296283900000001</v>
      </c>
      <c r="AH3655">
        <v>83.940506678180995</v>
      </c>
      <c r="AI3655">
        <v>90.698263234546801</v>
      </c>
      <c r="AJ3655">
        <v>96.488594188440501</v>
      </c>
      <c r="AK3655">
        <v>84.4879389750038</v>
      </c>
      <c r="AL3655">
        <v>87.918441988994005</v>
      </c>
      <c r="AM3655">
        <v>91.165493809731302</v>
      </c>
      <c r="AN3655">
        <v>1.0000000121811401</v>
      </c>
    </row>
    <row r="3656" spans="1:40" x14ac:dyDescent="0.25">
      <c r="A3656" t="str">
        <f>"20190312150730059"</f>
        <v>20190312150730059</v>
      </c>
      <c r="B3656" t="str">
        <f>"1552374450053531"</f>
        <v>1552374450053531</v>
      </c>
      <c r="C3656" t="s">
        <v>40</v>
      </c>
      <c r="D3656">
        <v>4.0806630000000004</v>
      </c>
      <c r="E3656">
        <v>0.46341159999999998</v>
      </c>
      <c r="F3656" t="s">
        <v>61</v>
      </c>
      <c r="G3656">
        <v>-475.93759999999997</v>
      </c>
      <c r="H3656">
        <v>7.9999769999999998E-2</v>
      </c>
      <c r="I3656">
        <v>275.93520000000001</v>
      </c>
      <c r="J3656">
        <v>-386.2013</v>
      </c>
      <c r="K3656">
        <v>1.109621</v>
      </c>
      <c r="L3656">
        <v>283.99680000000001</v>
      </c>
      <c r="M3656">
        <v>-0.9995735</v>
      </c>
      <c r="N3656">
        <v>0</v>
      </c>
      <c r="O3656">
        <v>2.732733E-2</v>
      </c>
      <c r="P3656">
        <v>-0.99964059999999999</v>
      </c>
      <c r="Q3656">
        <v>2.616914E-2</v>
      </c>
      <c r="R3656">
        <v>5.839576E-3</v>
      </c>
      <c r="S3656">
        <v>-3.0038450000000001</v>
      </c>
      <c r="T3656">
        <v>-3.4374830000000002E-2</v>
      </c>
      <c r="U3656">
        <v>-0.26892090000000002</v>
      </c>
      <c r="V3656">
        <v>-2.1461569999999999E-2</v>
      </c>
      <c r="W3656">
        <v>3.6483599999999998E-2</v>
      </c>
      <c r="X3656">
        <v>0.99910379999999999</v>
      </c>
      <c r="Y3656">
        <v>-0.1163462</v>
      </c>
      <c r="Z3656">
        <v>-9.7653200000000001E-4</v>
      </c>
      <c r="AA3656">
        <v>0.99320819999999999</v>
      </c>
      <c r="AB3656">
        <v>33</v>
      </c>
      <c r="AC3656">
        <v>-89.7362999999999</v>
      </c>
      <c r="AD3656">
        <v>-1.0296212300000001</v>
      </c>
      <c r="AE3656">
        <v>-8.0615999999999897</v>
      </c>
      <c r="AF3656">
        <v>-10.5095999867623</v>
      </c>
      <c r="AG3656">
        <v>-1.0296212300000001</v>
      </c>
      <c r="AH3656">
        <v>89.470785264697199</v>
      </c>
      <c r="AI3656">
        <v>90.654823550473395</v>
      </c>
      <c r="AJ3656">
        <v>96.699493593773994</v>
      </c>
      <c r="AK3656">
        <v>90.091804442138795</v>
      </c>
      <c r="AL3656">
        <v>87.909179749143405</v>
      </c>
      <c r="AM3656">
        <v>91.230571141096604</v>
      </c>
      <c r="AN3656">
        <v>1.00000002761513</v>
      </c>
    </row>
    <row r="3657" spans="1:40" x14ac:dyDescent="0.25">
      <c r="A3657" t="str">
        <f>"20190312150730071"</f>
        <v>20190312150730071</v>
      </c>
      <c r="B3657" t="str">
        <f>"1552374450063290"</f>
        <v>1552374450063290</v>
      </c>
      <c r="C3657" t="s">
        <v>40</v>
      </c>
      <c r="D3657">
        <v>4.0773020000000004</v>
      </c>
      <c r="E3657">
        <v>0.46308709999999997</v>
      </c>
      <c r="F3657" t="s">
        <v>46</v>
      </c>
      <c r="G3657">
        <v>-455.50069999999999</v>
      </c>
      <c r="H3657">
        <v>0.19074630000000001</v>
      </c>
      <c r="I3657">
        <v>277.5376</v>
      </c>
      <c r="J3657">
        <v>-386.37450000000001</v>
      </c>
      <c r="K3657">
        <v>1.1096189999999999</v>
      </c>
      <c r="L3657">
        <v>284.0016</v>
      </c>
      <c r="M3657">
        <v>-0.99957010000000002</v>
      </c>
      <c r="N3657">
        <v>0</v>
      </c>
      <c r="O3657">
        <v>2.7453060000000001E-2</v>
      </c>
      <c r="P3657">
        <v>-0.99964319999999895</v>
      </c>
      <c r="Q3657">
        <v>2.6130939999999998E-2</v>
      </c>
      <c r="R3657">
        <v>5.5612190000000001E-3</v>
      </c>
      <c r="S3657">
        <v>-3.0037539999999998</v>
      </c>
      <c r="T3657">
        <v>-3.9825319999999997E-2</v>
      </c>
      <c r="U3657">
        <v>-0.2799683</v>
      </c>
      <c r="V3657">
        <v>-2.1865599999999999E-2</v>
      </c>
      <c r="W3657">
        <v>3.6440229999999997E-2</v>
      </c>
      <c r="X3657">
        <v>0.9990966</v>
      </c>
      <c r="Y3657">
        <v>-0.12009209999999999</v>
      </c>
      <c r="Z3657">
        <v>-1.1576500000000001E-3</v>
      </c>
      <c r="AA3657">
        <v>0.99276209999999998</v>
      </c>
      <c r="AB3657">
        <v>33</v>
      </c>
      <c r="AC3657">
        <v>-69.126199999999898</v>
      </c>
      <c r="AD3657">
        <v>-0.91887269999999999</v>
      </c>
      <c r="AE3657">
        <v>-6.4639999999999898</v>
      </c>
      <c r="AF3657">
        <v>-8.3579256649086897</v>
      </c>
      <c r="AG3657">
        <v>-0.91887269999999999</v>
      </c>
      <c r="AH3657">
        <v>68.910606516886702</v>
      </c>
      <c r="AI3657">
        <v>90.758395042893397</v>
      </c>
      <c r="AJ3657">
        <v>96.915426464242103</v>
      </c>
      <c r="AK3657">
        <v>69.421689254757595</v>
      </c>
      <c r="AL3657">
        <v>87.911666274245903</v>
      </c>
      <c r="AM3657">
        <v>91.253739263328001</v>
      </c>
      <c r="AN3657">
        <v>1.00000000547868</v>
      </c>
    </row>
    <row r="3658" spans="1:40" x14ac:dyDescent="0.25">
      <c r="A3658" t="str">
        <f>"20190312150730082"</f>
        <v>20190312150730082</v>
      </c>
      <c r="B3658" t="str">
        <f>"1552374450074026"</f>
        <v>1552374450074026</v>
      </c>
      <c r="C3658" t="s">
        <v>40</v>
      </c>
      <c r="D3658">
        <v>4.0589570000000004</v>
      </c>
      <c r="E3658">
        <v>0.46294360000000001</v>
      </c>
      <c r="F3658" t="s">
        <v>46</v>
      </c>
      <c r="G3658">
        <v>-454.9196</v>
      </c>
      <c r="H3658">
        <v>0.1087471</v>
      </c>
      <c r="I3658">
        <v>277.5376</v>
      </c>
      <c r="J3658">
        <v>-386.54849999999999</v>
      </c>
      <c r="K3658">
        <v>1.109618</v>
      </c>
      <c r="L3658">
        <v>284.00650000000002</v>
      </c>
      <c r="M3658">
        <v>-0.99956659999999997</v>
      </c>
      <c r="N3658">
        <v>0</v>
      </c>
      <c r="O3658">
        <v>2.7579079999999999E-2</v>
      </c>
      <c r="P3658">
        <v>-0.99964770000000003</v>
      </c>
      <c r="Q3658">
        <v>2.5978290000000001E-2</v>
      </c>
      <c r="R3658">
        <v>5.4449449999999996E-3</v>
      </c>
      <c r="S3658">
        <v>-3.003784</v>
      </c>
      <c r="T3658">
        <v>-4.3857220000000002E-2</v>
      </c>
      <c r="U3658">
        <v>-0.28326420000000002</v>
      </c>
      <c r="V3658">
        <v>-2.210823E-2</v>
      </c>
      <c r="W3658">
        <v>3.6282509999999997E-2</v>
      </c>
      <c r="X3658">
        <v>0.99909700000000001</v>
      </c>
      <c r="Y3658">
        <v>-0.1212932</v>
      </c>
      <c r="Z3658">
        <v>-1.2853470000000001E-3</v>
      </c>
      <c r="AA3658">
        <v>0.9926159</v>
      </c>
      <c r="AB3658">
        <v>33</v>
      </c>
      <c r="AC3658">
        <v>-68.371099999999998</v>
      </c>
      <c r="AD3658">
        <v>-1.0008709</v>
      </c>
      <c r="AE3658">
        <v>-6.4689000000000103</v>
      </c>
      <c r="AF3658">
        <v>-8.3503775551955002</v>
      </c>
      <c r="AG3658">
        <v>-1.0008709</v>
      </c>
      <c r="AH3658">
        <v>68.152199745113407</v>
      </c>
      <c r="AI3658">
        <v>90.835130544775893</v>
      </c>
      <c r="AJ3658">
        <v>96.985372926129898</v>
      </c>
      <c r="AK3658">
        <v>68.669155215210097</v>
      </c>
      <c r="AL3658">
        <v>87.920708943177303</v>
      </c>
      <c r="AM3658">
        <v>91.267646265626794</v>
      </c>
      <c r="AN3658">
        <v>1.0000000048873099</v>
      </c>
    </row>
    <row r="3659" spans="1:40" x14ac:dyDescent="0.25">
      <c r="A3659" t="str">
        <f>"20190312150730094"</f>
        <v>20190312150730094</v>
      </c>
      <c r="B3659" t="str">
        <f>"1552374450083787"</f>
        <v>1552374450083787</v>
      </c>
      <c r="C3659" t="s">
        <v>40</v>
      </c>
      <c r="D3659">
        <v>4.0422529999999997</v>
      </c>
      <c r="E3659">
        <v>0.46275369999999999</v>
      </c>
      <c r="F3659" t="s">
        <v>67</v>
      </c>
      <c r="G3659">
        <v>-452.90910000000002</v>
      </c>
      <c r="H3659">
        <v>8.0000909999999995E-2</v>
      </c>
      <c r="I3659">
        <v>277.7122</v>
      </c>
      <c r="J3659">
        <v>-386.7176</v>
      </c>
      <c r="K3659">
        <v>1.1096200000000001</v>
      </c>
      <c r="L3659">
        <v>284.01130000000001</v>
      </c>
      <c r="M3659">
        <v>-0.99956330000000004</v>
      </c>
      <c r="N3659">
        <v>0</v>
      </c>
      <c r="O3659">
        <v>2.770063E-2</v>
      </c>
      <c r="P3659">
        <v>-0.99964889999999995</v>
      </c>
      <c r="Q3659">
        <v>2.5974589999999999E-2</v>
      </c>
      <c r="R3659">
        <v>5.2262369999999999E-3</v>
      </c>
      <c r="S3659">
        <v>-3.0038149999999999</v>
      </c>
      <c r="T3659">
        <v>-4.6605590000000002E-2</v>
      </c>
      <c r="U3659">
        <v>-0.284912099999999</v>
      </c>
      <c r="V3659">
        <v>-2.244838E-2</v>
      </c>
      <c r="W3659">
        <v>3.627441E-2</v>
      </c>
      <c r="X3659">
        <v>0.99908969999999997</v>
      </c>
      <c r="Y3659">
        <v>-0.1219505</v>
      </c>
      <c r="Z3659">
        <v>-1.372807E-3</v>
      </c>
      <c r="AA3659">
        <v>0.99253519999999895</v>
      </c>
      <c r="AB3659">
        <v>33</v>
      </c>
      <c r="AC3659">
        <v>-66.191500000000005</v>
      </c>
      <c r="AD3659">
        <v>-1.02961909</v>
      </c>
      <c r="AE3659">
        <v>-6.2991000000000099</v>
      </c>
      <c r="AF3659">
        <v>-8.1283767688316306</v>
      </c>
      <c r="AG3659">
        <v>-1.02961909</v>
      </c>
      <c r="AH3659">
        <v>65.975778552423193</v>
      </c>
      <c r="AI3659">
        <v>90.887378065995307</v>
      </c>
      <c r="AJ3659">
        <v>97.023585803719499</v>
      </c>
      <c r="AK3659">
        <v>66.482584034955806</v>
      </c>
      <c r="AL3659">
        <v>87.921173325412894</v>
      </c>
      <c r="AM3659">
        <v>91.287152746654101</v>
      </c>
      <c r="AN3659">
        <v>0.99999999561578101</v>
      </c>
    </row>
    <row r="3660" spans="1:40" x14ac:dyDescent="0.25">
      <c r="A3660" t="str">
        <f>"20190312150730115"</f>
        <v>20190312150730115</v>
      </c>
      <c r="B3660" t="str">
        <f>"1552374450103309"</f>
        <v>1552374450103309</v>
      </c>
      <c r="C3660" t="s">
        <v>40</v>
      </c>
      <c r="D3660">
        <v>4.0948570000000002</v>
      </c>
      <c r="E3660">
        <v>0.46275729999999998</v>
      </c>
      <c r="F3660" t="s">
        <v>46</v>
      </c>
      <c r="G3660">
        <v>-454.8227</v>
      </c>
      <c r="H3660">
        <v>0.11584270000000001</v>
      </c>
      <c r="I3660">
        <v>277.50830000000002</v>
      </c>
      <c r="J3660">
        <v>-387.01769999999999</v>
      </c>
      <c r="K3660">
        <v>1.1096200000000001</v>
      </c>
      <c r="L3660">
        <v>284.01979999999998</v>
      </c>
      <c r="M3660">
        <v>-0.99955729999999998</v>
      </c>
      <c r="N3660">
        <v>0</v>
      </c>
      <c r="O3660">
        <v>2.791503E-2</v>
      </c>
      <c r="P3660">
        <v>-0.99965119999999996</v>
      </c>
      <c r="Q3660">
        <v>2.5890610000000001E-2</v>
      </c>
      <c r="R3660">
        <v>5.2045360000000001E-3</v>
      </c>
      <c r="S3660">
        <v>-3.0036930000000002</v>
      </c>
      <c r="T3660">
        <v>-4.3826339999999998E-2</v>
      </c>
      <c r="U3660">
        <v>-0.28680420000000001</v>
      </c>
      <c r="V3660">
        <v>-2.268475E-2</v>
      </c>
      <c r="W3660">
        <v>3.618387E-2</v>
      </c>
      <c r="X3660">
        <v>0.99908759999999996</v>
      </c>
      <c r="Y3660">
        <v>-0.1227887</v>
      </c>
      <c r="Z3660">
        <v>-1.300189E-3</v>
      </c>
      <c r="AA3660">
        <v>0.99243199999999998</v>
      </c>
      <c r="AB3660">
        <v>33</v>
      </c>
      <c r="AC3660">
        <v>-67.805000000000007</v>
      </c>
      <c r="AD3660">
        <v>-0.99377729999999997</v>
      </c>
      <c r="AE3660">
        <v>-6.5114999999999501</v>
      </c>
      <c r="AF3660">
        <v>-8.4000531614116092</v>
      </c>
      <c r="AG3660">
        <v>-0.99377729999999997</v>
      </c>
      <c r="AH3660">
        <v>67.582410492167696</v>
      </c>
      <c r="AI3660">
        <v>90.836022899740996</v>
      </c>
      <c r="AJ3660">
        <v>97.085155199410707</v>
      </c>
      <c r="AK3660">
        <v>68.109696037850597</v>
      </c>
      <c r="AL3660">
        <v>87.926364201414202</v>
      </c>
      <c r="AM3660">
        <v>91.300703910335997</v>
      </c>
      <c r="AN3660">
        <v>0.99999995140224796</v>
      </c>
    </row>
    <row r="3661" spans="1:40" x14ac:dyDescent="0.25">
      <c r="A3661" t="str">
        <f>"20190312150730137"</f>
        <v>20190312150730137</v>
      </c>
      <c r="B3661" t="str">
        <f>"1552374450133562"</f>
        <v>1552374450133562</v>
      </c>
      <c r="C3661" t="s">
        <v>40</v>
      </c>
      <c r="D3661">
        <v>4.1649159999999998</v>
      </c>
      <c r="E3661">
        <v>0.46300940000000002</v>
      </c>
      <c r="F3661" t="s">
        <v>67</v>
      </c>
      <c r="G3661">
        <v>-453.75700000000001</v>
      </c>
      <c r="H3661">
        <v>8.0000660000000001E-2</v>
      </c>
      <c r="I3661">
        <v>277.6447</v>
      </c>
      <c r="J3661">
        <v>-387.34719999999999</v>
      </c>
      <c r="K3661">
        <v>1.109621</v>
      </c>
      <c r="L3661">
        <v>284.02929999999998</v>
      </c>
      <c r="M3661">
        <v>-0.99955099999999997</v>
      </c>
      <c r="N3661">
        <v>0</v>
      </c>
      <c r="O3661">
        <v>2.8146600000000001E-2</v>
      </c>
      <c r="P3661">
        <v>-0.99965130000000002</v>
      </c>
      <c r="Q3661">
        <v>2.5803429999999999E-2</v>
      </c>
      <c r="R3661">
        <v>5.5865690000000004E-3</v>
      </c>
      <c r="S3661">
        <v>-3.0037539999999998</v>
      </c>
      <c r="T3661">
        <v>-4.6340350000000002E-2</v>
      </c>
      <c r="U3661">
        <v>-0.28692630000000002</v>
      </c>
      <c r="V3661">
        <v>-2.2534760000000001E-2</v>
      </c>
      <c r="W3661">
        <v>3.6090940000000002E-2</v>
      </c>
      <c r="X3661">
        <v>0.99909440000000005</v>
      </c>
      <c r="Y3661">
        <v>-0.1230547</v>
      </c>
      <c r="Z3661">
        <v>-1.3803450000000001E-3</v>
      </c>
      <c r="AA3661">
        <v>0.99239889999999997</v>
      </c>
      <c r="AB3661">
        <v>33</v>
      </c>
      <c r="AC3661">
        <v>-66.409799999999905</v>
      </c>
      <c r="AD3661">
        <v>-1.0296203399999999</v>
      </c>
      <c r="AE3661">
        <v>-6.3845999999999696</v>
      </c>
      <c r="AF3661">
        <v>-8.2494141452975498</v>
      </c>
      <c r="AG3661">
        <v>-1.0296203399999999</v>
      </c>
      <c r="AH3661">
        <v>66.188007528609305</v>
      </c>
      <c r="AI3661">
        <v>90.884379524722604</v>
      </c>
      <c r="AJ3661">
        <v>97.104485429113296</v>
      </c>
      <c r="AK3661">
        <v>66.708060175607102</v>
      </c>
      <c r="AL3661">
        <v>87.931692270270005</v>
      </c>
      <c r="AM3661">
        <v>91.292097879884906</v>
      </c>
      <c r="AN3661">
        <v>0.99999999573484999</v>
      </c>
    </row>
    <row r="3662" spans="1:40" x14ac:dyDescent="0.25">
      <c r="A3662" t="str">
        <f>"20190312150730149"</f>
        <v>20190312150730149</v>
      </c>
      <c r="B3662" t="str">
        <f>"1552374450143322"</f>
        <v>1552374450143322</v>
      </c>
      <c r="C3662" t="s">
        <v>40</v>
      </c>
      <c r="D3662">
        <v>4.0967710000000004</v>
      </c>
      <c r="E3662">
        <v>0.46307039999999999</v>
      </c>
      <c r="F3662" t="s">
        <v>67</v>
      </c>
      <c r="G3662">
        <v>-454.42610000000002</v>
      </c>
      <c r="H3662">
        <v>8.0000470000000004E-2</v>
      </c>
      <c r="I3662">
        <v>277.69409999999999</v>
      </c>
      <c r="J3662">
        <v>-387.51850000000002</v>
      </c>
      <c r="K3662">
        <v>1.109621</v>
      </c>
      <c r="L3662">
        <v>284.0342</v>
      </c>
      <c r="M3662">
        <v>-0.99954779999999999</v>
      </c>
      <c r="N3662">
        <v>0</v>
      </c>
      <c r="O3662">
        <v>2.826509E-2</v>
      </c>
      <c r="P3662">
        <v>-0.99965110000000001</v>
      </c>
      <c r="Q3662">
        <v>2.5806140000000002E-2</v>
      </c>
      <c r="R3662">
        <v>5.6561700000000003E-3</v>
      </c>
      <c r="S3662">
        <v>-3.0038149999999999</v>
      </c>
      <c r="T3662">
        <v>-4.61067E-2</v>
      </c>
      <c r="U3662">
        <v>-0.28369139999999998</v>
      </c>
      <c r="V3662">
        <v>-2.258336E-2</v>
      </c>
      <c r="W3662">
        <v>3.6090949999999997E-2</v>
      </c>
      <c r="X3662">
        <v>0.99909329999999996</v>
      </c>
      <c r="Y3662">
        <v>-0.1221115</v>
      </c>
      <c r="Z3662">
        <v>-1.36802E-3</v>
      </c>
      <c r="AA3662">
        <v>0.99251540000000005</v>
      </c>
      <c r="AB3662">
        <v>33</v>
      </c>
      <c r="AC3662">
        <v>-66.907600000000002</v>
      </c>
      <c r="AD3662">
        <v>-1.0296205300000001</v>
      </c>
      <c r="AE3662">
        <v>-6.3400999999999996</v>
      </c>
      <c r="AF3662">
        <v>-8.2268846334991803</v>
      </c>
      <c r="AG3662">
        <v>-1.0296205300000001</v>
      </c>
      <c r="AH3662">
        <v>66.686000662323195</v>
      </c>
      <c r="AI3662">
        <v>90.877912394527598</v>
      </c>
      <c r="AJ3662">
        <v>97.032901097562501</v>
      </c>
      <c r="AK3662">
        <v>67.199437747231698</v>
      </c>
      <c r="AL3662">
        <v>87.931691692237393</v>
      </c>
      <c r="AM3662">
        <v>91.294884983710404</v>
      </c>
      <c r="AN3662">
        <v>0.99999999346284096</v>
      </c>
    </row>
    <row r="3663" spans="1:40" x14ac:dyDescent="0.25">
      <c r="A3663" t="str">
        <f>"20190312150730160"</f>
        <v>20190312150730160</v>
      </c>
      <c r="B3663" t="str">
        <f>"1552374450154057"</f>
        <v>1552374450154057</v>
      </c>
      <c r="C3663" t="s">
        <v>40</v>
      </c>
      <c r="D3663">
        <v>4.1090309999999999</v>
      </c>
      <c r="E3663">
        <v>0.46307189999999998</v>
      </c>
      <c r="F3663" t="s">
        <v>67</v>
      </c>
      <c r="G3663">
        <v>-454.95249999999999</v>
      </c>
      <c r="H3663">
        <v>8.0000299999999996E-2</v>
      </c>
      <c r="I3663">
        <v>277.678</v>
      </c>
      <c r="J3663">
        <v>-387.69600000000003</v>
      </c>
      <c r="K3663">
        <v>1.1096200000000001</v>
      </c>
      <c r="L3663">
        <v>284.03930000000003</v>
      </c>
      <c r="M3663">
        <v>-0.99954430000000005</v>
      </c>
      <c r="N3663">
        <v>0</v>
      </c>
      <c r="O3663">
        <v>2.8386370000000001E-2</v>
      </c>
      <c r="P3663">
        <v>-0.99965029999999999</v>
      </c>
      <c r="Q3663">
        <v>2.579205E-2</v>
      </c>
      <c r="R3663">
        <v>5.8651390000000001E-3</v>
      </c>
      <c r="S3663">
        <v>-3.0039060000000002</v>
      </c>
      <c r="T3663">
        <v>-4.5865299999999998E-2</v>
      </c>
      <c r="U3663">
        <v>-0.28314210000000001</v>
      </c>
      <c r="V3663">
        <v>-2.2495709999999999E-2</v>
      </c>
      <c r="W3663">
        <v>3.6074269999999999E-2</v>
      </c>
      <c r="X3663">
        <v>0.99909590000000004</v>
      </c>
      <c r="Y3663">
        <v>-0.1220494</v>
      </c>
      <c r="Z3663">
        <v>-1.362203E-3</v>
      </c>
      <c r="AA3663">
        <v>0.99252309999999999</v>
      </c>
      <c r="AB3663">
        <v>33</v>
      </c>
      <c r="AC3663">
        <v>-67.256500000000003</v>
      </c>
      <c r="AD3663">
        <v>-1.0296197</v>
      </c>
      <c r="AE3663">
        <v>-6.3613000000000204</v>
      </c>
      <c r="AF3663">
        <v>-8.2660847406735307</v>
      </c>
      <c r="AG3663">
        <v>-1.0296197</v>
      </c>
      <c r="AH3663">
        <v>67.033240098171106</v>
      </c>
      <c r="AI3663">
        <v>90.873370473298294</v>
      </c>
      <c r="AJ3663">
        <v>97.029838202146294</v>
      </c>
      <c r="AK3663">
        <v>67.548823466628093</v>
      </c>
      <c r="AL3663">
        <v>87.932648050363099</v>
      </c>
      <c r="AM3663">
        <v>91.289857652511003</v>
      </c>
      <c r="AN3663">
        <v>1.00000001366062</v>
      </c>
    </row>
    <row r="3664" spans="1:40" x14ac:dyDescent="0.25">
      <c r="A3664" t="str">
        <f>"20190312150730172"</f>
        <v>20190312150730172</v>
      </c>
      <c r="B3664" t="str">
        <f>"1552374450163818"</f>
        <v>1552374450163818</v>
      </c>
      <c r="C3664" t="s">
        <v>40</v>
      </c>
      <c r="D3664">
        <v>4.1272099999999998</v>
      </c>
      <c r="E3664">
        <v>0.46313120000000002</v>
      </c>
      <c r="F3664" t="s">
        <v>67</v>
      </c>
      <c r="G3664">
        <v>-454.77359999999999</v>
      </c>
      <c r="H3664">
        <v>8.0000360000000006E-2</v>
      </c>
      <c r="I3664">
        <v>277.7296</v>
      </c>
      <c r="J3664">
        <v>-387.87549999999999</v>
      </c>
      <c r="K3664">
        <v>1.1096239999999999</v>
      </c>
      <c r="L3664">
        <v>284.04450000000003</v>
      </c>
      <c r="M3664">
        <v>-0.99954080000000001</v>
      </c>
      <c r="N3664">
        <v>0</v>
      </c>
      <c r="O3664">
        <v>2.850579E-2</v>
      </c>
      <c r="P3664">
        <v>-0.99965230000000005</v>
      </c>
      <c r="Q3664">
        <v>2.565193E-2</v>
      </c>
      <c r="R3664">
        <v>6.1091280000000001E-3</v>
      </c>
      <c r="S3664">
        <v>-3.0039060000000002</v>
      </c>
      <c r="T3664">
        <v>-4.6108959999999997E-2</v>
      </c>
      <c r="U3664">
        <v>-0.28256229999999999</v>
      </c>
      <c r="V3664">
        <v>-2.237196E-2</v>
      </c>
      <c r="W3664">
        <v>3.5932260000000001E-2</v>
      </c>
      <c r="X3664">
        <v>0.99910379999999999</v>
      </c>
      <c r="Y3664">
        <v>-0.1219779</v>
      </c>
      <c r="Z3664">
        <v>-1.370734E-3</v>
      </c>
      <c r="AA3664">
        <v>0.99253190000000002</v>
      </c>
      <c r="AB3664">
        <v>33</v>
      </c>
      <c r="AC3664">
        <v>-66.898099999999999</v>
      </c>
      <c r="AD3664">
        <v>-1.0296236399999901</v>
      </c>
      <c r="AE3664">
        <v>-6.3149000000000202</v>
      </c>
      <c r="AF3664">
        <v>-8.2174880504233396</v>
      </c>
      <c r="AG3664">
        <v>-1.0296236399999901</v>
      </c>
      <c r="AH3664">
        <v>66.675236276766498</v>
      </c>
      <c r="AI3664">
        <v>90.878069662752793</v>
      </c>
      <c r="AJ3664">
        <v>97.026071374504497</v>
      </c>
      <c r="AK3664">
        <v>67.187605756281698</v>
      </c>
      <c r="AL3664">
        <v>87.940789910484895</v>
      </c>
      <c r="AM3664">
        <v>91.282754320380306</v>
      </c>
      <c r="AN3664">
        <v>1.0000000175386901</v>
      </c>
    </row>
    <row r="3665" spans="1:40" x14ac:dyDescent="0.25">
      <c r="A3665" t="str">
        <f>"20190312150730185"</f>
        <v>20190312150730185</v>
      </c>
      <c r="B3665" t="str">
        <f>"1552374450173578"</f>
        <v>1552374450173578</v>
      </c>
      <c r="C3665" t="s">
        <v>40</v>
      </c>
      <c r="D3665">
        <v>4.1167600000000002</v>
      </c>
      <c r="E3665">
        <v>0.46311370000000002</v>
      </c>
      <c r="F3665" t="s">
        <v>67</v>
      </c>
      <c r="G3665">
        <v>-453.79750000000001</v>
      </c>
      <c r="H3665">
        <v>8.0000650000000006E-2</v>
      </c>
      <c r="I3665">
        <v>277.87049999999999</v>
      </c>
      <c r="J3665">
        <v>-388.06040000000002</v>
      </c>
      <c r="K3665">
        <v>1.109626</v>
      </c>
      <c r="L3665">
        <v>284.04989999999998</v>
      </c>
      <c r="M3665">
        <v>-0.99953740000000002</v>
      </c>
      <c r="N3665">
        <v>0</v>
      </c>
      <c r="O3665">
        <v>2.8626390000000002E-2</v>
      </c>
      <c r="P3665">
        <v>-0.99964620000000004</v>
      </c>
      <c r="Q3665">
        <v>2.5807119999999999E-2</v>
      </c>
      <c r="R3665">
        <v>6.4467630000000003E-3</v>
      </c>
      <c r="S3665">
        <v>-3.0039669999999998</v>
      </c>
      <c r="T3665">
        <v>-4.6918389999999997E-2</v>
      </c>
      <c r="U3665">
        <v>-0.28134160000000002</v>
      </c>
      <c r="V3665">
        <v>-2.2155069999999999E-2</v>
      </c>
      <c r="W3665">
        <v>3.6085699999999998E-2</v>
      </c>
      <c r="X3665">
        <v>0.99910310000000002</v>
      </c>
      <c r="Y3665">
        <v>-0.1216954</v>
      </c>
      <c r="Z3665">
        <v>-1.3944700000000001E-3</v>
      </c>
      <c r="AA3665">
        <v>0.99256650000000002</v>
      </c>
      <c r="AB3665">
        <v>33</v>
      </c>
      <c r="AC3665">
        <v>-65.737099999999998</v>
      </c>
      <c r="AD3665">
        <v>-1.0296253500000001</v>
      </c>
      <c r="AE3665">
        <v>-6.1793999999999798</v>
      </c>
      <c r="AF3665">
        <v>-8.0568232394922106</v>
      </c>
      <c r="AG3665">
        <v>-1.0296253500000001</v>
      </c>
      <c r="AH3665">
        <v>65.517321499510899</v>
      </c>
      <c r="AI3665">
        <v>90.893616836179405</v>
      </c>
      <c r="AJ3665">
        <v>97.010603140355201</v>
      </c>
      <c r="AK3665">
        <v>66.018875676158402</v>
      </c>
      <c r="AL3665">
        <v>87.931992734986295</v>
      </c>
      <c r="AM3665">
        <v>91.270323354665706</v>
      </c>
      <c r="AN3665">
        <v>1.0000000146504</v>
      </c>
    </row>
    <row r="3666" spans="1:40" x14ac:dyDescent="0.25">
      <c r="A3666" t="str">
        <f>"20190312150730198"</f>
        <v>20190312150730198</v>
      </c>
      <c r="B3666" t="str">
        <f>"1552374450194074"</f>
        <v>1552374450194074</v>
      </c>
      <c r="C3666" t="s">
        <v>40</v>
      </c>
      <c r="D3666">
        <v>4.1086609999999997</v>
      </c>
      <c r="E3666">
        <v>0.46309800000000001</v>
      </c>
      <c r="F3666" t="s">
        <v>67</v>
      </c>
      <c r="G3666">
        <v>-453.84780000000001</v>
      </c>
      <c r="H3666">
        <v>8.0000619999999995E-2</v>
      </c>
      <c r="I3666">
        <v>277.90879999999999</v>
      </c>
      <c r="J3666">
        <v>-388.2509</v>
      </c>
      <c r="K3666">
        <v>1.1096239999999999</v>
      </c>
      <c r="L3666">
        <v>284.05549999999999</v>
      </c>
      <c r="M3666">
        <v>-0.99953409999999998</v>
      </c>
      <c r="N3666">
        <v>0</v>
      </c>
      <c r="O3666">
        <v>2.8743629999999999E-2</v>
      </c>
      <c r="P3666">
        <v>-0.99964620000000004</v>
      </c>
      <c r="Q3666">
        <v>2.5688510000000001E-2</v>
      </c>
      <c r="R3666">
        <v>6.9188610000000001E-3</v>
      </c>
      <c r="S3666">
        <v>-3.004089</v>
      </c>
      <c r="T3666">
        <v>-4.7016380000000003E-2</v>
      </c>
      <c r="U3666">
        <v>-0.28042600000000001</v>
      </c>
      <c r="V3666">
        <v>-2.1800710000000001E-2</v>
      </c>
      <c r="W3666">
        <v>3.5968E-2</v>
      </c>
      <c r="X3666">
        <v>0.99911510000000003</v>
      </c>
      <c r="Y3666">
        <v>-0.12150809999999999</v>
      </c>
      <c r="Z3666">
        <v>-1.397714E-3</v>
      </c>
      <c r="AA3666">
        <v>0.99258950000000001</v>
      </c>
      <c r="AB3666">
        <v>33</v>
      </c>
      <c r="AC3666">
        <v>-65.596900000000005</v>
      </c>
      <c r="AD3666">
        <v>-1.0296233800000001</v>
      </c>
      <c r="AE3666">
        <v>-6.1467000000000098</v>
      </c>
      <c r="AF3666">
        <v>-8.0277917980994005</v>
      </c>
      <c r="AG3666">
        <v>-1.0296233800000001</v>
      </c>
      <c r="AH3666">
        <v>65.377138949458796</v>
      </c>
      <c r="AI3666">
        <v>90.895550468520895</v>
      </c>
      <c r="AJ3666">
        <v>97.000421756241295</v>
      </c>
      <c r="AK3666">
        <v>65.876216214010995</v>
      </c>
      <c r="AL3666">
        <v>87.938740748147296</v>
      </c>
      <c r="AM3666">
        <v>91.249996616132506</v>
      </c>
      <c r="AN3666">
        <v>0.99999997551425601</v>
      </c>
    </row>
    <row r="3667" spans="1:40" x14ac:dyDescent="0.25">
      <c r="A3667" t="str">
        <f>"20190312150730216"</f>
        <v>20190312150730216</v>
      </c>
      <c r="B3667" t="str">
        <f>"1552374450213596"</f>
        <v>1552374450213596</v>
      </c>
      <c r="C3667" t="s">
        <v>40</v>
      </c>
      <c r="D3667">
        <v>4.2174230000000001</v>
      </c>
      <c r="E3667">
        <v>0.46309450000000002</v>
      </c>
      <c r="F3667" t="s">
        <v>67</v>
      </c>
      <c r="G3667">
        <v>-453.64019999999999</v>
      </c>
      <c r="H3667">
        <v>8.0000680000000005E-2</v>
      </c>
      <c r="I3667">
        <v>277.98169999999999</v>
      </c>
      <c r="J3667">
        <v>-388.50709999999998</v>
      </c>
      <c r="K3667">
        <v>1.109631</v>
      </c>
      <c r="L3667">
        <v>284.06299999999999</v>
      </c>
      <c r="M3667">
        <v>-0.99952969999999997</v>
      </c>
      <c r="N3667">
        <v>0</v>
      </c>
      <c r="O3667">
        <v>2.8894369999999999E-2</v>
      </c>
      <c r="P3667">
        <v>-0.99963789999999997</v>
      </c>
      <c r="Q3667">
        <v>2.5925980000000001E-2</v>
      </c>
      <c r="R3667">
        <v>7.204261E-3</v>
      </c>
      <c r="S3667">
        <v>-3.0042110000000002</v>
      </c>
      <c r="T3667">
        <v>-4.7304510000000001E-2</v>
      </c>
      <c r="U3667">
        <v>-0.27905269999999999</v>
      </c>
      <c r="V3667">
        <v>-2.1666649999999999E-2</v>
      </c>
      <c r="W3667">
        <v>3.6209129999999999E-2</v>
      </c>
      <c r="X3667">
        <v>0.99910929999999998</v>
      </c>
      <c r="Y3667">
        <v>-0.12120400000000001</v>
      </c>
      <c r="Z3667">
        <v>-1.406231E-3</v>
      </c>
      <c r="AA3667">
        <v>0.99262660000000003</v>
      </c>
      <c r="AB3667">
        <v>33</v>
      </c>
      <c r="AC3667">
        <v>-65.133099999999999</v>
      </c>
      <c r="AD3667">
        <v>-1.0296303200000001</v>
      </c>
      <c r="AE3667">
        <v>-6.0812999999999899</v>
      </c>
      <c r="AF3667">
        <v>-7.95886807715919</v>
      </c>
      <c r="AG3667">
        <v>-1.0296303200000001</v>
      </c>
      <c r="AH3667">
        <v>64.914095962917401</v>
      </c>
      <c r="AI3667">
        <v>90.901963866831096</v>
      </c>
      <c r="AJ3667">
        <v>96.989930012771595</v>
      </c>
      <c r="AK3667">
        <v>65.408283682942894</v>
      </c>
      <c r="AL3667">
        <v>87.9249159976128</v>
      </c>
      <c r="AM3667">
        <v>91.242319586621505</v>
      </c>
      <c r="AN3667">
        <v>0.99999996908203403</v>
      </c>
    </row>
    <row r="3668" spans="1:40" x14ac:dyDescent="0.25">
      <c r="A3668" t="str">
        <f>"20190312150730230"</f>
        <v>20190312150730230</v>
      </c>
      <c r="B3668" t="str">
        <f>"1552374450223354"</f>
        <v>1552374450223354</v>
      </c>
      <c r="C3668" t="s">
        <v>40</v>
      </c>
      <c r="D3668">
        <v>4.097906</v>
      </c>
      <c r="E3668">
        <v>0.46307619999999999</v>
      </c>
      <c r="F3668" t="s">
        <v>67</v>
      </c>
      <c r="G3668">
        <v>-456.3879</v>
      </c>
      <c r="H3668">
        <v>8.0001349999999999E-2</v>
      </c>
      <c r="I3668">
        <v>277.77370000000002</v>
      </c>
      <c r="J3668">
        <v>-388.72030000000001</v>
      </c>
      <c r="K3668">
        <v>1.109639</v>
      </c>
      <c r="L3668">
        <v>284.0693</v>
      </c>
      <c r="M3668">
        <v>-0.99952609999999997</v>
      </c>
      <c r="N3668">
        <v>0</v>
      </c>
      <c r="O3668">
        <v>2.9012550000000002E-2</v>
      </c>
      <c r="P3668">
        <v>-0.99963340000000001</v>
      </c>
      <c r="Q3668">
        <v>2.6079669999999999E-2</v>
      </c>
      <c r="R3668">
        <v>7.283777E-3</v>
      </c>
      <c r="S3668">
        <v>-3.0042719999999998</v>
      </c>
      <c r="T3668">
        <v>-4.5569419999999999E-2</v>
      </c>
      <c r="U3668">
        <v>-0.27835079999999901</v>
      </c>
      <c r="V3668">
        <v>-2.170559E-2</v>
      </c>
      <c r="W3668">
        <v>3.636876E-2</v>
      </c>
      <c r="X3668">
        <v>0.99910270000000001</v>
      </c>
      <c r="Y3668">
        <v>-0.1210909</v>
      </c>
      <c r="Z3668">
        <v>-1.3555780000000001E-3</v>
      </c>
      <c r="AA3668">
        <v>0.99264050000000004</v>
      </c>
      <c r="AB3668">
        <v>33</v>
      </c>
      <c r="AC3668">
        <v>-67.667599999999993</v>
      </c>
      <c r="AD3668">
        <v>-1.02963765</v>
      </c>
      <c r="AE3668">
        <v>-6.2955999999999701</v>
      </c>
      <c r="AF3668">
        <v>-8.2543683736180906</v>
      </c>
      <c r="AG3668">
        <v>-1.02963765</v>
      </c>
      <c r="AH3668">
        <v>67.440970443207107</v>
      </c>
      <c r="AI3668">
        <v>90.868202818129006</v>
      </c>
      <c r="AJ3668">
        <v>96.977952346230495</v>
      </c>
      <c r="AK3668">
        <v>67.952036358443394</v>
      </c>
      <c r="AL3668">
        <v>87.915763933872299</v>
      </c>
      <c r="AM3668">
        <v>91.244559840546302</v>
      </c>
      <c r="AN3668">
        <v>1.0000000122442301</v>
      </c>
    </row>
    <row r="3669" spans="1:40" x14ac:dyDescent="0.25">
      <c r="A3669" t="str">
        <f>"20190312150730250"</f>
        <v>20190312150730250</v>
      </c>
      <c r="B3669" t="str">
        <f>"1552374450243850"</f>
        <v>1552374450243850</v>
      </c>
      <c r="C3669" t="s">
        <v>40</v>
      </c>
      <c r="D3669">
        <v>4.1209989999999896</v>
      </c>
      <c r="E3669">
        <v>0.46304990000000001</v>
      </c>
      <c r="F3669" t="s">
        <v>67</v>
      </c>
      <c r="G3669">
        <v>-455.09730000000002</v>
      </c>
      <c r="H3669">
        <v>8.0001719999999998E-2</v>
      </c>
      <c r="I3669">
        <v>277.92500000000001</v>
      </c>
      <c r="J3669">
        <v>-389.01459999999997</v>
      </c>
      <c r="K3669">
        <v>1.1096539999999999</v>
      </c>
      <c r="L3669">
        <v>284.07799999999997</v>
      </c>
      <c r="M3669">
        <v>-0.99952180000000002</v>
      </c>
      <c r="N3669">
        <v>0</v>
      </c>
      <c r="O3669">
        <v>2.9161639999999999E-2</v>
      </c>
      <c r="P3669">
        <v>-0.99963820000000003</v>
      </c>
      <c r="Q3669">
        <v>2.5843919999999999E-2</v>
      </c>
      <c r="R3669">
        <v>7.4649590000000002E-3</v>
      </c>
      <c r="S3669">
        <v>-3.0043950000000001</v>
      </c>
      <c r="T3669">
        <v>-4.6604039999999999E-2</v>
      </c>
      <c r="U3669">
        <v>-0.27810669999999998</v>
      </c>
      <c r="V3669">
        <v>-2.167527E-2</v>
      </c>
      <c r="W3669">
        <v>3.6144790000000003E-2</v>
      </c>
      <c r="X3669">
        <v>0.99911150000000004</v>
      </c>
      <c r="Y3669">
        <v>-0.1211545</v>
      </c>
      <c r="Z3669">
        <v>-1.389101E-3</v>
      </c>
      <c r="AA3669">
        <v>0.99263270000000003</v>
      </c>
      <c r="AB3669">
        <v>33</v>
      </c>
      <c r="AC3669">
        <v>-66.082700000000003</v>
      </c>
      <c r="AD3669">
        <v>-1.0296522800000001</v>
      </c>
      <c r="AE3669">
        <v>-6.1529999999999596</v>
      </c>
      <c r="AF3669">
        <v>-8.0756210215068194</v>
      </c>
      <c r="AG3669">
        <v>-1.0296522800000001</v>
      </c>
      <c r="AH3669">
        <v>65.859299958703701</v>
      </c>
      <c r="AI3669">
        <v>90.8890386405604</v>
      </c>
      <c r="AJ3669">
        <v>96.990671488640501</v>
      </c>
      <c r="AK3669">
        <v>66.360554772780702</v>
      </c>
      <c r="AL3669">
        <v>87.928604941467</v>
      </c>
      <c r="AM3669">
        <v>91.242810948320098</v>
      </c>
      <c r="AN3669">
        <v>1.00000002630298</v>
      </c>
    </row>
    <row r="3670" spans="1:40" x14ac:dyDescent="0.25">
      <c r="A3670" t="str">
        <f>"20190312150730262"</f>
        <v>20190312150730262</v>
      </c>
      <c r="B3670" t="str">
        <f>"1552374450253610"</f>
        <v>1552374450253610</v>
      </c>
      <c r="C3670" t="s">
        <v>40</v>
      </c>
      <c r="D3670">
        <v>4.131043</v>
      </c>
      <c r="E3670">
        <v>0.46302959999999899</v>
      </c>
      <c r="F3670" t="s">
        <v>67</v>
      </c>
      <c r="G3670">
        <v>-451.69069999999999</v>
      </c>
      <c r="H3670">
        <v>8.0001240000000001E-2</v>
      </c>
      <c r="I3670">
        <v>278.27879999999999</v>
      </c>
      <c r="J3670">
        <v>-389.20659999999998</v>
      </c>
      <c r="K3670">
        <v>1.109667</v>
      </c>
      <c r="L3670">
        <v>284.08359999999999</v>
      </c>
      <c r="M3670">
        <v>-0.99951900000000005</v>
      </c>
      <c r="N3670">
        <v>0</v>
      </c>
      <c r="O3670">
        <v>2.9251180000000002E-2</v>
      </c>
      <c r="P3670">
        <v>-0.99964339999999996</v>
      </c>
      <c r="Q3670">
        <v>2.565388E-2</v>
      </c>
      <c r="R3670">
        <v>7.4108580000000002E-3</v>
      </c>
      <c r="S3670">
        <v>-3.0043950000000001</v>
      </c>
      <c r="T3670">
        <v>-4.9356700000000003E-2</v>
      </c>
      <c r="U3670">
        <v>-0.27798460000000003</v>
      </c>
      <c r="V3670">
        <v>-2.1819769999999999E-2</v>
      </c>
      <c r="W3670">
        <v>3.5964179999999998E-2</v>
      </c>
      <c r="X3670">
        <v>0.99911490000000003</v>
      </c>
      <c r="Y3670">
        <v>-0.1212012</v>
      </c>
      <c r="Z3670">
        <v>-1.472992E-3</v>
      </c>
      <c r="AA3670">
        <v>0.99262680000000003</v>
      </c>
      <c r="AB3670">
        <v>33</v>
      </c>
      <c r="AC3670">
        <v>-62.484099999999998</v>
      </c>
      <c r="AD3670">
        <v>-1.0296657600000001</v>
      </c>
      <c r="AE3670">
        <v>-5.8048000000000002</v>
      </c>
      <c r="AF3670">
        <v>-7.6280927772456302</v>
      </c>
      <c r="AG3670">
        <v>-1.0296657600000001</v>
      </c>
      <c r="AH3670">
        <v>62.270788410683203</v>
      </c>
      <c r="AI3670">
        <v>90.940288784552806</v>
      </c>
      <c r="AJ3670">
        <v>96.983866024810993</v>
      </c>
      <c r="AK3670">
        <v>62.744713723816297</v>
      </c>
      <c r="AL3670">
        <v>87.938959921568795</v>
      </c>
      <c r="AM3670">
        <v>91.251089370656899</v>
      </c>
      <c r="AN3670">
        <v>1.00000005400396</v>
      </c>
    </row>
    <row r="3671" spans="1:40" x14ac:dyDescent="0.25">
      <c r="A3671" t="str">
        <f>"20190312150730282"</f>
        <v>20190312150730282</v>
      </c>
      <c r="B3671" t="str">
        <f>"1552374450274109"</f>
        <v>1552374450274109</v>
      </c>
      <c r="C3671" t="s">
        <v>40</v>
      </c>
      <c r="D3671">
        <v>4.1088300000000002</v>
      </c>
      <c r="E3671">
        <v>0.46289770000000002</v>
      </c>
      <c r="F3671" t="s">
        <v>67</v>
      </c>
      <c r="G3671">
        <v>-449.85840000000002</v>
      </c>
      <c r="H3671">
        <v>8.0000299999999996E-2</v>
      </c>
      <c r="I3671">
        <v>278.46690000000001</v>
      </c>
      <c r="J3671">
        <v>-389.49900000000002</v>
      </c>
      <c r="K3671">
        <v>1.109683</v>
      </c>
      <c r="L3671">
        <v>284.09230000000002</v>
      </c>
      <c r="M3671">
        <v>-0.9995153</v>
      </c>
      <c r="N3671">
        <v>0</v>
      </c>
      <c r="O3671">
        <v>2.9371499999999998E-2</v>
      </c>
      <c r="P3671">
        <v>-0.99965289999999996</v>
      </c>
      <c r="Q3671">
        <v>2.5311989999999999E-2</v>
      </c>
      <c r="R3671">
        <v>7.3145769999999896E-3</v>
      </c>
      <c r="S3671">
        <v>-3.0044559999999998</v>
      </c>
      <c r="T3671">
        <v>-5.1005719999999997E-2</v>
      </c>
      <c r="U3671">
        <v>-0.2782288</v>
      </c>
      <c r="V3671">
        <v>-2.2037749999999998E-2</v>
      </c>
      <c r="W3671">
        <v>3.5637769999999999E-2</v>
      </c>
      <c r="X3671">
        <v>0.99912179999999995</v>
      </c>
      <c r="Y3671">
        <v>-0.1213974</v>
      </c>
      <c r="Z3671">
        <v>-1.525862E-3</v>
      </c>
      <c r="AA3671">
        <v>0.99260280000000001</v>
      </c>
      <c r="AB3671">
        <v>33</v>
      </c>
      <c r="AC3671">
        <v>-60.359400000000001</v>
      </c>
      <c r="AD3671">
        <v>-1.0296827</v>
      </c>
      <c r="AE3671">
        <v>-5.6254000000000097</v>
      </c>
      <c r="AF3671">
        <v>-7.3937800745244804</v>
      </c>
      <c r="AG3671">
        <v>-1.0296827</v>
      </c>
      <c r="AH3671">
        <v>60.150766696084503</v>
      </c>
      <c r="AI3671">
        <v>90.973389473613693</v>
      </c>
      <c r="AJ3671">
        <v>97.007689593229898</v>
      </c>
      <c r="AK3671">
        <v>60.612234444705201</v>
      </c>
      <c r="AL3671">
        <v>87.957673808570107</v>
      </c>
      <c r="AM3671">
        <v>91.263575026337506</v>
      </c>
      <c r="AN3671">
        <v>1.00000004215543</v>
      </c>
    </row>
    <row r="3672" spans="1:40" x14ac:dyDescent="0.25">
      <c r="A3672" t="str">
        <f>"20190312150730295"</f>
        <v>20190312150730295</v>
      </c>
      <c r="B3672" t="str">
        <f>"1552374450283867"</f>
        <v>1552374450283867</v>
      </c>
      <c r="C3672" t="s">
        <v>40</v>
      </c>
      <c r="D3672">
        <v>4.0902390000000004</v>
      </c>
      <c r="E3672">
        <v>0.4628234</v>
      </c>
      <c r="F3672" t="s">
        <v>67</v>
      </c>
      <c r="G3672">
        <v>-447.49560000000002</v>
      </c>
      <c r="H3672">
        <v>8.0000989999999994E-2</v>
      </c>
      <c r="I3672">
        <v>278.68799999999999</v>
      </c>
      <c r="J3672">
        <v>-389.68470000000002</v>
      </c>
      <c r="K3672">
        <v>1.109693</v>
      </c>
      <c r="L3672">
        <v>284.09789999999998</v>
      </c>
      <c r="M3672">
        <v>-0.99951330000000005</v>
      </c>
      <c r="N3672">
        <v>0</v>
      </c>
      <c r="O3672">
        <v>2.943693E-2</v>
      </c>
      <c r="P3672">
        <v>-0.9996602</v>
      </c>
      <c r="Q3672">
        <v>2.505491E-2</v>
      </c>
      <c r="R3672">
        <v>7.224116E-3</v>
      </c>
      <c r="S3672">
        <v>-3.0045169999999999</v>
      </c>
      <c r="T3672">
        <v>-5.33427E-2</v>
      </c>
      <c r="U3672">
        <v>-0.2799683</v>
      </c>
      <c r="V3672">
        <v>-2.2194680000000001E-2</v>
      </c>
      <c r="W3672">
        <v>3.539283E-2</v>
      </c>
      <c r="X3672">
        <v>0.99912699999999999</v>
      </c>
      <c r="Y3672">
        <v>-0.1220282</v>
      </c>
      <c r="Z3672">
        <v>-1.602437E-3</v>
      </c>
      <c r="AA3672">
        <v>0.99252530000000005</v>
      </c>
      <c r="AB3672">
        <v>33</v>
      </c>
      <c r="AC3672">
        <v>-57.810899999999997</v>
      </c>
      <c r="AD3672">
        <v>-1.02969201</v>
      </c>
      <c r="AE3672">
        <v>-5.4098999999999897</v>
      </c>
      <c r="AF3672">
        <v>-7.1071863198535397</v>
      </c>
      <c r="AG3672">
        <v>-1.02969201</v>
      </c>
      <c r="AH3672">
        <v>57.608467676875499</v>
      </c>
      <c r="AI3672">
        <v>91.016290717159706</v>
      </c>
      <c r="AJ3672">
        <v>97.033071717063294</v>
      </c>
      <c r="AK3672">
        <v>58.054353076218</v>
      </c>
      <c r="AL3672">
        <v>87.971716628537905</v>
      </c>
      <c r="AM3672">
        <v>91.272563327844793</v>
      </c>
      <c r="AN3672">
        <v>1.00000000918235</v>
      </c>
    </row>
    <row r="3673" spans="1:40" x14ac:dyDescent="0.25">
      <c r="A3673" t="str">
        <f>"20190312150730308"</f>
        <v>20190312150730308</v>
      </c>
      <c r="B3673" t="str">
        <f>"1552374450303389"</f>
        <v>1552374450303389</v>
      </c>
      <c r="C3673" t="s">
        <v>40</v>
      </c>
      <c r="D3673">
        <v>4.3660639999999997</v>
      </c>
      <c r="E3673">
        <v>0.46265440000000002</v>
      </c>
      <c r="F3673" t="s">
        <v>67</v>
      </c>
      <c r="G3673">
        <v>-446.03629999999998</v>
      </c>
      <c r="H3673">
        <v>8.0001409999999995E-2</v>
      </c>
      <c r="I3673">
        <v>278.83240000000001</v>
      </c>
      <c r="J3673">
        <v>-389.87490000000003</v>
      </c>
      <c r="K3673">
        <v>1.1097049999999999</v>
      </c>
      <c r="L3673">
        <v>284.1035</v>
      </c>
      <c r="M3673">
        <v>-0.99951120000000004</v>
      </c>
      <c r="N3673">
        <v>0</v>
      </c>
      <c r="O3673">
        <v>2.9498839999999998E-2</v>
      </c>
      <c r="P3673">
        <v>-0.99966949999999999</v>
      </c>
      <c r="Q3673">
        <v>2.4776380000000001E-2</v>
      </c>
      <c r="R3673">
        <v>6.8744160000000004E-3</v>
      </c>
      <c r="S3673">
        <v>-3.0043950000000001</v>
      </c>
      <c r="T3673">
        <v>-5.4898139999999998E-2</v>
      </c>
      <c r="U3673">
        <v>-0.28073120000000001</v>
      </c>
      <c r="V3673">
        <v>-2.2607470000000001E-2</v>
      </c>
      <c r="W3673">
        <v>3.5128340000000001E-2</v>
      </c>
      <c r="X3673">
        <v>0.99912710000000005</v>
      </c>
      <c r="Y3673">
        <v>-0.1223418</v>
      </c>
      <c r="Z3673">
        <v>-1.653191E-3</v>
      </c>
      <c r="AA3673">
        <v>0.99248670000000005</v>
      </c>
      <c r="AB3673">
        <v>33</v>
      </c>
      <c r="AC3673">
        <v>-56.161399999999901</v>
      </c>
      <c r="AD3673">
        <v>-1.02970359</v>
      </c>
      <c r="AE3673">
        <v>-5.2710999999999899</v>
      </c>
      <c r="AF3673">
        <v>-6.9232837674952297</v>
      </c>
      <c r="AG3673">
        <v>-1.02970359</v>
      </c>
      <c r="AH3673">
        <v>55.962808789029097</v>
      </c>
      <c r="AI3673">
        <v>91.046137786994805</v>
      </c>
      <c r="AJ3673">
        <v>97.052356115043594</v>
      </c>
      <c r="AK3673">
        <v>56.398830796089698</v>
      </c>
      <c r="AL3673">
        <v>87.986880260461604</v>
      </c>
      <c r="AM3673">
        <v>91.296223094629696</v>
      </c>
      <c r="AN3673">
        <v>1.0000000299626799</v>
      </c>
    </row>
    <row r="3674" spans="1:40" x14ac:dyDescent="0.25">
      <c r="A3674" t="str">
        <f>"20190312150730320"</f>
        <v>20190312150730320</v>
      </c>
      <c r="B3674" t="str">
        <f>"1552374450314122"</f>
        <v>1552374450314122</v>
      </c>
      <c r="C3674" t="s">
        <v>40</v>
      </c>
      <c r="D3674">
        <v>4.3570820000000001</v>
      </c>
      <c r="E3674">
        <v>0.46259470000000003</v>
      </c>
      <c r="F3674" t="s">
        <v>67</v>
      </c>
      <c r="G3674">
        <v>-444.27659999999997</v>
      </c>
      <c r="H3674">
        <v>8.0000459999999995E-2</v>
      </c>
      <c r="I3674">
        <v>278.9787</v>
      </c>
      <c r="J3674">
        <v>-390.06650000000002</v>
      </c>
      <c r="K3674">
        <v>1.109718</v>
      </c>
      <c r="L3674">
        <v>284.10919999999999</v>
      </c>
      <c r="M3674">
        <v>-0.9995096</v>
      </c>
      <c r="N3674">
        <v>0</v>
      </c>
      <c r="O3674">
        <v>2.9551899999999999E-2</v>
      </c>
      <c r="P3674">
        <v>-0.99967150000000005</v>
      </c>
      <c r="Q3674">
        <v>2.475664E-2</v>
      </c>
      <c r="R3674">
        <v>6.680269E-3</v>
      </c>
      <c r="S3674">
        <v>-3.0043329999999999</v>
      </c>
      <c r="T3674">
        <v>-5.6865449999999998E-2</v>
      </c>
      <c r="U3674">
        <v>-0.28301999999999999</v>
      </c>
      <c r="V3674">
        <v>-2.2855690000000001E-2</v>
      </c>
      <c r="W3674">
        <v>3.5126440000000002E-2</v>
      </c>
      <c r="X3674">
        <v>0.9991215</v>
      </c>
      <c r="Y3674">
        <v>-0.1231438</v>
      </c>
      <c r="Z3674">
        <v>-1.7209739999999999E-3</v>
      </c>
      <c r="AA3674">
        <v>0.99238740000000003</v>
      </c>
      <c r="AB3674">
        <v>33</v>
      </c>
      <c r="AC3674">
        <v>-54.210099999999898</v>
      </c>
      <c r="AD3674">
        <v>-1.02971754</v>
      </c>
      <c r="AE3674">
        <v>-5.1304999999999801</v>
      </c>
      <c r="AF3674">
        <v>-6.7279504177680902</v>
      </c>
      <c r="AG3674">
        <v>-1.02971754</v>
      </c>
      <c r="AH3674">
        <v>54.015480706865603</v>
      </c>
      <c r="AI3674">
        <v>91.083746485268904</v>
      </c>
      <c r="AJ3674">
        <v>97.099965152619902</v>
      </c>
      <c r="AK3674">
        <v>54.4426100681249</v>
      </c>
      <c r="AL3674">
        <v>87.986989150586695</v>
      </c>
      <c r="AM3674">
        <v>91.310457456249097</v>
      </c>
      <c r="AN3674">
        <v>1.0000000105573399</v>
      </c>
    </row>
    <row r="3675" spans="1:40" x14ac:dyDescent="0.25">
      <c r="A3675" t="str">
        <f>"20190312150730332"</f>
        <v>20190312150730332</v>
      </c>
      <c r="B3675" t="str">
        <f>"1552374450323883"</f>
        <v>1552374450323883</v>
      </c>
      <c r="C3675" t="s">
        <v>40</v>
      </c>
      <c r="D3675">
        <v>4.0351699999999999</v>
      </c>
      <c r="E3675">
        <v>0.46257120000000002</v>
      </c>
      <c r="F3675" t="s">
        <v>67</v>
      </c>
      <c r="G3675">
        <v>-444.1069</v>
      </c>
      <c r="H3675">
        <v>8.0000500000000002E-2</v>
      </c>
      <c r="I3675">
        <v>278.99860000000001</v>
      </c>
      <c r="J3675">
        <v>-390.24779999999998</v>
      </c>
      <c r="K3675">
        <v>1.109731</v>
      </c>
      <c r="L3675">
        <v>284.1146</v>
      </c>
      <c r="M3675">
        <v>-0.99950810000000001</v>
      </c>
      <c r="N3675">
        <v>0</v>
      </c>
      <c r="O3675">
        <v>2.9594530000000001E-2</v>
      </c>
      <c r="P3675">
        <v>-0.99967989999999995</v>
      </c>
      <c r="Q3675">
        <v>2.4479339999999999E-2</v>
      </c>
      <c r="R3675">
        <v>6.4212749999999997E-3</v>
      </c>
      <c r="S3675">
        <v>-3.0043030000000002</v>
      </c>
      <c r="T3675">
        <v>-5.7245730000000002E-2</v>
      </c>
      <c r="U3675">
        <v>-0.2841187</v>
      </c>
      <c r="V3675">
        <v>-2.315795E-2</v>
      </c>
      <c r="W3675">
        <v>3.4866719999999997E-2</v>
      </c>
      <c r="X3675">
        <v>0.9991236</v>
      </c>
      <c r="Y3675">
        <v>-0.1235463</v>
      </c>
      <c r="Z3675">
        <v>-1.737106E-3</v>
      </c>
      <c r="AA3675">
        <v>0.99233729999999998</v>
      </c>
      <c r="AB3675">
        <v>33</v>
      </c>
      <c r="AC3675">
        <v>-53.859099999999998</v>
      </c>
      <c r="AD3675">
        <v>-1.0297305000000001</v>
      </c>
      <c r="AE3675">
        <v>-5.1159999999999801</v>
      </c>
      <c r="AF3675">
        <v>-6.7053503644986803</v>
      </c>
      <c r="AG3675">
        <v>-1.0297305000000001</v>
      </c>
      <c r="AH3675">
        <v>53.664651748795102</v>
      </c>
      <c r="AI3675">
        <v>91.090790755699203</v>
      </c>
      <c r="AJ3675">
        <v>97.122145291281498</v>
      </c>
      <c r="AK3675">
        <v>54.091745356688001</v>
      </c>
      <c r="AL3675">
        <v>88.001879057264901</v>
      </c>
      <c r="AM3675">
        <v>91.327778929976105</v>
      </c>
      <c r="AN3675">
        <v>0.99999997344435998</v>
      </c>
    </row>
    <row r="3676" spans="1:40" x14ac:dyDescent="0.25">
      <c r="A3676" t="str">
        <f>"20190312150730345"</f>
        <v>20190312150730345</v>
      </c>
      <c r="B3676" t="str">
        <f>"1552374450333643"</f>
        <v>1552374450333643</v>
      </c>
      <c r="C3676" t="s">
        <v>40</v>
      </c>
      <c r="D3676">
        <v>4.1421679999999999</v>
      </c>
      <c r="E3676">
        <v>0.46237840000000002</v>
      </c>
      <c r="F3676" t="s">
        <v>67</v>
      </c>
      <c r="G3676">
        <v>-443.26240000000001</v>
      </c>
      <c r="H3676">
        <v>8.0000740000000001E-2</v>
      </c>
      <c r="I3676">
        <v>279.08139999999997</v>
      </c>
      <c r="J3676">
        <v>-390.42399999999998</v>
      </c>
      <c r="K3676">
        <v>1.109742</v>
      </c>
      <c r="L3676">
        <v>284.1198</v>
      </c>
      <c r="M3676">
        <v>-0.99950669999999997</v>
      </c>
      <c r="N3676">
        <v>0</v>
      </c>
      <c r="O3676">
        <v>2.9632700000000001E-2</v>
      </c>
      <c r="P3676">
        <v>-0.99968590000000002</v>
      </c>
      <c r="Q3676">
        <v>2.4308139999999999E-2</v>
      </c>
      <c r="R3676">
        <v>6.1159369999999897E-3</v>
      </c>
      <c r="S3676">
        <v>-3.004181</v>
      </c>
      <c r="T3676">
        <v>-5.8351760000000003E-2</v>
      </c>
      <c r="U3676">
        <v>-0.28521729999999901</v>
      </c>
      <c r="V3676">
        <v>-2.3503E-2</v>
      </c>
      <c r="W3676">
        <v>3.4713750000000002E-2</v>
      </c>
      <c r="X3676">
        <v>0.99912089999999998</v>
      </c>
      <c r="Y3676">
        <v>-0.1239465</v>
      </c>
      <c r="Z3676">
        <v>-1.7753210000000001E-3</v>
      </c>
      <c r="AA3676">
        <v>0.99228729999999998</v>
      </c>
      <c r="AB3676">
        <v>33</v>
      </c>
      <c r="AC3676">
        <v>-52.838399999999901</v>
      </c>
      <c r="AD3676">
        <v>-1.02974126</v>
      </c>
      <c r="AE3676">
        <v>-5.0384000000000198</v>
      </c>
      <c r="AF3676">
        <v>-6.5995324605031902</v>
      </c>
      <c r="AG3676">
        <v>-1.02974126</v>
      </c>
      <c r="AH3676">
        <v>52.646069397422501</v>
      </c>
      <c r="AI3676">
        <v>91.1118456407807</v>
      </c>
      <c r="AJ3676">
        <v>97.145133018286998</v>
      </c>
      <c r="AK3676">
        <v>53.068096053636701</v>
      </c>
      <c r="AL3676">
        <v>88.010648962915994</v>
      </c>
      <c r="AM3676">
        <v>91.347559036862705</v>
      </c>
      <c r="AN3676">
        <v>1.00000000413243</v>
      </c>
    </row>
    <row r="3677" spans="1:40" x14ac:dyDescent="0.25">
      <c r="A3677" t="str">
        <f>"20190312150730357"</f>
        <v>20190312150730357</v>
      </c>
      <c r="B3677" t="str">
        <f>"1552374450354138"</f>
        <v>1552374450354138</v>
      </c>
      <c r="C3677" t="s">
        <v>40</v>
      </c>
      <c r="D3677">
        <v>4.1267550000000002</v>
      </c>
      <c r="E3677">
        <v>0.46226640000000002</v>
      </c>
      <c r="F3677" t="s">
        <v>67</v>
      </c>
      <c r="G3677">
        <v>-442.69</v>
      </c>
      <c r="H3677">
        <v>8.0000909999999995E-2</v>
      </c>
      <c r="I3677">
        <v>279.11880000000002</v>
      </c>
      <c r="J3677">
        <v>-390.61</v>
      </c>
      <c r="K3677">
        <v>1.1097539999999999</v>
      </c>
      <c r="L3677">
        <v>284.12540000000001</v>
      </c>
      <c r="M3677">
        <v>-0.99950559999999999</v>
      </c>
      <c r="N3677">
        <v>0</v>
      </c>
      <c r="O3677">
        <v>2.9662319999999999E-2</v>
      </c>
      <c r="P3677">
        <v>-0.99969220000000003</v>
      </c>
      <c r="Q3677">
        <v>2.4125210000000001E-2</v>
      </c>
      <c r="R3677">
        <v>5.8140860000000004E-3</v>
      </c>
      <c r="S3677">
        <v>-3.0041199999999999</v>
      </c>
      <c r="T3677">
        <v>-5.918694E-2</v>
      </c>
      <c r="U3677">
        <v>-0.28744509999999901</v>
      </c>
      <c r="V3677">
        <v>-2.3835200000000001E-2</v>
      </c>
      <c r="W3677">
        <v>3.4552670000000001E-2</v>
      </c>
      <c r="X3677">
        <v>0.99911859999999997</v>
      </c>
      <c r="Y3677">
        <v>-0.124706</v>
      </c>
      <c r="Z3677">
        <v>-1.808748E-3</v>
      </c>
      <c r="AA3677">
        <v>0.99219210000000002</v>
      </c>
      <c r="AB3677">
        <v>33</v>
      </c>
      <c r="AC3677">
        <v>-52.079999999999899</v>
      </c>
      <c r="AD3677">
        <v>-1.02975309</v>
      </c>
      <c r="AE3677">
        <v>-5.0065999999999899</v>
      </c>
      <c r="AF3677">
        <v>-6.5467582978322598</v>
      </c>
      <c r="AG3677">
        <v>-1.02975309</v>
      </c>
      <c r="AH3677">
        <v>51.888465463543099</v>
      </c>
      <c r="AI3677">
        <v>91.127974530656701</v>
      </c>
      <c r="AJ3677">
        <v>97.191001348658006</v>
      </c>
      <c r="AK3677">
        <v>52.309973081601797</v>
      </c>
      <c r="AL3677">
        <v>88.019883679691205</v>
      </c>
      <c r="AM3677">
        <v>91.366601901279694</v>
      </c>
      <c r="AN3677">
        <v>0.99999999031456399</v>
      </c>
    </row>
    <row r="3678" spans="1:40" x14ac:dyDescent="0.25">
      <c r="A3678" t="str">
        <f>"20190312150730370"</f>
        <v>20190312150730370</v>
      </c>
      <c r="B3678" t="str">
        <f>"1552374450363898"</f>
        <v>1552374450363898</v>
      </c>
      <c r="C3678" t="s">
        <v>40</v>
      </c>
      <c r="D3678">
        <v>4.1376160000000004</v>
      </c>
      <c r="E3678">
        <v>0.46221980000000001</v>
      </c>
      <c r="F3678" t="s">
        <v>67</v>
      </c>
      <c r="G3678">
        <v>-441.19729999999998</v>
      </c>
      <c r="H3678">
        <v>8.0001329999999996E-2</v>
      </c>
      <c r="I3678">
        <v>279.2516</v>
      </c>
      <c r="J3678">
        <v>-390.79939999999999</v>
      </c>
      <c r="K3678">
        <v>1.1097619999999999</v>
      </c>
      <c r="L3678">
        <v>284.1311</v>
      </c>
      <c r="M3678">
        <v>-0.99950470000000002</v>
      </c>
      <c r="N3678">
        <v>0</v>
      </c>
      <c r="O3678">
        <v>2.9687999999999999E-2</v>
      </c>
      <c r="P3678">
        <v>-0.99970199999999998</v>
      </c>
      <c r="Q3678">
        <v>2.3791960000000001E-2</v>
      </c>
      <c r="R3678">
        <v>5.5074149999999999E-3</v>
      </c>
      <c r="S3678">
        <v>-3.0041199999999999</v>
      </c>
      <c r="T3678">
        <v>-6.1151740000000003E-2</v>
      </c>
      <c r="U3678">
        <v>-0.28942869999999998</v>
      </c>
      <c r="V3678">
        <v>-2.416894E-2</v>
      </c>
      <c r="W3678">
        <v>3.4241489999999999E-2</v>
      </c>
      <c r="X3678">
        <v>0.99912129999999999</v>
      </c>
      <c r="Y3678">
        <v>-0.1253785</v>
      </c>
      <c r="Z3678">
        <v>-1.876073E-3</v>
      </c>
      <c r="AA3678">
        <v>0.99210719999999997</v>
      </c>
      <c r="AB3678">
        <v>33</v>
      </c>
      <c r="AC3678">
        <v>-50.3978999999999</v>
      </c>
      <c r="AD3678">
        <v>-1.0297606699999999</v>
      </c>
      <c r="AE3678">
        <v>-4.8795000000000002</v>
      </c>
      <c r="AF3678">
        <v>-6.3710081992188297</v>
      </c>
      <c r="AG3678">
        <v>-1.0297606699999999</v>
      </c>
      <c r="AH3678">
        <v>50.210044813602401</v>
      </c>
      <c r="AI3678">
        <v>91.165574693475506</v>
      </c>
      <c r="AJ3678">
        <v>97.231452315228907</v>
      </c>
      <c r="AK3678">
        <v>50.623104929428699</v>
      </c>
      <c r="AL3678">
        <v>88.037723546044305</v>
      </c>
      <c r="AM3678">
        <v>91.385725881241697</v>
      </c>
      <c r="AN3678">
        <v>0.99999999470591605</v>
      </c>
    </row>
    <row r="3679" spans="1:40" x14ac:dyDescent="0.25">
      <c r="A3679" t="str">
        <f>"20190312150730383"</f>
        <v>20190312150730383</v>
      </c>
      <c r="B3679" t="str">
        <f>"1552374450373659"</f>
        <v>1552374450373659</v>
      </c>
      <c r="C3679" t="s">
        <v>40</v>
      </c>
      <c r="D3679">
        <v>4.1522829999999997</v>
      </c>
      <c r="E3679">
        <v>0.46213149999999997</v>
      </c>
      <c r="F3679" t="s">
        <v>67</v>
      </c>
      <c r="G3679">
        <v>-440.02870000000001</v>
      </c>
      <c r="H3679">
        <v>8.0001680000000006E-2</v>
      </c>
      <c r="I3679">
        <v>279.36799999999999</v>
      </c>
      <c r="J3679">
        <v>-390.99169999999998</v>
      </c>
      <c r="K3679">
        <v>1.1097699999999999</v>
      </c>
      <c r="L3679">
        <v>284.13679999999999</v>
      </c>
      <c r="M3679">
        <v>-0.99950380000000005</v>
      </c>
      <c r="N3679">
        <v>0</v>
      </c>
      <c r="O3679">
        <v>2.970867E-2</v>
      </c>
      <c r="P3679">
        <v>-0.99971509999999997</v>
      </c>
      <c r="Q3679">
        <v>2.3418089999999999E-2</v>
      </c>
      <c r="R3679">
        <v>4.6454290000000004E-3</v>
      </c>
      <c r="S3679">
        <v>-3.0040279999999999</v>
      </c>
      <c r="T3679">
        <v>-6.2837119999999996E-2</v>
      </c>
      <c r="U3679">
        <v>-0.2906494</v>
      </c>
      <c r="V3679">
        <v>-2.505251E-2</v>
      </c>
      <c r="W3679">
        <v>3.3891209999999998E-2</v>
      </c>
      <c r="X3679">
        <v>0.99911150000000004</v>
      </c>
      <c r="Y3679">
        <v>-0.12579949999999901</v>
      </c>
      <c r="Z3679">
        <v>-1.9326129999999999E-3</v>
      </c>
      <c r="AA3679">
        <v>0.99205379999999999</v>
      </c>
      <c r="AB3679">
        <v>33</v>
      </c>
      <c r="AC3679">
        <v>-49.036999999999999</v>
      </c>
      <c r="AD3679">
        <v>-1.0297683200000001</v>
      </c>
      <c r="AE3679">
        <v>-4.7687999999999899</v>
      </c>
      <c r="AF3679">
        <v>-6.2208810148205496</v>
      </c>
      <c r="AG3679">
        <v>-1.0297683200000001</v>
      </c>
      <c r="AH3679">
        <v>48.852328554703902</v>
      </c>
      <c r="AI3679">
        <v>91.197900301301104</v>
      </c>
      <c r="AJ3679">
        <v>97.257017009981098</v>
      </c>
      <c r="AK3679">
        <v>49.257586102144302</v>
      </c>
      <c r="AL3679">
        <v>88.057804808759201</v>
      </c>
      <c r="AM3679">
        <v>91.436378590833698</v>
      </c>
      <c r="AN3679">
        <v>1.0000000159024001</v>
      </c>
    </row>
    <row r="3680" spans="1:40" x14ac:dyDescent="0.25">
      <c r="A3680" t="str">
        <f>"20190312150730395"</f>
        <v>20190312150730395</v>
      </c>
      <c r="B3680" t="str">
        <f>"1552374450383418"</f>
        <v>1552374450383418</v>
      </c>
      <c r="C3680" t="s">
        <v>40</v>
      </c>
      <c r="D3680">
        <v>4.1481859999999999</v>
      </c>
      <c r="E3680">
        <v>0.46206829999999999</v>
      </c>
      <c r="F3680" t="s">
        <v>68</v>
      </c>
      <c r="G3680">
        <v>-439.01600000000002</v>
      </c>
      <c r="H3680">
        <v>8.0000580000000002E-2</v>
      </c>
      <c r="I3680">
        <v>279.43369999999999</v>
      </c>
      <c r="J3680">
        <v>-391.16879999999998</v>
      </c>
      <c r="K3680">
        <v>1.1097859999999999</v>
      </c>
      <c r="L3680">
        <v>284.14210000000003</v>
      </c>
      <c r="M3680">
        <v>-0.99950320000000004</v>
      </c>
      <c r="N3680">
        <v>0</v>
      </c>
      <c r="O3680">
        <v>2.972089E-2</v>
      </c>
      <c r="P3680">
        <v>-0.99972419999999995</v>
      </c>
      <c r="Q3680">
        <v>2.3159079999999999E-2</v>
      </c>
      <c r="R3680">
        <v>3.9357189999999998E-3</v>
      </c>
      <c r="S3680">
        <v>-3.0037539999999998</v>
      </c>
      <c r="T3680">
        <v>-6.4408419999999994E-2</v>
      </c>
      <c r="U3680">
        <v>-0.2941589</v>
      </c>
      <c r="V3680">
        <v>-2.577496E-2</v>
      </c>
      <c r="W3680">
        <v>3.3655310000000001E-2</v>
      </c>
      <c r="X3680">
        <v>0.99910109999999996</v>
      </c>
      <c r="Y3680">
        <v>-0.12696640000000001</v>
      </c>
      <c r="Z3680">
        <v>-1.9937420000000002E-3</v>
      </c>
      <c r="AA3680">
        <v>0.99190500000000004</v>
      </c>
      <c r="AB3680">
        <v>33</v>
      </c>
      <c r="AC3680">
        <v>-47.847200000000001</v>
      </c>
      <c r="AD3680">
        <v>-1.0297854200000001</v>
      </c>
      <c r="AE3680">
        <v>-4.7084000000000401</v>
      </c>
      <c r="AF3680">
        <v>-6.1256491115534004</v>
      </c>
      <c r="AG3680">
        <v>-1.0297854200000001</v>
      </c>
      <c r="AH3680">
        <v>47.664248068828201</v>
      </c>
      <c r="AI3680">
        <v>91.227588867506597</v>
      </c>
      <c r="AJ3680">
        <v>97.323318653312</v>
      </c>
      <c r="AK3680">
        <v>48.067292195586703</v>
      </c>
      <c r="AL3680">
        <v>88.071328602509794</v>
      </c>
      <c r="AM3680">
        <v>91.477797323299797</v>
      </c>
      <c r="AN3680">
        <v>1.0000000182377</v>
      </c>
    </row>
    <row r="3681" spans="1:40" x14ac:dyDescent="0.25">
      <c r="A3681" t="str">
        <f>"20190312150730409"</f>
        <v>20190312150730409</v>
      </c>
      <c r="B3681" t="str">
        <f>"1552374450403915"</f>
        <v>1552374450403915</v>
      </c>
      <c r="C3681" t="s">
        <v>40</v>
      </c>
      <c r="D3681">
        <v>4.1712559999999996</v>
      </c>
      <c r="E3681">
        <v>0.46196789999999999</v>
      </c>
      <c r="F3681" t="s">
        <v>68</v>
      </c>
      <c r="G3681">
        <v>-438.40949999999998</v>
      </c>
      <c r="H3681">
        <v>8.0000749999999995E-2</v>
      </c>
      <c r="I3681">
        <v>279.47460000000001</v>
      </c>
      <c r="J3681">
        <v>-391.37520000000001</v>
      </c>
      <c r="K3681">
        <v>1.109799</v>
      </c>
      <c r="L3681">
        <v>284.14830000000001</v>
      </c>
      <c r="M3681">
        <v>-0.99950249999999996</v>
      </c>
      <c r="N3681">
        <v>0</v>
      </c>
      <c r="O3681">
        <v>2.9732060000000001E-2</v>
      </c>
      <c r="P3681">
        <v>-0.99973029999999996</v>
      </c>
      <c r="Q3681">
        <v>2.2944389999999999E-2</v>
      </c>
      <c r="R3681">
        <v>3.6409709999999998E-3</v>
      </c>
      <c r="S3681">
        <v>-3.0035400000000001</v>
      </c>
      <c r="T3681">
        <v>-6.5473080000000003E-2</v>
      </c>
      <c r="U3681">
        <v>-0.29675289999999999</v>
      </c>
      <c r="V3681">
        <v>-2.6081449999999999E-2</v>
      </c>
      <c r="W3681">
        <v>3.3468499999999998E-2</v>
      </c>
      <c r="X3681">
        <v>0.99909939999999997</v>
      </c>
      <c r="Y3681">
        <v>-0.12783139999999901</v>
      </c>
      <c r="Z3681">
        <v>-2.036398E-3</v>
      </c>
      <c r="AA3681">
        <v>0.99179379999999995</v>
      </c>
      <c r="AB3681">
        <v>33</v>
      </c>
      <c r="AC3681">
        <v>-47.034299999999902</v>
      </c>
      <c r="AD3681">
        <v>-1.02979825</v>
      </c>
      <c r="AE3681">
        <v>-4.6736999999999904</v>
      </c>
      <c r="AF3681">
        <v>-6.0672575776386903</v>
      </c>
      <c r="AG3681">
        <v>-1.02979825</v>
      </c>
      <c r="AH3681">
        <v>46.852297425375603</v>
      </c>
      <c r="AI3681">
        <v>91.248716474752698</v>
      </c>
      <c r="AJ3681">
        <v>97.378600302546005</v>
      </c>
      <c r="AK3681">
        <v>47.254733868523402</v>
      </c>
      <c r="AL3681">
        <v>88.082038019049094</v>
      </c>
      <c r="AM3681">
        <v>91.495364419875798</v>
      </c>
      <c r="AN3681">
        <v>0.99999999680335605</v>
      </c>
    </row>
    <row r="3682" spans="1:40" x14ac:dyDescent="0.25">
      <c r="A3682" t="str">
        <f>"20190312150730422"</f>
        <v>20190312150730422</v>
      </c>
      <c r="B3682" t="str">
        <f>"1552374450413675"</f>
        <v>1552374450413675</v>
      </c>
      <c r="C3682" t="s">
        <v>40</v>
      </c>
      <c r="D3682">
        <v>4.1563299999999996</v>
      </c>
      <c r="E3682">
        <v>0.46195209999999998</v>
      </c>
      <c r="F3682" t="s">
        <v>68</v>
      </c>
      <c r="G3682">
        <v>-437.57560000000001</v>
      </c>
      <c r="H3682">
        <v>8.0000989999999994E-2</v>
      </c>
      <c r="I3682">
        <v>279.55770000000001</v>
      </c>
      <c r="J3682">
        <v>-391.57799999999997</v>
      </c>
      <c r="K3682">
        <v>1.109809</v>
      </c>
      <c r="L3682">
        <v>284.15429999999998</v>
      </c>
      <c r="M3682">
        <v>-0.99950220000000001</v>
      </c>
      <c r="N3682">
        <v>0</v>
      </c>
      <c r="O3682">
        <v>2.973843E-2</v>
      </c>
      <c r="P3682">
        <v>-0.99972530000000004</v>
      </c>
      <c r="Q3682">
        <v>2.3172950000000001E-2</v>
      </c>
      <c r="R3682">
        <v>3.5153319999999999E-3</v>
      </c>
      <c r="S3682">
        <v>-3.003479</v>
      </c>
      <c r="T3682">
        <v>-6.6946980000000003E-2</v>
      </c>
      <c r="U3682">
        <v>-0.29843140000000001</v>
      </c>
      <c r="V3682">
        <v>-2.621414E-2</v>
      </c>
      <c r="W3682">
        <v>3.372489E-2</v>
      </c>
      <c r="X3682">
        <v>0.99908730000000001</v>
      </c>
      <c r="Y3682">
        <v>-0.12838669999999999</v>
      </c>
      <c r="Z3682">
        <v>-2.0885299999999999E-3</v>
      </c>
      <c r="AA3682">
        <v>0.99172199999999999</v>
      </c>
      <c r="AB3682">
        <v>33</v>
      </c>
      <c r="AC3682">
        <v>-45.997599999999899</v>
      </c>
      <c r="AD3682">
        <v>-1.02980801</v>
      </c>
      <c r="AE3682">
        <v>-4.5965999999999596</v>
      </c>
      <c r="AF3682">
        <v>-5.9595814640123299</v>
      </c>
      <c r="AG3682">
        <v>-1.02980801</v>
      </c>
      <c r="AH3682">
        <v>45.817811982853499</v>
      </c>
      <c r="AI3682">
        <v>91.276819686739898</v>
      </c>
      <c r="AJ3682">
        <v>97.410928277282807</v>
      </c>
      <c r="AK3682">
        <v>46.215246517353698</v>
      </c>
      <c r="AL3682">
        <v>88.067339645540997</v>
      </c>
      <c r="AM3682">
        <v>91.502986835647704</v>
      </c>
      <c r="AN3682">
        <v>0.99999999118136995</v>
      </c>
    </row>
    <row r="3683" spans="1:40" x14ac:dyDescent="0.25">
      <c r="A3683" t="str">
        <f>"20190312150730440"</f>
        <v>20190312150730440</v>
      </c>
      <c r="B3683" t="str">
        <f>"1552374450434170"</f>
        <v>1552374450434170</v>
      </c>
      <c r="C3683" t="s">
        <v>40</v>
      </c>
      <c r="D3683">
        <v>4.1364710000000002</v>
      </c>
      <c r="E3683">
        <v>0.46183990000000003</v>
      </c>
      <c r="F3683" t="s">
        <v>68</v>
      </c>
      <c r="G3683">
        <v>-437.94580000000002</v>
      </c>
      <c r="H3683">
        <v>8.0000890000000005E-2</v>
      </c>
      <c r="I3683">
        <v>279.54140000000001</v>
      </c>
      <c r="J3683">
        <v>-391.8347</v>
      </c>
      <c r="K3683">
        <v>1.1098239999999999</v>
      </c>
      <c r="L3683">
        <v>284.1619</v>
      </c>
      <c r="M3683">
        <v>-0.99950150000000004</v>
      </c>
      <c r="N3683">
        <v>0</v>
      </c>
      <c r="O3683">
        <v>2.9742649999999999E-2</v>
      </c>
      <c r="P3683">
        <v>-0.99973449999999997</v>
      </c>
      <c r="Q3683">
        <v>2.2869549999999999E-2</v>
      </c>
      <c r="R3683">
        <v>2.8648749999999998E-3</v>
      </c>
      <c r="S3683">
        <v>-3.0034179999999999</v>
      </c>
      <c r="T3683">
        <v>-6.6704509999999995E-2</v>
      </c>
      <c r="U3683">
        <v>-0.298797599999999</v>
      </c>
      <c r="V3683">
        <v>-2.686943E-2</v>
      </c>
      <c r="W3683">
        <v>3.345849E-2</v>
      </c>
      <c r="X3683">
        <v>0.99907889999999999</v>
      </c>
      <c r="Y3683">
        <v>-0.12851290000000001</v>
      </c>
      <c r="Z3683">
        <v>-2.082488E-3</v>
      </c>
      <c r="AA3683">
        <v>0.99170570000000002</v>
      </c>
      <c r="AB3683">
        <v>33</v>
      </c>
      <c r="AC3683">
        <v>-46.1111</v>
      </c>
      <c r="AD3683">
        <v>-1.0298231099999999</v>
      </c>
      <c r="AE3683">
        <v>-4.6204999999999901</v>
      </c>
      <c r="AF3683">
        <v>-5.98704224971803</v>
      </c>
      <c r="AG3683">
        <v>-1.0298231099999999</v>
      </c>
      <c r="AH3683">
        <v>45.930582267329001</v>
      </c>
      <c r="AI3683">
        <v>91.273659093925005</v>
      </c>
      <c r="AJ3683">
        <v>97.426620274023506</v>
      </c>
      <c r="AK3683">
        <v>46.330590304394804</v>
      </c>
      <c r="AL3683">
        <v>88.082611959082897</v>
      </c>
      <c r="AM3683">
        <v>91.5405529275493</v>
      </c>
      <c r="AN3683">
        <v>1.0000000426233999</v>
      </c>
    </row>
    <row r="3684" spans="1:40" x14ac:dyDescent="0.25">
      <c r="A3684" t="str">
        <f>"20190312150730462"</f>
        <v>20190312150730462</v>
      </c>
      <c r="B3684" t="str">
        <f>"1552374450453690"</f>
        <v>1552374450453690</v>
      </c>
      <c r="C3684" t="s">
        <v>40</v>
      </c>
      <c r="D3684">
        <v>4.1964990000000002</v>
      </c>
      <c r="E3684">
        <v>0.46166230000000003</v>
      </c>
      <c r="F3684" t="s">
        <v>68</v>
      </c>
      <c r="G3684">
        <v>-437.2826</v>
      </c>
      <c r="H3684">
        <v>7.2287509999999999E-2</v>
      </c>
      <c r="I3684">
        <v>279.59410000000003</v>
      </c>
      <c r="J3684">
        <v>-392.16300000000001</v>
      </c>
      <c r="K3684">
        <v>1.1098410000000001</v>
      </c>
      <c r="L3684">
        <v>284.17169999999999</v>
      </c>
      <c r="M3684">
        <v>-0.99950090000000003</v>
      </c>
      <c r="N3684">
        <v>0</v>
      </c>
      <c r="O3684">
        <v>2.97439E-2</v>
      </c>
      <c r="P3684">
        <v>-0.99973639999999997</v>
      </c>
      <c r="Q3684">
        <v>2.2827190000000001E-2</v>
      </c>
      <c r="R3684">
        <v>2.4884070000000002E-3</v>
      </c>
      <c r="S3684">
        <v>-3.0032350000000001</v>
      </c>
      <c r="T3684">
        <v>-6.8561319999999995E-2</v>
      </c>
      <c r="U3684">
        <v>-0.30184939999999999</v>
      </c>
      <c r="V3684">
        <v>-2.724768E-2</v>
      </c>
      <c r="W3684">
        <v>3.3465160000000001E-2</v>
      </c>
      <c r="X3684">
        <v>0.99906839999999997</v>
      </c>
      <c r="Y3684">
        <v>-0.1295154</v>
      </c>
      <c r="Z3684">
        <v>-2.1519080000000001E-3</v>
      </c>
      <c r="AA3684">
        <v>0.99157510000000004</v>
      </c>
      <c r="AB3684">
        <v>33</v>
      </c>
      <c r="AC3684">
        <v>-45.119599999999899</v>
      </c>
      <c r="AD3684">
        <v>-1.0375534900000001</v>
      </c>
      <c r="AE3684">
        <v>-4.5775999999999604</v>
      </c>
      <c r="AF3684">
        <v>-5.9145875302455497</v>
      </c>
      <c r="AG3684">
        <v>-1.0375534900000001</v>
      </c>
      <c r="AH3684">
        <v>44.939949209839298</v>
      </c>
      <c r="AI3684">
        <v>91.311280552492704</v>
      </c>
      <c r="AJ3684">
        <v>97.497657688983693</v>
      </c>
      <c r="AK3684">
        <v>45.339363668676299</v>
      </c>
      <c r="AL3684">
        <v>88.082229520371698</v>
      </c>
      <c r="AM3684">
        <v>91.562245547211404</v>
      </c>
      <c r="AN3684">
        <v>1.00000001043888</v>
      </c>
    </row>
    <row r="3685" spans="1:40" x14ac:dyDescent="0.25">
      <c r="A3685" t="str">
        <f>"20190312150730483"</f>
        <v>20190312150730483</v>
      </c>
      <c r="B3685" t="str">
        <f>"1552374450474187"</f>
        <v>1552374450474187</v>
      </c>
      <c r="C3685" t="s">
        <v>40</v>
      </c>
      <c r="D3685">
        <v>4.1877360000000001</v>
      </c>
      <c r="E3685">
        <v>0.46160030000000002</v>
      </c>
      <c r="F3685" t="s">
        <v>68</v>
      </c>
      <c r="G3685">
        <v>-437.53359999999998</v>
      </c>
      <c r="H3685">
        <v>8.0001000000000003E-2</v>
      </c>
      <c r="I3685">
        <v>279.57229999999998</v>
      </c>
      <c r="J3685">
        <v>-392.49720000000002</v>
      </c>
      <c r="K3685">
        <v>1.1098539999999999</v>
      </c>
      <c r="L3685">
        <v>284.18169999999998</v>
      </c>
      <c r="M3685">
        <v>-0.99950039999999996</v>
      </c>
      <c r="N3685">
        <v>0</v>
      </c>
      <c r="O3685">
        <v>2.9741219999999999E-2</v>
      </c>
      <c r="P3685">
        <v>-0.99972269999999996</v>
      </c>
      <c r="Q3685">
        <v>2.34352E-2</v>
      </c>
      <c r="R3685">
        <v>2.3607569999999998E-3</v>
      </c>
      <c r="S3685">
        <v>-3.0031430000000001</v>
      </c>
      <c r="T3685">
        <v>-6.8166489999999996E-2</v>
      </c>
      <c r="U3685">
        <v>-0.30444339999999998</v>
      </c>
      <c r="V3685">
        <v>-2.7372839999999999E-2</v>
      </c>
      <c r="W3685">
        <v>3.4125679999999999E-2</v>
      </c>
      <c r="X3685">
        <v>0.9990426</v>
      </c>
      <c r="Y3685">
        <v>-0.1303638</v>
      </c>
      <c r="Z3685">
        <v>-2.1490369999999999E-3</v>
      </c>
      <c r="AA3685">
        <v>0.99146389999999995</v>
      </c>
      <c r="AB3685">
        <v>33</v>
      </c>
      <c r="AC3685">
        <v>-45.036399999999901</v>
      </c>
      <c r="AD3685">
        <v>-1.0298529999999999</v>
      </c>
      <c r="AE3685">
        <v>-4.6093999999999902</v>
      </c>
      <c r="AF3685">
        <v>-5.9437990006834998</v>
      </c>
      <c r="AG3685">
        <v>-1.0298529999999999</v>
      </c>
      <c r="AH3685">
        <v>44.856165660355998</v>
      </c>
      <c r="AI3685">
        <v>91.303830350537794</v>
      </c>
      <c r="AJ3685">
        <v>97.548173973460294</v>
      </c>
      <c r="AK3685">
        <v>45.259970630916598</v>
      </c>
      <c r="AL3685">
        <v>88.044362812959207</v>
      </c>
      <c r="AM3685">
        <v>91.569458523778593</v>
      </c>
      <c r="AN3685">
        <v>0.99999997550994302</v>
      </c>
    </row>
    <row r="3686" spans="1:40" x14ac:dyDescent="0.25">
      <c r="A3686" t="str">
        <f>"20190312150730497"</f>
        <v>20190312150730497</v>
      </c>
      <c r="B3686" t="str">
        <f>"1552374450493706"</f>
        <v>1552374450493706</v>
      </c>
      <c r="C3686" t="s">
        <v>40</v>
      </c>
      <c r="D3686">
        <v>4.1798890000000002</v>
      </c>
      <c r="E3686">
        <v>0.46152969999999999</v>
      </c>
      <c r="F3686" t="s">
        <v>68</v>
      </c>
      <c r="G3686">
        <v>-438.51929999999999</v>
      </c>
      <c r="H3686">
        <v>8.0000719999999997E-2</v>
      </c>
      <c r="I3686">
        <v>279.50360000000001</v>
      </c>
      <c r="J3686">
        <v>-392.69319999999999</v>
      </c>
      <c r="K3686">
        <v>1.1098600000000001</v>
      </c>
      <c r="L3686">
        <v>284.1875</v>
      </c>
      <c r="M3686">
        <v>-0.9995001</v>
      </c>
      <c r="N3686">
        <v>0</v>
      </c>
      <c r="O3686">
        <v>2.973922E-2</v>
      </c>
      <c r="P3686">
        <v>-0.99971600000000005</v>
      </c>
      <c r="Q3686">
        <v>2.3739730000000001E-2</v>
      </c>
      <c r="R3686">
        <v>2.1233810000000001E-3</v>
      </c>
      <c r="S3686">
        <v>-3.0031430000000001</v>
      </c>
      <c r="T3686">
        <v>-6.7202449999999997E-2</v>
      </c>
      <c r="U3686">
        <v>-0.30526730000000002</v>
      </c>
      <c r="V3686">
        <v>-2.760785E-2</v>
      </c>
      <c r="W3686">
        <v>3.4463559999999997E-2</v>
      </c>
      <c r="X3686">
        <v>0.99902460000000004</v>
      </c>
      <c r="Y3686">
        <v>-0.1306321</v>
      </c>
      <c r="Z3686">
        <v>-2.1215729999999999E-3</v>
      </c>
      <c r="AA3686">
        <v>0.99142859999999999</v>
      </c>
      <c r="AB3686">
        <v>33</v>
      </c>
      <c r="AC3686">
        <v>-45.826099999999997</v>
      </c>
      <c r="AD3686">
        <v>-1.0298592799999999</v>
      </c>
      <c r="AE3686">
        <v>-4.6838999999999897</v>
      </c>
      <c r="AF3686">
        <v>-6.0417191683504896</v>
      </c>
      <c r="AG3686">
        <v>-1.0298592799999999</v>
      </c>
      <c r="AH3686">
        <v>45.643711055645099</v>
      </c>
      <c r="AI3686">
        <v>91.281372694807402</v>
      </c>
      <c r="AJ3686">
        <v>97.540234397231004</v>
      </c>
      <c r="AK3686">
        <v>46.053353184942303</v>
      </c>
      <c r="AL3686">
        <v>88.024992449189796</v>
      </c>
      <c r="AM3686">
        <v>91.582954817284204</v>
      </c>
      <c r="AN3686">
        <v>1.00000004087732</v>
      </c>
    </row>
    <row r="3687" spans="1:40" x14ac:dyDescent="0.25">
      <c r="A3687" t="str">
        <f>"20190312150730511"</f>
        <v>20190312150730511</v>
      </c>
      <c r="B3687" t="str">
        <f>"1552374450503466"</f>
        <v>1552374450503466</v>
      </c>
      <c r="C3687" t="s">
        <v>40</v>
      </c>
      <c r="D3687">
        <v>4.1784829999999999</v>
      </c>
      <c r="E3687">
        <v>0.46149499999999999</v>
      </c>
      <c r="F3687" t="s">
        <v>68</v>
      </c>
      <c r="G3687">
        <v>-438.71890000000002</v>
      </c>
      <c r="H3687">
        <v>8.0000660000000001E-2</v>
      </c>
      <c r="I3687">
        <v>279.48939999999999</v>
      </c>
      <c r="J3687">
        <v>-392.8895</v>
      </c>
      <c r="K3687">
        <v>1.109869</v>
      </c>
      <c r="L3687">
        <v>284.1934</v>
      </c>
      <c r="M3687">
        <v>-0.9994999</v>
      </c>
      <c r="N3687">
        <v>0</v>
      </c>
      <c r="O3687">
        <v>2.973698E-2</v>
      </c>
      <c r="P3687">
        <v>-0.99971480000000001</v>
      </c>
      <c r="Q3687">
        <v>2.3830190000000001E-2</v>
      </c>
      <c r="R3687">
        <v>1.611157E-3</v>
      </c>
      <c r="S3687">
        <v>-3.0031430000000001</v>
      </c>
      <c r="T3687">
        <v>-6.7197560000000003E-2</v>
      </c>
      <c r="U3687">
        <v>-0.30654910000000002</v>
      </c>
      <c r="V3687">
        <v>-2.8117920000000001E-2</v>
      </c>
      <c r="W3687">
        <v>3.4589849999999998E-2</v>
      </c>
      <c r="X3687">
        <v>0.99900599999999995</v>
      </c>
      <c r="Y3687">
        <v>-0.13104859999999999</v>
      </c>
      <c r="Z3687">
        <v>-2.1259709999999999E-3</v>
      </c>
      <c r="AA3687">
        <v>0.99137370000000002</v>
      </c>
      <c r="AB3687">
        <v>33</v>
      </c>
      <c r="AC3687">
        <v>-45.8294</v>
      </c>
      <c r="AD3687">
        <v>-1.0298683399999999</v>
      </c>
      <c r="AE3687">
        <v>-4.7039999999999997</v>
      </c>
      <c r="AF3687">
        <v>-6.0617970463734103</v>
      </c>
      <c r="AG3687">
        <v>-1.0298683399999999</v>
      </c>
      <c r="AH3687">
        <v>45.646428867054901</v>
      </c>
      <c r="AI3687">
        <v>91.281235604856903</v>
      </c>
      <c r="AJ3687">
        <v>97.564557206053607</v>
      </c>
      <c r="AK3687">
        <v>46.058685180368101</v>
      </c>
      <c r="AL3687">
        <v>88.017752230289005</v>
      </c>
      <c r="AM3687">
        <v>91.612215472039907</v>
      </c>
      <c r="AN3687">
        <v>1.0000000315920701</v>
      </c>
    </row>
    <row r="3688" spans="1:40" x14ac:dyDescent="0.25">
      <c r="A3688" t="str">
        <f>"20190312150730528"</f>
        <v>20190312150730528</v>
      </c>
      <c r="B3688" t="str">
        <f>"1552374450523966"</f>
        <v>1552374450523966</v>
      </c>
      <c r="C3688" t="s">
        <v>40</v>
      </c>
      <c r="D3688">
        <v>4.1798570000000002</v>
      </c>
      <c r="E3688">
        <v>0.46141989999999999</v>
      </c>
      <c r="F3688" t="s">
        <v>68</v>
      </c>
      <c r="G3688">
        <v>-438.78019999999998</v>
      </c>
      <c r="H3688">
        <v>8.0000639999999998E-2</v>
      </c>
      <c r="I3688">
        <v>279.48259999999999</v>
      </c>
      <c r="J3688">
        <v>-393.15440000000001</v>
      </c>
      <c r="K3688">
        <v>1.109874</v>
      </c>
      <c r="L3688">
        <v>284.20119999999997</v>
      </c>
      <c r="M3688">
        <v>-0.99949940000000004</v>
      </c>
      <c r="N3688">
        <v>0</v>
      </c>
      <c r="O3688">
        <v>2.9734699999999999E-2</v>
      </c>
      <c r="P3688">
        <v>-0.99970999999999999</v>
      </c>
      <c r="Q3688">
        <v>2.4053890000000001E-2</v>
      </c>
      <c r="R3688">
        <v>1.2751889999999999E-3</v>
      </c>
      <c r="S3688">
        <v>-3.0029599999999999</v>
      </c>
      <c r="T3688">
        <v>-6.7391629999999994E-2</v>
      </c>
      <c r="U3688">
        <v>-0.30825809999999998</v>
      </c>
      <c r="V3688">
        <v>-2.84511E-2</v>
      </c>
      <c r="W3688">
        <v>3.4863869999999998E-2</v>
      </c>
      <c r="X3688">
        <v>0.99898699999999996</v>
      </c>
      <c r="Y3688">
        <v>-0.13161039999999999</v>
      </c>
      <c r="Z3688">
        <v>-2.1384139999999999E-3</v>
      </c>
      <c r="AA3688">
        <v>0.99129920000000005</v>
      </c>
      <c r="AB3688">
        <v>33</v>
      </c>
      <c r="AC3688">
        <v>-45.625799999999899</v>
      </c>
      <c r="AD3688">
        <v>-1.0298733600000001</v>
      </c>
      <c r="AE3688">
        <v>-4.7185999999999799</v>
      </c>
      <c r="AF3688">
        <v>-6.0702019675188996</v>
      </c>
      <c r="AG3688">
        <v>-1.0298733600000001</v>
      </c>
      <c r="AH3688">
        <v>45.442400732804103</v>
      </c>
      <c r="AI3688">
        <v>91.286860937369497</v>
      </c>
      <c r="AJ3688">
        <v>97.6085365432548</v>
      </c>
      <c r="AK3688">
        <v>45.857603245534598</v>
      </c>
      <c r="AL3688">
        <v>88.002042483362004</v>
      </c>
      <c r="AM3688">
        <v>91.631339977898605</v>
      </c>
      <c r="AN3688">
        <v>0.99999999034579301</v>
      </c>
    </row>
    <row r="3689" spans="1:40" x14ac:dyDescent="0.25">
      <c r="A3689" t="str">
        <f>"20190312150730540"</f>
        <v>20190312150730540</v>
      </c>
      <c r="B3689" t="str">
        <f>"1552374450533723"</f>
        <v>1552374450533723</v>
      </c>
      <c r="C3689" t="s">
        <v>40</v>
      </c>
      <c r="D3689">
        <v>4.3147479999999998</v>
      </c>
      <c r="E3689">
        <v>0.46139279999999999</v>
      </c>
      <c r="F3689" t="s">
        <v>68</v>
      </c>
      <c r="G3689">
        <v>-439.0401</v>
      </c>
      <c r="H3689">
        <v>8.0000559999999998E-2</v>
      </c>
      <c r="I3689">
        <v>279.46339999999998</v>
      </c>
      <c r="J3689">
        <v>-393.3374</v>
      </c>
      <c r="K3689">
        <v>1.1098790000000001</v>
      </c>
      <c r="L3689">
        <v>284.20670000000001</v>
      </c>
      <c r="M3689">
        <v>-0.99949889999999997</v>
      </c>
      <c r="N3689">
        <v>0</v>
      </c>
      <c r="O3689">
        <v>2.9733829999999999E-2</v>
      </c>
      <c r="P3689">
        <v>-0.99971449999999995</v>
      </c>
      <c r="Q3689">
        <v>2.3873640000000002E-2</v>
      </c>
      <c r="R3689">
        <v>1.027568E-3</v>
      </c>
      <c r="S3689">
        <v>-3.0028990000000002</v>
      </c>
      <c r="T3689">
        <v>-6.7398070000000004E-2</v>
      </c>
      <c r="U3689">
        <v>-0.31005860000000002</v>
      </c>
      <c r="V3689">
        <v>-2.869847E-2</v>
      </c>
      <c r="W3689">
        <v>3.4718989999999998E-2</v>
      </c>
      <c r="X3689">
        <v>0.99898500000000001</v>
      </c>
      <c r="Y3689">
        <v>-0.1321996</v>
      </c>
      <c r="Z3689">
        <v>-2.1451719999999999E-3</v>
      </c>
      <c r="AA3689">
        <v>0.99122080000000001</v>
      </c>
      <c r="AB3689">
        <v>33</v>
      </c>
      <c r="AC3689">
        <v>-45.702699999999901</v>
      </c>
      <c r="AD3689">
        <v>-1.0298784400000001</v>
      </c>
      <c r="AE3689">
        <v>-4.7433000000000298</v>
      </c>
      <c r="AF3689">
        <v>-6.0971358048349904</v>
      </c>
      <c r="AG3689">
        <v>-1.0298784400000001</v>
      </c>
      <c r="AH3689">
        <v>45.518577695738102</v>
      </c>
      <c r="AI3689">
        <v>91.284652253618503</v>
      </c>
      <c r="AJ3689">
        <v>97.629259745732696</v>
      </c>
      <c r="AK3689">
        <v>45.9366588909851</v>
      </c>
      <c r="AL3689">
        <v>88.010348584198795</v>
      </c>
      <c r="AM3689">
        <v>91.645519300961894</v>
      </c>
      <c r="AN3689">
        <v>1.00000002033598</v>
      </c>
    </row>
    <row r="3690" spans="1:40" x14ac:dyDescent="0.25">
      <c r="A3690" t="str">
        <f>"20190312150730553"</f>
        <v>20190312150730553</v>
      </c>
      <c r="B3690" t="str">
        <f>"1552374450543482"</f>
        <v>1552374450543482</v>
      </c>
      <c r="C3690" t="s">
        <v>40</v>
      </c>
      <c r="D3690">
        <v>4.1890879999999999</v>
      </c>
      <c r="E3690">
        <v>0.4613681</v>
      </c>
      <c r="F3690" t="s">
        <v>68</v>
      </c>
      <c r="G3690">
        <v>-438.93680000000001</v>
      </c>
      <c r="H3690">
        <v>8.0000589999999996E-2</v>
      </c>
      <c r="I3690">
        <v>279.48110000000003</v>
      </c>
      <c r="J3690">
        <v>-393.52030000000002</v>
      </c>
      <c r="K3690">
        <v>1.109882</v>
      </c>
      <c r="L3690">
        <v>284.21210000000002</v>
      </c>
      <c r="M3690">
        <v>-0.99949849999999996</v>
      </c>
      <c r="N3690">
        <v>0</v>
      </c>
      <c r="O3690">
        <v>2.973309E-2</v>
      </c>
      <c r="P3690">
        <v>-0.99971639999999995</v>
      </c>
      <c r="Q3690">
        <v>2.380233E-2</v>
      </c>
      <c r="R3690">
        <v>7.1196759999999997E-4</v>
      </c>
      <c r="S3690">
        <v>-3.0028079999999999</v>
      </c>
      <c r="T3690">
        <v>-6.7819480000000001E-2</v>
      </c>
      <c r="U3690">
        <v>-0.31118770000000001</v>
      </c>
      <c r="V3690">
        <v>-2.901337E-2</v>
      </c>
      <c r="W3690">
        <v>3.4681820000000002E-2</v>
      </c>
      <c r="X3690">
        <v>0.99897720000000001</v>
      </c>
      <c r="Y3690">
        <v>-0.1325701</v>
      </c>
      <c r="Z3690">
        <v>-2.1627619999999999E-3</v>
      </c>
      <c r="AA3690">
        <v>0.99117120000000003</v>
      </c>
      <c r="AB3690">
        <v>33</v>
      </c>
      <c r="AC3690">
        <v>-45.4164999999999</v>
      </c>
      <c r="AD3690">
        <v>-1.02988141</v>
      </c>
      <c r="AE3690">
        <v>-4.7309999999999901</v>
      </c>
      <c r="AF3690">
        <v>-6.0762700961897904</v>
      </c>
      <c r="AG3690">
        <v>-1.02988141</v>
      </c>
      <c r="AH3690">
        <v>45.232732407996103</v>
      </c>
      <c r="AI3690">
        <v>91.292705918866204</v>
      </c>
      <c r="AJ3690">
        <v>97.650938889739507</v>
      </c>
      <c r="AK3690">
        <v>45.650649448763502</v>
      </c>
      <c r="AL3690">
        <v>88.012479561302996</v>
      </c>
      <c r="AM3690">
        <v>91.663577998689902</v>
      </c>
      <c r="AN3690">
        <v>1.0000000251985499</v>
      </c>
    </row>
    <row r="3691" spans="1:40" x14ac:dyDescent="0.25">
      <c r="A3691" t="str">
        <f>"20190312150730564"</f>
        <v>20190312150730564</v>
      </c>
      <c r="B3691" t="str">
        <f>"1552374450554218"</f>
        <v>1552374450554218</v>
      </c>
      <c r="C3691" t="s">
        <v>40</v>
      </c>
      <c r="D3691">
        <v>4.1800490000000003</v>
      </c>
      <c r="E3691">
        <v>0.46132489999999998</v>
      </c>
      <c r="F3691" t="s">
        <v>68</v>
      </c>
      <c r="G3691">
        <v>-438.892</v>
      </c>
      <c r="H3691">
        <v>8.000061E-2</v>
      </c>
      <c r="I3691">
        <v>279.49329999999998</v>
      </c>
      <c r="J3691">
        <v>-393.69839999999999</v>
      </c>
      <c r="K3691">
        <v>1.1098859999999999</v>
      </c>
      <c r="L3691">
        <v>284.2174</v>
      </c>
      <c r="M3691">
        <v>-0.9994982</v>
      </c>
      <c r="N3691">
        <v>0</v>
      </c>
      <c r="O3691">
        <v>2.9732419999999999E-2</v>
      </c>
      <c r="P3691">
        <v>-0.99972190000000005</v>
      </c>
      <c r="Q3691">
        <v>2.3574620000000001E-2</v>
      </c>
      <c r="R3691">
        <v>6.4242979999999997E-4</v>
      </c>
      <c r="S3691">
        <v>-3.0026549999999999</v>
      </c>
      <c r="T3691">
        <v>-6.8156599999999998E-2</v>
      </c>
      <c r="U3691">
        <v>-0.31228640000000002</v>
      </c>
      <c r="V3691">
        <v>-2.9082170000000001E-2</v>
      </c>
      <c r="W3691">
        <v>3.4486919999999997E-2</v>
      </c>
      <c r="X3691">
        <v>0.99898189999999998</v>
      </c>
      <c r="Y3691">
        <v>-0.13293289999999999</v>
      </c>
      <c r="Z3691">
        <v>-2.1776709999999999E-3</v>
      </c>
      <c r="AA3691">
        <v>0.99112270000000002</v>
      </c>
      <c r="AB3691">
        <v>33</v>
      </c>
      <c r="AC3691">
        <v>-45.193600000000004</v>
      </c>
      <c r="AD3691">
        <v>-1.02988539</v>
      </c>
      <c r="AE3691">
        <v>-4.7241000000000204</v>
      </c>
      <c r="AF3691">
        <v>-6.0626921073108901</v>
      </c>
      <c r="AG3691">
        <v>-1.02988539</v>
      </c>
      <c r="AH3691">
        <v>45.010028569191</v>
      </c>
      <c r="AI3691">
        <v>91.299042610357006</v>
      </c>
      <c r="AJ3691">
        <v>97.6713675533952</v>
      </c>
      <c r="AK3691">
        <v>45.428180365319299</v>
      </c>
      <c r="AL3691">
        <v>88.023653100200306</v>
      </c>
      <c r="AM3691">
        <v>91.6675128098492</v>
      </c>
      <c r="AN3691">
        <v>0.99999997839530197</v>
      </c>
    </row>
    <row r="3692" spans="1:40" x14ac:dyDescent="0.25">
      <c r="A3692" t="str">
        <f>"20190312150730576"</f>
        <v>20190312150730576</v>
      </c>
      <c r="B3692" t="str">
        <f>"1552374450573739"</f>
        <v>1552374450573739</v>
      </c>
      <c r="C3692" t="s">
        <v>40</v>
      </c>
      <c r="D3692">
        <v>4.2043059999999999</v>
      </c>
      <c r="E3692">
        <v>0.46129920000000002</v>
      </c>
      <c r="F3692" t="s">
        <v>68</v>
      </c>
      <c r="G3692">
        <v>-438.50110000000001</v>
      </c>
      <c r="H3692">
        <v>8.0000710000000003E-2</v>
      </c>
      <c r="I3692">
        <v>279.5514</v>
      </c>
      <c r="J3692">
        <v>-393.88580000000002</v>
      </c>
      <c r="K3692">
        <v>1.1098889999999999</v>
      </c>
      <c r="L3692">
        <v>284.22300000000001</v>
      </c>
      <c r="M3692">
        <v>-0.999498</v>
      </c>
      <c r="N3692">
        <v>0</v>
      </c>
      <c r="O3692">
        <v>2.973174E-2</v>
      </c>
      <c r="P3692">
        <v>-0.99972399999999995</v>
      </c>
      <c r="Q3692">
        <v>2.3503550000000002E-2</v>
      </c>
      <c r="R3692" s="1">
        <v>-4.3534079999999897E-5</v>
      </c>
      <c r="S3692">
        <v>-3.0026549999999999</v>
      </c>
      <c r="T3692">
        <v>-6.9022420000000001E-2</v>
      </c>
      <c r="U3692">
        <v>-0.31271359999999998</v>
      </c>
      <c r="V3692">
        <v>-2.9767189999999999E-2</v>
      </c>
      <c r="W3692">
        <v>3.4450689999999999E-2</v>
      </c>
      <c r="X3692">
        <v>0.99896300000000005</v>
      </c>
      <c r="Y3692">
        <v>-0.13307069999999999</v>
      </c>
      <c r="Z3692">
        <v>-2.2068750000000001E-3</v>
      </c>
      <c r="AA3692">
        <v>0.99110410000000004</v>
      </c>
      <c r="AB3692">
        <v>33</v>
      </c>
      <c r="AC3692">
        <v>-44.615299999999898</v>
      </c>
      <c r="AD3692">
        <v>-1.0298882899999999</v>
      </c>
      <c r="AE3692">
        <v>-4.6716000000000104</v>
      </c>
      <c r="AF3692">
        <v>-5.9929456838074797</v>
      </c>
      <c r="AG3692">
        <v>-1.0298882899999999</v>
      </c>
      <c r="AH3692">
        <v>44.433250825239099</v>
      </c>
      <c r="AI3692">
        <v>91.315871863596598</v>
      </c>
      <c r="AJ3692">
        <v>97.681427775548997</v>
      </c>
      <c r="AK3692">
        <v>44.847406243366599</v>
      </c>
      <c r="AL3692">
        <v>88.025730214123996</v>
      </c>
      <c r="AM3692">
        <v>91.706799778881802</v>
      </c>
      <c r="AN3692">
        <v>1.0000000055054801</v>
      </c>
    </row>
    <row r="3693" spans="1:40" x14ac:dyDescent="0.25">
      <c r="A3693" t="str">
        <f>"20190312150730589"</f>
        <v>20190312150730589</v>
      </c>
      <c r="B3693" t="str">
        <f>"1552374450583498"</f>
        <v>1552374450583498</v>
      </c>
      <c r="C3693" t="s">
        <v>40</v>
      </c>
      <c r="D3693">
        <v>4.2071769999999997</v>
      </c>
      <c r="E3693">
        <v>0.46129920000000002</v>
      </c>
      <c r="F3693" t="s">
        <v>68</v>
      </c>
      <c r="G3693">
        <v>-438.03769999999997</v>
      </c>
      <c r="H3693">
        <v>7.7828519999999998E-2</v>
      </c>
      <c r="I3693">
        <v>279.58850000000001</v>
      </c>
      <c r="J3693">
        <v>-394.06189999999998</v>
      </c>
      <c r="K3693">
        <v>1.109893</v>
      </c>
      <c r="L3693">
        <v>284.22820000000002</v>
      </c>
      <c r="M3693">
        <v>-0.99949759999999999</v>
      </c>
      <c r="N3693">
        <v>0</v>
      </c>
      <c r="O3693">
        <v>2.9731190000000001E-2</v>
      </c>
      <c r="P3693">
        <v>-0.99973270000000003</v>
      </c>
      <c r="Q3693">
        <v>2.31121E-2</v>
      </c>
      <c r="R3693">
        <v>-3.9097330000000002E-4</v>
      </c>
      <c r="S3693">
        <v>-3.0024410000000001</v>
      </c>
      <c r="T3693">
        <v>-7.0182800000000004E-2</v>
      </c>
      <c r="U3693">
        <v>-0.31515500000000002</v>
      </c>
      <c r="V3693">
        <v>-3.011434E-2</v>
      </c>
      <c r="W3693">
        <v>3.4091370000000003E-2</v>
      </c>
      <c r="X3693">
        <v>0.99896490000000004</v>
      </c>
      <c r="Y3693">
        <v>-0.13387289999999999</v>
      </c>
      <c r="Z3693">
        <v>-2.2533689999999999E-3</v>
      </c>
      <c r="AA3693">
        <v>0.99099590000000004</v>
      </c>
      <c r="AB3693">
        <v>33</v>
      </c>
      <c r="AC3693">
        <v>-43.9757999999999</v>
      </c>
      <c r="AD3693">
        <v>-1.0320644800000001</v>
      </c>
      <c r="AE3693">
        <v>-4.6397000000000004</v>
      </c>
      <c r="AF3693">
        <v>-5.9419436623596997</v>
      </c>
      <c r="AG3693">
        <v>-1.0320644800000001</v>
      </c>
      <c r="AH3693">
        <v>43.794549118083502</v>
      </c>
      <c r="AI3693">
        <v>91.337733137653899</v>
      </c>
      <c r="AJ3693">
        <v>97.726578645016204</v>
      </c>
      <c r="AK3693">
        <v>44.207854325150898</v>
      </c>
      <c r="AL3693">
        <v>88.046329790752907</v>
      </c>
      <c r="AM3693">
        <v>91.726689503874695</v>
      </c>
      <c r="AN3693">
        <v>0.99999998320706096</v>
      </c>
    </row>
    <row r="3694" spans="1:40" x14ac:dyDescent="0.25">
      <c r="A3694" t="str">
        <f>"20190312150730602"</f>
        <v>20190312150730602</v>
      </c>
      <c r="B3694" t="str">
        <f>"1552374450594234"</f>
        <v>1552374450594234</v>
      </c>
      <c r="C3694" t="s">
        <v>40</v>
      </c>
      <c r="D3694">
        <v>4.5068130000000002</v>
      </c>
      <c r="E3694">
        <v>0.47322809999999998</v>
      </c>
      <c r="F3694" t="s">
        <v>68</v>
      </c>
      <c r="G3694">
        <v>-438.0188</v>
      </c>
      <c r="H3694">
        <v>6.2976089999999998E-2</v>
      </c>
      <c r="I3694">
        <v>279.60340000000002</v>
      </c>
      <c r="J3694">
        <v>-394.26049999999998</v>
      </c>
      <c r="K3694">
        <v>1.109893</v>
      </c>
      <c r="L3694">
        <v>284.23410000000001</v>
      </c>
      <c r="M3694">
        <v>-0.99949719999999997</v>
      </c>
      <c r="N3694">
        <v>0</v>
      </c>
      <c r="O3694">
        <v>2.9730980000000001E-2</v>
      </c>
      <c r="P3694">
        <v>-0.99973710000000005</v>
      </c>
      <c r="Q3694">
        <v>2.2920590000000001E-2</v>
      </c>
      <c r="R3694">
        <v>-8.578317E-4</v>
      </c>
      <c r="S3694">
        <v>-3.0023499999999999</v>
      </c>
      <c r="T3694">
        <v>-7.1506739999999999E-2</v>
      </c>
      <c r="U3694">
        <v>-0.31588749999999999</v>
      </c>
      <c r="V3694">
        <v>-3.058131E-2</v>
      </c>
      <c r="W3694">
        <v>3.3936010000000003E-2</v>
      </c>
      <c r="X3694">
        <v>0.99895599999999996</v>
      </c>
      <c r="Y3694">
        <v>-0.13411319999999999</v>
      </c>
      <c r="Z3694">
        <v>-2.298755E-3</v>
      </c>
      <c r="AA3694">
        <v>0.99096329999999999</v>
      </c>
      <c r="AB3694">
        <v>33</v>
      </c>
      <c r="AC3694">
        <v>-43.758299999999998</v>
      </c>
      <c r="AD3694">
        <v>-1.04691691</v>
      </c>
      <c r="AE3694">
        <v>-4.6306999999999903</v>
      </c>
      <c r="AF3694">
        <v>-5.9263541109735201</v>
      </c>
      <c r="AG3694">
        <v>-1.04691691</v>
      </c>
      <c r="AH3694">
        <v>43.576602875611698</v>
      </c>
      <c r="AI3694">
        <v>91.363703259160602</v>
      </c>
      <c r="AJ3694">
        <v>97.744628080281899</v>
      </c>
      <c r="AK3694">
        <v>43.9902037531524</v>
      </c>
      <c r="AL3694">
        <v>88.055236409897702</v>
      </c>
      <c r="AM3694">
        <v>91.753463553649297</v>
      </c>
      <c r="AN3694">
        <v>0.99999997961601705</v>
      </c>
    </row>
    <row r="3695" spans="1:40" x14ac:dyDescent="0.25">
      <c r="A3695" t="str">
        <f>"20190312150730614"</f>
        <v>20190312150730614</v>
      </c>
      <c r="B3695" t="str">
        <f>"1552374450603995"</f>
        <v>1552374450603995</v>
      </c>
      <c r="C3695" t="s">
        <v>40</v>
      </c>
      <c r="D3695">
        <v>4.1920190000000002</v>
      </c>
      <c r="E3695">
        <v>0.47686289999999998</v>
      </c>
      <c r="F3695" t="s">
        <v>69</v>
      </c>
      <c r="G3695">
        <v>-511.959</v>
      </c>
      <c r="H3695">
        <v>1.129569</v>
      </c>
      <c r="I3695">
        <v>275.63799999999998</v>
      </c>
      <c r="J3695">
        <v>-394.43779999999998</v>
      </c>
      <c r="K3695">
        <v>1.109896</v>
      </c>
      <c r="L3695">
        <v>284.23930000000001</v>
      </c>
      <c r="M3695">
        <v>-0.99949690000000002</v>
      </c>
      <c r="N3695">
        <v>0</v>
      </c>
      <c r="O3695">
        <v>2.973079E-2</v>
      </c>
      <c r="P3695">
        <v>-0.99973679999999998</v>
      </c>
      <c r="Q3695">
        <v>2.291698E-2</v>
      </c>
      <c r="R3695">
        <v>-1.1781179999999999E-3</v>
      </c>
      <c r="S3695">
        <v>-3.0005799999999998</v>
      </c>
      <c r="T3695">
        <v>5.0354000000000002E-4</v>
      </c>
      <c r="U3695">
        <v>-0.2191467</v>
      </c>
      <c r="V3695">
        <v>-3.0900899999999999E-2</v>
      </c>
      <c r="W3695">
        <v>3.3965559999999999E-2</v>
      </c>
      <c r="X3695">
        <v>0.99894519999999998</v>
      </c>
      <c r="Y3695">
        <v>-0.1024622</v>
      </c>
      <c r="Z3695" s="1">
        <v>1.35696E-5</v>
      </c>
      <c r="AA3695">
        <v>0.99473690000000003</v>
      </c>
      <c r="AB3695">
        <v>33</v>
      </c>
      <c r="AC3695">
        <v>-117.52119999999999</v>
      </c>
      <c r="AD3695">
        <v>1.9673E-2</v>
      </c>
      <c r="AE3695">
        <v>-8.6013000000000304</v>
      </c>
      <c r="AF3695">
        <v>-12.091708246750599</v>
      </c>
      <c r="AG3695">
        <v>1.9673E-2</v>
      </c>
      <c r="AH3695">
        <v>117.21350019836299</v>
      </c>
      <c r="AI3695">
        <v>89.990434296154106</v>
      </c>
      <c r="AJ3695">
        <v>95.889780905724294</v>
      </c>
      <c r="AK3695">
        <v>117.835539732727</v>
      </c>
      <c r="AL3695">
        <v>88.0535424191511</v>
      </c>
      <c r="AM3695">
        <v>91.771795649461794</v>
      </c>
      <c r="AN3695">
        <v>1.00000001874498</v>
      </c>
    </row>
    <row r="3696" spans="1:40" x14ac:dyDescent="0.25">
      <c r="A3696" t="str">
        <f>"20190312150730628"</f>
        <v>20190312150730628</v>
      </c>
      <c r="B3696" t="str">
        <f>"1552374450623514"</f>
        <v>1552374450623514</v>
      </c>
      <c r="C3696" t="s">
        <v>40</v>
      </c>
      <c r="D3696">
        <v>4.1026309999999997</v>
      </c>
      <c r="E3696">
        <v>0.48037560000000001</v>
      </c>
      <c r="F3696" t="s">
        <v>69</v>
      </c>
      <c r="G3696">
        <v>-511.95909999999998</v>
      </c>
      <c r="H3696">
        <v>1.365464</v>
      </c>
      <c r="I3696">
        <v>276.76740000000001</v>
      </c>
      <c r="J3696">
        <v>-394.64429999999999</v>
      </c>
      <c r="K3696">
        <v>1.109901</v>
      </c>
      <c r="L3696">
        <v>284.24549999999999</v>
      </c>
      <c r="M3696">
        <v>-0.99949650000000001</v>
      </c>
      <c r="N3696">
        <v>0</v>
      </c>
      <c r="O3696">
        <v>2.9730570000000001E-2</v>
      </c>
      <c r="P3696">
        <v>-0.99974240000000003</v>
      </c>
      <c r="Q3696">
        <v>2.266338E-2</v>
      </c>
      <c r="R3696">
        <v>-1.3200320000000001E-3</v>
      </c>
      <c r="S3696">
        <v>-3.0004270000000002</v>
      </c>
      <c r="T3696">
        <v>6.526947E-3</v>
      </c>
      <c r="U3696">
        <v>-0.1907654</v>
      </c>
      <c r="V3696">
        <v>-3.10426E-2</v>
      </c>
      <c r="W3696">
        <v>3.375015E-2</v>
      </c>
      <c r="X3696">
        <v>0.99894810000000001</v>
      </c>
      <c r="Y3696">
        <v>-9.3095440000000002E-2</v>
      </c>
      <c r="Z3696">
        <v>1.657757E-4</v>
      </c>
      <c r="AA3696">
        <v>0.99565720000000002</v>
      </c>
      <c r="AB3696">
        <v>33</v>
      </c>
      <c r="AC3696">
        <v>-117.31480000000001</v>
      </c>
      <c r="AD3696">
        <v>0.25556299999999998</v>
      </c>
      <c r="AE3696">
        <v>-7.47809999999998</v>
      </c>
      <c r="AF3696">
        <v>-10.9627921925773</v>
      </c>
      <c r="AG3696">
        <v>0.25556299999999998</v>
      </c>
      <c r="AH3696">
        <v>117.04003948232599</v>
      </c>
      <c r="AI3696">
        <v>89.875437122794096</v>
      </c>
      <c r="AJ3696">
        <v>95.351112255244999</v>
      </c>
      <c r="AK3696">
        <v>117.552622119326</v>
      </c>
      <c r="AL3696">
        <v>88.065891568240701</v>
      </c>
      <c r="AM3696">
        <v>91.779910065146794</v>
      </c>
      <c r="AN3696">
        <v>1.00000001106669</v>
      </c>
    </row>
    <row r="3697" spans="1:40" x14ac:dyDescent="0.25">
      <c r="A3697" t="str">
        <f>"20190312150730642"</f>
        <v>20190312150730642</v>
      </c>
      <c r="B3697" t="str">
        <f>"1552374450634250"</f>
        <v>1552374450634250</v>
      </c>
      <c r="C3697" t="s">
        <v>40</v>
      </c>
      <c r="D3697">
        <v>4.1803900000000001</v>
      </c>
      <c r="E3697">
        <v>0.48156149999999998</v>
      </c>
      <c r="F3697" t="s">
        <v>69</v>
      </c>
      <c r="G3697">
        <v>-511.95920000000001</v>
      </c>
      <c r="H3697">
        <v>1.6836599999999999</v>
      </c>
      <c r="I3697">
        <v>277.87329999999997</v>
      </c>
      <c r="J3697">
        <v>-394.85160000000002</v>
      </c>
      <c r="K3697">
        <v>1.1099060000000001</v>
      </c>
      <c r="L3697">
        <v>284.2516</v>
      </c>
      <c r="M3697">
        <v>-0.99949600000000005</v>
      </c>
      <c r="N3697">
        <v>0</v>
      </c>
      <c r="O3697">
        <v>2.973052E-2</v>
      </c>
      <c r="P3697">
        <v>-0.99973730000000005</v>
      </c>
      <c r="Q3697">
        <v>2.2840200000000001E-2</v>
      </c>
      <c r="R3697">
        <v>-1.9840389999999999E-3</v>
      </c>
      <c r="S3697">
        <v>-3.0002140000000002</v>
      </c>
      <c r="T3697">
        <v>1.467538E-2</v>
      </c>
      <c r="U3697">
        <v>-0.16296389999999999</v>
      </c>
      <c r="V3697">
        <v>-3.1706369999999998E-2</v>
      </c>
      <c r="W3697">
        <v>3.3965559999999999E-2</v>
      </c>
      <c r="X3697">
        <v>0.99892000000000003</v>
      </c>
      <c r="Y3697">
        <v>-8.3900749999999996E-2</v>
      </c>
      <c r="Z3697">
        <v>3.5038519999999903E-4</v>
      </c>
      <c r="AA3697">
        <v>0.99647399999999997</v>
      </c>
      <c r="AB3697">
        <v>33</v>
      </c>
      <c r="AC3697">
        <v>-117.10760000000001</v>
      </c>
      <c r="AD3697">
        <v>0.57375399999999899</v>
      </c>
      <c r="AE3697">
        <v>-6.3783000000000198</v>
      </c>
      <c r="AF3697">
        <v>-9.8571296689407806</v>
      </c>
      <c r="AG3697">
        <v>0.57375399999999899</v>
      </c>
      <c r="AH3697">
        <v>116.86338742167899</v>
      </c>
      <c r="AI3697">
        <v>89.7196974812897</v>
      </c>
      <c r="AJ3697">
        <v>94.821341170607496</v>
      </c>
      <c r="AK3697">
        <v>117.27976602394899</v>
      </c>
      <c r="AL3697">
        <v>88.053542499059404</v>
      </c>
      <c r="AM3697">
        <v>91.817994917896598</v>
      </c>
      <c r="AN3697">
        <v>1.00000005978234</v>
      </c>
    </row>
    <row r="3698" spans="1:40" x14ac:dyDescent="0.25">
      <c r="A3698" t="str">
        <f>"20190312150730663"</f>
        <v>20190312150730663</v>
      </c>
      <c r="B3698" t="str">
        <f>"1552374450653770"</f>
        <v>1552374450653770</v>
      </c>
      <c r="C3698" t="s">
        <v>40</v>
      </c>
      <c r="D3698">
        <v>4.1990109999999996</v>
      </c>
      <c r="E3698">
        <v>0.48244130000000002</v>
      </c>
      <c r="F3698" t="s">
        <v>69</v>
      </c>
      <c r="G3698">
        <v>-511.95929999999998</v>
      </c>
      <c r="H3698">
        <v>1.9297629999999999</v>
      </c>
      <c r="I3698">
        <v>278.19760000000002</v>
      </c>
      <c r="J3698">
        <v>-395.16739999999999</v>
      </c>
      <c r="K3698">
        <v>1.1099190000000001</v>
      </c>
      <c r="L3698">
        <v>284.26100000000002</v>
      </c>
      <c r="M3698">
        <v>-0.99949540000000003</v>
      </c>
      <c r="N3698">
        <v>0</v>
      </c>
      <c r="O3698">
        <v>2.9730179999999998E-2</v>
      </c>
      <c r="P3698">
        <v>-0.9997357</v>
      </c>
      <c r="Q3698">
        <v>2.2875670000000001E-2</v>
      </c>
      <c r="R3698">
        <v>-2.3698479999999999E-3</v>
      </c>
      <c r="S3698">
        <v>-3.0000309999999999</v>
      </c>
      <c r="T3698">
        <v>2.100492E-2</v>
      </c>
      <c r="U3698">
        <v>-0.15509029999999999</v>
      </c>
      <c r="V3698">
        <v>-3.209161E-2</v>
      </c>
      <c r="W3698">
        <v>3.4059440000000003E-2</v>
      </c>
      <c r="X3698">
        <v>0.99890449999999997</v>
      </c>
      <c r="Y3698">
        <v>-8.1294160000000004E-2</v>
      </c>
      <c r="Z3698">
        <v>4.9244640000000004E-4</v>
      </c>
      <c r="AA3698">
        <v>0.99668999999999996</v>
      </c>
      <c r="AB3698">
        <v>33</v>
      </c>
      <c r="AC3698">
        <v>-116.7919</v>
      </c>
      <c r="AD3698">
        <v>0.81984400000000002</v>
      </c>
      <c r="AE3698">
        <v>-6.0633999999999402</v>
      </c>
      <c r="AF3698">
        <v>-9.5327122818655301</v>
      </c>
      <c r="AG3698">
        <v>0.81984400000000002</v>
      </c>
      <c r="AH3698">
        <v>116.55426175151599</v>
      </c>
      <c r="AI3698">
        <v>89.5983286375604</v>
      </c>
      <c r="AJ3698">
        <v>94.675686547452997</v>
      </c>
      <c r="AK3698">
        <v>116.946315376219</v>
      </c>
      <c r="AL3698">
        <v>88.048160455091704</v>
      </c>
      <c r="AM3698">
        <v>91.840097430775899</v>
      </c>
      <c r="AN3698">
        <v>1.0000000585028701</v>
      </c>
    </row>
    <row r="3699" spans="1:40" x14ac:dyDescent="0.25">
      <c r="A3699" t="str">
        <f>"20190312150730677"</f>
        <v>20190312150730677</v>
      </c>
      <c r="B3699" t="str">
        <f>"1552374450663531"</f>
        <v>1552374450663531</v>
      </c>
      <c r="C3699" t="s">
        <v>40</v>
      </c>
      <c r="D3699">
        <v>4.1349539999999996</v>
      </c>
      <c r="E3699">
        <v>0.4821609</v>
      </c>
      <c r="F3699" t="s">
        <v>69</v>
      </c>
      <c r="G3699">
        <v>-511.95940000000002</v>
      </c>
      <c r="H3699">
        <v>2.1506560000000001</v>
      </c>
      <c r="I3699">
        <v>278.45699999999999</v>
      </c>
      <c r="J3699">
        <v>-395.36320000000001</v>
      </c>
      <c r="K3699">
        <v>1.109923</v>
      </c>
      <c r="L3699">
        <v>284.26690000000002</v>
      </c>
      <c r="M3699">
        <v>-0.99949500000000002</v>
      </c>
      <c r="N3699">
        <v>0</v>
      </c>
      <c r="O3699">
        <v>2.9729970000000001E-2</v>
      </c>
      <c r="P3699">
        <v>-0.99972539999999999</v>
      </c>
      <c r="Q3699">
        <v>2.3273909999999998E-2</v>
      </c>
      <c r="R3699">
        <v>-2.7416440000000001E-3</v>
      </c>
      <c r="S3699">
        <v>-2.9998469999999999</v>
      </c>
      <c r="T3699">
        <v>2.6733759999999999E-2</v>
      </c>
      <c r="U3699">
        <v>-0.1490784</v>
      </c>
      <c r="V3699">
        <v>-3.246313E-2</v>
      </c>
      <c r="W3699">
        <v>3.4493580000000003E-2</v>
      </c>
      <c r="X3699">
        <v>0.99887749999999997</v>
      </c>
      <c r="Y3699">
        <v>-7.9302999999999998E-2</v>
      </c>
      <c r="Z3699">
        <v>6.1795000000000003E-4</v>
      </c>
      <c r="AA3699">
        <v>0.99685040000000003</v>
      </c>
      <c r="AB3699">
        <v>33</v>
      </c>
      <c r="AC3699">
        <v>-116.5962</v>
      </c>
      <c r="AD3699">
        <v>1.0407329999999999</v>
      </c>
      <c r="AE3699">
        <v>-5.8099000000000203</v>
      </c>
      <c r="AF3699">
        <v>-9.2732142283491292</v>
      </c>
      <c r="AG3699">
        <v>1.0407329999999999</v>
      </c>
      <c r="AH3699">
        <v>116.362667115311</v>
      </c>
      <c r="AI3699">
        <v>89.489186847533304</v>
      </c>
      <c r="AJ3699">
        <v>94.556405799831694</v>
      </c>
      <c r="AK3699">
        <v>116.736223707514</v>
      </c>
      <c r="AL3699">
        <v>88.023271248611294</v>
      </c>
      <c r="AM3699">
        <v>91.86143535523</v>
      </c>
      <c r="AN3699">
        <v>0.99999996093843002</v>
      </c>
    </row>
    <row r="3700" spans="1:40" x14ac:dyDescent="0.25">
      <c r="A3700" t="str">
        <f>"20190312150730690"</f>
        <v>20190312150730690</v>
      </c>
      <c r="B3700" t="str">
        <f>"1552374450684027"</f>
        <v>1552374450684027</v>
      </c>
      <c r="C3700" t="s">
        <v>40</v>
      </c>
      <c r="D3700">
        <v>4.2173550000000004</v>
      </c>
      <c r="E3700">
        <v>0.48262939999999999</v>
      </c>
      <c r="F3700" t="s">
        <v>69</v>
      </c>
      <c r="G3700">
        <v>-511.95940000000002</v>
      </c>
      <c r="H3700">
        <v>2.4188499999999999</v>
      </c>
      <c r="I3700">
        <v>278.35120000000001</v>
      </c>
      <c r="J3700">
        <v>-395.59109999999998</v>
      </c>
      <c r="K3700">
        <v>1.1099300000000001</v>
      </c>
      <c r="L3700">
        <v>284.27370000000002</v>
      </c>
      <c r="M3700">
        <v>-0.99949449999999995</v>
      </c>
      <c r="N3700">
        <v>0</v>
      </c>
      <c r="O3700">
        <v>2.97299E-2</v>
      </c>
      <c r="P3700">
        <v>-0.99973109999999998</v>
      </c>
      <c r="Q3700">
        <v>2.300721E-2</v>
      </c>
      <c r="R3700">
        <v>-2.9943220000000002E-3</v>
      </c>
      <c r="S3700">
        <v>-2.9996339999999999</v>
      </c>
      <c r="T3700">
        <v>3.367639E-2</v>
      </c>
      <c r="U3700">
        <v>-0.1521912</v>
      </c>
      <c r="V3700">
        <v>-3.2715349999999997E-2</v>
      </c>
      <c r="W3700">
        <v>3.426912E-2</v>
      </c>
      <c r="X3700">
        <v>0.99887700000000001</v>
      </c>
      <c r="Y3700">
        <v>-8.0335680000000007E-2</v>
      </c>
      <c r="Z3700">
        <v>7.8424850000000004E-4</v>
      </c>
      <c r="AA3700">
        <v>0.99676759999999998</v>
      </c>
      <c r="AB3700">
        <v>33</v>
      </c>
      <c r="AC3700">
        <v>-116.3683</v>
      </c>
      <c r="AD3700">
        <v>1.3089200000000001</v>
      </c>
      <c r="AE3700">
        <v>-5.9225000000000101</v>
      </c>
      <c r="AF3700">
        <v>-9.3785356546878909</v>
      </c>
      <c r="AG3700">
        <v>1.3089200000000001</v>
      </c>
      <c r="AH3700">
        <v>116.126114313179</v>
      </c>
      <c r="AI3700">
        <v>89.356311369279695</v>
      </c>
      <c r="AJ3700">
        <v>94.6172799779158</v>
      </c>
      <c r="AK3700">
        <v>116.511564353373</v>
      </c>
      <c r="AL3700">
        <v>88.036139473532003</v>
      </c>
      <c r="AM3700">
        <v>91.875888291240699</v>
      </c>
      <c r="AN3700">
        <v>0.99999996392009705</v>
      </c>
    </row>
    <row r="3701" spans="1:40" x14ac:dyDescent="0.25">
      <c r="A3701" t="str">
        <f>"20190312150730703"</f>
        <v>20190312150730703</v>
      </c>
      <c r="B3701" t="str">
        <f>"1552374450693787"</f>
        <v>1552374450693787</v>
      </c>
      <c r="C3701" t="s">
        <v>40</v>
      </c>
      <c r="D3701">
        <v>4.3448580000000003</v>
      </c>
      <c r="E3701">
        <v>0.48280230000000002</v>
      </c>
      <c r="F3701" t="s">
        <v>69</v>
      </c>
      <c r="G3701">
        <v>-511.95940000000002</v>
      </c>
      <c r="H3701">
        <v>2.3511950000000001</v>
      </c>
      <c r="I3701">
        <v>278.4821</v>
      </c>
      <c r="J3701">
        <v>-395.78210000000001</v>
      </c>
      <c r="K3701">
        <v>1.109937</v>
      </c>
      <c r="L3701">
        <v>284.27940000000001</v>
      </c>
      <c r="M3701">
        <v>-0.99949399999999999</v>
      </c>
      <c r="N3701">
        <v>0</v>
      </c>
      <c r="O3701">
        <v>2.9729869999999999E-2</v>
      </c>
      <c r="P3701">
        <v>-0.99973069999999997</v>
      </c>
      <c r="Q3701">
        <v>2.302423E-2</v>
      </c>
      <c r="R3701">
        <v>-2.9383410000000001E-3</v>
      </c>
      <c r="S3701">
        <v>-2.9996640000000001</v>
      </c>
      <c r="T3701">
        <v>3.1998520000000003E-2</v>
      </c>
      <c r="U3701">
        <v>-0.14929200000000001</v>
      </c>
      <c r="V3701">
        <v>-3.2659559999999997E-2</v>
      </c>
      <c r="W3701">
        <v>3.4322030000000003E-2</v>
      </c>
      <c r="X3701">
        <v>0.99887700000000001</v>
      </c>
      <c r="Y3701">
        <v>-7.9374879999999995E-2</v>
      </c>
      <c r="Z3701">
        <v>7.4006470000000004E-4</v>
      </c>
      <c r="AA3701">
        <v>0.99684459999999997</v>
      </c>
      <c r="AB3701">
        <v>33</v>
      </c>
      <c r="AC3701">
        <v>-116.1773</v>
      </c>
      <c r="AD3701">
        <v>1.241258</v>
      </c>
      <c r="AE3701">
        <v>-5.7972999999999999</v>
      </c>
      <c r="AF3701">
        <v>-9.2478409470999896</v>
      </c>
      <c r="AG3701">
        <v>1.241258</v>
      </c>
      <c r="AH3701">
        <v>115.94037365727399</v>
      </c>
      <c r="AI3701">
        <v>89.3885564899239</v>
      </c>
      <c r="AJ3701">
        <v>94.560471926251594</v>
      </c>
      <c r="AK3701">
        <v>116.31523342793</v>
      </c>
      <c r="AL3701">
        <v>88.033106151521906</v>
      </c>
      <c r="AM3701">
        <v>91.872691589225397</v>
      </c>
      <c r="AN3701">
        <v>0.99999995486585602</v>
      </c>
    </row>
    <row r="3702" spans="1:40" x14ac:dyDescent="0.25">
      <c r="A3702" t="str">
        <f>"20190312150730716"</f>
        <v>20190312150730716</v>
      </c>
      <c r="B3702" t="str">
        <f>"1552374450703547"</f>
        <v>1552374450703547</v>
      </c>
      <c r="C3702" t="s">
        <v>40</v>
      </c>
      <c r="D3702">
        <v>4.1837049999999998</v>
      </c>
      <c r="E3702">
        <v>0.48311949999999998</v>
      </c>
      <c r="F3702" t="s">
        <v>69</v>
      </c>
      <c r="G3702">
        <v>-511.95940000000002</v>
      </c>
      <c r="H3702">
        <v>2.419</v>
      </c>
      <c r="I3702">
        <v>278.56459999999998</v>
      </c>
      <c r="J3702">
        <v>-395.96010000000001</v>
      </c>
      <c r="K3702">
        <v>1.1099410000000001</v>
      </c>
      <c r="L3702">
        <v>284.28469999999999</v>
      </c>
      <c r="M3702">
        <v>-0.99949370000000004</v>
      </c>
      <c r="N3702">
        <v>0</v>
      </c>
      <c r="O3702">
        <v>2.9729680000000001E-2</v>
      </c>
      <c r="P3702">
        <v>-0.99973060000000002</v>
      </c>
      <c r="Q3702">
        <v>2.300462E-2</v>
      </c>
      <c r="R3702">
        <v>-3.1136480000000001E-3</v>
      </c>
      <c r="S3702">
        <v>-2.9996640000000001</v>
      </c>
      <c r="T3702">
        <v>3.3801669999999999E-2</v>
      </c>
      <c r="U3702">
        <v>-0.1475525</v>
      </c>
      <c r="V3702">
        <v>-3.2834349999999998E-2</v>
      </c>
      <c r="W3702">
        <v>3.433489E-2</v>
      </c>
      <c r="X3702">
        <v>0.99887079999999995</v>
      </c>
      <c r="Y3702">
        <v>-7.8797359999999997E-2</v>
      </c>
      <c r="Z3702">
        <v>7.7852249999999998E-4</v>
      </c>
      <c r="AA3702">
        <v>0.99689039999999995</v>
      </c>
      <c r="AB3702">
        <v>33</v>
      </c>
      <c r="AC3702">
        <v>-115.99930000000001</v>
      </c>
      <c r="AD3702">
        <v>1.309059</v>
      </c>
      <c r="AE3702">
        <v>-5.7201000000000004</v>
      </c>
      <c r="AF3702">
        <v>-9.1652505100305</v>
      </c>
      <c r="AG3702">
        <v>1.309059</v>
      </c>
      <c r="AH3702">
        <v>115.763244208454</v>
      </c>
      <c r="AI3702">
        <v>89.354143728725504</v>
      </c>
      <c r="AJ3702">
        <v>94.526800073315499</v>
      </c>
      <c r="AK3702">
        <v>116.132872874321</v>
      </c>
      <c r="AL3702">
        <v>88.032368838675296</v>
      </c>
      <c r="AM3702">
        <v>91.882718491134796</v>
      </c>
      <c r="AN3702">
        <v>0.99999992715193398</v>
      </c>
    </row>
    <row r="3703" spans="1:40" x14ac:dyDescent="0.25">
      <c r="A3703" t="str">
        <f>"20190312150730729"</f>
        <v>20190312150730729</v>
      </c>
      <c r="B3703" t="str">
        <f>"1552374450724046"</f>
        <v>1552374450724046</v>
      </c>
      <c r="C3703" t="s">
        <v>40</v>
      </c>
      <c r="D3703">
        <v>4.1911199999999997</v>
      </c>
      <c r="E3703">
        <v>0.48329939999999999</v>
      </c>
      <c r="F3703" t="s">
        <v>69</v>
      </c>
      <c r="G3703">
        <v>-511.95940000000002</v>
      </c>
      <c r="H3703">
        <v>2.4609030000000001</v>
      </c>
      <c r="I3703">
        <v>278.65989999999999</v>
      </c>
      <c r="J3703">
        <v>-396.1626</v>
      </c>
      <c r="K3703">
        <v>1.1099410000000001</v>
      </c>
      <c r="L3703">
        <v>284.29070000000002</v>
      </c>
      <c r="M3703">
        <v>-0.99949330000000003</v>
      </c>
      <c r="N3703">
        <v>0</v>
      </c>
      <c r="O3703">
        <v>2.9729579999999999E-2</v>
      </c>
      <c r="P3703">
        <v>-0.99973179999999995</v>
      </c>
      <c r="Q3703">
        <v>2.297536E-2</v>
      </c>
      <c r="R3703">
        <v>-2.968844E-3</v>
      </c>
      <c r="S3703">
        <v>-2.9995419999999999</v>
      </c>
      <c r="T3703">
        <v>3.4935590000000002E-2</v>
      </c>
      <c r="U3703">
        <v>-0.14544679999999999</v>
      </c>
      <c r="V3703">
        <v>-3.2689540000000003E-2</v>
      </c>
      <c r="W3703">
        <v>3.4343470000000001E-2</v>
      </c>
      <c r="X3703">
        <v>0.99887530000000002</v>
      </c>
      <c r="Y3703">
        <v>-7.8100669999999997E-2</v>
      </c>
      <c r="Z3703">
        <v>8.0062709999999997E-4</v>
      </c>
      <c r="AA3703">
        <v>0.99694510000000003</v>
      </c>
      <c r="AB3703">
        <v>33</v>
      </c>
      <c r="AC3703">
        <v>-115.7968</v>
      </c>
      <c r="AD3703">
        <v>1.350962</v>
      </c>
      <c r="AE3703">
        <v>-5.6308000000000202</v>
      </c>
      <c r="AF3703">
        <v>-9.0698919492058003</v>
      </c>
      <c r="AG3703">
        <v>1.350962</v>
      </c>
      <c r="AH3703">
        <v>115.562504323911</v>
      </c>
      <c r="AI3703">
        <v>89.3322780285108</v>
      </c>
      <c r="AJ3703">
        <v>94.487644462204699</v>
      </c>
      <c r="AK3703">
        <v>115.925754014842</v>
      </c>
      <c r="AL3703">
        <v>88.031877039947901</v>
      </c>
      <c r="AM3703">
        <v>91.874412597563705</v>
      </c>
      <c r="AN3703">
        <v>0.99999997245356997</v>
      </c>
    </row>
    <row r="3704" spans="1:40" x14ac:dyDescent="0.25">
      <c r="A3704" t="str">
        <f>"20190312150730752"</f>
        <v>20190312150730752</v>
      </c>
      <c r="B3704" t="str">
        <f>"1552374450743562"</f>
        <v>1552374450743562</v>
      </c>
      <c r="C3704" t="s">
        <v>40</v>
      </c>
      <c r="D3704">
        <v>4.212879</v>
      </c>
      <c r="E3704">
        <v>0.4832997</v>
      </c>
      <c r="F3704" t="s">
        <v>69</v>
      </c>
      <c r="G3704">
        <v>-511.95940000000002</v>
      </c>
      <c r="H3704">
        <v>2.4687709999999998</v>
      </c>
      <c r="I3704">
        <v>278.74529999999999</v>
      </c>
      <c r="J3704">
        <v>-396.4973</v>
      </c>
      <c r="K3704">
        <v>1.1099460000000001</v>
      </c>
      <c r="L3704">
        <v>284.30059999999997</v>
      </c>
      <c r="M3704">
        <v>-0.99949259999999995</v>
      </c>
      <c r="N3704">
        <v>0</v>
      </c>
      <c r="O3704">
        <v>2.9729209999999999E-2</v>
      </c>
      <c r="P3704">
        <v>-0.99973339999999999</v>
      </c>
      <c r="Q3704">
        <v>2.290582E-2</v>
      </c>
      <c r="R3704">
        <v>-2.9156519999999999E-3</v>
      </c>
      <c r="S3704">
        <v>-2.9995729999999998</v>
      </c>
      <c r="T3704">
        <v>3.5200830000000002E-2</v>
      </c>
      <c r="U3704">
        <v>-0.1436462</v>
      </c>
      <c r="V3704">
        <v>-3.2636680000000001E-2</v>
      </c>
      <c r="W3704">
        <v>3.4337279999999998E-2</v>
      </c>
      <c r="X3704">
        <v>0.99887729999999997</v>
      </c>
      <c r="Y3704">
        <v>-7.7502699999999994E-2</v>
      </c>
      <c r="Z3704">
        <v>8.0319729999999995E-4</v>
      </c>
      <c r="AA3704">
        <v>0.99699179999999998</v>
      </c>
      <c r="AB3704">
        <v>33</v>
      </c>
      <c r="AC3704">
        <v>-115.46210000000001</v>
      </c>
      <c r="AD3704">
        <v>1.3588249999999999</v>
      </c>
      <c r="AE3704">
        <v>-5.5552999999999804</v>
      </c>
      <c r="AF3704">
        <v>-8.9844241016173001</v>
      </c>
      <c r="AG3704">
        <v>1.3588249999999999</v>
      </c>
      <c r="AH3704">
        <v>115.229969940839</v>
      </c>
      <c r="AI3704">
        <v>89.3264270938528</v>
      </c>
      <c r="AJ3704">
        <v>94.458303984772101</v>
      </c>
      <c r="AK3704">
        <v>115.587682104907</v>
      </c>
      <c r="AL3704">
        <v>88.0322320255204</v>
      </c>
      <c r="AM3704">
        <v>91.871380026857196</v>
      </c>
      <c r="AN3704">
        <v>1.0000000310672501</v>
      </c>
    </row>
    <row r="3705" spans="1:40" x14ac:dyDescent="0.25">
      <c r="A3705" t="str">
        <f>"20190312150730764"</f>
        <v>20190312150730764</v>
      </c>
      <c r="B3705" t="str">
        <f>"1552374450753323"</f>
        <v>1552374450753323</v>
      </c>
      <c r="C3705" t="s">
        <v>40</v>
      </c>
      <c r="D3705">
        <v>4.2185769999999998</v>
      </c>
      <c r="E3705">
        <v>0.48336180000000001</v>
      </c>
      <c r="F3705" t="s">
        <v>69</v>
      </c>
      <c r="G3705">
        <v>-511.95940000000002</v>
      </c>
      <c r="H3705">
        <v>2.4396010000000001</v>
      </c>
      <c r="I3705">
        <v>278.77719999999999</v>
      </c>
      <c r="J3705">
        <v>-396.67829999999998</v>
      </c>
      <c r="K3705">
        <v>1.1099460000000001</v>
      </c>
      <c r="L3705">
        <v>284.30599999999998</v>
      </c>
      <c r="M3705">
        <v>-0.99949219999999905</v>
      </c>
      <c r="N3705">
        <v>0</v>
      </c>
      <c r="O3705">
        <v>2.9728999999999998E-2</v>
      </c>
      <c r="P3705">
        <v>-0.99972989999999995</v>
      </c>
      <c r="Q3705">
        <v>2.3028179999999999E-2</v>
      </c>
      <c r="R3705">
        <v>-3.1785989999999998E-3</v>
      </c>
      <c r="S3705">
        <v>-2.9996339999999999</v>
      </c>
      <c r="T3705">
        <v>3.4545659999999999E-2</v>
      </c>
      <c r="U3705">
        <v>-0.1434937</v>
      </c>
      <c r="V3705">
        <v>-3.2898459999999997E-2</v>
      </c>
      <c r="W3705">
        <v>3.4495489999999997E-2</v>
      </c>
      <c r="X3705">
        <v>0.99886319999999995</v>
      </c>
      <c r="Y3705">
        <v>-7.7451179999999994E-2</v>
      </c>
      <c r="Z3705">
        <v>7.8793479999999996E-4</v>
      </c>
      <c r="AA3705">
        <v>0.99699579999999999</v>
      </c>
      <c r="AB3705">
        <v>33</v>
      </c>
      <c r="AC3705">
        <v>-115.2811</v>
      </c>
      <c r="AD3705">
        <v>1.32965499999999</v>
      </c>
      <c r="AE3705">
        <v>-5.5287999999999897</v>
      </c>
      <c r="AF3705">
        <v>-8.9525848931766703</v>
      </c>
      <c r="AG3705">
        <v>1.32965499999999</v>
      </c>
      <c r="AH3705">
        <v>115.05049156523501</v>
      </c>
      <c r="AI3705">
        <v>89.339849392741996</v>
      </c>
      <c r="AJ3705">
        <v>94.449470487416505</v>
      </c>
      <c r="AK3705">
        <v>115.405945982392</v>
      </c>
      <c r="AL3705">
        <v>88.023161766240506</v>
      </c>
      <c r="AM3705">
        <v>91.886406241591999</v>
      </c>
      <c r="AN3705">
        <v>0.99999996990747497</v>
      </c>
    </row>
    <row r="3706" spans="1:40" x14ac:dyDescent="0.25">
      <c r="A3706" t="str">
        <f>"20190312150730776"</f>
        <v>20190312150730776</v>
      </c>
      <c r="B3706" t="str">
        <f>"1552374450764058"</f>
        <v>1552374450764058</v>
      </c>
      <c r="C3706" t="s">
        <v>40</v>
      </c>
      <c r="D3706">
        <v>4.2522520000000004</v>
      </c>
      <c r="E3706">
        <v>0.48350470000000001</v>
      </c>
      <c r="F3706" t="s">
        <v>69</v>
      </c>
      <c r="G3706">
        <v>-511.95940000000002</v>
      </c>
      <c r="H3706">
        <v>2.4167339999999999</v>
      </c>
      <c r="I3706">
        <v>278.7817</v>
      </c>
      <c r="J3706">
        <v>-396.85930000000002</v>
      </c>
      <c r="K3706">
        <v>1.1099509999999999</v>
      </c>
      <c r="L3706">
        <v>284.31139999999999</v>
      </c>
      <c r="M3706">
        <v>-0.99949169999999998</v>
      </c>
      <c r="N3706">
        <v>0</v>
      </c>
      <c r="O3706">
        <v>2.9728959999999999E-2</v>
      </c>
      <c r="P3706">
        <v>-0.99973449999999997</v>
      </c>
      <c r="Q3706">
        <v>2.2774019999999999E-2</v>
      </c>
      <c r="R3706">
        <v>-3.4906239999999999E-3</v>
      </c>
      <c r="S3706">
        <v>-2.9995419999999999</v>
      </c>
      <c r="T3706">
        <v>3.4003850000000002E-2</v>
      </c>
      <c r="U3706">
        <v>-0.1437378</v>
      </c>
      <c r="V3706">
        <v>-3.3211160000000003E-2</v>
      </c>
      <c r="W3706">
        <v>3.4277219999999997E-2</v>
      </c>
      <c r="X3706">
        <v>0.99886039999999998</v>
      </c>
      <c r="Y3706">
        <v>-7.75338E-2</v>
      </c>
      <c r="Z3706">
        <v>7.7606780000000002E-4</v>
      </c>
      <c r="AA3706">
        <v>0.99698940000000003</v>
      </c>
      <c r="AB3706">
        <v>33</v>
      </c>
      <c r="AC3706">
        <v>-115.1001</v>
      </c>
      <c r="AD3706">
        <v>1.30678299999999</v>
      </c>
      <c r="AE3706">
        <v>-5.5296999999999903</v>
      </c>
      <c r="AF3706">
        <v>-8.9481378032960706</v>
      </c>
      <c r="AG3706">
        <v>1.30678299999999</v>
      </c>
      <c r="AH3706">
        <v>114.870042774719</v>
      </c>
      <c r="AI3706">
        <v>89.350189060834296</v>
      </c>
      <c r="AJ3706">
        <v>94.454227236112104</v>
      </c>
      <c r="AK3706">
        <v>115.225446751235</v>
      </c>
      <c r="AL3706">
        <v>88.035675183300299</v>
      </c>
      <c r="AM3706">
        <v>91.904328735250402</v>
      </c>
      <c r="AN3706">
        <v>1.0000000038238099</v>
      </c>
    </row>
    <row r="3707" spans="1:40" x14ac:dyDescent="0.25">
      <c r="A3707" t="str">
        <f>"20190312150730789"</f>
        <v>20190312150730789</v>
      </c>
      <c r="B3707" t="str">
        <f>"1552374450783578"</f>
        <v>1552374450783578</v>
      </c>
      <c r="C3707" t="s">
        <v>40</v>
      </c>
      <c r="D3707">
        <v>4.2264220000000003</v>
      </c>
      <c r="E3707">
        <v>0.48375079999999998</v>
      </c>
      <c r="F3707" t="s">
        <v>69</v>
      </c>
      <c r="G3707">
        <v>-511.95940000000002</v>
      </c>
      <c r="H3707">
        <v>2.4100890000000001</v>
      </c>
      <c r="I3707">
        <v>278.80279999999999</v>
      </c>
      <c r="J3707">
        <v>-397.05489999999998</v>
      </c>
      <c r="K3707">
        <v>1.1099559999999999</v>
      </c>
      <c r="L3707">
        <v>284.31720000000001</v>
      </c>
      <c r="M3707">
        <v>-0.99949129999999997</v>
      </c>
      <c r="N3707">
        <v>0</v>
      </c>
      <c r="O3707">
        <v>2.9728729999999998E-2</v>
      </c>
      <c r="P3707">
        <v>-0.99973369999999995</v>
      </c>
      <c r="Q3707">
        <v>2.278146E-2</v>
      </c>
      <c r="R3707">
        <v>-3.7064250000000002E-3</v>
      </c>
      <c r="S3707">
        <v>-2.9995120000000002</v>
      </c>
      <c r="T3707">
        <v>3.3883690000000001E-2</v>
      </c>
      <c r="U3707">
        <v>-0.14355470000000001</v>
      </c>
      <c r="V3707">
        <v>-3.3425919999999998E-2</v>
      </c>
      <c r="W3707">
        <v>3.4323930000000002E-2</v>
      </c>
      <c r="X3707">
        <v>0.99885170000000001</v>
      </c>
      <c r="Y3707">
        <v>-7.7473390000000003E-2</v>
      </c>
      <c r="Z3707">
        <v>7.7299089999999997E-4</v>
      </c>
      <c r="AA3707">
        <v>0.99699409999999999</v>
      </c>
      <c r="AB3707">
        <v>33</v>
      </c>
      <c r="AC3707">
        <v>-114.9045</v>
      </c>
      <c r="AD3707">
        <v>1.300133</v>
      </c>
      <c r="AE3707">
        <v>-5.5144000000000197</v>
      </c>
      <c r="AF3707">
        <v>-8.9270146855907697</v>
      </c>
      <c r="AG3707">
        <v>1.300133</v>
      </c>
      <c r="AH3707">
        <v>114.67511104160801</v>
      </c>
      <c r="AI3707">
        <v>89.352394088965596</v>
      </c>
      <c r="AJ3707">
        <v>94.451278112847007</v>
      </c>
      <c r="AK3707">
        <v>115.029400717467</v>
      </c>
      <c r="AL3707">
        <v>88.032997454758799</v>
      </c>
      <c r="AM3707">
        <v>91.916650605354207</v>
      </c>
      <c r="AN3707">
        <v>1.00000007144568</v>
      </c>
    </row>
    <row r="3708" spans="1:40" x14ac:dyDescent="0.25">
      <c r="A3708" t="str">
        <f>"20190312150730802"</f>
        <v>20190312150730802</v>
      </c>
      <c r="B3708" t="str">
        <f>"1552374450793339"</f>
        <v>1552374450793339</v>
      </c>
      <c r="C3708" t="s">
        <v>40</v>
      </c>
      <c r="D3708">
        <v>4.2242769999999998</v>
      </c>
      <c r="E3708">
        <v>0.48377170000000003</v>
      </c>
      <c r="F3708" t="s">
        <v>69</v>
      </c>
      <c r="G3708">
        <v>-511.95940000000002</v>
      </c>
      <c r="H3708">
        <v>2.4304199999999998</v>
      </c>
      <c r="I3708">
        <v>278.8775</v>
      </c>
      <c r="J3708">
        <v>-397.25420000000003</v>
      </c>
      <c r="K3708">
        <v>1.109961</v>
      </c>
      <c r="L3708">
        <v>284.32319999999999</v>
      </c>
      <c r="M3708">
        <v>-0.99949080000000001</v>
      </c>
      <c r="N3708">
        <v>0</v>
      </c>
      <c r="O3708">
        <v>2.9728649999999999E-2</v>
      </c>
      <c r="P3708">
        <v>-0.99973429999999996</v>
      </c>
      <c r="Q3708">
        <v>2.2750969999999999E-2</v>
      </c>
      <c r="R3708">
        <v>-3.7207299999999998E-3</v>
      </c>
      <c r="S3708">
        <v>-2.9994809999999998</v>
      </c>
      <c r="T3708">
        <v>3.4471630000000003E-2</v>
      </c>
      <c r="U3708">
        <v>-0.14199829999999999</v>
      </c>
      <c r="V3708">
        <v>-3.3440200000000003E-2</v>
      </c>
      <c r="W3708">
        <v>3.4336319999999997E-2</v>
      </c>
      <c r="X3708">
        <v>0.99885069999999998</v>
      </c>
      <c r="Y3708">
        <v>-7.6957440000000002E-2</v>
      </c>
      <c r="Z3708">
        <v>7.8345599999999997E-4</v>
      </c>
      <c r="AA3708">
        <v>0.99703410000000003</v>
      </c>
      <c r="AB3708">
        <v>33</v>
      </c>
      <c r="AC3708">
        <v>-114.7052</v>
      </c>
      <c r="AD3708">
        <v>1.320459</v>
      </c>
      <c r="AE3708">
        <v>-5.44569999999998</v>
      </c>
      <c r="AF3708">
        <v>-8.8523820570084606</v>
      </c>
      <c r="AG3708">
        <v>1.320459</v>
      </c>
      <c r="AH3708">
        <v>114.47745347892</v>
      </c>
      <c r="AI3708">
        <v>89.341108603574895</v>
      </c>
      <c r="AJ3708">
        <v>94.421803145079807</v>
      </c>
      <c r="AK3708">
        <v>114.82680712739599</v>
      </c>
      <c r="AL3708">
        <v>88.032286952279406</v>
      </c>
      <c r="AM3708">
        <v>91.9174707312566</v>
      </c>
      <c r="AN3708">
        <v>0.999999975368835</v>
      </c>
    </row>
    <row r="3709" spans="1:40" x14ac:dyDescent="0.25">
      <c r="A3709" t="str">
        <f>"20190312150730814"</f>
        <v>20190312150730814</v>
      </c>
      <c r="B3709" t="str">
        <f>"1552374450804075"</f>
        <v>1552374450804075</v>
      </c>
      <c r="C3709" t="s">
        <v>40</v>
      </c>
      <c r="D3709">
        <v>4.201435</v>
      </c>
      <c r="E3709">
        <v>0.4838132</v>
      </c>
      <c r="F3709" t="s">
        <v>69</v>
      </c>
      <c r="G3709">
        <v>-511.95940000000002</v>
      </c>
      <c r="H3709">
        <v>2.4029630000000002</v>
      </c>
      <c r="I3709">
        <v>278.8836</v>
      </c>
      <c r="J3709">
        <v>-397.43709999999999</v>
      </c>
      <c r="K3709">
        <v>1.109969</v>
      </c>
      <c r="L3709">
        <v>284.32859999999999</v>
      </c>
      <c r="M3709">
        <v>-0.9994902</v>
      </c>
      <c r="N3709">
        <v>0</v>
      </c>
      <c r="O3709">
        <v>2.9728689999999999E-2</v>
      </c>
      <c r="P3709">
        <v>-0.99973780000000001</v>
      </c>
      <c r="Q3709">
        <v>2.2560050000000002E-2</v>
      </c>
      <c r="R3709">
        <v>-3.920504E-3</v>
      </c>
      <c r="S3709">
        <v>-2.9995120000000002</v>
      </c>
      <c r="T3709">
        <v>3.3813709999999997E-2</v>
      </c>
      <c r="U3709">
        <v>-0.14224239999999999</v>
      </c>
      <c r="V3709">
        <v>-3.3640400000000001E-2</v>
      </c>
      <c r="W3709">
        <v>3.4188589999999998E-2</v>
      </c>
      <c r="X3709">
        <v>0.99884910000000005</v>
      </c>
      <c r="Y3709">
        <v>-7.7038250000000003E-2</v>
      </c>
      <c r="Z3709">
        <v>7.6895079999999996E-4</v>
      </c>
      <c r="AA3709">
        <v>0.99702780000000002</v>
      </c>
      <c r="AB3709">
        <v>33</v>
      </c>
      <c r="AC3709">
        <v>-114.5223</v>
      </c>
      <c r="AD3709">
        <v>1.292994</v>
      </c>
      <c r="AE3709">
        <v>-5.4449999999999896</v>
      </c>
      <c r="AF3709">
        <v>-8.8462966196051092</v>
      </c>
      <c r="AG3709">
        <v>1.292994</v>
      </c>
      <c r="AH3709">
        <v>114.29525462250299</v>
      </c>
      <c r="AI3709">
        <v>89.353787169201894</v>
      </c>
      <c r="AJ3709">
        <v>94.425791521986497</v>
      </c>
      <c r="AK3709">
        <v>114.64438070219001</v>
      </c>
      <c r="AL3709">
        <v>88.040756338404293</v>
      </c>
      <c r="AM3709">
        <v>91.928944698253702</v>
      </c>
      <c r="AN3709">
        <v>1.00000003038457</v>
      </c>
    </row>
    <row r="3710" spans="1:40" x14ac:dyDescent="0.25">
      <c r="A3710" t="str">
        <f>"20190312150730831"</f>
        <v>20190312150730831</v>
      </c>
      <c r="B3710" t="str">
        <f>"1552374450823594"</f>
        <v>1552374450823594</v>
      </c>
      <c r="C3710" t="s">
        <v>40</v>
      </c>
      <c r="D3710">
        <v>4.1916500000000001</v>
      </c>
      <c r="E3710">
        <v>0.4838539</v>
      </c>
      <c r="F3710" t="s">
        <v>69</v>
      </c>
      <c r="G3710">
        <v>-511.95940000000002</v>
      </c>
      <c r="H3710">
        <v>2.3680729999999999</v>
      </c>
      <c r="I3710">
        <v>278.89179999999999</v>
      </c>
      <c r="J3710">
        <v>-397.67200000000003</v>
      </c>
      <c r="K3710">
        <v>1.109985</v>
      </c>
      <c r="L3710">
        <v>284.3356</v>
      </c>
      <c r="M3710">
        <v>-0.99948959999999998</v>
      </c>
      <c r="N3710">
        <v>0</v>
      </c>
      <c r="O3710">
        <v>2.9728520000000001E-2</v>
      </c>
      <c r="P3710">
        <v>-0.99973520000000005</v>
      </c>
      <c r="Q3710">
        <v>2.2700649999999999E-2</v>
      </c>
      <c r="R3710">
        <v>-3.8271160000000002E-3</v>
      </c>
      <c r="S3710">
        <v>-2.9994510000000001</v>
      </c>
      <c r="T3710">
        <v>3.295302E-2</v>
      </c>
      <c r="U3710">
        <v>-0.14239499999999999</v>
      </c>
      <c r="V3710">
        <v>-3.3546819999999998E-2</v>
      </c>
      <c r="W3710">
        <v>3.4387790000000001E-2</v>
      </c>
      <c r="X3710">
        <v>0.99884539999999999</v>
      </c>
      <c r="Y3710">
        <v>-7.7089999999999895E-2</v>
      </c>
      <c r="Z3710">
        <v>7.4967610000000004E-4</v>
      </c>
      <c r="AA3710">
        <v>0.99702389999999996</v>
      </c>
      <c r="AB3710">
        <v>33</v>
      </c>
      <c r="AC3710">
        <v>-114.28740000000001</v>
      </c>
      <c r="AD3710">
        <v>1.2580880000000001</v>
      </c>
      <c r="AE3710">
        <v>-5.4438000000000004</v>
      </c>
      <c r="AF3710">
        <v>-8.8381525947739394</v>
      </c>
      <c r="AG3710">
        <v>1.2580880000000001</v>
      </c>
      <c r="AH3710">
        <v>114.061241528765</v>
      </c>
      <c r="AI3710">
        <v>89.369945409851297</v>
      </c>
      <c r="AJ3710">
        <v>94.430768978417902</v>
      </c>
      <c r="AK3710">
        <v>114.41006313164699</v>
      </c>
      <c r="AL3710">
        <v>88.029336286155001</v>
      </c>
      <c r="AM3710">
        <v>91.923589966372205</v>
      </c>
      <c r="AN3710">
        <v>1.00000002116717</v>
      </c>
    </row>
    <row r="3711" spans="1:40" x14ac:dyDescent="0.25">
      <c r="A3711" t="str">
        <f>"20190312150730852"</f>
        <v>20190312150730852</v>
      </c>
      <c r="B3711" t="str">
        <f>"1552374450844091"</f>
        <v>1552374450844091</v>
      </c>
      <c r="C3711" t="s">
        <v>40</v>
      </c>
      <c r="D3711">
        <v>4.2795870000000003</v>
      </c>
      <c r="E3711">
        <v>0.4840006</v>
      </c>
      <c r="F3711" t="s">
        <v>69</v>
      </c>
      <c r="G3711">
        <v>-511.95940000000002</v>
      </c>
      <c r="H3711">
        <v>2.385599</v>
      </c>
      <c r="I3711">
        <v>278.93549999999999</v>
      </c>
      <c r="J3711">
        <v>-398.01060000000001</v>
      </c>
      <c r="K3711">
        <v>1.1100049999999999</v>
      </c>
      <c r="L3711">
        <v>284.34570000000002</v>
      </c>
      <c r="M3711">
        <v>-0.99948840000000005</v>
      </c>
      <c r="N3711">
        <v>0</v>
      </c>
      <c r="O3711">
        <v>2.972845E-2</v>
      </c>
      <c r="P3711">
        <v>-0.99974019999999997</v>
      </c>
      <c r="Q3711">
        <v>2.2420550000000001E-2</v>
      </c>
      <c r="R3711">
        <v>-4.1233249999999997E-3</v>
      </c>
      <c r="S3711">
        <v>-2.9994510000000001</v>
      </c>
      <c r="T3711">
        <v>3.3480290000000003E-2</v>
      </c>
      <c r="U3711">
        <v>-0.14172360000000001</v>
      </c>
      <c r="V3711">
        <v>-3.3842810000000001E-2</v>
      </c>
      <c r="W3711">
        <v>3.4208120000000002E-2</v>
      </c>
      <c r="X3711">
        <v>0.9988416</v>
      </c>
      <c r="Y3711">
        <v>-7.6867099999999994E-2</v>
      </c>
      <c r="Z3711">
        <v>7.6043059999999997E-4</v>
      </c>
      <c r="AA3711">
        <v>0.99704099999999996</v>
      </c>
      <c r="AB3711">
        <v>33</v>
      </c>
      <c r="AC3711">
        <v>-113.94880000000001</v>
      </c>
      <c r="AD3711">
        <v>1.2755939999999999</v>
      </c>
      <c r="AE3711">
        <v>-5.4102000000000299</v>
      </c>
      <c r="AF3711">
        <v>-8.7944657452272299</v>
      </c>
      <c r="AG3711">
        <v>1.2755939999999999</v>
      </c>
      <c r="AH3711">
        <v>113.72336166272601</v>
      </c>
      <c r="AI3711">
        <v>89.359273658052004</v>
      </c>
      <c r="AJ3711">
        <v>94.422001750255802</v>
      </c>
      <c r="AK3711">
        <v>114.070034433535</v>
      </c>
      <c r="AL3711">
        <v>88.039636709090502</v>
      </c>
      <c r="AM3711">
        <v>91.940556625390897</v>
      </c>
      <c r="AN3711">
        <v>1.00000003657659</v>
      </c>
    </row>
    <row r="3712" spans="1:40" x14ac:dyDescent="0.25">
      <c r="A3712" t="str">
        <f>"20190312150730874"</f>
        <v>20190312150730874</v>
      </c>
      <c r="B3712" t="str">
        <f>"1552374450863610"</f>
        <v>1552374450863610</v>
      </c>
      <c r="C3712" t="s">
        <v>40</v>
      </c>
      <c r="D3712">
        <v>4.2885369999999998</v>
      </c>
      <c r="E3712">
        <v>0.50542810000000005</v>
      </c>
      <c r="F3712" t="s">
        <v>69</v>
      </c>
      <c r="G3712">
        <v>-511.95940000000002</v>
      </c>
      <c r="H3712">
        <v>2.3786100000000001</v>
      </c>
      <c r="I3712">
        <v>278.96749999999997</v>
      </c>
      <c r="J3712">
        <v>-398.33240000000001</v>
      </c>
      <c r="K3712">
        <v>1.1100190000000001</v>
      </c>
      <c r="L3712">
        <v>284.3553</v>
      </c>
      <c r="M3712">
        <v>-0.99948720000000002</v>
      </c>
      <c r="N3712">
        <v>0</v>
      </c>
      <c r="O3712">
        <v>2.972847E-2</v>
      </c>
      <c r="P3712">
        <v>-0.99973860000000003</v>
      </c>
      <c r="Q3712">
        <v>2.2463230000000001E-2</v>
      </c>
      <c r="R3712">
        <v>-4.2645690000000002E-3</v>
      </c>
      <c r="S3712">
        <v>-2.9994809999999998</v>
      </c>
      <c r="T3712">
        <v>3.3395649999999999E-2</v>
      </c>
      <c r="U3712">
        <v>-0.141571</v>
      </c>
      <c r="V3712">
        <v>-3.3984090000000002E-2</v>
      </c>
      <c r="W3712">
        <v>3.4354900000000001E-2</v>
      </c>
      <c r="X3712">
        <v>0.99883169999999999</v>
      </c>
      <c r="Y3712">
        <v>-7.6816099999999998E-2</v>
      </c>
      <c r="Z3712">
        <v>7.5821829999999995E-4</v>
      </c>
      <c r="AA3712">
        <v>0.99704499999999996</v>
      </c>
      <c r="AB3712">
        <v>33</v>
      </c>
      <c r="AC3712">
        <v>-113.627</v>
      </c>
      <c r="AD3712">
        <v>1.26859099999999</v>
      </c>
      <c r="AE3712">
        <v>-5.3878000000000199</v>
      </c>
      <c r="AF3712">
        <v>-8.7625245179206495</v>
      </c>
      <c r="AG3712">
        <v>1.26859099999999</v>
      </c>
      <c r="AH3712">
        <v>113.402485140328</v>
      </c>
      <c r="AI3712">
        <v>89.360985006235296</v>
      </c>
      <c r="AJ3712">
        <v>94.418422186929007</v>
      </c>
      <c r="AK3712">
        <v>113.747592480257</v>
      </c>
      <c r="AL3712">
        <v>88.031221760068206</v>
      </c>
      <c r="AM3712">
        <v>91.948670728641105</v>
      </c>
      <c r="AN3712">
        <v>0.99999997122601303</v>
      </c>
    </row>
    <row r="3713" spans="1:40" x14ac:dyDescent="0.25">
      <c r="A3713" t="str">
        <f>"20190312150730896"</f>
        <v>20190312150730896</v>
      </c>
      <c r="B3713" t="str">
        <f>"1552374450893867"</f>
        <v>1552374450893867</v>
      </c>
      <c r="C3713" t="s">
        <v>40</v>
      </c>
      <c r="D3713">
        <v>4.2844290000000003</v>
      </c>
      <c r="E3713">
        <v>0.50828620000000002</v>
      </c>
      <c r="F3713" t="s">
        <v>48</v>
      </c>
      <c r="G3713">
        <v>0</v>
      </c>
      <c r="H3713">
        <v>0</v>
      </c>
      <c r="I3713">
        <v>0</v>
      </c>
      <c r="J3713">
        <v>-398.66500000000002</v>
      </c>
      <c r="K3713">
        <v>1.110039</v>
      </c>
      <c r="L3713">
        <v>284.36509999999998</v>
      </c>
      <c r="M3713">
        <v>-0.99948579999999998</v>
      </c>
      <c r="N3713">
        <v>0</v>
      </c>
      <c r="O3713">
        <v>2.972843E-2</v>
      </c>
      <c r="P3713">
        <v>-0.99974269999999998</v>
      </c>
      <c r="Q3713">
        <v>2.2245709999999998E-2</v>
      </c>
      <c r="R3713">
        <v>-4.4220750000000001E-3</v>
      </c>
      <c r="S3713">
        <v>-3.00061</v>
      </c>
      <c r="T3713">
        <v>1.267135E-2</v>
      </c>
      <c r="U3713">
        <v>2.8259280000000001E-2</v>
      </c>
      <c r="V3713">
        <v>-3.4141860000000003E-2</v>
      </c>
      <c r="W3713">
        <v>3.4250070000000001E-2</v>
      </c>
      <c r="X3713">
        <v>0.99883</v>
      </c>
      <c r="Y3713">
        <v>-2.0315550000000002E-2</v>
      </c>
      <c r="Z3713">
        <v>1.684228E-4</v>
      </c>
      <c r="AA3713">
        <v>0.99979359999999995</v>
      </c>
      <c r="AB3713">
        <v>33</v>
      </c>
      <c r="AC3713">
        <v>-3.00061</v>
      </c>
      <c r="AD3713">
        <v>1.267135E-2</v>
      </c>
      <c r="AE3713">
        <v>2.8259280000000001E-2</v>
      </c>
      <c r="AF3713">
        <v>-6.0961988572841699E-2</v>
      </c>
      <c r="AG3713">
        <v>1.267135E-2</v>
      </c>
      <c r="AH3713">
        <v>3.0000702453980499</v>
      </c>
      <c r="AI3713">
        <v>89.758052092508294</v>
      </c>
      <c r="AJ3713">
        <v>91.164100752014903</v>
      </c>
      <c r="AK3713">
        <v>3.0007163152294698</v>
      </c>
      <c r="AL3713">
        <v>88.037231771053499</v>
      </c>
      <c r="AM3713">
        <v>91.957713673342496</v>
      </c>
      <c r="AN3713">
        <v>1.0000000513996301</v>
      </c>
    </row>
    <row r="3714" spans="1:40" x14ac:dyDescent="0.25">
      <c r="A3714" t="str">
        <f>"20190312150730920"</f>
        <v>20190312150730920</v>
      </c>
      <c r="B3714" t="str">
        <f>"1552374450913390"</f>
        <v>1552374450913390</v>
      </c>
      <c r="C3714" t="s">
        <v>40</v>
      </c>
      <c r="D3714">
        <v>4.3087900000000001</v>
      </c>
      <c r="E3714">
        <v>0.50915900000000003</v>
      </c>
      <c r="F3714" t="s">
        <v>48</v>
      </c>
      <c r="G3714">
        <v>0</v>
      </c>
      <c r="H3714">
        <v>0</v>
      </c>
      <c r="I3714">
        <v>0</v>
      </c>
      <c r="J3714">
        <v>-399.00740000000002</v>
      </c>
      <c r="K3714">
        <v>1.1100559999999999</v>
      </c>
      <c r="L3714">
        <v>284.37529999999998</v>
      </c>
      <c r="M3714">
        <v>-0.99948440000000005</v>
      </c>
      <c r="N3714">
        <v>0</v>
      </c>
      <c r="O3714">
        <v>2.9727989999999999E-2</v>
      </c>
      <c r="P3714">
        <v>-0.99973639999999997</v>
      </c>
      <c r="Q3714">
        <v>2.254333E-2</v>
      </c>
      <c r="R3714">
        <v>-4.414996E-3</v>
      </c>
      <c r="S3714">
        <v>-3.001007</v>
      </c>
      <c r="T3714" s="1">
        <v>-6.8068499999999994E-5</v>
      </c>
      <c r="U3714">
        <v>5.0140379999999998E-2</v>
      </c>
      <c r="V3714">
        <v>-3.413422E-2</v>
      </c>
      <c r="W3714">
        <v>3.4666580000000002E-2</v>
      </c>
      <c r="X3714">
        <v>0.99881580000000003</v>
      </c>
      <c r="Y3714">
        <v>-1.302789E-2</v>
      </c>
      <c r="Z3714" s="1">
        <v>-8.2191139999999998E-7</v>
      </c>
      <c r="AA3714">
        <v>0.99991509999999995</v>
      </c>
      <c r="AB3714">
        <v>33</v>
      </c>
      <c r="AC3714">
        <v>-3.001007</v>
      </c>
      <c r="AD3714" s="1">
        <v>-6.8068499999999994E-5</v>
      </c>
      <c r="AE3714">
        <v>5.0140379999999998E-2</v>
      </c>
      <c r="AF3714">
        <v>-3.9102256101662097E-2</v>
      </c>
      <c r="AG3714" s="1">
        <v>-6.8068499999999994E-5</v>
      </c>
      <c r="AH3714">
        <v>3.0011711174234401</v>
      </c>
      <c r="AI3714">
        <v>90.001299395013305</v>
      </c>
      <c r="AJ3714">
        <v>90.746464428967499</v>
      </c>
      <c r="AK3714">
        <v>3.0014258390175499</v>
      </c>
      <c r="AL3714">
        <v>88.013353143852399</v>
      </c>
      <c r="AM3714">
        <v>91.957303736799901</v>
      </c>
      <c r="AN3714">
        <v>0.99999995953677101</v>
      </c>
    </row>
    <row r="3715" spans="1:40" x14ac:dyDescent="0.25">
      <c r="A3715" t="str">
        <f>"20190312150730941"</f>
        <v>20190312150730941</v>
      </c>
      <c r="B3715" t="str">
        <f>"1552374450933882"</f>
        <v>1552374450933882</v>
      </c>
      <c r="C3715" t="s">
        <v>40</v>
      </c>
      <c r="D3715">
        <v>4.2976419999999997</v>
      </c>
      <c r="E3715">
        <v>0.5097526</v>
      </c>
      <c r="F3715" t="s">
        <v>48</v>
      </c>
      <c r="G3715">
        <v>0</v>
      </c>
      <c r="H3715">
        <v>0</v>
      </c>
      <c r="I3715">
        <v>0</v>
      </c>
      <c r="J3715">
        <v>-399.3365</v>
      </c>
      <c r="K3715">
        <v>1.1100760000000001</v>
      </c>
      <c r="L3715">
        <v>284.38510000000002</v>
      </c>
      <c r="M3715">
        <v>-0.99948300000000001</v>
      </c>
      <c r="N3715">
        <v>0</v>
      </c>
      <c r="O3715">
        <v>2.9727779999999999E-2</v>
      </c>
      <c r="P3715">
        <v>-0.9997317</v>
      </c>
      <c r="Q3715">
        <v>2.2666479999999999E-2</v>
      </c>
      <c r="R3715">
        <v>-4.7980970000000003E-3</v>
      </c>
      <c r="S3715">
        <v>-3.0011290000000002</v>
      </c>
      <c r="T3715">
        <v>-4.2442080000000002E-3</v>
      </c>
      <c r="U3715">
        <v>5.6976319999999997E-2</v>
      </c>
      <c r="V3715">
        <v>-3.4516850000000002E-2</v>
      </c>
      <c r="W3715">
        <v>3.4909610000000001E-2</v>
      </c>
      <c r="X3715">
        <v>0.99879419999999997</v>
      </c>
      <c r="Y3715">
        <v>-1.0751459999999999E-2</v>
      </c>
      <c r="Z3715" s="1">
        <v>-4.9634569999999999E-5</v>
      </c>
      <c r="AA3715">
        <v>0.9999422</v>
      </c>
      <c r="AB3715">
        <v>33</v>
      </c>
      <c r="AC3715">
        <v>-3.0011290000000002</v>
      </c>
      <c r="AD3715">
        <v>-4.2442080000000002E-3</v>
      </c>
      <c r="AE3715">
        <v>5.6976319999999997E-2</v>
      </c>
      <c r="AF3715">
        <v>-3.2272395293466198E-2</v>
      </c>
      <c r="AG3715">
        <v>-4.2442080000000002E-3</v>
      </c>
      <c r="AH3715">
        <v>3.0014903034473899</v>
      </c>
      <c r="AI3715">
        <v>90.081013417950402</v>
      </c>
      <c r="AJ3715">
        <v>90.616027575357904</v>
      </c>
      <c r="AK3715">
        <v>3.0016667973791198</v>
      </c>
      <c r="AL3715">
        <v>87.999420145155398</v>
      </c>
      <c r="AM3715">
        <v>91.979269689503298</v>
      </c>
      <c r="AN3715">
        <v>0.999999973878957</v>
      </c>
    </row>
    <row r="3716" spans="1:40" x14ac:dyDescent="0.25">
      <c r="A3716" t="str">
        <f>"20190312150730964"</f>
        <v>20190312150730964</v>
      </c>
      <c r="B3716" t="str">
        <f>"1552374450953402"</f>
        <v>1552374450953402</v>
      </c>
      <c r="C3716" t="s">
        <v>40</v>
      </c>
      <c r="D3716">
        <v>4.3237160000000001</v>
      </c>
      <c r="E3716">
        <v>0.51053179999999998</v>
      </c>
      <c r="F3716" t="s">
        <v>48</v>
      </c>
      <c r="G3716">
        <v>0</v>
      </c>
      <c r="H3716">
        <v>0</v>
      </c>
      <c r="I3716">
        <v>0</v>
      </c>
      <c r="J3716">
        <v>-399.66890000000001</v>
      </c>
      <c r="K3716">
        <v>1.1100909999999999</v>
      </c>
      <c r="L3716">
        <v>284.39499999999998</v>
      </c>
      <c r="M3716">
        <v>-0.99948139999999996</v>
      </c>
      <c r="N3716">
        <v>0</v>
      </c>
      <c r="O3716">
        <v>2.9727449999999999E-2</v>
      </c>
      <c r="P3716">
        <v>-0.99973160000000005</v>
      </c>
      <c r="Q3716">
        <v>2.2621280000000001E-2</v>
      </c>
      <c r="R3716">
        <v>-5.0202529999999997E-3</v>
      </c>
      <c r="S3716">
        <v>-3.001404</v>
      </c>
      <c r="T3716">
        <v>-1.1452199999999999E-2</v>
      </c>
      <c r="U3716">
        <v>6.0211180000000003E-2</v>
      </c>
      <c r="V3716">
        <v>-3.4738690000000003E-2</v>
      </c>
      <c r="W3716">
        <v>3.4991580000000001E-2</v>
      </c>
      <c r="X3716">
        <v>0.99878359999999999</v>
      </c>
      <c r="Y3716">
        <v>-9.6753540000000006E-3</v>
      </c>
      <c r="Z3716">
        <v>-1.318611E-4</v>
      </c>
      <c r="AA3716">
        <v>0.99995319999999999</v>
      </c>
      <c r="AB3716">
        <v>33</v>
      </c>
      <c r="AC3716">
        <v>-3.001404</v>
      </c>
      <c r="AD3716">
        <v>-1.1452199999999999E-2</v>
      </c>
      <c r="AE3716">
        <v>6.0211180000000003E-2</v>
      </c>
      <c r="AF3716">
        <v>-2.90459353287928E-2</v>
      </c>
      <c r="AG3716">
        <v>-1.1452199999999999E-2</v>
      </c>
      <c r="AH3716">
        <v>3.0018236775350502</v>
      </c>
      <c r="AI3716">
        <v>90.218576738204703</v>
      </c>
      <c r="AJ3716">
        <v>90.554382185567604</v>
      </c>
      <c r="AK3716">
        <v>3.0019860443136701</v>
      </c>
      <c r="AL3716">
        <v>87.994720657719697</v>
      </c>
      <c r="AM3716">
        <v>91.992001375837205</v>
      </c>
      <c r="AN3716">
        <v>0.99999993344138405</v>
      </c>
    </row>
    <row r="3717" spans="1:40" x14ac:dyDescent="0.25">
      <c r="A3717" t="str">
        <f>"20190312150730986"</f>
        <v>20190312150730986</v>
      </c>
      <c r="B3717" t="str">
        <f>"1552374450983659"</f>
        <v>1552374450983659</v>
      </c>
      <c r="C3717" t="s">
        <v>40</v>
      </c>
      <c r="D3717">
        <v>4.2399570000000004</v>
      </c>
      <c r="E3717">
        <v>0.51091719999999996</v>
      </c>
      <c r="F3717" t="s">
        <v>48</v>
      </c>
      <c r="G3717">
        <v>0</v>
      </c>
      <c r="H3717">
        <v>0</v>
      </c>
      <c r="I3717">
        <v>0</v>
      </c>
      <c r="J3717">
        <v>-400.00380000000001</v>
      </c>
      <c r="K3717">
        <v>1.110104</v>
      </c>
      <c r="L3717">
        <v>284.40499999999997</v>
      </c>
      <c r="M3717">
        <v>-0.99947989999999998</v>
      </c>
      <c r="N3717">
        <v>0</v>
      </c>
      <c r="O3717">
        <v>2.9726969999999998E-2</v>
      </c>
      <c r="P3717">
        <v>-0.99974790000000002</v>
      </c>
      <c r="Q3717">
        <v>2.182245E-2</v>
      </c>
      <c r="R3717">
        <v>-5.3025659999999999E-3</v>
      </c>
      <c r="S3717">
        <v>-3.0013429999999999</v>
      </c>
      <c r="T3717">
        <v>-9.3667509999999995E-3</v>
      </c>
      <c r="U3717">
        <v>6.5643309999999996E-2</v>
      </c>
      <c r="V3717">
        <v>-3.5020969999999998E-2</v>
      </c>
      <c r="W3717">
        <v>3.432346E-2</v>
      </c>
      <c r="X3717">
        <v>0.99879700000000005</v>
      </c>
      <c r="Y3717">
        <v>-7.8655830000000006E-3</v>
      </c>
      <c r="Z3717">
        <v>-1.050238E-4</v>
      </c>
      <c r="AA3717">
        <v>0.99996910000000006</v>
      </c>
      <c r="AB3717">
        <v>33</v>
      </c>
      <c r="AC3717">
        <v>-3.0013429999999999</v>
      </c>
      <c r="AD3717">
        <v>-9.3667509999999995E-3</v>
      </c>
      <c r="AE3717">
        <v>6.5643309999999996E-2</v>
      </c>
      <c r="AF3717">
        <v>-2.36132792503842E-2</v>
      </c>
      <c r="AG3717">
        <v>-9.3667509999999995E-3</v>
      </c>
      <c r="AH3717">
        <v>3.0019386721506298</v>
      </c>
      <c r="AI3717">
        <v>90.178770126502499</v>
      </c>
      <c r="AJ3717">
        <v>90.450679872672097</v>
      </c>
      <c r="AK3717">
        <v>3.00204615459768</v>
      </c>
      <c r="AL3717">
        <v>88.033024274268698</v>
      </c>
      <c r="AM3717">
        <v>92.008147881236795</v>
      </c>
      <c r="AN3717">
        <v>1.0000000077275499</v>
      </c>
    </row>
    <row r="3718" spans="1:40" x14ac:dyDescent="0.25">
      <c r="A3718" t="str">
        <f>"20190312150731009"</f>
        <v>20190312150731009</v>
      </c>
      <c r="B3718" t="str">
        <f>"1552374451004158"</f>
        <v>1552374451004158</v>
      </c>
      <c r="C3718" t="s">
        <v>40</v>
      </c>
      <c r="D3718">
        <v>4.2666449999999996</v>
      </c>
      <c r="E3718">
        <v>0.51156380000000001</v>
      </c>
      <c r="F3718" t="s">
        <v>48</v>
      </c>
      <c r="G3718">
        <v>0</v>
      </c>
      <c r="H3718">
        <v>0</v>
      </c>
      <c r="I3718">
        <v>0</v>
      </c>
      <c r="J3718">
        <v>-400.33339999999998</v>
      </c>
      <c r="K3718">
        <v>1.11012</v>
      </c>
      <c r="L3718">
        <v>284.41469999999998</v>
      </c>
      <c r="M3718">
        <v>-0.99947819999999998</v>
      </c>
      <c r="N3718">
        <v>0</v>
      </c>
      <c r="O3718">
        <v>2.9727449999999999E-2</v>
      </c>
      <c r="P3718">
        <v>-0.99975250000000004</v>
      </c>
      <c r="Q3718">
        <v>2.1646160000000001E-2</v>
      </c>
      <c r="R3718">
        <v>-5.1450469999999998E-3</v>
      </c>
      <c r="S3718">
        <v>-3.0012819999999998</v>
      </c>
      <c r="T3718">
        <v>-8.9004040000000006E-3</v>
      </c>
      <c r="U3718">
        <v>6.8145750000000005E-2</v>
      </c>
      <c r="V3718">
        <v>-3.4864340000000001E-2</v>
      </c>
      <c r="W3718">
        <v>3.4275800000000002E-2</v>
      </c>
      <c r="X3718">
        <v>0.99880409999999997</v>
      </c>
      <c r="Y3718">
        <v>-7.032338E-3</v>
      </c>
      <c r="Z3718" s="1">
        <v>-9.856206E-5</v>
      </c>
      <c r="AA3718">
        <v>0.99997530000000001</v>
      </c>
      <c r="AB3718">
        <v>33</v>
      </c>
      <c r="AC3718">
        <v>-3.0012819999999998</v>
      </c>
      <c r="AD3718">
        <v>-8.9004040000000006E-3</v>
      </c>
      <c r="AE3718">
        <v>6.8145750000000005E-2</v>
      </c>
      <c r="AF3718">
        <v>-2.1111768342894102E-2</v>
      </c>
      <c r="AG3718">
        <v>-8.9004040000000006E-3</v>
      </c>
      <c r="AH3718">
        <v>3.0019549209990899</v>
      </c>
      <c r="AI3718">
        <v>90.169869799548493</v>
      </c>
      <c r="AJ3718">
        <v>90.402935858336903</v>
      </c>
      <c r="AK3718">
        <v>3.0020423500784501</v>
      </c>
      <c r="AL3718">
        <v>88.035756566775504</v>
      </c>
      <c r="AM3718">
        <v>91.999159618345303</v>
      </c>
      <c r="AN3718">
        <v>0.99999999142304197</v>
      </c>
    </row>
    <row r="3719" spans="1:40" x14ac:dyDescent="0.25">
      <c r="A3719" t="str">
        <f>"20190312150731031"</f>
        <v>20190312150731031</v>
      </c>
      <c r="B3719" t="str">
        <f>"1552374451023684"</f>
        <v>1552374451023684</v>
      </c>
      <c r="C3719" t="s">
        <v>40</v>
      </c>
      <c r="D3719">
        <v>4.2680020000000001</v>
      </c>
      <c r="E3719">
        <v>0.51224859999999905</v>
      </c>
      <c r="F3719" t="s">
        <v>48</v>
      </c>
      <c r="G3719">
        <v>0</v>
      </c>
      <c r="H3719">
        <v>0</v>
      </c>
      <c r="I3719">
        <v>0</v>
      </c>
      <c r="J3719">
        <v>-400.67439999999999</v>
      </c>
      <c r="K3719">
        <v>1.110136</v>
      </c>
      <c r="L3719">
        <v>284.42489999999998</v>
      </c>
      <c r="M3719">
        <v>-0.99947660000000005</v>
      </c>
      <c r="N3719">
        <v>0</v>
      </c>
      <c r="O3719">
        <v>2.972727E-2</v>
      </c>
      <c r="P3719">
        <v>-0.99975040000000004</v>
      </c>
      <c r="Q3719">
        <v>2.18116E-2</v>
      </c>
      <c r="R3719">
        <v>-4.8743609999999998E-3</v>
      </c>
      <c r="S3719">
        <v>-3.0012509999999999</v>
      </c>
      <c r="T3719">
        <v>-3.750682E-3</v>
      </c>
      <c r="U3719">
        <v>7.3913569999999998E-2</v>
      </c>
      <c r="V3719">
        <v>-3.4592989999999997E-2</v>
      </c>
      <c r="W3719">
        <v>3.4568399999999999E-2</v>
      </c>
      <c r="X3719">
        <v>0.99880340000000001</v>
      </c>
      <c r="Y3719">
        <v>-5.1114180000000004E-3</v>
      </c>
      <c r="Z3719" s="1">
        <v>-4.0333629999999998E-5</v>
      </c>
      <c r="AA3719">
        <v>0.99998690000000001</v>
      </c>
      <c r="AB3719">
        <v>33</v>
      </c>
      <c r="AC3719">
        <v>-3.0012509999999999</v>
      </c>
      <c r="AD3719">
        <v>-3.750682E-3</v>
      </c>
      <c r="AE3719">
        <v>7.3913569999999998E-2</v>
      </c>
      <c r="AF3719">
        <v>-1.5345340508232001E-2</v>
      </c>
      <c r="AG3719">
        <v>-3.750682E-3</v>
      </c>
      <c r="AH3719">
        <v>3.0021171140031702</v>
      </c>
      <c r="AI3719">
        <v>90.071581261359498</v>
      </c>
      <c r="AJ3719">
        <v>90.292865186714707</v>
      </c>
      <c r="AK3719">
        <v>3.0021586755668901</v>
      </c>
      <c r="AL3719">
        <v>88.018981779703793</v>
      </c>
      <c r="AM3719">
        <v>91.983613978473699</v>
      </c>
      <c r="AN3719">
        <v>0.99999994054362795</v>
      </c>
    </row>
    <row r="3720" spans="1:40" x14ac:dyDescent="0.25">
      <c r="A3720" t="str">
        <f>"20190312150731053"</f>
        <v>20190312150731053</v>
      </c>
      <c r="B3720" t="str">
        <f>"1552374451044171"</f>
        <v>1552374451044171</v>
      </c>
      <c r="C3720" t="s">
        <v>40</v>
      </c>
      <c r="D3720">
        <v>4.2632289999999999</v>
      </c>
      <c r="E3720">
        <v>0.51271250000000002</v>
      </c>
      <c r="F3720" t="s">
        <v>48</v>
      </c>
      <c r="G3720">
        <v>0</v>
      </c>
      <c r="H3720">
        <v>0</v>
      </c>
      <c r="I3720">
        <v>0</v>
      </c>
      <c r="J3720">
        <v>-401.00029999999998</v>
      </c>
      <c r="K3720">
        <v>1.1101490000000001</v>
      </c>
      <c r="L3720">
        <v>284.43459999999999</v>
      </c>
      <c r="M3720">
        <v>-0.99947490000000005</v>
      </c>
      <c r="N3720">
        <v>0</v>
      </c>
      <c r="O3720">
        <v>2.972733E-2</v>
      </c>
      <c r="P3720">
        <v>-0.9997452</v>
      </c>
      <c r="Q3720">
        <v>2.1996000000000002E-2</v>
      </c>
      <c r="R3720">
        <v>-5.0650640000000002E-3</v>
      </c>
      <c r="S3720">
        <v>-3.00116</v>
      </c>
      <c r="T3720">
        <v>8.8202949999999995E-4</v>
      </c>
      <c r="U3720">
        <v>8.0535889999999999E-2</v>
      </c>
      <c r="V3720">
        <v>-3.478361E-2</v>
      </c>
      <c r="W3720">
        <v>3.4871020000000003E-2</v>
      </c>
      <c r="X3720">
        <v>0.99878630000000002</v>
      </c>
      <c r="Y3720">
        <v>-2.9056920000000001E-3</v>
      </c>
      <c r="Z3720" s="1">
        <v>9.1609769999999996E-6</v>
      </c>
      <c r="AA3720">
        <v>0.99999579999999999</v>
      </c>
      <c r="AB3720">
        <v>33</v>
      </c>
      <c r="AC3720">
        <v>-3.00116</v>
      </c>
      <c r="AD3720">
        <v>8.8202949999999995E-4</v>
      </c>
      <c r="AE3720">
        <v>8.0535889999999999E-2</v>
      </c>
      <c r="AF3720">
        <v>-8.7235973509562602E-3</v>
      </c>
      <c r="AG3720">
        <v>8.8202949999999995E-4</v>
      </c>
      <c r="AH3720">
        <v>3.00222745941667</v>
      </c>
      <c r="AI3720">
        <v>89.983167047253104</v>
      </c>
      <c r="AJ3720">
        <v>90.166484355514797</v>
      </c>
      <c r="AK3720">
        <v>3.0022402630706</v>
      </c>
      <c r="AL3720">
        <v>88.001632549229399</v>
      </c>
      <c r="AM3720">
        <v>91.994569731673806</v>
      </c>
      <c r="AN3720">
        <v>0.99999998031408099</v>
      </c>
    </row>
    <row r="3721" spans="1:40" x14ac:dyDescent="0.25">
      <c r="A3721" t="str">
        <f>"20190312150731075"</f>
        <v>20190312150731075</v>
      </c>
      <c r="B3721" t="str">
        <f>"1552374451063691"</f>
        <v>1552374451063691</v>
      </c>
      <c r="C3721" t="s">
        <v>40</v>
      </c>
      <c r="D3721">
        <v>4.3075659999999996</v>
      </c>
      <c r="E3721">
        <v>0.51315279999999996</v>
      </c>
      <c r="F3721" t="s">
        <v>48</v>
      </c>
      <c r="G3721">
        <v>0</v>
      </c>
      <c r="H3721">
        <v>0</v>
      </c>
      <c r="I3721">
        <v>0</v>
      </c>
      <c r="J3721">
        <v>-401.3252</v>
      </c>
      <c r="K3721">
        <v>1.110161</v>
      </c>
      <c r="L3721">
        <v>284.4443</v>
      </c>
      <c r="M3721">
        <v>-0.99947350000000001</v>
      </c>
      <c r="N3721">
        <v>0</v>
      </c>
      <c r="O3721">
        <v>2.9726909999999999E-2</v>
      </c>
      <c r="P3721">
        <v>-0.99975630000000004</v>
      </c>
      <c r="Q3721">
        <v>2.144772E-2</v>
      </c>
      <c r="R3721">
        <v>-5.2413999999999898E-3</v>
      </c>
      <c r="S3721">
        <v>-3.001099</v>
      </c>
      <c r="T3721">
        <v>5.9483050000000001E-3</v>
      </c>
      <c r="U3721">
        <v>8.3740229999999999E-2</v>
      </c>
      <c r="V3721">
        <v>-3.4959860000000002E-2</v>
      </c>
      <c r="W3721">
        <v>3.4439730000000002E-2</v>
      </c>
      <c r="X3721">
        <v>0.99879519999999999</v>
      </c>
      <c r="Y3721">
        <v>-1.8377879999999999E-3</v>
      </c>
      <c r="Z3721" s="1">
        <v>6.0721770000000003E-5</v>
      </c>
      <c r="AA3721">
        <v>0.99999830000000001</v>
      </c>
      <c r="AB3721">
        <v>33</v>
      </c>
      <c r="AC3721">
        <v>-3.001099</v>
      </c>
      <c r="AD3721">
        <v>5.9483050000000001E-3</v>
      </c>
      <c r="AE3721">
        <v>8.3740229999999999E-2</v>
      </c>
      <c r="AF3721">
        <v>-5.5177038060585997E-3</v>
      </c>
      <c r="AG3721">
        <v>5.9483050000000001E-3</v>
      </c>
      <c r="AH3721">
        <v>3.0022502268495299</v>
      </c>
      <c r="AI3721">
        <v>89.886481230918704</v>
      </c>
      <c r="AJ3721">
        <v>90.105301277661297</v>
      </c>
      <c r="AK3721">
        <v>3.0022611898377098</v>
      </c>
      <c r="AL3721">
        <v>88.026358674442704</v>
      </c>
      <c r="AM3721">
        <v>92.004650225762802</v>
      </c>
      <c r="AN3721">
        <v>1.0000000691783599</v>
      </c>
    </row>
    <row r="3722" spans="1:40" x14ac:dyDescent="0.25">
      <c r="A3722" t="str">
        <f>"20190312150731097"</f>
        <v>20190312150731097</v>
      </c>
      <c r="B3722" t="str">
        <f>"1552374451093946"</f>
        <v>1552374451093946</v>
      </c>
      <c r="C3722" t="s">
        <v>40</v>
      </c>
      <c r="D3722">
        <v>4.3101570000000002</v>
      </c>
      <c r="E3722">
        <v>0.5133643</v>
      </c>
      <c r="F3722" t="s">
        <v>48</v>
      </c>
      <c r="G3722">
        <v>0</v>
      </c>
      <c r="H3722">
        <v>0</v>
      </c>
      <c r="I3722">
        <v>0</v>
      </c>
      <c r="J3722">
        <v>-401.65730000000002</v>
      </c>
      <c r="K3722">
        <v>1.1101799999999999</v>
      </c>
      <c r="L3722">
        <v>284.45420000000001</v>
      </c>
      <c r="M3722">
        <v>-0.99947180000000002</v>
      </c>
      <c r="N3722">
        <v>0</v>
      </c>
      <c r="O3722">
        <v>2.9726760000000001E-2</v>
      </c>
      <c r="P3722">
        <v>-0.9997663</v>
      </c>
      <c r="Q3722">
        <v>2.102973E-2</v>
      </c>
      <c r="R3722">
        <v>-4.9946679999999999E-3</v>
      </c>
      <c r="S3722">
        <v>-3.0010379999999999</v>
      </c>
      <c r="T3722">
        <v>6.6081289999999999E-3</v>
      </c>
      <c r="U3722">
        <v>8.69751E-2</v>
      </c>
      <c r="V3722">
        <v>-3.4713510000000003E-2</v>
      </c>
      <c r="W3722">
        <v>3.4141409999999997E-2</v>
      </c>
      <c r="X3722">
        <v>0.99881399999999998</v>
      </c>
      <c r="Y3722">
        <v>-7.6006800000000003E-4</v>
      </c>
      <c r="Z3722" s="1">
        <v>6.6270970000000001E-5</v>
      </c>
      <c r="AA3722">
        <v>0.99999970000000005</v>
      </c>
      <c r="AB3722">
        <v>33</v>
      </c>
      <c r="AC3722">
        <v>-3.0010379999999999</v>
      </c>
      <c r="AD3722">
        <v>6.6081289999999999E-3</v>
      </c>
      <c r="AE3722">
        <v>8.69751E-2</v>
      </c>
      <c r="AF3722">
        <v>-2.28216234707713E-3</v>
      </c>
      <c r="AG3722">
        <v>6.6081289999999999E-3</v>
      </c>
      <c r="AH3722">
        <v>3.0022826654224102</v>
      </c>
      <c r="AI3722">
        <v>89.873890228344095</v>
      </c>
      <c r="AJ3722">
        <v>90.043552942889804</v>
      </c>
      <c r="AK3722">
        <v>3.0022908051569099</v>
      </c>
      <c r="AL3722">
        <v>88.043461141519998</v>
      </c>
      <c r="AM3722">
        <v>91.990498118981904</v>
      </c>
      <c r="AN3722">
        <v>1.0000000351246501</v>
      </c>
    </row>
    <row r="3723" spans="1:40" x14ac:dyDescent="0.25">
      <c r="A3723" t="str">
        <f>"20190312150731121"</f>
        <v>20190312150731121</v>
      </c>
      <c r="B3723" t="str">
        <f>"1552374451113470"</f>
        <v>1552374451113470</v>
      </c>
      <c r="C3723" t="s">
        <v>40</v>
      </c>
      <c r="D3723">
        <v>4.3098130000000001</v>
      </c>
      <c r="E3723">
        <v>0.51365269999999996</v>
      </c>
      <c r="F3723" t="s">
        <v>48</v>
      </c>
      <c r="G3723">
        <v>0</v>
      </c>
      <c r="H3723">
        <v>0</v>
      </c>
      <c r="I3723">
        <v>0</v>
      </c>
      <c r="J3723">
        <v>-402.0009</v>
      </c>
      <c r="K3723">
        <v>1.1101939999999999</v>
      </c>
      <c r="L3723">
        <v>284.46440000000001</v>
      </c>
      <c r="M3723">
        <v>-0.99947039999999998</v>
      </c>
      <c r="N3723">
        <v>0</v>
      </c>
      <c r="O3723">
        <v>2.9726220000000001E-2</v>
      </c>
      <c r="P3723">
        <v>-0.99977070000000001</v>
      </c>
      <c r="Q3723">
        <v>2.0912650000000001E-2</v>
      </c>
      <c r="R3723">
        <v>-4.6376560000000004E-3</v>
      </c>
      <c r="S3723">
        <v>-3.001007</v>
      </c>
      <c r="T3723">
        <v>6.1602590000000004E-3</v>
      </c>
      <c r="U3723">
        <v>8.9355470000000006E-2</v>
      </c>
      <c r="V3723">
        <v>-3.4356299999999999E-2</v>
      </c>
      <c r="W3723">
        <v>3.4148070000000003E-2</v>
      </c>
      <c r="X3723">
        <v>0.99882610000000005</v>
      </c>
      <c r="Y3723" s="1">
        <v>3.3219500000000003E-5</v>
      </c>
      <c r="Z3723" s="1">
        <v>6.0964120000000003E-5</v>
      </c>
      <c r="AA3723">
        <v>1</v>
      </c>
      <c r="AB3723">
        <v>33</v>
      </c>
      <c r="AC3723">
        <v>-3.001007</v>
      </c>
      <c r="AD3723">
        <v>6.1602590000000004E-3</v>
      </c>
      <c r="AE3723">
        <v>8.9355470000000006E-2</v>
      </c>
      <c r="AF3723" s="1">
        <v>9.9561345943410804E-5</v>
      </c>
      <c r="AG3723">
        <v>6.1602590000000004E-3</v>
      </c>
      <c r="AH3723">
        <v>3.00232435074108</v>
      </c>
      <c r="AI3723">
        <v>89.882438969057105</v>
      </c>
      <c r="AJ3723">
        <v>89.998099990455103</v>
      </c>
      <c r="AK3723">
        <v>3.0023306722871501</v>
      </c>
      <c r="AL3723">
        <v>88.043079283809604</v>
      </c>
      <c r="AM3723">
        <v>91.970007812488802</v>
      </c>
      <c r="AN3723">
        <v>1.0000000120378101</v>
      </c>
    </row>
    <row r="3724" spans="1:40" x14ac:dyDescent="0.25">
      <c r="A3724" t="str">
        <f>"20190312150731142"</f>
        <v>20190312150731142</v>
      </c>
      <c r="B3724" t="str">
        <f>"1552374451133966"</f>
        <v>1552374451133966</v>
      </c>
      <c r="C3724" t="s">
        <v>40</v>
      </c>
      <c r="D3724">
        <v>4.3014910000000004</v>
      </c>
      <c r="E3724">
        <v>0.5139049</v>
      </c>
      <c r="F3724" t="s">
        <v>48</v>
      </c>
      <c r="G3724">
        <v>0</v>
      </c>
      <c r="H3724">
        <v>0</v>
      </c>
      <c r="I3724">
        <v>0</v>
      </c>
      <c r="J3724">
        <v>-402.32010000000002</v>
      </c>
      <c r="K3724">
        <v>1.110209</v>
      </c>
      <c r="L3724">
        <v>284.47390000000001</v>
      </c>
      <c r="M3724">
        <v>-0.99946889999999999</v>
      </c>
      <c r="N3724">
        <v>0</v>
      </c>
      <c r="O3724">
        <v>2.9726180000000001E-2</v>
      </c>
      <c r="P3724">
        <v>-0.99977740000000004</v>
      </c>
      <c r="Q3724">
        <v>2.057587E-2</v>
      </c>
      <c r="R3724">
        <v>-4.6806759999999999E-3</v>
      </c>
      <c r="S3724">
        <v>-3.0009769999999998</v>
      </c>
      <c r="T3724">
        <v>7.2895290000000003E-3</v>
      </c>
      <c r="U3724">
        <v>9.2803960000000005E-2</v>
      </c>
      <c r="V3724">
        <v>-3.4399430000000002E-2</v>
      </c>
      <c r="W3724">
        <v>3.39222E-2</v>
      </c>
      <c r="X3724">
        <v>0.99883230000000001</v>
      </c>
      <c r="Y3724">
        <v>1.181603E-3</v>
      </c>
      <c r="Z3724" s="1">
        <v>7.0744509999999994E-5</v>
      </c>
      <c r="AA3724">
        <v>0.99999930000000004</v>
      </c>
      <c r="AB3724">
        <v>33</v>
      </c>
      <c r="AC3724">
        <v>-3.0009769999999998</v>
      </c>
      <c r="AD3724">
        <v>7.2895290000000003E-3</v>
      </c>
      <c r="AE3724">
        <v>9.2803960000000005E-2</v>
      </c>
      <c r="AF3724">
        <v>3.5473846442824401E-3</v>
      </c>
      <c r="AG3724">
        <v>7.2895290000000003E-3</v>
      </c>
      <c r="AH3724">
        <v>3.0023918252047701</v>
      </c>
      <c r="AI3724">
        <v>89.860891529663107</v>
      </c>
      <c r="AJ3724">
        <v>89.932303947758399</v>
      </c>
      <c r="AK3724">
        <v>3.0024027699872802</v>
      </c>
      <c r="AL3724">
        <v>88.056028160065196</v>
      </c>
      <c r="AM3724">
        <v>91.972466722416499</v>
      </c>
      <c r="AN3724">
        <v>0.99999999998022704</v>
      </c>
    </row>
    <row r="3725" spans="1:40" x14ac:dyDescent="0.25">
      <c r="A3725" t="str">
        <f>"20190312150731165"</f>
        <v>20190312150731165</v>
      </c>
      <c r="B3725" t="str">
        <f>"1552374451153483"</f>
        <v>1552374451153483</v>
      </c>
      <c r="C3725" t="s">
        <v>40</v>
      </c>
      <c r="D3725">
        <v>4.4255309999999897</v>
      </c>
      <c r="E3725">
        <v>0.51397910000000002</v>
      </c>
      <c r="F3725" t="s">
        <v>48</v>
      </c>
      <c r="G3725">
        <v>0</v>
      </c>
      <c r="H3725">
        <v>0</v>
      </c>
      <c r="I3725">
        <v>0</v>
      </c>
      <c r="J3725">
        <v>-402.6481</v>
      </c>
      <c r="K3725">
        <v>1.1102160000000001</v>
      </c>
      <c r="L3725">
        <v>284.48360000000002</v>
      </c>
      <c r="M3725">
        <v>-0.99946740000000001</v>
      </c>
      <c r="N3725">
        <v>0</v>
      </c>
      <c r="O3725">
        <v>2.9725720000000001E-2</v>
      </c>
      <c r="P3725">
        <v>-0.99977369999999999</v>
      </c>
      <c r="Q3725">
        <v>2.0792649999999999E-2</v>
      </c>
      <c r="R3725">
        <v>-4.5263170000000002E-3</v>
      </c>
      <c r="S3725">
        <v>-3.0008849999999998</v>
      </c>
      <c r="T3725">
        <v>8.3709960000000003E-3</v>
      </c>
      <c r="U3725">
        <v>9.4757079999999994E-2</v>
      </c>
      <c r="V3725">
        <v>-3.4244740000000003E-2</v>
      </c>
      <c r="W3725">
        <v>3.4248639999999997E-2</v>
      </c>
      <c r="X3725">
        <v>0.99882649999999995</v>
      </c>
      <c r="Y3725">
        <v>1.833199E-3</v>
      </c>
      <c r="Z3725" s="1">
        <v>8.0331759999999999E-5</v>
      </c>
      <c r="AA3725">
        <v>0.99999830000000001</v>
      </c>
      <c r="AB3725">
        <v>33</v>
      </c>
      <c r="AC3725">
        <v>-3.0008849999999998</v>
      </c>
      <c r="AD3725">
        <v>8.3709960000000003E-3</v>
      </c>
      <c r="AE3725">
        <v>9.4757079999999994E-2</v>
      </c>
      <c r="AF3725">
        <v>5.5036012563302499E-3</v>
      </c>
      <c r="AG3725">
        <v>8.3709960000000003E-3</v>
      </c>
      <c r="AH3725">
        <v>3.0023522865071</v>
      </c>
      <c r="AI3725">
        <v>89.840251693766007</v>
      </c>
      <c r="AJ3725">
        <v>89.894971428792701</v>
      </c>
      <c r="AK3725">
        <v>3.0023690005552699</v>
      </c>
      <c r="AL3725">
        <v>88.037313698962507</v>
      </c>
      <c r="AM3725">
        <v>91.963615135200698</v>
      </c>
      <c r="AN3725">
        <v>1.00000002433088</v>
      </c>
    </row>
    <row r="3726" spans="1:40" x14ac:dyDescent="0.25">
      <c r="A3726" t="str">
        <f>"20190312150731187"</f>
        <v>20190312150731187</v>
      </c>
      <c r="B3726" t="str">
        <f>"1552374451183739"</f>
        <v>1552374451183739</v>
      </c>
      <c r="C3726" t="s">
        <v>40</v>
      </c>
      <c r="D3726">
        <v>4.3735660000000003</v>
      </c>
      <c r="E3726">
        <v>0.51360269999999997</v>
      </c>
      <c r="F3726" t="s">
        <v>48</v>
      </c>
      <c r="G3726">
        <v>0</v>
      </c>
      <c r="H3726">
        <v>0</v>
      </c>
      <c r="I3726">
        <v>0</v>
      </c>
      <c r="J3726">
        <v>-402.98</v>
      </c>
      <c r="K3726">
        <v>1.1102299999999901</v>
      </c>
      <c r="L3726">
        <v>284.49349999999998</v>
      </c>
      <c r="M3726">
        <v>-0.99946599999999997</v>
      </c>
      <c r="N3726">
        <v>0</v>
      </c>
      <c r="O3726">
        <v>2.9725660000000001E-2</v>
      </c>
      <c r="P3726">
        <v>-0.99977930000000004</v>
      </c>
      <c r="Q3726">
        <v>2.0453349999999999E-2</v>
      </c>
      <c r="R3726">
        <v>-4.8237519999999997E-3</v>
      </c>
      <c r="S3726">
        <v>-3.0009769999999998</v>
      </c>
      <c r="T3726">
        <v>7.6621769999999896E-3</v>
      </c>
      <c r="U3726">
        <v>9.5733639999999995E-2</v>
      </c>
      <c r="V3726">
        <v>-3.4542209999999997E-2</v>
      </c>
      <c r="W3726">
        <v>3.401274E-2</v>
      </c>
      <c r="X3726">
        <v>0.9988243</v>
      </c>
      <c r="Y3726">
        <v>2.1573289999999999E-3</v>
      </c>
      <c r="Z3726" s="1">
        <v>7.3113200000000003E-5</v>
      </c>
      <c r="AA3726">
        <v>0.99999769999999999</v>
      </c>
      <c r="AB3726">
        <v>33</v>
      </c>
      <c r="AC3726">
        <v>-3.0009769999999998</v>
      </c>
      <c r="AD3726">
        <v>7.6621769999999896E-3</v>
      </c>
      <c r="AE3726">
        <v>9.5733639999999995E-2</v>
      </c>
      <c r="AF3726">
        <v>6.4770503293939503E-3</v>
      </c>
      <c r="AG3726">
        <v>7.6621769999999896E-3</v>
      </c>
      <c r="AH3726">
        <v>3.0024770632612499</v>
      </c>
      <c r="AI3726">
        <v>89.853784585117396</v>
      </c>
      <c r="AJ3726">
        <v>89.876399697955904</v>
      </c>
      <c r="AK3726">
        <v>3.0024938262296601</v>
      </c>
      <c r="AL3726">
        <v>88.0508376176561</v>
      </c>
      <c r="AM3726">
        <v>91.980663085624698</v>
      </c>
      <c r="AN3726">
        <v>1.0000000065122401</v>
      </c>
    </row>
    <row r="3727" spans="1:40" x14ac:dyDescent="0.25">
      <c r="A3727" t="str">
        <f>"20190312150731210"</f>
        <v>20190312150731210</v>
      </c>
      <c r="B3727" t="str">
        <f>"1552374451203262"</f>
        <v>1552374451203262</v>
      </c>
      <c r="C3727" t="s">
        <v>40</v>
      </c>
      <c r="D3727">
        <v>4.3247179999999998</v>
      </c>
      <c r="E3727">
        <v>0.5136714</v>
      </c>
      <c r="F3727" t="s">
        <v>48</v>
      </c>
      <c r="G3727">
        <v>0</v>
      </c>
      <c r="H3727">
        <v>0</v>
      </c>
      <c r="I3727">
        <v>0</v>
      </c>
      <c r="J3727">
        <v>-403.31790000000001</v>
      </c>
      <c r="K3727">
        <v>1.1102430000000001</v>
      </c>
      <c r="L3727">
        <v>284.50349999999997</v>
      </c>
      <c r="M3727">
        <v>-0.99946460000000004</v>
      </c>
      <c r="N3727">
        <v>0</v>
      </c>
      <c r="O3727">
        <v>2.9725629999999999E-2</v>
      </c>
      <c r="P3727">
        <v>-0.99977720000000003</v>
      </c>
      <c r="Q3727">
        <v>2.0382879999999999E-2</v>
      </c>
      <c r="R3727">
        <v>-5.4921950000000001E-3</v>
      </c>
      <c r="S3727">
        <v>-3.001007</v>
      </c>
      <c r="T3727">
        <v>3.1301979999999998E-3</v>
      </c>
      <c r="U3727">
        <v>9.1735839999999999E-2</v>
      </c>
      <c r="V3727">
        <v>-3.5210390000000001E-2</v>
      </c>
      <c r="W3727">
        <v>3.4039430000000002E-2</v>
      </c>
      <c r="X3727">
        <v>0.99880000000000002</v>
      </c>
      <c r="Y3727">
        <v>0</v>
      </c>
      <c r="Z3727">
        <v>0</v>
      </c>
      <c r="AA3727">
        <v>1</v>
      </c>
      <c r="AB3727">
        <v>33</v>
      </c>
      <c r="AC3727">
        <v>-3.001007</v>
      </c>
      <c r="AD3727">
        <v>3.1301979999999998E-3</v>
      </c>
      <c r="AE3727">
        <v>9.1735839999999999E-2</v>
      </c>
      <c r="AF3727">
        <v>2.48013000567504E-3</v>
      </c>
      <c r="AG3727">
        <v>3.1301979999999998E-3</v>
      </c>
      <c r="AH3727">
        <v>3.0024044915862902</v>
      </c>
      <c r="AI3727">
        <v>89.9402655409109</v>
      </c>
      <c r="AJ3727">
        <v>89.952670950884198</v>
      </c>
      <c r="AK3727">
        <v>3.0024071476536802</v>
      </c>
      <c r="AL3727">
        <v>88.049307391507895</v>
      </c>
      <c r="AM3727">
        <v>92.018994445598395</v>
      </c>
      <c r="AN3727">
        <v>0.99999994717933705</v>
      </c>
    </row>
    <row r="3728" spans="1:40" x14ac:dyDescent="0.25">
      <c r="A3728" t="str">
        <f>"20190312150731243"</f>
        <v>20190312150731243</v>
      </c>
      <c r="B3728" t="str">
        <f>"1552374451233515"</f>
        <v>1552374451233515</v>
      </c>
      <c r="C3728" t="s">
        <v>40</v>
      </c>
      <c r="D3728">
        <v>4.3541619999999996</v>
      </c>
      <c r="E3728">
        <v>0.51350340000000005</v>
      </c>
      <c r="F3728" t="s">
        <v>48</v>
      </c>
      <c r="G3728">
        <v>0</v>
      </c>
      <c r="H3728">
        <v>0</v>
      </c>
      <c r="I3728">
        <v>0</v>
      </c>
      <c r="J3728">
        <v>-403.80900000000003</v>
      </c>
      <c r="K3728">
        <v>1.1102609999999999</v>
      </c>
      <c r="L3728">
        <v>284.51819999999998</v>
      </c>
      <c r="M3728">
        <v>-0.99946299999999999</v>
      </c>
      <c r="N3728">
        <v>0</v>
      </c>
      <c r="O3728">
        <v>2.972354E-2</v>
      </c>
      <c r="P3728">
        <v>-0.99977760000000004</v>
      </c>
      <c r="Q3728">
        <v>2.0144889999999999E-2</v>
      </c>
      <c r="R3728">
        <v>-6.2761500000000003E-3</v>
      </c>
      <c r="S3728">
        <v>-3.001099</v>
      </c>
      <c r="T3728">
        <v>1.7479660000000001E-3</v>
      </c>
      <c r="U3728">
        <v>9.0301510000000001E-2</v>
      </c>
      <c r="V3728">
        <v>-3.5992059999999999E-2</v>
      </c>
      <c r="W3728">
        <v>3.3935060000000003E-2</v>
      </c>
      <c r="X3728">
        <v>0.99877570000000004</v>
      </c>
      <c r="Y3728">
        <v>0</v>
      </c>
      <c r="Z3728">
        <v>0</v>
      </c>
      <c r="AA3728">
        <v>1</v>
      </c>
      <c r="AB3728">
        <v>33</v>
      </c>
      <c r="AC3728">
        <v>-3.001099</v>
      </c>
      <c r="AD3728">
        <v>1.7479660000000001E-3</v>
      </c>
      <c r="AE3728">
        <v>9.0301510000000001E-2</v>
      </c>
      <c r="AF3728">
        <v>1.04983141856798E-3</v>
      </c>
      <c r="AG3728">
        <v>1.7479660000000001E-3</v>
      </c>
      <c r="AH3728">
        <v>3.00245605423228</v>
      </c>
      <c r="AI3728">
        <v>89.966643622658793</v>
      </c>
      <c r="AJ3728">
        <v>89.979966099104701</v>
      </c>
      <c r="AK3728">
        <v>3.00245674658724</v>
      </c>
      <c r="AL3728">
        <v>88.055290829807305</v>
      </c>
      <c r="AM3728">
        <v>92.063827914447899</v>
      </c>
      <c r="AN3728">
        <v>0.99999995779536699</v>
      </c>
    </row>
    <row r="3729" spans="1:40" x14ac:dyDescent="0.25">
      <c r="A3729" t="str">
        <f>"20190312150731265"</f>
        <v>20190312150731265</v>
      </c>
      <c r="B3729" t="str">
        <f>"1552374451254012"</f>
        <v>1552374451254012</v>
      </c>
      <c r="C3729" t="s">
        <v>40</v>
      </c>
      <c r="D3729">
        <v>4.3558820000000003</v>
      </c>
      <c r="E3729">
        <v>0.488674</v>
      </c>
      <c r="F3729" t="s">
        <v>48</v>
      </c>
      <c r="G3729">
        <v>0</v>
      </c>
      <c r="H3729">
        <v>0</v>
      </c>
      <c r="I3729">
        <v>0</v>
      </c>
      <c r="J3729">
        <v>-404.1336</v>
      </c>
      <c r="K3729">
        <v>1.1102719999999999</v>
      </c>
      <c r="L3729">
        <v>284.52780000000001</v>
      </c>
      <c r="M3729">
        <v>-0.99946210000000002</v>
      </c>
      <c r="N3729">
        <v>0</v>
      </c>
      <c r="O3729">
        <v>2.9714730000000002E-2</v>
      </c>
      <c r="P3729">
        <v>-0.99977050000000001</v>
      </c>
      <c r="Q3729">
        <v>2.042894E-2</v>
      </c>
      <c r="R3729">
        <v>-6.4650740000000003E-3</v>
      </c>
      <c r="S3729">
        <v>-3.0011899999999998</v>
      </c>
      <c r="T3729">
        <v>1.1982920000000001E-3</v>
      </c>
      <c r="U3729">
        <v>8.6425779999999994E-2</v>
      </c>
      <c r="V3729">
        <v>-3.6172099999999999E-2</v>
      </c>
      <c r="W3729">
        <v>3.43001E-2</v>
      </c>
      <c r="X3729">
        <v>0.9987568</v>
      </c>
      <c r="Y3729">
        <v>0</v>
      </c>
      <c r="Z3729">
        <v>0</v>
      </c>
      <c r="AA3729">
        <v>1</v>
      </c>
      <c r="AB3729">
        <v>33</v>
      </c>
      <c r="AC3729">
        <v>-3.0011899999999998</v>
      </c>
      <c r="AD3729">
        <v>1.1982920000000001E-3</v>
      </c>
      <c r="AE3729">
        <v>8.6425779999999994E-2</v>
      </c>
      <c r="AF3729">
        <v>-2.80052813722245E-3</v>
      </c>
      <c r="AG3729">
        <v>1.1982920000000001E-3</v>
      </c>
      <c r="AH3729">
        <v>3.0024323667293502</v>
      </c>
      <c r="AI3729">
        <v>89.977132860185904</v>
      </c>
      <c r="AJ3729">
        <v>90.0534428012148</v>
      </c>
      <c r="AK3729">
        <v>3.0024339119530201</v>
      </c>
      <c r="AL3729">
        <v>88.034363539196704</v>
      </c>
      <c r="AM3729">
        <v>92.074181845318805</v>
      </c>
      <c r="AN3729">
        <v>1.0000000316123201</v>
      </c>
    </row>
    <row r="3730" spans="1:40" x14ac:dyDescent="0.25">
      <c r="A3730" t="str">
        <f>"20190312150731288"</f>
        <v>20190312150731288</v>
      </c>
      <c r="B3730" t="str">
        <f>"1552374451284267"</f>
        <v>1552374451284267</v>
      </c>
      <c r="C3730" t="s">
        <v>40</v>
      </c>
      <c r="D3730">
        <v>4.3637600000000001</v>
      </c>
      <c r="E3730">
        <v>0.48896440000000002</v>
      </c>
      <c r="F3730" t="s">
        <v>67</v>
      </c>
      <c r="G3730">
        <v>-449.08170000000001</v>
      </c>
      <c r="H3730" s="1">
        <v>3.3755410000000002E-6</v>
      </c>
      <c r="I3730">
        <v>282.798</v>
      </c>
      <c r="J3730">
        <v>-404.46210000000002</v>
      </c>
      <c r="K3730">
        <v>1.110293</v>
      </c>
      <c r="L3730">
        <v>284.53750000000002</v>
      </c>
      <c r="M3730">
        <v>-0.99946179999999996</v>
      </c>
      <c r="N3730">
        <v>0</v>
      </c>
      <c r="O3730">
        <v>2.9689839999999999E-2</v>
      </c>
      <c r="P3730">
        <v>-0.99976310000000002</v>
      </c>
      <c r="Q3730">
        <v>2.0809459999999998E-2</v>
      </c>
      <c r="R3730">
        <v>-6.3725049999999997E-3</v>
      </c>
      <c r="S3730">
        <v>-3.001465</v>
      </c>
      <c r="T3730">
        <v>-7.4139479999999994E-2</v>
      </c>
      <c r="U3730">
        <v>-0.115509</v>
      </c>
      <c r="V3730">
        <v>-3.6055339999999998E-2</v>
      </c>
      <c r="W3730">
        <v>3.4753300000000001E-2</v>
      </c>
      <c r="X3730">
        <v>0.99874529999999995</v>
      </c>
      <c r="Y3730">
        <v>-6.8079780000000006E-2</v>
      </c>
      <c r="Z3730">
        <v>-1.5734670000000001E-3</v>
      </c>
      <c r="AA3730">
        <v>0.99767859999999997</v>
      </c>
      <c r="AB3730">
        <v>33</v>
      </c>
      <c r="AC3730">
        <v>-44.619599999999899</v>
      </c>
      <c r="AD3730">
        <v>-1.1102896244589999</v>
      </c>
      <c r="AE3730">
        <v>-1.73950000000002</v>
      </c>
      <c r="AF3730">
        <v>-3.0617178298535701</v>
      </c>
      <c r="AG3730">
        <v>-1.1102896244589999</v>
      </c>
      <c r="AH3730">
        <v>44.520750743601397</v>
      </c>
      <c r="AI3730">
        <v>91.425221266092805</v>
      </c>
      <c r="AJ3730">
        <v>93.934069843958795</v>
      </c>
      <c r="AK3730">
        <v>44.639714446820904</v>
      </c>
      <c r="AL3730">
        <v>88.008381492324602</v>
      </c>
      <c r="AM3730">
        <v>92.067516194402799</v>
      </c>
      <c r="AN3730">
        <v>0.999999976837747</v>
      </c>
    </row>
    <row r="3731" spans="1:40" x14ac:dyDescent="0.25">
      <c r="A3731" t="str">
        <f>"20190312150731310"</f>
        <v>20190312150731310</v>
      </c>
      <c r="B3731" t="str">
        <f>"1552374451303787"</f>
        <v>1552374451303787</v>
      </c>
      <c r="C3731" t="s">
        <v>40</v>
      </c>
      <c r="D3731">
        <v>4.3108089999999999</v>
      </c>
      <c r="E3731">
        <v>0.48891269999999998</v>
      </c>
      <c r="F3731" t="s">
        <v>67</v>
      </c>
      <c r="G3731">
        <v>-451.4248</v>
      </c>
      <c r="H3731" s="1">
        <v>-6.9802659999999996E-7</v>
      </c>
      <c r="I3731">
        <v>282.77319999999997</v>
      </c>
      <c r="J3731">
        <v>-404.79939999999999</v>
      </c>
      <c r="K3731">
        <v>1.110317</v>
      </c>
      <c r="L3731">
        <v>284.54750000000001</v>
      </c>
      <c r="M3731">
        <v>-0.99946210000000002</v>
      </c>
      <c r="N3731">
        <v>0</v>
      </c>
      <c r="O3731">
        <v>2.9647099999999999E-2</v>
      </c>
      <c r="P3731">
        <v>-0.99976390000000004</v>
      </c>
      <c r="Q3731">
        <v>2.0807519999999999E-2</v>
      </c>
      <c r="R3731">
        <v>-6.2704689999999999E-3</v>
      </c>
      <c r="S3731">
        <v>-3.001465</v>
      </c>
      <c r="T3731">
        <v>-7.0960759999999998E-2</v>
      </c>
      <c r="U3731">
        <v>-0.1127625</v>
      </c>
      <c r="V3731">
        <v>-3.5911909999999998E-2</v>
      </c>
      <c r="W3731">
        <v>3.481716E-2</v>
      </c>
      <c r="X3731">
        <v>0.99874819999999997</v>
      </c>
      <c r="Y3731">
        <v>-6.7128259999999995E-2</v>
      </c>
      <c r="Z3731">
        <v>-1.4937970000000001E-3</v>
      </c>
      <c r="AA3731">
        <v>0.99774320000000005</v>
      </c>
      <c r="AB3731">
        <v>33</v>
      </c>
      <c r="AC3731">
        <v>-46.625399999999999</v>
      </c>
      <c r="AD3731">
        <v>-1.1103176980266001</v>
      </c>
      <c r="AE3731">
        <v>-1.77430000000003</v>
      </c>
      <c r="AF3731">
        <v>-3.1541775786113502</v>
      </c>
      <c r="AG3731">
        <v>-1.1103176980266001</v>
      </c>
      <c r="AH3731">
        <v>46.525946646799099</v>
      </c>
      <c r="AI3731">
        <v>91.363945137172806</v>
      </c>
      <c r="AJ3731">
        <v>93.878372634062401</v>
      </c>
      <c r="AK3731">
        <v>46.645957520119097</v>
      </c>
      <c r="AL3731">
        <v>88.004720281494201</v>
      </c>
      <c r="AM3731">
        <v>92.0592926295257</v>
      </c>
      <c r="AN3731">
        <v>0.99999993345677396</v>
      </c>
    </row>
    <row r="3732" spans="1:40" x14ac:dyDescent="0.25">
      <c r="A3732" t="str">
        <f>"20190312150731332"</f>
        <v>20190312150731332</v>
      </c>
      <c r="B3732" t="str">
        <f>"1552374451324283"</f>
        <v>1552374451324283</v>
      </c>
      <c r="C3732" t="s">
        <v>40</v>
      </c>
      <c r="D3732">
        <v>4.3464</v>
      </c>
      <c r="E3732">
        <v>0.48891240000000002</v>
      </c>
      <c r="F3732" t="s">
        <v>67</v>
      </c>
      <c r="G3732">
        <v>-449.00279999999998</v>
      </c>
      <c r="H3732" s="1">
        <v>3.3298619999999999E-6</v>
      </c>
      <c r="I3732">
        <v>282.88189999999997</v>
      </c>
      <c r="J3732">
        <v>-405.11110000000002</v>
      </c>
      <c r="K3732">
        <v>1.1103379999999901</v>
      </c>
      <c r="L3732">
        <v>284.55669999999998</v>
      </c>
      <c r="M3732">
        <v>-0.99946310000000005</v>
      </c>
      <c r="N3732">
        <v>0</v>
      </c>
      <c r="O3732">
        <v>2.958562E-2</v>
      </c>
      <c r="P3732">
        <v>-0.99976659999999995</v>
      </c>
      <c r="Q3732">
        <v>2.0653520000000002E-2</v>
      </c>
      <c r="R3732">
        <v>-6.3632019999999897E-3</v>
      </c>
      <c r="S3732">
        <v>-3.0015559999999999</v>
      </c>
      <c r="T3732">
        <v>-7.5393920000000003E-2</v>
      </c>
      <c r="U3732">
        <v>-0.11309809999999999</v>
      </c>
      <c r="V3732">
        <v>-3.5944410000000003E-2</v>
      </c>
      <c r="W3732">
        <v>3.4716610000000002E-2</v>
      </c>
      <c r="X3732">
        <v>0.99875060000000004</v>
      </c>
      <c r="Y3732">
        <v>-6.7173720000000006E-2</v>
      </c>
      <c r="Z3732">
        <v>-1.586067E-3</v>
      </c>
      <c r="AA3732">
        <v>0.99773999999999996</v>
      </c>
      <c r="AB3732">
        <v>33</v>
      </c>
      <c r="AC3732">
        <v>-43.891699999999901</v>
      </c>
      <c r="AD3732">
        <v>-1.1103346701379999</v>
      </c>
      <c r="AE3732">
        <v>-1.6748000000000001</v>
      </c>
      <c r="AF3732">
        <v>-2.97086015189551</v>
      </c>
      <c r="AG3732">
        <v>-1.1103346701379999</v>
      </c>
      <c r="AH3732">
        <v>43.794942049652697</v>
      </c>
      <c r="AI3732">
        <v>91.448982123477506</v>
      </c>
      <c r="AJ3732">
        <v>93.880753412982301</v>
      </c>
      <c r="AK3732">
        <v>43.909632226360799</v>
      </c>
      <c r="AL3732">
        <v>88.010484994530202</v>
      </c>
      <c r="AM3732">
        <v>92.061149717979504</v>
      </c>
      <c r="AN3732">
        <v>1.00000000231025</v>
      </c>
    </row>
    <row r="3733" spans="1:40" x14ac:dyDescent="0.25">
      <c r="A3733" t="str">
        <f>"20190312150731354"</f>
        <v>20190312150731354</v>
      </c>
      <c r="B3733" t="str">
        <f>"1552374451343803"</f>
        <v>1552374451343803</v>
      </c>
      <c r="C3733" t="s">
        <v>40</v>
      </c>
      <c r="D3733">
        <v>4.5286619999999997</v>
      </c>
      <c r="E3733">
        <v>0.4891471</v>
      </c>
      <c r="F3733" t="s">
        <v>67</v>
      </c>
      <c r="G3733">
        <v>-446.64080000000001</v>
      </c>
      <c r="H3733" s="1">
        <v>2.0683019999999998E-6</v>
      </c>
      <c r="I3733">
        <v>282.98809999999997</v>
      </c>
      <c r="J3733">
        <v>-405.43729999999999</v>
      </c>
      <c r="K3733">
        <v>1.110371</v>
      </c>
      <c r="L3733">
        <v>284.56630000000001</v>
      </c>
      <c r="M3733">
        <v>-0.99946520000000005</v>
      </c>
      <c r="N3733">
        <v>0</v>
      </c>
      <c r="O3733">
        <v>2.9491070000000001E-2</v>
      </c>
      <c r="P3733">
        <v>-0.99975789999999998</v>
      </c>
      <c r="Q3733">
        <v>2.0942599999999999E-2</v>
      </c>
      <c r="R3733">
        <v>-6.771844E-3</v>
      </c>
      <c r="S3733">
        <v>-3.0016479999999999</v>
      </c>
      <c r="T3733">
        <v>-8.0251929999999999E-2</v>
      </c>
      <c r="U3733">
        <v>-0.1133728</v>
      </c>
      <c r="V3733">
        <v>-3.6260210000000001E-2</v>
      </c>
      <c r="W3733">
        <v>3.5053529999999999E-2</v>
      </c>
      <c r="X3733">
        <v>0.99872740000000004</v>
      </c>
      <c r="Y3733">
        <v>-6.7165370000000002E-2</v>
      </c>
      <c r="Z3733">
        <v>-1.6855380000000001E-3</v>
      </c>
      <c r="AA3733">
        <v>0.99774039999999997</v>
      </c>
      <c r="AB3733">
        <v>33</v>
      </c>
      <c r="AC3733">
        <v>-41.203499999999998</v>
      </c>
      <c r="AD3733">
        <v>-1.1103689316979899</v>
      </c>
      <c r="AE3733">
        <v>-1.57820000000003</v>
      </c>
      <c r="AF3733">
        <v>-2.79074628255607</v>
      </c>
      <c r="AG3733">
        <v>-1.1103689316979899</v>
      </c>
      <c r="AH3733">
        <v>41.109216775826901</v>
      </c>
      <c r="AI3733">
        <v>91.543644198964998</v>
      </c>
      <c r="AJ3733">
        <v>93.883631012431806</v>
      </c>
      <c r="AK3733">
        <v>41.218792897172598</v>
      </c>
      <c r="AL3733">
        <v>87.991169111013093</v>
      </c>
      <c r="AM3733">
        <v>92.079290976399605</v>
      </c>
      <c r="AN3733">
        <v>0.999999986152732</v>
      </c>
    </row>
    <row r="3734" spans="1:40" x14ac:dyDescent="0.25">
      <c r="A3734" t="str">
        <f>"20190312150731366"</f>
        <v>20190312150731366</v>
      </c>
      <c r="B3734" t="str">
        <f>"1552374451353563"</f>
        <v>1552374451353563</v>
      </c>
      <c r="C3734" t="s">
        <v>40</v>
      </c>
      <c r="D3734">
        <v>4.3579410000000003</v>
      </c>
      <c r="E3734">
        <v>0.48929280000000003</v>
      </c>
      <c r="F3734" t="s">
        <v>67</v>
      </c>
      <c r="G3734">
        <v>-447.08789999999999</v>
      </c>
      <c r="H3734" s="1">
        <v>2.3056539999999998E-6</v>
      </c>
      <c r="I3734">
        <v>283.00069999999999</v>
      </c>
      <c r="J3734">
        <v>-405.6078</v>
      </c>
      <c r="K3734">
        <v>1.1103889999999901</v>
      </c>
      <c r="L3734">
        <v>284.57119999999998</v>
      </c>
      <c r="M3734">
        <v>-0.99946670000000004</v>
      </c>
      <c r="N3734">
        <v>0</v>
      </c>
      <c r="O3734">
        <v>2.9430709999999999E-2</v>
      </c>
      <c r="P3734">
        <v>-0.99975539999999996</v>
      </c>
      <c r="Q3734">
        <v>2.1020810000000001E-2</v>
      </c>
      <c r="R3734">
        <v>-6.8696749999999996E-3</v>
      </c>
      <c r="S3734">
        <v>-3.001617</v>
      </c>
      <c r="T3734">
        <v>-8.0020549999999996E-2</v>
      </c>
      <c r="U3734">
        <v>-0.11282349999999999</v>
      </c>
      <c r="V3734">
        <v>-3.6298660000000003E-2</v>
      </c>
      <c r="W3734">
        <v>3.5154560000000001E-2</v>
      </c>
      <c r="X3734">
        <v>0.99872249999999996</v>
      </c>
      <c r="Y3734">
        <v>-6.6923469999999999E-2</v>
      </c>
      <c r="Z3734">
        <v>-1.675871E-3</v>
      </c>
      <c r="AA3734">
        <v>0.99775670000000005</v>
      </c>
      <c r="AB3734">
        <v>33</v>
      </c>
      <c r="AC3734">
        <v>-41.480099999999901</v>
      </c>
      <c r="AD3734">
        <v>-1.1103866943459999</v>
      </c>
      <c r="AE3734">
        <v>-1.57049999999998</v>
      </c>
      <c r="AF3734">
        <v>-2.7887350303826901</v>
      </c>
      <c r="AG3734">
        <v>-1.1103866943459999</v>
      </c>
      <c r="AH3734">
        <v>41.386288190866701</v>
      </c>
      <c r="AI3734">
        <v>91.533391244038199</v>
      </c>
      <c r="AJ3734">
        <v>93.854937977742495</v>
      </c>
      <c r="AK3734">
        <v>41.494997914183998</v>
      </c>
      <c r="AL3734">
        <v>87.985377044647805</v>
      </c>
      <c r="AM3734">
        <v>92.081504102768506</v>
      </c>
      <c r="AN3734">
        <v>1.0000000339064099</v>
      </c>
    </row>
    <row r="3735" spans="1:40" x14ac:dyDescent="0.25">
      <c r="A3735" t="str">
        <f>"20190312150731377"</f>
        <v>20190312150731377</v>
      </c>
      <c r="B3735" t="str">
        <f>"1552374451374059"</f>
        <v>1552374451374059</v>
      </c>
      <c r="C3735" t="s">
        <v>40</v>
      </c>
      <c r="D3735">
        <v>4.3627260000000003</v>
      </c>
      <c r="E3735">
        <v>0.4895699</v>
      </c>
      <c r="F3735" t="s">
        <v>67</v>
      </c>
      <c r="G3735">
        <v>-447.83980000000003</v>
      </c>
      <c r="H3735" s="1">
        <v>2.705929E-6</v>
      </c>
      <c r="I3735">
        <v>282.99669999999998</v>
      </c>
      <c r="J3735">
        <v>-405.77719999999999</v>
      </c>
      <c r="K3735">
        <v>1.1104050000000001</v>
      </c>
      <c r="L3735">
        <v>284.57619999999997</v>
      </c>
      <c r="M3735">
        <v>-0.99946849999999998</v>
      </c>
      <c r="N3735">
        <v>0</v>
      </c>
      <c r="O3735">
        <v>2.9355920000000001E-2</v>
      </c>
      <c r="P3735">
        <v>-0.99974479999999999</v>
      </c>
      <c r="Q3735">
        <v>2.142237E-2</v>
      </c>
      <c r="R3735">
        <v>-7.1879049999999996E-3</v>
      </c>
      <c r="S3735">
        <v>-3.001617</v>
      </c>
      <c r="T3735">
        <v>-7.8920249999999997E-2</v>
      </c>
      <c r="U3735">
        <v>-0.11190799999999999</v>
      </c>
      <c r="V3735">
        <v>-3.6542890000000001E-2</v>
      </c>
      <c r="W3735">
        <v>3.5575339999999997E-2</v>
      </c>
      <c r="X3735">
        <v>0.99869870000000005</v>
      </c>
      <c r="Y3735">
        <v>-6.6545989999999999E-2</v>
      </c>
      <c r="Z3735">
        <v>-1.645919E-3</v>
      </c>
      <c r="AA3735">
        <v>0.99778199999999995</v>
      </c>
      <c r="AB3735">
        <v>33</v>
      </c>
      <c r="AC3735">
        <v>-42.062600000000003</v>
      </c>
      <c r="AD3735">
        <v>-1.1104022940710001</v>
      </c>
      <c r="AE3735">
        <v>-1.5794999999999899</v>
      </c>
      <c r="AF3735">
        <v>-2.81177278020039</v>
      </c>
      <c r="AG3735">
        <v>-1.1104022940710001</v>
      </c>
      <c r="AH3735">
        <v>41.968889169527102</v>
      </c>
      <c r="AI3735">
        <v>91.5121753708559</v>
      </c>
      <c r="AJ3735">
        <v>93.832894428116902</v>
      </c>
      <c r="AK3735">
        <v>42.077627280375502</v>
      </c>
      <c r="AL3735">
        <v>87.961253050216698</v>
      </c>
      <c r="AM3735">
        <v>92.095546635213907</v>
      </c>
      <c r="AN3735">
        <v>1.00000004050367</v>
      </c>
    </row>
    <row r="3736" spans="1:40" x14ac:dyDescent="0.25">
      <c r="A3736" t="str">
        <f>"20190312150731388"</f>
        <v>20190312150731388</v>
      </c>
      <c r="B3736" t="str">
        <f>"1552374451383819"</f>
        <v>1552374451383819</v>
      </c>
      <c r="C3736" t="s">
        <v>40</v>
      </c>
      <c r="D3736">
        <v>4.3774870000000004</v>
      </c>
      <c r="E3736">
        <v>0.48965609999999998</v>
      </c>
      <c r="F3736" t="s">
        <v>67</v>
      </c>
      <c r="G3736">
        <v>-449.43900000000002</v>
      </c>
      <c r="H3736" s="1">
        <v>3.55821999999999E-6</v>
      </c>
      <c r="I3736">
        <v>282.96839999999997</v>
      </c>
      <c r="J3736">
        <v>-405.93610000000001</v>
      </c>
      <c r="K3736">
        <v>1.1104210000000001</v>
      </c>
      <c r="L3736">
        <v>284.58080000000001</v>
      </c>
      <c r="M3736">
        <v>-0.99947070000000005</v>
      </c>
      <c r="N3736">
        <v>0</v>
      </c>
      <c r="O3736">
        <v>2.9279119999999999E-2</v>
      </c>
      <c r="P3736">
        <v>-0.99973730000000005</v>
      </c>
      <c r="Q3736">
        <v>2.1684910000000002E-2</v>
      </c>
      <c r="R3736">
        <v>-7.4599189999999998E-3</v>
      </c>
      <c r="S3736">
        <v>-3.0016479999999999</v>
      </c>
      <c r="T3736">
        <v>-7.6337580000000002E-2</v>
      </c>
      <c r="U3736">
        <v>-0.1105347</v>
      </c>
      <c r="V3736">
        <v>-3.6738720000000002E-2</v>
      </c>
      <c r="W3736">
        <v>3.5856020000000002E-2</v>
      </c>
      <c r="X3736">
        <v>0.99868140000000005</v>
      </c>
      <c r="Y3736">
        <v>-6.6015400000000002E-2</v>
      </c>
      <c r="Z3736">
        <v>-1.583374E-3</v>
      </c>
      <c r="AA3736">
        <v>0.99781730000000002</v>
      </c>
      <c r="AB3736">
        <v>33</v>
      </c>
      <c r="AC3736">
        <v>-43.502899999999997</v>
      </c>
      <c r="AD3736">
        <v>-1.1104174417799999</v>
      </c>
      <c r="AE3736">
        <v>-1.61240000000003</v>
      </c>
      <c r="AF3736">
        <v>-2.8836870377092501</v>
      </c>
      <c r="AG3736">
        <v>-1.1104174417799999</v>
      </c>
      <c r="AH3736">
        <v>43.408787614117401</v>
      </c>
      <c r="AI3736">
        <v>91.462112490765406</v>
      </c>
      <c r="AJ3736">
        <v>93.800628863314699</v>
      </c>
      <c r="AK3736">
        <v>43.518634169215602</v>
      </c>
      <c r="AL3736">
        <v>87.945160845670699</v>
      </c>
      <c r="AM3736">
        <v>92.106802847548195</v>
      </c>
      <c r="AN3736">
        <v>0.99999996321171802</v>
      </c>
    </row>
    <row r="3737" spans="1:40" x14ac:dyDescent="0.25">
      <c r="A3737" t="str">
        <f>"20190312150731400"</f>
        <v>20190312150731400</v>
      </c>
      <c r="B3737" t="str">
        <f>"1552374451393579"</f>
        <v>1552374451393579</v>
      </c>
      <c r="C3737" t="s">
        <v>40</v>
      </c>
      <c r="D3737">
        <v>4.3795789999999997</v>
      </c>
      <c r="E3737">
        <v>0.48967529999999998</v>
      </c>
      <c r="F3737" t="s">
        <v>67</v>
      </c>
      <c r="G3737">
        <v>-450.24310000000003</v>
      </c>
      <c r="H3737" s="1">
        <v>-1.3344139999999901E-6</v>
      </c>
      <c r="I3737">
        <v>282.94650000000001</v>
      </c>
      <c r="J3737">
        <v>-406.1087</v>
      </c>
      <c r="K3737">
        <v>1.110439</v>
      </c>
      <c r="L3737">
        <v>284.58569999999997</v>
      </c>
      <c r="M3737">
        <v>-0.9994731</v>
      </c>
      <c r="N3737">
        <v>0</v>
      </c>
      <c r="O3737">
        <v>2.9185369999999999E-2</v>
      </c>
      <c r="P3737">
        <v>-0.99973659999999998</v>
      </c>
      <c r="Q3737">
        <v>2.1628379999999999E-2</v>
      </c>
      <c r="R3737">
        <v>-7.7030789999999998E-3</v>
      </c>
      <c r="S3737">
        <v>-3.001617</v>
      </c>
      <c r="T3737">
        <v>-7.5226550000000003E-2</v>
      </c>
      <c r="U3737">
        <v>-0.11071780000000001</v>
      </c>
      <c r="V3737">
        <v>-3.689021E-2</v>
      </c>
      <c r="W3737">
        <v>3.5817410000000001E-2</v>
      </c>
      <c r="X3737">
        <v>0.99867729999999999</v>
      </c>
      <c r="Y3737">
        <v>-6.5983879999999995E-2</v>
      </c>
      <c r="Z3737">
        <v>-1.5576079999999901E-3</v>
      </c>
      <c r="AA3737">
        <v>0.99781949999999997</v>
      </c>
      <c r="AB3737">
        <v>33</v>
      </c>
      <c r="AC3737">
        <v>-44.134399999999999</v>
      </c>
      <c r="AD3737">
        <v>-1.1104403344139999</v>
      </c>
      <c r="AE3737">
        <v>-1.63919999999995</v>
      </c>
      <c r="AF3737">
        <v>-2.92486130214676</v>
      </c>
      <c r="AG3737">
        <v>-1.1104403344139999</v>
      </c>
      <c r="AH3737">
        <v>44.039909258350903</v>
      </c>
      <c r="AI3737">
        <v>91.441199657182594</v>
      </c>
      <c r="AJ3737">
        <v>93.799655139545806</v>
      </c>
      <c r="AK3737">
        <v>44.150894655226097</v>
      </c>
      <c r="AL3737">
        <v>87.947374660544</v>
      </c>
      <c r="AM3737">
        <v>92.115490928136296</v>
      </c>
      <c r="AN3737">
        <v>1.0000000619941101</v>
      </c>
    </row>
    <row r="3738" spans="1:40" x14ac:dyDescent="0.25">
      <c r="A3738" t="str">
        <f>"20190312150731412"</f>
        <v>20190312150731412</v>
      </c>
      <c r="B3738" t="str">
        <f>"1552374451404315"</f>
        <v>1552374451404315</v>
      </c>
      <c r="C3738" t="s">
        <v>40</v>
      </c>
      <c r="D3738">
        <v>4.6655360000000003</v>
      </c>
      <c r="E3738">
        <v>0.4897744</v>
      </c>
      <c r="F3738" t="s">
        <v>67</v>
      </c>
      <c r="G3738">
        <v>-450.12900000000002</v>
      </c>
      <c r="H3738" s="1">
        <v>-1.3955109999999999E-6</v>
      </c>
      <c r="I3738">
        <v>282.95479999999998</v>
      </c>
      <c r="J3738">
        <v>-406.27370000000002</v>
      </c>
      <c r="K3738">
        <v>1.1104529999999999</v>
      </c>
      <c r="L3738">
        <v>284.59050000000002</v>
      </c>
      <c r="M3738">
        <v>-0.99947580000000003</v>
      </c>
      <c r="N3738">
        <v>0</v>
      </c>
      <c r="O3738">
        <v>2.9084490000000001E-2</v>
      </c>
      <c r="P3738">
        <v>-0.99973290000000004</v>
      </c>
      <c r="Q3738">
        <v>2.1818299999999999E-2</v>
      </c>
      <c r="R3738">
        <v>-7.64878E-3</v>
      </c>
      <c r="S3738">
        <v>-3.0015869999999998</v>
      </c>
      <c r="T3738">
        <v>-7.5716969999999995E-2</v>
      </c>
      <c r="U3738">
        <v>-0.1112061</v>
      </c>
      <c r="V3738">
        <v>-3.6736119999999997E-2</v>
      </c>
      <c r="W3738">
        <v>3.6022800000000001E-2</v>
      </c>
      <c r="X3738">
        <v>0.99867550000000005</v>
      </c>
      <c r="Y3738">
        <v>-6.6045279999999998E-2</v>
      </c>
      <c r="Z3738">
        <v>-1.5660019999999999E-3</v>
      </c>
      <c r="AA3738">
        <v>0.99781540000000002</v>
      </c>
      <c r="AB3738">
        <v>33</v>
      </c>
      <c r="AC3738">
        <v>-43.8553</v>
      </c>
      <c r="AD3738">
        <v>-1.110454395511</v>
      </c>
      <c r="AE3738">
        <v>-1.6357000000000399</v>
      </c>
      <c r="AF3738">
        <v>-2.9087835415818302</v>
      </c>
      <c r="AG3738">
        <v>-1.110454395511</v>
      </c>
      <c r="AH3738">
        <v>43.761146916580302</v>
      </c>
      <c r="AI3738">
        <v>91.450389335781196</v>
      </c>
      <c r="AJ3738">
        <v>93.802830444908693</v>
      </c>
      <c r="AK3738">
        <v>43.871768942120497</v>
      </c>
      <c r="AL3738">
        <v>87.935598890807</v>
      </c>
      <c r="AM3738">
        <v>92.106666317938803</v>
      </c>
      <c r="AN3738">
        <v>0.99999996946637104</v>
      </c>
    </row>
    <row r="3739" spans="1:40" x14ac:dyDescent="0.25">
      <c r="A3739" t="str">
        <f>"20190312150731423"</f>
        <v>20190312150731423</v>
      </c>
      <c r="B3739" t="str">
        <f>"1552374451414075"</f>
        <v>1552374451414075</v>
      </c>
      <c r="C3739" t="s">
        <v>40</v>
      </c>
      <c r="D3739">
        <v>4.3555710000000003</v>
      </c>
      <c r="E3739">
        <v>0.48984230000000001</v>
      </c>
      <c r="F3739" t="s">
        <v>67</v>
      </c>
      <c r="G3739">
        <v>-450.63679999999999</v>
      </c>
      <c r="H3739" s="1">
        <v>-1.1255029999999999E-6</v>
      </c>
      <c r="I3739">
        <v>282.95949999999999</v>
      </c>
      <c r="J3739">
        <v>-406.4502</v>
      </c>
      <c r="K3739">
        <v>1.1104750000000001</v>
      </c>
      <c r="L3739">
        <v>284.59550000000002</v>
      </c>
      <c r="M3739">
        <v>-0.9994788</v>
      </c>
      <c r="N3739">
        <v>0</v>
      </c>
      <c r="O3739">
        <v>2.8970409999999999E-2</v>
      </c>
      <c r="P3739">
        <v>-0.99972019999999995</v>
      </c>
      <c r="Q3739">
        <v>2.2269110000000002E-2</v>
      </c>
      <c r="R3739">
        <v>-7.976248E-3</v>
      </c>
      <c r="S3739">
        <v>-3.001617</v>
      </c>
      <c r="T3739">
        <v>-7.5133560000000002E-2</v>
      </c>
      <c r="U3739">
        <v>-0.11035159999999999</v>
      </c>
      <c r="V3739">
        <v>-3.6950740000000003E-2</v>
      </c>
      <c r="W3739">
        <v>3.6488840000000002E-2</v>
      </c>
      <c r="X3739">
        <v>0.9986507</v>
      </c>
      <c r="Y3739">
        <v>-6.564797E-2</v>
      </c>
      <c r="Z3739">
        <v>-1.5461069999999999E-3</v>
      </c>
      <c r="AA3739">
        <v>0.99784170000000005</v>
      </c>
      <c r="AB3739">
        <v>33</v>
      </c>
      <c r="AC3739">
        <v>-44.186599999999999</v>
      </c>
      <c r="AD3739">
        <v>-1.110476125503</v>
      </c>
      <c r="AE3739">
        <v>-1.6360000000000201</v>
      </c>
      <c r="AF3739">
        <v>-2.91370919151188</v>
      </c>
      <c r="AG3739">
        <v>-1.110476125503</v>
      </c>
      <c r="AH3739">
        <v>44.092838775220002</v>
      </c>
      <c r="AI3739">
        <v>91.439548301833199</v>
      </c>
      <c r="AJ3739">
        <v>93.780679132136697</v>
      </c>
      <c r="AK3739">
        <v>44.202955667416099</v>
      </c>
      <c r="AL3739">
        <v>87.908879275306504</v>
      </c>
      <c r="AM3739">
        <v>92.119015284238102</v>
      </c>
      <c r="AN3739">
        <v>1.0000000066207899</v>
      </c>
    </row>
    <row r="3740" spans="1:40" x14ac:dyDescent="0.25">
      <c r="A3740" t="str">
        <f>"20190312150731437"</f>
        <v>20190312150731437</v>
      </c>
      <c r="B3740" t="str">
        <f>"1552374451433596"</f>
        <v>1552374451433596</v>
      </c>
      <c r="C3740" t="s">
        <v>40</v>
      </c>
      <c r="D3740">
        <v>4.4005549999999998</v>
      </c>
      <c r="E3740">
        <v>0.48986190000000002</v>
      </c>
      <c r="F3740" t="s">
        <v>67</v>
      </c>
      <c r="G3740">
        <v>-452.14350000000002</v>
      </c>
      <c r="H3740" s="1">
        <v>-3.2150200000000002E-7</v>
      </c>
      <c r="I3740">
        <v>282.90859999999998</v>
      </c>
      <c r="J3740">
        <v>-406.64769999999999</v>
      </c>
      <c r="K3740">
        <v>1.110495</v>
      </c>
      <c r="L3740">
        <v>284.60109999999997</v>
      </c>
      <c r="M3740">
        <v>-0.9994828</v>
      </c>
      <c r="N3740">
        <v>0</v>
      </c>
      <c r="O3740">
        <v>2.8824470000000001E-2</v>
      </c>
      <c r="P3740">
        <v>-0.9997182</v>
      </c>
      <c r="Q3740">
        <v>2.2246999999999999E-2</v>
      </c>
      <c r="R3740">
        <v>-8.2860290000000003E-3</v>
      </c>
      <c r="S3740">
        <v>-3.0015869999999998</v>
      </c>
      <c r="T3740">
        <v>-7.2947029999999996E-2</v>
      </c>
      <c r="U3740">
        <v>-0.1108093</v>
      </c>
      <c r="V3740">
        <v>-3.7115509999999997E-2</v>
      </c>
      <c r="W3740">
        <v>3.6481689999999997E-2</v>
      </c>
      <c r="X3740">
        <v>0.9986448</v>
      </c>
      <c r="Y3740">
        <v>-6.5656370000000006E-2</v>
      </c>
      <c r="Z3740">
        <v>-1.4976939999999999E-3</v>
      </c>
      <c r="AA3740">
        <v>0.99784119999999998</v>
      </c>
      <c r="AB3740">
        <v>33</v>
      </c>
      <c r="AC3740">
        <v>-45.495800000000003</v>
      </c>
      <c r="AD3740">
        <v>-1.1104953215019999</v>
      </c>
      <c r="AE3740">
        <v>-1.6924999999999899</v>
      </c>
      <c r="AF3740">
        <v>-3.0015364338055699</v>
      </c>
      <c r="AG3740">
        <v>-1.1104953215019999</v>
      </c>
      <c r="AH3740">
        <v>45.401089773152201</v>
      </c>
      <c r="AI3740">
        <v>91.398105205557897</v>
      </c>
      <c r="AJ3740">
        <v>93.782408584107401</v>
      </c>
      <c r="AK3740">
        <v>45.513749278787898</v>
      </c>
      <c r="AL3740">
        <v>87.909289106512304</v>
      </c>
      <c r="AM3740">
        <v>92.128468246551193</v>
      </c>
      <c r="AN3740">
        <v>0.99999995567742705</v>
      </c>
    </row>
    <row r="3741" spans="1:40" x14ac:dyDescent="0.25">
      <c r="A3741" t="str">
        <f>"20190312150731456"</f>
        <v>20190312150731456</v>
      </c>
      <c r="B3741" t="str">
        <f>"1552374451454091"</f>
        <v>1552374451454091</v>
      </c>
      <c r="C3741" t="s">
        <v>40</v>
      </c>
      <c r="D3741">
        <v>4.3921929999999998</v>
      </c>
      <c r="E3741">
        <v>0.48830170000000001</v>
      </c>
      <c r="F3741" t="s">
        <v>67</v>
      </c>
      <c r="G3741">
        <v>-451.4271</v>
      </c>
      <c r="H3741" s="1">
        <v>-7.0402410000000002E-7</v>
      </c>
      <c r="I3741">
        <v>282.93880000000001</v>
      </c>
      <c r="J3741">
        <v>-406.9151</v>
      </c>
      <c r="K3741">
        <v>1.110522</v>
      </c>
      <c r="L3741">
        <v>284.60860000000002</v>
      </c>
      <c r="M3741">
        <v>-0.9994885</v>
      </c>
      <c r="N3741">
        <v>0</v>
      </c>
      <c r="O3741">
        <v>2.8610710000000001E-2</v>
      </c>
      <c r="P3741">
        <v>-0.99971739999999998</v>
      </c>
      <c r="Q3741">
        <v>2.2113210000000001E-2</v>
      </c>
      <c r="R3741">
        <v>-8.7307169999999903E-3</v>
      </c>
      <c r="S3741">
        <v>-3.0015869999999998</v>
      </c>
      <c r="T3741">
        <v>-7.4437020000000007E-2</v>
      </c>
      <c r="U3741">
        <v>-0.111419699999999</v>
      </c>
      <c r="V3741">
        <v>-3.7349E-2</v>
      </c>
      <c r="W3741">
        <v>3.63659E-2</v>
      </c>
      <c r="X3741">
        <v>0.99864039999999998</v>
      </c>
      <c r="Y3741">
        <v>-6.5644499999999995E-2</v>
      </c>
      <c r="Z3741">
        <v>-1.522825E-3</v>
      </c>
      <c r="AA3741">
        <v>0.99784189999999995</v>
      </c>
      <c r="AB3741">
        <v>33</v>
      </c>
      <c r="AC3741">
        <v>-44.512</v>
      </c>
      <c r="AD3741">
        <v>-1.1105227040240999</v>
      </c>
      <c r="AE3741">
        <v>-1.6698</v>
      </c>
      <c r="AF3741">
        <v>-2.9409382435290601</v>
      </c>
      <c r="AG3741">
        <v>-1.1105227040240999</v>
      </c>
      <c r="AH3741">
        <v>44.418386223544303</v>
      </c>
      <c r="AI3741">
        <v>91.429049885110402</v>
      </c>
      <c r="AJ3741">
        <v>93.7880207565549</v>
      </c>
      <c r="AK3741">
        <v>44.529489252992299</v>
      </c>
      <c r="AL3741">
        <v>87.915927960924193</v>
      </c>
      <c r="AM3741">
        <v>92.141855225796206</v>
      </c>
      <c r="AN3741">
        <v>1.0000000374979801</v>
      </c>
    </row>
    <row r="3742" spans="1:40" x14ac:dyDescent="0.25">
      <c r="A3742" t="str">
        <f>"20190312150731500"</f>
        <v>20190312150731500</v>
      </c>
      <c r="B3742" t="str">
        <f>"1552374451494107"</f>
        <v>1552374451494107</v>
      </c>
      <c r="C3742" t="s">
        <v>40</v>
      </c>
      <c r="D3742">
        <v>5.0774059999999999</v>
      </c>
      <c r="E3742">
        <v>0.48438750000000003</v>
      </c>
      <c r="F3742" t="s">
        <v>68</v>
      </c>
      <c r="G3742">
        <v>-428.39440000000002</v>
      </c>
      <c r="H3742" s="1">
        <v>2.5565E-6</v>
      </c>
      <c r="I3742">
        <v>283.69060000000002</v>
      </c>
      <c r="J3742">
        <v>-407.56130000000002</v>
      </c>
      <c r="K3742">
        <v>1.1105780000000001</v>
      </c>
      <c r="L3742">
        <v>284.62639999999999</v>
      </c>
      <c r="M3742">
        <v>-0.99950479999999997</v>
      </c>
      <c r="N3742">
        <v>0</v>
      </c>
      <c r="O3742">
        <v>2.8016329999999999E-2</v>
      </c>
      <c r="P3742">
        <v>-0.99970689999999995</v>
      </c>
      <c r="Q3742">
        <v>2.2022119999999999E-2</v>
      </c>
      <c r="R3742">
        <v>-1.005523E-2</v>
      </c>
      <c r="S3742">
        <v>-3.003174</v>
      </c>
      <c r="T3742">
        <v>-0.1552694</v>
      </c>
      <c r="U3742">
        <v>-0.1283569</v>
      </c>
      <c r="V3742">
        <v>-3.8082400000000002E-2</v>
      </c>
      <c r="W3742">
        <v>3.6309670000000002E-2</v>
      </c>
      <c r="X3742">
        <v>0.99861469999999997</v>
      </c>
      <c r="Y3742">
        <v>-7.0546899999999996E-2</v>
      </c>
      <c r="Z3742">
        <v>-3.2687440000000001E-3</v>
      </c>
      <c r="AA3742">
        <v>0.99750309999999998</v>
      </c>
      <c r="AB3742">
        <v>33</v>
      </c>
      <c r="AC3742">
        <v>-20.833100000000002</v>
      </c>
      <c r="AD3742">
        <v>-1.1105754434999999</v>
      </c>
      <c r="AE3742">
        <v>-0.93579999999997199</v>
      </c>
      <c r="AF3742">
        <v>-1.51486328186288</v>
      </c>
      <c r="AG3742">
        <v>-1.1105754434999999</v>
      </c>
      <c r="AH3742">
        <v>20.739881028003801</v>
      </c>
      <c r="AI3742">
        <v>93.057008560682803</v>
      </c>
      <c r="AJ3742">
        <v>94.177527044283593</v>
      </c>
      <c r="AK3742">
        <v>20.824765392056499</v>
      </c>
      <c r="AL3742">
        <v>87.919151733161399</v>
      </c>
      <c r="AM3742">
        <v>92.183929374380696</v>
      </c>
      <c r="AN3742">
        <v>0.99999999019067898</v>
      </c>
    </row>
    <row r="3743" spans="1:40" x14ac:dyDescent="0.25">
      <c r="A3743" t="str">
        <f>"20190312150731558"</f>
        <v>20190312150731558</v>
      </c>
      <c r="B3743" t="str">
        <f>"1552374451553643"</f>
        <v>1552374451553643</v>
      </c>
      <c r="C3743" t="s">
        <v>40</v>
      </c>
      <c r="D3743">
        <v>4.3922330000000001</v>
      </c>
      <c r="E3743">
        <v>0.46416869999999999</v>
      </c>
      <c r="F3743" t="s">
        <v>69</v>
      </c>
      <c r="G3743">
        <v>-511.95890000000003</v>
      </c>
      <c r="H3743">
        <v>0.95673410000000003</v>
      </c>
      <c r="I3743">
        <v>279.13690000000003</v>
      </c>
      <c r="J3743">
        <v>-408.40879999999999</v>
      </c>
      <c r="K3743">
        <v>1.1106320000000001</v>
      </c>
      <c r="L3743">
        <v>284.649</v>
      </c>
      <c r="M3743">
        <v>-0.99952989999999997</v>
      </c>
      <c r="N3743">
        <v>0</v>
      </c>
      <c r="O3743">
        <v>2.709404E-2</v>
      </c>
      <c r="P3743">
        <v>-0.99971290000000002</v>
      </c>
      <c r="Q3743">
        <v>2.1654050000000001E-2</v>
      </c>
      <c r="R3743">
        <v>-1.026327E-2</v>
      </c>
      <c r="S3743">
        <v>-2.99939</v>
      </c>
      <c r="T3743">
        <v>-4.4176579999999997E-3</v>
      </c>
      <c r="U3743">
        <v>-0.15771479999999999</v>
      </c>
      <c r="V3743">
        <v>-3.737335E-2</v>
      </c>
      <c r="W3743">
        <v>3.5972770000000001E-2</v>
      </c>
      <c r="X3743">
        <v>0.99865369999999998</v>
      </c>
      <c r="Y3743">
        <v>-7.9549819999999993E-2</v>
      </c>
      <c r="Z3743" s="1">
        <v>-9.8427579999999998E-5</v>
      </c>
      <c r="AA3743">
        <v>0.99683089999999996</v>
      </c>
      <c r="AB3743">
        <v>32</v>
      </c>
      <c r="AC3743">
        <v>-103.5501</v>
      </c>
      <c r="AD3743">
        <v>-0.1538979</v>
      </c>
      <c r="AE3743">
        <v>-5.51209999999997</v>
      </c>
      <c r="AF3743">
        <v>-8.3159371349478004</v>
      </c>
      <c r="AG3743">
        <v>-0.1538979</v>
      </c>
      <c r="AH3743">
        <v>103.362489700165</v>
      </c>
      <c r="AI3743">
        <v>90.085033687078905</v>
      </c>
      <c r="AJ3743">
        <v>94.599773461684705</v>
      </c>
      <c r="AK3743">
        <v>103.696589972924</v>
      </c>
      <c r="AL3743">
        <v>87.938467341412306</v>
      </c>
      <c r="AM3743">
        <v>92.1432218077546</v>
      </c>
      <c r="AN3743">
        <v>1.00000000999769</v>
      </c>
    </row>
    <row r="3744" spans="1:40" x14ac:dyDescent="0.25">
      <c r="A3744" t="str">
        <f>"20190312150731571"</f>
        <v>20190312150731571</v>
      </c>
      <c r="B3744" t="str">
        <f>"1552374451563403"</f>
        <v>1552374451563403</v>
      </c>
      <c r="C3744" t="s">
        <v>40</v>
      </c>
      <c r="D3744">
        <v>4.3605</v>
      </c>
      <c r="E3744">
        <v>0.46901209999999999</v>
      </c>
      <c r="F3744" t="s">
        <v>68</v>
      </c>
      <c r="G3744">
        <v>-414.31720000000001</v>
      </c>
      <c r="H3744" s="1">
        <v>3.0275499999999999E-6</v>
      </c>
      <c r="I3744">
        <v>283.97570000000002</v>
      </c>
      <c r="J3744">
        <v>-408.58089999999999</v>
      </c>
      <c r="K3744">
        <v>1.1106419999999999</v>
      </c>
      <c r="L3744">
        <v>284.65339999999998</v>
      </c>
      <c r="M3744">
        <v>-0.99953539999999996</v>
      </c>
      <c r="N3744">
        <v>0</v>
      </c>
      <c r="O3744">
        <v>2.688776E-2</v>
      </c>
      <c r="P3744">
        <v>-0.99971089999999996</v>
      </c>
      <c r="Q3744">
        <v>2.1655899999999999E-2</v>
      </c>
      <c r="R3744">
        <v>-1.045842E-2</v>
      </c>
      <c r="S3744">
        <v>-3.0095830000000001</v>
      </c>
      <c r="T3744">
        <v>-0.56572159999999905</v>
      </c>
      <c r="U3744">
        <v>-0.34292600000000001</v>
      </c>
      <c r="V3744">
        <v>-3.7363340000000002E-2</v>
      </c>
      <c r="W3744">
        <v>3.597848E-2</v>
      </c>
      <c r="X3744">
        <v>0.99865389999999998</v>
      </c>
      <c r="Y3744">
        <v>-0.13705200000000001</v>
      </c>
      <c r="Z3744">
        <v>-1.7725640000000001E-2</v>
      </c>
      <c r="AA3744">
        <v>0.99040530000000004</v>
      </c>
      <c r="AB3744">
        <v>32</v>
      </c>
      <c r="AC3744">
        <v>-5.7363000000000204</v>
      </c>
      <c r="AD3744">
        <v>-1.1106389724500001</v>
      </c>
      <c r="AE3744">
        <v>-0.677699999999958</v>
      </c>
      <c r="AF3744">
        <v>-0.802054258533069</v>
      </c>
      <c r="AG3744">
        <v>-1.1106389724500001</v>
      </c>
      <c r="AH3744">
        <v>5.5122095339195596</v>
      </c>
      <c r="AI3744">
        <v>101.27618141081599</v>
      </c>
      <c r="AJ3744">
        <v>98.2787258856184</v>
      </c>
      <c r="AK3744">
        <v>5.6798999908968097</v>
      </c>
      <c r="AL3744">
        <v>87.938140034736904</v>
      </c>
      <c r="AM3744">
        <v>92.142647878102494</v>
      </c>
      <c r="AN3744">
        <v>1.0000000410921299</v>
      </c>
    </row>
    <row r="3745" spans="1:40" x14ac:dyDescent="0.25">
      <c r="A3745" t="str">
        <f>"20190312150731582"</f>
        <v>20190312150731582</v>
      </c>
      <c r="B3745" t="str">
        <f>"1552374451574139"</f>
        <v>1552374451574139</v>
      </c>
      <c r="C3745" t="s">
        <v>40</v>
      </c>
      <c r="D3745">
        <v>4.3687579999999997</v>
      </c>
      <c r="E3745">
        <v>0.46874539999999998</v>
      </c>
      <c r="F3745" t="s">
        <v>61</v>
      </c>
      <c r="G3745">
        <v>-470.73079999999999</v>
      </c>
      <c r="H3745">
        <v>8.0000689999999999E-2</v>
      </c>
      <c r="I3745">
        <v>278.77499999999998</v>
      </c>
      <c r="J3745">
        <v>-408.76100000000002</v>
      </c>
      <c r="K3745">
        <v>1.1106579999999999</v>
      </c>
      <c r="L3745">
        <v>284.65809999999999</v>
      </c>
      <c r="M3745">
        <v>-0.99954109999999996</v>
      </c>
      <c r="N3745">
        <v>0</v>
      </c>
      <c r="O3745">
        <v>2.6667639999999999E-2</v>
      </c>
      <c r="P3745">
        <v>-0.99972470000000002</v>
      </c>
      <c r="Q3745">
        <v>2.117494E-2</v>
      </c>
      <c r="R3745">
        <v>-1.010082E-2</v>
      </c>
      <c r="S3745">
        <v>-2.9990230000000002</v>
      </c>
      <c r="T3745">
        <v>-4.9733279999999998E-2</v>
      </c>
      <c r="U3745">
        <v>-0.28366089999999999</v>
      </c>
      <c r="V3745">
        <v>-3.6786810000000003E-2</v>
      </c>
      <c r="W3745">
        <v>3.5502430000000001E-2</v>
      </c>
      <c r="X3745">
        <v>0.99869229999999998</v>
      </c>
      <c r="Y3745">
        <v>-0.12066250000000001</v>
      </c>
      <c r="Z3745">
        <v>-1.4395510000000001E-3</v>
      </c>
      <c r="AA3745">
        <v>0.99269249999999998</v>
      </c>
      <c r="AB3745">
        <v>32</v>
      </c>
      <c r="AC3745">
        <v>-61.969799999999999</v>
      </c>
      <c r="AD3745">
        <v>-1.0306573099999901</v>
      </c>
      <c r="AE3745">
        <v>-5.8831000000000104</v>
      </c>
      <c r="AF3745">
        <v>-7.5317014492472802</v>
      </c>
      <c r="AG3745">
        <v>-1.0306573099999901</v>
      </c>
      <c r="AH3745">
        <v>61.773916949202302</v>
      </c>
      <c r="AI3745">
        <v>90.948828802234601</v>
      </c>
      <c r="AJ3745">
        <v>96.951401012566194</v>
      </c>
      <c r="AK3745">
        <v>62.239903570444199</v>
      </c>
      <c r="AL3745">
        <v>87.965433045508803</v>
      </c>
      <c r="AM3745">
        <v>92.109535102527303</v>
      </c>
      <c r="AN3745">
        <v>1.00000000100258</v>
      </c>
    </row>
    <row r="3746" spans="1:40" x14ac:dyDescent="0.25">
      <c r="A3746" t="str">
        <f>"20190312150731596"</f>
        <v>20190312150731596</v>
      </c>
      <c r="B3746" t="str">
        <f>"1552374451593659"</f>
        <v>1552374451593659</v>
      </c>
      <c r="C3746" t="s">
        <v>40</v>
      </c>
      <c r="D3746">
        <v>4.3583379999999998</v>
      </c>
      <c r="E3746">
        <v>0.4685125</v>
      </c>
      <c r="F3746" t="s">
        <v>61</v>
      </c>
      <c r="G3746">
        <v>-492.39150000000001</v>
      </c>
      <c r="H3746" s="1">
        <v>2.3007190000000002E-6</v>
      </c>
      <c r="I3746">
        <v>276.73540000000003</v>
      </c>
      <c r="J3746">
        <v>-408.94170000000003</v>
      </c>
      <c r="K3746">
        <v>1.1106720000000001</v>
      </c>
      <c r="L3746">
        <v>284.66269999999997</v>
      </c>
      <c r="M3746">
        <v>-0.99954730000000003</v>
      </c>
      <c r="N3746">
        <v>0</v>
      </c>
      <c r="O3746">
        <v>2.6435899999999998E-2</v>
      </c>
      <c r="P3746">
        <v>-0.99972079999999997</v>
      </c>
      <c r="Q3746">
        <v>2.122216E-2</v>
      </c>
      <c r="R3746">
        <v>-1.039577E-2</v>
      </c>
      <c r="S3746">
        <v>-2.9987789999999999</v>
      </c>
      <c r="T3746">
        <v>-3.9825319999999997E-2</v>
      </c>
      <c r="U3746">
        <v>-0.28408810000000001</v>
      </c>
      <c r="V3746">
        <v>-3.6850550000000003E-2</v>
      </c>
      <c r="W3746">
        <v>3.5552460000000001E-2</v>
      </c>
      <c r="X3746">
        <v>0.99868820000000003</v>
      </c>
      <c r="Y3746">
        <v>-0.12058729999999999</v>
      </c>
      <c r="Z3746">
        <v>-1.1493040000000001E-3</v>
      </c>
      <c r="AA3746">
        <v>0.99270210000000003</v>
      </c>
      <c r="AB3746">
        <v>32</v>
      </c>
      <c r="AC3746">
        <v>-83.449799999999897</v>
      </c>
      <c r="AD3746">
        <v>-1.1106696992809999</v>
      </c>
      <c r="AE3746">
        <v>-7.9272999999999403</v>
      </c>
      <c r="AF3746">
        <v>-10.1290488978526</v>
      </c>
      <c r="AG3746">
        <v>-1.1106696992809999</v>
      </c>
      <c r="AH3746">
        <v>83.196436515845093</v>
      </c>
      <c r="AI3746">
        <v>90.759245661900295</v>
      </c>
      <c r="AJ3746">
        <v>96.9415175460977</v>
      </c>
      <c r="AK3746">
        <v>83.818126128487407</v>
      </c>
      <c r="AL3746">
        <v>87.962564787291896</v>
      </c>
      <c r="AM3746">
        <v>92.1131956216324</v>
      </c>
      <c r="AN3746">
        <v>1.0000000306332899</v>
      </c>
    </row>
    <row r="3747" spans="1:40" x14ac:dyDescent="0.25">
      <c r="A3747" t="str">
        <f>"20190312150731611"</f>
        <v>20190312150731611</v>
      </c>
      <c r="B3747" t="str">
        <f>"1552374451603420"</f>
        <v>1552374451603420</v>
      </c>
      <c r="C3747" t="s">
        <v>40</v>
      </c>
      <c r="D3747">
        <v>4.4236000000000004</v>
      </c>
      <c r="E3747">
        <v>0.4685125</v>
      </c>
      <c r="F3747" t="s">
        <v>61</v>
      </c>
      <c r="G3747">
        <v>-499.9837</v>
      </c>
      <c r="H3747">
        <v>7.5978009999999999E-2</v>
      </c>
      <c r="I3747">
        <v>275.96140000000003</v>
      </c>
      <c r="J3747">
        <v>-409.15989999999999</v>
      </c>
      <c r="K3747">
        <v>1.110687</v>
      </c>
      <c r="L3747">
        <v>284.66820000000001</v>
      </c>
      <c r="M3747">
        <v>-0.99955459999999996</v>
      </c>
      <c r="N3747">
        <v>0</v>
      </c>
      <c r="O3747">
        <v>2.614729E-2</v>
      </c>
      <c r="P3747">
        <v>-0.99971969999999999</v>
      </c>
      <c r="Q3747">
        <v>2.1152589999999999E-2</v>
      </c>
      <c r="R3747">
        <v>-1.0626399999999999E-2</v>
      </c>
      <c r="S3747">
        <v>-2.998596</v>
      </c>
      <c r="T3747">
        <v>-3.4079070000000003E-2</v>
      </c>
      <c r="U3747">
        <v>-0.28659059999999997</v>
      </c>
      <c r="V3747">
        <v>-3.6793970000000002E-2</v>
      </c>
      <c r="W3747">
        <v>3.5486700000000003E-2</v>
      </c>
      <c r="X3747">
        <v>0.99869260000000004</v>
      </c>
      <c r="Y3747">
        <v>-0.1211308</v>
      </c>
      <c r="Z3747">
        <v>-9.8331669999999994E-4</v>
      </c>
      <c r="AA3747">
        <v>0.99263610000000002</v>
      </c>
      <c r="AB3747">
        <v>32</v>
      </c>
      <c r="AC3747">
        <v>-90.823800000000006</v>
      </c>
      <c r="AD3747">
        <v>-1.0347089899999999</v>
      </c>
      <c r="AE3747">
        <v>-8.7067999999999799</v>
      </c>
      <c r="AF3747">
        <v>-11.077439877278501</v>
      </c>
      <c r="AG3747">
        <v>-1.0347089899999999</v>
      </c>
      <c r="AH3747">
        <v>90.553412448426002</v>
      </c>
      <c r="AI3747">
        <v>90.649818295797502</v>
      </c>
      <c r="AJ3747">
        <v>96.974366502219993</v>
      </c>
      <c r="AK3747">
        <v>91.234318120888403</v>
      </c>
      <c r="AL3747">
        <v>87.966334885947902</v>
      </c>
      <c r="AM3747">
        <v>92.109944687540704</v>
      </c>
      <c r="AN3747">
        <v>1.0000000057</v>
      </c>
    </row>
    <row r="3748" spans="1:40" x14ac:dyDescent="0.25">
      <c r="A3748" t="str">
        <f>"20190312150731621"</f>
        <v>20190312150731621</v>
      </c>
      <c r="B3748" t="str">
        <f>"1552374451614156"</f>
        <v>1552374451614156</v>
      </c>
      <c r="C3748" t="s">
        <v>40</v>
      </c>
      <c r="D3748">
        <v>4.3054579999999998</v>
      </c>
      <c r="E3748">
        <v>0.46836909999999998</v>
      </c>
      <c r="F3748" t="s">
        <v>61</v>
      </c>
      <c r="G3748">
        <v>-499.98050000000001</v>
      </c>
      <c r="H3748">
        <v>7.2720450000000006E-2</v>
      </c>
      <c r="I3748">
        <v>275.96640000000002</v>
      </c>
      <c r="J3748">
        <v>-409.32429999999999</v>
      </c>
      <c r="K3748">
        <v>1.110703</v>
      </c>
      <c r="L3748">
        <v>284.67219999999998</v>
      </c>
      <c r="M3748">
        <v>-0.99956049999999996</v>
      </c>
      <c r="N3748">
        <v>0</v>
      </c>
      <c r="O3748">
        <v>2.592266E-2</v>
      </c>
      <c r="P3748">
        <v>-0.9997279</v>
      </c>
      <c r="Q3748">
        <v>2.0790329999999999E-2</v>
      </c>
      <c r="R3748">
        <v>-1.0571219999999999E-2</v>
      </c>
      <c r="S3748">
        <v>-2.9984739999999999</v>
      </c>
      <c r="T3748">
        <v>-3.4268859999999998E-2</v>
      </c>
      <c r="U3748">
        <v>-0.28729250000000001</v>
      </c>
      <c r="V3748">
        <v>-3.6515369999999998E-2</v>
      </c>
      <c r="W3748">
        <v>3.5126919999999999E-2</v>
      </c>
      <c r="X3748">
        <v>0.99871549999999998</v>
      </c>
      <c r="Y3748">
        <v>-0.1211417</v>
      </c>
      <c r="Z3748">
        <v>-9.8632100000000007E-4</v>
      </c>
      <c r="AA3748">
        <v>0.99263469999999998</v>
      </c>
      <c r="AB3748">
        <v>32</v>
      </c>
      <c r="AC3748">
        <v>-90.656199999999998</v>
      </c>
      <c r="AD3748">
        <v>-1.0379825499999999</v>
      </c>
      <c r="AE3748">
        <v>-8.7057999999999502</v>
      </c>
      <c r="AF3748">
        <v>-11.0517311471638</v>
      </c>
      <c r="AG3748">
        <v>-1.0379825499999999</v>
      </c>
      <c r="AH3748">
        <v>90.388286823931395</v>
      </c>
      <c r="AI3748">
        <v>90.653069547955496</v>
      </c>
      <c r="AJ3748">
        <v>96.970925993207402</v>
      </c>
      <c r="AK3748">
        <v>91.067340820343404</v>
      </c>
      <c r="AL3748">
        <v>87.986961532527999</v>
      </c>
      <c r="AM3748">
        <v>92.093934717673093</v>
      </c>
      <c r="AN3748">
        <v>0.99999996134758595</v>
      </c>
    </row>
    <row r="3749" spans="1:40" x14ac:dyDescent="0.25">
      <c r="A3749" t="str">
        <f>"20190312150731635"</f>
        <v>20190312150731635</v>
      </c>
      <c r="B3749" t="str">
        <f>"1552374451623915"</f>
        <v>1552374451623915</v>
      </c>
      <c r="C3749" t="s">
        <v>40</v>
      </c>
      <c r="D3749">
        <v>4.3420500000000004</v>
      </c>
      <c r="E3749">
        <v>0.46780159999999998</v>
      </c>
      <c r="F3749" t="s">
        <v>61</v>
      </c>
      <c r="G3749">
        <v>-489.44810000000001</v>
      </c>
      <c r="H3749" s="1">
        <v>2.5063520000000002E-6</v>
      </c>
      <c r="I3749">
        <v>276.9622</v>
      </c>
      <c r="J3749">
        <v>-409.50240000000002</v>
      </c>
      <c r="K3749">
        <v>1.110714</v>
      </c>
      <c r="L3749">
        <v>284.67660000000001</v>
      </c>
      <c r="M3749">
        <v>-0.99956719999999999</v>
      </c>
      <c r="N3749">
        <v>0</v>
      </c>
      <c r="O3749">
        <v>2.5666640000000001E-2</v>
      </c>
      <c r="P3749">
        <v>-0.99971600000000005</v>
      </c>
      <c r="Q3749">
        <v>2.093325E-2</v>
      </c>
      <c r="R3749">
        <v>-1.139511E-2</v>
      </c>
      <c r="S3749">
        <v>-2.998596</v>
      </c>
      <c r="T3749">
        <v>-4.1567439999999997E-2</v>
      </c>
      <c r="U3749">
        <v>-0.28854370000000001</v>
      </c>
      <c r="V3749">
        <v>-3.7083789999999998E-2</v>
      </c>
      <c r="W3749">
        <v>3.5271299999999998E-2</v>
      </c>
      <c r="X3749">
        <v>0.99868950000000001</v>
      </c>
      <c r="Y3749">
        <v>-0.12128949999999999</v>
      </c>
      <c r="Z3749">
        <v>-1.1937779999999999E-3</v>
      </c>
      <c r="AA3749">
        <v>0.99261650000000001</v>
      </c>
      <c r="AB3749">
        <v>32</v>
      </c>
      <c r="AC3749">
        <v>-79.945699999999903</v>
      </c>
      <c r="AD3749">
        <v>-1.110711493648</v>
      </c>
      <c r="AE3749">
        <v>-7.7144000000000101</v>
      </c>
      <c r="AF3749">
        <v>-9.7621406124111605</v>
      </c>
      <c r="AG3749">
        <v>-1.110711493648</v>
      </c>
      <c r="AH3749">
        <v>79.706090570855494</v>
      </c>
      <c r="AI3749">
        <v>90.792449431513901</v>
      </c>
      <c r="AJ3749">
        <v>96.982623384051394</v>
      </c>
      <c r="AK3749">
        <v>80.309363983585598</v>
      </c>
      <c r="AL3749">
        <v>87.978684105690803</v>
      </c>
      <c r="AM3749">
        <v>92.1265557676779</v>
      </c>
      <c r="AN3749">
        <v>0.99999999474735202</v>
      </c>
    </row>
    <row r="3750" spans="1:40" x14ac:dyDescent="0.25">
      <c r="A3750" t="str">
        <f>"20190312150731648"</f>
        <v>20190312150731648</v>
      </c>
      <c r="B3750" t="str">
        <f>"1552374451643436"</f>
        <v>1552374451643436</v>
      </c>
      <c r="C3750" t="s">
        <v>40</v>
      </c>
      <c r="D3750">
        <v>4.3221939999999996</v>
      </c>
      <c r="E3750">
        <v>0.46751310000000001</v>
      </c>
      <c r="F3750" t="s">
        <v>61</v>
      </c>
      <c r="G3750">
        <v>-487.291</v>
      </c>
      <c r="H3750" s="1">
        <v>2.1395710000000001E-6</v>
      </c>
      <c r="I3750">
        <v>277.00709999999998</v>
      </c>
      <c r="J3750">
        <v>-409.6875</v>
      </c>
      <c r="K3750">
        <v>1.1107340000000001</v>
      </c>
      <c r="L3750">
        <v>284.68110000000001</v>
      </c>
      <c r="M3750">
        <v>-0.99957410000000002</v>
      </c>
      <c r="N3750">
        <v>0</v>
      </c>
      <c r="O3750">
        <v>2.5394650000000001E-2</v>
      </c>
      <c r="P3750">
        <v>-0.99972369999999999</v>
      </c>
      <c r="Q3750">
        <v>2.0473229999999999E-2</v>
      </c>
      <c r="R3750">
        <v>-1.154909E-2</v>
      </c>
      <c r="S3750">
        <v>-2.998383</v>
      </c>
      <c r="T3750">
        <v>-4.2812709999999997E-2</v>
      </c>
      <c r="U3750">
        <v>-0.29562379999999999</v>
      </c>
      <c r="V3750">
        <v>-3.6966760000000001E-2</v>
      </c>
      <c r="W3750">
        <v>3.4812879999999997E-2</v>
      </c>
      <c r="X3750">
        <v>0.99870990000000004</v>
      </c>
      <c r="Y3750">
        <v>-0.1233467</v>
      </c>
      <c r="Z3750">
        <v>-1.2402610000000001E-3</v>
      </c>
      <c r="AA3750">
        <v>0.99236290000000005</v>
      </c>
      <c r="AB3750">
        <v>32</v>
      </c>
      <c r="AC3750">
        <v>-77.603499999999997</v>
      </c>
      <c r="AD3750">
        <v>-1.110731860429</v>
      </c>
      <c r="AE3750">
        <v>-7.6740000000000297</v>
      </c>
      <c r="AF3750">
        <v>-9.6404862903300099</v>
      </c>
      <c r="AG3750">
        <v>-1.110731860429</v>
      </c>
      <c r="AH3750">
        <v>77.367873258086306</v>
      </c>
      <c r="AI3750">
        <v>90.816199212001905</v>
      </c>
      <c r="AJ3750">
        <v>97.102777151743297</v>
      </c>
      <c r="AK3750">
        <v>77.974101557242193</v>
      </c>
      <c r="AL3750">
        <v>88.004965731446006</v>
      </c>
      <c r="AM3750">
        <v>92.119807598136205</v>
      </c>
      <c r="AN3750">
        <v>0.9999999711584</v>
      </c>
    </row>
    <row r="3751" spans="1:40" x14ac:dyDescent="0.25">
      <c r="A3751" t="str">
        <f>"20190312150731669"</f>
        <v>20190312150731669</v>
      </c>
      <c r="B3751" t="str">
        <f>"1552374451663462"</f>
        <v>1552374451663462</v>
      </c>
      <c r="C3751" t="s">
        <v>40</v>
      </c>
      <c r="D3751">
        <v>4.2971159999999999</v>
      </c>
      <c r="E3751">
        <v>0.46746989999999999</v>
      </c>
      <c r="F3751" t="s">
        <v>61</v>
      </c>
      <c r="G3751">
        <v>-499.95780000000002</v>
      </c>
      <c r="H3751">
        <v>6.2867829999999998E-3</v>
      </c>
      <c r="I3751">
        <v>275.71039999999999</v>
      </c>
      <c r="J3751">
        <v>-409.98809999999997</v>
      </c>
      <c r="K3751">
        <v>1.1107530000000001</v>
      </c>
      <c r="L3751">
        <v>284.68819999999999</v>
      </c>
      <c r="M3751">
        <v>-0.99958570000000002</v>
      </c>
      <c r="N3751">
        <v>0</v>
      </c>
      <c r="O3751">
        <v>2.4931169999999999E-2</v>
      </c>
      <c r="P3751">
        <v>-0.99970820000000005</v>
      </c>
      <c r="Q3751">
        <v>2.0516380000000001E-2</v>
      </c>
      <c r="R3751">
        <v>-1.276499E-2</v>
      </c>
      <c r="S3751">
        <v>-2.998138</v>
      </c>
      <c r="T3751">
        <v>-3.6681890000000002E-2</v>
      </c>
      <c r="U3751">
        <v>-0.29794310000000002</v>
      </c>
      <c r="V3751">
        <v>-3.7720549999999999E-2</v>
      </c>
      <c r="W3751">
        <v>3.4856239999999997E-2</v>
      </c>
      <c r="X3751">
        <v>0.99868020000000002</v>
      </c>
      <c r="Y3751">
        <v>-0.1236587</v>
      </c>
      <c r="Z3751">
        <v>-1.0589600000000001E-3</v>
      </c>
      <c r="AA3751">
        <v>0.99232419999999999</v>
      </c>
      <c r="AB3751">
        <v>32</v>
      </c>
      <c r="AC3751">
        <v>-89.969700000000003</v>
      </c>
      <c r="AD3751">
        <v>-1.1044662169999999</v>
      </c>
      <c r="AE3751">
        <v>-8.9778000000000002</v>
      </c>
      <c r="AF3751">
        <v>-11.2166171044501</v>
      </c>
      <c r="AG3751">
        <v>-1.1044662169999999</v>
      </c>
      <c r="AH3751">
        <v>89.704493568373096</v>
      </c>
      <c r="AI3751">
        <v>90.699955537863104</v>
      </c>
      <c r="AJ3751">
        <v>97.127252300647996</v>
      </c>
      <c r="AK3751">
        <v>90.409781059632195</v>
      </c>
      <c r="AL3751">
        <v>88.002479874608298</v>
      </c>
      <c r="AM3751">
        <v>92.163056258054993</v>
      </c>
      <c r="AN3751">
        <v>0.99999996961563897</v>
      </c>
    </row>
    <row r="3752" spans="1:40" x14ac:dyDescent="0.25">
      <c r="A3752" t="str">
        <f>"20190312150731690"</f>
        <v>20190312150731690</v>
      </c>
      <c r="B3752" t="str">
        <f>"1552374451683958"</f>
        <v>1552374451683958</v>
      </c>
      <c r="C3752" t="s">
        <v>40</v>
      </c>
      <c r="D3752">
        <v>4.316484</v>
      </c>
      <c r="E3752">
        <v>0.46738990000000002</v>
      </c>
      <c r="F3752" t="s">
        <v>61</v>
      </c>
      <c r="G3752">
        <v>-499.95780000000002</v>
      </c>
      <c r="H3752">
        <v>2.5173500000000001E-2</v>
      </c>
      <c r="I3752">
        <v>275.62540000000001</v>
      </c>
      <c r="J3752">
        <v>-410.29610000000002</v>
      </c>
      <c r="K3752">
        <v>1.110776</v>
      </c>
      <c r="L3752">
        <v>284.69540000000001</v>
      </c>
      <c r="M3752">
        <v>-0.99959779999999998</v>
      </c>
      <c r="N3752">
        <v>0</v>
      </c>
      <c r="O3752">
        <v>2.443416E-2</v>
      </c>
      <c r="P3752">
        <v>-0.99969419999999998</v>
      </c>
      <c r="Q3752">
        <v>2.0401909999999999E-2</v>
      </c>
      <c r="R3752">
        <v>-1.3970389999999999E-2</v>
      </c>
      <c r="S3752">
        <v>-2.9977719999999999</v>
      </c>
      <c r="T3752">
        <v>-3.617132E-2</v>
      </c>
      <c r="U3752">
        <v>-0.3019714</v>
      </c>
      <c r="V3752">
        <v>-3.8430249999999999E-2</v>
      </c>
      <c r="W3752">
        <v>3.4741859999999999E-2</v>
      </c>
      <c r="X3752">
        <v>0.99865720000000002</v>
      </c>
      <c r="Y3752">
        <v>-0.1244977</v>
      </c>
      <c r="Z3752">
        <v>-1.0433440000000001E-3</v>
      </c>
      <c r="AA3752">
        <v>0.99221930000000003</v>
      </c>
      <c r="AB3752">
        <v>32</v>
      </c>
      <c r="AC3752">
        <v>-89.661699999999996</v>
      </c>
      <c r="AD3752">
        <v>-1.0856025</v>
      </c>
      <c r="AE3752">
        <v>-9.0699999999999896</v>
      </c>
      <c r="AF3752">
        <v>-11.2566933572877</v>
      </c>
      <c r="AG3752">
        <v>-1.0856025</v>
      </c>
      <c r="AH3752">
        <v>89.400311235117499</v>
      </c>
      <c r="AI3752">
        <v>90.690267998925805</v>
      </c>
      <c r="AJ3752">
        <v>97.176536978019001</v>
      </c>
      <c r="AK3752">
        <v>90.112747861020594</v>
      </c>
      <c r="AL3752">
        <v>88.009037481968505</v>
      </c>
      <c r="AM3752">
        <v>92.203764413837305</v>
      </c>
      <c r="AN3752">
        <v>1.00000004203158</v>
      </c>
    </row>
    <row r="3753" spans="1:40" x14ac:dyDescent="0.25">
      <c r="A3753" t="str">
        <f>"20190312150731712"</f>
        <v>20190312150731712</v>
      </c>
      <c r="B3753" t="str">
        <f>"1552374451703478"</f>
        <v>1552374451703478</v>
      </c>
      <c r="C3753" t="s">
        <v>40</v>
      </c>
      <c r="D3753">
        <v>4.6120340000000004</v>
      </c>
      <c r="E3753">
        <v>0.46733409999999898</v>
      </c>
      <c r="F3753" t="s">
        <v>61</v>
      </c>
      <c r="G3753">
        <v>-499.98140000000001</v>
      </c>
      <c r="H3753">
        <v>7.3654510000000006E-2</v>
      </c>
      <c r="I3753">
        <v>275.53750000000002</v>
      </c>
      <c r="J3753">
        <v>-410.61290000000002</v>
      </c>
      <c r="K3753">
        <v>1.110798</v>
      </c>
      <c r="L3753">
        <v>284.70260000000002</v>
      </c>
      <c r="M3753">
        <v>-0.99961069999999996</v>
      </c>
      <c r="N3753">
        <v>0</v>
      </c>
      <c r="O3753">
        <v>2.390341E-2</v>
      </c>
      <c r="P3753">
        <v>-0.99967830000000002</v>
      </c>
      <c r="Q3753">
        <v>2.0277690000000001E-2</v>
      </c>
      <c r="R3753">
        <v>-1.525028E-2</v>
      </c>
      <c r="S3753">
        <v>-2.9973139999999998</v>
      </c>
      <c r="T3753">
        <v>-3.4660940000000001E-2</v>
      </c>
      <c r="U3753">
        <v>-0.30606080000000002</v>
      </c>
      <c r="V3753">
        <v>-3.9179940000000003E-2</v>
      </c>
      <c r="W3753">
        <v>3.4617490000000001E-2</v>
      </c>
      <c r="X3753">
        <v>0.99863239999999998</v>
      </c>
      <c r="Y3753">
        <v>-0.12532679999999999</v>
      </c>
      <c r="Z3753">
        <v>-9.9852189999999992E-4</v>
      </c>
      <c r="AA3753">
        <v>0.99211499999999997</v>
      </c>
      <c r="AB3753">
        <v>32</v>
      </c>
      <c r="AC3753">
        <v>-89.368499999999898</v>
      </c>
      <c r="AD3753">
        <v>-1.0371434900000001</v>
      </c>
      <c r="AE3753">
        <v>-9.16509999999999</v>
      </c>
      <c r="AF3753">
        <v>-11.2974081289079</v>
      </c>
      <c r="AG3753">
        <v>-1.0371434900000001</v>
      </c>
      <c r="AH3753">
        <v>89.111983013561698</v>
      </c>
      <c r="AI3753">
        <v>90.661521109443299</v>
      </c>
      <c r="AJ3753">
        <v>97.225279413659194</v>
      </c>
      <c r="AK3753">
        <v>89.831245197087597</v>
      </c>
      <c r="AL3753">
        <v>88.016167671103901</v>
      </c>
      <c r="AM3753">
        <v>92.246767133511796</v>
      </c>
      <c r="AN3753">
        <v>1.0000000543210299</v>
      </c>
    </row>
    <row r="3754" spans="1:40" x14ac:dyDescent="0.25">
      <c r="A3754" t="str">
        <f>"20190312150731726"</f>
        <v>20190312150731726</v>
      </c>
      <c r="B3754" t="str">
        <f>"1552374451714214"</f>
        <v>1552374451714214</v>
      </c>
      <c r="C3754" t="s">
        <v>40</v>
      </c>
      <c r="D3754">
        <v>4.3549790000000002</v>
      </c>
      <c r="E3754">
        <v>0.46708070000000002</v>
      </c>
      <c r="F3754" t="s">
        <v>69</v>
      </c>
      <c r="G3754">
        <v>-512.82510000000002</v>
      </c>
      <c r="H3754">
        <v>-5.5978299999999998E-3</v>
      </c>
      <c r="I3754">
        <v>274.12349999999998</v>
      </c>
      <c r="J3754">
        <v>-410.79790000000003</v>
      </c>
      <c r="K3754">
        <v>1.1108100000000001</v>
      </c>
      <c r="L3754">
        <v>284.70670000000001</v>
      </c>
      <c r="M3754">
        <v>-0.99961820000000001</v>
      </c>
      <c r="N3754">
        <v>0</v>
      </c>
      <c r="O3754">
        <v>2.3586929999999999E-2</v>
      </c>
      <c r="P3754">
        <v>-0.99966790000000005</v>
      </c>
      <c r="Q3754">
        <v>2.029098E-2</v>
      </c>
      <c r="R3754">
        <v>-1.5894229999999999E-2</v>
      </c>
      <c r="S3754">
        <v>-2.9968870000000001</v>
      </c>
      <c r="T3754">
        <v>-3.2730580000000002E-2</v>
      </c>
      <c r="U3754">
        <v>-0.31018069999999998</v>
      </c>
      <c r="V3754">
        <v>-3.9508010000000003E-2</v>
      </c>
      <c r="W3754">
        <v>3.4630349999999997E-2</v>
      </c>
      <c r="X3754">
        <v>0.99861900000000003</v>
      </c>
      <c r="Y3754">
        <v>-0.1263775</v>
      </c>
      <c r="Z3754">
        <v>-9.4525740000000005E-4</v>
      </c>
      <c r="AA3754">
        <v>0.99198169999999997</v>
      </c>
      <c r="AB3754">
        <v>32</v>
      </c>
      <c r="AC3754">
        <v>-102.02719999999999</v>
      </c>
      <c r="AD3754">
        <v>-1.11640783</v>
      </c>
      <c r="AE3754">
        <v>-10.5832</v>
      </c>
      <c r="AF3754">
        <v>-12.9854744661586</v>
      </c>
      <c r="AG3754">
        <v>-1.11640783</v>
      </c>
      <c r="AH3754">
        <v>101.737106430941</v>
      </c>
      <c r="AI3754">
        <v>90.623648468129602</v>
      </c>
      <c r="AJ3754">
        <v>97.2737629801221</v>
      </c>
      <c r="AK3754">
        <v>102.568551410726</v>
      </c>
      <c r="AL3754">
        <v>88.015430348298906</v>
      </c>
      <c r="AM3754">
        <v>92.265591099312402</v>
      </c>
      <c r="AN3754">
        <v>1.0000000255781401</v>
      </c>
    </row>
    <row r="3755" spans="1:40" x14ac:dyDescent="0.25">
      <c r="A3755" t="str">
        <f>"20190312150731740"</f>
        <v>20190312150731740</v>
      </c>
      <c r="B3755" t="str">
        <f>"1552374451733734"</f>
        <v>1552374451733734</v>
      </c>
      <c r="C3755" t="s">
        <v>40</v>
      </c>
      <c r="D3755">
        <v>4.6100599999999998</v>
      </c>
      <c r="E3755">
        <v>0.46682050000000003</v>
      </c>
      <c r="F3755" t="s">
        <v>69</v>
      </c>
      <c r="G3755">
        <v>-512.82510000000002</v>
      </c>
      <c r="H3755">
        <v>1.035458E-2</v>
      </c>
      <c r="I3755">
        <v>274.01100000000002</v>
      </c>
      <c r="J3755">
        <v>-411.01819999999998</v>
      </c>
      <c r="K3755">
        <v>1.1108209999999901</v>
      </c>
      <c r="L3755">
        <v>284.7115</v>
      </c>
      <c r="M3755">
        <v>-0.99962720000000005</v>
      </c>
      <c r="N3755">
        <v>0</v>
      </c>
      <c r="O3755">
        <v>2.32021E-2</v>
      </c>
      <c r="P3755">
        <v>-0.99965820000000005</v>
      </c>
      <c r="Q3755">
        <v>2.001706E-2</v>
      </c>
      <c r="R3755">
        <v>-1.6822159999999999E-2</v>
      </c>
      <c r="S3755">
        <v>-2.9966740000000001</v>
      </c>
      <c r="T3755">
        <v>-3.2319430000000003E-2</v>
      </c>
      <c r="U3755">
        <v>-0.31414789999999998</v>
      </c>
      <c r="V3755">
        <v>-4.0051709999999997E-2</v>
      </c>
      <c r="W3755">
        <v>3.4354910000000002E-2</v>
      </c>
      <c r="X3755">
        <v>0.99860680000000002</v>
      </c>
      <c r="Y3755">
        <v>-0.1273022</v>
      </c>
      <c r="Z3755">
        <v>-9.3421849999999996E-4</v>
      </c>
      <c r="AA3755">
        <v>0.99186350000000001</v>
      </c>
      <c r="AB3755">
        <v>32</v>
      </c>
      <c r="AC3755">
        <v>-101.8069</v>
      </c>
      <c r="AD3755">
        <v>-1.1004664199999901</v>
      </c>
      <c r="AE3755">
        <v>-10.7005</v>
      </c>
      <c r="AF3755">
        <v>-13.058488205776699</v>
      </c>
      <c r="AG3755">
        <v>-1.1004664199999901</v>
      </c>
      <c r="AH3755">
        <v>101.519455478986</v>
      </c>
      <c r="AI3755">
        <v>90.615984726590298</v>
      </c>
      <c r="AJ3755">
        <v>97.329730525822896</v>
      </c>
      <c r="AK3755">
        <v>102.361784770059</v>
      </c>
      <c r="AL3755">
        <v>88.031221184673697</v>
      </c>
      <c r="AM3755">
        <v>92.296764501102302</v>
      </c>
      <c r="AN3755">
        <v>0.99999997016063502</v>
      </c>
    </row>
    <row r="3756" spans="1:40" x14ac:dyDescent="0.25">
      <c r="A3756" t="str">
        <f>"20190312150731753"</f>
        <v>20190312150731753</v>
      </c>
      <c r="B3756" t="str">
        <f>"1552374451743494"</f>
        <v>1552374451743494</v>
      </c>
      <c r="C3756" t="s">
        <v>40</v>
      </c>
      <c r="D3756">
        <v>4.3312140000000001</v>
      </c>
      <c r="E3756">
        <v>0.4667403</v>
      </c>
      <c r="F3756" t="s">
        <v>69</v>
      </c>
      <c r="G3756">
        <v>-512.82510000000002</v>
      </c>
      <c r="H3756">
        <v>5.6599969999999999E-3</v>
      </c>
      <c r="I3756">
        <v>273.87580000000003</v>
      </c>
      <c r="J3756">
        <v>-411.19400000000002</v>
      </c>
      <c r="K3756">
        <v>1.110827</v>
      </c>
      <c r="L3756">
        <v>284.71530000000001</v>
      </c>
      <c r="M3756">
        <v>-0.99963429999999998</v>
      </c>
      <c r="N3756">
        <v>0</v>
      </c>
      <c r="O3756">
        <v>2.289194E-2</v>
      </c>
      <c r="P3756">
        <v>-0.99964600000000003</v>
      </c>
      <c r="Q3756">
        <v>2.0136000000000001E-2</v>
      </c>
      <c r="R3756">
        <v>-1.7391819999999999E-2</v>
      </c>
      <c r="S3756">
        <v>-2.9963069999999998</v>
      </c>
      <c r="T3756">
        <v>-3.2523870000000003E-2</v>
      </c>
      <c r="U3756">
        <v>-0.31890869999999999</v>
      </c>
      <c r="V3756">
        <v>-4.0311529999999998E-2</v>
      </c>
      <c r="W3756">
        <v>3.4473089999999998E-2</v>
      </c>
      <c r="X3756">
        <v>0.99859229999999999</v>
      </c>
      <c r="Y3756">
        <v>-0.12856529999999999</v>
      </c>
      <c r="Z3756">
        <v>-9.4364250000000002E-4</v>
      </c>
      <c r="AA3756">
        <v>0.99170060000000004</v>
      </c>
      <c r="AB3756">
        <v>32</v>
      </c>
      <c r="AC3756">
        <v>-101.6311</v>
      </c>
      <c r="AD3756">
        <v>-1.105167003</v>
      </c>
      <c r="AE3756">
        <v>-10.8394999999999</v>
      </c>
      <c r="AF3756">
        <v>-13.1618941137463</v>
      </c>
      <c r="AG3756">
        <v>-1.105167003</v>
      </c>
      <c r="AH3756">
        <v>101.34444943330701</v>
      </c>
      <c r="AI3756">
        <v>90.619585972684405</v>
      </c>
      <c r="AJ3756">
        <v>97.3997488353167</v>
      </c>
      <c r="AK3756">
        <v>102.20153757016701</v>
      </c>
      <c r="AL3756">
        <v>88.024446010061197</v>
      </c>
      <c r="AM3756">
        <v>92.311681292058594</v>
      </c>
      <c r="AN3756">
        <v>0.99999999750218904</v>
      </c>
    </row>
    <row r="3757" spans="1:40" x14ac:dyDescent="0.25">
      <c r="A3757" t="str">
        <f>"20190312150731765"</f>
        <v>20190312150731765</v>
      </c>
      <c r="B3757" t="str">
        <f>"1552374451754230"</f>
        <v>1552374451754230</v>
      </c>
      <c r="C3757" t="s">
        <v>40</v>
      </c>
      <c r="D3757">
        <v>4.6359329999999996</v>
      </c>
      <c r="E3757">
        <v>0.46662490000000001</v>
      </c>
      <c r="F3757" t="s">
        <v>69</v>
      </c>
      <c r="G3757">
        <v>-512.8252</v>
      </c>
      <c r="H3757">
        <v>4.0374519999999997E-2</v>
      </c>
      <c r="I3757">
        <v>273.81880000000001</v>
      </c>
      <c r="J3757">
        <v>-411.3707</v>
      </c>
      <c r="K3757">
        <v>1.110832</v>
      </c>
      <c r="L3757">
        <v>284.71910000000003</v>
      </c>
      <c r="M3757">
        <v>-0.99964149999999996</v>
      </c>
      <c r="N3757">
        <v>0</v>
      </c>
      <c r="O3757">
        <v>2.2578399999999998E-2</v>
      </c>
      <c r="P3757">
        <v>-0.99963469999999999</v>
      </c>
      <c r="Q3757">
        <v>2.0259920000000001E-2</v>
      </c>
      <c r="R3757">
        <v>-1.7894119999999999E-2</v>
      </c>
      <c r="S3757">
        <v>-2.9960939999999998</v>
      </c>
      <c r="T3757">
        <v>-3.1554579999999999E-2</v>
      </c>
      <c r="U3757">
        <v>-0.32122800000000001</v>
      </c>
      <c r="V3757">
        <v>-4.0500870000000001E-2</v>
      </c>
      <c r="W3757">
        <v>3.4596519999999999E-2</v>
      </c>
      <c r="X3757">
        <v>0.99858040000000003</v>
      </c>
      <c r="Y3757">
        <v>-0.1290212</v>
      </c>
      <c r="Z3757">
        <v>-9.146483E-4</v>
      </c>
      <c r="AA3757">
        <v>0.99164140000000001</v>
      </c>
      <c r="AB3757">
        <v>32</v>
      </c>
      <c r="AC3757">
        <v>-101.4545</v>
      </c>
      <c r="AD3757">
        <v>-1.07045748</v>
      </c>
      <c r="AE3757">
        <v>-10.9003</v>
      </c>
      <c r="AF3757">
        <v>-13.186986874972201</v>
      </c>
      <c r="AG3757">
        <v>-1.07045748</v>
      </c>
      <c r="AH3757">
        <v>101.171360114123</v>
      </c>
      <c r="AI3757">
        <v>90.6011188326043</v>
      </c>
      <c r="AJ3757">
        <v>97.426241738807093</v>
      </c>
      <c r="AK3757">
        <v>102.032772232253</v>
      </c>
      <c r="AL3757">
        <v>88.017369830396603</v>
      </c>
      <c r="AM3757">
        <v>92.322554857103896</v>
      </c>
      <c r="AN3757">
        <v>1.0000000274655101</v>
      </c>
    </row>
    <row r="3758" spans="1:40" x14ac:dyDescent="0.25">
      <c r="A3758" t="str">
        <f>"20190312150731779"</f>
        <v>20190312150731779</v>
      </c>
      <c r="B3758" t="str">
        <f>"1552374451773750"</f>
        <v>1552374451773750</v>
      </c>
      <c r="C3758" t="s">
        <v>40</v>
      </c>
      <c r="D3758">
        <v>4.3349390000000003</v>
      </c>
      <c r="E3758">
        <v>0.46657470000000001</v>
      </c>
      <c r="F3758" t="s">
        <v>69</v>
      </c>
      <c r="G3758">
        <v>-512.8252</v>
      </c>
      <c r="H3758">
        <v>7.7802120000000002E-2</v>
      </c>
      <c r="I3758">
        <v>273.75819999999999</v>
      </c>
      <c r="J3758">
        <v>-411.56970000000001</v>
      </c>
      <c r="K3758">
        <v>1.11084</v>
      </c>
      <c r="L3758">
        <v>284.72309999999999</v>
      </c>
      <c r="M3758">
        <v>-0.99964929999999996</v>
      </c>
      <c r="N3758">
        <v>0</v>
      </c>
      <c r="O3758">
        <v>2.222346E-2</v>
      </c>
      <c r="P3758">
        <v>-0.99962189999999995</v>
      </c>
      <c r="Q3758">
        <v>2.042515E-2</v>
      </c>
      <c r="R3758">
        <v>-1.8406369999999998E-2</v>
      </c>
      <c r="S3758">
        <v>-2.995911</v>
      </c>
      <c r="T3758">
        <v>-3.0502560000000001E-2</v>
      </c>
      <c r="U3758">
        <v>-0.3236694</v>
      </c>
      <c r="V3758">
        <v>-4.0658239999999998E-2</v>
      </c>
      <c r="W3758">
        <v>3.4760930000000002E-2</v>
      </c>
      <c r="X3758">
        <v>0.99856829999999996</v>
      </c>
      <c r="Y3758">
        <v>-0.1294749</v>
      </c>
      <c r="Z3758">
        <v>-8.8286949999999995E-4</v>
      </c>
      <c r="AA3758">
        <v>0.99158230000000003</v>
      </c>
      <c r="AB3758">
        <v>32</v>
      </c>
      <c r="AC3758">
        <v>-101.255499999999</v>
      </c>
      <c r="AD3758">
        <v>-1.03303788</v>
      </c>
      <c r="AE3758">
        <v>-10.9649</v>
      </c>
      <c r="AF3758">
        <v>-13.211313171230501</v>
      </c>
      <c r="AG3758">
        <v>-1.03303788</v>
      </c>
      <c r="AH3758">
        <v>100.97639581285701</v>
      </c>
      <c r="AI3758">
        <v>90.581190430132594</v>
      </c>
      <c r="AJ3758">
        <v>97.453991036370994</v>
      </c>
      <c r="AK3758">
        <v>101.842223435688</v>
      </c>
      <c r="AL3758">
        <v>88.007944171644098</v>
      </c>
      <c r="AM3758">
        <v>92.331597646852103</v>
      </c>
      <c r="AN3758">
        <v>1.0000000322496201</v>
      </c>
    </row>
    <row r="3759" spans="1:40" x14ac:dyDescent="0.25">
      <c r="A3759" t="str">
        <f>"20190312150731792"</f>
        <v>20190312150731792</v>
      </c>
      <c r="B3759" t="str">
        <f>"1552374451783510"</f>
        <v>1552374451783510</v>
      </c>
      <c r="C3759" t="s">
        <v>40</v>
      </c>
      <c r="D3759">
        <v>4.3435079999999999</v>
      </c>
      <c r="E3759">
        <v>0.46645809999999999</v>
      </c>
      <c r="F3759" t="s">
        <v>69</v>
      </c>
      <c r="G3759">
        <v>-512.8252</v>
      </c>
      <c r="H3759">
        <v>0.16752030000000001</v>
      </c>
      <c r="I3759">
        <v>273.72109999999998</v>
      </c>
      <c r="J3759">
        <v>-411.74650000000003</v>
      </c>
      <c r="K3759">
        <v>1.1108439999999999</v>
      </c>
      <c r="L3759">
        <v>284.72669999999999</v>
      </c>
      <c r="M3759">
        <v>-0.99965630000000005</v>
      </c>
      <c r="N3759">
        <v>0</v>
      </c>
      <c r="O3759">
        <v>2.190698E-2</v>
      </c>
      <c r="P3759">
        <v>-0.99961540000000004</v>
      </c>
      <c r="Q3759">
        <v>2.049312E-2</v>
      </c>
      <c r="R3759">
        <v>-1.8689219999999999E-2</v>
      </c>
      <c r="S3759">
        <v>-2.9956969999999998</v>
      </c>
      <c r="T3759">
        <v>-2.7906179999999999E-2</v>
      </c>
      <c r="U3759">
        <v>-0.32550050000000003</v>
      </c>
      <c r="V3759">
        <v>-4.0624819999999999E-2</v>
      </c>
      <c r="W3759">
        <v>3.4828600000000001E-2</v>
      </c>
      <c r="X3759">
        <v>0.99856730000000005</v>
      </c>
      <c r="Y3759">
        <v>-0.12976889999999999</v>
      </c>
      <c r="Z3759">
        <v>-8.0617820000000002E-4</v>
      </c>
      <c r="AA3759">
        <v>0.99154390000000003</v>
      </c>
      <c r="AB3759">
        <v>32</v>
      </c>
      <c r="AC3759">
        <v>-101.078699999999</v>
      </c>
      <c r="AD3759">
        <v>-0.94332369999999999</v>
      </c>
      <c r="AE3759">
        <v>-11.005599999999999</v>
      </c>
      <c r="AF3759">
        <v>-13.2163793204359</v>
      </c>
      <c r="AG3759">
        <v>-0.94332369999999999</v>
      </c>
      <c r="AH3759">
        <v>100.80463607028901</v>
      </c>
      <c r="AI3759">
        <v>90.531605504473802</v>
      </c>
      <c r="AJ3759">
        <v>97.469379490355493</v>
      </c>
      <c r="AK3759">
        <v>101.671712856665</v>
      </c>
      <c r="AL3759">
        <v>88.004064612731995</v>
      </c>
      <c r="AM3759">
        <v>92.329685578122593</v>
      </c>
      <c r="AN3759">
        <v>1.00000003000364</v>
      </c>
    </row>
    <row r="3760" spans="1:40" x14ac:dyDescent="0.25">
      <c r="A3760" t="str">
        <f>"20190312150731804"</f>
        <v>20190312150731804</v>
      </c>
      <c r="B3760" t="str">
        <f>"1552374451794246"</f>
        <v>1552374451794246</v>
      </c>
      <c r="C3760" t="s">
        <v>40</v>
      </c>
      <c r="D3760">
        <v>4.3794649999999997</v>
      </c>
      <c r="E3760">
        <v>0.466368</v>
      </c>
      <c r="F3760" t="s">
        <v>69</v>
      </c>
      <c r="G3760">
        <v>-512.8252</v>
      </c>
      <c r="H3760">
        <v>0.15201339999999999</v>
      </c>
      <c r="I3760">
        <v>273.68090000000001</v>
      </c>
      <c r="J3760">
        <v>-411.923</v>
      </c>
      <c r="K3760">
        <v>1.110846</v>
      </c>
      <c r="L3760">
        <v>284.7303</v>
      </c>
      <c r="M3760">
        <v>-0.99966339999999998</v>
      </c>
      <c r="N3760">
        <v>0</v>
      </c>
      <c r="O3760">
        <v>2.159051E-2</v>
      </c>
      <c r="P3760">
        <v>-0.99959560000000003</v>
      </c>
      <c r="Q3760">
        <v>2.0926210000000001E-2</v>
      </c>
      <c r="R3760">
        <v>-1.925617E-2</v>
      </c>
      <c r="S3760">
        <v>-2.9956360000000002</v>
      </c>
      <c r="T3760">
        <v>-2.8414129999999999E-2</v>
      </c>
      <c r="U3760">
        <v>-0.32736209999999999</v>
      </c>
      <c r="V3760">
        <v>-4.087561E-2</v>
      </c>
      <c r="W3760">
        <v>3.5260350000000003E-2</v>
      </c>
      <c r="X3760">
        <v>0.99854189999999998</v>
      </c>
      <c r="Y3760">
        <v>-0.13006580000000001</v>
      </c>
      <c r="Z3760">
        <v>-8.1925080000000005E-4</v>
      </c>
      <c r="AA3760">
        <v>0.99150499999999997</v>
      </c>
      <c r="AB3760">
        <v>32</v>
      </c>
      <c r="AC3760">
        <v>-100.90219999999999</v>
      </c>
      <c r="AD3760">
        <v>-0.95883259999999904</v>
      </c>
      <c r="AE3760">
        <v>-11.049399999999901</v>
      </c>
      <c r="AF3760">
        <v>-13.224399225242999</v>
      </c>
      <c r="AG3760">
        <v>-0.95883259999999904</v>
      </c>
      <c r="AH3760">
        <v>100.631108492821</v>
      </c>
      <c r="AI3760">
        <v>90.5412553120171</v>
      </c>
      <c r="AJ3760">
        <v>97.486602602666395</v>
      </c>
      <c r="AK3760">
        <v>101.50085758907299</v>
      </c>
      <c r="AL3760">
        <v>87.979311929792104</v>
      </c>
      <c r="AM3760">
        <v>92.344111037998402</v>
      </c>
      <c r="AN3760">
        <v>1.0000000169153</v>
      </c>
    </row>
    <row r="3761" spans="1:40" x14ac:dyDescent="0.25">
      <c r="A3761" t="str">
        <f>"20190312150731816"</f>
        <v>20190312150731816</v>
      </c>
      <c r="B3761" t="str">
        <f>"1552374451813767"</f>
        <v>1552374451813767</v>
      </c>
      <c r="C3761" t="s">
        <v>40</v>
      </c>
      <c r="D3761">
        <v>4.5482680000000002</v>
      </c>
      <c r="E3761">
        <v>0.46635500000000002</v>
      </c>
      <c r="F3761" t="s">
        <v>69</v>
      </c>
      <c r="G3761">
        <v>-512.8252</v>
      </c>
      <c r="H3761">
        <v>0.15004890000000001</v>
      </c>
      <c r="I3761">
        <v>273.61649999999997</v>
      </c>
      <c r="J3761">
        <v>-412.09699999999998</v>
      </c>
      <c r="K3761">
        <v>1.1108480000000001</v>
      </c>
      <c r="L3761">
        <v>284.73379999999997</v>
      </c>
      <c r="M3761">
        <v>-0.99966999999999995</v>
      </c>
      <c r="N3761">
        <v>0</v>
      </c>
      <c r="O3761">
        <v>2.1278120000000001E-2</v>
      </c>
      <c r="P3761">
        <v>-0.99959419999999999</v>
      </c>
      <c r="Q3761">
        <v>2.0835300000000001E-2</v>
      </c>
      <c r="R3761">
        <v>-1.9430840000000001E-2</v>
      </c>
      <c r="S3761">
        <v>-2.9953919999999998</v>
      </c>
      <c r="T3761">
        <v>-2.8519869999999999E-2</v>
      </c>
      <c r="U3761">
        <v>-0.32992549999999998</v>
      </c>
      <c r="V3761">
        <v>-4.0738129999999997E-2</v>
      </c>
      <c r="W3761">
        <v>3.5169329999999999E-2</v>
      </c>
      <c r="X3761">
        <v>0.99855070000000001</v>
      </c>
      <c r="Y3761">
        <v>-0.1306031</v>
      </c>
      <c r="Z3761">
        <v>-8.2191139999999996E-4</v>
      </c>
      <c r="AA3761">
        <v>0.99143440000000005</v>
      </c>
      <c r="AB3761">
        <v>32</v>
      </c>
      <c r="AC3761">
        <v>-100.7282</v>
      </c>
      <c r="AD3761">
        <v>-0.96079910000000002</v>
      </c>
      <c r="AE3761">
        <v>-11.1173</v>
      </c>
      <c r="AF3761">
        <v>-13.257119539952599</v>
      </c>
      <c r="AG3761">
        <v>-0.96079910000000002</v>
      </c>
      <c r="AH3761">
        <v>100.45977998741699</v>
      </c>
      <c r="AI3761">
        <v>90.543251578136704</v>
      </c>
      <c r="AJ3761">
        <v>97.517568292498197</v>
      </c>
      <c r="AK3761">
        <v>101.33529369636</v>
      </c>
      <c r="AL3761">
        <v>87.984530171316294</v>
      </c>
      <c r="AM3761">
        <v>92.336215098487301</v>
      </c>
      <c r="AN3761">
        <v>0.99999998873951701</v>
      </c>
    </row>
    <row r="3762" spans="1:40" x14ac:dyDescent="0.25">
      <c r="A3762" t="str">
        <f>"20190312150731831"</f>
        <v>20190312150731831</v>
      </c>
      <c r="B3762" t="str">
        <f>"1552374451823526"</f>
        <v>1552374451823526</v>
      </c>
      <c r="C3762" t="s">
        <v>40</v>
      </c>
      <c r="D3762">
        <v>4.3620210000000004</v>
      </c>
      <c r="E3762">
        <v>0.46627970000000002</v>
      </c>
      <c r="F3762" t="s">
        <v>69</v>
      </c>
      <c r="G3762">
        <v>-512.8252</v>
      </c>
      <c r="H3762">
        <v>0.1652796</v>
      </c>
      <c r="I3762">
        <v>273.62150000000003</v>
      </c>
      <c r="J3762">
        <v>-412.30200000000002</v>
      </c>
      <c r="K3762">
        <v>1.110852</v>
      </c>
      <c r="L3762">
        <v>284.73779999999999</v>
      </c>
      <c r="M3762">
        <v>-0.9996777</v>
      </c>
      <c r="N3762">
        <v>0</v>
      </c>
      <c r="O3762">
        <v>2.0910709999999999E-2</v>
      </c>
      <c r="P3762">
        <v>-0.99958049999999998</v>
      </c>
      <c r="Q3762">
        <v>2.0833939999999999E-2</v>
      </c>
      <c r="R3762">
        <v>-2.0124630000000001E-2</v>
      </c>
      <c r="S3762">
        <v>-2.9953609999999999</v>
      </c>
      <c r="T3762">
        <v>-2.811599E-2</v>
      </c>
      <c r="U3762">
        <v>-0.33044430000000002</v>
      </c>
      <c r="V3762">
        <v>-4.1064299999999998E-2</v>
      </c>
      <c r="W3762">
        <v>3.5166950000000002E-2</v>
      </c>
      <c r="X3762">
        <v>0.99853740000000002</v>
      </c>
      <c r="Y3762">
        <v>-0.13040969999999999</v>
      </c>
      <c r="Z3762">
        <v>-8.0592839999999995E-4</v>
      </c>
      <c r="AA3762">
        <v>0.9914598</v>
      </c>
      <c r="AB3762">
        <v>32</v>
      </c>
      <c r="AC3762">
        <v>-100.5232</v>
      </c>
      <c r="AD3762">
        <v>-0.94557239999999998</v>
      </c>
      <c r="AE3762">
        <v>-11.116299999999899</v>
      </c>
      <c r="AF3762">
        <v>-13.214943048333</v>
      </c>
      <c r="AG3762">
        <v>-0.94557239999999998</v>
      </c>
      <c r="AH3762">
        <v>100.25997787889</v>
      </c>
      <c r="AI3762">
        <v>90.535719001123297</v>
      </c>
      <c r="AJ3762">
        <v>97.508687943897201</v>
      </c>
      <c r="AK3762">
        <v>101.13155784032</v>
      </c>
      <c r="AL3762">
        <v>87.984666572123899</v>
      </c>
      <c r="AM3762">
        <v>92.354930370176504</v>
      </c>
      <c r="AN3762">
        <v>0.99999996515277501</v>
      </c>
    </row>
    <row r="3763" spans="1:40" x14ac:dyDescent="0.25">
      <c r="A3763" t="str">
        <f>"20190312150731843"</f>
        <v>20190312150731843</v>
      </c>
      <c r="B3763" t="str">
        <f>"1552374451834263"</f>
        <v>1552374451834263</v>
      </c>
      <c r="C3763" t="s">
        <v>40</v>
      </c>
      <c r="D3763">
        <v>4.6004069999999997</v>
      </c>
      <c r="E3763">
        <v>0.46619969999999999</v>
      </c>
      <c r="F3763" t="s">
        <v>69</v>
      </c>
      <c r="G3763">
        <v>-512.8252</v>
      </c>
      <c r="H3763">
        <v>0.1447378</v>
      </c>
      <c r="I3763">
        <v>273.55919999999998</v>
      </c>
      <c r="J3763">
        <v>-412.4803</v>
      </c>
      <c r="K3763">
        <v>1.1108530000000001</v>
      </c>
      <c r="L3763">
        <v>284.74119999999999</v>
      </c>
      <c r="M3763">
        <v>-0.99968440000000003</v>
      </c>
      <c r="N3763">
        <v>0</v>
      </c>
      <c r="O3763">
        <v>2.0591060000000001E-2</v>
      </c>
      <c r="P3763">
        <v>-0.99957189999999996</v>
      </c>
      <c r="Q3763">
        <v>2.0851939999999999E-2</v>
      </c>
      <c r="R3763">
        <v>-2.0529260000000001E-2</v>
      </c>
      <c r="S3763">
        <v>-2.995117</v>
      </c>
      <c r="T3763">
        <v>-2.8783199999999998E-2</v>
      </c>
      <c r="U3763">
        <v>-0.3330688</v>
      </c>
      <c r="V3763">
        <v>-4.1149020000000001E-2</v>
      </c>
      <c r="W3763">
        <v>3.5183619999999999E-2</v>
      </c>
      <c r="X3763">
        <v>0.99853340000000002</v>
      </c>
      <c r="Y3763">
        <v>-0.1309593</v>
      </c>
      <c r="Z3763">
        <v>-8.2464919999999996E-4</v>
      </c>
      <c r="AA3763">
        <v>0.99138740000000003</v>
      </c>
      <c r="AB3763">
        <v>32</v>
      </c>
      <c r="AC3763">
        <v>-100.3449</v>
      </c>
      <c r="AD3763">
        <v>-0.96611519999999995</v>
      </c>
      <c r="AE3763">
        <v>-11.182</v>
      </c>
      <c r="AF3763">
        <v>-13.2448378723372</v>
      </c>
      <c r="AG3763">
        <v>-0.96611519999999995</v>
      </c>
      <c r="AH3763">
        <v>100.084183810111</v>
      </c>
      <c r="AI3763">
        <v>90.548280550021701</v>
      </c>
      <c r="AJ3763">
        <v>97.5385459465667</v>
      </c>
      <c r="AK3763">
        <v>100.961393402529</v>
      </c>
      <c r="AL3763">
        <v>87.983711010865207</v>
      </c>
      <c r="AM3763">
        <v>92.359792796521603</v>
      </c>
      <c r="AN3763">
        <v>1.00000003993941</v>
      </c>
    </row>
    <row r="3764" spans="1:40" x14ac:dyDescent="0.25">
      <c r="A3764" t="str">
        <f>"20190312150731858"</f>
        <v>20190312150731858</v>
      </c>
      <c r="B3764" t="str">
        <f>"1552374451853782"</f>
        <v>1552374451853782</v>
      </c>
      <c r="C3764" t="s">
        <v>40</v>
      </c>
      <c r="D3764">
        <v>4.5522169999999997</v>
      </c>
      <c r="E3764">
        <v>0.46609899999999999</v>
      </c>
      <c r="F3764" t="s">
        <v>69</v>
      </c>
      <c r="G3764">
        <v>-512.8252</v>
      </c>
      <c r="H3764">
        <v>0.17980070000000001</v>
      </c>
      <c r="I3764">
        <v>273.5197</v>
      </c>
      <c r="J3764">
        <v>-412.68119999999999</v>
      </c>
      <c r="K3764">
        <v>1.1108549999999999</v>
      </c>
      <c r="L3764">
        <v>284.745</v>
      </c>
      <c r="M3764">
        <v>-0.99969169999999996</v>
      </c>
      <c r="N3764">
        <v>0</v>
      </c>
      <c r="O3764">
        <v>2.0231180000000001E-2</v>
      </c>
      <c r="P3764">
        <v>-0.99955479999999997</v>
      </c>
      <c r="Q3764">
        <v>2.0800820000000001E-2</v>
      </c>
      <c r="R3764">
        <v>-2.1395870000000001E-2</v>
      </c>
      <c r="S3764">
        <v>-2.9950260000000002</v>
      </c>
      <c r="T3764">
        <v>-2.7786970000000001E-2</v>
      </c>
      <c r="U3764">
        <v>-0.33493040000000002</v>
      </c>
      <c r="V3764">
        <v>-4.1655699999999997E-2</v>
      </c>
      <c r="W3764">
        <v>3.5131199999999897E-2</v>
      </c>
      <c r="X3764">
        <v>0.99851420000000002</v>
      </c>
      <c r="Y3764">
        <v>-0.1312149</v>
      </c>
      <c r="Z3764">
        <v>-7.9395699999999997E-4</v>
      </c>
      <c r="AA3764">
        <v>0.99135359999999995</v>
      </c>
      <c r="AB3764">
        <v>32</v>
      </c>
      <c r="AC3764">
        <v>-100.143999999999</v>
      </c>
      <c r="AD3764">
        <v>-0.9310543</v>
      </c>
      <c r="AE3764">
        <v>-11.225300000000001</v>
      </c>
      <c r="AF3764">
        <v>-13.2481123323156</v>
      </c>
      <c r="AG3764">
        <v>-0.9310543</v>
      </c>
      <c r="AH3764">
        <v>99.887847676650793</v>
      </c>
      <c r="AI3764">
        <v>90.529402596454503</v>
      </c>
      <c r="AJ3764">
        <v>97.555038316140894</v>
      </c>
      <c r="AK3764">
        <v>100.766866855891</v>
      </c>
      <c r="AL3764">
        <v>87.986716239182698</v>
      </c>
      <c r="AM3764">
        <v>92.388862043809794</v>
      </c>
      <c r="AN3764">
        <v>1.0000000030787799</v>
      </c>
    </row>
    <row r="3765" spans="1:40" x14ac:dyDescent="0.25">
      <c r="A3765" t="str">
        <f>"20190312150731872"</f>
        <v>20190312150731872</v>
      </c>
      <c r="B3765" t="str">
        <f>"1552374451864051"</f>
        <v>1552374451864051</v>
      </c>
      <c r="C3765" t="s">
        <v>40</v>
      </c>
      <c r="D3765">
        <v>4.5768579999999996</v>
      </c>
      <c r="E3765">
        <v>0.46608159999999998</v>
      </c>
      <c r="F3765" t="s">
        <v>69</v>
      </c>
      <c r="G3765">
        <v>-512.8252</v>
      </c>
      <c r="H3765">
        <v>0.2014127</v>
      </c>
      <c r="I3765">
        <v>273.42720000000003</v>
      </c>
      <c r="J3765">
        <v>-412.88069999999999</v>
      </c>
      <c r="K3765">
        <v>1.1108549999999999</v>
      </c>
      <c r="L3765">
        <v>284.74869999999999</v>
      </c>
      <c r="M3765">
        <v>-0.99969889999999995</v>
      </c>
      <c r="N3765">
        <v>0</v>
      </c>
      <c r="O3765">
        <v>1.9873760000000001E-2</v>
      </c>
      <c r="P3765">
        <v>-0.99954659999999995</v>
      </c>
      <c r="Q3765">
        <v>2.043004E-2</v>
      </c>
      <c r="R3765">
        <v>-2.2114769999999999E-2</v>
      </c>
      <c r="S3765">
        <v>-2.994659</v>
      </c>
      <c r="T3765">
        <v>-2.719307E-2</v>
      </c>
      <c r="U3765">
        <v>-0.33843990000000002</v>
      </c>
      <c r="V3765">
        <v>-4.2017150000000003E-2</v>
      </c>
      <c r="W3765">
        <v>3.4759020000000002E-2</v>
      </c>
      <c r="X3765">
        <v>0.99851210000000001</v>
      </c>
      <c r="Y3765">
        <v>-0.13202139999999901</v>
      </c>
      <c r="Z3765">
        <v>-7.7744529999999997E-4</v>
      </c>
      <c r="AA3765">
        <v>0.99124659999999998</v>
      </c>
      <c r="AB3765">
        <v>32</v>
      </c>
      <c r="AC3765">
        <v>-99.944500000000005</v>
      </c>
      <c r="AD3765">
        <v>-0.90944230000000004</v>
      </c>
      <c r="AE3765">
        <v>-11.321499999999901</v>
      </c>
      <c r="AF3765">
        <v>-13.3046545957502</v>
      </c>
      <c r="AG3765">
        <v>-0.90944230000000004</v>
      </c>
      <c r="AH3765">
        <v>99.691582597618194</v>
      </c>
      <c r="AI3765">
        <v>90.518076471298698</v>
      </c>
      <c r="AJ3765">
        <v>97.601670037876502</v>
      </c>
      <c r="AK3765">
        <v>100.57958321661</v>
      </c>
      <c r="AL3765">
        <v>88.008053652538294</v>
      </c>
      <c r="AM3765">
        <v>92.409571134888594</v>
      </c>
      <c r="AN3765">
        <v>1.00000002210594</v>
      </c>
    </row>
    <row r="3766" spans="1:40" x14ac:dyDescent="0.25">
      <c r="A3766" t="str">
        <f>"20190312150731892"</f>
        <v>20190312150731892</v>
      </c>
      <c r="B3766" t="str">
        <f>"1552374451883570"</f>
        <v>1552374451883570</v>
      </c>
      <c r="C3766" t="s">
        <v>40</v>
      </c>
      <c r="D3766">
        <v>4.8833589999999996</v>
      </c>
      <c r="E3766">
        <v>0.46604859999999998</v>
      </c>
      <c r="F3766" t="s">
        <v>69</v>
      </c>
      <c r="G3766">
        <v>-512.8252</v>
      </c>
      <c r="H3766">
        <v>0.16871340000000001</v>
      </c>
      <c r="I3766">
        <v>273.375</v>
      </c>
      <c r="J3766">
        <v>-413.16609999999997</v>
      </c>
      <c r="K3766">
        <v>1.110859</v>
      </c>
      <c r="L3766">
        <v>284.75380000000001</v>
      </c>
      <c r="M3766">
        <v>-0.99970890000000001</v>
      </c>
      <c r="N3766">
        <v>0</v>
      </c>
      <c r="O3766">
        <v>1.9362500000000001E-2</v>
      </c>
      <c r="P3766">
        <v>-0.99952430000000003</v>
      </c>
      <c r="Q3766">
        <v>2.0111529999999999E-2</v>
      </c>
      <c r="R3766">
        <v>-2.3382279999999998E-2</v>
      </c>
      <c r="S3766">
        <v>-2.9943849999999999</v>
      </c>
      <c r="T3766">
        <v>-2.8224590000000001E-2</v>
      </c>
      <c r="U3766">
        <v>-0.34075929999999999</v>
      </c>
      <c r="V3766">
        <v>-4.2772280000000003E-2</v>
      </c>
      <c r="W3766">
        <v>3.4437349999999999E-2</v>
      </c>
      <c r="X3766">
        <v>0.99849120000000002</v>
      </c>
      <c r="Y3766">
        <v>-0.13228210000000001</v>
      </c>
      <c r="Z3766">
        <v>-8.0339289999999998E-4</v>
      </c>
      <c r="AA3766">
        <v>0.99121179999999998</v>
      </c>
      <c r="AB3766">
        <v>32</v>
      </c>
      <c r="AC3766">
        <v>-99.659099999999995</v>
      </c>
      <c r="AD3766">
        <v>-0.94214560000000003</v>
      </c>
      <c r="AE3766">
        <v>-11.3788</v>
      </c>
      <c r="AF3766">
        <v>-13.305341816126001</v>
      </c>
      <c r="AG3766">
        <v>-0.94214560000000003</v>
      </c>
      <c r="AH3766">
        <v>99.411297847090694</v>
      </c>
      <c r="AI3766">
        <v>90.538191335224695</v>
      </c>
      <c r="AJ3766">
        <v>97.62323997192</v>
      </c>
      <c r="AK3766">
        <v>100.302172951629</v>
      </c>
      <c r="AL3766">
        <v>88.026495057265606</v>
      </c>
      <c r="AM3766">
        <v>92.452874674993296</v>
      </c>
      <c r="AN3766">
        <v>1.00000003774442</v>
      </c>
    </row>
    <row r="3767" spans="1:40" x14ac:dyDescent="0.25">
      <c r="A3767" t="str">
        <f>"20190312150731912"</f>
        <v>20190312150731912</v>
      </c>
      <c r="B3767" t="str">
        <f>"1552374451904066"</f>
        <v>1552374451904066</v>
      </c>
      <c r="C3767" t="s">
        <v>40</v>
      </c>
      <c r="D3767">
        <v>4.4028229999999997</v>
      </c>
      <c r="E3767">
        <v>0.46601189999999998</v>
      </c>
      <c r="F3767" t="s">
        <v>69</v>
      </c>
      <c r="G3767">
        <v>-512.8252</v>
      </c>
      <c r="H3767">
        <v>0.12793740000000001</v>
      </c>
      <c r="I3767">
        <v>273.2749</v>
      </c>
      <c r="J3767">
        <v>-413.464</v>
      </c>
      <c r="K3767">
        <v>1.110857</v>
      </c>
      <c r="L3767">
        <v>284.75900000000001</v>
      </c>
      <c r="M3767">
        <v>-0.99971929999999998</v>
      </c>
      <c r="N3767">
        <v>0</v>
      </c>
      <c r="O3767">
        <v>1.8826200000000001E-2</v>
      </c>
      <c r="P3767">
        <v>-0.9995174</v>
      </c>
      <c r="Q3767">
        <v>1.9648470000000001E-2</v>
      </c>
      <c r="R3767">
        <v>-2.4061579999999999E-2</v>
      </c>
      <c r="S3767">
        <v>-2.9939580000000001</v>
      </c>
      <c r="T3767">
        <v>-2.9526469999999999E-2</v>
      </c>
      <c r="U3767">
        <v>-0.34484860000000001</v>
      </c>
      <c r="V3767">
        <v>-4.2915799999999997E-2</v>
      </c>
      <c r="W3767">
        <v>3.3972229999999999E-2</v>
      </c>
      <c r="X3767">
        <v>0.99850090000000002</v>
      </c>
      <c r="Y3767">
        <v>-0.1331019</v>
      </c>
      <c r="Z3767">
        <v>-8.3925799999999995E-4</v>
      </c>
      <c r="AA3767">
        <v>0.99110200000000004</v>
      </c>
      <c r="AB3767">
        <v>32</v>
      </c>
      <c r="AC3767">
        <v>-99.361199999999997</v>
      </c>
      <c r="AD3767">
        <v>-0.9829196</v>
      </c>
      <c r="AE3767">
        <v>-11.4841</v>
      </c>
      <c r="AF3767">
        <v>-13.3515622784935</v>
      </c>
      <c r="AG3767">
        <v>-0.9829196</v>
      </c>
      <c r="AH3767">
        <v>99.117790637973599</v>
      </c>
      <c r="AI3767">
        <v>90.563080102428401</v>
      </c>
      <c r="AJ3767">
        <v>97.671790785576405</v>
      </c>
      <c r="AK3767">
        <v>100.01783224590299</v>
      </c>
      <c r="AL3767">
        <v>88.053159926675505</v>
      </c>
      <c r="AM3767">
        <v>92.461071176870405</v>
      </c>
      <c r="AN3767">
        <v>0.99999996280081005</v>
      </c>
    </row>
    <row r="3768" spans="1:40" x14ac:dyDescent="0.25">
      <c r="A3768" t="str">
        <f>"20190312150731926"</f>
        <v>20190312150731926</v>
      </c>
      <c r="B3768" t="str">
        <f>"1552374451913826"</f>
        <v>1552374451913826</v>
      </c>
      <c r="C3768" t="s">
        <v>40</v>
      </c>
      <c r="D3768">
        <v>4.5347739999999996</v>
      </c>
      <c r="E3768">
        <v>0.46601189999999998</v>
      </c>
      <c r="F3768" t="s">
        <v>69</v>
      </c>
      <c r="G3768">
        <v>-512.82510000000002</v>
      </c>
      <c r="H3768">
        <v>2.3059730000000001E-2</v>
      </c>
      <c r="I3768">
        <v>273.23050000000001</v>
      </c>
      <c r="J3768">
        <v>-413.6465</v>
      </c>
      <c r="K3768">
        <v>1.110859</v>
      </c>
      <c r="L3768">
        <v>284.76209999999998</v>
      </c>
      <c r="M3768">
        <v>-0.99972550000000004</v>
      </c>
      <c r="N3768">
        <v>0</v>
      </c>
      <c r="O3768">
        <v>1.8496229999999999E-2</v>
      </c>
      <c r="P3768">
        <v>-0.99951540000000005</v>
      </c>
      <c r="Q3768">
        <v>1.9223799999999999E-2</v>
      </c>
      <c r="R3768">
        <v>-2.4487539999999999E-2</v>
      </c>
      <c r="S3768">
        <v>-2.993744</v>
      </c>
      <c r="T3768">
        <v>-3.2772780000000001E-2</v>
      </c>
      <c r="U3768">
        <v>-0.34735110000000002</v>
      </c>
      <c r="V3768">
        <v>-4.3011170000000001E-2</v>
      </c>
      <c r="W3768">
        <v>3.3546180000000002E-2</v>
      </c>
      <c r="X3768">
        <v>0.99851129999999999</v>
      </c>
      <c r="Y3768">
        <v>-0.13359860000000001</v>
      </c>
      <c r="Z3768">
        <v>-9.3065499999999996E-4</v>
      </c>
      <c r="AA3768">
        <v>0.99103509999999995</v>
      </c>
      <c r="AB3768">
        <v>32</v>
      </c>
      <c r="AC3768">
        <v>-99.178600000000003</v>
      </c>
      <c r="AD3768">
        <v>-1.0877992700000001</v>
      </c>
      <c r="AE3768">
        <v>-11.5315999999999</v>
      </c>
      <c r="AF3768">
        <v>-13.3626607303709</v>
      </c>
      <c r="AG3768">
        <v>-1.0877992700000001</v>
      </c>
      <c r="AH3768">
        <v>98.936573629320804</v>
      </c>
      <c r="AI3768">
        <v>90.624269106081002</v>
      </c>
      <c r="AJ3768">
        <v>97.691987241701</v>
      </c>
      <c r="AK3768">
        <v>99.840821363592696</v>
      </c>
      <c r="AL3768">
        <v>88.077584906840599</v>
      </c>
      <c r="AM3768">
        <v>92.466507907610406</v>
      </c>
      <c r="AN3768">
        <v>1.00000006158252</v>
      </c>
    </row>
    <row r="3769" spans="1:40" x14ac:dyDescent="0.25">
      <c r="A3769" t="str">
        <f>"20190312150731939"</f>
        <v>20190312150731939</v>
      </c>
      <c r="B3769" t="str">
        <f>"1552374451933346"</f>
        <v>1552374451933346</v>
      </c>
      <c r="C3769" t="s">
        <v>40</v>
      </c>
      <c r="D3769">
        <v>4.5533839999999897</v>
      </c>
      <c r="E3769">
        <v>0.49212800000000001</v>
      </c>
      <c r="F3769" t="s">
        <v>61</v>
      </c>
      <c r="G3769">
        <v>-504.06020000000001</v>
      </c>
      <c r="H3769">
        <v>7.9999550000000003E-2</v>
      </c>
      <c r="I3769">
        <v>274.2389</v>
      </c>
      <c r="J3769">
        <v>-413.84140000000002</v>
      </c>
      <c r="K3769">
        <v>1.11086</v>
      </c>
      <c r="L3769">
        <v>284.76530000000002</v>
      </c>
      <c r="M3769">
        <v>-0.99973199999999995</v>
      </c>
      <c r="N3769">
        <v>0</v>
      </c>
      <c r="O3769">
        <v>1.814062E-2</v>
      </c>
      <c r="P3769">
        <v>-0.99951420000000002</v>
      </c>
      <c r="Q3769">
        <v>1.9054249999999998E-2</v>
      </c>
      <c r="R3769">
        <v>-2.466863E-2</v>
      </c>
      <c r="S3769">
        <v>-2.9935610000000001</v>
      </c>
      <c r="T3769">
        <v>-3.4131290000000002E-2</v>
      </c>
      <c r="U3769">
        <v>-0.34841919999999998</v>
      </c>
      <c r="V3769">
        <v>-4.2836680000000002E-2</v>
      </c>
      <c r="W3769">
        <v>3.3375559999999999E-2</v>
      </c>
      <c r="X3769">
        <v>0.99852439999999998</v>
      </c>
      <c r="Y3769">
        <v>-0.1336012</v>
      </c>
      <c r="Z3769">
        <v>-9.6524160000000003E-4</v>
      </c>
      <c r="AA3769">
        <v>0.99103470000000005</v>
      </c>
      <c r="AB3769">
        <v>32</v>
      </c>
      <c r="AC3769">
        <v>-90.218800000000002</v>
      </c>
      <c r="AD3769">
        <v>-1.03086045</v>
      </c>
      <c r="AE3769">
        <v>-10.526400000000001</v>
      </c>
      <c r="AF3769">
        <v>-12.1598954753204</v>
      </c>
      <c r="AG3769">
        <v>-1.03086045</v>
      </c>
      <c r="AH3769">
        <v>90.001383191912595</v>
      </c>
      <c r="AI3769">
        <v>90.650319212004405</v>
      </c>
      <c r="AJ3769">
        <v>97.694517739947401</v>
      </c>
      <c r="AK3769">
        <v>90.824967424687699</v>
      </c>
      <c r="AL3769">
        <v>88.087365963032596</v>
      </c>
      <c r="AM3769">
        <v>92.456481741615306</v>
      </c>
      <c r="AN3769">
        <v>0.999999943277046</v>
      </c>
    </row>
    <row r="3770" spans="1:40" x14ac:dyDescent="0.25">
      <c r="A3770" t="str">
        <f>"20190312150731951"</f>
        <v>20190312150731951</v>
      </c>
      <c r="B3770" t="str">
        <f>"1552374451944082"</f>
        <v>1552374451944082</v>
      </c>
      <c r="C3770" t="s">
        <v>40</v>
      </c>
      <c r="D3770">
        <v>4.5604239999999896</v>
      </c>
      <c r="E3770">
        <v>0.4940483</v>
      </c>
      <c r="F3770" t="s">
        <v>68</v>
      </c>
      <c r="G3770">
        <v>-430.2552</v>
      </c>
      <c r="H3770" s="1">
        <v>2.387659E-6</v>
      </c>
      <c r="I3770">
        <v>283.9588</v>
      </c>
      <c r="J3770">
        <v>-414.00510000000003</v>
      </c>
      <c r="K3770">
        <v>1.1108629999999999</v>
      </c>
      <c r="L3770">
        <v>284.76799999999997</v>
      </c>
      <c r="M3770">
        <v>-0.99973730000000005</v>
      </c>
      <c r="N3770">
        <v>0</v>
      </c>
      <c r="O3770">
        <v>1.7839230000000001E-2</v>
      </c>
      <c r="P3770">
        <v>-0.99950470000000002</v>
      </c>
      <c r="Q3770">
        <v>1.9175379999999999E-2</v>
      </c>
      <c r="R3770">
        <v>-2.4957099999999999E-2</v>
      </c>
      <c r="S3770">
        <v>-3.0016479999999999</v>
      </c>
      <c r="T3770">
        <v>-0.2031462</v>
      </c>
      <c r="U3770">
        <v>-0.1474915</v>
      </c>
      <c r="V3770">
        <v>-4.282412E-2</v>
      </c>
      <c r="W3770">
        <v>3.3495190000000001E-2</v>
      </c>
      <c r="X3770">
        <v>0.99852099999999999</v>
      </c>
      <c r="Y3770">
        <v>-6.6696439999999996E-2</v>
      </c>
      <c r="Z3770">
        <v>-3.4584479999999998E-3</v>
      </c>
      <c r="AA3770">
        <v>0.99776730000000002</v>
      </c>
      <c r="AB3770">
        <v>32</v>
      </c>
      <c r="AC3770">
        <v>-16.2500999999999</v>
      </c>
      <c r="AD3770">
        <v>-1.1108606123410001</v>
      </c>
      <c r="AE3770">
        <v>-0.80919999999997505</v>
      </c>
      <c r="AF3770">
        <v>-1.0938912550217701</v>
      </c>
      <c r="AG3770">
        <v>-1.1108606123410001</v>
      </c>
      <c r="AH3770">
        <v>16.157756174463401</v>
      </c>
      <c r="AI3770">
        <v>93.923994623702995</v>
      </c>
      <c r="AJ3770">
        <v>93.873053838323003</v>
      </c>
      <c r="AK3770">
        <v>16.232796862256201</v>
      </c>
      <c r="AL3770">
        <v>88.080507962581805</v>
      </c>
      <c r="AM3770">
        <v>92.455770718439595</v>
      </c>
      <c r="AN3770">
        <v>1.0000000102239499</v>
      </c>
    </row>
    <row r="3771" spans="1:40" x14ac:dyDescent="0.25">
      <c r="A3771" t="str">
        <f>"20190312150731965"</f>
        <v>20190312150731965</v>
      </c>
      <c r="B3771" t="str">
        <f>"1552374451953844"</f>
        <v>1552374451953844</v>
      </c>
      <c r="C3771" t="s">
        <v>40</v>
      </c>
      <c r="D3771">
        <v>4.5689789999999997</v>
      </c>
      <c r="E3771">
        <v>0.49526419999999999</v>
      </c>
      <c r="F3771" t="s">
        <v>68</v>
      </c>
      <c r="G3771">
        <v>-428.221</v>
      </c>
      <c r="H3771" s="1">
        <v>2.5487860000000001E-6</v>
      </c>
      <c r="I3771">
        <v>284.13069999999999</v>
      </c>
      <c r="J3771">
        <v>-414.19119999999998</v>
      </c>
      <c r="K3771">
        <v>1.11087</v>
      </c>
      <c r="L3771">
        <v>284.77100000000002</v>
      </c>
      <c r="M3771">
        <v>-0.99974339999999995</v>
      </c>
      <c r="N3771">
        <v>0</v>
      </c>
      <c r="O3771">
        <v>1.7494619999999999E-2</v>
      </c>
      <c r="P3771">
        <v>-0.99949909999999997</v>
      </c>
      <c r="Q3771">
        <v>1.9114019999999999E-2</v>
      </c>
      <c r="R3771">
        <v>-2.521702E-2</v>
      </c>
      <c r="S3771">
        <v>-3.0026250000000001</v>
      </c>
      <c r="T3771">
        <v>-0.23463110000000001</v>
      </c>
      <c r="U3771">
        <v>-0.13461300000000001</v>
      </c>
      <c r="V3771">
        <v>-4.2739939999999997E-2</v>
      </c>
      <c r="W3771">
        <v>3.3432280000000002E-2</v>
      </c>
      <c r="X3771">
        <v>0.99852669999999999</v>
      </c>
      <c r="Y3771">
        <v>-6.2016870000000002E-2</v>
      </c>
      <c r="Z3771">
        <v>-3.78269E-3</v>
      </c>
      <c r="AA3771">
        <v>0.99806790000000001</v>
      </c>
      <c r="AB3771">
        <v>32</v>
      </c>
      <c r="AC3771">
        <v>-14.0298</v>
      </c>
      <c r="AD3771">
        <v>-1.110867451214</v>
      </c>
      <c r="AE3771">
        <v>-0.64029999999996701</v>
      </c>
      <c r="AF3771">
        <v>-0.88016683096403603</v>
      </c>
      <c r="AG3771">
        <v>-1.110867451214</v>
      </c>
      <c r="AH3771">
        <v>13.929303468655799</v>
      </c>
      <c r="AI3771">
        <v>94.550673054386493</v>
      </c>
      <c r="AJ3771">
        <v>93.615607007913198</v>
      </c>
      <c r="AK3771">
        <v>14.0012219204755</v>
      </c>
      <c r="AL3771">
        <v>88.084114431150894</v>
      </c>
      <c r="AM3771">
        <v>92.450935292617999</v>
      </c>
      <c r="AN3771">
        <v>0.99999999521504501</v>
      </c>
    </row>
    <row r="3772" spans="1:40" x14ac:dyDescent="0.25">
      <c r="A3772" t="str">
        <f>"20190312150731977"</f>
        <v>20190312150731977</v>
      </c>
      <c r="B3772" t="str">
        <f>"1552374451973868"</f>
        <v>1552374451973868</v>
      </c>
      <c r="C3772" t="s">
        <v>40</v>
      </c>
      <c r="D3772">
        <v>4.4960199999999997</v>
      </c>
      <c r="E3772">
        <v>0.49743870000000001</v>
      </c>
      <c r="F3772" t="s">
        <v>68</v>
      </c>
      <c r="G3772">
        <v>-427.23349999999999</v>
      </c>
      <c r="H3772" s="1">
        <v>2.7159999999999999E-6</v>
      </c>
      <c r="I3772">
        <v>284.22179999999997</v>
      </c>
      <c r="J3772">
        <v>-414.37569999999999</v>
      </c>
      <c r="K3772">
        <v>1.110876</v>
      </c>
      <c r="L3772">
        <v>284.77390000000003</v>
      </c>
      <c r="M3772">
        <v>-0.99974969999999996</v>
      </c>
      <c r="N3772">
        <v>0</v>
      </c>
      <c r="O3772">
        <v>1.7145339999999998E-2</v>
      </c>
      <c r="P3772">
        <v>-0.99949030000000005</v>
      </c>
      <c r="Q3772">
        <v>1.9072499999999999E-2</v>
      </c>
      <c r="R3772">
        <v>-2.5603460000000001E-2</v>
      </c>
      <c r="S3772">
        <v>-3.0032040000000002</v>
      </c>
      <c r="T3772">
        <v>-0.25579679999999999</v>
      </c>
      <c r="U3772">
        <v>-0.12646479999999999</v>
      </c>
      <c r="V3772">
        <v>-4.2777610000000001E-2</v>
      </c>
      <c r="W3772">
        <v>3.3388910000000001E-2</v>
      </c>
      <c r="X3772">
        <v>0.99852649999999998</v>
      </c>
      <c r="Y3772">
        <v>-5.8923440000000001E-2</v>
      </c>
      <c r="Z3772">
        <v>-3.961048E-3</v>
      </c>
      <c r="AA3772">
        <v>0.99825469999999905</v>
      </c>
      <c r="AB3772">
        <v>32</v>
      </c>
      <c r="AC3772">
        <v>-12.8577999999999</v>
      </c>
      <c r="AD3772">
        <v>-1.110873284</v>
      </c>
      <c r="AE3772">
        <v>-0.55210000000005199</v>
      </c>
      <c r="AF3772">
        <v>-0.76677992555422103</v>
      </c>
      <c r="AG3772">
        <v>-1.110873284</v>
      </c>
      <c r="AH3772">
        <v>12.751435867662099</v>
      </c>
      <c r="AI3772">
        <v>94.969962676179605</v>
      </c>
      <c r="AJ3772">
        <v>93.441213601904906</v>
      </c>
      <c r="AK3772">
        <v>12.8226794233669</v>
      </c>
      <c r="AL3772">
        <v>88.086600664464001</v>
      </c>
      <c r="AM3772">
        <v>92.453093343592499</v>
      </c>
      <c r="AN3772">
        <v>0.99999995721527402</v>
      </c>
    </row>
    <row r="3773" spans="1:40" x14ac:dyDescent="0.25">
      <c r="A3773" t="str">
        <f>"20190312150731992"</f>
        <v>20190312150731992</v>
      </c>
      <c r="B3773" t="str">
        <f>"1552374451983631"</f>
        <v>1552374451983631</v>
      </c>
      <c r="C3773" t="s">
        <v>40</v>
      </c>
      <c r="D3773">
        <v>4.5331349999999997</v>
      </c>
      <c r="E3773">
        <v>0.49795279999999997</v>
      </c>
      <c r="F3773" t="s">
        <v>68</v>
      </c>
      <c r="G3773">
        <v>-426.69479999999999</v>
      </c>
      <c r="H3773" s="1">
        <v>2.8030399999999999E-6</v>
      </c>
      <c r="I3773">
        <v>284.31920000000002</v>
      </c>
      <c r="J3773">
        <v>-414.5763</v>
      </c>
      <c r="K3773">
        <v>1.1108819999999999</v>
      </c>
      <c r="L3773">
        <v>284.77690000000001</v>
      </c>
      <c r="M3773">
        <v>-0.99975599999999998</v>
      </c>
      <c r="N3773">
        <v>0</v>
      </c>
      <c r="O3773">
        <v>1.6762119999999998E-2</v>
      </c>
      <c r="P3773">
        <v>-0.99947739999999996</v>
      </c>
      <c r="Q3773">
        <v>1.952752E-2</v>
      </c>
      <c r="R3773">
        <v>-2.57545E-2</v>
      </c>
      <c r="S3773">
        <v>-3.0038450000000001</v>
      </c>
      <c r="T3773">
        <v>-0.27087159999999999</v>
      </c>
      <c r="U3773">
        <v>-0.11087039999999999</v>
      </c>
      <c r="V3773">
        <v>-4.2546510000000003E-2</v>
      </c>
      <c r="W3773">
        <v>3.3842120000000003E-2</v>
      </c>
      <c r="X3773">
        <v>0.99852110000000005</v>
      </c>
      <c r="Y3773">
        <v>-5.3347510000000001E-2</v>
      </c>
      <c r="Z3773">
        <v>-3.9077959999999998E-3</v>
      </c>
      <c r="AA3773">
        <v>0.99856840000000002</v>
      </c>
      <c r="AB3773">
        <v>32</v>
      </c>
      <c r="AC3773">
        <v>-12.1184999999999</v>
      </c>
      <c r="AD3773">
        <v>-1.11087919695999</v>
      </c>
      <c r="AE3773">
        <v>-0.45769999999998801</v>
      </c>
      <c r="AF3773">
        <v>-0.65528988105089303</v>
      </c>
      <c r="AG3773">
        <v>-1.11087919695999</v>
      </c>
      <c r="AH3773">
        <v>12.0083613625293</v>
      </c>
      <c r="AI3773">
        <v>95.277513992714503</v>
      </c>
      <c r="AJ3773">
        <v>93.123502200738599</v>
      </c>
      <c r="AK3773">
        <v>12.077425223595201</v>
      </c>
      <c r="AL3773">
        <v>88.060618927337899</v>
      </c>
      <c r="AM3773">
        <v>92.439870090455003</v>
      </c>
      <c r="AN3773">
        <v>0.99999994087223998</v>
      </c>
    </row>
    <row r="3774" spans="1:40" x14ac:dyDescent="0.25">
      <c r="A3774" t="str">
        <f>"20190312150732006"</f>
        <v>20190312150732006</v>
      </c>
      <c r="B3774" t="str">
        <f>"1552374451993388"</f>
        <v>1552374451993388</v>
      </c>
      <c r="C3774" t="s">
        <v>40</v>
      </c>
      <c r="D3774">
        <v>4.6123339999999997</v>
      </c>
      <c r="E3774">
        <v>0.49869419999999998</v>
      </c>
      <c r="F3774" t="s">
        <v>68</v>
      </c>
      <c r="G3774">
        <v>-426.71140000000003</v>
      </c>
      <c r="H3774" s="1">
        <v>2.7979809999999998E-6</v>
      </c>
      <c r="I3774">
        <v>284.34320000000002</v>
      </c>
      <c r="J3774">
        <v>-414.76459999999997</v>
      </c>
      <c r="K3774">
        <v>1.1108880000000001</v>
      </c>
      <c r="L3774">
        <v>284.77969999999999</v>
      </c>
      <c r="M3774">
        <v>-0.99976200000000004</v>
      </c>
      <c r="N3774">
        <v>0</v>
      </c>
      <c r="O3774">
        <v>1.6398759999999998E-2</v>
      </c>
      <c r="P3774">
        <v>-0.99945989999999996</v>
      </c>
      <c r="Q3774">
        <v>1.9589809999999999E-2</v>
      </c>
      <c r="R3774">
        <v>-2.6377810000000002E-2</v>
      </c>
      <c r="S3774">
        <v>-3.0041500000000001</v>
      </c>
      <c r="T3774">
        <v>-0.27500619999999998</v>
      </c>
      <c r="U3774">
        <v>-0.10736080000000001</v>
      </c>
      <c r="V3774">
        <v>-4.2807339999999999E-2</v>
      </c>
      <c r="W3774">
        <v>3.3902170000000002E-2</v>
      </c>
      <c r="X3774">
        <v>0.99850799999999995</v>
      </c>
      <c r="Y3774">
        <v>-5.1815E-2</v>
      </c>
      <c r="Z3774">
        <v>-3.863713E-3</v>
      </c>
      <c r="AA3774">
        <v>0.99864920000000001</v>
      </c>
      <c r="AB3774">
        <v>32</v>
      </c>
      <c r="AC3774">
        <v>-11.9468</v>
      </c>
      <c r="AD3774">
        <v>-1.1108852020190001</v>
      </c>
      <c r="AE3774">
        <v>-0.43649999999996603</v>
      </c>
      <c r="AF3774">
        <v>-0.62696055780512405</v>
      </c>
      <c r="AG3774">
        <v>-1.1108852020190001</v>
      </c>
      <c r="AH3774">
        <v>11.835833513553601</v>
      </c>
      <c r="AI3774">
        <v>95.354483938838897</v>
      </c>
      <c r="AJ3774">
        <v>93.032203135585206</v>
      </c>
      <c r="AK3774">
        <v>11.9043731642479</v>
      </c>
      <c r="AL3774">
        <v>88.057176505145705</v>
      </c>
      <c r="AM3774">
        <v>92.454841559382501</v>
      </c>
      <c r="AN3774">
        <v>1.00000002577629</v>
      </c>
    </row>
    <row r="3775" spans="1:40" x14ac:dyDescent="0.25">
      <c r="A3775" t="str">
        <f>"20190312150732018"</f>
        <v>20190312150732018</v>
      </c>
      <c r="B3775" t="str">
        <f>"1552374452013885"</f>
        <v>1552374452013885</v>
      </c>
      <c r="C3775" t="s">
        <v>40</v>
      </c>
      <c r="D3775">
        <v>4.6238440000000001</v>
      </c>
      <c r="E3775">
        <v>0.49883339999999998</v>
      </c>
      <c r="F3775" t="s">
        <v>68</v>
      </c>
      <c r="G3775">
        <v>-426.77339999999998</v>
      </c>
      <c r="H3775" s="1">
        <v>2.7849659999999999E-6</v>
      </c>
      <c r="I3775">
        <v>284.36630000000002</v>
      </c>
      <c r="J3775">
        <v>-414.95479999999998</v>
      </c>
      <c r="K3775">
        <v>1.110894</v>
      </c>
      <c r="L3775">
        <v>284.7824</v>
      </c>
      <c r="M3775">
        <v>-0.99976830000000005</v>
      </c>
      <c r="N3775">
        <v>0</v>
      </c>
      <c r="O3775">
        <v>1.602514E-2</v>
      </c>
      <c r="P3775">
        <v>-0.99945130000000004</v>
      </c>
      <c r="Q3775">
        <v>1.983306E-2</v>
      </c>
      <c r="R3775">
        <v>-2.653784E-2</v>
      </c>
      <c r="S3775">
        <v>-3.0043329999999999</v>
      </c>
      <c r="T3775">
        <v>-0.27791759999999999</v>
      </c>
      <c r="U3775">
        <v>-0.1034241</v>
      </c>
      <c r="V3775">
        <v>-4.2594159999999999E-2</v>
      </c>
      <c r="W3775">
        <v>3.4143319999999998E-2</v>
      </c>
      <c r="X3775">
        <v>0.99850890000000003</v>
      </c>
      <c r="Y3775">
        <v>-5.0135300000000001E-2</v>
      </c>
      <c r="Z3775">
        <v>-3.7923060000000001E-3</v>
      </c>
      <c r="AA3775">
        <v>0.99873520000000005</v>
      </c>
      <c r="AB3775">
        <v>31</v>
      </c>
      <c r="AC3775">
        <v>-11.8186</v>
      </c>
      <c r="AD3775">
        <v>-1.110891215034</v>
      </c>
      <c r="AE3775">
        <v>-0.41609999999997099</v>
      </c>
      <c r="AF3775">
        <v>-0.600164892284894</v>
      </c>
      <c r="AG3775">
        <v>-1.110891215034</v>
      </c>
      <c r="AH3775">
        <v>11.7071079958152</v>
      </c>
      <c r="AI3775">
        <v>95.413517747224105</v>
      </c>
      <c r="AJ3775">
        <v>92.934699045902406</v>
      </c>
      <c r="AK3775">
        <v>11.775001266040301</v>
      </c>
      <c r="AL3775">
        <v>88.043351625027</v>
      </c>
      <c r="AM3775">
        <v>92.442629125345206</v>
      </c>
      <c r="AN3775">
        <v>1.00000002607296</v>
      </c>
    </row>
    <row r="3776" spans="1:40" x14ac:dyDescent="0.25">
      <c r="A3776" t="str">
        <f>"20190312150732036"</f>
        <v>20190312150732036</v>
      </c>
      <c r="B3776" t="str">
        <f>"1552374452033405"</f>
        <v>1552374452033405</v>
      </c>
      <c r="C3776" t="s">
        <v>40</v>
      </c>
      <c r="D3776">
        <v>4.6077070000000004</v>
      </c>
      <c r="E3776">
        <v>0.49900990000000001</v>
      </c>
      <c r="F3776" t="s">
        <v>68</v>
      </c>
      <c r="G3776">
        <v>-426.52850000000001</v>
      </c>
      <c r="H3776" s="1">
        <v>2.8267960000000001E-6</v>
      </c>
      <c r="I3776">
        <v>284.38490000000002</v>
      </c>
      <c r="J3776">
        <v>-415.1934</v>
      </c>
      <c r="K3776">
        <v>1.1108899999999999</v>
      </c>
      <c r="L3776">
        <v>284.78570000000002</v>
      </c>
      <c r="M3776">
        <v>-0.99977579999999999</v>
      </c>
      <c r="N3776">
        <v>0</v>
      </c>
      <c r="O3776">
        <v>1.5552460000000001E-2</v>
      </c>
      <c r="P3776">
        <v>-0.9994324</v>
      </c>
      <c r="Q3776">
        <v>1.9724149999999999E-2</v>
      </c>
      <c r="R3776">
        <v>-2.732271E-2</v>
      </c>
      <c r="S3776">
        <v>-3.0046390000000001</v>
      </c>
      <c r="T3776">
        <v>-0.28839949999999998</v>
      </c>
      <c r="U3776">
        <v>-0.10321039999999999</v>
      </c>
      <c r="V3776">
        <v>-4.2906670000000001E-2</v>
      </c>
      <c r="W3776">
        <v>3.4031319999999997E-2</v>
      </c>
      <c r="X3776">
        <v>0.99849929999999998</v>
      </c>
      <c r="Y3776">
        <v>-4.9571869999999997E-2</v>
      </c>
      <c r="Z3776">
        <v>-3.86207E-3</v>
      </c>
      <c r="AA3776">
        <v>0.99876310000000001</v>
      </c>
      <c r="AB3776">
        <v>31</v>
      </c>
      <c r="AC3776">
        <v>-11.335100000000001</v>
      </c>
      <c r="AD3776">
        <v>-1.110887173204</v>
      </c>
      <c r="AE3776">
        <v>-0.40080000000000299</v>
      </c>
      <c r="AF3776">
        <v>-0.57157538297352195</v>
      </c>
      <c r="AG3776">
        <v>-1.110887173204</v>
      </c>
      <c r="AH3776">
        <v>11.2198645004684</v>
      </c>
      <c r="AI3776">
        <v>95.647193223844894</v>
      </c>
      <c r="AJ3776">
        <v>92.9163071568303</v>
      </c>
      <c r="AK3776">
        <v>11.289204052495499</v>
      </c>
      <c r="AL3776">
        <v>88.049772398753802</v>
      </c>
      <c r="AM3776">
        <v>92.460552184782799</v>
      </c>
      <c r="AN3776">
        <v>0.99999998258596001</v>
      </c>
    </row>
    <row r="3777" spans="1:40" x14ac:dyDescent="0.25">
      <c r="A3777" t="str">
        <f>"20190312150732049"</f>
        <v>20190312150732049</v>
      </c>
      <c r="B3777" t="str">
        <f>"1552374452044141"</f>
        <v>1552374452044141</v>
      </c>
      <c r="C3777" t="s">
        <v>40</v>
      </c>
      <c r="D3777">
        <v>4.4923840000000004</v>
      </c>
      <c r="E3777">
        <v>0.49919989999999997</v>
      </c>
      <c r="F3777" t="s">
        <v>68</v>
      </c>
      <c r="G3777">
        <v>-426.43389999999999</v>
      </c>
      <c r="H3777" s="1">
        <v>2.842674E-6</v>
      </c>
      <c r="I3777">
        <v>284.39510000000001</v>
      </c>
      <c r="J3777">
        <v>-415.37049999999999</v>
      </c>
      <c r="K3777">
        <v>1.1108960000000001</v>
      </c>
      <c r="L3777">
        <v>284.78809999999999</v>
      </c>
      <c r="M3777">
        <v>-0.99978129999999998</v>
      </c>
      <c r="N3777">
        <v>0</v>
      </c>
      <c r="O3777">
        <v>1.519861E-2</v>
      </c>
      <c r="P3777">
        <v>-0.99943389999999999</v>
      </c>
      <c r="Q3777">
        <v>1.9161299999999999E-2</v>
      </c>
      <c r="R3777">
        <v>-2.7660420000000002E-2</v>
      </c>
      <c r="S3777">
        <v>-3.0047000000000001</v>
      </c>
      <c r="T3777">
        <v>-0.29695159999999998</v>
      </c>
      <c r="U3777">
        <v>-0.1044312</v>
      </c>
      <c r="V3777">
        <v>-4.2890350000000001E-2</v>
      </c>
      <c r="W3777">
        <v>3.3466589999999997E-2</v>
      </c>
      <c r="X3777">
        <v>0.99851909999999999</v>
      </c>
      <c r="Y3777">
        <v>-4.9606579999999997E-2</v>
      </c>
      <c r="Z3777">
        <v>-3.9427709999999899E-3</v>
      </c>
      <c r="AA3777">
        <v>0.99876109999999896</v>
      </c>
      <c r="AB3777">
        <v>31</v>
      </c>
      <c r="AC3777">
        <v>-11.0634</v>
      </c>
      <c r="AD3777">
        <v>-1.1108931573259999</v>
      </c>
      <c r="AE3777">
        <v>-0.39299999999997198</v>
      </c>
      <c r="AF3777">
        <v>-0.55552622752221603</v>
      </c>
      <c r="AG3777">
        <v>-1.1108931573259999</v>
      </c>
      <c r="AH3777">
        <v>10.9459251989752</v>
      </c>
      <c r="AI3777">
        <v>95.7876621834872</v>
      </c>
      <c r="AJ3777">
        <v>92.9053754416435</v>
      </c>
      <c r="AK3777">
        <v>11.016168637871299</v>
      </c>
      <c r="AL3777">
        <v>88.082147509790104</v>
      </c>
      <c r="AM3777">
        <v>92.459568724913893</v>
      </c>
      <c r="AN3777">
        <v>0.99999999391708005</v>
      </c>
    </row>
    <row r="3778" spans="1:40" x14ac:dyDescent="0.25">
      <c r="A3778" t="str">
        <f>"20190312150732060"</f>
        <v>20190312150732060</v>
      </c>
      <c r="B3778" t="str">
        <f>"1552374452053901"</f>
        <v>1552374452053901</v>
      </c>
      <c r="C3778" t="s">
        <v>40</v>
      </c>
      <c r="D3778">
        <v>4.6633300000000002</v>
      </c>
      <c r="E3778">
        <v>0.49932209999999999</v>
      </c>
      <c r="F3778" t="s">
        <v>41</v>
      </c>
      <c r="G3778">
        <v>-416.32470000000001</v>
      </c>
      <c r="H3778">
        <v>1.01651</v>
      </c>
      <c r="I3778">
        <v>284.75560000000002</v>
      </c>
      <c r="J3778">
        <v>-415.54500000000002</v>
      </c>
      <c r="K3778">
        <v>1.1109020000000001</v>
      </c>
      <c r="L3778">
        <v>284.79050000000001</v>
      </c>
      <c r="M3778">
        <v>-0.99978639999999996</v>
      </c>
      <c r="N3778">
        <v>0</v>
      </c>
      <c r="O3778">
        <v>1.4847569999999999E-2</v>
      </c>
      <c r="P3778">
        <v>-0.99941380000000002</v>
      </c>
      <c r="Q3778">
        <v>1.9226259999999998E-2</v>
      </c>
      <c r="R3778">
        <v>-2.8321780000000001E-2</v>
      </c>
      <c r="S3778">
        <v>-3.0045169999999999</v>
      </c>
      <c r="T3778">
        <v>-0.29741679999999998</v>
      </c>
      <c r="U3778">
        <v>-0.1036682</v>
      </c>
      <c r="V3778">
        <v>-4.3201169999999997E-2</v>
      </c>
      <c r="W3778">
        <v>3.3529499999999997E-2</v>
      </c>
      <c r="X3778">
        <v>0.99850360000000005</v>
      </c>
      <c r="Y3778">
        <v>-4.9008299999999998E-2</v>
      </c>
      <c r="Z3778">
        <v>-3.8849850000000001E-3</v>
      </c>
      <c r="AA3778">
        <v>0.99879079999999998</v>
      </c>
      <c r="AB3778">
        <v>31</v>
      </c>
      <c r="AC3778">
        <v>-0.77969999999999096</v>
      </c>
      <c r="AD3778">
        <v>-9.4392000000000004E-2</v>
      </c>
      <c r="AE3778">
        <v>-3.48999999999932E-2</v>
      </c>
      <c r="AF3778">
        <v>-4.58040376602281E-2</v>
      </c>
      <c r="AG3778">
        <v>-9.4392000000000004E-2</v>
      </c>
      <c r="AH3778">
        <v>0.76786448539871199</v>
      </c>
      <c r="AI3778">
        <v>96.995781089763895</v>
      </c>
      <c r="AJ3778">
        <v>93.413716842569698</v>
      </c>
      <c r="AK3778">
        <v>0.77499917901028004</v>
      </c>
      <c r="AL3778">
        <v>88.078541027314898</v>
      </c>
      <c r="AM3778">
        <v>92.477409135905305</v>
      </c>
      <c r="AN3778">
        <v>1.00000000383628</v>
      </c>
    </row>
    <row r="3779" spans="1:40" x14ac:dyDescent="0.25">
      <c r="A3779" t="str">
        <f>"20190312150732082"</f>
        <v>20190312150732082</v>
      </c>
      <c r="B3779" t="str">
        <f>"1552374452073420"</f>
        <v>1552374452073420</v>
      </c>
      <c r="C3779" t="s">
        <v>40</v>
      </c>
      <c r="D3779">
        <v>4.5875430000000001</v>
      </c>
      <c r="E3779">
        <v>0.49975459999999999</v>
      </c>
      <c r="F3779" t="s">
        <v>68</v>
      </c>
      <c r="G3779">
        <v>-426.71879999999999</v>
      </c>
      <c r="H3779" s="1">
        <v>2.7916329999999999E-6</v>
      </c>
      <c r="I3779">
        <v>284.4008</v>
      </c>
      <c r="J3779">
        <v>-415.83589999999998</v>
      </c>
      <c r="K3779">
        <v>1.1109</v>
      </c>
      <c r="L3779">
        <v>284.79410000000001</v>
      </c>
      <c r="M3779">
        <v>-0.99979510000000005</v>
      </c>
      <c r="N3779">
        <v>0</v>
      </c>
      <c r="O3779">
        <v>1.425796E-2</v>
      </c>
      <c r="P3779">
        <v>-0.99939789999999995</v>
      </c>
      <c r="Q3779">
        <v>1.8797350000000001E-2</v>
      </c>
      <c r="R3779">
        <v>-2.9168010000000001E-2</v>
      </c>
      <c r="S3779">
        <v>-3.004578</v>
      </c>
      <c r="T3779">
        <v>-0.29871409999999998</v>
      </c>
      <c r="U3779">
        <v>-0.10476679999999999</v>
      </c>
      <c r="V3779">
        <v>-4.3457950000000002E-2</v>
      </c>
      <c r="W3779">
        <v>3.3097250000000002E-2</v>
      </c>
      <c r="X3779">
        <v>0.99850689999999998</v>
      </c>
      <c r="Y3779">
        <v>-4.8784649999999999E-2</v>
      </c>
      <c r="Z3779">
        <v>-3.8321919999999999E-3</v>
      </c>
      <c r="AA3779">
        <v>0.99880190000000002</v>
      </c>
      <c r="AB3779">
        <v>31</v>
      </c>
      <c r="AC3779">
        <v>-10.882899999999999</v>
      </c>
      <c r="AD3779">
        <v>-1.1108972083669999</v>
      </c>
      <c r="AE3779">
        <v>-0.39330000000000997</v>
      </c>
      <c r="AF3779">
        <v>-0.54279555470313801</v>
      </c>
      <c r="AG3779">
        <v>-1.1108972083669999</v>
      </c>
      <c r="AH3779">
        <v>10.7641713095376</v>
      </c>
      <c r="AI3779">
        <v>95.884824499218993</v>
      </c>
      <c r="AJ3779">
        <v>92.886759552048801</v>
      </c>
      <c r="AK3779">
        <v>10.834948251045599</v>
      </c>
      <c r="AL3779">
        <v>88.103320922872101</v>
      </c>
      <c r="AM3779">
        <v>92.492107674788897</v>
      </c>
      <c r="AN3779">
        <v>1.0000000253616801</v>
      </c>
    </row>
    <row r="3780" spans="1:40" x14ac:dyDescent="0.25">
      <c r="A3780" t="str">
        <f>"20190312150732103"</f>
        <v>20190312150732103</v>
      </c>
      <c r="B3780" t="str">
        <f>"1552374452093916"</f>
        <v>1552374452093916</v>
      </c>
      <c r="C3780" t="s">
        <v>40</v>
      </c>
      <c r="D3780">
        <v>4.5786689999999997</v>
      </c>
      <c r="E3780">
        <v>0.50013279999999904</v>
      </c>
      <c r="F3780" t="s">
        <v>68</v>
      </c>
      <c r="G3780">
        <v>-426.98200000000003</v>
      </c>
      <c r="H3780" s="1">
        <v>2.7441659999999998E-6</v>
      </c>
      <c r="I3780">
        <v>284.40980000000002</v>
      </c>
      <c r="J3780">
        <v>-416.1395</v>
      </c>
      <c r="K3780">
        <v>1.1109059999999999</v>
      </c>
      <c r="L3780">
        <v>284.7978</v>
      </c>
      <c r="M3780">
        <v>-0.99980380000000002</v>
      </c>
      <c r="N3780">
        <v>0</v>
      </c>
      <c r="O3780">
        <v>1.363893E-2</v>
      </c>
      <c r="P3780">
        <v>-0.9993765</v>
      </c>
      <c r="Q3780">
        <v>1.874748E-2</v>
      </c>
      <c r="R3780">
        <v>-2.9924059999999999E-2</v>
      </c>
      <c r="S3780">
        <v>-3.0044249999999999</v>
      </c>
      <c r="T3780">
        <v>-0.29944150000000003</v>
      </c>
      <c r="U3780">
        <v>-0.103607199999999</v>
      </c>
      <c r="V3780">
        <v>-4.3594670000000002E-2</v>
      </c>
      <c r="W3780">
        <v>3.3043870000000003E-2</v>
      </c>
      <c r="X3780">
        <v>0.99850269999999997</v>
      </c>
      <c r="Y3780">
        <v>-4.7789369999999998E-2</v>
      </c>
      <c r="Z3780">
        <v>-3.7306990000000001E-3</v>
      </c>
      <c r="AA3780">
        <v>0.99885049999999997</v>
      </c>
      <c r="AB3780">
        <v>31</v>
      </c>
      <c r="AC3780">
        <v>-10.8424999999999</v>
      </c>
      <c r="AD3780">
        <v>-1.110903255834</v>
      </c>
      <c r="AE3780">
        <v>-0.38799999999997598</v>
      </c>
      <c r="AF3780">
        <v>-0.53029946265323402</v>
      </c>
      <c r="AG3780">
        <v>-1.110903255834</v>
      </c>
      <c r="AH3780">
        <v>10.723768046934</v>
      </c>
      <c r="AI3780">
        <v>95.907156784108693</v>
      </c>
      <c r="AJ3780">
        <v>92.831018949502706</v>
      </c>
      <c r="AK3780">
        <v>10.7941893946861</v>
      </c>
      <c r="AL3780">
        <v>88.106381029970706</v>
      </c>
      <c r="AM3780">
        <v>92.499948490313798</v>
      </c>
      <c r="AN3780">
        <v>1.0000000172521299</v>
      </c>
    </row>
    <row r="3781" spans="1:40" x14ac:dyDescent="0.25">
      <c r="A3781" t="str">
        <f>"20190312150732126"</f>
        <v>20190312150732126</v>
      </c>
      <c r="B3781" t="str">
        <f>"1552374452113436"</f>
        <v>1552374452113436</v>
      </c>
      <c r="C3781" t="s">
        <v>40</v>
      </c>
      <c r="D3781">
        <v>4.6063679999999998</v>
      </c>
      <c r="E3781">
        <v>0.51775230000000005</v>
      </c>
      <c r="F3781" t="s">
        <v>68</v>
      </c>
      <c r="G3781">
        <v>-427.20260000000002</v>
      </c>
      <c r="H3781" s="1">
        <v>2.7042450000000001E-6</v>
      </c>
      <c r="I3781">
        <v>284.41890000000001</v>
      </c>
      <c r="J3781">
        <v>-416.4443</v>
      </c>
      <c r="K3781">
        <v>1.110905</v>
      </c>
      <c r="L3781">
        <v>284.80130000000003</v>
      </c>
      <c r="M3781">
        <v>-0.99981209999999998</v>
      </c>
      <c r="N3781">
        <v>0</v>
      </c>
      <c r="O3781">
        <v>1.301741E-2</v>
      </c>
      <c r="P3781">
        <v>-0.99934330000000005</v>
      </c>
      <c r="Q3781">
        <v>1.902071E-2</v>
      </c>
      <c r="R3781">
        <v>-3.0847659999999999E-2</v>
      </c>
      <c r="S3781">
        <v>-3.0044559999999998</v>
      </c>
      <c r="T3781">
        <v>-0.30169430000000003</v>
      </c>
      <c r="U3781">
        <v>-0.10290530000000001</v>
      </c>
      <c r="V3781">
        <v>-4.389709E-2</v>
      </c>
      <c r="W3781">
        <v>3.331361E-2</v>
      </c>
      <c r="X3781">
        <v>0.99848049999999999</v>
      </c>
      <c r="Y3781">
        <v>-4.6937850000000003E-2</v>
      </c>
      <c r="Z3781">
        <v>-3.6537259999999999E-3</v>
      </c>
      <c r="AA3781">
        <v>0.99889110000000003</v>
      </c>
      <c r="AB3781">
        <v>31</v>
      </c>
      <c r="AC3781">
        <v>-10.7583</v>
      </c>
      <c r="AD3781">
        <v>-1.1109022957549901</v>
      </c>
      <c r="AE3781">
        <v>-0.382400000000018</v>
      </c>
      <c r="AF3781">
        <v>-0.51692244426138201</v>
      </c>
      <c r="AG3781">
        <v>-1.1109022957549901</v>
      </c>
      <c r="AH3781">
        <v>10.6391120933412</v>
      </c>
      <c r="AI3781">
        <v>95.954068614813593</v>
      </c>
      <c r="AJ3781">
        <v>92.781642033597606</v>
      </c>
      <c r="AK3781">
        <v>10.7094359729528</v>
      </c>
      <c r="AL3781">
        <v>88.090917577308304</v>
      </c>
      <c r="AM3781">
        <v>92.517324514394303</v>
      </c>
      <c r="AN3781">
        <v>1.0000000300009699</v>
      </c>
    </row>
    <row r="3782" spans="1:40" x14ac:dyDescent="0.25">
      <c r="A3782" t="str">
        <f>"20190312150732137"</f>
        <v>20190312150732137</v>
      </c>
      <c r="B3782" t="str">
        <f>"1552374452133933"</f>
        <v>1552374452133933</v>
      </c>
      <c r="C3782" t="s">
        <v>40</v>
      </c>
      <c r="D3782">
        <v>4.5245199999999999</v>
      </c>
      <c r="E3782">
        <v>0.53125290000000003</v>
      </c>
      <c r="F3782" t="s">
        <v>41</v>
      </c>
      <c r="G3782">
        <v>-417.40600000000001</v>
      </c>
      <c r="H3782">
        <v>0.96822620000000004</v>
      </c>
      <c r="I3782">
        <v>284.8109</v>
      </c>
      <c r="J3782">
        <v>-416.6207</v>
      </c>
      <c r="K3782">
        <v>1.1109039999999999</v>
      </c>
      <c r="L3782">
        <v>284.8032</v>
      </c>
      <c r="M3782">
        <v>-0.99981679999999995</v>
      </c>
      <c r="N3782">
        <v>0</v>
      </c>
      <c r="O3782">
        <v>1.265732E-2</v>
      </c>
      <c r="P3782">
        <v>-0.99931689999999995</v>
      </c>
      <c r="Q3782">
        <v>1.9226070000000001E-2</v>
      </c>
      <c r="R3782">
        <v>-3.156991E-2</v>
      </c>
      <c r="S3782">
        <v>-3.0114139999999998</v>
      </c>
      <c r="T3782">
        <v>-0.44692409999999999</v>
      </c>
      <c r="U3782">
        <v>2.896118E-2</v>
      </c>
      <c r="V3782">
        <v>-4.425958E-2</v>
      </c>
      <c r="W3782">
        <v>3.3516629999999999E-2</v>
      </c>
      <c r="X3782">
        <v>0.9984577</v>
      </c>
      <c r="Y3782">
        <v>-2.8720360000000001E-3</v>
      </c>
      <c r="Z3782">
        <v>-2.0802809999999998E-3</v>
      </c>
      <c r="AA3782">
        <v>0.99999369999999999</v>
      </c>
      <c r="AB3782">
        <v>31</v>
      </c>
      <c r="AC3782">
        <v>-0.78530000000000599</v>
      </c>
      <c r="AD3782">
        <v>-0.14267779999999999</v>
      </c>
      <c r="AE3782">
        <v>7.6999999999998103E-3</v>
      </c>
      <c r="AF3782">
        <v>-2.1698169659819999E-3</v>
      </c>
      <c r="AG3782">
        <v>-0.14267779999999999</v>
      </c>
      <c r="AH3782">
        <v>0.76024161315403005</v>
      </c>
      <c r="AI3782">
        <v>100.629259234423</v>
      </c>
      <c r="AJ3782">
        <v>90.163528297773297</v>
      </c>
      <c r="AK3782">
        <v>0.77351727394386505</v>
      </c>
      <c r="AL3782">
        <v>88.079278882806804</v>
      </c>
      <c r="AM3782">
        <v>92.538142691928797</v>
      </c>
      <c r="AN3782">
        <v>1.0000000267988101</v>
      </c>
    </row>
    <row r="3783" spans="1:40" x14ac:dyDescent="0.25">
      <c r="A3783" t="str">
        <f>"20190312150732149"</f>
        <v>20190312150732149</v>
      </c>
      <c r="B3783" t="str">
        <f>"1552374452143692"</f>
        <v>1552374452143692</v>
      </c>
      <c r="C3783" t="s">
        <v>40</v>
      </c>
      <c r="D3783">
        <v>4.5675689999999998</v>
      </c>
      <c r="E3783">
        <v>0.53527609999999903</v>
      </c>
      <c r="F3783" t="s">
        <v>41</v>
      </c>
      <c r="G3783">
        <v>-417.4058</v>
      </c>
      <c r="H3783">
        <v>0.97016259999999999</v>
      </c>
      <c r="I3783">
        <v>284.83749999999998</v>
      </c>
      <c r="J3783">
        <v>-416.78649999999999</v>
      </c>
      <c r="K3783">
        <v>1.1109059999999999</v>
      </c>
      <c r="L3783">
        <v>284.80500000000001</v>
      </c>
      <c r="M3783">
        <v>-0.99982110000000002</v>
      </c>
      <c r="N3783">
        <v>0</v>
      </c>
      <c r="O3783">
        <v>1.231897E-2</v>
      </c>
      <c r="P3783">
        <v>-0.99929849999999998</v>
      </c>
      <c r="Q3783">
        <v>1.9114079999999999E-2</v>
      </c>
      <c r="R3783">
        <v>-3.2211610000000002E-2</v>
      </c>
      <c r="S3783">
        <v>-3.0165410000000001</v>
      </c>
      <c r="T3783">
        <v>-0.54089659999999995</v>
      </c>
      <c r="U3783">
        <v>0.1306763</v>
      </c>
      <c r="V3783">
        <v>-4.4563029999999997E-2</v>
      </c>
      <c r="W3783">
        <v>3.3402729999999999E-2</v>
      </c>
      <c r="X3783">
        <v>0.998448</v>
      </c>
      <c r="Y3783">
        <v>3.0675170000000002E-2</v>
      </c>
      <c r="Z3783">
        <v>5.367007E-4</v>
      </c>
      <c r="AA3783">
        <v>0.99952920000000001</v>
      </c>
      <c r="AB3783">
        <v>31</v>
      </c>
      <c r="AC3783">
        <v>-0.61930000000000895</v>
      </c>
      <c r="AD3783">
        <v>-0.14074339999999899</v>
      </c>
      <c r="AE3783">
        <v>3.24999999999704E-2</v>
      </c>
      <c r="AF3783">
        <v>2.3649512723720099E-2</v>
      </c>
      <c r="AG3783">
        <v>-0.14074339999999899</v>
      </c>
      <c r="AH3783">
        <v>0.58930076172189505</v>
      </c>
      <c r="AI3783">
        <v>103.421983141838</v>
      </c>
      <c r="AJ3783">
        <v>87.701868685583705</v>
      </c>
      <c r="AK3783">
        <v>0.60633603872904895</v>
      </c>
      <c r="AL3783">
        <v>88.085808490852997</v>
      </c>
      <c r="AM3783">
        <v>92.555546363288798</v>
      </c>
      <c r="AN3783">
        <v>1.00000000735911</v>
      </c>
    </row>
    <row r="3784" spans="1:40" x14ac:dyDescent="0.25">
      <c r="A3784" t="str">
        <f>"20190312150732161"</f>
        <v>20190312150732161</v>
      </c>
      <c r="B3784" t="str">
        <f>"1552374452153452"</f>
        <v>1552374452153452</v>
      </c>
      <c r="C3784" t="s">
        <v>40</v>
      </c>
      <c r="D3784">
        <v>4.5172489999999996</v>
      </c>
      <c r="E3784">
        <v>0.53775850000000003</v>
      </c>
      <c r="F3784" t="s">
        <v>41</v>
      </c>
      <c r="G3784">
        <v>-417.66980000000001</v>
      </c>
      <c r="H3784">
        <v>0.94071729999999998</v>
      </c>
      <c r="I3784">
        <v>284.8519</v>
      </c>
      <c r="J3784">
        <v>-416.959</v>
      </c>
      <c r="K3784">
        <v>1.110914</v>
      </c>
      <c r="L3784">
        <v>284.80680000000001</v>
      </c>
      <c r="M3784">
        <v>-0.99982539999999998</v>
      </c>
      <c r="N3784">
        <v>0</v>
      </c>
      <c r="O3784">
        <v>1.196764E-2</v>
      </c>
      <c r="P3784">
        <v>-0.99927480000000002</v>
      </c>
      <c r="Q3784">
        <v>1.923542E-2</v>
      </c>
      <c r="R3784">
        <v>-3.286791E-2</v>
      </c>
      <c r="S3784">
        <v>-3.0183719999999998</v>
      </c>
      <c r="T3784">
        <v>-0.58157109999999901</v>
      </c>
      <c r="U3784">
        <v>0.15945429999999999</v>
      </c>
      <c r="V3784">
        <v>-4.4868030000000003E-2</v>
      </c>
      <c r="W3784">
        <v>3.35214E-2</v>
      </c>
      <c r="X3784">
        <v>0.99843040000000005</v>
      </c>
      <c r="Y3784">
        <v>4.0279189999999999E-2</v>
      </c>
      <c r="Z3784">
        <v>1.5591279999999999E-3</v>
      </c>
      <c r="AA3784">
        <v>0.99918720000000005</v>
      </c>
      <c r="AB3784">
        <v>31</v>
      </c>
      <c r="AC3784">
        <v>-0.71080000000000598</v>
      </c>
      <c r="AD3784">
        <v>-0.17019669999999901</v>
      </c>
      <c r="AE3784">
        <v>4.50999999999908E-2</v>
      </c>
      <c r="AF3784">
        <v>3.46127846453953E-2</v>
      </c>
      <c r="AG3784">
        <v>-0.17019669999999901</v>
      </c>
      <c r="AH3784">
        <v>0.67286590098440202</v>
      </c>
      <c r="AI3784">
        <v>104.17684671915001</v>
      </c>
      <c r="AJ3784">
        <v>87.055252780431303</v>
      </c>
      <c r="AK3784">
        <v>0.69491976677840295</v>
      </c>
      <c r="AL3784">
        <v>88.0790054613595</v>
      </c>
      <c r="AM3784">
        <v>92.573059000630593</v>
      </c>
      <c r="AN3784">
        <v>1.0000000440090899</v>
      </c>
    </row>
    <row r="3785" spans="1:40" x14ac:dyDescent="0.25">
      <c r="A3785" t="str">
        <f>"20190312150732181"</f>
        <v>20190312150732181</v>
      </c>
      <c r="B3785" t="str">
        <f>"1552374452173952"</f>
        <v>1552374452173952</v>
      </c>
      <c r="C3785" t="s">
        <v>40</v>
      </c>
      <c r="D3785">
        <v>4.4584359999999998</v>
      </c>
      <c r="E3785">
        <v>0.54092280000000004</v>
      </c>
      <c r="F3785" t="s">
        <v>41</v>
      </c>
      <c r="G3785">
        <v>-417.68180000000001</v>
      </c>
      <c r="H3785">
        <v>0.96510859999999998</v>
      </c>
      <c r="I3785">
        <v>284.8492</v>
      </c>
      <c r="J3785">
        <v>-417.22730000000001</v>
      </c>
      <c r="K3785">
        <v>1.1109150000000001</v>
      </c>
      <c r="L3785">
        <v>284.80939999999998</v>
      </c>
      <c r="M3785">
        <v>-0.99983160000000004</v>
      </c>
      <c r="N3785">
        <v>0</v>
      </c>
      <c r="O3785">
        <v>1.142166E-2</v>
      </c>
      <c r="P3785">
        <v>-0.99923499999999998</v>
      </c>
      <c r="Q3785">
        <v>1.9330119999999999E-2</v>
      </c>
      <c r="R3785">
        <v>-3.3996400000000003E-2</v>
      </c>
      <c r="S3785">
        <v>-3.0197449999999999</v>
      </c>
      <c r="T3785">
        <v>-0.60929119999999903</v>
      </c>
      <c r="U3785">
        <v>0.1762695</v>
      </c>
      <c r="V3785">
        <v>-4.5450610000000002E-2</v>
      </c>
      <c r="W3785">
        <v>3.3612419999999997E-2</v>
      </c>
      <c r="X3785">
        <v>0.99840090000000004</v>
      </c>
      <c r="Y3785">
        <v>4.6168180000000003E-2</v>
      </c>
      <c r="Z3785">
        <v>2.327712E-3</v>
      </c>
      <c r="AA3785">
        <v>0.99893100000000001</v>
      </c>
      <c r="AB3785">
        <v>31</v>
      </c>
      <c r="AC3785">
        <v>-0.45449999999999502</v>
      </c>
      <c r="AD3785">
        <v>-0.145806399999999</v>
      </c>
      <c r="AE3785">
        <v>3.9800000000013797E-2</v>
      </c>
      <c r="AF3785">
        <v>3.1398851659611898E-2</v>
      </c>
      <c r="AG3785">
        <v>-0.145806399999999</v>
      </c>
      <c r="AH3785">
        <v>0.41276761444579002</v>
      </c>
      <c r="AI3785">
        <v>109.403450889185</v>
      </c>
      <c r="AJ3785">
        <v>85.649940545042796</v>
      </c>
      <c r="AK3785">
        <v>0.438887796255229</v>
      </c>
      <c r="AL3785">
        <v>88.073787287587393</v>
      </c>
      <c r="AM3785">
        <v>92.606499501346093</v>
      </c>
      <c r="AN3785">
        <v>0.999999954924218</v>
      </c>
    </row>
    <row r="3786" spans="1:40" x14ac:dyDescent="0.25">
      <c r="A3786" t="str">
        <f>"20190312150732193"</f>
        <v>20190312150732193</v>
      </c>
      <c r="B3786" t="str">
        <f>"1552374452183712"</f>
        <v>1552374452183712</v>
      </c>
      <c r="C3786" t="s">
        <v>40</v>
      </c>
      <c r="D3786">
        <v>4.523962</v>
      </c>
      <c r="E3786">
        <v>0.5419735</v>
      </c>
      <c r="F3786" t="s">
        <v>41</v>
      </c>
      <c r="G3786">
        <v>-417.9554</v>
      </c>
      <c r="H3786">
        <v>0.95585439999999999</v>
      </c>
      <c r="I3786">
        <v>284.8571</v>
      </c>
      <c r="J3786">
        <v>-417.39010000000002</v>
      </c>
      <c r="K3786">
        <v>1.1109169999999999</v>
      </c>
      <c r="L3786">
        <v>284.8109</v>
      </c>
      <c r="M3786">
        <v>-0.99983560000000005</v>
      </c>
      <c r="N3786">
        <v>0</v>
      </c>
      <c r="O3786">
        <v>1.1090289999999999E-2</v>
      </c>
      <c r="P3786">
        <v>-0.99922449999999996</v>
      </c>
      <c r="Q3786">
        <v>1.950124E-2</v>
      </c>
      <c r="R3786">
        <v>-3.4209690000000001E-2</v>
      </c>
      <c r="S3786">
        <v>-3.021423</v>
      </c>
      <c r="T3786">
        <v>-0.64360209999999995</v>
      </c>
      <c r="U3786">
        <v>0.19656370000000001</v>
      </c>
      <c r="V3786">
        <v>-4.5332770000000001E-2</v>
      </c>
      <c r="W3786">
        <v>3.3782079999999999E-2</v>
      </c>
      <c r="X3786">
        <v>0.99840059999999997</v>
      </c>
      <c r="Y3786">
        <v>5.2913179999999997E-2</v>
      </c>
      <c r="Z3786">
        <v>3.233606E-3</v>
      </c>
      <c r="AA3786">
        <v>0.99859390000000003</v>
      </c>
      <c r="AB3786">
        <v>31</v>
      </c>
      <c r="AC3786">
        <v>-0.56529999999997904</v>
      </c>
      <c r="AD3786">
        <v>-0.155062599999999</v>
      </c>
      <c r="AE3786">
        <v>4.6199999999998902E-2</v>
      </c>
      <c r="AF3786">
        <v>3.7150469551107498E-2</v>
      </c>
      <c r="AG3786">
        <v>-0.155062599999999</v>
      </c>
      <c r="AH3786">
        <v>0.52643110756029798</v>
      </c>
      <c r="AI3786">
        <v>106.374036106278</v>
      </c>
      <c r="AJ3786">
        <v>85.963304498610199</v>
      </c>
      <c r="AK3786">
        <v>0.55004934170835096</v>
      </c>
      <c r="AL3786">
        <v>88.064061094324998</v>
      </c>
      <c r="AM3786">
        <v>92.599751682235905</v>
      </c>
      <c r="AN3786">
        <v>1.00000002352267</v>
      </c>
    </row>
    <row r="3787" spans="1:40" x14ac:dyDescent="0.25">
      <c r="A3787" t="str">
        <f>"20190312150732205"</f>
        <v>20190312150732205</v>
      </c>
      <c r="B3787" t="str">
        <f>"1552374452193469"</f>
        <v>1552374452193469</v>
      </c>
      <c r="C3787" t="s">
        <v>40</v>
      </c>
      <c r="D3787">
        <v>4.462237</v>
      </c>
      <c r="E3787">
        <v>0.54276179999999996</v>
      </c>
      <c r="F3787" t="s">
        <v>41</v>
      </c>
      <c r="G3787">
        <v>-418.22109999999998</v>
      </c>
      <c r="H3787">
        <v>0.93066979999999999</v>
      </c>
      <c r="I3787">
        <v>284.86700000000002</v>
      </c>
      <c r="J3787">
        <v>-417.56130000000002</v>
      </c>
      <c r="K3787">
        <v>1.110919</v>
      </c>
      <c r="L3787">
        <v>284.81240000000003</v>
      </c>
      <c r="M3787">
        <v>-0.99983929999999999</v>
      </c>
      <c r="N3787">
        <v>0</v>
      </c>
      <c r="O3787">
        <v>1.0741769999999999E-2</v>
      </c>
      <c r="P3787">
        <v>-0.99921070000000001</v>
      </c>
      <c r="Q3787">
        <v>1.9214680000000001E-2</v>
      </c>
      <c r="R3787">
        <v>-3.4767470000000002E-2</v>
      </c>
      <c r="S3787">
        <v>-3.0220950000000002</v>
      </c>
      <c r="T3787">
        <v>-0.65559209999999901</v>
      </c>
      <c r="U3787">
        <v>0.2035217</v>
      </c>
      <c r="V3787">
        <v>-4.5542199999999998E-2</v>
      </c>
      <c r="W3787">
        <v>3.3493759999999997E-2</v>
      </c>
      <c r="X3787">
        <v>0.99840070000000003</v>
      </c>
      <c r="Y3787">
        <v>5.5435230000000002E-2</v>
      </c>
      <c r="Z3787">
        <v>3.6363089999999999E-3</v>
      </c>
      <c r="AA3787">
        <v>0.9984556</v>
      </c>
      <c r="AB3787">
        <v>31</v>
      </c>
      <c r="AC3787">
        <v>-0.65979999999996097</v>
      </c>
      <c r="AD3787">
        <v>-0.1802492</v>
      </c>
      <c r="AE3787">
        <v>5.4599999999993501E-2</v>
      </c>
      <c r="AF3787">
        <v>4.4230186048173498E-2</v>
      </c>
      <c r="AG3787">
        <v>-0.1802492</v>
      </c>
      <c r="AH3787">
        <v>0.61477870020016601</v>
      </c>
      <c r="AI3787">
        <v>106.300913446553</v>
      </c>
      <c r="AJ3787">
        <v>85.884951586238003</v>
      </c>
      <c r="AK3787">
        <v>0.64218294408859999</v>
      </c>
      <c r="AL3787">
        <v>88.080589808337095</v>
      </c>
      <c r="AM3787">
        <v>92.6117452572838</v>
      </c>
      <c r="AN3787">
        <v>0.999999940850132</v>
      </c>
    </row>
    <row r="3788" spans="1:40" x14ac:dyDescent="0.25">
      <c r="A3788" t="str">
        <f>"20190312150732225"</f>
        <v>20190312150732225</v>
      </c>
      <c r="B3788" t="str">
        <f>"1552374452213965"</f>
        <v>1552374452213965</v>
      </c>
      <c r="C3788" t="s">
        <v>40</v>
      </c>
      <c r="D3788">
        <v>4.4523000000000001</v>
      </c>
      <c r="E3788">
        <v>0.5437071</v>
      </c>
      <c r="F3788" t="s">
        <v>41</v>
      </c>
      <c r="G3788">
        <v>-418.48750000000001</v>
      </c>
      <c r="H3788">
        <v>0.90697660000000002</v>
      </c>
      <c r="I3788">
        <v>284.87639999999999</v>
      </c>
      <c r="J3788">
        <v>-417.8433</v>
      </c>
      <c r="K3788">
        <v>1.110919</v>
      </c>
      <c r="L3788">
        <v>284.81490000000002</v>
      </c>
      <c r="M3788">
        <v>-0.9998454</v>
      </c>
      <c r="N3788">
        <v>0</v>
      </c>
      <c r="O3788">
        <v>1.016832E-2</v>
      </c>
      <c r="P3788">
        <v>-0.99918039999999997</v>
      </c>
      <c r="Q3788">
        <v>1.967313E-2</v>
      </c>
      <c r="R3788">
        <v>-3.5380750000000002E-2</v>
      </c>
      <c r="S3788">
        <v>-3.0224000000000002</v>
      </c>
      <c r="T3788">
        <v>-0.66556669999999996</v>
      </c>
      <c r="U3788">
        <v>0.20779420000000001</v>
      </c>
      <c r="V3788">
        <v>-4.5582440000000002E-2</v>
      </c>
      <c r="W3788">
        <v>3.3948880000000001E-2</v>
      </c>
      <c r="X3788">
        <v>0.99838349999999998</v>
      </c>
      <c r="Y3788">
        <v>5.731634E-2</v>
      </c>
      <c r="Z3788">
        <v>4.018888E-3</v>
      </c>
      <c r="AA3788">
        <v>0.99834800000000001</v>
      </c>
      <c r="AB3788">
        <v>31</v>
      </c>
      <c r="AC3788">
        <v>-0.64420000000001199</v>
      </c>
      <c r="AD3788">
        <v>-0.2039424</v>
      </c>
      <c r="AE3788">
        <v>6.1499999999966803E-2</v>
      </c>
      <c r="AF3788">
        <v>4.9981581438898103E-2</v>
      </c>
      <c r="AG3788">
        <v>-0.2039424</v>
      </c>
      <c r="AH3788">
        <v>0.586537633712785</v>
      </c>
      <c r="AI3788">
        <v>109.108641437282</v>
      </c>
      <c r="AJ3788">
        <v>85.129328702256601</v>
      </c>
      <c r="AK3788">
        <v>0.622990414663248</v>
      </c>
      <c r="AL3788">
        <v>88.054498528825206</v>
      </c>
      <c r="AM3788">
        <v>92.6140947054013</v>
      </c>
      <c r="AN3788">
        <v>0.99999994918092705</v>
      </c>
    </row>
    <row r="3789" spans="1:40" x14ac:dyDescent="0.25">
      <c r="A3789" t="str">
        <f>"20190312150732238"</f>
        <v>20190312150732238</v>
      </c>
      <c r="B3789" t="str">
        <f>"1552374452233485"</f>
        <v>1552374452233485</v>
      </c>
      <c r="C3789" t="s">
        <v>40</v>
      </c>
      <c r="D3789">
        <v>4.5032699999999997</v>
      </c>
      <c r="E3789">
        <v>0.54469040000000002</v>
      </c>
      <c r="F3789" t="s">
        <v>41</v>
      </c>
      <c r="G3789">
        <v>-418.76389999999998</v>
      </c>
      <c r="H3789">
        <v>0.90459310000000004</v>
      </c>
      <c r="I3789">
        <v>284.87979999999999</v>
      </c>
      <c r="J3789">
        <v>-418.01979999999998</v>
      </c>
      <c r="K3789">
        <v>1.110919</v>
      </c>
      <c r="L3789">
        <v>284.81630000000001</v>
      </c>
      <c r="M3789">
        <v>-0.99984899999999999</v>
      </c>
      <c r="N3789">
        <v>0</v>
      </c>
      <c r="O3789">
        <v>9.8093680000000006E-3</v>
      </c>
      <c r="P3789">
        <v>-0.99915750000000003</v>
      </c>
      <c r="Q3789">
        <v>1.9601750000000001E-2</v>
      </c>
      <c r="R3789">
        <v>-3.6057220000000001E-2</v>
      </c>
      <c r="S3789">
        <v>-3.0233460000000001</v>
      </c>
      <c r="T3789">
        <v>-0.67764309999999905</v>
      </c>
      <c r="U3789">
        <v>0.2128601</v>
      </c>
      <c r="V3789">
        <v>-4.5900089999999998E-2</v>
      </c>
      <c r="W3789">
        <v>3.3875479999999999E-2</v>
      </c>
      <c r="X3789">
        <v>0.99837149999999997</v>
      </c>
      <c r="Y3789">
        <v>5.9222320000000002E-2</v>
      </c>
      <c r="Z3789">
        <v>4.3786900000000002E-3</v>
      </c>
      <c r="AA3789">
        <v>0.99823519999999999</v>
      </c>
      <c r="AB3789">
        <v>31</v>
      </c>
      <c r="AC3789">
        <v>-0.74410000000000298</v>
      </c>
      <c r="AD3789">
        <v>-0.20632589999999901</v>
      </c>
      <c r="AE3789">
        <v>6.3499999999976298E-2</v>
      </c>
      <c r="AF3789">
        <v>5.2211736172728597E-2</v>
      </c>
      <c r="AG3789">
        <v>-0.20632589999999901</v>
      </c>
      <c r="AH3789">
        <v>0.69187642902818602</v>
      </c>
      <c r="AI3789">
        <v>106.56071676637799</v>
      </c>
      <c r="AJ3789">
        <v>85.684413247576799</v>
      </c>
      <c r="AK3789">
        <v>0.72387114561210097</v>
      </c>
      <c r="AL3789">
        <v>88.058706576166401</v>
      </c>
      <c r="AM3789">
        <v>92.632317587693294</v>
      </c>
      <c r="AN3789">
        <v>1.0000000092097401</v>
      </c>
    </row>
    <row r="3790" spans="1:40" x14ac:dyDescent="0.25">
      <c r="A3790" t="str">
        <f>"20190312150732251"</f>
        <v>20190312150732251</v>
      </c>
      <c r="B3790" t="str">
        <f>"1552374452244222"</f>
        <v>1552374452244222</v>
      </c>
      <c r="C3790" t="s">
        <v>40</v>
      </c>
      <c r="D3790">
        <v>4.5027379999999999</v>
      </c>
      <c r="E3790">
        <v>0.54501339999999998</v>
      </c>
      <c r="F3790" t="s">
        <v>41</v>
      </c>
      <c r="G3790">
        <v>-418.78</v>
      </c>
      <c r="H3790">
        <v>0.93846090000000004</v>
      </c>
      <c r="I3790">
        <v>284.87119999999999</v>
      </c>
      <c r="J3790">
        <v>-418.18549999999999</v>
      </c>
      <c r="K3790">
        <v>1.1109180000000001</v>
      </c>
      <c r="L3790">
        <v>284.81760000000003</v>
      </c>
      <c r="M3790">
        <v>-0.99985210000000002</v>
      </c>
      <c r="N3790">
        <v>0</v>
      </c>
      <c r="O3790">
        <v>9.4724059999999992E-3</v>
      </c>
      <c r="P3790">
        <v>-0.99915529999999997</v>
      </c>
      <c r="Q3790">
        <v>1.9748689999999999E-2</v>
      </c>
      <c r="R3790">
        <v>-3.6037970000000003E-2</v>
      </c>
      <c r="S3790">
        <v>-3.0238339999999999</v>
      </c>
      <c r="T3790">
        <v>-0.68598009999999998</v>
      </c>
      <c r="U3790">
        <v>0.2182007</v>
      </c>
      <c r="V3790">
        <v>-4.5544250000000001E-2</v>
      </c>
      <c r="W3790">
        <v>3.4021309999999999E-2</v>
      </c>
      <c r="X3790">
        <v>0.99838280000000001</v>
      </c>
      <c r="Y3790">
        <v>6.1213339999999998E-2</v>
      </c>
      <c r="Z3790">
        <v>4.728388E-3</v>
      </c>
      <c r="AA3790">
        <v>0.99811349999999999</v>
      </c>
      <c r="AB3790">
        <v>31</v>
      </c>
      <c r="AC3790">
        <v>-0.59449999999998204</v>
      </c>
      <c r="AD3790">
        <v>-0.1724571</v>
      </c>
      <c r="AE3790">
        <v>5.3599999999960297E-2</v>
      </c>
      <c r="AF3790">
        <v>4.4270323098548899E-2</v>
      </c>
      <c r="AG3790">
        <v>-0.1724571</v>
      </c>
      <c r="AH3790">
        <v>0.54914287288347696</v>
      </c>
      <c r="AI3790">
        <v>107.381800873638</v>
      </c>
      <c r="AJ3790">
        <v>85.390946306377103</v>
      </c>
      <c r="AK3790">
        <v>0.57728607092703899</v>
      </c>
      <c r="AL3790">
        <v>88.050346240761002</v>
      </c>
      <c r="AM3790">
        <v>92.611909420713303</v>
      </c>
      <c r="AN3790">
        <v>0.99999997178900801</v>
      </c>
    </row>
    <row r="3791" spans="1:40" x14ac:dyDescent="0.25">
      <c r="A3791" t="str">
        <f>"20190312150732272"</f>
        <v>20190312150732272</v>
      </c>
      <c r="B3791" t="str">
        <f>"1552374452263741"</f>
        <v>1552374452263741</v>
      </c>
      <c r="C3791" t="s">
        <v>40</v>
      </c>
      <c r="D3791">
        <v>4.4455070000000001</v>
      </c>
      <c r="E3791">
        <v>0.54565629999999998</v>
      </c>
      <c r="F3791" t="s">
        <v>41</v>
      </c>
      <c r="G3791">
        <v>-419.04570000000001</v>
      </c>
      <c r="H3791">
        <v>0.91481259999999998</v>
      </c>
      <c r="I3791">
        <v>284.88069999999999</v>
      </c>
      <c r="J3791">
        <v>-418.48230000000001</v>
      </c>
      <c r="K3791">
        <v>1.110914</v>
      </c>
      <c r="L3791">
        <v>284.81970000000001</v>
      </c>
      <c r="M3791">
        <v>-0.99985789999999997</v>
      </c>
      <c r="N3791">
        <v>0</v>
      </c>
      <c r="O3791">
        <v>8.8686909999999997E-3</v>
      </c>
      <c r="P3791">
        <v>-0.99914769999999997</v>
      </c>
      <c r="Q3791">
        <v>1.9383609999999999E-2</v>
      </c>
      <c r="R3791">
        <v>-3.6446039999999999E-2</v>
      </c>
      <c r="S3791">
        <v>-3.0240779999999998</v>
      </c>
      <c r="T3791">
        <v>-0.68955180000000005</v>
      </c>
      <c r="U3791">
        <v>0.2205811</v>
      </c>
      <c r="V3791">
        <v>-4.5348670000000001E-2</v>
      </c>
      <c r="W3791">
        <v>3.3653410000000002E-2</v>
      </c>
      <c r="X3791">
        <v>0.99840419999999996</v>
      </c>
      <c r="Y3791">
        <v>6.2529459999999995E-2</v>
      </c>
      <c r="Z3791">
        <v>5.0355820000000003E-3</v>
      </c>
      <c r="AA3791">
        <v>0.99803039999999998</v>
      </c>
      <c r="AB3791">
        <v>31</v>
      </c>
      <c r="AC3791">
        <v>-0.56340000000000101</v>
      </c>
      <c r="AD3791">
        <v>-0.19610140000000001</v>
      </c>
      <c r="AE3791">
        <v>6.0999999999978599E-2</v>
      </c>
      <c r="AF3791">
        <v>5.0011694243707799E-2</v>
      </c>
      <c r="AG3791">
        <v>-0.19610140000000001</v>
      </c>
      <c r="AH3791">
        <v>0.50361256942632204</v>
      </c>
      <c r="AI3791">
        <v>111.180526527536</v>
      </c>
      <c r="AJ3791">
        <v>84.328785397998104</v>
      </c>
      <c r="AK3791">
        <v>0.54275459346491695</v>
      </c>
      <c r="AL3791">
        <v>88.071437491441898</v>
      </c>
      <c r="AM3791">
        <v>92.600652902083993</v>
      </c>
      <c r="AN3791">
        <v>1.0000000002265099</v>
      </c>
    </row>
    <row r="3792" spans="1:40" x14ac:dyDescent="0.25">
      <c r="A3792" t="str">
        <f>"20190312150732293"</f>
        <v>20190312150732293</v>
      </c>
      <c r="B3792" t="str">
        <f>"1552374452284237"</f>
        <v>1552374452284237</v>
      </c>
      <c r="C3792" t="s">
        <v>40</v>
      </c>
      <c r="D3792">
        <v>4.4982139999999999</v>
      </c>
      <c r="E3792">
        <v>0.54647539999999994</v>
      </c>
      <c r="F3792" t="s">
        <v>41</v>
      </c>
      <c r="G3792">
        <v>-419.32330000000002</v>
      </c>
      <c r="H3792">
        <v>0.91682240000000004</v>
      </c>
      <c r="I3792">
        <v>284.88220000000001</v>
      </c>
      <c r="J3792">
        <v>-418.77780000000001</v>
      </c>
      <c r="K3792">
        <v>1.110914</v>
      </c>
      <c r="L3792">
        <v>284.82170000000002</v>
      </c>
      <c r="M3792">
        <v>-0.9998631</v>
      </c>
      <c r="N3792">
        <v>0</v>
      </c>
      <c r="O3792">
        <v>8.2671789999999995E-3</v>
      </c>
      <c r="P3792">
        <v>-0.99914619999999998</v>
      </c>
      <c r="Q3792">
        <v>1.899868E-2</v>
      </c>
      <c r="R3792">
        <v>-3.6690609999999999E-2</v>
      </c>
      <c r="S3792">
        <v>-3.0242610000000001</v>
      </c>
      <c r="T3792">
        <v>-0.69792390000000004</v>
      </c>
      <c r="U3792">
        <v>0.22381590000000001</v>
      </c>
      <c r="V3792">
        <v>-4.4991719999999999E-2</v>
      </c>
      <c r="W3792">
        <v>3.326643E-2</v>
      </c>
      <c r="X3792">
        <v>0.99843329999999997</v>
      </c>
      <c r="Y3792">
        <v>6.4097699999999994E-2</v>
      </c>
      <c r="Z3792">
        <v>5.4098760000000001E-3</v>
      </c>
      <c r="AA3792">
        <v>0.99792899999999995</v>
      </c>
      <c r="AB3792">
        <v>31</v>
      </c>
      <c r="AC3792">
        <v>-0.54550000000000398</v>
      </c>
      <c r="AD3792">
        <v>-0.194091599999999</v>
      </c>
      <c r="AE3792">
        <v>6.0499999999990402E-2</v>
      </c>
      <c r="AF3792">
        <v>4.9764259965323097E-2</v>
      </c>
      <c r="AG3792">
        <v>-0.194091599999999</v>
      </c>
      <c r="AH3792">
        <v>0.48529155179869898</v>
      </c>
      <c r="AI3792">
        <v>111.695732344693</v>
      </c>
      <c r="AJ3792">
        <v>84.1450651046041</v>
      </c>
      <c r="AK3792">
        <v>0.525029447752834</v>
      </c>
      <c r="AL3792">
        <v>88.093622200440905</v>
      </c>
      <c r="AM3792">
        <v>92.580135227831803</v>
      </c>
      <c r="AN3792">
        <v>0.99999998239119603</v>
      </c>
    </row>
    <row r="3793" spans="1:40" x14ac:dyDescent="0.25">
      <c r="A3793" t="str">
        <f>"20190312150732315"</f>
        <v>20190312150732315</v>
      </c>
      <c r="B3793" t="str">
        <f>"1552374452303756"</f>
        <v>1552374452303756</v>
      </c>
      <c r="C3793" t="s">
        <v>40</v>
      </c>
      <c r="D3793">
        <v>4.5078680000000002</v>
      </c>
      <c r="E3793">
        <v>0.57049930000000004</v>
      </c>
      <c r="F3793" t="s">
        <v>41</v>
      </c>
      <c r="G3793">
        <v>-419.60149999999999</v>
      </c>
      <c r="H3793">
        <v>0.92058799999999996</v>
      </c>
      <c r="I3793">
        <v>284.88470000000001</v>
      </c>
      <c r="J3793">
        <v>-419.08179999999999</v>
      </c>
      <c r="K3793">
        <v>1.1109119999999999</v>
      </c>
      <c r="L3793">
        <v>284.82350000000002</v>
      </c>
      <c r="M3793">
        <v>-0.99986799999999998</v>
      </c>
      <c r="N3793">
        <v>0</v>
      </c>
      <c r="O3793">
        <v>7.6488569999999898E-3</v>
      </c>
      <c r="P3793">
        <v>-0.99914990000000004</v>
      </c>
      <c r="Q3793">
        <v>1.859742E-2</v>
      </c>
      <c r="R3793">
        <v>-3.6795040000000001E-2</v>
      </c>
      <c r="S3793">
        <v>-3.024292</v>
      </c>
      <c r="T3793">
        <v>-0.69894100000000003</v>
      </c>
      <c r="U3793">
        <v>0.22964480000000001</v>
      </c>
      <c r="V3793">
        <v>-4.4478120000000003E-2</v>
      </c>
      <c r="W3793">
        <v>3.2863240000000002E-2</v>
      </c>
      <c r="X3793">
        <v>0.99846970000000002</v>
      </c>
      <c r="Y3793">
        <v>6.6542229999999994E-2</v>
      </c>
      <c r="Z3793">
        <v>5.8363879999999996E-3</v>
      </c>
      <c r="AA3793">
        <v>0.99776659999999995</v>
      </c>
      <c r="AB3793">
        <v>31</v>
      </c>
      <c r="AC3793">
        <v>-0.51970000000000005</v>
      </c>
      <c r="AD3793">
        <v>-0.19032399999999999</v>
      </c>
      <c r="AE3793">
        <v>6.1199999999985197E-2</v>
      </c>
      <c r="AF3793">
        <v>5.0537493288813497E-2</v>
      </c>
      <c r="AG3793">
        <v>-0.19032399999999999</v>
      </c>
      <c r="AH3793">
        <v>0.45938466675950101</v>
      </c>
      <c r="AI3793">
        <v>112.382722237998</v>
      </c>
      <c r="AJ3793">
        <v>83.722063177322795</v>
      </c>
      <c r="AK3793">
        <v>0.49981149972530098</v>
      </c>
      <c r="AL3793">
        <v>88.116735993243907</v>
      </c>
      <c r="AM3793">
        <v>92.550628123617003</v>
      </c>
      <c r="AN3793">
        <v>1.0000000187600599</v>
      </c>
    </row>
    <row r="3794" spans="1:40" x14ac:dyDescent="0.25">
      <c r="A3794" t="str">
        <f>"20190312150732328"</f>
        <v>20190312150732328</v>
      </c>
      <c r="B3794" t="str">
        <f>"1552374452324253"</f>
        <v>1552374452324253</v>
      </c>
      <c r="C3794" t="s">
        <v>40</v>
      </c>
      <c r="D3794">
        <v>4.5214600000000003</v>
      </c>
      <c r="E3794">
        <v>0.57903780000000005</v>
      </c>
      <c r="F3794" t="s">
        <v>41</v>
      </c>
      <c r="G3794">
        <v>-419.87970000000001</v>
      </c>
      <c r="H3794">
        <v>0.92374730000000005</v>
      </c>
      <c r="I3794">
        <v>284.93419999999998</v>
      </c>
      <c r="J3794">
        <v>-419.25229999999999</v>
      </c>
      <c r="K3794">
        <v>1.110908</v>
      </c>
      <c r="L3794">
        <v>284.8245</v>
      </c>
      <c r="M3794">
        <v>-0.9998705</v>
      </c>
      <c r="N3794">
        <v>0</v>
      </c>
      <c r="O3794">
        <v>7.3018809999999996E-3</v>
      </c>
      <c r="P3794">
        <v>-0.999135</v>
      </c>
      <c r="Q3794">
        <v>1.887343E-2</v>
      </c>
      <c r="R3794">
        <v>-3.7058099999999997E-2</v>
      </c>
      <c r="S3794">
        <v>-3.0312809999999999</v>
      </c>
      <c r="T3794">
        <v>-0.71107159999999903</v>
      </c>
      <c r="U3794">
        <v>0.42037960000000002</v>
      </c>
      <c r="V3794">
        <v>-4.4394879999999998E-2</v>
      </c>
      <c r="W3794">
        <v>3.3137750000000001E-2</v>
      </c>
      <c r="X3794">
        <v>0.99846429999999997</v>
      </c>
      <c r="Y3794">
        <v>0.12694250000000001</v>
      </c>
      <c r="Z3794">
        <v>1.2940220000000001E-2</v>
      </c>
      <c r="AA3794">
        <v>0.99182559999999997</v>
      </c>
      <c r="AB3794">
        <v>31</v>
      </c>
      <c r="AC3794">
        <v>-0.62740000000002205</v>
      </c>
      <c r="AD3794">
        <v>-0.18716070000000001</v>
      </c>
      <c r="AE3794">
        <v>0.109699999999975</v>
      </c>
      <c r="AF3794">
        <v>9.6760170534604201E-2</v>
      </c>
      <c r="AG3794">
        <v>-0.18716070000000001</v>
      </c>
      <c r="AH3794">
        <v>0.57825232681666405</v>
      </c>
      <c r="AI3794">
        <v>107.704528698223</v>
      </c>
      <c r="AJ3794">
        <v>80.500586268433196</v>
      </c>
      <c r="AK3794">
        <v>0.615440827127403</v>
      </c>
      <c r="AL3794">
        <v>88.1009990976316</v>
      </c>
      <c r="AM3794">
        <v>92.545874706103106</v>
      </c>
      <c r="AN3794">
        <v>0.99999998710988303</v>
      </c>
    </row>
    <row r="3795" spans="1:40" x14ac:dyDescent="0.25">
      <c r="A3795" t="str">
        <f>"20190312150732339"</f>
        <v>20190312150732339</v>
      </c>
      <c r="B3795" t="str">
        <f>"1552374452334012"</f>
        <v>1552374452334012</v>
      </c>
      <c r="C3795" t="s">
        <v>40</v>
      </c>
      <c r="D3795">
        <v>4.488226</v>
      </c>
      <c r="E3795">
        <v>0.57803169999999904</v>
      </c>
      <c r="F3795" t="s">
        <v>41</v>
      </c>
      <c r="G3795">
        <v>-420.13130000000001</v>
      </c>
      <c r="H3795">
        <v>0.86586689999999999</v>
      </c>
      <c r="I3795">
        <v>284.96460000000002</v>
      </c>
      <c r="J3795">
        <v>-419.42860000000002</v>
      </c>
      <c r="K3795">
        <v>1.1109089999999999</v>
      </c>
      <c r="L3795">
        <v>284.8254</v>
      </c>
      <c r="M3795">
        <v>-0.99987309999999996</v>
      </c>
      <c r="N3795">
        <v>0</v>
      </c>
      <c r="O3795">
        <v>6.9432840000000001E-3</v>
      </c>
      <c r="P3795">
        <v>-0.99912849999999997</v>
      </c>
      <c r="Q3795">
        <v>1.8517349999999998E-2</v>
      </c>
      <c r="R3795">
        <v>-3.7409289999999998E-2</v>
      </c>
      <c r="S3795">
        <v>-3.0364689999999999</v>
      </c>
      <c r="T3795">
        <v>-0.84662079999999995</v>
      </c>
      <c r="U3795">
        <v>0.48220829999999998</v>
      </c>
      <c r="V3795">
        <v>-4.4387309999999999E-2</v>
      </c>
      <c r="W3795">
        <v>3.2780320000000002E-2</v>
      </c>
      <c r="X3795">
        <v>0.99847640000000004</v>
      </c>
      <c r="Y3795">
        <v>0.144847</v>
      </c>
      <c r="Z3795">
        <v>1.780992E-2</v>
      </c>
      <c r="AA3795">
        <v>0.9892938</v>
      </c>
      <c r="AB3795">
        <v>31</v>
      </c>
      <c r="AC3795">
        <v>-0.702699999999992</v>
      </c>
      <c r="AD3795">
        <v>-0.24504210000000001</v>
      </c>
      <c r="AE3795">
        <v>0.13920000000001601</v>
      </c>
      <c r="AF3795">
        <v>0.120246928708114</v>
      </c>
      <c r="AG3795">
        <v>-0.24504210000000001</v>
      </c>
      <c r="AH3795">
        <v>0.62993999204765105</v>
      </c>
      <c r="AI3795">
        <v>110.911544812079</v>
      </c>
      <c r="AJ3795">
        <v>79.193027704995799</v>
      </c>
      <c r="AK3795">
        <v>0.68653430228732104</v>
      </c>
      <c r="AL3795">
        <v>88.1214893948667</v>
      </c>
      <c r="AM3795">
        <v>92.545410360634193</v>
      </c>
      <c r="AN3795">
        <v>0.99999995201264802</v>
      </c>
    </row>
    <row r="3796" spans="1:40" x14ac:dyDescent="0.25">
      <c r="A3796" t="str">
        <f>"20190312150732353"</f>
        <v>20190312150732353</v>
      </c>
      <c r="B3796" t="str">
        <f>"1552374452343773"</f>
        <v>1552374452343773</v>
      </c>
      <c r="C3796" t="s">
        <v>40</v>
      </c>
      <c r="D3796">
        <v>4.5003390000000003</v>
      </c>
      <c r="E3796">
        <v>0.57770369999999904</v>
      </c>
      <c r="F3796" t="s">
        <v>41</v>
      </c>
      <c r="G3796">
        <v>-420.14929999999998</v>
      </c>
      <c r="H3796">
        <v>0.9098752</v>
      </c>
      <c r="I3796">
        <v>284.93830000000003</v>
      </c>
      <c r="J3796">
        <v>-419.60489999999999</v>
      </c>
      <c r="K3796">
        <v>1.1109089999999999</v>
      </c>
      <c r="L3796">
        <v>284.82619999999997</v>
      </c>
      <c r="M3796">
        <v>-0.99987570000000003</v>
      </c>
      <c r="N3796">
        <v>0</v>
      </c>
      <c r="O3796">
        <v>6.5846250000000002E-3</v>
      </c>
      <c r="P3796">
        <v>-0.99911519999999998</v>
      </c>
      <c r="Q3796">
        <v>1.8571569999999999E-2</v>
      </c>
      <c r="R3796">
        <v>-3.7736659999999998E-2</v>
      </c>
      <c r="S3796">
        <v>-3.036041</v>
      </c>
      <c r="T3796">
        <v>-0.84706990000000004</v>
      </c>
      <c r="U3796">
        <v>0.47314450000000002</v>
      </c>
      <c r="V3796">
        <v>-4.4355810000000002E-2</v>
      </c>
      <c r="W3796">
        <v>3.2832750000000001E-2</v>
      </c>
      <c r="X3796">
        <v>0.99847609999999998</v>
      </c>
      <c r="Y3796">
        <v>0.14240849999999999</v>
      </c>
      <c r="Z3796">
        <v>1.7591010000000001E-2</v>
      </c>
      <c r="AA3796">
        <v>0.98965159999999996</v>
      </c>
      <c r="AB3796">
        <v>31</v>
      </c>
      <c r="AC3796">
        <v>-0.544399999999996</v>
      </c>
      <c r="AD3796">
        <v>-0.20103379999999901</v>
      </c>
      <c r="AE3796">
        <v>0.112100000000054</v>
      </c>
      <c r="AF3796">
        <v>9.5959333541485906E-2</v>
      </c>
      <c r="AG3796">
        <v>-0.20103379999999901</v>
      </c>
      <c r="AH3796">
        <v>0.48206383206949599</v>
      </c>
      <c r="AI3796">
        <v>112.244697572219</v>
      </c>
      <c r="AJ3796">
        <v>78.7418969273388</v>
      </c>
      <c r="AK3796">
        <v>0.53104455615860902</v>
      </c>
      <c r="AL3796">
        <v>88.118483802044196</v>
      </c>
      <c r="AM3796">
        <v>92.543607115450598</v>
      </c>
      <c r="AN3796">
        <v>0.99999997481226399</v>
      </c>
    </row>
    <row r="3797" spans="1:40" x14ac:dyDescent="0.25">
      <c r="A3797" t="str">
        <f>"20190312150732366"</f>
        <v>20190312150732366</v>
      </c>
      <c r="B3797" t="str">
        <f>"1552374452353533"</f>
        <v>1552374452353533</v>
      </c>
      <c r="C3797" t="s">
        <v>40</v>
      </c>
      <c r="D3797">
        <v>4.4754170000000002</v>
      </c>
      <c r="E3797">
        <v>0.57735689999999995</v>
      </c>
      <c r="F3797" t="s">
        <v>41</v>
      </c>
      <c r="G3797">
        <v>-420.41449999999998</v>
      </c>
      <c r="H3797">
        <v>0.88483259999999897</v>
      </c>
      <c r="I3797">
        <v>284.95159999999998</v>
      </c>
      <c r="J3797">
        <v>-419.78</v>
      </c>
      <c r="K3797">
        <v>1.110903</v>
      </c>
      <c r="L3797">
        <v>284.82709999999997</v>
      </c>
      <c r="M3797">
        <v>-0.99987800000000004</v>
      </c>
      <c r="N3797">
        <v>0</v>
      </c>
      <c r="O3797">
        <v>6.2284100000000002E-3</v>
      </c>
      <c r="P3797">
        <v>-0.99909060000000005</v>
      </c>
      <c r="Q3797">
        <v>1.860771E-2</v>
      </c>
      <c r="R3797">
        <v>-3.8364189999999999E-2</v>
      </c>
      <c r="S3797">
        <v>-3.0361940000000001</v>
      </c>
      <c r="T3797">
        <v>-0.84799969999999902</v>
      </c>
      <c r="U3797">
        <v>0.46948240000000002</v>
      </c>
      <c r="V3797">
        <v>-4.462762E-2</v>
      </c>
      <c r="W3797">
        <v>3.2866579999999999E-2</v>
      </c>
      <c r="X3797">
        <v>0.99846290000000004</v>
      </c>
      <c r="Y3797">
        <v>0.1415932</v>
      </c>
      <c r="Z3797">
        <v>1.7596259999999999E-2</v>
      </c>
      <c r="AA3797">
        <v>0.98976850000000005</v>
      </c>
      <c r="AB3797">
        <v>31</v>
      </c>
      <c r="AC3797">
        <v>-0.63450000000000195</v>
      </c>
      <c r="AD3797">
        <v>-0.2260704</v>
      </c>
      <c r="AE3797">
        <v>0.124500000000011</v>
      </c>
      <c r="AF3797">
        <v>0.107414758989199</v>
      </c>
      <c r="AG3797">
        <v>-0.2260704</v>
      </c>
      <c r="AH3797">
        <v>0.566066623021108</v>
      </c>
      <c r="AI3797">
        <v>111.42350409610501</v>
      </c>
      <c r="AJ3797">
        <v>79.255505006491802</v>
      </c>
      <c r="AK3797">
        <v>0.61893228862565297</v>
      </c>
      <c r="AL3797">
        <v>88.116544485834297</v>
      </c>
      <c r="AM3797">
        <v>92.559207330007695</v>
      </c>
      <c r="AN3797">
        <v>0.99999999961208497</v>
      </c>
    </row>
    <row r="3798" spans="1:40" x14ac:dyDescent="0.25">
      <c r="A3798" t="str">
        <f>"20190312150732378"</f>
        <v>20190312150732378</v>
      </c>
      <c r="B3798" t="str">
        <f>"1552374452374028"</f>
        <v>1552374452374028</v>
      </c>
      <c r="C3798" t="s">
        <v>40</v>
      </c>
      <c r="D3798">
        <v>4.4703929999999996</v>
      </c>
      <c r="E3798">
        <v>0.57710680000000003</v>
      </c>
      <c r="F3798" t="s">
        <v>41</v>
      </c>
      <c r="G3798">
        <v>-420.67919999999998</v>
      </c>
      <c r="H3798">
        <v>0.85936089999999998</v>
      </c>
      <c r="I3798">
        <v>284.96499999999997</v>
      </c>
      <c r="J3798">
        <v>-419.95780000000002</v>
      </c>
      <c r="K3798">
        <v>1.1109059999999999</v>
      </c>
      <c r="L3798">
        <v>284.82780000000002</v>
      </c>
      <c r="M3798">
        <v>-0.99988030000000006</v>
      </c>
      <c r="N3798">
        <v>0</v>
      </c>
      <c r="O3798">
        <v>5.8664759999999998E-3</v>
      </c>
      <c r="P3798">
        <v>-0.99909079999999995</v>
      </c>
      <c r="Q3798">
        <v>1.8110149999999998E-2</v>
      </c>
      <c r="R3798">
        <v>-3.8600019999999999E-2</v>
      </c>
      <c r="S3798">
        <v>-3.0363769999999999</v>
      </c>
      <c r="T3798">
        <v>-0.84955119999999895</v>
      </c>
      <c r="U3798">
        <v>0.46472170000000002</v>
      </c>
      <c r="V3798">
        <v>-4.4501220000000001E-2</v>
      </c>
      <c r="W3798">
        <v>3.2367130000000001E-2</v>
      </c>
      <c r="X3798">
        <v>0.99848479999999995</v>
      </c>
      <c r="Y3798">
        <v>0.1404368</v>
      </c>
      <c r="Z3798">
        <v>1.75692E-2</v>
      </c>
      <c r="AA3798">
        <v>0.98993370000000003</v>
      </c>
      <c r="AB3798">
        <v>31</v>
      </c>
      <c r="AC3798">
        <v>-0.72139999999995996</v>
      </c>
      <c r="AD3798">
        <v>-0.25154510000000002</v>
      </c>
      <c r="AE3798">
        <v>0.13719999999995</v>
      </c>
      <c r="AF3798">
        <v>0.119001433591456</v>
      </c>
      <c r="AG3798">
        <v>-0.25154510000000002</v>
      </c>
      <c r="AH3798">
        <v>0.64634952804211798</v>
      </c>
      <c r="AI3798">
        <v>110.94410295833799</v>
      </c>
      <c r="AJ3798">
        <v>79.567922086163193</v>
      </c>
      <c r="AK3798">
        <v>0.70370731908308304</v>
      </c>
      <c r="AL3798">
        <v>88.145175991786502</v>
      </c>
      <c r="AM3798">
        <v>92.551912516154502</v>
      </c>
      <c r="AN3798">
        <v>0.99999994275848003</v>
      </c>
    </row>
    <row r="3799" spans="1:40" x14ac:dyDescent="0.25">
      <c r="A3799" t="str">
        <f>"20190312150732391"</f>
        <v>20190312150732391</v>
      </c>
      <c r="B3799" t="str">
        <f>"1552374452383789"</f>
        <v>1552374452383789</v>
      </c>
      <c r="C3799" t="s">
        <v>40</v>
      </c>
      <c r="D3799">
        <v>4.4944680000000004</v>
      </c>
      <c r="E3799">
        <v>0.57719989999999999</v>
      </c>
      <c r="F3799" t="s">
        <v>41</v>
      </c>
      <c r="G3799">
        <v>-420.69740000000002</v>
      </c>
      <c r="H3799">
        <v>0.90370539999999999</v>
      </c>
      <c r="I3799">
        <v>284.94069999999999</v>
      </c>
      <c r="J3799">
        <v>-420.13099999999997</v>
      </c>
      <c r="K3799">
        <v>1.1109039999999999</v>
      </c>
      <c r="L3799">
        <v>284.82850000000002</v>
      </c>
      <c r="M3799">
        <v>-0.99988220000000005</v>
      </c>
      <c r="N3799">
        <v>0</v>
      </c>
      <c r="O3799">
        <v>5.51396E-3</v>
      </c>
      <c r="P3799">
        <v>-0.9990677</v>
      </c>
      <c r="Q3799">
        <v>1.815371E-2</v>
      </c>
      <c r="R3799">
        <v>-3.9167830000000001E-2</v>
      </c>
      <c r="S3799">
        <v>-3.036041</v>
      </c>
      <c r="T3799">
        <v>-0.85077669999999905</v>
      </c>
      <c r="U3799">
        <v>0.4618835</v>
      </c>
      <c r="V3799">
        <v>-4.4717319999999998E-2</v>
      </c>
      <c r="W3799">
        <v>3.2408579999999999E-2</v>
      </c>
      <c r="X3799">
        <v>0.99847390000000003</v>
      </c>
      <c r="Y3799">
        <v>0.1398886</v>
      </c>
      <c r="Z3799">
        <v>1.761807E-2</v>
      </c>
      <c r="AA3799">
        <v>0.99001050000000002</v>
      </c>
      <c r="AB3799">
        <v>31</v>
      </c>
      <c r="AC3799">
        <v>-0.56640000000004398</v>
      </c>
      <c r="AD3799">
        <v>-0.20719860000000001</v>
      </c>
      <c r="AE3799">
        <v>0.112199999999973</v>
      </c>
      <c r="AF3799">
        <v>9.6631709949774394E-2</v>
      </c>
      <c r="AG3799">
        <v>-0.20719860000000001</v>
      </c>
      <c r="AH3799">
        <v>0.50232614475793202</v>
      </c>
      <c r="AI3799">
        <v>112.050493042974</v>
      </c>
      <c r="AJ3799">
        <v>79.111115083962005</v>
      </c>
      <c r="AK3799">
        <v>0.55190624468033</v>
      </c>
      <c r="AL3799">
        <v>88.142800019140793</v>
      </c>
      <c r="AM3799">
        <v>92.564316176959395</v>
      </c>
      <c r="AN3799">
        <v>1.0000000418734001</v>
      </c>
    </row>
    <row r="3800" spans="1:40" x14ac:dyDescent="0.25">
      <c r="A3800" t="str">
        <f>"20190312150732404"</f>
        <v>20190312150732404</v>
      </c>
      <c r="B3800" t="str">
        <f>"1552374452393549"</f>
        <v>1552374452393549</v>
      </c>
      <c r="C3800" t="s">
        <v>40</v>
      </c>
      <c r="D3800">
        <v>4.5583549999999997</v>
      </c>
      <c r="E3800">
        <v>0.57745780000000002</v>
      </c>
      <c r="F3800" t="s">
        <v>41</v>
      </c>
      <c r="G3800">
        <v>-420.96159999999998</v>
      </c>
      <c r="H3800">
        <v>0.87786019999999898</v>
      </c>
      <c r="I3800">
        <v>284.95460000000003</v>
      </c>
      <c r="J3800">
        <v>-420.30770000000001</v>
      </c>
      <c r="K3800">
        <v>1.110905</v>
      </c>
      <c r="L3800">
        <v>284.82909999999998</v>
      </c>
      <c r="M3800">
        <v>-0.99988410000000005</v>
      </c>
      <c r="N3800">
        <v>0</v>
      </c>
      <c r="O3800">
        <v>5.1540539999999999E-3</v>
      </c>
      <c r="P3800">
        <v>-0.99904930000000003</v>
      </c>
      <c r="Q3800">
        <v>1.8078529999999999E-2</v>
      </c>
      <c r="R3800">
        <v>-3.967039E-2</v>
      </c>
      <c r="S3800">
        <v>-3.036346</v>
      </c>
      <c r="T3800">
        <v>-0.85200419999999999</v>
      </c>
      <c r="U3800">
        <v>0.46096799999999999</v>
      </c>
      <c r="V3800">
        <v>-4.4859789999999997E-2</v>
      </c>
      <c r="W3800">
        <v>3.233138E-2</v>
      </c>
      <c r="X3800">
        <v>0.99846990000000002</v>
      </c>
      <c r="Y3800">
        <v>0.13991010000000001</v>
      </c>
      <c r="Z3800">
        <v>1.774272E-2</v>
      </c>
      <c r="AA3800">
        <v>0.99000529999999998</v>
      </c>
      <c r="AB3800">
        <v>31</v>
      </c>
      <c r="AC3800">
        <v>-0.65389999999996395</v>
      </c>
      <c r="AD3800">
        <v>-0.2330448</v>
      </c>
      <c r="AE3800">
        <v>0.12550000000004499</v>
      </c>
      <c r="AF3800">
        <v>0.10879949720108301</v>
      </c>
      <c r="AG3800">
        <v>-0.2330448</v>
      </c>
      <c r="AH3800">
        <v>0.58310603391010696</v>
      </c>
      <c r="AI3800">
        <v>111.44890370534</v>
      </c>
      <c r="AJ3800">
        <v>79.430935783897496</v>
      </c>
      <c r="AK3800">
        <v>0.63730672064605098</v>
      </c>
      <c r="AL3800">
        <v>88.147225365066404</v>
      </c>
      <c r="AM3800">
        <v>92.572485457843598</v>
      </c>
      <c r="AN3800">
        <v>0.99999993004877596</v>
      </c>
    </row>
    <row r="3801" spans="1:40" x14ac:dyDescent="0.25">
      <c r="A3801" t="str">
        <f>"20190312150732415"</f>
        <v>20190312150732415</v>
      </c>
      <c r="B3801" t="str">
        <f>"1552374452414045"</f>
        <v>1552374452414045</v>
      </c>
      <c r="C3801" t="s">
        <v>40</v>
      </c>
      <c r="D3801">
        <v>4.465497</v>
      </c>
      <c r="E3801">
        <v>0.57721709999999904</v>
      </c>
      <c r="F3801" t="s">
        <v>41</v>
      </c>
      <c r="G3801">
        <v>-420.9803</v>
      </c>
      <c r="H3801">
        <v>0.92231269999999999</v>
      </c>
      <c r="I3801">
        <v>284.9314</v>
      </c>
      <c r="J3801">
        <v>-420.4717</v>
      </c>
      <c r="K3801">
        <v>1.1109059999999999</v>
      </c>
      <c r="L3801">
        <v>284.82960000000003</v>
      </c>
      <c r="M3801">
        <v>-0.99988589999999999</v>
      </c>
      <c r="N3801">
        <v>0</v>
      </c>
      <c r="O3801">
        <v>4.8197780000000003E-3</v>
      </c>
      <c r="P3801">
        <v>-0.99902179999999996</v>
      </c>
      <c r="Q3801">
        <v>1.7925750000000001E-2</v>
      </c>
      <c r="R3801">
        <v>-4.0425139999999998E-2</v>
      </c>
      <c r="S3801">
        <v>-3.036591</v>
      </c>
      <c r="T3801">
        <v>-0.8515992</v>
      </c>
      <c r="U3801">
        <v>0.46151730000000002</v>
      </c>
      <c r="V3801">
        <v>-4.5279939999999998E-2</v>
      </c>
      <c r="W3801">
        <v>3.217648E-2</v>
      </c>
      <c r="X3801">
        <v>0.99845600000000001</v>
      </c>
      <c r="Y3801">
        <v>0.14037939999999999</v>
      </c>
      <c r="Z3801">
        <v>1.7888689999999999E-2</v>
      </c>
      <c r="AA3801">
        <v>0.98993620000000004</v>
      </c>
      <c r="AB3801">
        <v>31</v>
      </c>
      <c r="AC3801">
        <v>-0.50860000000000105</v>
      </c>
      <c r="AD3801">
        <v>-0.18859329999999999</v>
      </c>
      <c r="AE3801">
        <v>0.101799999999968</v>
      </c>
      <c r="AF3801">
        <v>8.7746859039957201E-2</v>
      </c>
      <c r="AG3801">
        <v>-0.18859329999999999</v>
      </c>
      <c r="AH3801">
        <v>0.44964105287969403</v>
      </c>
      <c r="AI3801">
        <v>112.375265097015</v>
      </c>
      <c r="AJ3801">
        <v>78.957584413815695</v>
      </c>
      <c r="AK3801">
        <v>0.49542307224333798</v>
      </c>
      <c r="AL3801">
        <v>88.1561052151458</v>
      </c>
      <c r="AM3801">
        <v>92.596582243646296</v>
      </c>
      <c r="AN3801">
        <v>0.99999999138379603</v>
      </c>
    </row>
    <row r="3802" spans="1:40" x14ac:dyDescent="0.25">
      <c r="A3802" t="str">
        <f>"20190312150732430"</f>
        <v>20190312150732430</v>
      </c>
      <c r="B3802" t="str">
        <f>"1552374452423806"</f>
        <v>1552374452423806</v>
      </c>
      <c r="C3802" t="s">
        <v>40</v>
      </c>
      <c r="D3802">
        <v>4.4723290000000002</v>
      </c>
      <c r="E3802">
        <v>0.57735530000000002</v>
      </c>
      <c r="F3802" t="s">
        <v>41</v>
      </c>
      <c r="G3802">
        <v>-421.24340000000001</v>
      </c>
      <c r="H3802">
        <v>0.89537230000000001</v>
      </c>
      <c r="I3802">
        <v>284.9461</v>
      </c>
      <c r="J3802">
        <v>-420.66230000000002</v>
      </c>
      <c r="K3802">
        <v>1.1109009999999999</v>
      </c>
      <c r="L3802">
        <v>284.83010000000002</v>
      </c>
      <c r="M3802">
        <v>-0.99988770000000005</v>
      </c>
      <c r="N3802">
        <v>0</v>
      </c>
      <c r="O3802">
        <v>4.43115E-3</v>
      </c>
      <c r="P3802">
        <v>-0.99899669999999896</v>
      </c>
      <c r="Q3802">
        <v>1.7966360000000001E-2</v>
      </c>
      <c r="R3802">
        <v>-4.1023219999999999E-2</v>
      </c>
      <c r="S3802">
        <v>-3.0366520000000001</v>
      </c>
      <c r="T3802">
        <v>-0.84818090000000002</v>
      </c>
      <c r="U3802">
        <v>0.45739750000000001</v>
      </c>
      <c r="V3802">
        <v>-4.548936E-2</v>
      </c>
      <c r="W3802">
        <v>3.2214619999999999E-2</v>
      </c>
      <c r="X3802">
        <v>0.99844529999999998</v>
      </c>
      <c r="Y3802">
        <v>0.1395052</v>
      </c>
      <c r="Z3802">
        <v>1.780764E-2</v>
      </c>
      <c r="AA3802">
        <v>0.99006119999999997</v>
      </c>
      <c r="AB3802">
        <v>31</v>
      </c>
      <c r="AC3802">
        <v>-0.58109999999999196</v>
      </c>
      <c r="AD3802">
        <v>-0.21552869999999899</v>
      </c>
      <c r="AE3802">
        <v>0.115999999999985</v>
      </c>
      <c r="AF3802">
        <v>0.10017160893535</v>
      </c>
      <c r="AG3802">
        <v>-0.21552869999999899</v>
      </c>
      <c r="AH3802">
        <v>0.513655152420191</v>
      </c>
      <c r="AI3802">
        <v>112.383806036645</v>
      </c>
      <c r="AJ3802">
        <v>78.964839534088895</v>
      </c>
      <c r="AK3802">
        <v>0.56597578337610599</v>
      </c>
      <c r="AL3802">
        <v>88.153918911078406</v>
      </c>
      <c r="AM3802">
        <v>92.6086028187365</v>
      </c>
      <c r="AN3802">
        <v>1.0000000403535201</v>
      </c>
    </row>
    <row r="3803" spans="1:40" x14ac:dyDescent="0.25">
      <c r="A3803" t="str">
        <f>"20190312150732443"</f>
        <v>20190312150732443</v>
      </c>
      <c r="B3803" t="str">
        <f>"1552374452433565"</f>
        <v>1552374452433565</v>
      </c>
      <c r="C3803" t="s">
        <v>40</v>
      </c>
      <c r="D3803">
        <v>4.6111449999999996</v>
      </c>
      <c r="E3803">
        <v>0.57735530000000002</v>
      </c>
      <c r="F3803" t="s">
        <v>41</v>
      </c>
      <c r="G3803">
        <v>-421.50900000000001</v>
      </c>
      <c r="H3803">
        <v>0.87427559999999904</v>
      </c>
      <c r="I3803">
        <v>284.95760000000001</v>
      </c>
      <c r="J3803">
        <v>-420.8424</v>
      </c>
      <c r="K3803">
        <v>1.1109009999999999</v>
      </c>
      <c r="L3803">
        <v>284.83049999999997</v>
      </c>
      <c r="M3803">
        <v>-0.99988929999999998</v>
      </c>
      <c r="N3803">
        <v>0</v>
      </c>
      <c r="O3803">
        <v>4.0636179999999997E-3</v>
      </c>
      <c r="P3803">
        <v>-0.99896569999999996</v>
      </c>
      <c r="Q3803">
        <v>1.7876510000000002E-2</v>
      </c>
      <c r="R3803">
        <v>-4.1806429999999999E-2</v>
      </c>
      <c r="S3803">
        <v>-3.037048</v>
      </c>
      <c r="T3803">
        <v>-0.84877780000000003</v>
      </c>
      <c r="U3803">
        <v>0.45718379999999997</v>
      </c>
      <c r="V3803">
        <v>-4.5905599999999998E-2</v>
      </c>
      <c r="W3803">
        <v>3.2122150000000002E-2</v>
      </c>
      <c r="X3803">
        <v>0.99842920000000002</v>
      </c>
      <c r="Y3803">
        <v>0.13975290000000001</v>
      </c>
      <c r="Z3803">
        <v>1.7951599999999901E-2</v>
      </c>
      <c r="AA3803">
        <v>0.99002369999999995</v>
      </c>
      <c r="AB3803">
        <v>31</v>
      </c>
      <c r="AC3803">
        <v>-0.66660000000001596</v>
      </c>
      <c r="AD3803">
        <v>-0.23662540000000001</v>
      </c>
      <c r="AE3803">
        <v>0.12710000000004101</v>
      </c>
      <c r="AF3803">
        <v>0.11090532652170799</v>
      </c>
      <c r="AG3803">
        <v>-0.23662540000000001</v>
      </c>
      <c r="AH3803">
        <v>0.59479256591110197</v>
      </c>
      <c r="AI3803">
        <v>111.35986916690599</v>
      </c>
      <c r="AJ3803">
        <v>79.437891067180303</v>
      </c>
      <c r="AK3803">
        <v>0.64966896788992501</v>
      </c>
      <c r="AL3803">
        <v>88.159219742828896</v>
      </c>
      <c r="AM3803">
        <v>92.632481207454205</v>
      </c>
      <c r="AN3803">
        <v>1.00000001202231</v>
      </c>
    </row>
    <row r="3804" spans="1:40" x14ac:dyDescent="0.25">
      <c r="A3804" t="str">
        <f>"20190312150732457"</f>
        <v>20190312150732457</v>
      </c>
      <c r="B3804" t="str">
        <f>"1552374452454061"</f>
        <v>1552374452454061</v>
      </c>
      <c r="C3804" t="s">
        <v>40</v>
      </c>
      <c r="D3804">
        <v>4.4656609999999999</v>
      </c>
      <c r="E3804">
        <v>0.57869179999999998</v>
      </c>
      <c r="F3804" t="s">
        <v>41</v>
      </c>
      <c r="G3804">
        <v>-421.52769999999998</v>
      </c>
      <c r="H3804">
        <v>0.91933580000000004</v>
      </c>
      <c r="I3804">
        <v>284.9332</v>
      </c>
      <c r="J3804">
        <v>-421.0324</v>
      </c>
      <c r="K3804">
        <v>1.1109</v>
      </c>
      <c r="L3804">
        <v>284.83080000000001</v>
      </c>
      <c r="M3804">
        <v>-0.99989090000000003</v>
      </c>
      <c r="N3804">
        <v>0</v>
      </c>
      <c r="O3804">
        <v>3.6760590000000002E-3</v>
      </c>
      <c r="P3804">
        <v>-0.99892990000000004</v>
      </c>
      <c r="Q3804">
        <v>1.805638E-2</v>
      </c>
      <c r="R3804">
        <v>-4.2586850000000002E-2</v>
      </c>
      <c r="S3804">
        <v>-3.0372919999999999</v>
      </c>
      <c r="T3804">
        <v>-0.84906229999999905</v>
      </c>
      <c r="U3804">
        <v>0.45477289999999998</v>
      </c>
      <c r="V3804">
        <v>-4.6299060000000003E-2</v>
      </c>
      <c r="W3804">
        <v>3.2298970000000003E-2</v>
      </c>
      <c r="X3804">
        <v>0.99840530000000005</v>
      </c>
      <c r="Y3804">
        <v>0.13935330000000001</v>
      </c>
      <c r="Z3804">
        <v>1.8008239999999998E-2</v>
      </c>
      <c r="AA3804">
        <v>0.99007900000000004</v>
      </c>
      <c r="AB3804">
        <v>31</v>
      </c>
      <c r="AC3804">
        <v>-0.49529999999998597</v>
      </c>
      <c r="AD3804">
        <v>-0.19156419999999999</v>
      </c>
      <c r="AE3804">
        <v>0.102399999999988</v>
      </c>
      <c r="AF3804">
        <v>8.79600810544615E-2</v>
      </c>
      <c r="AG3804">
        <v>-0.19156419999999999</v>
      </c>
      <c r="AH3804">
        <v>0.43348731901626703</v>
      </c>
      <c r="AI3804">
        <v>113.416868784595</v>
      </c>
      <c r="AJ3804">
        <v>78.529691190706401</v>
      </c>
      <c r="AK3804">
        <v>0.48202186084103898</v>
      </c>
      <c r="AL3804">
        <v>88.149083393024497</v>
      </c>
      <c r="AM3804">
        <v>92.655075698165206</v>
      </c>
      <c r="AN3804">
        <v>0.99999998474401697</v>
      </c>
    </row>
    <row r="3805" spans="1:40" x14ac:dyDescent="0.25">
      <c r="A3805" t="str">
        <f>"20190312150732472"</f>
        <v>20190312150732472</v>
      </c>
      <c r="B3805" t="str">
        <f>"1552374452463821"</f>
        <v>1552374452463821</v>
      </c>
      <c r="C3805" t="s">
        <v>40</v>
      </c>
      <c r="D3805">
        <v>4.4722929999999996</v>
      </c>
      <c r="E3805">
        <v>0.57842729999999998</v>
      </c>
      <c r="F3805" t="s">
        <v>41</v>
      </c>
      <c r="G3805">
        <v>-421.80840000000001</v>
      </c>
      <c r="H3805">
        <v>0.93238129999999997</v>
      </c>
      <c r="I3805">
        <v>284.95100000000002</v>
      </c>
      <c r="J3805">
        <v>-421.23860000000002</v>
      </c>
      <c r="K3805">
        <v>1.1109039999999999</v>
      </c>
      <c r="L3805">
        <v>284.83109999999999</v>
      </c>
      <c r="M3805">
        <v>-0.99989240000000001</v>
      </c>
      <c r="N3805">
        <v>0</v>
      </c>
      <c r="O3805">
        <v>3.255721E-3</v>
      </c>
      <c r="P3805">
        <v>-0.99886529999999996</v>
      </c>
      <c r="Q3805">
        <v>1.8240059999999999E-2</v>
      </c>
      <c r="R3805">
        <v>-4.3995979999999997E-2</v>
      </c>
      <c r="S3805">
        <v>-3.0358890000000001</v>
      </c>
      <c r="T3805">
        <v>-0.69860169999999999</v>
      </c>
      <c r="U3805">
        <v>0.4692383</v>
      </c>
      <c r="V3805">
        <v>-4.7288049999999998E-2</v>
      </c>
      <c r="W3805">
        <v>3.2479130000000002E-2</v>
      </c>
      <c r="X3805">
        <v>0.99835309999999999</v>
      </c>
      <c r="Y3805">
        <v>0.14588989999999999</v>
      </c>
      <c r="Z3805">
        <v>1.5739690000000001E-2</v>
      </c>
      <c r="AA3805">
        <v>0.98917560000000004</v>
      </c>
      <c r="AB3805">
        <v>31</v>
      </c>
      <c r="AC3805">
        <v>-0.56979999999998598</v>
      </c>
      <c r="AD3805">
        <v>-0.17852270000000001</v>
      </c>
      <c r="AE3805">
        <v>0.119899999999972</v>
      </c>
      <c r="AF3805">
        <v>0.107901386142323</v>
      </c>
      <c r="AG3805">
        <v>-0.17852270000000001</v>
      </c>
      <c r="AH3805">
        <v>0.52119527410319599</v>
      </c>
      <c r="AI3805">
        <v>108.542124809057</v>
      </c>
      <c r="AJ3805">
        <v>78.303475051358305</v>
      </c>
      <c r="AK3805">
        <v>0.56138897147542099</v>
      </c>
      <c r="AL3805">
        <v>88.138755563190202</v>
      </c>
      <c r="AM3805">
        <v>92.711848329550193</v>
      </c>
      <c r="AN3805">
        <v>0.99999998291898395</v>
      </c>
    </row>
    <row r="3806" spans="1:40" x14ac:dyDescent="0.25">
      <c r="A3806" t="str">
        <f>"20190312150732495"</f>
        <v>20190312150732495</v>
      </c>
      <c r="B3806" t="str">
        <f>"1552374452484317"</f>
        <v>1552374452484317</v>
      </c>
      <c r="C3806" t="s">
        <v>40</v>
      </c>
      <c r="D3806">
        <v>4.5735029999999997</v>
      </c>
      <c r="E3806">
        <v>0.57833429999999997</v>
      </c>
      <c r="F3806" t="s">
        <v>41</v>
      </c>
      <c r="G3806">
        <v>-422.0763</v>
      </c>
      <c r="H3806">
        <v>0.91923770000000005</v>
      </c>
      <c r="I3806">
        <v>284.95920000000001</v>
      </c>
      <c r="J3806">
        <v>-421.54059999999998</v>
      </c>
      <c r="K3806">
        <v>1.1109089999999999</v>
      </c>
      <c r="L3806">
        <v>284.83150000000001</v>
      </c>
      <c r="M3806">
        <v>-0.99989419999999996</v>
      </c>
      <c r="N3806">
        <v>0</v>
      </c>
      <c r="O3806">
        <v>2.6400220000000001E-3</v>
      </c>
      <c r="P3806">
        <v>-0.99878250000000002</v>
      </c>
      <c r="Q3806">
        <v>1.8721740000000001E-2</v>
      </c>
      <c r="R3806">
        <v>-4.5643379999999997E-2</v>
      </c>
      <c r="S3806">
        <v>-3.0364990000000001</v>
      </c>
      <c r="T3806">
        <v>-0.6948531</v>
      </c>
      <c r="U3806">
        <v>0.46343990000000002</v>
      </c>
      <c r="V3806">
        <v>-4.8320780000000001E-2</v>
      </c>
      <c r="W3806">
        <v>3.2955699999999997E-2</v>
      </c>
      <c r="X3806">
        <v>0.99828799999999995</v>
      </c>
      <c r="Y3806">
        <v>0.1446769</v>
      </c>
      <c r="Z3806">
        <v>1.5658539999999999E-2</v>
      </c>
      <c r="AA3806">
        <v>0.98935499999999998</v>
      </c>
      <c r="AB3806">
        <v>31</v>
      </c>
      <c r="AC3806">
        <v>-0.53570000000001905</v>
      </c>
      <c r="AD3806">
        <v>-0.19167129999999899</v>
      </c>
      <c r="AE3806">
        <v>0.127700000000004</v>
      </c>
      <c r="AF3806">
        <v>0.112640499618426</v>
      </c>
      <c r="AG3806">
        <v>-0.19167129999999899</v>
      </c>
      <c r="AH3806">
        <v>0.47811863549885503</v>
      </c>
      <c r="AI3806">
        <v>111.315924985783</v>
      </c>
      <c r="AJ3806">
        <v>76.743357457339897</v>
      </c>
      <c r="AK3806">
        <v>0.52727905231410999</v>
      </c>
      <c r="AL3806">
        <v>88.1114354311146</v>
      </c>
      <c r="AM3806">
        <v>92.771161842051896</v>
      </c>
      <c r="AN3806">
        <v>0.99999995344314796</v>
      </c>
    </row>
    <row r="3807" spans="1:40" x14ac:dyDescent="0.25">
      <c r="A3807" t="str">
        <f>"20190312150732517"</f>
        <v>20190312150732517</v>
      </c>
      <c r="B3807" t="str">
        <f>"1552374452503837"</f>
        <v>1552374452503837</v>
      </c>
      <c r="C3807" t="s">
        <v>40</v>
      </c>
      <c r="D3807">
        <v>4.6599159999999999</v>
      </c>
      <c r="E3807">
        <v>0.58325439999999995</v>
      </c>
      <c r="F3807" t="s">
        <v>41</v>
      </c>
      <c r="G3807">
        <v>-422.35199999999998</v>
      </c>
      <c r="H3807">
        <v>0.92524740000000005</v>
      </c>
      <c r="I3807">
        <v>284.95389999999998</v>
      </c>
      <c r="J3807">
        <v>-421.8449</v>
      </c>
      <c r="K3807">
        <v>1.1109059999999999</v>
      </c>
      <c r="L3807">
        <v>284.83159999999998</v>
      </c>
      <c r="M3807">
        <v>-0.9998956</v>
      </c>
      <c r="N3807">
        <v>0</v>
      </c>
      <c r="O3807">
        <v>2.0197349999999999E-3</v>
      </c>
      <c r="P3807">
        <v>-0.99869229999999998</v>
      </c>
      <c r="Q3807">
        <v>1.9048900000000001E-2</v>
      </c>
      <c r="R3807">
        <v>-4.7440309999999999E-2</v>
      </c>
      <c r="S3807">
        <v>-3.0375670000000001</v>
      </c>
      <c r="T3807">
        <v>-0.69509239999999906</v>
      </c>
      <c r="U3807">
        <v>0.45730589999999999</v>
      </c>
      <c r="V3807">
        <v>-4.949837E-2</v>
      </c>
      <c r="W3807">
        <v>3.3276920000000001E-2</v>
      </c>
      <c r="X3807">
        <v>0.99821970000000004</v>
      </c>
      <c r="Y3807">
        <v>0.14330300000000001</v>
      </c>
      <c r="Z3807">
        <v>1.5645780000000001E-2</v>
      </c>
      <c r="AA3807">
        <v>0.98955519999999997</v>
      </c>
      <c r="AB3807">
        <v>31</v>
      </c>
      <c r="AC3807">
        <v>-0.50709999999997901</v>
      </c>
      <c r="AD3807">
        <v>-0.18565859999999901</v>
      </c>
      <c r="AE3807">
        <v>0.122299999999995</v>
      </c>
      <c r="AF3807">
        <v>0.10764016981451301</v>
      </c>
      <c r="AG3807">
        <v>-0.18565859999999901</v>
      </c>
      <c r="AH3807">
        <v>0.450303960553953</v>
      </c>
      <c r="AI3807">
        <v>111.850728874206</v>
      </c>
      <c r="AJ3807">
        <v>76.556345155614295</v>
      </c>
      <c r="AK3807">
        <v>0.49882780476055399</v>
      </c>
      <c r="AL3807">
        <v>88.093020879320207</v>
      </c>
      <c r="AM3807">
        <v>92.838780539531996</v>
      </c>
      <c r="AN3807">
        <v>1.0000000057527101</v>
      </c>
    </row>
    <row r="3808" spans="1:40" x14ac:dyDescent="0.25">
      <c r="A3808" t="str">
        <f>"20190312150732538"</f>
        <v>20190312150732538</v>
      </c>
      <c r="B3808" t="str">
        <f>"1552374452534096"</f>
        <v>1552374452534096</v>
      </c>
      <c r="C3808" t="s">
        <v>40</v>
      </c>
      <c r="D3808">
        <v>4.6696580000000001</v>
      </c>
      <c r="E3808">
        <v>0.58386590000000005</v>
      </c>
      <c r="F3808" t="s">
        <v>41</v>
      </c>
      <c r="G3808">
        <v>-422.5985</v>
      </c>
      <c r="H3808">
        <v>0.86504749999999997</v>
      </c>
      <c r="I3808">
        <v>284.95010000000002</v>
      </c>
      <c r="J3808">
        <v>-422.14580000000001</v>
      </c>
      <c r="K3808">
        <v>1.1109020000000001</v>
      </c>
      <c r="L3808">
        <v>284.83150000000001</v>
      </c>
      <c r="M3808">
        <v>-0.99989660000000002</v>
      </c>
      <c r="N3808">
        <v>0</v>
      </c>
      <c r="O3808">
        <v>1.4062429999999999E-3</v>
      </c>
      <c r="P3808">
        <v>-0.99860729999999998</v>
      </c>
      <c r="Q3808">
        <v>1.8823960000000001E-2</v>
      </c>
      <c r="R3808">
        <v>-4.9287900000000003E-2</v>
      </c>
      <c r="S3808">
        <v>-3.0455930000000002</v>
      </c>
      <c r="T3808">
        <v>-0.9936507</v>
      </c>
      <c r="U3808">
        <v>0.47897339999999999</v>
      </c>
      <c r="V3808">
        <v>-5.0732960000000001E-2</v>
      </c>
      <c r="W3808">
        <v>3.304721E-2</v>
      </c>
      <c r="X3808">
        <v>0.99816539999999998</v>
      </c>
      <c r="Y3808">
        <v>0.14661370000000001</v>
      </c>
      <c r="Z3808">
        <v>2.273551E-2</v>
      </c>
      <c r="AA3808">
        <v>0.98893249999999999</v>
      </c>
      <c r="AB3808">
        <v>31</v>
      </c>
      <c r="AC3808">
        <v>-0.452699999999993</v>
      </c>
      <c r="AD3808">
        <v>-0.2458545</v>
      </c>
      <c r="AE3808">
        <v>0.118600000000014</v>
      </c>
      <c r="AF3808">
        <v>9.2447810542960404E-2</v>
      </c>
      <c r="AG3808">
        <v>-0.2458545</v>
      </c>
      <c r="AH3808">
        <v>0.35491151898802797</v>
      </c>
      <c r="AI3808">
        <v>123.835998231009</v>
      </c>
      <c r="AJ3808">
        <v>75.399957002668401</v>
      </c>
      <c r="AK3808">
        <v>0.44153507126255098</v>
      </c>
      <c r="AL3808">
        <v>88.106189635713605</v>
      </c>
      <c r="AM3808">
        <v>92.909623322451196</v>
      </c>
      <c r="AN3808">
        <v>1.0000000585381501</v>
      </c>
    </row>
    <row r="3809" spans="1:40" x14ac:dyDescent="0.25">
      <c r="A3809" t="str">
        <f>"20190312150732561"</f>
        <v>20190312150732561</v>
      </c>
      <c r="B3809" t="str">
        <f>"1552374452553615"</f>
        <v>1552374452553615</v>
      </c>
      <c r="C3809" t="s">
        <v>40</v>
      </c>
      <c r="D3809">
        <v>4.6276950000000001</v>
      </c>
      <c r="E3809">
        <v>0.58328069999999999</v>
      </c>
      <c r="F3809" t="s">
        <v>41</v>
      </c>
      <c r="G3809">
        <v>-422.87380000000002</v>
      </c>
      <c r="H3809">
        <v>0.87188330000000003</v>
      </c>
      <c r="I3809">
        <v>284.94619999999998</v>
      </c>
      <c r="J3809">
        <v>-422.45269999999999</v>
      </c>
      <c r="K3809">
        <v>1.1109039999999999</v>
      </c>
      <c r="L3809">
        <v>284.83120000000002</v>
      </c>
      <c r="M3809">
        <v>-0.99989740000000005</v>
      </c>
      <c r="N3809">
        <v>0</v>
      </c>
      <c r="O3809">
        <v>7.8017240000000001E-4</v>
      </c>
      <c r="P3809">
        <v>-0.99853860000000005</v>
      </c>
      <c r="Q3809">
        <v>1.877763E-2</v>
      </c>
      <c r="R3809">
        <v>-5.0679479999999999E-2</v>
      </c>
      <c r="S3809">
        <v>-3.0466609999999998</v>
      </c>
      <c r="T3809">
        <v>-1.000208</v>
      </c>
      <c r="U3809">
        <v>0.47860720000000001</v>
      </c>
      <c r="V3809">
        <v>-5.1498380000000003E-2</v>
      </c>
      <c r="W3809">
        <v>3.2995730000000001E-2</v>
      </c>
      <c r="X3809">
        <v>0.99812780000000001</v>
      </c>
      <c r="Y3809">
        <v>0.14692469999999999</v>
      </c>
      <c r="Z3809">
        <v>2.3119500000000001E-2</v>
      </c>
      <c r="AA3809">
        <v>0.98887749999999996</v>
      </c>
      <c r="AB3809">
        <v>31</v>
      </c>
      <c r="AC3809">
        <v>-0.42110000000002401</v>
      </c>
      <c r="AD3809">
        <v>-0.2390207</v>
      </c>
      <c r="AE3809">
        <v>0.114999999999952</v>
      </c>
      <c r="AF3809">
        <v>8.82209383644844E-2</v>
      </c>
      <c r="AG3809">
        <v>-0.2390207</v>
      </c>
      <c r="AH3809">
        <v>0.32403669580481997</v>
      </c>
      <c r="AI3809">
        <v>125.440534904052</v>
      </c>
      <c r="AJ3809">
        <v>74.770016264666793</v>
      </c>
      <c r="AK3809">
        <v>0.41220578504250199</v>
      </c>
      <c r="AL3809">
        <v>88.109140632544893</v>
      </c>
      <c r="AM3809">
        <v>92.953555404226194</v>
      </c>
      <c r="AN3809">
        <v>0.99999995323684698</v>
      </c>
    </row>
    <row r="3810" spans="1:40" x14ac:dyDescent="0.25">
      <c r="A3810" t="str">
        <f>"20190312150732573"</f>
        <v>20190312150732573</v>
      </c>
      <c r="B3810" t="str">
        <f>"1552374452564349"</f>
        <v>1552374452564349</v>
      </c>
      <c r="C3810" t="s">
        <v>40</v>
      </c>
      <c r="D3810">
        <v>4.5623750000000003</v>
      </c>
      <c r="E3810">
        <v>0.58284219999999998</v>
      </c>
      <c r="F3810" t="s">
        <v>41</v>
      </c>
      <c r="G3810">
        <v>-423.14890000000003</v>
      </c>
      <c r="H3810">
        <v>0.87912520000000005</v>
      </c>
      <c r="I3810">
        <v>284.93849999999998</v>
      </c>
      <c r="J3810">
        <v>-422.61540000000002</v>
      </c>
      <c r="K3810">
        <v>1.1109059999999999</v>
      </c>
      <c r="L3810">
        <v>284.83100000000002</v>
      </c>
      <c r="M3810">
        <v>-0.9998977</v>
      </c>
      <c r="N3810">
        <v>0</v>
      </c>
      <c r="O3810">
        <v>4.4839549999999999E-4</v>
      </c>
      <c r="P3810">
        <v>-0.99851690000000004</v>
      </c>
      <c r="Q3810">
        <v>1.849013E-2</v>
      </c>
      <c r="R3810">
        <v>-5.1213160000000001E-2</v>
      </c>
      <c r="S3810">
        <v>-3.0472410000000001</v>
      </c>
      <c r="T3810">
        <v>-1.0144329999999999</v>
      </c>
      <c r="U3810">
        <v>0.46881099999999998</v>
      </c>
      <c r="V3810">
        <v>-5.170019E-2</v>
      </c>
      <c r="W3810">
        <v>3.2706449999999998E-2</v>
      </c>
      <c r="X3810">
        <v>0.99812690000000004</v>
      </c>
      <c r="Y3810">
        <v>0.14404239999999999</v>
      </c>
      <c r="Z3810">
        <v>2.307534E-2</v>
      </c>
      <c r="AA3810">
        <v>0.98930249999999997</v>
      </c>
      <c r="AB3810">
        <v>31</v>
      </c>
      <c r="AC3810">
        <v>-0.53350000000000297</v>
      </c>
      <c r="AD3810">
        <v>-0.23178079999999901</v>
      </c>
      <c r="AE3810">
        <v>0.107500000000015</v>
      </c>
      <c r="AF3810">
        <v>9.0792370920575405E-2</v>
      </c>
      <c r="AG3810">
        <v>-0.23178079999999901</v>
      </c>
      <c r="AH3810">
        <v>0.45162935936221599</v>
      </c>
      <c r="AI3810">
        <v>116.708972248194</v>
      </c>
      <c r="AJ3810">
        <v>78.633172868623703</v>
      </c>
      <c r="AK3810">
        <v>0.51568854176134704</v>
      </c>
      <c r="AL3810">
        <v>88.125724129361302</v>
      </c>
      <c r="AM3810">
        <v>92.965111745877905</v>
      </c>
      <c r="AN3810">
        <v>0.99999996501062305</v>
      </c>
    </row>
    <row r="3811" spans="1:40" x14ac:dyDescent="0.25">
      <c r="A3811" t="str">
        <f>"20190312150732586"</f>
        <v>20190312150732586</v>
      </c>
      <c r="B3811" t="str">
        <f>"1552374452583870"</f>
        <v>1552374452583870</v>
      </c>
      <c r="C3811" t="s">
        <v>40</v>
      </c>
      <c r="D3811">
        <v>4.553172</v>
      </c>
      <c r="E3811">
        <v>0.58262340000000001</v>
      </c>
      <c r="F3811" t="s">
        <v>41</v>
      </c>
      <c r="G3811">
        <v>-423.40730000000002</v>
      </c>
      <c r="H3811">
        <v>0.84507160000000003</v>
      </c>
      <c r="I3811">
        <v>284.95159999999998</v>
      </c>
      <c r="J3811">
        <v>-422.79570000000001</v>
      </c>
      <c r="K3811">
        <v>1.1109059999999999</v>
      </c>
      <c r="L3811">
        <v>284.83069999999998</v>
      </c>
      <c r="M3811">
        <v>-0.9998977</v>
      </c>
      <c r="N3811">
        <v>0</v>
      </c>
      <c r="O3811" s="1">
        <v>8.0444160000000002E-5</v>
      </c>
      <c r="P3811">
        <v>-0.99849829999999995</v>
      </c>
      <c r="Q3811">
        <v>1.8810210000000001E-2</v>
      </c>
      <c r="R3811">
        <v>-5.1451200000000002E-2</v>
      </c>
      <c r="S3811">
        <v>-3.0471189999999999</v>
      </c>
      <c r="T3811">
        <v>-1.022972</v>
      </c>
      <c r="U3811">
        <v>0.46258539999999998</v>
      </c>
      <c r="V3811">
        <v>-5.1571619999999999E-2</v>
      </c>
      <c r="W3811">
        <v>3.3024810000000002E-2</v>
      </c>
      <c r="X3811">
        <v>0.99812310000000004</v>
      </c>
      <c r="Y3811">
        <v>0.142378</v>
      </c>
      <c r="Z3811">
        <v>2.3112939999999998E-2</v>
      </c>
      <c r="AA3811">
        <v>0.98954249999999999</v>
      </c>
      <c r="AB3811">
        <v>30</v>
      </c>
      <c r="AC3811">
        <v>-0.61160000000000903</v>
      </c>
      <c r="AD3811">
        <v>-0.26583439999999903</v>
      </c>
      <c r="AE3811">
        <v>0.120900000000006</v>
      </c>
      <c r="AF3811">
        <v>0.102258274464091</v>
      </c>
      <c r="AG3811">
        <v>-0.26583439999999903</v>
      </c>
      <c r="AH3811">
        <v>0.51751546303485096</v>
      </c>
      <c r="AI3811">
        <v>116.744945117751</v>
      </c>
      <c r="AJ3811">
        <v>78.822645700700804</v>
      </c>
      <c r="AK3811">
        <v>0.59071730751680995</v>
      </c>
      <c r="AL3811">
        <v>88.107473644401097</v>
      </c>
      <c r="AM3811">
        <v>92.957762343156702</v>
      </c>
      <c r="AN3811">
        <v>0.99999999640928505</v>
      </c>
    </row>
    <row r="3812" spans="1:40" x14ac:dyDescent="0.25">
      <c r="A3812" t="str">
        <f>"20190312150732598"</f>
        <v>20190312150732598</v>
      </c>
      <c r="B3812" t="str">
        <f>"1552374452593630"</f>
        <v>1552374452593630</v>
      </c>
      <c r="C3812" t="s">
        <v>40</v>
      </c>
      <c r="D3812">
        <v>4.5187759999999999</v>
      </c>
      <c r="E3812">
        <v>0.58253869999999996</v>
      </c>
      <c r="F3812" t="s">
        <v>41</v>
      </c>
      <c r="G3812">
        <v>-423.66820000000001</v>
      </c>
      <c r="H3812">
        <v>0.81788490000000003</v>
      </c>
      <c r="I3812">
        <v>284.96289999999999</v>
      </c>
      <c r="J3812">
        <v>-422.9676</v>
      </c>
      <c r="K3812">
        <v>1.1109089999999999</v>
      </c>
      <c r="L3812">
        <v>284.8304</v>
      </c>
      <c r="M3812">
        <v>-0.99989790000000001</v>
      </c>
      <c r="N3812">
        <v>0</v>
      </c>
      <c r="O3812">
        <v>-2.7028300000000001E-4</v>
      </c>
      <c r="P3812">
        <v>-0.9984674</v>
      </c>
      <c r="Q3812">
        <v>1.890973E-2</v>
      </c>
      <c r="R3812">
        <v>-5.201687E-2</v>
      </c>
      <c r="S3812">
        <v>-3.047485</v>
      </c>
      <c r="T3812">
        <v>-1.023601</v>
      </c>
      <c r="U3812">
        <v>0.46005249999999998</v>
      </c>
      <c r="V3812">
        <v>-5.1787060000000003E-2</v>
      </c>
      <c r="W3812">
        <v>3.3122029999999997E-2</v>
      </c>
      <c r="X3812">
        <v>0.99810869999999996</v>
      </c>
      <c r="Y3812">
        <v>0.14190129999999901</v>
      </c>
      <c r="Z3812">
        <v>2.31617E-2</v>
      </c>
      <c r="AA3812">
        <v>0.98960979999999998</v>
      </c>
      <c r="AB3812">
        <v>30</v>
      </c>
      <c r="AC3812">
        <v>-0.70060000000000799</v>
      </c>
      <c r="AD3812">
        <v>-0.29302409999999901</v>
      </c>
      <c r="AE3812">
        <v>0.13249999999999301</v>
      </c>
      <c r="AF3812">
        <v>0.1135174142606</v>
      </c>
      <c r="AG3812">
        <v>-0.29302409999999901</v>
      </c>
      <c r="AH3812">
        <v>0.59934137087850503</v>
      </c>
      <c r="AI3812">
        <v>115.65822266125799</v>
      </c>
      <c r="AJ3812">
        <v>79.275017027393105</v>
      </c>
      <c r="AK3812">
        <v>0.67672697993189901</v>
      </c>
      <c r="AL3812">
        <v>88.101900254703693</v>
      </c>
      <c r="AM3812">
        <v>92.970139066252202</v>
      </c>
      <c r="AN3812">
        <v>0.99999997273522601</v>
      </c>
    </row>
    <row r="3813" spans="1:40" x14ac:dyDescent="0.25">
      <c r="A3813" t="str">
        <f>"20190312150732611"</f>
        <v>20190312150732611</v>
      </c>
      <c r="B3813" t="str">
        <f>"1552374452604365"</f>
        <v>1552374452604365</v>
      </c>
      <c r="C3813" t="s">
        <v>40</v>
      </c>
      <c r="D3813">
        <v>4.5770439999999999</v>
      </c>
      <c r="E3813">
        <v>0.58264169999999904</v>
      </c>
      <c r="F3813" t="s">
        <v>41</v>
      </c>
      <c r="G3813">
        <v>-423.68819999999999</v>
      </c>
      <c r="H3813">
        <v>0.86842169999999896</v>
      </c>
      <c r="I3813">
        <v>284.93900000000002</v>
      </c>
      <c r="J3813">
        <v>-423.12270000000001</v>
      </c>
      <c r="K3813">
        <v>1.110911</v>
      </c>
      <c r="L3813">
        <v>284.83</v>
      </c>
      <c r="M3813">
        <v>-0.9998977</v>
      </c>
      <c r="N3813">
        <v>0</v>
      </c>
      <c r="O3813">
        <v>-5.869804E-4</v>
      </c>
      <c r="P3813">
        <v>-0.99842909999999996</v>
      </c>
      <c r="Q3813">
        <v>1.8854280000000001E-2</v>
      </c>
      <c r="R3813">
        <v>-5.2765189999999997E-2</v>
      </c>
      <c r="S3813">
        <v>-3.047882</v>
      </c>
      <c r="T3813">
        <v>-1.025652</v>
      </c>
      <c r="U3813">
        <v>0.45779419999999998</v>
      </c>
      <c r="V3813">
        <v>-5.2219300000000003E-2</v>
      </c>
      <c r="W3813">
        <v>3.3063879999999997E-2</v>
      </c>
      <c r="X3813">
        <v>0.99808810000000003</v>
      </c>
      <c r="Y3813">
        <v>0.14145629999999901</v>
      </c>
      <c r="Z3813">
        <v>2.3234769999999998E-2</v>
      </c>
      <c r="AA3813">
        <v>0.98967179999999999</v>
      </c>
      <c r="AB3813">
        <v>30</v>
      </c>
      <c r="AC3813">
        <v>-0.56549999999998501</v>
      </c>
      <c r="AD3813">
        <v>-0.24248929999999999</v>
      </c>
      <c r="AE3813">
        <v>0.109000000000037</v>
      </c>
      <c r="AF3813">
        <v>9.2867699904739406E-2</v>
      </c>
      <c r="AG3813">
        <v>-0.24248929999999999</v>
      </c>
      <c r="AH3813">
        <v>0.48028715911066799</v>
      </c>
      <c r="AI3813">
        <v>116.367728384258</v>
      </c>
      <c r="AJ3813">
        <v>79.056413655131493</v>
      </c>
      <c r="AK3813">
        <v>0.54598647007657897</v>
      </c>
      <c r="AL3813">
        <v>88.105233816356304</v>
      </c>
      <c r="AM3813">
        <v>92.994946048392904</v>
      </c>
      <c r="AN3813">
        <v>0.99999996540737601</v>
      </c>
    </row>
    <row r="3814" spans="1:40" x14ac:dyDescent="0.25">
      <c r="A3814" t="str">
        <f>"20190312150732622"</f>
        <v>20190312150732622</v>
      </c>
      <c r="B3814" t="str">
        <f>"1552374452614125"</f>
        <v>1552374452614125</v>
      </c>
      <c r="C3814" t="s">
        <v>40</v>
      </c>
      <c r="D3814">
        <v>4.5798709999999998</v>
      </c>
      <c r="E3814">
        <v>0.58252569999999904</v>
      </c>
      <c r="F3814" t="s">
        <v>41</v>
      </c>
      <c r="G3814">
        <v>-423.94569999999999</v>
      </c>
      <c r="H3814">
        <v>0.83358449999999995</v>
      </c>
      <c r="I3814">
        <v>284.95359999999999</v>
      </c>
      <c r="J3814">
        <v>-423.29230000000001</v>
      </c>
      <c r="K3814">
        <v>1.1109119999999999</v>
      </c>
      <c r="L3814">
        <v>284.8295</v>
      </c>
      <c r="M3814">
        <v>-0.99989740000000005</v>
      </c>
      <c r="N3814">
        <v>0</v>
      </c>
      <c r="O3814">
        <v>-9.3299949999999996E-4</v>
      </c>
      <c r="P3814">
        <v>-0.99836499999999995</v>
      </c>
      <c r="Q3814">
        <v>1.8880149999999998E-2</v>
      </c>
      <c r="R3814">
        <v>-5.3954149999999999E-2</v>
      </c>
      <c r="S3814">
        <v>-3.0482480000000001</v>
      </c>
      <c r="T3814">
        <v>-1.0272330000000001</v>
      </c>
      <c r="U3814">
        <v>0.4564819</v>
      </c>
      <c r="V3814">
        <v>-5.3062110000000003E-2</v>
      </c>
      <c r="W3814">
        <v>3.3086289999999997E-2</v>
      </c>
      <c r="X3814">
        <v>0.99804289999999996</v>
      </c>
      <c r="Y3814">
        <v>0.1413305</v>
      </c>
      <c r="Z3814">
        <v>2.335918E-2</v>
      </c>
      <c r="AA3814">
        <v>0.98968679999999998</v>
      </c>
      <c r="AB3814">
        <v>30</v>
      </c>
      <c r="AC3814">
        <v>-0.653399999999976</v>
      </c>
      <c r="AD3814">
        <v>-0.2773275</v>
      </c>
      <c r="AE3814">
        <v>0.124099999999998</v>
      </c>
      <c r="AF3814">
        <v>0.106237571968922</v>
      </c>
      <c r="AG3814">
        <v>-0.2773275</v>
      </c>
      <c r="AH3814">
        <v>0.55651914956473203</v>
      </c>
      <c r="AI3814">
        <v>116.08110917174</v>
      </c>
      <c r="AJ3814">
        <v>79.192463695260599</v>
      </c>
      <c r="AK3814">
        <v>0.63080149634124605</v>
      </c>
      <c r="AL3814">
        <v>88.103949105063705</v>
      </c>
      <c r="AM3814">
        <v>93.043331356653894</v>
      </c>
      <c r="AN3814">
        <v>0.99999996017201198</v>
      </c>
    </row>
    <row r="3815" spans="1:40" x14ac:dyDescent="0.25">
      <c r="A3815" t="str">
        <f>"20190312150732635"</f>
        <v>20190312150732635</v>
      </c>
      <c r="B3815" t="str">
        <f>"1552374452623885"</f>
        <v>1552374452623885</v>
      </c>
      <c r="C3815" t="s">
        <v>40</v>
      </c>
      <c r="D3815">
        <v>4.2887940000000002</v>
      </c>
      <c r="E3815">
        <v>0.58252569999999904</v>
      </c>
      <c r="F3815" t="s">
        <v>41</v>
      </c>
      <c r="G3815">
        <v>-423.96570000000003</v>
      </c>
      <c r="H3815">
        <v>0.88403829999999906</v>
      </c>
      <c r="I3815">
        <v>284.9298</v>
      </c>
      <c r="J3815">
        <v>-423.4572</v>
      </c>
      <c r="K3815">
        <v>1.1109150000000001</v>
      </c>
      <c r="L3815">
        <v>284.82900000000001</v>
      </c>
      <c r="M3815">
        <v>-0.99989720000000004</v>
      </c>
      <c r="N3815">
        <v>0</v>
      </c>
      <c r="O3815">
        <v>-1.270314E-3</v>
      </c>
      <c r="P3815">
        <v>-0.99831320000000001</v>
      </c>
      <c r="Q3815">
        <v>1.9287619999999998E-2</v>
      </c>
      <c r="R3815">
        <v>-5.4763689999999997E-2</v>
      </c>
      <c r="S3815">
        <v>-3.0487980000000001</v>
      </c>
      <c r="T3815">
        <v>-1.0271330000000001</v>
      </c>
      <c r="U3815">
        <v>0.4523315</v>
      </c>
      <c r="V3815">
        <v>-5.3535859999999998E-2</v>
      </c>
      <c r="W3815">
        <v>3.3491369999999999E-2</v>
      </c>
      <c r="X3815">
        <v>0.99800409999999995</v>
      </c>
      <c r="Y3815">
        <v>0.1403565</v>
      </c>
      <c r="Z3815">
        <v>2.330641E-2</v>
      </c>
      <c r="AA3815">
        <v>0.98982669999999995</v>
      </c>
      <c r="AB3815">
        <v>30</v>
      </c>
      <c r="AC3815">
        <v>-0.50850000000002604</v>
      </c>
      <c r="AD3815">
        <v>-0.22687669999999999</v>
      </c>
      <c r="AE3815">
        <v>0.10079999999999199</v>
      </c>
      <c r="AF3815">
        <v>8.5138525317985103E-2</v>
      </c>
      <c r="AG3815">
        <v>-0.22687669999999999</v>
      </c>
      <c r="AH3815">
        <v>0.42665091005462102</v>
      </c>
      <c r="AI3815">
        <v>117.54116017889601</v>
      </c>
      <c r="AJ3815">
        <v>78.714817690994806</v>
      </c>
      <c r="AK3815">
        <v>0.49066547111718301</v>
      </c>
      <c r="AL3815">
        <v>88.080726881730797</v>
      </c>
      <c r="AM3815">
        <v>93.070570258716899</v>
      </c>
      <c r="AN3815">
        <v>0.99999997189361201</v>
      </c>
    </row>
    <row r="3816" spans="1:40" x14ac:dyDescent="0.25">
      <c r="A3816" t="str">
        <f>"20190312150732648"</f>
        <v>20190312150732648</v>
      </c>
      <c r="B3816" t="str">
        <f>"1552374452644381"</f>
        <v>1552374452644381</v>
      </c>
      <c r="C3816" t="s">
        <v>40</v>
      </c>
      <c r="D3816">
        <v>4.6734260000000001</v>
      </c>
      <c r="E3816">
        <v>0.54232290000000005</v>
      </c>
      <c r="F3816" t="s">
        <v>41</v>
      </c>
      <c r="G3816">
        <v>-424.22430000000003</v>
      </c>
      <c r="H3816">
        <v>0.85287669999999904</v>
      </c>
      <c r="I3816">
        <v>284.94220000000001</v>
      </c>
      <c r="J3816">
        <v>-423.62700000000001</v>
      </c>
      <c r="K3816">
        <v>1.110914</v>
      </c>
      <c r="L3816">
        <v>284.82850000000002</v>
      </c>
      <c r="M3816">
        <v>-0.99989660000000002</v>
      </c>
      <c r="N3816">
        <v>0</v>
      </c>
      <c r="O3816">
        <v>-1.617046E-3</v>
      </c>
      <c r="P3816">
        <v>-0.99827379999999999</v>
      </c>
      <c r="Q3816">
        <v>1.9341379999999998E-2</v>
      </c>
      <c r="R3816">
        <v>-5.5457390000000002E-2</v>
      </c>
      <c r="S3816">
        <v>-3.0495610000000002</v>
      </c>
      <c r="T3816">
        <v>-1.0257529999999999</v>
      </c>
      <c r="U3816">
        <v>0.44998169999999998</v>
      </c>
      <c r="V3816">
        <v>-5.3883149999999998E-2</v>
      </c>
      <c r="W3816">
        <v>3.3542839999999997E-2</v>
      </c>
      <c r="X3816">
        <v>0.99798370000000003</v>
      </c>
      <c r="Y3816">
        <v>0.13994329999999999</v>
      </c>
      <c r="Z3816">
        <v>2.331811E-2</v>
      </c>
      <c r="AA3816">
        <v>0.98988489999999996</v>
      </c>
      <c r="AB3816">
        <v>30</v>
      </c>
      <c r="AC3816">
        <v>-0.59730000000007499</v>
      </c>
      <c r="AD3816">
        <v>-0.25803730000000002</v>
      </c>
      <c r="AE3816">
        <v>0.113699999999994</v>
      </c>
      <c r="AF3816">
        <v>9.7165918795144496E-2</v>
      </c>
      <c r="AG3816">
        <v>-0.25803730000000002</v>
      </c>
      <c r="AH3816">
        <v>0.50598569939999405</v>
      </c>
      <c r="AI3816">
        <v>116.60257393843099</v>
      </c>
      <c r="AJ3816">
        <v>79.129654738973699</v>
      </c>
      <c r="AK3816">
        <v>0.57623432036272904</v>
      </c>
      <c r="AL3816">
        <v>88.077776246220495</v>
      </c>
      <c r="AM3816">
        <v>93.090513775226796</v>
      </c>
      <c r="AN3816">
        <v>0.99999999071743895</v>
      </c>
    </row>
    <row r="3817" spans="1:40" x14ac:dyDescent="0.25">
      <c r="A3817" t="str">
        <f>"20190312150732660"</f>
        <v>20190312150732660</v>
      </c>
      <c r="B3817" t="str">
        <f>"1552374452654141"</f>
        <v>1552374452654141</v>
      </c>
      <c r="C3817" t="s">
        <v>40</v>
      </c>
      <c r="D3817">
        <v>4.7997629999999996</v>
      </c>
      <c r="E3817">
        <v>0.54232290000000005</v>
      </c>
      <c r="F3817" t="s">
        <v>41</v>
      </c>
      <c r="G3817">
        <v>-424.5532</v>
      </c>
      <c r="H3817">
        <v>0.98220589999999997</v>
      </c>
      <c r="I3817">
        <v>284.87549999999999</v>
      </c>
      <c r="J3817">
        <v>-423.8125</v>
      </c>
      <c r="K3817">
        <v>1.110916</v>
      </c>
      <c r="L3817">
        <v>284.82780000000002</v>
      </c>
      <c r="M3817">
        <v>-0.99989589999999995</v>
      </c>
      <c r="N3817">
        <v>0</v>
      </c>
      <c r="O3817">
        <v>-1.996201E-3</v>
      </c>
      <c r="P3817">
        <v>-0.99817639999999996</v>
      </c>
      <c r="Q3817">
        <v>1.960197E-2</v>
      </c>
      <c r="R3817">
        <v>-5.7095859999999998E-2</v>
      </c>
      <c r="S3817">
        <v>-3.0217900000000002</v>
      </c>
      <c r="T3817">
        <v>-0.42014859999999998</v>
      </c>
      <c r="U3817">
        <v>0.1518555</v>
      </c>
      <c r="V3817">
        <v>-5.5143709999999999E-2</v>
      </c>
      <c r="W3817">
        <v>3.3798759999999997E-2</v>
      </c>
      <c r="X3817">
        <v>0.99790619999999997</v>
      </c>
      <c r="Y3817">
        <v>5.1668980000000003E-2</v>
      </c>
      <c r="Z3817">
        <v>3.8486850000000001E-3</v>
      </c>
      <c r="AA3817">
        <v>0.99865689999999996</v>
      </c>
      <c r="AB3817">
        <v>30</v>
      </c>
      <c r="AC3817">
        <v>-0.74070000000000302</v>
      </c>
      <c r="AD3817">
        <v>-0.12871009999999899</v>
      </c>
      <c r="AE3817">
        <v>4.7699999999963397E-2</v>
      </c>
      <c r="AF3817">
        <v>4.7742978362186501E-2</v>
      </c>
      <c r="AG3817">
        <v>-0.12871009999999899</v>
      </c>
      <c r="AH3817">
        <v>0.71898299058654902</v>
      </c>
      <c r="AI3817">
        <v>100.12756353445999</v>
      </c>
      <c r="AJ3817">
        <v>86.200937735117606</v>
      </c>
      <c r="AK3817">
        <v>0.73197146295308602</v>
      </c>
      <c r="AL3817">
        <v>88.063104778994798</v>
      </c>
      <c r="AM3817">
        <v>93.162914284561296</v>
      </c>
      <c r="AN3817">
        <v>0.99999998446426996</v>
      </c>
    </row>
    <row r="3818" spans="1:40" x14ac:dyDescent="0.25">
      <c r="A3818" t="str">
        <f>"20190312150732684"</f>
        <v>20190312150732684</v>
      </c>
      <c r="B3818" t="str">
        <f>"1552374452673661"</f>
        <v>1552374452673661</v>
      </c>
      <c r="C3818" t="s">
        <v>40</v>
      </c>
      <c r="D3818">
        <v>4.5033589999999997</v>
      </c>
      <c r="E3818">
        <v>0.4861645</v>
      </c>
      <c r="F3818" t="s">
        <v>41</v>
      </c>
      <c r="G3818">
        <v>-424.56529999999998</v>
      </c>
      <c r="H3818">
        <v>1.006529</v>
      </c>
      <c r="I3818">
        <v>284.8648</v>
      </c>
      <c r="J3818">
        <v>-424.11709999999999</v>
      </c>
      <c r="K3818">
        <v>1.110914</v>
      </c>
      <c r="L3818">
        <v>284.82650000000001</v>
      </c>
      <c r="M3818">
        <v>-0.99989459999999997</v>
      </c>
      <c r="N3818">
        <v>0</v>
      </c>
      <c r="O3818">
        <v>-2.61875E-3</v>
      </c>
      <c r="P3818">
        <v>-0.99808010000000003</v>
      </c>
      <c r="Q3818">
        <v>1.9367760000000001E-2</v>
      </c>
      <c r="R3818">
        <v>-5.8832229999999999E-2</v>
      </c>
      <c r="S3818">
        <v>-3.0220950000000002</v>
      </c>
      <c r="T3818">
        <v>-0.41934460000000001</v>
      </c>
      <c r="U3818">
        <v>0.14678959999999999</v>
      </c>
      <c r="V3818">
        <v>-5.6258059999999999E-2</v>
      </c>
      <c r="W3818">
        <v>3.355905E-2</v>
      </c>
      <c r="X3818">
        <v>0.99785210000000002</v>
      </c>
      <c r="Y3818">
        <v>5.0621760000000002E-2</v>
      </c>
      <c r="Z3818">
        <v>3.8548279999999998E-3</v>
      </c>
      <c r="AA3818">
        <v>0.99871049999999995</v>
      </c>
      <c r="AB3818">
        <v>30</v>
      </c>
      <c r="AC3818">
        <v>-0.448199999999985</v>
      </c>
      <c r="AD3818">
        <v>-0.10438499999999901</v>
      </c>
      <c r="AE3818">
        <v>3.8299999999992403E-2</v>
      </c>
      <c r="AF3818">
        <v>3.74567277023755E-2</v>
      </c>
      <c r="AG3818">
        <v>-0.10438499999999901</v>
      </c>
      <c r="AH3818">
        <v>0.42520172709020498</v>
      </c>
      <c r="AI3818">
        <v>103.741878240685</v>
      </c>
      <c r="AJ3818">
        <v>84.965714854601003</v>
      </c>
      <c r="AK3818">
        <v>0.43942660751900597</v>
      </c>
      <c r="AL3818">
        <v>88.076846969210393</v>
      </c>
      <c r="AM3818">
        <v>93.226871641749796</v>
      </c>
      <c r="AN3818">
        <v>0.99999999631313796</v>
      </c>
    </row>
    <row r="3819" spans="1:40" x14ac:dyDescent="0.25">
      <c r="A3819" t="str">
        <f>"20190312150732706"</f>
        <v>20190312150732706</v>
      </c>
      <c r="B3819" t="str">
        <f>"1552374452703918"</f>
        <v>1552374452703918</v>
      </c>
      <c r="C3819" t="s">
        <v>40</v>
      </c>
      <c r="D3819">
        <v>4.4564940000000002</v>
      </c>
      <c r="E3819">
        <v>0.48452780000000001</v>
      </c>
      <c r="F3819" t="s">
        <v>61</v>
      </c>
      <c r="G3819">
        <v>-486.87869999999998</v>
      </c>
      <c r="H3819" s="1">
        <v>2.6700350000000002E-6</v>
      </c>
      <c r="I3819">
        <v>278.71460000000002</v>
      </c>
      <c r="J3819">
        <v>-424.4203</v>
      </c>
      <c r="K3819">
        <v>1.1109070000000001</v>
      </c>
      <c r="L3819">
        <v>284.82499999999999</v>
      </c>
      <c r="M3819">
        <v>-0.99989280000000003</v>
      </c>
      <c r="N3819">
        <v>0</v>
      </c>
      <c r="O3819">
        <v>-3.2320719999999999E-3</v>
      </c>
      <c r="P3819">
        <v>-0.99798240000000005</v>
      </c>
      <c r="Q3819">
        <v>1.935504E-2</v>
      </c>
      <c r="R3819">
        <v>-6.0470139999999999E-2</v>
      </c>
      <c r="S3819">
        <v>-2.9896240000000001</v>
      </c>
      <c r="T3819">
        <v>-5.2917840000000001E-2</v>
      </c>
      <c r="U3819">
        <v>-0.2911377</v>
      </c>
      <c r="V3819">
        <v>-5.7283920000000002E-2</v>
      </c>
      <c r="W3819">
        <v>3.354236E-2</v>
      </c>
      <c r="X3819">
        <v>0.99779430000000002</v>
      </c>
      <c r="Y3819">
        <v>-9.3692490000000003E-2</v>
      </c>
      <c r="Z3819">
        <v>-7.7010759999999903E-4</v>
      </c>
      <c r="AA3819">
        <v>0.99560090000000001</v>
      </c>
      <c r="AB3819">
        <v>30</v>
      </c>
      <c r="AC3819">
        <v>-62.458399999999898</v>
      </c>
      <c r="AD3819">
        <v>-1.1109043299650001</v>
      </c>
      <c r="AE3819">
        <v>-6.1103999999999701</v>
      </c>
      <c r="AF3819">
        <v>-5.9066265811127696</v>
      </c>
      <c r="AG3819">
        <v>-1.1109043299650001</v>
      </c>
      <c r="AH3819">
        <v>62.458253449349598</v>
      </c>
      <c r="AI3819">
        <v>91.0144500879574</v>
      </c>
      <c r="AJ3819">
        <v>95.402348820501302</v>
      </c>
      <c r="AK3819">
        <v>62.746759039349897</v>
      </c>
      <c r="AL3819">
        <v>88.077803783949307</v>
      </c>
      <c r="AM3819">
        <v>93.285775467226401</v>
      </c>
      <c r="AN3819">
        <v>1.00000000125871</v>
      </c>
    </row>
    <row r="3820" spans="1:40" x14ac:dyDescent="0.25">
      <c r="A3820" t="str">
        <f>"20190312150732721"</f>
        <v>20190312150732721</v>
      </c>
      <c r="B3820" t="str">
        <f>"1552374452713677"</f>
        <v>1552374452713677</v>
      </c>
      <c r="C3820" t="s">
        <v>40</v>
      </c>
      <c r="D3820">
        <v>4.4571110000000003</v>
      </c>
      <c r="E3820">
        <v>0.48476029999999998</v>
      </c>
      <c r="F3820" t="s">
        <v>61</v>
      </c>
      <c r="G3820">
        <v>-486.18810000000002</v>
      </c>
      <c r="H3820" s="1">
        <v>2.4471810000000002E-6</v>
      </c>
      <c r="I3820">
        <v>278.4307</v>
      </c>
      <c r="J3820">
        <v>-424.62450000000001</v>
      </c>
      <c r="K3820">
        <v>1.1109020000000001</v>
      </c>
      <c r="L3820">
        <v>284.82389999999998</v>
      </c>
      <c r="M3820">
        <v>-0.99989139999999999</v>
      </c>
      <c r="N3820">
        <v>0</v>
      </c>
      <c r="O3820">
        <v>-3.6377200000000001E-3</v>
      </c>
      <c r="P3820">
        <v>-0.99792060000000005</v>
      </c>
      <c r="Q3820">
        <v>1.9751990000000001E-2</v>
      </c>
      <c r="R3820">
        <v>-6.1352950000000003E-2</v>
      </c>
      <c r="S3820">
        <v>-2.9883120000000001</v>
      </c>
      <c r="T3820">
        <v>-5.3745269999999998E-2</v>
      </c>
      <c r="U3820">
        <v>-0.30935669999999998</v>
      </c>
      <c r="V3820">
        <v>-5.7761779999999999E-2</v>
      </c>
      <c r="W3820">
        <v>3.393649E-2</v>
      </c>
      <c r="X3820">
        <v>0.99775340000000001</v>
      </c>
      <c r="Y3820">
        <v>-9.9337209999999995E-2</v>
      </c>
      <c r="Z3820">
        <v>-8.2559699999999996E-4</v>
      </c>
      <c r="AA3820">
        <v>0.99505350000000004</v>
      </c>
      <c r="AB3820">
        <v>30</v>
      </c>
      <c r="AC3820">
        <v>-61.563600000000001</v>
      </c>
      <c r="AD3820">
        <v>-1.110899552819</v>
      </c>
      <c r="AE3820">
        <v>-6.39319999999997</v>
      </c>
      <c r="AF3820">
        <v>-6.1671970163015404</v>
      </c>
      <c r="AG3820">
        <v>-1.110899552819</v>
      </c>
      <c r="AH3820">
        <v>61.566618622998497</v>
      </c>
      <c r="AI3820">
        <v>91.028578432283297</v>
      </c>
      <c r="AJ3820">
        <v>95.720300237042693</v>
      </c>
      <c r="AK3820">
        <v>61.8847068791965</v>
      </c>
      <c r="AL3820">
        <v>88.055208888728203</v>
      </c>
      <c r="AM3820">
        <v>93.313259966397894</v>
      </c>
      <c r="AN3820">
        <v>0.99999997789692396</v>
      </c>
    </row>
    <row r="3821" spans="1:40" x14ac:dyDescent="0.25">
      <c r="A3821" t="str">
        <f>"20190312150732740"</f>
        <v>20190312150732740</v>
      </c>
      <c r="B3821" t="str">
        <f>"1552374452734176"</f>
        <v>1552374452734176</v>
      </c>
      <c r="C3821" t="s">
        <v>40</v>
      </c>
      <c r="D3821">
        <v>4.4559839999999999</v>
      </c>
      <c r="E3821">
        <v>0.4851335</v>
      </c>
      <c r="F3821" t="s">
        <v>61</v>
      </c>
      <c r="G3821">
        <v>-483.60539999999997</v>
      </c>
      <c r="H3821" s="1">
        <v>2.0839960000000002E-6</v>
      </c>
      <c r="I3821">
        <v>278.69929999999999</v>
      </c>
      <c r="J3821">
        <v>-424.87270000000001</v>
      </c>
      <c r="K3821">
        <v>1.1108960000000001</v>
      </c>
      <c r="L3821">
        <v>284.82249999999999</v>
      </c>
      <c r="M3821">
        <v>-0.99988960000000005</v>
      </c>
      <c r="N3821">
        <v>0</v>
      </c>
      <c r="O3821">
        <v>-4.1236440000000001E-3</v>
      </c>
      <c r="P3821">
        <v>-0.99784930000000005</v>
      </c>
      <c r="Q3821">
        <v>2.0130309999999998E-2</v>
      </c>
      <c r="R3821">
        <v>-6.2381180000000001E-2</v>
      </c>
      <c r="S3821">
        <v>-2.988251</v>
      </c>
      <c r="T3821">
        <v>-5.6283470000000002E-2</v>
      </c>
      <c r="U3821">
        <v>-0.31030269999999999</v>
      </c>
      <c r="V3821">
        <v>-5.8304830000000002E-2</v>
      </c>
      <c r="W3821">
        <v>3.4312009999999997E-2</v>
      </c>
      <c r="X3821">
        <v>0.99770899999999996</v>
      </c>
      <c r="Y3821">
        <v>-9.9166000000000004E-2</v>
      </c>
      <c r="Z3821">
        <v>-8.5384909999999998E-4</v>
      </c>
      <c r="AA3821">
        <v>0.99507049999999997</v>
      </c>
      <c r="AB3821">
        <v>30</v>
      </c>
      <c r="AC3821">
        <v>-58.732699999999902</v>
      </c>
      <c r="AD3821">
        <v>-1.1108939160039999</v>
      </c>
      <c r="AE3821">
        <v>-6.12319999999999</v>
      </c>
      <c r="AF3821">
        <v>-5.8788499296424597</v>
      </c>
      <c r="AG3821">
        <v>-1.1108939160039999</v>
      </c>
      <c r="AH3821">
        <v>58.736665636459001</v>
      </c>
      <c r="AI3821">
        <v>91.078127656598895</v>
      </c>
      <c r="AJ3821">
        <v>95.715599243595094</v>
      </c>
      <c r="AK3821">
        <v>59.040586479785802</v>
      </c>
      <c r="AL3821">
        <v>88.033680698040101</v>
      </c>
      <c r="AM3821">
        <v>93.344487846608601</v>
      </c>
      <c r="AN3821">
        <v>1.0000000079562801</v>
      </c>
    </row>
    <row r="3822" spans="1:40" x14ac:dyDescent="0.25">
      <c r="A3822" t="str">
        <f>"20190312150732762"</f>
        <v>20190312150732762</v>
      </c>
      <c r="B3822" t="str">
        <f>"1552374452753693"</f>
        <v>1552374452753693</v>
      </c>
      <c r="C3822" t="s">
        <v>40</v>
      </c>
      <c r="D3822">
        <v>4.4962479999999996</v>
      </c>
      <c r="E3822">
        <v>0.48584569999999999</v>
      </c>
      <c r="F3822" t="s">
        <v>61</v>
      </c>
      <c r="G3822">
        <v>-475.37479999999999</v>
      </c>
      <c r="H3822">
        <v>8.0000269999999998E-2</v>
      </c>
      <c r="I3822">
        <v>279.57580000000002</v>
      </c>
      <c r="J3822">
        <v>-425.16950000000003</v>
      </c>
      <c r="K3822">
        <v>1.1108789999999999</v>
      </c>
      <c r="L3822">
        <v>284.82060000000001</v>
      </c>
      <c r="M3822">
        <v>-0.99988730000000003</v>
      </c>
      <c r="N3822">
        <v>0</v>
      </c>
      <c r="O3822">
        <v>-4.6830869999999998E-3</v>
      </c>
      <c r="P3822">
        <v>-0.99776940000000003</v>
      </c>
      <c r="Q3822">
        <v>2.0724039999999999E-2</v>
      </c>
      <c r="R3822">
        <v>-6.3459979999999999E-2</v>
      </c>
      <c r="S3822">
        <v>-2.9882810000000002</v>
      </c>
      <c r="T3822">
        <v>-6.099951E-2</v>
      </c>
      <c r="U3822">
        <v>-0.31045529999999999</v>
      </c>
      <c r="V3822">
        <v>-5.882503E-2</v>
      </c>
      <c r="W3822">
        <v>3.4903410000000003E-2</v>
      </c>
      <c r="X3822">
        <v>0.99765800000000004</v>
      </c>
      <c r="Y3822">
        <v>-9.8655779999999998E-2</v>
      </c>
      <c r="Z3822">
        <v>-9.0878680000000002E-4</v>
      </c>
      <c r="AA3822">
        <v>0.99512120000000004</v>
      </c>
      <c r="AB3822">
        <v>30</v>
      </c>
      <c r="AC3822">
        <v>-50.205299999999902</v>
      </c>
      <c r="AD3822">
        <v>-1.03087873</v>
      </c>
      <c r="AE3822">
        <v>-5.2447999999999899</v>
      </c>
      <c r="AF3822">
        <v>-5.0075143150820498</v>
      </c>
      <c r="AG3822">
        <v>-1.03087873</v>
      </c>
      <c r="AH3822">
        <v>50.208373629473897</v>
      </c>
      <c r="AI3822">
        <v>91.1704270504069</v>
      </c>
      <c r="AJ3822">
        <v>95.695539547155605</v>
      </c>
      <c r="AK3822">
        <v>50.467996721571701</v>
      </c>
      <c r="AL3822">
        <v>87.999775765093602</v>
      </c>
      <c r="AM3822">
        <v>93.374431063698097</v>
      </c>
      <c r="AN3822">
        <v>1.00000005857406</v>
      </c>
    </row>
    <row r="3823" spans="1:40" x14ac:dyDescent="0.25">
      <c r="A3823" t="str">
        <f>"20190312150732774"</f>
        <v>20190312150732774</v>
      </c>
      <c r="B3823" t="str">
        <f>"1552374452763453"</f>
        <v>1552374452763453</v>
      </c>
      <c r="C3823" t="s">
        <v>40</v>
      </c>
      <c r="D3823">
        <v>4.4855099999999997</v>
      </c>
      <c r="E3823">
        <v>0.48605199999999998</v>
      </c>
      <c r="F3823" t="s">
        <v>61</v>
      </c>
      <c r="G3823">
        <v>-475.69420000000002</v>
      </c>
      <c r="H3823">
        <v>5.7946119999999997E-2</v>
      </c>
      <c r="I3823">
        <v>279.60789999999997</v>
      </c>
      <c r="J3823">
        <v>-425.3372</v>
      </c>
      <c r="K3823">
        <v>1.110868</v>
      </c>
      <c r="L3823">
        <v>284.81950000000001</v>
      </c>
      <c r="M3823">
        <v>-0.99988580000000005</v>
      </c>
      <c r="N3823">
        <v>0</v>
      </c>
      <c r="O3823">
        <v>-4.980819E-3</v>
      </c>
      <c r="P3823">
        <v>-0.99772470000000002</v>
      </c>
      <c r="Q3823">
        <v>2.0423819999999999E-2</v>
      </c>
      <c r="R3823">
        <v>-6.4253199999999996E-2</v>
      </c>
      <c r="S3823">
        <v>-2.9884339999999998</v>
      </c>
      <c r="T3823">
        <v>-6.227887E-2</v>
      </c>
      <c r="U3823">
        <v>-0.30831910000000001</v>
      </c>
      <c r="V3823">
        <v>-5.9319919999999998E-2</v>
      </c>
      <c r="W3823">
        <v>3.4602710000000002E-2</v>
      </c>
      <c r="X3823">
        <v>0.9976391</v>
      </c>
      <c r="Y3823">
        <v>-9.7649849999999996E-2</v>
      </c>
      <c r="Z3823">
        <v>-9.1118959999999995E-4</v>
      </c>
      <c r="AA3823">
        <v>0.99522040000000001</v>
      </c>
      <c r="AB3823">
        <v>30</v>
      </c>
      <c r="AC3823">
        <v>-50.356999999999999</v>
      </c>
      <c r="AD3823">
        <v>-1.05292188</v>
      </c>
      <c r="AE3823">
        <v>-5.21160000000003</v>
      </c>
      <c r="AF3823">
        <v>-4.9585458380402603</v>
      </c>
      <c r="AG3823">
        <v>-1.05292188</v>
      </c>
      <c r="AH3823">
        <v>50.3605519786624</v>
      </c>
      <c r="AI3823">
        <v>91.191984569236993</v>
      </c>
      <c r="AJ3823">
        <v>95.623269709588698</v>
      </c>
      <c r="AK3823">
        <v>50.615027579849198</v>
      </c>
      <c r="AL3823">
        <v>88.017014877072199</v>
      </c>
      <c r="AM3823">
        <v>93.402817750649206</v>
      </c>
      <c r="AN3823">
        <v>0.99999998714848004</v>
      </c>
    </row>
    <row r="3824" spans="1:40" x14ac:dyDescent="0.25">
      <c r="A3824" t="str">
        <f>"20190312150732788"</f>
        <v>20190312150732788</v>
      </c>
      <c r="B3824" t="str">
        <f>"1552374452783950"</f>
        <v>1552374452783950</v>
      </c>
      <c r="C3824" t="s">
        <v>40</v>
      </c>
      <c r="D3824">
        <v>4.4900599999999997</v>
      </c>
      <c r="E3824">
        <v>0.48641899999999899</v>
      </c>
      <c r="F3824" t="s">
        <v>61</v>
      </c>
      <c r="G3824">
        <v>-475.63690000000003</v>
      </c>
      <c r="H3824">
        <v>3.2323719999999998E-3</v>
      </c>
      <c r="I3824">
        <v>279.61590000000001</v>
      </c>
      <c r="J3824">
        <v>-425.51780000000002</v>
      </c>
      <c r="K3824">
        <v>1.1108480000000001</v>
      </c>
      <c r="L3824">
        <v>284.81830000000002</v>
      </c>
      <c r="M3824">
        <v>-0.99988429999999995</v>
      </c>
      <c r="N3824">
        <v>0</v>
      </c>
      <c r="O3824">
        <v>-5.2907650000000002E-3</v>
      </c>
      <c r="P3824">
        <v>-0.99769660000000004</v>
      </c>
      <c r="Q3824">
        <v>2.0301860000000001E-2</v>
      </c>
      <c r="R3824">
        <v>-6.4728640000000004E-2</v>
      </c>
      <c r="S3824">
        <v>-2.9882810000000002</v>
      </c>
      <c r="T3824">
        <v>-6.5804119999999994E-2</v>
      </c>
      <c r="U3824">
        <v>-0.309143099999999</v>
      </c>
      <c r="V3824">
        <v>-5.9484780000000001E-2</v>
      </c>
      <c r="W3824">
        <v>3.4480719999999999E-2</v>
      </c>
      <c r="X3824">
        <v>0.99763349999999995</v>
      </c>
      <c r="Y3824">
        <v>-9.7615839999999995E-2</v>
      </c>
      <c r="Z3824">
        <v>-9.5561069999999999E-4</v>
      </c>
      <c r="AA3824">
        <v>0.99522370000000004</v>
      </c>
      <c r="AB3824">
        <v>30</v>
      </c>
      <c r="AC3824">
        <v>-50.119100000000003</v>
      </c>
      <c r="AD3824">
        <v>-1.107615628</v>
      </c>
      <c r="AE3824">
        <v>-5.2024000000000097</v>
      </c>
      <c r="AF3824">
        <v>-4.9347474031493599</v>
      </c>
      <c r="AG3824">
        <v>-1.107615628</v>
      </c>
      <c r="AH3824">
        <v>50.121707583452697</v>
      </c>
      <c r="AI3824">
        <v>91.259856493391197</v>
      </c>
      <c r="AJ3824">
        <v>95.622950896081605</v>
      </c>
      <c r="AK3824">
        <v>50.376225696189501</v>
      </c>
      <c r="AL3824">
        <v>88.024008548044193</v>
      </c>
      <c r="AM3824">
        <v>93.4122715454847</v>
      </c>
      <c r="AN3824">
        <v>0.99999997971280796</v>
      </c>
    </row>
    <row r="3825" spans="1:40" x14ac:dyDescent="0.25">
      <c r="A3825" t="str">
        <f>"20190312150732800"</f>
        <v>20190312150732800</v>
      </c>
      <c r="B3825" t="str">
        <f>"1552374452793709"</f>
        <v>1552374452793709</v>
      </c>
      <c r="C3825" t="s">
        <v>40</v>
      </c>
      <c r="D3825">
        <v>4.4755839999999996</v>
      </c>
      <c r="E3825">
        <v>0.48657830000000002</v>
      </c>
      <c r="F3825" t="s">
        <v>61</v>
      </c>
      <c r="G3825">
        <v>-474.43239999999997</v>
      </c>
      <c r="H3825" s="1">
        <v>4.2260559999999997E-6</v>
      </c>
      <c r="I3825">
        <v>279.78399999999999</v>
      </c>
      <c r="J3825">
        <v>-425.69029999999998</v>
      </c>
      <c r="K3825">
        <v>1.11083</v>
      </c>
      <c r="L3825">
        <v>284.81709999999998</v>
      </c>
      <c r="M3825">
        <v>-0.99988270000000001</v>
      </c>
      <c r="N3825">
        <v>0</v>
      </c>
      <c r="O3825">
        <v>-5.5676369999999899E-3</v>
      </c>
      <c r="P3825">
        <v>-0.99766529999999998</v>
      </c>
      <c r="Q3825">
        <v>2.0045650000000002E-2</v>
      </c>
      <c r="R3825">
        <v>-6.5284800000000004E-2</v>
      </c>
      <c r="S3825">
        <v>-2.9883419999999998</v>
      </c>
      <c r="T3825">
        <v>-6.786478E-2</v>
      </c>
      <c r="U3825">
        <v>-0.3075562</v>
      </c>
      <c r="V3825">
        <v>-5.9762629999999997E-2</v>
      </c>
      <c r="W3825">
        <v>3.4225279999999997E-2</v>
      </c>
      <c r="X3825">
        <v>0.99762569999999995</v>
      </c>
      <c r="Y3825">
        <v>-9.6814059999999993E-2</v>
      </c>
      <c r="Z3825">
        <v>-9.7018560000000002E-4</v>
      </c>
      <c r="AA3825">
        <v>0.99530200000000002</v>
      </c>
      <c r="AB3825">
        <v>30</v>
      </c>
      <c r="AC3825">
        <v>-48.742099999999901</v>
      </c>
      <c r="AD3825">
        <v>-1.110825773944</v>
      </c>
      <c r="AE3825">
        <v>-5.0330999999999904</v>
      </c>
      <c r="AF3825">
        <v>-4.7591702959352302</v>
      </c>
      <c r="AG3825">
        <v>-1.110825773944</v>
      </c>
      <c r="AH3825">
        <v>48.744320072818198</v>
      </c>
      <c r="AI3825">
        <v>91.299301442735697</v>
      </c>
      <c r="AJ3825">
        <v>95.576420733693595</v>
      </c>
      <c r="AK3825">
        <v>48.988696401997899</v>
      </c>
      <c r="AL3825">
        <v>88.038652845155895</v>
      </c>
      <c r="AM3825">
        <v>93.428198885446804</v>
      </c>
      <c r="AN3825">
        <v>0.99999998951804203</v>
      </c>
    </row>
    <row r="3826" spans="1:40" x14ac:dyDescent="0.25">
      <c r="A3826" t="str">
        <f>"20190312150732813"</f>
        <v>20190312150732813</v>
      </c>
      <c r="B3826" t="str">
        <f>"1552374452803470"</f>
        <v>1552374452803470</v>
      </c>
      <c r="C3826" t="s">
        <v>40</v>
      </c>
      <c r="D3826">
        <v>4.4785620000000002</v>
      </c>
      <c r="E3826">
        <v>0.48662830000000001</v>
      </c>
      <c r="F3826" t="s">
        <v>61</v>
      </c>
      <c r="G3826">
        <v>-473.35219999999998</v>
      </c>
      <c r="H3826" s="1">
        <v>4.7156649999999997E-6</v>
      </c>
      <c r="I3826">
        <v>279.9049</v>
      </c>
      <c r="J3826">
        <v>-425.84809999999999</v>
      </c>
      <c r="K3826">
        <v>1.1108089999999999</v>
      </c>
      <c r="L3826">
        <v>284.8159</v>
      </c>
      <c r="M3826">
        <v>-0.99988140000000003</v>
      </c>
      <c r="N3826">
        <v>0</v>
      </c>
      <c r="O3826">
        <v>-5.8042099999999998E-3</v>
      </c>
      <c r="P3826">
        <v>-0.9976389</v>
      </c>
      <c r="Q3826">
        <v>1.961601E-2</v>
      </c>
      <c r="R3826">
        <v>-6.5817180000000003E-2</v>
      </c>
      <c r="S3826">
        <v>-2.9882810000000002</v>
      </c>
      <c r="T3826">
        <v>-6.9646E-2</v>
      </c>
      <c r="U3826">
        <v>-0.30798340000000002</v>
      </c>
      <c r="V3826">
        <v>-6.0056529999999997E-2</v>
      </c>
      <c r="W3826">
        <v>3.3796380000000001E-2</v>
      </c>
      <c r="X3826">
        <v>0.99762269999999997</v>
      </c>
      <c r="Y3826">
        <v>-9.6720319999999999E-2</v>
      </c>
      <c r="Z3826">
        <v>-9.8906850000000002E-4</v>
      </c>
      <c r="AA3826">
        <v>0.9953111</v>
      </c>
      <c r="AB3826">
        <v>30</v>
      </c>
      <c r="AC3826">
        <v>-47.504100000000001</v>
      </c>
      <c r="AD3826">
        <v>-1.1108042843349999</v>
      </c>
      <c r="AE3826">
        <v>-4.9109999999999996</v>
      </c>
      <c r="AF3826">
        <v>-4.6326591671854196</v>
      </c>
      <c r="AG3826">
        <v>-1.1108042843349999</v>
      </c>
      <c r="AH3826">
        <v>47.506106298899198</v>
      </c>
      <c r="AI3826">
        <v>91.333144219206204</v>
      </c>
      <c r="AJ3826">
        <v>95.569709338774004</v>
      </c>
      <c r="AK3826">
        <v>47.744377185169299</v>
      </c>
      <c r="AL3826">
        <v>88.063241283602395</v>
      </c>
      <c r="AM3826">
        <v>93.4450278737189</v>
      </c>
      <c r="AN3826">
        <v>1.0000000168260099</v>
      </c>
    </row>
    <row r="3827" spans="1:40" x14ac:dyDescent="0.25">
      <c r="A3827" t="str">
        <f>"20190312150732827"</f>
        <v>20190312150732827</v>
      </c>
      <c r="B3827" t="str">
        <f>"1552374452823966"</f>
        <v>1552374452823966</v>
      </c>
      <c r="C3827" t="s">
        <v>40</v>
      </c>
      <c r="D3827">
        <v>4.4513730000000002</v>
      </c>
      <c r="E3827">
        <v>0.48676960000000002</v>
      </c>
      <c r="F3827" t="s">
        <v>61</v>
      </c>
      <c r="G3827">
        <v>-471.78089999999997</v>
      </c>
      <c r="H3827" s="1">
        <v>5.4263129999999998E-6</v>
      </c>
      <c r="I3827">
        <v>280.06299999999999</v>
      </c>
      <c r="J3827">
        <v>-426.041</v>
      </c>
      <c r="K3827">
        <v>1.1107800000000001</v>
      </c>
      <c r="L3827">
        <v>284.81450000000001</v>
      </c>
      <c r="M3827">
        <v>-0.99987979999999999</v>
      </c>
      <c r="N3827">
        <v>0</v>
      </c>
      <c r="O3827">
        <v>-6.0774949999999996E-3</v>
      </c>
      <c r="P3827">
        <v>-0.9975752</v>
      </c>
      <c r="Q3827">
        <v>1.9235720000000001E-2</v>
      </c>
      <c r="R3827">
        <v>-6.6887130000000003E-2</v>
      </c>
      <c r="S3827">
        <v>-2.9881289999999998</v>
      </c>
      <c r="T3827">
        <v>-7.2262759999999995E-2</v>
      </c>
      <c r="U3827">
        <v>-0.30920409999999998</v>
      </c>
      <c r="V3827">
        <v>-6.0851240000000001E-2</v>
      </c>
      <c r="W3827">
        <v>3.3416550000000003E-2</v>
      </c>
      <c r="X3827">
        <v>0.99758729999999995</v>
      </c>
      <c r="Y3827">
        <v>-9.6853930000000005E-2</v>
      </c>
      <c r="Z3827">
        <v>-1.021271E-3</v>
      </c>
      <c r="AA3827">
        <v>0.99529809999999996</v>
      </c>
      <c r="AB3827">
        <v>30</v>
      </c>
      <c r="AC3827">
        <v>-45.739899999999899</v>
      </c>
      <c r="AD3827">
        <v>-1.1107745736869901</v>
      </c>
      <c r="AE3827">
        <v>-4.7515000000000196</v>
      </c>
      <c r="AF3827">
        <v>-4.4707914737953702</v>
      </c>
      <c r="AG3827">
        <v>-1.1107745736869901</v>
      </c>
      <c r="AH3827">
        <v>45.741247747200703</v>
      </c>
      <c r="AI3827">
        <v>91.384495001137594</v>
      </c>
      <c r="AJ3827">
        <v>95.5824102708212</v>
      </c>
      <c r="AK3827">
        <v>45.972639058754297</v>
      </c>
      <c r="AL3827">
        <v>88.085016168813496</v>
      </c>
      <c r="AM3827">
        <v>93.490626472090199</v>
      </c>
      <c r="AN3827">
        <v>0.99999998017236402</v>
      </c>
    </row>
    <row r="3828" spans="1:40" x14ac:dyDescent="0.25">
      <c r="A3828" t="str">
        <f>"20190312150732852"</f>
        <v>20190312150732852</v>
      </c>
      <c r="B3828" t="str">
        <f>"1552374452843485"</f>
        <v>1552374452843485</v>
      </c>
      <c r="C3828" t="s">
        <v>40</v>
      </c>
      <c r="D3828">
        <v>4.4590639999999997</v>
      </c>
      <c r="E3828">
        <v>0.48684810000000001</v>
      </c>
      <c r="F3828" t="s">
        <v>67</v>
      </c>
      <c r="G3828">
        <v>-469.85759999999999</v>
      </c>
      <c r="H3828" s="1">
        <v>3.8998969999999998E-6</v>
      </c>
      <c r="I3828">
        <v>280.24790000000002</v>
      </c>
      <c r="J3828">
        <v>-426.37060000000002</v>
      </c>
      <c r="K3828">
        <v>1.1107229999999999</v>
      </c>
      <c r="L3828">
        <v>284.81200000000001</v>
      </c>
      <c r="M3828">
        <v>-0.99987749999999997</v>
      </c>
      <c r="N3828">
        <v>0</v>
      </c>
      <c r="O3828">
        <v>-6.4712819999999897E-3</v>
      </c>
      <c r="P3828">
        <v>-0.99750459999999996</v>
      </c>
      <c r="Q3828">
        <v>1.885413E-2</v>
      </c>
      <c r="R3828">
        <v>-6.8041610000000002E-2</v>
      </c>
      <c r="S3828">
        <v>-2.9878849999999999</v>
      </c>
      <c r="T3828">
        <v>-7.5744629999999993E-2</v>
      </c>
      <c r="U3828">
        <v>-0.31140139999999999</v>
      </c>
      <c r="V3828">
        <v>-6.1608820000000002E-2</v>
      </c>
      <c r="W3828">
        <v>3.3038150000000002E-2</v>
      </c>
      <c r="X3828">
        <v>0.99755340000000003</v>
      </c>
      <c r="Y3828">
        <v>-9.7191830000000007E-2</v>
      </c>
      <c r="Z3828">
        <v>-1.0648280000000001E-3</v>
      </c>
      <c r="AA3828">
        <v>0.99526510000000001</v>
      </c>
      <c r="AB3828">
        <v>30</v>
      </c>
      <c r="AC3828">
        <v>-43.486999999999902</v>
      </c>
      <c r="AD3828">
        <v>-1.1107191001029999</v>
      </c>
      <c r="AE3828">
        <v>-4.5640999999999901</v>
      </c>
      <c r="AF3828">
        <v>-4.2797976252625602</v>
      </c>
      <c r="AG3828">
        <v>-1.1107191001029999</v>
      </c>
      <c r="AH3828">
        <v>43.487567215876702</v>
      </c>
      <c r="AI3828">
        <v>91.456046426747307</v>
      </c>
      <c r="AJ3828">
        <v>95.620623589061907</v>
      </c>
      <c r="AK3828">
        <v>43.711770348361902</v>
      </c>
      <c r="AL3828">
        <v>88.106708862647196</v>
      </c>
      <c r="AM3828">
        <v>93.534094074082404</v>
      </c>
      <c r="AN3828">
        <v>0.99999997595438705</v>
      </c>
    </row>
    <row r="3829" spans="1:40" x14ac:dyDescent="0.25">
      <c r="A3829" t="str">
        <f>"20190312150732874"</f>
        <v>20190312150732874</v>
      </c>
      <c r="B3829" t="str">
        <f>"1552374452863981"</f>
        <v>1552374452863981</v>
      </c>
      <c r="C3829" t="s">
        <v>40</v>
      </c>
      <c r="D3829">
        <v>4.4005409999999996</v>
      </c>
      <c r="E3829">
        <v>0.48678779999999999</v>
      </c>
      <c r="F3829" t="s">
        <v>67</v>
      </c>
      <c r="G3829">
        <v>-468.88010000000003</v>
      </c>
      <c r="H3829" s="1">
        <v>3.3758060000000001E-6</v>
      </c>
      <c r="I3829">
        <v>280.3372</v>
      </c>
      <c r="J3829">
        <v>-426.67099999999999</v>
      </c>
      <c r="K3829">
        <v>1.11067</v>
      </c>
      <c r="L3829">
        <v>284.80970000000002</v>
      </c>
      <c r="M3829">
        <v>-0.99987550000000003</v>
      </c>
      <c r="N3829">
        <v>0</v>
      </c>
      <c r="O3829">
        <v>-6.7594789999999997E-3</v>
      </c>
      <c r="P3829">
        <v>-0.99742600000000003</v>
      </c>
      <c r="Q3829">
        <v>1.857224E-2</v>
      </c>
      <c r="R3829">
        <v>-6.9255629999999999E-2</v>
      </c>
      <c r="S3829">
        <v>-2.9875180000000001</v>
      </c>
      <c r="T3829">
        <v>-7.8060030000000002E-2</v>
      </c>
      <c r="U3829">
        <v>-0.31448359999999997</v>
      </c>
      <c r="V3829">
        <v>-6.2531210000000004E-2</v>
      </c>
      <c r="W3829">
        <v>3.275935E-2</v>
      </c>
      <c r="X3829">
        <v>0.99750519999999998</v>
      </c>
      <c r="Y3829">
        <v>-9.7931249999999997E-2</v>
      </c>
      <c r="Z3829">
        <v>-1.0995670000000001E-3</v>
      </c>
      <c r="AA3829">
        <v>0.99519259999999998</v>
      </c>
      <c r="AB3829">
        <v>30</v>
      </c>
      <c r="AC3829">
        <v>-42.209099999999999</v>
      </c>
      <c r="AD3829">
        <v>-1.110666624194</v>
      </c>
      <c r="AE3829">
        <v>-4.4725000000000197</v>
      </c>
      <c r="AF3829">
        <v>-4.1841923159648999</v>
      </c>
      <c r="AG3829">
        <v>-1.110666624194</v>
      </c>
      <c r="AH3829">
        <v>42.2094691348263</v>
      </c>
      <c r="AI3829">
        <v>91.499939808017004</v>
      </c>
      <c r="AJ3829">
        <v>95.661191610135404</v>
      </c>
      <c r="AK3829">
        <v>42.430888870384699</v>
      </c>
      <c r="AL3829">
        <v>88.122691577415793</v>
      </c>
      <c r="AM3829">
        <v>93.587041287415005</v>
      </c>
      <c r="AN3829">
        <v>0.99999997563176302</v>
      </c>
    </row>
    <row r="3830" spans="1:40" x14ac:dyDescent="0.25">
      <c r="A3830" t="str">
        <f>"20190312150732897"</f>
        <v>20190312150732897</v>
      </c>
      <c r="B3830" t="str">
        <f>"1552374452883501"</f>
        <v>1552374452883501</v>
      </c>
      <c r="C3830" t="s">
        <v>40</v>
      </c>
      <c r="D3830">
        <v>4.430339</v>
      </c>
      <c r="E3830">
        <v>0.48713190000000001</v>
      </c>
      <c r="F3830" t="s">
        <v>67</v>
      </c>
      <c r="G3830">
        <v>-468.94189999999998</v>
      </c>
      <c r="H3830" s="1">
        <v>3.4102060000000001E-6</v>
      </c>
      <c r="I3830">
        <v>280.30279999999999</v>
      </c>
      <c r="J3830">
        <v>-426.96870000000001</v>
      </c>
      <c r="K3830">
        <v>1.110616</v>
      </c>
      <c r="L3830">
        <v>284.80739999999997</v>
      </c>
      <c r="M3830">
        <v>-0.99987420000000005</v>
      </c>
      <c r="N3830">
        <v>0</v>
      </c>
      <c r="O3830">
        <v>-6.9697800000000001E-3</v>
      </c>
      <c r="P3830">
        <v>-0.99731340000000002</v>
      </c>
      <c r="Q3830">
        <v>1.88737E-2</v>
      </c>
      <c r="R3830">
        <v>-7.0780250000000003E-2</v>
      </c>
      <c r="S3830">
        <v>-2.9870909999999999</v>
      </c>
      <c r="T3830">
        <v>-7.8485730000000004E-2</v>
      </c>
      <c r="U3830">
        <v>-0.31848140000000003</v>
      </c>
      <c r="V3830">
        <v>-6.3842360000000001E-2</v>
      </c>
      <c r="W3830">
        <v>3.3063879999999997E-2</v>
      </c>
      <c r="X3830">
        <v>0.99741210000000002</v>
      </c>
      <c r="Y3830">
        <v>-9.9053199999999994E-2</v>
      </c>
      <c r="Z3830">
        <v>-1.114828E-3</v>
      </c>
      <c r="AA3830">
        <v>0.99508149999999995</v>
      </c>
      <c r="AB3830">
        <v>30</v>
      </c>
      <c r="AC3830">
        <v>-41.973199999999899</v>
      </c>
      <c r="AD3830">
        <v>-1.110612589794</v>
      </c>
      <c r="AE3830">
        <v>-4.5045999999999804</v>
      </c>
      <c r="AF3830">
        <v>-4.2090035853471601</v>
      </c>
      <c r="AG3830">
        <v>-1.110612589794</v>
      </c>
      <c r="AH3830">
        <v>41.974526399582601</v>
      </c>
      <c r="AI3830">
        <v>91.508087620268199</v>
      </c>
      <c r="AJ3830">
        <v>95.726203793044405</v>
      </c>
      <c r="AK3830">
        <v>42.199644998214602</v>
      </c>
      <c r="AL3830">
        <v>88.105233848107702</v>
      </c>
      <c r="AM3830">
        <v>93.662392432320104</v>
      </c>
      <c r="AN3830">
        <v>0.99999998215871599</v>
      </c>
    </row>
    <row r="3831" spans="1:40" x14ac:dyDescent="0.25">
      <c r="A3831" t="str">
        <f>"20190312150732919"</f>
        <v>20190312150732919</v>
      </c>
      <c r="B3831" t="str">
        <f>"1552374452913758"</f>
        <v>1552374452913758</v>
      </c>
      <c r="C3831" t="s">
        <v>40</v>
      </c>
      <c r="D3831">
        <v>4.4318499999999998</v>
      </c>
      <c r="E3831">
        <v>0.48759229999999998</v>
      </c>
      <c r="F3831" t="s">
        <v>61</v>
      </c>
      <c r="G3831">
        <v>-470.25220000000002</v>
      </c>
      <c r="H3831" s="1">
        <v>6.1132880000000001E-6</v>
      </c>
      <c r="I3831">
        <v>280.1669</v>
      </c>
      <c r="J3831">
        <v>-427.27</v>
      </c>
      <c r="K3831">
        <v>1.110562</v>
      </c>
      <c r="L3831">
        <v>284.80509999999998</v>
      </c>
      <c r="M3831">
        <v>-0.99987329999999996</v>
      </c>
      <c r="N3831">
        <v>0</v>
      </c>
      <c r="O3831">
        <v>-7.1039739999999999E-3</v>
      </c>
      <c r="P3831">
        <v>-0.99724199999999996</v>
      </c>
      <c r="Q3831">
        <v>1.904575E-2</v>
      </c>
      <c r="R3831">
        <v>-7.1735670000000001E-2</v>
      </c>
      <c r="S3831">
        <v>-2.9868160000000001</v>
      </c>
      <c r="T3831">
        <v>-7.6638579999999998E-2</v>
      </c>
      <c r="U3831">
        <v>-0.32022089999999998</v>
      </c>
      <c r="V3831">
        <v>-6.4659519999999998E-2</v>
      </c>
      <c r="W3831">
        <v>3.3240690000000003E-2</v>
      </c>
      <c r="X3831">
        <v>0.99735359999999995</v>
      </c>
      <c r="Y3831">
        <v>-9.9503599999999998E-2</v>
      </c>
      <c r="Z3831">
        <v>-1.0909940000000001E-3</v>
      </c>
      <c r="AA3831">
        <v>0.99503660000000005</v>
      </c>
      <c r="AB3831">
        <v>30</v>
      </c>
      <c r="AC3831">
        <v>-42.982199999999999</v>
      </c>
      <c r="AD3831">
        <v>-1.110555886712</v>
      </c>
      <c r="AE3831">
        <v>-4.6381999999999799</v>
      </c>
      <c r="AF3831">
        <v>-4.32985027048875</v>
      </c>
      <c r="AG3831">
        <v>-1.110555886712</v>
      </c>
      <c r="AH3831">
        <v>42.985702081408199</v>
      </c>
      <c r="AI3831">
        <v>91.472486458202297</v>
      </c>
      <c r="AJ3831">
        <v>95.751870646441802</v>
      </c>
      <c r="AK3831">
        <v>43.217490917150002</v>
      </c>
      <c r="AL3831">
        <v>88.095097843887601</v>
      </c>
      <c r="AM3831">
        <v>93.709356697168502</v>
      </c>
      <c r="AN3831">
        <v>1.00000000021563</v>
      </c>
    </row>
    <row r="3832" spans="1:40" x14ac:dyDescent="0.25">
      <c r="A3832" t="str">
        <f>"20190312150732941"</f>
        <v>20190312150732941</v>
      </c>
      <c r="B3832" t="str">
        <f>"1552374452934256"</f>
        <v>1552374452934256</v>
      </c>
      <c r="C3832" t="s">
        <v>40</v>
      </c>
      <c r="D3832">
        <v>4.4403160000000002</v>
      </c>
      <c r="E3832">
        <v>0.48773109999999997</v>
      </c>
      <c r="F3832" t="s">
        <v>61</v>
      </c>
      <c r="G3832">
        <v>-471.21260000000001</v>
      </c>
      <c r="H3832" s="1">
        <v>5.6822509999999999E-6</v>
      </c>
      <c r="I3832">
        <v>280.10820000000001</v>
      </c>
      <c r="J3832">
        <v>-427.56139999999999</v>
      </c>
      <c r="K3832">
        <v>1.1105069999999999</v>
      </c>
      <c r="L3832">
        <v>284.80290000000002</v>
      </c>
      <c r="M3832">
        <v>-0.99987289999999995</v>
      </c>
      <c r="N3832">
        <v>0</v>
      </c>
      <c r="O3832">
        <v>-7.1684080000000002E-3</v>
      </c>
      <c r="P3832">
        <v>-0.99722960000000005</v>
      </c>
      <c r="Q3832">
        <v>1.9341219999999999E-2</v>
      </c>
      <c r="R3832">
        <v>-7.1829100000000007E-2</v>
      </c>
      <c r="S3832">
        <v>-2.986755</v>
      </c>
      <c r="T3832">
        <v>-7.5483800000000004E-2</v>
      </c>
      <c r="U3832">
        <v>-0.31924439999999998</v>
      </c>
      <c r="V3832">
        <v>-6.4684539999999999E-2</v>
      </c>
      <c r="W3832">
        <v>3.3542370000000002E-2</v>
      </c>
      <c r="X3832">
        <v>0.9973419</v>
      </c>
      <c r="Y3832">
        <v>-9.9121000000000001E-2</v>
      </c>
      <c r="Z3832">
        <v>-1.0681569999999999E-3</v>
      </c>
      <c r="AA3832">
        <v>0.99507480000000004</v>
      </c>
      <c r="AB3832">
        <v>30</v>
      </c>
      <c r="AC3832">
        <v>-43.651200000000003</v>
      </c>
      <c r="AD3832">
        <v>-1.110501317749</v>
      </c>
      <c r="AE3832">
        <v>-4.6947000000000099</v>
      </c>
      <c r="AF3832">
        <v>-4.37883638428616</v>
      </c>
      <c r="AG3832">
        <v>-1.110501317749</v>
      </c>
      <c r="AH3832">
        <v>43.655803739540801</v>
      </c>
      <c r="AI3832">
        <v>91.449883957085902</v>
      </c>
      <c r="AJ3832">
        <v>95.727818129726202</v>
      </c>
      <c r="AK3832">
        <v>43.888912283199403</v>
      </c>
      <c r="AL3832">
        <v>88.077803252279395</v>
      </c>
      <c r="AM3832">
        <v>93.710831433368696</v>
      </c>
      <c r="AN3832">
        <v>1.00000002289791</v>
      </c>
    </row>
    <row r="3833" spans="1:40" x14ac:dyDescent="0.25">
      <c r="A3833" t="str">
        <f>"20190312150732962"</f>
        <v>20190312150732962</v>
      </c>
      <c r="B3833" t="str">
        <f>"1552374452953773"</f>
        <v>1552374452953773</v>
      </c>
      <c r="C3833" t="s">
        <v>40</v>
      </c>
      <c r="D3833">
        <v>4.389907</v>
      </c>
      <c r="E3833">
        <v>0.48787249999999999</v>
      </c>
      <c r="F3833" t="s">
        <v>61</v>
      </c>
      <c r="G3833">
        <v>-471.46019999999999</v>
      </c>
      <c r="H3833" s="1">
        <v>5.5735209999999899E-6</v>
      </c>
      <c r="I3833">
        <v>280.12020000000001</v>
      </c>
      <c r="J3833">
        <v>-427.8535</v>
      </c>
      <c r="K3833">
        <v>1.11046</v>
      </c>
      <c r="L3833">
        <v>284.80079999999998</v>
      </c>
      <c r="M3833">
        <v>-0.99987280000000001</v>
      </c>
      <c r="N3833">
        <v>0</v>
      </c>
      <c r="O3833">
        <v>-7.1706779999999998E-3</v>
      </c>
      <c r="P3833">
        <v>-0.99722279999999996</v>
      </c>
      <c r="Q3833">
        <v>1.9415620000000001E-2</v>
      </c>
      <c r="R3833">
        <v>-7.1902190000000005E-2</v>
      </c>
      <c r="S3833">
        <v>-2.9868160000000001</v>
      </c>
      <c r="T3833">
        <v>-7.5557109999999997E-2</v>
      </c>
      <c r="U3833">
        <v>-0.31860349999999998</v>
      </c>
      <c r="V3833">
        <v>-6.4750479999999999E-2</v>
      </c>
      <c r="W3833">
        <v>3.3621470000000001E-2</v>
      </c>
      <c r="X3833">
        <v>0.99733499999999997</v>
      </c>
      <c r="Y3833">
        <v>-9.8905510000000002E-2</v>
      </c>
      <c r="Z3833">
        <v>-1.0664100000000001E-3</v>
      </c>
      <c r="AA3833">
        <v>0.99509630000000004</v>
      </c>
      <c r="AB3833">
        <v>30</v>
      </c>
      <c r="AC3833">
        <v>-43.606699999999897</v>
      </c>
      <c r="AD3833">
        <v>-1.1104544264789999</v>
      </c>
      <c r="AE3833">
        <v>-4.6805999999999699</v>
      </c>
      <c r="AF3833">
        <v>-4.3649599583108696</v>
      </c>
      <c r="AG3833">
        <v>-1.1104544264789999</v>
      </c>
      <c r="AH3833">
        <v>43.611186378354098</v>
      </c>
      <c r="AI3833">
        <v>91.451336421833304</v>
      </c>
      <c r="AJ3833">
        <v>95.7155898010828</v>
      </c>
      <c r="AK3833">
        <v>43.843147261555998</v>
      </c>
      <c r="AL3833">
        <v>88.073268679809402</v>
      </c>
      <c r="AM3833">
        <v>93.714629329722996</v>
      </c>
      <c r="AN3833">
        <v>1.00000006506509</v>
      </c>
    </row>
    <row r="3834" spans="1:40" x14ac:dyDescent="0.25">
      <c r="A3834" t="str">
        <f>"20190312150732985"</f>
        <v>20190312150732985</v>
      </c>
      <c r="B3834" t="str">
        <f>"1552374452974269"</f>
        <v>1552374452974269</v>
      </c>
      <c r="C3834" t="s">
        <v>40</v>
      </c>
      <c r="D3834">
        <v>4.4802619999999997</v>
      </c>
      <c r="E3834">
        <v>0.4881914</v>
      </c>
      <c r="F3834" t="s">
        <v>61</v>
      </c>
      <c r="G3834">
        <v>-472.14940000000001</v>
      </c>
      <c r="H3834" s="1">
        <v>5.2650189999999999E-6</v>
      </c>
      <c r="I3834">
        <v>280.08730000000003</v>
      </c>
      <c r="J3834">
        <v>-428.15620000000001</v>
      </c>
      <c r="K3834">
        <v>1.110406</v>
      </c>
      <c r="L3834">
        <v>284.79860000000002</v>
      </c>
      <c r="M3834">
        <v>-0.99987340000000002</v>
      </c>
      <c r="N3834">
        <v>0</v>
      </c>
      <c r="O3834">
        <v>-7.1008249999999998E-3</v>
      </c>
      <c r="P3834">
        <v>-0.9972529</v>
      </c>
      <c r="Q3834">
        <v>1.949184E-2</v>
      </c>
      <c r="R3834">
        <v>-7.1459239999999993E-2</v>
      </c>
      <c r="S3834">
        <v>-2.9869379999999999</v>
      </c>
      <c r="T3834">
        <v>-7.4879769999999998E-2</v>
      </c>
      <c r="U3834">
        <v>-0.31784059999999997</v>
      </c>
      <c r="V3834">
        <v>-6.4373159999999999E-2</v>
      </c>
      <c r="W3834">
        <v>3.3702969999999999E-2</v>
      </c>
      <c r="X3834">
        <v>0.99735660000000004</v>
      </c>
      <c r="Y3834">
        <v>-9.8719959999999995E-2</v>
      </c>
      <c r="Z3834">
        <v>-1.056251E-3</v>
      </c>
      <c r="AA3834">
        <v>0.99511470000000002</v>
      </c>
      <c r="AB3834">
        <v>30</v>
      </c>
      <c r="AC3834">
        <v>-43.993200000000002</v>
      </c>
      <c r="AD3834">
        <v>-1.1104007349809999</v>
      </c>
      <c r="AE3834">
        <v>-4.7112999999999898</v>
      </c>
      <c r="AF3834">
        <v>-4.3959927004606802</v>
      </c>
      <c r="AG3834">
        <v>-1.1104007349809999</v>
      </c>
      <c r="AH3834">
        <v>43.997836200858899</v>
      </c>
      <c r="AI3834">
        <v>91.438542844197499</v>
      </c>
      <c r="AJ3834">
        <v>95.705705283550103</v>
      </c>
      <c r="AK3834">
        <v>44.230841411534897</v>
      </c>
      <c r="AL3834">
        <v>88.068596282553699</v>
      </c>
      <c r="AM3834">
        <v>93.692963415978099</v>
      </c>
      <c r="AN3834">
        <v>0.99999999073938295</v>
      </c>
    </row>
    <row r="3835" spans="1:40" x14ac:dyDescent="0.25">
      <c r="A3835" t="str">
        <f>"20190312150733007"</f>
        <v>20190312150733007</v>
      </c>
      <c r="B3835" t="str">
        <f>"1552374453003553"</f>
        <v>1552374453003553</v>
      </c>
      <c r="C3835" t="s">
        <v>40</v>
      </c>
      <c r="D3835">
        <v>4.4388480000000001</v>
      </c>
      <c r="E3835">
        <v>0.48844680000000001</v>
      </c>
      <c r="F3835" t="s">
        <v>61</v>
      </c>
      <c r="G3835">
        <v>-472.33949999999999</v>
      </c>
      <c r="H3835" s="1">
        <v>5.1866719999999999E-6</v>
      </c>
      <c r="I3835">
        <v>280.1558</v>
      </c>
      <c r="J3835">
        <v>-428.44779999999997</v>
      </c>
      <c r="K3835">
        <v>1.1103559999999999</v>
      </c>
      <c r="L3835">
        <v>284.79669999999999</v>
      </c>
      <c r="M3835">
        <v>-0.9998745</v>
      </c>
      <c r="N3835">
        <v>0</v>
      </c>
      <c r="O3835">
        <v>-6.9650900000000002E-3</v>
      </c>
      <c r="P3835">
        <v>-0.99734020000000001</v>
      </c>
      <c r="Q3835">
        <v>1.938836E-2</v>
      </c>
      <c r="R3835">
        <v>-7.0263530000000005E-2</v>
      </c>
      <c r="S3835">
        <v>-2.9872130000000001</v>
      </c>
      <c r="T3835">
        <v>-7.5073600000000004E-2</v>
      </c>
      <c r="U3835">
        <v>-0.31390380000000001</v>
      </c>
      <c r="V3835">
        <v>-6.3307580000000002E-2</v>
      </c>
      <c r="W3835">
        <v>3.3604790000000002E-2</v>
      </c>
      <c r="X3835">
        <v>0.99742810000000004</v>
      </c>
      <c r="Y3835">
        <v>-9.7548620000000003E-2</v>
      </c>
      <c r="Z3835">
        <v>-1.047685E-3</v>
      </c>
      <c r="AA3835">
        <v>0.99523019999999995</v>
      </c>
      <c r="AB3835">
        <v>30</v>
      </c>
      <c r="AC3835">
        <v>-43.8917</v>
      </c>
      <c r="AD3835">
        <v>-1.110350813328</v>
      </c>
      <c r="AE3835">
        <v>-4.6408999999999798</v>
      </c>
      <c r="AF3835">
        <v>-4.3323049449992803</v>
      </c>
      <c r="AG3835">
        <v>-1.110350813328</v>
      </c>
      <c r="AH3835">
        <v>43.895181928738097</v>
      </c>
      <c r="AI3835">
        <v>91.442013359833496</v>
      </c>
      <c r="AJ3835">
        <v>95.636643369483593</v>
      </c>
      <c r="AK3835">
        <v>44.122429008636203</v>
      </c>
      <c r="AL3835">
        <v>88.074224736591702</v>
      </c>
      <c r="AM3835">
        <v>93.631738496838196</v>
      </c>
      <c r="AN3835">
        <v>0.99999997313300504</v>
      </c>
    </row>
    <row r="3836" spans="1:40" x14ac:dyDescent="0.25">
      <c r="A3836" t="str">
        <f>"20190312150733030"</f>
        <v>20190312150733030</v>
      </c>
      <c r="B3836" t="str">
        <f>"1552374453024048"</f>
        <v>1552374453024048</v>
      </c>
      <c r="C3836" t="s">
        <v>40</v>
      </c>
      <c r="D3836">
        <v>4.5072179999999999</v>
      </c>
      <c r="E3836">
        <v>0.4885485</v>
      </c>
      <c r="F3836" t="s">
        <v>61</v>
      </c>
      <c r="G3836">
        <v>-470.8306</v>
      </c>
      <c r="H3836" s="1">
        <v>5.8790989999999999E-6</v>
      </c>
      <c r="I3836">
        <v>280.42180000000002</v>
      </c>
      <c r="J3836">
        <v>-428.75319999999999</v>
      </c>
      <c r="K3836">
        <v>1.110301</v>
      </c>
      <c r="L3836">
        <v>284.79469999999998</v>
      </c>
      <c r="M3836">
        <v>-0.99987599999999999</v>
      </c>
      <c r="N3836">
        <v>0</v>
      </c>
      <c r="O3836">
        <v>-6.769209E-3</v>
      </c>
      <c r="P3836">
        <v>-0.99744310000000003</v>
      </c>
      <c r="Q3836">
        <v>1.930457E-2</v>
      </c>
      <c r="R3836">
        <v>-6.8808439999999998E-2</v>
      </c>
      <c r="S3836">
        <v>-2.9878230000000001</v>
      </c>
      <c r="T3836">
        <v>-7.8275440000000002E-2</v>
      </c>
      <c r="U3836">
        <v>-0.30841059999999998</v>
      </c>
      <c r="V3836">
        <v>-6.204353E-2</v>
      </c>
      <c r="W3836">
        <v>3.3526640000000003E-2</v>
      </c>
      <c r="X3836">
        <v>0.99751020000000001</v>
      </c>
      <c r="Y3836">
        <v>-9.5910239999999994E-2</v>
      </c>
      <c r="Z3836">
        <v>-1.0759509999999999E-3</v>
      </c>
      <c r="AA3836">
        <v>0.99538939999999998</v>
      </c>
      <c r="AB3836">
        <v>30</v>
      </c>
      <c r="AC3836">
        <v>-42.077399999999997</v>
      </c>
      <c r="AD3836">
        <v>-1.1102951209009999</v>
      </c>
      <c r="AE3836">
        <v>-4.3728999999999498</v>
      </c>
      <c r="AF3836">
        <v>-4.0851263125904698</v>
      </c>
      <c r="AG3836">
        <v>-1.1102951209009999</v>
      </c>
      <c r="AH3836">
        <v>42.077055776482801</v>
      </c>
      <c r="AI3836">
        <v>91.504453204632597</v>
      </c>
      <c r="AJ3836">
        <v>95.545283943840701</v>
      </c>
      <c r="AK3836">
        <v>42.289474282172897</v>
      </c>
      <c r="AL3836">
        <v>88.078705011022294</v>
      </c>
      <c r="AM3836">
        <v>93.559120402158996</v>
      </c>
      <c r="AN3836">
        <v>1.00000001715429</v>
      </c>
    </row>
    <row r="3837" spans="1:40" x14ac:dyDescent="0.25">
      <c r="A3837" t="str">
        <f>"20190312150733052"</f>
        <v>20190312150733052</v>
      </c>
      <c r="B3837" t="str">
        <f>"1552374453043569"</f>
        <v>1552374453043569</v>
      </c>
      <c r="C3837" t="s">
        <v>40</v>
      </c>
      <c r="D3837">
        <v>4.4651889999999996</v>
      </c>
      <c r="E3837">
        <v>0.4887744</v>
      </c>
      <c r="F3837" t="s">
        <v>61</v>
      </c>
      <c r="G3837">
        <v>-471.81349999999998</v>
      </c>
      <c r="H3837" s="1">
        <v>5.4436099999999997E-6</v>
      </c>
      <c r="I3837">
        <v>280.42630000000003</v>
      </c>
      <c r="J3837">
        <v>-429.03949999999998</v>
      </c>
      <c r="K3837">
        <v>1.1102620000000001</v>
      </c>
      <c r="L3837">
        <v>284.79300000000001</v>
      </c>
      <c r="M3837">
        <v>-0.99987749999999997</v>
      </c>
      <c r="N3837">
        <v>0</v>
      </c>
      <c r="O3837">
        <v>-6.5405709999999898E-3</v>
      </c>
      <c r="P3837">
        <v>-0.99751690000000004</v>
      </c>
      <c r="Q3837">
        <v>1.9026540000000002E-2</v>
      </c>
      <c r="R3837">
        <v>-6.7811380000000004E-2</v>
      </c>
      <c r="S3837">
        <v>-2.9882810000000002</v>
      </c>
      <c r="T3837">
        <v>-7.7051880000000003E-2</v>
      </c>
      <c r="U3837">
        <v>-0.30316159999999998</v>
      </c>
      <c r="V3837">
        <v>-6.127113E-2</v>
      </c>
      <c r="W3837">
        <v>3.3252129999999998E-2</v>
      </c>
      <c r="X3837">
        <v>0.99756710000000004</v>
      </c>
      <c r="Y3837">
        <v>-9.4393210000000005E-2</v>
      </c>
      <c r="Z3837">
        <v>-1.0454450000000001E-3</v>
      </c>
      <c r="AA3837">
        <v>0.99553440000000004</v>
      </c>
      <c r="AB3837">
        <v>30</v>
      </c>
      <c r="AC3837">
        <v>-42.773999999999901</v>
      </c>
      <c r="AD3837">
        <v>-1.11025655639</v>
      </c>
      <c r="AE3837">
        <v>-4.3666999999999696</v>
      </c>
      <c r="AF3837">
        <v>-4.0840887059832802</v>
      </c>
      <c r="AG3837">
        <v>-1.11025655639</v>
      </c>
      <c r="AH3837">
        <v>42.773128114120802</v>
      </c>
      <c r="AI3837">
        <v>91.480156354861606</v>
      </c>
      <c r="AJ3837">
        <v>95.454213846149202</v>
      </c>
      <c r="AK3837">
        <v>42.982007152369498</v>
      </c>
      <c r="AL3837">
        <v>88.094441992926093</v>
      </c>
      <c r="AM3837">
        <v>93.514723557897696</v>
      </c>
      <c r="AN3837">
        <v>0.99999998726171102</v>
      </c>
    </row>
    <row r="3838" spans="1:40" x14ac:dyDescent="0.25">
      <c r="A3838" t="str">
        <f>"20190312150733073"</f>
        <v>20190312150733073</v>
      </c>
      <c r="B3838" t="str">
        <f>"1552374453064062"</f>
        <v>1552374453064062</v>
      </c>
      <c r="C3838" t="s">
        <v>40</v>
      </c>
      <c r="D3838">
        <v>4.4363419999999998</v>
      </c>
      <c r="E3838">
        <v>0.4888769</v>
      </c>
      <c r="F3838" t="s">
        <v>61</v>
      </c>
      <c r="G3838">
        <v>-471.88470000000001</v>
      </c>
      <c r="H3838" s="1">
        <v>5.4198859999999996E-6</v>
      </c>
      <c r="I3838">
        <v>280.51639999999998</v>
      </c>
      <c r="J3838">
        <v>-429.33150000000001</v>
      </c>
      <c r="K3838">
        <v>1.1102270000000001</v>
      </c>
      <c r="L3838">
        <v>284.79140000000001</v>
      </c>
      <c r="M3838">
        <v>-0.99987919999999997</v>
      </c>
      <c r="N3838">
        <v>0</v>
      </c>
      <c r="O3838">
        <v>-6.2661280000000001E-3</v>
      </c>
      <c r="P3838">
        <v>-0.99757470000000004</v>
      </c>
      <c r="Q3838">
        <v>1.8960230000000002E-2</v>
      </c>
      <c r="R3838">
        <v>-6.6972039999999997E-2</v>
      </c>
      <c r="S3838">
        <v>-2.9886469999999998</v>
      </c>
      <c r="T3838">
        <v>-7.7445269999999997E-2</v>
      </c>
      <c r="U3838">
        <v>-0.2983093</v>
      </c>
      <c r="V3838">
        <v>-6.070234E-2</v>
      </c>
      <c r="W3838">
        <v>3.3188269999999999E-2</v>
      </c>
      <c r="X3838">
        <v>0.99760400000000005</v>
      </c>
      <c r="Y3838">
        <v>-9.3054059999999994E-2</v>
      </c>
      <c r="Z3838">
        <v>-1.040525E-3</v>
      </c>
      <c r="AA3838">
        <v>0.99566049999999995</v>
      </c>
      <c r="AB3838">
        <v>30</v>
      </c>
      <c r="AC3838">
        <v>-42.553199999999997</v>
      </c>
      <c r="AD3838">
        <v>-1.1102215801140001</v>
      </c>
      <c r="AE3838">
        <v>-4.2750000000000297</v>
      </c>
      <c r="AF3838">
        <v>-4.0055459525423602</v>
      </c>
      <c r="AG3838">
        <v>-1.1102215801140001</v>
      </c>
      <c r="AH3838">
        <v>42.550480169226603</v>
      </c>
      <c r="AI3838">
        <v>91.488039178575804</v>
      </c>
      <c r="AJ3838">
        <v>95.377766360357896</v>
      </c>
      <c r="AK3838">
        <v>42.753015717802</v>
      </c>
      <c r="AL3838">
        <v>88.098102923637697</v>
      </c>
      <c r="AM3838">
        <v>93.482047974814193</v>
      </c>
      <c r="AN3838">
        <v>0.99999998808153401</v>
      </c>
    </row>
    <row r="3839" spans="1:40" x14ac:dyDescent="0.25">
      <c r="A3839" t="str">
        <f>"20190312150733097"</f>
        <v>20190312150733097</v>
      </c>
      <c r="B3839" t="str">
        <f>"1552374453094318"</f>
        <v>1552374453094318</v>
      </c>
      <c r="C3839" t="s">
        <v>40</v>
      </c>
      <c r="D3839">
        <v>4.4473949999999904</v>
      </c>
      <c r="E3839">
        <v>0.4891105</v>
      </c>
      <c r="F3839" t="s">
        <v>61</v>
      </c>
      <c r="G3839">
        <v>-471.30739999999997</v>
      </c>
      <c r="H3839" s="1">
        <v>5.6872499999999996E-6</v>
      </c>
      <c r="I3839">
        <v>280.64609999999999</v>
      </c>
      <c r="J3839">
        <v>-429.63369999999998</v>
      </c>
      <c r="K3839">
        <v>1.1101989999999999</v>
      </c>
      <c r="L3839">
        <v>284.78989999999999</v>
      </c>
      <c r="M3839">
        <v>-0.99988120000000003</v>
      </c>
      <c r="N3839">
        <v>0</v>
      </c>
      <c r="O3839">
        <v>-5.9492379999999999E-3</v>
      </c>
      <c r="P3839">
        <v>-0.99764589999999997</v>
      </c>
      <c r="Q3839">
        <v>1.8872199999999999E-2</v>
      </c>
      <c r="R3839">
        <v>-6.5928410000000007E-2</v>
      </c>
      <c r="S3839">
        <v>-2.988953</v>
      </c>
      <c r="T3839">
        <v>-7.905471E-2</v>
      </c>
      <c r="U3839">
        <v>-0.29516599999999998</v>
      </c>
      <c r="V3839">
        <v>-5.9972780000000003E-2</v>
      </c>
      <c r="W3839">
        <v>3.3101539999999999E-2</v>
      </c>
      <c r="X3839">
        <v>0.99765099999999995</v>
      </c>
      <c r="Y3839">
        <v>-9.2321619999999993E-2</v>
      </c>
      <c r="Z3839">
        <v>-1.060786E-3</v>
      </c>
      <c r="AA3839">
        <v>0.99572870000000002</v>
      </c>
      <c r="AB3839">
        <v>30</v>
      </c>
      <c r="AC3839">
        <v>-41.673699999999997</v>
      </c>
      <c r="AD3839">
        <v>-1.1101933127500001</v>
      </c>
      <c r="AE3839">
        <v>-4.1437999999999899</v>
      </c>
      <c r="AF3839">
        <v>-3.8930389957873102</v>
      </c>
      <c r="AG3839">
        <v>-1.1101933127500001</v>
      </c>
      <c r="AH3839">
        <v>41.668334921942701</v>
      </c>
      <c r="AI3839">
        <v>91.519588476264701</v>
      </c>
      <c r="AJ3839">
        <v>95.337603879541604</v>
      </c>
      <c r="AK3839">
        <v>41.864524564141199</v>
      </c>
      <c r="AL3839">
        <v>88.103074907032195</v>
      </c>
      <c r="AM3839">
        <v>93.440137908157098</v>
      </c>
      <c r="AN3839">
        <v>0.99999998204614904</v>
      </c>
    </row>
    <row r="3840" spans="1:40" x14ac:dyDescent="0.25">
      <c r="A3840" t="str">
        <f>"20190312150733119"</f>
        <v>20190312150733119</v>
      </c>
      <c r="B3840" t="str">
        <f>"1552374453113837"</f>
        <v>1552374453113837</v>
      </c>
      <c r="C3840" t="s">
        <v>40</v>
      </c>
      <c r="D3840">
        <v>4.4371210000000003</v>
      </c>
      <c r="E3840">
        <v>0.48922900000000002</v>
      </c>
      <c r="F3840" t="s">
        <v>61</v>
      </c>
      <c r="G3840">
        <v>-470.93099999999998</v>
      </c>
      <c r="H3840" s="1">
        <v>5.866077E-6</v>
      </c>
      <c r="I3840">
        <v>280.78230000000002</v>
      </c>
      <c r="J3840">
        <v>-429.93239999999997</v>
      </c>
      <c r="K3840">
        <v>1.110179</v>
      </c>
      <c r="L3840">
        <v>284.78840000000002</v>
      </c>
      <c r="M3840">
        <v>-0.99988319999999997</v>
      </c>
      <c r="N3840">
        <v>0</v>
      </c>
      <c r="O3840">
        <v>-5.6161689999999998E-3</v>
      </c>
      <c r="P3840">
        <v>-0.997699</v>
      </c>
      <c r="Q3840">
        <v>1.9011610000000002E-2</v>
      </c>
      <c r="R3840">
        <v>-6.5083100000000005E-2</v>
      </c>
      <c r="S3840">
        <v>-2.989471</v>
      </c>
      <c r="T3840">
        <v>-8.0365779999999998E-2</v>
      </c>
      <c r="U3840">
        <v>-0.29010010000000003</v>
      </c>
      <c r="V3840">
        <v>-5.9457299999999998E-2</v>
      </c>
      <c r="W3840">
        <v>3.3240699999999998E-2</v>
      </c>
      <c r="X3840">
        <v>0.99767729999999999</v>
      </c>
      <c r="Y3840">
        <v>-9.0964359999999994E-2</v>
      </c>
      <c r="Z3840">
        <v>-1.069008E-3</v>
      </c>
      <c r="AA3840">
        <v>0.99585360000000001</v>
      </c>
      <c r="AB3840">
        <v>30</v>
      </c>
      <c r="AC3840">
        <v>-40.998600000000003</v>
      </c>
      <c r="AD3840">
        <v>-1.1101731339229901</v>
      </c>
      <c r="AE3840">
        <v>-4.0061</v>
      </c>
      <c r="AF3840">
        <v>-3.7730181312678499</v>
      </c>
      <c r="AG3840">
        <v>-1.1101731339229901</v>
      </c>
      <c r="AH3840">
        <v>40.990682934554101</v>
      </c>
      <c r="AI3840">
        <v>91.544866360316803</v>
      </c>
      <c r="AJ3840">
        <v>95.259014181064302</v>
      </c>
      <c r="AK3840">
        <v>41.1789295349855</v>
      </c>
      <c r="AL3840">
        <v>88.095097374624501</v>
      </c>
      <c r="AM3840">
        <v>93.410549528174798</v>
      </c>
      <c r="AN3840">
        <v>1.0000000547975301</v>
      </c>
    </row>
    <row r="3841" spans="1:40" x14ac:dyDescent="0.25">
      <c r="A3841" t="str">
        <f>"20190312150733141"</f>
        <v>20190312150733141</v>
      </c>
      <c r="B3841" t="str">
        <f>"1552374453134349"</f>
        <v>1552374453134349</v>
      </c>
      <c r="C3841" t="s">
        <v>40</v>
      </c>
      <c r="D3841">
        <v>4.460083</v>
      </c>
      <c r="E3841">
        <v>0.48929040000000001</v>
      </c>
      <c r="F3841" t="s">
        <v>61</v>
      </c>
      <c r="G3841">
        <v>-471.149</v>
      </c>
      <c r="H3841" s="1">
        <v>5.7740180000000002E-6</v>
      </c>
      <c r="I3841">
        <v>280.83530000000002</v>
      </c>
      <c r="J3841">
        <v>-430.21879999999999</v>
      </c>
      <c r="K3841">
        <v>1.110163</v>
      </c>
      <c r="L3841">
        <v>284.78710000000001</v>
      </c>
      <c r="M3841">
        <v>-0.99988509999999997</v>
      </c>
      <c r="N3841">
        <v>0</v>
      </c>
      <c r="O3841">
        <v>-5.2857520000000003E-3</v>
      </c>
      <c r="P3841">
        <v>-0.99771180000000004</v>
      </c>
      <c r="Q3841">
        <v>1.88989E-2</v>
      </c>
      <c r="R3841">
        <v>-6.4918030000000002E-2</v>
      </c>
      <c r="S3841">
        <v>-2.989716</v>
      </c>
      <c r="T3841">
        <v>-8.0528260000000004E-2</v>
      </c>
      <c r="U3841">
        <v>-0.28674319999999998</v>
      </c>
      <c r="V3841">
        <v>-5.9620699999999999E-2</v>
      </c>
      <c r="W3841">
        <v>3.3126799999999998E-2</v>
      </c>
      <c r="X3841">
        <v>0.99767130000000004</v>
      </c>
      <c r="Y3841">
        <v>-9.0177759999999996E-2</v>
      </c>
      <c r="Z3841">
        <v>-1.0694490000000001E-3</v>
      </c>
      <c r="AA3841">
        <v>0.99592510000000001</v>
      </c>
      <c r="AB3841">
        <v>30</v>
      </c>
      <c r="AC3841">
        <v>-40.930199999999999</v>
      </c>
      <c r="AD3841">
        <v>-1.1101572259819901</v>
      </c>
      <c r="AE3841">
        <v>-3.9517999999999902</v>
      </c>
      <c r="AF3841">
        <v>-3.7326554291532399</v>
      </c>
      <c r="AG3841">
        <v>-1.1101572259819901</v>
      </c>
      <c r="AH3841">
        <v>40.920692477920603</v>
      </c>
      <c r="AI3841">
        <v>91.547601750614106</v>
      </c>
      <c r="AJ3841">
        <v>95.211915463909506</v>
      </c>
      <c r="AK3841">
        <v>41.105574299500297</v>
      </c>
      <c r="AL3841">
        <v>88.101626889339897</v>
      </c>
      <c r="AM3841">
        <v>93.419920671573095</v>
      </c>
      <c r="AN3841">
        <v>1.00000001779521</v>
      </c>
    </row>
    <row r="3842" spans="1:40" x14ac:dyDescent="0.25">
      <c r="A3842" t="str">
        <f>"20190312150733163"</f>
        <v>20190312150733163</v>
      </c>
      <c r="B3842" t="str">
        <f>"1552374453153853"</f>
        <v>1552374453153853</v>
      </c>
      <c r="C3842" t="s">
        <v>40</v>
      </c>
      <c r="D3842">
        <v>4.3916130000000004</v>
      </c>
      <c r="E3842">
        <v>0.48929129999999899</v>
      </c>
      <c r="F3842" t="s">
        <v>61</v>
      </c>
      <c r="G3842">
        <v>-471.01310000000001</v>
      </c>
      <c r="H3842" s="1">
        <v>5.8388940000000004E-6</v>
      </c>
      <c r="I3842">
        <v>280.88799999999998</v>
      </c>
      <c r="J3842">
        <v>-430.5129</v>
      </c>
      <c r="K3842">
        <v>1.11016</v>
      </c>
      <c r="L3842">
        <v>284.78590000000003</v>
      </c>
      <c r="M3842">
        <v>-0.99988679999999996</v>
      </c>
      <c r="N3842">
        <v>0</v>
      </c>
      <c r="O3842">
        <v>-4.9413690000000001E-3</v>
      </c>
      <c r="P3842">
        <v>-0.99765709999999996</v>
      </c>
      <c r="Q3842">
        <v>1.9039690000000001E-2</v>
      </c>
      <c r="R3842">
        <v>-6.5710690000000002E-2</v>
      </c>
      <c r="S3842">
        <v>-2.9898069999999999</v>
      </c>
      <c r="T3842">
        <v>-8.1363080000000004E-2</v>
      </c>
      <c r="U3842">
        <v>-0.28576659999999998</v>
      </c>
      <c r="V3842">
        <v>-6.0756890000000001E-2</v>
      </c>
      <c r="W3842">
        <v>3.3265000000000003E-2</v>
      </c>
      <c r="X3842">
        <v>0.99759810000000004</v>
      </c>
      <c r="Y3842">
        <v>-9.0194780000000002E-2</v>
      </c>
      <c r="Z3842">
        <v>-1.0900949999999999E-3</v>
      </c>
      <c r="AA3842">
        <v>0.99592349999999996</v>
      </c>
      <c r="AB3842">
        <v>29</v>
      </c>
      <c r="AC3842">
        <v>-40.5002</v>
      </c>
      <c r="AD3842">
        <v>-1.110154161106</v>
      </c>
      <c r="AE3842">
        <v>-3.8979000000000399</v>
      </c>
      <c r="AF3842">
        <v>-3.6949549689446402</v>
      </c>
      <c r="AG3842">
        <v>-1.110154161106</v>
      </c>
      <c r="AH3842">
        <v>40.488825588406897</v>
      </c>
      <c r="AI3842">
        <v>91.564090583114506</v>
      </c>
      <c r="AJ3842">
        <v>95.214291541315703</v>
      </c>
      <c r="AK3842">
        <v>40.672228018789198</v>
      </c>
      <c r="AL3842">
        <v>88.093704144689696</v>
      </c>
      <c r="AM3842">
        <v>93.485189959989597</v>
      </c>
      <c r="AN3842">
        <v>0.99999996451553996</v>
      </c>
    </row>
    <row r="3843" spans="1:40" x14ac:dyDescent="0.25">
      <c r="A3843" t="str">
        <f>"20190312150733187"</f>
        <v>20190312150733187</v>
      </c>
      <c r="B3843" t="str">
        <f>"1552374453184110"</f>
        <v>1552374453184110</v>
      </c>
      <c r="C3843" t="s">
        <v>40</v>
      </c>
      <c r="D3843">
        <v>4.4837999999999996</v>
      </c>
      <c r="E3843">
        <v>0.48947069999999998</v>
      </c>
      <c r="F3843" t="s">
        <v>61</v>
      </c>
      <c r="G3843">
        <v>-471.70659999999998</v>
      </c>
      <c r="H3843" s="1">
        <v>5.5252190000000004E-6</v>
      </c>
      <c r="I3843">
        <v>280.8177</v>
      </c>
      <c r="J3843">
        <v>-430.8073</v>
      </c>
      <c r="K3843">
        <v>1.1101570000000001</v>
      </c>
      <c r="L3843">
        <v>284.78489999999999</v>
      </c>
      <c r="M3843">
        <v>-0.99988849999999996</v>
      </c>
      <c r="N3843">
        <v>0</v>
      </c>
      <c r="O3843">
        <v>-4.5976400000000001E-3</v>
      </c>
      <c r="P3843">
        <v>-0.99760130000000002</v>
      </c>
      <c r="Q3843">
        <v>1.9680940000000001E-2</v>
      </c>
      <c r="R3843">
        <v>-6.6365820000000006E-2</v>
      </c>
      <c r="S3843">
        <v>-2.9896240000000001</v>
      </c>
      <c r="T3843">
        <v>-8.0569150000000006E-2</v>
      </c>
      <c r="U3843">
        <v>-0.28799439999999998</v>
      </c>
      <c r="V3843">
        <v>-6.175543E-2</v>
      </c>
      <c r="W3843">
        <v>3.3903129999999997E-2</v>
      </c>
      <c r="X3843">
        <v>0.99751529999999999</v>
      </c>
      <c r="Y3843">
        <v>-9.1278310000000001E-2</v>
      </c>
      <c r="Z3843">
        <v>-1.1032940000000001E-3</v>
      </c>
      <c r="AA3843">
        <v>0.99582479999999995</v>
      </c>
      <c r="AB3843">
        <v>29</v>
      </c>
      <c r="AC3843">
        <v>-40.899299999999897</v>
      </c>
      <c r="AD3843">
        <v>-1.110151474781</v>
      </c>
      <c r="AE3843">
        <v>-3.9671999999999898</v>
      </c>
      <c r="AF3843">
        <v>-3.7763424562739099</v>
      </c>
      <c r="AG3843">
        <v>-1.110151474781</v>
      </c>
      <c r="AH3843">
        <v>40.887265467928401</v>
      </c>
      <c r="AI3843">
        <v>91.548697282810906</v>
      </c>
      <c r="AJ3843">
        <v>95.276860153682193</v>
      </c>
      <c r="AK3843">
        <v>41.076290924192001</v>
      </c>
      <c r="AL3843">
        <v>88.057121350552706</v>
      </c>
      <c r="AM3843">
        <v>93.542617697718299</v>
      </c>
      <c r="AN3843">
        <v>0.99999996454618501</v>
      </c>
    </row>
    <row r="3844" spans="1:40" x14ac:dyDescent="0.25">
      <c r="A3844" t="str">
        <f>"20190312150733208"</f>
        <v>20190312150733208</v>
      </c>
      <c r="B3844" t="str">
        <f>"1552374453203629"</f>
        <v>1552374453203629</v>
      </c>
      <c r="C3844" t="s">
        <v>40</v>
      </c>
      <c r="D3844">
        <v>4.7298249999999999</v>
      </c>
      <c r="E3844">
        <v>0.489761</v>
      </c>
      <c r="F3844" t="s">
        <v>61</v>
      </c>
      <c r="G3844">
        <v>-473.0917</v>
      </c>
      <c r="H3844" s="1">
        <v>4.9009360000000001E-6</v>
      </c>
      <c r="I3844">
        <v>280.70280000000002</v>
      </c>
      <c r="J3844">
        <v>-431.09969999999998</v>
      </c>
      <c r="K3844">
        <v>1.1101570000000001</v>
      </c>
      <c r="L3844">
        <v>284.78390000000002</v>
      </c>
      <c r="M3844">
        <v>-0.9998901</v>
      </c>
      <c r="N3844">
        <v>0</v>
      </c>
      <c r="O3844">
        <v>-4.2588330000000001E-3</v>
      </c>
      <c r="P3844">
        <v>-0.99751299999999998</v>
      </c>
      <c r="Q3844">
        <v>1.983706E-2</v>
      </c>
      <c r="R3844">
        <v>-6.7637249999999996E-2</v>
      </c>
      <c r="S3844">
        <v>-2.9895320000000001</v>
      </c>
      <c r="T3844">
        <v>-7.8488349999999998E-2</v>
      </c>
      <c r="U3844">
        <v>-0.28860469999999999</v>
      </c>
      <c r="V3844">
        <v>-6.336464E-2</v>
      </c>
      <c r="W3844">
        <v>3.4055149999999999E-2</v>
      </c>
      <c r="X3844">
        <v>0.9974092</v>
      </c>
      <c r="Y3844">
        <v>-9.1821369999999999E-2</v>
      </c>
      <c r="Z3844">
        <v>-1.0908160000000001E-3</v>
      </c>
      <c r="AA3844">
        <v>0.99577490000000002</v>
      </c>
      <c r="AB3844">
        <v>29</v>
      </c>
      <c r="AC3844">
        <v>-41.991999999999997</v>
      </c>
      <c r="AD3844">
        <v>-1.1101520990639999</v>
      </c>
      <c r="AE3844">
        <v>-4.0810999999999904</v>
      </c>
      <c r="AF3844">
        <v>-3.8995080629288199</v>
      </c>
      <c r="AG3844">
        <v>-1.1101520990639999</v>
      </c>
      <c r="AH3844">
        <v>41.979935211024902</v>
      </c>
      <c r="AI3844">
        <v>91.508333544427998</v>
      </c>
      <c r="AJ3844">
        <v>95.306965096452004</v>
      </c>
      <c r="AK3844">
        <v>42.1752719153979</v>
      </c>
      <c r="AL3844">
        <v>88.048406226872999</v>
      </c>
      <c r="AM3844">
        <v>93.635071756032204</v>
      </c>
      <c r="AN3844">
        <v>0.99999997154424503</v>
      </c>
    </row>
    <row r="3845" spans="1:40" x14ac:dyDescent="0.25">
      <c r="A3845" t="str">
        <f>"20190312150733230"</f>
        <v>20190312150733230</v>
      </c>
      <c r="B3845" t="str">
        <f>"1552374453224129"</f>
        <v>1552374453224129</v>
      </c>
      <c r="C3845" t="s">
        <v>40</v>
      </c>
      <c r="D3845">
        <v>4.4767869999999998</v>
      </c>
      <c r="E3845">
        <v>0.4900293</v>
      </c>
      <c r="F3845" t="s">
        <v>61</v>
      </c>
      <c r="G3845">
        <v>-474.29270000000002</v>
      </c>
      <c r="H3845" s="1">
        <v>4.3584840000000003E-6</v>
      </c>
      <c r="I3845">
        <v>280.58999999999997</v>
      </c>
      <c r="J3845">
        <v>-431.39350000000002</v>
      </c>
      <c r="K3845">
        <v>1.110158</v>
      </c>
      <c r="L3845">
        <v>284.78309999999999</v>
      </c>
      <c r="M3845">
        <v>-0.99989150000000004</v>
      </c>
      <c r="N3845">
        <v>0</v>
      </c>
      <c r="O3845">
        <v>-3.9223060000000004E-3</v>
      </c>
      <c r="P3845">
        <v>-0.99746639999999998</v>
      </c>
      <c r="Q3845">
        <v>1.9781219999999999E-2</v>
      </c>
      <c r="R3845">
        <v>-6.8335259999999995E-2</v>
      </c>
      <c r="S3845">
        <v>-2.9893489999999998</v>
      </c>
      <c r="T3845">
        <v>-7.6832650000000002E-2</v>
      </c>
      <c r="U3845">
        <v>-0.29025269999999997</v>
      </c>
      <c r="V3845">
        <v>-6.4398689999999995E-2</v>
      </c>
      <c r="W3845">
        <v>3.3996060000000002E-2</v>
      </c>
      <c r="X3845">
        <v>0.99734500000000004</v>
      </c>
      <c r="Y3845">
        <v>-9.2707020000000001E-2</v>
      </c>
      <c r="Z3845">
        <v>-1.0878299999999999E-3</v>
      </c>
      <c r="AA3845">
        <v>0.99569280000000004</v>
      </c>
      <c r="AB3845">
        <v>29</v>
      </c>
      <c r="AC3845">
        <v>-42.8992</v>
      </c>
      <c r="AD3845">
        <v>-1.110153641516</v>
      </c>
      <c r="AE3845">
        <v>-4.19310000000001</v>
      </c>
      <c r="AF3845">
        <v>-4.0221189398766599</v>
      </c>
      <c r="AG3845">
        <v>-1.110153641516</v>
      </c>
      <c r="AH3845">
        <v>42.886869502159399</v>
      </c>
      <c r="AI3845">
        <v>91.476330780503702</v>
      </c>
      <c r="AJ3845">
        <v>95.357778330441306</v>
      </c>
      <c r="AK3845">
        <v>43.089365945318001</v>
      </c>
      <c r="AL3845">
        <v>88.051793824672302</v>
      </c>
      <c r="AM3845">
        <v>93.694466817615606</v>
      </c>
      <c r="AN3845">
        <v>0.99999998619711905</v>
      </c>
    </row>
    <row r="3846" spans="1:40" x14ac:dyDescent="0.25">
      <c r="A3846" t="str">
        <f>"20190312150733253"</f>
        <v>20190312150733253</v>
      </c>
      <c r="B3846" t="str">
        <f>"1552374453243646"</f>
        <v>1552374453243646</v>
      </c>
      <c r="C3846" t="s">
        <v>40</v>
      </c>
      <c r="D3846">
        <v>4.6831899999999997</v>
      </c>
      <c r="E3846">
        <v>0.49025370000000001</v>
      </c>
      <c r="F3846" t="s">
        <v>61</v>
      </c>
      <c r="G3846">
        <v>-474.59719999999999</v>
      </c>
      <c r="H3846" s="1">
        <v>4.2234710000000001E-6</v>
      </c>
      <c r="I3846">
        <v>280.59019999999998</v>
      </c>
      <c r="J3846">
        <v>-431.68400000000003</v>
      </c>
      <c r="K3846">
        <v>1.1101589999999999</v>
      </c>
      <c r="L3846">
        <v>284.78219999999999</v>
      </c>
      <c r="M3846">
        <v>-0.99989280000000003</v>
      </c>
      <c r="N3846">
        <v>0</v>
      </c>
      <c r="O3846">
        <v>-3.5921070000000002E-3</v>
      </c>
      <c r="P3846">
        <v>-0.99747909999999995</v>
      </c>
      <c r="Q3846">
        <v>2.0040769999999999E-2</v>
      </c>
      <c r="R3846">
        <v>-6.8073560000000005E-2</v>
      </c>
      <c r="S3846">
        <v>-2.9892270000000001</v>
      </c>
      <c r="T3846">
        <v>-7.6810600000000007E-2</v>
      </c>
      <c r="U3846">
        <v>-0.29010010000000003</v>
      </c>
      <c r="V3846">
        <v>-6.4466609999999994E-2</v>
      </c>
      <c r="W3846">
        <v>3.4252440000000002E-2</v>
      </c>
      <c r="X3846">
        <v>0.99733190000000005</v>
      </c>
      <c r="Y3846">
        <v>-9.2989199999999994E-2</v>
      </c>
      <c r="Z3846">
        <v>-1.099645E-3</v>
      </c>
      <c r="AA3846">
        <v>0.99566650000000001</v>
      </c>
      <c r="AB3846">
        <v>29</v>
      </c>
      <c r="AC3846">
        <v>-42.913199999999897</v>
      </c>
      <c r="AD3846">
        <v>-1.1101547765289901</v>
      </c>
      <c r="AE3846">
        <v>-4.1920000000000002</v>
      </c>
      <c r="AF3846">
        <v>-4.0351336434629603</v>
      </c>
      <c r="AG3846">
        <v>-1.1101547765289901</v>
      </c>
      <c r="AH3846">
        <v>42.899543777656497</v>
      </c>
      <c r="AI3846">
        <v>91.475858451739299</v>
      </c>
      <c r="AJ3846">
        <v>95.373434861654204</v>
      </c>
      <c r="AK3846">
        <v>43.103197137561899</v>
      </c>
      <c r="AL3846">
        <v>88.037095889942904</v>
      </c>
      <c r="AM3846">
        <v>93.698400932055094</v>
      </c>
      <c r="AN3846">
        <v>1.00000004610422</v>
      </c>
    </row>
    <row r="3847" spans="1:40" x14ac:dyDescent="0.25">
      <c r="A3847" t="str">
        <f>"20190312150733275"</f>
        <v>20190312150733275</v>
      </c>
      <c r="B3847" t="str">
        <f>"1552374453264142"</f>
        <v>1552374453264142</v>
      </c>
      <c r="C3847" t="s">
        <v>40</v>
      </c>
      <c r="D3847">
        <v>4.395022</v>
      </c>
      <c r="E3847">
        <v>0.4904713</v>
      </c>
      <c r="F3847" t="s">
        <v>61</v>
      </c>
      <c r="G3847">
        <v>-475.97789999999998</v>
      </c>
      <c r="H3847" s="1">
        <v>3.6049699999999998E-6</v>
      </c>
      <c r="I3847">
        <v>280.51920000000001</v>
      </c>
      <c r="J3847">
        <v>-431.97399999999999</v>
      </c>
      <c r="K3847">
        <v>1.110161</v>
      </c>
      <c r="L3847">
        <v>284.78160000000003</v>
      </c>
      <c r="M3847">
        <v>-0.99989399999999995</v>
      </c>
      <c r="N3847">
        <v>0</v>
      </c>
      <c r="O3847">
        <v>-3.2645320000000001E-3</v>
      </c>
      <c r="P3847">
        <v>-0.99753029999999998</v>
      </c>
      <c r="Q3847">
        <v>2.0467079999999999E-2</v>
      </c>
      <c r="R3847">
        <v>-6.7190390000000003E-2</v>
      </c>
      <c r="S3847">
        <v>-2.989471</v>
      </c>
      <c r="T3847">
        <v>-7.4926259999999995E-2</v>
      </c>
      <c r="U3847">
        <v>-0.28771970000000002</v>
      </c>
      <c r="V3847">
        <v>-6.3909259999999996E-2</v>
      </c>
      <c r="W3847">
        <v>3.4675150000000002E-2</v>
      </c>
      <c r="X3847">
        <v>0.99735309999999999</v>
      </c>
      <c r="Y3847">
        <v>-9.2523560000000005E-2</v>
      </c>
      <c r="Z3847">
        <v>-1.075E-3</v>
      </c>
      <c r="AA3847">
        <v>0.99570990000000004</v>
      </c>
      <c r="AB3847">
        <v>29</v>
      </c>
      <c r="AC3847">
        <v>-44.003899999999902</v>
      </c>
      <c r="AD3847">
        <v>-1.1101573950300001</v>
      </c>
      <c r="AE3847">
        <v>-4.2624000000000102</v>
      </c>
      <c r="AF3847">
        <v>-4.1161151955033501</v>
      </c>
      <c r="AG3847">
        <v>-1.1101573950300001</v>
      </c>
      <c r="AH3847">
        <v>43.989843091894002</v>
      </c>
      <c r="AI3847">
        <v>91.439363516692794</v>
      </c>
      <c r="AJ3847">
        <v>95.345582863537203</v>
      </c>
      <c r="AK3847">
        <v>44.195940413049698</v>
      </c>
      <c r="AL3847">
        <v>88.012861869879401</v>
      </c>
      <c r="AM3847">
        <v>93.666436057687406</v>
      </c>
      <c r="AN3847">
        <v>0.99999998281044</v>
      </c>
    </row>
    <row r="3848" spans="1:40" x14ac:dyDescent="0.25">
      <c r="A3848" t="str">
        <f>"20190312150733299"</f>
        <v>20190312150733299</v>
      </c>
      <c r="B3848" t="str">
        <f>"1552374453294250"</f>
        <v>1552374453294250</v>
      </c>
      <c r="C3848" t="s">
        <v>40</v>
      </c>
      <c r="D3848">
        <v>4.387486</v>
      </c>
      <c r="E3848">
        <v>0.4907821</v>
      </c>
      <c r="F3848" t="s">
        <v>61</v>
      </c>
      <c r="G3848">
        <v>-477.88409999999999</v>
      </c>
      <c r="H3848" s="1">
        <v>2.752042E-6</v>
      </c>
      <c r="I3848">
        <v>280.43189999999998</v>
      </c>
      <c r="J3848">
        <v>-432.27260000000001</v>
      </c>
      <c r="K3848">
        <v>1.1101650000000001</v>
      </c>
      <c r="L3848">
        <v>284.78100000000001</v>
      </c>
      <c r="M3848">
        <v>-0.99989499999999998</v>
      </c>
      <c r="N3848">
        <v>0</v>
      </c>
      <c r="O3848">
        <v>-2.9278989999999999E-3</v>
      </c>
      <c r="P3848">
        <v>-0.99757859999999998</v>
      </c>
      <c r="Q3848">
        <v>2.0717260000000001E-2</v>
      </c>
      <c r="R3848">
        <v>-6.6393270000000004E-2</v>
      </c>
      <c r="S3848">
        <v>-2.9897770000000001</v>
      </c>
      <c r="T3848">
        <v>-7.2296260000000001E-2</v>
      </c>
      <c r="U3848">
        <v>-0.28326420000000002</v>
      </c>
      <c r="V3848">
        <v>-6.3448350000000001E-2</v>
      </c>
      <c r="W3848">
        <v>3.4922000000000002E-2</v>
      </c>
      <c r="X3848">
        <v>0.99737390000000004</v>
      </c>
      <c r="Y3848">
        <v>-9.1380710000000004E-2</v>
      </c>
      <c r="Z3848">
        <v>-1.0315809999999999E-3</v>
      </c>
      <c r="AA3848">
        <v>0.99581549999999996</v>
      </c>
      <c r="AB3848">
        <v>29</v>
      </c>
      <c r="AC3848">
        <v>-45.6114999999999</v>
      </c>
      <c r="AD3848">
        <v>-1.110162247958</v>
      </c>
      <c r="AE3848">
        <v>-4.3491000000000204</v>
      </c>
      <c r="AF3848">
        <v>-4.2130486630727697</v>
      </c>
      <c r="AG3848">
        <v>-1.110162247958</v>
      </c>
      <c r="AH3848">
        <v>45.597270450439801</v>
      </c>
      <c r="AI3848">
        <v>91.388798425274004</v>
      </c>
      <c r="AJ3848">
        <v>95.278966729091195</v>
      </c>
      <c r="AK3848">
        <v>45.804948551272901</v>
      </c>
      <c r="AL3848">
        <v>87.998709805143704</v>
      </c>
      <c r="AM3848">
        <v>93.639989568026706</v>
      </c>
      <c r="AN3848">
        <v>0.99999996780146505</v>
      </c>
    </row>
    <row r="3849" spans="1:40" x14ac:dyDescent="0.25">
      <c r="A3849" t="str">
        <f>"20190312150733320"</f>
        <v>20190312150733320</v>
      </c>
      <c r="B3849" t="str">
        <f>"1552374453313770"</f>
        <v>1552374453313770</v>
      </c>
      <c r="C3849" t="s">
        <v>40</v>
      </c>
      <c r="D3849">
        <v>4.8044099999999998</v>
      </c>
      <c r="E3849">
        <v>0.4909385</v>
      </c>
      <c r="F3849" t="s">
        <v>61</v>
      </c>
      <c r="G3849">
        <v>-479.46050000000002</v>
      </c>
      <c r="H3849" s="1">
        <v>2.0491060000000002E-6</v>
      </c>
      <c r="I3849">
        <v>280.3879</v>
      </c>
      <c r="J3849">
        <v>-432.56560000000002</v>
      </c>
      <c r="K3849">
        <v>1.110168</v>
      </c>
      <c r="L3849">
        <v>284.78050000000002</v>
      </c>
      <c r="M3849">
        <v>-0.99989589999999995</v>
      </c>
      <c r="N3849">
        <v>0</v>
      </c>
      <c r="O3849">
        <v>-2.5961420000000001E-3</v>
      </c>
      <c r="P3849">
        <v>-0.99766339999999998</v>
      </c>
      <c r="Q3849">
        <v>2.024687E-2</v>
      </c>
      <c r="R3849">
        <v>-6.5253060000000002E-2</v>
      </c>
      <c r="S3849">
        <v>-2.990173</v>
      </c>
      <c r="T3849">
        <v>-7.0348140000000003E-2</v>
      </c>
      <c r="U3849">
        <v>-0.2783813</v>
      </c>
      <c r="V3849">
        <v>-6.2638959999999994E-2</v>
      </c>
      <c r="W3849">
        <v>3.4448779999999998E-2</v>
      </c>
      <c r="X3849">
        <v>0.99744149999999998</v>
      </c>
      <c r="Y3849">
        <v>-9.0088329999999994E-2</v>
      </c>
      <c r="Z3849">
        <v>-9.9635510000000002E-4</v>
      </c>
      <c r="AA3849">
        <v>0.99593330000000002</v>
      </c>
      <c r="AB3849">
        <v>29</v>
      </c>
      <c r="AC3849">
        <v>-46.8949</v>
      </c>
      <c r="AD3849">
        <v>-1.1101659508939901</v>
      </c>
      <c r="AE3849">
        <v>-4.3926000000000096</v>
      </c>
      <c r="AF3849">
        <v>-4.2684557278577602</v>
      </c>
      <c r="AG3849">
        <v>-1.1101659508939901</v>
      </c>
      <c r="AH3849">
        <v>46.880102199133198</v>
      </c>
      <c r="AI3849">
        <v>91.350979377346604</v>
      </c>
      <c r="AJ3849">
        <v>95.202463305055701</v>
      </c>
      <c r="AK3849">
        <v>47.087112514364101</v>
      </c>
      <c r="AL3849">
        <v>88.0258396080674</v>
      </c>
      <c r="AM3849">
        <v>93.593434953429707</v>
      </c>
      <c r="AN3849">
        <v>0.99999995183780799</v>
      </c>
    </row>
    <row r="3850" spans="1:40" x14ac:dyDescent="0.25">
      <c r="A3850" t="str">
        <f>"20190312150733343"</f>
        <v>20190312150733343</v>
      </c>
      <c r="B3850" t="str">
        <f>"1552374453334270"</f>
        <v>1552374453334270</v>
      </c>
      <c r="C3850" t="s">
        <v>40</v>
      </c>
      <c r="D3850">
        <v>4.3607670000000001</v>
      </c>
      <c r="E3850">
        <v>0.49107099999999998</v>
      </c>
      <c r="F3850" t="s">
        <v>61</v>
      </c>
      <c r="G3850">
        <v>-479.42739999999998</v>
      </c>
      <c r="H3850" s="1">
        <v>2.072974E-6</v>
      </c>
      <c r="I3850">
        <v>280.49290000000002</v>
      </c>
      <c r="J3850">
        <v>-432.85140000000001</v>
      </c>
      <c r="K3850">
        <v>1.110166</v>
      </c>
      <c r="L3850">
        <v>284.7801</v>
      </c>
      <c r="M3850">
        <v>-0.99989669999999997</v>
      </c>
      <c r="N3850">
        <v>0</v>
      </c>
      <c r="O3850">
        <v>-2.2676910000000001E-3</v>
      </c>
      <c r="P3850">
        <v>-0.99773290000000003</v>
      </c>
      <c r="Q3850">
        <v>1.9862210000000002E-2</v>
      </c>
      <c r="R3850">
        <v>-6.4298010000000003E-2</v>
      </c>
      <c r="S3850">
        <v>-2.9905400000000002</v>
      </c>
      <c r="T3850">
        <v>-7.0846560000000003E-2</v>
      </c>
      <c r="U3850">
        <v>-0.27362059999999999</v>
      </c>
      <c r="V3850">
        <v>-6.2011950000000003E-2</v>
      </c>
      <c r="W3850">
        <v>3.406182E-2</v>
      </c>
      <c r="X3850">
        <v>0.99749399999999999</v>
      </c>
      <c r="Y3850">
        <v>-8.8832010000000003E-2</v>
      </c>
      <c r="Z3850">
        <v>-9.9627909999999991E-4</v>
      </c>
      <c r="AA3850">
        <v>0.99604610000000005</v>
      </c>
      <c r="AB3850">
        <v>29</v>
      </c>
      <c r="AC3850">
        <v>-46.575999999999901</v>
      </c>
      <c r="AD3850">
        <v>-1.110163927026</v>
      </c>
      <c r="AE3850">
        <v>-4.2871999999999799</v>
      </c>
      <c r="AF3850">
        <v>-4.1792039638129399</v>
      </c>
      <c r="AG3850">
        <v>-1.110163927026</v>
      </c>
      <c r="AH3850">
        <v>46.559373573714801</v>
      </c>
      <c r="AI3850">
        <v>91.360437034068298</v>
      </c>
      <c r="AJ3850">
        <v>95.129165995172599</v>
      </c>
      <c r="AK3850">
        <v>46.759742057594302</v>
      </c>
      <c r="AL3850">
        <v>88.048023868015406</v>
      </c>
      <c r="AM3850">
        <v>93.5573710968565</v>
      </c>
      <c r="AN3850">
        <v>0.99999998478025698</v>
      </c>
    </row>
    <row r="3851" spans="1:40" x14ac:dyDescent="0.25">
      <c r="A3851" t="str">
        <f>"20190312150733365"</f>
        <v>20190312150733365</v>
      </c>
      <c r="B3851" t="str">
        <f>"1552374453353786"</f>
        <v>1552374453353786</v>
      </c>
      <c r="C3851" t="s">
        <v>40</v>
      </c>
      <c r="D3851">
        <v>4.3812350000000002</v>
      </c>
      <c r="E3851">
        <v>0.4911914</v>
      </c>
      <c r="F3851" t="s">
        <v>61</v>
      </c>
      <c r="G3851">
        <v>-478.81220000000002</v>
      </c>
      <c r="H3851" s="1">
        <v>2.3582320000000002E-6</v>
      </c>
      <c r="I3851">
        <v>280.6354</v>
      </c>
      <c r="J3851">
        <v>-433.1379</v>
      </c>
      <c r="K3851">
        <v>1.1101620000000001</v>
      </c>
      <c r="L3851">
        <v>284.77980000000002</v>
      </c>
      <c r="M3851">
        <v>-0.99989760000000005</v>
      </c>
      <c r="N3851">
        <v>0</v>
      </c>
      <c r="O3851">
        <v>-1.9280899999999999E-3</v>
      </c>
      <c r="P3851">
        <v>-0.99777720000000003</v>
      </c>
      <c r="Q3851">
        <v>1.9482139999999998E-2</v>
      </c>
      <c r="R3851">
        <v>-6.3730110000000006E-2</v>
      </c>
      <c r="S3851">
        <v>-2.9908450000000002</v>
      </c>
      <c r="T3851">
        <v>-7.2242500000000001E-2</v>
      </c>
      <c r="U3851">
        <v>-0.26971440000000002</v>
      </c>
      <c r="V3851">
        <v>-6.1783020000000001E-2</v>
      </c>
      <c r="W3851">
        <v>3.367962E-2</v>
      </c>
      <c r="X3851">
        <v>0.9975212</v>
      </c>
      <c r="Y3851">
        <v>-8.7870019999999993E-2</v>
      </c>
      <c r="Z3851">
        <v>-1.012453E-3</v>
      </c>
      <c r="AA3851">
        <v>0.9961314</v>
      </c>
      <c r="AB3851">
        <v>29</v>
      </c>
      <c r="AC3851">
        <v>-45.674300000000002</v>
      </c>
      <c r="AD3851">
        <v>-1.110159641768</v>
      </c>
      <c r="AE3851">
        <v>-4.1444000000000099</v>
      </c>
      <c r="AF3851">
        <v>-4.05394384084995</v>
      </c>
      <c r="AG3851">
        <v>-1.110159641768</v>
      </c>
      <c r="AH3851">
        <v>45.655454516744399</v>
      </c>
      <c r="AI3851">
        <v>91.387474869090497</v>
      </c>
      <c r="AJ3851">
        <v>95.074230402652006</v>
      </c>
      <c r="AK3851">
        <v>45.848527154375397</v>
      </c>
      <c r="AL3851">
        <v>88.069934919563593</v>
      </c>
      <c r="AM3851">
        <v>93.544175463182398</v>
      </c>
      <c r="AN3851">
        <v>1.00000000140655</v>
      </c>
    </row>
    <row r="3852" spans="1:40" x14ac:dyDescent="0.25">
      <c r="A3852" t="str">
        <f>"20190312150733378"</f>
        <v>20190312150733378</v>
      </c>
      <c r="B3852" t="str">
        <f>"1552374453374282"</f>
        <v>1552374453374282</v>
      </c>
      <c r="C3852" t="s">
        <v>40</v>
      </c>
      <c r="D3852">
        <v>4.3312140000000001</v>
      </c>
      <c r="E3852">
        <v>0.4913033</v>
      </c>
      <c r="F3852" t="s">
        <v>61</v>
      </c>
      <c r="G3852">
        <v>-478.23989999999998</v>
      </c>
      <c r="H3852" s="1">
        <v>2.6221740000000002E-6</v>
      </c>
      <c r="I3852">
        <v>280.75150000000002</v>
      </c>
      <c r="J3852">
        <v>-433.30990000000003</v>
      </c>
      <c r="K3852">
        <v>1.110155</v>
      </c>
      <c r="L3852">
        <v>284.77980000000002</v>
      </c>
      <c r="M3852">
        <v>-0.99989799999999995</v>
      </c>
      <c r="N3852">
        <v>0</v>
      </c>
      <c r="O3852">
        <v>-1.7140020000000001E-3</v>
      </c>
      <c r="P3852">
        <v>-0.99777329999999997</v>
      </c>
      <c r="Q3852">
        <v>1.9371659999999999E-2</v>
      </c>
      <c r="R3852">
        <v>-6.3824740000000005E-2</v>
      </c>
      <c r="S3852">
        <v>-2.9910580000000002</v>
      </c>
      <c r="T3852">
        <v>-7.3623179999999996E-2</v>
      </c>
      <c r="U3852">
        <v>-0.26715090000000002</v>
      </c>
      <c r="V3852">
        <v>-6.2090520000000003E-2</v>
      </c>
      <c r="W3852">
        <v>3.3568109999999998E-2</v>
      </c>
      <c r="X3852">
        <v>0.9975058</v>
      </c>
      <c r="Y3852">
        <v>-8.7229150000000005E-2</v>
      </c>
      <c r="Z3852">
        <v>-1.0291510000000001E-3</v>
      </c>
      <c r="AA3852">
        <v>0.99618770000000001</v>
      </c>
      <c r="AB3852">
        <v>29</v>
      </c>
      <c r="AC3852">
        <v>-44.9299999999999</v>
      </c>
      <c r="AD3852">
        <v>-1.1101523778260001</v>
      </c>
      <c r="AE3852">
        <v>-4.0282999999999998</v>
      </c>
      <c r="AF3852">
        <v>-3.9488846226809202</v>
      </c>
      <c r="AG3852">
        <v>-1.1101523778260001</v>
      </c>
      <c r="AH3852">
        <v>44.909640078288</v>
      </c>
      <c r="AI3852">
        <v>91.410605109851204</v>
      </c>
      <c r="AJ3852">
        <v>95.025068315638094</v>
      </c>
      <c r="AK3852">
        <v>45.096584128142197</v>
      </c>
      <c r="AL3852">
        <v>88.076327460473095</v>
      </c>
      <c r="AM3852">
        <v>93.561824712372299</v>
      </c>
      <c r="AN3852">
        <v>0.99999993585823899</v>
      </c>
    </row>
    <row r="3853" spans="1:40" x14ac:dyDescent="0.25">
      <c r="A3853" t="str">
        <f>"20190312150733389"</f>
        <v>20190312150733389</v>
      </c>
      <c r="B3853" t="str">
        <f>"1552374453384043"</f>
        <v>1552374453384043</v>
      </c>
      <c r="C3853" t="s">
        <v>40</v>
      </c>
      <c r="D3853">
        <v>4.338603</v>
      </c>
      <c r="E3853">
        <v>0.49134139999999998</v>
      </c>
      <c r="F3853" t="s">
        <v>61</v>
      </c>
      <c r="G3853">
        <v>-478.62959999999998</v>
      </c>
      <c r="H3853" s="1">
        <v>2.448389E-6</v>
      </c>
      <c r="I3853">
        <v>280.74029999999999</v>
      </c>
      <c r="J3853">
        <v>-433.46289999999999</v>
      </c>
      <c r="K3853">
        <v>1.1101430000000001</v>
      </c>
      <c r="L3853">
        <v>284.77969999999999</v>
      </c>
      <c r="M3853">
        <v>-0.99989830000000002</v>
      </c>
      <c r="N3853">
        <v>0</v>
      </c>
      <c r="O3853">
        <v>-1.5200630000000001E-3</v>
      </c>
      <c r="P3853">
        <v>-0.99777550000000004</v>
      </c>
      <c r="Q3853">
        <v>1.9244009999999999E-2</v>
      </c>
      <c r="R3853">
        <v>-6.3829360000000002E-2</v>
      </c>
      <c r="S3853">
        <v>-2.9910580000000002</v>
      </c>
      <c r="T3853">
        <v>-7.3269009999999996E-2</v>
      </c>
      <c r="U3853">
        <v>-0.26660159999999899</v>
      </c>
      <c r="V3853">
        <v>-6.2288179999999999E-2</v>
      </c>
      <c r="W3853">
        <v>3.344039E-2</v>
      </c>
      <c r="X3853">
        <v>0.99749790000000005</v>
      </c>
      <c r="Y3853">
        <v>-8.7241050000000001E-2</v>
      </c>
      <c r="Z3853">
        <v>-1.0290970000000001E-3</v>
      </c>
      <c r="AA3853">
        <v>0.99618669999999998</v>
      </c>
      <c r="AB3853">
        <v>29</v>
      </c>
      <c r="AC3853">
        <v>-45.166699999999899</v>
      </c>
      <c r="AD3853">
        <v>-1.1101405516109999</v>
      </c>
      <c r="AE3853">
        <v>-4.0393999999999997</v>
      </c>
      <c r="AF3853">
        <v>-3.96835388175717</v>
      </c>
      <c r="AG3853">
        <v>-1.1101405516109999</v>
      </c>
      <c r="AH3853">
        <v>45.145731788199001</v>
      </c>
      <c r="AI3853">
        <v>91.4032197965618</v>
      </c>
      <c r="AJ3853">
        <v>95.023443469150095</v>
      </c>
      <c r="AK3853">
        <v>45.333402070296799</v>
      </c>
      <c r="AL3853">
        <v>88.083649643436104</v>
      </c>
      <c r="AM3853">
        <v>93.573162380566799</v>
      </c>
      <c r="AN3853">
        <v>1.00000006877773</v>
      </c>
    </row>
    <row r="3854" spans="1:40" x14ac:dyDescent="0.25">
      <c r="A3854" t="str">
        <f>"20190312150733401"</f>
        <v>20190312150733401</v>
      </c>
      <c r="B3854" t="str">
        <f>"1552374453393802"</f>
        <v>1552374453393802</v>
      </c>
      <c r="C3854" t="s">
        <v>40</v>
      </c>
      <c r="D3854">
        <v>4.3249430000000002</v>
      </c>
      <c r="E3854">
        <v>0.49138349999999997</v>
      </c>
      <c r="F3854" t="s">
        <v>61</v>
      </c>
      <c r="G3854">
        <v>-478.3784</v>
      </c>
      <c r="H3854" s="1">
        <v>2.5634809999999998E-6</v>
      </c>
      <c r="I3854">
        <v>280.78269999999998</v>
      </c>
      <c r="J3854">
        <v>-433.61509999999998</v>
      </c>
      <c r="K3854">
        <v>1.1101350000000001</v>
      </c>
      <c r="L3854">
        <v>284.77960000000002</v>
      </c>
      <c r="M3854">
        <v>-0.99989870000000003</v>
      </c>
      <c r="N3854">
        <v>0</v>
      </c>
      <c r="O3854">
        <v>-1.3226550000000001E-3</v>
      </c>
      <c r="P3854">
        <v>-0.99776030000000004</v>
      </c>
      <c r="Q3854">
        <v>1.935804E-2</v>
      </c>
      <c r="R3854">
        <v>-6.4030829999999997E-2</v>
      </c>
      <c r="S3854">
        <v>-2.9910890000000001</v>
      </c>
      <c r="T3854">
        <v>-7.3928240000000006E-2</v>
      </c>
      <c r="U3854">
        <v>-0.26617429999999997</v>
      </c>
      <c r="V3854">
        <v>-6.2685580000000005E-2</v>
      </c>
      <c r="W3854">
        <v>3.3553810000000003E-2</v>
      </c>
      <c r="X3854">
        <v>0.9974691</v>
      </c>
      <c r="Y3854">
        <v>-8.7295120000000004E-2</v>
      </c>
      <c r="Z3854">
        <v>-1.043885E-3</v>
      </c>
      <c r="AA3854">
        <v>0.99618200000000001</v>
      </c>
      <c r="AB3854">
        <v>29</v>
      </c>
      <c r="AC3854">
        <v>-44.763300000000001</v>
      </c>
      <c r="AD3854">
        <v>-1.110132436519</v>
      </c>
      <c r="AE3854">
        <v>-3.9969000000000299</v>
      </c>
      <c r="AF3854">
        <v>-3.9352829305671402</v>
      </c>
      <c r="AG3854">
        <v>-1.110132436519</v>
      </c>
      <c r="AH3854">
        <v>44.741247756504201</v>
      </c>
      <c r="AI3854">
        <v>91.415883287648398</v>
      </c>
      <c r="AJ3854">
        <v>95.026599560852503</v>
      </c>
      <c r="AK3854">
        <v>44.9276985453197</v>
      </c>
      <c r="AL3854">
        <v>88.077147323006002</v>
      </c>
      <c r="AM3854">
        <v>93.596003163407303</v>
      </c>
      <c r="AN3854">
        <v>0.99999997278013097</v>
      </c>
    </row>
    <row r="3855" spans="1:40" x14ac:dyDescent="0.25">
      <c r="A3855" t="str">
        <f>"20190312150733412"</f>
        <v>20190312150733412</v>
      </c>
      <c r="B3855" t="str">
        <f>"1552374453403563"</f>
        <v>1552374453403563</v>
      </c>
      <c r="C3855" t="s">
        <v>40</v>
      </c>
      <c r="D3855">
        <v>4.3355519999999999</v>
      </c>
      <c r="E3855">
        <v>0.4914366</v>
      </c>
      <c r="F3855" t="s">
        <v>61</v>
      </c>
      <c r="G3855">
        <v>-478.56659999999999</v>
      </c>
      <c r="H3855" s="1">
        <v>2.4793889999999998E-6</v>
      </c>
      <c r="I3855">
        <v>280.77519999999998</v>
      </c>
      <c r="J3855">
        <v>-433.75779999999997</v>
      </c>
      <c r="K3855">
        <v>1.1101270000000001</v>
      </c>
      <c r="L3855">
        <v>284.77960000000002</v>
      </c>
      <c r="M3855">
        <v>-0.99989899999999998</v>
      </c>
      <c r="N3855">
        <v>0</v>
      </c>
      <c r="O3855">
        <v>-1.1280870000000001E-3</v>
      </c>
      <c r="P3855">
        <v>-0.99776770000000004</v>
      </c>
      <c r="Q3855">
        <v>1.935957E-2</v>
      </c>
      <c r="R3855">
        <v>-6.3912460000000004E-2</v>
      </c>
      <c r="S3855">
        <v>-2.9910580000000002</v>
      </c>
      <c r="T3855">
        <v>-7.3867799999999997E-2</v>
      </c>
      <c r="U3855">
        <v>-0.26644899999999999</v>
      </c>
      <c r="V3855">
        <v>-6.2761200000000003E-2</v>
      </c>
      <c r="W3855">
        <v>3.3555229999999998E-2</v>
      </c>
      <c r="X3855">
        <v>0.99746429999999997</v>
      </c>
      <c r="Y3855">
        <v>-8.7580519999999995E-2</v>
      </c>
      <c r="Z3855">
        <v>-1.0513499999999999E-3</v>
      </c>
      <c r="AA3855">
        <v>0.99615690000000001</v>
      </c>
      <c r="AB3855">
        <v>29</v>
      </c>
      <c r="AC3855">
        <v>-44.808799999999998</v>
      </c>
      <c r="AD3855">
        <v>-1.110124520611</v>
      </c>
      <c r="AE3855">
        <v>-4.0044000000000297</v>
      </c>
      <c r="AF3855">
        <v>-3.9514380330139902</v>
      </c>
      <c r="AG3855">
        <v>-1.110124520611</v>
      </c>
      <c r="AH3855">
        <v>44.786018028041397</v>
      </c>
      <c r="AI3855">
        <v>91.414424680520696</v>
      </c>
      <c r="AJ3855">
        <v>95.042109031085104</v>
      </c>
      <c r="AK3855">
        <v>44.973699534150597</v>
      </c>
      <c r="AL3855">
        <v>88.077065922831096</v>
      </c>
      <c r="AM3855">
        <v>93.600347035396894</v>
      </c>
      <c r="AN3855">
        <v>0.99999997573014099</v>
      </c>
    </row>
    <row r="3856" spans="1:40" x14ac:dyDescent="0.25">
      <c r="A3856" t="str">
        <f>"20190312150733425"</f>
        <v>20190312150733425</v>
      </c>
      <c r="B3856" t="str">
        <f>"1552374453414298"</f>
        <v>1552374453414298</v>
      </c>
      <c r="C3856" t="s">
        <v>40</v>
      </c>
      <c r="D3856">
        <v>4.3443490000000002</v>
      </c>
      <c r="E3856">
        <v>0.49147380000000002</v>
      </c>
      <c r="F3856" t="s">
        <v>61</v>
      </c>
      <c r="G3856">
        <v>-478.5951</v>
      </c>
      <c r="H3856" s="1">
        <v>2.4686890000000001E-6</v>
      </c>
      <c r="I3856">
        <v>280.79739999999998</v>
      </c>
      <c r="J3856">
        <v>-433.91430000000003</v>
      </c>
      <c r="K3856">
        <v>1.1101160000000001</v>
      </c>
      <c r="L3856">
        <v>284.77960000000002</v>
      </c>
      <c r="M3856">
        <v>-0.99989919999999999</v>
      </c>
      <c r="N3856">
        <v>0</v>
      </c>
      <c r="O3856">
        <v>-9.1024810000000004E-4</v>
      </c>
      <c r="P3856">
        <v>-0.99778880000000003</v>
      </c>
      <c r="Q3856">
        <v>1.9109629999999999E-2</v>
      </c>
      <c r="R3856">
        <v>-6.3659080000000007E-2</v>
      </c>
      <c r="S3856">
        <v>-2.9911189999999999</v>
      </c>
      <c r="T3856">
        <v>-7.4057100000000001E-2</v>
      </c>
      <c r="U3856">
        <v>-0.26565549999999999</v>
      </c>
      <c r="V3856">
        <v>-6.272461E-2</v>
      </c>
      <c r="W3856">
        <v>3.3305029999999999E-2</v>
      </c>
      <c r="X3856">
        <v>0.997475</v>
      </c>
      <c r="Y3856">
        <v>-8.7533379999999994E-2</v>
      </c>
      <c r="Z3856">
        <v>-1.0588349999999999E-3</v>
      </c>
      <c r="AA3856">
        <v>0.99616099999999996</v>
      </c>
      <c r="AB3856">
        <v>29</v>
      </c>
      <c r="AC3856">
        <v>-44.680799999999898</v>
      </c>
      <c r="AD3856">
        <v>-1.110113531311</v>
      </c>
      <c r="AE3856">
        <v>-3.9822000000000299</v>
      </c>
      <c r="AF3856">
        <v>-3.9391112217739401</v>
      </c>
      <c r="AG3856">
        <v>-1.110113531311</v>
      </c>
      <c r="AH3856">
        <v>44.657057297811598</v>
      </c>
      <c r="AI3856">
        <v>91.418496192724902</v>
      </c>
      <c r="AJ3856">
        <v>95.040901233363797</v>
      </c>
      <c r="AK3856">
        <v>44.844193779907997</v>
      </c>
      <c r="AL3856">
        <v>88.091409369119901</v>
      </c>
      <c r="AM3856">
        <v>93.598215039341895</v>
      </c>
      <c r="AN3856">
        <v>0.99999998867397599</v>
      </c>
    </row>
    <row r="3857" spans="1:40" x14ac:dyDescent="0.25">
      <c r="A3857" t="str">
        <f>"20190312150733437"</f>
        <v>20190312150733437</v>
      </c>
      <c r="B3857" t="str">
        <f>"1552374453433819"</f>
        <v>1552374453433819</v>
      </c>
      <c r="C3857" t="s">
        <v>40</v>
      </c>
      <c r="D3857">
        <v>4.3325940000000003</v>
      </c>
      <c r="E3857">
        <v>0.4915641</v>
      </c>
      <c r="F3857" t="s">
        <v>61</v>
      </c>
      <c r="G3857">
        <v>-478.1481</v>
      </c>
      <c r="H3857" s="1">
        <v>2.6728960000000002E-6</v>
      </c>
      <c r="I3857">
        <v>280.86610000000002</v>
      </c>
      <c r="J3857">
        <v>-434.0883</v>
      </c>
      <c r="K3857">
        <v>1.110101</v>
      </c>
      <c r="L3857">
        <v>284.77980000000002</v>
      </c>
      <c r="M3857">
        <v>-0.99989939999999999</v>
      </c>
      <c r="N3857">
        <v>0</v>
      </c>
      <c r="O3857">
        <v>-6.4763129999999996E-4</v>
      </c>
      <c r="P3857">
        <v>-0.9977992</v>
      </c>
      <c r="Q3857">
        <v>1.895691E-2</v>
      </c>
      <c r="R3857">
        <v>-6.3540289999999999E-2</v>
      </c>
      <c r="S3857">
        <v>-2.991241</v>
      </c>
      <c r="T3857">
        <v>-7.5069670000000005E-2</v>
      </c>
      <c r="U3857">
        <v>-0.26464840000000001</v>
      </c>
      <c r="V3857">
        <v>-6.2867149999999997E-2</v>
      </c>
      <c r="W3857">
        <v>3.3153479999999999E-2</v>
      </c>
      <c r="X3857">
        <v>0.99747110000000005</v>
      </c>
      <c r="Y3857">
        <v>-8.7457899999999894E-2</v>
      </c>
      <c r="Z3857">
        <v>-1.078912E-3</v>
      </c>
      <c r="AA3857">
        <v>0.99616769999999999</v>
      </c>
      <c r="AB3857">
        <v>29</v>
      </c>
      <c r="AC3857">
        <v>-44.059800000000003</v>
      </c>
      <c r="AD3857">
        <v>-1.1100983271039999</v>
      </c>
      <c r="AE3857">
        <v>-3.9137</v>
      </c>
      <c r="AF3857">
        <v>-3.8827163502521</v>
      </c>
      <c r="AG3857">
        <v>-1.1100983271039999</v>
      </c>
      <c r="AH3857">
        <v>44.034591259461898</v>
      </c>
      <c r="AI3857">
        <v>91.438524023349302</v>
      </c>
      <c r="AJ3857">
        <v>95.038979585928502</v>
      </c>
      <c r="AK3857">
        <v>44.219373943332002</v>
      </c>
      <c r="AL3857">
        <v>88.100097389793504</v>
      </c>
      <c r="AM3857">
        <v>93.606384394788293</v>
      </c>
      <c r="AN3857">
        <v>1.0000000135602201</v>
      </c>
    </row>
    <row r="3858" spans="1:40" x14ac:dyDescent="0.25">
      <c r="A3858" t="str">
        <f>"20190312150733454"</f>
        <v>20190312150733454</v>
      </c>
      <c r="B3858" t="str">
        <f>"1552374453443579"</f>
        <v>1552374453443579</v>
      </c>
      <c r="C3858" t="s">
        <v>40</v>
      </c>
      <c r="D3858">
        <v>4.3199239999999897</v>
      </c>
      <c r="E3858">
        <v>0.49159350000000002</v>
      </c>
      <c r="F3858" t="s">
        <v>61</v>
      </c>
      <c r="G3858">
        <v>-477.86750000000001</v>
      </c>
      <c r="H3858" s="1">
        <v>2.8022250000000001E-6</v>
      </c>
      <c r="I3858">
        <v>280.92169999999999</v>
      </c>
      <c r="J3858">
        <v>-434.30020000000002</v>
      </c>
      <c r="K3858">
        <v>1.1100859999999999</v>
      </c>
      <c r="L3858">
        <v>284.77999999999997</v>
      </c>
      <c r="M3858">
        <v>-0.99989939999999999</v>
      </c>
      <c r="N3858">
        <v>0</v>
      </c>
      <c r="O3858">
        <v>-3.1318029999999997E-4</v>
      </c>
      <c r="P3858">
        <v>-0.99781529999999996</v>
      </c>
      <c r="Q3858">
        <v>1.8978419999999999E-2</v>
      </c>
      <c r="R3858">
        <v>-6.3281299999999999E-2</v>
      </c>
      <c r="S3858">
        <v>-2.9912719999999999</v>
      </c>
      <c r="T3858">
        <v>-7.5849059999999996E-2</v>
      </c>
      <c r="U3858">
        <v>-0.26361079999999998</v>
      </c>
      <c r="V3858">
        <v>-6.2939869999999995E-2</v>
      </c>
      <c r="W3858">
        <v>3.3175879999999998E-2</v>
      </c>
      <c r="X3858">
        <v>0.99746570000000001</v>
      </c>
      <c r="Y3858">
        <v>-8.7446640000000006E-2</v>
      </c>
      <c r="Z3858">
        <v>-1.0984370000000001E-3</v>
      </c>
      <c r="AA3858">
        <v>0.99616859999999996</v>
      </c>
      <c r="AB3858">
        <v>29</v>
      </c>
      <c r="AC3858">
        <v>-43.567299999999904</v>
      </c>
      <c r="AD3858">
        <v>-1.1100831977750001</v>
      </c>
      <c r="AE3858">
        <v>-3.8582999999999799</v>
      </c>
      <c r="AF3858">
        <v>-3.8421790221835201</v>
      </c>
      <c r="AG3858">
        <v>-1.1100831977750001</v>
      </c>
      <c r="AH3858">
        <v>43.540459098050697</v>
      </c>
      <c r="AI3858">
        <v>91.454813890503203</v>
      </c>
      <c r="AJ3858">
        <v>95.0429391698313</v>
      </c>
      <c r="AK3858">
        <v>43.723748727819697</v>
      </c>
      <c r="AL3858">
        <v>88.098813126534694</v>
      </c>
      <c r="AM3858">
        <v>93.610564455821304</v>
      </c>
      <c r="AN3858">
        <v>0.99999994446293905</v>
      </c>
    </row>
    <row r="3859" spans="1:40" x14ac:dyDescent="0.25">
      <c r="A3859" t="str">
        <f>"20190312150733470"</f>
        <v>20190312150733470</v>
      </c>
      <c r="B3859" t="str">
        <f>"1552374453464074"</f>
        <v>1552374453464074</v>
      </c>
      <c r="C3859" t="s">
        <v>40</v>
      </c>
      <c r="D3859">
        <v>4.3395479999999997</v>
      </c>
      <c r="E3859">
        <v>0.49165589999999998</v>
      </c>
      <c r="F3859" t="s">
        <v>61</v>
      </c>
      <c r="G3859">
        <v>-477.91739999999999</v>
      </c>
      <c r="H3859" s="1">
        <v>2.782691E-6</v>
      </c>
      <c r="I3859">
        <v>280.95139999999998</v>
      </c>
      <c r="J3859">
        <v>-434.50409999999999</v>
      </c>
      <c r="K3859">
        <v>1.1100669999999999</v>
      </c>
      <c r="L3859">
        <v>284.78030000000001</v>
      </c>
      <c r="M3859">
        <v>-0.9998996</v>
      </c>
      <c r="N3859">
        <v>0</v>
      </c>
      <c r="O3859" s="1">
        <v>2.5742470000000001E-5</v>
      </c>
      <c r="P3859">
        <v>-0.99785389999999996</v>
      </c>
      <c r="Q3859">
        <v>1.8939419999999998E-2</v>
      </c>
      <c r="R3859">
        <v>-6.2680910000000006E-2</v>
      </c>
      <c r="S3859">
        <v>-2.9913639999999999</v>
      </c>
      <c r="T3859">
        <v>-7.6131939999999995E-2</v>
      </c>
      <c r="U3859">
        <v>-0.26257320000000001</v>
      </c>
      <c r="V3859">
        <v>-6.2676460000000003E-2</v>
      </c>
      <c r="W3859">
        <v>3.3138239999999999E-2</v>
      </c>
      <c r="X3859">
        <v>0.99748360000000003</v>
      </c>
      <c r="Y3859">
        <v>-8.7438429999999998E-2</v>
      </c>
      <c r="Z3859">
        <v>-1.1110200000000001E-3</v>
      </c>
      <c r="AA3859">
        <v>0.99616930000000004</v>
      </c>
      <c r="AB3859">
        <v>29</v>
      </c>
      <c r="AC3859">
        <v>-43.4132999999999</v>
      </c>
      <c r="AD3859">
        <v>-1.1100642173089901</v>
      </c>
      <c r="AE3859">
        <v>-3.8289000000000302</v>
      </c>
      <c r="AF3859">
        <v>-3.8275345172011299</v>
      </c>
      <c r="AG3859">
        <v>-1.1100642173089901</v>
      </c>
      <c r="AH3859">
        <v>43.385054831248702</v>
      </c>
      <c r="AI3859">
        <v>91.460000537681594</v>
      </c>
      <c r="AJ3859">
        <v>95.041719118667899</v>
      </c>
      <c r="AK3859">
        <v>43.567708750373498</v>
      </c>
      <c r="AL3859">
        <v>88.100971044921906</v>
      </c>
      <c r="AM3859">
        <v>93.595429231686197</v>
      </c>
      <c r="AN3859">
        <v>1.0000000069286901</v>
      </c>
    </row>
    <row r="3860" spans="1:40" x14ac:dyDescent="0.25">
      <c r="A3860" t="str">
        <f>"20190312150733488"</f>
        <v>20190312150733488</v>
      </c>
      <c r="B3860" t="str">
        <f>"1552374453484103"</f>
        <v>1552374453484103</v>
      </c>
      <c r="C3860" t="s">
        <v>40</v>
      </c>
      <c r="D3860">
        <v>4.3167879999999998</v>
      </c>
      <c r="E3860">
        <v>0.4916818</v>
      </c>
      <c r="F3860" t="s">
        <v>61</v>
      </c>
      <c r="G3860">
        <v>-477.86700000000002</v>
      </c>
      <c r="H3860" s="1">
        <v>2.8098889999999999E-6</v>
      </c>
      <c r="I3860">
        <v>281.00700000000001</v>
      </c>
      <c r="J3860">
        <v>-434.73719999999997</v>
      </c>
      <c r="K3860">
        <v>1.1100490000000001</v>
      </c>
      <c r="L3860">
        <v>284.78070000000002</v>
      </c>
      <c r="M3860">
        <v>-0.9998996</v>
      </c>
      <c r="N3860">
        <v>0</v>
      </c>
      <c r="O3860">
        <v>4.3366450000000001E-4</v>
      </c>
      <c r="P3860">
        <v>-0.99789070000000002</v>
      </c>
      <c r="Q3860">
        <v>1.9136830000000001E-2</v>
      </c>
      <c r="R3860">
        <v>-6.2033909999999998E-2</v>
      </c>
      <c r="S3860">
        <v>-2.9915470000000002</v>
      </c>
      <c r="T3860">
        <v>-7.6581839999999998E-2</v>
      </c>
      <c r="U3860">
        <v>-0.26031490000000002</v>
      </c>
      <c r="V3860">
        <v>-6.2434429999999999E-2</v>
      </c>
      <c r="W3860">
        <v>3.3336009999999999E-2</v>
      </c>
      <c r="X3860">
        <v>0.99749219999999905</v>
      </c>
      <c r="Y3860">
        <v>-8.7092849999999999E-2</v>
      </c>
      <c r="Z3860">
        <v>-1.1235590000000001E-3</v>
      </c>
      <c r="AA3860">
        <v>0.99619950000000002</v>
      </c>
      <c r="AB3860">
        <v>29</v>
      </c>
      <c r="AC3860">
        <v>-43.129799999999904</v>
      </c>
      <c r="AD3860">
        <v>-1.1100461901109999</v>
      </c>
      <c r="AE3860">
        <v>-3.77370000000001</v>
      </c>
      <c r="AF3860">
        <v>-3.7899139789187402</v>
      </c>
      <c r="AG3860">
        <v>-1.1100461901109999</v>
      </c>
      <c r="AH3860">
        <v>43.099826387282597</v>
      </c>
      <c r="AI3860">
        <v>91.469671639397205</v>
      </c>
      <c r="AJ3860">
        <v>95.025286595302305</v>
      </c>
      <c r="AK3860">
        <v>43.280372978125797</v>
      </c>
      <c r="AL3860">
        <v>88.089633416350395</v>
      </c>
      <c r="AM3860">
        <v>93.581550614687998</v>
      </c>
      <c r="AN3860">
        <v>1.0000000183364901</v>
      </c>
    </row>
    <row r="3861" spans="1:40" x14ac:dyDescent="0.25">
      <c r="A3861" t="str">
        <f>"20190312150733505"</f>
        <v>20190312150733505</v>
      </c>
      <c r="B3861" t="str">
        <f>"1552374453493863"</f>
        <v>1552374453493863</v>
      </c>
      <c r="C3861" t="s">
        <v>40</v>
      </c>
      <c r="D3861">
        <v>4.3339930000000004</v>
      </c>
      <c r="E3861">
        <v>0.49170469999999999</v>
      </c>
      <c r="F3861" t="s">
        <v>61</v>
      </c>
      <c r="G3861">
        <v>-478.30079999999998</v>
      </c>
      <c r="H3861" s="1">
        <v>2.6186400000000001E-6</v>
      </c>
      <c r="I3861">
        <v>281.02</v>
      </c>
      <c r="J3861">
        <v>-434.95769999999999</v>
      </c>
      <c r="K3861">
        <v>1.110031</v>
      </c>
      <c r="L3861">
        <v>284.78129999999999</v>
      </c>
      <c r="M3861">
        <v>-0.99989939999999999</v>
      </c>
      <c r="N3861">
        <v>0</v>
      </c>
      <c r="O3861">
        <v>8.3759539999999895E-4</v>
      </c>
      <c r="P3861">
        <v>-0.99794470000000002</v>
      </c>
      <c r="Q3861">
        <v>1.9174650000000001E-2</v>
      </c>
      <c r="R3861">
        <v>-6.1150919999999998E-2</v>
      </c>
      <c r="S3861">
        <v>-2.99173</v>
      </c>
      <c r="T3861">
        <v>-7.6232309999999998E-2</v>
      </c>
      <c r="U3861">
        <v>-0.25827030000000001</v>
      </c>
      <c r="V3861">
        <v>-6.1953000000000001E-2</v>
      </c>
      <c r="W3861">
        <v>3.3375099999999998E-2</v>
      </c>
      <c r="X3861">
        <v>0.99752090000000004</v>
      </c>
      <c r="Y3861">
        <v>-8.6814489999999994E-2</v>
      </c>
      <c r="Z3861">
        <v>-1.1251309999999999E-3</v>
      </c>
      <c r="AA3861">
        <v>0.99622390000000005</v>
      </c>
      <c r="AB3861">
        <v>29</v>
      </c>
      <c r="AC3861">
        <v>-43.3430999999999</v>
      </c>
      <c r="AD3861">
        <v>-1.11002838136</v>
      </c>
      <c r="AE3861">
        <v>-3.7612999999999999</v>
      </c>
      <c r="AF3861">
        <v>-3.79513573085663</v>
      </c>
      <c r="AG3861">
        <v>-1.11002838136</v>
      </c>
      <c r="AH3861">
        <v>43.311738805266799</v>
      </c>
      <c r="AI3861">
        <v>91.462500051158798</v>
      </c>
      <c r="AJ3861">
        <v>95.007679370723594</v>
      </c>
      <c r="AK3861">
        <v>43.491860578258802</v>
      </c>
      <c r="AL3861">
        <v>88.087392459002899</v>
      </c>
      <c r="AM3861">
        <v>93.553902454512297</v>
      </c>
      <c r="AN3861">
        <v>1.0000000087229099</v>
      </c>
    </row>
    <row r="3862" spans="1:40" x14ac:dyDescent="0.25">
      <c r="A3862" t="str">
        <f>"20190312150733521"</f>
        <v>20190312150733521</v>
      </c>
      <c r="B3862" t="str">
        <f>"1552374453514359"</f>
        <v>1552374453514359</v>
      </c>
      <c r="C3862" t="s">
        <v>40</v>
      </c>
      <c r="D3862">
        <v>4.3401249999999996</v>
      </c>
      <c r="E3862">
        <v>0.49176429999999999</v>
      </c>
      <c r="F3862" t="s">
        <v>61</v>
      </c>
      <c r="G3862">
        <v>-478.47789999999998</v>
      </c>
      <c r="H3862" s="1">
        <v>2.5443200000000001E-6</v>
      </c>
      <c r="I3862">
        <v>281.06810000000002</v>
      </c>
      <c r="J3862">
        <v>-435.16719999999998</v>
      </c>
      <c r="K3862">
        <v>1.1100209999999999</v>
      </c>
      <c r="L3862">
        <v>284.78179999999998</v>
      </c>
      <c r="M3862">
        <v>-0.99989899999999998</v>
      </c>
      <c r="N3862">
        <v>0</v>
      </c>
      <c r="O3862">
        <v>1.2369760000000001E-3</v>
      </c>
      <c r="P3862">
        <v>-0.99801779999999995</v>
      </c>
      <c r="Q3862">
        <v>1.891058E-2</v>
      </c>
      <c r="R3862">
        <v>-6.002685E-2</v>
      </c>
      <c r="S3862">
        <v>-2.992035</v>
      </c>
      <c r="T3862">
        <v>-7.6315049999999995E-2</v>
      </c>
      <c r="U3862">
        <v>-0.25527949999999999</v>
      </c>
      <c r="V3862">
        <v>-6.1226709999999997E-2</v>
      </c>
      <c r="W3862">
        <v>3.3111069999999999E-2</v>
      </c>
      <c r="X3862">
        <v>0.99757450000000003</v>
      </c>
      <c r="Y3862">
        <v>-8.6215159999999999E-2</v>
      </c>
      <c r="Z3862">
        <v>-1.128825E-3</v>
      </c>
      <c r="AA3862">
        <v>0.99627589999999999</v>
      </c>
      <c r="AB3862">
        <v>29</v>
      </c>
      <c r="AC3862">
        <v>-43.310699999999997</v>
      </c>
      <c r="AD3862">
        <v>-1.1100184556799999</v>
      </c>
      <c r="AE3862">
        <v>-3.7136999999999598</v>
      </c>
      <c r="AF3862">
        <v>-3.7648219295097198</v>
      </c>
      <c r="AG3862">
        <v>-1.1100184556799999</v>
      </c>
      <c r="AH3862">
        <v>43.277852814998802</v>
      </c>
      <c r="AI3862">
        <v>91.463711686452697</v>
      </c>
      <c r="AJ3862">
        <v>94.971751595602498</v>
      </c>
      <c r="AK3862">
        <v>43.4554780138197</v>
      </c>
      <c r="AL3862">
        <v>88.102528552127197</v>
      </c>
      <c r="AM3862">
        <v>93.512155865817107</v>
      </c>
      <c r="AN3862">
        <v>0.999999968012109</v>
      </c>
    </row>
    <row r="3863" spans="1:40" x14ac:dyDescent="0.25">
      <c r="A3863" t="str">
        <f>"20190312150733544"</f>
        <v>20190312150733544</v>
      </c>
      <c r="B3863" t="str">
        <f>"1552374453533880"</f>
        <v>1552374453533880</v>
      </c>
      <c r="C3863" t="s">
        <v>40</v>
      </c>
      <c r="D3863">
        <v>4.3294969999999999</v>
      </c>
      <c r="E3863">
        <v>0.49185430000000002</v>
      </c>
      <c r="F3863" t="s">
        <v>61</v>
      </c>
      <c r="G3863">
        <v>-477.6893</v>
      </c>
      <c r="H3863" s="1">
        <v>2.905971E-6</v>
      </c>
      <c r="I3863">
        <v>281.2045</v>
      </c>
      <c r="J3863">
        <v>-435.4563</v>
      </c>
      <c r="K3863">
        <v>1.1100080000000001</v>
      </c>
      <c r="L3863">
        <v>284.78280000000001</v>
      </c>
      <c r="M3863">
        <v>-0.99989810000000001</v>
      </c>
      <c r="N3863">
        <v>0</v>
      </c>
      <c r="O3863">
        <v>1.8004479999999901E-3</v>
      </c>
      <c r="P3863">
        <v>-0.99808149999999995</v>
      </c>
      <c r="Q3863">
        <v>1.8733110000000001E-2</v>
      </c>
      <c r="R3863">
        <v>-5.9014509999999999E-2</v>
      </c>
      <c r="S3863">
        <v>-2.9923099999999998</v>
      </c>
      <c r="T3863">
        <v>-7.8112840000000003E-2</v>
      </c>
      <c r="U3863">
        <v>-0.2517395</v>
      </c>
      <c r="V3863">
        <v>-6.0775639999999999E-2</v>
      </c>
      <c r="W3863">
        <v>3.2932830000000003E-2</v>
      </c>
      <c r="X3863">
        <v>0.99760800000000005</v>
      </c>
      <c r="Y3863">
        <v>-8.5597259999999994E-2</v>
      </c>
      <c r="Z3863">
        <v>-1.161994E-3</v>
      </c>
      <c r="AA3863">
        <v>0.99632909999999997</v>
      </c>
      <c r="AB3863">
        <v>29</v>
      </c>
      <c r="AC3863">
        <v>-42.232999999999997</v>
      </c>
      <c r="AD3863">
        <v>-1.1100050940289901</v>
      </c>
      <c r="AE3863">
        <v>-3.5783000000000098</v>
      </c>
      <c r="AF3863">
        <v>-3.6518354740980601</v>
      </c>
      <c r="AG3863">
        <v>-1.1100050940289901</v>
      </c>
      <c r="AH3863">
        <v>42.197546466795302</v>
      </c>
      <c r="AI3863">
        <v>91.501207625468098</v>
      </c>
      <c r="AJ3863">
        <v>94.946134635869299</v>
      </c>
      <c r="AK3863">
        <v>42.369811675956299</v>
      </c>
      <c r="AL3863">
        <v>88.112746558186103</v>
      </c>
      <c r="AM3863">
        <v>93.486228350158399</v>
      </c>
      <c r="AN3863">
        <v>0.99999998568660897</v>
      </c>
    </row>
    <row r="3864" spans="1:40" x14ac:dyDescent="0.25">
      <c r="A3864" t="str">
        <f>"20190312150733567"</f>
        <v>20190312150733567</v>
      </c>
      <c r="B3864" t="str">
        <f>"1552374453554375"</f>
        <v>1552374453554375</v>
      </c>
      <c r="C3864" t="s">
        <v>40</v>
      </c>
      <c r="D3864">
        <v>4.3262269999999896</v>
      </c>
      <c r="E3864">
        <v>0.49183860000000001</v>
      </c>
      <c r="F3864" t="s">
        <v>61</v>
      </c>
      <c r="G3864">
        <v>-477.31740000000002</v>
      </c>
      <c r="H3864" s="1">
        <v>3.080479E-6</v>
      </c>
      <c r="I3864">
        <v>281.3143</v>
      </c>
      <c r="J3864">
        <v>-435.73899999999998</v>
      </c>
      <c r="K3864">
        <v>1.1100000000000001</v>
      </c>
      <c r="L3864">
        <v>284.78390000000002</v>
      </c>
      <c r="M3864">
        <v>-0.99989700000000004</v>
      </c>
      <c r="N3864">
        <v>0</v>
      </c>
      <c r="O3864">
        <v>2.3632169999999999E-3</v>
      </c>
      <c r="P3864">
        <v>-0.99811749999999999</v>
      </c>
      <c r="Q3864">
        <v>1.8944619999999999E-2</v>
      </c>
      <c r="R3864">
        <v>-5.8334190000000001E-2</v>
      </c>
      <c r="S3864">
        <v>-2.9925839999999999</v>
      </c>
      <c r="T3864">
        <v>-7.9352499999999895E-2</v>
      </c>
      <c r="U3864">
        <v>-0.24795529999999999</v>
      </c>
      <c r="V3864">
        <v>-6.0656290000000002E-2</v>
      </c>
      <c r="W3864">
        <v>3.3142049999999999E-2</v>
      </c>
      <c r="X3864">
        <v>0.99760839999999995</v>
      </c>
      <c r="Y3864">
        <v>-8.4898329999999994E-2</v>
      </c>
      <c r="Z3864">
        <v>-1.18603E-3</v>
      </c>
      <c r="AA3864">
        <v>0.99638890000000002</v>
      </c>
      <c r="AB3864">
        <v>29</v>
      </c>
      <c r="AC3864">
        <v>-41.578399999999903</v>
      </c>
      <c r="AD3864">
        <v>-1.109996919521</v>
      </c>
      <c r="AE3864">
        <v>-3.46960000000001</v>
      </c>
      <c r="AF3864">
        <v>-3.5653354884903199</v>
      </c>
      <c r="AG3864">
        <v>-1.109996919521</v>
      </c>
      <c r="AH3864">
        <v>41.540682239388602</v>
      </c>
      <c r="AI3864">
        <v>91.525016289284395</v>
      </c>
      <c r="AJ3864">
        <v>94.905535320076496</v>
      </c>
      <c r="AK3864">
        <v>41.708176551135502</v>
      </c>
      <c r="AL3864">
        <v>88.1007527105713</v>
      </c>
      <c r="AM3864">
        <v>93.479397607683595</v>
      </c>
      <c r="AN3864">
        <v>1.00000005037266</v>
      </c>
    </row>
    <row r="3865" spans="1:40" x14ac:dyDescent="0.25">
      <c r="A3865" t="str">
        <f>"20190312150733581"</f>
        <v>20190312150733581</v>
      </c>
      <c r="B3865" t="str">
        <f>"1552374453574403"</f>
        <v>1552374453574403</v>
      </c>
      <c r="C3865" t="s">
        <v>40</v>
      </c>
      <c r="D3865">
        <v>4.3523550000000002</v>
      </c>
      <c r="E3865">
        <v>0.49183490000000002</v>
      </c>
      <c r="F3865" t="s">
        <v>61</v>
      </c>
      <c r="G3865">
        <v>-477.65440000000001</v>
      </c>
      <c r="H3865" s="1">
        <v>2.9330480000000002E-6</v>
      </c>
      <c r="I3865">
        <v>281.3372</v>
      </c>
      <c r="J3865">
        <v>-435.93920000000003</v>
      </c>
      <c r="K3865">
        <v>1.1100000000000001</v>
      </c>
      <c r="L3865">
        <v>284.78480000000002</v>
      </c>
      <c r="M3865">
        <v>-0.99989600000000001</v>
      </c>
      <c r="N3865">
        <v>0</v>
      </c>
      <c r="O3865">
        <v>2.7636169999999999E-3</v>
      </c>
      <c r="P3865">
        <v>-0.9981217</v>
      </c>
      <c r="Q3865">
        <v>1.8981499999999998E-2</v>
      </c>
      <c r="R3865">
        <v>-5.8249570000000001E-2</v>
      </c>
      <c r="S3865">
        <v>-2.9927670000000002</v>
      </c>
      <c r="T3865">
        <v>-7.9254149999999995E-2</v>
      </c>
      <c r="U3865">
        <v>-0.2460938</v>
      </c>
      <c r="V3865">
        <v>-6.0971610000000002E-2</v>
      </c>
      <c r="W3865">
        <v>3.3177310000000002E-2</v>
      </c>
      <c r="X3865">
        <v>0.99758800000000003</v>
      </c>
      <c r="Y3865">
        <v>-8.467674E-2</v>
      </c>
      <c r="Z3865">
        <v>-1.192175E-3</v>
      </c>
      <c r="AA3865">
        <v>0.99640770000000001</v>
      </c>
      <c r="AB3865">
        <v>29</v>
      </c>
      <c r="AC3865">
        <v>-41.715199999999903</v>
      </c>
      <c r="AD3865">
        <v>-1.1099970669520001</v>
      </c>
      <c r="AE3865">
        <v>-3.44760000000002</v>
      </c>
      <c r="AF3865">
        <v>-3.5603794449130701</v>
      </c>
      <c r="AG3865">
        <v>-1.1099970669520001</v>
      </c>
      <c r="AH3865">
        <v>41.676203821112701</v>
      </c>
      <c r="AI3865">
        <v>91.520111218462503</v>
      </c>
      <c r="AJ3865">
        <v>94.882897037768203</v>
      </c>
      <c r="AK3865">
        <v>41.842733660927699</v>
      </c>
      <c r="AL3865">
        <v>88.098731338579299</v>
      </c>
      <c r="AM3865">
        <v>93.497511718374497</v>
      </c>
      <c r="AN3865">
        <v>1.0000000444344099</v>
      </c>
    </row>
    <row r="3866" spans="1:40" x14ac:dyDescent="0.25">
      <c r="A3866" t="str">
        <f>"20190312150733594"</f>
        <v>20190312150733594</v>
      </c>
      <c r="B3866" t="str">
        <f>"1552374453584163"</f>
        <v>1552374453584163</v>
      </c>
      <c r="C3866" t="s">
        <v>40</v>
      </c>
      <c r="D3866">
        <v>4.3847559999999897</v>
      </c>
      <c r="E3866">
        <v>0.49184410000000001</v>
      </c>
      <c r="F3866" t="s">
        <v>61</v>
      </c>
      <c r="G3866">
        <v>-477.64510000000001</v>
      </c>
      <c r="H3866" s="1">
        <v>2.9392650000000001E-6</v>
      </c>
      <c r="I3866">
        <v>281.36130000000003</v>
      </c>
      <c r="J3866">
        <v>-436.1087</v>
      </c>
      <c r="K3866">
        <v>1.109996</v>
      </c>
      <c r="L3866">
        <v>284.78559999999999</v>
      </c>
      <c r="M3866">
        <v>-0.99989499999999998</v>
      </c>
      <c r="N3866">
        <v>0</v>
      </c>
      <c r="O3866">
        <v>3.1028359999999999E-3</v>
      </c>
      <c r="P3866">
        <v>-0.99812690000000004</v>
      </c>
      <c r="Q3866">
        <v>1.9108969999999999E-2</v>
      </c>
      <c r="R3866">
        <v>-5.8118980000000001E-2</v>
      </c>
      <c r="S3866">
        <v>-2.9927980000000001</v>
      </c>
      <c r="T3866">
        <v>-7.9652909999999993E-2</v>
      </c>
      <c r="U3866">
        <v>-0.24566650000000001</v>
      </c>
      <c r="V3866">
        <v>-6.1179219999999999E-2</v>
      </c>
      <c r="W3866">
        <v>3.330313E-2</v>
      </c>
      <c r="X3866">
        <v>0.99757110000000004</v>
      </c>
      <c r="Y3866">
        <v>-8.4872149999999993E-2</v>
      </c>
      <c r="Z3866">
        <v>-1.209775E-3</v>
      </c>
      <c r="AA3866">
        <v>0.99639109999999997</v>
      </c>
      <c r="AB3866">
        <v>29</v>
      </c>
      <c r="AC3866">
        <v>-41.5364</v>
      </c>
      <c r="AD3866">
        <v>-1.1099930607349999</v>
      </c>
      <c r="AE3866">
        <v>-3.4242999999999602</v>
      </c>
      <c r="AF3866">
        <v>-3.55065851649303</v>
      </c>
      <c r="AG3866">
        <v>-1.1099930607349999</v>
      </c>
      <c r="AH3866">
        <v>41.496139937375702</v>
      </c>
      <c r="AI3866">
        <v>91.526681130749395</v>
      </c>
      <c r="AJ3866">
        <v>94.890657902163497</v>
      </c>
      <c r="AK3866">
        <v>41.662559813313102</v>
      </c>
      <c r="AL3866">
        <v>88.091518403818796</v>
      </c>
      <c r="AM3866">
        <v>93.509450432989794</v>
      </c>
      <c r="AN3866">
        <v>1.0000000474913999</v>
      </c>
    </row>
    <row r="3867" spans="1:40" x14ac:dyDescent="0.25">
      <c r="A3867" t="str">
        <f>"20190312150733611"</f>
        <v>20190312150733611</v>
      </c>
      <c r="B3867" t="str">
        <f>"1552374453603684"</f>
        <v>1552374453603684</v>
      </c>
      <c r="C3867" t="s">
        <v>40</v>
      </c>
      <c r="D3867">
        <v>4.3584379999999996</v>
      </c>
      <c r="E3867">
        <v>0.4918341</v>
      </c>
      <c r="F3867" t="s">
        <v>61</v>
      </c>
      <c r="G3867">
        <v>-477.7792</v>
      </c>
      <c r="H3867" s="1">
        <v>2.8805109999999999E-6</v>
      </c>
      <c r="I3867">
        <v>281.36939999999998</v>
      </c>
      <c r="J3867">
        <v>-436.31349999999998</v>
      </c>
      <c r="K3867">
        <v>1.1099969999999999</v>
      </c>
      <c r="L3867">
        <v>284.7867</v>
      </c>
      <c r="M3867">
        <v>-0.99989360000000005</v>
      </c>
      <c r="N3867">
        <v>0</v>
      </c>
      <c r="O3867">
        <v>3.5121409999999999E-3</v>
      </c>
      <c r="P3867">
        <v>-0.99810520000000003</v>
      </c>
      <c r="Q3867">
        <v>1.9608919999999998E-2</v>
      </c>
      <c r="R3867">
        <v>-5.8323739999999999E-2</v>
      </c>
      <c r="S3867">
        <v>-2.9928590000000002</v>
      </c>
      <c r="T3867">
        <v>-7.9721929999999996E-2</v>
      </c>
      <c r="U3867">
        <v>-0.2453613</v>
      </c>
      <c r="V3867">
        <v>-6.1791329999999998E-2</v>
      </c>
      <c r="W3867">
        <v>3.3801150000000002E-2</v>
      </c>
      <c r="X3867">
        <v>0.99751659999999998</v>
      </c>
      <c r="Y3867">
        <v>-8.5177130000000004E-2</v>
      </c>
      <c r="Z3867">
        <v>-1.2257419999999999E-3</v>
      </c>
      <c r="AA3867">
        <v>0.9963651</v>
      </c>
      <c r="AB3867">
        <v>29</v>
      </c>
      <c r="AC3867">
        <v>-41.465699999999998</v>
      </c>
      <c r="AD3867">
        <v>-1.109994119489</v>
      </c>
      <c r="AE3867">
        <v>-3.4173000000000102</v>
      </c>
      <c r="AF3867">
        <v>-3.5603928155756601</v>
      </c>
      <c r="AG3867">
        <v>-1.109994119489</v>
      </c>
      <c r="AH3867">
        <v>41.4239577199519</v>
      </c>
      <c r="AI3867">
        <v>91.529291621463301</v>
      </c>
      <c r="AJ3867">
        <v>94.912504129341997</v>
      </c>
      <c r="AK3867">
        <v>41.5914986160737</v>
      </c>
      <c r="AL3867">
        <v>88.062967845712393</v>
      </c>
      <c r="AM3867">
        <v>93.544667254302894</v>
      </c>
      <c r="AN3867">
        <v>1.00000002674002</v>
      </c>
    </row>
    <row r="3868" spans="1:40" x14ac:dyDescent="0.25">
      <c r="A3868" t="str">
        <f>"20190312150733633"</f>
        <v>20190312150733633</v>
      </c>
      <c r="B3868" t="str">
        <f>"1552374453624179"</f>
        <v>1552374453624179</v>
      </c>
      <c r="C3868" t="s">
        <v>40</v>
      </c>
      <c r="D3868">
        <v>4.3540739999999998</v>
      </c>
      <c r="E3868">
        <v>0.4918498</v>
      </c>
      <c r="F3868" t="s">
        <v>61</v>
      </c>
      <c r="G3868">
        <v>-478.4255</v>
      </c>
      <c r="H3868" s="1">
        <v>2.5899209999999999E-6</v>
      </c>
      <c r="I3868">
        <v>281.32389999999998</v>
      </c>
      <c r="J3868">
        <v>-436.6019</v>
      </c>
      <c r="K3868">
        <v>1.1099950000000001</v>
      </c>
      <c r="L3868">
        <v>284.78840000000002</v>
      </c>
      <c r="M3868">
        <v>-0.99989150000000004</v>
      </c>
      <c r="N3868">
        <v>0</v>
      </c>
      <c r="O3868">
        <v>4.0854059999999998E-3</v>
      </c>
      <c r="P3868">
        <v>-0.99812140000000005</v>
      </c>
      <c r="Q3868">
        <v>1.9509539999999999E-2</v>
      </c>
      <c r="R3868">
        <v>-5.8078629999999999E-2</v>
      </c>
      <c r="S3868">
        <v>-2.9928279999999998</v>
      </c>
      <c r="T3868">
        <v>-7.8885440000000001E-2</v>
      </c>
      <c r="U3868">
        <v>-0.2460938</v>
      </c>
      <c r="V3868">
        <v>-6.2119250000000001E-2</v>
      </c>
      <c r="W3868">
        <v>3.369867E-2</v>
      </c>
      <c r="X3868">
        <v>0.99749960000000004</v>
      </c>
      <c r="Y3868">
        <v>-8.5991559999999995E-2</v>
      </c>
      <c r="Z3868">
        <v>-1.2386840000000001E-3</v>
      </c>
      <c r="AA3868">
        <v>0.99629509999999999</v>
      </c>
      <c r="AB3868">
        <v>29</v>
      </c>
      <c r="AC3868">
        <v>-41.823599999999999</v>
      </c>
      <c r="AD3868">
        <v>-1.109992410079</v>
      </c>
      <c r="AE3868">
        <v>-3.4645000000000401</v>
      </c>
      <c r="AF3868">
        <v>-3.6328131983154801</v>
      </c>
      <c r="AG3868">
        <v>-1.109992410079</v>
      </c>
      <c r="AH3868">
        <v>41.779867909410797</v>
      </c>
      <c r="AI3868">
        <v>91.516137618337794</v>
      </c>
      <c r="AJ3868">
        <v>94.969442931839694</v>
      </c>
      <c r="AK3868">
        <v>41.952196335974001</v>
      </c>
      <c r="AL3868">
        <v>88.068842670892394</v>
      </c>
      <c r="AM3868">
        <v>93.563490655808806</v>
      </c>
      <c r="AN3868">
        <v>0.99999992679024297</v>
      </c>
    </row>
    <row r="3869" spans="1:40" x14ac:dyDescent="0.25">
      <c r="A3869" t="str">
        <f>"20190312150733656"</f>
        <v>20190312150733656</v>
      </c>
      <c r="B3869" t="str">
        <f>"1552374453643699"</f>
        <v>1552374453643699</v>
      </c>
      <c r="C3869" t="s">
        <v>40</v>
      </c>
      <c r="D3869">
        <v>4.3295349999999999</v>
      </c>
      <c r="E3869">
        <v>0.49185519999999999</v>
      </c>
      <c r="F3869" t="s">
        <v>61</v>
      </c>
      <c r="G3869">
        <v>-478.613</v>
      </c>
      <c r="H3869" s="1">
        <v>2.5084899999999999E-6</v>
      </c>
      <c r="I3869">
        <v>281.34339999999997</v>
      </c>
      <c r="J3869">
        <v>-436.88619999999997</v>
      </c>
      <c r="K3869">
        <v>1.109998</v>
      </c>
      <c r="L3869">
        <v>284.7901</v>
      </c>
      <c r="M3869">
        <v>-0.99988909999999998</v>
      </c>
      <c r="N3869">
        <v>0</v>
      </c>
      <c r="O3869">
        <v>4.6470979999999997E-3</v>
      </c>
      <c r="P3869">
        <v>-0.99811240000000001</v>
      </c>
      <c r="Q3869">
        <v>1.939372E-2</v>
      </c>
      <c r="R3869">
        <v>-5.8271709999999997E-2</v>
      </c>
      <c r="S3869">
        <v>-2.9929199999999998</v>
      </c>
      <c r="T3869">
        <v>-7.9077239999999993E-2</v>
      </c>
      <c r="U3869">
        <v>-0.24542240000000001</v>
      </c>
      <c r="V3869">
        <v>-6.2872449999999996E-2</v>
      </c>
      <c r="W3869">
        <v>3.3580020000000002E-2</v>
      </c>
      <c r="X3869">
        <v>0.99745649999999997</v>
      </c>
      <c r="Y3869">
        <v>-8.6326269999999997E-2</v>
      </c>
      <c r="Z3869">
        <v>-1.2608980000000001E-3</v>
      </c>
      <c r="AA3869">
        <v>0.99626610000000004</v>
      </c>
      <c r="AB3869">
        <v>29</v>
      </c>
      <c r="AC3869">
        <v>-41.726799999999997</v>
      </c>
      <c r="AD3869">
        <v>-1.1099954915100001</v>
      </c>
      <c r="AE3869">
        <v>-3.4467000000000199</v>
      </c>
      <c r="AF3869">
        <v>-3.6380337456284901</v>
      </c>
      <c r="AG3869">
        <v>-1.1099954915100001</v>
      </c>
      <c r="AH3869">
        <v>41.681035316834603</v>
      </c>
      <c r="AI3869">
        <v>91.519691635598605</v>
      </c>
      <c r="AJ3869">
        <v>94.988289196844406</v>
      </c>
      <c r="AK3869">
        <v>41.854224214632303</v>
      </c>
      <c r="AL3869">
        <v>88.075644837146896</v>
      </c>
      <c r="AM3869">
        <v>93.606740280228294</v>
      </c>
      <c r="AN3869">
        <v>1.00000001605222</v>
      </c>
    </row>
    <row r="3870" spans="1:40" x14ac:dyDescent="0.25">
      <c r="A3870" t="str">
        <f>"20190312150733678"</f>
        <v>20190312150733678</v>
      </c>
      <c r="B3870" t="str">
        <f>"1552374453673487"</f>
        <v>1552374453673487</v>
      </c>
      <c r="C3870" t="s">
        <v>40</v>
      </c>
      <c r="D3870">
        <v>4.3868</v>
      </c>
      <c r="E3870">
        <v>0.4918247</v>
      </c>
      <c r="F3870" t="s">
        <v>61</v>
      </c>
      <c r="G3870">
        <v>-478.53250000000003</v>
      </c>
      <c r="H3870" s="1">
        <v>2.5466139999999999E-6</v>
      </c>
      <c r="I3870">
        <v>281.37119999999999</v>
      </c>
      <c r="J3870">
        <v>-437.17410000000001</v>
      </c>
      <c r="K3870">
        <v>1.1100000000000001</v>
      </c>
      <c r="L3870">
        <v>284.7921</v>
      </c>
      <c r="M3870">
        <v>-0.99988650000000001</v>
      </c>
      <c r="N3870">
        <v>0</v>
      </c>
      <c r="O3870">
        <v>5.2130789999999998E-3</v>
      </c>
      <c r="P3870">
        <v>-0.99812469999999998</v>
      </c>
      <c r="Q3870">
        <v>1.886753E-2</v>
      </c>
      <c r="R3870">
        <v>-5.8238100000000001E-2</v>
      </c>
      <c r="S3870">
        <v>-2.9928889999999999</v>
      </c>
      <c r="T3870">
        <v>-7.976925E-2</v>
      </c>
      <c r="U3870">
        <v>-0.245697</v>
      </c>
      <c r="V3870">
        <v>-6.3404360000000007E-2</v>
      </c>
      <c r="W3870">
        <v>3.305102E-2</v>
      </c>
      <c r="X3870">
        <v>0.99744049999999995</v>
      </c>
      <c r="Y3870">
        <v>-8.6980849999999998E-2</v>
      </c>
      <c r="Z3870">
        <v>-1.295703E-3</v>
      </c>
      <c r="AA3870">
        <v>0.99620909999999996</v>
      </c>
      <c r="AB3870">
        <v>29</v>
      </c>
      <c r="AC3870">
        <v>-41.358400000000003</v>
      </c>
      <c r="AD3870">
        <v>-1.109997453386</v>
      </c>
      <c r="AE3870">
        <v>-3.4209000000000098</v>
      </c>
      <c r="AF3870">
        <v>-3.6338799403810298</v>
      </c>
      <c r="AG3870">
        <v>-1.109997453386</v>
      </c>
      <c r="AH3870">
        <v>41.3104487641547</v>
      </c>
      <c r="AI3870">
        <v>91.533229724898604</v>
      </c>
      <c r="AJ3870">
        <v>95.027092324691495</v>
      </c>
      <c r="AK3870">
        <v>41.484820776562103</v>
      </c>
      <c r="AL3870">
        <v>88.105971140628</v>
      </c>
      <c r="AM3870">
        <v>93.637230443646203</v>
      </c>
      <c r="AN3870">
        <v>1.0000000169151499</v>
      </c>
    </row>
    <row r="3871" spans="1:40" x14ac:dyDescent="0.25">
      <c r="A3871" t="str">
        <f>"20190312150733700"</f>
        <v>20190312150733700</v>
      </c>
      <c r="B3871" t="str">
        <f>"1552374453693983"</f>
        <v>1552374453693983</v>
      </c>
      <c r="C3871" t="s">
        <v>40</v>
      </c>
      <c r="D3871">
        <v>4.404865</v>
      </c>
      <c r="E3871">
        <v>0.49178749999999999</v>
      </c>
      <c r="F3871" t="s">
        <v>61</v>
      </c>
      <c r="G3871">
        <v>-477.53370000000001</v>
      </c>
      <c r="H3871" s="1">
        <v>2.9986969999999999E-6</v>
      </c>
      <c r="I3871">
        <v>281.47590000000002</v>
      </c>
      <c r="J3871">
        <v>-437.45690000000002</v>
      </c>
      <c r="K3871">
        <v>1.1100000000000001</v>
      </c>
      <c r="L3871">
        <v>284.79419999999999</v>
      </c>
      <c r="M3871">
        <v>-0.99988339999999998</v>
      </c>
      <c r="N3871">
        <v>0</v>
      </c>
      <c r="O3871">
        <v>5.7685599999999998E-3</v>
      </c>
      <c r="P3871">
        <v>-0.99816130000000003</v>
      </c>
      <c r="Q3871">
        <v>1.893806E-2</v>
      </c>
      <c r="R3871">
        <v>-5.7582559999999998E-2</v>
      </c>
      <c r="S3871">
        <v>-2.9928590000000002</v>
      </c>
      <c r="T3871">
        <v>-8.2311629999999997E-2</v>
      </c>
      <c r="U3871">
        <v>-0.24591060000000001</v>
      </c>
      <c r="V3871">
        <v>-6.3303869999999998E-2</v>
      </c>
      <c r="W3871">
        <v>3.3118219999999997E-2</v>
      </c>
      <c r="X3871">
        <v>0.99744460000000001</v>
      </c>
      <c r="Y3871">
        <v>-8.7603159999999999E-2</v>
      </c>
      <c r="Z3871">
        <v>-1.360787E-3</v>
      </c>
      <c r="AA3871">
        <v>0.99615450000000005</v>
      </c>
      <c r="AB3871">
        <v>29</v>
      </c>
      <c r="AC3871">
        <v>-40.076799999999899</v>
      </c>
      <c r="AD3871">
        <v>-1.1099970013030001</v>
      </c>
      <c r="AE3871">
        <v>-3.3182999999999598</v>
      </c>
      <c r="AF3871">
        <v>-3.5467510929677601</v>
      </c>
      <c r="AG3871">
        <v>-1.1099970013030001</v>
      </c>
      <c r="AH3871">
        <v>40.026493681272797</v>
      </c>
      <c r="AI3871">
        <v>91.582297484827194</v>
      </c>
      <c r="AJ3871">
        <v>95.063758533298795</v>
      </c>
      <c r="AK3871">
        <v>40.198653373904797</v>
      </c>
      <c r="AL3871">
        <v>88.102118653470399</v>
      </c>
      <c r="AM3871">
        <v>93.631466323495602</v>
      </c>
      <c r="AN3871">
        <v>0.99999996326105101</v>
      </c>
    </row>
    <row r="3872" spans="1:40" x14ac:dyDescent="0.25">
      <c r="A3872" t="str">
        <f>"20190312150733723"</f>
        <v>20190312150733723</v>
      </c>
      <c r="B3872" t="str">
        <f>"1552374453713504"</f>
        <v>1552374453713504</v>
      </c>
      <c r="C3872" t="s">
        <v>40</v>
      </c>
      <c r="D3872">
        <v>4.6114169999999897</v>
      </c>
      <c r="E3872">
        <v>0.4758733</v>
      </c>
      <c r="F3872" t="s">
        <v>61</v>
      </c>
      <c r="G3872">
        <v>-477.5729</v>
      </c>
      <c r="H3872" s="1">
        <v>2.9850490000000001E-6</v>
      </c>
      <c r="I3872">
        <v>281.51900000000001</v>
      </c>
      <c r="J3872">
        <v>-437.74059999999997</v>
      </c>
      <c r="K3872">
        <v>1.110001</v>
      </c>
      <c r="L3872">
        <v>284.79640000000001</v>
      </c>
      <c r="M3872">
        <v>-0.9998802</v>
      </c>
      <c r="N3872">
        <v>0</v>
      </c>
      <c r="O3872">
        <v>6.3251669999999996E-3</v>
      </c>
      <c r="P3872">
        <v>-0.99820339999999996</v>
      </c>
      <c r="Q3872">
        <v>1.874429E-2</v>
      </c>
      <c r="R3872">
        <v>-5.6911839999999998E-2</v>
      </c>
      <c r="S3872">
        <v>-2.9930110000000001</v>
      </c>
      <c r="T3872">
        <v>-8.2815650000000005E-2</v>
      </c>
      <c r="U3872">
        <v>-0.24435419999999999</v>
      </c>
      <c r="V3872">
        <v>-6.3189159999999994E-2</v>
      </c>
      <c r="W3872">
        <v>3.2920919999999999E-2</v>
      </c>
      <c r="X3872">
        <v>0.99745850000000003</v>
      </c>
      <c r="Y3872">
        <v>-8.7638359999999998E-2</v>
      </c>
      <c r="Z3872">
        <v>-1.3849379999999901E-3</v>
      </c>
      <c r="AA3872">
        <v>0.99615140000000002</v>
      </c>
      <c r="AB3872">
        <v>29</v>
      </c>
      <c r="AC3872">
        <v>-39.832299999999996</v>
      </c>
      <c r="AD3872">
        <v>-1.109998014951</v>
      </c>
      <c r="AE3872">
        <v>-3.2774000000000001</v>
      </c>
      <c r="AF3872">
        <v>-3.5265853394553499</v>
      </c>
      <c r="AG3872">
        <v>-1.109998014951</v>
      </c>
      <c r="AH3872">
        <v>39.7800870644516</v>
      </c>
      <c r="AI3872">
        <v>91.5920891391781</v>
      </c>
      <c r="AJ3872">
        <v>95.066142762310605</v>
      </c>
      <c r="AK3872">
        <v>39.9515234578734</v>
      </c>
      <c r="AL3872">
        <v>88.113429457752204</v>
      </c>
      <c r="AM3872">
        <v>93.624853093526198</v>
      </c>
      <c r="AN3872">
        <v>1.0000000580686901</v>
      </c>
    </row>
    <row r="3873" spans="1:40" x14ac:dyDescent="0.25">
      <c r="A3873" t="str">
        <f>"20190312150733746"</f>
        <v>20190312150733746</v>
      </c>
      <c r="B3873" t="str">
        <f>"1552374453734000"</f>
        <v>1552374453734000</v>
      </c>
      <c r="C3873" t="s">
        <v>40</v>
      </c>
      <c r="D3873">
        <v>4.8007160000000004</v>
      </c>
      <c r="E3873">
        <v>0.47541820000000001</v>
      </c>
      <c r="F3873" t="s">
        <v>67</v>
      </c>
      <c r="G3873">
        <v>-463.21769999999998</v>
      </c>
      <c r="H3873" s="1">
        <v>3.0608629999999998E-7</v>
      </c>
      <c r="I3873">
        <v>281.62909999999999</v>
      </c>
      <c r="J3873">
        <v>-438.03019999999998</v>
      </c>
      <c r="K3873">
        <v>1.1100049999999999</v>
      </c>
      <c r="L3873">
        <v>284.7989</v>
      </c>
      <c r="M3873">
        <v>-0.9998764</v>
      </c>
      <c r="N3873">
        <v>0</v>
      </c>
      <c r="O3873">
        <v>6.8926859999999899E-3</v>
      </c>
      <c r="P3873">
        <v>-0.99821870000000001</v>
      </c>
      <c r="Q3873">
        <v>1.900191E-2</v>
      </c>
      <c r="R3873">
        <v>-5.6556090000000003E-2</v>
      </c>
      <c r="S3873">
        <v>-2.9866640000000002</v>
      </c>
      <c r="T3873">
        <v>-0.13012480000000001</v>
      </c>
      <c r="U3873">
        <v>-0.37130740000000001</v>
      </c>
      <c r="V3873">
        <v>-6.3399339999999998E-2</v>
      </c>
      <c r="W3873">
        <v>3.3175410000000002E-2</v>
      </c>
      <c r="X3873">
        <v>0.99743669999999995</v>
      </c>
      <c r="Y3873">
        <v>-0.1300818</v>
      </c>
      <c r="Z3873">
        <v>-3.1206269999999999E-3</v>
      </c>
      <c r="AA3873">
        <v>0.9914984</v>
      </c>
      <c r="AB3873">
        <v>28</v>
      </c>
      <c r="AC3873">
        <v>-25.1875</v>
      </c>
      <c r="AD3873">
        <v>-1.1100046939136901</v>
      </c>
      <c r="AE3873">
        <v>-3.1698</v>
      </c>
      <c r="AF3873">
        <v>-3.3369717417870599</v>
      </c>
      <c r="AG3873">
        <v>-1.1100046939136901</v>
      </c>
      <c r="AH3873">
        <v>25.1170307943583</v>
      </c>
      <c r="AI3873">
        <v>92.508430814733998</v>
      </c>
      <c r="AJ3873">
        <v>97.567822893803907</v>
      </c>
      <c r="AK3873">
        <v>25.362033174624202</v>
      </c>
      <c r="AL3873">
        <v>88.098840227974094</v>
      </c>
      <c r="AM3873">
        <v>93.636957059907104</v>
      </c>
      <c r="AN3873">
        <v>1.00000002732399</v>
      </c>
    </row>
    <row r="3874" spans="1:40" x14ac:dyDescent="0.25">
      <c r="A3874" t="str">
        <f>"20190312150733768"</f>
        <v>20190312150733768</v>
      </c>
      <c r="B3874" t="str">
        <f>"1552374453764255"</f>
        <v>1552374453764255</v>
      </c>
      <c r="C3874" t="s">
        <v>40</v>
      </c>
      <c r="D3874">
        <v>4.3252059999999997</v>
      </c>
      <c r="E3874">
        <v>0.4746456</v>
      </c>
      <c r="F3874" t="s">
        <v>67</v>
      </c>
      <c r="G3874">
        <v>-466.16320000000002</v>
      </c>
      <c r="H3874" s="1">
        <v>1.8887330000000001E-6</v>
      </c>
      <c r="I3874">
        <v>281.28100000000001</v>
      </c>
      <c r="J3874">
        <v>-438.31319999999999</v>
      </c>
      <c r="K3874">
        <v>1.1100159999999999</v>
      </c>
      <c r="L3874">
        <v>284.80149999999998</v>
      </c>
      <c r="M3874">
        <v>-0.99987250000000005</v>
      </c>
      <c r="N3874">
        <v>0</v>
      </c>
      <c r="O3874">
        <v>7.4470400000000003E-3</v>
      </c>
      <c r="P3874">
        <v>-0.99816159999999998</v>
      </c>
      <c r="Q3874">
        <v>1.98167E-2</v>
      </c>
      <c r="R3874">
        <v>-5.7279860000000002E-2</v>
      </c>
      <c r="S3874">
        <v>-2.98645</v>
      </c>
      <c r="T3874">
        <v>-0.1178319</v>
      </c>
      <c r="U3874">
        <v>-0.37344359999999999</v>
      </c>
      <c r="V3874">
        <v>-6.4675969999999999E-2</v>
      </c>
      <c r="W3874">
        <v>3.3987000000000003E-2</v>
      </c>
      <c r="X3874">
        <v>0.99732739999999998</v>
      </c>
      <c r="Y3874">
        <v>-0.13136010000000001</v>
      </c>
      <c r="Z3874">
        <v>-2.8730320000000002E-3</v>
      </c>
      <c r="AA3874">
        <v>0.99133059999999995</v>
      </c>
      <c r="AB3874">
        <v>28</v>
      </c>
      <c r="AC3874">
        <v>-27.85</v>
      </c>
      <c r="AD3874">
        <v>-1.1100141112669999</v>
      </c>
      <c r="AE3874">
        <v>-3.52049999999997</v>
      </c>
      <c r="AF3874">
        <v>-3.7220034444547601</v>
      </c>
      <c r="AG3874">
        <v>-1.1100141112669999</v>
      </c>
      <c r="AH3874">
        <v>27.7795719110037</v>
      </c>
      <c r="AI3874">
        <v>92.267958579489999</v>
      </c>
      <c r="AJ3874">
        <v>97.631239686773696</v>
      </c>
      <c r="AK3874">
        <v>28.049778190323899</v>
      </c>
      <c r="AL3874">
        <v>88.052313290508806</v>
      </c>
      <c r="AM3874">
        <v>93.7103949553115</v>
      </c>
      <c r="AN3874">
        <v>1.0000000200276</v>
      </c>
    </row>
    <row r="3875" spans="1:40" x14ac:dyDescent="0.25">
      <c r="A3875" t="str">
        <f>"20190312150733800"</f>
        <v>20190312150733800</v>
      </c>
      <c r="B3875" t="str">
        <f>"1552374453794046"</f>
        <v>1552374453794046</v>
      </c>
      <c r="C3875" t="s">
        <v>40</v>
      </c>
      <c r="D3875">
        <v>4.8710680000000002</v>
      </c>
      <c r="E3875">
        <v>0.47406130000000002</v>
      </c>
      <c r="F3875" t="s">
        <v>67</v>
      </c>
      <c r="G3875">
        <v>-467.4674</v>
      </c>
      <c r="H3875" s="1">
        <v>2.5917180000000002E-6</v>
      </c>
      <c r="I3875">
        <v>281.07619999999997</v>
      </c>
      <c r="J3875">
        <v>-438.73099999999999</v>
      </c>
      <c r="K3875">
        <v>1.1100209999999999</v>
      </c>
      <c r="L3875">
        <v>284.80549999999999</v>
      </c>
      <c r="M3875">
        <v>-0.99986609999999998</v>
      </c>
      <c r="N3875">
        <v>0</v>
      </c>
      <c r="O3875">
        <v>8.2656009999999992E-3</v>
      </c>
      <c r="P3875">
        <v>-0.99809999999999999</v>
      </c>
      <c r="Q3875">
        <v>1.998598E-2</v>
      </c>
      <c r="R3875">
        <v>-5.8286449999999997E-2</v>
      </c>
      <c r="S3875">
        <v>-2.9858699999999998</v>
      </c>
      <c r="T3875">
        <v>-0.1136836</v>
      </c>
      <c r="U3875">
        <v>-0.3815308</v>
      </c>
      <c r="V3875">
        <v>-6.6497849999999997E-2</v>
      </c>
      <c r="W3875">
        <v>3.4152370000000001E-2</v>
      </c>
      <c r="X3875">
        <v>0.99720189999999997</v>
      </c>
      <c r="Y3875">
        <v>-0.13484160000000001</v>
      </c>
      <c r="Z3875">
        <v>-2.8690500000000002E-3</v>
      </c>
      <c r="AA3875">
        <v>0.99086300000000005</v>
      </c>
      <c r="AB3875">
        <v>28</v>
      </c>
      <c r="AC3875">
        <v>-28.7364</v>
      </c>
      <c r="AD3875">
        <v>-1.1100184082819999</v>
      </c>
      <c r="AE3875">
        <v>-3.7293000000000198</v>
      </c>
      <c r="AF3875">
        <v>-3.9609077359310998</v>
      </c>
      <c r="AG3875">
        <v>-1.1100184082819999</v>
      </c>
      <c r="AH3875">
        <v>28.662531379542099</v>
      </c>
      <c r="AI3875">
        <v>92.196937189349399</v>
      </c>
      <c r="AJ3875">
        <v>97.867937204824699</v>
      </c>
      <c r="AK3875">
        <v>28.956202030696598</v>
      </c>
      <c r="AL3875">
        <v>88.042832722863594</v>
      </c>
      <c r="AM3875">
        <v>93.815088648811098</v>
      </c>
      <c r="AN3875">
        <v>0.99999998889742403</v>
      </c>
    </row>
    <row r="3876" spans="1:40" x14ac:dyDescent="0.25">
      <c r="A3876" t="str">
        <f>"20190312150733824"</f>
        <v>20190312150733824</v>
      </c>
      <c r="B3876" t="str">
        <f>"1552374453813565"</f>
        <v>1552374453813565</v>
      </c>
      <c r="C3876" t="s">
        <v>40</v>
      </c>
      <c r="D3876">
        <v>4.3613600000000003</v>
      </c>
      <c r="E3876">
        <v>0.4740026</v>
      </c>
      <c r="F3876" t="s">
        <v>67</v>
      </c>
      <c r="G3876">
        <v>-469.64580000000001</v>
      </c>
      <c r="H3876" s="1">
        <v>3.7640350000000002E-6</v>
      </c>
      <c r="I3876">
        <v>280.77749999999997</v>
      </c>
      <c r="J3876">
        <v>-439.02120000000002</v>
      </c>
      <c r="K3876">
        <v>1.1100300000000001</v>
      </c>
      <c r="L3876">
        <v>284.80860000000001</v>
      </c>
      <c r="M3876">
        <v>-0.99986129999999995</v>
      </c>
      <c r="N3876">
        <v>0</v>
      </c>
      <c r="O3876">
        <v>8.8320389999999999E-3</v>
      </c>
      <c r="P3876">
        <v>-0.99803600000000003</v>
      </c>
      <c r="Q3876">
        <v>2.033602E-2</v>
      </c>
      <c r="R3876">
        <v>-5.9250909999999997E-2</v>
      </c>
      <c r="S3876">
        <v>-2.9851380000000001</v>
      </c>
      <c r="T3876">
        <v>-0.10718320000000001</v>
      </c>
      <c r="U3876">
        <v>-0.38894649999999997</v>
      </c>
      <c r="V3876">
        <v>-6.8027119999999996E-2</v>
      </c>
      <c r="W3876">
        <v>3.4498349999999997E-2</v>
      </c>
      <c r="X3876">
        <v>0.99708680000000005</v>
      </c>
      <c r="Y3876">
        <v>-0.13786309999999999</v>
      </c>
      <c r="Z3876">
        <v>-2.7795889999999998E-3</v>
      </c>
      <c r="AA3876">
        <v>0.99044739999999998</v>
      </c>
      <c r="AB3876">
        <v>28</v>
      </c>
      <c r="AC3876">
        <v>-30.624599999999901</v>
      </c>
      <c r="AD3876">
        <v>-1.1100262359649999</v>
      </c>
      <c r="AE3876">
        <v>-4.0311000000000297</v>
      </c>
      <c r="AF3876">
        <v>-4.2958995885504301</v>
      </c>
      <c r="AG3876">
        <v>-1.1100262359649999</v>
      </c>
      <c r="AH3876">
        <v>30.548348369057798</v>
      </c>
      <c r="AI3876">
        <v>92.060765019327505</v>
      </c>
      <c r="AJ3876">
        <v>98.004798929468393</v>
      </c>
      <c r="AK3876">
        <v>30.8688921018678</v>
      </c>
      <c r="AL3876">
        <v>88.022997775152803</v>
      </c>
      <c r="AM3876">
        <v>93.903006359590506</v>
      </c>
      <c r="AN3876">
        <v>0.99999995597122704</v>
      </c>
    </row>
    <row r="3877" spans="1:40" x14ac:dyDescent="0.25">
      <c r="A3877" t="str">
        <f>"20190312150733846"</f>
        <v>20190312150733846</v>
      </c>
      <c r="B3877" t="str">
        <f>"1552374453834063"</f>
        <v>1552374453834063</v>
      </c>
      <c r="C3877" t="s">
        <v>40</v>
      </c>
      <c r="D3877">
        <v>4.8016889999999997</v>
      </c>
      <c r="E3877">
        <v>0.47383969999999997</v>
      </c>
      <c r="F3877" t="s">
        <v>61</v>
      </c>
      <c r="G3877">
        <v>-471.67919999999998</v>
      </c>
      <c r="H3877" s="1">
        <v>5.5114369999999998E-6</v>
      </c>
      <c r="I3877">
        <v>280.52109999999999</v>
      </c>
      <c r="J3877">
        <v>-439.29930000000002</v>
      </c>
      <c r="K3877">
        <v>1.1100369999999999</v>
      </c>
      <c r="L3877">
        <v>284.8116</v>
      </c>
      <c r="M3877">
        <v>-0.99985639999999998</v>
      </c>
      <c r="N3877">
        <v>0</v>
      </c>
      <c r="O3877">
        <v>9.3686370000000008E-3</v>
      </c>
      <c r="P3877">
        <v>-0.99797340000000001</v>
      </c>
      <c r="Q3877">
        <v>2.0511089999999999E-2</v>
      </c>
      <c r="R3877">
        <v>-6.0239319999999999E-2</v>
      </c>
      <c r="S3877">
        <v>-2.9847109999999999</v>
      </c>
      <c r="T3877">
        <v>-0.10144830000000001</v>
      </c>
      <c r="U3877">
        <v>-0.39184570000000002</v>
      </c>
      <c r="V3877">
        <v>-6.9550429999999996E-2</v>
      </c>
      <c r="W3877">
        <v>3.4669430000000001E-2</v>
      </c>
      <c r="X3877">
        <v>0.99697579999999997</v>
      </c>
      <c r="Y3877">
        <v>-0.13936699999999999</v>
      </c>
      <c r="Z3877">
        <v>-2.674764E-3</v>
      </c>
      <c r="AA3877">
        <v>0.99023720000000004</v>
      </c>
      <c r="AB3877">
        <v>28</v>
      </c>
      <c r="AC3877">
        <v>-32.3798999999999</v>
      </c>
      <c r="AD3877">
        <v>-1.110031488563</v>
      </c>
      <c r="AE3877">
        <v>-4.2904999999999998</v>
      </c>
      <c r="AF3877">
        <v>-4.5883981074781701</v>
      </c>
      <c r="AG3877">
        <v>-1.110031488563</v>
      </c>
      <c r="AH3877">
        <v>32.3009727399916</v>
      </c>
      <c r="AI3877">
        <v>91.948662950952794</v>
      </c>
      <c r="AJ3877">
        <v>98.084854400671603</v>
      </c>
      <c r="AK3877">
        <v>32.644117495315903</v>
      </c>
      <c r="AL3877">
        <v>88.013189810697</v>
      </c>
      <c r="AM3877">
        <v>93.990568740753503</v>
      </c>
      <c r="AN3877">
        <v>0.99999998873767404</v>
      </c>
    </row>
    <row r="3878" spans="1:40" x14ac:dyDescent="0.25">
      <c r="A3878" t="str">
        <f>"20190312150733868"</f>
        <v>20190312150733868</v>
      </c>
      <c r="B3878" t="str">
        <f>"1552374453864317"</f>
        <v>1552374453864317</v>
      </c>
      <c r="C3878" t="s">
        <v>40</v>
      </c>
      <c r="D3878">
        <v>4.3887980000000004</v>
      </c>
      <c r="E3878">
        <v>0.47355219999999998</v>
      </c>
      <c r="F3878" t="s">
        <v>61</v>
      </c>
      <c r="G3878">
        <v>-472.55959999999999</v>
      </c>
      <c r="H3878" s="1">
        <v>5.110307E-6</v>
      </c>
      <c r="I3878">
        <v>280.39850000000001</v>
      </c>
      <c r="J3878">
        <v>-439.57929999999999</v>
      </c>
      <c r="K3878">
        <v>1.1100380000000001</v>
      </c>
      <c r="L3878">
        <v>284.81479999999999</v>
      </c>
      <c r="M3878">
        <v>-0.9998513</v>
      </c>
      <c r="N3878">
        <v>0</v>
      </c>
      <c r="O3878">
        <v>9.9006660000000007E-3</v>
      </c>
      <c r="P3878">
        <v>-0.99789819999999996</v>
      </c>
      <c r="Q3878">
        <v>2.0454750000000001E-2</v>
      </c>
      <c r="R3878">
        <v>-6.1490660000000003E-2</v>
      </c>
      <c r="S3878">
        <v>-2.9842529999999998</v>
      </c>
      <c r="T3878">
        <v>-9.9596740000000003E-2</v>
      </c>
      <c r="U3878">
        <v>-0.39596559999999997</v>
      </c>
      <c r="V3878">
        <v>-7.133225E-2</v>
      </c>
      <c r="W3878">
        <v>3.4609380000000002E-2</v>
      </c>
      <c r="X3878">
        <v>0.99685199999999996</v>
      </c>
      <c r="Y3878">
        <v>-0.14125869999999999</v>
      </c>
      <c r="Z3878">
        <v>-2.675237E-3</v>
      </c>
      <c r="AA3878">
        <v>0.98996910000000005</v>
      </c>
      <c r="AB3878">
        <v>28</v>
      </c>
      <c r="AC3878">
        <v>-32.9803</v>
      </c>
      <c r="AD3878">
        <v>-1.1100328896929901</v>
      </c>
      <c r="AE3878">
        <v>-4.4162999999999704</v>
      </c>
      <c r="AF3878">
        <v>-4.7373709149477703</v>
      </c>
      <c r="AG3878">
        <v>-1.1100328896929901</v>
      </c>
      <c r="AH3878">
        <v>32.898343000948998</v>
      </c>
      <c r="AI3878">
        <v>91.912785787407003</v>
      </c>
      <c r="AJ3878">
        <v>98.194279582645805</v>
      </c>
      <c r="AK3878">
        <v>33.256214883989401</v>
      </c>
      <c r="AL3878">
        <v>88.016632519583595</v>
      </c>
      <c r="AM3878">
        <v>94.092967021777596</v>
      </c>
      <c r="AN3878">
        <v>1.00000000448902</v>
      </c>
    </row>
    <row r="3879" spans="1:40" x14ac:dyDescent="0.25">
      <c r="A3879" t="str">
        <f>"20190312150733890"</f>
        <v>20190312150733890</v>
      </c>
      <c r="B3879" t="str">
        <f>"1552374453883837"</f>
        <v>1552374453883837</v>
      </c>
      <c r="C3879" t="s">
        <v>40</v>
      </c>
      <c r="D3879">
        <v>4.400404</v>
      </c>
      <c r="E3879">
        <v>0.47341339999999998</v>
      </c>
      <c r="F3879" t="s">
        <v>61</v>
      </c>
      <c r="G3879">
        <v>-473.23020000000002</v>
      </c>
      <c r="H3879" s="1">
        <v>4.8028570000000001E-6</v>
      </c>
      <c r="I3879">
        <v>280.28320000000002</v>
      </c>
      <c r="J3879">
        <v>-439.86270000000002</v>
      </c>
      <c r="K3879">
        <v>1.1100399999999999</v>
      </c>
      <c r="L3879">
        <v>284.81819999999999</v>
      </c>
      <c r="M3879">
        <v>-0.99984589999999995</v>
      </c>
      <c r="N3879">
        <v>0</v>
      </c>
      <c r="O3879">
        <v>1.043155E-2</v>
      </c>
      <c r="P3879">
        <v>-0.99783599999999995</v>
      </c>
      <c r="Q3879">
        <v>2.0324780000000001E-2</v>
      </c>
      <c r="R3879">
        <v>-6.2533270000000002E-2</v>
      </c>
      <c r="S3879">
        <v>-2.9836119999999999</v>
      </c>
      <c r="T3879">
        <v>-9.8419789999999993E-2</v>
      </c>
      <c r="U3879">
        <v>-0.4017944</v>
      </c>
      <c r="V3879">
        <v>-7.2904449999999996E-2</v>
      </c>
      <c r="W3879">
        <v>3.4475949999999998E-2</v>
      </c>
      <c r="X3879">
        <v>0.99674280000000004</v>
      </c>
      <c r="Y3879">
        <v>-0.14371199999999901</v>
      </c>
      <c r="Z3879">
        <v>-2.7015709999999998E-3</v>
      </c>
      <c r="AA3879">
        <v>0.98961589999999999</v>
      </c>
      <c r="AB3879">
        <v>28</v>
      </c>
      <c r="AC3879">
        <v>-33.3675</v>
      </c>
      <c r="AD3879">
        <v>-1.11003519714299</v>
      </c>
      <c r="AE3879">
        <v>-4.5349999999999602</v>
      </c>
      <c r="AF3879">
        <v>-4.8775625958425204</v>
      </c>
      <c r="AG3879">
        <v>-1.11003519714299</v>
      </c>
      <c r="AH3879">
        <v>33.282207243627298</v>
      </c>
      <c r="AI3879">
        <v>91.890058781122804</v>
      </c>
      <c r="AJ3879">
        <v>98.337440632005794</v>
      </c>
      <c r="AK3879">
        <v>33.656026414640998</v>
      </c>
      <c r="AL3879">
        <v>88.024281912567702</v>
      </c>
      <c r="AM3879">
        <v>94.183318027764201</v>
      </c>
      <c r="AN3879">
        <v>0.99999992965502005</v>
      </c>
    </row>
    <row r="3880" spans="1:40" x14ac:dyDescent="0.25">
      <c r="A3880" t="str">
        <f>"20190312150733913"</f>
        <v>20190312150733913</v>
      </c>
      <c r="B3880" t="str">
        <f>"1552374453904332"</f>
        <v>1552374453904332</v>
      </c>
      <c r="C3880" t="s">
        <v>40</v>
      </c>
      <c r="D3880">
        <v>4.3736319999999997</v>
      </c>
      <c r="E3880">
        <v>0.47334080000000001</v>
      </c>
      <c r="F3880" t="s">
        <v>61</v>
      </c>
      <c r="G3880">
        <v>-473.4828</v>
      </c>
      <c r="H3880" s="1">
        <v>4.6873050000000003E-6</v>
      </c>
      <c r="I3880">
        <v>280.24270000000001</v>
      </c>
      <c r="J3880">
        <v>-440.14120000000003</v>
      </c>
      <c r="K3880">
        <v>1.11005</v>
      </c>
      <c r="L3880">
        <v>284.82170000000002</v>
      </c>
      <c r="M3880">
        <v>-0.99984059999999997</v>
      </c>
      <c r="N3880">
        <v>0</v>
      </c>
      <c r="O3880">
        <v>1.0943049999999999E-2</v>
      </c>
      <c r="P3880">
        <v>-0.99775069999999999</v>
      </c>
      <c r="Q3880">
        <v>2.0228550000000001E-2</v>
      </c>
      <c r="R3880">
        <v>-6.3911860000000001E-2</v>
      </c>
      <c r="S3880">
        <v>-2.9830320000000001</v>
      </c>
      <c r="T3880">
        <v>-9.849107E-2</v>
      </c>
      <c r="U3880">
        <v>-0.40597529999999998</v>
      </c>
      <c r="V3880">
        <v>-7.4792880000000006E-2</v>
      </c>
      <c r="W3880">
        <v>3.43754E-2</v>
      </c>
      <c r="X3880">
        <v>0.9966064</v>
      </c>
      <c r="Y3880">
        <v>-0.14560409999999999</v>
      </c>
      <c r="Z3880">
        <v>-2.7516910000000001E-3</v>
      </c>
      <c r="AA3880">
        <v>0.98933910000000003</v>
      </c>
      <c r="AB3880">
        <v>28</v>
      </c>
      <c r="AC3880">
        <v>-33.3415999999999</v>
      </c>
      <c r="AD3880">
        <v>-1.1100453126950001</v>
      </c>
      <c r="AE3880">
        <v>-4.5789999999999997</v>
      </c>
      <c r="AF3880">
        <v>-4.9382485010606798</v>
      </c>
      <c r="AG3880">
        <v>-1.1100453126950001</v>
      </c>
      <c r="AH3880">
        <v>33.253313336553497</v>
      </c>
      <c r="AI3880">
        <v>91.891184312313797</v>
      </c>
      <c r="AJ3880">
        <v>98.446916319620598</v>
      </c>
      <c r="AK3880">
        <v>33.6363099449609</v>
      </c>
      <c r="AL3880">
        <v>88.030046519223703</v>
      </c>
      <c r="AM3880">
        <v>94.291863144178194</v>
      </c>
      <c r="AN3880">
        <v>0.99999997977240696</v>
      </c>
    </row>
    <row r="3881" spans="1:40" x14ac:dyDescent="0.25">
      <c r="A3881" t="str">
        <f>"20190312150733935"</f>
        <v>20190312150733935</v>
      </c>
      <c r="B3881" t="str">
        <f>"1552374453923854"</f>
        <v>1552374453923854</v>
      </c>
      <c r="C3881" t="s">
        <v>40</v>
      </c>
      <c r="D3881">
        <v>4.3620799999999997</v>
      </c>
      <c r="E3881">
        <v>0.47320479999999998</v>
      </c>
      <c r="F3881" t="s">
        <v>61</v>
      </c>
      <c r="G3881">
        <v>-473.7801</v>
      </c>
      <c r="H3881" s="1">
        <v>4.5508090000000002E-6</v>
      </c>
      <c r="I3881">
        <v>280.18970000000002</v>
      </c>
      <c r="J3881">
        <v>-440.4248</v>
      </c>
      <c r="K3881">
        <v>1.1100669999999999</v>
      </c>
      <c r="L3881">
        <v>284.8254</v>
      </c>
      <c r="M3881">
        <v>-0.99983500000000003</v>
      </c>
      <c r="N3881">
        <v>0</v>
      </c>
      <c r="O3881">
        <v>1.1450780000000001E-2</v>
      </c>
      <c r="P3881">
        <v>-0.99767110000000003</v>
      </c>
      <c r="Q3881">
        <v>2.067049E-2</v>
      </c>
      <c r="R3881">
        <v>-6.5003179999999994E-2</v>
      </c>
      <c r="S3881">
        <v>-2.9824519999999999</v>
      </c>
      <c r="T3881">
        <v>-9.8417519999999994E-2</v>
      </c>
      <c r="U3881">
        <v>-0.41067500000000001</v>
      </c>
      <c r="V3881">
        <v>-7.6390250000000007E-2</v>
      </c>
      <c r="W3881">
        <v>3.4812389999999999E-2</v>
      </c>
      <c r="X3881">
        <v>0.99647010000000003</v>
      </c>
      <c r="Y3881">
        <v>-0.14766089999999901</v>
      </c>
      <c r="Z3881">
        <v>-2.8003220000000001E-3</v>
      </c>
      <c r="AA3881">
        <v>0.98903410000000003</v>
      </c>
      <c r="AB3881">
        <v>28</v>
      </c>
      <c r="AC3881">
        <v>-33.3553</v>
      </c>
      <c r="AD3881">
        <v>-1.1100624491909901</v>
      </c>
      <c r="AE3881">
        <v>-4.6356999999999804</v>
      </c>
      <c r="AF3881">
        <v>-5.0119323940039902</v>
      </c>
      <c r="AG3881">
        <v>-1.1100624491909901</v>
      </c>
      <c r="AH3881">
        <v>33.263881611961601</v>
      </c>
      <c r="AI3881">
        <v>91.890013890406493</v>
      </c>
      <c r="AJ3881">
        <v>98.568412057994905</v>
      </c>
      <c r="AK3881">
        <v>33.6576518024916</v>
      </c>
      <c r="AL3881">
        <v>88.004993913886494</v>
      </c>
      <c r="AM3881">
        <v>94.383769232737805</v>
      </c>
      <c r="AN3881">
        <v>1.0000000164932901</v>
      </c>
    </row>
    <row r="3882" spans="1:40" x14ac:dyDescent="0.25">
      <c r="A3882" t="str">
        <f>"20190312150733958"</f>
        <v>20190312150733958</v>
      </c>
      <c r="B3882" t="str">
        <f>"1552374453954111"</f>
        <v>1552374453954111</v>
      </c>
      <c r="C3882" t="s">
        <v>40</v>
      </c>
      <c r="D3882">
        <v>4.3887650000000002</v>
      </c>
      <c r="E3882">
        <v>0.47293230000000003</v>
      </c>
      <c r="F3882" t="s">
        <v>61</v>
      </c>
      <c r="G3882">
        <v>-474.32299999999998</v>
      </c>
      <c r="H3882" s="1">
        <v>4.3028109999999998E-6</v>
      </c>
      <c r="I3882">
        <v>280.10669999999999</v>
      </c>
      <c r="J3882">
        <v>-440.7038</v>
      </c>
      <c r="K3882">
        <v>1.110082</v>
      </c>
      <c r="L3882">
        <v>284.82909999999998</v>
      </c>
      <c r="M3882">
        <v>-0.99982919999999997</v>
      </c>
      <c r="N3882">
        <v>0</v>
      </c>
      <c r="O3882">
        <v>1.193716E-2</v>
      </c>
      <c r="P3882">
        <v>-0.99758769999999997</v>
      </c>
      <c r="Q3882">
        <v>2.09739E-2</v>
      </c>
      <c r="R3882">
        <v>-6.6174880000000005E-2</v>
      </c>
      <c r="S3882">
        <v>-2.981995</v>
      </c>
      <c r="T3882">
        <v>-9.7651360000000006E-2</v>
      </c>
      <c r="U3882">
        <v>-0.41510010000000003</v>
      </c>
      <c r="V3882">
        <v>-7.8046190000000001E-2</v>
      </c>
      <c r="W3882">
        <v>3.5110240000000001E-2</v>
      </c>
      <c r="X3882">
        <v>0.99633130000000003</v>
      </c>
      <c r="Y3882">
        <v>-0.14960229999999999</v>
      </c>
      <c r="Z3882">
        <v>-2.8261570000000001E-3</v>
      </c>
      <c r="AA3882">
        <v>0.98874220000000002</v>
      </c>
      <c r="AB3882">
        <v>28</v>
      </c>
      <c r="AC3882">
        <v>-33.619199999999999</v>
      </c>
      <c r="AD3882">
        <v>-1.1100776971889901</v>
      </c>
      <c r="AE3882">
        <v>-4.7223999999999897</v>
      </c>
      <c r="AF3882">
        <v>-5.117949229013</v>
      </c>
      <c r="AG3882">
        <v>-1.1100776971889901</v>
      </c>
      <c r="AH3882">
        <v>33.524583039870798</v>
      </c>
      <c r="AI3882">
        <v>91.874799617760601</v>
      </c>
      <c r="AJ3882">
        <v>98.679904483142394</v>
      </c>
      <c r="AK3882">
        <v>33.931155960293303</v>
      </c>
      <c r="AL3882">
        <v>87.987917889913106</v>
      </c>
      <c r="AM3882">
        <v>94.479036689311798</v>
      </c>
      <c r="AN3882">
        <v>0.99999999804303097</v>
      </c>
    </row>
    <row r="3883" spans="1:40" x14ac:dyDescent="0.25">
      <c r="A3883" t="str">
        <f>"20190312150733981"</f>
        <v>20190312150733981</v>
      </c>
      <c r="B3883" t="str">
        <f>"1552374453973629"</f>
        <v>1552374453973629</v>
      </c>
      <c r="C3883" t="s">
        <v>40</v>
      </c>
      <c r="D3883">
        <v>4.3567499999999999</v>
      </c>
      <c r="E3883">
        <v>0.47299989999999997</v>
      </c>
      <c r="F3883" t="s">
        <v>61</v>
      </c>
      <c r="G3883">
        <v>-473.80590000000001</v>
      </c>
      <c r="H3883" s="1">
        <v>4.5365760000000001E-6</v>
      </c>
      <c r="I3883">
        <v>280.15769999999998</v>
      </c>
      <c r="J3883">
        <v>-440.99180000000001</v>
      </c>
      <c r="K3883">
        <v>1.1100989999999999</v>
      </c>
      <c r="L3883">
        <v>284.8331</v>
      </c>
      <c r="M3883">
        <v>-0.99982349999999998</v>
      </c>
      <c r="N3883">
        <v>0</v>
      </c>
      <c r="O3883">
        <v>1.2425729999999999E-2</v>
      </c>
      <c r="P3883">
        <v>-0.99751029999999996</v>
      </c>
      <c r="Q3883">
        <v>2.129793E-2</v>
      </c>
      <c r="R3883">
        <v>-6.7231040000000006E-2</v>
      </c>
      <c r="S3883">
        <v>-2.9814449999999999</v>
      </c>
      <c r="T3883">
        <v>-9.9982740000000001E-2</v>
      </c>
      <c r="U3883">
        <v>-0.4207458</v>
      </c>
      <c r="V3883">
        <v>-7.9588759999999995E-2</v>
      </c>
      <c r="W3883">
        <v>3.5429040000000002E-2</v>
      </c>
      <c r="X3883">
        <v>0.99619800000000003</v>
      </c>
      <c r="Y3883">
        <v>-0.15194050000000001</v>
      </c>
      <c r="Z3883">
        <v>-2.9490509999999998E-3</v>
      </c>
      <c r="AA3883">
        <v>0.98838530000000002</v>
      </c>
      <c r="AB3883">
        <v>28</v>
      </c>
      <c r="AC3883">
        <v>-32.814100000000003</v>
      </c>
      <c r="AD3883">
        <v>-1.110094463424</v>
      </c>
      <c r="AE3883">
        <v>-4.6754000000000202</v>
      </c>
      <c r="AF3883">
        <v>-5.0771236824278301</v>
      </c>
      <c r="AG3883">
        <v>-1.110094463424</v>
      </c>
      <c r="AH3883">
        <v>32.716767264532102</v>
      </c>
      <c r="AI3883">
        <v>91.920357681474897</v>
      </c>
      <c r="AJ3883">
        <v>98.821036113436307</v>
      </c>
      <c r="AK3883">
        <v>33.126973221922199</v>
      </c>
      <c r="AL3883">
        <v>87.969640671213995</v>
      </c>
      <c r="AM3883">
        <v>94.567801725077601</v>
      </c>
      <c r="AN3883">
        <v>1.00000002139882</v>
      </c>
    </row>
    <row r="3884" spans="1:40" x14ac:dyDescent="0.25">
      <c r="A3884" t="str">
        <f>"20190312150734001"</f>
        <v>20190312150734001</v>
      </c>
      <c r="B3884" t="str">
        <f>"1552374453994126"</f>
        <v>1552374453994126</v>
      </c>
      <c r="C3884" t="s">
        <v>40</v>
      </c>
      <c r="D3884">
        <v>4.3756009999999996</v>
      </c>
      <c r="E3884">
        <v>0.47305449999999999</v>
      </c>
      <c r="F3884" t="s">
        <v>61</v>
      </c>
      <c r="G3884">
        <v>-474.19380000000001</v>
      </c>
      <c r="H3884" s="1">
        <v>4.360967E-6</v>
      </c>
      <c r="I3884">
        <v>280.11689999999999</v>
      </c>
      <c r="J3884">
        <v>-441.26179999999999</v>
      </c>
      <c r="K3884">
        <v>1.1101110000000001</v>
      </c>
      <c r="L3884">
        <v>284.83690000000001</v>
      </c>
      <c r="M3884">
        <v>-0.99981770000000003</v>
      </c>
      <c r="N3884">
        <v>0</v>
      </c>
      <c r="O3884">
        <v>1.287247E-2</v>
      </c>
      <c r="P3884">
        <v>-0.99739690000000003</v>
      </c>
      <c r="Q3884">
        <v>2.247155E-2</v>
      </c>
      <c r="R3884">
        <v>-6.8516820000000006E-2</v>
      </c>
      <c r="S3884">
        <v>-2.9811100000000001</v>
      </c>
      <c r="T3884">
        <v>-9.9672079999999996E-2</v>
      </c>
      <c r="U3884">
        <v>-0.4234619</v>
      </c>
      <c r="V3884">
        <v>-8.1318580000000001E-2</v>
      </c>
      <c r="W3884">
        <v>3.6597009999999999E-2</v>
      </c>
      <c r="X3884">
        <v>0.99601600000000001</v>
      </c>
      <c r="Y3884">
        <v>-0.15327979999999899</v>
      </c>
      <c r="Z3884">
        <v>-2.9771709999999998E-3</v>
      </c>
      <c r="AA3884">
        <v>0.98817840000000001</v>
      </c>
      <c r="AB3884">
        <v>28</v>
      </c>
      <c r="AC3884">
        <v>-32.932000000000002</v>
      </c>
      <c r="AD3884">
        <v>-1.1101066390330001</v>
      </c>
      <c r="AE3884">
        <v>-4.7200000000000202</v>
      </c>
      <c r="AF3884">
        <v>-5.1378465694477198</v>
      </c>
      <c r="AG3884">
        <v>-1.1101066390330001</v>
      </c>
      <c r="AH3884">
        <v>32.831950800730198</v>
      </c>
      <c r="AI3884">
        <v>91.9132668807936</v>
      </c>
      <c r="AJ3884">
        <v>98.894038643526599</v>
      </c>
      <c r="AK3884">
        <v>33.250064624039098</v>
      </c>
      <c r="AL3884">
        <v>87.902677355842798</v>
      </c>
      <c r="AM3884">
        <v>94.667495609840699</v>
      </c>
      <c r="AN3884">
        <v>0.99999996242507705</v>
      </c>
    </row>
    <row r="3885" spans="1:40" x14ac:dyDescent="0.25">
      <c r="A3885" t="str">
        <f>"20190312150734024"</f>
        <v>20190312150734024</v>
      </c>
      <c r="B3885" t="str">
        <f>"1552374454013645"</f>
        <v>1552374454013645</v>
      </c>
      <c r="C3885" t="s">
        <v>40</v>
      </c>
      <c r="D3885">
        <v>4.6494609999999996</v>
      </c>
      <c r="E3885">
        <v>0.4729293</v>
      </c>
      <c r="F3885" t="s">
        <v>61</v>
      </c>
      <c r="G3885">
        <v>-475.423</v>
      </c>
      <c r="H3885" s="1">
        <v>3.8006850000000001E-6</v>
      </c>
      <c r="I3885">
        <v>279.94310000000002</v>
      </c>
      <c r="J3885">
        <v>-441.53829999999999</v>
      </c>
      <c r="K3885">
        <v>1.1101209999999999</v>
      </c>
      <c r="L3885">
        <v>284.84100000000001</v>
      </c>
      <c r="M3885">
        <v>-0.99981189999999998</v>
      </c>
      <c r="N3885">
        <v>0</v>
      </c>
      <c r="O3885">
        <v>1.3321039999999999E-2</v>
      </c>
      <c r="P3885">
        <v>-0.99726539999999997</v>
      </c>
      <c r="Q3885">
        <v>2.30502E-2</v>
      </c>
      <c r="R3885">
        <v>-7.0219039999999996E-2</v>
      </c>
      <c r="S3885">
        <v>-2.9806819999999998</v>
      </c>
      <c r="T3885">
        <v>-9.6860769999999999E-2</v>
      </c>
      <c r="U3885">
        <v>-0.42700199999999999</v>
      </c>
      <c r="V3885">
        <v>-8.3466189999999996E-2</v>
      </c>
      <c r="W3885">
        <v>3.7170259999999997E-2</v>
      </c>
      <c r="X3885">
        <v>0.99581710000000001</v>
      </c>
      <c r="Y3885">
        <v>-0.154896799999999</v>
      </c>
      <c r="Z3885">
        <v>-2.9340519999999999E-3</v>
      </c>
      <c r="AA3885">
        <v>0.98792630000000003</v>
      </c>
      <c r="AB3885">
        <v>28</v>
      </c>
      <c r="AC3885">
        <v>-33.884700000000002</v>
      </c>
      <c r="AD3885">
        <v>-1.1101171993150001</v>
      </c>
      <c r="AE3885">
        <v>-4.8978999999999902</v>
      </c>
      <c r="AF3885">
        <v>-5.3432719440677996</v>
      </c>
      <c r="AG3885">
        <v>-1.1101171993150001</v>
      </c>
      <c r="AH3885">
        <v>33.780925454263901</v>
      </c>
      <c r="AI3885">
        <v>91.859094620064099</v>
      </c>
      <c r="AJ3885">
        <v>98.988250314378504</v>
      </c>
      <c r="AK3885">
        <v>34.218910558505698</v>
      </c>
      <c r="AL3885">
        <v>87.8698101898744</v>
      </c>
      <c r="AM3885">
        <v>94.791149422857103</v>
      </c>
      <c r="AN3885">
        <v>0.99999996487699605</v>
      </c>
    </row>
    <row r="3886" spans="1:40" x14ac:dyDescent="0.25">
      <c r="A3886" t="str">
        <f>"20190312150734047"</f>
        <v>20190312150734047</v>
      </c>
      <c r="B3886" t="str">
        <f>"1552374454043902"</f>
        <v>1552374454043902</v>
      </c>
      <c r="C3886" t="s">
        <v>40</v>
      </c>
      <c r="D3886">
        <v>4.5521089999999997</v>
      </c>
      <c r="E3886">
        <v>0.47304770000000002</v>
      </c>
      <c r="F3886" t="s">
        <v>61</v>
      </c>
      <c r="G3886">
        <v>-475.86079999999998</v>
      </c>
      <c r="H3886" s="1">
        <v>3.59835E-6</v>
      </c>
      <c r="I3886">
        <v>279.8494</v>
      </c>
      <c r="J3886">
        <v>-441.82060000000001</v>
      </c>
      <c r="K3886">
        <v>1.1101319999999999</v>
      </c>
      <c r="L3886">
        <v>284.84519999999998</v>
      </c>
      <c r="M3886">
        <v>-0.99980579999999997</v>
      </c>
      <c r="N3886">
        <v>0</v>
      </c>
      <c r="O3886">
        <v>1.377252E-2</v>
      </c>
      <c r="P3886">
        <v>-0.9971314</v>
      </c>
      <c r="Q3886">
        <v>2.2937880000000001E-2</v>
      </c>
      <c r="R3886">
        <v>-7.2132810000000006E-2</v>
      </c>
      <c r="S3886">
        <v>-2.9799500000000001</v>
      </c>
      <c r="T3886">
        <v>-9.6382499999999996E-2</v>
      </c>
      <c r="U3886">
        <v>-0.43338009999999899</v>
      </c>
      <c r="V3886">
        <v>-8.5828189999999999E-2</v>
      </c>
      <c r="W3886">
        <v>3.7053030000000001E-2</v>
      </c>
      <c r="X3886">
        <v>0.99562070000000003</v>
      </c>
      <c r="Y3886">
        <v>-0.15744720000000001</v>
      </c>
      <c r="Z3886">
        <v>-2.9753869999999999E-3</v>
      </c>
      <c r="AA3886">
        <v>0.98752300000000004</v>
      </c>
      <c r="AB3886">
        <v>28</v>
      </c>
      <c r="AC3886">
        <v>-34.040199999999899</v>
      </c>
      <c r="AD3886">
        <v>-1.1101284016499999</v>
      </c>
      <c r="AE3886">
        <v>-4.9957999999999698</v>
      </c>
      <c r="AF3886">
        <v>-5.45850894314699</v>
      </c>
      <c r="AG3886">
        <v>-1.1101284016499999</v>
      </c>
      <c r="AH3886">
        <v>33.932830526856797</v>
      </c>
      <c r="AI3886">
        <v>91.850023403100295</v>
      </c>
      <c r="AJ3886">
        <v>99.138436406483805</v>
      </c>
      <c r="AK3886">
        <v>34.386984347496202</v>
      </c>
      <c r="AL3886">
        <v>87.876531661646595</v>
      </c>
      <c r="AM3886">
        <v>94.927042502776899</v>
      </c>
      <c r="AN3886">
        <v>0.99999999174967302</v>
      </c>
    </row>
    <row r="3887" spans="1:40" x14ac:dyDescent="0.25">
      <c r="A3887" t="str">
        <f>"20190312150734069"</f>
        <v>20190312150734069</v>
      </c>
      <c r="B3887" t="str">
        <f>"1552374454064397"</f>
        <v>1552374454064397</v>
      </c>
      <c r="C3887" t="s">
        <v>40</v>
      </c>
      <c r="D3887">
        <v>4.3620390000000002</v>
      </c>
      <c r="E3887">
        <v>0.47317809999999999</v>
      </c>
      <c r="F3887" t="s">
        <v>61</v>
      </c>
      <c r="G3887">
        <v>-476.14240000000001</v>
      </c>
      <c r="H3887" s="1">
        <v>3.4689599999999902E-6</v>
      </c>
      <c r="I3887">
        <v>279.79759999999999</v>
      </c>
      <c r="J3887">
        <v>-442.09890000000001</v>
      </c>
      <c r="K3887">
        <v>1.1101399999999999</v>
      </c>
      <c r="L3887">
        <v>284.84960000000001</v>
      </c>
      <c r="M3887">
        <v>-0.99979969999999996</v>
      </c>
      <c r="N3887">
        <v>0</v>
      </c>
      <c r="O3887">
        <v>1.421408E-2</v>
      </c>
      <c r="P3887">
        <v>-0.9969983</v>
      </c>
      <c r="Q3887">
        <v>2.340828E-2</v>
      </c>
      <c r="R3887">
        <v>-7.3800740000000004E-2</v>
      </c>
      <c r="S3887">
        <v>-2.979187</v>
      </c>
      <c r="T3887">
        <v>-9.6361160000000001E-2</v>
      </c>
      <c r="U3887">
        <v>-0.4381409</v>
      </c>
      <c r="V3887">
        <v>-8.7933890000000001E-2</v>
      </c>
      <c r="W3887">
        <v>3.751906E-2</v>
      </c>
      <c r="X3887">
        <v>0.99541950000000001</v>
      </c>
      <c r="Y3887">
        <v>-0.15946270000000001</v>
      </c>
      <c r="Z3887">
        <v>-3.021765E-3</v>
      </c>
      <c r="AA3887">
        <v>0.9871993</v>
      </c>
      <c r="AB3887">
        <v>28</v>
      </c>
      <c r="AC3887">
        <v>-34.043499999999902</v>
      </c>
      <c r="AD3887">
        <v>-1.11013653104</v>
      </c>
      <c r="AE3887">
        <v>-5.05200000000002</v>
      </c>
      <c r="AF3887">
        <v>-5.5296811957798004</v>
      </c>
      <c r="AG3887">
        <v>-1.11013653104</v>
      </c>
      <c r="AH3887">
        <v>33.9329376468555</v>
      </c>
      <c r="AI3887">
        <v>91.849419563385794</v>
      </c>
      <c r="AJ3887">
        <v>99.255512494860099</v>
      </c>
      <c r="AK3887">
        <v>34.398459770604397</v>
      </c>
      <c r="AL3887">
        <v>87.849811578634501</v>
      </c>
      <c r="AM3887">
        <v>95.048319995006096</v>
      </c>
      <c r="AN3887">
        <v>1.0000000149270301</v>
      </c>
    </row>
    <row r="3888" spans="1:40" x14ac:dyDescent="0.25">
      <c r="A3888" t="str">
        <f>"20190312150734091"</f>
        <v>20190312150734091</v>
      </c>
      <c r="B3888" t="str">
        <f>"1552374454083917"</f>
        <v>1552374454083917</v>
      </c>
      <c r="C3888" t="s">
        <v>40</v>
      </c>
      <c r="D3888">
        <v>4.5246589999999998</v>
      </c>
      <c r="E3888">
        <v>0.473246</v>
      </c>
      <c r="F3888" t="s">
        <v>61</v>
      </c>
      <c r="G3888">
        <v>-476.6653</v>
      </c>
      <c r="H3888" s="1">
        <v>3.2300259999999999E-6</v>
      </c>
      <c r="I3888">
        <v>279.71699999999998</v>
      </c>
      <c r="J3888">
        <v>-442.37310000000002</v>
      </c>
      <c r="K3888">
        <v>1.1101490000000001</v>
      </c>
      <c r="L3888">
        <v>284.85390000000001</v>
      </c>
      <c r="M3888">
        <v>-0.99979359999999995</v>
      </c>
      <c r="N3888">
        <v>0</v>
      </c>
      <c r="O3888">
        <v>1.4648690000000001E-2</v>
      </c>
      <c r="P3888">
        <v>-0.99680239999999998</v>
      </c>
      <c r="Q3888">
        <v>2.5219930000000002E-2</v>
      </c>
      <c r="R3888">
        <v>-7.5823870000000002E-2</v>
      </c>
      <c r="S3888">
        <v>-2.9785159999999999</v>
      </c>
      <c r="T3888">
        <v>-9.5658300000000002E-2</v>
      </c>
      <c r="U3888">
        <v>-0.44226070000000001</v>
      </c>
      <c r="V3888">
        <v>-9.0385090000000001E-2</v>
      </c>
      <c r="W3888">
        <v>3.932542E-2</v>
      </c>
      <c r="X3888">
        <v>0.99513019999999996</v>
      </c>
      <c r="Y3888">
        <v>-0.16126009999999999</v>
      </c>
      <c r="Z3888">
        <v>-3.0426870000000001E-3</v>
      </c>
      <c r="AA3888">
        <v>0.98690719999999998</v>
      </c>
      <c r="AB3888">
        <v>28</v>
      </c>
      <c r="AC3888">
        <v>-34.292199999999902</v>
      </c>
      <c r="AD3888">
        <v>-1.1101457699740001</v>
      </c>
      <c r="AE3888">
        <v>-5.1369000000000202</v>
      </c>
      <c r="AF3888">
        <v>-5.6329604128923103</v>
      </c>
      <c r="AG3888">
        <v>-1.1101457699740001</v>
      </c>
      <c r="AH3888">
        <v>34.178230158598701</v>
      </c>
      <c r="AI3888">
        <v>91.835628569682598</v>
      </c>
      <c r="AJ3888">
        <v>99.358862661527198</v>
      </c>
      <c r="AK3888">
        <v>34.657092829865903</v>
      </c>
      <c r="AL3888">
        <v>87.746238325637094</v>
      </c>
      <c r="AM3888">
        <v>95.189786767021602</v>
      </c>
      <c r="AN3888">
        <v>1.0000000340522599</v>
      </c>
    </row>
    <row r="3889" spans="1:40" x14ac:dyDescent="0.25">
      <c r="A3889" t="str">
        <f>"20190312150734114"</f>
        <v>20190312150734114</v>
      </c>
      <c r="B3889" t="str">
        <f>"1552374454103438"</f>
        <v>1552374454103438</v>
      </c>
      <c r="C3889" t="s">
        <v>40</v>
      </c>
      <c r="D3889">
        <v>4.4236319999999996</v>
      </c>
      <c r="E3889">
        <v>0.47333049999999999</v>
      </c>
      <c r="F3889" t="s">
        <v>61</v>
      </c>
      <c r="G3889">
        <v>-478.82400000000001</v>
      </c>
      <c r="H3889" s="1">
        <v>2.232009E-6</v>
      </c>
      <c r="I3889">
        <v>279.375</v>
      </c>
      <c r="J3889">
        <v>-442.65440000000001</v>
      </c>
      <c r="K3889">
        <v>1.1101559999999999</v>
      </c>
      <c r="L3889">
        <v>284.85860000000002</v>
      </c>
      <c r="M3889">
        <v>-0.99978690000000003</v>
      </c>
      <c r="N3889">
        <v>0</v>
      </c>
      <c r="O3889">
        <v>1.50954E-2</v>
      </c>
      <c r="P3889">
        <v>-0.99653080000000005</v>
      </c>
      <c r="Q3889">
        <v>2.786653E-2</v>
      </c>
      <c r="R3889">
        <v>-7.8423019999999996E-2</v>
      </c>
      <c r="S3889">
        <v>-2.977875</v>
      </c>
      <c r="T3889">
        <v>-9.0693949999999995E-2</v>
      </c>
      <c r="U3889">
        <v>-0.44760129999999998</v>
      </c>
      <c r="V3889">
        <v>-9.3422900000000003E-2</v>
      </c>
      <c r="W3889">
        <v>4.1965860000000001E-2</v>
      </c>
      <c r="X3889">
        <v>0.99474169999999995</v>
      </c>
      <c r="Y3889">
        <v>-0.16347049999999999</v>
      </c>
      <c r="Z3889">
        <v>-2.9320890000000001E-3</v>
      </c>
      <c r="AA3889">
        <v>0.98654379999999997</v>
      </c>
      <c r="AB3889">
        <v>28</v>
      </c>
      <c r="AC3889">
        <v>-36.169600000000003</v>
      </c>
      <c r="AD3889">
        <v>-1.1101537679910001</v>
      </c>
      <c r="AE3889">
        <v>-5.4836000000000196</v>
      </c>
      <c r="AF3889">
        <v>-6.02347679908054</v>
      </c>
      <c r="AG3889">
        <v>-1.1101537679910001</v>
      </c>
      <c r="AH3889">
        <v>36.049494840583399</v>
      </c>
      <c r="AI3889">
        <v>91.739777400230395</v>
      </c>
      <c r="AJ3889">
        <v>99.485868774942006</v>
      </c>
      <c r="AK3889">
        <v>36.566115358332702</v>
      </c>
      <c r="AL3889">
        <v>87.594827039736899</v>
      </c>
      <c r="AM3889">
        <v>95.365295296243104</v>
      </c>
      <c r="AN3889">
        <v>1.00000001068441</v>
      </c>
    </row>
    <row r="3890" spans="1:40" x14ac:dyDescent="0.25">
      <c r="A3890" t="str">
        <f>"20190312150734136"</f>
        <v>20190312150734136</v>
      </c>
      <c r="B3890" t="str">
        <f>"1552374454123934"</f>
        <v>1552374454123934</v>
      </c>
      <c r="C3890" t="s">
        <v>40</v>
      </c>
      <c r="D3890">
        <v>4.4044129999999999</v>
      </c>
      <c r="E3890">
        <v>0.4744391</v>
      </c>
      <c r="F3890" t="s">
        <v>61</v>
      </c>
      <c r="G3890">
        <v>-482.26519999999999</v>
      </c>
      <c r="H3890" s="1">
        <v>1.884364E-6</v>
      </c>
      <c r="I3890">
        <v>278.80700000000002</v>
      </c>
      <c r="J3890">
        <v>-442.93619999999999</v>
      </c>
      <c r="K3890">
        <v>1.1101479999999999</v>
      </c>
      <c r="L3890">
        <v>284.86329999999998</v>
      </c>
      <c r="M3890">
        <v>-0.99977990000000005</v>
      </c>
      <c r="N3890">
        <v>0</v>
      </c>
      <c r="O3890">
        <v>1.5544860000000001E-2</v>
      </c>
      <c r="P3890">
        <v>-0.99626020000000004</v>
      </c>
      <c r="Q3890">
        <v>2.8078369999999998E-2</v>
      </c>
      <c r="R3890">
        <v>-8.1714789999999995E-2</v>
      </c>
      <c r="S3890">
        <v>-2.9769589999999999</v>
      </c>
      <c r="T3890">
        <v>-8.3433869999999993E-2</v>
      </c>
      <c r="U3890">
        <v>-0.45480350000000003</v>
      </c>
      <c r="V3890">
        <v>-9.7157199999999999E-2</v>
      </c>
      <c r="W3890">
        <v>4.2172620000000001E-2</v>
      </c>
      <c r="X3890">
        <v>0.99437520000000001</v>
      </c>
      <c r="Y3890">
        <v>-0.16630229999999999</v>
      </c>
      <c r="Z3890">
        <v>-2.7497799999999998E-3</v>
      </c>
      <c r="AA3890">
        <v>0.98607100000000003</v>
      </c>
      <c r="AB3890">
        <v>28</v>
      </c>
      <c r="AC3890">
        <v>-39.329000000000001</v>
      </c>
      <c r="AD3890">
        <v>-1.110146115636</v>
      </c>
      <c r="AE3890">
        <v>-6.0562999999999603</v>
      </c>
      <c r="AF3890">
        <v>-6.66180757441869</v>
      </c>
      <c r="AG3890">
        <v>-1.110146115636</v>
      </c>
      <c r="AH3890">
        <v>39.1995836253449</v>
      </c>
      <c r="AI3890">
        <v>91.599284806686001</v>
      </c>
      <c r="AJ3890">
        <v>99.645031311044804</v>
      </c>
      <c r="AK3890">
        <v>39.777122331272999</v>
      </c>
      <c r="AL3890">
        <v>87.582970150171107</v>
      </c>
      <c r="AM3890">
        <v>95.580472961407494</v>
      </c>
      <c r="AN3890">
        <v>1.0000000448822699</v>
      </c>
    </row>
    <row r="3891" spans="1:40" x14ac:dyDescent="0.25">
      <c r="A3891" t="str">
        <f>"20190312150734159"</f>
        <v>20190312150734159</v>
      </c>
      <c r="B3891" t="str">
        <f>"1552374454154189"</f>
        <v>1552374454154189</v>
      </c>
      <c r="C3891" t="s">
        <v>40</v>
      </c>
      <c r="D3891">
        <v>4.3887720000000003</v>
      </c>
      <c r="E3891">
        <v>0.47580299999999998</v>
      </c>
      <c r="F3891" t="s">
        <v>61</v>
      </c>
      <c r="G3891">
        <v>-482.29910000000001</v>
      </c>
      <c r="H3891" s="1">
        <v>1.901236E-6</v>
      </c>
      <c r="I3891">
        <v>278.83780000000002</v>
      </c>
      <c r="J3891">
        <v>-443.20920000000001</v>
      </c>
      <c r="K3891">
        <v>1.1101479999999999</v>
      </c>
      <c r="L3891">
        <v>284.86799999999999</v>
      </c>
      <c r="M3891">
        <v>-0.99977320000000003</v>
      </c>
      <c r="N3891">
        <v>0</v>
      </c>
      <c r="O3891">
        <v>1.59823999999999E-2</v>
      </c>
      <c r="P3891">
        <v>-0.9960175</v>
      </c>
      <c r="Q3891">
        <v>2.6516080000000001E-2</v>
      </c>
      <c r="R3891">
        <v>-8.5125409999999999E-2</v>
      </c>
      <c r="S3891">
        <v>-2.9762879999999998</v>
      </c>
      <c r="T3891">
        <v>-8.393979E-2</v>
      </c>
      <c r="U3891">
        <v>-0.45559690000000003</v>
      </c>
      <c r="V3891">
        <v>-0.1010004</v>
      </c>
      <c r="W3891">
        <v>4.0605660000000002E-2</v>
      </c>
      <c r="X3891">
        <v>0.99405739999999998</v>
      </c>
      <c r="Y3891">
        <v>-0.16702249999999999</v>
      </c>
      <c r="Z3891">
        <v>-2.7893779999999999E-3</v>
      </c>
      <c r="AA3891">
        <v>0.98594919999999997</v>
      </c>
      <c r="AB3891">
        <v>28</v>
      </c>
      <c r="AC3891">
        <v>-39.0899</v>
      </c>
      <c r="AD3891">
        <v>-1.1101460987639999</v>
      </c>
      <c r="AE3891">
        <v>-6.0301999999999696</v>
      </c>
      <c r="AF3891">
        <v>-6.6490038439844303</v>
      </c>
      <c r="AG3891">
        <v>-1.1101460987639999</v>
      </c>
      <c r="AH3891">
        <v>38.9578285184595</v>
      </c>
      <c r="AI3891">
        <v>91.609010801889795</v>
      </c>
      <c r="AJ3891">
        <v>99.685452920166497</v>
      </c>
      <c r="AK3891">
        <v>39.536743408526</v>
      </c>
      <c r="AL3891">
        <v>87.672827261328294</v>
      </c>
      <c r="AM3891">
        <v>95.801582067433998</v>
      </c>
      <c r="AN3891">
        <v>1.0000000074594699</v>
      </c>
    </row>
    <row r="3892" spans="1:40" x14ac:dyDescent="0.25">
      <c r="A3892" t="str">
        <f>"20190312150734181"</f>
        <v>20190312150734181</v>
      </c>
      <c r="B3892" t="str">
        <f>"1552374454173710"</f>
        <v>1552374454173710</v>
      </c>
      <c r="C3892" t="s">
        <v>40</v>
      </c>
      <c r="D3892">
        <v>4.40245</v>
      </c>
      <c r="E3892">
        <v>0.47654259999999898</v>
      </c>
      <c r="F3892" t="s">
        <v>61</v>
      </c>
      <c r="G3892">
        <v>-480.40559999999999</v>
      </c>
      <c r="H3892" s="1">
        <v>1.724539E-6</v>
      </c>
      <c r="I3892">
        <v>279.18290000000002</v>
      </c>
      <c r="J3892">
        <v>-443.48349999999999</v>
      </c>
      <c r="K3892">
        <v>1.110142</v>
      </c>
      <c r="L3892">
        <v>284.87290000000002</v>
      </c>
      <c r="M3892">
        <v>-0.99976600000000004</v>
      </c>
      <c r="N3892">
        <v>0</v>
      </c>
      <c r="O3892">
        <v>1.6422989999999998E-2</v>
      </c>
      <c r="P3892">
        <v>-0.99582250000000005</v>
      </c>
      <c r="Q3892">
        <v>2.5447930000000001E-2</v>
      </c>
      <c r="R3892">
        <v>-8.7694259999999996E-2</v>
      </c>
      <c r="S3892">
        <v>-2.9754939999999999</v>
      </c>
      <c r="T3892">
        <v>-8.8805200000000001E-2</v>
      </c>
      <c r="U3892">
        <v>-0.45477289999999998</v>
      </c>
      <c r="V3892">
        <v>-0.10400479999999999</v>
      </c>
      <c r="W3892">
        <v>3.9532680000000001E-2</v>
      </c>
      <c r="X3892">
        <v>0.99379079999999997</v>
      </c>
      <c r="Y3892">
        <v>-0.1672207</v>
      </c>
      <c r="Z3892">
        <v>-2.9678479999999999E-3</v>
      </c>
      <c r="AA3892">
        <v>0.98591499999999999</v>
      </c>
      <c r="AB3892">
        <v>28</v>
      </c>
      <c r="AC3892">
        <v>-36.9221</v>
      </c>
      <c r="AD3892">
        <v>-1.1101402754609999</v>
      </c>
      <c r="AE3892">
        <v>-5.6899999999999897</v>
      </c>
      <c r="AF3892">
        <v>-6.29010931462504</v>
      </c>
      <c r="AG3892">
        <v>-1.1101402754609999</v>
      </c>
      <c r="AH3892">
        <v>36.791174639994601</v>
      </c>
      <c r="AI3892">
        <v>91.703619501909799</v>
      </c>
      <c r="AJ3892">
        <v>99.701934753200604</v>
      </c>
      <c r="AK3892">
        <v>37.341510655190604</v>
      </c>
      <c r="AL3892">
        <v>87.734353867386005</v>
      </c>
      <c r="AM3892">
        <v>95.9745193076633</v>
      </c>
      <c r="AN3892">
        <v>0.99999999268783102</v>
      </c>
    </row>
    <row r="3893" spans="1:40" x14ac:dyDescent="0.25">
      <c r="A3893" t="str">
        <f>"20190312150734202"</f>
        <v>20190312150734202</v>
      </c>
      <c r="B3893" t="str">
        <f>"1552374454194205"</f>
        <v>1552374454194205</v>
      </c>
      <c r="C3893" t="s">
        <v>40</v>
      </c>
      <c r="D3893">
        <v>4.3266210000000003</v>
      </c>
      <c r="E3893">
        <v>0.47730220000000001</v>
      </c>
      <c r="F3893" t="s">
        <v>61</v>
      </c>
      <c r="G3893">
        <v>-479.62889999999999</v>
      </c>
      <c r="H3893" s="1">
        <v>1.868814E-6</v>
      </c>
      <c r="I3893">
        <v>279.32780000000002</v>
      </c>
      <c r="J3893">
        <v>-443.7602</v>
      </c>
      <c r="K3893">
        <v>1.110142</v>
      </c>
      <c r="L3893">
        <v>284.87790000000001</v>
      </c>
      <c r="M3893">
        <v>-0.99975860000000005</v>
      </c>
      <c r="N3893">
        <v>0</v>
      </c>
      <c r="O3893">
        <v>1.6867989999999999E-2</v>
      </c>
      <c r="P3893">
        <v>-0.99571900000000002</v>
      </c>
      <c r="Q3893">
        <v>2.3825550000000001E-2</v>
      </c>
      <c r="R3893">
        <v>-8.9309680000000002E-2</v>
      </c>
      <c r="S3893">
        <v>-2.9747620000000001</v>
      </c>
      <c r="T3893">
        <v>-9.1364379999999995E-2</v>
      </c>
      <c r="U3893">
        <v>-0.45635989999999999</v>
      </c>
      <c r="V3893">
        <v>-0.1060622</v>
      </c>
      <c r="W3893">
        <v>3.7906919999999997E-2</v>
      </c>
      <c r="X3893">
        <v>0.99363670000000004</v>
      </c>
      <c r="Y3893">
        <v>-0.1682042</v>
      </c>
      <c r="Z3893">
        <v>-3.0825620000000001E-3</v>
      </c>
      <c r="AA3893">
        <v>0.98574729999999999</v>
      </c>
      <c r="AB3893">
        <v>28</v>
      </c>
      <c r="AC3893">
        <v>-35.868699999999897</v>
      </c>
      <c r="AD3893">
        <v>-1.110140131186</v>
      </c>
      <c r="AE3893">
        <v>-5.55009999999998</v>
      </c>
      <c r="AF3893">
        <v>-6.1486509207293203</v>
      </c>
      <c r="AG3893">
        <v>-1.110140131186</v>
      </c>
      <c r="AH3893">
        <v>35.736535559916703</v>
      </c>
      <c r="AI3893">
        <v>91.753547253270298</v>
      </c>
      <c r="AJ3893">
        <v>99.762443975596398</v>
      </c>
      <c r="AK3893">
        <v>36.278620330451503</v>
      </c>
      <c r="AL3893">
        <v>87.827573002964698</v>
      </c>
      <c r="AM3893">
        <v>96.092763425667698</v>
      </c>
      <c r="AN3893">
        <v>1.0000000082198</v>
      </c>
    </row>
    <row r="3894" spans="1:40" x14ac:dyDescent="0.25">
      <c r="A3894" t="str">
        <f>"20190312150734225"</f>
        <v>20190312150734225</v>
      </c>
      <c r="B3894" t="str">
        <f>"1552374454213726"</f>
        <v>1552374454213726</v>
      </c>
      <c r="C3894" t="s">
        <v>40</v>
      </c>
      <c r="D3894">
        <v>4.3656579999999998</v>
      </c>
      <c r="E3894">
        <v>0.47802309999999998</v>
      </c>
      <c r="F3894" t="s">
        <v>61</v>
      </c>
      <c r="G3894">
        <v>-478.58609999999999</v>
      </c>
      <c r="H3894" s="1">
        <v>2.3605859999999999E-6</v>
      </c>
      <c r="I3894">
        <v>279.54950000000002</v>
      </c>
      <c r="J3894">
        <v>-444.0333</v>
      </c>
      <c r="K3894">
        <v>1.1101460000000001</v>
      </c>
      <c r="L3894">
        <v>284.88299999999998</v>
      </c>
      <c r="M3894">
        <v>-0.99975130000000001</v>
      </c>
      <c r="N3894">
        <v>0</v>
      </c>
      <c r="O3894">
        <v>1.7305879999999999E-2</v>
      </c>
      <c r="P3894">
        <v>-0.99556990000000001</v>
      </c>
      <c r="Q3894">
        <v>2.2983219999999999E-2</v>
      </c>
      <c r="R3894">
        <v>-9.1175179999999995E-2</v>
      </c>
      <c r="S3894">
        <v>-2.9743650000000001</v>
      </c>
      <c r="T3894">
        <v>-9.4813350000000005E-2</v>
      </c>
      <c r="U3894">
        <v>-0.45507809999999999</v>
      </c>
      <c r="V3894">
        <v>-0.108361</v>
      </c>
      <c r="W3894">
        <v>3.706019E-2</v>
      </c>
      <c r="X3894">
        <v>0.99342059999999999</v>
      </c>
      <c r="Y3894">
        <v>-0.16823389999999999</v>
      </c>
      <c r="Z3894">
        <v>-3.2137490000000001E-3</v>
      </c>
      <c r="AA3894">
        <v>0.98574189999999995</v>
      </c>
      <c r="AB3894">
        <v>28</v>
      </c>
      <c r="AC3894">
        <v>-34.552799999999898</v>
      </c>
      <c r="AD3894">
        <v>-1.1101436394139901</v>
      </c>
      <c r="AE3894">
        <v>-5.3334999999999502</v>
      </c>
      <c r="AF3894">
        <v>-5.9247532838732697</v>
      </c>
      <c r="AG3894">
        <v>-1.1101436394139901</v>
      </c>
      <c r="AH3894">
        <v>34.420610011241301</v>
      </c>
      <c r="AI3894">
        <v>91.8205259265401</v>
      </c>
      <c r="AJ3894">
        <v>99.7665083247132</v>
      </c>
      <c r="AK3894">
        <v>34.944434663059901</v>
      </c>
      <c r="AL3894">
        <v>87.876121215220493</v>
      </c>
      <c r="AM3894">
        <v>96.225136188014702</v>
      </c>
      <c r="AN3894">
        <v>1.00000002625409</v>
      </c>
    </row>
    <row r="3895" spans="1:40" x14ac:dyDescent="0.25">
      <c r="A3895" t="str">
        <f>"20190312150734247"</f>
        <v>20190312150734247</v>
      </c>
      <c r="B3895" t="str">
        <f>"1552374454243981"</f>
        <v>1552374454243981</v>
      </c>
      <c r="C3895" t="s">
        <v>40</v>
      </c>
      <c r="D3895">
        <v>4.3653769999999996</v>
      </c>
      <c r="E3895">
        <v>0.47899969999999997</v>
      </c>
      <c r="F3895" t="s">
        <v>61</v>
      </c>
      <c r="G3895">
        <v>-478.04950000000002</v>
      </c>
      <c r="H3895" s="1">
        <v>2.6130409999999999E-6</v>
      </c>
      <c r="I3895">
        <v>279.68090000000001</v>
      </c>
      <c r="J3895">
        <v>-444.30779999999999</v>
      </c>
      <c r="K3895">
        <v>1.1101589999999999</v>
      </c>
      <c r="L3895">
        <v>284.88819999999998</v>
      </c>
      <c r="M3895">
        <v>-0.99974350000000001</v>
      </c>
      <c r="N3895">
        <v>0</v>
      </c>
      <c r="O3895">
        <v>1.7741299999999901E-2</v>
      </c>
      <c r="P3895">
        <v>-0.99549390000000004</v>
      </c>
      <c r="Q3895">
        <v>2.3539310000000001E-2</v>
      </c>
      <c r="R3895">
        <v>-9.1857090000000002E-2</v>
      </c>
      <c r="S3895">
        <v>-2.973938</v>
      </c>
      <c r="T3895">
        <v>-9.7056749999999997E-2</v>
      </c>
      <c r="U3895">
        <v>-0.45480350000000003</v>
      </c>
      <c r="V3895">
        <v>-0.10947469999999999</v>
      </c>
      <c r="W3895">
        <v>3.7611499999999999E-2</v>
      </c>
      <c r="X3895">
        <v>0.99327770000000004</v>
      </c>
      <c r="Y3895">
        <v>-0.1685905</v>
      </c>
      <c r="Z3895">
        <v>-3.3101580000000001E-3</v>
      </c>
      <c r="AA3895">
        <v>0.98568060000000002</v>
      </c>
      <c r="AB3895">
        <v>28</v>
      </c>
      <c r="AC3895">
        <v>-33.741700000000002</v>
      </c>
      <c r="AD3895">
        <v>-1.1101563869589901</v>
      </c>
      <c r="AE3895">
        <v>-5.2072999999999698</v>
      </c>
      <c r="AF3895">
        <v>-5.7990297050355899</v>
      </c>
      <c r="AG3895">
        <v>-1.1101563869589901</v>
      </c>
      <c r="AH3895">
        <v>33.608459590883399</v>
      </c>
      <c r="AI3895">
        <v>91.864379206018995</v>
      </c>
      <c r="AJ3895">
        <v>99.7898035461766</v>
      </c>
      <c r="AK3895">
        <v>34.123155610163501</v>
      </c>
      <c r="AL3895">
        <v>87.844511301937303</v>
      </c>
      <c r="AM3895">
        <v>96.289503622189599</v>
      </c>
      <c r="AN3895">
        <v>0.99999996209481401</v>
      </c>
    </row>
    <row r="3896" spans="1:40" x14ac:dyDescent="0.25">
      <c r="A3896" t="str">
        <f>"20190312150734270"</f>
        <v>20190312150734270</v>
      </c>
      <c r="B3896" t="str">
        <f>"1552374454263502"</f>
        <v>1552374454263502</v>
      </c>
      <c r="C3896" t="s">
        <v>40</v>
      </c>
      <c r="D3896">
        <v>4.3533429999999997</v>
      </c>
      <c r="E3896">
        <v>0.47962529999999998</v>
      </c>
      <c r="F3896" t="s">
        <v>61</v>
      </c>
      <c r="G3896">
        <v>-479.2278</v>
      </c>
      <c r="H3896" s="1">
        <v>2.084993E-6</v>
      </c>
      <c r="I3896">
        <v>279.61759999999998</v>
      </c>
      <c r="J3896">
        <v>-444.58890000000002</v>
      </c>
      <c r="K3896">
        <v>1.1101730000000001</v>
      </c>
      <c r="L3896">
        <v>284.89370000000002</v>
      </c>
      <c r="M3896">
        <v>-0.99973579999999995</v>
      </c>
      <c r="N3896">
        <v>0</v>
      </c>
      <c r="O3896">
        <v>1.817906E-2</v>
      </c>
      <c r="P3896">
        <v>-0.99540720000000005</v>
      </c>
      <c r="Q3896">
        <v>2.5332500000000001E-2</v>
      </c>
      <c r="R3896">
        <v>-9.2319609999999996E-2</v>
      </c>
      <c r="S3896">
        <v>-2.9744570000000001</v>
      </c>
      <c r="T3896">
        <v>-9.456241E-2</v>
      </c>
      <c r="U3896">
        <v>-0.44894410000000001</v>
      </c>
      <c r="V3896">
        <v>-0.1103693</v>
      </c>
      <c r="W3896">
        <v>3.9398309999999999E-2</v>
      </c>
      <c r="X3896">
        <v>0.99310949999999998</v>
      </c>
      <c r="Y3896">
        <v>-0.167103799999999</v>
      </c>
      <c r="Z3896">
        <v>-3.215397E-3</v>
      </c>
      <c r="AA3896">
        <v>0.98593410000000004</v>
      </c>
      <c r="AB3896">
        <v>28</v>
      </c>
      <c r="AC3896">
        <v>-34.6388999999999</v>
      </c>
      <c r="AD3896">
        <v>-1.1101709150069901</v>
      </c>
      <c r="AE3896">
        <v>-5.2761000000000404</v>
      </c>
      <c r="AF3896">
        <v>-5.8990708007397599</v>
      </c>
      <c r="AG3896">
        <v>-1.1101709150069901</v>
      </c>
      <c r="AH3896">
        <v>34.502613467468002</v>
      </c>
      <c r="AI3896">
        <v>91.816595440501402</v>
      </c>
      <c r="AJ3896">
        <v>99.702308993951505</v>
      </c>
      <c r="AK3896">
        <v>35.020877371336297</v>
      </c>
      <c r="AL3896">
        <v>87.742058820068294</v>
      </c>
      <c r="AM3896">
        <v>96.341548098113194</v>
      </c>
      <c r="AN3896">
        <v>1.00000004410179</v>
      </c>
    </row>
    <row r="3897" spans="1:40" x14ac:dyDescent="0.25">
      <c r="A3897" t="str">
        <f>"20190312150734292"</f>
        <v>20190312150734292</v>
      </c>
      <c r="B3897" t="str">
        <f>"1552374454283998"</f>
        <v>1552374454283998</v>
      </c>
      <c r="C3897" t="s">
        <v>40</v>
      </c>
      <c r="D3897">
        <v>4.403327</v>
      </c>
      <c r="E3897">
        <v>0.48017549999999998</v>
      </c>
      <c r="F3897" t="s">
        <v>61</v>
      </c>
      <c r="G3897">
        <v>-481.9751</v>
      </c>
      <c r="H3897" s="1">
        <v>2.0062430000000001E-6</v>
      </c>
      <c r="I3897">
        <v>279.29739999999998</v>
      </c>
      <c r="J3897">
        <v>-444.86290000000002</v>
      </c>
      <c r="K3897">
        <v>1.1101829999999999</v>
      </c>
      <c r="L3897">
        <v>284.89909999999998</v>
      </c>
      <c r="M3897">
        <v>-0.99972830000000001</v>
      </c>
      <c r="N3897">
        <v>0</v>
      </c>
      <c r="O3897">
        <v>1.858723E-2</v>
      </c>
      <c r="P3897">
        <v>-0.99534480000000003</v>
      </c>
      <c r="Q3897">
        <v>2.6079430000000001E-2</v>
      </c>
      <c r="R3897">
        <v>-9.2782770000000001E-2</v>
      </c>
      <c r="S3897">
        <v>-2.9747309999999998</v>
      </c>
      <c r="T3897">
        <v>-8.8333610000000007E-2</v>
      </c>
      <c r="U3897">
        <v>-0.44528200000000001</v>
      </c>
      <c r="V3897">
        <v>-0.1112373</v>
      </c>
      <c r="W3897">
        <v>4.0138239999999999E-2</v>
      </c>
      <c r="X3897">
        <v>0.99298299999999995</v>
      </c>
      <c r="Y3897">
        <v>-0.16631770000000001</v>
      </c>
      <c r="Z3897">
        <v>-3.0041460000000001E-3</v>
      </c>
      <c r="AA3897">
        <v>0.98606769999999999</v>
      </c>
      <c r="AB3897">
        <v>28</v>
      </c>
      <c r="AC3897">
        <v>-37.112199999999902</v>
      </c>
      <c r="AD3897">
        <v>-1.110180993757</v>
      </c>
      <c r="AE3897">
        <v>-5.6016999999999904</v>
      </c>
      <c r="AF3897">
        <v>-6.2851143138693804</v>
      </c>
      <c r="AG3897">
        <v>-1.110180993757</v>
      </c>
      <c r="AH3897">
        <v>36.969311562209</v>
      </c>
      <c r="AI3897">
        <v>91.695746769626297</v>
      </c>
      <c r="AJ3897">
        <v>99.648544421416304</v>
      </c>
      <c r="AK3897">
        <v>37.516198650196202</v>
      </c>
      <c r="AL3897">
        <v>87.699630351018698</v>
      </c>
      <c r="AM3897">
        <v>96.391817610538794</v>
      </c>
      <c r="AN3897">
        <v>1.00000002675529</v>
      </c>
    </row>
    <row r="3898" spans="1:40" x14ac:dyDescent="0.25">
      <c r="A3898" t="str">
        <f>"20190312150734314"</f>
        <v>20190312150734314</v>
      </c>
      <c r="B3898" t="str">
        <f>"1552374454303517"</f>
        <v>1552374454303517</v>
      </c>
      <c r="C3898" t="s">
        <v>40</v>
      </c>
      <c r="D3898">
        <v>4.3934170000000003</v>
      </c>
      <c r="E3898">
        <v>0.48075879999999999</v>
      </c>
      <c r="F3898" t="s">
        <v>61</v>
      </c>
      <c r="G3898">
        <v>-483.50639999999999</v>
      </c>
      <c r="H3898" s="1">
        <v>2.2274870000000001E-6</v>
      </c>
      <c r="I3898">
        <v>279.15480000000002</v>
      </c>
      <c r="J3898">
        <v>-445.13139999999999</v>
      </c>
      <c r="K3898">
        <v>1.110201</v>
      </c>
      <c r="L3898">
        <v>284.90449999999998</v>
      </c>
      <c r="M3898">
        <v>-0.99972159999999999</v>
      </c>
      <c r="N3898">
        <v>0</v>
      </c>
      <c r="O3898">
        <v>1.894792E-2</v>
      </c>
      <c r="P3898">
        <v>-0.99519749999999996</v>
      </c>
      <c r="Q3898">
        <v>2.5393059999999999E-2</v>
      </c>
      <c r="R3898">
        <v>-9.4537759999999998E-2</v>
      </c>
      <c r="S3898">
        <v>-2.9750369999999999</v>
      </c>
      <c r="T3898">
        <v>-8.5469009999999998E-2</v>
      </c>
      <c r="U3898">
        <v>-0.44223020000000002</v>
      </c>
      <c r="V3898">
        <v>-0.11335050000000001</v>
      </c>
      <c r="W3898">
        <v>3.9440240000000001E-2</v>
      </c>
      <c r="X3898">
        <v>0.99277190000000004</v>
      </c>
      <c r="Y3898">
        <v>-0.1656743</v>
      </c>
      <c r="Z3898">
        <v>-2.907808E-3</v>
      </c>
      <c r="AA3898">
        <v>0.98617630000000001</v>
      </c>
      <c r="AB3898">
        <v>27</v>
      </c>
      <c r="AC3898">
        <v>-38.375</v>
      </c>
      <c r="AD3898">
        <v>-1.110198772513</v>
      </c>
      <c r="AE3898">
        <v>-5.7496999999999598</v>
      </c>
      <c r="AF3898">
        <v>-6.4705691777838901</v>
      </c>
      <c r="AG3898">
        <v>-1.110198772513</v>
      </c>
      <c r="AH3898">
        <v>38.2278609196388</v>
      </c>
      <c r="AI3898">
        <v>91.640177703418203</v>
      </c>
      <c r="AJ3898">
        <v>99.607009259947702</v>
      </c>
      <c r="AK3898">
        <v>38.7875000134093</v>
      </c>
      <c r="AL3898">
        <v>87.739654342236193</v>
      </c>
      <c r="AM3898">
        <v>96.513583768582194</v>
      </c>
      <c r="AN3898">
        <v>0.99999995690555799</v>
      </c>
    </row>
    <row r="3899" spans="1:40" x14ac:dyDescent="0.25">
      <c r="A3899" t="str">
        <f>"20190312150734337"</f>
        <v>20190312150734337</v>
      </c>
      <c r="B3899" t="str">
        <f>"1552374454333773"</f>
        <v>1552374454333773</v>
      </c>
      <c r="C3899" t="s">
        <v>40</v>
      </c>
      <c r="D3899">
        <v>4.3538189999999997</v>
      </c>
      <c r="E3899">
        <v>0.48162539999999998</v>
      </c>
      <c r="F3899" t="s">
        <v>61</v>
      </c>
      <c r="G3899">
        <v>-483.11380000000003</v>
      </c>
      <c r="H3899" s="1">
        <v>2.1920349999999998E-6</v>
      </c>
      <c r="I3899">
        <v>279.2516</v>
      </c>
      <c r="J3899">
        <v>-445.41059999999999</v>
      </c>
      <c r="K3899">
        <v>1.110242</v>
      </c>
      <c r="L3899">
        <v>284.91019999999997</v>
      </c>
      <c r="M3899">
        <v>-0.99971580000000004</v>
      </c>
      <c r="N3899">
        <v>0</v>
      </c>
      <c r="O3899">
        <v>1.925319E-2</v>
      </c>
      <c r="P3899">
        <v>-0.99505160000000004</v>
      </c>
      <c r="Q3899">
        <v>2.3300850000000001E-2</v>
      </c>
      <c r="R3899">
        <v>-9.6588199999999999E-2</v>
      </c>
      <c r="S3899">
        <v>-2.97464</v>
      </c>
      <c r="T3899">
        <v>-8.694673E-2</v>
      </c>
      <c r="U3899">
        <v>-0.44271850000000001</v>
      </c>
      <c r="V3899">
        <v>-0.1157067</v>
      </c>
      <c r="W3899">
        <v>3.7330830000000002E-2</v>
      </c>
      <c r="X3899">
        <v>0.99258170000000001</v>
      </c>
      <c r="Y3899">
        <v>-0.16614999999999999</v>
      </c>
      <c r="Z3899">
        <v>-2.974207E-3</v>
      </c>
      <c r="AA3899">
        <v>0.98609599999999997</v>
      </c>
      <c r="AB3899">
        <v>27</v>
      </c>
      <c r="AC3899">
        <v>-37.703200000000002</v>
      </c>
      <c r="AD3899">
        <v>-1.110239807965</v>
      </c>
      <c r="AE3899">
        <v>-5.6585999999999697</v>
      </c>
      <c r="AF3899">
        <v>-6.3781207919749496</v>
      </c>
      <c r="AG3899">
        <v>-1.110239807965</v>
      </c>
      <c r="AH3899">
        <v>37.555405560709403</v>
      </c>
      <c r="AI3899">
        <v>91.669434906306407</v>
      </c>
      <c r="AJ3899">
        <v>99.638706275368193</v>
      </c>
      <c r="AK3899">
        <v>38.109336705033002</v>
      </c>
      <c r="AL3899">
        <v>87.860603958641306</v>
      </c>
      <c r="AM3899">
        <v>96.649043415053697</v>
      </c>
      <c r="AN3899">
        <v>1.0000000312341299</v>
      </c>
    </row>
    <row r="3900" spans="1:40" x14ac:dyDescent="0.25">
      <c r="A3900" t="str">
        <f>"20190312150734360"</f>
        <v>20190312150734360</v>
      </c>
      <c r="B3900" t="str">
        <f>"1552374454354270"</f>
        <v>1552374454354270</v>
      </c>
      <c r="C3900" t="s">
        <v>40</v>
      </c>
      <c r="D3900">
        <v>4.6814330000000002</v>
      </c>
      <c r="E3900">
        <v>0.4818963</v>
      </c>
      <c r="F3900" t="s">
        <v>61</v>
      </c>
      <c r="G3900">
        <v>-481.3614</v>
      </c>
      <c r="H3900" s="1">
        <v>1.9939640000000002E-6</v>
      </c>
      <c r="I3900">
        <v>279.57060000000001</v>
      </c>
      <c r="J3900">
        <v>-445.6832</v>
      </c>
      <c r="K3900">
        <v>1.110303</v>
      </c>
      <c r="L3900">
        <v>284.91570000000002</v>
      </c>
      <c r="M3900">
        <v>-0.99971189999999999</v>
      </c>
      <c r="N3900">
        <v>0</v>
      </c>
      <c r="O3900">
        <v>1.9464349999999998E-2</v>
      </c>
      <c r="P3900">
        <v>-0.99494329999999997</v>
      </c>
      <c r="Q3900">
        <v>2.140326E-2</v>
      </c>
      <c r="R3900">
        <v>-9.8133139999999994E-2</v>
      </c>
      <c r="S3900">
        <v>-2.9741819999999999</v>
      </c>
      <c r="T3900">
        <v>-9.1849330000000007E-2</v>
      </c>
      <c r="U3900">
        <v>-0.44174190000000002</v>
      </c>
      <c r="V3900">
        <v>-0.117465899999999</v>
      </c>
      <c r="W3900">
        <v>3.541093E-2</v>
      </c>
      <c r="X3900">
        <v>0.99244529999999997</v>
      </c>
      <c r="Y3900">
        <v>-0.16605449999999999</v>
      </c>
      <c r="Z3900">
        <v>-3.1474099999999998E-3</v>
      </c>
      <c r="AA3900">
        <v>0.98611150000000003</v>
      </c>
      <c r="AB3900">
        <v>27</v>
      </c>
      <c r="AC3900">
        <v>-35.678199999999997</v>
      </c>
      <c r="AD3900">
        <v>-1.1103010060359999</v>
      </c>
      <c r="AE3900">
        <v>-5.3451000000000004</v>
      </c>
      <c r="AF3900">
        <v>-6.0328943724207003</v>
      </c>
      <c r="AG3900">
        <v>-1.1103010060359999</v>
      </c>
      <c r="AH3900">
        <v>35.533733221582203</v>
      </c>
      <c r="AI3900">
        <v>91.764470674044802</v>
      </c>
      <c r="AJ3900">
        <v>99.635758035854096</v>
      </c>
      <c r="AK3900">
        <v>36.059323059305498</v>
      </c>
      <c r="AL3900">
        <v>87.970678748600903</v>
      </c>
      <c r="AM3900">
        <v>96.7501285593506</v>
      </c>
      <c r="AN3900">
        <v>0.99999992255917902</v>
      </c>
    </row>
    <row r="3901" spans="1:40" x14ac:dyDescent="0.25">
      <c r="A3901" t="str">
        <f>"20190312150734381"</f>
        <v>20190312150734381</v>
      </c>
      <c r="B3901" t="str">
        <f>"1552374454373789"</f>
        <v>1552374454373789</v>
      </c>
      <c r="C3901" t="s">
        <v>40</v>
      </c>
      <c r="D3901">
        <v>4.4562189999999999</v>
      </c>
      <c r="E3901">
        <v>0.49890990000000002</v>
      </c>
      <c r="F3901" t="s">
        <v>61</v>
      </c>
      <c r="G3901">
        <v>-479.62639999999999</v>
      </c>
      <c r="H3901" s="1">
        <v>1.9282419999999999E-6</v>
      </c>
      <c r="I3901">
        <v>279.8467</v>
      </c>
      <c r="J3901">
        <v>-445.95370000000003</v>
      </c>
      <c r="K3901">
        <v>1.110384</v>
      </c>
      <c r="L3901">
        <v>284.92110000000002</v>
      </c>
      <c r="M3901">
        <v>-0.99970970000000003</v>
      </c>
      <c r="N3901">
        <v>0</v>
      </c>
      <c r="O3901">
        <v>1.9575080000000002E-2</v>
      </c>
      <c r="P3901">
        <v>-0.99471039999999999</v>
      </c>
      <c r="Q3901">
        <v>2.0030490000000001E-2</v>
      </c>
      <c r="R3901">
        <v>-0.1007475</v>
      </c>
      <c r="S3901">
        <v>-2.973541</v>
      </c>
      <c r="T3901">
        <v>-9.7266199999999997E-2</v>
      </c>
      <c r="U3901">
        <v>-0.44406129999999999</v>
      </c>
      <c r="V3901">
        <v>-0.12019199999999999</v>
      </c>
      <c r="W3901">
        <v>3.4009879999999999E-2</v>
      </c>
      <c r="X3901">
        <v>0.99216789999999999</v>
      </c>
      <c r="Y3901">
        <v>-0.166936</v>
      </c>
      <c r="Z3901">
        <v>-3.3513929999999998E-3</v>
      </c>
      <c r="AA3901">
        <v>0.98596200000000001</v>
      </c>
      <c r="AB3901">
        <v>27</v>
      </c>
      <c r="AC3901">
        <v>-33.672699999999899</v>
      </c>
      <c r="AD3901">
        <v>-1.110382071758</v>
      </c>
      <c r="AE3901">
        <v>-5.0744000000000202</v>
      </c>
      <c r="AF3901">
        <v>-5.72654957184242</v>
      </c>
      <c r="AG3901">
        <v>-1.110382071758</v>
      </c>
      <c r="AH3901">
        <v>33.531252902335197</v>
      </c>
      <c r="AI3901">
        <v>91.869598121061401</v>
      </c>
      <c r="AJ3901">
        <v>99.691611613858797</v>
      </c>
      <c r="AK3901">
        <v>34.034853305757203</v>
      </c>
      <c r="AL3901">
        <v>88.051001498082897</v>
      </c>
      <c r="AM3901">
        <v>96.907199102079204</v>
      </c>
      <c r="AN3901">
        <v>0.99999996529601098</v>
      </c>
    </row>
    <row r="3902" spans="1:40" x14ac:dyDescent="0.25">
      <c r="A3902" t="str">
        <f>"20190312150734396"</f>
        <v>20190312150734396</v>
      </c>
      <c r="B3902" t="str">
        <f>"1552374454384525"</f>
        <v>1552374454384525</v>
      </c>
      <c r="C3902" t="s">
        <v>40</v>
      </c>
      <c r="D3902">
        <v>4.2999539999999996</v>
      </c>
      <c r="E3902">
        <v>0.49909360000000003</v>
      </c>
      <c r="F3902" t="s">
        <v>69</v>
      </c>
      <c r="G3902">
        <v>-511.9588</v>
      </c>
      <c r="H3902">
        <v>0.44260159999999998</v>
      </c>
      <c r="I3902">
        <v>277.97199999999998</v>
      </c>
      <c r="J3902">
        <v>-446.12909999999999</v>
      </c>
      <c r="K3902">
        <v>1.1104459999999901</v>
      </c>
      <c r="L3902">
        <v>284.9246</v>
      </c>
      <c r="M3902">
        <v>-0.99970979999999998</v>
      </c>
      <c r="N3902">
        <v>0</v>
      </c>
      <c r="O3902">
        <v>1.9570489999999999E-2</v>
      </c>
      <c r="P3902">
        <v>-0.99460230000000005</v>
      </c>
      <c r="Q3902">
        <v>2.0701270000000001E-2</v>
      </c>
      <c r="R3902">
        <v>-0.1016773</v>
      </c>
      <c r="S3902">
        <v>-2.9847410000000001</v>
      </c>
      <c r="T3902">
        <v>-3.0193330000000001E-2</v>
      </c>
      <c r="U3902">
        <v>-0.3142395</v>
      </c>
      <c r="V3902">
        <v>-0.1211193</v>
      </c>
      <c r="W3902">
        <v>3.4660379999999998E-2</v>
      </c>
      <c r="X3902">
        <v>0.99203260000000004</v>
      </c>
      <c r="Y3902">
        <v>-0.1241408</v>
      </c>
      <c r="Z3902">
        <v>-8.2363469999999998E-4</v>
      </c>
      <c r="AA3902">
        <v>0.99226429999999999</v>
      </c>
      <c r="AB3902">
        <v>27</v>
      </c>
      <c r="AC3902">
        <v>-65.829700000000003</v>
      </c>
      <c r="AD3902">
        <v>-0.66784439999999901</v>
      </c>
      <c r="AE3902">
        <v>-6.9526000000000101</v>
      </c>
      <c r="AF3902">
        <v>-8.2388761725542103</v>
      </c>
      <c r="AG3902">
        <v>-0.66784439999999901</v>
      </c>
      <c r="AH3902">
        <v>65.674325821850601</v>
      </c>
      <c r="AI3902">
        <v>90.578091718329901</v>
      </c>
      <c r="AJ3902">
        <v>97.150428862426693</v>
      </c>
      <c r="AK3902">
        <v>66.192463082165901</v>
      </c>
      <c r="AL3902">
        <v>88.013708578555395</v>
      </c>
      <c r="AM3902">
        <v>96.960908434611994</v>
      </c>
      <c r="AN3902">
        <v>0.99999995311849599</v>
      </c>
    </row>
    <row r="3903" spans="1:40" x14ac:dyDescent="0.25">
      <c r="A3903" t="str">
        <f>"20190312150734408"</f>
        <v>20190312150734408</v>
      </c>
      <c r="B3903" t="str">
        <f>"1552374454404046"</f>
        <v>1552374454404046</v>
      </c>
      <c r="C3903" t="s">
        <v>40</v>
      </c>
      <c r="D3903">
        <v>4.4241479999999997</v>
      </c>
      <c r="E3903">
        <v>0.4995328</v>
      </c>
      <c r="F3903" t="s">
        <v>69</v>
      </c>
      <c r="G3903">
        <v>-511.9588</v>
      </c>
      <c r="H3903">
        <v>0.46540730000000002</v>
      </c>
      <c r="I3903">
        <v>277.96609999999998</v>
      </c>
      <c r="J3903">
        <v>-446.28539999999998</v>
      </c>
      <c r="K3903">
        <v>1.1105080000000001</v>
      </c>
      <c r="L3903">
        <v>284.92759999999998</v>
      </c>
      <c r="M3903">
        <v>-0.99971069999999995</v>
      </c>
      <c r="N3903">
        <v>0</v>
      </c>
      <c r="O3903">
        <v>1.9524980000000001E-2</v>
      </c>
      <c r="P3903">
        <v>-0.99444969999999999</v>
      </c>
      <c r="Q3903">
        <v>2.14104E-2</v>
      </c>
      <c r="R3903">
        <v>-0.10301349999999999</v>
      </c>
      <c r="S3903">
        <v>-2.98468</v>
      </c>
      <c r="T3903">
        <v>-2.9241920000000001E-2</v>
      </c>
      <c r="U3903">
        <v>-0.31549070000000001</v>
      </c>
      <c r="V3903">
        <v>-0.1224119</v>
      </c>
      <c r="W3903">
        <v>3.5349459999999999E-2</v>
      </c>
      <c r="X3903">
        <v>0.99184969999999995</v>
      </c>
      <c r="Y3903">
        <v>-0.1245096</v>
      </c>
      <c r="Z3903">
        <v>-7.9903839999999999E-4</v>
      </c>
      <c r="AA3903">
        <v>0.99221809999999999</v>
      </c>
      <c r="AB3903">
        <v>27</v>
      </c>
      <c r="AC3903">
        <v>-65.673400000000001</v>
      </c>
      <c r="AD3903">
        <v>-0.64510069999999997</v>
      </c>
      <c r="AE3903">
        <v>-6.9615</v>
      </c>
      <c r="AF3903">
        <v>-8.2417845921528592</v>
      </c>
      <c r="AG3903">
        <v>-0.64510069999999997</v>
      </c>
      <c r="AH3903">
        <v>65.518690049704205</v>
      </c>
      <c r="AI3903">
        <v>90.559708526061399</v>
      </c>
      <c r="AJ3903">
        <v>97.169741644294504</v>
      </c>
      <c r="AK3903">
        <v>66.038185271900105</v>
      </c>
      <c r="AL3903">
        <v>87.974203169892107</v>
      </c>
      <c r="AM3903">
        <v>97.035739871511694</v>
      </c>
      <c r="AN3903">
        <v>1.0000000424869899</v>
      </c>
    </row>
    <row r="3904" spans="1:40" x14ac:dyDescent="0.25">
      <c r="A3904" t="str">
        <f>"20190312150734420"</f>
        <v>20190312150734420</v>
      </c>
      <c r="B3904" t="str">
        <f>"1552374454413806"</f>
        <v>1552374454413806</v>
      </c>
      <c r="C3904" t="s">
        <v>40</v>
      </c>
      <c r="D3904">
        <v>4.7397150000000003</v>
      </c>
      <c r="E3904">
        <v>0.49954369999999998</v>
      </c>
      <c r="F3904" t="s">
        <v>69</v>
      </c>
      <c r="G3904">
        <v>-511.9588</v>
      </c>
      <c r="H3904">
        <v>0.45240550000000002</v>
      </c>
      <c r="I3904">
        <v>277.97300000000001</v>
      </c>
      <c r="J3904">
        <v>-446.43680000000001</v>
      </c>
      <c r="K3904">
        <v>1.1105719999999999</v>
      </c>
      <c r="L3904">
        <v>284.93049999999999</v>
      </c>
      <c r="M3904">
        <v>-0.99971259999999995</v>
      </c>
      <c r="N3904">
        <v>0</v>
      </c>
      <c r="O3904">
        <v>1.9429169999999999E-2</v>
      </c>
      <c r="P3904">
        <v>-0.994282</v>
      </c>
      <c r="Q3904">
        <v>2.2443979999999999E-2</v>
      </c>
      <c r="R3904">
        <v>-0.1044018</v>
      </c>
      <c r="S3904">
        <v>-2.9847109999999999</v>
      </c>
      <c r="T3904">
        <v>-2.9905560000000001E-2</v>
      </c>
      <c r="U3904">
        <v>-0.31607059999999998</v>
      </c>
      <c r="V3904">
        <v>-0.123707</v>
      </c>
      <c r="W3904">
        <v>3.636114E-2</v>
      </c>
      <c r="X3904">
        <v>0.99165239999999999</v>
      </c>
      <c r="Y3904">
        <v>-0.1246037</v>
      </c>
      <c r="Z3904">
        <v>-8.1666740000000001E-4</v>
      </c>
      <c r="AA3904">
        <v>0.99220629999999999</v>
      </c>
      <c r="AB3904">
        <v>27</v>
      </c>
      <c r="AC3904">
        <v>-65.521999999999906</v>
      </c>
      <c r="AD3904">
        <v>-0.65816649999999899</v>
      </c>
      <c r="AE3904">
        <v>-6.95749999999998</v>
      </c>
      <c r="AF3904">
        <v>-8.2285290340593402</v>
      </c>
      <c r="AG3904">
        <v>-0.65816649999999899</v>
      </c>
      <c r="AH3904">
        <v>65.367915398529405</v>
      </c>
      <c r="AI3904">
        <v>90.572354921793107</v>
      </c>
      <c r="AJ3904">
        <v>97.174669220007402</v>
      </c>
      <c r="AK3904">
        <v>65.887071848393603</v>
      </c>
      <c r="AL3904">
        <v>87.916200829480303</v>
      </c>
      <c r="AM3904">
        <v>97.1108192110555</v>
      </c>
      <c r="AN3904">
        <v>1.0000000183884199</v>
      </c>
    </row>
    <row r="3905" spans="1:40" x14ac:dyDescent="0.25">
      <c r="A3905" t="str">
        <f>"20190312150734434"</f>
        <v>20190312150734434</v>
      </c>
      <c r="B3905" t="str">
        <f>"1552374454423566"</f>
        <v>1552374454423566</v>
      </c>
      <c r="C3905" t="s">
        <v>40</v>
      </c>
      <c r="D3905">
        <v>4.4249039999999997</v>
      </c>
      <c r="E3905">
        <v>0.49954369999999998</v>
      </c>
      <c r="F3905" t="s">
        <v>69</v>
      </c>
      <c r="G3905">
        <v>-511.9588</v>
      </c>
      <c r="H3905">
        <v>0.57143750000000004</v>
      </c>
      <c r="I3905">
        <v>277.90010000000001</v>
      </c>
      <c r="J3905">
        <v>-446.58679999999998</v>
      </c>
      <c r="K3905">
        <v>1.110635</v>
      </c>
      <c r="L3905">
        <v>284.93329999999997</v>
      </c>
      <c r="M3905">
        <v>-0.99971549999999998</v>
      </c>
      <c r="N3905">
        <v>0</v>
      </c>
      <c r="O3905">
        <v>1.9277570000000001E-2</v>
      </c>
      <c r="P3905">
        <v>-0.99412350000000005</v>
      </c>
      <c r="Q3905">
        <v>2.3657580000000001E-2</v>
      </c>
      <c r="R3905">
        <v>-0.1056351</v>
      </c>
      <c r="S3905">
        <v>-2.9841609999999998</v>
      </c>
      <c r="T3905">
        <v>-2.4550800000000001E-2</v>
      </c>
      <c r="U3905">
        <v>-0.32019039999999999</v>
      </c>
      <c r="V3905">
        <v>-0.12479179999999999</v>
      </c>
      <c r="W3905">
        <v>3.7552410000000001E-2</v>
      </c>
      <c r="X3905">
        <v>0.99147209999999997</v>
      </c>
      <c r="Y3905">
        <v>-0.125829</v>
      </c>
      <c r="Z3905">
        <v>-6.7429969999999997E-4</v>
      </c>
      <c r="AA3905">
        <v>0.99205169999999998</v>
      </c>
      <c r="AB3905">
        <v>27</v>
      </c>
      <c r="AC3905">
        <v>-65.372</v>
      </c>
      <c r="AD3905">
        <v>-0.5391975</v>
      </c>
      <c r="AE3905">
        <v>-7.0331999999999599</v>
      </c>
      <c r="AF3905">
        <v>-8.2916727631254101</v>
      </c>
      <c r="AG3905">
        <v>-0.5391975</v>
      </c>
      <c r="AH3905">
        <v>65.219866910278796</v>
      </c>
      <c r="AI3905">
        <v>90.469893187126004</v>
      </c>
      <c r="AJ3905">
        <v>97.245381510753802</v>
      </c>
      <c r="AK3905">
        <v>65.747042602304504</v>
      </c>
      <c r="AL3905">
        <v>87.847899494474703</v>
      </c>
      <c r="AM3905">
        <v>97.173818854309303</v>
      </c>
      <c r="AN3905">
        <v>1.0000000509612199</v>
      </c>
    </row>
    <row r="3906" spans="1:40" x14ac:dyDescent="0.25">
      <c r="A3906" t="str">
        <f>"20190312150734447"</f>
        <v>20190312150734447</v>
      </c>
      <c r="B3906" t="str">
        <f>"1552374454444062"</f>
        <v>1552374454444062</v>
      </c>
      <c r="C3906" t="s">
        <v>40</v>
      </c>
      <c r="D3906">
        <v>4.4271180000000001</v>
      </c>
      <c r="E3906">
        <v>0.4993493</v>
      </c>
      <c r="F3906" t="s">
        <v>69</v>
      </c>
      <c r="G3906">
        <v>-511.9588</v>
      </c>
      <c r="H3906">
        <v>0.65249679999999999</v>
      </c>
      <c r="I3906">
        <v>277.84070000000003</v>
      </c>
      <c r="J3906">
        <v>-446.75880000000001</v>
      </c>
      <c r="K3906">
        <v>1.1107129999999901</v>
      </c>
      <c r="L3906">
        <v>284.93639999999999</v>
      </c>
      <c r="M3906">
        <v>-0.99971969999999999</v>
      </c>
      <c r="N3906">
        <v>0</v>
      </c>
      <c r="O3906">
        <v>1.9059799999999998E-2</v>
      </c>
      <c r="P3906">
        <v>-0.99395940000000005</v>
      </c>
      <c r="Q3906">
        <v>2.4634639999999999E-2</v>
      </c>
      <c r="R3906">
        <v>-0.10694869999999999</v>
      </c>
      <c r="S3906">
        <v>-2.9838260000000001</v>
      </c>
      <c r="T3906">
        <v>-2.09074E-2</v>
      </c>
      <c r="U3906">
        <v>-0.32373049999999998</v>
      </c>
      <c r="V3906">
        <v>-0.125893</v>
      </c>
      <c r="W3906">
        <v>3.8503500000000003E-2</v>
      </c>
      <c r="X3906">
        <v>0.99129639999999997</v>
      </c>
      <c r="Y3906">
        <v>-0.1267895</v>
      </c>
      <c r="Z3906">
        <v>-5.7609570000000001E-4</v>
      </c>
      <c r="AA3906">
        <v>0.99192950000000002</v>
      </c>
      <c r="AB3906">
        <v>27</v>
      </c>
      <c r="AC3906">
        <v>-65.199999999999903</v>
      </c>
      <c r="AD3906">
        <v>-0.45821619999999902</v>
      </c>
      <c r="AE3906">
        <v>-7.0956999999999599</v>
      </c>
      <c r="AF3906">
        <v>-8.3368253741040803</v>
      </c>
      <c r="AG3906">
        <v>-0.45821619999999902</v>
      </c>
      <c r="AH3906">
        <v>65.049722580071005</v>
      </c>
      <c r="AI3906">
        <v>90.400315905006593</v>
      </c>
      <c r="AJ3906">
        <v>97.303261540999898</v>
      </c>
      <c r="AK3906">
        <v>65.583374624583399</v>
      </c>
      <c r="AL3906">
        <v>87.793366626820799</v>
      </c>
      <c r="AM3906">
        <v>97.237723603988002</v>
      </c>
      <c r="AN3906">
        <v>1.0000000598070999</v>
      </c>
    </row>
    <row r="3907" spans="1:40" x14ac:dyDescent="0.25">
      <c r="A3907" t="str">
        <f>"20190312150734460"</f>
        <v>20190312150734460</v>
      </c>
      <c r="B3907" t="str">
        <f>"1552374454453821"</f>
        <v>1552374454453821</v>
      </c>
      <c r="C3907" t="s">
        <v>40</v>
      </c>
      <c r="D3907">
        <v>4.3994660000000003</v>
      </c>
      <c r="E3907">
        <v>0.49952839999999998</v>
      </c>
      <c r="F3907" t="s">
        <v>69</v>
      </c>
      <c r="G3907">
        <v>-511.95890000000003</v>
      </c>
      <c r="H3907">
        <v>0.7163351</v>
      </c>
      <c r="I3907">
        <v>277.73899999999998</v>
      </c>
      <c r="J3907">
        <v>-446.92129999999997</v>
      </c>
      <c r="K3907">
        <v>1.1107929999999999</v>
      </c>
      <c r="L3907">
        <v>284.9393</v>
      </c>
      <c r="M3907">
        <v>-0.99972499999999997</v>
      </c>
      <c r="N3907">
        <v>0</v>
      </c>
      <c r="O3907">
        <v>1.8788099999999999E-2</v>
      </c>
      <c r="P3907">
        <v>-0.99368049999999997</v>
      </c>
      <c r="Q3907">
        <v>2.6508139999999999E-2</v>
      </c>
      <c r="R3907">
        <v>-0.10907169999999999</v>
      </c>
      <c r="S3907">
        <v>-2.983215</v>
      </c>
      <c r="T3907">
        <v>-1.8040899999999999E-2</v>
      </c>
      <c r="U3907">
        <v>-0.32931519999999997</v>
      </c>
      <c r="V3907">
        <v>-0.12774920000000001</v>
      </c>
      <c r="W3907">
        <v>4.0348849999999999E-2</v>
      </c>
      <c r="X3907">
        <v>0.99098549999999996</v>
      </c>
      <c r="Y3907">
        <v>-0.1283773</v>
      </c>
      <c r="Z3907">
        <v>-5.003106E-4</v>
      </c>
      <c r="AA3907">
        <v>0.99172530000000003</v>
      </c>
      <c r="AB3907">
        <v>27</v>
      </c>
      <c r="AC3907">
        <v>-65.037599999999998</v>
      </c>
      <c r="AD3907">
        <v>-0.39445789999999897</v>
      </c>
      <c r="AE3907">
        <v>-7.2002999999999702</v>
      </c>
      <c r="AF3907">
        <v>-8.4207760710768902</v>
      </c>
      <c r="AG3907">
        <v>-0.39445789999999897</v>
      </c>
      <c r="AH3907">
        <v>64.888466518351905</v>
      </c>
      <c r="AI3907">
        <v>90.345401312319495</v>
      </c>
      <c r="AJ3907">
        <v>97.394126199950705</v>
      </c>
      <c r="AK3907">
        <v>65.433769215729598</v>
      </c>
      <c r="AL3907">
        <v>87.687553614222793</v>
      </c>
      <c r="AM3907">
        <v>97.345560711099694</v>
      </c>
      <c r="AN3907">
        <v>1.0000000745036</v>
      </c>
    </row>
    <row r="3908" spans="1:40" x14ac:dyDescent="0.25">
      <c r="A3908" t="str">
        <f>"20190312150734483"</f>
        <v>20190312150734483</v>
      </c>
      <c r="B3908" t="str">
        <f>"1552374454474318"</f>
        <v>1552374454474318</v>
      </c>
      <c r="C3908" t="s">
        <v>40</v>
      </c>
      <c r="D3908">
        <v>4.4328260000000004</v>
      </c>
      <c r="E3908">
        <v>0.4999788</v>
      </c>
      <c r="F3908" t="s">
        <v>69</v>
      </c>
      <c r="G3908">
        <v>-511.95890000000003</v>
      </c>
      <c r="H3908">
        <v>0.81486119999999995</v>
      </c>
      <c r="I3908">
        <v>277.65019999999998</v>
      </c>
      <c r="J3908">
        <v>-447.17939999999999</v>
      </c>
      <c r="K3908">
        <v>1.1109089999999999</v>
      </c>
      <c r="L3908">
        <v>284.9436</v>
      </c>
      <c r="M3908">
        <v>-0.99973489999999998</v>
      </c>
      <c r="N3908">
        <v>0</v>
      </c>
      <c r="O3908">
        <v>1.8252359999999999E-2</v>
      </c>
      <c r="P3908">
        <v>-0.99340709999999999</v>
      </c>
      <c r="Q3908">
        <v>2.7395929999999999E-2</v>
      </c>
      <c r="R3908">
        <v>-0.11132019999999999</v>
      </c>
      <c r="S3908">
        <v>-2.982758</v>
      </c>
      <c r="T3908">
        <v>-1.356828E-2</v>
      </c>
      <c r="U3908">
        <v>-0.33428960000000002</v>
      </c>
      <c r="V3908">
        <v>-0.12947210000000001</v>
      </c>
      <c r="W3908">
        <v>4.1195469999999998E-2</v>
      </c>
      <c r="X3908">
        <v>0.99072689999999997</v>
      </c>
      <c r="Y3908">
        <v>-0.12949720000000001</v>
      </c>
      <c r="Z3908">
        <v>-3.7640919999999998E-4</v>
      </c>
      <c r="AA3908">
        <v>0.99157969999999895</v>
      </c>
      <c r="AB3908">
        <v>27</v>
      </c>
      <c r="AC3908">
        <v>-64.779499999999999</v>
      </c>
      <c r="AD3908">
        <v>-0.29604780000000003</v>
      </c>
      <c r="AE3908">
        <v>-7.2934000000000099</v>
      </c>
      <c r="AF3908">
        <v>-8.4745052109566803</v>
      </c>
      <c r="AG3908">
        <v>-0.29604780000000003</v>
      </c>
      <c r="AH3908">
        <v>64.634238465865295</v>
      </c>
      <c r="AI3908">
        <v>90.260206160638603</v>
      </c>
      <c r="AJ3908">
        <v>97.469714934603999</v>
      </c>
      <c r="AK3908">
        <v>65.188109843228006</v>
      </c>
      <c r="AL3908">
        <v>87.639005178699904</v>
      </c>
      <c r="AM3908">
        <v>97.445444675219903</v>
      </c>
      <c r="AN3908">
        <v>0.999999940905268</v>
      </c>
    </row>
    <row r="3909" spans="1:40" x14ac:dyDescent="0.25">
      <c r="A3909" t="str">
        <f>"20190312150734504"</f>
        <v>20190312150734504</v>
      </c>
      <c r="B3909" t="str">
        <f>"1552374454493839"</f>
        <v>1552374454493839</v>
      </c>
      <c r="C3909" t="s">
        <v>40</v>
      </c>
      <c r="D3909">
        <v>4.4721520000000003</v>
      </c>
      <c r="E3909">
        <v>0.50014950000000002</v>
      </c>
      <c r="F3909" t="s">
        <v>69</v>
      </c>
      <c r="G3909">
        <v>-511.95890000000003</v>
      </c>
      <c r="H3909">
        <v>0.88451460000000004</v>
      </c>
      <c r="I3909">
        <v>277.60840000000002</v>
      </c>
      <c r="J3909">
        <v>-447.4461</v>
      </c>
      <c r="K3909">
        <v>1.1110249999999999</v>
      </c>
      <c r="L3909">
        <v>284.94779999999997</v>
      </c>
      <c r="M3909">
        <v>-0.99974719999999995</v>
      </c>
      <c r="N3909">
        <v>0</v>
      </c>
      <c r="O3909">
        <v>1.756601E-2</v>
      </c>
      <c r="P3909">
        <v>-0.99309990000000004</v>
      </c>
      <c r="Q3909">
        <v>2.8229730000000001E-2</v>
      </c>
      <c r="R3909">
        <v>-0.1138233</v>
      </c>
      <c r="S3909">
        <v>-2.9824220000000001</v>
      </c>
      <c r="T3909">
        <v>-1.0419370000000001E-2</v>
      </c>
      <c r="U3909">
        <v>-0.33770749999999999</v>
      </c>
      <c r="V3909">
        <v>-0.13130049999999999</v>
      </c>
      <c r="W3909">
        <v>4.1987770000000001E-2</v>
      </c>
      <c r="X3909">
        <v>0.99045300000000003</v>
      </c>
      <c r="Y3909">
        <v>-0.1299516</v>
      </c>
      <c r="Z3909">
        <v>-2.8746700000000002E-4</v>
      </c>
      <c r="AA3909">
        <v>0.99152030000000002</v>
      </c>
      <c r="AB3909">
        <v>27</v>
      </c>
      <c r="AC3909">
        <v>-64.512799999999999</v>
      </c>
      <c r="AD3909">
        <v>-0.226510399999999</v>
      </c>
      <c r="AE3909">
        <v>-7.3393999999999497</v>
      </c>
      <c r="AF3909">
        <v>-8.4715083628252206</v>
      </c>
      <c r="AG3909">
        <v>-0.226510399999999</v>
      </c>
      <c r="AH3909">
        <v>64.373123974289001</v>
      </c>
      <c r="AI3909">
        <v>90.199883038848796</v>
      </c>
      <c r="AJ3909">
        <v>97.497047926746006</v>
      </c>
      <c r="AK3909">
        <v>64.928551894462501</v>
      </c>
      <c r="AL3909">
        <v>87.593570483002594</v>
      </c>
      <c r="AM3909">
        <v>97.551448136516697</v>
      </c>
      <c r="AN3909">
        <v>0.99999996966941096</v>
      </c>
    </row>
    <row r="3910" spans="1:40" x14ac:dyDescent="0.25">
      <c r="A3910" t="str">
        <f>"20190312150734520"</f>
        <v>20190312150734520</v>
      </c>
      <c r="B3910" t="str">
        <f>"1552374454514334"</f>
        <v>1552374454514334</v>
      </c>
      <c r="C3910" t="s">
        <v>40</v>
      </c>
      <c r="D3910">
        <v>4.6474019999999996</v>
      </c>
      <c r="E3910">
        <v>0.50047259999999905</v>
      </c>
      <c r="F3910" t="s">
        <v>69</v>
      </c>
      <c r="G3910">
        <v>-511.95890000000003</v>
      </c>
      <c r="H3910">
        <v>0.86875919999999895</v>
      </c>
      <c r="I3910">
        <v>277.51179999999999</v>
      </c>
      <c r="J3910">
        <v>-447.62950000000001</v>
      </c>
      <c r="K3910">
        <v>1.1110930000000001</v>
      </c>
      <c r="L3910">
        <v>284.9504</v>
      </c>
      <c r="M3910">
        <v>-0.9997568</v>
      </c>
      <c r="N3910">
        <v>0</v>
      </c>
      <c r="O3910">
        <v>1.7006960000000002E-2</v>
      </c>
      <c r="P3910">
        <v>-0.99294950000000004</v>
      </c>
      <c r="Q3910">
        <v>2.8474940000000001E-2</v>
      </c>
      <c r="R3910">
        <v>-0.1150685</v>
      </c>
      <c r="S3910">
        <v>-2.9817809999999998</v>
      </c>
      <c r="T3910">
        <v>-1.1193750000000001E-2</v>
      </c>
      <c r="U3910">
        <v>-0.34368900000000002</v>
      </c>
      <c r="V3910">
        <v>-0.13199629999999901</v>
      </c>
      <c r="W3910">
        <v>4.2208349999999999E-2</v>
      </c>
      <c r="X3910">
        <v>0.99035110000000004</v>
      </c>
      <c r="Y3910">
        <v>-0.131384</v>
      </c>
      <c r="Z3910">
        <v>-3.0945009999999999E-4</v>
      </c>
      <c r="AA3910">
        <v>0.99133150000000003</v>
      </c>
      <c r="AB3910">
        <v>27</v>
      </c>
      <c r="AC3910">
        <v>-64.329400000000007</v>
      </c>
      <c r="AD3910">
        <v>-0.24233379999999999</v>
      </c>
      <c r="AE3910">
        <v>-7.4386000000000001</v>
      </c>
      <c r="AF3910">
        <v>-8.5315598485284792</v>
      </c>
      <c r="AG3910">
        <v>-0.24233379999999999</v>
      </c>
      <c r="AH3910">
        <v>64.192674909188796</v>
      </c>
      <c r="AI3910">
        <v>90.214410942446094</v>
      </c>
      <c r="AJ3910">
        <v>97.5705574084555</v>
      </c>
      <c r="AK3910">
        <v>64.757592227602501</v>
      </c>
      <c r="AL3910">
        <v>87.580920880772894</v>
      </c>
      <c r="AM3910">
        <v>97.591771996931399</v>
      </c>
      <c r="AN3910">
        <v>0.99999993464730896</v>
      </c>
    </row>
    <row r="3911" spans="1:40" x14ac:dyDescent="0.25">
      <c r="A3911" t="str">
        <f>"20190312150734533"</f>
        <v>20190312150734533</v>
      </c>
      <c r="B3911" t="str">
        <f>"1552374454524093"</f>
        <v>1552374454524093</v>
      </c>
      <c r="C3911" t="s">
        <v>40</v>
      </c>
      <c r="D3911">
        <v>4.5036180000000003</v>
      </c>
      <c r="E3911">
        <v>0.50067839999999997</v>
      </c>
      <c r="F3911" t="s">
        <v>69</v>
      </c>
      <c r="G3911">
        <v>-511.95890000000003</v>
      </c>
      <c r="H3911">
        <v>0.81881490000000001</v>
      </c>
      <c r="I3911">
        <v>277.50510000000003</v>
      </c>
      <c r="J3911">
        <v>-447.79790000000003</v>
      </c>
      <c r="K3911">
        <v>1.1111519999999999</v>
      </c>
      <c r="L3911">
        <v>284.95280000000002</v>
      </c>
      <c r="M3911">
        <v>-0.99976609999999999</v>
      </c>
      <c r="N3911">
        <v>0</v>
      </c>
      <c r="O3911">
        <v>1.6451799999999999E-2</v>
      </c>
      <c r="P3911">
        <v>-0.99278180000000005</v>
      </c>
      <c r="Q3911">
        <v>2.8235139999999999E-2</v>
      </c>
      <c r="R3911">
        <v>-0.1165636</v>
      </c>
      <c r="S3911">
        <v>-2.9816889999999998</v>
      </c>
      <c r="T3911">
        <v>-1.3543370000000001E-2</v>
      </c>
      <c r="U3911">
        <v>-0.34509279999999998</v>
      </c>
      <c r="V3911">
        <v>-0.1329436</v>
      </c>
      <c r="W3911">
        <v>4.194585E-2</v>
      </c>
      <c r="X3911">
        <v>0.99023559999999999</v>
      </c>
      <c r="Y3911">
        <v>-0.1312971</v>
      </c>
      <c r="Z3911">
        <v>-3.7169459999999998E-4</v>
      </c>
      <c r="AA3911">
        <v>0.99134299999999997</v>
      </c>
      <c r="AB3911">
        <v>27</v>
      </c>
      <c r="AC3911">
        <v>-64.161000000000001</v>
      </c>
      <c r="AD3911">
        <v>-0.29233710000000002</v>
      </c>
      <c r="AE3911">
        <v>-7.4476999999999904</v>
      </c>
      <c r="AF3911">
        <v>-8.5021856437202299</v>
      </c>
      <c r="AG3911">
        <v>-0.29233710000000002</v>
      </c>
      <c r="AH3911">
        <v>64.028463036849601</v>
      </c>
      <c r="AI3911">
        <v>90.259319413343405</v>
      </c>
      <c r="AJ3911">
        <v>97.563918868856703</v>
      </c>
      <c r="AK3911">
        <v>64.591150326972297</v>
      </c>
      <c r="AL3911">
        <v>87.595974511325394</v>
      </c>
      <c r="AM3911">
        <v>97.646494988275194</v>
      </c>
      <c r="AN3911">
        <v>0.99999999931027095</v>
      </c>
    </row>
    <row r="3912" spans="1:40" x14ac:dyDescent="0.25">
      <c r="A3912" t="str">
        <f>"20190312150734550"</f>
        <v>20190312150734550</v>
      </c>
      <c r="B3912" t="str">
        <f>"1552374454543614"</f>
        <v>1552374454543614</v>
      </c>
      <c r="C3912" t="s">
        <v>40</v>
      </c>
      <c r="D3912">
        <v>4.4757449999999999</v>
      </c>
      <c r="E3912">
        <v>0.50077020000000005</v>
      </c>
      <c r="F3912" t="s">
        <v>69</v>
      </c>
      <c r="G3912">
        <v>-511.95890000000003</v>
      </c>
      <c r="H3912">
        <v>0.79205119999999996</v>
      </c>
      <c r="I3912">
        <v>277.46379999999999</v>
      </c>
      <c r="J3912">
        <v>-447.99169999999998</v>
      </c>
      <c r="K3912">
        <v>1.111208</v>
      </c>
      <c r="L3912">
        <v>284.95530000000002</v>
      </c>
      <c r="M3912">
        <v>-0.99977720000000003</v>
      </c>
      <c r="N3912">
        <v>0</v>
      </c>
      <c r="O3912">
        <v>1.5768440000000002E-2</v>
      </c>
      <c r="P3912">
        <v>-0.99253849999999999</v>
      </c>
      <c r="Q3912">
        <v>2.8548560000000001E-2</v>
      </c>
      <c r="R3912">
        <v>-0.11854339999999999</v>
      </c>
      <c r="S3912">
        <v>-2.9813839999999998</v>
      </c>
      <c r="T3912">
        <v>-1.4823909999999999E-2</v>
      </c>
      <c r="U3912">
        <v>-0.34799190000000002</v>
      </c>
      <c r="V3912">
        <v>-0.1342489</v>
      </c>
      <c r="W3912">
        <v>4.223408E-2</v>
      </c>
      <c r="X3912">
        <v>0.99004720000000002</v>
      </c>
      <c r="Y3912">
        <v>-0.131582</v>
      </c>
      <c r="Z3912">
        <v>-4.0417520000000001E-4</v>
      </c>
      <c r="AA3912">
        <v>0.9913052</v>
      </c>
      <c r="AB3912">
        <v>27</v>
      </c>
      <c r="AC3912">
        <v>-63.967199999999998</v>
      </c>
      <c r="AD3912">
        <v>-0.31915679999999902</v>
      </c>
      <c r="AE3912">
        <v>-7.4915000000000296</v>
      </c>
      <c r="AF3912">
        <v>-8.4991219636867701</v>
      </c>
      <c r="AG3912">
        <v>-0.31915679999999902</v>
      </c>
      <c r="AH3912">
        <v>63.839536803726901</v>
      </c>
      <c r="AI3912">
        <v>90.283934642576995</v>
      </c>
      <c r="AJ3912">
        <v>97.583341422373607</v>
      </c>
      <c r="AK3912">
        <v>64.403597683134194</v>
      </c>
      <c r="AL3912">
        <v>87.579445433641396</v>
      </c>
      <c r="AM3912">
        <v>97.7221219743966</v>
      </c>
      <c r="AN3912">
        <v>0.99999997144624697</v>
      </c>
    </row>
    <row r="3913" spans="1:40" x14ac:dyDescent="0.25">
      <c r="A3913" t="str">
        <f>"20190312150734571"</f>
        <v>20190312150734571</v>
      </c>
      <c r="B3913" t="str">
        <f>"1552374454564109"</f>
        <v>1552374454564109</v>
      </c>
      <c r="C3913" t="s">
        <v>40</v>
      </c>
      <c r="D3913">
        <v>4.6050430000000002</v>
      </c>
      <c r="E3913">
        <v>0.48816920000000003</v>
      </c>
      <c r="F3913" t="s">
        <v>69</v>
      </c>
      <c r="G3913">
        <v>-511.95890000000003</v>
      </c>
      <c r="H3913">
        <v>0.78385209999999905</v>
      </c>
      <c r="I3913">
        <v>277.37880000000001</v>
      </c>
      <c r="J3913">
        <v>-448.25810000000001</v>
      </c>
      <c r="K3913">
        <v>1.111272</v>
      </c>
      <c r="L3913">
        <v>284.95839999999998</v>
      </c>
      <c r="M3913">
        <v>-0.99979269999999998</v>
      </c>
      <c r="N3913">
        <v>0</v>
      </c>
      <c r="O3913">
        <v>1.475538E-2</v>
      </c>
      <c r="P3913">
        <v>-0.99231029999999998</v>
      </c>
      <c r="Q3913">
        <v>2.8681330000000001E-2</v>
      </c>
      <c r="R3913">
        <v>-0.1204061</v>
      </c>
      <c r="S3913">
        <v>-2.9808349999999999</v>
      </c>
      <c r="T3913">
        <v>-1.52507999999999E-2</v>
      </c>
      <c r="U3913">
        <v>-0.35305789999999998</v>
      </c>
      <c r="V3913">
        <v>-0.1351107</v>
      </c>
      <c r="W3913">
        <v>4.234127E-2</v>
      </c>
      <c r="X3913">
        <v>0.98992539999999996</v>
      </c>
      <c r="Y3913">
        <v>-0.13226009999999999</v>
      </c>
      <c r="Z3913">
        <v>-4.1241079999999999E-4</v>
      </c>
      <c r="AA3913">
        <v>0.99121490000000001</v>
      </c>
      <c r="AB3913">
        <v>27</v>
      </c>
      <c r="AC3913">
        <v>-63.700800000000001</v>
      </c>
      <c r="AD3913">
        <v>-0.32741989999999999</v>
      </c>
      <c r="AE3913">
        <v>-7.5795999999999699</v>
      </c>
      <c r="AF3913">
        <v>-8.5185747900601303</v>
      </c>
      <c r="AG3913">
        <v>-0.32741989999999999</v>
      </c>
      <c r="AH3913">
        <v>63.580356566648298</v>
      </c>
      <c r="AI3913">
        <v>90.292440516849396</v>
      </c>
      <c r="AJ3913">
        <v>97.631113963967294</v>
      </c>
      <c r="AK3913">
        <v>64.149318479520105</v>
      </c>
      <c r="AL3913">
        <v>87.573298447625803</v>
      </c>
      <c r="AM3913">
        <v>97.772034169304206</v>
      </c>
      <c r="AN3913">
        <v>0.99999999098243098</v>
      </c>
    </row>
    <row r="3914" spans="1:40" x14ac:dyDescent="0.25">
      <c r="A3914" t="str">
        <f>"20190312150734586"</f>
        <v>20190312150734586</v>
      </c>
      <c r="B3914" t="str">
        <f>"1552374454573870"</f>
        <v>1552374454573870</v>
      </c>
      <c r="C3914" t="s">
        <v>40</v>
      </c>
      <c r="D3914">
        <v>4.6238089999999996</v>
      </c>
      <c r="E3914">
        <v>0.48749029999999999</v>
      </c>
      <c r="F3914" t="s">
        <v>61</v>
      </c>
      <c r="G3914">
        <v>-480.37650000000002</v>
      </c>
      <c r="H3914" s="1">
        <v>1.8656679999999999E-6</v>
      </c>
      <c r="I3914">
        <v>279.9624</v>
      </c>
      <c r="J3914">
        <v>-448.43689999999998</v>
      </c>
      <c r="K3914">
        <v>1.111307</v>
      </c>
      <c r="L3914">
        <v>284.96030000000002</v>
      </c>
      <c r="M3914">
        <v>-0.99980290000000005</v>
      </c>
      <c r="N3914">
        <v>0</v>
      </c>
      <c r="O3914">
        <v>1.4044940000000001E-2</v>
      </c>
      <c r="P3914">
        <v>-0.99215450000000005</v>
      </c>
      <c r="Q3914">
        <v>2.8677399999999999E-2</v>
      </c>
      <c r="R3914">
        <v>-0.12168569999999999</v>
      </c>
      <c r="S3914">
        <v>-2.970154</v>
      </c>
      <c r="T3914">
        <v>-0.1027652</v>
      </c>
      <c r="U3914">
        <v>-0.46200560000000002</v>
      </c>
      <c r="V3914">
        <v>-0.13568759999999999</v>
      </c>
      <c r="W3914">
        <v>4.2322690000000003E-2</v>
      </c>
      <c r="X3914">
        <v>0.98984729999999999</v>
      </c>
      <c r="Y3914">
        <v>-0.1674592</v>
      </c>
      <c r="Z3914">
        <v>-3.3618879999999999E-3</v>
      </c>
      <c r="AA3914">
        <v>0.98587329999999995</v>
      </c>
      <c r="AB3914">
        <v>27</v>
      </c>
      <c r="AC3914">
        <v>-31.939599999999999</v>
      </c>
      <c r="AD3914">
        <v>-1.111305134332</v>
      </c>
      <c r="AE3914">
        <v>-4.9979000000000102</v>
      </c>
      <c r="AF3914">
        <v>-5.4396129620432898</v>
      </c>
      <c r="AG3914">
        <v>-1.111305134332</v>
      </c>
      <c r="AH3914">
        <v>31.828635478789199</v>
      </c>
      <c r="AI3914">
        <v>91.971128782400001</v>
      </c>
      <c r="AJ3914">
        <v>99.698329082370904</v>
      </c>
      <c r="AK3914">
        <v>32.309231261669801</v>
      </c>
      <c r="AL3914">
        <v>87.574363995034105</v>
      </c>
      <c r="AM3914">
        <v>97.805419521162193</v>
      </c>
      <c r="AN3914">
        <v>1.0000000060999401</v>
      </c>
    </row>
    <row r="3915" spans="1:40" x14ac:dyDescent="0.25">
      <c r="A3915" t="str">
        <f>"20190312150734599"</f>
        <v>20190312150734599</v>
      </c>
      <c r="B3915" t="str">
        <f>"1552374454594366"</f>
        <v>1552374454594366</v>
      </c>
      <c r="C3915" t="s">
        <v>40</v>
      </c>
      <c r="D3915">
        <v>4.497452</v>
      </c>
      <c r="E3915">
        <v>0.48692489999999999</v>
      </c>
      <c r="F3915" t="s">
        <v>61</v>
      </c>
      <c r="G3915">
        <v>-477.8938</v>
      </c>
      <c r="H3915" s="1">
        <v>2.7345499999999999E-6</v>
      </c>
      <c r="I3915">
        <v>280.28129999999999</v>
      </c>
      <c r="J3915">
        <v>-448.59120000000001</v>
      </c>
      <c r="K3915">
        <v>1.1113280000000001</v>
      </c>
      <c r="L3915">
        <v>284.96179999999998</v>
      </c>
      <c r="M3915">
        <v>-0.99981160000000002</v>
      </c>
      <c r="N3915">
        <v>0</v>
      </c>
      <c r="O3915">
        <v>1.3409900000000001E-2</v>
      </c>
      <c r="P3915">
        <v>-0.9920042</v>
      </c>
      <c r="Q3915">
        <v>2.8728E-2</v>
      </c>
      <c r="R3915">
        <v>-0.1228914</v>
      </c>
      <c r="S3915">
        <v>-2.9691160000000001</v>
      </c>
      <c r="T3915">
        <v>-0.1120139</v>
      </c>
      <c r="U3915">
        <v>-0.4716187</v>
      </c>
      <c r="V3915">
        <v>-0.13626460000000001</v>
      </c>
      <c r="W3915">
        <v>4.236272E-2</v>
      </c>
      <c r="X3915">
        <v>0.98976629999999999</v>
      </c>
      <c r="Y3915">
        <v>-0.1699785</v>
      </c>
      <c r="Z3915">
        <v>-3.6879999999999999E-3</v>
      </c>
      <c r="AA3915">
        <v>0.98544089999999995</v>
      </c>
      <c r="AB3915">
        <v>27</v>
      </c>
      <c r="AC3915">
        <v>-29.302599999999899</v>
      </c>
      <c r="AD3915">
        <v>-1.1113252654500001</v>
      </c>
      <c r="AE3915">
        <v>-4.6804999999999897</v>
      </c>
      <c r="AF3915">
        <v>-5.0659572698368898</v>
      </c>
      <c r="AG3915">
        <v>-1.1113252654500001</v>
      </c>
      <c r="AH3915">
        <v>29.196243308217099</v>
      </c>
      <c r="AI3915">
        <v>92.147791714494005</v>
      </c>
      <c r="AJ3915">
        <v>99.8436137519017</v>
      </c>
      <c r="AK3915">
        <v>29.653323426187001</v>
      </c>
      <c r="AL3915">
        <v>87.572068334754803</v>
      </c>
      <c r="AM3915">
        <v>97.838833171247103</v>
      </c>
      <c r="AN3915">
        <v>0.999999984937324</v>
      </c>
    </row>
    <row r="3916" spans="1:40" x14ac:dyDescent="0.25">
      <c r="A3916" t="str">
        <f>"20190312150734610"</f>
        <v>20190312150734610</v>
      </c>
      <c r="B3916" t="str">
        <f>"1552374454604126"</f>
        <v>1552374454604126</v>
      </c>
      <c r="C3916" t="s">
        <v>40</v>
      </c>
      <c r="D3916">
        <v>4.5080390000000001</v>
      </c>
      <c r="E3916">
        <v>0.486707</v>
      </c>
      <c r="F3916" t="s">
        <v>61</v>
      </c>
      <c r="G3916">
        <v>-475.6755</v>
      </c>
      <c r="H3916" s="1">
        <v>3.7444699999999999E-6</v>
      </c>
      <c r="I3916">
        <v>280.58109999999999</v>
      </c>
      <c r="J3916">
        <v>-448.73649999999998</v>
      </c>
      <c r="K3916">
        <v>1.111345</v>
      </c>
      <c r="L3916">
        <v>284.9631</v>
      </c>
      <c r="M3916">
        <v>-0.99981980000000004</v>
      </c>
      <c r="N3916">
        <v>0</v>
      </c>
      <c r="O3916">
        <v>1.2803210000000001E-2</v>
      </c>
      <c r="P3916">
        <v>-0.99185809999999996</v>
      </c>
      <c r="Q3916">
        <v>2.845545E-2</v>
      </c>
      <c r="R3916">
        <v>-0.12412960000000001</v>
      </c>
      <c r="S3916">
        <v>-2.9682620000000002</v>
      </c>
      <c r="T3916">
        <v>-0.1217936</v>
      </c>
      <c r="U3916">
        <v>-0.48010249999999999</v>
      </c>
      <c r="V3916">
        <v>-0.13690099999999999</v>
      </c>
      <c r="W3916">
        <v>4.2081149999999998E-2</v>
      </c>
      <c r="X3916">
        <v>0.98969050000000003</v>
      </c>
      <c r="Y3916">
        <v>-0.17214560000000001</v>
      </c>
      <c r="Z3916">
        <v>-4.0293960000000002E-3</v>
      </c>
      <c r="AA3916">
        <v>0.98506329999999998</v>
      </c>
      <c r="AB3916">
        <v>27</v>
      </c>
      <c r="AC3916">
        <v>-26.939</v>
      </c>
      <c r="AD3916">
        <v>-1.11134125553</v>
      </c>
      <c r="AE3916">
        <v>-4.3819999999999997</v>
      </c>
      <c r="AF3916">
        <v>-4.7187565190397898</v>
      </c>
      <c r="AG3916">
        <v>-1.11134125553</v>
      </c>
      <c r="AH3916">
        <v>26.836187377352399</v>
      </c>
      <c r="AI3916">
        <v>92.335589500183005</v>
      </c>
      <c r="AJ3916">
        <v>99.972691392641494</v>
      </c>
      <c r="AK3916">
        <v>27.2705462986093</v>
      </c>
      <c r="AL3916">
        <v>87.588215534458698</v>
      </c>
      <c r="AM3916">
        <v>97.875580366327398</v>
      </c>
      <c r="AN3916">
        <v>0.99999999638828596</v>
      </c>
    </row>
    <row r="3917" spans="1:40" x14ac:dyDescent="0.25">
      <c r="A3917" t="str">
        <f>"20190312150734623"</f>
        <v>20190312150734623</v>
      </c>
      <c r="B3917" t="str">
        <f>"1552374454613886"</f>
        <v>1552374454613886</v>
      </c>
      <c r="C3917" t="s">
        <v>40</v>
      </c>
      <c r="D3917">
        <v>4.4832510000000001</v>
      </c>
      <c r="E3917">
        <v>0.48647669999999998</v>
      </c>
      <c r="F3917" t="s">
        <v>61</v>
      </c>
      <c r="G3917">
        <v>-474.99360000000001</v>
      </c>
      <c r="H3917" s="1">
        <v>4.0544249999999997E-6</v>
      </c>
      <c r="I3917">
        <v>280.66750000000002</v>
      </c>
      <c r="J3917">
        <v>-448.88760000000002</v>
      </c>
      <c r="K3917">
        <v>1.111359</v>
      </c>
      <c r="L3917">
        <v>284.96440000000001</v>
      </c>
      <c r="M3917">
        <v>-0.99982769999999999</v>
      </c>
      <c r="N3917">
        <v>0</v>
      </c>
      <c r="O3917">
        <v>1.216539E-2</v>
      </c>
      <c r="P3917">
        <v>-0.99173140000000004</v>
      </c>
      <c r="Q3917">
        <v>2.8155989999999999E-2</v>
      </c>
      <c r="R3917">
        <v>-0.1252055</v>
      </c>
      <c r="S3917">
        <v>-2.9674680000000002</v>
      </c>
      <c r="T3917">
        <v>-0.12559909999999999</v>
      </c>
      <c r="U3917">
        <v>-0.48547360000000001</v>
      </c>
      <c r="V3917">
        <v>-0.13734399999999999</v>
      </c>
      <c r="W3917">
        <v>4.1773860000000003E-2</v>
      </c>
      <c r="X3917">
        <v>0.98964209999999997</v>
      </c>
      <c r="Y3917">
        <v>-0.17328550000000001</v>
      </c>
      <c r="Z3917">
        <v>-4.152818E-3</v>
      </c>
      <c r="AA3917">
        <v>0.98486289999999999</v>
      </c>
      <c r="AB3917">
        <v>27</v>
      </c>
      <c r="AC3917">
        <v>-26.105999999999899</v>
      </c>
      <c r="AD3917">
        <v>-1.111354945575</v>
      </c>
      <c r="AE3917">
        <v>-4.2968999999999902</v>
      </c>
      <c r="AF3917">
        <v>-4.6060755413712897</v>
      </c>
      <c r="AG3917">
        <v>-1.111354945575</v>
      </c>
      <c r="AH3917">
        <v>26.005902343619201</v>
      </c>
      <c r="AI3917">
        <v>92.409572774141793</v>
      </c>
      <c r="AJ3917">
        <v>100.04386858898</v>
      </c>
      <c r="AK3917">
        <v>26.4340310662928</v>
      </c>
      <c r="AL3917">
        <v>87.605837358221294</v>
      </c>
      <c r="AM3917">
        <v>97.901125271332901</v>
      </c>
      <c r="AN3917">
        <v>0.99999995790385299</v>
      </c>
    </row>
    <row r="3918" spans="1:40" x14ac:dyDescent="0.25">
      <c r="A3918" t="str">
        <f>"20190312150734635"</f>
        <v>20190312150734635</v>
      </c>
      <c r="B3918" t="str">
        <f>"1552374454623645"</f>
        <v>1552374454623645</v>
      </c>
      <c r="C3918" t="s">
        <v>40</v>
      </c>
      <c r="D3918">
        <v>4.5142439999999997</v>
      </c>
      <c r="E3918">
        <v>0.48659069999999999</v>
      </c>
      <c r="F3918" t="s">
        <v>61</v>
      </c>
      <c r="G3918">
        <v>-473.60199999999998</v>
      </c>
      <c r="H3918" s="1">
        <v>4.6897350000000001E-6</v>
      </c>
      <c r="I3918">
        <v>280.87520000000001</v>
      </c>
      <c r="J3918">
        <v>-449.0283</v>
      </c>
      <c r="K3918">
        <v>1.1113660000000001</v>
      </c>
      <c r="L3918">
        <v>284.96550000000002</v>
      </c>
      <c r="M3918">
        <v>-0.99983489999999997</v>
      </c>
      <c r="N3918">
        <v>0</v>
      </c>
      <c r="O3918">
        <v>1.156416E-2</v>
      </c>
      <c r="P3918">
        <v>-0.99159850000000005</v>
      </c>
      <c r="Q3918">
        <v>2.816521E-2</v>
      </c>
      <c r="R3918">
        <v>-0.12625259999999999</v>
      </c>
      <c r="S3918">
        <v>-2.9667970000000001</v>
      </c>
      <c r="T3918">
        <v>-0.133411</v>
      </c>
      <c r="U3918">
        <v>-0.49087520000000001</v>
      </c>
      <c r="V3918">
        <v>-0.1377951</v>
      </c>
      <c r="W3918">
        <v>4.17772E-2</v>
      </c>
      <c r="X3918">
        <v>0.98957930000000005</v>
      </c>
      <c r="Y3918">
        <v>-0.1744532</v>
      </c>
      <c r="Z3918">
        <v>-4.4104119999999998E-3</v>
      </c>
      <c r="AA3918">
        <v>0.98465559999999996</v>
      </c>
      <c r="AB3918">
        <v>27</v>
      </c>
      <c r="AC3918">
        <v>-24.573699999999899</v>
      </c>
      <c r="AD3918">
        <v>-1.111361310265</v>
      </c>
      <c r="AE3918">
        <v>-4.0903000000000098</v>
      </c>
      <c r="AF3918">
        <v>-4.3655401771807298</v>
      </c>
      <c r="AG3918">
        <v>-1.111361310265</v>
      </c>
      <c r="AH3918">
        <v>24.476038319041599</v>
      </c>
      <c r="AI3918">
        <v>92.559454659854694</v>
      </c>
      <c r="AJ3918">
        <v>100.112917959363</v>
      </c>
      <c r="AK3918">
        <v>24.887135568315699</v>
      </c>
      <c r="AL3918">
        <v>87.605645941938306</v>
      </c>
      <c r="AM3918">
        <v>97.927243456752805</v>
      </c>
      <c r="AN3918">
        <v>1.0000000075061699</v>
      </c>
    </row>
    <row r="3919" spans="1:40" x14ac:dyDescent="0.25">
      <c r="A3919" t="str">
        <f>"20190312150734649"</f>
        <v>20190312150734649</v>
      </c>
      <c r="B3919" t="str">
        <f>"1552374454644141"</f>
        <v>1552374454644141</v>
      </c>
      <c r="C3919" t="s">
        <v>40</v>
      </c>
      <c r="D3919">
        <v>4.5309530000000002</v>
      </c>
      <c r="E3919">
        <v>0.48673110000000003</v>
      </c>
      <c r="F3919" t="s">
        <v>61</v>
      </c>
      <c r="G3919">
        <v>-472.4538</v>
      </c>
      <c r="H3919" s="1">
        <v>5.2159490000000002E-6</v>
      </c>
      <c r="I3919">
        <v>281.07029999999997</v>
      </c>
      <c r="J3919">
        <v>-449.20100000000002</v>
      </c>
      <c r="K3919">
        <v>1.111367</v>
      </c>
      <c r="L3919">
        <v>284.9667</v>
      </c>
      <c r="M3919">
        <v>-0.99984309999999998</v>
      </c>
      <c r="N3919">
        <v>0</v>
      </c>
      <c r="O3919">
        <v>1.082293E-2</v>
      </c>
      <c r="P3919">
        <v>-0.99131849999999999</v>
      </c>
      <c r="Q3919">
        <v>2.827636E-2</v>
      </c>
      <c r="R3919">
        <v>-0.12840599999999999</v>
      </c>
      <c r="S3919">
        <v>-2.9666139999999999</v>
      </c>
      <c r="T3919">
        <v>-0.14074329999999999</v>
      </c>
      <c r="U3919">
        <v>-0.49328610000000001</v>
      </c>
      <c r="V3919">
        <v>-0.13921239999999999</v>
      </c>
      <c r="W3919">
        <v>4.1878199999999997E-2</v>
      </c>
      <c r="X3919">
        <v>0.9893767</v>
      </c>
      <c r="Y3919">
        <v>-0.17449200000000001</v>
      </c>
      <c r="Z3919">
        <v>-4.6185130000000003E-3</v>
      </c>
      <c r="AA3919">
        <v>0.98464779999999996</v>
      </c>
      <c r="AB3919">
        <v>27</v>
      </c>
      <c r="AC3919">
        <v>-23.252800000000001</v>
      </c>
      <c r="AD3919">
        <v>-1.1113617840509999</v>
      </c>
      <c r="AE3919">
        <v>-3.8964000000000198</v>
      </c>
      <c r="AF3919">
        <v>-4.1386640185585799</v>
      </c>
      <c r="AG3919">
        <v>-1.1113617840509999</v>
      </c>
      <c r="AH3919">
        <v>23.157807749034099</v>
      </c>
      <c r="AI3919">
        <v>92.704772803364605</v>
      </c>
      <c r="AJ3919">
        <v>100.132682626511</v>
      </c>
      <c r="AK3919">
        <v>23.5509601633306</v>
      </c>
      <c r="AL3919">
        <v>87.599854137982106</v>
      </c>
      <c r="AM3919">
        <v>98.009345756534103</v>
      </c>
      <c r="AN3919">
        <v>1.00000006522594</v>
      </c>
    </row>
    <row r="3920" spans="1:40" x14ac:dyDescent="0.25">
      <c r="A3920" t="str">
        <f>"20190312150734664"</f>
        <v>20190312150734664</v>
      </c>
      <c r="B3920" t="str">
        <f>"1552374454653902"</f>
        <v>1552374454653902</v>
      </c>
      <c r="C3920" t="s">
        <v>40</v>
      </c>
      <c r="D3920">
        <v>4.5207610000000003</v>
      </c>
      <c r="E3920">
        <v>0.48658370000000001</v>
      </c>
      <c r="F3920" t="s">
        <v>61</v>
      </c>
      <c r="G3920">
        <v>-471.41079999999999</v>
      </c>
      <c r="H3920" s="1">
        <v>5.6924550000000004E-6</v>
      </c>
      <c r="I3920">
        <v>281.23020000000002</v>
      </c>
      <c r="J3920">
        <v>-449.3768</v>
      </c>
      <c r="K3920">
        <v>1.11137</v>
      </c>
      <c r="L3920">
        <v>284.96780000000001</v>
      </c>
      <c r="M3920">
        <v>-0.99985119999999905</v>
      </c>
      <c r="N3920">
        <v>0</v>
      </c>
      <c r="O3920">
        <v>1.0064699999999999E-2</v>
      </c>
      <c r="P3920">
        <v>-0.99115600000000004</v>
      </c>
      <c r="Q3920">
        <v>2.8049520000000001E-2</v>
      </c>
      <c r="R3920">
        <v>-0.12970329999999999</v>
      </c>
      <c r="S3920">
        <v>-2.965881</v>
      </c>
      <c r="T3920">
        <v>-0.14841070000000001</v>
      </c>
      <c r="U3920">
        <v>-0.49896239999999997</v>
      </c>
      <c r="V3920">
        <v>-0.13975760000000001</v>
      </c>
      <c r="W3920">
        <v>4.1646179999999998E-2</v>
      </c>
      <c r="X3920">
        <v>0.98930949999999995</v>
      </c>
      <c r="Y3920">
        <v>-0.17559449999999999</v>
      </c>
      <c r="Z3920">
        <v>-4.8599510000000004E-3</v>
      </c>
      <c r="AA3920">
        <v>0.98445059999999995</v>
      </c>
      <c r="AB3920">
        <v>27</v>
      </c>
      <c r="AC3920">
        <v>-22.033999999999899</v>
      </c>
      <c r="AD3920">
        <v>-1.1113643075449999</v>
      </c>
      <c r="AE3920">
        <v>-3.73759999999998</v>
      </c>
      <c r="AF3920">
        <v>-3.94943147665419</v>
      </c>
      <c r="AG3920">
        <v>-1.1113643075449999</v>
      </c>
      <c r="AH3920">
        <v>21.9410043630869</v>
      </c>
      <c r="AI3920">
        <v>92.853901804531901</v>
      </c>
      <c r="AJ3920">
        <v>100.20410194043301</v>
      </c>
      <c r="AK3920">
        <v>22.3213084758459</v>
      </c>
      <c r="AL3920">
        <v>87.613159210164298</v>
      </c>
      <c r="AM3920">
        <v>98.040842509469002</v>
      </c>
      <c r="AN3920">
        <v>0.99999993892829897</v>
      </c>
    </row>
    <row r="3921" spans="1:40" x14ac:dyDescent="0.25">
      <c r="A3921" t="str">
        <f>"20190312150734677"</f>
        <v>20190312150734677</v>
      </c>
      <c r="B3921" t="str">
        <f>"1552374454674397"</f>
        <v>1552374454674397</v>
      </c>
      <c r="C3921" t="s">
        <v>40</v>
      </c>
      <c r="D3921">
        <v>4.5217299999999998</v>
      </c>
      <c r="E3921">
        <v>0.48658970000000001</v>
      </c>
      <c r="F3921" t="s">
        <v>61</v>
      </c>
      <c r="G3921">
        <v>-471.17750000000001</v>
      </c>
      <c r="H3921" s="1">
        <v>5.7986760000000002E-6</v>
      </c>
      <c r="I3921">
        <v>281.26179999999999</v>
      </c>
      <c r="J3921">
        <v>-449.52859999999998</v>
      </c>
      <c r="K3921">
        <v>1.111372</v>
      </c>
      <c r="L3921">
        <v>284.96859999999998</v>
      </c>
      <c r="M3921">
        <v>-0.99985749999999995</v>
      </c>
      <c r="N3921">
        <v>0</v>
      </c>
      <c r="O3921">
        <v>9.4092670000000007E-3</v>
      </c>
      <c r="P3921">
        <v>-0.99103719999999995</v>
      </c>
      <c r="Q3921">
        <v>2.7512149999999999E-2</v>
      </c>
      <c r="R3921">
        <v>-0.1307228</v>
      </c>
      <c r="S3921">
        <v>-2.9650880000000002</v>
      </c>
      <c r="T3921">
        <v>-0.1511556</v>
      </c>
      <c r="U3921">
        <v>-0.50405880000000003</v>
      </c>
      <c r="V3921">
        <v>-0.1401259</v>
      </c>
      <c r="W3921">
        <v>4.1104960000000003E-2</v>
      </c>
      <c r="X3921">
        <v>0.9892801</v>
      </c>
      <c r="Y3921">
        <v>-0.17662829999999999</v>
      </c>
      <c r="Z3921">
        <v>-4.9433009999999998E-3</v>
      </c>
      <c r="AA3921">
        <v>0.98426519999999995</v>
      </c>
      <c r="AB3921">
        <v>27</v>
      </c>
      <c r="AC3921">
        <v>-21.648900000000001</v>
      </c>
      <c r="AD3921">
        <v>-1.111366201324</v>
      </c>
      <c r="AE3921">
        <v>-3.7067999999999799</v>
      </c>
      <c r="AF3921">
        <v>-3.9003699912379601</v>
      </c>
      <c r="AG3921">
        <v>-1.111366201324</v>
      </c>
      <c r="AH3921">
        <v>21.557864839387399</v>
      </c>
      <c r="AI3921">
        <v>92.904074071990493</v>
      </c>
      <c r="AJ3921">
        <v>100.25533497702099</v>
      </c>
      <c r="AK3921">
        <v>21.936033309039502</v>
      </c>
      <c r="AL3921">
        <v>87.6441955577599</v>
      </c>
      <c r="AM3921">
        <v>98.061990582349495</v>
      </c>
      <c r="AN3921">
        <v>1.00000000092171</v>
      </c>
    </row>
    <row r="3922" spans="1:40" x14ac:dyDescent="0.25">
      <c r="A3922" t="str">
        <f>"20190312150734690"</f>
        <v>20190312150734690</v>
      </c>
      <c r="B3922" t="str">
        <f>"1552374454684158"</f>
        <v>1552374454684158</v>
      </c>
      <c r="C3922" t="s">
        <v>40</v>
      </c>
      <c r="D3922">
        <v>4.5328999999999997</v>
      </c>
      <c r="E3922">
        <v>0.48658129999999999</v>
      </c>
      <c r="F3922" t="s">
        <v>61</v>
      </c>
      <c r="G3922">
        <v>-470.69330000000002</v>
      </c>
      <c r="H3922" s="1">
        <v>6.0207989999999998E-6</v>
      </c>
      <c r="I3922">
        <v>281.34629999999999</v>
      </c>
      <c r="J3922">
        <v>-449.67180000000002</v>
      </c>
      <c r="K3922">
        <v>1.111372</v>
      </c>
      <c r="L3922">
        <v>284.96929999999998</v>
      </c>
      <c r="M3922">
        <v>-0.9998631</v>
      </c>
      <c r="N3922">
        <v>0</v>
      </c>
      <c r="O3922">
        <v>8.7901479999999994E-3</v>
      </c>
      <c r="P3922">
        <v>-0.99093350000000002</v>
      </c>
      <c r="Q3922">
        <v>2.6790560000000001E-2</v>
      </c>
      <c r="R3922">
        <v>-0.13165689999999999</v>
      </c>
      <c r="S3922">
        <v>-2.9645389999999998</v>
      </c>
      <c r="T3922">
        <v>-0.1556691</v>
      </c>
      <c r="U3922">
        <v>-0.50738530000000004</v>
      </c>
      <c r="V3922">
        <v>-0.14044519999999999</v>
      </c>
      <c r="W3922">
        <v>4.0380770000000003E-2</v>
      </c>
      <c r="X3922">
        <v>0.9892647</v>
      </c>
      <c r="Y3922">
        <v>-0.17710809999999999</v>
      </c>
      <c r="Z3922">
        <v>-5.0713939999999999E-3</v>
      </c>
      <c r="AA3922">
        <v>0.98417840000000001</v>
      </c>
      <c r="AB3922">
        <v>27</v>
      </c>
      <c r="AC3922">
        <v>-21.0215</v>
      </c>
      <c r="AD3922">
        <v>-1.111365979201</v>
      </c>
      <c r="AE3922">
        <v>-3.62299999999999</v>
      </c>
      <c r="AF3922">
        <v>-3.79735270518028</v>
      </c>
      <c r="AG3922">
        <v>-1.111365979201</v>
      </c>
      <c r="AH3922">
        <v>20.932019890270102</v>
      </c>
      <c r="AI3922">
        <v>92.990491306394503</v>
      </c>
      <c r="AJ3922">
        <v>100.2824048252</v>
      </c>
      <c r="AK3922">
        <v>21.302687121439099</v>
      </c>
      <c r="AL3922">
        <v>87.685723193231794</v>
      </c>
      <c r="AM3922">
        <v>98.080242950168596</v>
      </c>
      <c r="AN3922">
        <v>1.00000005372745</v>
      </c>
    </row>
    <row r="3923" spans="1:40" x14ac:dyDescent="0.25">
      <c r="A3923" t="str">
        <f>"20190312150734705"</f>
        <v>20190312150734705</v>
      </c>
      <c r="B3923" t="str">
        <f>"1552374454693919"</f>
        <v>1552374454693919</v>
      </c>
      <c r="C3923" t="s">
        <v>40</v>
      </c>
      <c r="D3923">
        <v>4.5428110000000004</v>
      </c>
      <c r="E3923">
        <v>0.48662529999999998</v>
      </c>
      <c r="F3923" t="s">
        <v>61</v>
      </c>
      <c r="G3923">
        <v>-470.24639999999999</v>
      </c>
      <c r="H3923" s="1">
        <v>6.2259769999999998E-6</v>
      </c>
      <c r="I3923">
        <v>281.4264</v>
      </c>
      <c r="J3923">
        <v>-449.86149999999998</v>
      </c>
      <c r="K3923">
        <v>1.1113660000000001</v>
      </c>
      <c r="L3923">
        <v>284.9701</v>
      </c>
      <c r="M3923">
        <v>-0.99987009999999998</v>
      </c>
      <c r="N3923">
        <v>0</v>
      </c>
      <c r="O3923">
        <v>7.9694610000000006E-3</v>
      </c>
      <c r="P3923">
        <v>-0.99076520000000001</v>
      </c>
      <c r="Q3923">
        <v>2.4988940000000001E-2</v>
      </c>
      <c r="R3923">
        <v>-0.13326689999999999</v>
      </c>
      <c r="S3923">
        <v>-2.9638979999999999</v>
      </c>
      <c r="T3923">
        <v>-0.16009949999999901</v>
      </c>
      <c r="U3923">
        <v>-0.51037600000000005</v>
      </c>
      <c r="V3923">
        <v>-0.14123820000000001</v>
      </c>
      <c r="W3923">
        <v>3.8574009999999999E-2</v>
      </c>
      <c r="X3923">
        <v>0.98922379999999999</v>
      </c>
      <c r="Y3923">
        <v>-0.17728679999999999</v>
      </c>
      <c r="Z3923">
        <v>-5.1769900000000002E-3</v>
      </c>
      <c r="AA3923">
        <v>0.98414559999999995</v>
      </c>
      <c r="AB3923">
        <v>27</v>
      </c>
      <c r="AC3923">
        <v>-20.384899999999998</v>
      </c>
      <c r="AD3923">
        <v>-1.1113597740229999</v>
      </c>
      <c r="AE3923">
        <v>-3.5436999999999999</v>
      </c>
      <c r="AF3923">
        <v>-3.6953984274892702</v>
      </c>
      <c r="AG3923">
        <v>-1.1113597740229999</v>
      </c>
      <c r="AH3923">
        <v>20.297448028295999</v>
      </c>
      <c r="AI3923">
        <v>93.083438800182407</v>
      </c>
      <c r="AJ3923">
        <v>100.31838075256999</v>
      </c>
      <c r="AK3923">
        <v>20.6610136863268</v>
      </c>
      <c r="AL3923">
        <v>87.789323466232105</v>
      </c>
      <c r="AM3923">
        <v>98.125590572050797</v>
      </c>
      <c r="AN3923">
        <v>0.99999995493657901</v>
      </c>
    </row>
    <row r="3924" spans="1:40" x14ac:dyDescent="0.25">
      <c r="A3924" t="str">
        <f>"20190312150734720"</f>
        <v>20190312150734720</v>
      </c>
      <c r="B3924" t="str">
        <f>"1552374454714414"</f>
        <v>1552374454714414</v>
      </c>
      <c r="C3924" t="s">
        <v>40</v>
      </c>
      <c r="D3924">
        <v>4.5419669999999996</v>
      </c>
      <c r="E3924">
        <v>0.48671569999999997</v>
      </c>
      <c r="F3924" t="s">
        <v>67</v>
      </c>
      <c r="G3924">
        <v>-469.51569999999998</v>
      </c>
      <c r="H3924" s="1">
        <v>3.6607719999999998E-6</v>
      </c>
      <c r="I3924">
        <v>281.55630000000002</v>
      </c>
      <c r="J3924">
        <v>-450.03969999999998</v>
      </c>
      <c r="K3924">
        <v>1.111367</v>
      </c>
      <c r="L3924">
        <v>284.97070000000002</v>
      </c>
      <c r="M3924">
        <v>-0.99987599999999999</v>
      </c>
      <c r="N3924">
        <v>0</v>
      </c>
      <c r="O3924">
        <v>7.1935870000000004E-3</v>
      </c>
      <c r="P3924">
        <v>-0.99063769999999995</v>
      </c>
      <c r="Q3924">
        <v>2.4493279999999999E-2</v>
      </c>
      <c r="R3924">
        <v>-0.1343029</v>
      </c>
      <c r="S3924">
        <v>-2.962952</v>
      </c>
      <c r="T3924">
        <v>-0.16754169999999999</v>
      </c>
      <c r="U3924">
        <v>-0.51464840000000001</v>
      </c>
      <c r="V3924">
        <v>-0.1415042</v>
      </c>
      <c r="W3924">
        <v>3.8075129999999999E-2</v>
      </c>
      <c r="X3924">
        <v>0.98920520000000001</v>
      </c>
      <c r="Y3924">
        <v>-0.177928799999999</v>
      </c>
      <c r="Z3924">
        <v>-5.3927879999999999E-3</v>
      </c>
      <c r="AA3924">
        <v>0.98402860000000003</v>
      </c>
      <c r="AB3924">
        <v>27</v>
      </c>
      <c r="AC3924">
        <v>-19.475999999999999</v>
      </c>
      <c r="AD3924">
        <v>-1.111363339228</v>
      </c>
      <c r="AE3924">
        <v>-3.4144000000000001</v>
      </c>
      <c r="AF3924">
        <v>-3.5432341959088598</v>
      </c>
      <c r="AG3924">
        <v>-1.111363339228</v>
      </c>
      <c r="AH3924">
        <v>19.389677523945199</v>
      </c>
      <c r="AI3924">
        <v>93.227124455390296</v>
      </c>
      <c r="AJ3924">
        <v>100.355862892465</v>
      </c>
      <c r="AK3924">
        <v>19.742067559438201</v>
      </c>
      <c r="AL3924">
        <v>87.817928388672001</v>
      </c>
      <c r="AM3924">
        <v>98.140839929609498</v>
      </c>
      <c r="AN3924">
        <v>1.0000000409245899</v>
      </c>
    </row>
    <row r="3925" spans="1:40" x14ac:dyDescent="0.25">
      <c r="A3925" t="str">
        <f>"20190312150734733"</f>
        <v>20190312150734733</v>
      </c>
      <c r="B3925" t="str">
        <f>"1552374454724175"</f>
        <v>1552374454724175</v>
      </c>
      <c r="C3925" t="s">
        <v>40</v>
      </c>
      <c r="D3925">
        <v>4.5347189999999999</v>
      </c>
      <c r="E3925">
        <v>0.4867437</v>
      </c>
      <c r="F3925" t="s">
        <v>67</v>
      </c>
      <c r="G3925">
        <v>-469.38200000000001</v>
      </c>
      <c r="H3925" s="1">
        <v>3.5879520000000002E-6</v>
      </c>
      <c r="I3925">
        <v>281.59449999999998</v>
      </c>
      <c r="J3925">
        <v>-450.2045</v>
      </c>
      <c r="K3925">
        <v>1.11137</v>
      </c>
      <c r="L3925">
        <v>284.97109999999998</v>
      </c>
      <c r="M3925">
        <v>-0.99988100000000002</v>
      </c>
      <c r="N3925">
        <v>0</v>
      </c>
      <c r="O3925">
        <v>6.4707990000000002E-3</v>
      </c>
      <c r="P3925">
        <v>-0.99048659999999999</v>
      </c>
      <c r="Q3925">
        <v>2.4237160000000001E-2</v>
      </c>
      <c r="R3925">
        <v>-0.13546</v>
      </c>
      <c r="S3925">
        <v>-2.9624630000000001</v>
      </c>
      <c r="T3925">
        <v>-0.1702157</v>
      </c>
      <c r="U3925">
        <v>-0.51708980000000004</v>
      </c>
      <c r="V3925">
        <v>-0.14194470000000001</v>
      </c>
      <c r="W3925">
        <v>3.7814489999999999E-2</v>
      </c>
      <c r="X3925">
        <v>0.98915209999999998</v>
      </c>
      <c r="Y3925">
        <v>-0.17802370000000001</v>
      </c>
      <c r="Z3925">
        <v>-5.4407290000000001E-3</v>
      </c>
      <c r="AA3925">
        <v>0.98401119999999997</v>
      </c>
      <c r="AB3925">
        <v>27</v>
      </c>
      <c r="AC3925">
        <v>-19.177499999999899</v>
      </c>
      <c r="AD3925">
        <v>-1.111366412048</v>
      </c>
      <c r="AE3925">
        <v>-3.3765999999999901</v>
      </c>
      <c r="AF3925">
        <v>-3.48926925628979</v>
      </c>
      <c r="AG3925">
        <v>-1.111366412048</v>
      </c>
      <c r="AH3925">
        <v>19.093053214547599</v>
      </c>
      <c r="AI3925">
        <v>93.277153495643702</v>
      </c>
      <c r="AJ3925">
        <v>100.35655879305</v>
      </c>
      <c r="AK3925">
        <v>19.4410600610735</v>
      </c>
      <c r="AL3925">
        <v>87.832872753442103</v>
      </c>
      <c r="AM3925">
        <v>98.166273404154495</v>
      </c>
      <c r="AN3925">
        <v>1.00000005522322</v>
      </c>
    </row>
    <row r="3926" spans="1:40" x14ac:dyDescent="0.25">
      <c r="A3926" t="str">
        <f>"20190312150734750"</f>
        <v>20190312150734750</v>
      </c>
      <c r="B3926" t="str">
        <f>"1552374454743693"</f>
        <v>1552374454743693</v>
      </c>
      <c r="C3926" t="s">
        <v>40</v>
      </c>
      <c r="D3926">
        <v>4.530888</v>
      </c>
      <c r="E3926">
        <v>0.48684460000000002</v>
      </c>
      <c r="F3926" t="s">
        <v>67</v>
      </c>
      <c r="G3926">
        <v>-469.5607</v>
      </c>
      <c r="H3926" s="1">
        <v>3.6840619999999998E-6</v>
      </c>
      <c r="I3926">
        <v>281.57119999999998</v>
      </c>
      <c r="J3926">
        <v>-450.40219999999999</v>
      </c>
      <c r="K3926">
        <v>1.111381</v>
      </c>
      <c r="L3926">
        <v>284.97140000000002</v>
      </c>
      <c r="M3926">
        <v>-0.99988630000000001</v>
      </c>
      <c r="N3926">
        <v>0</v>
      </c>
      <c r="O3926">
        <v>5.5943540000000002E-3</v>
      </c>
      <c r="P3926">
        <v>-0.99039920000000004</v>
      </c>
      <c r="Q3926">
        <v>2.369953E-2</v>
      </c>
      <c r="R3926">
        <v>-0.13619249999999999</v>
      </c>
      <c r="S3926">
        <v>-2.961792</v>
      </c>
      <c r="T3926">
        <v>-0.1700556</v>
      </c>
      <c r="U3926">
        <v>-0.52023319999999995</v>
      </c>
      <c r="V3926">
        <v>-0.141808399999999</v>
      </c>
      <c r="W3926">
        <v>3.727366E-2</v>
      </c>
      <c r="X3926">
        <v>0.98919210000000002</v>
      </c>
      <c r="Y3926">
        <v>-0.1782137</v>
      </c>
      <c r="Z3926">
        <v>-5.3918339999999999E-3</v>
      </c>
      <c r="AA3926">
        <v>0.98397699999999999</v>
      </c>
      <c r="AB3926">
        <v>27</v>
      </c>
      <c r="AC3926">
        <v>-19.1585</v>
      </c>
      <c r="AD3926">
        <v>-1.111377315938</v>
      </c>
      <c r="AE3926">
        <v>-3.4002000000000399</v>
      </c>
      <c r="AF3926">
        <v>-3.4959317428987999</v>
      </c>
      <c r="AG3926">
        <v>-1.111377315938</v>
      </c>
      <c r="AH3926">
        <v>19.0769405484529</v>
      </c>
      <c r="AI3926">
        <v>93.279655665627004</v>
      </c>
      <c r="AJ3926">
        <v>100.38447776482199</v>
      </c>
      <c r="AK3926">
        <v>19.426434541073</v>
      </c>
      <c r="AL3926">
        <v>87.863881728727506</v>
      </c>
      <c r="AM3926">
        <v>98.158212028555994</v>
      </c>
      <c r="AN3926">
        <v>0.99999997937138196</v>
      </c>
    </row>
    <row r="3927" spans="1:40" x14ac:dyDescent="0.25">
      <c r="A3927" t="str">
        <f>"20190312150734772"</f>
        <v>20190312150734772</v>
      </c>
      <c r="B3927" t="str">
        <f>"1552374454764190"</f>
        <v>1552374454764190</v>
      </c>
      <c r="C3927" t="s">
        <v>40</v>
      </c>
      <c r="D3927">
        <v>4.5245649999999999</v>
      </c>
      <c r="E3927">
        <v>0.4869001</v>
      </c>
      <c r="F3927" t="s">
        <v>61</v>
      </c>
      <c r="G3927">
        <v>-470.12830000000002</v>
      </c>
      <c r="H3927" s="1">
        <v>6.284664E-6</v>
      </c>
      <c r="I3927">
        <v>281.49860000000001</v>
      </c>
      <c r="J3927">
        <v>-450.66579999999999</v>
      </c>
      <c r="K3927">
        <v>1.1113999999999999</v>
      </c>
      <c r="L3927">
        <v>284.97149999999999</v>
      </c>
      <c r="M3927">
        <v>-0.99989229999999996</v>
      </c>
      <c r="N3927">
        <v>0</v>
      </c>
      <c r="O3927">
        <v>4.3976609999999998E-3</v>
      </c>
      <c r="P3927">
        <v>-0.99024319999999999</v>
      </c>
      <c r="Q3927">
        <v>2.3170759999999999E-2</v>
      </c>
      <c r="R3927">
        <v>-0.13741210000000001</v>
      </c>
      <c r="S3927">
        <v>-2.9614259999999999</v>
      </c>
      <c r="T3927">
        <v>-0.16684789999999999</v>
      </c>
      <c r="U3927">
        <v>-0.52136229999999995</v>
      </c>
      <c r="V3927">
        <v>-0.14184330000000001</v>
      </c>
      <c r="W3927">
        <v>3.6737110000000003E-2</v>
      </c>
      <c r="X3927">
        <v>0.98920719999999995</v>
      </c>
      <c r="Y3927">
        <v>-0.1774347</v>
      </c>
      <c r="Z3927">
        <v>-5.202122E-3</v>
      </c>
      <c r="AA3927">
        <v>0.98411879999999996</v>
      </c>
      <c r="AB3927">
        <v>27</v>
      </c>
      <c r="AC3927">
        <v>-19.462499999999999</v>
      </c>
      <c r="AD3927">
        <v>-1.1113937153359901</v>
      </c>
      <c r="AE3927">
        <v>-3.4728999999999801</v>
      </c>
      <c r="AF3927">
        <v>-3.54725395717186</v>
      </c>
      <c r="AG3927">
        <v>-1.1113937153359901</v>
      </c>
      <c r="AH3927">
        <v>19.385773123443499</v>
      </c>
      <c r="AI3927">
        <v>93.227721923201401</v>
      </c>
      <c r="AJ3927">
        <v>100.369399631288</v>
      </c>
      <c r="AK3927">
        <v>19.738956563627699</v>
      </c>
      <c r="AL3927">
        <v>87.894644917066898</v>
      </c>
      <c r="AM3927">
        <v>98.160069896007798</v>
      </c>
      <c r="AN3927">
        <v>1.00000001076894</v>
      </c>
    </row>
    <row r="3928" spans="1:40" x14ac:dyDescent="0.25">
      <c r="A3928" t="str">
        <f>"20190312150734787"</f>
        <v>20190312150734787</v>
      </c>
      <c r="B3928" t="str">
        <f>"1552374454783710"</f>
        <v>1552374454783710</v>
      </c>
      <c r="C3928" t="s">
        <v>40</v>
      </c>
      <c r="D3928">
        <v>4.4935559999999999</v>
      </c>
      <c r="E3928">
        <v>0.48698000000000002</v>
      </c>
      <c r="F3928" t="s">
        <v>61</v>
      </c>
      <c r="G3928">
        <v>-470.55149999999998</v>
      </c>
      <c r="H3928" s="1">
        <v>6.0925639999999998E-6</v>
      </c>
      <c r="I3928">
        <v>281.44810000000001</v>
      </c>
      <c r="J3928">
        <v>-450.84500000000003</v>
      </c>
      <c r="K3928">
        <v>1.1114170000000001</v>
      </c>
      <c r="L3928">
        <v>284.97140000000002</v>
      </c>
      <c r="M3928">
        <v>-0.9998956</v>
      </c>
      <c r="N3928">
        <v>0</v>
      </c>
      <c r="O3928">
        <v>3.564083E-3</v>
      </c>
      <c r="P3928">
        <v>-0.99014009999999997</v>
      </c>
      <c r="Q3928">
        <v>2.2959779999999999E-2</v>
      </c>
      <c r="R3928">
        <v>-0.13818759999999999</v>
      </c>
      <c r="S3928">
        <v>-2.9606020000000002</v>
      </c>
      <c r="T3928">
        <v>-0.1654651</v>
      </c>
      <c r="U3928">
        <v>-0.52456669999999905</v>
      </c>
      <c r="V3928">
        <v>-0.14179449999999999</v>
      </c>
      <c r="W3928">
        <v>3.6519820000000001E-2</v>
      </c>
      <c r="X3928">
        <v>0.98922220000000005</v>
      </c>
      <c r="Y3928">
        <v>-0.17769939999999901</v>
      </c>
      <c r="Z3928">
        <v>-5.1211310000000001E-3</v>
      </c>
      <c r="AA3928">
        <v>0.98407149999999999</v>
      </c>
      <c r="AB3928">
        <v>27</v>
      </c>
      <c r="AC3928">
        <v>-19.706499999999899</v>
      </c>
      <c r="AD3928">
        <v>-1.1114109074359999</v>
      </c>
      <c r="AE3928">
        <v>-3.5232999999999999</v>
      </c>
      <c r="AF3928">
        <v>-3.58247808187719</v>
      </c>
      <c r="AG3928">
        <v>-1.1114109074359999</v>
      </c>
      <c r="AH3928">
        <v>19.633301877022699</v>
      </c>
      <c r="AI3928">
        <v>93.187450180018701</v>
      </c>
      <c r="AJ3928">
        <v>100.34096397463399</v>
      </c>
      <c r="AK3928">
        <v>19.988394783138499</v>
      </c>
      <c r="AL3928">
        <v>87.907102989923501</v>
      </c>
      <c r="AM3928">
        <v>98.157178254018405</v>
      </c>
      <c r="AN3928">
        <v>0.99999996922795997</v>
      </c>
    </row>
    <row r="3929" spans="1:40" x14ac:dyDescent="0.25">
      <c r="A3929" t="str">
        <f>"20190312150734801"</f>
        <v>20190312150734801</v>
      </c>
      <c r="B3929" t="str">
        <f>"1552374454794445"</f>
        <v>1552374454794445</v>
      </c>
      <c r="C3929" t="s">
        <v>40</v>
      </c>
      <c r="D3929">
        <v>4.4947530000000002</v>
      </c>
      <c r="E3929">
        <v>0.48704730000000002</v>
      </c>
      <c r="F3929" t="s">
        <v>61</v>
      </c>
      <c r="G3929">
        <v>-470.9119</v>
      </c>
      <c r="H3929" s="1">
        <v>5.9287849999999997E-6</v>
      </c>
      <c r="I3929">
        <v>281.40289999999999</v>
      </c>
      <c r="J3929">
        <v>-451.0197</v>
      </c>
      <c r="K3929">
        <v>1.111437</v>
      </c>
      <c r="L3929">
        <v>284.97120000000001</v>
      </c>
      <c r="M3929">
        <v>-0.99989810000000001</v>
      </c>
      <c r="N3929">
        <v>0</v>
      </c>
      <c r="O3929">
        <v>2.7328259999999998E-3</v>
      </c>
      <c r="P3929">
        <v>-0.99001399999999995</v>
      </c>
      <c r="Q3929">
        <v>2.322902E-2</v>
      </c>
      <c r="R3929">
        <v>-0.1390431</v>
      </c>
      <c r="S3929">
        <v>-2.9602659999999998</v>
      </c>
      <c r="T3929">
        <v>-0.16395470000000001</v>
      </c>
      <c r="U3929">
        <v>-0.52642819999999901</v>
      </c>
      <c r="V3929">
        <v>-0.14182899999999901</v>
      </c>
      <c r="W3929">
        <v>3.6781429999999997E-2</v>
      </c>
      <c r="X3929">
        <v>0.98920759999999996</v>
      </c>
      <c r="Y3929">
        <v>-0.1775069</v>
      </c>
      <c r="Z3929">
        <v>-5.0238050000000001E-3</v>
      </c>
      <c r="AA3929">
        <v>0.9841067</v>
      </c>
      <c r="AB3929">
        <v>27</v>
      </c>
      <c r="AC3929">
        <v>-19.892199999999999</v>
      </c>
      <c r="AD3929">
        <v>-1.111431071215</v>
      </c>
      <c r="AE3929">
        <v>-3.5683000000000198</v>
      </c>
      <c r="AF3929">
        <v>-3.61173047089552</v>
      </c>
      <c r="AG3929">
        <v>-1.111431071215</v>
      </c>
      <c r="AH3929">
        <v>19.822421490223999</v>
      </c>
      <c r="AI3929">
        <v>93.157306113407401</v>
      </c>
      <c r="AJ3929">
        <v>100.326260129638</v>
      </c>
      <c r="AK3929">
        <v>20.179402115933801</v>
      </c>
      <c r="AL3929">
        <v>87.892103843588799</v>
      </c>
      <c r="AM3929">
        <v>98.159255057381401</v>
      </c>
      <c r="AN3929">
        <v>1.0000000073658</v>
      </c>
    </row>
    <row r="3930" spans="1:40" x14ac:dyDescent="0.25">
      <c r="A3930" t="str">
        <f>"20190312150734814"</f>
        <v>20190312150734814</v>
      </c>
      <c r="B3930" t="str">
        <f>"1552374454804206"</f>
        <v>1552374454804206</v>
      </c>
      <c r="C3930" t="s">
        <v>40</v>
      </c>
      <c r="D3930">
        <v>4.4872350000000001</v>
      </c>
      <c r="E3930">
        <v>0.48707279999999997</v>
      </c>
      <c r="F3930" t="s">
        <v>61</v>
      </c>
      <c r="G3930">
        <v>-471.30189999999999</v>
      </c>
      <c r="H3930" s="1">
        <v>5.7514179999999998E-6</v>
      </c>
      <c r="I3930">
        <v>281.35219999999998</v>
      </c>
      <c r="J3930">
        <v>-451.15929999999997</v>
      </c>
      <c r="K3930">
        <v>1.1114599999999999</v>
      </c>
      <c r="L3930">
        <v>284.9708</v>
      </c>
      <c r="M3930">
        <v>-0.99989989999999995</v>
      </c>
      <c r="N3930">
        <v>0</v>
      </c>
      <c r="O3930">
        <v>2.0485770000000002E-3</v>
      </c>
      <c r="P3930">
        <v>-0.98987809999999998</v>
      </c>
      <c r="Q3930">
        <v>2.315946E-2</v>
      </c>
      <c r="R3930">
        <v>-0.140019899999999</v>
      </c>
      <c r="S3930">
        <v>-2.9599000000000002</v>
      </c>
      <c r="T3930">
        <v>-0.16219739999999999</v>
      </c>
      <c r="U3930">
        <v>-0.52813719999999997</v>
      </c>
      <c r="V3930">
        <v>-0.14212929999999999</v>
      </c>
      <c r="W3930">
        <v>3.6704229999999997E-2</v>
      </c>
      <c r="X3930">
        <v>0.98916729999999997</v>
      </c>
      <c r="Y3930">
        <v>-0.17741199999999999</v>
      </c>
      <c r="Z3930">
        <v>-4.9306310000000004E-3</v>
      </c>
      <c r="AA3930">
        <v>0.98412429999999995</v>
      </c>
      <c r="AB3930">
        <v>27</v>
      </c>
      <c r="AC3930">
        <v>-20.142600000000002</v>
      </c>
      <c r="AD3930">
        <v>-1.111454248582</v>
      </c>
      <c r="AE3930">
        <v>-3.61860000000001</v>
      </c>
      <c r="AF3930">
        <v>-3.6490968870288798</v>
      </c>
      <c r="AG3930">
        <v>-1.111454248582</v>
      </c>
      <c r="AH3930">
        <v>20.075928863913301</v>
      </c>
      <c r="AI3930">
        <v>93.117822380501494</v>
      </c>
      <c r="AJ3930">
        <v>100.301884911588</v>
      </c>
      <c r="AK3930">
        <v>20.4351207088806</v>
      </c>
      <c r="AL3930">
        <v>87.896529930869207</v>
      </c>
      <c r="AM3930">
        <v>98.1766262256061</v>
      </c>
      <c r="AN3930">
        <v>0.99999994290383398</v>
      </c>
    </row>
    <row r="3931" spans="1:40" x14ac:dyDescent="0.25">
      <c r="A3931" t="str">
        <f>"20190312150734827"</f>
        <v>20190312150734827</v>
      </c>
      <c r="B3931" t="str">
        <f>"1552374454824084"</f>
        <v>1552374454824084</v>
      </c>
      <c r="C3931" t="s">
        <v>40</v>
      </c>
      <c r="D3931">
        <v>4.7458900000000002</v>
      </c>
      <c r="E3931">
        <v>0.48720419999999998</v>
      </c>
      <c r="F3931" t="s">
        <v>61</v>
      </c>
      <c r="G3931">
        <v>-471.5231</v>
      </c>
      <c r="H3931" s="1">
        <v>5.6501819999999996E-6</v>
      </c>
      <c r="I3931">
        <v>281.31639999999999</v>
      </c>
      <c r="J3931">
        <v>-451.31119999999999</v>
      </c>
      <c r="K3931">
        <v>1.1114820000000001</v>
      </c>
      <c r="L3931">
        <v>284.97030000000001</v>
      </c>
      <c r="M3931">
        <v>-0.99990109999999999</v>
      </c>
      <c r="N3931">
        <v>0</v>
      </c>
      <c r="O3931">
        <v>1.293773E-3</v>
      </c>
      <c r="P3931">
        <v>-0.98977760000000004</v>
      </c>
      <c r="Q3931">
        <v>2.3376350000000001E-2</v>
      </c>
      <c r="R3931">
        <v>-0.14069189999999901</v>
      </c>
      <c r="S3931">
        <v>-2.95932</v>
      </c>
      <c r="T3931">
        <v>-0.1615193</v>
      </c>
      <c r="U3931">
        <v>-0.53106690000000001</v>
      </c>
      <c r="V3931">
        <v>-0.1420565</v>
      </c>
      <c r="W3931">
        <v>3.6913420000000002E-2</v>
      </c>
      <c r="X3931">
        <v>0.98916999999999999</v>
      </c>
      <c r="Y3931">
        <v>-0.17764940000000001</v>
      </c>
      <c r="Z3931">
        <v>-4.8761469999999999E-3</v>
      </c>
      <c r="AA3931">
        <v>0.98408169999999995</v>
      </c>
      <c r="AB3931">
        <v>27</v>
      </c>
      <c r="AC3931">
        <v>-20.2119</v>
      </c>
      <c r="AD3931">
        <v>-1.111476349818</v>
      </c>
      <c r="AE3931">
        <v>-3.6539000000000201</v>
      </c>
      <c r="AF3931">
        <v>-3.6693041865980698</v>
      </c>
      <c r="AG3931">
        <v>-1.111476349818</v>
      </c>
      <c r="AH3931">
        <v>20.148154874048799</v>
      </c>
      <c r="AI3931">
        <v>93.106537513846305</v>
      </c>
      <c r="AJ3931">
        <v>100.321371032377</v>
      </c>
      <c r="AK3931">
        <v>20.509688386678299</v>
      </c>
      <c r="AL3931">
        <v>87.884536154069806</v>
      </c>
      <c r="AM3931">
        <v>98.172472662249305</v>
      </c>
      <c r="AN3931">
        <v>0.99999996933417201</v>
      </c>
    </row>
    <row r="3932" spans="1:40" x14ac:dyDescent="0.25">
      <c r="A3932" t="str">
        <f>"20190312150734839"</f>
        <v>20190312150734839</v>
      </c>
      <c r="B3932" t="str">
        <f>"1552374454833844"</f>
        <v>1552374454833844</v>
      </c>
      <c r="C3932" t="s">
        <v>40</v>
      </c>
      <c r="D3932">
        <v>4.679767</v>
      </c>
      <c r="E3932">
        <v>0.48723729999999998</v>
      </c>
      <c r="F3932" t="s">
        <v>61</v>
      </c>
      <c r="G3932">
        <v>-472.06900000000002</v>
      </c>
      <c r="H3932" s="1">
        <v>5.4013379999999899E-6</v>
      </c>
      <c r="I3932">
        <v>281.23899999999998</v>
      </c>
      <c r="J3932">
        <v>-451.45949999999999</v>
      </c>
      <c r="K3932">
        <v>1.11149599999999</v>
      </c>
      <c r="L3932">
        <v>284.96969999999999</v>
      </c>
      <c r="M3932">
        <v>-0.99990179999999995</v>
      </c>
      <c r="N3932">
        <v>0</v>
      </c>
      <c r="O3932">
        <v>5.3381800000000003E-4</v>
      </c>
      <c r="P3932">
        <v>-0.98959050000000004</v>
      </c>
      <c r="Q3932">
        <v>2.3996050000000001E-2</v>
      </c>
      <c r="R3932">
        <v>-0.14189760000000001</v>
      </c>
      <c r="S3932">
        <v>-2.9591669999999999</v>
      </c>
      <c r="T3932">
        <v>-0.1584487</v>
      </c>
      <c r="U3932">
        <v>-0.53192139999999999</v>
      </c>
      <c r="V3932">
        <v>-0.14251320000000001</v>
      </c>
      <c r="W3932">
        <v>3.752287E-2</v>
      </c>
      <c r="X3932">
        <v>0.9890814</v>
      </c>
      <c r="Y3932">
        <v>-0.17719699999999999</v>
      </c>
      <c r="Z3932">
        <v>-4.7313449999999996E-3</v>
      </c>
      <c r="AA3932">
        <v>0.98416400000000004</v>
      </c>
      <c r="AB3932">
        <v>27</v>
      </c>
      <c r="AC3932">
        <v>-20.609500000000001</v>
      </c>
      <c r="AD3932">
        <v>-1.1114905986619901</v>
      </c>
      <c r="AE3932">
        <v>-3.7306999999999499</v>
      </c>
      <c r="AF3932">
        <v>-3.7311942250790202</v>
      </c>
      <c r="AG3932">
        <v>-1.1114905986619901</v>
      </c>
      <c r="AH3932">
        <v>20.549632074227301</v>
      </c>
      <c r="AI3932">
        <v>93.046291981269306</v>
      </c>
      <c r="AJ3932">
        <v>100.29107446099199</v>
      </c>
      <c r="AK3932">
        <v>20.915176310093301</v>
      </c>
      <c r="AL3932">
        <v>87.849593089081196</v>
      </c>
      <c r="AM3932">
        <v>98.199114300889804</v>
      </c>
      <c r="AN3932">
        <v>0.999999996886618</v>
      </c>
    </row>
    <row r="3933" spans="1:40" x14ac:dyDescent="0.25">
      <c r="A3933" t="str">
        <f>"20190312150734855"</f>
        <v>20190312150734855</v>
      </c>
      <c r="B3933" t="str">
        <f>"1552374454843604"</f>
        <v>1552374454843604</v>
      </c>
      <c r="C3933" t="s">
        <v>40</v>
      </c>
      <c r="D3933">
        <v>4.4745650000000001</v>
      </c>
      <c r="E3933">
        <v>0.48724139999999999</v>
      </c>
      <c r="F3933" t="s">
        <v>61</v>
      </c>
      <c r="G3933">
        <v>-472.55810000000002</v>
      </c>
      <c r="H3933" s="1">
        <v>5.1768059999999999E-6</v>
      </c>
      <c r="I3933">
        <v>281.15159999999997</v>
      </c>
      <c r="J3933">
        <v>-451.64249999999998</v>
      </c>
      <c r="K3933">
        <v>1.111521</v>
      </c>
      <c r="L3933">
        <v>284.96870000000001</v>
      </c>
      <c r="M3933">
        <v>-0.99990190000000001</v>
      </c>
      <c r="N3933">
        <v>0</v>
      </c>
      <c r="O3933">
        <v>-4.2612269999999999E-4</v>
      </c>
      <c r="P3933">
        <v>-0.98940799999999995</v>
      </c>
      <c r="Q3933">
        <v>2.3914419999999999E-2</v>
      </c>
      <c r="R3933">
        <v>-0.1431791</v>
      </c>
      <c r="S3933">
        <v>-2.958618</v>
      </c>
      <c r="T3933">
        <v>-0.15586240000000001</v>
      </c>
      <c r="U3933">
        <v>-0.5354004</v>
      </c>
      <c r="V3933">
        <v>-0.1428471</v>
      </c>
      <c r="W3933">
        <v>3.7429949999999997E-2</v>
      </c>
      <c r="X3933">
        <v>0.98903669999999999</v>
      </c>
      <c r="Y3933">
        <v>-0.17741379999999901</v>
      </c>
      <c r="Z3933">
        <v>-4.610116E-3</v>
      </c>
      <c r="AA3933">
        <v>0.98412560000000004</v>
      </c>
      <c r="AB3933">
        <v>27</v>
      </c>
      <c r="AC3933">
        <v>-20.915600000000001</v>
      </c>
      <c r="AD3933">
        <v>-1.1115158231940001</v>
      </c>
      <c r="AE3933">
        <v>-3.8171000000000301</v>
      </c>
      <c r="AF3933">
        <v>-3.7978062391527598</v>
      </c>
      <c r="AG3933">
        <v>-1.1115158231940001</v>
      </c>
      <c r="AH3933">
        <v>20.8602109770775</v>
      </c>
      <c r="AI3933">
        <v>93.000830241258697</v>
      </c>
      <c r="AJ3933">
        <v>100.318247667585</v>
      </c>
      <c r="AK3933">
        <v>21.232220836821199</v>
      </c>
      <c r="AL3933">
        <v>87.854920643213006</v>
      </c>
      <c r="AM3933">
        <v>98.218428598976402</v>
      </c>
      <c r="AN3933">
        <v>0.99999994454114904</v>
      </c>
    </row>
    <row r="3934" spans="1:40" x14ac:dyDescent="0.25">
      <c r="A3934" t="str">
        <f>"20190312150734868"</f>
        <v>20190312150734868</v>
      </c>
      <c r="B3934" t="str">
        <f>"1552374454864100"</f>
        <v>1552374454864100</v>
      </c>
      <c r="C3934" t="s">
        <v>40</v>
      </c>
      <c r="D3934">
        <v>4.445176</v>
      </c>
      <c r="E3934">
        <v>0.48724889999999998</v>
      </c>
      <c r="F3934" t="s">
        <v>61</v>
      </c>
      <c r="G3934">
        <v>-472.7998</v>
      </c>
      <c r="H3934" s="1">
        <v>5.0662540000000001E-6</v>
      </c>
      <c r="I3934">
        <v>281.11290000000002</v>
      </c>
      <c r="J3934">
        <v>-451.79899999999998</v>
      </c>
      <c r="K3934">
        <v>1.1115389999999901</v>
      </c>
      <c r="L3934">
        <v>284.96780000000001</v>
      </c>
      <c r="M3934">
        <v>-0.99990129999999999</v>
      </c>
      <c r="N3934">
        <v>0</v>
      </c>
      <c r="O3934">
        <v>-1.2620000000000001E-3</v>
      </c>
      <c r="P3934">
        <v>-0.98927039999999999</v>
      </c>
      <c r="Q3934">
        <v>2.4029720000000001E-2</v>
      </c>
      <c r="R3934">
        <v>-0.1441076</v>
      </c>
      <c r="S3934">
        <v>-2.9578859999999998</v>
      </c>
      <c r="T3934">
        <v>-0.15539510000000001</v>
      </c>
      <c r="U3934">
        <v>-0.5390625</v>
      </c>
      <c r="V3934">
        <v>-0.1429503</v>
      </c>
      <c r="W3934">
        <v>3.753716E-2</v>
      </c>
      <c r="X3934">
        <v>0.98901779999999995</v>
      </c>
      <c r="Y3934">
        <v>-0.17781529999999901</v>
      </c>
      <c r="Z3934">
        <v>-4.563854E-3</v>
      </c>
      <c r="AA3934">
        <v>0.98405330000000002</v>
      </c>
      <c r="AB3934">
        <v>27</v>
      </c>
      <c r="AC3934">
        <v>-21.000799999999899</v>
      </c>
      <c r="AD3934">
        <v>-1.11153393374599</v>
      </c>
      <c r="AE3934">
        <v>-3.8548999999999798</v>
      </c>
      <c r="AF3934">
        <v>-3.8180441295054899</v>
      </c>
      <c r="AG3934">
        <v>-1.11153393374599</v>
      </c>
      <c r="AH3934">
        <v>20.9488755567914</v>
      </c>
      <c r="AI3934">
        <v>92.988098300863996</v>
      </c>
      <c r="AJ3934">
        <v>100.32908959203699</v>
      </c>
      <c r="AK3934">
        <v>21.3229537295997</v>
      </c>
      <c r="AL3934">
        <v>87.8487737999301</v>
      </c>
      <c r="AM3934">
        <v>98.224439832126393</v>
      </c>
      <c r="AN3934">
        <v>1.0000000176838899</v>
      </c>
    </row>
    <row r="3935" spans="1:40" x14ac:dyDescent="0.25">
      <c r="A3935" t="str">
        <f>"20190312150734880"</f>
        <v>20190312150734880</v>
      </c>
      <c r="B3935" t="str">
        <f>"1552374454873860"</f>
        <v>1552374454873860</v>
      </c>
      <c r="C3935" t="s">
        <v>40</v>
      </c>
      <c r="D3935">
        <v>4.4692720000000001</v>
      </c>
      <c r="E3935">
        <v>0.48725180000000001</v>
      </c>
      <c r="F3935" t="s">
        <v>61</v>
      </c>
      <c r="G3935">
        <v>-473.22190000000001</v>
      </c>
      <c r="H3935" s="1">
        <v>4.8729399999999998E-6</v>
      </c>
      <c r="I3935">
        <v>281.04270000000002</v>
      </c>
      <c r="J3935">
        <v>-451.9556</v>
      </c>
      <c r="K3935">
        <v>1.1115539999999999</v>
      </c>
      <c r="L3935">
        <v>284.9667</v>
      </c>
      <c r="M3935">
        <v>-0.99989969999999995</v>
      </c>
      <c r="N3935">
        <v>0</v>
      </c>
      <c r="O3935">
        <v>-2.1140379999999999E-3</v>
      </c>
      <c r="P3935">
        <v>-0.98907060000000002</v>
      </c>
      <c r="Q3935">
        <v>2.3887950000000002E-2</v>
      </c>
      <c r="R3935">
        <v>-0.1454947</v>
      </c>
      <c r="S3935">
        <v>-2.9573360000000002</v>
      </c>
      <c r="T3935">
        <v>-0.153442299999999</v>
      </c>
      <c r="U3935">
        <v>-0.54183959999999998</v>
      </c>
      <c r="V3935">
        <v>-0.14349579999999901</v>
      </c>
      <c r="W3935">
        <v>3.7385639999999998E-2</v>
      </c>
      <c r="X3935">
        <v>0.9889445</v>
      </c>
      <c r="Y3935">
        <v>-0.17791009999999999</v>
      </c>
      <c r="Z3935">
        <v>-4.465643E-3</v>
      </c>
      <c r="AA3935">
        <v>0.98403660000000004</v>
      </c>
      <c r="AB3935">
        <v>27</v>
      </c>
      <c r="AC3935">
        <v>-21.266300000000001</v>
      </c>
      <c r="AD3935">
        <v>-1.11154912706</v>
      </c>
      <c r="AE3935">
        <v>-3.9239999999999702</v>
      </c>
      <c r="AF3935">
        <v>-3.8688076523017401</v>
      </c>
      <c r="AG3935">
        <v>-1.11154912706</v>
      </c>
      <c r="AH3935">
        <v>21.2184894524882</v>
      </c>
      <c r="AI3935">
        <v>92.950197834672196</v>
      </c>
      <c r="AJ3935">
        <v>100.33333629582199</v>
      </c>
      <c r="AK3935">
        <v>21.596932855332199</v>
      </c>
      <c r="AL3935">
        <v>87.857461267928898</v>
      </c>
      <c r="AM3935">
        <v>98.255996079358994</v>
      </c>
      <c r="AN3935">
        <v>0.99999997738804902</v>
      </c>
    </row>
    <row r="3936" spans="1:40" x14ac:dyDescent="0.25">
      <c r="A3936" t="str">
        <f>"20190312150734893"</f>
        <v>20190312150734893</v>
      </c>
      <c r="B3936" t="str">
        <f>"1552374454883620"</f>
        <v>1552374454883620</v>
      </c>
      <c r="C3936" t="s">
        <v>40</v>
      </c>
      <c r="D3936">
        <v>4.407597</v>
      </c>
      <c r="E3936">
        <v>0.48724719999999999</v>
      </c>
      <c r="F3936" t="s">
        <v>61</v>
      </c>
      <c r="G3936">
        <v>-473.2373</v>
      </c>
      <c r="H3936" s="1">
        <v>4.8656779999999997E-6</v>
      </c>
      <c r="I3936">
        <v>281.03789999999998</v>
      </c>
      <c r="J3936">
        <v>-452.09980000000002</v>
      </c>
      <c r="K3936">
        <v>1.1115630000000001</v>
      </c>
      <c r="L3936">
        <v>284.96550000000002</v>
      </c>
      <c r="M3936">
        <v>-0.99989779999999995</v>
      </c>
      <c r="N3936">
        <v>0</v>
      </c>
      <c r="O3936">
        <v>-2.909713E-3</v>
      </c>
      <c r="P3936">
        <v>-0.98890670000000003</v>
      </c>
      <c r="Q3936">
        <v>2.3613950000000002E-2</v>
      </c>
      <c r="R3936">
        <v>-0.14664929999999901</v>
      </c>
      <c r="S3936">
        <v>-2.956604</v>
      </c>
      <c r="T3936">
        <v>-0.15442410000000001</v>
      </c>
      <c r="U3936">
        <v>-0.54580689999999998</v>
      </c>
      <c r="V3936">
        <v>-0.14386370000000001</v>
      </c>
      <c r="W3936">
        <v>3.7104980000000003E-2</v>
      </c>
      <c r="X3936">
        <v>0.98890160000000005</v>
      </c>
      <c r="Y3936">
        <v>-0.17844479999999999</v>
      </c>
      <c r="Z3936">
        <v>-4.4673899999999999E-3</v>
      </c>
      <c r="AA3936">
        <v>0.98393980000000003</v>
      </c>
      <c r="AB3936">
        <v>27</v>
      </c>
      <c r="AC3936">
        <v>-21.1374999999999</v>
      </c>
      <c r="AD3936">
        <v>-1.11155813432199</v>
      </c>
      <c r="AE3936">
        <v>-3.9276000000000399</v>
      </c>
      <c r="AF3936">
        <v>-3.8557664254407702</v>
      </c>
      <c r="AG3936">
        <v>-1.11155813432199</v>
      </c>
      <c r="AH3936">
        <v>21.092457501732401</v>
      </c>
      <c r="AI3936">
        <v>92.9675718707458</v>
      </c>
      <c r="AJ3936">
        <v>100.35946232075401</v>
      </c>
      <c r="AK3936">
        <v>21.470776876394599</v>
      </c>
      <c r="AL3936">
        <v>87.873553028169795</v>
      </c>
      <c r="AM3936">
        <v>98.277224317893598</v>
      </c>
      <c r="AN3936">
        <v>0.99999995910052397</v>
      </c>
    </row>
    <row r="3937" spans="1:40" x14ac:dyDescent="0.25">
      <c r="A3937" t="str">
        <f>"20190312150734908"</f>
        <v>20190312150734908</v>
      </c>
      <c r="B3937" t="str">
        <f>"1552374454904116"</f>
        <v>1552374454904116</v>
      </c>
      <c r="C3937" t="s">
        <v>40</v>
      </c>
      <c r="D3937">
        <v>4.4306970000000003</v>
      </c>
      <c r="E3937">
        <v>0.48721740000000002</v>
      </c>
      <c r="F3937" t="s">
        <v>61</v>
      </c>
      <c r="G3937">
        <v>-473.20089999999999</v>
      </c>
      <c r="H3937" s="1">
        <v>4.8824290000000002E-6</v>
      </c>
      <c r="I3937">
        <v>281.04520000000002</v>
      </c>
      <c r="J3937">
        <v>-452.25310000000002</v>
      </c>
      <c r="K3937">
        <v>1.1115630000000001</v>
      </c>
      <c r="L3937">
        <v>284.96420000000001</v>
      </c>
      <c r="M3937">
        <v>-0.99989499999999998</v>
      </c>
      <c r="N3937">
        <v>0</v>
      </c>
      <c r="O3937">
        <v>-3.7619810000000002E-3</v>
      </c>
      <c r="P3937">
        <v>-0.98861909999999997</v>
      </c>
      <c r="Q3937">
        <v>2.3090019999999999E-2</v>
      </c>
      <c r="R3937">
        <v>-0.14865970000000001</v>
      </c>
      <c r="S3937">
        <v>-2.955902</v>
      </c>
      <c r="T3937">
        <v>-0.1557096</v>
      </c>
      <c r="U3937">
        <v>-0.54916379999999998</v>
      </c>
      <c r="V3937">
        <v>-0.14503160000000001</v>
      </c>
      <c r="W3937">
        <v>3.6570810000000002E-2</v>
      </c>
      <c r="X3937">
        <v>0.98875089999999999</v>
      </c>
      <c r="Y3937">
        <v>-0.1787251</v>
      </c>
      <c r="Z3937">
        <v>-4.4679530000000002E-3</v>
      </c>
      <c r="AA3937">
        <v>0.98388889999999996</v>
      </c>
      <c r="AB3937">
        <v>27</v>
      </c>
      <c r="AC3937">
        <v>-20.947799999999901</v>
      </c>
      <c r="AD3937">
        <v>-1.1115581175710001</v>
      </c>
      <c r="AE3937">
        <v>-3.9189999999999801</v>
      </c>
      <c r="AF3937">
        <v>-3.8297405524827499</v>
      </c>
      <c r="AG3937">
        <v>-1.1115581175710001</v>
      </c>
      <c r="AH3937">
        <v>20.905523140625501</v>
      </c>
      <c r="AI3937">
        <v>92.993853181452494</v>
      </c>
      <c r="AJ3937">
        <v>100.381065455276</v>
      </c>
      <c r="AK3937">
        <v>21.282466302834699</v>
      </c>
      <c r="AL3937">
        <v>87.904179517748005</v>
      </c>
      <c r="AM3937">
        <v>98.344731222934101</v>
      </c>
      <c r="AN3937">
        <v>0.99999996569671201</v>
      </c>
    </row>
    <row r="3938" spans="1:40" x14ac:dyDescent="0.25">
      <c r="A3938" t="str">
        <f>"20190312150734929"</f>
        <v>20190312150734929</v>
      </c>
      <c r="B3938" t="str">
        <f>"1552374454923635"</f>
        <v>1552374454923635</v>
      </c>
      <c r="C3938" t="s">
        <v>40</v>
      </c>
      <c r="D3938">
        <v>4.7913540000000001</v>
      </c>
      <c r="E3938">
        <v>0.4872206</v>
      </c>
      <c r="F3938" t="s">
        <v>61</v>
      </c>
      <c r="G3938">
        <v>-473.04579999999999</v>
      </c>
      <c r="H3938" s="1">
        <v>4.9520360000000003E-6</v>
      </c>
      <c r="I3938">
        <v>281.05430000000001</v>
      </c>
      <c r="J3938">
        <v>-452.51830000000001</v>
      </c>
      <c r="K3938">
        <v>1.111572</v>
      </c>
      <c r="L3938">
        <v>284.9615</v>
      </c>
      <c r="M3938">
        <v>-0.99988840000000001</v>
      </c>
      <c r="N3938">
        <v>0</v>
      </c>
      <c r="O3938">
        <v>-5.2519519999999998E-3</v>
      </c>
      <c r="P3938">
        <v>-0.98829109999999998</v>
      </c>
      <c r="Q3938">
        <v>2.2484549999999999E-2</v>
      </c>
      <c r="R3938">
        <v>-0.15091599999999999</v>
      </c>
      <c r="S3938">
        <v>-2.9546510000000001</v>
      </c>
      <c r="T3938">
        <v>-0.15795339999999999</v>
      </c>
      <c r="U3938">
        <v>-0.55560299999999996</v>
      </c>
      <c r="V3938">
        <v>-0.14581469999999999</v>
      </c>
      <c r="W3938">
        <v>3.595657E-2</v>
      </c>
      <c r="X3938">
        <v>0.98865829999999999</v>
      </c>
      <c r="Y3938">
        <v>-0.1793999</v>
      </c>
      <c r="Z3938">
        <v>-4.4722039999999996E-3</v>
      </c>
      <c r="AA3938">
        <v>0.98376609999999998</v>
      </c>
      <c r="AB3938">
        <v>26</v>
      </c>
      <c r="AC3938">
        <v>-20.5274999999999</v>
      </c>
      <c r="AD3938">
        <v>-1.1115670479639901</v>
      </c>
      <c r="AE3938">
        <v>-3.90719999999998</v>
      </c>
      <c r="AF3938">
        <v>-3.7886054226129802</v>
      </c>
      <c r="AG3938">
        <v>-1.1115670479639901</v>
      </c>
      <c r="AH3938">
        <v>20.4897590041281</v>
      </c>
      <c r="AI3938">
        <v>93.053585274849695</v>
      </c>
      <c r="AJ3938">
        <v>100.475810515728</v>
      </c>
      <c r="AK3938">
        <v>20.866704013753999</v>
      </c>
      <c r="AL3938">
        <v>87.939396150214606</v>
      </c>
      <c r="AM3938">
        <v>98.389923738031996</v>
      </c>
      <c r="AN3938">
        <v>1.0000000179105699</v>
      </c>
    </row>
    <row r="3939" spans="1:40" x14ac:dyDescent="0.25">
      <c r="A3939" t="str">
        <f>"20190312150734951"</f>
        <v>20190312150734951</v>
      </c>
      <c r="B3939" t="str">
        <f>"1552374454944133"</f>
        <v>1552374454944133</v>
      </c>
      <c r="C3939" t="s">
        <v>40</v>
      </c>
      <c r="D3939">
        <v>4.569591</v>
      </c>
      <c r="E3939">
        <v>0.4872745</v>
      </c>
      <c r="F3939" t="s">
        <v>61</v>
      </c>
      <c r="G3939">
        <v>-473.0301</v>
      </c>
      <c r="H3939" s="1">
        <v>4.9592800000000004E-6</v>
      </c>
      <c r="I3939">
        <v>281.05779999999999</v>
      </c>
      <c r="J3939">
        <v>-452.78660000000002</v>
      </c>
      <c r="K3939">
        <v>1.1115699999999999</v>
      </c>
      <c r="L3939">
        <v>284.95830000000001</v>
      </c>
      <c r="M3939">
        <v>-0.99987919999999997</v>
      </c>
      <c r="N3939">
        <v>0</v>
      </c>
      <c r="O3939">
        <v>-6.7678879999999997E-3</v>
      </c>
      <c r="P3939">
        <v>-0.98794570000000004</v>
      </c>
      <c r="Q3939">
        <v>2.2366440000000001E-2</v>
      </c>
      <c r="R3939">
        <v>-0.15317709999999901</v>
      </c>
      <c r="S3939">
        <v>-2.9533999999999998</v>
      </c>
      <c r="T3939">
        <v>-0.160049</v>
      </c>
      <c r="U3939">
        <v>-0.56207280000000004</v>
      </c>
      <c r="V3939">
        <v>-0.1465785</v>
      </c>
      <c r="W3939">
        <v>3.583219E-2</v>
      </c>
      <c r="X3939">
        <v>0.98854980000000003</v>
      </c>
      <c r="Y3939">
        <v>-0.18005940000000001</v>
      </c>
      <c r="Z3939">
        <v>-4.4687779999999996E-3</v>
      </c>
      <c r="AA3939">
        <v>0.98364560000000001</v>
      </c>
      <c r="AB3939">
        <v>26</v>
      </c>
      <c r="AC3939">
        <v>-20.243499999999901</v>
      </c>
      <c r="AD3939">
        <v>-1.11156504072</v>
      </c>
      <c r="AE3939">
        <v>-3.9005000000000201</v>
      </c>
      <c r="AF3939">
        <v>-3.75248247027467</v>
      </c>
      <c r="AG3939">
        <v>-1.11156504072</v>
      </c>
      <c r="AH3939">
        <v>20.2106815454447</v>
      </c>
      <c r="AI3939">
        <v>93.095239547605601</v>
      </c>
      <c r="AJ3939">
        <v>100.51823621422599</v>
      </c>
      <c r="AK3939">
        <v>20.586120325618602</v>
      </c>
      <c r="AL3939">
        <v>87.946527064800506</v>
      </c>
      <c r="AM3939">
        <v>98.434153375119394</v>
      </c>
      <c r="AN3939">
        <v>0.99999995479124204</v>
      </c>
    </row>
    <row r="3940" spans="1:40" x14ac:dyDescent="0.25">
      <c r="A3940" t="str">
        <f>"20190312150734973"</f>
        <v>20190312150734973</v>
      </c>
      <c r="B3940" t="str">
        <f>"1552374454963652"</f>
        <v>1552374454963652</v>
      </c>
      <c r="C3940" t="s">
        <v>40</v>
      </c>
      <c r="D3940">
        <v>4.4382380000000001</v>
      </c>
      <c r="E3940">
        <v>0.48734650000000002</v>
      </c>
      <c r="F3940" t="s">
        <v>61</v>
      </c>
      <c r="G3940">
        <v>-473.17989999999998</v>
      </c>
      <c r="H3940" s="1">
        <v>4.8904489999999997E-6</v>
      </c>
      <c r="I3940">
        <v>281.03019999999998</v>
      </c>
      <c r="J3940">
        <v>-453.04109999999997</v>
      </c>
      <c r="K3940">
        <v>1.111575</v>
      </c>
      <c r="L3940">
        <v>284.95499999999998</v>
      </c>
      <c r="M3940">
        <v>-0.99986850000000005</v>
      </c>
      <c r="N3940">
        <v>0</v>
      </c>
      <c r="O3940">
        <v>-8.2061400000000007E-3</v>
      </c>
      <c r="P3940">
        <v>-0.98763670000000003</v>
      </c>
      <c r="Q3940">
        <v>2.2728829999999998E-2</v>
      </c>
      <c r="R3940">
        <v>-0.15510589999999999</v>
      </c>
      <c r="S3940">
        <v>-2.9520870000000001</v>
      </c>
      <c r="T3940">
        <v>-0.16090779999999999</v>
      </c>
      <c r="U3940">
        <v>-0.56863399999999997</v>
      </c>
      <c r="V3940">
        <v>-0.14708760000000001</v>
      </c>
      <c r="W3940">
        <v>3.619054E-2</v>
      </c>
      <c r="X3940">
        <v>0.98846120000000004</v>
      </c>
      <c r="Y3940">
        <v>-0.18083189999999999</v>
      </c>
      <c r="Z3940">
        <v>-4.4369980000000002E-3</v>
      </c>
      <c r="AA3940">
        <v>0.98350400000000004</v>
      </c>
      <c r="AB3940">
        <v>26</v>
      </c>
      <c r="AC3940">
        <v>-20.1388</v>
      </c>
      <c r="AD3940">
        <v>-1.111570109551</v>
      </c>
      <c r="AE3940">
        <v>-3.9247999999999998</v>
      </c>
      <c r="AF3940">
        <v>-3.7483880952868498</v>
      </c>
      <c r="AG3940">
        <v>-1.111570109551</v>
      </c>
      <c r="AH3940">
        <v>20.1113044854823</v>
      </c>
      <c r="AI3940">
        <v>93.110119973348006</v>
      </c>
      <c r="AJ3940">
        <v>100.55776969687901</v>
      </c>
      <c r="AK3940">
        <v>20.487815147768099</v>
      </c>
      <c r="AL3940">
        <v>87.925981952369199</v>
      </c>
      <c r="AM3940">
        <v>98.463771165950703</v>
      </c>
      <c r="AN3940">
        <v>1.00000003058234</v>
      </c>
    </row>
    <row r="3941" spans="1:40" x14ac:dyDescent="0.25">
      <c r="A3941" t="str">
        <f>"20190312150734990"</f>
        <v>20190312150734990</v>
      </c>
      <c r="B3941" t="str">
        <f>"1552374454984148"</f>
        <v>1552374454984148</v>
      </c>
      <c r="C3941" t="s">
        <v>40</v>
      </c>
      <c r="D3941">
        <v>4.4234799999999996</v>
      </c>
      <c r="E3941">
        <v>0.48735909999999899</v>
      </c>
      <c r="F3941" t="s">
        <v>61</v>
      </c>
      <c r="G3941">
        <v>-473.52339999999998</v>
      </c>
      <c r="H3941" s="1">
        <v>4.7330579999999997E-6</v>
      </c>
      <c r="I3941">
        <v>280.97219999999999</v>
      </c>
      <c r="J3941">
        <v>-453.22910000000002</v>
      </c>
      <c r="K3941">
        <v>1.1115729999999999</v>
      </c>
      <c r="L3941">
        <v>284.95229999999998</v>
      </c>
      <c r="M3941">
        <v>-0.99985930000000001</v>
      </c>
      <c r="N3941">
        <v>0</v>
      </c>
      <c r="O3941">
        <v>-9.2659119999999994E-3</v>
      </c>
      <c r="P3941">
        <v>-0.98744370000000004</v>
      </c>
      <c r="Q3941">
        <v>2.2639429999999999E-2</v>
      </c>
      <c r="R3941">
        <v>-0.1563406</v>
      </c>
      <c r="S3941">
        <v>-2.9511409999999998</v>
      </c>
      <c r="T3941">
        <v>-0.16015779999999999</v>
      </c>
      <c r="U3941">
        <v>-0.57385249999999999</v>
      </c>
      <c r="V3941">
        <v>-0.14727570000000001</v>
      </c>
      <c r="W3941">
        <v>3.6099050000000001E-2</v>
      </c>
      <c r="X3941">
        <v>0.98843650000000005</v>
      </c>
      <c r="Y3941">
        <v>-0.1815271</v>
      </c>
      <c r="Z3941">
        <v>-4.378758E-3</v>
      </c>
      <c r="AA3941">
        <v>0.98337620000000003</v>
      </c>
      <c r="AB3941">
        <v>26</v>
      </c>
      <c r="AC3941">
        <v>-20.2942999999999</v>
      </c>
      <c r="AD3941">
        <v>-1.1115682669419999</v>
      </c>
      <c r="AE3941">
        <v>-3.98009999999999</v>
      </c>
      <c r="AF3941">
        <v>-3.7809427352992002</v>
      </c>
      <c r="AG3941">
        <v>-1.1115682669419999</v>
      </c>
      <c r="AH3941">
        <v>20.271748317860201</v>
      </c>
      <c r="AI3941">
        <v>93.085474547457906</v>
      </c>
      <c r="AJ3941">
        <v>100.565010110874</v>
      </c>
      <c r="AK3941">
        <v>20.6512685286486</v>
      </c>
      <c r="AL3941">
        <v>87.931227294658001</v>
      </c>
      <c r="AM3941">
        <v>98.474646511645005</v>
      </c>
      <c r="AN3941">
        <v>0.99999999387682104</v>
      </c>
    </row>
    <row r="3942" spans="1:40" x14ac:dyDescent="0.25">
      <c r="A3942" t="str">
        <f>"20190312150735006"</f>
        <v>20190312150735006</v>
      </c>
      <c r="B3942" t="str">
        <f>"1552374455004644"</f>
        <v>1552374455004644</v>
      </c>
      <c r="C3942" t="s">
        <v>40</v>
      </c>
      <c r="D3942">
        <v>4.5488689999999998</v>
      </c>
      <c r="E3942">
        <v>0.4873654</v>
      </c>
      <c r="F3942" t="s">
        <v>61</v>
      </c>
      <c r="G3942">
        <v>-473.60489999999999</v>
      </c>
      <c r="H3942" s="1">
        <v>4.6961429999999999E-6</v>
      </c>
      <c r="I3942">
        <v>280.9633</v>
      </c>
      <c r="J3942">
        <v>-453.43189999999998</v>
      </c>
      <c r="K3942">
        <v>1.1115699999999999</v>
      </c>
      <c r="L3942">
        <v>284.94920000000002</v>
      </c>
      <c r="M3942">
        <v>-0.99984790000000001</v>
      </c>
      <c r="N3942">
        <v>0</v>
      </c>
      <c r="O3942">
        <v>-1.040494E-2</v>
      </c>
      <c r="P3942">
        <v>-0.98711859999999996</v>
      </c>
      <c r="Q3942">
        <v>2.3353990000000002E-2</v>
      </c>
      <c r="R3942">
        <v>-0.1582751</v>
      </c>
      <c r="S3942">
        <v>-2.9503780000000002</v>
      </c>
      <c r="T3942">
        <v>-0.16095329999999999</v>
      </c>
      <c r="U3942">
        <v>-0.57760619999999996</v>
      </c>
      <c r="V3942">
        <v>-0.1480881</v>
      </c>
      <c r="W3942">
        <v>3.6808109999999998E-2</v>
      </c>
      <c r="X3942">
        <v>0.98828890000000003</v>
      </c>
      <c r="Y3942">
        <v>-0.18165880000000001</v>
      </c>
      <c r="Z3942">
        <v>-4.3431320000000004E-3</v>
      </c>
      <c r="AA3942">
        <v>0.98335209999999995</v>
      </c>
      <c r="AB3942">
        <v>26</v>
      </c>
      <c r="AC3942">
        <v>-20.172999999999998</v>
      </c>
      <c r="AD3942">
        <v>-1.1115653038569999</v>
      </c>
      <c r="AE3942">
        <v>-3.9859000000000102</v>
      </c>
      <c r="AF3942">
        <v>-3.76476371502212</v>
      </c>
      <c r="AG3942">
        <v>-1.1115653038569999</v>
      </c>
      <c r="AH3942">
        <v>20.154491225647099</v>
      </c>
      <c r="AI3942">
        <v>93.1032245846541</v>
      </c>
      <c r="AJ3942">
        <v>100.580643810818</v>
      </c>
      <c r="AK3942">
        <v>20.5332057852488</v>
      </c>
      <c r="AL3942">
        <v>87.890574005952402</v>
      </c>
      <c r="AM3942">
        <v>98.521963737957194</v>
      </c>
      <c r="AN3942">
        <v>0.99999993609329396</v>
      </c>
    </row>
    <row r="3943" spans="1:40" x14ac:dyDescent="0.25">
      <c r="A3943" t="str">
        <f>"20190312150735022"</f>
        <v>20190312150735022</v>
      </c>
      <c r="B3943" t="str">
        <f>"1552374455014404"</f>
        <v>1552374455014404</v>
      </c>
      <c r="C3943" t="s">
        <v>40</v>
      </c>
      <c r="D3943">
        <v>4.6307679999999998</v>
      </c>
      <c r="E3943">
        <v>0.48739159999999998</v>
      </c>
      <c r="F3943" t="s">
        <v>61</v>
      </c>
      <c r="G3943">
        <v>-474.03289999999998</v>
      </c>
      <c r="H3943" s="1">
        <v>4.4988E-6</v>
      </c>
      <c r="I3943">
        <v>280.87700000000001</v>
      </c>
      <c r="J3943">
        <v>-453.61810000000003</v>
      </c>
      <c r="K3943">
        <v>1.111567</v>
      </c>
      <c r="L3943">
        <v>284.9461</v>
      </c>
      <c r="M3943">
        <v>-0.99983670000000002</v>
      </c>
      <c r="N3943">
        <v>0</v>
      </c>
      <c r="O3943">
        <v>-1.144705E-2</v>
      </c>
      <c r="P3943">
        <v>-0.98695129999999998</v>
      </c>
      <c r="Q3943">
        <v>2.295794E-2</v>
      </c>
      <c r="R3943">
        <v>-0.15937460000000001</v>
      </c>
      <c r="S3943">
        <v>-2.9494020000000001</v>
      </c>
      <c r="T3943">
        <v>-0.15914029999999901</v>
      </c>
      <c r="U3943">
        <v>-0.58300779999999996</v>
      </c>
      <c r="V3943">
        <v>-0.1481576</v>
      </c>
      <c r="W3943">
        <v>3.6411640000000002E-2</v>
      </c>
      <c r="X3943">
        <v>0.98829319999999998</v>
      </c>
      <c r="Y3943">
        <v>-0.18243480000000001</v>
      </c>
      <c r="Z3943">
        <v>-4.2600249999999997E-3</v>
      </c>
      <c r="AA3943">
        <v>0.98320870000000005</v>
      </c>
      <c r="AB3943">
        <v>26</v>
      </c>
      <c r="AC3943">
        <v>-20.4147999999999</v>
      </c>
      <c r="AD3943">
        <v>-1.1115625012000001</v>
      </c>
      <c r="AE3943">
        <v>-4.0690999999999899</v>
      </c>
      <c r="AF3943">
        <v>-3.8242169012319001</v>
      </c>
      <c r="AG3943">
        <v>-1.1115625012000001</v>
      </c>
      <c r="AH3943">
        <v>20.401872115542002</v>
      </c>
      <c r="AI3943">
        <v>93.0653021699259</v>
      </c>
      <c r="AJ3943">
        <v>100.61657839834299</v>
      </c>
      <c r="AK3943">
        <v>20.786933201429001</v>
      </c>
      <c r="AL3943">
        <v>87.913305365079296</v>
      </c>
      <c r="AM3943">
        <v>98.525867908864498</v>
      </c>
      <c r="AN3943">
        <v>0.999999965565744</v>
      </c>
    </row>
    <row r="3944" spans="1:40" x14ac:dyDescent="0.25">
      <c r="A3944" t="str">
        <f>"20190312150735034"</f>
        <v>20190312150735034</v>
      </c>
      <c r="B3944" t="str">
        <f>"1552374455024164"</f>
        <v>1552374455024164</v>
      </c>
      <c r="C3944" t="s">
        <v>40</v>
      </c>
      <c r="D3944">
        <v>4.3637040000000002</v>
      </c>
      <c r="E3944">
        <v>0.48742079999999999</v>
      </c>
      <c r="F3944" t="s">
        <v>61</v>
      </c>
      <c r="G3944">
        <v>-474.01589999999999</v>
      </c>
      <c r="H3944" s="1">
        <v>4.5075940000000001E-6</v>
      </c>
      <c r="I3944">
        <v>280.89150000000001</v>
      </c>
      <c r="J3944">
        <v>-453.75850000000003</v>
      </c>
      <c r="K3944">
        <v>1.111561</v>
      </c>
      <c r="L3944">
        <v>284.9436</v>
      </c>
      <c r="M3944">
        <v>-0.99982740000000003</v>
      </c>
      <c r="N3944">
        <v>0</v>
      </c>
      <c r="O3944">
        <v>-1.2228960000000001E-2</v>
      </c>
      <c r="P3944">
        <v>-0.98683710000000002</v>
      </c>
      <c r="Q3944">
        <v>2.2740730000000001E-2</v>
      </c>
      <c r="R3944">
        <v>-0.16011029999999901</v>
      </c>
      <c r="S3944">
        <v>-2.9487610000000002</v>
      </c>
      <c r="T3944">
        <v>-0.16069079999999999</v>
      </c>
      <c r="U3944">
        <v>-0.58615109999999904</v>
      </c>
      <c r="V3944">
        <v>-0.14812059999999999</v>
      </c>
      <c r="W3944">
        <v>3.6193870000000003E-2</v>
      </c>
      <c r="X3944">
        <v>0.98830680000000004</v>
      </c>
      <c r="Y3944">
        <v>-0.18271100000000001</v>
      </c>
      <c r="Z3944">
        <v>-4.2672480000000004E-3</v>
      </c>
      <c r="AA3944">
        <v>0.98315739999999996</v>
      </c>
      <c r="AB3944">
        <v>26</v>
      </c>
      <c r="AC3944">
        <v>-20.257399999999901</v>
      </c>
      <c r="AD3944">
        <v>-1.111556492406</v>
      </c>
      <c r="AE3944">
        <v>-4.0520999999999896</v>
      </c>
      <c r="AF3944">
        <v>-3.7930646295130401</v>
      </c>
      <c r="AG3944">
        <v>-1.111556492406</v>
      </c>
      <c r="AH3944">
        <v>20.2468270100543</v>
      </c>
      <c r="AI3944">
        <v>93.088771146484405</v>
      </c>
      <c r="AJ3944">
        <v>100.610864808937</v>
      </c>
      <c r="AK3944">
        <v>20.6290305418004</v>
      </c>
      <c r="AL3944">
        <v>87.925791009657701</v>
      </c>
      <c r="AM3944">
        <v>98.5236544178332</v>
      </c>
      <c r="AN3944">
        <v>1.0000000196480801</v>
      </c>
    </row>
    <row r="3945" spans="1:40" x14ac:dyDescent="0.25">
      <c r="A3945" t="str">
        <f>"20190312150735047"</f>
        <v>20190312150735047</v>
      </c>
      <c r="B3945" t="str">
        <f>"1552374455043684"</f>
        <v>1552374455043684</v>
      </c>
      <c r="C3945" t="s">
        <v>40</v>
      </c>
      <c r="D3945">
        <v>4.3732639999999998</v>
      </c>
      <c r="E3945">
        <v>0.48734729999999998</v>
      </c>
      <c r="F3945" t="s">
        <v>61</v>
      </c>
      <c r="G3945">
        <v>-474.11020000000002</v>
      </c>
      <c r="H3945" s="1">
        <v>4.4651499999999999E-6</v>
      </c>
      <c r="I3945">
        <v>280.8845</v>
      </c>
      <c r="J3945">
        <v>-453.90550000000002</v>
      </c>
      <c r="K3945">
        <v>1.1115549999999901</v>
      </c>
      <c r="L3945">
        <v>284.94099999999997</v>
      </c>
      <c r="M3945">
        <v>-0.99981710000000001</v>
      </c>
      <c r="N3945">
        <v>0</v>
      </c>
      <c r="O3945">
        <v>-1.304686E-2</v>
      </c>
      <c r="P3945">
        <v>-0.98674280000000003</v>
      </c>
      <c r="Q3945">
        <v>2.28306E-2</v>
      </c>
      <c r="R3945">
        <v>-0.16067899999999999</v>
      </c>
      <c r="S3945">
        <v>-2.9483640000000002</v>
      </c>
      <c r="T3945">
        <v>-0.16103139999999999</v>
      </c>
      <c r="U3945">
        <v>-0.58804319999999999</v>
      </c>
      <c r="V3945">
        <v>-0.1478817</v>
      </c>
      <c r="W3945">
        <v>3.628489E-2</v>
      </c>
      <c r="X3945">
        <v>0.98833919999999997</v>
      </c>
      <c r="Y3945">
        <v>-0.18253929999999999</v>
      </c>
      <c r="Z3945">
        <v>-4.227761E-3</v>
      </c>
      <c r="AA3945">
        <v>0.98318950000000005</v>
      </c>
      <c r="AB3945">
        <v>26</v>
      </c>
      <c r="AC3945">
        <v>-20.204699999999999</v>
      </c>
      <c r="AD3945">
        <v>-1.1115505348500001</v>
      </c>
      <c r="AE3945">
        <v>-4.0564999999999696</v>
      </c>
      <c r="AF3945">
        <v>-3.78151935050083</v>
      </c>
      <c r="AG3945">
        <v>-1.1115505348500001</v>
      </c>
      <c r="AH3945">
        <v>20.197149765763001</v>
      </c>
      <c r="AI3945">
        <v>93.0963989897826</v>
      </c>
      <c r="AJ3945">
        <v>100.60472926145</v>
      </c>
      <c r="AK3945">
        <v>20.5781508365158</v>
      </c>
      <c r="AL3945">
        <v>87.920572442480207</v>
      </c>
      <c r="AM3945">
        <v>98.509833392393602</v>
      </c>
      <c r="AN3945">
        <v>0.99999998234692</v>
      </c>
    </row>
    <row r="3946" spans="1:40" x14ac:dyDescent="0.25">
      <c r="A3946" t="str">
        <f>"20190312150735059"</f>
        <v>20190312150735059</v>
      </c>
      <c r="B3946" t="str">
        <f>"1552374455054419"</f>
        <v>1552374455054419</v>
      </c>
      <c r="C3946" t="s">
        <v>40</v>
      </c>
      <c r="D3946">
        <v>4.5024800000000003</v>
      </c>
      <c r="E3946">
        <v>0.48743540000000002</v>
      </c>
      <c r="F3946" t="s">
        <v>61</v>
      </c>
      <c r="G3946">
        <v>-474.09879999999998</v>
      </c>
      <c r="H3946" s="1">
        <v>4.4711320000000003E-6</v>
      </c>
      <c r="I3946">
        <v>280.89510000000001</v>
      </c>
      <c r="J3946">
        <v>-454.05520000000001</v>
      </c>
      <c r="K3946">
        <v>1.11155</v>
      </c>
      <c r="L3946">
        <v>284.93810000000002</v>
      </c>
      <c r="M3946">
        <v>-0.99980599999999997</v>
      </c>
      <c r="N3946">
        <v>0</v>
      </c>
      <c r="O3946">
        <v>-1.387773E-2</v>
      </c>
      <c r="P3946">
        <v>-0.98665950000000002</v>
      </c>
      <c r="Q3946">
        <v>2.2221299999999999E-2</v>
      </c>
      <c r="R3946">
        <v>-0.16127330000000001</v>
      </c>
      <c r="S3946">
        <v>-2.9479060000000001</v>
      </c>
      <c r="T3946">
        <v>-0.16226860000000001</v>
      </c>
      <c r="U3946">
        <v>-0.59063719999999997</v>
      </c>
      <c r="V3946">
        <v>-0.14765309999999901</v>
      </c>
      <c r="W3946">
        <v>3.5676840000000001E-2</v>
      </c>
      <c r="X3946">
        <v>0.98839549999999998</v>
      </c>
      <c r="Y3946">
        <v>-0.18258089999999999</v>
      </c>
      <c r="Z3946">
        <v>-4.2163909999999999E-3</v>
      </c>
      <c r="AA3946">
        <v>0.98318179999999999</v>
      </c>
      <c r="AB3946">
        <v>26</v>
      </c>
      <c r="AC3946">
        <v>-20.043599999999898</v>
      </c>
      <c r="AD3946">
        <v>-1.1115455288680001</v>
      </c>
      <c r="AE3946">
        <v>-4.0430000000000001</v>
      </c>
      <c r="AF3946">
        <v>-3.7533319910353899</v>
      </c>
      <c r="AG3946">
        <v>-1.1115455288680001</v>
      </c>
      <c r="AH3946">
        <v>20.038565134361399</v>
      </c>
      <c r="AI3946">
        <v>93.120799216545606</v>
      </c>
      <c r="AJ3946">
        <v>100.608885281627</v>
      </c>
      <c r="AK3946">
        <v>20.417324191522301</v>
      </c>
      <c r="AL3946">
        <v>87.955433689774694</v>
      </c>
      <c r="AM3946">
        <v>98.496393877339202</v>
      </c>
      <c r="AN3946">
        <v>0.99999996963612203</v>
      </c>
    </row>
    <row r="3947" spans="1:40" x14ac:dyDescent="0.25">
      <c r="A3947" t="str">
        <f>"20190312150735073"</f>
        <v>20190312150735073</v>
      </c>
      <c r="B3947" t="str">
        <f>"1552374455064180"</f>
        <v>1552374455064180</v>
      </c>
      <c r="C3947" t="s">
        <v>40</v>
      </c>
      <c r="D3947">
        <v>4.551342</v>
      </c>
      <c r="E3947">
        <v>0.48746719999999999</v>
      </c>
      <c r="F3947" t="s">
        <v>61</v>
      </c>
      <c r="G3947">
        <v>-473.90780000000001</v>
      </c>
      <c r="H3947" s="1">
        <v>4.5608399999999999E-6</v>
      </c>
      <c r="I3947">
        <v>280.95240000000001</v>
      </c>
      <c r="J3947">
        <v>-454.2133</v>
      </c>
      <c r="K3947">
        <v>1.111542</v>
      </c>
      <c r="L3947">
        <v>284.93490000000003</v>
      </c>
      <c r="M3947">
        <v>-0.99979340000000005</v>
      </c>
      <c r="N3947">
        <v>0</v>
      </c>
      <c r="O3947">
        <v>-1.4752589999999999E-2</v>
      </c>
      <c r="P3947">
        <v>-0.98662709999999998</v>
      </c>
      <c r="Q3947">
        <v>2.0878130000000002E-2</v>
      </c>
      <c r="R3947">
        <v>-0.16165070000000001</v>
      </c>
      <c r="S3947">
        <v>-2.94754</v>
      </c>
      <c r="T3947">
        <v>-0.16503229999999999</v>
      </c>
      <c r="U3947">
        <v>-0.59176640000000003</v>
      </c>
      <c r="V3947">
        <v>-0.14716219999999999</v>
      </c>
      <c r="W3947">
        <v>3.4335839999999999E-2</v>
      </c>
      <c r="X3947">
        <v>0.98851619999999996</v>
      </c>
      <c r="Y3947">
        <v>-0.18209980000000001</v>
      </c>
      <c r="Z3947">
        <v>-4.2267030000000001E-3</v>
      </c>
      <c r="AA3947">
        <v>0.98327089999999995</v>
      </c>
      <c r="AB3947">
        <v>26</v>
      </c>
      <c r="AC3947">
        <v>-19.694500000000001</v>
      </c>
      <c r="AD3947">
        <v>-1.1115374391599999</v>
      </c>
      <c r="AE3947">
        <v>-3.9825000000000101</v>
      </c>
      <c r="AF3947">
        <v>-3.68023089486476</v>
      </c>
      <c r="AG3947">
        <v>-1.1115374391599999</v>
      </c>
      <c r="AH3947">
        <v>19.690855818392102</v>
      </c>
      <c r="AI3947">
        <v>93.176004690884298</v>
      </c>
      <c r="AJ3947">
        <v>100.586469692793</v>
      </c>
      <c r="AK3947">
        <v>20.062637358504901</v>
      </c>
      <c r="AL3947">
        <v>88.032314460581304</v>
      </c>
      <c r="AM3947">
        <v>98.467537285170593</v>
      </c>
      <c r="AN3947">
        <v>0.99999997033989196</v>
      </c>
    </row>
    <row r="3948" spans="1:40" x14ac:dyDescent="0.25">
      <c r="A3948" t="str">
        <f>"20190312150735088"</f>
        <v>20190312150735088</v>
      </c>
      <c r="B3948" t="str">
        <f>"1552374455083700"</f>
        <v>1552374455083700</v>
      </c>
      <c r="C3948" t="s">
        <v>40</v>
      </c>
      <c r="D3948">
        <v>4.4056940000000004</v>
      </c>
      <c r="E3948">
        <v>0.48748540000000001</v>
      </c>
      <c r="F3948" t="s">
        <v>61</v>
      </c>
      <c r="G3948">
        <v>-473.57420000000002</v>
      </c>
      <c r="H3948" s="1">
        <v>4.7165919999999996E-6</v>
      </c>
      <c r="I3948">
        <v>281.04180000000002</v>
      </c>
      <c r="J3948">
        <v>-454.38440000000003</v>
      </c>
      <c r="K3948">
        <v>1.111534</v>
      </c>
      <c r="L3948">
        <v>284.9314</v>
      </c>
      <c r="M3948">
        <v>-0.99977899999999997</v>
      </c>
      <c r="N3948">
        <v>0</v>
      </c>
      <c r="O3948">
        <v>-1.5699089999999999E-2</v>
      </c>
      <c r="P3948">
        <v>-0.98653950000000001</v>
      </c>
      <c r="Q3948">
        <v>2.0217160000000001E-2</v>
      </c>
      <c r="R3948">
        <v>-0.1622682</v>
      </c>
      <c r="S3948">
        <v>-2.947174</v>
      </c>
      <c r="T3948">
        <v>-0.16920079999999901</v>
      </c>
      <c r="U3948">
        <v>-0.59262079999999995</v>
      </c>
      <c r="V3948">
        <v>-0.1468431</v>
      </c>
      <c r="W3948">
        <v>3.3676289999999998E-2</v>
      </c>
      <c r="X3948">
        <v>0.98858639999999998</v>
      </c>
      <c r="Y3948">
        <v>-0.18145620000000001</v>
      </c>
      <c r="Z3948">
        <v>-4.2617039999999998E-3</v>
      </c>
      <c r="AA3948">
        <v>0.98338979999999998</v>
      </c>
      <c r="AB3948">
        <v>26</v>
      </c>
      <c r="AC3948">
        <v>-19.189799999999899</v>
      </c>
      <c r="AD3948">
        <v>-1.1115292834079999</v>
      </c>
      <c r="AE3948">
        <v>-3.88959999999997</v>
      </c>
      <c r="AF3948">
        <v>-3.5763034785032599</v>
      </c>
      <c r="AG3948">
        <v>-1.1115292834079999</v>
      </c>
      <c r="AH3948">
        <v>19.186671535216899</v>
      </c>
      <c r="AI3948">
        <v>93.259558157769405</v>
      </c>
      <c r="AJ3948">
        <v>100.558492507783</v>
      </c>
      <c r="AK3948">
        <v>19.548754653903899</v>
      </c>
      <c r="AL3948">
        <v>88.070125876836798</v>
      </c>
      <c r="AM3948">
        <v>98.448850638893902</v>
      </c>
      <c r="AN3948">
        <v>1.0000000293953599</v>
      </c>
    </row>
    <row r="3949" spans="1:40" x14ac:dyDescent="0.25">
      <c r="A3949" t="str">
        <f>"20190312150735100"</f>
        <v>20190312150735100</v>
      </c>
      <c r="B3949" t="str">
        <f>"1552374455094436"</f>
        <v>1552374455094436</v>
      </c>
      <c r="C3949" t="s">
        <v>40</v>
      </c>
      <c r="D3949">
        <v>4.3468660000000003</v>
      </c>
      <c r="E3949">
        <v>0.48752319999999999</v>
      </c>
      <c r="F3949" t="s">
        <v>61</v>
      </c>
      <c r="G3949">
        <v>-473.46910000000003</v>
      </c>
      <c r="H3949" s="1">
        <v>4.766769E-6</v>
      </c>
      <c r="I3949">
        <v>281.08249999999998</v>
      </c>
      <c r="J3949">
        <v>-454.52539999999999</v>
      </c>
      <c r="K3949">
        <v>1.111526</v>
      </c>
      <c r="L3949">
        <v>284.92829999999998</v>
      </c>
      <c r="M3949">
        <v>-0.99976659999999995</v>
      </c>
      <c r="N3949">
        <v>0</v>
      </c>
      <c r="O3949">
        <v>-1.647765E-2</v>
      </c>
      <c r="P3949">
        <v>-0.98651739999999999</v>
      </c>
      <c r="Q3949">
        <v>1.9638269999999999E-2</v>
      </c>
      <c r="R3949">
        <v>-0.16247529999999999</v>
      </c>
      <c r="S3949">
        <v>-2.9466860000000001</v>
      </c>
      <c r="T3949">
        <v>-0.17162079999999999</v>
      </c>
      <c r="U3949">
        <v>-0.59426880000000004</v>
      </c>
      <c r="V3949">
        <v>-0.146278399999999</v>
      </c>
      <c r="W3949">
        <v>3.3099629999999998E-2</v>
      </c>
      <c r="X3949">
        <v>0.9886895</v>
      </c>
      <c r="Y3949">
        <v>-0.1812444</v>
      </c>
      <c r="Z3949">
        <v>-4.2721039999999997E-3</v>
      </c>
      <c r="AA3949">
        <v>0.98342879999999999</v>
      </c>
      <c r="AB3949">
        <v>26</v>
      </c>
      <c r="AC3949">
        <v>-18.9437</v>
      </c>
      <c r="AD3949">
        <v>-1.111521233231</v>
      </c>
      <c r="AE3949">
        <v>-3.8457999999999899</v>
      </c>
      <c r="AF3949">
        <v>-3.5214560116102098</v>
      </c>
      <c r="AG3949">
        <v>-1.111521233231</v>
      </c>
      <c r="AH3949">
        <v>18.941872596012601</v>
      </c>
      <c r="AI3949">
        <v>93.301855679091602</v>
      </c>
      <c r="AJ3949">
        <v>100.531543204907</v>
      </c>
      <c r="AK3949">
        <v>19.298462874985798</v>
      </c>
      <c r="AL3949">
        <v>88.103184325248293</v>
      </c>
      <c r="AM3949">
        <v>98.415960898057605</v>
      </c>
      <c r="AN3949">
        <v>0.99999994161147099</v>
      </c>
    </row>
    <row r="3950" spans="1:40" x14ac:dyDescent="0.25">
      <c r="A3950" t="str">
        <f>"20190312150735112"</f>
        <v>20190312150735112</v>
      </c>
      <c r="B3950" t="str">
        <f>"1552374455104195"</f>
        <v>1552374455104195</v>
      </c>
      <c r="C3950" t="s">
        <v>40</v>
      </c>
      <c r="D3950">
        <v>4.5576239999999997</v>
      </c>
      <c r="E3950">
        <v>0.48756860000000002</v>
      </c>
      <c r="F3950" t="s">
        <v>61</v>
      </c>
      <c r="G3950">
        <v>-473.42950000000002</v>
      </c>
      <c r="H3950" s="1">
        <v>4.787081E-6</v>
      </c>
      <c r="I3950">
        <v>281.1139</v>
      </c>
      <c r="J3950">
        <v>-454.66730000000001</v>
      </c>
      <c r="K3950">
        <v>1.111521</v>
      </c>
      <c r="L3950">
        <v>284.92509999999999</v>
      </c>
      <c r="M3950">
        <v>-0.99975329999999996</v>
      </c>
      <c r="N3950">
        <v>0</v>
      </c>
      <c r="O3950">
        <v>-1.7260859999999999E-2</v>
      </c>
      <c r="P3950">
        <v>-0.98640559999999999</v>
      </c>
      <c r="Q3950">
        <v>1.904842E-2</v>
      </c>
      <c r="R3950">
        <v>-0.16322139999999999</v>
      </c>
      <c r="S3950">
        <v>-2.9465330000000001</v>
      </c>
      <c r="T3950">
        <v>-0.17324990000000001</v>
      </c>
      <c r="U3950">
        <v>-0.5945435</v>
      </c>
      <c r="V3950">
        <v>-0.14624960000000001</v>
      </c>
      <c r="W3950">
        <v>3.25101E-2</v>
      </c>
      <c r="X3950">
        <v>0.98871339999999996</v>
      </c>
      <c r="Y3950">
        <v>-0.18056920000000001</v>
      </c>
      <c r="Z3950">
        <v>-4.2476170000000004E-3</v>
      </c>
      <c r="AA3950">
        <v>0.98355309999999996</v>
      </c>
      <c r="AB3950">
        <v>26</v>
      </c>
      <c r="AC3950">
        <v>-18.7622</v>
      </c>
      <c r="AD3950">
        <v>-1.1115162129189999</v>
      </c>
      <c r="AE3950">
        <v>-3.8111999999999799</v>
      </c>
      <c r="AF3950">
        <v>-3.4750358799029502</v>
      </c>
      <c r="AG3950">
        <v>-1.1115162129189999</v>
      </c>
      <c r="AH3950">
        <v>18.761956724536901</v>
      </c>
      <c r="AI3950">
        <v>93.333844939216206</v>
      </c>
      <c r="AJ3950">
        <v>100.493246920584</v>
      </c>
      <c r="AK3950">
        <v>19.113407932432899</v>
      </c>
      <c r="AL3950">
        <v>88.1369802438915</v>
      </c>
      <c r="AM3950">
        <v>98.414127160522597</v>
      </c>
      <c r="AN3950">
        <v>1.0000000197208601</v>
      </c>
    </row>
    <row r="3951" spans="1:40" x14ac:dyDescent="0.25">
      <c r="A3951" t="str">
        <f>"20190312150735125"</f>
        <v>20190312150735125</v>
      </c>
      <c r="B3951" t="str">
        <f>"1552374455113956"</f>
        <v>1552374455113956</v>
      </c>
      <c r="C3951" t="s">
        <v>40</v>
      </c>
      <c r="D3951">
        <v>4.3393319999999997</v>
      </c>
      <c r="E3951">
        <v>0.48760039999999999</v>
      </c>
      <c r="F3951" t="s">
        <v>61</v>
      </c>
      <c r="G3951">
        <v>-473.40570000000002</v>
      </c>
      <c r="H3951" s="1">
        <v>4.7992609999999999E-6</v>
      </c>
      <c r="I3951">
        <v>281.13260000000002</v>
      </c>
      <c r="J3951">
        <v>-454.81459999999998</v>
      </c>
      <c r="K3951">
        <v>1.1115159999999999</v>
      </c>
      <c r="L3951">
        <v>284.92180000000002</v>
      </c>
      <c r="M3951">
        <v>-0.99973900000000004</v>
      </c>
      <c r="N3951">
        <v>0</v>
      </c>
      <c r="O3951">
        <v>-1.8073760000000001E-2</v>
      </c>
      <c r="P3951">
        <v>-0.98630490000000004</v>
      </c>
      <c r="Q3951">
        <v>1.8347619999999999E-2</v>
      </c>
      <c r="R3951">
        <v>-0.16390829999999901</v>
      </c>
      <c r="S3951">
        <v>-2.9460449999999998</v>
      </c>
      <c r="T3951">
        <v>-0.17475199999999999</v>
      </c>
      <c r="U3951">
        <v>-0.59625240000000002</v>
      </c>
      <c r="V3951">
        <v>-0.1461317</v>
      </c>
      <c r="W3951">
        <v>3.1809509999999999E-2</v>
      </c>
      <c r="X3951">
        <v>0.98875360000000001</v>
      </c>
      <c r="Y3951">
        <v>-0.18034629999999999</v>
      </c>
      <c r="Z3951">
        <v>-4.2306449999999999E-3</v>
      </c>
      <c r="AA3951">
        <v>0.98359410000000003</v>
      </c>
      <c r="AB3951">
        <v>26</v>
      </c>
      <c r="AC3951">
        <v>-18.591100000000001</v>
      </c>
      <c r="AD3951">
        <v>-1.111511200739</v>
      </c>
      <c r="AE3951">
        <v>-3.7891999999999899</v>
      </c>
      <c r="AF3951">
        <v>-3.4407286408037598</v>
      </c>
      <c r="AG3951">
        <v>-1.111511200739</v>
      </c>
      <c r="AH3951">
        <v>18.592745092962598</v>
      </c>
      <c r="AI3951">
        <v>93.364197440935598</v>
      </c>
      <c r="AJ3951">
        <v>100.484408707745</v>
      </c>
      <c r="AK3951">
        <v>18.941072852953699</v>
      </c>
      <c r="AL3951">
        <v>88.177141832314106</v>
      </c>
      <c r="AM3951">
        <v>98.407104111404394</v>
      </c>
      <c r="AN3951">
        <v>1.0000000000921401</v>
      </c>
    </row>
    <row r="3952" spans="1:40" x14ac:dyDescent="0.25">
      <c r="A3952" t="str">
        <f>"20190312150735138"</f>
        <v>20190312150735138</v>
      </c>
      <c r="B3952" t="str">
        <f>"1552374455134200"</f>
        <v>1552374455134200</v>
      </c>
      <c r="C3952" t="s">
        <v>40</v>
      </c>
      <c r="D3952">
        <v>4.334822</v>
      </c>
      <c r="E3952">
        <v>0.48767709999999997</v>
      </c>
      <c r="F3952" t="s">
        <v>61</v>
      </c>
      <c r="G3952">
        <v>-473.36419999999998</v>
      </c>
      <c r="H3952" s="1">
        <v>4.8195049999999997E-6</v>
      </c>
      <c r="I3952">
        <v>281.15370000000001</v>
      </c>
      <c r="J3952">
        <v>-454.9676</v>
      </c>
      <c r="K3952">
        <v>1.1115120000000001</v>
      </c>
      <c r="L3952">
        <v>284.91800000000001</v>
      </c>
      <c r="M3952">
        <v>-0.99972349999999999</v>
      </c>
      <c r="N3952">
        <v>0</v>
      </c>
      <c r="O3952">
        <v>-1.8917179999999999E-2</v>
      </c>
      <c r="P3952">
        <v>-0.98621449999999999</v>
      </c>
      <c r="Q3952">
        <v>1.7855650000000001E-2</v>
      </c>
      <c r="R3952">
        <v>-0.16450600000000001</v>
      </c>
      <c r="S3952">
        <v>-2.9455260000000001</v>
      </c>
      <c r="T3952">
        <v>-0.17649870000000001</v>
      </c>
      <c r="U3952">
        <v>-0.59832759999999996</v>
      </c>
      <c r="V3952">
        <v>-0.14589540000000001</v>
      </c>
      <c r="W3952">
        <v>3.1318140000000001E-2</v>
      </c>
      <c r="X3952">
        <v>0.98880420000000002</v>
      </c>
      <c r="Y3952">
        <v>-0.18021200000000001</v>
      </c>
      <c r="Z3952">
        <v>-4.2193839999999996E-3</v>
      </c>
      <c r="AA3952">
        <v>0.98361869999999996</v>
      </c>
      <c r="AB3952">
        <v>26</v>
      </c>
      <c r="AC3952">
        <v>-18.3965999999999</v>
      </c>
      <c r="AD3952">
        <v>-1.1115071804950001</v>
      </c>
      <c r="AE3952">
        <v>-3.7642999999999902</v>
      </c>
      <c r="AF3952">
        <v>-3.4036548793548902</v>
      </c>
      <c r="AG3952">
        <v>-1.1115071804950001</v>
      </c>
      <c r="AH3952">
        <v>18.400054589159801</v>
      </c>
      <c r="AI3952">
        <v>93.399380451744406</v>
      </c>
      <c r="AJ3952">
        <v>100.480148628937</v>
      </c>
      <c r="AK3952">
        <v>18.745194681147101</v>
      </c>
      <c r="AL3952">
        <v>88.205309329897403</v>
      </c>
      <c r="AM3952">
        <v>98.393279950149804</v>
      </c>
      <c r="AN3952">
        <v>1.00000001978592</v>
      </c>
    </row>
    <row r="3953" spans="1:40" x14ac:dyDescent="0.25">
      <c r="A3953" t="str">
        <f>"20190312150735152"</f>
        <v>20190312150735152</v>
      </c>
      <c r="B3953" t="str">
        <f>"1552374455143960"</f>
        <v>1552374455143960</v>
      </c>
      <c r="C3953" t="s">
        <v>40</v>
      </c>
      <c r="D3953">
        <v>4.3254700000000001</v>
      </c>
      <c r="E3953">
        <v>0.48769899999999999</v>
      </c>
      <c r="F3953" t="s">
        <v>61</v>
      </c>
      <c r="G3953">
        <v>-473.41329999999999</v>
      </c>
      <c r="H3953" s="1">
        <v>4.798713E-6</v>
      </c>
      <c r="I3953">
        <v>281.16500000000002</v>
      </c>
      <c r="J3953">
        <v>-455.13080000000002</v>
      </c>
      <c r="K3953">
        <v>1.1115060000000001</v>
      </c>
      <c r="L3953">
        <v>284.91390000000001</v>
      </c>
      <c r="M3953">
        <v>-0.99970610000000004</v>
      </c>
      <c r="N3953">
        <v>0</v>
      </c>
      <c r="O3953">
        <v>-1.9816629999999998E-2</v>
      </c>
      <c r="P3953">
        <v>-0.9860565</v>
      </c>
      <c r="Q3953">
        <v>1.7165139999999999E-2</v>
      </c>
      <c r="R3953">
        <v>-0.16552430000000001</v>
      </c>
      <c r="S3953">
        <v>-2.9451900000000002</v>
      </c>
      <c r="T3953">
        <v>-0.17747180000000001</v>
      </c>
      <c r="U3953">
        <v>-0.59924319999999998</v>
      </c>
      <c r="V3953">
        <v>-0.14602490000000001</v>
      </c>
      <c r="W3953">
        <v>3.062658E-2</v>
      </c>
      <c r="X3953">
        <v>0.98880670000000004</v>
      </c>
      <c r="Y3953">
        <v>-0.179642</v>
      </c>
      <c r="Z3953">
        <v>-4.1724190000000001E-3</v>
      </c>
      <c r="AA3953">
        <v>0.98372320000000002</v>
      </c>
      <c r="AB3953">
        <v>26</v>
      </c>
      <c r="AC3953">
        <v>-18.282499999999899</v>
      </c>
      <c r="AD3953">
        <v>-1.11150120128699</v>
      </c>
      <c r="AE3953">
        <v>-3.7488999999999901</v>
      </c>
      <c r="AF3953">
        <v>-3.3738637211981302</v>
      </c>
      <c r="AG3953">
        <v>-1.11150120128699</v>
      </c>
      <c r="AH3953">
        <v>18.288338239949301</v>
      </c>
      <c r="AI3953">
        <v>93.420382597633406</v>
      </c>
      <c r="AJ3953">
        <v>100.452501784574</v>
      </c>
      <c r="AK3953">
        <v>18.630129009442602</v>
      </c>
      <c r="AL3953">
        <v>88.244951738320495</v>
      </c>
      <c r="AM3953">
        <v>98.4006028106499</v>
      </c>
      <c r="AN3953">
        <v>0.99999997439369703</v>
      </c>
    </row>
    <row r="3954" spans="1:40" x14ac:dyDescent="0.25">
      <c r="A3954" t="str">
        <f>"20190312150735175"</f>
        <v>20190312150735175</v>
      </c>
      <c r="B3954" t="str">
        <f>"1552374455164456"</f>
        <v>1552374455164456</v>
      </c>
      <c r="C3954" t="s">
        <v>40</v>
      </c>
      <c r="D3954">
        <v>4.3324030000000002</v>
      </c>
      <c r="E3954">
        <v>0.48767630000000001</v>
      </c>
      <c r="F3954" t="s">
        <v>61</v>
      </c>
      <c r="G3954">
        <v>-473.41199999999998</v>
      </c>
      <c r="H3954" s="1">
        <v>4.8002369999999998E-6</v>
      </c>
      <c r="I3954">
        <v>281.17559999999997</v>
      </c>
      <c r="J3954">
        <v>-455.38869999999997</v>
      </c>
      <c r="K3954">
        <v>1.111497</v>
      </c>
      <c r="L3954">
        <v>284.90719999999999</v>
      </c>
      <c r="M3954">
        <v>-0.99967689999999998</v>
      </c>
      <c r="N3954">
        <v>0</v>
      </c>
      <c r="O3954">
        <v>-2.1238880000000002E-2</v>
      </c>
      <c r="P3954">
        <v>-0.98571679999999995</v>
      </c>
      <c r="Q3954">
        <v>1.680854E-2</v>
      </c>
      <c r="R3954">
        <v>-0.1675711</v>
      </c>
      <c r="S3954">
        <v>-2.944458</v>
      </c>
      <c r="T3954">
        <v>-0.1790234</v>
      </c>
      <c r="U3954">
        <v>-0.60211179999999997</v>
      </c>
      <c r="V3954">
        <v>-0.14666960000000001</v>
      </c>
      <c r="W3954">
        <v>3.026531E-2</v>
      </c>
      <c r="X3954">
        <v>0.9887224</v>
      </c>
      <c r="Y3954">
        <v>-0.1792088</v>
      </c>
      <c r="Z3954">
        <v>-4.1110160000000003E-3</v>
      </c>
      <c r="AA3954">
        <v>0.98380250000000002</v>
      </c>
      <c r="AB3954">
        <v>26</v>
      </c>
      <c r="AC3954">
        <v>-18.023299999999999</v>
      </c>
      <c r="AD3954">
        <v>-1.1114921997630001</v>
      </c>
      <c r="AE3954">
        <v>-3.73160000000001</v>
      </c>
      <c r="AF3954">
        <v>-3.3357611131129099</v>
      </c>
      <c r="AG3954">
        <v>-1.1114921997630001</v>
      </c>
      <c r="AH3954">
        <v>18.032734125547499</v>
      </c>
      <c r="AI3954">
        <v>93.468408807673001</v>
      </c>
      <c r="AJ3954">
        <v>100.480312771016</v>
      </c>
      <c r="AK3954">
        <v>18.372322040411099</v>
      </c>
      <c r="AL3954">
        <v>88.265660582099102</v>
      </c>
      <c r="AM3954">
        <v>98.437867789060704</v>
      </c>
      <c r="AN3954">
        <v>0.99999997240765703</v>
      </c>
    </row>
    <row r="3955" spans="1:40" x14ac:dyDescent="0.25">
      <c r="A3955" t="str">
        <f>"20190312150735196"</f>
        <v>20190312150735196</v>
      </c>
      <c r="B3955" t="str">
        <f>"1552374455193735"</f>
        <v>1552374455193735</v>
      </c>
      <c r="C3955" t="s">
        <v>40</v>
      </c>
      <c r="D3955">
        <v>4.2929440000000003</v>
      </c>
      <c r="E3955">
        <v>0.50737279999999996</v>
      </c>
      <c r="F3955" t="s">
        <v>61</v>
      </c>
      <c r="G3955">
        <v>-473.6062</v>
      </c>
      <c r="H3955" s="1">
        <v>4.7111170000000003E-6</v>
      </c>
      <c r="I3955">
        <v>281.14150000000001</v>
      </c>
      <c r="J3955">
        <v>-455.64409999999998</v>
      </c>
      <c r="K3955">
        <v>1.11148799999999</v>
      </c>
      <c r="L3955">
        <v>284.90019999999998</v>
      </c>
      <c r="M3955">
        <v>-0.99964600000000003</v>
      </c>
      <c r="N3955">
        <v>0</v>
      </c>
      <c r="O3955">
        <v>-2.2647670000000002E-2</v>
      </c>
      <c r="P3955">
        <v>-0.98544069999999995</v>
      </c>
      <c r="Q3955">
        <v>1.6436360000000001E-2</v>
      </c>
      <c r="R3955">
        <v>-0.16922329999999999</v>
      </c>
      <c r="S3955">
        <v>-2.943146</v>
      </c>
      <c r="T3955">
        <v>-0.17956749999999999</v>
      </c>
      <c r="U3955">
        <v>-0.60836789999999996</v>
      </c>
      <c r="V3955">
        <v>-0.14693290000000001</v>
      </c>
      <c r="W3955">
        <v>2.9890679999999999E-2</v>
      </c>
      <c r="X3955">
        <v>0.98869470000000004</v>
      </c>
      <c r="Y3955">
        <v>-0.179914299999999</v>
      </c>
      <c r="Z3955">
        <v>-4.0608229999999999E-3</v>
      </c>
      <c r="AA3955">
        <v>0.98367389999999999</v>
      </c>
      <c r="AB3955">
        <v>26</v>
      </c>
      <c r="AC3955">
        <v>-17.9621</v>
      </c>
      <c r="AD3955">
        <v>-1.11148328888299</v>
      </c>
      <c r="AE3955">
        <v>-3.75869999999997</v>
      </c>
      <c r="AF3955">
        <v>-3.3386487969176901</v>
      </c>
      <c r="AG3955">
        <v>-1.11148328888299</v>
      </c>
      <c r="AH3955">
        <v>17.976680053809702</v>
      </c>
      <c r="AI3955">
        <v>93.478710892351302</v>
      </c>
      <c r="AJ3955">
        <v>100.52116173549901</v>
      </c>
      <c r="AK3955">
        <v>18.3178327497459</v>
      </c>
      <c r="AL3955">
        <v>88.287135012287393</v>
      </c>
      <c r="AM3955">
        <v>98.453030131222704</v>
      </c>
      <c r="AN3955">
        <v>0.99999996983067996</v>
      </c>
    </row>
    <row r="3956" spans="1:40" x14ac:dyDescent="0.25">
      <c r="A3956" t="str">
        <f>"20190312150735212"</f>
        <v>20190312150735212</v>
      </c>
      <c r="B3956" t="str">
        <f>"1552374455204472"</f>
        <v>1552374455204472</v>
      </c>
      <c r="C3956" t="s">
        <v>40</v>
      </c>
      <c r="D3956">
        <v>4.3053530000000002</v>
      </c>
      <c r="E3956">
        <v>0.509633</v>
      </c>
      <c r="F3956" t="s">
        <v>61</v>
      </c>
      <c r="G3956">
        <v>-483.56990000000002</v>
      </c>
      <c r="H3956" s="1">
        <v>2.488647E-6</v>
      </c>
      <c r="I3956">
        <v>280.60879999999997</v>
      </c>
      <c r="J3956">
        <v>-455.827</v>
      </c>
      <c r="K3956">
        <v>1.1114820000000001</v>
      </c>
      <c r="L3956">
        <v>284.89490000000001</v>
      </c>
      <c r="M3956">
        <v>-0.99962260000000003</v>
      </c>
      <c r="N3956">
        <v>0</v>
      </c>
      <c r="O3956">
        <v>-2.3657500000000001E-2</v>
      </c>
      <c r="P3956">
        <v>-0.98522080000000001</v>
      </c>
      <c r="Q3956">
        <v>1.6523400000000001E-2</v>
      </c>
      <c r="R3956">
        <v>-0.17049049999999999</v>
      </c>
      <c r="S3956">
        <v>-2.9679570000000002</v>
      </c>
      <c r="T3956">
        <v>-0.1181285</v>
      </c>
      <c r="U3956">
        <v>-0.45608520000000002</v>
      </c>
      <c r="V3956">
        <v>-0.147206</v>
      </c>
      <c r="W3956">
        <v>2.9975519999999999E-2</v>
      </c>
      <c r="X3956">
        <v>0.98865150000000002</v>
      </c>
      <c r="Y3956">
        <v>-0.1283782</v>
      </c>
      <c r="Z3956">
        <v>-1.6035699999999999E-3</v>
      </c>
      <c r="AA3956">
        <v>0.99172400000000005</v>
      </c>
      <c r="AB3956">
        <v>26</v>
      </c>
      <c r="AC3956">
        <v>-27.742899999999999</v>
      </c>
      <c r="AD3956">
        <v>-1.111479511353</v>
      </c>
      <c r="AE3956">
        <v>-4.2861000000000304</v>
      </c>
      <c r="AF3956">
        <v>-3.62282912332534</v>
      </c>
      <c r="AG3956">
        <v>-1.111479511353</v>
      </c>
      <c r="AH3956">
        <v>27.792971904363601</v>
      </c>
      <c r="AI3956">
        <v>92.270926055229694</v>
      </c>
      <c r="AJ3956">
        <v>97.426662379722899</v>
      </c>
      <c r="AK3956">
        <v>28.050125932653401</v>
      </c>
      <c r="AL3956">
        <v>88.282271847901399</v>
      </c>
      <c r="AM3956">
        <v>98.468878595578104</v>
      </c>
      <c r="AN3956">
        <v>0.99999996334375896</v>
      </c>
    </row>
    <row r="3957" spans="1:40" x14ac:dyDescent="0.25">
      <c r="A3957" t="str">
        <f>"20190312150735224"</f>
        <v>20190312150735224</v>
      </c>
      <c r="B3957" t="str">
        <f>"1552374455214235"</f>
        <v>1552374455214235</v>
      </c>
      <c r="C3957" t="s">
        <v>40</v>
      </c>
      <c r="D3957">
        <v>4.3419800000000004</v>
      </c>
      <c r="E3957">
        <v>0.51093180000000005</v>
      </c>
      <c r="F3957" t="s">
        <v>61</v>
      </c>
      <c r="G3957">
        <v>-485.04899999999998</v>
      </c>
      <c r="H3957" s="1">
        <v>2.745492E-6</v>
      </c>
      <c r="I3957">
        <v>280.54559999999998</v>
      </c>
      <c r="J3957">
        <v>-455.96949999999998</v>
      </c>
      <c r="K3957">
        <v>1.1114790000000001</v>
      </c>
      <c r="L3957">
        <v>284.89069999999998</v>
      </c>
      <c r="M3957">
        <v>-0.99960369999999998</v>
      </c>
      <c r="N3957">
        <v>0</v>
      </c>
      <c r="O3957">
        <v>-2.4444199999999999E-2</v>
      </c>
      <c r="P3957">
        <v>-0.98505810000000005</v>
      </c>
      <c r="Q3957">
        <v>1.6290570000000001E-2</v>
      </c>
      <c r="R3957">
        <v>-0.17145070000000001</v>
      </c>
      <c r="S3957">
        <v>-2.9704280000000001</v>
      </c>
      <c r="T3957">
        <v>-0.11298229999999999</v>
      </c>
      <c r="U3957">
        <v>-0.44210820000000001</v>
      </c>
      <c r="V3957">
        <v>-0.1473904</v>
      </c>
      <c r="W3957">
        <v>2.9740539999999999E-2</v>
      </c>
      <c r="X3957">
        <v>0.98863109999999998</v>
      </c>
      <c r="Y3957">
        <v>-0.12292110000000001</v>
      </c>
      <c r="Z3957">
        <v>-1.4001279999999901E-3</v>
      </c>
      <c r="AA3957">
        <v>0.99241550000000001</v>
      </c>
      <c r="AB3957">
        <v>26</v>
      </c>
      <c r="AC3957">
        <v>-29.079499999999999</v>
      </c>
      <c r="AD3957">
        <v>-1.1114762545079999</v>
      </c>
      <c r="AE3957">
        <v>-4.3451000000000004</v>
      </c>
      <c r="AF3957">
        <v>-3.6277229402644</v>
      </c>
      <c r="AG3957">
        <v>-1.1114762545079999</v>
      </c>
      <c r="AH3957">
        <v>29.135397159714</v>
      </c>
      <c r="AI3957">
        <v>92.167972946634706</v>
      </c>
      <c r="AJ3957">
        <v>97.097516215094402</v>
      </c>
      <c r="AK3957">
        <v>29.381407741119698</v>
      </c>
      <c r="AL3957">
        <v>88.295741177603503</v>
      </c>
      <c r="AM3957">
        <v>98.479505571098798</v>
      </c>
      <c r="AN3957">
        <v>0.999999940809429</v>
      </c>
    </row>
    <row r="3958" spans="1:40" x14ac:dyDescent="0.25">
      <c r="A3958" t="str">
        <f>"20190312150735237"</f>
        <v>20190312150735237</v>
      </c>
      <c r="B3958" t="str">
        <f>"1552374455233752"</f>
        <v>1552374455233752</v>
      </c>
      <c r="C3958" t="s">
        <v>40</v>
      </c>
      <c r="D3958">
        <v>4.2544050000000002</v>
      </c>
      <c r="E3958">
        <v>0.51288389999999995</v>
      </c>
      <c r="F3958" t="s">
        <v>61</v>
      </c>
      <c r="G3958">
        <v>-487.50830000000002</v>
      </c>
      <c r="H3958" s="1">
        <v>3.1586609999999999E-6</v>
      </c>
      <c r="I3958">
        <v>280.28179999999998</v>
      </c>
      <c r="J3958">
        <v>-456.12729999999999</v>
      </c>
      <c r="K3958">
        <v>1.1114759999999999</v>
      </c>
      <c r="L3958">
        <v>284.88589999999999</v>
      </c>
      <c r="M3958">
        <v>-0.99958219999999998</v>
      </c>
      <c r="N3958">
        <v>0</v>
      </c>
      <c r="O3958">
        <v>-2.5316370000000001E-2</v>
      </c>
      <c r="P3958">
        <v>-0.98491640000000003</v>
      </c>
      <c r="Q3958">
        <v>1.6198170000000001E-2</v>
      </c>
      <c r="R3958">
        <v>-0.1722725</v>
      </c>
      <c r="S3958">
        <v>-2.9716490000000002</v>
      </c>
      <c r="T3958">
        <v>-0.1047256</v>
      </c>
      <c r="U3958">
        <v>-0.43426510000000001</v>
      </c>
      <c r="V3958">
        <v>-0.14735219999999999</v>
      </c>
      <c r="W3958">
        <v>2.9647119999999999E-2</v>
      </c>
      <c r="X3958">
        <v>0.98863970000000001</v>
      </c>
      <c r="Y3958">
        <v>-0.11944399999999999</v>
      </c>
      <c r="Z3958">
        <v>-1.206127E-3</v>
      </c>
      <c r="AA3958">
        <v>0.99284019999999995</v>
      </c>
      <c r="AB3958">
        <v>26</v>
      </c>
      <c r="AC3958">
        <v>-31.381</v>
      </c>
      <c r="AD3958">
        <v>-1.111472841339</v>
      </c>
      <c r="AE3958">
        <v>-4.6041000000000096</v>
      </c>
      <c r="AF3958">
        <v>-3.80342298716534</v>
      </c>
      <c r="AG3958">
        <v>-1.111472841339</v>
      </c>
      <c r="AH3958">
        <v>31.448889829036698</v>
      </c>
      <c r="AI3958">
        <v>92.009485890350206</v>
      </c>
      <c r="AJ3958">
        <v>96.895850658195997</v>
      </c>
      <c r="AK3958">
        <v>31.697540437314998</v>
      </c>
      <c r="AL3958">
        <v>88.301096278653006</v>
      </c>
      <c r="AM3958">
        <v>98.477267156014506</v>
      </c>
      <c r="AN3958">
        <v>1.0000000394926101</v>
      </c>
    </row>
    <row r="3959" spans="1:40" x14ac:dyDescent="0.25">
      <c r="A3959" t="str">
        <f>"20190312150735253"</f>
        <v>20190312150735253</v>
      </c>
      <c r="B3959" t="str">
        <f>"1552374455244488"</f>
        <v>1552374455244488</v>
      </c>
      <c r="C3959" t="s">
        <v>40</v>
      </c>
      <c r="D3959">
        <v>4.2627490000000003</v>
      </c>
      <c r="E3959">
        <v>0.5132601</v>
      </c>
      <c r="F3959" t="s">
        <v>61</v>
      </c>
      <c r="G3959">
        <v>-493.25490000000002</v>
      </c>
      <c r="H3959" s="1">
        <v>2.9513609999999998E-6</v>
      </c>
      <c r="I3959">
        <v>279.63060000000002</v>
      </c>
      <c r="J3959">
        <v>-456.29680000000002</v>
      </c>
      <c r="K3959">
        <v>1.1114740000000001</v>
      </c>
      <c r="L3959">
        <v>284.88060000000002</v>
      </c>
      <c r="M3959">
        <v>-0.99955799999999995</v>
      </c>
      <c r="N3959">
        <v>0</v>
      </c>
      <c r="O3959">
        <v>-2.6253149999999999E-2</v>
      </c>
      <c r="P3959">
        <v>-0.98474969999999995</v>
      </c>
      <c r="Q3959">
        <v>1.6138929999999999E-2</v>
      </c>
      <c r="R3959">
        <v>-0.17322779999999999</v>
      </c>
      <c r="S3959">
        <v>-2.9737849999999999</v>
      </c>
      <c r="T3959">
        <v>-8.9024899999999907E-2</v>
      </c>
      <c r="U3959">
        <v>-0.420929</v>
      </c>
      <c r="V3959">
        <v>-0.1473845</v>
      </c>
      <c r="W3959">
        <v>2.9586589999999999E-2</v>
      </c>
      <c r="X3959">
        <v>0.98863670000000003</v>
      </c>
      <c r="Y3959">
        <v>-0.1140661</v>
      </c>
      <c r="Z3959">
        <v>-9.170243E-4</v>
      </c>
      <c r="AA3959">
        <v>0.99347280000000004</v>
      </c>
      <c r="AB3959">
        <v>26</v>
      </c>
      <c r="AC3959">
        <v>-36.958100000000002</v>
      </c>
      <c r="AD3959">
        <v>-1.111471048639</v>
      </c>
      <c r="AE3959">
        <v>-5.25</v>
      </c>
      <c r="AF3959">
        <v>-4.2740400325180197</v>
      </c>
      <c r="AG3959">
        <v>-1.111471048639</v>
      </c>
      <c r="AH3959">
        <v>37.050354699702503</v>
      </c>
      <c r="AI3959">
        <v>91.706983394975495</v>
      </c>
      <c r="AJ3959">
        <v>96.580417173641706</v>
      </c>
      <c r="AK3959">
        <v>37.312619439879803</v>
      </c>
      <c r="AL3959">
        <v>88.304565916425403</v>
      </c>
      <c r="AM3959">
        <v>98.479123742061603</v>
      </c>
      <c r="AN3959">
        <v>1.0000000408674801</v>
      </c>
    </row>
    <row r="3960" spans="1:40" x14ac:dyDescent="0.25">
      <c r="A3960" t="str">
        <f>"20190312150735267"</f>
        <v>20190312150735267</v>
      </c>
      <c r="B3960" t="str">
        <f>"1552374455264010"</f>
        <v>1552374455264010</v>
      </c>
      <c r="C3960" t="s">
        <v>40</v>
      </c>
      <c r="D3960">
        <v>4.2577509999999998</v>
      </c>
      <c r="E3960">
        <v>0.513646099999999</v>
      </c>
      <c r="F3960" t="s">
        <v>61</v>
      </c>
      <c r="G3960">
        <v>-493.79070000000002</v>
      </c>
      <c r="H3960" s="1">
        <v>2.8476780000000001E-6</v>
      </c>
      <c r="I3960">
        <v>279.57429999999999</v>
      </c>
      <c r="J3960">
        <v>-456.464</v>
      </c>
      <c r="K3960">
        <v>1.1114729999999999</v>
      </c>
      <c r="L3960">
        <v>284.87520000000001</v>
      </c>
      <c r="M3960">
        <v>-0.99953329999999996</v>
      </c>
      <c r="N3960">
        <v>0</v>
      </c>
      <c r="O3960">
        <v>-2.7177759999999999E-2</v>
      </c>
      <c r="P3960">
        <v>-0.98461829999999995</v>
      </c>
      <c r="Q3960">
        <v>1.6204099999999999E-2</v>
      </c>
      <c r="R3960">
        <v>-0.1739665</v>
      </c>
      <c r="S3960">
        <v>-2.9738769999999999</v>
      </c>
      <c r="T3960">
        <v>-8.8157650000000004E-2</v>
      </c>
      <c r="U3960">
        <v>-0.42086790000000002</v>
      </c>
      <c r="V3960">
        <v>-0.1472117</v>
      </c>
      <c r="W3960">
        <v>2.965141E-2</v>
      </c>
      <c r="X3960">
        <v>0.98866050000000005</v>
      </c>
      <c r="Y3960">
        <v>-0.1131244</v>
      </c>
      <c r="Z3960">
        <v>-8.6694530000000004E-4</v>
      </c>
      <c r="AA3960">
        <v>0.99358049999999998</v>
      </c>
      <c r="AB3960">
        <v>26</v>
      </c>
      <c r="AC3960">
        <v>-37.326700000000002</v>
      </c>
      <c r="AD3960">
        <v>-1.1114701523220001</v>
      </c>
      <c r="AE3960">
        <v>-5.3009000000000102</v>
      </c>
      <c r="AF3960">
        <v>-4.2806663072966096</v>
      </c>
      <c r="AG3960">
        <v>-1.1114701523220001</v>
      </c>
      <c r="AH3960">
        <v>37.424463325729199</v>
      </c>
      <c r="AI3960">
        <v>91.690115262865703</v>
      </c>
      <c r="AJ3960">
        <v>96.525219136643699</v>
      </c>
      <c r="AK3960">
        <v>37.6848766105553</v>
      </c>
      <c r="AL3960">
        <v>88.3008503682656</v>
      </c>
      <c r="AM3960">
        <v>98.469125786438099</v>
      </c>
      <c r="AN3960">
        <v>1.00000003749606</v>
      </c>
    </row>
    <row r="3961" spans="1:40" x14ac:dyDescent="0.25">
      <c r="A3961" t="str">
        <f>"20190312150735281"</f>
        <v>20190312150735281</v>
      </c>
      <c r="B3961" t="str">
        <f>"1552374455273770"</f>
        <v>1552374455273770</v>
      </c>
      <c r="C3961" t="s">
        <v>40</v>
      </c>
      <c r="D3961">
        <v>4.2574829999999997</v>
      </c>
      <c r="E3961">
        <v>0.51392839999999995</v>
      </c>
      <c r="F3961" t="s">
        <v>61</v>
      </c>
      <c r="G3961">
        <v>-495.34289999999999</v>
      </c>
      <c r="H3961" s="1">
        <v>2.539141E-6</v>
      </c>
      <c r="I3961">
        <v>279.38569999999999</v>
      </c>
      <c r="J3961">
        <v>-456.62279999999998</v>
      </c>
      <c r="K3961">
        <v>1.1114710000000001</v>
      </c>
      <c r="L3961">
        <v>284.86989999999997</v>
      </c>
      <c r="M3961">
        <v>-0.99950919999999999</v>
      </c>
      <c r="N3961">
        <v>0</v>
      </c>
      <c r="O3961">
        <v>-2.8055650000000001E-2</v>
      </c>
      <c r="P3961">
        <v>-0.98449209999999998</v>
      </c>
      <c r="Q3961">
        <v>1.6258379999999999E-2</v>
      </c>
      <c r="R3961">
        <v>-0.17467489999999999</v>
      </c>
      <c r="S3961">
        <v>-2.974091</v>
      </c>
      <c r="T3961">
        <v>-8.5023399999999999E-2</v>
      </c>
      <c r="U3961">
        <v>-0.41992190000000001</v>
      </c>
      <c r="V3961">
        <v>-0.1470545</v>
      </c>
      <c r="W3961">
        <v>2.9705269999999999E-2</v>
      </c>
      <c r="X3961">
        <v>0.98868230000000001</v>
      </c>
      <c r="Y3961">
        <v>-0.1119353</v>
      </c>
      <c r="Z3961">
        <v>-7.9424460000000004E-4</v>
      </c>
      <c r="AA3961">
        <v>0.99371520000000002</v>
      </c>
      <c r="AB3961">
        <v>26</v>
      </c>
      <c r="AC3961">
        <v>-38.720100000000002</v>
      </c>
      <c r="AD3961">
        <v>-1.111468460859</v>
      </c>
      <c r="AE3961">
        <v>-5.48419999999998</v>
      </c>
      <c r="AF3961">
        <v>-4.3920698601242902</v>
      </c>
      <c r="AG3961">
        <v>-1.111468460859</v>
      </c>
      <c r="AH3961">
        <v>38.8273689838826</v>
      </c>
      <c r="AI3961">
        <v>91.629310331945504</v>
      </c>
      <c r="AJ3961">
        <v>96.453744070590503</v>
      </c>
      <c r="AK3961">
        <v>39.090794594204198</v>
      </c>
      <c r="AL3961">
        <v>88.297763095520807</v>
      </c>
      <c r="AM3961">
        <v>98.460029137599307</v>
      </c>
      <c r="AN3961">
        <v>1.0000000596846499</v>
      </c>
    </row>
    <row r="3962" spans="1:40" x14ac:dyDescent="0.25">
      <c r="A3962" t="str">
        <f>"20190312150735293"</f>
        <v>20190312150735293</v>
      </c>
      <c r="B3962" t="str">
        <f>"1552374455284504"</f>
        <v>1552374455284504</v>
      </c>
      <c r="C3962" t="s">
        <v>40</v>
      </c>
      <c r="D3962">
        <v>4.2398449999999999</v>
      </c>
      <c r="E3962">
        <v>0.51394810000000002</v>
      </c>
      <c r="F3962" t="s">
        <v>61</v>
      </c>
      <c r="G3962">
        <v>-495.1096</v>
      </c>
      <c r="H3962" s="1">
        <v>2.5898140000000001E-6</v>
      </c>
      <c r="I3962">
        <v>279.43849999999998</v>
      </c>
      <c r="J3962">
        <v>-456.76679999999999</v>
      </c>
      <c r="K3962">
        <v>1.111469</v>
      </c>
      <c r="L3962">
        <v>284.86489999999998</v>
      </c>
      <c r="M3962">
        <v>-0.99948630000000005</v>
      </c>
      <c r="N3962">
        <v>0</v>
      </c>
      <c r="O3962">
        <v>-2.8852010000000001E-2</v>
      </c>
      <c r="P3962">
        <v>-0.9843826</v>
      </c>
      <c r="Q3962">
        <v>1.6407100000000001E-2</v>
      </c>
      <c r="R3962">
        <v>-0.17527519999999999</v>
      </c>
      <c r="S3962">
        <v>-2.974243</v>
      </c>
      <c r="T3962">
        <v>-8.5893869999999997E-2</v>
      </c>
      <c r="U3962">
        <v>-0.41973880000000002</v>
      </c>
      <c r="V3962">
        <v>-0.1468699</v>
      </c>
      <c r="W3962">
        <v>2.9853979999999999E-2</v>
      </c>
      <c r="X3962">
        <v>0.98870519999999995</v>
      </c>
      <c r="Y3962">
        <v>-0.11107640000000001</v>
      </c>
      <c r="Z3962">
        <v>-7.67145E-4</v>
      </c>
      <c r="AA3962">
        <v>0.99381149999999996</v>
      </c>
      <c r="AB3962">
        <v>26</v>
      </c>
      <c r="AC3962">
        <v>-38.342799999999997</v>
      </c>
      <c r="AD3962">
        <v>-1.1114664101859999</v>
      </c>
      <c r="AE3962">
        <v>-5.4264000000000001</v>
      </c>
      <c r="AF3962">
        <v>-4.3142119866547004</v>
      </c>
      <c r="AG3962">
        <v>-1.1114664101859999</v>
      </c>
      <c r="AH3962">
        <v>38.451736478608801</v>
      </c>
      <c r="AI3962">
        <v>91.645383476695997</v>
      </c>
      <c r="AJ3962">
        <v>96.401705060625801</v>
      </c>
      <c r="AK3962">
        <v>38.708963055953099</v>
      </c>
      <c r="AL3962">
        <v>88.289238758051098</v>
      </c>
      <c r="AM3962">
        <v>98.449369642868902</v>
      </c>
      <c r="AN3962">
        <v>1.0000000000774401</v>
      </c>
    </row>
    <row r="3963" spans="1:40" x14ac:dyDescent="0.25">
      <c r="A3963" t="str">
        <f>"20190312150735306"</f>
        <v>20190312150735306</v>
      </c>
      <c r="B3963" t="str">
        <f>"1552374455304024"</f>
        <v>1552374455304024</v>
      </c>
      <c r="C3963" t="s">
        <v>40</v>
      </c>
      <c r="D3963">
        <v>4.2788870000000001</v>
      </c>
      <c r="E3963">
        <v>0.51426419999999995</v>
      </c>
      <c r="F3963" t="s">
        <v>61</v>
      </c>
      <c r="G3963">
        <v>-495.77289999999999</v>
      </c>
      <c r="H3963" s="1">
        <v>2.4541879999999998E-6</v>
      </c>
      <c r="I3963">
        <v>279.33640000000003</v>
      </c>
      <c r="J3963">
        <v>-456.90980000000002</v>
      </c>
      <c r="K3963">
        <v>1.111469</v>
      </c>
      <c r="L3963">
        <v>284.86</v>
      </c>
      <c r="M3963">
        <v>-0.99946330000000005</v>
      </c>
      <c r="N3963">
        <v>0</v>
      </c>
      <c r="O3963">
        <v>-2.9643240000000001E-2</v>
      </c>
      <c r="P3963">
        <v>-0.98423870000000002</v>
      </c>
      <c r="Q3963">
        <v>1.6707679999999999E-2</v>
      </c>
      <c r="R3963">
        <v>-0.1760555</v>
      </c>
      <c r="S3963">
        <v>-2.973938</v>
      </c>
      <c r="T3963">
        <v>-8.4741590000000006E-2</v>
      </c>
      <c r="U3963">
        <v>-0.42150880000000002</v>
      </c>
      <c r="V3963">
        <v>-0.1468719</v>
      </c>
      <c r="W3963">
        <v>3.0153300000000001E-2</v>
      </c>
      <c r="X3963">
        <v>0.98869580000000001</v>
      </c>
      <c r="Y3963">
        <v>-0.110885</v>
      </c>
      <c r="Z3963">
        <v>-7.3179039999999999E-4</v>
      </c>
      <c r="AA3963">
        <v>0.99383299999999997</v>
      </c>
      <c r="AB3963">
        <v>26</v>
      </c>
      <c r="AC3963">
        <v>-38.863099999999903</v>
      </c>
      <c r="AD3963">
        <v>-1.1114665458120001</v>
      </c>
      <c r="AE3963">
        <v>-5.5235999999999796</v>
      </c>
      <c r="AF3963">
        <v>-4.3655319418013701</v>
      </c>
      <c r="AG3963">
        <v>-1.1114665458120001</v>
      </c>
      <c r="AH3963">
        <v>38.978520774851702</v>
      </c>
      <c r="AI3963">
        <v>91.623194601017204</v>
      </c>
      <c r="AJ3963">
        <v>96.390404748997597</v>
      </c>
      <c r="AK3963">
        <v>39.2379702432847</v>
      </c>
      <c r="AL3963">
        <v>88.272081227326794</v>
      </c>
      <c r="AM3963">
        <v>98.449562214742798</v>
      </c>
      <c r="AN3963">
        <v>0.99999998072406904</v>
      </c>
    </row>
    <row r="3964" spans="1:40" x14ac:dyDescent="0.25">
      <c r="A3964" t="str">
        <f>"20190312150735319"</f>
        <v>20190312150735319</v>
      </c>
      <c r="B3964" t="str">
        <f>"1552374455313785"</f>
        <v>1552374455313785</v>
      </c>
      <c r="C3964" t="s">
        <v>40</v>
      </c>
      <c r="D3964">
        <v>4.2783499999999997</v>
      </c>
      <c r="E3964">
        <v>0.51444829999999997</v>
      </c>
      <c r="F3964" t="s">
        <v>61</v>
      </c>
      <c r="G3964">
        <v>-495.14929999999998</v>
      </c>
      <c r="H3964" s="1">
        <v>2.5833279999999998E-6</v>
      </c>
      <c r="I3964">
        <v>279.44170000000003</v>
      </c>
      <c r="J3964">
        <v>-457.06270000000001</v>
      </c>
      <c r="K3964">
        <v>1.111469</v>
      </c>
      <c r="L3964">
        <v>284.85449999999997</v>
      </c>
      <c r="M3964">
        <v>-0.99943769999999998</v>
      </c>
      <c r="N3964">
        <v>0</v>
      </c>
      <c r="O3964">
        <v>-3.0489430000000001E-2</v>
      </c>
      <c r="P3964">
        <v>-0.98409519999999995</v>
      </c>
      <c r="Q3964">
        <v>1.6816370000000001E-2</v>
      </c>
      <c r="R3964">
        <v>-0.17684439999999901</v>
      </c>
      <c r="S3964">
        <v>-2.9741209999999998</v>
      </c>
      <c r="T3964">
        <v>-8.6445569999999999E-2</v>
      </c>
      <c r="U3964">
        <v>-0.42141719999999999</v>
      </c>
      <c r="V3964">
        <v>-0.1468276</v>
      </c>
      <c r="W3964">
        <v>3.0261010000000001E-2</v>
      </c>
      <c r="X3964">
        <v>0.98869910000000005</v>
      </c>
      <c r="Y3964">
        <v>-0.1100044</v>
      </c>
      <c r="Z3964">
        <v>-7.0928829999999997E-4</v>
      </c>
      <c r="AA3964">
        <v>0.9939308</v>
      </c>
      <c r="AB3964">
        <v>26</v>
      </c>
      <c r="AC3964">
        <v>-38.086599999999898</v>
      </c>
      <c r="AD3964">
        <v>-1.1114664166720001</v>
      </c>
      <c r="AE3964">
        <v>-5.4127999999999403</v>
      </c>
      <c r="AF3964">
        <v>-4.2453873669991999</v>
      </c>
      <c r="AG3964">
        <v>-1.1114664166720001</v>
      </c>
      <c r="AH3964">
        <v>38.202049219533798</v>
      </c>
      <c r="AI3964">
        <v>91.656326711262494</v>
      </c>
      <c r="AJ3964">
        <v>96.341251372571406</v>
      </c>
      <c r="AK3964">
        <v>38.453286414335899</v>
      </c>
      <c r="AL3964">
        <v>88.265907100137994</v>
      </c>
      <c r="AM3964">
        <v>98.447022616711905</v>
      </c>
      <c r="AN3964">
        <v>0.99999999159439501</v>
      </c>
    </row>
    <row r="3965" spans="1:40" x14ac:dyDescent="0.25">
      <c r="A3965" t="str">
        <f>"20190312150735331"</f>
        <v>20190312150735331</v>
      </c>
      <c r="B3965" t="str">
        <f>"1552374455324520"</f>
        <v>1552374455324520</v>
      </c>
      <c r="C3965" t="s">
        <v>40</v>
      </c>
      <c r="D3965">
        <v>4.2686820000000001</v>
      </c>
      <c r="E3965">
        <v>0.51454829999999996</v>
      </c>
      <c r="F3965" t="s">
        <v>61</v>
      </c>
      <c r="G3965">
        <v>-495.00830000000002</v>
      </c>
      <c r="H3965" s="1">
        <v>2.6124519999999999E-6</v>
      </c>
      <c r="I3965">
        <v>279.46499999999997</v>
      </c>
      <c r="J3965">
        <v>-457.19260000000003</v>
      </c>
      <c r="K3965">
        <v>1.1114759999999999</v>
      </c>
      <c r="L3965">
        <v>284.84980000000002</v>
      </c>
      <c r="M3965">
        <v>-0.99941550000000001</v>
      </c>
      <c r="N3965">
        <v>0</v>
      </c>
      <c r="O3965">
        <v>-3.120759E-2</v>
      </c>
      <c r="P3965">
        <v>-0.98401760000000005</v>
      </c>
      <c r="Q3965">
        <v>1.727242E-2</v>
      </c>
      <c r="R3965">
        <v>-0.17723220000000001</v>
      </c>
      <c r="S3965">
        <v>-2.9741209999999998</v>
      </c>
      <c r="T3965">
        <v>-8.7115289999999998E-2</v>
      </c>
      <c r="U3965">
        <v>-0.42242429999999997</v>
      </c>
      <c r="V3965">
        <v>-0.14650729999999901</v>
      </c>
      <c r="W3965">
        <v>3.0717609999999999E-2</v>
      </c>
      <c r="X3965">
        <v>0.98873250000000001</v>
      </c>
      <c r="Y3965">
        <v>-0.1096201</v>
      </c>
      <c r="Z3965">
        <v>-6.8826740000000003E-4</v>
      </c>
      <c r="AA3965">
        <v>0.99397329999999995</v>
      </c>
      <c r="AB3965">
        <v>26</v>
      </c>
      <c r="AC3965">
        <v>-37.8156999999999</v>
      </c>
      <c r="AD3965">
        <v>-1.1114733875480001</v>
      </c>
      <c r="AE3965">
        <v>-5.3848000000000402</v>
      </c>
      <c r="AF3965">
        <v>-4.1983700823534296</v>
      </c>
      <c r="AG3965">
        <v>-1.1114733875480001</v>
      </c>
      <c r="AH3965">
        <v>37.933221778243798</v>
      </c>
      <c r="AI3965">
        <v>91.668151256244002</v>
      </c>
      <c r="AJ3965">
        <v>96.315673238057101</v>
      </c>
      <c r="AK3965">
        <v>38.181029306673402</v>
      </c>
      <c r="AL3965">
        <v>88.239733620346698</v>
      </c>
      <c r="AM3965">
        <v>98.428580043541501</v>
      </c>
      <c r="AN3965">
        <v>0.999999958536825</v>
      </c>
    </row>
    <row r="3966" spans="1:40" x14ac:dyDescent="0.25">
      <c r="A3966" t="str">
        <f>"20190312150735352"</f>
        <v>20190312150735352</v>
      </c>
      <c r="B3966" t="str">
        <f>"1552374455344041"</f>
        <v>1552374455344041</v>
      </c>
      <c r="C3966" t="s">
        <v>40</v>
      </c>
      <c r="D3966">
        <v>4.2564989999999998</v>
      </c>
      <c r="E3966">
        <v>0.51475839999999995</v>
      </c>
      <c r="F3966" t="s">
        <v>61</v>
      </c>
      <c r="G3966">
        <v>-495.20830000000001</v>
      </c>
      <c r="H3966" s="1">
        <v>2.572854E-6</v>
      </c>
      <c r="I3966">
        <v>279.44170000000003</v>
      </c>
      <c r="J3966">
        <v>-457.44069999999999</v>
      </c>
      <c r="K3966">
        <v>1.1114759999999999</v>
      </c>
      <c r="L3966">
        <v>284.84050000000002</v>
      </c>
      <c r="M3966">
        <v>-0.99937189999999998</v>
      </c>
      <c r="N3966">
        <v>0</v>
      </c>
      <c r="O3966">
        <v>-3.2580629999999999E-2</v>
      </c>
      <c r="P3966">
        <v>-0.9837245</v>
      </c>
      <c r="Q3966">
        <v>1.7011740000000001E-2</v>
      </c>
      <c r="R3966">
        <v>-0.17887639999999999</v>
      </c>
      <c r="S3966">
        <v>-2.974091</v>
      </c>
      <c r="T3966">
        <v>-8.6954119999999996E-2</v>
      </c>
      <c r="U3966">
        <v>-0.42309570000000002</v>
      </c>
      <c r="V3966">
        <v>-0.14680079999999901</v>
      </c>
      <c r="W3966">
        <v>3.0453569999999999E-2</v>
      </c>
      <c r="X3966">
        <v>0.98869720000000005</v>
      </c>
      <c r="Y3966">
        <v>-0.1084769</v>
      </c>
      <c r="Z3966">
        <v>-6.3048960000000002E-4</v>
      </c>
      <c r="AA3966">
        <v>0.99409879999999995</v>
      </c>
      <c r="AB3966">
        <v>26</v>
      </c>
      <c r="AC3966">
        <v>-37.767600000000002</v>
      </c>
      <c r="AD3966">
        <v>-1.1114734271460001</v>
      </c>
      <c r="AE3966">
        <v>-5.3987999999999898</v>
      </c>
      <c r="AF3966">
        <v>-4.16178923451342</v>
      </c>
      <c r="AG3966">
        <v>-1.1114734271460001</v>
      </c>
      <c r="AH3966">
        <v>37.891299227965703</v>
      </c>
      <c r="AI3966">
        <v>91.670149165675298</v>
      </c>
      <c r="AJ3966">
        <v>96.267955127264102</v>
      </c>
      <c r="AK3966">
        <v>38.135369671670901</v>
      </c>
      <c r="AL3966">
        <v>88.254869194104103</v>
      </c>
      <c r="AM3966">
        <v>98.445519040966701</v>
      </c>
      <c r="AN3966">
        <v>1.0000000240471101</v>
      </c>
    </row>
    <row r="3967" spans="1:40" x14ac:dyDescent="0.25">
      <c r="A3967" t="str">
        <f>"20190312150735367"</f>
        <v>20190312150735367</v>
      </c>
      <c r="B3967" t="str">
        <f>"1552374455364537"</f>
        <v>1552374455364537</v>
      </c>
      <c r="C3967" t="s">
        <v>40</v>
      </c>
      <c r="D3967">
        <v>4.2611990000000004</v>
      </c>
      <c r="E3967">
        <v>0.51481149999999998</v>
      </c>
      <c r="F3967" t="s">
        <v>61</v>
      </c>
      <c r="G3967">
        <v>-493.79149999999998</v>
      </c>
      <c r="H3967" s="1">
        <v>2.85593E-6</v>
      </c>
      <c r="I3967">
        <v>279.6277</v>
      </c>
      <c r="J3967">
        <v>-457.60910000000001</v>
      </c>
      <c r="K3967">
        <v>1.1114759999999999</v>
      </c>
      <c r="L3967">
        <v>284.834</v>
      </c>
      <c r="M3967">
        <v>-0.99934109999999998</v>
      </c>
      <c r="N3967">
        <v>0</v>
      </c>
      <c r="O3967">
        <v>-3.3512399999999998E-2</v>
      </c>
      <c r="P3967">
        <v>-0.98351140000000004</v>
      </c>
      <c r="Q3967">
        <v>1.6900249999999999E-2</v>
      </c>
      <c r="R3967">
        <v>-0.18005589999999999</v>
      </c>
      <c r="S3967">
        <v>-2.973633</v>
      </c>
      <c r="T3967">
        <v>-9.0922710000000004E-2</v>
      </c>
      <c r="U3967">
        <v>-0.42642210000000003</v>
      </c>
      <c r="V3967">
        <v>-0.14706440000000001</v>
      </c>
      <c r="W3967">
        <v>3.0340140000000002E-2</v>
      </c>
      <c r="X3967">
        <v>0.98866149999999997</v>
      </c>
      <c r="Y3967">
        <v>-0.10865859999999999</v>
      </c>
      <c r="Z3967">
        <v>-6.3377180000000004E-4</v>
      </c>
      <c r="AA3967">
        <v>0.99407889999999999</v>
      </c>
      <c r="AB3967">
        <v>26</v>
      </c>
      <c r="AC3967">
        <v>-36.182399999999902</v>
      </c>
      <c r="AD3967">
        <v>-1.1114731440700001</v>
      </c>
      <c r="AE3967">
        <v>-5.2062999999999899</v>
      </c>
      <c r="AF3967">
        <v>-3.9870122309292602</v>
      </c>
      <c r="AG3967">
        <v>-1.1114731440700001</v>
      </c>
      <c r="AH3967">
        <v>36.303003179879497</v>
      </c>
      <c r="AI3967">
        <v>91.743177134536197</v>
      </c>
      <c r="AJ3967">
        <v>96.267445848655896</v>
      </c>
      <c r="AK3967">
        <v>36.538194796102196</v>
      </c>
      <c r="AL3967">
        <v>88.261371237315899</v>
      </c>
      <c r="AM3967">
        <v>98.460765862702004</v>
      </c>
      <c r="AN3967">
        <v>1.0000000117124099</v>
      </c>
    </row>
    <row r="3968" spans="1:40" x14ac:dyDescent="0.25">
      <c r="A3968" t="str">
        <f>"20190312150735387"</f>
        <v>20190312150735387</v>
      </c>
      <c r="B3968" t="str">
        <f>"1552374455374296"</f>
        <v>1552374455374296</v>
      </c>
      <c r="C3968" t="s">
        <v>40</v>
      </c>
      <c r="D3968">
        <v>4.2260660000000003</v>
      </c>
      <c r="E3968">
        <v>0.51487490000000002</v>
      </c>
      <c r="F3968" t="s">
        <v>61</v>
      </c>
      <c r="G3968">
        <v>-493.14519999999999</v>
      </c>
      <c r="H3968" s="1">
        <v>2.9767129999999898E-6</v>
      </c>
      <c r="I3968">
        <v>279.6979</v>
      </c>
      <c r="J3968">
        <v>-457.83049999999997</v>
      </c>
      <c r="K3968">
        <v>1.1114759999999999</v>
      </c>
      <c r="L3968">
        <v>284.8252</v>
      </c>
      <c r="M3968">
        <v>-0.99929920000000005</v>
      </c>
      <c r="N3968">
        <v>0</v>
      </c>
      <c r="O3968">
        <v>-3.4737869999999997E-2</v>
      </c>
      <c r="P3968">
        <v>-0.98327089999999995</v>
      </c>
      <c r="Q3968">
        <v>1.6806430000000001E-2</v>
      </c>
      <c r="R3968">
        <v>-0.18137310000000001</v>
      </c>
      <c r="S3968">
        <v>-2.9732059999999998</v>
      </c>
      <c r="T3968">
        <v>-9.2993740000000005E-2</v>
      </c>
      <c r="U3968">
        <v>-0.42971799999999999</v>
      </c>
      <c r="V3968">
        <v>-0.14717559999999999</v>
      </c>
      <c r="W3968">
        <v>3.0243860000000001E-2</v>
      </c>
      <c r="X3968">
        <v>0.98864790000000002</v>
      </c>
      <c r="Y3968">
        <v>-0.1085383</v>
      </c>
      <c r="Z3968">
        <v>-6.0831250000000002E-4</v>
      </c>
      <c r="AA3968">
        <v>0.99409210000000003</v>
      </c>
      <c r="AB3968">
        <v>26</v>
      </c>
      <c r="AC3968">
        <v>-35.314700000000002</v>
      </c>
      <c r="AD3968">
        <v>-1.111473023287</v>
      </c>
      <c r="AE3968">
        <v>-5.1272999999999902</v>
      </c>
      <c r="AF3968">
        <v>-3.89355092212715</v>
      </c>
      <c r="AG3968">
        <v>-1.111473023287</v>
      </c>
      <c r="AH3968">
        <v>35.437132344204997</v>
      </c>
      <c r="AI3968">
        <v>91.785733548936705</v>
      </c>
      <c r="AJ3968">
        <v>96.270055909676003</v>
      </c>
      <c r="AK3968">
        <v>35.667708923414096</v>
      </c>
      <c r="AL3968">
        <v>88.266890203315697</v>
      </c>
      <c r="AM3968">
        <v>98.467185398902799</v>
      </c>
      <c r="AN3968">
        <v>1.00000000923873</v>
      </c>
    </row>
    <row r="3969" spans="1:40" x14ac:dyDescent="0.25">
      <c r="A3969" t="str">
        <f>"20190312150735401"</f>
        <v>20190312150735401</v>
      </c>
      <c r="B3969" t="str">
        <f>"1552374455393836"</f>
        <v>1552374455393836</v>
      </c>
      <c r="C3969" t="s">
        <v>40</v>
      </c>
      <c r="D3969">
        <v>4.2265600000000001</v>
      </c>
      <c r="E3969">
        <v>0.51479339999999996</v>
      </c>
      <c r="F3969" t="s">
        <v>61</v>
      </c>
      <c r="G3969">
        <v>-492.74759999999998</v>
      </c>
      <c r="H3969" s="1">
        <v>3.0506629999999999E-6</v>
      </c>
      <c r="I3969">
        <v>279.73700000000002</v>
      </c>
      <c r="J3969">
        <v>-458.00630000000001</v>
      </c>
      <c r="K3969">
        <v>1.11147</v>
      </c>
      <c r="L3969">
        <v>284.81799999999998</v>
      </c>
      <c r="M3969">
        <v>-0.99926499999999996</v>
      </c>
      <c r="N3969">
        <v>0</v>
      </c>
      <c r="O3969">
        <v>-3.5710409999999998E-2</v>
      </c>
      <c r="P3969">
        <v>-0.98305819999999999</v>
      </c>
      <c r="Q3969">
        <v>1.6596079999999999E-2</v>
      </c>
      <c r="R3969">
        <v>-0.1825408</v>
      </c>
      <c r="S3969">
        <v>-2.9727779999999999</v>
      </c>
      <c r="T3969">
        <v>-9.4628809999999994E-2</v>
      </c>
      <c r="U3969">
        <v>-0.433197</v>
      </c>
      <c r="V3969">
        <v>-0.14738679999999901</v>
      </c>
      <c r="W3969">
        <v>3.0031289999999999E-2</v>
      </c>
      <c r="X3969">
        <v>0.98862289999999997</v>
      </c>
      <c r="Y3969">
        <v>-0.10872950000000001</v>
      </c>
      <c r="Z3969">
        <v>-5.9133579999999996E-4</v>
      </c>
      <c r="AA3969">
        <v>0.99407120000000004</v>
      </c>
      <c r="AB3969">
        <v>26</v>
      </c>
      <c r="AC3969">
        <v>-34.741299999999903</v>
      </c>
      <c r="AD3969">
        <v>-1.111466949337</v>
      </c>
      <c r="AE3969">
        <v>-5.0809999999999604</v>
      </c>
      <c r="AF3969">
        <v>-3.8331708342694899</v>
      </c>
      <c r="AG3969">
        <v>-1.111466949337</v>
      </c>
      <c r="AH3969">
        <v>34.865660460915798</v>
      </c>
      <c r="AI3969">
        <v>91.814959998062406</v>
      </c>
      <c r="AJ3969">
        <v>96.273966968316799</v>
      </c>
      <c r="AK3969">
        <v>35.093344622592298</v>
      </c>
      <c r="AL3969">
        <v>88.279075073643796</v>
      </c>
      <c r="AM3969">
        <v>98.479370778644807</v>
      </c>
      <c r="AN3969">
        <v>0.99999999279885698</v>
      </c>
    </row>
    <row r="3970" spans="1:40" x14ac:dyDescent="0.25">
      <c r="A3970" t="str">
        <f>"20190312150735413"</f>
        <v>20190312150735413</v>
      </c>
      <c r="B3970" t="str">
        <f>"1552374455403597"</f>
        <v>1552374455403597</v>
      </c>
      <c r="C3970" t="s">
        <v>40</v>
      </c>
      <c r="D3970">
        <v>4.2395269999999998</v>
      </c>
      <c r="E3970">
        <v>0.51480530000000002</v>
      </c>
      <c r="F3970" t="s">
        <v>61</v>
      </c>
      <c r="G3970">
        <v>-491.99990000000003</v>
      </c>
      <c r="H3970" s="1">
        <v>3.1899959999999998E-6</v>
      </c>
      <c r="I3970">
        <v>279.81369999999998</v>
      </c>
      <c r="J3970">
        <v>-458.13900000000001</v>
      </c>
      <c r="K3970">
        <v>1.1114679999999999</v>
      </c>
      <c r="L3970">
        <v>284.81240000000003</v>
      </c>
      <c r="M3970">
        <v>-0.99923850000000003</v>
      </c>
      <c r="N3970">
        <v>0</v>
      </c>
      <c r="O3970">
        <v>-3.6444669999999998E-2</v>
      </c>
      <c r="P3970">
        <v>-0.98290889999999997</v>
      </c>
      <c r="Q3970">
        <v>1.645897E-2</v>
      </c>
      <c r="R3970">
        <v>-0.1833554</v>
      </c>
      <c r="S3970">
        <v>-2.9720759999999999</v>
      </c>
      <c r="T3970">
        <v>-9.7176310000000002E-2</v>
      </c>
      <c r="U3970">
        <v>-0.43753049999999999</v>
      </c>
      <c r="V3970">
        <v>-0.147479799999999</v>
      </c>
      <c r="W3970">
        <v>2.989259E-2</v>
      </c>
      <c r="X3970">
        <v>0.98861319999999997</v>
      </c>
      <c r="Y3970">
        <v>-0.10944950000000001</v>
      </c>
      <c r="Z3970">
        <v>-5.9520510000000005E-4</v>
      </c>
      <c r="AA3970">
        <v>0.99399210000000005</v>
      </c>
      <c r="AB3970">
        <v>26</v>
      </c>
      <c r="AC3970">
        <v>-33.860900000000001</v>
      </c>
      <c r="AD3970">
        <v>-1.1114648100040001</v>
      </c>
      <c r="AE3970">
        <v>-4.9987000000000403</v>
      </c>
      <c r="AF3970">
        <v>-3.7572475262383001</v>
      </c>
      <c r="AG3970">
        <v>-1.1114648100040001</v>
      </c>
      <c r="AH3970">
        <v>33.984758876569501</v>
      </c>
      <c r="AI3970">
        <v>91.861843592051898</v>
      </c>
      <c r="AJ3970">
        <v>96.308819691640196</v>
      </c>
      <c r="AK3970">
        <v>34.2098830587869</v>
      </c>
      <c r="AL3970">
        <v>88.2870255094859</v>
      </c>
      <c r="AM3970">
        <v>98.484725383417498</v>
      </c>
      <c r="AN3970">
        <v>0.99999995877959302</v>
      </c>
    </row>
    <row r="3971" spans="1:40" x14ac:dyDescent="0.25">
      <c r="A3971" t="str">
        <f>"20190312150735426"</f>
        <v>20190312150735426</v>
      </c>
      <c r="B3971" t="str">
        <f>"1552374455414334"</f>
        <v>1552374455414334</v>
      </c>
      <c r="C3971" t="s">
        <v>40</v>
      </c>
      <c r="D3971">
        <v>4.2490550000000002</v>
      </c>
      <c r="E3971">
        <v>0.51468270000000005</v>
      </c>
      <c r="F3971" t="s">
        <v>61</v>
      </c>
      <c r="G3971">
        <v>-491.62860000000001</v>
      </c>
      <c r="H3971" s="1">
        <v>3.2595279999999998E-6</v>
      </c>
      <c r="I3971">
        <v>279.85570000000001</v>
      </c>
      <c r="J3971">
        <v>-458.28739999999999</v>
      </c>
      <c r="K3971">
        <v>1.1114660000000001</v>
      </c>
      <c r="L3971">
        <v>284.80619999999999</v>
      </c>
      <c r="M3971">
        <v>-0.99920830000000005</v>
      </c>
      <c r="N3971">
        <v>0</v>
      </c>
      <c r="O3971">
        <v>-3.726641E-2</v>
      </c>
      <c r="P3971">
        <v>-0.98273160000000004</v>
      </c>
      <c r="Q3971">
        <v>1.6341410000000001E-2</v>
      </c>
      <c r="R3971">
        <v>-0.1843146</v>
      </c>
      <c r="S3971">
        <v>-2.9717709999999999</v>
      </c>
      <c r="T3971">
        <v>-9.8628279999999999E-2</v>
      </c>
      <c r="U3971">
        <v>-0.43984990000000002</v>
      </c>
      <c r="V3971">
        <v>-0.1476307</v>
      </c>
      <c r="W3971">
        <v>2.977343E-2</v>
      </c>
      <c r="X3971">
        <v>0.98859430000000004</v>
      </c>
      <c r="Y3971">
        <v>-0.1094054</v>
      </c>
      <c r="Z3971">
        <v>-5.7632669999999997E-4</v>
      </c>
      <c r="AA3971">
        <v>0.99399700000000002</v>
      </c>
      <c r="AB3971">
        <v>26</v>
      </c>
      <c r="AC3971">
        <v>-33.341200000000001</v>
      </c>
      <c r="AD3971">
        <v>-1.1114627404719899</v>
      </c>
      <c r="AE3971">
        <v>-4.9504999999999697</v>
      </c>
      <c r="AF3971">
        <v>-3.7004096610501098</v>
      </c>
      <c r="AG3971">
        <v>-1.1114627404719899</v>
      </c>
      <c r="AH3971">
        <v>33.466152467895</v>
      </c>
      <c r="AI3971">
        <v>91.890668183000699</v>
      </c>
      <c r="AJ3971">
        <v>96.309661354229604</v>
      </c>
      <c r="AK3971">
        <v>33.688451167832604</v>
      </c>
      <c r="AL3971">
        <v>88.293855960448496</v>
      </c>
      <c r="AM3971">
        <v>98.493440328396105</v>
      </c>
      <c r="AN3971">
        <v>0.99999998535447199</v>
      </c>
    </row>
    <row r="3972" spans="1:40" x14ac:dyDescent="0.25">
      <c r="A3972" t="str">
        <f>"20190312150735442"</f>
        <v>20190312150735442</v>
      </c>
      <c r="B3972" t="str">
        <f>"1552374455433853"</f>
        <v>1552374455433853</v>
      </c>
      <c r="C3972" t="s">
        <v>40</v>
      </c>
      <c r="D3972">
        <v>4.2661879999999996</v>
      </c>
      <c r="E3972">
        <v>0.51479419999999998</v>
      </c>
      <c r="F3972" t="s">
        <v>61</v>
      </c>
      <c r="G3972">
        <v>-492.36750000000001</v>
      </c>
      <c r="H3972" s="1">
        <v>3.116211E-6</v>
      </c>
      <c r="I3972">
        <v>279.71559999999999</v>
      </c>
      <c r="J3972">
        <v>-458.47370000000001</v>
      </c>
      <c r="K3972">
        <v>1.111462</v>
      </c>
      <c r="L3972">
        <v>284.79809999999998</v>
      </c>
      <c r="M3972">
        <v>-0.99916919999999998</v>
      </c>
      <c r="N3972">
        <v>0</v>
      </c>
      <c r="O3972">
        <v>-3.8297829999999998E-2</v>
      </c>
      <c r="P3972">
        <v>-0.98240400000000005</v>
      </c>
      <c r="Q3972">
        <v>1.6526949999999999E-2</v>
      </c>
      <c r="R3972">
        <v>-0.1860356</v>
      </c>
      <c r="S3972">
        <v>-2.971069</v>
      </c>
      <c r="T3972">
        <v>-9.6896170000000004E-2</v>
      </c>
      <c r="U3972">
        <v>-0.44378659999999998</v>
      </c>
      <c r="V3972">
        <v>-0.14834310000000001</v>
      </c>
      <c r="W3972">
        <v>2.995455E-2</v>
      </c>
      <c r="X3972">
        <v>0.98848219999999998</v>
      </c>
      <c r="Y3972">
        <v>-0.1097036</v>
      </c>
      <c r="Z3972">
        <v>-5.3774940000000005E-4</v>
      </c>
      <c r="AA3972">
        <v>0.99396419999999996</v>
      </c>
      <c r="AB3972">
        <v>26</v>
      </c>
      <c r="AC3972">
        <v>-33.893799999999999</v>
      </c>
      <c r="AD3972">
        <v>-1.111458883789</v>
      </c>
      <c r="AE3972">
        <v>-5.08249999999998</v>
      </c>
      <c r="AF3972">
        <v>-3.7766137176308501</v>
      </c>
      <c r="AG3972">
        <v>-1.111458883789</v>
      </c>
      <c r="AH3972">
        <v>34.027810449039002</v>
      </c>
      <c r="AI3972">
        <v>91.859392475964</v>
      </c>
      <c r="AJ3972">
        <v>96.333115963479699</v>
      </c>
      <c r="AK3972">
        <v>34.254781213405501</v>
      </c>
      <c r="AL3972">
        <v>88.283473951828896</v>
      </c>
      <c r="AM3972">
        <v>98.534777371354593</v>
      </c>
      <c r="AN3972">
        <v>1.0000000050500699</v>
      </c>
    </row>
    <row r="3973" spans="1:40" x14ac:dyDescent="0.25">
      <c r="A3973" t="str">
        <f>"20190312150735459"</f>
        <v>20190312150735459</v>
      </c>
      <c r="B3973" t="str">
        <f>"1552374455453880"</f>
        <v>1552374455453880</v>
      </c>
      <c r="C3973" t="s">
        <v>40</v>
      </c>
      <c r="D3973">
        <v>4.2542479999999996</v>
      </c>
      <c r="E3973">
        <v>0.51487329999999998</v>
      </c>
      <c r="F3973" t="s">
        <v>61</v>
      </c>
      <c r="G3973">
        <v>-491.80540000000002</v>
      </c>
      <c r="H3973" s="1">
        <v>3.2207809999999998E-6</v>
      </c>
      <c r="I3973">
        <v>279.77120000000002</v>
      </c>
      <c r="J3973">
        <v>-458.6696</v>
      </c>
      <c r="K3973">
        <v>1.1114660000000001</v>
      </c>
      <c r="L3973">
        <v>284.78930000000003</v>
      </c>
      <c r="M3973">
        <v>-0.99912710000000005</v>
      </c>
      <c r="N3973">
        <v>0</v>
      </c>
      <c r="O3973">
        <v>-3.9383000000000001E-2</v>
      </c>
      <c r="P3973">
        <v>-0.98213609999999896</v>
      </c>
      <c r="Q3973">
        <v>1.642118E-2</v>
      </c>
      <c r="R3973">
        <v>-0.18745429999999999</v>
      </c>
      <c r="S3973">
        <v>-2.9705810000000001</v>
      </c>
      <c r="T3973">
        <v>-9.9055050000000006E-2</v>
      </c>
      <c r="U3973">
        <v>-0.44799800000000001</v>
      </c>
      <c r="V3973">
        <v>-0.14869660000000001</v>
      </c>
      <c r="W3973">
        <v>2.9845880000000002E-2</v>
      </c>
      <c r="X3973">
        <v>0.98843230000000004</v>
      </c>
      <c r="Y3973">
        <v>-0.11002480000000001</v>
      </c>
      <c r="Z3973">
        <v>-5.1918519999999998E-4</v>
      </c>
      <c r="AA3973">
        <v>0.9939287</v>
      </c>
      <c r="AB3973">
        <v>26</v>
      </c>
      <c r="AC3973">
        <v>-33.135800000000003</v>
      </c>
      <c r="AD3973">
        <v>-1.1114627792189999</v>
      </c>
      <c r="AE3973">
        <v>-5.0180999999999996</v>
      </c>
      <c r="AF3973">
        <v>-3.7050172283381002</v>
      </c>
      <c r="AG3973">
        <v>-1.1114627792189999</v>
      </c>
      <c r="AH3973">
        <v>33.271140464756897</v>
      </c>
      <c r="AI3973">
        <v>91.901578058788601</v>
      </c>
      <c r="AJ3973">
        <v>96.354180825805003</v>
      </c>
      <c r="AK3973">
        <v>33.495242796514503</v>
      </c>
      <c r="AL3973">
        <v>88.289702946936302</v>
      </c>
      <c r="AM3973">
        <v>98.555240565271504</v>
      </c>
      <c r="AN3973">
        <v>0.99999993354391004</v>
      </c>
    </row>
    <row r="3974" spans="1:40" x14ac:dyDescent="0.25">
      <c r="A3974" t="str">
        <f>"20190312150735476"</f>
        <v>20190312150735476</v>
      </c>
      <c r="B3974" t="str">
        <f>"1552374455463640"</f>
        <v>1552374455463640</v>
      </c>
      <c r="C3974" t="s">
        <v>40</v>
      </c>
      <c r="D3974">
        <v>4.2621869999999999</v>
      </c>
      <c r="E3974">
        <v>0.51495649999999904</v>
      </c>
      <c r="F3974" t="s">
        <v>61</v>
      </c>
      <c r="G3974">
        <v>-492.03879999999998</v>
      </c>
      <c r="H3974" s="1">
        <v>3.1742769999999998E-6</v>
      </c>
      <c r="I3974">
        <v>279.71300000000002</v>
      </c>
      <c r="J3974">
        <v>-458.85509999999999</v>
      </c>
      <c r="K3974">
        <v>1.1114599999999999</v>
      </c>
      <c r="L3974">
        <v>284.78089999999997</v>
      </c>
      <c r="M3974">
        <v>-0.99908609999999998</v>
      </c>
      <c r="N3974">
        <v>0</v>
      </c>
      <c r="O3974">
        <v>-4.0410479999999999E-2</v>
      </c>
      <c r="P3974">
        <v>-0.98182590000000003</v>
      </c>
      <c r="Q3974">
        <v>1.6332559999999999E-2</v>
      </c>
      <c r="R3974">
        <v>-0.18907979999999999</v>
      </c>
      <c r="S3974">
        <v>-2.9700009999999999</v>
      </c>
      <c r="T3974">
        <v>-9.8924639999999994E-2</v>
      </c>
      <c r="U3974">
        <v>-0.45181270000000001</v>
      </c>
      <c r="V3974">
        <v>-0.1493158</v>
      </c>
      <c r="W3974">
        <v>2.9753410000000001E-2</v>
      </c>
      <c r="X3974">
        <v>0.98834180000000005</v>
      </c>
      <c r="Y3974">
        <v>-0.1102798</v>
      </c>
      <c r="Z3974">
        <v>-4.8883149999999996E-4</v>
      </c>
      <c r="AA3974">
        <v>0.99390049999999996</v>
      </c>
      <c r="AB3974">
        <v>26</v>
      </c>
      <c r="AC3974">
        <v>-33.183699999999902</v>
      </c>
      <c r="AD3974">
        <v>-1.111456825723</v>
      </c>
      <c r="AE3974">
        <v>-5.0678999999999998</v>
      </c>
      <c r="AF3974">
        <v>-3.7185836213696399</v>
      </c>
      <c r="AG3974">
        <v>-1.111456825723</v>
      </c>
      <c r="AH3974">
        <v>33.324871737198499</v>
      </c>
      <c r="AI3974">
        <v>91.898456608558504</v>
      </c>
      <c r="AJ3974">
        <v>96.367058285952993</v>
      </c>
      <c r="AK3974">
        <v>33.550115897345201</v>
      </c>
      <c r="AL3974">
        <v>88.295003544409298</v>
      </c>
      <c r="AM3974">
        <v>98.591110608363905</v>
      </c>
      <c r="AN3974">
        <v>0.99999999358175395</v>
      </c>
    </row>
    <row r="3975" spans="1:40" x14ac:dyDescent="0.25">
      <c r="A3975" t="str">
        <f>"20190312150735492"</f>
        <v>20190312150735492</v>
      </c>
      <c r="B3975" t="str">
        <f>"1552374455484117"</f>
        <v>1552374455484117</v>
      </c>
      <c r="C3975" t="s">
        <v>40</v>
      </c>
      <c r="D3975">
        <v>4.2438180000000001</v>
      </c>
      <c r="E3975">
        <v>0.51499249999999996</v>
      </c>
      <c r="F3975" t="s">
        <v>61</v>
      </c>
      <c r="G3975">
        <v>-492.05799999999999</v>
      </c>
      <c r="H3975" s="1">
        <v>3.1682180000000001E-6</v>
      </c>
      <c r="I3975">
        <v>279.68239999999997</v>
      </c>
      <c r="J3975">
        <v>-459.0419</v>
      </c>
      <c r="K3975">
        <v>1.1114599999999999</v>
      </c>
      <c r="L3975">
        <v>284.77210000000002</v>
      </c>
      <c r="M3975">
        <v>-0.99904380000000004</v>
      </c>
      <c r="N3975">
        <v>0</v>
      </c>
      <c r="O3975">
        <v>-4.144606E-2</v>
      </c>
      <c r="P3975">
        <v>-0.98154010000000003</v>
      </c>
      <c r="Q3975">
        <v>1.6110960000000001E-2</v>
      </c>
      <c r="R3975">
        <v>-0.190577</v>
      </c>
      <c r="S3975">
        <v>-2.9693909999999999</v>
      </c>
      <c r="T3975">
        <v>-9.9399570000000007E-2</v>
      </c>
      <c r="U3975">
        <v>-0.45596310000000001</v>
      </c>
      <c r="V3975">
        <v>-0.1497984</v>
      </c>
      <c r="W3975">
        <v>2.9527970000000001E-2</v>
      </c>
      <c r="X3975">
        <v>0.98827549999999997</v>
      </c>
      <c r="Y3975">
        <v>-0.1106374</v>
      </c>
      <c r="Z3975">
        <v>-4.6280170000000001E-4</v>
      </c>
      <c r="AA3975">
        <v>0.99386070000000004</v>
      </c>
      <c r="AB3975">
        <v>26</v>
      </c>
      <c r="AC3975">
        <v>-33.016100000000002</v>
      </c>
      <c r="AD3975">
        <v>-1.1114568317819999</v>
      </c>
      <c r="AE3975">
        <v>-5.0897000000000503</v>
      </c>
      <c r="AF3975">
        <v>-3.7126961546239898</v>
      </c>
      <c r="AG3975">
        <v>-1.1114568317819999</v>
      </c>
      <c r="AH3975">
        <v>33.161984505716497</v>
      </c>
      <c r="AI3975">
        <v>91.907696728465396</v>
      </c>
      <c r="AJ3975">
        <v>96.388027732357003</v>
      </c>
      <c r="AK3975">
        <v>33.387672356468002</v>
      </c>
      <c r="AL3975">
        <v>88.307925930799001</v>
      </c>
      <c r="AM3975">
        <v>98.619030931430899</v>
      </c>
      <c r="AN3975">
        <v>0.99999996277756398</v>
      </c>
    </row>
    <row r="3976" spans="1:40" x14ac:dyDescent="0.25">
      <c r="A3976" t="str">
        <f>"20190312150735510"</f>
        <v>20190312150735510</v>
      </c>
      <c r="B3976" t="str">
        <f>"1552374455503637"</f>
        <v>1552374455503637</v>
      </c>
      <c r="C3976" t="s">
        <v>40</v>
      </c>
      <c r="D3976">
        <v>4.2593040000000002</v>
      </c>
      <c r="E3976">
        <v>0.51508670000000001</v>
      </c>
      <c r="F3976" t="s">
        <v>61</v>
      </c>
      <c r="G3976">
        <v>-491.99630000000002</v>
      </c>
      <c r="H3976" s="1">
        <v>3.1775090000000001E-6</v>
      </c>
      <c r="I3976">
        <v>279.6635</v>
      </c>
      <c r="J3976">
        <v>-459.23669999999998</v>
      </c>
      <c r="K3976">
        <v>1.1114580000000001</v>
      </c>
      <c r="L3976">
        <v>284.76280000000003</v>
      </c>
      <c r="M3976">
        <v>-0.99899839999999995</v>
      </c>
      <c r="N3976">
        <v>0</v>
      </c>
      <c r="O3976">
        <v>-4.2525399999999998E-2</v>
      </c>
      <c r="P3976">
        <v>-0.98112270000000001</v>
      </c>
      <c r="Q3976">
        <v>1.5746030000000001E-2</v>
      </c>
      <c r="R3976">
        <v>-0.19274469999999999</v>
      </c>
      <c r="S3976">
        <v>-2.9686889999999999</v>
      </c>
      <c r="T3976">
        <v>-0.1001254</v>
      </c>
      <c r="U3976">
        <v>-0.46020509999999898</v>
      </c>
      <c r="V3976">
        <v>-0.15091260000000001</v>
      </c>
      <c r="W3976">
        <v>2.9157140000000002E-2</v>
      </c>
      <c r="X3976">
        <v>0.98811700000000002</v>
      </c>
      <c r="Y3976">
        <v>-0.1109858</v>
      </c>
      <c r="Z3976">
        <v>-4.3598950000000002E-4</v>
      </c>
      <c r="AA3976">
        <v>0.99382190000000004</v>
      </c>
      <c r="AB3976">
        <v>26</v>
      </c>
      <c r="AC3976">
        <v>-32.759599999999999</v>
      </c>
      <c r="AD3976">
        <v>-1.1114548224909999</v>
      </c>
      <c r="AE3976">
        <v>-5.0993000000000199</v>
      </c>
      <c r="AF3976">
        <v>-3.6972809129409301</v>
      </c>
      <c r="AG3976">
        <v>-1.1114548224909999</v>
      </c>
      <c r="AH3976">
        <v>32.909844448349197</v>
      </c>
      <c r="AI3976">
        <v>91.922215392371498</v>
      </c>
      <c r="AJ3976">
        <v>96.410058743644001</v>
      </c>
      <c r="AK3976">
        <v>33.135525944010197</v>
      </c>
      <c r="AL3976">
        <v>88.329182104779306</v>
      </c>
      <c r="AM3976">
        <v>98.683537344160598</v>
      </c>
      <c r="AN3976">
        <v>0.99999997867036905</v>
      </c>
    </row>
    <row r="3977" spans="1:40" x14ac:dyDescent="0.25">
      <c r="A3977" t="str">
        <f>"20190312150735526"</f>
        <v>20190312150735526</v>
      </c>
      <c r="B3977" t="str">
        <f>"1552374455514376"</f>
        <v>1552374455514376</v>
      </c>
      <c r="C3977" t="s">
        <v>40</v>
      </c>
      <c r="D3977">
        <v>4.3584269999999998</v>
      </c>
      <c r="E3977">
        <v>0.51508670000000001</v>
      </c>
      <c r="F3977" t="s">
        <v>61</v>
      </c>
      <c r="G3977">
        <v>-491.50650000000002</v>
      </c>
      <c r="H3977" s="1">
        <v>3.2672100000000001E-6</v>
      </c>
      <c r="I3977">
        <v>279.69589999999999</v>
      </c>
      <c r="J3977">
        <v>-459.4187</v>
      </c>
      <c r="K3977">
        <v>1.1114569999999999</v>
      </c>
      <c r="L3977">
        <v>284.75400000000002</v>
      </c>
      <c r="M3977">
        <v>-0.99895489999999998</v>
      </c>
      <c r="N3977">
        <v>0</v>
      </c>
      <c r="O3977">
        <v>-4.3533570000000001E-2</v>
      </c>
      <c r="P3977">
        <v>-0.98092100000000004</v>
      </c>
      <c r="Q3977">
        <v>1.5699080000000001E-2</v>
      </c>
      <c r="R3977">
        <v>-0.19377159999999999</v>
      </c>
      <c r="S3977">
        <v>-2.9678040000000001</v>
      </c>
      <c r="T3977">
        <v>-0.1022189</v>
      </c>
      <c r="U3977">
        <v>-0.46600340000000001</v>
      </c>
      <c r="V3977">
        <v>-0.1509491</v>
      </c>
      <c r="W3977">
        <v>2.9108999999999999E-2</v>
      </c>
      <c r="X3977">
        <v>0.98811289999999996</v>
      </c>
      <c r="Y3977">
        <v>-0.1119216</v>
      </c>
      <c r="Z3977">
        <v>-4.2676859999999999E-4</v>
      </c>
      <c r="AA3977">
        <v>0.99371699999999996</v>
      </c>
      <c r="AB3977">
        <v>26</v>
      </c>
      <c r="AC3977">
        <v>-32.087800000000001</v>
      </c>
      <c r="AD3977">
        <v>-1.11145373278999</v>
      </c>
      <c r="AE3977">
        <v>-5.05810000000002</v>
      </c>
      <c r="AF3977">
        <v>-3.65199648093843</v>
      </c>
      <c r="AG3977">
        <v>-1.11145373278999</v>
      </c>
      <c r="AH3977">
        <v>32.2398492423333</v>
      </c>
      <c r="AI3977">
        <v>91.961926124615303</v>
      </c>
      <c r="AJ3977">
        <v>96.462680563471693</v>
      </c>
      <c r="AK3977">
        <v>32.465062557544798</v>
      </c>
      <c r="AL3977">
        <v>88.331941587076798</v>
      </c>
      <c r="AM3977">
        <v>98.685641025973993</v>
      </c>
      <c r="AN3977">
        <v>1.0000000339091</v>
      </c>
    </row>
    <row r="3978" spans="1:40" x14ac:dyDescent="0.25">
      <c r="A3978" t="str">
        <f>"20190312150735541"</f>
        <v>20190312150735541</v>
      </c>
      <c r="B3978" t="str">
        <f>"1552374455533892"</f>
        <v>1552374455533892</v>
      </c>
      <c r="C3978" t="s">
        <v>40</v>
      </c>
      <c r="D3978">
        <v>4.3313490000000003</v>
      </c>
      <c r="E3978">
        <v>0.48858049999999997</v>
      </c>
      <c r="F3978" t="s">
        <v>61</v>
      </c>
      <c r="G3978">
        <v>-491.62299999999999</v>
      </c>
      <c r="H3978" s="1">
        <v>3.2435119999999999E-6</v>
      </c>
      <c r="I3978">
        <v>279.66129999999998</v>
      </c>
      <c r="J3978">
        <v>-459.60239999999999</v>
      </c>
      <c r="K3978">
        <v>1.111456</v>
      </c>
      <c r="L3978">
        <v>284.7448</v>
      </c>
      <c r="M3978">
        <v>-0.99891010000000002</v>
      </c>
      <c r="N3978">
        <v>0</v>
      </c>
      <c r="O3978">
        <v>-4.455199E-2</v>
      </c>
      <c r="P3978">
        <v>-0.98063800000000001</v>
      </c>
      <c r="Q3978">
        <v>1.5864949999999999E-2</v>
      </c>
      <c r="R3978">
        <v>-0.19518550000000001</v>
      </c>
      <c r="S3978">
        <v>-2.967285</v>
      </c>
      <c r="T3978">
        <v>-0.1024085</v>
      </c>
      <c r="U3978">
        <v>-0.4692383</v>
      </c>
      <c r="V3978">
        <v>-0.1513668</v>
      </c>
      <c r="W3978">
        <v>2.9272010000000001E-2</v>
      </c>
      <c r="X3978">
        <v>0.98804409999999998</v>
      </c>
      <c r="Y3978">
        <v>-0.1119926</v>
      </c>
      <c r="Z3978">
        <v>-3.9398439999999997E-4</v>
      </c>
      <c r="AA3978">
        <v>0.99370899999999995</v>
      </c>
      <c r="AB3978">
        <v>25</v>
      </c>
      <c r="AC3978">
        <v>-32.020600000000002</v>
      </c>
      <c r="AD3978">
        <v>-1.1114527564879999</v>
      </c>
      <c r="AE3978">
        <v>-5.0835000000000097</v>
      </c>
      <c r="AF3978">
        <v>-3.64744530035731</v>
      </c>
      <c r="AG3978">
        <v>-1.1114527564879999</v>
      </c>
      <c r="AH3978">
        <v>32.177486436903799</v>
      </c>
      <c r="AI3978">
        <v>91.965706642811497</v>
      </c>
      <c r="AJ3978">
        <v>96.4670985604793</v>
      </c>
      <c r="AK3978">
        <v>32.402620539797901</v>
      </c>
      <c r="AL3978">
        <v>88.322597681775804</v>
      </c>
      <c r="AM3978">
        <v>98.709904695405598</v>
      </c>
      <c r="AN3978">
        <v>0.99999995112824303</v>
      </c>
    </row>
    <row r="3979" spans="1:40" x14ac:dyDescent="0.25">
      <c r="A3979" t="str">
        <f>"20190312150735555"</f>
        <v>20190312150735555</v>
      </c>
      <c r="B3979" t="str">
        <f>"1552374455543653"</f>
        <v>1552374455543653</v>
      </c>
      <c r="C3979" t="s">
        <v>40</v>
      </c>
      <c r="D3979">
        <v>4.2772839999999999</v>
      </c>
      <c r="E3979">
        <v>0.48521799999999998</v>
      </c>
      <c r="F3979" t="s">
        <v>61</v>
      </c>
      <c r="G3979">
        <v>-477.38780000000003</v>
      </c>
      <c r="H3979" s="1">
        <v>2.9855419999999999E-6</v>
      </c>
      <c r="I3979">
        <v>280.58539999999999</v>
      </c>
      <c r="J3979">
        <v>-459.74650000000003</v>
      </c>
      <c r="K3979">
        <v>1.1114539999999999</v>
      </c>
      <c r="L3979">
        <v>284.73750000000001</v>
      </c>
      <c r="M3979">
        <v>-0.99887420000000005</v>
      </c>
      <c r="N3979">
        <v>0</v>
      </c>
      <c r="O3979">
        <v>-4.5350260000000003E-2</v>
      </c>
      <c r="P3979">
        <v>-0.98035969999999995</v>
      </c>
      <c r="Q3979">
        <v>1.5907129999999998E-2</v>
      </c>
      <c r="R3979">
        <v>-0.19657649999999999</v>
      </c>
      <c r="S3979">
        <v>-2.925964</v>
      </c>
      <c r="T3979">
        <v>-0.18285100000000001</v>
      </c>
      <c r="U3979">
        <v>-0.68429569999999995</v>
      </c>
      <c r="V3979">
        <v>-0.15197859999999999</v>
      </c>
      <c r="W3979">
        <v>2.931015E-2</v>
      </c>
      <c r="X3979">
        <v>0.98794910000000002</v>
      </c>
      <c r="Y3979">
        <v>-0.18307380000000001</v>
      </c>
      <c r="Z3979">
        <v>-2.8493239999999999E-3</v>
      </c>
      <c r="AA3979">
        <v>0.98309500000000005</v>
      </c>
      <c r="AB3979">
        <v>25</v>
      </c>
      <c r="AC3979">
        <v>-17.641300000000001</v>
      </c>
      <c r="AD3979">
        <v>-1.1114510144580001</v>
      </c>
      <c r="AE3979">
        <v>-4.1521000000000097</v>
      </c>
      <c r="AF3979">
        <v>-3.3351686474417899</v>
      </c>
      <c r="AG3979">
        <v>-1.1114510144580001</v>
      </c>
      <c r="AH3979">
        <v>17.744725190670799</v>
      </c>
      <c r="AI3979">
        <v>93.522551982270301</v>
      </c>
      <c r="AJ3979">
        <v>100.644708981298</v>
      </c>
      <c r="AK3979">
        <v>18.0896087673793</v>
      </c>
      <c r="AL3979">
        <v>88.320411568012304</v>
      </c>
      <c r="AM3979">
        <v>98.745393513156799</v>
      </c>
      <c r="AN3979">
        <v>1.0000000019708899</v>
      </c>
    </row>
    <row r="3980" spans="1:40" x14ac:dyDescent="0.25">
      <c r="A3980" t="str">
        <f>"20190312150735577"</f>
        <v>20190312150735577</v>
      </c>
      <c r="B3980" t="str">
        <f>"1552374455573909"</f>
        <v>1552374455573909</v>
      </c>
      <c r="C3980" t="s">
        <v>40</v>
      </c>
      <c r="D3980">
        <v>4.2629979999999996</v>
      </c>
      <c r="E3980">
        <v>0.48116049999999999</v>
      </c>
      <c r="F3980" t="s">
        <v>61</v>
      </c>
      <c r="G3980">
        <v>-477.76659999999998</v>
      </c>
      <c r="H3980" s="1">
        <v>2.7949219999999999E-6</v>
      </c>
      <c r="I3980">
        <v>280.32679999999999</v>
      </c>
      <c r="J3980">
        <v>-459.99689999999998</v>
      </c>
      <c r="K3980">
        <v>1.1114539999999999</v>
      </c>
      <c r="L3980">
        <v>284.72449999999998</v>
      </c>
      <c r="M3980">
        <v>-0.99881019999999998</v>
      </c>
      <c r="N3980">
        <v>0</v>
      </c>
      <c r="O3980">
        <v>-4.6739030000000001E-2</v>
      </c>
      <c r="P3980">
        <v>-0.97997219999999996</v>
      </c>
      <c r="Q3980">
        <v>1.6027900000000001E-2</v>
      </c>
      <c r="R3980">
        <v>-0.1984892</v>
      </c>
      <c r="S3980">
        <v>-2.9197389999999999</v>
      </c>
      <c r="T3980">
        <v>-0.1800841</v>
      </c>
      <c r="U3980">
        <v>-0.71466059999999998</v>
      </c>
      <c r="V3980">
        <v>-0.15253340000000001</v>
      </c>
      <c r="W3980">
        <v>2.9426919999999999E-2</v>
      </c>
      <c r="X3980">
        <v>0.98786010000000002</v>
      </c>
      <c r="Y3980">
        <v>-0.19182769999999999</v>
      </c>
      <c r="Z3980">
        <v>-2.9906669999999998E-3</v>
      </c>
      <c r="AA3980">
        <v>0.98142399999999996</v>
      </c>
      <c r="AB3980">
        <v>25</v>
      </c>
      <c r="AC3980">
        <v>-17.7697</v>
      </c>
      <c r="AD3980">
        <v>-1.1114512050779899</v>
      </c>
      <c r="AE3980">
        <v>-4.39769999999998</v>
      </c>
      <c r="AF3980">
        <v>-3.54919022984356</v>
      </c>
      <c r="AG3980">
        <v>-1.1114512050779899</v>
      </c>
      <c r="AH3980">
        <v>17.889890984068298</v>
      </c>
      <c r="AI3980">
        <v>93.487272012443498</v>
      </c>
      <c r="AJ3980">
        <v>101.22125227398099</v>
      </c>
      <c r="AK3980">
        <v>18.2723910447083</v>
      </c>
      <c r="AL3980">
        <v>88.313718214716104</v>
      </c>
      <c r="AM3980">
        <v>98.777600911067907</v>
      </c>
      <c r="AN3980">
        <v>0.999999979454128</v>
      </c>
    </row>
    <row r="3981" spans="1:40" x14ac:dyDescent="0.25">
      <c r="A3981" t="str">
        <f>"20190312150735591"</f>
        <v>20190312150735591</v>
      </c>
      <c r="B3981" t="str">
        <f>"1552374455584175"</f>
        <v>1552374455584175</v>
      </c>
      <c r="C3981" t="s">
        <v>40</v>
      </c>
      <c r="D3981">
        <v>4.562792</v>
      </c>
      <c r="E3981">
        <v>0.4806993</v>
      </c>
      <c r="F3981" t="s">
        <v>61</v>
      </c>
      <c r="G3981">
        <v>-479.1216</v>
      </c>
      <c r="H3981" s="1">
        <v>2.146965E-6</v>
      </c>
      <c r="I3981">
        <v>279.78840000000002</v>
      </c>
      <c r="J3981">
        <v>-460.16160000000002</v>
      </c>
      <c r="K3981">
        <v>1.111456</v>
      </c>
      <c r="L3981">
        <v>284.7158</v>
      </c>
      <c r="M3981">
        <v>-0.99876699999999996</v>
      </c>
      <c r="N3981">
        <v>0</v>
      </c>
      <c r="O3981">
        <v>-4.765341E-2</v>
      </c>
      <c r="P3981">
        <v>-0.97975760000000001</v>
      </c>
      <c r="Q3981">
        <v>1.5933880000000001E-2</v>
      </c>
      <c r="R3981">
        <v>-0.19955149999999999</v>
      </c>
      <c r="S3981">
        <v>-2.911835</v>
      </c>
      <c r="T3981">
        <v>-0.1692234</v>
      </c>
      <c r="U3981">
        <v>-0.75155640000000001</v>
      </c>
      <c r="V3981">
        <v>-0.15270010000000001</v>
      </c>
      <c r="W3981">
        <v>2.9331110000000001E-2</v>
      </c>
      <c r="X3981">
        <v>0.98783719999999997</v>
      </c>
      <c r="Y3981">
        <v>-0.2032388</v>
      </c>
      <c r="Z3981">
        <v>-3.087846E-3</v>
      </c>
      <c r="AA3981">
        <v>0.97912429999999995</v>
      </c>
      <c r="AB3981">
        <v>25</v>
      </c>
      <c r="AC3981">
        <v>-18.959999999999901</v>
      </c>
      <c r="AD3981">
        <v>-1.111453853035</v>
      </c>
      <c r="AE3981">
        <v>-4.9273999999999702</v>
      </c>
      <c r="AF3981">
        <v>-4.0053117736745802</v>
      </c>
      <c r="AG3981">
        <v>-1.111453853035</v>
      </c>
      <c r="AH3981">
        <v>19.111765162738699</v>
      </c>
      <c r="AI3981">
        <v>93.257700302465295</v>
      </c>
      <c r="AJ3981">
        <v>101.836350367997</v>
      </c>
      <c r="AK3981">
        <v>19.558563845728401</v>
      </c>
      <c r="AL3981">
        <v>88.319210101930807</v>
      </c>
      <c r="AM3981">
        <v>98.787244625995797</v>
      </c>
      <c r="AN3981">
        <v>0.99999998412883995</v>
      </c>
    </row>
    <row r="3982" spans="1:40" x14ac:dyDescent="0.25">
      <c r="A3982" t="str">
        <f>"20190312150735603"</f>
        <v>20190312150735603</v>
      </c>
      <c r="B3982" t="str">
        <f>"1552374455593936"</f>
        <v>1552374455593936</v>
      </c>
      <c r="C3982" t="s">
        <v>40</v>
      </c>
      <c r="D3982">
        <v>4.3664269999999998</v>
      </c>
      <c r="E3982">
        <v>0.47975089999999998</v>
      </c>
      <c r="F3982" t="s">
        <v>61</v>
      </c>
      <c r="G3982">
        <v>-479.52409999999998</v>
      </c>
      <c r="H3982" s="1">
        <v>1.9583680000000001E-6</v>
      </c>
      <c r="I3982">
        <v>279.67270000000002</v>
      </c>
      <c r="J3982">
        <v>-460.30739999999997</v>
      </c>
      <c r="K3982">
        <v>1.1114580000000001</v>
      </c>
      <c r="L3982">
        <v>284.70800000000003</v>
      </c>
      <c r="M3982">
        <v>-0.99872810000000001</v>
      </c>
      <c r="N3982">
        <v>0</v>
      </c>
      <c r="O3982">
        <v>-4.8463609999999997E-2</v>
      </c>
      <c r="P3982">
        <v>-0.97948349999999995</v>
      </c>
      <c r="Q3982">
        <v>1.597252E-2</v>
      </c>
      <c r="R3982">
        <v>-0.2008905</v>
      </c>
      <c r="S3982">
        <v>-2.9103699999999999</v>
      </c>
      <c r="T3982">
        <v>-0.1670616</v>
      </c>
      <c r="U3982">
        <v>-0.75802609999999904</v>
      </c>
      <c r="V3982">
        <v>-0.1532492</v>
      </c>
      <c r="W3982">
        <v>2.9366389999999999E-2</v>
      </c>
      <c r="X3982">
        <v>0.98775109999999999</v>
      </c>
      <c r="Y3982">
        <v>-0.20460829999999999</v>
      </c>
      <c r="Z3982">
        <v>-3.0422449999999998E-3</v>
      </c>
      <c r="AA3982">
        <v>0.97883920000000002</v>
      </c>
      <c r="AB3982">
        <v>25</v>
      </c>
      <c r="AC3982">
        <v>-19.216699999999999</v>
      </c>
      <c r="AD3982">
        <v>-1.1114560416320001</v>
      </c>
      <c r="AE3982">
        <v>-5.0352999999999497</v>
      </c>
      <c r="AF3982">
        <v>-4.0851934223170003</v>
      </c>
      <c r="AG3982">
        <v>-1.1114560416320001</v>
      </c>
      <c r="AH3982">
        <v>19.377509730266699</v>
      </c>
      <c r="AI3982">
        <v>93.212318921779399</v>
      </c>
      <c r="AJ3982">
        <v>101.90484574358899</v>
      </c>
      <c r="AK3982">
        <v>19.834616789260199</v>
      </c>
      <c r="AL3982">
        <v>88.317187809963599</v>
      </c>
      <c r="AM3982">
        <v>98.819103823382505</v>
      </c>
      <c r="AN3982">
        <v>0.99999996885674003</v>
      </c>
    </row>
    <row r="3983" spans="1:40" x14ac:dyDescent="0.25">
      <c r="A3983" t="str">
        <f>"20190312150735616"</f>
        <v>20190312150735616</v>
      </c>
      <c r="B3983" t="str">
        <f>"1552374455603696"</f>
        <v>1552374455603696</v>
      </c>
      <c r="C3983" t="s">
        <v>40</v>
      </c>
      <c r="D3983">
        <v>4.7106949999999896</v>
      </c>
      <c r="E3983">
        <v>0.47953469999999998</v>
      </c>
      <c r="F3983" t="s">
        <v>61</v>
      </c>
      <c r="G3983">
        <v>-478.65710000000001</v>
      </c>
      <c r="H3983" s="1">
        <v>2.3583630000000002E-6</v>
      </c>
      <c r="I3983">
        <v>279.84989999999999</v>
      </c>
      <c r="J3983">
        <v>-460.44110000000001</v>
      </c>
      <c r="K3983">
        <v>1.1114580000000001</v>
      </c>
      <c r="L3983">
        <v>284.70069999999998</v>
      </c>
      <c r="M3983">
        <v>-0.99869160000000001</v>
      </c>
      <c r="N3983">
        <v>0</v>
      </c>
      <c r="O3983">
        <v>-4.9208740000000001E-2</v>
      </c>
      <c r="P3983">
        <v>-0.97925189999999995</v>
      </c>
      <c r="Q3983">
        <v>1.6110180000000002E-2</v>
      </c>
      <c r="R3983">
        <v>-0.20200509999999999</v>
      </c>
      <c r="S3983">
        <v>-2.9077760000000001</v>
      </c>
      <c r="T3983">
        <v>-0.17612620000000001</v>
      </c>
      <c r="U3983">
        <v>-0.76983639999999998</v>
      </c>
      <c r="V3983">
        <v>-0.15363669999999999</v>
      </c>
      <c r="W3983">
        <v>2.9500800000000001E-2</v>
      </c>
      <c r="X3983">
        <v>0.98768690000000003</v>
      </c>
      <c r="Y3983">
        <v>-0.20777799999999999</v>
      </c>
      <c r="Z3983">
        <v>-3.258375E-3</v>
      </c>
      <c r="AA3983">
        <v>0.9781706</v>
      </c>
      <c r="AB3983">
        <v>25</v>
      </c>
      <c r="AC3983">
        <v>-18.216000000000001</v>
      </c>
      <c r="AD3983">
        <v>-1.1114556416370001</v>
      </c>
      <c r="AE3983">
        <v>-4.8507999999999898</v>
      </c>
      <c r="AF3983">
        <v>-3.9347703431919001</v>
      </c>
      <c r="AG3983">
        <v>-1.1114556416370001</v>
      </c>
      <c r="AH3983">
        <v>18.368795704251099</v>
      </c>
      <c r="AI3983">
        <v>93.385992385760204</v>
      </c>
      <c r="AJ3983">
        <v>102.090581369077</v>
      </c>
      <c r="AK3983">
        <v>18.818352927966401</v>
      </c>
      <c r="AL3983">
        <v>88.309483352287103</v>
      </c>
      <c r="AM3983">
        <v>98.841617202802297</v>
      </c>
      <c r="AN3983">
        <v>0.99999997260956897</v>
      </c>
    </row>
    <row r="3984" spans="1:40" x14ac:dyDescent="0.25">
      <c r="A3984" t="str">
        <f>"20190312150735632"</f>
        <v>20190312150735632</v>
      </c>
      <c r="B3984" t="str">
        <f>"1552374455624192"</f>
        <v>1552374455624192</v>
      </c>
      <c r="C3984" t="s">
        <v>40</v>
      </c>
      <c r="D3984">
        <v>4.3930610000000003</v>
      </c>
      <c r="E3984">
        <v>0.47911399999999998</v>
      </c>
      <c r="F3984" t="s">
        <v>61</v>
      </c>
      <c r="G3984">
        <v>-479.02350000000001</v>
      </c>
      <c r="H3984" s="1">
        <v>2.1868599999999999E-6</v>
      </c>
      <c r="I3984">
        <v>279.74669999999998</v>
      </c>
      <c r="J3984">
        <v>-460.6241</v>
      </c>
      <c r="K3984">
        <v>1.111464</v>
      </c>
      <c r="L3984">
        <v>284.69049999999999</v>
      </c>
      <c r="M3984">
        <v>-0.99864059999999999</v>
      </c>
      <c r="N3984">
        <v>0</v>
      </c>
      <c r="O3984">
        <v>-5.0232829999999999E-2</v>
      </c>
      <c r="P3984">
        <v>-0.97877060000000005</v>
      </c>
      <c r="Q3984">
        <v>1.5923650000000001E-2</v>
      </c>
      <c r="R3984">
        <v>-0.2043393</v>
      </c>
      <c r="S3984">
        <v>-2.9065859999999999</v>
      </c>
      <c r="T3984">
        <v>-0.1738497</v>
      </c>
      <c r="U3984">
        <v>-0.7748718</v>
      </c>
      <c r="V3984">
        <v>-0.15497830000000001</v>
      </c>
      <c r="W3984">
        <v>2.930586E-2</v>
      </c>
      <c r="X3984">
        <v>0.98748309999999995</v>
      </c>
      <c r="Y3984">
        <v>-0.20846429999999999</v>
      </c>
      <c r="Z3984">
        <v>-3.1771820000000002E-3</v>
      </c>
      <c r="AA3984">
        <v>0.97802480000000003</v>
      </c>
      <c r="AB3984">
        <v>25</v>
      </c>
      <c r="AC3984">
        <v>-18.3994</v>
      </c>
      <c r="AD3984">
        <v>-1.11146181314</v>
      </c>
      <c r="AE3984">
        <v>-4.9438000000000004</v>
      </c>
      <c r="AF3984">
        <v>-3.9996019207404099</v>
      </c>
      <c r="AG3984">
        <v>-1.11146181314</v>
      </c>
      <c r="AH3984">
        <v>18.5613610638514</v>
      </c>
      <c r="AI3984">
        <v>93.350091125772906</v>
      </c>
      <c r="AJ3984">
        <v>102.160163964175</v>
      </c>
      <c r="AK3984">
        <v>19.0198918879451</v>
      </c>
      <c r="AL3984">
        <v>88.320657452167595</v>
      </c>
      <c r="AM3984">
        <v>98.919400009405905</v>
      </c>
      <c r="AN3984">
        <v>0.99999998984341898</v>
      </c>
    </row>
    <row r="3985" spans="1:40" x14ac:dyDescent="0.25">
      <c r="A3985" t="str">
        <f>"20190312150735647"</f>
        <v>20190312150735647</v>
      </c>
      <c r="B3985" t="str">
        <f>"1552374455643713"</f>
        <v>1552374455643713</v>
      </c>
      <c r="C3985" t="s">
        <v>40</v>
      </c>
      <c r="D3985">
        <v>4.2870629999999998</v>
      </c>
      <c r="E3985">
        <v>0.47871429999999998</v>
      </c>
      <c r="F3985" t="s">
        <v>61</v>
      </c>
      <c r="G3985">
        <v>-479.58600000000001</v>
      </c>
      <c r="H3985" s="1">
        <v>1.9192900000000001E-6</v>
      </c>
      <c r="I3985">
        <v>279.56560000000002</v>
      </c>
      <c r="J3985">
        <v>-460.78930000000003</v>
      </c>
      <c r="K3985">
        <v>1.1114649999999999</v>
      </c>
      <c r="L3985">
        <v>284.68119999999999</v>
      </c>
      <c r="M3985">
        <v>-0.99859350000000002</v>
      </c>
      <c r="N3985">
        <v>0</v>
      </c>
      <c r="O3985">
        <v>-5.1161470000000001E-2</v>
      </c>
      <c r="P3985">
        <v>-0.97844960000000003</v>
      </c>
      <c r="Q3985">
        <v>1.6013940000000001E-2</v>
      </c>
      <c r="R3985">
        <v>-0.20586370000000001</v>
      </c>
      <c r="S3985">
        <v>-2.9040219999999999</v>
      </c>
      <c r="T3985">
        <v>-0.17022109999999999</v>
      </c>
      <c r="U3985">
        <v>-0.78488159999999996</v>
      </c>
      <c r="V3985">
        <v>-0.15559890000000001</v>
      </c>
      <c r="W3985">
        <v>2.9390699999999999E-2</v>
      </c>
      <c r="X3985">
        <v>0.98738300000000001</v>
      </c>
      <c r="Y3985">
        <v>-0.21092169999999999</v>
      </c>
      <c r="Z3985">
        <v>-3.1298160000000001E-3</v>
      </c>
      <c r="AA3985">
        <v>0.97749790000000003</v>
      </c>
      <c r="AB3985">
        <v>25</v>
      </c>
      <c r="AC3985">
        <v>-18.796699999999898</v>
      </c>
      <c r="AD3985">
        <v>-1.1114630807100001</v>
      </c>
      <c r="AE3985">
        <v>-5.1155999999999704</v>
      </c>
      <c r="AF3985">
        <v>-4.1336829085564197</v>
      </c>
      <c r="AG3985">
        <v>-1.1114630807100001</v>
      </c>
      <c r="AH3985">
        <v>18.972065564136301</v>
      </c>
      <c r="AI3985">
        <v>93.276106534258702</v>
      </c>
      <c r="AJ3985">
        <v>102.29164969875301</v>
      </c>
      <c r="AK3985">
        <v>19.448957718555398</v>
      </c>
      <c r="AL3985">
        <v>88.315794417033402</v>
      </c>
      <c r="AM3985">
        <v>98.9554325835296</v>
      </c>
      <c r="AN3985">
        <v>1.0000000098083499</v>
      </c>
    </row>
    <row r="3986" spans="1:40" x14ac:dyDescent="0.25">
      <c r="A3986" t="str">
        <f>"20190312150735659"</f>
        <v>20190312150735659</v>
      </c>
      <c r="B3986" t="str">
        <f>"1552374455654448"</f>
        <v>1552374455654448</v>
      </c>
      <c r="C3986" t="s">
        <v>40</v>
      </c>
      <c r="D3986">
        <v>4.573671</v>
      </c>
      <c r="E3986">
        <v>0.47860609999999998</v>
      </c>
      <c r="F3986" t="s">
        <v>61</v>
      </c>
      <c r="G3986">
        <v>-479.84519999999998</v>
      </c>
      <c r="H3986" s="1">
        <v>1.7915680000000001E-6</v>
      </c>
      <c r="I3986">
        <v>279.4776</v>
      </c>
      <c r="J3986">
        <v>-460.92669999999998</v>
      </c>
      <c r="K3986">
        <v>1.1114679999999999</v>
      </c>
      <c r="L3986">
        <v>284.67320000000001</v>
      </c>
      <c r="M3986">
        <v>-0.99855340000000004</v>
      </c>
      <c r="N3986">
        <v>0</v>
      </c>
      <c r="O3986">
        <v>-5.1940779999999999E-2</v>
      </c>
      <c r="P3986">
        <v>-0.97811539999999997</v>
      </c>
      <c r="Q3986">
        <v>1.5942850000000001E-2</v>
      </c>
      <c r="R3986">
        <v>-0.20745230000000001</v>
      </c>
      <c r="S3986">
        <v>-2.9021300000000001</v>
      </c>
      <c r="T3986">
        <v>-0.16927110000000001</v>
      </c>
      <c r="U3986">
        <v>-0.79248050000000003</v>
      </c>
      <c r="V3986">
        <v>-0.15643209999999999</v>
      </c>
      <c r="W3986">
        <v>2.9312999999999999E-2</v>
      </c>
      <c r="X3986">
        <v>0.98725359999999995</v>
      </c>
      <c r="Y3986">
        <v>-0.2127037</v>
      </c>
      <c r="Z3986">
        <v>-3.11992E-3</v>
      </c>
      <c r="AA3986">
        <v>0.97711179999999997</v>
      </c>
      <c r="AB3986">
        <v>25</v>
      </c>
      <c r="AC3986">
        <v>-18.918499999999899</v>
      </c>
      <c r="AD3986">
        <v>-1.1114662084319999</v>
      </c>
      <c r="AE3986">
        <v>-5.1956000000000104</v>
      </c>
      <c r="AF3986">
        <v>-4.1923932611795003</v>
      </c>
      <c r="AG3986">
        <v>-1.1114662084319999</v>
      </c>
      <c r="AH3986">
        <v>19.1015410400327</v>
      </c>
      <c r="AI3986">
        <v>93.252875373968706</v>
      </c>
      <c r="AJ3986">
        <v>102.378959966107</v>
      </c>
      <c r="AK3986">
        <v>19.587761191441</v>
      </c>
      <c r="AL3986">
        <v>88.320248138184894</v>
      </c>
      <c r="AM3986">
        <v>99.003764374259205</v>
      </c>
      <c r="AN3986">
        <v>0.99999996229618404</v>
      </c>
    </row>
    <row r="3987" spans="1:40" x14ac:dyDescent="0.25">
      <c r="A3987" t="str">
        <f>"20190312150735671"</f>
        <v>20190312150735671</v>
      </c>
      <c r="B3987" t="str">
        <f>"1552374455664208"</f>
        <v>1552374455664208</v>
      </c>
      <c r="C3987" t="s">
        <v>40</v>
      </c>
      <c r="D3987">
        <v>4.4742030000000002</v>
      </c>
      <c r="E3987">
        <v>0.47849229999999998</v>
      </c>
      <c r="F3987" t="s">
        <v>61</v>
      </c>
      <c r="G3987">
        <v>-480.12349999999998</v>
      </c>
      <c r="H3987" s="1">
        <v>1.736309E-6</v>
      </c>
      <c r="I3987">
        <v>279.39179999999999</v>
      </c>
      <c r="J3987">
        <v>-461.0591</v>
      </c>
      <c r="K3987">
        <v>1.1114740000000001</v>
      </c>
      <c r="L3987">
        <v>284.66559999999998</v>
      </c>
      <c r="M3987">
        <v>-0.99851380000000001</v>
      </c>
      <c r="N3987">
        <v>0</v>
      </c>
      <c r="O3987">
        <v>-5.2696029999999998E-2</v>
      </c>
      <c r="P3987">
        <v>-0.97788719999999996</v>
      </c>
      <c r="Q3987">
        <v>1.5875839999999999E-2</v>
      </c>
      <c r="R3987">
        <v>-0.2085301</v>
      </c>
      <c r="S3987">
        <v>-2.9005740000000002</v>
      </c>
      <c r="T3987">
        <v>-0.16793910000000001</v>
      </c>
      <c r="U3987">
        <v>-0.79800419999999905</v>
      </c>
      <c r="V3987">
        <v>-0.15677369999999999</v>
      </c>
      <c r="W3987">
        <v>2.9241030000000001E-2</v>
      </c>
      <c r="X3987">
        <v>0.98720160000000001</v>
      </c>
      <c r="Y3987">
        <v>-0.21383170000000001</v>
      </c>
      <c r="Z3987">
        <v>-3.085609E-3</v>
      </c>
      <c r="AA3987">
        <v>0.9768656</v>
      </c>
      <c r="AB3987">
        <v>25</v>
      </c>
      <c r="AC3987">
        <v>-19.0643999999999</v>
      </c>
      <c r="AD3987">
        <v>-1.1114722636909999</v>
      </c>
      <c r="AE3987">
        <v>-5.2737999999999898</v>
      </c>
      <c r="AF3987">
        <v>-4.2483422086863998</v>
      </c>
      <c r="AG3987">
        <v>-1.1114722636909999</v>
      </c>
      <c r="AH3987">
        <v>19.255046445839898</v>
      </c>
      <c r="AI3987">
        <v>93.226234113334698</v>
      </c>
      <c r="AJ3987">
        <v>102.44213137528401</v>
      </c>
      <c r="AK3987">
        <v>19.749445454151701</v>
      </c>
      <c r="AL3987">
        <v>88.324373572223607</v>
      </c>
      <c r="AM3987">
        <v>99.023570185011195</v>
      </c>
      <c r="AN3987">
        <v>1.00000001494485</v>
      </c>
    </row>
    <row r="3988" spans="1:40" x14ac:dyDescent="0.25">
      <c r="A3988" t="str">
        <f>"20190312150735682"</f>
        <v>20190312150735682</v>
      </c>
      <c r="B3988" t="str">
        <f>"1552374455673969"</f>
        <v>1552374455673969</v>
      </c>
      <c r="C3988" t="s">
        <v>40</v>
      </c>
      <c r="D3988">
        <v>4.4996960000000001</v>
      </c>
      <c r="E3988">
        <v>0.47844110000000001</v>
      </c>
      <c r="F3988" t="s">
        <v>61</v>
      </c>
      <c r="G3988">
        <v>-480.29340000000002</v>
      </c>
      <c r="H3988" s="1">
        <v>1.7431610000000001E-6</v>
      </c>
      <c r="I3988">
        <v>279.34519999999998</v>
      </c>
      <c r="J3988">
        <v>-461.19779999999997</v>
      </c>
      <c r="K3988">
        <v>1.11148</v>
      </c>
      <c r="L3988">
        <v>284.6574</v>
      </c>
      <c r="M3988">
        <v>-0.99847160000000001</v>
      </c>
      <c r="N3988">
        <v>0</v>
      </c>
      <c r="O3988">
        <v>-5.3492070000000003E-2</v>
      </c>
      <c r="P3988">
        <v>-0.97762990000000005</v>
      </c>
      <c r="Q3988">
        <v>1.57488E-2</v>
      </c>
      <c r="R3988">
        <v>-0.2097427</v>
      </c>
      <c r="S3988">
        <v>-2.8995359999999999</v>
      </c>
      <c r="T3988">
        <v>-0.16755249999999999</v>
      </c>
      <c r="U3988">
        <v>-0.80203250000000004</v>
      </c>
      <c r="V3988">
        <v>-0.1572112</v>
      </c>
      <c r="W3988">
        <v>2.9108519999999999E-2</v>
      </c>
      <c r="X3988">
        <v>0.98713589999999996</v>
      </c>
      <c r="Y3988">
        <v>-0.21440490000000001</v>
      </c>
      <c r="Z3988">
        <v>-3.050381E-3</v>
      </c>
      <c r="AA3988">
        <v>0.9767401</v>
      </c>
      <c r="AB3988">
        <v>25</v>
      </c>
      <c r="AC3988">
        <v>-19.095600000000001</v>
      </c>
      <c r="AD3988">
        <v>-1.111478256839</v>
      </c>
      <c r="AE3988">
        <v>-5.3122000000000096</v>
      </c>
      <c r="AF3988">
        <v>-4.2696050155659302</v>
      </c>
      <c r="AG3988">
        <v>-1.111478256839</v>
      </c>
      <c r="AH3988">
        <v>19.291778533780398</v>
      </c>
      <c r="AI3988">
        <v>93.219659798372106</v>
      </c>
      <c r="AJ3988">
        <v>102.479391864132</v>
      </c>
      <c r="AK3988">
        <v>19.7898365304214</v>
      </c>
      <c r="AL3988">
        <v>88.331969004430206</v>
      </c>
      <c r="AM3988">
        <v>99.048928005573202</v>
      </c>
      <c r="AN3988">
        <v>0.99999997620541903</v>
      </c>
    </row>
    <row r="3989" spans="1:40" x14ac:dyDescent="0.25">
      <c r="A3989" t="str">
        <f>"20190312150735695"</f>
        <v>20190312150735695</v>
      </c>
      <c r="B3989" t="str">
        <f>"1552374455683729"</f>
        <v>1552374455683729</v>
      </c>
      <c r="C3989" t="s">
        <v>40</v>
      </c>
      <c r="D3989">
        <v>4.2766640000000002</v>
      </c>
      <c r="E3989">
        <v>0.47837679999999999</v>
      </c>
      <c r="F3989" t="s">
        <v>61</v>
      </c>
      <c r="G3989">
        <v>-480.46019999999999</v>
      </c>
      <c r="H3989" s="1">
        <v>1.750191E-6</v>
      </c>
      <c r="I3989">
        <v>279.30110000000002</v>
      </c>
      <c r="J3989">
        <v>-461.32909999999998</v>
      </c>
      <c r="K3989">
        <v>1.1114869999999999</v>
      </c>
      <c r="L3989">
        <v>284.64949999999999</v>
      </c>
      <c r="M3989">
        <v>-0.99843000000000004</v>
      </c>
      <c r="N3989">
        <v>0</v>
      </c>
      <c r="O3989">
        <v>-5.425907E-2</v>
      </c>
      <c r="P3989">
        <v>-0.97734650000000001</v>
      </c>
      <c r="Q3989">
        <v>1.562478E-2</v>
      </c>
      <c r="R3989">
        <v>-0.21106759999999999</v>
      </c>
      <c r="S3989">
        <v>-2.8984380000000001</v>
      </c>
      <c r="T3989">
        <v>-0.16724530000000001</v>
      </c>
      <c r="U3989">
        <v>-0.80596919999999905</v>
      </c>
      <c r="V3989">
        <v>-0.15779119999999999</v>
      </c>
      <c r="W3989">
        <v>2.8976979999999999E-2</v>
      </c>
      <c r="X3989">
        <v>0.98704729999999996</v>
      </c>
      <c r="Y3989">
        <v>-0.2149827</v>
      </c>
      <c r="Z3989">
        <v>-3.0185429999999998E-3</v>
      </c>
      <c r="AA3989">
        <v>0.97661319999999996</v>
      </c>
      <c r="AB3989">
        <v>25</v>
      </c>
      <c r="AC3989">
        <v>-19.1311</v>
      </c>
      <c r="AD3989">
        <v>-1.111485249809</v>
      </c>
      <c r="AE3989">
        <v>-5.3483999999999696</v>
      </c>
      <c r="AF3989">
        <v>-4.28895600854149</v>
      </c>
      <c r="AG3989">
        <v>-1.111485249809</v>
      </c>
      <c r="AH3989">
        <v>19.3326144652887</v>
      </c>
      <c r="AI3989">
        <v>93.2125321685796</v>
      </c>
      <c r="AJ3989">
        <v>102.508526710274</v>
      </c>
      <c r="AK3989">
        <v>19.833822757280998</v>
      </c>
      <c r="AL3989">
        <v>88.339508995063497</v>
      </c>
      <c r="AM3989">
        <v>99.0825584994477</v>
      </c>
      <c r="AN3989">
        <v>1.0000000503023201</v>
      </c>
    </row>
    <row r="3990" spans="1:40" x14ac:dyDescent="0.25">
      <c r="A3990" t="str">
        <f>"20190312150735711"</f>
        <v>20190312150735711</v>
      </c>
      <c r="B3990" t="str">
        <f>"1552374455704228"</f>
        <v>1552374455704228</v>
      </c>
      <c r="C3990" t="s">
        <v>40</v>
      </c>
      <c r="D3990">
        <v>4.2639519999999997</v>
      </c>
      <c r="E3990">
        <v>0.47825580000000001</v>
      </c>
      <c r="F3990" t="s">
        <v>61</v>
      </c>
      <c r="G3990">
        <v>-480.61320000000001</v>
      </c>
      <c r="H3990" s="1">
        <v>1.7557409999999901E-6</v>
      </c>
      <c r="I3990">
        <v>279.25560000000002</v>
      </c>
      <c r="J3990">
        <v>-461.505</v>
      </c>
      <c r="K3990">
        <v>1.111502</v>
      </c>
      <c r="L3990">
        <v>284.6388</v>
      </c>
      <c r="M3990">
        <v>-0.99837290000000001</v>
      </c>
      <c r="N3990">
        <v>0</v>
      </c>
      <c r="O3990">
        <v>-5.529999E-2</v>
      </c>
      <c r="P3990">
        <v>-0.97695080000000001</v>
      </c>
      <c r="Q3990">
        <v>1.5436470000000001E-2</v>
      </c>
      <c r="R3990">
        <v>-0.21290629999999999</v>
      </c>
      <c r="S3990">
        <v>-2.897186</v>
      </c>
      <c r="T3990">
        <v>-0.166986299999999</v>
      </c>
      <c r="U3990">
        <v>-0.81036379999999997</v>
      </c>
      <c r="V3990">
        <v>-0.15861989999999901</v>
      </c>
      <c r="W3990">
        <v>2.877774E-2</v>
      </c>
      <c r="X3990">
        <v>0.98692020000000003</v>
      </c>
      <c r="Y3990">
        <v>-0.21544940000000001</v>
      </c>
      <c r="Z3990">
        <v>-2.9692049999999999E-3</v>
      </c>
      <c r="AA3990">
        <v>0.97651049999999995</v>
      </c>
      <c r="AB3990">
        <v>25</v>
      </c>
      <c r="AC3990">
        <v>-19.1082</v>
      </c>
      <c r="AD3990">
        <v>-1.1115002442590001</v>
      </c>
      <c r="AE3990">
        <v>-5.38319999999998</v>
      </c>
      <c r="AF3990">
        <v>-4.3046811221638102</v>
      </c>
      <c r="AG3990">
        <v>-1.1115002442590001</v>
      </c>
      <c r="AH3990">
        <v>19.316122138638999</v>
      </c>
      <c r="AI3990">
        <v>93.214630460428097</v>
      </c>
      <c r="AJ3990">
        <v>102.56331491181101</v>
      </c>
      <c r="AK3990">
        <v>19.821157555282198</v>
      </c>
      <c r="AL3990">
        <v>88.350929212927397</v>
      </c>
      <c r="AM3990">
        <v>99.130613665557505</v>
      </c>
      <c r="AN3990">
        <v>0.99999995608177705</v>
      </c>
    </row>
    <row r="3991" spans="1:40" x14ac:dyDescent="0.25">
      <c r="A3991" t="str">
        <f>"20190312150735721"</f>
        <v>20190312150735721</v>
      </c>
      <c r="B3991" t="str">
        <f>"1552374455713984"</f>
        <v>1552374455713984</v>
      </c>
      <c r="C3991" t="s">
        <v>40</v>
      </c>
      <c r="D3991">
        <v>4.2847210000000002</v>
      </c>
      <c r="E3991">
        <v>0.4782187</v>
      </c>
      <c r="F3991" t="s">
        <v>61</v>
      </c>
      <c r="G3991">
        <v>-480.71969999999999</v>
      </c>
      <c r="H3991" s="1">
        <v>1.758938E-6</v>
      </c>
      <c r="I3991">
        <v>279.2201</v>
      </c>
      <c r="J3991">
        <v>-461.63839999999999</v>
      </c>
      <c r="K3991">
        <v>1.111513</v>
      </c>
      <c r="L3991">
        <v>284.63060000000002</v>
      </c>
      <c r="M3991">
        <v>-0.99832829999999995</v>
      </c>
      <c r="N3991">
        <v>0</v>
      </c>
      <c r="O3991">
        <v>-5.6102260000000001E-2</v>
      </c>
      <c r="P3991">
        <v>-0.97673900000000002</v>
      </c>
      <c r="Q3991">
        <v>1.561072E-2</v>
      </c>
      <c r="R3991">
        <v>-0.21386289999999999</v>
      </c>
      <c r="S3991">
        <v>-2.895508</v>
      </c>
      <c r="T3991">
        <v>-0.1674948</v>
      </c>
      <c r="U3991">
        <v>-0.81655880000000003</v>
      </c>
      <c r="V3991">
        <v>-0.15879470000000001</v>
      </c>
      <c r="W3991">
        <v>2.8945039999999998E-2</v>
      </c>
      <c r="X3991">
        <v>0.98688719999999996</v>
      </c>
      <c r="Y3991">
        <v>-0.21674550000000001</v>
      </c>
      <c r="Z3991">
        <v>-2.9705740000000001E-3</v>
      </c>
      <c r="AA3991">
        <v>0.97622359999999997</v>
      </c>
      <c r="AB3991">
        <v>25</v>
      </c>
      <c r="AC3991">
        <v>-19.081299999999999</v>
      </c>
      <c r="AD3991">
        <v>-1.1115112410620001</v>
      </c>
      <c r="AE3991">
        <v>-5.4105000000000096</v>
      </c>
      <c r="AF3991">
        <v>-4.3178085591850399</v>
      </c>
      <c r="AG3991">
        <v>-1.1115112410620001</v>
      </c>
      <c r="AH3991">
        <v>19.294214852363599</v>
      </c>
      <c r="AI3991">
        <v>93.217666975773099</v>
      </c>
      <c r="AJ3991">
        <v>102.614255315081</v>
      </c>
      <c r="AK3991">
        <v>19.802667869808499</v>
      </c>
      <c r="AL3991">
        <v>88.341339638307502</v>
      </c>
      <c r="AM3991">
        <v>99.140806373255501</v>
      </c>
      <c r="AN3991">
        <v>0.99999995880626402</v>
      </c>
    </row>
    <row r="3992" spans="1:40" x14ac:dyDescent="0.25">
      <c r="A3992" t="str">
        <f>"20190312150735734"</f>
        <v>20190312150735734</v>
      </c>
      <c r="B3992" t="str">
        <f>"1552374455723744"</f>
        <v>1552374455723744</v>
      </c>
      <c r="C3992" t="s">
        <v>40</v>
      </c>
      <c r="D3992">
        <v>4.286009</v>
      </c>
      <c r="E3992">
        <v>0.47811290000000001</v>
      </c>
      <c r="F3992" t="s">
        <v>61</v>
      </c>
      <c r="G3992">
        <v>-480.95549999999997</v>
      </c>
      <c r="H3992" s="1">
        <v>1.776928E-6</v>
      </c>
      <c r="I3992">
        <v>279.16030000000001</v>
      </c>
      <c r="J3992">
        <v>-461.7724</v>
      </c>
      <c r="K3992">
        <v>1.1115299999999999</v>
      </c>
      <c r="L3992">
        <v>284.62220000000002</v>
      </c>
      <c r="M3992">
        <v>-0.99828150000000004</v>
      </c>
      <c r="N3992">
        <v>0</v>
      </c>
      <c r="O3992">
        <v>-5.6926989999999997E-2</v>
      </c>
      <c r="P3992">
        <v>-0.97649070000000004</v>
      </c>
      <c r="Q3992">
        <v>1.540975E-2</v>
      </c>
      <c r="R3992">
        <v>-0.2150077</v>
      </c>
      <c r="S3992">
        <v>-2.8946230000000002</v>
      </c>
      <c r="T3992">
        <v>-0.16655719999999999</v>
      </c>
      <c r="U3992">
        <v>-0.81970209999999999</v>
      </c>
      <c r="V3992">
        <v>-0.15913679999999999</v>
      </c>
      <c r="W3992">
        <v>2.8735320000000002E-2</v>
      </c>
      <c r="X3992">
        <v>0.98683829999999995</v>
      </c>
      <c r="Y3992">
        <v>-0.21700220000000001</v>
      </c>
      <c r="Z3992">
        <v>-2.915403E-3</v>
      </c>
      <c r="AA3992">
        <v>0.97616670000000005</v>
      </c>
      <c r="AB3992">
        <v>25</v>
      </c>
      <c r="AC3992">
        <v>-19.1830999999999</v>
      </c>
      <c r="AD3992">
        <v>-1.1115282230719901</v>
      </c>
      <c r="AE3992">
        <v>-5.4619000000000097</v>
      </c>
      <c r="AF3992">
        <v>-4.3473977958924701</v>
      </c>
      <c r="AG3992">
        <v>-1.1115282230719901</v>
      </c>
      <c r="AH3992">
        <v>19.402687523900401</v>
      </c>
      <c r="AI3992">
        <v>93.199578066672103</v>
      </c>
      <c r="AJ3992">
        <v>102.62919926868901</v>
      </c>
      <c r="AK3992">
        <v>19.914809708770399</v>
      </c>
      <c r="AL3992">
        <v>88.353360835604903</v>
      </c>
      <c r="AM3992">
        <v>99.160611616003195</v>
      </c>
      <c r="AN3992">
        <v>1.00000003503831</v>
      </c>
    </row>
    <row r="3993" spans="1:40" x14ac:dyDescent="0.25">
      <c r="A3993" t="str">
        <f>"20190312150735755"</f>
        <v>20190312150735755</v>
      </c>
      <c r="B3993" t="str">
        <f>"1552374455744240"</f>
        <v>1552374455744240</v>
      </c>
      <c r="C3993" t="s">
        <v>40</v>
      </c>
      <c r="D3993">
        <v>4.2778109999999998</v>
      </c>
      <c r="E3993">
        <v>0.47798940000000001</v>
      </c>
      <c r="F3993" t="s">
        <v>61</v>
      </c>
      <c r="G3993">
        <v>-480.91770000000002</v>
      </c>
      <c r="H3993" s="1">
        <v>1.7745140000000001E-6</v>
      </c>
      <c r="I3993">
        <v>279.17250000000001</v>
      </c>
      <c r="J3993">
        <v>-462.00529999999998</v>
      </c>
      <c r="K3993">
        <v>1.1115619999999999</v>
      </c>
      <c r="L3993">
        <v>284.60719999999998</v>
      </c>
      <c r="M3993">
        <v>-0.998197</v>
      </c>
      <c r="N3993">
        <v>0</v>
      </c>
      <c r="O3993">
        <v>-5.8393599999999997E-2</v>
      </c>
      <c r="P3993">
        <v>-0.97597650000000002</v>
      </c>
      <c r="Q3993">
        <v>1.4779520000000001E-2</v>
      </c>
      <c r="R3993">
        <v>-0.2173756</v>
      </c>
      <c r="S3993">
        <v>-2.8935240000000002</v>
      </c>
      <c r="T3993">
        <v>-0.16799059999999999</v>
      </c>
      <c r="U3993">
        <v>-0.82363889999999995</v>
      </c>
      <c r="V3993">
        <v>-0.16008129999999901</v>
      </c>
      <c r="W3993">
        <v>2.8086610000000001E-2</v>
      </c>
      <c r="X3993">
        <v>0.98670420000000003</v>
      </c>
      <c r="Y3993">
        <v>-0.21689249999999999</v>
      </c>
      <c r="Z3993">
        <v>-2.8549090000000001E-3</v>
      </c>
      <c r="AA3993">
        <v>0.97619129999999998</v>
      </c>
      <c r="AB3993">
        <v>25</v>
      </c>
      <c r="AC3993">
        <v>-18.912400000000002</v>
      </c>
      <c r="AD3993">
        <v>-1.111560225486</v>
      </c>
      <c r="AE3993">
        <v>-5.4346999999999603</v>
      </c>
      <c r="AF3993">
        <v>-4.3072110652293301</v>
      </c>
      <c r="AG3993">
        <v>-1.111560225486</v>
      </c>
      <c r="AH3993">
        <v>19.136442094188801</v>
      </c>
      <c r="AI3993">
        <v>93.243388584196893</v>
      </c>
      <c r="AJ3993">
        <v>102.684691152921</v>
      </c>
      <c r="AK3993">
        <v>19.646654914248298</v>
      </c>
      <c r="AL3993">
        <v>88.390544180734096</v>
      </c>
      <c r="AM3993">
        <v>99.215282068544596</v>
      </c>
      <c r="AN3993">
        <v>1.0000000292843101</v>
      </c>
    </row>
    <row r="3994" spans="1:40" x14ac:dyDescent="0.25">
      <c r="A3994" t="str">
        <f>"20190312150735778"</f>
        <v>20190312150735778</v>
      </c>
      <c r="B3994" t="str">
        <f>"1552374455774496"</f>
        <v>1552374455774496</v>
      </c>
      <c r="C3994" t="s">
        <v>40</v>
      </c>
      <c r="D3994">
        <v>4.2723519999999997</v>
      </c>
      <c r="E3994">
        <v>0.47797020000000001</v>
      </c>
      <c r="F3994" t="s">
        <v>61</v>
      </c>
      <c r="G3994">
        <v>-481.02600000000001</v>
      </c>
      <c r="H3994" s="1">
        <v>1.7811139999999999E-6</v>
      </c>
      <c r="I3994">
        <v>279.13679999999999</v>
      </c>
      <c r="J3994">
        <v>-462.25889999999998</v>
      </c>
      <c r="K3994">
        <v>1.111599</v>
      </c>
      <c r="L3994">
        <v>284.59050000000002</v>
      </c>
      <c r="M3994">
        <v>-0.99809870000000001</v>
      </c>
      <c r="N3994">
        <v>0</v>
      </c>
      <c r="O3994">
        <v>-6.0050729999999997E-2</v>
      </c>
      <c r="P3994">
        <v>-0.97542609999999996</v>
      </c>
      <c r="Q3994">
        <v>1.4619709999999999E-2</v>
      </c>
      <c r="R3994">
        <v>-0.21984229999999999</v>
      </c>
      <c r="S3994">
        <v>-2.8911739999999999</v>
      </c>
      <c r="T3994">
        <v>-0.16895829999999901</v>
      </c>
      <c r="U3994">
        <v>-0.83151249999999999</v>
      </c>
      <c r="V3994">
        <v>-0.16093979999999999</v>
      </c>
      <c r="W3994">
        <v>2.790548E-2</v>
      </c>
      <c r="X3994">
        <v>0.98656960000000005</v>
      </c>
      <c r="Y3994">
        <v>-0.21793580000000001</v>
      </c>
      <c r="Z3994">
        <v>-2.8081080000000001E-3</v>
      </c>
      <c r="AA3994">
        <v>0.97595909999999997</v>
      </c>
      <c r="AB3994">
        <v>25</v>
      </c>
      <c r="AC3994">
        <v>-18.767099999999999</v>
      </c>
      <c r="AD3994">
        <v>-1.1115972188859999</v>
      </c>
      <c r="AE3994">
        <v>-5.45370000000002</v>
      </c>
      <c r="AF3994">
        <v>-4.3028489048893999</v>
      </c>
      <c r="AG3994">
        <v>-1.1115972188859999</v>
      </c>
      <c r="AH3994">
        <v>18.999290028344799</v>
      </c>
      <c r="AI3994">
        <v>93.265883017342702</v>
      </c>
      <c r="AJ3994">
        <v>102.76075318457001</v>
      </c>
      <c r="AK3994">
        <v>19.512129013936502</v>
      </c>
      <c r="AL3994">
        <v>88.400926116129</v>
      </c>
      <c r="AM3994">
        <v>99.265090090568805</v>
      </c>
      <c r="AN3994">
        <v>0.99999995534111397</v>
      </c>
    </row>
    <row r="3995" spans="1:40" x14ac:dyDescent="0.25">
      <c r="A3995" t="str">
        <f>"20190312150735792"</f>
        <v>20190312150735792</v>
      </c>
      <c r="B3995" t="str">
        <f>"1552374455783787"</f>
        <v>1552374455783787</v>
      </c>
      <c r="C3995" t="s">
        <v>40</v>
      </c>
      <c r="D3995">
        <v>4.6603649999999996</v>
      </c>
      <c r="E3995">
        <v>0.47793849999999999</v>
      </c>
      <c r="F3995" t="s">
        <v>61</v>
      </c>
      <c r="G3995">
        <v>-480.77969999999999</v>
      </c>
      <c r="H3995" s="1">
        <v>1.7639189999999899E-6</v>
      </c>
      <c r="I3995">
        <v>279.21170000000001</v>
      </c>
      <c r="J3995">
        <v>-462.41320000000002</v>
      </c>
      <c r="K3995">
        <v>1.1116299999999999</v>
      </c>
      <c r="L3995">
        <v>284.58</v>
      </c>
      <c r="M3995">
        <v>-0.99803529999999996</v>
      </c>
      <c r="N3995">
        <v>0</v>
      </c>
      <c r="O3995">
        <v>-6.1092380000000002E-2</v>
      </c>
      <c r="P3995">
        <v>-0.97512480000000001</v>
      </c>
      <c r="Q3995">
        <v>1.449578E-2</v>
      </c>
      <c r="R3995">
        <v>-0.22118199999999999</v>
      </c>
      <c r="S3995">
        <v>-2.8890380000000002</v>
      </c>
      <c r="T3995">
        <v>-0.17339649999999901</v>
      </c>
      <c r="U3995">
        <v>-0.83901979999999998</v>
      </c>
      <c r="V3995">
        <v>-0.1612664</v>
      </c>
      <c r="W3995">
        <v>2.7769160000000001E-2</v>
      </c>
      <c r="X3995">
        <v>0.98652019999999996</v>
      </c>
      <c r="Y3995">
        <v>-0.2194352</v>
      </c>
      <c r="Z3995">
        <v>-2.866029E-3</v>
      </c>
      <c r="AA3995">
        <v>0.97562289999999996</v>
      </c>
      <c r="AB3995">
        <v>25</v>
      </c>
      <c r="AC3995">
        <v>-18.366499999999899</v>
      </c>
      <c r="AD3995">
        <v>-1.1116282360809999</v>
      </c>
      <c r="AE3995">
        <v>-5.3682999999999703</v>
      </c>
      <c r="AF3995">
        <v>-4.2218606120783999</v>
      </c>
      <c r="AG3995">
        <v>-1.1116282360809999</v>
      </c>
      <c r="AH3995">
        <v>18.597415969056499</v>
      </c>
      <c r="AI3995">
        <v>93.336004078665795</v>
      </c>
      <c r="AJ3995">
        <v>102.79013078407201</v>
      </c>
      <c r="AK3995">
        <v>19.1029763411148</v>
      </c>
      <c r="AL3995">
        <v>88.408739842328799</v>
      </c>
      <c r="AM3995">
        <v>99.284021768568707</v>
      </c>
      <c r="AN3995">
        <v>1.00000004151205</v>
      </c>
    </row>
    <row r="3996" spans="1:40" x14ac:dyDescent="0.25">
      <c r="A3996" t="str">
        <f>"20190312150735805"</f>
        <v>20190312150735805</v>
      </c>
      <c r="B3996" t="str">
        <f>"1552374455794523"</f>
        <v>1552374455794523</v>
      </c>
      <c r="C3996" t="s">
        <v>40</v>
      </c>
      <c r="D3996">
        <v>4.7657569999999998</v>
      </c>
      <c r="E3996">
        <v>0.47789330000000002</v>
      </c>
      <c r="F3996" t="s">
        <v>61</v>
      </c>
      <c r="G3996">
        <v>-480.92860000000002</v>
      </c>
      <c r="H3996" s="1">
        <v>1.7764519999999901E-6</v>
      </c>
      <c r="I3996">
        <v>279.17250000000001</v>
      </c>
      <c r="J3996">
        <v>-462.55380000000002</v>
      </c>
      <c r="K3996">
        <v>1.111656</v>
      </c>
      <c r="L3996">
        <v>284.57040000000001</v>
      </c>
      <c r="M3996">
        <v>-0.99797579999999997</v>
      </c>
      <c r="N3996">
        <v>0</v>
      </c>
      <c r="O3996">
        <v>-6.2057580000000001E-2</v>
      </c>
      <c r="P3996">
        <v>-0.97475389999999995</v>
      </c>
      <c r="Q3996">
        <v>1.4075870000000001E-2</v>
      </c>
      <c r="R3996">
        <v>-0.22283810000000001</v>
      </c>
      <c r="S3996">
        <v>-2.8878170000000001</v>
      </c>
      <c r="T3996">
        <v>-0.173378799999999</v>
      </c>
      <c r="U3996">
        <v>-0.84341429999999995</v>
      </c>
      <c r="V3996">
        <v>-0.16198889999999999</v>
      </c>
      <c r="W3996">
        <v>2.7335399999999999E-2</v>
      </c>
      <c r="X3996">
        <v>0.98641389999999995</v>
      </c>
      <c r="Y3996">
        <v>-0.21997130000000001</v>
      </c>
      <c r="Z3996">
        <v>-2.825705E-3</v>
      </c>
      <c r="AA3996">
        <v>0.97550230000000004</v>
      </c>
      <c r="AB3996">
        <v>25</v>
      </c>
      <c r="AC3996">
        <v>-18.3748</v>
      </c>
      <c r="AD3996">
        <v>-1.111654223548</v>
      </c>
      <c r="AE3996">
        <v>-5.3978999999999902</v>
      </c>
      <c r="AF3996">
        <v>-4.2328263180596197</v>
      </c>
      <c r="AG3996">
        <v>-1.111654223548</v>
      </c>
      <c r="AH3996">
        <v>18.611680900631399</v>
      </c>
      <c r="AI3996">
        <v>93.3332323608048</v>
      </c>
      <c r="AJ3996">
        <v>102.81275150464801</v>
      </c>
      <c r="AK3996">
        <v>19.119290250909401</v>
      </c>
      <c r="AL3996">
        <v>88.433601840085899</v>
      </c>
      <c r="AM3996">
        <v>99.325873931339899</v>
      </c>
      <c r="AN3996">
        <v>1.0000000049647899</v>
      </c>
    </row>
    <row r="3997" spans="1:40" x14ac:dyDescent="0.25">
      <c r="A3997" t="str">
        <f>"20190312150735817"</f>
        <v>20190312150735817</v>
      </c>
      <c r="B3997" t="str">
        <f>"1552374455814043"</f>
        <v>1552374455814043</v>
      </c>
      <c r="C3997" t="s">
        <v>40</v>
      </c>
      <c r="D3997">
        <v>4.2929599999999999</v>
      </c>
      <c r="E3997">
        <v>0.47781210000000002</v>
      </c>
      <c r="F3997" t="s">
        <v>61</v>
      </c>
      <c r="G3997">
        <v>-480.96190000000001</v>
      </c>
      <c r="H3997" s="1">
        <v>1.7770690000000001E-6</v>
      </c>
      <c r="I3997">
        <v>279.15750000000003</v>
      </c>
      <c r="J3997">
        <v>-462.69929999999999</v>
      </c>
      <c r="K3997">
        <v>1.111685</v>
      </c>
      <c r="L3997">
        <v>284.56020000000001</v>
      </c>
      <c r="M3997">
        <v>-0.99791110000000005</v>
      </c>
      <c r="N3997">
        <v>0</v>
      </c>
      <c r="O3997">
        <v>-6.3093040000000003E-2</v>
      </c>
      <c r="P3997">
        <v>-0.97441109999999997</v>
      </c>
      <c r="Q3997">
        <v>1.3776099999999999E-2</v>
      </c>
      <c r="R3997">
        <v>-0.2243521</v>
      </c>
      <c r="S3997">
        <v>-2.8862000000000001</v>
      </c>
      <c r="T3997">
        <v>-0.1742957</v>
      </c>
      <c r="U3997">
        <v>-0.84869380000000005</v>
      </c>
      <c r="V3997">
        <v>-0.16249829999999901</v>
      </c>
      <c r="W3997">
        <v>2.7021759999999999E-2</v>
      </c>
      <c r="X3997">
        <v>0.98633870000000001</v>
      </c>
      <c r="Y3997">
        <v>-0.220747</v>
      </c>
      <c r="Z3997">
        <v>-2.8035830000000001E-3</v>
      </c>
      <c r="AA3997">
        <v>0.9753271</v>
      </c>
      <c r="AB3997">
        <v>25</v>
      </c>
      <c r="AC3997">
        <v>-18.262599999999999</v>
      </c>
      <c r="AD3997">
        <v>-1.1116832229310001</v>
      </c>
      <c r="AE3997">
        <v>-5.4026999999999799</v>
      </c>
      <c r="AF3997">
        <v>-4.2251837196091699</v>
      </c>
      <c r="AG3997">
        <v>-1.1116832229310001</v>
      </c>
      <c r="AH3997">
        <v>18.504065623697802</v>
      </c>
      <c r="AI3997">
        <v>93.352001717324697</v>
      </c>
      <c r="AJ3997">
        <v>102.86229751150699</v>
      </c>
      <c r="AK3997">
        <v>19.012849908909299</v>
      </c>
      <c r="AL3997">
        <v>88.451578647196698</v>
      </c>
      <c r="AM3997">
        <v>99.355383624778497</v>
      </c>
      <c r="AN3997">
        <v>0.99999995206703696</v>
      </c>
    </row>
    <row r="3998" spans="1:40" x14ac:dyDescent="0.25">
      <c r="A3998" t="str">
        <f>"20190312150735830"</f>
        <v>20190312150735830</v>
      </c>
      <c r="B3998" t="str">
        <f>"1552374455823803"</f>
        <v>1552374455823803</v>
      </c>
      <c r="C3998" t="s">
        <v>40</v>
      </c>
      <c r="D3998">
        <v>4.2774390000000002</v>
      </c>
      <c r="E3998">
        <v>0.4777788</v>
      </c>
      <c r="F3998" t="s">
        <v>61</v>
      </c>
      <c r="G3998">
        <v>-481.0188</v>
      </c>
      <c r="H3998" s="1">
        <v>1.7808820000000001E-6</v>
      </c>
      <c r="I3998">
        <v>279.1397</v>
      </c>
      <c r="J3998">
        <v>-462.8408</v>
      </c>
      <c r="K3998">
        <v>1.111712</v>
      </c>
      <c r="L3998">
        <v>284.55020000000002</v>
      </c>
      <c r="M3998">
        <v>-0.9978456</v>
      </c>
      <c r="N3998">
        <v>0</v>
      </c>
      <c r="O3998">
        <v>-6.4117399999999894E-2</v>
      </c>
      <c r="P3998">
        <v>-0.97405109999999995</v>
      </c>
      <c r="Q3998">
        <v>1.4069770000000001E-2</v>
      </c>
      <c r="R3998">
        <v>-0.22589119999999999</v>
      </c>
      <c r="S3998">
        <v>-2.8847049999999999</v>
      </c>
      <c r="T3998">
        <v>-0.17505219999999999</v>
      </c>
      <c r="U3998">
        <v>-0.85354609999999997</v>
      </c>
      <c r="V3998">
        <v>-0.16304689999999999</v>
      </c>
      <c r="W3998">
        <v>2.730204E-2</v>
      </c>
      <c r="X3998">
        <v>0.98624049999999996</v>
      </c>
      <c r="Y3998">
        <v>-0.22139020000000001</v>
      </c>
      <c r="Z3998">
        <v>-2.77517E-3</v>
      </c>
      <c r="AA3998">
        <v>0.97518130000000003</v>
      </c>
      <c r="AB3998">
        <v>25</v>
      </c>
      <c r="AC3998">
        <v>-18.178000000000001</v>
      </c>
      <c r="AD3998">
        <v>-1.1117102191179999</v>
      </c>
      <c r="AE3998">
        <v>-5.4105000000000096</v>
      </c>
      <c r="AF3998">
        <v>-4.2192299495380698</v>
      </c>
      <c r="AG3998">
        <v>-1.1117102191179999</v>
      </c>
      <c r="AH3998">
        <v>18.4242279195992</v>
      </c>
      <c r="AI3998">
        <v>93.366088869822505</v>
      </c>
      <c r="AJ3998">
        <v>102.898577102281</v>
      </c>
      <c r="AK3998">
        <v>18.933831503731799</v>
      </c>
      <c r="AL3998">
        <v>88.435513946324093</v>
      </c>
      <c r="AM3998">
        <v>99.387324537479699</v>
      </c>
      <c r="AN3998">
        <v>1.0000000084140099</v>
      </c>
    </row>
    <row r="3999" spans="1:40" x14ac:dyDescent="0.25">
      <c r="A3999" t="str">
        <f>"20190312150735843"</f>
        <v>20190312150735843</v>
      </c>
      <c r="B3999" t="str">
        <f>"1552374455834539"</f>
        <v>1552374455834539</v>
      </c>
      <c r="C3999" t="s">
        <v>40</v>
      </c>
      <c r="D3999">
        <v>4.5718050000000003</v>
      </c>
      <c r="E3999">
        <v>0.47774519999999998</v>
      </c>
      <c r="F3999" t="s">
        <v>61</v>
      </c>
      <c r="G3999">
        <v>-481.23520000000002</v>
      </c>
      <c r="H3999" s="1">
        <v>1.7961729999999999E-6</v>
      </c>
      <c r="I3999">
        <v>279.07440000000003</v>
      </c>
      <c r="J3999">
        <v>-462.98930000000001</v>
      </c>
      <c r="K3999">
        <v>1.1117410000000001</v>
      </c>
      <c r="L3999">
        <v>284.53949999999998</v>
      </c>
      <c r="M3999">
        <v>-0.99777470000000001</v>
      </c>
      <c r="N3999">
        <v>0</v>
      </c>
      <c r="O3999">
        <v>-6.5213199999999999E-2</v>
      </c>
      <c r="P3999">
        <v>-0.97363</v>
      </c>
      <c r="Q3999">
        <v>1.4267449999999999E-2</v>
      </c>
      <c r="R3999">
        <v>-0.2276869</v>
      </c>
      <c r="S3999">
        <v>-2.8833310000000001</v>
      </c>
      <c r="T3999">
        <v>-0.174261</v>
      </c>
      <c r="U3999">
        <v>-0.85833740000000003</v>
      </c>
      <c r="V3999">
        <v>-0.16378519999999999</v>
      </c>
      <c r="W3999">
        <v>2.7484120000000001E-2</v>
      </c>
      <c r="X3999">
        <v>0.98611309999999996</v>
      </c>
      <c r="Y3999">
        <v>-0.2219381</v>
      </c>
      <c r="Z3999">
        <v>-2.7151440000000001E-3</v>
      </c>
      <c r="AA3999">
        <v>0.97505699999999995</v>
      </c>
      <c r="AB3999">
        <v>25</v>
      </c>
      <c r="AC3999">
        <v>-18.245899999999999</v>
      </c>
      <c r="AD3999">
        <v>-1.111739203827</v>
      </c>
      <c r="AE3999">
        <v>-5.4650999999999499</v>
      </c>
      <c r="AF3999">
        <v>-4.2490001753293303</v>
      </c>
      <c r="AG3999">
        <v>-1.111739203827</v>
      </c>
      <c r="AH3999">
        <v>18.500454847839599</v>
      </c>
      <c r="AI3999">
        <v>93.351853548439905</v>
      </c>
      <c r="AJ3999">
        <v>102.93480766163</v>
      </c>
      <c r="AK3999">
        <v>19.0146468840267</v>
      </c>
      <c r="AL3999">
        <v>88.425077612748794</v>
      </c>
      <c r="AM3999">
        <v>99.430266348735998</v>
      </c>
      <c r="AN3999">
        <v>1.0000000072914099</v>
      </c>
    </row>
    <row r="4000" spans="1:40" x14ac:dyDescent="0.25">
      <c r="A4000" t="str">
        <f>"20190312150735856"</f>
        <v>20190312150735856</v>
      </c>
      <c r="B4000" t="str">
        <f>"1552374455844299"</f>
        <v>1552374455844299</v>
      </c>
      <c r="C4000" t="s">
        <v>40</v>
      </c>
      <c r="D4000">
        <v>4.4770909999999997</v>
      </c>
      <c r="E4000">
        <v>0.47772880000000001</v>
      </c>
      <c r="F4000" t="s">
        <v>61</v>
      </c>
      <c r="G4000">
        <v>-481.48759999999999</v>
      </c>
      <c r="H4000" s="1">
        <v>1.8127339999999999E-6</v>
      </c>
      <c r="I4000">
        <v>278.99459999999999</v>
      </c>
      <c r="J4000">
        <v>-463.11770000000001</v>
      </c>
      <c r="K4000">
        <v>1.1117649999999999</v>
      </c>
      <c r="L4000">
        <v>284.52999999999997</v>
      </c>
      <c r="M4000">
        <v>-0.99770999999999999</v>
      </c>
      <c r="N4000">
        <v>0</v>
      </c>
      <c r="O4000">
        <v>-6.6193669999999996E-2</v>
      </c>
      <c r="P4000">
        <v>-0.97311650000000005</v>
      </c>
      <c r="Q4000">
        <v>1.428101E-2</v>
      </c>
      <c r="R4000">
        <v>-0.22987070000000001</v>
      </c>
      <c r="S4000">
        <v>-2.8818049999999999</v>
      </c>
      <c r="T4000">
        <v>-0.17319579999999901</v>
      </c>
      <c r="U4000">
        <v>-0.8638306</v>
      </c>
      <c r="V4000">
        <v>-0.16503029999999999</v>
      </c>
      <c r="W4000">
        <v>2.748078E-2</v>
      </c>
      <c r="X4000">
        <v>0.98590560000000005</v>
      </c>
      <c r="Y4000">
        <v>-0.22283049999999999</v>
      </c>
      <c r="Z4000">
        <v>-2.668255E-3</v>
      </c>
      <c r="AA4000">
        <v>0.97485359999999999</v>
      </c>
      <c r="AB4000">
        <v>25</v>
      </c>
      <c r="AC4000">
        <v>-18.369899999999902</v>
      </c>
      <c r="AD4000">
        <v>-1.1117631872660001</v>
      </c>
      <c r="AE4000">
        <v>-5.5353999999999797</v>
      </c>
      <c r="AF4000">
        <v>-4.2927542483262302</v>
      </c>
      <c r="AG4000">
        <v>-1.1117631872660001</v>
      </c>
      <c r="AH4000">
        <v>18.633477964901498</v>
      </c>
      <c r="AI4000">
        <v>93.327536546800403</v>
      </c>
      <c r="AJ4000">
        <v>102.973364198601</v>
      </c>
      <c r="AK4000">
        <v>19.153857509378</v>
      </c>
      <c r="AL4000">
        <v>88.425269077151498</v>
      </c>
      <c r="AM4000">
        <v>99.502616530299406</v>
      </c>
      <c r="AN4000">
        <v>1.0000000226494199</v>
      </c>
    </row>
    <row r="4001" spans="1:40" x14ac:dyDescent="0.25">
      <c r="A4001" t="str">
        <f>"20190312150735867"</f>
        <v>20190312150735867</v>
      </c>
      <c r="B4001" t="str">
        <f>"1552374455863818"</f>
        <v>1552374455863818</v>
      </c>
      <c r="C4001" t="s">
        <v>40</v>
      </c>
      <c r="D4001">
        <v>4.3196110000000001</v>
      </c>
      <c r="E4001">
        <v>0.47764430000000002</v>
      </c>
      <c r="F4001" t="s">
        <v>61</v>
      </c>
      <c r="G4001">
        <v>-481.67500000000001</v>
      </c>
      <c r="H4001" s="1">
        <v>1.819512E-6</v>
      </c>
      <c r="I4001">
        <v>278.91969999999998</v>
      </c>
      <c r="J4001">
        <v>-463.25540000000001</v>
      </c>
      <c r="K4001">
        <v>1.1117900000000001</v>
      </c>
      <c r="L4001">
        <v>284.5197</v>
      </c>
      <c r="M4001">
        <v>-0.99763880000000005</v>
      </c>
      <c r="N4001">
        <v>0</v>
      </c>
      <c r="O4001">
        <v>-6.7259189999999996E-2</v>
      </c>
      <c r="P4001">
        <v>-0.97271719999999895</v>
      </c>
      <c r="Q4001">
        <v>1.4007399999999901E-2</v>
      </c>
      <c r="R4001">
        <v>-0.23157140000000001</v>
      </c>
      <c r="S4001">
        <v>-2.8797299999999999</v>
      </c>
      <c r="T4001">
        <v>-0.1725236</v>
      </c>
      <c r="U4001">
        <v>-0.87060550000000003</v>
      </c>
      <c r="V4001">
        <v>-0.16570190000000001</v>
      </c>
      <c r="W4001">
        <v>2.719241E-2</v>
      </c>
      <c r="X4001">
        <v>0.98580089999999998</v>
      </c>
      <c r="Y4001">
        <v>-0.2240868</v>
      </c>
      <c r="Z4001">
        <v>-2.633739E-3</v>
      </c>
      <c r="AA4001">
        <v>0.97456560000000003</v>
      </c>
      <c r="AB4001">
        <v>25</v>
      </c>
      <c r="AC4001">
        <v>-18.419599999999999</v>
      </c>
      <c r="AD4001">
        <v>-1.1117881804880001</v>
      </c>
      <c r="AE4001">
        <v>-5.6000000000000201</v>
      </c>
      <c r="AF4001">
        <v>-4.3338563803929704</v>
      </c>
      <c r="AG4001">
        <v>-1.1117881804880001</v>
      </c>
      <c r="AH4001">
        <v>18.692231517286402</v>
      </c>
      <c r="AI4001">
        <v>93.316104477566299</v>
      </c>
      <c r="AJ4001">
        <v>103.053577216279</v>
      </c>
      <c r="AK4001">
        <v>19.220247219533402</v>
      </c>
      <c r="AL4001">
        <v>88.441797572249797</v>
      </c>
      <c r="AM4001">
        <v>99.541573136032497</v>
      </c>
      <c r="AN4001">
        <v>0.99999998063301299</v>
      </c>
    </row>
    <row r="4002" spans="1:40" x14ac:dyDescent="0.25">
      <c r="A4002" t="str">
        <f>"20190312150735879"</f>
        <v>20190312150735879</v>
      </c>
      <c r="B4002" t="str">
        <f>"1552374455873579"</f>
        <v>1552374455873579</v>
      </c>
      <c r="C4002" t="s">
        <v>40</v>
      </c>
      <c r="D4002">
        <v>4.4312699999999996</v>
      </c>
      <c r="E4002">
        <v>0.47764760000000001</v>
      </c>
      <c r="F4002" t="s">
        <v>61</v>
      </c>
      <c r="G4002">
        <v>-481.58510000000001</v>
      </c>
      <c r="H4002" s="1">
        <v>1.810238E-6</v>
      </c>
      <c r="I4002">
        <v>278.93860000000001</v>
      </c>
      <c r="J4002">
        <v>-463.38749999999999</v>
      </c>
      <c r="K4002">
        <v>1.111815</v>
      </c>
      <c r="L4002">
        <v>284.50970000000001</v>
      </c>
      <c r="M4002">
        <v>-0.99756719999999999</v>
      </c>
      <c r="N4002">
        <v>0</v>
      </c>
      <c r="O4002">
        <v>-6.8311620000000003E-2</v>
      </c>
      <c r="P4002">
        <v>-0.9724431</v>
      </c>
      <c r="Q4002">
        <v>1.334144E-2</v>
      </c>
      <c r="R4002">
        <v>-0.23275799999999999</v>
      </c>
      <c r="S4002">
        <v>-2.8780209999999999</v>
      </c>
      <c r="T4002">
        <v>-0.17456659999999999</v>
      </c>
      <c r="U4002">
        <v>-0.87631229999999904</v>
      </c>
      <c r="V4002">
        <v>-0.16586380000000001</v>
      </c>
      <c r="W4002">
        <v>2.6514590000000001E-2</v>
      </c>
      <c r="X4002">
        <v>0.98579220000000001</v>
      </c>
      <c r="Y4002">
        <v>-0.2249825</v>
      </c>
      <c r="Z4002">
        <v>-2.6302919999999998E-3</v>
      </c>
      <c r="AA4002">
        <v>0.97435930000000004</v>
      </c>
      <c r="AB4002">
        <v>25</v>
      </c>
      <c r="AC4002">
        <v>-18.197600000000001</v>
      </c>
      <c r="AD4002">
        <v>-1.1118131897620001</v>
      </c>
      <c r="AE4002">
        <v>-5.5711000000000004</v>
      </c>
      <c r="AF4002">
        <v>-4.3001797218399602</v>
      </c>
      <c r="AG4002">
        <v>-1.1118131897620001</v>
      </c>
      <c r="AH4002">
        <v>18.472644567162899</v>
      </c>
      <c r="AI4002">
        <v>93.354820806537305</v>
      </c>
      <c r="AJ4002">
        <v>103.10429769579</v>
      </c>
      <c r="AK4002">
        <v>18.999112387524502</v>
      </c>
      <c r="AL4002">
        <v>88.480647903382504</v>
      </c>
      <c r="AM4002">
        <v>99.550806866630097</v>
      </c>
      <c r="AN4002">
        <v>1.0000000426070701</v>
      </c>
    </row>
    <row r="4003" spans="1:40" x14ac:dyDescent="0.25">
      <c r="A4003" t="str">
        <f>"20190312150735891"</f>
        <v>20190312150735891</v>
      </c>
      <c r="B4003" t="str">
        <f>"1552374455883846"</f>
        <v>1552374455883846</v>
      </c>
      <c r="C4003" t="s">
        <v>40</v>
      </c>
      <c r="D4003">
        <v>4.2891760000000003</v>
      </c>
      <c r="E4003">
        <v>0.47761049999999999</v>
      </c>
      <c r="F4003" t="s">
        <v>61</v>
      </c>
      <c r="G4003">
        <v>-481.52330000000001</v>
      </c>
      <c r="H4003" s="1">
        <v>1.80834E-6</v>
      </c>
      <c r="I4003">
        <v>278.96420000000001</v>
      </c>
      <c r="J4003">
        <v>-463.52010000000001</v>
      </c>
      <c r="K4003">
        <v>1.1118429999999999</v>
      </c>
      <c r="L4003">
        <v>284.49950000000001</v>
      </c>
      <c r="M4003">
        <v>-0.99749279999999996</v>
      </c>
      <c r="N4003">
        <v>0</v>
      </c>
      <c r="O4003">
        <v>-6.9390300000000002E-2</v>
      </c>
      <c r="P4003">
        <v>-0.97207060000000001</v>
      </c>
      <c r="Q4003">
        <v>1.347579E-2</v>
      </c>
      <c r="R4003">
        <v>-0.23430200000000001</v>
      </c>
      <c r="S4003">
        <v>-2.876862</v>
      </c>
      <c r="T4003">
        <v>-0.17636540000000001</v>
      </c>
      <c r="U4003">
        <v>-0.87966919999999904</v>
      </c>
      <c r="V4003">
        <v>-0.16636529999999899</v>
      </c>
      <c r="W4003">
        <v>2.6633750000000001E-2</v>
      </c>
      <c r="X4003">
        <v>0.98570440000000004</v>
      </c>
      <c r="Y4003">
        <v>-0.22507469999999999</v>
      </c>
      <c r="Z4003">
        <v>-2.5965749999999998E-3</v>
      </c>
      <c r="AA4003">
        <v>0.97433809999999998</v>
      </c>
      <c r="AB4003">
        <v>25</v>
      </c>
      <c r="AC4003">
        <v>-18.0031999999999</v>
      </c>
      <c r="AD4003">
        <v>-1.11184119166</v>
      </c>
      <c r="AE4003">
        <v>-5.5353000000000003</v>
      </c>
      <c r="AF4003">
        <v>-4.25775027993856</v>
      </c>
      <c r="AG4003">
        <v>-1.11184119166</v>
      </c>
      <c r="AH4003">
        <v>18.280229770219101</v>
      </c>
      <c r="AI4003">
        <v>93.3900398410929</v>
      </c>
      <c r="AJ4003">
        <v>103.111320457543</v>
      </c>
      <c r="AK4003">
        <v>18.8024314580267</v>
      </c>
      <c r="AL4003">
        <v>88.473818011086394</v>
      </c>
      <c r="AM4003">
        <v>99.579987452883501</v>
      </c>
      <c r="AN4003">
        <v>0.99999996693125504</v>
      </c>
    </row>
    <row r="4004" spans="1:40" x14ac:dyDescent="0.25">
      <c r="A4004" t="str">
        <f>"20190312150735905"</f>
        <v>20190312150735905</v>
      </c>
      <c r="B4004" t="str">
        <f>"1552374455893607"</f>
        <v>1552374455893607</v>
      </c>
      <c r="C4004" t="s">
        <v>40</v>
      </c>
      <c r="D4004">
        <v>4.641089</v>
      </c>
      <c r="E4004">
        <v>0.47764309999999899</v>
      </c>
      <c r="F4004" t="s">
        <v>61</v>
      </c>
      <c r="G4004">
        <v>-481.65089999999998</v>
      </c>
      <c r="H4004" s="1">
        <v>1.815314E-6</v>
      </c>
      <c r="I4004">
        <v>278.92</v>
      </c>
      <c r="J4004">
        <v>-463.67329999999998</v>
      </c>
      <c r="K4004">
        <v>1.1118779999999999</v>
      </c>
      <c r="L4004">
        <v>284.48750000000001</v>
      </c>
      <c r="M4004">
        <v>-0.99740379999999995</v>
      </c>
      <c r="N4004">
        <v>0</v>
      </c>
      <c r="O4004">
        <v>-7.0658739999999998E-2</v>
      </c>
      <c r="P4004">
        <v>-0.97166629999999998</v>
      </c>
      <c r="Q4004">
        <v>1.3558840000000001E-2</v>
      </c>
      <c r="R4004">
        <v>-0.23596780000000001</v>
      </c>
      <c r="S4004">
        <v>-2.8753660000000001</v>
      </c>
      <c r="T4004">
        <v>-0.17632639999999999</v>
      </c>
      <c r="U4004">
        <v>-0.88485720000000001</v>
      </c>
      <c r="V4004">
        <v>-0.16680439999999999</v>
      </c>
      <c r="W4004">
        <v>2.6700959999999999E-2</v>
      </c>
      <c r="X4004">
        <v>0.98562839999999996</v>
      </c>
      <c r="Y4004">
        <v>-0.22558539999999999</v>
      </c>
      <c r="Z4004">
        <v>-2.5365489999999999E-3</v>
      </c>
      <c r="AA4004">
        <v>0.97422010000000003</v>
      </c>
      <c r="AB4004">
        <v>25</v>
      </c>
      <c r="AC4004">
        <v>-17.977599999999899</v>
      </c>
      <c r="AD4004">
        <v>-1.1118761846859999</v>
      </c>
      <c r="AE4004">
        <v>-5.5674999999999901</v>
      </c>
      <c r="AF4004">
        <v>-4.2682864193517203</v>
      </c>
      <c r="AG4004">
        <v>-1.1118761846859999</v>
      </c>
      <c r="AH4004">
        <v>18.262344783275299</v>
      </c>
      <c r="AI4004">
        <v>93.392855608870605</v>
      </c>
      <c r="AJ4004">
        <v>103.155064281299</v>
      </c>
      <c r="AK4004">
        <v>18.787436615752501</v>
      </c>
      <c r="AL4004">
        <v>88.469965836119897</v>
      </c>
      <c r="AM4004">
        <v>99.605528972580004</v>
      </c>
      <c r="AN4004">
        <v>0.99999999600542</v>
      </c>
    </row>
    <row r="4005" spans="1:40" x14ac:dyDescent="0.25">
      <c r="A4005" t="str">
        <f>"20190312150735922"</f>
        <v>20190312150735922</v>
      </c>
      <c r="B4005" t="str">
        <f>"1552374455914102"</f>
        <v>1552374455914102</v>
      </c>
      <c r="C4005" t="s">
        <v>40</v>
      </c>
      <c r="D4005">
        <v>4.3116180000000002</v>
      </c>
      <c r="E4005">
        <v>0.47767130000000002</v>
      </c>
      <c r="F4005" t="s">
        <v>61</v>
      </c>
      <c r="G4005">
        <v>-481.8648</v>
      </c>
      <c r="H4005" s="1">
        <v>1.8314599999999999E-6</v>
      </c>
      <c r="I4005">
        <v>278.85829999999999</v>
      </c>
      <c r="J4005">
        <v>-463.86329999999998</v>
      </c>
      <c r="K4005">
        <v>1.1119270000000001</v>
      </c>
      <c r="L4005">
        <v>284.47219999999999</v>
      </c>
      <c r="M4005">
        <v>-0.99728709999999998</v>
      </c>
      <c r="N4005">
        <v>0</v>
      </c>
      <c r="O4005">
        <v>-7.2288599999999995E-2</v>
      </c>
      <c r="P4005">
        <v>-0.97122730000000002</v>
      </c>
      <c r="Q4005">
        <v>1.3722399999999999E-2</v>
      </c>
      <c r="R4005">
        <v>-0.23775930000000001</v>
      </c>
      <c r="S4005">
        <v>-2.8739319999999999</v>
      </c>
      <c r="T4005">
        <v>-0.1756567</v>
      </c>
      <c r="U4005">
        <v>-0.88931269999999996</v>
      </c>
      <c r="V4005">
        <v>-0.16701479999999999</v>
      </c>
      <c r="W4005">
        <v>2.6844920000000001E-2</v>
      </c>
      <c r="X4005">
        <v>0.98558880000000004</v>
      </c>
      <c r="Y4005">
        <v>-0.22551389999999999</v>
      </c>
      <c r="Z4005">
        <v>-2.4289429999999998E-3</v>
      </c>
      <c r="AA4005">
        <v>0.97423689999999996</v>
      </c>
      <c r="AB4005">
        <v>25</v>
      </c>
      <c r="AC4005">
        <v>-18.0015</v>
      </c>
      <c r="AD4005">
        <v>-1.11192516854</v>
      </c>
      <c r="AE4005">
        <v>-5.6139000000000001</v>
      </c>
      <c r="AF4005">
        <v>-4.2828888000063898</v>
      </c>
      <c r="AG4005">
        <v>-1.11192516854</v>
      </c>
      <c r="AH4005">
        <v>18.296634159923499</v>
      </c>
      <c r="AI4005">
        <v>93.386390982030903</v>
      </c>
      <c r="AJ4005">
        <v>103.174625161877</v>
      </c>
      <c r="AK4005">
        <v>18.824089237881601</v>
      </c>
      <c r="AL4005">
        <v>88.4617144885421</v>
      </c>
      <c r="AM4005">
        <v>99.6177980144397</v>
      </c>
      <c r="AN4005">
        <v>0.99999993791714104</v>
      </c>
    </row>
    <row r="4006" spans="1:40" x14ac:dyDescent="0.25">
      <c r="A4006" t="str">
        <f>"20190312150735935"</f>
        <v>20190312150735935</v>
      </c>
      <c r="B4006" t="str">
        <f>"1552374455923862"</f>
        <v>1552374455923862</v>
      </c>
      <c r="C4006" t="s">
        <v>40</v>
      </c>
      <c r="D4006">
        <v>4.5536839999999996</v>
      </c>
      <c r="E4006">
        <v>0.47766530000000001</v>
      </c>
      <c r="F4006" t="s">
        <v>61</v>
      </c>
      <c r="G4006">
        <v>-482.1241</v>
      </c>
      <c r="H4006" s="1">
        <v>1.8511280000000001E-6</v>
      </c>
      <c r="I4006">
        <v>278.78379999999999</v>
      </c>
      <c r="J4006">
        <v>-464.0052</v>
      </c>
      <c r="K4006">
        <v>1.11196299999999</v>
      </c>
      <c r="L4006">
        <v>284.46050000000002</v>
      </c>
      <c r="M4006">
        <v>-0.9971951</v>
      </c>
      <c r="N4006">
        <v>0</v>
      </c>
      <c r="O4006">
        <v>-7.3545970000000002E-2</v>
      </c>
      <c r="P4006">
        <v>-0.97087730000000005</v>
      </c>
      <c r="Q4006">
        <v>1.35771E-2</v>
      </c>
      <c r="R4006">
        <v>-0.23919219999999999</v>
      </c>
      <c r="S4006">
        <v>-2.8722840000000001</v>
      </c>
      <c r="T4006">
        <v>-0.17489749999999901</v>
      </c>
      <c r="U4006">
        <v>-0.89474489999999995</v>
      </c>
      <c r="V4006">
        <v>-0.16722790000000001</v>
      </c>
      <c r="W4006">
        <v>2.6684280000000001E-2</v>
      </c>
      <c r="X4006">
        <v>0.98555709999999996</v>
      </c>
      <c r="Y4006">
        <v>-0.2261271</v>
      </c>
      <c r="Z4006">
        <v>-2.3632449999999999E-3</v>
      </c>
      <c r="AA4006">
        <v>0.97409489999999999</v>
      </c>
      <c r="AB4006">
        <v>25</v>
      </c>
      <c r="AC4006">
        <v>-18.1189</v>
      </c>
      <c r="AD4006">
        <v>-1.11196114887199</v>
      </c>
      <c r="AE4006">
        <v>-5.6767000000000296</v>
      </c>
      <c r="AF4006">
        <v>-4.3138279691867796</v>
      </c>
      <c r="AG4006">
        <v>-1.11196114887199</v>
      </c>
      <c r="AH4006">
        <v>18.4241715445553</v>
      </c>
      <c r="AI4006">
        <v>93.363068115864806</v>
      </c>
      <c r="AJ4006">
        <v>103.17782437470299</v>
      </c>
      <c r="AK4006">
        <v>18.955096054822299</v>
      </c>
      <c r="AL4006">
        <v>88.470921890780104</v>
      </c>
      <c r="AM4006">
        <v>99.630143977973006</v>
      </c>
      <c r="AN4006">
        <v>1.0000000093489601</v>
      </c>
    </row>
    <row r="4007" spans="1:40" x14ac:dyDescent="0.25">
      <c r="A4007" t="str">
        <f>"20190312150735950"</f>
        <v>20190312150735950</v>
      </c>
      <c r="B4007" t="str">
        <f>"1552374455944358"</f>
        <v>1552374455944358</v>
      </c>
      <c r="C4007" t="s">
        <v>40</v>
      </c>
      <c r="D4007">
        <v>4.3155449999999904</v>
      </c>
      <c r="E4007">
        <v>0.4776859</v>
      </c>
      <c r="F4007" t="s">
        <v>61</v>
      </c>
      <c r="G4007">
        <v>-482.21260000000001</v>
      </c>
      <c r="H4007" s="1">
        <v>1.858229E-6</v>
      </c>
      <c r="I4007">
        <v>278.7595</v>
      </c>
      <c r="J4007">
        <v>-464.1567</v>
      </c>
      <c r="K4007">
        <v>1.112004</v>
      </c>
      <c r="L4007">
        <v>284.4479</v>
      </c>
      <c r="M4007">
        <v>-0.99709309999999995</v>
      </c>
      <c r="N4007">
        <v>0</v>
      </c>
      <c r="O4007">
        <v>-7.4915369999999995E-2</v>
      </c>
      <c r="P4007">
        <v>-0.97050700000000001</v>
      </c>
      <c r="Q4007">
        <v>1.346321E-2</v>
      </c>
      <c r="R4007">
        <v>-0.24069689999999999</v>
      </c>
      <c r="S4007">
        <v>-2.8710019999999998</v>
      </c>
      <c r="T4007">
        <v>-0.17533770000000001</v>
      </c>
      <c r="U4007">
        <v>-0.89895630000000004</v>
      </c>
      <c r="V4007">
        <v>-0.16740479999999899</v>
      </c>
      <c r="W4007">
        <v>2.6554149999999999E-2</v>
      </c>
      <c r="X4007">
        <v>0.98553060000000003</v>
      </c>
      <c r="Y4007">
        <v>-0.22621550000000001</v>
      </c>
      <c r="Z4007">
        <v>-2.2913959999999998E-3</v>
      </c>
      <c r="AA4007">
        <v>0.97407460000000001</v>
      </c>
      <c r="AB4007">
        <v>25</v>
      </c>
      <c r="AC4007">
        <v>-18.055900000000001</v>
      </c>
      <c r="AD4007">
        <v>-1.112002141771</v>
      </c>
      <c r="AE4007">
        <v>-5.6883999999999997</v>
      </c>
      <c r="AF4007">
        <v>-4.3047635427692299</v>
      </c>
      <c r="AG4007">
        <v>-1.112002141771</v>
      </c>
      <c r="AH4007">
        <v>18.367963251012601</v>
      </c>
      <c r="AI4007">
        <v>93.373293202291507</v>
      </c>
      <c r="AJ4007">
        <v>103.189936996827</v>
      </c>
      <c r="AK4007">
        <v>18.898402364036201</v>
      </c>
      <c r="AL4007">
        <v>88.478380459938705</v>
      </c>
      <c r="AM4007">
        <v>99.640394385063601</v>
      </c>
      <c r="AN4007">
        <v>1.00000002674081</v>
      </c>
    </row>
    <row r="4008" spans="1:40" x14ac:dyDescent="0.25">
      <c r="A4008" t="str">
        <f>"20190312150735967"</f>
        <v>20190312150735967</v>
      </c>
      <c r="B4008" t="str">
        <f>"1552374455963877"</f>
        <v>1552374455963877</v>
      </c>
      <c r="C4008" t="s">
        <v>40</v>
      </c>
      <c r="D4008">
        <v>4.5513949999999896</v>
      </c>
      <c r="E4008">
        <v>0.47773100000000002</v>
      </c>
      <c r="F4008" t="s">
        <v>61</v>
      </c>
      <c r="G4008">
        <v>-482.31970000000001</v>
      </c>
      <c r="H4008" s="1">
        <v>1.866891E-6</v>
      </c>
      <c r="I4008">
        <v>278.7303</v>
      </c>
      <c r="J4008">
        <v>-464.3562</v>
      </c>
      <c r="K4008">
        <v>1.1120589999999999</v>
      </c>
      <c r="L4008">
        <v>284.43090000000001</v>
      </c>
      <c r="M4008">
        <v>-0.99695109999999998</v>
      </c>
      <c r="N4008">
        <v>0</v>
      </c>
      <c r="O4008">
        <v>-7.6782929999999999E-2</v>
      </c>
      <c r="P4008">
        <v>-0.9698582</v>
      </c>
      <c r="Q4008">
        <v>1.3365760000000001E-2</v>
      </c>
      <c r="R4008">
        <v>-0.24330309999999999</v>
      </c>
      <c r="S4008">
        <v>-2.8695369999999998</v>
      </c>
      <c r="T4008">
        <v>-0.1756828</v>
      </c>
      <c r="U4008">
        <v>-0.90332029999999996</v>
      </c>
      <c r="V4008">
        <v>-0.16820929999999901</v>
      </c>
      <c r="W4008">
        <v>2.642926E-2</v>
      </c>
      <c r="X4008">
        <v>0.98539690000000002</v>
      </c>
      <c r="Y4008">
        <v>-0.2258839</v>
      </c>
      <c r="Z4008">
        <v>-2.176E-3</v>
      </c>
      <c r="AA4008">
        <v>0.97415180000000001</v>
      </c>
      <c r="AB4008">
        <v>25</v>
      </c>
      <c r="AC4008">
        <v>-17.9635</v>
      </c>
      <c r="AD4008">
        <v>-1.1120571331089999</v>
      </c>
      <c r="AE4008">
        <v>-5.7005999999999997</v>
      </c>
      <c r="AF4008">
        <v>-4.2894096655812399</v>
      </c>
      <c r="AG4008">
        <v>-1.1120571331089999</v>
      </c>
      <c r="AH4008">
        <v>18.284546833781</v>
      </c>
      <c r="AI4008">
        <v>93.388641569137505</v>
      </c>
      <c r="AJ4008">
        <v>103.202399642952</v>
      </c>
      <c r="AK4008">
        <v>18.813834252039399</v>
      </c>
      <c r="AL4008">
        <v>88.485538544566296</v>
      </c>
      <c r="AM4008">
        <v>99.687137086348102</v>
      </c>
      <c r="AN4008">
        <v>0.99999996246012302</v>
      </c>
    </row>
    <row r="4009" spans="1:40" x14ac:dyDescent="0.25">
      <c r="A4009" t="str">
        <f>"20190312150735982"</f>
        <v>20190312150735982</v>
      </c>
      <c r="B4009" t="str">
        <f>"1552374455973637"</f>
        <v>1552374455973637</v>
      </c>
      <c r="C4009" t="s">
        <v>40</v>
      </c>
      <c r="D4009">
        <v>4.2816939999999999</v>
      </c>
      <c r="E4009">
        <v>0.47770049999999997</v>
      </c>
      <c r="F4009" t="s">
        <v>61</v>
      </c>
      <c r="G4009">
        <v>-482.3288</v>
      </c>
      <c r="H4009" s="1">
        <v>1.8655509999999999E-6</v>
      </c>
      <c r="I4009">
        <v>278.72190000000001</v>
      </c>
      <c r="J4009">
        <v>-464.52140000000003</v>
      </c>
      <c r="K4009">
        <v>1.1121099999999999</v>
      </c>
      <c r="L4009">
        <v>284.41640000000001</v>
      </c>
      <c r="M4009">
        <v>-0.9968264</v>
      </c>
      <c r="N4009">
        <v>0</v>
      </c>
      <c r="O4009">
        <v>-7.8384770000000006E-2</v>
      </c>
      <c r="P4009">
        <v>-0.96944870000000005</v>
      </c>
      <c r="Q4009">
        <v>1.326132E-2</v>
      </c>
      <c r="R4009">
        <v>-0.2449356</v>
      </c>
      <c r="S4009">
        <v>-2.8672179999999998</v>
      </c>
      <c r="T4009">
        <v>-0.17740980000000001</v>
      </c>
      <c r="U4009">
        <v>-0.91076659999999998</v>
      </c>
      <c r="V4009">
        <v>-0.1682874</v>
      </c>
      <c r="W4009">
        <v>2.6305329999999998E-2</v>
      </c>
      <c r="X4009">
        <v>0.98538689999999995</v>
      </c>
      <c r="Y4009">
        <v>-0.22684000000000001</v>
      </c>
      <c r="Z4009">
        <v>-2.1313069999999998E-3</v>
      </c>
      <c r="AA4009">
        <v>0.97392970000000001</v>
      </c>
      <c r="AB4009">
        <v>25</v>
      </c>
      <c r="AC4009">
        <v>-17.807399999999902</v>
      </c>
      <c r="AD4009">
        <v>-1.112108134449</v>
      </c>
      <c r="AE4009">
        <v>-5.6944999999999997</v>
      </c>
      <c r="AF4009">
        <v>-4.2659174462915601</v>
      </c>
      <c r="AG4009">
        <v>-1.112108134449</v>
      </c>
      <c r="AH4009">
        <v>18.134835853760499</v>
      </c>
      <c r="AI4009">
        <v>93.416220035306395</v>
      </c>
      <c r="AJ4009">
        <v>103.237218563665</v>
      </c>
      <c r="AK4009">
        <v>18.662987638749598</v>
      </c>
      <c r="AL4009">
        <v>88.492641708404093</v>
      </c>
      <c r="AM4009">
        <v>99.691646052664893</v>
      </c>
      <c r="AN4009">
        <v>0.99999998103838905</v>
      </c>
    </row>
    <row r="4010" spans="1:40" x14ac:dyDescent="0.25">
      <c r="A4010" t="str">
        <f>"20190312150736001"</f>
        <v>20190312150736001</v>
      </c>
      <c r="B4010" t="str">
        <f>"1552374455994134"</f>
        <v>1552374455994134</v>
      </c>
      <c r="C4010" t="s">
        <v>40</v>
      </c>
      <c r="D4010">
        <v>4.472334</v>
      </c>
      <c r="E4010">
        <v>0.47766619999999999</v>
      </c>
      <c r="F4010" t="s">
        <v>61</v>
      </c>
      <c r="G4010">
        <v>-482.31630000000001</v>
      </c>
      <c r="H4010" s="1">
        <v>1.866077E-6</v>
      </c>
      <c r="I4010">
        <v>278.72969999999998</v>
      </c>
      <c r="J4010">
        <v>-464.7319</v>
      </c>
      <c r="K4010">
        <v>1.1121639999999999</v>
      </c>
      <c r="L4010">
        <v>284.39749999999998</v>
      </c>
      <c r="M4010">
        <v>-0.99665780000000004</v>
      </c>
      <c r="N4010">
        <v>0</v>
      </c>
      <c r="O4010">
        <v>-8.0499849999999998E-2</v>
      </c>
      <c r="P4010">
        <v>-0.9688175</v>
      </c>
      <c r="Q4010">
        <v>1.303201E-2</v>
      </c>
      <c r="R4010">
        <v>-0.24743299999999999</v>
      </c>
      <c r="S4010">
        <v>-2.865631</v>
      </c>
      <c r="T4010">
        <v>-0.17908979999999999</v>
      </c>
      <c r="U4010">
        <v>-0.91577149999999996</v>
      </c>
      <c r="V4010">
        <v>-0.16873859999999999</v>
      </c>
      <c r="W4010">
        <v>2.604888E-2</v>
      </c>
      <c r="X4010">
        <v>0.98531659999999999</v>
      </c>
      <c r="Y4010">
        <v>-0.2264726</v>
      </c>
      <c r="Z4010">
        <v>-2.0131540000000001E-3</v>
      </c>
      <c r="AA4010">
        <v>0.97401550000000003</v>
      </c>
      <c r="AB4010">
        <v>25</v>
      </c>
      <c r="AC4010">
        <v>-17.584399999999999</v>
      </c>
      <c r="AD4010">
        <v>-1.1121621339229999</v>
      </c>
      <c r="AE4010">
        <v>-5.6677999999999997</v>
      </c>
      <c r="AF4010">
        <v>-4.2184376389688598</v>
      </c>
      <c r="AG4010">
        <v>-1.1121621339229999</v>
      </c>
      <c r="AH4010">
        <v>17.918689594775199</v>
      </c>
      <c r="AI4010">
        <v>93.457352261740397</v>
      </c>
      <c r="AJ4010">
        <v>103.247413677271</v>
      </c>
      <c r="AK4010">
        <v>18.442113694473999</v>
      </c>
      <c r="AL4010">
        <v>88.507340322492595</v>
      </c>
      <c r="AM4010">
        <v>99.717815910005498</v>
      </c>
      <c r="AN4010">
        <v>1.00000003075738</v>
      </c>
    </row>
    <row r="4011" spans="1:40" x14ac:dyDescent="0.25">
      <c r="A4011" t="str">
        <f>"20190312150736014"</f>
        <v>20190312150736014</v>
      </c>
      <c r="B4011" t="str">
        <f>"1552374456003894"</f>
        <v>1552374456003894</v>
      </c>
      <c r="C4011" t="s">
        <v>40</v>
      </c>
      <c r="D4011">
        <v>4.6130069999999996</v>
      </c>
      <c r="E4011">
        <v>0.47766779999999998</v>
      </c>
      <c r="F4011" t="s">
        <v>61</v>
      </c>
      <c r="G4011">
        <v>-482.25790000000001</v>
      </c>
      <c r="H4011" s="1">
        <v>1.860423E-6</v>
      </c>
      <c r="I4011">
        <v>278.74299999999999</v>
      </c>
      <c r="J4011">
        <v>-464.87430000000001</v>
      </c>
      <c r="K4011">
        <v>1.1122080000000001</v>
      </c>
      <c r="L4011">
        <v>284.3843</v>
      </c>
      <c r="M4011">
        <v>-0.99653619999999998</v>
      </c>
      <c r="N4011">
        <v>0</v>
      </c>
      <c r="O4011">
        <v>-8.1989820000000005E-2</v>
      </c>
      <c r="P4011">
        <v>-0.96841690000000002</v>
      </c>
      <c r="Q4011">
        <v>1.2673769999999999E-2</v>
      </c>
      <c r="R4011">
        <v>-0.2490135</v>
      </c>
      <c r="S4011">
        <v>-2.8630979999999999</v>
      </c>
      <c r="T4011">
        <v>-0.1816855</v>
      </c>
      <c r="U4011">
        <v>-0.92373660000000002</v>
      </c>
      <c r="V4011">
        <v>-0.1688742</v>
      </c>
      <c r="W4011">
        <v>2.5671820000000001E-2</v>
      </c>
      <c r="X4011">
        <v>0.98530320000000005</v>
      </c>
      <c r="Y4011">
        <v>-0.22771520000000001</v>
      </c>
      <c r="Z4011">
        <v>-1.9903830000000001E-3</v>
      </c>
      <c r="AA4011">
        <v>0.97372570000000003</v>
      </c>
      <c r="AB4011">
        <v>25</v>
      </c>
      <c r="AC4011">
        <v>-17.383600000000001</v>
      </c>
      <c r="AD4011">
        <v>-1.112206139577</v>
      </c>
      <c r="AE4011">
        <v>-5.6413000000000002</v>
      </c>
      <c r="AF4011">
        <v>-4.1814014200342102</v>
      </c>
      <c r="AG4011">
        <v>-1.112206139577</v>
      </c>
      <c r="AH4011">
        <v>17.722002363980302</v>
      </c>
      <c r="AI4011">
        <v>93.495359786672694</v>
      </c>
      <c r="AJ4011">
        <v>103.275800940576</v>
      </c>
      <c r="AK4011">
        <v>18.242546097551699</v>
      </c>
      <c r="AL4011">
        <v>88.528951402074199</v>
      </c>
      <c r="AM4011">
        <v>99.725605899118705</v>
      </c>
      <c r="AN4011">
        <v>0.99999996684899495</v>
      </c>
    </row>
    <row r="4012" spans="1:40" x14ac:dyDescent="0.25">
      <c r="A4012" t="str">
        <f>"20190312150736028"</f>
        <v>20190312150736028</v>
      </c>
      <c r="B4012" t="str">
        <f>"1552374456024390"</f>
        <v>1552374456024390</v>
      </c>
      <c r="C4012" t="s">
        <v>40</v>
      </c>
      <c r="D4012">
        <v>4.3079349999999996</v>
      </c>
      <c r="E4012">
        <v>0.47767510000000002</v>
      </c>
      <c r="F4012" t="s">
        <v>61</v>
      </c>
      <c r="G4012">
        <v>-482.20830000000001</v>
      </c>
      <c r="H4012" s="1">
        <v>1.8575579999999999E-6</v>
      </c>
      <c r="I4012">
        <v>278.75979999999998</v>
      </c>
      <c r="J4012">
        <v>-465.02100000000002</v>
      </c>
      <c r="K4012">
        <v>1.1122559999999999</v>
      </c>
      <c r="L4012">
        <v>284.37060000000002</v>
      </c>
      <c r="M4012">
        <v>-0.99640589999999996</v>
      </c>
      <c r="N4012">
        <v>0</v>
      </c>
      <c r="O4012">
        <v>-8.3559640000000004E-2</v>
      </c>
      <c r="P4012">
        <v>-0.96789939999999997</v>
      </c>
      <c r="Q4012">
        <v>1.250776E-2</v>
      </c>
      <c r="R4012">
        <v>-0.25102580000000002</v>
      </c>
      <c r="S4012">
        <v>-2.8614809999999999</v>
      </c>
      <c r="T4012">
        <v>-0.18360270000000001</v>
      </c>
      <c r="U4012">
        <v>-0.92849729999999997</v>
      </c>
      <c r="V4012">
        <v>-0.1693721</v>
      </c>
      <c r="W4012">
        <v>2.5483059999999998E-2</v>
      </c>
      <c r="X4012">
        <v>0.98522270000000001</v>
      </c>
      <c r="Y4012">
        <v>-0.2278056</v>
      </c>
      <c r="Z4012">
        <v>-1.9176060000000001E-3</v>
      </c>
      <c r="AA4012">
        <v>0.97370480000000004</v>
      </c>
      <c r="AB4012">
        <v>25</v>
      </c>
      <c r="AC4012">
        <v>-17.1873</v>
      </c>
      <c r="AD4012">
        <v>-1.1122541424419901</v>
      </c>
      <c r="AE4012">
        <v>-5.6108000000000402</v>
      </c>
      <c r="AF4012">
        <v>-4.1392057115616803</v>
      </c>
      <c r="AG4012">
        <v>-1.1122541424419901</v>
      </c>
      <c r="AH4012">
        <v>17.529720209011799</v>
      </c>
      <c r="AI4012">
        <v>93.533613018888502</v>
      </c>
      <c r="AJ4012">
        <v>103.285621868825</v>
      </c>
      <c r="AK4012">
        <v>18.046086107692201</v>
      </c>
      <c r="AL4012">
        <v>88.539770187764503</v>
      </c>
      <c r="AM4012">
        <v>99.754512016038504</v>
      </c>
      <c r="AN4012">
        <v>1.0000000316003299</v>
      </c>
    </row>
    <row r="4013" spans="1:40" x14ac:dyDescent="0.25">
      <c r="A4013" t="str">
        <f>"20190312150736045"</f>
        <v>20190312150736045</v>
      </c>
      <c r="B4013" t="str">
        <f>"1552374456034151"</f>
        <v>1552374456034151</v>
      </c>
      <c r="C4013" t="s">
        <v>40</v>
      </c>
      <c r="D4013">
        <v>4.3150079999999997</v>
      </c>
      <c r="E4013">
        <v>0.47768060000000001</v>
      </c>
      <c r="F4013" t="s">
        <v>61</v>
      </c>
      <c r="G4013">
        <v>-482.18009999999998</v>
      </c>
      <c r="H4013" s="1">
        <v>1.8534839999999999E-6</v>
      </c>
      <c r="I4013">
        <v>278.76240000000001</v>
      </c>
      <c r="J4013">
        <v>-465.20850000000002</v>
      </c>
      <c r="K4013">
        <v>1.1123190000000001</v>
      </c>
      <c r="L4013">
        <v>284.35270000000003</v>
      </c>
      <c r="M4013">
        <v>-0.99622929999999998</v>
      </c>
      <c r="N4013">
        <v>0</v>
      </c>
      <c r="O4013">
        <v>-8.5640679999999997E-2</v>
      </c>
      <c r="P4013">
        <v>-0.96732180000000001</v>
      </c>
      <c r="Q4013">
        <v>1.1504E-2</v>
      </c>
      <c r="R4013">
        <v>-0.25329180000000001</v>
      </c>
      <c r="S4013">
        <v>-2.8595280000000001</v>
      </c>
      <c r="T4013">
        <v>-0.1853544</v>
      </c>
      <c r="U4013">
        <v>-0.93460080000000001</v>
      </c>
      <c r="V4013">
        <v>-0.1696203</v>
      </c>
      <c r="W4013">
        <v>2.4451980000000002E-2</v>
      </c>
      <c r="X4013">
        <v>0.98520609999999997</v>
      </c>
      <c r="Y4013">
        <v>-0.22784470000000001</v>
      </c>
      <c r="Z4013">
        <v>-1.8077270000000001E-3</v>
      </c>
      <c r="AA4013">
        <v>0.9736958</v>
      </c>
      <c r="AB4013">
        <v>25</v>
      </c>
      <c r="AC4013">
        <v>-16.971599999999899</v>
      </c>
      <c r="AD4013">
        <v>-1.112317146516</v>
      </c>
      <c r="AE4013">
        <v>-5.5903000000000098</v>
      </c>
      <c r="AF4013">
        <v>-4.1002695033426999</v>
      </c>
      <c r="AG4013">
        <v>-1.112317146516</v>
      </c>
      <c r="AH4013">
        <v>17.320919750651601</v>
      </c>
      <c r="AI4013">
        <v>93.575824230469394</v>
      </c>
      <c r="AJ4013">
        <v>103.31809882578099</v>
      </c>
      <c r="AK4013">
        <v>17.834341043138899</v>
      </c>
      <c r="AL4013">
        <v>88.598865102152303</v>
      </c>
      <c r="AM4013">
        <v>99.768692618086206</v>
      </c>
      <c r="AN4013">
        <v>1.0000000024876099</v>
      </c>
    </row>
    <row r="4014" spans="1:40" x14ac:dyDescent="0.25">
      <c r="A4014" t="str">
        <f>"20190312150736057"</f>
        <v>20190312150736057</v>
      </c>
      <c r="B4014" t="str">
        <f>"1552374456053670"</f>
        <v>1552374456053670</v>
      </c>
      <c r="C4014" t="s">
        <v>40</v>
      </c>
      <c r="D4014">
        <v>4.2822269999999998</v>
      </c>
      <c r="E4014">
        <v>0.47762860000000001</v>
      </c>
      <c r="F4014" t="s">
        <v>61</v>
      </c>
      <c r="G4014">
        <v>-481.95589999999999</v>
      </c>
      <c r="H4014" s="1">
        <v>1.8399979999999999E-6</v>
      </c>
      <c r="I4014">
        <v>278.83670000000001</v>
      </c>
      <c r="J4014">
        <v>-465.34899999999999</v>
      </c>
      <c r="K4014">
        <v>1.1123700000000001</v>
      </c>
      <c r="L4014">
        <v>284.33879999999999</v>
      </c>
      <c r="M4014">
        <v>-0.99608830000000004</v>
      </c>
      <c r="N4014">
        <v>0</v>
      </c>
      <c r="O4014">
        <v>-8.7265049999999997E-2</v>
      </c>
      <c r="P4014">
        <v>-0.96690290000000001</v>
      </c>
      <c r="Q4014">
        <v>1.144015E-2</v>
      </c>
      <c r="R4014">
        <v>-0.25488880000000003</v>
      </c>
      <c r="S4014">
        <v>-2.8571780000000002</v>
      </c>
      <c r="T4014">
        <v>-0.18976570000000001</v>
      </c>
      <c r="U4014">
        <v>-0.94103999999999999</v>
      </c>
      <c r="V4014">
        <v>-0.16964360000000001</v>
      </c>
      <c r="W4014">
        <v>2.436808E-2</v>
      </c>
      <c r="X4014">
        <v>0.98520419999999997</v>
      </c>
      <c r="Y4014">
        <v>-0.22846340000000001</v>
      </c>
      <c r="Z4014">
        <v>-1.7676129999999999E-3</v>
      </c>
      <c r="AA4014">
        <v>0.9735509</v>
      </c>
      <c r="AB4014">
        <v>25</v>
      </c>
      <c r="AC4014">
        <v>-16.6068999999999</v>
      </c>
      <c r="AD4014">
        <v>-1.1123681600019999</v>
      </c>
      <c r="AE4014">
        <v>-5.50209999999998</v>
      </c>
      <c r="AF4014">
        <v>-4.0155302023139097</v>
      </c>
      <c r="AG4014">
        <v>-1.1123681600019999</v>
      </c>
      <c r="AH4014">
        <v>16.955174734759201</v>
      </c>
      <c r="AI4014">
        <v>93.652831113465496</v>
      </c>
      <c r="AJ4014">
        <v>103.323990254569</v>
      </c>
      <c r="AK4014">
        <v>17.4596619673835</v>
      </c>
      <c r="AL4014">
        <v>88.603673696277994</v>
      </c>
      <c r="AM4014">
        <v>99.7700271203326</v>
      </c>
      <c r="AN4014">
        <v>1.0000000350207401</v>
      </c>
    </row>
    <row r="4015" spans="1:40" x14ac:dyDescent="0.25">
      <c r="A4015" t="str">
        <f>"20190312150736070"</f>
        <v>20190312150736070</v>
      </c>
      <c r="B4015" t="str">
        <f>"1552374456064407"</f>
        <v>1552374456064407</v>
      </c>
      <c r="C4015" t="s">
        <v>40</v>
      </c>
      <c r="D4015">
        <v>4.5644400000000003</v>
      </c>
      <c r="E4015">
        <v>0.47765659999999999</v>
      </c>
      <c r="F4015" t="s">
        <v>61</v>
      </c>
      <c r="G4015">
        <v>-481.84609999999998</v>
      </c>
      <c r="H4015" s="1">
        <v>1.8328419999999999E-6</v>
      </c>
      <c r="I4015">
        <v>278.8716</v>
      </c>
      <c r="J4015">
        <v>-465.47190000000001</v>
      </c>
      <c r="K4015">
        <v>1.112411</v>
      </c>
      <c r="L4015">
        <v>284.32650000000001</v>
      </c>
      <c r="M4015">
        <v>-0.99596070000000003</v>
      </c>
      <c r="N4015">
        <v>0</v>
      </c>
      <c r="O4015">
        <v>-8.8709979999999994E-2</v>
      </c>
      <c r="P4015">
        <v>-0.96644770000000002</v>
      </c>
      <c r="Q4015">
        <v>1.1174409999999999E-2</v>
      </c>
      <c r="R4015">
        <v>-0.25662109999999999</v>
      </c>
      <c r="S4015">
        <v>-2.855499</v>
      </c>
      <c r="T4015">
        <v>-0.19254080000000001</v>
      </c>
      <c r="U4015">
        <v>-0.94631960000000004</v>
      </c>
      <c r="V4015">
        <v>-0.16998070000000001</v>
      </c>
      <c r="W4015">
        <v>2.4083500000000001E-2</v>
      </c>
      <c r="X4015">
        <v>0.9851531</v>
      </c>
      <c r="Y4015">
        <v>-0.22883790000000001</v>
      </c>
      <c r="Z4015">
        <v>-1.712442E-3</v>
      </c>
      <c r="AA4015">
        <v>0.97346310000000003</v>
      </c>
      <c r="AB4015">
        <v>25</v>
      </c>
      <c r="AC4015">
        <v>-16.374199999999899</v>
      </c>
      <c r="AD4015">
        <v>-1.1124091671580001</v>
      </c>
      <c r="AE4015">
        <v>-5.4549000000000003</v>
      </c>
      <c r="AF4015">
        <v>-3.96422613688864</v>
      </c>
      <c r="AG4015">
        <v>-1.1124091671580001</v>
      </c>
      <c r="AH4015">
        <v>16.724105354206799</v>
      </c>
      <c r="AI4015">
        <v>93.703127831691404</v>
      </c>
      <c r="AJ4015">
        <v>103.335086089505</v>
      </c>
      <c r="AK4015">
        <v>17.223479408010899</v>
      </c>
      <c r="AL4015">
        <v>88.619983724967199</v>
      </c>
      <c r="AM4015">
        <v>99.789563905657104</v>
      </c>
      <c r="AN4015">
        <v>1.00000004189217</v>
      </c>
    </row>
    <row r="4016" spans="1:40" x14ac:dyDescent="0.25">
      <c r="A4016" t="str">
        <f>"20190312150736081"</f>
        <v>20190312150736081</v>
      </c>
      <c r="B4016" t="str">
        <f>"1552374456074166"</f>
        <v>1552374456074166</v>
      </c>
      <c r="C4016" t="s">
        <v>40</v>
      </c>
      <c r="D4016">
        <v>4.5029490000000001</v>
      </c>
      <c r="E4016">
        <v>0.4776878</v>
      </c>
      <c r="F4016" t="s">
        <v>61</v>
      </c>
      <c r="G4016">
        <v>-481.82380000000001</v>
      </c>
      <c r="H4016" s="1">
        <v>1.8301789999999999E-6</v>
      </c>
      <c r="I4016">
        <v>278.87529999999998</v>
      </c>
      <c r="J4016">
        <v>-465.61090000000002</v>
      </c>
      <c r="K4016">
        <v>1.112463</v>
      </c>
      <c r="L4016">
        <v>284.31229999999999</v>
      </c>
      <c r="M4016">
        <v>-0.99581059999999999</v>
      </c>
      <c r="N4016">
        <v>0</v>
      </c>
      <c r="O4016">
        <v>-9.0377799999999994E-2</v>
      </c>
      <c r="P4016">
        <v>-0.96607739999999998</v>
      </c>
      <c r="Q4016">
        <v>1.0804599999999999E-2</v>
      </c>
      <c r="R4016">
        <v>-0.25802789999999998</v>
      </c>
      <c r="S4016">
        <v>-2.8537599999999999</v>
      </c>
      <c r="T4016">
        <v>-0.1941398</v>
      </c>
      <c r="U4016">
        <v>-0.95135499999999995</v>
      </c>
      <c r="V4016">
        <v>-0.16976569999999999</v>
      </c>
      <c r="W4016">
        <v>2.3696419999999999E-2</v>
      </c>
      <c r="X4016">
        <v>0.98519950000000001</v>
      </c>
      <c r="Y4016">
        <v>-0.22892989999999999</v>
      </c>
      <c r="Z4016">
        <v>-1.621087E-3</v>
      </c>
      <c r="AA4016">
        <v>0.97344149999999996</v>
      </c>
      <c r="AB4016">
        <v>25</v>
      </c>
      <c r="AC4016">
        <v>-16.212899999999902</v>
      </c>
      <c r="AD4016">
        <v>-1.1124611698209901</v>
      </c>
      <c r="AE4016">
        <v>-5.43700000000001</v>
      </c>
      <c r="AF4016">
        <v>-3.9326735508467299</v>
      </c>
      <c r="AG4016">
        <v>-1.1124611698209901</v>
      </c>
      <c r="AH4016">
        <v>16.567850165138999</v>
      </c>
      <c r="AI4016">
        <v>93.737851422570202</v>
      </c>
      <c r="AJ4016">
        <v>103.35304622288599</v>
      </c>
      <c r="AK4016">
        <v>17.064499705716099</v>
      </c>
      <c r="AL4016">
        <v>88.642168027451206</v>
      </c>
      <c r="AM4016">
        <v>99.776969119702898</v>
      </c>
      <c r="AN4016">
        <v>0.99999998400877799</v>
      </c>
    </row>
    <row r="4017" spans="1:40" x14ac:dyDescent="0.25">
      <c r="A4017" t="str">
        <f>"20190312150736094"</f>
        <v>20190312150736094</v>
      </c>
      <c r="B4017" t="str">
        <f>"1552374456083926"</f>
        <v>1552374456083926</v>
      </c>
      <c r="C4017" t="s">
        <v>40</v>
      </c>
      <c r="D4017">
        <v>4.3320080000000001</v>
      </c>
      <c r="E4017">
        <v>0.47769279999999997</v>
      </c>
      <c r="F4017" t="s">
        <v>61</v>
      </c>
      <c r="G4017">
        <v>-481.80459999999999</v>
      </c>
      <c r="H4017" s="1">
        <v>1.8318800000000001E-6</v>
      </c>
      <c r="I4017">
        <v>278.8897</v>
      </c>
      <c r="J4017">
        <v>-465.7491</v>
      </c>
      <c r="K4017">
        <v>1.112506</v>
      </c>
      <c r="L4017">
        <v>284.29790000000003</v>
      </c>
      <c r="M4017">
        <v>-0.99565360000000003</v>
      </c>
      <c r="N4017">
        <v>0</v>
      </c>
      <c r="O4017">
        <v>-9.2092080000000007E-2</v>
      </c>
      <c r="P4017">
        <v>-0.96566750000000001</v>
      </c>
      <c r="Q4017">
        <v>1.051378E-2</v>
      </c>
      <c r="R4017">
        <v>-0.25956889999999999</v>
      </c>
      <c r="S4017">
        <v>-2.8524479999999999</v>
      </c>
      <c r="T4017">
        <v>-0.19595489999999999</v>
      </c>
      <c r="U4017">
        <v>-0.95516970000000001</v>
      </c>
      <c r="V4017">
        <v>-0.1696424</v>
      </c>
      <c r="W4017">
        <v>2.338894E-2</v>
      </c>
      <c r="X4017">
        <v>0.98522810000000005</v>
      </c>
      <c r="Y4017">
        <v>-0.2285585</v>
      </c>
      <c r="Z4017">
        <v>-1.51094799999999E-3</v>
      </c>
      <c r="AA4017">
        <v>0.97352899999999998</v>
      </c>
      <c r="AB4017">
        <v>25</v>
      </c>
      <c r="AC4017">
        <v>-16.055499999999899</v>
      </c>
      <c r="AD4017">
        <v>-1.1125041681200001</v>
      </c>
      <c r="AE4017">
        <v>-5.4082000000000203</v>
      </c>
      <c r="AF4017">
        <v>-3.8897138465126702</v>
      </c>
      <c r="AG4017">
        <v>-1.1125041681200001</v>
      </c>
      <c r="AH4017">
        <v>16.414579542155</v>
      </c>
      <c r="AI4017">
        <v>93.773137088433003</v>
      </c>
      <c r="AJ4017">
        <v>103.331307509477</v>
      </c>
      <c r="AK4017">
        <v>16.9057966649777</v>
      </c>
      <c r="AL4017">
        <v>88.659790236749402</v>
      </c>
      <c r="AM4017">
        <v>99.769726906733496</v>
      </c>
      <c r="AN4017">
        <v>0.99999999771084602</v>
      </c>
    </row>
    <row r="4018" spans="1:40" x14ac:dyDescent="0.25">
      <c r="A4018" t="str">
        <f>"20190312150736107"</f>
        <v>20190312150736107</v>
      </c>
      <c r="B4018" t="str">
        <f>"1552374456104422"</f>
        <v>1552374456104422</v>
      </c>
      <c r="C4018" t="s">
        <v>40</v>
      </c>
      <c r="D4018">
        <v>4.3313860000000002</v>
      </c>
      <c r="E4018">
        <v>0.47769729999999999</v>
      </c>
      <c r="F4018" t="s">
        <v>61</v>
      </c>
      <c r="G4018">
        <v>-481.78129999999999</v>
      </c>
      <c r="H4018" s="1">
        <v>1.8313149999999999E-6</v>
      </c>
      <c r="I4018">
        <v>278.89980000000003</v>
      </c>
      <c r="J4018">
        <v>-465.8854</v>
      </c>
      <c r="K4018">
        <v>1.1125510000000001</v>
      </c>
      <c r="L4018">
        <v>284.2835</v>
      </c>
      <c r="M4018">
        <v>-0.99549299999999996</v>
      </c>
      <c r="N4018">
        <v>0</v>
      </c>
      <c r="O4018">
        <v>-9.3810169999999998E-2</v>
      </c>
      <c r="P4018">
        <v>-0.96518110000000001</v>
      </c>
      <c r="Q4018">
        <v>1.0409949999999999E-2</v>
      </c>
      <c r="R4018">
        <v>-0.26137549999999998</v>
      </c>
      <c r="S4018">
        <v>-2.8508610000000001</v>
      </c>
      <c r="T4018">
        <v>-0.19782640000000001</v>
      </c>
      <c r="U4018">
        <v>-0.95989990000000003</v>
      </c>
      <c r="V4018">
        <v>-0.16978760000000001</v>
      </c>
      <c r="W4018">
        <v>2.3266419999999999E-2</v>
      </c>
      <c r="X4018">
        <v>0.98520600000000003</v>
      </c>
      <c r="Y4018">
        <v>-0.22849149999999999</v>
      </c>
      <c r="Z4018">
        <v>-1.4089669999999999E-3</v>
      </c>
      <c r="AA4018">
        <v>0.97354490000000005</v>
      </c>
      <c r="AB4018">
        <v>25</v>
      </c>
      <c r="AC4018">
        <v>-15.8958999999999</v>
      </c>
      <c r="AD4018">
        <v>-1.112549168685</v>
      </c>
      <c r="AE4018">
        <v>-5.38369999999997</v>
      </c>
      <c r="AF4018">
        <v>-3.8516864262927299</v>
      </c>
      <c r="AG4018">
        <v>-1.112549168685</v>
      </c>
      <c r="AH4018">
        <v>16.259430057053301</v>
      </c>
      <c r="AI4018">
        <v>93.8092550961087</v>
      </c>
      <c r="AJ4018">
        <v>103.327096412171</v>
      </c>
      <c r="AK4018">
        <v>16.746412145872799</v>
      </c>
      <c r="AL4018">
        <v>88.666812041449703</v>
      </c>
      <c r="AM4018">
        <v>99.778142748535799</v>
      </c>
      <c r="AN4018">
        <v>1.0000000089246801</v>
      </c>
    </row>
    <row r="4019" spans="1:40" x14ac:dyDescent="0.25">
      <c r="A4019" t="str">
        <f>"20190312150736121"</f>
        <v>20190312150736121</v>
      </c>
      <c r="B4019" t="str">
        <f>"1552374456114182"</f>
        <v>1552374456114182</v>
      </c>
      <c r="C4019" t="s">
        <v>40</v>
      </c>
      <c r="D4019">
        <v>4.467492</v>
      </c>
      <c r="E4019">
        <v>0.47771829999999998</v>
      </c>
      <c r="F4019" t="s">
        <v>61</v>
      </c>
      <c r="G4019">
        <v>-481.72519999999997</v>
      </c>
      <c r="H4019" s="1">
        <v>1.8277239999999999E-6</v>
      </c>
      <c r="I4019">
        <v>278.9178</v>
      </c>
      <c r="J4019">
        <v>-466.03120000000001</v>
      </c>
      <c r="K4019">
        <v>1.112601</v>
      </c>
      <c r="L4019">
        <v>284.26769999999999</v>
      </c>
      <c r="M4019">
        <v>-0.9953128</v>
      </c>
      <c r="N4019">
        <v>0</v>
      </c>
      <c r="O4019">
        <v>-9.5703679999999999E-2</v>
      </c>
      <c r="P4019">
        <v>-0.96471569999999995</v>
      </c>
      <c r="Q4019">
        <v>1.0155040000000001E-2</v>
      </c>
      <c r="R4019">
        <v>-0.263098</v>
      </c>
      <c r="S4019">
        <v>-2.8489689999999999</v>
      </c>
      <c r="T4019">
        <v>-0.20010549999999999</v>
      </c>
      <c r="U4019">
        <v>-0.9650879</v>
      </c>
      <c r="V4019">
        <v>-0.16967360000000001</v>
      </c>
      <c r="W4019">
        <v>2.299375E-2</v>
      </c>
      <c r="X4019">
        <v>0.98523210000000006</v>
      </c>
      <c r="Y4019">
        <v>-0.22842399999999999</v>
      </c>
      <c r="Z4019">
        <v>-1.295673E-3</v>
      </c>
      <c r="AA4019">
        <v>0.97356089999999995</v>
      </c>
      <c r="AB4019">
        <v>25</v>
      </c>
      <c r="AC4019">
        <v>-15.6939999999999</v>
      </c>
      <c r="AD4019">
        <v>-1.112599172276</v>
      </c>
      <c r="AE4019">
        <v>-5.3498999999999901</v>
      </c>
      <c r="AF4019">
        <v>-3.8060824221840801</v>
      </c>
      <c r="AG4019">
        <v>-1.112599172276</v>
      </c>
      <c r="AH4019">
        <v>16.061683288253398</v>
      </c>
      <c r="AI4019">
        <v>93.856119104973004</v>
      </c>
      <c r="AJ4019">
        <v>103.33128503530401</v>
      </c>
      <c r="AK4019">
        <v>16.543935758300201</v>
      </c>
      <c r="AL4019">
        <v>88.682439138848395</v>
      </c>
      <c r="AM4019">
        <v>99.771450176010006</v>
      </c>
      <c r="AN4019">
        <v>1.0000000669732101</v>
      </c>
    </row>
    <row r="4020" spans="1:40" x14ac:dyDescent="0.25">
      <c r="A4020" t="str">
        <f>"20190312150736133"</f>
        <v>20190312150736133</v>
      </c>
      <c r="B4020" t="str">
        <f>"1552374456123941"</f>
        <v>1552374456123941</v>
      </c>
      <c r="C4020" t="s">
        <v>40</v>
      </c>
      <c r="D4020">
        <v>4.3725129999999996</v>
      </c>
      <c r="E4020">
        <v>0.47769119999999998</v>
      </c>
      <c r="F4020" t="s">
        <v>61</v>
      </c>
      <c r="G4020">
        <v>-481.74579999999997</v>
      </c>
      <c r="H4020" s="1">
        <v>1.8294560000000001E-6</v>
      </c>
      <c r="I4020">
        <v>278.91239999999999</v>
      </c>
      <c r="J4020">
        <v>-466.17290000000003</v>
      </c>
      <c r="K4020">
        <v>1.112649</v>
      </c>
      <c r="L4020">
        <v>284.25200000000001</v>
      </c>
      <c r="M4020">
        <v>-0.99512959999999995</v>
      </c>
      <c r="N4020">
        <v>0</v>
      </c>
      <c r="O4020">
        <v>-9.7589140000000005E-2</v>
      </c>
      <c r="P4020">
        <v>-0.96421460000000003</v>
      </c>
      <c r="Q4020">
        <v>1.033913E-2</v>
      </c>
      <c r="R4020">
        <v>-0.26492149999999998</v>
      </c>
      <c r="S4020">
        <v>-2.8472599999999999</v>
      </c>
      <c r="T4020">
        <v>-0.20158699999999999</v>
      </c>
      <c r="U4020">
        <v>-0.97030640000000001</v>
      </c>
      <c r="V4020">
        <v>-0.1696734</v>
      </c>
      <c r="W4020">
        <v>2.3161069999999999E-2</v>
      </c>
      <c r="X4020">
        <v>0.98522810000000005</v>
      </c>
      <c r="Y4020">
        <v>-0.2283567</v>
      </c>
      <c r="Z4020">
        <v>-1.175234E-3</v>
      </c>
      <c r="AA4020">
        <v>0.97357680000000002</v>
      </c>
      <c r="AB4020">
        <v>25</v>
      </c>
      <c r="AC4020">
        <v>-15.572899999999899</v>
      </c>
      <c r="AD4020">
        <v>-1.112647170544</v>
      </c>
      <c r="AE4020">
        <v>-5.3396000000000097</v>
      </c>
      <c r="AF4020">
        <v>-3.7769628329639202</v>
      </c>
      <c r="AG4020">
        <v>-1.112647170544</v>
      </c>
      <c r="AH4020">
        <v>15.9468488603481</v>
      </c>
      <c r="AI4020">
        <v>93.884073564690098</v>
      </c>
      <c r="AJ4020">
        <v>103.324795183639</v>
      </c>
      <c r="AK4020">
        <v>16.425754793692001</v>
      </c>
      <c r="AL4020">
        <v>88.672849705128897</v>
      </c>
      <c r="AM4020">
        <v>99.771477787110797</v>
      </c>
      <c r="AN4020">
        <v>0.99999995343035597</v>
      </c>
    </row>
    <row r="4021" spans="1:40" x14ac:dyDescent="0.25">
      <c r="A4021" t="str">
        <f>"20190312150736146"</f>
        <v>20190312150736146</v>
      </c>
      <c r="B4021" t="str">
        <f>"1552374456134678"</f>
        <v>1552374456134678</v>
      </c>
      <c r="C4021" t="s">
        <v>40</v>
      </c>
      <c r="D4021">
        <v>4.561121</v>
      </c>
      <c r="E4021">
        <v>0.4777033</v>
      </c>
      <c r="F4021" t="s">
        <v>61</v>
      </c>
      <c r="G4021">
        <v>-481.83550000000002</v>
      </c>
      <c r="H4021" s="1">
        <v>1.8343899999999999E-6</v>
      </c>
      <c r="I4021">
        <v>278.88130000000001</v>
      </c>
      <c r="J4021">
        <v>-466.30279999999999</v>
      </c>
      <c r="K4021">
        <v>1.112689</v>
      </c>
      <c r="L4021">
        <v>284.23739999999998</v>
      </c>
      <c r="M4021">
        <v>-0.99495619999999996</v>
      </c>
      <c r="N4021">
        <v>0</v>
      </c>
      <c r="O4021">
        <v>-9.9341440000000003E-2</v>
      </c>
      <c r="P4021">
        <v>-0.96369950000000004</v>
      </c>
      <c r="Q4021">
        <v>1.0032910000000001E-2</v>
      </c>
      <c r="R4021">
        <v>-0.26680110000000001</v>
      </c>
      <c r="S4021">
        <v>-2.845459</v>
      </c>
      <c r="T4021">
        <v>-0.20213610000000001</v>
      </c>
      <c r="U4021">
        <v>-0.97570800000000002</v>
      </c>
      <c r="V4021">
        <v>-0.16986019999999999</v>
      </c>
      <c r="W4021">
        <v>2.2838339999999999E-2</v>
      </c>
      <c r="X4021">
        <v>0.98520350000000001</v>
      </c>
      <c r="Y4021">
        <v>-0.228487</v>
      </c>
      <c r="Z4021">
        <v>-1.063963E-3</v>
      </c>
      <c r="AA4021">
        <v>0.97354640000000003</v>
      </c>
      <c r="AB4021">
        <v>25</v>
      </c>
      <c r="AC4021">
        <v>-15.5327</v>
      </c>
      <c r="AD4021">
        <v>-1.1126871656099999</v>
      </c>
      <c r="AE4021">
        <v>-5.3560999999999597</v>
      </c>
      <c r="AF4021">
        <v>-3.7691241702206701</v>
      </c>
      <c r="AG4021">
        <v>-1.1126871656099999</v>
      </c>
      <c r="AH4021">
        <v>15.914994968002899</v>
      </c>
      <c r="AI4021">
        <v>93.891979227190504</v>
      </c>
      <c r="AJ4021">
        <v>103.323792404892</v>
      </c>
      <c r="AK4021">
        <v>16.393030060687799</v>
      </c>
      <c r="AL4021">
        <v>88.691345735636105</v>
      </c>
      <c r="AM4021">
        <v>99.782267396215303</v>
      </c>
      <c r="AN4021">
        <v>1.00000000686512</v>
      </c>
    </row>
    <row r="4022" spans="1:40" x14ac:dyDescent="0.25">
      <c r="A4022" t="str">
        <f>"20190312150736159"</f>
        <v>20190312150736159</v>
      </c>
      <c r="B4022" t="str">
        <f>"1552374456154197"</f>
        <v>1552374456154197</v>
      </c>
      <c r="C4022" t="s">
        <v>40</v>
      </c>
      <c r="D4022">
        <v>4.3581849999999998</v>
      </c>
      <c r="E4022">
        <v>0.47774420000000001</v>
      </c>
      <c r="F4022" t="s">
        <v>61</v>
      </c>
      <c r="G4022">
        <v>-481.82690000000002</v>
      </c>
      <c r="H4022" s="1">
        <v>1.8332409999999999E-6</v>
      </c>
      <c r="I4022">
        <v>278.88240000000002</v>
      </c>
      <c r="J4022">
        <v>-466.44979999999998</v>
      </c>
      <c r="K4022">
        <v>1.112733</v>
      </c>
      <c r="L4022">
        <v>284.22059999999999</v>
      </c>
      <c r="M4022">
        <v>-0.9947511</v>
      </c>
      <c r="N4022">
        <v>0</v>
      </c>
      <c r="O4022">
        <v>-0.1013749</v>
      </c>
      <c r="P4022">
        <v>-0.96316979999999996</v>
      </c>
      <c r="Q4022">
        <v>1.0410279999999999E-2</v>
      </c>
      <c r="R4022">
        <v>-0.26869359999999998</v>
      </c>
      <c r="S4022">
        <v>-2.8435670000000002</v>
      </c>
      <c r="T4022">
        <v>-0.2038122</v>
      </c>
      <c r="U4022">
        <v>-0.98089599999999999</v>
      </c>
      <c r="V4022">
        <v>-0.16978650000000001</v>
      </c>
      <c r="W4022">
        <v>2.3201119999999999E-2</v>
      </c>
      <c r="X4022">
        <v>0.98520770000000002</v>
      </c>
      <c r="Y4022">
        <v>-0.2282844</v>
      </c>
      <c r="Z4022">
        <v>-9.264532E-4</v>
      </c>
      <c r="AA4022">
        <v>0.97359410000000002</v>
      </c>
      <c r="AB4022">
        <v>25</v>
      </c>
      <c r="AC4022">
        <v>-15.3771</v>
      </c>
      <c r="AD4022">
        <v>-1.1127311667590001</v>
      </c>
      <c r="AE4022">
        <v>-5.3381999999999703</v>
      </c>
      <c r="AF4022">
        <v>-3.73424027705867</v>
      </c>
      <c r="AG4022">
        <v>-1.1127311667590001</v>
      </c>
      <c r="AH4022">
        <v>15.7654033571624</v>
      </c>
      <c r="AI4022">
        <v>93.928918140513005</v>
      </c>
      <c r="AJ4022">
        <v>103.325663271675</v>
      </c>
      <c r="AK4022">
        <v>16.239786455194199</v>
      </c>
      <c r="AL4022">
        <v>88.670554427384801</v>
      </c>
      <c r="AM4022">
        <v>99.778064075314106</v>
      </c>
      <c r="AN4022">
        <v>0.99999997984539701</v>
      </c>
    </row>
    <row r="4023" spans="1:40" x14ac:dyDescent="0.25">
      <c r="A4023" t="str">
        <f>"20190312150736172"</f>
        <v>20190312150736172</v>
      </c>
      <c r="B4023" t="str">
        <f>"1552374456163958"</f>
        <v>1552374456163958</v>
      </c>
      <c r="C4023" t="s">
        <v>40</v>
      </c>
      <c r="D4023">
        <v>4.5625920000000004</v>
      </c>
      <c r="E4023">
        <v>0.4777652</v>
      </c>
      <c r="F4023" t="s">
        <v>61</v>
      </c>
      <c r="G4023">
        <v>-481.95310000000001</v>
      </c>
      <c r="H4023" s="1">
        <v>1.8404359999999999E-6</v>
      </c>
      <c r="I4023">
        <v>278.83940000000001</v>
      </c>
      <c r="J4023">
        <v>-466.59190000000001</v>
      </c>
      <c r="K4023">
        <v>1.1127720000000001</v>
      </c>
      <c r="L4023">
        <v>284.20389999999998</v>
      </c>
      <c r="M4023">
        <v>-0.99454529999999997</v>
      </c>
      <c r="N4023">
        <v>0</v>
      </c>
      <c r="O4023">
        <v>-0.10337349999999999</v>
      </c>
      <c r="P4023">
        <v>-0.96265599999999996</v>
      </c>
      <c r="Q4023">
        <v>1.0292620000000001E-2</v>
      </c>
      <c r="R4023">
        <v>-0.27053189999999999</v>
      </c>
      <c r="S4023">
        <v>-2.841736</v>
      </c>
      <c r="T4023">
        <v>-0.203962</v>
      </c>
      <c r="U4023">
        <v>-0.98635859999999997</v>
      </c>
      <c r="V4023">
        <v>-0.16968929999999999</v>
      </c>
      <c r="W4023">
        <v>2.307002E-2</v>
      </c>
      <c r="X4023">
        <v>0.98522750000000003</v>
      </c>
      <c r="Y4023">
        <v>-0.22819719999999999</v>
      </c>
      <c r="Z4023">
        <v>-7.8707229999999998E-4</v>
      </c>
      <c r="AA4023">
        <v>0.9736146</v>
      </c>
      <c r="AB4023">
        <v>25</v>
      </c>
      <c r="AC4023">
        <v>-15.361199999999901</v>
      </c>
      <c r="AD4023">
        <v>-1.1127701595639901</v>
      </c>
      <c r="AE4023">
        <v>-5.3644999999999596</v>
      </c>
      <c r="AF4023">
        <v>-3.7302130944921199</v>
      </c>
      <c r="AG4023">
        <v>-1.1127701595639901</v>
      </c>
      <c r="AH4023">
        <v>15.759777538007301</v>
      </c>
      <c r="AI4023">
        <v>93.930603766697899</v>
      </c>
      <c r="AJ4023">
        <v>103.31638681066801</v>
      </c>
      <c r="AK4023">
        <v>16.233401837132501</v>
      </c>
      <c r="AL4023">
        <v>88.678067883205799</v>
      </c>
      <c r="AM4023">
        <v>99.772381648746403</v>
      </c>
      <c r="AN4023">
        <v>0.99999995555676902</v>
      </c>
    </row>
    <row r="4024" spans="1:40" x14ac:dyDescent="0.25">
      <c r="A4024" t="str">
        <f>"20190312150736191"</f>
        <v>20190312150736191</v>
      </c>
      <c r="B4024" t="str">
        <f>"1552374456184454"</f>
        <v>1552374456184454</v>
      </c>
      <c r="C4024" t="s">
        <v>40</v>
      </c>
      <c r="D4024">
        <v>4.3591989999999896</v>
      </c>
      <c r="E4024">
        <v>0.47778920000000002</v>
      </c>
      <c r="F4024" t="s">
        <v>61</v>
      </c>
      <c r="G4024">
        <v>-482.03359999999998</v>
      </c>
      <c r="H4024" s="1">
        <v>1.8451389999999999E-6</v>
      </c>
      <c r="I4024">
        <v>278.81229999999999</v>
      </c>
      <c r="J4024">
        <v>-466.79129999999998</v>
      </c>
      <c r="K4024">
        <v>1.112819</v>
      </c>
      <c r="L4024">
        <v>284.18</v>
      </c>
      <c r="M4024">
        <v>-0.99424420000000002</v>
      </c>
      <c r="N4024">
        <v>0</v>
      </c>
      <c r="O4024">
        <v>-0.1062302</v>
      </c>
      <c r="P4024">
        <v>-0.96201409999999998</v>
      </c>
      <c r="Q4024">
        <v>1.008973E-2</v>
      </c>
      <c r="R4024">
        <v>-0.27281250000000001</v>
      </c>
      <c r="S4024">
        <v>-2.8399350000000001</v>
      </c>
      <c r="T4024">
        <v>-0.204653</v>
      </c>
      <c r="U4024">
        <v>-0.99157709999999999</v>
      </c>
      <c r="V4024">
        <v>-0.1691945</v>
      </c>
      <c r="W4024">
        <v>2.285264E-2</v>
      </c>
      <c r="X4024">
        <v>0.98531769999999996</v>
      </c>
      <c r="Y4024">
        <v>-0.2271937</v>
      </c>
      <c r="Z4024">
        <v>-5.5792319999999995E-4</v>
      </c>
      <c r="AA4024">
        <v>0.97384939999999998</v>
      </c>
      <c r="AB4024">
        <v>24</v>
      </c>
      <c r="AC4024">
        <v>-15.2423</v>
      </c>
      <c r="AD4024">
        <v>-1.112817154861</v>
      </c>
      <c r="AE4024">
        <v>-5.3677000000000099</v>
      </c>
      <c r="AF4024">
        <v>-3.7004240318210599</v>
      </c>
      <c r="AG4024">
        <v>-1.112817154861</v>
      </c>
      <c r="AH4024">
        <v>15.6520783682715</v>
      </c>
      <c r="AI4024">
        <v>93.957973176654903</v>
      </c>
      <c r="AJ4024">
        <v>103.301488980012</v>
      </c>
      <c r="AK4024">
        <v>16.122005374082502</v>
      </c>
      <c r="AL4024">
        <v>88.690526177816693</v>
      </c>
      <c r="AM4024">
        <v>99.743558329683196</v>
      </c>
      <c r="AN4024">
        <v>0.99999999595925404</v>
      </c>
    </row>
    <row r="4025" spans="1:40" x14ac:dyDescent="0.25">
      <c r="A4025" t="str">
        <f>"20190312150736212"</f>
        <v>20190312150736212</v>
      </c>
      <c r="B4025" t="str">
        <f>"1552374456203974"</f>
        <v>1552374456203974</v>
      </c>
      <c r="C4025" t="s">
        <v>40</v>
      </c>
      <c r="D4025">
        <v>4.3681780000000003</v>
      </c>
      <c r="E4025">
        <v>0.47780909999999899</v>
      </c>
      <c r="F4025" t="s">
        <v>61</v>
      </c>
      <c r="G4025">
        <v>-482.1096</v>
      </c>
      <c r="H4025" s="1">
        <v>1.851263E-6</v>
      </c>
      <c r="I4025">
        <v>278.79149999999998</v>
      </c>
      <c r="J4025">
        <v>-467.02690000000001</v>
      </c>
      <c r="K4025">
        <v>1.1128690000000001</v>
      </c>
      <c r="L4025">
        <v>284.1508</v>
      </c>
      <c r="M4025">
        <v>-0.99386940000000001</v>
      </c>
      <c r="N4025">
        <v>0</v>
      </c>
      <c r="O4025">
        <v>-0.1096823</v>
      </c>
      <c r="P4025">
        <v>-0.96111760000000002</v>
      </c>
      <c r="Q4025">
        <v>9.2849930000000001E-3</v>
      </c>
      <c r="R4025">
        <v>-0.27598400000000001</v>
      </c>
      <c r="S4025">
        <v>-2.8375849999999998</v>
      </c>
      <c r="T4025">
        <v>-0.20613999999999999</v>
      </c>
      <c r="U4025">
        <v>-0.99816890000000003</v>
      </c>
      <c r="V4025">
        <v>-0.16902</v>
      </c>
      <c r="W4025">
        <v>2.203126E-2</v>
      </c>
      <c r="X4025">
        <v>0.98536630000000003</v>
      </c>
      <c r="Y4025">
        <v>-0.2260839</v>
      </c>
      <c r="Z4025">
        <v>-2.8342800000000001E-4</v>
      </c>
      <c r="AA4025">
        <v>0.97410779999999997</v>
      </c>
      <c r="AB4025">
        <v>24</v>
      </c>
      <c r="AC4025">
        <v>-15.0826999999999</v>
      </c>
      <c r="AD4025">
        <v>-1.1128671487369901</v>
      </c>
      <c r="AE4025">
        <v>-5.3593000000000099</v>
      </c>
      <c r="AF4025">
        <v>-3.65482742658204</v>
      </c>
      <c r="AG4025">
        <v>-1.1128671487369901</v>
      </c>
      <c r="AH4025">
        <v>15.504614484185501</v>
      </c>
      <c r="AI4025">
        <v>93.996291477315296</v>
      </c>
      <c r="AJ4025">
        <v>103.263917935031</v>
      </c>
      <c r="AK4025">
        <v>15.968384611852599</v>
      </c>
      <c r="AL4025">
        <v>88.7375995728719</v>
      </c>
      <c r="AM4025">
        <v>99.733230672821804</v>
      </c>
      <c r="AN4025">
        <v>0.99999994099643696</v>
      </c>
    </row>
    <row r="4026" spans="1:40" x14ac:dyDescent="0.25">
      <c r="A4026" t="str">
        <f>"20190312150736225"</f>
        <v>20190312150736225</v>
      </c>
      <c r="B4026" t="str">
        <f>"1552374456213734"</f>
        <v>1552374456213734</v>
      </c>
      <c r="C4026" t="s">
        <v>40</v>
      </c>
      <c r="D4026">
        <v>4.6892019999999999</v>
      </c>
      <c r="E4026">
        <v>0.477802</v>
      </c>
      <c r="F4026" t="s">
        <v>61</v>
      </c>
      <c r="G4026">
        <v>-482.08859999999999</v>
      </c>
      <c r="H4026" s="1">
        <v>1.849293E-6</v>
      </c>
      <c r="I4026">
        <v>278.79640000000001</v>
      </c>
      <c r="J4026">
        <v>-467.16140000000001</v>
      </c>
      <c r="K4026">
        <v>1.1128880000000001</v>
      </c>
      <c r="L4026">
        <v>284.13389999999998</v>
      </c>
      <c r="M4026">
        <v>-0.99364699999999995</v>
      </c>
      <c r="N4026">
        <v>0</v>
      </c>
      <c r="O4026">
        <v>-0.1116786</v>
      </c>
      <c r="P4026">
        <v>-0.96056059999999999</v>
      </c>
      <c r="Q4026">
        <v>8.8639449999999998E-3</v>
      </c>
      <c r="R4026">
        <v>-0.27792990000000001</v>
      </c>
      <c r="S4026">
        <v>-2.834076</v>
      </c>
      <c r="T4026">
        <v>-0.20940149999999999</v>
      </c>
      <c r="U4026">
        <v>-1.0075069999999999</v>
      </c>
      <c r="V4026">
        <v>-0.16903470000000001</v>
      </c>
      <c r="W4026">
        <v>2.160078E-2</v>
      </c>
      <c r="X4026">
        <v>0.98537339999999995</v>
      </c>
      <c r="Y4026">
        <v>-0.22735</v>
      </c>
      <c r="Z4026">
        <v>-1.928252E-4</v>
      </c>
      <c r="AA4026">
        <v>0.97381309999999999</v>
      </c>
      <c r="AB4026">
        <v>24</v>
      </c>
      <c r="AC4026">
        <v>-14.9271999999999</v>
      </c>
      <c r="AD4026">
        <v>-1.11288615070699</v>
      </c>
      <c r="AE4026">
        <v>-5.3374999999999702</v>
      </c>
      <c r="AF4026">
        <v>-3.6190584370768999</v>
      </c>
      <c r="AG4026">
        <v>-1.11288615070699</v>
      </c>
      <c r="AH4026">
        <v>15.354275705818999</v>
      </c>
      <c r="AI4026">
        <v>94.035379842291306</v>
      </c>
      <c r="AJ4026">
        <v>103.262750057971</v>
      </c>
      <c r="AK4026">
        <v>15.8142303640018</v>
      </c>
      <c r="AL4026">
        <v>88.762270243973802</v>
      </c>
      <c r="AM4026">
        <v>99.733992200732501</v>
      </c>
      <c r="AN4026">
        <v>1.0000000304641199</v>
      </c>
    </row>
    <row r="4027" spans="1:40" x14ac:dyDescent="0.25">
      <c r="A4027" t="str">
        <f>"20190312150736246"</f>
        <v>20190312150736246</v>
      </c>
      <c r="B4027" t="str">
        <f>"1552374456243989"</f>
        <v>1552374456243989</v>
      </c>
      <c r="C4027" t="s">
        <v>40</v>
      </c>
      <c r="D4027">
        <v>4.4717010000000004</v>
      </c>
      <c r="E4027">
        <v>0.4777786</v>
      </c>
      <c r="F4027" t="s">
        <v>61</v>
      </c>
      <c r="G4027">
        <v>-482.09140000000002</v>
      </c>
      <c r="H4027" s="1">
        <v>1.848303E-6</v>
      </c>
      <c r="I4027">
        <v>278.79219999999998</v>
      </c>
      <c r="J4027">
        <v>-467.38690000000003</v>
      </c>
      <c r="K4027">
        <v>1.112919</v>
      </c>
      <c r="L4027">
        <v>284.1046</v>
      </c>
      <c r="M4027">
        <v>-0.993259</v>
      </c>
      <c r="N4027">
        <v>0</v>
      </c>
      <c r="O4027">
        <v>-0.11507879999999999</v>
      </c>
      <c r="P4027">
        <v>-0.9596481</v>
      </c>
      <c r="Q4027">
        <v>7.7316969999999896E-3</v>
      </c>
      <c r="R4027">
        <v>-0.28109790000000001</v>
      </c>
      <c r="S4027">
        <v>-2.8319399999999999</v>
      </c>
      <c r="T4027">
        <v>-0.2110937</v>
      </c>
      <c r="U4027">
        <v>-1.0132139999999901</v>
      </c>
      <c r="V4027">
        <v>-0.16890720000000001</v>
      </c>
      <c r="W4027">
        <v>2.0458049999999998E-2</v>
      </c>
      <c r="X4027">
        <v>0.98541959999999995</v>
      </c>
      <c r="Y4027">
        <v>-0.22599659999999999</v>
      </c>
      <c r="Z4027" s="1">
        <v>9.6138570000000006E-5</v>
      </c>
      <c r="AA4027">
        <v>0.97412810000000005</v>
      </c>
      <c r="AB4027">
        <v>24</v>
      </c>
      <c r="AC4027">
        <v>-14.7044999999999</v>
      </c>
      <c r="AD4027">
        <v>-1.112917151697</v>
      </c>
      <c r="AE4027">
        <v>-5.3124000000000198</v>
      </c>
      <c r="AF4027">
        <v>-3.5666873921455302</v>
      </c>
      <c r="AG4027">
        <v>-1.112917151697</v>
      </c>
      <c r="AH4027">
        <v>15.141472419079699</v>
      </c>
      <c r="AI4027">
        <v>94.0921497210865</v>
      </c>
      <c r="AJ4027">
        <v>103.254818139365</v>
      </c>
      <c r="AK4027">
        <v>15.595641396158801</v>
      </c>
      <c r="AL4027">
        <v>88.827758275934698</v>
      </c>
      <c r="AM4027">
        <v>99.726343008231794</v>
      </c>
      <c r="AN4027">
        <v>0.999999981042901</v>
      </c>
    </row>
    <row r="4028" spans="1:40" x14ac:dyDescent="0.25">
      <c r="A4028" t="str">
        <f>"20190312150736258"</f>
        <v>20190312150736258</v>
      </c>
      <c r="B4028" t="str">
        <f>"1552374456253750"</f>
        <v>1552374456253750</v>
      </c>
      <c r="C4028" t="s">
        <v>40</v>
      </c>
      <c r="D4028">
        <v>4.7174769999999997</v>
      </c>
      <c r="E4028">
        <v>0.47777779999999997</v>
      </c>
      <c r="F4028" t="s">
        <v>61</v>
      </c>
      <c r="G4028">
        <v>-481.99220000000003</v>
      </c>
      <c r="H4028" s="1">
        <v>1.841452E-6</v>
      </c>
      <c r="I4028">
        <v>278.82260000000002</v>
      </c>
      <c r="J4028">
        <v>-467.51949999999999</v>
      </c>
      <c r="K4028">
        <v>1.112938</v>
      </c>
      <c r="L4028">
        <v>284.08699999999999</v>
      </c>
      <c r="M4028">
        <v>-0.99302219999999997</v>
      </c>
      <c r="N4028">
        <v>0</v>
      </c>
      <c r="O4028">
        <v>-0.1171045</v>
      </c>
      <c r="P4028">
        <v>-0.95906440000000004</v>
      </c>
      <c r="Q4028">
        <v>6.7638139999999999E-3</v>
      </c>
      <c r="R4028">
        <v>-0.28310829999999998</v>
      </c>
      <c r="S4028">
        <v>-2.8283079999999998</v>
      </c>
      <c r="T4028">
        <v>-0.2155155</v>
      </c>
      <c r="U4028">
        <v>-1.022858</v>
      </c>
      <c r="V4028">
        <v>-0.1689561</v>
      </c>
      <c r="W4028">
        <v>1.9483589999999999E-2</v>
      </c>
      <c r="X4028">
        <v>0.98543099999999995</v>
      </c>
      <c r="Y4028">
        <v>-0.22733680000000001</v>
      </c>
      <c r="Z4028">
        <v>1.95534E-4</v>
      </c>
      <c r="AA4028">
        <v>0.97381620000000002</v>
      </c>
      <c r="AB4028">
        <v>24</v>
      </c>
      <c r="AC4028">
        <v>-14.4727</v>
      </c>
      <c r="AD4028">
        <v>-1.112936158548</v>
      </c>
      <c r="AE4028">
        <v>-5.2643999999999602</v>
      </c>
      <c r="AF4028">
        <v>-3.5148334439592701</v>
      </c>
      <c r="AG4028">
        <v>-1.112936158548</v>
      </c>
      <c r="AH4028">
        <v>14.911771072552</v>
      </c>
      <c r="AI4028">
        <v>94.154897216772099</v>
      </c>
      <c r="AJ4028">
        <v>103.263022892732</v>
      </c>
      <c r="AK4028">
        <v>15.3607811504486</v>
      </c>
      <c r="AL4028">
        <v>88.883601899556297</v>
      </c>
      <c r="AM4028">
        <v>99.728994653788504</v>
      </c>
      <c r="AN4028">
        <v>1.00000001488374</v>
      </c>
    </row>
    <row r="4029" spans="1:40" x14ac:dyDescent="0.25">
      <c r="A4029" t="str">
        <f>"20190312150736271"</f>
        <v>20190312150736271</v>
      </c>
      <c r="B4029" t="str">
        <f>"1552374456264486"</f>
        <v>1552374456264486</v>
      </c>
      <c r="C4029" t="s">
        <v>40</v>
      </c>
      <c r="D4029">
        <v>4.6054110000000001</v>
      </c>
      <c r="E4029">
        <v>0.47777609999999898</v>
      </c>
      <c r="F4029" t="s">
        <v>61</v>
      </c>
      <c r="G4029">
        <v>-481.88189999999997</v>
      </c>
      <c r="H4029" s="1">
        <v>1.834341E-6</v>
      </c>
      <c r="I4029">
        <v>278.85789999999997</v>
      </c>
      <c r="J4029">
        <v>-467.64600000000002</v>
      </c>
      <c r="K4029">
        <v>1.112949</v>
      </c>
      <c r="L4029">
        <v>284.07</v>
      </c>
      <c r="M4029">
        <v>-0.99279110000000004</v>
      </c>
      <c r="N4029">
        <v>0</v>
      </c>
      <c r="O4029">
        <v>-0.1190478</v>
      </c>
      <c r="P4029">
        <v>-0.95844980000000002</v>
      </c>
      <c r="Q4029">
        <v>5.7820619999999897E-3</v>
      </c>
      <c r="R4029">
        <v>-0.2852034</v>
      </c>
      <c r="S4029">
        <v>-2.8258969999999999</v>
      </c>
      <c r="T4029">
        <v>-0.21897749999999999</v>
      </c>
      <c r="U4029">
        <v>-1.02887</v>
      </c>
      <c r="V4029">
        <v>-0.1691754</v>
      </c>
      <c r="W4029">
        <v>1.8495290000000001E-2</v>
      </c>
      <c r="X4029">
        <v>0.98541239999999997</v>
      </c>
      <c r="Y4029">
        <v>-0.22752259999999999</v>
      </c>
      <c r="Z4029">
        <v>3.3496319999999998E-4</v>
      </c>
      <c r="AA4029">
        <v>0.97377279999999999</v>
      </c>
      <c r="AB4029">
        <v>24</v>
      </c>
      <c r="AC4029">
        <v>-14.235900000000001</v>
      </c>
      <c r="AD4029">
        <v>-1.112947165659</v>
      </c>
      <c r="AE4029">
        <v>-5.2121000000000199</v>
      </c>
      <c r="AF4029">
        <v>-3.4614550446971402</v>
      </c>
      <c r="AG4029">
        <v>-1.112947165659</v>
      </c>
      <c r="AH4029">
        <v>14.6760943573035</v>
      </c>
      <c r="AI4029">
        <v>94.221282036633895</v>
      </c>
      <c r="AJ4029">
        <v>103.271058218467</v>
      </c>
      <c r="AK4029">
        <v>15.119790607163999</v>
      </c>
      <c r="AL4029">
        <v>88.940237511020896</v>
      </c>
      <c r="AM4029">
        <v>99.741561150550297</v>
      </c>
      <c r="AN4029">
        <v>0.99999999489555103</v>
      </c>
    </row>
    <row r="4030" spans="1:40" x14ac:dyDescent="0.25">
      <c r="A4030" t="str">
        <f>"20190312150736291"</f>
        <v>20190312150736291</v>
      </c>
      <c r="B4030" t="str">
        <f>"1552374456284006"</f>
        <v>1552374456284006</v>
      </c>
      <c r="C4030" t="s">
        <v>40</v>
      </c>
      <c r="D4030">
        <v>4.383902</v>
      </c>
      <c r="E4030">
        <v>0.47777120000000001</v>
      </c>
      <c r="F4030" t="s">
        <v>61</v>
      </c>
      <c r="G4030">
        <v>-481.76639999999998</v>
      </c>
      <c r="H4030" s="1">
        <v>1.826161E-6</v>
      </c>
      <c r="I4030">
        <v>278.89269999999999</v>
      </c>
      <c r="J4030">
        <v>-467.86720000000003</v>
      </c>
      <c r="K4030">
        <v>1.1129659999999999</v>
      </c>
      <c r="L4030">
        <v>284.03960000000001</v>
      </c>
      <c r="M4030">
        <v>-0.99237390000000003</v>
      </c>
      <c r="N4030">
        <v>0</v>
      </c>
      <c r="O4030">
        <v>-0.1224765</v>
      </c>
      <c r="P4030">
        <v>-0.95721639999999997</v>
      </c>
      <c r="Q4030">
        <v>4.2885359999999999E-3</v>
      </c>
      <c r="R4030">
        <v>-0.28934189999999999</v>
      </c>
      <c r="S4030">
        <v>-2.823334</v>
      </c>
      <c r="T4030">
        <v>-0.22253039999999999</v>
      </c>
      <c r="U4030">
        <v>-1.0351870000000001</v>
      </c>
      <c r="V4030">
        <v>-0.17002</v>
      </c>
      <c r="W4030">
        <v>1.6987760000000001E-2</v>
      </c>
      <c r="X4030">
        <v>0.98529420000000001</v>
      </c>
      <c r="Y4030">
        <v>-0.22636800000000001</v>
      </c>
      <c r="Z4030">
        <v>6.4142140000000001E-4</v>
      </c>
      <c r="AA4030">
        <v>0.97404159999999995</v>
      </c>
      <c r="AB4030">
        <v>24</v>
      </c>
      <c r="AC4030">
        <v>-13.899199999999899</v>
      </c>
      <c r="AD4030">
        <v>-1.1129641738389999</v>
      </c>
      <c r="AE4030">
        <v>-5.1469000000000102</v>
      </c>
      <c r="AF4030">
        <v>-3.3865578403572498</v>
      </c>
      <c r="AG4030">
        <v>-1.1129641738389999</v>
      </c>
      <c r="AH4030">
        <v>14.344092334965101</v>
      </c>
      <c r="AI4030">
        <v>94.318457773020796</v>
      </c>
      <c r="AJ4030">
        <v>103.283951872721</v>
      </c>
      <c r="AK4030">
        <v>14.780407578018201</v>
      </c>
      <c r="AL4030">
        <v>89.026626249984602</v>
      </c>
      <c r="AM4030">
        <v>99.7904083675393</v>
      </c>
      <c r="AN4030">
        <v>1.00000002247172</v>
      </c>
    </row>
    <row r="4031" spans="1:40" x14ac:dyDescent="0.25">
      <c r="A4031" t="str">
        <f>"20190312150736303"</f>
        <v>20190312150736303</v>
      </c>
      <c r="B4031" t="str">
        <f>"1552374456293767"</f>
        <v>1552374456293767</v>
      </c>
      <c r="C4031" t="s">
        <v>40</v>
      </c>
      <c r="D4031">
        <v>4.4076719999999998</v>
      </c>
      <c r="E4031">
        <v>0.47775059999999903</v>
      </c>
      <c r="F4031" t="s">
        <v>61</v>
      </c>
      <c r="G4031">
        <v>-481.62599999999998</v>
      </c>
      <c r="H4031" s="1">
        <v>1.8134530000000001E-6</v>
      </c>
      <c r="I4031">
        <v>278.92720000000003</v>
      </c>
      <c r="J4031">
        <v>-468.00400000000002</v>
      </c>
      <c r="K4031">
        <v>1.1129739999999999</v>
      </c>
      <c r="L4031">
        <v>284.0204</v>
      </c>
      <c r="M4031">
        <v>-0.99210779999999998</v>
      </c>
      <c r="N4031">
        <v>0</v>
      </c>
      <c r="O4031">
        <v>-0.1246126</v>
      </c>
      <c r="P4031">
        <v>-0.95635389999999998</v>
      </c>
      <c r="Q4031">
        <v>4.1030550000000004E-3</v>
      </c>
      <c r="R4031">
        <v>-0.29218230000000001</v>
      </c>
      <c r="S4031">
        <v>-2.8185730000000002</v>
      </c>
      <c r="T4031">
        <v>-0.22799730000000001</v>
      </c>
      <c r="U4031">
        <v>-1.047302</v>
      </c>
      <c r="V4031">
        <v>-0.17082349999999999</v>
      </c>
      <c r="W4031">
        <v>1.6790860000000001E-2</v>
      </c>
      <c r="X4031">
        <v>0.9851586</v>
      </c>
      <c r="Y4031">
        <v>-0.22847219999999999</v>
      </c>
      <c r="Z4031">
        <v>7.3901659999999999E-4</v>
      </c>
      <c r="AA4031">
        <v>0.97355009999999997</v>
      </c>
      <c r="AB4031">
        <v>24</v>
      </c>
      <c r="AC4031">
        <v>-13.6219999999999</v>
      </c>
      <c r="AD4031">
        <v>-1.1129721865469999</v>
      </c>
      <c r="AE4031">
        <v>-5.0931999999999604</v>
      </c>
      <c r="AF4031">
        <v>-3.3363157525395599</v>
      </c>
      <c r="AG4031">
        <v>-1.1129721865469999</v>
      </c>
      <c r="AH4031">
        <v>14.0681466105056</v>
      </c>
      <c r="AI4031">
        <v>94.401824527992702</v>
      </c>
      <c r="AJ4031">
        <v>103.341445415603</v>
      </c>
      <c r="AK4031">
        <v>14.5011192307129</v>
      </c>
      <c r="AL4031">
        <v>89.037909409332102</v>
      </c>
      <c r="AM4031">
        <v>99.837102773322698</v>
      </c>
      <c r="AN4031">
        <v>1.0000000341428701</v>
      </c>
    </row>
    <row r="4032" spans="1:40" x14ac:dyDescent="0.25">
      <c r="A4032" t="str">
        <f>"20190312150736316"</f>
        <v>20190312150736316</v>
      </c>
      <c r="B4032" t="str">
        <f>"1552374456314262"</f>
        <v>1552374456314262</v>
      </c>
      <c r="C4032" t="s">
        <v>40</v>
      </c>
      <c r="D4032">
        <v>4.8206790000000002</v>
      </c>
      <c r="E4032">
        <v>0.47776849999999998</v>
      </c>
      <c r="F4032" t="s">
        <v>61</v>
      </c>
      <c r="G4032">
        <v>-481.65300000000002</v>
      </c>
      <c r="H4032" s="1">
        <v>1.8089660000000001E-6</v>
      </c>
      <c r="I4032">
        <v>278.90089999999998</v>
      </c>
      <c r="J4032">
        <v>-468.13</v>
      </c>
      <c r="K4032">
        <v>1.1129800000000001</v>
      </c>
      <c r="L4032">
        <v>284.00229999999999</v>
      </c>
      <c r="M4032">
        <v>-0.99185670000000004</v>
      </c>
      <c r="N4032">
        <v>0</v>
      </c>
      <c r="O4032">
        <v>-0.12659509999999999</v>
      </c>
      <c r="P4032">
        <v>-0.95567239999999998</v>
      </c>
      <c r="Q4032">
        <v>3.9222989999999998E-3</v>
      </c>
      <c r="R4032">
        <v>-0.29440549999999999</v>
      </c>
      <c r="S4032">
        <v>-2.8152469999999998</v>
      </c>
      <c r="T4032">
        <v>-0.22956219999999999</v>
      </c>
      <c r="U4032">
        <v>-1.055939</v>
      </c>
      <c r="V4032">
        <v>-0.1711444</v>
      </c>
      <c r="W4032">
        <v>1.6603960000000001E-2</v>
      </c>
      <c r="X4032">
        <v>0.98510609999999998</v>
      </c>
      <c r="Y4032">
        <v>-0.22952120000000001</v>
      </c>
      <c r="Z4032">
        <v>8.5617789999999896E-4</v>
      </c>
      <c r="AA4032">
        <v>0.97330329999999998</v>
      </c>
      <c r="AB4032">
        <v>24</v>
      </c>
      <c r="AC4032">
        <v>-13.523</v>
      </c>
      <c r="AD4032">
        <v>-1.11297819103399</v>
      </c>
      <c r="AE4032">
        <v>-5.1014000000000097</v>
      </c>
      <c r="AF4032">
        <v>-3.3284994754016402</v>
      </c>
      <c r="AG4032">
        <v>-1.11297819103399</v>
      </c>
      <c r="AH4032">
        <v>13.977171552963499</v>
      </c>
      <c r="AI4032">
        <v>94.429408370538297</v>
      </c>
      <c r="AJ4032">
        <v>103.394831092296</v>
      </c>
      <c r="AK4032">
        <v>14.411070530409599</v>
      </c>
      <c r="AL4032">
        <v>89.048619510449498</v>
      </c>
      <c r="AM4032">
        <v>99.855735147188895</v>
      </c>
      <c r="AN4032">
        <v>1.00000006269812</v>
      </c>
    </row>
    <row r="4033" spans="1:40" x14ac:dyDescent="0.25">
      <c r="A4033" t="str">
        <f>"20190312150736329"</f>
        <v>20190312150736329</v>
      </c>
      <c r="B4033" t="str">
        <f>"1552374456324022"</f>
        <v>1552374456324022</v>
      </c>
      <c r="C4033" t="s">
        <v>40</v>
      </c>
      <c r="D4033">
        <v>4.4052800000000003</v>
      </c>
      <c r="E4033">
        <v>0.47775899999999999</v>
      </c>
      <c r="F4033" t="s">
        <v>61</v>
      </c>
      <c r="G4033">
        <v>-481.67450000000002</v>
      </c>
      <c r="H4033" s="1">
        <v>1.808067E-6</v>
      </c>
      <c r="I4033">
        <v>278.88760000000002</v>
      </c>
      <c r="J4033">
        <v>-468.27229999999997</v>
      </c>
      <c r="K4033">
        <v>1.1129849999999999</v>
      </c>
      <c r="L4033">
        <v>283.98169999999999</v>
      </c>
      <c r="M4033">
        <v>-0.99156739999999999</v>
      </c>
      <c r="N4033">
        <v>0</v>
      </c>
      <c r="O4033">
        <v>-0.1288415</v>
      </c>
      <c r="P4033">
        <v>-0.95483949999999995</v>
      </c>
      <c r="Q4033">
        <v>3.8076099999999999E-3</v>
      </c>
      <c r="R4033">
        <v>-0.29709760000000002</v>
      </c>
      <c r="S4033">
        <v>-2.8128660000000001</v>
      </c>
      <c r="T4033">
        <v>-0.23113829999999999</v>
      </c>
      <c r="U4033">
        <v>-1.062195</v>
      </c>
      <c r="V4033">
        <v>-0.1716896</v>
      </c>
      <c r="W4033">
        <v>1.6480959999999999E-2</v>
      </c>
      <c r="X4033">
        <v>0.98501320000000003</v>
      </c>
      <c r="Y4033">
        <v>-0.22948579999999999</v>
      </c>
      <c r="Z4033">
        <v>1.038485E-3</v>
      </c>
      <c r="AA4033">
        <v>0.97331140000000005</v>
      </c>
      <c r="AB4033">
        <v>24</v>
      </c>
      <c r="AC4033">
        <v>-13.402200000000001</v>
      </c>
      <c r="AD4033">
        <v>-1.112983191933</v>
      </c>
      <c r="AE4033">
        <v>-5.0940999999999601</v>
      </c>
      <c r="AF4033">
        <v>-3.3047921278417101</v>
      </c>
      <c r="AG4033">
        <v>-1.112983191933</v>
      </c>
      <c r="AH4033">
        <v>13.863330055023701</v>
      </c>
      <c r="AI4033">
        <v>94.465408681256207</v>
      </c>
      <c r="AJ4033">
        <v>103.40813855083201</v>
      </c>
      <c r="AK4033">
        <v>14.2951846021062</v>
      </c>
      <c r="AL4033">
        <v>89.0556677701571</v>
      </c>
      <c r="AM4033">
        <v>99.887427192486399</v>
      </c>
      <c r="AN4033">
        <v>0.99999997248245998</v>
      </c>
    </row>
    <row r="4034" spans="1:40" x14ac:dyDescent="0.25">
      <c r="A4034" t="str">
        <f>"20190312150736342"</f>
        <v>20190312150736342</v>
      </c>
      <c r="B4034" t="str">
        <f>"1552374456333782"</f>
        <v>1552374456333782</v>
      </c>
      <c r="C4034" t="s">
        <v>40</v>
      </c>
      <c r="D4034">
        <v>4.7057589999999996</v>
      </c>
      <c r="E4034">
        <v>0.47776659999999999</v>
      </c>
      <c r="F4034" t="s">
        <v>61</v>
      </c>
      <c r="G4034">
        <v>-481.72890000000001</v>
      </c>
      <c r="H4034" s="1">
        <v>1.806632E-6</v>
      </c>
      <c r="I4034">
        <v>278.85629999999998</v>
      </c>
      <c r="J4034">
        <v>-468.41379999999998</v>
      </c>
      <c r="K4034">
        <v>1.112992</v>
      </c>
      <c r="L4034">
        <v>283.96080000000001</v>
      </c>
      <c r="M4034">
        <v>-0.99127299999999996</v>
      </c>
      <c r="N4034">
        <v>0</v>
      </c>
      <c r="O4034">
        <v>-0.1310876</v>
      </c>
      <c r="P4034">
        <v>-0.95407220000000004</v>
      </c>
      <c r="Q4034">
        <v>3.7152539999999999E-3</v>
      </c>
      <c r="R4034">
        <v>-0.299554299999999</v>
      </c>
      <c r="S4034">
        <v>-2.8098450000000001</v>
      </c>
      <c r="T4034">
        <v>-0.2324002</v>
      </c>
      <c r="U4034">
        <v>-1.0702210000000001</v>
      </c>
      <c r="V4034">
        <v>-0.17199239999999999</v>
      </c>
      <c r="W4034">
        <v>1.638274E-2</v>
      </c>
      <c r="X4034">
        <v>0.984962</v>
      </c>
      <c r="Y4034">
        <v>-0.2300586</v>
      </c>
      <c r="Z4034">
        <v>1.197317E-3</v>
      </c>
      <c r="AA4034">
        <v>0.97317609999999999</v>
      </c>
      <c r="AB4034">
        <v>24</v>
      </c>
      <c r="AC4034">
        <v>-13.315099999999999</v>
      </c>
      <c r="AD4034">
        <v>-1.112990193368</v>
      </c>
      <c r="AE4034">
        <v>-5.10450000000003</v>
      </c>
      <c r="AF4034">
        <v>-3.2947589826896699</v>
      </c>
      <c r="AG4034">
        <v>-1.112990193368</v>
      </c>
      <c r="AH4034">
        <v>13.7854029012291</v>
      </c>
      <c r="AI4034">
        <v>94.489950390483102</v>
      </c>
      <c r="AJ4034">
        <v>103.44173321605901</v>
      </c>
      <c r="AK4034">
        <v>14.217296405215899</v>
      </c>
      <c r="AL4034">
        <v>89.061296110551396</v>
      </c>
      <c r="AM4034">
        <v>99.9050247580209</v>
      </c>
      <c r="AN4034">
        <v>0.99999996063583296</v>
      </c>
    </row>
    <row r="4035" spans="1:40" x14ac:dyDescent="0.25">
      <c r="A4035" t="str">
        <f>"20190312150736356"</f>
        <v>20190312150736356</v>
      </c>
      <c r="B4035" t="str">
        <f>"1552374456344518"</f>
        <v>1552374456344518</v>
      </c>
      <c r="C4035" t="s">
        <v>40</v>
      </c>
      <c r="D4035">
        <v>4.382066</v>
      </c>
      <c r="E4035">
        <v>0.47778080000000001</v>
      </c>
      <c r="F4035" t="s">
        <v>61</v>
      </c>
      <c r="G4035">
        <v>-481.80500000000001</v>
      </c>
      <c r="H4035" s="1">
        <v>1.8076080000000001E-6</v>
      </c>
      <c r="I4035">
        <v>278.82080000000002</v>
      </c>
      <c r="J4035">
        <v>-468.5539</v>
      </c>
      <c r="K4035">
        <v>1.1129979999999999</v>
      </c>
      <c r="L4035">
        <v>283.93979999999999</v>
      </c>
      <c r="M4035">
        <v>-0.99097400000000002</v>
      </c>
      <c r="N4035">
        <v>0</v>
      </c>
      <c r="O4035">
        <v>-0.133327799999999</v>
      </c>
      <c r="P4035">
        <v>-0.95337340000000004</v>
      </c>
      <c r="Q4035">
        <v>3.51331E-3</v>
      </c>
      <c r="R4035">
        <v>-0.30177179999999998</v>
      </c>
      <c r="S4035">
        <v>-2.8070979999999999</v>
      </c>
      <c r="T4035">
        <v>-0.2333065</v>
      </c>
      <c r="U4035">
        <v>-1.0774539999999999</v>
      </c>
      <c r="V4035">
        <v>-0.17205580000000001</v>
      </c>
      <c r="W4035">
        <v>1.617677E-2</v>
      </c>
      <c r="X4035">
        <v>0.98495440000000001</v>
      </c>
      <c r="Y4035">
        <v>-0.2303664</v>
      </c>
      <c r="Z4035">
        <v>1.365935E-3</v>
      </c>
      <c r="AA4035">
        <v>0.97310300000000005</v>
      </c>
      <c r="AB4035">
        <v>24</v>
      </c>
      <c r="AC4035">
        <v>-13.251099999999999</v>
      </c>
      <c r="AD4035">
        <v>-1.112996192392</v>
      </c>
      <c r="AE4035">
        <v>-5.1189999999999696</v>
      </c>
      <c r="AF4035">
        <v>-3.2862040433462898</v>
      </c>
      <c r="AG4035">
        <v>-1.112996192392</v>
      </c>
      <c r="AH4035">
        <v>13.731051741247899</v>
      </c>
      <c r="AI4035">
        <v>94.507345892680206</v>
      </c>
      <c r="AJ4035">
        <v>103.459238637529</v>
      </c>
      <c r="AK4035">
        <v>14.162615558561599</v>
      </c>
      <c r="AL4035">
        <v>89.073098949469696</v>
      </c>
      <c r="AM4035">
        <v>99.908678546299697</v>
      </c>
      <c r="AN4035">
        <v>1.0000000281403101</v>
      </c>
    </row>
    <row r="4036" spans="1:40" x14ac:dyDescent="0.25">
      <c r="A4036" t="str">
        <f>"20190312150736371"</f>
        <v>20190312150736371</v>
      </c>
      <c r="B4036" t="str">
        <f>"1552374456364038"</f>
        <v>1552374456364038</v>
      </c>
      <c r="C4036" t="s">
        <v>40</v>
      </c>
      <c r="D4036">
        <v>4.3837469999999996</v>
      </c>
      <c r="E4036">
        <v>0.47778039999999999</v>
      </c>
      <c r="F4036" t="s">
        <v>61</v>
      </c>
      <c r="G4036">
        <v>-481.88060000000002</v>
      </c>
      <c r="H4036" s="1">
        <v>1.8101E-6</v>
      </c>
      <c r="I4036">
        <v>278.78989999999999</v>
      </c>
      <c r="J4036">
        <v>-468.71559999999999</v>
      </c>
      <c r="K4036">
        <v>1.1130089999999999</v>
      </c>
      <c r="L4036">
        <v>283.9151</v>
      </c>
      <c r="M4036">
        <v>-0.99062169999999905</v>
      </c>
      <c r="N4036">
        <v>0</v>
      </c>
      <c r="O4036">
        <v>-0.13592190000000001</v>
      </c>
      <c r="P4036">
        <v>-0.95259720000000003</v>
      </c>
      <c r="Q4036">
        <v>3.543671E-3</v>
      </c>
      <c r="R4036">
        <v>-0.30421330000000002</v>
      </c>
      <c r="S4036">
        <v>-2.8045040000000001</v>
      </c>
      <c r="T4036">
        <v>-0.2342224</v>
      </c>
      <c r="U4036">
        <v>-1.0837399999999999</v>
      </c>
      <c r="V4036">
        <v>-0.17200079999999901</v>
      </c>
      <c r="W4036">
        <v>1.6203470000000001E-2</v>
      </c>
      <c r="X4036">
        <v>0.98496349999999999</v>
      </c>
      <c r="Y4036">
        <v>-0.23002549999999999</v>
      </c>
      <c r="Z4036">
        <v>1.5900350000000001E-3</v>
      </c>
      <c r="AA4036">
        <v>0.97318329999999997</v>
      </c>
      <c r="AB4036">
        <v>24</v>
      </c>
      <c r="AC4036">
        <v>-13.164999999999999</v>
      </c>
      <c r="AD4036">
        <v>-1.11300718989999</v>
      </c>
      <c r="AE4036">
        <v>-5.1252000000000004</v>
      </c>
      <c r="AF4036">
        <v>-3.2677589391810802</v>
      </c>
      <c r="AG4036">
        <v>-1.11300718989999</v>
      </c>
      <c r="AH4036">
        <v>13.654741257934599</v>
      </c>
      <c r="AI4036">
        <v>94.532489062123403</v>
      </c>
      <c r="AJ4036">
        <v>103.458516383641</v>
      </c>
      <c r="AK4036">
        <v>14.0843527473046</v>
      </c>
      <c r="AL4036">
        <v>89.0715688902404</v>
      </c>
      <c r="AM4036">
        <v>99.905484145344502</v>
      </c>
      <c r="AN4036">
        <v>0.99999996198646401</v>
      </c>
    </row>
    <row r="4037" spans="1:40" x14ac:dyDescent="0.25">
      <c r="A4037" t="str">
        <f>"20190312150736384"</f>
        <v>20190312150736384</v>
      </c>
      <c r="B4037" t="str">
        <f>"1552374456373798"</f>
        <v>1552374456373798</v>
      </c>
      <c r="C4037" t="s">
        <v>40</v>
      </c>
      <c r="D4037">
        <v>4.5813100000000002</v>
      </c>
      <c r="E4037">
        <v>0.47781479999999998</v>
      </c>
      <c r="F4037" t="s">
        <v>61</v>
      </c>
      <c r="G4037">
        <v>-481.98669999999998</v>
      </c>
      <c r="H4037" s="1">
        <v>1.813404E-6</v>
      </c>
      <c r="I4037">
        <v>278.74610000000001</v>
      </c>
      <c r="J4037">
        <v>-468.85640000000001</v>
      </c>
      <c r="K4037">
        <v>1.113016</v>
      </c>
      <c r="L4037">
        <v>283.89330000000001</v>
      </c>
      <c r="M4037">
        <v>-0.9903073</v>
      </c>
      <c r="N4037">
        <v>0</v>
      </c>
      <c r="O4037">
        <v>-0.13819419999999999</v>
      </c>
      <c r="P4037">
        <v>-0.95200929999999995</v>
      </c>
      <c r="Q4037">
        <v>3.2411110000000001E-3</v>
      </c>
      <c r="R4037">
        <v>-0.30605199999999999</v>
      </c>
      <c r="S4037">
        <v>-2.8016969999999999</v>
      </c>
      <c r="T4037">
        <v>-0.23497029999999999</v>
      </c>
      <c r="U4037">
        <v>-1.091248</v>
      </c>
      <c r="V4037">
        <v>-0.1716414</v>
      </c>
      <c r="W4037">
        <v>1.5901200000000001E-2</v>
      </c>
      <c r="X4037">
        <v>0.98503110000000005</v>
      </c>
      <c r="Y4037">
        <v>-0.23039080000000001</v>
      </c>
      <c r="Z4037">
        <v>1.760532E-3</v>
      </c>
      <c r="AA4037">
        <v>0.97309659999999998</v>
      </c>
      <c r="AB4037">
        <v>24</v>
      </c>
      <c r="AC4037">
        <v>-13.130299999999901</v>
      </c>
      <c r="AD4037">
        <v>-1.1130141865959999</v>
      </c>
      <c r="AE4037">
        <v>-5.14719999999999</v>
      </c>
      <c r="AF4037">
        <v>-3.26277503728521</v>
      </c>
      <c r="AG4037">
        <v>-1.1130141865959999</v>
      </c>
      <c r="AH4037">
        <v>13.630777673412201</v>
      </c>
      <c r="AI4037">
        <v>94.540396152474401</v>
      </c>
      <c r="AJ4037">
        <v>103.461501709028</v>
      </c>
      <c r="AK4037">
        <v>14.059964491615499</v>
      </c>
      <c r="AL4037">
        <v>89.088889900848102</v>
      </c>
      <c r="AM4037">
        <v>99.884530080436903</v>
      </c>
      <c r="AN4037">
        <v>0.99999994316130303</v>
      </c>
    </row>
    <row r="4038" spans="1:40" x14ac:dyDescent="0.25">
      <c r="A4038" t="str">
        <f>"20190312150736402"</f>
        <v>20190312150736402</v>
      </c>
      <c r="B4038" t="str">
        <f>"1552374456394294"</f>
        <v>1552374456394294</v>
      </c>
      <c r="C4038" t="s">
        <v>40</v>
      </c>
      <c r="D4038">
        <v>4.5695489999999896</v>
      </c>
      <c r="E4038">
        <v>0.47783569999999997</v>
      </c>
      <c r="F4038" t="s">
        <v>61</v>
      </c>
      <c r="G4038">
        <v>-482.05119999999999</v>
      </c>
      <c r="H4038" s="1">
        <v>1.8177519999999999E-6</v>
      </c>
      <c r="I4038">
        <v>278.726</v>
      </c>
      <c r="J4038">
        <v>-469.05099999999999</v>
      </c>
      <c r="K4038">
        <v>1.11302099999999</v>
      </c>
      <c r="L4038">
        <v>283.86250000000001</v>
      </c>
      <c r="M4038">
        <v>-0.98986079999999999</v>
      </c>
      <c r="N4038">
        <v>0</v>
      </c>
      <c r="O4038">
        <v>-0.14135710000000001</v>
      </c>
      <c r="P4038">
        <v>-0.95123769999999996</v>
      </c>
      <c r="Q4038">
        <v>2.6495849999999999E-3</v>
      </c>
      <c r="R4038">
        <v>-0.30844779999999999</v>
      </c>
      <c r="S4038">
        <v>-2.7995909999999999</v>
      </c>
      <c r="T4038">
        <v>-0.23615269999999999</v>
      </c>
      <c r="U4038">
        <v>-1.0963750000000001</v>
      </c>
      <c r="V4038">
        <v>-0.17097079999999901</v>
      </c>
      <c r="W4038">
        <v>1.531047E-2</v>
      </c>
      <c r="X4038">
        <v>0.98515710000000001</v>
      </c>
      <c r="Y4038">
        <v>-0.22908629999999999</v>
      </c>
      <c r="Z4038">
        <v>2.0743110000000001E-3</v>
      </c>
      <c r="AA4038">
        <v>0.97340389999999999</v>
      </c>
      <c r="AB4038">
        <v>24</v>
      </c>
      <c r="AC4038">
        <v>-13.0002</v>
      </c>
      <c r="AD4038">
        <v>-1.11301918224799</v>
      </c>
      <c r="AE4038">
        <v>-5.1365000000000096</v>
      </c>
      <c r="AF4038">
        <v>-3.22660657615274</v>
      </c>
      <c r="AG4038">
        <v>-1.11301918224799</v>
      </c>
      <c r="AH4038">
        <v>13.5101289538021</v>
      </c>
      <c r="AI4038">
        <v>94.581348274138705</v>
      </c>
      <c r="AJ4038">
        <v>103.43226109210801</v>
      </c>
      <c r="AK4038">
        <v>13.934611083402601</v>
      </c>
      <c r="AL4038">
        <v>89.122740383419298</v>
      </c>
      <c r="AM4038">
        <v>99.845434017252799</v>
      </c>
      <c r="AN4038">
        <v>0.99999996831233395</v>
      </c>
    </row>
    <row r="4039" spans="1:40" x14ac:dyDescent="0.25">
      <c r="A4039" t="str">
        <f>"20190312150736414"</f>
        <v>20190312150736414</v>
      </c>
      <c r="B4039" t="str">
        <f>"1552374456404054"</f>
        <v>1552374456404054</v>
      </c>
      <c r="C4039" t="s">
        <v>40</v>
      </c>
      <c r="D4039">
        <v>4.3999439999999996</v>
      </c>
      <c r="E4039">
        <v>0.47785030000000001</v>
      </c>
      <c r="F4039" t="s">
        <v>61</v>
      </c>
      <c r="G4039">
        <v>-482.07159999999999</v>
      </c>
      <c r="H4039" s="1">
        <v>1.821398E-6</v>
      </c>
      <c r="I4039">
        <v>278.72609999999997</v>
      </c>
      <c r="J4039">
        <v>-469.1755</v>
      </c>
      <c r="K4039">
        <v>1.113027</v>
      </c>
      <c r="L4039">
        <v>283.8424</v>
      </c>
      <c r="M4039">
        <v>-0.98956750000000004</v>
      </c>
      <c r="N4039">
        <v>0</v>
      </c>
      <c r="O4039">
        <v>-0.1433963</v>
      </c>
      <c r="P4039">
        <v>-0.95076380000000005</v>
      </c>
      <c r="Q4039">
        <v>2.1149239999999998E-3</v>
      </c>
      <c r="R4039">
        <v>-0.30990970000000001</v>
      </c>
      <c r="S4039">
        <v>-2.7967219999999999</v>
      </c>
      <c r="T4039">
        <v>-0.239068</v>
      </c>
      <c r="U4039">
        <v>-1.1032709999999999</v>
      </c>
      <c r="V4039">
        <v>-0.1704521</v>
      </c>
      <c r="W4039">
        <v>1.4777429999999999E-2</v>
      </c>
      <c r="X4039">
        <v>0.98525510000000005</v>
      </c>
      <c r="Y4039">
        <v>-0.22949700000000001</v>
      </c>
      <c r="Z4039">
        <v>2.2477539999999998E-3</v>
      </c>
      <c r="AA4039">
        <v>0.97330680000000003</v>
      </c>
      <c r="AB4039">
        <v>24</v>
      </c>
      <c r="AC4039">
        <v>-12.896099999999899</v>
      </c>
      <c r="AD4039">
        <v>-1.113025178602</v>
      </c>
      <c r="AE4039">
        <v>-5.1163000000000203</v>
      </c>
      <c r="AF4039">
        <v>-3.1934297315123099</v>
      </c>
      <c r="AG4039">
        <v>-1.113025178602</v>
      </c>
      <c r="AH4039">
        <v>13.410219710918</v>
      </c>
      <c r="AI4039">
        <v>94.6160786102065</v>
      </c>
      <c r="AJ4039">
        <v>103.394601386153</v>
      </c>
      <c r="AK4039">
        <v>13.830069095756601</v>
      </c>
      <c r="AL4039">
        <v>89.153284769392101</v>
      </c>
      <c r="AM4039">
        <v>99.815188967558001</v>
      </c>
      <c r="AN4039">
        <v>0.99999995145391096</v>
      </c>
    </row>
    <row r="4040" spans="1:40" x14ac:dyDescent="0.25">
      <c r="A4040" t="str">
        <f>"20190312150736427"</f>
        <v>20190312150736427</v>
      </c>
      <c r="B4040" t="str">
        <f>"1552374456424551"</f>
        <v>1552374456424551</v>
      </c>
      <c r="C4040" t="s">
        <v>40</v>
      </c>
      <c r="D4040">
        <v>4.3914989999999996</v>
      </c>
      <c r="E4040">
        <v>0.47789330000000002</v>
      </c>
      <c r="F4040" t="s">
        <v>61</v>
      </c>
      <c r="G4040">
        <v>-482.07819999999998</v>
      </c>
      <c r="H4040" s="1">
        <v>1.823707E-6</v>
      </c>
      <c r="I4040">
        <v>278.72930000000002</v>
      </c>
      <c r="J4040">
        <v>-469.30579999999998</v>
      </c>
      <c r="K4040">
        <v>1.113032</v>
      </c>
      <c r="L4040">
        <v>283.82119999999998</v>
      </c>
      <c r="M4040">
        <v>-0.98925469999999904</v>
      </c>
      <c r="N4040">
        <v>0</v>
      </c>
      <c r="O4040">
        <v>-0.1455389</v>
      </c>
      <c r="P4040">
        <v>-0.95011140000000005</v>
      </c>
      <c r="Q4040">
        <v>1.4375449999999999E-3</v>
      </c>
      <c r="R4040">
        <v>-0.31190770000000001</v>
      </c>
      <c r="S4040">
        <v>-2.7948909999999998</v>
      </c>
      <c r="T4040">
        <v>-0.241096</v>
      </c>
      <c r="U4040">
        <v>-1.1075740000000001</v>
      </c>
      <c r="V4040">
        <v>-0.1703857</v>
      </c>
      <c r="W4040">
        <v>1.4097520000000001E-2</v>
      </c>
      <c r="X4040">
        <v>0.98527659999999995</v>
      </c>
      <c r="Y4040">
        <v>-0.22890679999999999</v>
      </c>
      <c r="Z4040">
        <v>2.465666E-3</v>
      </c>
      <c r="AA4040">
        <v>0.97344520000000001</v>
      </c>
      <c r="AB4040">
        <v>24</v>
      </c>
      <c r="AC4040">
        <v>-12.772399999999999</v>
      </c>
      <c r="AD4040">
        <v>-1.1130301762929999</v>
      </c>
      <c r="AE4040">
        <v>-5.0918999999999501</v>
      </c>
      <c r="AF4040">
        <v>-3.1579201784217101</v>
      </c>
      <c r="AG4040">
        <v>-1.1130301762929999</v>
      </c>
      <c r="AH4040">
        <v>13.290434784088101</v>
      </c>
      <c r="AI4040">
        <v>94.658069983950696</v>
      </c>
      <c r="AJ4040">
        <v>103.366102574097</v>
      </c>
      <c r="AK4040">
        <v>13.7057270065006</v>
      </c>
      <c r="AL4040">
        <v>89.192244847496994</v>
      </c>
      <c r="AM4040">
        <v>99.811229824995607</v>
      </c>
      <c r="AN4040">
        <v>1.0000000026711</v>
      </c>
    </row>
    <row r="4041" spans="1:40" x14ac:dyDescent="0.25">
      <c r="A4041" t="str">
        <f>"20190312150736442"</f>
        <v>20190312150736442</v>
      </c>
      <c r="B4041" t="str">
        <f>"1552374456434312"</f>
        <v>1552374456434312</v>
      </c>
      <c r="C4041" t="s">
        <v>40</v>
      </c>
      <c r="D4041">
        <v>4.7647510000000004</v>
      </c>
      <c r="E4041">
        <v>0.47789910000000002</v>
      </c>
      <c r="F4041" t="s">
        <v>61</v>
      </c>
      <c r="G4041">
        <v>-482.04899999999998</v>
      </c>
      <c r="H4041" s="1">
        <v>1.823377E-6</v>
      </c>
      <c r="I4041">
        <v>278.74299999999999</v>
      </c>
      <c r="J4041">
        <v>-469.46949999999998</v>
      </c>
      <c r="K4041">
        <v>1.1130409999999999</v>
      </c>
      <c r="L4041">
        <v>283.79410000000001</v>
      </c>
      <c r="M4041">
        <v>-0.98885190000000001</v>
      </c>
      <c r="N4041">
        <v>0</v>
      </c>
      <c r="O4041">
        <v>-0.14825050000000001</v>
      </c>
      <c r="P4041">
        <v>-0.94927379999999995</v>
      </c>
      <c r="Q4041">
        <v>6.9119410000000004E-4</v>
      </c>
      <c r="R4041">
        <v>-0.31445009999999901</v>
      </c>
      <c r="S4041">
        <v>-2.7926030000000002</v>
      </c>
      <c r="T4041">
        <v>-0.2439162</v>
      </c>
      <c r="U4041">
        <v>-1.112854</v>
      </c>
      <c r="V4041">
        <v>-0.17031740000000001</v>
      </c>
      <c r="W4041">
        <v>1.334658E-2</v>
      </c>
      <c r="X4041">
        <v>0.98529889999999998</v>
      </c>
      <c r="Y4041">
        <v>-0.22810530000000001</v>
      </c>
      <c r="Z4041">
        <v>2.7514359999999999E-3</v>
      </c>
      <c r="AA4041">
        <v>0.97363259999999996</v>
      </c>
      <c r="AB4041">
        <v>24</v>
      </c>
      <c r="AC4041">
        <v>-12.579499999999999</v>
      </c>
      <c r="AD4041">
        <v>-1.1130391766229999</v>
      </c>
      <c r="AE4041">
        <v>-5.0511000000000204</v>
      </c>
      <c r="AF4041">
        <v>-3.1092141478350799</v>
      </c>
      <c r="AG4041">
        <v>-1.1130391766229999</v>
      </c>
      <c r="AH4041">
        <v>13.101043448692099</v>
      </c>
      <c r="AI4041">
        <v>94.725442316184001</v>
      </c>
      <c r="AJ4041">
        <v>103.350763992361</v>
      </c>
      <c r="AK4041">
        <v>13.510862602747199</v>
      </c>
      <c r="AL4041">
        <v>89.235274617219403</v>
      </c>
      <c r="AM4041">
        <v>99.807155671689003</v>
      </c>
      <c r="AN4041">
        <v>1.00000003514083</v>
      </c>
    </row>
    <row r="4042" spans="1:40" x14ac:dyDescent="0.25">
      <c r="A4042" t="str">
        <f>"20190312150736455"</f>
        <v>20190312150736455</v>
      </c>
      <c r="B4042" t="str">
        <f>"1552374456444070"</f>
        <v>1552374456444070</v>
      </c>
      <c r="C4042" t="s">
        <v>40</v>
      </c>
      <c r="D4042">
        <v>4.4387480000000004</v>
      </c>
      <c r="E4042">
        <v>0.47789910000000002</v>
      </c>
      <c r="F4042" t="s">
        <v>61</v>
      </c>
      <c r="G4042">
        <v>-482.05259999999998</v>
      </c>
      <c r="H4042" s="1">
        <v>1.823146E-6</v>
      </c>
      <c r="I4042">
        <v>278.74059999999997</v>
      </c>
      <c r="J4042">
        <v>-469.60500000000002</v>
      </c>
      <c r="K4042">
        <v>1.113051</v>
      </c>
      <c r="L4042">
        <v>283.77120000000002</v>
      </c>
      <c r="M4042">
        <v>-0.98850959999999999</v>
      </c>
      <c r="N4042">
        <v>0</v>
      </c>
      <c r="O4042">
        <v>-0.1505156</v>
      </c>
      <c r="P4042">
        <v>-0.94855100000000003</v>
      </c>
      <c r="Q4042" s="1">
        <v>-6.1368569999999998E-5</v>
      </c>
      <c r="R4042">
        <v>-0.31662459999999998</v>
      </c>
      <c r="S4042">
        <v>-2.7894290000000002</v>
      </c>
      <c r="T4042">
        <v>-0.24674109999999999</v>
      </c>
      <c r="U4042">
        <v>-1.1202700000000001</v>
      </c>
      <c r="V4042">
        <v>-0.17031399999999999</v>
      </c>
      <c r="W4042">
        <v>1.2588469999999999E-2</v>
      </c>
      <c r="X4042">
        <v>0.9853094</v>
      </c>
      <c r="Y4042">
        <v>-0.22848660000000001</v>
      </c>
      <c r="Z4042">
        <v>2.9561639999999998E-3</v>
      </c>
      <c r="AA4042">
        <v>0.97354260000000004</v>
      </c>
      <c r="AB4042">
        <v>24</v>
      </c>
      <c r="AC4042">
        <v>-12.4475999999999</v>
      </c>
      <c r="AD4042">
        <v>-1.1130491768539901</v>
      </c>
      <c r="AE4042">
        <v>-5.0306000000000397</v>
      </c>
      <c r="AF4042">
        <v>-3.0783807162985202</v>
      </c>
      <c r="AG4042">
        <v>-1.1130491768539901</v>
      </c>
      <c r="AH4042">
        <v>12.9738510142355</v>
      </c>
      <c r="AI4042">
        <v>94.771652431175198</v>
      </c>
      <c r="AJ4042">
        <v>103.34805733022201</v>
      </c>
      <c r="AK4042">
        <v>13.3804378270725</v>
      </c>
      <c r="AL4042">
        <v>89.278714726368705</v>
      </c>
      <c r="AM4042">
        <v>99.806861216424807</v>
      </c>
      <c r="AN4042">
        <v>0.99999997095064996</v>
      </c>
    </row>
    <row r="4043" spans="1:40" x14ac:dyDescent="0.25">
      <c r="A4043" t="str">
        <f>"20190312150736471"</f>
        <v>20190312150736471</v>
      </c>
      <c r="B4043" t="str">
        <f>"1552374456464566"</f>
        <v>1552374456464566</v>
      </c>
      <c r="C4043" t="s">
        <v>40</v>
      </c>
      <c r="D4043">
        <v>4.4214260000000003</v>
      </c>
      <c r="E4043">
        <v>0.45403670000000002</v>
      </c>
      <c r="F4043" t="s">
        <v>61</v>
      </c>
      <c r="G4043">
        <v>-482.05860000000001</v>
      </c>
      <c r="H4043" s="1">
        <v>1.8229379999999999E-6</v>
      </c>
      <c r="I4043">
        <v>278.73700000000002</v>
      </c>
      <c r="J4043">
        <v>-469.76510000000002</v>
      </c>
      <c r="K4043">
        <v>1.1130690000000001</v>
      </c>
      <c r="L4043">
        <v>283.74369999999999</v>
      </c>
      <c r="M4043">
        <v>-0.98809499999999995</v>
      </c>
      <c r="N4043">
        <v>0</v>
      </c>
      <c r="O4043">
        <v>-0.15321379999999901</v>
      </c>
      <c r="P4043">
        <v>-0.94756629999999997</v>
      </c>
      <c r="Q4043">
        <v>-1.68279E-3</v>
      </c>
      <c r="R4043">
        <v>-0.31955489999999998</v>
      </c>
      <c r="S4043">
        <v>-2.7867130000000002</v>
      </c>
      <c r="T4043">
        <v>-0.24906490000000001</v>
      </c>
      <c r="U4043">
        <v>-1.126495</v>
      </c>
      <c r="V4043">
        <v>-0.1706597</v>
      </c>
      <c r="W4043">
        <v>1.09577999999999E-2</v>
      </c>
      <c r="X4043">
        <v>0.98526910000000001</v>
      </c>
      <c r="Y4043">
        <v>-0.22803329999999999</v>
      </c>
      <c r="Z4043">
        <v>3.2305739999999999E-3</v>
      </c>
      <c r="AA4043">
        <v>0.97364799999999996</v>
      </c>
      <c r="AB4043">
        <v>24</v>
      </c>
      <c r="AC4043">
        <v>-12.2934999999999</v>
      </c>
      <c r="AD4043">
        <v>-1.113067177062</v>
      </c>
      <c r="AE4043">
        <v>-5.0066999999999604</v>
      </c>
      <c r="AF4043">
        <v>-3.0424654036202199</v>
      </c>
      <c r="AG4043">
        <v>-1.113067177062</v>
      </c>
      <c r="AH4043">
        <v>12.8253126886913</v>
      </c>
      <c r="AI4043">
        <v>94.826790575284605</v>
      </c>
      <c r="AJ4043">
        <v>103.34522043921</v>
      </c>
      <c r="AK4043">
        <v>13.2281578398349</v>
      </c>
      <c r="AL4043">
        <v>89.3721517440637</v>
      </c>
      <c r="AM4043">
        <v>99.8267734210133</v>
      </c>
      <c r="AN4043">
        <v>1.0000000029998699</v>
      </c>
    </row>
    <row r="4044" spans="1:40" x14ac:dyDescent="0.25">
      <c r="A4044" t="str">
        <f>"20190312150736492"</f>
        <v>20190312150736492</v>
      </c>
      <c r="B4044" t="str">
        <f>"1552374456484086"</f>
        <v>1552374456484086</v>
      </c>
      <c r="C4044" t="s">
        <v>40</v>
      </c>
      <c r="D4044">
        <v>4.3998589999999904</v>
      </c>
      <c r="E4044">
        <v>0.44993650000000002</v>
      </c>
      <c r="F4044" t="s">
        <v>61</v>
      </c>
      <c r="G4044">
        <v>-478.44819999999999</v>
      </c>
      <c r="H4044" s="1">
        <v>2.419697E-6</v>
      </c>
      <c r="I4044">
        <v>279.53410000000002</v>
      </c>
      <c r="J4044">
        <v>-469.99459999999999</v>
      </c>
      <c r="K4044">
        <v>1.1130990000000001</v>
      </c>
      <c r="L4044">
        <v>283.70359999999999</v>
      </c>
      <c r="M4044">
        <v>-0.98747969999999896</v>
      </c>
      <c r="N4044">
        <v>0</v>
      </c>
      <c r="O4044">
        <v>-0.15712960000000001</v>
      </c>
      <c r="P4044">
        <v>-0.94606319999999999</v>
      </c>
      <c r="Q4044">
        <v>-2.3005790000000001E-3</v>
      </c>
      <c r="R4044">
        <v>-0.32397429999999999</v>
      </c>
      <c r="S4044">
        <v>-2.7205509999999999</v>
      </c>
      <c r="T4044">
        <v>-0.34874309999999997</v>
      </c>
      <c r="U4044">
        <v>-1.31897</v>
      </c>
      <c r="V4044">
        <v>-0.17134959999999999</v>
      </c>
      <c r="W4044">
        <v>1.032221E-2</v>
      </c>
      <c r="X4044">
        <v>0.98515620000000004</v>
      </c>
      <c r="Y4044">
        <v>-0.28856579999999998</v>
      </c>
      <c r="Z4044">
        <v>1.3288460000000001E-3</v>
      </c>
      <c r="AA4044">
        <v>0.95745919999999896</v>
      </c>
      <c r="AB4044">
        <v>24</v>
      </c>
      <c r="AC4044">
        <v>-8.4535999999999891</v>
      </c>
      <c r="AD4044">
        <v>-1.113096580303</v>
      </c>
      <c r="AE4044">
        <v>-4.16949999999997</v>
      </c>
      <c r="AF4044">
        <v>-2.7508954176898501</v>
      </c>
      <c r="AG4044">
        <v>-1.113096580303</v>
      </c>
      <c r="AH4044">
        <v>8.8799535577012403</v>
      </c>
      <c r="AI4044">
        <v>96.827837558658402</v>
      </c>
      <c r="AJ4044">
        <v>107.212308828068</v>
      </c>
      <c r="AK4044">
        <v>9.3626911079603694</v>
      </c>
      <c r="AL4044">
        <v>89.408570420498705</v>
      </c>
      <c r="AM4044">
        <v>99.866827978616499</v>
      </c>
      <c r="AN4044">
        <v>0.99999998591894201</v>
      </c>
    </row>
    <row r="4045" spans="1:40" x14ac:dyDescent="0.25">
      <c r="A4045" t="str">
        <f>"20190312150736508"</f>
        <v>20190312150736508</v>
      </c>
      <c r="B4045" t="str">
        <f>"1552374456503607"</f>
        <v>1552374456503607</v>
      </c>
      <c r="C4045" t="s">
        <v>40</v>
      </c>
      <c r="D4045">
        <v>4.4536530000000001</v>
      </c>
      <c r="E4045">
        <v>0.44682189999999999</v>
      </c>
      <c r="F4045" t="s">
        <v>61</v>
      </c>
      <c r="G4045">
        <v>-478.31819999999999</v>
      </c>
      <c r="H4045" s="1">
        <v>2.4737199999999998E-6</v>
      </c>
      <c r="I4045">
        <v>279.5068</v>
      </c>
      <c r="J4045">
        <v>-470.1533</v>
      </c>
      <c r="K4045">
        <v>1.1131249999999999</v>
      </c>
      <c r="L4045">
        <v>283.67520000000002</v>
      </c>
      <c r="M4045">
        <v>-0.98704029999999998</v>
      </c>
      <c r="N4045">
        <v>0</v>
      </c>
      <c r="O4045">
        <v>-0.1598676</v>
      </c>
      <c r="P4045">
        <v>-0.94510640000000001</v>
      </c>
      <c r="Q4045">
        <v>-2.483299E-3</v>
      </c>
      <c r="R4045">
        <v>-0.32675399999999999</v>
      </c>
      <c r="S4045">
        <v>-2.7033689999999999</v>
      </c>
      <c r="T4045">
        <v>-0.3615141</v>
      </c>
      <c r="U4045">
        <v>-1.3630370000000001</v>
      </c>
      <c r="V4045">
        <v>-0.1715129</v>
      </c>
      <c r="W4045">
        <v>1.0129579999999999E-2</v>
      </c>
      <c r="X4045">
        <v>0.98512980000000006</v>
      </c>
      <c r="Y4045">
        <v>-0.30066809999999899</v>
      </c>
      <c r="Z4045">
        <v>9.4817950000000001E-4</v>
      </c>
      <c r="AA4045">
        <v>0.95372840000000003</v>
      </c>
      <c r="AB4045">
        <v>24</v>
      </c>
      <c r="AC4045">
        <v>-8.1648999999999798</v>
      </c>
      <c r="AD4045">
        <v>-1.11312252628</v>
      </c>
      <c r="AE4045">
        <v>-4.1684000000000196</v>
      </c>
      <c r="AF4045">
        <v>-2.7685308431929898</v>
      </c>
      <c r="AG4045">
        <v>-1.11312252628</v>
      </c>
      <c r="AH4045">
        <v>8.5995377106592894</v>
      </c>
      <c r="AI4045">
        <v>97.024127895339802</v>
      </c>
      <c r="AJ4045">
        <v>107.845417578462</v>
      </c>
      <c r="AK4045">
        <v>9.1025190812913994</v>
      </c>
      <c r="AL4045">
        <v>89.419607893726393</v>
      </c>
      <c r="AM4045">
        <v>99.876305671051796</v>
      </c>
      <c r="AN4045">
        <v>1.0000000030527101</v>
      </c>
    </row>
    <row r="4046" spans="1:40" x14ac:dyDescent="0.25">
      <c r="A4046" t="str">
        <f>"20190312150736526"</f>
        <v>20190312150736526</v>
      </c>
      <c r="B4046" t="str">
        <f>"1552374456514343"</f>
        <v>1552374456514343</v>
      </c>
      <c r="C4046" t="s">
        <v>40</v>
      </c>
      <c r="D4046">
        <v>4.4312209999999999</v>
      </c>
      <c r="E4046">
        <v>0.44604959999999999</v>
      </c>
      <c r="F4046" t="s">
        <v>61</v>
      </c>
      <c r="G4046">
        <v>-477.93290000000002</v>
      </c>
      <c r="H4046" s="1">
        <v>2.6612660000000002E-6</v>
      </c>
      <c r="I4046">
        <v>279.64120000000003</v>
      </c>
      <c r="J4046">
        <v>-470.34039999999999</v>
      </c>
      <c r="K4046">
        <v>1.113154</v>
      </c>
      <c r="L4046">
        <v>283.64120000000003</v>
      </c>
      <c r="M4046">
        <v>-0.98650559999999998</v>
      </c>
      <c r="N4046">
        <v>0</v>
      </c>
      <c r="O4046">
        <v>-0.16313469999999999</v>
      </c>
      <c r="P4046">
        <v>-0.94398519999999997</v>
      </c>
      <c r="Q4046">
        <v>-1.807887E-3</v>
      </c>
      <c r="R4046">
        <v>-0.32998339999999998</v>
      </c>
      <c r="S4046">
        <v>-2.6908569999999998</v>
      </c>
      <c r="T4046">
        <v>-0.38501190000000002</v>
      </c>
      <c r="U4046">
        <v>-1.395294</v>
      </c>
      <c r="V4046">
        <v>-0.171624</v>
      </c>
      <c r="W4046">
        <v>1.0793779999999999E-2</v>
      </c>
      <c r="X4046">
        <v>0.98510339999999996</v>
      </c>
      <c r="Y4046">
        <v>-0.30817119999999998</v>
      </c>
      <c r="Z4046">
        <v>9.2841129999999997E-4</v>
      </c>
      <c r="AA4046">
        <v>0.95133049999999997</v>
      </c>
      <c r="AB4046">
        <v>24</v>
      </c>
      <c r="AC4046">
        <v>-7.5925000000000296</v>
      </c>
      <c r="AD4046">
        <v>-1.113151338734</v>
      </c>
      <c r="AE4046">
        <v>-4</v>
      </c>
      <c r="AF4046">
        <v>-2.6628811645272799</v>
      </c>
      <c r="AG4046">
        <v>-1.113151338734</v>
      </c>
      <c r="AH4046">
        <v>8.0086252631819193</v>
      </c>
      <c r="AI4046">
        <v>97.513612958681904</v>
      </c>
      <c r="AJ4046">
        <v>108.392051701361</v>
      </c>
      <c r="AK4046">
        <v>8.5128209546186895</v>
      </c>
      <c r="AL4046">
        <v>89.381549955421093</v>
      </c>
      <c r="AM4046">
        <v>99.882836722351499</v>
      </c>
      <c r="AN4046">
        <v>1.0000000058771199</v>
      </c>
    </row>
    <row r="4047" spans="1:40" x14ac:dyDescent="0.25">
      <c r="A4047" t="str">
        <f>"20190312150736538"</f>
        <v>20190312150736538</v>
      </c>
      <c r="B4047" t="str">
        <f>"1552374456533862"</f>
        <v>1552374456533862</v>
      </c>
      <c r="C4047" t="s">
        <v>40</v>
      </c>
      <c r="D4047">
        <v>4.4429629999999998</v>
      </c>
      <c r="E4047">
        <v>0.44592470000000001</v>
      </c>
      <c r="F4047" t="s">
        <v>61</v>
      </c>
      <c r="G4047">
        <v>-478.23750000000001</v>
      </c>
      <c r="H4047" s="1">
        <v>2.507655E-6</v>
      </c>
      <c r="I4047">
        <v>279.49259999999998</v>
      </c>
      <c r="J4047">
        <v>-470.4751</v>
      </c>
      <c r="K4047">
        <v>1.1131759999999999</v>
      </c>
      <c r="L4047">
        <v>283.61619999999999</v>
      </c>
      <c r="M4047">
        <v>-0.9861086</v>
      </c>
      <c r="N4047">
        <v>0</v>
      </c>
      <c r="O4047">
        <v>-0.16551779999999999</v>
      </c>
      <c r="P4047">
        <v>-0.94319779999999998</v>
      </c>
      <c r="Q4047">
        <v>-1.6235430000000001E-3</v>
      </c>
      <c r="R4047">
        <v>-0.33222829999999998</v>
      </c>
      <c r="S4047">
        <v>-2.6843569999999999</v>
      </c>
      <c r="T4047">
        <v>-0.3783801</v>
      </c>
      <c r="U4047">
        <v>-1.410156</v>
      </c>
      <c r="V4047">
        <v>-0.17158989999999999</v>
      </c>
      <c r="W4047">
        <v>1.097068E-2</v>
      </c>
      <c r="X4047">
        <v>0.98510739999999997</v>
      </c>
      <c r="Y4047">
        <v>-0.31098540000000002</v>
      </c>
      <c r="Z4047">
        <v>1.0302919999999999E-3</v>
      </c>
      <c r="AA4047">
        <v>0.95041410000000004</v>
      </c>
      <c r="AB4047">
        <v>24</v>
      </c>
      <c r="AC4047">
        <v>-7.7624000000000102</v>
      </c>
      <c r="AD4047">
        <v>-1.1131734923449901</v>
      </c>
      <c r="AE4047">
        <v>-4.1235999999999997</v>
      </c>
      <c r="AF4047">
        <v>-2.7378589687530299</v>
      </c>
      <c r="AG4047">
        <v>-1.1131734923449901</v>
      </c>
      <c r="AH4047">
        <v>8.2062855743809493</v>
      </c>
      <c r="AI4047">
        <v>97.332322888450094</v>
      </c>
      <c r="AJ4047">
        <v>108.450219754508</v>
      </c>
      <c r="AK4047">
        <v>8.7222789387369293</v>
      </c>
      <c r="AL4047">
        <v>89.371413740479497</v>
      </c>
      <c r="AM4047">
        <v>99.880872475138702</v>
      </c>
      <c r="AN4047">
        <v>1.0000000195682099</v>
      </c>
    </row>
    <row r="4048" spans="1:40" x14ac:dyDescent="0.25">
      <c r="A4048" t="str">
        <f>"20190312150736550"</f>
        <v>20190312150736550</v>
      </c>
      <c r="B4048" t="str">
        <f>"1552374456543622"</f>
        <v>1552374456543622</v>
      </c>
      <c r="C4048" t="s">
        <v>40</v>
      </c>
      <c r="D4048">
        <v>4.441503</v>
      </c>
      <c r="E4048">
        <v>0.44541409999999998</v>
      </c>
      <c r="F4048" t="s">
        <v>61</v>
      </c>
      <c r="G4048">
        <v>-478.58940000000001</v>
      </c>
      <c r="H4048" s="1">
        <v>2.3296710000000002E-6</v>
      </c>
      <c r="I4048">
        <v>279.327</v>
      </c>
      <c r="J4048">
        <v>-470.59390000000002</v>
      </c>
      <c r="K4048">
        <v>1.1131960000000001</v>
      </c>
      <c r="L4048">
        <v>283.59390000000002</v>
      </c>
      <c r="M4048">
        <v>-0.98575100000000004</v>
      </c>
      <c r="N4048">
        <v>0</v>
      </c>
      <c r="O4048">
        <v>-0.16763410000000001</v>
      </c>
      <c r="P4048">
        <v>-0.94246129999999995</v>
      </c>
      <c r="Q4048">
        <v>-1.671184E-3</v>
      </c>
      <c r="R4048">
        <v>-0.33431139999999998</v>
      </c>
      <c r="S4048">
        <v>-2.6809080000000001</v>
      </c>
      <c r="T4048">
        <v>-0.36778280000000002</v>
      </c>
      <c r="U4048">
        <v>-1.417114</v>
      </c>
      <c r="V4048">
        <v>-0.171652</v>
      </c>
      <c r="W4048">
        <v>1.0915370000000001E-2</v>
      </c>
      <c r="X4048">
        <v>0.98509720000000001</v>
      </c>
      <c r="Y4048">
        <v>-0.3114517</v>
      </c>
      <c r="Z4048">
        <v>1.2342799999999999E-3</v>
      </c>
      <c r="AA4048">
        <v>0.95026120000000003</v>
      </c>
      <c r="AB4048">
        <v>24</v>
      </c>
      <c r="AC4048">
        <v>-7.9954999999999901</v>
      </c>
      <c r="AD4048">
        <v>-1.113193670329</v>
      </c>
      <c r="AE4048">
        <v>-4.2669000000000201</v>
      </c>
      <c r="AF4048">
        <v>-2.8234613393336301</v>
      </c>
      <c r="AG4048">
        <v>-1.113193670329</v>
      </c>
      <c r="AH4048">
        <v>8.4698939395773394</v>
      </c>
      <c r="AI4048">
        <v>97.1072012310307</v>
      </c>
      <c r="AJ4048">
        <v>108.43594337833299</v>
      </c>
      <c r="AK4048">
        <v>8.99723498804277</v>
      </c>
      <c r="AL4048">
        <v>89.374582962471294</v>
      </c>
      <c r="AM4048">
        <v>99.884478265851499</v>
      </c>
      <c r="AN4048">
        <v>1.0000000239270299</v>
      </c>
    </row>
    <row r="4049" spans="1:40" x14ac:dyDescent="0.25">
      <c r="A4049" t="str">
        <f>"20190312150736563"</f>
        <v>20190312150736563</v>
      </c>
      <c r="B4049" t="str">
        <f>"1552374456554358"</f>
        <v>1552374456554358</v>
      </c>
      <c r="C4049" t="s">
        <v>40</v>
      </c>
      <c r="D4049">
        <v>4.3938350000000002</v>
      </c>
      <c r="E4049">
        <v>0.44523000000000001</v>
      </c>
      <c r="F4049" t="s">
        <v>61</v>
      </c>
      <c r="G4049">
        <v>-478.52929999999998</v>
      </c>
      <c r="H4049" s="1">
        <v>2.361147E-6</v>
      </c>
      <c r="I4049">
        <v>279.36340000000001</v>
      </c>
      <c r="J4049">
        <v>-470.7278</v>
      </c>
      <c r="K4049">
        <v>1.1132169999999999</v>
      </c>
      <c r="L4049">
        <v>283.56849999999997</v>
      </c>
      <c r="M4049">
        <v>-0.98533910000000002</v>
      </c>
      <c r="N4049">
        <v>0</v>
      </c>
      <c r="O4049">
        <v>-0.17003760000000001</v>
      </c>
      <c r="P4049">
        <v>-0.94162789999999996</v>
      </c>
      <c r="Q4049">
        <v>-1.33658E-3</v>
      </c>
      <c r="R4049">
        <v>-0.33665289999999998</v>
      </c>
      <c r="S4049">
        <v>-2.676361</v>
      </c>
      <c r="T4049">
        <v>-0.37544300000000003</v>
      </c>
      <c r="U4049">
        <v>-1.4268190000000001</v>
      </c>
      <c r="V4049">
        <v>-0.1717011</v>
      </c>
      <c r="W4049">
        <v>1.124198E-2</v>
      </c>
      <c r="X4049">
        <v>0.98508499999999999</v>
      </c>
      <c r="Y4049">
        <v>-0.31245499999999998</v>
      </c>
      <c r="Z4049">
        <v>1.4983209999999999E-3</v>
      </c>
      <c r="AA4049">
        <v>0.94993139999999998</v>
      </c>
      <c r="AB4049">
        <v>24</v>
      </c>
      <c r="AC4049">
        <v>-7.8014999999999697</v>
      </c>
      <c r="AD4049">
        <v>-1.113214638853</v>
      </c>
      <c r="AE4049">
        <v>-4.2050999999999501</v>
      </c>
      <c r="AF4049">
        <v>-2.7734174971675398</v>
      </c>
      <c r="AG4049">
        <v>-1.113214638853</v>
      </c>
      <c r="AH4049">
        <v>8.2724467848181806</v>
      </c>
      <c r="AI4049">
        <v>97.271049226653801</v>
      </c>
      <c r="AJ4049">
        <v>108.534223460587</v>
      </c>
      <c r="AK4049">
        <v>8.7957073196759108</v>
      </c>
      <c r="AL4049">
        <v>89.355868458846999</v>
      </c>
      <c r="AM4049">
        <v>99.887369904703604</v>
      </c>
      <c r="AN4049">
        <v>1.00000005354026</v>
      </c>
    </row>
    <row r="4050" spans="1:40" x14ac:dyDescent="0.25">
      <c r="A4050" t="str">
        <f>"20190312150736577"</f>
        <v>20190312150736577</v>
      </c>
      <c r="B4050" t="str">
        <f>"1552374456573879"</f>
        <v>1552374456573879</v>
      </c>
      <c r="C4050" t="s">
        <v>40</v>
      </c>
      <c r="D4050">
        <v>4.3689819999999999</v>
      </c>
      <c r="E4050">
        <v>0.44480160000000002</v>
      </c>
      <c r="F4050" t="s">
        <v>61</v>
      </c>
      <c r="G4050">
        <v>-478.70909999999998</v>
      </c>
      <c r="H4050" s="1">
        <v>2.2707359999999999E-6</v>
      </c>
      <c r="I4050">
        <v>279.28250000000003</v>
      </c>
      <c r="J4050">
        <v>-470.87279999999998</v>
      </c>
      <c r="K4050">
        <v>1.1132390000000001</v>
      </c>
      <c r="L4050">
        <v>283.54039999999998</v>
      </c>
      <c r="M4050">
        <v>-0.98488039999999999</v>
      </c>
      <c r="N4050">
        <v>0</v>
      </c>
      <c r="O4050">
        <v>-0.17267449999999901</v>
      </c>
      <c r="P4050">
        <v>-0.94080419999999998</v>
      </c>
      <c r="Q4050">
        <v>-1.212519E-3</v>
      </c>
      <c r="R4050">
        <v>-0.33894829999999998</v>
      </c>
      <c r="S4050">
        <v>-2.6723629999999998</v>
      </c>
      <c r="T4050">
        <v>-0.37273539999999999</v>
      </c>
      <c r="U4050">
        <v>-1.4350590000000001</v>
      </c>
      <c r="V4050">
        <v>-0.17146789999999901</v>
      </c>
      <c r="W4050">
        <v>1.135975E-2</v>
      </c>
      <c r="X4050">
        <v>0.98512420000000001</v>
      </c>
      <c r="Y4050">
        <v>-0.31281059999999999</v>
      </c>
      <c r="Z4050">
        <v>1.7961190000000001E-3</v>
      </c>
      <c r="AA4050">
        <v>0.94981380000000004</v>
      </c>
      <c r="AB4050">
        <v>24</v>
      </c>
      <c r="AC4050">
        <v>-7.8362999999999898</v>
      </c>
      <c r="AD4050">
        <v>-1.113236729264</v>
      </c>
      <c r="AE4050">
        <v>-4.2578999999999496</v>
      </c>
      <c r="AF4050">
        <v>-2.79708650152021</v>
      </c>
      <c r="AG4050">
        <v>-1.113236729264</v>
      </c>
      <c r="AH4050">
        <v>8.3241680833805507</v>
      </c>
      <c r="AI4050">
        <v>97.224852584526801</v>
      </c>
      <c r="AJ4050">
        <v>108.573375342427</v>
      </c>
      <c r="AK4050">
        <v>8.8518225915762994</v>
      </c>
      <c r="AL4050">
        <v>89.349120261048697</v>
      </c>
      <c r="AM4050">
        <v>99.873820444085993</v>
      </c>
      <c r="AN4050">
        <v>0.99999998703805604</v>
      </c>
    </row>
    <row r="4051" spans="1:40" x14ac:dyDescent="0.25">
      <c r="A4051" t="str">
        <f>"20190312150736593"</f>
        <v>20190312150736593</v>
      </c>
      <c r="B4051" t="str">
        <f>"1552374456583639"</f>
        <v>1552374456583639</v>
      </c>
      <c r="C4051" t="s">
        <v>40</v>
      </c>
      <c r="D4051">
        <v>4.4479759999999997</v>
      </c>
      <c r="E4051">
        <v>0.44479299999999999</v>
      </c>
      <c r="F4051" t="s">
        <v>61</v>
      </c>
      <c r="G4051">
        <v>-478.78530000000001</v>
      </c>
      <c r="H4051" s="1">
        <v>2.2332690000000001E-6</v>
      </c>
      <c r="I4051">
        <v>279.25470000000001</v>
      </c>
      <c r="J4051">
        <v>-471.04</v>
      </c>
      <c r="K4051">
        <v>1.1132580000000001</v>
      </c>
      <c r="L4051">
        <v>283.50760000000002</v>
      </c>
      <c r="M4051">
        <v>-0.98433740000000003</v>
      </c>
      <c r="N4051">
        <v>0</v>
      </c>
      <c r="O4051">
        <v>-0.17574379999999901</v>
      </c>
      <c r="P4051">
        <v>-0.93967000000000001</v>
      </c>
      <c r="Q4051">
        <v>-1.840899E-3</v>
      </c>
      <c r="R4051">
        <v>-0.3420782</v>
      </c>
      <c r="S4051">
        <v>-2.6677249999999999</v>
      </c>
      <c r="T4051">
        <v>-0.37533149999999998</v>
      </c>
      <c r="U4051">
        <v>-1.4449459999999901</v>
      </c>
      <c r="V4051">
        <v>-0.17167209999999999</v>
      </c>
      <c r="W4051">
        <v>1.072035E-2</v>
      </c>
      <c r="X4051">
        <v>0.98509579999999997</v>
      </c>
      <c r="Y4051">
        <v>-0.31326920000000003</v>
      </c>
      <c r="Z4051">
        <v>2.1671910000000002E-3</v>
      </c>
      <c r="AA4051">
        <v>0.94966189999999995</v>
      </c>
      <c r="AB4051">
        <v>24</v>
      </c>
      <c r="AC4051">
        <v>-7.7452999999999799</v>
      </c>
      <c r="AD4051">
        <v>-1.1132557667309999</v>
      </c>
      <c r="AE4051">
        <v>-4.2529000000000101</v>
      </c>
      <c r="AF4051">
        <v>-2.7812268487744101</v>
      </c>
      <c r="AG4051">
        <v>-1.1132557667309999</v>
      </c>
      <c r="AH4051">
        <v>8.2414029998054996</v>
      </c>
      <c r="AI4051">
        <v>97.293589073224993</v>
      </c>
      <c r="AJ4051">
        <v>108.647999246052</v>
      </c>
      <c r="AK4051">
        <v>8.7689956432710403</v>
      </c>
      <c r="AL4051">
        <v>89.385757415409699</v>
      </c>
      <c r="AM4051">
        <v>99.885626651582598</v>
      </c>
      <c r="AN4051">
        <v>0.99999998550008595</v>
      </c>
    </row>
    <row r="4052" spans="1:40" x14ac:dyDescent="0.25">
      <c r="A4052" t="str">
        <f>"20190312150736615"</f>
        <v>20190312150736615</v>
      </c>
      <c r="B4052" t="str">
        <f>"1552374456604134"</f>
        <v>1552374456604134</v>
      </c>
      <c r="C4052" t="s">
        <v>40</v>
      </c>
      <c r="D4052">
        <v>4.4141589999999997</v>
      </c>
      <c r="E4052">
        <v>0.44407950000000002</v>
      </c>
      <c r="F4052" t="s">
        <v>61</v>
      </c>
      <c r="G4052">
        <v>-478.95429999999999</v>
      </c>
      <c r="H4052" s="1">
        <v>2.149456E-6</v>
      </c>
      <c r="I4052">
        <v>279.18779999999998</v>
      </c>
      <c r="J4052">
        <v>-471.27069999999998</v>
      </c>
      <c r="K4052">
        <v>1.113281</v>
      </c>
      <c r="L4052">
        <v>283.46129999999999</v>
      </c>
      <c r="M4052">
        <v>-0.98356189999999999</v>
      </c>
      <c r="N4052">
        <v>0</v>
      </c>
      <c r="O4052">
        <v>-0.18003339999999901</v>
      </c>
      <c r="P4052">
        <v>-0.93787619999999905</v>
      </c>
      <c r="Q4052">
        <v>-2.7695580000000001E-3</v>
      </c>
      <c r="R4052">
        <v>-0.34695900000000002</v>
      </c>
      <c r="S4052">
        <v>-2.662811</v>
      </c>
      <c r="T4052">
        <v>-0.37455909999999998</v>
      </c>
      <c r="U4052">
        <v>-1.4534</v>
      </c>
      <c r="V4052">
        <v>-0.17249429999999999</v>
      </c>
      <c r="W4052">
        <v>9.7710169999999999E-3</v>
      </c>
      <c r="X4052">
        <v>0.984962</v>
      </c>
      <c r="Y4052">
        <v>-0.31223200000000001</v>
      </c>
      <c r="Z4052">
        <v>2.7737339999999999E-3</v>
      </c>
      <c r="AA4052">
        <v>0.95000180000000001</v>
      </c>
      <c r="AB4052">
        <v>24</v>
      </c>
      <c r="AC4052">
        <v>-7.68360000000001</v>
      </c>
      <c r="AD4052">
        <v>-1.1132788505440001</v>
      </c>
      <c r="AE4052">
        <v>-4.2735000000000101</v>
      </c>
      <c r="AF4052">
        <v>-2.7757165057485702</v>
      </c>
      <c r="AG4052">
        <v>-1.1132788505440001</v>
      </c>
      <c r="AH4052">
        <v>8.1960658244695193</v>
      </c>
      <c r="AI4052">
        <v>97.331018356780405</v>
      </c>
      <c r="AJ4052">
        <v>108.709415586538</v>
      </c>
      <c r="AK4052">
        <v>8.7246482403814305</v>
      </c>
      <c r="AL4052">
        <v>89.440153027128503</v>
      </c>
      <c r="AM4052">
        <v>99.933354223627404</v>
      </c>
      <c r="AN4052">
        <v>0.99999994887485</v>
      </c>
    </row>
    <row r="4053" spans="1:40" x14ac:dyDescent="0.25">
      <c r="A4053" t="str">
        <f>"20190312150736628"</f>
        <v>20190312150736628</v>
      </c>
      <c r="B4053" t="str">
        <f>"1552374456623654"</f>
        <v>1552374456623654</v>
      </c>
      <c r="C4053" t="s">
        <v>40</v>
      </c>
      <c r="D4053">
        <v>4.3631849999999996</v>
      </c>
      <c r="E4053">
        <v>0.44392959999999898</v>
      </c>
      <c r="F4053" t="s">
        <v>61</v>
      </c>
      <c r="G4053">
        <v>-478.91149999999999</v>
      </c>
      <c r="H4053" s="1">
        <v>2.172792E-6</v>
      </c>
      <c r="I4053">
        <v>279.22059999999999</v>
      </c>
      <c r="J4053">
        <v>-471.40190000000001</v>
      </c>
      <c r="K4053">
        <v>1.1132919999999999</v>
      </c>
      <c r="L4053">
        <v>283.43459999999999</v>
      </c>
      <c r="M4053">
        <v>-0.98310819999999999</v>
      </c>
      <c r="N4053">
        <v>0</v>
      </c>
      <c r="O4053">
        <v>-0.1824945</v>
      </c>
      <c r="P4053">
        <v>-0.93691179999999996</v>
      </c>
      <c r="Q4053">
        <v>-3.1883139999999998E-3</v>
      </c>
      <c r="R4053">
        <v>-0.34955130000000001</v>
      </c>
      <c r="S4053">
        <v>-2.6528930000000002</v>
      </c>
      <c r="T4053">
        <v>-0.38653209999999999</v>
      </c>
      <c r="U4053">
        <v>-1.4723820000000001</v>
      </c>
      <c r="V4053">
        <v>-0.17275090000000001</v>
      </c>
      <c r="W4053">
        <v>9.3433140000000001E-3</v>
      </c>
      <c r="X4053">
        <v>0.98492120000000005</v>
      </c>
      <c r="Y4053">
        <v>-0.31647690000000001</v>
      </c>
      <c r="Z4053">
        <v>2.8966310000000002E-3</v>
      </c>
      <c r="AA4053">
        <v>0.94859579999999999</v>
      </c>
      <c r="AB4053">
        <v>24</v>
      </c>
      <c r="AC4053">
        <v>-7.5095999999999696</v>
      </c>
      <c r="AD4053">
        <v>-1.1132898272079901</v>
      </c>
      <c r="AE4053">
        <v>-4.2139999999999898</v>
      </c>
      <c r="AF4053">
        <v>-2.7270449642759602</v>
      </c>
      <c r="AG4053">
        <v>-1.1132898272079901</v>
      </c>
      <c r="AH4053">
        <v>8.0185458443377495</v>
      </c>
      <c r="AI4053">
        <v>97.488349206801701</v>
      </c>
      <c r="AJ4053">
        <v>108.78276879352499</v>
      </c>
      <c r="AK4053">
        <v>8.5424391091943903</v>
      </c>
      <c r="AL4053">
        <v>89.464659736217101</v>
      </c>
      <c r="AM4053">
        <v>99.948239826576398</v>
      </c>
      <c r="AN4053">
        <v>0.99999997058837597</v>
      </c>
    </row>
    <row r="4054" spans="1:40" x14ac:dyDescent="0.25">
      <c r="A4054" t="str">
        <f>"20190312150736639"</f>
        <v>20190312150736639</v>
      </c>
      <c r="B4054" t="str">
        <f>"1552374456634391"</f>
        <v>1552374456634391</v>
      </c>
      <c r="C4054" t="s">
        <v>40</v>
      </c>
      <c r="D4054">
        <v>4.4328640000000004</v>
      </c>
      <c r="E4054">
        <v>0.44367859999999998</v>
      </c>
      <c r="F4054" t="s">
        <v>61</v>
      </c>
      <c r="G4054">
        <v>-478.83909999999997</v>
      </c>
      <c r="H4054" s="1">
        <v>2.2120269999999999E-6</v>
      </c>
      <c r="I4054">
        <v>279.27460000000002</v>
      </c>
      <c r="J4054">
        <v>-471.52159999999998</v>
      </c>
      <c r="K4054">
        <v>1.113305</v>
      </c>
      <c r="L4054">
        <v>283.40980000000002</v>
      </c>
      <c r="M4054">
        <v>-0.9826859</v>
      </c>
      <c r="N4054">
        <v>0</v>
      </c>
      <c r="O4054">
        <v>-0.18475469999999999</v>
      </c>
      <c r="P4054">
        <v>-0.93598419999999904</v>
      </c>
      <c r="Q4054">
        <v>-4.0933050000000002E-3</v>
      </c>
      <c r="R4054">
        <v>-0.352018</v>
      </c>
      <c r="S4054">
        <v>-2.6480410000000001</v>
      </c>
      <c r="T4054">
        <v>-0.39639079999999999</v>
      </c>
      <c r="U4054">
        <v>-1.481171</v>
      </c>
      <c r="V4054">
        <v>-0.17307500000000001</v>
      </c>
      <c r="W4054">
        <v>8.4306810000000006E-3</v>
      </c>
      <c r="X4054">
        <v>0.98487259999999999</v>
      </c>
      <c r="Y4054">
        <v>-0.3173899</v>
      </c>
      <c r="Z4054">
        <v>3.2096910000000002E-3</v>
      </c>
      <c r="AA4054">
        <v>0.94828970000000001</v>
      </c>
      <c r="AB4054">
        <v>24</v>
      </c>
      <c r="AC4054">
        <v>-7.3174999999999901</v>
      </c>
      <c r="AD4054">
        <v>-1.113302787973</v>
      </c>
      <c r="AE4054">
        <v>-4.1351999999999904</v>
      </c>
      <c r="AF4054">
        <v>-2.6651644788747699</v>
      </c>
      <c r="AG4054">
        <v>-1.113302787973</v>
      </c>
      <c r="AH4054">
        <v>7.8184039512165304</v>
      </c>
      <c r="AI4054">
        <v>97.676040602322701</v>
      </c>
      <c r="AJ4054">
        <v>108.823393634143</v>
      </c>
      <c r="AK4054">
        <v>8.3348656342836502</v>
      </c>
      <c r="AL4054">
        <v>89.516951854908797</v>
      </c>
      <c r="AM4054">
        <v>99.967011906553395</v>
      </c>
      <c r="AN4054">
        <v>1.00000003511894</v>
      </c>
    </row>
    <row r="4055" spans="1:40" x14ac:dyDescent="0.25">
      <c r="A4055" t="str">
        <f>"20190312150736650"</f>
        <v>20190312150736650</v>
      </c>
      <c r="B4055" t="str">
        <f>"1552374456644151"</f>
        <v>1552374456644151</v>
      </c>
      <c r="C4055" t="s">
        <v>40</v>
      </c>
      <c r="D4055">
        <v>4.4489929999999998</v>
      </c>
      <c r="E4055">
        <v>0.44373050000000003</v>
      </c>
      <c r="F4055" t="s">
        <v>61</v>
      </c>
      <c r="G4055">
        <v>-478.81139999999999</v>
      </c>
      <c r="H4055" s="1">
        <v>2.227543E-6</v>
      </c>
      <c r="I4055">
        <v>279.29899999999998</v>
      </c>
      <c r="J4055">
        <v>-471.6377</v>
      </c>
      <c r="K4055">
        <v>1.1133139999999999</v>
      </c>
      <c r="L4055">
        <v>283.38549999999998</v>
      </c>
      <c r="M4055">
        <v>-0.98226899999999995</v>
      </c>
      <c r="N4055">
        <v>0</v>
      </c>
      <c r="O4055">
        <v>-0.18695829999999999</v>
      </c>
      <c r="P4055">
        <v>-0.93512689999999998</v>
      </c>
      <c r="Q4055">
        <v>-4.6601860000000002E-3</v>
      </c>
      <c r="R4055">
        <v>-0.35428209999999999</v>
      </c>
      <c r="S4055">
        <v>-2.6428530000000001</v>
      </c>
      <c r="T4055">
        <v>-0.40361770000000002</v>
      </c>
      <c r="U4055">
        <v>-1.490326</v>
      </c>
      <c r="V4055">
        <v>-0.1732467</v>
      </c>
      <c r="W4055">
        <v>7.8575439999999993E-3</v>
      </c>
      <c r="X4055">
        <v>0.98484709999999998</v>
      </c>
      <c r="Y4055">
        <v>-0.31851970000000002</v>
      </c>
      <c r="Z4055">
        <v>3.489036E-3</v>
      </c>
      <c r="AA4055">
        <v>0.94790980000000002</v>
      </c>
      <c r="AB4055">
        <v>24</v>
      </c>
      <c r="AC4055">
        <v>-7.1736999999999904</v>
      </c>
      <c r="AD4055">
        <v>-1.1133117724570001</v>
      </c>
      <c r="AE4055">
        <v>-4.0864999999999396</v>
      </c>
      <c r="AF4055">
        <v>-2.6253786206449199</v>
      </c>
      <c r="AG4055">
        <v>-1.1133117724570001</v>
      </c>
      <c r="AH4055">
        <v>7.6717617226477204</v>
      </c>
      <c r="AI4055">
        <v>97.817886656724795</v>
      </c>
      <c r="AJ4055">
        <v>108.891626846021</v>
      </c>
      <c r="AK4055">
        <v>8.18461996268082</v>
      </c>
      <c r="AL4055">
        <v>89.549791252002905</v>
      </c>
      <c r="AM4055">
        <v>99.976954303313406</v>
      </c>
      <c r="AN4055">
        <v>0.99999998521850497</v>
      </c>
    </row>
    <row r="4056" spans="1:40" x14ac:dyDescent="0.25">
      <c r="A4056" t="str">
        <f>"20190312150736662"</f>
        <v>20190312150736662</v>
      </c>
      <c r="B4056" t="str">
        <f>"1552374456653910"</f>
        <v>1552374456653910</v>
      </c>
      <c r="C4056" t="s">
        <v>40</v>
      </c>
      <c r="D4056">
        <v>4.4353920000000002</v>
      </c>
      <c r="E4056">
        <v>0.44361099999999998</v>
      </c>
      <c r="F4056" t="s">
        <v>61</v>
      </c>
      <c r="G4056">
        <v>-478.8125</v>
      </c>
      <c r="H4056" s="1">
        <v>2.2293800000000001E-6</v>
      </c>
      <c r="I4056">
        <v>279.31659999999999</v>
      </c>
      <c r="J4056">
        <v>-471.7645</v>
      </c>
      <c r="K4056">
        <v>1.1133309999999901</v>
      </c>
      <c r="L4056">
        <v>283.3587</v>
      </c>
      <c r="M4056">
        <v>-0.98180650000000003</v>
      </c>
      <c r="N4056">
        <v>0</v>
      </c>
      <c r="O4056">
        <v>-0.18937219999999999</v>
      </c>
      <c r="P4056">
        <v>-0.93434799999999996</v>
      </c>
      <c r="Q4056">
        <v>-4.907542E-3</v>
      </c>
      <c r="R4056">
        <v>-0.35632839999999999</v>
      </c>
      <c r="S4056">
        <v>-2.6390989999999999</v>
      </c>
      <c r="T4056">
        <v>-0.40950750000000002</v>
      </c>
      <c r="U4056">
        <v>-1.4966429999999999</v>
      </c>
      <c r="V4056">
        <v>-0.172980299999999</v>
      </c>
      <c r="W4056">
        <v>7.608643E-3</v>
      </c>
      <c r="X4056">
        <v>0.98489590000000005</v>
      </c>
      <c r="Y4056">
        <v>-0.31847300000000001</v>
      </c>
      <c r="Z4056">
        <v>3.8775670000000002E-3</v>
      </c>
      <c r="AA4056">
        <v>0.94792399999999999</v>
      </c>
      <c r="AB4056">
        <v>24</v>
      </c>
      <c r="AC4056">
        <v>-7.048</v>
      </c>
      <c r="AD4056">
        <v>-1.1133287706199999</v>
      </c>
      <c r="AE4056">
        <v>-4.0420999999999996</v>
      </c>
      <c r="AF4056">
        <v>-2.5855721355129599</v>
      </c>
      <c r="AG4056">
        <v>-1.1133287706199999</v>
      </c>
      <c r="AH4056">
        <v>7.5443226598798203</v>
      </c>
      <c r="AI4056">
        <v>97.947179643838695</v>
      </c>
      <c r="AJ4056">
        <v>108.91748974337899</v>
      </c>
      <c r="AK4056">
        <v>8.0524212890165803</v>
      </c>
      <c r="AL4056">
        <v>89.564052664003697</v>
      </c>
      <c r="AM4056">
        <v>99.961436663167007</v>
      </c>
      <c r="AN4056">
        <v>1.0000000047366</v>
      </c>
    </row>
    <row r="4057" spans="1:40" x14ac:dyDescent="0.25">
      <c r="A4057" t="str">
        <f>"20190312150736677"</f>
        <v>20190312150736677</v>
      </c>
      <c r="B4057" t="str">
        <f>"1552374456674406"</f>
        <v>1552374456674406</v>
      </c>
      <c r="C4057" t="s">
        <v>40</v>
      </c>
      <c r="D4057">
        <v>4.4199849999999996</v>
      </c>
      <c r="E4057">
        <v>0.4435617</v>
      </c>
      <c r="F4057" t="s">
        <v>61</v>
      </c>
      <c r="G4057">
        <v>-478.85700000000003</v>
      </c>
      <c r="H4057" s="1">
        <v>2.2089990000000001E-6</v>
      </c>
      <c r="I4057">
        <v>279.3116</v>
      </c>
      <c r="J4057">
        <v>-471.90480000000002</v>
      </c>
      <c r="K4057">
        <v>1.113337</v>
      </c>
      <c r="L4057">
        <v>283.32850000000002</v>
      </c>
      <c r="M4057">
        <v>-0.9812843</v>
      </c>
      <c r="N4057">
        <v>0</v>
      </c>
      <c r="O4057">
        <v>-0.19205990000000001</v>
      </c>
      <c r="P4057">
        <v>-0.93333270000000002</v>
      </c>
      <c r="Q4057">
        <v>-5.2790729999999996E-3</v>
      </c>
      <c r="R4057">
        <v>-0.35897420000000002</v>
      </c>
      <c r="S4057">
        <v>-2.6351619999999998</v>
      </c>
      <c r="T4057">
        <v>-0.41365210000000002</v>
      </c>
      <c r="U4057">
        <v>-1.5036929999999999</v>
      </c>
      <c r="V4057">
        <v>-0.1730719</v>
      </c>
      <c r="W4057">
        <v>7.2329059999999999E-3</v>
      </c>
      <c r="X4057">
        <v>0.9848827</v>
      </c>
      <c r="Y4057">
        <v>-0.3184015</v>
      </c>
      <c r="Z4057">
        <v>4.2978859999999999E-3</v>
      </c>
      <c r="AA4057">
        <v>0.94794630000000002</v>
      </c>
      <c r="AB4057">
        <v>24</v>
      </c>
      <c r="AC4057">
        <v>-6.95219999999994</v>
      </c>
      <c r="AD4057">
        <v>-1.1133347910009901</v>
      </c>
      <c r="AE4057">
        <v>-4.0169000000000201</v>
      </c>
      <c r="AF4057">
        <v>-2.5575617530250199</v>
      </c>
      <c r="AG4057">
        <v>-1.1133347910009901</v>
      </c>
      <c r="AH4057">
        <v>7.45104858159696</v>
      </c>
      <c r="AI4057">
        <v>98.044118974919101</v>
      </c>
      <c r="AJ4057">
        <v>108.944709982354</v>
      </c>
      <c r="AK4057">
        <v>7.9560518753152802</v>
      </c>
      <c r="AL4057">
        <v>89.585581426142696</v>
      </c>
      <c r="AM4057">
        <v>99.966736803256794</v>
      </c>
      <c r="AN4057">
        <v>1.0000000651290499</v>
      </c>
    </row>
    <row r="4058" spans="1:40" x14ac:dyDescent="0.25">
      <c r="A4058" t="str">
        <f>"20190312150736690"</f>
        <v>20190312150736690</v>
      </c>
      <c r="B4058" t="str">
        <f>"1552374456684167"</f>
        <v>1552374456684167</v>
      </c>
      <c r="C4058" t="s">
        <v>40</v>
      </c>
      <c r="D4058">
        <v>4.3928710000000004</v>
      </c>
      <c r="E4058">
        <v>0.44353569999999998</v>
      </c>
      <c r="F4058" t="s">
        <v>61</v>
      </c>
      <c r="G4058">
        <v>-478.85410000000002</v>
      </c>
      <c r="H4058" s="1">
        <v>2.2132599999999998E-6</v>
      </c>
      <c r="I4058">
        <v>279.33429999999998</v>
      </c>
      <c r="J4058">
        <v>-472.03809999999999</v>
      </c>
      <c r="K4058">
        <v>1.11334</v>
      </c>
      <c r="L4058">
        <v>283.29950000000002</v>
      </c>
      <c r="M4058">
        <v>-0.98077959999999997</v>
      </c>
      <c r="N4058">
        <v>0</v>
      </c>
      <c r="O4058">
        <v>-0.1946213</v>
      </c>
      <c r="P4058">
        <v>-0.93237700000000001</v>
      </c>
      <c r="Q4058">
        <v>-5.636594E-3</v>
      </c>
      <c r="R4058">
        <v>-0.36144399999999999</v>
      </c>
      <c r="S4058">
        <v>-2.6304319999999999</v>
      </c>
      <c r="T4058">
        <v>-0.4214137</v>
      </c>
      <c r="U4058">
        <v>-1.511871</v>
      </c>
      <c r="V4058">
        <v>-0.1731057</v>
      </c>
      <c r="W4058">
        <v>6.8733789999999998E-3</v>
      </c>
      <c r="X4058">
        <v>0.98487930000000001</v>
      </c>
      <c r="Y4058">
        <v>-0.31885409999999997</v>
      </c>
      <c r="Z4058">
        <v>4.7100989999999997E-3</v>
      </c>
      <c r="AA4058">
        <v>0.94779210000000003</v>
      </c>
      <c r="AB4058">
        <v>24</v>
      </c>
      <c r="AC4058">
        <v>-6.81600000000003</v>
      </c>
      <c r="AD4058">
        <v>-1.1133377867400001</v>
      </c>
      <c r="AE4058">
        <v>-3.9652000000000398</v>
      </c>
      <c r="AF4058">
        <v>-2.51261014786146</v>
      </c>
      <c r="AG4058">
        <v>-1.1133377867400001</v>
      </c>
      <c r="AH4058">
        <v>7.3116769282736698</v>
      </c>
      <c r="AI4058">
        <v>98.194429313137803</v>
      </c>
      <c r="AJ4058">
        <v>108.96494975018101</v>
      </c>
      <c r="AK4058">
        <v>7.8111042936302599</v>
      </c>
      <c r="AL4058">
        <v>89.606181303643197</v>
      </c>
      <c r="AM4058">
        <v>99.968677936306705</v>
      </c>
      <c r="AN4058">
        <v>1.00000003113992</v>
      </c>
    </row>
    <row r="4059" spans="1:40" x14ac:dyDescent="0.25">
      <c r="A4059" t="str">
        <f>"20190312150736701"</f>
        <v>20190312150736701</v>
      </c>
      <c r="B4059" t="str">
        <f>"1552374456693927"</f>
        <v>1552374456693927</v>
      </c>
      <c r="C4059" t="s">
        <v>40</v>
      </c>
      <c r="D4059">
        <v>4.4211410000000004</v>
      </c>
      <c r="E4059">
        <v>0.44345400000000001</v>
      </c>
      <c r="F4059" t="s">
        <v>61</v>
      </c>
      <c r="G4059">
        <v>-478.916</v>
      </c>
      <c r="H4059" s="1">
        <v>2.1841489999999998E-6</v>
      </c>
      <c r="I4059">
        <v>279.3218</v>
      </c>
      <c r="J4059">
        <v>-472.16070000000002</v>
      </c>
      <c r="K4059">
        <v>1.1133409999999999</v>
      </c>
      <c r="L4059">
        <v>283.27260000000001</v>
      </c>
      <c r="M4059">
        <v>-0.98030810000000002</v>
      </c>
      <c r="N4059">
        <v>0</v>
      </c>
      <c r="O4059">
        <v>-0.19698209999999999</v>
      </c>
      <c r="P4059">
        <v>-0.93147840000000004</v>
      </c>
      <c r="Q4059">
        <v>-5.9861869999999996E-3</v>
      </c>
      <c r="R4059">
        <v>-0.36374709999999899</v>
      </c>
      <c r="S4059">
        <v>-2.6262509999999999</v>
      </c>
      <c r="T4059">
        <v>-0.42511189999999999</v>
      </c>
      <c r="U4059">
        <v>-1.518829</v>
      </c>
      <c r="V4059">
        <v>-0.17316670000000001</v>
      </c>
      <c r="W4059">
        <v>6.5219569999999897E-3</v>
      </c>
      <c r="X4059">
        <v>0.98487089999999999</v>
      </c>
      <c r="Y4059">
        <v>-0.31910670000000002</v>
      </c>
      <c r="Z4059">
        <v>5.0725340000000001E-3</v>
      </c>
      <c r="AA4059">
        <v>0.94770520000000003</v>
      </c>
      <c r="AB4059">
        <v>24</v>
      </c>
      <c r="AC4059">
        <v>-6.7552999999999699</v>
      </c>
      <c r="AD4059">
        <v>-1.11333881585099</v>
      </c>
      <c r="AE4059">
        <v>-3.9508000000000099</v>
      </c>
      <c r="AF4059">
        <v>-2.4921353283378198</v>
      </c>
      <c r="AG4059">
        <v>-1.11333881585099</v>
      </c>
      <c r="AH4059">
        <v>7.2544051861017698</v>
      </c>
      <c r="AI4059">
        <v>98.258514861011804</v>
      </c>
      <c r="AJ4059">
        <v>108.959342542161</v>
      </c>
      <c r="AK4059">
        <v>7.7509132634658098</v>
      </c>
      <c r="AL4059">
        <v>89.626316727757697</v>
      </c>
      <c r="AM4059">
        <v>99.972203602744599</v>
      </c>
      <c r="AN4059">
        <v>0.99999996578940398</v>
      </c>
    </row>
    <row r="4060" spans="1:40" x14ac:dyDescent="0.25">
      <c r="A4060" t="str">
        <f>"20190312150736714"</f>
        <v>20190312150736714</v>
      </c>
      <c r="B4060" t="str">
        <f>"1552374456703687"</f>
        <v>1552374456703687</v>
      </c>
      <c r="C4060" t="s">
        <v>40</v>
      </c>
      <c r="D4060">
        <v>4.4672090000000004</v>
      </c>
      <c r="E4060">
        <v>0.44330760000000002</v>
      </c>
      <c r="F4060" t="s">
        <v>61</v>
      </c>
      <c r="G4060">
        <v>-478.98610000000002</v>
      </c>
      <c r="H4060" s="1">
        <v>2.1504300000000002E-6</v>
      </c>
      <c r="I4060">
        <v>279.30160000000001</v>
      </c>
      <c r="J4060">
        <v>-472.28750000000002</v>
      </c>
      <c r="K4060">
        <v>1.113343</v>
      </c>
      <c r="L4060">
        <v>283.24430000000001</v>
      </c>
      <c r="M4060">
        <v>-0.97981289999999999</v>
      </c>
      <c r="N4060">
        <v>0</v>
      </c>
      <c r="O4060">
        <v>-0.19943089999999999</v>
      </c>
      <c r="P4060">
        <v>-0.93053070000000004</v>
      </c>
      <c r="Q4060">
        <v>-6.4467559999999997E-3</v>
      </c>
      <c r="R4060">
        <v>-0.36615779999999998</v>
      </c>
      <c r="S4060">
        <v>-2.6221920000000001</v>
      </c>
      <c r="T4060">
        <v>-0.42772650000000001</v>
      </c>
      <c r="U4060">
        <v>-1.525574</v>
      </c>
      <c r="V4060">
        <v>-0.17325309999999999</v>
      </c>
      <c r="W4060">
        <v>6.0603890000000002E-3</v>
      </c>
      <c r="X4060">
        <v>0.98485869999999998</v>
      </c>
      <c r="Y4060">
        <v>-0.31920520000000002</v>
      </c>
      <c r="Z4060">
        <v>5.4512689999999999E-3</v>
      </c>
      <c r="AA4060">
        <v>0.94767000000000001</v>
      </c>
      <c r="AB4060">
        <v>24</v>
      </c>
      <c r="AC4060">
        <v>-6.6985999999999901</v>
      </c>
      <c r="AD4060">
        <v>-1.1133408495699999</v>
      </c>
      <c r="AE4060">
        <v>-3.9426999999999999</v>
      </c>
      <c r="AF4060">
        <v>-2.4766337904518698</v>
      </c>
      <c r="AG4060">
        <v>-1.1133408495699999</v>
      </c>
      <c r="AH4060">
        <v>7.2026114847639704</v>
      </c>
      <c r="AI4060">
        <v>98.316286772132997</v>
      </c>
      <c r="AJ4060">
        <v>108.97564436624501</v>
      </c>
      <c r="AK4060">
        <v>7.69745769587486</v>
      </c>
      <c r="AL4060">
        <v>89.6527631666562</v>
      </c>
      <c r="AM4060">
        <v>99.977200306817906</v>
      </c>
      <c r="AN4060">
        <v>1.0000000119700601</v>
      </c>
    </row>
    <row r="4061" spans="1:40" x14ac:dyDescent="0.25">
      <c r="A4061" t="str">
        <f>"20190312150736727"</f>
        <v>20190312150736727</v>
      </c>
      <c r="B4061" t="str">
        <f>"1552374456724183"</f>
        <v>1552374456724183</v>
      </c>
      <c r="C4061" t="s">
        <v>40</v>
      </c>
      <c r="D4061">
        <v>4.4145089999999998</v>
      </c>
      <c r="E4061">
        <v>0.44328800000000002</v>
      </c>
      <c r="F4061" t="s">
        <v>61</v>
      </c>
      <c r="G4061">
        <v>-479.0342</v>
      </c>
      <c r="H4061" s="1">
        <v>2.127822E-6</v>
      </c>
      <c r="I4061">
        <v>279.29199999999997</v>
      </c>
      <c r="J4061">
        <v>-472.41699999999997</v>
      </c>
      <c r="K4061">
        <v>1.113343</v>
      </c>
      <c r="L4061">
        <v>283.21510000000001</v>
      </c>
      <c r="M4061">
        <v>-0.97929999999999995</v>
      </c>
      <c r="N4061">
        <v>0</v>
      </c>
      <c r="O4061">
        <v>-0.201934</v>
      </c>
      <c r="P4061">
        <v>-0.92952979999999996</v>
      </c>
      <c r="Q4061">
        <v>-6.9133040000000003E-3</v>
      </c>
      <c r="R4061">
        <v>-0.36868279999999998</v>
      </c>
      <c r="S4061">
        <v>-2.6175839999999999</v>
      </c>
      <c r="T4061">
        <v>-0.431954</v>
      </c>
      <c r="U4061">
        <v>-1.533417</v>
      </c>
      <c r="V4061">
        <v>-0.17340810000000001</v>
      </c>
      <c r="W4061">
        <v>5.5921429999999999E-3</v>
      </c>
      <c r="X4061">
        <v>0.98483419999999999</v>
      </c>
      <c r="Y4061">
        <v>-0.31962220000000002</v>
      </c>
      <c r="Z4061">
        <v>5.8398319999999997E-3</v>
      </c>
      <c r="AA4061">
        <v>0.94752709999999996</v>
      </c>
      <c r="AB4061">
        <v>24</v>
      </c>
      <c r="AC4061">
        <v>-6.61720000000002</v>
      </c>
      <c r="AD4061">
        <v>-1.113340872178</v>
      </c>
      <c r="AE4061">
        <v>-3.9230999999999701</v>
      </c>
      <c r="AF4061">
        <v>-2.4544864327649401</v>
      </c>
      <c r="AG4061">
        <v>-1.113340872178</v>
      </c>
      <c r="AH4061">
        <v>7.1239215883891696</v>
      </c>
      <c r="AI4061">
        <v>98.4050842196948</v>
      </c>
      <c r="AJ4061">
        <v>109.01095372325</v>
      </c>
      <c r="AK4061">
        <v>7.6167112551157299</v>
      </c>
      <c r="AL4061">
        <v>89.6795921445229</v>
      </c>
      <c r="AM4061">
        <v>99.986190193936494</v>
      </c>
      <c r="AN4061">
        <v>1.0000000213492899</v>
      </c>
    </row>
    <row r="4062" spans="1:40" x14ac:dyDescent="0.25">
      <c r="A4062" t="str">
        <f>"20190312150736738"</f>
        <v>20190312150736738</v>
      </c>
      <c r="B4062" t="str">
        <f>"1552374456733942"</f>
        <v>1552374456733942</v>
      </c>
      <c r="C4062" t="s">
        <v>40</v>
      </c>
      <c r="D4062">
        <v>4.4205819999999996</v>
      </c>
      <c r="E4062">
        <v>0.44334899999999999</v>
      </c>
      <c r="F4062" t="s">
        <v>61</v>
      </c>
      <c r="G4062">
        <v>-479.06849999999997</v>
      </c>
      <c r="H4062" s="1">
        <v>2.1129250000000002E-6</v>
      </c>
      <c r="I4062">
        <v>279.2944</v>
      </c>
      <c r="J4062">
        <v>-472.54160000000002</v>
      </c>
      <c r="K4062">
        <v>1.1133390000000001</v>
      </c>
      <c r="L4062">
        <v>283.1866</v>
      </c>
      <c r="M4062">
        <v>-0.97879959999999999</v>
      </c>
      <c r="N4062">
        <v>0</v>
      </c>
      <c r="O4062">
        <v>-0.2043461</v>
      </c>
      <c r="P4062">
        <v>-0.92861629999999995</v>
      </c>
      <c r="Q4062">
        <v>-7.128906E-3</v>
      </c>
      <c r="R4062">
        <v>-0.37097279999999999</v>
      </c>
      <c r="S4062">
        <v>-2.6131899999999999</v>
      </c>
      <c r="T4062">
        <v>-0.43739889999999998</v>
      </c>
      <c r="U4062">
        <v>-1.540314</v>
      </c>
      <c r="V4062">
        <v>-0.17340739999999999</v>
      </c>
      <c r="W4062">
        <v>5.3770930000000003E-3</v>
      </c>
      <c r="X4062">
        <v>0.98483549999999997</v>
      </c>
      <c r="Y4062">
        <v>-0.31983240000000002</v>
      </c>
      <c r="Z4062">
        <v>6.2550829999999998E-3</v>
      </c>
      <c r="AA4062">
        <v>0.94745349999999995</v>
      </c>
      <c r="AB4062">
        <v>24</v>
      </c>
      <c r="AC4062">
        <v>-6.5268999999999497</v>
      </c>
      <c r="AD4062">
        <v>-1.11333688707499</v>
      </c>
      <c r="AE4062">
        <v>-3.8921999999999999</v>
      </c>
      <c r="AF4062">
        <v>-2.4241463955718201</v>
      </c>
      <c r="AG4062">
        <v>-1.11333688707499</v>
      </c>
      <c r="AH4062">
        <v>7.0336128788641696</v>
      </c>
      <c r="AI4062">
        <v>98.511116488100399</v>
      </c>
      <c r="AJ4062">
        <v>109.016597201788</v>
      </c>
      <c r="AK4062">
        <v>7.5224806348045599</v>
      </c>
      <c r="AL4062">
        <v>89.691913780656606</v>
      </c>
      <c r="AM4062">
        <v>99.986137777352099</v>
      </c>
      <c r="AN4062">
        <v>1.00000000078207</v>
      </c>
    </row>
    <row r="4063" spans="1:40" x14ac:dyDescent="0.25">
      <c r="A4063" t="str">
        <f>"20190312150736751"</f>
        <v>20190312150736751</v>
      </c>
      <c r="B4063" t="str">
        <f>"1552374456744679"</f>
        <v>1552374456744679</v>
      </c>
      <c r="C4063" t="s">
        <v>40</v>
      </c>
      <c r="D4063">
        <v>4.4355379999999904</v>
      </c>
      <c r="E4063">
        <v>0.44343280000000002</v>
      </c>
      <c r="F4063" t="s">
        <v>61</v>
      </c>
      <c r="G4063">
        <v>-479.15280000000001</v>
      </c>
      <c r="H4063" s="1">
        <v>2.0719609999999998E-6</v>
      </c>
      <c r="I4063">
        <v>279.2672</v>
      </c>
      <c r="J4063">
        <v>-472.66230000000002</v>
      </c>
      <c r="K4063">
        <v>1.1133360000000001</v>
      </c>
      <c r="L4063">
        <v>283.15870000000001</v>
      </c>
      <c r="M4063">
        <v>-0.97830810000000001</v>
      </c>
      <c r="N4063">
        <v>0</v>
      </c>
      <c r="O4063">
        <v>-0.2066867</v>
      </c>
      <c r="P4063">
        <v>-0.92766009999999999</v>
      </c>
      <c r="Q4063">
        <v>-7.2034150000000003E-3</v>
      </c>
      <c r="R4063">
        <v>-0.37335620000000003</v>
      </c>
      <c r="S4063">
        <v>-2.6092219999999999</v>
      </c>
      <c r="T4063">
        <v>-0.43939709999999899</v>
      </c>
      <c r="U4063">
        <v>-1.5468440000000001</v>
      </c>
      <c r="V4063">
        <v>-0.17358080000000001</v>
      </c>
      <c r="W4063">
        <v>5.3012769999999897E-3</v>
      </c>
      <c r="X4063">
        <v>0.98480529999999999</v>
      </c>
      <c r="Y4063">
        <v>-0.31996409999999997</v>
      </c>
      <c r="Z4063">
        <v>6.622419E-3</v>
      </c>
      <c r="AA4063">
        <v>0.94740650000000004</v>
      </c>
      <c r="AB4063">
        <v>24</v>
      </c>
      <c r="AC4063">
        <v>-6.4904999999999902</v>
      </c>
      <c r="AD4063">
        <v>-1.113333928039</v>
      </c>
      <c r="AE4063">
        <v>-3.8915000000000002</v>
      </c>
      <c r="AF4063">
        <v>-2.4135872902297901</v>
      </c>
      <c r="AG4063">
        <v>-1.113333928039</v>
      </c>
      <c r="AH4063">
        <v>7.00315312763595</v>
      </c>
      <c r="AI4063">
        <v>98.547589624104205</v>
      </c>
      <c r="AJ4063">
        <v>109.01615037997399</v>
      </c>
      <c r="AK4063">
        <v>7.4905987592447403</v>
      </c>
      <c r="AL4063">
        <v>89.696257760408798</v>
      </c>
      <c r="AM4063">
        <v>99.9962225455088</v>
      </c>
      <c r="AN4063">
        <v>0.99999993828727796</v>
      </c>
    </row>
    <row r="4064" spans="1:40" x14ac:dyDescent="0.25">
      <c r="A4064" t="str">
        <f>"20190312150736763"</f>
        <v>20190312150736763</v>
      </c>
      <c r="B4064" t="str">
        <f>"1552374456754439"</f>
        <v>1552374456754439</v>
      </c>
      <c r="C4064" t="s">
        <v>40</v>
      </c>
      <c r="D4064">
        <v>4.443282</v>
      </c>
      <c r="E4064">
        <v>0.44324029999999998</v>
      </c>
      <c r="F4064" t="s">
        <v>61</v>
      </c>
      <c r="G4064">
        <v>-479.31560000000002</v>
      </c>
      <c r="H4064" s="1">
        <v>1.9900660000000001E-6</v>
      </c>
      <c r="I4064">
        <v>279.19389999999999</v>
      </c>
      <c r="J4064">
        <v>-472.79</v>
      </c>
      <c r="K4064">
        <v>1.1133309999999901</v>
      </c>
      <c r="L4064">
        <v>283.12900000000002</v>
      </c>
      <c r="M4064">
        <v>-0.97778209999999999</v>
      </c>
      <c r="N4064">
        <v>0</v>
      </c>
      <c r="O4064">
        <v>-0.2091607</v>
      </c>
      <c r="P4064">
        <v>-0.92671179999999997</v>
      </c>
      <c r="Q4064">
        <v>-7.0305019999999897E-3</v>
      </c>
      <c r="R4064">
        <v>-0.37570779999999998</v>
      </c>
      <c r="S4064">
        <v>-2.605591</v>
      </c>
      <c r="T4064">
        <v>-0.43601230000000002</v>
      </c>
      <c r="U4064">
        <v>-1.5527340000000001</v>
      </c>
      <c r="V4064">
        <v>-0.1735881</v>
      </c>
      <c r="W4064">
        <v>5.4743650000000001E-3</v>
      </c>
      <c r="X4064">
        <v>0.98480310000000004</v>
      </c>
      <c r="Y4064">
        <v>-0.31977260000000002</v>
      </c>
      <c r="Z4064">
        <v>6.9528319999999999E-3</v>
      </c>
      <c r="AA4064">
        <v>0.9474688</v>
      </c>
      <c r="AB4064">
        <v>24</v>
      </c>
      <c r="AC4064">
        <v>-6.5255999999999901</v>
      </c>
      <c r="AD4064">
        <v>-1.1133290099340001</v>
      </c>
      <c r="AE4064">
        <v>-3.93510000000003</v>
      </c>
      <c r="AF4064">
        <v>-2.4311186151877999</v>
      </c>
      <c r="AG4064">
        <v>-1.1133290099340001</v>
      </c>
      <c r="AH4064">
        <v>7.0538145587143104</v>
      </c>
      <c r="AI4064">
        <v>98.487033974847407</v>
      </c>
      <c r="AJ4064">
        <v>109.01666745929499</v>
      </c>
      <c r="AK4064">
        <v>7.5436157798633401</v>
      </c>
      <c r="AL4064">
        <v>89.686340414357801</v>
      </c>
      <c r="AM4064">
        <v>99.996656341995106</v>
      </c>
      <c r="AN4064">
        <v>0.99999997145168595</v>
      </c>
    </row>
    <row r="4065" spans="1:40" x14ac:dyDescent="0.25">
      <c r="A4065" t="str">
        <f>"20190312150736776"</f>
        <v>20190312150736776</v>
      </c>
      <c r="B4065" t="str">
        <f>"1552374456764199"</f>
        <v>1552374456764199</v>
      </c>
      <c r="C4065" t="s">
        <v>40</v>
      </c>
      <c r="D4065">
        <v>4.4054799999999998</v>
      </c>
      <c r="E4065">
        <v>0.44317109999999899</v>
      </c>
      <c r="F4065" t="s">
        <v>61</v>
      </c>
      <c r="G4065">
        <v>-479.42779999999999</v>
      </c>
      <c r="H4065" s="1">
        <v>1.9339459999999998E-6</v>
      </c>
      <c r="I4065">
        <v>279.14600000000002</v>
      </c>
      <c r="J4065">
        <v>-472.92439999999999</v>
      </c>
      <c r="K4065">
        <v>1.113332</v>
      </c>
      <c r="L4065">
        <v>283.09710000000001</v>
      </c>
      <c r="M4065">
        <v>-0.97722050000000005</v>
      </c>
      <c r="N4065">
        <v>0</v>
      </c>
      <c r="O4065">
        <v>-0.21176909999999999</v>
      </c>
      <c r="P4065">
        <v>-0.92567049999999995</v>
      </c>
      <c r="Q4065">
        <v>-7.4659560000000002E-3</v>
      </c>
      <c r="R4065">
        <v>-0.37825740000000002</v>
      </c>
      <c r="S4065">
        <v>-2.6011350000000002</v>
      </c>
      <c r="T4065">
        <v>-0.4362761</v>
      </c>
      <c r="U4065">
        <v>-1.5608219999999999</v>
      </c>
      <c r="V4065">
        <v>-0.1736693</v>
      </c>
      <c r="W4065">
        <v>5.0385430000000004E-3</v>
      </c>
      <c r="X4065">
        <v>0.98479119999999998</v>
      </c>
      <c r="Y4065">
        <v>-0.32014740000000003</v>
      </c>
      <c r="Z4065">
        <v>7.3142329999999998E-3</v>
      </c>
      <c r="AA4065">
        <v>0.9473395</v>
      </c>
      <c r="AB4065">
        <v>24</v>
      </c>
      <c r="AC4065">
        <v>-6.5033999999999903</v>
      </c>
      <c r="AD4065">
        <v>-1.113330066054</v>
      </c>
      <c r="AE4065">
        <v>-3.95110000000005</v>
      </c>
      <c r="AF4065">
        <v>-2.4320578296581998</v>
      </c>
      <c r="AG4065">
        <v>-1.113330066054</v>
      </c>
      <c r="AH4065">
        <v>7.0419368444834198</v>
      </c>
      <c r="AI4065">
        <v>98.499302422585401</v>
      </c>
      <c r="AJ4065">
        <v>109.053261185793</v>
      </c>
      <c r="AK4065">
        <v>7.5328137932962802</v>
      </c>
      <c r="AL4065">
        <v>89.711311547072199</v>
      </c>
      <c r="AM4065">
        <v>100.001356542718</v>
      </c>
      <c r="AN4065">
        <v>1.0000000601377399</v>
      </c>
    </row>
    <row r="4066" spans="1:40" x14ac:dyDescent="0.25">
      <c r="A4066" t="str">
        <f>"20190312150736792"</f>
        <v>20190312150736792</v>
      </c>
      <c r="B4066" t="str">
        <f>"1552374456784696"</f>
        <v>1552374456784696</v>
      </c>
      <c r="C4066" t="s">
        <v>40</v>
      </c>
      <c r="D4066">
        <v>4.4550179999999999</v>
      </c>
      <c r="E4066">
        <v>0.44297019999999998</v>
      </c>
      <c r="F4066" t="s">
        <v>61</v>
      </c>
      <c r="G4066">
        <v>-479.51330000000002</v>
      </c>
      <c r="H4066" s="1">
        <v>1.8897770000000001E-6</v>
      </c>
      <c r="I4066">
        <v>279.11680000000001</v>
      </c>
      <c r="J4066">
        <v>-473.08609999999999</v>
      </c>
      <c r="K4066">
        <v>1.113329</v>
      </c>
      <c r="L4066">
        <v>283.05840000000001</v>
      </c>
      <c r="M4066">
        <v>-0.97653429999999997</v>
      </c>
      <c r="N4066">
        <v>0</v>
      </c>
      <c r="O4066">
        <v>-0.21491099999999999</v>
      </c>
      <c r="P4066">
        <v>-0.92438589999999998</v>
      </c>
      <c r="Q4066">
        <v>-7.3211600000000002E-3</v>
      </c>
      <c r="R4066">
        <v>-0.38138830000000001</v>
      </c>
      <c r="S4066">
        <v>-2.5963750000000001</v>
      </c>
      <c r="T4066">
        <v>-0.43871139999999997</v>
      </c>
      <c r="U4066">
        <v>-1.568481</v>
      </c>
      <c r="V4066">
        <v>-0.17383579999999901</v>
      </c>
      <c r="W4066">
        <v>5.1820690000000001E-3</v>
      </c>
      <c r="X4066">
        <v>0.984761</v>
      </c>
      <c r="Y4066">
        <v>-0.31993779999999999</v>
      </c>
      <c r="Z4066">
        <v>7.8391620000000002E-3</v>
      </c>
      <c r="AA4066">
        <v>0.94740610000000003</v>
      </c>
      <c r="AB4066">
        <v>24</v>
      </c>
      <c r="AC4066">
        <v>-6.4272000000000196</v>
      </c>
      <c r="AD4066">
        <v>-1.113327110223</v>
      </c>
      <c r="AE4066">
        <v>-3.94159999999999</v>
      </c>
      <c r="AF4066">
        <v>-2.41540362548754</v>
      </c>
      <c r="AG4066">
        <v>-1.113327110223</v>
      </c>
      <c r="AH4066">
        <v>6.9721393836934702</v>
      </c>
      <c r="AI4066">
        <v>98.580313267292397</v>
      </c>
      <c r="AJ4066">
        <v>109.107953175825</v>
      </c>
      <c r="AK4066">
        <v>7.4621980350313297</v>
      </c>
      <c r="AL4066">
        <v>89.703087983273207</v>
      </c>
      <c r="AM4066">
        <v>100.01105196041399</v>
      </c>
      <c r="AN4066">
        <v>0.99999998316088001</v>
      </c>
    </row>
    <row r="4067" spans="1:40" x14ac:dyDescent="0.25">
      <c r="A4067" t="str">
        <f>"20190312150736806"</f>
        <v>20190312150736806</v>
      </c>
      <c r="B4067" t="str">
        <f>"1552374456794455"</f>
        <v>1552374456794455</v>
      </c>
      <c r="C4067" t="s">
        <v>40</v>
      </c>
      <c r="D4067">
        <v>4.4587389999999996</v>
      </c>
      <c r="E4067">
        <v>0.44282070000000001</v>
      </c>
      <c r="F4067" t="s">
        <v>61</v>
      </c>
      <c r="G4067">
        <v>-479.63170000000002</v>
      </c>
      <c r="H4067" s="1">
        <v>1.8234829999999999E-6</v>
      </c>
      <c r="I4067">
        <v>279.06819999999999</v>
      </c>
      <c r="J4067">
        <v>-473.21550000000002</v>
      </c>
      <c r="K4067">
        <v>1.113326</v>
      </c>
      <c r="L4067">
        <v>283.02710000000002</v>
      </c>
      <c r="M4067">
        <v>-0.97597679999999998</v>
      </c>
      <c r="N4067">
        <v>0</v>
      </c>
      <c r="O4067">
        <v>-0.21742890000000001</v>
      </c>
      <c r="P4067">
        <v>-0.92345569999999999</v>
      </c>
      <c r="Q4067">
        <v>-7.3403359999999898E-3</v>
      </c>
      <c r="R4067">
        <v>-0.38363530000000001</v>
      </c>
      <c r="S4067">
        <v>-2.5903930000000002</v>
      </c>
      <c r="T4067">
        <v>-0.44058900000000001</v>
      </c>
      <c r="U4067">
        <v>-1.579102</v>
      </c>
      <c r="V4067">
        <v>-0.17369029999999999</v>
      </c>
      <c r="W4067">
        <v>5.1644259999999997E-3</v>
      </c>
      <c r="X4067">
        <v>0.98478679999999996</v>
      </c>
      <c r="Y4067">
        <v>-0.32130059999999999</v>
      </c>
      <c r="Z4067">
        <v>8.1441329999999996E-3</v>
      </c>
      <c r="AA4067">
        <v>0.94694230000000001</v>
      </c>
      <c r="AB4067">
        <v>24</v>
      </c>
      <c r="AC4067">
        <v>-6.4161999999999999</v>
      </c>
      <c r="AD4067">
        <v>-1.1133241765170001</v>
      </c>
      <c r="AE4067">
        <v>-3.9589000000000198</v>
      </c>
      <c r="AF4067">
        <v>-2.4162762490290701</v>
      </c>
      <c r="AG4067">
        <v>-1.1133241765170001</v>
      </c>
      <c r="AH4067">
        <v>6.9715085195085003</v>
      </c>
      <c r="AI4067">
        <v>98.580646563167903</v>
      </c>
      <c r="AJ4067">
        <v>109.115959723854</v>
      </c>
      <c r="AK4067">
        <v>7.4618906901145898</v>
      </c>
      <c r="AL4067">
        <v>89.704098876129905</v>
      </c>
      <c r="AM4067">
        <v>100.00258526885401</v>
      </c>
      <c r="AN4067">
        <v>1.0000000165321099</v>
      </c>
    </row>
    <row r="4068" spans="1:40" x14ac:dyDescent="0.25">
      <c r="A4068" t="str">
        <f>"20190312150736819"</f>
        <v>20190312150736819</v>
      </c>
      <c r="B4068" t="str">
        <f>"1552374456813974"</f>
        <v>1552374456813974</v>
      </c>
      <c r="C4068" t="s">
        <v>40</v>
      </c>
      <c r="D4068">
        <v>4.388865</v>
      </c>
      <c r="E4068">
        <v>0.44259019999999999</v>
      </c>
      <c r="F4068" t="s">
        <v>61</v>
      </c>
      <c r="G4068">
        <v>-479.73649999999998</v>
      </c>
      <c r="H4068" s="1">
        <v>1.7650400000000001E-6</v>
      </c>
      <c r="I4068">
        <v>279.02620000000002</v>
      </c>
      <c r="J4068">
        <v>-473.36439999999999</v>
      </c>
      <c r="K4068">
        <v>1.113327</v>
      </c>
      <c r="L4068">
        <v>282.9905</v>
      </c>
      <c r="M4068">
        <v>-0.97532529999999995</v>
      </c>
      <c r="N4068">
        <v>0</v>
      </c>
      <c r="O4068">
        <v>-0.2203328</v>
      </c>
      <c r="P4068">
        <v>-0.92232670000000005</v>
      </c>
      <c r="Q4068">
        <v>-6.9503079999999997E-3</v>
      </c>
      <c r="R4068">
        <v>-0.38634869999999999</v>
      </c>
      <c r="S4068">
        <v>-2.5860289999999999</v>
      </c>
      <c r="T4068">
        <v>-0.44151069999999998</v>
      </c>
      <c r="U4068">
        <v>-1.5866389999999999</v>
      </c>
      <c r="V4068">
        <v>-0.17365659999999999</v>
      </c>
      <c r="W4068">
        <v>5.5539959999999899E-3</v>
      </c>
      <c r="X4068">
        <v>0.98479059999999896</v>
      </c>
      <c r="Y4068">
        <v>-0.32122539999999999</v>
      </c>
      <c r="Z4068">
        <v>8.602073E-3</v>
      </c>
      <c r="AA4068">
        <v>0.94696369999999996</v>
      </c>
      <c r="AB4068">
        <v>23</v>
      </c>
      <c r="AC4068">
        <v>-6.3720999999999801</v>
      </c>
      <c r="AD4068">
        <v>-1.11332523496</v>
      </c>
      <c r="AE4068">
        <v>-3.96429999999997</v>
      </c>
      <c r="AF4068">
        <v>-2.4097048490848199</v>
      </c>
      <c r="AG4068">
        <v>-1.11332523496</v>
      </c>
      <c r="AH4068">
        <v>6.9363657345114396</v>
      </c>
      <c r="AI4068">
        <v>98.6213492661103</v>
      </c>
      <c r="AJ4068">
        <v>109.157310927046</v>
      </c>
      <c r="AK4068">
        <v>7.4269334278291499</v>
      </c>
      <c r="AL4068">
        <v>89.681777831728795</v>
      </c>
      <c r="AM4068">
        <v>100.000645903467</v>
      </c>
      <c r="AN4068">
        <v>0.99999999372174297</v>
      </c>
    </row>
    <row r="4069" spans="1:40" x14ac:dyDescent="0.25">
      <c r="A4069" t="str">
        <f>"20190312150736833"</f>
        <v>20190312150736833</v>
      </c>
      <c r="B4069" t="str">
        <f>"1552374456823735"</f>
        <v>1552374456823735</v>
      </c>
      <c r="C4069" t="s">
        <v>40</v>
      </c>
      <c r="D4069">
        <v>4.4030630000000004</v>
      </c>
      <c r="E4069">
        <v>0.44259019999999999</v>
      </c>
      <c r="F4069" t="s">
        <v>61</v>
      </c>
      <c r="G4069">
        <v>-479.88170000000002</v>
      </c>
      <c r="H4069" s="1">
        <v>1.6826030000000001E-6</v>
      </c>
      <c r="I4069">
        <v>278.95999999999998</v>
      </c>
      <c r="J4069">
        <v>-473.4991</v>
      </c>
      <c r="K4069">
        <v>1.113335</v>
      </c>
      <c r="L4069">
        <v>282.95699999999999</v>
      </c>
      <c r="M4069">
        <v>-0.97472630000000005</v>
      </c>
      <c r="N4069">
        <v>0</v>
      </c>
      <c r="O4069">
        <v>-0.22296820000000001</v>
      </c>
      <c r="P4069">
        <v>-0.92131529999999995</v>
      </c>
      <c r="Q4069">
        <v>-6.7799499999999999E-3</v>
      </c>
      <c r="R4069">
        <v>-0.38875700000000002</v>
      </c>
      <c r="S4069">
        <v>-2.5807799999999999</v>
      </c>
      <c r="T4069">
        <v>-0.440861</v>
      </c>
      <c r="U4069">
        <v>-1.596039</v>
      </c>
      <c r="V4069">
        <v>-0.17356859999999999</v>
      </c>
      <c r="W4069">
        <v>5.724224E-3</v>
      </c>
      <c r="X4069">
        <v>0.98480520000000005</v>
      </c>
      <c r="Y4069">
        <v>-0.32204389999999999</v>
      </c>
      <c r="Z4069">
        <v>8.9208320000000001E-3</v>
      </c>
      <c r="AA4069">
        <v>0.94668269999999999</v>
      </c>
      <c r="AB4069">
        <v>23</v>
      </c>
      <c r="AC4069">
        <v>-6.3826000000000196</v>
      </c>
      <c r="AD4069">
        <v>-1.1133333173969999</v>
      </c>
      <c r="AE4069">
        <v>-3.9970000000000101</v>
      </c>
      <c r="AF4069">
        <v>-2.4202086931061899</v>
      </c>
      <c r="AG4069">
        <v>-1.1133333173969999</v>
      </c>
      <c r="AH4069">
        <v>6.9610433922474</v>
      </c>
      <c r="AI4069">
        <v>98.590576068422294</v>
      </c>
      <c r="AJ4069">
        <v>109.17149040424199</v>
      </c>
      <c r="AK4069">
        <v>7.4533915972907403</v>
      </c>
      <c r="AL4069">
        <v>89.672024350324406</v>
      </c>
      <c r="AM4069">
        <v>99.995535131841095</v>
      </c>
      <c r="AN4069">
        <v>1.00000005379669</v>
      </c>
    </row>
    <row r="4070" spans="1:40" x14ac:dyDescent="0.25">
      <c r="A4070" t="str">
        <f>"20190312150736845"</f>
        <v>20190312150736845</v>
      </c>
      <c r="B4070" t="str">
        <f>"1552374456834471"</f>
        <v>1552374456834471</v>
      </c>
      <c r="C4070" t="s">
        <v>40</v>
      </c>
      <c r="D4070">
        <v>4.3344860000000001</v>
      </c>
      <c r="E4070">
        <v>0.42076580000000002</v>
      </c>
      <c r="F4070" t="s">
        <v>61</v>
      </c>
      <c r="G4070">
        <v>-480.0129</v>
      </c>
      <c r="H4070" s="1">
        <v>1.640822E-6</v>
      </c>
      <c r="I4070">
        <v>278.90539999999999</v>
      </c>
      <c r="J4070">
        <v>-473.62130000000002</v>
      </c>
      <c r="K4070">
        <v>1.113337</v>
      </c>
      <c r="L4070">
        <v>282.92630000000003</v>
      </c>
      <c r="M4070">
        <v>-0.97417520000000002</v>
      </c>
      <c r="N4070">
        <v>0</v>
      </c>
      <c r="O4070">
        <v>-0.22536320000000001</v>
      </c>
      <c r="P4070">
        <v>-0.92041340000000005</v>
      </c>
      <c r="Q4070">
        <v>-6.6800059999999996E-3</v>
      </c>
      <c r="R4070">
        <v>-0.3908894</v>
      </c>
      <c r="S4070">
        <v>-2.5766909999999998</v>
      </c>
      <c r="T4070">
        <v>-0.44040689999999999</v>
      </c>
      <c r="U4070">
        <v>-1.602722</v>
      </c>
      <c r="V4070">
        <v>-0.17342949999999999</v>
      </c>
      <c r="W4070">
        <v>5.8238819999999998E-3</v>
      </c>
      <c r="X4070">
        <v>0.98482910000000001</v>
      </c>
      <c r="Y4070">
        <v>-0.32218590000000003</v>
      </c>
      <c r="Z4070">
        <v>9.2596559999999998E-3</v>
      </c>
      <c r="AA4070">
        <v>0.94663109999999995</v>
      </c>
      <c r="AB4070">
        <v>23</v>
      </c>
      <c r="AC4070">
        <v>-6.39159999999998</v>
      </c>
      <c r="AD4070">
        <v>-1.113335359178</v>
      </c>
      <c r="AE4070">
        <v>-4.0209000000000401</v>
      </c>
      <c r="AF4070">
        <v>-2.4241729048221998</v>
      </c>
      <c r="AG4070">
        <v>-1.113335359178</v>
      </c>
      <c r="AH4070">
        <v>6.9816255590073499</v>
      </c>
      <c r="AI4070">
        <v>98.566838424771305</v>
      </c>
      <c r="AJ4070">
        <v>109.148118149041</v>
      </c>
      <c r="AK4070">
        <v>7.4739029523171396</v>
      </c>
      <c r="AL4070">
        <v>89.666314265587701</v>
      </c>
      <c r="AM4070">
        <v>99.9874484406416</v>
      </c>
      <c r="AN4070">
        <v>1.0000000326392999</v>
      </c>
    </row>
    <row r="4071" spans="1:40" x14ac:dyDescent="0.25">
      <c r="A4071" t="str">
        <f>"20190312150736857"</f>
        <v>20190312150736857</v>
      </c>
      <c r="B4071" t="str">
        <f>"1552374456853991"</f>
        <v>1552374456853991</v>
      </c>
      <c r="C4071" t="s">
        <v>40</v>
      </c>
      <c r="D4071">
        <v>4.3550820000000003</v>
      </c>
      <c r="E4071">
        <v>0.41521770000000002</v>
      </c>
      <c r="F4071" t="s">
        <v>61</v>
      </c>
      <c r="G4071">
        <v>-482.61680000000001</v>
      </c>
      <c r="H4071" s="1">
        <v>1.4653120000000001E-6</v>
      </c>
      <c r="I4071">
        <v>276.59750000000003</v>
      </c>
      <c r="J4071">
        <v>-473.75049999999999</v>
      </c>
      <c r="K4071">
        <v>1.113343</v>
      </c>
      <c r="L4071">
        <v>282.89350000000002</v>
      </c>
      <c r="M4071">
        <v>-0.97358339999999999</v>
      </c>
      <c r="N4071">
        <v>0</v>
      </c>
      <c r="O4071">
        <v>-0.2279069</v>
      </c>
      <c r="P4071">
        <v>-0.91942699999999999</v>
      </c>
      <c r="Q4071">
        <v>-6.8053219999999999E-3</v>
      </c>
      <c r="R4071">
        <v>-0.393202</v>
      </c>
      <c r="S4071">
        <v>-2.5078130000000001</v>
      </c>
      <c r="T4071">
        <v>-0.31038300000000002</v>
      </c>
      <c r="U4071">
        <v>-1.7644040000000001</v>
      </c>
      <c r="V4071">
        <v>-0.1733324</v>
      </c>
      <c r="W4071">
        <v>5.6970450000000004E-3</v>
      </c>
      <c r="X4071">
        <v>0.98484689999999997</v>
      </c>
      <c r="Y4071">
        <v>-0.37312600000000001</v>
      </c>
      <c r="Z4071">
        <v>3.9854069999999998E-3</v>
      </c>
      <c r="AA4071">
        <v>0.92777209999999999</v>
      </c>
      <c r="AB4071">
        <v>23</v>
      </c>
      <c r="AC4071">
        <v>-8.8663000000000203</v>
      </c>
      <c r="AD4071">
        <v>-1.113341534688</v>
      </c>
      <c r="AE4071">
        <v>-6.2959999999999896</v>
      </c>
      <c r="AF4071">
        <v>-4.0667597895594101</v>
      </c>
      <c r="AG4071">
        <v>-1.113341534688</v>
      </c>
      <c r="AH4071">
        <v>9.9635204123656003</v>
      </c>
      <c r="AI4071">
        <v>95.906567961050698</v>
      </c>
      <c r="AJ4071">
        <v>112.20356116799501</v>
      </c>
      <c r="AK4071">
        <v>10.8189557521262</v>
      </c>
      <c r="AL4071">
        <v>89.673581599027997</v>
      </c>
      <c r="AM4071">
        <v>99.9817923603362</v>
      </c>
      <c r="AN4071">
        <v>0.99999999682554996</v>
      </c>
    </row>
    <row r="4072" spans="1:40" x14ac:dyDescent="0.25">
      <c r="A4072" t="str">
        <f>"20190312150736870"</f>
        <v>20190312150736870</v>
      </c>
      <c r="B4072" t="str">
        <f>"1552374456863750"</f>
        <v>1552374456863750</v>
      </c>
      <c r="C4072" t="s">
        <v>40</v>
      </c>
      <c r="D4072">
        <v>4.3645350000000001</v>
      </c>
      <c r="E4072">
        <v>0.41411750000000003</v>
      </c>
      <c r="F4072" t="s">
        <v>61</v>
      </c>
      <c r="G4072">
        <v>-483.07929999999999</v>
      </c>
      <c r="H4072" s="1">
        <v>1.4181240000000001E-6</v>
      </c>
      <c r="I4072">
        <v>276.09660000000002</v>
      </c>
      <c r="J4072">
        <v>-473.87459999999999</v>
      </c>
      <c r="K4072">
        <v>1.1133550000000001</v>
      </c>
      <c r="L4072">
        <v>282.86160000000001</v>
      </c>
      <c r="M4072">
        <v>-0.97300569999999997</v>
      </c>
      <c r="N4072">
        <v>0</v>
      </c>
      <c r="O4072">
        <v>-0.23036110000000001</v>
      </c>
      <c r="P4072">
        <v>-0.91855790000000004</v>
      </c>
      <c r="Q4072">
        <v>-6.8132969999999899E-3</v>
      </c>
      <c r="R4072">
        <v>-0.39522790000000002</v>
      </c>
      <c r="S4072">
        <v>-2.486084</v>
      </c>
      <c r="T4072">
        <v>-0.2967013</v>
      </c>
      <c r="U4072">
        <v>-1.81134</v>
      </c>
      <c r="V4072">
        <v>-0.17302010000000001</v>
      </c>
      <c r="W4072">
        <v>5.6889389999999996E-3</v>
      </c>
      <c r="X4072">
        <v>0.98490180000000005</v>
      </c>
      <c r="Y4072">
        <v>-0.38611610000000002</v>
      </c>
      <c r="Z4072">
        <v>3.3626070000000001E-3</v>
      </c>
      <c r="AA4072">
        <v>0.92244400000000004</v>
      </c>
      <c r="AB4072">
        <v>23</v>
      </c>
      <c r="AC4072">
        <v>-9.2047000000000008</v>
      </c>
      <c r="AD4072">
        <v>-1.1133535818760001</v>
      </c>
      <c r="AE4072">
        <v>-6.7649999999999801</v>
      </c>
      <c r="AF4072">
        <v>-4.4204207900923604</v>
      </c>
      <c r="AG4072">
        <v>-1.1133535818760001</v>
      </c>
      <c r="AH4072">
        <v>10.416687412814801</v>
      </c>
      <c r="AI4072">
        <v>95.619202118254094</v>
      </c>
      <c r="AJ4072">
        <v>112.994403812645</v>
      </c>
      <c r="AK4072">
        <v>11.370446465115201</v>
      </c>
      <c r="AL4072">
        <v>89.674046026753899</v>
      </c>
      <c r="AM4072">
        <v>99.963624215928604</v>
      </c>
      <c r="AN4072">
        <v>0.99999993733709502</v>
      </c>
    </row>
    <row r="4073" spans="1:40" x14ac:dyDescent="0.25">
      <c r="A4073" t="str">
        <f>"20190312150736882"</f>
        <v>20190312150736882</v>
      </c>
      <c r="B4073" t="str">
        <f>"1552374456874486"</f>
        <v>1552374456874486</v>
      </c>
      <c r="C4073" t="s">
        <v>40</v>
      </c>
      <c r="D4073">
        <v>4.3498049999999999</v>
      </c>
      <c r="E4073">
        <v>0.41270970000000001</v>
      </c>
      <c r="F4073" t="s">
        <v>61</v>
      </c>
      <c r="G4073">
        <v>-483.11860000000001</v>
      </c>
      <c r="H4073" s="1">
        <v>1.4144749999999999E-6</v>
      </c>
      <c r="I4073">
        <v>276.05610000000001</v>
      </c>
      <c r="J4073">
        <v>-473.99720000000002</v>
      </c>
      <c r="K4073">
        <v>1.113364</v>
      </c>
      <c r="L4073">
        <v>282.82979999999998</v>
      </c>
      <c r="M4073">
        <v>-0.97242649999999997</v>
      </c>
      <c r="N4073">
        <v>0</v>
      </c>
      <c r="O4073">
        <v>-0.23279349999999999</v>
      </c>
      <c r="P4073">
        <v>-0.91783519999999996</v>
      </c>
      <c r="Q4073">
        <v>-7.2058490000000003E-3</v>
      </c>
      <c r="R4073">
        <v>-0.39689649999999999</v>
      </c>
      <c r="S4073">
        <v>-2.4786069999999998</v>
      </c>
      <c r="T4073">
        <v>-0.2985256</v>
      </c>
      <c r="U4073">
        <v>-1.8247679999999999</v>
      </c>
      <c r="V4073">
        <v>-0.17234459999999999</v>
      </c>
      <c r="W4073">
        <v>5.299369E-3</v>
      </c>
      <c r="X4073">
        <v>0.98502250000000002</v>
      </c>
      <c r="Y4073">
        <v>-0.38837280000000002</v>
      </c>
      <c r="Z4073">
        <v>3.5079080000000001E-3</v>
      </c>
      <c r="AA4073">
        <v>0.92149570000000003</v>
      </c>
      <c r="AB4073">
        <v>23</v>
      </c>
      <c r="AC4073">
        <v>-9.1213999999999906</v>
      </c>
      <c r="AD4073">
        <v>-1.113362585525</v>
      </c>
      <c r="AE4073">
        <v>-6.7736999999999599</v>
      </c>
      <c r="AF4073">
        <v>-4.4214961509983102</v>
      </c>
      <c r="AG4073">
        <v>-1.113362585525</v>
      </c>
      <c r="AH4073">
        <v>10.3484021893538</v>
      </c>
      <c r="AI4073">
        <v>95.650207551355507</v>
      </c>
      <c r="AJ4073">
        <v>113.13525773751201</v>
      </c>
      <c r="AK4073">
        <v>11.308343483143799</v>
      </c>
      <c r="AL4073">
        <v>89.696367111658901</v>
      </c>
      <c r="AM4073">
        <v>99.924307536644093</v>
      </c>
      <c r="AN4073">
        <v>1.0000000349836</v>
      </c>
    </row>
    <row r="4074" spans="1:40" x14ac:dyDescent="0.25">
      <c r="A4074" t="str">
        <f>"20190312150736894"</f>
        <v>20190312150736894</v>
      </c>
      <c r="B4074" t="str">
        <f>"1552374456884247"</f>
        <v>1552374456884247</v>
      </c>
      <c r="C4074" t="s">
        <v>40</v>
      </c>
      <c r="D4074">
        <v>4.3386329999999997</v>
      </c>
      <c r="E4074">
        <v>0.41139940000000003</v>
      </c>
      <c r="F4074" t="s">
        <v>61</v>
      </c>
      <c r="G4074">
        <v>-483.14530000000002</v>
      </c>
      <c r="H4074" s="1">
        <v>1.4099869999999999E-6</v>
      </c>
      <c r="I4074">
        <v>276.0172</v>
      </c>
      <c r="J4074">
        <v>-474.11439999999999</v>
      </c>
      <c r="K4074">
        <v>1.1133789999999999</v>
      </c>
      <c r="L4074">
        <v>282.79899999999998</v>
      </c>
      <c r="M4074">
        <v>-0.971862</v>
      </c>
      <c r="N4074">
        <v>0</v>
      </c>
      <c r="O4074">
        <v>-0.23513919999999999</v>
      </c>
      <c r="P4074">
        <v>-0.9171106</v>
      </c>
      <c r="Q4074">
        <v>-7.2328359999999899E-3</v>
      </c>
      <c r="R4074">
        <v>-0.39856750000000002</v>
      </c>
      <c r="S4074">
        <v>-2.470612</v>
      </c>
      <c r="T4074">
        <v>-0.30068460000000002</v>
      </c>
      <c r="U4074">
        <v>-1.839874</v>
      </c>
      <c r="V4074">
        <v>-0.1717622</v>
      </c>
      <c r="W4074">
        <v>5.2736199999999997E-3</v>
      </c>
      <c r="X4074">
        <v>0.98512429999999995</v>
      </c>
      <c r="Y4074">
        <v>-0.3911925</v>
      </c>
      <c r="Z4074">
        <v>3.6189239999999999E-3</v>
      </c>
      <c r="AA4074">
        <v>0.92030179999999995</v>
      </c>
      <c r="AB4074">
        <v>23</v>
      </c>
      <c r="AC4074">
        <v>-9.0309000000000292</v>
      </c>
      <c r="AD4074">
        <v>-1.1133775900130001</v>
      </c>
      <c r="AE4074">
        <v>-6.7818000000000298</v>
      </c>
      <c r="AF4074">
        <v>-4.4248843215516196</v>
      </c>
      <c r="AG4074">
        <v>-1.1133775900130001</v>
      </c>
      <c r="AH4074">
        <v>10.272625012737601</v>
      </c>
      <c r="AI4074">
        <v>95.684562258272805</v>
      </c>
      <c r="AJ4074">
        <v>113.30373108108201</v>
      </c>
      <c r="AK4074">
        <v>11.2403752414846</v>
      </c>
      <c r="AL4074">
        <v>89.697842423256006</v>
      </c>
      <c r="AM4074">
        <v>99.890432075304105</v>
      </c>
      <c r="AN4074">
        <v>0.99999997543361696</v>
      </c>
    </row>
    <row r="4075" spans="1:40" x14ac:dyDescent="0.25">
      <c r="A4075" t="str">
        <f>"20190312150736906"</f>
        <v>20190312150736906</v>
      </c>
      <c r="B4075" t="str">
        <f>"1552374456894290"</f>
        <v>1552374456894290</v>
      </c>
      <c r="C4075" t="s">
        <v>40</v>
      </c>
      <c r="D4075">
        <v>4.3748170000000002</v>
      </c>
      <c r="E4075">
        <v>0.41067720000000002</v>
      </c>
      <c r="F4075" t="s">
        <v>61</v>
      </c>
      <c r="G4075">
        <v>-483.18959999999998</v>
      </c>
      <c r="H4075" s="1">
        <v>1.4050939999999999E-6</v>
      </c>
      <c r="I4075">
        <v>275.96699999999998</v>
      </c>
      <c r="J4075">
        <v>-474.22739999999999</v>
      </c>
      <c r="K4075">
        <v>1.1133919999999999</v>
      </c>
      <c r="L4075">
        <v>282.76909999999998</v>
      </c>
      <c r="M4075">
        <v>-0.97131109999999998</v>
      </c>
      <c r="N4075">
        <v>0</v>
      </c>
      <c r="O4075">
        <v>-0.23740510000000001</v>
      </c>
      <c r="P4075">
        <v>-0.91632539999999996</v>
      </c>
      <c r="Q4075">
        <v>-7.1547619999999899E-3</v>
      </c>
      <c r="R4075">
        <v>-0.40037099999999998</v>
      </c>
      <c r="S4075">
        <v>-2.4629819999999998</v>
      </c>
      <c r="T4075">
        <v>-0.30216730000000003</v>
      </c>
      <c r="U4075">
        <v>-1.8541559999999999</v>
      </c>
      <c r="V4075">
        <v>-0.17140329999999901</v>
      </c>
      <c r="W4075">
        <v>5.35039E-3</v>
      </c>
      <c r="X4075">
        <v>0.98518640000000002</v>
      </c>
      <c r="Y4075">
        <v>-0.3938159</v>
      </c>
      <c r="Z4075">
        <v>3.725234E-3</v>
      </c>
      <c r="AA4075">
        <v>0.91918180000000005</v>
      </c>
      <c r="AB4075">
        <v>23</v>
      </c>
      <c r="AC4075">
        <v>-8.9621999999999904</v>
      </c>
      <c r="AD4075">
        <v>-1.1133905949059999</v>
      </c>
      <c r="AE4075">
        <v>-6.8020999999999896</v>
      </c>
      <c r="AF4075">
        <v>-4.4362742594062601</v>
      </c>
      <c r="AG4075">
        <v>-1.1133905949059999</v>
      </c>
      <c r="AH4075">
        <v>10.220848044259499</v>
      </c>
      <c r="AI4075">
        <v>95.706424147580293</v>
      </c>
      <c r="AJ4075">
        <v>113.462854016066</v>
      </c>
      <c r="AK4075">
        <v>11.1975846799807</v>
      </c>
      <c r="AL4075">
        <v>89.693443765596299</v>
      </c>
      <c r="AM4075">
        <v>99.869562783964398</v>
      </c>
      <c r="AN4075">
        <v>0.99999998033449999</v>
      </c>
    </row>
    <row r="4076" spans="1:40" x14ac:dyDescent="0.25">
      <c r="A4076" t="str">
        <f>"20190312150736917"</f>
        <v>20190312150736917</v>
      </c>
      <c r="B4076" t="str">
        <f>"1552374456913809"</f>
        <v>1552374456913809</v>
      </c>
      <c r="C4076" t="s">
        <v>40</v>
      </c>
      <c r="D4076">
        <v>4.3432040000000001</v>
      </c>
      <c r="E4076">
        <v>0.41006749999999997</v>
      </c>
      <c r="F4076" t="s">
        <v>61</v>
      </c>
      <c r="G4076">
        <v>-483.02949999999998</v>
      </c>
      <c r="H4076" s="1">
        <v>1.412255E-6</v>
      </c>
      <c r="I4076">
        <v>276.0883</v>
      </c>
      <c r="J4076">
        <v>-474.3492</v>
      </c>
      <c r="K4076">
        <v>1.11341</v>
      </c>
      <c r="L4076">
        <v>282.7364</v>
      </c>
      <c r="M4076">
        <v>-0.97070380000000001</v>
      </c>
      <c r="N4076">
        <v>0</v>
      </c>
      <c r="O4076">
        <v>-0.23987530000000001</v>
      </c>
      <c r="P4076">
        <v>-0.91557759999999999</v>
      </c>
      <c r="Q4076">
        <v>-6.8384070000000003E-3</v>
      </c>
      <c r="R4076">
        <v>-0.40208319999999997</v>
      </c>
      <c r="S4076">
        <v>-2.4567570000000001</v>
      </c>
      <c r="T4076">
        <v>-0.31075700000000001</v>
      </c>
      <c r="U4076">
        <v>-1.864655</v>
      </c>
      <c r="V4076">
        <v>-0.170741</v>
      </c>
      <c r="W4076">
        <v>5.6660510000000001E-3</v>
      </c>
      <c r="X4076">
        <v>0.98529960000000005</v>
      </c>
      <c r="Y4076">
        <v>-0.39505649999999998</v>
      </c>
      <c r="Z4076">
        <v>4.0210949999999997E-3</v>
      </c>
      <c r="AA4076">
        <v>0.91864800000000002</v>
      </c>
      <c r="AB4076">
        <v>23</v>
      </c>
      <c r="AC4076">
        <v>-8.6802999999999795</v>
      </c>
      <c r="AD4076">
        <v>-1.113408587745</v>
      </c>
      <c r="AE4076">
        <v>-6.6481000000000003</v>
      </c>
      <c r="AF4076">
        <v>-4.3267025132142898</v>
      </c>
      <c r="AG4076">
        <v>-1.113408587745</v>
      </c>
      <c r="AH4076">
        <v>9.91882904589718</v>
      </c>
      <c r="AI4076">
        <v>95.874443011842899</v>
      </c>
      <c r="AJ4076">
        <v>113.567360105443</v>
      </c>
      <c r="AK4076">
        <v>10.8785662181582</v>
      </c>
      <c r="AL4076">
        <v>89.675357437068996</v>
      </c>
      <c r="AM4076">
        <v>99.831065044500306</v>
      </c>
      <c r="AN4076">
        <v>0.99999994748754595</v>
      </c>
    </row>
    <row r="4077" spans="1:40" x14ac:dyDescent="0.25">
      <c r="A4077" t="str">
        <f>"20190312150736929"</f>
        <v>20190312150736929</v>
      </c>
      <c r="B4077" t="str">
        <f>"1552374456924545"</f>
        <v>1552374456924545</v>
      </c>
      <c r="C4077" t="s">
        <v>40</v>
      </c>
      <c r="D4077">
        <v>4.3727169999999997</v>
      </c>
      <c r="E4077">
        <v>0.40978629999999999</v>
      </c>
      <c r="F4077" t="s">
        <v>61</v>
      </c>
      <c r="G4077">
        <v>-483.07260000000002</v>
      </c>
      <c r="H4077" s="1">
        <v>1.412332E-6</v>
      </c>
      <c r="I4077">
        <v>276.06709999999998</v>
      </c>
      <c r="J4077">
        <v>-474.45490000000001</v>
      </c>
      <c r="K4077">
        <v>1.1134250000000001</v>
      </c>
      <c r="L4077">
        <v>282.7079</v>
      </c>
      <c r="M4077">
        <v>-0.97016919999999995</v>
      </c>
      <c r="N4077">
        <v>0</v>
      </c>
      <c r="O4077">
        <v>-0.24202899999999999</v>
      </c>
      <c r="P4077">
        <v>-0.91491999999999996</v>
      </c>
      <c r="Q4077">
        <v>-6.688533E-3</v>
      </c>
      <c r="R4077">
        <v>-0.4035803</v>
      </c>
      <c r="S4077">
        <v>-2.451263</v>
      </c>
      <c r="T4077">
        <v>-0.31286900000000001</v>
      </c>
      <c r="U4077">
        <v>-1.8740840000000001</v>
      </c>
      <c r="V4077">
        <v>-0.1701667</v>
      </c>
      <c r="W4077">
        <v>5.8157759999999999E-3</v>
      </c>
      <c r="X4077">
        <v>0.98539810000000005</v>
      </c>
      <c r="Y4077">
        <v>-0.39623710000000001</v>
      </c>
      <c r="Z4077">
        <v>4.2097460000000003E-3</v>
      </c>
      <c r="AA4077">
        <v>0.91813860000000003</v>
      </c>
      <c r="AB4077">
        <v>23</v>
      </c>
      <c r="AC4077">
        <v>-8.6177000000000099</v>
      </c>
      <c r="AD4077">
        <v>-1.1134235876680001</v>
      </c>
      <c r="AE4077">
        <v>-6.6408000000000103</v>
      </c>
      <c r="AF4077">
        <v>-4.3122236391934301</v>
      </c>
      <c r="AG4077">
        <v>-1.1134235876680001</v>
      </c>
      <c r="AH4077">
        <v>9.8655307509536101</v>
      </c>
      <c r="AI4077">
        <v>95.904123233688793</v>
      </c>
      <c r="AJ4077">
        <v>113.61013927333499</v>
      </c>
      <c r="AK4077">
        <v>10.8242173757739</v>
      </c>
      <c r="AL4077">
        <v>89.6667786929074</v>
      </c>
      <c r="AM4077">
        <v>99.797679089637001</v>
      </c>
      <c r="AN4077">
        <v>0.99999997226148996</v>
      </c>
    </row>
    <row r="4078" spans="1:40" x14ac:dyDescent="0.25">
      <c r="A4078" t="str">
        <f>"20190312150736942"</f>
        <v>20190312150736942</v>
      </c>
      <c r="B4078" t="str">
        <f>"1552374456934306"</f>
        <v>1552374456934306</v>
      </c>
      <c r="C4078" t="s">
        <v>40</v>
      </c>
      <c r="D4078">
        <v>4.3779539999999999</v>
      </c>
      <c r="E4078">
        <v>0.40973419999999999</v>
      </c>
      <c r="F4078" t="s">
        <v>61</v>
      </c>
      <c r="G4078">
        <v>-482.94639999999998</v>
      </c>
      <c r="H4078" s="1">
        <v>1.4214310000000001E-6</v>
      </c>
      <c r="I4078">
        <v>276.1823</v>
      </c>
      <c r="J4078">
        <v>-474.58620000000002</v>
      </c>
      <c r="K4078">
        <v>1.113445</v>
      </c>
      <c r="L4078">
        <v>282.67200000000003</v>
      </c>
      <c r="M4078">
        <v>-0.96949289999999999</v>
      </c>
      <c r="N4078">
        <v>0</v>
      </c>
      <c r="O4078">
        <v>-0.24472340000000001</v>
      </c>
      <c r="P4078">
        <v>-0.91398820000000003</v>
      </c>
      <c r="Q4078">
        <v>-6.7038940000000002E-3</v>
      </c>
      <c r="R4078">
        <v>-0.40568559999999998</v>
      </c>
      <c r="S4078">
        <v>-2.4471129999999999</v>
      </c>
      <c r="T4078">
        <v>-0.32086959999999998</v>
      </c>
      <c r="U4078">
        <v>-1.8805540000000001</v>
      </c>
      <c r="V4078">
        <v>-0.16969770000000001</v>
      </c>
      <c r="W4078">
        <v>5.7971799999999999E-3</v>
      </c>
      <c r="X4078">
        <v>0.98547910000000005</v>
      </c>
      <c r="Y4078">
        <v>-0.39594089999999998</v>
      </c>
      <c r="Z4078">
        <v>4.6267290000000004E-3</v>
      </c>
      <c r="AA4078">
        <v>0.91826430000000003</v>
      </c>
      <c r="AB4078">
        <v>23</v>
      </c>
      <c r="AC4078">
        <v>-8.3601999999999599</v>
      </c>
      <c r="AD4078">
        <v>-1.113443578569</v>
      </c>
      <c r="AE4078">
        <v>-6.4897000000000196</v>
      </c>
      <c r="AF4078">
        <v>-4.1997094914366704</v>
      </c>
      <c r="AG4078">
        <v>-1.113443578569</v>
      </c>
      <c r="AH4078">
        <v>9.5881512331172694</v>
      </c>
      <c r="AI4078">
        <v>96.071760244542105</v>
      </c>
      <c r="AJ4078">
        <v>113.653916383012</v>
      </c>
      <c r="AK4078">
        <v>10.526631013018701</v>
      </c>
      <c r="AL4078">
        <v>89.667844187980293</v>
      </c>
      <c r="AM4078">
        <v>99.770409089123902</v>
      </c>
      <c r="AN4078">
        <v>0.999999986609026</v>
      </c>
    </row>
    <row r="4079" spans="1:40" x14ac:dyDescent="0.25">
      <c r="A4079" t="str">
        <f>"20190312150736961"</f>
        <v>20190312150736961</v>
      </c>
      <c r="B4079" t="str">
        <f>"1552374456953826"</f>
        <v>1552374456953826</v>
      </c>
      <c r="C4079" t="s">
        <v>40</v>
      </c>
      <c r="D4079">
        <v>4.376563</v>
      </c>
      <c r="E4079">
        <v>0.40960819999999998</v>
      </c>
      <c r="F4079" t="s">
        <v>61</v>
      </c>
      <c r="G4079">
        <v>-482.839</v>
      </c>
      <c r="H4079" s="1">
        <v>1.43203E-6</v>
      </c>
      <c r="I4079">
        <v>276.29660000000001</v>
      </c>
      <c r="J4079">
        <v>-474.78379999999999</v>
      </c>
      <c r="K4079">
        <v>1.1134759999999999</v>
      </c>
      <c r="L4079">
        <v>282.61709999999999</v>
      </c>
      <c r="M4079">
        <v>-0.96844660000000005</v>
      </c>
      <c r="N4079">
        <v>0</v>
      </c>
      <c r="O4079">
        <v>-0.248832</v>
      </c>
      <c r="P4079">
        <v>-0.9125006</v>
      </c>
      <c r="Q4079">
        <v>-7.1751609999999898E-3</v>
      </c>
      <c r="R4079">
        <v>-0.4090124</v>
      </c>
      <c r="S4079">
        <v>-2.4424130000000002</v>
      </c>
      <c r="T4079">
        <v>-0.32952029999999999</v>
      </c>
      <c r="U4079">
        <v>-1.8867799999999999</v>
      </c>
      <c r="V4079">
        <v>-0.16910749999999999</v>
      </c>
      <c r="W4079">
        <v>5.3184419999999996E-3</v>
      </c>
      <c r="X4079">
        <v>0.98558319999999999</v>
      </c>
      <c r="Y4079">
        <v>-0.39435490000000001</v>
      </c>
      <c r="Z4079">
        <v>5.3038729999999997E-3</v>
      </c>
      <c r="AA4079">
        <v>0.91894290000000001</v>
      </c>
      <c r="AB4079">
        <v>23</v>
      </c>
      <c r="AC4079">
        <v>-8.0552000000000099</v>
      </c>
      <c r="AD4079">
        <v>-1.11347456797</v>
      </c>
      <c r="AE4079">
        <v>-6.3204999999999796</v>
      </c>
      <c r="AF4079">
        <v>-4.06895293834447</v>
      </c>
      <c r="AG4079">
        <v>-1.11347456797</v>
      </c>
      <c r="AH4079">
        <v>9.2651088896655196</v>
      </c>
      <c r="AI4079">
        <v>96.279314294759601</v>
      </c>
      <c r="AJ4079">
        <v>113.70961466130299</v>
      </c>
      <c r="AK4079">
        <v>10.1802969684256</v>
      </c>
      <c r="AL4079">
        <v>89.695274264417193</v>
      </c>
      <c r="AM4079">
        <v>99.736070930732396</v>
      </c>
      <c r="AN4079">
        <v>0.99999993825189604</v>
      </c>
    </row>
    <row r="4080" spans="1:40" x14ac:dyDescent="0.25">
      <c r="A4080" t="str">
        <f>"20190312150736975"</f>
        <v>20190312150736975</v>
      </c>
      <c r="B4080" t="str">
        <f>"1552374456964562"</f>
        <v>1552374456964562</v>
      </c>
      <c r="C4080" t="s">
        <v>40</v>
      </c>
      <c r="D4080">
        <v>4.3738060000000001</v>
      </c>
      <c r="E4080">
        <v>0.40940339999999997</v>
      </c>
      <c r="F4080" t="s">
        <v>61</v>
      </c>
      <c r="G4080">
        <v>-482.73660000000001</v>
      </c>
      <c r="H4080" s="1">
        <v>1.444864E-6</v>
      </c>
      <c r="I4080">
        <v>276.42099999999999</v>
      </c>
      <c r="J4080">
        <v>-474.9128</v>
      </c>
      <c r="K4080">
        <v>1.113502</v>
      </c>
      <c r="L4080">
        <v>282.58069999999998</v>
      </c>
      <c r="M4080">
        <v>-0.96774349999999998</v>
      </c>
      <c r="N4080">
        <v>0</v>
      </c>
      <c r="O4080">
        <v>-0.251552</v>
      </c>
      <c r="P4080">
        <v>-0.91153070000000003</v>
      </c>
      <c r="Q4080">
        <v>-7.5479350000000004E-3</v>
      </c>
      <c r="R4080">
        <v>-0.41116259999999999</v>
      </c>
      <c r="S4080">
        <v>-2.4347530000000002</v>
      </c>
      <c r="T4080">
        <v>-0.34089079999999999</v>
      </c>
      <c r="U4080">
        <v>-1.8969419999999999</v>
      </c>
      <c r="V4080">
        <v>-0.1686599</v>
      </c>
      <c r="W4080">
        <v>4.9407920000000003E-3</v>
      </c>
      <c r="X4080">
        <v>0.98566189999999998</v>
      </c>
      <c r="Y4080">
        <v>-0.395513</v>
      </c>
      <c r="Z4080">
        <v>5.7309049999999997E-3</v>
      </c>
      <c r="AA4080">
        <v>0.91844250000000005</v>
      </c>
      <c r="AB4080">
        <v>23</v>
      </c>
      <c r="AC4080">
        <v>-7.8238000000000003</v>
      </c>
      <c r="AD4080">
        <v>-1.113500555136</v>
      </c>
      <c r="AE4080">
        <v>-6.1596999999999804</v>
      </c>
      <c r="AF4080">
        <v>-3.9439864951601198</v>
      </c>
      <c r="AG4080">
        <v>-1.113500555136</v>
      </c>
      <c r="AH4080">
        <v>9.0091455459860992</v>
      </c>
      <c r="AI4080">
        <v>96.459664533967896</v>
      </c>
      <c r="AJ4080">
        <v>113.64264303622301</v>
      </c>
      <c r="AK4080">
        <v>9.8974550480946792</v>
      </c>
      <c r="AL4080">
        <v>89.716912312724006</v>
      </c>
      <c r="AM4080">
        <v>99.710031842192393</v>
      </c>
      <c r="AN4080">
        <v>0.99999997720260303</v>
      </c>
    </row>
    <row r="4081" spans="1:40" x14ac:dyDescent="0.25">
      <c r="A4081" t="str">
        <f>"20190312150736989"</f>
        <v>20190312150736989</v>
      </c>
      <c r="B4081" t="str">
        <f>"1552374456984082"</f>
        <v>1552374456984082</v>
      </c>
      <c r="C4081" t="s">
        <v>40</v>
      </c>
      <c r="D4081">
        <v>4.3442189999999998</v>
      </c>
      <c r="E4081">
        <v>0.4089564</v>
      </c>
      <c r="F4081" t="s">
        <v>61</v>
      </c>
      <c r="G4081">
        <v>-482.69729999999998</v>
      </c>
      <c r="H4081" s="1">
        <v>1.4514810000000001E-6</v>
      </c>
      <c r="I4081">
        <v>276.47840000000002</v>
      </c>
      <c r="J4081">
        <v>-475.05459999999999</v>
      </c>
      <c r="K4081">
        <v>1.113529</v>
      </c>
      <c r="L4081">
        <v>282.54039999999998</v>
      </c>
      <c r="M4081">
        <v>-0.96695509999999996</v>
      </c>
      <c r="N4081">
        <v>0</v>
      </c>
      <c r="O4081">
        <v>-0.25456630000000002</v>
      </c>
      <c r="P4081">
        <v>-0.91036340000000004</v>
      </c>
      <c r="Q4081">
        <v>-7.965237E-3</v>
      </c>
      <c r="R4081">
        <v>-0.41373349999999998</v>
      </c>
      <c r="S4081">
        <v>-2.4292600000000002</v>
      </c>
      <c r="T4081">
        <v>-0.34748459999999998</v>
      </c>
      <c r="U4081">
        <v>-1.9043270000000001</v>
      </c>
      <c r="V4081">
        <v>-0.1683684</v>
      </c>
      <c r="W4081">
        <v>4.515458E-3</v>
      </c>
      <c r="X4081">
        <v>0.98571379999999997</v>
      </c>
      <c r="Y4081">
        <v>-0.39537450000000002</v>
      </c>
      <c r="Z4081">
        <v>6.2056849999999998E-3</v>
      </c>
      <c r="AA4081">
        <v>0.91849910000000001</v>
      </c>
      <c r="AB4081">
        <v>23</v>
      </c>
      <c r="AC4081">
        <v>-7.6426999999999898</v>
      </c>
      <c r="AD4081">
        <v>-1.1135275485189999</v>
      </c>
      <c r="AE4081">
        <v>-6.0619999999999497</v>
      </c>
      <c r="AF4081">
        <v>-3.86611107754735</v>
      </c>
      <c r="AG4081">
        <v>-1.1135275485189999</v>
      </c>
      <c r="AH4081">
        <v>8.8192770121143305</v>
      </c>
      <c r="AI4081">
        <v>96.596249530204005</v>
      </c>
      <c r="AJ4081">
        <v>113.671228572182</v>
      </c>
      <c r="AK4081">
        <v>9.6936270550116301</v>
      </c>
      <c r="AL4081">
        <v>89.741282435232094</v>
      </c>
      <c r="AM4081">
        <v>99.693067677105802</v>
      </c>
      <c r="AN4081">
        <v>1.0000000014949699</v>
      </c>
    </row>
    <row r="4082" spans="1:40" x14ac:dyDescent="0.25">
      <c r="A4082" t="str">
        <f>"20190312150737005"</f>
        <v>20190312150737005</v>
      </c>
      <c r="B4082" t="str">
        <f>"1552374456993842"</f>
        <v>1552374456993842</v>
      </c>
      <c r="C4082" t="s">
        <v>40</v>
      </c>
      <c r="D4082">
        <v>4.370654</v>
      </c>
      <c r="E4082">
        <v>0.40878569999999997</v>
      </c>
      <c r="F4082" t="s">
        <v>61</v>
      </c>
      <c r="G4082">
        <v>-482.68549999999999</v>
      </c>
      <c r="H4082" s="1">
        <v>1.455603E-6</v>
      </c>
      <c r="I4082">
        <v>276.5077</v>
      </c>
      <c r="J4082">
        <v>-475.20780000000002</v>
      </c>
      <c r="K4082">
        <v>1.1135550000000001</v>
      </c>
      <c r="L4082">
        <v>282.49619999999999</v>
      </c>
      <c r="M4082">
        <v>-0.96608190000000005</v>
      </c>
      <c r="N4082">
        <v>0</v>
      </c>
      <c r="O4082">
        <v>-0.25786039999999999</v>
      </c>
      <c r="P4082">
        <v>-0.90910650000000004</v>
      </c>
      <c r="Q4082">
        <v>-8.4213129999999997E-3</v>
      </c>
      <c r="R4082">
        <v>-0.41647869999999998</v>
      </c>
      <c r="S4082">
        <v>-2.4220579999999998</v>
      </c>
      <c r="T4082">
        <v>-0.35343269999999999</v>
      </c>
      <c r="U4082">
        <v>-1.9147639999999999</v>
      </c>
      <c r="V4082">
        <v>-0.167981399999999</v>
      </c>
      <c r="W4082">
        <v>4.051023E-3</v>
      </c>
      <c r="X4082">
        <v>0.98578180000000004</v>
      </c>
      <c r="Y4082">
        <v>-0.39599570000000001</v>
      </c>
      <c r="Z4082">
        <v>6.6671300000000003E-3</v>
      </c>
      <c r="AA4082">
        <v>0.91822809999999999</v>
      </c>
      <c r="AB4082">
        <v>23</v>
      </c>
      <c r="AC4082">
        <v>-7.4776999999999703</v>
      </c>
      <c r="AD4082">
        <v>-1.1135535443969999</v>
      </c>
      <c r="AE4082">
        <v>-5.9884999999999797</v>
      </c>
      <c r="AF4082">
        <v>-3.8061284447987598</v>
      </c>
      <c r="AG4082">
        <v>-1.1135535443969999</v>
      </c>
      <c r="AH4082">
        <v>8.6522183803679393</v>
      </c>
      <c r="AI4082">
        <v>96.718857301229804</v>
      </c>
      <c r="AJ4082">
        <v>113.744791603205</v>
      </c>
      <c r="AK4082">
        <v>9.5177464841275405</v>
      </c>
      <c r="AL4082">
        <v>89.767892835113003</v>
      </c>
      <c r="AM4082">
        <v>99.670554586997696</v>
      </c>
      <c r="AN4082">
        <v>0.99999995937227204</v>
      </c>
    </row>
    <row r="4083" spans="1:40" x14ac:dyDescent="0.25">
      <c r="A4083" t="str">
        <f>"20190312150737017"</f>
        <v>20190312150737017</v>
      </c>
      <c r="B4083" t="str">
        <f>"1552374457014339"</f>
        <v>1552374457014339</v>
      </c>
      <c r="C4083" t="s">
        <v>40</v>
      </c>
      <c r="D4083">
        <v>4.3831379999999998</v>
      </c>
      <c r="E4083">
        <v>0.40853820000000002</v>
      </c>
      <c r="F4083" t="s">
        <v>61</v>
      </c>
      <c r="G4083">
        <v>-482.7303</v>
      </c>
      <c r="H4083" s="1">
        <v>1.459248E-6</v>
      </c>
      <c r="I4083">
        <v>276.5059</v>
      </c>
      <c r="J4083">
        <v>-475.33460000000002</v>
      </c>
      <c r="K4083">
        <v>1.1135790000000001</v>
      </c>
      <c r="L4083">
        <v>282.459</v>
      </c>
      <c r="M4083">
        <v>-0.96533800000000003</v>
      </c>
      <c r="N4083">
        <v>0</v>
      </c>
      <c r="O4083">
        <v>-0.2606308</v>
      </c>
      <c r="P4083">
        <v>-0.90802720000000003</v>
      </c>
      <c r="Q4083">
        <v>-9.0662050000000008E-3</v>
      </c>
      <c r="R4083">
        <v>-0.41881259999999998</v>
      </c>
      <c r="S4083">
        <v>-2.4154659999999999</v>
      </c>
      <c r="T4083">
        <v>-0.35755809999999999</v>
      </c>
      <c r="U4083">
        <v>-1.923492</v>
      </c>
      <c r="V4083">
        <v>-0.1676829</v>
      </c>
      <c r="W4083">
        <v>3.3996669999999999E-3</v>
      </c>
      <c r="X4083">
        <v>0.98583509999999996</v>
      </c>
      <c r="Y4083">
        <v>-0.39660580000000001</v>
      </c>
      <c r="Z4083">
        <v>7.0427129999999999E-3</v>
      </c>
      <c r="AA4083">
        <v>0.91796199999999994</v>
      </c>
      <c r="AB4083">
        <v>23</v>
      </c>
      <c r="AC4083">
        <v>-7.3956999999999704</v>
      </c>
      <c r="AD4083">
        <v>-1.1135775407520001</v>
      </c>
      <c r="AE4083">
        <v>-5.9531000000000001</v>
      </c>
      <c r="AF4083">
        <v>-3.76774199804633</v>
      </c>
      <c r="AG4083">
        <v>-1.1135775407520001</v>
      </c>
      <c r="AH4083">
        <v>8.5737999841986099</v>
      </c>
      <c r="AI4083">
        <v>96.781008069292398</v>
      </c>
      <c r="AJ4083">
        <v>113.72300708521</v>
      </c>
      <c r="AK4083">
        <v>9.4311176894445303</v>
      </c>
      <c r="AL4083">
        <v>89.805213049752695</v>
      </c>
      <c r="AM4083">
        <v>99.6531817308868</v>
      </c>
      <c r="AN4083">
        <v>0.99999997854006495</v>
      </c>
    </row>
    <row r="4084" spans="1:40" x14ac:dyDescent="0.25">
      <c r="A4084" t="str">
        <f>"20190312150737030"</f>
        <v>20190312150737030</v>
      </c>
      <c r="B4084" t="str">
        <f>"1552374457024098"</f>
        <v>1552374457024098</v>
      </c>
      <c r="C4084" t="s">
        <v>40</v>
      </c>
      <c r="D4084">
        <v>4.3535300000000001</v>
      </c>
      <c r="E4084">
        <v>0.40854829999999998</v>
      </c>
      <c r="F4084" t="s">
        <v>61</v>
      </c>
      <c r="G4084">
        <v>-482.755</v>
      </c>
      <c r="H4084" s="1">
        <v>1.462018E-6</v>
      </c>
      <c r="I4084">
        <v>276.50920000000002</v>
      </c>
      <c r="J4084">
        <v>-475.46010000000001</v>
      </c>
      <c r="K4084">
        <v>1.1136090000000001</v>
      </c>
      <c r="L4084">
        <v>282.42189999999999</v>
      </c>
      <c r="M4084">
        <v>-0.96458869999999997</v>
      </c>
      <c r="N4084">
        <v>0</v>
      </c>
      <c r="O4084">
        <v>-0.26339020000000002</v>
      </c>
      <c r="P4084">
        <v>-0.90680159999999999</v>
      </c>
      <c r="Q4084">
        <v>-9.1661599999999996E-3</v>
      </c>
      <c r="R4084">
        <v>-0.42145820000000001</v>
      </c>
      <c r="S4084">
        <v>-2.4092410000000002</v>
      </c>
      <c r="T4084">
        <v>-0.36155500000000002</v>
      </c>
      <c r="U4084">
        <v>-1.9317930000000001</v>
      </c>
      <c r="V4084">
        <v>-0.16773750000000001</v>
      </c>
      <c r="W4084">
        <v>3.2899959999999999E-3</v>
      </c>
      <c r="X4084">
        <v>0.98582619999999999</v>
      </c>
      <c r="Y4084">
        <v>-0.39705839999999998</v>
      </c>
      <c r="Z4084">
        <v>7.4312800000000002E-3</v>
      </c>
      <c r="AA4084">
        <v>0.91776329999999995</v>
      </c>
      <c r="AB4084">
        <v>23</v>
      </c>
      <c r="AC4084">
        <v>-7.2948999999999797</v>
      </c>
      <c r="AD4084">
        <v>-1.1136075379820001</v>
      </c>
      <c r="AE4084">
        <v>-5.9126999999999699</v>
      </c>
      <c r="AF4084">
        <v>-3.7298286264190201</v>
      </c>
      <c r="AG4084">
        <v>-1.1136075379820001</v>
      </c>
      <c r="AH4084">
        <v>8.4755579202398597</v>
      </c>
      <c r="AI4084">
        <v>96.857493515845107</v>
      </c>
      <c r="AJ4084">
        <v>113.752797111832</v>
      </c>
      <c r="AK4084">
        <v>9.3266727931479299</v>
      </c>
      <c r="AL4084">
        <v>89.811496773540398</v>
      </c>
      <c r="AM4084">
        <v>99.656351310196101</v>
      </c>
      <c r="AN4084">
        <v>0.99999999479318402</v>
      </c>
    </row>
    <row r="4085" spans="1:40" x14ac:dyDescent="0.25">
      <c r="A4085" t="str">
        <f>"20190312150737041"</f>
        <v>20190312150737041</v>
      </c>
      <c r="B4085" t="str">
        <f>"1552374457033858"</f>
        <v>1552374457033858</v>
      </c>
      <c r="C4085" t="s">
        <v>40</v>
      </c>
      <c r="D4085">
        <v>4.3817560000000002</v>
      </c>
      <c r="E4085">
        <v>0.40860390000000002</v>
      </c>
      <c r="F4085" t="s">
        <v>61</v>
      </c>
      <c r="G4085">
        <v>-482.87670000000003</v>
      </c>
      <c r="H4085" s="1">
        <v>1.460383E-6</v>
      </c>
      <c r="I4085">
        <v>276.43860000000001</v>
      </c>
      <c r="J4085">
        <v>-475.5754</v>
      </c>
      <c r="K4085">
        <v>1.113632</v>
      </c>
      <c r="L4085">
        <v>282.38749999999999</v>
      </c>
      <c r="M4085">
        <v>-0.96388739999999995</v>
      </c>
      <c r="N4085">
        <v>0</v>
      </c>
      <c r="O4085">
        <v>-0.26594509999999899</v>
      </c>
      <c r="P4085">
        <v>-0.90569500000000003</v>
      </c>
      <c r="Q4085">
        <v>-9.6174220000000005E-3</v>
      </c>
      <c r="R4085">
        <v>-0.42382059999999999</v>
      </c>
      <c r="S4085">
        <v>-2.403473</v>
      </c>
      <c r="T4085">
        <v>-0.36088009999999998</v>
      </c>
      <c r="U4085">
        <v>-1.938995</v>
      </c>
      <c r="V4085">
        <v>-0.1676935</v>
      </c>
      <c r="W4085">
        <v>2.8308040000000001E-3</v>
      </c>
      <c r="X4085">
        <v>0.98583509999999996</v>
      </c>
      <c r="Y4085">
        <v>-0.39738610000000002</v>
      </c>
      <c r="Z4085">
        <v>7.7110059999999899E-3</v>
      </c>
      <c r="AA4085">
        <v>0.91761910000000002</v>
      </c>
      <c r="AB4085">
        <v>23</v>
      </c>
      <c r="AC4085">
        <v>-7.3013000000000199</v>
      </c>
      <c r="AD4085">
        <v>-1.1136305396170001</v>
      </c>
      <c r="AE4085">
        <v>-5.9488999999999796</v>
      </c>
      <c r="AF4085">
        <v>-3.7403953699768802</v>
      </c>
      <c r="AG4085">
        <v>-1.1136305396170001</v>
      </c>
      <c r="AH4085">
        <v>8.5016796143982791</v>
      </c>
      <c r="AI4085">
        <v>96.837035918304394</v>
      </c>
      <c r="AJ4085">
        <v>113.747554076193</v>
      </c>
      <c r="AK4085">
        <v>9.3546398524148096</v>
      </c>
      <c r="AL4085">
        <v>89.837806658936799</v>
      </c>
      <c r="AM4085">
        <v>99.653780469187893</v>
      </c>
      <c r="AN4085">
        <v>0.999999983892773</v>
      </c>
    </row>
    <row r="4086" spans="1:40" x14ac:dyDescent="0.25">
      <c r="A4086" t="str">
        <f>"20190312150737054"</f>
        <v>20190312150737054</v>
      </c>
      <c r="B4086" t="str">
        <f>"1552374457044595"</f>
        <v>1552374457044595</v>
      </c>
      <c r="C4086" t="s">
        <v>40</v>
      </c>
      <c r="D4086">
        <v>4.4422280000000001</v>
      </c>
      <c r="E4086">
        <v>0.40867360000000003</v>
      </c>
      <c r="F4086" t="s">
        <v>61</v>
      </c>
      <c r="G4086">
        <v>-482.99149999999997</v>
      </c>
      <c r="H4086" s="1">
        <v>1.4593519999999999E-6</v>
      </c>
      <c r="I4086">
        <v>276.37490000000003</v>
      </c>
      <c r="J4086">
        <v>-475.697</v>
      </c>
      <c r="K4086">
        <v>1.113656</v>
      </c>
      <c r="L4086">
        <v>282.35059999999999</v>
      </c>
      <c r="M4086">
        <v>-0.96313000000000004</v>
      </c>
      <c r="N4086">
        <v>0</v>
      </c>
      <c r="O4086">
        <v>-0.2686751</v>
      </c>
      <c r="P4086">
        <v>-0.90453899999999998</v>
      </c>
      <c r="Q4086">
        <v>-9.7598460000000008E-3</v>
      </c>
      <c r="R4086">
        <v>-0.42627910000000002</v>
      </c>
      <c r="S4086">
        <v>-2.3985599999999998</v>
      </c>
      <c r="T4086">
        <v>-0.36017389999999999</v>
      </c>
      <c r="U4086">
        <v>-1.9446110000000001</v>
      </c>
      <c r="V4086">
        <v>-0.16757739999999999</v>
      </c>
      <c r="W4086">
        <v>2.6815540000000001E-3</v>
      </c>
      <c r="X4086">
        <v>0.98585529999999999</v>
      </c>
      <c r="Y4086">
        <v>-0.3970245</v>
      </c>
      <c r="Z4086">
        <v>8.0553009999999904E-3</v>
      </c>
      <c r="AA4086">
        <v>0.9177727</v>
      </c>
      <c r="AB4086">
        <v>23</v>
      </c>
      <c r="AC4086">
        <v>-7.2945000000000197</v>
      </c>
      <c r="AD4086">
        <v>-1.1136545406479901</v>
      </c>
      <c r="AE4086">
        <v>-5.9756999999999598</v>
      </c>
      <c r="AF4086">
        <v>-3.7436778823172698</v>
      </c>
      <c r="AG4086">
        <v>-1.1136545406479901</v>
      </c>
      <c r="AH4086">
        <v>8.5131716040208101</v>
      </c>
      <c r="AI4086">
        <v>96.828558824529694</v>
      </c>
      <c r="AJ4086">
        <v>113.737552934899</v>
      </c>
      <c r="AK4086">
        <v>9.3663995901287294</v>
      </c>
      <c r="AL4086">
        <v>89.846358092837605</v>
      </c>
      <c r="AM4086">
        <v>99.647028519155398</v>
      </c>
      <c r="AN4086">
        <v>1.0000000241303499</v>
      </c>
    </row>
    <row r="4087" spans="1:40" x14ac:dyDescent="0.25">
      <c r="A4087" t="str">
        <f>"20190312150737067"</f>
        <v>20190312150737067</v>
      </c>
      <c r="B4087" t="str">
        <f>"1552374457064114"</f>
        <v>1552374457064114</v>
      </c>
      <c r="C4087" t="s">
        <v>40</v>
      </c>
      <c r="D4087">
        <v>4.3511629999999997</v>
      </c>
      <c r="E4087">
        <v>0.40879910000000003</v>
      </c>
      <c r="F4087" t="s">
        <v>61</v>
      </c>
      <c r="G4087">
        <v>-483.12709999999998</v>
      </c>
      <c r="H4087" s="1">
        <v>1.4574570000000001E-6</v>
      </c>
      <c r="I4087">
        <v>276.29590000000002</v>
      </c>
      <c r="J4087">
        <v>-475.8184</v>
      </c>
      <c r="K4087">
        <v>1.113686</v>
      </c>
      <c r="L4087">
        <v>282.31369999999998</v>
      </c>
      <c r="M4087">
        <v>-0.96236029999999995</v>
      </c>
      <c r="N4087">
        <v>0</v>
      </c>
      <c r="O4087">
        <v>-0.27141910000000002</v>
      </c>
      <c r="P4087">
        <v>-0.90327290000000005</v>
      </c>
      <c r="Q4087">
        <v>-9.709334E-3</v>
      </c>
      <c r="R4087">
        <v>-0.42895709999999998</v>
      </c>
      <c r="S4087">
        <v>-2.3935240000000002</v>
      </c>
      <c r="T4087">
        <v>-0.35874980000000001</v>
      </c>
      <c r="U4087">
        <v>-1.9504699999999999</v>
      </c>
      <c r="V4087">
        <v>-0.16768839999999999</v>
      </c>
      <c r="W4087">
        <v>2.7225629999999999E-3</v>
      </c>
      <c r="X4087">
        <v>0.9858363</v>
      </c>
      <c r="Y4087">
        <v>-0.39672990000000002</v>
      </c>
      <c r="Z4087">
        <v>8.379025E-3</v>
      </c>
      <c r="AA4087">
        <v>0.91789719999999997</v>
      </c>
      <c r="AB4087">
        <v>23</v>
      </c>
      <c r="AC4087">
        <v>-7.3086999999999804</v>
      </c>
      <c r="AD4087">
        <v>-1.113684542543</v>
      </c>
      <c r="AE4087">
        <v>-6.0177999999999603</v>
      </c>
      <c r="AF4087">
        <v>-3.7559668423734598</v>
      </c>
      <c r="AG4087">
        <v>-1.113684542543</v>
      </c>
      <c r="AH4087">
        <v>8.5494850103888993</v>
      </c>
      <c r="AI4087">
        <v>96.801076728383507</v>
      </c>
      <c r="AJ4087">
        <v>113.71688442909</v>
      </c>
      <c r="AK4087">
        <v>9.4043220980660003</v>
      </c>
      <c r="AL4087">
        <v>89.844008439665203</v>
      </c>
      <c r="AM4087">
        <v>99.6534808677482</v>
      </c>
      <c r="AN4087">
        <v>1.0000000111207601</v>
      </c>
    </row>
    <row r="4088" spans="1:40" x14ac:dyDescent="0.25">
      <c r="A4088" t="str">
        <f>"20190312150737079"</f>
        <v>20190312150737079</v>
      </c>
      <c r="B4088" t="str">
        <f>"1552374457073874"</f>
        <v>1552374457073874</v>
      </c>
      <c r="C4088" t="s">
        <v>40</v>
      </c>
      <c r="D4088">
        <v>4.2866759999999999</v>
      </c>
      <c r="E4088">
        <v>0.40888629999999998</v>
      </c>
      <c r="F4088" t="s">
        <v>61</v>
      </c>
      <c r="G4088">
        <v>-483.31420000000003</v>
      </c>
      <c r="H4088" s="1">
        <v>1.4523470000000001E-6</v>
      </c>
      <c r="I4088">
        <v>276.17259999999999</v>
      </c>
      <c r="J4088">
        <v>-475.94619999999998</v>
      </c>
      <c r="K4088">
        <v>1.1137140000000001</v>
      </c>
      <c r="L4088">
        <v>282.27409999999998</v>
      </c>
      <c r="M4088">
        <v>-0.96153029999999995</v>
      </c>
      <c r="N4088">
        <v>0</v>
      </c>
      <c r="O4088">
        <v>-0.2743449</v>
      </c>
      <c r="P4088">
        <v>-0.90205219999999997</v>
      </c>
      <c r="Q4088">
        <v>-1.0261640000000001E-2</v>
      </c>
      <c r="R4088">
        <v>-0.43150529999999998</v>
      </c>
      <c r="S4088">
        <v>-2.388245</v>
      </c>
      <c r="T4088">
        <v>-0.35483290000000001</v>
      </c>
      <c r="U4088">
        <v>-1.956604</v>
      </c>
      <c r="V4088">
        <v>-0.16747049999999999</v>
      </c>
      <c r="W4088">
        <v>2.162757E-3</v>
      </c>
      <c r="X4088">
        <v>0.98587469999999999</v>
      </c>
      <c r="Y4088">
        <v>-0.39638129999999999</v>
      </c>
      <c r="Z4088">
        <v>8.6652929999999993E-3</v>
      </c>
      <c r="AA4088">
        <v>0.91804509999999995</v>
      </c>
      <c r="AB4088">
        <v>23</v>
      </c>
      <c r="AC4088">
        <v>-7.3680000000000501</v>
      </c>
      <c r="AD4088">
        <v>-1.1137125476530001</v>
      </c>
      <c r="AE4088">
        <v>-6.1014999999999802</v>
      </c>
      <c r="AF4088">
        <v>-3.7943510269488501</v>
      </c>
      <c r="AG4088">
        <v>-1.1137125476530001</v>
      </c>
      <c r="AH4088">
        <v>8.6421902560848292</v>
      </c>
      <c r="AI4088">
        <v>96.729626964715905</v>
      </c>
      <c r="AJ4088">
        <v>113.703861676126</v>
      </c>
      <c r="AK4088">
        <v>9.5039416968369093</v>
      </c>
      <c r="AL4088">
        <v>89.876083053323995</v>
      </c>
      <c r="AM4088">
        <v>99.640803929903399</v>
      </c>
      <c r="AN4088">
        <v>0.99999998499409004</v>
      </c>
    </row>
    <row r="4089" spans="1:40" x14ac:dyDescent="0.25">
      <c r="A4089" t="str">
        <f>"20190312150737092"</f>
        <v>20190312150737092</v>
      </c>
      <c r="B4089" t="str">
        <f>"1552374457084610"</f>
        <v>1552374457084610</v>
      </c>
      <c r="C4089" t="s">
        <v>40</v>
      </c>
      <c r="D4089">
        <v>4.3783130000000003</v>
      </c>
      <c r="E4089">
        <v>0.40893990000000002</v>
      </c>
      <c r="F4089" t="s">
        <v>61</v>
      </c>
      <c r="G4089">
        <v>-483.42469999999997</v>
      </c>
      <c r="H4089" s="1">
        <v>1.4520949999999999E-6</v>
      </c>
      <c r="I4089">
        <v>276.11559999999997</v>
      </c>
      <c r="J4089">
        <v>-476.06490000000002</v>
      </c>
      <c r="K4089">
        <v>1.113742</v>
      </c>
      <c r="L4089">
        <v>282.23700000000002</v>
      </c>
      <c r="M4089">
        <v>-0.96074210000000004</v>
      </c>
      <c r="N4089">
        <v>0</v>
      </c>
      <c r="O4089">
        <v>-0.27709260000000002</v>
      </c>
      <c r="P4089">
        <v>-0.90076560000000006</v>
      </c>
      <c r="Q4089">
        <v>-1.0418429999999999E-2</v>
      </c>
      <c r="R4089">
        <v>-0.43418089999999998</v>
      </c>
      <c r="S4089">
        <v>-2.3829959999999999</v>
      </c>
      <c r="T4089">
        <v>-0.354879099999999</v>
      </c>
      <c r="U4089">
        <v>-1.962402</v>
      </c>
      <c r="V4089">
        <v>-0.1675777</v>
      </c>
      <c r="W4089">
        <v>1.9953869999999999E-3</v>
      </c>
      <c r="X4089">
        <v>0.98585679999999998</v>
      </c>
      <c r="Y4089">
        <v>-0.39609800000000001</v>
      </c>
      <c r="Z4089">
        <v>9.0186190000000003E-3</v>
      </c>
      <c r="AA4089">
        <v>0.91816399999999998</v>
      </c>
      <c r="AB4089">
        <v>23</v>
      </c>
      <c r="AC4089">
        <v>-7.3597999999999502</v>
      </c>
      <c r="AD4089">
        <v>-1.113740547905</v>
      </c>
      <c r="AE4089">
        <v>-6.1214000000000501</v>
      </c>
      <c r="AF4089">
        <v>-3.7908014394127099</v>
      </c>
      <c r="AG4089">
        <v>-1.113740547905</v>
      </c>
      <c r="AH4089">
        <v>8.6508184295522295</v>
      </c>
      <c r="AI4089">
        <v>96.7252227683678</v>
      </c>
      <c r="AJ4089">
        <v>113.66310383438901</v>
      </c>
      <c r="AK4089">
        <v>9.5103760736461798</v>
      </c>
      <c r="AL4089">
        <v>89.885672664661897</v>
      </c>
      <c r="AM4089">
        <v>99.647031062557502</v>
      </c>
      <c r="AN4089">
        <v>0.99999994860640296</v>
      </c>
    </row>
    <row r="4090" spans="1:40" x14ac:dyDescent="0.25">
      <c r="A4090" t="str">
        <f>"20190312150737103"</f>
        <v>20190312150737103</v>
      </c>
      <c r="B4090" t="str">
        <f>"1552374457094371"</f>
        <v>1552374457094371</v>
      </c>
      <c r="C4090" t="s">
        <v>40</v>
      </c>
      <c r="D4090">
        <v>4.4041160000000001</v>
      </c>
      <c r="E4090">
        <v>0.40900389999999998</v>
      </c>
      <c r="F4090" t="s">
        <v>61</v>
      </c>
      <c r="G4090">
        <v>-483.55720000000002</v>
      </c>
      <c r="H4090" s="1">
        <v>1.4489410000000001E-6</v>
      </c>
      <c r="I4090">
        <v>276.03089999999997</v>
      </c>
      <c r="J4090">
        <v>-476.17970000000003</v>
      </c>
      <c r="K4090">
        <v>1.1137709999999901</v>
      </c>
      <c r="L4090">
        <v>282.20080000000002</v>
      </c>
      <c r="M4090">
        <v>-0.95996760000000003</v>
      </c>
      <c r="N4090">
        <v>0</v>
      </c>
      <c r="O4090">
        <v>-0.27976390000000001</v>
      </c>
      <c r="P4090">
        <v>-0.89948709999999898</v>
      </c>
      <c r="Q4090">
        <v>-1.035463E-2</v>
      </c>
      <c r="R4090">
        <v>-0.43682500000000002</v>
      </c>
      <c r="S4090">
        <v>-2.3772579999999999</v>
      </c>
      <c r="T4090">
        <v>-0.35338429999999998</v>
      </c>
      <c r="U4090">
        <v>-1.969147</v>
      </c>
      <c r="V4090">
        <v>-0.167732399999999</v>
      </c>
      <c r="W4090">
        <v>2.0492700000000002E-3</v>
      </c>
      <c r="X4090">
        <v>0.9858304</v>
      </c>
      <c r="Y4090">
        <v>-0.39619929999999998</v>
      </c>
      <c r="Z4090">
        <v>9.297965E-3</v>
      </c>
      <c r="AA4090">
        <v>0.91811750000000003</v>
      </c>
      <c r="AB4090">
        <v>23</v>
      </c>
      <c r="AC4090">
        <v>-7.3774999999999897</v>
      </c>
      <c r="AD4090">
        <v>-1.11376955105899</v>
      </c>
      <c r="AE4090">
        <v>-6.1699000000000401</v>
      </c>
      <c r="AF4090">
        <v>-3.8082473691589098</v>
      </c>
      <c r="AG4090">
        <v>-1.11376955105899</v>
      </c>
      <c r="AH4090">
        <v>8.6925537560424306</v>
      </c>
      <c r="AI4090">
        <v>96.693635834182103</v>
      </c>
      <c r="AJ4090">
        <v>113.658444716014</v>
      </c>
      <c r="AK4090">
        <v>9.5552980821772007</v>
      </c>
      <c r="AL4090">
        <v>89.882585391925303</v>
      </c>
      <c r="AM4090">
        <v>99.656022876212106</v>
      </c>
      <c r="AN4090">
        <v>0.99999996754072595</v>
      </c>
    </row>
    <row r="4091" spans="1:40" x14ac:dyDescent="0.25">
      <c r="A4091" t="str">
        <f>"20190312150737115"</f>
        <v>20190312150737115</v>
      </c>
      <c r="B4091" t="str">
        <f>"1552374457104131"</f>
        <v>1552374457104131</v>
      </c>
      <c r="C4091" t="s">
        <v>40</v>
      </c>
      <c r="D4091">
        <v>4.3516440000000003</v>
      </c>
      <c r="E4091">
        <v>0.4089487</v>
      </c>
      <c r="F4091" t="s">
        <v>61</v>
      </c>
      <c r="G4091">
        <v>-483.69540000000001</v>
      </c>
      <c r="H4091" s="1">
        <v>1.445185E-6</v>
      </c>
      <c r="I4091">
        <v>275.94</v>
      </c>
      <c r="J4091">
        <v>-476.29309999999998</v>
      </c>
      <c r="K4091">
        <v>1.113801</v>
      </c>
      <c r="L4091">
        <v>282.16449999999998</v>
      </c>
      <c r="M4091">
        <v>-0.95918179999999997</v>
      </c>
      <c r="N4091">
        <v>0</v>
      </c>
      <c r="O4091">
        <v>-0.28244599999999997</v>
      </c>
      <c r="P4091">
        <v>-0.89826989999999995</v>
      </c>
      <c r="Q4091">
        <v>-1.0393589999999999E-2</v>
      </c>
      <c r="R4091">
        <v>-0.43932169999999998</v>
      </c>
      <c r="S4091">
        <v>-2.3717039999999998</v>
      </c>
      <c r="T4091">
        <v>-0.35146929999999998</v>
      </c>
      <c r="U4091">
        <v>-1.975708</v>
      </c>
      <c r="V4091">
        <v>-0.167715</v>
      </c>
      <c r="W4091">
        <v>2.00111E-3</v>
      </c>
      <c r="X4091">
        <v>0.98583350000000003</v>
      </c>
      <c r="Y4091">
        <v>-0.3962137</v>
      </c>
      <c r="Z4091">
        <v>9.5700209999999997E-3</v>
      </c>
      <c r="AA4091">
        <v>0.91810849999999999</v>
      </c>
      <c r="AB4091">
        <v>23</v>
      </c>
      <c r="AC4091">
        <v>-7.4023000000000199</v>
      </c>
      <c r="AD4091">
        <v>-1.1137995548149999</v>
      </c>
      <c r="AE4091">
        <v>-6.2244999999999697</v>
      </c>
      <c r="AF4091">
        <v>-3.8292689946356901</v>
      </c>
      <c r="AG4091">
        <v>-1.1137995548149999</v>
      </c>
      <c r="AH4091">
        <v>8.74314275493027</v>
      </c>
      <c r="AI4091">
        <v>96.6557481962803</v>
      </c>
      <c r="AJ4091">
        <v>113.652167684971</v>
      </c>
      <c r="AK4091">
        <v>9.6097032063781196</v>
      </c>
      <c r="AL4091">
        <v>89.885344767018907</v>
      </c>
      <c r="AM4091">
        <v>99.655010259692105</v>
      </c>
      <c r="AN4091">
        <v>1.0000000076942399</v>
      </c>
    </row>
    <row r="4092" spans="1:40" x14ac:dyDescent="0.25">
      <c r="A4092" t="str">
        <f>"20190312150737128"</f>
        <v>20190312150737128</v>
      </c>
      <c r="B4092" t="str">
        <f>"1552374457124626"</f>
        <v>1552374457124626</v>
      </c>
      <c r="C4092" t="s">
        <v>40</v>
      </c>
      <c r="D4092">
        <v>4.3305110000000004</v>
      </c>
      <c r="E4092">
        <v>0.40892149999999999</v>
      </c>
      <c r="F4092" t="s">
        <v>61</v>
      </c>
      <c r="G4092">
        <v>-483.75799999999998</v>
      </c>
      <c r="H4092" s="1">
        <v>1.445255E-6</v>
      </c>
      <c r="I4092">
        <v>275.90890000000002</v>
      </c>
      <c r="J4092">
        <v>-476.41180000000003</v>
      </c>
      <c r="K4092">
        <v>1.113831</v>
      </c>
      <c r="L4092">
        <v>282.12630000000001</v>
      </c>
      <c r="M4092">
        <v>-0.9583467</v>
      </c>
      <c r="N4092">
        <v>0</v>
      </c>
      <c r="O4092">
        <v>-0.28526649999999998</v>
      </c>
      <c r="P4092">
        <v>-0.89699519999999899</v>
      </c>
      <c r="Q4092">
        <v>-1.0211319999999999E-2</v>
      </c>
      <c r="R4092">
        <v>-0.44192290000000001</v>
      </c>
      <c r="S4092">
        <v>-2.3659970000000001</v>
      </c>
      <c r="T4092">
        <v>-0.35302030000000001</v>
      </c>
      <c r="U4092">
        <v>-1.9827269999999999</v>
      </c>
      <c r="V4092">
        <v>-0.16767219999999999</v>
      </c>
      <c r="W4092">
        <v>2.1742010000000002E-3</v>
      </c>
      <c r="X4092">
        <v>0.98584039999999995</v>
      </c>
      <c r="Y4092">
        <v>-0.39621339999999999</v>
      </c>
      <c r="Z4092">
        <v>9.9527179999999993E-3</v>
      </c>
      <c r="AA4092">
        <v>0.91810449999999999</v>
      </c>
      <c r="AB4092">
        <v>23</v>
      </c>
      <c r="AC4092">
        <v>-7.3461999999999996</v>
      </c>
      <c r="AD4092">
        <v>-1.1138295547449999</v>
      </c>
      <c r="AE4092">
        <v>-6.2173999999999898</v>
      </c>
      <c r="AF4092">
        <v>-3.8121153577659501</v>
      </c>
      <c r="AG4092">
        <v>-1.1138295547449999</v>
      </c>
      <c r="AH4092">
        <v>8.6981743524540498</v>
      </c>
      <c r="AI4092">
        <v>96.689313087850493</v>
      </c>
      <c r="AJ4092">
        <v>113.666212040041</v>
      </c>
      <c r="AK4092">
        <v>9.5619598850668694</v>
      </c>
      <c r="AL4092">
        <v>89.875427359998298</v>
      </c>
      <c r="AM4092">
        <v>99.652526424825297</v>
      </c>
      <c r="AN4092">
        <v>0.99999999403749396</v>
      </c>
    </row>
    <row r="4093" spans="1:40" x14ac:dyDescent="0.25">
      <c r="A4093" t="str">
        <f>"20190312150737140"</f>
        <v>20190312150737140</v>
      </c>
      <c r="B4093" t="str">
        <f>"1552374457134386"</f>
        <v>1552374457134386</v>
      </c>
      <c r="C4093" t="s">
        <v>40</v>
      </c>
      <c r="D4093">
        <v>4.3492240000000004</v>
      </c>
      <c r="E4093">
        <v>0.40887469999999998</v>
      </c>
      <c r="F4093" t="s">
        <v>61</v>
      </c>
      <c r="G4093">
        <v>-483.87360000000001</v>
      </c>
      <c r="H4093" s="1">
        <v>1.4425820000000001E-6</v>
      </c>
      <c r="I4093">
        <v>275.83550000000002</v>
      </c>
      <c r="J4093">
        <v>-476.53140000000002</v>
      </c>
      <c r="K4093">
        <v>1.1138600000000001</v>
      </c>
      <c r="L4093">
        <v>282.0872</v>
      </c>
      <c r="M4093">
        <v>-0.95748540000000004</v>
      </c>
      <c r="N4093">
        <v>0</v>
      </c>
      <c r="O4093">
        <v>-0.28814410000000001</v>
      </c>
      <c r="P4093">
        <v>-0.89563349999999897</v>
      </c>
      <c r="Q4093">
        <v>-1.005795E-2</v>
      </c>
      <c r="R4093">
        <v>-0.44467889999999999</v>
      </c>
      <c r="S4093">
        <v>-2.3601990000000002</v>
      </c>
      <c r="T4093">
        <v>-0.3523115</v>
      </c>
      <c r="U4093">
        <v>-1.9898070000000001</v>
      </c>
      <c r="V4093">
        <v>-0.16774310000000001</v>
      </c>
      <c r="W4093">
        <v>2.3162980000000001E-3</v>
      </c>
      <c r="X4093">
        <v>0.98582800000000004</v>
      </c>
      <c r="Y4093">
        <v>-0.39619710000000002</v>
      </c>
      <c r="Z4093">
        <v>1.028102E-2</v>
      </c>
      <c r="AA4093">
        <v>0.91810789999999998</v>
      </c>
      <c r="AB4093">
        <v>23</v>
      </c>
      <c r="AC4093">
        <v>-7.3421999999999903</v>
      </c>
      <c r="AD4093">
        <v>-1.113858557418</v>
      </c>
      <c r="AE4093">
        <v>-6.2516999999999703</v>
      </c>
      <c r="AF4093">
        <v>-3.8197145995364399</v>
      </c>
      <c r="AG4093">
        <v>-1.113858557418</v>
      </c>
      <c r="AH4093">
        <v>8.7160118396725892</v>
      </c>
      <c r="AI4093">
        <v>96.675980147217203</v>
      </c>
      <c r="AJ4093">
        <v>113.66500809144399</v>
      </c>
      <c r="AK4093">
        <v>9.5812192802981997</v>
      </c>
      <c r="AL4093">
        <v>89.867285779072105</v>
      </c>
      <c r="AM4093">
        <v>99.656650322064095</v>
      </c>
      <c r="AN4093">
        <v>0.99999997920901695</v>
      </c>
    </row>
    <row r="4094" spans="1:40" x14ac:dyDescent="0.25">
      <c r="A4094" t="str">
        <f>"20190312150737151"</f>
        <v>20190312150737151</v>
      </c>
      <c r="B4094" t="str">
        <f>"1552374457144147"</f>
        <v>1552374457144147</v>
      </c>
      <c r="C4094" t="s">
        <v>40</v>
      </c>
      <c r="D4094">
        <v>4.3091710000000001</v>
      </c>
      <c r="E4094">
        <v>0.40888069999999999</v>
      </c>
      <c r="F4094" t="s">
        <v>61</v>
      </c>
      <c r="G4094">
        <v>-483.94439999999997</v>
      </c>
      <c r="H4094" s="1">
        <v>1.4423510000000001E-6</v>
      </c>
      <c r="I4094">
        <v>275.79849999999999</v>
      </c>
      <c r="J4094">
        <v>-476.64080000000001</v>
      </c>
      <c r="K4094">
        <v>1.11389</v>
      </c>
      <c r="L4094">
        <v>282.05110000000002</v>
      </c>
      <c r="M4094">
        <v>-0.95668050000000004</v>
      </c>
      <c r="N4094">
        <v>0</v>
      </c>
      <c r="O4094">
        <v>-0.29080529999999999</v>
      </c>
      <c r="P4094">
        <v>-0.89442749999999904</v>
      </c>
      <c r="Q4094">
        <v>-1.003276E-2</v>
      </c>
      <c r="R4094">
        <v>-0.44710060000000001</v>
      </c>
      <c r="S4094">
        <v>-2.3540649999999999</v>
      </c>
      <c r="T4094">
        <v>-0.35371799999999998</v>
      </c>
      <c r="U4094">
        <v>-1.9970399999999999</v>
      </c>
      <c r="V4094">
        <v>-0.1676697</v>
      </c>
      <c r="W4094">
        <v>2.3334639999999999E-3</v>
      </c>
      <c r="X4094">
        <v>0.98584039999999995</v>
      </c>
      <c r="Y4094">
        <v>-0.39647310000000002</v>
      </c>
      <c r="Z4094">
        <v>1.0627559999999999E-2</v>
      </c>
      <c r="AA4094">
        <v>0.91798480000000005</v>
      </c>
      <c r="AB4094">
        <v>23</v>
      </c>
      <c r="AC4094">
        <v>-7.3035999999999497</v>
      </c>
      <c r="AD4094">
        <v>-1.1138885576490001</v>
      </c>
      <c r="AE4094">
        <v>-6.2526000000000197</v>
      </c>
      <c r="AF4094">
        <v>-3.8070896767929199</v>
      </c>
      <c r="AG4094">
        <v>-1.1138885576490001</v>
      </c>
      <c r="AH4094">
        <v>8.6897200798191996</v>
      </c>
      <c r="AI4094">
        <v>96.6964842235855</v>
      </c>
      <c r="AJ4094">
        <v>113.658908022651</v>
      </c>
      <c r="AK4094">
        <v>9.5522727448297697</v>
      </c>
      <c r="AL4094">
        <v>89.866302230973005</v>
      </c>
      <c r="AM4094">
        <v>99.652385212861404</v>
      </c>
      <c r="AN4094">
        <v>0.99999993381224195</v>
      </c>
    </row>
    <row r="4095" spans="1:40" x14ac:dyDescent="0.25">
      <c r="A4095" t="str">
        <f>"20190312150737162"</f>
        <v>20190312150737162</v>
      </c>
      <c r="B4095" t="str">
        <f>"1552374457153907"</f>
        <v>1552374457153907</v>
      </c>
      <c r="C4095" t="s">
        <v>40</v>
      </c>
      <c r="D4095">
        <v>4.3314629999999896</v>
      </c>
      <c r="E4095">
        <v>0.40883789999999998</v>
      </c>
      <c r="F4095" t="s">
        <v>61</v>
      </c>
      <c r="G4095">
        <v>-484.04320000000001</v>
      </c>
      <c r="H4095" s="1">
        <v>1.4402059999999999E-6</v>
      </c>
      <c r="I4095">
        <v>275.73660000000001</v>
      </c>
      <c r="J4095">
        <v>-476.75080000000003</v>
      </c>
      <c r="K4095">
        <v>1.11392</v>
      </c>
      <c r="L4095">
        <v>282.0145</v>
      </c>
      <c r="M4095">
        <v>-0.95585869999999995</v>
      </c>
      <c r="N4095">
        <v>0</v>
      </c>
      <c r="O4095">
        <v>-0.2934948</v>
      </c>
      <c r="P4095">
        <v>-0.89318999999999904</v>
      </c>
      <c r="Q4095">
        <v>-9.782008E-3</v>
      </c>
      <c r="R4095">
        <v>-0.44957320000000001</v>
      </c>
      <c r="S4095">
        <v>-2.348633</v>
      </c>
      <c r="T4095">
        <v>-0.3534157</v>
      </c>
      <c r="U4095">
        <v>-2.003479</v>
      </c>
      <c r="V4095">
        <v>-0.16762589999999999</v>
      </c>
      <c r="W4095">
        <v>2.57522E-3</v>
      </c>
      <c r="X4095">
        <v>0.98584729999999998</v>
      </c>
      <c r="Y4095">
        <v>-0.39641369999999998</v>
      </c>
      <c r="Z4095">
        <v>1.0948289999999999E-2</v>
      </c>
      <c r="AA4095">
        <v>0.91800669999999995</v>
      </c>
      <c r="AB4095">
        <v>23</v>
      </c>
      <c r="AC4095">
        <v>-7.2923999999999802</v>
      </c>
      <c r="AD4095">
        <v>-1.113918559794</v>
      </c>
      <c r="AE4095">
        <v>-6.2778999999999803</v>
      </c>
      <c r="AF4095">
        <v>-3.8098247100190101</v>
      </c>
      <c r="AG4095">
        <v>-1.113918559794</v>
      </c>
      <c r="AH4095">
        <v>8.6973410071003894</v>
      </c>
      <c r="AI4095">
        <v>96.691017496151204</v>
      </c>
      <c r="AJ4095">
        <v>113.655570788117</v>
      </c>
      <c r="AK4095">
        <v>9.5602991309223704</v>
      </c>
      <c r="AL4095">
        <v>89.852450597606705</v>
      </c>
      <c r="AM4095">
        <v>99.649844889786493</v>
      </c>
      <c r="AN4095">
        <v>0.99999998651307398</v>
      </c>
    </row>
    <row r="4096" spans="1:40" x14ac:dyDescent="0.25">
      <c r="A4096" t="str">
        <f>"20190312150737175"</f>
        <v>20190312150737175</v>
      </c>
      <c r="B4096" t="str">
        <f>"1552374457164643"</f>
        <v>1552374457164643</v>
      </c>
      <c r="C4096" t="s">
        <v>40</v>
      </c>
      <c r="D4096">
        <v>4.3155549999999998</v>
      </c>
      <c r="E4096">
        <v>0.40883199999999997</v>
      </c>
      <c r="F4096" t="s">
        <v>61</v>
      </c>
      <c r="G4096">
        <v>-484.15980000000002</v>
      </c>
      <c r="H4096" s="1">
        <v>1.436466E-6</v>
      </c>
      <c r="I4096">
        <v>275.65660000000003</v>
      </c>
      <c r="J4096">
        <v>-476.86590000000001</v>
      </c>
      <c r="K4096">
        <v>1.113953</v>
      </c>
      <c r="L4096">
        <v>281.97559999999999</v>
      </c>
      <c r="M4096">
        <v>-0.9549763</v>
      </c>
      <c r="N4096">
        <v>0</v>
      </c>
      <c r="O4096">
        <v>-0.29635309999999998</v>
      </c>
      <c r="P4096">
        <v>-0.89179430000000004</v>
      </c>
      <c r="Q4096">
        <v>-1.015156E-2</v>
      </c>
      <c r="R4096">
        <v>-0.45232709999999998</v>
      </c>
      <c r="S4096">
        <v>-2.3428960000000001</v>
      </c>
      <c r="T4096">
        <v>-0.35224909999999998</v>
      </c>
      <c r="U4096">
        <v>-2.010529</v>
      </c>
      <c r="V4096">
        <v>-0.1677168</v>
      </c>
      <c r="W4096">
        <v>2.1956580000000001E-3</v>
      </c>
      <c r="X4096">
        <v>0.98583279999999995</v>
      </c>
      <c r="Y4096">
        <v>-0.39639059999999998</v>
      </c>
      <c r="Z4096">
        <v>1.125876E-2</v>
      </c>
      <c r="AA4096">
        <v>0.91801290000000002</v>
      </c>
      <c r="AB4096">
        <v>23</v>
      </c>
      <c r="AC4096">
        <v>-7.2938999999999998</v>
      </c>
      <c r="AD4096">
        <v>-1.113951563534</v>
      </c>
      <c r="AE4096">
        <v>-6.3189999999999502</v>
      </c>
      <c r="AF4096">
        <v>-3.8223733529811299</v>
      </c>
      <c r="AG4096">
        <v>-1.113951563534</v>
      </c>
      <c r="AH4096">
        <v>8.7227953422603193</v>
      </c>
      <c r="AI4096">
        <v>96.671474705570802</v>
      </c>
      <c r="AJ4096">
        <v>113.66327754344</v>
      </c>
      <c r="AK4096">
        <v>9.5884610192897206</v>
      </c>
      <c r="AL4096">
        <v>89.874197965754803</v>
      </c>
      <c r="AM4096">
        <v>99.655118658097606</v>
      </c>
      <c r="AN4096">
        <v>1.0000000277360599</v>
      </c>
    </row>
    <row r="4097" spans="1:40" x14ac:dyDescent="0.25">
      <c r="A4097" t="str">
        <f>"20190312150737190"</f>
        <v>20190312150737190</v>
      </c>
      <c r="B4097" t="str">
        <f>"1552374457184163"</f>
        <v>1552374457184163</v>
      </c>
      <c r="C4097" t="s">
        <v>40</v>
      </c>
      <c r="D4097">
        <v>4.3696440000000001</v>
      </c>
      <c r="E4097">
        <v>0.40874929999999998</v>
      </c>
      <c r="F4097" t="s">
        <v>61</v>
      </c>
      <c r="G4097">
        <v>-484.2278</v>
      </c>
      <c r="H4097" s="1">
        <v>1.435858E-6</v>
      </c>
      <c r="I4097">
        <v>275.6189</v>
      </c>
      <c r="J4097">
        <v>-477.00259999999997</v>
      </c>
      <c r="K4097">
        <v>1.1139889999999999</v>
      </c>
      <c r="L4097">
        <v>281.92910000000001</v>
      </c>
      <c r="M4097">
        <v>-0.9539086</v>
      </c>
      <c r="N4097">
        <v>0</v>
      </c>
      <c r="O4097">
        <v>-0.29977229999999999</v>
      </c>
      <c r="P4097">
        <v>-0.89010290000000003</v>
      </c>
      <c r="Q4097">
        <v>-1.0288149999999999E-2</v>
      </c>
      <c r="R4097">
        <v>-0.45564389999999999</v>
      </c>
      <c r="S4097">
        <v>-2.3366389999999999</v>
      </c>
      <c r="T4097">
        <v>-0.35356369999999998</v>
      </c>
      <c r="U4097">
        <v>-2.0176090000000002</v>
      </c>
      <c r="V4097">
        <v>-0.16785410000000001</v>
      </c>
      <c r="W4097">
        <v>2.0464099999999998E-3</v>
      </c>
      <c r="X4097">
        <v>0.98580970000000001</v>
      </c>
      <c r="Y4097">
        <v>-0.39592929999999998</v>
      </c>
      <c r="Z4097">
        <v>1.1744839999999999E-2</v>
      </c>
      <c r="AA4097">
        <v>0.91820590000000002</v>
      </c>
      <c r="AB4097">
        <v>23</v>
      </c>
      <c r="AC4097">
        <v>-7.2252000000000196</v>
      </c>
      <c r="AD4097">
        <v>-1.1139875641419901</v>
      </c>
      <c r="AE4097">
        <v>-6.3102</v>
      </c>
      <c r="AF4097">
        <v>-3.8025356477248802</v>
      </c>
      <c r="AG4097">
        <v>-1.1139875641419901</v>
      </c>
      <c r="AH4097">
        <v>8.6677703460784805</v>
      </c>
      <c r="AI4097">
        <v>96.712450007084598</v>
      </c>
      <c r="AJ4097">
        <v>113.686977076936</v>
      </c>
      <c r="AK4097">
        <v>9.5305030516567708</v>
      </c>
      <c r="AL4097">
        <v>89.882749259154096</v>
      </c>
      <c r="AM4097">
        <v>99.663095933931402</v>
      </c>
      <c r="AN4097">
        <v>0.99999997564739296</v>
      </c>
    </row>
    <row r="4098" spans="1:40" x14ac:dyDescent="0.25">
      <c r="A4098" t="str">
        <f>"20190312150737202"</f>
        <v>20190312150737202</v>
      </c>
      <c r="B4098" t="str">
        <f>"1552374457193922"</f>
        <v>1552374457193922</v>
      </c>
      <c r="C4098" t="s">
        <v>40</v>
      </c>
      <c r="D4098">
        <v>4.3334820000000001</v>
      </c>
      <c r="E4098">
        <v>0.40872960000000003</v>
      </c>
      <c r="F4098" t="s">
        <v>61</v>
      </c>
      <c r="G4098">
        <v>-484.38229999999999</v>
      </c>
      <c r="H4098" s="1">
        <v>1.429621E-6</v>
      </c>
      <c r="I4098">
        <v>275.50569999999999</v>
      </c>
      <c r="J4098">
        <v>-477.13069999999999</v>
      </c>
      <c r="K4098">
        <v>1.1140239999999999</v>
      </c>
      <c r="L4098">
        <v>281.88499999999999</v>
      </c>
      <c r="M4098">
        <v>-0.95288379999999995</v>
      </c>
      <c r="N4098">
        <v>0</v>
      </c>
      <c r="O4098">
        <v>-0.30301409999999901</v>
      </c>
      <c r="P4098">
        <v>-0.88854650000000002</v>
      </c>
      <c r="Q4098">
        <v>-1.049101E-2</v>
      </c>
      <c r="R4098">
        <v>-0.45866709999999999</v>
      </c>
      <c r="S4098">
        <v>-2.328735</v>
      </c>
      <c r="T4098">
        <v>-0.35152879999999997</v>
      </c>
      <c r="U4098">
        <v>-2.0269780000000002</v>
      </c>
      <c r="V4098">
        <v>-0.16785320000000001</v>
      </c>
      <c r="W4098">
        <v>1.8327860000000001E-3</v>
      </c>
      <c r="X4098">
        <v>0.98581030000000003</v>
      </c>
      <c r="Y4098">
        <v>-0.39647510000000002</v>
      </c>
      <c r="Z4098">
        <v>1.203539E-2</v>
      </c>
      <c r="AA4098">
        <v>0.91796650000000002</v>
      </c>
      <c r="AB4098">
        <v>23</v>
      </c>
      <c r="AC4098">
        <v>-7.2515999999999901</v>
      </c>
      <c r="AD4098">
        <v>-1.1140225703790001</v>
      </c>
      <c r="AE4098">
        <v>-6.3792999999999997</v>
      </c>
      <c r="AF4098">
        <v>-3.83080648286461</v>
      </c>
      <c r="AG4098">
        <v>-1.1140225703790001</v>
      </c>
      <c r="AH4098">
        <v>8.7276955629172903</v>
      </c>
      <c r="AI4098">
        <v>96.666433567008397</v>
      </c>
      <c r="AJ4098">
        <v>113.697886271511</v>
      </c>
      <c r="AK4098">
        <v>9.5962906602206193</v>
      </c>
      <c r="AL4098">
        <v>89.894989038839398</v>
      </c>
      <c r="AM4098">
        <v>99.663039328855902</v>
      </c>
      <c r="AN4098">
        <v>1.00000000172042</v>
      </c>
    </row>
    <row r="4099" spans="1:40" x14ac:dyDescent="0.25">
      <c r="A4099" t="str">
        <f>"20190312150737219"</f>
        <v>20190312150737219</v>
      </c>
      <c r="B4099" t="str">
        <f>"1552374457214418"</f>
        <v>1552374457214418</v>
      </c>
      <c r="C4099" t="s">
        <v>40</v>
      </c>
      <c r="D4099">
        <v>4.3569000000000004</v>
      </c>
      <c r="E4099">
        <v>0.40875030000000001</v>
      </c>
      <c r="F4099" t="s">
        <v>61</v>
      </c>
      <c r="G4099">
        <v>-484.4434</v>
      </c>
      <c r="H4099" s="1">
        <v>1.4299639999999999E-6</v>
      </c>
      <c r="I4099">
        <v>275.4769</v>
      </c>
      <c r="J4099">
        <v>-477.28519999999997</v>
      </c>
      <c r="K4099">
        <v>1.114063</v>
      </c>
      <c r="L4099">
        <v>281.83100000000002</v>
      </c>
      <c r="M4099">
        <v>-0.95161220000000002</v>
      </c>
      <c r="N4099">
        <v>0</v>
      </c>
      <c r="O4099">
        <v>-0.30698360000000002</v>
      </c>
      <c r="P4099">
        <v>-0.8865693</v>
      </c>
      <c r="Q4099">
        <v>-1.1185230000000001E-2</v>
      </c>
      <c r="R4099">
        <v>-0.4624605</v>
      </c>
      <c r="S4099">
        <v>-2.321869</v>
      </c>
      <c r="T4099">
        <v>-0.35371570000000002</v>
      </c>
      <c r="U4099">
        <v>-2.0346679999999999</v>
      </c>
      <c r="V4099">
        <v>-0.16795360000000001</v>
      </c>
      <c r="W4099">
        <v>1.125161E-3</v>
      </c>
      <c r="X4099">
        <v>0.98579419999999995</v>
      </c>
      <c r="Y4099">
        <v>-0.39573370000000002</v>
      </c>
      <c r="Z4099">
        <v>1.263911E-2</v>
      </c>
      <c r="AA4099">
        <v>0.91827829999999999</v>
      </c>
      <c r="AB4099">
        <v>23</v>
      </c>
      <c r="AC4099">
        <v>-7.1582000000000203</v>
      </c>
      <c r="AD4099">
        <v>-1.1140615700359999</v>
      </c>
      <c r="AE4099">
        <v>-6.3540999999999599</v>
      </c>
      <c r="AF4099">
        <v>-3.7981106230185602</v>
      </c>
      <c r="AG4099">
        <v>-1.1140615700359999</v>
      </c>
      <c r="AH4099">
        <v>8.6461580856693097</v>
      </c>
      <c r="AI4099">
        <v>96.728082930740797</v>
      </c>
      <c r="AJ4099">
        <v>113.71506961131099</v>
      </c>
      <c r="AK4099">
        <v>9.5090918140957292</v>
      </c>
      <c r="AL4099">
        <v>89.935533006037204</v>
      </c>
      <c r="AM4099">
        <v>99.668865050944405</v>
      </c>
      <c r="AN4099">
        <v>0.99999994124693603</v>
      </c>
    </row>
    <row r="4100" spans="1:40" x14ac:dyDescent="0.25">
      <c r="A4100" t="str">
        <f>"20190312150737232"</f>
        <v>20190312150737232</v>
      </c>
      <c r="B4100" t="str">
        <f>"1552374457224178"</f>
        <v>1552374457224178</v>
      </c>
      <c r="C4100" t="s">
        <v>40</v>
      </c>
      <c r="D4100">
        <v>4.3609580000000001</v>
      </c>
      <c r="E4100">
        <v>0.40874860000000002</v>
      </c>
      <c r="F4100" t="s">
        <v>61</v>
      </c>
      <c r="G4100">
        <v>-484.5532</v>
      </c>
      <c r="H4100" s="1">
        <v>1.427689E-6</v>
      </c>
      <c r="I4100">
        <v>275.40870000000001</v>
      </c>
      <c r="J4100">
        <v>-477.41629999999998</v>
      </c>
      <c r="K4100">
        <v>1.114096</v>
      </c>
      <c r="L4100">
        <v>281.78440000000001</v>
      </c>
      <c r="M4100">
        <v>-0.95050469999999998</v>
      </c>
      <c r="N4100">
        <v>0</v>
      </c>
      <c r="O4100">
        <v>-0.31039600000000001</v>
      </c>
      <c r="P4100">
        <v>-0.88468539999999996</v>
      </c>
      <c r="Q4100">
        <v>-1.1479990000000001E-2</v>
      </c>
      <c r="R4100">
        <v>-0.46604760000000001</v>
      </c>
      <c r="S4100">
        <v>-2.3131710000000001</v>
      </c>
      <c r="T4100">
        <v>-0.35456969999999999</v>
      </c>
      <c r="U4100">
        <v>-2.044006</v>
      </c>
      <c r="V4100">
        <v>-0.16840759999999999</v>
      </c>
      <c r="W4100">
        <v>8.1473959999999997E-4</v>
      </c>
      <c r="X4100">
        <v>0.98571710000000001</v>
      </c>
      <c r="Y4100">
        <v>-0.39624690000000001</v>
      </c>
      <c r="Z4100">
        <v>1.3055890000000001E-2</v>
      </c>
      <c r="AA4100">
        <v>0.91805110000000001</v>
      </c>
      <c r="AB4100">
        <v>23</v>
      </c>
      <c r="AC4100">
        <v>-7.1369000000000202</v>
      </c>
      <c r="AD4100">
        <v>-1.1140945723109901</v>
      </c>
      <c r="AE4100">
        <v>-6.3756999999999904</v>
      </c>
      <c r="AF4100">
        <v>-3.7938268584320101</v>
      </c>
      <c r="AG4100">
        <v>-1.1140945723109901</v>
      </c>
      <c r="AH4100">
        <v>8.6463243175685705</v>
      </c>
      <c r="AI4100">
        <v>96.729388805536601</v>
      </c>
      <c r="AJ4100">
        <v>113.69086441148301</v>
      </c>
      <c r="AK4100">
        <v>9.5075366500682303</v>
      </c>
      <c r="AL4100">
        <v>89.9533188539978</v>
      </c>
      <c r="AM4100">
        <v>99.695249773483397</v>
      </c>
      <c r="AN4100">
        <v>0.99999999238539194</v>
      </c>
    </row>
    <row r="4101" spans="1:40" x14ac:dyDescent="0.25">
      <c r="A4101" t="str">
        <f>"20190312150737245"</f>
        <v>20190312150737245</v>
      </c>
      <c r="B4101" t="str">
        <f>"1552374457233939"</f>
        <v>1552374457233939</v>
      </c>
      <c r="C4101" t="s">
        <v>40</v>
      </c>
      <c r="D4101">
        <v>4.3709110000000004</v>
      </c>
      <c r="E4101">
        <v>0.40873660000000001</v>
      </c>
      <c r="F4101" t="s">
        <v>61</v>
      </c>
      <c r="G4101">
        <v>-484.58850000000001</v>
      </c>
      <c r="H4101" s="1">
        <v>1.428249E-6</v>
      </c>
      <c r="I4101">
        <v>275.39409999999998</v>
      </c>
      <c r="J4101">
        <v>-477.53809999999999</v>
      </c>
      <c r="K4101">
        <v>1.1141299999999901</v>
      </c>
      <c r="L4101">
        <v>281.74090000000001</v>
      </c>
      <c r="M4101">
        <v>-0.94945590000000002</v>
      </c>
      <c r="N4101">
        <v>0</v>
      </c>
      <c r="O4101">
        <v>-0.31358909999999901</v>
      </c>
      <c r="P4101">
        <v>-0.88302839999999905</v>
      </c>
      <c r="Q4101">
        <v>-1.1769E-2</v>
      </c>
      <c r="R4101">
        <v>-0.46917199999999998</v>
      </c>
      <c r="S4101">
        <v>-2.3046570000000002</v>
      </c>
      <c r="T4101">
        <v>-0.35799609999999998</v>
      </c>
      <c r="U4101">
        <v>-2.053436</v>
      </c>
      <c r="V4101">
        <v>-0.168577799999999</v>
      </c>
      <c r="W4101">
        <v>5.1385560000000001E-4</v>
      </c>
      <c r="X4101">
        <v>0.98568820000000001</v>
      </c>
      <c r="Y4101">
        <v>-0.39694279999999998</v>
      </c>
      <c r="Z4101">
        <v>1.3532270000000001E-2</v>
      </c>
      <c r="AA4101">
        <v>0.91774359999999999</v>
      </c>
      <c r="AB4101">
        <v>23</v>
      </c>
      <c r="AC4101">
        <v>-7.0504000000000202</v>
      </c>
      <c r="AD4101">
        <v>-1.1141285717510001</v>
      </c>
      <c r="AE4101">
        <v>-6.3468000000000302</v>
      </c>
      <c r="AF4101">
        <v>-3.7635382613666901</v>
      </c>
      <c r="AG4101">
        <v>-1.1141285717510001</v>
      </c>
      <c r="AH4101">
        <v>8.5670100770165192</v>
      </c>
      <c r="AI4101">
        <v>96.790011835992402</v>
      </c>
      <c r="AJ4101">
        <v>113.716168497175</v>
      </c>
      <c r="AK4101">
        <v>9.4233308537303007</v>
      </c>
      <c r="AL4101">
        <v>89.970558241049304</v>
      </c>
      <c r="AM4101">
        <v>99.705141094277593</v>
      </c>
      <c r="AN4101">
        <v>0.99999998315982797</v>
      </c>
    </row>
    <row r="4102" spans="1:40" x14ac:dyDescent="0.25">
      <c r="A4102" t="str">
        <f>"20190312150737258"</f>
        <v>20190312150737258</v>
      </c>
      <c r="B4102" t="str">
        <f>"1552374457254435"</f>
        <v>1552374457254435</v>
      </c>
      <c r="C4102" t="s">
        <v>40</v>
      </c>
      <c r="D4102">
        <v>4.350848</v>
      </c>
      <c r="E4102">
        <v>0.40883409999999998</v>
      </c>
      <c r="F4102" t="s">
        <v>61</v>
      </c>
      <c r="G4102">
        <v>-484.64249999999998</v>
      </c>
      <c r="H4102" s="1">
        <v>1.4278089999999999E-6</v>
      </c>
      <c r="I4102">
        <v>275.36439999999999</v>
      </c>
      <c r="J4102">
        <v>-477.666</v>
      </c>
      <c r="K4102">
        <v>1.114166</v>
      </c>
      <c r="L4102">
        <v>281.69439999999997</v>
      </c>
      <c r="M4102">
        <v>-0.94832269999999996</v>
      </c>
      <c r="N4102">
        <v>0</v>
      </c>
      <c r="O4102">
        <v>-0.31699880000000003</v>
      </c>
      <c r="P4102">
        <v>-0.88109680000000001</v>
      </c>
      <c r="Q4102">
        <v>-1.217213E-2</v>
      </c>
      <c r="R4102">
        <v>-0.47277950000000002</v>
      </c>
      <c r="S4102">
        <v>-2.2971499999999998</v>
      </c>
      <c r="T4102">
        <v>-0.36024390000000001</v>
      </c>
      <c r="U4102">
        <v>-2.061798</v>
      </c>
      <c r="V4102">
        <v>-0.1690652</v>
      </c>
      <c r="W4102" s="1">
        <v>9.5007009999999994E-5</v>
      </c>
      <c r="X4102">
        <v>0.98560490000000001</v>
      </c>
      <c r="Y4102">
        <v>-0.39699879999999999</v>
      </c>
      <c r="Z4102">
        <v>1.4036949999999999E-2</v>
      </c>
      <c r="AA4102">
        <v>0.91771179999999997</v>
      </c>
      <c r="AB4102">
        <v>23</v>
      </c>
      <c r="AC4102">
        <v>-6.9764999999999802</v>
      </c>
      <c r="AD4102">
        <v>-1.1141645721910001</v>
      </c>
      <c r="AE4102">
        <v>-6.3299999999999796</v>
      </c>
      <c r="AF4102">
        <v>-3.7394024798808099</v>
      </c>
      <c r="AG4102">
        <v>-1.1141645721910001</v>
      </c>
      <c r="AH4102">
        <v>8.5044538991697305</v>
      </c>
      <c r="AI4102">
        <v>96.838722954821804</v>
      </c>
      <c r="AJ4102">
        <v>113.73505884459</v>
      </c>
      <c r="AK4102">
        <v>9.3568279733875404</v>
      </c>
      <c r="AL4102">
        <v>89.994556499484503</v>
      </c>
      <c r="AM4102">
        <v>99.733471968672404</v>
      </c>
      <c r="AN4102">
        <v>1.0000000348906899</v>
      </c>
    </row>
    <row r="4103" spans="1:40" x14ac:dyDescent="0.25">
      <c r="A4103" t="str">
        <f>"20190312150737272"</f>
        <v>20190312150737272</v>
      </c>
      <c r="B4103" t="str">
        <f>"1552374457264195"</f>
        <v>1552374457264195</v>
      </c>
      <c r="C4103" t="s">
        <v>40</v>
      </c>
      <c r="D4103">
        <v>4.3578739999999998</v>
      </c>
      <c r="E4103">
        <v>0.40890320000000002</v>
      </c>
      <c r="F4103" t="s">
        <v>61</v>
      </c>
      <c r="G4103">
        <v>-484.75150000000002</v>
      </c>
      <c r="H4103" s="1">
        <v>1.4238949999999999E-6</v>
      </c>
      <c r="I4103">
        <v>275.28730000000002</v>
      </c>
      <c r="J4103">
        <v>-477.78769999999997</v>
      </c>
      <c r="K4103">
        <v>1.114193</v>
      </c>
      <c r="L4103">
        <v>281.6497</v>
      </c>
      <c r="M4103">
        <v>-0.9472235</v>
      </c>
      <c r="N4103">
        <v>0</v>
      </c>
      <c r="O4103">
        <v>-0.32026850000000001</v>
      </c>
      <c r="P4103">
        <v>-0.87932869999999996</v>
      </c>
      <c r="Q4103">
        <v>-1.221645E-2</v>
      </c>
      <c r="R4103">
        <v>-0.47605819999999999</v>
      </c>
      <c r="S4103">
        <v>-2.2891240000000002</v>
      </c>
      <c r="T4103">
        <v>-0.35995969999999999</v>
      </c>
      <c r="U4103">
        <v>-2.0699770000000002</v>
      </c>
      <c r="V4103">
        <v>-0.1693364</v>
      </c>
      <c r="W4103" s="1">
        <v>3.8106689999999998E-5</v>
      </c>
      <c r="X4103">
        <v>0.9855583</v>
      </c>
      <c r="Y4103">
        <v>-0.39725519999999998</v>
      </c>
      <c r="Z4103">
        <v>1.4418449999999999E-2</v>
      </c>
      <c r="AA4103">
        <v>0.91759489999999999</v>
      </c>
      <c r="AB4103">
        <v>23</v>
      </c>
      <c r="AC4103">
        <v>-6.96380000000004</v>
      </c>
      <c r="AD4103">
        <v>-1.1141915761049901</v>
      </c>
      <c r="AE4103">
        <v>-6.3623999999999796</v>
      </c>
      <c r="AF4103">
        <v>-3.7444559010024001</v>
      </c>
      <c r="AG4103">
        <v>-1.1141915761049901</v>
      </c>
      <c r="AH4103">
        <v>8.51597683141914</v>
      </c>
      <c r="AI4103">
        <v>96.829724796234501</v>
      </c>
      <c r="AJ4103">
        <v>113.734984399204</v>
      </c>
      <c r="AK4103">
        <v>9.3693241088182404</v>
      </c>
      <c r="AL4103">
        <v>89.997816647470003</v>
      </c>
      <c r="AM4103">
        <v>99.749238305303706</v>
      </c>
      <c r="AN4103">
        <v>0.99999999025798503</v>
      </c>
    </row>
    <row r="4104" spans="1:40" x14ac:dyDescent="0.25">
      <c r="A4104" t="str">
        <f>"20190312150737283"</f>
        <v>20190312150737283</v>
      </c>
      <c r="B4104" t="str">
        <f>"1552374457273955"</f>
        <v>1552374457273955</v>
      </c>
      <c r="C4104" t="s">
        <v>40</v>
      </c>
      <c r="D4104">
        <v>4.3408610000000003</v>
      </c>
      <c r="E4104">
        <v>0.4087557</v>
      </c>
      <c r="F4104" t="s">
        <v>61</v>
      </c>
      <c r="G4104">
        <v>-484.84190000000001</v>
      </c>
      <c r="H4104" s="1">
        <v>1.420999E-6</v>
      </c>
      <c r="I4104">
        <v>275.2253</v>
      </c>
      <c r="J4104">
        <v>-477.90300000000002</v>
      </c>
      <c r="K4104">
        <v>1.114225</v>
      </c>
      <c r="L4104">
        <v>281.6071</v>
      </c>
      <c r="M4104">
        <v>-0.94616339999999999</v>
      </c>
      <c r="N4104">
        <v>0</v>
      </c>
      <c r="O4104">
        <v>-0.32338660000000002</v>
      </c>
      <c r="P4104">
        <v>-0.87749900000000003</v>
      </c>
      <c r="Q4104">
        <v>-1.2279099999999999E-2</v>
      </c>
      <c r="R4104">
        <v>-0.47942099999999999</v>
      </c>
      <c r="S4104">
        <v>-2.2816770000000002</v>
      </c>
      <c r="T4104">
        <v>-0.36038399999999998</v>
      </c>
      <c r="U4104">
        <v>-2.0779719999999999</v>
      </c>
      <c r="V4104">
        <v>-0.16986229999999999</v>
      </c>
      <c r="W4104" s="1">
        <v>-3.9460140000000001E-5</v>
      </c>
      <c r="X4104">
        <v>0.9854678</v>
      </c>
      <c r="Y4104">
        <v>-0.39749689999999999</v>
      </c>
      <c r="Z4104">
        <v>1.480915E-2</v>
      </c>
      <c r="AA4104">
        <v>0.91748399999999997</v>
      </c>
      <c r="AB4104">
        <v>23</v>
      </c>
      <c r="AC4104">
        <v>-6.9388999999999896</v>
      </c>
      <c r="AD4104">
        <v>-1.114223579001</v>
      </c>
      <c r="AE4104">
        <v>-6.3817999999999904</v>
      </c>
      <c r="AF4104">
        <v>-3.7423732945349899</v>
      </c>
      <c r="AG4104">
        <v>-1.114223579001</v>
      </c>
      <c r="AH4104">
        <v>8.5110770583616304</v>
      </c>
      <c r="AI4104">
        <v>96.833792835457302</v>
      </c>
      <c r="AJ4104">
        <v>113.735389512278</v>
      </c>
      <c r="AK4104">
        <v>9.3640421161494292</v>
      </c>
      <c r="AL4104">
        <v>90.002260899495795</v>
      </c>
      <c r="AM4104">
        <v>99.779813057217197</v>
      </c>
      <c r="AN4104">
        <v>0.99999999367761605</v>
      </c>
    </row>
    <row r="4105" spans="1:40" x14ac:dyDescent="0.25">
      <c r="A4105" t="str">
        <f>"20190312150737297"</f>
        <v>20190312150737297</v>
      </c>
      <c r="B4105" t="str">
        <f>"1552374457294450"</f>
        <v>1552374457294450</v>
      </c>
      <c r="C4105" t="s">
        <v>40</v>
      </c>
      <c r="D4105">
        <v>4.3385290000000003</v>
      </c>
      <c r="E4105">
        <v>0.3911598</v>
      </c>
      <c r="F4105" t="s">
        <v>61</v>
      </c>
      <c r="G4105">
        <v>-484.9171</v>
      </c>
      <c r="H4105" s="1">
        <v>1.4168590000000001E-6</v>
      </c>
      <c r="I4105">
        <v>275.16390000000001</v>
      </c>
      <c r="J4105">
        <v>-478.02109999999999</v>
      </c>
      <c r="K4105">
        <v>1.1142559999999999</v>
      </c>
      <c r="L4105">
        <v>281.5625</v>
      </c>
      <c r="M4105">
        <v>-0.94504670000000002</v>
      </c>
      <c r="N4105">
        <v>0</v>
      </c>
      <c r="O4105">
        <v>-0.32663619999999999</v>
      </c>
      <c r="P4105">
        <v>-0.87528709999999899</v>
      </c>
      <c r="Q4105">
        <v>-1.239054E-2</v>
      </c>
      <c r="R4105">
        <v>-0.48344540000000003</v>
      </c>
      <c r="S4105">
        <v>-2.27298</v>
      </c>
      <c r="T4105">
        <v>-0.36107339999999999</v>
      </c>
      <c r="U4105">
        <v>-2.087952</v>
      </c>
      <c r="V4105">
        <v>-0.17100029999999999</v>
      </c>
      <c r="W4105">
        <v>-1.7329309999999999E-4</v>
      </c>
      <c r="X4105">
        <v>0.98527100000000001</v>
      </c>
      <c r="Y4105">
        <v>-0.39829029999999999</v>
      </c>
      <c r="Z4105">
        <v>1.519175E-2</v>
      </c>
      <c r="AA4105">
        <v>0.91713359999999999</v>
      </c>
      <c r="AB4105">
        <v>23</v>
      </c>
      <c r="AC4105">
        <v>-6.8960000000000097</v>
      </c>
      <c r="AD4105">
        <v>-1.114254583141</v>
      </c>
      <c r="AE4105">
        <v>-6.3985999999999796</v>
      </c>
      <c r="AF4105">
        <v>-3.7423603210506902</v>
      </c>
      <c r="AG4105">
        <v>-1.114254583141</v>
      </c>
      <c r="AH4105">
        <v>8.4888047083836096</v>
      </c>
      <c r="AI4105">
        <v>96.848858447454205</v>
      </c>
      <c r="AJ4105">
        <v>113.79068373883401</v>
      </c>
      <c r="AK4105">
        <v>9.3438016580886991</v>
      </c>
      <c r="AL4105">
        <v>90.009928962920696</v>
      </c>
      <c r="AM4105">
        <v>99.845983465698097</v>
      </c>
      <c r="AN4105">
        <v>1.0000000380357901</v>
      </c>
    </row>
    <row r="4106" spans="1:40" x14ac:dyDescent="0.25">
      <c r="A4106" t="str">
        <f>"20190312150737319"</f>
        <v>20190312150737319</v>
      </c>
      <c r="B4106" t="str">
        <f>"1552374457313970"</f>
        <v>1552374457313970</v>
      </c>
      <c r="C4106" t="s">
        <v>40</v>
      </c>
      <c r="D4106">
        <v>4.330997</v>
      </c>
      <c r="E4106">
        <v>0.39128259999999998</v>
      </c>
      <c r="F4106" t="s">
        <v>41</v>
      </c>
      <c r="G4106">
        <v>-478.72719999999998</v>
      </c>
      <c r="H4106">
        <v>0.98087139999999995</v>
      </c>
      <c r="I4106">
        <v>280.84730000000002</v>
      </c>
      <c r="J4106">
        <v>-478.233</v>
      </c>
      <c r="K4106">
        <v>1.1143110000000001</v>
      </c>
      <c r="L4106">
        <v>281.48169999999999</v>
      </c>
      <c r="M4106">
        <v>-0.94298839999999995</v>
      </c>
      <c r="N4106">
        <v>0</v>
      </c>
      <c r="O4106">
        <v>-0.33253110000000002</v>
      </c>
      <c r="P4106">
        <v>-0.87154940000000003</v>
      </c>
      <c r="Q4106">
        <v>-1.2730139999999999E-2</v>
      </c>
      <c r="R4106">
        <v>-0.49014259999999898</v>
      </c>
      <c r="S4106">
        <v>-2.1939389999999999</v>
      </c>
      <c r="T4106">
        <v>-0.41437849999999998</v>
      </c>
      <c r="U4106">
        <v>-2.2225649999999999</v>
      </c>
      <c r="V4106">
        <v>-0.17240059999999999</v>
      </c>
      <c r="W4106">
        <v>-5.4660699999999995E-4</v>
      </c>
      <c r="X4106">
        <v>0.98502679999999998</v>
      </c>
      <c r="Y4106">
        <v>-0.43660549999999998</v>
      </c>
      <c r="Z4106">
        <v>1.5296570000000001E-2</v>
      </c>
      <c r="AA4106">
        <v>0.89952299999999996</v>
      </c>
      <c r="AB4106">
        <v>23</v>
      </c>
      <c r="AC4106">
        <v>-0.49419999999997699</v>
      </c>
      <c r="AD4106">
        <v>-0.13343959999999999</v>
      </c>
      <c r="AE4106">
        <v>-0.63439999999997099</v>
      </c>
      <c r="AF4106">
        <v>-0.422309632456002</v>
      </c>
      <c r="AG4106">
        <v>-0.13343959999999999</v>
      </c>
      <c r="AH4106">
        <v>0.65890662637993402</v>
      </c>
      <c r="AI4106">
        <v>99.676019737159706</v>
      </c>
      <c r="AJ4106">
        <v>122.656819622726</v>
      </c>
      <c r="AK4106">
        <v>0.79392033277947405</v>
      </c>
      <c r="AL4106">
        <v>90.031318274735</v>
      </c>
      <c r="AM4106">
        <v>99.927425627220899</v>
      </c>
      <c r="AN4106">
        <v>1.0000000311888999</v>
      </c>
    </row>
    <row r="4107" spans="1:40" x14ac:dyDescent="0.25">
      <c r="A4107" t="str">
        <f>"20190312150737330"</f>
        <v>20190312150737330</v>
      </c>
      <c r="B4107" t="str">
        <f>"1552374457323730"</f>
        <v>1552374457323730</v>
      </c>
      <c r="C4107" t="s">
        <v>40</v>
      </c>
      <c r="D4107">
        <v>4.3822260000000002</v>
      </c>
      <c r="E4107">
        <v>0.39177709999999999</v>
      </c>
      <c r="F4107" t="s">
        <v>61</v>
      </c>
      <c r="G4107">
        <v>-484.23180000000002</v>
      </c>
      <c r="H4107" s="1">
        <v>1.3832810000000001E-6</v>
      </c>
      <c r="I4107">
        <v>275.3184</v>
      </c>
      <c r="J4107">
        <v>-478.34</v>
      </c>
      <c r="K4107">
        <v>1.1143400000000001</v>
      </c>
      <c r="L4107">
        <v>281.44029999999998</v>
      </c>
      <c r="M4107">
        <v>-0.94191860000000005</v>
      </c>
      <c r="N4107">
        <v>0</v>
      </c>
      <c r="O4107">
        <v>-0.33554909999999999</v>
      </c>
      <c r="P4107">
        <v>-0.86962600000000001</v>
      </c>
      <c r="Q4107">
        <v>-1.302208E-2</v>
      </c>
      <c r="R4107">
        <v>-0.49353950000000002</v>
      </c>
      <c r="S4107">
        <v>-2.1778559999999998</v>
      </c>
      <c r="T4107">
        <v>-0.40455010000000002</v>
      </c>
      <c r="U4107">
        <v>-2.2376100000000001</v>
      </c>
      <c r="V4107">
        <v>-0.17308860000000001</v>
      </c>
      <c r="W4107">
        <v>-8.5551729999999997E-4</v>
      </c>
      <c r="X4107">
        <v>0.9849059</v>
      </c>
      <c r="Y4107">
        <v>-0.44010100000000002</v>
      </c>
      <c r="Z4107">
        <v>1.511149E-2</v>
      </c>
      <c r="AA4107">
        <v>0.89782109999999904</v>
      </c>
      <c r="AB4107">
        <v>23</v>
      </c>
      <c r="AC4107">
        <v>-5.8918000000000399</v>
      </c>
      <c r="AD4107">
        <v>-1.1143386167189999</v>
      </c>
      <c r="AE4107">
        <v>-6.1218999999999797</v>
      </c>
      <c r="AF4107">
        <v>-3.7256307383064899</v>
      </c>
      <c r="AG4107">
        <v>-1.1143386167189999</v>
      </c>
      <c r="AH4107">
        <v>7.4759467922989797</v>
      </c>
      <c r="AI4107">
        <v>97.598857403138695</v>
      </c>
      <c r="AJ4107">
        <v>116.48932574597799</v>
      </c>
      <c r="AK4107">
        <v>8.4268532319134906</v>
      </c>
      <c r="AL4107">
        <v>90.049017535902806</v>
      </c>
      <c r="AM4107">
        <v>99.967449138867806</v>
      </c>
      <c r="AN4107">
        <v>1.0000000136073099</v>
      </c>
    </row>
    <row r="4108" spans="1:40" x14ac:dyDescent="0.25">
      <c r="A4108" t="str">
        <f>"20190312150737341"</f>
        <v>20190312150737341</v>
      </c>
      <c r="B4108" t="str">
        <f>"1552374457334467"</f>
        <v>1552374457334467</v>
      </c>
      <c r="C4108" t="s">
        <v>40</v>
      </c>
      <c r="D4108">
        <v>4.3429949999999904</v>
      </c>
      <c r="E4108">
        <v>0.39178790000000002</v>
      </c>
      <c r="F4108" t="s">
        <v>41</v>
      </c>
      <c r="G4108">
        <v>-479.01440000000002</v>
      </c>
      <c r="H4108">
        <v>0.98674360000000005</v>
      </c>
      <c r="I4108">
        <v>280.7439</v>
      </c>
      <c r="J4108">
        <v>-478.44510000000002</v>
      </c>
      <c r="K4108">
        <v>1.1143689999999999</v>
      </c>
      <c r="L4108">
        <v>281.39920000000001</v>
      </c>
      <c r="M4108">
        <v>-0.94084809999999996</v>
      </c>
      <c r="N4108">
        <v>0</v>
      </c>
      <c r="O4108">
        <v>-0.33853919999999998</v>
      </c>
      <c r="P4108">
        <v>-0.86758009999999997</v>
      </c>
      <c r="Q4108">
        <v>-1.3559140000000001E-2</v>
      </c>
      <c r="R4108">
        <v>-0.49711260000000002</v>
      </c>
      <c r="S4108">
        <v>-2.1709589999999999</v>
      </c>
      <c r="T4108">
        <v>-0.41074509999999997</v>
      </c>
      <c r="U4108">
        <v>-2.2424010000000001</v>
      </c>
      <c r="V4108">
        <v>-0.17400940000000001</v>
      </c>
      <c r="W4108">
        <v>-1.4122869999999999E-3</v>
      </c>
      <c r="X4108">
        <v>0.98474300000000003</v>
      </c>
      <c r="Y4108">
        <v>-0.43963020000000003</v>
      </c>
      <c r="Z4108">
        <v>1.5805639999999999E-2</v>
      </c>
      <c r="AA4108">
        <v>0.89803980000000005</v>
      </c>
      <c r="AB4108">
        <v>23</v>
      </c>
      <c r="AC4108">
        <v>-0.56929999999999803</v>
      </c>
      <c r="AD4108">
        <v>-0.1276254</v>
      </c>
      <c r="AE4108">
        <v>-0.65530000000001098</v>
      </c>
      <c r="AF4108">
        <v>-0.41488080433274599</v>
      </c>
      <c r="AG4108">
        <v>-0.1276254</v>
      </c>
      <c r="AH4108">
        <v>0.74151509784592995</v>
      </c>
      <c r="AI4108">
        <v>98.542115497685003</v>
      </c>
      <c r="AJ4108">
        <v>119.22719584470801</v>
      </c>
      <c r="AK4108">
        <v>0.85921997466446598</v>
      </c>
      <c r="AL4108">
        <v>90.080918109765506</v>
      </c>
      <c r="AM4108">
        <v>100.021026357224</v>
      </c>
      <c r="AN4108">
        <v>1.0000000209459601</v>
      </c>
    </row>
    <row r="4109" spans="1:40" x14ac:dyDescent="0.25">
      <c r="A4109" t="str">
        <f>"20190312150737353"</f>
        <v>20190312150737353</v>
      </c>
      <c r="B4109" t="str">
        <f>"1552374457344226"</f>
        <v>1552374457344226</v>
      </c>
      <c r="C4109" t="s">
        <v>40</v>
      </c>
      <c r="D4109">
        <v>4.3375329999999996</v>
      </c>
      <c r="E4109">
        <v>0.39195469999999999</v>
      </c>
      <c r="F4109" t="s">
        <v>61</v>
      </c>
      <c r="G4109">
        <v>-484.28879999999998</v>
      </c>
      <c r="H4109" s="1">
        <v>1.3872850000000001E-6</v>
      </c>
      <c r="I4109">
        <v>275.31240000000003</v>
      </c>
      <c r="J4109">
        <v>-478.54539999999997</v>
      </c>
      <c r="K4109">
        <v>1.1143959999999999</v>
      </c>
      <c r="L4109">
        <v>281.35950000000003</v>
      </c>
      <c r="M4109">
        <v>-0.93980459999999999</v>
      </c>
      <c r="N4109">
        <v>0</v>
      </c>
      <c r="O4109">
        <v>-0.34142470000000003</v>
      </c>
      <c r="P4109">
        <v>-0.86575550000000001</v>
      </c>
      <c r="Q4109">
        <v>-1.388143E-2</v>
      </c>
      <c r="R4109">
        <v>-0.50027449999999996</v>
      </c>
      <c r="S4109">
        <v>-2.161438</v>
      </c>
      <c r="T4109">
        <v>-0.4121802</v>
      </c>
      <c r="U4109">
        <v>-2.2513730000000001</v>
      </c>
      <c r="V4109">
        <v>-0.17457839999999999</v>
      </c>
      <c r="W4109">
        <v>-1.749275E-3</v>
      </c>
      <c r="X4109">
        <v>0.98464169999999995</v>
      </c>
      <c r="Y4109">
        <v>-0.44064510000000001</v>
      </c>
      <c r="Z4109">
        <v>1.6198529999999999E-2</v>
      </c>
      <c r="AA4109">
        <v>0.89753530000000004</v>
      </c>
      <c r="AB4109">
        <v>23</v>
      </c>
      <c r="AC4109">
        <v>-5.7434000000000003</v>
      </c>
      <c r="AD4109">
        <v>-1.114394612715</v>
      </c>
      <c r="AE4109">
        <v>-6.0471000000000004</v>
      </c>
      <c r="AF4109">
        <v>-3.6572204893526998</v>
      </c>
      <c r="AG4109">
        <v>-1.114394612715</v>
      </c>
      <c r="AH4109">
        <v>7.3321225394567504</v>
      </c>
      <c r="AI4109">
        <v>97.745145415143497</v>
      </c>
      <c r="AJ4109">
        <v>116.509756556242</v>
      </c>
      <c r="AK4109">
        <v>8.2690481915513896</v>
      </c>
      <c r="AL4109">
        <v>90.100226128073103</v>
      </c>
      <c r="AM4109">
        <v>100.054140304763</v>
      </c>
      <c r="AN4109">
        <v>0.99999997754423697</v>
      </c>
    </row>
    <row r="4110" spans="1:40" x14ac:dyDescent="0.25">
      <c r="A4110" t="str">
        <f>"20190312150737363"</f>
        <v>20190312150737363</v>
      </c>
      <c r="B4110" t="str">
        <f>"1552374457353987"</f>
        <v>1552374457353987</v>
      </c>
      <c r="C4110" t="s">
        <v>40</v>
      </c>
      <c r="D4110">
        <v>4.3506640000000001</v>
      </c>
      <c r="E4110">
        <v>0.39225670000000001</v>
      </c>
      <c r="F4110" t="s">
        <v>41</v>
      </c>
      <c r="G4110">
        <v>-479.21870000000001</v>
      </c>
      <c r="H4110">
        <v>0.98597690000000004</v>
      </c>
      <c r="I4110">
        <v>280.65379999999999</v>
      </c>
      <c r="J4110">
        <v>-478.65039999999999</v>
      </c>
      <c r="K4110">
        <v>1.114425</v>
      </c>
      <c r="L4110">
        <v>281.31779999999998</v>
      </c>
      <c r="M4110">
        <v>-0.93869840000000004</v>
      </c>
      <c r="N4110">
        <v>0</v>
      </c>
      <c r="O4110">
        <v>-0.34445490000000001</v>
      </c>
      <c r="P4110">
        <v>-0.86384249999999996</v>
      </c>
      <c r="Q4110">
        <v>-1.414165E-2</v>
      </c>
      <c r="R4110">
        <v>-0.5035636</v>
      </c>
      <c r="S4110">
        <v>-2.1539609999999998</v>
      </c>
      <c r="T4110">
        <v>-0.41085430000000001</v>
      </c>
      <c r="U4110">
        <v>-2.2577210000000001</v>
      </c>
      <c r="V4110">
        <v>-0.17514540000000001</v>
      </c>
      <c r="W4110">
        <v>-2.0245749999999998E-3</v>
      </c>
      <c r="X4110">
        <v>0.98454050000000004</v>
      </c>
      <c r="Y4110">
        <v>-0.44059340000000002</v>
      </c>
      <c r="Z4110">
        <v>1.658428E-2</v>
      </c>
      <c r="AA4110">
        <v>0.89755359999999995</v>
      </c>
      <c r="AB4110">
        <v>23</v>
      </c>
      <c r="AC4110">
        <v>-0.56830000000002201</v>
      </c>
      <c r="AD4110">
        <v>-0.12844809999999901</v>
      </c>
      <c r="AE4110">
        <v>-0.66399999999998705</v>
      </c>
      <c r="AF4110">
        <v>-0.418543672365082</v>
      </c>
      <c r="AG4110">
        <v>-0.12844809999999901</v>
      </c>
      <c r="AH4110">
        <v>0.74613897844740795</v>
      </c>
      <c r="AI4110">
        <v>98.538702408019105</v>
      </c>
      <c r="AJ4110">
        <v>119.290071551769</v>
      </c>
      <c r="AK4110">
        <v>0.86510178316138098</v>
      </c>
      <c r="AL4110">
        <v>90.115999681694305</v>
      </c>
      <c r="AM4110">
        <v>100.08714045541799</v>
      </c>
      <c r="AN4110">
        <v>1.0000000030926699</v>
      </c>
    </row>
    <row r="4111" spans="1:40" x14ac:dyDescent="0.25">
      <c r="A4111" t="str">
        <f>"20190312150737374"</f>
        <v>20190312150737374</v>
      </c>
      <c r="B4111" t="str">
        <f>"1552374457363747"</f>
        <v>1552374457363747</v>
      </c>
      <c r="C4111" t="s">
        <v>40</v>
      </c>
      <c r="D4111">
        <v>4.3767170000000002</v>
      </c>
      <c r="E4111">
        <v>0.39236559999999998</v>
      </c>
      <c r="F4111" t="s">
        <v>61</v>
      </c>
      <c r="G4111">
        <v>-484.53109999999998</v>
      </c>
      <c r="H4111" s="1">
        <v>1.373904E-6</v>
      </c>
      <c r="I4111">
        <v>275.11439999999999</v>
      </c>
      <c r="J4111">
        <v>-478.74869999999999</v>
      </c>
      <c r="K4111">
        <v>1.114452</v>
      </c>
      <c r="L4111">
        <v>281.27800000000002</v>
      </c>
      <c r="M4111">
        <v>-0.93763430000000003</v>
      </c>
      <c r="N4111">
        <v>0</v>
      </c>
      <c r="O4111">
        <v>-0.34734019999999999</v>
      </c>
      <c r="P4111">
        <v>-0.86203750000000001</v>
      </c>
      <c r="Q4111">
        <v>-1.4620360000000001E-2</v>
      </c>
      <c r="R4111">
        <v>-0.50663340000000001</v>
      </c>
      <c r="S4111">
        <v>-2.1463320000000001</v>
      </c>
      <c r="T4111">
        <v>-0.40673710000000002</v>
      </c>
      <c r="U4111">
        <v>-2.2640989999999999</v>
      </c>
      <c r="V4111">
        <v>-0.17561749999999901</v>
      </c>
      <c r="W4111">
        <v>-2.516716E-3</v>
      </c>
      <c r="X4111">
        <v>0.98445530000000003</v>
      </c>
      <c r="Y4111">
        <v>-0.44072450000000002</v>
      </c>
      <c r="Z4111">
        <v>1.6819919999999999E-2</v>
      </c>
      <c r="AA4111">
        <v>0.89748479999999997</v>
      </c>
      <c r="AB4111">
        <v>23</v>
      </c>
      <c r="AC4111">
        <v>-5.7823999999999902</v>
      </c>
      <c r="AD4111">
        <v>-1.1144506260959901</v>
      </c>
      <c r="AE4111">
        <v>-6.1636000000000299</v>
      </c>
      <c r="AF4111">
        <v>-3.7066600829554801</v>
      </c>
      <c r="AG4111">
        <v>-1.1144506260959901</v>
      </c>
      <c r="AH4111">
        <v>7.4341176430756901</v>
      </c>
      <c r="AI4111">
        <v>97.641108334791596</v>
      </c>
      <c r="AJ4111">
        <v>116.500899689576</v>
      </c>
      <c r="AK4111">
        <v>8.3813742488729499</v>
      </c>
      <c r="AL4111">
        <v>90.1441973516404</v>
      </c>
      <c r="AM4111">
        <v>100.114626756829</v>
      </c>
      <c r="AN4111">
        <v>1.0000000389318799</v>
      </c>
    </row>
    <row r="4112" spans="1:40" x14ac:dyDescent="0.25">
      <c r="A4112" t="str">
        <f>"20190312150737388"</f>
        <v>20190312150737388</v>
      </c>
      <c r="B4112" t="str">
        <f>"1552374457384244"</f>
        <v>1552374457384244</v>
      </c>
      <c r="C4112" t="s">
        <v>40</v>
      </c>
      <c r="D4112">
        <v>4.3433739999999998</v>
      </c>
      <c r="E4112">
        <v>0.39266109999999999</v>
      </c>
      <c r="F4112" t="s">
        <v>41</v>
      </c>
      <c r="G4112">
        <v>-479.42579999999998</v>
      </c>
      <c r="H4112">
        <v>0.98530050000000002</v>
      </c>
      <c r="I4112">
        <v>280.55919999999998</v>
      </c>
      <c r="J4112">
        <v>-478.8689</v>
      </c>
      <c r="K4112">
        <v>1.114479</v>
      </c>
      <c r="L4112">
        <v>281.22910000000002</v>
      </c>
      <c r="M4112">
        <v>-0.93631620000000004</v>
      </c>
      <c r="N4112">
        <v>0</v>
      </c>
      <c r="O4112">
        <v>-0.35087790000000002</v>
      </c>
      <c r="P4112">
        <v>-0.85973029999999995</v>
      </c>
      <c r="Q4112">
        <v>-1.469402E-2</v>
      </c>
      <c r="R4112">
        <v>-0.51053679999999901</v>
      </c>
      <c r="S4112">
        <v>-2.138611</v>
      </c>
      <c r="T4112">
        <v>-0.40798590000000001</v>
      </c>
      <c r="U4112">
        <v>-2.270813</v>
      </c>
      <c r="V4112">
        <v>-0.1763642</v>
      </c>
      <c r="W4112">
        <v>-2.6089339999999998E-3</v>
      </c>
      <c r="X4112">
        <v>0.98432149999999996</v>
      </c>
      <c r="Y4112">
        <v>-0.44030059999999899</v>
      </c>
      <c r="Z4112">
        <v>1.7403950000000001E-2</v>
      </c>
      <c r="AA4112">
        <v>0.89768169999999903</v>
      </c>
      <c r="AB4112">
        <v>23</v>
      </c>
      <c r="AC4112">
        <v>-0.55689999999998396</v>
      </c>
      <c r="AD4112">
        <v>-0.1291785</v>
      </c>
      <c r="AE4112">
        <v>-0.66990000000004102</v>
      </c>
      <c r="AF4112">
        <v>-0.42258482234766798</v>
      </c>
      <c r="AG4112">
        <v>-0.1291785</v>
      </c>
      <c r="AH4112">
        <v>0.74028432218735696</v>
      </c>
      <c r="AI4112">
        <v>98.617345087798896</v>
      </c>
      <c r="AJ4112">
        <v>119.719506852371</v>
      </c>
      <c r="AK4112">
        <v>0.86214029868534403</v>
      </c>
      <c r="AL4112">
        <v>90.149481080320498</v>
      </c>
      <c r="AM4112">
        <v>100.158091073853</v>
      </c>
      <c r="AN4112">
        <v>0.99999997647025196</v>
      </c>
    </row>
    <row r="4113" spans="1:40" x14ac:dyDescent="0.25">
      <c r="A4113" t="str">
        <f>"20190312150737401"</f>
        <v>20190312150737401</v>
      </c>
      <c r="B4113" t="str">
        <f>"1552374457394054"</f>
        <v>1552374457394054</v>
      </c>
      <c r="C4113" t="s">
        <v>40</v>
      </c>
      <c r="D4113">
        <v>4.3678439999999998</v>
      </c>
      <c r="E4113">
        <v>0.39299469999999997</v>
      </c>
      <c r="F4113" t="s">
        <v>41</v>
      </c>
      <c r="G4113">
        <v>-479.55099999999999</v>
      </c>
      <c r="H4113">
        <v>0.98566960000000003</v>
      </c>
      <c r="I4113">
        <v>280.49930000000001</v>
      </c>
      <c r="J4113">
        <v>-478.99740000000003</v>
      </c>
      <c r="K4113">
        <v>1.1145130000000001</v>
      </c>
      <c r="L4113">
        <v>281.17610000000002</v>
      </c>
      <c r="M4113">
        <v>-0.93487169999999997</v>
      </c>
      <c r="N4113">
        <v>0</v>
      </c>
      <c r="O4113">
        <v>-0.35470849999999998</v>
      </c>
      <c r="P4113">
        <v>-0.85727900000000001</v>
      </c>
      <c r="Q4113">
        <v>-1.490524E-2</v>
      </c>
      <c r="R4113">
        <v>-0.5146366</v>
      </c>
      <c r="S4113">
        <v>-2.129791</v>
      </c>
      <c r="T4113">
        <v>-0.40221970000000001</v>
      </c>
      <c r="U4113">
        <v>-2.2781069999999999</v>
      </c>
      <c r="V4113">
        <v>-0.17703339999999901</v>
      </c>
      <c r="W4113">
        <v>-2.8383520000000001E-3</v>
      </c>
      <c r="X4113">
        <v>0.98420079999999999</v>
      </c>
      <c r="Y4113">
        <v>-0.43996429999999997</v>
      </c>
      <c r="Z4113">
        <v>1.7722390000000001E-2</v>
      </c>
      <c r="AA4113">
        <v>0.89784039999999998</v>
      </c>
      <c r="AB4113">
        <v>23</v>
      </c>
      <c r="AC4113">
        <v>-0.55359999999996001</v>
      </c>
      <c r="AD4113">
        <v>-0.128843399999999</v>
      </c>
      <c r="AE4113">
        <v>-0.67680000000001395</v>
      </c>
      <c r="AF4113">
        <v>-0.42712315733835599</v>
      </c>
      <c r="AG4113">
        <v>-0.128843399999999</v>
      </c>
      <c r="AH4113">
        <v>0.74158388409258003</v>
      </c>
      <c r="AI4113">
        <v>98.561833438297398</v>
      </c>
      <c r="AJ4113">
        <v>119.94025082553399</v>
      </c>
      <c r="AK4113">
        <v>0.86543715566416701</v>
      </c>
      <c r="AL4113">
        <v>90.162625800951901</v>
      </c>
      <c r="AM4113">
        <v>100.19705221514999</v>
      </c>
      <c r="AN4113">
        <v>1.00000004783913</v>
      </c>
    </row>
    <row r="4114" spans="1:40" x14ac:dyDescent="0.25">
      <c r="A4114" t="str">
        <f>"20190312150737413"</f>
        <v>20190312150737413</v>
      </c>
      <c r="B4114" t="str">
        <f>"1552374457403815"</f>
        <v>1552374457403815</v>
      </c>
      <c r="C4114" t="s">
        <v>40</v>
      </c>
      <c r="D4114">
        <v>4.406568</v>
      </c>
      <c r="E4114">
        <v>0.39299469999999997</v>
      </c>
      <c r="F4114" t="s">
        <v>61</v>
      </c>
      <c r="G4114">
        <v>-484.88130000000001</v>
      </c>
      <c r="H4114" s="1">
        <v>1.3554660000000001E-6</v>
      </c>
      <c r="I4114">
        <v>274.83330000000001</v>
      </c>
      <c r="J4114">
        <v>-479.10950000000003</v>
      </c>
      <c r="K4114">
        <v>1.1145419999999999</v>
      </c>
      <c r="L4114">
        <v>281.1293</v>
      </c>
      <c r="M4114">
        <v>-0.93358450000000004</v>
      </c>
      <c r="N4114">
        <v>0</v>
      </c>
      <c r="O4114">
        <v>-0.35808269999999998</v>
      </c>
      <c r="P4114">
        <v>-0.85505929999999997</v>
      </c>
      <c r="Q4114">
        <v>-1.556167E-2</v>
      </c>
      <c r="R4114">
        <v>-0.51829740000000002</v>
      </c>
      <c r="S4114">
        <v>-2.1202999999999999</v>
      </c>
      <c r="T4114">
        <v>-0.40162049999999999</v>
      </c>
      <c r="U4114">
        <v>-2.2856450000000001</v>
      </c>
      <c r="V4114">
        <v>-0.17768390000000001</v>
      </c>
      <c r="W4114">
        <v>-3.5108409999999998E-3</v>
      </c>
      <c r="X4114">
        <v>0.98408130000000005</v>
      </c>
      <c r="Y4114">
        <v>-0.4402238</v>
      </c>
      <c r="Z4114">
        <v>1.8154170000000001E-2</v>
      </c>
      <c r="AA4114">
        <v>0.89770450000000002</v>
      </c>
      <c r="AB4114">
        <v>23</v>
      </c>
      <c r="AC4114">
        <v>-5.7717999999999803</v>
      </c>
      <c r="AD4114">
        <v>-1.11454064453399</v>
      </c>
      <c r="AE4114">
        <v>-6.2959999999999896</v>
      </c>
      <c r="AF4114">
        <v>-3.7476291015909502</v>
      </c>
      <c r="AG4114">
        <v>-1.11454064453399</v>
      </c>
      <c r="AH4114">
        <v>7.5157307859764204</v>
      </c>
      <c r="AI4114">
        <v>97.559592066876505</v>
      </c>
      <c r="AJ4114">
        <v>116.502588508062</v>
      </c>
      <c r="AK4114">
        <v>8.4719026185788699</v>
      </c>
      <c r="AL4114">
        <v>90.201156795211105</v>
      </c>
      <c r="AM4114">
        <v>100.234946778658</v>
      </c>
      <c r="AN4114">
        <v>0.99999994966671202</v>
      </c>
    </row>
    <row r="4115" spans="1:40" x14ac:dyDescent="0.25">
      <c r="A4115" t="str">
        <f>"20190312150737428"</f>
        <v>20190312150737428</v>
      </c>
      <c r="B4115" t="str">
        <f>"1552374457424312"</f>
        <v>1552374457424312</v>
      </c>
      <c r="C4115" t="s">
        <v>40</v>
      </c>
      <c r="D4115">
        <v>4.3817649999999997</v>
      </c>
      <c r="E4115">
        <v>0.39341959999999998</v>
      </c>
      <c r="F4115" t="s">
        <v>41</v>
      </c>
      <c r="G4115">
        <v>-479.7749</v>
      </c>
      <c r="H4115">
        <v>0.98714000000000002</v>
      </c>
      <c r="I4115">
        <v>280.40620000000001</v>
      </c>
      <c r="J4115">
        <v>-479.23570000000001</v>
      </c>
      <c r="K4115">
        <v>1.114571</v>
      </c>
      <c r="L4115">
        <v>281.07600000000002</v>
      </c>
      <c r="M4115">
        <v>-0.93210800000000005</v>
      </c>
      <c r="N4115">
        <v>0</v>
      </c>
      <c r="O4115">
        <v>-0.3619076</v>
      </c>
      <c r="P4115">
        <v>-0.85257850000000002</v>
      </c>
      <c r="Q4115">
        <v>-1.5727399999999999E-2</v>
      </c>
      <c r="R4115">
        <v>-0.52236229999999995</v>
      </c>
      <c r="S4115">
        <v>-2.110382</v>
      </c>
      <c r="T4115">
        <v>-0.4040337</v>
      </c>
      <c r="U4115">
        <v>-2.2943419999999999</v>
      </c>
      <c r="V4115">
        <v>-0.17833270000000001</v>
      </c>
      <c r="W4115">
        <v>-3.693282E-3</v>
      </c>
      <c r="X4115">
        <v>0.98396329999999999</v>
      </c>
      <c r="Y4115">
        <v>-0.440357</v>
      </c>
      <c r="Z4115">
        <v>1.8792349999999999E-2</v>
      </c>
      <c r="AA4115">
        <v>0.89762609999999998</v>
      </c>
      <c r="AB4115">
        <v>23</v>
      </c>
      <c r="AC4115">
        <v>-0.53919999999999302</v>
      </c>
      <c r="AD4115">
        <v>-0.12743099999999899</v>
      </c>
      <c r="AE4115">
        <v>-0.66979999999995199</v>
      </c>
      <c r="AF4115">
        <v>-0.420003284429603</v>
      </c>
      <c r="AG4115">
        <v>-0.12743099999999899</v>
      </c>
      <c r="AH4115">
        <v>0.72905970291784405</v>
      </c>
      <c r="AI4115">
        <v>98.612202289160905</v>
      </c>
      <c r="AJ4115">
        <v>119.945771893339</v>
      </c>
      <c r="AK4115">
        <v>0.85098147401180801</v>
      </c>
      <c r="AL4115">
        <v>90.211609955614307</v>
      </c>
      <c r="AM4115">
        <v>100.272730325811</v>
      </c>
      <c r="AN4115">
        <v>0.99999998398405499</v>
      </c>
    </row>
    <row r="4116" spans="1:40" x14ac:dyDescent="0.25">
      <c r="A4116" t="str">
        <f>"20190312150737440"</f>
        <v>20190312150737440</v>
      </c>
      <c r="B4116" t="str">
        <f>"1552374457434071"</f>
        <v>1552374457434071</v>
      </c>
      <c r="C4116" t="s">
        <v>40</v>
      </c>
      <c r="D4116">
        <v>4.3782240000000003</v>
      </c>
      <c r="E4116">
        <v>0.39368330000000001</v>
      </c>
      <c r="F4116" t="s">
        <v>41</v>
      </c>
      <c r="G4116">
        <v>-479.90969999999999</v>
      </c>
      <c r="H4116">
        <v>0.98386079999999998</v>
      </c>
      <c r="I4116">
        <v>280.33789999999999</v>
      </c>
      <c r="J4116">
        <v>-479.36759999999998</v>
      </c>
      <c r="K4116">
        <v>1.1146</v>
      </c>
      <c r="L4116">
        <v>281.0197</v>
      </c>
      <c r="M4116">
        <v>-0.93052800000000002</v>
      </c>
      <c r="N4116">
        <v>0</v>
      </c>
      <c r="O4116">
        <v>-0.36595109999999997</v>
      </c>
      <c r="P4116">
        <v>-0.84997429999999996</v>
      </c>
      <c r="Q4116">
        <v>-1.6100659999999999E-2</v>
      </c>
      <c r="R4116">
        <v>-0.526578199999999</v>
      </c>
      <c r="S4116">
        <v>-2.1010740000000001</v>
      </c>
      <c r="T4116">
        <v>-0.40748640000000003</v>
      </c>
      <c r="U4116">
        <v>-2.3015140000000001</v>
      </c>
      <c r="V4116">
        <v>-0.17893249999999999</v>
      </c>
      <c r="W4116">
        <v>-4.0825389999999996E-3</v>
      </c>
      <c r="X4116">
        <v>0.98385290000000003</v>
      </c>
      <c r="Y4116">
        <v>-0.4398514</v>
      </c>
      <c r="Z4116">
        <v>1.9567169999999998E-2</v>
      </c>
      <c r="AA4116">
        <v>0.89785740000000003</v>
      </c>
      <c r="AB4116">
        <v>23</v>
      </c>
      <c r="AC4116">
        <v>-0.54210000000000402</v>
      </c>
      <c r="AD4116">
        <v>-0.1307392</v>
      </c>
      <c r="AE4116">
        <v>-0.68180000000000895</v>
      </c>
      <c r="AF4116">
        <v>-0.426486934279042</v>
      </c>
      <c r="AG4116">
        <v>-0.1307392</v>
      </c>
      <c r="AH4116">
        <v>0.73740662431418502</v>
      </c>
      <c r="AI4116">
        <v>98.725420838138604</v>
      </c>
      <c r="AJ4116">
        <v>120.04339657657199</v>
      </c>
      <c r="AK4116">
        <v>0.86183082627034002</v>
      </c>
      <c r="AL4116">
        <v>90.233912900022304</v>
      </c>
      <c r="AM4116">
        <v>100.307673783924</v>
      </c>
      <c r="AN4116">
        <v>1.00000001775967</v>
      </c>
    </row>
    <row r="4117" spans="1:40" x14ac:dyDescent="0.25">
      <c r="A4117" t="str">
        <f>"20190312150737453"</f>
        <v>20190312150737453</v>
      </c>
      <c r="B4117" t="str">
        <f>"1552374457443831"</f>
        <v>1552374457443831</v>
      </c>
      <c r="C4117" t="s">
        <v>40</v>
      </c>
      <c r="D4117">
        <v>4.3823369999999997</v>
      </c>
      <c r="E4117">
        <v>0.3939337</v>
      </c>
      <c r="F4117" t="s">
        <v>61</v>
      </c>
      <c r="G4117">
        <v>-485.09809999999999</v>
      </c>
      <c r="H4117" s="1">
        <v>1.3493970000000001E-6</v>
      </c>
      <c r="I4117">
        <v>274.68970000000002</v>
      </c>
      <c r="J4117">
        <v>-479.47280000000001</v>
      </c>
      <c r="K4117">
        <v>1.1146210000000001</v>
      </c>
      <c r="L4117">
        <v>280.97410000000002</v>
      </c>
      <c r="M4117">
        <v>-0.92924030000000002</v>
      </c>
      <c r="N4117">
        <v>0</v>
      </c>
      <c r="O4117">
        <v>-0.3692085</v>
      </c>
      <c r="P4117">
        <v>-0.84752609999999995</v>
      </c>
      <c r="Q4117">
        <v>-1.6631759999999999E-2</v>
      </c>
      <c r="R4117">
        <v>-0.5304934</v>
      </c>
      <c r="S4117">
        <v>-2.0909420000000001</v>
      </c>
      <c r="T4117">
        <v>-0.40669949999999999</v>
      </c>
      <c r="U4117">
        <v>-2.3096920000000001</v>
      </c>
      <c r="V4117">
        <v>-0.1800223</v>
      </c>
      <c r="W4117">
        <v>-4.6338819999999998E-3</v>
      </c>
      <c r="X4117">
        <v>0.98365159999999996</v>
      </c>
      <c r="Y4117">
        <v>-0.44047199999999997</v>
      </c>
      <c r="Z4117">
        <v>1.9952350000000001E-2</v>
      </c>
      <c r="AA4117">
        <v>0.89754460000000003</v>
      </c>
      <c r="AB4117">
        <v>23</v>
      </c>
      <c r="AC4117">
        <v>-5.6252999999999798</v>
      </c>
      <c r="AD4117">
        <v>-1.1146196506029999</v>
      </c>
      <c r="AE4117">
        <v>-6.2843999999999998</v>
      </c>
      <c r="AF4117">
        <v>-3.6985872817110499</v>
      </c>
      <c r="AG4117">
        <v>-1.1146196506029999</v>
      </c>
      <c r="AH4117">
        <v>7.4186919620029501</v>
      </c>
      <c r="AI4117">
        <v>97.658111093074098</v>
      </c>
      <c r="AJ4117">
        <v>116.498539659698</v>
      </c>
      <c r="AK4117">
        <v>8.3641446229146705</v>
      </c>
      <c r="AL4117">
        <v>90.265502835329499</v>
      </c>
      <c r="AM4117">
        <v>100.37117145111399</v>
      </c>
      <c r="AN4117">
        <v>0.99999998577111904</v>
      </c>
    </row>
    <row r="4118" spans="1:40" x14ac:dyDescent="0.25">
      <c r="A4118" t="str">
        <f>"20190312150737466"</f>
        <v>20190312150737466</v>
      </c>
      <c r="B4118" t="str">
        <f>"1552374457454568"</f>
        <v>1552374457454568</v>
      </c>
      <c r="C4118" t="s">
        <v>40</v>
      </c>
      <c r="D4118">
        <v>4.4060889999999997</v>
      </c>
      <c r="E4118">
        <v>0.39426240000000001</v>
      </c>
      <c r="F4118" t="s">
        <v>41</v>
      </c>
      <c r="G4118">
        <v>-480.12869999999998</v>
      </c>
      <c r="H4118">
        <v>0.98639270000000001</v>
      </c>
      <c r="I4118">
        <v>280.24400000000003</v>
      </c>
      <c r="J4118">
        <v>-479.58370000000002</v>
      </c>
      <c r="K4118">
        <v>1.1146450000000001</v>
      </c>
      <c r="L4118">
        <v>280.92570000000001</v>
      </c>
      <c r="M4118">
        <v>-0.9278632</v>
      </c>
      <c r="N4118">
        <v>0</v>
      </c>
      <c r="O4118">
        <v>-0.37265569999999998</v>
      </c>
      <c r="P4118">
        <v>-0.8452231</v>
      </c>
      <c r="Q4118">
        <v>-1.706651E-2</v>
      </c>
      <c r="R4118">
        <v>-0.53414090000000003</v>
      </c>
      <c r="S4118">
        <v>-2.0812379999999999</v>
      </c>
      <c r="T4118">
        <v>-0.40685700000000002</v>
      </c>
      <c r="U4118">
        <v>-2.3173520000000001</v>
      </c>
      <c r="V4118">
        <v>-0.18060809999999999</v>
      </c>
      <c r="W4118">
        <v>-5.0829229999999996E-3</v>
      </c>
      <c r="X4118">
        <v>0.98354200000000003</v>
      </c>
      <c r="Y4118">
        <v>-0.44071559999999999</v>
      </c>
      <c r="Z4118">
        <v>2.0437400000000001E-2</v>
      </c>
      <c r="AA4118">
        <v>0.89741409999999999</v>
      </c>
      <c r="AB4118">
        <v>23</v>
      </c>
      <c r="AC4118">
        <v>-0.54499999999995896</v>
      </c>
      <c r="AD4118">
        <v>-0.12825230000000001</v>
      </c>
      <c r="AE4118">
        <v>-0.68169999999997799</v>
      </c>
      <c r="AF4118">
        <v>-0.42039168302493501</v>
      </c>
      <c r="AG4118">
        <v>-0.12825230000000001</v>
      </c>
      <c r="AH4118">
        <v>0.74373994090822904</v>
      </c>
      <c r="AI4118">
        <v>98.537516621332301</v>
      </c>
      <c r="AJ4118">
        <v>119.476877675567</v>
      </c>
      <c r="AK4118">
        <v>0.86390214683956201</v>
      </c>
      <c r="AL4118">
        <v>90.291231291343706</v>
      </c>
      <c r="AM4118">
        <v>100.405317884827</v>
      </c>
      <c r="AN4118">
        <v>0.99999999382791704</v>
      </c>
    </row>
    <row r="4119" spans="1:40" x14ac:dyDescent="0.25">
      <c r="A4119" t="str">
        <f>"20190312150737477"</f>
        <v>20190312150737477</v>
      </c>
      <c r="B4119" t="str">
        <f>"1552374457474087"</f>
        <v>1552374457474087</v>
      </c>
      <c r="C4119" t="s">
        <v>40</v>
      </c>
      <c r="D4119">
        <v>4.3974229999999999</v>
      </c>
      <c r="E4119">
        <v>0.39500839999999998</v>
      </c>
      <c r="F4119" t="s">
        <v>41</v>
      </c>
      <c r="G4119">
        <v>-480.26100000000002</v>
      </c>
      <c r="H4119">
        <v>0.98189369999999998</v>
      </c>
      <c r="I4119">
        <v>280.16649999999998</v>
      </c>
      <c r="J4119">
        <v>-479.69869999999997</v>
      </c>
      <c r="K4119">
        <v>1.11467</v>
      </c>
      <c r="L4119">
        <v>280.87479999999999</v>
      </c>
      <c r="M4119">
        <v>-0.9264019</v>
      </c>
      <c r="N4119">
        <v>0</v>
      </c>
      <c r="O4119">
        <v>-0.37627379999999999</v>
      </c>
      <c r="P4119">
        <v>-0.84282219999999997</v>
      </c>
      <c r="Q4119">
        <v>-1.72754E-2</v>
      </c>
      <c r="R4119">
        <v>-0.53791460000000002</v>
      </c>
      <c r="S4119">
        <v>-2.07254</v>
      </c>
      <c r="T4119">
        <v>-0.40623120000000001</v>
      </c>
      <c r="U4119">
        <v>-2.3239749999999999</v>
      </c>
      <c r="V4119">
        <v>-0.18116640000000001</v>
      </c>
      <c r="W4119">
        <v>-5.3061599999999999E-3</v>
      </c>
      <c r="X4119">
        <v>0.98343809999999998</v>
      </c>
      <c r="Y4119">
        <v>-0.44038290000000002</v>
      </c>
      <c r="Z4119">
        <v>2.0948990000000001E-2</v>
      </c>
      <c r="AA4119">
        <v>0.89756559999999896</v>
      </c>
      <c r="AB4119">
        <v>22</v>
      </c>
      <c r="AC4119">
        <v>-0.56229999999999303</v>
      </c>
      <c r="AD4119">
        <v>-0.13277630000000001</v>
      </c>
      <c r="AE4119">
        <v>-0.70830000000000803</v>
      </c>
      <c r="AF4119">
        <v>-0.43525354972560698</v>
      </c>
      <c r="AG4119">
        <v>-0.13277630000000001</v>
      </c>
      <c r="AH4119">
        <v>0.77089141159876495</v>
      </c>
      <c r="AI4119">
        <v>98.529779668831097</v>
      </c>
      <c r="AJ4119">
        <v>119.449538189561</v>
      </c>
      <c r="AK4119">
        <v>0.89518085707144501</v>
      </c>
      <c r="AL4119">
        <v>90.304022012787797</v>
      </c>
      <c r="AM4119">
        <v>100.43785570357799</v>
      </c>
      <c r="AN4119">
        <v>0.99999995817725695</v>
      </c>
    </row>
    <row r="4120" spans="1:40" x14ac:dyDescent="0.25">
      <c r="A4120" t="str">
        <f>"20190312150737498"</f>
        <v>20190312150737498</v>
      </c>
      <c r="B4120" t="str">
        <f>"1552374457494583"</f>
        <v>1552374457494583</v>
      </c>
      <c r="C4120" t="s">
        <v>40</v>
      </c>
      <c r="D4120">
        <v>4.3944640000000001</v>
      </c>
      <c r="E4120">
        <v>0.39539299999999999</v>
      </c>
      <c r="F4120" t="s">
        <v>61</v>
      </c>
      <c r="G4120">
        <v>-485.3777</v>
      </c>
      <c r="H4120" s="1">
        <v>1.310409E-6</v>
      </c>
      <c r="I4120">
        <v>274.47239999999999</v>
      </c>
      <c r="J4120">
        <v>-479.87709999999998</v>
      </c>
      <c r="K4120">
        <v>1.1147129999999901</v>
      </c>
      <c r="L4120">
        <v>280.79489999999998</v>
      </c>
      <c r="M4120">
        <v>-0.92408000000000001</v>
      </c>
      <c r="N4120">
        <v>0</v>
      </c>
      <c r="O4120">
        <v>-0.3819401</v>
      </c>
      <c r="P4120">
        <v>-0.83904859999999903</v>
      </c>
      <c r="Q4120">
        <v>-1.7243789999999998E-2</v>
      </c>
      <c r="R4120">
        <v>-0.54378289999999996</v>
      </c>
      <c r="S4120">
        <v>-2.0651860000000002</v>
      </c>
      <c r="T4120">
        <v>-0.40535120000000002</v>
      </c>
      <c r="U4120">
        <v>-2.3282470000000002</v>
      </c>
      <c r="V4120">
        <v>-0.1820058</v>
      </c>
      <c r="W4120">
        <v>-5.2956590000000003E-3</v>
      </c>
      <c r="X4120">
        <v>0.98328320000000002</v>
      </c>
      <c r="Y4120">
        <v>-0.43735069999999998</v>
      </c>
      <c r="Z4120">
        <v>2.1932150000000001E-2</v>
      </c>
      <c r="AA4120">
        <v>0.89902349999999998</v>
      </c>
      <c r="AB4120">
        <v>22</v>
      </c>
      <c r="AC4120">
        <v>-5.5006000000000101</v>
      </c>
      <c r="AD4120">
        <v>-1.1147116895910001</v>
      </c>
      <c r="AE4120">
        <v>-6.32249999999999</v>
      </c>
      <c r="AF4120">
        <v>-3.6769112243775002</v>
      </c>
      <c r="AG4120">
        <v>-1.1147116895910001</v>
      </c>
      <c r="AH4120">
        <v>7.3681882809080399</v>
      </c>
      <c r="AI4120">
        <v>97.709155476033899</v>
      </c>
      <c r="AJ4120">
        <v>116.52034968790799</v>
      </c>
      <c r="AK4120">
        <v>8.3097807940868496</v>
      </c>
      <c r="AL4120">
        <v>90.303420327631201</v>
      </c>
      <c r="AM4120">
        <v>100.486762506549</v>
      </c>
      <c r="AN4120">
        <v>1.00000000332006</v>
      </c>
    </row>
    <row r="4121" spans="1:40" x14ac:dyDescent="0.25">
      <c r="A4121" t="str">
        <f>"20190312150737510"</f>
        <v>20190312150737510</v>
      </c>
      <c r="B4121" t="str">
        <f>"1552374457504343"</f>
        <v>1552374457504343</v>
      </c>
      <c r="C4121" t="s">
        <v>40</v>
      </c>
      <c r="D4121">
        <v>4.406015</v>
      </c>
      <c r="E4121">
        <v>0.3955977</v>
      </c>
      <c r="F4121" t="s">
        <v>61</v>
      </c>
      <c r="G4121">
        <v>-485.4674</v>
      </c>
      <c r="H4121" s="1">
        <v>1.2987200000000001E-6</v>
      </c>
      <c r="I4121">
        <v>274.4169</v>
      </c>
      <c r="J4121">
        <v>-479.9864</v>
      </c>
      <c r="K4121">
        <v>1.1147370000000001</v>
      </c>
      <c r="L4121">
        <v>280.74520000000001</v>
      </c>
      <c r="M4121">
        <v>-0.92262639999999996</v>
      </c>
      <c r="N4121">
        <v>0</v>
      </c>
      <c r="O4121">
        <v>-0.38543860000000002</v>
      </c>
      <c r="P4121">
        <v>-0.83680429999999995</v>
      </c>
      <c r="Q4121">
        <v>-1.74787E-2</v>
      </c>
      <c r="R4121">
        <v>-0.54722329999999997</v>
      </c>
      <c r="S4121">
        <v>-2.0507200000000001</v>
      </c>
      <c r="T4121">
        <v>-0.40891889999999997</v>
      </c>
      <c r="U4121">
        <v>-2.3396910000000002</v>
      </c>
      <c r="V4121">
        <v>-0.18231639999999999</v>
      </c>
      <c r="W4121">
        <v>-5.5407919999999897E-3</v>
      </c>
      <c r="X4121">
        <v>0.98322430000000005</v>
      </c>
      <c r="Y4121">
        <v>-0.43926419999999999</v>
      </c>
      <c r="Z4121">
        <v>2.2496189999999999E-2</v>
      </c>
      <c r="AA4121">
        <v>0.89807619999999899</v>
      </c>
      <c r="AB4121">
        <v>22</v>
      </c>
      <c r="AC4121">
        <v>-5.4809999999999901</v>
      </c>
      <c r="AD4121">
        <v>-1.1147357012799901</v>
      </c>
      <c r="AE4121">
        <v>-6.3283000000000103</v>
      </c>
      <c r="AF4121">
        <v>-3.6615191281629702</v>
      </c>
      <c r="AG4121">
        <v>-1.1147357012799901</v>
      </c>
      <c r="AH4121">
        <v>7.36622790017935</v>
      </c>
      <c r="AI4121">
        <v>97.717297791059096</v>
      </c>
      <c r="AJ4121">
        <v>116.43051909396701</v>
      </c>
      <c r="AK4121">
        <v>8.3012451768992008</v>
      </c>
      <c r="AL4121">
        <v>90.317465622081002</v>
      </c>
      <c r="AM4121">
        <v>100.50487583352999</v>
      </c>
      <c r="AN4121">
        <v>0.99999999709771803</v>
      </c>
    </row>
    <row r="4122" spans="1:40" x14ac:dyDescent="0.25">
      <c r="A4122" t="str">
        <f>"20190312150737521"</f>
        <v>20190312150737521</v>
      </c>
      <c r="B4122" t="str">
        <f>"1552374457514103"</f>
        <v>1552374457514103</v>
      </c>
      <c r="C4122" t="s">
        <v>40</v>
      </c>
      <c r="D4122">
        <v>4.4008339999999997</v>
      </c>
      <c r="E4122">
        <v>0.39597909999999997</v>
      </c>
      <c r="F4122" t="s">
        <v>41</v>
      </c>
      <c r="G4122">
        <v>-480.62459999999999</v>
      </c>
      <c r="H4122">
        <v>0.98607599999999995</v>
      </c>
      <c r="I4122">
        <v>280.01159999999999</v>
      </c>
      <c r="J4122">
        <v>-480.0926</v>
      </c>
      <c r="K4122">
        <v>1.11476</v>
      </c>
      <c r="L4122">
        <v>280.69639999999998</v>
      </c>
      <c r="M4122">
        <v>-0.92118789999999995</v>
      </c>
      <c r="N4122">
        <v>0</v>
      </c>
      <c r="O4122">
        <v>-0.38886369999999998</v>
      </c>
      <c r="P4122">
        <v>-0.83470659999999897</v>
      </c>
      <c r="Q4122">
        <v>-1.7453110000000001E-2</v>
      </c>
      <c r="R4122">
        <v>-0.55041839999999997</v>
      </c>
      <c r="S4122">
        <v>-2.0417480000000001</v>
      </c>
      <c r="T4122">
        <v>-0.4115955</v>
      </c>
      <c r="U4122">
        <v>-2.3468629999999999</v>
      </c>
      <c r="V4122">
        <v>-0.1824219</v>
      </c>
      <c r="W4122">
        <v>-5.5226420000000003E-3</v>
      </c>
      <c r="X4122">
        <v>0.98320479999999999</v>
      </c>
      <c r="Y4122">
        <v>-0.4392567</v>
      </c>
      <c r="Z4122">
        <v>2.3140730000000002E-2</v>
      </c>
      <c r="AA4122">
        <v>0.89806350000000001</v>
      </c>
      <c r="AB4122">
        <v>22</v>
      </c>
      <c r="AC4122">
        <v>-0.53199999999998204</v>
      </c>
      <c r="AD4122">
        <v>-0.12868399999999899</v>
      </c>
      <c r="AE4122">
        <v>-0.68479999999999497</v>
      </c>
      <c r="AF4122">
        <v>-0.414860120351637</v>
      </c>
      <c r="AG4122">
        <v>-0.12868399999999899</v>
      </c>
      <c r="AH4122">
        <v>0.74014168453197504</v>
      </c>
      <c r="AI4122">
        <v>98.623991631731201</v>
      </c>
      <c r="AJ4122">
        <v>119.27126102744199</v>
      </c>
      <c r="AK4122">
        <v>0.85818308331963999</v>
      </c>
      <c r="AL4122">
        <v>90.316425698254903</v>
      </c>
      <c r="AM4122">
        <v>100.51102301869599</v>
      </c>
      <c r="AN4122">
        <v>0.99999996395865398</v>
      </c>
    </row>
    <row r="4123" spans="1:40" x14ac:dyDescent="0.25">
      <c r="A4123" t="str">
        <f>"20190312150737532"</f>
        <v>20190312150737532</v>
      </c>
      <c r="B4123" t="str">
        <f>"1552374457523863"</f>
        <v>1552374457523863</v>
      </c>
      <c r="C4123" t="s">
        <v>40</v>
      </c>
      <c r="D4123">
        <v>4.3801350000000001</v>
      </c>
      <c r="E4123">
        <v>0.39630349999999998</v>
      </c>
      <c r="F4123" t="s">
        <v>61</v>
      </c>
      <c r="G4123">
        <v>-485.60489999999999</v>
      </c>
      <c r="H4123" s="1">
        <v>1.2774780000000001E-6</v>
      </c>
      <c r="I4123">
        <v>274.32229999999998</v>
      </c>
      <c r="J4123">
        <v>-480.18549999999999</v>
      </c>
      <c r="K4123">
        <v>1.114779</v>
      </c>
      <c r="L4123">
        <v>280.6533</v>
      </c>
      <c r="M4123">
        <v>-0.91990510000000003</v>
      </c>
      <c r="N4123">
        <v>0</v>
      </c>
      <c r="O4123">
        <v>-0.39188840000000003</v>
      </c>
      <c r="P4123">
        <v>-0.83264150000000003</v>
      </c>
      <c r="Q4123">
        <v>-1.7493749999999999E-2</v>
      </c>
      <c r="R4123">
        <v>-0.55353589999999997</v>
      </c>
      <c r="S4123">
        <v>-2.0343019999999998</v>
      </c>
      <c r="T4123">
        <v>-0.4114022</v>
      </c>
      <c r="U4123">
        <v>-2.3523860000000001</v>
      </c>
      <c r="V4123">
        <v>-0.18286720000000001</v>
      </c>
      <c r="W4123">
        <v>-5.574173E-3</v>
      </c>
      <c r="X4123">
        <v>0.98312180000000005</v>
      </c>
      <c r="Y4123">
        <v>-0.43899820000000001</v>
      </c>
      <c r="Z4123">
        <v>2.3590489999999999E-2</v>
      </c>
      <c r="AA4123">
        <v>0.89817819999999904</v>
      </c>
      <c r="AB4123">
        <v>22</v>
      </c>
      <c r="AC4123">
        <v>-5.4193999999999898</v>
      </c>
      <c r="AD4123">
        <v>-1.1147777225219999</v>
      </c>
      <c r="AE4123">
        <v>-6.3310000000000102</v>
      </c>
      <c r="AF4123">
        <v>-3.6354350810580698</v>
      </c>
      <c r="AG4123">
        <v>-1.1147777225219999</v>
      </c>
      <c r="AH4123">
        <v>7.3358546867001904</v>
      </c>
      <c r="AI4123">
        <v>97.753718187044598</v>
      </c>
      <c r="AJ4123">
        <v>116.361670285896</v>
      </c>
      <c r="AK4123">
        <v>8.2628010737037805</v>
      </c>
      <c r="AL4123">
        <v>90.319378247838898</v>
      </c>
      <c r="AM4123">
        <v>100.53697663753699</v>
      </c>
      <c r="AN4123">
        <v>0.99999997893785597</v>
      </c>
    </row>
    <row r="4124" spans="1:40" x14ac:dyDescent="0.25">
      <c r="A4124" t="str">
        <f>"20190312150737543"</f>
        <v>20190312150737543</v>
      </c>
      <c r="B4124" t="str">
        <f>"1552374457534600"</f>
        <v>1552374457534600</v>
      </c>
      <c r="C4124" t="s">
        <v>40</v>
      </c>
      <c r="D4124">
        <v>4.387346</v>
      </c>
      <c r="E4124">
        <v>0.39648319999999998</v>
      </c>
      <c r="F4124" t="s">
        <v>41</v>
      </c>
      <c r="G4124">
        <v>-480.83010000000002</v>
      </c>
      <c r="H4124">
        <v>0.98439460000000001</v>
      </c>
      <c r="I4124">
        <v>279.90390000000002</v>
      </c>
      <c r="J4124">
        <v>-480.29020000000003</v>
      </c>
      <c r="K4124">
        <v>1.114803</v>
      </c>
      <c r="L4124">
        <v>280.6044</v>
      </c>
      <c r="M4124">
        <v>-0.91844300000000001</v>
      </c>
      <c r="N4124">
        <v>0</v>
      </c>
      <c r="O4124">
        <v>-0.39530280000000001</v>
      </c>
      <c r="P4124">
        <v>-0.83049850000000003</v>
      </c>
      <c r="Q4124">
        <v>-1.777923E-2</v>
      </c>
      <c r="R4124">
        <v>-0.5567375</v>
      </c>
      <c r="S4124">
        <v>-2.027069</v>
      </c>
      <c r="T4124">
        <v>-0.41005530000000001</v>
      </c>
      <c r="U4124">
        <v>-2.357605</v>
      </c>
      <c r="V4124">
        <v>-0.18299960000000001</v>
      </c>
      <c r="W4124">
        <v>-5.8671649999999997E-3</v>
      </c>
      <c r="X4124">
        <v>0.98309550000000001</v>
      </c>
      <c r="Y4124">
        <v>-0.43826029999999999</v>
      </c>
      <c r="Z4124">
        <v>2.4064060000000002E-2</v>
      </c>
      <c r="AA4124">
        <v>0.89852589999999999</v>
      </c>
      <c r="AB4124">
        <v>22</v>
      </c>
      <c r="AC4124">
        <v>-0.53989999999998795</v>
      </c>
      <c r="AD4124">
        <v>-0.13040839999999901</v>
      </c>
      <c r="AE4124">
        <v>-0.70049999999997603</v>
      </c>
      <c r="AF4124">
        <v>-0.42083812042666002</v>
      </c>
      <c r="AG4124">
        <v>-0.13040839999999901</v>
      </c>
      <c r="AH4124">
        <v>0.756407814366719</v>
      </c>
      <c r="AI4124">
        <v>98.567590658695707</v>
      </c>
      <c r="AJ4124">
        <v>119.089990268215</v>
      </c>
      <c r="AK4124">
        <v>0.875364984466389</v>
      </c>
      <c r="AL4124">
        <v>90.336165714286096</v>
      </c>
      <c r="AM4124">
        <v>100.544710373413</v>
      </c>
      <c r="AN4124">
        <v>1.0000000196727701</v>
      </c>
    </row>
    <row r="4125" spans="1:40" x14ac:dyDescent="0.25">
      <c r="A4125" t="str">
        <f>"20190312150737555"</f>
        <v>20190312150737555</v>
      </c>
      <c r="B4125" t="str">
        <f>"1552374457544359"</f>
        <v>1552374457544359</v>
      </c>
      <c r="C4125" t="s">
        <v>40</v>
      </c>
      <c r="D4125">
        <v>4.343852</v>
      </c>
      <c r="E4125">
        <v>0.39676270000000002</v>
      </c>
      <c r="F4125" t="s">
        <v>61</v>
      </c>
      <c r="G4125">
        <v>-485.7817</v>
      </c>
      <c r="H4125" s="1">
        <v>1.2404780000000001E-6</v>
      </c>
      <c r="I4125">
        <v>274.17320000000001</v>
      </c>
      <c r="J4125">
        <v>-480.38600000000002</v>
      </c>
      <c r="K4125">
        <v>1.114824</v>
      </c>
      <c r="L4125">
        <v>280.55880000000002</v>
      </c>
      <c r="M4125">
        <v>-0.9170741</v>
      </c>
      <c r="N4125">
        <v>0</v>
      </c>
      <c r="O4125">
        <v>-0.39846809999999999</v>
      </c>
      <c r="P4125">
        <v>-0.82841960000000003</v>
      </c>
      <c r="Q4125">
        <v>-1.794546E-2</v>
      </c>
      <c r="R4125">
        <v>-0.5598206</v>
      </c>
      <c r="S4125">
        <v>-2.018707</v>
      </c>
      <c r="T4125">
        <v>-0.40980319999999998</v>
      </c>
      <c r="U4125">
        <v>-2.3641049999999999</v>
      </c>
      <c r="V4125">
        <v>-0.1832628</v>
      </c>
      <c r="W4125">
        <v>-6.0421809999999998E-3</v>
      </c>
      <c r="X4125">
        <v>0.98304539999999996</v>
      </c>
      <c r="Y4125">
        <v>-0.43824089999999999</v>
      </c>
      <c r="Z4125">
        <v>2.451103E-2</v>
      </c>
      <c r="AA4125">
        <v>0.89852330000000002</v>
      </c>
      <c r="AB4125">
        <v>22</v>
      </c>
      <c r="AC4125">
        <v>-5.3957000000000299</v>
      </c>
      <c r="AD4125">
        <v>-1.1148227595219999</v>
      </c>
      <c r="AE4125">
        <v>-6.3856000000000099</v>
      </c>
      <c r="AF4125">
        <v>-3.6416625716292801</v>
      </c>
      <c r="AG4125">
        <v>-1.1148227595219999</v>
      </c>
      <c r="AH4125">
        <v>7.3625311603883201</v>
      </c>
      <c r="AI4125">
        <v>97.729155716436907</v>
      </c>
      <c r="AJ4125">
        <v>116.317966169396</v>
      </c>
      <c r="AK4125">
        <v>8.2892340513730698</v>
      </c>
      <c r="AL4125">
        <v>90.346193573335796</v>
      </c>
      <c r="AM4125">
        <v>100.560061546423</v>
      </c>
      <c r="AN4125">
        <v>1.0000000101381099</v>
      </c>
    </row>
    <row r="4126" spans="1:40" x14ac:dyDescent="0.25">
      <c r="A4126" t="str">
        <f>"20190312150737565"</f>
        <v>20190312150737565</v>
      </c>
      <c r="B4126" t="str">
        <f>"1552374457554118"</f>
        <v>1552374457554118</v>
      </c>
      <c r="C4126" t="s">
        <v>40</v>
      </c>
      <c r="D4126">
        <v>4.3682509999999999</v>
      </c>
      <c r="E4126">
        <v>0.3970651</v>
      </c>
      <c r="F4126" t="s">
        <v>41</v>
      </c>
      <c r="G4126">
        <v>-481.03660000000002</v>
      </c>
      <c r="H4126">
        <v>0.98253199999999996</v>
      </c>
      <c r="I4126">
        <v>279.7921</v>
      </c>
      <c r="J4126">
        <v>-480.4853</v>
      </c>
      <c r="K4126">
        <v>1.1148480000000001</v>
      </c>
      <c r="L4126">
        <v>280.51150000000001</v>
      </c>
      <c r="M4126">
        <v>-0.91564020000000002</v>
      </c>
      <c r="N4126">
        <v>0</v>
      </c>
      <c r="O4126">
        <v>-0.4017521</v>
      </c>
      <c r="P4126">
        <v>-0.82619010000000004</v>
      </c>
      <c r="Q4126">
        <v>-1.776119E-2</v>
      </c>
      <c r="R4126">
        <v>-0.56311169999999899</v>
      </c>
      <c r="S4126">
        <v>-2.0109859999999999</v>
      </c>
      <c r="T4126">
        <v>-0.4089256</v>
      </c>
      <c r="U4126">
        <v>-2.369904</v>
      </c>
      <c r="V4126">
        <v>-0.1836507</v>
      </c>
      <c r="W4126">
        <v>-5.8685919999999997E-3</v>
      </c>
      <c r="X4126">
        <v>0.98297409999999996</v>
      </c>
      <c r="Y4126">
        <v>-0.43783369999999999</v>
      </c>
      <c r="Z4126">
        <v>2.4965190000000002E-2</v>
      </c>
      <c r="AA4126">
        <v>0.89870930000000004</v>
      </c>
      <c r="AB4126">
        <v>22</v>
      </c>
      <c r="AC4126">
        <v>-0.55130000000002599</v>
      </c>
      <c r="AD4126">
        <v>-0.13231599999999999</v>
      </c>
      <c r="AE4126">
        <v>-0.71940000000000703</v>
      </c>
      <c r="AF4126">
        <v>-0.42814416368420599</v>
      </c>
      <c r="AG4126">
        <v>-0.13231599999999999</v>
      </c>
      <c r="AH4126">
        <v>0.77732488759192098</v>
      </c>
      <c r="AI4126">
        <v>98.480289402539896</v>
      </c>
      <c r="AJ4126">
        <v>118.845612067657</v>
      </c>
      <c r="AK4126">
        <v>0.89724518924463503</v>
      </c>
      <c r="AL4126">
        <v>90.336247466361201</v>
      </c>
      <c r="AM4126">
        <v>100.582659226789</v>
      </c>
      <c r="AN4126">
        <v>1.00000005062668</v>
      </c>
    </row>
    <row r="4127" spans="1:40" x14ac:dyDescent="0.25">
      <c r="A4127" t="str">
        <f>"20190312150737578"</f>
        <v>20190312150737578</v>
      </c>
      <c r="B4127" t="str">
        <f>"1552374457574614"</f>
        <v>1552374457574614</v>
      </c>
      <c r="C4127" t="s">
        <v>40</v>
      </c>
      <c r="D4127">
        <v>4.3980160000000001</v>
      </c>
      <c r="E4127">
        <v>0.39757740000000003</v>
      </c>
      <c r="F4127" t="s">
        <v>41</v>
      </c>
      <c r="G4127">
        <v>-481.13740000000001</v>
      </c>
      <c r="H4127">
        <v>0.98266929999999997</v>
      </c>
      <c r="I4127">
        <v>279.73840000000001</v>
      </c>
      <c r="J4127">
        <v>-480.59500000000003</v>
      </c>
      <c r="K4127">
        <v>1.1148720000000001</v>
      </c>
      <c r="L4127">
        <v>280.45850000000002</v>
      </c>
      <c r="M4127">
        <v>-0.91402169999999905</v>
      </c>
      <c r="N4127">
        <v>0</v>
      </c>
      <c r="O4127">
        <v>-0.40542040000000001</v>
      </c>
      <c r="P4127">
        <v>-0.82383819999999996</v>
      </c>
      <c r="Q4127">
        <v>-1.7905500000000001E-2</v>
      </c>
      <c r="R4127">
        <v>-0.56654159999999998</v>
      </c>
      <c r="S4127">
        <v>-2.0032350000000001</v>
      </c>
      <c r="T4127">
        <v>-0.40607490000000002</v>
      </c>
      <c r="U4127">
        <v>-2.3756710000000001</v>
      </c>
      <c r="V4127">
        <v>-0.18379490000000001</v>
      </c>
      <c r="W4127">
        <v>-6.0207439999999997E-3</v>
      </c>
      <c r="X4127">
        <v>0.98294619999999999</v>
      </c>
      <c r="Y4127">
        <v>-0.4370542</v>
      </c>
      <c r="Z4127">
        <v>2.5377009999999998E-2</v>
      </c>
      <c r="AA4127">
        <v>0.89907709999999996</v>
      </c>
      <c r="AB4127">
        <v>22</v>
      </c>
      <c r="AC4127">
        <v>-0.542399999999986</v>
      </c>
      <c r="AD4127">
        <v>-0.13220269999999901</v>
      </c>
      <c r="AE4127">
        <v>-0.72010000000000196</v>
      </c>
      <c r="AF4127">
        <v>-0.42910291988345101</v>
      </c>
      <c r="AG4127">
        <v>-0.13220269999999901</v>
      </c>
      <c r="AH4127">
        <v>0.77120256680127997</v>
      </c>
      <c r="AI4127">
        <v>98.519412900965605</v>
      </c>
      <c r="AJ4127">
        <v>119.091892542566</v>
      </c>
      <c r="AK4127">
        <v>0.89239019984571499</v>
      </c>
      <c r="AL4127">
        <v>90.344965296820305</v>
      </c>
      <c r="AM4127">
        <v>100.591074481417</v>
      </c>
      <c r="AN4127">
        <v>1.00000002335938</v>
      </c>
    </row>
    <row r="4128" spans="1:40" x14ac:dyDescent="0.25">
      <c r="A4128" t="str">
        <f>"20190312150737589"</f>
        <v>20190312150737589</v>
      </c>
      <c r="B4128" t="str">
        <f>"1552374457584375"</f>
        <v>1552374457584375</v>
      </c>
      <c r="C4128" t="s">
        <v>40</v>
      </c>
      <c r="D4128">
        <v>4.3978580000000003</v>
      </c>
      <c r="E4128">
        <v>0.39783160000000001</v>
      </c>
      <c r="F4128" t="s">
        <v>61</v>
      </c>
      <c r="G4128">
        <v>-486.04340000000002</v>
      </c>
      <c r="H4128" s="1">
        <v>1.1875700000000001E-6</v>
      </c>
      <c r="I4128">
        <v>273.9579</v>
      </c>
      <c r="J4128">
        <v>-480.69009999999997</v>
      </c>
      <c r="K4128">
        <v>1.1148960000000001</v>
      </c>
      <c r="L4128">
        <v>280.41219999999998</v>
      </c>
      <c r="M4128">
        <v>-0.91259990000000002</v>
      </c>
      <c r="N4128">
        <v>0</v>
      </c>
      <c r="O4128">
        <v>-0.4086111</v>
      </c>
      <c r="P4128">
        <v>-0.82163390000000003</v>
      </c>
      <c r="Q4128">
        <v>-1.7902310000000001E-2</v>
      </c>
      <c r="R4128">
        <v>-0.5697352</v>
      </c>
      <c r="S4128">
        <v>-1.9953920000000001</v>
      </c>
      <c r="T4128">
        <v>-0.4083039</v>
      </c>
      <c r="U4128">
        <v>-2.3807369999999999</v>
      </c>
      <c r="V4128">
        <v>-0.18417539999999999</v>
      </c>
      <c r="W4128">
        <v>-6.0274630000000003E-3</v>
      </c>
      <c r="X4128">
        <v>0.9828749</v>
      </c>
      <c r="Y4128">
        <v>-0.43661349999999999</v>
      </c>
      <c r="Z4128">
        <v>2.601506E-2</v>
      </c>
      <c r="AA4128">
        <v>0.89927299999999999</v>
      </c>
      <c r="AB4128">
        <v>22</v>
      </c>
      <c r="AC4128">
        <v>-5.3533000000000399</v>
      </c>
      <c r="AD4128">
        <v>-1.11489481242999</v>
      </c>
      <c r="AE4128">
        <v>-6.4542999999999804</v>
      </c>
      <c r="AF4128">
        <v>-3.6388187626040902</v>
      </c>
      <c r="AG4128">
        <v>-1.11489481242999</v>
      </c>
      <c r="AH4128">
        <v>7.3927819143968296</v>
      </c>
      <c r="AI4128">
        <v>97.705673081432096</v>
      </c>
      <c r="AJ4128">
        <v>116.20698210126599</v>
      </c>
      <c r="AK4128">
        <v>8.3148792452864804</v>
      </c>
      <c r="AL4128">
        <v>90.345350286121999</v>
      </c>
      <c r="AM4128">
        <v>100.61325537702299</v>
      </c>
      <c r="AN4128">
        <v>0.99999998866269302</v>
      </c>
    </row>
    <row r="4129" spans="1:40" x14ac:dyDescent="0.25">
      <c r="A4129" t="str">
        <f>"20190312150737601"</f>
        <v>20190312150737601</v>
      </c>
      <c r="B4129" t="str">
        <f>"1552374457594135"</f>
        <v>1552374457594135</v>
      </c>
      <c r="C4129" t="s">
        <v>40</v>
      </c>
      <c r="D4129">
        <v>4.3849269999999896</v>
      </c>
      <c r="E4129">
        <v>0.39813120000000002</v>
      </c>
      <c r="F4129" t="s">
        <v>41</v>
      </c>
      <c r="G4129">
        <v>-481.31779999999998</v>
      </c>
      <c r="H4129">
        <v>0.9854212</v>
      </c>
      <c r="I4129">
        <v>279.65839999999997</v>
      </c>
      <c r="J4129">
        <v>-480.8082</v>
      </c>
      <c r="K4129">
        <v>1.114919</v>
      </c>
      <c r="L4129">
        <v>280.35410000000002</v>
      </c>
      <c r="M4129">
        <v>-0.91080450000000002</v>
      </c>
      <c r="N4129">
        <v>0</v>
      </c>
      <c r="O4129">
        <v>-0.41259699999999999</v>
      </c>
      <c r="P4129">
        <v>-0.81903459999999995</v>
      </c>
      <c r="Q4129">
        <v>-1.7751360000000001E-2</v>
      </c>
      <c r="R4129">
        <v>-0.57346980000000003</v>
      </c>
      <c r="S4129">
        <v>-1.9873350000000001</v>
      </c>
      <c r="T4129">
        <v>-0.4098675</v>
      </c>
      <c r="U4129">
        <v>-2.3867189999999998</v>
      </c>
      <c r="V4129">
        <v>-0.18435319999999999</v>
      </c>
      <c r="W4129">
        <v>-5.8843389999999997E-3</v>
      </c>
      <c r="X4129">
        <v>0.9828424</v>
      </c>
      <c r="Y4129">
        <v>-0.43561290000000003</v>
      </c>
      <c r="Z4129">
        <v>2.676566E-2</v>
      </c>
      <c r="AA4129">
        <v>0.89973599999999998</v>
      </c>
      <c r="AB4129">
        <v>22</v>
      </c>
      <c r="AC4129">
        <v>-0.50959999999997696</v>
      </c>
      <c r="AD4129">
        <v>-0.1294978</v>
      </c>
      <c r="AE4129">
        <v>-0.69570000000004395</v>
      </c>
      <c r="AF4129">
        <v>-0.41409189760060799</v>
      </c>
      <c r="AG4129">
        <v>-0.1294978</v>
      </c>
      <c r="AH4129">
        <v>0.73469752316363601</v>
      </c>
      <c r="AI4129">
        <v>98.729598382034993</v>
      </c>
      <c r="AJ4129">
        <v>119.406576936096</v>
      </c>
      <c r="AK4129">
        <v>0.85324218742751701</v>
      </c>
      <c r="AL4129">
        <v>90.337149750600901</v>
      </c>
      <c r="AM4129">
        <v>100.623611433401</v>
      </c>
      <c r="AN4129">
        <v>0.99999995551673204</v>
      </c>
    </row>
    <row r="4130" spans="1:40" x14ac:dyDescent="0.25">
      <c r="A4130" t="str">
        <f>"20190312150737614"</f>
        <v>20190312150737614</v>
      </c>
      <c r="B4130" t="str">
        <f>"1552374457603895"</f>
        <v>1552374457603895</v>
      </c>
      <c r="C4130" t="s">
        <v>40</v>
      </c>
      <c r="D4130">
        <v>4.4460689999999996</v>
      </c>
      <c r="E4130">
        <v>0.39813120000000002</v>
      </c>
      <c r="F4130" t="s">
        <v>61</v>
      </c>
      <c r="G4130">
        <v>-486.20389999999998</v>
      </c>
      <c r="H4130" s="1">
        <v>1.154081E-6</v>
      </c>
      <c r="I4130">
        <v>273.8229</v>
      </c>
      <c r="J4130">
        <v>-480.91359999999997</v>
      </c>
      <c r="K4130">
        <v>1.114938</v>
      </c>
      <c r="L4130">
        <v>280.3014</v>
      </c>
      <c r="M4130">
        <v>-0.90916859999999999</v>
      </c>
      <c r="N4130">
        <v>0</v>
      </c>
      <c r="O4130">
        <v>-0.41618929999999998</v>
      </c>
      <c r="P4130">
        <v>-0.81665500000000002</v>
      </c>
      <c r="Q4130">
        <v>-1.7705220000000001E-2</v>
      </c>
      <c r="R4130">
        <v>-0.576854599999999</v>
      </c>
      <c r="S4130">
        <v>-1.977814</v>
      </c>
      <c r="T4130">
        <v>-0.40867039999999999</v>
      </c>
      <c r="U4130">
        <v>-2.3939819999999998</v>
      </c>
      <c r="V4130">
        <v>-0.18454119999999999</v>
      </c>
      <c r="W4130">
        <v>-5.8448490000000001E-3</v>
      </c>
      <c r="X4130">
        <v>0.9828074</v>
      </c>
      <c r="Y4130">
        <v>-0.43555349999999998</v>
      </c>
      <c r="Z4130">
        <v>2.7215679999999999E-2</v>
      </c>
      <c r="AA4130">
        <v>0.89975130000000003</v>
      </c>
      <c r="AB4130">
        <v>22</v>
      </c>
      <c r="AC4130">
        <v>-5.2903000000000002</v>
      </c>
      <c r="AD4130">
        <v>-1.1149368459190001</v>
      </c>
      <c r="AE4130">
        <v>-6.4784999999999897</v>
      </c>
      <c r="AF4130">
        <v>-3.62425030835329</v>
      </c>
      <c r="AG4130">
        <v>-1.1149368459190001</v>
      </c>
      <c r="AH4130">
        <v>7.3757444905197902</v>
      </c>
      <c r="AI4130">
        <v>97.726078925560898</v>
      </c>
      <c r="AJ4130">
        <v>116.168309565703</v>
      </c>
      <c r="AK4130">
        <v>8.2933636877578092</v>
      </c>
      <c r="AL4130">
        <v>90.334887085982501</v>
      </c>
      <c r="AM4130">
        <v>100.634568295534</v>
      </c>
      <c r="AN4130">
        <v>1.00000000112601</v>
      </c>
    </row>
    <row r="4131" spans="1:40" x14ac:dyDescent="0.25">
      <c r="A4131" t="str">
        <f>"20190312150737628"</f>
        <v>20190312150737628</v>
      </c>
      <c r="B4131" t="str">
        <f>"1552374457624391"</f>
        <v>1552374457624391</v>
      </c>
      <c r="C4131" t="s">
        <v>40</v>
      </c>
      <c r="D4131">
        <v>4.4249109999999998</v>
      </c>
      <c r="E4131">
        <v>0.39841729999999997</v>
      </c>
      <c r="F4131" t="s">
        <v>41</v>
      </c>
      <c r="G4131">
        <v>-481.55650000000003</v>
      </c>
      <c r="H4131">
        <v>0.98158659999999998</v>
      </c>
      <c r="I4131">
        <v>279.51679999999999</v>
      </c>
      <c r="J4131">
        <v>-481.02890000000002</v>
      </c>
      <c r="K4131">
        <v>1.114954</v>
      </c>
      <c r="L4131">
        <v>280.24340000000001</v>
      </c>
      <c r="M4131">
        <v>-0.90735489999999996</v>
      </c>
      <c r="N4131">
        <v>0</v>
      </c>
      <c r="O4131">
        <v>-0.42012850000000002</v>
      </c>
      <c r="P4131">
        <v>-0.81399630000000001</v>
      </c>
      <c r="Q4131">
        <v>-1.72987E-2</v>
      </c>
      <c r="R4131">
        <v>-0.58061240000000003</v>
      </c>
      <c r="S4131">
        <v>-1.9678340000000001</v>
      </c>
      <c r="T4131">
        <v>-0.4081805</v>
      </c>
      <c r="U4131">
        <v>-2.4022220000000001</v>
      </c>
      <c r="V4131">
        <v>-0.18480830000000001</v>
      </c>
      <c r="W4131">
        <v>-5.4460749999999999E-3</v>
      </c>
      <c r="X4131">
        <v>0.98275950000000001</v>
      </c>
      <c r="Y4131">
        <v>-0.43542819999999999</v>
      </c>
      <c r="Z4131">
        <v>2.7761020000000001E-2</v>
      </c>
      <c r="AA4131">
        <v>0.89979529999999996</v>
      </c>
      <c r="AB4131">
        <v>22</v>
      </c>
      <c r="AC4131">
        <v>-0.52760000000000595</v>
      </c>
      <c r="AD4131">
        <v>-0.1333674</v>
      </c>
      <c r="AE4131">
        <v>-0.72660000000001901</v>
      </c>
      <c r="AF4131">
        <v>-0.42822145680206303</v>
      </c>
      <c r="AG4131">
        <v>-0.1333674</v>
      </c>
      <c r="AH4131">
        <v>0.76714105511445396</v>
      </c>
      <c r="AI4131">
        <v>98.6316663919159</v>
      </c>
      <c r="AJ4131">
        <v>119.170443869686</v>
      </c>
      <c r="AK4131">
        <v>0.88863146348222399</v>
      </c>
      <c r="AL4131">
        <v>90.312038654559501</v>
      </c>
      <c r="AM4131">
        <v>100.650115851484</v>
      </c>
      <c r="AN4131">
        <v>1.0000000011610199</v>
      </c>
    </row>
    <row r="4132" spans="1:40" x14ac:dyDescent="0.25">
      <c r="A4132" t="str">
        <f>"20190312150737640"</f>
        <v>20190312150737640</v>
      </c>
      <c r="B4132" t="str">
        <f>"1552374457634151"</f>
        <v>1552374457634151</v>
      </c>
      <c r="C4132" t="s">
        <v>40</v>
      </c>
      <c r="D4132">
        <v>4.4681579999999999</v>
      </c>
      <c r="E4132">
        <v>0.41127019999999997</v>
      </c>
      <c r="F4132" t="s">
        <v>41</v>
      </c>
      <c r="G4132">
        <v>-481.65609999999998</v>
      </c>
      <c r="H4132">
        <v>0.98479649999999996</v>
      </c>
      <c r="I4132">
        <v>279.4717</v>
      </c>
      <c r="J4132">
        <v>-481.1438</v>
      </c>
      <c r="K4132">
        <v>1.1149709999999999</v>
      </c>
      <c r="L4132">
        <v>280.18490000000003</v>
      </c>
      <c r="M4132">
        <v>-0.90551459999999995</v>
      </c>
      <c r="N4132">
        <v>0</v>
      </c>
      <c r="O4132">
        <v>-0.42408050000000003</v>
      </c>
      <c r="P4132">
        <v>-0.81125709999999995</v>
      </c>
      <c r="Q4132">
        <v>-1.7153580000000002E-2</v>
      </c>
      <c r="R4132">
        <v>-0.58443809999999996</v>
      </c>
      <c r="S4132">
        <v>-1.958099</v>
      </c>
      <c r="T4132">
        <v>-0.4063427</v>
      </c>
      <c r="U4132">
        <v>-2.4096980000000001</v>
      </c>
      <c r="V4132">
        <v>-0.1851505</v>
      </c>
      <c r="W4132">
        <v>-5.3089749999999996E-3</v>
      </c>
      <c r="X4132">
        <v>0.98269580000000001</v>
      </c>
      <c r="Y4132">
        <v>-0.4350907</v>
      </c>
      <c r="Z4132">
        <v>2.8232779999999999E-2</v>
      </c>
      <c r="AA4132">
        <v>0.89994390000000002</v>
      </c>
      <c r="AB4132">
        <v>22</v>
      </c>
      <c r="AC4132">
        <v>-0.51229999999998199</v>
      </c>
      <c r="AD4132">
        <v>-0.130174499999999</v>
      </c>
      <c r="AE4132">
        <v>-0.71320000000002803</v>
      </c>
      <c r="AF4132">
        <v>-0.419383091327171</v>
      </c>
      <c r="AG4132">
        <v>-0.130174499999999</v>
      </c>
      <c r="AH4132">
        <v>0.74994522714377299</v>
      </c>
      <c r="AI4132">
        <v>98.614737901986004</v>
      </c>
      <c r="AJ4132">
        <v>119.21471906033</v>
      </c>
      <c r="AK4132">
        <v>0.86904857255340395</v>
      </c>
      <c r="AL4132">
        <v>90.304183300883494</v>
      </c>
      <c r="AM4132">
        <v>100.670059519749</v>
      </c>
      <c r="AN4132">
        <v>0.99999996410171899</v>
      </c>
    </row>
    <row r="4133" spans="1:40" x14ac:dyDescent="0.25">
      <c r="A4133" t="str">
        <f>"20190312150737653"</f>
        <v>20190312150737653</v>
      </c>
      <c r="B4133" t="str">
        <f>"1552374457643910"</f>
        <v>1552374457643910</v>
      </c>
      <c r="C4133" t="s">
        <v>40</v>
      </c>
      <c r="D4133">
        <v>4.3916729999999999</v>
      </c>
      <c r="E4133">
        <v>0.41127019999999997</v>
      </c>
      <c r="F4133" t="s">
        <v>61</v>
      </c>
      <c r="G4133">
        <v>-486.9753</v>
      </c>
      <c r="H4133" s="1">
        <v>1.073561E-6</v>
      </c>
      <c r="I4133">
        <v>273.40159999999997</v>
      </c>
      <c r="J4133">
        <v>-481.26029999999997</v>
      </c>
      <c r="K4133">
        <v>1.1149830000000001</v>
      </c>
      <c r="L4133">
        <v>280.12479999999999</v>
      </c>
      <c r="M4133">
        <v>-0.90361599999999997</v>
      </c>
      <c r="N4133">
        <v>0</v>
      </c>
      <c r="O4133">
        <v>-0.42811129999999997</v>
      </c>
      <c r="P4133">
        <v>-0.80852060000000003</v>
      </c>
      <c r="Q4133">
        <v>-1.699136E-2</v>
      </c>
      <c r="R4133">
        <v>-0.58822289999999999</v>
      </c>
      <c r="S4133">
        <v>-2.0075379999999998</v>
      </c>
      <c r="T4133">
        <v>-0.38383869999999998</v>
      </c>
      <c r="U4133">
        <v>-2.3352050000000002</v>
      </c>
      <c r="V4133">
        <v>-0.1853638</v>
      </c>
      <c r="W4133">
        <v>-5.152144E-3</v>
      </c>
      <c r="X4133">
        <v>0.98265650000000004</v>
      </c>
      <c r="Y4133">
        <v>-0.40615489999999999</v>
      </c>
      <c r="Z4133">
        <v>2.932968E-2</v>
      </c>
      <c r="AA4133">
        <v>0.91333350000000002</v>
      </c>
      <c r="AB4133">
        <v>22</v>
      </c>
      <c r="AC4133">
        <v>-5.7150000000000301</v>
      </c>
      <c r="AD4133">
        <v>-1.114981926439</v>
      </c>
      <c r="AE4133">
        <v>-6.7232000000000101</v>
      </c>
      <c r="AF4133">
        <v>-3.5718660361271399</v>
      </c>
      <c r="AG4133">
        <v>-1.114981926439</v>
      </c>
      <c r="AH4133">
        <v>7.9168397419323799</v>
      </c>
      <c r="AI4133">
        <v>97.315370483660899</v>
      </c>
      <c r="AJ4133">
        <v>114.28362118184999</v>
      </c>
      <c r="AK4133">
        <v>8.7565839901050495</v>
      </c>
      <c r="AL4133">
        <v>90.295197400838006</v>
      </c>
      <c r="AM4133">
        <v>100.68248647956599</v>
      </c>
      <c r="AN4133">
        <v>1.00000003996524</v>
      </c>
    </row>
    <row r="4134" spans="1:40" x14ac:dyDescent="0.25">
      <c r="A4134" t="str">
        <f>"20190312150737665"</f>
        <v>20190312150737665</v>
      </c>
      <c r="B4134" t="str">
        <f>"1552374457654647"</f>
        <v>1552374457654647</v>
      </c>
      <c r="C4134" t="s">
        <v>40</v>
      </c>
      <c r="D4134">
        <v>4.3955120000000001</v>
      </c>
      <c r="E4134">
        <v>0.40732109999999999</v>
      </c>
      <c r="F4134" t="s">
        <v>61</v>
      </c>
      <c r="G4134">
        <v>-487.07119999999998</v>
      </c>
      <c r="H4134" s="1">
        <v>1.046621E-6</v>
      </c>
      <c r="I4134">
        <v>273.30130000000003</v>
      </c>
      <c r="J4134">
        <v>-481.35509999999999</v>
      </c>
      <c r="K4134">
        <v>1.1149929999999999</v>
      </c>
      <c r="L4134">
        <v>280.07560000000001</v>
      </c>
      <c r="M4134">
        <v>-0.90205060000000004</v>
      </c>
      <c r="N4134">
        <v>0</v>
      </c>
      <c r="O4134">
        <v>-0.43139949999999999</v>
      </c>
      <c r="P4134">
        <v>-0.80606899999999904</v>
      </c>
      <c r="Q4134">
        <v>-1.723949E-2</v>
      </c>
      <c r="R4134">
        <v>-0.59157079999999995</v>
      </c>
      <c r="S4134">
        <v>-1.9966740000000001</v>
      </c>
      <c r="T4134">
        <v>-0.38311679999999998</v>
      </c>
      <c r="U4134">
        <v>-2.3446039999999999</v>
      </c>
      <c r="V4134">
        <v>-0.18585930000000001</v>
      </c>
      <c r="W4134">
        <v>-5.4088679999999998E-3</v>
      </c>
      <c r="X4134">
        <v>0.98256149999999998</v>
      </c>
      <c r="Y4134">
        <v>-0.4071012</v>
      </c>
      <c r="Z4134">
        <v>2.966185E-2</v>
      </c>
      <c r="AA4134">
        <v>0.91290130000000003</v>
      </c>
      <c r="AB4134">
        <v>22</v>
      </c>
      <c r="AC4134">
        <v>-5.7160999999999804</v>
      </c>
      <c r="AD4134">
        <v>-1.114991953379</v>
      </c>
      <c r="AE4134">
        <v>-6.7742999999999798</v>
      </c>
      <c r="AF4134">
        <v>-3.5884188214641202</v>
      </c>
      <c r="AG4134">
        <v>-1.114991953379</v>
      </c>
      <c r="AH4134">
        <v>7.9535886395619801</v>
      </c>
      <c r="AI4134">
        <v>97.282008114344904</v>
      </c>
      <c r="AJ4134">
        <v>114.283457583217</v>
      </c>
      <c r="AK4134">
        <v>8.79656347340865</v>
      </c>
      <c r="AL4134">
        <v>90.309906813793106</v>
      </c>
      <c r="AM4134">
        <v>100.711393914922</v>
      </c>
      <c r="AN4134">
        <v>1.0000000182658899</v>
      </c>
    </row>
    <row r="4135" spans="1:40" x14ac:dyDescent="0.25">
      <c r="A4135" t="str">
        <f>"20190312150737676"</f>
        <v>20190312150737676</v>
      </c>
      <c r="B4135" t="str">
        <f>"1552374457664407"</f>
        <v>1552374457664407</v>
      </c>
      <c r="C4135" t="s">
        <v>40</v>
      </c>
      <c r="D4135">
        <v>4.4046190000000003</v>
      </c>
      <c r="E4135">
        <v>0.40773939999999997</v>
      </c>
      <c r="F4135" t="s">
        <v>41</v>
      </c>
      <c r="G4135">
        <v>-482.02510000000001</v>
      </c>
      <c r="H4135">
        <v>0.96495180000000003</v>
      </c>
      <c r="I4135">
        <v>279.26490000000001</v>
      </c>
      <c r="J4135">
        <v>-481.45030000000003</v>
      </c>
      <c r="K4135">
        <v>1.1149990000000001</v>
      </c>
      <c r="L4135">
        <v>280.02550000000002</v>
      </c>
      <c r="M4135">
        <v>-0.90045359999999997</v>
      </c>
      <c r="N4135">
        <v>0</v>
      </c>
      <c r="O4135">
        <v>-0.43472300000000003</v>
      </c>
      <c r="P4135">
        <v>-0.80393380000000003</v>
      </c>
      <c r="Q4135">
        <v>-1.757804E-2</v>
      </c>
      <c r="R4135">
        <v>-0.59445950000000003</v>
      </c>
      <c r="S4135">
        <v>-1.9662170000000001</v>
      </c>
      <c r="T4135">
        <v>-0.44033280000000002</v>
      </c>
      <c r="U4135">
        <v>-2.3792719999999998</v>
      </c>
      <c r="V4135">
        <v>-0.18576100000000001</v>
      </c>
      <c r="W4135">
        <v>-5.7469560000000001E-3</v>
      </c>
      <c r="X4135">
        <v>0.98257819999999996</v>
      </c>
      <c r="Y4135">
        <v>-0.41715279999999999</v>
      </c>
      <c r="Z4135">
        <v>3.3749250000000001E-2</v>
      </c>
      <c r="AA4135">
        <v>0.9082095</v>
      </c>
      <c r="AB4135">
        <v>22</v>
      </c>
      <c r="AC4135">
        <v>-0.57479999999998199</v>
      </c>
      <c r="AD4135">
        <v>-0.15004719999999999</v>
      </c>
      <c r="AE4135">
        <v>-0.76060000000001005</v>
      </c>
      <c r="AF4135">
        <v>-0.42453362333932898</v>
      </c>
      <c r="AG4135">
        <v>-0.15004719999999999</v>
      </c>
      <c r="AH4135">
        <v>0.82781021320528303</v>
      </c>
      <c r="AI4135">
        <v>99.162065278909196</v>
      </c>
      <c r="AJ4135">
        <v>117.15053469471999</v>
      </c>
      <c r="AK4135">
        <v>0.942344262284456</v>
      </c>
      <c r="AL4135">
        <v>90.329278120640794</v>
      </c>
      <c r="AM4135">
        <v>100.705681941447</v>
      </c>
      <c r="AN4135">
        <v>1.0000000478697499</v>
      </c>
    </row>
    <row r="4136" spans="1:40" x14ac:dyDescent="0.25">
      <c r="A4136" t="str">
        <f>"20190312150737687"</f>
        <v>20190312150737687</v>
      </c>
      <c r="B4136" t="str">
        <f>"1552374457683930"</f>
        <v>1552374457683930</v>
      </c>
      <c r="C4136" t="s">
        <v>40</v>
      </c>
      <c r="D4136">
        <v>4.4032989999999996</v>
      </c>
      <c r="E4136">
        <v>0.40818490000000002</v>
      </c>
      <c r="F4136" t="s">
        <v>61</v>
      </c>
      <c r="G4136">
        <v>-486.6542</v>
      </c>
      <c r="H4136" s="1">
        <v>1.1501889999999999E-6</v>
      </c>
      <c r="I4136">
        <v>273.69889999999998</v>
      </c>
      <c r="J4136">
        <v>-481.55059999999997</v>
      </c>
      <c r="K4136">
        <v>1.114997</v>
      </c>
      <c r="L4136">
        <v>279.97239999999999</v>
      </c>
      <c r="M4136">
        <v>-0.89875260000000001</v>
      </c>
      <c r="N4136">
        <v>0</v>
      </c>
      <c r="O4136">
        <v>-0.43822830000000002</v>
      </c>
      <c r="P4136">
        <v>-0.80161490000000002</v>
      </c>
      <c r="Q4136">
        <v>-1.7690919999999999E-2</v>
      </c>
      <c r="R4136">
        <v>-0.59757890000000002</v>
      </c>
      <c r="S4136">
        <v>-1.960297</v>
      </c>
      <c r="T4136">
        <v>-0.42000910000000002</v>
      </c>
      <c r="U4136">
        <v>-2.3831479999999998</v>
      </c>
      <c r="V4136">
        <v>-0.18575059999999999</v>
      </c>
      <c r="W4136">
        <v>-5.8603359999999998E-3</v>
      </c>
      <c r="X4136">
        <v>0.98257950000000005</v>
      </c>
      <c r="Y4136">
        <v>-0.41572379999999998</v>
      </c>
      <c r="Z4136">
        <v>3.2840899999999999E-2</v>
      </c>
      <c r="AA4136">
        <v>0.90889779999999998</v>
      </c>
      <c r="AB4136">
        <v>22</v>
      </c>
      <c r="AC4136">
        <v>-5.1036000000000197</v>
      </c>
      <c r="AD4136">
        <v>-1.114995849811</v>
      </c>
      <c r="AE4136">
        <v>-6.2735000000000101</v>
      </c>
      <c r="AF4136">
        <v>-3.3386597013991199</v>
      </c>
      <c r="AG4136">
        <v>-1.114995849811</v>
      </c>
      <c r="AH4136">
        <v>7.1999718505832897</v>
      </c>
      <c r="AI4136">
        <v>97.997234394268403</v>
      </c>
      <c r="AJ4136">
        <v>114.87736936894299</v>
      </c>
      <c r="AK4136">
        <v>8.0143283558907203</v>
      </c>
      <c r="AL4136">
        <v>90.335774424042199</v>
      </c>
      <c r="AM4136">
        <v>100.705082590126</v>
      </c>
      <c r="AN4136">
        <v>1.0000000513793199</v>
      </c>
    </row>
    <row r="4137" spans="1:40" x14ac:dyDescent="0.25">
      <c r="A4137" t="str">
        <f>"20190312150737701"</f>
        <v>20190312150737701</v>
      </c>
      <c r="B4137" t="str">
        <f>"1552374457694663"</f>
        <v>1552374457694663</v>
      </c>
      <c r="C4137" t="s">
        <v>40</v>
      </c>
      <c r="D4137">
        <v>4.4097819999999999</v>
      </c>
      <c r="E4137">
        <v>0.40833350000000002</v>
      </c>
      <c r="F4137" t="s">
        <v>41</v>
      </c>
      <c r="G4137">
        <v>-482.23590000000002</v>
      </c>
      <c r="H4137">
        <v>0.97470979999999996</v>
      </c>
      <c r="I4137">
        <v>279.13499999999999</v>
      </c>
      <c r="J4137">
        <v>-481.6669</v>
      </c>
      <c r="K4137">
        <v>1.115003</v>
      </c>
      <c r="L4137">
        <v>279.91000000000003</v>
      </c>
      <c r="M4137">
        <v>-0.89675070000000001</v>
      </c>
      <c r="N4137">
        <v>0</v>
      </c>
      <c r="O4137">
        <v>-0.44231039999999999</v>
      </c>
      <c r="P4137">
        <v>-0.79891939999999995</v>
      </c>
      <c r="Q4137">
        <v>-1.783558E-2</v>
      </c>
      <c r="R4137">
        <v>-0.60117359999999997</v>
      </c>
      <c r="S4137">
        <v>-1.9535830000000001</v>
      </c>
      <c r="T4137">
        <v>-0.39993050000000002</v>
      </c>
      <c r="U4137">
        <v>-2.3877259999999998</v>
      </c>
      <c r="V4137">
        <v>-0.1856961</v>
      </c>
      <c r="W4137">
        <v>-6.0041620000000004E-3</v>
      </c>
      <c r="X4137">
        <v>0.98258889999999999</v>
      </c>
      <c r="Y4137">
        <v>-0.41401359999999898</v>
      </c>
      <c r="Z4137">
        <v>3.1989770000000001E-2</v>
      </c>
      <c r="AA4137">
        <v>0.90970839999999997</v>
      </c>
      <c r="AB4137">
        <v>22</v>
      </c>
      <c r="AC4137">
        <v>-0.56900000000001605</v>
      </c>
      <c r="AD4137">
        <v>-0.14029320000000001</v>
      </c>
      <c r="AE4137">
        <v>-0.775000000000034</v>
      </c>
      <c r="AF4137">
        <v>-0.43410833639226998</v>
      </c>
      <c r="AG4137">
        <v>-0.14029320000000001</v>
      </c>
      <c r="AH4137">
        <v>0.83534067984995197</v>
      </c>
      <c r="AI4137">
        <v>98.4761393216979</v>
      </c>
      <c r="AJ4137">
        <v>117.45991610436</v>
      </c>
      <c r="AK4137">
        <v>0.95180159755260196</v>
      </c>
      <c r="AL4137">
        <v>90.344015202567206</v>
      </c>
      <c r="AM4137">
        <v>100.70191421483</v>
      </c>
      <c r="AN4137">
        <v>1.0000000189598699</v>
      </c>
    </row>
    <row r="4138" spans="1:40" x14ac:dyDescent="0.25">
      <c r="A4138" t="str">
        <f>"20190312150737714"</f>
        <v>20190312150737714</v>
      </c>
      <c r="B4138" t="str">
        <f>"1552374457704423"</f>
        <v>1552374457704423</v>
      </c>
      <c r="C4138" t="s">
        <v>40</v>
      </c>
      <c r="D4138">
        <v>4.416722</v>
      </c>
      <c r="E4138">
        <v>0.40849950000000002</v>
      </c>
      <c r="F4138" t="s">
        <v>61</v>
      </c>
      <c r="G4138">
        <v>-487.22719999999998</v>
      </c>
      <c r="H4138" s="1">
        <v>9.7517659999999897E-7</v>
      </c>
      <c r="I4138">
        <v>273.06009999999998</v>
      </c>
      <c r="J4138">
        <v>-481.77510000000001</v>
      </c>
      <c r="K4138">
        <v>1.1150070000000001</v>
      </c>
      <c r="L4138">
        <v>279.85129999999998</v>
      </c>
      <c r="M4138">
        <v>-0.89486030000000005</v>
      </c>
      <c r="N4138">
        <v>0</v>
      </c>
      <c r="O4138">
        <v>-0.44612289999999999</v>
      </c>
      <c r="P4138">
        <v>-0.7965295</v>
      </c>
      <c r="Q4138">
        <v>-1.818152E-2</v>
      </c>
      <c r="R4138">
        <v>-0.60432669999999999</v>
      </c>
      <c r="S4138">
        <v>-1.9441219999999999</v>
      </c>
      <c r="T4138">
        <v>-0.38985429999999999</v>
      </c>
      <c r="U4138">
        <v>-2.3950499999999999</v>
      </c>
      <c r="V4138">
        <v>-0.1853977</v>
      </c>
      <c r="W4138">
        <v>-6.3454059999999996E-3</v>
      </c>
      <c r="X4138">
        <v>0.98264309999999999</v>
      </c>
      <c r="Y4138">
        <v>-0.413692</v>
      </c>
      <c r="Z4138">
        <v>3.174573E-2</v>
      </c>
      <c r="AA4138">
        <v>0.90986330000000004</v>
      </c>
      <c r="AB4138">
        <v>22</v>
      </c>
      <c r="AC4138">
        <v>-5.4520999999999704</v>
      </c>
      <c r="AD4138">
        <v>-1.1150060248233999</v>
      </c>
      <c r="AE4138">
        <v>-6.7911999999999999</v>
      </c>
      <c r="AF4138">
        <v>-3.58644428149299</v>
      </c>
      <c r="AG4138">
        <v>-1.1150060248233999</v>
      </c>
      <c r="AH4138">
        <v>7.7818095134572101</v>
      </c>
      <c r="AI4138">
        <v>97.414154492911095</v>
      </c>
      <c r="AJ4138">
        <v>114.743811800058</v>
      </c>
      <c r="AK4138">
        <v>8.6407395703943894</v>
      </c>
      <c r="AL4138">
        <v>90.363567416858203</v>
      </c>
      <c r="AM4138">
        <v>100.684537503692</v>
      </c>
      <c r="AN4138">
        <v>1.0000000166601</v>
      </c>
    </row>
    <row r="4139" spans="1:40" x14ac:dyDescent="0.25">
      <c r="A4139" t="str">
        <f>"20190312150737729"</f>
        <v>20190312150737729</v>
      </c>
      <c r="B4139" t="str">
        <f>"1552374457723943"</f>
        <v>1552374457723943</v>
      </c>
      <c r="C4139" t="s">
        <v>40</v>
      </c>
      <c r="D4139">
        <v>4.5142680000000004</v>
      </c>
      <c r="E4139">
        <v>0.4089834</v>
      </c>
      <c r="F4139" t="s">
        <v>61</v>
      </c>
      <c r="G4139">
        <v>-487.35120000000001</v>
      </c>
      <c r="H4139" s="1">
        <v>9.405729E-7</v>
      </c>
      <c r="I4139">
        <v>272.93110000000001</v>
      </c>
      <c r="J4139">
        <v>-481.90449999999998</v>
      </c>
      <c r="K4139">
        <v>1.1150100000000001</v>
      </c>
      <c r="L4139">
        <v>279.78039999999999</v>
      </c>
      <c r="M4139">
        <v>-0.89256729999999995</v>
      </c>
      <c r="N4139">
        <v>0</v>
      </c>
      <c r="O4139">
        <v>-0.4506927</v>
      </c>
      <c r="P4139">
        <v>-0.79350159999999903</v>
      </c>
      <c r="Q4139">
        <v>-1.8286810000000001E-2</v>
      </c>
      <c r="R4139">
        <v>-0.60829369999999905</v>
      </c>
      <c r="S4139">
        <v>-1.9352720000000001</v>
      </c>
      <c r="T4139">
        <v>-0.38697730000000002</v>
      </c>
      <c r="U4139">
        <v>-2.401764</v>
      </c>
      <c r="V4139">
        <v>-0.1852762</v>
      </c>
      <c r="W4139">
        <v>-6.4477780000000004E-3</v>
      </c>
      <c r="X4139">
        <v>0.98266529999999996</v>
      </c>
      <c r="Y4139">
        <v>-0.41234730000000003</v>
      </c>
      <c r="Z4139">
        <v>3.2235279999999998E-2</v>
      </c>
      <c r="AA4139">
        <v>0.91045620000000005</v>
      </c>
      <c r="AB4139">
        <v>22</v>
      </c>
      <c r="AC4139">
        <v>-5.4467000000000203</v>
      </c>
      <c r="AD4139">
        <v>-1.1150090594271</v>
      </c>
      <c r="AE4139">
        <v>-6.8492999999999702</v>
      </c>
      <c r="AF4139">
        <v>-3.6005842199879501</v>
      </c>
      <c r="AG4139">
        <v>-1.1150090594271</v>
      </c>
      <c r="AH4139">
        <v>7.8222772137523604</v>
      </c>
      <c r="AI4139">
        <v>97.377840088714507</v>
      </c>
      <c r="AJ4139">
        <v>114.716555088391</v>
      </c>
      <c r="AK4139">
        <v>8.6830566470926698</v>
      </c>
      <c r="AL4139">
        <v>90.369433038289998</v>
      </c>
      <c r="AM4139">
        <v>100.677460786124</v>
      </c>
      <c r="AN4139">
        <v>0.99999996797583302</v>
      </c>
    </row>
    <row r="4140" spans="1:40" x14ac:dyDescent="0.25">
      <c r="A4140" t="str">
        <f>"20190312150737741"</f>
        <v>20190312150737741</v>
      </c>
      <c r="B4140" t="str">
        <f>"1552374457733703"</f>
        <v>1552374457733703</v>
      </c>
      <c r="C4140" t="s">
        <v>40</v>
      </c>
      <c r="D4140">
        <v>4.4513119999999997</v>
      </c>
      <c r="E4140">
        <v>0.40910560000000001</v>
      </c>
      <c r="F4140" t="s">
        <v>61</v>
      </c>
      <c r="G4140">
        <v>-487.45830000000001</v>
      </c>
      <c r="H4140" s="1">
        <v>9.1582809999999995E-7</v>
      </c>
      <c r="I4140">
        <v>272.83420000000001</v>
      </c>
      <c r="J4140">
        <v>-482.01900000000001</v>
      </c>
      <c r="K4140">
        <v>1.1150100000000001</v>
      </c>
      <c r="L4140">
        <v>279.71699999999998</v>
      </c>
      <c r="M4140">
        <v>-0.89051159999999996</v>
      </c>
      <c r="N4140">
        <v>0</v>
      </c>
      <c r="O4140">
        <v>-0.4547409</v>
      </c>
      <c r="P4140">
        <v>-0.79087529999999995</v>
      </c>
      <c r="Q4140">
        <v>-1.8387810000000001E-2</v>
      </c>
      <c r="R4140">
        <v>-0.61170139999999995</v>
      </c>
      <c r="S4140">
        <v>-1.9255679999999999</v>
      </c>
      <c r="T4140">
        <v>-0.38658589999999998</v>
      </c>
      <c r="U4140">
        <v>-2.408325</v>
      </c>
      <c r="V4140">
        <v>-0.18504139999999999</v>
      </c>
      <c r="W4140">
        <v>-6.5440009999999998E-3</v>
      </c>
      <c r="X4140">
        <v>0.9827089</v>
      </c>
      <c r="Y4140">
        <v>-0.41168589999999999</v>
      </c>
      <c r="Z4140">
        <v>3.2815049999999998E-2</v>
      </c>
      <c r="AA4140">
        <v>0.91073479999999996</v>
      </c>
      <c r="AB4140">
        <v>22</v>
      </c>
      <c r="AC4140">
        <v>-5.4393000000000002</v>
      </c>
      <c r="AD4140">
        <v>-1.11500908417189</v>
      </c>
      <c r="AE4140">
        <v>-6.8827999999999703</v>
      </c>
      <c r="AF4140">
        <v>-3.5979821524939801</v>
      </c>
      <c r="AG4140">
        <v>-1.11500908417189</v>
      </c>
      <c r="AH4140">
        <v>7.8476706579528299</v>
      </c>
      <c r="AI4140">
        <v>97.3592549833714</v>
      </c>
      <c r="AJ4140">
        <v>114.630401012189</v>
      </c>
      <c r="AK4140">
        <v>8.7048639037692492</v>
      </c>
      <c r="AL4140">
        <v>90.374946328485706</v>
      </c>
      <c r="AM4140">
        <v>100.663777525437</v>
      </c>
      <c r="AN4140">
        <v>0.99999996290112803</v>
      </c>
    </row>
    <row r="4141" spans="1:40" x14ac:dyDescent="0.25">
      <c r="A4141" t="str">
        <f>"20190312150737754"</f>
        <v>20190312150737754</v>
      </c>
      <c r="B4141" t="str">
        <f>"1552374457744439"</f>
        <v>1552374457744439</v>
      </c>
      <c r="C4141" t="s">
        <v>40</v>
      </c>
      <c r="D4141">
        <v>4.443727</v>
      </c>
      <c r="E4141">
        <v>0.4093658</v>
      </c>
      <c r="F4141" t="s">
        <v>61</v>
      </c>
      <c r="G4141">
        <v>-487.6019</v>
      </c>
      <c r="H4141" s="1">
        <v>8.7373229999999995E-7</v>
      </c>
      <c r="I4141">
        <v>272.67910000000001</v>
      </c>
      <c r="J4141">
        <v>-482.12</v>
      </c>
      <c r="K4141">
        <v>1.1150070000000001</v>
      </c>
      <c r="L4141">
        <v>279.66030000000001</v>
      </c>
      <c r="M4141">
        <v>-0.88867109999999905</v>
      </c>
      <c r="N4141">
        <v>0</v>
      </c>
      <c r="O4141">
        <v>-0.4583275</v>
      </c>
      <c r="P4141">
        <v>-0.7887805</v>
      </c>
      <c r="Q4141">
        <v>-1.8639329999999999E-2</v>
      </c>
      <c r="R4141">
        <v>-0.61439279999999996</v>
      </c>
      <c r="S4141">
        <v>-1.916107</v>
      </c>
      <c r="T4141">
        <v>-0.382683</v>
      </c>
      <c r="U4141">
        <v>-2.4154969999999998</v>
      </c>
      <c r="V4141">
        <v>-0.18442810000000001</v>
      </c>
      <c r="W4141">
        <v>-6.7855390000000002E-3</v>
      </c>
      <c r="X4141">
        <v>0.98282259999999999</v>
      </c>
      <c r="Y4141">
        <v>-0.4115376</v>
      </c>
      <c r="Z4141">
        <v>3.2990709999999999E-2</v>
      </c>
      <c r="AA4141">
        <v>0.91079549999999998</v>
      </c>
      <c r="AB4141">
        <v>22</v>
      </c>
      <c r="AC4141">
        <v>-5.4818999999999898</v>
      </c>
      <c r="AD4141">
        <v>-1.11500612626769</v>
      </c>
      <c r="AE4141">
        <v>-6.9812000000000003</v>
      </c>
      <c r="AF4141">
        <v>-3.6345030659279098</v>
      </c>
      <c r="AG4141">
        <v>-1.11500612626769</v>
      </c>
      <c r="AH4141">
        <v>7.9466930144668497</v>
      </c>
      <c r="AI4141">
        <v>97.271562166277207</v>
      </c>
      <c r="AJ4141">
        <v>114.57748243809399</v>
      </c>
      <c r="AK4141">
        <v>8.8092440688194298</v>
      </c>
      <c r="AL4141">
        <v>90.388785724008102</v>
      </c>
      <c r="AM4141">
        <v>100.628038575611</v>
      </c>
      <c r="AN4141">
        <v>1.00000001533994</v>
      </c>
    </row>
    <row r="4142" spans="1:40" x14ac:dyDescent="0.25">
      <c r="A4142" t="str">
        <f>"20190312150737765"</f>
        <v>20190312150737765</v>
      </c>
      <c r="B4142" t="str">
        <f>"1552374457754199"</f>
        <v>1552374457754199</v>
      </c>
      <c r="C4142" t="s">
        <v>40</v>
      </c>
      <c r="D4142">
        <v>4.5071050000000001</v>
      </c>
      <c r="E4142">
        <v>0.4096822</v>
      </c>
      <c r="F4142" t="s">
        <v>61</v>
      </c>
      <c r="G4142">
        <v>-487.72030000000001</v>
      </c>
      <c r="H4142" s="1">
        <v>8.4231519999999899E-7</v>
      </c>
      <c r="I4142">
        <v>272.56049999999999</v>
      </c>
      <c r="J4142">
        <v>-482.21870000000001</v>
      </c>
      <c r="K4142">
        <v>1.115005</v>
      </c>
      <c r="L4142">
        <v>279.6046</v>
      </c>
      <c r="M4142">
        <v>-0.88685599999999998</v>
      </c>
      <c r="N4142">
        <v>0</v>
      </c>
      <c r="O4142">
        <v>-0.46182980000000001</v>
      </c>
      <c r="P4142">
        <v>-0.78651780000000004</v>
      </c>
      <c r="Q4142">
        <v>-1.8750760000000002E-2</v>
      </c>
      <c r="R4142">
        <v>-0.61728300000000003</v>
      </c>
      <c r="S4142">
        <v>-1.909149</v>
      </c>
      <c r="T4142">
        <v>-0.38010470000000002</v>
      </c>
      <c r="U4142">
        <v>-2.4203190000000001</v>
      </c>
      <c r="V4142">
        <v>-0.1841576</v>
      </c>
      <c r="W4142">
        <v>-6.891594E-3</v>
      </c>
      <c r="X4142">
        <v>0.98287259999999999</v>
      </c>
      <c r="Y4142">
        <v>-0.41046319999999997</v>
      </c>
      <c r="Z4142">
        <v>3.3320530000000001E-2</v>
      </c>
      <c r="AA4142">
        <v>0.91126819999999997</v>
      </c>
      <c r="AB4142">
        <v>22</v>
      </c>
      <c r="AC4142">
        <v>-5.5015999999999901</v>
      </c>
      <c r="AD4142">
        <v>-1.1150041576848</v>
      </c>
      <c r="AE4142">
        <v>-7.04410000000001</v>
      </c>
      <c r="AF4142">
        <v>-3.6498688044866698</v>
      </c>
      <c r="AG4142">
        <v>-1.1150041576848</v>
      </c>
      <c r="AH4142">
        <v>8.0084828993665695</v>
      </c>
      <c r="AI4142">
        <v>97.2203836515462</v>
      </c>
      <c r="AJ4142">
        <v>114.50114262056501</v>
      </c>
      <c r="AK4142">
        <v>8.8713344492847401</v>
      </c>
      <c r="AL4142">
        <v>90.394862363418895</v>
      </c>
      <c r="AM4142">
        <v>100.61227720714599</v>
      </c>
      <c r="AN4142">
        <v>1.0000000317681801</v>
      </c>
    </row>
    <row r="4143" spans="1:40" x14ac:dyDescent="0.25">
      <c r="A4143" t="str">
        <f>"20190312150737776"</f>
        <v>20190312150737776</v>
      </c>
      <c r="B4143" t="str">
        <f>"1552374457773719"</f>
        <v>1552374457773719</v>
      </c>
      <c r="C4143" t="s">
        <v>40</v>
      </c>
      <c r="D4143">
        <v>4.4249640000000001</v>
      </c>
      <c r="E4143">
        <v>0.41022819999999999</v>
      </c>
      <c r="F4143" t="s">
        <v>41</v>
      </c>
      <c r="G4143">
        <v>-482.89909999999998</v>
      </c>
      <c r="H4143">
        <v>0.97907259999999996</v>
      </c>
      <c r="I4143">
        <v>278.73739999999998</v>
      </c>
      <c r="J4143">
        <v>-482.30900000000003</v>
      </c>
      <c r="K4143">
        <v>1.115002</v>
      </c>
      <c r="L4143">
        <v>279.553</v>
      </c>
      <c r="M4143">
        <v>-0.88517479999999904</v>
      </c>
      <c r="N4143">
        <v>0</v>
      </c>
      <c r="O4143">
        <v>-0.46504430000000002</v>
      </c>
      <c r="P4143">
        <v>-0.78444999999999998</v>
      </c>
      <c r="Q4143">
        <v>-1.884957E-2</v>
      </c>
      <c r="R4143">
        <v>-0.61990619999999996</v>
      </c>
      <c r="S4143">
        <v>-1.901794</v>
      </c>
      <c r="T4143">
        <v>-0.37997989999999998</v>
      </c>
      <c r="U4143">
        <v>-2.4252929999999999</v>
      </c>
      <c r="V4143">
        <v>-0.18387390000000001</v>
      </c>
      <c r="W4143">
        <v>-6.9846190000000001E-3</v>
      </c>
      <c r="X4143">
        <v>0.9829251</v>
      </c>
      <c r="Y4143">
        <v>-0.40979559999999998</v>
      </c>
      <c r="Z4143">
        <v>3.3796449999999999E-2</v>
      </c>
      <c r="AA4143">
        <v>0.91155109999999995</v>
      </c>
      <c r="AB4143">
        <v>22</v>
      </c>
      <c r="AC4143">
        <v>-0.590099999999949</v>
      </c>
      <c r="AD4143">
        <v>-0.13592939999999901</v>
      </c>
      <c r="AE4143">
        <v>-0.81560000000001698</v>
      </c>
      <c r="AF4143">
        <v>-0.43955650526171203</v>
      </c>
      <c r="AG4143">
        <v>-0.13592939999999901</v>
      </c>
      <c r="AH4143">
        <v>0.88557576658221404</v>
      </c>
      <c r="AI4143">
        <v>97.828408151959096</v>
      </c>
      <c r="AJ4143">
        <v>116.397553893444</v>
      </c>
      <c r="AK4143">
        <v>0.99796350707825299</v>
      </c>
      <c r="AL4143">
        <v>90.4001924144859</v>
      </c>
      <c r="AM4143">
        <v>100.595746051601</v>
      </c>
      <c r="AN4143">
        <v>1.00000007410689</v>
      </c>
    </row>
    <row r="4144" spans="1:40" x14ac:dyDescent="0.25">
      <c r="A4144" t="str">
        <f>"20190312150737788"</f>
        <v>20190312150737788</v>
      </c>
      <c r="B4144" t="str">
        <f>"1552374457784459"</f>
        <v>1552374457784459</v>
      </c>
      <c r="C4144" t="s">
        <v>40</v>
      </c>
      <c r="D4144">
        <v>4.5193479999999999</v>
      </c>
      <c r="E4144">
        <v>0.41048370000000001</v>
      </c>
      <c r="F4144" t="s">
        <v>61</v>
      </c>
      <c r="G4144">
        <v>-487.8999</v>
      </c>
      <c r="H4144" s="1">
        <v>7.9994229999999998E-7</v>
      </c>
      <c r="I4144">
        <v>272.3956</v>
      </c>
      <c r="J4144">
        <v>-482.40620000000001</v>
      </c>
      <c r="K4144">
        <v>1.114997</v>
      </c>
      <c r="L4144">
        <v>279.49700000000001</v>
      </c>
      <c r="M4144">
        <v>-0.88334609999999902</v>
      </c>
      <c r="N4144">
        <v>0</v>
      </c>
      <c r="O4144">
        <v>-0.46850819999999999</v>
      </c>
      <c r="P4144">
        <v>-0.7823099</v>
      </c>
      <c r="Q4144">
        <v>-1.897832E-2</v>
      </c>
      <c r="R4144">
        <v>-0.62260009999999999</v>
      </c>
      <c r="S4144">
        <v>-1.896576</v>
      </c>
      <c r="T4144">
        <v>-0.37823679999999998</v>
      </c>
      <c r="U4144">
        <v>-2.4279790000000001</v>
      </c>
      <c r="V4144">
        <v>-0.18340409999999999</v>
      </c>
      <c r="W4144">
        <v>-7.1048830000000002E-3</v>
      </c>
      <c r="X4144">
        <v>0.983012</v>
      </c>
      <c r="Y4144">
        <v>-0.40795619999999999</v>
      </c>
      <c r="Z4144">
        <v>3.4239190000000003E-2</v>
      </c>
      <c r="AA4144">
        <v>0.91235929999999998</v>
      </c>
      <c r="AB4144">
        <v>22</v>
      </c>
      <c r="AC4144">
        <v>-5.4936999999999898</v>
      </c>
      <c r="AD4144">
        <v>-1.1149962000577001</v>
      </c>
      <c r="AE4144">
        <v>-7.1014000000000097</v>
      </c>
      <c r="AF4144">
        <v>-3.6433307420513401</v>
      </c>
      <c r="AG4144">
        <v>-1.1149962000577001</v>
      </c>
      <c r="AH4144">
        <v>8.0564688146658696</v>
      </c>
      <c r="AI4144">
        <v>97.187210123601403</v>
      </c>
      <c r="AJ4144">
        <v>114.33363741365901</v>
      </c>
      <c r="AK4144">
        <v>8.9120011884987598</v>
      </c>
      <c r="AL4144">
        <v>90.407083207206199</v>
      </c>
      <c r="AM4144">
        <v>100.56837124441</v>
      </c>
      <c r="AN4144">
        <v>1.0000000677016201</v>
      </c>
    </row>
    <row r="4145" spans="1:40" x14ac:dyDescent="0.25">
      <c r="A4145" t="str">
        <f>"20190312150737801"</f>
        <v>20190312150737801</v>
      </c>
      <c r="B4145" t="str">
        <f>"1552374457794215"</f>
        <v>1552374457794215</v>
      </c>
      <c r="C4145" t="s">
        <v>40</v>
      </c>
      <c r="D4145">
        <v>4.4924339999999896</v>
      </c>
      <c r="E4145">
        <v>0.4106766</v>
      </c>
      <c r="F4145" t="s">
        <v>61</v>
      </c>
      <c r="G4145">
        <v>-487.97480000000002</v>
      </c>
      <c r="H4145" s="1">
        <v>7.8221909999999898E-7</v>
      </c>
      <c r="I4145">
        <v>272.32670000000002</v>
      </c>
      <c r="J4145">
        <v>-482.51069999999999</v>
      </c>
      <c r="K4145">
        <v>1.1149910000000001</v>
      </c>
      <c r="L4145">
        <v>279.43630000000002</v>
      </c>
      <c r="M4145">
        <v>-0.88135919999999901</v>
      </c>
      <c r="N4145">
        <v>0</v>
      </c>
      <c r="O4145">
        <v>-0.47223530000000002</v>
      </c>
      <c r="P4145">
        <v>-0.77970620000000002</v>
      </c>
      <c r="Q4145">
        <v>-1.8946560000000001E-2</v>
      </c>
      <c r="R4145">
        <v>-0.62585869999999999</v>
      </c>
      <c r="S4145">
        <v>-1.8894040000000001</v>
      </c>
      <c r="T4145">
        <v>-0.37831520000000002</v>
      </c>
      <c r="U4145">
        <v>-2.4328919999999998</v>
      </c>
      <c r="V4145">
        <v>-0.18335299999999999</v>
      </c>
      <c r="W4145">
        <v>-7.0701180000000002E-3</v>
      </c>
      <c r="X4145">
        <v>0.9830217</v>
      </c>
      <c r="Y4145">
        <v>-0.4066978</v>
      </c>
      <c r="Z4145">
        <v>3.4836550000000001E-2</v>
      </c>
      <c r="AA4145">
        <v>0.91289830000000005</v>
      </c>
      <c r="AB4145">
        <v>22</v>
      </c>
      <c r="AC4145">
        <v>-5.4641000000000197</v>
      </c>
      <c r="AD4145">
        <v>-1.1149902177808999</v>
      </c>
      <c r="AE4145">
        <v>-7.1096000000000004</v>
      </c>
      <c r="AF4145">
        <v>-3.6300107885667798</v>
      </c>
      <c r="AG4145">
        <v>-1.1149902177808999</v>
      </c>
      <c r="AH4145">
        <v>8.0495911610037201</v>
      </c>
      <c r="AI4145">
        <v>97.196635604856894</v>
      </c>
      <c r="AJ4145">
        <v>114.273275954974</v>
      </c>
      <c r="AK4145">
        <v>8.9003426546491795</v>
      </c>
      <c r="AL4145">
        <v>90.405091302663294</v>
      </c>
      <c r="AM4145">
        <v>100.565391087919</v>
      </c>
      <c r="AN4145">
        <v>0.99999998592421102</v>
      </c>
    </row>
    <row r="4146" spans="1:40" x14ac:dyDescent="0.25">
      <c r="A4146" t="str">
        <f>"20190312150737822"</f>
        <v>20190312150737822</v>
      </c>
      <c r="B4146" t="str">
        <f>"1552374457813734"</f>
        <v>1552374457813734</v>
      </c>
      <c r="C4146" t="s">
        <v>40</v>
      </c>
      <c r="D4146">
        <v>4.5092470000000002</v>
      </c>
      <c r="E4146">
        <v>0.41120800000000002</v>
      </c>
      <c r="F4146" t="s">
        <v>61</v>
      </c>
      <c r="G4146">
        <v>-488.03649999999999</v>
      </c>
      <c r="H4146" s="1">
        <v>7.6702549999999999E-7</v>
      </c>
      <c r="I4146">
        <v>272.26819999999998</v>
      </c>
      <c r="J4146">
        <v>-482.69099999999997</v>
      </c>
      <c r="K4146">
        <v>1.1149830000000001</v>
      </c>
      <c r="L4146">
        <v>279.33019999999999</v>
      </c>
      <c r="M4146">
        <v>-0.87787950000000003</v>
      </c>
      <c r="N4146">
        <v>0</v>
      </c>
      <c r="O4146">
        <v>-0.47867300000000002</v>
      </c>
      <c r="P4146">
        <v>-0.77562310000000001</v>
      </c>
      <c r="Q4146">
        <v>-1.9310480000000001E-2</v>
      </c>
      <c r="R4146">
        <v>-0.63090100000000005</v>
      </c>
      <c r="S4146">
        <v>-1.8804320000000001</v>
      </c>
      <c r="T4146">
        <v>-0.3794322</v>
      </c>
      <c r="U4146">
        <v>-2.4393310000000001</v>
      </c>
      <c r="V4146">
        <v>-0.18253269999999999</v>
      </c>
      <c r="W4146">
        <v>-7.419035E-3</v>
      </c>
      <c r="X4146">
        <v>0.98317180000000004</v>
      </c>
      <c r="Y4146">
        <v>-0.40333770000000002</v>
      </c>
      <c r="Z4146">
        <v>3.6028669999999999E-2</v>
      </c>
      <c r="AA4146">
        <v>0.91434170000000003</v>
      </c>
      <c r="AB4146">
        <v>22</v>
      </c>
      <c r="AC4146">
        <v>-5.3455000000000101</v>
      </c>
      <c r="AD4146">
        <v>-1.1149822329745001</v>
      </c>
      <c r="AE4146">
        <v>-7.06200000000001</v>
      </c>
      <c r="AF4146">
        <v>-3.5843980183603401</v>
      </c>
      <c r="AG4146">
        <v>-1.1149822329745001</v>
      </c>
      <c r="AH4146">
        <v>7.9479440293968899</v>
      </c>
      <c r="AI4146">
        <v>97.287562512578205</v>
      </c>
      <c r="AJ4146">
        <v>114.27462745787101</v>
      </c>
      <c r="AK4146">
        <v>8.7898184752758208</v>
      </c>
      <c r="AL4146">
        <v>90.425083289592905</v>
      </c>
      <c r="AM4146">
        <v>100.517609966972</v>
      </c>
      <c r="AN4146">
        <v>1.0000000084824301</v>
      </c>
    </row>
    <row r="4147" spans="1:40" x14ac:dyDescent="0.25">
      <c r="A4147" t="str">
        <f>"20190312150737835"</f>
        <v>20190312150737835</v>
      </c>
      <c r="B4147" t="str">
        <f>"1552374457824471"</f>
        <v>1552374457824471</v>
      </c>
      <c r="C4147" t="s">
        <v>40</v>
      </c>
      <c r="D4147">
        <v>4.4884399999999998</v>
      </c>
      <c r="E4147">
        <v>0.41145280000000001</v>
      </c>
      <c r="F4147" t="s">
        <v>61</v>
      </c>
      <c r="G4147">
        <v>-488.13279999999997</v>
      </c>
      <c r="H4147" s="1">
        <v>7.490872E-7</v>
      </c>
      <c r="I4147">
        <v>272.19330000000002</v>
      </c>
      <c r="J4147">
        <v>-482.79570000000001</v>
      </c>
      <c r="K4147">
        <v>1.1149789999999999</v>
      </c>
      <c r="L4147">
        <v>279.26760000000002</v>
      </c>
      <c r="M4147">
        <v>-0.87582490000000002</v>
      </c>
      <c r="N4147">
        <v>0</v>
      </c>
      <c r="O4147">
        <v>-0.48242220000000002</v>
      </c>
      <c r="P4147">
        <v>-0.77311869999999905</v>
      </c>
      <c r="Q4147">
        <v>-1.9701360000000001E-2</v>
      </c>
      <c r="R4147">
        <v>-0.63395570000000001</v>
      </c>
      <c r="S4147">
        <v>-1.8668210000000001</v>
      </c>
      <c r="T4147">
        <v>-0.38249709999999998</v>
      </c>
      <c r="U4147">
        <v>-2.448334</v>
      </c>
      <c r="V4147">
        <v>-0.18220819999999999</v>
      </c>
      <c r="W4147">
        <v>-7.8036269999999996E-3</v>
      </c>
      <c r="X4147">
        <v>0.98322900000000002</v>
      </c>
      <c r="Y4147">
        <v>-0.4042789</v>
      </c>
      <c r="Z4147">
        <v>3.6788620000000001E-2</v>
      </c>
      <c r="AA4147">
        <v>0.91389560000000003</v>
      </c>
      <c r="AB4147">
        <v>22</v>
      </c>
      <c r="AC4147">
        <v>-5.3370999999999604</v>
      </c>
      <c r="AD4147">
        <v>-1.1149782509127999</v>
      </c>
      <c r="AE4147">
        <v>-7.0742999999999903</v>
      </c>
      <c r="AF4147">
        <v>-3.5650375417829001</v>
      </c>
      <c r="AG4147">
        <v>-1.1149782509127999</v>
      </c>
      <c r="AH4147">
        <v>7.9619300194864397</v>
      </c>
      <c r="AI4147">
        <v>97.283552248776004</v>
      </c>
      <c r="AJ4147">
        <v>114.12094864849099</v>
      </c>
      <c r="AK4147">
        <v>8.7946005486053398</v>
      </c>
      <c r="AL4147">
        <v>90.447119432052304</v>
      </c>
      <c r="AM4147">
        <v>100.498731052026</v>
      </c>
      <c r="AN4147">
        <v>0.99999999559129704</v>
      </c>
    </row>
    <row r="4148" spans="1:40" x14ac:dyDescent="0.25">
      <c r="A4148" t="str">
        <f>"20190312150737846"</f>
        <v>20190312150737846</v>
      </c>
      <c r="B4148" t="str">
        <f>"1552374457843991"</f>
        <v>1552374457843991</v>
      </c>
      <c r="C4148" t="s">
        <v>40</v>
      </c>
      <c r="D4148">
        <v>4.4612270000000001</v>
      </c>
      <c r="E4148">
        <v>0.41192770000000001</v>
      </c>
      <c r="F4148" t="s">
        <v>61</v>
      </c>
      <c r="G4148">
        <v>-488.17750000000001</v>
      </c>
      <c r="H4148" s="1">
        <v>7.4151619999999896E-7</v>
      </c>
      <c r="I4148">
        <v>272.16070000000002</v>
      </c>
      <c r="J4148">
        <v>-482.89350000000002</v>
      </c>
      <c r="K4148">
        <v>1.114976</v>
      </c>
      <c r="L4148">
        <v>279.20870000000002</v>
      </c>
      <c r="M4148">
        <v>-0.87388429999999995</v>
      </c>
      <c r="N4148">
        <v>0</v>
      </c>
      <c r="O4148">
        <v>-0.48592859999999999</v>
      </c>
      <c r="P4148">
        <v>-0.77073709999999995</v>
      </c>
      <c r="Q4148">
        <v>-2.001855E-2</v>
      </c>
      <c r="R4148">
        <v>-0.63683900000000004</v>
      </c>
      <c r="S4148">
        <v>-1.8583069999999999</v>
      </c>
      <c r="T4148">
        <v>-0.3849958</v>
      </c>
      <c r="U4148">
        <v>-2.4539789999999999</v>
      </c>
      <c r="V4148">
        <v>-0.1819405</v>
      </c>
      <c r="W4148">
        <v>-8.1156359999999903E-3</v>
      </c>
      <c r="X4148">
        <v>0.98327609999999999</v>
      </c>
      <c r="Y4148">
        <v>-0.4036672</v>
      </c>
      <c r="Z4148">
        <v>3.755936E-2</v>
      </c>
      <c r="AA4148">
        <v>0.91413460000000002</v>
      </c>
      <c r="AB4148">
        <v>22</v>
      </c>
      <c r="AC4148">
        <v>-5.28399999999999</v>
      </c>
      <c r="AD4148">
        <v>-1.1149752584838</v>
      </c>
      <c r="AE4148">
        <v>-7.048</v>
      </c>
      <c r="AF4148">
        <v>-3.5352098031266799</v>
      </c>
      <c r="AG4148">
        <v>-1.1149752584838</v>
      </c>
      <c r="AH4148">
        <v>7.91640146530096</v>
      </c>
      <c r="AI4148">
        <v>97.328189047505106</v>
      </c>
      <c r="AJ4148">
        <v>114.063999563274</v>
      </c>
      <c r="AK4148">
        <v>8.7412979779305804</v>
      </c>
      <c r="AL4148">
        <v>90.464996772582893</v>
      </c>
      <c r="AM4148">
        <v>100.48315750750599</v>
      </c>
      <c r="AN4148">
        <v>1.00000004895957</v>
      </c>
    </row>
    <row r="4149" spans="1:40" x14ac:dyDescent="0.25">
      <c r="A4149" t="str">
        <f>"20190312150737858"</f>
        <v>20190312150737858</v>
      </c>
      <c r="B4149" t="str">
        <f>"1552374457853751"</f>
        <v>1552374457853751</v>
      </c>
      <c r="C4149" t="s">
        <v>40</v>
      </c>
      <c r="D4149">
        <v>4.5028839999999999</v>
      </c>
      <c r="E4149">
        <v>0.4121418</v>
      </c>
      <c r="F4149" t="s">
        <v>61</v>
      </c>
      <c r="G4149">
        <v>-488.21850000000001</v>
      </c>
      <c r="H4149" s="1">
        <v>7.3683390000000003E-7</v>
      </c>
      <c r="I4149">
        <v>272.13709999999998</v>
      </c>
      <c r="J4149">
        <v>-482.9896</v>
      </c>
      <c r="K4149">
        <v>1.1149720000000001</v>
      </c>
      <c r="L4149">
        <v>279.15019999999998</v>
      </c>
      <c r="M4149">
        <v>-0.87195610000000001</v>
      </c>
      <c r="N4149">
        <v>0</v>
      </c>
      <c r="O4149">
        <v>-0.48938039999999999</v>
      </c>
      <c r="P4149">
        <v>-0.76845889999999994</v>
      </c>
      <c r="Q4149">
        <v>-2.0151039999999999E-2</v>
      </c>
      <c r="R4149">
        <v>-0.63958230000000005</v>
      </c>
      <c r="S4149">
        <v>-1.8510740000000001</v>
      </c>
      <c r="T4149">
        <v>-0.3875884</v>
      </c>
      <c r="U4149">
        <v>-2.458221</v>
      </c>
      <c r="V4149">
        <v>-0.18155769999999999</v>
      </c>
      <c r="W4149">
        <v>-8.2420500000000008E-3</v>
      </c>
      <c r="X4149">
        <v>0.98334569999999999</v>
      </c>
      <c r="Y4149">
        <v>-0.40255410000000003</v>
      </c>
      <c r="Z4149">
        <v>3.8374079999999998E-2</v>
      </c>
      <c r="AA4149">
        <v>0.91459159999999995</v>
      </c>
      <c r="AB4149">
        <v>22</v>
      </c>
      <c r="AC4149">
        <v>-5.2289000000000003</v>
      </c>
      <c r="AD4149">
        <v>-1.1149712631661</v>
      </c>
      <c r="AE4149">
        <v>-7.0130999999999997</v>
      </c>
      <c r="AF4149">
        <v>-3.4996955864392998</v>
      </c>
      <c r="AG4149">
        <v>-1.1149712631661</v>
      </c>
      <c r="AH4149">
        <v>7.8644819085679796</v>
      </c>
      <c r="AI4149">
        <v>97.380264812822602</v>
      </c>
      <c r="AJ4149">
        <v>113.989070924603</v>
      </c>
      <c r="AK4149">
        <v>8.6799254493124494</v>
      </c>
      <c r="AL4149">
        <v>90.472240050961105</v>
      </c>
      <c r="AM4149">
        <v>100.460864453661</v>
      </c>
      <c r="AN4149">
        <v>0.99999994776298895</v>
      </c>
    </row>
    <row r="4150" spans="1:40" x14ac:dyDescent="0.25">
      <c r="A4150" t="str">
        <f>"20190312150737868"</f>
        <v>20190312150737868</v>
      </c>
      <c r="B4150" t="str">
        <f>"1552374457864488"</f>
        <v>1552374457864488</v>
      </c>
      <c r="C4150" t="s">
        <v>40</v>
      </c>
      <c r="D4150">
        <v>4.4968830000000004</v>
      </c>
      <c r="E4150">
        <v>0.41237770000000001</v>
      </c>
      <c r="F4150" t="s">
        <v>61</v>
      </c>
      <c r="G4150">
        <v>-488.28230000000002</v>
      </c>
      <c r="H4150" s="1">
        <v>7.2126099999999996E-7</v>
      </c>
      <c r="I4150">
        <v>272.07709999999997</v>
      </c>
      <c r="J4150">
        <v>-483.06990000000002</v>
      </c>
      <c r="K4150">
        <v>1.1149709999999999</v>
      </c>
      <c r="L4150">
        <v>279.101</v>
      </c>
      <c r="M4150">
        <v>-0.87032969999999898</v>
      </c>
      <c r="N4150">
        <v>0</v>
      </c>
      <c r="O4150">
        <v>-0.4922666</v>
      </c>
      <c r="P4150">
        <v>-0.76638589999999995</v>
      </c>
      <c r="Q4150">
        <v>-2.011717E-2</v>
      </c>
      <c r="R4150">
        <v>-0.64206569999999996</v>
      </c>
      <c r="S4150">
        <v>-1.8433839999999999</v>
      </c>
      <c r="T4150">
        <v>-0.38832749999999999</v>
      </c>
      <c r="U4150">
        <v>-2.46347</v>
      </c>
      <c r="V4150">
        <v>-0.1814818</v>
      </c>
      <c r="W4150">
        <v>-8.2066250000000004E-3</v>
      </c>
      <c r="X4150">
        <v>0.98336009999999996</v>
      </c>
      <c r="Y4150">
        <v>-0.40230569999999999</v>
      </c>
      <c r="Z4150">
        <v>3.8872120000000003E-2</v>
      </c>
      <c r="AA4150">
        <v>0.91467980000000004</v>
      </c>
      <c r="AB4150">
        <v>22</v>
      </c>
      <c r="AC4150">
        <v>-5.2123999999999997</v>
      </c>
      <c r="AD4150">
        <v>-1.1149702787389999</v>
      </c>
      <c r="AE4150">
        <v>-7.0239000000000198</v>
      </c>
      <c r="AF4150">
        <v>-3.49084814422408</v>
      </c>
      <c r="AG4150">
        <v>-1.1149702787389999</v>
      </c>
      <c r="AH4150">
        <v>7.8670999831646604</v>
      </c>
      <c r="AI4150">
        <v>97.381276215676493</v>
      </c>
      <c r="AJ4150">
        <v>113.92817487212</v>
      </c>
      <c r="AK4150">
        <v>8.6787350249684092</v>
      </c>
      <c r="AL4150">
        <v>90.470210236152496</v>
      </c>
      <c r="AM4150">
        <v>100.456438034058</v>
      </c>
      <c r="AN4150">
        <v>1.00000003934856</v>
      </c>
    </row>
    <row r="4151" spans="1:40" x14ac:dyDescent="0.25">
      <c r="A4151" t="str">
        <f>"20190312150737878"</f>
        <v>20190312150737878</v>
      </c>
      <c r="B4151" t="str">
        <f>"1552374457874247"</f>
        <v>1552374457874247</v>
      </c>
      <c r="C4151" t="s">
        <v>40</v>
      </c>
      <c r="D4151">
        <v>4.5220219999999998</v>
      </c>
      <c r="E4151">
        <v>0.41267609999999899</v>
      </c>
      <c r="F4151" t="s">
        <v>61</v>
      </c>
      <c r="G4151">
        <v>-488.3313</v>
      </c>
      <c r="H4151" s="1">
        <v>7.0954409999999898E-7</v>
      </c>
      <c r="I4151">
        <v>272.03160000000003</v>
      </c>
      <c r="J4151">
        <v>-483.15190000000001</v>
      </c>
      <c r="K4151">
        <v>1.114973</v>
      </c>
      <c r="L4151">
        <v>279.05029999999999</v>
      </c>
      <c r="M4151">
        <v>-0.86865059999999905</v>
      </c>
      <c r="N4151">
        <v>0</v>
      </c>
      <c r="O4151">
        <v>-0.49522379999999999</v>
      </c>
      <c r="P4151">
        <v>-0.76433680000000004</v>
      </c>
      <c r="Q4151">
        <v>-2.0281790000000001E-2</v>
      </c>
      <c r="R4151">
        <v>-0.64449880000000004</v>
      </c>
      <c r="S4151">
        <v>-1.8367309999999999</v>
      </c>
      <c r="T4151">
        <v>-0.38922639999999997</v>
      </c>
      <c r="U4151">
        <v>-2.4678650000000002</v>
      </c>
      <c r="V4151">
        <v>-0.18126390000000001</v>
      </c>
      <c r="W4151">
        <v>-8.3682059999999996E-3</v>
      </c>
      <c r="X4151">
        <v>0.98339889999999996</v>
      </c>
      <c r="Y4151">
        <v>-0.40158189999999999</v>
      </c>
      <c r="Z4151">
        <v>3.9428230000000002E-2</v>
      </c>
      <c r="AA4151">
        <v>0.91497399999999995</v>
      </c>
      <c r="AB4151">
        <v>22</v>
      </c>
      <c r="AC4151">
        <v>-5.1793999999999798</v>
      </c>
      <c r="AD4151">
        <v>-1.1149722904558901</v>
      </c>
      <c r="AE4151">
        <v>-7.01869999999996</v>
      </c>
      <c r="AF4151">
        <v>-3.4754055723509598</v>
      </c>
      <c r="AG4151">
        <v>-1.1149722904558901</v>
      </c>
      <c r="AH4151">
        <v>7.8474962172397502</v>
      </c>
      <c r="AI4151">
        <v>97.401854588521999</v>
      </c>
      <c r="AJ4151">
        <v>113.887023760331</v>
      </c>
      <c r="AK4151">
        <v>8.6547561479457507</v>
      </c>
      <c r="AL4151">
        <v>90.479468475999198</v>
      </c>
      <c r="AM4151">
        <v>100.44375671032201</v>
      </c>
      <c r="AN4151">
        <v>1.0000000124180299</v>
      </c>
    </row>
    <row r="4152" spans="1:40" x14ac:dyDescent="0.25">
      <c r="A4152" t="str">
        <f>"20190312150737888"</f>
        <v>20190312150737888</v>
      </c>
      <c r="B4152" t="str">
        <f>"1552374457884007"</f>
        <v>1552374457884007</v>
      </c>
      <c r="C4152" t="s">
        <v>40</v>
      </c>
      <c r="D4152">
        <v>4.5315890000000003</v>
      </c>
      <c r="E4152">
        <v>0.41280739999999999</v>
      </c>
      <c r="F4152" t="s">
        <v>61</v>
      </c>
      <c r="G4152">
        <v>-488.3843</v>
      </c>
      <c r="H4152" s="1">
        <v>6.9734610000000002E-7</v>
      </c>
      <c r="I4152">
        <v>271.98379999999997</v>
      </c>
      <c r="J4152">
        <v>-483.24009999999998</v>
      </c>
      <c r="K4152">
        <v>1.11497</v>
      </c>
      <c r="L4152">
        <v>278.99540000000002</v>
      </c>
      <c r="M4152">
        <v>-0.86682879999999995</v>
      </c>
      <c r="N4152">
        <v>0</v>
      </c>
      <c r="O4152">
        <v>-0.4984055</v>
      </c>
      <c r="P4152">
        <v>-0.76202320000000001</v>
      </c>
      <c r="Q4152">
        <v>-2.002458E-2</v>
      </c>
      <c r="R4152">
        <v>-0.64724009999999998</v>
      </c>
      <c r="S4152">
        <v>-1.830322</v>
      </c>
      <c r="T4152">
        <v>-0.3900248</v>
      </c>
      <c r="U4152">
        <v>-2.4718930000000001</v>
      </c>
      <c r="V4152">
        <v>-0.18118980000000001</v>
      </c>
      <c r="W4152">
        <v>-8.1101699999999999E-3</v>
      </c>
      <c r="X4152">
        <v>0.98341469999999997</v>
      </c>
      <c r="Y4152">
        <v>-0.4004952</v>
      </c>
      <c r="Z4152">
        <v>4.0032470000000001E-2</v>
      </c>
      <c r="AA4152">
        <v>0.91542389999999996</v>
      </c>
      <c r="AB4152">
        <v>22</v>
      </c>
      <c r="AC4152">
        <v>-5.1442000000000103</v>
      </c>
      <c r="AD4152">
        <v>-1.1149693026539</v>
      </c>
      <c r="AE4152">
        <v>-7.0116000000000396</v>
      </c>
      <c r="AF4152">
        <v>-3.4574750906267702</v>
      </c>
      <c r="AG4152">
        <v>-1.1149693026539</v>
      </c>
      <c r="AH4152">
        <v>7.8259102252232999</v>
      </c>
      <c r="AI4152">
        <v>97.4249286684054</v>
      </c>
      <c r="AJ4152">
        <v>113.83576783107399</v>
      </c>
      <c r="AK4152">
        <v>8.6279871002117101</v>
      </c>
      <c r="AL4152">
        <v>90.464683608482204</v>
      </c>
      <c r="AM4152">
        <v>100.439417186977</v>
      </c>
      <c r="AN4152">
        <v>0.99999999532877903</v>
      </c>
    </row>
    <row r="4153" spans="1:40" x14ac:dyDescent="0.25">
      <c r="A4153" t="str">
        <f>"20190312150737899"</f>
        <v>20190312150737899</v>
      </c>
      <c r="B4153" t="str">
        <f>"1552374457893767"</f>
        <v>1552374457893767</v>
      </c>
      <c r="C4153" t="s">
        <v>40</v>
      </c>
      <c r="D4153">
        <v>4.4973159999999996</v>
      </c>
      <c r="E4153">
        <v>0.41296660000000002</v>
      </c>
      <c r="F4153" t="s">
        <v>61</v>
      </c>
      <c r="G4153">
        <v>-488.42750000000001</v>
      </c>
      <c r="H4153" s="1">
        <v>6.865434E-7</v>
      </c>
      <c r="I4153">
        <v>271.94240000000002</v>
      </c>
      <c r="J4153">
        <v>-483.3306</v>
      </c>
      <c r="K4153">
        <v>1.114975</v>
      </c>
      <c r="L4153">
        <v>278.93849999999998</v>
      </c>
      <c r="M4153">
        <v>-0.86493739999999997</v>
      </c>
      <c r="N4153">
        <v>0</v>
      </c>
      <c r="O4153">
        <v>-0.50168069999999998</v>
      </c>
      <c r="P4153">
        <v>-0.75946759999999902</v>
      </c>
      <c r="Q4153">
        <v>-2.0117179999999998E-2</v>
      </c>
      <c r="R4153">
        <v>-0.65023419999999998</v>
      </c>
      <c r="S4153">
        <v>-1.8222659999999999</v>
      </c>
      <c r="T4153">
        <v>-0.39167360000000001</v>
      </c>
      <c r="U4153">
        <v>-2.4775999999999998</v>
      </c>
      <c r="V4153">
        <v>-0.18134059999999999</v>
      </c>
      <c r="W4153">
        <v>-8.2056190000000008E-3</v>
      </c>
      <c r="X4153">
        <v>0.98338610000000004</v>
      </c>
      <c r="Y4153">
        <v>-0.39999279999999998</v>
      </c>
      <c r="Z4153">
        <v>4.06983E-2</v>
      </c>
      <c r="AA4153">
        <v>0.91561420000000004</v>
      </c>
      <c r="AB4153">
        <v>22</v>
      </c>
      <c r="AC4153">
        <v>-5.0968999999999998</v>
      </c>
      <c r="AD4153">
        <v>-1.1149743134565999</v>
      </c>
      <c r="AE4153">
        <v>-6.9960999999999496</v>
      </c>
      <c r="AF4153">
        <v>-3.4374850332917499</v>
      </c>
      <c r="AG4153">
        <v>-1.1149743134565999</v>
      </c>
      <c r="AH4153">
        <v>7.7898463626570802</v>
      </c>
      <c r="AI4153">
        <v>97.460369462087002</v>
      </c>
      <c r="AJ4153">
        <v>113.810795595966</v>
      </c>
      <c r="AK4153">
        <v>8.5872683332695896</v>
      </c>
      <c r="AL4153">
        <v>90.470152620902397</v>
      </c>
      <c r="AM4153">
        <v>100.44821158402701</v>
      </c>
      <c r="AN4153">
        <v>0.99999998353237096</v>
      </c>
    </row>
    <row r="4154" spans="1:40" x14ac:dyDescent="0.25">
      <c r="A4154" t="str">
        <f>"20190312150737911"</f>
        <v>20190312150737911</v>
      </c>
      <c r="B4154" t="str">
        <f>"1552374457904503"</f>
        <v>1552374457904503</v>
      </c>
      <c r="C4154" t="s">
        <v>40</v>
      </c>
      <c r="D4154">
        <v>4.5436620000000003</v>
      </c>
      <c r="E4154">
        <v>0.41315800000000003</v>
      </c>
      <c r="F4154" t="s">
        <v>61</v>
      </c>
      <c r="G4154">
        <v>-488.49689999999998</v>
      </c>
      <c r="H4154" s="1">
        <v>6.6369619999999997E-7</v>
      </c>
      <c r="I4154">
        <v>271.86040000000003</v>
      </c>
      <c r="J4154">
        <v>-483.42430000000002</v>
      </c>
      <c r="K4154">
        <v>1.1149800000000001</v>
      </c>
      <c r="L4154">
        <v>278.87900000000002</v>
      </c>
      <c r="M4154">
        <v>-0.8629521</v>
      </c>
      <c r="N4154">
        <v>0</v>
      </c>
      <c r="O4154">
        <v>-0.50508819999999999</v>
      </c>
      <c r="P4154">
        <v>-0.75685690000000005</v>
      </c>
      <c r="Q4154">
        <v>-2.0028440000000002E-2</v>
      </c>
      <c r="R4154">
        <v>-0.65327389999999996</v>
      </c>
      <c r="S4154">
        <v>-1.8130489999999999</v>
      </c>
      <c r="T4154">
        <v>-0.39128380000000001</v>
      </c>
      <c r="U4154">
        <v>-2.483978</v>
      </c>
      <c r="V4154">
        <v>-0.1814045</v>
      </c>
      <c r="W4154">
        <v>-8.1192139999999996E-3</v>
      </c>
      <c r="X4154">
        <v>0.98337509999999995</v>
      </c>
      <c r="Y4154">
        <v>-0.39973449999999999</v>
      </c>
      <c r="Z4154">
        <v>4.1161370000000003E-2</v>
      </c>
      <c r="AA4154">
        <v>0.91570629999999997</v>
      </c>
      <c r="AB4154">
        <v>22</v>
      </c>
      <c r="AC4154">
        <v>-5.0725999999999596</v>
      </c>
      <c r="AD4154">
        <v>-1.1149793363038001</v>
      </c>
      <c r="AE4154">
        <v>-7.0185999999999904</v>
      </c>
      <c r="AF4154">
        <v>-3.4379612445830299</v>
      </c>
      <c r="AG4154">
        <v>-1.1149793363038001</v>
      </c>
      <c r="AH4154">
        <v>7.7940085253081</v>
      </c>
      <c r="AI4154">
        <v>97.456938795722294</v>
      </c>
      <c r="AJ4154">
        <v>113.80242403196701</v>
      </c>
      <c r="AK4154">
        <v>8.5912353786993201</v>
      </c>
      <c r="AL4154">
        <v>90.465201782780397</v>
      </c>
      <c r="AM4154">
        <v>100.45192649547199</v>
      </c>
      <c r="AN4154">
        <v>1.0000000507781099</v>
      </c>
    </row>
    <row r="4155" spans="1:40" x14ac:dyDescent="0.25">
      <c r="A4155" t="str">
        <f>"20190312150737922"</f>
        <v>20190312150737922</v>
      </c>
      <c r="B4155" t="str">
        <f>"1552374457914263"</f>
        <v>1552374457914263</v>
      </c>
      <c r="C4155" t="s">
        <v>40</v>
      </c>
      <c r="D4155">
        <v>4.5124079999999998</v>
      </c>
      <c r="E4155">
        <v>0.41341159999999999</v>
      </c>
      <c r="F4155" t="s">
        <v>61</v>
      </c>
      <c r="G4155">
        <v>-488.56830000000002</v>
      </c>
      <c r="H4155" s="1">
        <v>6.4181550000000005E-7</v>
      </c>
      <c r="I4155">
        <v>271.78050000000002</v>
      </c>
      <c r="J4155">
        <v>-483.51080000000002</v>
      </c>
      <c r="K4155">
        <v>1.1149899999999999</v>
      </c>
      <c r="L4155">
        <v>278.82380000000001</v>
      </c>
      <c r="M4155">
        <v>-0.86110249999999999</v>
      </c>
      <c r="N4155">
        <v>0</v>
      </c>
      <c r="O4155">
        <v>-0.50823499999999999</v>
      </c>
      <c r="P4155">
        <v>-0.75438649999999996</v>
      </c>
      <c r="Q4155">
        <v>-1.9669289999999999E-2</v>
      </c>
      <c r="R4155">
        <v>-0.65613599999999905</v>
      </c>
      <c r="S4155">
        <v>-1.8042910000000001</v>
      </c>
      <c r="T4155">
        <v>-0.39108680000000001</v>
      </c>
      <c r="U4155">
        <v>-2.4898380000000002</v>
      </c>
      <c r="V4155">
        <v>-0.18153820000000001</v>
      </c>
      <c r="W4155">
        <v>-7.7635689999999997E-3</v>
      </c>
      <c r="X4155">
        <v>0.98335329999999999</v>
      </c>
      <c r="Y4155">
        <v>-0.39954289999999998</v>
      </c>
      <c r="Z4155">
        <v>4.1604620000000002E-2</v>
      </c>
      <c r="AA4155">
        <v>0.91576990000000003</v>
      </c>
      <c r="AB4155">
        <v>22</v>
      </c>
      <c r="AC4155">
        <v>-5.0575000000000001</v>
      </c>
      <c r="AD4155">
        <v>-1.1149893581844901</v>
      </c>
      <c r="AE4155">
        <v>-7.0432999999999799</v>
      </c>
      <c r="AF4155">
        <v>-3.4381048503707499</v>
      </c>
      <c r="AG4155">
        <v>-1.1149893581844901</v>
      </c>
      <c r="AH4155">
        <v>7.8063916334060401</v>
      </c>
      <c r="AI4155">
        <v>97.447160335767293</v>
      </c>
      <c r="AJ4155">
        <v>113.769737541174</v>
      </c>
      <c r="AK4155">
        <v>8.6025296608102</v>
      </c>
      <c r="AL4155">
        <v>90.444824183155703</v>
      </c>
      <c r="AM4155">
        <v>100.45968665884899</v>
      </c>
      <c r="AN4155">
        <v>1.0000000518418699</v>
      </c>
    </row>
    <row r="4156" spans="1:40" x14ac:dyDescent="0.25">
      <c r="A4156" t="str">
        <f>"20190312150737933"</f>
        <v>20190312150737933</v>
      </c>
      <c r="B4156" t="str">
        <f>"1552374457924023"</f>
        <v>1552374457924023</v>
      </c>
      <c r="C4156" t="s">
        <v>40</v>
      </c>
      <c r="D4156">
        <v>4.5014180000000001</v>
      </c>
      <c r="E4156">
        <v>0.41365360000000001</v>
      </c>
      <c r="F4156" t="s">
        <v>61</v>
      </c>
      <c r="G4156">
        <v>-488.63959999999997</v>
      </c>
      <c r="H4156" s="1">
        <v>6.1955959999999995E-7</v>
      </c>
      <c r="I4156">
        <v>271.69970000000001</v>
      </c>
      <c r="J4156">
        <v>-483.6019</v>
      </c>
      <c r="K4156">
        <v>1.1150009999999999</v>
      </c>
      <c r="L4156">
        <v>278.76499999999999</v>
      </c>
      <c r="M4156">
        <v>-0.85912659999999996</v>
      </c>
      <c r="N4156">
        <v>0</v>
      </c>
      <c r="O4156">
        <v>-0.51156800000000002</v>
      </c>
      <c r="P4156">
        <v>-0.75171169999999998</v>
      </c>
      <c r="Q4156">
        <v>-1.9575720000000001E-2</v>
      </c>
      <c r="R4156">
        <v>-0.65920179999999995</v>
      </c>
      <c r="S4156">
        <v>-1.7963560000000001</v>
      </c>
      <c r="T4156">
        <v>-0.3905286</v>
      </c>
      <c r="U4156">
        <v>-2.4952390000000002</v>
      </c>
      <c r="V4156">
        <v>-0.18173059999999999</v>
      </c>
      <c r="W4156">
        <v>-7.6756009999999998E-3</v>
      </c>
      <c r="X4156">
        <v>0.98331840000000004</v>
      </c>
      <c r="Y4156">
        <v>-0.39887030000000001</v>
      </c>
      <c r="Z4156">
        <v>4.2063530000000002E-2</v>
      </c>
      <c r="AA4156">
        <v>0.91604209999999997</v>
      </c>
      <c r="AB4156">
        <v>22</v>
      </c>
      <c r="AC4156">
        <v>-5.0376999999999699</v>
      </c>
      <c r="AD4156">
        <v>-1.1150003804403901</v>
      </c>
      <c r="AE4156">
        <v>-7.0652999999999704</v>
      </c>
      <c r="AF4156">
        <v>-3.4364702951505102</v>
      </c>
      <c r="AG4156">
        <v>-1.1150003804403901</v>
      </c>
      <c r="AH4156">
        <v>7.8141767325797504</v>
      </c>
      <c r="AI4156">
        <v>97.441654417800393</v>
      </c>
      <c r="AJ4156">
        <v>113.738636034764</v>
      </c>
      <c r="AK4156">
        <v>8.6089437183562101</v>
      </c>
      <c r="AL4156">
        <v>90.439783860545504</v>
      </c>
      <c r="AM4156">
        <v>100.470890533538</v>
      </c>
      <c r="AN4156">
        <v>1.00000000080281</v>
      </c>
    </row>
    <row r="4157" spans="1:40" x14ac:dyDescent="0.25">
      <c r="A4157" t="str">
        <f>"20190312150737943"</f>
        <v>20190312150737943</v>
      </c>
      <c r="B4157" t="str">
        <f>"1552374457933783"</f>
        <v>1552374457933783</v>
      </c>
      <c r="C4157" t="s">
        <v>40</v>
      </c>
      <c r="D4157">
        <v>4.5518830000000001</v>
      </c>
      <c r="E4157">
        <v>0.41365360000000001</v>
      </c>
      <c r="F4157" t="s">
        <v>61</v>
      </c>
      <c r="G4157">
        <v>-488.7056</v>
      </c>
      <c r="H4157" s="1">
        <v>5.9817859999999897E-7</v>
      </c>
      <c r="I4157">
        <v>271.62270000000001</v>
      </c>
      <c r="J4157">
        <v>-483.68790000000001</v>
      </c>
      <c r="K4157">
        <v>1.1150100000000001</v>
      </c>
      <c r="L4157">
        <v>278.70929999999998</v>
      </c>
      <c r="M4157">
        <v>-0.85724269999999902</v>
      </c>
      <c r="N4157">
        <v>0</v>
      </c>
      <c r="O4157">
        <v>-0.51471880000000003</v>
      </c>
      <c r="P4157">
        <v>-0.74924650000000004</v>
      </c>
      <c r="Q4157">
        <v>-1.9521139999999999E-2</v>
      </c>
      <c r="R4157">
        <v>-0.66200389999999998</v>
      </c>
      <c r="S4157">
        <v>-1.787323</v>
      </c>
      <c r="T4157">
        <v>-0.39047359999999998</v>
      </c>
      <c r="U4157">
        <v>-2.5012509999999999</v>
      </c>
      <c r="V4157">
        <v>-0.18179210000000001</v>
      </c>
      <c r="W4157">
        <v>-7.6250010000000002E-3</v>
      </c>
      <c r="X4157">
        <v>0.98330740000000005</v>
      </c>
      <c r="Y4157">
        <v>-0.39875339999999998</v>
      </c>
      <c r="Z4157">
        <v>4.2517060000000002E-2</v>
      </c>
      <c r="AA4157">
        <v>0.91607209999999994</v>
      </c>
      <c r="AB4157">
        <v>22</v>
      </c>
      <c r="AC4157">
        <v>-5.0176999999999898</v>
      </c>
      <c r="AD4157">
        <v>-1.1150094018213901</v>
      </c>
      <c r="AE4157">
        <v>-7.0865999999999696</v>
      </c>
      <c r="AF4157">
        <v>-3.4359240910796398</v>
      </c>
      <c r="AG4157">
        <v>-1.1150094018213901</v>
      </c>
      <c r="AH4157">
        <v>7.8208262001580797</v>
      </c>
      <c r="AI4157">
        <v>97.436659590105407</v>
      </c>
      <c r="AJ4157">
        <v>113.717328050509</v>
      </c>
      <c r="AK4157">
        <v>8.6147630715470402</v>
      </c>
      <c r="AL4157">
        <v>90.436884620280694</v>
      </c>
      <c r="AM4157">
        <v>100.47447018914001</v>
      </c>
      <c r="AN4157">
        <v>0.99999997557870901</v>
      </c>
    </row>
    <row r="4158" spans="1:40" x14ac:dyDescent="0.25">
      <c r="A4158" t="str">
        <f>"20190312150737957"</f>
        <v>20190312150737957</v>
      </c>
      <c r="B4158" t="str">
        <f>"1552374457944520"</f>
        <v>1552374457944520</v>
      </c>
      <c r="C4158" t="s">
        <v>40</v>
      </c>
      <c r="D4158">
        <v>4.7262469999999999</v>
      </c>
      <c r="E4158">
        <v>0.42259479999999999</v>
      </c>
      <c r="F4158" t="s">
        <v>61</v>
      </c>
      <c r="G4158">
        <v>-488.76940000000002</v>
      </c>
      <c r="H4158" s="1">
        <v>5.760456E-7</v>
      </c>
      <c r="I4158">
        <v>271.54399999999998</v>
      </c>
      <c r="J4158">
        <v>-483.77940000000001</v>
      </c>
      <c r="K4158">
        <v>1.115027</v>
      </c>
      <c r="L4158">
        <v>278.649</v>
      </c>
      <c r="M4158">
        <v>-0.85520180000000001</v>
      </c>
      <c r="N4158">
        <v>0</v>
      </c>
      <c r="O4158">
        <v>-0.51810239999999996</v>
      </c>
      <c r="P4158">
        <v>-0.74662459999999997</v>
      </c>
      <c r="Q4158">
        <v>-1.9655829999999999E-2</v>
      </c>
      <c r="R4158">
        <v>-0.66495539999999997</v>
      </c>
      <c r="S4158">
        <v>-1.7783199999999999</v>
      </c>
      <c r="T4158">
        <v>-0.39020709999999997</v>
      </c>
      <c r="U4158">
        <v>-2.5075379999999998</v>
      </c>
      <c r="V4158">
        <v>-0.1817867</v>
      </c>
      <c r="W4158">
        <v>-7.7642029999999999E-3</v>
      </c>
      <c r="X4158">
        <v>0.9833073</v>
      </c>
      <c r="Y4158">
        <v>-0.39842179999999999</v>
      </c>
      <c r="Z4158">
        <v>4.2990279999999999E-2</v>
      </c>
      <c r="AA4158">
        <v>0.91619430000000002</v>
      </c>
      <c r="AB4158">
        <v>22</v>
      </c>
      <c r="AC4158">
        <v>-4.99</v>
      </c>
      <c r="AD4158">
        <v>-1.1150264239544001</v>
      </c>
      <c r="AE4158">
        <v>-7.1049999999999596</v>
      </c>
      <c r="AF4158">
        <v>-3.43457901562285</v>
      </c>
      <c r="AG4158">
        <v>-1.1150264239544001</v>
      </c>
      <c r="AH4158">
        <v>7.8203846599631301</v>
      </c>
      <c r="AI4158">
        <v>97.437585606507994</v>
      </c>
      <c r="AJ4158">
        <v>113.71025862258099</v>
      </c>
      <c r="AK4158">
        <v>8.6138280207152995</v>
      </c>
      <c r="AL4158">
        <v>90.444860547654699</v>
      </c>
      <c r="AM4158">
        <v>100.474166980196</v>
      </c>
      <c r="AN4158">
        <v>0.99999996668920199</v>
      </c>
    </row>
    <row r="4159" spans="1:40" x14ac:dyDescent="0.25">
      <c r="A4159" t="str">
        <f>"20190312150737967"</f>
        <v>20190312150737967</v>
      </c>
      <c r="B4159" t="str">
        <f>"1552374457964039"</f>
        <v>1552374457964039</v>
      </c>
      <c r="C4159" t="s">
        <v>40</v>
      </c>
      <c r="D4159">
        <v>4.5528120000000003</v>
      </c>
      <c r="E4159">
        <v>0.42241000000000001</v>
      </c>
      <c r="F4159" t="s">
        <v>61</v>
      </c>
      <c r="G4159">
        <v>-488.79860000000002</v>
      </c>
      <c r="H4159" s="1">
        <v>6.8411780000000003E-7</v>
      </c>
      <c r="I4159">
        <v>271.8424</v>
      </c>
      <c r="J4159">
        <v>-483.87529999999998</v>
      </c>
      <c r="K4159">
        <v>1.115043</v>
      </c>
      <c r="L4159">
        <v>278.5856</v>
      </c>
      <c r="M4159">
        <v>-0.85304059999999904</v>
      </c>
      <c r="N4159">
        <v>0</v>
      </c>
      <c r="O4159">
        <v>-0.52165289999999997</v>
      </c>
      <c r="P4159">
        <v>-0.7438477</v>
      </c>
      <c r="Q4159">
        <v>-1.94632E-2</v>
      </c>
      <c r="R4159">
        <v>-0.66806599999999905</v>
      </c>
      <c r="S4159">
        <v>-1.815186</v>
      </c>
      <c r="T4159">
        <v>-0.4032462</v>
      </c>
      <c r="U4159">
        <v>-2.4615779999999998</v>
      </c>
      <c r="V4159">
        <v>-0.1818024</v>
      </c>
      <c r="W4159">
        <v>-7.5768090000000003E-3</v>
      </c>
      <c r="X4159">
        <v>0.98330589999999995</v>
      </c>
      <c r="Y4159">
        <v>-0.3777298</v>
      </c>
      <c r="Z4159">
        <v>4.6465970000000002E-2</v>
      </c>
      <c r="AA4159">
        <v>0.92474920000000005</v>
      </c>
      <c r="AB4159">
        <v>22</v>
      </c>
      <c r="AC4159">
        <v>-4.9233000000000402</v>
      </c>
      <c r="AD4159">
        <v>-1.1150423158822</v>
      </c>
      <c r="AE4159">
        <v>-6.7431999999999999</v>
      </c>
      <c r="AF4159">
        <v>-3.1284893080018001</v>
      </c>
      <c r="AG4159">
        <v>-1.1150423158822</v>
      </c>
      <c r="AH4159">
        <v>7.5829099888288098</v>
      </c>
      <c r="AI4159">
        <v>97.740901556322498</v>
      </c>
      <c r="AJ4159">
        <v>112.41962740916399</v>
      </c>
      <c r="AK4159">
        <v>8.2783626771946395</v>
      </c>
      <c r="AL4159">
        <v>90.434123328674701</v>
      </c>
      <c r="AM4159">
        <v>100.475066142911</v>
      </c>
      <c r="AN4159">
        <v>1.00000000682759</v>
      </c>
    </row>
    <row r="4160" spans="1:40" x14ac:dyDescent="0.25">
      <c r="A4160" t="str">
        <f>"20190312150737977"</f>
        <v>20190312150737977</v>
      </c>
      <c r="B4160" t="str">
        <f>"1552374457973801"</f>
        <v>1552374457973801</v>
      </c>
      <c r="C4160" t="s">
        <v>40</v>
      </c>
      <c r="D4160">
        <v>4.5313629999999998</v>
      </c>
      <c r="E4160">
        <v>0.42094239999999999</v>
      </c>
      <c r="F4160" t="s">
        <v>61</v>
      </c>
      <c r="G4160">
        <v>-488.81270000000001</v>
      </c>
      <c r="H4160" s="1">
        <v>6.7839119999999999E-7</v>
      </c>
      <c r="I4160">
        <v>271.8227</v>
      </c>
      <c r="J4160">
        <v>-483.95650000000001</v>
      </c>
      <c r="K4160">
        <v>1.115062</v>
      </c>
      <c r="L4160">
        <v>278.53140000000002</v>
      </c>
      <c r="M4160">
        <v>-0.85118389999999999</v>
      </c>
      <c r="N4160">
        <v>0</v>
      </c>
      <c r="O4160">
        <v>-0.52467710000000001</v>
      </c>
      <c r="P4160">
        <v>-0.7415718</v>
      </c>
      <c r="Q4160">
        <v>-1.9568390000000001E-2</v>
      </c>
      <c r="R4160">
        <v>-0.67058809999999902</v>
      </c>
      <c r="S4160">
        <v>-1.8036190000000001</v>
      </c>
      <c r="T4160">
        <v>-0.40732370000000001</v>
      </c>
      <c r="U4160">
        <v>-2.4704899999999999</v>
      </c>
      <c r="V4160">
        <v>-0.1816518</v>
      </c>
      <c r="W4160">
        <v>-7.6847679999999998E-3</v>
      </c>
      <c r="X4160">
        <v>0.98333289999999995</v>
      </c>
      <c r="Y4160">
        <v>-0.37888270000000002</v>
      </c>
      <c r="Z4160">
        <v>4.7300460000000003E-2</v>
      </c>
      <c r="AA4160">
        <v>0.92423520000000003</v>
      </c>
      <c r="AB4160">
        <v>22</v>
      </c>
      <c r="AC4160">
        <v>-4.8562000000000003</v>
      </c>
      <c r="AD4160">
        <v>-1.1150613216087999</v>
      </c>
      <c r="AE4160">
        <v>-6.7087000000000199</v>
      </c>
      <c r="AF4160">
        <v>-3.1064048965579301</v>
      </c>
      <c r="AG4160">
        <v>-1.1150613216087999</v>
      </c>
      <c r="AH4160">
        <v>7.51790388010446</v>
      </c>
      <c r="AI4160">
        <v>97.805432332040894</v>
      </c>
      <c r="AJ4160">
        <v>112.450459623626</v>
      </c>
      <c r="AK4160">
        <v>8.2104806121686202</v>
      </c>
      <c r="AL4160">
        <v>90.440309101445095</v>
      </c>
      <c r="AM4160">
        <v>100.466299691507</v>
      </c>
      <c r="AN4160">
        <v>1.00000001216243</v>
      </c>
    </row>
    <row r="4161" spans="1:40" x14ac:dyDescent="0.25">
      <c r="A4161" t="str">
        <f>"20190312150737990"</f>
        <v>20190312150737990</v>
      </c>
      <c r="B4161" t="str">
        <f>"1552374457984536"</f>
        <v>1552374457984536</v>
      </c>
      <c r="C4161" t="s">
        <v>40</v>
      </c>
      <c r="D4161">
        <v>4.5295740000000002</v>
      </c>
      <c r="E4161">
        <v>0.42126520000000001</v>
      </c>
      <c r="F4161" t="s">
        <v>61</v>
      </c>
      <c r="G4161">
        <v>-488.78410000000002</v>
      </c>
      <c r="H4161" s="1">
        <v>6.7451479999999996E-7</v>
      </c>
      <c r="I4161">
        <v>271.81889999999999</v>
      </c>
      <c r="J4161">
        <v>-484.05</v>
      </c>
      <c r="K4161">
        <v>1.1150819999999999</v>
      </c>
      <c r="L4161">
        <v>278.4683</v>
      </c>
      <c r="M4161">
        <v>-0.84901260000000001</v>
      </c>
      <c r="N4161">
        <v>0</v>
      </c>
      <c r="O4161">
        <v>-0.52818339999999997</v>
      </c>
      <c r="P4161">
        <v>-0.73890089999999997</v>
      </c>
      <c r="Q4161">
        <v>-1.9252129999999999E-2</v>
      </c>
      <c r="R4161">
        <v>-0.673539</v>
      </c>
      <c r="S4161">
        <v>-1.787323</v>
      </c>
      <c r="T4161">
        <v>-0.41282249999999998</v>
      </c>
      <c r="U4161">
        <v>-2.4851380000000001</v>
      </c>
      <c r="V4161">
        <v>-0.18151529999999999</v>
      </c>
      <c r="W4161">
        <v>-7.3722219999999899E-3</v>
      </c>
      <c r="X4161">
        <v>0.98336049999999997</v>
      </c>
      <c r="Y4161">
        <v>-0.38166889999999998</v>
      </c>
      <c r="Z4161">
        <v>4.8244509999999997E-2</v>
      </c>
      <c r="AA4161">
        <v>0.92303919999999995</v>
      </c>
      <c r="AB4161">
        <v>22</v>
      </c>
      <c r="AC4161">
        <v>-4.7341000000000104</v>
      </c>
      <c r="AD4161">
        <v>-1.1150813254851999</v>
      </c>
      <c r="AE4161">
        <v>-6.6494000000000097</v>
      </c>
      <c r="AF4161">
        <v>-3.0876428564534901</v>
      </c>
      <c r="AG4161">
        <v>-1.1150813254851999</v>
      </c>
      <c r="AH4161">
        <v>7.3941729910320202</v>
      </c>
      <c r="AI4161">
        <v>97.922398238361794</v>
      </c>
      <c r="AJ4161">
        <v>112.664334565476</v>
      </c>
      <c r="AK4161">
        <v>8.0901631005043093</v>
      </c>
      <c r="AL4161">
        <v>90.422401026867604</v>
      </c>
      <c r="AM4161">
        <v>100.458321459153</v>
      </c>
      <c r="AN4161">
        <v>1.00000001337577</v>
      </c>
    </row>
    <row r="4162" spans="1:40" x14ac:dyDescent="0.25">
      <c r="A4162" t="str">
        <f>"20190312150738001"</f>
        <v>20190312150738001</v>
      </c>
      <c r="B4162" t="str">
        <f>"1552374457994295"</f>
        <v>1552374457994295</v>
      </c>
      <c r="C4162" t="s">
        <v>40</v>
      </c>
      <c r="D4162">
        <v>4.5268610000000002</v>
      </c>
      <c r="E4162">
        <v>0.42155999999999999</v>
      </c>
      <c r="F4162" t="s">
        <v>61</v>
      </c>
      <c r="G4162">
        <v>-488.8528</v>
      </c>
      <c r="H4162" s="1">
        <v>6.5474979999999997E-7</v>
      </c>
      <c r="I4162">
        <v>271.74579999999997</v>
      </c>
      <c r="J4162">
        <v>-484.14069999999998</v>
      </c>
      <c r="K4162">
        <v>1.1151009999999999</v>
      </c>
      <c r="L4162">
        <v>278.4067</v>
      </c>
      <c r="M4162">
        <v>-0.84688229999999998</v>
      </c>
      <c r="N4162">
        <v>0</v>
      </c>
      <c r="O4162">
        <v>-0.53159219999999996</v>
      </c>
      <c r="P4162">
        <v>-0.73623470000000002</v>
      </c>
      <c r="Q4162">
        <v>-1.890027E-2</v>
      </c>
      <c r="R4162">
        <v>-0.67646269999999997</v>
      </c>
      <c r="S4162">
        <v>-1.779175</v>
      </c>
      <c r="T4162">
        <v>-0.4130856</v>
      </c>
      <c r="U4162">
        <v>-2.4903870000000001</v>
      </c>
      <c r="V4162">
        <v>-0.18145810000000001</v>
      </c>
      <c r="W4162">
        <v>-7.0251330000000002E-3</v>
      </c>
      <c r="X4162">
        <v>0.98337359999999896</v>
      </c>
      <c r="Y4162">
        <v>-0.38090000000000002</v>
      </c>
      <c r="Z4162">
        <v>4.884467E-2</v>
      </c>
      <c r="AA4162">
        <v>0.92332519999999996</v>
      </c>
      <c r="AB4162">
        <v>22</v>
      </c>
      <c r="AC4162">
        <v>-4.7121000000000199</v>
      </c>
      <c r="AD4162">
        <v>-1.1151003452502</v>
      </c>
      <c r="AE4162">
        <v>-6.6609000000000202</v>
      </c>
      <c r="AF4162">
        <v>-3.0788878185087798</v>
      </c>
      <c r="AG4162">
        <v>-1.1151003452502</v>
      </c>
      <c r="AH4162">
        <v>7.3941198749507304</v>
      </c>
      <c r="AI4162">
        <v>97.925870112351504</v>
      </c>
      <c r="AJ4162">
        <v>112.60668853632301</v>
      </c>
      <c r="AK4162">
        <v>8.0867798105352406</v>
      </c>
      <c r="AL4162">
        <v>90.402513775922301</v>
      </c>
      <c r="AM4162">
        <v>100.45496225863199</v>
      </c>
      <c r="AN4162">
        <v>1.0000000158631099</v>
      </c>
    </row>
    <row r="4163" spans="1:40" x14ac:dyDescent="0.25">
      <c r="A4163" t="str">
        <f>"20190312150738012"</f>
        <v>20190312150738012</v>
      </c>
      <c r="B4163" t="str">
        <f>"1552374458004055"</f>
        <v>1552374458004055</v>
      </c>
      <c r="C4163" t="s">
        <v>40</v>
      </c>
      <c r="D4163">
        <v>4.6062459999999996</v>
      </c>
      <c r="E4163">
        <v>0.42200290000000001</v>
      </c>
      <c r="F4163" t="s">
        <v>61</v>
      </c>
      <c r="G4163">
        <v>-488.91</v>
      </c>
      <c r="H4163" s="1">
        <v>6.3842549999999996E-7</v>
      </c>
      <c r="I4163">
        <v>271.68520000000001</v>
      </c>
      <c r="J4163">
        <v>-484.22449999999998</v>
      </c>
      <c r="K4163">
        <v>1.115119</v>
      </c>
      <c r="L4163">
        <v>278.3492</v>
      </c>
      <c r="M4163">
        <v>-0.84487710000000005</v>
      </c>
      <c r="N4163">
        <v>0</v>
      </c>
      <c r="O4163">
        <v>-0.53477339999999995</v>
      </c>
      <c r="P4163">
        <v>-0.73363080000000003</v>
      </c>
      <c r="Q4163">
        <v>-1.8941900000000001E-2</v>
      </c>
      <c r="R4163">
        <v>-0.67928429999999995</v>
      </c>
      <c r="S4163">
        <v>-1.770966</v>
      </c>
      <c r="T4163">
        <v>-0.41406310000000002</v>
      </c>
      <c r="U4163">
        <v>-2.4958499999999999</v>
      </c>
      <c r="V4163">
        <v>-0.18153540000000001</v>
      </c>
      <c r="W4163">
        <v>-7.0732700000000004E-3</v>
      </c>
      <c r="X4163">
        <v>0.98335899999999998</v>
      </c>
      <c r="Y4163">
        <v>-0.38042310000000001</v>
      </c>
      <c r="Z4163">
        <v>4.947464E-2</v>
      </c>
      <c r="AA4163">
        <v>0.92348819999999998</v>
      </c>
      <c r="AB4163">
        <v>22</v>
      </c>
      <c r="AC4163">
        <v>-4.6855000000000402</v>
      </c>
      <c r="AD4163">
        <v>-1.1151183615744999</v>
      </c>
      <c r="AE4163">
        <v>-6.6639999999999802</v>
      </c>
      <c r="AF4163">
        <v>-3.0674164351064102</v>
      </c>
      <c r="AG4163">
        <v>-1.1151183615744999</v>
      </c>
      <c r="AH4163">
        <v>7.38478021963404</v>
      </c>
      <c r="AI4163">
        <v>97.938745771788206</v>
      </c>
      <c r="AJ4163">
        <v>112.55653427924101</v>
      </c>
      <c r="AK4163">
        <v>8.0738783393719604</v>
      </c>
      <c r="AL4163">
        <v>90.405271886531196</v>
      </c>
      <c r="AM4163">
        <v>100.459469601488</v>
      </c>
      <c r="AN4163">
        <v>1.0000000277413199</v>
      </c>
    </row>
    <row r="4164" spans="1:40" x14ac:dyDescent="0.25">
      <c r="A4164" t="str">
        <f>"20190312150738023"</f>
        <v>20190312150738023</v>
      </c>
      <c r="B4164" t="str">
        <f>"1552374458013816"</f>
        <v>1552374458013816</v>
      </c>
      <c r="C4164" t="s">
        <v>40</v>
      </c>
      <c r="D4164">
        <v>4.5572809999999997</v>
      </c>
      <c r="E4164">
        <v>0.42187019999999997</v>
      </c>
      <c r="F4164" t="s">
        <v>61</v>
      </c>
      <c r="G4164">
        <v>-488.98160000000001</v>
      </c>
      <c r="H4164" s="1">
        <v>6.1590190000000001E-7</v>
      </c>
      <c r="I4164">
        <v>271.60359999999997</v>
      </c>
      <c r="J4164">
        <v>-484.32029999999997</v>
      </c>
      <c r="K4164">
        <v>1.1151390000000001</v>
      </c>
      <c r="L4164">
        <v>278.28300000000002</v>
      </c>
      <c r="M4164">
        <v>-0.84256239999999905</v>
      </c>
      <c r="N4164">
        <v>0</v>
      </c>
      <c r="O4164">
        <v>-0.53841289999999997</v>
      </c>
      <c r="P4164">
        <v>-0.7307515</v>
      </c>
      <c r="Q4164">
        <v>-1.8516709999999999E-2</v>
      </c>
      <c r="R4164">
        <v>-0.68239269999999996</v>
      </c>
      <c r="S4164">
        <v>-1.763336</v>
      </c>
      <c r="T4164">
        <v>-0.41335280000000002</v>
      </c>
      <c r="U4164">
        <v>-2.5004580000000001</v>
      </c>
      <c r="V4164">
        <v>-0.18146699999999999</v>
      </c>
      <c r="W4164">
        <v>-6.6533959999999998E-3</v>
      </c>
      <c r="X4164">
        <v>0.98337450000000004</v>
      </c>
      <c r="Y4164">
        <v>-0.37914490000000001</v>
      </c>
      <c r="Z4164">
        <v>5.0031449999999998E-2</v>
      </c>
      <c r="AA4164">
        <v>0.92398380000000002</v>
      </c>
      <c r="AB4164">
        <v>22</v>
      </c>
      <c r="AC4164">
        <v>-4.6613000000000397</v>
      </c>
      <c r="AD4164">
        <v>-1.1151383840981</v>
      </c>
      <c r="AE4164">
        <v>-6.6794000000000402</v>
      </c>
      <c r="AF4164">
        <v>-3.0610423629296002</v>
      </c>
      <c r="AG4164">
        <v>-1.1151383840981</v>
      </c>
      <c r="AH4164">
        <v>7.3860188343614697</v>
      </c>
      <c r="AI4164">
        <v>97.940159573538594</v>
      </c>
      <c r="AJ4164">
        <v>112.510945390416</v>
      </c>
      <c r="AK4164">
        <v>8.0725948854677991</v>
      </c>
      <c r="AL4164">
        <v>90.381214332942307</v>
      </c>
      <c r="AM4164">
        <v>100.455454378665</v>
      </c>
      <c r="AN4164">
        <v>0.999999973508791</v>
      </c>
    </row>
    <row r="4165" spans="1:40" x14ac:dyDescent="0.25">
      <c r="A4165" t="str">
        <f>"20190312150738036"</f>
        <v>20190312150738036</v>
      </c>
      <c r="B4165" t="str">
        <f>"1552374458024553"</f>
        <v>1552374458024553</v>
      </c>
      <c r="C4165" t="s">
        <v>40</v>
      </c>
      <c r="D4165">
        <v>4.5411739999999998</v>
      </c>
      <c r="E4165">
        <v>0.421852</v>
      </c>
      <c r="F4165" t="s">
        <v>61</v>
      </c>
      <c r="G4165">
        <v>-488.9948</v>
      </c>
      <c r="H4165" s="1">
        <v>6.12655E-7</v>
      </c>
      <c r="I4165">
        <v>271.59109999999998</v>
      </c>
      <c r="J4165">
        <v>-484.40980000000002</v>
      </c>
      <c r="K4165">
        <v>1.1151580000000001</v>
      </c>
      <c r="L4165">
        <v>278.22019999999998</v>
      </c>
      <c r="M4165">
        <v>-0.84035260000000001</v>
      </c>
      <c r="N4165">
        <v>0</v>
      </c>
      <c r="O4165">
        <v>-0.54185559999999999</v>
      </c>
      <c r="P4165">
        <v>-0.72794969999999903</v>
      </c>
      <c r="Q4165">
        <v>-1.8548410000000001E-2</v>
      </c>
      <c r="R4165">
        <v>-0.68537979999999998</v>
      </c>
      <c r="S4165">
        <v>-1.7522580000000001</v>
      </c>
      <c r="T4165">
        <v>-0.41802119999999998</v>
      </c>
      <c r="U4165">
        <v>-2.5085449999999998</v>
      </c>
      <c r="V4165">
        <v>-0.1814711</v>
      </c>
      <c r="W4165">
        <v>-6.6912819999999998E-3</v>
      </c>
      <c r="X4165">
        <v>0.98337350000000001</v>
      </c>
      <c r="Y4165">
        <v>-0.37953819999999999</v>
      </c>
      <c r="Z4165">
        <v>5.1085940000000003E-2</v>
      </c>
      <c r="AA4165">
        <v>0.92376460000000005</v>
      </c>
      <c r="AB4165">
        <v>22</v>
      </c>
      <c r="AC4165">
        <v>-4.5849999999999804</v>
      </c>
      <c r="AD4165">
        <v>-1.115157387345</v>
      </c>
      <c r="AE4165">
        <v>-6.6290999999999896</v>
      </c>
      <c r="AF4165">
        <v>-3.02870788874848</v>
      </c>
      <c r="AG4165">
        <v>-1.115157387345</v>
      </c>
      <c r="AH4165">
        <v>7.3059291319170203</v>
      </c>
      <c r="AI4165">
        <v>98.025879744519798</v>
      </c>
      <c r="AJ4165">
        <v>112.516685536651</v>
      </c>
      <c r="AK4165">
        <v>7.9870675441310297</v>
      </c>
      <c r="AL4165">
        <v>90.383385084072501</v>
      </c>
      <c r="AM4165">
        <v>100.455695793871</v>
      </c>
      <c r="AN4165">
        <v>0.99999998694613101</v>
      </c>
    </row>
    <row r="4166" spans="1:40" x14ac:dyDescent="0.25">
      <c r="A4166" t="str">
        <f>"20190312150738048"</f>
        <v>20190312150738048</v>
      </c>
      <c r="B4166" t="str">
        <f>"1552374458044071"</f>
        <v>1552374458044071</v>
      </c>
      <c r="C4166" t="s">
        <v>40</v>
      </c>
      <c r="D4166">
        <v>4.5519809999999996</v>
      </c>
      <c r="E4166">
        <v>0.42204829999999999</v>
      </c>
      <c r="F4166" t="s">
        <v>61</v>
      </c>
      <c r="G4166">
        <v>-489.00099999999998</v>
      </c>
      <c r="H4166" s="1">
        <v>6.1258770000000003E-7</v>
      </c>
      <c r="I4166">
        <v>271.58929999999998</v>
      </c>
      <c r="J4166">
        <v>-484.51130000000001</v>
      </c>
      <c r="K4166">
        <v>1.1151799999999901</v>
      </c>
      <c r="L4166">
        <v>278.14870000000002</v>
      </c>
      <c r="M4166">
        <v>-0.83781600000000001</v>
      </c>
      <c r="N4166">
        <v>0</v>
      </c>
      <c r="O4166">
        <v>-0.54576910000000001</v>
      </c>
      <c r="P4166">
        <v>-0.72453059999999903</v>
      </c>
      <c r="Q4166">
        <v>-1.8923249999999999E-2</v>
      </c>
      <c r="R4166">
        <v>-0.68898269999999995</v>
      </c>
      <c r="S4166">
        <v>-1.741852</v>
      </c>
      <c r="T4166">
        <v>-0.42307549999999999</v>
      </c>
      <c r="U4166">
        <v>-2.5156860000000001</v>
      </c>
      <c r="V4166">
        <v>-0.1817637</v>
      </c>
      <c r="W4166">
        <v>-7.0774360000000003E-3</v>
      </c>
      <c r="X4166">
        <v>0.98331679999999999</v>
      </c>
      <c r="Y4166">
        <v>-0.37908259999999999</v>
      </c>
      <c r="Z4166">
        <v>5.2332099999999999E-2</v>
      </c>
      <c r="AA4166">
        <v>0.92388190000000003</v>
      </c>
      <c r="AB4166">
        <v>22</v>
      </c>
      <c r="AC4166">
        <v>-4.4896999999999698</v>
      </c>
      <c r="AD4166">
        <v>-1.1151793874122999</v>
      </c>
      <c r="AE4166">
        <v>-6.5594000000000303</v>
      </c>
      <c r="AF4166">
        <v>-2.9867482203371298</v>
      </c>
      <c r="AG4166">
        <v>-1.1151793874122999</v>
      </c>
      <c r="AH4166">
        <v>7.2004703194311102</v>
      </c>
      <c r="AI4166">
        <v>98.141326908475094</v>
      </c>
      <c r="AJ4166">
        <v>112.528627159972</v>
      </c>
      <c r="AK4166">
        <v>7.8747103323744296</v>
      </c>
      <c r="AL4166">
        <v>90.405510585415598</v>
      </c>
      <c r="AM4166">
        <v>100.472772149675</v>
      </c>
      <c r="AN4166">
        <v>1.00000003095013</v>
      </c>
    </row>
    <row r="4167" spans="1:40" x14ac:dyDescent="0.25">
      <c r="A4167" t="str">
        <f>"20190312150738061"</f>
        <v>20190312150738061</v>
      </c>
      <c r="B4167" t="str">
        <f>"1552374458053831"</f>
        <v>1552374458053831</v>
      </c>
      <c r="C4167" t="s">
        <v>40</v>
      </c>
      <c r="D4167">
        <v>4.5407769999999896</v>
      </c>
      <c r="E4167">
        <v>0.42219800000000002</v>
      </c>
      <c r="F4167" t="s">
        <v>61</v>
      </c>
      <c r="G4167">
        <v>-488.99029999999999</v>
      </c>
      <c r="H4167" s="1">
        <v>6.2165330000000002E-7</v>
      </c>
      <c r="I4167">
        <v>271.61759999999998</v>
      </c>
      <c r="J4167">
        <v>-484.60899999999998</v>
      </c>
      <c r="K4167">
        <v>1.1152029999999999</v>
      </c>
      <c r="L4167">
        <v>278.07900000000001</v>
      </c>
      <c r="M4167">
        <v>-0.83532719999999905</v>
      </c>
      <c r="N4167">
        <v>0</v>
      </c>
      <c r="O4167">
        <v>-0.54957040000000001</v>
      </c>
      <c r="P4167">
        <v>-0.72131659999999997</v>
      </c>
      <c r="Q4167">
        <v>-1.8767889999999999E-2</v>
      </c>
      <c r="R4167">
        <v>-0.69235119999999895</v>
      </c>
      <c r="S4167">
        <v>-1.73019399999999</v>
      </c>
      <c r="T4167">
        <v>-0.43078060000000001</v>
      </c>
      <c r="U4167">
        <v>-2.522888</v>
      </c>
      <c r="V4167">
        <v>-0.18187600000000001</v>
      </c>
      <c r="W4167">
        <v>-6.930589E-3</v>
      </c>
      <c r="X4167">
        <v>0.98329699999999998</v>
      </c>
      <c r="Y4167">
        <v>-0.3790694</v>
      </c>
      <c r="Z4167">
        <v>5.388486E-2</v>
      </c>
      <c r="AA4167">
        <v>0.92379809999999996</v>
      </c>
      <c r="AB4167">
        <v>22</v>
      </c>
      <c r="AC4167">
        <v>-4.3812999999999498</v>
      </c>
      <c r="AD4167">
        <v>-1.1152023783467</v>
      </c>
      <c r="AE4167">
        <v>-6.4614000000000198</v>
      </c>
      <c r="AF4167">
        <v>-2.9300587596148899</v>
      </c>
      <c r="AG4167">
        <v>-1.1152023783467</v>
      </c>
      <c r="AH4167">
        <v>7.0673191109112699</v>
      </c>
      <c r="AI4167">
        <v>98.293364802301795</v>
      </c>
      <c r="AJ4167">
        <v>112.51853818861299</v>
      </c>
      <c r="AK4167">
        <v>7.7314888666360897</v>
      </c>
      <c r="AL4167">
        <v>90.3970966975739</v>
      </c>
      <c r="AM4167">
        <v>100.479305644406</v>
      </c>
      <c r="AN4167">
        <v>0.99999995132444197</v>
      </c>
    </row>
    <row r="4168" spans="1:40" x14ac:dyDescent="0.25">
      <c r="A4168" t="str">
        <f>"20190312150738071"</f>
        <v>20190312150738071</v>
      </c>
      <c r="B4168" t="str">
        <f>"1552374458064567"</f>
        <v>1552374458064567</v>
      </c>
      <c r="C4168" t="s">
        <v>40</v>
      </c>
      <c r="D4168">
        <v>4.5804809999999998</v>
      </c>
      <c r="E4168">
        <v>0.42255939999999997</v>
      </c>
      <c r="F4168" t="s">
        <v>61</v>
      </c>
      <c r="G4168">
        <v>-489.10210000000001</v>
      </c>
      <c r="H4168" s="1">
        <v>5.7710469999999995E-7</v>
      </c>
      <c r="I4168">
        <v>271.46359999999999</v>
      </c>
      <c r="J4168">
        <v>-484.68630000000002</v>
      </c>
      <c r="K4168">
        <v>1.1152219999999999</v>
      </c>
      <c r="L4168">
        <v>278.02339999999998</v>
      </c>
      <c r="M4168">
        <v>-0.83332870000000003</v>
      </c>
      <c r="N4168">
        <v>0</v>
      </c>
      <c r="O4168">
        <v>-0.55259630000000004</v>
      </c>
      <c r="P4168">
        <v>-0.71885790000000005</v>
      </c>
      <c r="Q4168">
        <v>-1.8845379999999998E-2</v>
      </c>
      <c r="R4168">
        <v>-0.69490160000000001</v>
      </c>
      <c r="S4168">
        <v>-1.71884199999999</v>
      </c>
      <c r="T4168">
        <v>-0.42662329999999998</v>
      </c>
      <c r="U4168">
        <v>-2.5307620000000002</v>
      </c>
      <c r="V4168">
        <v>-0.18179290000000001</v>
      </c>
      <c r="W4168">
        <v>-7.0121259999999996E-3</v>
      </c>
      <c r="X4168">
        <v>0.98331179999999996</v>
      </c>
      <c r="Y4168">
        <v>-0.37988139999999998</v>
      </c>
      <c r="Z4168">
        <v>5.3789829999999997E-2</v>
      </c>
      <c r="AA4168">
        <v>0.92347000000000001</v>
      </c>
      <c r="AB4168">
        <v>22</v>
      </c>
      <c r="AC4168">
        <v>-4.4157999999999902</v>
      </c>
      <c r="AD4168">
        <v>-1.1152214228952999</v>
      </c>
      <c r="AE4168">
        <v>-6.5597999999999903</v>
      </c>
      <c r="AF4168">
        <v>-2.9675934146968999</v>
      </c>
      <c r="AG4168">
        <v>-1.1152214228952999</v>
      </c>
      <c r="AH4168">
        <v>7.1629958307244204</v>
      </c>
      <c r="AI4168">
        <v>98.185088128747495</v>
      </c>
      <c r="AJ4168">
        <v>112.503982982217</v>
      </c>
      <c r="AK4168">
        <v>7.8331882888139699</v>
      </c>
      <c r="AL4168">
        <v>90.401768532929793</v>
      </c>
      <c r="AM4168">
        <v>100.474469430542</v>
      </c>
      <c r="AN4168">
        <v>0.99999996221034404</v>
      </c>
    </row>
    <row r="4169" spans="1:40" x14ac:dyDescent="0.25">
      <c r="A4169" t="str">
        <f>"20190312150738082"</f>
        <v>20190312150738082</v>
      </c>
      <c r="B4169" t="str">
        <f>"1552374458074327"</f>
        <v>1552374458074327</v>
      </c>
      <c r="C4169" t="s">
        <v>40</v>
      </c>
      <c r="D4169">
        <v>4.5489280000000001</v>
      </c>
      <c r="E4169">
        <v>0.42262359999999999</v>
      </c>
      <c r="F4169" t="s">
        <v>61</v>
      </c>
      <c r="G4169">
        <v>-489.16890000000001</v>
      </c>
      <c r="H4169" s="1">
        <v>5.5605509999999897E-7</v>
      </c>
      <c r="I4169">
        <v>271.38729999999998</v>
      </c>
      <c r="J4169">
        <v>-484.76979999999998</v>
      </c>
      <c r="K4169">
        <v>1.115243</v>
      </c>
      <c r="L4169">
        <v>277.96300000000002</v>
      </c>
      <c r="M4169">
        <v>-0.83114539999999903</v>
      </c>
      <c r="N4169">
        <v>0</v>
      </c>
      <c r="O4169">
        <v>-0.5558748</v>
      </c>
      <c r="P4169">
        <v>-0.71627510000000005</v>
      </c>
      <c r="Q4169">
        <v>-1.9154460000000002E-2</v>
      </c>
      <c r="R4169">
        <v>-0.69755540000000005</v>
      </c>
      <c r="S4169">
        <v>-1.71206699999999</v>
      </c>
      <c r="T4169">
        <v>-0.4259365</v>
      </c>
      <c r="U4169">
        <v>-2.5345460000000002</v>
      </c>
      <c r="V4169">
        <v>-0.1815561</v>
      </c>
      <c r="W4169">
        <v>-7.3235150000000001E-3</v>
      </c>
      <c r="X4169">
        <v>0.98335329999999999</v>
      </c>
      <c r="Y4169">
        <v>-0.37859799999999999</v>
      </c>
      <c r="Z4169">
        <v>5.4310869999999997E-2</v>
      </c>
      <c r="AA4169">
        <v>0.92396639999999997</v>
      </c>
      <c r="AB4169">
        <v>22</v>
      </c>
      <c r="AC4169">
        <v>-4.39910000000003</v>
      </c>
      <c r="AD4169">
        <v>-1.11524244394489</v>
      </c>
      <c r="AE4169">
        <v>-6.5756999999999799</v>
      </c>
      <c r="AF4169">
        <v>-2.9614693775066501</v>
      </c>
      <c r="AG4169">
        <v>-1.11524244394489</v>
      </c>
      <c r="AH4169">
        <v>7.1698191705370702</v>
      </c>
      <c r="AI4169">
        <v>98.181114089825599</v>
      </c>
      <c r="AJ4169">
        <v>112.442905794827</v>
      </c>
      <c r="AK4169">
        <v>7.8371151274487998</v>
      </c>
      <c r="AL4169">
        <v>90.419610259210501</v>
      </c>
      <c r="AM4169">
        <v>100.46069523794699</v>
      </c>
      <c r="AN4169">
        <v>0.99999998197002704</v>
      </c>
    </row>
    <row r="4170" spans="1:40" x14ac:dyDescent="0.25">
      <c r="A4170" t="str">
        <f>"20190312150738091"</f>
        <v>20190312150738091</v>
      </c>
      <c r="B4170" t="str">
        <f>"1552374458084087"</f>
        <v>1552374458084087</v>
      </c>
      <c r="C4170" t="s">
        <v>40</v>
      </c>
      <c r="D4170">
        <v>4.5782480000000003</v>
      </c>
      <c r="E4170">
        <v>0.4226048</v>
      </c>
      <c r="F4170" t="s">
        <v>61</v>
      </c>
      <c r="G4170">
        <v>-489.15660000000003</v>
      </c>
      <c r="H4170" s="1">
        <v>5.655694E-7</v>
      </c>
      <c r="I4170">
        <v>271.41730000000001</v>
      </c>
      <c r="J4170">
        <v>-484.84120000000001</v>
      </c>
      <c r="K4170">
        <v>1.115265</v>
      </c>
      <c r="L4170">
        <v>277.91050000000001</v>
      </c>
      <c r="M4170">
        <v>-0.82924189999999998</v>
      </c>
      <c r="N4170">
        <v>0</v>
      </c>
      <c r="O4170">
        <v>-0.55871009999999999</v>
      </c>
      <c r="P4170">
        <v>-0.7140746</v>
      </c>
      <c r="Q4170">
        <v>-1.9139179999999999E-2</v>
      </c>
      <c r="R4170">
        <v>-0.69980819999999999</v>
      </c>
      <c r="S4170">
        <v>-1.702637</v>
      </c>
      <c r="T4170">
        <v>-0.43285010000000002</v>
      </c>
      <c r="U4170">
        <v>-2.540527</v>
      </c>
      <c r="V4170">
        <v>-0.1812955</v>
      </c>
      <c r="W4170">
        <v>-7.309154E-3</v>
      </c>
      <c r="X4170">
        <v>0.98340150000000004</v>
      </c>
      <c r="Y4170">
        <v>-0.37885819999999998</v>
      </c>
      <c r="Z4170">
        <v>5.5619630000000003E-2</v>
      </c>
      <c r="AA4170">
        <v>0.92378190000000004</v>
      </c>
      <c r="AB4170">
        <v>22</v>
      </c>
      <c r="AC4170">
        <v>-4.3154000000000101</v>
      </c>
      <c r="AD4170">
        <v>-1.1152644344306</v>
      </c>
      <c r="AE4170">
        <v>-6.4931999999999999</v>
      </c>
      <c r="AF4170">
        <v>-2.91404525725582</v>
      </c>
      <c r="AG4170">
        <v>-1.1152644344306</v>
      </c>
      <c r="AH4170">
        <v>7.0625320176444797</v>
      </c>
      <c r="AI4170">
        <v>98.305106524988005</v>
      </c>
      <c r="AJ4170">
        <v>112.42135254630401</v>
      </c>
      <c r="AK4170">
        <v>7.7210642414303496</v>
      </c>
      <c r="AL4170">
        <v>90.418787406553804</v>
      </c>
      <c r="AM4170">
        <v>100.44551030540801</v>
      </c>
      <c r="AN4170">
        <v>0.99999999612734702</v>
      </c>
    </row>
    <row r="4171" spans="1:40" x14ac:dyDescent="0.25">
      <c r="A4171" t="str">
        <f>"20190312150738100"</f>
        <v>20190312150738100</v>
      </c>
      <c r="B4171" t="str">
        <f>"1552374458093848"</f>
        <v>1552374458093848</v>
      </c>
      <c r="C4171" t="s">
        <v>40</v>
      </c>
      <c r="D4171">
        <v>4.6940010000000001</v>
      </c>
      <c r="E4171">
        <v>0.42287999999999998</v>
      </c>
      <c r="F4171" t="s">
        <v>61</v>
      </c>
      <c r="G4171">
        <v>-489.1936</v>
      </c>
      <c r="H4171" s="1">
        <v>5.5169179999999995E-7</v>
      </c>
      <c r="I4171">
        <v>271.36869999999999</v>
      </c>
      <c r="J4171">
        <v>-484.91590000000002</v>
      </c>
      <c r="K4171">
        <v>1.115283</v>
      </c>
      <c r="L4171">
        <v>277.85559999999998</v>
      </c>
      <c r="M4171">
        <v>-0.82723880000000005</v>
      </c>
      <c r="N4171">
        <v>0</v>
      </c>
      <c r="O4171">
        <v>-0.56167159999999905</v>
      </c>
      <c r="P4171">
        <v>-0.71169539999999998</v>
      </c>
      <c r="Q4171">
        <v>-1.912432E-2</v>
      </c>
      <c r="R4171">
        <v>-0.70222759999999995</v>
      </c>
      <c r="S4171">
        <v>-1.6941219999999999</v>
      </c>
      <c r="T4171">
        <v>-0.43411280000000002</v>
      </c>
      <c r="U4171">
        <v>-2.5463559999999998</v>
      </c>
      <c r="V4171">
        <v>-0.18111679999999999</v>
      </c>
      <c r="W4171">
        <v>-7.2966389999999997E-3</v>
      </c>
      <c r="X4171">
        <v>0.98343449999999999</v>
      </c>
      <c r="Y4171">
        <v>-0.37869229999999998</v>
      </c>
      <c r="Z4171">
        <v>5.6260520000000001E-2</v>
      </c>
      <c r="AA4171">
        <v>0.9238111</v>
      </c>
      <c r="AB4171">
        <v>22</v>
      </c>
      <c r="AC4171">
        <v>-4.2776999999999799</v>
      </c>
      <c r="AD4171">
        <v>-1.1152824483082</v>
      </c>
      <c r="AE4171">
        <v>-6.4868999999999897</v>
      </c>
      <c r="AF4171">
        <v>-2.9040250138732699</v>
      </c>
      <c r="AG4171">
        <v>-1.1152824483082</v>
      </c>
      <c r="AH4171">
        <v>7.0379210665991199</v>
      </c>
      <c r="AI4171">
        <v>98.333818913032502</v>
      </c>
      <c r="AJ4171">
        <v>112.422287449564</v>
      </c>
      <c r="AK4171">
        <v>7.6947741461582702</v>
      </c>
      <c r="AL4171">
        <v>90.418070339168906</v>
      </c>
      <c r="AM4171">
        <v>100.435098155535</v>
      </c>
      <c r="AN4171">
        <v>0.99999997598659196</v>
      </c>
    </row>
    <row r="4172" spans="1:40" x14ac:dyDescent="0.25">
      <c r="A4172" t="str">
        <f>"20190312150738112"</f>
        <v>20190312150738112</v>
      </c>
      <c r="B4172" t="str">
        <f>"1552374458104583"</f>
        <v>1552374458104583</v>
      </c>
      <c r="C4172" t="s">
        <v>40</v>
      </c>
      <c r="D4172">
        <v>4.5263989999999996</v>
      </c>
      <c r="E4172">
        <v>0.42311140000000003</v>
      </c>
      <c r="F4172" t="s">
        <v>61</v>
      </c>
      <c r="G4172">
        <v>-489.2731</v>
      </c>
      <c r="H4172" s="1">
        <v>5.2316909999999996E-7</v>
      </c>
      <c r="I4172">
        <v>271.2681</v>
      </c>
      <c r="J4172">
        <v>-484.9982</v>
      </c>
      <c r="K4172">
        <v>1.1153029999999999</v>
      </c>
      <c r="L4172">
        <v>277.79430000000002</v>
      </c>
      <c r="M4172">
        <v>-0.82499179999999905</v>
      </c>
      <c r="N4172">
        <v>0</v>
      </c>
      <c r="O4172">
        <v>-0.56496689999999905</v>
      </c>
      <c r="P4172">
        <v>-0.70891579999999998</v>
      </c>
      <c r="Q4172">
        <v>-1.950412E-2</v>
      </c>
      <c r="R4172">
        <v>-0.70502369999999903</v>
      </c>
      <c r="S4172">
        <v>-1.6870419999999999</v>
      </c>
      <c r="T4172">
        <v>-0.43182609999999899</v>
      </c>
      <c r="U4172">
        <v>-2.5505979999999999</v>
      </c>
      <c r="V4172">
        <v>-0.18106520000000001</v>
      </c>
      <c r="W4172">
        <v>-7.6810810000000002E-3</v>
      </c>
      <c r="X4172">
        <v>0.98344109999999996</v>
      </c>
      <c r="Y4172">
        <v>-0.3775097</v>
      </c>
      <c r="Z4172">
        <v>5.6574689999999997E-2</v>
      </c>
      <c r="AA4172">
        <v>0.92427579999999998</v>
      </c>
      <c r="AB4172">
        <v>22</v>
      </c>
      <c r="AC4172">
        <v>-4.2748999999999997</v>
      </c>
      <c r="AD4172">
        <v>-1.1153024768308999</v>
      </c>
      <c r="AE4172">
        <v>-6.52620000000001</v>
      </c>
      <c r="AF4172">
        <v>-2.9097178524525198</v>
      </c>
      <c r="AG4172">
        <v>-1.1153024768308999</v>
      </c>
      <c r="AH4172">
        <v>7.0700803717218701</v>
      </c>
      <c r="AI4172">
        <v>98.299676152052797</v>
      </c>
      <c r="AJ4172">
        <v>112.36979799822799</v>
      </c>
      <c r="AK4172">
        <v>7.7263441586764099</v>
      </c>
      <c r="AL4172">
        <v>90.440097850404598</v>
      </c>
      <c r="AM4172">
        <v>100.43212201179099</v>
      </c>
      <c r="AN4172">
        <v>1.0000000014127799</v>
      </c>
    </row>
    <row r="4173" spans="1:40" x14ac:dyDescent="0.25">
      <c r="A4173" t="str">
        <f>"20190312150738123"</f>
        <v>20190312150738123</v>
      </c>
      <c r="B4173" t="str">
        <f>"1552374458114343"</f>
        <v>1552374458114343</v>
      </c>
      <c r="C4173" t="s">
        <v>40</v>
      </c>
      <c r="D4173">
        <v>4.5526980000000004</v>
      </c>
      <c r="E4173">
        <v>0.42320340000000001</v>
      </c>
      <c r="F4173" t="s">
        <v>61</v>
      </c>
      <c r="G4173">
        <v>-489.33589999999998</v>
      </c>
      <c r="H4173" s="1">
        <v>5.007633E-7</v>
      </c>
      <c r="I4173">
        <v>271.18900000000002</v>
      </c>
      <c r="J4173">
        <v>-485.08199999999999</v>
      </c>
      <c r="K4173">
        <v>1.115324</v>
      </c>
      <c r="L4173">
        <v>277.73160000000001</v>
      </c>
      <c r="M4173">
        <v>-0.82268050000000004</v>
      </c>
      <c r="N4173">
        <v>0</v>
      </c>
      <c r="O4173">
        <v>-0.56832720000000003</v>
      </c>
      <c r="P4173">
        <v>-0.70616899999999905</v>
      </c>
      <c r="Q4173">
        <v>-1.935247E-2</v>
      </c>
      <c r="R4173">
        <v>-0.70777900000000005</v>
      </c>
      <c r="S4173">
        <v>-1.6783140000000001</v>
      </c>
      <c r="T4173">
        <v>-0.4315234</v>
      </c>
      <c r="U4173">
        <v>-2.5556640000000002</v>
      </c>
      <c r="V4173">
        <v>-0.18088299999999999</v>
      </c>
      <c r="W4173">
        <v>-7.5322100000000001E-3</v>
      </c>
      <c r="X4173">
        <v>0.98347580000000001</v>
      </c>
      <c r="Y4173">
        <v>-0.37680350000000001</v>
      </c>
      <c r="Z4173">
        <v>5.712507E-2</v>
      </c>
      <c r="AA4173">
        <v>0.92453010000000002</v>
      </c>
      <c r="AB4173">
        <v>22</v>
      </c>
      <c r="AC4173">
        <v>-4.2538999999999803</v>
      </c>
      <c r="AD4173">
        <v>-1.1153234992367</v>
      </c>
      <c r="AE4173">
        <v>-6.5425999999999904</v>
      </c>
      <c r="AF4173">
        <v>-2.9058074364609201</v>
      </c>
      <c r="AG4173">
        <v>-1.1153234992367</v>
      </c>
      <c r="AH4173">
        <v>7.0741692830089198</v>
      </c>
      <c r="AI4173">
        <v>98.297374704743405</v>
      </c>
      <c r="AJ4173">
        <v>112.33104763817001</v>
      </c>
      <c r="AK4173">
        <v>7.7286178848748897</v>
      </c>
      <c r="AL4173">
        <v>90.431567914955394</v>
      </c>
      <c r="AM4173">
        <v>100.421494981942</v>
      </c>
      <c r="AN4173">
        <v>1.00000002153106</v>
      </c>
    </row>
    <row r="4174" spans="1:40" x14ac:dyDescent="0.25">
      <c r="A4174" t="str">
        <f>"20190312150738134"</f>
        <v>20190312150738134</v>
      </c>
      <c r="B4174" t="str">
        <f>"1552374458124102"</f>
        <v>1552374458124102</v>
      </c>
      <c r="C4174" t="s">
        <v>40</v>
      </c>
      <c r="D4174">
        <v>4.5725499999999997</v>
      </c>
      <c r="E4174">
        <v>0.42338409999999899</v>
      </c>
      <c r="F4174" t="s">
        <v>61</v>
      </c>
      <c r="G4174">
        <v>-489.37950000000001</v>
      </c>
      <c r="H4174" s="1">
        <v>4.8563350000000003E-7</v>
      </c>
      <c r="I4174">
        <v>271.1352</v>
      </c>
      <c r="J4174">
        <v>-485.16840000000002</v>
      </c>
      <c r="K4174">
        <v>1.115345</v>
      </c>
      <c r="L4174">
        <v>277.666</v>
      </c>
      <c r="M4174">
        <v>-0.82024750000000002</v>
      </c>
      <c r="N4174">
        <v>0</v>
      </c>
      <c r="O4174">
        <v>-0.57183319999999904</v>
      </c>
      <c r="P4174">
        <v>-0.70321809999999996</v>
      </c>
      <c r="Q4174">
        <v>-1.9261090000000002E-2</v>
      </c>
      <c r="R4174">
        <v>-0.7107135</v>
      </c>
      <c r="S4174">
        <v>-1.6689449999999999</v>
      </c>
      <c r="T4174">
        <v>-0.43313239999999997</v>
      </c>
      <c r="U4174">
        <v>-2.5616759999999998</v>
      </c>
      <c r="V4174">
        <v>-0.18078040000000001</v>
      </c>
      <c r="W4174">
        <v>-7.4445419999999898E-3</v>
      </c>
      <c r="X4174">
        <v>0.98349529999999996</v>
      </c>
      <c r="Y4174">
        <v>-0.3762508</v>
      </c>
      <c r="Z4174">
        <v>5.7931820000000002E-2</v>
      </c>
      <c r="AA4174">
        <v>0.924705</v>
      </c>
      <c r="AB4174">
        <v>22</v>
      </c>
      <c r="AC4174">
        <v>-4.2110999999999796</v>
      </c>
      <c r="AD4174">
        <v>-1.1153445143665</v>
      </c>
      <c r="AE4174">
        <v>-6.5307999999999904</v>
      </c>
      <c r="AF4174">
        <v>-2.8895928534097499</v>
      </c>
      <c r="AG4174">
        <v>-1.1153445143665</v>
      </c>
      <c r="AH4174">
        <v>7.0442744457919799</v>
      </c>
      <c r="AI4174">
        <v>98.333861201689302</v>
      </c>
      <c r="AJ4174">
        <v>112.303657691748</v>
      </c>
      <c r="AK4174">
        <v>7.6951635922728796</v>
      </c>
      <c r="AL4174">
        <v>90.426544781411096</v>
      </c>
      <c r="AM4174">
        <v>100.415511143012</v>
      </c>
      <c r="AN4174">
        <v>0.99999998967591996</v>
      </c>
    </row>
    <row r="4175" spans="1:40" x14ac:dyDescent="0.25">
      <c r="A4175" t="str">
        <f>"20190312150738145"</f>
        <v>20190312150738145</v>
      </c>
      <c r="B4175" t="str">
        <f>"1552374458133863"</f>
        <v>1552374458133863</v>
      </c>
      <c r="C4175" t="s">
        <v>40</v>
      </c>
      <c r="D4175">
        <v>4.515771</v>
      </c>
      <c r="E4175">
        <v>0.42368800000000001</v>
      </c>
      <c r="F4175" t="s">
        <v>61</v>
      </c>
      <c r="G4175">
        <v>-489.40460000000002</v>
      </c>
      <c r="H4175" s="1">
        <v>4.7918889999999997E-7</v>
      </c>
      <c r="I4175">
        <v>271.11070000000001</v>
      </c>
      <c r="J4175">
        <v>-485.2475</v>
      </c>
      <c r="K4175">
        <v>1.1153649999999999</v>
      </c>
      <c r="L4175">
        <v>277.60570000000001</v>
      </c>
      <c r="M4175">
        <v>-0.81799929999999998</v>
      </c>
      <c r="N4175">
        <v>0</v>
      </c>
      <c r="O4175">
        <v>-0.57504409999999995</v>
      </c>
      <c r="P4175">
        <v>-0.70057380000000002</v>
      </c>
      <c r="Q4175">
        <v>-1.9353990000000001E-2</v>
      </c>
      <c r="R4175">
        <v>-0.71331750000000005</v>
      </c>
      <c r="S4175">
        <v>-1.6592709999999999</v>
      </c>
      <c r="T4175">
        <v>-0.43686589999999997</v>
      </c>
      <c r="U4175">
        <v>-2.5676269999999999</v>
      </c>
      <c r="V4175">
        <v>-0.18057390000000001</v>
      </c>
      <c r="W4175">
        <v>-7.5393480000000004E-3</v>
      </c>
      <c r="X4175">
        <v>0.98353250000000003</v>
      </c>
      <c r="Y4175">
        <v>-0.3760944</v>
      </c>
      <c r="Z4175">
        <v>5.8956559999999998E-2</v>
      </c>
      <c r="AA4175">
        <v>0.92470379999999996</v>
      </c>
      <c r="AB4175">
        <v>21</v>
      </c>
      <c r="AC4175">
        <v>-4.1571000000000096</v>
      </c>
      <c r="AD4175">
        <v>-1.1153645208111</v>
      </c>
      <c r="AE4175">
        <v>-6.4950000000000001</v>
      </c>
      <c r="AF4175">
        <v>-2.8627943985327802</v>
      </c>
      <c r="AG4175">
        <v>-1.1153645208111</v>
      </c>
      <c r="AH4175">
        <v>6.9899063743164902</v>
      </c>
      <c r="AI4175">
        <v>98.399779199373398</v>
      </c>
      <c r="AJ4175">
        <v>112.272102217976</v>
      </c>
      <c r="AK4175">
        <v>7.6353402611976096</v>
      </c>
      <c r="AL4175">
        <v>90.431976923138393</v>
      </c>
      <c r="AM4175">
        <v>100.40348884999</v>
      </c>
      <c r="AN4175">
        <v>0.99999997684286202</v>
      </c>
    </row>
    <row r="4176" spans="1:40" x14ac:dyDescent="0.25">
      <c r="A4176" t="str">
        <f>"20190312150738156"</f>
        <v>20190312150738156</v>
      </c>
      <c r="B4176" t="str">
        <f>"1552374458144599"</f>
        <v>1552374458144599</v>
      </c>
      <c r="C4176" t="s">
        <v>40</v>
      </c>
      <c r="D4176">
        <v>4.5200930000000001</v>
      </c>
      <c r="E4176">
        <v>0.42381210000000002</v>
      </c>
      <c r="F4176" t="s">
        <v>61</v>
      </c>
      <c r="G4176">
        <v>-489.44229999999999</v>
      </c>
      <c r="H4176" s="1">
        <v>4.6829039999999999E-7</v>
      </c>
      <c r="I4176">
        <v>271.07040000000001</v>
      </c>
      <c r="J4176">
        <v>-485.33089999999999</v>
      </c>
      <c r="K4176">
        <v>1.1153879999999901</v>
      </c>
      <c r="L4176">
        <v>277.54129999999998</v>
      </c>
      <c r="M4176">
        <v>-0.81558229999999998</v>
      </c>
      <c r="N4176">
        <v>0</v>
      </c>
      <c r="O4176">
        <v>-0.57846739999999996</v>
      </c>
      <c r="P4176">
        <v>-0.69764510000000002</v>
      </c>
      <c r="Q4176">
        <v>-1.9219130000000001E-2</v>
      </c>
      <c r="R4176">
        <v>-0.71618599999999999</v>
      </c>
      <c r="S4176">
        <v>-1.6510309999999999</v>
      </c>
      <c r="T4176">
        <v>-0.43899630000000001</v>
      </c>
      <c r="U4176">
        <v>-2.572235</v>
      </c>
      <c r="V4176">
        <v>-0.18048639999999999</v>
      </c>
      <c r="W4176">
        <v>-7.4080630000000003E-3</v>
      </c>
      <c r="X4176">
        <v>0.98354960000000002</v>
      </c>
      <c r="Y4176">
        <v>-0.37510209999999999</v>
      </c>
      <c r="Z4176">
        <v>5.987017E-2</v>
      </c>
      <c r="AA4176">
        <v>0.92504810000000004</v>
      </c>
      <c r="AB4176">
        <v>21</v>
      </c>
      <c r="AC4176">
        <v>-4.1113999999999997</v>
      </c>
      <c r="AD4176">
        <v>-1.11538753170959</v>
      </c>
      <c r="AE4176">
        <v>-6.4708999999999701</v>
      </c>
      <c r="AF4176">
        <v>-2.8394310225132</v>
      </c>
      <c r="AG4176">
        <v>-1.11538753170959</v>
      </c>
      <c r="AH4176">
        <v>6.9499954563240198</v>
      </c>
      <c r="AI4176">
        <v>98.450439623612397</v>
      </c>
      <c r="AJ4176">
        <v>112.222543215285</v>
      </c>
      <c r="AK4176">
        <v>7.5900523529438297</v>
      </c>
      <c r="AL4176">
        <v>90.424454619065202</v>
      </c>
      <c r="AM4176">
        <v>100.398380823065</v>
      </c>
      <c r="AN4176">
        <v>1.00000001782126</v>
      </c>
    </row>
    <row r="4177" spans="1:40" x14ac:dyDescent="0.25">
      <c r="A4177" t="str">
        <f>"20190312150738168"</f>
        <v>20190312150738168</v>
      </c>
      <c r="B4177" t="str">
        <f>"1552374458164122"</f>
        <v>1552374458164122</v>
      </c>
      <c r="C4177" t="s">
        <v>40</v>
      </c>
      <c r="D4177">
        <v>4.5942270000000001</v>
      </c>
      <c r="E4177">
        <v>0.42431679999999999</v>
      </c>
      <c r="F4177" t="s">
        <v>61</v>
      </c>
      <c r="G4177">
        <v>-489.53070000000002</v>
      </c>
      <c r="H4177" s="1">
        <v>4.3196680000000001E-7</v>
      </c>
      <c r="I4177">
        <v>270.94549999999998</v>
      </c>
      <c r="J4177">
        <v>-485.4153</v>
      </c>
      <c r="K4177">
        <v>1.115408</v>
      </c>
      <c r="L4177">
        <v>277.47570000000002</v>
      </c>
      <c r="M4177">
        <v>-0.81310919999999998</v>
      </c>
      <c r="N4177">
        <v>0</v>
      </c>
      <c r="O4177">
        <v>-0.58193839999999997</v>
      </c>
      <c r="P4177">
        <v>-0.6944321</v>
      </c>
      <c r="Q4177">
        <v>-1.941758E-2</v>
      </c>
      <c r="R4177">
        <v>-0.7192963</v>
      </c>
      <c r="S4177">
        <v>-1.6415709999999999</v>
      </c>
      <c r="T4177">
        <v>-0.43597010000000003</v>
      </c>
      <c r="U4177">
        <v>-2.5780940000000001</v>
      </c>
      <c r="V4177">
        <v>-0.18069009999999999</v>
      </c>
      <c r="W4177">
        <v>-7.6143189999999996E-3</v>
      </c>
      <c r="X4177">
        <v>0.98351060000000001</v>
      </c>
      <c r="Y4177">
        <v>-0.3745291</v>
      </c>
      <c r="Z4177">
        <v>6.0061580000000003E-2</v>
      </c>
      <c r="AA4177">
        <v>0.92526779999999997</v>
      </c>
      <c r="AB4177">
        <v>21</v>
      </c>
      <c r="AC4177">
        <v>-4.1154000000000197</v>
      </c>
      <c r="AD4177">
        <v>-1.1154075680331901</v>
      </c>
      <c r="AE4177">
        <v>-6.53020000000003</v>
      </c>
      <c r="AF4177">
        <v>-2.8555213555443499</v>
      </c>
      <c r="AG4177">
        <v>-1.1154075680331901</v>
      </c>
      <c r="AH4177">
        <v>7.0009701590388804</v>
      </c>
      <c r="AI4177">
        <v>98.391896309575898</v>
      </c>
      <c r="AJ4177">
        <v>112.18932393448701</v>
      </c>
      <c r="AK4177">
        <v>7.64275600961777</v>
      </c>
      <c r="AL4177">
        <v>90.436272560419795</v>
      </c>
      <c r="AM4177">
        <v>100.410263951991</v>
      </c>
      <c r="AN4177">
        <v>0.99999999520210103</v>
      </c>
    </row>
    <row r="4178" spans="1:40" x14ac:dyDescent="0.25">
      <c r="A4178" t="str">
        <f>"20190312150738178"</f>
        <v>20190312150738178</v>
      </c>
      <c r="B4178" t="str">
        <f>"1552374458173879"</f>
        <v>1552374458173879</v>
      </c>
      <c r="C4178" t="s">
        <v>40</v>
      </c>
      <c r="D4178">
        <v>4.5258059999999896</v>
      </c>
      <c r="E4178">
        <v>0.42452440000000002</v>
      </c>
      <c r="F4178" t="s">
        <v>61</v>
      </c>
      <c r="G4178">
        <v>-489.6216</v>
      </c>
      <c r="H4178" s="1">
        <v>3.9669710000000001E-7</v>
      </c>
      <c r="I4178">
        <v>270.8229</v>
      </c>
      <c r="J4178">
        <v>-485.49919999999997</v>
      </c>
      <c r="K4178">
        <v>1.1154269999999999</v>
      </c>
      <c r="L4178">
        <v>277.40980000000002</v>
      </c>
      <c r="M4178">
        <v>-0.81061050000000001</v>
      </c>
      <c r="N4178">
        <v>0</v>
      </c>
      <c r="O4178">
        <v>-0.58541379999999998</v>
      </c>
      <c r="P4178">
        <v>-0.69124419999999898</v>
      </c>
      <c r="Q4178">
        <v>-1.9788969999999999E-2</v>
      </c>
      <c r="R4178">
        <v>-0.72235070000000001</v>
      </c>
      <c r="S4178">
        <v>-1.6329039999999999</v>
      </c>
      <c r="T4178">
        <v>-0.43300480000000002</v>
      </c>
      <c r="U4178">
        <v>-2.5826419999999999</v>
      </c>
      <c r="V4178">
        <v>-0.1808167</v>
      </c>
      <c r="W4178">
        <v>-7.9918000000000003E-3</v>
      </c>
      <c r="X4178">
        <v>0.98348429999999998</v>
      </c>
      <c r="Y4178">
        <v>-0.37352649999999998</v>
      </c>
      <c r="Z4178">
        <v>6.0294189999999998E-2</v>
      </c>
      <c r="AA4178">
        <v>0.92565790000000003</v>
      </c>
      <c r="AB4178">
        <v>21</v>
      </c>
      <c r="AC4178">
        <v>-4.1224000000000203</v>
      </c>
      <c r="AD4178">
        <v>-1.1154266033029001</v>
      </c>
      <c r="AE4178">
        <v>-6.5869000000000097</v>
      </c>
      <c r="AF4178">
        <v>-2.8673132104682701</v>
      </c>
      <c r="AG4178">
        <v>-1.1154266033029001</v>
      </c>
      <c r="AH4178">
        <v>7.0531159954883096</v>
      </c>
      <c r="AI4178">
        <v>98.334722463605004</v>
      </c>
      <c r="AJ4178">
        <v>112.123286665021</v>
      </c>
      <c r="AK4178">
        <v>7.6949403376566101</v>
      </c>
      <c r="AL4178">
        <v>90.457901304257106</v>
      </c>
      <c r="AM4178">
        <v>100.417670719141</v>
      </c>
      <c r="AN4178">
        <v>0.99999995810630904</v>
      </c>
    </row>
    <row r="4179" spans="1:40" x14ac:dyDescent="0.25">
      <c r="A4179" t="str">
        <f>"20190312150738190"</f>
        <v>20190312150738190</v>
      </c>
      <c r="B4179" t="str">
        <f>"1552374458184615"</f>
        <v>1552374458184615</v>
      </c>
      <c r="C4179" t="s">
        <v>40</v>
      </c>
      <c r="D4179">
        <v>4.5713470000000003</v>
      </c>
      <c r="E4179">
        <v>0.4246106</v>
      </c>
      <c r="F4179" t="s">
        <v>61</v>
      </c>
      <c r="G4179">
        <v>-489.68579999999997</v>
      </c>
      <c r="H4179" s="1">
        <v>3.7056299999999998E-7</v>
      </c>
      <c r="I4179">
        <v>270.7328</v>
      </c>
      <c r="J4179">
        <v>-485.58319999999998</v>
      </c>
      <c r="K4179">
        <v>1.115448</v>
      </c>
      <c r="L4179">
        <v>277.34320000000002</v>
      </c>
      <c r="M4179">
        <v>-0.80807200000000001</v>
      </c>
      <c r="N4179">
        <v>0</v>
      </c>
      <c r="O4179">
        <v>-0.58891249999999995</v>
      </c>
      <c r="P4179">
        <v>-0.68798899999999996</v>
      </c>
      <c r="Q4179">
        <v>-1.9758379999999999E-2</v>
      </c>
      <c r="R4179">
        <v>-0.72545219999999999</v>
      </c>
      <c r="S4179">
        <v>-1.6228940000000001</v>
      </c>
      <c r="T4179">
        <v>-0.43238500000000002</v>
      </c>
      <c r="U4179">
        <v>-2.588257</v>
      </c>
      <c r="V4179">
        <v>-0.18098790000000001</v>
      </c>
      <c r="W4179">
        <v>-7.967666E-3</v>
      </c>
      <c r="X4179">
        <v>0.98345300000000002</v>
      </c>
      <c r="Y4179">
        <v>-0.3730118</v>
      </c>
      <c r="Z4179">
        <v>6.0812619999999998E-2</v>
      </c>
      <c r="AA4179">
        <v>0.92583159999999998</v>
      </c>
      <c r="AB4179">
        <v>21</v>
      </c>
      <c r="AC4179">
        <v>-4.10259999999999</v>
      </c>
      <c r="AD4179">
        <v>-1.1154476294369999</v>
      </c>
      <c r="AE4179">
        <v>-6.6104000000000198</v>
      </c>
      <c r="AF4179">
        <v>-2.8669686552839702</v>
      </c>
      <c r="AG4179">
        <v>-1.1154476294369999</v>
      </c>
      <c r="AH4179">
        <v>7.0636702258886999</v>
      </c>
      <c r="AI4179">
        <v>98.324476054624697</v>
      </c>
      <c r="AJ4179">
        <v>112.091014165933</v>
      </c>
      <c r="AK4179">
        <v>7.7044902326178599</v>
      </c>
      <c r="AL4179">
        <v>90.456518485964907</v>
      </c>
      <c r="AM4179">
        <v>100.42764265844001</v>
      </c>
      <c r="AN4179">
        <v>0.99999995342844705</v>
      </c>
    </row>
    <row r="4180" spans="1:40" x14ac:dyDescent="0.25">
      <c r="A4180" t="str">
        <f>"20190312150738201"</f>
        <v>20190312150738201</v>
      </c>
      <c r="B4180" t="str">
        <f>"1552374458194375"</f>
        <v>1552374458194375</v>
      </c>
      <c r="C4180" t="s">
        <v>40</v>
      </c>
      <c r="D4180">
        <v>4.521166</v>
      </c>
      <c r="E4180">
        <v>0.42481659999999999</v>
      </c>
      <c r="F4180" t="s">
        <v>61</v>
      </c>
      <c r="G4180">
        <v>-489.7253</v>
      </c>
      <c r="H4180" s="1">
        <v>3.52560299999999E-7</v>
      </c>
      <c r="I4180">
        <v>270.67200000000003</v>
      </c>
      <c r="J4180">
        <v>-485.66770000000002</v>
      </c>
      <c r="K4180">
        <v>1.1154660000000001</v>
      </c>
      <c r="L4180">
        <v>277.27569999999997</v>
      </c>
      <c r="M4180">
        <v>-0.80548619999999904</v>
      </c>
      <c r="N4180">
        <v>0</v>
      </c>
      <c r="O4180">
        <v>-0.59244410000000003</v>
      </c>
      <c r="P4180">
        <v>-0.68457049999999997</v>
      </c>
      <c r="Q4180">
        <v>-1.9898119999999998E-2</v>
      </c>
      <c r="R4180">
        <v>-0.72867519999999997</v>
      </c>
      <c r="S4180">
        <v>-1.61145</v>
      </c>
      <c r="T4180">
        <v>-0.43395099999999998</v>
      </c>
      <c r="U4180">
        <v>-2.5953369999999998</v>
      </c>
      <c r="V4180">
        <v>-0.1813014</v>
      </c>
      <c r="W4180">
        <v>-8.1158629999999992E-3</v>
      </c>
      <c r="X4180">
        <v>0.98339410000000005</v>
      </c>
      <c r="Y4180">
        <v>-0.37305929999999998</v>
      </c>
      <c r="Z4180">
        <v>6.1595219999999999E-2</v>
      </c>
      <c r="AA4180">
        <v>0.92576069999999999</v>
      </c>
      <c r="AB4180">
        <v>21</v>
      </c>
      <c r="AC4180">
        <v>-4.0575999999999697</v>
      </c>
      <c r="AD4180">
        <v>-1.1154656474397</v>
      </c>
      <c r="AE4180">
        <v>-6.6036999999999404</v>
      </c>
      <c r="AF4180">
        <v>-2.8564188051149602</v>
      </c>
      <c r="AG4180">
        <v>-1.1154656474397</v>
      </c>
      <c r="AH4180">
        <v>7.0356627365827702</v>
      </c>
      <c r="AI4180">
        <v>98.356946305109005</v>
      </c>
      <c r="AJ4180">
        <v>112.09673111907701</v>
      </c>
      <c r="AK4180">
        <v>7.67489036688941</v>
      </c>
      <c r="AL4180">
        <v>90.465009797086097</v>
      </c>
      <c r="AM4180">
        <v>100.44591963113299</v>
      </c>
      <c r="AN4180">
        <v>1.0000000103944999</v>
      </c>
    </row>
    <row r="4181" spans="1:40" x14ac:dyDescent="0.25">
      <c r="A4181" t="str">
        <f>"20190312150738212"</f>
        <v>20190312150738212</v>
      </c>
      <c r="B4181" t="str">
        <f>"1552374458204135"</f>
        <v>1552374458204135</v>
      </c>
      <c r="C4181" t="s">
        <v>40</v>
      </c>
      <c r="D4181">
        <v>4.5321530000000001</v>
      </c>
      <c r="E4181">
        <v>0.42503570000000002</v>
      </c>
      <c r="F4181" t="s">
        <v>61</v>
      </c>
      <c r="G4181">
        <v>-489.79509999999999</v>
      </c>
      <c r="H4181" s="1">
        <v>3.2111339999999999E-7</v>
      </c>
      <c r="I4181">
        <v>270.56549999999999</v>
      </c>
      <c r="J4181">
        <v>-485.74590000000001</v>
      </c>
      <c r="K4181">
        <v>1.1154809999999999</v>
      </c>
      <c r="L4181">
        <v>277.21249999999998</v>
      </c>
      <c r="M4181">
        <v>-0.80305109999999902</v>
      </c>
      <c r="N4181">
        <v>0</v>
      </c>
      <c r="O4181">
        <v>-0.59574079999999996</v>
      </c>
      <c r="P4181">
        <v>-0.68136529999999995</v>
      </c>
      <c r="Q4181">
        <v>-2.0014480000000001E-2</v>
      </c>
      <c r="R4181">
        <v>-0.73166989999999998</v>
      </c>
      <c r="S4181">
        <v>-1.6003419999999999</v>
      </c>
      <c r="T4181">
        <v>-0.43250680000000002</v>
      </c>
      <c r="U4181">
        <v>-2.6017760000000001</v>
      </c>
      <c r="V4181">
        <v>-0.18158299999999999</v>
      </c>
      <c r="W4181">
        <v>-8.2397069999999902E-3</v>
      </c>
      <c r="X4181">
        <v>0.98334109999999997</v>
      </c>
      <c r="Y4181">
        <v>-0.3731583</v>
      </c>
      <c r="Z4181">
        <v>6.192247E-2</v>
      </c>
      <c r="AA4181">
        <v>0.92569889999999999</v>
      </c>
      <c r="AB4181">
        <v>21</v>
      </c>
      <c r="AC4181">
        <v>-4.0491999999999804</v>
      </c>
      <c r="AD4181">
        <v>-1.1154806788866001</v>
      </c>
      <c r="AE4181">
        <v>-6.6469999999999896</v>
      </c>
      <c r="AF4181">
        <v>-2.8670132717862802</v>
      </c>
      <c r="AG4181">
        <v>-1.1154806788866001</v>
      </c>
      <c r="AH4181">
        <v>7.0671703903907401</v>
      </c>
      <c r="AI4181">
        <v>98.321210554623093</v>
      </c>
      <c r="AJ4181">
        <v>112.081435561882</v>
      </c>
      <c r="AK4181">
        <v>7.7077207767526001</v>
      </c>
      <c r="AL4181">
        <v>90.472105778286306</v>
      </c>
      <c r="AM4181">
        <v>100.462337846683</v>
      </c>
      <c r="AN4181">
        <v>0.99999999880482704</v>
      </c>
    </row>
    <row r="4182" spans="1:40" x14ac:dyDescent="0.25">
      <c r="A4182" t="str">
        <f>"20190312150738224"</f>
        <v>20190312150738224</v>
      </c>
      <c r="B4182" t="str">
        <f>"1552374458213897"</f>
        <v>1552374458213897</v>
      </c>
      <c r="C4182" t="s">
        <v>40</v>
      </c>
      <c r="D4182">
        <v>4.5261440000000004</v>
      </c>
      <c r="E4182">
        <v>0.42525879999999999</v>
      </c>
      <c r="F4182" t="s">
        <v>61</v>
      </c>
      <c r="G4182">
        <v>-489.85700000000003</v>
      </c>
      <c r="H4182" s="1">
        <v>2.934144E-7</v>
      </c>
      <c r="I4182">
        <v>270.47160000000002</v>
      </c>
      <c r="J4182">
        <v>-485.8331</v>
      </c>
      <c r="K4182">
        <v>1.1154919999999999</v>
      </c>
      <c r="L4182">
        <v>277.14159999999998</v>
      </c>
      <c r="M4182">
        <v>-0.80031059999999998</v>
      </c>
      <c r="N4182">
        <v>0</v>
      </c>
      <c r="O4182">
        <v>-0.59941719999999998</v>
      </c>
      <c r="P4182">
        <v>-0.67797799999999997</v>
      </c>
      <c r="Q4182">
        <v>-1.99399E-2</v>
      </c>
      <c r="R4182">
        <v>-0.73481169999999996</v>
      </c>
      <c r="S4182">
        <v>-1.590271</v>
      </c>
      <c r="T4182">
        <v>-0.43149539999999997</v>
      </c>
      <c r="U4182">
        <v>-2.607513</v>
      </c>
      <c r="V4182">
        <v>-0.18161830000000001</v>
      </c>
      <c r="W4182">
        <v>-8.1693330000000008E-3</v>
      </c>
      <c r="X4182">
        <v>0.98333519999999996</v>
      </c>
      <c r="Y4182">
        <v>-0.37243660000000001</v>
      </c>
      <c r="Z4182">
        <v>6.2420999999999997E-2</v>
      </c>
      <c r="AA4182">
        <v>0.92595609999999995</v>
      </c>
      <c r="AB4182">
        <v>21</v>
      </c>
      <c r="AC4182">
        <v>-4.0238999999999603</v>
      </c>
      <c r="AD4182">
        <v>-1.11549170658559</v>
      </c>
      <c r="AE4182">
        <v>-6.6699999999999502</v>
      </c>
      <c r="AF4182">
        <v>-2.86756978608173</v>
      </c>
      <c r="AG4182">
        <v>-1.11549170658559</v>
      </c>
      <c r="AH4182">
        <v>7.0741486468768597</v>
      </c>
      <c r="AI4182">
        <v>98.314115792398894</v>
      </c>
      <c r="AJ4182">
        <v>112.065615752217</v>
      </c>
      <c r="AK4182">
        <v>7.71432805263166</v>
      </c>
      <c r="AL4182">
        <v>90.468073494668005</v>
      </c>
      <c r="AM4182">
        <v>100.464388215596</v>
      </c>
      <c r="AN4182">
        <v>1.00000003022779</v>
      </c>
    </row>
    <row r="4183" spans="1:40" x14ac:dyDescent="0.25">
      <c r="A4183" t="str">
        <f>"20190312150738237"</f>
        <v>20190312150738237</v>
      </c>
      <c r="B4183" t="str">
        <f>"1552374458234391"</f>
        <v>1552374458234391</v>
      </c>
      <c r="C4183" t="s">
        <v>40</v>
      </c>
      <c r="D4183">
        <v>4.5345449999999996</v>
      </c>
      <c r="E4183">
        <v>0.4248576</v>
      </c>
      <c r="F4183" t="s">
        <v>61</v>
      </c>
      <c r="G4183">
        <v>-489.93669999999997</v>
      </c>
      <c r="H4183" s="1">
        <v>2.5849129999999998E-7</v>
      </c>
      <c r="I4183">
        <v>270.35289999999998</v>
      </c>
      <c r="J4183">
        <v>-485.92259999999999</v>
      </c>
      <c r="K4183">
        <v>1.1155109999999999</v>
      </c>
      <c r="L4183">
        <v>277.0677</v>
      </c>
      <c r="M4183">
        <v>-0.79743369999999902</v>
      </c>
      <c r="N4183">
        <v>0</v>
      </c>
      <c r="O4183">
        <v>-0.60323919999999998</v>
      </c>
      <c r="P4183">
        <v>-0.67431940000000001</v>
      </c>
      <c r="Q4183">
        <v>-1.9999490000000002E-2</v>
      </c>
      <c r="R4183">
        <v>-0.73816910000000002</v>
      </c>
      <c r="S4183">
        <v>-1.579742</v>
      </c>
      <c r="T4183">
        <v>-0.42942469999999999</v>
      </c>
      <c r="U4183">
        <v>-2.6134339999999998</v>
      </c>
      <c r="V4183">
        <v>-0.18179629999999999</v>
      </c>
      <c r="W4183">
        <v>-8.2352250000000005E-3</v>
      </c>
      <c r="X4183">
        <v>0.98330169999999995</v>
      </c>
      <c r="Y4183">
        <v>-0.37167329999999998</v>
      </c>
      <c r="Z4183">
        <v>6.279092E-2</v>
      </c>
      <c r="AA4183">
        <v>0.92623770000000005</v>
      </c>
      <c r="AB4183">
        <v>21</v>
      </c>
      <c r="AC4183">
        <v>-4.0140999999999796</v>
      </c>
      <c r="AD4183">
        <v>-1.1155107415087</v>
      </c>
      <c r="AE4183">
        <v>-6.7148000000000199</v>
      </c>
      <c r="AF4183">
        <v>-2.8749866602773699</v>
      </c>
      <c r="AG4183">
        <v>-1.1155107415087</v>
      </c>
      <c r="AH4183">
        <v>7.1078236205865002</v>
      </c>
      <c r="AI4183">
        <v>98.277901930261294</v>
      </c>
      <c r="AJ4183">
        <v>112.02244544029701</v>
      </c>
      <c r="AK4183">
        <v>7.7479719367432898</v>
      </c>
      <c r="AL4183">
        <v>90.471848981865406</v>
      </c>
      <c r="AM4183">
        <v>100.474766203871</v>
      </c>
      <c r="AN4183">
        <v>0.99999997342368996</v>
      </c>
    </row>
    <row r="4184" spans="1:40" x14ac:dyDescent="0.25">
      <c r="A4184" t="str">
        <f>"20190312150738251"</f>
        <v>20190312150738251</v>
      </c>
      <c r="B4184" t="str">
        <f>"1552374458244152"</f>
        <v>1552374458244152</v>
      </c>
      <c r="C4184" t="s">
        <v>40</v>
      </c>
      <c r="D4184">
        <v>4.5557280000000002</v>
      </c>
      <c r="E4184">
        <v>0.4248576</v>
      </c>
      <c r="F4184" t="s">
        <v>61</v>
      </c>
      <c r="G4184">
        <v>-490.00900000000001</v>
      </c>
      <c r="H4184" s="1">
        <v>2.1213049999999999E-7</v>
      </c>
      <c r="I4184">
        <v>270.21640000000002</v>
      </c>
      <c r="J4184">
        <v>-486.02769999999998</v>
      </c>
      <c r="K4184">
        <v>1.1155330000000001</v>
      </c>
      <c r="L4184">
        <v>276.98020000000002</v>
      </c>
      <c r="M4184">
        <v>-0.79400859999999995</v>
      </c>
      <c r="N4184">
        <v>0</v>
      </c>
      <c r="O4184">
        <v>-0.60773999999999995</v>
      </c>
      <c r="P4184">
        <v>-0.66997390000000001</v>
      </c>
      <c r="Q4184">
        <v>-2.0190429999999999E-2</v>
      </c>
      <c r="R4184">
        <v>-0.74211019999999905</v>
      </c>
      <c r="S4184">
        <v>-1.5646059999999999</v>
      </c>
      <c r="T4184">
        <v>-0.42710779999999898</v>
      </c>
      <c r="U4184">
        <v>-2.62323</v>
      </c>
      <c r="V4184">
        <v>-0.18200089999999999</v>
      </c>
      <c r="W4184">
        <v>-8.4332550000000006E-3</v>
      </c>
      <c r="X4184">
        <v>0.98326219999999998</v>
      </c>
      <c r="Y4184">
        <v>-0.37189919999999999</v>
      </c>
      <c r="Z4184">
        <v>6.3145499999999993E-2</v>
      </c>
      <c r="AA4184">
        <v>0.92612289999999997</v>
      </c>
      <c r="AB4184">
        <v>21</v>
      </c>
      <c r="AC4184">
        <v>-3.9813000000000298</v>
      </c>
      <c r="AD4184">
        <v>-1.1155327878694901</v>
      </c>
      <c r="AE4184">
        <v>-6.7637999999999998</v>
      </c>
      <c r="AF4184">
        <v>-2.8927800478977499</v>
      </c>
      <c r="AG4184">
        <v>-1.1155327878694901</v>
      </c>
      <c r="AH4184">
        <v>7.1285463477421001</v>
      </c>
      <c r="AI4184">
        <v>98.250591419249702</v>
      </c>
      <c r="AJ4184">
        <v>112.087424199835</v>
      </c>
      <c r="AK4184">
        <v>7.77359394606089</v>
      </c>
      <c r="AL4184">
        <v>90.483195646311501</v>
      </c>
      <c r="AM4184">
        <v>100.48670543907799</v>
      </c>
      <c r="AN4184">
        <v>1.00000000066977</v>
      </c>
    </row>
    <row r="4185" spans="1:40" x14ac:dyDescent="0.25">
      <c r="A4185" t="str">
        <f>"20190312150738263"</f>
        <v>20190312150738263</v>
      </c>
      <c r="B4185" t="str">
        <f>"1552374458253911"</f>
        <v>1552374458253911</v>
      </c>
      <c r="C4185" t="s">
        <v>40</v>
      </c>
      <c r="D4185">
        <v>4.500121</v>
      </c>
      <c r="E4185">
        <v>0.39494869999999999</v>
      </c>
      <c r="F4185" t="s">
        <v>61</v>
      </c>
      <c r="G4185">
        <v>-490.06810000000002</v>
      </c>
      <c r="H4185" s="1">
        <v>1.761253E-7</v>
      </c>
      <c r="I4185">
        <v>270.1146</v>
      </c>
      <c r="J4185">
        <v>-486.11840000000001</v>
      </c>
      <c r="K4185">
        <v>1.1155489999999999</v>
      </c>
      <c r="L4185">
        <v>276.90410000000003</v>
      </c>
      <c r="M4185">
        <v>-0.79101009999999905</v>
      </c>
      <c r="N4185">
        <v>0</v>
      </c>
      <c r="O4185">
        <v>-0.61163769999999995</v>
      </c>
      <c r="P4185">
        <v>-0.66629079999999996</v>
      </c>
      <c r="Q4185">
        <v>-2.016652E-2</v>
      </c>
      <c r="R4185">
        <v>-0.74541939999999995</v>
      </c>
      <c r="S4185">
        <v>-1.5491029999999999</v>
      </c>
      <c r="T4185">
        <v>-0.42770029999999998</v>
      </c>
      <c r="U4185">
        <v>-2.6323240000000001</v>
      </c>
      <c r="V4185">
        <v>-0.18203430000000001</v>
      </c>
      <c r="W4185">
        <v>-8.4130479999999994E-3</v>
      </c>
      <c r="X4185">
        <v>0.98325620000000002</v>
      </c>
      <c r="Y4185">
        <v>-0.37280479999999999</v>
      </c>
      <c r="Z4185">
        <v>6.3798720000000003E-2</v>
      </c>
      <c r="AA4185">
        <v>0.92571400000000004</v>
      </c>
      <c r="AB4185">
        <v>21</v>
      </c>
      <c r="AC4185">
        <v>-3.9497</v>
      </c>
      <c r="AD4185">
        <v>-1.1155488238747</v>
      </c>
      <c r="AE4185">
        <v>-6.7895000000000296</v>
      </c>
      <c r="AF4185">
        <v>-2.8966506410668602</v>
      </c>
      <c r="AG4185">
        <v>-1.1155488238747</v>
      </c>
      <c r="AH4185">
        <v>7.13381273114826</v>
      </c>
      <c r="AI4185">
        <v>98.244012679082601</v>
      </c>
      <c r="AJ4185">
        <v>112.099377252115</v>
      </c>
      <c r="AK4185">
        <v>7.7798662069430398</v>
      </c>
      <c r="AL4185">
        <v>90.482037824781401</v>
      </c>
      <c r="AM4185">
        <v>100.488649792568</v>
      </c>
      <c r="AN4185">
        <v>1.00000001029579</v>
      </c>
    </row>
    <row r="4186" spans="1:40" x14ac:dyDescent="0.25">
      <c r="A4186" t="str">
        <f>"20190312150738275"</f>
        <v>20190312150738275</v>
      </c>
      <c r="B4186" t="str">
        <f>"1552374458264647"</f>
        <v>1552374458264647</v>
      </c>
      <c r="C4186" t="s">
        <v>40</v>
      </c>
      <c r="D4186">
        <v>4.5561680000000004</v>
      </c>
      <c r="E4186">
        <v>0.39331310000000003</v>
      </c>
      <c r="F4186" t="s">
        <v>42</v>
      </c>
      <c r="G4186">
        <v>-489.75130000000001</v>
      </c>
      <c r="H4186" s="1">
        <v>-4.2418090000000002E-6</v>
      </c>
      <c r="I4186">
        <v>269.41770000000002</v>
      </c>
      <c r="J4186">
        <v>-486.19909999999999</v>
      </c>
      <c r="K4186">
        <v>1.1155649999999999</v>
      </c>
      <c r="L4186">
        <v>276.83530000000002</v>
      </c>
      <c r="M4186">
        <v>-0.78828659999999995</v>
      </c>
      <c r="N4186">
        <v>0</v>
      </c>
      <c r="O4186">
        <v>-0.61514349999999995</v>
      </c>
      <c r="P4186">
        <v>-0.66315550000000001</v>
      </c>
      <c r="Q4186">
        <v>-2.0275430000000001E-2</v>
      </c>
      <c r="R4186">
        <v>-0.74820719999999996</v>
      </c>
      <c r="S4186">
        <v>-1.3583369999999999</v>
      </c>
      <c r="T4186">
        <v>-0.41710730000000001</v>
      </c>
      <c r="U4186">
        <v>-2.7991640000000002</v>
      </c>
      <c r="V4186">
        <v>-0.18179310000000001</v>
      </c>
      <c r="W4186">
        <v>-8.5208230000000003E-3</v>
      </c>
      <c r="X4186">
        <v>0.9832999</v>
      </c>
      <c r="Y4186">
        <v>-0.44130619999999998</v>
      </c>
      <c r="Z4186">
        <v>5.7531890000000002E-2</v>
      </c>
      <c r="AA4186">
        <v>0.89551039999999904</v>
      </c>
      <c r="AB4186">
        <v>21</v>
      </c>
      <c r="AC4186">
        <v>-3.55220000000002</v>
      </c>
      <c r="AD4186">
        <v>-1.115569241809</v>
      </c>
      <c r="AE4186">
        <v>-7.4175999999999904</v>
      </c>
      <c r="AF4186">
        <v>-3.5962847903027799</v>
      </c>
      <c r="AG4186">
        <v>-1.115569241809</v>
      </c>
      <c r="AH4186">
        <v>7.2307472855413302</v>
      </c>
      <c r="AI4186">
        <v>97.865004502169</v>
      </c>
      <c r="AJ4186">
        <v>116.443916786109</v>
      </c>
      <c r="AK4186">
        <v>8.15239016078087</v>
      </c>
      <c r="AL4186">
        <v>90.488213096665604</v>
      </c>
      <c r="AM4186">
        <v>100.474604656697</v>
      </c>
      <c r="AN4186">
        <v>1.0000000144861001</v>
      </c>
    </row>
    <row r="4187" spans="1:40" x14ac:dyDescent="0.25">
      <c r="A4187" t="str">
        <f>"20190312150738287"</f>
        <v>20190312150738287</v>
      </c>
      <c r="B4187" t="str">
        <f>"1552374458284169"</f>
        <v>1552374458284169</v>
      </c>
      <c r="C4187" t="s">
        <v>40</v>
      </c>
      <c r="D4187">
        <v>4.5286249999999999</v>
      </c>
      <c r="E4187">
        <v>0.39330300000000001</v>
      </c>
      <c r="F4187" t="s">
        <v>41</v>
      </c>
      <c r="G4187">
        <v>-486.62529999999998</v>
      </c>
      <c r="H4187">
        <v>0.9807091</v>
      </c>
      <c r="I4187">
        <v>275.9384</v>
      </c>
      <c r="J4187">
        <v>-486.28039999999999</v>
      </c>
      <c r="K4187">
        <v>1.1155790000000001</v>
      </c>
      <c r="L4187">
        <v>276.76560000000001</v>
      </c>
      <c r="M4187">
        <v>-0.78551660000000001</v>
      </c>
      <c r="N4187">
        <v>0</v>
      </c>
      <c r="O4187">
        <v>-0.61867669999999997</v>
      </c>
      <c r="P4187">
        <v>-0.65959540000000005</v>
      </c>
      <c r="Q4187">
        <v>-2.046104E-2</v>
      </c>
      <c r="R4187">
        <v>-0.75134230000000002</v>
      </c>
      <c r="S4187">
        <v>-1.33667</v>
      </c>
      <c r="T4187">
        <v>-0.42301670000000002</v>
      </c>
      <c r="U4187">
        <v>-2.8134160000000001</v>
      </c>
      <c r="V4187">
        <v>-0.18204039999999999</v>
      </c>
      <c r="W4187">
        <v>-8.7128880000000002E-3</v>
      </c>
      <c r="X4187">
        <v>0.98325249999999997</v>
      </c>
      <c r="Y4187">
        <v>-0.4446833</v>
      </c>
      <c r="Z4187">
        <v>5.8624410000000002E-2</v>
      </c>
      <c r="AA4187">
        <v>0.89376719999999898</v>
      </c>
      <c r="AB4187">
        <v>21</v>
      </c>
      <c r="AC4187">
        <v>-0.34489999999999499</v>
      </c>
      <c r="AD4187">
        <v>-0.13486989999999999</v>
      </c>
      <c r="AE4187">
        <v>-0.82720000000000404</v>
      </c>
      <c r="AF4187">
        <v>-0.42677706421622302</v>
      </c>
      <c r="AG4187">
        <v>-0.13486989999999999</v>
      </c>
      <c r="AH4187">
        <v>0.76543903965497595</v>
      </c>
      <c r="AI4187">
        <v>98.748893316530399</v>
      </c>
      <c r="AJ4187">
        <v>119.14222491403601</v>
      </c>
      <c r="AK4187">
        <v>0.88669356369320795</v>
      </c>
      <c r="AL4187">
        <v>90.499218001150794</v>
      </c>
      <c r="AM4187">
        <v>100.489032063058</v>
      </c>
      <c r="AN4187">
        <v>1.0000000502028501</v>
      </c>
    </row>
    <row r="4188" spans="1:40" x14ac:dyDescent="0.25">
      <c r="A4188" t="str">
        <f>"20190312150738297"</f>
        <v>20190312150738297</v>
      </c>
      <c r="B4188" t="str">
        <f>"1552374458293928"</f>
        <v>1552374458293928</v>
      </c>
      <c r="C4188" t="s">
        <v>40</v>
      </c>
      <c r="D4188">
        <v>4.5079370000000001</v>
      </c>
      <c r="E4188">
        <v>0.39333439999999997</v>
      </c>
      <c r="F4188" t="s">
        <v>41</v>
      </c>
      <c r="G4188">
        <v>-486.70179999999999</v>
      </c>
      <c r="H4188">
        <v>0.97640380000000004</v>
      </c>
      <c r="I4188">
        <v>275.8682</v>
      </c>
      <c r="J4188">
        <v>-486.3578</v>
      </c>
      <c r="K4188">
        <v>1.11559599999999</v>
      </c>
      <c r="L4188">
        <v>276.69850000000002</v>
      </c>
      <c r="M4188">
        <v>-0.78283249999999904</v>
      </c>
      <c r="N4188">
        <v>0</v>
      </c>
      <c r="O4188">
        <v>-0.62206980000000001</v>
      </c>
      <c r="P4188">
        <v>-0.65647659999999997</v>
      </c>
      <c r="Q4188">
        <v>-2.0328019999999999E-2</v>
      </c>
      <c r="R4188">
        <v>-0.75407270000000004</v>
      </c>
      <c r="S4188">
        <v>-1.3228150000000001</v>
      </c>
      <c r="T4188">
        <v>-0.43706289999999998</v>
      </c>
      <c r="U4188">
        <v>-2.8196720000000002</v>
      </c>
      <c r="V4188">
        <v>-0.18186430000000001</v>
      </c>
      <c r="W4188">
        <v>-8.5801269999999999E-3</v>
      </c>
      <c r="X4188">
        <v>0.9832862</v>
      </c>
      <c r="Y4188">
        <v>-0.44522650000000003</v>
      </c>
      <c r="Z4188">
        <v>6.1074120000000003E-2</v>
      </c>
      <c r="AA4188">
        <v>0.89333269999999998</v>
      </c>
      <c r="AB4188">
        <v>21</v>
      </c>
      <c r="AC4188">
        <v>-0.34399999999999398</v>
      </c>
      <c r="AD4188">
        <v>-0.13919219999999899</v>
      </c>
      <c r="AE4188">
        <v>-0.83030000000002202</v>
      </c>
      <c r="AF4188">
        <v>-0.42582405237334803</v>
      </c>
      <c r="AG4188">
        <v>-0.13919219999999899</v>
      </c>
      <c r="AH4188">
        <v>0.76746980445039303</v>
      </c>
      <c r="AI4188">
        <v>99.011468626703405</v>
      </c>
      <c r="AJ4188">
        <v>119.023328820107</v>
      </c>
      <c r="AK4188">
        <v>0.88865656631998502</v>
      </c>
      <c r="AL4188">
        <v>90.491611098509694</v>
      </c>
      <c r="AM4188">
        <v>100.47875899139299</v>
      </c>
      <c r="AN4188">
        <v>0.99999999665213202</v>
      </c>
    </row>
    <row r="4189" spans="1:40" x14ac:dyDescent="0.25">
      <c r="A4189" t="str">
        <f>"20190312150738307"</f>
        <v>20190312150738307</v>
      </c>
      <c r="B4189" t="str">
        <f>"1552374458304663"</f>
        <v>1552374458304663</v>
      </c>
      <c r="C4189" t="s">
        <v>40</v>
      </c>
      <c r="D4189">
        <v>4.532591</v>
      </c>
      <c r="E4189">
        <v>0.39340760000000002</v>
      </c>
      <c r="F4189" t="s">
        <v>42</v>
      </c>
      <c r="G4189">
        <v>-489.74310000000003</v>
      </c>
      <c r="H4189" s="1">
        <v>-4.2382910000000001E-6</v>
      </c>
      <c r="I4189">
        <v>269.40609999999998</v>
      </c>
      <c r="J4189">
        <v>-486.42529999999999</v>
      </c>
      <c r="K4189">
        <v>1.1156090000000001</v>
      </c>
      <c r="L4189">
        <v>276.63959999999997</v>
      </c>
      <c r="M4189">
        <v>-0.78046700000000002</v>
      </c>
      <c r="N4189">
        <v>0</v>
      </c>
      <c r="O4189">
        <v>-0.6250346</v>
      </c>
      <c r="P4189">
        <v>-0.65355869999999905</v>
      </c>
      <c r="Q4189">
        <v>-2.0164100000000001E-2</v>
      </c>
      <c r="R4189">
        <v>-0.75660719999999904</v>
      </c>
      <c r="S4189">
        <v>-1.3114619999999999</v>
      </c>
      <c r="T4189">
        <v>-0.43217680000000003</v>
      </c>
      <c r="U4189">
        <v>-2.8250120000000001</v>
      </c>
      <c r="V4189">
        <v>-0.18193809999999999</v>
      </c>
      <c r="W4189">
        <v>-8.4198290000000002E-3</v>
      </c>
      <c r="X4189">
        <v>0.98327390000000003</v>
      </c>
      <c r="Y4189">
        <v>-0.44542890000000002</v>
      </c>
      <c r="Z4189">
        <v>6.087091E-2</v>
      </c>
      <c r="AA4189">
        <v>0.89324570000000003</v>
      </c>
      <c r="AB4189">
        <v>21</v>
      </c>
      <c r="AC4189">
        <v>-3.3178000000000298</v>
      </c>
      <c r="AD4189">
        <v>-1.115613238291</v>
      </c>
      <c r="AE4189">
        <v>-7.2334999999999896</v>
      </c>
      <c r="AF4189">
        <v>-3.5032839986503799</v>
      </c>
      <c r="AG4189">
        <v>-1.115613238291</v>
      </c>
      <c r="AH4189">
        <v>6.9742838021396603</v>
      </c>
      <c r="AI4189">
        <v>98.134803302219595</v>
      </c>
      <c r="AJ4189">
        <v>116.671042567548</v>
      </c>
      <c r="AK4189">
        <v>7.8840488472254897</v>
      </c>
      <c r="AL4189">
        <v>90.482426383512902</v>
      </c>
      <c r="AM4189">
        <v>100.48304522338999</v>
      </c>
      <c r="AN4189">
        <v>0.99999996408660397</v>
      </c>
    </row>
    <row r="4190" spans="1:40" x14ac:dyDescent="0.25">
      <c r="A4190" t="str">
        <f>"20190312150738318"</f>
        <v>20190312150738318</v>
      </c>
      <c r="B4190" t="str">
        <f>"1552374458314423"</f>
        <v>1552374458314423</v>
      </c>
      <c r="C4190" t="s">
        <v>40</v>
      </c>
      <c r="D4190">
        <v>4.5511309999999998</v>
      </c>
      <c r="E4190">
        <v>0.39371859999999997</v>
      </c>
      <c r="F4190" t="s">
        <v>41</v>
      </c>
      <c r="G4190">
        <v>-486.83730000000003</v>
      </c>
      <c r="H4190">
        <v>0.97943530000000001</v>
      </c>
      <c r="I4190">
        <v>275.74419999999998</v>
      </c>
      <c r="J4190">
        <v>-486.49990000000003</v>
      </c>
      <c r="K4190">
        <v>1.1156239999999999</v>
      </c>
      <c r="L4190">
        <v>276.57380000000001</v>
      </c>
      <c r="M4190">
        <v>-0.77781180000000005</v>
      </c>
      <c r="N4190">
        <v>0</v>
      </c>
      <c r="O4190">
        <v>-0.62833570000000005</v>
      </c>
      <c r="P4190">
        <v>-0.65035200000000004</v>
      </c>
      <c r="Q4190">
        <v>-2.0316609999999999E-2</v>
      </c>
      <c r="R4190">
        <v>-0.75936110000000001</v>
      </c>
      <c r="S4190">
        <v>-1.301453</v>
      </c>
      <c r="T4190">
        <v>-0.43021280000000001</v>
      </c>
      <c r="U4190">
        <v>-2.8294679999999999</v>
      </c>
      <c r="V4190">
        <v>-0.18192659999999999</v>
      </c>
      <c r="W4190">
        <v>-8.5749439999999993E-3</v>
      </c>
      <c r="X4190">
        <v>0.98327469999999995</v>
      </c>
      <c r="Y4190">
        <v>-0.4447931</v>
      </c>
      <c r="Z4190">
        <v>6.1178040000000003E-2</v>
      </c>
      <c r="AA4190">
        <v>0.89354149999999999</v>
      </c>
      <c r="AB4190">
        <v>21</v>
      </c>
      <c r="AC4190">
        <v>-0.33740000000000198</v>
      </c>
      <c r="AD4190">
        <v>-0.136188699999999</v>
      </c>
      <c r="AE4190">
        <v>-0.82960000000002698</v>
      </c>
      <c r="AF4190">
        <v>-0.42352256745098199</v>
      </c>
      <c r="AG4190">
        <v>-0.136188699999999</v>
      </c>
      <c r="AH4190">
        <v>0.76606589497992394</v>
      </c>
      <c r="AI4190">
        <v>98.843346505622094</v>
      </c>
      <c r="AJ4190">
        <v>118.936185727577</v>
      </c>
      <c r="AK4190">
        <v>0.88587565865608497</v>
      </c>
      <c r="AL4190">
        <v>90.491314133432098</v>
      </c>
      <c r="AM4190">
        <v>100.48238895592</v>
      </c>
      <c r="AN4190">
        <v>0.99999997655612605</v>
      </c>
    </row>
    <row r="4191" spans="1:40" x14ac:dyDescent="0.25">
      <c r="A4191" t="str">
        <f>"20190312150738329"</f>
        <v>20190312150738329</v>
      </c>
      <c r="B4191" t="str">
        <f>"1552374458324184"</f>
        <v>1552374458324184</v>
      </c>
      <c r="C4191" t="s">
        <v>40</v>
      </c>
      <c r="D4191">
        <v>4.561286</v>
      </c>
      <c r="E4191">
        <v>0.39400360000000001</v>
      </c>
      <c r="F4191" t="s">
        <v>42</v>
      </c>
      <c r="G4191">
        <v>-489.84410000000003</v>
      </c>
      <c r="H4191" s="1">
        <v>-4.1476769999999997E-6</v>
      </c>
      <c r="I4191">
        <v>269.23669999999998</v>
      </c>
      <c r="J4191">
        <v>-486.5745</v>
      </c>
      <c r="K4191">
        <v>1.1156410000000001</v>
      </c>
      <c r="L4191">
        <v>276.50740000000002</v>
      </c>
      <c r="M4191">
        <v>-0.77512369999999997</v>
      </c>
      <c r="N4191">
        <v>0</v>
      </c>
      <c r="O4191">
        <v>-0.63164889999999996</v>
      </c>
      <c r="P4191">
        <v>-0.64705059999999903</v>
      </c>
      <c r="Q4191">
        <v>-2.0332139999999999E-2</v>
      </c>
      <c r="R4191">
        <v>-0.76217650000000003</v>
      </c>
      <c r="S4191">
        <v>-1.291382</v>
      </c>
      <c r="T4191">
        <v>-0.43080039999999997</v>
      </c>
      <c r="U4191">
        <v>-2.833221</v>
      </c>
      <c r="V4191">
        <v>-0.1819974</v>
      </c>
      <c r="W4191">
        <v>-8.5941579999999993E-3</v>
      </c>
      <c r="X4191">
        <v>0.98326150000000001</v>
      </c>
      <c r="Y4191">
        <v>-0.44407089999999999</v>
      </c>
      <c r="Z4191">
        <v>6.186146E-2</v>
      </c>
      <c r="AA4191">
        <v>0.89385349999999997</v>
      </c>
      <c r="AB4191">
        <v>21</v>
      </c>
      <c r="AC4191">
        <v>-3.26960000000002</v>
      </c>
      <c r="AD4191">
        <v>-1.115645147677</v>
      </c>
      <c r="AE4191">
        <v>-7.2707000000000299</v>
      </c>
      <c r="AF4191">
        <v>-3.5022254357948501</v>
      </c>
      <c r="AG4191">
        <v>-1.115645147677</v>
      </c>
      <c r="AH4191">
        <v>6.9906878135590302</v>
      </c>
      <c r="AI4191">
        <v>98.120468435321001</v>
      </c>
      <c r="AJ4191">
        <v>116.61015429814699</v>
      </c>
      <c r="AK4191">
        <v>7.8980987082529204</v>
      </c>
      <c r="AL4191">
        <v>90.4924150212954</v>
      </c>
      <c r="AM4191">
        <v>100.48651554612999</v>
      </c>
      <c r="AN4191">
        <v>1.0000000452703599</v>
      </c>
    </row>
    <row r="4192" spans="1:40" x14ac:dyDescent="0.25">
      <c r="A4192" t="str">
        <f>"20190312150738339"</f>
        <v>20190312150738339</v>
      </c>
      <c r="B4192" t="str">
        <f>"1552374458333944"</f>
        <v>1552374458333944</v>
      </c>
      <c r="C4192" t="s">
        <v>40</v>
      </c>
      <c r="D4192">
        <v>4.5655010000000003</v>
      </c>
      <c r="E4192">
        <v>0.39420569999999999</v>
      </c>
      <c r="F4192" t="s">
        <v>41</v>
      </c>
      <c r="G4192">
        <v>-486.97480000000002</v>
      </c>
      <c r="H4192">
        <v>0.97886620000000002</v>
      </c>
      <c r="I4192">
        <v>275.6207</v>
      </c>
      <c r="J4192">
        <v>-486.65260000000001</v>
      </c>
      <c r="K4192">
        <v>1.115656</v>
      </c>
      <c r="L4192">
        <v>276.43729999999999</v>
      </c>
      <c r="M4192">
        <v>-0.77227309999999905</v>
      </c>
      <c r="N4192">
        <v>0</v>
      </c>
      <c r="O4192">
        <v>-0.63513069999999905</v>
      </c>
      <c r="P4192">
        <v>-0.64351709999999995</v>
      </c>
      <c r="Q4192">
        <v>-2.015107E-2</v>
      </c>
      <c r="R4192">
        <v>-0.76516689999999998</v>
      </c>
      <c r="S4192">
        <v>-1.280365</v>
      </c>
      <c r="T4192">
        <v>-0.43760700000000002</v>
      </c>
      <c r="U4192">
        <v>-2.837402</v>
      </c>
      <c r="V4192">
        <v>-0.1821276</v>
      </c>
      <c r="W4192">
        <v>-8.4175369999999992E-3</v>
      </c>
      <c r="X4192">
        <v>0.98323890000000003</v>
      </c>
      <c r="Y4192">
        <v>-0.4434593</v>
      </c>
      <c r="Z4192">
        <v>6.3456620000000005E-2</v>
      </c>
      <c r="AA4192">
        <v>0.89404539999999999</v>
      </c>
      <c r="AB4192">
        <v>21</v>
      </c>
      <c r="AC4192">
        <v>-0.32220000000000898</v>
      </c>
      <c r="AD4192">
        <v>-0.13678979999999899</v>
      </c>
      <c r="AE4192">
        <v>-0.816599999999994</v>
      </c>
      <c r="AF4192">
        <v>-0.41594324205052902</v>
      </c>
      <c r="AG4192">
        <v>-0.13678979999999899</v>
      </c>
      <c r="AH4192">
        <v>0.74935762361662595</v>
      </c>
      <c r="AI4192">
        <v>99.068164141740496</v>
      </c>
      <c r="AJ4192">
        <v>119.03318334829299</v>
      </c>
      <c r="AK4192">
        <v>0.86790384148470201</v>
      </c>
      <c r="AL4192">
        <v>90.482295027046106</v>
      </c>
      <c r="AM4192">
        <v>100.494086801862</v>
      </c>
      <c r="AN4192">
        <v>1.0000000260420501</v>
      </c>
    </row>
    <row r="4193" spans="1:40" x14ac:dyDescent="0.25">
      <c r="A4193" t="str">
        <f>"20190312150738349"</f>
        <v>20190312150738349</v>
      </c>
      <c r="B4193" t="str">
        <f>"1552374458344679"</f>
        <v>1552374458344679</v>
      </c>
      <c r="C4193" t="s">
        <v>40</v>
      </c>
      <c r="D4193">
        <v>4.5148140000000003</v>
      </c>
      <c r="E4193">
        <v>0.39448159999999999</v>
      </c>
      <c r="F4193" t="s">
        <v>42</v>
      </c>
      <c r="G4193">
        <v>-489.82209999999998</v>
      </c>
      <c r="H4193" s="1">
        <v>-4.1936760000000004E-6</v>
      </c>
      <c r="I4193">
        <v>269.33479999999997</v>
      </c>
      <c r="J4193">
        <v>-486.71550000000002</v>
      </c>
      <c r="K4193">
        <v>1.1156649999999999</v>
      </c>
      <c r="L4193">
        <v>276.38040000000001</v>
      </c>
      <c r="M4193">
        <v>-0.76994680000000004</v>
      </c>
      <c r="N4193">
        <v>0</v>
      </c>
      <c r="O4193">
        <v>-0.63794859999999998</v>
      </c>
      <c r="P4193">
        <v>-0.64064279999999996</v>
      </c>
      <c r="Q4193">
        <v>-2.027048E-2</v>
      </c>
      <c r="R4193">
        <v>-0.76757129999999996</v>
      </c>
      <c r="S4193">
        <v>-1.2683719999999901</v>
      </c>
      <c r="T4193">
        <v>-0.44645590000000002</v>
      </c>
      <c r="U4193">
        <v>-2.8422239999999999</v>
      </c>
      <c r="V4193">
        <v>-0.1822174</v>
      </c>
      <c r="W4193">
        <v>-8.5403630000000005E-3</v>
      </c>
      <c r="X4193">
        <v>0.98322120000000002</v>
      </c>
      <c r="Y4193">
        <v>-0.4439361</v>
      </c>
      <c r="Z4193">
        <v>6.5178459999999994E-2</v>
      </c>
      <c r="AA4193">
        <v>0.89368479999999995</v>
      </c>
      <c r="AB4193">
        <v>21</v>
      </c>
      <c r="AC4193">
        <v>-3.1065999999999501</v>
      </c>
      <c r="AD4193">
        <v>-1.1156691936759999</v>
      </c>
      <c r="AE4193">
        <v>-7.0456000000000296</v>
      </c>
      <c r="AF4193">
        <v>-3.3724381317910499</v>
      </c>
      <c r="AG4193">
        <v>-1.1156691936759999</v>
      </c>
      <c r="AH4193">
        <v>6.7457336321403396</v>
      </c>
      <c r="AI4193">
        <v>98.414853234725399</v>
      </c>
      <c r="AJ4193">
        <v>116.56213823380099</v>
      </c>
      <c r="AK4193">
        <v>7.6238427933861104</v>
      </c>
      <c r="AL4193">
        <v>90.489332692558904</v>
      </c>
      <c r="AM4193">
        <v>100.499330803105</v>
      </c>
      <c r="AN4193">
        <v>1.0000000233961801</v>
      </c>
    </row>
    <row r="4194" spans="1:40" x14ac:dyDescent="0.25">
      <c r="A4194" t="str">
        <f>"20190312150738359"</f>
        <v>20190312150738359</v>
      </c>
      <c r="B4194" t="str">
        <f>"1552374458354439"</f>
        <v>1552374458354439</v>
      </c>
      <c r="C4194" t="s">
        <v>40</v>
      </c>
      <c r="D4194">
        <v>4.6201610000000004</v>
      </c>
      <c r="E4194">
        <v>0.39516299999999999</v>
      </c>
      <c r="F4194" t="s">
        <v>41</v>
      </c>
      <c r="G4194">
        <v>-487.10899999999998</v>
      </c>
      <c r="H4194">
        <v>0.97592719999999999</v>
      </c>
      <c r="I4194">
        <v>275.49040000000002</v>
      </c>
      <c r="J4194">
        <v>-486.78269999999998</v>
      </c>
      <c r="K4194">
        <v>1.11568</v>
      </c>
      <c r="L4194">
        <v>276.31909999999999</v>
      </c>
      <c r="M4194">
        <v>-0.76743099999999997</v>
      </c>
      <c r="N4194">
        <v>0</v>
      </c>
      <c r="O4194">
        <v>-0.64097289999999996</v>
      </c>
      <c r="P4194">
        <v>-0.63750530000000005</v>
      </c>
      <c r="Q4194">
        <v>-2.0124659999999999E-2</v>
      </c>
      <c r="R4194">
        <v>-0.77018299999999995</v>
      </c>
      <c r="S4194">
        <v>-1.258972</v>
      </c>
      <c r="T4194">
        <v>-0.4469303</v>
      </c>
      <c r="U4194">
        <v>-2.845825</v>
      </c>
      <c r="V4194">
        <v>-0.18236579999999999</v>
      </c>
      <c r="W4194">
        <v>-8.398895E-3</v>
      </c>
      <c r="X4194">
        <v>0.98319489999999998</v>
      </c>
      <c r="Y4194">
        <v>-0.44331949999999998</v>
      </c>
      <c r="Z4194">
        <v>6.5810869999999994E-2</v>
      </c>
      <c r="AA4194">
        <v>0.89394449999999903</v>
      </c>
      <c r="AB4194">
        <v>21</v>
      </c>
      <c r="AC4194">
        <v>-0.32630000000005999</v>
      </c>
      <c r="AD4194">
        <v>-0.13975280000000001</v>
      </c>
      <c r="AE4194">
        <v>-0.82869999999996902</v>
      </c>
      <c r="AF4194">
        <v>-0.41660619389301801</v>
      </c>
      <c r="AG4194">
        <v>-0.13975280000000001</v>
      </c>
      <c r="AH4194">
        <v>0.762882500100863</v>
      </c>
      <c r="AI4194">
        <v>99.133779906438804</v>
      </c>
      <c r="AJ4194">
        <v>118.63872594376301</v>
      </c>
      <c r="AK4194">
        <v>0.88038700289021299</v>
      </c>
      <c r="AL4194">
        <v>90.481226884822703</v>
      </c>
      <c r="AM4194">
        <v>100.507966030517</v>
      </c>
      <c r="AN4194">
        <v>1.00000001891643</v>
      </c>
    </row>
    <row r="4195" spans="1:40" x14ac:dyDescent="0.25">
      <c r="A4195" t="str">
        <f>"20190312150738370"</f>
        <v>20190312150738370</v>
      </c>
      <c r="B4195" t="str">
        <f>"1552374458364199"</f>
        <v>1552374458364199</v>
      </c>
      <c r="C4195" t="s">
        <v>40</v>
      </c>
      <c r="D4195">
        <v>4.5225559999999998</v>
      </c>
      <c r="E4195">
        <v>0.39538830000000003</v>
      </c>
      <c r="F4195" t="s">
        <v>42</v>
      </c>
      <c r="G4195">
        <v>-489.89659999999998</v>
      </c>
      <c r="H4195" s="1">
        <v>-4.1361860000000003E-6</v>
      </c>
      <c r="I4195">
        <v>269.23160000000001</v>
      </c>
      <c r="J4195">
        <v>-486.8519</v>
      </c>
      <c r="K4195">
        <v>1.1156950000000001</v>
      </c>
      <c r="L4195">
        <v>276.25540000000001</v>
      </c>
      <c r="M4195">
        <v>-0.76480559999999997</v>
      </c>
      <c r="N4195">
        <v>0</v>
      </c>
      <c r="O4195">
        <v>-0.64410310000000004</v>
      </c>
      <c r="P4195">
        <v>-0.63423319999999905</v>
      </c>
      <c r="Q4195">
        <v>-2.0382109999999998E-2</v>
      </c>
      <c r="R4195">
        <v>-0.77287329999999999</v>
      </c>
      <c r="S4195">
        <v>-1.25119</v>
      </c>
      <c r="T4195">
        <v>-0.44828440000000003</v>
      </c>
      <c r="U4195">
        <v>-2.8477779999999999</v>
      </c>
      <c r="V4195">
        <v>-0.1825097</v>
      </c>
      <c r="W4195">
        <v>-8.6606759999999904E-3</v>
      </c>
      <c r="X4195">
        <v>0.98316590000000004</v>
      </c>
      <c r="Y4195">
        <v>-0.44195960000000001</v>
      </c>
      <c r="Z4195">
        <v>6.6657019999999997E-2</v>
      </c>
      <c r="AA4195">
        <v>0.89455490000000004</v>
      </c>
      <c r="AB4195">
        <v>21</v>
      </c>
      <c r="AC4195">
        <v>-3.04469999999997</v>
      </c>
      <c r="AD4195">
        <v>-1.115699136186</v>
      </c>
      <c r="AE4195">
        <v>-7.0237999999999898</v>
      </c>
      <c r="AF4195">
        <v>-3.3401414391529198</v>
      </c>
      <c r="AG4195">
        <v>-1.115699136186</v>
      </c>
      <c r="AH4195">
        <v>6.7108108536276596</v>
      </c>
      <c r="AI4195">
        <v>98.4656006425313</v>
      </c>
      <c r="AJ4195">
        <v>116.460699254565</v>
      </c>
      <c r="AK4195">
        <v>7.5786747990133199</v>
      </c>
      <c r="AL4195">
        <v>90.496226389861405</v>
      </c>
      <c r="AM4195">
        <v>100.51637596433901</v>
      </c>
      <c r="AN4195">
        <v>0.99999999241283799</v>
      </c>
    </row>
    <row r="4196" spans="1:40" x14ac:dyDescent="0.25">
      <c r="A4196" t="str">
        <f>"20190312150738380"</f>
        <v>20190312150738380</v>
      </c>
      <c r="B4196" t="str">
        <f>"1552374458373959"</f>
        <v>1552374458373959</v>
      </c>
      <c r="C4196" t="s">
        <v>40</v>
      </c>
      <c r="D4196">
        <v>4.5439220000000002</v>
      </c>
      <c r="E4196">
        <v>0.39557419999999999</v>
      </c>
      <c r="F4196" t="s">
        <v>41</v>
      </c>
      <c r="G4196">
        <v>-487.2439</v>
      </c>
      <c r="H4196">
        <v>0.97380259999999996</v>
      </c>
      <c r="I4196">
        <v>275.35489999999999</v>
      </c>
      <c r="J4196">
        <v>-486.92809999999997</v>
      </c>
      <c r="K4196">
        <v>1.11571</v>
      </c>
      <c r="L4196">
        <v>276.18459999999999</v>
      </c>
      <c r="M4196">
        <v>-0.76187919999999998</v>
      </c>
      <c r="N4196">
        <v>0</v>
      </c>
      <c r="O4196">
        <v>-0.64756199999999997</v>
      </c>
      <c r="P4196">
        <v>-0.63054960000000004</v>
      </c>
      <c r="Q4196">
        <v>-2.0549950000000001E-2</v>
      </c>
      <c r="R4196">
        <v>-0.77587689999999998</v>
      </c>
      <c r="S4196">
        <v>-1.2408140000000001</v>
      </c>
      <c r="T4196">
        <v>-0.4492314</v>
      </c>
      <c r="U4196">
        <v>-2.8515630000000001</v>
      </c>
      <c r="V4196">
        <v>-0.182726</v>
      </c>
      <c r="W4196">
        <v>-8.8339919999999902E-3</v>
      </c>
      <c r="X4196">
        <v>0.9831242</v>
      </c>
      <c r="Y4196">
        <v>-0.44109340000000002</v>
      </c>
      <c r="Z4196">
        <v>6.7457749999999997E-2</v>
      </c>
      <c r="AA4196">
        <v>0.89492240000000001</v>
      </c>
      <c r="AB4196">
        <v>21</v>
      </c>
      <c r="AC4196">
        <v>-0.31580000000002401</v>
      </c>
      <c r="AD4196">
        <v>-0.14190739999999999</v>
      </c>
      <c r="AE4196">
        <v>-0.82970000000000199</v>
      </c>
      <c r="AF4196">
        <v>-0.41701927718874898</v>
      </c>
      <c r="AG4196">
        <v>-0.14190739999999999</v>
      </c>
      <c r="AH4196">
        <v>0.75858018751184197</v>
      </c>
      <c r="AI4196">
        <v>99.309788917810593</v>
      </c>
      <c r="AJ4196">
        <v>118.79920480655301</v>
      </c>
      <c r="AK4196">
        <v>0.87720390366623902</v>
      </c>
      <c r="AL4196">
        <v>90.506157035513993</v>
      </c>
      <c r="AM4196">
        <v>100.52899743942</v>
      </c>
      <c r="AN4196">
        <v>1.00000001155814</v>
      </c>
    </row>
    <row r="4197" spans="1:40" x14ac:dyDescent="0.25">
      <c r="A4197" t="str">
        <f>"20190312150738391"</f>
        <v>20190312150738391</v>
      </c>
      <c r="B4197" t="str">
        <f>"1552374458384696"</f>
        <v>1552374458384696</v>
      </c>
      <c r="C4197" t="s">
        <v>40</v>
      </c>
      <c r="D4197">
        <v>4.5295560000000004</v>
      </c>
      <c r="E4197">
        <v>0.39576149999999999</v>
      </c>
      <c r="F4197" t="s">
        <v>42</v>
      </c>
      <c r="G4197">
        <v>-489.97120000000001</v>
      </c>
      <c r="H4197" s="1">
        <v>-4.0767030000000002E-6</v>
      </c>
      <c r="I4197">
        <v>269.10989999999998</v>
      </c>
      <c r="J4197">
        <v>-487.00319999999999</v>
      </c>
      <c r="K4197">
        <v>1.1157250000000001</v>
      </c>
      <c r="L4197">
        <v>276.11419999999998</v>
      </c>
      <c r="M4197">
        <v>-0.75895040000000003</v>
      </c>
      <c r="N4197">
        <v>0</v>
      </c>
      <c r="O4197">
        <v>-0.65099169999999995</v>
      </c>
      <c r="P4197">
        <v>-0.62685709999999994</v>
      </c>
      <c r="Q4197">
        <v>-2.0607830000000001E-2</v>
      </c>
      <c r="R4197">
        <v>-0.77886180000000005</v>
      </c>
      <c r="S4197">
        <v>-1.2285459999999999</v>
      </c>
      <c r="T4197">
        <v>-0.4504341</v>
      </c>
      <c r="U4197">
        <v>-2.856201</v>
      </c>
      <c r="V4197">
        <v>-0.18295939999999999</v>
      </c>
      <c r="W4197">
        <v>-8.8973119999999992E-3</v>
      </c>
      <c r="X4197">
        <v>0.98308019999999996</v>
      </c>
      <c r="Y4197">
        <v>-0.44084129999999999</v>
      </c>
      <c r="Z4197">
        <v>6.8254140000000005E-2</v>
      </c>
      <c r="AA4197">
        <v>0.89498619999999995</v>
      </c>
      <c r="AB4197">
        <v>21</v>
      </c>
      <c r="AC4197">
        <v>-2.9680000000000102</v>
      </c>
      <c r="AD4197">
        <v>-1.1157290767029999</v>
      </c>
      <c r="AE4197">
        <v>-7.0042999999999997</v>
      </c>
      <c r="AF4197">
        <v>-3.31285398660913</v>
      </c>
      <c r="AG4197">
        <v>-1.1157290767029999</v>
      </c>
      <c r="AH4197">
        <v>6.6695299760219404</v>
      </c>
      <c r="AI4197">
        <v>98.520839482301696</v>
      </c>
      <c r="AJ4197">
        <v>116.414269109416</v>
      </c>
      <c r="AK4197">
        <v>7.5301051128286201</v>
      </c>
      <c r="AL4197">
        <v>90.509785156829807</v>
      </c>
      <c r="AM4197">
        <v>100.54260632167799</v>
      </c>
      <c r="AN4197">
        <v>0.99999999192061195</v>
      </c>
    </row>
    <row r="4198" spans="1:40" x14ac:dyDescent="0.25">
      <c r="A4198" t="str">
        <f>"20190312150738402"</f>
        <v>20190312150738402</v>
      </c>
      <c r="B4198" t="str">
        <f>"1552374458394455"</f>
        <v>1552374458394455</v>
      </c>
      <c r="C4198" t="s">
        <v>40</v>
      </c>
      <c r="D4198">
        <v>4.5802079999999998</v>
      </c>
      <c r="E4198">
        <v>0.39597310000000002</v>
      </c>
      <c r="F4198" t="s">
        <v>41</v>
      </c>
      <c r="G4198">
        <v>-487.39280000000002</v>
      </c>
      <c r="H4198">
        <v>0.97108779999999995</v>
      </c>
      <c r="I4198">
        <v>275.19779999999997</v>
      </c>
      <c r="J4198">
        <v>-487.07639999999998</v>
      </c>
      <c r="K4198">
        <v>1.115739</v>
      </c>
      <c r="L4198">
        <v>276.04509999999999</v>
      </c>
      <c r="M4198">
        <v>-0.75606649999999997</v>
      </c>
      <c r="N4198">
        <v>0</v>
      </c>
      <c r="O4198">
        <v>-0.65433909999999995</v>
      </c>
      <c r="P4198">
        <v>-0.62330010000000002</v>
      </c>
      <c r="Q4198">
        <v>-2.0760870000000001E-2</v>
      </c>
      <c r="R4198">
        <v>-0.78170729999999999</v>
      </c>
      <c r="S4198">
        <v>-1.215881</v>
      </c>
      <c r="T4198">
        <v>-0.45148579999999999</v>
      </c>
      <c r="U4198">
        <v>-2.861237</v>
      </c>
      <c r="V4198">
        <v>-0.1830909</v>
      </c>
      <c r="W4198">
        <v>-9.0541900000000002E-3</v>
      </c>
      <c r="X4198">
        <v>0.98305430000000005</v>
      </c>
      <c r="Y4198">
        <v>-0.44081979999999998</v>
      </c>
      <c r="Z4198">
        <v>6.8997160000000002E-2</v>
      </c>
      <c r="AA4198">
        <v>0.89493979999999995</v>
      </c>
      <c r="AB4198">
        <v>21</v>
      </c>
      <c r="AC4198">
        <v>-0.31640000000004398</v>
      </c>
      <c r="AD4198">
        <v>-0.14465119999999901</v>
      </c>
      <c r="AE4198">
        <v>-0.84730000000001804</v>
      </c>
      <c r="AF4198">
        <v>-0.422811512459775</v>
      </c>
      <c r="AG4198">
        <v>-0.14465119999999901</v>
      </c>
      <c r="AH4198">
        <v>0.77392589618720597</v>
      </c>
      <c r="AI4198">
        <v>99.314937438915806</v>
      </c>
      <c r="AJ4198">
        <v>118.648680476818</v>
      </c>
      <c r="AK4198">
        <v>0.89367490594686205</v>
      </c>
      <c r="AL4198">
        <v>90.518773958801702</v>
      </c>
      <c r="AM4198">
        <v>100.550285359523</v>
      </c>
      <c r="AN4198">
        <v>1.0000000063839201</v>
      </c>
    </row>
    <row r="4199" spans="1:40" x14ac:dyDescent="0.25">
      <c r="A4199" t="str">
        <f>"20190312150738413"</f>
        <v>20190312150738413</v>
      </c>
      <c r="B4199" t="str">
        <f>"1552374458404215"</f>
        <v>1552374458404215</v>
      </c>
      <c r="C4199" t="s">
        <v>40</v>
      </c>
      <c r="D4199">
        <v>4.5565300000000004</v>
      </c>
      <c r="E4199">
        <v>0.3961887</v>
      </c>
      <c r="F4199" t="s">
        <v>42</v>
      </c>
      <c r="G4199">
        <v>-490.05599999999998</v>
      </c>
      <c r="H4199" s="1">
        <v>-4.0324669999999997E-6</v>
      </c>
      <c r="I4199">
        <v>268.95420000000001</v>
      </c>
      <c r="J4199">
        <v>-487.15050000000002</v>
      </c>
      <c r="K4199">
        <v>1.1157520000000001</v>
      </c>
      <c r="L4199">
        <v>275.97410000000002</v>
      </c>
      <c r="M4199">
        <v>-0.75308969999999997</v>
      </c>
      <c r="N4199">
        <v>0</v>
      </c>
      <c r="O4199">
        <v>-0.65776259999999998</v>
      </c>
      <c r="P4199">
        <v>-0.61968889999999999</v>
      </c>
      <c r="Q4199">
        <v>-2.0629040000000001E-2</v>
      </c>
      <c r="R4199">
        <v>-0.7845763</v>
      </c>
      <c r="S4199">
        <v>-1.204132</v>
      </c>
      <c r="T4199">
        <v>-0.45089020000000002</v>
      </c>
      <c r="U4199">
        <v>-2.86557</v>
      </c>
      <c r="V4199">
        <v>-0.18316789999999999</v>
      </c>
      <c r="W4199">
        <v>-8.9250969999999999E-3</v>
      </c>
      <c r="X4199">
        <v>0.9830411</v>
      </c>
      <c r="Y4199">
        <v>-0.44036819999999999</v>
      </c>
      <c r="Z4199">
        <v>6.9539470000000006E-2</v>
      </c>
      <c r="AA4199">
        <v>0.89512009999999897</v>
      </c>
      <c r="AB4199">
        <v>21</v>
      </c>
      <c r="AC4199">
        <v>-2.90549999999996</v>
      </c>
      <c r="AD4199">
        <v>-1.1157560324669999</v>
      </c>
      <c r="AE4199">
        <v>-7.0198999999999998</v>
      </c>
      <c r="AF4199">
        <v>-3.3045580123589202</v>
      </c>
      <c r="AG4199">
        <v>-1.1157560324669999</v>
      </c>
      <c r="AH4199">
        <v>6.6625290948373204</v>
      </c>
      <c r="AI4199">
        <v>98.532285408367002</v>
      </c>
      <c r="AJ4199">
        <v>116.38102209741599</v>
      </c>
      <c r="AK4199">
        <v>7.5202599104409797</v>
      </c>
      <c r="AL4199">
        <v>90.511377194182799</v>
      </c>
      <c r="AM4199">
        <v>100.554761208199</v>
      </c>
      <c r="AN4199">
        <v>0.99999997061803902</v>
      </c>
    </row>
    <row r="4200" spans="1:40" x14ac:dyDescent="0.25">
      <c r="A4200" t="str">
        <f>"20190312150738425"</f>
        <v>20190312150738425</v>
      </c>
      <c r="B4200" t="str">
        <f>"1552374458413975"</f>
        <v>1552374458413975</v>
      </c>
      <c r="C4200" t="s">
        <v>40</v>
      </c>
      <c r="D4200">
        <v>4.5276969999999999</v>
      </c>
      <c r="E4200">
        <v>0.39644770000000001</v>
      </c>
      <c r="F4200" t="s">
        <v>41</v>
      </c>
      <c r="G4200">
        <v>-487.53789999999998</v>
      </c>
      <c r="H4200">
        <v>0.96970140000000005</v>
      </c>
      <c r="I4200">
        <v>275.0421</v>
      </c>
      <c r="J4200">
        <v>-487.22449999999998</v>
      </c>
      <c r="K4200">
        <v>1.1157589999999999</v>
      </c>
      <c r="L4200">
        <v>275.90300000000002</v>
      </c>
      <c r="M4200">
        <v>-0.75009669999999995</v>
      </c>
      <c r="N4200">
        <v>0</v>
      </c>
      <c r="O4200">
        <v>-0.66117389999999998</v>
      </c>
      <c r="P4200">
        <v>-0.61605669999999901</v>
      </c>
      <c r="Q4200">
        <v>-2.0634079999999999E-2</v>
      </c>
      <c r="R4200">
        <v>-0.7874314</v>
      </c>
      <c r="S4200">
        <v>-1.192566</v>
      </c>
      <c r="T4200">
        <v>-0.44970300000000002</v>
      </c>
      <c r="U4200">
        <v>-2.8700260000000002</v>
      </c>
      <c r="V4200">
        <v>-0.183249</v>
      </c>
      <c r="W4200">
        <v>-8.9330290000000003E-3</v>
      </c>
      <c r="X4200">
        <v>0.98302599999999996</v>
      </c>
      <c r="Y4200">
        <v>-0.43987870000000001</v>
      </c>
      <c r="Z4200">
        <v>6.9985359999999996E-2</v>
      </c>
      <c r="AA4200">
        <v>0.89532610000000001</v>
      </c>
      <c r="AB4200">
        <v>21</v>
      </c>
      <c r="AC4200">
        <v>-0.31340000000000101</v>
      </c>
      <c r="AD4200">
        <v>-0.14605759999999901</v>
      </c>
      <c r="AE4200">
        <v>-0.86090000000001499</v>
      </c>
      <c r="AF4200">
        <v>-0.42772043534864401</v>
      </c>
      <c r="AG4200">
        <v>-0.14605759999999901</v>
      </c>
      <c r="AH4200">
        <v>0.78443041540478498</v>
      </c>
      <c r="AI4200">
        <v>99.284226705833206</v>
      </c>
      <c r="AJ4200">
        <v>118.601975616499</v>
      </c>
      <c r="AK4200">
        <v>0.90532241215200104</v>
      </c>
      <c r="AL4200">
        <v>90.511831638815806</v>
      </c>
      <c r="AM4200">
        <v>100.559487940628</v>
      </c>
      <c r="AN4200">
        <v>1.0000000558420501</v>
      </c>
    </row>
    <row r="4201" spans="1:40" x14ac:dyDescent="0.25">
      <c r="A4201" t="str">
        <f>"20190312150738437"</f>
        <v>20190312150738437</v>
      </c>
      <c r="B4201" t="str">
        <f>"1552374458434472"</f>
        <v>1552374458434472</v>
      </c>
      <c r="C4201" t="s">
        <v>40</v>
      </c>
      <c r="D4201">
        <v>4.5956869999999999</v>
      </c>
      <c r="E4201">
        <v>0.39677970000000001</v>
      </c>
      <c r="F4201" t="s">
        <v>41</v>
      </c>
      <c r="G4201">
        <v>-487.6078</v>
      </c>
      <c r="H4201">
        <v>0.9697481</v>
      </c>
      <c r="I4201">
        <v>274.96980000000002</v>
      </c>
      <c r="J4201">
        <v>-487.30509999999998</v>
      </c>
      <c r="K4201">
        <v>1.1157729999999999</v>
      </c>
      <c r="L4201">
        <v>275.82420000000002</v>
      </c>
      <c r="M4201">
        <v>-0.74676560000000003</v>
      </c>
      <c r="N4201">
        <v>0</v>
      </c>
      <c r="O4201">
        <v>-0.66493389999999997</v>
      </c>
      <c r="P4201">
        <v>-0.61209340000000001</v>
      </c>
      <c r="Q4201">
        <v>-2.071686E-2</v>
      </c>
      <c r="R4201">
        <v>-0.7905143</v>
      </c>
      <c r="S4201">
        <v>-1.180725</v>
      </c>
      <c r="T4201">
        <v>-0.44970520000000003</v>
      </c>
      <c r="U4201">
        <v>-2.8742679999999998</v>
      </c>
      <c r="V4201">
        <v>-0.18324560000000001</v>
      </c>
      <c r="W4201">
        <v>-9.017321E-3</v>
      </c>
      <c r="X4201">
        <v>0.98302579999999995</v>
      </c>
      <c r="Y4201">
        <v>-0.43901190000000001</v>
      </c>
      <c r="Z4201">
        <v>7.0702299999999996E-2</v>
      </c>
      <c r="AA4201">
        <v>0.89569509999999997</v>
      </c>
      <c r="AB4201">
        <v>21</v>
      </c>
      <c r="AC4201">
        <v>-0.30270000000001501</v>
      </c>
      <c r="AD4201">
        <v>-0.14602489999999901</v>
      </c>
      <c r="AE4201">
        <v>-0.85439999999999805</v>
      </c>
      <c r="AF4201">
        <v>-0.42575616403748701</v>
      </c>
      <c r="AG4201">
        <v>-0.14602489999999901</v>
      </c>
      <c r="AH4201">
        <v>0.77415523806912401</v>
      </c>
      <c r="AI4201">
        <v>99.384930103939595</v>
      </c>
      <c r="AJ4201">
        <v>118.80913355254</v>
      </c>
      <c r="AK4201">
        <v>0.89549311290807099</v>
      </c>
      <c r="AL4201">
        <v>90.516661441533998</v>
      </c>
      <c r="AM4201">
        <v>100.559298526238</v>
      </c>
      <c r="AN4201">
        <v>0.99999999273150797</v>
      </c>
    </row>
    <row r="4202" spans="1:40" x14ac:dyDescent="0.25">
      <c r="A4202" t="str">
        <f>"20190312150738450"</f>
        <v>20190312150738450</v>
      </c>
      <c r="B4202" t="str">
        <f>"1552374458444232"</f>
        <v>1552374458444232</v>
      </c>
      <c r="C4202" t="s">
        <v>40</v>
      </c>
      <c r="D4202">
        <v>4.5745589999999998</v>
      </c>
      <c r="E4202">
        <v>0.4021904</v>
      </c>
      <c r="F4202" t="s">
        <v>42</v>
      </c>
      <c r="G4202">
        <v>-490.19139999999999</v>
      </c>
      <c r="H4202" s="1">
        <v>-3.9649090000000004E-6</v>
      </c>
      <c r="I4202">
        <v>268.71269999999998</v>
      </c>
      <c r="J4202">
        <v>-487.38920000000002</v>
      </c>
      <c r="K4202">
        <v>1.1157870000000001</v>
      </c>
      <c r="L4202">
        <v>275.74149999999997</v>
      </c>
      <c r="M4202">
        <v>-0.74325069999999904</v>
      </c>
      <c r="N4202">
        <v>0</v>
      </c>
      <c r="O4202">
        <v>-0.66886040000000002</v>
      </c>
      <c r="P4202">
        <v>-0.60805959999999903</v>
      </c>
      <c r="Q4202">
        <v>-2.0658659999999999E-2</v>
      </c>
      <c r="R4202">
        <v>-0.79362270000000001</v>
      </c>
      <c r="S4202">
        <v>-1.168304</v>
      </c>
      <c r="T4202">
        <v>-0.4516462</v>
      </c>
      <c r="U4202">
        <v>-2.8786010000000002</v>
      </c>
      <c r="V4202">
        <v>-0.18307229999999999</v>
      </c>
      <c r="W4202">
        <v>-8.9580019999999996E-3</v>
      </c>
      <c r="X4202">
        <v>0.9830586</v>
      </c>
      <c r="Y4202">
        <v>-0.43809720000000002</v>
      </c>
      <c r="Z4202">
        <v>7.1757029999999999E-2</v>
      </c>
      <c r="AA4202">
        <v>0.89605900000000005</v>
      </c>
      <c r="AB4202">
        <v>21</v>
      </c>
      <c r="AC4202">
        <v>-2.8021999999999698</v>
      </c>
      <c r="AD4202">
        <v>-1.1157909649089901</v>
      </c>
      <c r="AE4202">
        <v>-7.0287999999999897</v>
      </c>
      <c r="AF4202">
        <v>-3.27892456482172</v>
      </c>
      <c r="AG4202">
        <v>-1.1157909649089901</v>
      </c>
      <c r="AH4202">
        <v>6.6403275870435401</v>
      </c>
      <c r="AI4202">
        <v>98.568040187562005</v>
      </c>
      <c r="AJ4202">
        <v>116.279679899087</v>
      </c>
      <c r="AK4202">
        <v>7.4893448473424797</v>
      </c>
      <c r="AL4202">
        <v>90.513262591693504</v>
      </c>
      <c r="AM4202">
        <v>100.549192519961</v>
      </c>
      <c r="AN4202">
        <v>0.99999996193053997</v>
      </c>
    </row>
    <row r="4203" spans="1:40" x14ac:dyDescent="0.25">
      <c r="A4203" t="str">
        <f>"20190312150738462"</f>
        <v>20190312150738462</v>
      </c>
      <c r="B4203" t="str">
        <f>"1552374458453992"</f>
        <v>1552374458453992</v>
      </c>
      <c r="C4203" t="s">
        <v>40</v>
      </c>
      <c r="D4203">
        <v>4.5831410000000004</v>
      </c>
      <c r="E4203">
        <v>0.40184979999999998</v>
      </c>
      <c r="F4203" t="s">
        <v>61</v>
      </c>
      <c r="G4203">
        <v>-489.83179999999999</v>
      </c>
      <c r="H4203" s="1">
        <v>6.9868509999999998E-8</v>
      </c>
      <c r="I4203">
        <v>269.84559999999999</v>
      </c>
      <c r="J4203">
        <v>-487.4717</v>
      </c>
      <c r="K4203">
        <v>1.115796</v>
      </c>
      <c r="L4203">
        <v>275.65940000000001</v>
      </c>
      <c r="M4203">
        <v>-0.73974790000000001</v>
      </c>
      <c r="N4203">
        <v>0</v>
      </c>
      <c r="O4203">
        <v>-0.67273209999999894</v>
      </c>
      <c r="P4203">
        <v>-0.60387109999999899</v>
      </c>
      <c r="Q4203">
        <v>-2.0629789999999999E-2</v>
      </c>
      <c r="R4203">
        <v>-0.79681469999999999</v>
      </c>
      <c r="S4203">
        <v>-1.184296</v>
      </c>
      <c r="T4203">
        <v>-0.54099280000000005</v>
      </c>
      <c r="U4203">
        <v>-2.8586429999999998</v>
      </c>
      <c r="V4203">
        <v>-0.18311730000000001</v>
      </c>
      <c r="W4203">
        <v>-8.9312850000000006E-3</v>
      </c>
      <c r="X4203">
        <v>0.98305050000000005</v>
      </c>
      <c r="Y4203">
        <v>-0.42742360000000001</v>
      </c>
      <c r="Z4203">
        <v>8.7602669999999994E-2</v>
      </c>
      <c r="AA4203">
        <v>0.89979709999999902</v>
      </c>
      <c r="AB4203">
        <v>21</v>
      </c>
      <c r="AC4203">
        <v>-2.3600999999999801</v>
      </c>
      <c r="AD4203">
        <v>-1.1157959301314899</v>
      </c>
      <c r="AE4203">
        <v>-5.8138000000000103</v>
      </c>
      <c r="AF4203">
        <v>-2.6301365628002</v>
      </c>
      <c r="AG4203">
        <v>-1.1157959301314899</v>
      </c>
      <c r="AH4203">
        <v>5.4841630038928901</v>
      </c>
      <c r="AI4203">
        <v>100.39540428175999</v>
      </c>
      <c r="AJ4203">
        <v>115.621798503294</v>
      </c>
      <c r="AK4203">
        <v>6.1837418081566096</v>
      </c>
      <c r="AL4203">
        <v>90.511731739838297</v>
      </c>
      <c r="AM4203">
        <v>100.551812322649</v>
      </c>
      <c r="AN4203">
        <v>0.999999999480645</v>
      </c>
    </row>
    <row r="4204" spans="1:40" x14ac:dyDescent="0.25">
      <c r="A4204" t="str">
        <f>"20190312150738476"</f>
        <v>20190312150738476</v>
      </c>
      <c r="B4204" t="str">
        <f>"1552374458463751"</f>
        <v>1552374458463751</v>
      </c>
      <c r="C4204" t="s">
        <v>40</v>
      </c>
      <c r="D4204">
        <v>4.5272040000000002</v>
      </c>
      <c r="E4204">
        <v>0.40249370000000001</v>
      </c>
      <c r="F4204" t="s">
        <v>61</v>
      </c>
      <c r="G4204">
        <v>-489.92250000000001</v>
      </c>
      <c r="H4204" s="1">
        <v>5.2546759999999899E-9</v>
      </c>
      <c r="I4204">
        <v>269.64010000000002</v>
      </c>
      <c r="J4204">
        <v>-487.55590000000001</v>
      </c>
      <c r="K4204">
        <v>1.1158079999999999</v>
      </c>
      <c r="L4204">
        <v>275.57459999999998</v>
      </c>
      <c r="M4204">
        <v>-0.73611309999999996</v>
      </c>
      <c r="N4204">
        <v>0</v>
      </c>
      <c r="O4204">
        <v>-0.67670739999999996</v>
      </c>
      <c r="P4204">
        <v>-0.59969799999999995</v>
      </c>
      <c r="Q4204">
        <v>-2.082007E-2</v>
      </c>
      <c r="R4204">
        <v>-0.79995569999999905</v>
      </c>
      <c r="S4204">
        <v>-1.167114</v>
      </c>
      <c r="T4204">
        <v>-0.53138260000000004</v>
      </c>
      <c r="U4204">
        <v>-2.866638</v>
      </c>
      <c r="V4204">
        <v>-0.18295429999999999</v>
      </c>
      <c r="W4204">
        <v>-9.1199060000000005E-3</v>
      </c>
      <c r="X4204">
        <v>0.98307909999999998</v>
      </c>
      <c r="Y4204">
        <v>-0.42803279999999999</v>
      </c>
      <c r="Z4204">
        <v>8.6822079999999996E-2</v>
      </c>
      <c r="AA4204">
        <v>0.89958320000000003</v>
      </c>
      <c r="AB4204">
        <v>21</v>
      </c>
      <c r="AC4204">
        <v>-2.3666</v>
      </c>
      <c r="AD4204">
        <v>-1.1158079947453201</v>
      </c>
      <c r="AE4204">
        <v>-5.9344999999999501</v>
      </c>
      <c r="AF4204">
        <v>-2.6853445679966002</v>
      </c>
      <c r="AG4204">
        <v>-1.1158079947453201</v>
      </c>
      <c r="AH4204">
        <v>5.5881496829635298</v>
      </c>
      <c r="AI4204">
        <v>100.202450905182</v>
      </c>
      <c r="AJ4204">
        <v>115.666272531819</v>
      </c>
      <c r="AK4204">
        <v>6.2994856781495896</v>
      </c>
      <c r="AL4204">
        <v>90.5225393760592</v>
      </c>
      <c r="AM4204">
        <v>100.542330566004</v>
      </c>
      <c r="AN4204">
        <v>0.99999998271537405</v>
      </c>
    </row>
    <row r="4205" spans="1:40" x14ac:dyDescent="0.25">
      <c r="A4205" t="str">
        <f>"20190312150738489"</f>
        <v>20190312150738489</v>
      </c>
      <c r="B4205" t="str">
        <f>"1552374458484249"</f>
        <v>1552374458484249</v>
      </c>
      <c r="C4205" t="s">
        <v>40</v>
      </c>
      <c r="D4205">
        <v>4.5350999999999999</v>
      </c>
      <c r="E4205">
        <v>0.40274799999999999</v>
      </c>
      <c r="F4205" t="s">
        <v>42</v>
      </c>
      <c r="G4205">
        <v>-490.077</v>
      </c>
      <c r="H4205" s="1">
        <v>-4.1956759999999997E-6</v>
      </c>
      <c r="I4205">
        <v>269.32159999999999</v>
      </c>
      <c r="J4205">
        <v>-487.64010000000002</v>
      </c>
      <c r="K4205">
        <v>1.115818</v>
      </c>
      <c r="L4205">
        <v>275.48899999999998</v>
      </c>
      <c r="M4205">
        <v>-0.73243119999999995</v>
      </c>
      <c r="N4205">
        <v>0</v>
      </c>
      <c r="O4205">
        <v>-0.68069089999999999</v>
      </c>
      <c r="P4205">
        <v>-0.5954448</v>
      </c>
      <c r="Q4205">
        <v>-2.0822279999999999E-2</v>
      </c>
      <c r="R4205">
        <v>-0.80312659999999902</v>
      </c>
      <c r="S4205">
        <v>-1.156952</v>
      </c>
      <c r="T4205">
        <v>-0.51205489999999998</v>
      </c>
      <c r="U4205">
        <v>-2.8695369999999998</v>
      </c>
      <c r="V4205">
        <v>-0.18283759999999999</v>
      </c>
      <c r="W4205">
        <v>-9.1210960000000004E-3</v>
      </c>
      <c r="X4205">
        <v>0.9831008</v>
      </c>
      <c r="Y4205">
        <v>-0.4261276</v>
      </c>
      <c r="Z4205">
        <v>8.4675920000000002E-2</v>
      </c>
      <c r="AA4205">
        <v>0.90069159999999904</v>
      </c>
      <c r="AB4205">
        <v>21</v>
      </c>
      <c r="AC4205">
        <v>-2.4368999999999801</v>
      </c>
      <c r="AD4205">
        <v>-1.1158221956759999</v>
      </c>
      <c r="AE4205">
        <v>-6.1674000000000397</v>
      </c>
      <c r="AF4205">
        <v>-2.7800033807168201</v>
      </c>
      <c r="AG4205">
        <v>-1.1158221956759999</v>
      </c>
      <c r="AH4205">
        <v>5.8188198626209298</v>
      </c>
      <c r="AI4205">
        <v>99.816565238546403</v>
      </c>
      <c r="AJ4205">
        <v>115.536637188629</v>
      </c>
      <c r="AK4205">
        <v>6.5446269995158604</v>
      </c>
      <c r="AL4205">
        <v>90.522607560901207</v>
      </c>
      <c r="AM4205">
        <v>100.535529252277</v>
      </c>
      <c r="AN4205">
        <v>0.99999998266332002</v>
      </c>
    </row>
    <row r="4206" spans="1:40" x14ac:dyDescent="0.25">
      <c r="A4206" t="str">
        <f>"20190312150738500"</f>
        <v>20190312150738500</v>
      </c>
      <c r="B4206" t="str">
        <f>"1552374458494008"</f>
        <v>1552374458494008</v>
      </c>
      <c r="C4206" t="s">
        <v>40</v>
      </c>
      <c r="D4206">
        <v>4.5739460000000003</v>
      </c>
      <c r="E4206">
        <v>0.4029104</v>
      </c>
      <c r="F4206" t="s">
        <v>42</v>
      </c>
      <c r="G4206">
        <v>-490.14589999999998</v>
      </c>
      <c r="H4206" s="1">
        <v>-4.1585979999999998E-6</v>
      </c>
      <c r="I4206">
        <v>269.19240000000002</v>
      </c>
      <c r="J4206">
        <v>-487.71809999999999</v>
      </c>
      <c r="K4206">
        <v>1.115828</v>
      </c>
      <c r="L4206">
        <v>275.40870000000001</v>
      </c>
      <c r="M4206">
        <v>-0.72895959999999904</v>
      </c>
      <c r="N4206">
        <v>0</v>
      </c>
      <c r="O4206">
        <v>-0.68440719999999899</v>
      </c>
      <c r="P4206">
        <v>-0.59132839999999998</v>
      </c>
      <c r="Q4206">
        <v>-2.080603E-2</v>
      </c>
      <c r="R4206">
        <v>-0.80616239999999995</v>
      </c>
      <c r="S4206">
        <v>-1.143799</v>
      </c>
      <c r="T4206">
        <v>-0.50933050000000002</v>
      </c>
      <c r="U4206">
        <v>-2.8741460000000001</v>
      </c>
      <c r="V4206">
        <v>-0.18286620000000001</v>
      </c>
      <c r="W4206">
        <v>-9.1061159999999992E-3</v>
      </c>
      <c r="X4206">
        <v>0.98309559999999996</v>
      </c>
      <c r="Y4206">
        <v>-0.42559530000000001</v>
      </c>
      <c r="Z4206">
        <v>8.5016530000000007E-2</v>
      </c>
      <c r="AA4206">
        <v>0.90091120000000002</v>
      </c>
      <c r="AB4206">
        <v>21</v>
      </c>
      <c r="AC4206">
        <v>-2.4277999999999902</v>
      </c>
      <c r="AD4206">
        <v>-1.115832158598</v>
      </c>
      <c r="AE4206">
        <v>-6.2162999999999897</v>
      </c>
      <c r="AF4206">
        <v>-2.79206551078624</v>
      </c>
      <c r="AG4206">
        <v>-1.115832158598</v>
      </c>
      <c r="AH4206">
        <v>5.8610126207168003</v>
      </c>
      <c r="AI4206">
        <v>99.752476042113699</v>
      </c>
      <c r="AJ4206">
        <v>115.472166799517</v>
      </c>
      <c r="AK4206">
        <v>6.5872741071618597</v>
      </c>
      <c r="AL4206">
        <v>90.521749244412206</v>
      </c>
      <c r="AM4206">
        <v>100.53719483224801</v>
      </c>
      <c r="AN4206">
        <v>0.99999996359520105</v>
      </c>
    </row>
    <row r="4207" spans="1:40" x14ac:dyDescent="0.25">
      <c r="A4207" t="str">
        <f>"20190312150738513"</f>
        <v>20190312150738513</v>
      </c>
      <c r="B4207" t="str">
        <f>"1552374458504744"</f>
        <v>1552374458504744</v>
      </c>
      <c r="C4207" t="s">
        <v>40</v>
      </c>
      <c r="D4207">
        <v>4.5525989999999998</v>
      </c>
      <c r="E4207">
        <v>0.40327449999999998</v>
      </c>
      <c r="F4207" t="s">
        <v>42</v>
      </c>
      <c r="G4207">
        <v>-490.18990000000002</v>
      </c>
      <c r="H4207" s="1">
        <v>-4.1348370000000002E-6</v>
      </c>
      <c r="I4207">
        <v>269.10969999999998</v>
      </c>
      <c r="J4207">
        <v>-487.7953</v>
      </c>
      <c r="K4207">
        <v>1.1158360000000001</v>
      </c>
      <c r="L4207">
        <v>275.32839999999999</v>
      </c>
      <c r="M4207">
        <v>-0.72547550000000005</v>
      </c>
      <c r="N4207">
        <v>0</v>
      </c>
      <c r="O4207">
        <v>-0.68809919999999902</v>
      </c>
      <c r="P4207">
        <v>-0.58738020000000002</v>
      </c>
      <c r="Q4207">
        <v>-2.0810479999999999E-2</v>
      </c>
      <c r="R4207">
        <v>-0.80904350000000003</v>
      </c>
      <c r="S4207">
        <v>-1.129883</v>
      </c>
      <c r="T4207">
        <v>-0.51006799999999997</v>
      </c>
      <c r="U4207">
        <v>-2.8793639999999998</v>
      </c>
      <c r="V4207">
        <v>-0.1826815</v>
      </c>
      <c r="W4207">
        <v>-9.1081649999999997E-3</v>
      </c>
      <c r="X4207">
        <v>0.98312999999999995</v>
      </c>
      <c r="Y4207">
        <v>-0.42535909999999899</v>
      </c>
      <c r="Z4207">
        <v>8.5886809999999994E-2</v>
      </c>
      <c r="AA4207">
        <v>0.90094010000000002</v>
      </c>
      <c r="AB4207">
        <v>21</v>
      </c>
      <c r="AC4207">
        <v>-2.39460000000002</v>
      </c>
      <c r="AD4207">
        <v>-1.115840134837</v>
      </c>
      <c r="AE4207">
        <v>-6.2187000000000099</v>
      </c>
      <c r="AF4207">
        <v>-2.7859702460851801</v>
      </c>
      <c r="AG4207">
        <v>-1.115840134837</v>
      </c>
      <c r="AH4207">
        <v>5.8528164750244898</v>
      </c>
      <c r="AI4207">
        <v>99.767330582841694</v>
      </c>
      <c r="AJ4207">
        <v>115.454684473857</v>
      </c>
      <c r="AK4207">
        <v>6.57739995050499</v>
      </c>
      <c r="AL4207">
        <v>90.521866606894605</v>
      </c>
      <c r="AM4207">
        <v>100.526429875587</v>
      </c>
      <c r="AN4207">
        <v>1.0000000430059499</v>
      </c>
    </row>
    <row r="4208" spans="1:40" x14ac:dyDescent="0.25">
      <c r="A4208" t="str">
        <f>"20190312150738526"</f>
        <v>20190312150738526</v>
      </c>
      <c r="B4208" t="str">
        <f>"1552374458514504"</f>
        <v>1552374458514504</v>
      </c>
      <c r="C4208" t="s">
        <v>40</v>
      </c>
      <c r="D4208">
        <v>4.557124</v>
      </c>
      <c r="E4208">
        <v>0.40361409999999998</v>
      </c>
      <c r="F4208" t="s">
        <v>42</v>
      </c>
      <c r="G4208">
        <v>-490.19729999999998</v>
      </c>
      <c r="H4208" s="1">
        <v>-4.1478240000000002E-6</v>
      </c>
      <c r="I4208">
        <v>269.1354</v>
      </c>
      <c r="J4208">
        <v>-487.8766</v>
      </c>
      <c r="K4208">
        <v>1.115845</v>
      </c>
      <c r="L4208">
        <v>275.24310000000003</v>
      </c>
      <c r="M4208">
        <v>-0.72176149999999994</v>
      </c>
      <c r="N4208">
        <v>0</v>
      </c>
      <c r="O4208">
        <v>-0.69199379999999999</v>
      </c>
      <c r="P4208">
        <v>-0.58294579999999996</v>
      </c>
      <c r="Q4208">
        <v>-2.0875660000000001E-2</v>
      </c>
      <c r="R4208">
        <v>-0.8122431</v>
      </c>
      <c r="S4208">
        <v>-1.1181639999999999</v>
      </c>
      <c r="T4208">
        <v>-0.5194339</v>
      </c>
      <c r="U4208">
        <v>-2.8828740000000002</v>
      </c>
      <c r="V4208">
        <v>-0.18276580000000001</v>
      </c>
      <c r="W4208">
        <v>-9.1751200000000002E-3</v>
      </c>
      <c r="X4208">
        <v>0.98311360000000003</v>
      </c>
      <c r="Y4208">
        <v>-0.42412339999999998</v>
      </c>
      <c r="Z4208">
        <v>8.8326009999999996E-2</v>
      </c>
      <c r="AA4208">
        <v>0.90128680000000005</v>
      </c>
      <c r="AB4208">
        <v>21</v>
      </c>
      <c r="AC4208">
        <v>-2.32069999999998</v>
      </c>
      <c r="AD4208">
        <v>-1.115849147824</v>
      </c>
      <c r="AE4208">
        <v>-6.1077000000000199</v>
      </c>
      <c r="AF4208">
        <v>-2.72325141684047</v>
      </c>
      <c r="AG4208">
        <v>-1.115849147824</v>
      </c>
      <c r="AH4208">
        <v>5.73482096917063</v>
      </c>
      <c r="AI4208">
        <v>99.968713889455003</v>
      </c>
      <c r="AJ4208">
        <v>115.401289841108</v>
      </c>
      <c r="AK4208">
        <v>6.4458815648802004</v>
      </c>
      <c r="AL4208">
        <v>90.525703062476794</v>
      </c>
      <c r="AM4208">
        <v>100.53135049527</v>
      </c>
      <c r="AN4208">
        <v>0.99999993549080501</v>
      </c>
    </row>
    <row r="4209" spans="1:40" x14ac:dyDescent="0.25">
      <c r="A4209" t="str">
        <f>"20190312150738535"</f>
        <v>20190312150738535</v>
      </c>
      <c r="B4209" t="str">
        <f>"1552374458524263"</f>
        <v>1552374458524263</v>
      </c>
      <c r="C4209" t="s">
        <v>40</v>
      </c>
      <c r="D4209">
        <v>4.5790670000000002</v>
      </c>
      <c r="E4209">
        <v>0.40388289999999999</v>
      </c>
      <c r="F4209" t="s">
        <v>42</v>
      </c>
      <c r="G4209">
        <v>-490.21480000000003</v>
      </c>
      <c r="H4209" s="1">
        <v>-4.1495459999999998E-6</v>
      </c>
      <c r="I4209">
        <v>269.12860000000001</v>
      </c>
      <c r="J4209">
        <v>-487.94540000000001</v>
      </c>
      <c r="K4209">
        <v>1.1158509999999999</v>
      </c>
      <c r="L4209">
        <v>275.16989999999998</v>
      </c>
      <c r="M4209">
        <v>-0.71855839999999904</v>
      </c>
      <c r="N4209">
        <v>0</v>
      </c>
      <c r="O4209">
        <v>-0.69531940000000003</v>
      </c>
      <c r="P4209">
        <v>-0.57910430000000002</v>
      </c>
      <c r="Q4209">
        <v>-2.080419E-2</v>
      </c>
      <c r="R4209">
        <v>-0.81498780000000004</v>
      </c>
      <c r="S4209">
        <v>-1.104187</v>
      </c>
      <c r="T4209">
        <v>-0.52693829999999997</v>
      </c>
      <c r="U4209">
        <v>-2.8874819999999999</v>
      </c>
      <c r="V4209">
        <v>-0.18287</v>
      </c>
      <c r="W4209">
        <v>-9.1055849999999994E-3</v>
      </c>
      <c r="X4209">
        <v>0.98309489999999999</v>
      </c>
      <c r="Y4209">
        <v>-0.42428860000000002</v>
      </c>
      <c r="Z4209">
        <v>9.026112E-2</v>
      </c>
      <c r="AA4209">
        <v>0.90101719999999996</v>
      </c>
      <c r="AB4209">
        <v>21</v>
      </c>
      <c r="AC4209">
        <v>-2.2694000000000099</v>
      </c>
      <c r="AD4209">
        <v>-1.1158551495459901</v>
      </c>
      <c r="AE4209">
        <v>-6.0412999999999704</v>
      </c>
      <c r="AF4209">
        <v>-2.6831344021788399</v>
      </c>
      <c r="AG4209">
        <v>-1.1158551495459901</v>
      </c>
      <c r="AH4209">
        <v>5.6626312150214702</v>
      </c>
      <c r="AI4209">
        <v>100.097202141797</v>
      </c>
      <c r="AJ4209">
        <v>115.35307932344</v>
      </c>
      <c r="AK4209">
        <v>6.3647258552320602</v>
      </c>
      <c r="AL4209">
        <v>90.521718818101107</v>
      </c>
      <c r="AM4209">
        <v>100.53741622831301</v>
      </c>
      <c r="AN4209">
        <v>0.99999996549210002</v>
      </c>
    </row>
    <row r="4210" spans="1:40" x14ac:dyDescent="0.25">
      <c r="A4210" t="str">
        <f>"20190312150738547"</f>
        <v>20190312150738547</v>
      </c>
      <c r="B4210" t="str">
        <f>"1552374458543783"</f>
        <v>1552374458543783</v>
      </c>
      <c r="C4210" t="s">
        <v>40</v>
      </c>
      <c r="D4210">
        <v>4.5325559999999996</v>
      </c>
      <c r="E4210">
        <v>0.40457080000000001</v>
      </c>
      <c r="F4210" t="s">
        <v>42</v>
      </c>
      <c r="G4210">
        <v>-490.24700000000001</v>
      </c>
      <c r="H4210" s="1">
        <v>-4.1357960000000002E-6</v>
      </c>
      <c r="I4210">
        <v>269.07659999999998</v>
      </c>
      <c r="J4210">
        <v>-488.01389999999998</v>
      </c>
      <c r="K4210">
        <v>1.1158570000000001</v>
      </c>
      <c r="L4210">
        <v>275.09660000000002</v>
      </c>
      <c r="M4210">
        <v>-0.71534259999999905</v>
      </c>
      <c r="N4210">
        <v>0</v>
      </c>
      <c r="O4210">
        <v>-0.69862709999999995</v>
      </c>
      <c r="P4210">
        <v>-0.57552859999999995</v>
      </c>
      <c r="Q4210">
        <v>-2.0989540000000001E-2</v>
      </c>
      <c r="R4210">
        <v>-0.81751269999999998</v>
      </c>
      <c r="S4210">
        <v>-1.0921940000000001</v>
      </c>
      <c r="T4210">
        <v>-0.52951839999999994</v>
      </c>
      <c r="U4210">
        <v>-2.8915099999999998</v>
      </c>
      <c r="V4210">
        <v>-0.1826352</v>
      </c>
      <c r="W4210">
        <v>-9.2875470000000002E-3</v>
      </c>
      <c r="X4210">
        <v>0.98313689999999998</v>
      </c>
      <c r="Y4210">
        <v>-0.42383589999999999</v>
      </c>
      <c r="Z4210">
        <v>9.1417719999999994E-2</v>
      </c>
      <c r="AA4210">
        <v>0.90111370000000002</v>
      </c>
      <c r="AB4210">
        <v>21</v>
      </c>
      <c r="AC4210">
        <v>-2.2330999999999701</v>
      </c>
      <c r="AD4210">
        <v>-1.11586113579599</v>
      </c>
      <c r="AE4210">
        <v>-6.0200000000000404</v>
      </c>
      <c r="AF4210">
        <v>-2.6660205814031901</v>
      </c>
      <c r="AG4210">
        <v>-1.11586113579599</v>
      </c>
      <c r="AH4210">
        <v>5.6336150193527503</v>
      </c>
      <c r="AI4210">
        <v>100.150479547038</v>
      </c>
      <c r="AJ4210">
        <v>115.32512431438001</v>
      </c>
      <c r="AK4210">
        <v>6.3317004036137297</v>
      </c>
      <c r="AL4210">
        <v>90.532144885291899</v>
      </c>
      <c r="AM4210">
        <v>100.52374938555</v>
      </c>
      <c r="AN4210">
        <v>1.0000000194749601</v>
      </c>
    </row>
    <row r="4211" spans="1:40" x14ac:dyDescent="0.25">
      <c r="A4211" t="str">
        <f>"20190312150738559"</f>
        <v>20190312150738559</v>
      </c>
      <c r="B4211" t="str">
        <f>"1552374458554519"</f>
        <v>1552374458554519</v>
      </c>
      <c r="C4211" t="s">
        <v>40</v>
      </c>
      <c r="D4211">
        <v>4.5182769999999897</v>
      </c>
      <c r="E4211">
        <v>0.40482230000000002</v>
      </c>
      <c r="F4211" t="s">
        <v>42</v>
      </c>
      <c r="G4211">
        <v>-490.37079999999997</v>
      </c>
      <c r="H4211" s="1">
        <v>-4.054111E-6</v>
      </c>
      <c r="I4211">
        <v>268.80939999999998</v>
      </c>
      <c r="J4211">
        <v>-488.08539999999999</v>
      </c>
      <c r="K4211">
        <v>1.1158600000000001</v>
      </c>
      <c r="L4211">
        <v>275.01900000000001</v>
      </c>
      <c r="M4211">
        <v>-0.71193490000000004</v>
      </c>
      <c r="N4211">
        <v>0</v>
      </c>
      <c r="O4211">
        <v>-0.70209949999999999</v>
      </c>
      <c r="P4211">
        <v>-0.57147029999999999</v>
      </c>
      <c r="Q4211">
        <v>-2.1073919999999999E-2</v>
      </c>
      <c r="R4211">
        <v>-0.82035230000000003</v>
      </c>
      <c r="S4211">
        <v>-1.0845340000000001</v>
      </c>
      <c r="T4211">
        <v>-0.51344849999999997</v>
      </c>
      <c r="U4211">
        <v>-2.8929749999999999</v>
      </c>
      <c r="V4211">
        <v>-0.18272089999999999</v>
      </c>
      <c r="W4211">
        <v>-9.3732429999999999E-3</v>
      </c>
      <c r="X4211">
        <v>0.98312010000000005</v>
      </c>
      <c r="Y4211">
        <v>-0.42162090000000002</v>
      </c>
      <c r="Z4211">
        <v>8.9581320000000006E-2</v>
      </c>
      <c r="AA4211">
        <v>0.90233640000000004</v>
      </c>
      <c r="AB4211">
        <v>21</v>
      </c>
      <c r="AC4211">
        <v>-2.2853999999999801</v>
      </c>
      <c r="AD4211">
        <v>-1.1158640541110001</v>
      </c>
      <c r="AE4211">
        <v>-6.2096000000000204</v>
      </c>
      <c r="AF4211">
        <v>-2.7386549071260702</v>
      </c>
      <c r="AG4211">
        <v>-1.1158640541110001</v>
      </c>
      <c r="AH4211">
        <v>5.8218549321048902</v>
      </c>
      <c r="AI4211">
        <v>99.839322591862299</v>
      </c>
      <c r="AJ4211">
        <v>115.192731234639</v>
      </c>
      <c r="AK4211">
        <v>6.5298834704806703</v>
      </c>
      <c r="AL4211">
        <v>90.537055151071897</v>
      </c>
      <c r="AM4211">
        <v>100.52875306657501</v>
      </c>
      <c r="AN4211">
        <v>0.99999995800257702</v>
      </c>
    </row>
    <row r="4212" spans="1:40" x14ac:dyDescent="0.25">
      <c r="A4212" t="str">
        <f>"20190312150738571"</f>
        <v>20190312150738571</v>
      </c>
      <c r="B4212" t="str">
        <f>"1552374458564279"</f>
        <v>1552374458564279</v>
      </c>
      <c r="C4212" t="s">
        <v>40</v>
      </c>
      <c r="D4212">
        <v>4.5546759999999997</v>
      </c>
      <c r="E4212">
        <v>0.40508490000000003</v>
      </c>
      <c r="F4212" t="s">
        <v>42</v>
      </c>
      <c r="G4212">
        <v>-490.43079999999998</v>
      </c>
      <c r="H4212" s="1">
        <v>-4.013685E-6</v>
      </c>
      <c r="I4212">
        <v>268.67790000000002</v>
      </c>
      <c r="J4212">
        <v>-488.15600000000001</v>
      </c>
      <c r="K4212">
        <v>1.1158669999999999</v>
      </c>
      <c r="L4212">
        <v>274.9418</v>
      </c>
      <c r="M4212">
        <v>-0.70852669999999995</v>
      </c>
      <c r="N4212">
        <v>0</v>
      </c>
      <c r="O4212">
        <v>-0.70553849999999996</v>
      </c>
      <c r="P4212">
        <v>-0.56741180000000002</v>
      </c>
      <c r="Q4212">
        <v>-2.1292120000000001E-2</v>
      </c>
      <c r="R4212">
        <v>-0.82315890000000003</v>
      </c>
      <c r="S4212">
        <v>-1.071655</v>
      </c>
      <c r="T4212">
        <v>-0.50985179999999997</v>
      </c>
      <c r="U4212">
        <v>-2.8973390000000001</v>
      </c>
      <c r="V4212">
        <v>-0.18280869999999999</v>
      </c>
      <c r="W4212">
        <v>-9.5927849999999995E-3</v>
      </c>
      <c r="X4212">
        <v>0.98310169999999997</v>
      </c>
      <c r="Y4212">
        <v>-0.42120560000000001</v>
      </c>
      <c r="Z4212">
        <v>8.9687429999999999E-2</v>
      </c>
      <c r="AA4212">
        <v>0.90251979999999998</v>
      </c>
      <c r="AB4212">
        <v>21</v>
      </c>
      <c r="AC4212">
        <v>-2.2747999999999702</v>
      </c>
      <c r="AD4212">
        <v>-1.1158710136850001</v>
      </c>
      <c r="AE4212">
        <v>-6.2638999999999703</v>
      </c>
      <c r="AF4212">
        <v>-2.7561961001548001</v>
      </c>
      <c r="AG4212">
        <v>-1.1158710136850001</v>
      </c>
      <c r="AH4212">
        <v>5.8672954542683797</v>
      </c>
      <c r="AI4212">
        <v>99.767061991705503</v>
      </c>
      <c r="AJ4212">
        <v>115.16206359434599</v>
      </c>
      <c r="AK4212">
        <v>6.5777610939718203</v>
      </c>
      <c r="AL4212">
        <v>90.549634525609093</v>
      </c>
      <c r="AM4212">
        <v>100.53389181503</v>
      </c>
      <c r="AN4212">
        <v>0.99999999743131796</v>
      </c>
    </row>
    <row r="4213" spans="1:40" x14ac:dyDescent="0.25">
      <c r="A4213" t="str">
        <f>"20190312150738581"</f>
        <v>20190312150738581</v>
      </c>
      <c r="B4213" t="str">
        <f>"1552374458574039"</f>
        <v>1552374458574039</v>
      </c>
      <c r="C4213" t="s">
        <v>40</v>
      </c>
      <c r="D4213">
        <v>4.6159910000000002</v>
      </c>
      <c r="E4213">
        <v>0.40545779999999998</v>
      </c>
      <c r="F4213" t="s">
        <v>42</v>
      </c>
      <c r="G4213">
        <v>-490.47030000000001</v>
      </c>
      <c r="H4213" s="1">
        <v>-3.9908830000000004E-6</v>
      </c>
      <c r="I4213">
        <v>268.6003</v>
      </c>
      <c r="J4213">
        <v>-488.22460000000001</v>
      </c>
      <c r="K4213">
        <v>1.1158709999999901</v>
      </c>
      <c r="L4213">
        <v>274.86610000000002</v>
      </c>
      <c r="M4213">
        <v>-0.70517439999999998</v>
      </c>
      <c r="N4213">
        <v>0</v>
      </c>
      <c r="O4213">
        <v>-0.70888909999999905</v>
      </c>
      <c r="P4213">
        <v>-0.56341949999999996</v>
      </c>
      <c r="Q4213">
        <v>-2.118478E-2</v>
      </c>
      <c r="R4213">
        <v>-0.82589939999999995</v>
      </c>
      <c r="S4213">
        <v>-1.0588679999999999</v>
      </c>
      <c r="T4213">
        <v>-0.51053530000000003</v>
      </c>
      <c r="U4213">
        <v>-2.9013979999999999</v>
      </c>
      <c r="V4213">
        <v>-0.18291199999999999</v>
      </c>
      <c r="W4213">
        <v>-9.4868820000000003E-3</v>
      </c>
      <c r="X4213">
        <v>0.9830835</v>
      </c>
      <c r="Y4213">
        <v>-0.42084969999999999</v>
      </c>
      <c r="Z4213">
        <v>9.0511990000000001E-2</v>
      </c>
      <c r="AA4213">
        <v>0.9026035</v>
      </c>
      <c r="AB4213">
        <v>21</v>
      </c>
      <c r="AC4213">
        <v>-2.2456999999999998</v>
      </c>
      <c r="AD4213">
        <v>-1.1158749908829999</v>
      </c>
      <c r="AE4213">
        <v>-6.2658000000000103</v>
      </c>
      <c r="AF4213">
        <v>-2.7495420006722302</v>
      </c>
      <c r="AG4213">
        <v>-1.1158749908829999</v>
      </c>
      <c r="AH4213">
        <v>5.8612517275051497</v>
      </c>
      <c r="AI4213">
        <v>99.779373967808993</v>
      </c>
      <c r="AJ4213">
        <v>115.131504547362</v>
      </c>
      <c r="AK4213">
        <v>6.5695837023300703</v>
      </c>
      <c r="AL4213">
        <v>90.543566461649206</v>
      </c>
      <c r="AM4213">
        <v>100.53990163078301</v>
      </c>
      <c r="AN4213">
        <v>0.99999998432316495</v>
      </c>
    </row>
    <row r="4214" spans="1:40" x14ac:dyDescent="0.25">
      <c r="A4214" t="str">
        <f>"20190312150738592"</f>
        <v>20190312150738592</v>
      </c>
      <c r="B4214" t="str">
        <f>"1552374458583799"</f>
        <v>1552374458583799</v>
      </c>
      <c r="C4214" t="s">
        <v>40</v>
      </c>
      <c r="D4214">
        <v>4.5482300000000002</v>
      </c>
      <c r="E4214">
        <v>0.40569139999999998</v>
      </c>
      <c r="F4214" t="s">
        <v>42</v>
      </c>
      <c r="G4214">
        <v>-490.49709999999999</v>
      </c>
      <c r="H4214" s="1">
        <v>-3.9813740000000002E-6</v>
      </c>
      <c r="I4214">
        <v>268.56150000000002</v>
      </c>
      <c r="J4214">
        <v>-488.29050000000001</v>
      </c>
      <c r="K4214">
        <v>1.115883</v>
      </c>
      <c r="L4214">
        <v>274.79239999999999</v>
      </c>
      <c r="M4214">
        <v>-0.70190390000000003</v>
      </c>
      <c r="N4214">
        <v>0</v>
      </c>
      <c r="O4214">
        <v>-0.71212749999999903</v>
      </c>
      <c r="P4214">
        <v>-0.55938650000000001</v>
      </c>
      <c r="Q4214">
        <v>-2.098765E-2</v>
      </c>
      <c r="R4214">
        <v>-0.82864159999999998</v>
      </c>
      <c r="S4214">
        <v>-1.0470889999999999</v>
      </c>
      <c r="T4214">
        <v>-0.51414899999999997</v>
      </c>
      <c r="U4214">
        <v>-2.904938</v>
      </c>
      <c r="V4214">
        <v>-0.18318519999999999</v>
      </c>
      <c r="W4214">
        <v>-9.2937569999999997E-3</v>
      </c>
      <c r="X4214">
        <v>0.98303450000000003</v>
      </c>
      <c r="Y4214">
        <v>-0.42030719999999999</v>
      </c>
      <c r="Z4214">
        <v>9.1844560000000006E-2</v>
      </c>
      <c r="AA4214">
        <v>0.90272160000000001</v>
      </c>
      <c r="AB4214">
        <v>21</v>
      </c>
      <c r="AC4214">
        <v>-2.2065999999999799</v>
      </c>
      <c r="AD4214">
        <v>-1.115886981374</v>
      </c>
      <c r="AE4214">
        <v>-6.2308999999999601</v>
      </c>
      <c r="AF4214">
        <v>-2.7247481500149302</v>
      </c>
      <c r="AG4214">
        <v>-1.115886981374</v>
      </c>
      <c r="AH4214">
        <v>5.82074675899268</v>
      </c>
      <c r="AI4214">
        <v>99.849894255409396</v>
      </c>
      <c r="AJ4214">
        <v>115.084750909852</v>
      </c>
      <c r="AK4214">
        <v>6.5230781896688601</v>
      </c>
      <c r="AL4214">
        <v>90.532500712582504</v>
      </c>
      <c r="AM4214">
        <v>100.555804967238</v>
      </c>
      <c r="AN4214">
        <v>1.0000000098042301</v>
      </c>
    </row>
    <row r="4215" spans="1:40" x14ac:dyDescent="0.25">
      <c r="A4215" t="str">
        <f>"20190312150738603"</f>
        <v>20190312150738603</v>
      </c>
      <c r="B4215" t="str">
        <f>"1552374458594536"</f>
        <v>1552374458594536</v>
      </c>
      <c r="C4215" t="s">
        <v>40</v>
      </c>
      <c r="D4215">
        <v>4.5461919999999996</v>
      </c>
      <c r="E4215">
        <v>0.40593879999999999</v>
      </c>
      <c r="F4215" t="s">
        <v>42</v>
      </c>
      <c r="G4215">
        <v>-490.5591</v>
      </c>
      <c r="H4215" s="1">
        <v>-3.9351800000000003E-6</v>
      </c>
      <c r="I4215">
        <v>268.4153</v>
      </c>
      <c r="J4215">
        <v>-488.35789999999997</v>
      </c>
      <c r="K4215">
        <v>1.11589</v>
      </c>
      <c r="L4215">
        <v>274.71679999999998</v>
      </c>
      <c r="M4215">
        <v>-0.69853199999999904</v>
      </c>
      <c r="N4215">
        <v>0</v>
      </c>
      <c r="O4215">
        <v>-0.71543509999999999</v>
      </c>
      <c r="P4215">
        <v>-0.55517850000000002</v>
      </c>
      <c r="Q4215">
        <v>-2.0998630000000001E-2</v>
      </c>
      <c r="R4215">
        <v>-0.83146620000000004</v>
      </c>
      <c r="S4215">
        <v>-1.034821</v>
      </c>
      <c r="T4215">
        <v>-0.50900879999999904</v>
      </c>
      <c r="U4215">
        <v>-2.9089049999999999</v>
      </c>
      <c r="V4215">
        <v>-0.18352399999999999</v>
      </c>
      <c r="W4215">
        <v>-9.3098520000000004E-3</v>
      </c>
      <c r="X4215">
        <v>0.98297109999999999</v>
      </c>
      <c r="Y4215">
        <v>-0.41978490000000002</v>
      </c>
      <c r="Z4215">
        <v>9.1648969999999996E-2</v>
      </c>
      <c r="AA4215">
        <v>0.90298460000000003</v>
      </c>
      <c r="AB4215">
        <v>21</v>
      </c>
      <c r="AC4215">
        <v>-2.20120000000002</v>
      </c>
      <c r="AD4215">
        <v>-1.1158939351799999</v>
      </c>
      <c r="AE4215">
        <v>-6.3014999999999697</v>
      </c>
      <c r="AF4215">
        <v>-2.7504049168643698</v>
      </c>
      <c r="AG4215">
        <v>-1.1158939351799999</v>
      </c>
      <c r="AH4215">
        <v>5.8821479545706303</v>
      </c>
      <c r="AI4215">
        <v>99.751043789319695</v>
      </c>
      <c r="AJ4215">
        <v>115.0600914708</v>
      </c>
      <c r="AK4215">
        <v>6.5885970464692001</v>
      </c>
      <c r="AL4215">
        <v>90.533422955848494</v>
      </c>
      <c r="AM4215">
        <v>100.575554585956</v>
      </c>
      <c r="AN4215">
        <v>0.99999995767773497</v>
      </c>
    </row>
    <row r="4216" spans="1:40" x14ac:dyDescent="0.25">
      <c r="A4216" t="str">
        <f>"20190312150738615"</f>
        <v>20190312150738615</v>
      </c>
      <c r="B4216" t="str">
        <f>"1552374458604296"</f>
        <v>1552374458604296</v>
      </c>
      <c r="C4216" t="s">
        <v>40</v>
      </c>
      <c r="D4216">
        <v>4.5974300000000001</v>
      </c>
      <c r="E4216">
        <v>0.4061323</v>
      </c>
      <c r="F4216" t="s">
        <v>42</v>
      </c>
      <c r="G4216">
        <v>-490.61340000000001</v>
      </c>
      <c r="H4216" s="1">
        <v>-3.8946860000000002E-6</v>
      </c>
      <c r="I4216">
        <v>268.28730000000002</v>
      </c>
      <c r="J4216">
        <v>-488.4237</v>
      </c>
      <c r="K4216">
        <v>1.115896</v>
      </c>
      <c r="L4216">
        <v>274.64170000000001</v>
      </c>
      <c r="M4216">
        <v>-0.69518009999999997</v>
      </c>
      <c r="N4216">
        <v>0</v>
      </c>
      <c r="O4216">
        <v>-0.71869280000000002</v>
      </c>
      <c r="P4216">
        <v>-0.55121719999999996</v>
      </c>
      <c r="Q4216">
        <v>-2.0828030000000001E-2</v>
      </c>
      <c r="R4216">
        <v>-0.83410219999999902</v>
      </c>
      <c r="S4216">
        <v>-1.021881</v>
      </c>
      <c r="T4216">
        <v>-0.50557070000000004</v>
      </c>
      <c r="U4216">
        <v>-2.9129640000000001</v>
      </c>
      <c r="V4216">
        <v>-0.18361050000000001</v>
      </c>
      <c r="W4216">
        <v>-9.1404329999999999E-3</v>
      </c>
      <c r="X4216">
        <v>0.98295659999999896</v>
      </c>
      <c r="Y4216">
        <v>-0.41950910000000002</v>
      </c>
      <c r="Z4216">
        <v>9.1718930000000004E-2</v>
      </c>
      <c r="AA4216">
        <v>0.90310559999999995</v>
      </c>
      <c r="AB4216">
        <v>21</v>
      </c>
      <c r="AC4216">
        <v>-2.18970000000001</v>
      </c>
      <c r="AD4216">
        <v>-1.1158998946859999</v>
      </c>
      <c r="AE4216">
        <v>-6.3543999999999903</v>
      </c>
      <c r="AF4216">
        <v>-2.7677282448884402</v>
      </c>
      <c r="AG4216">
        <v>-1.1158998946859999</v>
      </c>
      <c r="AH4216">
        <v>5.9263580159721796</v>
      </c>
      <c r="AI4216">
        <v>99.681792212737705</v>
      </c>
      <c r="AJ4216">
        <v>115.03351952846501</v>
      </c>
      <c r="AK4216">
        <v>6.6353049324044804</v>
      </c>
      <c r="AL4216">
        <v>90.523715515856196</v>
      </c>
      <c r="AM4216">
        <v>100.580579171655</v>
      </c>
      <c r="AN4216">
        <v>1.00000002035461</v>
      </c>
    </row>
    <row r="4217" spans="1:40" x14ac:dyDescent="0.25">
      <c r="A4217" t="str">
        <f>"20190312150738626"</f>
        <v>20190312150738626</v>
      </c>
      <c r="B4217" t="str">
        <f>"1552374458614056"</f>
        <v>1552374458614056</v>
      </c>
      <c r="C4217" t="s">
        <v>40</v>
      </c>
      <c r="D4217">
        <v>4.5742339999999997</v>
      </c>
      <c r="E4217">
        <v>0.40644419999999998</v>
      </c>
      <c r="F4217" t="s">
        <v>42</v>
      </c>
      <c r="G4217">
        <v>-490.6574</v>
      </c>
      <c r="H4217" s="1">
        <v>-3.8628020000000002E-6</v>
      </c>
      <c r="I4217">
        <v>268.1857</v>
      </c>
      <c r="J4217">
        <v>-488.49020000000002</v>
      </c>
      <c r="K4217">
        <v>1.115901</v>
      </c>
      <c r="L4217">
        <v>274.56560000000002</v>
      </c>
      <c r="M4217">
        <v>-0.69176859999999996</v>
      </c>
      <c r="N4217">
        <v>0</v>
      </c>
      <c r="O4217">
        <v>-0.72197690000000003</v>
      </c>
      <c r="P4217">
        <v>-0.54691020000000001</v>
      </c>
      <c r="Q4217">
        <v>-2.071222E-2</v>
      </c>
      <c r="R4217">
        <v>-0.83693519999999899</v>
      </c>
      <c r="S4217">
        <v>-1.009277</v>
      </c>
      <c r="T4217">
        <v>-0.50420989999999999</v>
      </c>
      <c r="U4217">
        <v>-2.9171140000000002</v>
      </c>
      <c r="V4217">
        <v>-0.18402499999999999</v>
      </c>
      <c r="W4217">
        <v>-9.0310779999999997E-3</v>
      </c>
      <c r="X4217">
        <v>0.98288010000000003</v>
      </c>
      <c r="Y4217">
        <v>-0.41910649999999999</v>
      </c>
      <c r="Z4217">
        <v>9.2158699999999996E-2</v>
      </c>
      <c r="AA4217">
        <v>0.90324780000000005</v>
      </c>
      <c r="AB4217">
        <v>21</v>
      </c>
      <c r="AC4217">
        <v>-2.1671999999999798</v>
      </c>
      <c r="AD4217">
        <v>-1.1159048628020001</v>
      </c>
      <c r="AE4217">
        <v>-6.3799000000000197</v>
      </c>
      <c r="AF4217">
        <v>-2.7729807150695098</v>
      </c>
      <c r="AG4217">
        <v>-1.1159048628020001</v>
      </c>
      <c r="AH4217">
        <v>5.9429632781333499</v>
      </c>
      <c r="AI4217">
        <v>99.656821507466006</v>
      </c>
      <c r="AJ4217">
        <v>115.01370965609701</v>
      </c>
      <c r="AK4217">
        <v>6.6523287827808204</v>
      </c>
      <c r="AL4217">
        <v>90.5174496744674</v>
      </c>
      <c r="AM4217">
        <v>100.604730288372</v>
      </c>
      <c r="AN4217">
        <v>1.00000002598542</v>
      </c>
    </row>
    <row r="4218" spans="1:40" x14ac:dyDescent="0.25">
      <c r="A4218" t="str">
        <f>"20190312150738637"</f>
        <v>20190312150738637</v>
      </c>
      <c r="B4218" t="str">
        <f>"1552374458634552"</f>
        <v>1552374458634552</v>
      </c>
      <c r="C4218" t="s">
        <v>40</v>
      </c>
      <c r="D4218">
        <v>4.6242080000000003</v>
      </c>
      <c r="E4218">
        <v>0.4072286</v>
      </c>
      <c r="F4218" t="s">
        <v>42</v>
      </c>
      <c r="G4218">
        <v>-490.69740000000002</v>
      </c>
      <c r="H4218" s="1">
        <v>-3.8341399999999997E-6</v>
      </c>
      <c r="I4218">
        <v>268.09399999999999</v>
      </c>
      <c r="J4218">
        <v>-488.56049999999999</v>
      </c>
      <c r="K4218">
        <v>1.11591</v>
      </c>
      <c r="L4218">
        <v>274.48379999999997</v>
      </c>
      <c r="M4218">
        <v>-0.68809100000000001</v>
      </c>
      <c r="N4218">
        <v>0</v>
      </c>
      <c r="O4218">
        <v>-0.72548259999999998</v>
      </c>
      <c r="P4218">
        <v>-0.54242999999999997</v>
      </c>
      <c r="Q4218">
        <v>-2.104371E-2</v>
      </c>
      <c r="R4218">
        <v>-0.83983739999999996</v>
      </c>
      <c r="S4218">
        <v>-0.99627690000000002</v>
      </c>
      <c r="T4218">
        <v>-0.50367240000000002</v>
      </c>
      <c r="U4218">
        <v>-2.9210210000000001</v>
      </c>
      <c r="V4218">
        <v>-0.18427289999999999</v>
      </c>
      <c r="W4218">
        <v>-9.3664439999999998E-3</v>
      </c>
      <c r="X4218">
        <v>0.98283050000000005</v>
      </c>
      <c r="Y4218">
        <v>-0.41848390000000002</v>
      </c>
      <c r="Z4218">
        <v>9.2811149999999995E-2</v>
      </c>
      <c r="AA4218">
        <v>0.90346959999999998</v>
      </c>
      <c r="AB4218">
        <v>21</v>
      </c>
      <c r="AC4218">
        <v>-2.1369000000000198</v>
      </c>
      <c r="AD4218">
        <v>-1.1159138341399999</v>
      </c>
      <c r="AE4218">
        <v>-6.3897999999999797</v>
      </c>
      <c r="AF4218">
        <v>-2.7707675308116602</v>
      </c>
      <c r="AG4218">
        <v>-1.1159138341399999</v>
      </c>
      <c r="AH4218">
        <v>5.9436570499865997</v>
      </c>
      <c r="AI4218">
        <v>99.657340832028396</v>
      </c>
      <c r="AJ4218">
        <v>114.993623478139</v>
      </c>
      <c r="AK4218">
        <v>6.6520279255938703</v>
      </c>
      <c r="AL4218">
        <v>90.536665551056203</v>
      </c>
      <c r="AM4218">
        <v>100.61921494841</v>
      </c>
      <c r="AN4218">
        <v>1.0000000118389301</v>
      </c>
    </row>
    <row r="4219" spans="1:40" x14ac:dyDescent="0.25">
      <c r="A4219" t="str">
        <f>"20190312150738650"</f>
        <v>20190312150738650</v>
      </c>
      <c r="B4219" t="str">
        <f>"1552374458644311"</f>
        <v>1552374458644311</v>
      </c>
      <c r="C4219" t="s">
        <v>40</v>
      </c>
      <c r="D4219">
        <v>4.5902699999999896</v>
      </c>
      <c r="E4219">
        <v>0.40768759999999998</v>
      </c>
      <c r="F4219" t="s">
        <v>42</v>
      </c>
      <c r="G4219">
        <v>-490.76440000000002</v>
      </c>
      <c r="H4219" s="1">
        <v>-3.7909009999999998E-6</v>
      </c>
      <c r="I4219">
        <v>267.95170000000002</v>
      </c>
      <c r="J4219">
        <v>-488.62810000000002</v>
      </c>
      <c r="K4219">
        <v>1.1159140000000001</v>
      </c>
      <c r="L4219">
        <v>274.40460000000002</v>
      </c>
      <c r="M4219">
        <v>-0.68452349999999995</v>
      </c>
      <c r="N4219">
        <v>0</v>
      </c>
      <c r="O4219">
        <v>-0.72884979999999999</v>
      </c>
      <c r="P4219">
        <v>-0.53813299999999997</v>
      </c>
      <c r="Q4219">
        <v>-2.102447E-2</v>
      </c>
      <c r="R4219">
        <v>-0.84259810000000002</v>
      </c>
      <c r="S4219">
        <v>-0.9861145</v>
      </c>
      <c r="T4219">
        <v>-0.49931009999999998</v>
      </c>
      <c r="U4219">
        <v>-2.9227289999999999</v>
      </c>
      <c r="V4219">
        <v>-0.1844721</v>
      </c>
      <c r="W4219">
        <v>-9.3500779999999995E-3</v>
      </c>
      <c r="X4219">
        <v>0.98279329999999998</v>
      </c>
      <c r="Y4219">
        <v>-0.41701159999999998</v>
      </c>
      <c r="Z4219">
        <v>9.2826510000000001E-2</v>
      </c>
      <c r="AA4219">
        <v>0.90414850000000002</v>
      </c>
      <c r="AB4219">
        <v>21</v>
      </c>
      <c r="AC4219">
        <v>-2.1362999999999999</v>
      </c>
      <c r="AD4219">
        <v>-1.1159177909010001</v>
      </c>
      <c r="AE4219">
        <v>-6.4528999999999996</v>
      </c>
      <c r="AF4219">
        <v>-2.7853438408186499</v>
      </c>
      <c r="AG4219">
        <v>-1.1159177909010001</v>
      </c>
      <c r="AH4219">
        <v>6.00434822097845</v>
      </c>
      <c r="AI4219">
        <v>99.569770653323005</v>
      </c>
      <c r="AJ4219">
        <v>114.886009809296</v>
      </c>
      <c r="AK4219">
        <v>6.7123476061958298</v>
      </c>
      <c r="AL4219">
        <v>90.535727800182201</v>
      </c>
      <c r="AM4219">
        <v>100.630826083035</v>
      </c>
      <c r="AN4219">
        <v>1.00000002508095</v>
      </c>
    </row>
    <row r="4220" spans="1:40" x14ac:dyDescent="0.25">
      <c r="A4220" t="str">
        <f>"20190312150738660"</f>
        <v>20190312150738660</v>
      </c>
      <c r="B4220" t="str">
        <f>"1552374458654072"</f>
        <v>1552374458654072</v>
      </c>
      <c r="C4220" t="s">
        <v>40</v>
      </c>
      <c r="D4220">
        <v>4.6044199999999904</v>
      </c>
      <c r="E4220">
        <v>0.40806759999999997</v>
      </c>
      <c r="F4220" t="s">
        <v>42</v>
      </c>
      <c r="G4220">
        <v>-490.81330000000003</v>
      </c>
      <c r="H4220" s="1">
        <v>-3.7558900000000001E-6</v>
      </c>
      <c r="I4220">
        <v>267.83980000000003</v>
      </c>
      <c r="J4220">
        <v>-488.69889999999998</v>
      </c>
      <c r="K4220">
        <v>1.115917</v>
      </c>
      <c r="L4220">
        <v>274.32069999999999</v>
      </c>
      <c r="M4220">
        <v>-0.68073090000000003</v>
      </c>
      <c r="N4220">
        <v>0</v>
      </c>
      <c r="O4220">
        <v>-0.73239319999999997</v>
      </c>
      <c r="P4220">
        <v>-0.53335259999999995</v>
      </c>
      <c r="Q4220">
        <v>-2.075368E-2</v>
      </c>
      <c r="R4220">
        <v>-0.84563880000000002</v>
      </c>
      <c r="S4220">
        <v>-0.97393799999999997</v>
      </c>
      <c r="T4220">
        <v>-0.49737170000000003</v>
      </c>
      <c r="U4220">
        <v>-2.9259949999999999</v>
      </c>
      <c r="V4220">
        <v>-0.18494440000000001</v>
      </c>
      <c r="W4220">
        <v>-9.0861650000000002E-3</v>
      </c>
      <c r="X4220">
        <v>0.982707</v>
      </c>
      <c r="Y4220">
        <v>-0.41599770000000003</v>
      </c>
      <c r="Z4220">
        <v>9.3254180000000006E-2</v>
      </c>
      <c r="AA4220">
        <v>0.90457149999999997</v>
      </c>
      <c r="AB4220">
        <v>21</v>
      </c>
      <c r="AC4220">
        <v>-2.1144000000000398</v>
      </c>
      <c r="AD4220">
        <v>-1.1159207558899999</v>
      </c>
      <c r="AE4220">
        <v>-6.4808999999999601</v>
      </c>
      <c r="AF4220">
        <v>-2.7887442417378701</v>
      </c>
      <c r="AG4220">
        <v>-1.1159207558899999</v>
      </c>
      <c r="AH4220">
        <v>6.0250928701813304</v>
      </c>
      <c r="AI4220">
        <v>99.541141954026202</v>
      </c>
      <c r="AJ4220">
        <v>114.837293965309</v>
      </c>
      <c r="AK4220">
        <v>6.7323188927413504</v>
      </c>
      <c r="AL4220">
        <v>90.520606060308594</v>
      </c>
      <c r="AM4220">
        <v>100.65833573611999</v>
      </c>
      <c r="AN4220">
        <v>1.0000000186673801</v>
      </c>
    </row>
    <row r="4221" spans="1:40" x14ac:dyDescent="0.25">
      <c r="A4221" t="str">
        <f>"20190312150738672"</f>
        <v>20190312150738672</v>
      </c>
      <c r="B4221" t="str">
        <f>"1552374458663832"</f>
        <v>1552374458663832</v>
      </c>
      <c r="C4221" t="s">
        <v>40</v>
      </c>
      <c r="D4221">
        <v>4.5870800000000003</v>
      </c>
      <c r="E4221">
        <v>0.40845779999999998</v>
      </c>
      <c r="F4221" t="s">
        <v>42</v>
      </c>
      <c r="G4221">
        <v>-490.85410000000002</v>
      </c>
      <c r="H4221" s="1">
        <v>-3.728173E-6</v>
      </c>
      <c r="I4221">
        <v>267.74979999999999</v>
      </c>
      <c r="J4221">
        <v>-488.76389999999998</v>
      </c>
      <c r="K4221">
        <v>1.1159190000000001</v>
      </c>
      <c r="L4221">
        <v>274.24279999999999</v>
      </c>
      <c r="M4221">
        <v>-0.67720259999999999</v>
      </c>
      <c r="N4221">
        <v>0</v>
      </c>
      <c r="O4221">
        <v>-0.73565689999999995</v>
      </c>
      <c r="P4221">
        <v>-0.528752</v>
      </c>
      <c r="Q4221">
        <v>-2.067751E-2</v>
      </c>
      <c r="R4221">
        <v>-0.84852469999999902</v>
      </c>
      <c r="S4221">
        <v>-0.96084590000000003</v>
      </c>
      <c r="T4221">
        <v>-0.49750179999999999</v>
      </c>
      <c r="U4221">
        <v>-2.929443</v>
      </c>
      <c r="V4221">
        <v>-0.18555930000000001</v>
      </c>
      <c r="W4221">
        <v>-9.0188790000000005E-3</v>
      </c>
      <c r="X4221">
        <v>0.98259169999999996</v>
      </c>
      <c r="Y4221">
        <v>-0.41561229999999899</v>
      </c>
      <c r="Z4221">
        <v>9.3967659999999995E-2</v>
      </c>
      <c r="AA4221">
        <v>0.9046748</v>
      </c>
      <c r="AB4221">
        <v>21</v>
      </c>
      <c r="AC4221">
        <v>-2.09020000000003</v>
      </c>
      <c r="AD4221">
        <v>-1.115922728173</v>
      </c>
      <c r="AE4221">
        <v>-6.4929999999999897</v>
      </c>
      <c r="AF4221">
        <v>-2.7851578930308798</v>
      </c>
      <c r="AG4221">
        <v>-1.115922728173</v>
      </c>
      <c r="AH4221">
        <v>6.0313222457496698</v>
      </c>
      <c r="AI4221">
        <v>99.535308660294803</v>
      </c>
      <c r="AJ4221">
        <v>114.786657254953</v>
      </c>
      <c r="AK4221">
        <v>6.7364112149155604</v>
      </c>
      <c r="AL4221">
        <v>90.516750697147501</v>
      </c>
      <c r="AM4221">
        <v>100.694182377064</v>
      </c>
      <c r="AN4221">
        <v>1.00000002145189</v>
      </c>
    </row>
    <row r="4222" spans="1:40" x14ac:dyDescent="0.25">
      <c r="A4222" t="str">
        <f>"20190312150738684"</f>
        <v>20190312150738684</v>
      </c>
      <c r="B4222" t="str">
        <f>"1552374458674569"</f>
        <v>1552374458674569</v>
      </c>
      <c r="C4222" t="s">
        <v>40</v>
      </c>
      <c r="D4222">
        <v>4.7084519999999896</v>
      </c>
      <c r="E4222">
        <v>0.40842669999999998</v>
      </c>
      <c r="F4222" t="s">
        <v>42</v>
      </c>
      <c r="G4222">
        <v>-490.89769999999999</v>
      </c>
      <c r="H4222" s="1">
        <v>-3.692078E-6</v>
      </c>
      <c r="I4222">
        <v>267.63869999999997</v>
      </c>
      <c r="J4222">
        <v>-488.83249999999998</v>
      </c>
      <c r="K4222">
        <v>1.1159209999999999</v>
      </c>
      <c r="L4222">
        <v>274.16019999999997</v>
      </c>
      <c r="M4222">
        <v>-0.67344919999999997</v>
      </c>
      <c r="N4222">
        <v>0</v>
      </c>
      <c r="O4222">
        <v>-0.73909409999999998</v>
      </c>
      <c r="P4222">
        <v>-0.52414280000000002</v>
      </c>
      <c r="Q4222">
        <v>-2.062135E-2</v>
      </c>
      <c r="R4222">
        <v>-0.85138049999999998</v>
      </c>
      <c r="S4222">
        <v>-0.94763180000000002</v>
      </c>
      <c r="T4222">
        <v>-0.49559320000000001</v>
      </c>
      <c r="U4222">
        <v>-2.9329529999999999</v>
      </c>
      <c r="V4222">
        <v>-0.18588830000000001</v>
      </c>
      <c r="W4222">
        <v>-8.96687E-3</v>
      </c>
      <c r="X4222">
        <v>0.98253000000000001</v>
      </c>
      <c r="Y4222">
        <v>-0.41500120000000001</v>
      </c>
      <c r="Z4222">
        <v>9.4348319999999999E-2</v>
      </c>
      <c r="AA4222">
        <v>0.90491569999999999</v>
      </c>
      <c r="AB4222">
        <v>21</v>
      </c>
      <c r="AC4222">
        <v>-2.0651999999999999</v>
      </c>
      <c r="AD4222">
        <v>-1.1159246920779999</v>
      </c>
      <c r="AE4222">
        <v>-6.5214999999999996</v>
      </c>
      <c r="AF4222">
        <v>-2.7915301904544201</v>
      </c>
      <c r="AG4222">
        <v>-1.1159246920779999</v>
      </c>
      <c r="AH4222">
        <v>6.0504379975401896</v>
      </c>
      <c r="AI4222">
        <v>99.507190814957795</v>
      </c>
      <c r="AJ4222">
        <v>114.767492207785</v>
      </c>
      <c r="AK4222">
        <v>6.7561622748929002</v>
      </c>
      <c r="AL4222">
        <v>90.513770674647205</v>
      </c>
      <c r="AM4222">
        <v>100.71336206695599</v>
      </c>
      <c r="AN4222">
        <v>1.00000003286724</v>
      </c>
    </row>
    <row r="4223" spans="1:40" x14ac:dyDescent="0.25">
      <c r="A4223" t="str">
        <f>"20190312150738694"</f>
        <v>20190312150738694</v>
      </c>
      <c r="B4223" t="str">
        <f>"1552374458684328"</f>
        <v>1552374458684328</v>
      </c>
      <c r="C4223" t="s">
        <v>40</v>
      </c>
      <c r="D4223">
        <v>4.6035810000000001</v>
      </c>
      <c r="E4223">
        <v>0.40842669999999998</v>
      </c>
      <c r="F4223" t="s">
        <v>42</v>
      </c>
      <c r="G4223">
        <v>-490.93970000000002</v>
      </c>
      <c r="H4223" s="1">
        <v>-3.6493279999999999E-6</v>
      </c>
      <c r="I4223">
        <v>267.51299999999998</v>
      </c>
      <c r="J4223">
        <v>-488.88709999999998</v>
      </c>
      <c r="K4223">
        <v>1.1159190000000001</v>
      </c>
      <c r="L4223">
        <v>274.09300000000002</v>
      </c>
      <c r="M4223">
        <v>-0.67039879999999996</v>
      </c>
      <c r="N4223">
        <v>0</v>
      </c>
      <c r="O4223">
        <v>-0.74186219999999903</v>
      </c>
      <c r="P4223">
        <v>-0.5203468</v>
      </c>
      <c r="Q4223">
        <v>-2.064881E-2</v>
      </c>
      <c r="R4223">
        <v>-0.85370550000000001</v>
      </c>
      <c r="S4223">
        <v>-0.93148799999999998</v>
      </c>
      <c r="T4223">
        <v>-0.4932801</v>
      </c>
      <c r="U4223">
        <v>-2.9383240000000002</v>
      </c>
      <c r="V4223">
        <v>-0.18621480000000001</v>
      </c>
      <c r="W4223">
        <v>-8.9981079999999995E-3</v>
      </c>
      <c r="X4223">
        <v>0.98246789999999995</v>
      </c>
      <c r="Y4223">
        <v>-0.41624359999999999</v>
      </c>
      <c r="Z4223">
        <v>9.4375829999999994E-2</v>
      </c>
      <c r="AA4223">
        <v>0.90434210000000004</v>
      </c>
      <c r="AB4223">
        <v>21</v>
      </c>
      <c r="AC4223">
        <v>-2.0526000000000399</v>
      </c>
      <c r="AD4223">
        <v>-1.1159226493279999</v>
      </c>
      <c r="AE4223">
        <v>-6.58000000000004</v>
      </c>
      <c r="AF4223">
        <v>-2.8149908787062499</v>
      </c>
      <c r="AG4223">
        <v>-1.1159226493279999</v>
      </c>
      <c r="AH4223">
        <v>6.0983140359420398</v>
      </c>
      <c r="AI4223">
        <v>99.433089743513094</v>
      </c>
      <c r="AJ4223">
        <v>114.778117846283</v>
      </c>
      <c r="AK4223">
        <v>6.8087363796412497</v>
      </c>
      <c r="AL4223">
        <v>90.515560545531798</v>
      </c>
      <c r="AM4223">
        <v>100.73240526496799</v>
      </c>
      <c r="AN4223">
        <v>1.0000000461085099</v>
      </c>
    </row>
    <row r="4224" spans="1:40" x14ac:dyDescent="0.25">
      <c r="A4224" t="str">
        <f>"20190312150738704"</f>
        <v>20190312150738704</v>
      </c>
      <c r="B4224" t="str">
        <f>"1552374458694088"</f>
        <v>1552374458694088</v>
      </c>
      <c r="C4224" t="s">
        <v>40</v>
      </c>
      <c r="D4224">
        <v>4.5488609999999996</v>
      </c>
      <c r="E4224">
        <v>0.38668079999999999</v>
      </c>
      <c r="F4224" t="s">
        <v>42</v>
      </c>
      <c r="G4224">
        <v>-490.96519999999998</v>
      </c>
      <c r="H4224" s="1">
        <v>-3.623687E-6</v>
      </c>
      <c r="I4224">
        <v>267.43729999999999</v>
      </c>
      <c r="J4224">
        <v>-488.94920000000002</v>
      </c>
      <c r="K4224">
        <v>1.1159159999999999</v>
      </c>
      <c r="L4224">
        <v>274.01670000000001</v>
      </c>
      <c r="M4224">
        <v>-0.66691940000000005</v>
      </c>
      <c r="N4224">
        <v>0</v>
      </c>
      <c r="O4224">
        <v>-0.74499199999999999</v>
      </c>
      <c r="P4224">
        <v>-0.51616419999999996</v>
      </c>
      <c r="Q4224">
        <v>-2.076281E-2</v>
      </c>
      <c r="R4224">
        <v>-0.85623819999999995</v>
      </c>
      <c r="S4224">
        <v>-0.91864009999999996</v>
      </c>
      <c r="T4224">
        <v>-0.49330170000000001</v>
      </c>
      <c r="U4224">
        <v>-2.9422000000000001</v>
      </c>
      <c r="V4224">
        <v>-0.1864188</v>
      </c>
      <c r="W4224">
        <v>-9.1137560000000006E-3</v>
      </c>
      <c r="X4224">
        <v>0.98242810000000003</v>
      </c>
      <c r="Y4224">
        <v>-0.41594300000000001</v>
      </c>
      <c r="Z4224">
        <v>9.5015849999999999E-2</v>
      </c>
      <c r="AA4224">
        <v>0.90441329999999998</v>
      </c>
      <c r="AB4224">
        <v>21</v>
      </c>
      <c r="AC4224">
        <v>-2.01599999999996</v>
      </c>
      <c r="AD4224">
        <v>-1.1159196236869999</v>
      </c>
      <c r="AE4224">
        <v>-6.5794000000000201</v>
      </c>
      <c r="AF4224">
        <v>-2.81236296963211</v>
      </c>
      <c r="AG4224">
        <v>-1.1159196236869999</v>
      </c>
      <c r="AH4224">
        <v>6.0866847281767997</v>
      </c>
      <c r="AI4224">
        <v>99.4491725778296</v>
      </c>
      <c r="AJ4224">
        <v>114.79937774424</v>
      </c>
      <c r="AK4224">
        <v>6.79723422133653</v>
      </c>
      <c r="AL4224">
        <v>90.522186983021996</v>
      </c>
      <c r="AM4224">
        <v>100.74431429810799</v>
      </c>
      <c r="AN4224">
        <v>1.0000000006057299</v>
      </c>
    </row>
    <row r="4225" spans="1:40" x14ac:dyDescent="0.25">
      <c r="A4225" t="str">
        <f>"20190312150738714"</f>
        <v>20190312150738714</v>
      </c>
      <c r="B4225" t="str">
        <f>"1552374458703848"</f>
        <v>1552374458703848</v>
      </c>
      <c r="C4225" t="s">
        <v>40</v>
      </c>
      <c r="D4225">
        <v>4.5636599999999996</v>
      </c>
      <c r="E4225">
        <v>0.3851752</v>
      </c>
      <c r="F4225" t="s">
        <v>41</v>
      </c>
      <c r="G4225">
        <v>-489.19490000000002</v>
      </c>
      <c r="H4225">
        <v>0.98746279999999997</v>
      </c>
      <c r="I4225">
        <v>273.0342</v>
      </c>
      <c r="J4225">
        <v>-489.00839999999999</v>
      </c>
      <c r="K4225">
        <v>1.11591</v>
      </c>
      <c r="L4225">
        <v>273.94290000000001</v>
      </c>
      <c r="M4225">
        <v>-0.66355430000000004</v>
      </c>
      <c r="N4225">
        <v>0</v>
      </c>
      <c r="O4225">
        <v>-0.7479905</v>
      </c>
      <c r="P4225">
        <v>-0.51234570000000001</v>
      </c>
      <c r="Q4225">
        <v>-2.0972020000000001E-2</v>
      </c>
      <c r="R4225">
        <v>-0.85852329999999999</v>
      </c>
      <c r="S4225">
        <v>-0.75949100000000003</v>
      </c>
      <c r="T4225">
        <v>-0.39696769999999998</v>
      </c>
      <c r="U4225">
        <v>-3.0361940000000001</v>
      </c>
      <c r="V4225">
        <v>-0.1863599</v>
      </c>
      <c r="W4225">
        <v>-9.3197239999999997E-3</v>
      </c>
      <c r="X4225">
        <v>0.98243740000000002</v>
      </c>
      <c r="Y4225">
        <v>-0.46276149999999999</v>
      </c>
      <c r="Z4225">
        <v>7.3756840000000004E-2</v>
      </c>
      <c r="AA4225">
        <v>0.88340919999999901</v>
      </c>
      <c r="AB4225">
        <v>21</v>
      </c>
      <c r="AC4225">
        <v>-0.18650000000002301</v>
      </c>
      <c r="AD4225">
        <v>-0.12844719999999901</v>
      </c>
      <c r="AE4225">
        <v>-0.90870000000001006</v>
      </c>
      <c r="AF4225">
        <v>-0.45479943150582702</v>
      </c>
      <c r="AG4225">
        <v>-0.12844719999999901</v>
      </c>
      <c r="AH4225">
        <v>0.78841825537288102</v>
      </c>
      <c r="AI4225">
        <v>98.032611505842496</v>
      </c>
      <c r="AJ4225">
        <v>119.978517536894</v>
      </c>
      <c r="AK4225">
        <v>0.91920865503490601</v>
      </c>
      <c r="AL4225">
        <v>90.533988551175099</v>
      </c>
      <c r="AM4225">
        <v>100.740899253622</v>
      </c>
      <c r="AN4225">
        <v>1.0000000572511001</v>
      </c>
    </row>
    <row r="4226" spans="1:40" x14ac:dyDescent="0.25">
      <c r="A4226" t="str">
        <f>"20190312150738727"</f>
        <v>20190312150738727</v>
      </c>
      <c r="B4226" t="str">
        <f>"1552374458724343"</f>
        <v>1552374458724343</v>
      </c>
      <c r="C4226" t="s">
        <v>40</v>
      </c>
      <c r="D4226">
        <v>4.5877100000000004</v>
      </c>
      <c r="E4226">
        <v>0.38485069999999999</v>
      </c>
      <c r="F4226" t="s">
        <v>41</v>
      </c>
      <c r="G4226">
        <v>-489.2242</v>
      </c>
      <c r="H4226">
        <v>0.99975440000000004</v>
      </c>
      <c r="I4226">
        <v>273.04930000000002</v>
      </c>
      <c r="J4226">
        <v>-489.07209999999998</v>
      </c>
      <c r="K4226">
        <v>1.1159079999999999</v>
      </c>
      <c r="L4226">
        <v>273.86290000000002</v>
      </c>
      <c r="M4226">
        <v>-0.6598967</v>
      </c>
      <c r="N4226">
        <v>0</v>
      </c>
      <c r="O4226">
        <v>-0.75121930000000003</v>
      </c>
      <c r="P4226">
        <v>-0.50819300000000001</v>
      </c>
      <c r="Q4226">
        <v>-2.1154280000000001E-2</v>
      </c>
      <c r="R4226">
        <v>-0.86098339999999995</v>
      </c>
      <c r="S4226">
        <v>-0.73577879999999996</v>
      </c>
      <c r="T4226">
        <v>-0.39594220000000002</v>
      </c>
      <c r="U4226">
        <v>-3.0456850000000002</v>
      </c>
      <c r="V4226">
        <v>-0.18630620000000001</v>
      </c>
      <c r="W4226">
        <v>-9.4984939999999997E-3</v>
      </c>
      <c r="X4226">
        <v>0.98244580000000004</v>
      </c>
      <c r="Y4226">
        <v>-0.46556639999999999</v>
      </c>
      <c r="Z4226">
        <v>7.3863600000000001E-2</v>
      </c>
      <c r="AA4226">
        <v>0.88192519999999996</v>
      </c>
      <c r="AB4226">
        <v>21</v>
      </c>
      <c r="AC4226">
        <v>-0.152100000000018</v>
      </c>
      <c r="AD4226">
        <v>-0.116153599999999</v>
      </c>
      <c r="AE4226">
        <v>-0.81360000000000798</v>
      </c>
      <c r="AF4226">
        <v>-0.414511800725331</v>
      </c>
      <c r="AG4226">
        <v>-0.116153599999999</v>
      </c>
      <c r="AH4226">
        <v>0.69789160287509699</v>
      </c>
      <c r="AI4226">
        <v>98.143595409186503</v>
      </c>
      <c r="AJ4226">
        <v>120.708138496282</v>
      </c>
      <c r="AK4226">
        <v>0.81997828086912705</v>
      </c>
      <c r="AL4226">
        <v>90.544231809457401</v>
      </c>
      <c r="AM4226">
        <v>100.737786538972</v>
      </c>
      <c r="AN4226">
        <v>0.99999998574217397</v>
      </c>
    </row>
    <row r="4227" spans="1:40" x14ac:dyDescent="0.25">
      <c r="A4227" t="str">
        <f>"20190312150738738"</f>
        <v>20190312150738738</v>
      </c>
      <c r="B4227" t="str">
        <f>"1552374458734104"</f>
        <v>1552374458734104</v>
      </c>
      <c r="C4227" t="s">
        <v>40</v>
      </c>
      <c r="D4227">
        <v>4.5902810000000001</v>
      </c>
      <c r="E4227">
        <v>0.38481130000000002</v>
      </c>
      <c r="F4227" t="s">
        <v>41</v>
      </c>
      <c r="G4227">
        <v>-489.30099999999999</v>
      </c>
      <c r="H4227">
        <v>0.9863788</v>
      </c>
      <c r="I4227">
        <v>272.8922</v>
      </c>
      <c r="J4227">
        <v>-489.13479999999998</v>
      </c>
      <c r="K4227">
        <v>1.1159019999999999</v>
      </c>
      <c r="L4227">
        <v>273.78320000000002</v>
      </c>
      <c r="M4227">
        <v>-0.65625250000000002</v>
      </c>
      <c r="N4227">
        <v>0</v>
      </c>
      <c r="O4227">
        <v>-0.75440469999999904</v>
      </c>
      <c r="P4227">
        <v>-0.50407150000000001</v>
      </c>
      <c r="Q4227">
        <v>-2.1466639999999999E-2</v>
      </c>
      <c r="R4227">
        <v>-0.86339500000000002</v>
      </c>
      <c r="S4227">
        <v>-0.71829219999999905</v>
      </c>
      <c r="T4227">
        <v>-0.40690690000000002</v>
      </c>
      <c r="U4227">
        <v>-3.0503849999999999</v>
      </c>
      <c r="V4227">
        <v>-0.18623770000000001</v>
      </c>
      <c r="W4227">
        <v>-9.8067090000000003E-3</v>
      </c>
      <c r="X4227">
        <v>0.98245579999999999</v>
      </c>
      <c r="Y4227">
        <v>-0.46640910000000002</v>
      </c>
      <c r="Z4227">
        <v>7.635198E-2</v>
      </c>
      <c r="AA4227">
        <v>0.88126779999999905</v>
      </c>
      <c r="AB4227">
        <v>21</v>
      </c>
      <c r="AC4227">
        <v>-0.16620000000000301</v>
      </c>
      <c r="AD4227">
        <v>-0.12952319999999901</v>
      </c>
      <c r="AE4227">
        <v>-0.891000000000019</v>
      </c>
      <c r="AF4227">
        <v>-0.45019271226426</v>
      </c>
      <c r="AG4227">
        <v>-0.12952319999999901</v>
      </c>
      <c r="AH4227">
        <v>0.76568788679984301</v>
      </c>
      <c r="AI4227">
        <v>98.296497545177104</v>
      </c>
      <c r="AJ4227">
        <v>120.453761862503</v>
      </c>
      <c r="AK4227">
        <v>0.89762334946574396</v>
      </c>
      <c r="AL4227">
        <v>90.561892028755594</v>
      </c>
      <c r="AM4227">
        <v>100.73382355923</v>
      </c>
      <c r="AN4227">
        <v>1.00000002569817</v>
      </c>
    </row>
    <row r="4228" spans="1:40" x14ac:dyDescent="0.25">
      <c r="A4228" t="str">
        <f>"20190312150738749"</f>
        <v>20190312150738749</v>
      </c>
      <c r="B4228" t="str">
        <f>"1552374458743864"</f>
        <v>1552374458743864</v>
      </c>
      <c r="C4228" t="s">
        <v>40</v>
      </c>
      <c r="D4228">
        <v>4.5582739999999999</v>
      </c>
      <c r="E4228">
        <v>0.3854438</v>
      </c>
      <c r="F4228" t="s">
        <v>41</v>
      </c>
      <c r="G4228">
        <v>-489.34109999999998</v>
      </c>
      <c r="H4228">
        <v>0.99528539999999999</v>
      </c>
      <c r="I4228">
        <v>272.88839999999999</v>
      </c>
      <c r="J4228">
        <v>-489.19940000000003</v>
      </c>
      <c r="K4228">
        <v>1.1158939999999999</v>
      </c>
      <c r="L4228">
        <v>273.70030000000003</v>
      </c>
      <c r="M4228">
        <v>-0.65245589999999998</v>
      </c>
      <c r="N4228">
        <v>0</v>
      </c>
      <c r="O4228">
        <v>-0.75769089999999995</v>
      </c>
      <c r="P4228">
        <v>-0.49977830000000001</v>
      </c>
      <c r="Q4228">
        <v>-2.18794E-2</v>
      </c>
      <c r="R4228">
        <v>-0.86587709999999996</v>
      </c>
      <c r="S4228">
        <v>-0.70306400000000002</v>
      </c>
      <c r="T4228">
        <v>-0.41147400000000001</v>
      </c>
      <c r="U4228">
        <v>-3.0539860000000001</v>
      </c>
      <c r="V4228">
        <v>-0.18617040000000001</v>
      </c>
      <c r="W4228">
        <v>-1.021504E-2</v>
      </c>
      <c r="X4228">
        <v>0.98246440000000002</v>
      </c>
      <c r="Y4228">
        <v>-0.46638849999999998</v>
      </c>
      <c r="Z4228">
        <v>7.7746029999999994E-2</v>
      </c>
      <c r="AA4228">
        <v>0.88115679999999996</v>
      </c>
      <c r="AB4228">
        <v>21</v>
      </c>
      <c r="AC4228">
        <v>-0.141699999999957</v>
      </c>
      <c r="AD4228">
        <v>-0.120608599999999</v>
      </c>
      <c r="AE4228">
        <v>-0.81190000000003604</v>
      </c>
      <c r="AF4228">
        <v>-0.41355136675120602</v>
      </c>
      <c r="AG4228">
        <v>-0.120608599999999</v>
      </c>
      <c r="AH4228">
        <v>0.692857453253652</v>
      </c>
      <c r="AI4228">
        <v>98.501225571282006</v>
      </c>
      <c r="AJ4228">
        <v>120.832047578976</v>
      </c>
      <c r="AK4228">
        <v>0.81585698370785897</v>
      </c>
      <c r="AL4228">
        <v>90.585288840531206</v>
      </c>
      <c r="AM4228">
        <v>100.729943047514</v>
      </c>
      <c r="AN4228">
        <v>1.0000000310728601</v>
      </c>
    </row>
    <row r="4229" spans="1:40" x14ac:dyDescent="0.25">
      <c r="A4229" t="str">
        <f>"20190312150738760"</f>
        <v>20190312150738760</v>
      </c>
      <c r="B4229" t="str">
        <f>"1552374458754600"</f>
        <v>1552374458754600</v>
      </c>
      <c r="C4229" t="s">
        <v>40</v>
      </c>
      <c r="D4229">
        <v>4.5593629999999896</v>
      </c>
      <c r="E4229">
        <v>0.38600600000000002</v>
      </c>
      <c r="F4229" t="s">
        <v>41</v>
      </c>
      <c r="G4229">
        <v>-489.41390000000001</v>
      </c>
      <c r="H4229">
        <v>0.98768060000000002</v>
      </c>
      <c r="I4229">
        <v>272.75400000000002</v>
      </c>
      <c r="J4229">
        <v>-489.26069999999999</v>
      </c>
      <c r="K4229">
        <v>1.1158859999999999</v>
      </c>
      <c r="L4229">
        <v>273.62099999999998</v>
      </c>
      <c r="M4229">
        <v>-0.64881919999999904</v>
      </c>
      <c r="N4229">
        <v>0</v>
      </c>
      <c r="O4229">
        <v>-0.76080749999999997</v>
      </c>
      <c r="P4229">
        <v>-0.49589519999999998</v>
      </c>
      <c r="Q4229">
        <v>-2.1929830000000001E-2</v>
      </c>
      <c r="R4229">
        <v>-0.86810549999999997</v>
      </c>
      <c r="S4229">
        <v>-0.69226069999999995</v>
      </c>
      <c r="T4229">
        <v>-0.41381499999999999</v>
      </c>
      <c r="U4229">
        <v>-3.0547179999999998</v>
      </c>
      <c r="V4229">
        <v>-0.1858639</v>
      </c>
      <c r="W4229">
        <v>-1.025701E-2</v>
      </c>
      <c r="X4229">
        <v>0.98252200000000001</v>
      </c>
      <c r="Y4229">
        <v>-0.4651787</v>
      </c>
      <c r="Z4229">
        <v>7.8810669999999999E-2</v>
      </c>
      <c r="AA4229">
        <v>0.88170159999999997</v>
      </c>
      <c r="AB4229">
        <v>21</v>
      </c>
      <c r="AC4229">
        <v>-0.15320000000002601</v>
      </c>
      <c r="AD4229">
        <v>-0.1282054</v>
      </c>
      <c r="AE4229">
        <v>-0.86699999999996102</v>
      </c>
      <c r="AF4229">
        <v>-0.43675534506460401</v>
      </c>
      <c r="AG4229">
        <v>-0.1282054</v>
      </c>
      <c r="AH4229">
        <v>0.743335414622177</v>
      </c>
      <c r="AI4229">
        <v>98.458145682640193</v>
      </c>
      <c r="AJ4229">
        <v>120.436859454215</v>
      </c>
      <c r="AK4229">
        <v>0.87163030848128797</v>
      </c>
      <c r="AL4229">
        <v>90.587693666221398</v>
      </c>
      <c r="AM4229">
        <v>100.712073558724</v>
      </c>
      <c r="AN4229">
        <v>1.0000000380306699</v>
      </c>
    </row>
    <row r="4230" spans="1:40" x14ac:dyDescent="0.25">
      <c r="A4230" t="str">
        <f>"20190312150738772"</f>
        <v>20190312150738772</v>
      </c>
      <c r="B4230" t="str">
        <f>"1552374458764359"</f>
        <v>1552374458764359</v>
      </c>
      <c r="C4230" t="s">
        <v>40</v>
      </c>
      <c r="D4230">
        <v>4.5708679999999999</v>
      </c>
      <c r="E4230">
        <v>0.38637630000000001</v>
      </c>
      <c r="F4230" t="s">
        <v>41</v>
      </c>
      <c r="G4230">
        <v>-489.46559999999999</v>
      </c>
      <c r="H4230">
        <v>0.99166339999999997</v>
      </c>
      <c r="I4230">
        <v>272.70400000000001</v>
      </c>
      <c r="J4230">
        <v>-489.32220000000001</v>
      </c>
      <c r="K4230">
        <v>1.1158779999999999</v>
      </c>
      <c r="L4230">
        <v>273.54039999999998</v>
      </c>
      <c r="M4230">
        <v>-0.64512409999999998</v>
      </c>
      <c r="N4230">
        <v>0</v>
      </c>
      <c r="O4230">
        <v>-0.76394300000000004</v>
      </c>
      <c r="P4230">
        <v>-0.4920505</v>
      </c>
      <c r="Q4230">
        <v>-2.2266979999999999E-2</v>
      </c>
      <c r="R4230">
        <v>-0.87028189999999905</v>
      </c>
      <c r="S4230">
        <v>-0.6824036</v>
      </c>
      <c r="T4230">
        <v>-0.4138619</v>
      </c>
      <c r="U4230">
        <v>-3.055542</v>
      </c>
      <c r="V4230">
        <v>-0.1854384</v>
      </c>
      <c r="W4230">
        <v>-1.058372E-2</v>
      </c>
      <c r="X4230">
        <v>0.98259890000000005</v>
      </c>
      <c r="Y4230">
        <v>-0.4636614</v>
      </c>
      <c r="Z4230">
        <v>7.9459589999999997E-2</v>
      </c>
      <c r="AA4230">
        <v>0.88244219999999896</v>
      </c>
      <c r="AB4230">
        <v>21</v>
      </c>
      <c r="AC4230">
        <v>-0.14339999999998501</v>
      </c>
      <c r="AD4230">
        <v>-0.12421459999999999</v>
      </c>
      <c r="AE4230">
        <v>-0.83639999999996895</v>
      </c>
      <c r="AF4230">
        <v>-0.42105525964430102</v>
      </c>
      <c r="AG4230">
        <v>-0.12421459999999999</v>
      </c>
      <c r="AH4230">
        <v>0.71620291230045696</v>
      </c>
      <c r="AI4230">
        <v>98.503387225249</v>
      </c>
      <c r="AJ4230">
        <v>120.45124472214999</v>
      </c>
      <c r="AK4230">
        <v>0.840037743268091</v>
      </c>
      <c r="AL4230">
        <v>90.6064138050358</v>
      </c>
      <c r="AM4230">
        <v>100.68729869162701</v>
      </c>
      <c r="AN4230">
        <v>1.0000000068024</v>
      </c>
    </row>
    <row r="4231" spans="1:40" x14ac:dyDescent="0.25">
      <c r="A4231" t="str">
        <f>"20190312150738782"</f>
        <v>20190312150738782</v>
      </c>
      <c r="B4231" t="str">
        <f>"1552374458774120"</f>
        <v>1552374458774120</v>
      </c>
      <c r="C4231" t="s">
        <v>40</v>
      </c>
      <c r="D4231">
        <v>4.5830159999999998</v>
      </c>
      <c r="E4231">
        <v>0.3870479</v>
      </c>
      <c r="F4231" t="s">
        <v>41</v>
      </c>
      <c r="G4231">
        <v>-489.52569999999997</v>
      </c>
      <c r="H4231">
        <v>0.98838060000000005</v>
      </c>
      <c r="I4231">
        <v>272.61500000000001</v>
      </c>
      <c r="J4231">
        <v>-489.3836</v>
      </c>
      <c r="K4231">
        <v>1.115869</v>
      </c>
      <c r="L4231">
        <v>273.45949999999999</v>
      </c>
      <c r="M4231">
        <v>-0.64140350000000002</v>
      </c>
      <c r="N4231">
        <v>0</v>
      </c>
      <c r="O4231">
        <v>-0.76706969999999997</v>
      </c>
      <c r="P4231">
        <v>-0.48805300000000001</v>
      </c>
      <c r="Q4231">
        <v>-2.2426930000000001E-2</v>
      </c>
      <c r="R4231">
        <v>-0.87252619999999903</v>
      </c>
      <c r="S4231">
        <v>-0.67144780000000004</v>
      </c>
      <c r="T4231">
        <v>-0.42097810000000002</v>
      </c>
      <c r="U4231">
        <v>-3.0567929999999999</v>
      </c>
      <c r="V4231">
        <v>-0.18516589999999999</v>
      </c>
      <c r="W4231">
        <v>-1.0735430000000001E-2</v>
      </c>
      <c r="X4231">
        <v>0.98264870000000004</v>
      </c>
      <c r="Y4231">
        <v>-0.46247759999999999</v>
      </c>
      <c r="Z4231">
        <v>8.1433560000000002E-2</v>
      </c>
      <c r="AA4231">
        <v>0.88288339999999998</v>
      </c>
      <c r="AB4231">
        <v>21</v>
      </c>
      <c r="AC4231">
        <v>-0.14209999999997</v>
      </c>
      <c r="AD4231">
        <v>-0.127488399999999</v>
      </c>
      <c r="AE4231">
        <v>-0.84449999999998204</v>
      </c>
      <c r="AF4231">
        <v>-0.423327198510425</v>
      </c>
      <c r="AG4231">
        <v>-0.127488399999999</v>
      </c>
      <c r="AH4231">
        <v>0.72298666881519502</v>
      </c>
      <c r="AI4231">
        <v>98.652306384256505</v>
      </c>
      <c r="AJ4231">
        <v>120.35006508526401</v>
      </c>
      <c r="AK4231">
        <v>0.84744848363646197</v>
      </c>
      <c r="AL4231">
        <v>90.615106606519007</v>
      </c>
      <c r="AM4231">
        <v>100.671426357214</v>
      </c>
      <c r="AN4231">
        <v>1.0000000637958899</v>
      </c>
    </row>
    <row r="4232" spans="1:40" x14ac:dyDescent="0.25">
      <c r="A4232" t="str">
        <f>"20190312150738793"</f>
        <v>20190312150738793</v>
      </c>
      <c r="B4232" t="str">
        <f>"1552374458783880"</f>
        <v>1552374458783880</v>
      </c>
      <c r="C4232" t="s">
        <v>40</v>
      </c>
      <c r="D4232">
        <v>4.633731</v>
      </c>
      <c r="E4232">
        <v>0.38752700000000001</v>
      </c>
      <c r="F4232" t="s">
        <v>42</v>
      </c>
      <c r="G4232">
        <v>-491.13569999999999</v>
      </c>
      <c r="H4232" s="1">
        <v>-2.7816639999999998E-6</v>
      </c>
      <c r="I4232">
        <v>265.36880000000002</v>
      </c>
      <c r="J4232">
        <v>-489.44009999999997</v>
      </c>
      <c r="K4232">
        <v>1.115856</v>
      </c>
      <c r="L4232">
        <v>273.38389999999998</v>
      </c>
      <c r="M4232">
        <v>-0.63793569999999999</v>
      </c>
      <c r="N4232">
        <v>0</v>
      </c>
      <c r="O4232">
        <v>-0.76995599999999997</v>
      </c>
      <c r="P4232">
        <v>-0.48447109999999899</v>
      </c>
      <c r="Q4232">
        <v>-2.2185420000000001E-2</v>
      </c>
      <c r="R4232">
        <v>-0.87452600000000003</v>
      </c>
      <c r="S4232">
        <v>-0.66204830000000003</v>
      </c>
      <c r="T4232">
        <v>-0.4216433</v>
      </c>
      <c r="U4232">
        <v>-3.0571290000000002</v>
      </c>
      <c r="V4232">
        <v>-0.18476809999999999</v>
      </c>
      <c r="W4232">
        <v>-1.048412E-2</v>
      </c>
      <c r="X4232">
        <v>0.98272619999999999</v>
      </c>
      <c r="Y4232">
        <v>-0.4611036</v>
      </c>
      <c r="Z4232">
        <v>8.2171579999999994E-2</v>
      </c>
      <c r="AA4232">
        <v>0.88353340000000002</v>
      </c>
      <c r="AB4232">
        <v>21</v>
      </c>
      <c r="AC4232">
        <v>-1.69560000000001</v>
      </c>
      <c r="AD4232">
        <v>-1.115858781664</v>
      </c>
      <c r="AE4232">
        <v>-8.0150999999999595</v>
      </c>
      <c r="AF4232">
        <v>-3.7386147665535399</v>
      </c>
      <c r="AG4232">
        <v>-1.115858781664</v>
      </c>
      <c r="AH4232">
        <v>7.1215861285957196</v>
      </c>
      <c r="AI4232">
        <v>97.898340265705897</v>
      </c>
      <c r="AJ4232">
        <v>117.698098173888</v>
      </c>
      <c r="AK4232">
        <v>8.1203060398186899</v>
      </c>
      <c r="AL4232">
        <v>90.600706847380096</v>
      </c>
      <c r="AM4232">
        <v>100.648204742502</v>
      </c>
      <c r="AN4232">
        <v>0.99999997585811196</v>
      </c>
    </row>
    <row r="4233" spans="1:40" x14ac:dyDescent="0.25">
      <c r="A4233" t="str">
        <f>"20190312150738804"</f>
        <v>20190312150738804</v>
      </c>
      <c r="B4233" t="str">
        <f>"1552374458794616"</f>
        <v>1552374458794616</v>
      </c>
      <c r="C4233" t="s">
        <v>40</v>
      </c>
      <c r="D4233">
        <v>4.5887039999999999</v>
      </c>
      <c r="E4233">
        <v>0.38795800000000003</v>
      </c>
      <c r="F4233" t="s">
        <v>41</v>
      </c>
      <c r="G4233">
        <v>-489.6345</v>
      </c>
      <c r="H4233">
        <v>0.98998379999999997</v>
      </c>
      <c r="I4233">
        <v>272.47309999999999</v>
      </c>
      <c r="J4233">
        <v>-489.49939999999998</v>
      </c>
      <c r="K4233">
        <v>1.1158490000000001</v>
      </c>
      <c r="L4233">
        <v>273.30430000000001</v>
      </c>
      <c r="M4233">
        <v>-0.63427219999999995</v>
      </c>
      <c r="N4233">
        <v>0</v>
      </c>
      <c r="O4233">
        <v>-0.77297689999999997</v>
      </c>
      <c r="P4233">
        <v>-0.4805972</v>
      </c>
      <c r="Q4233">
        <v>-2.236983E-2</v>
      </c>
      <c r="R4233">
        <v>-0.87665659999999901</v>
      </c>
      <c r="S4233">
        <v>-0.65264889999999998</v>
      </c>
      <c r="T4233">
        <v>-0.42261979999999999</v>
      </c>
      <c r="U4233">
        <v>-3.0581360000000002</v>
      </c>
      <c r="V4233">
        <v>-0.18444440000000001</v>
      </c>
      <c r="W4233">
        <v>-1.065981E-2</v>
      </c>
      <c r="X4233">
        <v>0.98278520000000003</v>
      </c>
      <c r="Y4233">
        <v>-0.45956190000000002</v>
      </c>
      <c r="Z4233">
        <v>8.2986439999999995E-2</v>
      </c>
      <c r="AA4233">
        <v>0.88426019999999905</v>
      </c>
      <c r="AB4233">
        <v>20</v>
      </c>
      <c r="AC4233">
        <v>-0.13510000000002201</v>
      </c>
      <c r="AD4233">
        <v>-0.12586519999999901</v>
      </c>
      <c r="AE4233">
        <v>-0.83120000000002303</v>
      </c>
      <c r="AF4233">
        <v>-0.41358204726956999</v>
      </c>
      <c r="AG4233">
        <v>-0.12586519999999901</v>
      </c>
      <c r="AH4233">
        <v>0.71234977026788704</v>
      </c>
      <c r="AI4233">
        <v>98.687792863991604</v>
      </c>
      <c r="AJ4233">
        <v>120.138955355083</v>
      </c>
      <c r="AK4233">
        <v>0.83326727620580399</v>
      </c>
      <c r="AL4233">
        <v>90.610773655068598</v>
      </c>
      <c r="AM4233">
        <v>100.62935176322</v>
      </c>
      <c r="AN4233">
        <v>1.0000000587898099</v>
      </c>
    </row>
    <row r="4234" spans="1:40" x14ac:dyDescent="0.25">
      <c r="A4234" t="str">
        <f>"20190312150738815"</f>
        <v>20190312150738815</v>
      </c>
      <c r="B4234" t="str">
        <f>"1552374458804375"</f>
        <v>1552374458804375</v>
      </c>
      <c r="C4234" t="s">
        <v>40</v>
      </c>
      <c r="D4234">
        <v>4.5982859999999999</v>
      </c>
      <c r="E4234">
        <v>0.38831189999999999</v>
      </c>
      <c r="F4234" t="s">
        <v>41</v>
      </c>
      <c r="G4234">
        <v>-489.70729999999998</v>
      </c>
      <c r="H4234">
        <v>0.97968319999999998</v>
      </c>
      <c r="I4234">
        <v>272.3152</v>
      </c>
      <c r="J4234">
        <v>-489.55779999999999</v>
      </c>
      <c r="K4234">
        <v>1.115839</v>
      </c>
      <c r="L4234">
        <v>273.2244</v>
      </c>
      <c r="M4234">
        <v>-0.63060939999999999</v>
      </c>
      <c r="N4234">
        <v>0</v>
      </c>
      <c r="O4234">
        <v>-0.77596779999999999</v>
      </c>
      <c r="P4234">
        <v>-0.47654580000000002</v>
      </c>
      <c r="Q4234">
        <v>-2.2282440000000001E-2</v>
      </c>
      <c r="R4234">
        <v>-0.87886739999999997</v>
      </c>
      <c r="S4234">
        <v>-0.64212040000000004</v>
      </c>
      <c r="T4234">
        <v>-0.42105189999999998</v>
      </c>
      <c r="U4234">
        <v>-3.0593569999999999</v>
      </c>
      <c r="V4234">
        <v>-0.18433540000000001</v>
      </c>
      <c r="W4234">
        <v>-1.056727E-2</v>
      </c>
      <c r="X4234">
        <v>0.98280659999999997</v>
      </c>
      <c r="Y4234">
        <v>-0.45835540000000002</v>
      </c>
      <c r="Z4234">
        <v>8.328663E-2</v>
      </c>
      <c r="AA4234">
        <v>0.88485800000000003</v>
      </c>
      <c r="AB4234">
        <v>20</v>
      </c>
      <c r="AC4234">
        <v>-0.149499999999989</v>
      </c>
      <c r="AD4234">
        <v>-0.13615579999999899</v>
      </c>
      <c r="AE4234">
        <v>-0.90919999999999801</v>
      </c>
      <c r="AF4234">
        <v>-0.44761592928191801</v>
      </c>
      <c r="AG4234">
        <v>-0.13615579999999899</v>
      </c>
      <c r="AH4234">
        <v>0.78277586026248602</v>
      </c>
      <c r="AI4234">
        <v>98.5865534724132</v>
      </c>
      <c r="AJ4234">
        <v>119.76228357639199</v>
      </c>
      <c r="AK4234">
        <v>0.91194104493121197</v>
      </c>
      <c r="AL4234">
        <v>90.605471234855401</v>
      </c>
      <c r="AM4234">
        <v>100.62298716451301</v>
      </c>
      <c r="AN4234">
        <v>1.00000000994598</v>
      </c>
    </row>
    <row r="4235" spans="1:40" x14ac:dyDescent="0.25">
      <c r="A4235" t="str">
        <f>"20190312150738827"</f>
        <v>20190312150738827</v>
      </c>
      <c r="B4235" t="str">
        <f>"1552374458823896"</f>
        <v>1552374458823896</v>
      </c>
      <c r="C4235" t="s">
        <v>40</v>
      </c>
      <c r="D4235">
        <v>4.6583230000000002</v>
      </c>
      <c r="E4235">
        <v>0.39611259999999998</v>
      </c>
      <c r="F4235" t="s">
        <v>41</v>
      </c>
      <c r="G4235">
        <v>-489.74889999999999</v>
      </c>
      <c r="H4235">
        <v>0.98874110000000004</v>
      </c>
      <c r="I4235">
        <v>272.29820000000001</v>
      </c>
      <c r="J4235">
        <v>-489.61939999999998</v>
      </c>
      <c r="K4235">
        <v>1.115828</v>
      </c>
      <c r="L4235">
        <v>273.13979999999998</v>
      </c>
      <c r="M4235">
        <v>-0.62671519999999903</v>
      </c>
      <c r="N4235">
        <v>0</v>
      </c>
      <c r="O4235">
        <v>-0.77911629999999998</v>
      </c>
      <c r="P4235">
        <v>-0.47226630000000003</v>
      </c>
      <c r="Q4235">
        <v>-2.210322E-2</v>
      </c>
      <c r="R4235">
        <v>-0.88117860000000003</v>
      </c>
      <c r="S4235">
        <v>-0.63055419999999995</v>
      </c>
      <c r="T4235">
        <v>-0.41988999999999999</v>
      </c>
      <c r="U4235">
        <v>-3.0609440000000001</v>
      </c>
      <c r="V4235">
        <v>-0.18419749999999999</v>
      </c>
      <c r="W4235">
        <v>-1.038217E-2</v>
      </c>
      <c r="X4235">
        <v>0.9828344</v>
      </c>
      <c r="Y4235">
        <v>-0.45721139999999999</v>
      </c>
      <c r="Z4235">
        <v>8.3682030000000004E-2</v>
      </c>
      <c r="AA4235">
        <v>0.88541239999999999</v>
      </c>
      <c r="AB4235">
        <v>20</v>
      </c>
      <c r="AC4235">
        <v>-0.129500000000007</v>
      </c>
      <c r="AD4235">
        <v>-0.1270869</v>
      </c>
      <c r="AE4235">
        <v>-0.84159999999997104</v>
      </c>
      <c r="AF4235">
        <v>-0.417296381826392</v>
      </c>
      <c r="AG4235">
        <v>-0.1270869</v>
      </c>
      <c r="AH4235">
        <v>0.72088175981132996</v>
      </c>
      <c r="AI4235">
        <v>98.674964281826405</v>
      </c>
      <c r="AJ4235">
        <v>120.065236304606</v>
      </c>
      <c r="AK4235">
        <v>0.84258997268285096</v>
      </c>
      <c r="AL4235">
        <v>90.5948652202418</v>
      </c>
      <c r="AM4235">
        <v>100.61492742501601</v>
      </c>
      <c r="AN4235">
        <v>0.99999998314175897</v>
      </c>
    </row>
    <row r="4236" spans="1:40" x14ac:dyDescent="0.25">
      <c r="A4236" t="str">
        <f>"20190312150738839"</f>
        <v>20190312150738839</v>
      </c>
      <c r="B4236" t="str">
        <f>"1552374458834631"</f>
        <v>1552374458834631</v>
      </c>
      <c r="C4236" t="s">
        <v>40</v>
      </c>
      <c r="D4236">
        <v>4.5880390000000002</v>
      </c>
      <c r="E4236">
        <v>0.39611259999999998</v>
      </c>
      <c r="F4236" t="s">
        <v>42</v>
      </c>
      <c r="G4236">
        <v>-491.00040000000001</v>
      </c>
      <c r="H4236" s="1">
        <v>-3.381027E-6</v>
      </c>
      <c r="I4236">
        <v>266.84989999999999</v>
      </c>
      <c r="J4236">
        <v>-489.68209999999999</v>
      </c>
      <c r="K4236">
        <v>1.1158170000000001</v>
      </c>
      <c r="L4236">
        <v>273.05250000000001</v>
      </c>
      <c r="M4236">
        <v>-0.62270490000000001</v>
      </c>
      <c r="N4236">
        <v>0</v>
      </c>
      <c r="O4236">
        <v>-0.7823251</v>
      </c>
      <c r="P4236">
        <v>-0.46732859999999998</v>
      </c>
      <c r="Q4236">
        <v>-2.246952E-2</v>
      </c>
      <c r="R4236">
        <v>-0.88379819999999998</v>
      </c>
      <c r="S4236">
        <v>-0.66610719999999901</v>
      </c>
      <c r="T4236">
        <v>-0.53824329999999998</v>
      </c>
      <c r="U4236">
        <v>-3.034027</v>
      </c>
      <c r="V4236">
        <v>-0.1846382</v>
      </c>
      <c r="W4236">
        <v>-1.0751780000000001E-2</v>
      </c>
      <c r="X4236">
        <v>0.9827477</v>
      </c>
      <c r="Y4236">
        <v>-0.44157289999999999</v>
      </c>
      <c r="Z4236">
        <v>0.1090931</v>
      </c>
      <c r="AA4236">
        <v>0.89056840000000004</v>
      </c>
      <c r="AB4236">
        <v>20</v>
      </c>
      <c r="AC4236">
        <v>-1.31830000000002</v>
      </c>
      <c r="AD4236">
        <v>-1.115820381027</v>
      </c>
      <c r="AE4236">
        <v>-6.2026000000000101</v>
      </c>
      <c r="AF4236">
        <v>-2.7463061586875299</v>
      </c>
      <c r="AG4236">
        <v>-1.115820381027</v>
      </c>
      <c r="AH4236">
        <v>5.5035362989911603</v>
      </c>
      <c r="AI4236">
        <v>100.28240374361999</v>
      </c>
      <c r="AJ4236">
        <v>116.519542511786</v>
      </c>
      <c r="AK4236">
        <v>6.2510930591596203</v>
      </c>
      <c r="AL4236">
        <v>90.616043514310405</v>
      </c>
      <c r="AM4236">
        <v>100.640662125487</v>
      </c>
      <c r="AN4236">
        <v>0.99999995376384798</v>
      </c>
    </row>
    <row r="4237" spans="1:40" x14ac:dyDescent="0.25">
      <c r="A4237" t="str">
        <f>"20190312150738851"</f>
        <v>20190312150738851</v>
      </c>
      <c r="B4237" t="str">
        <f>"1552374458844392"</f>
        <v>1552374458844392</v>
      </c>
      <c r="C4237" t="s">
        <v>40</v>
      </c>
      <c r="D4237">
        <v>4.5901120000000004</v>
      </c>
      <c r="E4237">
        <v>0.39576879999999998</v>
      </c>
      <c r="F4237" t="s">
        <v>42</v>
      </c>
      <c r="G4237">
        <v>-491.02229999999997</v>
      </c>
      <c r="H4237" s="1">
        <v>-3.354766E-6</v>
      </c>
      <c r="I4237">
        <v>266.77510000000001</v>
      </c>
      <c r="J4237">
        <v>-489.73849999999999</v>
      </c>
      <c r="K4237">
        <v>1.1158060000000001</v>
      </c>
      <c r="L4237">
        <v>272.97309999999999</v>
      </c>
      <c r="M4237">
        <v>-0.61905519999999903</v>
      </c>
      <c r="N4237">
        <v>0</v>
      </c>
      <c r="O4237">
        <v>-0.78521629999999998</v>
      </c>
      <c r="P4237">
        <v>-0.46318579999999998</v>
      </c>
      <c r="Q4237">
        <v>-2.2536150000000001E-2</v>
      </c>
      <c r="R4237">
        <v>-0.88597459999999995</v>
      </c>
      <c r="S4237">
        <v>-0.64855959999999901</v>
      </c>
      <c r="T4237">
        <v>-0.53997119999999998</v>
      </c>
      <c r="U4237">
        <v>-3.0377809999999998</v>
      </c>
      <c r="V4237">
        <v>-0.18466099999999999</v>
      </c>
      <c r="W4237">
        <v>-1.0815709999999999E-2</v>
      </c>
      <c r="X4237">
        <v>0.98274280000000003</v>
      </c>
      <c r="Y4237">
        <v>-0.4425558</v>
      </c>
      <c r="Z4237">
        <v>0.110013</v>
      </c>
      <c r="AA4237">
        <v>0.88996710000000001</v>
      </c>
      <c r="AB4237">
        <v>20</v>
      </c>
      <c r="AC4237">
        <v>-1.2837999999999801</v>
      </c>
      <c r="AD4237">
        <v>-1.115809354766</v>
      </c>
      <c r="AE4237">
        <v>-6.1979999999999702</v>
      </c>
      <c r="AF4237">
        <v>-2.7438650360615102</v>
      </c>
      <c r="AG4237">
        <v>-1.115809354766</v>
      </c>
      <c r="AH4237">
        <v>5.4914419207824698</v>
      </c>
      <c r="AI4237">
        <v>100.301828028922</v>
      </c>
      <c r="AJ4237">
        <v>116.54955783199701</v>
      </c>
      <c r="AK4237">
        <v>6.2393717810073799</v>
      </c>
      <c r="AL4237">
        <v>90.619706594627104</v>
      </c>
      <c r="AM4237">
        <v>100.641997924226</v>
      </c>
      <c r="AN4237">
        <v>1.00000003772782</v>
      </c>
    </row>
    <row r="4238" spans="1:40" x14ac:dyDescent="0.25">
      <c r="A4238" t="str">
        <f>"20190312150738862"</f>
        <v>20190312150738862</v>
      </c>
      <c r="B4238" t="str">
        <f>"1552374458854152"</f>
        <v>1552374458854152</v>
      </c>
      <c r="C4238" t="s">
        <v>40</v>
      </c>
      <c r="D4238">
        <v>4.6334790000000003</v>
      </c>
      <c r="E4238">
        <v>0.39592159999999998</v>
      </c>
      <c r="F4238" t="s">
        <v>41</v>
      </c>
      <c r="G4238">
        <v>-489.94189999999998</v>
      </c>
      <c r="H4238">
        <v>0.98183739999999997</v>
      </c>
      <c r="I4238">
        <v>272.00369999999998</v>
      </c>
      <c r="J4238">
        <v>-489.80149999999998</v>
      </c>
      <c r="K4238">
        <v>1.1157950000000001</v>
      </c>
      <c r="L4238">
        <v>272.88389999999998</v>
      </c>
      <c r="M4238">
        <v>-0.61494510000000002</v>
      </c>
      <c r="N4238">
        <v>0</v>
      </c>
      <c r="O4238">
        <v>-0.78843949999999996</v>
      </c>
      <c r="P4238">
        <v>-0.45859739999999999</v>
      </c>
      <c r="Q4238">
        <v>-2.274135E-2</v>
      </c>
      <c r="R4238">
        <v>-0.88835319999999995</v>
      </c>
      <c r="S4238">
        <v>-0.6374512</v>
      </c>
      <c r="T4238">
        <v>-0.42026760000000002</v>
      </c>
      <c r="U4238">
        <v>-3.0421140000000002</v>
      </c>
      <c r="V4238">
        <v>-0.18460480000000001</v>
      </c>
      <c r="W4238">
        <v>-1.101689E-2</v>
      </c>
      <c r="X4238">
        <v>0.98275109999999999</v>
      </c>
      <c r="Y4238">
        <v>-0.44085679999999999</v>
      </c>
      <c r="Z4238">
        <v>8.6633650000000006E-2</v>
      </c>
      <c r="AA4238">
        <v>0.89338680000000004</v>
      </c>
      <c r="AB4238">
        <v>20</v>
      </c>
      <c r="AC4238">
        <v>-0.140399999999999</v>
      </c>
      <c r="AD4238">
        <v>-0.13395760000000001</v>
      </c>
      <c r="AE4238">
        <v>-0.88020000000000198</v>
      </c>
      <c r="AF4238">
        <v>-0.42111039773166498</v>
      </c>
      <c r="AG4238">
        <v>-0.13395760000000001</v>
      </c>
      <c r="AH4238">
        <v>0.76316531260806597</v>
      </c>
      <c r="AI4238">
        <v>98.737122656574101</v>
      </c>
      <c r="AJ4238">
        <v>118.88967092867399</v>
      </c>
      <c r="AK4238">
        <v>0.88187295005779998</v>
      </c>
      <c r="AL4238">
        <v>90.631234060781495</v>
      </c>
      <c r="AM4238">
        <v>100.638745266068</v>
      </c>
      <c r="AN4238">
        <v>1.00000001429976</v>
      </c>
    </row>
    <row r="4239" spans="1:40" x14ac:dyDescent="0.25">
      <c r="A4239" t="str">
        <f>"20190312150738874"</f>
        <v>20190312150738874</v>
      </c>
      <c r="B4239" t="str">
        <f>"1552374458863912"</f>
        <v>1552374458863912</v>
      </c>
      <c r="C4239" t="s">
        <v>40</v>
      </c>
      <c r="D4239">
        <v>4.6606269999999999</v>
      </c>
      <c r="E4239">
        <v>0.39575389999999999</v>
      </c>
      <c r="F4239" t="s">
        <v>42</v>
      </c>
      <c r="G4239">
        <v>-491.44639999999998</v>
      </c>
      <c r="H4239" s="1">
        <v>-2.6370170000000002E-6</v>
      </c>
      <c r="I4239">
        <v>264.839</v>
      </c>
      <c r="J4239">
        <v>-489.86110000000002</v>
      </c>
      <c r="K4239">
        <v>1.115785</v>
      </c>
      <c r="L4239">
        <v>272.79809999999998</v>
      </c>
      <c r="M4239">
        <v>-0.61100129999999997</v>
      </c>
      <c r="N4239">
        <v>0</v>
      </c>
      <c r="O4239">
        <v>-0.79149969999999903</v>
      </c>
      <c r="P4239">
        <v>-0.45413710000000002</v>
      </c>
      <c r="Q4239">
        <v>-2.307389E-2</v>
      </c>
      <c r="R4239">
        <v>-0.89063329999999996</v>
      </c>
      <c r="S4239">
        <v>-0.62255859999999996</v>
      </c>
      <c r="T4239">
        <v>-0.42230679999999998</v>
      </c>
      <c r="U4239">
        <v>-3.0448300000000001</v>
      </c>
      <c r="V4239">
        <v>-0.1846168</v>
      </c>
      <c r="W4239">
        <v>-1.134686E-2</v>
      </c>
      <c r="X4239">
        <v>0.98274510000000004</v>
      </c>
      <c r="Y4239">
        <v>-0.44074170000000001</v>
      </c>
      <c r="Z4239">
        <v>8.7597159999999993E-2</v>
      </c>
      <c r="AA4239">
        <v>0.89334959999999997</v>
      </c>
      <c r="AB4239">
        <v>20</v>
      </c>
      <c r="AC4239">
        <v>-1.58529999999996</v>
      </c>
      <c r="AD4239">
        <v>-1.1157876370169999</v>
      </c>
      <c r="AE4239">
        <v>-7.9590999999999701</v>
      </c>
      <c r="AF4239">
        <v>-3.5416775115730101</v>
      </c>
      <c r="AG4239">
        <v>-1.1157876370169999</v>
      </c>
      <c r="AH4239">
        <v>7.1341341270946099</v>
      </c>
      <c r="AI4239">
        <v>97.974578097598098</v>
      </c>
      <c r="AJ4239">
        <v>116.401691866595</v>
      </c>
      <c r="AK4239">
        <v>8.04265698574034</v>
      </c>
      <c r="AL4239">
        <v>90.650141125473993</v>
      </c>
      <c r="AM4239">
        <v>100.639484510831</v>
      </c>
      <c r="AN4239">
        <v>1.00000002282405</v>
      </c>
    </row>
    <row r="4240" spans="1:40" x14ac:dyDescent="0.25">
      <c r="A4240" t="str">
        <f>"20190312150738885"</f>
        <v>20190312150738885</v>
      </c>
      <c r="B4240" t="str">
        <f>"1552374458874648"</f>
        <v>1552374458874648</v>
      </c>
      <c r="C4240" t="s">
        <v>40</v>
      </c>
      <c r="D4240">
        <v>4.6080389999999998</v>
      </c>
      <c r="E4240">
        <v>0.39631129999999998</v>
      </c>
      <c r="F4240" t="s">
        <v>41</v>
      </c>
      <c r="G4240">
        <v>-490.05739999999997</v>
      </c>
      <c r="H4240">
        <v>0.97894820000000005</v>
      </c>
      <c r="I4240">
        <v>271.81119999999999</v>
      </c>
      <c r="J4240">
        <v>-489.91860000000003</v>
      </c>
      <c r="K4240">
        <v>1.115777</v>
      </c>
      <c r="L4240">
        <v>272.71510000000001</v>
      </c>
      <c r="M4240">
        <v>-0.6071761</v>
      </c>
      <c r="N4240">
        <v>0</v>
      </c>
      <c r="O4240">
        <v>-0.79443779999999997</v>
      </c>
      <c r="P4240">
        <v>-0.45006790000000002</v>
      </c>
      <c r="Q4240">
        <v>-2.2959719999999999E-2</v>
      </c>
      <c r="R4240">
        <v>-0.89269889999999996</v>
      </c>
      <c r="S4240">
        <v>-0.6057129</v>
      </c>
      <c r="T4240">
        <v>-0.42264030000000002</v>
      </c>
      <c r="U4240">
        <v>-3.048584</v>
      </c>
      <c r="V4240">
        <v>-0.1843649</v>
      </c>
      <c r="W4240">
        <v>-1.122597E-2</v>
      </c>
      <c r="X4240">
        <v>0.98279369999999999</v>
      </c>
      <c r="Y4240">
        <v>-0.44137890000000002</v>
      </c>
      <c r="Z4240">
        <v>8.8139120000000001E-2</v>
      </c>
      <c r="AA4240">
        <v>0.89298159999999904</v>
      </c>
      <c r="AB4240">
        <v>20</v>
      </c>
      <c r="AC4240">
        <v>-0.13879999999994599</v>
      </c>
      <c r="AD4240">
        <v>-0.136828799999999</v>
      </c>
      <c r="AE4240">
        <v>-0.90390000000002102</v>
      </c>
      <c r="AF4240">
        <v>-0.42899969399002302</v>
      </c>
      <c r="AG4240">
        <v>-0.136828799999999</v>
      </c>
      <c r="AH4240">
        <v>0.78487995848579395</v>
      </c>
      <c r="AI4240">
        <v>98.697220726138397</v>
      </c>
      <c r="AJ4240">
        <v>118.660134206897</v>
      </c>
      <c r="AK4240">
        <v>0.90487535450228496</v>
      </c>
      <c r="AL4240">
        <v>90.643214245927695</v>
      </c>
      <c r="AM4240">
        <v>100.624784788162</v>
      </c>
      <c r="AN4240">
        <v>0.99999994775706902</v>
      </c>
    </row>
    <row r="4241" spans="1:40" x14ac:dyDescent="0.25">
      <c r="A4241" t="str">
        <f>"20190312150738895"</f>
        <v>20190312150738895</v>
      </c>
      <c r="B4241" t="str">
        <f>"1552374458884409"</f>
        <v>1552374458884409</v>
      </c>
      <c r="C4241" t="s">
        <v>40</v>
      </c>
      <c r="D4241">
        <v>4.6214620000000002</v>
      </c>
      <c r="E4241">
        <v>0.39728980000000003</v>
      </c>
      <c r="F4241" t="s">
        <v>41</v>
      </c>
      <c r="G4241">
        <v>-490.11020000000002</v>
      </c>
      <c r="H4241">
        <v>0.98206539999999998</v>
      </c>
      <c r="I4241">
        <v>271.73540000000003</v>
      </c>
      <c r="J4241">
        <v>-489.96879999999999</v>
      </c>
      <c r="K4241">
        <v>1.1157699999999999</v>
      </c>
      <c r="L4241">
        <v>272.64139999999998</v>
      </c>
      <c r="M4241">
        <v>-0.60378219999999905</v>
      </c>
      <c r="N4241">
        <v>0</v>
      </c>
      <c r="O4241">
        <v>-0.79702059999999997</v>
      </c>
      <c r="P4241">
        <v>-0.44626650000000001</v>
      </c>
      <c r="Q4241">
        <v>-2.3035030000000001E-2</v>
      </c>
      <c r="R4241">
        <v>-0.89460379999999995</v>
      </c>
      <c r="S4241">
        <v>-0.59619140000000004</v>
      </c>
      <c r="T4241">
        <v>-0.41614849999999998</v>
      </c>
      <c r="U4241">
        <v>-3.0493160000000001</v>
      </c>
      <c r="V4241">
        <v>-0.18435170000000001</v>
      </c>
      <c r="W4241">
        <v>-1.1299119999999999E-2</v>
      </c>
      <c r="X4241">
        <v>0.98279539999999999</v>
      </c>
      <c r="Y4241">
        <v>-0.44026890000000002</v>
      </c>
      <c r="Z4241">
        <v>8.7335529999999995E-2</v>
      </c>
      <c r="AA4241">
        <v>0.89360830000000002</v>
      </c>
      <c r="AB4241">
        <v>20</v>
      </c>
      <c r="AC4241">
        <v>-0.141400000000032</v>
      </c>
      <c r="AD4241">
        <v>-0.13370460000000001</v>
      </c>
      <c r="AE4241">
        <v>-0.90599999999994896</v>
      </c>
      <c r="AF4241">
        <v>-0.42532958359036499</v>
      </c>
      <c r="AG4241">
        <v>-0.13370460000000001</v>
      </c>
      <c r="AH4241">
        <v>0.79074624557398498</v>
      </c>
      <c r="AI4241">
        <v>98.469776918908806</v>
      </c>
      <c r="AJ4241">
        <v>118.275087290333</v>
      </c>
      <c r="AK4241">
        <v>0.90777849700665803</v>
      </c>
      <c r="AL4241">
        <v>90.647405658716806</v>
      </c>
      <c r="AM4241">
        <v>100.624023442802</v>
      </c>
      <c r="AN4241">
        <v>1.00000000883341</v>
      </c>
    </row>
    <row r="4242" spans="1:40" x14ac:dyDescent="0.25">
      <c r="A4242" t="str">
        <f>"20190312150738905"</f>
        <v>20190312150738905</v>
      </c>
      <c r="B4242" t="str">
        <f>"1552374458894169"</f>
        <v>1552374458894169</v>
      </c>
      <c r="C4242" t="s">
        <v>40</v>
      </c>
      <c r="D4242">
        <v>4.6145120000000004</v>
      </c>
      <c r="E4242">
        <v>0.39779740000000002</v>
      </c>
      <c r="F4242" t="s">
        <v>42</v>
      </c>
      <c r="G4242">
        <v>-491.56439999999998</v>
      </c>
      <c r="H4242" s="1">
        <v>-2.482058E-6</v>
      </c>
      <c r="I4242">
        <v>264.40460000000002</v>
      </c>
      <c r="J4242">
        <v>-490.01799999999997</v>
      </c>
      <c r="K4242">
        <v>1.1157619999999999</v>
      </c>
      <c r="L4242">
        <v>272.56869999999998</v>
      </c>
      <c r="M4242">
        <v>-0.60043259999999998</v>
      </c>
      <c r="N4242">
        <v>0</v>
      </c>
      <c r="O4242">
        <v>-0.79954689999999995</v>
      </c>
      <c r="P4242">
        <v>-0.4422548</v>
      </c>
      <c r="Q4242">
        <v>-2.3020220000000001E-2</v>
      </c>
      <c r="R4242">
        <v>-0.896594</v>
      </c>
      <c r="S4242">
        <v>-0.59051509999999996</v>
      </c>
      <c r="T4242">
        <v>-0.4129176</v>
      </c>
      <c r="U4242">
        <v>-3.0482179999999999</v>
      </c>
      <c r="V4242">
        <v>-0.18463099999999999</v>
      </c>
      <c r="W4242">
        <v>-1.1286610000000001E-2</v>
      </c>
      <c r="X4242">
        <v>0.98274309999999998</v>
      </c>
      <c r="Y4242">
        <v>-0.43804739999999998</v>
      </c>
      <c r="Z4242">
        <v>8.7264739999999993E-2</v>
      </c>
      <c r="AA4242">
        <v>0.89470620000000001</v>
      </c>
      <c r="AB4242">
        <v>20</v>
      </c>
      <c r="AC4242">
        <v>-1.54639999999994</v>
      </c>
      <c r="AD4242">
        <v>-1.1157644820579999</v>
      </c>
      <c r="AE4242">
        <v>-8.1640999999999604</v>
      </c>
      <c r="AF4242">
        <v>-3.6010190802695101</v>
      </c>
      <c r="AG4242">
        <v>-1.1157644820579999</v>
      </c>
      <c r="AH4242">
        <v>7.3247826825207696</v>
      </c>
      <c r="AI4242">
        <v>97.784128428475398</v>
      </c>
      <c r="AJ4242">
        <v>116.179713542787</v>
      </c>
      <c r="AK4242">
        <v>8.2380040144469096</v>
      </c>
      <c r="AL4242">
        <v>90.646688850360803</v>
      </c>
      <c r="AM4242">
        <v>100.640305332945</v>
      </c>
      <c r="AN4242">
        <v>0.99999999716195098</v>
      </c>
    </row>
    <row r="4243" spans="1:40" x14ac:dyDescent="0.25">
      <c r="A4243" t="str">
        <f>"20190312150738916"</f>
        <v>20190312150738916</v>
      </c>
      <c r="B4243" t="str">
        <f>"1552374458904636"</f>
        <v>1552374458904636</v>
      </c>
      <c r="C4243" t="s">
        <v>40</v>
      </c>
      <c r="D4243">
        <v>4.6114790000000001</v>
      </c>
      <c r="E4243">
        <v>0.39822160000000001</v>
      </c>
      <c r="F4243" t="s">
        <v>41</v>
      </c>
      <c r="G4243">
        <v>-490.20460000000003</v>
      </c>
      <c r="H4243">
        <v>0.98279830000000001</v>
      </c>
      <c r="I4243">
        <v>271.58769999999998</v>
      </c>
      <c r="J4243">
        <v>-490.07400000000001</v>
      </c>
      <c r="K4243">
        <v>1.1157539999999999</v>
      </c>
      <c r="L4243">
        <v>272.48480000000001</v>
      </c>
      <c r="M4243">
        <v>-0.59656750000000003</v>
      </c>
      <c r="N4243">
        <v>0</v>
      </c>
      <c r="O4243">
        <v>-0.80243500000000001</v>
      </c>
      <c r="P4243">
        <v>-0.43789050000000002</v>
      </c>
      <c r="Q4243">
        <v>-2.29673E-2</v>
      </c>
      <c r="R4243">
        <v>-0.89873519999999896</v>
      </c>
      <c r="S4243">
        <v>-0.58020019999999894</v>
      </c>
      <c r="T4243">
        <v>-0.4133134</v>
      </c>
      <c r="U4243">
        <v>-3.049194</v>
      </c>
      <c r="V4243">
        <v>-0.1846681</v>
      </c>
      <c r="W4243">
        <v>-1.1232010000000001E-2</v>
      </c>
      <c r="X4243">
        <v>0.98273679999999997</v>
      </c>
      <c r="Y4243">
        <v>-0.43669459999999999</v>
      </c>
      <c r="Z4243">
        <v>8.7934609999999996E-2</v>
      </c>
      <c r="AA4243">
        <v>0.89530180000000004</v>
      </c>
      <c r="AB4243">
        <v>20</v>
      </c>
      <c r="AC4243">
        <v>-0.13060000000001501</v>
      </c>
      <c r="AD4243">
        <v>-0.13295570000000001</v>
      </c>
      <c r="AE4243">
        <v>-0.89710000000002299</v>
      </c>
      <c r="AF4243">
        <v>-0.42136368341962099</v>
      </c>
      <c r="AG4243">
        <v>-0.13295570000000001</v>
      </c>
      <c r="AH4243">
        <v>0.78105812353965998</v>
      </c>
      <c r="AI4243">
        <v>98.520380374339098</v>
      </c>
      <c r="AJ4243">
        <v>118.345885670898</v>
      </c>
      <c r="AK4243">
        <v>0.897371920785766</v>
      </c>
      <c r="AL4243">
        <v>90.643560273851904</v>
      </c>
      <c r="AM4243">
        <v>100.642461242095</v>
      </c>
      <c r="AN4243">
        <v>1.0000000416402399</v>
      </c>
    </row>
    <row r="4244" spans="1:40" x14ac:dyDescent="0.25">
      <c r="A4244" t="str">
        <f>"20190312150738928"</f>
        <v>20190312150738928</v>
      </c>
      <c r="B4244" t="str">
        <f>"1552374458924156"</f>
        <v>1552374458924156</v>
      </c>
      <c r="C4244" t="s">
        <v>40</v>
      </c>
      <c r="D4244">
        <v>4.6193660000000003</v>
      </c>
      <c r="E4244">
        <v>0.39898329999999999</v>
      </c>
      <c r="F4244" t="s">
        <v>42</v>
      </c>
      <c r="G4244">
        <v>-491.62329999999997</v>
      </c>
      <c r="H4244" s="1">
        <v>-2.401078E-6</v>
      </c>
      <c r="I4244">
        <v>264.17930000000001</v>
      </c>
      <c r="J4244">
        <v>-490.12880000000001</v>
      </c>
      <c r="K4244">
        <v>1.1157410000000001</v>
      </c>
      <c r="L4244">
        <v>272.4024</v>
      </c>
      <c r="M4244">
        <v>-0.59276340000000005</v>
      </c>
      <c r="N4244">
        <v>0</v>
      </c>
      <c r="O4244">
        <v>-0.805249199999999</v>
      </c>
      <c r="P4244">
        <v>-0.4335929</v>
      </c>
      <c r="Q4244">
        <v>-2.2792759999999999E-2</v>
      </c>
      <c r="R4244">
        <v>-0.90082059999999997</v>
      </c>
      <c r="S4244">
        <v>-0.56900019999999996</v>
      </c>
      <c r="T4244">
        <v>-0.40978120000000001</v>
      </c>
      <c r="U4244">
        <v>-3.050354</v>
      </c>
      <c r="V4244">
        <v>-0.18471679999999999</v>
      </c>
      <c r="W4244">
        <v>-1.1056E-2</v>
      </c>
      <c r="X4244">
        <v>0.98272959999999998</v>
      </c>
      <c r="Y4244">
        <v>-0.43567479999999997</v>
      </c>
      <c r="Z4244">
        <v>8.7748179999999995E-2</v>
      </c>
      <c r="AA4244">
        <v>0.89581679999999997</v>
      </c>
      <c r="AB4244">
        <v>20</v>
      </c>
      <c r="AC4244">
        <v>-1.49449999999995</v>
      </c>
      <c r="AD4244">
        <v>-1.1157434010780001</v>
      </c>
      <c r="AE4244">
        <v>-8.2230999999999792</v>
      </c>
      <c r="AF4244">
        <v>-3.6070024364241</v>
      </c>
      <c r="AG4244">
        <v>-1.1157434010780001</v>
      </c>
      <c r="AH4244">
        <v>7.3768340519155098</v>
      </c>
      <c r="AI4244">
        <v>97.737751680711597</v>
      </c>
      <c r="AJ4244">
        <v>116.05694445226101</v>
      </c>
      <c r="AK4244">
        <v>8.2869192431758805</v>
      </c>
      <c r="AL4244">
        <v>90.633475044844602</v>
      </c>
      <c r="AM4244">
        <v>100.645279907988</v>
      </c>
      <c r="AN4244">
        <v>0.99999999902719905</v>
      </c>
    </row>
    <row r="4245" spans="1:40" x14ac:dyDescent="0.25">
      <c r="A4245" t="str">
        <f>"20190312150738939"</f>
        <v>20190312150738939</v>
      </c>
      <c r="B4245" t="str">
        <f>"1552374458933916"</f>
        <v>1552374458933916</v>
      </c>
      <c r="C4245" t="s">
        <v>40</v>
      </c>
      <c r="D4245">
        <v>4.6243239999999997</v>
      </c>
      <c r="E4245">
        <v>0.39898329999999999</v>
      </c>
      <c r="F4245" t="s">
        <v>41</v>
      </c>
      <c r="G4245">
        <v>-490.31180000000001</v>
      </c>
      <c r="H4245">
        <v>0.98057260000000002</v>
      </c>
      <c r="I4245">
        <v>271.40629999999999</v>
      </c>
      <c r="J4245">
        <v>-490.18740000000003</v>
      </c>
      <c r="K4245">
        <v>1.1157360000000001</v>
      </c>
      <c r="L4245">
        <v>272.31299999999999</v>
      </c>
      <c r="M4245">
        <v>-0.58864209999999995</v>
      </c>
      <c r="N4245">
        <v>0</v>
      </c>
      <c r="O4245">
        <v>-0.80826690000000001</v>
      </c>
      <c r="P4245">
        <v>-0.42884</v>
      </c>
      <c r="Q4245">
        <v>-2.301367E-2</v>
      </c>
      <c r="R4245">
        <v>-0.90308759999999999</v>
      </c>
      <c r="S4245">
        <v>-0.5597839</v>
      </c>
      <c r="T4245">
        <v>-0.41387679999999999</v>
      </c>
      <c r="U4245">
        <v>-3.050354</v>
      </c>
      <c r="V4245">
        <v>-0.18486910000000001</v>
      </c>
      <c r="W4245">
        <v>-1.1277250000000001E-2</v>
      </c>
      <c r="X4245">
        <v>0.98269839999999997</v>
      </c>
      <c r="Y4245">
        <v>-0.43371749999999998</v>
      </c>
      <c r="Z4245">
        <v>8.9271320000000001E-2</v>
      </c>
      <c r="AA4245">
        <v>0.89661569999999902</v>
      </c>
      <c r="AB4245">
        <v>20</v>
      </c>
      <c r="AC4245">
        <v>-0.12439999999998</v>
      </c>
      <c r="AD4245">
        <v>-0.13516339999999999</v>
      </c>
      <c r="AE4245">
        <v>-0.90669999999999995</v>
      </c>
      <c r="AF4245">
        <v>-0.42397025727912402</v>
      </c>
      <c r="AG4245">
        <v>-0.13516339999999999</v>
      </c>
      <c r="AH4245">
        <v>0.78895677210467796</v>
      </c>
      <c r="AI4245">
        <v>98.581727161868002</v>
      </c>
      <c r="AJ4245">
        <v>118.252732575024</v>
      </c>
      <c r="AK4245">
        <v>0.90579948774920405</v>
      </c>
      <c r="AL4245">
        <v>90.64615255631</v>
      </c>
      <c r="AM4245">
        <v>100.654186667326</v>
      </c>
      <c r="AN4245">
        <v>0.99999995293246502</v>
      </c>
    </row>
    <row r="4246" spans="1:40" x14ac:dyDescent="0.25">
      <c r="A4246" t="str">
        <f>"20190312150738951"</f>
        <v>20190312150738951</v>
      </c>
      <c r="B4246" t="str">
        <f>"1552374458944652"</f>
        <v>1552374458944652</v>
      </c>
      <c r="C4246" t="s">
        <v>40</v>
      </c>
      <c r="D4246">
        <v>4.5907109999999998</v>
      </c>
      <c r="E4246">
        <v>0.39978599999999997</v>
      </c>
      <c r="F4246" t="s">
        <v>42</v>
      </c>
      <c r="G4246">
        <v>-491.65120000000002</v>
      </c>
      <c r="H4246" s="1">
        <v>-2.3704409999999999E-6</v>
      </c>
      <c r="I4246">
        <v>264.09050000000002</v>
      </c>
      <c r="J4246">
        <v>-490.2407</v>
      </c>
      <c r="K4246">
        <v>1.1157280000000001</v>
      </c>
      <c r="L4246">
        <v>272.23090000000002</v>
      </c>
      <c r="M4246">
        <v>-0.58484859999999905</v>
      </c>
      <c r="N4246">
        <v>0</v>
      </c>
      <c r="O4246">
        <v>-0.81101590000000001</v>
      </c>
      <c r="P4246">
        <v>-0.42470160000000001</v>
      </c>
      <c r="Q4246">
        <v>-2.2818459999999999E-2</v>
      </c>
      <c r="R4246">
        <v>-0.90504569999999995</v>
      </c>
      <c r="S4246">
        <v>-0.54357909999999998</v>
      </c>
      <c r="T4246">
        <v>-0.41430459999999902</v>
      </c>
      <c r="U4246">
        <v>-3.0532530000000002</v>
      </c>
      <c r="V4246">
        <v>-0.18476819999999999</v>
      </c>
      <c r="W4246">
        <v>-1.107877E-2</v>
      </c>
      <c r="X4246">
        <v>0.98271969999999997</v>
      </c>
      <c r="Y4246">
        <v>-0.43426219999999999</v>
      </c>
      <c r="Z4246">
        <v>8.9815720000000002E-2</v>
      </c>
      <c r="AA4246">
        <v>0.89629769999999898</v>
      </c>
      <c r="AB4246">
        <v>20</v>
      </c>
      <c r="AC4246">
        <v>-1.4105000000000101</v>
      </c>
      <c r="AD4246">
        <v>-1.115730370441</v>
      </c>
      <c r="AE4246">
        <v>-8.1403999999999996</v>
      </c>
      <c r="AF4246">
        <v>-3.5525432880394101</v>
      </c>
      <c r="AG4246">
        <v>-1.115730370441</v>
      </c>
      <c r="AH4246">
        <v>7.2946447572868101</v>
      </c>
      <c r="AI4246">
        <v>97.829729802449805</v>
      </c>
      <c r="AJ4246">
        <v>115.96640777350299</v>
      </c>
      <c r="AK4246">
        <v>8.1900708304586907</v>
      </c>
      <c r="AL4246">
        <v>90.634779737721402</v>
      </c>
      <c r="AM4246">
        <v>100.64827919358</v>
      </c>
      <c r="AN4246">
        <v>1.0000000178220201</v>
      </c>
    </row>
    <row r="4247" spans="1:40" x14ac:dyDescent="0.25">
      <c r="A4247" t="str">
        <f>"20190312150738962"</f>
        <v>20190312150738962</v>
      </c>
      <c r="B4247" t="str">
        <f>"1552374458954413"</f>
        <v>1552374458954413</v>
      </c>
      <c r="C4247" t="s">
        <v>40</v>
      </c>
      <c r="D4247">
        <v>4.6435380000000004</v>
      </c>
      <c r="E4247">
        <v>0.39903070000000002</v>
      </c>
      <c r="F4247" t="s">
        <v>41</v>
      </c>
      <c r="G4247">
        <v>-490.41890000000001</v>
      </c>
      <c r="H4247">
        <v>0.97808050000000002</v>
      </c>
      <c r="I4247">
        <v>271.21339999999998</v>
      </c>
      <c r="J4247">
        <v>-490.2971</v>
      </c>
      <c r="K4247">
        <v>1.1157170000000001</v>
      </c>
      <c r="L4247">
        <v>272.14319999999998</v>
      </c>
      <c r="M4247">
        <v>-0.58079360000000002</v>
      </c>
      <c r="N4247">
        <v>0</v>
      </c>
      <c r="O4247">
        <v>-0.8139246</v>
      </c>
      <c r="P4247">
        <v>-0.42018169999999999</v>
      </c>
      <c r="Q4247">
        <v>-2.274696E-2</v>
      </c>
      <c r="R4247">
        <v>-0.90715480000000004</v>
      </c>
      <c r="S4247">
        <v>-0.53497309999999998</v>
      </c>
      <c r="T4247">
        <v>-0.41304829999999998</v>
      </c>
      <c r="U4247">
        <v>-3.0532840000000001</v>
      </c>
      <c r="V4247">
        <v>-0.18476790000000001</v>
      </c>
      <c r="W4247">
        <v>-1.1005650000000001E-2</v>
      </c>
      <c r="X4247">
        <v>0.98272060000000006</v>
      </c>
      <c r="Y4247">
        <v>-0.43222630000000001</v>
      </c>
      <c r="Z4247">
        <v>9.0185769999999998E-2</v>
      </c>
      <c r="AA4247">
        <v>0.89724409999999899</v>
      </c>
      <c r="AB4247">
        <v>20</v>
      </c>
      <c r="AC4247">
        <v>-0.121800000000007</v>
      </c>
      <c r="AD4247">
        <v>-0.13763649999999999</v>
      </c>
      <c r="AE4247">
        <v>-0.92979999999999996</v>
      </c>
      <c r="AF4247">
        <v>-0.43163268248792802</v>
      </c>
      <c r="AG4247">
        <v>-0.13763649999999999</v>
      </c>
      <c r="AH4247">
        <v>0.81015983041561102</v>
      </c>
      <c r="AI4247">
        <v>98.527180021086494</v>
      </c>
      <c r="AJ4247">
        <v>118.047563158133</v>
      </c>
      <c r="AK4247">
        <v>0.92822924406798701</v>
      </c>
      <c r="AL4247">
        <v>90.630590001333701</v>
      </c>
      <c r="AM4247">
        <v>100.64825277085799</v>
      </c>
      <c r="AN4247">
        <v>1.0000000394333399</v>
      </c>
    </row>
    <row r="4248" spans="1:40" x14ac:dyDescent="0.25">
      <c r="A4248" t="str">
        <f>"20190312150738972"</f>
        <v>20190312150738972</v>
      </c>
      <c r="B4248" t="str">
        <f>"1552374458964173"</f>
        <v>1552374458964173</v>
      </c>
      <c r="C4248" t="s">
        <v>40</v>
      </c>
      <c r="D4248">
        <v>4.6055199999999896</v>
      </c>
      <c r="E4248">
        <v>0.39903070000000002</v>
      </c>
      <c r="F4248" t="s">
        <v>42</v>
      </c>
      <c r="G4248">
        <v>-491.68520000000001</v>
      </c>
      <c r="H4248" s="1">
        <v>-2.293533E-6</v>
      </c>
      <c r="I4248">
        <v>263.89019999999999</v>
      </c>
      <c r="J4248">
        <v>-490.34820000000002</v>
      </c>
      <c r="K4248">
        <v>1.1157090000000001</v>
      </c>
      <c r="L4248">
        <v>272.06240000000003</v>
      </c>
      <c r="M4248">
        <v>-0.5770634</v>
      </c>
      <c r="N4248">
        <v>0</v>
      </c>
      <c r="O4248">
        <v>-0.81657360000000001</v>
      </c>
      <c r="P4248">
        <v>-0.41620030000000002</v>
      </c>
      <c r="Q4248">
        <v>-2.269695E-2</v>
      </c>
      <c r="R4248">
        <v>-0.90898970000000001</v>
      </c>
      <c r="S4248">
        <v>-0.51440429999999904</v>
      </c>
      <c r="T4248">
        <v>-0.41347</v>
      </c>
      <c r="U4248">
        <v>-3.0584410000000002</v>
      </c>
      <c r="V4248">
        <v>-0.18458150000000001</v>
      </c>
      <c r="W4248">
        <v>-1.095139E-2</v>
      </c>
      <c r="X4248">
        <v>0.98275619999999997</v>
      </c>
      <c r="Y4248">
        <v>-0.43422060000000001</v>
      </c>
      <c r="Z4248">
        <v>9.0602409999999994E-2</v>
      </c>
      <c r="AA4248">
        <v>0.8962386</v>
      </c>
      <c r="AB4248">
        <v>20</v>
      </c>
      <c r="AC4248">
        <v>-1.33699999999998</v>
      </c>
      <c r="AD4248">
        <v>-1.115711293533</v>
      </c>
      <c r="AE4248">
        <v>-8.1722000000000303</v>
      </c>
      <c r="AF4248">
        <v>-3.55986771113731</v>
      </c>
      <c r="AG4248">
        <v>-1.115711293533</v>
      </c>
      <c r="AH4248">
        <v>7.3127510565595504</v>
      </c>
      <c r="AI4248">
        <v>97.811071247053107</v>
      </c>
      <c r="AJ4248">
        <v>115.956948835158</v>
      </c>
      <c r="AK4248">
        <v>8.2093725598566891</v>
      </c>
      <c r="AL4248">
        <v>90.627480966156199</v>
      </c>
      <c r="AM4248">
        <v>100.63737919366299</v>
      </c>
      <c r="AN4248">
        <v>1.0000000058618099</v>
      </c>
    </row>
    <row r="4249" spans="1:40" x14ac:dyDescent="0.25">
      <c r="A4249" t="str">
        <f>"20190312150738985"</f>
        <v>20190312150738985</v>
      </c>
      <c r="B4249" t="str">
        <f>"1552374458973932"</f>
        <v>1552374458973932</v>
      </c>
      <c r="C4249" t="s">
        <v>40</v>
      </c>
      <c r="D4249">
        <v>4.498513</v>
      </c>
      <c r="E4249">
        <v>0.37997219999999998</v>
      </c>
      <c r="F4249" t="s">
        <v>42</v>
      </c>
      <c r="G4249">
        <v>-491.70159999999998</v>
      </c>
      <c r="H4249" s="1">
        <v>-2.2566740000000001E-6</v>
      </c>
      <c r="I4249">
        <v>263.79410000000001</v>
      </c>
      <c r="J4249">
        <v>-490.40559999999999</v>
      </c>
      <c r="K4249">
        <v>1.1157029999999999</v>
      </c>
      <c r="L4249">
        <v>271.97129999999999</v>
      </c>
      <c r="M4249">
        <v>-0.57284279999999999</v>
      </c>
      <c r="N4249">
        <v>0</v>
      </c>
      <c r="O4249">
        <v>-0.81953989999999999</v>
      </c>
      <c r="P4249">
        <v>-0.4117904</v>
      </c>
      <c r="Q4249">
        <v>-2.2986199999999998E-2</v>
      </c>
      <c r="R4249">
        <v>-0.91098889999999999</v>
      </c>
      <c r="S4249">
        <v>-0.50097659999999999</v>
      </c>
      <c r="T4249">
        <v>-0.41299960000000002</v>
      </c>
      <c r="U4249">
        <v>-3.0606689999999999</v>
      </c>
      <c r="V4249">
        <v>-0.1842665</v>
      </c>
      <c r="W4249">
        <v>-1.1234310000000001E-2</v>
      </c>
      <c r="X4249">
        <v>0.98281209999999997</v>
      </c>
      <c r="Y4249">
        <v>-0.43351430000000002</v>
      </c>
      <c r="Z4249">
        <v>9.1049550000000007E-2</v>
      </c>
      <c r="AA4249">
        <v>0.89653519999999898</v>
      </c>
      <c r="AB4249">
        <v>20</v>
      </c>
      <c r="AC4249">
        <v>-1.29599999999999</v>
      </c>
      <c r="AD4249">
        <v>-1.115705256674</v>
      </c>
      <c r="AE4249">
        <v>-8.1771999999999707</v>
      </c>
      <c r="AF4249">
        <v>-3.5578874452168701</v>
      </c>
      <c r="AG4249">
        <v>-1.115705256674</v>
      </c>
      <c r="AH4249">
        <v>7.3119263736006497</v>
      </c>
      <c r="AI4249">
        <v>97.812555156624299</v>
      </c>
      <c r="AJ4249">
        <v>115.946946637944</v>
      </c>
      <c r="AK4249">
        <v>8.2077785414543492</v>
      </c>
      <c r="AL4249">
        <v>90.643692096774501</v>
      </c>
      <c r="AM4249">
        <v>100.619048801877</v>
      </c>
      <c r="AN4249">
        <v>0.99999998832491699</v>
      </c>
    </row>
    <row r="4250" spans="1:40" x14ac:dyDescent="0.25">
      <c r="A4250" t="str">
        <f>"20190312150738997"</f>
        <v>20190312150738997</v>
      </c>
      <c r="B4250" t="str">
        <f>"1552374458994428"</f>
        <v>1552374458994428</v>
      </c>
      <c r="C4250" t="s">
        <v>40</v>
      </c>
      <c r="D4250">
        <v>4.6431370000000003</v>
      </c>
      <c r="E4250">
        <v>0.37700509999999998</v>
      </c>
      <c r="F4250" t="s">
        <v>41</v>
      </c>
      <c r="G4250">
        <v>-490.51749999999998</v>
      </c>
      <c r="H4250">
        <v>0.99919500000000006</v>
      </c>
      <c r="I4250">
        <v>270.97059999999999</v>
      </c>
      <c r="J4250">
        <v>-490.45890000000003</v>
      </c>
      <c r="K4250">
        <v>1.1156980000000001</v>
      </c>
      <c r="L4250">
        <v>271.8854</v>
      </c>
      <c r="M4250">
        <v>-0.5688704</v>
      </c>
      <c r="N4250">
        <v>0</v>
      </c>
      <c r="O4250">
        <v>-0.82230249999999905</v>
      </c>
      <c r="P4250">
        <v>-0.40760580000000002</v>
      </c>
      <c r="Q4250">
        <v>-2.2597610000000001E-2</v>
      </c>
      <c r="R4250">
        <v>-0.91287850000000004</v>
      </c>
      <c r="S4250">
        <v>-0.34930420000000001</v>
      </c>
      <c r="T4250">
        <v>-0.36393950000000003</v>
      </c>
      <c r="U4250">
        <v>-3.1260379999999999</v>
      </c>
      <c r="V4250">
        <v>-0.1840311</v>
      </c>
      <c r="W4250">
        <v>-1.0840570000000001E-2</v>
      </c>
      <c r="X4250">
        <v>0.98286059999999997</v>
      </c>
      <c r="Y4250">
        <v>-0.47423979999999999</v>
      </c>
      <c r="Z4250">
        <v>7.8094090000000005E-2</v>
      </c>
      <c r="AA4250">
        <v>0.87692519999999996</v>
      </c>
      <c r="AB4250">
        <v>20</v>
      </c>
      <c r="AC4250">
        <v>-5.8599999999955799E-2</v>
      </c>
      <c r="AD4250">
        <v>-0.116502999999999</v>
      </c>
      <c r="AE4250">
        <v>-0.91480000000001305</v>
      </c>
      <c r="AF4250">
        <v>-0.46475708748486</v>
      </c>
      <c r="AG4250">
        <v>-0.116502999999999</v>
      </c>
      <c r="AH4250">
        <v>0.773169957928735</v>
      </c>
      <c r="AI4250">
        <v>97.358784876224405</v>
      </c>
      <c r="AJ4250">
        <v>121.010328026365</v>
      </c>
      <c r="AK4250">
        <v>0.90959545030740596</v>
      </c>
      <c r="AL4250">
        <v>90.621131098586901</v>
      </c>
      <c r="AM4250">
        <v>100.60527946901</v>
      </c>
      <c r="AN4250">
        <v>0.99999996137874603</v>
      </c>
    </row>
    <row r="4251" spans="1:40" x14ac:dyDescent="0.25">
      <c r="A4251" t="str">
        <f>"20190312150739006"</f>
        <v>20190312150739006</v>
      </c>
      <c r="B4251" t="str">
        <f>"1552374459003994"</f>
        <v>1552374459003994</v>
      </c>
      <c r="C4251" t="s">
        <v>40</v>
      </c>
      <c r="D4251">
        <v>4.6132999999999997</v>
      </c>
      <c r="E4251">
        <v>0.37705430000000001</v>
      </c>
      <c r="F4251" t="s">
        <v>41</v>
      </c>
      <c r="G4251">
        <v>-490.54899999999998</v>
      </c>
      <c r="H4251">
        <v>1.011166</v>
      </c>
      <c r="I4251">
        <v>270.98349999999999</v>
      </c>
      <c r="J4251">
        <v>-490.50450000000001</v>
      </c>
      <c r="K4251">
        <v>1.115696</v>
      </c>
      <c r="L4251">
        <v>271.8116</v>
      </c>
      <c r="M4251">
        <v>-0.56544490000000003</v>
      </c>
      <c r="N4251">
        <v>0</v>
      </c>
      <c r="O4251">
        <v>-0.8246618</v>
      </c>
      <c r="P4251">
        <v>-0.4041652</v>
      </c>
      <c r="Q4251">
        <v>-2.294355E-2</v>
      </c>
      <c r="R4251">
        <v>-0.91439859999999995</v>
      </c>
      <c r="S4251">
        <v>-0.31317139999999999</v>
      </c>
      <c r="T4251">
        <v>-0.36359150000000001</v>
      </c>
      <c r="U4251">
        <v>-3.137451</v>
      </c>
      <c r="V4251">
        <v>-0.18363489999999999</v>
      </c>
      <c r="W4251">
        <v>-1.1179329999999999E-2</v>
      </c>
      <c r="X4251">
        <v>0.982931</v>
      </c>
      <c r="Y4251">
        <v>-0.48089589999999999</v>
      </c>
      <c r="Z4251">
        <v>7.7942440000000002E-2</v>
      </c>
      <c r="AA4251">
        <v>0.87330649999999999</v>
      </c>
      <c r="AB4251">
        <v>20</v>
      </c>
      <c r="AC4251">
        <v>-4.4500000000027698E-2</v>
      </c>
      <c r="AD4251">
        <v>-0.10453</v>
      </c>
      <c r="AE4251">
        <v>-0.82810000000000605</v>
      </c>
      <c r="AF4251">
        <v>-0.42484190071640798</v>
      </c>
      <c r="AG4251">
        <v>-0.10453</v>
      </c>
      <c r="AH4251">
        <v>0.69706251917584305</v>
      </c>
      <c r="AI4251">
        <v>97.296984581457295</v>
      </c>
      <c r="AJ4251">
        <v>121.36124646093501</v>
      </c>
      <c r="AK4251">
        <v>0.82299047208585796</v>
      </c>
      <c r="AL4251">
        <v>90.640541735939195</v>
      </c>
      <c r="AM4251">
        <v>100.582222847699</v>
      </c>
      <c r="AN4251">
        <v>1.0000000523391199</v>
      </c>
    </row>
    <row r="4252" spans="1:40" x14ac:dyDescent="0.25">
      <c r="A4252" t="str">
        <f>"20190312150739017"</f>
        <v>20190312150739017</v>
      </c>
      <c r="B4252" t="str">
        <f>"1552374459003994"</f>
        <v>1552374459003994</v>
      </c>
      <c r="C4252" t="s">
        <v>40</v>
      </c>
      <c r="D4252">
        <v>4.6132999999999997</v>
      </c>
      <c r="E4252">
        <v>0.37705430000000001</v>
      </c>
      <c r="F4252" t="s">
        <v>41</v>
      </c>
      <c r="G4252">
        <v>-490.60019999999997</v>
      </c>
      <c r="H4252">
        <v>1.002432</v>
      </c>
      <c r="I4252">
        <v>270.81849999999997</v>
      </c>
      <c r="J4252">
        <v>-490.5548</v>
      </c>
      <c r="K4252">
        <v>1.1156900000000001</v>
      </c>
      <c r="L4252">
        <v>271.72859999999997</v>
      </c>
      <c r="M4252">
        <v>-0.56160219999999905</v>
      </c>
      <c r="N4252">
        <v>0</v>
      </c>
      <c r="O4252">
        <v>-0.82728359999999901</v>
      </c>
      <c r="P4252">
        <v>-0.40056560000000002</v>
      </c>
      <c r="Q4252">
        <v>-2.2862489999999999E-2</v>
      </c>
      <c r="R4252">
        <v>-0.91598270000000004</v>
      </c>
      <c r="S4252">
        <v>-0.30175780000000002</v>
      </c>
      <c r="T4252">
        <v>-0.35784890000000003</v>
      </c>
      <c r="U4252">
        <v>-3.1385190000000001</v>
      </c>
      <c r="V4252">
        <v>-0.18293010000000001</v>
      </c>
      <c r="W4252">
        <v>-1.1086230000000001E-2</v>
      </c>
      <c r="X4252">
        <v>0.98306340000000003</v>
      </c>
      <c r="Y4252">
        <v>-0.47999419999999998</v>
      </c>
      <c r="Z4252">
        <v>7.7167120000000006E-2</v>
      </c>
      <c r="AA4252">
        <v>0.87387109999999901</v>
      </c>
      <c r="AB4252">
        <v>20</v>
      </c>
      <c r="AC4252">
        <v>-4.5399999999972303E-2</v>
      </c>
      <c r="AD4252">
        <v>-0.113258</v>
      </c>
      <c r="AE4252">
        <v>-0.91010000000000002</v>
      </c>
      <c r="AF4252">
        <v>-0.46639892798918597</v>
      </c>
      <c r="AG4252">
        <v>-0.113258</v>
      </c>
      <c r="AH4252">
        <v>0.766643939954744</v>
      </c>
      <c r="AI4252">
        <v>97.193335010393696</v>
      </c>
      <c r="AJ4252">
        <v>121.314845036374</v>
      </c>
      <c r="AK4252">
        <v>0.904487846940353</v>
      </c>
      <c r="AL4252">
        <v>90.635207209931806</v>
      </c>
      <c r="AM4252">
        <v>100.54113192179901</v>
      </c>
      <c r="AN4252">
        <v>0.99999998720059102</v>
      </c>
    </row>
    <row r="4253" spans="1:40" x14ac:dyDescent="0.25">
      <c r="A4253" t="str">
        <f>"20190312150739029"</f>
        <v>20190312150739029</v>
      </c>
      <c r="B4253" t="str">
        <f>"1552374459024490"</f>
        <v>1552374459024490</v>
      </c>
      <c r="C4253" t="s">
        <v>40</v>
      </c>
      <c r="D4253">
        <v>4.6043289999999999</v>
      </c>
      <c r="E4253">
        <v>0.37747130000000001</v>
      </c>
      <c r="F4253" t="s">
        <v>41</v>
      </c>
      <c r="G4253">
        <v>-490.6377</v>
      </c>
      <c r="H4253">
        <v>1.0137229999999999</v>
      </c>
      <c r="I4253">
        <v>270.83350000000002</v>
      </c>
      <c r="J4253">
        <v>-490.6071</v>
      </c>
      <c r="K4253">
        <v>1.1156820000000001</v>
      </c>
      <c r="L4253">
        <v>271.64210000000003</v>
      </c>
      <c r="M4253">
        <v>-0.55758430000000003</v>
      </c>
      <c r="N4253">
        <v>0</v>
      </c>
      <c r="O4253">
        <v>-0.82999690000000004</v>
      </c>
      <c r="P4253">
        <v>-0.39646330000000002</v>
      </c>
      <c r="Q4253">
        <v>-2.2710609999999999E-2</v>
      </c>
      <c r="R4253">
        <v>-0.91776979999999997</v>
      </c>
      <c r="S4253">
        <v>-0.28958129999999999</v>
      </c>
      <c r="T4253">
        <v>-0.35749950000000003</v>
      </c>
      <c r="U4253">
        <v>-3.1395870000000001</v>
      </c>
      <c r="V4253">
        <v>-0.1825667</v>
      </c>
      <c r="W4253">
        <v>-1.092747E-2</v>
      </c>
      <c r="X4253">
        <v>0.98313280000000003</v>
      </c>
      <c r="Y4253">
        <v>-0.47913329999999998</v>
      </c>
      <c r="Z4253">
        <v>7.7547969999999994E-2</v>
      </c>
      <c r="AA4253">
        <v>0.87430980000000003</v>
      </c>
      <c r="AB4253">
        <v>20</v>
      </c>
      <c r="AC4253">
        <v>-3.0599999999992598E-2</v>
      </c>
      <c r="AD4253">
        <v>-0.10195899999999999</v>
      </c>
      <c r="AE4253">
        <v>-0.80860000000001198</v>
      </c>
      <c r="AF4253">
        <v>-0.41885823835540498</v>
      </c>
      <c r="AG4253">
        <v>-0.10195899999999999</v>
      </c>
      <c r="AH4253">
        <v>0.67751139516732695</v>
      </c>
      <c r="AI4253">
        <v>97.294397921469098</v>
      </c>
      <c r="AJ4253">
        <v>121.72562279748701</v>
      </c>
      <c r="AK4253">
        <v>0.80303147640722705</v>
      </c>
      <c r="AL4253">
        <v>90.626110337716696</v>
      </c>
      <c r="AM4253">
        <v>100.51993331947899</v>
      </c>
      <c r="AN4253">
        <v>1.0000000559926601</v>
      </c>
    </row>
    <row r="4254" spans="1:40" x14ac:dyDescent="0.25">
      <c r="A4254" t="str">
        <f>"20190312150739041"</f>
        <v>20190312150739041</v>
      </c>
      <c r="B4254" t="str">
        <f>"1552374459034250"</f>
        <v>1552374459034250</v>
      </c>
      <c r="C4254" t="s">
        <v>40</v>
      </c>
      <c r="D4254">
        <v>4.5795120000000002</v>
      </c>
      <c r="E4254">
        <v>0.37829869999999999</v>
      </c>
      <c r="F4254" t="s">
        <v>41</v>
      </c>
      <c r="G4254">
        <v>-490.6934</v>
      </c>
      <c r="H4254">
        <v>1.005736</v>
      </c>
      <c r="I4254">
        <v>270.67059999999998</v>
      </c>
      <c r="J4254">
        <v>-490.6628</v>
      </c>
      <c r="K4254">
        <v>1.1156759999999999</v>
      </c>
      <c r="L4254">
        <v>271.54849999999999</v>
      </c>
      <c r="M4254">
        <v>-0.55323520000000004</v>
      </c>
      <c r="N4254">
        <v>0</v>
      </c>
      <c r="O4254">
        <v>-0.83290209999999998</v>
      </c>
      <c r="P4254">
        <v>-0.39210790000000001</v>
      </c>
      <c r="Q4254">
        <v>-2.2735490000000001E-2</v>
      </c>
      <c r="R4254">
        <v>-0.91963819999999996</v>
      </c>
      <c r="S4254">
        <v>-0.27862550000000003</v>
      </c>
      <c r="T4254">
        <v>-0.355265</v>
      </c>
      <c r="U4254">
        <v>-3.139618</v>
      </c>
      <c r="V4254">
        <v>-0.1820842</v>
      </c>
      <c r="W4254">
        <v>-1.094373E-2</v>
      </c>
      <c r="X4254">
        <v>0.98322209999999999</v>
      </c>
      <c r="Y4254">
        <v>-0.4775741</v>
      </c>
      <c r="Z4254">
        <v>7.7599260000000003E-2</v>
      </c>
      <c r="AA4254">
        <v>0.87515789999999904</v>
      </c>
      <c r="AB4254">
        <v>20</v>
      </c>
      <c r="AC4254">
        <v>-3.0599999999992598E-2</v>
      </c>
      <c r="AD4254">
        <v>-0.10994</v>
      </c>
      <c r="AE4254">
        <v>-0.877900000000011</v>
      </c>
      <c r="AF4254">
        <v>-0.45314757104185599</v>
      </c>
      <c r="AG4254">
        <v>-0.10994</v>
      </c>
      <c r="AH4254">
        <v>0.73667141886637499</v>
      </c>
      <c r="AI4254">
        <v>97.244303834340101</v>
      </c>
      <c r="AJ4254">
        <v>121.596856635454</v>
      </c>
      <c r="AK4254">
        <v>0.87184534414982895</v>
      </c>
      <c r="AL4254">
        <v>90.627042020536706</v>
      </c>
      <c r="AM4254">
        <v>100.491816938051</v>
      </c>
      <c r="AN4254">
        <v>1.0000000595221701</v>
      </c>
    </row>
    <row r="4255" spans="1:40" x14ac:dyDescent="0.25">
      <c r="A4255" t="str">
        <f>"20190312150739053"</f>
        <v>20190312150739053</v>
      </c>
      <c r="B4255" t="str">
        <f>"1552374459044010"</f>
        <v>1552374459044010</v>
      </c>
      <c r="C4255" t="s">
        <v>40</v>
      </c>
      <c r="D4255">
        <v>4.6304860000000003</v>
      </c>
      <c r="E4255">
        <v>0.3786294</v>
      </c>
      <c r="F4255" t="s">
        <v>41</v>
      </c>
      <c r="G4255">
        <v>-490.73970000000003</v>
      </c>
      <c r="H4255">
        <v>1.014948</v>
      </c>
      <c r="I4255">
        <v>270.65480000000002</v>
      </c>
      <c r="J4255">
        <v>-490.71530000000001</v>
      </c>
      <c r="K4255">
        <v>1.115669</v>
      </c>
      <c r="L4255">
        <v>271.45909999999998</v>
      </c>
      <c r="M4255">
        <v>-0.54908729999999994</v>
      </c>
      <c r="N4255">
        <v>0</v>
      </c>
      <c r="O4255">
        <v>-0.83564259999999901</v>
      </c>
      <c r="P4255">
        <v>-0.3878028</v>
      </c>
      <c r="Q4255">
        <v>-2.2568029999999999E-2</v>
      </c>
      <c r="R4255">
        <v>-0.92146640000000002</v>
      </c>
      <c r="S4255">
        <v>-0.26968379999999997</v>
      </c>
      <c r="T4255">
        <v>-0.35371269999999999</v>
      </c>
      <c r="U4255">
        <v>-3.1383969999999999</v>
      </c>
      <c r="V4255">
        <v>-0.1817985</v>
      </c>
      <c r="W4255">
        <v>-1.077065E-2</v>
      </c>
      <c r="X4255">
        <v>0.98327679999999995</v>
      </c>
      <c r="Y4255">
        <v>-0.47565540000000001</v>
      </c>
      <c r="Z4255">
        <v>7.7806219999999995E-2</v>
      </c>
      <c r="AA4255">
        <v>0.87618390000000002</v>
      </c>
      <c r="AB4255">
        <v>20</v>
      </c>
      <c r="AC4255">
        <v>-2.4400000000014101E-2</v>
      </c>
      <c r="AD4255">
        <v>-0.100721</v>
      </c>
      <c r="AE4255">
        <v>-0.80429999999995505</v>
      </c>
      <c r="AF4255">
        <v>-0.41478560781693302</v>
      </c>
      <c r="AG4255">
        <v>-0.100721</v>
      </c>
      <c r="AH4255">
        <v>0.67499953524040501</v>
      </c>
      <c r="AI4255">
        <v>97.245242660985696</v>
      </c>
      <c r="AJ4255">
        <v>121.570625995667</v>
      </c>
      <c r="AK4255">
        <v>0.79863395424175798</v>
      </c>
      <c r="AL4255">
        <v>90.617124729999503</v>
      </c>
      <c r="AM4255">
        <v>100.475149547407</v>
      </c>
      <c r="AN4255">
        <v>0.99999998346095598</v>
      </c>
    </row>
    <row r="4256" spans="1:40" x14ac:dyDescent="0.25">
      <c r="A4256" t="str">
        <f>"20190312150739065"</f>
        <v>20190312150739065</v>
      </c>
      <c r="B4256" t="str">
        <f>"1552374459054746"</f>
        <v>1552374459054746</v>
      </c>
      <c r="C4256" t="s">
        <v>40</v>
      </c>
      <c r="D4256">
        <v>4.6040700000000001</v>
      </c>
      <c r="E4256">
        <v>0.37894949999999999</v>
      </c>
      <c r="F4256" t="s">
        <v>41</v>
      </c>
      <c r="G4256">
        <v>-490.79239999999999</v>
      </c>
      <c r="H4256">
        <v>1.0104949999999999</v>
      </c>
      <c r="I4256">
        <v>270.52480000000003</v>
      </c>
      <c r="J4256">
        <v>-490.76729999999998</v>
      </c>
      <c r="K4256">
        <v>1.1156600000000001</v>
      </c>
      <c r="L4256">
        <v>271.37009999999998</v>
      </c>
      <c r="M4256">
        <v>-0.54494519999999902</v>
      </c>
      <c r="N4256">
        <v>0</v>
      </c>
      <c r="O4256">
        <v>-0.83834929999999996</v>
      </c>
      <c r="P4256">
        <v>-0.38367000000000001</v>
      </c>
      <c r="Q4256">
        <v>-2.2531309999999999E-2</v>
      </c>
      <c r="R4256">
        <v>-0.92319499999999999</v>
      </c>
      <c r="S4256">
        <v>-0.25808720000000002</v>
      </c>
      <c r="T4256">
        <v>-0.35315540000000001</v>
      </c>
      <c r="U4256">
        <v>-3.1383670000000001</v>
      </c>
      <c r="V4256">
        <v>-0.18134</v>
      </c>
      <c r="W4256">
        <v>-1.0725719999999999E-2</v>
      </c>
      <c r="X4256">
        <v>0.98336199999999996</v>
      </c>
      <c r="Y4256">
        <v>-0.47452139999999998</v>
      </c>
      <c r="Z4256">
        <v>7.8168769999999999E-2</v>
      </c>
      <c r="AA4256">
        <v>0.8767663</v>
      </c>
      <c r="AB4256">
        <v>20</v>
      </c>
      <c r="AC4256">
        <v>-2.5100000000009001E-2</v>
      </c>
      <c r="AD4256">
        <v>-0.105164999999999</v>
      </c>
      <c r="AE4256">
        <v>-0.84529999999995198</v>
      </c>
      <c r="AF4256">
        <v>-0.43294933854735002</v>
      </c>
      <c r="AG4256">
        <v>-0.105164999999999</v>
      </c>
      <c r="AH4256">
        <v>0.71140729287636495</v>
      </c>
      <c r="AI4256">
        <v>97.197201874666206</v>
      </c>
      <c r="AJ4256">
        <v>121.32392160388299</v>
      </c>
      <c r="AK4256">
        <v>0.83940761453019197</v>
      </c>
      <c r="AL4256">
        <v>90.614550253360704</v>
      </c>
      <c r="AM4256">
        <v>100.448428197683</v>
      </c>
      <c r="AN4256">
        <v>1.00000002985675</v>
      </c>
    </row>
    <row r="4257" spans="1:40" x14ac:dyDescent="0.25">
      <c r="A4257" t="str">
        <f>"20190312150739077"</f>
        <v>20190312150739077</v>
      </c>
      <c r="B4257" t="str">
        <f>"1552374459074266"</f>
        <v>1552374459074266</v>
      </c>
      <c r="C4257" t="s">
        <v>40</v>
      </c>
      <c r="D4257">
        <v>4.6196320000000002</v>
      </c>
      <c r="E4257">
        <v>0.37992379999999998</v>
      </c>
      <c r="F4257" t="s">
        <v>41</v>
      </c>
      <c r="G4257">
        <v>-490.84640000000002</v>
      </c>
      <c r="H4257">
        <v>1.002402</v>
      </c>
      <c r="I4257">
        <v>270.3621</v>
      </c>
      <c r="J4257">
        <v>-490.82209999999998</v>
      </c>
      <c r="K4257">
        <v>1.1156539999999999</v>
      </c>
      <c r="L4257">
        <v>271.27440000000001</v>
      </c>
      <c r="M4257">
        <v>-0.54049349999999996</v>
      </c>
      <c r="N4257">
        <v>0</v>
      </c>
      <c r="O4257">
        <v>-0.84122669999999999</v>
      </c>
      <c r="P4257">
        <v>-0.37894679999999997</v>
      </c>
      <c r="Q4257">
        <v>-2.2541809999999999E-2</v>
      </c>
      <c r="R4257">
        <v>-0.92514419999999997</v>
      </c>
      <c r="S4257">
        <v>-0.2462463</v>
      </c>
      <c r="T4257">
        <v>-0.35262579999999999</v>
      </c>
      <c r="U4257">
        <v>-3.138611</v>
      </c>
      <c r="V4257">
        <v>-0.18115300000000001</v>
      </c>
      <c r="W4257">
        <v>-1.0732169999999999E-2</v>
      </c>
      <c r="X4257">
        <v>0.98339639999999995</v>
      </c>
      <c r="Y4257">
        <v>-0.47315230000000003</v>
      </c>
      <c r="Z4257">
        <v>7.8564339999999996E-2</v>
      </c>
      <c r="AA4257">
        <v>0.87747059999999999</v>
      </c>
      <c r="AB4257">
        <v>20</v>
      </c>
      <c r="AC4257">
        <v>-2.43000000000392E-2</v>
      </c>
      <c r="AD4257">
        <v>-0.11325200000000001</v>
      </c>
      <c r="AE4257">
        <v>-0.91230000000001599</v>
      </c>
      <c r="AF4257">
        <v>-0.46552977213291902</v>
      </c>
      <c r="AG4257">
        <v>-0.11325200000000001</v>
      </c>
      <c r="AH4257">
        <v>0.76882533043710799</v>
      </c>
      <c r="AI4257">
        <v>97.181761218089505</v>
      </c>
      <c r="AJ4257">
        <v>121.195234341828</v>
      </c>
      <c r="AK4257">
        <v>0.90588982385710404</v>
      </c>
      <c r="AL4257">
        <v>90.614919829723902</v>
      </c>
      <c r="AM4257">
        <v>100.43753348158199</v>
      </c>
      <c r="AN4257">
        <v>1.00000003420743</v>
      </c>
    </row>
    <row r="4258" spans="1:40" x14ac:dyDescent="0.25">
      <c r="A4258" t="str">
        <f>"20190312150739089"</f>
        <v>20190312150739089</v>
      </c>
      <c r="B4258" t="str">
        <f>"1552374459084026"</f>
        <v>1552374459084026</v>
      </c>
      <c r="C4258" t="s">
        <v>40</v>
      </c>
      <c r="D4258">
        <v>4.6253529999999996</v>
      </c>
      <c r="E4258">
        <v>0.38052849999999999</v>
      </c>
      <c r="F4258" t="s">
        <v>41</v>
      </c>
      <c r="G4258">
        <v>-490.88990000000001</v>
      </c>
      <c r="H4258">
        <v>1.0130110000000001</v>
      </c>
      <c r="I4258">
        <v>270.37709999999998</v>
      </c>
      <c r="J4258">
        <v>-490.87490000000003</v>
      </c>
      <c r="K4258">
        <v>1.1156489999999999</v>
      </c>
      <c r="L4258">
        <v>271.18169999999998</v>
      </c>
      <c r="M4258">
        <v>-0.53617340000000002</v>
      </c>
      <c r="N4258">
        <v>0</v>
      </c>
      <c r="O4258">
        <v>-0.84398649999999997</v>
      </c>
      <c r="P4258">
        <v>-0.37430340000000001</v>
      </c>
      <c r="Q4258">
        <v>-2.2625590000000001E-2</v>
      </c>
      <c r="R4258">
        <v>-0.92703020000000003</v>
      </c>
      <c r="S4258">
        <v>-0.23687739999999999</v>
      </c>
      <c r="T4258">
        <v>-0.35886299999999999</v>
      </c>
      <c r="U4258">
        <v>-3.1369630000000002</v>
      </c>
      <c r="V4258">
        <v>-0.1810398</v>
      </c>
      <c r="W4258">
        <v>-1.0813120000000001E-2</v>
      </c>
      <c r="X4258">
        <v>0.98341630000000002</v>
      </c>
      <c r="Y4258">
        <v>-0.47121239999999998</v>
      </c>
      <c r="Z4258">
        <v>8.0503779999999997E-2</v>
      </c>
      <c r="AA4258">
        <v>0.87833819999999996</v>
      </c>
      <c r="AB4258">
        <v>20</v>
      </c>
      <c r="AC4258">
        <v>-1.49999999999863E-2</v>
      </c>
      <c r="AD4258">
        <v>-0.10263799999999899</v>
      </c>
      <c r="AE4258">
        <v>-0.80459999999999299</v>
      </c>
      <c r="AF4258">
        <v>-0.41208486900806601</v>
      </c>
      <c r="AG4258">
        <v>-0.10263799999999899</v>
      </c>
      <c r="AH4258">
        <v>0.67618508507156605</v>
      </c>
      <c r="AI4258">
        <v>97.385306595679793</v>
      </c>
      <c r="AJ4258">
        <v>121.35922201851901</v>
      </c>
      <c r="AK4258">
        <v>0.79848279103724995</v>
      </c>
      <c r="AL4258">
        <v>90.619558228176103</v>
      </c>
      <c r="AM4258">
        <v>100.430947976013</v>
      </c>
      <c r="AN4258">
        <v>0.99999997592693102</v>
      </c>
    </row>
    <row r="4259" spans="1:40" x14ac:dyDescent="0.25">
      <c r="A4259" t="str">
        <f>"20190312150739099"</f>
        <v>20190312150739099</v>
      </c>
      <c r="B4259" t="str">
        <f>"1552374459094762"</f>
        <v>1552374459094762</v>
      </c>
      <c r="C4259" t="s">
        <v>40</v>
      </c>
      <c r="D4259">
        <v>4.606884</v>
      </c>
      <c r="E4259">
        <v>0.38130950000000002</v>
      </c>
      <c r="F4259" t="s">
        <v>41</v>
      </c>
      <c r="G4259">
        <v>-490.94450000000001</v>
      </c>
      <c r="H4259">
        <v>1.005414</v>
      </c>
      <c r="I4259">
        <v>270.2158</v>
      </c>
      <c r="J4259">
        <v>-490.92</v>
      </c>
      <c r="K4259">
        <v>1.115645</v>
      </c>
      <c r="L4259">
        <v>271.10149999999999</v>
      </c>
      <c r="M4259">
        <v>-0.53243450000000003</v>
      </c>
      <c r="N4259">
        <v>0</v>
      </c>
      <c r="O4259">
        <v>-0.84635059999999995</v>
      </c>
      <c r="P4259">
        <v>-0.37010929999999997</v>
      </c>
      <c r="Q4259">
        <v>-2.225421E-2</v>
      </c>
      <c r="R4259">
        <v>-0.92872200000000005</v>
      </c>
      <c r="S4259">
        <v>-0.225769</v>
      </c>
      <c r="T4259">
        <v>-0.35785250000000002</v>
      </c>
      <c r="U4259">
        <v>-3.1362299999999999</v>
      </c>
      <c r="V4259">
        <v>-0.18114359999999999</v>
      </c>
      <c r="W4259">
        <v>-1.044224E-2</v>
      </c>
      <c r="X4259">
        <v>0.98340119999999998</v>
      </c>
      <c r="Y4259">
        <v>-0.47039300000000001</v>
      </c>
      <c r="Z4259">
        <v>8.0720840000000002E-2</v>
      </c>
      <c r="AA4259">
        <v>0.87875740000000002</v>
      </c>
      <c r="AB4259">
        <v>20</v>
      </c>
      <c r="AC4259">
        <v>-2.4499999999988999E-2</v>
      </c>
      <c r="AD4259">
        <v>-0.110230999999999</v>
      </c>
      <c r="AE4259">
        <v>-0.88569999999998505</v>
      </c>
      <c r="AF4259">
        <v>-0.44401540941824302</v>
      </c>
      <c r="AG4259">
        <v>-0.110230999999999</v>
      </c>
      <c r="AH4259">
        <v>0.75110990171110403</v>
      </c>
      <c r="AI4259">
        <v>97.200278481372706</v>
      </c>
      <c r="AJ4259">
        <v>120.589275159669</v>
      </c>
      <c r="AK4259">
        <v>0.879469522843353</v>
      </c>
      <c r="AL4259">
        <v>90.598307164934099</v>
      </c>
      <c r="AM4259">
        <v>100.436953958015</v>
      </c>
      <c r="AN4259">
        <v>0.99999998217930797</v>
      </c>
    </row>
    <row r="4260" spans="1:40" x14ac:dyDescent="0.25">
      <c r="A4260" t="str">
        <f>"20190312150739109"</f>
        <v>20190312150739109</v>
      </c>
      <c r="B4260" t="str">
        <f>"1552374459104601"</f>
        <v>1552374459104601</v>
      </c>
      <c r="C4260" t="s">
        <v>40</v>
      </c>
      <c r="D4260">
        <v>4.6418999999999997</v>
      </c>
      <c r="E4260">
        <v>0.38172400000000001</v>
      </c>
      <c r="F4260" t="s">
        <v>41</v>
      </c>
      <c r="G4260">
        <v>-490.9837</v>
      </c>
      <c r="H4260">
        <v>1.011447</v>
      </c>
      <c r="I4260">
        <v>270.18579999999997</v>
      </c>
      <c r="J4260">
        <v>-490.96019999999999</v>
      </c>
      <c r="K4260">
        <v>1.115642</v>
      </c>
      <c r="L4260">
        <v>271.02910000000003</v>
      </c>
      <c r="M4260">
        <v>-0.52905880000000005</v>
      </c>
      <c r="N4260">
        <v>0</v>
      </c>
      <c r="O4260">
        <v>-0.84846469999999896</v>
      </c>
      <c r="P4260">
        <v>-0.36623060000000002</v>
      </c>
      <c r="Q4260">
        <v>-2.2421719999999999E-2</v>
      </c>
      <c r="R4260">
        <v>-0.93025409999999997</v>
      </c>
      <c r="S4260">
        <v>-0.21752929999999901</v>
      </c>
      <c r="T4260">
        <v>-0.35664790000000002</v>
      </c>
      <c r="U4260">
        <v>-3.134979</v>
      </c>
      <c r="V4260">
        <v>-0.18132619999999999</v>
      </c>
      <c r="W4260">
        <v>-1.061169E-2</v>
      </c>
      <c r="X4260">
        <v>0.98336579999999996</v>
      </c>
      <c r="Y4260">
        <v>-0.46915469999999998</v>
      </c>
      <c r="Z4260">
        <v>8.0875879999999997E-2</v>
      </c>
      <c r="AA4260">
        <v>0.87940490000000004</v>
      </c>
      <c r="AB4260">
        <v>20</v>
      </c>
      <c r="AC4260">
        <v>-2.3500000000012702E-2</v>
      </c>
      <c r="AD4260">
        <v>-0.104195</v>
      </c>
      <c r="AE4260">
        <v>-0.843300000000056</v>
      </c>
      <c r="AF4260">
        <v>-0.41985533836504801</v>
      </c>
      <c r="AG4260">
        <v>-0.104195</v>
      </c>
      <c r="AH4260">
        <v>0.71707904204704997</v>
      </c>
      <c r="AI4260">
        <v>97.147149689558105</v>
      </c>
      <c r="AJ4260">
        <v>120.349303842553</v>
      </c>
      <c r="AK4260">
        <v>0.83745892778197994</v>
      </c>
      <c r="AL4260">
        <v>90.608016433117001</v>
      </c>
      <c r="AM4260">
        <v>100.447611096283</v>
      </c>
      <c r="AN4260">
        <v>1.0000000476903601</v>
      </c>
    </row>
    <row r="4261" spans="1:40" x14ac:dyDescent="0.25">
      <c r="A4261" t="str">
        <f>"20190312150739119"</f>
        <v>20190312150739119</v>
      </c>
      <c r="B4261" t="str">
        <f>"1552374459114361"</f>
        <v>1552374459114361</v>
      </c>
      <c r="C4261" t="s">
        <v>40</v>
      </c>
      <c r="D4261">
        <v>4.6537490000000004</v>
      </c>
      <c r="E4261">
        <v>0.38223449999999998</v>
      </c>
      <c r="F4261" t="s">
        <v>41</v>
      </c>
      <c r="G4261">
        <v>-491.02409999999998</v>
      </c>
      <c r="H4261">
        <v>1.005495</v>
      </c>
      <c r="I4261">
        <v>270.06270000000001</v>
      </c>
      <c r="J4261">
        <v>-491.0018</v>
      </c>
      <c r="K4261">
        <v>1.1156360000000001</v>
      </c>
      <c r="L4261">
        <v>270.95359999999999</v>
      </c>
      <c r="M4261">
        <v>-0.52553859999999997</v>
      </c>
      <c r="N4261">
        <v>0</v>
      </c>
      <c r="O4261">
        <v>-0.85064969999999995</v>
      </c>
      <c r="P4261">
        <v>-0.3620526</v>
      </c>
      <c r="Q4261">
        <v>-2.2553299999999998E-2</v>
      </c>
      <c r="R4261">
        <v>-0.93188479999999996</v>
      </c>
      <c r="S4261">
        <v>-0.20715330000000001</v>
      </c>
      <c r="T4261">
        <v>-0.35729840000000002</v>
      </c>
      <c r="U4261">
        <v>-3.1347659999999999</v>
      </c>
      <c r="V4261">
        <v>-0.18166070000000001</v>
      </c>
      <c r="W4261">
        <v>-1.074745E-2</v>
      </c>
      <c r="X4261">
        <v>0.98330249999999997</v>
      </c>
      <c r="Y4261">
        <v>-0.46839249999999999</v>
      </c>
      <c r="Z4261">
        <v>8.1417519999999993E-2</v>
      </c>
      <c r="AA4261">
        <v>0.87976109999999896</v>
      </c>
      <c r="AB4261">
        <v>20</v>
      </c>
      <c r="AC4261">
        <v>-2.22999999999728E-2</v>
      </c>
      <c r="AD4261">
        <v>-0.110141</v>
      </c>
      <c r="AE4261">
        <v>-0.89089999999998704</v>
      </c>
      <c r="AF4261">
        <v>-0.442519458919722</v>
      </c>
      <c r="AG4261">
        <v>-0.110141</v>
      </c>
      <c r="AH4261">
        <v>0.75806287855110099</v>
      </c>
      <c r="AI4261">
        <v>97.151980041356794</v>
      </c>
      <c r="AJ4261">
        <v>120.274260386837</v>
      </c>
      <c r="AK4261">
        <v>0.88465464405087801</v>
      </c>
      <c r="AL4261">
        <v>90.615795404131902</v>
      </c>
      <c r="AM4261">
        <v>100.467117595857</v>
      </c>
      <c r="AN4261">
        <v>0.99999996205611996</v>
      </c>
    </row>
    <row r="4262" spans="1:40" x14ac:dyDescent="0.25">
      <c r="A4262" t="str">
        <f>"20190312150739129"</f>
        <v>20190312150739129</v>
      </c>
      <c r="B4262" t="str">
        <f>"1552374459124121"</f>
        <v>1552374459124121</v>
      </c>
      <c r="C4262" t="s">
        <v>40</v>
      </c>
      <c r="D4262">
        <v>4.6345269999999896</v>
      </c>
      <c r="E4262">
        <v>0.38288909999999998</v>
      </c>
      <c r="F4262" t="s">
        <v>41</v>
      </c>
      <c r="G4262">
        <v>-491.05950000000001</v>
      </c>
      <c r="H4262">
        <v>1.009811</v>
      </c>
      <c r="I4262">
        <v>270.03570000000002</v>
      </c>
      <c r="J4262">
        <v>-491.04599999999999</v>
      </c>
      <c r="K4262">
        <v>1.1156239999999999</v>
      </c>
      <c r="L4262">
        <v>270.8725</v>
      </c>
      <c r="M4262">
        <v>-0.52175369999999999</v>
      </c>
      <c r="N4262">
        <v>0</v>
      </c>
      <c r="O4262">
        <v>-0.85297619999999896</v>
      </c>
      <c r="P4262">
        <v>-0.35760999999999998</v>
      </c>
      <c r="Q4262">
        <v>-2.241332E-2</v>
      </c>
      <c r="R4262">
        <v>-0.93360220000000005</v>
      </c>
      <c r="S4262">
        <v>-0.19717409999999999</v>
      </c>
      <c r="T4262">
        <v>-0.36131750000000001</v>
      </c>
      <c r="U4262">
        <v>-3.1339109999999999</v>
      </c>
      <c r="V4262">
        <v>-0.181978</v>
      </c>
      <c r="W4262">
        <v>-1.061117E-2</v>
      </c>
      <c r="X4262">
        <v>0.98324540000000005</v>
      </c>
      <c r="Y4262">
        <v>-0.46724579999999999</v>
      </c>
      <c r="Z4262">
        <v>8.2775230000000005E-2</v>
      </c>
      <c r="AA4262">
        <v>0.88024409999999897</v>
      </c>
      <c r="AB4262">
        <v>20</v>
      </c>
      <c r="AC4262">
        <v>-1.35000000000218E-2</v>
      </c>
      <c r="AD4262">
        <v>-0.10581299999999901</v>
      </c>
      <c r="AE4262">
        <v>-0.836799999999982</v>
      </c>
      <c r="AF4262">
        <v>-0.418442878578416</v>
      </c>
      <c r="AG4262">
        <v>-0.10581299999999901</v>
      </c>
      <c r="AH4262">
        <v>0.70954561503908897</v>
      </c>
      <c r="AI4262">
        <v>97.319798690545596</v>
      </c>
      <c r="AJ4262">
        <v>120.529280547768</v>
      </c>
      <c r="AK4262">
        <v>0.83050936985875701</v>
      </c>
      <c r="AL4262">
        <v>90.607986634396894</v>
      </c>
      <c r="AM4262">
        <v>100.485590413026</v>
      </c>
      <c r="AN4262">
        <v>1.0000000530169599</v>
      </c>
    </row>
    <row r="4263" spans="1:40" x14ac:dyDescent="0.25">
      <c r="A4263" t="str">
        <f>"20190312150739140"</f>
        <v>20190312150739140</v>
      </c>
      <c r="B4263" t="str">
        <f>"1552374459133882"</f>
        <v>1552374459133882</v>
      </c>
      <c r="C4263" t="s">
        <v>40</v>
      </c>
      <c r="D4263">
        <v>4.6572259999999996</v>
      </c>
      <c r="E4263">
        <v>0.38362819999999997</v>
      </c>
      <c r="F4263" t="s">
        <v>41</v>
      </c>
      <c r="G4263">
        <v>-491.10390000000001</v>
      </c>
      <c r="H4263">
        <v>1.0049870000000001</v>
      </c>
      <c r="I4263">
        <v>269.90969999999999</v>
      </c>
      <c r="J4263">
        <v>-491.09309999999999</v>
      </c>
      <c r="K4263">
        <v>1.1156170000000001</v>
      </c>
      <c r="L4263">
        <v>270.78530000000001</v>
      </c>
      <c r="M4263">
        <v>-0.51767879999999999</v>
      </c>
      <c r="N4263">
        <v>0</v>
      </c>
      <c r="O4263">
        <v>-0.85545550000000004</v>
      </c>
      <c r="P4263">
        <v>-0.35286919999999999</v>
      </c>
      <c r="Q4263">
        <v>-2.2528119999999999E-2</v>
      </c>
      <c r="R4263">
        <v>-0.93540160000000006</v>
      </c>
      <c r="S4263">
        <v>-0.18713379999999999</v>
      </c>
      <c r="T4263">
        <v>-0.35988700000000001</v>
      </c>
      <c r="U4263">
        <v>-3.1330260000000001</v>
      </c>
      <c r="V4263">
        <v>-0.18227309999999999</v>
      </c>
      <c r="W4263">
        <v>-1.0729239999999999E-2</v>
      </c>
      <c r="X4263">
        <v>0.98318939999999999</v>
      </c>
      <c r="Y4263">
        <v>-0.4658273</v>
      </c>
      <c r="Z4263">
        <v>8.2937159999999996E-2</v>
      </c>
      <c r="AA4263">
        <v>0.8809804</v>
      </c>
      <c r="AB4263">
        <v>20</v>
      </c>
      <c r="AC4263">
        <v>-1.08000000000174E-2</v>
      </c>
      <c r="AD4263">
        <v>-0.11062999999999901</v>
      </c>
      <c r="AE4263">
        <v>-0.87560000000001903</v>
      </c>
      <c r="AF4263">
        <v>-0.43710922719474998</v>
      </c>
      <c r="AG4263">
        <v>-0.11062999999999901</v>
      </c>
      <c r="AH4263">
        <v>0.74284813560755403</v>
      </c>
      <c r="AI4263">
        <v>97.314182542788998</v>
      </c>
      <c r="AJ4263">
        <v>120.473551413528</v>
      </c>
      <c r="AK4263">
        <v>0.86898033693197596</v>
      </c>
      <c r="AL4263">
        <v>90.614751965736005</v>
      </c>
      <c r="AM4263">
        <v>100.502800957958</v>
      </c>
      <c r="AN4263">
        <v>0.99999999792347305</v>
      </c>
    </row>
    <row r="4264" spans="1:40" x14ac:dyDescent="0.25">
      <c r="A4264" t="str">
        <f>"20190312150739152"</f>
        <v>20190312150739152</v>
      </c>
      <c r="B4264" t="str">
        <f>"1552374459144617"</f>
        <v>1552374459144617</v>
      </c>
      <c r="C4264" t="s">
        <v>40</v>
      </c>
      <c r="D4264">
        <v>4.614026</v>
      </c>
      <c r="E4264">
        <v>0.38428909999999999</v>
      </c>
      <c r="F4264" t="s">
        <v>41</v>
      </c>
      <c r="G4264">
        <v>-491.14600000000002</v>
      </c>
      <c r="H4264">
        <v>1.0082329999999999</v>
      </c>
      <c r="I4264">
        <v>269.8503</v>
      </c>
      <c r="J4264">
        <v>-491.13889999999998</v>
      </c>
      <c r="K4264">
        <v>1.11561</v>
      </c>
      <c r="L4264">
        <v>270.69929999999999</v>
      </c>
      <c r="M4264">
        <v>-0.51366509999999999</v>
      </c>
      <c r="N4264">
        <v>0</v>
      </c>
      <c r="O4264">
        <v>-0.85787169999999902</v>
      </c>
      <c r="P4264">
        <v>-0.34839379999999998</v>
      </c>
      <c r="Q4264">
        <v>-2.2686700000000001E-2</v>
      </c>
      <c r="R4264">
        <v>-0.93707390000000002</v>
      </c>
      <c r="S4264">
        <v>-0.1760864</v>
      </c>
      <c r="T4264">
        <v>-0.35961149999999997</v>
      </c>
      <c r="U4264">
        <v>-3.1320800000000002</v>
      </c>
      <c r="V4264">
        <v>-0.1823623</v>
      </c>
      <c r="W4264">
        <v>-1.088801E-2</v>
      </c>
      <c r="X4264">
        <v>0.98317109999999996</v>
      </c>
      <c r="Y4264">
        <v>-0.46476650000000003</v>
      </c>
      <c r="Z4264">
        <v>8.3340259999999999E-2</v>
      </c>
      <c r="AA4264">
        <v>0.88150239999999902</v>
      </c>
      <c r="AB4264">
        <v>20</v>
      </c>
      <c r="AC4264">
        <v>-7.0999999999799002E-3</v>
      </c>
      <c r="AD4264">
        <v>-0.107377</v>
      </c>
      <c r="AE4264">
        <v>-0.84899999999998899</v>
      </c>
      <c r="AF4264">
        <v>-0.42328439803201201</v>
      </c>
      <c r="AG4264">
        <v>-0.107377</v>
      </c>
      <c r="AH4264">
        <v>0.72053020043197202</v>
      </c>
      <c r="AI4264">
        <v>97.321992303654696</v>
      </c>
      <c r="AJ4264">
        <v>120.43263402260099</v>
      </c>
      <c r="AK4264">
        <v>0.84253383996185105</v>
      </c>
      <c r="AL4264">
        <v>90.623849356444296</v>
      </c>
      <c r="AM4264">
        <v>100.508017551392</v>
      </c>
      <c r="AN4264">
        <v>0.99999998454912897</v>
      </c>
    </row>
    <row r="4265" spans="1:40" x14ac:dyDescent="0.25">
      <c r="A4265" t="str">
        <f>"20190312150739162"</f>
        <v>20190312150739162</v>
      </c>
      <c r="B4265" t="str">
        <f>"1552374459154377"</f>
        <v>1552374459154377</v>
      </c>
      <c r="C4265" t="s">
        <v>40</v>
      </c>
      <c r="D4265">
        <v>4.6356140000000003</v>
      </c>
      <c r="E4265">
        <v>0.38428909999999999</v>
      </c>
      <c r="F4265" t="s">
        <v>41</v>
      </c>
      <c r="G4265">
        <v>-491.18889999999999</v>
      </c>
      <c r="H4265">
        <v>1.0074829999999999</v>
      </c>
      <c r="I4265">
        <v>269.75839999999999</v>
      </c>
      <c r="J4265">
        <v>-491.18329999999997</v>
      </c>
      <c r="K4265">
        <v>1.115602</v>
      </c>
      <c r="L4265">
        <v>270.61529999999999</v>
      </c>
      <c r="M4265">
        <v>-0.50973710000000005</v>
      </c>
      <c r="N4265">
        <v>0</v>
      </c>
      <c r="O4265">
        <v>-0.86021159999999997</v>
      </c>
      <c r="P4265">
        <v>-0.3438175</v>
      </c>
      <c r="Q4265">
        <v>-2.2599569999999999E-2</v>
      </c>
      <c r="R4265">
        <v>-0.93876479999999995</v>
      </c>
      <c r="S4265">
        <v>-0.16659549999999901</v>
      </c>
      <c r="T4265">
        <v>-0.35975119999999999</v>
      </c>
      <c r="U4265">
        <v>-3.130798</v>
      </c>
      <c r="V4265">
        <v>-0.1826662</v>
      </c>
      <c r="W4265">
        <v>-1.080414E-2</v>
      </c>
      <c r="X4265">
        <v>0.98311559999999998</v>
      </c>
      <c r="Y4265">
        <v>-0.4633659</v>
      </c>
      <c r="Z4265">
        <v>8.3844580000000002E-2</v>
      </c>
      <c r="AA4265">
        <v>0.88219169999999902</v>
      </c>
      <c r="AB4265">
        <v>20</v>
      </c>
      <c r="AC4265">
        <v>-5.6000000000153696E-3</v>
      </c>
      <c r="AD4265">
        <v>-0.10811900000000001</v>
      </c>
      <c r="AE4265">
        <v>-0.856899999999996</v>
      </c>
      <c r="AF4265">
        <v>-0.42525090816940597</v>
      </c>
      <c r="AG4265">
        <v>-0.10811900000000001</v>
      </c>
      <c r="AH4265">
        <v>0.72844894004401906</v>
      </c>
      <c r="AI4265">
        <v>97.304369135253594</v>
      </c>
      <c r="AJ4265">
        <v>120.275351274692</v>
      </c>
      <c r="AK4265">
        <v>0.85039162231948195</v>
      </c>
      <c r="AL4265">
        <v>90.619043681643404</v>
      </c>
      <c r="AM4265">
        <v>100.525718690895</v>
      </c>
      <c r="AN4265">
        <v>0.99999997651346895</v>
      </c>
    </row>
    <row r="4266" spans="1:40" x14ac:dyDescent="0.25">
      <c r="A4266" t="str">
        <f>"20190312150739173"</f>
        <v>20190312150739173</v>
      </c>
      <c r="B4266" t="str">
        <f>"1552374459164139"</f>
        <v>1552374459164139</v>
      </c>
      <c r="C4266" t="s">
        <v>40</v>
      </c>
      <c r="D4266">
        <v>4.6274189999999997</v>
      </c>
      <c r="E4266">
        <v>0.39829219999999999</v>
      </c>
      <c r="F4266" t="s">
        <v>41</v>
      </c>
      <c r="G4266">
        <v>-491.22890000000001</v>
      </c>
      <c r="H4266">
        <v>1.00705</v>
      </c>
      <c r="I4266">
        <v>269.6694</v>
      </c>
      <c r="J4266">
        <v>-491.22840000000002</v>
      </c>
      <c r="K4266">
        <v>1.1155949999999999</v>
      </c>
      <c r="L4266">
        <v>270.52859999999998</v>
      </c>
      <c r="M4266">
        <v>-0.50568290000000005</v>
      </c>
      <c r="N4266">
        <v>0</v>
      </c>
      <c r="O4266">
        <v>-0.8626009</v>
      </c>
      <c r="P4266">
        <v>-0.33939910000000001</v>
      </c>
      <c r="Q4266">
        <v>-2.2821049999999999E-2</v>
      </c>
      <c r="R4266">
        <v>-0.94036549999999997</v>
      </c>
      <c r="S4266">
        <v>-0.15087890000000001</v>
      </c>
      <c r="T4266">
        <v>-0.35935440000000002</v>
      </c>
      <c r="U4266">
        <v>-3.1317439999999999</v>
      </c>
      <c r="V4266">
        <v>-0.18265690000000001</v>
      </c>
      <c r="W4266">
        <v>-1.102407E-2</v>
      </c>
      <c r="X4266">
        <v>0.98311490000000001</v>
      </c>
      <c r="Y4266">
        <v>-0.46362789999999998</v>
      </c>
      <c r="Z4266">
        <v>8.41248E-2</v>
      </c>
      <c r="AA4266">
        <v>0.88202729999999996</v>
      </c>
      <c r="AB4266">
        <v>20</v>
      </c>
      <c r="AC4266">
        <v>-4.9999999998817603E-4</v>
      </c>
      <c r="AD4266">
        <v>-0.108545</v>
      </c>
      <c r="AE4266">
        <v>-0.85919999999998697</v>
      </c>
      <c r="AF4266">
        <v>-0.427276530846456</v>
      </c>
      <c r="AG4266">
        <v>-0.108545</v>
      </c>
      <c r="AH4266">
        <v>0.72982735846688795</v>
      </c>
      <c r="AI4266">
        <v>97.3138621854946</v>
      </c>
      <c r="AJ4266">
        <v>120.346787179933</v>
      </c>
      <c r="AK4266">
        <v>0.85264014918600795</v>
      </c>
      <c r="AL4266">
        <v>90.631645484856605</v>
      </c>
      <c r="AM4266">
        <v>100.525202101654</v>
      </c>
      <c r="AN4266">
        <v>0.99999998991949202</v>
      </c>
    </row>
    <row r="4267" spans="1:40" x14ac:dyDescent="0.25">
      <c r="A4267" t="str">
        <f>"20190312150739185"</f>
        <v>20190312150739185</v>
      </c>
      <c r="B4267" t="str">
        <f>"1552374459173897"</f>
        <v>1552374459173897</v>
      </c>
      <c r="C4267" t="s">
        <v>40</v>
      </c>
      <c r="D4267">
        <v>4.6326390000000002</v>
      </c>
      <c r="E4267">
        <v>0.39895340000000001</v>
      </c>
      <c r="F4267" t="s">
        <v>42</v>
      </c>
      <c r="G4267">
        <v>-492.02820000000003</v>
      </c>
      <c r="H4267" s="1">
        <v>-8.5962919999999898E-7</v>
      </c>
      <c r="I4267">
        <v>260.33499999999998</v>
      </c>
      <c r="J4267">
        <v>-491.2724</v>
      </c>
      <c r="K4267">
        <v>1.115588</v>
      </c>
      <c r="L4267">
        <v>270.44349999999997</v>
      </c>
      <c r="M4267">
        <v>-0.50169929999999996</v>
      </c>
      <c r="N4267">
        <v>0</v>
      </c>
      <c r="O4267">
        <v>-0.86492420000000003</v>
      </c>
      <c r="P4267">
        <v>-0.3350204</v>
      </c>
      <c r="Q4267">
        <v>-2.2993670000000001E-2</v>
      </c>
      <c r="R4267">
        <v>-0.94193070000000001</v>
      </c>
      <c r="S4267">
        <v>-0.24279790000000001</v>
      </c>
      <c r="T4267">
        <v>-0.33866079999999998</v>
      </c>
      <c r="U4267">
        <v>-3.094452</v>
      </c>
      <c r="V4267">
        <v>-0.18269260000000001</v>
      </c>
      <c r="W4267">
        <v>-1.1195709999999999E-2</v>
      </c>
      <c r="X4267">
        <v>0.98310629999999999</v>
      </c>
      <c r="Y4267">
        <v>-0.43269089999999999</v>
      </c>
      <c r="Z4267">
        <v>8.1480849999999994E-2</v>
      </c>
      <c r="AA4267">
        <v>0.89785269999999995</v>
      </c>
      <c r="AB4267">
        <v>20</v>
      </c>
      <c r="AC4267">
        <v>-0.75580000000002101</v>
      </c>
      <c r="AD4267">
        <v>-1.1155888596291901</v>
      </c>
      <c r="AE4267">
        <v>-10.1084999999999</v>
      </c>
      <c r="AF4267">
        <v>-4.3652959943960399</v>
      </c>
      <c r="AG4267">
        <v>-1.1155888596291901</v>
      </c>
      <c r="AH4267">
        <v>9.01402361365502</v>
      </c>
      <c r="AI4267">
        <v>96.355819461030407</v>
      </c>
      <c r="AJ4267">
        <v>115.83989957155801</v>
      </c>
      <c r="AK4267">
        <v>10.077349320627301</v>
      </c>
      <c r="AL4267">
        <v>90.641480356449406</v>
      </c>
      <c r="AM4267">
        <v>100.52730328569599</v>
      </c>
      <c r="AN4267">
        <v>0.99999996355842602</v>
      </c>
    </row>
    <row r="4268" spans="1:40" x14ac:dyDescent="0.25">
      <c r="A4268" t="str">
        <f>"20190312150739195"</f>
        <v>20190312150739195</v>
      </c>
      <c r="B4268" t="str">
        <f>"1552374459184633"</f>
        <v>1552374459184633</v>
      </c>
      <c r="C4268" t="s">
        <v>40</v>
      </c>
      <c r="D4268">
        <v>4.6657449999999896</v>
      </c>
      <c r="E4268">
        <v>0.3992831</v>
      </c>
      <c r="F4268" t="s">
        <v>41</v>
      </c>
      <c r="G4268">
        <v>-491.34820000000002</v>
      </c>
      <c r="H4268">
        <v>1.0063139999999999</v>
      </c>
      <c r="I4268">
        <v>269.43490000000003</v>
      </c>
      <c r="J4268">
        <v>-491.31599999999997</v>
      </c>
      <c r="K4268">
        <v>1.1155839999999999</v>
      </c>
      <c r="L4268">
        <v>270.35750000000002</v>
      </c>
      <c r="M4268">
        <v>-0.49767850000000002</v>
      </c>
      <c r="N4268">
        <v>0</v>
      </c>
      <c r="O4268">
        <v>-0.86724389999999996</v>
      </c>
      <c r="P4268">
        <v>-0.3307022</v>
      </c>
      <c r="Q4268">
        <v>-2.2749350000000002E-2</v>
      </c>
      <c r="R4268">
        <v>-0.94346110000000005</v>
      </c>
      <c r="S4268">
        <v>-0.2332458</v>
      </c>
      <c r="T4268">
        <v>-0.33525690000000002</v>
      </c>
      <c r="U4268">
        <v>-3.09375</v>
      </c>
      <c r="V4268">
        <v>-0.1826383</v>
      </c>
      <c r="W4268">
        <v>-1.094876E-2</v>
      </c>
      <c r="X4268">
        <v>0.98311919999999997</v>
      </c>
      <c r="Y4268">
        <v>-0.43124649999999998</v>
      </c>
      <c r="Z4268">
        <v>8.1099270000000001E-2</v>
      </c>
      <c r="AA4268">
        <v>0.89858189999999905</v>
      </c>
      <c r="AB4268">
        <v>20</v>
      </c>
      <c r="AC4268">
        <v>-3.2200000000045699E-2</v>
      </c>
      <c r="AD4268">
        <v>-0.10926999999999901</v>
      </c>
      <c r="AE4268">
        <v>-0.92259999999998799</v>
      </c>
      <c r="AF4268">
        <v>-0.425318131806664</v>
      </c>
      <c r="AG4268">
        <v>-0.10926999999999901</v>
      </c>
      <c r="AH4268">
        <v>0.80495021745708695</v>
      </c>
      <c r="AI4268">
        <v>96.844088401226998</v>
      </c>
      <c r="AJ4268">
        <v>117.850995659836</v>
      </c>
      <c r="AK4268">
        <v>0.91694072803410898</v>
      </c>
      <c r="AL4268">
        <v>90.6273302774852</v>
      </c>
      <c r="AM4268">
        <v>100.52410926118399</v>
      </c>
      <c r="AN4268">
        <v>0.99999999269053297</v>
      </c>
    </row>
    <row r="4269" spans="1:40" x14ac:dyDescent="0.25">
      <c r="A4269" t="str">
        <f>"20190312150739207"</f>
        <v>20190312150739207</v>
      </c>
      <c r="B4269" t="str">
        <f>"1552374459204659"</f>
        <v>1552374459204659</v>
      </c>
      <c r="C4269" t="s">
        <v>40</v>
      </c>
      <c r="D4269">
        <v>4.6997689999999999</v>
      </c>
      <c r="E4269">
        <v>0.40182649999999998</v>
      </c>
      <c r="F4269" t="s">
        <v>42</v>
      </c>
      <c r="G4269">
        <v>-492.02190000000002</v>
      </c>
      <c r="H4269" s="1">
        <v>-9.206443E-7</v>
      </c>
      <c r="I4269">
        <v>260.48110000000003</v>
      </c>
      <c r="J4269">
        <v>-491.36009999999999</v>
      </c>
      <c r="K4269">
        <v>1.1155740000000001</v>
      </c>
      <c r="L4269">
        <v>270.27010000000001</v>
      </c>
      <c r="M4269">
        <v>-0.49358220000000003</v>
      </c>
      <c r="N4269">
        <v>0</v>
      </c>
      <c r="O4269">
        <v>-0.86958159999999896</v>
      </c>
      <c r="P4269">
        <v>-0.32648860000000002</v>
      </c>
      <c r="Q4269">
        <v>-2.314652E-2</v>
      </c>
      <c r="R4269">
        <v>-0.94491789999999998</v>
      </c>
      <c r="S4269">
        <v>-0.2211304</v>
      </c>
      <c r="T4269">
        <v>-0.34946549999999998</v>
      </c>
      <c r="U4269">
        <v>-3.0938720000000002</v>
      </c>
      <c r="V4269">
        <v>-0.18237880000000001</v>
      </c>
      <c r="W4269">
        <v>-1.134047E-2</v>
      </c>
      <c r="X4269">
        <v>0.98316289999999995</v>
      </c>
      <c r="Y4269">
        <v>-0.43050709999999998</v>
      </c>
      <c r="Z4269">
        <v>8.4907159999999995E-2</v>
      </c>
      <c r="AA4269">
        <v>0.89858470000000001</v>
      </c>
      <c r="AB4269">
        <v>20</v>
      </c>
      <c r="AC4269">
        <v>-0.66180000000002703</v>
      </c>
      <c r="AD4269">
        <v>-1.1155749206443</v>
      </c>
      <c r="AE4269">
        <v>-9.7889999999999802</v>
      </c>
      <c r="AF4269">
        <v>-4.2022938333116899</v>
      </c>
      <c r="AG4269">
        <v>-1.1155749206443</v>
      </c>
      <c r="AH4269">
        <v>8.7270648650676694</v>
      </c>
      <c r="AI4269">
        <v>96.569951789928297</v>
      </c>
      <c r="AJ4269">
        <v>115.71194553924801</v>
      </c>
      <c r="AK4269">
        <v>9.7501508718664809</v>
      </c>
      <c r="AL4269">
        <v>90.649775022428599</v>
      </c>
      <c r="AM4269">
        <v>100.509032826002</v>
      </c>
      <c r="AN4269">
        <v>0.99999996044283401</v>
      </c>
    </row>
    <row r="4270" spans="1:40" x14ac:dyDescent="0.25">
      <c r="A4270" t="str">
        <f>"20190312150739219"</f>
        <v>20190312150739219</v>
      </c>
      <c r="B4270" t="str">
        <f>"1552374459214420"</f>
        <v>1552374459214420</v>
      </c>
      <c r="C4270" t="s">
        <v>40</v>
      </c>
      <c r="D4270">
        <v>4.6557120000000003</v>
      </c>
      <c r="E4270">
        <v>0.40272530000000001</v>
      </c>
      <c r="F4270" t="s">
        <v>41</v>
      </c>
      <c r="G4270">
        <v>-491.43740000000003</v>
      </c>
      <c r="H4270">
        <v>0.99580409999999997</v>
      </c>
      <c r="I4270">
        <v>269.21719999999999</v>
      </c>
      <c r="J4270">
        <v>-491.40539999999999</v>
      </c>
      <c r="K4270">
        <v>1.115564</v>
      </c>
      <c r="L4270">
        <v>270.17899999999997</v>
      </c>
      <c r="M4270">
        <v>-0.48931279999999999</v>
      </c>
      <c r="N4270">
        <v>0</v>
      </c>
      <c r="O4270">
        <v>-0.87199150000000003</v>
      </c>
      <c r="P4270">
        <v>-0.32187280000000001</v>
      </c>
      <c r="Q4270">
        <v>-2.307004E-2</v>
      </c>
      <c r="R4270">
        <v>-0.94650219999999896</v>
      </c>
      <c r="S4270">
        <v>-0.2264709</v>
      </c>
      <c r="T4270">
        <v>-0.35123339999999997</v>
      </c>
      <c r="U4270">
        <v>-3.0880130000000001</v>
      </c>
      <c r="V4270">
        <v>-0.1823592</v>
      </c>
      <c r="W4270">
        <v>-1.126213E-2</v>
      </c>
      <c r="X4270">
        <v>0.98316749999999997</v>
      </c>
      <c r="Y4270">
        <v>-0.42441630000000002</v>
      </c>
      <c r="Z4270">
        <v>8.6055519999999996E-2</v>
      </c>
      <c r="AA4270">
        <v>0.90136859999999996</v>
      </c>
      <c r="AB4270">
        <v>20</v>
      </c>
      <c r="AC4270">
        <v>-3.2000000000039101E-2</v>
      </c>
      <c r="AD4270">
        <v>-0.1197599</v>
      </c>
      <c r="AE4270">
        <v>-0.96180000000003896</v>
      </c>
      <c r="AF4270">
        <v>-0.43600987369172001</v>
      </c>
      <c r="AG4270">
        <v>-0.1197599</v>
      </c>
      <c r="AH4270">
        <v>0.84139564786214205</v>
      </c>
      <c r="AI4270">
        <v>97.202567861328305</v>
      </c>
      <c r="AJ4270">
        <v>117.39311825177499</v>
      </c>
      <c r="AK4270">
        <v>0.95519300659397299</v>
      </c>
      <c r="AL4270">
        <v>90.645286143702705</v>
      </c>
      <c r="AM4270">
        <v>100.507880521686</v>
      </c>
      <c r="AN4270">
        <v>1.00000002322651</v>
      </c>
    </row>
    <row r="4271" spans="1:40" x14ac:dyDescent="0.25">
      <c r="A4271" t="str">
        <f>"20190312150739231"</f>
        <v>20190312150739231</v>
      </c>
      <c r="B4271" t="str">
        <f>"1552374459224180"</f>
        <v>1552374459224180</v>
      </c>
      <c r="C4271" t="s">
        <v>40</v>
      </c>
      <c r="D4271">
        <v>4.6343329999999998</v>
      </c>
      <c r="E4271">
        <v>0.40327390000000002</v>
      </c>
      <c r="F4271" t="s">
        <v>42</v>
      </c>
      <c r="G4271">
        <v>-492.09230000000002</v>
      </c>
      <c r="H4271" s="1">
        <v>-9.2938630000000001E-7</v>
      </c>
      <c r="I4271">
        <v>260.45780000000002</v>
      </c>
      <c r="J4271">
        <v>-491.44929999999999</v>
      </c>
      <c r="K4271">
        <v>1.115556</v>
      </c>
      <c r="L4271">
        <v>270.08949999999999</v>
      </c>
      <c r="M4271">
        <v>-0.4851201</v>
      </c>
      <c r="N4271">
        <v>0</v>
      </c>
      <c r="O4271">
        <v>-0.87433079999999996</v>
      </c>
      <c r="P4271">
        <v>-0.31771149999999998</v>
      </c>
      <c r="Q4271">
        <v>-2.2973009999999999E-2</v>
      </c>
      <c r="R4271">
        <v>-0.94790920000000001</v>
      </c>
      <c r="S4271">
        <v>-0.2181091</v>
      </c>
      <c r="T4271">
        <v>-0.35422690000000001</v>
      </c>
      <c r="U4271">
        <v>-3.0867610000000001</v>
      </c>
      <c r="V4271">
        <v>-0.18196039999999999</v>
      </c>
      <c r="W4271">
        <v>-1.115761E-2</v>
      </c>
      <c r="X4271">
        <v>0.98324259999999997</v>
      </c>
      <c r="Y4271">
        <v>-0.42247750000000001</v>
      </c>
      <c r="Z4271">
        <v>8.7264980000000006E-2</v>
      </c>
      <c r="AA4271">
        <v>0.90216269999999998</v>
      </c>
      <c r="AB4271">
        <v>20</v>
      </c>
      <c r="AC4271">
        <v>-0.64300000000002899</v>
      </c>
      <c r="AD4271">
        <v>-1.1155569293862999</v>
      </c>
      <c r="AE4271">
        <v>-9.6316999999999595</v>
      </c>
      <c r="AF4271">
        <v>-4.0565802349259403</v>
      </c>
      <c r="AG4271">
        <v>-1.1155569293862999</v>
      </c>
      <c r="AH4271">
        <v>8.6190082242642791</v>
      </c>
      <c r="AI4271">
        <v>96.679344213445205</v>
      </c>
      <c r="AJ4271">
        <v>115.20426035749</v>
      </c>
      <c r="AK4271">
        <v>9.5910173201297493</v>
      </c>
      <c r="AL4271">
        <v>90.639297198781307</v>
      </c>
      <c r="AM4271">
        <v>100.48462798314399</v>
      </c>
      <c r="AN4271">
        <v>1.00000004494191</v>
      </c>
    </row>
    <row r="4272" spans="1:40" x14ac:dyDescent="0.25">
      <c r="A4272" t="str">
        <f>"20190312150739242"</f>
        <v>20190312150739242</v>
      </c>
      <c r="B4272" t="str">
        <f>"1552374459233940"</f>
        <v>1552374459233940</v>
      </c>
      <c r="C4272" t="s">
        <v>40</v>
      </c>
      <c r="D4272">
        <v>4.646922</v>
      </c>
      <c r="E4272">
        <v>0.40383370000000002</v>
      </c>
      <c r="F4272" t="s">
        <v>42</v>
      </c>
      <c r="G4272">
        <v>-492.09089999999998</v>
      </c>
      <c r="H4272" s="1">
        <v>-9.805164999999999E-7</v>
      </c>
      <c r="I4272">
        <v>260.5779</v>
      </c>
      <c r="J4272">
        <v>-491.49470000000002</v>
      </c>
      <c r="K4272">
        <v>1.1155469999999901</v>
      </c>
      <c r="L4272">
        <v>269.99630000000002</v>
      </c>
      <c r="M4272">
        <v>-0.48075040000000002</v>
      </c>
      <c r="N4272">
        <v>0</v>
      </c>
      <c r="O4272">
        <v>-0.87674129999999995</v>
      </c>
      <c r="P4272">
        <v>-0.31299090000000002</v>
      </c>
      <c r="Q4272">
        <v>-2.307969E-2</v>
      </c>
      <c r="R4272">
        <v>-0.94947590000000004</v>
      </c>
      <c r="S4272">
        <v>-0.20819090000000001</v>
      </c>
      <c r="T4272">
        <v>-0.3619752</v>
      </c>
      <c r="U4272">
        <v>-3.0863339999999999</v>
      </c>
      <c r="V4272">
        <v>-0.18194340000000001</v>
      </c>
      <c r="W4272">
        <v>-1.126248E-2</v>
      </c>
      <c r="X4272">
        <v>0.98324449999999997</v>
      </c>
      <c r="Y4272">
        <v>-0.42084060000000001</v>
      </c>
      <c r="Z4272">
        <v>8.9626650000000002E-2</v>
      </c>
      <c r="AA4272">
        <v>0.9026961</v>
      </c>
      <c r="AB4272">
        <v>20</v>
      </c>
      <c r="AC4272">
        <v>-0.59619999999995299</v>
      </c>
      <c r="AD4272">
        <v>-1.1155479805164901</v>
      </c>
      <c r="AE4272">
        <v>-9.4184000000000196</v>
      </c>
      <c r="AF4272">
        <v>-3.95039613448261</v>
      </c>
      <c r="AG4272">
        <v>-1.1155479805164901</v>
      </c>
      <c r="AH4272">
        <v>8.4272414879225703</v>
      </c>
      <c r="AI4272">
        <v>96.834784553446696</v>
      </c>
      <c r="AJ4272">
        <v>115.115541048105</v>
      </c>
      <c r="AK4272">
        <v>9.3738186462045991</v>
      </c>
      <c r="AL4272">
        <v>90.645306216376994</v>
      </c>
      <c r="AM4272">
        <v>100.48365034568501</v>
      </c>
      <c r="AN4272">
        <v>0.99999999551978003</v>
      </c>
    </row>
    <row r="4273" spans="1:40" x14ac:dyDescent="0.25">
      <c r="A4273" t="str">
        <f>"20190312150739255"</f>
        <v>20190312150739255</v>
      </c>
      <c r="B4273" t="str">
        <f>"1552374459244678"</f>
        <v>1552374459244678</v>
      </c>
      <c r="C4273" t="s">
        <v>40</v>
      </c>
      <c r="D4273">
        <v>4.725689</v>
      </c>
      <c r="E4273">
        <v>0.40471699999999999</v>
      </c>
      <c r="F4273" t="s">
        <v>42</v>
      </c>
      <c r="G4273">
        <v>-492.10809999999998</v>
      </c>
      <c r="H4273" s="1">
        <v>-9.1184040000000001E-7</v>
      </c>
      <c r="I4273">
        <v>260.40719999999999</v>
      </c>
      <c r="J4273">
        <v>-491.54169999999999</v>
      </c>
      <c r="K4273">
        <v>1.1155379999999999</v>
      </c>
      <c r="L4273">
        <v>269.89800000000002</v>
      </c>
      <c r="M4273">
        <v>-0.47614060000000002</v>
      </c>
      <c r="N4273">
        <v>0</v>
      </c>
      <c r="O4273">
        <v>-0.87925309999999901</v>
      </c>
      <c r="P4273">
        <v>-0.30817030000000001</v>
      </c>
      <c r="Q4273">
        <v>-2.3163420000000001E-2</v>
      </c>
      <c r="R4273">
        <v>-0.95104929999999999</v>
      </c>
      <c r="S4273">
        <v>-0.1973877</v>
      </c>
      <c r="T4273">
        <v>-0.35898909999999901</v>
      </c>
      <c r="U4273">
        <v>-3.0858460000000001</v>
      </c>
      <c r="V4273">
        <v>-0.1817674</v>
      </c>
      <c r="W4273">
        <v>-1.1342E-2</v>
      </c>
      <c r="X4273">
        <v>0.98327609999999999</v>
      </c>
      <c r="Y4273">
        <v>-0.41921710000000001</v>
      </c>
      <c r="Z4273">
        <v>8.9387880000000003E-2</v>
      </c>
      <c r="AA4273">
        <v>0.90347489999999997</v>
      </c>
      <c r="AB4273">
        <v>20</v>
      </c>
      <c r="AC4273">
        <v>-0.56639999999998702</v>
      </c>
      <c r="AD4273">
        <v>-1.1155389118404</v>
      </c>
      <c r="AE4273">
        <v>-9.4907999999999806</v>
      </c>
      <c r="AF4273">
        <v>-3.9667489048540299</v>
      </c>
      <c r="AG4273">
        <v>-1.1155389118404</v>
      </c>
      <c r="AH4273">
        <v>8.4983886117785303</v>
      </c>
      <c r="AI4273">
        <v>96.783201576908994</v>
      </c>
      <c r="AJ4273">
        <v>115.021511775824</v>
      </c>
      <c r="AK4273">
        <v>9.4446880803337105</v>
      </c>
      <c r="AL4273">
        <v>90.649862691713807</v>
      </c>
      <c r="AM4273">
        <v>100.473404525554</v>
      </c>
      <c r="AN4273">
        <v>0.99999995874898395</v>
      </c>
    </row>
    <row r="4274" spans="1:40" x14ac:dyDescent="0.25">
      <c r="A4274" t="str">
        <f>"20190312150739269"</f>
        <v>20190312150739269</v>
      </c>
      <c r="B4274" t="str">
        <f>"1552374459264196"</f>
        <v>1552374459264196</v>
      </c>
      <c r="C4274" t="s">
        <v>40</v>
      </c>
      <c r="D4274">
        <v>4.6372249999999999</v>
      </c>
      <c r="E4274">
        <v>0.40573969999999998</v>
      </c>
      <c r="F4274" t="s">
        <v>42</v>
      </c>
      <c r="G4274">
        <v>-492.12540000000001</v>
      </c>
      <c r="H4274" s="1">
        <v>-8.7618040000000002E-7</v>
      </c>
      <c r="I4274">
        <v>260.31330000000003</v>
      </c>
      <c r="J4274">
        <v>-491.59140000000002</v>
      </c>
      <c r="K4274">
        <v>1.115532</v>
      </c>
      <c r="L4274">
        <v>269.7928</v>
      </c>
      <c r="M4274">
        <v>-0.47120689999999998</v>
      </c>
      <c r="N4274">
        <v>0</v>
      </c>
      <c r="O4274">
        <v>-0.88190729999999995</v>
      </c>
      <c r="P4274">
        <v>-0.30299359999999997</v>
      </c>
      <c r="Q4274">
        <v>-2.3029440000000002E-2</v>
      </c>
      <c r="R4274">
        <v>-0.95271459999999997</v>
      </c>
      <c r="S4274">
        <v>-0.18786620000000001</v>
      </c>
      <c r="T4274">
        <v>-0.35902970000000001</v>
      </c>
      <c r="U4274">
        <v>-3.084778</v>
      </c>
      <c r="V4274">
        <v>-0.18160870000000001</v>
      </c>
      <c r="W4274">
        <v>-1.1203919999999999E-2</v>
      </c>
      <c r="X4274">
        <v>0.98330709999999999</v>
      </c>
      <c r="Y4274">
        <v>-0.4168926</v>
      </c>
      <c r="Z4274">
        <v>8.9948550000000002E-2</v>
      </c>
      <c r="AA4274">
        <v>0.90449420000000003</v>
      </c>
      <c r="AB4274">
        <v>20</v>
      </c>
      <c r="AC4274">
        <v>-0.53399999999999104</v>
      </c>
      <c r="AD4274">
        <v>-1.1155328761804</v>
      </c>
      <c r="AE4274">
        <v>-9.4794999999999696</v>
      </c>
      <c r="AF4274">
        <v>-3.9418590477438</v>
      </c>
      <c r="AG4274">
        <v>-1.1155328761804</v>
      </c>
      <c r="AH4274">
        <v>8.4952692156901293</v>
      </c>
      <c r="AI4274">
        <v>96.792729825559903</v>
      </c>
      <c r="AJ4274">
        <v>114.891600534416</v>
      </c>
      <c r="AK4274">
        <v>9.43145086384758</v>
      </c>
      <c r="AL4274">
        <v>90.641950728619506</v>
      </c>
      <c r="AM4274">
        <v>100.46413972607699</v>
      </c>
      <c r="AN4274">
        <v>1.0000000503247299</v>
      </c>
    </row>
    <row r="4275" spans="1:40" x14ac:dyDescent="0.25">
      <c r="A4275" t="str">
        <f>"20190312150739283"</f>
        <v>20190312150739283</v>
      </c>
      <c r="B4275" t="str">
        <f>"1552374459273957"</f>
        <v>1552374459273957</v>
      </c>
      <c r="C4275" t="s">
        <v>40</v>
      </c>
      <c r="D4275">
        <v>4.6340199999999996</v>
      </c>
      <c r="E4275">
        <v>0.40622530000000001</v>
      </c>
      <c r="F4275" t="s">
        <v>42</v>
      </c>
      <c r="G4275">
        <v>-492.14819999999997</v>
      </c>
      <c r="H4275" s="1">
        <v>-8.3633820000000002E-7</v>
      </c>
      <c r="I4275">
        <v>260.2063</v>
      </c>
      <c r="J4275">
        <v>-491.64400000000001</v>
      </c>
      <c r="K4275">
        <v>1.115521</v>
      </c>
      <c r="L4275">
        <v>269.68009999999998</v>
      </c>
      <c r="M4275">
        <v>-0.46591359999999898</v>
      </c>
      <c r="N4275">
        <v>0</v>
      </c>
      <c r="O4275">
        <v>-0.88471520000000003</v>
      </c>
      <c r="P4275">
        <v>-0.29740519999999998</v>
      </c>
      <c r="Q4275">
        <v>-2.3229260000000002E-2</v>
      </c>
      <c r="R4275">
        <v>-0.95446900000000001</v>
      </c>
      <c r="S4275">
        <v>-0.17907709999999999</v>
      </c>
      <c r="T4275">
        <v>-0.35878349999999998</v>
      </c>
      <c r="U4275">
        <v>-3.0832820000000001</v>
      </c>
      <c r="V4275">
        <v>-0.1814742</v>
      </c>
      <c r="W4275">
        <v>-1.140008E-2</v>
      </c>
      <c r="X4275">
        <v>0.98332969999999997</v>
      </c>
      <c r="Y4275">
        <v>-0.41399229999999998</v>
      </c>
      <c r="Z4275">
        <v>9.0491710000000003E-2</v>
      </c>
      <c r="AA4275">
        <v>0.90577129999999995</v>
      </c>
      <c r="AB4275">
        <v>20</v>
      </c>
      <c r="AC4275">
        <v>-0.50419999999996801</v>
      </c>
      <c r="AD4275">
        <v>-1.1155218363382</v>
      </c>
      <c r="AE4275">
        <v>-9.4737999999999793</v>
      </c>
      <c r="AF4275">
        <v>-3.91418730733885</v>
      </c>
      <c r="AG4275">
        <v>-1.1155218363382</v>
      </c>
      <c r="AH4275">
        <v>8.49989066631586</v>
      </c>
      <c r="AI4275">
        <v>96.797995915262007</v>
      </c>
      <c r="AJ4275">
        <v>114.726001762145</v>
      </c>
      <c r="AK4275">
        <v>9.4240857691132796</v>
      </c>
      <c r="AL4275">
        <v>90.653190571257596</v>
      </c>
      <c r="AM4275">
        <v>100.456325924388</v>
      </c>
      <c r="AN4275">
        <v>1.00000007299586</v>
      </c>
    </row>
    <row r="4276" spans="1:40" x14ac:dyDescent="0.25">
      <c r="A4276" t="str">
        <f>"20190312150739295"</f>
        <v>20190312150739295</v>
      </c>
      <c r="B4276" t="str">
        <f>"1552374459284692"</f>
        <v>1552374459284692</v>
      </c>
      <c r="C4276" t="s">
        <v>40</v>
      </c>
      <c r="D4276">
        <v>4.8873259999999998</v>
      </c>
      <c r="E4276">
        <v>0.40701559999999998</v>
      </c>
      <c r="F4276" t="s">
        <v>42</v>
      </c>
      <c r="G4276">
        <v>-492.16660000000002</v>
      </c>
      <c r="H4276" s="1">
        <v>-7.1680639999999999E-7</v>
      </c>
      <c r="I4276">
        <v>259.9162</v>
      </c>
      <c r="J4276">
        <v>-491.68889999999999</v>
      </c>
      <c r="K4276">
        <v>1.1155120000000001</v>
      </c>
      <c r="L4276">
        <v>269.58170000000001</v>
      </c>
      <c r="M4276">
        <v>-0.46129700000000001</v>
      </c>
      <c r="N4276">
        <v>0</v>
      </c>
      <c r="O4276">
        <v>-0.887131</v>
      </c>
      <c r="P4276">
        <v>-0.29235709999999998</v>
      </c>
      <c r="Q4276">
        <v>-2.352129E-2</v>
      </c>
      <c r="R4276">
        <v>-0.95601979999999998</v>
      </c>
      <c r="S4276">
        <v>-0.16503909999999999</v>
      </c>
      <c r="T4276">
        <v>-0.35224060000000001</v>
      </c>
      <c r="U4276">
        <v>-3.0830690000000001</v>
      </c>
      <c r="V4276">
        <v>-0.1815397</v>
      </c>
      <c r="W4276">
        <v>-1.169163E-2</v>
      </c>
      <c r="X4276">
        <v>0.98331409999999997</v>
      </c>
      <c r="Y4276">
        <v>-0.41335620000000001</v>
      </c>
      <c r="Z4276">
        <v>8.9295020000000003E-2</v>
      </c>
      <c r="AA4276">
        <v>0.9061804</v>
      </c>
      <c r="AB4276">
        <v>20</v>
      </c>
      <c r="AC4276">
        <v>-0.47770000000002699</v>
      </c>
      <c r="AD4276">
        <v>-1.1155127168064001</v>
      </c>
      <c r="AE4276">
        <v>-9.6654999999999998</v>
      </c>
      <c r="AF4276">
        <v>-3.9823790555840799</v>
      </c>
      <c r="AG4276">
        <v>-1.1155127168064001</v>
      </c>
      <c r="AH4276">
        <v>8.6804807637019792</v>
      </c>
      <c r="AI4276">
        <v>96.662117489586606</v>
      </c>
      <c r="AJ4276">
        <v>114.64442744970501</v>
      </c>
      <c r="AK4276">
        <v>9.6153241158429896</v>
      </c>
      <c r="AL4276">
        <v>90.669896325034401</v>
      </c>
      <c r="AM4276">
        <v>100.460178954112</v>
      </c>
      <c r="AN4276">
        <v>0.99999998807347801</v>
      </c>
    </row>
    <row r="4277" spans="1:40" x14ac:dyDescent="0.25">
      <c r="A4277" t="str">
        <f>"20190312150739308"</f>
        <v>20190312150739308</v>
      </c>
      <c r="B4277" t="str">
        <f>"1552374459304719"</f>
        <v>1552374459304719</v>
      </c>
      <c r="C4277" t="s">
        <v>40</v>
      </c>
      <c r="D4277">
        <v>4.6401529999999998</v>
      </c>
      <c r="E4277">
        <v>0.40844799999999998</v>
      </c>
      <c r="F4277" t="s">
        <v>42</v>
      </c>
      <c r="G4277">
        <v>-492.18450000000001</v>
      </c>
      <c r="H4277" s="1">
        <v>-6.4781339999999997E-7</v>
      </c>
      <c r="I4277">
        <v>259.74430000000001</v>
      </c>
      <c r="J4277">
        <v>-491.7353</v>
      </c>
      <c r="K4277">
        <v>1.1154999999999999</v>
      </c>
      <c r="L4277">
        <v>269.47919999999999</v>
      </c>
      <c r="M4277">
        <v>-0.45648179999999999</v>
      </c>
      <c r="N4277">
        <v>0</v>
      </c>
      <c r="O4277">
        <v>-0.88961829999999997</v>
      </c>
      <c r="P4277">
        <v>-0.28763349999999999</v>
      </c>
      <c r="Q4277">
        <v>-2.3797200000000001E-2</v>
      </c>
      <c r="R4277">
        <v>-0.95744499999999999</v>
      </c>
      <c r="S4277">
        <v>-0.15527340000000001</v>
      </c>
      <c r="T4277">
        <v>-0.34947509999999998</v>
      </c>
      <c r="U4277">
        <v>-3.0819399999999999</v>
      </c>
      <c r="V4277">
        <v>-0.181059</v>
      </c>
      <c r="W4277">
        <v>-1.195883E-2</v>
      </c>
      <c r="X4277">
        <v>0.98339949999999998</v>
      </c>
      <c r="Y4277">
        <v>-0.41126889999999999</v>
      </c>
      <c r="Z4277">
        <v>8.9106459999999998E-2</v>
      </c>
      <c r="AA4277">
        <v>0.90714819999999996</v>
      </c>
      <c r="AB4277">
        <v>20</v>
      </c>
      <c r="AC4277">
        <v>-0.44920000000001797</v>
      </c>
      <c r="AD4277">
        <v>-1.1155006478134</v>
      </c>
      <c r="AE4277">
        <v>-9.7348999999999801</v>
      </c>
      <c r="AF4277">
        <v>-3.99229114225782</v>
      </c>
      <c r="AG4277">
        <v>-1.1155006478134</v>
      </c>
      <c r="AH4277">
        <v>8.7516317226881295</v>
      </c>
      <c r="AI4277">
        <v>96.614803133322397</v>
      </c>
      <c r="AJ4277">
        <v>114.521370217273</v>
      </c>
      <c r="AK4277">
        <v>9.6836866982252001</v>
      </c>
      <c r="AL4277">
        <v>90.685206836443498</v>
      </c>
      <c r="AM4277">
        <v>100.432204238252</v>
      </c>
      <c r="AN4277">
        <v>0.99999997584810896</v>
      </c>
    </row>
    <row r="4278" spans="1:40" x14ac:dyDescent="0.25">
      <c r="A4278" t="str">
        <f>"20190312150739320"</f>
        <v>20190312150739320</v>
      </c>
      <c r="B4278" t="str">
        <f>"1552374459314483"</f>
        <v>1552374459314483</v>
      </c>
      <c r="C4278" t="s">
        <v>40</v>
      </c>
      <c r="D4278">
        <v>4.6092050000000002</v>
      </c>
      <c r="E4278">
        <v>0.40896640000000001</v>
      </c>
      <c r="F4278" t="s">
        <v>42</v>
      </c>
      <c r="G4278">
        <v>-492.22469999999998</v>
      </c>
      <c r="H4278" s="1">
        <v>-4.6587220000000002E-6</v>
      </c>
      <c r="I4278">
        <v>259.517</v>
      </c>
      <c r="J4278">
        <v>-491.77800000000002</v>
      </c>
      <c r="K4278">
        <v>1.115491</v>
      </c>
      <c r="L4278">
        <v>269.38339999999999</v>
      </c>
      <c r="M4278">
        <v>-0.45197670000000001</v>
      </c>
      <c r="N4278">
        <v>0</v>
      </c>
      <c r="O4278">
        <v>-0.89191569999999998</v>
      </c>
      <c r="P4278">
        <v>-0.28274709999999997</v>
      </c>
      <c r="Q4278">
        <v>-2.4089090000000001E-2</v>
      </c>
      <c r="R4278">
        <v>-0.95889219999999997</v>
      </c>
      <c r="S4278">
        <v>-0.15127560000000001</v>
      </c>
      <c r="T4278">
        <v>-0.34480179999999999</v>
      </c>
      <c r="U4278">
        <v>-3.0793149999999998</v>
      </c>
      <c r="V4278">
        <v>-0.181094</v>
      </c>
      <c r="W4278">
        <v>-1.224976E-2</v>
      </c>
      <c r="X4278">
        <v>0.98338950000000003</v>
      </c>
      <c r="Y4278">
        <v>-0.40779520000000002</v>
      </c>
      <c r="Z4278">
        <v>8.8470590000000002E-2</v>
      </c>
      <c r="AA4278">
        <v>0.90877719999999995</v>
      </c>
      <c r="AB4278">
        <v>20</v>
      </c>
      <c r="AC4278">
        <v>-0.44669999999996401</v>
      </c>
      <c r="AD4278">
        <v>-1.115495658722</v>
      </c>
      <c r="AE4278">
        <v>-9.8664000000000005</v>
      </c>
      <c r="AF4278">
        <v>-4.0102212365535701</v>
      </c>
      <c r="AG4278">
        <v>-1.115495658722</v>
      </c>
      <c r="AH4278">
        <v>8.8894137470354799</v>
      </c>
      <c r="AI4278">
        <v>96.5254235688747</v>
      </c>
      <c r="AJ4278">
        <v>114.281242640516</v>
      </c>
      <c r="AK4278">
        <v>9.8156956807307498</v>
      </c>
      <c r="AL4278">
        <v>90.701877101585197</v>
      </c>
      <c r="AM4278">
        <v>100.43428034412101</v>
      </c>
      <c r="AN4278">
        <v>1.00000000108315</v>
      </c>
    </row>
    <row r="4279" spans="1:40" x14ac:dyDescent="0.25">
      <c r="A4279" t="str">
        <f>"20190312150739331"</f>
        <v>20190312150739331</v>
      </c>
      <c r="B4279" t="str">
        <f>"1552374459324239"</f>
        <v>1552374459324239</v>
      </c>
      <c r="C4279" t="s">
        <v>40</v>
      </c>
      <c r="D4279">
        <v>4.6540400000000002</v>
      </c>
      <c r="E4279">
        <v>0.40942509999999999</v>
      </c>
      <c r="F4279" t="s">
        <v>42</v>
      </c>
      <c r="G4279">
        <v>-492.23259999999999</v>
      </c>
      <c r="H4279" s="1">
        <v>-4.5945940000000003E-6</v>
      </c>
      <c r="I4279">
        <v>259.3245</v>
      </c>
      <c r="J4279">
        <v>-491.81610000000001</v>
      </c>
      <c r="K4279">
        <v>1.1154809999999999</v>
      </c>
      <c r="L4279">
        <v>269.29660000000001</v>
      </c>
      <c r="M4279">
        <v>-0.44789849999999998</v>
      </c>
      <c r="N4279">
        <v>0</v>
      </c>
      <c r="O4279">
        <v>-0.89397079999999995</v>
      </c>
      <c r="P4279">
        <v>-0.27859810000000002</v>
      </c>
      <c r="Q4279">
        <v>-2.4098250000000002E-2</v>
      </c>
      <c r="R4279">
        <v>-0.9601056</v>
      </c>
      <c r="S4279">
        <v>-0.13912959999999999</v>
      </c>
      <c r="T4279">
        <v>-0.3414507</v>
      </c>
      <c r="U4279">
        <v>-3.0790099999999998</v>
      </c>
      <c r="V4279">
        <v>-0.18085480000000001</v>
      </c>
      <c r="W4279">
        <v>-1.225396E-2</v>
      </c>
      <c r="X4279">
        <v>0.98343349999999996</v>
      </c>
      <c r="Y4279">
        <v>-0.40719850000000002</v>
      </c>
      <c r="Z4279">
        <v>8.7983220000000001E-2</v>
      </c>
      <c r="AA4279">
        <v>0.90909200000000001</v>
      </c>
      <c r="AB4279">
        <v>20</v>
      </c>
      <c r="AC4279">
        <v>-0.41649999999998399</v>
      </c>
      <c r="AD4279">
        <v>-1.1154855945940001</v>
      </c>
      <c r="AE4279">
        <v>-9.97210000000001</v>
      </c>
      <c r="AF4279">
        <v>-4.0440513969196203</v>
      </c>
      <c r="AG4279">
        <v>-1.1154855945940001</v>
      </c>
      <c r="AH4279">
        <v>8.9899469476585203</v>
      </c>
      <c r="AI4279">
        <v>96.456083978072897</v>
      </c>
      <c r="AJ4279">
        <v>114.22019372455399</v>
      </c>
      <c r="AK4279">
        <v>9.9205748792289796</v>
      </c>
      <c r="AL4279">
        <v>90.702117739111003</v>
      </c>
      <c r="AM4279">
        <v>100.420344210919</v>
      </c>
      <c r="AN4279">
        <v>1.00000003357048</v>
      </c>
    </row>
    <row r="4280" spans="1:40" x14ac:dyDescent="0.25">
      <c r="A4280" t="str">
        <f>"20190312150739342"</f>
        <v>20190312150739342</v>
      </c>
      <c r="B4280" t="str">
        <f>"1552374459334000"</f>
        <v>1552374459334000</v>
      </c>
      <c r="C4280" t="s">
        <v>40</v>
      </c>
      <c r="D4280">
        <v>4.6455950000000001</v>
      </c>
      <c r="E4280">
        <v>0.40989399999999998</v>
      </c>
      <c r="F4280" t="s">
        <v>42</v>
      </c>
      <c r="G4280">
        <v>-492.24340000000001</v>
      </c>
      <c r="H4280" s="1">
        <v>-4.5315779999999998E-6</v>
      </c>
      <c r="I4280">
        <v>259.13369999999998</v>
      </c>
      <c r="J4280">
        <v>-491.8569</v>
      </c>
      <c r="K4280">
        <v>1.1154710000000001</v>
      </c>
      <c r="L4280">
        <v>269.20319999999998</v>
      </c>
      <c r="M4280">
        <v>-0.44350509999999899</v>
      </c>
      <c r="N4280">
        <v>0</v>
      </c>
      <c r="O4280">
        <v>-0.89615849999999897</v>
      </c>
      <c r="P4280">
        <v>-0.273862099999999</v>
      </c>
      <c r="Q4280">
        <v>-2.424755E-2</v>
      </c>
      <c r="R4280">
        <v>-0.96146359999999997</v>
      </c>
      <c r="S4280">
        <v>-0.12942500000000001</v>
      </c>
      <c r="T4280">
        <v>-0.33791280000000001</v>
      </c>
      <c r="U4280">
        <v>-3.0786440000000002</v>
      </c>
      <c r="V4280">
        <v>-0.1808719</v>
      </c>
      <c r="W4280">
        <v>-1.240196E-2</v>
      </c>
      <c r="X4280">
        <v>0.98342850000000004</v>
      </c>
      <c r="Y4280">
        <v>-0.4055725</v>
      </c>
      <c r="Z4280">
        <v>8.7488469999999999E-2</v>
      </c>
      <c r="AA4280">
        <v>0.90986630000000002</v>
      </c>
      <c r="AB4280">
        <v>20</v>
      </c>
      <c r="AC4280">
        <v>-0.386500000000012</v>
      </c>
      <c r="AD4280">
        <v>-1.1154755315779901</v>
      </c>
      <c r="AE4280">
        <v>-10.0695</v>
      </c>
      <c r="AF4280">
        <v>-4.0700549213466299</v>
      </c>
      <c r="AG4280">
        <v>-1.1154755315779901</v>
      </c>
      <c r="AH4280">
        <v>9.0848940078716094</v>
      </c>
      <c r="AI4280">
        <v>96.393469777657202</v>
      </c>
      <c r="AJ4280">
        <v>114.13249728124499</v>
      </c>
      <c r="AK4280">
        <v>10.017231746275399</v>
      </c>
      <c r="AL4280">
        <v>90.710598158543604</v>
      </c>
      <c r="AM4280">
        <v>100.421359702945</v>
      </c>
      <c r="AN4280">
        <v>1.00000003371685</v>
      </c>
    </row>
    <row r="4281" spans="1:40" x14ac:dyDescent="0.25">
      <c r="A4281" t="str">
        <f>"20190312150739354"</f>
        <v>20190312150739354</v>
      </c>
      <c r="B4281" t="str">
        <f>"1552374459344736"</f>
        <v>1552374459344736</v>
      </c>
      <c r="C4281" t="s">
        <v>40</v>
      </c>
      <c r="D4281">
        <v>4.676876</v>
      </c>
      <c r="E4281">
        <v>0.4103386</v>
      </c>
      <c r="F4281" t="s">
        <v>42</v>
      </c>
      <c r="G4281">
        <v>-492.25060000000002</v>
      </c>
      <c r="H4281" s="1">
        <v>-4.4731140000000004E-6</v>
      </c>
      <c r="I4281">
        <v>258.9581</v>
      </c>
      <c r="J4281">
        <v>-491.89400000000001</v>
      </c>
      <c r="K4281">
        <v>1.115462</v>
      </c>
      <c r="L4281">
        <v>269.11619999999999</v>
      </c>
      <c r="M4281">
        <v>-0.43941439999999998</v>
      </c>
      <c r="N4281">
        <v>0</v>
      </c>
      <c r="O4281">
        <v>-0.89817130000000001</v>
      </c>
      <c r="P4281">
        <v>-0.26952700000000002</v>
      </c>
      <c r="Q4281">
        <v>-2.4109240000000001E-2</v>
      </c>
      <c r="R4281">
        <v>-0.96269099999999996</v>
      </c>
      <c r="S4281">
        <v>-0.11828610000000001</v>
      </c>
      <c r="T4281">
        <v>-0.33514549999999999</v>
      </c>
      <c r="U4281">
        <v>-3.0781559999999999</v>
      </c>
      <c r="V4281">
        <v>-0.18082239999999999</v>
      </c>
      <c r="W4281">
        <v>-1.2261589999999999E-2</v>
      </c>
      <c r="X4281">
        <v>0.98343930000000002</v>
      </c>
      <c r="Y4281">
        <v>-0.40468739999999997</v>
      </c>
      <c r="Z4281">
        <v>8.7140720000000005E-2</v>
      </c>
      <c r="AA4281">
        <v>0.91029369999999998</v>
      </c>
      <c r="AB4281">
        <v>20</v>
      </c>
      <c r="AC4281">
        <v>-0.35660000000001402</v>
      </c>
      <c r="AD4281">
        <v>-1.115466473114</v>
      </c>
      <c r="AE4281">
        <v>-10.1580999999999</v>
      </c>
      <c r="AF4281">
        <v>-4.0944373556059697</v>
      </c>
      <c r="AG4281">
        <v>-1.115466473114</v>
      </c>
      <c r="AH4281">
        <v>9.1709026708051695</v>
      </c>
      <c r="AI4281">
        <v>96.337561186619894</v>
      </c>
      <c r="AJ4281">
        <v>114.05883085427899</v>
      </c>
      <c r="AK4281">
        <v>10.1051540566685</v>
      </c>
      <c r="AL4281">
        <v>90.702554982099301</v>
      </c>
      <c r="AM4281">
        <v>100.41845819721</v>
      </c>
      <c r="AN4281">
        <v>0.99999997185778799</v>
      </c>
    </row>
    <row r="4282" spans="1:40" x14ac:dyDescent="0.25">
      <c r="A4282" t="str">
        <f>"20190312150739365"</f>
        <v>20190312150739365</v>
      </c>
      <c r="B4282" t="str">
        <f>"1552374459354496"</f>
        <v>1552374459354496</v>
      </c>
      <c r="C4282" t="s">
        <v>40</v>
      </c>
      <c r="D4282">
        <v>4.652495</v>
      </c>
      <c r="E4282">
        <v>0.41091309999999898</v>
      </c>
      <c r="F4282" t="s">
        <v>42</v>
      </c>
      <c r="G4282">
        <v>-492.25150000000002</v>
      </c>
      <c r="H4282" s="1">
        <v>-4.4580530000000003E-6</v>
      </c>
      <c r="I4282">
        <v>258.91340000000002</v>
      </c>
      <c r="J4282">
        <v>-491.93119999999999</v>
      </c>
      <c r="K4282">
        <v>1.1154569999999999</v>
      </c>
      <c r="L4282">
        <v>269.02870000000001</v>
      </c>
      <c r="M4282">
        <v>-0.43529250000000003</v>
      </c>
      <c r="N4282">
        <v>0</v>
      </c>
      <c r="O4282">
        <v>-0.90017619999999898</v>
      </c>
      <c r="P4282">
        <v>-0.26509850000000001</v>
      </c>
      <c r="Q4282">
        <v>-2.414357E-2</v>
      </c>
      <c r="R4282">
        <v>-0.96391910000000003</v>
      </c>
      <c r="S4282">
        <v>-0.1078491</v>
      </c>
      <c r="T4282">
        <v>-0.33647749999999998</v>
      </c>
      <c r="U4282">
        <v>-3.0776669999999999</v>
      </c>
      <c r="V4282">
        <v>-0.180835</v>
      </c>
      <c r="W4282">
        <v>-1.229481E-2</v>
      </c>
      <c r="X4282">
        <v>0.98343659999999999</v>
      </c>
      <c r="Y4282">
        <v>-0.40357530000000003</v>
      </c>
      <c r="Z4282">
        <v>8.7849440000000001E-2</v>
      </c>
      <c r="AA4282">
        <v>0.91071919999999995</v>
      </c>
      <c r="AB4282">
        <v>20</v>
      </c>
      <c r="AC4282">
        <v>-0.320300000000031</v>
      </c>
      <c r="AD4282">
        <v>-1.115461458053</v>
      </c>
      <c r="AE4282">
        <v>-10.1152999999999</v>
      </c>
      <c r="AF4282">
        <v>-4.0658131978506002</v>
      </c>
      <c r="AG4282">
        <v>-1.115461458053</v>
      </c>
      <c r="AH4282">
        <v>9.1349419253778308</v>
      </c>
      <c r="AI4282">
        <v>96.365506717029902</v>
      </c>
      <c r="AJ4282">
        <v>113.993063955889</v>
      </c>
      <c r="AK4282">
        <v>10.060927154305499</v>
      </c>
      <c r="AL4282">
        <v>90.704458469566603</v>
      </c>
      <c r="AM4282">
        <v>100.41919625267499</v>
      </c>
      <c r="AN4282">
        <v>1.0000000028987399</v>
      </c>
    </row>
    <row r="4283" spans="1:40" x14ac:dyDescent="0.25">
      <c r="A4283" t="str">
        <f>"20190312150739375"</f>
        <v>20190312150739375</v>
      </c>
      <c r="B4283" t="str">
        <f>"1552374459364255"</f>
        <v>1552374459364255</v>
      </c>
      <c r="C4283" t="s">
        <v>40</v>
      </c>
      <c r="D4283">
        <v>4.6615349999999998</v>
      </c>
      <c r="E4283">
        <v>0.41154160000000001</v>
      </c>
      <c r="F4283" t="s">
        <v>42</v>
      </c>
      <c r="G4283">
        <v>-492.25490000000002</v>
      </c>
      <c r="H4283" s="1">
        <v>-4.4537339999999999E-6</v>
      </c>
      <c r="I4283">
        <v>258.899</v>
      </c>
      <c r="J4283">
        <v>-491.96679999999998</v>
      </c>
      <c r="K4283">
        <v>1.1154500000000001</v>
      </c>
      <c r="L4283">
        <v>268.94319999999999</v>
      </c>
      <c r="M4283">
        <v>-0.43126900000000001</v>
      </c>
      <c r="N4283">
        <v>0</v>
      </c>
      <c r="O4283">
        <v>-0.90211070000000004</v>
      </c>
      <c r="P4283">
        <v>-0.2605942</v>
      </c>
      <c r="Q4283">
        <v>-2.4352450000000001E-2</v>
      </c>
      <c r="R4283">
        <v>-0.96514120000000003</v>
      </c>
      <c r="S4283">
        <v>-9.8297120000000002E-2</v>
      </c>
      <c r="T4283">
        <v>-0.33880320000000003</v>
      </c>
      <c r="U4283">
        <v>-3.0767519999999999</v>
      </c>
      <c r="V4283">
        <v>-0.181032</v>
      </c>
      <c r="W4283">
        <v>-1.250545E-2</v>
      </c>
      <c r="X4283">
        <v>0.98339770000000004</v>
      </c>
      <c r="Y4283">
        <v>-0.40230749999999998</v>
      </c>
      <c r="Z4283">
        <v>8.8822789999999999E-2</v>
      </c>
      <c r="AA4283">
        <v>0.91118560000000004</v>
      </c>
      <c r="AB4283">
        <v>20</v>
      </c>
      <c r="AC4283">
        <v>-0.28810000000004199</v>
      </c>
      <c r="AD4283">
        <v>-1.1154544537340001</v>
      </c>
      <c r="AE4283">
        <v>-10.044199999999901</v>
      </c>
      <c r="AF4283">
        <v>-4.02269641828173</v>
      </c>
      <c r="AG4283">
        <v>-1.1154544537340001</v>
      </c>
      <c r="AH4283">
        <v>9.0743399420378204</v>
      </c>
      <c r="AI4283">
        <v>96.411821081978601</v>
      </c>
      <c r="AJ4283">
        <v>113.90792897304399</v>
      </c>
      <c r="AK4283">
        <v>9.9884919029688692</v>
      </c>
      <c r="AL4283">
        <v>90.716528179854606</v>
      </c>
      <c r="AM4283">
        <v>100.43070138098901</v>
      </c>
      <c r="AN4283">
        <v>1.0000000038344901</v>
      </c>
    </row>
    <row r="4284" spans="1:40" x14ac:dyDescent="0.25">
      <c r="A4284" t="str">
        <f>"20190312150739386"</f>
        <v>20190312150739386</v>
      </c>
      <c r="B4284" t="str">
        <f>"1552374459384752"</f>
        <v>1552374459384752</v>
      </c>
      <c r="C4284" t="s">
        <v>40</v>
      </c>
      <c r="D4284">
        <v>4.6419759999999997</v>
      </c>
      <c r="E4284">
        <v>0.41263539999999999</v>
      </c>
      <c r="F4284" t="s">
        <v>42</v>
      </c>
      <c r="G4284">
        <v>-492.25839999999999</v>
      </c>
      <c r="H4284" s="1">
        <v>-4.4320150000000003E-6</v>
      </c>
      <c r="I4284">
        <v>258.83330000000001</v>
      </c>
      <c r="J4284">
        <v>-492.00220000000002</v>
      </c>
      <c r="K4284">
        <v>1.115442</v>
      </c>
      <c r="L4284">
        <v>268.85770000000002</v>
      </c>
      <c r="M4284">
        <v>-0.42723929999999999</v>
      </c>
      <c r="N4284">
        <v>0</v>
      </c>
      <c r="O4284">
        <v>-0.90402610000000005</v>
      </c>
      <c r="P4284">
        <v>-0.25618649999999998</v>
      </c>
      <c r="Q4284">
        <v>-2.442822E-2</v>
      </c>
      <c r="R4284">
        <v>-0.96631860000000003</v>
      </c>
      <c r="S4284">
        <v>-8.8714600000000005E-2</v>
      </c>
      <c r="T4284">
        <v>-0.33936260000000001</v>
      </c>
      <c r="U4284">
        <v>-3.075806</v>
      </c>
      <c r="V4284">
        <v>-0.18113080000000001</v>
      </c>
      <c r="W4284">
        <v>-1.25814E-2</v>
      </c>
      <c r="X4284">
        <v>0.98337850000000004</v>
      </c>
      <c r="Y4284">
        <v>-0.40105180000000001</v>
      </c>
      <c r="Z4284">
        <v>8.9338760000000003E-2</v>
      </c>
      <c r="AA4284">
        <v>0.91168859999999996</v>
      </c>
      <c r="AB4284">
        <v>20</v>
      </c>
      <c r="AC4284">
        <v>-0.256199999999978</v>
      </c>
      <c r="AD4284">
        <v>-1.1154464320149999</v>
      </c>
      <c r="AE4284">
        <v>-10.0244</v>
      </c>
      <c r="AF4284">
        <v>-4.0020977335463899</v>
      </c>
      <c r="AG4284">
        <v>-1.1154464320149999</v>
      </c>
      <c r="AH4284">
        <v>9.0605983379169395</v>
      </c>
      <c r="AI4284">
        <v>96.425192384077704</v>
      </c>
      <c r="AJ4284">
        <v>113.83121397279901</v>
      </c>
      <c r="AK4284">
        <v>9.9677203638853893</v>
      </c>
      <c r="AL4284">
        <v>90.720880163729902</v>
      </c>
      <c r="AM4284">
        <v>100.43646827835801</v>
      </c>
      <c r="AN4284">
        <v>0.99999996629842403</v>
      </c>
    </row>
    <row r="4285" spans="1:40" x14ac:dyDescent="0.25">
      <c r="A4285" t="str">
        <f>"20190312150739397"</f>
        <v>20190312150739397</v>
      </c>
      <c r="B4285" t="str">
        <f>"1552374459394512"</f>
        <v>1552374459394512</v>
      </c>
      <c r="C4285" t="s">
        <v>40</v>
      </c>
      <c r="D4285">
        <v>4.665349</v>
      </c>
      <c r="E4285">
        <v>0.41326469999999998</v>
      </c>
      <c r="F4285" t="s">
        <v>42</v>
      </c>
      <c r="G4285">
        <v>-492.27370000000002</v>
      </c>
      <c r="H4285" s="1">
        <v>-4.4262159999999997E-6</v>
      </c>
      <c r="I4285">
        <v>258.80829999999997</v>
      </c>
      <c r="J4285">
        <v>-492.03800000000001</v>
      </c>
      <c r="K4285">
        <v>1.1154360000000001</v>
      </c>
      <c r="L4285">
        <v>268.76960000000003</v>
      </c>
      <c r="M4285">
        <v>-0.42309269999999999</v>
      </c>
      <c r="N4285">
        <v>0</v>
      </c>
      <c r="O4285">
        <v>-0.90597439999999996</v>
      </c>
      <c r="P4285">
        <v>-0.25184709999999999</v>
      </c>
      <c r="Q4285">
        <v>-2.439585E-2</v>
      </c>
      <c r="R4285">
        <v>-0.96745979999999998</v>
      </c>
      <c r="S4285">
        <v>-8.3038329999999994E-2</v>
      </c>
      <c r="T4285">
        <v>-0.34118979999999999</v>
      </c>
      <c r="U4285">
        <v>-3.0738829999999999</v>
      </c>
      <c r="V4285">
        <v>-0.18103939999999999</v>
      </c>
      <c r="W4285">
        <v>-1.25462E-2</v>
      </c>
      <c r="X4285">
        <v>0.98339580000000004</v>
      </c>
      <c r="Y4285">
        <v>-0.39852209999999899</v>
      </c>
      <c r="Z4285">
        <v>9.0251490000000004E-2</v>
      </c>
      <c r="AA4285">
        <v>0.91270739999999995</v>
      </c>
      <c r="AB4285">
        <v>20</v>
      </c>
      <c r="AC4285">
        <v>-0.23570000000000799</v>
      </c>
      <c r="AD4285">
        <v>-1.115440426216</v>
      </c>
      <c r="AE4285">
        <v>-9.9613000000000493</v>
      </c>
      <c r="AF4285">
        <v>-3.95189636657254</v>
      </c>
      <c r="AG4285">
        <v>-1.115440426216</v>
      </c>
      <c r="AH4285">
        <v>9.0123892491755804</v>
      </c>
      <c r="AI4285">
        <v>96.466816146731006</v>
      </c>
      <c r="AJ4285">
        <v>113.67725728982199</v>
      </c>
      <c r="AK4285">
        <v>9.9037796933908897</v>
      </c>
      <c r="AL4285">
        <v>90.718863179244096</v>
      </c>
      <c r="AM4285">
        <v>100.43113810659599</v>
      </c>
      <c r="AN4285">
        <v>0.99999998547221902</v>
      </c>
    </row>
    <row r="4286" spans="1:40" x14ac:dyDescent="0.25">
      <c r="A4286" t="str">
        <f>"20190312150739409"</f>
        <v>20190312150739409</v>
      </c>
      <c r="B4286" t="str">
        <f>"1552374459404272"</f>
        <v>1552374459404272</v>
      </c>
      <c r="C4286" t="s">
        <v>40</v>
      </c>
      <c r="D4286">
        <v>4.6538329999999997</v>
      </c>
      <c r="E4286">
        <v>0.41375899999999999</v>
      </c>
      <c r="F4286" t="s">
        <v>42</v>
      </c>
      <c r="G4286">
        <v>-492.28039999999999</v>
      </c>
      <c r="H4286" s="1">
        <v>-4.391046E-6</v>
      </c>
      <c r="I4286">
        <v>258.70139999999998</v>
      </c>
      <c r="J4286">
        <v>-492.07420000000002</v>
      </c>
      <c r="K4286">
        <v>1.1154299999999999</v>
      </c>
      <c r="L4286">
        <v>268.6798</v>
      </c>
      <c r="M4286">
        <v>-0.41886030000000002</v>
      </c>
      <c r="N4286">
        <v>0</v>
      </c>
      <c r="O4286">
        <v>-0.90793900000000005</v>
      </c>
      <c r="P4286">
        <v>-0.24720310000000001</v>
      </c>
      <c r="Q4286">
        <v>-2.4751660000000002E-2</v>
      </c>
      <c r="R4286">
        <v>-0.96864760000000005</v>
      </c>
      <c r="S4286">
        <v>-7.4005130000000002E-2</v>
      </c>
      <c r="T4286">
        <v>-0.3404566</v>
      </c>
      <c r="U4286">
        <v>-3.073029</v>
      </c>
      <c r="V4286">
        <v>-0.18115999999999999</v>
      </c>
      <c r="W4286">
        <v>-1.290256E-2</v>
      </c>
      <c r="X4286">
        <v>0.98336900000000005</v>
      </c>
      <c r="Y4286">
        <v>-0.39691850000000001</v>
      </c>
      <c r="Z4286">
        <v>9.0445639999999994E-2</v>
      </c>
      <c r="AA4286">
        <v>0.9133867</v>
      </c>
      <c r="AB4286">
        <v>20</v>
      </c>
      <c r="AC4286">
        <v>-0.20619999999996699</v>
      </c>
      <c r="AD4286">
        <v>-1.1154343910459901</v>
      </c>
      <c r="AE4286">
        <v>-9.9784000000000201</v>
      </c>
      <c r="AF4286">
        <v>-3.9434872814827999</v>
      </c>
      <c r="AG4286">
        <v>-1.1154343910459901</v>
      </c>
      <c r="AH4286">
        <v>9.0342328240080398</v>
      </c>
      <c r="AI4286">
        <v>96.455956245030805</v>
      </c>
      <c r="AJ4286">
        <v>113.581507066567</v>
      </c>
      <c r="AK4286">
        <v>9.9203149414889609</v>
      </c>
      <c r="AL4286">
        <v>90.739282741659906</v>
      </c>
      <c r="AM4286">
        <v>100.438212381291</v>
      </c>
      <c r="AN4286">
        <v>1.0000000059077701</v>
      </c>
    </row>
    <row r="4287" spans="1:40" x14ac:dyDescent="0.25">
      <c r="A4287" t="str">
        <f>"20190312150739420"</f>
        <v>20190312150739420</v>
      </c>
      <c r="B4287" t="str">
        <f>"1552374459414032"</f>
        <v>1552374459414032</v>
      </c>
      <c r="C4287" t="s">
        <v>40</v>
      </c>
      <c r="D4287">
        <v>4.7056899999999997</v>
      </c>
      <c r="E4287">
        <v>0.41439799999999899</v>
      </c>
      <c r="F4287" t="s">
        <v>42</v>
      </c>
      <c r="G4287">
        <v>-492.27969999999999</v>
      </c>
      <c r="H4287" s="1">
        <v>-4.394645E-6</v>
      </c>
      <c r="I4287">
        <v>258.71230000000003</v>
      </c>
      <c r="J4287">
        <v>-492.11329999999998</v>
      </c>
      <c r="K4287">
        <v>1.1154219999999999</v>
      </c>
      <c r="L4287">
        <v>268.58100000000002</v>
      </c>
      <c r="M4287">
        <v>-0.41420030000000002</v>
      </c>
      <c r="N4287">
        <v>0</v>
      </c>
      <c r="O4287">
        <v>-0.91007450000000001</v>
      </c>
      <c r="P4287">
        <v>-0.24210979999999999</v>
      </c>
      <c r="Q4287">
        <v>-2.4820910000000002E-2</v>
      </c>
      <c r="R4287">
        <v>-0.96993180000000001</v>
      </c>
      <c r="S4287">
        <v>-6.3354489999999999E-2</v>
      </c>
      <c r="T4287">
        <v>-0.34379270000000001</v>
      </c>
      <c r="U4287">
        <v>-3.0721129999999999</v>
      </c>
      <c r="V4287">
        <v>-0.18128459999999999</v>
      </c>
      <c r="W4287">
        <v>-1.29725E-2</v>
      </c>
      <c r="X4287">
        <v>0.98334509999999997</v>
      </c>
      <c r="Y4287">
        <v>-0.39537349999999999</v>
      </c>
      <c r="Z4287">
        <v>9.173974E-2</v>
      </c>
      <c r="AA4287">
        <v>0.91392759999999995</v>
      </c>
      <c r="AB4287">
        <v>20</v>
      </c>
      <c r="AC4287">
        <v>-0.16640000000001001</v>
      </c>
      <c r="AD4287">
        <v>-1.11542639464499</v>
      </c>
      <c r="AE4287">
        <v>-9.8686999999999294</v>
      </c>
      <c r="AF4287">
        <v>-3.8869390828768999</v>
      </c>
      <c r="AG4287">
        <v>-1.11542639464499</v>
      </c>
      <c r="AH4287">
        <v>8.9369542775637392</v>
      </c>
      <c r="AI4287">
        <v>96.529314782649806</v>
      </c>
      <c r="AJ4287">
        <v>113.505611310822</v>
      </c>
      <c r="AK4287">
        <v>9.8092621147123804</v>
      </c>
      <c r="AL4287">
        <v>90.743290356564998</v>
      </c>
      <c r="AM4287">
        <v>100.445481997573</v>
      </c>
      <c r="AN4287">
        <v>0.999999988823709</v>
      </c>
    </row>
    <row r="4288" spans="1:40" x14ac:dyDescent="0.25">
      <c r="A4288" t="str">
        <f>"20190312150739432"</f>
        <v>20190312150739432</v>
      </c>
      <c r="B4288" t="str">
        <f>"1552374459424768"</f>
        <v>1552374459424768</v>
      </c>
      <c r="C4288" t="s">
        <v>40</v>
      </c>
      <c r="D4288">
        <v>4.6129709999999999</v>
      </c>
      <c r="E4288">
        <v>0.41494629999999999</v>
      </c>
      <c r="F4288" t="s">
        <v>42</v>
      </c>
      <c r="G4288">
        <v>-492.27820000000003</v>
      </c>
      <c r="H4288" s="1">
        <v>-4.4061010000000003E-6</v>
      </c>
      <c r="I4288">
        <v>258.74680000000001</v>
      </c>
      <c r="J4288">
        <v>-492.14760000000001</v>
      </c>
      <c r="K4288">
        <v>1.115415</v>
      </c>
      <c r="L4288">
        <v>268.49299999999999</v>
      </c>
      <c r="M4288">
        <v>-0.41005370000000002</v>
      </c>
      <c r="N4288">
        <v>0</v>
      </c>
      <c r="O4288">
        <v>-0.91195009999999999</v>
      </c>
      <c r="P4288">
        <v>-0.2377553</v>
      </c>
      <c r="Q4288">
        <v>-2.469302E-2</v>
      </c>
      <c r="R4288">
        <v>-0.97101139999999997</v>
      </c>
      <c r="S4288">
        <v>-5.1483149999999998E-2</v>
      </c>
      <c r="T4288">
        <v>-0.34835349999999998</v>
      </c>
      <c r="U4288">
        <v>-3.071259</v>
      </c>
      <c r="V4288">
        <v>-0.18122389999999999</v>
      </c>
      <c r="W4288">
        <v>-1.28425E-2</v>
      </c>
      <c r="X4288">
        <v>0.98335799999999995</v>
      </c>
      <c r="Y4288">
        <v>-0.39472000000000002</v>
      </c>
      <c r="Z4288">
        <v>9.3298469999999994E-2</v>
      </c>
      <c r="AA4288">
        <v>0.91405230000000004</v>
      </c>
      <c r="AB4288">
        <v>20</v>
      </c>
      <c r="AC4288">
        <v>-0.13060000000001501</v>
      </c>
      <c r="AD4288">
        <v>-1.1154194061010001</v>
      </c>
      <c r="AE4288">
        <v>-9.7461999999999804</v>
      </c>
      <c r="AF4288">
        <v>-3.8276328352534001</v>
      </c>
      <c r="AG4288">
        <v>-1.1154194061010001</v>
      </c>
      <c r="AH4288">
        <v>8.8269143194757795</v>
      </c>
      <c r="AI4288">
        <v>96.613059808603097</v>
      </c>
      <c r="AJ4288">
        <v>113.443100035954</v>
      </c>
      <c r="AK4288">
        <v>9.68552270021517</v>
      </c>
      <c r="AL4288">
        <v>90.735841280820097</v>
      </c>
      <c r="AM4288">
        <v>100.44192748452301</v>
      </c>
      <c r="AN4288">
        <v>0.99999999395072903</v>
      </c>
    </row>
    <row r="4289" spans="1:40" x14ac:dyDescent="0.25">
      <c r="A4289" t="str">
        <f>"20190312150739444"</f>
        <v>20190312150739444</v>
      </c>
      <c r="B4289" t="str">
        <f>"1552374459434528"</f>
        <v>1552374459434528</v>
      </c>
      <c r="C4289" t="s">
        <v>40</v>
      </c>
      <c r="D4289">
        <v>4.6432310000000001</v>
      </c>
      <c r="E4289">
        <v>0.41542790000000002</v>
      </c>
      <c r="F4289" t="s">
        <v>42</v>
      </c>
      <c r="G4289">
        <v>-492.28469999999999</v>
      </c>
      <c r="H4289" s="1">
        <v>-4.3581449999999996E-6</v>
      </c>
      <c r="I4289">
        <v>258.60250000000002</v>
      </c>
      <c r="J4289">
        <v>-492.1841</v>
      </c>
      <c r="K4289">
        <v>1.1154059999999999</v>
      </c>
      <c r="L4289">
        <v>268.39870000000002</v>
      </c>
      <c r="M4289">
        <v>-0.40560190000000002</v>
      </c>
      <c r="N4289">
        <v>0</v>
      </c>
      <c r="O4289">
        <v>-0.91393880000000005</v>
      </c>
      <c r="P4289">
        <v>-0.2330372</v>
      </c>
      <c r="Q4289">
        <v>-2.4831200000000001E-2</v>
      </c>
      <c r="R4289">
        <v>-0.97215099999999999</v>
      </c>
      <c r="S4289">
        <v>-4.2541500000000003E-2</v>
      </c>
      <c r="T4289">
        <v>-0.34625939999999999</v>
      </c>
      <c r="U4289">
        <v>-3.0703130000000001</v>
      </c>
      <c r="V4289">
        <v>-0.1812011</v>
      </c>
      <c r="W4289">
        <v>-1.2979050000000001E-2</v>
      </c>
      <c r="X4289">
        <v>0.98336040000000002</v>
      </c>
      <c r="Y4289">
        <v>-0.39289869999999999</v>
      </c>
      <c r="Z4289">
        <v>9.3148250000000002E-2</v>
      </c>
      <c r="AA4289">
        <v>0.91485190000000005</v>
      </c>
      <c r="AB4289">
        <v>20</v>
      </c>
      <c r="AC4289">
        <v>-0.10059999999998499</v>
      </c>
      <c r="AD4289">
        <v>-1.1154103581449999</v>
      </c>
      <c r="AE4289">
        <v>-9.7962000000000007</v>
      </c>
      <c r="AF4289">
        <v>-3.83213280101864</v>
      </c>
      <c r="AG4289">
        <v>-1.1154103581449999</v>
      </c>
      <c r="AH4289">
        <v>8.8797349741929104</v>
      </c>
      <c r="AI4289">
        <v>96.578938455715203</v>
      </c>
      <c r="AJ4289">
        <v>113.343065213475</v>
      </c>
      <c r="AK4289">
        <v>9.7354545494088196</v>
      </c>
      <c r="AL4289">
        <v>90.743665678117907</v>
      </c>
      <c r="AM4289">
        <v>100.440617742497</v>
      </c>
      <c r="AN4289">
        <v>0.99999998533413603</v>
      </c>
    </row>
    <row r="4290" spans="1:40" x14ac:dyDescent="0.25">
      <c r="A4290" t="str">
        <f>"20190312150739457"</f>
        <v>20190312150739457</v>
      </c>
      <c r="B4290" t="str">
        <f>"1552374459454047"</f>
        <v>1552374459454047</v>
      </c>
      <c r="C4290" t="s">
        <v>40</v>
      </c>
      <c r="D4290">
        <v>4.6487809999999996</v>
      </c>
      <c r="E4290">
        <v>0.416022</v>
      </c>
      <c r="F4290" t="s">
        <v>42</v>
      </c>
      <c r="G4290">
        <v>-492.28390000000002</v>
      </c>
      <c r="H4290" s="1">
        <v>-4.3424470000000004E-6</v>
      </c>
      <c r="I4290">
        <v>258.55680000000001</v>
      </c>
      <c r="J4290">
        <v>-492.2242</v>
      </c>
      <c r="K4290">
        <v>1.115397</v>
      </c>
      <c r="L4290">
        <v>268.29239999999999</v>
      </c>
      <c r="M4290">
        <v>-0.40058650000000001</v>
      </c>
      <c r="N4290">
        <v>0</v>
      </c>
      <c r="O4290">
        <v>-0.91614819999999997</v>
      </c>
      <c r="P4290">
        <v>-0.2277121</v>
      </c>
      <c r="Q4290">
        <v>-2.46527E-2</v>
      </c>
      <c r="R4290">
        <v>-0.97341610000000001</v>
      </c>
      <c r="S4290">
        <v>-3.1127930000000002E-2</v>
      </c>
      <c r="T4290">
        <v>-0.34788580000000002</v>
      </c>
      <c r="U4290">
        <v>-3.0696110000000001</v>
      </c>
      <c r="V4290">
        <v>-0.18119830000000001</v>
      </c>
      <c r="W4290">
        <v>-1.2799069999999999E-2</v>
      </c>
      <c r="X4290">
        <v>0.98336330000000005</v>
      </c>
      <c r="Y4290">
        <v>-0.3912582</v>
      </c>
      <c r="Z4290">
        <v>9.4011209999999998E-2</v>
      </c>
      <c r="AA4290">
        <v>0.91546649999999996</v>
      </c>
      <c r="AB4290">
        <v>20</v>
      </c>
      <c r="AC4290">
        <v>-5.9700000000020702E-2</v>
      </c>
      <c r="AD4290">
        <v>-1.115401342447</v>
      </c>
      <c r="AE4290">
        <v>-9.7355999999999696</v>
      </c>
      <c r="AF4290">
        <v>-3.7958234835937401</v>
      </c>
      <c r="AG4290">
        <v>-1.115401342447</v>
      </c>
      <c r="AH4290">
        <v>8.8281992125763402</v>
      </c>
      <c r="AI4290">
        <v>96.620749690419302</v>
      </c>
      <c r="AJ4290">
        <v>113.266049662268</v>
      </c>
      <c r="AK4290">
        <v>9.6741664969271497</v>
      </c>
      <c r="AL4290">
        <v>90.733352708832001</v>
      </c>
      <c r="AM4290">
        <v>100.440429844588</v>
      </c>
      <c r="AN4290">
        <v>1.00000000995132</v>
      </c>
    </row>
    <row r="4291" spans="1:40" x14ac:dyDescent="0.25">
      <c r="A4291" t="str">
        <f>"20190312150739473"</f>
        <v>20190312150739473</v>
      </c>
      <c r="B4291" t="str">
        <f>"1552374459464784"</f>
        <v>1552374459464784</v>
      </c>
      <c r="C4291" t="s">
        <v>40</v>
      </c>
      <c r="D4291">
        <v>4.6351170000000002</v>
      </c>
      <c r="E4291">
        <v>0.41707349999999999</v>
      </c>
      <c r="F4291" t="s">
        <v>42</v>
      </c>
      <c r="G4291">
        <v>-492.28500000000003</v>
      </c>
      <c r="H4291" s="1">
        <v>-4.2930969999999997E-6</v>
      </c>
      <c r="I4291">
        <v>258.41120000000001</v>
      </c>
      <c r="J4291">
        <v>-492.27030000000002</v>
      </c>
      <c r="K4291">
        <v>1.1153869999999999</v>
      </c>
      <c r="L4291">
        <v>268.16890000000001</v>
      </c>
      <c r="M4291">
        <v>-0.39475510000000003</v>
      </c>
      <c r="N4291">
        <v>0</v>
      </c>
      <c r="O4291">
        <v>-0.91867589999999999</v>
      </c>
      <c r="P4291">
        <v>-0.22169820000000001</v>
      </c>
      <c r="Q4291">
        <v>-2.4664809999999999E-2</v>
      </c>
      <c r="R4291">
        <v>-0.97480330000000004</v>
      </c>
      <c r="S4291">
        <v>-1.8859859999999999E-2</v>
      </c>
      <c r="T4291">
        <v>-0.34640310000000002</v>
      </c>
      <c r="U4291">
        <v>-3.068756</v>
      </c>
      <c r="V4291">
        <v>-0.18101909999999999</v>
      </c>
      <c r="W4291">
        <v>-1.2806929999999999E-2</v>
      </c>
      <c r="X4291">
        <v>0.98339620000000005</v>
      </c>
      <c r="Y4291">
        <v>-0.38906819999999998</v>
      </c>
      <c r="Z4291">
        <v>9.4114749999999997E-2</v>
      </c>
      <c r="AA4291">
        <v>0.9163888</v>
      </c>
      <c r="AB4291">
        <v>20</v>
      </c>
      <c r="AC4291">
        <v>-1.47000000000048E-2</v>
      </c>
      <c r="AD4291">
        <v>-1.115391293097</v>
      </c>
      <c r="AE4291">
        <v>-9.7576999999999998</v>
      </c>
      <c r="AF4291">
        <v>-3.7892744862569701</v>
      </c>
      <c r="AG4291">
        <v>-1.115391293097</v>
      </c>
      <c r="AH4291">
        <v>8.8551714120218907</v>
      </c>
      <c r="AI4291">
        <v>96.605561510493004</v>
      </c>
      <c r="AJ4291">
        <v>113.166884035612</v>
      </c>
      <c r="AK4291">
        <v>9.6962239869551503</v>
      </c>
      <c r="AL4291">
        <v>90.733803091195</v>
      </c>
      <c r="AM4291">
        <v>100.429989981047</v>
      </c>
      <c r="AN4291">
        <v>1.00000000909763</v>
      </c>
    </row>
    <row r="4292" spans="1:40" x14ac:dyDescent="0.25">
      <c r="A4292" t="str">
        <f>"20190312150739489"</f>
        <v>20190312150739489</v>
      </c>
      <c r="B4292" t="str">
        <f>"1552374459484305"</f>
        <v>1552374459484305</v>
      </c>
      <c r="C4292" t="s">
        <v>40</v>
      </c>
      <c r="D4292">
        <v>4.680688</v>
      </c>
      <c r="E4292">
        <v>0.41821730000000001</v>
      </c>
      <c r="F4292" t="s">
        <v>42</v>
      </c>
      <c r="G4292">
        <v>-492.29590000000002</v>
      </c>
      <c r="H4292" s="1">
        <v>-4.2614319999999996E-6</v>
      </c>
      <c r="I4292">
        <v>258.3125</v>
      </c>
      <c r="J4292">
        <v>-492.31619999999998</v>
      </c>
      <c r="K4292">
        <v>1.1153789999999999</v>
      </c>
      <c r="L4292">
        <v>268.04320000000001</v>
      </c>
      <c r="M4292">
        <v>-0.38881569999999999</v>
      </c>
      <c r="N4292">
        <v>0</v>
      </c>
      <c r="O4292">
        <v>-0.92120570000000002</v>
      </c>
      <c r="P4292">
        <v>-0.21556220000000001</v>
      </c>
      <c r="Q4292">
        <v>-2.49815E-2</v>
      </c>
      <c r="R4292">
        <v>-0.97617069999999995</v>
      </c>
      <c r="S4292">
        <v>-7.9650880000000004E-3</v>
      </c>
      <c r="T4292">
        <v>-0.3470683</v>
      </c>
      <c r="U4292">
        <v>-3.0669559999999998</v>
      </c>
      <c r="V4292">
        <v>-0.18084910000000001</v>
      </c>
      <c r="W4292">
        <v>-1.311959E-2</v>
      </c>
      <c r="X4292">
        <v>0.98342339999999995</v>
      </c>
      <c r="Y4292">
        <v>-0.38637369999999999</v>
      </c>
      <c r="Z4292">
        <v>9.4834689999999999E-2</v>
      </c>
      <c r="AA4292">
        <v>0.91745390000000004</v>
      </c>
      <c r="AB4292">
        <v>20</v>
      </c>
      <c r="AC4292">
        <v>2.0299999999963299E-2</v>
      </c>
      <c r="AD4292">
        <v>-1.1153832614320001</v>
      </c>
      <c r="AE4292">
        <v>-9.7307000000000095</v>
      </c>
      <c r="AF4292">
        <v>-3.75322115760394</v>
      </c>
      <c r="AG4292">
        <v>-1.1153832614320001</v>
      </c>
      <c r="AH4292">
        <v>8.8408313035906492</v>
      </c>
      <c r="AI4292">
        <v>96.624142496034594</v>
      </c>
      <c r="AJ4292">
        <v>113.002805570663</v>
      </c>
      <c r="AK4292">
        <v>9.6690768440589494</v>
      </c>
      <c r="AL4292">
        <v>90.751718662556996</v>
      </c>
      <c r="AM4292">
        <v>100.42012765887399</v>
      </c>
      <c r="AN4292">
        <v>1.00000005214006</v>
      </c>
    </row>
    <row r="4293" spans="1:40" x14ac:dyDescent="0.25">
      <c r="A4293" t="str">
        <f>"20190312150739502"</f>
        <v>20190312150739502</v>
      </c>
      <c r="B4293" t="str">
        <f>"1552374459494064"</f>
        <v>1552374459494064</v>
      </c>
      <c r="C4293" t="s">
        <v>40</v>
      </c>
      <c r="D4293">
        <v>4.6228020000000001</v>
      </c>
      <c r="E4293">
        <v>0.41879369999999999</v>
      </c>
      <c r="F4293" t="s">
        <v>42</v>
      </c>
      <c r="G4293">
        <v>-492.3091</v>
      </c>
      <c r="H4293" s="1">
        <v>-4.1927370000000001E-6</v>
      </c>
      <c r="I4293">
        <v>258.1037</v>
      </c>
      <c r="J4293">
        <v>-492.35669999999999</v>
      </c>
      <c r="K4293">
        <v>1.1153649999999999</v>
      </c>
      <c r="L4293">
        <v>267.93040000000002</v>
      </c>
      <c r="M4293">
        <v>-0.38348130000000002</v>
      </c>
      <c r="N4293">
        <v>0</v>
      </c>
      <c r="O4293">
        <v>-0.92343920000000002</v>
      </c>
      <c r="P4293">
        <v>-0.2102174</v>
      </c>
      <c r="Q4293">
        <v>-2.4838220000000001E-2</v>
      </c>
      <c r="R4293">
        <v>-0.97733939999999997</v>
      </c>
      <c r="S4293">
        <v>2.1972659999999998E-3</v>
      </c>
      <c r="T4293">
        <v>-0.34393889999999999</v>
      </c>
      <c r="U4293">
        <v>-3.0649410000000001</v>
      </c>
      <c r="V4293">
        <v>-0.18054600000000001</v>
      </c>
      <c r="W4293">
        <v>-1.2970499999999999E-2</v>
      </c>
      <c r="X4293">
        <v>0.98348100000000005</v>
      </c>
      <c r="Y4293">
        <v>-0.3840829</v>
      </c>
      <c r="Z4293">
        <v>9.4474150000000007E-2</v>
      </c>
      <c r="AA4293">
        <v>0.91845250000000001</v>
      </c>
      <c r="AB4293">
        <v>19</v>
      </c>
      <c r="AC4293">
        <v>4.7599999999988499E-2</v>
      </c>
      <c r="AD4293">
        <v>-1.115369192737</v>
      </c>
      <c r="AE4293">
        <v>-9.8267000000000095</v>
      </c>
      <c r="AF4293">
        <v>-3.7642031218771401</v>
      </c>
      <c r="AG4293">
        <v>-1.115369192737</v>
      </c>
      <c r="AH4293">
        <v>8.94182556786029</v>
      </c>
      <c r="AI4293">
        <v>96.558208579499706</v>
      </c>
      <c r="AJ4293">
        <v>112.829430157012</v>
      </c>
      <c r="AK4293">
        <v>9.7657318243384292</v>
      </c>
      <c r="AL4293">
        <v>90.743175758447293</v>
      </c>
      <c r="AM4293">
        <v>100.402449330175</v>
      </c>
      <c r="AN4293">
        <v>0.99999998467362405</v>
      </c>
    </row>
    <row r="4294" spans="1:40" x14ac:dyDescent="0.25">
      <c r="A4294" t="str">
        <f>"20190312150739514"</f>
        <v>20190312150739514</v>
      </c>
      <c r="B4294" t="str">
        <f>"1552374459504800"</f>
        <v>1552374459504800</v>
      </c>
      <c r="C4294" t="s">
        <v>40</v>
      </c>
      <c r="D4294">
        <v>4.6519029999999999</v>
      </c>
      <c r="E4294">
        <v>0.41921130000000001</v>
      </c>
      <c r="F4294" t="s">
        <v>42</v>
      </c>
      <c r="G4294">
        <v>-492.3109</v>
      </c>
      <c r="H4294" s="1">
        <v>-4.1344660000000003E-6</v>
      </c>
      <c r="I4294">
        <v>257.93150000000003</v>
      </c>
      <c r="J4294">
        <v>-492.39109999999999</v>
      </c>
      <c r="K4294">
        <v>1.1153580000000001</v>
      </c>
      <c r="L4294">
        <v>267.83240000000001</v>
      </c>
      <c r="M4294">
        <v>-0.3788475</v>
      </c>
      <c r="N4294">
        <v>0</v>
      </c>
      <c r="O4294">
        <v>-0.92534970000000005</v>
      </c>
      <c r="P4294">
        <v>-0.20561789999999999</v>
      </c>
      <c r="Q4294">
        <v>-2.489541E-2</v>
      </c>
      <c r="R4294">
        <v>-0.97831570000000001</v>
      </c>
      <c r="S4294">
        <v>1.403809E-2</v>
      </c>
      <c r="T4294">
        <v>-0.34177729999999901</v>
      </c>
      <c r="U4294">
        <v>-3.063904</v>
      </c>
      <c r="V4294">
        <v>-0.1802415</v>
      </c>
      <c r="W4294">
        <v>-1.3022280000000001E-2</v>
      </c>
      <c r="X4294">
        <v>0.98353619999999997</v>
      </c>
      <c r="Y4294">
        <v>-0.38300729999999999</v>
      </c>
      <c r="Z4294">
        <v>9.4256939999999997E-2</v>
      </c>
      <c r="AA4294">
        <v>0.91892390000000002</v>
      </c>
      <c r="AB4294">
        <v>19</v>
      </c>
      <c r="AC4294">
        <v>8.0199999999990695E-2</v>
      </c>
      <c r="AD4294">
        <v>-1.1153621344660001</v>
      </c>
      <c r="AE4294">
        <v>-9.9008999999999805</v>
      </c>
      <c r="AF4294">
        <v>-3.7775947908755598</v>
      </c>
      <c r="AG4294">
        <v>-1.1153621344660001</v>
      </c>
      <c r="AH4294">
        <v>9.0179008512648196</v>
      </c>
      <c r="AI4294">
        <v>96.508076073246201</v>
      </c>
      <c r="AJ4294">
        <v>112.728788980826</v>
      </c>
      <c r="AK4294">
        <v>9.8405686247438702</v>
      </c>
      <c r="AL4294">
        <v>90.746142760118005</v>
      </c>
      <c r="AM4294">
        <v>100.384716952038</v>
      </c>
      <c r="AN4294">
        <v>1.00000001740454</v>
      </c>
    </row>
    <row r="4295" spans="1:40" x14ac:dyDescent="0.25">
      <c r="A4295" t="str">
        <f>"20190312150739527"</f>
        <v>20190312150739527</v>
      </c>
      <c r="B4295" t="str">
        <f>"1552374459524320"</f>
        <v>1552374459524320</v>
      </c>
      <c r="C4295" t="s">
        <v>40</v>
      </c>
      <c r="D4295">
        <v>4.583278</v>
      </c>
      <c r="E4295">
        <v>0.41970259999999998</v>
      </c>
      <c r="F4295" t="s">
        <v>42</v>
      </c>
      <c r="G4295">
        <v>-492.3091</v>
      </c>
      <c r="H4295" s="1">
        <v>-4.1183129999999997E-6</v>
      </c>
      <c r="I4295">
        <v>257.88499999999999</v>
      </c>
      <c r="J4295">
        <v>-492.4255</v>
      </c>
      <c r="K4295">
        <v>1.1153500000000001</v>
      </c>
      <c r="L4295">
        <v>267.73340000000002</v>
      </c>
      <c r="M4295">
        <v>-0.37416440000000001</v>
      </c>
      <c r="N4295">
        <v>0</v>
      </c>
      <c r="O4295">
        <v>-0.9272532</v>
      </c>
      <c r="P4295">
        <v>-0.2006985</v>
      </c>
      <c r="Q4295">
        <v>-2.458275E-2</v>
      </c>
      <c r="R4295">
        <v>-0.97934480000000002</v>
      </c>
      <c r="S4295">
        <v>2.5268550000000001E-2</v>
      </c>
      <c r="T4295">
        <v>-0.34345229999999999</v>
      </c>
      <c r="U4295">
        <v>-3.0630799999999998</v>
      </c>
      <c r="V4295">
        <v>-0.18021880000000001</v>
      </c>
      <c r="W4295">
        <v>-1.270815E-2</v>
      </c>
      <c r="X4295">
        <v>0.98354450000000004</v>
      </c>
      <c r="Y4295">
        <v>-0.38170739999999997</v>
      </c>
      <c r="Z4295">
        <v>9.5082100000000003E-2</v>
      </c>
      <c r="AA4295">
        <v>0.91937970000000002</v>
      </c>
      <c r="AB4295">
        <v>19</v>
      </c>
      <c r="AC4295">
        <v>0.11639999999999801</v>
      </c>
      <c r="AD4295">
        <v>-1.115354118313</v>
      </c>
      <c r="AE4295">
        <v>-9.8484000000000194</v>
      </c>
      <c r="AF4295">
        <v>-3.7452073957642402</v>
      </c>
      <c r="AG4295">
        <v>-1.115354118313</v>
      </c>
      <c r="AH4295">
        <v>8.9742397366310396</v>
      </c>
      <c r="AI4295">
        <v>96.543044103828706</v>
      </c>
      <c r="AJ4295">
        <v>112.652175651945</v>
      </c>
      <c r="AK4295">
        <v>9.7881342500525808</v>
      </c>
      <c r="AL4295">
        <v>90.728142925033197</v>
      </c>
      <c r="AM4295">
        <v>100.38335181026</v>
      </c>
      <c r="AN4295">
        <v>1.00000004821505</v>
      </c>
    </row>
    <row r="4296" spans="1:40" x14ac:dyDescent="0.25">
      <c r="A4296" t="str">
        <f>"20190312150739538"</f>
        <v>20190312150739538</v>
      </c>
      <c r="B4296" t="str">
        <f>"1552374459534080"</f>
        <v>1552374459534080</v>
      </c>
      <c r="C4296" t="s">
        <v>40</v>
      </c>
      <c r="D4296">
        <v>4.5991499999999998</v>
      </c>
      <c r="E4296">
        <v>0.43892680000000001</v>
      </c>
      <c r="F4296" t="s">
        <v>42</v>
      </c>
      <c r="G4296">
        <v>-492.3048</v>
      </c>
      <c r="H4296" s="1">
        <v>-4.0922319999999996E-6</v>
      </c>
      <c r="I4296">
        <v>257.81060000000002</v>
      </c>
      <c r="J4296">
        <v>-492.459</v>
      </c>
      <c r="K4296">
        <v>1.1153439999999999</v>
      </c>
      <c r="L4296">
        <v>267.63499999999999</v>
      </c>
      <c r="M4296">
        <v>-0.36950529999999998</v>
      </c>
      <c r="N4296">
        <v>0</v>
      </c>
      <c r="O4296">
        <v>-0.92911980000000005</v>
      </c>
      <c r="P4296">
        <v>-0.1961117</v>
      </c>
      <c r="Q4296">
        <v>-2.453193E-2</v>
      </c>
      <c r="R4296">
        <v>-0.98027470000000005</v>
      </c>
      <c r="S4296">
        <v>3.7231449999999999E-2</v>
      </c>
      <c r="T4296">
        <v>-0.34420980000000001</v>
      </c>
      <c r="U4296">
        <v>-3.0622859999999998</v>
      </c>
      <c r="V4296">
        <v>-0.179887299999999</v>
      </c>
      <c r="W4296">
        <v>-1.26518E-2</v>
      </c>
      <c r="X4296">
        <v>0.98360590000000003</v>
      </c>
      <c r="Y4296">
        <v>-0.38066159999999999</v>
      </c>
      <c r="Z4296">
        <v>9.5645129999999995E-2</v>
      </c>
      <c r="AA4296">
        <v>0.91975469999999904</v>
      </c>
      <c r="AB4296">
        <v>19</v>
      </c>
      <c r="AC4296">
        <v>0.154200000000003</v>
      </c>
      <c r="AD4296">
        <v>-1.115348092232</v>
      </c>
      <c r="AE4296">
        <v>-9.8243999999999598</v>
      </c>
      <c r="AF4296">
        <v>-3.7258107590715701</v>
      </c>
      <c r="AG4296">
        <v>-1.115348092232</v>
      </c>
      <c r="AH4296">
        <v>8.9565741306548201</v>
      </c>
      <c r="AI4296">
        <v>96.558900169503204</v>
      </c>
      <c r="AJ4296">
        <v>112.586633882491</v>
      </c>
      <c r="AK4296">
        <v>9.7645218693581892</v>
      </c>
      <c r="AL4296">
        <v>90.724914056104097</v>
      </c>
      <c r="AM4296">
        <v>100.364033700321</v>
      </c>
      <c r="AN4296">
        <v>1.0000000376296601</v>
      </c>
    </row>
    <row r="4297" spans="1:40" x14ac:dyDescent="0.25">
      <c r="A4297" t="str">
        <f>"20190312150739554"</f>
        <v>20190312150739554</v>
      </c>
      <c r="B4297" t="str">
        <f>"1552374459543840"</f>
        <v>1552374459543840</v>
      </c>
      <c r="C4297" t="s">
        <v>40</v>
      </c>
      <c r="D4297">
        <v>4.6730749999999999</v>
      </c>
      <c r="E4297">
        <v>0.44042730000000002</v>
      </c>
      <c r="F4297" t="s">
        <v>42</v>
      </c>
      <c r="G4297">
        <v>-492.8415</v>
      </c>
      <c r="H4297" s="1">
        <v>-3.570472E-6</v>
      </c>
      <c r="I4297">
        <v>256.14960000000002</v>
      </c>
      <c r="J4297">
        <v>-492.50060000000002</v>
      </c>
      <c r="K4297">
        <v>1.115335</v>
      </c>
      <c r="L4297">
        <v>267.5104</v>
      </c>
      <c r="M4297">
        <v>-0.3635989</v>
      </c>
      <c r="N4297">
        <v>0</v>
      </c>
      <c r="O4297">
        <v>-0.93144709999999997</v>
      </c>
      <c r="P4297">
        <v>-0.19022500000000001</v>
      </c>
      <c r="Q4297">
        <v>-2.4335619999999999E-2</v>
      </c>
      <c r="R4297">
        <v>-0.98143919999999996</v>
      </c>
      <c r="S4297">
        <v>-0.1010132</v>
      </c>
      <c r="T4297">
        <v>-0.29451189999999999</v>
      </c>
      <c r="U4297">
        <v>-3.0327760000000001</v>
      </c>
      <c r="V4297">
        <v>-0.17955009999999999</v>
      </c>
      <c r="W4297">
        <v>-1.244985E-2</v>
      </c>
      <c r="X4297">
        <v>0.98367009999999999</v>
      </c>
      <c r="Y4297">
        <v>-0.33250020000000002</v>
      </c>
      <c r="Z4297">
        <v>8.3993650000000003E-2</v>
      </c>
      <c r="AA4297">
        <v>0.93935550000000001</v>
      </c>
      <c r="AB4297">
        <v>19</v>
      </c>
      <c r="AC4297">
        <v>-0.340899999999976</v>
      </c>
      <c r="AD4297">
        <v>-1.115338570472</v>
      </c>
      <c r="AE4297">
        <v>-11.3607999999999</v>
      </c>
      <c r="AF4297">
        <v>-3.77725635453334</v>
      </c>
      <c r="AG4297">
        <v>-1.115338570472</v>
      </c>
      <c r="AH4297">
        <v>10.6048971950229</v>
      </c>
      <c r="AI4297">
        <v>95.658118828089599</v>
      </c>
      <c r="AJ4297">
        <v>109.60490169906799</v>
      </c>
      <c r="AK4297">
        <v>11.312625257280001</v>
      </c>
      <c r="AL4297">
        <v>90.713342252571707</v>
      </c>
      <c r="AM4297">
        <v>100.344365507218</v>
      </c>
      <c r="AN4297">
        <v>1.00000005140452</v>
      </c>
    </row>
    <row r="4298" spans="1:40" x14ac:dyDescent="0.25">
      <c r="A4298" t="str">
        <f>"20190312150739565"</f>
        <v>20190312150739565</v>
      </c>
      <c r="B4298" t="str">
        <f>"1552374459554576"</f>
        <v>1552374459554576</v>
      </c>
      <c r="C4298" t="s">
        <v>40</v>
      </c>
      <c r="D4298">
        <v>4.649019</v>
      </c>
      <c r="E4298">
        <v>0.4397044</v>
      </c>
      <c r="F4298" t="s">
        <v>42</v>
      </c>
      <c r="G4298">
        <v>-492.8777</v>
      </c>
      <c r="H4298" s="1">
        <v>-3.312551E-6</v>
      </c>
      <c r="I4298">
        <v>255.52590000000001</v>
      </c>
      <c r="J4298">
        <v>-492.52929999999998</v>
      </c>
      <c r="K4298">
        <v>1.1153360000000001</v>
      </c>
      <c r="L4298">
        <v>267.42360000000002</v>
      </c>
      <c r="M4298">
        <v>-0.35948190000000002</v>
      </c>
      <c r="N4298">
        <v>0</v>
      </c>
      <c r="O4298">
        <v>-0.93304379999999998</v>
      </c>
      <c r="P4298">
        <v>-0.18620809999999999</v>
      </c>
      <c r="Q4298">
        <v>-2.4342349999999999E-2</v>
      </c>
      <c r="R4298">
        <v>-0.982209</v>
      </c>
      <c r="S4298">
        <v>-9.5367430000000003E-2</v>
      </c>
      <c r="T4298">
        <v>-0.2821052</v>
      </c>
      <c r="U4298">
        <v>-3.03125</v>
      </c>
      <c r="V4298">
        <v>-0.17923069999999999</v>
      </c>
      <c r="W4298">
        <v>-1.245158E-2</v>
      </c>
      <c r="X4298">
        <v>0.9837283</v>
      </c>
      <c r="Y4298">
        <v>-0.33006219999999997</v>
      </c>
      <c r="Z4298">
        <v>8.0787049999999999E-2</v>
      </c>
      <c r="AA4298">
        <v>0.94049579999999999</v>
      </c>
      <c r="AB4298">
        <v>19</v>
      </c>
      <c r="AC4298">
        <v>-0.34840000000002602</v>
      </c>
      <c r="AD4298">
        <v>-1.1153393125510001</v>
      </c>
      <c r="AE4298">
        <v>-11.8977</v>
      </c>
      <c r="AF4298">
        <v>-3.91793347101606</v>
      </c>
      <c r="AG4298">
        <v>-1.1153393125510001</v>
      </c>
      <c r="AH4298">
        <v>11.129729117427001</v>
      </c>
      <c r="AI4298">
        <v>95.399936075501003</v>
      </c>
      <c r="AJ4298">
        <v>109.39329982765101</v>
      </c>
      <c r="AK4298">
        <v>11.851795420641199</v>
      </c>
      <c r="AL4298">
        <v>90.713441399401006</v>
      </c>
      <c r="AM4298">
        <v>100.32576246379099</v>
      </c>
      <c r="AN4298">
        <v>1.00000002694393</v>
      </c>
    </row>
    <row r="4299" spans="1:40" x14ac:dyDescent="0.25">
      <c r="A4299" t="str">
        <f>"20190312150739577"</f>
        <v>20190312150739577</v>
      </c>
      <c r="B4299" t="str">
        <f>"1552374459574095"</f>
        <v>1552374459574095</v>
      </c>
      <c r="C4299" t="s">
        <v>40</v>
      </c>
      <c r="D4299">
        <v>4.5410250000000003</v>
      </c>
      <c r="E4299">
        <v>0.44139830000000002</v>
      </c>
      <c r="F4299" t="s">
        <v>42</v>
      </c>
      <c r="G4299">
        <v>-492.79989999999998</v>
      </c>
      <c r="H4299" s="1">
        <v>-3.739808E-6</v>
      </c>
      <c r="I4299">
        <v>256.57010000000002</v>
      </c>
      <c r="J4299">
        <v>-492.5598</v>
      </c>
      <c r="K4299">
        <v>1.1153329999999999</v>
      </c>
      <c r="L4299">
        <v>267.32900000000001</v>
      </c>
      <c r="M4299">
        <v>-0.35499140000000001</v>
      </c>
      <c r="N4299">
        <v>0</v>
      </c>
      <c r="O4299">
        <v>-0.93476139999999996</v>
      </c>
      <c r="P4299">
        <v>-0.1815049</v>
      </c>
      <c r="Q4299">
        <v>-2.4509599999999999E-2</v>
      </c>
      <c r="R4299">
        <v>-0.98308459999999998</v>
      </c>
      <c r="S4299">
        <v>-7.5592039999999999E-2</v>
      </c>
      <c r="T4299">
        <v>-0.31160910000000003</v>
      </c>
      <c r="U4299">
        <v>-3.0322879999999999</v>
      </c>
      <c r="V4299">
        <v>-0.17920549999999999</v>
      </c>
      <c r="W4299">
        <v>-1.2618300000000001E-2</v>
      </c>
      <c r="X4299">
        <v>0.98373069999999896</v>
      </c>
      <c r="Y4299">
        <v>-0.3316711</v>
      </c>
      <c r="Z4299">
        <v>8.9362319999999995E-2</v>
      </c>
      <c r="AA4299">
        <v>0.93915309999999996</v>
      </c>
      <c r="AB4299">
        <v>19</v>
      </c>
      <c r="AC4299">
        <v>-0.24009999999998399</v>
      </c>
      <c r="AD4299">
        <v>-1.1153367398080001</v>
      </c>
      <c r="AE4299">
        <v>-10.758899999999899</v>
      </c>
      <c r="AF4299">
        <v>-3.55703683388165</v>
      </c>
      <c r="AG4299">
        <v>-1.1153367398080001</v>
      </c>
      <c r="AH4299">
        <v>10.035468781015499</v>
      </c>
      <c r="AI4299">
        <v>95.980144021501303</v>
      </c>
      <c r="AJ4299">
        <v>109.516693796767</v>
      </c>
      <c r="AK4299">
        <v>10.7054715326086</v>
      </c>
      <c r="AL4299">
        <v>90.722994549432102</v>
      </c>
      <c r="AM4299">
        <v>100.324317231002</v>
      </c>
      <c r="AN4299">
        <v>0.99999996142381398</v>
      </c>
    </row>
    <row r="4300" spans="1:40" x14ac:dyDescent="0.25">
      <c r="A4300" t="str">
        <f>"20190312150739587"</f>
        <v>20190312150739587</v>
      </c>
      <c r="B4300" t="str">
        <f>"1552374459584831"</f>
        <v>1552374459584831</v>
      </c>
      <c r="C4300" t="s">
        <v>40</v>
      </c>
      <c r="D4300">
        <v>4.5999470000000002</v>
      </c>
      <c r="E4300">
        <v>0.44164599999999998</v>
      </c>
      <c r="F4300" t="s">
        <v>42</v>
      </c>
      <c r="G4300">
        <v>-492.83359999999999</v>
      </c>
      <c r="H4300" s="1">
        <v>-3.5966399999999998E-6</v>
      </c>
      <c r="I4300">
        <v>256.21550000000002</v>
      </c>
      <c r="J4300">
        <v>-492.58760000000001</v>
      </c>
      <c r="K4300">
        <v>1.1153310000000001</v>
      </c>
      <c r="L4300">
        <v>267.24149999999997</v>
      </c>
      <c r="M4300">
        <v>-0.35083619999999999</v>
      </c>
      <c r="N4300">
        <v>0</v>
      </c>
      <c r="O4300">
        <v>-0.93632890000000002</v>
      </c>
      <c r="P4300">
        <v>-0.17725379999999999</v>
      </c>
      <c r="Q4300">
        <v>-2.4732529999999999E-2</v>
      </c>
      <c r="R4300">
        <v>-0.98385449999999997</v>
      </c>
      <c r="S4300">
        <v>-7.4676510000000001E-2</v>
      </c>
      <c r="T4300">
        <v>-0.30411100000000002</v>
      </c>
      <c r="U4300">
        <v>-3.030243</v>
      </c>
      <c r="V4300">
        <v>-0.17908389999999999</v>
      </c>
      <c r="W4300">
        <v>-1.283946E-2</v>
      </c>
      <c r="X4300">
        <v>0.98375000000000001</v>
      </c>
      <c r="Y4300">
        <v>-0.32774599999999998</v>
      </c>
      <c r="Z4300">
        <v>8.7593610000000002E-2</v>
      </c>
      <c r="AA4300">
        <v>0.94069650000000005</v>
      </c>
      <c r="AB4300">
        <v>19</v>
      </c>
      <c r="AC4300">
        <v>-0.24599999999998001</v>
      </c>
      <c r="AD4300">
        <v>-1.1153345966399999</v>
      </c>
      <c r="AE4300">
        <v>-11.0259999999999</v>
      </c>
      <c r="AF4300">
        <v>-3.6015172361152801</v>
      </c>
      <c r="AG4300">
        <v>-1.1153345966399999</v>
      </c>
      <c r="AH4300">
        <v>10.3059194808905</v>
      </c>
      <c r="AI4300">
        <v>95.833331198350706</v>
      </c>
      <c r="AJ4300">
        <v>109.262530941967</v>
      </c>
      <c r="AK4300">
        <v>10.973917897045499</v>
      </c>
      <c r="AL4300">
        <v>90.735667098480704</v>
      </c>
      <c r="AM4300">
        <v>100.31726410486201</v>
      </c>
      <c r="AN4300">
        <v>0.99999997873614999</v>
      </c>
    </row>
    <row r="4301" spans="1:40" x14ac:dyDescent="0.25">
      <c r="A4301" t="str">
        <f>"20190312150739599"</f>
        <v>20190312150739599</v>
      </c>
      <c r="B4301" t="str">
        <f>"1552374459594591"</f>
        <v>1552374459594591</v>
      </c>
      <c r="C4301" t="s">
        <v>40</v>
      </c>
      <c r="D4301">
        <v>4.5116930000000002</v>
      </c>
      <c r="E4301">
        <v>0.4426175</v>
      </c>
      <c r="F4301" t="s">
        <v>42</v>
      </c>
      <c r="G4301">
        <v>-492.81180000000001</v>
      </c>
      <c r="H4301" s="1">
        <v>-3.729298E-6</v>
      </c>
      <c r="I4301">
        <v>256.53820000000002</v>
      </c>
      <c r="J4301">
        <v>-492.61700000000002</v>
      </c>
      <c r="K4301">
        <v>1.115327</v>
      </c>
      <c r="L4301">
        <v>267.14749999999998</v>
      </c>
      <c r="M4301">
        <v>-0.3463658</v>
      </c>
      <c r="N4301">
        <v>0</v>
      </c>
      <c r="O4301">
        <v>-0.93799189999999999</v>
      </c>
      <c r="P4301">
        <v>-0.1726956</v>
      </c>
      <c r="Q4301">
        <v>-2.4658579999999999E-2</v>
      </c>
      <c r="R4301">
        <v>-0.98466679999999995</v>
      </c>
      <c r="S4301">
        <v>-6.3476560000000001E-2</v>
      </c>
      <c r="T4301">
        <v>-0.3157277</v>
      </c>
      <c r="U4301">
        <v>-3.0298769999999999</v>
      </c>
      <c r="V4301">
        <v>-0.178949</v>
      </c>
      <c r="W4301">
        <v>-1.2763729999999999E-2</v>
      </c>
      <c r="X4301">
        <v>0.98377559999999997</v>
      </c>
      <c r="Y4301">
        <v>-0.32671600000000001</v>
      </c>
      <c r="Z4301">
        <v>9.1194029999999995E-2</v>
      </c>
      <c r="AA4301">
        <v>0.94071269999999996</v>
      </c>
      <c r="AB4301">
        <v>19</v>
      </c>
      <c r="AC4301">
        <v>-0.19480000000004299</v>
      </c>
      <c r="AD4301">
        <v>-1.1153307292979999</v>
      </c>
      <c r="AE4301">
        <v>-10.6092999999999</v>
      </c>
      <c r="AF4301">
        <v>-3.4541684884920101</v>
      </c>
      <c r="AG4301">
        <v>-1.1153307292979999</v>
      </c>
      <c r="AH4301">
        <v>9.9104298340227608</v>
      </c>
      <c r="AI4301">
        <v>96.066123188163203</v>
      </c>
      <c r="AJ4301">
        <v>109.215423921575</v>
      </c>
      <c r="AK4301">
        <v>10.554234319821401</v>
      </c>
      <c r="AL4301">
        <v>90.731327685484402</v>
      </c>
      <c r="AM4301">
        <v>100.30939653927599</v>
      </c>
      <c r="AN4301">
        <v>1.0000000442799299</v>
      </c>
    </row>
    <row r="4302" spans="1:40" x14ac:dyDescent="0.25">
      <c r="A4302" t="str">
        <f>"20190312150739612"</f>
        <v>20190312150739612</v>
      </c>
      <c r="B4302" t="str">
        <f>"1552374459604351"</f>
        <v>1552374459604351</v>
      </c>
      <c r="C4302" t="s">
        <v>40</v>
      </c>
      <c r="D4302">
        <v>4.6384530000000002</v>
      </c>
      <c r="E4302">
        <v>0.4433453</v>
      </c>
      <c r="F4302" t="s">
        <v>42</v>
      </c>
      <c r="G4302">
        <v>-492.82569999999998</v>
      </c>
      <c r="H4302" s="1">
        <v>-3.5737050000000001E-6</v>
      </c>
      <c r="I4302">
        <v>256.16699999999997</v>
      </c>
      <c r="J4302">
        <v>-492.64760000000001</v>
      </c>
      <c r="K4302">
        <v>1.115326</v>
      </c>
      <c r="L4302">
        <v>267.04790000000003</v>
      </c>
      <c r="M4302">
        <v>-0.34161819999999998</v>
      </c>
      <c r="N4302">
        <v>0</v>
      </c>
      <c r="O4302">
        <v>-0.93973130000000005</v>
      </c>
      <c r="P4302">
        <v>-0.16795579999999999</v>
      </c>
      <c r="Q4302">
        <v>-2.479454E-2</v>
      </c>
      <c r="R4302">
        <v>-0.98548259999999999</v>
      </c>
      <c r="S4302">
        <v>-5.755615E-2</v>
      </c>
      <c r="T4302">
        <v>-0.30766110000000002</v>
      </c>
      <c r="U4302">
        <v>-3.0289609999999998</v>
      </c>
      <c r="V4302">
        <v>-0.17870469999999999</v>
      </c>
      <c r="W4302">
        <v>-1.2896629999999999E-2</v>
      </c>
      <c r="X4302">
        <v>0.98381819999999998</v>
      </c>
      <c r="Y4302">
        <v>-0.32376759999999999</v>
      </c>
      <c r="Z4302">
        <v>8.9228500000000002E-2</v>
      </c>
      <c r="AA4302">
        <v>0.94191970000000003</v>
      </c>
      <c r="AB4302">
        <v>19</v>
      </c>
      <c r="AC4302">
        <v>-0.178099999999972</v>
      </c>
      <c r="AD4302">
        <v>-1.115329573705</v>
      </c>
      <c r="AE4302">
        <v>-10.880899999999899</v>
      </c>
      <c r="AF4302">
        <v>-3.5132028936161102</v>
      </c>
      <c r="AG4302">
        <v>-1.115329573705</v>
      </c>
      <c r="AH4302">
        <v>10.180071120592</v>
      </c>
      <c r="AI4302">
        <v>95.912829897216298</v>
      </c>
      <c r="AJ4302">
        <v>109.03985786443801</v>
      </c>
      <c r="AK4302">
        <v>10.826837148955599</v>
      </c>
      <c r="AL4302">
        <v>90.738942974652701</v>
      </c>
      <c r="AM4302">
        <v>100.295187161299</v>
      </c>
      <c r="AN4302">
        <v>0.99999997175934296</v>
      </c>
    </row>
    <row r="4303" spans="1:40" x14ac:dyDescent="0.25">
      <c r="A4303" t="str">
        <f>"20190312150739621"</f>
        <v>20190312150739621</v>
      </c>
      <c r="B4303" t="str">
        <f>"1552374459614112"</f>
        <v>1552374459614112</v>
      </c>
      <c r="C4303" t="s">
        <v>40</v>
      </c>
      <c r="D4303">
        <v>4.5525219999999997</v>
      </c>
      <c r="E4303">
        <v>0.44392179999999998</v>
      </c>
      <c r="F4303" t="s">
        <v>42</v>
      </c>
      <c r="G4303">
        <v>-492.82990000000001</v>
      </c>
      <c r="H4303" s="1">
        <v>-3.4014569999999998E-6</v>
      </c>
      <c r="I4303">
        <v>255.7628</v>
      </c>
      <c r="J4303">
        <v>-492.6739</v>
      </c>
      <c r="K4303">
        <v>1.1153249999999999</v>
      </c>
      <c r="L4303">
        <v>266.96140000000003</v>
      </c>
      <c r="M4303">
        <v>-0.33749509999999899</v>
      </c>
      <c r="N4303">
        <v>0</v>
      </c>
      <c r="O4303">
        <v>-0.9412199</v>
      </c>
      <c r="P4303">
        <v>-0.1637034</v>
      </c>
      <c r="Q4303">
        <v>-2.483544E-2</v>
      </c>
      <c r="R4303">
        <v>-0.98619699999999999</v>
      </c>
      <c r="S4303">
        <v>-4.891968E-2</v>
      </c>
      <c r="T4303">
        <v>-0.29929630000000002</v>
      </c>
      <c r="U4303">
        <v>-3.0283199999999999</v>
      </c>
      <c r="V4303">
        <v>-0.17863519999999999</v>
      </c>
      <c r="W4303">
        <v>-1.2936960000000001E-2</v>
      </c>
      <c r="X4303">
        <v>0.98383030000000005</v>
      </c>
      <c r="Y4303">
        <v>-0.32230110000000001</v>
      </c>
      <c r="Z4303">
        <v>8.7087849999999994E-2</v>
      </c>
      <c r="AA4303">
        <v>0.94262279999999998</v>
      </c>
      <c r="AB4303">
        <v>19</v>
      </c>
      <c r="AC4303">
        <v>-0.156000000000005</v>
      </c>
      <c r="AD4303">
        <v>-1.115328401457</v>
      </c>
      <c r="AE4303">
        <v>-11.198600000000001</v>
      </c>
      <c r="AF4303">
        <v>-3.5973336954599202</v>
      </c>
      <c r="AG4303">
        <v>-1.115328401457</v>
      </c>
      <c r="AH4303">
        <v>10.490032416121799</v>
      </c>
      <c r="AI4303">
        <v>95.743113860607195</v>
      </c>
      <c r="AJ4303">
        <v>108.92831552426</v>
      </c>
      <c r="AK4303">
        <v>11.145651495129201</v>
      </c>
      <c r="AL4303">
        <v>90.741253900627896</v>
      </c>
      <c r="AM4303">
        <v>100.29114497464801</v>
      </c>
      <c r="AN4303">
        <v>0.99999997940558505</v>
      </c>
    </row>
    <row r="4304" spans="1:40" x14ac:dyDescent="0.25">
      <c r="A4304" t="str">
        <f>"20190312150739633"</f>
        <v>20190312150739633</v>
      </c>
      <c r="B4304" t="str">
        <f>"1552374459623872"</f>
        <v>1552374459623872</v>
      </c>
      <c r="C4304" t="s">
        <v>40</v>
      </c>
      <c r="D4304">
        <v>4.5357629999999904</v>
      </c>
      <c r="E4304">
        <v>0.4446407</v>
      </c>
      <c r="F4304" t="s">
        <v>42</v>
      </c>
      <c r="G4304">
        <v>-492.82499999999999</v>
      </c>
      <c r="H4304" s="1">
        <v>-3.3067259999999999E-6</v>
      </c>
      <c r="I4304">
        <v>255.54509999999999</v>
      </c>
      <c r="J4304">
        <v>-492.70030000000003</v>
      </c>
      <c r="K4304">
        <v>1.1153230000000001</v>
      </c>
      <c r="L4304">
        <v>266.8723</v>
      </c>
      <c r="M4304">
        <v>-0.33324350000000003</v>
      </c>
      <c r="N4304">
        <v>0</v>
      </c>
      <c r="O4304">
        <v>-0.94273359999999995</v>
      </c>
      <c r="P4304">
        <v>-0.15933539999999999</v>
      </c>
      <c r="Q4304">
        <v>-2.4842889999999999E-2</v>
      </c>
      <c r="R4304">
        <v>-0.98691180000000001</v>
      </c>
      <c r="S4304">
        <v>-4.006958E-2</v>
      </c>
      <c r="T4304">
        <v>-0.2958095</v>
      </c>
      <c r="U4304">
        <v>-3.027863</v>
      </c>
      <c r="V4304">
        <v>-0.1785503</v>
      </c>
      <c r="W4304">
        <v>-1.2943609999999999E-2</v>
      </c>
      <c r="X4304">
        <v>0.98384570000000005</v>
      </c>
      <c r="Y4304">
        <v>-0.32078129999999999</v>
      </c>
      <c r="Z4304">
        <v>8.6341070000000006E-2</v>
      </c>
      <c r="AA4304">
        <v>0.94320970000000004</v>
      </c>
      <c r="AB4304">
        <v>19</v>
      </c>
      <c r="AC4304">
        <v>-0.12469999999996099</v>
      </c>
      <c r="AD4304">
        <v>-1.115326306726</v>
      </c>
      <c r="AE4304">
        <v>-11.327199999999999</v>
      </c>
      <c r="AF4304">
        <v>-3.6224106581409599</v>
      </c>
      <c r="AG4304">
        <v>-1.115326306726</v>
      </c>
      <c r="AH4304">
        <v>10.618237156205399</v>
      </c>
      <c r="AI4304">
        <v>95.677287513654903</v>
      </c>
      <c r="AJ4304">
        <v>108.837070446897</v>
      </c>
      <c r="AK4304">
        <v>11.2744300100763</v>
      </c>
      <c r="AL4304">
        <v>90.741634894120395</v>
      </c>
      <c r="AM4304">
        <v>100.28620077163001</v>
      </c>
      <c r="AN4304">
        <v>1.0000000540392</v>
      </c>
    </row>
    <row r="4305" spans="1:40" x14ac:dyDescent="0.25">
      <c r="A4305" t="str">
        <f>"20190312150739644"</f>
        <v>20190312150739644</v>
      </c>
      <c r="B4305" t="str">
        <f>"1552374459634608"</f>
        <v>1552374459634608</v>
      </c>
      <c r="C4305" t="s">
        <v>40</v>
      </c>
      <c r="D4305">
        <v>4.5250979999999998</v>
      </c>
      <c r="E4305">
        <v>0.44522279999999997</v>
      </c>
      <c r="F4305" t="s">
        <v>42</v>
      </c>
      <c r="G4305">
        <v>-492.82549999999998</v>
      </c>
      <c r="H4305" s="1">
        <v>-3.1995130000000002E-6</v>
      </c>
      <c r="I4305">
        <v>255.29480000000001</v>
      </c>
      <c r="J4305">
        <v>-492.72710000000001</v>
      </c>
      <c r="K4305">
        <v>1.1153200000000001</v>
      </c>
      <c r="L4305">
        <v>266.78129999999999</v>
      </c>
      <c r="M4305">
        <v>-0.32889190000000001</v>
      </c>
      <c r="N4305">
        <v>0</v>
      </c>
      <c r="O4305">
        <v>-0.94426069999999995</v>
      </c>
      <c r="P4305">
        <v>-0.15493589999999999</v>
      </c>
      <c r="Q4305">
        <v>-2.482914E-2</v>
      </c>
      <c r="R4305">
        <v>-0.98761290000000002</v>
      </c>
      <c r="S4305">
        <v>-3.2745360000000001E-2</v>
      </c>
      <c r="T4305">
        <v>-0.29162320000000003</v>
      </c>
      <c r="U4305">
        <v>-3.027161</v>
      </c>
      <c r="V4305">
        <v>-0.17839739999999901</v>
      </c>
      <c r="W4305">
        <v>-1.292806E-2</v>
      </c>
      <c r="X4305">
        <v>0.98387360000000001</v>
      </c>
      <c r="Y4305">
        <v>-0.31869219999999998</v>
      </c>
      <c r="Z4305">
        <v>8.5402629999999993E-2</v>
      </c>
      <c r="AA4305">
        <v>0.94400300000000004</v>
      </c>
      <c r="AB4305">
        <v>19</v>
      </c>
      <c r="AC4305">
        <v>-9.8399999999969595E-2</v>
      </c>
      <c r="AD4305">
        <v>-1.115323199513</v>
      </c>
      <c r="AE4305">
        <v>-11.4864999999999</v>
      </c>
      <c r="AF4305">
        <v>-3.6508552589177801</v>
      </c>
      <c r="AG4305">
        <v>-1.115323199513</v>
      </c>
      <c r="AH4305">
        <v>10.7781015785293</v>
      </c>
      <c r="AI4305">
        <v>95.597704446149507</v>
      </c>
      <c r="AJ4305">
        <v>108.712729550223</v>
      </c>
      <c r="AK4305">
        <v>11.434166502112699</v>
      </c>
      <c r="AL4305">
        <v>90.740743899963903</v>
      </c>
      <c r="AM4305">
        <v>100.277294855393</v>
      </c>
      <c r="AN4305">
        <v>1.00000001391954</v>
      </c>
    </row>
    <row r="4306" spans="1:40" x14ac:dyDescent="0.25">
      <c r="A4306" t="str">
        <f>"20190312150739656"</f>
        <v>20190312150739656</v>
      </c>
      <c r="B4306" t="str">
        <f>"1552374459644367"</f>
        <v>1552374459644367</v>
      </c>
      <c r="C4306" t="s">
        <v>40</v>
      </c>
      <c r="D4306">
        <v>4.5426510000000002</v>
      </c>
      <c r="E4306">
        <v>0.44565349999999998</v>
      </c>
      <c r="F4306" t="s">
        <v>42</v>
      </c>
      <c r="G4306">
        <v>-492.82049999999998</v>
      </c>
      <c r="H4306" s="1">
        <v>-3.1053000000000002E-6</v>
      </c>
      <c r="I4306">
        <v>255.07830000000001</v>
      </c>
      <c r="J4306">
        <v>-492.75319999999999</v>
      </c>
      <c r="K4306">
        <v>1.1153169999999999</v>
      </c>
      <c r="L4306">
        <v>266.68979999999999</v>
      </c>
      <c r="M4306">
        <v>-0.32450970000000001</v>
      </c>
      <c r="N4306">
        <v>0</v>
      </c>
      <c r="O4306">
        <v>-0.9457759</v>
      </c>
      <c r="P4306">
        <v>-0.15029100000000001</v>
      </c>
      <c r="Q4306">
        <v>-2.4536189999999999E-2</v>
      </c>
      <c r="R4306">
        <v>-0.98833780000000004</v>
      </c>
      <c r="S4306">
        <v>-2.4169920000000001E-2</v>
      </c>
      <c r="T4306">
        <v>-0.28844229999999998</v>
      </c>
      <c r="U4306">
        <v>-3.0266109999999999</v>
      </c>
      <c r="V4306">
        <v>-0.17846609999999999</v>
      </c>
      <c r="W4306">
        <v>-1.263647E-2</v>
      </c>
      <c r="X4306">
        <v>0.98386490000000004</v>
      </c>
      <c r="Y4306">
        <v>-0.31697009999999998</v>
      </c>
      <c r="Z4306">
        <v>8.4736770000000003E-2</v>
      </c>
      <c r="AA4306">
        <v>0.9446426</v>
      </c>
      <c r="AB4306">
        <v>19</v>
      </c>
      <c r="AC4306">
        <v>-6.7299999999988799E-2</v>
      </c>
      <c r="AD4306">
        <v>-1.1153201052999999</v>
      </c>
      <c r="AE4306">
        <v>-11.6114999999999</v>
      </c>
      <c r="AF4306">
        <v>-3.6708994757196001</v>
      </c>
      <c r="AG4306">
        <v>-1.1153201052999999</v>
      </c>
      <c r="AH4306">
        <v>10.904223553746601</v>
      </c>
      <c r="AI4306">
        <v>95.536815964057993</v>
      </c>
      <c r="AJ4306">
        <v>108.60577136703</v>
      </c>
      <c r="AK4306">
        <v>11.559478068157199</v>
      </c>
      <c r="AL4306">
        <v>90.724035679479897</v>
      </c>
      <c r="AM4306">
        <v>100.281257172202</v>
      </c>
      <c r="AN4306">
        <v>0.99999998533764001</v>
      </c>
    </row>
    <row r="4307" spans="1:40" x14ac:dyDescent="0.25">
      <c r="A4307" t="str">
        <f>"20190312150739667"</f>
        <v>20190312150739667</v>
      </c>
      <c r="B4307" t="str">
        <f>"1552374459663888"</f>
        <v>1552374459663888</v>
      </c>
      <c r="C4307" t="s">
        <v>40</v>
      </c>
      <c r="D4307">
        <v>4.4418759999999997</v>
      </c>
      <c r="E4307">
        <v>0.44675809999999999</v>
      </c>
      <c r="F4307" t="s">
        <v>42</v>
      </c>
      <c r="G4307">
        <v>-492.80680000000001</v>
      </c>
      <c r="H4307" s="1">
        <v>-3.00391E-6</v>
      </c>
      <c r="I4307">
        <v>254.85040000000001</v>
      </c>
      <c r="J4307">
        <v>-492.78050000000002</v>
      </c>
      <c r="K4307">
        <v>1.115313</v>
      </c>
      <c r="L4307">
        <v>266.59339999999997</v>
      </c>
      <c r="M4307">
        <v>-0.31989139999999999</v>
      </c>
      <c r="N4307">
        <v>0</v>
      </c>
      <c r="O4307">
        <v>-0.94734779999999996</v>
      </c>
      <c r="P4307">
        <v>-0.145312</v>
      </c>
      <c r="Q4307">
        <v>-2.4430199999999999E-2</v>
      </c>
      <c r="R4307">
        <v>-0.98908439999999997</v>
      </c>
      <c r="S4307">
        <v>-1.370239E-2</v>
      </c>
      <c r="T4307">
        <v>-0.28508699999999998</v>
      </c>
      <c r="U4307">
        <v>-3.0262449999999999</v>
      </c>
      <c r="V4307">
        <v>-0.17862249999999999</v>
      </c>
      <c r="W4307">
        <v>-1.253309E-2</v>
      </c>
      <c r="X4307">
        <v>0.98383779999999998</v>
      </c>
      <c r="Y4307">
        <v>-0.31561030000000001</v>
      </c>
      <c r="Z4307">
        <v>8.4010959999999996E-2</v>
      </c>
      <c r="AA4307">
        <v>0.94516259999999996</v>
      </c>
      <c r="AB4307">
        <v>19</v>
      </c>
      <c r="AC4307">
        <v>-2.6299999999992E-2</v>
      </c>
      <c r="AD4307">
        <v>-1.1153160039100001</v>
      </c>
      <c r="AE4307">
        <v>-11.742999999999901</v>
      </c>
      <c r="AF4307">
        <v>-3.6985822907788202</v>
      </c>
      <c r="AG4307">
        <v>-1.1153160039100001</v>
      </c>
      <c r="AH4307">
        <v>11.034701299862499</v>
      </c>
      <c r="AI4307">
        <v>95.474143531651606</v>
      </c>
      <c r="AJ4307">
        <v>108.52998673496</v>
      </c>
      <c r="AK4307">
        <v>11.6913674789319</v>
      </c>
      <c r="AL4307">
        <v>90.7181120006464</v>
      </c>
      <c r="AM4307">
        <v>100.290352192746</v>
      </c>
      <c r="AN4307">
        <v>0.99999994628001698</v>
      </c>
    </row>
    <row r="4308" spans="1:40" x14ac:dyDescent="0.25">
      <c r="A4308" t="str">
        <f>"20190312150739680"</f>
        <v>20190312150739680</v>
      </c>
      <c r="B4308" t="str">
        <f>"1552374459674624"</f>
        <v>1552374459674624</v>
      </c>
      <c r="C4308" t="s">
        <v>40</v>
      </c>
      <c r="D4308">
        <v>4.5633330000000001</v>
      </c>
      <c r="E4308">
        <v>0.44725280000000001</v>
      </c>
      <c r="F4308" t="s">
        <v>42</v>
      </c>
      <c r="G4308">
        <v>-492.80959999999999</v>
      </c>
      <c r="H4308" s="1">
        <v>-2.873328E-6</v>
      </c>
      <c r="I4308">
        <v>254.54429999999999</v>
      </c>
      <c r="J4308">
        <v>-492.80880000000002</v>
      </c>
      <c r="K4308">
        <v>1.1153090000000001</v>
      </c>
      <c r="L4308">
        <v>266.49099999999999</v>
      </c>
      <c r="M4308">
        <v>-0.31497389999999997</v>
      </c>
      <c r="N4308">
        <v>0</v>
      </c>
      <c r="O4308">
        <v>-0.94899420000000001</v>
      </c>
      <c r="P4308">
        <v>-0.14000179999999901</v>
      </c>
      <c r="Q4308">
        <v>-2.4737249999999999E-2</v>
      </c>
      <c r="R4308">
        <v>-0.98984269999999996</v>
      </c>
      <c r="S4308">
        <v>-7.3242189999999999E-3</v>
      </c>
      <c r="T4308">
        <v>-0.28001789999999999</v>
      </c>
      <c r="U4308">
        <v>-3.0251160000000001</v>
      </c>
      <c r="V4308">
        <v>-0.17879400000000001</v>
      </c>
      <c r="W4308">
        <v>-1.2842920000000001E-2</v>
      </c>
      <c r="X4308">
        <v>0.98380270000000003</v>
      </c>
      <c r="Y4308">
        <v>-0.31268109999999999</v>
      </c>
      <c r="Z4308">
        <v>8.2831520000000006E-2</v>
      </c>
      <c r="AA4308">
        <v>0.94623970000000002</v>
      </c>
      <c r="AB4308">
        <v>19</v>
      </c>
      <c r="AC4308">
        <v>-7.9999999996971296E-4</v>
      </c>
      <c r="AD4308">
        <v>-1.1153118733280001</v>
      </c>
      <c r="AE4308">
        <v>-11.9466999999999</v>
      </c>
      <c r="AF4308">
        <v>-3.7300092687334998</v>
      </c>
      <c r="AG4308">
        <v>-1.1153118733280001</v>
      </c>
      <c r="AH4308">
        <v>11.240773187426999</v>
      </c>
      <c r="AI4308">
        <v>95.379734447664205</v>
      </c>
      <c r="AJ4308">
        <v>108.35731695100399</v>
      </c>
      <c r="AK4308">
        <v>11.8958762422447</v>
      </c>
      <c r="AL4308">
        <v>90.735865347159006</v>
      </c>
      <c r="AM4308">
        <v>100.30038044526501</v>
      </c>
      <c r="AN4308">
        <v>0.99999999377870796</v>
      </c>
    </row>
    <row r="4309" spans="1:40" x14ac:dyDescent="0.25">
      <c r="A4309" t="str">
        <f>"20190312150739694"</f>
        <v>20190312150739694</v>
      </c>
      <c r="B4309" t="str">
        <f>"1552374459684384"</f>
        <v>1552374459684384</v>
      </c>
      <c r="C4309" t="s">
        <v>40</v>
      </c>
      <c r="D4309">
        <v>4.5883209999999996</v>
      </c>
      <c r="E4309">
        <v>0.44770720000000003</v>
      </c>
      <c r="F4309" t="s">
        <v>42</v>
      </c>
      <c r="G4309">
        <v>-492.79020000000003</v>
      </c>
      <c r="H4309" s="1">
        <v>-2.8216350000000001E-6</v>
      </c>
      <c r="I4309">
        <v>254.4359</v>
      </c>
      <c r="J4309">
        <v>-492.83839999999998</v>
      </c>
      <c r="K4309">
        <v>1.1153040000000001</v>
      </c>
      <c r="L4309">
        <v>266.38130000000001</v>
      </c>
      <c r="M4309">
        <v>-0.30969999999999998</v>
      </c>
      <c r="N4309">
        <v>0</v>
      </c>
      <c r="O4309">
        <v>-0.95072820000000002</v>
      </c>
      <c r="P4309">
        <v>-0.13436479999999901</v>
      </c>
      <c r="Q4309">
        <v>-2.4640329999999998E-2</v>
      </c>
      <c r="R4309">
        <v>-0.9906256</v>
      </c>
      <c r="S4309">
        <v>4.6691889999999998E-3</v>
      </c>
      <c r="T4309">
        <v>-0.27981790000000001</v>
      </c>
      <c r="U4309">
        <v>-3.0244749999999998</v>
      </c>
      <c r="V4309">
        <v>-0.1789345</v>
      </c>
      <c r="W4309">
        <v>-1.274814E-2</v>
      </c>
      <c r="X4309">
        <v>0.98377840000000005</v>
      </c>
      <c r="Y4309">
        <v>-0.31115959999999998</v>
      </c>
      <c r="Z4309">
        <v>8.3051100000000003E-2</v>
      </c>
      <c r="AA4309">
        <v>0.94672190000000001</v>
      </c>
      <c r="AB4309">
        <v>19</v>
      </c>
      <c r="AC4309">
        <v>4.8199999999951601E-2</v>
      </c>
      <c r="AD4309">
        <v>-1.1153068216349999</v>
      </c>
      <c r="AE4309">
        <v>-11.945399999999999</v>
      </c>
      <c r="AF4309">
        <v>-3.7133234137575801</v>
      </c>
      <c r="AG4309">
        <v>-1.1153068216349999</v>
      </c>
      <c r="AH4309">
        <v>11.245019850968401</v>
      </c>
      <c r="AI4309">
        <v>95.380257612359998</v>
      </c>
      <c r="AJ4309">
        <v>108.27422403294</v>
      </c>
      <c r="AK4309">
        <v>11.894669038280099</v>
      </c>
      <c r="AL4309">
        <v>90.730434400089194</v>
      </c>
      <c r="AM4309">
        <v>100.30855038342</v>
      </c>
      <c r="AN4309">
        <v>1.0000000053351299</v>
      </c>
    </row>
    <row r="4310" spans="1:40" x14ac:dyDescent="0.25">
      <c r="A4310" t="str">
        <f>"20190312150739706"</f>
        <v>20190312150739706</v>
      </c>
      <c r="B4310" t="str">
        <f>"1552374459694144"</f>
        <v>1552374459694144</v>
      </c>
      <c r="C4310" t="s">
        <v>40</v>
      </c>
      <c r="D4310">
        <v>4.5893709999999999</v>
      </c>
      <c r="E4310">
        <v>0.4479609</v>
      </c>
      <c r="F4310" t="s">
        <v>42</v>
      </c>
      <c r="G4310">
        <v>-492.7645</v>
      </c>
      <c r="H4310" s="1">
        <v>-2.765707E-6</v>
      </c>
      <c r="I4310">
        <v>254.32140000000001</v>
      </c>
      <c r="J4310">
        <v>-492.86529999999999</v>
      </c>
      <c r="K4310">
        <v>1.1153040000000001</v>
      </c>
      <c r="L4310">
        <v>266.2801</v>
      </c>
      <c r="M4310">
        <v>-0.30482809999999999</v>
      </c>
      <c r="N4310">
        <v>0</v>
      </c>
      <c r="O4310">
        <v>-0.95230139999999996</v>
      </c>
      <c r="P4310">
        <v>-0.12928319999999999</v>
      </c>
      <c r="Q4310">
        <v>-2.501805E-2</v>
      </c>
      <c r="R4310">
        <v>-0.99129219999999896</v>
      </c>
      <c r="S4310">
        <v>1.852417E-2</v>
      </c>
      <c r="T4310">
        <v>-0.27965030000000002</v>
      </c>
      <c r="U4310">
        <v>-3.0238649999999998</v>
      </c>
      <c r="V4310">
        <v>-0.1789345</v>
      </c>
      <c r="W4310">
        <v>-1.31261E-2</v>
      </c>
      <c r="X4310">
        <v>0.98377340000000002</v>
      </c>
      <c r="Y4310">
        <v>-0.31063220000000002</v>
      </c>
      <c r="Z4310">
        <v>8.3240980000000006E-2</v>
      </c>
      <c r="AA4310">
        <v>0.94687829999999995</v>
      </c>
      <c r="AB4310">
        <v>19</v>
      </c>
      <c r="AC4310">
        <v>0.10079999999999199</v>
      </c>
      <c r="AD4310">
        <v>-1.1153067657069999</v>
      </c>
      <c r="AE4310">
        <v>-11.958699999999901</v>
      </c>
      <c r="AF4310">
        <v>-3.7094548309704201</v>
      </c>
      <c r="AG4310">
        <v>-1.1153067657069999</v>
      </c>
      <c r="AH4310">
        <v>11.2607671519843</v>
      </c>
      <c r="AI4310">
        <v>95.374057220263396</v>
      </c>
      <c r="AJ4310">
        <v>108.232608821391</v>
      </c>
      <c r="AK4310">
        <v>11.908351740516</v>
      </c>
      <c r="AL4310">
        <v>90.752091747323007</v>
      </c>
      <c r="AM4310">
        <v>100.308601652962</v>
      </c>
      <c r="AN4310">
        <v>0.99999997616950898</v>
      </c>
    </row>
    <row r="4311" spans="1:40" x14ac:dyDescent="0.25">
      <c r="A4311" t="str">
        <f>"20190312150739722"</f>
        <v>20190312150739722</v>
      </c>
      <c r="B4311" t="str">
        <f>"1552374459714639"</f>
        <v>1552374459714639</v>
      </c>
      <c r="C4311" t="s">
        <v>40</v>
      </c>
      <c r="D4311">
        <v>4.5557359999999996</v>
      </c>
      <c r="E4311">
        <v>0.44872810000000002</v>
      </c>
      <c r="F4311" t="s">
        <v>42</v>
      </c>
      <c r="G4311">
        <v>-492.73910000000001</v>
      </c>
      <c r="H4311" s="1">
        <v>-2.6967380000000001E-6</v>
      </c>
      <c r="I4311">
        <v>254.1764</v>
      </c>
      <c r="J4311">
        <v>-492.9008</v>
      </c>
      <c r="K4311">
        <v>1.1153029999999999</v>
      </c>
      <c r="L4311">
        <v>266.14280000000002</v>
      </c>
      <c r="M4311">
        <v>-0.29820360000000001</v>
      </c>
      <c r="N4311">
        <v>0</v>
      </c>
      <c r="O4311">
        <v>-0.95439669999999999</v>
      </c>
      <c r="P4311">
        <v>-0.1228947</v>
      </c>
      <c r="Q4311">
        <v>-2.5261929999999998E-2</v>
      </c>
      <c r="R4311">
        <v>-0.99209840000000005</v>
      </c>
      <c r="S4311">
        <v>3.1524660000000003E-2</v>
      </c>
      <c r="T4311">
        <v>-0.27859820000000002</v>
      </c>
      <c r="U4311">
        <v>-3.0234380000000001</v>
      </c>
      <c r="V4311">
        <v>-0.17843200000000001</v>
      </c>
      <c r="W4311">
        <v>-1.336271E-2</v>
      </c>
      <c r="X4311">
        <v>0.98386150000000006</v>
      </c>
      <c r="Y4311">
        <v>-0.30809989999999998</v>
      </c>
      <c r="Z4311">
        <v>8.3264980000000002E-2</v>
      </c>
      <c r="AA4311">
        <v>0.94770319999999997</v>
      </c>
      <c r="AB4311">
        <v>19</v>
      </c>
      <c r="AC4311">
        <v>0.16169999999999601</v>
      </c>
      <c r="AD4311">
        <v>-1.115305696738</v>
      </c>
      <c r="AE4311">
        <v>-11.9664</v>
      </c>
      <c r="AF4311">
        <v>-3.6910669463712402</v>
      </c>
      <c r="AG4311">
        <v>-1.115305696738</v>
      </c>
      <c r="AH4311">
        <v>11.275687412396501</v>
      </c>
      <c r="AI4311">
        <v>95.370252108737105</v>
      </c>
      <c r="AJ4311">
        <v>108.12572462470899</v>
      </c>
      <c r="AK4311">
        <v>11.9167532751941</v>
      </c>
      <c r="AL4311">
        <v>90.765649676131801</v>
      </c>
      <c r="AM4311">
        <v>100.279369357554</v>
      </c>
      <c r="AN4311">
        <v>0.99999999591239697</v>
      </c>
    </row>
    <row r="4312" spans="1:40" x14ac:dyDescent="0.25">
      <c r="A4312" t="str">
        <f>"20190312150739736"</f>
        <v>20190312150739736</v>
      </c>
      <c r="B4312" t="str">
        <f>"1552374459734160"</f>
        <v>1552374459734160</v>
      </c>
      <c r="C4312" t="s">
        <v>40</v>
      </c>
      <c r="D4312">
        <v>4.5599080000000001</v>
      </c>
      <c r="E4312">
        <v>0.44975280000000001</v>
      </c>
      <c r="F4312" t="s">
        <v>42</v>
      </c>
      <c r="G4312">
        <v>-492.7208</v>
      </c>
      <c r="H4312" s="1">
        <v>-2.7297159999999999E-6</v>
      </c>
      <c r="I4312">
        <v>254.2646</v>
      </c>
      <c r="J4312">
        <v>-492.92860000000002</v>
      </c>
      <c r="K4312">
        <v>1.1153</v>
      </c>
      <c r="L4312">
        <v>266.03160000000003</v>
      </c>
      <c r="M4312">
        <v>-0.29283219999999999</v>
      </c>
      <c r="N4312">
        <v>0</v>
      </c>
      <c r="O4312">
        <v>-0.95605850000000003</v>
      </c>
      <c r="P4312">
        <v>-0.1174596</v>
      </c>
      <c r="Q4312">
        <v>-2.5348599999999999E-2</v>
      </c>
      <c r="R4312">
        <v>-0.99275429999999998</v>
      </c>
      <c r="S4312">
        <v>4.5806880000000001E-2</v>
      </c>
      <c r="T4312">
        <v>-0.28378490000000001</v>
      </c>
      <c r="U4312">
        <v>-3.0223390000000001</v>
      </c>
      <c r="V4312">
        <v>-0.1782859</v>
      </c>
      <c r="W4312">
        <v>-1.3446929999999999E-2</v>
      </c>
      <c r="X4312">
        <v>0.98388679999999995</v>
      </c>
      <c r="Y4312">
        <v>-0.30722880000000002</v>
      </c>
      <c r="Z4312">
        <v>8.5074540000000004E-2</v>
      </c>
      <c r="AA4312">
        <v>0.94782529999999998</v>
      </c>
      <c r="AB4312">
        <v>19</v>
      </c>
      <c r="AC4312">
        <v>0.20780000000002</v>
      </c>
      <c r="AD4312">
        <v>-1.1153027297160001</v>
      </c>
      <c r="AE4312">
        <v>-11.766999999999999</v>
      </c>
      <c r="AF4312">
        <v>-3.6123505238056701</v>
      </c>
      <c r="AG4312">
        <v>-1.1153027297160001</v>
      </c>
      <c r="AH4312">
        <v>11.090613610274399</v>
      </c>
      <c r="AI4312">
        <v>95.461934803961398</v>
      </c>
      <c r="AJ4312">
        <v>108.04107260435001</v>
      </c>
      <c r="AK4312">
        <v>11.717281542156201</v>
      </c>
      <c r="AL4312">
        <v>90.770475589022098</v>
      </c>
      <c r="AM4312">
        <v>100.270873359048</v>
      </c>
      <c r="AN4312">
        <v>0.99999995863973601</v>
      </c>
    </row>
    <row r="4313" spans="1:40" x14ac:dyDescent="0.25">
      <c r="A4313" t="str">
        <f>"20190312150739747"</f>
        <v>20190312150739747</v>
      </c>
      <c r="B4313" t="str">
        <f>"1552374459743920"</f>
        <v>1552374459743920</v>
      </c>
      <c r="C4313" t="s">
        <v>40</v>
      </c>
      <c r="D4313">
        <v>4.5534540000000003</v>
      </c>
      <c r="E4313">
        <v>0.45020779999999999</v>
      </c>
      <c r="F4313" t="s">
        <v>42</v>
      </c>
      <c r="G4313">
        <v>-492.71609999999998</v>
      </c>
      <c r="H4313" s="1">
        <v>-2.6964140000000001E-6</v>
      </c>
      <c r="I4313">
        <v>254.18989999999999</v>
      </c>
      <c r="J4313">
        <v>-492.95100000000002</v>
      </c>
      <c r="K4313">
        <v>1.115299</v>
      </c>
      <c r="L4313">
        <v>265.9409</v>
      </c>
      <c r="M4313">
        <v>-0.28844940000000002</v>
      </c>
      <c r="N4313">
        <v>0</v>
      </c>
      <c r="O4313">
        <v>-0.95738999999999996</v>
      </c>
      <c r="P4313">
        <v>-0.113191</v>
      </c>
      <c r="Q4313">
        <v>-2.5608530000000001E-2</v>
      </c>
      <c r="R4313">
        <v>-0.9932434</v>
      </c>
      <c r="S4313">
        <v>5.4229739999999999E-2</v>
      </c>
      <c r="T4313">
        <v>-0.28453800000000001</v>
      </c>
      <c r="U4313">
        <v>-3.0210569999999999</v>
      </c>
      <c r="V4313">
        <v>-0.1780033</v>
      </c>
      <c r="W4313">
        <v>-1.3702560000000001E-2</v>
      </c>
      <c r="X4313">
        <v>0.98393450000000005</v>
      </c>
      <c r="Y4313">
        <v>-0.30551699999999998</v>
      </c>
      <c r="Z4313">
        <v>8.5544499999999996E-2</v>
      </c>
      <c r="AA4313">
        <v>0.94833619999999996</v>
      </c>
      <c r="AB4313">
        <v>19</v>
      </c>
      <c r="AC4313">
        <v>0.23489999999998101</v>
      </c>
      <c r="AD4313">
        <v>-1.1153016964139999</v>
      </c>
      <c r="AE4313">
        <v>-11.750999999999999</v>
      </c>
      <c r="AF4313">
        <v>-3.5825643709045401</v>
      </c>
      <c r="AG4313">
        <v>-1.1153016964139999</v>
      </c>
      <c r="AH4313">
        <v>11.0838539795575</v>
      </c>
      <c r="AI4313">
        <v>95.469210731336403</v>
      </c>
      <c r="AJ4313">
        <v>107.91206240956799</v>
      </c>
      <c r="AK4313">
        <v>11.7017299740615</v>
      </c>
      <c r="AL4313">
        <v>90.785123413141406</v>
      </c>
      <c r="AM4313">
        <v>100.254452189479</v>
      </c>
      <c r="AN4313">
        <v>1.0000000176258399</v>
      </c>
    </row>
    <row r="4314" spans="1:40" x14ac:dyDescent="0.25">
      <c r="A4314" t="str">
        <f>"20190312150739758"</f>
        <v>20190312150739758</v>
      </c>
      <c r="B4314" t="str">
        <f>"1552374459754655"</f>
        <v>1552374459754655</v>
      </c>
      <c r="C4314" t="s">
        <v>40</v>
      </c>
      <c r="D4314">
        <v>4.5510169999999999</v>
      </c>
      <c r="E4314">
        <v>0.4506172</v>
      </c>
      <c r="F4314" t="s">
        <v>42</v>
      </c>
      <c r="G4314">
        <v>-492.70280000000002</v>
      </c>
      <c r="H4314" s="1">
        <v>-2.67171E-6</v>
      </c>
      <c r="I4314">
        <v>254.14060000000001</v>
      </c>
      <c r="J4314">
        <v>-492.97320000000002</v>
      </c>
      <c r="K4314">
        <v>1.1152959999999901</v>
      </c>
      <c r="L4314">
        <v>265.84910000000002</v>
      </c>
      <c r="M4314">
        <v>-0.28399920000000001</v>
      </c>
      <c r="N4314">
        <v>0</v>
      </c>
      <c r="O4314">
        <v>-0.95871949999999995</v>
      </c>
      <c r="P4314">
        <v>-0.1086896</v>
      </c>
      <c r="Q4314">
        <v>-2.577695E-2</v>
      </c>
      <c r="R4314">
        <v>-0.99374150000000006</v>
      </c>
      <c r="S4314">
        <v>6.35376E-2</v>
      </c>
      <c r="T4314">
        <v>-0.28545759999999998</v>
      </c>
      <c r="U4314">
        <v>-3.0202640000000001</v>
      </c>
      <c r="V4314">
        <v>-0.1778875</v>
      </c>
      <c r="W4314">
        <v>-1.386897E-2</v>
      </c>
      <c r="X4314">
        <v>0.98395310000000002</v>
      </c>
      <c r="Y4314">
        <v>-0.3040194</v>
      </c>
      <c r="Z4314">
        <v>8.6047579999999999E-2</v>
      </c>
      <c r="AA4314">
        <v>0.94877180000000005</v>
      </c>
      <c r="AB4314">
        <v>19</v>
      </c>
      <c r="AC4314">
        <v>0.27039999999999498</v>
      </c>
      <c r="AD4314">
        <v>-1.11529867170999</v>
      </c>
      <c r="AE4314">
        <v>-11.708500000000001</v>
      </c>
      <c r="AF4314">
        <v>-3.55258577318435</v>
      </c>
      <c r="AG4314">
        <v>-1.11529867170999</v>
      </c>
      <c r="AH4314">
        <v>11.049293078965899</v>
      </c>
      <c r="AI4314">
        <v>95.488909847477302</v>
      </c>
      <c r="AJ4314">
        <v>107.82371690772599</v>
      </c>
      <c r="AK4314">
        <v>11.659829945065001</v>
      </c>
      <c r="AL4314">
        <v>90.794658918244494</v>
      </c>
      <c r="AM4314">
        <v>100.24773295516199</v>
      </c>
      <c r="AN4314">
        <v>1.00000000699236</v>
      </c>
    </row>
    <row r="4315" spans="1:40" x14ac:dyDescent="0.25">
      <c r="A4315" t="str">
        <f>"20190312150739770"</f>
        <v>20190312150739770</v>
      </c>
      <c r="B4315" t="str">
        <f>"1552374459764416"</f>
        <v>1552374459764416</v>
      </c>
      <c r="C4315" t="s">
        <v>40</v>
      </c>
      <c r="D4315">
        <v>4.5963070000000004</v>
      </c>
      <c r="E4315">
        <v>0.45110240000000001</v>
      </c>
      <c r="F4315" t="s">
        <v>42</v>
      </c>
      <c r="G4315">
        <v>-492.685</v>
      </c>
      <c r="H4315" s="1">
        <v>-2.6379799999999999E-6</v>
      </c>
      <c r="I4315">
        <v>254.07300000000001</v>
      </c>
      <c r="J4315">
        <v>-492.99360000000001</v>
      </c>
      <c r="K4315">
        <v>1.115291</v>
      </c>
      <c r="L4315">
        <v>265.76260000000002</v>
      </c>
      <c r="M4315">
        <v>-0.27980690000000003</v>
      </c>
      <c r="N4315">
        <v>0</v>
      </c>
      <c r="O4315">
        <v>-0.95995129999999995</v>
      </c>
      <c r="P4315">
        <v>-0.1045006</v>
      </c>
      <c r="Q4315">
        <v>-2.5819419999999999E-2</v>
      </c>
      <c r="R4315">
        <v>-0.99418949999999995</v>
      </c>
      <c r="S4315">
        <v>7.388306E-2</v>
      </c>
      <c r="T4315">
        <v>-0.28598449999999997</v>
      </c>
      <c r="U4315">
        <v>-3.0196230000000002</v>
      </c>
      <c r="V4315">
        <v>-0.177734</v>
      </c>
      <c r="W4315">
        <v>-1.3908739999999999E-2</v>
      </c>
      <c r="X4315">
        <v>0.98398030000000003</v>
      </c>
      <c r="Y4315">
        <v>-0.30310930000000003</v>
      </c>
      <c r="Z4315">
        <v>8.6406739999999996E-2</v>
      </c>
      <c r="AA4315">
        <v>0.94903029999999999</v>
      </c>
      <c r="AB4315">
        <v>19</v>
      </c>
      <c r="AC4315">
        <v>0.30860000000001198</v>
      </c>
      <c r="AD4315">
        <v>-1.11529363798</v>
      </c>
      <c r="AE4315">
        <v>-11.6896</v>
      </c>
      <c r="AF4315">
        <v>-3.5352725514891401</v>
      </c>
      <c r="AG4315">
        <v>-1.11529363798</v>
      </c>
      <c r="AH4315">
        <v>11.0358329212747</v>
      </c>
      <c r="AI4315">
        <v>95.497409228302899</v>
      </c>
      <c r="AJ4315">
        <v>107.762594410647</v>
      </c>
      <c r="AK4315">
        <v>11.641805709533299</v>
      </c>
      <c r="AL4315">
        <v>90.796937773412196</v>
      </c>
      <c r="AM4315">
        <v>100.238800233161</v>
      </c>
      <c r="AN4315">
        <v>1.0000000292962301</v>
      </c>
    </row>
    <row r="4316" spans="1:40" x14ac:dyDescent="0.25">
      <c r="A4316" t="str">
        <f>"20190312150739781"</f>
        <v>20190312150739781</v>
      </c>
      <c r="B4316" t="str">
        <f>"1552374459774178"</f>
        <v>1552374459774178</v>
      </c>
      <c r="C4316" t="s">
        <v>40</v>
      </c>
      <c r="D4316">
        <v>4.5887659999999997</v>
      </c>
      <c r="E4316">
        <v>0.45157799999999998</v>
      </c>
      <c r="F4316" t="s">
        <v>42</v>
      </c>
      <c r="G4316">
        <v>-492.67230000000001</v>
      </c>
      <c r="H4316" s="1">
        <v>-2.6063139999999999E-6</v>
      </c>
      <c r="I4316">
        <v>254.00710000000001</v>
      </c>
      <c r="J4316">
        <v>-493.01569999999998</v>
      </c>
      <c r="K4316">
        <v>1.1152869999999999</v>
      </c>
      <c r="L4316">
        <v>265.66719999999998</v>
      </c>
      <c r="M4316">
        <v>-0.27518009999999998</v>
      </c>
      <c r="N4316">
        <v>0</v>
      </c>
      <c r="O4316">
        <v>-0.96128789999999997</v>
      </c>
      <c r="P4316">
        <v>-9.9958489999999997E-2</v>
      </c>
      <c r="Q4316">
        <v>-2.6133699999999999E-2</v>
      </c>
      <c r="R4316">
        <v>-0.99464859999999999</v>
      </c>
      <c r="S4316">
        <v>8.2519529999999994E-2</v>
      </c>
      <c r="T4316">
        <v>-0.286402299999999</v>
      </c>
      <c r="U4316">
        <v>-3.0187680000000001</v>
      </c>
      <c r="V4316">
        <v>-0.17748359999999999</v>
      </c>
      <c r="W4316">
        <v>-1.421881E-2</v>
      </c>
      <c r="X4316">
        <v>0.98402100000000003</v>
      </c>
      <c r="Y4316">
        <v>-0.30123889999999998</v>
      </c>
      <c r="Z4316">
        <v>8.6769559999999996E-2</v>
      </c>
      <c r="AA4316">
        <v>0.94959260000000001</v>
      </c>
      <c r="AB4316">
        <v>19</v>
      </c>
      <c r="AC4316">
        <v>0.343399999999974</v>
      </c>
      <c r="AD4316">
        <v>-1.1152896063140001</v>
      </c>
      <c r="AE4316">
        <v>-11.6600999999999</v>
      </c>
      <c r="AF4316">
        <v>-3.50703248234651</v>
      </c>
      <c r="AG4316">
        <v>-1.1152896063140001</v>
      </c>
      <c r="AH4316">
        <v>11.014650997470101</v>
      </c>
      <c r="AI4316">
        <v>95.510987320401497</v>
      </c>
      <c r="AJ4316">
        <v>107.66132216141</v>
      </c>
      <c r="AK4316">
        <v>11.6131685742632</v>
      </c>
      <c r="AL4316">
        <v>90.814705284383706</v>
      </c>
      <c r="AM4316">
        <v>100.224265862378</v>
      </c>
      <c r="AN4316">
        <v>0.99999996563388704</v>
      </c>
    </row>
    <row r="4317" spans="1:40" x14ac:dyDescent="0.25">
      <c r="A4317" t="str">
        <f>"20190312150739791"</f>
        <v>20190312150739791</v>
      </c>
      <c r="B4317" t="str">
        <f>"1552374459783936"</f>
        <v>1552374459783936</v>
      </c>
      <c r="C4317" t="s">
        <v>40</v>
      </c>
      <c r="D4317">
        <v>4.5541729999999996</v>
      </c>
      <c r="E4317">
        <v>0.45216489999999998</v>
      </c>
      <c r="F4317" t="s">
        <v>42</v>
      </c>
      <c r="G4317">
        <v>-492.65769999999998</v>
      </c>
      <c r="H4317" s="1">
        <v>-2.5884870000000001E-6</v>
      </c>
      <c r="I4317">
        <v>253.97460000000001</v>
      </c>
      <c r="J4317">
        <v>-493.03539999999998</v>
      </c>
      <c r="K4317">
        <v>1.1152820000000001</v>
      </c>
      <c r="L4317">
        <v>265.58010000000002</v>
      </c>
      <c r="M4317">
        <v>-0.27095019999999997</v>
      </c>
      <c r="N4317">
        <v>0</v>
      </c>
      <c r="O4317">
        <v>-0.96248869999999997</v>
      </c>
      <c r="P4317">
        <v>-9.5983830000000006E-2</v>
      </c>
      <c r="Q4317">
        <v>-2.6267180000000001E-2</v>
      </c>
      <c r="R4317">
        <v>-0.99503620000000004</v>
      </c>
      <c r="S4317">
        <v>9.2407230000000007E-2</v>
      </c>
      <c r="T4317">
        <v>-0.28785949999999999</v>
      </c>
      <c r="U4317">
        <v>-3.0179140000000002</v>
      </c>
      <c r="V4317">
        <v>-0.17708579999999999</v>
      </c>
      <c r="W4317">
        <v>-1.434589E-2</v>
      </c>
      <c r="X4317">
        <v>0.98409089999999999</v>
      </c>
      <c r="Y4317">
        <v>-0.30016029999999999</v>
      </c>
      <c r="Z4317">
        <v>8.7413850000000001E-2</v>
      </c>
      <c r="AA4317">
        <v>0.94987509999999997</v>
      </c>
      <c r="AB4317">
        <v>19</v>
      </c>
      <c r="AC4317">
        <v>0.37770000000000398</v>
      </c>
      <c r="AD4317">
        <v>-1.115284588487</v>
      </c>
      <c r="AE4317">
        <v>-11.605499999999999</v>
      </c>
      <c r="AF4317">
        <v>-3.4763275829564</v>
      </c>
      <c r="AG4317">
        <v>-1.115284588487</v>
      </c>
      <c r="AH4317">
        <v>10.9677582596306</v>
      </c>
      <c r="AI4317">
        <v>95.536661931593102</v>
      </c>
      <c r="AJ4317">
        <v>107.586470437185</v>
      </c>
      <c r="AK4317">
        <v>11.5594305404304</v>
      </c>
      <c r="AL4317">
        <v>90.821987112021006</v>
      </c>
      <c r="AM4317">
        <v>100.20112225995</v>
      </c>
      <c r="AN4317">
        <v>1.00000004229217</v>
      </c>
    </row>
    <row r="4318" spans="1:40" x14ac:dyDescent="0.25">
      <c r="A4318" t="str">
        <f>"20190312150739802"</f>
        <v>20190312150739802</v>
      </c>
      <c r="B4318" t="str">
        <f>"1552374459794672"</f>
        <v>1552374459794672</v>
      </c>
      <c r="C4318" t="s">
        <v>40</v>
      </c>
      <c r="D4318">
        <v>4.8461919999999896</v>
      </c>
      <c r="E4318">
        <v>0.45216489999999998</v>
      </c>
      <c r="F4318" t="s">
        <v>42</v>
      </c>
      <c r="G4318">
        <v>-492.64949999999999</v>
      </c>
      <c r="H4318" s="1">
        <v>-2.5547330000000001E-6</v>
      </c>
      <c r="I4318">
        <v>253.90090000000001</v>
      </c>
      <c r="J4318">
        <v>-493.05509999999998</v>
      </c>
      <c r="K4318">
        <v>1.1152770000000001</v>
      </c>
      <c r="L4318">
        <v>265.49200000000002</v>
      </c>
      <c r="M4318">
        <v>-0.26666519999999999</v>
      </c>
      <c r="N4318">
        <v>0</v>
      </c>
      <c r="O4318">
        <v>-0.9636846</v>
      </c>
      <c r="P4318">
        <v>-9.1765330000000006E-2</v>
      </c>
      <c r="Q4318">
        <v>-2.637244E-2</v>
      </c>
      <c r="R4318">
        <v>-0.99543139999999997</v>
      </c>
      <c r="S4318">
        <v>9.9670410000000001E-2</v>
      </c>
      <c r="T4318">
        <v>-0.28810010000000003</v>
      </c>
      <c r="U4318">
        <v>-3.0169679999999999</v>
      </c>
      <c r="V4318">
        <v>-0.1768767</v>
      </c>
      <c r="W4318">
        <v>-1.4447349999999999E-2</v>
      </c>
      <c r="X4318">
        <v>0.98412699999999997</v>
      </c>
      <c r="Y4318">
        <v>-0.29820940000000001</v>
      </c>
      <c r="Z4318">
        <v>8.7709200000000001E-2</v>
      </c>
      <c r="AA4318">
        <v>0.95046209999999998</v>
      </c>
      <c r="AB4318">
        <v>19</v>
      </c>
      <c r="AC4318">
        <v>0.40559999999999202</v>
      </c>
      <c r="AD4318">
        <v>-1.1152795547329999</v>
      </c>
      <c r="AE4318">
        <v>-11.591100000000001</v>
      </c>
      <c r="AF4318">
        <v>-3.4502610769483999</v>
      </c>
      <c r="AG4318">
        <v>-1.1152795547329999</v>
      </c>
      <c r="AH4318">
        <v>10.9617606267394</v>
      </c>
      <c r="AI4318">
        <v>95.543134262657205</v>
      </c>
      <c r="AJ4318">
        <v>107.471618578301</v>
      </c>
      <c r="AK4318">
        <v>11.545923350786801</v>
      </c>
      <c r="AL4318">
        <v>90.827800960456102</v>
      </c>
      <c r="AM4318">
        <v>100.18896351248399</v>
      </c>
      <c r="AN4318">
        <v>1.0000000225269501</v>
      </c>
    </row>
    <row r="4319" spans="1:40" x14ac:dyDescent="0.25">
      <c r="A4319" t="str">
        <f>"20190312150739813"</f>
        <v>20190312150739813</v>
      </c>
      <c r="B4319" t="str">
        <f>"1552374459804431"</f>
        <v>1552374459804431</v>
      </c>
      <c r="C4319" t="s">
        <v>40</v>
      </c>
      <c r="D4319">
        <v>4.9227019999999904</v>
      </c>
      <c r="E4319">
        <v>0.47037610000000002</v>
      </c>
      <c r="F4319" t="s">
        <v>42</v>
      </c>
      <c r="G4319">
        <v>-492.61869999999999</v>
      </c>
      <c r="H4319" s="1">
        <v>-2.5148730000000002E-6</v>
      </c>
      <c r="I4319">
        <v>253.8271</v>
      </c>
      <c r="J4319">
        <v>-493.07299999999998</v>
      </c>
      <c r="K4319">
        <v>1.1152690000000001</v>
      </c>
      <c r="L4319">
        <v>265.40890000000002</v>
      </c>
      <c r="M4319">
        <v>-0.26262540000000001</v>
      </c>
      <c r="N4319">
        <v>0</v>
      </c>
      <c r="O4319">
        <v>-0.96479349999999997</v>
      </c>
      <c r="P4319">
        <v>-8.7869299999999997E-2</v>
      </c>
      <c r="Q4319">
        <v>-2.648582E-2</v>
      </c>
      <c r="R4319">
        <v>-0.9957802</v>
      </c>
      <c r="S4319">
        <v>0.112854</v>
      </c>
      <c r="T4319">
        <v>-0.28840979999999999</v>
      </c>
      <c r="U4319">
        <v>-3.0165099999999998</v>
      </c>
      <c r="V4319">
        <v>-0.17660290000000001</v>
      </c>
      <c r="W4319">
        <v>-1.455585E-2</v>
      </c>
      <c r="X4319">
        <v>0.98417449999999995</v>
      </c>
      <c r="Y4319">
        <v>-0.29836390000000002</v>
      </c>
      <c r="Z4319">
        <v>8.7964130000000001E-2</v>
      </c>
      <c r="AA4319">
        <v>0.95039010000000002</v>
      </c>
      <c r="AB4319">
        <v>19</v>
      </c>
      <c r="AC4319">
        <v>0.454300000000046</v>
      </c>
      <c r="AD4319">
        <v>-1.1152715148729999</v>
      </c>
      <c r="AE4319">
        <v>-11.581799999999999</v>
      </c>
      <c r="AF4319">
        <v>-3.4484039306832299</v>
      </c>
      <c r="AG4319">
        <v>-1.1152715148729999</v>
      </c>
      <c r="AH4319">
        <v>10.95442629395</v>
      </c>
      <c r="AI4319">
        <v>95.546717643344905</v>
      </c>
      <c r="AJ4319">
        <v>107.47376656514</v>
      </c>
      <c r="AK4319">
        <v>11.5384043806161</v>
      </c>
      <c r="AL4319">
        <v>90.834018265192995</v>
      </c>
      <c r="AM4319">
        <v>100.173040209107</v>
      </c>
      <c r="AN4319">
        <v>0.99999995175393996</v>
      </c>
    </row>
    <row r="4320" spans="1:40" x14ac:dyDescent="0.25">
      <c r="A4320" t="str">
        <f>"20190312150739824"</f>
        <v>20190312150739824</v>
      </c>
      <c r="B4320" t="str">
        <f>"1552374459814195"</f>
        <v>1552374459814195</v>
      </c>
      <c r="C4320" t="s">
        <v>40</v>
      </c>
      <c r="D4320">
        <v>4.5732660000000003</v>
      </c>
      <c r="E4320">
        <v>0.47100619999999999</v>
      </c>
      <c r="F4320" t="s">
        <v>42</v>
      </c>
      <c r="G4320">
        <v>-493.178</v>
      </c>
      <c r="H4320" s="1">
        <v>-1.5585669999999999E-6</v>
      </c>
      <c r="I4320">
        <v>251.25110000000001</v>
      </c>
      <c r="J4320">
        <v>-493.09399999999999</v>
      </c>
      <c r="K4320">
        <v>1.115253</v>
      </c>
      <c r="L4320">
        <v>265.31119999999999</v>
      </c>
      <c r="M4320">
        <v>-0.25786750000000003</v>
      </c>
      <c r="N4320">
        <v>0</v>
      </c>
      <c r="O4320">
        <v>-0.96607609999999999</v>
      </c>
      <c r="P4320">
        <v>-8.3104979999999995E-2</v>
      </c>
      <c r="Q4320">
        <v>-2.670059E-2</v>
      </c>
      <c r="R4320">
        <v>-0.99618340000000005</v>
      </c>
      <c r="S4320">
        <v>-2.2277829999999998E-2</v>
      </c>
      <c r="T4320">
        <v>-0.23667099999999999</v>
      </c>
      <c r="U4320">
        <v>-3.0044249999999999</v>
      </c>
      <c r="V4320">
        <v>-0.17645640000000001</v>
      </c>
      <c r="W4320">
        <v>-1.476732E-2</v>
      </c>
      <c r="X4320">
        <v>0.98419769999999895</v>
      </c>
      <c r="Y4320">
        <v>-0.25073010000000001</v>
      </c>
      <c r="Z4320">
        <v>7.3296379999999994E-2</v>
      </c>
      <c r="AA4320">
        <v>0.96527819999999998</v>
      </c>
      <c r="AB4320">
        <v>19</v>
      </c>
      <c r="AC4320">
        <v>-8.4000000000059999E-2</v>
      </c>
      <c r="AD4320">
        <v>-1.115254558567</v>
      </c>
      <c r="AE4320">
        <v>-14.060099999999901</v>
      </c>
      <c r="AF4320">
        <v>-3.52268623278021</v>
      </c>
      <c r="AG4320">
        <v>-1.115254558567</v>
      </c>
      <c r="AH4320">
        <v>13.521088894942</v>
      </c>
      <c r="AI4320">
        <v>94.563568163960994</v>
      </c>
      <c r="AJ4320">
        <v>104.602803072676</v>
      </c>
      <c r="AK4320">
        <v>14.0168811056507</v>
      </c>
      <c r="AL4320">
        <v>90.846135845846703</v>
      </c>
      <c r="AM4320">
        <v>100.164542635462</v>
      </c>
      <c r="AN4320">
        <v>1.0000000237631099</v>
      </c>
    </row>
    <row r="4321" spans="1:40" x14ac:dyDescent="0.25">
      <c r="A4321" t="str">
        <f>"20190312150739835"</f>
        <v>20190312150739835</v>
      </c>
      <c r="B4321" t="str">
        <f>"1552374459823953"</f>
        <v>1552374459823953</v>
      </c>
      <c r="C4321" t="s">
        <v>40</v>
      </c>
      <c r="D4321">
        <v>4.9346740000000002</v>
      </c>
      <c r="E4321">
        <v>0.47168060000000001</v>
      </c>
      <c r="F4321" t="s">
        <v>42</v>
      </c>
      <c r="G4321">
        <v>-493.15350000000001</v>
      </c>
      <c r="H4321" s="1">
        <v>-1.5145339999999999E-6</v>
      </c>
      <c r="I4321">
        <v>251.16370000000001</v>
      </c>
      <c r="J4321">
        <v>-493.11290000000002</v>
      </c>
      <c r="K4321">
        <v>1.115245</v>
      </c>
      <c r="L4321">
        <v>265.21940000000001</v>
      </c>
      <c r="M4321">
        <v>-0.25339679999999998</v>
      </c>
      <c r="N4321">
        <v>0</v>
      </c>
      <c r="O4321">
        <v>-0.96725830000000002</v>
      </c>
      <c r="P4321">
        <v>-7.842884E-2</v>
      </c>
      <c r="Q4321">
        <v>-2.701754E-2</v>
      </c>
      <c r="R4321">
        <v>-0.99655349999999998</v>
      </c>
      <c r="S4321">
        <v>-1.2634279999999999E-2</v>
      </c>
      <c r="T4321">
        <v>-0.2368133</v>
      </c>
      <c r="U4321">
        <v>-3.004089</v>
      </c>
      <c r="V4321">
        <v>-0.17651789999999901</v>
      </c>
      <c r="W4321">
        <v>-1.5083879999999999E-2</v>
      </c>
      <c r="X4321">
        <v>0.9841818</v>
      </c>
      <c r="Y4321">
        <v>-0.24935089999999999</v>
      </c>
      <c r="Z4321">
        <v>7.3501609999999995E-2</v>
      </c>
      <c r="AA4321">
        <v>0.96561989999999998</v>
      </c>
      <c r="AB4321">
        <v>19</v>
      </c>
      <c r="AC4321">
        <v>-4.0599999999983503E-2</v>
      </c>
      <c r="AD4321">
        <v>-1.115246514534</v>
      </c>
      <c r="AE4321">
        <v>-14.0557</v>
      </c>
      <c r="AF4321">
        <v>-3.5007146511370699</v>
      </c>
      <c r="AG4321">
        <v>-1.115246514534</v>
      </c>
      <c r="AH4321">
        <v>13.5220225289775</v>
      </c>
      <c r="AI4321">
        <v>94.565038244169102</v>
      </c>
      <c r="AJ4321">
        <v>104.51462182123601</v>
      </c>
      <c r="AK4321">
        <v>14.0122757299106</v>
      </c>
      <c r="AL4321">
        <v>90.864275478414001</v>
      </c>
      <c r="AM4321">
        <v>100.168172204526</v>
      </c>
      <c r="AN4321">
        <v>0.99999995395375096</v>
      </c>
    </row>
    <row r="4322" spans="1:40" x14ac:dyDescent="0.25">
      <c r="A4322" t="str">
        <f>"20190312150739846"</f>
        <v>20190312150739846</v>
      </c>
      <c r="B4322" t="str">
        <f>"1552374459834688"</f>
        <v>1552374459834688</v>
      </c>
      <c r="C4322" t="s">
        <v>40</v>
      </c>
      <c r="D4322">
        <v>4.5430679999999999</v>
      </c>
      <c r="E4322">
        <v>0.47198810000000002</v>
      </c>
      <c r="F4322" t="s">
        <v>42</v>
      </c>
      <c r="G4322">
        <v>-493.1336</v>
      </c>
      <c r="H4322" s="1">
        <v>-1.451515E-6</v>
      </c>
      <c r="I4322">
        <v>251.0291</v>
      </c>
      <c r="J4322">
        <v>-493.12970000000001</v>
      </c>
      <c r="K4322">
        <v>1.1152390000000001</v>
      </c>
      <c r="L4322">
        <v>265.13679999999999</v>
      </c>
      <c r="M4322">
        <v>-0.24937529999999999</v>
      </c>
      <c r="N4322">
        <v>0</v>
      </c>
      <c r="O4322">
        <v>-0.96830289999999997</v>
      </c>
      <c r="P4322">
        <v>-7.4595910000000001E-2</v>
      </c>
      <c r="Q4322">
        <v>-2.7355190000000001E-2</v>
      </c>
      <c r="R4322">
        <v>-0.99683869999999997</v>
      </c>
      <c r="S4322">
        <v>-4.3945310000000001E-3</v>
      </c>
      <c r="T4322">
        <v>-0.23606440000000001</v>
      </c>
      <c r="U4322">
        <v>-3.0036619999999998</v>
      </c>
      <c r="V4322">
        <v>-0.17620729999999901</v>
      </c>
      <c r="W4322">
        <v>-1.5416010000000001E-2</v>
      </c>
      <c r="X4322">
        <v>0.98423240000000001</v>
      </c>
      <c r="Y4322">
        <v>-0.24797520000000001</v>
      </c>
      <c r="Z4322">
        <v>7.3417209999999997E-2</v>
      </c>
      <c r="AA4322">
        <v>0.96598050000000002</v>
      </c>
      <c r="AB4322">
        <v>19</v>
      </c>
      <c r="AC4322">
        <v>-3.8999999999873498E-3</v>
      </c>
      <c r="AD4322">
        <v>-1.1152404515149901</v>
      </c>
      <c r="AE4322">
        <v>-14.1076999999999</v>
      </c>
      <c r="AF4322">
        <v>-3.4928619797379499</v>
      </c>
      <c r="AG4322">
        <v>-1.1152404515149901</v>
      </c>
      <c r="AH4322">
        <v>13.5780238593665</v>
      </c>
      <c r="AI4322">
        <v>94.548068086312</v>
      </c>
      <c r="AJ4322">
        <v>104.426196010582</v>
      </c>
      <c r="AK4322">
        <v>14.0643726486367</v>
      </c>
      <c r="AL4322">
        <v>90.883307262387504</v>
      </c>
      <c r="AM4322">
        <v>100.15014168835</v>
      </c>
      <c r="AN4322">
        <v>1.0000000415736801</v>
      </c>
    </row>
    <row r="4323" spans="1:40" x14ac:dyDescent="0.25">
      <c r="A4323" t="str">
        <f>"20190312150739858"</f>
        <v>20190312150739858</v>
      </c>
      <c r="B4323" t="str">
        <f>"1552374459854209"</f>
        <v>1552374459854209</v>
      </c>
      <c r="C4323" t="s">
        <v>40</v>
      </c>
      <c r="D4323">
        <v>4.9465219999999999</v>
      </c>
      <c r="E4323">
        <v>0.47308119999999998</v>
      </c>
      <c r="F4323" t="s">
        <v>42</v>
      </c>
      <c r="G4323">
        <v>-493.1053</v>
      </c>
      <c r="H4323" s="1">
        <v>-1.419067E-6</v>
      </c>
      <c r="I4323">
        <v>250.971</v>
      </c>
      <c r="J4323">
        <v>-493.14850000000001</v>
      </c>
      <c r="K4323">
        <v>1.1152310000000001</v>
      </c>
      <c r="L4323">
        <v>265.04180000000002</v>
      </c>
      <c r="M4323">
        <v>-0.24474409999999999</v>
      </c>
      <c r="N4323">
        <v>0</v>
      </c>
      <c r="O4323">
        <v>-0.96948409999999996</v>
      </c>
      <c r="P4323">
        <v>-7.0162359999999993E-2</v>
      </c>
      <c r="Q4323">
        <v>-2.7298679999999999E-2</v>
      </c>
      <c r="R4323">
        <v>-0.9971622</v>
      </c>
      <c r="S4323">
        <v>5.1879880000000001E-3</v>
      </c>
      <c r="T4323">
        <v>-0.23645160000000001</v>
      </c>
      <c r="U4323">
        <v>-3.0034179999999999</v>
      </c>
      <c r="V4323">
        <v>-0.1758808</v>
      </c>
      <c r="W4323">
        <v>-1.535328E-2</v>
      </c>
      <c r="X4323">
        <v>0.98429169999999999</v>
      </c>
      <c r="Y4323">
        <v>-0.24642649999999999</v>
      </c>
      <c r="Z4323">
        <v>7.3696709999999999E-2</v>
      </c>
      <c r="AA4323">
        <v>0.96635539999999998</v>
      </c>
      <c r="AB4323">
        <v>19</v>
      </c>
      <c r="AC4323">
        <v>4.3200000000012999E-2</v>
      </c>
      <c r="AD4323">
        <v>-1.11523241906699</v>
      </c>
      <c r="AE4323">
        <v>-14.0708</v>
      </c>
      <c r="AF4323">
        <v>-3.46421543011102</v>
      </c>
      <c r="AG4323">
        <v>-1.11523241906699</v>
      </c>
      <c r="AH4323">
        <v>13.547112162933001</v>
      </c>
      <c r="AI4323">
        <v>94.560038434964795</v>
      </c>
      <c r="AJ4323">
        <v>104.34407263547</v>
      </c>
      <c r="AK4323">
        <v>14.027429552481999</v>
      </c>
      <c r="AL4323">
        <v>90.879712740363701</v>
      </c>
      <c r="AM4323">
        <v>100.131126392121</v>
      </c>
      <c r="AN4323">
        <v>0.99999996485214304</v>
      </c>
    </row>
    <row r="4324" spans="1:40" x14ac:dyDescent="0.25">
      <c r="A4324" t="str">
        <f>"20190312150739872"</f>
        <v>20190312150739872</v>
      </c>
      <c r="B4324" t="str">
        <f>"1552374459863968"</f>
        <v>1552374459863968</v>
      </c>
      <c r="C4324" t="s">
        <v>40</v>
      </c>
      <c r="D4324">
        <v>4.5330110000000001</v>
      </c>
      <c r="E4324">
        <v>0.47346840000000001</v>
      </c>
      <c r="F4324" t="s">
        <v>42</v>
      </c>
      <c r="G4324">
        <v>-493.10250000000002</v>
      </c>
      <c r="H4324" s="1">
        <v>-1.296524E-6</v>
      </c>
      <c r="I4324">
        <v>250.68709999999999</v>
      </c>
      <c r="J4324">
        <v>-493.1721</v>
      </c>
      <c r="K4324">
        <v>1.1152200000000001</v>
      </c>
      <c r="L4324">
        <v>264.91930000000002</v>
      </c>
      <c r="M4324">
        <v>-0.23876890000000001</v>
      </c>
      <c r="N4324">
        <v>0</v>
      </c>
      <c r="O4324">
        <v>-0.97097279999999997</v>
      </c>
      <c r="P4324">
        <v>-6.4163250000000005E-2</v>
      </c>
      <c r="Q4324">
        <v>-2.7580879999999999E-2</v>
      </c>
      <c r="R4324">
        <v>-0.99755819999999995</v>
      </c>
      <c r="S4324">
        <v>9.6130369999999996E-3</v>
      </c>
      <c r="T4324">
        <v>-0.2332909</v>
      </c>
      <c r="U4324">
        <v>-3.0028079999999999</v>
      </c>
      <c r="V4324">
        <v>-0.17573510000000001</v>
      </c>
      <c r="W4324">
        <v>-1.56312999999999E-2</v>
      </c>
      <c r="X4324">
        <v>0.98431340000000001</v>
      </c>
      <c r="Y4324">
        <v>-0.24188080000000001</v>
      </c>
      <c r="Z4324">
        <v>7.2948949999999999E-2</v>
      </c>
      <c r="AA4324">
        <v>0.96755990000000003</v>
      </c>
      <c r="AB4324">
        <v>19</v>
      </c>
      <c r="AC4324">
        <v>6.95999999999799E-2</v>
      </c>
      <c r="AD4324">
        <v>-1.115221296524</v>
      </c>
      <c r="AE4324">
        <v>-14.232200000000001</v>
      </c>
      <c r="AF4324">
        <v>-3.4449830545829001</v>
      </c>
      <c r="AG4324">
        <v>-1.115221296524</v>
      </c>
      <c r="AH4324">
        <v>13.7196114671384</v>
      </c>
      <c r="AI4324">
        <v>94.5078294585809</v>
      </c>
      <c r="AJ4324">
        <v>104.095501356084</v>
      </c>
      <c r="AK4324">
        <v>14.189410332914401</v>
      </c>
      <c r="AL4324">
        <v>90.895643979590005</v>
      </c>
      <c r="AM4324">
        <v>100.122688828557</v>
      </c>
      <c r="AN4324">
        <v>1.0000000161656299</v>
      </c>
    </row>
    <row r="4325" spans="1:40" x14ac:dyDescent="0.25">
      <c r="A4325" t="str">
        <f>"20190312150739886"</f>
        <v>20190312150739886</v>
      </c>
      <c r="B4325" t="str">
        <f>"1552374459874705"</f>
        <v>1552374459874705</v>
      </c>
      <c r="C4325" t="s">
        <v>40</v>
      </c>
      <c r="D4325">
        <v>4.6092639999999996</v>
      </c>
      <c r="E4325">
        <v>0.47356530000000002</v>
      </c>
      <c r="F4325" t="s">
        <v>42</v>
      </c>
      <c r="G4325">
        <v>-493.05560000000003</v>
      </c>
      <c r="H4325" s="1">
        <v>-1.2987050000000001E-6</v>
      </c>
      <c r="I4325">
        <v>250.72130000000001</v>
      </c>
      <c r="J4325">
        <v>-493.19189999999998</v>
      </c>
      <c r="K4325">
        <v>1.1152070000000001</v>
      </c>
      <c r="L4325">
        <v>264.8134</v>
      </c>
      <c r="M4325">
        <v>-0.2336029</v>
      </c>
      <c r="N4325">
        <v>0</v>
      </c>
      <c r="O4325">
        <v>-0.9722288</v>
      </c>
      <c r="P4325">
        <v>-5.914167E-2</v>
      </c>
      <c r="Q4325">
        <v>-2.772577E-2</v>
      </c>
      <c r="R4325">
        <v>-0.9978648</v>
      </c>
      <c r="S4325">
        <v>2.4627690000000001E-2</v>
      </c>
      <c r="T4325">
        <v>-0.23583029999999999</v>
      </c>
      <c r="U4325">
        <v>-3.00238</v>
      </c>
      <c r="V4325">
        <v>-0.17545350000000001</v>
      </c>
      <c r="W4325">
        <v>-1.577019E-2</v>
      </c>
      <c r="X4325">
        <v>0.98436140000000005</v>
      </c>
      <c r="Y4325">
        <v>-0.2415601</v>
      </c>
      <c r="Z4325">
        <v>7.3897450000000003E-2</v>
      </c>
      <c r="AA4325">
        <v>0.96756799999999998</v>
      </c>
      <c r="AB4325">
        <v>19</v>
      </c>
      <c r="AC4325">
        <v>0.13629999999994799</v>
      </c>
      <c r="AD4325">
        <v>-1.115208298705</v>
      </c>
      <c r="AE4325">
        <v>-14.092099999999901</v>
      </c>
      <c r="AF4325">
        <v>-3.4035010984824599</v>
      </c>
      <c r="AG4325">
        <v>-1.115208298705</v>
      </c>
      <c r="AH4325">
        <v>13.5852063668812</v>
      </c>
      <c r="AI4325">
        <v>94.552797167106604</v>
      </c>
      <c r="AJ4325">
        <v>104.064817794955</v>
      </c>
      <c r="AK4325">
        <v>14.049389357108099</v>
      </c>
      <c r="AL4325">
        <v>90.903602788021999</v>
      </c>
      <c r="AM4325">
        <v>100.10632009095499</v>
      </c>
      <c r="AN4325">
        <v>0.99999999768242298</v>
      </c>
    </row>
    <row r="4326" spans="1:40" x14ac:dyDescent="0.25">
      <c r="A4326" t="str">
        <f>"20190312150739903"</f>
        <v>20190312150739903</v>
      </c>
      <c r="B4326" t="str">
        <f>"1552374459894223"</f>
        <v>1552374459894223</v>
      </c>
      <c r="C4326" t="s">
        <v>40</v>
      </c>
      <c r="D4326">
        <v>4.5770850000000003</v>
      </c>
      <c r="E4326">
        <v>0.47442129999999999</v>
      </c>
      <c r="F4326" t="s">
        <v>42</v>
      </c>
      <c r="G4326">
        <v>-493.01029999999997</v>
      </c>
      <c r="H4326" s="1">
        <v>-1.292159E-6</v>
      </c>
      <c r="I4326">
        <v>250.73410000000001</v>
      </c>
      <c r="J4326">
        <v>-493.21730000000002</v>
      </c>
      <c r="K4326">
        <v>1.115197</v>
      </c>
      <c r="L4326">
        <v>264.67259999999999</v>
      </c>
      <c r="M4326">
        <v>-0.2267343</v>
      </c>
      <c r="N4326">
        <v>0</v>
      </c>
      <c r="O4326">
        <v>-0.97385339999999998</v>
      </c>
      <c r="P4326">
        <v>-5.2832839999999999E-2</v>
      </c>
      <c r="Q4326">
        <v>-2.7878489999999999E-2</v>
      </c>
      <c r="R4326">
        <v>-0.99821439999999995</v>
      </c>
      <c r="S4326">
        <v>3.872681E-2</v>
      </c>
      <c r="T4326">
        <v>-0.23779459999999999</v>
      </c>
      <c r="U4326">
        <v>-3.0021059999999999</v>
      </c>
      <c r="V4326">
        <v>-0.17472550000000001</v>
      </c>
      <c r="W4326">
        <v>-1.5909820000000002E-2</v>
      </c>
      <c r="X4326">
        <v>0.98448860000000005</v>
      </c>
      <c r="Y4326">
        <v>-0.23925360000000001</v>
      </c>
      <c r="Z4326">
        <v>7.4728409999999995E-2</v>
      </c>
      <c r="AA4326">
        <v>0.96807719999999997</v>
      </c>
      <c r="AB4326">
        <v>19</v>
      </c>
      <c r="AC4326">
        <v>0.20700000000005001</v>
      </c>
      <c r="AD4326">
        <v>-1.115198292159</v>
      </c>
      <c r="AE4326">
        <v>-13.9384999999999</v>
      </c>
      <c r="AF4326">
        <v>-3.3408803525106601</v>
      </c>
      <c r="AG4326">
        <v>-1.115198292159</v>
      </c>
      <c r="AH4326">
        <v>13.442451090783999</v>
      </c>
      <c r="AI4326">
        <v>94.603049533047695</v>
      </c>
      <c r="AJ4326">
        <v>103.957058027793</v>
      </c>
      <c r="AK4326">
        <v>13.8962095583201</v>
      </c>
      <c r="AL4326">
        <v>90.911604033082796</v>
      </c>
      <c r="AM4326">
        <v>100.063971729896</v>
      </c>
      <c r="AN4326">
        <v>0.99999996312632</v>
      </c>
    </row>
    <row r="4327" spans="1:40" x14ac:dyDescent="0.25">
      <c r="A4327" t="str">
        <f>"20190312150739914"</f>
        <v>20190312150739914</v>
      </c>
      <c r="B4327" t="str">
        <f>"1552374459903984"</f>
        <v>1552374459903984</v>
      </c>
      <c r="C4327" t="s">
        <v>40</v>
      </c>
      <c r="D4327">
        <v>4.7741499999999997</v>
      </c>
      <c r="E4327">
        <v>0.47486990000000001</v>
      </c>
      <c r="F4327" t="s">
        <v>42</v>
      </c>
      <c r="G4327">
        <v>-492.98160000000001</v>
      </c>
      <c r="H4327" s="1">
        <v>-1.2984039999999901E-6</v>
      </c>
      <c r="I4327">
        <v>250.76650000000001</v>
      </c>
      <c r="J4327">
        <v>-493.23390000000001</v>
      </c>
      <c r="K4327">
        <v>1.1151879999999901</v>
      </c>
      <c r="L4327">
        <v>264.57639999999998</v>
      </c>
      <c r="M4327">
        <v>-0.2220405</v>
      </c>
      <c r="N4327">
        <v>0</v>
      </c>
      <c r="O4327">
        <v>-0.97493430000000003</v>
      </c>
      <c r="P4327">
        <v>-4.8437069999999999E-2</v>
      </c>
      <c r="Q4327">
        <v>-2.776781E-2</v>
      </c>
      <c r="R4327">
        <v>-0.9984402</v>
      </c>
      <c r="S4327">
        <v>5.0872800000000003E-2</v>
      </c>
      <c r="T4327">
        <v>-0.2406915</v>
      </c>
      <c r="U4327">
        <v>-3.0013429999999999</v>
      </c>
      <c r="V4327">
        <v>-0.17432029999999901</v>
      </c>
      <c r="W4327">
        <v>-1.579156E-2</v>
      </c>
      <c r="X4327">
        <v>0.98456239999999995</v>
      </c>
      <c r="Y4327">
        <v>-0.23849500000000001</v>
      </c>
      <c r="Z4327">
        <v>7.578646E-2</v>
      </c>
      <c r="AA4327">
        <v>0.96818210000000005</v>
      </c>
      <c r="AB4327">
        <v>19</v>
      </c>
      <c r="AC4327">
        <v>0.25229999999999098</v>
      </c>
      <c r="AD4327">
        <v>-1.1151892984039999</v>
      </c>
      <c r="AE4327">
        <v>-13.809899999999899</v>
      </c>
      <c r="AF4327">
        <v>-3.2912112526866002</v>
      </c>
      <c r="AG4327">
        <v>-1.1151892984039999</v>
      </c>
      <c r="AH4327">
        <v>13.322227261937099</v>
      </c>
      <c r="AI4327">
        <v>94.645974483152699</v>
      </c>
      <c r="AJ4327">
        <v>103.876870962894</v>
      </c>
      <c r="AK4327">
        <v>13.767986704663301</v>
      </c>
      <c r="AL4327">
        <v>90.904827322144897</v>
      </c>
      <c r="AM4327">
        <v>100.040370851785</v>
      </c>
      <c r="AN4327">
        <v>1.0000000299265399</v>
      </c>
    </row>
    <row r="4328" spans="1:40" x14ac:dyDescent="0.25">
      <c r="A4328" t="str">
        <f>"20190312150739928"</f>
        <v>20190312150739928</v>
      </c>
      <c r="B4328" t="str">
        <f>"1552374459924480"</f>
        <v>1552374459924480</v>
      </c>
      <c r="C4328" t="s">
        <v>40</v>
      </c>
      <c r="D4328">
        <v>4.6321159999999999</v>
      </c>
      <c r="E4328">
        <v>0.47573320000000002</v>
      </c>
      <c r="F4328" t="s">
        <v>42</v>
      </c>
      <c r="G4328">
        <v>-492.95010000000002</v>
      </c>
      <c r="H4328" s="1">
        <v>-1.207037E-6</v>
      </c>
      <c r="I4328">
        <v>250.57300000000001</v>
      </c>
      <c r="J4328">
        <v>-493.25229999999999</v>
      </c>
      <c r="K4328">
        <v>1.1151789999999999</v>
      </c>
      <c r="L4328">
        <v>264.46780000000001</v>
      </c>
      <c r="M4328">
        <v>-0.2167345</v>
      </c>
      <c r="N4328">
        <v>0</v>
      </c>
      <c r="O4328">
        <v>-0.97612770000000004</v>
      </c>
      <c r="P4328">
        <v>-4.3652290000000003E-2</v>
      </c>
      <c r="Q4328">
        <v>-2.760015E-2</v>
      </c>
      <c r="R4328">
        <v>-0.99866549999999998</v>
      </c>
      <c r="S4328">
        <v>6.0821529999999999E-2</v>
      </c>
      <c r="T4328">
        <v>-0.23898800000000001</v>
      </c>
      <c r="U4328">
        <v>-3.0009769999999998</v>
      </c>
      <c r="V4328">
        <v>-0.17368639999999999</v>
      </c>
      <c r="W4328">
        <v>-1.5612869999999999E-2</v>
      </c>
      <c r="X4328">
        <v>0.98467729999999998</v>
      </c>
      <c r="Y4328">
        <v>-0.2364242</v>
      </c>
      <c r="Z4328">
        <v>7.5422039999999996E-2</v>
      </c>
      <c r="AA4328">
        <v>0.96871830000000003</v>
      </c>
      <c r="AB4328">
        <v>19</v>
      </c>
      <c r="AC4328">
        <v>0.30219999999996999</v>
      </c>
      <c r="AD4328">
        <v>-1.115180207037</v>
      </c>
      <c r="AE4328">
        <v>-13.8948</v>
      </c>
      <c r="AF4328">
        <v>-3.2856460473316802</v>
      </c>
      <c r="AG4328">
        <v>-1.115180207037</v>
      </c>
      <c r="AH4328">
        <v>13.4126017089129</v>
      </c>
      <c r="AI4328">
        <v>94.616985005031907</v>
      </c>
      <c r="AJ4328">
        <v>103.764521992694</v>
      </c>
      <c r="AK4328">
        <v>13.8541322876767</v>
      </c>
      <c r="AL4328">
        <v>90.894587853700898</v>
      </c>
      <c r="AM4328">
        <v>100.003455045772</v>
      </c>
      <c r="AN4328">
        <v>1.00000005619494</v>
      </c>
    </row>
    <row r="4329" spans="1:40" x14ac:dyDescent="0.25">
      <c r="A4329" t="str">
        <f>"20190312150739940"</f>
        <v>20190312150739940</v>
      </c>
      <c r="B4329" t="str">
        <f>"1552374459934240"</f>
        <v>1552374459934240</v>
      </c>
      <c r="C4329" t="s">
        <v>40</v>
      </c>
      <c r="D4329">
        <v>4.6277720000000002</v>
      </c>
      <c r="E4329">
        <v>0.47573320000000002</v>
      </c>
      <c r="F4329" t="s">
        <v>42</v>
      </c>
      <c r="G4329">
        <v>-492.93209999999999</v>
      </c>
      <c r="H4329" s="1">
        <v>-1.1199719999999999E-6</v>
      </c>
      <c r="I4329">
        <v>250.38120000000001</v>
      </c>
      <c r="J4329">
        <v>-493.26819999999998</v>
      </c>
      <c r="K4329">
        <v>1.1151719999999901</v>
      </c>
      <c r="L4329">
        <v>264.37029999999999</v>
      </c>
      <c r="M4329">
        <v>-0.21197350000000001</v>
      </c>
      <c r="N4329">
        <v>0</v>
      </c>
      <c r="O4329">
        <v>-0.97717259999999995</v>
      </c>
      <c r="P4329">
        <v>-3.929175E-2</v>
      </c>
      <c r="Q4329">
        <v>-2.7327730000000001E-2</v>
      </c>
      <c r="R4329">
        <v>-0.99885420000000003</v>
      </c>
      <c r="S4329">
        <v>6.8206790000000003E-2</v>
      </c>
      <c r="T4329">
        <v>-0.23753270000000001</v>
      </c>
      <c r="U4329">
        <v>-3.0004270000000002</v>
      </c>
      <c r="V4329">
        <v>-0.17319039999999999</v>
      </c>
      <c r="W4329">
        <v>-1.533152E-2</v>
      </c>
      <c r="X4329">
        <v>0.98476900000000001</v>
      </c>
      <c r="Y4329">
        <v>-0.23407500000000001</v>
      </c>
      <c r="Z4329">
        <v>7.5123140000000005E-2</v>
      </c>
      <c r="AA4329">
        <v>0.96931179999999995</v>
      </c>
      <c r="AB4329">
        <v>19</v>
      </c>
      <c r="AC4329">
        <v>0.33609999999998702</v>
      </c>
      <c r="AD4329">
        <v>-1.1151731199720001</v>
      </c>
      <c r="AE4329">
        <v>-13.989099999999899</v>
      </c>
      <c r="AF4329">
        <v>-3.2732879400624801</v>
      </c>
      <c r="AG4329">
        <v>-1.1151731199720001</v>
      </c>
      <c r="AH4329">
        <v>13.514057200710701</v>
      </c>
      <c r="AI4329">
        <v>94.585332589682395</v>
      </c>
      <c r="AJ4329">
        <v>103.615593279561</v>
      </c>
      <c r="AK4329">
        <v>13.9494719272863</v>
      </c>
      <c r="AL4329">
        <v>90.878465826934402</v>
      </c>
      <c r="AM4329">
        <v>99.974552318277702</v>
      </c>
      <c r="AN4329">
        <v>0.99999997675933405</v>
      </c>
    </row>
    <row r="4330" spans="1:40" x14ac:dyDescent="0.25">
      <c r="A4330" t="str">
        <f>"20190312150739950"</f>
        <v>20190312150739950</v>
      </c>
      <c r="B4330" t="str">
        <f>"1552374459944000"</f>
        <v>1552374459944000</v>
      </c>
      <c r="C4330" t="s">
        <v>40</v>
      </c>
      <c r="D4330">
        <v>4.6073879999999896</v>
      </c>
      <c r="E4330">
        <v>0.48391050000000002</v>
      </c>
      <c r="F4330" t="s">
        <v>42</v>
      </c>
      <c r="G4330">
        <v>-492.8854</v>
      </c>
      <c r="H4330" s="1">
        <v>-1.045525E-6</v>
      </c>
      <c r="I4330">
        <v>250.23660000000001</v>
      </c>
      <c r="J4330">
        <v>-493.28230000000002</v>
      </c>
      <c r="K4330">
        <v>1.11517</v>
      </c>
      <c r="L4330">
        <v>264.28160000000003</v>
      </c>
      <c r="M4330">
        <v>-0.20764160000000001</v>
      </c>
      <c r="N4330">
        <v>0</v>
      </c>
      <c r="O4330">
        <v>-0.97810220000000003</v>
      </c>
      <c r="P4330">
        <v>-3.5441010000000002E-2</v>
      </c>
      <c r="Q4330">
        <v>-2.7176820000000001E-2</v>
      </c>
      <c r="R4330">
        <v>-0.99900199999999995</v>
      </c>
      <c r="S4330">
        <v>8.1268309999999996E-2</v>
      </c>
      <c r="T4330">
        <v>-0.23671600000000001</v>
      </c>
      <c r="U4330">
        <v>-3.0001220000000002</v>
      </c>
      <c r="V4330">
        <v>-0.17262640000000001</v>
      </c>
      <c r="W4330">
        <v>-1.5171179999999999E-2</v>
      </c>
      <c r="X4330">
        <v>0.98487060000000004</v>
      </c>
      <c r="Y4330">
        <v>-0.23398749999999999</v>
      </c>
      <c r="Z4330">
        <v>7.4980039999999998E-2</v>
      </c>
      <c r="AA4330">
        <v>0.96934399999999998</v>
      </c>
      <c r="AB4330">
        <v>19</v>
      </c>
      <c r="AC4330">
        <v>0.39690000000001602</v>
      </c>
      <c r="AD4330">
        <v>-1.1151710455249999</v>
      </c>
      <c r="AE4330">
        <v>-14.045</v>
      </c>
      <c r="AF4330">
        <v>-3.2841792229973099</v>
      </c>
      <c r="AG4330">
        <v>-1.1151710455249999</v>
      </c>
      <c r="AH4330">
        <v>13.5709179589622</v>
      </c>
      <c r="AI4330">
        <v>94.566414248053405</v>
      </c>
      <c r="AJ4330">
        <v>103.604102673995</v>
      </c>
      <c r="AK4330">
        <v>14.007114402275199</v>
      </c>
      <c r="AL4330">
        <v>90.8692778728566</v>
      </c>
      <c r="AM4330">
        <v>99.941713861965695</v>
      </c>
      <c r="AN4330">
        <v>1.0000000687119499</v>
      </c>
    </row>
    <row r="4331" spans="1:40" x14ac:dyDescent="0.25">
      <c r="A4331" t="str">
        <f>"20190312150739961"</f>
        <v>20190312150739961</v>
      </c>
      <c r="B4331" t="str">
        <f>"1552374459953760"</f>
        <v>1552374459953760</v>
      </c>
      <c r="C4331" t="s">
        <v>40</v>
      </c>
      <c r="D4331">
        <v>4.6176199999999996</v>
      </c>
      <c r="E4331">
        <v>0.48459649999999999</v>
      </c>
      <c r="F4331" t="s">
        <v>42</v>
      </c>
      <c r="G4331">
        <v>-493.1497</v>
      </c>
      <c r="H4331" s="1">
        <v>-8.994915E-7</v>
      </c>
      <c r="I4331">
        <v>249.73230000000001</v>
      </c>
      <c r="J4331">
        <v>-493.2962</v>
      </c>
      <c r="K4331">
        <v>1.1151709999999999</v>
      </c>
      <c r="L4331">
        <v>264.1918</v>
      </c>
      <c r="M4331">
        <v>-0.2032561</v>
      </c>
      <c r="N4331">
        <v>0</v>
      </c>
      <c r="O4331">
        <v>-0.97902299999999998</v>
      </c>
      <c r="P4331">
        <v>-3.1503959999999998E-2</v>
      </c>
      <c r="Q4331">
        <v>-2.6864659999999999E-2</v>
      </c>
      <c r="R4331">
        <v>-0.99914259999999999</v>
      </c>
      <c r="S4331">
        <v>2.7313230000000001E-2</v>
      </c>
      <c r="T4331">
        <v>-0.22976849999999999</v>
      </c>
      <c r="U4331">
        <v>-2.9977109999999998</v>
      </c>
      <c r="V4331">
        <v>-0.1720988</v>
      </c>
      <c r="W4331">
        <v>-1.4850159999999999E-2</v>
      </c>
      <c r="X4331">
        <v>0.98496779999999995</v>
      </c>
      <c r="Y4331">
        <v>-0.21215700000000001</v>
      </c>
      <c r="Z4331">
        <v>7.316048E-2</v>
      </c>
      <c r="AA4331">
        <v>0.9744931</v>
      </c>
      <c r="AB4331">
        <v>19</v>
      </c>
      <c r="AC4331">
        <v>0.14650000000000299</v>
      </c>
      <c r="AD4331">
        <v>-1.1151718994915001</v>
      </c>
      <c r="AE4331">
        <v>-14.459499999999901</v>
      </c>
      <c r="AF4331">
        <v>-3.0644921724156799</v>
      </c>
      <c r="AG4331">
        <v>-1.1151718994915001</v>
      </c>
      <c r="AH4331">
        <v>14.0442973415621</v>
      </c>
      <c r="AI4331">
        <v>94.436037368461001</v>
      </c>
      <c r="AJ4331">
        <v>102.309113386169</v>
      </c>
      <c r="AK4331">
        <v>14.4179405068277</v>
      </c>
      <c r="AL4331">
        <v>90.850882730030193</v>
      </c>
      <c r="AM4331">
        <v>99.910973651740605</v>
      </c>
      <c r="AN4331">
        <v>1.0000000456251501</v>
      </c>
    </row>
    <row r="4332" spans="1:40" x14ac:dyDescent="0.25">
      <c r="A4332" t="str">
        <f>"20190312150739972"</f>
        <v>20190312150739972</v>
      </c>
      <c r="B4332" t="str">
        <f>"1552374459964495"</f>
        <v>1552374459964495</v>
      </c>
      <c r="C4332" t="s">
        <v>40</v>
      </c>
      <c r="D4332">
        <v>4.6141040000000002</v>
      </c>
      <c r="E4332">
        <v>0.48422989999999999</v>
      </c>
      <c r="F4332" t="s">
        <v>42</v>
      </c>
      <c r="G4332">
        <v>-493.1345</v>
      </c>
      <c r="H4332" s="1">
        <v>-9.0310559999999997E-7</v>
      </c>
      <c r="I4332">
        <v>249.75020000000001</v>
      </c>
      <c r="J4332">
        <v>-493.30900000000003</v>
      </c>
      <c r="K4332">
        <v>1.1151660000000001</v>
      </c>
      <c r="L4332">
        <v>264.10590000000002</v>
      </c>
      <c r="M4332">
        <v>-0.19905800000000001</v>
      </c>
      <c r="N4332">
        <v>0</v>
      </c>
      <c r="O4332">
        <v>-0.97988540000000002</v>
      </c>
      <c r="P4332">
        <v>-2.7831249999999998E-2</v>
      </c>
      <c r="Q4332">
        <v>-2.6508150000000001E-2</v>
      </c>
      <c r="R4332">
        <v>-0.99926139999999997</v>
      </c>
      <c r="S4332">
        <v>3.3569340000000003E-2</v>
      </c>
      <c r="T4332">
        <v>-0.23145760000000001</v>
      </c>
      <c r="U4332">
        <v>-2.9974059999999998</v>
      </c>
      <c r="V4332">
        <v>-0.1715042</v>
      </c>
      <c r="W4332">
        <v>-1.448404E-2</v>
      </c>
      <c r="X4332">
        <v>0.98507690000000003</v>
      </c>
      <c r="Y4332">
        <v>-0.2100022</v>
      </c>
      <c r="Z4332">
        <v>7.3819079999999995E-2</v>
      </c>
      <c r="AA4332">
        <v>0.9749101</v>
      </c>
      <c r="AB4332">
        <v>19</v>
      </c>
      <c r="AC4332">
        <v>0.174500000000023</v>
      </c>
      <c r="AD4332">
        <v>-1.1151669031056</v>
      </c>
      <c r="AE4332">
        <v>-14.355700000000001</v>
      </c>
      <c r="AF4332">
        <v>-3.0107453915718199</v>
      </c>
      <c r="AG4332">
        <v>-1.1151669031056</v>
      </c>
      <c r="AH4332">
        <v>13.949448747561901</v>
      </c>
      <c r="AI4332">
        <v>94.468243176695694</v>
      </c>
      <c r="AJ4332">
        <v>102.179467546186</v>
      </c>
      <c r="AK4332">
        <v>14.3141645021814</v>
      </c>
      <c r="AL4332">
        <v>90.829903390804702</v>
      </c>
      <c r="AM4332">
        <v>99.876334461129105</v>
      </c>
      <c r="AN4332">
        <v>0.99999998847298499</v>
      </c>
    </row>
    <row r="4333" spans="1:40" x14ac:dyDescent="0.25">
      <c r="A4333" t="str">
        <f>"20190312150739984"</f>
        <v>20190312150739984</v>
      </c>
      <c r="B4333" t="str">
        <f>"1552374459974256"</f>
        <v>1552374459974256</v>
      </c>
      <c r="C4333" t="s">
        <v>40</v>
      </c>
      <c r="D4333">
        <v>4.5629150000000003</v>
      </c>
      <c r="E4333">
        <v>0.48422989999999999</v>
      </c>
      <c r="F4333" t="s">
        <v>42</v>
      </c>
      <c r="G4333">
        <v>-493.08069999999998</v>
      </c>
      <c r="H4333" s="1">
        <v>-8.8870849999999998E-7</v>
      </c>
      <c r="I4333">
        <v>249.75</v>
      </c>
      <c r="J4333">
        <v>-493.32299999999998</v>
      </c>
      <c r="K4333">
        <v>1.1151610000000001</v>
      </c>
      <c r="L4333">
        <v>264.01</v>
      </c>
      <c r="M4333">
        <v>-0.19437380000000001</v>
      </c>
      <c r="N4333">
        <v>0</v>
      </c>
      <c r="O4333">
        <v>-0.98082539999999996</v>
      </c>
      <c r="P4333">
        <v>-2.3635550000000002E-2</v>
      </c>
      <c r="Q4333">
        <v>-2.635616E-2</v>
      </c>
      <c r="R4333">
        <v>-0.99937339999999997</v>
      </c>
      <c r="S4333">
        <v>4.7668460000000003E-2</v>
      </c>
      <c r="T4333">
        <v>-0.23283680000000001</v>
      </c>
      <c r="U4333">
        <v>-2.9973749999999999</v>
      </c>
      <c r="V4333">
        <v>-0.1709367</v>
      </c>
      <c r="W4333">
        <v>-1.432275E-2</v>
      </c>
      <c r="X4333">
        <v>0.98517790000000005</v>
      </c>
      <c r="Y4333">
        <v>-0.2099153</v>
      </c>
      <c r="Z4333">
        <v>7.4364250000000007E-2</v>
      </c>
      <c r="AA4333">
        <v>0.97488739999999996</v>
      </c>
      <c r="AB4333">
        <v>19</v>
      </c>
      <c r="AC4333">
        <v>0.242300000000057</v>
      </c>
      <c r="AD4333">
        <v>-1.1151618887085</v>
      </c>
      <c r="AE4333">
        <v>-14.2599999999999</v>
      </c>
      <c r="AF4333">
        <v>-2.9914368580842301</v>
      </c>
      <c r="AG4333">
        <v>-1.1151618887085</v>
      </c>
      <c r="AH4333">
        <v>13.8561562972437</v>
      </c>
      <c r="AI4333">
        <v>94.498129173873807</v>
      </c>
      <c r="AJ4333">
        <v>102.182735037423</v>
      </c>
      <c r="AK4333">
        <v>14.2191894230149</v>
      </c>
      <c r="AL4333">
        <v>90.820661189819404</v>
      </c>
      <c r="AM4333">
        <v>99.843305008211203</v>
      </c>
      <c r="AN4333">
        <v>0.99999999561143105</v>
      </c>
    </row>
    <row r="4334" spans="1:40" x14ac:dyDescent="0.25">
      <c r="A4334" t="str">
        <f>"20190312150739996"</f>
        <v>20190312150739996</v>
      </c>
      <c r="B4334" t="str">
        <f>"1552374459984017"</f>
        <v>1552374459984017</v>
      </c>
      <c r="C4334" t="s">
        <v>40</v>
      </c>
      <c r="D4334">
        <v>4.8758549999999996</v>
      </c>
      <c r="E4334">
        <v>0.47960789999999998</v>
      </c>
      <c r="F4334" t="s">
        <v>42</v>
      </c>
      <c r="G4334">
        <v>-493.03339999999997</v>
      </c>
      <c r="H4334" s="1">
        <v>-8.2328349999999999E-7</v>
      </c>
      <c r="I4334">
        <v>249.6268</v>
      </c>
      <c r="J4334">
        <v>-493.33659999999998</v>
      </c>
      <c r="K4334">
        <v>1.115154</v>
      </c>
      <c r="L4334">
        <v>263.91230000000002</v>
      </c>
      <c r="M4334">
        <v>-0.18959880000000001</v>
      </c>
      <c r="N4334">
        <v>0</v>
      </c>
      <c r="O4334">
        <v>-0.98175950000000001</v>
      </c>
      <c r="P4334">
        <v>-1.9619250000000001E-2</v>
      </c>
      <c r="Q4334">
        <v>-2.5979749999999999E-2</v>
      </c>
      <c r="R4334">
        <v>-0.99946990000000002</v>
      </c>
      <c r="S4334">
        <v>6.0363769999999997E-2</v>
      </c>
      <c r="T4334">
        <v>-0.2323788</v>
      </c>
      <c r="U4334">
        <v>-2.9971920000000001</v>
      </c>
      <c r="V4334">
        <v>-0.17010839999999999</v>
      </c>
      <c r="W4334">
        <v>-1.3933589999999999E-2</v>
      </c>
      <c r="X4334">
        <v>0.98532679999999995</v>
      </c>
      <c r="Y4334">
        <v>-0.209287</v>
      </c>
      <c r="Z4334">
        <v>7.4333720000000006E-2</v>
      </c>
      <c r="AA4334">
        <v>0.97502480000000002</v>
      </c>
      <c r="AB4334">
        <v>19</v>
      </c>
      <c r="AC4334">
        <v>0.30320000000000302</v>
      </c>
      <c r="AD4334">
        <v>-1.1151548232835</v>
      </c>
      <c r="AE4334">
        <v>-14.285500000000001</v>
      </c>
      <c r="AF4334">
        <v>-2.9882832379190298</v>
      </c>
      <c r="AG4334">
        <v>-1.1151548232835</v>
      </c>
      <c r="AH4334">
        <v>13.8842718060063</v>
      </c>
      <c r="AI4334">
        <v>94.489641266410899</v>
      </c>
      <c r="AJ4334">
        <v>102.146362634024</v>
      </c>
      <c r="AK4334">
        <v>14.245926104433501</v>
      </c>
      <c r="AL4334">
        <v>90.7983617686087</v>
      </c>
      <c r="AM4334">
        <v>99.795082388030394</v>
      </c>
      <c r="AN4334">
        <v>0.99999995773954298</v>
      </c>
    </row>
    <row r="4335" spans="1:40" x14ac:dyDescent="0.25">
      <c r="A4335" t="str">
        <f>"20190312150740013"</f>
        <v>20190312150740013</v>
      </c>
      <c r="B4335" t="str">
        <f>"1552374460004515"</f>
        <v>1552374460004515</v>
      </c>
      <c r="C4335" t="s">
        <v>40</v>
      </c>
      <c r="D4335">
        <v>4.5889850000000001</v>
      </c>
      <c r="E4335">
        <v>0.47669329999999999</v>
      </c>
      <c r="F4335" t="s">
        <v>42</v>
      </c>
      <c r="G4335">
        <v>-492.69380000000001</v>
      </c>
      <c r="H4335" s="1">
        <v>-3.4710190000000002E-6</v>
      </c>
      <c r="I4335">
        <v>246.0094</v>
      </c>
      <c r="J4335">
        <v>-493.35550000000001</v>
      </c>
      <c r="K4335">
        <v>1.1151500000000001</v>
      </c>
      <c r="L4335">
        <v>263.77109999999999</v>
      </c>
      <c r="M4335">
        <v>-0.18269299999999999</v>
      </c>
      <c r="N4335">
        <v>0</v>
      </c>
      <c r="O4335">
        <v>-0.98306800000000005</v>
      </c>
      <c r="P4335">
        <v>-1.397441E-2</v>
      </c>
      <c r="Q4335">
        <v>-2.5604890000000002E-2</v>
      </c>
      <c r="R4335">
        <v>-0.99957459999999998</v>
      </c>
      <c r="S4335">
        <v>0.107666</v>
      </c>
      <c r="T4335">
        <v>-0.18679480000000001</v>
      </c>
      <c r="U4335">
        <v>-2.99884</v>
      </c>
      <c r="V4335">
        <v>-0.16875370000000001</v>
      </c>
      <c r="W4335">
        <v>-1.3538299999999901E-2</v>
      </c>
      <c r="X4335">
        <v>0.98556520000000003</v>
      </c>
      <c r="Y4335">
        <v>-0.21779950000000001</v>
      </c>
      <c r="Z4335">
        <v>5.9832419999999997E-2</v>
      </c>
      <c r="AA4335">
        <v>0.97415779999999996</v>
      </c>
      <c r="AB4335">
        <v>19</v>
      </c>
      <c r="AC4335">
        <v>0.66169999999999596</v>
      </c>
      <c r="AD4335">
        <v>-1.1151534710189901</v>
      </c>
      <c r="AE4335">
        <v>-17.761699999999902</v>
      </c>
      <c r="AF4335">
        <v>-3.8805497271262301</v>
      </c>
      <c r="AG4335">
        <v>-1.1151534710189901</v>
      </c>
      <c r="AH4335">
        <v>17.273813761218101</v>
      </c>
      <c r="AI4335">
        <v>93.604162894517501</v>
      </c>
      <c r="AJ4335">
        <v>102.661255252084</v>
      </c>
      <c r="AK4335">
        <v>17.7394158670987</v>
      </c>
      <c r="AL4335">
        <v>90.775711203316106</v>
      </c>
      <c r="AM4335">
        <v>99.716264236754498</v>
      </c>
      <c r="AN4335">
        <v>0.99999993014080701</v>
      </c>
    </row>
    <row r="4336" spans="1:40" x14ac:dyDescent="0.25">
      <c r="A4336" t="str">
        <f>"20190312150740025"</f>
        <v>20190312150740025</v>
      </c>
      <c r="B4336" t="str">
        <f>"1552374460014272"</f>
        <v>1552374460014272</v>
      </c>
      <c r="C4336" t="s">
        <v>40</v>
      </c>
      <c r="D4336">
        <v>4.5923400000000001</v>
      </c>
      <c r="E4336">
        <v>0.4761647</v>
      </c>
      <c r="F4336" t="s">
        <v>42</v>
      </c>
      <c r="G4336">
        <v>-492.47210000000001</v>
      </c>
      <c r="H4336" s="1">
        <v>-3.3446320000000002E-6</v>
      </c>
      <c r="I4336">
        <v>245.85230000000001</v>
      </c>
      <c r="J4336">
        <v>-493.36720000000003</v>
      </c>
      <c r="K4336">
        <v>1.115146</v>
      </c>
      <c r="L4336">
        <v>263.68009999999998</v>
      </c>
      <c r="M4336">
        <v>-0.17824499999999999</v>
      </c>
      <c r="N4336">
        <v>0</v>
      </c>
      <c r="O4336">
        <v>-0.98388439999999999</v>
      </c>
      <c r="P4336">
        <v>-1.0170469999999999E-2</v>
      </c>
      <c r="Q4336">
        <v>-2.5233309999999998E-2</v>
      </c>
      <c r="R4336">
        <v>-0.99963009999999997</v>
      </c>
      <c r="S4336">
        <v>0.14782709999999999</v>
      </c>
      <c r="T4336">
        <v>-0.1866102</v>
      </c>
      <c r="U4336">
        <v>-2.998535</v>
      </c>
      <c r="V4336">
        <v>-0.16805239999999999</v>
      </c>
      <c r="W4336">
        <v>-1.315589E-2</v>
      </c>
      <c r="X4336">
        <v>0.98569030000000002</v>
      </c>
      <c r="Y4336">
        <v>-0.22640399999999999</v>
      </c>
      <c r="Z4336">
        <v>5.9777209999999997E-2</v>
      </c>
      <c r="AA4336">
        <v>0.97219750000000005</v>
      </c>
      <c r="AB4336">
        <v>19</v>
      </c>
      <c r="AC4336">
        <v>0.895100000000013</v>
      </c>
      <c r="AD4336">
        <v>-1.115149344632</v>
      </c>
      <c r="AE4336">
        <v>-17.8277999999999</v>
      </c>
      <c r="AF4336">
        <v>-4.0430183356449501</v>
      </c>
      <c r="AG4336">
        <v>-1.115149344632</v>
      </c>
      <c r="AH4336">
        <v>17.315109822651699</v>
      </c>
      <c r="AI4336">
        <v>93.588677518486904</v>
      </c>
      <c r="AJ4336">
        <v>103.14289053464999</v>
      </c>
      <c r="AK4336">
        <v>17.815795898406598</v>
      </c>
      <c r="AL4336">
        <v>90.753798697671698</v>
      </c>
      <c r="AM4336">
        <v>99.675445864418705</v>
      </c>
      <c r="AN4336">
        <v>1.0000000270507701</v>
      </c>
    </row>
    <row r="4337" spans="1:40" x14ac:dyDescent="0.25">
      <c r="A4337" t="str">
        <f>"20190312150740035"</f>
        <v>20190312150740035</v>
      </c>
      <c r="B4337" t="str">
        <f>"1552374460024032"</f>
        <v>1552374460024032</v>
      </c>
      <c r="C4337" t="s">
        <v>40</v>
      </c>
      <c r="D4337">
        <v>4.613245</v>
      </c>
      <c r="E4337">
        <v>0.4762885</v>
      </c>
      <c r="F4337" t="s">
        <v>42</v>
      </c>
      <c r="G4337">
        <v>-492.36360000000002</v>
      </c>
      <c r="H4337" s="1">
        <v>-3.0645419999999999E-6</v>
      </c>
      <c r="I4337">
        <v>245.26669999999999</v>
      </c>
      <c r="J4337">
        <v>-493.37869999999998</v>
      </c>
      <c r="K4337">
        <v>1.1151409999999999</v>
      </c>
      <c r="L4337">
        <v>263.58609999999999</v>
      </c>
      <c r="M4337">
        <v>-0.1736463</v>
      </c>
      <c r="N4337">
        <v>0</v>
      </c>
      <c r="O4337">
        <v>-0.98470650000000004</v>
      </c>
      <c r="P4337">
        <v>-5.9812469999999899E-3</v>
      </c>
      <c r="Q4337">
        <v>-2.4691060000000001E-2</v>
      </c>
      <c r="R4337">
        <v>-0.9996775</v>
      </c>
      <c r="S4337">
        <v>0.1634216</v>
      </c>
      <c r="T4337">
        <v>-0.18157619999999999</v>
      </c>
      <c r="U4337">
        <v>-2.9981990000000001</v>
      </c>
      <c r="V4337">
        <v>-0.16758679999999901</v>
      </c>
      <c r="W4337">
        <v>-1.2606030000000001E-2</v>
      </c>
      <c r="X4337">
        <v>0.98577669999999995</v>
      </c>
      <c r="Y4337">
        <v>-0.2269072</v>
      </c>
      <c r="Z4337">
        <v>5.8240100000000003E-2</v>
      </c>
      <c r="AA4337">
        <v>0.97217350000000002</v>
      </c>
      <c r="AB4337">
        <v>19</v>
      </c>
      <c r="AC4337">
        <v>1.0150999999999599</v>
      </c>
      <c r="AD4337">
        <v>-1.1151440645420001</v>
      </c>
      <c r="AE4337">
        <v>-18.319400000000002</v>
      </c>
      <c r="AF4337">
        <v>-4.1657013792373698</v>
      </c>
      <c r="AG4337">
        <v>-1.1151440645420001</v>
      </c>
      <c r="AH4337">
        <v>17.798999904102999</v>
      </c>
      <c r="AI4337">
        <v>93.490922109893702</v>
      </c>
      <c r="AJ4337">
        <v>103.172486274189</v>
      </c>
      <c r="AK4337">
        <v>18.313956750301699</v>
      </c>
      <c r="AL4337">
        <v>90.722291464539694</v>
      </c>
      <c r="AM4337">
        <v>99.648314264365794</v>
      </c>
      <c r="AN4337">
        <v>0.99999997489474501</v>
      </c>
    </row>
    <row r="4338" spans="1:40" x14ac:dyDescent="0.25">
      <c r="A4338" t="str">
        <f>"20190312150740050"</f>
        <v>20190312150740050</v>
      </c>
      <c r="B4338" t="str">
        <f>"1552374460044528"</f>
        <v>1552374460044528</v>
      </c>
      <c r="C4338" t="s">
        <v>40</v>
      </c>
      <c r="D4338">
        <v>4.5610989999999996</v>
      </c>
      <c r="E4338">
        <v>0.47650399999999998</v>
      </c>
      <c r="F4338" t="s">
        <v>42</v>
      </c>
      <c r="G4338">
        <v>-492.26260000000002</v>
      </c>
      <c r="H4338" s="1">
        <v>-2.6844169999999999E-6</v>
      </c>
      <c r="I4338">
        <v>244.44319999999999</v>
      </c>
      <c r="J4338">
        <v>-493.39170000000001</v>
      </c>
      <c r="K4338">
        <v>1.115132</v>
      </c>
      <c r="L4338">
        <v>263.47710000000001</v>
      </c>
      <c r="M4338">
        <v>-0.1683096</v>
      </c>
      <c r="N4338">
        <v>0</v>
      </c>
      <c r="O4338">
        <v>-0.98563259999999997</v>
      </c>
      <c r="P4338">
        <v>-1.120399E-3</v>
      </c>
      <c r="Q4338">
        <v>-2.4191770000000001E-2</v>
      </c>
      <c r="R4338">
        <v>-0.99970669999999995</v>
      </c>
      <c r="S4338">
        <v>0.17477419999999999</v>
      </c>
      <c r="T4338">
        <v>-0.17462759999999999</v>
      </c>
      <c r="U4338">
        <v>-2.9977109999999998</v>
      </c>
      <c r="V4338">
        <v>-0.16704820000000001</v>
      </c>
      <c r="W4338">
        <v>-1.209797E-2</v>
      </c>
      <c r="X4338">
        <v>0.98587449999999999</v>
      </c>
      <c r="Y4338">
        <v>-0.22531760000000001</v>
      </c>
      <c r="Z4338">
        <v>5.6113570000000002E-2</v>
      </c>
      <c r="AA4338">
        <v>0.97266810000000004</v>
      </c>
      <c r="AB4338">
        <v>19</v>
      </c>
      <c r="AC4338">
        <v>1.12909999999999</v>
      </c>
      <c r="AD4338">
        <v>-1.115134684417</v>
      </c>
      <c r="AE4338">
        <v>-19.033899999999999</v>
      </c>
      <c r="AF4338">
        <v>-4.3021830565271797</v>
      </c>
      <c r="AG4338">
        <v>-1.115134684417</v>
      </c>
      <c r="AH4338">
        <v>18.508946168231301</v>
      </c>
      <c r="AI4338">
        <v>93.358493447163696</v>
      </c>
      <c r="AJ4338">
        <v>103.085364425154</v>
      </c>
      <c r="AK4338">
        <v>19.0350569390991</v>
      </c>
      <c r="AL4338">
        <v>90.693179534296902</v>
      </c>
      <c r="AM4338">
        <v>99.616949814503997</v>
      </c>
      <c r="AN4338">
        <v>0.99999999587580501</v>
      </c>
    </row>
    <row r="4339" spans="1:40" x14ac:dyDescent="0.25">
      <c r="A4339" t="str">
        <f>"20190312150740061"</f>
        <v>20190312150740061</v>
      </c>
      <c r="B4339" t="str">
        <f>"1552374460054288"</f>
        <v>1552374460054288</v>
      </c>
      <c r="C4339" t="s">
        <v>40</v>
      </c>
      <c r="D4339">
        <v>4.6062750000000001</v>
      </c>
      <c r="E4339">
        <v>0.47673690000000002</v>
      </c>
      <c r="F4339" t="s">
        <v>42</v>
      </c>
      <c r="G4339">
        <v>-492.137</v>
      </c>
      <c r="H4339" s="1">
        <v>-2.209568E-6</v>
      </c>
      <c r="I4339">
        <v>243.4143</v>
      </c>
      <c r="J4339">
        <v>-493.4024</v>
      </c>
      <c r="K4339">
        <v>1.1151260000000001</v>
      </c>
      <c r="L4339">
        <v>263.38229999999999</v>
      </c>
      <c r="M4339">
        <v>-0.16367190000000001</v>
      </c>
      <c r="N4339">
        <v>0</v>
      </c>
      <c r="O4339">
        <v>-0.98641319999999999</v>
      </c>
      <c r="P4339">
        <v>2.8967329999999999E-3</v>
      </c>
      <c r="Q4339">
        <v>-2.398349E-2</v>
      </c>
      <c r="R4339">
        <v>-0.99970829999999999</v>
      </c>
      <c r="S4339">
        <v>0.18743899999999999</v>
      </c>
      <c r="T4339">
        <v>-0.16658390000000001</v>
      </c>
      <c r="U4339">
        <v>-2.9970699999999999</v>
      </c>
      <c r="V4339">
        <v>-0.16637639999999901</v>
      </c>
      <c r="W4339">
        <v>-1.18794E-2</v>
      </c>
      <c r="X4339">
        <v>0.98599079999999995</v>
      </c>
      <c r="Y4339">
        <v>-0.22485179999999999</v>
      </c>
      <c r="Z4339">
        <v>5.3609459999999998E-2</v>
      </c>
      <c r="AA4339">
        <v>0.97291709999999998</v>
      </c>
      <c r="AB4339">
        <v>19</v>
      </c>
      <c r="AC4339">
        <v>1.26540000000005</v>
      </c>
      <c r="AD4339">
        <v>-1.115128209568</v>
      </c>
      <c r="AE4339">
        <v>-19.9679999999999</v>
      </c>
      <c r="AF4339">
        <v>-4.5028734565311597</v>
      </c>
      <c r="AG4339">
        <v>-1.115128209568</v>
      </c>
      <c r="AH4339">
        <v>19.431183962846799</v>
      </c>
      <c r="AI4339">
        <v>93.199909130917106</v>
      </c>
      <c r="AJ4339">
        <v>103.047108885744</v>
      </c>
      <c r="AK4339">
        <v>19.977244316654399</v>
      </c>
      <c r="AL4339">
        <v>90.680655464128407</v>
      </c>
      <c r="AM4339">
        <v>99.577883476254897</v>
      </c>
      <c r="AN4339">
        <v>1.00000004215297</v>
      </c>
    </row>
    <row r="4340" spans="1:40" x14ac:dyDescent="0.25">
      <c r="A4340" t="str">
        <f>"20190312150740073"</f>
        <v>20190312150740073</v>
      </c>
      <c r="B4340" t="str">
        <f>"1552374460064049"</f>
        <v>1552374460064049</v>
      </c>
      <c r="C4340" t="s">
        <v>40</v>
      </c>
      <c r="D4340">
        <v>4.599011</v>
      </c>
      <c r="E4340">
        <v>0.4772421</v>
      </c>
      <c r="F4340" t="s">
        <v>42</v>
      </c>
      <c r="G4340">
        <v>-492.04899999999998</v>
      </c>
      <c r="H4340" s="1">
        <v>-1.9340859999999999E-6</v>
      </c>
      <c r="I4340">
        <v>242.82669999999999</v>
      </c>
      <c r="J4340">
        <v>-493.41320000000002</v>
      </c>
      <c r="K4340">
        <v>1.1151169999999999</v>
      </c>
      <c r="L4340">
        <v>263.28199999999998</v>
      </c>
      <c r="M4340">
        <v>-0.1587585</v>
      </c>
      <c r="N4340">
        <v>0</v>
      </c>
      <c r="O4340">
        <v>-0.98721610000000004</v>
      </c>
      <c r="P4340">
        <v>7.1514100000000004E-3</v>
      </c>
      <c r="Q4340">
        <v>-2.3642010000000001E-2</v>
      </c>
      <c r="R4340">
        <v>-0.99969509999999995</v>
      </c>
      <c r="S4340">
        <v>0.1972961</v>
      </c>
      <c r="T4340">
        <v>-0.162554</v>
      </c>
      <c r="U4340">
        <v>-2.996429</v>
      </c>
      <c r="V4340">
        <v>-0.16566889999999901</v>
      </c>
      <c r="W4340">
        <v>-1.1527280000000001E-2</v>
      </c>
      <c r="X4340">
        <v>0.98611400000000005</v>
      </c>
      <c r="Y4340">
        <v>-0.22320509999999999</v>
      </c>
      <c r="Z4340">
        <v>5.2397489999999998E-2</v>
      </c>
      <c r="AA4340">
        <v>0.97336219999999996</v>
      </c>
      <c r="AB4340">
        <v>19</v>
      </c>
      <c r="AC4340">
        <v>1.3641999999999801</v>
      </c>
      <c r="AD4340">
        <v>-1.1151189340859999</v>
      </c>
      <c r="AE4340">
        <v>-20.455299999999902</v>
      </c>
      <c r="AF4340">
        <v>-4.58111846370051</v>
      </c>
      <c r="AG4340">
        <v>-1.1151189340859999</v>
      </c>
      <c r="AH4340">
        <v>19.920283805700301</v>
      </c>
      <c r="AI4340">
        <v>93.122676826255997</v>
      </c>
      <c r="AJ4340">
        <v>102.951270755126</v>
      </c>
      <c r="AK4340">
        <v>20.4706581114351</v>
      </c>
      <c r="AL4340">
        <v>90.660479159466405</v>
      </c>
      <c r="AM4340">
        <v>99.536734533922299</v>
      </c>
      <c r="AN4340">
        <v>0.999999941803702</v>
      </c>
    </row>
    <row r="4341" spans="1:40" x14ac:dyDescent="0.25">
      <c r="A4341" t="str">
        <f>"20190312150740087"</f>
        <v>20190312150740087</v>
      </c>
      <c r="B4341" t="str">
        <f>"1552374460084544"</f>
        <v>1552374460084544</v>
      </c>
      <c r="C4341" t="s">
        <v>40</v>
      </c>
      <c r="D4341">
        <v>4.5622910000000001</v>
      </c>
      <c r="E4341">
        <v>0.47825970000000001</v>
      </c>
      <c r="F4341" t="s">
        <v>42</v>
      </c>
      <c r="G4341">
        <v>-491.97559999999999</v>
      </c>
      <c r="H4341" s="1">
        <v>-1.727332E-6</v>
      </c>
      <c r="I4341">
        <v>242.39019999999999</v>
      </c>
      <c r="J4341">
        <v>-493.4246</v>
      </c>
      <c r="K4341">
        <v>1.1151089999999999</v>
      </c>
      <c r="L4341">
        <v>263.17259999999999</v>
      </c>
      <c r="M4341">
        <v>-0.153396799999999</v>
      </c>
      <c r="N4341">
        <v>0</v>
      </c>
      <c r="O4341">
        <v>-0.98806349999999998</v>
      </c>
      <c r="P4341">
        <v>1.1682909999999999E-2</v>
      </c>
      <c r="Q4341">
        <v>-2.425571E-2</v>
      </c>
      <c r="R4341">
        <v>-0.99963740000000001</v>
      </c>
      <c r="S4341">
        <v>0.2061462</v>
      </c>
      <c r="T4341">
        <v>-0.15989690000000001</v>
      </c>
      <c r="U4341">
        <v>-2.9956670000000001</v>
      </c>
      <c r="V4341">
        <v>-0.1647767</v>
      </c>
      <c r="W4341">
        <v>-1.2128119999999999E-2</v>
      </c>
      <c r="X4341">
        <v>0.98625640000000003</v>
      </c>
      <c r="Y4341">
        <v>-0.22079460000000001</v>
      </c>
      <c r="Z4341">
        <v>5.1633749999999999E-2</v>
      </c>
      <c r="AA4341">
        <v>0.9739527</v>
      </c>
      <c r="AB4341">
        <v>19</v>
      </c>
      <c r="AC4341">
        <v>1.4490000000000101</v>
      </c>
      <c r="AD4341">
        <v>-1.115110727332</v>
      </c>
      <c r="AE4341">
        <v>-20.782399999999999</v>
      </c>
      <c r="AF4341">
        <v>-4.6069203198048498</v>
      </c>
      <c r="AG4341">
        <v>-1.115110727332</v>
      </c>
      <c r="AH4341">
        <v>20.256054387704001</v>
      </c>
      <c r="AI4341">
        <v>93.072683109700506</v>
      </c>
      <c r="AJ4341">
        <v>102.813065196105</v>
      </c>
      <c r="AK4341">
        <v>20.803243163623801</v>
      </c>
      <c r="AL4341">
        <v>90.694907077742698</v>
      </c>
      <c r="AM4341">
        <v>99.484966149577204</v>
      </c>
      <c r="AN4341">
        <v>1.0000000693492801</v>
      </c>
    </row>
    <row r="4342" spans="1:40" x14ac:dyDescent="0.25">
      <c r="A4342" t="str">
        <f>"20190312150740104"</f>
        <v>20190312150740104</v>
      </c>
      <c r="B4342" t="str">
        <f>"1552374460094304"</f>
        <v>1552374460094304</v>
      </c>
      <c r="C4342" t="s">
        <v>40</v>
      </c>
      <c r="D4342">
        <v>4.608142</v>
      </c>
      <c r="E4342">
        <v>0.47882010000000003</v>
      </c>
      <c r="F4342" t="s">
        <v>42</v>
      </c>
      <c r="G4342">
        <v>-491.92720000000003</v>
      </c>
      <c r="H4342" s="1">
        <v>-1.5163249999999901E-6</v>
      </c>
      <c r="I4342">
        <v>241.92840000000001</v>
      </c>
      <c r="J4342">
        <v>-493.43830000000003</v>
      </c>
      <c r="K4342">
        <v>1.115092</v>
      </c>
      <c r="L4342">
        <v>263.03179999999998</v>
      </c>
      <c r="M4342">
        <v>-0.1465002</v>
      </c>
      <c r="N4342">
        <v>0</v>
      </c>
      <c r="O4342">
        <v>-0.98910969999999998</v>
      </c>
      <c r="P4342">
        <v>1.6608189999999998E-2</v>
      </c>
      <c r="Q4342">
        <v>-2.492722E-2</v>
      </c>
      <c r="R4342">
        <v>-0.99955150000000004</v>
      </c>
      <c r="S4342">
        <v>0.2110901</v>
      </c>
      <c r="T4342">
        <v>-0.15719820000000001</v>
      </c>
      <c r="U4342">
        <v>-2.994812</v>
      </c>
      <c r="V4342">
        <v>-0.16274669999999999</v>
      </c>
      <c r="W4342">
        <v>-1.2771090000000001E-2</v>
      </c>
      <c r="X4342">
        <v>0.98658520000000005</v>
      </c>
      <c r="Y4342">
        <v>-0.21560979999999999</v>
      </c>
      <c r="Z4342">
        <v>5.0888839999999998E-2</v>
      </c>
      <c r="AA4342">
        <v>0.97515269999999998</v>
      </c>
      <c r="AB4342">
        <v>19</v>
      </c>
      <c r="AC4342">
        <v>1.5110999999999899</v>
      </c>
      <c r="AD4342">
        <v>-1.115093516325</v>
      </c>
      <c r="AE4342">
        <v>-21.103399999999901</v>
      </c>
      <c r="AF4342">
        <v>-4.5740483159927896</v>
      </c>
      <c r="AG4342">
        <v>-1.115093516325</v>
      </c>
      <c r="AH4342">
        <v>20.5970496274326</v>
      </c>
      <c r="AI4342">
        <v>93.025323373561307</v>
      </c>
      <c r="AJ4342">
        <v>102.520659233915</v>
      </c>
      <c r="AK4342">
        <v>21.1282702770981</v>
      </c>
      <c r="AL4342">
        <v>90.731749468953495</v>
      </c>
      <c r="AM4342">
        <v>99.3671316835851</v>
      </c>
      <c r="AN4342">
        <v>0.99999997297985799</v>
      </c>
    </row>
    <row r="4343" spans="1:40" x14ac:dyDescent="0.25">
      <c r="A4343" t="str">
        <f>"20190312150740116"</f>
        <v>20190312150740116</v>
      </c>
      <c r="B4343" t="str">
        <f>"1552374460104064"</f>
        <v>1552374460104064</v>
      </c>
      <c r="C4343" t="s">
        <v>40</v>
      </c>
      <c r="D4343">
        <v>4.5973360000000003</v>
      </c>
      <c r="E4343">
        <v>0.47917660000000001</v>
      </c>
      <c r="F4343" t="s">
        <v>42</v>
      </c>
      <c r="G4343">
        <v>-491.88760000000002</v>
      </c>
      <c r="H4343" s="1">
        <v>-1.596497E-6</v>
      </c>
      <c r="I4343">
        <v>242.13980000000001</v>
      </c>
      <c r="J4343">
        <v>-493.44690000000003</v>
      </c>
      <c r="K4343">
        <v>1.115083</v>
      </c>
      <c r="L4343">
        <v>262.93450000000001</v>
      </c>
      <c r="M4343">
        <v>-0.14172750000000001</v>
      </c>
      <c r="N4343">
        <v>0</v>
      </c>
      <c r="O4343">
        <v>-0.98980460000000003</v>
      </c>
      <c r="P4343">
        <v>2.0363599999999999E-2</v>
      </c>
      <c r="Q4343">
        <v>-2.4999750000000001E-2</v>
      </c>
      <c r="R4343">
        <v>-0.99947989999999998</v>
      </c>
      <c r="S4343">
        <v>0.22219849999999999</v>
      </c>
      <c r="T4343">
        <v>-0.15978699999999901</v>
      </c>
      <c r="U4343">
        <v>-2.9937130000000001</v>
      </c>
      <c r="V4343">
        <v>-0.16169459999999999</v>
      </c>
      <c r="W4343">
        <v>-1.282879E-2</v>
      </c>
      <c r="X4343">
        <v>0.98675749999999995</v>
      </c>
      <c r="Y4343">
        <v>-0.21452089999999999</v>
      </c>
      <c r="Z4343">
        <v>5.1798459999999998E-2</v>
      </c>
      <c r="AA4343">
        <v>0.97534489999999996</v>
      </c>
      <c r="AB4343">
        <v>19</v>
      </c>
      <c r="AC4343">
        <v>1.5592999999999999</v>
      </c>
      <c r="AD4343">
        <v>-1.115084596497</v>
      </c>
      <c r="AE4343">
        <v>-20.794699999999999</v>
      </c>
      <c r="AF4343">
        <v>-4.47822761118237</v>
      </c>
      <c r="AG4343">
        <v>-1.115084596497</v>
      </c>
      <c r="AH4343">
        <v>20.3056701555278</v>
      </c>
      <c r="AI4343">
        <v>93.069619089267803</v>
      </c>
      <c r="AJ4343">
        <v>102.436967223175</v>
      </c>
      <c r="AK4343">
        <v>20.823500586116399</v>
      </c>
      <c r="AL4343">
        <v>90.735055655152095</v>
      </c>
      <c r="AM4343">
        <v>99.306042785014299</v>
      </c>
      <c r="AN4343">
        <v>1.00000004266413</v>
      </c>
    </row>
    <row r="4344" spans="1:40" x14ac:dyDescent="0.25">
      <c r="A4344" t="str">
        <f>"20190312150740128"</f>
        <v>20190312150740128</v>
      </c>
      <c r="B4344" t="str">
        <f>"1552374460124559"</f>
        <v>1552374460124559</v>
      </c>
      <c r="C4344" t="s">
        <v>40</v>
      </c>
      <c r="D4344">
        <v>4.7633539999999996</v>
      </c>
      <c r="E4344">
        <v>0.48024080000000002</v>
      </c>
      <c r="F4344" t="s">
        <v>42</v>
      </c>
      <c r="G4344">
        <v>-491.89449999999999</v>
      </c>
      <c r="H4344" s="1">
        <v>-1.8559530000000001E-6</v>
      </c>
      <c r="I4344">
        <v>242.74039999999999</v>
      </c>
      <c r="J4344">
        <v>-493.45530000000002</v>
      </c>
      <c r="K4344">
        <v>1.115073</v>
      </c>
      <c r="L4344">
        <v>262.83730000000003</v>
      </c>
      <c r="M4344">
        <v>-0.13696529999999901</v>
      </c>
      <c r="N4344">
        <v>0</v>
      </c>
      <c r="O4344">
        <v>-0.99047490000000005</v>
      </c>
      <c r="P4344">
        <v>2.436787E-2</v>
      </c>
      <c r="Q4344">
        <v>-2.4632790000000002E-2</v>
      </c>
      <c r="R4344">
        <v>-0.9993997</v>
      </c>
      <c r="S4344">
        <v>0.230072</v>
      </c>
      <c r="T4344">
        <v>-0.16525390000000001</v>
      </c>
      <c r="U4344">
        <v>-2.992737</v>
      </c>
      <c r="V4344">
        <v>-0.1609072</v>
      </c>
      <c r="W4344">
        <v>-1.245018E-2</v>
      </c>
      <c r="X4344">
        <v>0.98689099999999996</v>
      </c>
      <c r="Y4344">
        <v>-0.2123903</v>
      </c>
      <c r="Z4344">
        <v>5.3645720000000001E-2</v>
      </c>
      <c r="AA4344">
        <v>0.97571129999999995</v>
      </c>
      <c r="AB4344">
        <v>19</v>
      </c>
      <c r="AC4344">
        <v>1.5608000000000199</v>
      </c>
      <c r="AD4344">
        <v>-1.1150748559529999</v>
      </c>
      <c r="AE4344">
        <v>-20.096900000000002</v>
      </c>
      <c r="AF4344">
        <v>-4.2858258965804099</v>
      </c>
      <c r="AG4344">
        <v>-1.1150748559529999</v>
      </c>
      <c r="AH4344">
        <v>19.633587729937702</v>
      </c>
      <c r="AI4344">
        <v>93.1759496233595</v>
      </c>
      <c r="AJ4344">
        <v>102.31396033249899</v>
      </c>
      <c r="AK4344">
        <v>20.1268343933998</v>
      </c>
      <c r="AL4344">
        <v>90.713361205493996</v>
      </c>
      <c r="AM4344">
        <v>99.260281404080104</v>
      </c>
      <c r="AN4344">
        <v>0.999999989937436</v>
      </c>
    </row>
    <row r="4345" spans="1:40" x14ac:dyDescent="0.25">
      <c r="A4345" t="str">
        <f>"20190312150740140"</f>
        <v>20190312150740140</v>
      </c>
      <c r="B4345" t="str">
        <f>"1552374460134321"</f>
        <v>1552374460134321</v>
      </c>
      <c r="C4345" t="s">
        <v>40</v>
      </c>
      <c r="D4345">
        <v>4.5619769999999997</v>
      </c>
      <c r="E4345">
        <v>0.4807669</v>
      </c>
      <c r="F4345" t="s">
        <v>42</v>
      </c>
      <c r="G4345">
        <v>-491.84890000000001</v>
      </c>
      <c r="H4345" s="1">
        <v>-1.6490030000000001E-6</v>
      </c>
      <c r="I4345">
        <v>242.28620000000001</v>
      </c>
      <c r="J4345">
        <v>-493.46339999999998</v>
      </c>
      <c r="K4345">
        <v>1.1150610000000001</v>
      </c>
      <c r="L4345">
        <v>262.73829999999998</v>
      </c>
      <c r="M4345">
        <v>-0.1321118</v>
      </c>
      <c r="N4345">
        <v>0</v>
      </c>
      <c r="O4345">
        <v>-0.99113399999999996</v>
      </c>
      <c r="P4345">
        <v>2.8543599999999999E-2</v>
      </c>
      <c r="Q4345">
        <v>-2.4288649999999998E-2</v>
      </c>
      <c r="R4345">
        <v>-0.99929769999999896</v>
      </c>
      <c r="S4345">
        <v>0.2338867</v>
      </c>
      <c r="T4345">
        <v>-0.16234870000000001</v>
      </c>
      <c r="U4345">
        <v>-2.9921259999999998</v>
      </c>
      <c r="V4345">
        <v>-0.16020190000000001</v>
      </c>
      <c r="W4345">
        <v>-1.209501E-2</v>
      </c>
      <c r="X4345">
        <v>0.98701019999999995</v>
      </c>
      <c r="Y4345">
        <v>-0.20885799999999999</v>
      </c>
      <c r="Z4345">
        <v>5.2787699999999903E-2</v>
      </c>
      <c r="AA4345">
        <v>0.97652019999999995</v>
      </c>
      <c r="AB4345">
        <v>19</v>
      </c>
      <c r="AC4345">
        <v>1.6144999999999601</v>
      </c>
      <c r="AD4345">
        <v>-1.115062649003</v>
      </c>
      <c r="AE4345">
        <v>-20.452099999999898</v>
      </c>
      <c r="AF4345">
        <v>-4.2899067785343101</v>
      </c>
      <c r="AG4345">
        <v>-1.115062649003</v>
      </c>
      <c r="AH4345">
        <v>20.000398768204501</v>
      </c>
      <c r="AI4345">
        <v>93.1202288302391</v>
      </c>
      <c r="AJ4345">
        <v>102.106005641628</v>
      </c>
      <c r="AK4345">
        <v>20.485668545764199</v>
      </c>
      <c r="AL4345">
        <v>90.693009898247695</v>
      </c>
      <c r="AM4345">
        <v>99.2192953169681</v>
      </c>
      <c r="AN4345">
        <v>1.0000000364672701</v>
      </c>
    </row>
    <row r="4346" spans="1:40" x14ac:dyDescent="0.25">
      <c r="A4346" t="str">
        <f>"20190312150740158"</f>
        <v>20190312150740158</v>
      </c>
      <c r="B4346" t="str">
        <f>"1552374460153841"</f>
        <v>1552374460153841</v>
      </c>
      <c r="C4346" t="s">
        <v>40</v>
      </c>
      <c r="D4346">
        <v>4.689063</v>
      </c>
      <c r="E4346">
        <v>0.48170980000000002</v>
      </c>
      <c r="F4346" t="s">
        <v>42</v>
      </c>
      <c r="G4346">
        <v>-491.77179999999998</v>
      </c>
      <c r="H4346" s="1">
        <v>-1.426452E-6</v>
      </c>
      <c r="I4346">
        <v>241.81530000000001</v>
      </c>
      <c r="J4346">
        <v>-493.4742</v>
      </c>
      <c r="K4346">
        <v>1.1150340000000001</v>
      </c>
      <c r="L4346">
        <v>262.59289999999999</v>
      </c>
      <c r="M4346">
        <v>-0.12499059999999999</v>
      </c>
      <c r="N4346">
        <v>0</v>
      </c>
      <c r="O4346">
        <v>-0.99205710000000003</v>
      </c>
      <c r="P4346">
        <v>3.3708559999999999E-2</v>
      </c>
      <c r="Q4346">
        <v>-2.4964320000000002E-2</v>
      </c>
      <c r="R4346">
        <v>-0.99912009999999996</v>
      </c>
      <c r="S4346">
        <v>0.24185180000000001</v>
      </c>
      <c r="T4346">
        <v>-0.15942039999999999</v>
      </c>
      <c r="U4346">
        <v>-2.9913639999999999</v>
      </c>
      <c r="V4346">
        <v>-0.15820770000000001</v>
      </c>
      <c r="W4346">
        <v>-1.2741300000000001E-2</v>
      </c>
      <c r="X4346">
        <v>0.98732359999999997</v>
      </c>
      <c r="Y4346">
        <v>-0.20444000000000001</v>
      </c>
      <c r="Z4346">
        <v>5.194443E-2</v>
      </c>
      <c r="AA4346">
        <v>0.97749989999999998</v>
      </c>
      <c r="AB4346">
        <v>19</v>
      </c>
      <c r="AC4346">
        <v>1.7024000000000099</v>
      </c>
      <c r="AD4346">
        <v>-1.1150354264519999</v>
      </c>
      <c r="AE4346">
        <v>-20.7775999999999</v>
      </c>
      <c r="AF4346">
        <v>-4.27408436768079</v>
      </c>
      <c r="AG4346">
        <v>-1.1150354264519999</v>
      </c>
      <c r="AH4346">
        <v>20.343624361098598</v>
      </c>
      <c r="AI4346">
        <v>93.070348488918597</v>
      </c>
      <c r="AJ4346">
        <v>101.864966883721</v>
      </c>
      <c r="AK4346">
        <v>20.817640436172901</v>
      </c>
      <c r="AL4346">
        <v>90.730042502540002</v>
      </c>
      <c r="AM4346">
        <v>99.103625683986095</v>
      </c>
      <c r="AN4346">
        <v>0.99999995409096898</v>
      </c>
    </row>
    <row r="4347" spans="1:40" x14ac:dyDescent="0.25">
      <c r="A4347" t="str">
        <f>"20190312150740170"</f>
        <v>20190312150740170</v>
      </c>
      <c r="B4347" t="str">
        <f>"1552374460164576"</f>
        <v>1552374460164576</v>
      </c>
      <c r="C4347" t="s">
        <v>40</v>
      </c>
      <c r="D4347">
        <v>4.585267</v>
      </c>
      <c r="E4347">
        <v>0.4822109</v>
      </c>
      <c r="F4347" t="s">
        <v>42</v>
      </c>
      <c r="G4347">
        <v>-491.69959999999998</v>
      </c>
      <c r="H4347" s="1">
        <v>-1.2026980000000001E-6</v>
      </c>
      <c r="I4347">
        <v>241.33850000000001</v>
      </c>
      <c r="J4347">
        <v>-493.48059999999998</v>
      </c>
      <c r="K4347">
        <v>1.1150150000000001</v>
      </c>
      <c r="L4347">
        <v>262.5009</v>
      </c>
      <c r="M4347">
        <v>-0.12049940000000001</v>
      </c>
      <c r="N4347">
        <v>0</v>
      </c>
      <c r="O4347">
        <v>-0.99261270000000001</v>
      </c>
      <c r="P4347">
        <v>3.7049819999999997E-2</v>
      </c>
      <c r="Q4347">
        <v>-2.5870939999999999E-2</v>
      </c>
      <c r="R4347">
        <v>-0.99897860000000005</v>
      </c>
      <c r="S4347">
        <v>0.24966430000000001</v>
      </c>
      <c r="T4347">
        <v>-0.15687329999999999</v>
      </c>
      <c r="U4347">
        <v>-2.990265</v>
      </c>
      <c r="V4347">
        <v>-0.15702869999999999</v>
      </c>
      <c r="W4347">
        <v>-1.362995E-2</v>
      </c>
      <c r="X4347">
        <v>0.98750000000000004</v>
      </c>
      <c r="Y4347">
        <v>-0.20257849999999999</v>
      </c>
      <c r="Z4347">
        <v>5.118379E-2</v>
      </c>
      <c r="AA4347">
        <v>0.97792749999999995</v>
      </c>
      <c r="AB4347">
        <v>19</v>
      </c>
      <c r="AC4347">
        <v>1.7809999999999999</v>
      </c>
      <c r="AD4347">
        <v>-1.1150162026979999</v>
      </c>
      <c r="AE4347">
        <v>-21.162399999999899</v>
      </c>
      <c r="AF4347">
        <v>-4.3064603936202701</v>
      </c>
      <c r="AG4347">
        <v>-1.1150162026979999</v>
      </c>
      <c r="AH4347">
        <v>20.7363751674539</v>
      </c>
      <c r="AI4347">
        <v>93.013707256540997</v>
      </c>
      <c r="AJ4347">
        <v>101.732222716762</v>
      </c>
      <c r="AK4347">
        <v>21.2081615737786</v>
      </c>
      <c r="AL4347">
        <v>90.780962776975599</v>
      </c>
      <c r="AM4347">
        <v>99.035319363980904</v>
      </c>
      <c r="AN4347">
        <v>1.00000001908034</v>
      </c>
    </row>
    <row r="4348" spans="1:40" x14ac:dyDescent="0.25">
      <c r="A4348" t="str">
        <f>"20190312150740182"</f>
        <v>20190312150740182</v>
      </c>
      <c r="B4348" t="str">
        <f>"1552374460174337"</f>
        <v>1552374460174337</v>
      </c>
      <c r="C4348" t="s">
        <v>40</v>
      </c>
      <c r="D4348">
        <v>4.6949420000000002</v>
      </c>
      <c r="E4348">
        <v>0.48233769999999998</v>
      </c>
      <c r="F4348" t="s">
        <v>42</v>
      </c>
      <c r="G4348">
        <v>-491.67610000000002</v>
      </c>
      <c r="H4348" s="1">
        <v>-1.222733E-6</v>
      </c>
      <c r="I4348">
        <v>241.3997</v>
      </c>
      <c r="J4348">
        <v>-493.4871</v>
      </c>
      <c r="K4348">
        <v>1.114992</v>
      </c>
      <c r="L4348">
        <v>262.40050000000002</v>
      </c>
      <c r="M4348">
        <v>-0.1155958</v>
      </c>
      <c r="N4348">
        <v>0</v>
      </c>
      <c r="O4348">
        <v>-0.99319590000000002</v>
      </c>
      <c r="P4348">
        <v>4.0268529999999997E-2</v>
      </c>
      <c r="Q4348">
        <v>-2.6960270000000001E-2</v>
      </c>
      <c r="R4348">
        <v>-0.99882530000000003</v>
      </c>
      <c r="S4348">
        <v>0.25564579999999998</v>
      </c>
      <c r="T4348">
        <v>-0.15797079999999999</v>
      </c>
      <c r="U4348">
        <v>-2.9895320000000001</v>
      </c>
      <c r="V4348">
        <v>-0.1553197</v>
      </c>
      <c r="W4348">
        <v>-1.469347E-2</v>
      </c>
      <c r="X4348">
        <v>0.98775500000000005</v>
      </c>
      <c r="Y4348">
        <v>-0.1997024</v>
      </c>
      <c r="Z4348">
        <v>5.1610780000000002E-2</v>
      </c>
      <c r="AA4348">
        <v>0.97849640000000004</v>
      </c>
      <c r="AB4348">
        <v>19</v>
      </c>
      <c r="AC4348">
        <v>1.81099999999997</v>
      </c>
      <c r="AD4348">
        <v>-1.1149932227329999</v>
      </c>
      <c r="AE4348">
        <v>-21.000800000000002</v>
      </c>
      <c r="AF4348">
        <v>-4.21491019852105</v>
      </c>
      <c r="AG4348">
        <v>-1.1149932227329999</v>
      </c>
      <c r="AH4348">
        <v>20.5930044133869</v>
      </c>
      <c r="AI4348">
        <v>93.036385015044402</v>
      </c>
      <c r="AJ4348">
        <v>101.567353806536</v>
      </c>
      <c r="AK4348">
        <v>21.0494776333787</v>
      </c>
      <c r="AL4348">
        <v>90.841904093589804</v>
      </c>
      <c r="AM4348">
        <v>98.936310672396701</v>
      </c>
      <c r="AN4348">
        <v>1.00000002364686</v>
      </c>
    </row>
    <row r="4349" spans="1:40" x14ac:dyDescent="0.25">
      <c r="A4349" t="str">
        <f>"20190312150740194"</f>
        <v>20190312150740194</v>
      </c>
      <c r="B4349" t="str">
        <f>"1552374460184096"</f>
        <v>1552374460184096</v>
      </c>
      <c r="C4349" t="s">
        <v>40</v>
      </c>
      <c r="D4349">
        <v>4.5203600000000002</v>
      </c>
      <c r="E4349">
        <v>0.48233769999999998</v>
      </c>
      <c r="F4349" t="s">
        <v>42</v>
      </c>
      <c r="G4349">
        <v>-491.63319999999999</v>
      </c>
      <c r="H4349" s="1">
        <v>-1.2288899999999999E-6</v>
      </c>
      <c r="I4349">
        <v>241.44069999999999</v>
      </c>
      <c r="J4349">
        <v>-493.49310000000003</v>
      </c>
      <c r="K4349">
        <v>1.114962</v>
      </c>
      <c r="L4349">
        <v>262.29930000000002</v>
      </c>
      <c r="M4349">
        <v>-0.1106789</v>
      </c>
      <c r="N4349">
        <v>0</v>
      </c>
      <c r="O4349">
        <v>-0.99375579999999997</v>
      </c>
      <c r="P4349">
        <v>4.3162819999999998E-2</v>
      </c>
      <c r="Q4349">
        <v>-2.8060519999999999E-2</v>
      </c>
      <c r="R4349">
        <v>-0.9986739</v>
      </c>
      <c r="S4349">
        <v>0.2643433</v>
      </c>
      <c r="T4349">
        <v>-0.15898180000000001</v>
      </c>
      <c r="U4349">
        <v>-2.988556</v>
      </c>
      <c r="V4349">
        <v>-0.15327929999999901</v>
      </c>
      <c r="W4349">
        <v>-1.5762640000000001E-2</v>
      </c>
      <c r="X4349">
        <v>0.98805719999999997</v>
      </c>
      <c r="Y4349">
        <v>-0.1977044</v>
      </c>
      <c r="Z4349">
        <v>5.2005849999999999E-2</v>
      </c>
      <c r="AA4349">
        <v>0.97888120000000001</v>
      </c>
      <c r="AB4349">
        <v>19</v>
      </c>
      <c r="AC4349">
        <v>1.8599000000000301</v>
      </c>
      <c r="AD4349">
        <v>-1.11496322889</v>
      </c>
      <c r="AE4349">
        <v>-20.858599999999999</v>
      </c>
      <c r="AF4349">
        <v>-4.1455566900364396</v>
      </c>
      <c r="AG4349">
        <v>-1.11496322889</v>
      </c>
      <c r="AH4349">
        <v>20.466534337734199</v>
      </c>
      <c r="AI4349">
        <v>93.056296875524893</v>
      </c>
      <c r="AJ4349">
        <v>101.450509958607</v>
      </c>
      <c r="AK4349">
        <v>20.911905964539301</v>
      </c>
      <c r="AL4349">
        <v>90.903170133164593</v>
      </c>
      <c r="AM4349">
        <v>98.818119033862601</v>
      </c>
      <c r="AN4349">
        <v>1.0000000175500401</v>
      </c>
    </row>
    <row r="4350" spans="1:40" x14ac:dyDescent="0.25">
      <c r="A4350" t="str">
        <f>"20190312150740206"</f>
        <v>20190312150740206</v>
      </c>
      <c r="B4350" t="str">
        <f>"1552374460193856"</f>
        <v>1552374460193856</v>
      </c>
      <c r="C4350" t="s">
        <v>40</v>
      </c>
      <c r="D4350">
        <v>4.9066589999999897</v>
      </c>
      <c r="E4350">
        <v>0.49381180000000002</v>
      </c>
      <c r="F4350" t="s">
        <v>42</v>
      </c>
      <c r="G4350">
        <v>-491.61860000000001</v>
      </c>
      <c r="H4350" s="1">
        <v>-1.366362E-6</v>
      </c>
      <c r="I4350">
        <v>241.77019999999999</v>
      </c>
      <c r="J4350">
        <v>-493.49849999999998</v>
      </c>
      <c r="K4350">
        <v>1.1149309999999999</v>
      </c>
      <c r="L4350">
        <v>262.20170000000002</v>
      </c>
      <c r="M4350">
        <v>-0.1059504</v>
      </c>
      <c r="N4350">
        <v>0</v>
      </c>
      <c r="O4350">
        <v>-0.99427120000000002</v>
      </c>
      <c r="P4350">
        <v>4.5838209999999997E-2</v>
      </c>
      <c r="Q4350">
        <v>-2.900105E-2</v>
      </c>
      <c r="R4350">
        <v>-0.99852779999999997</v>
      </c>
      <c r="S4350">
        <v>0.2727966</v>
      </c>
      <c r="T4350">
        <v>-0.16226179999999901</v>
      </c>
      <c r="U4350">
        <v>-2.9876100000000001</v>
      </c>
      <c r="V4350">
        <v>-0.15121499999999999</v>
      </c>
      <c r="W4350">
        <v>-1.6671439999999999E-2</v>
      </c>
      <c r="X4350">
        <v>0.98836029999999997</v>
      </c>
      <c r="Y4350">
        <v>-0.1958104</v>
      </c>
      <c r="Z4350">
        <v>5.3137860000000002E-2</v>
      </c>
      <c r="AA4350">
        <v>0.97920099999999999</v>
      </c>
      <c r="AB4350">
        <v>19</v>
      </c>
      <c r="AC4350">
        <v>1.8798999999999599</v>
      </c>
      <c r="AD4350">
        <v>-1.1149323663620001</v>
      </c>
      <c r="AE4350">
        <v>-20.4315</v>
      </c>
      <c r="AF4350">
        <v>-4.0223807252922299</v>
      </c>
      <c r="AG4350">
        <v>-1.1149323663620001</v>
      </c>
      <c r="AH4350">
        <v>20.058052988394799</v>
      </c>
      <c r="AI4350">
        <v>93.119545846163305</v>
      </c>
      <c r="AJ4350">
        <v>101.339510997232</v>
      </c>
      <c r="AK4350">
        <v>20.487755137301299</v>
      </c>
      <c r="AL4350">
        <v>90.955247405671599</v>
      </c>
      <c r="AM4350">
        <v>98.698562444821704</v>
      </c>
      <c r="AN4350">
        <v>0.99999999787638105</v>
      </c>
    </row>
    <row r="4351" spans="1:40" x14ac:dyDescent="0.25">
      <c r="A4351" t="str">
        <f>"20190312150740218"</f>
        <v>20190312150740218</v>
      </c>
      <c r="B4351" t="str">
        <f>"1552374460214352"</f>
        <v>1552374460214352</v>
      </c>
      <c r="C4351" t="s">
        <v>40</v>
      </c>
      <c r="D4351">
        <v>4.7642449999999998</v>
      </c>
      <c r="E4351">
        <v>0.49285099999999998</v>
      </c>
      <c r="F4351" t="s">
        <v>42</v>
      </c>
      <c r="G4351">
        <v>-491.64659999999998</v>
      </c>
      <c r="H4351" s="1">
        <v>-1.7590889999999999E-6</v>
      </c>
      <c r="I4351">
        <v>232.66829999999999</v>
      </c>
      <c r="J4351">
        <v>-493.50330000000002</v>
      </c>
      <c r="K4351">
        <v>1.1148960000000001</v>
      </c>
      <c r="L4351">
        <v>262.10610000000003</v>
      </c>
      <c r="M4351">
        <v>-0.1013472</v>
      </c>
      <c r="N4351">
        <v>0</v>
      </c>
      <c r="O4351">
        <v>-0.9947511</v>
      </c>
      <c r="P4351">
        <v>4.8665180000000002E-2</v>
      </c>
      <c r="Q4351">
        <v>-2.972168E-2</v>
      </c>
      <c r="R4351">
        <v>-0.99837319999999996</v>
      </c>
      <c r="S4351">
        <v>0.1876526</v>
      </c>
      <c r="T4351">
        <v>-0.1129714</v>
      </c>
      <c r="U4351">
        <v>-2.9924930000000001</v>
      </c>
      <c r="V4351">
        <v>-0.14943010000000001</v>
      </c>
      <c r="W4351">
        <v>-1.7362760000000001E-2</v>
      </c>
      <c r="X4351">
        <v>0.98861980000000005</v>
      </c>
      <c r="Y4351">
        <v>-0.1633773</v>
      </c>
      <c r="Z4351">
        <v>3.7143179999999998E-2</v>
      </c>
      <c r="AA4351">
        <v>0.98586419999999997</v>
      </c>
      <c r="AB4351">
        <v>19</v>
      </c>
      <c r="AC4351">
        <v>1.85670000000004</v>
      </c>
      <c r="AD4351">
        <v>-1.1148977590889999</v>
      </c>
      <c r="AE4351">
        <v>-29.437799999999999</v>
      </c>
      <c r="AF4351">
        <v>-4.8239817238800802</v>
      </c>
      <c r="AG4351">
        <v>-1.1148977590889999</v>
      </c>
      <c r="AH4351">
        <v>29.056495443155502</v>
      </c>
      <c r="AI4351">
        <v>92.167718831584295</v>
      </c>
      <c r="AJ4351">
        <v>99.426311437008806</v>
      </c>
      <c r="AK4351">
        <v>29.475307023399601</v>
      </c>
      <c r="AL4351">
        <v>90.994862894331405</v>
      </c>
      <c r="AM4351">
        <v>98.595207262737205</v>
      </c>
      <c r="AN4351">
        <v>0.99999996458643303</v>
      </c>
    </row>
    <row r="4352" spans="1:40" x14ac:dyDescent="0.25">
      <c r="A4352" t="str">
        <f>"20190312150740230"</f>
        <v>20190312150740230</v>
      </c>
      <c r="B4352" t="str">
        <f>"1552374460224113"</f>
        <v>1552374460224113</v>
      </c>
      <c r="C4352" t="s">
        <v>40</v>
      </c>
      <c r="D4352">
        <v>4.5416980000000002</v>
      </c>
      <c r="E4352">
        <v>0.4922512</v>
      </c>
      <c r="F4352" t="s">
        <v>42</v>
      </c>
      <c r="G4352">
        <v>-491.69670000000002</v>
      </c>
      <c r="H4352" s="1">
        <v>-3.0547339999999998E-6</v>
      </c>
      <c r="I4352">
        <v>235.6574</v>
      </c>
      <c r="J4352">
        <v>-493.5077</v>
      </c>
      <c r="K4352">
        <v>1.1148480000000001</v>
      </c>
      <c r="L4352">
        <v>262.00900000000001</v>
      </c>
      <c r="M4352">
        <v>-9.6692829999999994E-2</v>
      </c>
      <c r="N4352">
        <v>0</v>
      </c>
      <c r="O4352">
        <v>-0.9952145</v>
      </c>
      <c r="P4352">
        <v>5.174894E-2</v>
      </c>
      <c r="Q4352">
        <v>-2.9566579999999999E-2</v>
      </c>
      <c r="R4352">
        <v>-0.99822250000000001</v>
      </c>
      <c r="S4352">
        <v>0.2043152</v>
      </c>
      <c r="T4352">
        <v>-0.12608820000000001</v>
      </c>
      <c r="U4352">
        <v>-2.9911799999999999</v>
      </c>
      <c r="V4352">
        <v>-0.14786389999999999</v>
      </c>
      <c r="W4352">
        <v>-1.7180440000000002E-2</v>
      </c>
      <c r="X4352">
        <v>0.98885849999999997</v>
      </c>
      <c r="Y4352">
        <v>-0.1642458</v>
      </c>
      <c r="Z4352">
        <v>4.1485319999999999E-2</v>
      </c>
      <c r="AA4352">
        <v>0.9855467</v>
      </c>
      <c r="AB4352">
        <v>19</v>
      </c>
      <c r="AC4352">
        <v>1.81099999999997</v>
      </c>
      <c r="AD4352">
        <v>-1.114851054734</v>
      </c>
      <c r="AE4352">
        <v>-26.351600000000001</v>
      </c>
      <c r="AF4352">
        <v>-4.3430393801213896</v>
      </c>
      <c r="AG4352">
        <v>-1.114851054734</v>
      </c>
      <c r="AH4352">
        <v>26.006641333741399</v>
      </c>
      <c r="AI4352">
        <v>92.421161072453003</v>
      </c>
      <c r="AJ4352">
        <v>99.480754178249001</v>
      </c>
      <c r="AK4352">
        <v>26.390344397021298</v>
      </c>
      <c r="AL4352">
        <v>90.984415117650897</v>
      </c>
      <c r="AM4352">
        <v>98.504421030036298</v>
      </c>
      <c r="AN4352">
        <v>1.00000001673202</v>
      </c>
    </row>
    <row r="4353" spans="1:40" x14ac:dyDescent="0.25">
      <c r="A4353" t="str">
        <f>"20190312150740242"</f>
        <v>20190312150740242</v>
      </c>
      <c r="B4353" t="str">
        <f>"1552374460233872"</f>
        <v>1552374460233872</v>
      </c>
      <c r="C4353" t="s">
        <v>40</v>
      </c>
      <c r="D4353">
        <v>4.539434</v>
      </c>
      <c r="E4353">
        <v>0.49216510000000002</v>
      </c>
      <c r="F4353" t="s">
        <v>42</v>
      </c>
      <c r="G4353">
        <v>-491.56169999999997</v>
      </c>
      <c r="H4353" s="1">
        <v>-2.8827559999999998E-6</v>
      </c>
      <c r="I4353">
        <v>235.34030000000001</v>
      </c>
      <c r="J4353">
        <v>-493.51209999999998</v>
      </c>
      <c r="K4353">
        <v>1.114803</v>
      </c>
      <c r="L4353">
        <v>261.9067</v>
      </c>
      <c r="M4353">
        <v>-9.1810260000000005E-2</v>
      </c>
      <c r="N4353">
        <v>0</v>
      </c>
      <c r="O4353">
        <v>-0.99567680000000003</v>
      </c>
      <c r="P4353">
        <v>5.493427E-2</v>
      </c>
      <c r="Q4353">
        <v>-2.94541E-2</v>
      </c>
      <c r="R4353">
        <v>-0.9980559</v>
      </c>
      <c r="S4353">
        <v>0.2182007</v>
      </c>
      <c r="T4353">
        <v>-0.1250066</v>
      </c>
      <c r="U4353">
        <v>-2.990326</v>
      </c>
      <c r="V4353">
        <v>-0.14617269999999999</v>
      </c>
      <c r="W4353">
        <v>-1.703845E-2</v>
      </c>
      <c r="X4353">
        <v>0.98911230000000006</v>
      </c>
      <c r="Y4353">
        <v>-0.163981399999999</v>
      </c>
      <c r="Z4353">
        <v>4.1164930000000002E-2</v>
      </c>
      <c r="AA4353">
        <v>0.98560420000000004</v>
      </c>
      <c r="AB4353">
        <v>18</v>
      </c>
      <c r="AC4353">
        <v>1.9503999999999999</v>
      </c>
      <c r="AD4353">
        <v>-1.1148058827559999</v>
      </c>
      <c r="AE4353">
        <v>-26.566399999999899</v>
      </c>
      <c r="AF4353">
        <v>-4.3738106680588</v>
      </c>
      <c r="AG4353">
        <v>-1.1148058827559999</v>
      </c>
      <c r="AH4353">
        <v>26.229151337941399</v>
      </c>
      <c r="AI4353">
        <v>92.400643390042504</v>
      </c>
      <c r="AJ4353">
        <v>99.4671796074837</v>
      </c>
      <c r="AK4353">
        <v>26.614683763383098</v>
      </c>
      <c r="AL4353">
        <v>90.976278559785499</v>
      </c>
      <c r="AM4353">
        <v>98.406423077532196</v>
      </c>
      <c r="AN4353">
        <v>0.99999995450749002</v>
      </c>
    </row>
    <row r="4354" spans="1:40" x14ac:dyDescent="0.25">
      <c r="A4354" t="str">
        <f>"20190312150740255"</f>
        <v>20190312150740255</v>
      </c>
      <c r="B4354" t="str">
        <f>"1552374460244609"</f>
        <v>1552374460244609</v>
      </c>
      <c r="C4354" t="s">
        <v>40</v>
      </c>
      <c r="D4354">
        <v>4.4978199999999999</v>
      </c>
      <c r="E4354">
        <v>0.4925329</v>
      </c>
      <c r="F4354" t="s">
        <v>42</v>
      </c>
      <c r="G4354">
        <v>-491.44760000000002</v>
      </c>
      <c r="H4354" s="1">
        <v>-2.668417E-6</v>
      </c>
      <c r="I4354">
        <v>234.91139999999999</v>
      </c>
      <c r="J4354">
        <v>-493.51569999999998</v>
      </c>
      <c r="K4354">
        <v>1.1147530000000001</v>
      </c>
      <c r="L4354">
        <v>261.8064</v>
      </c>
      <c r="M4354">
        <v>-8.7078840000000005E-2</v>
      </c>
      <c r="N4354">
        <v>0</v>
      </c>
      <c r="O4354">
        <v>-0.99610180000000004</v>
      </c>
      <c r="P4354">
        <v>5.8258780000000003E-2</v>
      </c>
      <c r="Q4354">
        <v>-2.9228170000000001E-2</v>
      </c>
      <c r="R4354">
        <v>-0.99787369999999997</v>
      </c>
      <c r="S4354">
        <v>0.2286377</v>
      </c>
      <c r="T4354">
        <v>-0.1234605</v>
      </c>
      <c r="U4354">
        <v>-2.9896240000000001</v>
      </c>
      <c r="V4354">
        <v>-0.14477429999999999</v>
      </c>
      <c r="W4354">
        <v>-1.6786120000000002E-2</v>
      </c>
      <c r="X4354">
        <v>0.98932229999999999</v>
      </c>
      <c r="Y4354">
        <v>-0.16273470000000001</v>
      </c>
      <c r="Z4354">
        <v>4.0691459999999999E-2</v>
      </c>
      <c r="AA4354">
        <v>0.9858304</v>
      </c>
      <c r="AB4354">
        <v>18</v>
      </c>
      <c r="AC4354">
        <v>2.0680999999999501</v>
      </c>
      <c r="AD4354">
        <v>-1.1147556684169999</v>
      </c>
      <c r="AE4354">
        <v>-26.895</v>
      </c>
      <c r="AF4354">
        <v>-4.3949544257111297</v>
      </c>
      <c r="AG4354">
        <v>-1.1147556684169999</v>
      </c>
      <c r="AH4354">
        <v>26.567337660410999</v>
      </c>
      <c r="AI4354">
        <v>92.370520811068005</v>
      </c>
      <c r="AJ4354">
        <v>99.393199208315195</v>
      </c>
      <c r="AK4354">
        <v>26.951469996396</v>
      </c>
      <c r="AL4354">
        <v>90.961819010437196</v>
      </c>
      <c r="AM4354">
        <v>98.325391031956201</v>
      </c>
      <c r="AN4354">
        <v>0.99999999252121696</v>
      </c>
    </row>
    <row r="4355" spans="1:40" x14ac:dyDescent="0.25">
      <c r="A4355" t="str">
        <f>"20190312150740271"</f>
        <v>20190312150740271</v>
      </c>
      <c r="B4355" t="str">
        <f>"1552374460264129"</f>
        <v>1552374460264129</v>
      </c>
      <c r="C4355" t="s">
        <v>40</v>
      </c>
      <c r="D4355">
        <v>4.7227050000000004</v>
      </c>
      <c r="E4355">
        <v>0.49299490000000001</v>
      </c>
      <c r="F4355" t="s">
        <v>42</v>
      </c>
      <c r="G4355">
        <v>-491.24759999999998</v>
      </c>
      <c r="H4355" s="1">
        <v>-1.7622499999999999E-6</v>
      </c>
      <c r="I4355">
        <v>232.92320000000001</v>
      </c>
      <c r="J4355">
        <v>-493.52010000000001</v>
      </c>
      <c r="K4355">
        <v>1.1146739999999999</v>
      </c>
      <c r="L4355">
        <v>261.67070000000001</v>
      </c>
      <c r="M4355">
        <v>-8.0727839999999995E-2</v>
      </c>
      <c r="N4355">
        <v>0</v>
      </c>
      <c r="O4355">
        <v>-0.99663679999999999</v>
      </c>
      <c r="P4355">
        <v>6.1059919999999997E-2</v>
      </c>
      <c r="Q4355">
        <v>-2.974802E-2</v>
      </c>
      <c r="R4355">
        <v>-0.99769079999999999</v>
      </c>
      <c r="S4355">
        <v>0.23474120000000001</v>
      </c>
      <c r="T4355">
        <v>-0.1153734</v>
      </c>
      <c r="U4355">
        <v>-2.9893190000000001</v>
      </c>
      <c r="V4355">
        <v>-0.14124220000000001</v>
      </c>
      <c r="W4355">
        <v>-1.7249819999999999E-2</v>
      </c>
      <c r="X4355">
        <v>0.98982479999999995</v>
      </c>
      <c r="Y4355">
        <v>-0.15846079999999901</v>
      </c>
      <c r="Z4355">
        <v>3.8075310000000001E-2</v>
      </c>
      <c r="AA4355">
        <v>0.98663089999999998</v>
      </c>
      <c r="AB4355">
        <v>18</v>
      </c>
      <c r="AC4355">
        <v>2.2725000000000302</v>
      </c>
      <c r="AD4355">
        <v>-1.1146757622500001</v>
      </c>
      <c r="AE4355">
        <v>-28.747499999999999</v>
      </c>
      <c r="AF4355">
        <v>-4.5791930296752703</v>
      </c>
      <c r="AG4355">
        <v>-1.1146757622500001</v>
      </c>
      <c r="AH4355">
        <v>28.4277075743233</v>
      </c>
      <c r="AI4355">
        <v>92.216919857094496</v>
      </c>
      <c r="AJ4355">
        <v>99.150715336818195</v>
      </c>
      <c r="AK4355">
        <v>28.815726067361499</v>
      </c>
      <c r="AL4355">
        <v>90.988390879747001</v>
      </c>
      <c r="AM4355">
        <v>98.120949637293293</v>
      </c>
      <c r="AN4355">
        <v>1.0000000250229499</v>
      </c>
    </row>
    <row r="4356" spans="1:40" x14ac:dyDescent="0.25">
      <c r="A4356" t="str">
        <f>"20190312150740285"</f>
        <v>20190312150740285</v>
      </c>
      <c r="B4356" t="str">
        <f>"1552374460273888"</f>
        <v>1552374460273888</v>
      </c>
      <c r="C4356" t="s">
        <v>40</v>
      </c>
      <c r="D4356">
        <v>4.693873</v>
      </c>
      <c r="E4356">
        <v>0.49307139999999999</v>
      </c>
      <c r="F4356" t="s">
        <v>61</v>
      </c>
      <c r="G4356">
        <v>-490.9359</v>
      </c>
      <c r="H4356" s="1">
        <v>6.3279110000000001E-6</v>
      </c>
      <c r="I4356">
        <v>229.4143</v>
      </c>
      <c r="J4356">
        <v>-493.5231</v>
      </c>
      <c r="K4356">
        <v>1.114603</v>
      </c>
      <c r="L4356">
        <v>261.56020000000001</v>
      </c>
      <c r="M4356">
        <v>-7.5618030000000003E-2</v>
      </c>
      <c r="N4356">
        <v>0</v>
      </c>
      <c r="O4356">
        <v>-0.99703759999999997</v>
      </c>
      <c r="P4356">
        <v>6.4032350000000002E-2</v>
      </c>
      <c r="Q4356">
        <v>-3.023605E-2</v>
      </c>
      <c r="R4356">
        <v>-0.99748959999999998</v>
      </c>
      <c r="S4356">
        <v>0.2394714</v>
      </c>
      <c r="T4356">
        <v>-0.1032951</v>
      </c>
      <c r="U4356">
        <v>-2.989166</v>
      </c>
      <c r="V4356">
        <v>-0.13911490000000001</v>
      </c>
      <c r="W4356">
        <v>-1.7701120000000001E-2</v>
      </c>
      <c r="X4356">
        <v>0.99011800000000005</v>
      </c>
      <c r="Y4356">
        <v>-0.15496570000000001</v>
      </c>
      <c r="Z4356">
        <v>3.4124170000000002E-2</v>
      </c>
      <c r="AA4356">
        <v>0.98733029999999999</v>
      </c>
      <c r="AB4356">
        <v>18</v>
      </c>
      <c r="AC4356">
        <v>2.58719999999999</v>
      </c>
      <c r="AD4356">
        <v>-1.1145966720889999</v>
      </c>
      <c r="AE4356">
        <v>-32.145899999999997</v>
      </c>
      <c r="AF4356">
        <v>-5.0048630238239804</v>
      </c>
      <c r="AG4356">
        <v>-1.1145966720889999</v>
      </c>
      <c r="AH4356">
        <v>31.8201764610731</v>
      </c>
      <c r="AI4356">
        <v>91.9817914510907</v>
      </c>
      <c r="AJ4356">
        <v>98.938584533702596</v>
      </c>
      <c r="AK4356">
        <v>32.230647055907902</v>
      </c>
      <c r="AL4356">
        <v>91.014252470201399</v>
      </c>
      <c r="AM4356">
        <v>97.997894106231101</v>
      </c>
      <c r="AN4356">
        <v>0.99999996948763104</v>
      </c>
    </row>
    <row r="4357" spans="1:40" x14ac:dyDescent="0.25">
      <c r="A4357" t="str">
        <f>"20190312150740299"</f>
        <v>20190312150740299</v>
      </c>
      <c r="B4357" t="str">
        <f>"1552374460294384"</f>
        <v>1552374460294384</v>
      </c>
      <c r="C4357" t="s">
        <v>40</v>
      </c>
      <c r="D4357">
        <v>4.4796620000000003</v>
      </c>
      <c r="E4357">
        <v>0.49368279999999998</v>
      </c>
      <c r="F4357" t="s">
        <v>61</v>
      </c>
      <c r="G4357">
        <v>-490.72969999999998</v>
      </c>
      <c r="H4357" s="1">
        <v>5.897437E-6</v>
      </c>
      <c r="I4357">
        <v>227.79490000000001</v>
      </c>
      <c r="J4357">
        <v>-493.52550000000002</v>
      </c>
      <c r="K4357">
        <v>1.114533</v>
      </c>
      <c r="L4357">
        <v>261.45179999999999</v>
      </c>
      <c r="M4357">
        <v>-7.0685739999999997E-2</v>
      </c>
      <c r="N4357">
        <v>0</v>
      </c>
      <c r="O4357">
        <v>-0.9973997</v>
      </c>
      <c r="P4357">
        <v>6.6980860000000003E-2</v>
      </c>
      <c r="Q4357">
        <v>-3.02907E-2</v>
      </c>
      <c r="R4357">
        <v>-0.99729440000000003</v>
      </c>
      <c r="S4357">
        <v>0.24725340000000001</v>
      </c>
      <c r="T4357">
        <v>-9.8656649999999999E-2</v>
      </c>
      <c r="U4357">
        <v>-2.9886780000000002</v>
      </c>
      <c r="V4357">
        <v>-0.13714779999999999</v>
      </c>
      <c r="W4357">
        <v>-1.7721509999999999E-2</v>
      </c>
      <c r="X4357">
        <v>0.9903921</v>
      </c>
      <c r="Y4357">
        <v>-0.15264990000000001</v>
      </c>
      <c r="Z4357">
        <v>3.2619240000000001E-2</v>
      </c>
      <c r="AA4357">
        <v>0.98774189999999995</v>
      </c>
      <c r="AB4357">
        <v>18</v>
      </c>
      <c r="AC4357">
        <v>2.7958000000000398</v>
      </c>
      <c r="AD4357">
        <v>-1.1145271025629999</v>
      </c>
      <c r="AE4357">
        <v>-33.656899999999901</v>
      </c>
      <c r="AF4357">
        <v>-5.1624808053851297</v>
      </c>
      <c r="AG4357">
        <v>-1.1145271025629999</v>
      </c>
      <c r="AH4357">
        <v>33.338745002187103</v>
      </c>
      <c r="AI4357">
        <v>91.892172462062803</v>
      </c>
      <c r="AJ4357">
        <v>98.802300021515507</v>
      </c>
      <c r="AK4357">
        <v>33.754485584129</v>
      </c>
      <c r="AL4357">
        <v>91.015420841480605</v>
      </c>
      <c r="AM4357">
        <v>97.884080800534903</v>
      </c>
      <c r="AN4357">
        <v>1.0000000413519601</v>
      </c>
    </row>
    <row r="4358" spans="1:40" x14ac:dyDescent="0.25">
      <c r="A4358" t="str">
        <f>"20190312150740315"</f>
        <v>20190312150740315</v>
      </c>
      <c r="B4358" t="str">
        <f>"1552374460304146"</f>
        <v>1552374460304146</v>
      </c>
      <c r="C4358" t="s">
        <v>40</v>
      </c>
      <c r="D4358">
        <v>4.6571230000000003</v>
      </c>
      <c r="E4358">
        <v>0.49394579999999999</v>
      </c>
      <c r="F4358" t="s">
        <v>61</v>
      </c>
      <c r="G4358">
        <v>-490.4248</v>
      </c>
      <c r="H4358" s="1">
        <v>4.9750200000000004E-6</v>
      </c>
      <c r="I4358">
        <v>224.59219999999999</v>
      </c>
      <c r="J4358">
        <v>-493.52789999999999</v>
      </c>
      <c r="K4358">
        <v>1.11443799999999</v>
      </c>
      <c r="L4358">
        <v>261.3177</v>
      </c>
      <c r="M4358">
        <v>-6.4665879999999995E-2</v>
      </c>
      <c r="N4358">
        <v>0</v>
      </c>
      <c r="O4358">
        <v>-0.99780849999999999</v>
      </c>
      <c r="P4358">
        <v>6.9393689999999994E-2</v>
      </c>
      <c r="Q4358">
        <v>-3.012196E-2</v>
      </c>
      <c r="R4358">
        <v>-0.99713490000000005</v>
      </c>
      <c r="S4358">
        <v>0.25140380000000001</v>
      </c>
      <c r="T4358">
        <v>-9.0364219999999995E-2</v>
      </c>
      <c r="U4358">
        <v>-2.9885250000000001</v>
      </c>
      <c r="V4358">
        <v>-0.13357379999999999</v>
      </c>
      <c r="W4358">
        <v>-1.7498079999999999E-2</v>
      </c>
      <c r="X4358">
        <v>0.9908844</v>
      </c>
      <c r="Y4358">
        <v>-0.148058299999999</v>
      </c>
      <c r="Z4358">
        <v>2.990893E-2</v>
      </c>
      <c r="AA4358">
        <v>0.98852629999999997</v>
      </c>
      <c r="AB4358">
        <v>18</v>
      </c>
      <c r="AC4358">
        <v>3.10309999999998</v>
      </c>
      <c r="AD4358">
        <v>-1.1144330249800001</v>
      </c>
      <c r="AE4358">
        <v>-36.725499999999997</v>
      </c>
      <c r="AF4358">
        <v>-5.46672585261474</v>
      </c>
      <c r="AG4358">
        <v>-1.1144330249800001</v>
      </c>
      <c r="AH4358">
        <v>36.414639484136501</v>
      </c>
      <c r="AI4358">
        <v>91.733518408751095</v>
      </c>
      <c r="AJ4358">
        <v>98.537736157013697</v>
      </c>
      <c r="AK4358">
        <v>36.839557832233098</v>
      </c>
      <c r="AL4358">
        <v>91.002617283493905</v>
      </c>
      <c r="AM4358">
        <v>97.677340104872499</v>
      </c>
      <c r="AN4358">
        <v>1.0000000185067399</v>
      </c>
    </row>
    <row r="4359" spans="1:40" x14ac:dyDescent="0.25">
      <c r="A4359" t="str">
        <f>"20190312150740328"</f>
        <v>20190312150740328</v>
      </c>
      <c r="B4359" t="str">
        <f>"1552374460324640"</f>
        <v>1552374460324640</v>
      </c>
      <c r="C4359" t="s">
        <v>40</v>
      </c>
      <c r="D4359">
        <v>4.4333929999999997</v>
      </c>
      <c r="E4359">
        <v>0.49469069999999998</v>
      </c>
      <c r="F4359" t="s">
        <v>61</v>
      </c>
      <c r="G4359">
        <v>-490.27019999999999</v>
      </c>
      <c r="H4359" s="1">
        <v>4.6456229999999996E-6</v>
      </c>
      <c r="I4359">
        <v>223.38040000000001</v>
      </c>
      <c r="J4359">
        <v>-493.5292</v>
      </c>
      <c r="K4359">
        <v>1.114374</v>
      </c>
      <c r="L4359">
        <v>261.22199999999998</v>
      </c>
      <c r="M4359">
        <v>-6.0419939999999998E-2</v>
      </c>
      <c r="N4359">
        <v>0</v>
      </c>
      <c r="O4359">
        <v>-0.99807469999999998</v>
      </c>
      <c r="P4359">
        <v>7.2069380000000002E-2</v>
      </c>
      <c r="Q4359">
        <v>-2.9984799999999999E-2</v>
      </c>
      <c r="R4359">
        <v>-0.99694910000000003</v>
      </c>
      <c r="S4359">
        <v>0.25659179999999998</v>
      </c>
      <c r="T4359">
        <v>-8.7779049999999997E-2</v>
      </c>
      <c r="U4359">
        <v>-2.988159</v>
      </c>
      <c r="V4359">
        <v>-0.1320219</v>
      </c>
      <c r="W4359">
        <v>-1.7333879999999999E-2</v>
      </c>
      <c r="X4359">
        <v>0.99109519999999995</v>
      </c>
      <c r="Y4359">
        <v>-0.14556629999999901</v>
      </c>
      <c r="Z4359">
        <v>2.9072580000000001E-2</v>
      </c>
      <c r="AA4359">
        <v>0.98892119999999994</v>
      </c>
      <c r="AB4359">
        <v>18</v>
      </c>
      <c r="AC4359">
        <v>3.2590000000000101</v>
      </c>
      <c r="AD4359">
        <v>-1.1143693543769999</v>
      </c>
      <c r="AE4359">
        <v>-37.8415999999999</v>
      </c>
      <c r="AF4359">
        <v>-5.5348919389533604</v>
      </c>
      <c r="AG4359">
        <v>-1.1143693543769999</v>
      </c>
      <c r="AH4359">
        <v>37.543205882322297</v>
      </c>
      <c r="AI4359">
        <v>91.682002208669402</v>
      </c>
      <c r="AJ4359">
        <v>98.386547964518698</v>
      </c>
      <c r="AK4359">
        <v>37.965367846977401</v>
      </c>
      <c r="AL4359">
        <v>90.993207937257594</v>
      </c>
      <c r="AM4359">
        <v>97.587592761528597</v>
      </c>
      <c r="AN4359">
        <v>0.99999997046925104</v>
      </c>
    </row>
    <row r="4360" spans="1:40" x14ac:dyDescent="0.25">
      <c r="A4360" t="str">
        <f>"20190312150740340"</f>
        <v>20190312150740340</v>
      </c>
      <c r="B4360" t="str">
        <f>"1552374460334401"</f>
        <v>1552374460334401</v>
      </c>
      <c r="C4360" t="s">
        <v>40</v>
      </c>
      <c r="D4360">
        <v>4.4848499999999998</v>
      </c>
      <c r="E4360">
        <v>0.4949209</v>
      </c>
      <c r="F4360" t="s">
        <v>61</v>
      </c>
      <c r="G4360">
        <v>-490.08620000000002</v>
      </c>
      <c r="H4360" s="1">
        <v>4.062622E-6</v>
      </c>
      <c r="I4360">
        <v>221.3931</v>
      </c>
      <c r="J4360">
        <v>-493.53019999999998</v>
      </c>
      <c r="K4360">
        <v>1.114296</v>
      </c>
      <c r="L4360">
        <v>261.12119999999999</v>
      </c>
      <c r="M4360">
        <v>-5.6030049999999998E-2</v>
      </c>
      <c r="N4360">
        <v>0</v>
      </c>
      <c r="O4360">
        <v>-0.99833090000000002</v>
      </c>
      <c r="P4360">
        <v>7.4707339999999997E-2</v>
      </c>
      <c r="Q4360">
        <v>-2.9741569999999998E-2</v>
      </c>
      <c r="R4360">
        <v>-0.99676229999999999</v>
      </c>
      <c r="S4360">
        <v>0.2583008</v>
      </c>
      <c r="T4360">
        <v>-8.3601239999999993E-2</v>
      </c>
      <c r="U4360">
        <v>-2.9880070000000001</v>
      </c>
      <c r="V4360">
        <v>-0.13029169999999901</v>
      </c>
      <c r="W4360">
        <v>-1.7061170000000001E-2</v>
      </c>
      <c r="X4360">
        <v>0.99132889999999996</v>
      </c>
      <c r="Y4360">
        <v>-0.141783399999999</v>
      </c>
      <c r="Z4360">
        <v>2.7709109999999999E-2</v>
      </c>
      <c r="AA4360">
        <v>0.98950979999999999</v>
      </c>
      <c r="AB4360">
        <v>18</v>
      </c>
      <c r="AC4360">
        <v>3.44399999999996</v>
      </c>
      <c r="AD4360">
        <v>-1.114291937378</v>
      </c>
      <c r="AE4360">
        <v>-39.728099999999898</v>
      </c>
      <c r="AF4360">
        <v>-5.6603546416084498</v>
      </c>
      <c r="AG4360">
        <v>-1.114291937378</v>
      </c>
      <c r="AH4360">
        <v>39.441894774205899</v>
      </c>
      <c r="AI4360">
        <v>91.601857424067404</v>
      </c>
      <c r="AJ4360">
        <v>98.166825618522196</v>
      </c>
      <c r="AK4360">
        <v>39.861564502287301</v>
      </c>
      <c r="AL4360">
        <v>90.977580465419194</v>
      </c>
      <c r="AM4360">
        <v>97.487544943048604</v>
      </c>
      <c r="AN4360">
        <v>0.99999999929293404</v>
      </c>
    </row>
    <row r="4361" spans="1:40" x14ac:dyDescent="0.25">
      <c r="A4361" t="str">
        <f>"20190312150740351"</f>
        <v>20190312150740351</v>
      </c>
      <c r="B4361" t="str">
        <f>"1552374460344160"</f>
        <v>1552374460344160</v>
      </c>
      <c r="C4361" t="s">
        <v>40</v>
      </c>
      <c r="D4361">
        <v>4.5012309999999998</v>
      </c>
      <c r="E4361">
        <v>0.49522319999999997</v>
      </c>
      <c r="F4361" t="s">
        <v>61</v>
      </c>
      <c r="G4361">
        <v>-489.96780000000001</v>
      </c>
      <c r="H4361" s="1">
        <v>3.9349049999999997E-6</v>
      </c>
      <c r="I4361">
        <v>220.91300000000001</v>
      </c>
      <c r="J4361">
        <v>-493.53070000000002</v>
      </c>
      <c r="K4361">
        <v>1.114215</v>
      </c>
      <c r="L4361">
        <v>261.02370000000002</v>
      </c>
      <c r="M4361">
        <v>-5.1858389999999997E-2</v>
      </c>
      <c r="N4361">
        <v>0</v>
      </c>
      <c r="O4361">
        <v>-0.99855640000000001</v>
      </c>
      <c r="P4361">
        <v>7.6719510000000005E-2</v>
      </c>
      <c r="Q4361">
        <v>-2.9854229999999999E-2</v>
      </c>
      <c r="R4361">
        <v>-0.99660559999999998</v>
      </c>
      <c r="S4361">
        <v>0.264679</v>
      </c>
      <c r="T4361">
        <v>-8.2790849999999999E-2</v>
      </c>
      <c r="U4361">
        <v>-2.9874269999999998</v>
      </c>
      <c r="V4361">
        <v>-0.12815409999999999</v>
      </c>
      <c r="W4361">
        <v>-1.7140619999999999E-2</v>
      </c>
      <c r="X4361">
        <v>0.99160610000000005</v>
      </c>
      <c r="Y4361">
        <v>-0.13976089999999999</v>
      </c>
      <c r="Z4361">
        <v>2.7456810000000002E-2</v>
      </c>
      <c r="AA4361">
        <v>0.98980449999999998</v>
      </c>
      <c r="AB4361">
        <v>18</v>
      </c>
      <c r="AC4361">
        <v>3.5629000000000102</v>
      </c>
      <c r="AD4361">
        <v>-1.1142110650949999</v>
      </c>
      <c r="AE4361">
        <v>-40.110700000000001</v>
      </c>
      <c r="AF4361">
        <v>-5.6340715738558096</v>
      </c>
      <c r="AG4361">
        <v>-1.1142110650949999</v>
      </c>
      <c r="AH4361">
        <v>39.8414315040622</v>
      </c>
      <c r="AI4361">
        <v>91.586151459867693</v>
      </c>
      <c r="AJ4361">
        <v>98.048962649104396</v>
      </c>
      <c r="AK4361">
        <v>40.253246988159702</v>
      </c>
      <c r="AL4361">
        <v>90.982133313688806</v>
      </c>
      <c r="AM4361">
        <v>97.364025915978999</v>
      </c>
      <c r="AN4361">
        <v>0.99999996587900097</v>
      </c>
    </row>
    <row r="4362" spans="1:40" x14ac:dyDescent="0.25">
      <c r="A4362" t="str">
        <f>"20190312150740363"</f>
        <v>20190312150740363</v>
      </c>
      <c r="B4362" t="str">
        <f>"1552374460353920"</f>
        <v>1552374460353920</v>
      </c>
      <c r="C4362" t="s">
        <v>40</v>
      </c>
      <c r="D4362">
        <v>4.6834819999999997</v>
      </c>
      <c r="E4362">
        <v>0.49530150000000001</v>
      </c>
      <c r="F4362" t="s">
        <v>61</v>
      </c>
      <c r="G4362">
        <v>-489.93299999999999</v>
      </c>
      <c r="H4362" s="1">
        <v>3.9505279999999996E-6</v>
      </c>
      <c r="I4362">
        <v>220.97550000000001</v>
      </c>
      <c r="J4362">
        <v>-493.53100000000001</v>
      </c>
      <c r="K4362">
        <v>1.1141399999999999</v>
      </c>
      <c r="L4362">
        <v>260.9314</v>
      </c>
      <c r="M4362">
        <v>-4.7949659999999998E-2</v>
      </c>
      <c r="N4362">
        <v>0</v>
      </c>
      <c r="O4362">
        <v>-0.99875179999999997</v>
      </c>
      <c r="P4362">
        <v>7.8668489999999994E-2</v>
      </c>
      <c r="Q4362">
        <v>-3.0371519999999999E-2</v>
      </c>
      <c r="R4362">
        <v>-0.99643780000000004</v>
      </c>
      <c r="S4362">
        <v>0.268341099999999</v>
      </c>
      <c r="T4362">
        <v>-8.3105209999999999E-2</v>
      </c>
      <c r="U4362">
        <v>-2.9870610000000002</v>
      </c>
      <c r="V4362">
        <v>-0.12620990000000001</v>
      </c>
      <c r="W4362">
        <v>-1.7627750000000001E-2</v>
      </c>
      <c r="X4362">
        <v>0.99184689999999998</v>
      </c>
      <c r="Y4362">
        <v>-0.1370991</v>
      </c>
      <c r="Z4362">
        <v>2.7576150000000001E-2</v>
      </c>
      <c r="AA4362">
        <v>0.99017339999999998</v>
      </c>
      <c r="AB4362">
        <v>18</v>
      </c>
      <c r="AC4362">
        <v>3.5979999999999501</v>
      </c>
      <c r="AD4362">
        <v>-1.1141360494719901</v>
      </c>
      <c r="AE4362">
        <v>-39.9558999999999</v>
      </c>
      <c r="AF4362">
        <v>-5.5056735234966903</v>
      </c>
      <c r="AG4362">
        <v>-1.1141360494719901</v>
      </c>
      <c r="AH4362">
        <v>39.706767417830797</v>
      </c>
      <c r="AI4362">
        <v>91.592022733197297</v>
      </c>
      <c r="AJ4362">
        <v>97.894201486369994</v>
      </c>
      <c r="AK4362">
        <v>40.102133594832303</v>
      </c>
      <c r="AL4362">
        <v>91.010048017417006</v>
      </c>
      <c r="AM4362">
        <v>97.251764364148102</v>
      </c>
      <c r="AN4362">
        <v>0.99999997473384095</v>
      </c>
    </row>
    <row r="4363" spans="1:40" x14ac:dyDescent="0.25">
      <c r="A4363" t="str">
        <f>"20190312150740375"</f>
        <v>20190312150740375</v>
      </c>
      <c r="B4363" t="str">
        <f>"1552374460364656"</f>
        <v>1552374460364656</v>
      </c>
      <c r="C4363" t="s">
        <v>40</v>
      </c>
      <c r="D4363">
        <v>4.4944769999999998</v>
      </c>
      <c r="E4363">
        <v>0.49530150000000001</v>
      </c>
      <c r="F4363" t="s">
        <v>61</v>
      </c>
      <c r="G4363">
        <v>-489.90269999999998</v>
      </c>
      <c r="H4363" s="1">
        <v>4.0256930000000003E-6</v>
      </c>
      <c r="I4363">
        <v>221.2398</v>
      </c>
      <c r="J4363">
        <v>-493.53089999999997</v>
      </c>
      <c r="K4363">
        <v>1.1140540000000001</v>
      </c>
      <c r="L4363">
        <v>260.8399</v>
      </c>
      <c r="M4363">
        <v>-4.4187589999999999E-2</v>
      </c>
      <c r="N4363">
        <v>0</v>
      </c>
      <c r="O4363">
        <v>-0.99892590000000003</v>
      </c>
      <c r="P4363">
        <v>7.9999310000000004E-2</v>
      </c>
      <c r="Q4363">
        <v>-3.0750019999999999E-2</v>
      </c>
      <c r="R4363">
        <v>-0.99632069999999995</v>
      </c>
      <c r="S4363">
        <v>0.27301029999999998</v>
      </c>
      <c r="T4363">
        <v>-8.3832500000000004E-2</v>
      </c>
      <c r="U4363">
        <v>-2.9865719999999998</v>
      </c>
      <c r="V4363">
        <v>-0.1237996</v>
      </c>
      <c r="W4363">
        <v>-1.7971540000000001E-2</v>
      </c>
      <c r="X4363">
        <v>0.99214449999999998</v>
      </c>
      <c r="Y4363">
        <v>-0.13491710000000001</v>
      </c>
      <c r="Z4363">
        <v>2.7831359999999999E-2</v>
      </c>
      <c r="AA4363">
        <v>0.99046590000000001</v>
      </c>
      <c r="AB4363">
        <v>18</v>
      </c>
      <c r="AC4363">
        <v>3.6281999999999899</v>
      </c>
      <c r="AD4363">
        <v>-1.114049974307</v>
      </c>
      <c r="AE4363">
        <v>-39.600099999999998</v>
      </c>
      <c r="AF4363">
        <v>-5.3704436629985102</v>
      </c>
      <c r="AG4363">
        <v>-1.114049974307</v>
      </c>
      <c r="AH4363">
        <v>39.370176461558202</v>
      </c>
      <c r="AI4363">
        <v>91.605989764582105</v>
      </c>
      <c r="AJ4363">
        <v>97.767713787171004</v>
      </c>
      <c r="AK4363">
        <v>39.750390779172598</v>
      </c>
      <c r="AL4363">
        <v>91.029748815725</v>
      </c>
      <c r="AM4363">
        <v>97.112594021171006</v>
      </c>
      <c r="AN4363">
        <v>1.00000001304519</v>
      </c>
    </row>
    <row r="4364" spans="1:40" x14ac:dyDescent="0.25">
      <c r="A4364" t="str">
        <f>"20190312150740388"</f>
        <v>20190312150740388</v>
      </c>
      <c r="B4364" t="str">
        <f>"1552374460384176"</f>
        <v>1552374460384176</v>
      </c>
      <c r="C4364" t="s">
        <v>40</v>
      </c>
      <c r="D4364">
        <v>4.7277779999999998</v>
      </c>
      <c r="E4364">
        <v>0.50467649999999997</v>
      </c>
      <c r="F4364" t="s">
        <v>61</v>
      </c>
      <c r="G4364">
        <v>-489.89679999999998</v>
      </c>
      <c r="H4364" s="1">
        <v>4.1624409999999998E-6</v>
      </c>
      <c r="I4364">
        <v>221.68539999999999</v>
      </c>
      <c r="J4364">
        <v>-493.53059999999999</v>
      </c>
      <c r="K4364">
        <v>1.1139589999999999</v>
      </c>
      <c r="L4364">
        <v>260.74299999999999</v>
      </c>
      <c r="M4364">
        <v>-4.0240629999999999E-2</v>
      </c>
      <c r="N4364">
        <v>0</v>
      </c>
      <c r="O4364">
        <v>-0.99909269999999994</v>
      </c>
      <c r="P4364">
        <v>8.1769910000000001E-2</v>
      </c>
      <c r="Q4364">
        <v>-3.0813690000000001E-2</v>
      </c>
      <c r="R4364">
        <v>-0.99617480000000003</v>
      </c>
      <c r="S4364">
        <v>0.27716059999999998</v>
      </c>
      <c r="T4364">
        <v>-8.4965589999999994E-2</v>
      </c>
      <c r="U4364">
        <v>-2.9862060000000001</v>
      </c>
      <c r="V4364">
        <v>-0.121646699999999</v>
      </c>
      <c r="W4364">
        <v>-1.8002750000000001E-2</v>
      </c>
      <c r="X4364">
        <v>0.99241020000000002</v>
      </c>
      <c r="Y4364">
        <v>-0.13237699999999999</v>
      </c>
      <c r="Z4364">
        <v>2.8220840000000001E-2</v>
      </c>
      <c r="AA4364">
        <v>0.99079759999999995</v>
      </c>
      <c r="AB4364">
        <v>18</v>
      </c>
      <c r="AC4364">
        <v>3.6337999999999999</v>
      </c>
      <c r="AD4364">
        <v>-1.1139548375589901</v>
      </c>
      <c r="AE4364">
        <v>-39.057600000000001</v>
      </c>
      <c r="AF4364">
        <v>-5.1985190095595</v>
      </c>
      <c r="AG4364">
        <v>-1.1139548375589901</v>
      </c>
      <c r="AH4364">
        <v>38.8483877208199</v>
      </c>
      <c r="AI4364">
        <v>91.627969845649005</v>
      </c>
      <c r="AJ4364">
        <v>97.621788956733795</v>
      </c>
      <c r="AK4364">
        <v>39.210492521517999</v>
      </c>
      <c r="AL4364">
        <v>91.031537307562402</v>
      </c>
      <c r="AM4364">
        <v>96.988285955216696</v>
      </c>
      <c r="AN4364">
        <v>1.00000001184624</v>
      </c>
    </row>
    <row r="4365" spans="1:40" x14ac:dyDescent="0.25">
      <c r="A4365" t="str">
        <f>"20190312150740404"</f>
        <v>20190312150740404</v>
      </c>
      <c r="B4365" t="str">
        <f>"1552374460393940"</f>
        <v>1552374460393940</v>
      </c>
      <c r="C4365" t="s">
        <v>40</v>
      </c>
      <c r="D4365">
        <v>4.4784179999999996</v>
      </c>
      <c r="E4365">
        <v>0.50467649999999997</v>
      </c>
      <c r="F4365" t="s">
        <v>42</v>
      </c>
      <c r="G4365">
        <v>-489.26979999999998</v>
      </c>
      <c r="H4365" s="1">
        <v>-4.2231549999999999E-6</v>
      </c>
      <c r="I4365">
        <v>199.17509999999999</v>
      </c>
      <c r="J4365">
        <v>-493.52969999999999</v>
      </c>
      <c r="K4365">
        <v>1.11381</v>
      </c>
      <c r="L4365">
        <v>260.59980000000002</v>
      </c>
      <c r="M4365">
        <v>-3.4582179999999997E-2</v>
      </c>
      <c r="N4365">
        <v>0</v>
      </c>
      <c r="O4365">
        <v>-0.99930509999999995</v>
      </c>
      <c r="P4365">
        <v>8.3063010000000007E-2</v>
      </c>
      <c r="Q4365">
        <v>-3.1147589999999999E-2</v>
      </c>
      <c r="R4365">
        <v>-0.99605770000000005</v>
      </c>
      <c r="S4365">
        <v>0.2071228</v>
      </c>
      <c r="T4365">
        <v>-5.4150579999999997E-2</v>
      </c>
      <c r="U4365">
        <v>-2.9928590000000002</v>
      </c>
      <c r="V4365">
        <v>-0.1173183</v>
      </c>
      <c r="W4365">
        <v>-1.8277959999999999E-2</v>
      </c>
      <c r="X4365">
        <v>0.99292610000000003</v>
      </c>
      <c r="Y4365">
        <v>-0.103491</v>
      </c>
      <c r="Z4365">
        <v>1.8003970000000001E-2</v>
      </c>
      <c r="AA4365">
        <v>0.9944674</v>
      </c>
      <c r="AB4365">
        <v>18</v>
      </c>
      <c r="AC4365">
        <v>4.2599000000000098</v>
      </c>
      <c r="AD4365">
        <v>-1.1138142231549999</v>
      </c>
      <c r="AE4365">
        <v>-61.424700000000001</v>
      </c>
      <c r="AF4365">
        <v>-6.3796693096463297</v>
      </c>
      <c r="AG4365">
        <v>-1.1138142231549999</v>
      </c>
      <c r="AH4365">
        <v>61.220587964304499</v>
      </c>
      <c r="AI4365">
        <v>91.036681018557303</v>
      </c>
      <c r="AJ4365">
        <v>95.949200551836199</v>
      </c>
      <c r="AK4365">
        <v>61.562173071775902</v>
      </c>
      <c r="AL4365">
        <v>91.047308334919094</v>
      </c>
      <c r="AM4365">
        <v>96.738490419386196</v>
      </c>
      <c r="AN4365">
        <v>0.99999995369892902</v>
      </c>
    </row>
    <row r="4366" spans="1:40" x14ac:dyDescent="0.25">
      <c r="A4366" t="str">
        <f>"20190312150740416"</f>
        <v>20190312150740416</v>
      </c>
      <c r="B4366" t="str">
        <f>"1552374460404673"</f>
        <v>1552374460404673</v>
      </c>
      <c r="C4366" t="s">
        <v>40</v>
      </c>
      <c r="D4366">
        <v>4.7709900000000003</v>
      </c>
      <c r="E4366">
        <v>0.50452129999999995</v>
      </c>
      <c r="F4366" t="s">
        <v>61</v>
      </c>
      <c r="G4366">
        <v>-489.26369999999997</v>
      </c>
      <c r="H4366" s="1">
        <v>1.06351E-7</v>
      </c>
      <c r="I4366">
        <v>200.1583</v>
      </c>
      <c r="J4366">
        <v>-493.52870000000001</v>
      </c>
      <c r="K4366">
        <v>1.1137140000000001</v>
      </c>
      <c r="L4366">
        <v>260.5068</v>
      </c>
      <c r="M4366">
        <v>-3.1031989999999999E-2</v>
      </c>
      <c r="N4366">
        <v>0</v>
      </c>
      <c r="O4366">
        <v>-0.99942189999999997</v>
      </c>
      <c r="P4366">
        <v>8.4499950000000004E-2</v>
      </c>
      <c r="Q4366">
        <v>-3.122743E-2</v>
      </c>
      <c r="R4366">
        <v>-0.99593399999999999</v>
      </c>
      <c r="S4366">
        <v>0.21121219999999999</v>
      </c>
      <c r="T4366">
        <v>-5.5145979999999997E-2</v>
      </c>
      <c r="U4366">
        <v>-2.9925229999999998</v>
      </c>
      <c r="V4366">
        <v>-0.1152276</v>
      </c>
      <c r="W4366">
        <v>-1.8328779999999999E-2</v>
      </c>
      <c r="X4366">
        <v>0.99317</v>
      </c>
      <c r="Y4366">
        <v>-0.101317</v>
      </c>
      <c r="Z4366">
        <v>1.8341260000000002E-2</v>
      </c>
      <c r="AA4366">
        <v>0.99468509999999999</v>
      </c>
      <c r="AB4366">
        <v>18</v>
      </c>
      <c r="AC4366">
        <v>4.2650000000000396</v>
      </c>
      <c r="AD4366">
        <v>-1.1137138936490001</v>
      </c>
      <c r="AE4366">
        <v>-60.348500000000001</v>
      </c>
      <c r="AF4366">
        <v>-6.1337815891486898</v>
      </c>
      <c r="AG4366">
        <v>-1.1137138936490001</v>
      </c>
      <c r="AH4366">
        <v>60.166676356891301</v>
      </c>
      <c r="AI4366">
        <v>91.054984261765597</v>
      </c>
      <c r="AJ4366">
        <v>95.820993284463199</v>
      </c>
      <c r="AK4366">
        <v>60.488780604796403</v>
      </c>
      <c r="AL4366">
        <v>91.050220549541393</v>
      </c>
      <c r="AM4366">
        <v>96.617869541132805</v>
      </c>
      <c r="AN4366">
        <v>0.99999999643902404</v>
      </c>
    </row>
    <row r="4367" spans="1:40" x14ac:dyDescent="0.25">
      <c r="A4367" t="str">
        <f>"20190312150740429"</f>
        <v>20190312150740429</v>
      </c>
      <c r="B4367" t="str">
        <f>"1552374460424192"</f>
        <v>1552374460424192</v>
      </c>
      <c r="C4367" t="s">
        <v>40</v>
      </c>
      <c r="D4367">
        <v>4.5834440000000001</v>
      </c>
      <c r="E4367">
        <v>0.50454449999999995</v>
      </c>
      <c r="F4367" t="s">
        <v>61</v>
      </c>
      <c r="G4367">
        <v>-489.57560000000001</v>
      </c>
      <c r="H4367" s="1">
        <v>1.892836E-6</v>
      </c>
      <c r="I4367">
        <v>205.9453</v>
      </c>
      <c r="J4367">
        <v>-493.5274</v>
      </c>
      <c r="K4367">
        <v>1.113615</v>
      </c>
      <c r="L4367">
        <v>260.41059999999999</v>
      </c>
      <c r="M4367">
        <v>-2.740155E-2</v>
      </c>
      <c r="N4367">
        <v>0</v>
      </c>
      <c r="O4367">
        <v>-0.99952830000000004</v>
      </c>
      <c r="P4367">
        <v>8.5678679999999993E-2</v>
      </c>
      <c r="Q4367">
        <v>-3.1068729999999999E-2</v>
      </c>
      <c r="R4367">
        <v>-0.99583869999999997</v>
      </c>
      <c r="S4367">
        <v>0.2167664</v>
      </c>
      <c r="T4367">
        <v>-6.1070439999999997E-2</v>
      </c>
      <c r="U4367">
        <v>-2.9918819999999999</v>
      </c>
      <c r="V4367">
        <v>-0.1128015</v>
      </c>
      <c r="W4367">
        <v>-1.813876E-2</v>
      </c>
      <c r="X4367">
        <v>0.993452</v>
      </c>
      <c r="Y4367">
        <v>-9.9552559999999998E-2</v>
      </c>
      <c r="Z4367">
        <v>2.031898E-2</v>
      </c>
      <c r="AA4367">
        <v>0.99482479999999995</v>
      </c>
      <c r="AB4367">
        <v>18</v>
      </c>
      <c r="AC4367">
        <v>3.9517999999999902</v>
      </c>
      <c r="AD4367">
        <v>-1.1136131071640001</v>
      </c>
      <c r="AE4367">
        <v>-54.4652999999999</v>
      </c>
      <c r="AF4367">
        <v>-5.4406304771601199</v>
      </c>
      <c r="AG4367">
        <v>-1.1136131071640001</v>
      </c>
      <c r="AH4367">
        <v>54.313961790227097</v>
      </c>
      <c r="AI4367">
        <v>91.168738199611795</v>
      </c>
      <c r="AJ4367">
        <v>95.720237784870804</v>
      </c>
      <c r="AK4367">
        <v>54.597133986059198</v>
      </c>
      <c r="AL4367">
        <v>91.039331355423101</v>
      </c>
      <c r="AM4367">
        <v>96.477905206971201</v>
      </c>
      <c r="AN4367">
        <v>1.00000003466029</v>
      </c>
    </row>
    <row r="4368" spans="1:40" x14ac:dyDescent="0.25">
      <c r="A4368" t="str">
        <f>"20190312150740443"</f>
        <v>20190312150740443</v>
      </c>
      <c r="B4368" t="str">
        <f>"1552374460433953"</f>
        <v>1552374460433953</v>
      </c>
      <c r="C4368" t="s">
        <v>40</v>
      </c>
      <c r="D4368">
        <v>4.6051250000000001</v>
      </c>
      <c r="E4368">
        <v>0.50482369999999999</v>
      </c>
      <c r="F4368" t="s">
        <v>61</v>
      </c>
      <c r="G4368">
        <v>-490.08530000000002</v>
      </c>
      <c r="H4368" s="1">
        <v>3.2534219999999998E-6</v>
      </c>
      <c r="I4368">
        <v>213.69239999999999</v>
      </c>
      <c r="J4368">
        <v>-493.52550000000002</v>
      </c>
      <c r="K4368">
        <v>1.1134980000000001</v>
      </c>
      <c r="L4368">
        <v>260.28739999999999</v>
      </c>
      <c r="M4368">
        <v>-2.2853709999999999E-2</v>
      </c>
      <c r="N4368">
        <v>0</v>
      </c>
      <c r="O4368">
        <v>-0.9996427</v>
      </c>
      <c r="P4368">
        <v>8.8261229999999996E-2</v>
      </c>
      <c r="Q4368">
        <v>-3.0797169999999999E-2</v>
      </c>
      <c r="R4368">
        <v>-0.99562139999999999</v>
      </c>
      <c r="S4368">
        <v>0.22039790000000001</v>
      </c>
      <c r="T4368">
        <v>-7.1303839999999993E-2</v>
      </c>
      <c r="U4368">
        <v>-2.991333</v>
      </c>
      <c r="V4368">
        <v>-0.1108658</v>
      </c>
      <c r="W4368">
        <v>-1.7840640000000001E-2</v>
      </c>
      <c r="X4368">
        <v>0.99367519999999998</v>
      </c>
      <c r="Y4368">
        <v>-9.6233869999999999E-2</v>
      </c>
      <c r="Z4368">
        <v>2.3733250000000001E-2</v>
      </c>
      <c r="AA4368">
        <v>0.99507579999999995</v>
      </c>
      <c r="AB4368">
        <v>18</v>
      </c>
      <c r="AC4368">
        <v>3.4401999999999999</v>
      </c>
      <c r="AD4368">
        <v>-1.1134947465779901</v>
      </c>
      <c r="AE4368">
        <v>-46.594999999999999</v>
      </c>
      <c r="AF4368">
        <v>-4.5017153649086499</v>
      </c>
      <c r="AG4368">
        <v>-1.1134947465779901</v>
      </c>
      <c r="AH4368">
        <v>46.477800397568103</v>
      </c>
      <c r="AI4368">
        <v>91.366014485552199</v>
      </c>
      <c r="AJ4368">
        <v>95.532258936499204</v>
      </c>
      <c r="AK4368">
        <v>46.708577815787699</v>
      </c>
      <c r="AL4368">
        <v>91.022247651324903</v>
      </c>
      <c r="AM4368">
        <v>96.366245225418098</v>
      </c>
      <c r="AN4368">
        <v>0.99999995857014401</v>
      </c>
    </row>
    <row r="4369" spans="1:40" x14ac:dyDescent="0.25">
      <c r="A4369" t="str">
        <f>"20190312150740461"</f>
        <v>20190312150740461</v>
      </c>
      <c r="B4369" t="str">
        <f>"1552374460454449"</f>
        <v>1552374460454449</v>
      </c>
      <c r="C4369" t="s">
        <v>40</v>
      </c>
      <c r="D4369">
        <v>4.5848570000000004</v>
      </c>
      <c r="E4369">
        <v>0.50532429999999995</v>
      </c>
      <c r="F4369" t="s">
        <v>61</v>
      </c>
      <c r="G4369">
        <v>-490.15449999999998</v>
      </c>
      <c r="H4369" s="1">
        <v>3.3280250000000002E-6</v>
      </c>
      <c r="I4369">
        <v>215.68</v>
      </c>
      <c r="J4369">
        <v>-493.52269999999999</v>
      </c>
      <c r="K4369">
        <v>1.11337</v>
      </c>
      <c r="L4369">
        <v>260.14550000000003</v>
      </c>
      <c r="M4369">
        <v>-1.7819580000000002E-2</v>
      </c>
      <c r="N4369">
        <v>0</v>
      </c>
      <c r="O4369">
        <v>-0.99974549999999995</v>
      </c>
      <c r="P4369">
        <v>8.6704890000000007E-2</v>
      </c>
      <c r="Q4369">
        <v>-3.0382590000000001E-2</v>
      </c>
      <c r="R4369">
        <v>-0.99577090000000001</v>
      </c>
      <c r="S4369">
        <v>0.2260132</v>
      </c>
      <c r="T4369">
        <v>-7.465637E-2</v>
      </c>
      <c r="U4369">
        <v>-2.9907840000000001</v>
      </c>
      <c r="V4369">
        <v>-0.1043176</v>
      </c>
      <c r="W4369">
        <v>-1.7360540000000001E-2</v>
      </c>
      <c r="X4369">
        <v>0.99439250000000001</v>
      </c>
      <c r="Y4369">
        <v>-9.309038E-2</v>
      </c>
      <c r="Z4369">
        <v>2.485882E-2</v>
      </c>
      <c r="AA4369">
        <v>0.99534730000000005</v>
      </c>
      <c r="AB4369">
        <v>18</v>
      </c>
      <c r="AC4369">
        <v>3.3681999999999999</v>
      </c>
      <c r="AD4369">
        <v>-1.1133666719749999</v>
      </c>
      <c r="AE4369">
        <v>-44.465499999999999</v>
      </c>
      <c r="AF4369">
        <v>-4.1575058026990304</v>
      </c>
      <c r="AG4369">
        <v>-1.1133666719749999</v>
      </c>
      <c r="AH4369">
        <v>44.370753346437297</v>
      </c>
      <c r="AI4369">
        <v>91.431118456011902</v>
      </c>
      <c r="AJ4369">
        <v>95.352941952273895</v>
      </c>
      <c r="AK4369">
        <v>44.579010670674599</v>
      </c>
      <c r="AL4369">
        <v>90.994735646238198</v>
      </c>
      <c r="AM4369">
        <v>95.988757868494304</v>
      </c>
      <c r="AN4369">
        <v>0.99999999703755005</v>
      </c>
    </row>
    <row r="4370" spans="1:40" x14ac:dyDescent="0.25">
      <c r="A4370" t="str">
        <f>"20190312150740476"</f>
        <v>20190312150740476</v>
      </c>
      <c r="B4370" t="str">
        <f>"1552374460464208"</f>
        <v>1552374460464208</v>
      </c>
      <c r="C4370" t="s">
        <v>40</v>
      </c>
      <c r="D4370">
        <v>4.7449479999999999</v>
      </c>
      <c r="E4370">
        <v>0.50547339999999996</v>
      </c>
      <c r="F4370" t="s">
        <v>61</v>
      </c>
      <c r="G4370">
        <v>-490.26209999999998</v>
      </c>
      <c r="H4370" s="1">
        <v>3.2897570000000001E-6</v>
      </c>
      <c r="I4370">
        <v>215.2414</v>
      </c>
      <c r="J4370">
        <v>-493.52</v>
      </c>
      <c r="K4370">
        <v>1.113251</v>
      </c>
      <c r="L4370">
        <v>260.02949999999998</v>
      </c>
      <c r="M4370">
        <v>-1.387213E-2</v>
      </c>
      <c r="N4370">
        <v>0</v>
      </c>
      <c r="O4370">
        <v>-0.99980849999999999</v>
      </c>
      <c r="P4370">
        <v>8.8081800000000002E-2</v>
      </c>
      <c r="Q4370">
        <v>-2.9583760000000001E-2</v>
      </c>
      <c r="R4370">
        <v>-0.99567399999999995</v>
      </c>
      <c r="S4370">
        <v>0.2172241</v>
      </c>
      <c r="T4370">
        <v>-7.4174169999999998E-2</v>
      </c>
      <c r="U4370">
        <v>-2.9915769999999999</v>
      </c>
      <c r="V4370">
        <v>-0.1017771</v>
      </c>
      <c r="W4370">
        <v>-1.653336E-2</v>
      </c>
      <c r="X4370">
        <v>0.9946699</v>
      </c>
      <c r="Y4370">
        <v>-8.6229180000000002E-2</v>
      </c>
      <c r="Z4370">
        <v>2.4704480000000001E-2</v>
      </c>
      <c r="AA4370">
        <v>0.99596899999999999</v>
      </c>
      <c r="AB4370">
        <v>18</v>
      </c>
      <c r="AC4370">
        <v>3.2578999999999998</v>
      </c>
      <c r="AD4370">
        <v>-1.1132477102429901</v>
      </c>
      <c r="AE4370">
        <v>-44.788099999999901</v>
      </c>
      <c r="AF4370">
        <v>-3.8765696019596998</v>
      </c>
      <c r="AG4370">
        <v>-1.1132477102429901</v>
      </c>
      <c r="AH4370">
        <v>44.711113431265098</v>
      </c>
      <c r="AI4370">
        <v>91.420965848858401</v>
      </c>
      <c r="AJ4370">
        <v>94.955300720310206</v>
      </c>
      <c r="AK4370">
        <v>44.892658382041198</v>
      </c>
      <c r="AL4370">
        <v>90.947334845487902</v>
      </c>
      <c r="AM4370">
        <v>95.842313926513199</v>
      </c>
      <c r="AN4370">
        <v>1.00000007002165</v>
      </c>
    </row>
    <row r="4371" spans="1:40" x14ac:dyDescent="0.25">
      <c r="A4371" t="str">
        <f>"20190312150740496"</f>
        <v>20190312150740496</v>
      </c>
      <c r="B4371" t="str">
        <f>"1552374460484704"</f>
        <v>1552374460484704</v>
      </c>
      <c r="C4371" t="s">
        <v>40</v>
      </c>
      <c r="D4371">
        <v>4.7948620000000002</v>
      </c>
      <c r="E4371">
        <v>0.50563349999999996</v>
      </c>
      <c r="F4371" t="s">
        <v>61</v>
      </c>
      <c r="G4371">
        <v>-490.16410000000002</v>
      </c>
      <c r="H4371" s="1">
        <v>3.2769560000000002E-6</v>
      </c>
      <c r="I4371">
        <v>214.5506</v>
      </c>
      <c r="J4371">
        <v>-493.51580000000001</v>
      </c>
      <c r="K4371">
        <v>1.1130709999999999</v>
      </c>
      <c r="L4371">
        <v>259.87009999999998</v>
      </c>
      <c r="M4371">
        <v>-8.6744730000000003E-3</v>
      </c>
      <c r="N4371">
        <v>0</v>
      </c>
      <c r="O4371">
        <v>-0.99986750000000002</v>
      </c>
      <c r="P4371">
        <v>8.8876810000000001E-2</v>
      </c>
      <c r="Q4371">
        <v>-2.8563330000000001E-2</v>
      </c>
      <c r="R4371">
        <v>-0.99563310000000005</v>
      </c>
      <c r="S4371">
        <v>0.2207336</v>
      </c>
      <c r="T4371">
        <v>-7.3223590000000005E-2</v>
      </c>
      <c r="U4371">
        <v>-2.9913639999999999</v>
      </c>
      <c r="V4371">
        <v>-9.7414290000000001E-2</v>
      </c>
      <c r="W4371">
        <v>-1.5468350000000001E-2</v>
      </c>
      <c r="X4371">
        <v>0.99512370000000006</v>
      </c>
      <c r="Y4371">
        <v>-8.221734E-2</v>
      </c>
      <c r="Z4371">
        <v>2.439506E-2</v>
      </c>
      <c r="AA4371">
        <v>0.99631579999999997</v>
      </c>
      <c r="AB4371">
        <v>18</v>
      </c>
      <c r="AC4371">
        <v>3.3516999999999899</v>
      </c>
      <c r="AD4371">
        <v>-1.11306772304399</v>
      </c>
      <c r="AE4371">
        <v>-45.319499999999898</v>
      </c>
      <c r="AF4371">
        <v>-3.7424887021976101</v>
      </c>
      <c r="AG4371">
        <v>-1.11306772304399</v>
      </c>
      <c r="AH4371">
        <v>45.261563605031697</v>
      </c>
      <c r="AI4371">
        <v>91.403938767604103</v>
      </c>
      <c r="AJ4371">
        <v>94.726794796185203</v>
      </c>
      <c r="AK4371">
        <v>45.429663012336903</v>
      </c>
      <c r="AL4371">
        <v>90.886306521355905</v>
      </c>
      <c r="AM4371">
        <v>95.590964193347304</v>
      </c>
      <c r="AN4371">
        <v>0.99999999602480805</v>
      </c>
    </row>
    <row r="4372" spans="1:40" x14ac:dyDescent="0.25">
      <c r="A4372" t="str">
        <f>"20190312150740511"</f>
        <v>20190312150740511</v>
      </c>
      <c r="B4372" t="str">
        <f>"1552374460504224"</f>
        <v>1552374460504224</v>
      </c>
      <c r="C4372" t="s">
        <v>40</v>
      </c>
      <c r="D4372">
        <v>4.6028640000000003</v>
      </c>
      <c r="E4372">
        <v>0.5058899</v>
      </c>
      <c r="F4372" t="s">
        <v>61</v>
      </c>
      <c r="G4372">
        <v>-490.14789999999999</v>
      </c>
      <c r="H4372" s="1">
        <v>3.2738049999999998E-6</v>
      </c>
      <c r="I4372">
        <v>214.41300000000001</v>
      </c>
      <c r="J4372">
        <v>-493.51220000000001</v>
      </c>
      <c r="K4372">
        <v>1.1129249999999999</v>
      </c>
      <c r="L4372">
        <v>259.74450000000002</v>
      </c>
      <c r="M4372">
        <v>-4.7727799999999999E-3</v>
      </c>
      <c r="N4372">
        <v>0</v>
      </c>
      <c r="O4372">
        <v>-0.99989399999999995</v>
      </c>
      <c r="P4372">
        <v>9.0557120000000005E-2</v>
      </c>
      <c r="Q4372">
        <v>-2.8834519999999999E-2</v>
      </c>
      <c r="R4372">
        <v>-0.99547379999999996</v>
      </c>
      <c r="S4372">
        <v>0.2216187</v>
      </c>
      <c r="T4372">
        <v>-7.3243139999999998E-2</v>
      </c>
      <c r="U4372">
        <v>-2.9912109999999998</v>
      </c>
      <c r="V4372">
        <v>-9.5215279999999999E-2</v>
      </c>
      <c r="W4372">
        <v>-1.5715590000000002E-2</v>
      </c>
      <c r="X4372">
        <v>0.99533269999999996</v>
      </c>
      <c r="Y4372">
        <v>-7.8624760000000002E-2</v>
      </c>
      <c r="Z4372">
        <v>2.440705E-2</v>
      </c>
      <c r="AA4372">
        <v>0.99660550000000003</v>
      </c>
      <c r="AB4372">
        <v>18</v>
      </c>
      <c r="AC4372">
        <v>3.3643000000000098</v>
      </c>
      <c r="AD4372">
        <v>-1.112921726195</v>
      </c>
      <c r="AE4372">
        <v>-45.331499999999998</v>
      </c>
      <c r="AF4372">
        <v>-3.5784943400318401</v>
      </c>
      <c r="AG4372">
        <v>-1.112921726195</v>
      </c>
      <c r="AH4372">
        <v>45.287777833106801</v>
      </c>
      <c r="AI4372">
        <v>91.403355839698193</v>
      </c>
      <c r="AJ4372">
        <v>94.517940745796906</v>
      </c>
      <c r="AK4372">
        <v>45.442568562649697</v>
      </c>
      <c r="AL4372">
        <v>90.900473997748193</v>
      </c>
      <c r="AM4372">
        <v>95.464387197063303</v>
      </c>
      <c r="AN4372">
        <v>1.0000000565019</v>
      </c>
    </row>
    <row r="4373" spans="1:40" x14ac:dyDescent="0.25">
      <c r="A4373" t="str">
        <f>"20190312150740528"</f>
        <v>20190312150740528</v>
      </c>
      <c r="B4373" t="str">
        <f>"1552374460524318"</f>
        <v>1552374460524318</v>
      </c>
      <c r="C4373" t="s">
        <v>40</v>
      </c>
      <c r="D4373">
        <v>4.6259810000000003</v>
      </c>
      <c r="E4373">
        <v>0.50616660000000002</v>
      </c>
      <c r="F4373" t="s">
        <v>61</v>
      </c>
      <c r="G4373">
        <v>-490.22649999999999</v>
      </c>
      <c r="H4373" s="1">
        <v>3.3288389999999998E-6</v>
      </c>
      <c r="I4373">
        <v>215.99100000000001</v>
      </c>
      <c r="J4373">
        <v>-493.50819999999999</v>
      </c>
      <c r="K4373">
        <v>1.112762</v>
      </c>
      <c r="L4373">
        <v>259.61340000000001</v>
      </c>
      <c r="M4373">
        <v>-8.6849529999999896E-4</v>
      </c>
      <c r="N4373">
        <v>0</v>
      </c>
      <c r="O4373">
        <v>-0.9999055</v>
      </c>
      <c r="P4373">
        <v>8.8539140000000002E-2</v>
      </c>
      <c r="Q4373">
        <v>-3.0331779999999999E-2</v>
      </c>
      <c r="R4373">
        <v>-0.99561089999999997</v>
      </c>
      <c r="S4373">
        <v>0.22460939999999999</v>
      </c>
      <c r="T4373">
        <v>-7.6078770000000004E-2</v>
      </c>
      <c r="U4373">
        <v>-2.9909669999999999</v>
      </c>
      <c r="V4373">
        <v>-8.9308310000000002E-2</v>
      </c>
      <c r="W4373">
        <v>-1.716399E-2</v>
      </c>
      <c r="X4373">
        <v>0.99585610000000002</v>
      </c>
      <c r="Y4373">
        <v>-7.5727089999999997E-2</v>
      </c>
      <c r="Z4373">
        <v>2.5355760000000001E-2</v>
      </c>
      <c r="AA4373">
        <v>0.99680610000000003</v>
      </c>
      <c r="AB4373">
        <v>18</v>
      </c>
      <c r="AC4373">
        <v>3.2816999999999998</v>
      </c>
      <c r="AD4373">
        <v>-1.112758671161</v>
      </c>
      <c r="AE4373">
        <v>-43.622399999999999</v>
      </c>
      <c r="AF4373">
        <v>-3.3174416564802001</v>
      </c>
      <c r="AG4373">
        <v>-1.112758671161</v>
      </c>
      <c r="AH4373">
        <v>43.591327753055701</v>
      </c>
      <c r="AI4373">
        <v>91.458061134609693</v>
      </c>
      <c r="AJ4373">
        <v>94.352006049622702</v>
      </c>
      <c r="AK4373">
        <v>43.7315390339594</v>
      </c>
      <c r="AL4373">
        <v>90.983472504784203</v>
      </c>
      <c r="AM4373">
        <v>95.124572994213594</v>
      </c>
      <c r="AN4373">
        <v>0.99999997434749199</v>
      </c>
    </row>
    <row r="4374" spans="1:40" x14ac:dyDescent="0.25">
      <c r="A4374" t="str">
        <f>"20190312150740538"</f>
        <v>20190312150740538</v>
      </c>
      <c r="B4374" t="str">
        <f>"1552374460534079"</f>
        <v>1552374460534079</v>
      </c>
      <c r="C4374" t="s">
        <v>40</v>
      </c>
      <c r="D4374">
        <v>4.6171989999999896</v>
      </c>
      <c r="E4374">
        <v>0.50630609999999998</v>
      </c>
      <c r="F4374" t="s">
        <v>61</v>
      </c>
      <c r="G4374">
        <v>-490.6918</v>
      </c>
      <c r="H4374" s="1">
        <v>3.7328399999999999E-6</v>
      </c>
      <c r="I4374">
        <v>220.67529999999999</v>
      </c>
      <c r="J4374">
        <v>-493.5052</v>
      </c>
      <c r="K4374">
        <v>1.1126499999999999</v>
      </c>
      <c r="L4374">
        <v>259.52359999999999</v>
      </c>
      <c r="M4374">
        <v>1.6844479999999901E-3</v>
      </c>
      <c r="N4374">
        <v>0</v>
      </c>
      <c r="O4374">
        <v>-0.99990480000000004</v>
      </c>
      <c r="P4374">
        <v>8.7869569999999994E-2</v>
      </c>
      <c r="Q4374">
        <v>-3.1184730000000001E-2</v>
      </c>
      <c r="R4374">
        <v>-0.99564370000000002</v>
      </c>
      <c r="S4374">
        <v>0.2163696</v>
      </c>
      <c r="T4374">
        <v>-8.5486889999999996E-2</v>
      </c>
      <c r="U4374">
        <v>-2.9913940000000001</v>
      </c>
      <c r="V4374">
        <v>-8.6096519999999996E-2</v>
      </c>
      <c r="W4374">
        <v>-1.7990949999999999E-2</v>
      </c>
      <c r="X4374">
        <v>0.99612429999999996</v>
      </c>
      <c r="Y4374">
        <v>-7.0432620000000001E-2</v>
      </c>
      <c r="Z4374">
        <v>2.8493230000000001E-2</v>
      </c>
      <c r="AA4374">
        <v>0.99710949999999998</v>
      </c>
      <c r="AB4374">
        <v>18</v>
      </c>
      <c r="AC4374">
        <v>2.8134000000000001</v>
      </c>
      <c r="AD4374">
        <v>-1.1126462671599999</v>
      </c>
      <c r="AE4374">
        <v>-38.848300000000002</v>
      </c>
      <c r="AF4374">
        <v>-2.7457113862074398</v>
      </c>
      <c r="AG4374">
        <v>-1.1126462671599999</v>
      </c>
      <c r="AH4374">
        <v>38.821305559509199</v>
      </c>
      <c r="AI4374">
        <v>91.637599897516594</v>
      </c>
      <c r="AJ4374">
        <v>94.045617215751903</v>
      </c>
      <c r="AK4374">
        <v>38.934183927198902</v>
      </c>
      <c r="AL4374">
        <v>91.030861168480499</v>
      </c>
      <c r="AM4374">
        <v>94.939883747123005</v>
      </c>
      <c r="AN4374">
        <v>0.99999995304425005</v>
      </c>
    </row>
    <row r="4375" spans="1:40" x14ac:dyDescent="0.25">
      <c r="A4375" t="str">
        <f>"20190312150740550"</f>
        <v>20190312150740550</v>
      </c>
      <c r="B4375" t="str">
        <f>"1552374460544813"</f>
        <v>1552374460544813</v>
      </c>
      <c r="C4375" t="s">
        <v>40</v>
      </c>
      <c r="D4375">
        <v>4.5938809999999997</v>
      </c>
      <c r="E4375">
        <v>0.50638559999999999</v>
      </c>
      <c r="F4375" t="s">
        <v>61</v>
      </c>
      <c r="G4375">
        <v>-490.85899999999998</v>
      </c>
      <c r="H4375" s="1">
        <v>4.2519160000000003E-6</v>
      </c>
      <c r="I4375">
        <v>222.44669999999999</v>
      </c>
      <c r="J4375">
        <v>-493.50220000000002</v>
      </c>
      <c r="K4375">
        <v>1.1125419999999999</v>
      </c>
      <c r="L4375">
        <v>259.43459999999999</v>
      </c>
      <c r="M4375">
        <v>4.1375919999999998E-3</v>
      </c>
      <c r="N4375">
        <v>0</v>
      </c>
      <c r="O4375">
        <v>-0.9998977</v>
      </c>
      <c r="P4375">
        <v>8.6770879999999995E-2</v>
      </c>
      <c r="Q4375">
        <v>-3.2092750000000003E-2</v>
      </c>
      <c r="R4375">
        <v>-0.99571109999999896</v>
      </c>
      <c r="S4375">
        <v>0.213501</v>
      </c>
      <c r="T4375">
        <v>-8.9769009999999996E-2</v>
      </c>
      <c r="U4375">
        <v>-2.9913940000000001</v>
      </c>
      <c r="V4375">
        <v>-8.2554059999999999E-2</v>
      </c>
      <c r="W4375">
        <v>-1.8872659999999999E-2</v>
      </c>
      <c r="X4375">
        <v>0.99640790000000001</v>
      </c>
      <c r="Y4375">
        <v>-6.7030679999999995E-2</v>
      </c>
      <c r="Z4375">
        <v>2.9923450000000001E-2</v>
      </c>
      <c r="AA4375">
        <v>0.99730209999999997</v>
      </c>
      <c r="AB4375">
        <v>18</v>
      </c>
      <c r="AC4375">
        <v>2.6431999999999798</v>
      </c>
      <c r="AD4375">
        <v>-1.112537748084</v>
      </c>
      <c r="AE4375">
        <v>-36.987900000000003</v>
      </c>
      <c r="AF4375">
        <v>-2.48788280329136</v>
      </c>
      <c r="AG4375">
        <v>-1.112537748084</v>
      </c>
      <c r="AH4375">
        <v>36.965247863960997</v>
      </c>
      <c r="AI4375">
        <v>91.720013590857803</v>
      </c>
      <c r="AJ4375">
        <v>93.850387737579197</v>
      </c>
      <c r="AK4375">
        <v>37.0655750087315</v>
      </c>
      <c r="AL4375">
        <v>91.081387938149106</v>
      </c>
      <c r="AM4375">
        <v>94.736233734919793</v>
      </c>
      <c r="AN4375">
        <v>1.0000000266501801</v>
      </c>
    </row>
    <row r="4376" spans="1:40" x14ac:dyDescent="0.25">
      <c r="A4376" t="str">
        <f>"20190312150740562"</f>
        <v>20190312150740562</v>
      </c>
      <c r="B4376" t="str">
        <f>"1552374460554573"</f>
        <v>1552374460554573</v>
      </c>
      <c r="C4376" t="s">
        <v>40</v>
      </c>
      <c r="D4376">
        <v>4.6162710000000002</v>
      </c>
      <c r="E4376">
        <v>0.50645580000000001</v>
      </c>
      <c r="F4376" t="s">
        <v>61</v>
      </c>
      <c r="G4376">
        <v>-491.0403</v>
      </c>
      <c r="H4376" s="1">
        <v>4.7717829999999999E-6</v>
      </c>
      <c r="I4376">
        <v>224.2902</v>
      </c>
      <c r="J4376">
        <v>-493.49849999999998</v>
      </c>
      <c r="K4376">
        <v>1.1124160000000001</v>
      </c>
      <c r="L4376">
        <v>259.33199999999999</v>
      </c>
      <c r="M4376">
        <v>6.8812750000000001E-3</v>
      </c>
      <c r="N4376">
        <v>0</v>
      </c>
      <c r="O4376">
        <v>-0.99988279999999996</v>
      </c>
      <c r="P4376">
        <v>8.6120349999999998E-2</v>
      </c>
      <c r="Q4376">
        <v>-3.29085E-2</v>
      </c>
      <c r="R4376">
        <v>-0.99574099999999999</v>
      </c>
      <c r="S4376">
        <v>0.20956420000000001</v>
      </c>
      <c r="T4376">
        <v>-9.4701770000000005E-2</v>
      </c>
      <c r="U4376">
        <v>-2.9915769999999999</v>
      </c>
      <c r="V4376">
        <v>-7.9171409999999998E-2</v>
      </c>
      <c r="W4376">
        <v>-1.966441E-2</v>
      </c>
      <c r="X4376">
        <v>0.99666699999999997</v>
      </c>
      <c r="Y4376">
        <v>-6.2978590000000001E-2</v>
      </c>
      <c r="Z4376">
        <v>3.1569119999999999E-2</v>
      </c>
      <c r="AA4376">
        <v>0.99751540000000005</v>
      </c>
      <c r="AB4376">
        <v>18</v>
      </c>
      <c r="AC4376">
        <v>2.45819999999997</v>
      </c>
      <c r="AD4376">
        <v>-1.112411228217</v>
      </c>
      <c r="AE4376">
        <v>-35.041799999999903</v>
      </c>
      <c r="AF4376">
        <v>-2.2147659459328701</v>
      </c>
      <c r="AG4376">
        <v>-1.112411228217</v>
      </c>
      <c r="AH4376">
        <v>35.022765549029998</v>
      </c>
      <c r="AI4376">
        <v>91.815622308985496</v>
      </c>
      <c r="AJ4376">
        <v>93.618446155312697</v>
      </c>
      <c r="AK4376">
        <v>35.110351089646599</v>
      </c>
      <c r="AL4376">
        <v>91.126760375884402</v>
      </c>
      <c r="AM4376">
        <v>94.541820225955803</v>
      </c>
      <c r="AN4376">
        <v>0.99999995503551697</v>
      </c>
    </row>
    <row r="4377" spans="1:40" x14ac:dyDescent="0.25">
      <c r="A4377" t="str">
        <f>"20190312150740574"</f>
        <v>20190312150740574</v>
      </c>
      <c r="B4377" t="str">
        <f>"1552374460564332"</f>
        <v>1552374460564332</v>
      </c>
      <c r="C4377" t="s">
        <v>40</v>
      </c>
      <c r="D4377">
        <v>4.7810959999999998</v>
      </c>
      <c r="E4377">
        <v>0.50653870000000001</v>
      </c>
      <c r="F4377" t="s">
        <v>61</v>
      </c>
      <c r="G4377">
        <v>-491.14490000000001</v>
      </c>
      <c r="H4377" s="1">
        <v>5.0328780000000004E-6</v>
      </c>
      <c r="I4377">
        <v>225.3013</v>
      </c>
      <c r="J4377">
        <v>-493.49529999999999</v>
      </c>
      <c r="K4377">
        <v>1.112317</v>
      </c>
      <c r="L4377">
        <v>259.24590000000001</v>
      </c>
      <c r="M4377">
        <v>9.0411080000000008E-3</v>
      </c>
      <c r="N4377">
        <v>0</v>
      </c>
      <c r="O4377">
        <v>-0.99986589999999997</v>
      </c>
      <c r="P4377">
        <v>8.4656869999999995E-2</v>
      </c>
      <c r="Q4377">
        <v>-3.3559119999999998E-2</v>
      </c>
      <c r="R4377">
        <v>-0.99584470000000003</v>
      </c>
      <c r="S4377">
        <v>0.20690919999999999</v>
      </c>
      <c r="T4377">
        <v>-9.7793939999999996E-2</v>
      </c>
      <c r="U4377">
        <v>-2.9916990000000001</v>
      </c>
      <c r="V4377">
        <v>-7.5556170000000006E-2</v>
      </c>
      <c r="W4377">
        <v>-2.029189E-2</v>
      </c>
      <c r="X4377">
        <v>0.99693509999999996</v>
      </c>
      <c r="Y4377">
        <v>-5.9936379999999997E-2</v>
      </c>
      <c r="Z4377">
        <v>3.2600709999999998E-2</v>
      </c>
      <c r="AA4377">
        <v>0.99766969999999999</v>
      </c>
      <c r="AB4377">
        <v>18</v>
      </c>
      <c r="AC4377">
        <v>2.3503999999999698</v>
      </c>
      <c r="AD4377">
        <v>-1.1123119671220001</v>
      </c>
      <c r="AE4377">
        <v>-33.944600000000001</v>
      </c>
      <c r="AF4377">
        <v>-2.0411971889284199</v>
      </c>
      <c r="AG4377">
        <v>-1.1123119671220001</v>
      </c>
      <c r="AH4377">
        <v>33.928207267728098</v>
      </c>
      <c r="AI4377">
        <v>91.874341941899402</v>
      </c>
      <c r="AJ4377">
        <v>93.442893000142604</v>
      </c>
      <c r="AK4377">
        <v>34.007748709348697</v>
      </c>
      <c r="AL4377">
        <v>91.162719406484698</v>
      </c>
      <c r="AM4377">
        <v>94.334073078104296</v>
      </c>
      <c r="AN4377">
        <v>1.0000000446184201</v>
      </c>
    </row>
    <row r="4378" spans="1:40" x14ac:dyDescent="0.25">
      <c r="A4378" t="str">
        <f>"20190312150740585"</f>
        <v>20190312150740585</v>
      </c>
      <c r="B4378" t="str">
        <f>"1552374460574094"</f>
        <v>1552374460574094</v>
      </c>
      <c r="C4378" t="s">
        <v>40</v>
      </c>
      <c r="D4378">
        <v>4.815321</v>
      </c>
      <c r="E4378">
        <v>0.50667390000000001</v>
      </c>
      <c r="F4378" t="s">
        <v>61</v>
      </c>
      <c r="G4378">
        <v>-491.25839999999999</v>
      </c>
      <c r="H4378" s="1">
        <v>5.2512300000000002E-6</v>
      </c>
      <c r="I4378">
        <v>226.0874</v>
      </c>
      <c r="J4378">
        <v>-493.49180000000001</v>
      </c>
      <c r="K4378">
        <v>1.112206</v>
      </c>
      <c r="L4378">
        <v>259.15159999999997</v>
      </c>
      <c r="M4378">
        <v>1.1362229999999999E-2</v>
      </c>
      <c r="N4378">
        <v>0</v>
      </c>
      <c r="O4378">
        <v>-0.99984229999999996</v>
      </c>
      <c r="P4378">
        <v>8.3470840000000004E-2</v>
      </c>
      <c r="Q4378">
        <v>-3.3976329999999999E-2</v>
      </c>
      <c r="R4378">
        <v>-0.9959308</v>
      </c>
      <c r="S4378">
        <v>0.2018433</v>
      </c>
      <c r="T4378">
        <v>-0.1003674</v>
      </c>
      <c r="U4378">
        <v>-2.9920040000000001</v>
      </c>
      <c r="V4378">
        <v>-7.2059209999999999E-2</v>
      </c>
      <c r="W4378">
        <v>-2.0687779999999999E-2</v>
      </c>
      <c r="X4378">
        <v>0.99718580000000001</v>
      </c>
      <c r="Y4378">
        <v>-5.5928350000000002E-2</v>
      </c>
      <c r="Z4378">
        <v>3.3458889999999998E-2</v>
      </c>
      <c r="AA4378">
        <v>0.99787400000000004</v>
      </c>
      <c r="AB4378">
        <v>18</v>
      </c>
      <c r="AC4378">
        <v>2.2334000000000098</v>
      </c>
      <c r="AD4378">
        <v>-1.1122007487700001</v>
      </c>
      <c r="AE4378">
        <v>-33.0641999999999</v>
      </c>
      <c r="AF4378">
        <v>-1.85544787858411</v>
      </c>
      <c r="AG4378">
        <v>-1.1122007487700001</v>
      </c>
      <c r="AH4378">
        <v>33.0502178955362</v>
      </c>
      <c r="AI4378">
        <v>91.9243534020449</v>
      </c>
      <c r="AJ4378">
        <v>93.213227142569707</v>
      </c>
      <c r="AK4378">
        <v>33.1209386986258</v>
      </c>
      <c r="AL4378">
        <v>91.185407027691298</v>
      </c>
      <c r="AM4378">
        <v>94.133156064023893</v>
      </c>
      <c r="AN4378">
        <v>1.0000000168543901</v>
      </c>
    </row>
    <row r="4379" spans="1:40" x14ac:dyDescent="0.25">
      <c r="A4379" t="str">
        <f>"20190312150740597"</f>
        <v>20190312150740597</v>
      </c>
      <c r="B4379" t="str">
        <f>"1552374460583853"</f>
        <v>1552374460583853</v>
      </c>
      <c r="C4379" t="s">
        <v>40</v>
      </c>
      <c r="D4379">
        <v>4.6369109999999996</v>
      </c>
      <c r="E4379">
        <v>0.50678619999999996</v>
      </c>
      <c r="F4379" t="s">
        <v>61</v>
      </c>
      <c r="G4379">
        <v>-491.33580000000001</v>
      </c>
      <c r="H4379" s="1">
        <v>5.3395920000000003E-6</v>
      </c>
      <c r="I4379">
        <v>226.428</v>
      </c>
      <c r="J4379">
        <v>-493.48809999999997</v>
      </c>
      <c r="K4379">
        <v>1.112093</v>
      </c>
      <c r="L4379">
        <v>259.0582</v>
      </c>
      <c r="M4379">
        <v>1.348033E-2</v>
      </c>
      <c r="N4379">
        <v>0</v>
      </c>
      <c r="O4379">
        <v>-0.99981629999999999</v>
      </c>
      <c r="P4379">
        <v>8.1836080000000005E-2</v>
      </c>
      <c r="Q4379">
        <v>-3.476129E-2</v>
      </c>
      <c r="R4379">
        <v>-0.99603949999999997</v>
      </c>
      <c r="S4379">
        <v>0.1971436</v>
      </c>
      <c r="T4379">
        <v>-0.1017005</v>
      </c>
      <c r="U4379">
        <v>-2.9922789999999999</v>
      </c>
      <c r="V4379">
        <v>-6.8313550000000001E-2</v>
      </c>
      <c r="W4379">
        <v>-2.1451890000000001E-2</v>
      </c>
      <c r="X4379">
        <v>0.99743320000000002</v>
      </c>
      <c r="Y4379">
        <v>-5.2245359999999998E-2</v>
      </c>
      <c r="Z4379">
        <v>3.3903509999999998E-2</v>
      </c>
      <c r="AA4379">
        <v>0.99805860000000002</v>
      </c>
      <c r="AB4379">
        <v>18</v>
      </c>
      <c r="AC4379">
        <v>2.1522999999999599</v>
      </c>
      <c r="AD4379">
        <v>-1.1120876604079999</v>
      </c>
      <c r="AE4379">
        <v>-32.630200000000002</v>
      </c>
      <c r="AF4379">
        <v>-1.71021979461467</v>
      </c>
      <c r="AG4379">
        <v>-1.1120876604079999</v>
      </c>
      <c r="AH4379">
        <v>32.618526974530397</v>
      </c>
      <c r="AI4379">
        <v>91.949994846081495</v>
      </c>
      <c r="AJ4379">
        <v>93.001322961437495</v>
      </c>
      <c r="AK4379">
        <v>32.682256542327302</v>
      </c>
      <c r="AL4379">
        <v>91.229197101304294</v>
      </c>
      <c r="AM4379">
        <v>93.918032029785294</v>
      </c>
      <c r="AN4379">
        <v>0.99999995658020602</v>
      </c>
    </row>
    <row r="4380" spans="1:40" x14ac:dyDescent="0.25">
      <c r="A4380" t="str">
        <f>"20190312150740609"</f>
        <v>20190312150740609</v>
      </c>
      <c r="B4380" t="str">
        <f>"1552374460604349"</f>
        <v>1552374460604349</v>
      </c>
      <c r="C4380" t="s">
        <v>40</v>
      </c>
      <c r="D4380">
        <v>4.654471</v>
      </c>
      <c r="E4380">
        <v>0.50701879999999999</v>
      </c>
      <c r="F4380" t="s">
        <v>61</v>
      </c>
      <c r="G4380">
        <v>-491.47089999999997</v>
      </c>
      <c r="H4380" s="1">
        <v>5.6625719999999999E-6</v>
      </c>
      <c r="I4380">
        <v>227.56729999999999</v>
      </c>
      <c r="J4380">
        <v>-493.48410000000001</v>
      </c>
      <c r="K4380">
        <v>1.1119749999999999</v>
      </c>
      <c r="L4380">
        <v>258.95979999999997</v>
      </c>
      <c r="M4380">
        <v>1.5630229999999998E-2</v>
      </c>
      <c r="N4380">
        <v>0</v>
      </c>
      <c r="O4380">
        <v>-0.99978529999999999</v>
      </c>
      <c r="P4380">
        <v>8.0190830000000005E-2</v>
      </c>
      <c r="Q4380">
        <v>-3.5743539999999997E-2</v>
      </c>
      <c r="R4380">
        <v>-0.99613890000000005</v>
      </c>
      <c r="S4380">
        <v>0.19168089999999999</v>
      </c>
      <c r="T4380">
        <v>-0.1056786</v>
      </c>
      <c r="U4380">
        <v>-2.9924930000000001</v>
      </c>
      <c r="V4380">
        <v>-6.4524899999999996E-2</v>
      </c>
      <c r="W4380">
        <v>-2.2415000000000001E-2</v>
      </c>
      <c r="X4380">
        <v>0.99766429999999995</v>
      </c>
      <c r="Y4380">
        <v>-4.8275739999999998E-2</v>
      </c>
      <c r="Z4380">
        <v>3.5229469999999999E-2</v>
      </c>
      <c r="AA4380">
        <v>0.99821260000000001</v>
      </c>
      <c r="AB4380">
        <v>18</v>
      </c>
      <c r="AC4380">
        <v>2.0132000000000398</v>
      </c>
      <c r="AD4380">
        <v>-1.111969337428</v>
      </c>
      <c r="AE4380">
        <v>-31.392499999999899</v>
      </c>
      <c r="AF4380">
        <v>-1.52033689492589</v>
      </c>
      <c r="AG4380">
        <v>-1.111969337428</v>
      </c>
      <c r="AH4380">
        <v>31.380922261491701</v>
      </c>
      <c r="AI4380">
        <v>92.027026416730806</v>
      </c>
      <c r="AJ4380">
        <v>92.773686155785697</v>
      </c>
      <c r="AK4380">
        <v>31.437401006814099</v>
      </c>
      <c r="AL4380">
        <v>91.284392498294196</v>
      </c>
      <c r="AM4380">
        <v>93.700505781644907</v>
      </c>
      <c r="AN4380">
        <v>0.99999997521974904</v>
      </c>
    </row>
    <row r="4381" spans="1:40" x14ac:dyDescent="0.25">
      <c r="A4381" t="str">
        <f>"20190312150740621"</f>
        <v>20190312150740621</v>
      </c>
      <c r="B4381" t="str">
        <f>"1552374460614756"</f>
        <v>1552374460614756</v>
      </c>
      <c r="C4381" t="s">
        <v>40</v>
      </c>
      <c r="D4381">
        <v>4.6742410000000003</v>
      </c>
      <c r="E4381">
        <v>0.50709789999999999</v>
      </c>
      <c r="F4381" t="s">
        <v>61</v>
      </c>
      <c r="G4381">
        <v>-491.60109999999997</v>
      </c>
      <c r="H4381" s="1">
        <v>5.9047140000000004E-6</v>
      </c>
      <c r="I4381">
        <v>228.44210000000001</v>
      </c>
      <c r="J4381">
        <v>-493.48020000000002</v>
      </c>
      <c r="K4381">
        <v>1.111855</v>
      </c>
      <c r="L4381">
        <v>258.86250000000001</v>
      </c>
      <c r="M4381">
        <v>1.7640860000000001E-2</v>
      </c>
      <c r="N4381">
        <v>0</v>
      </c>
      <c r="O4381">
        <v>-0.99975210000000003</v>
      </c>
      <c r="P4381">
        <v>7.8199770000000002E-2</v>
      </c>
      <c r="Q4381">
        <v>-3.6536970000000002E-2</v>
      </c>
      <c r="R4381">
        <v>-0.9962683</v>
      </c>
      <c r="S4381">
        <v>0.18466189999999999</v>
      </c>
      <c r="T4381">
        <v>-0.1090493</v>
      </c>
      <c r="U4381">
        <v>-2.9928279999999998</v>
      </c>
      <c r="V4381">
        <v>-6.0530090000000002E-2</v>
      </c>
      <c r="W4381">
        <v>-2.3190430000000001E-2</v>
      </c>
      <c r="X4381">
        <v>0.99789700000000003</v>
      </c>
      <c r="Y4381">
        <v>-4.392505E-2</v>
      </c>
      <c r="Z4381">
        <v>3.6352130000000003E-2</v>
      </c>
      <c r="AA4381">
        <v>0.99837319999999996</v>
      </c>
      <c r="AB4381">
        <v>18</v>
      </c>
      <c r="AC4381">
        <v>1.87910000000005</v>
      </c>
      <c r="AD4381">
        <v>-1.1118490952860001</v>
      </c>
      <c r="AE4381">
        <v>-30.420400000000001</v>
      </c>
      <c r="AF4381">
        <v>-1.34033230131068</v>
      </c>
      <c r="AG4381">
        <v>-1.1118490952860001</v>
      </c>
      <c r="AH4381">
        <v>30.4083503681256</v>
      </c>
      <c r="AI4381">
        <v>92.091997163158396</v>
      </c>
      <c r="AJ4381">
        <v>92.523836610942794</v>
      </c>
      <c r="AK4381">
        <v>30.458175769394199</v>
      </c>
      <c r="AL4381">
        <v>91.328832815696003</v>
      </c>
      <c r="AM4381">
        <v>93.471174460669701</v>
      </c>
      <c r="AN4381">
        <v>1.00000005522399</v>
      </c>
    </row>
    <row r="4382" spans="1:40" x14ac:dyDescent="0.25">
      <c r="A4382" t="str">
        <f>"20190312150740632"</f>
        <v>20190312150740632</v>
      </c>
      <c r="B4382" t="str">
        <f>"1552374460624516"</f>
        <v>1552374460624516</v>
      </c>
      <c r="C4382" t="s">
        <v>40</v>
      </c>
      <c r="D4382">
        <v>4.6754619999999996</v>
      </c>
      <c r="E4382">
        <v>0.50709789999999999</v>
      </c>
      <c r="F4382" t="s">
        <v>61</v>
      </c>
      <c r="G4382">
        <v>-491.71749999999997</v>
      </c>
      <c r="H4382" s="1">
        <v>6.0811089999999997E-6</v>
      </c>
      <c r="I4382">
        <v>229.23859999999999</v>
      </c>
      <c r="J4382">
        <v>-493.47649999999999</v>
      </c>
      <c r="K4382">
        <v>1.111747</v>
      </c>
      <c r="L4382">
        <v>258.77359999999999</v>
      </c>
      <c r="M4382">
        <v>1.9351549999999999E-2</v>
      </c>
      <c r="N4382">
        <v>0</v>
      </c>
      <c r="O4382">
        <v>-0.99972070000000002</v>
      </c>
      <c r="P4382">
        <v>7.6209139999999995E-2</v>
      </c>
      <c r="Q4382">
        <v>-3.6994579999999999E-2</v>
      </c>
      <c r="R4382">
        <v>-0.99640569999999895</v>
      </c>
      <c r="S4382">
        <v>0.1781006</v>
      </c>
      <c r="T4382">
        <v>-0.11233849999999999</v>
      </c>
      <c r="U4382">
        <v>-2.993134</v>
      </c>
      <c r="V4382">
        <v>-5.6834240000000001E-2</v>
      </c>
      <c r="W4382">
        <v>-2.3633080000000001E-2</v>
      </c>
      <c r="X4382">
        <v>0.99810390000000004</v>
      </c>
      <c r="Y4382">
        <v>-4.0026039999999999E-2</v>
      </c>
      <c r="Z4382">
        <v>3.7447059999999997E-2</v>
      </c>
      <c r="AA4382">
        <v>0.99849670000000001</v>
      </c>
      <c r="AB4382">
        <v>18</v>
      </c>
      <c r="AC4382">
        <v>1.7590000000000101</v>
      </c>
      <c r="AD4382">
        <v>-1.1117409188909999</v>
      </c>
      <c r="AE4382">
        <v>-29.535</v>
      </c>
      <c r="AF4382">
        <v>-1.1853962923485899</v>
      </c>
      <c r="AG4382">
        <v>-1.1117409188909999</v>
      </c>
      <c r="AH4382">
        <v>29.521829739002399</v>
      </c>
      <c r="AI4382">
        <v>92.154905800315603</v>
      </c>
      <c r="AJ4382">
        <v>92.299374375068595</v>
      </c>
      <c r="AK4382">
        <v>29.5665277531755</v>
      </c>
      <c r="AL4382">
        <v>91.354201786693395</v>
      </c>
      <c r="AM4382">
        <v>93.259028867150704</v>
      </c>
      <c r="AN4382">
        <v>1.0000000242509299</v>
      </c>
    </row>
    <row r="4383" spans="1:40" x14ac:dyDescent="0.25">
      <c r="A4383" t="str">
        <f>"20190312150740651"</f>
        <v>20190312150740651</v>
      </c>
      <c r="B4383" t="str">
        <f>"1552374460644039"</f>
        <v>1552374460644039</v>
      </c>
      <c r="C4383" t="s">
        <v>40</v>
      </c>
      <c r="D4383">
        <v>4.6852229999999997</v>
      </c>
      <c r="E4383">
        <v>0.51985729999999997</v>
      </c>
      <c r="F4383" t="s">
        <v>61</v>
      </c>
      <c r="G4383">
        <v>-491.78820000000002</v>
      </c>
      <c r="H4383" s="1">
        <v>6.1210679999999997E-6</v>
      </c>
      <c r="I4383">
        <v>229.5044</v>
      </c>
      <c r="J4383">
        <v>-493.47030000000001</v>
      </c>
      <c r="K4383">
        <v>1.1115649999999999</v>
      </c>
      <c r="L4383">
        <v>258.62639999999999</v>
      </c>
      <c r="M4383">
        <v>2.2005340000000002E-2</v>
      </c>
      <c r="N4383">
        <v>0</v>
      </c>
      <c r="O4383">
        <v>-0.99966600000000005</v>
      </c>
      <c r="P4383">
        <v>7.23327E-2</v>
      </c>
      <c r="Q4383">
        <v>-3.7462280000000001E-2</v>
      </c>
      <c r="R4383">
        <v>-0.99667680000000003</v>
      </c>
      <c r="S4383">
        <v>0.1726685</v>
      </c>
      <c r="T4383">
        <v>-0.1137</v>
      </c>
      <c r="U4383">
        <v>-2.9934229999999999</v>
      </c>
      <c r="V4383">
        <v>-5.0312740000000002E-2</v>
      </c>
      <c r="W4383">
        <v>-2.407786E-2</v>
      </c>
      <c r="X4383">
        <v>0.99844319999999998</v>
      </c>
      <c r="Y4383">
        <v>-3.5560719999999997E-2</v>
      </c>
      <c r="Z4383">
        <v>3.7898660000000001E-2</v>
      </c>
      <c r="AA4383">
        <v>0.9986486</v>
      </c>
      <c r="AB4383">
        <v>18</v>
      </c>
      <c r="AC4383">
        <v>1.6820999999999899</v>
      </c>
      <c r="AD4383">
        <v>-1.1115588789319999</v>
      </c>
      <c r="AE4383">
        <v>-29.1219999999999</v>
      </c>
      <c r="AF4383">
        <v>-1.0392851694380001</v>
      </c>
      <c r="AG4383">
        <v>-1.1115588789319999</v>
      </c>
      <c r="AH4383">
        <v>29.109697289603801</v>
      </c>
      <c r="AI4383">
        <v>92.185395888664303</v>
      </c>
      <c r="AJ4383">
        <v>92.044726611071198</v>
      </c>
      <c r="AK4383">
        <v>29.149445159335599</v>
      </c>
      <c r="AL4383">
        <v>91.379693133169297</v>
      </c>
      <c r="AM4383">
        <v>92.884762373677802</v>
      </c>
      <c r="AN4383">
        <v>0.99999996938736302</v>
      </c>
    </row>
    <row r="4384" spans="1:40" x14ac:dyDescent="0.25">
      <c r="A4384" t="str">
        <f>"20190312150740663"</f>
        <v>20190312150740663</v>
      </c>
      <c r="B4384" t="str">
        <f>"1552374460654772"</f>
        <v>1552374460654772</v>
      </c>
      <c r="C4384" t="s">
        <v>40</v>
      </c>
      <c r="D4384">
        <v>4.7215309999999997</v>
      </c>
      <c r="E4384">
        <v>0.52090479999999995</v>
      </c>
      <c r="F4384" t="s">
        <v>42</v>
      </c>
      <c r="G4384">
        <v>-493.12220000000002</v>
      </c>
      <c r="H4384" s="1">
        <v>-1.6132949999999999E-6</v>
      </c>
      <c r="I4384">
        <v>241.41329999999999</v>
      </c>
      <c r="J4384">
        <v>-493.46609999999998</v>
      </c>
      <c r="K4384">
        <v>1.111442</v>
      </c>
      <c r="L4384">
        <v>258.52710000000002</v>
      </c>
      <c r="M4384">
        <v>2.367182E-2</v>
      </c>
      <c r="N4384">
        <v>0</v>
      </c>
      <c r="O4384">
        <v>-0.99962830000000003</v>
      </c>
      <c r="P4384">
        <v>7.1324570000000004E-2</v>
      </c>
      <c r="Q4384">
        <v>-3.7034150000000002E-2</v>
      </c>
      <c r="R4384">
        <v>-0.99676540000000002</v>
      </c>
      <c r="S4384">
        <v>6.063843E-2</v>
      </c>
      <c r="T4384">
        <v>-0.1936216</v>
      </c>
      <c r="U4384">
        <v>-2.9983219999999999</v>
      </c>
      <c r="V4384">
        <v>-4.7647389999999998E-2</v>
      </c>
      <c r="W4384">
        <v>-2.364198E-2</v>
      </c>
      <c r="X4384">
        <v>0.99858440000000004</v>
      </c>
      <c r="Y4384">
        <v>3.4968130000000001E-3</v>
      </c>
      <c r="Z4384">
        <v>6.4408649999999998E-2</v>
      </c>
      <c r="AA4384">
        <v>0.99791750000000001</v>
      </c>
      <c r="AB4384">
        <v>18</v>
      </c>
      <c r="AC4384">
        <v>0.34389999999996201</v>
      </c>
      <c r="AD4384">
        <v>-1.1114436132950001</v>
      </c>
      <c r="AE4384">
        <v>-17.113800000000001</v>
      </c>
      <c r="AF4384">
        <v>6.1090669668260301E-2</v>
      </c>
      <c r="AG4384">
        <v>-1.1114436132950001</v>
      </c>
      <c r="AH4384">
        <v>17.045281129306399</v>
      </c>
      <c r="AI4384">
        <v>93.730686417671194</v>
      </c>
      <c r="AJ4384">
        <v>89.794651521082002</v>
      </c>
      <c r="AK4384">
        <v>17.081587975142799</v>
      </c>
      <c r="AL4384">
        <v>91.354711880325695</v>
      </c>
      <c r="AM4384">
        <v>92.731792496418706</v>
      </c>
      <c r="AN4384">
        <v>1.00000001045774</v>
      </c>
    </row>
    <row r="4385" spans="1:40" x14ac:dyDescent="0.25">
      <c r="A4385" t="str">
        <f>"20190312150740676"</f>
        <v>20190312150740676</v>
      </c>
      <c r="B4385" t="str">
        <f>"1552374460664532"</f>
        <v>1552374460664532</v>
      </c>
      <c r="C4385" t="s">
        <v>40</v>
      </c>
      <c r="D4385">
        <v>4.6176820000000003</v>
      </c>
      <c r="E4385">
        <v>0.5217984</v>
      </c>
      <c r="F4385" t="s">
        <v>42</v>
      </c>
      <c r="G4385">
        <v>-493.19709999999998</v>
      </c>
      <c r="H4385" s="1">
        <v>-1.9263009999999999E-6</v>
      </c>
      <c r="I4385">
        <v>242.09649999999999</v>
      </c>
      <c r="J4385">
        <v>-493.4622</v>
      </c>
      <c r="K4385">
        <v>1.111335</v>
      </c>
      <c r="L4385">
        <v>258.43360000000001</v>
      </c>
      <c r="M4385">
        <v>2.507966E-2</v>
      </c>
      <c r="N4385">
        <v>0</v>
      </c>
      <c r="O4385">
        <v>-0.99959410000000004</v>
      </c>
      <c r="P4385">
        <v>7.0430199999999998E-2</v>
      </c>
      <c r="Q4385">
        <v>-3.6948500000000002E-2</v>
      </c>
      <c r="R4385">
        <v>-0.99683239999999995</v>
      </c>
      <c r="S4385">
        <v>4.9102779999999999E-2</v>
      </c>
      <c r="T4385">
        <v>-0.20284489999999999</v>
      </c>
      <c r="U4385">
        <v>-2.998688</v>
      </c>
      <c r="V4385">
        <v>-4.5351790000000003E-2</v>
      </c>
      <c r="W4385">
        <v>-2.3551260000000001E-2</v>
      </c>
      <c r="X4385">
        <v>0.99869339999999995</v>
      </c>
      <c r="Y4385">
        <v>8.7484780000000005E-3</v>
      </c>
      <c r="Z4385">
        <v>6.7452739999999997E-2</v>
      </c>
      <c r="AA4385">
        <v>0.99768409999999996</v>
      </c>
      <c r="AB4385">
        <v>18</v>
      </c>
      <c r="AC4385">
        <v>0.26510000000001799</v>
      </c>
      <c r="AD4385">
        <v>-1.111336926301</v>
      </c>
      <c r="AE4385">
        <v>-16.3371</v>
      </c>
      <c r="AF4385">
        <v>0.14408317515325</v>
      </c>
      <c r="AG4385">
        <v>-1.111336926301</v>
      </c>
      <c r="AH4385">
        <v>16.263371451131199</v>
      </c>
      <c r="AI4385">
        <v>93.909004681743198</v>
      </c>
      <c r="AJ4385">
        <v>89.492408945655896</v>
      </c>
      <c r="AK4385">
        <v>16.301934875424799</v>
      </c>
      <c r="AL4385">
        <v>91.349512604789695</v>
      </c>
      <c r="AM4385">
        <v>92.600079471143601</v>
      </c>
      <c r="AN4385">
        <v>0.99999997695367504</v>
      </c>
    </row>
    <row r="4386" spans="1:40" x14ac:dyDescent="0.25">
      <c r="A4386" t="str">
        <f>"20190312150740688"</f>
        <v>20190312150740688</v>
      </c>
      <c r="B4386" t="str">
        <f>"1552374460684052"</f>
        <v>1552374460684052</v>
      </c>
      <c r="C4386" t="s">
        <v>40</v>
      </c>
      <c r="D4386">
        <v>4.6585739999999998</v>
      </c>
      <c r="E4386">
        <v>0.52170179999999999</v>
      </c>
      <c r="F4386" t="s">
        <v>42</v>
      </c>
      <c r="G4386">
        <v>-493.24630000000002</v>
      </c>
      <c r="H4386" s="1">
        <v>-1.9487629999999999E-6</v>
      </c>
      <c r="I4386">
        <v>242.1183</v>
      </c>
      <c r="J4386">
        <v>-493.45780000000002</v>
      </c>
      <c r="K4386">
        <v>1.1112169999999999</v>
      </c>
      <c r="L4386">
        <v>258.3304</v>
      </c>
      <c r="M4386">
        <v>2.6557509999999999E-2</v>
      </c>
      <c r="N4386">
        <v>0</v>
      </c>
      <c r="O4386">
        <v>-0.99955629999999995</v>
      </c>
      <c r="P4386">
        <v>6.9684590000000005E-2</v>
      </c>
      <c r="Q4386">
        <v>-3.6817750000000003E-2</v>
      </c>
      <c r="R4386">
        <v>-0.99688980000000005</v>
      </c>
      <c r="S4386">
        <v>3.9672850000000003E-2</v>
      </c>
      <c r="T4386">
        <v>-0.2042911</v>
      </c>
      <c r="U4386">
        <v>-2.999161</v>
      </c>
      <c r="V4386">
        <v>-4.3135519999999997E-2</v>
      </c>
      <c r="W4386">
        <v>-2.3416719999999999E-2</v>
      </c>
      <c r="X4386">
        <v>0.99879479999999998</v>
      </c>
      <c r="Y4386">
        <v>1.3365999999999999E-2</v>
      </c>
      <c r="Z4386">
        <v>6.7916710000000005E-2</v>
      </c>
      <c r="AA4386">
        <v>0.99760139999999997</v>
      </c>
      <c r="AB4386">
        <v>18</v>
      </c>
      <c r="AC4386">
        <v>0.21149999999999999</v>
      </c>
      <c r="AD4386">
        <v>-1.111218948763</v>
      </c>
      <c r="AE4386">
        <v>-16.2120999999999</v>
      </c>
      <c r="AF4386">
        <v>0.218142109296661</v>
      </c>
      <c r="AG4386">
        <v>-1.111218948763</v>
      </c>
      <c r="AH4386">
        <v>16.136201844180501</v>
      </c>
      <c r="AI4386">
        <v>93.939093348231395</v>
      </c>
      <c r="AJ4386">
        <v>89.225476912519795</v>
      </c>
      <c r="AK4386">
        <v>16.175889573314699</v>
      </c>
      <c r="AL4386">
        <v>91.341801827113997</v>
      </c>
      <c r="AM4386">
        <v>92.472928758488194</v>
      </c>
      <c r="AN4386">
        <v>1.00000003418413</v>
      </c>
    </row>
    <row r="4387" spans="1:40" x14ac:dyDescent="0.25">
      <c r="A4387" t="str">
        <f>"20190312150740701"</f>
        <v>20190312150740701</v>
      </c>
      <c r="B4387" t="str">
        <f>"1552374460694788"</f>
        <v>1552374460694788</v>
      </c>
      <c r="C4387" t="s">
        <v>40</v>
      </c>
      <c r="D4387">
        <v>4.6975930000000004</v>
      </c>
      <c r="E4387">
        <v>0.52172489999999905</v>
      </c>
      <c r="F4387" t="s">
        <v>42</v>
      </c>
      <c r="G4387">
        <v>-493.25830000000002</v>
      </c>
      <c r="H4387" s="1">
        <v>-2.158287E-6</v>
      </c>
      <c r="I4387">
        <v>242.5992</v>
      </c>
      <c r="J4387">
        <v>-493.45299999999997</v>
      </c>
      <c r="K4387">
        <v>1.111086</v>
      </c>
      <c r="L4387">
        <v>258.21980000000002</v>
      </c>
      <c r="M4387">
        <v>2.799024E-2</v>
      </c>
      <c r="N4387">
        <v>0</v>
      </c>
      <c r="O4387">
        <v>-0.9995174</v>
      </c>
      <c r="P4387">
        <v>6.9441459999999997E-2</v>
      </c>
      <c r="Q4387">
        <v>-3.7227040000000003E-2</v>
      </c>
      <c r="R4387">
        <v>-0.99689159999999999</v>
      </c>
      <c r="S4387">
        <v>3.80249E-2</v>
      </c>
      <c r="T4387">
        <v>-0.21183179999999999</v>
      </c>
      <c r="U4387">
        <v>-2.99884</v>
      </c>
      <c r="V4387">
        <v>-4.1467660000000003E-2</v>
      </c>
      <c r="W4387">
        <v>-2.3824660000000001E-2</v>
      </c>
      <c r="X4387">
        <v>0.99885579999999996</v>
      </c>
      <c r="Y4387">
        <v>1.534813E-2</v>
      </c>
      <c r="Z4387">
        <v>7.0414009999999999E-2</v>
      </c>
      <c r="AA4387">
        <v>0.9973997</v>
      </c>
      <c r="AB4387">
        <v>18</v>
      </c>
      <c r="AC4387">
        <v>0.194700000000011</v>
      </c>
      <c r="AD4387">
        <v>-1.111088158287</v>
      </c>
      <c r="AE4387">
        <v>-15.6206</v>
      </c>
      <c r="AF4387">
        <v>0.24141907417855299</v>
      </c>
      <c r="AG4387">
        <v>-1.111088158287</v>
      </c>
      <c r="AH4387">
        <v>15.541310912053699</v>
      </c>
      <c r="AI4387">
        <v>94.088773011918704</v>
      </c>
      <c r="AJ4387">
        <v>89.110037648741795</v>
      </c>
      <c r="AK4387">
        <v>15.5828477798502</v>
      </c>
      <c r="AL4387">
        <v>91.365181574827602</v>
      </c>
      <c r="AM4387">
        <v>92.377278422063299</v>
      </c>
      <c r="AN4387">
        <v>1.0000000452218101</v>
      </c>
    </row>
    <row r="4388" spans="1:40" x14ac:dyDescent="0.25">
      <c r="A4388" t="str">
        <f>"20190312150740717"</f>
        <v>20190312150740717</v>
      </c>
      <c r="B4388" t="str">
        <f>"1552374460713947"</f>
        <v>1552374460713947</v>
      </c>
      <c r="C4388" t="s">
        <v>40</v>
      </c>
      <c r="D4388">
        <v>4.7197649999999998</v>
      </c>
      <c r="E4388">
        <v>0.5217231</v>
      </c>
      <c r="F4388" t="s">
        <v>42</v>
      </c>
      <c r="G4388">
        <v>-493.25959999999998</v>
      </c>
      <c r="H4388" s="1">
        <v>-2.2369140000000001E-6</v>
      </c>
      <c r="I4388">
        <v>242.7817</v>
      </c>
      <c r="J4388">
        <v>-493.44779999999997</v>
      </c>
      <c r="K4388">
        <v>1.1109500000000001</v>
      </c>
      <c r="L4388">
        <v>258.09719999999999</v>
      </c>
      <c r="M4388">
        <v>2.9382180000000001E-2</v>
      </c>
      <c r="N4388">
        <v>0</v>
      </c>
      <c r="O4388">
        <v>-0.99947739999999996</v>
      </c>
      <c r="P4388">
        <v>6.6767069999999998E-2</v>
      </c>
      <c r="Q4388">
        <v>-3.9053079999999997E-2</v>
      </c>
      <c r="R4388">
        <v>-0.99700429999999995</v>
      </c>
      <c r="S4388">
        <v>3.7567139999999999E-2</v>
      </c>
      <c r="T4388">
        <v>-0.21581890000000001</v>
      </c>
      <c r="U4388">
        <v>-2.9987029999999999</v>
      </c>
      <c r="V4388">
        <v>-3.7405260000000003E-2</v>
      </c>
      <c r="W4388">
        <v>-2.5646329999999998E-2</v>
      </c>
      <c r="X4388">
        <v>0.99897100000000005</v>
      </c>
      <c r="Y4388">
        <v>1.6893410000000001E-2</v>
      </c>
      <c r="Z4388">
        <v>7.1730730000000006E-2</v>
      </c>
      <c r="AA4388">
        <v>0.99728099999999997</v>
      </c>
      <c r="AB4388">
        <v>18</v>
      </c>
      <c r="AC4388">
        <v>0.18819999999999401</v>
      </c>
      <c r="AD4388">
        <v>-1.1109522369139999</v>
      </c>
      <c r="AE4388">
        <v>-15.315499999999901</v>
      </c>
      <c r="AF4388">
        <v>0.26055415865853898</v>
      </c>
      <c r="AG4388">
        <v>-1.1109522369139999</v>
      </c>
      <c r="AH4388">
        <v>15.2342700808684</v>
      </c>
      <c r="AI4388">
        <v>94.170277874014204</v>
      </c>
      <c r="AJ4388">
        <v>89.020156648910898</v>
      </c>
      <c r="AK4388">
        <v>15.276946299543599</v>
      </c>
      <c r="AL4388">
        <v>91.469587637989704</v>
      </c>
      <c r="AM4388">
        <v>92.144369328890207</v>
      </c>
      <c r="AN4388">
        <v>0.99999997327956702</v>
      </c>
    </row>
    <row r="4389" spans="1:40" x14ac:dyDescent="0.25">
      <c r="A4389" t="str">
        <f>"20190312150740729"</f>
        <v>20190312150740729</v>
      </c>
      <c r="B4389" t="str">
        <f>"1552374460724682"</f>
        <v>1552374460724682</v>
      </c>
      <c r="C4389" t="s">
        <v>40</v>
      </c>
      <c r="D4389">
        <v>4.7239279999999999</v>
      </c>
      <c r="E4389">
        <v>0.52167859999999999</v>
      </c>
      <c r="F4389" t="s">
        <v>42</v>
      </c>
      <c r="G4389">
        <v>-493.30309999999997</v>
      </c>
      <c r="H4389" s="1">
        <v>-2.469835E-6</v>
      </c>
      <c r="I4389">
        <v>243.29769999999999</v>
      </c>
      <c r="J4389">
        <v>-493.44380000000001</v>
      </c>
      <c r="K4389">
        <v>1.1108530000000001</v>
      </c>
      <c r="L4389">
        <v>258.00220000000002</v>
      </c>
      <c r="M4389">
        <v>3.035916E-2</v>
      </c>
      <c r="N4389">
        <v>0</v>
      </c>
      <c r="O4389">
        <v>-0.99944849999999996</v>
      </c>
      <c r="P4389">
        <v>6.5823839999999995E-2</v>
      </c>
      <c r="Q4389">
        <v>-4.0139460000000002E-2</v>
      </c>
      <c r="R4389">
        <v>-0.99702389999999996</v>
      </c>
      <c r="S4389">
        <v>2.9296880000000001E-2</v>
      </c>
      <c r="T4389">
        <v>-0.22506880000000001</v>
      </c>
      <c r="U4389">
        <v>-2.9982449999999998</v>
      </c>
      <c r="V4389">
        <v>-3.5490689999999998E-2</v>
      </c>
      <c r="W4389">
        <v>-2.6732619999999999E-2</v>
      </c>
      <c r="X4389">
        <v>0.99901240000000002</v>
      </c>
      <c r="Y4389">
        <v>2.0621460000000001E-2</v>
      </c>
      <c r="Z4389">
        <v>7.4794799999999995E-2</v>
      </c>
      <c r="AA4389">
        <v>0.99698569999999997</v>
      </c>
      <c r="AB4389">
        <v>18</v>
      </c>
      <c r="AC4389">
        <v>0.14070000000003799</v>
      </c>
      <c r="AD4389">
        <v>-1.1108554698349999</v>
      </c>
      <c r="AE4389">
        <v>-14.704499999999999</v>
      </c>
      <c r="AF4389">
        <v>0.30408625676760898</v>
      </c>
      <c r="AG4389">
        <v>-1.1108554698349999</v>
      </c>
      <c r="AH4389">
        <v>14.6185708823326</v>
      </c>
      <c r="AI4389">
        <v>94.344580522298898</v>
      </c>
      <c r="AJ4389">
        <v>88.808341323218698</v>
      </c>
      <c r="AK4389">
        <v>14.6638699860644</v>
      </c>
      <c r="AL4389">
        <v>91.531848791882098</v>
      </c>
      <c r="AM4389">
        <v>92.034621321857301</v>
      </c>
      <c r="AN4389">
        <v>0.99999999870125</v>
      </c>
    </row>
    <row r="4390" spans="1:40" x14ac:dyDescent="0.25">
      <c r="A4390" t="str">
        <f>"20190312150740741"</f>
        <v>20190312150740741</v>
      </c>
      <c r="B4390" t="str">
        <f>"1552374460734443"</f>
        <v>1552374460734443</v>
      </c>
      <c r="C4390" t="s">
        <v>40</v>
      </c>
      <c r="D4390">
        <v>4.7100269999999904</v>
      </c>
      <c r="E4390">
        <v>0.52153649999999996</v>
      </c>
      <c r="F4390" t="s">
        <v>41</v>
      </c>
      <c r="G4390">
        <v>-493.4366</v>
      </c>
      <c r="H4390">
        <v>1.045552</v>
      </c>
      <c r="I4390">
        <v>257.1497</v>
      </c>
      <c r="J4390">
        <v>-493.43979999999999</v>
      </c>
      <c r="K4390">
        <v>1.1107579999999999</v>
      </c>
      <c r="L4390">
        <v>257.91030000000001</v>
      </c>
      <c r="M4390">
        <v>3.1208090000000001E-2</v>
      </c>
      <c r="N4390">
        <v>0</v>
      </c>
      <c r="O4390">
        <v>-0.99942240000000004</v>
      </c>
      <c r="P4390">
        <v>6.4785869999999995E-2</v>
      </c>
      <c r="Q4390">
        <v>-4.1128869999999998E-2</v>
      </c>
      <c r="R4390">
        <v>-0.99705120000000003</v>
      </c>
      <c r="S4390">
        <v>2.676392E-2</v>
      </c>
      <c r="T4390">
        <v>-0.2300625</v>
      </c>
      <c r="U4390">
        <v>-2.9979550000000001</v>
      </c>
      <c r="V4390">
        <v>-3.360904E-2</v>
      </c>
      <c r="W4390">
        <v>-2.772237E-2</v>
      </c>
      <c r="X4390">
        <v>0.99905049999999995</v>
      </c>
      <c r="Y4390">
        <v>2.2313110000000001E-2</v>
      </c>
      <c r="Z4390">
        <v>7.6447950000000001E-2</v>
      </c>
      <c r="AA4390">
        <v>0.99682380000000004</v>
      </c>
      <c r="AB4390">
        <v>18</v>
      </c>
      <c r="AC4390">
        <v>3.19999999999254E-3</v>
      </c>
      <c r="AD4390">
        <v>-6.5205999999999806E-2</v>
      </c>
      <c r="AE4390">
        <v>-0.76060000000001005</v>
      </c>
      <c r="AF4390">
        <v>2.0390719220055399E-2</v>
      </c>
      <c r="AG4390">
        <v>-6.5205999999999806E-2</v>
      </c>
      <c r="AH4390">
        <v>0.75478209377484895</v>
      </c>
      <c r="AI4390">
        <v>94.935759793779994</v>
      </c>
      <c r="AJ4390">
        <v>88.452509584171096</v>
      </c>
      <c r="AK4390">
        <v>0.75786780704121204</v>
      </c>
      <c r="AL4390">
        <v>91.588578322580503</v>
      </c>
      <c r="AM4390">
        <v>91.926759664908502</v>
      </c>
      <c r="AN4390">
        <v>0.99999999945919404</v>
      </c>
    </row>
    <row r="4391" spans="1:40" x14ac:dyDescent="0.25">
      <c r="A4391" t="str">
        <f>"20190312150740752"</f>
        <v>20190312150740752</v>
      </c>
      <c r="B4391" t="str">
        <f>"1552374460744203"</f>
        <v>1552374460744203</v>
      </c>
      <c r="C4391" t="s">
        <v>40</v>
      </c>
      <c r="D4391">
        <v>4.6932289999999997</v>
      </c>
      <c r="E4391">
        <v>0.52151809999999998</v>
      </c>
      <c r="F4391" t="s">
        <v>42</v>
      </c>
      <c r="G4391">
        <v>-493.3211</v>
      </c>
      <c r="H4391" s="1">
        <v>-2.643257E-6</v>
      </c>
      <c r="I4391">
        <v>243.6908</v>
      </c>
      <c r="J4391">
        <v>-493.43630000000002</v>
      </c>
      <c r="K4391">
        <v>1.110673</v>
      </c>
      <c r="L4391">
        <v>257.82490000000001</v>
      </c>
      <c r="M4391">
        <v>3.1896319999999999E-2</v>
      </c>
      <c r="N4391">
        <v>0</v>
      </c>
      <c r="O4391">
        <v>-0.99940099999999998</v>
      </c>
      <c r="P4391">
        <v>6.3777089999999995E-2</v>
      </c>
      <c r="Q4391">
        <v>-4.205938E-2</v>
      </c>
      <c r="R4391">
        <v>-0.99707809999999997</v>
      </c>
      <c r="S4391">
        <v>2.502441E-2</v>
      </c>
      <c r="T4391">
        <v>-0.2341587</v>
      </c>
      <c r="U4391">
        <v>-2.99762</v>
      </c>
      <c r="V4391">
        <v>-3.1916989999999999E-2</v>
      </c>
      <c r="W4391">
        <v>-2.8653370000000001E-2</v>
      </c>
      <c r="X4391">
        <v>0.99907970000000001</v>
      </c>
      <c r="Y4391">
        <v>2.3579840000000001E-2</v>
      </c>
      <c r="Z4391">
        <v>7.7806100000000003E-2</v>
      </c>
      <c r="AA4391">
        <v>0.99668959999999995</v>
      </c>
      <c r="AB4391">
        <v>18</v>
      </c>
      <c r="AC4391">
        <v>0.115200000000015</v>
      </c>
      <c r="AD4391">
        <v>-1.110675643257</v>
      </c>
      <c r="AE4391">
        <v>-14.1341</v>
      </c>
      <c r="AF4391">
        <v>0.33366479357595502</v>
      </c>
      <c r="AG4391">
        <v>-1.110675643257</v>
      </c>
      <c r="AH4391">
        <v>14.043866461661599</v>
      </c>
      <c r="AI4391">
        <v>94.520621562858906</v>
      </c>
      <c r="AJ4391">
        <v>88.638979617256894</v>
      </c>
      <c r="AK4391">
        <v>14.091668381422499</v>
      </c>
      <c r="AL4391">
        <v>91.641941934232193</v>
      </c>
      <c r="AM4391">
        <v>91.829771031125901</v>
      </c>
      <c r="AN4391">
        <v>0.99999997840755295</v>
      </c>
    </row>
    <row r="4392" spans="1:40" x14ac:dyDescent="0.25">
      <c r="A4392" t="str">
        <f>"20190312150740762"</f>
        <v>20190312150740762</v>
      </c>
      <c r="B4392" t="str">
        <f>"1552374460753964"</f>
        <v>1552374460753964</v>
      </c>
      <c r="C4392" t="s">
        <v>40</v>
      </c>
      <c r="D4392">
        <v>4.7203290000000004</v>
      </c>
      <c r="E4392">
        <v>0.52152739999999997</v>
      </c>
      <c r="F4392" t="s">
        <v>41</v>
      </c>
      <c r="G4392">
        <v>-493.43029999999999</v>
      </c>
      <c r="H4392">
        <v>1.0445230000000001</v>
      </c>
      <c r="I4392">
        <v>256.99149999999997</v>
      </c>
      <c r="J4392">
        <v>-493.43239999999997</v>
      </c>
      <c r="K4392">
        <v>1.110582</v>
      </c>
      <c r="L4392">
        <v>257.73200000000003</v>
      </c>
      <c r="M4392">
        <v>3.2594789999999998E-2</v>
      </c>
      <c r="N4392">
        <v>0</v>
      </c>
      <c r="O4392">
        <v>-0.99937849999999995</v>
      </c>
      <c r="P4392">
        <v>6.3075149999999996E-2</v>
      </c>
      <c r="Q4392">
        <v>-4.2700420000000003E-2</v>
      </c>
      <c r="R4392">
        <v>-0.99709530000000002</v>
      </c>
      <c r="S4392">
        <v>2.2033690000000002E-2</v>
      </c>
      <c r="T4392">
        <v>-0.23796249999999999</v>
      </c>
      <c r="U4392">
        <v>-2.9973450000000001</v>
      </c>
      <c r="V4392">
        <v>-3.0522919999999999E-2</v>
      </c>
      <c r="W4392">
        <v>-2.9295599999999901E-2</v>
      </c>
      <c r="X4392">
        <v>0.99910469999999896</v>
      </c>
      <c r="Y4392">
        <v>2.5272889999999999E-2</v>
      </c>
      <c r="Z4392">
        <v>7.9065360000000001E-2</v>
      </c>
      <c r="AA4392">
        <v>0.99654900000000002</v>
      </c>
      <c r="AB4392">
        <v>18</v>
      </c>
      <c r="AC4392">
        <v>2.0999999999844398E-3</v>
      </c>
      <c r="AD4392">
        <v>-6.6059000000000007E-2</v>
      </c>
      <c r="AE4392">
        <v>-0.740500000000054</v>
      </c>
      <c r="AF4392">
        <v>2.18657229395204E-2</v>
      </c>
      <c r="AG4392">
        <v>-6.6059000000000007E-2</v>
      </c>
      <c r="AH4392">
        <v>0.73433102571575704</v>
      </c>
      <c r="AI4392">
        <v>95.138116190266501</v>
      </c>
      <c r="AJ4392">
        <v>88.294442790209601</v>
      </c>
      <c r="AK4392">
        <v>0.73762046924514202</v>
      </c>
      <c r="AL4392">
        <v>91.678754354391003</v>
      </c>
      <c r="AM4392">
        <v>91.749857372650197</v>
      </c>
      <c r="AN4392">
        <v>1.00000004119338</v>
      </c>
    </row>
    <row r="4393" spans="1:40" x14ac:dyDescent="0.25">
      <c r="A4393" t="str">
        <f>"20190312150740774"</f>
        <v>20190312150740774</v>
      </c>
      <c r="B4393" t="str">
        <f>"1552374460764699"</f>
        <v>1552374460764699</v>
      </c>
      <c r="C4393" t="s">
        <v>40</v>
      </c>
      <c r="D4393">
        <v>4.7120449999999998</v>
      </c>
      <c r="E4393">
        <v>0.52128079999999999</v>
      </c>
      <c r="F4393" t="s">
        <v>42</v>
      </c>
      <c r="G4393">
        <v>-493.33940000000001</v>
      </c>
      <c r="H4393" s="1">
        <v>-2.7549320000000001E-6</v>
      </c>
      <c r="I4393">
        <v>243.93969999999999</v>
      </c>
      <c r="J4393">
        <v>-493.42880000000002</v>
      </c>
      <c r="K4393">
        <v>1.110501</v>
      </c>
      <c r="L4393">
        <v>257.64350000000002</v>
      </c>
      <c r="M4393">
        <v>3.3127749999999997E-2</v>
      </c>
      <c r="N4393">
        <v>0</v>
      </c>
      <c r="O4393">
        <v>-0.99936100000000005</v>
      </c>
      <c r="P4393">
        <v>6.2089030000000003E-2</v>
      </c>
      <c r="Q4393">
        <v>-4.3051190000000003E-2</v>
      </c>
      <c r="R4393">
        <v>-0.99714199999999997</v>
      </c>
      <c r="S4393">
        <v>2.0202640000000001E-2</v>
      </c>
      <c r="T4393">
        <v>-0.24133650000000001</v>
      </c>
      <c r="U4393">
        <v>-2.997131</v>
      </c>
      <c r="V4393">
        <v>-2.900902E-2</v>
      </c>
      <c r="W4393">
        <v>-2.964723E-2</v>
      </c>
      <c r="X4393">
        <v>0.99913940000000001</v>
      </c>
      <c r="Y4393">
        <v>2.6414880000000002E-2</v>
      </c>
      <c r="Z4393">
        <v>8.0181779999999994E-2</v>
      </c>
      <c r="AA4393">
        <v>0.99643020000000004</v>
      </c>
      <c r="AB4393">
        <v>18</v>
      </c>
      <c r="AC4393">
        <v>8.9400000000011901E-2</v>
      </c>
      <c r="AD4393">
        <v>-1.110503754932</v>
      </c>
      <c r="AE4393">
        <v>-13.703799999999999</v>
      </c>
      <c r="AF4393">
        <v>0.36228704609557</v>
      </c>
      <c r="AG4393">
        <v>-1.110503754932</v>
      </c>
      <c r="AH4393">
        <v>13.609868509529001</v>
      </c>
      <c r="AI4393">
        <v>94.663098067824905</v>
      </c>
      <c r="AJ4393">
        <v>88.475178662096695</v>
      </c>
      <c r="AK4393">
        <v>13.659904514313199</v>
      </c>
      <c r="AL4393">
        <v>91.698910074972304</v>
      </c>
      <c r="AM4393">
        <v>91.663058844455904</v>
      </c>
      <c r="AN4393">
        <v>1.0000000110601901</v>
      </c>
    </row>
    <row r="4394" spans="1:40" x14ac:dyDescent="0.25">
      <c r="A4394" t="str">
        <f>"20190312150740787"</f>
        <v>20190312150740787</v>
      </c>
      <c r="B4394" t="str">
        <f>"1552374460784219"</f>
        <v>1552374460784219</v>
      </c>
      <c r="C4394" t="s">
        <v>40</v>
      </c>
      <c r="D4394">
        <v>4.7388839999999997</v>
      </c>
      <c r="E4394">
        <v>0.5213063</v>
      </c>
      <c r="F4394" t="s">
        <v>41</v>
      </c>
      <c r="G4394">
        <v>-493.42410000000001</v>
      </c>
      <c r="H4394">
        <v>1.0455449999999999</v>
      </c>
      <c r="I4394">
        <v>256.83179999999999</v>
      </c>
      <c r="J4394">
        <v>-493.42469999999997</v>
      </c>
      <c r="K4394">
        <v>1.110412</v>
      </c>
      <c r="L4394">
        <v>257.5437</v>
      </c>
      <c r="M4394">
        <v>3.3680929999999998E-2</v>
      </c>
      <c r="N4394">
        <v>0</v>
      </c>
      <c r="O4394">
        <v>-0.99934270000000003</v>
      </c>
      <c r="P4394">
        <v>6.1864269999999999E-2</v>
      </c>
      <c r="Q4394">
        <v>-4.3176489999999998E-2</v>
      </c>
      <c r="R4394">
        <v>-0.99715050000000005</v>
      </c>
      <c r="S4394">
        <v>1.9042969999999999E-2</v>
      </c>
      <c r="T4394">
        <v>-0.2401228</v>
      </c>
      <c r="U4394">
        <v>-2.997055</v>
      </c>
      <c r="V4394">
        <v>-2.8237100000000001E-2</v>
      </c>
      <c r="W4394">
        <v>-2.9774229999999999E-2</v>
      </c>
      <c r="X4394">
        <v>0.99915770000000004</v>
      </c>
      <c r="Y4394">
        <v>2.7353369999999998E-2</v>
      </c>
      <c r="Z4394">
        <v>7.978006E-2</v>
      </c>
      <c r="AA4394">
        <v>0.99643709999999996</v>
      </c>
      <c r="AB4394">
        <v>18</v>
      </c>
      <c r="AC4394">
        <v>5.9999999996307397E-4</v>
      </c>
      <c r="AD4394">
        <v>-6.4866999999999994E-2</v>
      </c>
      <c r="AE4394">
        <v>-0.71190000000001397</v>
      </c>
      <c r="AF4394">
        <v>2.3187436079122499E-2</v>
      </c>
      <c r="AG4394">
        <v>-6.4866999999999994E-2</v>
      </c>
      <c r="AH4394">
        <v>0.70565750421485496</v>
      </c>
      <c r="AI4394">
        <v>95.249290898411104</v>
      </c>
      <c r="AJ4394">
        <v>88.117975974988795</v>
      </c>
      <c r="AK4394">
        <v>0.70901191677972597</v>
      </c>
      <c r="AL4394">
        <v>91.706189915835196</v>
      </c>
      <c r="AM4394">
        <v>91.618799658378904</v>
      </c>
      <c r="AN4394">
        <v>0.99999997402889595</v>
      </c>
    </row>
    <row r="4395" spans="1:40" x14ac:dyDescent="0.25">
      <c r="A4395" t="str">
        <f>"20190312150740798"</f>
        <v>20190312150740798</v>
      </c>
      <c r="B4395" t="str">
        <f>"1552374460793980"</f>
        <v>1552374460793980</v>
      </c>
      <c r="C4395" t="s">
        <v>40</v>
      </c>
      <c r="D4395">
        <v>4.7491729999999999</v>
      </c>
      <c r="E4395">
        <v>0.52137670000000003</v>
      </c>
      <c r="F4395" t="s">
        <v>41</v>
      </c>
      <c r="G4395">
        <v>-493.4194</v>
      </c>
      <c r="H4395">
        <v>1.0406500000000001</v>
      </c>
      <c r="I4395">
        <v>256.67739999999998</v>
      </c>
      <c r="J4395">
        <v>-493.42099999999999</v>
      </c>
      <c r="K4395">
        <v>1.1103320000000001</v>
      </c>
      <c r="L4395">
        <v>257.45</v>
      </c>
      <c r="M4395">
        <v>3.4083679999999998E-2</v>
      </c>
      <c r="N4395">
        <v>0</v>
      </c>
      <c r="O4395">
        <v>-0.99932909999999997</v>
      </c>
      <c r="P4395">
        <v>6.0387650000000001E-2</v>
      </c>
      <c r="Q4395">
        <v>-4.3038079999999999E-2</v>
      </c>
      <c r="R4395">
        <v>-0.9972472</v>
      </c>
      <c r="S4395">
        <v>1.8615719999999999E-2</v>
      </c>
      <c r="T4395">
        <v>-0.24142050000000001</v>
      </c>
      <c r="U4395">
        <v>-2.9969640000000002</v>
      </c>
      <c r="V4395">
        <v>-2.6361909999999999E-2</v>
      </c>
      <c r="W4395">
        <v>-2.9636740000000002E-2</v>
      </c>
      <c r="X4395">
        <v>0.99921300000000002</v>
      </c>
      <c r="Y4395">
        <v>2.7898289999999999E-2</v>
      </c>
      <c r="Z4395">
        <v>8.0208639999999998E-2</v>
      </c>
      <c r="AA4395">
        <v>0.99638760000000004</v>
      </c>
      <c r="AB4395">
        <v>18</v>
      </c>
      <c r="AC4395">
        <v>1.59999999999627E-3</v>
      </c>
      <c r="AD4395">
        <v>-6.96819999999998E-2</v>
      </c>
      <c r="AE4395">
        <v>-0.77260000000001094</v>
      </c>
      <c r="AF4395">
        <v>2.4536752889029199E-2</v>
      </c>
      <c r="AG4395">
        <v>-6.96819999999998E-2</v>
      </c>
      <c r="AH4395">
        <v>0.76597475559100803</v>
      </c>
      <c r="AI4395">
        <v>95.195334531961507</v>
      </c>
      <c r="AJ4395">
        <v>88.165250481875404</v>
      </c>
      <c r="AK4395">
        <v>0.76952905050364495</v>
      </c>
      <c r="AL4395">
        <v>91.698308876641093</v>
      </c>
      <c r="AM4395">
        <v>91.5112652531853</v>
      </c>
      <c r="AN4395">
        <v>0.99999995301283595</v>
      </c>
    </row>
    <row r="4396" spans="1:40" x14ac:dyDescent="0.25">
      <c r="A4396" t="str">
        <f>"20190312150740810"</f>
        <v>20190312150740810</v>
      </c>
      <c r="B4396" t="str">
        <f>"1552374460804716"</f>
        <v>1552374460804716</v>
      </c>
      <c r="C4396" t="s">
        <v>40</v>
      </c>
      <c r="D4396">
        <v>4.7509319999999997</v>
      </c>
      <c r="E4396">
        <v>0.52139679999999999</v>
      </c>
      <c r="F4396" t="s">
        <v>41</v>
      </c>
      <c r="G4396">
        <v>-493.41759999999999</v>
      </c>
      <c r="H4396">
        <v>1.047696</v>
      </c>
      <c r="I4396">
        <v>256.67099999999999</v>
      </c>
      <c r="J4396">
        <v>-493.41730000000001</v>
      </c>
      <c r="K4396">
        <v>1.11026</v>
      </c>
      <c r="L4396">
        <v>257.35719999999998</v>
      </c>
      <c r="M4396">
        <v>3.4412730000000002E-2</v>
      </c>
      <c r="N4396">
        <v>0</v>
      </c>
      <c r="O4396">
        <v>-0.99931800000000004</v>
      </c>
      <c r="P4396">
        <v>5.9183470000000002E-2</v>
      </c>
      <c r="Q4396">
        <v>-4.2713349999999997E-2</v>
      </c>
      <c r="R4396">
        <v>-0.99733329999999998</v>
      </c>
      <c r="S4396">
        <v>1.3427730000000001E-2</v>
      </c>
      <c r="T4396">
        <v>-0.24107000000000001</v>
      </c>
      <c r="U4396">
        <v>-2.9970400000000001</v>
      </c>
      <c r="V4396">
        <v>-2.4832199999999999E-2</v>
      </c>
      <c r="W4396">
        <v>-2.9313510000000001E-2</v>
      </c>
      <c r="X4396">
        <v>0.99926179999999998</v>
      </c>
      <c r="Y4396">
        <v>2.9952220000000002E-2</v>
      </c>
      <c r="Z4396">
        <v>8.0087560000000002E-2</v>
      </c>
      <c r="AA4396">
        <v>0.99633769999999999</v>
      </c>
      <c r="AB4396">
        <v>18</v>
      </c>
      <c r="AC4396">
        <v>-2.9999999998153699E-4</v>
      </c>
      <c r="AD4396">
        <v>-6.2563999999999995E-2</v>
      </c>
      <c r="AE4396">
        <v>-0.68619999999998504</v>
      </c>
      <c r="AF4396">
        <v>2.37187852776314E-2</v>
      </c>
      <c r="AG4396">
        <v>-6.2563999999999995E-2</v>
      </c>
      <c r="AH4396">
        <v>0.68012938878962503</v>
      </c>
      <c r="AI4396">
        <v>95.252579473123504</v>
      </c>
      <c r="AJ4396">
        <v>88.002680391910303</v>
      </c>
      <c r="AK4396">
        <v>0.683412628187682</v>
      </c>
      <c r="AL4396">
        <v>91.679780977294897</v>
      </c>
      <c r="AM4396">
        <v>91.423538341388905</v>
      </c>
      <c r="AN4396">
        <v>1.00000003248229</v>
      </c>
    </row>
    <row r="4397" spans="1:40" x14ac:dyDescent="0.25">
      <c r="A4397" t="str">
        <f>"20190312150740822"</f>
        <v>20190312150740822</v>
      </c>
      <c r="B4397" t="str">
        <f>"1552374460814342"</f>
        <v>1552374460814342</v>
      </c>
      <c r="C4397" t="s">
        <v>40</v>
      </c>
      <c r="D4397">
        <v>4.7442820000000001</v>
      </c>
      <c r="E4397">
        <v>0.52140620000000004</v>
      </c>
      <c r="F4397" t="s">
        <v>41</v>
      </c>
      <c r="G4397">
        <v>-493.41500000000002</v>
      </c>
      <c r="H4397">
        <v>1.0428569999999999</v>
      </c>
      <c r="I4397">
        <v>256.51670000000001</v>
      </c>
      <c r="J4397">
        <v>-493.41370000000001</v>
      </c>
      <c r="K4397">
        <v>1.11019</v>
      </c>
      <c r="L4397">
        <v>257.26310000000001</v>
      </c>
      <c r="M4397">
        <v>3.4684909999999999E-2</v>
      </c>
      <c r="N4397">
        <v>0</v>
      </c>
      <c r="O4397">
        <v>-0.99930870000000005</v>
      </c>
      <c r="P4397">
        <v>5.8012809999999998E-2</v>
      </c>
      <c r="Q4397">
        <v>-4.198532E-2</v>
      </c>
      <c r="R4397">
        <v>-0.99743280000000001</v>
      </c>
      <c r="S4397">
        <v>9.8266599999999992E-3</v>
      </c>
      <c r="T4397">
        <v>-0.24056359999999999</v>
      </c>
      <c r="U4397">
        <v>-2.9971770000000002</v>
      </c>
      <c r="V4397">
        <v>-2.3391289999999999E-2</v>
      </c>
      <c r="W4397">
        <v>-2.8587310000000001E-2</v>
      </c>
      <c r="X4397">
        <v>0.99931760000000003</v>
      </c>
      <c r="Y4397">
        <v>3.1421650000000002E-2</v>
      </c>
      <c r="Z4397">
        <v>7.9913990000000004E-2</v>
      </c>
      <c r="AA4397">
        <v>0.99630640000000004</v>
      </c>
      <c r="AB4397">
        <v>18</v>
      </c>
      <c r="AC4397">
        <v>-1.3000000000147299E-3</v>
      </c>
      <c r="AD4397">
        <v>-6.7333000000000004E-2</v>
      </c>
      <c r="AE4397">
        <v>-0.74639999999999396</v>
      </c>
      <c r="AF4397">
        <v>2.6970867140097901E-2</v>
      </c>
      <c r="AG4397">
        <v>-6.7333000000000004E-2</v>
      </c>
      <c r="AH4397">
        <v>0.73988462113949305</v>
      </c>
      <c r="AI4397">
        <v>95.196431181492798</v>
      </c>
      <c r="AJ4397">
        <v>87.912332704052403</v>
      </c>
      <c r="AK4397">
        <v>0.74343151208569302</v>
      </c>
      <c r="AL4397">
        <v>91.638155345505297</v>
      </c>
      <c r="AM4397">
        <v>91.340892530631507</v>
      </c>
      <c r="AN4397">
        <v>1.0000000262053199</v>
      </c>
    </row>
    <row r="4398" spans="1:40" x14ac:dyDescent="0.25">
      <c r="A4398" t="str">
        <f>"20190312150740833"</f>
        <v>20190312150740833</v>
      </c>
      <c r="B4398" t="str">
        <f>"1552374460824103"</f>
        <v>1552374460824103</v>
      </c>
      <c r="C4398" t="s">
        <v>40</v>
      </c>
      <c r="D4398">
        <v>4.7462980000000003</v>
      </c>
      <c r="E4398">
        <v>0.5213875</v>
      </c>
      <c r="F4398" t="s">
        <v>41</v>
      </c>
      <c r="G4398">
        <v>-493.4126</v>
      </c>
      <c r="H4398">
        <v>1.0496209999999999</v>
      </c>
      <c r="I4398">
        <v>256.50170000000003</v>
      </c>
      <c r="J4398">
        <v>-493.41030000000001</v>
      </c>
      <c r="K4398">
        <v>1.110134</v>
      </c>
      <c r="L4398">
        <v>257.17529999999999</v>
      </c>
      <c r="M4398">
        <v>3.4842119999999997E-2</v>
      </c>
      <c r="N4398">
        <v>0</v>
      </c>
      <c r="O4398">
        <v>-0.99930300000000005</v>
      </c>
      <c r="P4398">
        <v>5.6492439999999998E-2</v>
      </c>
      <c r="Q4398">
        <v>-4.1580010000000001E-2</v>
      </c>
      <c r="R4398">
        <v>-0.9975368</v>
      </c>
      <c r="S4398">
        <v>6.3476560000000001E-3</v>
      </c>
      <c r="T4398">
        <v>-0.2387127</v>
      </c>
      <c r="U4398">
        <v>-2.9972989999999999</v>
      </c>
      <c r="V4398">
        <v>-2.1714669999999998E-2</v>
      </c>
      <c r="W4398">
        <v>-2.8184049999999999E-2</v>
      </c>
      <c r="X4398">
        <v>0.99936689999999995</v>
      </c>
      <c r="Y4398">
        <v>3.2735309999999997E-2</v>
      </c>
      <c r="Z4398">
        <v>7.9297619999999999E-2</v>
      </c>
      <c r="AA4398">
        <v>0.99631329999999996</v>
      </c>
      <c r="AB4398">
        <v>18</v>
      </c>
      <c r="AC4398">
        <v>-2.29999999999108E-3</v>
      </c>
      <c r="AD4398">
        <v>-6.0512999999999997E-2</v>
      </c>
      <c r="AE4398">
        <v>-0.67359999999996401</v>
      </c>
      <c r="AF4398">
        <v>2.55640535980882E-2</v>
      </c>
      <c r="AG4398">
        <v>-6.0512999999999997E-2</v>
      </c>
      <c r="AH4398">
        <v>0.66772209347230405</v>
      </c>
      <c r="AI4398">
        <v>95.174572634162303</v>
      </c>
      <c r="AJ4398">
        <v>87.807475034676699</v>
      </c>
      <c r="AK4398">
        <v>0.67094570429834499</v>
      </c>
      <c r="AL4398">
        <v>91.615040922948396</v>
      </c>
      <c r="AM4398">
        <v>91.244751252673794</v>
      </c>
      <c r="AN4398">
        <v>1.00000003419161</v>
      </c>
    </row>
    <row r="4399" spans="1:40" x14ac:dyDescent="0.25">
      <c r="A4399" t="str">
        <f>"20190312150740844"</f>
        <v>20190312150740844</v>
      </c>
      <c r="B4399" t="str">
        <f>"1552374460834839"</f>
        <v>1552374460834839</v>
      </c>
      <c r="C4399" t="s">
        <v>40</v>
      </c>
      <c r="D4399">
        <v>4.7311360000000002</v>
      </c>
      <c r="E4399">
        <v>0.52138720000000005</v>
      </c>
      <c r="F4399" t="s">
        <v>41</v>
      </c>
      <c r="G4399">
        <v>-493.41</v>
      </c>
      <c r="H4399">
        <v>1.045113</v>
      </c>
      <c r="I4399">
        <v>256.35599999999999</v>
      </c>
      <c r="J4399">
        <v>-493.40699999999998</v>
      </c>
      <c r="K4399">
        <v>1.1100749999999999</v>
      </c>
      <c r="L4399">
        <v>257.08539999999999</v>
      </c>
      <c r="M4399">
        <v>3.497749E-2</v>
      </c>
      <c r="N4399">
        <v>0</v>
      </c>
      <c r="O4399">
        <v>-0.99929860000000004</v>
      </c>
      <c r="P4399">
        <v>5.5161050000000003E-2</v>
      </c>
      <c r="Q4399">
        <v>-4.12941E-2</v>
      </c>
      <c r="R4399">
        <v>-0.9976237</v>
      </c>
      <c r="S4399">
        <v>1.6479489999999999E-3</v>
      </c>
      <c r="T4399">
        <v>-0.2379676</v>
      </c>
      <c r="U4399">
        <v>-2.9973909999999999</v>
      </c>
      <c r="V4399">
        <v>-2.024946E-2</v>
      </c>
      <c r="W4399">
        <v>-2.7900620000000001E-2</v>
      </c>
      <c r="X4399">
        <v>0.99940560000000001</v>
      </c>
      <c r="Y4399">
        <v>3.4432839999999999E-2</v>
      </c>
      <c r="Z4399">
        <v>7.9046489999999997E-2</v>
      </c>
      <c r="AA4399">
        <v>0.9962761</v>
      </c>
      <c r="AB4399">
        <v>18</v>
      </c>
      <c r="AC4399">
        <v>-3.0000000000427402E-3</v>
      </c>
      <c r="AD4399">
        <v>-6.4961999999999895E-2</v>
      </c>
      <c r="AE4399">
        <v>-0.72939999999999805</v>
      </c>
      <c r="AF4399">
        <v>2.82886432972232E-2</v>
      </c>
      <c r="AG4399">
        <v>-6.4961999999999895E-2</v>
      </c>
      <c r="AH4399">
        <v>0.72311296358476296</v>
      </c>
      <c r="AI4399">
        <v>95.129573969158002</v>
      </c>
      <c r="AJ4399">
        <v>87.759694734369802</v>
      </c>
      <c r="AK4399">
        <v>0.72657598837832305</v>
      </c>
      <c r="AL4399">
        <v>91.598795215671799</v>
      </c>
      <c r="AM4399">
        <v>91.160739812018804</v>
      </c>
      <c r="AN4399">
        <v>1.0000000192690099</v>
      </c>
    </row>
    <row r="4400" spans="1:40" x14ac:dyDescent="0.25">
      <c r="A4400" t="str">
        <f>"20190312150740856"</f>
        <v>20190312150740856</v>
      </c>
      <c r="B4400" t="str">
        <f>"1552374460844598"</f>
        <v>1552374460844598</v>
      </c>
      <c r="C4400" t="s">
        <v>40</v>
      </c>
      <c r="D4400">
        <v>4.7661119999999997</v>
      </c>
      <c r="E4400">
        <v>0.52141159999999998</v>
      </c>
      <c r="F4400" t="s">
        <v>41</v>
      </c>
      <c r="G4400">
        <v>-493.40800000000002</v>
      </c>
      <c r="H4400">
        <v>1.040151</v>
      </c>
      <c r="I4400">
        <v>256.20170000000002</v>
      </c>
      <c r="J4400">
        <v>-493.40359999999998</v>
      </c>
      <c r="K4400">
        <v>1.1100239999999999</v>
      </c>
      <c r="L4400">
        <v>256.99239999999998</v>
      </c>
      <c r="M4400">
        <v>3.5006290000000002E-2</v>
      </c>
      <c r="N4400">
        <v>0</v>
      </c>
      <c r="O4400">
        <v>-0.99929760000000001</v>
      </c>
      <c r="P4400">
        <v>5.3522300000000002E-2</v>
      </c>
      <c r="Q4400">
        <v>-4.1171569999999998E-2</v>
      </c>
      <c r="R4400">
        <v>-0.99771759999999998</v>
      </c>
      <c r="S4400">
        <v>-2.2277830000000001E-3</v>
      </c>
      <c r="T4400">
        <v>-0.23733560000000001</v>
      </c>
      <c r="U4400">
        <v>-2.9974820000000002</v>
      </c>
      <c r="V4400">
        <v>-1.8582979999999999E-2</v>
      </c>
      <c r="W4400">
        <v>-2.778104E-2</v>
      </c>
      <c r="X4400">
        <v>0.99944129999999998</v>
      </c>
      <c r="Y4400">
        <v>3.5749820000000002E-2</v>
      </c>
      <c r="Z4400">
        <v>7.8833509999999996E-2</v>
      </c>
      <c r="AA4400">
        <v>0.99624659999999998</v>
      </c>
      <c r="AB4400">
        <v>18</v>
      </c>
      <c r="AC4400">
        <v>-4.4000000000323702E-3</v>
      </c>
      <c r="AD4400">
        <v>-6.9872999999999796E-2</v>
      </c>
      <c r="AE4400">
        <v>-0.79069999999995799</v>
      </c>
      <c r="AF4400">
        <v>3.1830693896761297E-2</v>
      </c>
      <c r="AG4400">
        <v>-6.9872999999999796E-2</v>
      </c>
      <c r="AH4400">
        <v>0.78393965197964099</v>
      </c>
      <c r="AI4400">
        <v>95.089175845224204</v>
      </c>
      <c r="AJ4400">
        <v>87.6748680097202</v>
      </c>
      <c r="AK4400">
        <v>0.78769080682010595</v>
      </c>
      <c r="AL4400">
        <v>91.591941140029704</v>
      </c>
      <c r="AM4400">
        <v>91.065198780081701</v>
      </c>
      <c r="AN4400">
        <v>1.00000001273742</v>
      </c>
    </row>
    <row r="4401" spans="1:40" x14ac:dyDescent="0.25">
      <c r="A4401" t="str">
        <f>"20190312150740868"</f>
        <v>20190312150740868</v>
      </c>
      <c r="B4401" t="str">
        <f>"1552374460864119"</f>
        <v>1552374460864119</v>
      </c>
      <c r="C4401" t="s">
        <v>40</v>
      </c>
      <c r="D4401">
        <v>4.7749860000000002</v>
      </c>
      <c r="E4401">
        <v>0.52144789999999996</v>
      </c>
      <c r="F4401" t="s">
        <v>41</v>
      </c>
      <c r="G4401">
        <v>-493.40600000000001</v>
      </c>
      <c r="H4401">
        <v>1.047029</v>
      </c>
      <c r="I4401">
        <v>256.19580000000002</v>
      </c>
      <c r="J4401">
        <v>-493.40050000000002</v>
      </c>
      <c r="K4401">
        <v>1.1099779999999999</v>
      </c>
      <c r="L4401">
        <v>256.90519999999998</v>
      </c>
      <c r="M4401">
        <v>3.5006750000000003E-2</v>
      </c>
      <c r="N4401">
        <v>0</v>
      </c>
      <c r="O4401">
        <v>-0.99929769999999896</v>
      </c>
      <c r="P4401">
        <v>5.1977820000000001E-2</v>
      </c>
      <c r="Q4401">
        <v>-4.1125439999999999E-2</v>
      </c>
      <c r="R4401">
        <v>-0.99780159999999996</v>
      </c>
      <c r="S4401">
        <v>-7.4768069999999898E-3</v>
      </c>
      <c r="T4401">
        <v>-0.2372369</v>
      </c>
      <c r="U4401">
        <v>-2.997452</v>
      </c>
      <c r="V4401">
        <v>-1.7038899999999999E-2</v>
      </c>
      <c r="W4401">
        <v>-2.773801E-2</v>
      </c>
      <c r="X4401">
        <v>0.99946999999999997</v>
      </c>
      <c r="Y4401">
        <v>3.7494819999999998E-2</v>
      </c>
      <c r="Z4401">
        <v>7.879912E-2</v>
      </c>
      <c r="AA4401">
        <v>0.99618510000000005</v>
      </c>
      <c r="AB4401">
        <v>18</v>
      </c>
      <c r="AC4401">
        <v>-5.4999999999836204E-3</v>
      </c>
      <c r="AD4401">
        <v>-6.2949000000000102E-2</v>
      </c>
      <c r="AE4401">
        <v>-0.70939999999995895</v>
      </c>
      <c r="AF4401">
        <v>3.0095676093303499E-2</v>
      </c>
      <c r="AG4401">
        <v>-6.2949000000000102E-2</v>
      </c>
      <c r="AH4401">
        <v>0.70323561655760702</v>
      </c>
      <c r="AI4401">
        <v>95.110453406203007</v>
      </c>
      <c r="AJ4401">
        <v>87.549464761645098</v>
      </c>
      <c r="AK4401">
        <v>0.706688516049094</v>
      </c>
      <c r="AL4401">
        <v>91.589474770689606</v>
      </c>
      <c r="AM4401">
        <v>90.976680137293599</v>
      </c>
      <c r="AN4401">
        <v>1.00000000110598</v>
      </c>
    </row>
    <row r="4402" spans="1:40" x14ac:dyDescent="0.25">
      <c r="A4402" t="str">
        <f>"20190312150740886"</f>
        <v>20190312150740886</v>
      </c>
      <c r="B4402" t="str">
        <f>"1552374460873879"</f>
        <v>1552374460873879</v>
      </c>
      <c r="C4402" t="s">
        <v>40</v>
      </c>
      <c r="D4402">
        <v>4.7421179999999996</v>
      </c>
      <c r="E4402">
        <v>0.5214818</v>
      </c>
      <c r="F4402" t="s">
        <v>41</v>
      </c>
      <c r="G4402">
        <v>-493.40410000000003</v>
      </c>
      <c r="H4402">
        <v>1.041717</v>
      </c>
      <c r="I4402">
        <v>256.04230000000001</v>
      </c>
      <c r="J4402">
        <v>-493.3954</v>
      </c>
      <c r="K4402">
        <v>1.109917</v>
      </c>
      <c r="L4402">
        <v>256.75869999999998</v>
      </c>
      <c r="M4402">
        <v>3.4887649999999999E-2</v>
      </c>
      <c r="N4402">
        <v>0</v>
      </c>
      <c r="O4402">
        <v>-0.99930169999999996</v>
      </c>
      <c r="P4402">
        <v>4.8245900000000001E-2</v>
      </c>
      <c r="Q4402">
        <v>-4.1832220000000003E-2</v>
      </c>
      <c r="R4402">
        <v>-0.99795919999999905</v>
      </c>
      <c r="S4402">
        <v>-1.205444E-2</v>
      </c>
      <c r="T4402">
        <v>-0.2371944</v>
      </c>
      <c r="U4402">
        <v>-2.9974669999999999</v>
      </c>
      <c r="V4402">
        <v>-1.342839E-2</v>
      </c>
      <c r="W4402">
        <v>-2.8451779999999999E-2</v>
      </c>
      <c r="X4402">
        <v>0.99950499999999998</v>
      </c>
      <c r="Y4402">
        <v>3.8897010000000003E-2</v>
      </c>
      <c r="Z4402">
        <v>7.8782889999999994E-2</v>
      </c>
      <c r="AA4402">
        <v>0.99613269999999998</v>
      </c>
      <c r="AB4402">
        <v>18</v>
      </c>
      <c r="AC4402">
        <v>-8.7000000000330095E-3</v>
      </c>
      <c r="AD4402">
        <v>-6.8199999999999997E-2</v>
      </c>
      <c r="AE4402">
        <v>-0.71639999999996395</v>
      </c>
      <c r="AF4402">
        <v>3.3387912071751402E-2</v>
      </c>
      <c r="AG4402">
        <v>-6.8199999999999997E-2</v>
      </c>
      <c r="AH4402">
        <v>0.70923363326266198</v>
      </c>
      <c r="AI4402">
        <v>95.486642309062105</v>
      </c>
      <c r="AJ4402">
        <v>87.304731364141503</v>
      </c>
      <c r="AK4402">
        <v>0.71328699639308402</v>
      </c>
      <c r="AL4402">
        <v>91.6303868740453</v>
      </c>
      <c r="AM4402">
        <v>90.769724799729005</v>
      </c>
      <c r="AN4402">
        <v>1.0000000352340701</v>
      </c>
    </row>
    <row r="4403" spans="1:40" x14ac:dyDescent="0.25">
      <c r="A4403" t="str">
        <f>"20190312150740900"</f>
        <v>20190312150740900</v>
      </c>
      <c r="B4403" t="str">
        <f>"1552374460894375"</f>
        <v>1552374460894375</v>
      </c>
      <c r="C4403" t="s">
        <v>40</v>
      </c>
      <c r="D4403">
        <v>4.7849339999999998</v>
      </c>
      <c r="E4403">
        <v>0.5213622</v>
      </c>
      <c r="F4403" t="s">
        <v>41</v>
      </c>
      <c r="G4403">
        <v>-493.40260000000001</v>
      </c>
      <c r="H4403">
        <v>1.0404329999999999</v>
      </c>
      <c r="I4403">
        <v>255.88470000000001</v>
      </c>
      <c r="J4403">
        <v>-493.39179999999999</v>
      </c>
      <c r="K4403">
        <v>1.1098840000000001</v>
      </c>
      <c r="L4403">
        <v>256.64920000000001</v>
      </c>
      <c r="M4403">
        <v>3.4708780000000002E-2</v>
      </c>
      <c r="N4403">
        <v>0</v>
      </c>
      <c r="O4403">
        <v>-0.99930830000000004</v>
      </c>
      <c r="P4403">
        <v>4.6613000000000002E-2</v>
      </c>
      <c r="Q4403">
        <v>-4.2208820000000001E-2</v>
      </c>
      <c r="R4403">
        <v>-0.99802089999999999</v>
      </c>
      <c r="S4403">
        <v>-2.39563E-2</v>
      </c>
      <c r="T4403">
        <v>-0.23840359999999999</v>
      </c>
      <c r="U4403">
        <v>-2.9973299999999998</v>
      </c>
      <c r="V4403">
        <v>-1.197604E-2</v>
      </c>
      <c r="W4403">
        <v>-2.8832690000000001E-2</v>
      </c>
      <c r="X4403">
        <v>0.99951250000000003</v>
      </c>
      <c r="Y4403">
        <v>4.2673089999999997E-2</v>
      </c>
      <c r="Z4403">
        <v>7.9179269999999996E-2</v>
      </c>
      <c r="AA4403">
        <v>0.99594660000000002</v>
      </c>
      <c r="AB4403">
        <v>18</v>
      </c>
      <c r="AC4403">
        <v>-1.08000000000174E-2</v>
      </c>
      <c r="AD4403">
        <v>-6.9451000000000096E-2</v>
      </c>
      <c r="AE4403">
        <v>-0.76449999999999796</v>
      </c>
      <c r="AF4403">
        <v>3.7025217435340901E-2</v>
      </c>
      <c r="AG4403">
        <v>-6.9451000000000096E-2</v>
      </c>
      <c r="AH4403">
        <v>0.75741483837561696</v>
      </c>
      <c r="AI4403">
        <v>95.232860618183906</v>
      </c>
      <c r="AJ4403">
        <v>87.201399761886805</v>
      </c>
      <c r="AK4403">
        <v>0.76149297141779104</v>
      </c>
      <c r="AL4403">
        <v>91.652220435279602</v>
      </c>
      <c r="AM4403">
        <v>90.6864783712264</v>
      </c>
      <c r="AN4403">
        <v>0.99999999360148295</v>
      </c>
    </row>
    <row r="4404" spans="1:40" x14ac:dyDescent="0.25">
      <c r="A4404" t="str">
        <f>"20190312150740913"</f>
        <v>20190312150740913</v>
      </c>
      <c r="B4404" t="str">
        <f>"1552374460904134"</f>
        <v>1552374460904134</v>
      </c>
      <c r="C4404" t="s">
        <v>40</v>
      </c>
      <c r="D4404">
        <v>4.7248239999999999</v>
      </c>
      <c r="E4404">
        <v>0.5213584</v>
      </c>
      <c r="F4404" t="s">
        <v>41</v>
      </c>
      <c r="G4404">
        <v>-493.39890000000003</v>
      </c>
      <c r="H4404">
        <v>1.0484990000000001</v>
      </c>
      <c r="I4404">
        <v>255.87790000000001</v>
      </c>
      <c r="J4404">
        <v>-493.38819999999998</v>
      </c>
      <c r="K4404">
        <v>1.1098570000000001</v>
      </c>
      <c r="L4404">
        <v>256.54230000000001</v>
      </c>
      <c r="M4404">
        <v>3.4481699999999997E-2</v>
      </c>
      <c r="N4404">
        <v>0</v>
      </c>
      <c r="O4404">
        <v>-0.99931590000000003</v>
      </c>
      <c r="P4404">
        <v>4.4705340000000003E-2</v>
      </c>
      <c r="Q4404">
        <v>-4.2236709999999997E-2</v>
      </c>
      <c r="R4404">
        <v>-0.99810710000000002</v>
      </c>
      <c r="S4404">
        <v>-2.7557370000000001E-2</v>
      </c>
      <c r="T4404">
        <v>-0.23867050000000001</v>
      </c>
      <c r="U4404">
        <v>-2.997147</v>
      </c>
      <c r="V4404">
        <v>-1.0295510000000001E-2</v>
      </c>
      <c r="W4404">
        <v>-2.8865020000000002E-2</v>
      </c>
      <c r="X4404">
        <v>0.99953029999999998</v>
      </c>
      <c r="Y4404">
        <v>4.364299E-2</v>
      </c>
      <c r="Z4404">
        <v>7.9271019999999998E-2</v>
      </c>
      <c r="AA4404">
        <v>0.99589729999999999</v>
      </c>
      <c r="AB4404">
        <v>18</v>
      </c>
      <c r="AC4404">
        <v>-1.07000000000425E-2</v>
      </c>
      <c r="AD4404">
        <v>-6.1357999999999802E-2</v>
      </c>
      <c r="AE4404">
        <v>-0.66439999999999999</v>
      </c>
      <c r="AF4404">
        <v>3.3321211994196701E-2</v>
      </c>
      <c r="AG4404">
        <v>-6.1357999999999802E-2</v>
      </c>
      <c r="AH4404">
        <v>0.658025194789853</v>
      </c>
      <c r="AI4404">
        <v>95.320401665708204</v>
      </c>
      <c r="AJ4404">
        <v>87.101120910782299</v>
      </c>
      <c r="AK4404">
        <v>0.66171917329860297</v>
      </c>
      <c r="AL4404">
        <v>91.654073562338397</v>
      </c>
      <c r="AM4404">
        <v>90.590145601790894</v>
      </c>
      <c r="AN4404">
        <v>1.0000000037619201</v>
      </c>
    </row>
    <row r="4405" spans="1:40" x14ac:dyDescent="0.25">
      <c r="A4405" t="str">
        <f>"20190312150740930"</f>
        <v>20190312150740930</v>
      </c>
      <c r="B4405" t="str">
        <f>"1552374460924163"</f>
        <v>1552374460924163</v>
      </c>
      <c r="C4405" t="s">
        <v>40</v>
      </c>
      <c r="D4405">
        <v>4.7562569999999997</v>
      </c>
      <c r="E4405">
        <v>0.52129389999999998</v>
      </c>
      <c r="F4405" t="s">
        <v>41</v>
      </c>
      <c r="G4405">
        <v>-493.39729999999997</v>
      </c>
      <c r="H4405">
        <v>1.044522</v>
      </c>
      <c r="I4405">
        <v>255.7235</v>
      </c>
      <c r="J4405">
        <v>-493.3843</v>
      </c>
      <c r="K4405">
        <v>1.109834</v>
      </c>
      <c r="L4405">
        <v>256.41890000000001</v>
      </c>
      <c r="M4405">
        <v>3.4165809999999998E-2</v>
      </c>
      <c r="N4405">
        <v>0</v>
      </c>
      <c r="O4405">
        <v>-0.99932690000000002</v>
      </c>
      <c r="P4405">
        <v>4.1596210000000002E-2</v>
      </c>
      <c r="Q4405">
        <v>-4.1126490000000002E-2</v>
      </c>
      <c r="R4405">
        <v>-0.99828790000000001</v>
      </c>
      <c r="S4405">
        <v>-3.3660889999999999E-2</v>
      </c>
      <c r="T4405">
        <v>-0.2391452</v>
      </c>
      <c r="U4405">
        <v>-2.9971009999999998</v>
      </c>
      <c r="V4405">
        <v>-7.4984650000000002E-3</v>
      </c>
      <c r="W4405">
        <v>-2.77605E-2</v>
      </c>
      <c r="X4405">
        <v>0.99958650000000004</v>
      </c>
      <c r="Y4405">
        <v>4.5355029999999998E-2</v>
      </c>
      <c r="Z4405">
        <v>7.9426339999999998E-2</v>
      </c>
      <c r="AA4405">
        <v>0.99580840000000004</v>
      </c>
      <c r="AB4405">
        <v>18</v>
      </c>
      <c r="AC4405">
        <v>-1.2999999999976799E-2</v>
      </c>
      <c r="AD4405">
        <v>-6.5311999999999995E-2</v>
      </c>
      <c r="AE4405">
        <v>-0.69540000000000601</v>
      </c>
      <c r="AF4405">
        <v>3.6432178277341798E-2</v>
      </c>
      <c r="AG4405">
        <v>-6.5311999999999995E-2</v>
      </c>
      <c r="AH4405">
        <v>0.68847880998228195</v>
      </c>
      <c r="AI4405">
        <v>95.411575516237406</v>
      </c>
      <c r="AJ4405">
        <v>86.970909050996198</v>
      </c>
      <c r="AK4405">
        <v>0.69252872341344196</v>
      </c>
      <c r="AL4405">
        <v>91.590763816469007</v>
      </c>
      <c r="AM4405">
        <v>90.429800060987603</v>
      </c>
      <c r="AN4405">
        <v>1.0000000216599201</v>
      </c>
    </row>
    <row r="4406" spans="1:40" x14ac:dyDescent="0.25">
      <c r="A4406" t="str">
        <f>"20190312150740940"</f>
        <v>20190312150740940</v>
      </c>
      <c r="B4406" t="str">
        <f>"1552374460933922"</f>
        <v>1552374460933922</v>
      </c>
      <c r="C4406" t="s">
        <v>40</v>
      </c>
      <c r="D4406">
        <v>4.7898769999999997</v>
      </c>
      <c r="E4406">
        <v>0.52127780000000001</v>
      </c>
      <c r="F4406" t="s">
        <v>41</v>
      </c>
      <c r="G4406">
        <v>-493.39690000000002</v>
      </c>
      <c r="H4406">
        <v>1.042794</v>
      </c>
      <c r="I4406">
        <v>255.56739999999999</v>
      </c>
      <c r="J4406">
        <v>-493.38130000000001</v>
      </c>
      <c r="K4406">
        <v>1.1098129999999999</v>
      </c>
      <c r="L4406">
        <v>256.32209999999998</v>
      </c>
      <c r="M4406">
        <v>3.3873639999999997E-2</v>
      </c>
      <c r="N4406">
        <v>0</v>
      </c>
      <c r="O4406">
        <v>-0.99933709999999998</v>
      </c>
      <c r="P4406">
        <v>3.9656730000000001E-2</v>
      </c>
      <c r="Q4406">
        <v>-4.0445920000000003E-2</v>
      </c>
      <c r="R4406">
        <v>-0.99839500000000003</v>
      </c>
      <c r="S4406">
        <v>-4.2205810000000003E-2</v>
      </c>
      <c r="T4406">
        <v>-0.23605889999999999</v>
      </c>
      <c r="U4406">
        <v>-2.9972080000000001</v>
      </c>
      <c r="V4406">
        <v>-5.8493909999999998E-3</v>
      </c>
      <c r="W4406">
        <v>-2.7083860000000001E-2</v>
      </c>
      <c r="X4406">
        <v>0.99961599999999995</v>
      </c>
      <c r="Y4406">
        <v>4.7902100000000003E-2</v>
      </c>
      <c r="Z4406">
        <v>7.8399969999999999E-2</v>
      </c>
      <c r="AA4406">
        <v>0.9957705</v>
      </c>
      <c r="AB4406">
        <v>18</v>
      </c>
      <c r="AC4406">
        <v>-1.5600000000006199E-2</v>
      </c>
      <c r="AD4406">
        <v>-6.7018999999999898E-2</v>
      </c>
      <c r="AE4406">
        <v>-0.75469999999998505</v>
      </c>
      <c r="AF4406">
        <v>4.0835869747576498E-2</v>
      </c>
      <c r="AG4406">
        <v>-6.7018999999999898E-2</v>
      </c>
      <c r="AH4406">
        <v>0.74784349759627899</v>
      </c>
      <c r="AI4406">
        <v>95.113381448136906</v>
      </c>
      <c r="AJ4406">
        <v>86.8744774715651</v>
      </c>
      <c r="AK4406">
        <v>0.75195013898268304</v>
      </c>
      <c r="AL4406">
        <v>91.551980728117002</v>
      </c>
      <c r="AM4406">
        <v>90.335270335596604</v>
      </c>
      <c r="AN4406">
        <v>0.99999994915178303</v>
      </c>
    </row>
    <row r="4407" spans="1:40" x14ac:dyDescent="0.25">
      <c r="A4407" t="str">
        <f>"20190312150740952"</f>
        <v>20190312150740952</v>
      </c>
      <c r="B4407" t="str">
        <f>"1552374460944657"</f>
        <v>1552374460944657</v>
      </c>
      <c r="C4407" t="s">
        <v>40</v>
      </c>
      <c r="D4407">
        <v>4.8720939999999997</v>
      </c>
      <c r="E4407">
        <v>0.52130580000000004</v>
      </c>
      <c r="F4407" t="s">
        <v>41</v>
      </c>
      <c r="G4407">
        <v>-493.39400000000001</v>
      </c>
      <c r="H4407">
        <v>1.050251</v>
      </c>
      <c r="I4407">
        <v>255.56049999999999</v>
      </c>
      <c r="J4407">
        <v>-493.37860000000001</v>
      </c>
      <c r="K4407">
        <v>1.109799</v>
      </c>
      <c r="L4407">
        <v>256.23430000000002</v>
      </c>
      <c r="M4407">
        <v>3.3571360000000001E-2</v>
      </c>
      <c r="N4407">
        <v>0</v>
      </c>
      <c r="O4407">
        <v>-0.99934719999999999</v>
      </c>
      <c r="P4407">
        <v>3.799102E-2</v>
      </c>
      <c r="Q4407">
        <v>-3.9850419999999998E-2</v>
      </c>
      <c r="R4407">
        <v>-0.99848320000000002</v>
      </c>
      <c r="S4407">
        <v>-4.769897E-2</v>
      </c>
      <c r="T4407">
        <v>-0.23454240000000001</v>
      </c>
      <c r="U4407">
        <v>-2.997223</v>
      </c>
      <c r="V4407">
        <v>-4.48432E-3</v>
      </c>
      <c r="W4407">
        <v>-2.649172E-2</v>
      </c>
      <c r="X4407">
        <v>0.99963900000000006</v>
      </c>
      <c r="Y4407">
        <v>4.9425070000000002E-2</v>
      </c>
      <c r="Z4407">
        <v>7.7896220000000002E-2</v>
      </c>
      <c r="AA4407">
        <v>0.99573560000000005</v>
      </c>
      <c r="AB4407">
        <v>18</v>
      </c>
      <c r="AC4407">
        <v>-1.53999999999996E-2</v>
      </c>
      <c r="AD4407">
        <v>-5.95479999999999E-2</v>
      </c>
      <c r="AE4407">
        <v>-0.67380000000002804</v>
      </c>
      <c r="AF4407">
        <v>3.77192671139795E-2</v>
      </c>
      <c r="AG4407">
        <v>-5.95479999999999E-2</v>
      </c>
      <c r="AH4407">
        <v>0.66769088277163702</v>
      </c>
      <c r="AI4407">
        <v>95.0883691216344</v>
      </c>
      <c r="AJ4407">
        <v>86.766677135784093</v>
      </c>
      <c r="AK4407">
        <v>0.67140138691544504</v>
      </c>
      <c r="AL4407">
        <v>91.518041307967195</v>
      </c>
      <c r="AM4407">
        <v>90.257023672078304</v>
      </c>
      <c r="AN4407">
        <v>1.0000000253377099</v>
      </c>
    </row>
    <row r="4408" spans="1:40" x14ac:dyDescent="0.25">
      <c r="A4408" t="str">
        <f>"20190312150740963"</f>
        <v>20190312150740963</v>
      </c>
      <c r="B4408" t="str">
        <f>"1552374460954418"</f>
        <v>1552374460954418</v>
      </c>
      <c r="C4408" t="s">
        <v>40</v>
      </c>
      <c r="D4408">
        <v>4.7863020000000001</v>
      </c>
      <c r="E4408">
        <v>0.52132230000000002</v>
      </c>
      <c r="F4408" t="s">
        <v>41</v>
      </c>
      <c r="G4408">
        <v>-493.39350000000002</v>
      </c>
      <c r="H4408">
        <v>1.045685</v>
      </c>
      <c r="I4408">
        <v>255.40710000000001</v>
      </c>
      <c r="J4408">
        <v>-493.37610000000001</v>
      </c>
      <c r="K4408">
        <v>1.109785</v>
      </c>
      <c r="L4408">
        <v>256.14920000000001</v>
      </c>
      <c r="M4408">
        <v>3.3264479999999999E-2</v>
      </c>
      <c r="N4408">
        <v>0</v>
      </c>
      <c r="O4408">
        <v>-0.99935750000000001</v>
      </c>
      <c r="P4408">
        <v>3.6489279999999999E-2</v>
      </c>
      <c r="Q4408">
        <v>-3.9055680000000002E-2</v>
      </c>
      <c r="R4408">
        <v>-0.99857090000000004</v>
      </c>
      <c r="S4408">
        <v>-5.3100590000000003E-2</v>
      </c>
      <c r="T4408">
        <v>-0.23231350000000001</v>
      </c>
      <c r="U4408">
        <v>-2.9972989999999999</v>
      </c>
      <c r="V4408">
        <v>-3.2874800000000002E-3</v>
      </c>
      <c r="W4408">
        <v>-2.5700009999999999E-2</v>
      </c>
      <c r="X4408">
        <v>0.99966429999999995</v>
      </c>
      <c r="Y4408">
        <v>5.0912899999999997E-2</v>
      </c>
      <c r="Z4408">
        <v>7.7155589999999996E-2</v>
      </c>
      <c r="AA4408">
        <v>0.99571829999999995</v>
      </c>
      <c r="AB4408">
        <v>18</v>
      </c>
      <c r="AC4408">
        <v>-1.7400000000009099E-2</v>
      </c>
      <c r="AD4408">
        <v>-6.4100000000000004E-2</v>
      </c>
      <c r="AE4408">
        <v>-0.74209999999999299</v>
      </c>
      <c r="AF4408">
        <v>4.1766691651880301E-2</v>
      </c>
      <c r="AG4408">
        <v>-6.4100000000000004E-2</v>
      </c>
      <c r="AH4408">
        <v>0.73562497495197798</v>
      </c>
      <c r="AI4408">
        <v>94.972024409876397</v>
      </c>
      <c r="AJ4408">
        <v>86.750397626477195</v>
      </c>
      <c r="AK4408">
        <v>0.73959270568647495</v>
      </c>
      <c r="AL4408">
        <v>91.472664242348301</v>
      </c>
      <c r="AM4408">
        <v>90.188421303249896</v>
      </c>
      <c r="AN4408">
        <v>1.00000000536662</v>
      </c>
    </row>
    <row r="4409" spans="1:40" x14ac:dyDescent="0.25">
      <c r="A4409" t="str">
        <f>"20190312150740973"</f>
        <v>20190312150740973</v>
      </c>
      <c r="B4409" t="str">
        <f>"1552374460964178"</f>
        <v>1552374460964178</v>
      </c>
      <c r="C4409" t="s">
        <v>40</v>
      </c>
      <c r="D4409">
        <v>4.779407</v>
      </c>
      <c r="E4409">
        <v>0.52133379999999996</v>
      </c>
      <c r="F4409" t="s">
        <v>41</v>
      </c>
      <c r="G4409">
        <v>-493.39089999999999</v>
      </c>
      <c r="H4409">
        <v>1.0518970000000001</v>
      </c>
      <c r="I4409">
        <v>255.3922</v>
      </c>
      <c r="J4409">
        <v>-493.37369999999999</v>
      </c>
      <c r="K4409">
        <v>1.109769</v>
      </c>
      <c r="L4409">
        <v>256.06380000000001</v>
      </c>
      <c r="M4409">
        <v>3.291285E-2</v>
      </c>
      <c r="N4409">
        <v>0</v>
      </c>
      <c r="O4409">
        <v>-0.99936899999999995</v>
      </c>
      <c r="P4409">
        <v>3.5150939999999999E-2</v>
      </c>
      <c r="Q4409">
        <v>-3.8528720000000002E-2</v>
      </c>
      <c r="R4409">
        <v>-0.9986391</v>
      </c>
      <c r="S4409">
        <v>-5.7800289999999997E-2</v>
      </c>
      <c r="T4409">
        <v>-0.22926250000000001</v>
      </c>
      <c r="U4409">
        <v>-2.9974370000000001</v>
      </c>
      <c r="V4409">
        <v>-2.2993570000000001E-3</v>
      </c>
      <c r="W4409">
        <v>-2.5175699999999999E-2</v>
      </c>
      <c r="X4409">
        <v>0.99968040000000002</v>
      </c>
      <c r="Y4409">
        <v>5.2122809999999999E-2</v>
      </c>
      <c r="Z4409">
        <v>7.6142600000000005E-2</v>
      </c>
      <c r="AA4409">
        <v>0.99573370000000005</v>
      </c>
      <c r="AB4409">
        <v>18</v>
      </c>
      <c r="AC4409">
        <v>-1.7200000000002501E-2</v>
      </c>
      <c r="AD4409">
        <v>-5.7872000000000097E-2</v>
      </c>
      <c r="AE4409">
        <v>-0.67160000000001197</v>
      </c>
      <c r="AF4409">
        <v>3.9007467874679798E-2</v>
      </c>
      <c r="AG4409">
        <v>-5.7872000000000097E-2</v>
      </c>
      <c r="AH4409">
        <v>0.66572990537705701</v>
      </c>
      <c r="AI4409">
        <v>94.959776906522293</v>
      </c>
      <c r="AJ4409">
        <v>86.646671836726298</v>
      </c>
      <c r="AK4409">
        <v>0.66937811276388404</v>
      </c>
      <c r="AL4409">
        <v>91.442613771932201</v>
      </c>
      <c r="AM4409">
        <v>90.131785337962299</v>
      </c>
      <c r="AN4409">
        <v>1.00000000252863</v>
      </c>
    </row>
    <row r="4410" spans="1:40" x14ac:dyDescent="0.25">
      <c r="A4410" t="str">
        <f>"20190312150740986"</f>
        <v>20190312150740986</v>
      </c>
      <c r="B4410" t="str">
        <f>"1552374460973937"</f>
        <v>1552374460973937</v>
      </c>
      <c r="C4410" t="s">
        <v>40</v>
      </c>
      <c r="D4410">
        <v>4.7924319999999998</v>
      </c>
      <c r="E4410">
        <v>0.52132529999999999</v>
      </c>
      <c r="F4410" t="s">
        <v>41</v>
      </c>
      <c r="G4410">
        <v>-493.39069999999998</v>
      </c>
      <c r="H4410">
        <v>1.0479019999999999</v>
      </c>
      <c r="I4410">
        <v>255.2475</v>
      </c>
      <c r="J4410">
        <v>-493.37090000000001</v>
      </c>
      <c r="K4410">
        <v>1.1097539999999999</v>
      </c>
      <c r="L4410">
        <v>255.96729999999999</v>
      </c>
      <c r="M4410">
        <v>3.2500399999999999E-2</v>
      </c>
      <c r="N4410">
        <v>0</v>
      </c>
      <c r="O4410">
        <v>-0.99938269999999996</v>
      </c>
      <c r="P4410">
        <v>3.376171E-2</v>
      </c>
      <c r="Q4410">
        <v>-3.7991780000000003E-2</v>
      </c>
      <c r="R4410">
        <v>-0.99870789999999998</v>
      </c>
      <c r="S4410">
        <v>-6.2072750000000003E-2</v>
      </c>
      <c r="T4410">
        <v>-0.22717519999999999</v>
      </c>
      <c r="U4410">
        <v>-2.9974820000000002</v>
      </c>
      <c r="V4410">
        <v>-1.3212160000000001E-3</v>
      </c>
      <c r="W4410">
        <v>-2.4641610000000001E-2</v>
      </c>
      <c r="X4410">
        <v>0.99969549999999996</v>
      </c>
      <c r="Y4410">
        <v>5.3130129999999998E-2</v>
      </c>
      <c r="Z4410">
        <v>7.5450639999999999E-2</v>
      </c>
      <c r="AA4410">
        <v>0.99573310000000004</v>
      </c>
      <c r="AB4410">
        <v>18</v>
      </c>
      <c r="AC4410">
        <v>-1.9799999999975101E-2</v>
      </c>
      <c r="AD4410">
        <v>-6.1851999999999997E-2</v>
      </c>
      <c r="AE4410">
        <v>-0.719799999999992</v>
      </c>
      <c r="AF4410">
        <v>4.28691074083455E-2</v>
      </c>
      <c r="AG4410">
        <v>-6.1851999999999997E-2</v>
      </c>
      <c r="AH4410">
        <v>0.713511622190797</v>
      </c>
      <c r="AI4410">
        <v>94.945525436090506</v>
      </c>
      <c r="AJ4410">
        <v>86.561696090924798</v>
      </c>
      <c r="AK4410">
        <v>0.71746934796918804</v>
      </c>
      <c r="AL4410">
        <v>91.412003141442099</v>
      </c>
      <c r="AM4410">
        <v>90.075723114238997</v>
      </c>
      <c r="AN4410">
        <v>1.00000002363768</v>
      </c>
    </row>
    <row r="4411" spans="1:40" x14ac:dyDescent="0.25">
      <c r="A4411" t="str">
        <f>"20190312150741000"</f>
        <v>20190312150741000</v>
      </c>
      <c r="B4411" t="str">
        <f>"1552374460994433"</f>
        <v>1552374460994433</v>
      </c>
      <c r="C4411" t="s">
        <v>40</v>
      </c>
      <c r="D4411">
        <v>4.7953900000000003</v>
      </c>
      <c r="E4411">
        <v>0.52123609999999998</v>
      </c>
      <c r="F4411" t="s">
        <v>41</v>
      </c>
      <c r="G4411">
        <v>-493.3904</v>
      </c>
      <c r="H4411">
        <v>1.0441419999999999</v>
      </c>
      <c r="I4411">
        <v>255.09370000000001</v>
      </c>
      <c r="J4411">
        <v>-493.36790000000002</v>
      </c>
      <c r="K4411">
        <v>1.109737</v>
      </c>
      <c r="L4411">
        <v>255.8552</v>
      </c>
      <c r="M4411">
        <v>3.1968049999999998E-2</v>
      </c>
      <c r="N4411">
        <v>0</v>
      </c>
      <c r="O4411">
        <v>-0.99939990000000001</v>
      </c>
      <c r="P4411">
        <v>3.2690829999999997E-2</v>
      </c>
      <c r="Q4411">
        <v>-3.7460550000000002E-2</v>
      </c>
      <c r="R4411">
        <v>-0.99876339999999997</v>
      </c>
      <c r="S4411">
        <v>-6.6253660000000006E-2</v>
      </c>
      <c r="T4411">
        <v>-0.2251407</v>
      </c>
      <c r="U4411">
        <v>-2.9975740000000002</v>
      </c>
      <c r="V4411">
        <v>-7.8161069999999999E-4</v>
      </c>
      <c r="W4411">
        <v>-2.411261E-2</v>
      </c>
      <c r="X4411">
        <v>0.99970899999999996</v>
      </c>
      <c r="Y4411">
        <v>5.3986869999999999E-2</v>
      </c>
      <c r="Z4411">
        <v>7.4775579999999994E-2</v>
      </c>
      <c r="AA4411">
        <v>0.99573789999999995</v>
      </c>
      <c r="AB4411">
        <v>18</v>
      </c>
      <c r="AC4411">
        <v>-2.2499999999979502E-2</v>
      </c>
      <c r="AD4411">
        <v>-6.5595000000000001E-2</v>
      </c>
      <c r="AE4411">
        <v>-0.76149999999998297</v>
      </c>
      <c r="AF4411">
        <v>4.6489682768546703E-2</v>
      </c>
      <c r="AG4411">
        <v>-6.5595000000000001E-2</v>
      </c>
      <c r="AH4411">
        <v>0.75479570632297899</v>
      </c>
      <c r="AI4411">
        <v>94.957424196224807</v>
      </c>
      <c r="AJ4411">
        <v>86.475467566085896</v>
      </c>
      <c r="AK4411">
        <v>0.75906557879574899</v>
      </c>
      <c r="AL4411">
        <v>91.381684619025606</v>
      </c>
      <c r="AM4411">
        <v>90.044796020849404</v>
      </c>
      <c r="AN4411">
        <v>1.00000005677864</v>
      </c>
    </row>
    <row r="4412" spans="1:40" x14ac:dyDescent="0.25">
      <c r="A4412" t="str">
        <f>"20190312150741012"</f>
        <v>20190312150741012</v>
      </c>
      <c r="B4412" t="str">
        <f>"1552374461004193"</f>
        <v>1552374461004193</v>
      </c>
      <c r="C4412" t="s">
        <v>40</v>
      </c>
      <c r="D4412">
        <v>4.7977589999999903</v>
      </c>
      <c r="E4412">
        <v>0.52115920000000004</v>
      </c>
      <c r="F4412" t="s">
        <v>41</v>
      </c>
      <c r="G4412">
        <v>-493.38580000000002</v>
      </c>
      <c r="H4412">
        <v>1.0520890000000001</v>
      </c>
      <c r="I4412">
        <v>255.08019999999999</v>
      </c>
      <c r="J4412">
        <v>-493.36540000000002</v>
      </c>
      <c r="K4412">
        <v>1.109723</v>
      </c>
      <c r="L4412">
        <v>255.7602</v>
      </c>
      <c r="M4412">
        <v>3.1485109999999997E-2</v>
      </c>
      <c r="N4412">
        <v>0</v>
      </c>
      <c r="O4412">
        <v>-0.99941500000000005</v>
      </c>
      <c r="P4412">
        <v>3.1288389999999999E-2</v>
      </c>
      <c r="Q4412">
        <v>-3.7026549999999998E-2</v>
      </c>
      <c r="R4412">
        <v>-0.99882420000000005</v>
      </c>
      <c r="S4412">
        <v>-6.8664550000000005E-2</v>
      </c>
      <c r="T4412">
        <v>-0.22303300000000001</v>
      </c>
      <c r="U4412">
        <v>-2.9975890000000001</v>
      </c>
      <c r="V4412">
        <v>1.390052E-4</v>
      </c>
      <c r="W4412">
        <v>-2.368118E-2</v>
      </c>
      <c r="X4412">
        <v>0.99971960000000004</v>
      </c>
      <c r="Y4412">
        <v>5.4305869999999999E-2</v>
      </c>
      <c r="Z4412">
        <v>7.4079430000000002E-2</v>
      </c>
      <c r="AA4412">
        <v>0.99577260000000001</v>
      </c>
      <c r="AB4412">
        <v>18</v>
      </c>
      <c r="AC4412">
        <v>-2.0399999999994999E-2</v>
      </c>
      <c r="AD4412">
        <v>-5.7633999999999901E-2</v>
      </c>
      <c r="AE4412">
        <v>-0.68000000000000604</v>
      </c>
      <c r="AF4412">
        <v>4.1503791666916201E-2</v>
      </c>
      <c r="AG4412">
        <v>-5.7633999999999901E-2</v>
      </c>
      <c r="AH4412">
        <v>0.67418178638316895</v>
      </c>
      <c r="AI4412">
        <v>94.876995235836205</v>
      </c>
      <c r="AJ4412">
        <v>86.477218930379607</v>
      </c>
      <c r="AK4412">
        <v>0.67791247500656904</v>
      </c>
      <c r="AL4412">
        <v>91.356958452745502</v>
      </c>
      <c r="AM4412">
        <v>89.992033354913602</v>
      </c>
      <c r="AN4412">
        <v>1.00000004811639</v>
      </c>
    </row>
    <row r="4413" spans="1:40" x14ac:dyDescent="0.25">
      <c r="A4413" t="str">
        <f>"20190312150741023"</f>
        <v>20190312150741023</v>
      </c>
      <c r="B4413" t="str">
        <f>"1552374461013954"</f>
        <v>1552374461013954</v>
      </c>
      <c r="C4413" t="s">
        <v>40</v>
      </c>
      <c r="D4413">
        <v>8.2008089999999996</v>
      </c>
      <c r="E4413">
        <v>0.52109099999999997</v>
      </c>
      <c r="F4413" t="s">
        <v>41</v>
      </c>
      <c r="G4413">
        <v>-493.38589999999999</v>
      </c>
      <c r="H4413">
        <v>1.048252</v>
      </c>
      <c r="I4413">
        <v>254.93270000000001</v>
      </c>
      <c r="J4413">
        <v>-493.36320000000001</v>
      </c>
      <c r="K4413">
        <v>1.1097129999999999</v>
      </c>
      <c r="L4413">
        <v>255.6696</v>
      </c>
      <c r="M4413">
        <v>3.1009979999999999E-2</v>
      </c>
      <c r="N4413">
        <v>0</v>
      </c>
      <c r="O4413">
        <v>-0.99942980000000003</v>
      </c>
      <c r="P4413">
        <v>3.0149390000000002E-2</v>
      </c>
      <c r="Q4413">
        <v>-3.6765810000000003E-2</v>
      </c>
      <c r="R4413">
        <v>-0.99886909999999896</v>
      </c>
      <c r="S4413">
        <v>-7.2418209999999997E-2</v>
      </c>
      <c r="T4413">
        <v>-0.22264700000000001</v>
      </c>
      <c r="U4413">
        <v>-2.9975589999999999</v>
      </c>
      <c r="V4413">
        <v>8.0352389999999998E-4</v>
      </c>
      <c r="W4413">
        <v>-2.3422620000000002E-2</v>
      </c>
      <c r="X4413">
        <v>0.99972530000000004</v>
      </c>
      <c r="Y4413">
        <v>5.5077880000000003E-2</v>
      </c>
      <c r="Z4413">
        <v>7.3951680000000006E-2</v>
      </c>
      <c r="AA4413">
        <v>0.99573970000000001</v>
      </c>
      <c r="AB4413">
        <v>18</v>
      </c>
      <c r="AC4413">
        <v>-2.2699999999986099E-2</v>
      </c>
      <c r="AD4413">
        <v>-6.1460999999999898E-2</v>
      </c>
      <c r="AE4413">
        <v>-0.73689999999999101</v>
      </c>
      <c r="AF4413">
        <v>4.5228050172138802E-2</v>
      </c>
      <c r="AG4413">
        <v>-6.1460999999999898E-2</v>
      </c>
      <c r="AH4413">
        <v>0.73076292202763404</v>
      </c>
      <c r="AI4413">
        <v>94.798423007051198</v>
      </c>
      <c r="AJ4413">
        <v>86.458392885793401</v>
      </c>
      <c r="AK4413">
        <v>0.73473633315206299</v>
      </c>
      <c r="AL4413">
        <v>91.342140050945204</v>
      </c>
      <c r="AM4413">
        <v>89.953948831449793</v>
      </c>
      <c r="AN4413">
        <v>0.99999997011920505</v>
      </c>
    </row>
    <row r="4414" spans="1:40" x14ac:dyDescent="0.25">
      <c r="A4414" t="str">
        <f>"20190312150741035"</f>
        <v>20190312150741035</v>
      </c>
      <c r="B4414" t="str">
        <f>"1552374461024690"</f>
        <v>1552374461024690</v>
      </c>
      <c r="C4414" t="s">
        <v>40</v>
      </c>
      <c r="D4414">
        <v>4.8316030000000003</v>
      </c>
      <c r="E4414">
        <v>0.52102119999999996</v>
      </c>
      <c r="F4414" t="s">
        <v>42</v>
      </c>
      <c r="G4414">
        <v>-493.73939999999999</v>
      </c>
      <c r="H4414" s="1">
        <v>-1.4646809999999901E-6</v>
      </c>
      <c r="I4414">
        <v>240.684</v>
      </c>
      <c r="J4414">
        <v>-493.36110000000002</v>
      </c>
      <c r="K4414">
        <v>1.1096999999999999</v>
      </c>
      <c r="L4414">
        <v>255.584</v>
      </c>
      <c r="M4414">
        <v>3.0522000000000001E-2</v>
      </c>
      <c r="N4414">
        <v>0</v>
      </c>
      <c r="O4414">
        <v>-0.99944509999999998</v>
      </c>
      <c r="P4414">
        <v>2.9651210000000001E-2</v>
      </c>
      <c r="Q4414">
        <v>-3.6625449999999997E-2</v>
      </c>
      <c r="R4414">
        <v>-0.99888929999999998</v>
      </c>
      <c r="S4414">
        <v>-7.525635E-2</v>
      </c>
      <c r="T4414">
        <v>-0.2219748</v>
      </c>
      <c r="U4414">
        <v>-2.9975429999999998</v>
      </c>
      <c r="V4414">
        <v>8.1388909999999997E-4</v>
      </c>
      <c r="W4414">
        <v>-2.3283149999999999E-2</v>
      </c>
      <c r="X4414">
        <v>0.99972859999999997</v>
      </c>
      <c r="Y4414">
        <v>5.5533100000000002E-2</v>
      </c>
      <c r="Z4414">
        <v>7.3729900000000001E-2</v>
      </c>
      <c r="AA4414">
        <v>0.99573089999999997</v>
      </c>
      <c r="AB4414">
        <v>18</v>
      </c>
      <c r="AC4414">
        <v>-0.378299999999967</v>
      </c>
      <c r="AD4414">
        <v>-1.1097014646809999</v>
      </c>
      <c r="AE4414">
        <v>-14.899999999999901</v>
      </c>
      <c r="AF4414">
        <v>0.82835027008163697</v>
      </c>
      <c r="AG4414">
        <v>-1.1097014646809999</v>
      </c>
      <c r="AH4414">
        <v>14.7994729638515</v>
      </c>
      <c r="AI4414">
        <v>94.281479862159003</v>
      </c>
      <c r="AJ4414">
        <v>86.796405840730799</v>
      </c>
      <c r="AK4414">
        <v>14.8641179192857</v>
      </c>
      <c r="AL4414">
        <v>91.334146761127201</v>
      </c>
      <c r="AM4414">
        <v>89.953354940411302</v>
      </c>
      <c r="AN4414">
        <v>1.0000000205736701</v>
      </c>
    </row>
    <row r="4415" spans="1:40" x14ac:dyDescent="0.25">
      <c r="A4415" t="str">
        <f>"20190312150741052"</f>
        <v>20190312150741052</v>
      </c>
      <c r="B4415" t="str">
        <f>"1552374461044213"</f>
        <v>1552374461044213</v>
      </c>
      <c r="C4415" t="s">
        <v>40</v>
      </c>
      <c r="D4415">
        <v>4.7520930000000003</v>
      </c>
      <c r="E4415">
        <v>0.52080919999999997</v>
      </c>
      <c r="F4415" t="s">
        <v>41</v>
      </c>
      <c r="G4415">
        <v>-493.38159999999999</v>
      </c>
      <c r="H4415">
        <v>1.0498879999999999</v>
      </c>
      <c r="I4415">
        <v>254.77420000000001</v>
      </c>
      <c r="J4415">
        <v>-493.3578</v>
      </c>
      <c r="K4415">
        <v>1.1096870000000001</v>
      </c>
      <c r="L4415">
        <v>255.44409999999999</v>
      </c>
      <c r="M4415">
        <v>2.9692940000000001E-2</v>
      </c>
      <c r="N4415">
        <v>0</v>
      </c>
      <c r="O4415">
        <v>-0.99946990000000002</v>
      </c>
      <c r="P4415">
        <v>2.800453E-2</v>
      </c>
      <c r="Q4415">
        <v>-3.6536310000000002E-2</v>
      </c>
      <c r="R4415">
        <v>-0.99893980000000004</v>
      </c>
      <c r="S4415">
        <v>-7.5988769999999997E-2</v>
      </c>
      <c r="T4415">
        <v>-0.22139449999999999</v>
      </c>
      <c r="U4415">
        <v>-2.9974370000000001</v>
      </c>
      <c r="V4415">
        <v>1.63182E-3</v>
      </c>
      <c r="W4415">
        <v>-2.3196890000000001E-2</v>
      </c>
      <c r="X4415">
        <v>0.9997296</v>
      </c>
      <c r="Y4415">
        <v>5.494926E-2</v>
      </c>
      <c r="Z4415">
        <v>7.3544490000000004E-2</v>
      </c>
      <c r="AA4415">
        <v>0.99577700000000002</v>
      </c>
      <c r="AB4415">
        <v>18</v>
      </c>
      <c r="AC4415">
        <v>-2.3799999999994201E-2</v>
      </c>
      <c r="AD4415">
        <v>-5.9799000000000102E-2</v>
      </c>
      <c r="AE4415">
        <v>-0.66989999999998395</v>
      </c>
      <c r="AF4415">
        <v>4.3337683382949799E-2</v>
      </c>
      <c r="AG4415">
        <v>-5.9799000000000102E-2</v>
      </c>
      <c r="AH4415">
        <v>0.66361655502328198</v>
      </c>
      <c r="AI4415">
        <v>95.138174090752202</v>
      </c>
      <c r="AJ4415">
        <v>86.263587119895803</v>
      </c>
      <c r="AK4415">
        <v>0.66771326728092695</v>
      </c>
      <c r="AL4415">
        <v>91.329203098379594</v>
      </c>
      <c r="AM4415">
        <v>89.9064783958665</v>
      </c>
      <c r="AN4415">
        <v>1.00000001582917</v>
      </c>
    </row>
    <row r="4416" spans="1:40" x14ac:dyDescent="0.25">
      <c r="A4416" t="str">
        <f>"20190312150741063"</f>
        <v>20190312150741063</v>
      </c>
      <c r="B4416" t="str">
        <f>"1552374461053969"</f>
        <v>1552374461053969</v>
      </c>
      <c r="C4416" t="s">
        <v>40</v>
      </c>
      <c r="D4416">
        <v>4.7866730000000004</v>
      </c>
      <c r="E4416">
        <v>0.52067180000000002</v>
      </c>
      <c r="F4416" t="s">
        <v>41</v>
      </c>
      <c r="G4416">
        <v>-493.38010000000003</v>
      </c>
      <c r="H4416">
        <v>1.048246</v>
      </c>
      <c r="I4416">
        <v>254.6189</v>
      </c>
      <c r="J4416">
        <v>-493.35579999999999</v>
      </c>
      <c r="K4416">
        <v>1.109677</v>
      </c>
      <c r="L4416">
        <v>255.3596</v>
      </c>
      <c r="M4416">
        <v>2.9172340000000001E-2</v>
      </c>
      <c r="N4416">
        <v>0</v>
      </c>
      <c r="O4416">
        <v>-0.99948550000000003</v>
      </c>
      <c r="P4416">
        <v>2.749331E-2</v>
      </c>
      <c r="Q4416">
        <v>-3.6567019999999999E-2</v>
      </c>
      <c r="R4416">
        <v>-0.99895310000000004</v>
      </c>
      <c r="S4416">
        <v>-7.9528810000000005E-2</v>
      </c>
      <c r="T4416">
        <v>-0.223158</v>
      </c>
      <c r="U4416">
        <v>-2.9972530000000002</v>
      </c>
      <c r="V4416">
        <v>1.6222400000000001E-3</v>
      </c>
      <c r="W4416">
        <v>-2.3228479999999999E-2</v>
      </c>
      <c r="X4416">
        <v>0.99972890000000003</v>
      </c>
      <c r="Y4416">
        <v>5.5604859999999999E-2</v>
      </c>
      <c r="Z4416">
        <v>7.4130840000000003E-2</v>
      </c>
      <c r="AA4416">
        <v>0.9956971</v>
      </c>
      <c r="AB4416">
        <v>18</v>
      </c>
      <c r="AC4416">
        <v>-2.43000000000392E-2</v>
      </c>
      <c r="AD4416">
        <v>-6.1430999999999999E-2</v>
      </c>
      <c r="AE4416">
        <v>-0.74070000000000302</v>
      </c>
      <c r="AF4416">
        <v>4.5586302561851699E-2</v>
      </c>
      <c r="AG4416">
        <v>-6.1430999999999999E-2</v>
      </c>
      <c r="AH4416">
        <v>0.73462808017727899</v>
      </c>
      <c r="AI4416">
        <v>94.770926975707496</v>
      </c>
      <c r="AJ4416">
        <v>86.449144771163901</v>
      </c>
      <c r="AK4416">
        <v>0.73860022673108805</v>
      </c>
      <c r="AL4416">
        <v>91.3310135360381</v>
      </c>
      <c r="AM4416">
        <v>89.907027371342593</v>
      </c>
      <c r="AN4416">
        <v>1.00000003372046</v>
      </c>
    </row>
    <row r="4417" spans="1:40" x14ac:dyDescent="0.25">
      <c r="A4417" t="str">
        <f>"20190312150741075"</f>
        <v>20190312150741075</v>
      </c>
      <c r="B4417" t="str">
        <f>"1552374461064706"</f>
        <v>1552374461064706</v>
      </c>
      <c r="C4417" t="s">
        <v>40</v>
      </c>
      <c r="D4417">
        <v>5.0329449999999998</v>
      </c>
      <c r="E4417">
        <v>0.52057189999999998</v>
      </c>
      <c r="F4417" t="s">
        <v>42</v>
      </c>
      <c r="G4417">
        <v>-493.75040000000001</v>
      </c>
      <c r="H4417" s="1">
        <v>-1.40455099999999E-6</v>
      </c>
      <c r="I4417">
        <v>240.53710000000001</v>
      </c>
      <c r="J4417">
        <v>-493.35399999999998</v>
      </c>
      <c r="K4417">
        <v>1.1096729999999999</v>
      </c>
      <c r="L4417">
        <v>255.27090000000001</v>
      </c>
      <c r="M4417">
        <v>2.859449E-2</v>
      </c>
      <c r="N4417">
        <v>0</v>
      </c>
      <c r="O4417">
        <v>-0.99950220000000001</v>
      </c>
      <c r="P4417">
        <v>2.6668600000000001E-2</v>
      </c>
      <c r="Q4417">
        <v>-3.6837460000000002E-2</v>
      </c>
      <c r="R4417">
        <v>-0.99896549999999995</v>
      </c>
      <c r="S4417">
        <v>-7.9772949999999995E-2</v>
      </c>
      <c r="T4417">
        <v>-0.22437799999999999</v>
      </c>
      <c r="U4417">
        <v>-2.997131</v>
      </c>
      <c r="V4417">
        <v>1.868429E-3</v>
      </c>
      <c r="W4417">
        <v>-2.3500299999999998E-2</v>
      </c>
      <c r="X4417">
        <v>0.99972209999999995</v>
      </c>
      <c r="Y4417">
        <v>5.5108919999999999E-2</v>
      </c>
      <c r="Z4417">
        <v>7.4539679999999997E-2</v>
      </c>
      <c r="AA4417">
        <v>0.99569419999999997</v>
      </c>
      <c r="AB4417">
        <v>18</v>
      </c>
      <c r="AC4417">
        <v>-0.396399999999971</v>
      </c>
      <c r="AD4417">
        <v>-1.1096744045510001</v>
      </c>
      <c r="AE4417">
        <v>-14.7338</v>
      </c>
      <c r="AF4417">
        <v>0.81297270203122696</v>
      </c>
      <c r="AG4417">
        <v>-1.1096744045510001</v>
      </c>
      <c r="AH4417">
        <v>14.6334923468089</v>
      </c>
      <c r="AI4417">
        <v>94.329853529031595</v>
      </c>
      <c r="AJ4417">
        <v>86.820166347667296</v>
      </c>
      <c r="AK4417">
        <v>14.6980066730996</v>
      </c>
      <c r="AL4417">
        <v>91.346591950636295</v>
      </c>
      <c r="AM4417">
        <v>89.892917270333598</v>
      </c>
      <c r="AN4417">
        <v>1.0000000161777101</v>
      </c>
    </row>
    <row r="4418" spans="1:40" x14ac:dyDescent="0.25">
      <c r="A4418" t="str">
        <f>"20190312150741089"</f>
        <v>20190312150741089</v>
      </c>
      <c r="B4418" t="str">
        <f>"1552374461084227"</f>
        <v>1552374461084227</v>
      </c>
      <c r="C4418" t="s">
        <v>40</v>
      </c>
      <c r="D4418">
        <v>4.7145570000000001</v>
      </c>
      <c r="E4418">
        <v>0.50834690000000005</v>
      </c>
      <c r="F4418" t="s">
        <v>41</v>
      </c>
      <c r="G4418">
        <v>-493.37599999999998</v>
      </c>
      <c r="H4418">
        <v>1.0488040000000001</v>
      </c>
      <c r="I4418">
        <v>254.4616</v>
      </c>
      <c r="J4418">
        <v>-493.35180000000003</v>
      </c>
      <c r="K4418">
        <v>1.1096680000000001</v>
      </c>
      <c r="L4418">
        <v>255.166</v>
      </c>
      <c r="M4418">
        <v>2.7897580000000002E-2</v>
      </c>
      <c r="N4418">
        <v>0</v>
      </c>
      <c r="O4418">
        <v>-0.99952169999999896</v>
      </c>
      <c r="P4418">
        <v>2.5545499999999999E-2</v>
      </c>
      <c r="Q4418">
        <v>-3.7054980000000001E-2</v>
      </c>
      <c r="R4418">
        <v>-0.99898690000000001</v>
      </c>
      <c r="S4418">
        <v>-8.1237790000000004E-2</v>
      </c>
      <c r="T4418">
        <v>-0.2254543</v>
      </c>
      <c r="U4418">
        <v>-2.9969640000000002</v>
      </c>
      <c r="V4418">
        <v>2.2941770000000001E-3</v>
      </c>
      <c r="W4418">
        <v>-2.371964E-2</v>
      </c>
      <c r="X4418">
        <v>0.99971600000000005</v>
      </c>
      <c r="Y4418">
        <v>5.4899820000000002E-2</v>
      </c>
      <c r="Z4418">
        <v>7.4901570000000001E-2</v>
      </c>
      <c r="AA4418">
        <v>0.99567850000000002</v>
      </c>
      <c r="AB4418">
        <v>17</v>
      </c>
      <c r="AC4418">
        <v>-2.4199999999950698E-2</v>
      </c>
      <c r="AD4418">
        <v>-6.0864000000000001E-2</v>
      </c>
      <c r="AE4418">
        <v>-0.70439999999999203</v>
      </c>
      <c r="AF4418">
        <v>4.3518860325090399E-2</v>
      </c>
      <c r="AG4418">
        <v>-6.0864000000000001E-2</v>
      </c>
      <c r="AH4418">
        <v>0.69824373414280705</v>
      </c>
      <c r="AI4418">
        <v>94.972125493526804</v>
      </c>
      <c r="AJ4418">
        <v>86.433586487261607</v>
      </c>
      <c r="AK4418">
        <v>0.70224114801803394</v>
      </c>
      <c r="AL4418">
        <v>91.359162756517307</v>
      </c>
      <c r="AM4418">
        <v>89.868516229795702</v>
      </c>
      <c r="AN4418">
        <v>0.999999982612918</v>
      </c>
    </row>
    <row r="4419" spans="1:40" x14ac:dyDescent="0.25">
      <c r="A4419" t="str">
        <f>"20190312150741103"</f>
        <v>20190312150741103</v>
      </c>
      <c r="B4419" t="str">
        <f>"1552374461093986"</f>
        <v>1552374461093986</v>
      </c>
      <c r="C4419" t="s">
        <v>40</v>
      </c>
      <c r="D4419">
        <v>4.7034849999999997</v>
      </c>
      <c r="E4419">
        <v>0.50686339999999996</v>
      </c>
      <c r="F4419" t="s">
        <v>42</v>
      </c>
      <c r="G4419">
        <v>-493.26310000000001</v>
      </c>
      <c r="H4419" s="1">
        <v>-9.425897E-7</v>
      </c>
      <c r="I4419">
        <v>229.76240000000001</v>
      </c>
      <c r="J4419">
        <v>-493.3494</v>
      </c>
      <c r="K4419">
        <v>1.109666</v>
      </c>
      <c r="L4419">
        <v>255.0444</v>
      </c>
      <c r="M4419">
        <v>2.7061330000000001E-2</v>
      </c>
      <c r="N4419">
        <v>0</v>
      </c>
      <c r="O4419">
        <v>-0.99954489999999996</v>
      </c>
      <c r="P4419">
        <v>2.469762E-2</v>
      </c>
      <c r="Q4419">
        <v>-3.7095789999999997E-2</v>
      </c>
      <c r="R4419">
        <v>-0.99900659999999997</v>
      </c>
      <c r="S4419">
        <v>1.0467529999999999E-2</v>
      </c>
      <c r="T4419">
        <v>-0.13095490000000001</v>
      </c>
      <c r="U4419">
        <v>-2.9979399999999998</v>
      </c>
      <c r="V4419">
        <v>2.3057709999999999E-3</v>
      </c>
      <c r="W4419">
        <v>-2.3761540000000001E-2</v>
      </c>
      <c r="X4419">
        <v>0.99971500000000002</v>
      </c>
      <c r="Y4419">
        <v>2.3576610000000001E-2</v>
      </c>
      <c r="Z4419">
        <v>4.3609849999999999E-2</v>
      </c>
      <c r="AA4419">
        <v>0.99877039999999995</v>
      </c>
      <c r="AB4419">
        <v>17</v>
      </c>
      <c r="AC4419">
        <v>8.6299999999994201E-2</v>
      </c>
      <c r="AD4419">
        <v>-1.1096669425896999</v>
      </c>
      <c r="AE4419">
        <v>-25.281999999999901</v>
      </c>
      <c r="AF4419">
        <v>0.59680722590859103</v>
      </c>
      <c r="AG4419">
        <v>-1.1096669425896999</v>
      </c>
      <c r="AH4419">
        <v>25.226477550412302</v>
      </c>
      <c r="AI4419">
        <v>92.5180099479944</v>
      </c>
      <c r="AJ4419">
        <v>88.6447510261427</v>
      </c>
      <c r="AK4419">
        <v>25.257923691187099</v>
      </c>
      <c r="AL4419">
        <v>91.361564097015204</v>
      </c>
      <c r="AM4419">
        <v>89.867851625148404</v>
      </c>
      <c r="AN4419">
        <v>1.00000000429403</v>
      </c>
    </row>
    <row r="4420" spans="1:40" x14ac:dyDescent="0.25">
      <c r="A4420" t="str">
        <f>"20190312150741119"</f>
        <v>20190312150741119</v>
      </c>
      <c r="B4420" t="str">
        <f>"1552374461114015"</f>
        <v>1552374461114015</v>
      </c>
      <c r="C4420" t="s">
        <v>40</v>
      </c>
      <c r="D4420">
        <v>4.6968100000000002</v>
      </c>
      <c r="E4420">
        <v>0.50568029999999997</v>
      </c>
      <c r="F4420" t="s">
        <v>61</v>
      </c>
      <c r="G4420">
        <v>-493.16410000000002</v>
      </c>
      <c r="H4420" s="1">
        <v>5.0821729999999997E-6</v>
      </c>
      <c r="I4420">
        <v>226.90559999999999</v>
      </c>
      <c r="J4420">
        <v>-493.34710000000001</v>
      </c>
      <c r="K4420">
        <v>1.109667</v>
      </c>
      <c r="L4420">
        <v>254.9229</v>
      </c>
      <c r="M4420">
        <v>2.6191369999999999E-2</v>
      </c>
      <c r="N4420">
        <v>0</v>
      </c>
      <c r="O4420">
        <v>-0.99956780000000001</v>
      </c>
      <c r="P4420">
        <v>2.3554530000000001E-2</v>
      </c>
      <c r="Q4420">
        <v>-3.7379959999999997E-2</v>
      </c>
      <c r="R4420">
        <v>-0.99902360000000001</v>
      </c>
      <c r="S4420">
        <v>1.9744870000000001E-2</v>
      </c>
      <c r="T4420">
        <v>-0.1182298</v>
      </c>
      <c r="U4420">
        <v>-2.9980769999999999</v>
      </c>
      <c r="V4420">
        <v>2.5783960000000002E-3</v>
      </c>
      <c r="W4420">
        <v>-2.4047329999999999E-2</v>
      </c>
      <c r="X4420">
        <v>0.99970749999999997</v>
      </c>
      <c r="Y4420">
        <v>1.9614800000000002E-2</v>
      </c>
      <c r="Z4420">
        <v>3.9380079999999998E-2</v>
      </c>
      <c r="AA4420">
        <v>0.99903180000000003</v>
      </c>
      <c r="AB4420">
        <v>17</v>
      </c>
      <c r="AC4420">
        <v>0.182999999999992</v>
      </c>
      <c r="AD4420">
        <v>-1.109661917827</v>
      </c>
      <c r="AE4420">
        <v>-28.017299999999999</v>
      </c>
      <c r="AF4420">
        <v>0.55007681454753499</v>
      </c>
      <c r="AG4420">
        <v>-1.109661917827</v>
      </c>
      <c r="AH4420">
        <v>27.968608957332599</v>
      </c>
      <c r="AI4420">
        <v>92.271594626162994</v>
      </c>
      <c r="AJ4420">
        <v>88.873271920764495</v>
      </c>
      <c r="AK4420">
        <v>27.996017950450799</v>
      </c>
      <c r="AL4420">
        <v>91.377943338795006</v>
      </c>
      <c r="AM4420">
        <v>89.852225894929703</v>
      </c>
      <c r="AN4420">
        <v>1.0000000038811501</v>
      </c>
    </row>
    <row r="4421" spans="1:40" x14ac:dyDescent="0.25">
      <c r="A4421" t="str">
        <f>"20190312150741131"</f>
        <v>20190312150741131</v>
      </c>
      <c r="B4421" t="str">
        <f>"1552374461124750"</f>
        <v>1552374461124750</v>
      </c>
      <c r="C4421" t="s">
        <v>40</v>
      </c>
      <c r="D4421">
        <v>4.7329689999999998</v>
      </c>
      <c r="E4421">
        <v>0.50566279999999997</v>
      </c>
      <c r="F4421" t="s">
        <v>61</v>
      </c>
      <c r="G4421">
        <v>-493.09120000000001</v>
      </c>
      <c r="H4421" s="1">
        <v>4.4383240000000002E-6</v>
      </c>
      <c r="I4421">
        <v>224.77510000000001</v>
      </c>
      <c r="J4421">
        <v>-493.34550000000002</v>
      </c>
      <c r="K4421">
        <v>1.1096680000000001</v>
      </c>
      <c r="L4421">
        <v>254.83</v>
      </c>
      <c r="M4421">
        <v>2.5512279999999998E-2</v>
      </c>
      <c r="N4421">
        <v>0</v>
      </c>
      <c r="O4421">
        <v>-0.99958570000000002</v>
      </c>
      <c r="P4421">
        <v>2.292363E-2</v>
      </c>
      <c r="Q4421">
        <v>-3.6863369999999999E-2</v>
      </c>
      <c r="R4421">
        <v>-0.99905759999999999</v>
      </c>
      <c r="S4421">
        <v>2.5451660000000001E-2</v>
      </c>
      <c r="T4421">
        <v>-0.110356</v>
      </c>
      <c r="U4421">
        <v>-2.9981990000000001</v>
      </c>
      <c r="V4421">
        <v>2.5317759999999999E-3</v>
      </c>
      <c r="W4421">
        <v>-2.353119E-2</v>
      </c>
      <c r="X4421">
        <v>0.99971989999999999</v>
      </c>
      <c r="Y4421">
        <v>1.7033449999999999E-2</v>
      </c>
      <c r="Z4421">
        <v>3.6761219999999997E-2</v>
      </c>
      <c r="AA4421">
        <v>0.99917889999999998</v>
      </c>
      <c r="AB4421">
        <v>17</v>
      </c>
      <c r="AC4421">
        <v>0.25430000000000003</v>
      </c>
      <c r="AD4421">
        <v>-1.109663561676</v>
      </c>
      <c r="AE4421">
        <v>-30.0549</v>
      </c>
      <c r="AF4421">
        <v>0.51192210080837097</v>
      </c>
      <c r="AG4421">
        <v>-1.109663561676</v>
      </c>
      <c r="AH4421">
        <v>30.010697059238201</v>
      </c>
      <c r="AI4421">
        <v>92.117273453857507</v>
      </c>
      <c r="AJ4421">
        <v>89.022744077060693</v>
      </c>
      <c r="AK4421">
        <v>30.0355681723982</v>
      </c>
      <c r="AL4421">
        <v>91.348362325077801</v>
      </c>
      <c r="AM4421">
        <v>89.854899588014305</v>
      </c>
      <c r="AN4421">
        <v>1.0000000026242699</v>
      </c>
    </row>
    <row r="4422" spans="1:40" x14ac:dyDescent="0.25">
      <c r="A4422" t="str">
        <f>"20190312150741142"</f>
        <v>20190312150741142</v>
      </c>
      <c r="B4422" t="str">
        <f>"1552374461134511"</f>
        <v>1552374461134511</v>
      </c>
      <c r="C4422" t="s">
        <v>40</v>
      </c>
      <c r="D4422">
        <v>4.6927190000000003</v>
      </c>
      <c r="E4422">
        <v>0.50554500000000002</v>
      </c>
      <c r="F4422" t="s">
        <v>61</v>
      </c>
      <c r="G4422">
        <v>-493.11849999999998</v>
      </c>
      <c r="H4422" s="1">
        <v>4.9458530000000001E-6</v>
      </c>
      <c r="I4422">
        <v>226.43299999999999</v>
      </c>
      <c r="J4422">
        <v>-493.34399999999999</v>
      </c>
      <c r="K4422">
        <v>1.109667</v>
      </c>
      <c r="L4422">
        <v>254.74420000000001</v>
      </c>
      <c r="M4422">
        <v>2.4875209999999998E-2</v>
      </c>
      <c r="N4422">
        <v>0</v>
      </c>
      <c r="O4422">
        <v>-0.99960139999999997</v>
      </c>
      <c r="P4422">
        <v>2.229776E-2</v>
      </c>
      <c r="Q4422">
        <v>-3.6473999999999999E-2</v>
      </c>
      <c r="R4422">
        <v>-0.99908580000000002</v>
      </c>
      <c r="S4422">
        <v>2.39563E-2</v>
      </c>
      <c r="T4422">
        <v>-0.1171507</v>
      </c>
      <c r="U4422">
        <v>-2.9979710000000002</v>
      </c>
      <c r="V4422">
        <v>2.521775E-3</v>
      </c>
      <c r="W4422">
        <v>-2.3142340000000001E-2</v>
      </c>
      <c r="X4422">
        <v>0.99972899999999998</v>
      </c>
      <c r="Y4422">
        <v>1.6894610000000001E-2</v>
      </c>
      <c r="Z4422">
        <v>3.9025329999999997E-2</v>
      </c>
      <c r="AA4422">
        <v>0.99909539999999997</v>
      </c>
      <c r="AB4422">
        <v>17</v>
      </c>
      <c r="AC4422">
        <v>0.22550000000001</v>
      </c>
      <c r="AD4422">
        <v>-1.1096620541469999</v>
      </c>
      <c r="AE4422">
        <v>-28.311199999999999</v>
      </c>
      <c r="AF4422">
        <v>0.478145106375439</v>
      </c>
      <c r="AG4422">
        <v>-1.1096620541469999</v>
      </c>
      <c r="AH4422">
        <v>28.264628712596298</v>
      </c>
      <c r="AI4422">
        <v>92.247941639444093</v>
      </c>
      <c r="AJ4422">
        <v>89.030835183114306</v>
      </c>
      <c r="AK4422">
        <v>28.290443773085101</v>
      </c>
      <c r="AL4422">
        <v>91.326076794925996</v>
      </c>
      <c r="AM4422">
        <v>89.855474075538993</v>
      </c>
      <c r="AN4422">
        <v>1.0000000003454099</v>
      </c>
    </row>
    <row r="4423" spans="1:40" x14ac:dyDescent="0.25">
      <c r="A4423" t="str">
        <f>"20190312150741153"</f>
        <v>20190312150741153</v>
      </c>
      <c r="B4423" t="str">
        <f>"1552374461144269"</f>
        <v>1552374461144269</v>
      </c>
      <c r="C4423" t="s">
        <v>40</v>
      </c>
      <c r="D4423">
        <v>4.6983030000000001</v>
      </c>
      <c r="E4423">
        <v>0.50553510000000002</v>
      </c>
      <c r="F4423" t="s">
        <v>61</v>
      </c>
      <c r="G4423">
        <v>-493.12389999999999</v>
      </c>
      <c r="H4423" s="1">
        <v>4.7829000000000004E-6</v>
      </c>
      <c r="I4423">
        <v>225.91079999999999</v>
      </c>
      <c r="J4423">
        <v>-493.3426</v>
      </c>
      <c r="K4423">
        <v>1.1096680000000001</v>
      </c>
      <c r="L4423">
        <v>254.6601</v>
      </c>
      <c r="M4423">
        <v>2.42361E-2</v>
      </c>
      <c r="N4423">
        <v>0</v>
      </c>
      <c r="O4423">
        <v>-0.99961739999999999</v>
      </c>
      <c r="P4423">
        <v>2.1771579999999999E-2</v>
      </c>
      <c r="Q4423">
        <v>-3.5810790000000002E-2</v>
      </c>
      <c r="R4423">
        <v>-0.99912160000000005</v>
      </c>
      <c r="S4423">
        <v>2.2888180000000001E-2</v>
      </c>
      <c r="T4423">
        <v>-0.1153802</v>
      </c>
      <c r="U4423">
        <v>-2.9980319999999998</v>
      </c>
      <c r="V4423">
        <v>2.4107830000000001E-3</v>
      </c>
      <c r="W4423">
        <v>-2.2479329999999999E-2</v>
      </c>
      <c r="X4423">
        <v>0.99974439999999998</v>
      </c>
      <c r="Y4423">
        <v>1.6611250000000001E-2</v>
      </c>
      <c r="Z4423">
        <v>3.8436709999999999E-2</v>
      </c>
      <c r="AA4423">
        <v>0.99912299999999998</v>
      </c>
      <c r="AB4423">
        <v>17</v>
      </c>
      <c r="AC4423">
        <v>0.218700000000012</v>
      </c>
      <c r="AD4423">
        <v>-1.1096632171</v>
      </c>
      <c r="AE4423">
        <v>-28.749300000000002</v>
      </c>
      <c r="AF4423">
        <v>0.47748574881706701</v>
      </c>
      <c r="AG4423">
        <v>-1.1096632171</v>
      </c>
      <c r="AH4423">
        <v>28.7033948306638</v>
      </c>
      <c r="AI4423">
        <v>92.213626340888297</v>
      </c>
      <c r="AJ4423">
        <v>89.046963079074601</v>
      </c>
      <c r="AK4423">
        <v>28.728804707134699</v>
      </c>
      <c r="AL4423">
        <v>91.288079234531295</v>
      </c>
      <c r="AM4423">
        <v>89.861837262111806</v>
      </c>
      <c r="AN4423">
        <v>0.99999999874164003</v>
      </c>
    </row>
    <row r="4424" spans="1:40" x14ac:dyDescent="0.25">
      <c r="A4424" t="str">
        <f>"20190312150741164"</f>
        <v>20190312150741164</v>
      </c>
      <c r="B4424" t="str">
        <f>"1552374461154030"</f>
        <v>1552374461154030</v>
      </c>
      <c r="C4424" t="s">
        <v>40</v>
      </c>
      <c r="D4424">
        <v>4.6658589999999904</v>
      </c>
      <c r="E4424">
        <v>0.50544800000000001</v>
      </c>
      <c r="F4424" t="s">
        <v>61</v>
      </c>
      <c r="G4424">
        <v>-493.13170000000002</v>
      </c>
      <c r="H4424" s="1">
        <v>4.5433099999999899E-6</v>
      </c>
      <c r="I4424">
        <v>225.143</v>
      </c>
      <c r="J4424">
        <v>-493.34120000000001</v>
      </c>
      <c r="K4424">
        <v>1.1096680000000001</v>
      </c>
      <c r="L4424">
        <v>254.57149999999999</v>
      </c>
      <c r="M4424">
        <v>2.3558329999999999E-2</v>
      </c>
      <c r="N4424">
        <v>0</v>
      </c>
      <c r="O4424">
        <v>-0.99963360000000001</v>
      </c>
      <c r="P4424">
        <v>2.1382439999999999E-2</v>
      </c>
      <c r="Q4424">
        <v>-3.5001520000000001E-2</v>
      </c>
      <c r="R4424">
        <v>-0.99915880000000001</v>
      </c>
      <c r="S4424">
        <v>2.1423339999999999E-2</v>
      </c>
      <c r="T4424">
        <v>-0.1127117</v>
      </c>
      <c r="U4424">
        <v>-2.998138</v>
      </c>
      <c r="V4424">
        <v>2.124412E-3</v>
      </c>
      <c r="W4424">
        <v>-2.1669919999999999E-2</v>
      </c>
      <c r="X4424">
        <v>0.99976299999999996</v>
      </c>
      <c r="Y4424">
        <v>1.6421479999999999E-2</v>
      </c>
      <c r="Z4424">
        <v>3.7548699999999997E-2</v>
      </c>
      <c r="AA4424">
        <v>0.99915989999999999</v>
      </c>
      <c r="AB4424">
        <v>17</v>
      </c>
      <c r="AC4424">
        <v>0.209499999999991</v>
      </c>
      <c r="AD4424">
        <v>-1.1096634566900001</v>
      </c>
      <c r="AE4424">
        <v>-29.4284999999999</v>
      </c>
      <c r="AF4424">
        <v>0.48321904674106098</v>
      </c>
      <c r="AG4424">
        <v>-1.1096634566900001</v>
      </c>
      <c r="AH4424">
        <v>29.383490908696</v>
      </c>
      <c r="AI4424">
        <v>92.162447282234098</v>
      </c>
      <c r="AJ4424">
        <v>89.057841134256407</v>
      </c>
      <c r="AK4424">
        <v>29.408406818725599</v>
      </c>
      <c r="AL4424">
        <v>91.241692055332607</v>
      </c>
      <c r="AM4424">
        <v>89.878251487254204</v>
      </c>
      <c r="AN4424">
        <v>1.00000007736407</v>
      </c>
    </row>
    <row r="4425" spans="1:40" x14ac:dyDescent="0.25">
      <c r="A4425" t="str">
        <f>"20190312150741175"</f>
        <v>20190312150741175</v>
      </c>
      <c r="B4425" t="str">
        <f>"1552374461164766"</f>
        <v>1552374461164766</v>
      </c>
      <c r="C4425" t="s">
        <v>40</v>
      </c>
      <c r="D4425">
        <v>4.6883889999999999</v>
      </c>
      <c r="E4425">
        <v>0.50543909999999903</v>
      </c>
      <c r="F4425" t="s">
        <v>61</v>
      </c>
      <c r="G4425">
        <v>-493.13319999999999</v>
      </c>
      <c r="H4425" s="1">
        <v>4.2262829999999998E-6</v>
      </c>
      <c r="I4425">
        <v>223.92179999999999</v>
      </c>
      <c r="J4425">
        <v>-493.34</v>
      </c>
      <c r="K4425">
        <v>1.109669</v>
      </c>
      <c r="L4425">
        <v>254.482</v>
      </c>
      <c r="M4425">
        <v>2.2856890000000001E-2</v>
      </c>
      <c r="N4425">
        <v>0</v>
      </c>
      <c r="O4425">
        <v>-0.99964980000000003</v>
      </c>
      <c r="P4425">
        <v>2.087367E-2</v>
      </c>
      <c r="Q4425">
        <v>-3.4434489999999998E-2</v>
      </c>
      <c r="R4425">
        <v>-0.9991892</v>
      </c>
      <c r="S4425">
        <v>2.035522E-2</v>
      </c>
      <c r="T4425">
        <v>-0.1085523</v>
      </c>
      <c r="U4425">
        <v>-2.998291</v>
      </c>
      <c r="V4425">
        <v>1.933389E-3</v>
      </c>
      <c r="W4425">
        <v>-2.110302E-2</v>
      </c>
      <c r="X4425">
        <v>0.99977539999999998</v>
      </c>
      <c r="Y4425">
        <v>1.6075820000000001E-2</v>
      </c>
      <c r="Z4425">
        <v>3.6164099999999998E-2</v>
      </c>
      <c r="AA4425">
        <v>0.99921660000000001</v>
      </c>
      <c r="AB4425">
        <v>17</v>
      </c>
      <c r="AC4425">
        <v>0.20679999999998699</v>
      </c>
      <c r="AD4425">
        <v>-1.109664773717</v>
      </c>
      <c r="AE4425">
        <v>-30.560199999999998</v>
      </c>
      <c r="AF4425">
        <v>0.49117970885789403</v>
      </c>
      <c r="AG4425">
        <v>-1.109664773717</v>
      </c>
      <c r="AH4425">
        <v>30.516708254847199</v>
      </c>
      <c r="AI4425">
        <v>92.082232615439395</v>
      </c>
      <c r="AJ4425">
        <v>89.077879101069101</v>
      </c>
      <c r="AK4425">
        <v>30.540826709961198</v>
      </c>
      <c r="AL4425">
        <v>91.209203787739497</v>
      </c>
      <c r="AM4425">
        <v>89.889200222600095</v>
      </c>
      <c r="AN4425">
        <v>0.99999996294565197</v>
      </c>
    </row>
    <row r="4426" spans="1:40" x14ac:dyDescent="0.25">
      <c r="A4426" t="str">
        <f>"20190312150741187"</f>
        <v>20190312150741187</v>
      </c>
      <c r="B4426" t="str">
        <f>"1552374461174526"</f>
        <v>1552374461174526</v>
      </c>
      <c r="C4426" t="s">
        <v>40</v>
      </c>
      <c r="D4426">
        <v>4.6875910000000003</v>
      </c>
      <c r="E4426">
        <v>0.50542690000000001</v>
      </c>
      <c r="F4426" t="s">
        <v>61</v>
      </c>
      <c r="G4426">
        <v>-493.1361</v>
      </c>
      <c r="H4426" s="1">
        <v>4.0632990000000003E-6</v>
      </c>
      <c r="I4426">
        <v>223.18770000000001</v>
      </c>
      <c r="J4426">
        <v>-493.33890000000002</v>
      </c>
      <c r="K4426">
        <v>1.1096699999999999</v>
      </c>
      <c r="L4426">
        <v>254.4</v>
      </c>
      <c r="M4426">
        <v>2.22112E-2</v>
      </c>
      <c r="N4426">
        <v>0</v>
      </c>
      <c r="O4426">
        <v>-0.99966440000000001</v>
      </c>
      <c r="P4426">
        <v>2.0367420000000001E-2</v>
      </c>
      <c r="Q4426">
        <v>-3.4332000000000001E-2</v>
      </c>
      <c r="R4426">
        <v>-0.9992029</v>
      </c>
      <c r="S4426">
        <v>1.953125E-2</v>
      </c>
      <c r="T4426">
        <v>-0.1063188</v>
      </c>
      <c r="U4426">
        <v>-2.998367</v>
      </c>
      <c r="V4426">
        <v>1.7943900000000001E-3</v>
      </c>
      <c r="W4426">
        <v>-2.1000890000000001E-2</v>
      </c>
      <c r="X4426">
        <v>0.9997779</v>
      </c>
      <c r="Y4426">
        <v>1.5704579999999999E-2</v>
      </c>
      <c r="Z4426">
        <v>3.5420970000000003E-2</v>
      </c>
      <c r="AA4426">
        <v>0.9992491</v>
      </c>
      <c r="AB4426">
        <v>17</v>
      </c>
      <c r="AC4426">
        <v>0.20280000000002399</v>
      </c>
      <c r="AD4426">
        <v>-1.109665936701</v>
      </c>
      <c r="AE4426">
        <v>-31.212299999999999</v>
      </c>
      <c r="AF4426">
        <v>0.48995504224978997</v>
      </c>
      <c r="AG4426">
        <v>-1.109665936701</v>
      </c>
      <c r="AH4426">
        <v>31.169707847704601</v>
      </c>
      <c r="AI4426">
        <v>92.038661761005201</v>
      </c>
      <c r="AJ4426">
        <v>89.099444740945202</v>
      </c>
      <c r="AK4426">
        <v>31.193302193672299</v>
      </c>
      <c r="AL4426">
        <v>91.203350763742307</v>
      </c>
      <c r="AM4426">
        <v>89.897166297227699</v>
      </c>
      <c r="AN4426">
        <v>1.0000000532723301</v>
      </c>
    </row>
    <row r="4427" spans="1:40" x14ac:dyDescent="0.25">
      <c r="A4427" t="str">
        <f>"20190312150741196"</f>
        <v>20190312150741196</v>
      </c>
      <c r="B4427" t="str">
        <f>"1552374461184286"</f>
        <v>1552374461184286</v>
      </c>
      <c r="C4427" t="s">
        <v>40</v>
      </c>
      <c r="D4427">
        <v>4.6800600000000001</v>
      </c>
      <c r="E4427">
        <v>0.50543309999999997</v>
      </c>
      <c r="F4427" t="s">
        <v>61</v>
      </c>
      <c r="G4427">
        <v>-493.14960000000002</v>
      </c>
      <c r="H4427" s="1">
        <v>4.0391360000000002E-6</v>
      </c>
      <c r="I4427">
        <v>223.09180000000001</v>
      </c>
      <c r="J4427">
        <v>-493.33780000000002</v>
      </c>
      <c r="K4427">
        <v>1.1096710000000001</v>
      </c>
      <c r="L4427">
        <v>254.31809999999999</v>
      </c>
      <c r="M4427">
        <v>2.1556499999999999E-2</v>
      </c>
      <c r="N4427">
        <v>0</v>
      </c>
      <c r="O4427">
        <v>-0.99967870000000003</v>
      </c>
      <c r="P4427">
        <v>1.9996300000000002E-2</v>
      </c>
      <c r="Q4427">
        <v>-3.4021139999999998E-2</v>
      </c>
      <c r="R4427">
        <v>-0.99922109999999997</v>
      </c>
      <c r="S4427">
        <v>1.8127440000000002E-2</v>
      </c>
      <c r="T4427">
        <v>-0.10627159999999999</v>
      </c>
      <c r="U4427">
        <v>-2.9983520000000001</v>
      </c>
      <c r="V4427">
        <v>1.511814E-3</v>
      </c>
      <c r="W4427">
        <v>-2.069006E-2</v>
      </c>
      <c r="X4427">
        <v>0.99978480000000003</v>
      </c>
      <c r="Y4427">
        <v>1.551753E-2</v>
      </c>
      <c r="Z4427">
        <v>3.5406300000000002E-2</v>
      </c>
      <c r="AA4427">
        <v>0.99925249999999999</v>
      </c>
      <c r="AB4427">
        <v>17</v>
      </c>
      <c r="AC4427">
        <v>0.18819999999999401</v>
      </c>
      <c r="AD4427">
        <v>-1.109666960864</v>
      </c>
      <c r="AE4427">
        <v>-31.226299999999899</v>
      </c>
      <c r="AF4427">
        <v>0.48442161037575099</v>
      </c>
      <c r="AG4427">
        <v>-1.109666960864</v>
      </c>
      <c r="AH4427">
        <v>31.183721748456801</v>
      </c>
      <c r="AI4427">
        <v>92.037754111309795</v>
      </c>
      <c r="AJ4427">
        <v>89.110013817453606</v>
      </c>
      <c r="AK4427">
        <v>31.207219151116501</v>
      </c>
      <c r="AL4427">
        <v>91.185537703807199</v>
      </c>
      <c r="AM4427">
        <v>89.913360859669297</v>
      </c>
      <c r="AN4427">
        <v>1.0000000052377001</v>
      </c>
    </row>
    <row r="4428" spans="1:40" x14ac:dyDescent="0.25">
      <c r="A4428" t="str">
        <f>"20190312150741208"</f>
        <v>20190312150741208</v>
      </c>
      <c r="B4428" t="str">
        <f>"1552374461204782"</f>
        <v>1552374461204782</v>
      </c>
      <c r="C4428" t="s">
        <v>40</v>
      </c>
      <c r="D4428">
        <v>4.8677539999999997</v>
      </c>
      <c r="E4428">
        <v>0.50559030000000005</v>
      </c>
      <c r="F4428" t="s">
        <v>61</v>
      </c>
      <c r="G4428">
        <v>-493.15910000000002</v>
      </c>
      <c r="H4428" s="1">
        <v>3.9521769999999996E-6</v>
      </c>
      <c r="I4428">
        <v>222.7961</v>
      </c>
      <c r="J4428">
        <v>-493.33679999999998</v>
      </c>
      <c r="K4428">
        <v>1.1096729999999999</v>
      </c>
      <c r="L4428">
        <v>254.2355</v>
      </c>
      <c r="M4428">
        <v>2.0894349999999999E-2</v>
      </c>
      <c r="N4428">
        <v>0</v>
      </c>
      <c r="O4428">
        <v>-0.99969300000000005</v>
      </c>
      <c r="P4428">
        <v>1.9810359999999999E-2</v>
      </c>
      <c r="Q4428">
        <v>-3.3965710000000003E-2</v>
      </c>
      <c r="R4428">
        <v>-0.99922699999999998</v>
      </c>
      <c r="S4428">
        <v>1.6998289999999999E-2</v>
      </c>
      <c r="T4428">
        <v>-0.1055527</v>
      </c>
      <c r="U4428">
        <v>-2.9983979999999999</v>
      </c>
      <c r="V4428">
        <v>1.0359449999999999E-3</v>
      </c>
      <c r="W4428">
        <v>-2.0634400000000001E-2</v>
      </c>
      <c r="X4428">
        <v>0.99978659999999997</v>
      </c>
      <c r="Y4428">
        <v>1.523158E-2</v>
      </c>
      <c r="Z4428">
        <v>3.516739E-2</v>
      </c>
      <c r="AA4428">
        <v>0.99926539999999997</v>
      </c>
      <c r="AB4428">
        <v>17</v>
      </c>
      <c r="AC4428">
        <v>0.177699999999958</v>
      </c>
      <c r="AD4428">
        <v>-1.10966904782299</v>
      </c>
      <c r="AE4428">
        <v>-31.439399999999999</v>
      </c>
      <c r="AF4428">
        <v>0.478706541026652</v>
      </c>
      <c r="AG4428">
        <v>-1.10966904782299</v>
      </c>
      <c r="AH4428">
        <v>31.397136065695801</v>
      </c>
      <c r="AI4428">
        <v>92.023927289857397</v>
      </c>
      <c r="AJ4428">
        <v>89.126489138360895</v>
      </c>
      <c r="AK4428">
        <v>31.420386351474701</v>
      </c>
      <c r="AL4428">
        <v>91.182347888495997</v>
      </c>
      <c r="AM4428">
        <v>89.940632075819295</v>
      </c>
      <c r="AN4428">
        <v>1.00000004859248</v>
      </c>
    </row>
    <row r="4429" spans="1:40" x14ac:dyDescent="0.25">
      <c r="A4429" t="str">
        <f>"20190312150741218"</f>
        <v>20190312150741218</v>
      </c>
      <c r="B4429" t="str">
        <f>"1552374461214074"</f>
        <v>1552374461214074</v>
      </c>
      <c r="C4429" t="s">
        <v>40</v>
      </c>
      <c r="D4429">
        <v>4.8653639999999996</v>
      </c>
      <c r="E4429">
        <v>0.50563809999999998</v>
      </c>
      <c r="F4429" t="s">
        <v>61</v>
      </c>
      <c r="G4429">
        <v>-493.17469999999997</v>
      </c>
      <c r="H4429" s="1">
        <v>3.7000620000000002E-6</v>
      </c>
      <c r="I4429">
        <v>221.99119999999999</v>
      </c>
      <c r="J4429">
        <v>-493.33580000000001</v>
      </c>
      <c r="K4429">
        <v>1.1096760000000001</v>
      </c>
      <c r="L4429">
        <v>254.1455</v>
      </c>
      <c r="M4429">
        <v>2.016548E-2</v>
      </c>
      <c r="N4429">
        <v>0</v>
      </c>
      <c r="O4429">
        <v>-0.99970780000000004</v>
      </c>
      <c r="P4429">
        <v>1.9346100000000001E-2</v>
      </c>
      <c r="Q4429">
        <v>-3.3683810000000002E-2</v>
      </c>
      <c r="R4429">
        <v>-0.99924559999999996</v>
      </c>
      <c r="S4429">
        <v>1.5075679999999999E-2</v>
      </c>
      <c r="T4429">
        <v>-0.1031928</v>
      </c>
      <c r="U4429">
        <v>-2.998535</v>
      </c>
      <c r="V4429">
        <v>7.7236679999999997E-4</v>
      </c>
      <c r="W4429">
        <v>-2.0352700000000001E-2</v>
      </c>
      <c r="X4429">
        <v>0.99979260000000003</v>
      </c>
      <c r="Y4429">
        <v>1.514339E-2</v>
      </c>
      <c r="Z4429">
        <v>3.4381370000000001E-2</v>
      </c>
      <c r="AA4429">
        <v>0.99929400000000002</v>
      </c>
      <c r="AB4429">
        <v>17</v>
      </c>
      <c r="AC4429">
        <v>0.16110000000003299</v>
      </c>
      <c r="AD4429">
        <v>-1.109672299938</v>
      </c>
      <c r="AE4429">
        <v>-32.154299999999999</v>
      </c>
      <c r="AF4429">
        <v>0.48681748181846302</v>
      </c>
      <c r="AG4429">
        <v>-1.109672299938</v>
      </c>
      <c r="AH4429">
        <v>32.112764094934001</v>
      </c>
      <c r="AI4429">
        <v>91.978869062528204</v>
      </c>
      <c r="AJ4429">
        <v>89.131483960432206</v>
      </c>
      <c r="AK4429">
        <v>32.1356185826683</v>
      </c>
      <c r="AL4429">
        <v>91.166204292449606</v>
      </c>
      <c r="AM4429">
        <v>89.955737470878802</v>
      </c>
      <c r="AN4429">
        <v>1.00000003598126</v>
      </c>
    </row>
    <row r="4430" spans="1:40" x14ac:dyDescent="0.25">
      <c r="A4430" t="str">
        <f>"20190312150741231"</f>
        <v>20190312150741231</v>
      </c>
      <c r="B4430" t="str">
        <f>"1552374461224810"</f>
        <v>1552374461224810</v>
      </c>
      <c r="C4430" t="s">
        <v>40</v>
      </c>
      <c r="D4430">
        <v>4.6501659999999996</v>
      </c>
      <c r="E4430">
        <v>0.5056543</v>
      </c>
      <c r="F4430" t="s">
        <v>61</v>
      </c>
      <c r="G4430">
        <v>-493.19209999999998</v>
      </c>
      <c r="H4430" s="1">
        <v>3.5357100000000002E-6</v>
      </c>
      <c r="I4430">
        <v>221.47069999999999</v>
      </c>
      <c r="J4430">
        <v>-493.33479999999997</v>
      </c>
      <c r="K4430">
        <v>1.109677</v>
      </c>
      <c r="L4430">
        <v>254.0565</v>
      </c>
      <c r="M4430">
        <v>1.9440539999999999E-2</v>
      </c>
      <c r="N4430">
        <v>0</v>
      </c>
      <c r="O4430">
        <v>-0.999722</v>
      </c>
      <c r="P4430">
        <v>1.9047109999999999E-2</v>
      </c>
      <c r="Q4430">
        <v>-3.3322160000000003E-2</v>
      </c>
      <c r="R4430">
        <v>-0.99926309999999996</v>
      </c>
      <c r="S4430">
        <v>1.318359E-2</v>
      </c>
      <c r="T4430">
        <v>-0.10183490000000001</v>
      </c>
      <c r="U4430">
        <v>-2.9985810000000002</v>
      </c>
      <c r="V4430">
        <v>3.4768849999999998E-4</v>
      </c>
      <c r="W4430">
        <v>-1.9990919999999999E-2</v>
      </c>
      <c r="X4430">
        <v>0.99980009999999997</v>
      </c>
      <c r="Y4430">
        <v>1.5048880000000001E-2</v>
      </c>
      <c r="Z4430">
        <v>3.3929760000000003E-2</v>
      </c>
      <c r="AA4430">
        <v>0.9993109</v>
      </c>
      <c r="AB4430">
        <v>17</v>
      </c>
      <c r="AC4430">
        <v>0.14269999999999</v>
      </c>
      <c r="AD4430">
        <v>-1.1096734642899999</v>
      </c>
      <c r="AE4430">
        <v>-32.585799999999999</v>
      </c>
      <c r="AF4430">
        <v>0.49030033065439299</v>
      </c>
      <c r="AG4430">
        <v>-1.1096734642899999</v>
      </c>
      <c r="AH4430">
        <v>32.544674793021997</v>
      </c>
      <c r="AI4430">
        <v>91.952632153449301</v>
      </c>
      <c r="AJ4430">
        <v>89.136878313576005</v>
      </c>
      <c r="AK4430">
        <v>32.567278470807999</v>
      </c>
      <c r="AL4430">
        <v>91.145471649977907</v>
      </c>
      <c r="AM4430">
        <v>89.980074934147098</v>
      </c>
      <c r="AN4430">
        <v>0.99999999886487401</v>
      </c>
    </row>
    <row r="4431" spans="1:40" x14ac:dyDescent="0.25">
      <c r="A4431" t="str">
        <f>"20190312150741242"</f>
        <v>20190312150741242</v>
      </c>
      <c r="B4431" t="str">
        <f>"1552374461234571"</f>
        <v>1552374461234571</v>
      </c>
      <c r="C4431" t="s">
        <v>40</v>
      </c>
      <c r="D4431">
        <v>4.6303510000000001</v>
      </c>
      <c r="E4431">
        <v>0.5056332</v>
      </c>
      <c r="F4431" t="s">
        <v>61</v>
      </c>
      <c r="G4431">
        <v>-493.20030000000003</v>
      </c>
      <c r="H4431" s="1">
        <v>3.3914299999999998E-6</v>
      </c>
      <c r="I4431">
        <v>221.00960000000001</v>
      </c>
      <c r="J4431">
        <v>-493.33390000000003</v>
      </c>
      <c r="K4431">
        <v>1.1096809999999999</v>
      </c>
      <c r="L4431">
        <v>253.9676</v>
      </c>
      <c r="M4431">
        <v>1.8713899999999999E-2</v>
      </c>
      <c r="N4431">
        <v>0</v>
      </c>
      <c r="O4431">
        <v>-0.99973610000000002</v>
      </c>
      <c r="P4431">
        <v>1.8513760000000001E-2</v>
      </c>
      <c r="Q4431">
        <v>-3.3000500000000002E-2</v>
      </c>
      <c r="R4431">
        <v>-0.9992839</v>
      </c>
      <c r="S4431">
        <v>1.2207030000000001E-2</v>
      </c>
      <c r="T4431">
        <v>-0.10069069999999999</v>
      </c>
      <c r="U4431">
        <v>-2.9986419999999998</v>
      </c>
      <c r="V4431">
        <v>1.5564659999999999E-4</v>
      </c>
      <c r="W4431">
        <v>-1.9669559999999999E-2</v>
      </c>
      <c r="X4431">
        <v>0.99980650000000004</v>
      </c>
      <c r="Y4431">
        <v>1.464759E-2</v>
      </c>
      <c r="Z4431">
        <v>3.354911E-2</v>
      </c>
      <c r="AA4431">
        <v>0.99932969999999999</v>
      </c>
      <c r="AB4431">
        <v>17</v>
      </c>
      <c r="AC4431">
        <v>0.133600000000001</v>
      </c>
      <c r="AD4431">
        <v>-1.10967760857</v>
      </c>
      <c r="AE4431">
        <v>-32.957999999999998</v>
      </c>
      <c r="AF4431">
        <v>0.482703669418451</v>
      </c>
      <c r="AG4431">
        <v>-1.10967760857</v>
      </c>
      <c r="AH4431">
        <v>32.917412151578098</v>
      </c>
      <c r="AI4431">
        <v>91.930557236805299</v>
      </c>
      <c r="AJ4431">
        <v>89.159870139876901</v>
      </c>
      <c r="AK4431">
        <v>32.939647994237802</v>
      </c>
      <c r="AL4431">
        <v>91.127055481903795</v>
      </c>
      <c r="AM4431">
        <v>89.991080380850093</v>
      </c>
      <c r="AN4431">
        <v>0.99999997662935303</v>
      </c>
    </row>
    <row r="4432" spans="1:40" x14ac:dyDescent="0.25">
      <c r="A4432" t="str">
        <f>"20190312150741254"</f>
        <v>20190312150741254</v>
      </c>
      <c r="B4432" t="str">
        <f>"1552374461244330"</f>
        <v>1552374461244330</v>
      </c>
      <c r="C4432" t="s">
        <v>40</v>
      </c>
      <c r="D4432">
        <v>4.6350870000000004</v>
      </c>
      <c r="E4432">
        <v>0.50565400000000005</v>
      </c>
      <c r="F4432" t="s">
        <v>61</v>
      </c>
      <c r="G4432">
        <v>-493.21429999999998</v>
      </c>
      <c r="H4432" s="1">
        <v>3.2548409999999998E-6</v>
      </c>
      <c r="I4432">
        <v>220.57669999999999</v>
      </c>
      <c r="J4432">
        <v>-493.3331</v>
      </c>
      <c r="K4432">
        <v>1.1096870000000001</v>
      </c>
      <c r="L4432">
        <v>253.88050000000001</v>
      </c>
      <c r="M4432">
        <v>1.799953E-2</v>
      </c>
      <c r="N4432">
        <v>0</v>
      </c>
      <c r="O4432">
        <v>-0.99974909999999995</v>
      </c>
      <c r="P4432">
        <v>1.7831610000000001E-2</v>
      </c>
      <c r="Q4432">
        <v>-3.2780990000000003E-2</v>
      </c>
      <c r="R4432">
        <v>-0.99930379999999996</v>
      </c>
      <c r="S4432">
        <v>1.074219E-2</v>
      </c>
      <c r="T4432">
        <v>-9.9653839999999994E-2</v>
      </c>
      <c r="U4432">
        <v>-2.9986419999999998</v>
      </c>
      <c r="V4432">
        <v>1.245246E-4</v>
      </c>
      <c r="W4432">
        <v>-1.9450780000000001E-2</v>
      </c>
      <c r="X4432">
        <v>0.9998108</v>
      </c>
      <c r="Y4432">
        <v>1.442124E-2</v>
      </c>
      <c r="Z4432">
        <v>3.3204749999999998E-2</v>
      </c>
      <c r="AA4432">
        <v>0.99934449999999997</v>
      </c>
      <c r="AB4432">
        <v>17</v>
      </c>
      <c r="AC4432">
        <v>0.118800000000021</v>
      </c>
      <c r="AD4432">
        <v>-1.109683745159</v>
      </c>
      <c r="AE4432">
        <v>-33.303800000000003</v>
      </c>
      <c r="AF4432">
        <v>0.48019216704475398</v>
      </c>
      <c r="AG4432">
        <v>-1.109683745159</v>
      </c>
      <c r="AH4432">
        <v>33.263612591006897</v>
      </c>
      <c r="AI4432">
        <v>91.910496277955204</v>
      </c>
      <c r="AJ4432">
        <v>89.172937891715307</v>
      </c>
      <c r="AK4432">
        <v>33.2855810394854</v>
      </c>
      <c r="AL4432">
        <v>91.114517895061596</v>
      </c>
      <c r="AM4432">
        <v>89.992863915864206</v>
      </c>
      <c r="AN4432">
        <v>0.99999999207281198</v>
      </c>
    </row>
    <row r="4433" spans="1:40" x14ac:dyDescent="0.25">
      <c r="A4433" t="str">
        <f>"20190312150741264"</f>
        <v>20190312150741264</v>
      </c>
      <c r="B4433" t="str">
        <f>"1552374461254090"</f>
        <v>1552374461254090</v>
      </c>
      <c r="C4433" t="s">
        <v>40</v>
      </c>
      <c r="D4433">
        <v>4.6105850000000004</v>
      </c>
      <c r="E4433">
        <v>0.50569390000000003</v>
      </c>
      <c r="F4433" t="s">
        <v>61</v>
      </c>
      <c r="G4433">
        <v>-493.23970000000003</v>
      </c>
      <c r="H4433" s="1">
        <v>3.2237539999999999E-6</v>
      </c>
      <c r="I4433">
        <v>220.49090000000001</v>
      </c>
      <c r="J4433">
        <v>-493.33240000000001</v>
      </c>
      <c r="K4433">
        <v>1.109696</v>
      </c>
      <c r="L4433">
        <v>253.79470000000001</v>
      </c>
      <c r="M4433">
        <v>1.7295720000000001E-2</v>
      </c>
      <c r="N4433">
        <v>0</v>
      </c>
      <c r="O4433">
        <v>-0.99976180000000003</v>
      </c>
      <c r="P4433">
        <v>1.7260890000000001E-2</v>
      </c>
      <c r="Q4433">
        <v>-3.2455699999999997E-2</v>
      </c>
      <c r="R4433">
        <v>-0.99932460000000001</v>
      </c>
      <c r="S4433">
        <v>8.3923339999999996E-3</v>
      </c>
      <c r="T4433">
        <v>-9.9659200000000003E-2</v>
      </c>
      <c r="U4433">
        <v>-2.998672</v>
      </c>
      <c r="V4433" s="1">
        <v>-7.2347609999999997E-6</v>
      </c>
      <c r="W4433">
        <v>-1.9126020000000001E-2</v>
      </c>
      <c r="X4433">
        <v>0.99981710000000001</v>
      </c>
      <c r="Y4433">
        <v>1.450048E-2</v>
      </c>
      <c r="Z4433">
        <v>3.3206840000000001E-2</v>
      </c>
      <c r="AA4433">
        <v>0.99934330000000005</v>
      </c>
      <c r="AB4433">
        <v>17</v>
      </c>
      <c r="AC4433">
        <v>9.2699999999979299E-2</v>
      </c>
      <c r="AD4433">
        <v>-1.1096927762459901</v>
      </c>
      <c r="AE4433">
        <v>-33.303799999999903</v>
      </c>
      <c r="AF4433">
        <v>0.48284204268103198</v>
      </c>
      <c r="AG4433">
        <v>-1.1096927762459901</v>
      </c>
      <c r="AH4433">
        <v>33.263490655679902</v>
      </c>
      <c r="AI4433">
        <v>91.910516610571804</v>
      </c>
      <c r="AJ4433">
        <v>89.168371452277597</v>
      </c>
      <c r="AK4433">
        <v>33.285497819566103</v>
      </c>
      <c r="AL4433">
        <v>91.095907025551696</v>
      </c>
      <c r="AM4433">
        <v>90.0004145971008</v>
      </c>
      <c r="AN4433">
        <v>1.0000000190728899</v>
      </c>
    </row>
    <row r="4434" spans="1:40" x14ac:dyDescent="0.25">
      <c r="A4434" t="str">
        <f>"20190312150741275"</f>
        <v>20190312150741275</v>
      </c>
      <c r="B4434" t="str">
        <f>"1552374461264826"</f>
        <v>1552374461264826</v>
      </c>
      <c r="C4434" t="s">
        <v>40</v>
      </c>
      <c r="D4434">
        <v>4.6417950000000001</v>
      </c>
      <c r="E4434">
        <v>0.50571259999999996</v>
      </c>
      <c r="F4434" t="s">
        <v>61</v>
      </c>
      <c r="G4434">
        <v>-493.2672</v>
      </c>
      <c r="H4434" s="1">
        <v>3.1543730000000001E-6</v>
      </c>
      <c r="I4434">
        <v>220.28270000000001</v>
      </c>
      <c r="J4434">
        <v>-493.33170000000001</v>
      </c>
      <c r="K4434">
        <v>1.1097049999999999</v>
      </c>
      <c r="L4434">
        <v>253.70699999999999</v>
      </c>
      <c r="M4434">
        <v>1.6575489999999998E-2</v>
      </c>
      <c r="N4434">
        <v>0</v>
      </c>
      <c r="O4434">
        <v>-0.99977389999999999</v>
      </c>
      <c r="P4434">
        <v>1.627841E-2</v>
      </c>
      <c r="Q4434">
        <v>-3.2416970000000003E-2</v>
      </c>
      <c r="R4434">
        <v>-0.99934199999999995</v>
      </c>
      <c r="S4434">
        <v>5.8288569999999998E-3</v>
      </c>
      <c r="T4434">
        <v>-9.9296449999999994E-2</v>
      </c>
      <c r="U4434">
        <v>-2.998688</v>
      </c>
      <c r="V4434">
        <v>2.5580539999999998E-4</v>
      </c>
      <c r="W4434">
        <v>-1.9088709999999998E-2</v>
      </c>
      <c r="X4434">
        <v>0.99981779999999998</v>
      </c>
      <c r="Y4434">
        <v>1.463447E-2</v>
      </c>
      <c r="Z4434">
        <v>3.3086549999999999E-2</v>
      </c>
      <c r="AA4434">
        <v>0.99934540000000005</v>
      </c>
      <c r="AB4434">
        <v>17</v>
      </c>
      <c r="AC4434">
        <v>6.4500000000009494E-2</v>
      </c>
      <c r="AD4434">
        <v>-1.109701845627</v>
      </c>
      <c r="AE4434">
        <v>-33.424299999999903</v>
      </c>
      <c r="AF4434">
        <v>0.48904310669030399</v>
      </c>
      <c r="AG4434">
        <v>-1.109701845627</v>
      </c>
      <c r="AH4434">
        <v>33.383978452960697</v>
      </c>
      <c r="AI4434">
        <v>91.903638199463003</v>
      </c>
      <c r="AJ4434">
        <v>89.160732086115402</v>
      </c>
      <c r="AK4434">
        <v>33.4059967475023</v>
      </c>
      <c r="AL4434">
        <v>91.093768908207494</v>
      </c>
      <c r="AM4434">
        <v>89.9853407596095</v>
      </c>
      <c r="AN4434">
        <v>1.0000000387413499</v>
      </c>
    </row>
    <row r="4435" spans="1:40" x14ac:dyDescent="0.25">
      <c r="A4435" t="str">
        <f>"20190312150741289"</f>
        <v>20190312150741289</v>
      </c>
      <c r="B4435" t="str">
        <f>"1552374461284346"</f>
        <v>1552374461284346</v>
      </c>
      <c r="C4435" t="s">
        <v>40</v>
      </c>
      <c r="D4435">
        <v>4.6205309999999997</v>
      </c>
      <c r="E4435">
        <v>0.50577309999999998</v>
      </c>
      <c r="F4435" t="s">
        <v>61</v>
      </c>
      <c r="G4435">
        <v>-493.29590000000002</v>
      </c>
      <c r="H4435" s="1">
        <v>3.135058E-6</v>
      </c>
      <c r="I4435">
        <v>220.23679999999999</v>
      </c>
      <c r="J4435">
        <v>-493.33100000000002</v>
      </c>
      <c r="K4435">
        <v>1.1097140000000001</v>
      </c>
      <c r="L4435">
        <v>253.61179999999999</v>
      </c>
      <c r="M4435">
        <v>1.5795E-2</v>
      </c>
      <c r="N4435">
        <v>0</v>
      </c>
      <c r="O4435">
        <v>-0.99978639999999996</v>
      </c>
      <c r="P4435">
        <v>1.5319640000000001E-2</v>
      </c>
      <c r="Q4435">
        <v>-3.2188170000000002E-2</v>
      </c>
      <c r="R4435">
        <v>-0.99936469999999999</v>
      </c>
      <c r="S4435">
        <v>3.2043459999999998E-3</v>
      </c>
      <c r="T4435">
        <v>-9.9421380000000004E-2</v>
      </c>
      <c r="U4435">
        <v>-2.998688</v>
      </c>
      <c r="V4435">
        <v>4.3536189999999998E-4</v>
      </c>
      <c r="W4435">
        <v>-1.886119E-2</v>
      </c>
      <c r="X4435">
        <v>0.99982199999999999</v>
      </c>
      <c r="Y4435">
        <v>1.472853E-2</v>
      </c>
      <c r="Z4435">
        <v>3.3128749999999998E-2</v>
      </c>
      <c r="AA4435">
        <v>0.99934259999999997</v>
      </c>
      <c r="AB4435">
        <v>17</v>
      </c>
      <c r="AC4435">
        <v>3.5099999999943003E-2</v>
      </c>
      <c r="AD4435">
        <v>-1.10971086494199</v>
      </c>
      <c r="AE4435">
        <v>-33.375</v>
      </c>
      <c r="AF4435">
        <v>0.49156589292021702</v>
      </c>
      <c r="AG4435">
        <v>-1.10971086494199</v>
      </c>
      <c r="AH4435">
        <v>33.334537372860702</v>
      </c>
      <c r="AI4435">
        <v>91.906472310175801</v>
      </c>
      <c r="AJ4435">
        <v>89.155152224584597</v>
      </c>
      <c r="AK4435">
        <v>33.356625685064401</v>
      </c>
      <c r="AL4435">
        <v>91.080730685913906</v>
      </c>
      <c r="AM4435">
        <v>89.975051161252395</v>
      </c>
      <c r="AN4435">
        <v>0.99999998285609903</v>
      </c>
    </row>
    <row r="4436" spans="1:40" x14ac:dyDescent="0.25">
      <c r="A4436" t="str">
        <f>"20190312150741309"</f>
        <v>20190312150741309</v>
      </c>
      <c r="B4436" t="str">
        <f>"1552374461303866"</f>
        <v>1552374461303866</v>
      </c>
      <c r="C4436" t="s">
        <v>40</v>
      </c>
      <c r="D4436">
        <v>4.749765</v>
      </c>
      <c r="E4436">
        <v>0.50597219999999998</v>
      </c>
      <c r="F4436" t="s">
        <v>61</v>
      </c>
      <c r="G4436">
        <v>-493.32859999999999</v>
      </c>
      <c r="H4436" s="1">
        <v>3.092369E-6</v>
      </c>
      <c r="I4436">
        <v>220.11770000000001</v>
      </c>
      <c r="J4436">
        <v>-493.33010000000002</v>
      </c>
      <c r="K4436">
        <v>1.109721</v>
      </c>
      <c r="L4436">
        <v>253.4477</v>
      </c>
      <c r="M4436">
        <v>1.445314E-2</v>
      </c>
      <c r="N4436">
        <v>0</v>
      </c>
      <c r="O4436">
        <v>-0.99980659999999999</v>
      </c>
      <c r="P4436">
        <v>1.363314E-2</v>
      </c>
      <c r="Q4436">
        <v>-3.2069590000000002E-2</v>
      </c>
      <c r="R4436">
        <v>-0.99939259999999996</v>
      </c>
      <c r="S4436">
        <v>2.13623E-4</v>
      </c>
      <c r="T4436">
        <v>-9.9352120000000002E-2</v>
      </c>
      <c r="U4436">
        <v>-2.9987180000000002</v>
      </c>
      <c r="V4436">
        <v>7.8158660000000001E-4</v>
      </c>
      <c r="W4436">
        <v>-1.8745020000000001E-2</v>
      </c>
      <c r="X4436">
        <v>0.99982400000000005</v>
      </c>
      <c r="Y4436">
        <v>1.438323E-2</v>
      </c>
      <c r="Z4436">
        <v>3.3106450000000003E-2</v>
      </c>
      <c r="AA4436">
        <v>0.99934829999999997</v>
      </c>
      <c r="AB4436">
        <v>17</v>
      </c>
      <c r="AC4436">
        <v>1.5000000000213701E-3</v>
      </c>
      <c r="AD4436">
        <v>-1.109717907631</v>
      </c>
      <c r="AE4436">
        <v>-33.329999999999899</v>
      </c>
      <c r="AF4436">
        <v>0.47973435188507701</v>
      </c>
      <c r="AG4436">
        <v>-1.109717907631</v>
      </c>
      <c r="AH4436">
        <v>33.289636509456599</v>
      </c>
      <c r="AI4436">
        <v>91.909063283060505</v>
      </c>
      <c r="AJ4436">
        <v>89.174372146952905</v>
      </c>
      <c r="AK4436">
        <v>33.311582337298802</v>
      </c>
      <c r="AL4436">
        <v>91.074073430247907</v>
      </c>
      <c r="AM4436">
        <v>89.955210512668103</v>
      </c>
      <c r="AN4436">
        <v>1.0000000088142</v>
      </c>
    </row>
    <row r="4437" spans="1:40" x14ac:dyDescent="0.25">
      <c r="A4437" t="str">
        <f>"20190312150741322"</f>
        <v>20190312150741322</v>
      </c>
      <c r="B4437" t="str">
        <f>"1552374461314602"</f>
        <v>1552374461314602</v>
      </c>
      <c r="C4437" t="s">
        <v>40</v>
      </c>
      <c r="D4437">
        <v>4.6268190000000002</v>
      </c>
      <c r="E4437">
        <v>0.50596569999999996</v>
      </c>
      <c r="F4437" t="s">
        <v>61</v>
      </c>
      <c r="G4437">
        <v>-493.4024</v>
      </c>
      <c r="H4437" s="1">
        <v>3.0757009999999999E-6</v>
      </c>
      <c r="I4437">
        <v>220.1061</v>
      </c>
      <c r="J4437">
        <v>-493.32960000000003</v>
      </c>
      <c r="K4437">
        <v>1.109731</v>
      </c>
      <c r="L4437">
        <v>253.352</v>
      </c>
      <c r="M4437">
        <v>1.367399E-2</v>
      </c>
      <c r="N4437">
        <v>0</v>
      </c>
      <c r="O4437">
        <v>-0.99981779999999998</v>
      </c>
      <c r="P4437">
        <v>1.2401540000000001E-2</v>
      </c>
      <c r="Q4437">
        <v>-3.214653E-2</v>
      </c>
      <c r="R4437">
        <v>-0.99940629999999997</v>
      </c>
      <c r="S4437">
        <v>-6.5002439999999996E-3</v>
      </c>
      <c r="T4437">
        <v>-9.9805950000000004E-2</v>
      </c>
      <c r="U4437">
        <v>-2.998672</v>
      </c>
      <c r="V4437">
        <v>1.234656E-3</v>
      </c>
      <c r="W4437">
        <v>-1.8823820000000002E-2</v>
      </c>
      <c r="X4437">
        <v>0.99982210000000005</v>
      </c>
      <c r="Y4437">
        <v>1.5841480000000002E-2</v>
      </c>
      <c r="Z4437">
        <v>3.3258169999999997E-2</v>
      </c>
      <c r="AA4437">
        <v>0.99932120000000002</v>
      </c>
      <c r="AB4437">
        <v>17</v>
      </c>
      <c r="AC4437">
        <v>-7.2799999999972401E-2</v>
      </c>
      <c r="AD4437">
        <v>-1.1097279242989999</v>
      </c>
      <c r="AE4437">
        <v>-33.245899999999999</v>
      </c>
      <c r="AF4437">
        <v>0.52685061721039295</v>
      </c>
      <c r="AG4437">
        <v>-1.1097279242989999</v>
      </c>
      <c r="AH4437">
        <v>33.204799550031801</v>
      </c>
      <c r="AI4437">
        <v>91.9139123650572</v>
      </c>
      <c r="AJ4437">
        <v>89.090981290823194</v>
      </c>
      <c r="AK4437">
        <v>33.227515417145099</v>
      </c>
      <c r="AL4437">
        <v>91.078589094164897</v>
      </c>
      <c r="AM4437">
        <v>89.929246871025597</v>
      </c>
      <c r="AN4437">
        <v>1.0000000461116101</v>
      </c>
    </row>
    <row r="4438" spans="1:40" x14ac:dyDescent="0.25">
      <c r="A4438" t="str">
        <f>"20190312150741333"</f>
        <v>20190312150741333</v>
      </c>
      <c r="B4438" t="str">
        <f>"1552374461324362"</f>
        <v>1552374461324362</v>
      </c>
      <c r="C4438" t="s">
        <v>40</v>
      </c>
      <c r="D4438">
        <v>4.6051599999999997</v>
      </c>
      <c r="E4438">
        <v>0.50595800000000002</v>
      </c>
      <c r="F4438" t="s">
        <v>61</v>
      </c>
      <c r="G4438">
        <v>-493.44420000000002</v>
      </c>
      <c r="H4438" s="1">
        <v>3.0803069999999999E-6</v>
      </c>
      <c r="I4438">
        <v>220.14490000000001</v>
      </c>
      <c r="J4438">
        <v>-493.32929999999999</v>
      </c>
      <c r="K4438">
        <v>1.109739</v>
      </c>
      <c r="L4438">
        <v>253.2654</v>
      </c>
      <c r="M4438">
        <v>1.2972050000000001E-2</v>
      </c>
      <c r="N4438">
        <v>0</v>
      </c>
      <c r="O4438">
        <v>-0.99982729999999997</v>
      </c>
      <c r="P4438">
        <v>1.1529060000000001E-2</v>
      </c>
      <c r="Q4438">
        <v>-3.196442E-2</v>
      </c>
      <c r="R4438">
        <v>-0.99942299999999995</v>
      </c>
      <c r="S4438">
        <v>-1.0345460000000001E-2</v>
      </c>
      <c r="T4438">
        <v>-0.1002115</v>
      </c>
      <c r="U4438">
        <v>-2.998688</v>
      </c>
      <c r="V4438">
        <v>1.4062219999999999E-3</v>
      </c>
      <c r="W4438">
        <v>-1.8642929999999999E-2</v>
      </c>
      <c r="X4438">
        <v>0.99982519999999997</v>
      </c>
      <c r="Y4438">
        <v>1.6420879999999999E-2</v>
      </c>
      <c r="Z4438">
        <v>3.3393239999999998E-2</v>
      </c>
      <c r="AA4438">
        <v>0.99930739999999996</v>
      </c>
      <c r="AB4438">
        <v>17</v>
      </c>
      <c r="AC4438">
        <v>-0.114900000000034</v>
      </c>
      <c r="AD4438">
        <v>-1.1097359196929999</v>
      </c>
      <c r="AE4438">
        <v>-33.1204999999999</v>
      </c>
      <c r="AF4438">
        <v>0.54395849221471204</v>
      </c>
      <c r="AG4438">
        <v>-1.1097359196929999</v>
      </c>
      <c r="AH4438">
        <v>33.079086221266998</v>
      </c>
      <c r="AI4438">
        <v>91.921176458199199</v>
      </c>
      <c r="AJ4438">
        <v>89.057902723694397</v>
      </c>
      <c r="AK4438">
        <v>33.102165335317899</v>
      </c>
      <c r="AL4438">
        <v>91.068223108954101</v>
      </c>
      <c r="AM4438">
        <v>89.919415381277005</v>
      </c>
      <c r="AN4438">
        <v>0.999999983427168</v>
      </c>
    </row>
    <row r="4439" spans="1:40" x14ac:dyDescent="0.25">
      <c r="A4439" t="str">
        <f>"20190312150741343"</f>
        <v>20190312150741343</v>
      </c>
      <c r="B4439" t="str">
        <f>"1552374461334122"</f>
        <v>1552374461334122</v>
      </c>
      <c r="C4439" t="s">
        <v>40</v>
      </c>
      <c r="D4439">
        <v>4.6027550000000002</v>
      </c>
      <c r="E4439">
        <v>0.50596430000000003</v>
      </c>
      <c r="F4439" t="s">
        <v>61</v>
      </c>
      <c r="G4439">
        <v>-493.47149999999999</v>
      </c>
      <c r="H4439" s="1">
        <v>3.0564390000000001E-6</v>
      </c>
      <c r="I4439">
        <v>220.08349999999999</v>
      </c>
      <c r="J4439">
        <v>-493.32889999999998</v>
      </c>
      <c r="K4439">
        <v>1.10975</v>
      </c>
      <c r="L4439">
        <v>253.18029999999999</v>
      </c>
      <c r="M4439">
        <v>1.2283850000000001E-2</v>
      </c>
      <c r="N4439">
        <v>0</v>
      </c>
      <c r="O4439">
        <v>-0.99983580000000005</v>
      </c>
      <c r="P4439">
        <v>1.0280839999999999E-2</v>
      </c>
      <c r="Q4439">
        <v>-3.1977899999999997E-2</v>
      </c>
      <c r="R4439">
        <v>-0.99943590000000004</v>
      </c>
      <c r="S4439">
        <v>-1.2847900000000001E-2</v>
      </c>
      <c r="T4439">
        <v>-0.1002873</v>
      </c>
      <c r="U4439">
        <v>-2.9986570000000001</v>
      </c>
      <c r="V4439">
        <v>1.9668559999999999E-3</v>
      </c>
      <c r="W4439">
        <v>-1.8658350000000001E-2</v>
      </c>
      <c r="X4439">
        <v>0.99982400000000005</v>
      </c>
      <c r="Y4439">
        <v>1.6566620000000001E-2</v>
      </c>
      <c r="Z4439">
        <v>3.3419160000000003E-2</v>
      </c>
      <c r="AA4439">
        <v>0.99930410000000003</v>
      </c>
      <c r="AB4439">
        <v>17</v>
      </c>
      <c r="AC4439">
        <v>-0.14260000000001499</v>
      </c>
      <c r="AD4439">
        <v>-1.1097469435609999</v>
      </c>
      <c r="AE4439">
        <v>-33.096800000000002</v>
      </c>
      <c r="AF4439">
        <v>0.54856471739608703</v>
      </c>
      <c r="AG4439">
        <v>-1.1097469435609999</v>
      </c>
      <c r="AH4439">
        <v>33.055387650027903</v>
      </c>
      <c r="AI4439">
        <v>91.922567072558905</v>
      </c>
      <c r="AJ4439">
        <v>89.049245510509394</v>
      </c>
      <c r="AK4439">
        <v>33.078559736202699</v>
      </c>
      <c r="AL4439">
        <v>91.069106727947997</v>
      </c>
      <c r="AM4439">
        <v>89.887287760304503</v>
      </c>
      <c r="AN4439">
        <v>1.0000000167616201</v>
      </c>
    </row>
    <row r="4440" spans="1:40" x14ac:dyDescent="0.25">
      <c r="A4440" t="str">
        <f>"20190312150741355"</f>
        <v>20190312150741355</v>
      </c>
      <c r="B4440" t="str">
        <f>"1552374461343883"</f>
        <v>1552374461343883</v>
      </c>
      <c r="C4440" t="s">
        <v>40</v>
      </c>
      <c r="D4440">
        <v>4.5931550000000003</v>
      </c>
      <c r="E4440">
        <v>0.50598140000000003</v>
      </c>
      <c r="F4440" t="s">
        <v>61</v>
      </c>
      <c r="G4440">
        <v>-493.50779999999997</v>
      </c>
      <c r="H4440" s="1">
        <v>3.0902859999999999E-6</v>
      </c>
      <c r="I4440">
        <v>220.21360000000001</v>
      </c>
      <c r="J4440">
        <v>-493.32870000000003</v>
      </c>
      <c r="K4440">
        <v>1.109758</v>
      </c>
      <c r="L4440">
        <v>253.09739999999999</v>
      </c>
      <c r="M4440">
        <v>1.1616970000000001E-2</v>
      </c>
      <c r="N4440">
        <v>0</v>
      </c>
      <c r="O4440">
        <v>-0.9998437</v>
      </c>
      <c r="P4440">
        <v>9.4684859999999999E-3</v>
      </c>
      <c r="Q4440">
        <v>-3.1635589999999998E-2</v>
      </c>
      <c r="R4440">
        <v>-0.99945470000000003</v>
      </c>
      <c r="S4440">
        <v>-1.6265870000000002E-2</v>
      </c>
      <c r="T4440">
        <v>-0.1009423</v>
      </c>
      <c r="U4440">
        <v>-2.9986419999999998</v>
      </c>
      <c r="V4440">
        <v>2.11356E-3</v>
      </c>
      <c r="W4440">
        <v>-1.8317130000000001E-2</v>
      </c>
      <c r="X4440">
        <v>0.99983</v>
      </c>
      <c r="Y4440">
        <v>1.7038729999999998E-2</v>
      </c>
      <c r="Z4440">
        <v>3.3637510000000002E-2</v>
      </c>
      <c r="AA4440">
        <v>0.99928890000000004</v>
      </c>
      <c r="AB4440">
        <v>17</v>
      </c>
      <c r="AC4440">
        <v>-0.179099999999948</v>
      </c>
      <c r="AD4440">
        <v>-1.109754909714</v>
      </c>
      <c r="AE4440">
        <v>-32.883799999999901</v>
      </c>
      <c r="AF4440">
        <v>0.56049362758050403</v>
      </c>
      <c r="AG4440">
        <v>-1.109754909714</v>
      </c>
      <c r="AH4440">
        <v>32.8420966995158</v>
      </c>
      <c r="AI4440">
        <v>91.935042159152204</v>
      </c>
      <c r="AJ4440">
        <v>89.022266991100395</v>
      </c>
      <c r="AK4440">
        <v>32.865620710501403</v>
      </c>
      <c r="AL4440">
        <v>91.049552930918495</v>
      </c>
      <c r="AM4440">
        <v>89.878881522492506</v>
      </c>
      <c r="AN4440">
        <v>1.0000000066436501</v>
      </c>
    </row>
    <row r="4441" spans="1:40" x14ac:dyDescent="0.25">
      <c r="A4441" t="str">
        <f>"20190312150741367"</f>
        <v>20190312150741367</v>
      </c>
      <c r="B4441" t="str">
        <f>"1552374461354618"</f>
        <v>1552374461354618</v>
      </c>
      <c r="C4441" t="s">
        <v>40</v>
      </c>
      <c r="D4441">
        <v>4.585153</v>
      </c>
      <c r="E4441">
        <v>0.50595670000000004</v>
      </c>
      <c r="F4441" t="s">
        <v>61</v>
      </c>
      <c r="G4441">
        <v>-493.53989999999999</v>
      </c>
      <c r="H4441" s="1">
        <v>2.9367740000000001E-6</v>
      </c>
      <c r="I4441">
        <v>219.7364</v>
      </c>
      <c r="J4441">
        <v>-493.32850000000002</v>
      </c>
      <c r="K4441">
        <v>1.109764</v>
      </c>
      <c r="L4441">
        <v>253.00899999999999</v>
      </c>
      <c r="M4441">
        <v>1.0906839999999999E-2</v>
      </c>
      <c r="N4441">
        <v>0</v>
      </c>
      <c r="O4441">
        <v>-0.99985199999999996</v>
      </c>
      <c r="P4441">
        <v>8.3766039999999993E-3</v>
      </c>
      <c r="Q4441">
        <v>-3.110595E-2</v>
      </c>
      <c r="R4441">
        <v>-0.99948139999999996</v>
      </c>
      <c r="S4441">
        <v>-1.8981930000000001E-2</v>
      </c>
      <c r="T4441">
        <v>-9.9749569999999996E-2</v>
      </c>
      <c r="U4441">
        <v>-2.9986269999999999</v>
      </c>
      <c r="V4441">
        <v>2.4969179999999999E-3</v>
      </c>
      <c r="W4441">
        <v>-1.7788950000000001E-2</v>
      </c>
      <c r="X4441">
        <v>0.99983869999999997</v>
      </c>
      <c r="Y4441">
        <v>1.7233789999999999E-2</v>
      </c>
      <c r="Z4441">
        <v>3.324092E-2</v>
      </c>
      <c r="AA4441">
        <v>0.99929880000000004</v>
      </c>
      <c r="AB4441">
        <v>17</v>
      </c>
      <c r="AC4441">
        <v>-0.211399999999969</v>
      </c>
      <c r="AD4441">
        <v>-1.109761063226</v>
      </c>
      <c r="AE4441">
        <v>-33.272599999999997</v>
      </c>
      <c r="AF4441">
        <v>0.57368030003852</v>
      </c>
      <c r="AG4441">
        <v>-1.109761063226</v>
      </c>
      <c r="AH4441">
        <v>33.231347495563902</v>
      </c>
      <c r="AI4441">
        <v>91.912397379376202</v>
      </c>
      <c r="AJ4441">
        <v>89.010988184309696</v>
      </c>
      <c r="AK4441">
        <v>33.2548212305378</v>
      </c>
      <c r="AL4441">
        <v>91.019285465332999</v>
      </c>
      <c r="AM4441">
        <v>89.856914354503104</v>
      </c>
      <c r="AN4441">
        <v>1.0000000536796401</v>
      </c>
    </row>
    <row r="4442" spans="1:40" x14ac:dyDescent="0.25">
      <c r="A4442" t="str">
        <f>"20190312150741378"</f>
        <v>20190312150741378</v>
      </c>
      <c r="B4442" t="str">
        <f>"1552374461374138"</f>
        <v>1552374461374138</v>
      </c>
      <c r="C4442" t="s">
        <v>40</v>
      </c>
      <c r="D4442">
        <v>4.5920059999999996</v>
      </c>
      <c r="E4442">
        <v>0.50588509999999998</v>
      </c>
      <c r="F4442" t="s">
        <v>61</v>
      </c>
      <c r="G4442">
        <v>-493.58030000000002</v>
      </c>
      <c r="H4442" s="1">
        <v>2.8764099999999898E-6</v>
      </c>
      <c r="I4442">
        <v>219.25049999999999</v>
      </c>
      <c r="J4442">
        <v>-493.32839999999999</v>
      </c>
      <c r="K4442">
        <v>1.109769</v>
      </c>
      <c r="L4442">
        <v>252.92339999999999</v>
      </c>
      <c r="M4442">
        <v>1.022169E-2</v>
      </c>
      <c r="N4442">
        <v>0</v>
      </c>
      <c r="O4442">
        <v>-0.9998591</v>
      </c>
      <c r="P4442">
        <v>7.4567169999999999E-3</v>
      </c>
      <c r="Q4442">
        <v>-3.0715800000000001E-2</v>
      </c>
      <c r="R4442">
        <v>-0.99950050000000001</v>
      </c>
      <c r="S4442">
        <v>-2.2369380000000001E-2</v>
      </c>
      <c r="T4442">
        <v>-9.8577620000000005E-2</v>
      </c>
      <c r="U4442">
        <v>-2.998688</v>
      </c>
      <c r="V4442">
        <v>2.7328999999999999E-3</v>
      </c>
      <c r="W4442">
        <v>-1.7400120000000002E-2</v>
      </c>
      <c r="X4442">
        <v>0.99984479999999998</v>
      </c>
      <c r="Y4442">
        <v>1.7677410000000001E-2</v>
      </c>
      <c r="Z4442">
        <v>3.2850240000000003E-2</v>
      </c>
      <c r="AA4442">
        <v>0.99930390000000002</v>
      </c>
      <c r="AB4442">
        <v>17</v>
      </c>
      <c r="AC4442">
        <v>-0.25190000000003399</v>
      </c>
      <c r="AD4442">
        <v>-1.10976612359</v>
      </c>
      <c r="AE4442">
        <v>-33.672899999999998</v>
      </c>
      <c r="AF4442">
        <v>0.59546455364515904</v>
      </c>
      <c r="AG4442">
        <v>-1.10976612359</v>
      </c>
      <c r="AH4442">
        <v>33.632037039337803</v>
      </c>
      <c r="AI4442">
        <v>91.889623859583907</v>
      </c>
      <c r="AJ4442">
        <v>88.985668296648598</v>
      </c>
      <c r="AK4442">
        <v>33.655609848866298</v>
      </c>
      <c r="AL4442">
        <v>90.997003824131099</v>
      </c>
      <c r="AM4442">
        <v>89.843392448623604</v>
      </c>
      <c r="AN4442">
        <v>0.99999992850272901</v>
      </c>
    </row>
    <row r="4443" spans="1:40" x14ac:dyDescent="0.25">
      <c r="A4443" t="str">
        <f>"20190312150741389"</f>
        <v>20190312150741389</v>
      </c>
      <c r="B4443" t="str">
        <f>"1552374461384874"</f>
        <v>1552374461384874</v>
      </c>
      <c r="C4443" t="s">
        <v>40</v>
      </c>
      <c r="D4443">
        <v>4.641915</v>
      </c>
      <c r="E4443">
        <v>0.50587109999999902</v>
      </c>
      <c r="F4443" t="s">
        <v>61</v>
      </c>
      <c r="G4443">
        <v>-493.61169999999998</v>
      </c>
      <c r="H4443" s="1">
        <v>2.8276849999999998E-6</v>
      </c>
      <c r="I4443">
        <v>218.26310000000001</v>
      </c>
      <c r="J4443">
        <v>-493.32830000000001</v>
      </c>
      <c r="K4443">
        <v>1.109774</v>
      </c>
      <c r="L4443">
        <v>252.83760000000001</v>
      </c>
      <c r="M4443">
        <v>9.5350009999999995E-3</v>
      </c>
      <c r="N4443">
        <v>0</v>
      </c>
      <c r="O4443">
        <v>-0.99986600000000003</v>
      </c>
      <c r="P4443">
        <v>6.6171550000000004E-3</v>
      </c>
      <c r="Q4443">
        <v>-2.998226E-2</v>
      </c>
      <c r="R4443">
        <v>-0.99952890000000005</v>
      </c>
      <c r="S4443">
        <v>-2.4505619999999999E-2</v>
      </c>
      <c r="T4443">
        <v>-9.6013899999999999E-2</v>
      </c>
      <c r="U4443">
        <v>-2.9987180000000002</v>
      </c>
      <c r="V4443">
        <v>2.887611E-3</v>
      </c>
      <c r="W4443">
        <v>-1.6667640000000001E-2</v>
      </c>
      <c r="X4443">
        <v>0.99985690000000005</v>
      </c>
      <c r="Y4443">
        <v>1.770273E-2</v>
      </c>
      <c r="Z4443">
        <v>3.1996700000000003E-2</v>
      </c>
      <c r="AA4443">
        <v>0.99933119999999998</v>
      </c>
      <c r="AB4443">
        <v>17</v>
      </c>
      <c r="AC4443">
        <v>-0.28339999999997101</v>
      </c>
      <c r="AD4443">
        <v>-1.1097711723149899</v>
      </c>
      <c r="AE4443">
        <v>-34.5745</v>
      </c>
      <c r="AF4443">
        <v>0.61245324136715296</v>
      </c>
      <c r="AG4443">
        <v>-1.1097711723149899</v>
      </c>
      <c r="AH4443">
        <v>34.534647586184597</v>
      </c>
      <c r="AI4443">
        <v>91.840277769326804</v>
      </c>
      <c r="AJ4443">
        <v>88.983996936628799</v>
      </c>
      <c r="AK4443">
        <v>34.557901772673198</v>
      </c>
      <c r="AL4443">
        <v>90.955029664229798</v>
      </c>
      <c r="AM4443">
        <v>89.834528857884607</v>
      </c>
      <c r="AN4443">
        <v>0.99999998449903305</v>
      </c>
    </row>
    <row r="4444" spans="1:40" x14ac:dyDescent="0.25">
      <c r="A4444" t="str">
        <f>"20190312150741401"</f>
        <v>20190312150741401</v>
      </c>
      <c r="B4444" t="str">
        <f>"1552374461394634"</f>
        <v>1552374461394634</v>
      </c>
      <c r="C4444" t="s">
        <v>40</v>
      </c>
      <c r="D4444">
        <v>4.5397230000000004</v>
      </c>
      <c r="E4444">
        <v>0.50582009999999999</v>
      </c>
      <c r="F4444" t="s">
        <v>61</v>
      </c>
      <c r="G4444">
        <v>-493.64710000000002</v>
      </c>
      <c r="H4444" s="1">
        <v>2.7767469999999998E-6</v>
      </c>
      <c r="I4444">
        <v>217.2415</v>
      </c>
      <c r="J4444">
        <v>-493.32830000000001</v>
      </c>
      <c r="K4444">
        <v>1.1097840000000001</v>
      </c>
      <c r="L4444">
        <v>252.7501</v>
      </c>
      <c r="M4444">
        <v>8.8373140000000006E-3</v>
      </c>
      <c r="N4444">
        <v>0</v>
      </c>
      <c r="O4444">
        <v>-0.99987210000000004</v>
      </c>
      <c r="P4444">
        <v>5.9296660000000001E-3</v>
      </c>
      <c r="Q4444">
        <v>-2.9649669999999999E-2</v>
      </c>
      <c r="R4444">
        <v>-0.99954279999999995</v>
      </c>
      <c r="S4444">
        <v>-2.6855469999999999E-2</v>
      </c>
      <c r="T4444">
        <v>-9.3492629999999993E-2</v>
      </c>
      <c r="U4444">
        <v>-2.9987949999999999</v>
      </c>
      <c r="V4444">
        <v>2.8784309999999999E-3</v>
      </c>
      <c r="W4444">
        <v>-1.6335949999999998E-2</v>
      </c>
      <c r="X4444">
        <v>0.99986240000000004</v>
      </c>
      <c r="Y4444">
        <v>1.7788109999999999E-2</v>
      </c>
      <c r="Z4444">
        <v>3.1156679999999999E-2</v>
      </c>
      <c r="AA4444">
        <v>0.99935620000000003</v>
      </c>
      <c r="AB4444">
        <v>17</v>
      </c>
      <c r="AC4444">
        <v>-0.31880000000001002</v>
      </c>
      <c r="AD4444">
        <v>-1.109781223253</v>
      </c>
      <c r="AE4444">
        <v>-35.508600000000001</v>
      </c>
      <c r="AF4444">
        <v>0.631998789740713</v>
      </c>
      <c r="AG4444">
        <v>-1.109781223253</v>
      </c>
      <c r="AH4444">
        <v>35.4697513433225</v>
      </c>
      <c r="AI4444">
        <v>91.791807377064998</v>
      </c>
      <c r="AJ4444">
        <v>88.979213820379897</v>
      </c>
      <c r="AK4444">
        <v>35.492735836940597</v>
      </c>
      <c r="AL4444">
        <v>90.936022639343193</v>
      </c>
      <c r="AM4444">
        <v>89.835055811362594</v>
      </c>
      <c r="AN4444">
        <v>0.99999998378059196</v>
      </c>
    </row>
    <row r="4445" spans="1:40" x14ac:dyDescent="0.25">
      <c r="A4445" t="str">
        <f>"20190312150741413"</f>
        <v>20190312150741413</v>
      </c>
      <c r="B4445" t="str">
        <f>"1552374461404395"</f>
        <v>1552374461404395</v>
      </c>
      <c r="C4445" t="s">
        <v>40</v>
      </c>
      <c r="D4445">
        <v>4.5794139999999999</v>
      </c>
      <c r="E4445">
        <v>0.50582009999999999</v>
      </c>
      <c r="F4445" t="s">
        <v>61</v>
      </c>
      <c r="G4445">
        <v>-493.67590000000001</v>
      </c>
      <c r="H4445" s="1">
        <v>2.7523700000000001E-6</v>
      </c>
      <c r="I4445">
        <v>216.8006</v>
      </c>
      <c r="J4445">
        <v>-493.32830000000001</v>
      </c>
      <c r="K4445">
        <v>1.1097870000000001</v>
      </c>
      <c r="L4445">
        <v>252.6508</v>
      </c>
      <c r="M4445">
        <v>8.0453039999999997E-3</v>
      </c>
      <c r="N4445">
        <v>0</v>
      </c>
      <c r="O4445">
        <v>-0.99987910000000002</v>
      </c>
      <c r="P4445">
        <v>5.1604779999999996E-3</v>
      </c>
      <c r="Q4445">
        <v>-2.9225089999999999E-2</v>
      </c>
      <c r="R4445">
        <v>-0.99955959999999999</v>
      </c>
      <c r="S4445">
        <v>-2.8991699999999999E-2</v>
      </c>
      <c r="T4445">
        <v>-9.2574240000000002E-2</v>
      </c>
      <c r="U4445">
        <v>-2.9987949999999999</v>
      </c>
      <c r="V4445">
        <v>2.8567950000000001E-3</v>
      </c>
      <c r="W4445">
        <v>-1.5912409999999998E-2</v>
      </c>
      <c r="X4445">
        <v>0.99986929999999996</v>
      </c>
      <c r="Y4445">
        <v>1.7708060000000001E-2</v>
      </c>
      <c r="Z4445">
        <v>3.0851150000000001E-2</v>
      </c>
      <c r="AA4445">
        <v>0.99936709999999995</v>
      </c>
      <c r="AB4445">
        <v>17</v>
      </c>
      <c r="AC4445">
        <v>-0.34759999999999902</v>
      </c>
      <c r="AD4445">
        <v>-1.1097842476299999</v>
      </c>
      <c r="AE4445">
        <v>-35.850200000000001</v>
      </c>
      <c r="AF4445">
        <v>0.63543117736757404</v>
      </c>
      <c r="AG4445">
        <v>-1.1097842476299999</v>
      </c>
      <c r="AH4445">
        <v>35.811927995314598</v>
      </c>
      <c r="AI4445">
        <v>91.774705153647403</v>
      </c>
      <c r="AJ4445">
        <v>88.983475433522003</v>
      </c>
      <c r="AK4445">
        <v>35.834753809661599</v>
      </c>
      <c r="AL4445">
        <v>90.911752422003701</v>
      </c>
      <c r="AM4445">
        <v>89.836296752951299</v>
      </c>
      <c r="AN4445">
        <v>0.99999999157608499</v>
      </c>
    </row>
    <row r="4446" spans="1:40" x14ac:dyDescent="0.25">
      <c r="A4446" t="str">
        <f>"20190312150741424"</f>
        <v>20190312150741424</v>
      </c>
      <c r="B4446" t="str">
        <f>"1552374461414154"</f>
        <v>1552374461414154</v>
      </c>
      <c r="C4446" t="s">
        <v>40</v>
      </c>
      <c r="D4446">
        <v>4.5623170000000002</v>
      </c>
      <c r="E4446">
        <v>0.50242010000000004</v>
      </c>
      <c r="F4446" t="s">
        <v>61</v>
      </c>
      <c r="G4446">
        <v>-493.70389999999998</v>
      </c>
      <c r="H4446" s="1">
        <v>2.7204989999999998E-6</v>
      </c>
      <c r="I4446">
        <v>216.18520000000001</v>
      </c>
      <c r="J4446">
        <v>-493.32839999999999</v>
      </c>
      <c r="K4446">
        <v>1.1097919999999999</v>
      </c>
      <c r="L4446">
        <v>252.5615</v>
      </c>
      <c r="M4446">
        <v>7.3332529999999996E-3</v>
      </c>
      <c r="N4446">
        <v>0</v>
      </c>
      <c r="O4446">
        <v>-0.99988449999999995</v>
      </c>
      <c r="P4446">
        <v>4.5163999999999899E-3</v>
      </c>
      <c r="Q4446">
        <v>-2.893952E-2</v>
      </c>
      <c r="R4446">
        <v>-0.99957130000000005</v>
      </c>
      <c r="S4446">
        <v>-3.0883790000000001E-2</v>
      </c>
      <c r="T4446">
        <v>-9.1265319999999997E-2</v>
      </c>
      <c r="U4446">
        <v>-2.9988250000000001</v>
      </c>
      <c r="V4446">
        <v>2.7896840000000002E-3</v>
      </c>
      <c r="W4446">
        <v>-1.5627720000000001E-2</v>
      </c>
      <c r="X4446">
        <v>0.99987400000000004</v>
      </c>
      <c r="Y4446">
        <v>1.7626559999999999E-2</v>
      </c>
      <c r="Z4446">
        <v>3.041522E-2</v>
      </c>
      <c r="AA4446">
        <v>0.99938190000000005</v>
      </c>
      <c r="AB4446">
        <v>17</v>
      </c>
      <c r="AC4446">
        <v>-0.37549999999998801</v>
      </c>
      <c r="AD4446">
        <v>-1.109789279501</v>
      </c>
      <c r="AE4446">
        <v>-36.376299999999901</v>
      </c>
      <c r="AF4446">
        <v>0.64167296319368095</v>
      </c>
      <c r="AG4446">
        <v>-1.109789279501</v>
      </c>
      <c r="AH4446">
        <v>36.338748296299798</v>
      </c>
      <c r="AI4446">
        <v>91.749003066185907</v>
      </c>
      <c r="AJ4446">
        <v>88.988370986031299</v>
      </c>
      <c r="AK4446">
        <v>36.361353167593002</v>
      </c>
      <c r="AL4446">
        <v>90.895438839444296</v>
      </c>
      <c r="AM4446">
        <v>89.840143153400106</v>
      </c>
      <c r="AN4446">
        <v>1.0000000119226</v>
      </c>
    </row>
    <row r="4447" spans="1:40" x14ac:dyDescent="0.25">
      <c r="A4447" t="str">
        <f>"20190312150741435"</f>
        <v>20190312150741435</v>
      </c>
      <c r="B4447" t="str">
        <f>"1552374461424891"</f>
        <v>1552374461424891</v>
      </c>
      <c r="C4447" t="s">
        <v>40</v>
      </c>
      <c r="D4447">
        <v>4.5635339999999998</v>
      </c>
      <c r="E4447">
        <v>0.50242249999999999</v>
      </c>
      <c r="F4447" t="s">
        <v>61</v>
      </c>
      <c r="G4447">
        <v>-493.36340000000001</v>
      </c>
      <c r="H4447" s="1">
        <v>5.6992899999999999E-6</v>
      </c>
      <c r="I4447">
        <v>229.4924</v>
      </c>
      <c r="J4447">
        <v>-493.32859999999999</v>
      </c>
      <c r="K4447">
        <v>1.109796</v>
      </c>
      <c r="L4447">
        <v>252.477</v>
      </c>
      <c r="M4447">
        <v>6.6600160000000004E-3</v>
      </c>
      <c r="N4447">
        <v>0</v>
      </c>
      <c r="O4447">
        <v>-0.99988929999999998</v>
      </c>
      <c r="P4447">
        <v>4.0450149999999999E-3</v>
      </c>
      <c r="Q4447">
        <v>-2.8767910000000001E-2</v>
      </c>
      <c r="R4447">
        <v>-0.99957839999999998</v>
      </c>
      <c r="S4447">
        <v>-4.5471189999999996E-3</v>
      </c>
      <c r="T4447">
        <v>-0.1441827</v>
      </c>
      <c r="U4447">
        <v>-2.9971160000000001</v>
      </c>
      <c r="V4447">
        <v>2.5884329999999998E-3</v>
      </c>
      <c r="W4447">
        <v>-1.545671E-2</v>
      </c>
      <c r="X4447">
        <v>0.99987720000000002</v>
      </c>
      <c r="Y4447">
        <v>8.1759780000000004E-3</v>
      </c>
      <c r="Z4447">
        <v>4.8049149999999999E-2</v>
      </c>
      <c r="AA4447">
        <v>0.99881149999999996</v>
      </c>
      <c r="AB4447">
        <v>17</v>
      </c>
      <c r="AC4447">
        <v>-3.4800000000018302E-2</v>
      </c>
      <c r="AD4447">
        <v>-1.1097903007100001</v>
      </c>
      <c r="AE4447">
        <v>-22.9846</v>
      </c>
      <c r="AF4447">
        <v>0.187453564107011</v>
      </c>
      <c r="AG4447">
        <v>-1.1097903007100001</v>
      </c>
      <c r="AH4447">
        <v>22.930399642011398</v>
      </c>
      <c r="AI4447">
        <v>92.770758621558002</v>
      </c>
      <c r="AJ4447">
        <v>89.531623565168204</v>
      </c>
      <c r="AK4447">
        <v>22.958005163615599</v>
      </c>
      <c r="AL4447">
        <v>90.885639504168395</v>
      </c>
      <c r="AM4447">
        <v>89.851675830636296</v>
      </c>
      <c r="AN4447">
        <v>1.00000001247462</v>
      </c>
    </row>
    <row r="4448" spans="1:40" x14ac:dyDescent="0.25">
      <c r="A4448" t="str">
        <f>"20190312150741460"</f>
        <v>20190312150741460</v>
      </c>
      <c r="B4448" t="str">
        <f>"1552374461454171"</f>
        <v>1552374461454171</v>
      </c>
      <c r="C4448" t="s">
        <v>40</v>
      </c>
      <c r="D4448">
        <v>4.5818289999999999</v>
      </c>
      <c r="E4448">
        <v>0.50275209999999904</v>
      </c>
      <c r="F4448" t="s">
        <v>42</v>
      </c>
      <c r="G4448">
        <v>-493.36799999999999</v>
      </c>
      <c r="H4448" s="1">
        <v>-1.640087E-6</v>
      </c>
      <c r="I4448">
        <v>231.32320000000001</v>
      </c>
      <c r="J4448">
        <v>-493.32920000000001</v>
      </c>
      <c r="K4448">
        <v>1.109804</v>
      </c>
      <c r="L4448">
        <v>252.29490000000001</v>
      </c>
      <c r="M4448">
        <v>5.2066959999999898E-3</v>
      </c>
      <c r="N4448">
        <v>0</v>
      </c>
      <c r="O4448">
        <v>-0.99989779999999995</v>
      </c>
      <c r="P4448">
        <v>3.0103759999999999E-3</v>
      </c>
      <c r="Q4448">
        <v>-2.884917E-2</v>
      </c>
      <c r="R4448">
        <v>-0.99957929999999995</v>
      </c>
      <c r="S4448">
        <v>-5.5847170000000003E-3</v>
      </c>
      <c r="T4448">
        <v>-0.1572202</v>
      </c>
      <c r="U4448">
        <v>-2.9967649999999999</v>
      </c>
      <c r="V4448">
        <v>2.1702150000000001E-3</v>
      </c>
      <c r="W4448">
        <v>-1.553942E-2</v>
      </c>
      <c r="X4448">
        <v>0.99987689999999996</v>
      </c>
      <c r="Y4448">
        <v>7.0681420000000003E-3</v>
      </c>
      <c r="Z4448">
        <v>5.2389499999999999E-2</v>
      </c>
      <c r="AA4448">
        <v>0.99860170000000004</v>
      </c>
      <c r="AB4448">
        <v>17</v>
      </c>
      <c r="AC4448">
        <v>-3.8800000000037402E-2</v>
      </c>
      <c r="AD4448">
        <v>-1.109805640087</v>
      </c>
      <c r="AE4448">
        <v>-20.971699999999998</v>
      </c>
      <c r="AF4448">
        <v>0.14758910732987501</v>
      </c>
      <c r="AG4448">
        <v>-1.109805640087</v>
      </c>
      <c r="AH4448">
        <v>20.9126491812792</v>
      </c>
      <c r="AI4448">
        <v>93.037683425183701</v>
      </c>
      <c r="AJ4448">
        <v>89.595646993847495</v>
      </c>
      <c r="AK4448">
        <v>20.942596469459801</v>
      </c>
      <c r="AL4448">
        <v>90.890379019007895</v>
      </c>
      <c r="AM4448">
        <v>89.875640726498304</v>
      </c>
      <c r="AN4448">
        <v>0.999999999280346</v>
      </c>
    </row>
    <row r="4449" spans="1:40" x14ac:dyDescent="0.25">
      <c r="A4449" t="str">
        <f>"20190312150741523"</f>
        <v>20190312150741523</v>
      </c>
      <c r="B4449" t="str">
        <f>"1552374461514681"</f>
        <v>1552374461514681</v>
      </c>
      <c r="C4449" t="s">
        <v>40</v>
      </c>
      <c r="D4449">
        <v>4.5554519999999998</v>
      </c>
      <c r="E4449">
        <v>0.52255039999999997</v>
      </c>
      <c r="F4449" t="s">
        <v>61</v>
      </c>
      <c r="G4449">
        <v>-493.42070000000001</v>
      </c>
      <c r="H4449" s="1">
        <v>5.4938739999999997E-6</v>
      </c>
      <c r="I4449">
        <v>228.63229999999999</v>
      </c>
      <c r="J4449">
        <v>-493.33179999999999</v>
      </c>
      <c r="K4449">
        <v>1.1098079999999999</v>
      </c>
      <c r="L4449">
        <v>251.8141</v>
      </c>
      <c r="M4449">
        <v>1.3590589999999999E-3</v>
      </c>
      <c r="N4449">
        <v>0</v>
      </c>
      <c r="O4449">
        <v>-0.99991039999999998</v>
      </c>
      <c r="P4449">
        <v>2.9178020000000002E-3</v>
      </c>
      <c r="Q4449">
        <v>-2.7965509999999999E-2</v>
      </c>
      <c r="R4449">
        <v>-0.99960470000000001</v>
      </c>
      <c r="S4449">
        <v>-1.159668E-2</v>
      </c>
      <c r="T4449">
        <v>-0.1405729</v>
      </c>
      <c r="U4449">
        <v>-2.997223</v>
      </c>
      <c r="V4449">
        <v>-1.5818E-3</v>
      </c>
      <c r="W4449">
        <v>-1.465519E-2</v>
      </c>
      <c r="X4449">
        <v>0.99989130000000004</v>
      </c>
      <c r="Y4449">
        <v>5.2240300000000002E-3</v>
      </c>
      <c r="Z4449">
        <v>4.684899E-2</v>
      </c>
      <c r="AA4449">
        <v>0.99888829999999995</v>
      </c>
      <c r="AB4449">
        <v>17</v>
      </c>
      <c r="AC4449">
        <v>-8.8900000000023696E-2</v>
      </c>
      <c r="AD4449">
        <v>-1.109802506126</v>
      </c>
      <c r="AE4449">
        <v>-23.181799999999999</v>
      </c>
      <c r="AF4449">
        <v>0.12013281658793699</v>
      </c>
      <c r="AG4449">
        <v>-1.109802506126</v>
      </c>
      <c r="AH4449">
        <v>23.128649808970099</v>
      </c>
      <c r="AI4449">
        <v>92.747130062934602</v>
      </c>
      <c r="AJ4449">
        <v>89.702401933098002</v>
      </c>
      <c r="AK4449">
        <v>23.155572449891999</v>
      </c>
      <c r="AL4449">
        <v>90.839710641692093</v>
      </c>
      <c r="AM4449">
        <v>90.090640241023095</v>
      </c>
      <c r="AN4449">
        <v>0.99999994425043104</v>
      </c>
    </row>
    <row r="4450" spans="1:40" x14ac:dyDescent="0.25">
      <c r="A4450" t="str">
        <f>"20190312150741535"</f>
        <v>20190312150741535</v>
      </c>
      <c r="B4450" t="str">
        <f>"1552374461524442"</f>
        <v>1552374461524442</v>
      </c>
      <c r="C4450" t="s">
        <v>40</v>
      </c>
      <c r="D4450">
        <v>4.8165319999999996</v>
      </c>
      <c r="E4450">
        <v>0.52092970000000005</v>
      </c>
      <c r="F4450" t="s">
        <v>48</v>
      </c>
      <c r="G4450">
        <v>0</v>
      </c>
      <c r="H4450">
        <v>0</v>
      </c>
      <c r="I4450">
        <v>0</v>
      </c>
      <c r="J4450">
        <v>-493.33260000000001</v>
      </c>
      <c r="K4450">
        <v>1.1098079999999999</v>
      </c>
      <c r="L4450">
        <v>251.71899999999999</v>
      </c>
      <c r="M4450">
        <v>5.9514729999999997E-4</v>
      </c>
      <c r="N4450">
        <v>0</v>
      </c>
      <c r="O4450">
        <v>-0.99991149999999995</v>
      </c>
      <c r="P4450">
        <v>2.9941999999999998E-3</v>
      </c>
      <c r="Q4450">
        <v>-2.743344E-2</v>
      </c>
      <c r="R4450">
        <v>-0.99961949999999999</v>
      </c>
      <c r="S4450">
        <v>-0.17276</v>
      </c>
      <c r="T4450">
        <v>3.6156179999999999E-4</v>
      </c>
      <c r="U4450">
        <v>-3.001709</v>
      </c>
      <c r="V4450">
        <v>-2.4209610000000001E-3</v>
      </c>
      <c r="W4450">
        <v>-1.412273E-2</v>
      </c>
      <c r="X4450">
        <v>0.99989740000000005</v>
      </c>
      <c r="Y4450">
        <v>5.8053E-2</v>
      </c>
      <c r="Z4450">
        <v>-1.202509E-4</v>
      </c>
      <c r="AA4450">
        <v>0.99831349999999996</v>
      </c>
      <c r="AB4450">
        <v>17</v>
      </c>
      <c r="AC4450">
        <v>-0.17276</v>
      </c>
      <c r="AD4450">
        <v>3.6156179999999999E-4</v>
      </c>
      <c r="AE4450">
        <v>-3.001709</v>
      </c>
      <c r="AF4450">
        <v>0.17454658368057399</v>
      </c>
      <c r="AG4450">
        <v>3.6156179999999999E-4</v>
      </c>
      <c r="AH4450">
        <v>3.0016055981678398</v>
      </c>
      <c r="AI4450">
        <v>89.993110011634698</v>
      </c>
      <c r="AJ4450">
        <v>86.671936949424094</v>
      </c>
      <c r="AK4450">
        <v>3.0066763722679002</v>
      </c>
      <c r="AL4450">
        <v>90.809199675271103</v>
      </c>
      <c r="AM4450">
        <v>90.138724809779404</v>
      </c>
      <c r="AN4450">
        <v>1.00000006154078</v>
      </c>
    </row>
    <row r="4451" spans="1:40" x14ac:dyDescent="0.25">
      <c r="A4451" t="str">
        <f>"20190312150741546"</f>
        <v>20190312150741546</v>
      </c>
      <c r="B4451" t="str">
        <f>"1552374461534202"</f>
        <v>1552374461534202</v>
      </c>
      <c r="C4451" t="s">
        <v>40</v>
      </c>
      <c r="D4451">
        <v>4.5319430000000001</v>
      </c>
      <c r="E4451">
        <v>0.52117970000000002</v>
      </c>
      <c r="F4451" t="s">
        <v>48</v>
      </c>
      <c r="G4451">
        <v>0</v>
      </c>
      <c r="H4451">
        <v>0</v>
      </c>
      <c r="I4451">
        <v>0</v>
      </c>
      <c r="J4451">
        <v>-493.33330000000001</v>
      </c>
      <c r="K4451">
        <v>1.109807</v>
      </c>
      <c r="L4451">
        <v>251.63550000000001</v>
      </c>
      <c r="M4451" s="1">
        <v>-7.5195549999999999E-5</v>
      </c>
      <c r="N4451">
        <v>0</v>
      </c>
      <c r="O4451">
        <v>-0.99991129999999995</v>
      </c>
      <c r="P4451">
        <v>2.7215300000000002E-3</v>
      </c>
      <c r="Q4451">
        <v>-2.720825E-2</v>
      </c>
      <c r="R4451">
        <v>-0.99962609999999996</v>
      </c>
      <c r="S4451">
        <v>-0.1592712</v>
      </c>
      <c r="T4451">
        <v>7.1821209999999996E-3</v>
      </c>
      <c r="U4451">
        <v>-3.0018159999999998</v>
      </c>
      <c r="V4451">
        <v>-2.8186109999999999E-3</v>
      </c>
      <c r="W4451">
        <v>-1.389779E-2</v>
      </c>
      <c r="X4451">
        <v>0.99989939999999999</v>
      </c>
      <c r="Y4451">
        <v>5.2908530000000002E-2</v>
      </c>
      <c r="Z4451">
        <v>-2.38923E-3</v>
      </c>
      <c r="AA4451">
        <v>0.9985965</v>
      </c>
      <c r="AB4451">
        <v>17</v>
      </c>
      <c r="AC4451">
        <v>-0.1592712</v>
      </c>
      <c r="AD4451">
        <v>7.1821209999999996E-3</v>
      </c>
      <c r="AE4451">
        <v>-3.0018159999999998</v>
      </c>
      <c r="AF4451">
        <v>0.15904454842764101</v>
      </c>
      <c r="AG4451">
        <v>7.1821209999999996E-3</v>
      </c>
      <c r="AH4451">
        <v>3.0018108334437201</v>
      </c>
      <c r="AI4451">
        <v>89.863106608036404</v>
      </c>
      <c r="AJ4451">
        <v>86.9671410627722</v>
      </c>
      <c r="AK4451">
        <v>3.0060297787990602</v>
      </c>
      <c r="AL4451">
        <v>90.7963103858511</v>
      </c>
      <c r="AM4451">
        <v>90.161510334576704</v>
      </c>
      <c r="AN4451">
        <v>0.99999995162760502</v>
      </c>
    </row>
    <row r="4452" spans="1:40" x14ac:dyDescent="0.25">
      <c r="A4452" t="str">
        <f>"20190312150741558"</f>
        <v>20190312150741558</v>
      </c>
      <c r="B4452" t="str">
        <f>"1552374461554698"</f>
        <v>1552374461554698</v>
      </c>
      <c r="C4452" t="s">
        <v>40</v>
      </c>
      <c r="D4452">
        <v>4.5395539999999999</v>
      </c>
      <c r="E4452">
        <v>0.52216010000000002</v>
      </c>
      <c r="F4452" t="s">
        <v>48</v>
      </c>
      <c r="G4452">
        <v>0</v>
      </c>
      <c r="H4452">
        <v>0</v>
      </c>
      <c r="I4452">
        <v>0</v>
      </c>
      <c r="J4452">
        <v>-493.33409999999998</v>
      </c>
      <c r="K4452">
        <v>1.109807</v>
      </c>
      <c r="L4452">
        <v>251.54740000000001</v>
      </c>
      <c r="M4452">
        <v>-7.8150289999999998E-4</v>
      </c>
      <c r="N4452">
        <v>0</v>
      </c>
      <c r="O4452">
        <v>-0.99991129999999995</v>
      </c>
      <c r="P4452">
        <v>2.652728E-3</v>
      </c>
      <c r="Q4452">
        <v>-2.6718809999999999E-2</v>
      </c>
      <c r="R4452">
        <v>-0.99963979999999997</v>
      </c>
      <c r="S4452">
        <v>-0.16210939999999999</v>
      </c>
      <c r="T4452">
        <v>6.7929030000000003E-3</v>
      </c>
      <c r="U4452">
        <v>-3.0017399999999999</v>
      </c>
      <c r="V4452">
        <v>-3.455147E-3</v>
      </c>
      <c r="W4452">
        <v>-1.340827E-2</v>
      </c>
      <c r="X4452">
        <v>0.99990420000000002</v>
      </c>
      <c r="Y4452">
        <v>5.3145980000000002E-2</v>
      </c>
      <c r="Z4452">
        <v>-2.2597369999999999E-3</v>
      </c>
      <c r="AA4452">
        <v>0.99858420000000003</v>
      </c>
      <c r="AB4452">
        <v>17</v>
      </c>
      <c r="AC4452">
        <v>-0.16210939999999999</v>
      </c>
      <c r="AD4452">
        <v>6.7929030000000003E-3</v>
      </c>
      <c r="AE4452">
        <v>-3.0017399999999999</v>
      </c>
      <c r="AF4452">
        <v>0.15976245880892101</v>
      </c>
      <c r="AG4452">
        <v>6.7929030000000003E-3</v>
      </c>
      <c r="AH4452">
        <v>3.0018504552306</v>
      </c>
      <c r="AI4452">
        <v>89.870528538283395</v>
      </c>
      <c r="AJ4452">
        <v>86.953516922859606</v>
      </c>
      <c r="AK4452">
        <v>3.0061065088156802</v>
      </c>
      <c r="AL4452">
        <v>90.768260253076207</v>
      </c>
      <c r="AM4452">
        <v>90.197983519600399</v>
      </c>
      <c r="AN4452">
        <v>1.00000006446141</v>
      </c>
    </row>
    <row r="4453" spans="1:40" x14ac:dyDescent="0.25">
      <c r="A4453" t="str">
        <f>"20190312150741569"</f>
        <v>20190312150741569</v>
      </c>
      <c r="B4453" t="str">
        <f>"1552374461564459"</f>
        <v>1552374461564459</v>
      </c>
      <c r="C4453" t="s">
        <v>40</v>
      </c>
      <c r="D4453">
        <v>4.793787</v>
      </c>
      <c r="E4453">
        <v>0.52078279999999999</v>
      </c>
      <c r="F4453" t="s">
        <v>48</v>
      </c>
      <c r="G4453">
        <v>0</v>
      </c>
      <c r="H4453">
        <v>0</v>
      </c>
      <c r="I4453">
        <v>0</v>
      </c>
      <c r="J4453">
        <v>-493.33499999999998</v>
      </c>
      <c r="K4453">
        <v>1.1098079999999999</v>
      </c>
      <c r="L4453">
        <v>251.4648</v>
      </c>
      <c r="M4453">
        <v>-1.442795E-3</v>
      </c>
      <c r="N4453">
        <v>0</v>
      </c>
      <c r="O4453">
        <v>-0.99991059999999998</v>
      </c>
      <c r="P4453">
        <v>2.3965940000000002E-3</v>
      </c>
      <c r="Q4453">
        <v>-2.6485430000000001E-2</v>
      </c>
      <c r="R4453">
        <v>-0.9996467</v>
      </c>
      <c r="S4453">
        <v>-0.17031859999999999</v>
      </c>
      <c r="T4453">
        <v>6.5255169999999998E-3</v>
      </c>
      <c r="U4453">
        <v>-3.0017239999999998</v>
      </c>
      <c r="V4453">
        <v>-3.859477E-3</v>
      </c>
      <c r="W4453">
        <v>-1.317518E-2</v>
      </c>
      <c r="X4453">
        <v>0.99990579999999996</v>
      </c>
      <c r="Y4453">
        <v>5.5208340000000002E-2</v>
      </c>
      <c r="Z4453">
        <v>-2.170511E-3</v>
      </c>
      <c r="AA4453">
        <v>0.99847249999999999</v>
      </c>
      <c r="AB4453">
        <v>17</v>
      </c>
      <c r="AC4453">
        <v>-0.17031859999999999</v>
      </c>
      <c r="AD4453">
        <v>6.5255169999999998E-3</v>
      </c>
      <c r="AE4453">
        <v>-3.0017239999999998</v>
      </c>
      <c r="AF4453">
        <v>0.16598638568723301</v>
      </c>
      <c r="AG4453">
        <v>6.5255169999999998E-3</v>
      </c>
      <c r="AH4453">
        <v>3.0019524901813401</v>
      </c>
      <c r="AI4453">
        <v>89.875643013084002</v>
      </c>
      <c r="AJ4453">
        <v>86.835178045689901</v>
      </c>
      <c r="AK4453">
        <v>3.0065449964887598</v>
      </c>
      <c r="AL4453">
        <v>90.754904015550096</v>
      </c>
      <c r="AM4453">
        <v>90.221151477539294</v>
      </c>
      <c r="AN4453">
        <v>1.00000004490219</v>
      </c>
    </row>
    <row r="4454" spans="1:40" x14ac:dyDescent="0.25">
      <c r="A4454" t="str">
        <f>"20190312150741580"</f>
        <v>20190312150741580</v>
      </c>
      <c r="B4454" t="str">
        <f>"1552374461574218"</f>
        <v>1552374461574218</v>
      </c>
      <c r="C4454" t="s">
        <v>40</v>
      </c>
      <c r="D4454">
        <v>4.6174910000000002</v>
      </c>
      <c r="E4454">
        <v>0.51965589999999995</v>
      </c>
      <c r="F4454" t="s">
        <v>48</v>
      </c>
      <c r="G4454">
        <v>0</v>
      </c>
      <c r="H4454">
        <v>0</v>
      </c>
      <c r="I4454">
        <v>0</v>
      </c>
      <c r="J4454">
        <v>-493.33580000000001</v>
      </c>
      <c r="K4454">
        <v>1.109809</v>
      </c>
      <c r="L4454">
        <v>251.3783</v>
      </c>
      <c r="M4454">
        <v>-2.1344440000000001E-3</v>
      </c>
      <c r="N4454">
        <v>0</v>
      </c>
      <c r="O4454">
        <v>-0.99990919999999905</v>
      </c>
      <c r="P4454">
        <v>2.1348140000000001E-3</v>
      </c>
      <c r="Q4454">
        <v>-2.633069E-2</v>
      </c>
      <c r="R4454">
        <v>-0.99965099999999996</v>
      </c>
      <c r="S4454">
        <v>-0.1600037</v>
      </c>
      <c r="T4454">
        <v>-5.1625969999999997E-3</v>
      </c>
      <c r="U4454">
        <v>-3.001328</v>
      </c>
      <c r="V4454">
        <v>-4.2890760000000002E-3</v>
      </c>
      <c r="W4454">
        <v>-1.3020790000000001E-2</v>
      </c>
      <c r="X4454">
        <v>0.99990599999999996</v>
      </c>
      <c r="Y4454">
        <v>5.1103570000000001E-2</v>
      </c>
      <c r="Z4454">
        <v>1.7177529999999901E-3</v>
      </c>
      <c r="AA4454">
        <v>0.99869189999999997</v>
      </c>
      <c r="AB4454">
        <v>17</v>
      </c>
      <c r="AC4454">
        <v>-0.1600037</v>
      </c>
      <c r="AD4454">
        <v>-5.1625969999999997E-3</v>
      </c>
      <c r="AE4454">
        <v>-3.001328</v>
      </c>
      <c r="AF4454">
        <v>0.15359614861484799</v>
      </c>
      <c r="AG4454">
        <v>-5.1625969999999997E-3</v>
      </c>
      <c r="AH4454">
        <v>3.0016538551519698</v>
      </c>
      <c r="AI4454">
        <v>90.098415155143698</v>
      </c>
      <c r="AJ4454">
        <v>87.070700862069103</v>
      </c>
      <c r="AK4454">
        <v>3.0055855162390199</v>
      </c>
      <c r="AL4454">
        <v>90.746057415306595</v>
      </c>
      <c r="AM4454">
        <v>90.245767547765197</v>
      </c>
      <c r="AN4454">
        <v>0.99999997299057797</v>
      </c>
    </row>
    <row r="4455" spans="1:40" x14ac:dyDescent="0.25">
      <c r="A4455" t="str">
        <f>"20190312150741591"</f>
        <v>20190312150741591</v>
      </c>
      <c r="B4455" t="str">
        <f>"1552374461583978"</f>
        <v>1552374461583978</v>
      </c>
      <c r="C4455" t="s">
        <v>40</v>
      </c>
      <c r="D4455">
        <v>4.6369290000000003</v>
      </c>
      <c r="E4455">
        <v>0.51891229999999999</v>
      </c>
      <c r="F4455" t="s">
        <v>43</v>
      </c>
      <c r="G4455">
        <v>-504.51949999999999</v>
      </c>
      <c r="H4455">
        <v>-0.05</v>
      </c>
      <c r="I4455">
        <v>29.92229</v>
      </c>
      <c r="J4455">
        <v>-493.33679999999998</v>
      </c>
      <c r="K4455">
        <v>1.1098110000000001</v>
      </c>
      <c r="L4455">
        <v>251.29740000000001</v>
      </c>
      <c r="M4455">
        <v>-2.7782269999999999E-3</v>
      </c>
      <c r="N4455">
        <v>0</v>
      </c>
      <c r="O4455">
        <v>-0.99990769999999995</v>
      </c>
      <c r="P4455">
        <v>1.8780520000000001E-3</v>
      </c>
      <c r="Q4455">
        <v>-2.628043E-2</v>
      </c>
      <c r="R4455">
        <v>-0.99965289999999996</v>
      </c>
      <c r="S4455">
        <v>-0.1515503</v>
      </c>
      <c r="T4455">
        <v>-1.5716549999999999E-2</v>
      </c>
      <c r="U4455">
        <v>-3.0009459999999999</v>
      </c>
      <c r="V4455">
        <v>-4.6757580000000003E-3</v>
      </c>
      <c r="W4455">
        <v>-1.297095E-2</v>
      </c>
      <c r="X4455">
        <v>0.99990489999999999</v>
      </c>
      <c r="Y4455">
        <v>4.7660750000000002E-2</v>
      </c>
      <c r="Z4455">
        <v>5.2307889999999996E-3</v>
      </c>
      <c r="AA4455">
        <v>0.99884989999999996</v>
      </c>
      <c r="AB4455">
        <v>17</v>
      </c>
      <c r="AC4455">
        <v>-11.182700000000001</v>
      </c>
      <c r="AD4455">
        <v>-1.1598109999999999</v>
      </c>
      <c r="AE4455">
        <v>-221.37511000000001</v>
      </c>
      <c r="AF4455">
        <v>10.5672828125055</v>
      </c>
      <c r="AG4455">
        <v>-1.1598109999999999</v>
      </c>
      <c r="AH4455">
        <v>221.39926474162601</v>
      </c>
      <c r="AI4455">
        <v>90.299802738609102</v>
      </c>
      <c r="AJ4455">
        <v>87.267373196078196</v>
      </c>
      <c r="AK4455">
        <v>221.654341387052</v>
      </c>
      <c r="AL4455">
        <v>90.743201563059202</v>
      </c>
      <c r="AM4455">
        <v>90.267924726371206</v>
      </c>
      <c r="AN4455">
        <v>0.99999995865039204</v>
      </c>
    </row>
    <row r="4456" spans="1:40" x14ac:dyDescent="0.25">
      <c r="A4456" t="str">
        <f>"20190312150741601"</f>
        <v>20190312150741601</v>
      </c>
      <c r="B4456" t="str">
        <f>"1552374461594714"</f>
        <v>1552374461594714</v>
      </c>
      <c r="C4456" t="s">
        <v>40</v>
      </c>
      <c r="D4456">
        <v>4.646452</v>
      </c>
      <c r="E4456">
        <v>0.51817740000000001</v>
      </c>
      <c r="F4456" t="s">
        <v>73</v>
      </c>
      <c r="G4456">
        <v>-499.03160000000003</v>
      </c>
      <c r="H4456" s="1">
        <v>-7.4295060000000004E-6</v>
      </c>
      <c r="I4456">
        <v>134.10769999999999</v>
      </c>
      <c r="J4456">
        <v>-493.33780000000002</v>
      </c>
      <c r="K4456">
        <v>1.1098170000000001</v>
      </c>
      <c r="L4456">
        <v>251.21379999999999</v>
      </c>
      <c r="M4456">
        <v>-3.4421579999999998E-3</v>
      </c>
      <c r="N4456">
        <v>0</v>
      </c>
      <c r="O4456">
        <v>-0.99990579999999996</v>
      </c>
      <c r="P4456">
        <v>1.682504E-3</v>
      </c>
      <c r="Q4456">
        <v>-2.6267269999999999E-2</v>
      </c>
      <c r="R4456">
        <v>-0.99965380000000004</v>
      </c>
      <c r="S4456">
        <v>-0.145813</v>
      </c>
      <c r="T4456">
        <v>-2.8416159999999999E-2</v>
      </c>
      <c r="U4456">
        <v>-3.0005649999999999</v>
      </c>
      <c r="V4456">
        <v>-5.1439670000000002E-3</v>
      </c>
      <c r="W4456">
        <v>-1.295816E-2</v>
      </c>
      <c r="X4456">
        <v>0.99990279999999998</v>
      </c>
      <c r="Y4456">
        <v>4.509705E-2</v>
      </c>
      <c r="Z4456">
        <v>9.4593650000000008E-3</v>
      </c>
      <c r="AA4456">
        <v>0.99893779999999999</v>
      </c>
      <c r="AB4456">
        <v>17</v>
      </c>
      <c r="AC4456">
        <v>-5.6938000000000004</v>
      </c>
      <c r="AD4456">
        <v>-1.109824429506</v>
      </c>
      <c r="AE4456">
        <v>-117.1061</v>
      </c>
      <c r="AF4456">
        <v>5.2901589611670303</v>
      </c>
      <c r="AG4456">
        <v>-1.109824429506</v>
      </c>
      <c r="AH4456">
        <v>117.11451295353299</v>
      </c>
      <c r="AI4456">
        <v>90.542388666702706</v>
      </c>
      <c r="AJ4456">
        <v>87.413660574718193</v>
      </c>
      <c r="AK4456">
        <v>117.239185584181</v>
      </c>
      <c r="AL4456">
        <v>90.742468663744205</v>
      </c>
      <c r="AM4456">
        <v>90.294753649108699</v>
      </c>
      <c r="AN4456">
        <v>0.99999999187746103</v>
      </c>
    </row>
    <row r="4457" spans="1:40" x14ac:dyDescent="0.25">
      <c r="A4457" t="str">
        <f>"20190312150741613"</f>
        <v>20190312150741613</v>
      </c>
      <c r="B4457" t="str">
        <f>"1552374461604474"</f>
        <v>1552374461604474</v>
      </c>
      <c r="C4457" t="s">
        <v>40</v>
      </c>
      <c r="D4457">
        <v>4.7014589999999998</v>
      </c>
      <c r="E4457">
        <v>0.517536</v>
      </c>
      <c r="F4457" t="s">
        <v>42</v>
      </c>
      <c r="G4457">
        <v>-497.08760000000001</v>
      </c>
      <c r="H4457" s="1">
        <v>-2.6042E-6</v>
      </c>
      <c r="I4457">
        <v>171.2636</v>
      </c>
      <c r="J4457">
        <v>-493.33879999999999</v>
      </c>
      <c r="K4457">
        <v>1.109823</v>
      </c>
      <c r="L4457">
        <v>251.13249999999999</v>
      </c>
      <c r="M4457">
        <v>-4.0806949999999996E-3</v>
      </c>
      <c r="N4457">
        <v>0</v>
      </c>
      <c r="O4457">
        <v>-0.99990330000000005</v>
      </c>
      <c r="P4457">
        <v>1.4348270000000001E-3</v>
      </c>
      <c r="Q4457">
        <v>-2.6431779999999998E-2</v>
      </c>
      <c r="R4457">
        <v>-0.99964969999999997</v>
      </c>
      <c r="S4457">
        <v>-0.1407166</v>
      </c>
      <c r="T4457">
        <v>-4.1646719999999998E-2</v>
      </c>
      <c r="U4457">
        <v>-3.0001829999999998</v>
      </c>
      <c r="V4457">
        <v>-5.5339689999999997E-3</v>
      </c>
      <c r="W4457">
        <v>-1.312324E-2</v>
      </c>
      <c r="X4457">
        <v>0.99989859999999997</v>
      </c>
      <c r="Y4457">
        <v>4.2769689999999999E-2</v>
      </c>
      <c r="Z4457">
        <v>1.386591E-2</v>
      </c>
      <c r="AA4457">
        <v>0.99898869999999895</v>
      </c>
      <c r="AB4457">
        <v>17</v>
      </c>
      <c r="AC4457">
        <v>-3.7488000000000099</v>
      </c>
      <c r="AD4457">
        <v>-1.1098256042000001</v>
      </c>
      <c r="AE4457">
        <v>-79.868899999999996</v>
      </c>
      <c r="AF4457">
        <v>3.4221600319765999</v>
      </c>
      <c r="AG4457">
        <v>-1.1098256042000001</v>
      </c>
      <c r="AH4457">
        <v>79.868146312254893</v>
      </c>
      <c r="AI4457">
        <v>90.795385316243596</v>
      </c>
      <c r="AJ4457">
        <v>87.546512910035503</v>
      </c>
      <c r="AK4457">
        <v>79.949131874661106</v>
      </c>
      <c r="AL4457">
        <v>90.751927828854605</v>
      </c>
      <c r="AM4457">
        <v>90.317101984432597</v>
      </c>
      <c r="AN4457">
        <v>1.00000002726147</v>
      </c>
    </row>
    <row r="4458" spans="1:40" x14ac:dyDescent="0.25">
      <c r="A4458" t="str">
        <f>"20190312150741623"</f>
        <v>20190312150741623</v>
      </c>
      <c r="B4458" t="str">
        <f>"1552374461614233"</f>
        <v>1552374461614233</v>
      </c>
      <c r="C4458" t="s">
        <v>40</v>
      </c>
      <c r="D4458">
        <v>4.6873209999999998</v>
      </c>
      <c r="E4458">
        <v>0.51723839999999999</v>
      </c>
      <c r="F4458" t="s">
        <v>42</v>
      </c>
      <c r="G4458">
        <v>-496.29629999999997</v>
      </c>
      <c r="H4458" s="1">
        <v>-4.1261299999999997E-6</v>
      </c>
      <c r="I4458">
        <v>185.8297</v>
      </c>
      <c r="J4458">
        <v>-493.33980000000003</v>
      </c>
      <c r="K4458">
        <v>1.109829</v>
      </c>
      <c r="L4458">
        <v>251.04910000000001</v>
      </c>
      <c r="M4458">
        <v>-4.7345970000000001E-3</v>
      </c>
      <c r="N4458">
        <v>0</v>
      </c>
      <c r="O4458">
        <v>-0.99990049999999997</v>
      </c>
      <c r="P4458">
        <v>9.0031149999999995E-4</v>
      </c>
      <c r="Q4458">
        <v>-2.626848E-2</v>
      </c>
      <c r="R4458">
        <v>-0.99965459999999995</v>
      </c>
      <c r="S4458">
        <v>-0.13586429999999999</v>
      </c>
      <c r="T4458">
        <v>-5.0983430000000003E-2</v>
      </c>
      <c r="U4458">
        <v>-2.9998930000000001</v>
      </c>
      <c r="V4458">
        <v>-5.6527010000000004E-3</v>
      </c>
      <c r="W4458">
        <v>-1.2960879999999999E-2</v>
      </c>
      <c r="X4458">
        <v>0.99990000000000001</v>
      </c>
      <c r="Y4458">
        <v>4.0506130000000001E-2</v>
      </c>
      <c r="Z4458">
        <v>1.6976669999999999E-2</v>
      </c>
      <c r="AA4458">
        <v>0.99903509999999995</v>
      </c>
      <c r="AB4458">
        <v>17</v>
      </c>
      <c r="AC4458">
        <v>-2.9564999999999402</v>
      </c>
      <c r="AD4458">
        <v>-1.1098331261299901</v>
      </c>
      <c r="AE4458">
        <v>-65.219399999999993</v>
      </c>
      <c r="AF4458">
        <v>2.6468871140924</v>
      </c>
      <c r="AG4458">
        <v>-1.1098331261299901</v>
      </c>
      <c r="AH4458">
        <v>65.213822350095896</v>
      </c>
      <c r="AI4458">
        <v>90.974184866254703</v>
      </c>
      <c r="AJ4458">
        <v>87.675764744100306</v>
      </c>
      <c r="AK4458">
        <v>65.276951265147801</v>
      </c>
      <c r="AL4458">
        <v>90.742624534839706</v>
      </c>
      <c r="AM4458">
        <v>90.3239048504051</v>
      </c>
      <c r="AN4458">
        <v>0.99999997371948401</v>
      </c>
    </row>
    <row r="4459" spans="1:40" x14ac:dyDescent="0.25">
      <c r="A4459" t="str">
        <f>"20190312150741634"</f>
        <v>20190312150741634</v>
      </c>
      <c r="B4459" t="str">
        <f>"1552374461623994"</f>
        <v>1552374461623994</v>
      </c>
      <c r="C4459" t="s">
        <v>40</v>
      </c>
      <c r="D4459">
        <v>4.6651429999999996</v>
      </c>
      <c r="E4459">
        <v>0.51684890000000006</v>
      </c>
      <c r="F4459" t="s">
        <v>42</v>
      </c>
      <c r="G4459">
        <v>-495.76409999999998</v>
      </c>
      <c r="H4459" s="1">
        <v>-4.4607840000000001E-6</v>
      </c>
      <c r="I4459">
        <v>197.09049999999999</v>
      </c>
      <c r="J4459">
        <v>-493.34100000000001</v>
      </c>
      <c r="K4459">
        <v>1.109839</v>
      </c>
      <c r="L4459">
        <v>250.97120000000001</v>
      </c>
      <c r="M4459">
        <v>-5.333735E-3</v>
      </c>
      <c r="N4459">
        <v>0</v>
      </c>
      <c r="O4459">
        <v>-0.99989749999999999</v>
      </c>
      <c r="P4459">
        <v>7.2746349999999998E-4</v>
      </c>
      <c r="Q4459">
        <v>-2.6196029999999999E-2</v>
      </c>
      <c r="R4459">
        <v>-0.99965689999999996</v>
      </c>
      <c r="S4459">
        <v>-0.13476560000000001</v>
      </c>
      <c r="T4459">
        <v>-6.1695220000000002E-2</v>
      </c>
      <c r="U4459">
        <v>-2.9995419999999999</v>
      </c>
      <c r="V4459">
        <v>-6.0789559999999999E-3</v>
      </c>
      <c r="W4459">
        <v>-1.2888999999999999E-2</v>
      </c>
      <c r="X4459">
        <v>0.99989839999999997</v>
      </c>
      <c r="Y4459">
        <v>3.954452E-2</v>
      </c>
      <c r="Z4459">
        <v>2.0545029999999999E-2</v>
      </c>
      <c r="AA4459">
        <v>0.99900659999999997</v>
      </c>
      <c r="AB4459">
        <v>17</v>
      </c>
      <c r="AC4459">
        <v>-2.4230999999999701</v>
      </c>
      <c r="AD4459">
        <v>-1.109843460784</v>
      </c>
      <c r="AE4459">
        <v>-53.880699999999997</v>
      </c>
      <c r="AF4459">
        <v>2.1347508669832398</v>
      </c>
      <c r="AG4459">
        <v>-1.109843460784</v>
      </c>
      <c r="AH4459">
        <v>53.870048669121601</v>
      </c>
      <c r="AI4459">
        <v>91.179328846781004</v>
      </c>
      <c r="AJ4459">
        <v>87.730682383498305</v>
      </c>
      <c r="AK4459">
        <v>53.923752256172399</v>
      </c>
      <c r="AL4459">
        <v>90.738505791138195</v>
      </c>
      <c r="AM4459">
        <v>90.348329621851406</v>
      </c>
      <c r="AN4459">
        <v>0.99999994517480295</v>
      </c>
    </row>
    <row r="4460" spans="1:40" x14ac:dyDescent="0.25">
      <c r="A4460" t="str">
        <f>"20190312150741645"</f>
        <v>20190312150741645</v>
      </c>
      <c r="B4460" t="str">
        <f>"1552374461634731"</f>
        <v>1552374461634731</v>
      </c>
      <c r="C4460" t="s">
        <v>40</v>
      </c>
      <c r="D4460">
        <v>4.6366500000000004</v>
      </c>
      <c r="E4460">
        <v>0.51648329999999998</v>
      </c>
      <c r="F4460" t="s">
        <v>61</v>
      </c>
      <c r="G4460">
        <v>-495.49599999999998</v>
      </c>
      <c r="H4460" s="1">
        <v>7.3067939999999997E-7</v>
      </c>
      <c r="I4460">
        <v>202.14609999999999</v>
      </c>
      <c r="J4460">
        <v>-493.34210000000002</v>
      </c>
      <c r="K4460">
        <v>1.1098509999999999</v>
      </c>
      <c r="L4460">
        <v>250.88800000000001</v>
      </c>
      <c r="M4460">
        <v>-5.9720009999999898E-3</v>
      </c>
      <c r="N4460">
        <v>0</v>
      </c>
      <c r="O4460">
        <v>-0.99989399999999995</v>
      </c>
      <c r="P4460" s="1">
        <v>5.6843080000000003E-5</v>
      </c>
      <c r="Q4460">
        <v>-2.6119219999999999E-2</v>
      </c>
      <c r="R4460">
        <v>-0.99965910000000002</v>
      </c>
      <c r="S4460">
        <v>-0.13238529999999901</v>
      </c>
      <c r="T4460">
        <v>-6.8178180000000005E-2</v>
      </c>
      <c r="U4460">
        <v>-2.9993590000000001</v>
      </c>
      <c r="V4460">
        <v>-6.0460649999999998E-3</v>
      </c>
      <c r="W4460">
        <v>-1.28135E-2</v>
      </c>
      <c r="X4460">
        <v>0.9998996</v>
      </c>
      <c r="Y4460">
        <v>3.811606E-2</v>
      </c>
      <c r="Z4460">
        <v>2.2705139999999999E-2</v>
      </c>
      <c r="AA4460">
        <v>0.99901530000000005</v>
      </c>
      <c r="AB4460">
        <v>17</v>
      </c>
      <c r="AC4460">
        <v>-2.1538999999999602</v>
      </c>
      <c r="AD4460">
        <v>-1.1098502693205901</v>
      </c>
      <c r="AE4460">
        <v>-48.741900000000001</v>
      </c>
      <c r="AF4460">
        <v>1.8617858425973499</v>
      </c>
      <c r="AG4460">
        <v>-1.1098502693205901</v>
      </c>
      <c r="AH4460">
        <v>48.728679747228902</v>
      </c>
      <c r="AI4460">
        <v>91.303799021081502</v>
      </c>
      <c r="AJ4460">
        <v>87.8119536448459</v>
      </c>
      <c r="AK4460">
        <v>48.776861769203698</v>
      </c>
      <c r="AL4460">
        <v>90.734179580108005</v>
      </c>
      <c r="AM4460">
        <v>90.346444568397899</v>
      </c>
      <c r="AN4460">
        <v>0.99999997538219598</v>
      </c>
    </row>
    <row r="4461" spans="1:40" x14ac:dyDescent="0.25">
      <c r="A4461" t="str">
        <f>"20190312150741656"</f>
        <v>20190312150741656</v>
      </c>
      <c r="B4461" t="str">
        <f>"1552374461644491"</f>
        <v>1552374461644491</v>
      </c>
      <c r="C4461" t="s">
        <v>40</v>
      </c>
      <c r="D4461">
        <v>4.6365480000000003</v>
      </c>
      <c r="E4461">
        <v>0.51618339999999996</v>
      </c>
      <c r="F4461" t="s">
        <v>61</v>
      </c>
      <c r="G4461">
        <v>-495.34129999999999</v>
      </c>
      <c r="H4461" s="1">
        <v>1.283982E-6</v>
      </c>
      <c r="I4461">
        <v>205.30240000000001</v>
      </c>
      <c r="J4461">
        <v>-493.3433</v>
      </c>
      <c r="K4461">
        <v>1.1098629999999901</v>
      </c>
      <c r="L4461">
        <v>250.8083</v>
      </c>
      <c r="M4461">
        <v>-6.568305E-3</v>
      </c>
      <c r="N4461">
        <v>0</v>
      </c>
      <c r="O4461">
        <v>-0.9998901</v>
      </c>
      <c r="P4461">
        <v>-4.0067299999999999E-4</v>
      </c>
      <c r="Q4461">
        <v>-2.599576E-2</v>
      </c>
      <c r="R4461">
        <v>-0.9996621</v>
      </c>
      <c r="S4461">
        <v>-0.1315308</v>
      </c>
      <c r="T4461">
        <v>-7.3018669999999994E-2</v>
      </c>
      <c r="U4461">
        <v>-2.9991460000000001</v>
      </c>
      <c r="V4461">
        <v>-6.1838659999999997E-3</v>
      </c>
      <c r="W4461">
        <v>-1.269119E-2</v>
      </c>
      <c r="X4461">
        <v>0.99990029999999996</v>
      </c>
      <c r="Y4461">
        <v>3.7237480000000003E-2</v>
      </c>
      <c r="Z4461">
        <v>2.4318369999999999E-2</v>
      </c>
      <c r="AA4461">
        <v>0.99901050000000002</v>
      </c>
      <c r="AB4461">
        <v>17</v>
      </c>
      <c r="AC4461">
        <v>-1.99799999999999</v>
      </c>
      <c r="AD4461">
        <v>-1.10986171601799</v>
      </c>
      <c r="AE4461">
        <v>-45.505899999999997</v>
      </c>
      <c r="AF4461">
        <v>1.69802574385077</v>
      </c>
      <c r="AG4461">
        <v>-1.10986171601799</v>
      </c>
      <c r="AH4461">
        <v>45.491034869864599</v>
      </c>
      <c r="AI4461">
        <v>91.396617002349799</v>
      </c>
      <c r="AJ4461">
        <v>87.862335669864507</v>
      </c>
      <c r="AK4461">
        <v>45.536242027496002</v>
      </c>
      <c r="AL4461">
        <v>90.727171175732906</v>
      </c>
      <c r="AM4461">
        <v>90.354340233511095</v>
      </c>
      <c r="AN4461">
        <v>0.99999995822120502</v>
      </c>
    </row>
    <row r="4462" spans="1:40" x14ac:dyDescent="0.25">
      <c r="A4462" t="str">
        <f>"20190312150741666"</f>
        <v>20190312150741666</v>
      </c>
      <c r="B4462" t="str">
        <f>"1552374461654250"</f>
        <v>1552374461654250</v>
      </c>
      <c r="C4462" t="s">
        <v>40</v>
      </c>
      <c r="D4462">
        <v>4.6311589999999896</v>
      </c>
      <c r="E4462">
        <v>0.51600670000000004</v>
      </c>
      <c r="F4462" t="s">
        <v>61</v>
      </c>
      <c r="G4462">
        <v>-495.19909999999999</v>
      </c>
      <c r="H4462" s="1">
        <v>1.9686239999999999E-6</v>
      </c>
      <c r="I4462">
        <v>208.10939999999999</v>
      </c>
      <c r="J4462">
        <v>-493.34449999999998</v>
      </c>
      <c r="K4462">
        <v>1.1098749999999999</v>
      </c>
      <c r="L4462">
        <v>250.732</v>
      </c>
      <c r="M4462">
        <v>-7.1353950000000001E-3</v>
      </c>
      <c r="N4462">
        <v>0</v>
      </c>
      <c r="O4462">
        <v>-0.99988619999999995</v>
      </c>
      <c r="P4462">
        <v>-8.4523729999999998E-4</v>
      </c>
      <c r="Q4462">
        <v>-2.591943E-2</v>
      </c>
      <c r="R4462">
        <v>-0.99966390000000005</v>
      </c>
      <c r="S4462">
        <v>-0.1303406</v>
      </c>
      <c r="T4462">
        <v>-7.7950240000000004E-2</v>
      </c>
      <c r="U4462">
        <v>-2.9989170000000001</v>
      </c>
      <c r="V4462">
        <v>-6.305929E-3</v>
      </c>
      <c r="W4462">
        <v>-1.261601E-2</v>
      </c>
      <c r="X4462">
        <v>0.99990049999999997</v>
      </c>
      <c r="Y4462">
        <v>3.627652E-2</v>
      </c>
      <c r="Z4462">
        <v>2.5962240000000001E-2</v>
      </c>
      <c r="AA4462">
        <v>0.99900449999999996</v>
      </c>
      <c r="AB4462">
        <v>17</v>
      </c>
      <c r="AC4462">
        <v>-1.8546</v>
      </c>
      <c r="AD4462">
        <v>-1.1098730313759999</v>
      </c>
      <c r="AE4462">
        <v>-42.622599999999998</v>
      </c>
      <c r="AF4462">
        <v>1.54934825998264</v>
      </c>
      <c r="AG4462">
        <v>-1.1098730313759999</v>
      </c>
      <c r="AH4462">
        <v>42.605914546450002</v>
      </c>
      <c r="AI4462">
        <v>91.491217525214907</v>
      </c>
      <c r="AJ4462">
        <v>87.9173779425943</v>
      </c>
      <c r="AK4462">
        <v>42.648519933473501</v>
      </c>
      <c r="AL4462">
        <v>90.722863326044006</v>
      </c>
      <c r="AM4462">
        <v>90.361334280489601</v>
      </c>
      <c r="AN4462">
        <v>0.99999996917456102</v>
      </c>
    </row>
    <row r="4463" spans="1:40" x14ac:dyDescent="0.25">
      <c r="A4463" t="str">
        <f>"20190312150741678"</f>
        <v>20190312150741678</v>
      </c>
      <c r="B4463" t="str">
        <f>"1552374461674746"</f>
        <v>1552374461674746</v>
      </c>
      <c r="C4463" t="s">
        <v>40</v>
      </c>
      <c r="D4463">
        <v>4.6360929999999998</v>
      </c>
      <c r="E4463">
        <v>0.51566840000000003</v>
      </c>
      <c r="F4463" t="s">
        <v>61</v>
      </c>
      <c r="G4463">
        <v>-495.13060000000002</v>
      </c>
      <c r="H4463" s="1">
        <v>2.174365E-6</v>
      </c>
      <c r="I4463">
        <v>209.57149999999999</v>
      </c>
      <c r="J4463">
        <v>-493.34589999999997</v>
      </c>
      <c r="K4463">
        <v>1.1098920000000001</v>
      </c>
      <c r="L4463">
        <v>250.64019999999999</v>
      </c>
      <c r="M4463">
        <v>-7.8007839999999998E-3</v>
      </c>
      <c r="N4463">
        <v>0</v>
      </c>
      <c r="O4463">
        <v>-0.99988140000000003</v>
      </c>
      <c r="P4463">
        <v>-1.3514359999999999E-3</v>
      </c>
      <c r="Q4463">
        <v>-2.579499E-2</v>
      </c>
      <c r="R4463">
        <v>-0.99966670000000002</v>
      </c>
      <c r="S4463">
        <v>-0.13012699999999999</v>
      </c>
      <c r="T4463">
        <v>-8.0861450000000001E-2</v>
      </c>
      <c r="U4463">
        <v>-2.9988100000000002</v>
      </c>
      <c r="V4463">
        <v>-6.4647100000000002E-3</v>
      </c>
      <c r="W4463">
        <v>-1.249303E-2</v>
      </c>
      <c r="X4463">
        <v>0.99990109999999999</v>
      </c>
      <c r="Y4463">
        <v>3.5540889999999999E-2</v>
      </c>
      <c r="Z4463">
        <v>2.6932310000000001E-2</v>
      </c>
      <c r="AA4463">
        <v>0.99900529999999998</v>
      </c>
      <c r="AB4463">
        <v>17</v>
      </c>
      <c r="AC4463">
        <v>-1.7847000000000399</v>
      </c>
      <c r="AD4463">
        <v>-1.109889825635</v>
      </c>
      <c r="AE4463">
        <v>-41.0687</v>
      </c>
      <c r="AF4463">
        <v>1.4631827427381601</v>
      </c>
      <c r="AG4463">
        <v>-1.109889825635</v>
      </c>
      <c r="AH4463">
        <v>41.0514476064685</v>
      </c>
      <c r="AI4463">
        <v>91.547721037662001</v>
      </c>
      <c r="AJ4463">
        <v>87.958690210120295</v>
      </c>
      <c r="AK4463">
        <v>41.092506734809</v>
      </c>
      <c r="AL4463">
        <v>90.715816485488006</v>
      </c>
      <c r="AM4463">
        <v>90.370432073630695</v>
      </c>
      <c r="AN4463">
        <v>1.0000000390275801</v>
      </c>
    </row>
    <row r="4464" spans="1:40" x14ac:dyDescent="0.25">
      <c r="A4464" t="str">
        <f>"20190312150741690"</f>
        <v>20190312150741690</v>
      </c>
      <c r="B4464" t="str">
        <f>"1552374461684508"</f>
        <v>1552374461684508</v>
      </c>
      <c r="C4464" t="s">
        <v>40</v>
      </c>
      <c r="D4464">
        <v>4.6357499999999998</v>
      </c>
      <c r="E4464">
        <v>0.51556369999999996</v>
      </c>
      <c r="F4464" t="s">
        <v>61</v>
      </c>
      <c r="G4464">
        <v>-495.02820000000003</v>
      </c>
      <c r="H4464" s="1">
        <v>2.2790499999999998E-6</v>
      </c>
      <c r="I4464">
        <v>211.46</v>
      </c>
      <c r="J4464">
        <v>-493.34730000000002</v>
      </c>
      <c r="K4464">
        <v>1.1099110000000001</v>
      </c>
      <c r="L4464">
        <v>250.55500000000001</v>
      </c>
      <c r="M4464">
        <v>-8.4055610000000006E-3</v>
      </c>
      <c r="N4464">
        <v>0</v>
      </c>
      <c r="O4464">
        <v>-0.99987630000000005</v>
      </c>
      <c r="P4464">
        <v>-1.8397929999999999E-3</v>
      </c>
      <c r="Q4464">
        <v>-2.6083189999999999E-2</v>
      </c>
      <c r="R4464">
        <v>-0.9996583</v>
      </c>
      <c r="S4464">
        <v>-0.1287537</v>
      </c>
      <c r="T4464">
        <v>-8.4945919999999994E-2</v>
      </c>
      <c r="U4464">
        <v>-2.998672</v>
      </c>
      <c r="V4464">
        <v>-6.580547E-3</v>
      </c>
      <c r="W4464">
        <v>-1.2782750000000001E-2</v>
      </c>
      <c r="X4464">
        <v>0.99989660000000002</v>
      </c>
      <c r="Y4464">
        <v>3.4480120000000003E-2</v>
      </c>
      <c r="Z4464">
        <v>2.8293539999999999E-2</v>
      </c>
      <c r="AA4464">
        <v>0.99900480000000003</v>
      </c>
      <c r="AB4464">
        <v>17</v>
      </c>
      <c r="AC4464">
        <v>-1.6809000000000001</v>
      </c>
      <c r="AD4464">
        <v>-1.10990872095</v>
      </c>
      <c r="AE4464">
        <v>-39.094999999999999</v>
      </c>
      <c r="AF4464">
        <v>1.3511091810818801</v>
      </c>
      <c r="AG4464">
        <v>-1.10990872095</v>
      </c>
      <c r="AH4464">
        <v>39.076311610467698</v>
      </c>
      <c r="AI4464">
        <v>91.625998999191907</v>
      </c>
      <c r="AJ4464">
        <v>88.019720302697095</v>
      </c>
      <c r="AK4464">
        <v>39.115412850517401</v>
      </c>
      <c r="AL4464">
        <v>90.732417604373495</v>
      </c>
      <c r="AM4464">
        <v>90.377071115795403</v>
      </c>
      <c r="AN4464">
        <v>0.99999995649397</v>
      </c>
    </row>
    <row r="4465" spans="1:40" x14ac:dyDescent="0.25">
      <c r="A4465" t="str">
        <f>"20190312150741702"</f>
        <v>20190312150741702</v>
      </c>
      <c r="B4465" t="str">
        <f>"1552374461694267"</f>
        <v>1552374461694267</v>
      </c>
      <c r="C4465" t="s">
        <v>40</v>
      </c>
      <c r="D4465">
        <v>4.6115690000000003</v>
      </c>
      <c r="E4465">
        <v>0.5154685</v>
      </c>
      <c r="F4465" t="s">
        <v>61</v>
      </c>
      <c r="G4465">
        <v>-494.9973</v>
      </c>
      <c r="H4465" s="1">
        <v>2.3236359999999998E-6</v>
      </c>
      <c r="I4465">
        <v>212.35470000000001</v>
      </c>
      <c r="J4465">
        <v>-493.34879999999998</v>
      </c>
      <c r="K4465">
        <v>1.1099289999999999</v>
      </c>
      <c r="L4465">
        <v>250.4648</v>
      </c>
      <c r="M4465">
        <v>-9.0327589999999996E-3</v>
      </c>
      <c r="N4465">
        <v>0</v>
      </c>
      <c r="O4465">
        <v>-0.99987099999999995</v>
      </c>
      <c r="P4465">
        <v>-2.2937529999999999E-3</v>
      </c>
      <c r="Q4465">
        <v>-2.5965769999999999E-2</v>
      </c>
      <c r="R4465">
        <v>-0.99966049999999995</v>
      </c>
      <c r="S4465">
        <v>-0.12951660000000001</v>
      </c>
      <c r="T4465">
        <v>-8.7122679999999994E-2</v>
      </c>
      <c r="U4465">
        <v>-2.9985499999999998</v>
      </c>
      <c r="V4465">
        <v>-6.7526779999999998E-3</v>
      </c>
      <c r="W4465">
        <v>-1.2666790000000001E-2</v>
      </c>
      <c r="X4465">
        <v>0.99989689999999998</v>
      </c>
      <c r="Y4465">
        <v>3.4107770000000003E-2</v>
      </c>
      <c r="Z4465">
        <v>2.901894E-2</v>
      </c>
      <c r="AA4465">
        <v>0.99899680000000002</v>
      </c>
      <c r="AB4465">
        <v>17</v>
      </c>
      <c r="AC4465">
        <v>-1.6485000000000101</v>
      </c>
      <c r="AD4465">
        <v>-1.1099266763639899</v>
      </c>
      <c r="AE4465">
        <v>-38.110099999999903</v>
      </c>
      <c r="AF4465">
        <v>1.30305980529003</v>
      </c>
      <c r="AG4465">
        <v>-1.1099266763639899</v>
      </c>
      <c r="AH4465">
        <v>38.091187437877501</v>
      </c>
      <c r="AI4465">
        <v>91.668075548756505</v>
      </c>
      <c r="AJ4465">
        <v>88.040735164082506</v>
      </c>
      <c r="AK4465">
        <v>38.129627096400803</v>
      </c>
      <c r="AL4465">
        <v>90.725773067893698</v>
      </c>
      <c r="AM4465">
        <v>90.386933960943907</v>
      </c>
      <c r="AN4465">
        <v>0.99999992842934005</v>
      </c>
    </row>
    <row r="4466" spans="1:40" x14ac:dyDescent="0.25">
      <c r="A4466" t="str">
        <f>"20190312150741713"</f>
        <v>20190312150741713</v>
      </c>
      <c r="B4466" t="str">
        <f>"1552374461704026"</f>
        <v>1552374461704026</v>
      </c>
      <c r="C4466" t="s">
        <v>40</v>
      </c>
      <c r="D4466">
        <v>4.592657</v>
      </c>
      <c r="E4466">
        <v>0.5153915</v>
      </c>
      <c r="F4466" t="s">
        <v>61</v>
      </c>
      <c r="G4466">
        <v>-494.98230000000001</v>
      </c>
      <c r="H4466" s="1">
        <v>2.3437340000000002E-6</v>
      </c>
      <c r="I4466">
        <v>212.75360000000001</v>
      </c>
      <c r="J4466">
        <v>-493.3503</v>
      </c>
      <c r="K4466">
        <v>1.109947</v>
      </c>
      <c r="L4466">
        <v>250.37450000000001</v>
      </c>
      <c r="M4466">
        <v>-9.6343160000000004E-3</v>
      </c>
      <c r="N4466">
        <v>0</v>
      </c>
      <c r="O4466">
        <v>-0.99986520000000001</v>
      </c>
      <c r="P4466">
        <v>-3.0667009999999998E-3</v>
      </c>
      <c r="Q4466">
        <v>-2.592442E-2</v>
      </c>
      <c r="R4466">
        <v>-0.99965930000000003</v>
      </c>
      <c r="S4466">
        <v>-0.12988279999999999</v>
      </c>
      <c r="T4466">
        <v>-8.8250640000000005E-2</v>
      </c>
      <c r="U4466">
        <v>-2.9984280000000001</v>
      </c>
      <c r="V4466">
        <v>-6.5805600000000001E-3</v>
      </c>
      <c r="W4466">
        <v>-1.2627370000000001E-2</v>
      </c>
      <c r="X4466">
        <v>0.99989859999999997</v>
      </c>
      <c r="Y4466">
        <v>3.3629539999999999E-2</v>
      </c>
      <c r="Z4466">
        <v>2.939543E-2</v>
      </c>
      <c r="AA4466">
        <v>0.99900199999999995</v>
      </c>
      <c r="AB4466">
        <v>17</v>
      </c>
      <c r="AC4466">
        <v>-1.6319999999999999</v>
      </c>
      <c r="AD4466">
        <v>-1.109944656266</v>
      </c>
      <c r="AE4466">
        <v>-37.620899999999999</v>
      </c>
      <c r="AF4466">
        <v>1.2683386140284401</v>
      </c>
      <c r="AG4466">
        <v>-1.109944656266</v>
      </c>
      <c r="AH4466">
        <v>37.602208858770801</v>
      </c>
      <c r="AI4466">
        <v>91.689809461742996</v>
      </c>
      <c r="AJ4466">
        <v>88.068121248429307</v>
      </c>
      <c r="AK4466">
        <v>37.639962420789303</v>
      </c>
      <c r="AL4466">
        <v>90.723514248500706</v>
      </c>
      <c r="AM4466">
        <v>90.377071106486895</v>
      </c>
      <c r="AN4466">
        <v>0.99999998226249498</v>
      </c>
    </row>
    <row r="4467" spans="1:40" x14ac:dyDescent="0.25">
      <c r="A4467" t="str">
        <f>"20190312150741728"</f>
        <v>20190312150741728</v>
      </c>
      <c r="B4467" t="str">
        <f>"1552374461724522"</f>
        <v>1552374461724522</v>
      </c>
      <c r="C4467" t="s">
        <v>40</v>
      </c>
      <c r="D4467">
        <v>4.5732520000000001</v>
      </c>
      <c r="E4467">
        <v>0.51520129999999997</v>
      </c>
      <c r="F4467" t="s">
        <v>61</v>
      </c>
      <c r="G4467">
        <v>-494.96780000000001</v>
      </c>
      <c r="H4467" s="1">
        <v>2.3857759999999999E-6</v>
      </c>
      <c r="I4467">
        <v>213.6568</v>
      </c>
      <c r="J4467">
        <v>-493.35210000000001</v>
      </c>
      <c r="K4467">
        <v>1.1099749999999999</v>
      </c>
      <c r="L4467">
        <v>250.27369999999999</v>
      </c>
      <c r="M4467">
        <v>-1.0287640000000001E-2</v>
      </c>
      <c r="N4467">
        <v>0</v>
      </c>
      <c r="O4467">
        <v>-0.99985900000000005</v>
      </c>
      <c r="P4467">
        <v>-4.000722E-3</v>
      </c>
      <c r="Q4467">
        <v>-2.5825799999999999E-2</v>
      </c>
      <c r="R4467">
        <v>-0.99965879999999996</v>
      </c>
      <c r="S4467">
        <v>-0.13208010000000001</v>
      </c>
      <c r="T4467">
        <v>-9.0634939999999997E-2</v>
      </c>
      <c r="U4467">
        <v>-2.9982600000000001</v>
      </c>
      <c r="V4467">
        <v>-6.298784E-3</v>
      </c>
      <c r="W4467">
        <v>-1.2530990000000001E-2</v>
      </c>
      <c r="X4467">
        <v>0.9999017</v>
      </c>
      <c r="Y4467">
        <v>3.3708589999999997E-2</v>
      </c>
      <c r="Z4467">
        <v>3.0189770000000001E-2</v>
      </c>
      <c r="AA4467">
        <v>0.99897559999999996</v>
      </c>
      <c r="AB4467">
        <v>17</v>
      </c>
      <c r="AC4467">
        <v>-1.6156999999999999</v>
      </c>
      <c r="AD4467">
        <v>-1.1099726142239901</v>
      </c>
      <c r="AE4467">
        <v>-36.616900000000001</v>
      </c>
      <c r="AF4467">
        <v>1.23774468145186</v>
      </c>
      <c r="AG4467">
        <v>-1.1099726142239901</v>
      </c>
      <c r="AH4467">
        <v>36.598021085350702</v>
      </c>
      <c r="AI4467">
        <v>91.736185438345103</v>
      </c>
      <c r="AJ4467">
        <v>88.062995634724203</v>
      </c>
      <c r="AK4467">
        <v>36.635763926313402</v>
      </c>
      <c r="AL4467">
        <v>90.717991591970303</v>
      </c>
      <c r="AM4467">
        <v>90.360924444531406</v>
      </c>
      <c r="AN4467">
        <v>1.00000005502657</v>
      </c>
    </row>
    <row r="4468" spans="1:40" x14ac:dyDescent="0.25">
      <c r="A4468" t="str">
        <f>"20190312150741740"</f>
        <v>20190312150741740</v>
      </c>
      <c r="B4468" t="str">
        <f>"1552374461734282"</f>
        <v>1552374461734282</v>
      </c>
      <c r="C4468" t="s">
        <v>40</v>
      </c>
      <c r="D4468">
        <v>4.6163210000000001</v>
      </c>
      <c r="E4468">
        <v>0.51509419999999995</v>
      </c>
      <c r="F4468" t="s">
        <v>61</v>
      </c>
      <c r="G4468">
        <v>-494.89679999999998</v>
      </c>
      <c r="H4468" s="1">
        <v>2.477286E-6</v>
      </c>
      <c r="I4468">
        <v>215.46180000000001</v>
      </c>
      <c r="J4468">
        <v>-493.35379999999998</v>
      </c>
      <c r="K4468">
        <v>1.1100000000000001</v>
      </c>
      <c r="L4468">
        <v>250.17920000000001</v>
      </c>
      <c r="M4468">
        <v>-1.0868879999999999E-2</v>
      </c>
      <c r="N4468">
        <v>0</v>
      </c>
      <c r="O4468">
        <v>-0.99985290000000004</v>
      </c>
      <c r="P4468">
        <v>-4.7051569999999997E-3</v>
      </c>
      <c r="Q4468">
        <v>-2.5932920000000002E-2</v>
      </c>
      <c r="R4468">
        <v>-0.99965320000000002</v>
      </c>
      <c r="S4468">
        <v>-0.13302610000000001</v>
      </c>
      <c r="T4468">
        <v>-9.5591780000000001E-2</v>
      </c>
      <c r="U4468">
        <v>-2.9980319999999998</v>
      </c>
      <c r="V4468">
        <v>-6.1748109999999997E-3</v>
      </c>
      <c r="W4468">
        <v>-1.2640200000000001E-2</v>
      </c>
      <c r="X4468">
        <v>0.99990109999999999</v>
      </c>
      <c r="Y4468">
        <v>3.3443290000000001E-2</v>
      </c>
      <c r="Z4468">
        <v>3.1841269999999998E-2</v>
      </c>
      <c r="AA4468">
        <v>0.99893330000000002</v>
      </c>
      <c r="AB4468">
        <v>17</v>
      </c>
      <c r="AC4468">
        <v>-1.5429999999999999</v>
      </c>
      <c r="AD4468">
        <v>-1.109997522714</v>
      </c>
      <c r="AE4468">
        <v>-34.717399999999998</v>
      </c>
      <c r="AF4468">
        <v>1.16434848034384</v>
      </c>
      <c r="AG4468">
        <v>-1.109997522714</v>
      </c>
      <c r="AH4468">
        <v>34.696722918224403</v>
      </c>
      <c r="AI4468">
        <v>91.831318394928303</v>
      </c>
      <c r="AJ4468">
        <v>88.077996339395597</v>
      </c>
      <c r="AK4468">
        <v>34.7339946327535</v>
      </c>
      <c r="AL4468">
        <v>90.724249358367004</v>
      </c>
      <c r="AM4468">
        <v>90.353821105234502</v>
      </c>
      <c r="AN4468">
        <v>1.0000000563640601</v>
      </c>
    </row>
    <row r="4469" spans="1:40" x14ac:dyDescent="0.25">
      <c r="A4469" t="str">
        <f>"20190312150741754"</f>
        <v>20190312150741754</v>
      </c>
      <c r="B4469" t="str">
        <f>"1552374461744042"</f>
        <v>1552374461744042</v>
      </c>
      <c r="C4469" t="s">
        <v>40</v>
      </c>
      <c r="D4469">
        <v>4.616282</v>
      </c>
      <c r="E4469">
        <v>0.51501859999999999</v>
      </c>
      <c r="F4469" t="s">
        <v>61</v>
      </c>
      <c r="G4469">
        <v>-494.87830000000002</v>
      </c>
      <c r="H4469" s="1">
        <v>2.5116849999999998E-6</v>
      </c>
      <c r="I4469">
        <v>216.1738</v>
      </c>
      <c r="J4469">
        <v>-493.35579999999999</v>
      </c>
      <c r="K4469">
        <v>1.110033</v>
      </c>
      <c r="L4469">
        <v>250.06790000000001</v>
      </c>
      <c r="M4469">
        <v>-1.1517299999999999E-2</v>
      </c>
      <c r="N4469">
        <v>0</v>
      </c>
      <c r="O4469">
        <v>-0.99984569999999995</v>
      </c>
      <c r="P4469">
        <v>-5.4066510000000002E-3</v>
      </c>
      <c r="Q4469">
        <v>-2.596468E-2</v>
      </c>
      <c r="R4469">
        <v>-0.9996486</v>
      </c>
      <c r="S4469">
        <v>-0.1343994</v>
      </c>
      <c r="T4469">
        <v>-9.7856159999999998E-2</v>
      </c>
      <c r="U4469">
        <v>-2.9978790000000002</v>
      </c>
      <c r="V4469">
        <v>-6.1204550000000003E-3</v>
      </c>
      <c r="W4469">
        <v>-1.2674400000000001E-2</v>
      </c>
      <c r="X4469">
        <v>0.99990089999999998</v>
      </c>
      <c r="Y4469">
        <v>3.3252999999999998E-2</v>
      </c>
      <c r="Z4469">
        <v>3.2595819999999998E-2</v>
      </c>
      <c r="AA4469">
        <v>0.99891529999999995</v>
      </c>
      <c r="AB4469">
        <v>17</v>
      </c>
      <c r="AC4469">
        <v>-1.5225000000000299</v>
      </c>
      <c r="AD4469">
        <v>-1.1100304883149901</v>
      </c>
      <c r="AE4469">
        <v>-33.894100000000002</v>
      </c>
      <c r="AF4469">
        <v>1.1307857462943001</v>
      </c>
      <c r="AG4469">
        <v>-1.1100304883149901</v>
      </c>
      <c r="AH4469">
        <v>33.873130359979498</v>
      </c>
      <c r="AI4469">
        <v>91.875880336857705</v>
      </c>
      <c r="AJ4469">
        <v>88.088006669332898</v>
      </c>
      <c r="AK4469">
        <v>33.9101725809996</v>
      </c>
      <c r="AL4469">
        <v>90.726209104439903</v>
      </c>
      <c r="AM4469">
        <v>90.350706615682</v>
      </c>
      <c r="AN4469">
        <v>0.99999995510278705</v>
      </c>
    </row>
    <row r="4470" spans="1:40" x14ac:dyDescent="0.25">
      <c r="A4470" t="str">
        <f>"20190312150741766"</f>
        <v>20190312150741766</v>
      </c>
      <c r="B4470" t="str">
        <f>"1552374461754778"</f>
        <v>1552374461754778</v>
      </c>
      <c r="C4470" t="s">
        <v>40</v>
      </c>
      <c r="D4470">
        <v>4.6377800000000002</v>
      </c>
      <c r="E4470">
        <v>0.51493659999999997</v>
      </c>
      <c r="F4470" t="s">
        <v>61</v>
      </c>
      <c r="G4470">
        <v>-494.86590000000001</v>
      </c>
      <c r="H4470" s="1">
        <v>2.5418910000000001E-6</v>
      </c>
      <c r="I4470">
        <v>216.81469999999999</v>
      </c>
      <c r="J4470">
        <v>-493.35730000000001</v>
      </c>
      <c r="K4470">
        <v>1.1100589999999999</v>
      </c>
      <c r="L4470">
        <v>249.98310000000001</v>
      </c>
      <c r="M4470">
        <v>-1.1993709999999999E-2</v>
      </c>
      <c r="N4470">
        <v>0</v>
      </c>
      <c r="O4470">
        <v>-0.99984010000000001</v>
      </c>
      <c r="P4470">
        <v>-5.4115980000000001E-3</v>
      </c>
      <c r="Q4470">
        <v>-2.6013580000000001E-2</v>
      </c>
      <c r="R4470">
        <v>-0.99964719999999996</v>
      </c>
      <c r="S4470">
        <v>-0.13613889999999901</v>
      </c>
      <c r="T4470">
        <v>-0.1000677</v>
      </c>
      <c r="U4470">
        <v>-2.9977260000000001</v>
      </c>
      <c r="V4470">
        <v>-6.5915169999999999E-3</v>
      </c>
      <c r="W4470">
        <v>-1.272475E-2</v>
      </c>
      <c r="X4470">
        <v>0.99989729999999999</v>
      </c>
      <c r="Y4470">
        <v>3.3356410000000003E-2</v>
      </c>
      <c r="Z4470">
        <v>3.3332590000000002E-2</v>
      </c>
      <c r="AA4470">
        <v>0.99888750000000004</v>
      </c>
      <c r="AB4470">
        <v>17</v>
      </c>
      <c r="AC4470">
        <v>-1.5085999999999999</v>
      </c>
      <c r="AD4470">
        <v>-1.110056458109</v>
      </c>
      <c r="AE4470">
        <v>-33.168399999999998</v>
      </c>
      <c r="AF4470">
        <v>1.10940427012135</v>
      </c>
      <c r="AG4470">
        <v>-1.110056458109</v>
      </c>
      <c r="AH4470">
        <v>33.147059142629097</v>
      </c>
      <c r="AI4470">
        <v>91.916979613931801</v>
      </c>
      <c r="AJ4470">
        <v>88.083073868634898</v>
      </c>
      <c r="AK4470">
        <v>33.184191009872599</v>
      </c>
      <c r="AL4470">
        <v>90.729094155047605</v>
      </c>
      <c r="AM4470">
        <v>90.377699423814093</v>
      </c>
      <c r="AN4470">
        <v>0.99999998895310604</v>
      </c>
    </row>
    <row r="4471" spans="1:40" x14ac:dyDescent="0.25">
      <c r="A4471" t="str">
        <f>"20190312150741777"</f>
        <v>20190312150741777</v>
      </c>
      <c r="B4471" t="str">
        <f>"1552374461764538"</f>
        <v>1552374461764538</v>
      </c>
      <c r="C4471" t="s">
        <v>40</v>
      </c>
      <c r="D4471">
        <v>4.6300230000000004</v>
      </c>
      <c r="E4471">
        <v>0.51483420000000002</v>
      </c>
      <c r="F4471" t="s">
        <v>61</v>
      </c>
      <c r="G4471">
        <v>-494.83190000000002</v>
      </c>
      <c r="H4471" s="1">
        <v>2.569839E-6</v>
      </c>
      <c r="I4471">
        <v>217.316</v>
      </c>
      <c r="J4471">
        <v>-493.35890000000001</v>
      </c>
      <c r="K4471">
        <v>1.1100829999999999</v>
      </c>
      <c r="L4471">
        <v>249.89879999999999</v>
      </c>
      <c r="M4471">
        <v>-1.243466E-2</v>
      </c>
      <c r="N4471">
        <v>0</v>
      </c>
      <c r="O4471">
        <v>-0.99983440000000001</v>
      </c>
      <c r="P4471">
        <v>-5.5798690000000003E-3</v>
      </c>
      <c r="Q4471">
        <v>-2.587387E-2</v>
      </c>
      <c r="R4471">
        <v>-0.99964960000000003</v>
      </c>
      <c r="S4471">
        <v>-0.13531489999999999</v>
      </c>
      <c r="T4471">
        <v>-0.10186489999999999</v>
      </c>
      <c r="U4471">
        <v>-2.9977109999999998</v>
      </c>
      <c r="V4471">
        <v>-6.8628229999999997E-3</v>
      </c>
      <c r="W4471">
        <v>-1.2586709999999999E-2</v>
      </c>
      <c r="X4471">
        <v>0.99989720000000004</v>
      </c>
      <c r="Y4471">
        <v>3.264094E-2</v>
      </c>
      <c r="Z4471">
        <v>3.3931070000000001E-2</v>
      </c>
      <c r="AA4471">
        <v>0.99889099999999997</v>
      </c>
      <c r="AB4471">
        <v>17</v>
      </c>
      <c r="AC4471">
        <v>-1.4730000000000101</v>
      </c>
      <c r="AD4471">
        <v>-1.1100804301610001</v>
      </c>
      <c r="AE4471">
        <v>-32.582799999999999</v>
      </c>
      <c r="AF4471">
        <v>1.06645893855226</v>
      </c>
      <c r="AG4471">
        <v>-1.1100804301610001</v>
      </c>
      <c r="AH4471">
        <v>32.560880957522997</v>
      </c>
      <c r="AI4471">
        <v>91.951551961337003</v>
      </c>
      <c r="AJ4471">
        <v>88.124075302647995</v>
      </c>
      <c r="AK4471">
        <v>32.597248073403797</v>
      </c>
      <c r="AL4471">
        <v>90.721184427852293</v>
      </c>
      <c r="AM4471">
        <v>90.393245044749193</v>
      </c>
      <c r="AN4471">
        <v>0.99999996708799599</v>
      </c>
    </row>
    <row r="4472" spans="1:40" x14ac:dyDescent="0.25">
      <c r="A4472" t="str">
        <f>"20190312150741788"</f>
        <v>20190312150741788</v>
      </c>
      <c r="B4472" t="str">
        <f>"1552374461784059"</f>
        <v>1552374461784059</v>
      </c>
      <c r="C4472" t="s">
        <v>40</v>
      </c>
      <c r="D4472">
        <v>4.7191450000000001</v>
      </c>
      <c r="E4472">
        <v>0.5147429</v>
      </c>
      <c r="F4472" t="s">
        <v>61</v>
      </c>
      <c r="G4472">
        <v>-494.81819999999999</v>
      </c>
      <c r="H4472" s="1">
        <v>2.5759810000000001E-6</v>
      </c>
      <c r="I4472">
        <v>217.40110000000001</v>
      </c>
      <c r="J4472">
        <v>-493.36040000000003</v>
      </c>
      <c r="K4472">
        <v>1.1101099999999999</v>
      </c>
      <c r="L4472">
        <v>249.81620000000001</v>
      </c>
      <c r="M4472">
        <v>-1.285211E-2</v>
      </c>
      <c r="N4472">
        <v>0</v>
      </c>
      <c r="O4472">
        <v>-0.99982930000000003</v>
      </c>
      <c r="P4472">
        <v>-5.6468389999999999E-3</v>
      </c>
      <c r="Q4472">
        <v>-2.6026219999999999E-2</v>
      </c>
      <c r="R4472">
        <v>-0.99964549999999996</v>
      </c>
      <c r="S4472">
        <v>-0.13461300000000001</v>
      </c>
      <c r="T4472">
        <v>-0.1023958</v>
      </c>
      <c r="U4472">
        <v>-2.9976500000000001</v>
      </c>
      <c r="V4472">
        <v>-7.2127700000000003E-3</v>
      </c>
      <c r="W4472">
        <v>-1.2740710000000001E-2</v>
      </c>
      <c r="X4472">
        <v>0.99989280000000003</v>
      </c>
      <c r="Y4472">
        <v>3.1990869999999998E-2</v>
      </c>
      <c r="Z4472">
        <v>3.4108649999999997E-2</v>
      </c>
      <c r="AA4472">
        <v>0.99890599999999996</v>
      </c>
      <c r="AB4472">
        <v>17</v>
      </c>
      <c r="AC4472">
        <v>-1.45779999999996</v>
      </c>
      <c r="AD4472">
        <v>-1.1101074240190001</v>
      </c>
      <c r="AE4472">
        <v>-32.415099999999903</v>
      </c>
      <c r="AF4472">
        <v>1.0398233642883501</v>
      </c>
      <c r="AG4472">
        <v>-1.1101074240190001</v>
      </c>
      <c r="AH4472">
        <v>32.393244661701402</v>
      </c>
      <c r="AI4472">
        <v>91.961732559199206</v>
      </c>
      <c r="AJ4472">
        <v>88.161436423307705</v>
      </c>
      <c r="AK4472">
        <v>32.428935703081997</v>
      </c>
      <c r="AL4472">
        <v>90.730008675919095</v>
      </c>
      <c r="AM4472">
        <v>90.413298417367301</v>
      </c>
      <c r="AN4472">
        <v>0.99999998061710804</v>
      </c>
    </row>
    <row r="4473" spans="1:40" x14ac:dyDescent="0.25">
      <c r="A4473" t="str">
        <f>"20190312150741799"</f>
        <v>20190312150741799</v>
      </c>
      <c r="B4473" t="str">
        <f>"1552374461794795"</f>
        <v>1552374461794795</v>
      </c>
      <c r="C4473" t="s">
        <v>40</v>
      </c>
      <c r="D4473">
        <v>4.3959449999999904</v>
      </c>
      <c r="E4473">
        <v>0.47479880000000002</v>
      </c>
      <c r="F4473" t="s">
        <v>61</v>
      </c>
      <c r="G4473">
        <v>-494.8322</v>
      </c>
      <c r="H4473" s="1">
        <v>2.5558909999999999E-6</v>
      </c>
      <c r="I4473">
        <v>216.99789999999999</v>
      </c>
      <c r="J4473">
        <v>-493.36200000000002</v>
      </c>
      <c r="K4473">
        <v>1.110136</v>
      </c>
      <c r="L4473">
        <v>249.73220000000001</v>
      </c>
      <c r="M4473">
        <v>-1.325314E-2</v>
      </c>
      <c r="N4473">
        <v>0</v>
      </c>
      <c r="O4473">
        <v>-0.99982400000000005</v>
      </c>
      <c r="P4473">
        <v>-5.7196869999999898E-3</v>
      </c>
      <c r="Q4473">
        <v>-2.6058520000000002E-2</v>
      </c>
      <c r="R4473">
        <v>-0.99964399999999998</v>
      </c>
      <c r="S4473">
        <v>-0.13442989999999999</v>
      </c>
      <c r="T4473">
        <v>-0.10139910000000001</v>
      </c>
      <c r="U4473">
        <v>-2.997681</v>
      </c>
      <c r="V4473">
        <v>-7.5398409999999898E-3</v>
      </c>
      <c r="W4473">
        <v>-1.277474E-2</v>
      </c>
      <c r="X4473">
        <v>0.99988999999999995</v>
      </c>
      <c r="Y4473">
        <v>3.1529139999999997E-2</v>
      </c>
      <c r="Z4473">
        <v>3.3776710000000001E-2</v>
      </c>
      <c r="AA4473">
        <v>0.99893189999999998</v>
      </c>
      <c r="AB4473">
        <v>17</v>
      </c>
      <c r="AC4473">
        <v>-1.4702000000000299</v>
      </c>
      <c r="AD4473">
        <v>-1.1101334441090001</v>
      </c>
      <c r="AE4473">
        <v>-32.734299999999998</v>
      </c>
      <c r="AF4473">
        <v>1.0350123462535901</v>
      </c>
      <c r="AG4473">
        <v>-1.1101334441090001</v>
      </c>
      <c r="AH4473">
        <v>32.713362386365702</v>
      </c>
      <c r="AI4473">
        <v>91.942624736044394</v>
      </c>
      <c r="AJ4473">
        <v>88.187833368770697</v>
      </c>
      <c r="AK4473">
        <v>32.748553028222702</v>
      </c>
      <c r="AL4473">
        <v>90.731958575603201</v>
      </c>
      <c r="AM4473">
        <v>90.432040404116805</v>
      </c>
      <c r="AN4473">
        <v>1.0000000276421801</v>
      </c>
    </row>
    <row r="4474" spans="1:40" x14ac:dyDescent="0.25">
      <c r="A4474" t="str">
        <f>"20190312150741812"</f>
        <v>20190312150741812</v>
      </c>
      <c r="B4474" t="str">
        <f>"1552374461804555"</f>
        <v>1552374461804555</v>
      </c>
      <c r="C4474" t="s">
        <v>40</v>
      </c>
      <c r="D4474">
        <v>4.577636</v>
      </c>
      <c r="E4474">
        <v>0.46230739999999998</v>
      </c>
      <c r="F4474" t="s">
        <v>61</v>
      </c>
      <c r="G4474">
        <v>-490.62200000000001</v>
      </c>
      <c r="H4474" s="1">
        <v>1.5818400000000001E-6</v>
      </c>
      <c r="I4474">
        <v>204.9127</v>
      </c>
      <c r="J4474">
        <v>-493.36369999999999</v>
      </c>
      <c r="K4474">
        <v>1.110163</v>
      </c>
      <c r="L4474">
        <v>249.64320000000001</v>
      </c>
      <c r="M4474">
        <v>-1.365212E-2</v>
      </c>
      <c r="N4474">
        <v>0</v>
      </c>
      <c r="O4474">
        <v>-0.99981869999999995</v>
      </c>
      <c r="P4474">
        <v>-5.5837259999999998E-3</v>
      </c>
      <c r="Q4474">
        <v>-2.5772690000000001E-2</v>
      </c>
      <c r="R4474">
        <v>-0.99965230000000005</v>
      </c>
      <c r="S4474">
        <v>0.18341060000000001</v>
      </c>
      <c r="T4474">
        <v>-7.431161E-2</v>
      </c>
      <c r="U4474">
        <v>-3.0001829999999998</v>
      </c>
      <c r="V4474">
        <v>-8.0738679999999997E-3</v>
      </c>
      <c r="W4474">
        <v>-1.249054E-2</v>
      </c>
      <c r="X4474">
        <v>0.99988940000000004</v>
      </c>
      <c r="Y4474">
        <v>-7.4622809999999998E-2</v>
      </c>
      <c r="Z4474">
        <v>2.4700409999999999E-2</v>
      </c>
      <c r="AA4474">
        <v>0.99690590000000001</v>
      </c>
      <c r="AB4474">
        <v>17</v>
      </c>
      <c r="AC4474">
        <v>2.74170000000003</v>
      </c>
      <c r="AD4474">
        <v>-1.1101614181599999</v>
      </c>
      <c r="AE4474">
        <v>-44.730499999999999</v>
      </c>
      <c r="AF4474">
        <v>-3.3501085326390001</v>
      </c>
      <c r="AG4474">
        <v>-1.1101614181599999</v>
      </c>
      <c r="AH4474">
        <v>44.661489813156699</v>
      </c>
      <c r="AI4474">
        <v>91.419934272739795</v>
      </c>
      <c r="AJ4474">
        <v>94.289787098800701</v>
      </c>
      <c r="AK4474">
        <v>44.800718274214397</v>
      </c>
      <c r="AL4474">
        <v>90.715673831090996</v>
      </c>
      <c r="AM4474">
        <v>90.462639675006002</v>
      </c>
      <c r="AN4474">
        <v>1.00000000658316</v>
      </c>
    </row>
    <row r="4475" spans="1:40" x14ac:dyDescent="0.25">
      <c r="A4475" t="str">
        <f>"20190312150741822"</f>
        <v>20190312150741822</v>
      </c>
      <c r="B4475" t="str">
        <f>"1552374461814314"</f>
        <v>1552374461814314</v>
      </c>
      <c r="C4475" t="s">
        <v>40</v>
      </c>
      <c r="D4475">
        <v>4.5893769999999998</v>
      </c>
      <c r="E4475">
        <v>0.45377220000000001</v>
      </c>
      <c r="F4475" t="s">
        <v>61</v>
      </c>
      <c r="G4475">
        <v>-490.23540000000003</v>
      </c>
      <c r="H4475" s="1">
        <v>3.3540570000000001E-6</v>
      </c>
      <c r="I4475">
        <v>216.6037</v>
      </c>
      <c r="J4475">
        <v>-493.36520000000002</v>
      </c>
      <c r="K4475">
        <v>1.110185</v>
      </c>
      <c r="L4475">
        <v>249.5626</v>
      </c>
      <c r="M4475">
        <v>-1.3999660000000001E-2</v>
      </c>
      <c r="N4475">
        <v>0</v>
      </c>
      <c r="O4475">
        <v>-0.99981390000000003</v>
      </c>
      <c r="P4475">
        <v>-5.4134119999999899E-3</v>
      </c>
      <c r="Q4475">
        <v>-2.559906E-2</v>
      </c>
      <c r="R4475">
        <v>-0.99965780000000004</v>
      </c>
      <c r="S4475">
        <v>0.28405760000000002</v>
      </c>
      <c r="T4475">
        <v>-0.10080310000000001</v>
      </c>
      <c r="U4475">
        <v>-3</v>
      </c>
      <c r="V4475">
        <v>-8.5911979999999995E-3</v>
      </c>
      <c r="W4475">
        <v>-1.23184E-2</v>
      </c>
      <c r="X4475">
        <v>0.99988719999999998</v>
      </c>
      <c r="Y4475">
        <v>-0.108141</v>
      </c>
      <c r="Z4475">
        <v>3.3404070000000001E-2</v>
      </c>
      <c r="AA4475">
        <v>0.99357419999999996</v>
      </c>
      <c r="AB4475">
        <v>17</v>
      </c>
      <c r="AC4475">
        <v>3.1297999999999799</v>
      </c>
      <c r="AD4475">
        <v>-1.1101816459430001</v>
      </c>
      <c r="AE4475">
        <v>-32.9589</v>
      </c>
      <c r="AF4475">
        <v>-3.5869139287674598</v>
      </c>
      <c r="AG4475">
        <v>-1.1101816459430001</v>
      </c>
      <c r="AH4475">
        <v>32.874882975004397</v>
      </c>
      <c r="AI4475">
        <v>91.922735805049996</v>
      </c>
      <c r="AJ4475">
        <v>96.226798844796306</v>
      </c>
      <c r="AK4475">
        <v>33.088614135977501</v>
      </c>
      <c r="AL4475">
        <v>90.705810193980497</v>
      </c>
      <c r="AM4475">
        <v>90.492282803151696</v>
      </c>
      <c r="AN4475">
        <v>0.999999982192737</v>
      </c>
    </row>
    <row r="4476" spans="1:40" x14ac:dyDescent="0.25">
      <c r="A4476" t="str">
        <f>"20190312150741833"</f>
        <v>20190312150741833</v>
      </c>
      <c r="B4476" t="str">
        <f>"1552374461824074"</f>
        <v>1552374461824074</v>
      </c>
      <c r="C4476" t="s">
        <v>40</v>
      </c>
      <c r="D4476">
        <v>4.5788869999999999</v>
      </c>
      <c r="E4476">
        <v>0.44867839999999998</v>
      </c>
      <c r="F4476" t="s">
        <v>61</v>
      </c>
      <c r="G4476">
        <v>-490.23649999999998</v>
      </c>
      <c r="H4476" s="1">
        <v>4.5259920000000002E-6</v>
      </c>
      <c r="I4476">
        <v>222.97489999999999</v>
      </c>
      <c r="J4476">
        <v>-493.36680000000001</v>
      </c>
      <c r="K4476">
        <v>1.1102069999999999</v>
      </c>
      <c r="L4476">
        <v>249.48079999999999</v>
      </c>
      <c r="M4476">
        <v>-1.4320599999999999E-2</v>
      </c>
      <c r="N4476">
        <v>0</v>
      </c>
      <c r="O4476">
        <v>-0.99980959999999997</v>
      </c>
      <c r="P4476">
        <v>-5.0235319999999998E-3</v>
      </c>
      <c r="Q4476">
        <v>-2.565684E-2</v>
      </c>
      <c r="R4476">
        <v>-0.99965859999999995</v>
      </c>
      <c r="S4476">
        <v>0.3529968</v>
      </c>
      <c r="T4476">
        <v>-0.1252549</v>
      </c>
      <c r="U4476">
        <v>-2.9997250000000002</v>
      </c>
      <c r="V4476">
        <v>-9.3011190000000001E-3</v>
      </c>
      <c r="W4476">
        <v>-1.237765E-2</v>
      </c>
      <c r="X4476">
        <v>0.99988010000000005</v>
      </c>
      <c r="Y4476">
        <v>-0.1309815</v>
      </c>
      <c r="Z4476">
        <v>4.1390400000000001E-2</v>
      </c>
      <c r="AA4476">
        <v>0.99052039999999997</v>
      </c>
      <c r="AB4476">
        <v>17</v>
      </c>
      <c r="AC4476">
        <v>3.1303000000000298</v>
      </c>
      <c r="AD4476">
        <v>-1.1102024740080001</v>
      </c>
      <c r="AE4476">
        <v>-26.5059</v>
      </c>
      <c r="AF4476">
        <v>-3.50353077050235</v>
      </c>
      <c r="AG4476">
        <v>-1.1102024740080001</v>
      </c>
      <c r="AH4476">
        <v>26.412649791905402</v>
      </c>
      <c r="AI4476">
        <v>92.386020795533895</v>
      </c>
      <c r="AJ4476">
        <v>97.555943118967093</v>
      </c>
      <c r="AK4476">
        <v>26.667121074892801</v>
      </c>
      <c r="AL4476">
        <v>90.709205239507895</v>
      </c>
      <c r="AM4476">
        <v>90.532963395239193</v>
      </c>
      <c r="AN4476">
        <v>0.99999996570509098</v>
      </c>
    </row>
    <row r="4477" spans="1:40" x14ac:dyDescent="0.25">
      <c r="A4477" t="str">
        <f>"20190312150741845"</f>
        <v>20190312150741845</v>
      </c>
      <c r="B4477" t="str">
        <f>"1552374461834811"</f>
        <v>1552374461834811</v>
      </c>
      <c r="C4477" t="s">
        <v>40</v>
      </c>
      <c r="D4477">
        <v>4.7343640000000002</v>
      </c>
      <c r="E4477">
        <v>0.4452256</v>
      </c>
      <c r="F4477" t="s">
        <v>61</v>
      </c>
      <c r="G4477">
        <v>-490.27289999999999</v>
      </c>
      <c r="H4477" s="1">
        <v>5.4370239999999996E-6</v>
      </c>
      <c r="I4477">
        <v>225.98169999999999</v>
      </c>
      <c r="J4477">
        <v>-493.36829999999998</v>
      </c>
      <c r="K4477">
        <v>1.110231</v>
      </c>
      <c r="L4477">
        <v>249.39750000000001</v>
      </c>
      <c r="M4477">
        <v>-1.464005E-2</v>
      </c>
      <c r="N4477">
        <v>0</v>
      </c>
      <c r="O4477">
        <v>-0.99980480000000005</v>
      </c>
      <c r="P4477">
        <v>-4.5692409999999999E-3</v>
      </c>
      <c r="Q4477">
        <v>-2.553186E-2</v>
      </c>
      <c r="R4477">
        <v>-0.99966390000000005</v>
      </c>
      <c r="S4477">
        <v>0.39489750000000001</v>
      </c>
      <c r="T4477">
        <v>-0.14170369999999999</v>
      </c>
      <c r="U4477">
        <v>-2.999374</v>
      </c>
      <c r="V4477">
        <v>-1.007399E-2</v>
      </c>
      <c r="W4477">
        <v>-1.225416E-2</v>
      </c>
      <c r="X4477">
        <v>0.99987420000000005</v>
      </c>
      <c r="Y4477">
        <v>-0.14489279999999999</v>
      </c>
      <c r="Z4477">
        <v>4.673397E-2</v>
      </c>
      <c r="AA4477">
        <v>0.98834310000000003</v>
      </c>
      <c r="AB4477">
        <v>17</v>
      </c>
      <c r="AC4477">
        <v>3.0953999999999802</v>
      </c>
      <c r="AD4477">
        <v>-1.1102255629760001</v>
      </c>
      <c r="AE4477">
        <v>-23.415800000000001</v>
      </c>
      <c r="AF4477">
        <v>-3.43032778534256</v>
      </c>
      <c r="AG4477">
        <v>-1.1102255629760001</v>
      </c>
      <c r="AH4477">
        <v>23.316453129204699</v>
      </c>
      <c r="AI4477">
        <v>92.697121598662406</v>
      </c>
      <c r="AJ4477">
        <v>98.369343989691501</v>
      </c>
      <c r="AK4477">
        <v>23.593574041293099</v>
      </c>
      <c r="AL4477">
        <v>90.702129199689907</v>
      </c>
      <c r="AM4477">
        <v>90.577250198538707</v>
      </c>
      <c r="AN4477">
        <v>1.00000003276873</v>
      </c>
    </row>
    <row r="4478" spans="1:40" x14ac:dyDescent="0.25">
      <c r="A4478" t="str">
        <f>"20190312150741855"</f>
        <v>20190312150741855</v>
      </c>
      <c r="B4478" t="str">
        <f>"1552374461844570"</f>
        <v>1552374461844570</v>
      </c>
      <c r="C4478" t="s">
        <v>40</v>
      </c>
      <c r="D4478">
        <v>4.5802779999999998</v>
      </c>
      <c r="E4478">
        <v>0.44212129999999999</v>
      </c>
      <c r="F4478" t="s">
        <v>61</v>
      </c>
      <c r="G4478">
        <v>-490.30239999999998</v>
      </c>
      <c r="H4478" s="1">
        <v>5.9650940000000001E-6</v>
      </c>
      <c r="I4478">
        <v>227.70750000000001</v>
      </c>
      <c r="J4478">
        <v>-493.36989999999997</v>
      </c>
      <c r="K4478">
        <v>1.110249</v>
      </c>
      <c r="L4478">
        <v>249.3177</v>
      </c>
      <c r="M4478">
        <v>-1.49141E-2</v>
      </c>
      <c r="N4478">
        <v>0</v>
      </c>
      <c r="O4478">
        <v>-0.99980100000000005</v>
      </c>
      <c r="P4478">
        <v>-4.2181529999999997E-3</v>
      </c>
      <c r="Q4478">
        <v>-2.503263E-2</v>
      </c>
      <c r="R4478">
        <v>-0.99967830000000002</v>
      </c>
      <c r="S4478">
        <v>0.42391970000000001</v>
      </c>
      <c r="T4478">
        <v>-0.15350899999999901</v>
      </c>
      <c r="U4478">
        <v>-2.9990389999999998</v>
      </c>
      <c r="V4478">
        <v>-1.0698630000000001E-2</v>
      </c>
      <c r="W4478">
        <v>-1.175636E-2</v>
      </c>
      <c r="X4478">
        <v>0.99987360000000003</v>
      </c>
      <c r="Y4478">
        <v>-0.15453449999999999</v>
      </c>
      <c r="Z4478">
        <v>5.0552949999999999E-2</v>
      </c>
      <c r="AA4478">
        <v>0.98669320000000005</v>
      </c>
      <c r="AB4478">
        <v>17</v>
      </c>
      <c r="AC4478">
        <v>3.0674999999999901</v>
      </c>
      <c r="AD4478">
        <v>-1.110243034906</v>
      </c>
      <c r="AE4478">
        <v>-21.610199999999899</v>
      </c>
      <c r="AF4478">
        <v>-3.3807365978281601</v>
      </c>
      <c r="AG4478">
        <v>-1.110243034906</v>
      </c>
      <c r="AH4478">
        <v>21.506398491099802</v>
      </c>
      <c r="AI4478">
        <v>92.919417885440396</v>
      </c>
      <c r="AJ4478">
        <v>98.933605187802399</v>
      </c>
      <c r="AK4478">
        <v>21.798788856228501</v>
      </c>
      <c r="AL4478">
        <v>90.673605365268301</v>
      </c>
      <c r="AM4478">
        <v>90.613040441965097</v>
      </c>
      <c r="AN4478">
        <v>0.99999994433064099</v>
      </c>
    </row>
    <row r="4479" spans="1:40" x14ac:dyDescent="0.25">
      <c r="A4479" t="str">
        <f>"20190312150741867"</f>
        <v>20190312150741867</v>
      </c>
      <c r="B4479" t="str">
        <f>"1552374461864090"</f>
        <v>1552374461864090</v>
      </c>
      <c r="C4479" t="s">
        <v>40</v>
      </c>
      <c r="D4479">
        <v>4.5424879999999996</v>
      </c>
      <c r="E4479">
        <v>0.43850139999999999</v>
      </c>
      <c r="F4479" t="s">
        <v>61</v>
      </c>
      <c r="G4479">
        <v>-490.2826</v>
      </c>
      <c r="H4479" s="1">
        <v>6.2886960000000003E-6</v>
      </c>
      <c r="I4479">
        <v>228.7379</v>
      </c>
      <c r="J4479">
        <v>-493.37139999999999</v>
      </c>
      <c r="K4479">
        <v>1.1102700000000001</v>
      </c>
      <c r="L4479">
        <v>249.23519999999999</v>
      </c>
      <c r="M4479">
        <v>-1.519032E-2</v>
      </c>
      <c r="N4479">
        <v>0</v>
      </c>
      <c r="O4479">
        <v>-0.99979649999999998</v>
      </c>
      <c r="P4479">
        <v>-3.718205E-3</v>
      </c>
      <c r="Q4479">
        <v>-2.465989E-2</v>
      </c>
      <c r="R4479">
        <v>-0.99968880000000004</v>
      </c>
      <c r="S4479">
        <v>0.44985960000000003</v>
      </c>
      <c r="T4479">
        <v>-0.161779799999999</v>
      </c>
      <c r="U4479">
        <v>-2.9987949999999999</v>
      </c>
      <c r="V4479">
        <v>-1.147392E-2</v>
      </c>
      <c r="W4479">
        <v>-1.138515E-2</v>
      </c>
      <c r="X4479">
        <v>0.99986929999999996</v>
      </c>
      <c r="Y4479">
        <v>-0.16314960000000001</v>
      </c>
      <c r="Z4479">
        <v>5.3202869999999999E-2</v>
      </c>
      <c r="AA4479">
        <v>0.98516579999999998</v>
      </c>
      <c r="AB4479">
        <v>17</v>
      </c>
      <c r="AC4479">
        <v>3.0887999999999902</v>
      </c>
      <c r="AD4479">
        <v>-1.1102637113039999</v>
      </c>
      <c r="AE4479">
        <v>-20.497299999999999</v>
      </c>
      <c r="AF4479">
        <v>-3.3901058455321502</v>
      </c>
      <c r="AG4479">
        <v>-1.1102637113039999</v>
      </c>
      <c r="AH4479">
        <v>20.389516246965201</v>
      </c>
      <c r="AI4479">
        <v>93.074703050375106</v>
      </c>
      <c r="AJ4479">
        <v>99.440046322301797</v>
      </c>
      <c r="AK4479">
        <v>20.699224041925</v>
      </c>
      <c r="AL4479">
        <v>90.652335173455199</v>
      </c>
      <c r="AM4479">
        <v>90.657464266384395</v>
      </c>
      <c r="AN4479">
        <v>0.99999994478158705</v>
      </c>
    </row>
    <row r="4480" spans="1:40" x14ac:dyDescent="0.25">
      <c r="A4480" t="str">
        <f>"20190312150741877"</f>
        <v>20190312150741877</v>
      </c>
      <c r="B4480" t="str">
        <f>"1552374461874826"</f>
        <v>1552374461874826</v>
      </c>
      <c r="C4480" t="s">
        <v>40</v>
      </c>
      <c r="D4480">
        <v>4.5518390000000002</v>
      </c>
      <c r="E4480">
        <v>0.4372433</v>
      </c>
      <c r="F4480" t="s">
        <v>42</v>
      </c>
      <c r="G4480">
        <v>-490.34570000000002</v>
      </c>
      <c r="H4480" s="1">
        <v>-4.1704469999999998E-7</v>
      </c>
      <c r="I4480">
        <v>230.34690000000001</v>
      </c>
      <c r="J4480">
        <v>-493.37290000000002</v>
      </c>
      <c r="K4480">
        <v>1.110287</v>
      </c>
      <c r="L4480">
        <v>249.1574</v>
      </c>
      <c r="M4480">
        <v>-1.542953E-2</v>
      </c>
      <c r="N4480">
        <v>0</v>
      </c>
      <c r="O4480">
        <v>-0.99979309999999999</v>
      </c>
      <c r="P4480">
        <v>-3.2140020000000001E-3</v>
      </c>
      <c r="Q4480">
        <v>-2.4376249999999999E-2</v>
      </c>
      <c r="R4480">
        <v>-0.99969819999999998</v>
      </c>
      <c r="S4480">
        <v>0.48031620000000003</v>
      </c>
      <c r="T4480">
        <v>-0.17624619999999999</v>
      </c>
      <c r="U4480">
        <v>-2.998367</v>
      </c>
      <c r="V4480">
        <v>-1.2217250000000001E-2</v>
      </c>
      <c r="W4480">
        <v>-1.110295E-2</v>
      </c>
      <c r="X4480">
        <v>0.99986370000000002</v>
      </c>
      <c r="Y4480">
        <v>-0.17312849999999999</v>
      </c>
      <c r="Z4480">
        <v>5.7858270000000003E-2</v>
      </c>
      <c r="AA4480">
        <v>0.98319829999999997</v>
      </c>
      <c r="AB4480">
        <v>17</v>
      </c>
      <c r="AC4480">
        <v>3.0271999999999899</v>
      </c>
      <c r="AD4480">
        <v>-1.1102874170446999</v>
      </c>
      <c r="AE4480">
        <v>-18.810499999999902</v>
      </c>
      <c r="AF4480">
        <v>-3.3058755455201099</v>
      </c>
      <c r="AG4480">
        <v>-1.1102874170446999</v>
      </c>
      <c r="AH4480">
        <v>18.6980497143287</v>
      </c>
      <c r="AI4480">
        <v>93.346443925191096</v>
      </c>
      <c r="AJ4480">
        <v>100.026461996468</v>
      </c>
      <c r="AK4480">
        <v>19.0204788160136</v>
      </c>
      <c r="AL4480">
        <v>90.636165260426495</v>
      </c>
      <c r="AM4480">
        <v>90.700057446253894</v>
      </c>
      <c r="AN4480">
        <v>0.99999997763697701</v>
      </c>
    </row>
    <row r="4481" spans="1:40" x14ac:dyDescent="0.25">
      <c r="A4481" t="str">
        <f>"20190312150741890"</f>
        <v>20190312150741890</v>
      </c>
      <c r="B4481" t="str">
        <f>"1552374461884587"</f>
        <v>1552374461884587</v>
      </c>
      <c r="C4481" t="s">
        <v>40</v>
      </c>
      <c r="D4481">
        <v>4.5644640000000001</v>
      </c>
      <c r="E4481">
        <v>0.43617519999999999</v>
      </c>
      <c r="F4481" t="s">
        <v>42</v>
      </c>
      <c r="G4481">
        <v>-490.33109999999999</v>
      </c>
      <c r="H4481" s="1">
        <v>-5.3159029999999999E-7</v>
      </c>
      <c r="I4481">
        <v>230.62289999999999</v>
      </c>
      <c r="J4481">
        <v>-493.37470000000002</v>
      </c>
      <c r="K4481">
        <v>1.1103000000000001</v>
      </c>
      <c r="L4481">
        <v>249.06319999999999</v>
      </c>
      <c r="M4481">
        <v>-1.5705879999999998E-2</v>
      </c>
      <c r="N4481">
        <v>0</v>
      </c>
      <c r="O4481">
        <v>-0.99978849999999997</v>
      </c>
      <c r="P4481">
        <v>-2.4377579999999999E-3</v>
      </c>
      <c r="Q4481">
        <v>-2.404061E-2</v>
      </c>
      <c r="R4481">
        <v>-0.99970800000000004</v>
      </c>
      <c r="S4481">
        <v>0.4920349</v>
      </c>
      <c r="T4481">
        <v>-0.17959890000000001</v>
      </c>
      <c r="U4481">
        <v>-2.9981230000000001</v>
      </c>
      <c r="V4481">
        <v>-1.3269049999999999E-2</v>
      </c>
      <c r="W4481">
        <v>-1.076906E-2</v>
      </c>
      <c r="X4481">
        <v>0.99985400000000002</v>
      </c>
      <c r="Y4481">
        <v>-0.1771462</v>
      </c>
      <c r="Z4481">
        <v>5.8919909999999999E-2</v>
      </c>
      <c r="AA4481">
        <v>0.9824193</v>
      </c>
      <c r="AB4481">
        <v>17</v>
      </c>
      <c r="AC4481">
        <v>3.0436000000000201</v>
      </c>
      <c r="AD4481">
        <v>-1.1103005315903001</v>
      </c>
      <c r="AE4481">
        <v>-18.440300000000001</v>
      </c>
      <c r="AF4481">
        <v>-3.3211502927567902</v>
      </c>
      <c r="AG4481">
        <v>-1.1103005315903001</v>
      </c>
      <c r="AH4481">
        <v>18.3255445219066</v>
      </c>
      <c r="AI4481">
        <v>93.411733425031699</v>
      </c>
      <c r="AJ4481">
        <v>100.272257068768</v>
      </c>
      <c r="AK4481">
        <v>18.657127017896102</v>
      </c>
      <c r="AL4481">
        <v>90.617033595196204</v>
      </c>
      <c r="AM4481">
        <v>90.760326943459404</v>
      </c>
      <c r="AN4481">
        <v>1.0000000308285899</v>
      </c>
    </row>
    <row r="4482" spans="1:40" x14ac:dyDescent="0.25">
      <c r="A4482" t="str">
        <f>"20190312150741903"</f>
        <v>20190312150741903</v>
      </c>
      <c r="B4482" t="str">
        <f>"1552374461894347"</f>
        <v>1552374461894347</v>
      </c>
      <c r="C4482" t="s">
        <v>40</v>
      </c>
      <c r="D4482">
        <v>4.5541580000000002</v>
      </c>
      <c r="E4482">
        <v>0.43537870000000001</v>
      </c>
      <c r="F4482" t="s">
        <v>42</v>
      </c>
      <c r="G4482">
        <v>-490.43779999999998</v>
      </c>
      <c r="H4482" s="1">
        <v>-9.6264160000000003E-7</v>
      </c>
      <c r="I4482">
        <v>231.5615</v>
      </c>
      <c r="J4482">
        <v>-493.37650000000002</v>
      </c>
      <c r="K4482">
        <v>1.1103160000000001</v>
      </c>
      <c r="L4482">
        <v>248.9684</v>
      </c>
      <c r="M4482">
        <v>-1.596904E-2</v>
      </c>
      <c r="N4482">
        <v>0</v>
      </c>
      <c r="O4482">
        <v>-0.99978449999999996</v>
      </c>
      <c r="P4482">
        <v>-1.5247920000000001E-3</v>
      </c>
      <c r="Q4482">
        <v>-2.3705009999999999E-2</v>
      </c>
      <c r="R4482">
        <v>-0.999718</v>
      </c>
      <c r="S4482">
        <v>0.50302119999999995</v>
      </c>
      <c r="T4482">
        <v>-0.190164</v>
      </c>
      <c r="U4482">
        <v>-2.9975589999999999</v>
      </c>
      <c r="V4482">
        <v>-1.44447999999999E-2</v>
      </c>
      <c r="W4482">
        <v>-1.043526E-2</v>
      </c>
      <c r="X4482">
        <v>0.99984119999999999</v>
      </c>
      <c r="Y4482">
        <v>-0.18090319999999999</v>
      </c>
      <c r="Z4482">
        <v>6.234373E-2</v>
      </c>
      <c r="AA4482">
        <v>0.98152300000000003</v>
      </c>
      <c r="AB4482">
        <v>17</v>
      </c>
      <c r="AC4482">
        <v>2.9387000000000398</v>
      </c>
      <c r="AD4482">
        <v>-1.1103169626416001</v>
      </c>
      <c r="AE4482">
        <v>-17.4069</v>
      </c>
      <c r="AF4482">
        <v>-3.2036478149248602</v>
      </c>
      <c r="AG4482">
        <v>-1.1103169626416001</v>
      </c>
      <c r="AH4482">
        <v>17.2893525687576</v>
      </c>
      <c r="AI4482">
        <v>93.613134490939004</v>
      </c>
      <c r="AJ4482">
        <v>100.497615405837</v>
      </c>
      <c r="AK4482">
        <v>17.618679727108098</v>
      </c>
      <c r="AL4482">
        <v>90.597907216275701</v>
      </c>
      <c r="AM4482">
        <v>90.827699941571495</v>
      </c>
      <c r="AN4482">
        <v>0.99999998605787299</v>
      </c>
    </row>
    <row r="4483" spans="1:40" x14ac:dyDescent="0.25">
      <c r="A4483" t="str">
        <f>"20190312150741914"</f>
        <v>20190312150741914</v>
      </c>
      <c r="B4483" t="str">
        <f>"1552374461904106"</f>
        <v>1552374461904106</v>
      </c>
      <c r="C4483" t="s">
        <v>40</v>
      </c>
      <c r="D4483">
        <v>4.6034870000000003</v>
      </c>
      <c r="E4483">
        <v>0.43420760000000003</v>
      </c>
      <c r="F4483" t="s">
        <v>42</v>
      </c>
      <c r="G4483">
        <v>-490.50310000000002</v>
      </c>
      <c r="H4483" s="1">
        <v>-1.228392E-6</v>
      </c>
      <c r="I4483">
        <v>232.1405</v>
      </c>
      <c r="J4483">
        <v>-493.37810000000002</v>
      </c>
      <c r="K4483">
        <v>1.1103289999999999</v>
      </c>
      <c r="L4483">
        <v>248.88669999999999</v>
      </c>
      <c r="M4483">
        <v>-1.6175740000000001E-2</v>
      </c>
      <c r="N4483">
        <v>0</v>
      </c>
      <c r="O4483">
        <v>-0.99978140000000004</v>
      </c>
      <c r="P4483">
        <v>-5.9568860000000002E-4</v>
      </c>
      <c r="Q4483">
        <v>-2.3249490000000001E-2</v>
      </c>
      <c r="R4483">
        <v>-0.9997298</v>
      </c>
      <c r="S4483">
        <v>0.51174929999999996</v>
      </c>
      <c r="T4483">
        <v>-0.1977411</v>
      </c>
      <c r="U4483">
        <v>-2.9969480000000002</v>
      </c>
      <c r="V4483">
        <v>-1.5579549999999999E-2</v>
      </c>
      <c r="W4483">
        <v>-9.9811129999999998E-3</v>
      </c>
      <c r="X4483">
        <v>0.99982879999999996</v>
      </c>
      <c r="Y4483">
        <v>-0.18389079999999999</v>
      </c>
      <c r="Z4483">
        <v>6.4796359999999997E-2</v>
      </c>
      <c r="AA4483">
        <v>0.98080869999999998</v>
      </c>
      <c r="AB4483">
        <v>17</v>
      </c>
      <c r="AC4483">
        <v>2.875</v>
      </c>
      <c r="AD4483">
        <v>-1.110330228392</v>
      </c>
      <c r="AE4483">
        <v>-16.746199999999899</v>
      </c>
      <c r="AF4483">
        <v>-3.1321545560977202</v>
      </c>
      <c r="AG4483">
        <v>-1.110330228392</v>
      </c>
      <c r="AH4483">
        <v>16.626499481980598</v>
      </c>
      <c r="AI4483">
        <v>93.754733056374604</v>
      </c>
      <c r="AJ4483">
        <v>100.66853705251501</v>
      </c>
      <c r="AK4483">
        <v>16.955344597019199</v>
      </c>
      <c r="AL4483">
        <v>90.571885152807994</v>
      </c>
      <c r="AM4483">
        <v>90.892723060255406</v>
      </c>
      <c r="AN4483">
        <v>0.99999998715217997</v>
      </c>
    </row>
    <row r="4484" spans="1:40" x14ac:dyDescent="0.25">
      <c r="A4484" t="str">
        <f>"20190312150741927"</f>
        <v>20190312150741927</v>
      </c>
      <c r="B4484" t="str">
        <f>"1552374461924603"</f>
        <v>1552374461924603</v>
      </c>
      <c r="C4484" t="s">
        <v>40</v>
      </c>
      <c r="D4484">
        <v>4.569229</v>
      </c>
      <c r="E4484">
        <v>0.43328879999999997</v>
      </c>
      <c r="F4484" t="s">
        <v>42</v>
      </c>
      <c r="G4484">
        <v>-490.49520000000001</v>
      </c>
      <c r="H4484" s="1">
        <v>-1.3424369999999901E-6</v>
      </c>
      <c r="I4484">
        <v>232.41120000000001</v>
      </c>
      <c r="J4484">
        <v>-493.37990000000002</v>
      </c>
      <c r="K4484">
        <v>1.1103419999999999</v>
      </c>
      <c r="L4484">
        <v>248.79519999999999</v>
      </c>
      <c r="M4484">
        <v>-1.6400620000000001E-2</v>
      </c>
      <c r="N4484">
        <v>0</v>
      </c>
      <c r="O4484">
        <v>-0.99977780000000005</v>
      </c>
      <c r="P4484">
        <v>1.666882E-4</v>
      </c>
      <c r="Q4484">
        <v>-2.2920220000000002E-2</v>
      </c>
      <c r="R4484">
        <v>-0.9997376</v>
      </c>
      <c r="S4484">
        <v>0.52432250000000002</v>
      </c>
      <c r="T4484">
        <v>-0.20193849999999999</v>
      </c>
      <c r="U4484">
        <v>-2.996445</v>
      </c>
      <c r="V4484">
        <v>-1.6566959999999999E-2</v>
      </c>
      <c r="W4484">
        <v>-9.6534789999999995E-3</v>
      </c>
      <c r="X4484">
        <v>0.99981620000000004</v>
      </c>
      <c r="Y4484">
        <v>-0.18811849999999999</v>
      </c>
      <c r="Z4484">
        <v>6.6126149999999995E-2</v>
      </c>
      <c r="AA4484">
        <v>0.97991779999999995</v>
      </c>
      <c r="AB4484">
        <v>16</v>
      </c>
      <c r="AC4484">
        <v>2.8847</v>
      </c>
      <c r="AD4484">
        <v>-1.1103433424369999</v>
      </c>
      <c r="AE4484">
        <v>-16.383999999999901</v>
      </c>
      <c r="AF4484">
        <v>-3.1390597730147598</v>
      </c>
      <c r="AG4484">
        <v>-1.1103433424369999</v>
      </c>
      <c r="AH4484">
        <v>16.262038858673399</v>
      </c>
      <c r="AI4484">
        <v>93.835408505512703</v>
      </c>
      <c r="AJ4484">
        <v>100.925425557983</v>
      </c>
      <c r="AK4484">
        <v>16.5994116292614</v>
      </c>
      <c r="AL4484">
        <v>90.5531121710397</v>
      </c>
      <c r="AM4484">
        <v>90.949304509901395</v>
      </c>
      <c r="AN4484">
        <v>1.00000004380144</v>
      </c>
    </row>
    <row r="4485" spans="1:40" x14ac:dyDescent="0.25">
      <c r="A4485" t="str">
        <f>"20190312150741939"</f>
        <v>20190312150741939</v>
      </c>
      <c r="B4485" t="str">
        <f>"1552374461934363"</f>
        <v>1552374461934363</v>
      </c>
      <c r="C4485" t="s">
        <v>40</v>
      </c>
      <c r="D4485">
        <v>4.5451540000000001</v>
      </c>
      <c r="E4485">
        <v>0.43276700000000001</v>
      </c>
      <c r="F4485" t="s">
        <v>42</v>
      </c>
      <c r="G4485">
        <v>-490.46199999999999</v>
      </c>
      <c r="H4485" s="1">
        <v>-1.3400909999999901E-6</v>
      </c>
      <c r="I4485">
        <v>232.4263</v>
      </c>
      <c r="J4485">
        <v>-493.38170000000002</v>
      </c>
      <c r="K4485">
        <v>1.1103529999999999</v>
      </c>
      <c r="L4485">
        <v>248.6996</v>
      </c>
      <c r="M4485">
        <v>-1.66162999999999E-2</v>
      </c>
      <c r="N4485">
        <v>0</v>
      </c>
      <c r="O4485">
        <v>-0.99977419999999995</v>
      </c>
      <c r="P4485">
        <v>1.1581059999999999E-3</v>
      </c>
      <c r="Q4485">
        <v>-2.2601779999999998E-2</v>
      </c>
      <c r="R4485">
        <v>-0.99974410000000002</v>
      </c>
      <c r="S4485">
        <v>0.53405760000000002</v>
      </c>
      <c r="T4485">
        <v>-0.2032282</v>
      </c>
      <c r="U4485">
        <v>-2.9960330000000002</v>
      </c>
      <c r="V4485">
        <v>-1.7773170000000001E-2</v>
      </c>
      <c r="W4485">
        <v>-9.3367510000000008E-3</v>
      </c>
      <c r="X4485">
        <v>0.99979850000000003</v>
      </c>
      <c r="Y4485">
        <v>-0.1914353</v>
      </c>
      <c r="Z4485">
        <v>6.6515089999999999E-2</v>
      </c>
      <c r="AA4485">
        <v>0.97924880000000003</v>
      </c>
      <c r="AB4485">
        <v>16</v>
      </c>
      <c r="AC4485">
        <v>2.9197000000000299</v>
      </c>
      <c r="AD4485">
        <v>-1.1103543400910001</v>
      </c>
      <c r="AE4485">
        <v>-16.273299999999999</v>
      </c>
      <c r="AF4485">
        <v>-3.1754003635427002</v>
      </c>
      <c r="AG4485">
        <v>-1.1103543400910001</v>
      </c>
      <c r="AH4485">
        <v>16.149692955397501</v>
      </c>
      <c r="AI4485">
        <v>93.859451436617604</v>
      </c>
      <c r="AJ4485">
        <v>101.123763780655</v>
      </c>
      <c r="AK4485">
        <v>16.4963219168081</v>
      </c>
      <c r="AL4485">
        <v>90.534964172391895</v>
      </c>
      <c r="AM4485">
        <v>91.018425594433495</v>
      </c>
      <c r="AN4485">
        <v>1.00000005054666</v>
      </c>
    </row>
    <row r="4486" spans="1:40" x14ac:dyDescent="0.25">
      <c r="A4486" t="str">
        <f>"20190312150741950"</f>
        <v>20190312150741950</v>
      </c>
      <c r="B4486" t="str">
        <f>"1552374461944123"</f>
        <v>1552374461944123</v>
      </c>
      <c r="C4486" t="s">
        <v>40</v>
      </c>
      <c r="D4486">
        <v>4.5817399999999999</v>
      </c>
      <c r="E4486">
        <v>0.43246820000000002</v>
      </c>
      <c r="F4486" t="s">
        <v>42</v>
      </c>
      <c r="G4486">
        <v>-490.39749999999998</v>
      </c>
      <c r="H4486" s="1">
        <v>-1.2168350000000001E-6</v>
      </c>
      <c r="I4486">
        <v>232.179</v>
      </c>
      <c r="J4486">
        <v>-493.38319999999999</v>
      </c>
      <c r="K4486">
        <v>1.1103620000000001</v>
      </c>
      <c r="L4486">
        <v>248.62</v>
      </c>
      <c r="M4486">
        <v>-1.678638E-2</v>
      </c>
      <c r="N4486">
        <v>0</v>
      </c>
      <c r="O4486">
        <v>-0.99977139999999998</v>
      </c>
      <c r="P4486">
        <v>1.8045590000000001E-3</v>
      </c>
      <c r="Q4486">
        <v>-2.1991589999999998E-2</v>
      </c>
      <c r="R4486">
        <v>-0.99975709999999995</v>
      </c>
      <c r="S4486">
        <v>0.54110719999999901</v>
      </c>
      <c r="T4486">
        <v>-0.20133670000000001</v>
      </c>
      <c r="U4486">
        <v>-2.9956209999999999</v>
      </c>
      <c r="V4486">
        <v>-1.8589930000000001E-2</v>
      </c>
      <c r="W4486">
        <v>-8.7278890000000008E-3</v>
      </c>
      <c r="X4486">
        <v>0.99978909999999999</v>
      </c>
      <c r="Y4486">
        <v>-0.19386500000000001</v>
      </c>
      <c r="Z4486">
        <v>6.5877989999999997E-2</v>
      </c>
      <c r="AA4486">
        <v>0.97881379999999996</v>
      </c>
      <c r="AB4486">
        <v>16</v>
      </c>
      <c r="AC4486">
        <v>2.9857</v>
      </c>
      <c r="AD4486">
        <v>-1.1103632168349999</v>
      </c>
      <c r="AE4486">
        <v>-16.440999999999999</v>
      </c>
      <c r="AF4486">
        <v>-3.2469513223838402</v>
      </c>
      <c r="AG4486">
        <v>-1.1103632168349999</v>
      </c>
      <c r="AH4486">
        <v>16.316513592490502</v>
      </c>
      <c r="AI4486">
        <v>93.818418598285803</v>
      </c>
      <c r="AJ4486">
        <v>101.254711973873</v>
      </c>
      <c r="AK4486">
        <v>16.673458404816898</v>
      </c>
      <c r="AL4486">
        <v>90.500077551378197</v>
      </c>
      <c r="AM4486">
        <v>91.065226463194307</v>
      </c>
      <c r="AN4486">
        <v>1.0000000030113001</v>
      </c>
    </row>
    <row r="4487" spans="1:40" x14ac:dyDescent="0.25">
      <c r="A4487" t="str">
        <f>"20190312150741961"</f>
        <v>20190312150741961</v>
      </c>
      <c r="B4487" t="str">
        <f>"1552374461954859"</f>
        <v>1552374461954859</v>
      </c>
      <c r="C4487" t="s">
        <v>40</v>
      </c>
      <c r="D4487">
        <v>4.5868630000000001</v>
      </c>
      <c r="E4487">
        <v>0.4323457</v>
      </c>
      <c r="F4487" t="s">
        <v>42</v>
      </c>
      <c r="G4487">
        <v>-490.42410000000001</v>
      </c>
      <c r="H4487" s="1">
        <v>-1.3053400000000001E-6</v>
      </c>
      <c r="I4487">
        <v>232.36879999999999</v>
      </c>
      <c r="J4487">
        <v>-493.38479999999998</v>
      </c>
      <c r="K4487">
        <v>1.1103719999999999</v>
      </c>
      <c r="L4487">
        <v>248.5369</v>
      </c>
      <c r="M4487">
        <v>-1.695607E-2</v>
      </c>
      <c r="N4487">
        <v>0</v>
      </c>
      <c r="O4487">
        <v>-0.99976849999999995</v>
      </c>
      <c r="P4487">
        <v>2.406526E-3</v>
      </c>
      <c r="Q4487">
        <v>-2.1545660000000001E-2</v>
      </c>
      <c r="R4487">
        <v>-0.99976540000000003</v>
      </c>
      <c r="S4487">
        <v>0.54537959999999996</v>
      </c>
      <c r="T4487">
        <v>-0.20464930000000001</v>
      </c>
      <c r="U4487">
        <v>-2.9952239999999999</v>
      </c>
      <c r="V4487">
        <v>-1.9361349999999999E-2</v>
      </c>
      <c r="W4487">
        <v>-8.2833539999999997E-3</v>
      </c>
      <c r="X4487">
        <v>0.99977819999999995</v>
      </c>
      <c r="Y4487">
        <v>-0.19539290000000001</v>
      </c>
      <c r="Z4487">
        <v>6.6946699999999998E-2</v>
      </c>
      <c r="AA4487">
        <v>0.97843740000000001</v>
      </c>
      <c r="AB4487">
        <v>16</v>
      </c>
      <c r="AC4487">
        <v>2.9606999999999699</v>
      </c>
      <c r="AD4487">
        <v>-1.11037330534</v>
      </c>
      <c r="AE4487">
        <v>-16.168099999999999</v>
      </c>
      <c r="AF4487">
        <v>-3.2197525055368601</v>
      </c>
      <c r="AG4487">
        <v>-1.11037330534</v>
      </c>
      <c r="AH4487">
        <v>16.042360030563099</v>
      </c>
      <c r="AI4487">
        <v>93.882241485696895</v>
      </c>
      <c r="AJ4487">
        <v>101.34866631563899</v>
      </c>
      <c r="AK4487">
        <v>16.399910073666</v>
      </c>
      <c r="AL4487">
        <v>90.474606669750898</v>
      </c>
      <c r="AM4487">
        <v>91.109431067793096</v>
      </c>
      <c r="AN4487">
        <v>0.99999996251127499</v>
      </c>
    </row>
    <row r="4488" spans="1:40" x14ac:dyDescent="0.25">
      <c r="A4488" t="str">
        <f>"20190312150741972"</f>
        <v>20190312150741972</v>
      </c>
      <c r="B4488" t="str">
        <f>"1552374461964619"</f>
        <v>1552374461964619</v>
      </c>
      <c r="C4488" t="s">
        <v>40</v>
      </c>
      <c r="D4488">
        <v>4.5632129999999904</v>
      </c>
      <c r="E4488">
        <v>0.43216709999999903</v>
      </c>
      <c r="F4488" t="s">
        <v>42</v>
      </c>
      <c r="G4488">
        <v>-490.46640000000002</v>
      </c>
      <c r="H4488" s="1">
        <v>-1.415368E-6</v>
      </c>
      <c r="I4488">
        <v>232.59909999999999</v>
      </c>
      <c r="J4488">
        <v>-493.38639999999998</v>
      </c>
      <c r="K4488">
        <v>1.110379</v>
      </c>
      <c r="L4488">
        <v>248.45660000000001</v>
      </c>
      <c r="M4488">
        <v>-1.7108310000000002E-2</v>
      </c>
      <c r="N4488">
        <v>0</v>
      </c>
      <c r="O4488">
        <v>-0.99976589999999999</v>
      </c>
      <c r="P4488">
        <v>2.8135149999999999E-3</v>
      </c>
      <c r="Q4488">
        <v>-2.1316829999999998E-2</v>
      </c>
      <c r="R4488">
        <v>-0.99976909999999997</v>
      </c>
      <c r="S4488">
        <v>0.54840089999999997</v>
      </c>
      <c r="T4488">
        <v>-0.2086499</v>
      </c>
      <c r="U4488">
        <v>-2.9948579999999998</v>
      </c>
      <c r="V4488">
        <v>-1.9920589999999998E-2</v>
      </c>
      <c r="W4488">
        <v>-8.0559029999999997E-3</v>
      </c>
      <c r="X4488">
        <v>0.99976909999999997</v>
      </c>
      <c r="Y4488">
        <v>-0.1965026</v>
      </c>
      <c r="Z4488">
        <v>6.8243380000000006E-2</v>
      </c>
      <c r="AA4488">
        <v>0.97812560000000004</v>
      </c>
      <c r="AB4488">
        <v>16</v>
      </c>
      <c r="AC4488">
        <v>2.9199999999999502</v>
      </c>
      <c r="AD4488">
        <v>-1.1103804153679999</v>
      </c>
      <c r="AE4488">
        <v>-15.8575</v>
      </c>
      <c r="AF4488">
        <v>-3.1758305288036301</v>
      </c>
      <c r="AG4488">
        <v>-1.1103804153679999</v>
      </c>
      <c r="AH4488">
        <v>15.7306181768712</v>
      </c>
      <c r="AI4488">
        <v>93.958056053663697</v>
      </c>
      <c r="AJ4488">
        <v>101.41393468480101</v>
      </c>
      <c r="AK4488">
        <v>16.086366663762899</v>
      </c>
      <c r="AL4488">
        <v>90.461574239099093</v>
      </c>
      <c r="AM4488">
        <v>91.141478289954094</v>
      </c>
      <c r="AN4488">
        <v>0.99999999039695098</v>
      </c>
    </row>
    <row r="4489" spans="1:40" x14ac:dyDescent="0.25">
      <c r="A4489" t="str">
        <f>"20190312150741984"</f>
        <v>20190312150741984</v>
      </c>
      <c r="B4489" t="str">
        <f>"1552374461974378"</f>
        <v>1552374461974378</v>
      </c>
      <c r="C4489" t="s">
        <v>40</v>
      </c>
      <c r="D4489">
        <v>4.5615790000000001</v>
      </c>
      <c r="E4489">
        <v>0.43187520000000001</v>
      </c>
      <c r="F4489" t="s">
        <v>42</v>
      </c>
      <c r="G4489">
        <v>-490.44889999999998</v>
      </c>
      <c r="H4489" s="1">
        <v>-1.364177E-6</v>
      </c>
      <c r="I4489">
        <v>232.4906</v>
      </c>
      <c r="J4489">
        <v>-493.3879</v>
      </c>
      <c r="K4489">
        <v>1.1103829999999999</v>
      </c>
      <c r="L4489">
        <v>248.3749</v>
      </c>
      <c r="M4489">
        <v>-1.7259699999999999E-2</v>
      </c>
      <c r="N4489">
        <v>0</v>
      </c>
      <c r="O4489">
        <v>-0.99976330000000002</v>
      </c>
      <c r="P4489">
        <v>3.521649E-3</v>
      </c>
      <c r="Q4489">
        <v>-2.0885279999999999E-2</v>
      </c>
      <c r="R4489">
        <v>-0.99977579999999999</v>
      </c>
      <c r="S4489">
        <v>0.55096440000000002</v>
      </c>
      <c r="T4489">
        <v>-0.20827090000000001</v>
      </c>
      <c r="U4489">
        <v>-2.9947050000000002</v>
      </c>
      <c r="V4489">
        <v>-2.0779720000000002E-2</v>
      </c>
      <c r="W4489">
        <v>-7.6257529999999999E-3</v>
      </c>
      <c r="X4489">
        <v>0.99975499999999995</v>
      </c>
      <c r="Y4489">
        <v>-0.19747139999999999</v>
      </c>
      <c r="Z4489">
        <v>6.8111260000000007E-2</v>
      </c>
      <c r="AA4489">
        <v>0.97793960000000002</v>
      </c>
      <c r="AB4489">
        <v>16</v>
      </c>
      <c r="AC4489">
        <v>2.93900000000002</v>
      </c>
      <c r="AD4489">
        <v>-1.1103843641769999</v>
      </c>
      <c r="AE4489">
        <v>-15.8842999999999</v>
      </c>
      <c r="AF4489">
        <v>-3.1976359644872101</v>
      </c>
      <c r="AG4489">
        <v>-1.1103843641769999</v>
      </c>
      <c r="AH4489">
        <v>15.756753856780101</v>
      </c>
      <c r="AI4489">
        <v>93.950722281851597</v>
      </c>
      <c r="AJ4489">
        <v>101.471672759398</v>
      </c>
      <c r="AK4489">
        <v>16.116237814724201</v>
      </c>
      <c r="AL4489">
        <v>90.436927695346398</v>
      </c>
      <c r="AM4489">
        <v>91.1907105756422</v>
      </c>
      <c r="AN4489">
        <v>1.00000000444854</v>
      </c>
    </row>
    <row r="4490" spans="1:40" x14ac:dyDescent="0.25">
      <c r="A4490" t="str">
        <f>"20190312150741996"</f>
        <v>20190312150741996</v>
      </c>
      <c r="B4490" t="str">
        <f>"1552374461993898"</f>
        <v>1552374461993898</v>
      </c>
      <c r="C4490" t="s">
        <v>40</v>
      </c>
      <c r="D4490">
        <v>4.556616</v>
      </c>
      <c r="E4490">
        <v>0.43148789999999998</v>
      </c>
      <c r="F4490" t="s">
        <v>42</v>
      </c>
      <c r="G4490">
        <v>-490.47039999999998</v>
      </c>
      <c r="H4490" s="1">
        <v>-1.43687E-6</v>
      </c>
      <c r="I4490">
        <v>232.64670000000001</v>
      </c>
      <c r="J4490">
        <v>-493.38959999999997</v>
      </c>
      <c r="K4490">
        <v>1.11039</v>
      </c>
      <c r="L4490">
        <v>248.2833</v>
      </c>
      <c r="M4490">
        <v>-1.7413700000000001E-2</v>
      </c>
      <c r="N4490">
        <v>0</v>
      </c>
      <c r="O4490">
        <v>-0.9997606</v>
      </c>
      <c r="P4490">
        <v>4.0177210000000001E-3</v>
      </c>
      <c r="Q4490">
        <v>-2.078443E-2</v>
      </c>
      <c r="R4490">
        <v>-0.9997762</v>
      </c>
      <c r="S4490">
        <v>0.55541989999999997</v>
      </c>
      <c r="T4490">
        <v>-0.21139330000000001</v>
      </c>
      <c r="U4490">
        <v>-2.9943080000000002</v>
      </c>
      <c r="V4490">
        <v>-2.1429980000000001E-2</v>
      </c>
      <c r="W4490">
        <v>-7.526474E-3</v>
      </c>
      <c r="X4490">
        <v>0.99974200000000002</v>
      </c>
      <c r="Y4490">
        <v>-0.19903970000000001</v>
      </c>
      <c r="Z4490">
        <v>6.911581E-2</v>
      </c>
      <c r="AA4490">
        <v>0.97755110000000001</v>
      </c>
      <c r="AB4490">
        <v>16</v>
      </c>
      <c r="AC4490">
        <v>2.91919999999998</v>
      </c>
      <c r="AD4490">
        <v>-1.1103914368700001</v>
      </c>
      <c r="AE4490">
        <v>-15.6365999999999</v>
      </c>
      <c r="AF4490">
        <v>-3.1755978261663</v>
      </c>
      <c r="AG4490">
        <v>-1.1103914368700001</v>
      </c>
      <c r="AH4490">
        <v>15.507821781939199</v>
      </c>
      <c r="AI4490">
        <v>94.012521439918402</v>
      </c>
      <c r="AJ4490">
        <v>101.572695964983</v>
      </c>
      <c r="AK4490">
        <v>15.8685200039895</v>
      </c>
      <c r="AL4490">
        <v>90.431239275306496</v>
      </c>
      <c r="AM4490">
        <v>91.227976221181905</v>
      </c>
      <c r="AN4490">
        <v>0.99999997920883599</v>
      </c>
    </row>
    <row r="4491" spans="1:40" x14ac:dyDescent="0.25">
      <c r="A4491" t="str">
        <f>"20190312150742013"</f>
        <v>20190312150742013</v>
      </c>
      <c r="B4491" t="str">
        <f>"1552374462004634"</f>
        <v>1552374462004634</v>
      </c>
      <c r="C4491" t="s">
        <v>40</v>
      </c>
      <c r="D4491">
        <v>4.5215430000000003</v>
      </c>
      <c r="E4491">
        <v>0.4313128</v>
      </c>
      <c r="F4491" t="s">
        <v>42</v>
      </c>
      <c r="G4491">
        <v>-490.50330000000002</v>
      </c>
      <c r="H4491" s="1">
        <v>-1.5382919999999999E-6</v>
      </c>
      <c r="I4491">
        <v>232.86269999999999</v>
      </c>
      <c r="J4491">
        <v>-493.392</v>
      </c>
      <c r="K4491">
        <v>1.1103959999999999</v>
      </c>
      <c r="L4491">
        <v>248.1628</v>
      </c>
      <c r="M4491">
        <v>-1.760517E-2</v>
      </c>
      <c r="N4491">
        <v>0</v>
      </c>
      <c r="O4491">
        <v>-0.99975729999999996</v>
      </c>
      <c r="P4491">
        <v>5.2170810000000001E-3</v>
      </c>
      <c r="Q4491">
        <v>-2.07607E-2</v>
      </c>
      <c r="R4491">
        <v>-0.99977119999999997</v>
      </c>
      <c r="S4491">
        <v>0.56039430000000001</v>
      </c>
      <c r="T4491">
        <v>-0.2155861</v>
      </c>
      <c r="U4491">
        <v>-2.9939420000000001</v>
      </c>
      <c r="V4491">
        <v>-2.282006E-2</v>
      </c>
      <c r="W4491">
        <v>-7.5048809999999997E-3</v>
      </c>
      <c r="X4491">
        <v>0.99971140000000003</v>
      </c>
      <c r="Y4491">
        <v>-0.2008007</v>
      </c>
      <c r="Z4491">
        <v>7.0464449999999998E-2</v>
      </c>
      <c r="AA4491">
        <v>0.97709460000000004</v>
      </c>
      <c r="AB4491">
        <v>16</v>
      </c>
      <c r="AC4491">
        <v>2.8886999999999698</v>
      </c>
      <c r="AD4491">
        <v>-1.1103975382919999</v>
      </c>
      <c r="AE4491">
        <v>-15.3001</v>
      </c>
      <c r="AF4491">
        <v>-3.1416589471600802</v>
      </c>
      <c r="AG4491">
        <v>-1.1103975382919999</v>
      </c>
      <c r="AH4491">
        <v>15.169718079874499</v>
      </c>
      <c r="AI4491">
        <v>94.099794789657807</v>
      </c>
      <c r="AJ4491">
        <v>101.700584376138</v>
      </c>
      <c r="AK4491">
        <v>15.5313666577087</v>
      </c>
      <c r="AL4491">
        <v>90.430002051871995</v>
      </c>
      <c r="AM4491">
        <v>91.307643490803599</v>
      </c>
      <c r="AN4491">
        <v>0.99999998083359298</v>
      </c>
    </row>
    <row r="4492" spans="1:40" x14ac:dyDescent="0.25">
      <c r="A4492" t="str">
        <f>"20190312150742023"</f>
        <v>20190312150742023</v>
      </c>
      <c r="B4492" t="str">
        <f>"1552374462014395"</f>
        <v>1552374462014395</v>
      </c>
      <c r="C4492" t="s">
        <v>40</v>
      </c>
      <c r="D4492">
        <v>4.7913739999999896</v>
      </c>
      <c r="E4492">
        <v>0.43133359999999898</v>
      </c>
      <c r="F4492" t="s">
        <v>42</v>
      </c>
      <c r="G4492">
        <v>-490.48899999999998</v>
      </c>
      <c r="H4492" s="1">
        <v>-1.5080019999999899E-6</v>
      </c>
      <c r="I4492">
        <v>232.80099999999999</v>
      </c>
      <c r="J4492">
        <v>-493.39359999999999</v>
      </c>
      <c r="K4492">
        <v>1.110401</v>
      </c>
      <c r="L4492">
        <v>248.0813</v>
      </c>
      <c r="M4492">
        <v>-1.7728310000000001E-2</v>
      </c>
      <c r="N4492">
        <v>0</v>
      </c>
      <c r="O4492">
        <v>-0.99975510000000001</v>
      </c>
      <c r="P4492">
        <v>5.8069050000000002E-3</v>
      </c>
      <c r="Q4492">
        <v>-2.065991E-2</v>
      </c>
      <c r="R4492">
        <v>-0.99976989999999999</v>
      </c>
      <c r="S4492">
        <v>0.56564329999999996</v>
      </c>
      <c r="T4492">
        <v>-0.21636</v>
      </c>
      <c r="U4492">
        <v>-2.9932400000000001</v>
      </c>
      <c r="V4492">
        <v>-2.353274E-2</v>
      </c>
      <c r="W4492">
        <v>-7.4054840000000004E-3</v>
      </c>
      <c r="X4492">
        <v>0.99969569999999996</v>
      </c>
      <c r="Y4492">
        <v>-0.20261419999999999</v>
      </c>
      <c r="Z4492">
        <v>7.0707450000000005E-2</v>
      </c>
      <c r="AA4492">
        <v>0.97670259999999998</v>
      </c>
      <c r="AB4492">
        <v>16</v>
      </c>
      <c r="AC4492">
        <v>2.9045999999999501</v>
      </c>
      <c r="AD4492">
        <v>-1.1104025080019999</v>
      </c>
      <c r="AE4492">
        <v>-15.2803</v>
      </c>
      <c r="AF4492">
        <v>-3.1589611047211501</v>
      </c>
      <c r="AG4492">
        <v>-1.1104025080019999</v>
      </c>
      <c r="AH4492">
        <v>15.1491904567881</v>
      </c>
      <c r="AI4492">
        <v>94.104190056160604</v>
      </c>
      <c r="AJ4492">
        <v>101.778727020121</v>
      </c>
      <c r="AK4492">
        <v>15.514831629346</v>
      </c>
      <c r="AL4492">
        <v>90.424306830529005</v>
      </c>
      <c r="AM4492">
        <v>91.348488061973498</v>
      </c>
      <c r="AN4492">
        <v>1.0000000618218301</v>
      </c>
    </row>
    <row r="4493" spans="1:40" x14ac:dyDescent="0.25">
      <c r="A4493" t="str">
        <f>"20190312150742034"</f>
        <v>20190312150742034</v>
      </c>
      <c r="B4493" t="str">
        <f>"1552374462024155"</f>
        <v>1552374462024155</v>
      </c>
      <c r="C4493" t="s">
        <v>40</v>
      </c>
      <c r="D4493">
        <v>4.5569350000000002</v>
      </c>
      <c r="E4493">
        <v>0.43135299999999999</v>
      </c>
      <c r="F4493" t="s">
        <v>42</v>
      </c>
      <c r="G4493">
        <v>-490.48680000000002</v>
      </c>
      <c r="H4493" s="1">
        <v>-1.4773349999999999E-6</v>
      </c>
      <c r="I4493">
        <v>232.73089999999999</v>
      </c>
      <c r="J4493">
        <v>-493.39499999999998</v>
      </c>
      <c r="K4493">
        <v>1.1104050000000001</v>
      </c>
      <c r="L4493">
        <v>248.0051</v>
      </c>
      <c r="M4493">
        <v>-1.78332E-2</v>
      </c>
      <c r="N4493">
        <v>0</v>
      </c>
      <c r="O4493">
        <v>-0.99975320000000001</v>
      </c>
      <c r="P4493">
        <v>6.1156550000000002E-3</v>
      </c>
      <c r="Q4493">
        <v>-2.0894929999999999E-2</v>
      </c>
      <c r="R4493">
        <v>-0.99976330000000002</v>
      </c>
      <c r="S4493">
        <v>0.56674190000000002</v>
      </c>
      <c r="T4493">
        <v>-0.21649869999999999</v>
      </c>
      <c r="U4493">
        <v>-2.9929199999999998</v>
      </c>
      <c r="V4493">
        <v>-2.3946459999999999E-2</v>
      </c>
      <c r="W4493">
        <v>-7.6417859999999898E-3</v>
      </c>
      <c r="X4493">
        <v>0.99968400000000002</v>
      </c>
      <c r="Y4493">
        <v>-0.2030815</v>
      </c>
      <c r="Z4493">
        <v>7.0753910000000003E-2</v>
      </c>
      <c r="AA4493">
        <v>0.97660219999999998</v>
      </c>
      <c r="AB4493">
        <v>16</v>
      </c>
      <c r="AC4493">
        <v>2.9081999999999599</v>
      </c>
      <c r="AD4493">
        <v>-1.110406477335</v>
      </c>
      <c r="AE4493">
        <v>-15.2742</v>
      </c>
      <c r="AF4493">
        <v>-3.1640123260647899</v>
      </c>
      <c r="AG4493">
        <v>-1.110406477335</v>
      </c>
      <c r="AH4493">
        <v>15.1426738640482</v>
      </c>
      <c r="AI4493">
        <v>94.105618414017897</v>
      </c>
      <c r="AJ4493">
        <v>101.801968406268</v>
      </c>
      <c r="AK4493">
        <v>15.5094986475168</v>
      </c>
      <c r="AL4493">
        <v>90.437846362681896</v>
      </c>
      <c r="AM4493">
        <v>91.372202376770403</v>
      </c>
      <c r="AN4493">
        <v>0.99999996484789999</v>
      </c>
    </row>
    <row r="4494" spans="1:40" x14ac:dyDescent="0.25">
      <c r="A4494" t="str">
        <f>"20190312150742045"</f>
        <v>20190312150742045</v>
      </c>
      <c r="B4494" t="str">
        <f>"1552374462033915"</f>
        <v>1552374462033915</v>
      </c>
      <c r="C4494" t="s">
        <v>40</v>
      </c>
      <c r="D4494">
        <v>4.5862319999999999</v>
      </c>
      <c r="E4494">
        <v>0.43136330000000001</v>
      </c>
      <c r="F4494" t="s">
        <v>42</v>
      </c>
      <c r="G4494">
        <v>-490.4973</v>
      </c>
      <c r="H4494" s="1">
        <v>-1.4715109999999999E-6</v>
      </c>
      <c r="I4494">
        <v>232.71080000000001</v>
      </c>
      <c r="J4494">
        <v>-493.3965</v>
      </c>
      <c r="K4494">
        <v>1.110409</v>
      </c>
      <c r="L4494">
        <v>247.9254</v>
      </c>
      <c r="M4494">
        <v>-1.7941619999999998E-2</v>
      </c>
      <c r="N4494">
        <v>0</v>
      </c>
      <c r="O4494">
        <v>-0.99975130000000001</v>
      </c>
      <c r="P4494">
        <v>6.6380379999999998E-3</v>
      </c>
      <c r="Q4494">
        <v>-2.0756130000000001E-2</v>
      </c>
      <c r="R4494">
        <v>-0.99976279999999995</v>
      </c>
      <c r="S4494">
        <v>0.56701659999999998</v>
      </c>
      <c r="T4494">
        <v>-0.2172772</v>
      </c>
      <c r="U4494">
        <v>-2.9926910000000002</v>
      </c>
      <c r="V4494">
        <v>-2.457666E-2</v>
      </c>
      <c r="W4494">
        <v>-7.5042919999999897E-3</v>
      </c>
      <c r="X4494">
        <v>0.99966980000000005</v>
      </c>
      <c r="Y4494">
        <v>-0.2032844</v>
      </c>
      <c r="Z4494">
        <v>7.1010009999999998E-2</v>
      </c>
      <c r="AA4494">
        <v>0.97654129999999995</v>
      </c>
      <c r="AB4494">
        <v>16</v>
      </c>
      <c r="AC4494">
        <v>2.8992</v>
      </c>
      <c r="AD4494">
        <v>-1.1104104715109999</v>
      </c>
      <c r="AE4494">
        <v>-15.2145999999999</v>
      </c>
      <c r="AF4494">
        <v>-3.1555127015025399</v>
      </c>
      <c r="AG4494">
        <v>-1.1104104715109999</v>
      </c>
      <c r="AH4494">
        <v>15.0826063337463</v>
      </c>
      <c r="AI4494">
        <v>94.121706830543403</v>
      </c>
      <c r="AJ4494">
        <v>101.816713844796</v>
      </c>
      <c r="AK4494">
        <v>15.449119251379599</v>
      </c>
      <c r="AL4494">
        <v>90.429968287802097</v>
      </c>
      <c r="AM4494">
        <v>91.408320324382203</v>
      </c>
      <c r="AN4494">
        <v>1.0000000178235999</v>
      </c>
    </row>
    <row r="4495" spans="1:40" x14ac:dyDescent="0.25">
      <c r="A4495" t="str">
        <f>"20190312150742056"</f>
        <v>20190312150742056</v>
      </c>
      <c r="B4495" t="str">
        <f>"1552374462044651"</f>
        <v>1552374462044651</v>
      </c>
      <c r="C4495" t="s">
        <v>40</v>
      </c>
      <c r="D4495">
        <v>4.5527600000000001</v>
      </c>
      <c r="E4495">
        <v>0.43143569999999998</v>
      </c>
      <c r="F4495" t="s">
        <v>42</v>
      </c>
      <c r="G4495">
        <v>-490.49209999999999</v>
      </c>
      <c r="H4495" s="1">
        <v>-1.443252E-6</v>
      </c>
      <c r="I4495">
        <v>232.6481</v>
      </c>
      <c r="J4495">
        <v>-493.3981</v>
      </c>
      <c r="K4495">
        <v>1.1104130000000001</v>
      </c>
      <c r="L4495">
        <v>247.8441</v>
      </c>
      <c r="M4495">
        <v>-1.8041959999999999E-2</v>
      </c>
      <c r="N4495">
        <v>0</v>
      </c>
      <c r="O4495">
        <v>-0.99974940000000001</v>
      </c>
      <c r="P4495">
        <v>7.0305640000000004E-3</v>
      </c>
      <c r="Q4495">
        <v>-2.070545E-2</v>
      </c>
      <c r="R4495">
        <v>-0.99976109999999896</v>
      </c>
      <c r="S4495">
        <v>0.56890869999999905</v>
      </c>
      <c r="T4495">
        <v>-0.21750120000000001</v>
      </c>
      <c r="U4495">
        <v>-2.992416</v>
      </c>
      <c r="V4495">
        <v>-2.5069560000000001E-2</v>
      </c>
      <c r="W4495">
        <v>-7.4549009999999999E-3</v>
      </c>
      <c r="X4495">
        <v>0.99965789999999999</v>
      </c>
      <c r="Y4495">
        <v>-0.20399410000000001</v>
      </c>
      <c r="Z4495">
        <v>7.1079580000000003E-2</v>
      </c>
      <c r="AA4495">
        <v>0.97638829999999999</v>
      </c>
      <c r="AB4495">
        <v>16</v>
      </c>
      <c r="AC4495">
        <v>2.9060000000000001</v>
      </c>
      <c r="AD4495">
        <v>-1.11041444325199</v>
      </c>
      <c r="AE4495">
        <v>-15.1959999999999</v>
      </c>
      <c r="AF4495">
        <v>-3.1634210351336001</v>
      </c>
      <c r="AG4495">
        <v>-1.11041444325199</v>
      </c>
      <c r="AH4495">
        <v>15.063495730958699</v>
      </c>
      <c r="AI4495">
        <v>94.126279905942098</v>
      </c>
      <c r="AJ4495">
        <v>101.86009580930499</v>
      </c>
      <c r="AK4495">
        <v>15.4320820538876</v>
      </c>
      <c r="AL4495">
        <v>90.427138325707503</v>
      </c>
      <c r="AM4495">
        <v>91.436570427188698</v>
      </c>
      <c r="AN4495">
        <v>0.99999998770996101</v>
      </c>
    </row>
    <row r="4496" spans="1:40" x14ac:dyDescent="0.25">
      <c r="A4496" t="str">
        <f>"20190312150742069"</f>
        <v>20190312150742069</v>
      </c>
      <c r="B4496" t="str">
        <f>"1552374462064170"</f>
        <v>1552374462064170</v>
      </c>
      <c r="C4496" t="s">
        <v>40</v>
      </c>
      <c r="D4496">
        <v>4.5454299999999996</v>
      </c>
      <c r="E4496">
        <v>0.43125649999999999</v>
      </c>
      <c r="F4496" t="s">
        <v>42</v>
      </c>
      <c r="G4496">
        <v>-490.49470000000002</v>
      </c>
      <c r="H4496" s="1">
        <v>-1.4143609999999999E-6</v>
      </c>
      <c r="I4496">
        <v>232.57919999999999</v>
      </c>
      <c r="J4496">
        <v>-493.39980000000003</v>
      </c>
      <c r="K4496">
        <v>1.110417</v>
      </c>
      <c r="L4496">
        <v>247.75909999999999</v>
      </c>
      <c r="M4496">
        <v>-1.8143340000000001E-2</v>
      </c>
      <c r="N4496">
        <v>0</v>
      </c>
      <c r="O4496">
        <v>-0.99974779999999996</v>
      </c>
      <c r="P4496">
        <v>7.3417880000000001E-3</v>
      </c>
      <c r="Q4496">
        <v>-2.072098E-2</v>
      </c>
      <c r="R4496">
        <v>-0.99975879999999995</v>
      </c>
      <c r="S4496">
        <v>0.56912229999999997</v>
      </c>
      <c r="T4496">
        <v>-0.2176611</v>
      </c>
      <c r="U4496">
        <v>-2.9921880000000001</v>
      </c>
      <c r="V4496">
        <v>-2.5481879999999998E-2</v>
      </c>
      <c r="W4496">
        <v>-7.47176099999999E-3</v>
      </c>
      <c r="X4496">
        <v>0.99964739999999996</v>
      </c>
      <c r="Y4496">
        <v>-0.20417360000000001</v>
      </c>
      <c r="Z4496">
        <v>7.1134890000000006E-2</v>
      </c>
      <c r="AA4496">
        <v>0.97634670000000001</v>
      </c>
      <c r="AB4496">
        <v>16</v>
      </c>
      <c r="AC4496">
        <v>2.9051</v>
      </c>
      <c r="AD4496">
        <v>-1.1104184143610001</v>
      </c>
      <c r="AE4496">
        <v>-15.1799</v>
      </c>
      <c r="AF4496">
        <v>-3.16372893321839</v>
      </c>
      <c r="AG4496">
        <v>-1.1104184143610001</v>
      </c>
      <c r="AH4496">
        <v>15.0470161515029</v>
      </c>
      <c r="AI4496">
        <v>94.130590634566701</v>
      </c>
      <c r="AJ4496">
        <v>101.87383937379199</v>
      </c>
      <c r="AK4496">
        <v>15.4160599661984</v>
      </c>
      <c r="AL4496">
        <v>90.428104337563198</v>
      </c>
      <c r="AM4496">
        <v>91.460202939555302</v>
      </c>
      <c r="AN4496">
        <v>1.00000003887376</v>
      </c>
    </row>
    <row r="4497" spans="1:40" x14ac:dyDescent="0.25">
      <c r="A4497" t="str">
        <f>"20190312150742078"</f>
        <v>20190312150742078</v>
      </c>
      <c r="B4497" t="str">
        <f>"1552374462073931"</f>
        <v>1552374462073931</v>
      </c>
      <c r="C4497" t="s">
        <v>40</v>
      </c>
      <c r="D4497">
        <v>4.5568689999999998</v>
      </c>
      <c r="E4497">
        <v>0.43115320000000001</v>
      </c>
      <c r="F4497" t="s">
        <v>42</v>
      </c>
      <c r="G4497">
        <v>-490.5256</v>
      </c>
      <c r="H4497" s="1">
        <v>-1.4823059999999999E-6</v>
      </c>
      <c r="I4497">
        <v>232.7184</v>
      </c>
      <c r="J4497">
        <v>-493.40140000000002</v>
      </c>
      <c r="K4497">
        <v>1.11042</v>
      </c>
      <c r="L4497">
        <v>247.67859999999999</v>
      </c>
      <c r="M4497">
        <v>-1.8232290000000002E-2</v>
      </c>
      <c r="N4497">
        <v>0</v>
      </c>
      <c r="O4497">
        <v>-0.99974609999999997</v>
      </c>
      <c r="P4497">
        <v>7.7769419999999898E-3</v>
      </c>
      <c r="Q4497">
        <v>-2.038589E-2</v>
      </c>
      <c r="R4497">
        <v>-0.99976200000000004</v>
      </c>
      <c r="S4497">
        <v>0.5717468</v>
      </c>
      <c r="T4497">
        <v>-0.22088849999999999</v>
      </c>
      <c r="U4497">
        <v>-2.991943</v>
      </c>
      <c r="V4497">
        <v>-2.6005799999999999E-2</v>
      </c>
      <c r="W4497">
        <v>-7.1378539999999999E-3</v>
      </c>
      <c r="X4497">
        <v>0.99963630000000003</v>
      </c>
      <c r="Y4497">
        <v>-0.20508750000000001</v>
      </c>
      <c r="Z4497">
        <v>7.2176820000000003E-2</v>
      </c>
      <c r="AA4497">
        <v>0.97607869999999997</v>
      </c>
      <c r="AB4497">
        <v>16</v>
      </c>
      <c r="AC4497">
        <v>2.8758000000000199</v>
      </c>
      <c r="AD4497">
        <v>-1.1104214823059999</v>
      </c>
      <c r="AE4497">
        <v>-14.960199999999899</v>
      </c>
      <c r="AF4497">
        <v>-3.1314669417143</v>
      </c>
      <c r="AG4497">
        <v>-1.1104214823059999</v>
      </c>
      <c r="AH4497">
        <v>14.826502213634299</v>
      </c>
      <c r="AI4497">
        <v>94.1910173451177</v>
      </c>
      <c r="AJ4497">
        <v>101.92601984099301</v>
      </c>
      <c r="AK4497">
        <v>15.1942189324203</v>
      </c>
      <c r="AL4497">
        <v>90.408972385319601</v>
      </c>
      <c r="AM4497">
        <v>91.490228569389799</v>
      </c>
      <c r="AN4497">
        <v>0.99999999143552698</v>
      </c>
    </row>
    <row r="4498" spans="1:40" x14ac:dyDescent="0.25">
      <c r="A4498" t="str">
        <f>"20190312150742091"</f>
        <v>20190312150742091</v>
      </c>
      <c r="B4498" t="str">
        <f>"1552374462084666"</f>
        <v>1552374462084666</v>
      </c>
      <c r="C4498" t="s">
        <v>40</v>
      </c>
      <c r="D4498">
        <v>4.5779310000000004</v>
      </c>
      <c r="E4498">
        <v>0.4310871</v>
      </c>
      <c r="F4498" t="s">
        <v>42</v>
      </c>
      <c r="G4498">
        <v>-490.54649999999998</v>
      </c>
      <c r="H4498" s="1">
        <v>-1.5206059999999901E-6</v>
      </c>
      <c r="I4498">
        <v>232.79470000000001</v>
      </c>
      <c r="J4498">
        <v>-493.40309999999999</v>
      </c>
      <c r="K4498">
        <v>1.1104179999999999</v>
      </c>
      <c r="L4498">
        <v>247.5899</v>
      </c>
      <c r="M4498">
        <v>-1.8324159999999999E-2</v>
      </c>
      <c r="N4498">
        <v>0</v>
      </c>
      <c r="O4498">
        <v>-0.99974439999999998</v>
      </c>
      <c r="P4498">
        <v>7.9210730000000007E-3</v>
      </c>
      <c r="Q4498">
        <v>-2.0107610000000001E-2</v>
      </c>
      <c r="R4498">
        <v>-0.99976679999999996</v>
      </c>
      <c r="S4498">
        <v>0.57382200000000005</v>
      </c>
      <c r="T4498">
        <v>-0.22319530000000001</v>
      </c>
      <c r="U4498">
        <v>-2.9916689999999999</v>
      </c>
      <c r="V4498">
        <v>-2.6241790000000001E-2</v>
      </c>
      <c r="W4498">
        <v>-6.8607969999999897E-3</v>
      </c>
      <c r="X4498">
        <v>0.99963210000000002</v>
      </c>
      <c r="Y4498">
        <v>-0.20583679999999999</v>
      </c>
      <c r="Z4498">
        <v>7.2922349999999997E-2</v>
      </c>
      <c r="AA4498">
        <v>0.97586550000000005</v>
      </c>
      <c r="AB4498">
        <v>16</v>
      </c>
      <c r="AC4498">
        <v>2.85660000000001</v>
      </c>
      <c r="AD4498">
        <v>-1.1104195206059999</v>
      </c>
      <c r="AE4498">
        <v>-14.7951999999999</v>
      </c>
      <c r="AF4498">
        <v>-3.1103629516537801</v>
      </c>
      <c r="AG4498">
        <v>-1.1104195206059999</v>
      </c>
      <c r="AH4498">
        <v>14.660751318682999</v>
      </c>
      <c r="AI4498">
        <v>94.237409516187199</v>
      </c>
      <c r="AJ4498">
        <v>101.97802707185799</v>
      </c>
      <c r="AK4498">
        <v>15.0281408840558</v>
      </c>
      <c r="AL4498">
        <v>90.393097788767804</v>
      </c>
      <c r="AM4498">
        <v>91.503751803578794</v>
      </c>
      <c r="AN4498">
        <v>1.00000001871414</v>
      </c>
    </row>
    <row r="4499" spans="1:40" x14ac:dyDescent="0.25">
      <c r="A4499" t="str">
        <f>"20190312150742105"</f>
        <v>20190312150742105</v>
      </c>
      <c r="B4499" t="str">
        <f>"1552374462094427"</f>
        <v>1552374462094427</v>
      </c>
      <c r="C4499" t="s">
        <v>40</v>
      </c>
      <c r="D4499">
        <v>4.5604170000000002</v>
      </c>
      <c r="E4499">
        <v>0.43096990000000002</v>
      </c>
      <c r="F4499" t="s">
        <v>42</v>
      </c>
      <c r="G4499">
        <v>-490.56360000000001</v>
      </c>
      <c r="H4499" s="1">
        <v>-1.5323210000000001E-6</v>
      </c>
      <c r="I4499">
        <v>232.81139999999999</v>
      </c>
      <c r="J4499">
        <v>-493.4049</v>
      </c>
      <c r="K4499">
        <v>1.1104210000000001</v>
      </c>
      <c r="L4499">
        <v>247.49430000000001</v>
      </c>
      <c r="M4499">
        <v>-1.8418029999999998E-2</v>
      </c>
      <c r="N4499">
        <v>0</v>
      </c>
      <c r="O4499">
        <v>-0.99974269999999998</v>
      </c>
      <c r="P4499">
        <v>8.2913150000000005E-3</v>
      </c>
      <c r="Q4499">
        <v>-2.0224550000000001E-2</v>
      </c>
      <c r="R4499">
        <v>-0.99976120000000002</v>
      </c>
      <c r="S4499">
        <v>0.57479859999999905</v>
      </c>
      <c r="T4499">
        <v>-0.22478400000000001</v>
      </c>
      <c r="U4499">
        <v>-2.9916230000000001</v>
      </c>
      <c r="V4499">
        <v>-2.670556E-2</v>
      </c>
      <c r="W4499">
        <v>-6.9791699999999998E-3</v>
      </c>
      <c r="X4499">
        <v>0.99961900000000004</v>
      </c>
      <c r="Y4499">
        <v>-0.20623150000000001</v>
      </c>
      <c r="Z4499">
        <v>7.3434169999999993E-2</v>
      </c>
      <c r="AA4499">
        <v>0.97574380000000005</v>
      </c>
      <c r="AB4499">
        <v>16</v>
      </c>
      <c r="AC4499">
        <v>2.84129999999998</v>
      </c>
      <c r="AD4499">
        <v>-1.110422532321</v>
      </c>
      <c r="AE4499">
        <v>-14.6829</v>
      </c>
      <c r="AF4499">
        <v>-3.09421339066248</v>
      </c>
      <c r="AG4499">
        <v>-1.110422532321</v>
      </c>
      <c r="AH4499">
        <v>14.5478709609175</v>
      </c>
      <c r="AI4499">
        <v>94.269715442579496</v>
      </c>
      <c r="AJ4499">
        <v>102.007415427731</v>
      </c>
      <c r="AK4499">
        <v>14.9146821690154</v>
      </c>
      <c r="AL4499">
        <v>90.399880223651394</v>
      </c>
      <c r="AM4499">
        <v>91.530335060781397</v>
      </c>
      <c r="AN4499">
        <v>1.0000000204549</v>
      </c>
    </row>
    <row r="4500" spans="1:40" x14ac:dyDescent="0.25">
      <c r="A4500" t="str">
        <f>"20190312150742117"</f>
        <v>20190312150742117</v>
      </c>
      <c r="B4500" t="str">
        <f>"1552374462113947"</f>
        <v>1552374462113947</v>
      </c>
      <c r="C4500" t="s">
        <v>40</v>
      </c>
      <c r="D4500">
        <v>4.5376909999999997</v>
      </c>
      <c r="E4500">
        <v>0.4309288</v>
      </c>
      <c r="F4500" t="s">
        <v>42</v>
      </c>
      <c r="G4500">
        <v>-490.58269999999999</v>
      </c>
      <c r="H4500" s="1">
        <v>-1.5568240000000001E-6</v>
      </c>
      <c r="I4500">
        <v>232.85669999999999</v>
      </c>
      <c r="J4500">
        <v>-493.40679999999998</v>
      </c>
      <c r="K4500">
        <v>1.1104240000000001</v>
      </c>
      <c r="L4500">
        <v>247.398</v>
      </c>
      <c r="M4500">
        <v>-1.8501090000000001E-2</v>
      </c>
      <c r="N4500">
        <v>0</v>
      </c>
      <c r="O4500">
        <v>-0.99974110000000005</v>
      </c>
      <c r="P4500">
        <v>8.4769960000000005E-3</v>
      </c>
      <c r="Q4500">
        <v>-1.982184E-2</v>
      </c>
      <c r="R4500">
        <v>-0.99976779999999998</v>
      </c>
      <c r="S4500">
        <v>0.57675169999999998</v>
      </c>
      <c r="T4500">
        <v>-0.2269275</v>
      </c>
      <c r="U4500">
        <v>-2.9913639999999999</v>
      </c>
      <c r="V4500">
        <v>-2.6974459999999999E-2</v>
      </c>
      <c r="W4500">
        <v>-6.5777789999999997E-3</v>
      </c>
      <c r="X4500">
        <v>0.99961449999999996</v>
      </c>
      <c r="Y4500">
        <v>-0.20693310000000001</v>
      </c>
      <c r="Z4500">
        <v>7.4126540000000005E-2</v>
      </c>
      <c r="AA4500">
        <v>0.97554289999999999</v>
      </c>
      <c r="AB4500">
        <v>16</v>
      </c>
      <c r="AC4500">
        <v>2.8240999999999801</v>
      </c>
      <c r="AD4500">
        <v>-1.110425556824</v>
      </c>
      <c r="AE4500">
        <v>-14.5413</v>
      </c>
      <c r="AF4500">
        <v>-3.07538809232758</v>
      </c>
      <c r="AG4500">
        <v>-1.110425556824</v>
      </c>
      <c r="AH4500">
        <v>14.4056057541485</v>
      </c>
      <c r="AI4500">
        <v>94.311040405348194</v>
      </c>
      <c r="AJ4500">
        <v>102.050914426905</v>
      </c>
      <c r="AK4500">
        <v>14.7720186156</v>
      </c>
      <c r="AL4500">
        <v>90.376881686045806</v>
      </c>
      <c r="AM4500">
        <v>91.545743619601794</v>
      </c>
      <c r="AN4500">
        <v>1.0000000186395499</v>
      </c>
    </row>
    <row r="4501" spans="1:40" x14ac:dyDescent="0.25">
      <c r="A4501" t="str">
        <f>"20190312150742130"</f>
        <v>20190312150742130</v>
      </c>
      <c r="B4501" t="str">
        <f>"1552374462124683"</f>
        <v>1552374462124683</v>
      </c>
      <c r="C4501" t="s">
        <v>40</v>
      </c>
      <c r="D4501">
        <v>4.5325829999999998</v>
      </c>
      <c r="E4501">
        <v>0.43090780000000001</v>
      </c>
      <c r="F4501" t="s">
        <v>42</v>
      </c>
      <c r="G4501">
        <v>-490.5813</v>
      </c>
      <c r="H4501" s="1">
        <v>-1.5132259999999901E-6</v>
      </c>
      <c r="I4501">
        <v>232.7559</v>
      </c>
      <c r="J4501">
        <v>-493.4085</v>
      </c>
      <c r="K4501">
        <v>1.1104290000000001</v>
      </c>
      <c r="L4501">
        <v>247.31139999999999</v>
      </c>
      <c r="M4501">
        <v>-1.8571480000000001E-2</v>
      </c>
      <c r="N4501">
        <v>0</v>
      </c>
      <c r="O4501">
        <v>-0.99973990000000001</v>
      </c>
      <c r="P4501">
        <v>8.6731910000000002E-3</v>
      </c>
      <c r="Q4501">
        <v>-1.963879E-2</v>
      </c>
      <c r="R4501">
        <v>-0.99976960000000004</v>
      </c>
      <c r="S4501">
        <v>0.57723999999999998</v>
      </c>
      <c r="T4501">
        <v>-0.2268561</v>
      </c>
      <c r="U4501">
        <v>-2.991333</v>
      </c>
      <c r="V4501">
        <v>-2.724095E-2</v>
      </c>
      <c r="W4501">
        <v>-6.3959899999999998E-3</v>
      </c>
      <c r="X4501">
        <v>0.99960850000000001</v>
      </c>
      <c r="Y4501">
        <v>-0.2071577</v>
      </c>
      <c r="Z4501">
        <v>7.4101040000000007E-2</v>
      </c>
      <c r="AA4501">
        <v>0.97549719999999995</v>
      </c>
      <c r="AB4501">
        <v>16</v>
      </c>
      <c r="AC4501">
        <v>2.8271999999999999</v>
      </c>
      <c r="AD4501">
        <v>-1.1104305132259999</v>
      </c>
      <c r="AE4501">
        <v>-14.555499999999901</v>
      </c>
      <c r="AF4501">
        <v>-3.0797803007395799</v>
      </c>
      <c r="AG4501">
        <v>-1.1104305132259999</v>
      </c>
      <c r="AH4501">
        <v>14.41960728261</v>
      </c>
      <c r="AI4501">
        <v>94.306804005974101</v>
      </c>
      <c r="AJ4501">
        <v>102.05624641179</v>
      </c>
      <c r="AK4501">
        <v>14.7865877338291</v>
      </c>
      <c r="AL4501">
        <v>90.3664657073802</v>
      </c>
      <c r="AM4501">
        <v>91.561016400609702</v>
      </c>
      <c r="AN4501">
        <v>1.0000000656586101</v>
      </c>
    </row>
    <row r="4502" spans="1:40" x14ac:dyDescent="0.25">
      <c r="A4502" t="str">
        <f>"20190312150742142"</f>
        <v>20190312150742142</v>
      </c>
      <c r="B4502" t="str">
        <f>"1552374462134442"</f>
        <v>1552374462134442</v>
      </c>
      <c r="C4502" t="s">
        <v>40</v>
      </c>
      <c r="D4502">
        <v>4.5044050000000002</v>
      </c>
      <c r="E4502">
        <v>0.43092049999999998</v>
      </c>
      <c r="F4502" t="s">
        <v>42</v>
      </c>
      <c r="G4502">
        <v>-490.57209999999998</v>
      </c>
      <c r="H4502" s="1">
        <v>-1.462163E-6</v>
      </c>
      <c r="I4502">
        <v>232.64259999999999</v>
      </c>
      <c r="J4502">
        <v>-493.41030000000001</v>
      </c>
      <c r="K4502">
        <v>1.1104320000000001</v>
      </c>
      <c r="L4502">
        <v>247.22020000000001</v>
      </c>
      <c r="M4502">
        <v>-1.8639949999999999E-2</v>
      </c>
      <c r="N4502">
        <v>0</v>
      </c>
      <c r="O4502">
        <v>-0.99973849999999997</v>
      </c>
      <c r="P4502">
        <v>8.7956500000000003E-3</v>
      </c>
      <c r="Q4502">
        <v>-1.946407E-2</v>
      </c>
      <c r="R4502">
        <v>-0.99977190000000005</v>
      </c>
      <c r="S4502">
        <v>0.57839969999999996</v>
      </c>
      <c r="T4502">
        <v>-0.22643640000000001</v>
      </c>
      <c r="U4502">
        <v>-2.9912260000000002</v>
      </c>
      <c r="V4502">
        <v>-2.7432109999999999E-2</v>
      </c>
      <c r="W4502">
        <v>-6.222595E-3</v>
      </c>
      <c r="X4502">
        <v>0.9996043</v>
      </c>
      <c r="Y4502">
        <v>-0.2075977</v>
      </c>
      <c r="Z4502">
        <v>7.3960970000000001E-2</v>
      </c>
      <c r="AA4502">
        <v>0.97541429999999996</v>
      </c>
      <c r="AB4502">
        <v>16</v>
      </c>
      <c r="AC4502">
        <v>2.83820000000002</v>
      </c>
      <c r="AD4502">
        <v>-1.1104334621630001</v>
      </c>
      <c r="AE4502">
        <v>-14.5776</v>
      </c>
      <c r="AF4502">
        <v>-3.0921694498351502</v>
      </c>
      <c r="AG4502">
        <v>-1.1104334621630001</v>
      </c>
      <c r="AH4502">
        <v>14.441422768058301</v>
      </c>
      <c r="AI4502">
        <v>94.2998649563459</v>
      </c>
      <c r="AJ4502">
        <v>102.085572687945</v>
      </c>
      <c r="AK4502">
        <v>14.8104444884743</v>
      </c>
      <c r="AL4502">
        <v>90.356530732366707</v>
      </c>
      <c r="AM4502">
        <v>91.571971764721894</v>
      </c>
      <c r="AN4502">
        <v>0.99999999896303804</v>
      </c>
    </row>
    <row r="4503" spans="1:40" x14ac:dyDescent="0.25">
      <c r="A4503" t="str">
        <f>"20190312150742156"</f>
        <v>20190312150742156</v>
      </c>
      <c r="B4503" t="str">
        <f>"1552374462153962"</f>
        <v>1552374462153962</v>
      </c>
      <c r="C4503" t="s">
        <v>40</v>
      </c>
      <c r="D4503">
        <v>4.5236080000000003</v>
      </c>
      <c r="E4503">
        <v>0.431035</v>
      </c>
      <c r="F4503" t="s">
        <v>42</v>
      </c>
      <c r="G4503">
        <v>-490.5607</v>
      </c>
      <c r="H4503" s="1">
        <v>-1.3918730000000001E-6</v>
      </c>
      <c r="I4503">
        <v>232.48580000000001</v>
      </c>
      <c r="J4503">
        <v>-493.41230000000002</v>
      </c>
      <c r="K4503">
        <v>1.1104400000000001</v>
      </c>
      <c r="L4503">
        <v>247.11369999999999</v>
      </c>
      <c r="M4503">
        <v>-1.8707930000000001E-2</v>
      </c>
      <c r="N4503">
        <v>0</v>
      </c>
      <c r="O4503">
        <v>-0.99973730000000005</v>
      </c>
      <c r="P4503">
        <v>9.2941440000000007E-3</v>
      </c>
      <c r="Q4503">
        <v>-1.9101190000000001E-2</v>
      </c>
      <c r="R4503">
        <v>-0.99977450000000001</v>
      </c>
      <c r="S4503">
        <v>0.57849119999999998</v>
      </c>
      <c r="T4503">
        <v>-0.22542980000000001</v>
      </c>
      <c r="U4503">
        <v>-2.991241</v>
      </c>
      <c r="V4503">
        <v>-2.7997950000000001E-2</v>
      </c>
      <c r="W4503">
        <v>-5.8615109999999998E-3</v>
      </c>
      <c r="X4503">
        <v>0.9995908</v>
      </c>
      <c r="Y4503">
        <v>-0.20769670000000001</v>
      </c>
      <c r="Z4503">
        <v>7.3632539999999996E-2</v>
      </c>
      <c r="AA4503">
        <v>0.97541800000000001</v>
      </c>
      <c r="AB4503">
        <v>16</v>
      </c>
      <c r="AC4503">
        <v>2.8516000000000101</v>
      </c>
      <c r="AD4503">
        <v>-1.1104413918729901</v>
      </c>
      <c r="AE4503">
        <v>-14.627899999999901</v>
      </c>
      <c r="AF4503">
        <v>-3.1075303911659899</v>
      </c>
      <c r="AG4503">
        <v>-1.1104413918729901</v>
      </c>
      <c r="AH4503">
        <v>14.4915341459162</v>
      </c>
      <c r="AI4503">
        <v>94.284802588446098</v>
      </c>
      <c r="AJ4503">
        <v>102.10307939625901</v>
      </c>
      <c r="AK4503">
        <v>14.862516177251401</v>
      </c>
      <c r="AL4503">
        <v>90.335841763318996</v>
      </c>
      <c r="AM4503">
        <v>91.604401585013704</v>
      </c>
      <c r="AN4503">
        <v>1.00000000498002</v>
      </c>
    </row>
    <row r="4504" spans="1:40" x14ac:dyDescent="0.25">
      <c r="A4504" t="str">
        <f>"20190312150742168"</f>
        <v>20190312150742168</v>
      </c>
      <c r="B4504" t="str">
        <f>"1552374462164699"</f>
        <v>1552374462164699</v>
      </c>
      <c r="C4504" t="s">
        <v>40</v>
      </c>
      <c r="D4504">
        <v>4.5222309999999997</v>
      </c>
      <c r="E4504">
        <v>0.43108950000000001</v>
      </c>
      <c r="F4504" t="s">
        <v>42</v>
      </c>
      <c r="G4504">
        <v>-490.53879999999998</v>
      </c>
      <c r="H4504" s="1">
        <v>-1.2923290000000001E-6</v>
      </c>
      <c r="I4504">
        <v>232.26740000000001</v>
      </c>
      <c r="J4504">
        <v>-493.41390000000001</v>
      </c>
      <c r="K4504">
        <v>1.110444</v>
      </c>
      <c r="L4504">
        <v>247.0316</v>
      </c>
      <c r="M4504">
        <v>-1.8753860000000001E-2</v>
      </c>
      <c r="N4504">
        <v>0</v>
      </c>
      <c r="O4504">
        <v>-0.99973650000000003</v>
      </c>
      <c r="P4504">
        <v>9.699783E-3</v>
      </c>
      <c r="Q4504">
        <v>-1.869109E-2</v>
      </c>
      <c r="R4504">
        <v>-0.99977859999999996</v>
      </c>
      <c r="S4504">
        <v>0.5789185</v>
      </c>
      <c r="T4504">
        <v>-0.22371550000000001</v>
      </c>
      <c r="U4504">
        <v>-2.991028</v>
      </c>
      <c r="V4504">
        <v>-2.8449390000000001E-2</v>
      </c>
      <c r="W4504">
        <v>-5.4528399999999996E-3</v>
      </c>
      <c r="X4504">
        <v>0.99958040000000004</v>
      </c>
      <c r="Y4504">
        <v>-0.20789669999999999</v>
      </c>
      <c r="Z4504">
        <v>7.3078099999999993E-2</v>
      </c>
      <c r="AA4504">
        <v>0.97541710000000004</v>
      </c>
      <c r="AB4504">
        <v>16</v>
      </c>
      <c r="AC4504">
        <v>2.87510000000003</v>
      </c>
      <c r="AD4504">
        <v>-1.110445292329</v>
      </c>
      <c r="AE4504">
        <v>-14.764199999999899</v>
      </c>
      <c r="AF4504">
        <v>-3.1344211466908201</v>
      </c>
      <c r="AG4504">
        <v>-1.110445292329</v>
      </c>
      <c r="AH4504">
        <v>14.627954208843899</v>
      </c>
      <c r="AI4504">
        <v>94.245144214682696</v>
      </c>
      <c r="AJ4504">
        <v>102.09423103054201</v>
      </c>
      <c r="AK4504">
        <v>15.001157588936699</v>
      </c>
      <c r="AL4504">
        <v>90.312426254547205</v>
      </c>
      <c r="AM4504">
        <v>91.630274119665899</v>
      </c>
      <c r="AN4504">
        <v>1.00000003865979</v>
      </c>
    </row>
    <row r="4505" spans="1:40" x14ac:dyDescent="0.25">
      <c r="A4505" t="str">
        <f>"20190312150742180"</f>
        <v>20190312150742180</v>
      </c>
      <c r="B4505" t="str">
        <f>"1552374462174459"</f>
        <v>1552374462174459</v>
      </c>
      <c r="C4505" t="s">
        <v>40</v>
      </c>
      <c r="D4505">
        <v>4.5591809999999997</v>
      </c>
      <c r="E4505">
        <v>0.4311488</v>
      </c>
      <c r="F4505" t="s">
        <v>42</v>
      </c>
      <c r="G4505">
        <v>-490.5136</v>
      </c>
      <c r="H4505" s="1">
        <v>-1.2024299999999999E-6</v>
      </c>
      <c r="I4505">
        <v>232.07339999999999</v>
      </c>
      <c r="J4505">
        <v>-493.41559999999998</v>
      </c>
      <c r="K4505">
        <v>1.1104510000000001</v>
      </c>
      <c r="L4505">
        <v>246.9462</v>
      </c>
      <c r="M4505">
        <v>-1.8792099999999999E-2</v>
      </c>
      <c r="N4505">
        <v>0</v>
      </c>
      <c r="O4505">
        <v>-0.99973579999999995</v>
      </c>
      <c r="P4505">
        <v>9.9380319999999994E-3</v>
      </c>
      <c r="Q4505">
        <v>-1.8466759999999999E-2</v>
      </c>
      <c r="R4505">
        <v>-0.99978020000000001</v>
      </c>
      <c r="S4505">
        <v>0.57992549999999998</v>
      </c>
      <c r="T4505">
        <v>-0.22203490000000001</v>
      </c>
      <c r="U4505">
        <v>-2.9909059999999998</v>
      </c>
      <c r="V4505">
        <v>-2.8725879999999999E-2</v>
      </c>
      <c r="W4505">
        <v>-5.2300389999999997E-3</v>
      </c>
      <c r="X4505">
        <v>0.99957359999999995</v>
      </c>
      <c r="Y4505">
        <v>-0.2082656</v>
      </c>
      <c r="Z4505">
        <v>7.2529750000000004E-2</v>
      </c>
      <c r="AA4505">
        <v>0.97537929999999995</v>
      </c>
      <c r="AB4505">
        <v>16</v>
      </c>
      <c r="AC4505">
        <v>2.9019999999999802</v>
      </c>
      <c r="AD4505">
        <v>-1.1104522024299901</v>
      </c>
      <c r="AE4505">
        <v>-14.8728</v>
      </c>
      <c r="AF4505">
        <v>-3.1640118566347</v>
      </c>
      <c r="AG4505">
        <v>-1.1104522024299901</v>
      </c>
      <c r="AH4505">
        <v>14.7364965036131</v>
      </c>
      <c r="AI4505">
        <v>94.2136456233643</v>
      </c>
      <c r="AJ4505">
        <v>102.117769716526</v>
      </c>
      <c r="AK4505">
        <v>15.113186438465201</v>
      </c>
      <c r="AL4505">
        <v>90.299660540806201</v>
      </c>
      <c r="AM4505">
        <v>91.646120719373599</v>
      </c>
      <c r="AN4505">
        <v>0.99999995565333699</v>
      </c>
    </row>
    <row r="4506" spans="1:40" x14ac:dyDescent="0.25">
      <c r="A4506" t="str">
        <f>"20190312150742192"</f>
        <v>20190312150742192</v>
      </c>
      <c r="B4506" t="str">
        <f>"1552374462184219"</f>
        <v>1552374462184219</v>
      </c>
      <c r="C4506" t="s">
        <v>40</v>
      </c>
      <c r="D4506">
        <v>4.5000989999999996</v>
      </c>
      <c r="E4506">
        <v>0.43114219999999998</v>
      </c>
      <c r="F4506" t="s">
        <v>42</v>
      </c>
      <c r="G4506">
        <v>-490.50569999999999</v>
      </c>
      <c r="H4506" s="1">
        <v>-1.1390400000000001E-6</v>
      </c>
      <c r="I4506">
        <v>231.9306</v>
      </c>
      <c r="J4506">
        <v>-493.41719999999998</v>
      </c>
      <c r="K4506">
        <v>1.1104609999999999</v>
      </c>
      <c r="L4506">
        <v>246.86160000000001</v>
      </c>
      <c r="M4506">
        <v>-1.8820139999999999E-2</v>
      </c>
      <c r="N4506">
        <v>0</v>
      </c>
      <c r="O4506">
        <v>-0.99973540000000005</v>
      </c>
      <c r="P4506">
        <v>1.0026149999999999E-2</v>
      </c>
      <c r="Q4506">
        <v>-1.833999E-2</v>
      </c>
      <c r="R4506">
        <v>-0.99978199999999995</v>
      </c>
      <c r="S4506">
        <v>0.57958980000000004</v>
      </c>
      <c r="T4506">
        <v>-0.2211806</v>
      </c>
      <c r="U4506">
        <v>-2.9908139999999999</v>
      </c>
      <c r="V4506">
        <v>-2.884219E-2</v>
      </c>
      <c r="W4506">
        <v>-5.1047990000000001E-3</v>
      </c>
      <c r="X4506">
        <v>0.99957099999999999</v>
      </c>
      <c r="Y4506">
        <v>-0.20819699999999999</v>
      </c>
      <c r="Z4506">
        <v>7.2255550000000002E-2</v>
      </c>
      <c r="AA4506">
        <v>0.97541429999999996</v>
      </c>
      <c r="AB4506">
        <v>16</v>
      </c>
      <c r="AC4506">
        <v>2.9114999999999802</v>
      </c>
      <c r="AD4506">
        <v>-1.11046213904</v>
      </c>
      <c r="AE4506">
        <v>-14.930999999999999</v>
      </c>
      <c r="AF4506">
        <v>-3.1750931697559999</v>
      </c>
      <c r="AG4506">
        <v>-1.11046213904</v>
      </c>
      <c r="AH4506">
        <v>14.7947185875854</v>
      </c>
      <c r="AI4506">
        <v>94.197242667928094</v>
      </c>
      <c r="AJ4506">
        <v>102.11251525037</v>
      </c>
      <c r="AK4506">
        <v>15.1722786978331</v>
      </c>
      <c r="AL4506">
        <v>90.2924846914715</v>
      </c>
      <c r="AM4506">
        <v>91.6527864071371</v>
      </c>
      <c r="AN4506">
        <v>1.0000000574689101</v>
      </c>
    </row>
    <row r="4507" spans="1:40" x14ac:dyDescent="0.25">
      <c r="A4507" t="str">
        <f>"20190312150742203"</f>
        <v>20190312150742203</v>
      </c>
      <c r="B4507" t="str">
        <f>"1552374462193979"</f>
        <v>1552374462193979</v>
      </c>
      <c r="C4507" t="s">
        <v>40</v>
      </c>
      <c r="D4507">
        <v>4.5550480000000002</v>
      </c>
      <c r="E4507">
        <v>0.43108459999999899</v>
      </c>
      <c r="F4507" t="s">
        <v>42</v>
      </c>
      <c r="G4507">
        <v>-490.5163</v>
      </c>
      <c r="H4507" s="1">
        <v>-1.1356580000000001E-6</v>
      </c>
      <c r="I4507">
        <v>231.9161</v>
      </c>
      <c r="J4507">
        <v>-493.41879999999998</v>
      </c>
      <c r="K4507">
        <v>1.1104700000000001</v>
      </c>
      <c r="L4507">
        <v>246.77600000000001</v>
      </c>
      <c r="M4507">
        <v>-1.8842970000000001E-2</v>
      </c>
      <c r="N4507">
        <v>0</v>
      </c>
      <c r="O4507">
        <v>-0.99973489999999998</v>
      </c>
      <c r="P4507">
        <v>1.028505E-2</v>
      </c>
      <c r="Q4507">
        <v>-1.832392E-2</v>
      </c>
      <c r="R4507">
        <v>-0.99977930000000004</v>
      </c>
      <c r="S4507">
        <v>0.58050539999999995</v>
      </c>
      <c r="T4507">
        <v>-0.2222162</v>
      </c>
      <c r="U4507">
        <v>-2.9907680000000001</v>
      </c>
      <c r="V4507">
        <v>-2.9123409999999999E-2</v>
      </c>
      <c r="W4507">
        <v>-5.0904019999999999E-3</v>
      </c>
      <c r="X4507">
        <v>0.99956290000000003</v>
      </c>
      <c r="Y4507">
        <v>-0.2085052</v>
      </c>
      <c r="Z4507">
        <v>7.2588620000000006E-2</v>
      </c>
      <c r="AA4507">
        <v>0.97532379999999996</v>
      </c>
      <c r="AB4507">
        <v>16</v>
      </c>
      <c r="AC4507">
        <v>2.9024999999999701</v>
      </c>
      <c r="AD4507">
        <v>-1.1104711356579999</v>
      </c>
      <c r="AE4507">
        <v>-14.8598999999999</v>
      </c>
      <c r="AF4507">
        <v>-3.1649884755140199</v>
      </c>
      <c r="AG4507">
        <v>-1.1104711356579999</v>
      </c>
      <c r="AH4507">
        <v>14.7233640300961</v>
      </c>
      <c r="AI4507">
        <v>94.217239570715904</v>
      </c>
      <c r="AJ4507">
        <v>102.13189097368</v>
      </c>
      <c r="AK4507">
        <v>15.1005876228706</v>
      </c>
      <c r="AL4507">
        <v>90.291659799104096</v>
      </c>
      <c r="AM4507">
        <v>91.668906016983996</v>
      </c>
      <c r="AN4507">
        <v>1.00000003812947</v>
      </c>
    </row>
    <row r="4508" spans="1:40" x14ac:dyDescent="0.25">
      <c r="A4508" t="str">
        <f>"20190312150742214"</f>
        <v>20190312150742214</v>
      </c>
      <c r="B4508" t="str">
        <f>"1552374462204715"</f>
        <v>1552374462204715</v>
      </c>
      <c r="C4508" t="s">
        <v>40</v>
      </c>
      <c r="D4508">
        <v>4.574541</v>
      </c>
      <c r="E4508">
        <v>0.43108770000000002</v>
      </c>
      <c r="F4508" t="s">
        <v>42</v>
      </c>
      <c r="G4508">
        <v>-490.53379999999999</v>
      </c>
      <c r="H4508" s="1">
        <v>-1.1482760000000001E-6</v>
      </c>
      <c r="I4508">
        <v>231.93469999999999</v>
      </c>
      <c r="J4508">
        <v>-493.4203</v>
      </c>
      <c r="K4508">
        <v>1.1104799999999999</v>
      </c>
      <c r="L4508">
        <v>246.69829999999999</v>
      </c>
      <c r="M4508">
        <v>-1.8851819999999998E-2</v>
      </c>
      <c r="N4508">
        <v>0</v>
      </c>
      <c r="O4508">
        <v>-0.99973460000000003</v>
      </c>
      <c r="P4508">
        <v>1.076091E-2</v>
      </c>
      <c r="Q4508">
        <v>-1.833947E-2</v>
      </c>
      <c r="R4508">
        <v>-0.9997741</v>
      </c>
      <c r="S4508">
        <v>0.58132930000000005</v>
      </c>
      <c r="T4508">
        <v>-0.2237625</v>
      </c>
      <c r="U4508">
        <v>-2.99057</v>
      </c>
      <c r="V4508">
        <v>-2.960813E-2</v>
      </c>
      <c r="W4508">
        <v>-5.1076089999999999E-3</v>
      </c>
      <c r="X4508">
        <v>0.99954860000000001</v>
      </c>
      <c r="Y4508">
        <v>-0.20877789999999999</v>
      </c>
      <c r="Z4508">
        <v>7.3091600000000007E-2</v>
      </c>
      <c r="AA4508">
        <v>0.97522790000000004</v>
      </c>
      <c r="AB4508">
        <v>16</v>
      </c>
      <c r="AC4508">
        <v>2.8865000000000101</v>
      </c>
      <c r="AD4508">
        <v>-1.110481148276</v>
      </c>
      <c r="AE4508">
        <v>-14.763599999999901</v>
      </c>
      <c r="AF4508">
        <v>-3.1471819342193399</v>
      </c>
      <c r="AG4508">
        <v>-1.110481148276</v>
      </c>
      <c r="AH4508">
        <v>14.626848286301099</v>
      </c>
      <c r="AI4508">
        <v>94.244829115770102</v>
      </c>
      <c r="AJ4508">
        <v>102.14290145763199</v>
      </c>
      <c r="AK4508">
        <v>15.002753523877599</v>
      </c>
      <c r="AL4508">
        <v>90.292645692088897</v>
      </c>
      <c r="AM4508">
        <v>91.696690870171295</v>
      </c>
      <c r="AN4508">
        <v>1.00000006639687</v>
      </c>
    </row>
    <row r="4509" spans="1:40" x14ac:dyDescent="0.25">
      <c r="A4509" t="str">
        <f>"20190312150742229"</f>
        <v>20190312150742229</v>
      </c>
      <c r="B4509" t="str">
        <f>"1552374462224235"</f>
        <v>1552374462224235</v>
      </c>
      <c r="C4509" t="s">
        <v>40</v>
      </c>
      <c r="D4509">
        <v>4.5209270000000004</v>
      </c>
      <c r="E4509">
        <v>0.43106270000000002</v>
      </c>
      <c r="F4509" t="s">
        <v>42</v>
      </c>
      <c r="G4509">
        <v>-490.55329999999998</v>
      </c>
      <c r="H4509" s="1">
        <v>-1.1784180000000001E-6</v>
      </c>
      <c r="I4509">
        <v>231.99279999999999</v>
      </c>
      <c r="J4509">
        <v>-493.42219999999998</v>
      </c>
      <c r="K4509">
        <v>1.110484</v>
      </c>
      <c r="L4509">
        <v>246.59630000000001</v>
      </c>
      <c r="M4509">
        <v>-1.885819E-2</v>
      </c>
      <c r="N4509">
        <v>0</v>
      </c>
      <c r="O4509">
        <v>-0.99973460000000003</v>
      </c>
      <c r="P4509">
        <v>1.118741E-2</v>
      </c>
      <c r="Q4509">
        <v>-1.8270350000000001E-2</v>
      </c>
      <c r="R4509">
        <v>-0.99977059999999995</v>
      </c>
      <c r="S4509">
        <v>0.58297730000000003</v>
      </c>
      <c r="T4509">
        <v>-0.2258077</v>
      </c>
      <c r="U4509">
        <v>-2.9902340000000001</v>
      </c>
      <c r="V4509">
        <v>-3.0040910000000001E-2</v>
      </c>
      <c r="W4509">
        <v>-5.0405420000000003E-3</v>
      </c>
      <c r="X4509">
        <v>0.99953599999999998</v>
      </c>
      <c r="Y4509">
        <v>-0.209313</v>
      </c>
      <c r="Z4509">
        <v>7.3755940000000006E-2</v>
      </c>
      <c r="AA4509">
        <v>0.97506309999999996</v>
      </c>
      <c r="AB4509">
        <v>16</v>
      </c>
      <c r="AC4509">
        <v>2.8688999999999898</v>
      </c>
      <c r="AD4509">
        <v>-1.1104851784180001</v>
      </c>
      <c r="AE4509">
        <v>-14.6035</v>
      </c>
      <c r="AF4509">
        <v>-3.12640294474765</v>
      </c>
      <c r="AG4509">
        <v>-1.1104851784180001</v>
      </c>
      <c r="AH4509">
        <v>14.466253661268199</v>
      </c>
      <c r="AI4509">
        <v>94.290953868977397</v>
      </c>
      <c r="AJ4509">
        <v>102.19503632672701</v>
      </c>
      <c r="AK4509">
        <v>14.8418350515214</v>
      </c>
      <c r="AL4509">
        <v>90.288802994651704</v>
      </c>
      <c r="AM4509">
        <v>91.721498156281598</v>
      </c>
      <c r="AN4509">
        <v>1.0000000393166399</v>
      </c>
    </row>
    <row r="4510" spans="1:40" x14ac:dyDescent="0.25">
      <c r="A4510" t="str">
        <f>"20190312150742241"</f>
        <v>20190312150742241</v>
      </c>
      <c r="B4510" t="str">
        <f>"1552374462233995"</f>
        <v>1552374462233995</v>
      </c>
      <c r="C4510" t="s">
        <v>40</v>
      </c>
      <c r="D4510">
        <v>4.4890239999999997</v>
      </c>
      <c r="E4510">
        <v>0.4310987</v>
      </c>
      <c r="F4510" t="s">
        <v>42</v>
      </c>
      <c r="G4510">
        <v>-490.56549999999999</v>
      </c>
      <c r="H4510" s="1">
        <v>-1.1789789999999999E-6</v>
      </c>
      <c r="I4510">
        <v>231.98660000000001</v>
      </c>
      <c r="J4510">
        <v>-493.42399999999998</v>
      </c>
      <c r="K4510">
        <v>1.1104909999999999</v>
      </c>
      <c r="L4510">
        <v>246.50309999999999</v>
      </c>
      <c r="M4510">
        <v>-1.8855139999999999E-2</v>
      </c>
      <c r="N4510">
        <v>0</v>
      </c>
      <c r="O4510">
        <v>-0.99973460000000003</v>
      </c>
      <c r="P4510">
        <v>1.1553259999999999E-2</v>
      </c>
      <c r="Q4510">
        <v>-1.8240530000000001E-2</v>
      </c>
      <c r="R4510">
        <v>-0.99976679999999996</v>
      </c>
      <c r="S4510">
        <v>0.58465579999999995</v>
      </c>
      <c r="T4510">
        <v>-0.22727</v>
      </c>
      <c r="U4510">
        <v>-2.9899900000000001</v>
      </c>
      <c r="V4510">
        <v>-3.0403619999999999E-2</v>
      </c>
      <c r="W4510">
        <v>-5.0125109999999999E-3</v>
      </c>
      <c r="X4510">
        <v>0.99952510000000006</v>
      </c>
      <c r="Y4510">
        <v>-0.20984549999999999</v>
      </c>
      <c r="Z4510">
        <v>7.422861E-2</v>
      </c>
      <c r="AA4510">
        <v>0.97491280000000002</v>
      </c>
      <c r="AB4510">
        <v>16</v>
      </c>
      <c r="AC4510">
        <v>2.8585000000000398</v>
      </c>
      <c r="AD4510">
        <v>-1.1104921789790001</v>
      </c>
      <c r="AE4510">
        <v>-14.516499999999899</v>
      </c>
      <c r="AF4510">
        <v>-3.1141823226518501</v>
      </c>
      <c r="AG4510">
        <v>-1.1104921789790001</v>
      </c>
      <c r="AH4510">
        <v>14.3790112202863</v>
      </c>
      <c r="AI4510">
        <v>94.3165075117535</v>
      </c>
      <c r="AJ4510">
        <v>102.220288541532</v>
      </c>
      <c r="AK4510">
        <v>14.7542294983984</v>
      </c>
      <c r="AL4510">
        <v>90.287196937643202</v>
      </c>
      <c r="AM4510">
        <v>91.742289552681001</v>
      </c>
      <c r="AN4510">
        <v>0.999999965452819</v>
      </c>
    </row>
    <row r="4511" spans="1:40" x14ac:dyDescent="0.25">
      <c r="A4511" t="str">
        <f>"20190312150742253"</f>
        <v>20190312150742253</v>
      </c>
      <c r="B4511" t="str">
        <f>"1552374462244731"</f>
        <v>1552374462244731</v>
      </c>
      <c r="C4511" t="s">
        <v>40</v>
      </c>
      <c r="D4511">
        <v>4.508305</v>
      </c>
      <c r="E4511">
        <v>0.43112519999999999</v>
      </c>
      <c r="F4511" t="s">
        <v>42</v>
      </c>
      <c r="G4511">
        <v>-490.56729999999999</v>
      </c>
      <c r="H4511" s="1">
        <v>-1.143864E-6</v>
      </c>
      <c r="I4511">
        <v>231.90360000000001</v>
      </c>
      <c r="J4511">
        <v>-493.4255</v>
      </c>
      <c r="K4511">
        <v>1.1104940000000001</v>
      </c>
      <c r="L4511">
        <v>246.4195</v>
      </c>
      <c r="M4511">
        <v>-1.884369E-2</v>
      </c>
      <c r="N4511">
        <v>0</v>
      </c>
      <c r="O4511">
        <v>-0.99973489999999998</v>
      </c>
      <c r="P4511">
        <v>1.209084E-2</v>
      </c>
      <c r="Q4511">
        <v>-1.8059840000000001E-2</v>
      </c>
      <c r="R4511">
        <v>-0.99976379999999998</v>
      </c>
      <c r="S4511">
        <v>0.58502200000000004</v>
      </c>
      <c r="T4511">
        <v>-0.2274156</v>
      </c>
      <c r="U4511">
        <v>-2.9898069999999999</v>
      </c>
      <c r="V4511">
        <v>-3.0928870000000001E-2</v>
      </c>
      <c r="W4511">
        <v>-4.8333559999999996E-3</v>
      </c>
      <c r="X4511">
        <v>0.99950989999999995</v>
      </c>
      <c r="Y4511">
        <v>-0.2099598</v>
      </c>
      <c r="Z4511">
        <v>7.4278559999999993E-2</v>
      </c>
      <c r="AA4511">
        <v>0.97488439999999998</v>
      </c>
      <c r="AB4511">
        <v>16</v>
      </c>
      <c r="AC4511">
        <v>2.8582000000000098</v>
      </c>
      <c r="AD4511">
        <v>-1.1104951438640001</v>
      </c>
      <c r="AE4511">
        <v>-14.515899999999901</v>
      </c>
      <c r="AF4511">
        <v>-3.1137064879948202</v>
      </c>
      <c r="AG4511">
        <v>-1.1104951438640001</v>
      </c>
      <c r="AH4511">
        <v>14.3784485085678</v>
      </c>
      <c r="AI4511">
        <v>94.316709184272199</v>
      </c>
      <c r="AJ4511">
        <v>102.218941243971</v>
      </c>
      <c r="AK4511">
        <v>14.7535808897861</v>
      </c>
      <c r="AL4511">
        <v>90.276931978421999</v>
      </c>
      <c r="AM4511">
        <v>91.772397079710899</v>
      </c>
      <c r="AN4511">
        <v>0.999999998263854</v>
      </c>
    </row>
    <row r="4512" spans="1:40" x14ac:dyDescent="0.25">
      <c r="A4512" t="str">
        <f>"20190312150742266"</f>
        <v>20190312150742266</v>
      </c>
      <c r="B4512" t="str">
        <f>"1552374462254490"</f>
        <v>1552374462254490</v>
      </c>
      <c r="C4512" t="s">
        <v>40</v>
      </c>
      <c r="D4512">
        <v>4.5489119999999996</v>
      </c>
      <c r="E4512">
        <v>0.43118200000000001</v>
      </c>
      <c r="F4512" t="s">
        <v>42</v>
      </c>
      <c r="G4512">
        <v>-490.55470000000003</v>
      </c>
      <c r="H4512" s="1">
        <v>-1.0933430000000001E-6</v>
      </c>
      <c r="I4512">
        <v>231.7936</v>
      </c>
      <c r="J4512">
        <v>-493.42720000000003</v>
      </c>
      <c r="K4512">
        <v>1.1105</v>
      </c>
      <c r="L4512">
        <v>246.327</v>
      </c>
      <c r="M4512">
        <v>-1.8826200000000001E-2</v>
      </c>
      <c r="N4512">
        <v>0</v>
      </c>
      <c r="O4512">
        <v>-0.99973540000000005</v>
      </c>
      <c r="P4512">
        <v>1.269316E-2</v>
      </c>
      <c r="Q4512">
        <v>-1.813679E-2</v>
      </c>
      <c r="R4512">
        <v>-0.99975519999999996</v>
      </c>
      <c r="S4512">
        <v>0.58679199999999998</v>
      </c>
      <c r="T4512">
        <v>-0.2269863</v>
      </c>
      <c r="U4512">
        <v>-2.9895320000000001</v>
      </c>
      <c r="V4512">
        <v>-3.1513640000000002E-2</v>
      </c>
      <c r="W4512">
        <v>-4.9119890000000003E-3</v>
      </c>
      <c r="X4512">
        <v>0.99949129999999997</v>
      </c>
      <c r="Y4512">
        <v>-0.21051739999999999</v>
      </c>
      <c r="Z4512">
        <v>7.4137170000000002E-2</v>
      </c>
      <c r="AA4512">
        <v>0.9747749</v>
      </c>
      <c r="AB4512">
        <v>16</v>
      </c>
      <c r="AC4512">
        <v>2.8725000000000001</v>
      </c>
      <c r="AD4512">
        <v>-1.110501093343</v>
      </c>
      <c r="AE4512">
        <v>-14.5334</v>
      </c>
      <c r="AF4512">
        <v>-3.1280468497501599</v>
      </c>
      <c r="AG4512">
        <v>-1.110501093343</v>
      </c>
      <c r="AH4512">
        <v>14.395850202539901</v>
      </c>
      <c r="AI4512">
        <v>94.310880404497297</v>
      </c>
      <c r="AJ4512">
        <v>102.25912693644899</v>
      </c>
      <c r="AK4512">
        <v>14.773570754104</v>
      </c>
      <c r="AL4512">
        <v>90.281437356961305</v>
      </c>
      <c r="AM4512">
        <v>91.8059192692415</v>
      </c>
      <c r="AN4512">
        <v>1.00000004795883</v>
      </c>
    </row>
    <row r="4513" spans="1:40" x14ac:dyDescent="0.25">
      <c r="A4513" t="str">
        <f>"20190312150742281"</f>
        <v>20190312150742281</v>
      </c>
      <c r="B4513" t="str">
        <f>"1552374462274010"</f>
        <v>1552374462274010</v>
      </c>
      <c r="C4513" t="s">
        <v>40</v>
      </c>
      <c r="D4513">
        <v>4.5136320000000003</v>
      </c>
      <c r="E4513">
        <v>0.43125239999999998</v>
      </c>
      <c r="F4513" t="s">
        <v>42</v>
      </c>
      <c r="G4513">
        <v>-490.55399999999997</v>
      </c>
      <c r="H4513" s="1">
        <v>-1.061267E-6</v>
      </c>
      <c r="I4513">
        <v>231.7193</v>
      </c>
      <c r="J4513">
        <v>-493.42930000000001</v>
      </c>
      <c r="K4513">
        <v>1.1105039999999999</v>
      </c>
      <c r="L4513">
        <v>246.21549999999999</v>
      </c>
      <c r="M4513">
        <v>-1.879076E-2</v>
      </c>
      <c r="N4513">
        <v>0</v>
      </c>
      <c r="O4513">
        <v>-0.99973610000000002</v>
      </c>
      <c r="P4513">
        <v>1.353441E-2</v>
      </c>
      <c r="Q4513">
        <v>-1.8466860000000002E-2</v>
      </c>
      <c r="R4513">
        <v>-0.99973809999999996</v>
      </c>
      <c r="S4513">
        <v>0.58795169999999997</v>
      </c>
      <c r="T4513">
        <v>-0.22724040000000001</v>
      </c>
      <c r="U4513">
        <v>-2.9891510000000001</v>
      </c>
      <c r="V4513">
        <v>-3.2319019999999997E-2</v>
      </c>
      <c r="W4513">
        <v>-5.2441739999999999E-3</v>
      </c>
      <c r="X4513">
        <v>0.99946389999999996</v>
      </c>
      <c r="Y4513">
        <v>-0.21086920000000001</v>
      </c>
      <c r="Z4513">
        <v>7.4223440000000002E-2</v>
      </c>
      <c r="AA4513">
        <v>0.97469229999999996</v>
      </c>
      <c r="AB4513">
        <v>16</v>
      </c>
      <c r="AC4513">
        <v>2.8752999999999802</v>
      </c>
      <c r="AD4513">
        <v>-1.110505061267</v>
      </c>
      <c r="AE4513">
        <v>-14.4961999999999</v>
      </c>
      <c r="AF4513">
        <v>-3.1295399078367598</v>
      </c>
      <c r="AG4513">
        <v>-1.110505061267</v>
      </c>
      <c r="AH4513">
        <v>14.358531793086099</v>
      </c>
      <c r="AI4513">
        <v>94.321459314311895</v>
      </c>
      <c r="AJ4513">
        <v>102.29570950216601</v>
      </c>
      <c r="AK4513">
        <v>14.737526141754801</v>
      </c>
      <c r="AL4513">
        <v>90.300470398268999</v>
      </c>
      <c r="AM4513">
        <v>91.852091335851298</v>
      </c>
      <c r="AN4513">
        <v>1.00000005390895</v>
      </c>
    </row>
    <row r="4514" spans="1:40" x14ac:dyDescent="0.25">
      <c r="A4514" t="str">
        <f>"20190312150742294"</f>
        <v>20190312150742294</v>
      </c>
      <c r="B4514" t="str">
        <f>"1552374462284748"</f>
        <v>1552374462284748</v>
      </c>
      <c r="C4514" t="s">
        <v>40</v>
      </c>
      <c r="D4514">
        <v>4.646166</v>
      </c>
      <c r="E4514">
        <v>0.43130239999999997</v>
      </c>
      <c r="F4514" t="s">
        <v>42</v>
      </c>
      <c r="G4514">
        <v>-490.55930000000001</v>
      </c>
      <c r="H4514" s="1">
        <v>-1.0490850000000001E-6</v>
      </c>
      <c r="I4514">
        <v>231.6876</v>
      </c>
      <c r="J4514">
        <v>-493.43090000000001</v>
      </c>
      <c r="K4514">
        <v>1.1105050000000001</v>
      </c>
      <c r="L4514">
        <v>246.13059999999999</v>
      </c>
      <c r="M4514">
        <v>-1.8753880000000001E-2</v>
      </c>
      <c r="N4514">
        <v>0</v>
      </c>
      <c r="O4514">
        <v>-0.99973679999999998</v>
      </c>
      <c r="P4514">
        <v>1.4015909999999999E-2</v>
      </c>
      <c r="Q4514">
        <v>-1.8349330000000001E-2</v>
      </c>
      <c r="R4514">
        <v>-0.99973369999999995</v>
      </c>
      <c r="S4514">
        <v>0.5903931</v>
      </c>
      <c r="T4514">
        <v>-0.22844400000000001</v>
      </c>
      <c r="U4514">
        <v>-2.988556</v>
      </c>
      <c r="V4514">
        <v>-3.2763210000000001E-2</v>
      </c>
      <c r="W4514">
        <v>-5.128095E-3</v>
      </c>
      <c r="X4514">
        <v>0.99944999999999995</v>
      </c>
      <c r="Y4514">
        <v>-0.2116306</v>
      </c>
      <c r="Z4514">
        <v>7.4616879999999997E-2</v>
      </c>
      <c r="AA4514">
        <v>0.97449719999999995</v>
      </c>
      <c r="AB4514">
        <v>16</v>
      </c>
      <c r="AC4514">
        <v>2.8715999999999999</v>
      </c>
      <c r="AD4514">
        <v>-1.1105060490849901</v>
      </c>
      <c r="AE4514">
        <v>-14.4429999999999</v>
      </c>
      <c r="AF4514">
        <v>-3.1242131584541299</v>
      </c>
      <c r="AG4514">
        <v>-1.1105060490849901</v>
      </c>
      <c r="AH4514">
        <v>14.3052459698806</v>
      </c>
      <c r="AI4514">
        <v>94.337103416071898</v>
      </c>
      <c r="AJ4514">
        <v>102.319747193007</v>
      </c>
      <c r="AK4514">
        <v>14.6844813937468</v>
      </c>
      <c r="AL4514">
        <v>90.293819484148798</v>
      </c>
      <c r="AM4514">
        <v>91.877554327578096</v>
      </c>
      <c r="AN4514">
        <v>1.00000001389391</v>
      </c>
    </row>
    <row r="4515" spans="1:40" x14ac:dyDescent="0.25">
      <c r="A4515" t="str">
        <f>"20190312150742309"</f>
        <v>20190312150742309</v>
      </c>
      <c r="B4515" t="str">
        <f>"1552374462304267"</f>
        <v>1552374462304267</v>
      </c>
      <c r="C4515" t="s">
        <v>40</v>
      </c>
      <c r="D4515">
        <v>4.5484150000000003</v>
      </c>
      <c r="E4515">
        <v>0.43141370000000001</v>
      </c>
      <c r="F4515" t="s">
        <v>42</v>
      </c>
      <c r="G4515">
        <v>-490.55439999999999</v>
      </c>
      <c r="H4515" s="1">
        <v>-1.0013939999999999E-6</v>
      </c>
      <c r="I4515">
        <v>231.5795</v>
      </c>
      <c r="J4515">
        <v>-493.43290000000002</v>
      </c>
      <c r="K4515">
        <v>1.110509</v>
      </c>
      <c r="L4515">
        <v>246.02279999999999</v>
      </c>
      <c r="M4515">
        <v>-1.869941E-2</v>
      </c>
      <c r="N4515">
        <v>0</v>
      </c>
      <c r="O4515">
        <v>-0.99973780000000001</v>
      </c>
      <c r="P4515">
        <v>1.4490569999999999E-2</v>
      </c>
      <c r="Q4515">
        <v>-1.85659E-2</v>
      </c>
      <c r="R4515">
        <v>-0.99972300000000003</v>
      </c>
      <c r="S4515">
        <v>0.59072880000000005</v>
      </c>
      <c r="T4515">
        <v>-0.22806409999999999</v>
      </c>
      <c r="U4515">
        <v>-2.9883579999999998</v>
      </c>
      <c r="V4515">
        <v>-3.3183509999999999E-2</v>
      </c>
      <c r="W4515">
        <v>-5.3465379999999996E-3</v>
      </c>
      <c r="X4515">
        <v>0.99943490000000001</v>
      </c>
      <c r="Y4515">
        <v>-0.21169669999999999</v>
      </c>
      <c r="Z4515">
        <v>7.4497110000000005E-2</v>
      </c>
      <c r="AA4515">
        <v>0.97449200000000002</v>
      </c>
      <c r="AB4515">
        <v>16</v>
      </c>
      <c r="AC4515">
        <v>2.87850000000003</v>
      </c>
      <c r="AD4515">
        <v>-1.1105100013939999</v>
      </c>
      <c r="AE4515">
        <v>-14.443299999999899</v>
      </c>
      <c r="AF4515">
        <v>-3.1303029268870799</v>
      </c>
      <c r="AG4515">
        <v>-1.1105100013939999</v>
      </c>
      <c r="AH4515">
        <v>14.305603566604701</v>
      </c>
      <c r="AI4515">
        <v>94.336632009538107</v>
      </c>
      <c r="AJ4515">
        <v>102.34272655027</v>
      </c>
      <c r="AK4515">
        <v>14.686126864566001</v>
      </c>
      <c r="AL4515">
        <v>90.306335544829096</v>
      </c>
      <c r="AM4515">
        <v>91.9016515079947</v>
      </c>
      <c r="AN4515">
        <v>0.99999992507125501</v>
      </c>
    </row>
    <row r="4516" spans="1:40" x14ac:dyDescent="0.25">
      <c r="A4516" t="str">
        <f>"20190312150742322"</f>
        <v>20190312150742322</v>
      </c>
      <c r="B4516" t="str">
        <f>"1552374462314027"</f>
        <v>1552374462314027</v>
      </c>
      <c r="C4516" t="s">
        <v>40</v>
      </c>
      <c r="D4516">
        <v>4.5134019999999904</v>
      </c>
      <c r="E4516">
        <v>0.43146030000000002</v>
      </c>
      <c r="F4516" t="s">
        <v>42</v>
      </c>
      <c r="G4516">
        <v>-490.56130000000002</v>
      </c>
      <c r="H4516" s="1">
        <v>-9.730621E-7</v>
      </c>
      <c r="I4516">
        <v>231.50919999999999</v>
      </c>
      <c r="J4516">
        <v>-493.43459999999999</v>
      </c>
      <c r="K4516">
        <v>1.1105119999999999</v>
      </c>
      <c r="L4516">
        <v>245.9239</v>
      </c>
      <c r="M4516">
        <v>-1.8640250000000001E-2</v>
      </c>
      <c r="N4516">
        <v>0</v>
      </c>
      <c r="O4516">
        <v>-0.99973880000000004</v>
      </c>
      <c r="P4516">
        <v>1.521318E-2</v>
      </c>
      <c r="Q4516">
        <v>-1.8805760000000001E-2</v>
      </c>
      <c r="R4516">
        <v>-0.99970749999999997</v>
      </c>
      <c r="S4516">
        <v>0.59118649999999995</v>
      </c>
      <c r="T4516">
        <v>-0.2286292</v>
      </c>
      <c r="U4516">
        <v>-2.988022</v>
      </c>
      <c r="V4516">
        <v>-3.3845889999999997E-2</v>
      </c>
      <c r="W4516">
        <v>-5.5883959999999998E-3</v>
      </c>
      <c r="X4516">
        <v>0.99941150000000001</v>
      </c>
      <c r="Y4516">
        <v>-0.21180060000000001</v>
      </c>
      <c r="Z4516">
        <v>7.4687020000000007E-2</v>
      </c>
      <c r="AA4516">
        <v>0.97445490000000001</v>
      </c>
      <c r="AB4516">
        <v>16</v>
      </c>
      <c r="AC4516">
        <v>2.8732999999999702</v>
      </c>
      <c r="AD4516">
        <v>-1.1105129730621</v>
      </c>
      <c r="AE4516">
        <v>-14.4147</v>
      </c>
      <c r="AF4516">
        <v>-3.12368655446206</v>
      </c>
      <c r="AG4516">
        <v>-1.1105129730621</v>
      </c>
      <c r="AH4516">
        <v>14.2771318203673</v>
      </c>
      <c r="AI4516">
        <v>94.345283157400303</v>
      </c>
      <c r="AJ4516">
        <v>102.341247176918</v>
      </c>
      <c r="AK4516">
        <v>14.6569829695613</v>
      </c>
      <c r="AL4516">
        <v>90.320193152341602</v>
      </c>
      <c r="AM4516">
        <v>91.939627268933194</v>
      </c>
      <c r="AN4516">
        <v>1.00000006038599</v>
      </c>
    </row>
    <row r="4517" spans="1:40" x14ac:dyDescent="0.25">
      <c r="A4517" t="str">
        <f>"20190312150742337"</f>
        <v>20190312150742337</v>
      </c>
      <c r="B4517" t="str">
        <f>"1552374462324763"</f>
        <v>1552374462324763</v>
      </c>
      <c r="C4517" t="s">
        <v>40</v>
      </c>
      <c r="D4517">
        <v>4.5527170000000003</v>
      </c>
      <c r="E4517">
        <v>0.4315234</v>
      </c>
      <c r="F4517" t="s">
        <v>42</v>
      </c>
      <c r="G4517">
        <v>-490.5609</v>
      </c>
      <c r="H4517" s="1">
        <v>-9.4657740000000004E-7</v>
      </c>
      <c r="I4517">
        <v>231.4477</v>
      </c>
      <c r="J4517">
        <v>-493.43639999999999</v>
      </c>
      <c r="K4517">
        <v>1.110517</v>
      </c>
      <c r="L4517">
        <v>245.82300000000001</v>
      </c>
      <c r="M4517">
        <v>-1.8570039999999999E-2</v>
      </c>
      <c r="N4517">
        <v>0</v>
      </c>
      <c r="O4517">
        <v>-0.99974019999999997</v>
      </c>
      <c r="P4517">
        <v>1.640227E-2</v>
      </c>
      <c r="Q4517">
        <v>-1.8851389999999999E-2</v>
      </c>
      <c r="R4517">
        <v>-0.99968789999999996</v>
      </c>
      <c r="S4517">
        <v>0.59307860000000001</v>
      </c>
      <c r="T4517">
        <v>-0.22918569999999999</v>
      </c>
      <c r="U4517">
        <v>-2.9875639999999999</v>
      </c>
      <c r="V4517">
        <v>-3.4964339999999997E-2</v>
      </c>
      <c r="W4517">
        <v>-5.6363699999999999E-3</v>
      </c>
      <c r="X4517">
        <v>0.9993727</v>
      </c>
      <c r="Y4517">
        <v>-0.2123516</v>
      </c>
      <c r="Z4517">
        <v>7.4870019999999995E-2</v>
      </c>
      <c r="AA4517">
        <v>0.97432090000000005</v>
      </c>
      <c r="AB4517">
        <v>16</v>
      </c>
      <c r="AC4517">
        <v>2.8754999999999802</v>
      </c>
      <c r="AD4517">
        <v>-1.1105179465774</v>
      </c>
      <c r="AE4517">
        <v>-14.3752999999999</v>
      </c>
      <c r="AF4517">
        <v>-3.1240507232358401</v>
      </c>
      <c r="AG4517">
        <v>-1.1105179465774</v>
      </c>
      <c r="AH4517">
        <v>14.2377184263836</v>
      </c>
      <c r="AI4517">
        <v>94.356712325583501</v>
      </c>
      <c r="AJ4517">
        <v>102.375757764771</v>
      </c>
      <c r="AK4517">
        <v>14.6186719307878</v>
      </c>
      <c r="AL4517">
        <v>90.322941911837205</v>
      </c>
      <c r="AM4517">
        <v>92.003749290156406</v>
      </c>
      <c r="AN4517">
        <v>1.00000003362185</v>
      </c>
    </row>
    <row r="4518" spans="1:40" x14ac:dyDescent="0.25">
      <c r="A4518" t="str">
        <f>"20190312150742349"</f>
        <v>20190312150742349</v>
      </c>
      <c r="B4518" t="str">
        <f>"1552374462344283"</f>
        <v>1552374462344283</v>
      </c>
      <c r="C4518" t="s">
        <v>40</v>
      </c>
      <c r="D4518">
        <v>4.4946919999999997</v>
      </c>
      <c r="E4518">
        <v>0.4315698</v>
      </c>
      <c r="F4518" t="s">
        <v>42</v>
      </c>
      <c r="G4518">
        <v>-490.553</v>
      </c>
      <c r="H4518" s="1">
        <v>-9.1284070000000001E-7</v>
      </c>
      <c r="I4518">
        <v>231.374</v>
      </c>
      <c r="J4518">
        <v>-493.43790000000001</v>
      </c>
      <c r="K4518">
        <v>1.1105240000000001</v>
      </c>
      <c r="L4518">
        <v>245.7371</v>
      </c>
      <c r="M4518">
        <v>-1.8505770000000001E-2</v>
      </c>
      <c r="N4518">
        <v>0</v>
      </c>
      <c r="O4518">
        <v>-0.9997414</v>
      </c>
      <c r="P4518">
        <v>1.7097499999999901E-2</v>
      </c>
      <c r="Q4518">
        <v>-1.9101030000000001E-2</v>
      </c>
      <c r="R4518">
        <v>-0.99967159999999999</v>
      </c>
      <c r="S4518">
        <v>0.59603879999999998</v>
      </c>
      <c r="T4518">
        <v>-0.22955800000000001</v>
      </c>
      <c r="U4518">
        <v>-2.9868009999999998</v>
      </c>
      <c r="V4518">
        <v>-3.5595210000000002E-2</v>
      </c>
      <c r="W4518">
        <v>-5.8878799999999998E-3</v>
      </c>
      <c r="X4518">
        <v>0.99934889999999998</v>
      </c>
      <c r="Y4518">
        <v>-0.21326320000000001</v>
      </c>
      <c r="Z4518">
        <v>7.4995080000000006E-2</v>
      </c>
      <c r="AA4518">
        <v>0.97411219999999998</v>
      </c>
      <c r="AB4518">
        <v>16</v>
      </c>
      <c r="AC4518">
        <v>2.8848999999999498</v>
      </c>
      <c r="AD4518">
        <v>-1.1105249128407</v>
      </c>
      <c r="AE4518">
        <v>-14.3630999999999</v>
      </c>
      <c r="AF4518">
        <v>-3.13223077476365</v>
      </c>
      <c r="AG4518">
        <v>-1.1105249128407</v>
      </c>
      <c r="AH4518">
        <v>14.2255048074874</v>
      </c>
      <c r="AI4518">
        <v>94.359770482837902</v>
      </c>
      <c r="AJ4518">
        <v>102.417482409586</v>
      </c>
      <c r="AK4518">
        <v>14.6085290921524</v>
      </c>
      <c r="AL4518">
        <v>90.337352638647999</v>
      </c>
      <c r="AM4518">
        <v>92.039921687215596</v>
      </c>
      <c r="AN4518">
        <v>0.99999995501852301</v>
      </c>
    </row>
    <row r="4519" spans="1:40" x14ac:dyDescent="0.25">
      <c r="A4519" t="str">
        <f>"20190312150742359"</f>
        <v>20190312150742359</v>
      </c>
      <c r="B4519" t="str">
        <f>"1552374462354044"</f>
        <v>1552374462354044</v>
      </c>
      <c r="C4519" t="s">
        <v>40</v>
      </c>
      <c r="D4519">
        <v>4.5235750000000001</v>
      </c>
      <c r="E4519">
        <v>0.43158970000000002</v>
      </c>
      <c r="F4519" t="s">
        <v>42</v>
      </c>
      <c r="G4519">
        <v>-490.5564</v>
      </c>
      <c r="H4519" s="1">
        <v>-9.0179540000000003E-7</v>
      </c>
      <c r="I4519">
        <v>231.34610000000001</v>
      </c>
      <c r="J4519">
        <v>-493.43939999999998</v>
      </c>
      <c r="K4519">
        <v>1.11053</v>
      </c>
      <c r="L4519">
        <v>245.65469999999999</v>
      </c>
      <c r="M4519">
        <v>-1.8438699999999999E-2</v>
      </c>
      <c r="N4519">
        <v>0</v>
      </c>
      <c r="O4519">
        <v>-0.99974260000000004</v>
      </c>
      <c r="P4519">
        <v>1.777778E-2</v>
      </c>
      <c r="Q4519">
        <v>-1.8830369999999999E-2</v>
      </c>
      <c r="R4519">
        <v>-0.99966489999999997</v>
      </c>
      <c r="S4519">
        <v>0.59796139999999998</v>
      </c>
      <c r="T4519">
        <v>-0.2304533</v>
      </c>
      <c r="U4519">
        <v>-2.9863740000000001</v>
      </c>
      <c r="V4519">
        <v>-3.6208079999999997E-2</v>
      </c>
      <c r="W4519">
        <v>-5.6189519999999904E-3</v>
      </c>
      <c r="X4519">
        <v>0.99932849999999995</v>
      </c>
      <c r="Y4519">
        <v>-0.21382309999999999</v>
      </c>
      <c r="Z4519">
        <v>7.5287190000000004E-2</v>
      </c>
      <c r="AA4519">
        <v>0.97396689999999997</v>
      </c>
      <c r="AB4519">
        <v>16</v>
      </c>
      <c r="AC4519">
        <v>2.88299999999998</v>
      </c>
      <c r="AD4519">
        <v>-1.1105309017953999</v>
      </c>
      <c r="AE4519">
        <v>-14.308599999999901</v>
      </c>
      <c r="AF4519">
        <v>-3.1282561449706998</v>
      </c>
      <c r="AG4519">
        <v>-1.1105309017953999</v>
      </c>
      <c r="AH4519">
        <v>14.17097145488</v>
      </c>
      <c r="AI4519">
        <v>94.3759868666464</v>
      </c>
      <c r="AJ4519">
        <v>102.448454816466</v>
      </c>
      <c r="AK4519">
        <v>14.554576509380601</v>
      </c>
      <c r="AL4519">
        <v>90.321943921182097</v>
      </c>
      <c r="AM4519">
        <v>92.075056459793799</v>
      </c>
      <c r="AN4519">
        <v>1.00000002429555</v>
      </c>
    </row>
    <row r="4520" spans="1:40" x14ac:dyDescent="0.25">
      <c r="A4520" t="str">
        <f>"20190312150742370"</f>
        <v>20190312150742370</v>
      </c>
      <c r="B4520" t="str">
        <f>"1552374462364779"</f>
        <v>1552374462364779</v>
      </c>
      <c r="C4520" t="s">
        <v>40</v>
      </c>
      <c r="D4520">
        <v>4.5357200000000004</v>
      </c>
      <c r="E4520">
        <v>0.4316064</v>
      </c>
      <c r="F4520" t="s">
        <v>42</v>
      </c>
      <c r="G4520">
        <v>-490.53969999999998</v>
      </c>
      <c r="H4520" s="1">
        <v>-8.4343330000000004E-7</v>
      </c>
      <c r="I4520">
        <v>231.22040000000001</v>
      </c>
      <c r="J4520">
        <v>-493.44069999999999</v>
      </c>
      <c r="K4520">
        <v>1.1105339999999999</v>
      </c>
      <c r="L4520">
        <v>245.578</v>
      </c>
      <c r="M4520">
        <v>-1.837227E-2</v>
      </c>
      <c r="N4520">
        <v>0</v>
      </c>
      <c r="O4520">
        <v>-0.99974399999999997</v>
      </c>
      <c r="P4520">
        <v>1.8452630000000001E-2</v>
      </c>
      <c r="Q4520">
        <v>-1.8881019999999998E-2</v>
      </c>
      <c r="R4520">
        <v>-0.99965170000000003</v>
      </c>
      <c r="S4520">
        <v>0.59985350000000004</v>
      </c>
      <c r="T4520">
        <v>-0.2297361</v>
      </c>
      <c r="U4520">
        <v>-2.9860229999999999</v>
      </c>
      <c r="V4520">
        <v>-3.681562E-2</v>
      </c>
      <c r="W4520">
        <v>-5.6712709999999899E-3</v>
      </c>
      <c r="X4520">
        <v>0.99930600000000003</v>
      </c>
      <c r="Y4520">
        <v>-0.21437690000000001</v>
      </c>
      <c r="Z4520">
        <v>7.5053770000000006E-2</v>
      </c>
      <c r="AA4520">
        <v>0.97386320000000004</v>
      </c>
      <c r="AB4520">
        <v>16</v>
      </c>
      <c r="AC4520">
        <v>2.90100000000001</v>
      </c>
      <c r="AD4520">
        <v>-1.1105348434333</v>
      </c>
      <c r="AE4520">
        <v>-14.3575999999999</v>
      </c>
      <c r="AF4520">
        <v>-3.1462301983624501</v>
      </c>
      <c r="AG4520">
        <v>-1.1105348434333</v>
      </c>
      <c r="AH4520">
        <v>14.2201351715402</v>
      </c>
      <c r="AI4520">
        <v>94.360473151767707</v>
      </c>
      <c r="AJ4520">
        <v>102.47581108823999</v>
      </c>
      <c r="AK4520">
        <v>14.606310156793301</v>
      </c>
      <c r="AL4520">
        <v>90.324941628999099</v>
      </c>
      <c r="AM4520">
        <v>92.109890351721901</v>
      </c>
      <c r="AN4520">
        <v>1.0000000174133601</v>
      </c>
    </row>
    <row r="4521" spans="1:40" x14ac:dyDescent="0.25">
      <c r="A4521" t="str">
        <f>"20190312150742381"</f>
        <v>20190312150742381</v>
      </c>
      <c r="B4521" t="str">
        <f>"1552374462374539"</f>
        <v>1552374462374539</v>
      </c>
      <c r="C4521" t="s">
        <v>40</v>
      </c>
      <c r="D4521">
        <v>4.509849</v>
      </c>
      <c r="E4521">
        <v>0.43162820000000002</v>
      </c>
      <c r="F4521" t="s">
        <v>42</v>
      </c>
      <c r="G4521">
        <v>-490.53120000000001</v>
      </c>
      <c r="H4521" s="1">
        <v>-8.0544659999999905E-7</v>
      </c>
      <c r="I4521">
        <v>231.13720000000001</v>
      </c>
      <c r="J4521">
        <v>-493.44209999999998</v>
      </c>
      <c r="K4521">
        <v>1.110538</v>
      </c>
      <c r="L4521">
        <v>245.50059999999999</v>
      </c>
      <c r="M4521">
        <v>-1.8302519999999999E-2</v>
      </c>
      <c r="N4521">
        <v>0</v>
      </c>
      <c r="O4521">
        <v>-0.9997452</v>
      </c>
      <c r="P4521">
        <v>1.89759E-2</v>
      </c>
      <c r="Q4521">
        <v>-1.9097639999999999E-2</v>
      </c>
      <c r="R4521">
        <v>-0.99963760000000002</v>
      </c>
      <c r="S4521">
        <v>0.60153199999999996</v>
      </c>
      <c r="T4521">
        <v>-0.22960059999999999</v>
      </c>
      <c r="U4521">
        <v>-2.985611</v>
      </c>
      <c r="V4521">
        <v>-3.7269200000000002E-2</v>
      </c>
      <c r="W4521">
        <v>-5.8894919999999996E-3</v>
      </c>
      <c r="X4521">
        <v>0.99928790000000001</v>
      </c>
      <c r="Y4521">
        <v>-0.21486150000000001</v>
      </c>
      <c r="Z4521">
        <v>7.5011839999999996E-2</v>
      </c>
      <c r="AA4521">
        <v>0.97375959999999995</v>
      </c>
      <c r="AB4521">
        <v>16</v>
      </c>
      <c r="AC4521">
        <v>2.9108999999999599</v>
      </c>
      <c r="AD4521">
        <v>-1.1105388054466001</v>
      </c>
      <c r="AE4521">
        <v>-14.363399999999899</v>
      </c>
      <c r="AF4521">
        <v>-3.1552041191243299</v>
      </c>
      <c r="AG4521">
        <v>-1.1105388054466001</v>
      </c>
      <c r="AH4521">
        <v>14.226024609110899</v>
      </c>
      <c r="AI4521">
        <v>94.358196065385698</v>
      </c>
      <c r="AJ4521">
        <v>102.50526063638701</v>
      </c>
      <c r="AK4521">
        <v>14.613979117638401</v>
      </c>
      <c r="AL4521">
        <v>90.337444988153806</v>
      </c>
      <c r="AM4521">
        <v>92.135899585308096</v>
      </c>
      <c r="AN4521">
        <v>0.99999999323553301</v>
      </c>
    </row>
    <row r="4522" spans="1:40" x14ac:dyDescent="0.25">
      <c r="A4522" t="str">
        <f>"20190312150742392"</f>
        <v>20190312150742392</v>
      </c>
      <c r="B4522" t="str">
        <f>"1552374462384299"</f>
        <v>1552374462384299</v>
      </c>
      <c r="C4522" t="s">
        <v>40</v>
      </c>
      <c r="D4522">
        <v>4.5411400000000004</v>
      </c>
      <c r="E4522">
        <v>0.4316429</v>
      </c>
      <c r="F4522" t="s">
        <v>42</v>
      </c>
      <c r="G4522">
        <v>-490.53359999999998</v>
      </c>
      <c r="H4522" s="1">
        <v>-7.8678969999999898E-7</v>
      </c>
      <c r="I4522">
        <v>231.09219999999999</v>
      </c>
      <c r="J4522">
        <v>-493.4434</v>
      </c>
      <c r="K4522">
        <v>1.1105400000000001</v>
      </c>
      <c r="L4522">
        <v>245.42500000000001</v>
      </c>
      <c r="M4522">
        <v>-1.822913E-2</v>
      </c>
      <c r="N4522">
        <v>0</v>
      </c>
      <c r="O4522">
        <v>-0.99974640000000004</v>
      </c>
      <c r="P4522">
        <v>1.9528429999999999E-2</v>
      </c>
      <c r="Q4522">
        <v>-1.940658E-2</v>
      </c>
      <c r="R4522">
        <v>-0.99962090000000003</v>
      </c>
      <c r="S4522">
        <v>0.60260009999999997</v>
      </c>
      <c r="T4522">
        <v>-0.23009099999999999</v>
      </c>
      <c r="U4522">
        <v>-2.9852599999999998</v>
      </c>
      <c r="V4522">
        <v>-3.774752E-2</v>
      </c>
      <c r="W4522">
        <v>-6.1999129999999996E-3</v>
      </c>
      <c r="X4522">
        <v>0.99926809999999999</v>
      </c>
      <c r="Y4522">
        <v>-0.21514430000000001</v>
      </c>
      <c r="Z4522">
        <v>7.5174909999999998E-2</v>
      </c>
      <c r="AA4522">
        <v>0.97368449999999995</v>
      </c>
      <c r="AB4522">
        <v>16</v>
      </c>
      <c r="AC4522">
        <v>2.9098000000000099</v>
      </c>
      <c r="AD4522">
        <v>-1.1105407867896999</v>
      </c>
      <c r="AE4522">
        <v>-14.332800000000001</v>
      </c>
      <c r="AF4522">
        <v>-3.15243712926442</v>
      </c>
      <c r="AG4522">
        <v>-1.1105407867896999</v>
      </c>
      <c r="AH4522">
        <v>14.195520446162201</v>
      </c>
      <c r="AI4522">
        <v>94.367273578267998</v>
      </c>
      <c r="AJ4522">
        <v>102.520641979629</v>
      </c>
      <c r="AK4522">
        <v>14.583688197109099</v>
      </c>
      <c r="AL4522">
        <v>90.3552311151997</v>
      </c>
      <c r="AM4522">
        <v>92.163329070677804</v>
      </c>
      <c r="AN4522">
        <v>1.0000000249324801</v>
      </c>
    </row>
    <row r="4523" spans="1:40" x14ac:dyDescent="0.25">
      <c r="A4523" t="str">
        <f>"20190312150742403"</f>
        <v>20190312150742403</v>
      </c>
      <c r="B4523" t="str">
        <f>"1552374462394059"</f>
        <v>1552374462394059</v>
      </c>
      <c r="C4523" t="s">
        <v>40</v>
      </c>
      <c r="D4523">
        <v>4.4837210000000001</v>
      </c>
      <c r="E4523">
        <v>0.43165809999999999</v>
      </c>
      <c r="F4523" t="s">
        <v>42</v>
      </c>
      <c r="G4523">
        <v>-490.53559999999999</v>
      </c>
      <c r="H4523" s="1">
        <v>-7.7556900000000003E-7</v>
      </c>
      <c r="I4523">
        <v>231.06479999999999</v>
      </c>
      <c r="J4523">
        <v>-493.44479999999999</v>
      </c>
      <c r="K4523">
        <v>1.1105419999999999</v>
      </c>
      <c r="L4523">
        <v>245.34119999999999</v>
      </c>
      <c r="M4523">
        <v>-1.8145850000000002E-2</v>
      </c>
      <c r="N4523">
        <v>0</v>
      </c>
      <c r="O4523">
        <v>-0.99974810000000003</v>
      </c>
      <c r="P4523">
        <v>2.0013840000000001E-2</v>
      </c>
      <c r="Q4523">
        <v>-1.9549739999999999E-2</v>
      </c>
      <c r="R4523">
        <v>-0.99960879999999996</v>
      </c>
      <c r="S4523">
        <v>0.60440059999999995</v>
      </c>
      <c r="T4523">
        <v>-0.2308326</v>
      </c>
      <c r="U4523">
        <v>-2.9848629999999998</v>
      </c>
      <c r="V4523">
        <v>-3.8149179999999998E-2</v>
      </c>
      <c r="W4523">
        <v>-6.3445460000000004E-3</v>
      </c>
      <c r="X4523">
        <v>0.99925189999999997</v>
      </c>
      <c r="Y4523">
        <v>-0.2156487</v>
      </c>
      <c r="Z4523">
        <v>7.5417059999999994E-2</v>
      </c>
      <c r="AA4523">
        <v>0.97355429999999998</v>
      </c>
      <c r="AB4523">
        <v>16</v>
      </c>
      <c r="AC4523">
        <v>2.90919999999999</v>
      </c>
      <c r="AD4523">
        <v>-1.1105427755689901</v>
      </c>
      <c r="AE4523">
        <v>-14.276399999999899</v>
      </c>
      <c r="AF4523">
        <v>-3.1495028543607599</v>
      </c>
      <c r="AG4523">
        <v>-1.1105427755689901</v>
      </c>
      <c r="AH4523">
        <v>14.139108650319899</v>
      </c>
      <c r="AI4523">
        <v>94.384010034395899</v>
      </c>
      <c r="AJ4523">
        <v>102.55768421880801</v>
      </c>
      <c r="AK4523">
        <v>14.528147401219</v>
      </c>
      <c r="AL4523">
        <v>90.363518152487501</v>
      </c>
      <c r="AM4523">
        <v>92.186361593483397</v>
      </c>
      <c r="AN4523">
        <v>0.99999998642611398</v>
      </c>
    </row>
    <row r="4524" spans="1:40" x14ac:dyDescent="0.25">
      <c r="A4524" t="str">
        <f>"20190312150742414"</f>
        <v>20190312150742414</v>
      </c>
      <c r="B4524" t="str">
        <f>"1552374462404795"</f>
        <v>1552374462404795</v>
      </c>
      <c r="C4524" t="s">
        <v>40</v>
      </c>
      <c r="D4524">
        <v>4.4818490000000004</v>
      </c>
      <c r="E4524">
        <v>0.43164029999999998</v>
      </c>
      <c r="F4524" t="s">
        <v>42</v>
      </c>
      <c r="G4524">
        <v>-490.53059999999999</v>
      </c>
      <c r="H4524" s="1">
        <v>-7.3622899999999999E-7</v>
      </c>
      <c r="I4524">
        <v>230.97620000000001</v>
      </c>
      <c r="J4524">
        <v>-493.44600000000003</v>
      </c>
      <c r="K4524">
        <v>1.110544</v>
      </c>
      <c r="L4524">
        <v>245.267</v>
      </c>
      <c r="M4524">
        <v>-1.8064219999999999E-2</v>
      </c>
      <c r="N4524">
        <v>0</v>
      </c>
      <c r="O4524">
        <v>-0.99974969999999996</v>
      </c>
      <c r="P4524">
        <v>2.036545E-2</v>
      </c>
      <c r="Q4524">
        <v>-1.9530289999999999E-2</v>
      </c>
      <c r="R4524">
        <v>-0.99960210000000005</v>
      </c>
      <c r="S4524">
        <v>0.60546880000000003</v>
      </c>
      <c r="T4524">
        <v>-0.23073089999999999</v>
      </c>
      <c r="U4524">
        <v>-2.9845429999999999</v>
      </c>
      <c r="V4524">
        <v>-3.8419340000000003E-2</v>
      </c>
      <c r="W4524">
        <v>-6.3262350000000004E-3</v>
      </c>
      <c r="X4524">
        <v>0.99924170000000001</v>
      </c>
      <c r="Y4524">
        <v>-0.21592439999999999</v>
      </c>
      <c r="Z4524">
        <v>7.5387109999999993E-2</v>
      </c>
      <c r="AA4524">
        <v>0.97349549999999996</v>
      </c>
      <c r="AB4524">
        <v>16</v>
      </c>
      <c r="AC4524">
        <v>2.9153999999999698</v>
      </c>
      <c r="AD4524">
        <v>-1.110544736229</v>
      </c>
      <c r="AE4524">
        <v>-14.2907999999999</v>
      </c>
      <c r="AF4524">
        <v>-3.1548084420332598</v>
      </c>
      <c r="AG4524">
        <v>-1.110544736229</v>
      </c>
      <c r="AH4524">
        <v>14.1537405820537</v>
      </c>
      <c r="AI4524">
        <v>94.379369363654604</v>
      </c>
      <c r="AJ4524">
        <v>102.56557604937301</v>
      </c>
      <c r="AK4524">
        <v>14.5435380283191</v>
      </c>
      <c r="AL4524">
        <v>90.362468975875302</v>
      </c>
      <c r="AM4524">
        <v>92.201851958258203</v>
      </c>
      <c r="AN4524">
        <v>1.0000000209771001</v>
      </c>
    </row>
    <row r="4525" spans="1:40" x14ac:dyDescent="0.25">
      <c r="A4525" t="str">
        <f>"20190312150742426"</f>
        <v>20190312150742426</v>
      </c>
      <c r="B4525" t="str">
        <f>"1552374462414556"</f>
        <v>1552374462414556</v>
      </c>
      <c r="C4525" t="s">
        <v>40</v>
      </c>
      <c r="D4525">
        <v>4.4610240000000001</v>
      </c>
      <c r="E4525">
        <v>0.43162010000000001</v>
      </c>
      <c r="F4525" t="s">
        <v>42</v>
      </c>
      <c r="G4525">
        <v>-490.52519999999998</v>
      </c>
      <c r="H4525" s="1">
        <v>-7.0462990000000004E-7</v>
      </c>
      <c r="I4525">
        <v>230.9059</v>
      </c>
      <c r="J4525">
        <v>-493.44740000000002</v>
      </c>
      <c r="K4525">
        <v>1.110544</v>
      </c>
      <c r="L4525">
        <v>245.1859</v>
      </c>
      <c r="M4525">
        <v>-1.7973550000000001E-2</v>
      </c>
      <c r="N4525">
        <v>0</v>
      </c>
      <c r="O4525">
        <v>-0.99975119999999895</v>
      </c>
      <c r="P4525">
        <v>2.05895E-2</v>
      </c>
      <c r="Q4525">
        <v>-1.935566E-2</v>
      </c>
      <c r="R4525">
        <v>-0.99960070000000001</v>
      </c>
      <c r="S4525">
        <v>0.60696410000000001</v>
      </c>
      <c r="T4525">
        <v>-0.23077710000000001</v>
      </c>
      <c r="U4525">
        <v>-2.9843139999999999</v>
      </c>
      <c r="V4525">
        <v>-3.8552790000000003E-2</v>
      </c>
      <c r="W4525">
        <v>-6.1526970000000004E-3</v>
      </c>
      <c r="X4525">
        <v>0.99923759999999995</v>
      </c>
      <c r="Y4525">
        <v>-0.2163187</v>
      </c>
      <c r="Z4525">
        <v>7.5400919999999996E-2</v>
      </c>
      <c r="AA4525">
        <v>0.97340689999999996</v>
      </c>
      <c r="AB4525">
        <v>16</v>
      </c>
      <c r="AC4525">
        <v>2.9222000000000299</v>
      </c>
      <c r="AD4525">
        <v>-1.1105447046299</v>
      </c>
      <c r="AE4525">
        <v>-14.28</v>
      </c>
      <c r="AF4525">
        <v>-3.16006847133474</v>
      </c>
      <c r="AG4525">
        <v>-1.1105447046299</v>
      </c>
      <c r="AH4525">
        <v>14.143065931239599</v>
      </c>
      <c r="AI4525">
        <v>94.3821605018166</v>
      </c>
      <c r="AJ4525">
        <v>102.595056113955</v>
      </c>
      <c r="AK4525">
        <v>14.5342924224021</v>
      </c>
      <c r="AL4525">
        <v>90.352525802941699</v>
      </c>
      <c r="AM4525">
        <v>92.209501605072404</v>
      </c>
      <c r="AN4525">
        <v>0.99999997727545797</v>
      </c>
    </row>
    <row r="4526" spans="1:40" x14ac:dyDescent="0.25">
      <c r="A4526" t="str">
        <f>"20190312150742436"</f>
        <v>20190312150742436</v>
      </c>
      <c r="B4526" t="str">
        <f>"1552374462424315"</f>
        <v>1552374462424315</v>
      </c>
      <c r="C4526" t="s">
        <v>40</v>
      </c>
      <c r="D4526">
        <v>4.4838490000000002</v>
      </c>
      <c r="E4526">
        <v>0.43159069999999999</v>
      </c>
      <c r="F4526" t="s">
        <v>42</v>
      </c>
      <c r="G4526">
        <v>-490.52190000000002</v>
      </c>
      <c r="H4526" s="1">
        <v>-6.6588560000000002E-7</v>
      </c>
      <c r="I4526">
        <v>230.8176</v>
      </c>
      <c r="J4526">
        <v>-493.44869999999997</v>
      </c>
      <c r="K4526">
        <v>1.1105480000000001</v>
      </c>
      <c r="L4526">
        <v>245.10939999999999</v>
      </c>
      <c r="M4526">
        <v>-1.788025E-2</v>
      </c>
      <c r="N4526">
        <v>0</v>
      </c>
      <c r="O4526">
        <v>-0.9997528</v>
      </c>
      <c r="P4526">
        <v>2.0706519999999999E-2</v>
      </c>
      <c r="Q4526">
        <v>-1.948778E-2</v>
      </c>
      <c r="R4526">
        <v>-0.99959560000000003</v>
      </c>
      <c r="S4526">
        <v>0.6076355</v>
      </c>
      <c r="T4526">
        <v>-0.23065540000000001</v>
      </c>
      <c r="U4526">
        <v>-2.9842219999999999</v>
      </c>
      <c r="V4526">
        <v>-3.8576100000000002E-2</v>
      </c>
      <c r="W4526">
        <v>-6.2859020000000003E-3</v>
      </c>
      <c r="X4526">
        <v>0.99923589999999995</v>
      </c>
      <c r="Y4526">
        <v>-0.21644430000000001</v>
      </c>
      <c r="Z4526">
        <v>7.53611E-2</v>
      </c>
      <c r="AA4526">
        <v>0.97338210000000003</v>
      </c>
      <c r="AB4526">
        <v>16</v>
      </c>
      <c r="AC4526">
        <v>2.9267999999999499</v>
      </c>
      <c r="AD4526">
        <v>-1.1105486658856001</v>
      </c>
      <c r="AE4526">
        <v>-14.291799999999901</v>
      </c>
      <c r="AF4526">
        <v>-3.16356221102629</v>
      </c>
      <c r="AG4526">
        <v>-1.1105486658856001</v>
      </c>
      <c r="AH4526">
        <v>14.1551481794996</v>
      </c>
      <c r="AI4526">
        <v>94.378398101947298</v>
      </c>
      <c r="AJ4526">
        <v>102.598117639883</v>
      </c>
      <c r="AK4526">
        <v>14.546809416017201</v>
      </c>
      <c r="AL4526">
        <v>90.360158024710202</v>
      </c>
      <c r="AM4526">
        <v>92.210839958404605</v>
      </c>
      <c r="AN4526">
        <v>1.00000000595198</v>
      </c>
    </row>
    <row r="4527" spans="1:40" x14ac:dyDescent="0.25">
      <c r="A4527" t="str">
        <f>"20190312150742448"</f>
        <v>20190312150742448</v>
      </c>
      <c r="B4527" t="str">
        <f>"1552374462444812"</f>
        <v>1552374462444812</v>
      </c>
      <c r="C4527" t="s">
        <v>40</v>
      </c>
      <c r="D4527">
        <v>4.5904730000000002</v>
      </c>
      <c r="E4527">
        <v>0.43162309999999998</v>
      </c>
      <c r="F4527" t="s">
        <v>42</v>
      </c>
      <c r="G4527">
        <v>-490.52969999999999</v>
      </c>
      <c r="H4527" s="1">
        <v>-6.5259559999999898E-7</v>
      </c>
      <c r="I4527">
        <v>230.7818</v>
      </c>
      <c r="J4527">
        <v>-493.45</v>
      </c>
      <c r="K4527">
        <v>1.1105510000000001</v>
      </c>
      <c r="L4527">
        <v>245.0309</v>
      </c>
      <c r="M4527">
        <v>-1.7781559999999998E-2</v>
      </c>
      <c r="N4527">
        <v>0</v>
      </c>
      <c r="O4527">
        <v>-0.9997547</v>
      </c>
      <c r="P4527">
        <v>2.1068949999999999E-2</v>
      </c>
      <c r="Q4527">
        <v>-1.9511339999999999E-2</v>
      </c>
      <c r="R4527">
        <v>-0.99958789999999997</v>
      </c>
      <c r="S4527">
        <v>0.60797119999999905</v>
      </c>
      <c r="T4527">
        <v>-0.23130239999999999</v>
      </c>
      <c r="U4527">
        <v>-2.9841160000000002</v>
      </c>
      <c r="V4527">
        <v>-3.883959E-2</v>
      </c>
      <c r="W4527">
        <v>-6.3107669999999897E-3</v>
      </c>
      <c r="X4527">
        <v>0.99922560000000005</v>
      </c>
      <c r="Y4527">
        <v>-0.2164567</v>
      </c>
      <c r="Z4527">
        <v>7.5573169999999995E-2</v>
      </c>
      <c r="AA4527">
        <v>0.97336279999999997</v>
      </c>
      <c r="AB4527">
        <v>16</v>
      </c>
      <c r="AC4527">
        <v>2.9202999999999899</v>
      </c>
      <c r="AD4527">
        <v>-1.1105516525956001</v>
      </c>
      <c r="AE4527">
        <v>-14.2491</v>
      </c>
      <c r="AF4527">
        <v>-3.1548402823089199</v>
      </c>
      <c r="AG4527">
        <v>-1.1105516525956001</v>
      </c>
      <c r="AH4527">
        <v>14.1126446292718</v>
      </c>
      <c r="AI4527">
        <v>94.391493646597795</v>
      </c>
      <c r="AJ4527">
        <v>102.60112313023301</v>
      </c>
      <c r="AK4527">
        <v>14.503554068299101</v>
      </c>
      <c r="AL4527">
        <v>90.361582689498405</v>
      </c>
      <c r="AM4527">
        <v>92.225948651768306</v>
      </c>
      <c r="AN4527">
        <v>1.0000000696134199</v>
      </c>
    </row>
    <row r="4528" spans="1:40" x14ac:dyDescent="0.25">
      <c r="A4528" t="str">
        <f>"20190312150742459"</f>
        <v>20190312150742459</v>
      </c>
      <c r="B4528" t="str">
        <f>"1552374462454572"</f>
        <v>1552374462454572</v>
      </c>
      <c r="C4528" t="s">
        <v>40</v>
      </c>
      <c r="D4528">
        <v>4.5542629999999997</v>
      </c>
      <c r="E4528">
        <v>0.43164740000000001</v>
      </c>
      <c r="F4528" t="s">
        <v>42</v>
      </c>
      <c r="G4528">
        <v>-490.52460000000002</v>
      </c>
      <c r="H4528" s="1">
        <v>-6.1457619999999997E-7</v>
      </c>
      <c r="I4528">
        <v>230.69630000000001</v>
      </c>
      <c r="J4528">
        <v>-493.45139999999998</v>
      </c>
      <c r="K4528">
        <v>1.110557</v>
      </c>
      <c r="L4528">
        <v>244.94659999999999</v>
      </c>
      <c r="M4528">
        <v>-1.7668260000000002E-2</v>
      </c>
      <c r="N4528">
        <v>0</v>
      </c>
      <c r="O4528">
        <v>-0.9997566</v>
      </c>
      <c r="P4528">
        <v>2.1012019999999999E-2</v>
      </c>
      <c r="Q4528">
        <v>-1.9241089999999999E-2</v>
      </c>
      <c r="R4528">
        <v>-0.99959419999999999</v>
      </c>
      <c r="S4528">
        <v>0.60894780000000004</v>
      </c>
      <c r="T4528">
        <v>-0.2311716</v>
      </c>
      <c r="U4528">
        <v>-2.9838870000000002</v>
      </c>
      <c r="V4528">
        <v>-3.8670030000000001E-2</v>
      </c>
      <c r="W4528">
        <v>-6.04165E-3</v>
      </c>
      <c r="X4528">
        <v>0.99923379999999995</v>
      </c>
      <c r="Y4528">
        <v>-0.2166671</v>
      </c>
      <c r="Z4528">
        <v>7.5532340000000003E-2</v>
      </c>
      <c r="AA4528">
        <v>0.97331920000000005</v>
      </c>
      <c r="AB4528">
        <v>16</v>
      </c>
      <c r="AC4528">
        <v>2.9267999999999499</v>
      </c>
      <c r="AD4528">
        <v>-1.1105576145761999</v>
      </c>
      <c r="AE4528">
        <v>-14.2502999999999</v>
      </c>
      <c r="AF4528">
        <v>-3.1597293868076299</v>
      </c>
      <c r="AG4528">
        <v>-1.1105576145761999</v>
      </c>
      <c r="AH4528">
        <v>14.114107764881</v>
      </c>
      <c r="AI4528">
        <v>94.390762480998504</v>
      </c>
      <c r="AJ4528">
        <v>102.618759885844</v>
      </c>
      <c r="AK4528">
        <v>14.506042396595401</v>
      </c>
      <c r="AL4528">
        <v>90.346163141877895</v>
      </c>
      <c r="AM4528">
        <v>92.216222484655603</v>
      </c>
      <c r="AN4528">
        <v>1.00000002990868</v>
      </c>
    </row>
    <row r="4529" spans="1:40" x14ac:dyDescent="0.25">
      <c r="A4529" t="str">
        <f>"20190312150742471"</f>
        <v>20190312150742471</v>
      </c>
      <c r="B4529" t="str">
        <f>"1552374462464331"</f>
        <v>1552374462464331</v>
      </c>
      <c r="C4529" t="s">
        <v>40</v>
      </c>
      <c r="D4529">
        <v>4.5127560000000004</v>
      </c>
      <c r="E4529">
        <v>0.43160189999999998</v>
      </c>
      <c r="F4529" t="s">
        <v>42</v>
      </c>
      <c r="G4529">
        <v>-490.51280000000003</v>
      </c>
      <c r="H4529" s="1">
        <v>-5.4443569999999898E-7</v>
      </c>
      <c r="I4529">
        <v>230.5402</v>
      </c>
      <c r="J4529">
        <v>-493.45269999999999</v>
      </c>
      <c r="K4529">
        <v>1.1105659999999999</v>
      </c>
      <c r="L4529">
        <v>244.8674</v>
      </c>
      <c r="M4529">
        <v>-1.755406E-2</v>
      </c>
      <c r="N4529">
        <v>0</v>
      </c>
      <c r="O4529">
        <v>-0.99975849999999999</v>
      </c>
      <c r="P4529">
        <v>2.075987E-2</v>
      </c>
      <c r="Q4529">
        <v>-1.933261E-2</v>
      </c>
      <c r="R4529">
        <v>-0.99959770000000003</v>
      </c>
      <c r="S4529">
        <v>0.60867309999999997</v>
      </c>
      <c r="T4529">
        <v>-0.2300297</v>
      </c>
      <c r="U4529">
        <v>-2.983994</v>
      </c>
      <c r="V4529">
        <v>-3.83036E-2</v>
      </c>
      <c r="W4529">
        <v>-6.1342940000000002E-3</v>
      </c>
      <c r="X4529">
        <v>0.99924729999999995</v>
      </c>
      <c r="Y4529">
        <v>-0.21646840000000001</v>
      </c>
      <c r="Z4529">
        <v>7.5161359999999997E-2</v>
      </c>
      <c r="AA4529">
        <v>0.97339209999999998</v>
      </c>
      <c r="AB4529">
        <v>16</v>
      </c>
      <c r="AC4529">
        <v>2.9398999999999602</v>
      </c>
      <c r="AD4529">
        <v>-1.11056654443569</v>
      </c>
      <c r="AE4529">
        <v>-14.327199999999999</v>
      </c>
      <c r="AF4529">
        <v>-3.1726766269522102</v>
      </c>
      <c r="AG4529">
        <v>-1.11056654443569</v>
      </c>
      <c r="AH4529">
        <v>14.1915555732112</v>
      </c>
      <c r="AI4529">
        <v>94.367215386848301</v>
      </c>
      <c r="AJ4529">
        <v>102.60187691293601</v>
      </c>
      <c r="AK4529">
        <v>14.584220397963399</v>
      </c>
      <c r="AL4529">
        <v>90.351471367498306</v>
      </c>
      <c r="AM4529">
        <v>92.195212988485594</v>
      </c>
      <c r="AN4529">
        <v>0.99999998094656395</v>
      </c>
    </row>
    <row r="4530" spans="1:40" x14ac:dyDescent="0.25">
      <c r="A4530" t="str">
        <f>"20190312150742482"</f>
        <v>20190312150742482</v>
      </c>
      <c r="B4530" t="str">
        <f>"1552374462474091"</f>
        <v>1552374462474091</v>
      </c>
      <c r="C4530" t="s">
        <v>40</v>
      </c>
      <c r="D4530">
        <v>4.5700659999999997</v>
      </c>
      <c r="E4530">
        <v>0.43160870000000001</v>
      </c>
      <c r="F4530" t="s">
        <v>42</v>
      </c>
      <c r="G4530">
        <v>-490.53039999999999</v>
      </c>
      <c r="H4530" s="1">
        <v>-5.5012359999999999E-7</v>
      </c>
      <c r="I4530">
        <v>230.54249999999999</v>
      </c>
      <c r="J4530">
        <v>-493.45400000000001</v>
      </c>
      <c r="K4530">
        <v>1.110573</v>
      </c>
      <c r="L4530">
        <v>244.78290000000001</v>
      </c>
      <c r="M4530">
        <v>-1.7426219999999999E-2</v>
      </c>
      <c r="N4530">
        <v>0</v>
      </c>
      <c r="O4530">
        <v>-0.99976089999999995</v>
      </c>
      <c r="P4530">
        <v>2.070541E-2</v>
      </c>
      <c r="Q4530">
        <v>-1.9023720000000001E-2</v>
      </c>
      <c r="R4530">
        <v>-0.99960470000000001</v>
      </c>
      <c r="S4530">
        <v>0.60873409999999994</v>
      </c>
      <c r="T4530">
        <v>-0.23134360000000001</v>
      </c>
      <c r="U4530">
        <v>-2.9840550000000001</v>
      </c>
      <c r="V4530">
        <v>-3.8121179999999998E-2</v>
      </c>
      <c r="W4530">
        <v>-5.8268039999999997E-3</v>
      </c>
      <c r="X4530">
        <v>0.99925609999999998</v>
      </c>
      <c r="Y4530">
        <v>-0.2163523</v>
      </c>
      <c r="Z4530">
        <v>7.5587760000000004E-2</v>
      </c>
      <c r="AA4530">
        <v>0.9733849</v>
      </c>
      <c r="AB4530">
        <v>16</v>
      </c>
      <c r="AC4530">
        <v>2.92360000000002</v>
      </c>
      <c r="AD4530">
        <v>-1.1105735501236</v>
      </c>
      <c r="AE4530">
        <v>-14.240399999999999</v>
      </c>
      <c r="AF4530">
        <v>-3.15293324301591</v>
      </c>
      <c r="AG4530">
        <v>-1.1105735501236</v>
      </c>
      <c r="AH4530">
        <v>14.1049679617721</v>
      </c>
      <c r="AI4530">
        <v>94.393973284026202</v>
      </c>
      <c r="AJ4530">
        <v>102.600384415381</v>
      </c>
      <c r="AK4530">
        <v>14.4956711761742</v>
      </c>
      <c r="AL4530">
        <v>90.333853178197799</v>
      </c>
      <c r="AM4530">
        <v>92.184749271614706</v>
      </c>
      <c r="AN4530">
        <v>0.99999996469832697</v>
      </c>
    </row>
    <row r="4531" spans="1:40" x14ac:dyDescent="0.25">
      <c r="A4531" t="str">
        <f>"20190312150742495"</f>
        <v>20190312150742495</v>
      </c>
      <c r="B4531" t="str">
        <f>"1552374462484827"</f>
        <v>1552374462484827</v>
      </c>
      <c r="C4531" t="s">
        <v>40</v>
      </c>
      <c r="D4531">
        <v>4.4784249999999997</v>
      </c>
      <c r="E4531">
        <v>0.43171619999999999</v>
      </c>
      <c r="F4531" t="s">
        <v>42</v>
      </c>
      <c r="G4531">
        <v>-490.54109999999997</v>
      </c>
      <c r="H4531" s="1">
        <v>-5.285345E-7</v>
      </c>
      <c r="I4531">
        <v>230.4855</v>
      </c>
      <c r="J4531">
        <v>-493.45530000000002</v>
      </c>
      <c r="K4531">
        <v>1.110587</v>
      </c>
      <c r="L4531">
        <v>244.7002</v>
      </c>
      <c r="M4531">
        <v>-1.728209E-2</v>
      </c>
      <c r="N4531">
        <v>0</v>
      </c>
      <c r="O4531">
        <v>-0.99976350000000003</v>
      </c>
      <c r="P4531">
        <v>2.081423E-2</v>
      </c>
      <c r="Q4531">
        <v>-1.9061270000000002E-2</v>
      </c>
      <c r="R4531">
        <v>-0.99960199999999999</v>
      </c>
      <c r="S4531">
        <v>0.60797119999999905</v>
      </c>
      <c r="T4531">
        <v>-0.23179859999999999</v>
      </c>
      <c r="U4531">
        <v>-2.984146</v>
      </c>
      <c r="V4531">
        <v>-3.8086389999999998E-2</v>
      </c>
      <c r="W4531">
        <v>-5.8662710000000002E-3</v>
      </c>
      <c r="X4531">
        <v>0.99925719999999996</v>
      </c>
      <c r="Y4531">
        <v>-0.2159645</v>
      </c>
      <c r="Z4531">
        <v>7.5738769999999997E-2</v>
      </c>
      <c r="AA4531">
        <v>0.97345930000000003</v>
      </c>
      <c r="AB4531">
        <v>16</v>
      </c>
      <c r="AC4531">
        <v>2.9142000000000499</v>
      </c>
      <c r="AD4531">
        <v>-1.1105875285344999</v>
      </c>
      <c r="AE4531">
        <v>-14.214699999999899</v>
      </c>
      <c r="AF4531">
        <v>-3.1410455685843499</v>
      </c>
      <c r="AG4531">
        <v>-1.1105875285344999</v>
      </c>
      <c r="AH4531">
        <v>14.079729718722501</v>
      </c>
      <c r="AI4531">
        <v>94.402287591459796</v>
      </c>
      <c r="AJ4531">
        <v>102.576174059853</v>
      </c>
      <c r="AK4531">
        <v>14.468530017757001</v>
      </c>
      <c r="AL4531">
        <v>90.336114508012301</v>
      </c>
      <c r="AM4531">
        <v>92.182754963372403</v>
      </c>
      <c r="AN4531">
        <v>0.999999968995258</v>
      </c>
    </row>
    <row r="4532" spans="1:40" x14ac:dyDescent="0.25">
      <c r="A4532" t="str">
        <f>"20190312150742509"</f>
        <v>20190312150742509</v>
      </c>
      <c r="B4532" t="str">
        <f>"1552374462504347"</f>
        <v>1552374462504347</v>
      </c>
      <c r="C4532" t="s">
        <v>40</v>
      </c>
      <c r="D4532">
        <v>4.5012499999999998</v>
      </c>
      <c r="E4532">
        <v>0.43201790000000001</v>
      </c>
      <c r="F4532" t="s">
        <v>42</v>
      </c>
      <c r="G4532">
        <v>-490.54719999999998</v>
      </c>
      <c r="H4532" s="1">
        <v>-4.9995089999999996E-7</v>
      </c>
      <c r="I4532">
        <v>230.4151</v>
      </c>
      <c r="J4532">
        <v>-493.45670000000001</v>
      </c>
      <c r="K4532">
        <v>1.110608</v>
      </c>
      <c r="L4532">
        <v>244.6028</v>
      </c>
      <c r="M4532">
        <v>-1.709915E-2</v>
      </c>
      <c r="N4532">
        <v>0</v>
      </c>
      <c r="O4532">
        <v>-0.9997665</v>
      </c>
      <c r="P4532">
        <v>2.0829159999999999E-2</v>
      </c>
      <c r="Q4532">
        <v>-1.8889779999999998E-2</v>
      </c>
      <c r="R4532">
        <v>-0.99960450000000001</v>
      </c>
      <c r="S4532">
        <v>0.60748290000000005</v>
      </c>
      <c r="T4532">
        <v>-0.2320004</v>
      </c>
      <c r="U4532">
        <v>-2.984146</v>
      </c>
      <c r="V4532">
        <v>-3.7918220000000002E-2</v>
      </c>
      <c r="W4532">
        <v>-5.6973400000000004E-3</v>
      </c>
      <c r="X4532">
        <v>0.99926459999999995</v>
      </c>
      <c r="Y4532">
        <v>-0.21563189999999999</v>
      </c>
      <c r="Z4532">
        <v>7.5808699999999896E-2</v>
      </c>
      <c r="AA4532">
        <v>0.97352760000000005</v>
      </c>
      <c r="AB4532">
        <v>16</v>
      </c>
      <c r="AC4532">
        <v>2.9095000000000302</v>
      </c>
      <c r="AD4532">
        <v>-1.1106084999508901</v>
      </c>
      <c r="AE4532">
        <v>-14.1877</v>
      </c>
      <c r="AF4532">
        <v>-3.13326844058725</v>
      </c>
      <c r="AG4532">
        <v>-1.1106084999508901</v>
      </c>
      <c r="AH4532">
        <v>14.053232303322501</v>
      </c>
      <c r="AI4532">
        <v>94.410762277582407</v>
      </c>
      <c r="AJ4532">
        <v>102.568927446242</v>
      </c>
      <c r="AK4532">
        <v>14.441058151399099</v>
      </c>
      <c r="AL4532">
        <v>90.326435303786397</v>
      </c>
      <c r="AM4532">
        <v>92.173110218259197</v>
      </c>
      <c r="AN4532">
        <v>0.99999999595210198</v>
      </c>
    </row>
    <row r="4533" spans="1:40" x14ac:dyDescent="0.25">
      <c r="A4533" t="str">
        <f>"20190312150742521"</f>
        <v>20190312150742521</v>
      </c>
      <c r="B4533" t="str">
        <f>"1552374462514108"</f>
        <v>1552374462514108</v>
      </c>
      <c r="C4533" t="s">
        <v>40</v>
      </c>
      <c r="D4533">
        <v>4.5002579999999996</v>
      </c>
      <c r="E4533">
        <v>0.43214399999999997</v>
      </c>
      <c r="F4533" t="s">
        <v>42</v>
      </c>
      <c r="G4533">
        <v>-490.55689999999998</v>
      </c>
      <c r="H4533" s="1">
        <v>-4.5271910000000001E-7</v>
      </c>
      <c r="I4533">
        <v>230.29900000000001</v>
      </c>
      <c r="J4533">
        <v>-493.4581</v>
      </c>
      <c r="K4533">
        <v>1.110641</v>
      </c>
      <c r="L4533">
        <v>244.50749999999999</v>
      </c>
      <c r="M4533">
        <v>-1.6896910000000001E-2</v>
      </c>
      <c r="N4533">
        <v>0</v>
      </c>
      <c r="O4533">
        <v>-0.99977000000000005</v>
      </c>
      <c r="P4533">
        <v>2.0907459999999999E-2</v>
      </c>
      <c r="Q4533">
        <v>-1.889822E-2</v>
      </c>
      <c r="R4533">
        <v>-0.99960300000000002</v>
      </c>
      <c r="S4533">
        <v>0.60498050000000003</v>
      </c>
      <c r="T4533">
        <v>-0.231707</v>
      </c>
      <c r="U4533">
        <v>-2.9842219999999999</v>
      </c>
      <c r="V4533">
        <v>-3.7793859999999999E-2</v>
      </c>
      <c r="W4533">
        <v>-5.7091969999999896E-3</v>
      </c>
      <c r="X4533">
        <v>0.99926919999999997</v>
      </c>
      <c r="Y4533">
        <v>-0.2146467</v>
      </c>
      <c r="Z4533">
        <v>7.5726459999999995E-2</v>
      </c>
      <c r="AA4533">
        <v>0.9737517</v>
      </c>
      <c r="AB4533">
        <v>16</v>
      </c>
      <c r="AC4533">
        <v>2.90120000000001</v>
      </c>
      <c r="AD4533">
        <v>-1.1106414527191</v>
      </c>
      <c r="AE4533">
        <v>-14.2084999999999</v>
      </c>
      <c r="AF4533">
        <v>-3.1225707119666302</v>
      </c>
      <c r="AG4533">
        <v>-1.1106414527191</v>
      </c>
      <c r="AH4533">
        <v>14.0748880809046</v>
      </c>
      <c r="AI4533">
        <v>94.405158339372903</v>
      </c>
      <c r="AJ4533">
        <v>102.50870329773301</v>
      </c>
      <c r="AK4533">
        <v>14.4598218100266</v>
      </c>
      <c r="AL4533">
        <v>90.327114685134006</v>
      </c>
      <c r="AM4533">
        <v>92.165979929003001</v>
      </c>
      <c r="AN4533">
        <v>0.99999995242636097</v>
      </c>
    </row>
    <row r="4534" spans="1:40" x14ac:dyDescent="0.25">
      <c r="A4534" t="str">
        <f>"20190312150742538"</f>
        <v>20190312150742538</v>
      </c>
      <c r="B4534" t="str">
        <f>"1552374462534603"</f>
        <v>1552374462534603</v>
      </c>
      <c r="C4534" t="s">
        <v>40</v>
      </c>
      <c r="D4534">
        <v>4.5371009999999998</v>
      </c>
      <c r="E4534">
        <v>0.43227339999999997</v>
      </c>
      <c r="F4534" t="s">
        <v>42</v>
      </c>
      <c r="G4534">
        <v>-490.56619999999998</v>
      </c>
      <c r="H4534" s="1">
        <v>-4.2241840000000001E-7</v>
      </c>
      <c r="I4534">
        <v>230.2226</v>
      </c>
      <c r="J4534">
        <v>-493.45979999999997</v>
      </c>
      <c r="K4534">
        <v>1.1106389999999999</v>
      </c>
      <c r="L4534">
        <v>244.39490000000001</v>
      </c>
      <c r="M4534">
        <v>-1.66175E-2</v>
      </c>
      <c r="N4534">
        <v>0</v>
      </c>
      <c r="O4534">
        <v>-0.99977680000000002</v>
      </c>
      <c r="P4534">
        <v>2.1252219999999999E-2</v>
      </c>
      <c r="Q4534">
        <v>-1.8289610000000001E-2</v>
      </c>
      <c r="R4534">
        <v>-0.99960680000000002</v>
      </c>
      <c r="S4534">
        <v>0.60412600000000005</v>
      </c>
      <c r="T4534">
        <v>-0.23201540000000001</v>
      </c>
      <c r="U4534">
        <v>-2.984146</v>
      </c>
      <c r="V4534">
        <v>-3.7859230000000001E-2</v>
      </c>
      <c r="W4534">
        <v>-5.2723379999999997E-3</v>
      </c>
      <c r="X4534">
        <v>0.99926919999999997</v>
      </c>
      <c r="Y4534">
        <v>-0.21410899999999999</v>
      </c>
      <c r="Z4534">
        <v>7.5835730000000004E-2</v>
      </c>
      <c r="AA4534">
        <v>0.97386150000000005</v>
      </c>
      <c r="AB4534">
        <v>16</v>
      </c>
      <c r="AC4534">
        <v>2.89359999999999</v>
      </c>
      <c r="AD4534">
        <v>-1.1106394224184</v>
      </c>
      <c r="AE4534">
        <v>-14.1723</v>
      </c>
      <c r="AF4534">
        <v>-3.1103909851652398</v>
      </c>
      <c r="AG4534">
        <v>-1.1106394224184</v>
      </c>
      <c r="AH4534">
        <v>14.039483007312599</v>
      </c>
      <c r="AI4534">
        <v>94.416501784074498</v>
      </c>
      <c r="AJ4534">
        <v>102.491879792207</v>
      </c>
      <c r="AK4534">
        <v>14.422729808182901</v>
      </c>
      <c r="AL4534">
        <v>90.302084107118205</v>
      </c>
      <c r="AM4534">
        <v>92.169722730053394</v>
      </c>
      <c r="AN4534">
        <v>1.0000000264564</v>
      </c>
    </row>
    <row r="4535" spans="1:40" x14ac:dyDescent="0.25">
      <c r="A4535" t="str">
        <f>"20190312150742551"</f>
        <v>20190312150742551</v>
      </c>
      <c r="B4535" t="str">
        <f>"1552374462544363"</f>
        <v>1552374462544363</v>
      </c>
      <c r="C4535" t="s">
        <v>40</v>
      </c>
      <c r="D4535">
        <v>4.5028169999999896</v>
      </c>
      <c r="E4535">
        <v>0.43238850000000001</v>
      </c>
      <c r="F4535" t="s">
        <v>42</v>
      </c>
      <c r="G4535">
        <v>-490.54849999999999</v>
      </c>
      <c r="H4535" s="1">
        <v>-3.3334419999999998E-7</v>
      </c>
      <c r="I4535">
        <v>230.02600000000001</v>
      </c>
      <c r="J4535">
        <v>-493.46100000000001</v>
      </c>
      <c r="K4535">
        <v>1.1106320000000001</v>
      </c>
      <c r="L4535">
        <v>244.30609999999999</v>
      </c>
      <c r="M4535">
        <v>-1.637189E-2</v>
      </c>
      <c r="N4535">
        <v>0</v>
      </c>
      <c r="O4535">
        <v>-0.99978330000000004</v>
      </c>
      <c r="P4535">
        <v>2.1848260000000001E-2</v>
      </c>
      <c r="Q4535">
        <v>-1.7512860000000002E-2</v>
      </c>
      <c r="R4535">
        <v>-0.99960800000000005</v>
      </c>
      <c r="S4535">
        <v>0.60461430000000005</v>
      </c>
      <c r="T4535">
        <v>-0.23065379999999999</v>
      </c>
      <c r="U4535">
        <v>-2.9840849999999999</v>
      </c>
      <c r="V4535">
        <v>-3.8209559999999997E-2</v>
      </c>
      <c r="W4535">
        <v>-4.6705569999999997E-3</v>
      </c>
      <c r="X4535">
        <v>0.9992588</v>
      </c>
      <c r="Y4535">
        <v>-0.21403259999999999</v>
      </c>
      <c r="Z4535">
        <v>7.5394680000000006E-2</v>
      </c>
      <c r="AA4535">
        <v>0.97391249999999996</v>
      </c>
      <c r="AB4535">
        <v>16</v>
      </c>
      <c r="AC4535">
        <v>2.9125000000000201</v>
      </c>
      <c r="AD4535">
        <v>-1.1106323333441901</v>
      </c>
      <c r="AE4535">
        <v>-14.280099999999999</v>
      </c>
      <c r="AF4535">
        <v>-3.12775714602272</v>
      </c>
      <c r="AG4535">
        <v>-1.1106323333441901</v>
      </c>
      <c r="AH4535">
        <v>14.1483343228475</v>
      </c>
      <c r="AI4535">
        <v>94.383067503246707</v>
      </c>
      <c r="AJ4535">
        <v>102.465823226368</v>
      </c>
      <c r="AK4535">
        <v>14.532437271684</v>
      </c>
      <c r="AL4535">
        <v>90.267604185842401</v>
      </c>
      <c r="AM4535">
        <v>92.189803549632899</v>
      </c>
      <c r="AN4535">
        <v>0.99999996697776095</v>
      </c>
    </row>
    <row r="4536" spans="1:40" x14ac:dyDescent="0.25">
      <c r="A4536" t="str">
        <f>"20190312150742561"</f>
        <v>20190312150742561</v>
      </c>
      <c r="B4536" t="str">
        <f>"1552374462554123"</f>
        <v>1552374462554123</v>
      </c>
      <c r="C4536" t="s">
        <v>40</v>
      </c>
      <c r="D4536">
        <v>4.5056089999999998</v>
      </c>
      <c r="E4536">
        <v>0.43250850000000002</v>
      </c>
      <c r="F4536" t="s">
        <v>42</v>
      </c>
      <c r="G4536">
        <v>-490.51839999999999</v>
      </c>
      <c r="H4536" s="1">
        <v>-2.2959799999999999E-7</v>
      </c>
      <c r="I4536">
        <v>229.80279999999999</v>
      </c>
      <c r="J4536">
        <v>-493.4622</v>
      </c>
      <c r="K4536">
        <v>1.1106259999999999</v>
      </c>
      <c r="L4536">
        <v>244.2201</v>
      </c>
      <c r="M4536">
        <v>-1.6113280000000001E-2</v>
      </c>
      <c r="N4536">
        <v>0</v>
      </c>
      <c r="O4536">
        <v>-0.99978979999999995</v>
      </c>
      <c r="P4536">
        <v>2.25232E-2</v>
      </c>
      <c r="Q4536">
        <v>-1.7136060000000002E-2</v>
      </c>
      <c r="R4536">
        <v>-0.99959969999999998</v>
      </c>
      <c r="S4536">
        <v>0.60540769999999899</v>
      </c>
      <c r="T4536">
        <v>-0.22850129999999999</v>
      </c>
      <c r="U4536">
        <v>-2.9839169999999999</v>
      </c>
      <c r="V4536">
        <v>-3.8625079999999999E-2</v>
      </c>
      <c r="W4536">
        <v>-4.4806220000000001E-3</v>
      </c>
      <c r="X4536">
        <v>0.99924369999999996</v>
      </c>
      <c r="Y4536">
        <v>-0.21404989999999999</v>
      </c>
      <c r="Z4536">
        <v>7.4697630000000001E-2</v>
      </c>
      <c r="AA4536">
        <v>0.97396249999999995</v>
      </c>
      <c r="AB4536">
        <v>16</v>
      </c>
      <c r="AC4536">
        <v>2.9438</v>
      </c>
      <c r="AD4536">
        <v>-1.1106262295980001</v>
      </c>
      <c r="AE4536">
        <v>-14.417299999999999</v>
      </c>
      <c r="AF4536">
        <v>-3.15775739226804</v>
      </c>
      <c r="AG4536">
        <v>-1.1106262295980001</v>
      </c>
      <c r="AH4536">
        <v>14.286602342427599</v>
      </c>
      <c r="AI4536">
        <v>94.340822771421202</v>
      </c>
      <c r="AJ4536">
        <v>102.463657078902</v>
      </c>
      <c r="AK4536">
        <v>14.6735111292748</v>
      </c>
      <c r="AL4536">
        <v>90.256721596277302</v>
      </c>
      <c r="AM4536">
        <v>92.213627004522607</v>
      </c>
      <c r="AN4536">
        <v>0.99999997238410099</v>
      </c>
    </row>
    <row r="4537" spans="1:40" x14ac:dyDescent="0.25">
      <c r="A4537" t="str">
        <f>"20190312150742572"</f>
        <v>20190312150742572</v>
      </c>
      <c r="B4537" t="str">
        <f>"1552374462563883"</f>
        <v>1552374462563883</v>
      </c>
      <c r="C4537" t="s">
        <v>40</v>
      </c>
      <c r="D4537">
        <v>4.5752290000000002</v>
      </c>
      <c r="E4537">
        <v>0.43264829999999999</v>
      </c>
      <c r="F4537" t="s">
        <v>42</v>
      </c>
      <c r="G4537">
        <v>-490.50409999999999</v>
      </c>
      <c r="H4537" s="1">
        <v>-1.6301330000000001E-7</v>
      </c>
      <c r="I4537">
        <v>229.65639999999999</v>
      </c>
      <c r="J4537">
        <v>-493.46300000000002</v>
      </c>
      <c r="K4537">
        <v>1.110646</v>
      </c>
      <c r="L4537">
        <v>244.14689999999999</v>
      </c>
      <c r="M4537">
        <v>-1.5861150000000001E-2</v>
      </c>
      <c r="N4537">
        <v>0</v>
      </c>
      <c r="O4537">
        <v>-0.99979479999999998</v>
      </c>
      <c r="P4537">
        <v>2.339331E-2</v>
      </c>
      <c r="Q4537">
        <v>-1.6958830000000001E-2</v>
      </c>
      <c r="R4537">
        <v>-0.99958250000000004</v>
      </c>
      <c r="S4537">
        <v>0.6060181</v>
      </c>
      <c r="T4537">
        <v>-0.22753419999999999</v>
      </c>
      <c r="U4537">
        <v>-2.9836580000000001</v>
      </c>
      <c r="V4537">
        <v>-3.924308E-2</v>
      </c>
      <c r="W4537">
        <v>-4.3953450000000002E-3</v>
      </c>
      <c r="X4537">
        <v>0.99922</v>
      </c>
      <c r="Y4537">
        <v>-0.21401600000000001</v>
      </c>
      <c r="Z4537">
        <v>7.438881E-2</v>
      </c>
      <c r="AA4537">
        <v>0.97399349999999996</v>
      </c>
      <c r="AB4537">
        <v>16</v>
      </c>
      <c r="AC4537">
        <v>2.9589000000000198</v>
      </c>
      <c r="AD4537">
        <v>-1.1106461630133</v>
      </c>
      <c r="AE4537">
        <v>-14.4904999999999</v>
      </c>
      <c r="AF4537">
        <v>-3.17050179291659</v>
      </c>
      <c r="AG4537">
        <v>-1.1106461630133</v>
      </c>
      <c r="AH4537">
        <v>14.360753529113699</v>
      </c>
      <c r="AI4537">
        <v>94.318801342529397</v>
      </c>
      <c r="AJ4537">
        <v>102.449790386044</v>
      </c>
      <c r="AK4537">
        <v>14.748452747398799</v>
      </c>
      <c r="AL4537">
        <v>90.2518355355799</v>
      </c>
      <c r="AM4537">
        <v>92.249062168138906</v>
      </c>
      <c r="AN4537">
        <v>0.99999997339277702</v>
      </c>
    </row>
    <row r="4538" spans="1:40" x14ac:dyDescent="0.25">
      <c r="A4538" t="str">
        <f>"20190312150742585"</f>
        <v>20190312150742585</v>
      </c>
      <c r="B4538" t="str">
        <f>"1552374462574620"</f>
        <v>1552374462574620</v>
      </c>
      <c r="C4538" t="s">
        <v>40</v>
      </c>
      <c r="D4538">
        <v>4.4687400000000004</v>
      </c>
      <c r="E4538">
        <v>0.43278850000000002</v>
      </c>
      <c r="F4538" t="s">
        <v>61</v>
      </c>
      <c r="G4538">
        <v>-490.49040000000002</v>
      </c>
      <c r="H4538" s="1">
        <v>6.4786519999999999E-6</v>
      </c>
      <c r="I4538">
        <v>229.5598</v>
      </c>
      <c r="J4538">
        <v>-493.46409999999997</v>
      </c>
      <c r="K4538">
        <v>1.110673</v>
      </c>
      <c r="L4538">
        <v>244.06180000000001</v>
      </c>
      <c r="M4538">
        <v>-1.555839E-2</v>
      </c>
      <c r="N4538">
        <v>0</v>
      </c>
      <c r="O4538">
        <v>-0.99980069999999999</v>
      </c>
      <c r="P4538">
        <v>2.4436530000000001E-2</v>
      </c>
      <c r="Q4538">
        <v>-1.6583569999999999E-2</v>
      </c>
      <c r="R4538">
        <v>-0.99956409999999996</v>
      </c>
      <c r="S4538">
        <v>0.607940699999999</v>
      </c>
      <c r="T4538">
        <v>-0.22713539999999999</v>
      </c>
      <c r="U4538">
        <v>-2.9831699999999999</v>
      </c>
      <c r="V4538">
        <v>-3.9982589999999998E-2</v>
      </c>
      <c r="W4538">
        <v>-4.1065329999999999E-3</v>
      </c>
      <c r="X4538">
        <v>0.99919190000000002</v>
      </c>
      <c r="Y4538">
        <v>-0.21435589999999999</v>
      </c>
      <c r="Z4538">
        <v>7.4264029999999995E-2</v>
      </c>
      <c r="AA4538">
        <v>0.97392829999999997</v>
      </c>
      <c r="AB4538">
        <v>16</v>
      </c>
      <c r="AC4538">
        <v>2.9736999999999498</v>
      </c>
      <c r="AD4538">
        <v>-1.110666521348</v>
      </c>
      <c r="AE4538">
        <v>-14.502000000000001</v>
      </c>
      <c r="AF4538">
        <v>-3.1810794367068</v>
      </c>
      <c r="AG4538">
        <v>-1.110666521348</v>
      </c>
      <c r="AH4538">
        <v>14.3730701292376</v>
      </c>
      <c r="AI4538">
        <v>94.314697926166005</v>
      </c>
      <c r="AJ4538">
        <v>102.47965733623001</v>
      </c>
      <c r="AK4538">
        <v>14.7627230362242</v>
      </c>
      <c r="AL4538">
        <v>90.235287679558596</v>
      </c>
      <c r="AM4538">
        <v>92.291463876337801</v>
      </c>
      <c r="AN4538">
        <v>0.99999996207099795</v>
      </c>
    </row>
    <row r="4539" spans="1:40" x14ac:dyDescent="0.25">
      <c r="A4539" t="str">
        <f>"20190312150742595"</f>
        <v>20190312150742595</v>
      </c>
      <c r="B4539" t="str">
        <f>"1552374462584380"</f>
        <v>1552374462584380</v>
      </c>
      <c r="C4539" t="s">
        <v>40</v>
      </c>
      <c r="D4539">
        <v>4.4660479999999998</v>
      </c>
      <c r="E4539">
        <v>0.43292009999999997</v>
      </c>
      <c r="F4539" t="s">
        <v>61</v>
      </c>
      <c r="G4539">
        <v>-490.46589999999998</v>
      </c>
      <c r="H4539" s="1">
        <v>6.4501630000000001E-6</v>
      </c>
      <c r="I4539">
        <v>229.4016</v>
      </c>
      <c r="J4539">
        <v>-493.4649</v>
      </c>
      <c r="K4539">
        <v>1.110716</v>
      </c>
      <c r="L4539">
        <v>243.98609999999999</v>
      </c>
      <c r="M4539">
        <v>-1.5249270000000001E-2</v>
      </c>
      <c r="N4539">
        <v>0</v>
      </c>
      <c r="O4539">
        <v>-0.99980550000000001</v>
      </c>
      <c r="P4539">
        <v>2.5511280000000001E-2</v>
      </c>
      <c r="Q4539">
        <v>-1.6487999999999999E-2</v>
      </c>
      <c r="R4539">
        <v>-0.99953879999999995</v>
      </c>
      <c r="S4539">
        <v>0.60998540000000001</v>
      </c>
      <c r="T4539">
        <v>-0.22596820000000001</v>
      </c>
      <c r="U4539">
        <v>-2.9826510000000002</v>
      </c>
      <c r="V4539">
        <v>-4.0748260000000001E-2</v>
      </c>
      <c r="W4539">
        <v>-4.0138049999999996E-3</v>
      </c>
      <c r="X4539">
        <v>0.99916139999999998</v>
      </c>
      <c r="Y4539">
        <v>-0.2147336</v>
      </c>
      <c r="Z4539">
        <v>7.3889549999999998E-2</v>
      </c>
      <c r="AA4539">
        <v>0.97387360000000001</v>
      </c>
      <c r="AB4539">
        <v>16</v>
      </c>
      <c r="AC4539">
        <v>2.9990000000000201</v>
      </c>
      <c r="AD4539">
        <v>-1.1107095498370001</v>
      </c>
      <c r="AE4539">
        <v>-14.584499999999901</v>
      </c>
      <c r="AF4539">
        <v>-3.2032468939637102</v>
      </c>
      <c r="AG4539">
        <v>-1.1107095498370001</v>
      </c>
      <c r="AH4539">
        <v>14.4566227757763</v>
      </c>
      <c r="AI4539">
        <v>94.289790510948393</v>
      </c>
      <c r="AJ4539">
        <v>102.493543064891</v>
      </c>
      <c r="AK4539">
        <v>14.8488520919592</v>
      </c>
      <c r="AL4539">
        <v>90.229974699821994</v>
      </c>
      <c r="AM4539">
        <v>92.335368684259294</v>
      </c>
      <c r="AN4539">
        <v>1.00000001728678</v>
      </c>
    </row>
    <row r="4540" spans="1:40" x14ac:dyDescent="0.25">
      <c r="A4540" t="str">
        <f>"20190312150742606"</f>
        <v>20190312150742606</v>
      </c>
      <c r="B4540" t="str">
        <f>"1552374462594139"</f>
        <v>1552374462594139</v>
      </c>
      <c r="C4540" t="s">
        <v>40</v>
      </c>
      <c r="D4540">
        <v>4.5673839999999997</v>
      </c>
      <c r="E4540">
        <v>0.43303039999999998</v>
      </c>
      <c r="F4540" t="s">
        <v>61</v>
      </c>
      <c r="G4540">
        <v>-490.45350000000002</v>
      </c>
      <c r="H4540" s="1">
        <v>6.4263649999999899E-6</v>
      </c>
      <c r="I4540">
        <v>229.30459999999999</v>
      </c>
      <c r="J4540">
        <v>-493.4658</v>
      </c>
      <c r="K4540">
        <v>1.1107610000000001</v>
      </c>
      <c r="L4540">
        <v>243.9093</v>
      </c>
      <c r="M4540">
        <v>-1.49257E-2</v>
      </c>
      <c r="N4540">
        <v>0</v>
      </c>
      <c r="O4540">
        <v>-0.99981030000000004</v>
      </c>
      <c r="P4540">
        <v>2.656035E-2</v>
      </c>
      <c r="Q4540">
        <v>-1.6345479999999999E-2</v>
      </c>
      <c r="R4540">
        <v>-0.9995136</v>
      </c>
      <c r="S4540">
        <v>0.61166379999999998</v>
      </c>
      <c r="T4540">
        <v>-0.22560459999999999</v>
      </c>
      <c r="U4540">
        <v>-2.9820709999999999</v>
      </c>
      <c r="V4540">
        <v>-4.1472929999999998E-2</v>
      </c>
      <c r="W4540">
        <v>-3.873338E-3</v>
      </c>
      <c r="X4540">
        <v>0.99913209999999997</v>
      </c>
      <c r="Y4540">
        <v>-0.21498249999999999</v>
      </c>
      <c r="Z4540">
        <v>7.3779700000000004E-2</v>
      </c>
      <c r="AA4540">
        <v>0.973827</v>
      </c>
      <c r="AB4540">
        <v>16</v>
      </c>
      <c r="AC4540">
        <v>3.0122999999999802</v>
      </c>
      <c r="AD4540">
        <v>-1.110754573635</v>
      </c>
      <c r="AE4540">
        <v>-14.604699999999999</v>
      </c>
      <c r="AF4540">
        <v>-3.2121449831837801</v>
      </c>
      <c r="AG4540">
        <v>-1.110754573635</v>
      </c>
      <c r="AH4540">
        <v>14.4777819998371</v>
      </c>
      <c r="AI4540">
        <v>94.283455099432004</v>
      </c>
      <c r="AJ4540">
        <v>102.509422322105</v>
      </c>
      <c r="AK4540">
        <v>14.871375953510499</v>
      </c>
      <c r="AL4540">
        <v>90.221926479395194</v>
      </c>
      <c r="AM4540">
        <v>92.376923454699806</v>
      </c>
      <c r="AN4540">
        <v>0.99999997996022805</v>
      </c>
    </row>
    <row r="4541" spans="1:40" x14ac:dyDescent="0.25">
      <c r="A4541" t="str">
        <f>"20190312150742617"</f>
        <v>20190312150742617</v>
      </c>
      <c r="B4541" t="str">
        <f>"1552374462614634"</f>
        <v>1552374462614634</v>
      </c>
      <c r="C4541" t="s">
        <v>40</v>
      </c>
      <c r="D4541">
        <v>4.5279160000000003</v>
      </c>
      <c r="E4541">
        <v>0.43325609999999998</v>
      </c>
      <c r="F4541" t="s">
        <v>61</v>
      </c>
      <c r="G4541">
        <v>-490.43689999999998</v>
      </c>
      <c r="H4541" s="1">
        <v>6.3981669999999997E-6</v>
      </c>
      <c r="I4541">
        <v>229.20169999999999</v>
      </c>
      <c r="J4541">
        <v>-493.46660000000003</v>
      </c>
      <c r="K4541">
        <v>1.110803</v>
      </c>
      <c r="L4541">
        <v>243.82929999999999</v>
      </c>
      <c r="M4541">
        <v>-1.4550250000000001E-2</v>
      </c>
      <c r="N4541">
        <v>0</v>
      </c>
      <c r="O4541">
        <v>-0.99981589999999998</v>
      </c>
      <c r="P4541">
        <v>2.776547E-2</v>
      </c>
      <c r="Q4541">
        <v>-1.6320500000000002E-2</v>
      </c>
      <c r="R4541">
        <v>-0.99948130000000002</v>
      </c>
      <c r="S4541">
        <v>0.6140137</v>
      </c>
      <c r="T4541">
        <v>-0.22516910000000001</v>
      </c>
      <c r="U4541">
        <v>-2.9814759999999998</v>
      </c>
      <c r="V4541">
        <v>-4.2301890000000002E-2</v>
      </c>
      <c r="W4541">
        <v>-3.8469239999999998E-3</v>
      </c>
      <c r="X4541">
        <v>0.99909749999999997</v>
      </c>
      <c r="Y4541">
        <v>-0.21539249999999999</v>
      </c>
      <c r="Z4541">
        <v>7.364387E-2</v>
      </c>
      <c r="AA4541">
        <v>0.97374669999999997</v>
      </c>
      <c r="AB4541">
        <v>16</v>
      </c>
      <c r="AC4541">
        <v>3.02970000000004</v>
      </c>
      <c r="AD4541">
        <v>-1.110796601833</v>
      </c>
      <c r="AE4541">
        <v>-14.627599999999999</v>
      </c>
      <c r="AF4541">
        <v>-3.2244020046396402</v>
      </c>
      <c r="AG4541">
        <v>-1.110796601833</v>
      </c>
      <c r="AH4541">
        <v>14.501778349527701</v>
      </c>
      <c r="AI4541">
        <v>94.276123584510003</v>
      </c>
      <c r="AJ4541">
        <v>102.535526567459</v>
      </c>
      <c r="AK4541">
        <v>14.897389458458701</v>
      </c>
      <c r="AL4541">
        <v>90.220413045984003</v>
      </c>
      <c r="AM4541">
        <v>92.424461072982098</v>
      </c>
      <c r="AN4541">
        <v>1.0000000316140401</v>
      </c>
    </row>
    <row r="4542" spans="1:40" x14ac:dyDescent="0.25">
      <c r="A4542" t="str">
        <f>"20190312150742628"</f>
        <v>20190312150742628</v>
      </c>
      <c r="B4542" t="str">
        <f>"1552374462624114"</f>
        <v>1552374462624114</v>
      </c>
      <c r="C4542" t="s">
        <v>40</v>
      </c>
      <c r="D4542">
        <v>4.4941950000000004</v>
      </c>
      <c r="E4542">
        <v>0.43336809999999998</v>
      </c>
      <c r="F4542" t="s">
        <v>61</v>
      </c>
      <c r="G4542">
        <v>-490.4248</v>
      </c>
      <c r="H4542" s="1">
        <v>6.3733079999999998E-6</v>
      </c>
      <c r="I4542">
        <v>229.11279999999999</v>
      </c>
      <c r="J4542">
        <v>-493.46730000000002</v>
      </c>
      <c r="K4542">
        <v>1.11084</v>
      </c>
      <c r="L4542">
        <v>243.7516</v>
      </c>
      <c r="M4542">
        <v>-1.416567E-2</v>
      </c>
      <c r="N4542">
        <v>0</v>
      </c>
      <c r="O4542">
        <v>-0.99982119999999997</v>
      </c>
      <c r="P4542">
        <v>2.8667519999999998E-2</v>
      </c>
      <c r="Q4542">
        <v>-1.6517859999999999E-2</v>
      </c>
      <c r="R4542">
        <v>-0.99945240000000002</v>
      </c>
      <c r="S4542">
        <v>0.61608890000000005</v>
      </c>
      <c r="T4542">
        <v>-0.2249854</v>
      </c>
      <c r="U4542">
        <v>-2.9807429999999999</v>
      </c>
      <c r="V4542">
        <v>-4.281923E-2</v>
      </c>
      <c r="W4542">
        <v>-4.0576199999999996E-3</v>
      </c>
      <c r="X4542">
        <v>0.99907460000000003</v>
      </c>
      <c r="Y4542">
        <v>-0.2157152</v>
      </c>
      <c r="Z4542">
        <v>7.3594640000000003E-2</v>
      </c>
      <c r="AA4542">
        <v>0.97367899999999996</v>
      </c>
      <c r="AB4542">
        <v>16</v>
      </c>
      <c r="AC4542">
        <v>3.0425000000000102</v>
      </c>
      <c r="AD4542">
        <v>-1.110833626692</v>
      </c>
      <c r="AE4542">
        <v>-14.6388</v>
      </c>
      <c r="AF4542">
        <v>-3.23174089075561</v>
      </c>
      <c r="AG4542">
        <v>-1.110833626692</v>
      </c>
      <c r="AH4542">
        <v>14.5141139529307</v>
      </c>
      <c r="AI4542">
        <v>94.272358861532197</v>
      </c>
      <c r="AJ4542">
        <v>102.552814300143</v>
      </c>
      <c r="AK4542">
        <v>14.910989382661</v>
      </c>
      <c r="AL4542">
        <v>90.232485137995198</v>
      </c>
      <c r="AM4542">
        <v>92.454131687456197</v>
      </c>
      <c r="AN4542">
        <v>1.0000000035515</v>
      </c>
    </row>
    <row r="4543" spans="1:40" x14ac:dyDescent="0.25">
      <c r="A4543" t="str">
        <f>"20190312150742640"</f>
        <v>20190312150742640</v>
      </c>
      <c r="B4543" t="str">
        <f>"1552374462634850"</f>
        <v>1552374462634850</v>
      </c>
      <c r="C4543" t="s">
        <v>40</v>
      </c>
      <c r="D4543">
        <v>4.5662120000000002</v>
      </c>
      <c r="E4543">
        <v>0.43347469999999999</v>
      </c>
      <c r="F4543" t="s">
        <v>61</v>
      </c>
      <c r="G4543">
        <v>-490.42669999999998</v>
      </c>
      <c r="H4543" s="1">
        <v>6.3659959999999996E-6</v>
      </c>
      <c r="I4543">
        <v>229.09059999999999</v>
      </c>
      <c r="J4543">
        <v>-493.46809999999999</v>
      </c>
      <c r="K4543">
        <v>1.11087</v>
      </c>
      <c r="L4543">
        <v>243.66540000000001</v>
      </c>
      <c r="M4543">
        <v>-1.370854E-2</v>
      </c>
      <c r="N4543">
        <v>0</v>
      </c>
      <c r="O4543">
        <v>-0.99982819999999994</v>
      </c>
      <c r="P4543">
        <v>2.9820909999999999E-2</v>
      </c>
      <c r="Q4543">
        <v>-1.6173139999999999E-2</v>
      </c>
      <c r="R4543">
        <v>-0.9994246</v>
      </c>
      <c r="S4543">
        <v>0.61807250000000002</v>
      </c>
      <c r="T4543">
        <v>-0.2258011</v>
      </c>
      <c r="U4543">
        <v>-2.9801639999999998</v>
      </c>
      <c r="V4543">
        <v>-4.3515289999999998E-2</v>
      </c>
      <c r="W4543">
        <v>-3.75202E-3</v>
      </c>
      <c r="X4543">
        <v>0.99904570000000004</v>
      </c>
      <c r="Y4543">
        <v>-0.2159237</v>
      </c>
      <c r="Z4543">
        <v>7.3868039999999996E-2</v>
      </c>
      <c r="AA4543">
        <v>0.97361209999999998</v>
      </c>
      <c r="AB4543">
        <v>16</v>
      </c>
      <c r="AC4543">
        <v>3.0413999999999999</v>
      </c>
      <c r="AD4543">
        <v>-1.1108636340039999</v>
      </c>
      <c r="AE4543">
        <v>-14.5748</v>
      </c>
      <c r="AF4543">
        <v>-3.2229872473550198</v>
      </c>
      <c r="AG4543">
        <v>-1.1108636340039999</v>
      </c>
      <c r="AH4543">
        <v>14.451286545925599</v>
      </c>
      <c r="AI4543">
        <v>94.290650530336904</v>
      </c>
      <c r="AJ4543">
        <v>102.572590223286</v>
      </c>
      <c r="AK4543">
        <v>14.847940855297701</v>
      </c>
      <c r="AL4543">
        <v>90.214975418395198</v>
      </c>
      <c r="AM4543">
        <v>92.494047596990498</v>
      </c>
      <c r="AN4543">
        <v>0.99999998440317694</v>
      </c>
    </row>
    <row r="4544" spans="1:40" x14ac:dyDescent="0.25">
      <c r="A4544" t="str">
        <f>"20190312150742652"</f>
        <v>20190312150742652</v>
      </c>
      <c r="B4544" t="str">
        <f>"1552374462644611"</f>
        <v>1552374462644611</v>
      </c>
      <c r="C4544" t="s">
        <v>40</v>
      </c>
      <c r="D4544">
        <v>4.493341</v>
      </c>
      <c r="E4544">
        <v>0.43358029999999997</v>
      </c>
      <c r="F4544" t="s">
        <v>61</v>
      </c>
      <c r="G4544">
        <v>-490.4</v>
      </c>
      <c r="H4544" s="1">
        <v>6.3218509999999997E-6</v>
      </c>
      <c r="I4544">
        <v>228.929</v>
      </c>
      <c r="J4544">
        <v>-493.46870000000001</v>
      </c>
      <c r="K4544">
        <v>1.110894</v>
      </c>
      <c r="L4544">
        <v>243.58750000000001</v>
      </c>
      <c r="M4544">
        <v>-1.326924E-2</v>
      </c>
      <c r="N4544">
        <v>0</v>
      </c>
      <c r="O4544">
        <v>-0.99983480000000002</v>
      </c>
      <c r="P4544">
        <v>3.0520539999999999E-2</v>
      </c>
      <c r="Q4544">
        <v>-1.5871380000000001E-2</v>
      </c>
      <c r="R4544">
        <v>-0.99940839999999997</v>
      </c>
      <c r="S4544">
        <v>0.62033079999999996</v>
      </c>
      <c r="T4544">
        <v>-0.2246052</v>
      </c>
      <c r="U4544">
        <v>-2.9795530000000001</v>
      </c>
      <c r="V4544">
        <v>-4.3775439999999999E-2</v>
      </c>
      <c r="W4544">
        <v>-3.4978990000000001E-3</v>
      </c>
      <c r="X4544">
        <v>0.99903529999999996</v>
      </c>
      <c r="Y4544">
        <v>-0.21624750000000001</v>
      </c>
      <c r="Z4544">
        <v>7.3486070000000001E-2</v>
      </c>
      <c r="AA4544">
        <v>0.97356909999999997</v>
      </c>
      <c r="AB4544">
        <v>16</v>
      </c>
      <c r="AC4544">
        <v>3.06870000000003</v>
      </c>
      <c r="AD4544">
        <v>-1.110887678149</v>
      </c>
      <c r="AE4544">
        <v>-14.6585</v>
      </c>
      <c r="AF4544">
        <v>-3.2450969094599298</v>
      </c>
      <c r="AG4544">
        <v>-1.110887678149</v>
      </c>
      <c r="AH4544">
        <v>14.5365046306758</v>
      </c>
      <c r="AI4544">
        <v>94.265489451017899</v>
      </c>
      <c r="AJ4544">
        <v>102.58424429895</v>
      </c>
      <c r="AK4544">
        <v>14.935685195628199</v>
      </c>
      <c r="AL4544">
        <v>90.200415253033896</v>
      </c>
      <c r="AM4544">
        <v>92.508964995687293</v>
      </c>
      <c r="AN4544">
        <v>1.00000002754534</v>
      </c>
    </row>
    <row r="4545" spans="1:40" x14ac:dyDescent="0.25">
      <c r="A4545" t="str">
        <f>"20190312150742663"</f>
        <v>20190312150742663</v>
      </c>
      <c r="B4545" t="str">
        <f>"1552374462654371"</f>
        <v>1552374462654371</v>
      </c>
      <c r="C4545" t="s">
        <v>40</v>
      </c>
      <c r="D4545">
        <v>4.4892940000000001</v>
      </c>
      <c r="E4545">
        <v>0.4336795</v>
      </c>
      <c r="F4545" t="s">
        <v>61</v>
      </c>
      <c r="G4545">
        <v>-490.37790000000001</v>
      </c>
      <c r="H4545" s="1">
        <v>6.278719E-6</v>
      </c>
      <c r="I4545">
        <v>228.7739</v>
      </c>
      <c r="J4545">
        <v>-493.46929999999998</v>
      </c>
      <c r="K4545">
        <v>1.1109180000000001</v>
      </c>
      <c r="L4545">
        <v>243.50540000000001</v>
      </c>
      <c r="M4545">
        <v>-1.27949E-2</v>
      </c>
      <c r="N4545">
        <v>0</v>
      </c>
      <c r="O4545">
        <v>-0.99984150000000005</v>
      </c>
      <c r="P4545">
        <v>3.145825E-2</v>
      </c>
      <c r="Q4545">
        <v>-1.570475E-2</v>
      </c>
      <c r="R4545">
        <v>-0.99938190000000005</v>
      </c>
      <c r="S4545">
        <v>0.62161250000000001</v>
      </c>
      <c r="T4545">
        <v>-0.22341730000000001</v>
      </c>
      <c r="U4545">
        <v>-2.9792480000000001</v>
      </c>
      <c r="V4545">
        <v>-4.4238960000000001E-2</v>
      </c>
      <c r="W4545">
        <v>-3.387639E-3</v>
      </c>
      <c r="X4545">
        <v>0.99901519999999999</v>
      </c>
      <c r="Y4545">
        <v>-0.2162114</v>
      </c>
      <c r="Z4545">
        <v>7.3104680000000005E-2</v>
      </c>
      <c r="AA4545">
        <v>0.97360579999999997</v>
      </c>
      <c r="AB4545">
        <v>16</v>
      </c>
      <c r="AC4545">
        <v>3.0913999999999602</v>
      </c>
      <c r="AD4545">
        <v>-1.110911721281</v>
      </c>
      <c r="AE4545">
        <v>-14.7315</v>
      </c>
      <c r="AF4545">
        <v>-3.2618822772318001</v>
      </c>
      <c r="AG4545">
        <v>-1.110911721281</v>
      </c>
      <c r="AH4545">
        <v>14.6111512724317</v>
      </c>
      <c r="AI4545">
        <v>94.243861428682095</v>
      </c>
      <c r="AJ4545">
        <v>102.584697821166</v>
      </c>
      <c r="AK4545">
        <v>15.0119866223255</v>
      </c>
      <c r="AL4545">
        <v>90.1940977951094</v>
      </c>
      <c r="AM4545">
        <v>92.535547845219597</v>
      </c>
      <c r="AN4545">
        <v>0.99999996575545702</v>
      </c>
    </row>
    <row r="4546" spans="1:40" x14ac:dyDescent="0.25">
      <c r="A4546" t="str">
        <f>"20190312150742674"</f>
        <v>20190312150742674</v>
      </c>
      <c r="B4546" t="str">
        <f>"1552374462664130"</f>
        <v>1552374462664130</v>
      </c>
      <c r="C4546" t="s">
        <v>40</v>
      </c>
      <c r="D4546">
        <v>4.4891649999999998</v>
      </c>
      <c r="E4546">
        <v>0.43377700000000002</v>
      </c>
      <c r="F4546" t="s">
        <v>61</v>
      </c>
      <c r="G4546">
        <v>-490.36349999999999</v>
      </c>
      <c r="H4546" s="1">
        <v>6.2535759999999999E-6</v>
      </c>
      <c r="I4546">
        <v>228.6824</v>
      </c>
      <c r="J4546">
        <v>-493.46980000000002</v>
      </c>
      <c r="K4546">
        <v>1.1109450000000001</v>
      </c>
      <c r="L4546">
        <v>243.42830000000001</v>
      </c>
      <c r="M4546">
        <v>-1.2322339999999999E-2</v>
      </c>
      <c r="N4546">
        <v>0</v>
      </c>
      <c r="O4546">
        <v>-0.99984810000000002</v>
      </c>
      <c r="P4546">
        <v>3.2339649999999998E-2</v>
      </c>
      <c r="Q4546">
        <v>-1.5178850000000001E-2</v>
      </c>
      <c r="R4546">
        <v>-0.99936199999999997</v>
      </c>
      <c r="S4546">
        <v>0.62411499999999998</v>
      </c>
      <c r="T4546">
        <v>-0.22324069999999999</v>
      </c>
      <c r="U4546">
        <v>-2.9787140000000001</v>
      </c>
      <c r="V4546">
        <v>-4.4648220000000002E-2</v>
      </c>
      <c r="W4546">
        <v>-2.9005369999999999E-3</v>
      </c>
      <c r="X4546">
        <v>0.99899859999999896</v>
      </c>
      <c r="Y4546">
        <v>-0.2165694</v>
      </c>
      <c r="Z4546">
        <v>7.3051519999999995E-2</v>
      </c>
      <c r="AA4546">
        <v>0.97353020000000001</v>
      </c>
      <c r="AB4546">
        <v>16</v>
      </c>
      <c r="AC4546">
        <v>3.1063000000000298</v>
      </c>
      <c r="AD4546">
        <v>-1.1109387464239999</v>
      </c>
      <c r="AE4546">
        <v>-14.745900000000001</v>
      </c>
      <c r="AF4546">
        <v>-3.2700101795993501</v>
      </c>
      <c r="AG4546">
        <v>-1.1109387464239999</v>
      </c>
      <c r="AH4546">
        <v>14.6270061126874</v>
      </c>
      <c r="AI4546">
        <v>94.239098926573504</v>
      </c>
      <c r="AJ4546">
        <v>102.601816653822</v>
      </c>
      <c r="AK4546">
        <v>15.029186913921301</v>
      </c>
      <c r="AL4546">
        <v>90.166188754846402</v>
      </c>
      <c r="AM4546">
        <v>92.559015933518197</v>
      </c>
      <c r="AN4546">
        <v>1.000000039733</v>
      </c>
    </row>
    <row r="4547" spans="1:40" x14ac:dyDescent="0.25">
      <c r="A4547" t="str">
        <f>"20190312150742686"</f>
        <v>20190312150742686</v>
      </c>
      <c r="B4547" t="str">
        <f>"1552374462674866"</f>
        <v>1552374462674866</v>
      </c>
      <c r="C4547" t="s">
        <v>40</v>
      </c>
      <c r="D4547">
        <v>4.5625410000000004</v>
      </c>
      <c r="E4547">
        <v>0.43391960000000002</v>
      </c>
      <c r="F4547" t="s">
        <v>61</v>
      </c>
      <c r="G4547">
        <v>-490.33980000000003</v>
      </c>
      <c r="H4547" s="1">
        <v>6.2120559999999998E-6</v>
      </c>
      <c r="I4547">
        <v>228.53139999999999</v>
      </c>
      <c r="J4547">
        <v>-493.47019999999998</v>
      </c>
      <c r="K4547">
        <v>1.1109739999999999</v>
      </c>
      <c r="L4547">
        <v>243.34819999999999</v>
      </c>
      <c r="M4547">
        <v>-1.182479E-2</v>
      </c>
      <c r="N4547">
        <v>0</v>
      </c>
      <c r="O4547">
        <v>-0.99985429999999997</v>
      </c>
      <c r="P4547">
        <v>3.3472300000000003E-2</v>
      </c>
      <c r="Q4547">
        <v>-1.4761059999999999E-2</v>
      </c>
      <c r="R4547">
        <v>-0.99933079999999996</v>
      </c>
      <c r="S4547">
        <v>0.62576290000000001</v>
      </c>
      <c r="T4547">
        <v>-0.2221051</v>
      </c>
      <c r="U4547">
        <v>-2.978256</v>
      </c>
      <c r="V4547">
        <v>-4.5284199999999997E-2</v>
      </c>
      <c r="W4547">
        <v>-2.5192259999999998E-3</v>
      </c>
      <c r="X4547">
        <v>0.99897100000000005</v>
      </c>
      <c r="Y4547">
        <v>-0.2166351</v>
      </c>
      <c r="Z4547">
        <v>7.2688849999999999E-2</v>
      </c>
      <c r="AA4547">
        <v>0.97354280000000004</v>
      </c>
      <c r="AB4547">
        <v>16</v>
      </c>
      <c r="AC4547">
        <v>3.1303999999999501</v>
      </c>
      <c r="AD4547">
        <v>-1.1109677879440001</v>
      </c>
      <c r="AE4547">
        <v>-14.816800000000001</v>
      </c>
      <c r="AF4547">
        <v>-3.2877061002004502</v>
      </c>
      <c r="AG4547">
        <v>-1.1109677879440001</v>
      </c>
      <c r="AH4547">
        <v>14.699634064116101</v>
      </c>
      <c r="AI4547">
        <v>94.218251190671396</v>
      </c>
      <c r="AJ4547">
        <v>102.60723355273301</v>
      </c>
      <c r="AK4547">
        <v>15.103724787153199</v>
      </c>
      <c r="AL4547">
        <v>90.144341165489806</v>
      </c>
      <c r="AM4547">
        <v>92.595489287465895</v>
      </c>
      <c r="AN4547">
        <v>1.0000000320551301</v>
      </c>
    </row>
    <row r="4548" spans="1:40" x14ac:dyDescent="0.25">
      <c r="A4548" t="str">
        <f>"20190312150742696"</f>
        <v>20190312150742696</v>
      </c>
      <c r="B4548" t="str">
        <f>"1552374462684626"</f>
        <v>1552374462684626</v>
      </c>
      <c r="C4548" t="s">
        <v>40</v>
      </c>
      <c r="D4548">
        <v>4.4818110000000004</v>
      </c>
      <c r="E4548">
        <v>0.43402590000000002</v>
      </c>
      <c r="F4548" t="s">
        <v>61</v>
      </c>
      <c r="G4548">
        <v>-490.30959999999999</v>
      </c>
      <c r="H4548" s="1">
        <v>6.1662390000000004E-6</v>
      </c>
      <c r="I4548">
        <v>228.36199999999999</v>
      </c>
      <c r="J4548">
        <v>-493.47050000000002</v>
      </c>
      <c r="K4548">
        <v>1.1110040000000001</v>
      </c>
      <c r="L4548">
        <v>243.2749</v>
      </c>
      <c r="M4548">
        <v>-1.134114E-2</v>
      </c>
      <c r="N4548">
        <v>0</v>
      </c>
      <c r="O4548">
        <v>-0.99985990000000002</v>
      </c>
      <c r="P4548">
        <v>3.4644479999999998E-2</v>
      </c>
      <c r="Q4548">
        <v>-1.446709E-2</v>
      </c>
      <c r="R4548">
        <v>-0.99929500000000004</v>
      </c>
      <c r="S4548">
        <v>0.62799069999999901</v>
      </c>
      <c r="T4548">
        <v>-0.2207441</v>
      </c>
      <c r="U4548">
        <v>-2.9776919999999998</v>
      </c>
      <c r="V4548">
        <v>-4.5973020000000003E-2</v>
      </c>
      <c r="W4548">
        <v>-2.2401819999999999E-3</v>
      </c>
      <c r="X4548">
        <v>0.99894019999999994</v>
      </c>
      <c r="Y4548">
        <v>-0.21690409999999999</v>
      </c>
      <c r="Z4548">
        <v>7.2252109999999994E-2</v>
      </c>
      <c r="AA4548">
        <v>0.97351540000000003</v>
      </c>
      <c r="AB4548">
        <v>16</v>
      </c>
      <c r="AC4548">
        <v>3.1609000000000198</v>
      </c>
      <c r="AD4548">
        <v>-1.110997833761</v>
      </c>
      <c r="AE4548">
        <v>-14.9129</v>
      </c>
      <c r="AF4548">
        <v>-3.31224581372211</v>
      </c>
      <c r="AG4548">
        <v>-1.110997833761</v>
      </c>
      <c r="AH4548">
        <v>14.797493042213199</v>
      </c>
      <c r="AI4548">
        <v>94.190408125329398</v>
      </c>
      <c r="AJ4548">
        <v>102.61701497127299</v>
      </c>
      <c r="AK4548">
        <v>15.204311521785201</v>
      </c>
      <c r="AL4548">
        <v>90.128353077435307</v>
      </c>
      <c r="AM4548">
        <v>92.634995293951206</v>
      </c>
      <c r="AN4548">
        <v>1.0000000300796701</v>
      </c>
    </row>
    <row r="4549" spans="1:40" x14ac:dyDescent="0.25">
      <c r="A4549" t="str">
        <f>"20190312150742709"</f>
        <v>20190312150742709</v>
      </c>
      <c r="B4549" t="str">
        <f>"1552374462704146"</f>
        <v>1552374462704146</v>
      </c>
      <c r="C4549" t="s">
        <v>40</v>
      </c>
      <c r="D4549">
        <v>4.5017709999999997</v>
      </c>
      <c r="E4549">
        <v>0.43424479999999999</v>
      </c>
      <c r="F4549" t="s">
        <v>61</v>
      </c>
      <c r="G4549">
        <v>-490.27980000000002</v>
      </c>
      <c r="H4549" s="1">
        <v>6.1293269999999996E-6</v>
      </c>
      <c r="I4549">
        <v>228.22149999999999</v>
      </c>
      <c r="J4549">
        <v>-493.47089999999997</v>
      </c>
      <c r="K4549">
        <v>1.1110359999999999</v>
      </c>
      <c r="L4549">
        <v>243.19409999999999</v>
      </c>
      <c r="M4549">
        <v>-1.079564E-2</v>
      </c>
      <c r="N4549">
        <v>0</v>
      </c>
      <c r="O4549">
        <v>-0.99986620000000004</v>
      </c>
      <c r="P4549">
        <v>3.5728509999999998E-2</v>
      </c>
      <c r="Q4549">
        <v>-1.4238779999999999E-2</v>
      </c>
      <c r="R4549">
        <v>-0.99926040000000005</v>
      </c>
      <c r="S4549">
        <v>0.63101200000000002</v>
      </c>
      <c r="T4549">
        <v>-0.21971850000000001</v>
      </c>
      <c r="U4549">
        <v>-2.9770810000000001</v>
      </c>
      <c r="V4549">
        <v>-4.6511759999999999E-2</v>
      </c>
      <c r="W4549">
        <v>-2.0251660000000001E-3</v>
      </c>
      <c r="X4549">
        <v>0.99891569999999996</v>
      </c>
      <c r="Y4549">
        <v>-0.21736249999999999</v>
      </c>
      <c r="Z4549">
        <v>7.1922070000000005E-2</v>
      </c>
      <c r="AA4549">
        <v>0.97343760000000001</v>
      </c>
      <c r="AB4549">
        <v>16</v>
      </c>
      <c r="AC4549">
        <v>3.1910999999999401</v>
      </c>
      <c r="AD4549">
        <v>-1.111029870673</v>
      </c>
      <c r="AE4549">
        <v>-14.9726</v>
      </c>
      <c r="AF4549">
        <v>-3.3349995283156799</v>
      </c>
      <c r="AG4549">
        <v>-1.111029870673</v>
      </c>
      <c r="AH4549">
        <v>14.8590121441219</v>
      </c>
      <c r="AI4549">
        <v>94.172703852167402</v>
      </c>
      <c r="AJ4549">
        <v>102.64999753803799</v>
      </c>
      <c r="AK4549">
        <v>15.269147033366201</v>
      </c>
      <c r="AL4549">
        <v>90.116033542720103</v>
      </c>
      <c r="AM4549">
        <v>92.665894784413993</v>
      </c>
      <c r="AN4549">
        <v>1.00000001041105</v>
      </c>
    </row>
    <row r="4550" spans="1:40" x14ac:dyDescent="0.25">
      <c r="A4550" t="str">
        <f>"20190312150742722"</f>
        <v>20190312150742722</v>
      </c>
      <c r="B4550" t="str">
        <f>"1552374462714882"</f>
        <v>1552374462714882</v>
      </c>
      <c r="C4550" t="s">
        <v>40</v>
      </c>
      <c r="D4550">
        <v>4.492623</v>
      </c>
      <c r="E4550">
        <v>0.4343439</v>
      </c>
      <c r="F4550" t="s">
        <v>61</v>
      </c>
      <c r="G4550">
        <v>-490.26150000000001</v>
      </c>
      <c r="H4550" s="1">
        <v>6.0942190000000003E-6</v>
      </c>
      <c r="I4550">
        <v>228.095</v>
      </c>
      <c r="J4550">
        <v>-493.47120000000001</v>
      </c>
      <c r="K4550">
        <v>1.11107</v>
      </c>
      <c r="L4550">
        <v>243.09370000000001</v>
      </c>
      <c r="M4550">
        <v>-1.008468E-2</v>
      </c>
      <c r="N4550">
        <v>0</v>
      </c>
      <c r="O4550">
        <v>-0.99987369999999998</v>
      </c>
      <c r="P4550">
        <v>3.7227410000000002E-2</v>
      </c>
      <c r="Q4550">
        <v>-1.364187E-2</v>
      </c>
      <c r="R4550">
        <v>-0.99921389999999999</v>
      </c>
      <c r="S4550">
        <v>0.63265990000000005</v>
      </c>
      <c r="T4550">
        <v>-0.2190182</v>
      </c>
      <c r="U4550">
        <v>-2.976486</v>
      </c>
      <c r="V4550">
        <v>-4.7301059999999999E-2</v>
      </c>
      <c r="W4550">
        <v>-1.4370400000000001E-3</v>
      </c>
      <c r="X4550">
        <v>0.99887969999999904</v>
      </c>
      <c r="Y4550">
        <v>-0.2172269</v>
      </c>
      <c r="Z4550">
        <v>7.1705859999999996E-2</v>
      </c>
      <c r="AA4550">
        <v>0.97348380000000001</v>
      </c>
      <c r="AB4550">
        <v>16</v>
      </c>
      <c r="AC4550">
        <v>3.20969999999999</v>
      </c>
      <c r="AD4550">
        <v>-1.1110639057809999</v>
      </c>
      <c r="AE4550">
        <v>-14.998699999999999</v>
      </c>
      <c r="AF4550">
        <v>-3.3432626325002199</v>
      </c>
      <c r="AG4550">
        <v>-1.1110639057809999</v>
      </c>
      <c r="AH4550">
        <v>14.887449141643</v>
      </c>
      <c r="AI4550">
        <v>94.164776589660704</v>
      </c>
      <c r="AJ4550">
        <v>102.65688799498</v>
      </c>
      <c r="AK4550">
        <v>15.298627715504701</v>
      </c>
      <c r="AL4550">
        <v>90.082336350783706</v>
      </c>
      <c r="AM4550">
        <v>92.711165385987798</v>
      </c>
      <c r="AN4550">
        <v>1.00000005521658</v>
      </c>
    </row>
    <row r="4551" spans="1:40" x14ac:dyDescent="0.25">
      <c r="A4551" t="str">
        <f>"20190312150742735"</f>
        <v>20190312150742735</v>
      </c>
      <c r="B4551" t="str">
        <f>"1552374462724174"</f>
        <v>1552374462724174</v>
      </c>
      <c r="C4551" t="s">
        <v>40</v>
      </c>
      <c r="D4551">
        <v>4.5249779999999999</v>
      </c>
      <c r="E4551">
        <v>0.43443520000000002</v>
      </c>
      <c r="F4551" t="s">
        <v>61</v>
      </c>
      <c r="G4551">
        <v>-490.2235</v>
      </c>
      <c r="H4551" s="1">
        <v>6.0430719999999999E-6</v>
      </c>
      <c r="I4551">
        <v>227.90270000000001</v>
      </c>
      <c r="J4551">
        <v>-493.47129999999999</v>
      </c>
      <c r="K4551">
        <v>1.111094</v>
      </c>
      <c r="L4551">
        <v>242.99979999999999</v>
      </c>
      <c r="M4551">
        <v>-9.3866339999999996E-3</v>
      </c>
      <c r="N4551">
        <v>0</v>
      </c>
      <c r="O4551">
        <v>-0.99988069999999896</v>
      </c>
      <c r="P4551">
        <v>3.8716729999999998E-2</v>
      </c>
      <c r="Q4551">
        <v>-1.356302E-2</v>
      </c>
      <c r="R4551">
        <v>-0.99915849999999995</v>
      </c>
      <c r="S4551">
        <v>0.6361694</v>
      </c>
      <c r="T4551">
        <v>-0.21764230000000001</v>
      </c>
      <c r="U4551">
        <v>-2.975708</v>
      </c>
      <c r="V4551">
        <v>-4.809219E-2</v>
      </c>
      <c r="W4551">
        <v>-1.370986E-3</v>
      </c>
      <c r="X4551">
        <v>0.99884189999999995</v>
      </c>
      <c r="Y4551">
        <v>-0.21770220000000001</v>
      </c>
      <c r="Z4551">
        <v>7.1264179999999996E-2</v>
      </c>
      <c r="AA4551">
        <v>0.97341009999999994</v>
      </c>
      <c r="AB4551">
        <v>16</v>
      </c>
      <c r="AC4551">
        <v>3.2477999999999798</v>
      </c>
      <c r="AD4551">
        <v>-1.1110879569280001</v>
      </c>
      <c r="AE4551">
        <v>-15.0970999999999</v>
      </c>
      <c r="AF4551">
        <v>-3.3719227175578999</v>
      </c>
      <c r="AG4551">
        <v>-1.1110879569280001</v>
      </c>
      <c r="AH4551">
        <v>14.988354766791399</v>
      </c>
      <c r="AI4551">
        <v>94.136572033626905</v>
      </c>
      <c r="AJ4551">
        <v>102.678720310044</v>
      </c>
      <c r="AK4551">
        <v>15.403089231592901</v>
      </c>
      <c r="AL4551">
        <v>90.078551740910498</v>
      </c>
      <c r="AM4551">
        <v>92.756545552805406</v>
      </c>
      <c r="AN4551">
        <v>0.99999993976860702</v>
      </c>
    </row>
    <row r="4552" spans="1:40" x14ac:dyDescent="0.25">
      <c r="A4552" t="str">
        <f>"20190312150742751"</f>
        <v>20190312150742751</v>
      </c>
      <c r="B4552" t="str">
        <f>"1552374462744672"</f>
        <v>1552374462744672</v>
      </c>
      <c r="C4552" t="s">
        <v>40</v>
      </c>
      <c r="D4552">
        <v>4.5892249999999999</v>
      </c>
      <c r="E4552">
        <v>0.43463750000000001</v>
      </c>
      <c r="F4552" t="s">
        <v>61</v>
      </c>
      <c r="G4552">
        <v>-490.2097</v>
      </c>
      <c r="H4552" s="1">
        <v>6.025818E-6</v>
      </c>
      <c r="I4552">
        <v>227.83709999999999</v>
      </c>
      <c r="J4552">
        <v>-493.47129999999999</v>
      </c>
      <c r="K4552">
        <v>1.1111279999999999</v>
      </c>
      <c r="L4552">
        <v>242.8946</v>
      </c>
      <c r="M4552">
        <v>-8.5794159999999994E-3</v>
      </c>
      <c r="N4552">
        <v>0</v>
      </c>
      <c r="O4552">
        <v>-0.99988790000000005</v>
      </c>
      <c r="P4552">
        <v>4.1691579999999999E-2</v>
      </c>
      <c r="Q4552">
        <v>-1.299489E-2</v>
      </c>
      <c r="R4552">
        <v>-0.99904610000000005</v>
      </c>
      <c r="S4552">
        <v>0.63989259999999903</v>
      </c>
      <c r="T4552">
        <v>-0.21798210000000001</v>
      </c>
      <c r="U4552">
        <v>-2.9747469999999998</v>
      </c>
      <c r="V4552">
        <v>-5.0260619999999999E-2</v>
      </c>
      <c r="W4552">
        <v>-8.2371549999999999E-4</v>
      </c>
      <c r="X4552">
        <v>0.99873579999999995</v>
      </c>
      <c r="Y4552">
        <v>-0.21814149999999999</v>
      </c>
      <c r="Z4552">
        <v>7.1385309999999993E-2</v>
      </c>
      <c r="AA4552">
        <v>0.97330280000000002</v>
      </c>
      <c r="AB4552">
        <v>16</v>
      </c>
      <c r="AC4552">
        <v>3.2615999999999801</v>
      </c>
      <c r="AD4552">
        <v>-1.111121974182</v>
      </c>
      <c r="AE4552">
        <v>-15.057499999999999</v>
      </c>
      <c r="AF4552">
        <v>-3.37312987154833</v>
      </c>
      <c r="AG4552">
        <v>-1.111121974182</v>
      </c>
      <c r="AH4552">
        <v>14.951196707267499</v>
      </c>
      <c r="AI4552">
        <v>94.146376419033402</v>
      </c>
      <c r="AJ4552">
        <v>102.71361038976001</v>
      </c>
      <c r="AK4552">
        <v>15.3672014417475</v>
      </c>
      <c r="AL4552">
        <v>90.047195426850095</v>
      </c>
      <c r="AM4552">
        <v>92.880936175720194</v>
      </c>
      <c r="AN4552">
        <v>1.0000000033158201</v>
      </c>
    </row>
    <row r="4553" spans="1:40" x14ac:dyDescent="0.25">
      <c r="A4553" t="str">
        <f>"20190312150742764"</f>
        <v>20190312150742764</v>
      </c>
      <c r="B4553" t="str">
        <f>"1552374462754432"</f>
        <v>1552374462754432</v>
      </c>
      <c r="C4553" t="s">
        <v>40</v>
      </c>
      <c r="D4553">
        <v>4.5181889999999996</v>
      </c>
      <c r="E4553">
        <v>0.43473840000000002</v>
      </c>
      <c r="F4553" t="s">
        <v>61</v>
      </c>
      <c r="G4553">
        <v>-490.15620000000001</v>
      </c>
      <c r="H4553" s="1">
        <v>5.9857969999999996E-6</v>
      </c>
      <c r="I4553">
        <v>227.6696</v>
      </c>
      <c r="J4553">
        <v>-493.47129999999999</v>
      </c>
      <c r="K4553">
        <v>1.1111489999999999</v>
      </c>
      <c r="L4553">
        <v>242.797</v>
      </c>
      <c r="M4553">
        <v>-7.807512E-3</v>
      </c>
      <c r="N4553">
        <v>0</v>
      </c>
      <c r="O4553">
        <v>-0.99989439999999996</v>
      </c>
      <c r="P4553">
        <v>4.3489340000000001E-2</v>
      </c>
      <c r="Q4553">
        <v>-1.261987E-2</v>
      </c>
      <c r="R4553">
        <v>-0.99897409999999998</v>
      </c>
      <c r="S4553">
        <v>0.64736939999999998</v>
      </c>
      <c r="T4553">
        <v>-0.21697440000000001</v>
      </c>
      <c r="U4553">
        <v>-2.9730530000000002</v>
      </c>
      <c r="V4553">
        <v>-5.1287369999999999E-2</v>
      </c>
      <c r="W4553">
        <v>-4.6920149999999999E-4</v>
      </c>
      <c r="X4553">
        <v>0.99868380000000001</v>
      </c>
      <c r="Y4553">
        <v>-0.21984490000000001</v>
      </c>
      <c r="Z4553">
        <v>7.1064740000000001E-2</v>
      </c>
      <c r="AA4553">
        <v>0.97294290000000005</v>
      </c>
      <c r="AB4553">
        <v>16</v>
      </c>
      <c r="AC4553">
        <v>3.31509999999997</v>
      </c>
      <c r="AD4553">
        <v>-1.1111430142030001</v>
      </c>
      <c r="AE4553">
        <v>-15.1273999999999</v>
      </c>
      <c r="AF4553">
        <v>-3.4155319629349599</v>
      </c>
      <c r="AG4553">
        <v>-1.1111430142030001</v>
      </c>
      <c r="AH4553">
        <v>15.0237119367074</v>
      </c>
      <c r="AI4553">
        <v>94.124974886156195</v>
      </c>
      <c r="AJ4553">
        <v>102.808080874018</v>
      </c>
      <c r="AK4553">
        <v>15.4470844415704</v>
      </c>
      <c r="AL4553">
        <v>90.026883267391895</v>
      </c>
      <c r="AM4553">
        <v>92.939840030145405</v>
      </c>
      <c r="AN4553">
        <v>0.99999997342700098</v>
      </c>
    </row>
    <row r="4554" spans="1:40" x14ac:dyDescent="0.25">
      <c r="A4554" t="str">
        <f>"20190312150742775"</f>
        <v>20190312150742775</v>
      </c>
      <c r="B4554" t="str">
        <f>"1552374462764192"</f>
        <v>1552374462764192</v>
      </c>
      <c r="C4554" t="s">
        <v>40</v>
      </c>
      <c r="D4554">
        <v>4.5701269999999896</v>
      </c>
      <c r="E4554">
        <v>0.43473840000000002</v>
      </c>
      <c r="F4554" t="s">
        <v>61</v>
      </c>
      <c r="G4554">
        <v>-490.1241</v>
      </c>
      <c r="H4554" s="1">
        <v>5.9509510000000004E-6</v>
      </c>
      <c r="I4554">
        <v>227.5342</v>
      </c>
      <c r="J4554">
        <v>-493.47109999999998</v>
      </c>
      <c r="K4554">
        <v>1.111165</v>
      </c>
      <c r="L4554">
        <v>242.7148</v>
      </c>
      <c r="M4554">
        <v>-7.1292389999999999E-3</v>
      </c>
      <c r="N4554">
        <v>0</v>
      </c>
      <c r="O4554">
        <v>-0.99989969999999995</v>
      </c>
      <c r="P4554">
        <v>4.5042829999999999E-2</v>
      </c>
      <c r="Q4554">
        <v>-1.2188869999999999E-2</v>
      </c>
      <c r="R4554">
        <v>-0.99891099999999999</v>
      </c>
      <c r="S4554">
        <v>0.65176389999999995</v>
      </c>
      <c r="T4554">
        <v>-0.21636</v>
      </c>
      <c r="U4554">
        <v>-2.9719540000000002</v>
      </c>
      <c r="V4554">
        <v>-5.2163580000000001E-2</v>
      </c>
      <c r="W4554" s="1">
        <v>-5.3821679999999999E-5</v>
      </c>
      <c r="X4554">
        <v>0.99863860000000004</v>
      </c>
      <c r="Y4554">
        <v>-0.220634</v>
      </c>
      <c r="Z4554">
        <v>7.0873160000000004E-2</v>
      </c>
      <c r="AA4554">
        <v>0.97277829999999998</v>
      </c>
      <c r="AB4554">
        <v>16</v>
      </c>
      <c r="AC4554">
        <v>3.3469999999999702</v>
      </c>
      <c r="AD4554">
        <v>-1.111159049049</v>
      </c>
      <c r="AE4554">
        <v>-15.180599999999901</v>
      </c>
      <c r="AF4554">
        <v>-3.4375855515260301</v>
      </c>
      <c r="AG4554">
        <v>-1.111159049049</v>
      </c>
      <c r="AH4554">
        <v>15.079306312976501</v>
      </c>
      <c r="AI4554">
        <v>94.109324813890893</v>
      </c>
      <c r="AJ4554">
        <v>102.842090306863</v>
      </c>
      <c r="AK4554">
        <v>15.506035848562901</v>
      </c>
      <c r="AL4554">
        <v>90.003083754964706</v>
      </c>
      <c r="AM4554">
        <v>92.990109921193394</v>
      </c>
      <c r="AN4554">
        <v>1.0000000476925699</v>
      </c>
    </row>
    <row r="4555" spans="1:40" x14ac:dyDescent="0.25">
      <c r="A4555" t="str">
        <f>"20190312150742787"</f>
        <v>20190312150742787</v>
      </c>
      <c r="B4555" t="str">
        <f>"1552374462784686"</f>
        <v>1552374462784686</v>
      </c>
      <c r="C4555" t="s">
        <v>40</v>
      </c>
      <c r="D4555">
        <v>4.4927590000000004</v>
      </c>
      <c r="E4555">
        <v>0.44008170000000002</v>
      </c>
      <c r="F4555" t="s">
        <v>61</v>
      </c>
      <c r="G4555">
        <v>-490.08</v>
      </c>
      <c r="H4555" s="1">
        <v>5.9089990000000003E-6</v>
      </c>
      <c r="I4555">
        <v>227.3672</v>
      </c>
      <c r="J4555">
        <v>-493.47089999999997</v>
      </c>
      <c r="K4555">
        <v>1.111178</v>
      </c>
      <c r="L4555">
        <v>242.6317</v>
      </c>
      <c r="M4555">
        <v>-6.4365530000000002E-3</v>
      </c>
      <c r="N4555">
        <v>0</v>
      </c>
      <c r="O4555">
        <v>-0.99990460000000003</v>
      </c>
      <c r="P4555">
        <v>4.7228949999999999E-2</v>
      </c>
      <c r="Q4555">
        <v>-1.1713650000000001E-2</v>
      </c>
      <c r="R4555">
        <v>-0.99881569999999997</v>
      </c>
      <c r="S4555">
        <v>0.65646359999999904</v>
      </c>
      <c r="T4555">
        <v>-0.21510499999999999</v>
      </c>
      <c r="U4555">
        <v>-2.971069</v>
      </c>
      <c r="V4555">
        <v>-5.3658280000000003E-2</v>
      </c>
      <c r="W4555">
        <v>4.0561360000000002E-4</v>
      </c>
      <c r="X4555">
        <v>0.99855930000000004</v>
      </c>
      <c r="Y4555">
        <v>-0.22149279999999999</v>
      </c>
      <c r="Z4555">
        <v>7.0466349999999997E-2</v>
      </c>
      <c r="AA4555">
        <v>0.9726127</v>
      </c>
      <c r="AB4555">
        <v>16</v>
      </c>
      <c r="AC4555">
        <v>3.3908999999999798</v>
      </c>
      <c r="AD4555">
        <v>-1.1111720910009999</v>
      </c>
      <c r="AE4555">
        <v>-15.2644999999999</v>
      </c>
      <c r="AF4555">
        <v>-3.4715570194683698</v>
      </c>
      <c r="AG4555">
        <v>-1.1111720910009999</v>
      </c>
      <c r="AH4555">
        <v>15.1657715966741</v>
      </c>
      <c r="AI4555">
        <v>94.0851922841033</v>
      </c>
      <c r="AJ4555">
        <v>102.893293032578</v>
      </c>
      <c r="AK4555">
        <v>15.5976613528351</v>
      </c>
      <c r="AL4555">
        <v>89.976760052564003</v>
      </c>
      <c r="AM4555">
        <v>93.075870373563205</v>
      </c>
      <c r="AN4555">
        <v>1.00000002557572</v>
      </c>
    </row>
    <row r="4556" spans="1:40" x14ac:dyDescent="0.25">
      <c r="A4556" t="str">
        <f>"20190312150742805"</f>
        <v>20190312150742805</v>
      </c>
      <c r="B4556" t="str">
        <f>"1552374462794451"</f>
        <v>1552374462794451</v>
      </c>
      <c r="C4556" t="s">
        <v>40</v>
      </c>
      <c r="D4556">
        <v>4.4921810000000004</v>
      </c>
      <c r="E4556">
        <v>0.4431484</v>
      </c>
      <c r="F4556" t="s">
        <v>42</v>
      </c>
      <c r="G4556">
        <v>-491.59780000000001</v>
      </c>
      <c r="H4556" s="1">
        <v>-2.17913E-6</v>
      </c>
      <c r="I4556">
        <v>233.67769999999999</v>
      </c>
      <c r="J4556">
        <v>-493.47050000000002</v>
      </c>
      <c r="K4556">
        <v>1.1111879999999901</v>
      </c>
      <c r="L4556">
        <v>242.51</v>
      </c>
      <c r="M4556">
        <v>-5.3959669999999998E-3</v>
      </c>
      <c r="N4556">
        <v>0</v>
      </c>
      <c r="O4556">
        <v>-0.99991099999999999</v>
      </c>
      <c r="P4556">
        <v>5.0609899999999999E-2</v>
      </c>
      <c r="Q4556">
        <v>-1.0964069999999999E-2</v>
      </c>
      <c r="R4556">
        <v>-0.99865879999999996</v>
      </c>
      <c r="S4556">
        <v>0.62127690000000002</v>
      </c>
      <c r="T4556">
        <v>-0.36855399999999999</v>
      </c>
      <c r="U4556">
        <v>-2.9698329999999999</v>
      </c>
      <c r="V4556">
        <v>-5.600028E-2</v>
      </c>
      <c r="W4556">
        <v>1.136605E-3</v>
      </c>
      <c r="X4556">
        <v>0.99843009999999999</v>
      </c>
      <c r="Y4556">
        <v>-0.2085496</v>
      </c>
      <c r="Z4556">
        <v>0.1205128</v>
      </c>
      <c r="AA4556">
        <v>0.97055849999999999</v>
      </c>
      <c r="AB4556">
        <v>16</v>
      </c>
      <c r="AC4556">
        <v>1.8727</v>
      </c>
      <c r="AD4556">
        <v>-1.1111901791299901</v>
      </c>
      <c r="AE4556">
        <v>-8.8323</v>
      </c>
      <c r="AF4556">
        <v>-1.8916814844346801</v>
      </c>
      <c r="AG4556">
        <v>-1.1111901791299901</v>
      </c>
      <c r="AH4556">
        <v>8.6904303097925606</v>
      </c>
      <c r="AI4556">
        <v>97.121518780706396</v>
      </c>
      <c r="AJ4556">
        <v>102.28024393033</v>
      </c>
      <c r="AK4556">
        <v>8.9630787914705508</v>
      </c>
      <c r="AL4556">
        <v>89.9348773161081</v>
      </c>
      <c r="AM4556">
        <v>93.210261196427794</v>
      </c>
      <c r="AN4556">
        <v>0.99999999390850702</v>
      </c>
    </row>
    <row r="4557" spans="1:40" x14ac:dyDescent="0.25">
      <c r="A4557" t="str">
        <f>"20190312150742815"</f>
        <v>20190312150742815</v>
      </c>
      <c r="B4557" t="str">
        <f>"1552374462804207"</f>
        <v>1552374462804207</v>
      </c>
      <c r="C4557" t="s">
        <v>40</v>
      </c>
      <c r="D4557">
        <v>4.5725860000000003</v>
      </c>
      <c r="E4557">
        <v>0.4438744</v>
      </c>
      <c r="F4557" t="s">
        <v>42</v>
      </c>
      <c r="G4557">
        <v>-490.99250000000001</v>
      </c>
      <c r="H4557" s="1">
        <v>-6.0022089999999999E-7</v>
      </c>
      <c r="I4557">
        <v>230.37270000000001</v>
      </c>
      <c r="J4557">
        <v>-493.4701</v>
      </c>
      <c r="K4557">
        <v>1.1111850000000001</v>
      </c>
      <c r="L4557">
        <v>242.43219999999999</v>
      </c>
      <c r="M4557">
        <v>-4.7135959999999996E-3</v>
      </c>
      <c r="N4557">
        <v>0</v>
      </c>
      <c r="O4557">
        <v>-0.99991430000000003</v>
      </c>
      <c r="P4557">
        <v>5.2586220000000003E-2</v>
      </c>
      <c r="Q4557">
        <v>-1.0729610000000001E-2</v>
      </c>
      <c r="R4557">
        <v>-0.99855890000000003</v>
      </c>
      <c r="S4557">
        <v>0.60644529999999996</v>
      </c>
      <c r="T4557">
        <v>-0.27193590000000001</v>
      </c>
      <c r="U4557">
        <v>-2.9703059999999999</v>
      </c>
      <c r="V4557">
        <v>-5.7295169999999999E-2</v>
      </c>
      <c r="W4557">
        <v>1.363579E-3</v>
      </c>
      <c r="X4557">
        <v>0.99835629999999997</v>
      </c>
      <c r="Y4557">
        <v>-0.2038595</v>
      </c>
      <c r="Z4557">
        <v>8.9297790000000002E-2</v>
      </c>
      <c r="AA4557">
        <v>0.97491910000000004</v>
      </c>
      <c r="AB4557">
        <v>16</v>
      </c>
      <c r="AC4557">
        <v>2.47759999999999</v>
      </c>
      <c r="AD4557">
        <v>-1.1111856002209</v>
      </c>
      <c r="AE4557">
        <v>-12.0594999999999</v>
      </c>
      <c r="AF4557">
        <v>-2.5139410319751798</v>
      </c>
      <c r="AG4557">
        <v>-1.1111856002209</v>
      </c>
      <c r="AH4557">
        <v>11.950335838671</v>
      </c>
      <c r="AI4557">
        <v>95.199143424116698</v>
      </c>
      <c r="AJ4557">
        <v>101.879846939714</v>
      </c>
      <c r="AK4557">
        <v>12.2623472307471</v>
      </c>
      <c r="AL4557">
        <v>89.921872650056301</v>
      </c>
      <c r="AM4557">
        <v>93.284573390121906</v>
      </c>
      <c r="AN4557">
        <v>0.99999994880135201</v>
      </c>
    </row>
    <row r="4558" spans="1:40" x14ac:dyDescent="0.25">
      <c r="A4558" t="str">
        <f>"20190312150742829"</f>
        <v>20190312150742829</v>
      </c>
      <c r="B4558" t="str">
        <f>"1552374462824195"</f>
        <v>1552374462824195</v>
      </c>
      <c r="C4558" t="s">
        <v>40</v>
      </c>
      <c r="D4558">
        <v>4.5550850000000001</v>
      </c>
      <c r="E4558">
        <v>0.44436249999999999</v>
      </c>
      <c r="F4558" t="s">
        <v>42</v>
      </c>
      <c r="G4558">
        <v>-490.93029999999999</v>
      </c>
      <c r="H4558" s="1">
        <v>-4.2311809999999898E-7</v>
      </c>
      <c r="I4558">
        <v>229.9984</v>
      </c>
      <c r="J4558">
        <v>-493.46960000000001</v>
      </c>
      <c r="K4558">
        <v>1.111219</v>
      </c>
      <c r="L4558">
        <v>242.34739999999999</v>
      </c>
      <c r="M4558">
        <v>-3.990286E-3</v>
      </c>
      <c r="N4558">
        <v>0</v>
      </c>
      <c r="O4558">
        <v>-0.9999152</v>
      </c>
      <c r="P4558">
        <v>5.4643120000000003E-2</v>
      </c>
      <c r="Q4558">
        <v>-1.0657430000000001E-2</v>
      </c>
      <c r="R4558">
        <v>-0.99844900000000003</v>
      </c>
      <c r="S4558">
        <v>0.60656739999999998</v>
      </c>
      <c r="T4558">
        <v>-0.26538070000000002</v>
      </c>
      <c r="U4558">
        <v>-2.9695279999999999</v>
      </c>
      <c r="V4558">
        <v>-5.8630429999999997E-2</v>
      </c>
      <c r="W4558">
        <v>1.6153490000000001E-3</v>
      </c>
      <c r="X4558">
        <v>0.99827840000000001</v>
      </c>
      <c r="Y4558">
        <v>-0.2032774</v>
      </c>
      <c r="Z4558">
        <v>8.7189740000000002E-2</v>
      </c>
      <c r="AA4558">
        <v>0.97523139999999997</v>
      </c>
      <c r="AB4558">
        <v>16</v>
      </c>
      <c r="AC4558">
        <v>2.5393000000000199</v>
      </c>
      <c r="AD4558">
        <v>-1.1112194231180901</v>
      </c>
      <c r="AE4558">
        <v>-12.348999999999901</v>
      </c>
      <c r="AF4558">
        <v>-2.5686047920697002</v>
      </c>
      <c r="AG4558">
        <v>-1.1112194231180901</v>
      </c>
      <c r="AH4558">
        <v>12.2436506476476</v>
      </c>
      <c r="AI4558">
        <v>95.075986426913701</v>
      </c>
      <c r="AJ4558">
        <v>101.84829651269099</v>
      </c>
      <c r="AK4558">
        <v>12.5594394925012</v>
      </c>
      <c r="AL4558">
        <v>89.907447275008096</v>
      </c>
      <c r="AM4558">
        <v>93.361208331502795</v>
      </c>
      <c r="AN4558">
        <v>0.99999995029046695</v>
      </c>
    </row>
    <row r="4559" spans="1:40" x14ac:dyDescent="0.25">
      <c r="A4559" t="str">
        <f>"20190312150742838"</f>
        <v>20190312150742838</v>
      </c>
      <c r="B4559" t="str">
        <f>"1552374462833955"</f>
        <v>1552374462833955</v>
      </c>
      <c r="C4559" t="s">
        <v>40</v>
      </c>
      <c r="D4559">
        <v>4.4919830000000003</v>
      </c>
      <c r="E4559">
        <v>0.44430629999999999</v>
      </c>
      <c r="F4559" t="s">
        <v>61</v>
      </c>
      <c r="G4559">
        <v>-490.85739999999998</v>
      </c>
      <c r="H4559" s="1">
        <v>6.3905790000000003E-6</v>
      </c>
      <c r="I4559">
        <v>229.60310000000001</v>
      </c>
      <c r="J4559">
        <v>-493.46910000000003</v>
      </c>
      <c r="K4559">
        <v>1.1113189999999999</v>
      </c>
      <c r="L4559">
        <v>242.27189999999999</v>
      </c>
      <c r="M4559">
        <v>-3.3890029999999998E-3</v>
      </c>
      <c r="N4559">
        <v>0</v>
      </c>
      <c r="O4559">
        <v>-0.99991070000000004</v>
      </c>
      <c r="P4559">
        <v>5.6726899999999997E-2</v>
      </c>
      <c r="Q4559">
        <v>-1.1136170000000001E-2</v>
      </c>
      <c r="R4559">
        <v>-0.99832770000000004</v>
      </c>
      <c r="S4559">
        <v>0.60848999999999998</v>
      </c>
      <c r="T4559">
        <v>-0.25884210000000002</v>
      </c>
      <c r="U4559">
        <v>-2.9685969999999999</v>
      </c>
      <c r="V4559">
        <v>-6.0113149999999997E-2</v>
      </c>
      <c r="W4559">
        <v>1.667801E-3</v>
      </c>
      <c r="X4559">
        <v>0.99819020000000003</v>
      </c>
      <c r="Y4559">
        <v>-0.20339160000000001</v>
      </c>
      <c r="Z4559">
        <v>8.5077349999999996E-2</v>
      </c>
      <c r="AA4559">
        <v>0.97539410000000004</v>
      </c>
      <c r="AB4559">
        <v>16</v>
      </c>
      <c r="AC4559">
        <v>2.6117000000000399</v>
      </c>
      <c r="AD4559">
        <v>-1.111312609421</v>
      </c>
      <c r="AE4559">
        <v>-12.6687999999999</v>
      </c>
      <c r="AF4559">
        <v>-2.6351724965167</v>
      </c>
      <c r="AG4559">
        <v>-1.111312609421</v>
      </c>
      <c r="AH4559">
        <v>12.567115252212201</v>
      </c>
      <c r="AI4559">
        <v>94.946506727677601</v>
      </c>
      <c r="AJ4559">
        <v>101.842653462933</v>
      </c>
      <c r="AK4559">
        <v>12.8884264192586</v>
      </c>
      <c r="AL4559">
        <v>89.904441999613098</v>
      </c>
      <c r="AM4559">
        <v>93.4463122246339</v>
      </c>
      <c r="AN4559">
        <v>1.0000000238695601</v>
      </c>
    </row>
    <row r="4560" spans="1:40" x14ac:dyDescent="0.25">
      <c r="A4560" t="str">
        <f>"20190312150742851"</f>
        <v>20190312150742851</v>
      </c>
      <c r="B4560" t="str">
        <f>"1552374462844691"</f>
        <v>1552374462844691</v>
      </c>
      <c r="C4560" t="s">
        <v>40</v>
      </c>
      <c r="D4560">
        <v>4.4793520000000004</v>
      </c>
      <c r="E4560">
        <v>0.4443088</v>
      </c>
      <c r="F4560" t="s">
        <v>42</v>
      </c>
      <c r="G4560">
        <v>-490.89890000000003</v>
      </c>
      <c r="H4560" s="1">
        <v>-3.5970709999999899E-7</v>
      </c>
      <c r="I4560">
        <v>229.87010000000001</v>
      </c>
      <c r="J4560">
        <v>-493.46859999999998</v>
      </c>
      <c r="K4560">
        <v>1.111442</v>
      </c>
      <c r="L4560">
        <v>242.19049999999999</v>
      </c>
      <c r="M4560">
        <v>-2.7603419999999998E-3</v>
      </c>
      <c r="N4560">
        <v>0</v>
      </c>
      <c r="O4560">
        <v>-0.99990279999999998</v>
      </c>
      <c r="P4560">
        <v>5.9002760000000001E-2</v>
      </c>
      <c r="Q4560">
        <v>-1.1567330000000001E-2</v>
      </c>
      <c r="R4560">
        <v>-0.99819080000000004</v>
      </c>
      <c r="S4560">
        <v>0.61492919999999995</v>
      </c>
      <c r="T4560">
        <v>-0.26588060000000002</v>
      </c>
      <c r="U4560">
        <v>-2.9671020000000001</v>
      </c>
      <c r="V4560">
        <v>-6.1761330000000003E-2</v>
      </c>
      <c r="W4560">
        <v>1.9777449999999999E-3</v>
      </c>
      <c r="X4560">
        <v>0.998089</v>
      </c>
      <c r="Y4560">
        <v>-0.20486260000000001</v>
      </c>
      <c r="Z4560">
        <v>8.7383710000000003E-2</v>
      </c>
      <c r="AA4560">
        <v>0.97488220000000003</v>
      </c>
      <c r="AB4560">
        <v>16</v>
      </c>
      <c r="AC4560">
        <v>2.5696999999999499</v>
      </c>
      <c r="AD4560">
        <v>-1.1114423597070999</v>
      </c>
      <c r="AE4560">
        <v>-12.3203999999999</v>
      </c>
      <c r="AF4560">
        <v>-2.58355315081426</v>
      </c>
      <c r="AG4560">
        <v>-1.1114423597070999</v>
      </c>
      <c r="AH4560">
        <v>12.2179729645429</v>
      </c>
      <c r="AI4560">
        <v>95.085915022201206</v>
      </c>
      <c r="AJ4560">
        <v>101.939607469214</v>
      </c>
      <c r="AK4560">
        <v>12.5375003236026</v>
      </c>
      <c r="AL4560">
        <v>89.886683486106605</v>
      </c>
      <c r="AM4560">
        <v>93.540923988513995</v>
      </c>
      <c r="AN4560">
        <v>1.0000000126398201</v>
      </c>
    </row>
    <row r="4561" spans="1:40" x14ac:dyDescent="0.25">
      <c r="A4561" t="str">
        <f>"20190312150742862"</f>
        <v>20190312150742862</v>
      </c>
      <c r="B4561" t="str">
        <f>"1552374462854451"</f>
        <v>1552374462854451</v>
      </c>
      <c r="C4561" t="s">
        <v>40</v>
      </c>
      <c r="D4561">
        <v>4.5018500000000001</v>
      </c>
      <c r="E4561">
        <v>0.4443088</v>
      </c>
      <c r="F4561" t="s">
        <v>42</v>
      </c>
      <c r="G4561">
        <v>-490.91469999999998</v>
      </c>
      <c r="H4561" s="1">
        <v>-4.2181219999999998E-7</v>
      </c>
      <c r="I4561">
        <v>230.0051</v>
      </c>
      <c r="J4561">
        <v>-493.46809999999999</v>
      </c>
      <c r="K4561">
        <v>1.1115740000000001</v>
      </c>
      <c r="L4561">
        <v>242.11259999999999</v>
      </c>
      <c r="M4561">
        <v>-2.172981E-3</v>
      </c>
      <c r="N4561">
        <v>0</v>
      </c>
      <c r="O4561">
        <v>-0.99989249999999996</v>
      </c>
      <c r="P4561">
        <v>6.0858450000000001E-2</v>
      </c>
      <c r="Q4561">
        <v>-1.2407680000000001E-2</v>
      </c>
      <c r="R4561">
        <v>-0.99806930000000005</v>
      </c>
      <c r="S4561">
        <v>0.62155150000000003</v>
      </c>
      <c r="T4561">
        <v>-0.27049179999999901</v>
      </c>
      <c r="U4561">
        <v>-2.965576</v>
      </c>
      <c r="V4561">
        <v>-6.3030099999999895E-2</v>
      </c>
      <c r="W4561">
        <v>1.9724999999999999E-3</v>
      </c>
      <c r="X4561">
        <v>0.9980097</v>
      </c>
      <c r="Y4561">
        <v>-0.20644609999999999</v>
      </c>
      <c r="Z4561">
        <v>8.8896890000000006E-2</v>
      </c>
      <c r="AA4561">
        <v>0.97441129999999998</v>
      </c>
      <c r="AB4561">
        <v>15</v>
      </c>
      <c r="AC4561">
        <v>2.5534000000000101</v>
      </c>
      <c r="AD4561">
        <v>-1.1115744218121999</v>
      </c>
      <c r="AE4561">
        <v>-12.1074999999999</v>
      </c>
      <c r="AF4561">
        <v>-2.55905472258116</v>
      </c>
      <c r="AG4561">
        <v>-1.1115744218121999</v>
      </c>
      <c r="AH4561">
        <v>12.0050425338808</v>
      </c>
      <c r="AI4561">
        <v>95.174460615127202</v>
      </c>
      <c r="AJ4561">
        <v>102.033349102128</v>
      </c>
      <c r="AK4561">
        <v>12.324991075399501</v>
      </c>
      <c r="AL4561">
        <v>89.886984004198297</v>
      </c>
      <c r="AM4561">
        <v>93.613761151428093</v>
      </c>
      <c r="AN4561">
        <v>1.00000002277817</v>
      </c>
    </row>
    <row r="4562" spans="1:40" x14ac:dyDescent="0.25">
      <c r="A4562" t="str">
        <f>"20190312150742873"</f>
        <v>20190312150742873</v>
      </c>
      <c r="B4562" t="str">
        <f>"1552374462864211"</f>
        <v>1552374462864211</v>
      </c>
      <c r="C4562" t="s">
        <v>40</v>
      </c>
      <c r="D4562">
        <v>4.5866259999999999</v>
      </c>
      <c r="E4562">
        <v>0.44495099999999999</v>
      </c>
      <c r="F4562" t="s">
        <v>42</v>
      </c>
      <c r="G4562">
        <v>-490.91640000000001</v>
      </c>
      <c r="H4562" s="1">
        <v>-4.404352E-7</v>
      </c>
      <c r="I4562">
        <v>230.04740000000001</v>
      </c>
      <c r="J4562">
        <v>-493.4676</v>
      </c>
      <c r="K4562">
        <v>1.111694</v>
      </c>
      <c r="L4562">
        <v>242.042</v>
      </c>
      <c r="M4562">
        <v>-1.6687710000000001E-3</v>
      </c>
      <c r="N4562">
        <v>0</v>
      </c>
      <c r="O4562">
        <v>-0.99988109999999997</v>
      </c>
      <c r="P4562">
        <v>6.2766069999999993E-2</v>
      </c>
      <c r="Q4562">
        <v>-1.36206E-2</v>
      </c>
      <c r="R4562">
        <v>-0.99793540000000003</v>
      </c>
      <c r="S4562">
        <v>0.62689209999999995</v>
      </c>
      <c r="T4562">
        <v>-0.27309420000000001</v>
      </c>
      <c r="U4562">
        <v>-2.9642179999999998</v>
      </c>
      <c r="V4562">
        <v>-6.4433470000000007E-2</v>
      </c>
      <c r="W4562">
        <v>1.6062889999999999E-3</v>
      </c>
      <c r="X4562">
        <v>0.99792069999999999</v>
      </c>
      <c r="Y4562">
        <v>-0.20770730000000001</v>
      </c>
      <c r="Z4562">
        <v>8.9756730000000007E-2</v>
      </c>
      <c r="AA4562">
        <v>0.97406440000000005</v>
      </c>
      <c r="AB4562">
        <v>15</v>
      </c>
      <c r="AC4562">
        <v>2.5511999999999899</v>
      </c>
      <c r="AD4562">
        <v>-1.1116944404351901</v>
      </c>
      <c r="AE4562">
        <v>-11.994599999999901</v>
      </c>
      <c r="AF4562">
        <v>-2.5502561951228899</v>
      </c>
      <c r="AG4562">
        <v>-1.1116944404351901</v>
      </c>
      <c r="AH4562">
        <v>11.8925882219323</v>
      </c>
      <c r="AI4562">
        <v>95.2223260207967</v>
      </c>
      <c r="AJ4562">
        <v>102.103252746495</v>
      </c>
      <c r="AK4562">
        <v>12.2136532538835</v>
      </c>
      <c r="AL4562">
        <v>89.907966378926901</v>
      </c>
      <c r="AM4562">
        <v>93.694329992415305</v>
      </c>
      <c r="AN4562">
        <v>0.99999998785454103</v>
      </c>
    </row>
    <row r="4563" spans="1:40" x14ac:dyDescent="0.25">
      <c r="A4563" t="str">
        <f>"20190312150742885"</f>
        <v>20190312150742885</v>
      </c>
      <c r="B4563" t="str">
        <f>"1552374462873973"</f>
        <v>1552374462873973</v>
      </c>
      <c r="C4563" t="s">
        <v>40</v>
      </c>
      <c r="D4563">
        <v>4.569134</v>
      </c>
      <c r="E4563">
        <v>0.44495099999999999</v>
      </c>
      <c r="F4563" t="s">
        <v>42</v>
      </c>
      <c r="G4563">
        <v>-490.92950000000002</v>
      </c>
      <c r="H4563" s="1">
        <v>-4.4809760000000002E-7</v>
      </c>
      <c r="I4563">
        <v>230.05709999999999</v>
      </c>
      <c r="J4563">
        <v>-493.46699999999998</v>
      </c>
      <c r="K4563">
        <v>1.1118189999999999</v>
      </c>
      <c r="L4563">
        <v>241.96770000000001</v>
      </c>
      <c r="M4563">
        <v>-1.1470989999999999E-3</v>
      </c>
      <c r="N4563">
        <v>0</v>
      </c>
      <c r="O4563">
        <v>-0.99986759999999997</v>
      </c>
      <c r="P4563">
        <v>6.4453239999999995E-2</v>
      </c>
      <c r="Q4563">
        <v>-1.4674E-2</v>
      </c>
      <c r="R4563">
        <v>-0.99781280000000006</v>
      </c>
      <c r="S4563">
        <v>0.62747189999999997</v>
      </c>
      <c r="T4563">
        <v>-0.27484120000000001</v>
      </c>
      <c r="U4563">
        <v>-2.9629819999999998</v>
      </c>
      <c r="V4563">
        <v>-6.5599740000000004E-2</v>
      </c>
      <c r="W4563">
        <v>1.4618070000000001E-3</v>
      </c>
      <c r="X4563">
        <v>0.99784490000000003</v>
      </c>
      <c r="Y4563">
        <v>-0.20745040000000001</v>
      </c>
      <c r="Z4563">
        <v>9.0363509999999994E-2</v>
      </c>
      <c r="AA4563">
        <v>0.97406300000000001</v>
      </c>
      <c r="AB4563">
        <v>15</v>
      </c>
      <c r="AC4563">
        <v>2.5374999999999601</v>
      </c>
      <c r="AD4563">
        <v>-1.1118194480976</v>
      </c>
      <c r="AE4563">
        <v>-11.910600000000001</v>
      </c>
      <c r="AF4563">
        <v>-2.53007373025092</v>
      </c>
      <c r="AG4563">
        <v>-1.1118194480976</v>
      </c>
      <c r="AH4563">
        <v>11.8092468678812</v>
      </c>
      <c r="AI4563">
        <v>95.259773351533298</v>
      </c>
      <c r="AJ4563">
        <v>102.092534300087</v>
      </c>
      <c r="AK4563">
        <v>12.128302731719501</v>
      </c>
      <c r="AL4563">
        <v>89.916244594722798</v>
      </c>
      <c r="AM4563">
        <v>93.761293410431506</v>
      </c>
      <c r="AN4563">
        <v>0.99999995361188998</v>
      </c>
    </row>
    <row r="4564" spans="1:40" x14ac:dyDescent="0.25">
      <c r="A4564" t="str">
        <f>"20190312150742897"</f>
        <v>20190312150742897</v>
      </c>
      <c r="B4564" t="str">
        <f>"1552374462884707"</f>
        <v>1552374462884707</v>
      </c>
      <c r="C4564" t="s">
        <v>40</v>
      </c>
      <c r="D4564">
        <v>4.5148479999999998</v>
      </c>
      <c r="E4564">
        <v>0.44522410000000001</v>
      </c>
      <c r="F4564" t="s">
        <v>42</v>
      </c>
      <c r="G4564">
        <v>-490.93490000000003</v>
      </c>
      <c r="H4564" s="1">
        <v>-4.7406320000000001E-7</v>
      </c>
      <c r="I4564">
        <v>230.11429999999999</v>
      </c>
      <c r="J4564">
        <v>-493.46640000000002</v>
      </c>
      <c r="K4564">
        <v>1.111955</v>
      </c>
      <c r="L4564">
        <v>241.8896</v>
      </c>
      <c r="M4564">
        <v>-6.5214440000000004E-4</v>
      </c>
      <c r="N4564">
        <v>0</v>
      </c>
      <c r="O4564">
        <v>-0.9998515</v>
      </c>
      <c r="P4564">
        <v>6.5956710000000002E-2</v>
      </c>
      <c r="Q4564">
        <v>-1.5945810000000001E-2</v>
      </c>
      <c r="R4564">
        <v>-0.99769540000000001</v>
      </c>
      <c r="S4564">
        <v>0.63265990000000005</v>
      </c>
      <c r="T4564">
        <v>-0.27779500000000001</v>
      </c>
      <c r="U4564">
        <v>-2.9616549999999999</v>
      </c>
      <c r="V4564">
        <v>-6.660845E-2</v>
      </c>
      <c r="W4564">
        <v>1.1871500000000001E-3</v>
      </c>
      <c r="X4564">
        <v>0.99777850000000001</v>
      </c>
      <c r="Y4564">
        <v>-0.2086684</v>
      </c>
      <c r="Z4564">
        <v>9.1337920000000003E-2</v>
      </c>
      <c r="AA4564">
        <v>0.97371189999999996</v>
      </c>
      <c r="AB4564">
        <v>15</v>
      </c>
      <c r="AC4564">
        <v>2.5314999999999901</v>
      </c>
      <c r="AD4564">
        <v>-1.1119554740631901</v>
      </c>
      <c r="AE4564">
        <v>-11.7753</v>
      </c>
      <c r="AF4564">
        <v>-2.5177204681279401</v>
      </c>
      <c r="AG4564">
        <v>-1.1119554740631901</v>
      </c>
      <c r="AH4564">
        <v>11.6741439241028</v>
      </c>
      <c r="AI4564">
        <v>95.319399058358698</v>
      </c>
      <c r="AJ4564">
        <v>102.170369511389</v>
      </c>
      <c r="AK4564">
        <v>11.994206838828401</v>
      </c>
      <c r="AL4564">
        <v>89.931981300394497</v>
      </c>
      <c r="AM4564">
        <v>93.819213367195104</v>
      </c>
      <c r="AN4564">
        <v>1.00000001499938</v>
      </c>
    </row>
    <row r="4565" spans="1:40" x14ac:dyDescent="0.25">
      <c r="A4565" t="str">
        <f>"20190312150742909"</f>
        <v>20190312150742909</v>
      </c>
      <c r="B4565" t="str">
        <f>"1552374462904227"</f>
        <v>1552374462904227</v>
      </c>
      <c r="C4565" t="s">
        <v>40</v>
      </c>
      <c r="D4565">
        <v>4.4884230000000001</v>
      </c>
      <c r="E4565">
        <v>0.44614320000000002</v>
      </c>
      <c r="F4565" t="s">
        <v>42</v>
      </c>
      <c r="G4565">
        <v>-491.00650000000002</v>
      </c>
      <c r="H4565" s="1">
        <v>-6.2433130000000004E-7</v>
      </c>
      <c r="I4565">
        <v>230.42019999999999</v>
      </c>
      <c r="J4565">
        <v>-493.4658</v>
      </c>
      <c r="K4565">
        <v>1.1120749999999999</v>
      </c>
      <c r="L4565">
        <v>241.81890000000001</v>
      </c>
      <c r="M4565">
        <v>-2.1461080000000001E-4</v>
      </c>
      <c r="N4565">
        <v>0</v>
      </c>
      <c r="O4565">
        <v>-0.99983569999999999</v>
      </c>
      <c r="P4565">
        <v>6.7693240000000002E-2</v>
      </c>
      <c r="Q4565">
        <v>-1.7365599999999998E-2</v>
      </c>
      <c r="R4565">
        <v>-0.99755499999999997</v>
      </c>
      <c r="S4565">
        <v>0.63494869999999903</v>
      </c>
      <c r="T4565">
        <v>-0.28701070000000001</v>
      </c>
      <c r="U4565">
        <v>-2.9604029999999999</v>
      </c>
      <c r="V4565">
        <v>-6.7907770000000006E-2</v>
      </c>
      <c r="W4565">
        <v>6.7311910000000005E-4</v>
      </c>
      <c r="X4565">
        <v>0.99769140000000001</v>
      </c>
      <c r="Y4565">
        <v>-0.20898510000000001</v>
      </c>
      <c r="Z4565">
        <v>9.4368820000000006E-2</v>
      </c>
      <c r="AA4565">
        <v>0.97335490000000002</v>
      </c>
      <c r="AB4565">
        <v>15</v>
      </c>
      <c r="AC4565">
        <v>2.4592999999999798</v>
      </c>
      <c r="AD4565">
        <v>-1.1120756243312999</v>
      </c>
      <c r="AE4565">
        <v>-11.3987</v>
      </c>
      <c r="AF4565">
        <v>-2.4395590627100798</v>
      </c>
      <c r="AG4565">
        <v>-1.1120756243312999</v>
      </c>
      <c r="AH4565">
        <v>11.295440856186501</v>
      </c>
      <c r="AI4565">
        <v>95.496908221533104</v>
      </c>
      <c r="AJ4565">
        <v>102.187391742305</v>
      </c>
      <c r="AK4565">
        <v>11.609269776790001</v>
      </c>
      <c r="AL4565">
        <v>89.961433114472598</v>
      </c>
      <c r="AM4565">
        <v>93.893826033262897</v>
      </c>
      <c r="AN4565">
        <v>1.0000000239748199</v>
      </c>
    </row>
    <row r="4566" spans="1:40" x14ac:dyDescent="0.25">
      <c r="A4566" t="str">
        <f>"20190312150742921"</f>
        <v>20190312150742921</v>
      </c>
      <c r="B4566" t="str">
        <f>"1552374462913988"</f>
        <v>1552374462913988</v>
      </c>
      <c r="C4566" t="s">
        <v>40</v>
      </c>
      <c r="D4566">
        <v>4.4973789999999996</v>
      </c>
      <c r="E4566">
        <v>0.44642029999999999</v>
      </c>
      <c r="F4566" t="s">
        <v>42</v>
      </c>
      <c r="G4566">
        <v>-491.06049999999999</v>
      </c>
      <c r="H4566" s="1">
        <v>-7.0306930000000001E-7</v>
      </c>
      <c r="I4566">
        <v>230.5702</v>
      </c>
      <c r="J4566">
        <v>-493.46510000000001</v>
      </c>
      <c r="K4566">
        <v>1.112209</v>
      </c>
      <c r="L4566">
        <v>241.7338</v>
      </c>
      <c r="M4566">
        <v>2.9180390000000002E-4</v>
      </c>
      <c r="N4566">
        <v>0</v>
      </c>
      <c r="O4566">
        <v>-0.99981500000000001</v>
      </c>
      <c r="P4566">
        <v>6.9348779999999999E-2</v>
      </c>
      <c r="Q4566">
        <v>-1.8750820000000001E-2</v>
      </c>
      <c r="R4566">
        <v>-0.99741639999999998</v>
      </c>
      <c r="S4566">
        <v>0.63278199999999996</v>
      </c>
      <c r="T4566">
        <v>-0.29256500000000002</v>
      </c>
      <c r="U4566">
        <v>-2.95932</v>
      </c>
      <c r="V4566">
        <v>-6.9057579999999993E-2</v>
      </c>
      <c r="W4566">
        <v>3.9273900000000002E-4</v>
      </c>
      <c r="X4566">
        <v>0.99761259999999996</v>
      </c>
      <c r="Y4566">
        <v>-0.20784420000000001</v>
      </c>
      <c r="Z4566">
        <v>9.6231109999999995E-2</v>
      </c>
      <c r="AA4566">
        <v>0.97341690000000003</v>
      </c>
      <c r="AB4566">
        <v>14</v>
      </c>
      <c r="AC4566">
        <v>2.4046000000000101</v>
      </c>
      <c r="AD4566">
        <v>-1.1122097030692999</v>
      </c>
      <c r="AE4566">
        <v>-11.163600000000001</v>
      </c>
      <c r="AF4566">
        <v>-2.3787773694257401</v>
      </c>
      <c r="AG4566">
        <v>-1.1122097030692999</v>
      </c>
      <c r="AH4566">
        <v>11.059395335777101</v>
      </c>
      <c r="AI4566">
        <v>95.615180348674798</v>
      </c>
      <c r="AJ4566">
        <v>102.138868418228</v>
      </c>
      <c r="AK4566">
        <v>11.3668736858427</v>
      </c>
      <c r="AL4566">
        <v>89.977497712308207</v>
      </c>
      <c r="AM4566">
        <v>93.959859834919001</v>
      </c>
      <c r="AN4566">
        <v>1.00000000163906</v>
      </c>
    </row>
    <row r="4567" spans="1:40" x14ac:dyDescent="0.25">
      <c r="A4567" t="str">
        <f>"20190312150742934"</f>
        <v>20190312150742934</v>
      </c>
      <c r="B4567" t="str">
        <f>"1552374462924724"</f>
        <v>1552374462924724</v>
      </c>
      <c r="C4567" t="s">
        <v>40</v>
      </c>
      <c r="D4567">
        <v>4.5776560000000002</v>
      </c>
      <c r="E4567">
        <v>0.44642029999999999</v>
      </c>
      <c r="F4567" t="s">
        <v>42</v>
      </c>
      <c r="G4567">
        <v>-491.09989999999999</v>
      </c>
      <c r="H4567" s="1">
        <v>-7.773691E-7</v>
      </c>
      <c r="I4567">
        <v>230.71899999999999</v>
      </c>
      <c r="J4567">
        <v>-493.46449999999999</v>
      </c>
      <c r="K4567">
        <v>1.1123069999999999</v>
      </c>
      <c r="L4567">
        <v>241.66139999999999</v>
      </c>
      <c r="M4567">
        <v>7.3557319999999996E-4</v>
      </c>
      <c r="N4567">
        <v>0</v>
      </c>
      <c r="O4567">
        <v>-0.99979640000000003</v>
      </c>
      <c r="P4567">
        <v>7.081983E-2</v>
      </c>
      <c r="Q4567">
        <v>-1.9771609999999998E-2</v>
      </c>
      <c r="R4567">
        <v>-0.9972934</v>
      </c>
      <c r="S4567">
        <v>0.63519289999999995</v>
      </c>
      <c r="T4567">
        <v>-0.29868260000000002</v>
      </c>
      <c r="U4567">
        <v>-2.958008</v>
      </c>
      <c r="V4567">
        <v>-7.0086490000000001E-2</v>
      </c>
      <c r="W4567">
        <v>2.9355679999999999E-4</v>
      </c>
      <c r="X4567">
        <v>0.99754089999999995</v>
      </c>
      <c r="Y4567">
        <v>-0.20821539999999999</v>
      </c>
      <c r="Z4567">
        <v>9.8253699999999999E-2</v>
      </c>
      <c r="AA4567">
        <v>0.97313539999999998</v>
      </c>
      <c r="AB4567">
        <v>14</v>
      </c>
      <c r="AC4567">
        <v>2.36459999999999</v>
      </c>
      <c r="AD4567">
        <v>-1.1123077773690999</v>
      </c>
      <c r="AE4567">
        <v>-10.9423999999999</v>
      </c>
      <c r="AF4567">
        <v>-2.3335124268053402</v>
      </c>
      <c r="AG4567">
        <v>-1.1123077773690999</v>
      </c>
      <c r="AH4567">
        <v>10.8371527033547</v>
      </c>
      <c r="AI4567">
        <v>95.729802736716195</v>
      </c>
      <c r="AJ4567">
        <v>102.15169011650001</v>
      </c>
      <c r="AK4567">
        <v>11.141202249016001</v>
      </c>
      <c r="AL4567">
        <v>89.983180434486698</v>
      </c>
      <c r="AM4567">
        <v>94.018955004913096</v>
      </c>
      <c r="AN4567">
        <v>1.00000002471446</v>
      </c>
    </row>
    <row r="4568" spans="1:40" x14ac:dyDescent="0.25">
      <c r="A4568" t="str">
        <f>"20190312150742952"</f>
        <v>20190312150742952</v>
      </c>
      <c r="B4568" t="str">
        <f>"1552374462944243"</f>
        <v>1552374462944243</v>
      </c>
      <c r="C4568" t="s">
        <v>40</v>
      </c>
      <c r="D4568">
        <v>4.5211069999999998</v>
      </c>
      <c r="E4568">
        <v>0.44711319999999999</v>
      </c>
      <c r="F4568" t="s">
        <v>42</v>
      </c>
      <c r="G4568">
        <v>-491.10860000000002</v>
      </c>
      <c r="H4568" s="1">
        <v>-8.0096699999999998E-7</v>
      </c>
      <c r="I4568">
        <v>230.76859999999999</v>
      </c>
      <c r="J4568">
        <v>-493.46359999999999</v>
      </c>
      <c r="K4568">
        <v>1.1124289999999999</v>
      </c>
      <c r="L4568">
        <v>241.5557</v>
      </c>
      <c r="M4568">
        <v>1.44914E-3</v>
      </c>
      <c r="N4568">
        <v>0</v>
      </c>
      <c r="O4568">
        <v>-0.99977039999999995</v>
      </c>
      <c r="P4568">
        <v>7.373702E-2</v>
      </c>
      <c r="Q4568">
        <v>-2.070605E-2</v>
      </c>
      <c r="R4568">
        <v>-0.99706300000000003</v>
      </c>
      <c r="S4568">
        <v>0.63949579999999995</v>
      </c>
      <c r="T4568">
        <v>-0.30192770000000002</v>
      </c>
      <c r="U4568">
        <v>-2.956772</v>
      </c>
      <c r="V4568">
        <v>-7.2292439999999999E-2</v>
      </c>
      <c r="W4568">
        <v>5.7346019999999999E-4</v>
      </c>
      <c r="X4568">
        <v>0.99738329999999997</v>
      </c>
      <c r="Y4568">
        <v>-0.2089318</v>
      </c>
      <c r="Z4568">
        <v>9.9328029999999998E-2</v>
      </c>
      <c r="AA4568">
        <v>0.97287279999999998</v>
      </c>
      <c r="AB4568">
        <v>14</v>
      </c>
      <c r="AC4568">
        <v>2.35499999999996</v>
      </c>
      <c r="AD4568">
        <v>-1.1124298009669999</v>
      </c>
      <c r="AE4568">
        <v>-10.787100000000001</v>
      </c>
      <c r="AF4568">
        <v>-2.31585339311806</v>
      </c>
      <c r="AG4568">
        <v>-1.1124298009669999</v>
      </c>
      <c r="AH4568">
        <v>10.682067063935699</v>
      </c>
      <c r="AI4568">
        <v>95.811302384214301</v>
      </c>
      <c r="AJ4568">
        <v>102.232323326702</v>
      </c>
      <c r="AK4568">
        <v>10.986684384240601</v>
      </c>
      <c r="AL4568">
        <v>89.967143148574493</v>
      </c>
      <c r="AM4568">
        <v>94.145668816290893</v>
      </c>
      <c r="AN4568">
        <v>0.999999986428322</v>
      </c>
    </row>
    <row r="4569" spans="1:40" x14ac:dyDescent="0.25">
      <c r="A4569" t="str">
        <f>"20190312150742963"</f>
        <v>20190312150742963</v>
      </c>
      <c r="B4569" t="str">
        <f>"1552374462954004"</f>
        <v>1552374462954004</v>
      </c>
      <c r="C4569" t="s">
        <v>40</v>
      </c>
      <c r="D4569">
        <v>4.5001899999999999</v>
      </c>
      <c r="E4569">
        <v>0.44743949999999999</v>
      </c>
      <c r="F4569" t="s">
        <v>42</v>
      </c>
      <c r="G4569">
        <v>-491.14580000000001</v>
      </c>
      <c r="H4569" s="1">
        <v>-8.6638530000000001E-7</v>
      </c>
      <c r="I4569">
        <v>230.898</v>
      </c>
      <c r="J4569">
        <v>-493.46280000000002</v>
      </c>
      <c r="K4569">
        <v>1.1124889999999901</v>
      </c>
      <c r="L4569">
        <v>241.48159999999999</v>
      </c>
      <c r="M4569">
        <v>2.0121789999999998E-3</v>
      </c>
      <c r="N4569">
        <v>0</v>
      </c>
      <c r="O4569">
        <v>-0.99975349999999996</v>
      </c>
      <c r="P4569">
        <v>7.5219469999999997E-2</v>
      </c>
      <c r="Q4569">
        <v>-2.1402399999999999E-2</v>
      </c>
      <c r="R4569">
        <v>-0.99693750000000003</v>
      </c>
      <c r="S4569">
        <v>0.64260859999999997</v>
      </c>
      <c r="T4569">
        <v>-0.30842429999999998</v>
      </c>
      <c r="U4569">
        <v>-2.9548800000000002</v>
      </c>
      <c r="V4569">
        <v>-7.3213639999999996E-2</v>
      </c>
      <c r="W4569">
        <v>6.030241E-4</v>
      </c>
      <c r="X4569">
        <v>0.99731610000000004</v>
      </c>
      <c r="Y4569">
        <v>-0.2094423</v>
      </c>
      <c r="Z4569">
        <v>0.101489</v>
      </c>
      <c r="AA4569">
        <v>0.97253990000000001</v>
      </c>
      <c r="AB4569">
        <v>13</v>
      </c>
      <c r="AC4569">
        <v>2.3170000000000002</v>
      </c>
      <c r="AD4569">
        <v>-1.11248986638529</v>
      </c>
      <c r="AE4569">
        <v>-10.583599999999899</v>
      </c>
      <c r="AF4569">
        <v>-2.27174138733118</v>
      </c>
      <c r="AG4569">
        <v>-1.11248986638529</v>
      </c>
      <c r="AH4569">
        <v>10.477767235421799</v>
      </c>
      <c r="AI4569">
        <v>95.924112080858393</v>
      </c>
      <c r="AJ4569">
        <v>102.233262590802</v>
      </c>
      <c r="AK4569">
        <v>10.778777707764499</v>
      </c>
      <c r="AL4569">
        <v>89.965449262101103</v>
      </c>
      <c r="AM4569">
        <v>94.198589949004699</v>
      </c>
      <c r="AN4569">
        <v>1.00000000201966</v>
      </c>
    </row>
    <row r="4570" spans="1:40" x14ac:dyDescent="0.25">
      <c r="A4570" t="str">
        <f>"20190312150742974"</f>
        <v>20190312150742974</v>
      </c>
      <c r="B4570" t="str">
        <f>"1552374462964739"</f>
        <v>1552374462964739</v>
      </c>
      <c r="C4570" t="s">
        <v>40</v>
      </c>
      <c r="D4570">
        <v>4.6333609999999998</v>
      </c>
      <c r="E4570">
        <v>0.44791740000000002</v>
      </c>
      <c r="F4570" t="s">
        <v>42</v>
      </c>
      <c r="G4570">
        <v>-491.15929999999997</v>
      </c>
      <c r="H4570" s="1">
        <v>-8.8120490000000002E-7</v>
      </c>
      <c r="I4570">
        <v>230.92420000000001</v>
      </c>
      <c r="J4570">
        <v>-493.4622</v>
      </c>
      <c r="K4570">
        <v>1.112428</v>
      </c>
      <c r="L4570">
        <v>241.42089999999999</v>
      </c>
      <c r="M4570">
        <v>2.5923890000000001E-3</v>
      </c>
      <c r="N4570">
        <v>0</v>
      </c>
      <c r="O4570">
        <v>-0.99975139999999996</v>
      </c>
      <c r="P4570">
        <v>7.7188480000000004E-2</v>
      </c>
      <c r="Q4570">
        <v>-2.140587E-2</v>
      </c>
      <c r="R4570">
        <v>-0.99678679999999997</v>
      </c>
      <c r="S4570">
        <v>0.64453130000000003</v>
      </c>
      <c r="T4570">
        <v>-0.31127300000000002</v>
      </c>
      <c r="U4570">
        <v>-2.9539339999999998</v>
      </c>
      <c r="V4570">
        <v>-7.4604089999999998E-2</v>
      </c>
      <c r="W4570">
        <v>6.1542189999999998E-4</v>
      </c>
      <c r="X4570">
        <v>0.99721309999999996</v>
      </c>
      <c r="Y4570">
        <v>-0.20952309999999999</v>
      </c>
      <c r="Z4570">
        <v>0.10244</v>
      </c>
      <c r="AA4570">
        <v>0.97242280000000003</v>
      </c>
      <c r="AB4570">
        <v>13</v>
      </c>
      <c r="AC4570">
        <v>2.3029000000000202</v>
      </c>
      <c r="AD4570">
        <v>-1.1124288812048999</v>
      </c>
      <c r="AE4570">
        <v>-10.496699999999899</v>
      </c>
      <c r="AF4570">
        <v>-2.2515470437852598</v>
      </c>
      <c r="AG4570">
        <v>-1.1124288812048999</v>
      </c>
      <c r="AH4570">
        <v>10.3912857938583</v>
      </c>
      <c r="AI4570">
        <v>95.972905992009004</v>
      </c>
      <c r="AJ4570">
        <v>102.22565875292</v>
      </c>
      <c r="AK4570">
        <v>10.690452869535401</v>
      </c>
      <c r="AL4570">
        <v>89.964738922325793</v>
      </c>
      <c r="AM4570">
        <v>94.278475166094594</v>
      </c>
      <c r="AN4570">
        <v>1.00000005790022</v>
      </c>
    </row>
    <row r="4571" spans="1:40" x14ac:dyDescent="0.25">
      <c r="A4571" t="str">
        <f>"20190312150742987"</f>
        <v>20190312150742987</v>
      </c>
      <c r="B4571" t="str">
        <f>"1552374462974499"</f>
        <v>1552374462974499</v>
      </c>
      <c r="C4571" t="s">
        <v>40</v>
      </c>
      <c r="D4571">
        <v>4.6098249999999998</v>
      </c>
      <c r="E4571">
        <v>0.44791740000000002</v>
      </c>
      <c r="F4571" t="s">
        <v>42</v>
      </c>
      <c r="G4571">
        <v>-491.13479999999998</v>
      </c>
      <c r="H4571" s="1">
        <v>-8.1612820000000002E-7</v>
      </c>
      <c r="I4571">
        <v>230.7877</v>
      </c>
      <c r="J4571">
        <v>-493.46129999999999</v>
      </c>
      <c r="K4571">
        <v>1.112333</v>
      </c>
      <c r="L4571">
        <v>241.34719999999999</v>
      </c>
      <c r="M4571">
        <v>3.3013040000000001E-3</v>
      </c>
      <c r="N4571">
        <v>0</v>
      </c>
      <c r="O4571">
        <v>-0.99975150000000002</v>
      </c>
      <c r="P4571">
        <v>7.8919630000000004E-2</v>
      </c>
      <c r="Q4571">
        <v>-2.128188E-2</v>
      </c>
      <c r="R4571">
        <v>-0.99665409999999999</v>
      </c>
      <c r="S4571">
        <v>0.64633180000000001</v>
      </c>
      <c r="T4571">
        <v>-0.30893619999999999</v>
      </c>
      <c r="U4571">
        <v>-2.9529879999999999</v>
      </c>
      <c r="V4571">
        <v>-7.5628760000000003E-2</v>
      </c>
      <c r="W4571">
        <v>6.3211120000000005E-4</v>
      </c>
      <c r="X4571">
        <v>0.99713580000000002</v>
      </c>
      <c r="Y4571">
        <v>-0.20947689999999999</v>
      </c>
      <c r="Z4571">
        <v>0.1017044</v>
      </c>
      <c r="AA4571">
        <v>0.97250999999999999</v>
      </c>
      <c r="AB4571">
        <v>13</v>
      </c>
      <c r="AC4571">
        <v>2.32650000000001</v>
      </c>
      <c r="AD4571">
        <v>-1.1123338161281999</v>
      </c>
      <c r="AE4571">
        <v>-10.5594999999999</v>
      </c>
      <c r="AF4571">
        <v>-2.2676211028247102</v>
      </c>
      <c r="AG4571">
        <v>-1.1123338161281999</v>
      </c>
      <c r="AH4571">
        <v>10.4564668298746</v>
      </c>
      <c r="AI4571">
        <v>95.935208904389597</v>
      </c>
      <c r="AJ4571">
        <v>102.23586866997501</v>
      </c>
      <c r="AK4571">
        <v>10.757187855045901</v>
      </c>
      <c r="AL4571">
        <v>89.9637826920615</v>
      </c>
      <c r="AM4571">
        <v>94.337351266883303</v>
      </c>
      <c r="AN4571">
        <v>0.99999995627267202</v>
      </c>
    </row>
    <row r="4572" spans="1:40" x14ac:dyDescent="0.25">
      <c r="A4572" t="str">
        <f>"20190312150743000"</f>
        <v>20190312150743000</v>
      </c>
      <c r="B4572" t="str">
        <f>"1552374462994995"</f>
        <v>1552374462994995</v>
      </c>
      <c r="C4572" t="s">
        <v>40</v>
      </c>
      <c r="D4572">
        <v>4.5316979999999996</v>
      </c>
      <c r="E4572">
        <v>0.45498680000000002</v>
      </c>
      <c r="F4572" t="s">
        <v>42</v>
      </c>
      <c r="G4572">
        <v>-491.11309999999997</v>
      </c>
      <c r="H4572" s="1">
        <v>-7.7448849999999995E-7</v>
      </c>
      <c r="I4572">
        <v>230.70410000000001</v>
      </c>
      <c r="J4572">
        <v>-493.46010000000001</v>
      </c>
      <c r="K4572">
        <v>1.112139</v>
      </c>
      <c r="L4572">
        <v>241.26349999999999</v>
      </c>
      <c r="M4572">
        <v>4.1034649999999997E-3</v>
      </c>
      <c r="N4572">
        <v>0</v>
      </c>
      <c r="O4572">
        <v>-0.9997627</v>
      </c>
      <c r="P4572">
        <v>8.0632899999999993E-2</v>
      </c>
      <c r="Q4572">
        <v>-2.065051E-2</v>
      </c>
      <c r="R4572">
        <v>-0.99653020000000003</v>
      </c>
      <c r="S4572">
        <v>0.65127559999999995</v>
      </c>
      <c r="T4572">
        <v>-0.30850909999999998</v>
      </c>
      <c r="U4572">
        <v>-2.9519039999999999</v>
      </c>
      <c r="V4572">
        <v>-7.6542589999999994E-2</v>
      </c>
      <c r="W4572">
        <v>5.9348739999999999E-4</v>
      </c>
      <c r="X4572">
        <v>0.99706609999999996</v>
      </c>
      <c r="Y4572">
        <v>-0.2103237</v>
      </c>
      <c r="Z4572">
        <v>0.1015737</v>
      </c>
      <c r="AA4572">
        <v>0.97234089999999995</v>
      </c>
      <c r="AB4572">
        <v>13</v>
      </c>
      <c r="AC4572">
        <v>2.3470000000000302</v>
      </c>
      <c r="AD4572">
        <v>-1.1121397744885</v>
      </c>
      <c r="AE4572">
        <v>-10.559399999999901</v>
      </c>
      <c r="AF4572">
        <v>-2.2795441124263398</v>
      </c>
      <c r="AG4572">
        <v>-1.1121397744885</v>
      </c>
      <c r="AH4572">
        <v>10.458392965182499</v>
      </c>
      <c r="AI4572">
        <v>95.931750621917899</v>
      </c>
      <c r="AJ4572">
        <v>102.296054970239</v>
      </c>
      <c r="AK4572">
        <v>10.7615593504229</v>
      </c>
      <c r="AL4572">
        <v>89.965995673566795</v>
      </c>
      <c r="AM4572">
        <v>94.389861959491796</v>
      </c>
      <c r="AN4572">
        <v>0.99999996404020497</v>
      </c>
    </row>
    <row r="4573" spans="1:40" x14ac:dyDescent="0.25">
      <c r="A4573" t="str">
        <f>"20190312150743012"</f>
        <v>20190312150743012</v>
      </c>
      <c r="B4573" t="str">
        <f>"1552374463004756"</f>
        <v>1552374463004756</v>
      </c>
      <c r="C4573" t="s">
        <v>40</v>
      </c>
      <c r="D4573">
        <v>4.5474959999999998</v>
      </c>
      <c r="E4573">
        <v>0.45482220000000001</v>
      </c>
      <c r="F4573" t="s">
        <v>42</v>
      </c>
      <c r="G4573">
        <v>-491.15839999999997</v>
      </c>
      <c r="H4573" s="1">
        <v>-4.5567800000000001E-7</v>
      </c>
      <c r="I4573">
        <v>229.93279999999999</v>
      </c>
      <c r="J4573">
        <v>-493.459</v>
      </c>
      <c r="K4573">
        <v>1.111972</v>
      </c>
      <c r="L4573">
        <v>241.19290000000001</v>
      </c>
      <c r="M4573">
        <v>4.7619910000000001E-3</v>
      </c>
      <c r="N4573">
        <v>0</v>
      </c>
      <c r="O4573">
        <v>-0.99977240000000001</v>
      </c>
      <c r="P4573">
        <v>8.2607760000000002E-2</v>
      </c>
      <c r="Q4573">
        <v>-2.006807E-2</v>
      </c>
      <c r="R4573">
        <v>-0.99638040000000005</v>
      </c>
      <c r="S4573">
        <v>0.60046390000000005</v>
      </c>
      <c r="T4573">
        <v>-0.29012640000000001</v>
      </c>
      <c r="U4573">
        <v>-2.9558719999999998</v>
      </c>
      <c r="V4573">
        <v>-7.786187E-2</v>
      </c>
      <c r="W4573">
        <v>5.6821499999999995E-4</v>
      </c>
      <c r="X4573">
        <v>0.99696399999999996</v>
      </c>
      <c r="Y4573">
        <v>-0.19349140000000001</v>
      </c>
      <c r="Z4573">
        <v>9.5789609999999997E-2</v>
      </c>
      <c r="AA4573">
        <v>0.97641460000000002</v>
      </c>
      <c r="AB4573">
        <v>13</v>
      </c>
      <c r="AC4573">
        <v>2.30060000000003</v>
      </c>
      <c r="AD4573">
        <v>-1.111972455678</v>
      </c>
      <c r="AE4573">
        <v>-11.2601</v>
      </c>
      <c r="AF4573">
        <v>-2.22610229926183</v>
      </c>
      <c r="AG4573">
        <v>-1.111972455678</v>
      </c>
      <c r="AH4573">
        <v>11.166396588326499</v>
      </c>
      <c r="AI4573">
        <v>95.577833149016897</v>
      </c>
      <c r="AJ4573">
        <v>101.274518559667</v>
      </c>
      <c r="AK4573">
        <v>11.440298377085901</v>
      </c>
      <c r="AL4573">
        <v>89.967443677070506</v>
      </c>
      <c r="AM4573">
        <v>94.465677180858194</v>
      </c>
      <c r="AN4573">
        <v>1.0000000054820899</v>
      </c>
    </row>
    <row r="4574" spans="1:40" x14ac:dyDescent="0.25">
      <c r="A4574" t="str">
        <f>"20190312150743023"</f>
        <v>20190312150743023</v>
      </c>
      <c r="B4574" t="str">
        <f>"1552374463014515"</f>
        <v>1552374463014515</v>
      </c>
      <c r="C4574" t="s">
        <v>40</v>
      </c>
      <c r="D4574">
        <v>4.5280009999999997</v>
      </c>
      <c r="E4574">
        <v>0.45488529999999999</v>
      </c>
      <c r="F4574" t="s">
        <v>42</v>
      </c>
      <c r="G4574">
        <v>-491.18630000000002</v>
      </c>
      <c r="H4574" s="1">
        <v>-5.5313969999999996E-7</v>
      </c>
      <c r="I4574">
        <v>230.14269999999999</v>
      </c>
      <c r="J4574">
        <v>-493.4579</v>
      </c>
      <c r="K4574">
        <v>1.11181</v>
      </c>
      <c r="L4574">
        <v>241.1233</v>
      </c>
      <c r="M4574">
        <v>5.4011390000000001E-3</v>
      </c>
      <c r="N4574">
        <v>0</v>
      </c>
      <c r="O4574">
        <v>-0.99978140000000004</v>
      </c>
      <c r="P4574">
        <v>8.4485050000000006E-2</v>
      </c>
      <c r="Q4574">
        <v>-1.9578390000000001E-2</v>
      </c>
      <c r="R4574">
        <v>-0.99623260000000002</v>
      </c>
      <c r="S4574">
        <v>0.60766600000000004</v>
      </c>
      <c r="T4574">
        <v>-0.2973132</v>
      </c>
      <c r="U4574">
        <v>-2.9545439999999998</v>
      </c>
      <c r="V4574">
        <v>-7.9102580000000006E-2</v>
      </c>
      <c r="W4574">
        <v>4.39469E-4</v>
      </c>
      <c r="X4574">
        <v>0.99686640000000004</v>
      </c>
      <c r="Y4574">
        <v>-0.19518830000000001</v>
      </c>
      <c r="Z4574">
        <v>9.8141580000000006E-2</v>
      </c>
      <c r="AA4574">
        <v>0.97584309999999996</v>
      </c>
      <c r="AB4574">
        <v>14</v>
      </c>
      <c r="AC4574">
        <v>2.2715999999999701</v>
      </c>
      <c r="AD4574">
        <v>-1.1118105531397</v>
      </c>
      <c r="AE4574">
        <v>-10.980600000000001</v>
      </c>
      <c r="AF4574">
        <v>-2.19070954078262</v>
      </c>
      <c r="AG4574">
        <v>-1.1118105531397</v>
      </c>
      <c r="AH4574">
        <v>10.8856913006873</v>
      </c>
      <c r="AI4574">
        <v>95.717830023404801</v>
      </c>
      <c r="AJ4574">
        <v>101.378599745687</v>
      </c>
      <c r="AK4574">
        <v>11.1594626255931</v>
      </c>
      <c r="AL4574">
        <v>89.974820280649695</v>
      </c>
      <c r="AM4574">
        <v>94.536984250165901</v>
      </c>
      <c r="AN4574">
        <v>1.0000000153723001</v>
      </c>
    </row>
    <row r="4575" spans="1:40" x14ac:dyDescent="0.25">
      <c r="A4575" t="str">
        <f>"20190312150743040"</f>
        <v>20190312150743040</v>
      </c>
      <c r="B4575" t="str">
        <f>"1552374463035012"</f>
        <v>1552374463035012</v>
      </c>
      <c r="C4575" t="s">
        <v>40</v>
      </c>
      <c r="D4575">
        <v>4.5249199999999998</v>
      </c>
      <c r="E4575">
        <v>0.4551094</v>
      </c>
      <c r="F4575" t="s">
        <v>42</v>
      </c>
      <c r="G4575">
        <v>-491.21499999999997</v>
      </c>
      <c r="H4575" s="1">
        <v>-6.353545E-7</v>
      </c>
      <c r="I4575">
        <v>230.31659999999999</v>
      </c>
      <c r="J4575">
        <v>-493.45609999999999</v>
      </c>
      <c r="K4575">
        <v>1.1116349999999999</v>
      </c>
      <c r="L4575">
        <v>241.0197</v>
      </c>
      <c r="M4575">
        <v>6.3196959999999996E-3</v>
      </c>
      <c r="N4575">
        <v>0</v>
      </c>
      <c r="O4575">
        <v>-0.99978889999999998</v>
      </c>
      <c r="P4575">
        <v>8.8037850000000001E-2</v>
      </c>
      <c r="Q4575">
        <v>-1.914824E-2</v>
      </c>
      <c r="R4575">
        <v>-0.99593339999999997</v>
      </c>
      <c r="S4575">
        <v>0.61297609999999902</v>
      </c>
      <c r="T4575">
        <v>-0.3038498</v>
      </c>
      <c r="U4575">
        <v>-2.9533999999999998</v>
      </c>
      <c r="V4575">
        <v>-8.174141E-2</v>
      </c>
      <c r="W4575">
        <v>2.172629E-4</v>
      </c>
      <c r="X4575">
        <v>0.99665360000000003</v>
      </c>
      <c r="Y4575">
        <v>-0.19600119999999999</v>
      </c>
      <c r="Z4575">
        <v>0.10028819999999999</v>
      </c>
      <c r="AA4575">
        <v>0.97546180000000005</v>
      </c>
      <c r="AB4575">
        <v>14</v>
      </c>
      <c r="AC4575">
        <v>2.2411000000000101</v>
      </c>
      <c r="AD4575">
        <v>-1.1116356353544901</v>
      </c>
      <c r="AE4575">
        <v>-10.703099999999999</v>
      </c>
      <c r="AF4575">
        <v>-2.1511716511650598</v>
      </c>
      <c r="AG4575">
        <v>-1.1116356353544901</v>
      </c>
      <c r="AH4575">
        <v>10.6074342343639</v>
      </c>
      <c r="AI4575">
        <v>95.864117888558795</v>
      </c>
      <c r="AJ4575">
        <v>101.464023883004</v>
      </c>
      <c r="AK4575">
        <v>10.880300285144701</v>
      </c>
      <c r="AL4575">
        <v>89.987551753332696</v>
      </c>
      <c r="AM4575">
        <v>94.688668937794006</v>
      </c>
      <c r="AN4575">
        <v>1.0000000518524499</v>
      </c>
    </row>
    <row r="4576" spans="1:40" x14ac:dyDescent="0.25">
      <c r="A4576" t="str">
        <f>"20190312150743052"</f>
        <v>20190312150743052</v>
      </c>
      <c r="B4576" t="str">
        <f>"1552374463044771"</f>
        <v>1552374463044771</v>
      </c>
      <c r="C4576" t="s">
        <v>40</v>
      </c>
      <c r="D4576">
        <v>4.4680429999999998</v>
      </c>
      <c r="E4576">
        <v>0.45539479999999999</v>
      </c>
      <c r="F4576" t="s">
        <v>42</v>
      </c>
      <c r="G4576">
        <v>-491.20030000000003</v>
      </c>
      <c r="H4576" s="1">
        <v>-6.265346E-7</v>
      </c>
      <c r="I4576">
        <v>230.30510000000001</v>
      </c>
      <c r="J4576">
        <v>-493.4547</v>
      </c>
      <c r="K4576">
        <v>1.11154</v>
      </c>
      <c r="L4576">
        <v>240.94489999999999</v>
      </c>
      <c r="M4576">
        <v>6.9955140000000004E-3</v>
      </c>
      <c r="N4576">
        <v>0</v>
      </c>
      <c r="O4576">
        <v>-0.99979099999999999</v>
      </c>
      <c r="P4576">
        <v>8.9961070000000004E-2</v>
      </c>
      <c r="Q4576">
        <v>-1.8821000000000001E-2</v>
      </c>
      <c r="R4576">
        <v>-0.99576779999999998</v>
      </c>
      <c r="S4576">
        <v>0.62136840000000004</v>
      </c>
      <c r="T4576">
        <v>-0.30621039999999999</v>
      </c>
      <c r="U4576">
        <v>-2.9514469999999999</v>
      </c>
      <c r="V4576">
        <v>-8.2991709999999996E-2</v>
      </c>
      <c r="W4576">
        <v>2.058188E-4</v>
      </c>
      <c r="X4576">
        <v>0.99655020000000005</v>
      </c>
      <c r="Y4576">
        <v>-0.19810759999999999</v>
      </c>
      <c r="Z4576">
        <v>0.101073</v>
      </c>
      <c r="AA4576">
        <v>0.97495520000000002</v>
      </c>
      <c r="AB4576">
        <v>14</v>
      </c>
      <c r="AC4576">
        <v>2.2543999999999702</v>
      </c>
      <c r="AD4576">
        <v>-1.1115406265346</v>
      </c>
      <c r="AE4576">
        <v>-10.6397999999999</v>
      </c>
      <c r="AF4576">
        <v>-2.1573663738393698</v>
      </c>
      <c r="AG4576">
        <v>-1.1115406265346</v>
      </c>
      <c r="AH4576">
        <v>10.5451681694139</v>
      </c>
      <c r="AI4576">
        <v>95.895955702168706</v>
      </c>
      <c r="AJ4576">
        <v>101.562217667887</v>
      </c>
      <c r="AK4576">
        <v>10.8208282472568</v>
      </c>
      <c r="AL4576">
        <v>89.988207451140099</v>
      </c>
      <c r="AM4576">
        <v>94.760550412141399</v>
      </c>
      <c r="AN4576">
        <v>0.99999998370507104</v>
      </c>
    </row>
    <row r="4577" spans="1:40" x14ac:dyDescent="0.25">
      <c r="A4577" t="str">
        <f>"20190312150743063"</f>
        <v>20190312150743063</v>
      </c>
      <c r="B4577" t="str">
        <f>"1552374463054531"</f>
        <v>1552374463054531</v>
      </c>
      <c r="C4577" t="s">
        <v>40</v>
      </c>
      <c r="D4577">
        <v>4.5182419999999999</v>
      </c>
      <c r="E4577">
        <v>0.45571420000000001</v>
      </c>
      <c r="F4577" t="s">
        <v>42</v>
      </c>
      <c r="G4577">
        <v>-491.173</v>
      </c>
      <c r="H4577" s="1">
        <v>-5.6424620000000002E-7</v>
      </c>
      <c r="I4577">
        <v>230.17679999999999</v>
      </c>
      <c r="J4577">
        <v>-493.45339999999999</v>
      </c>
      <c r="K4577">
        <v>1.111472</v>
      </c>
      <c r="L4577">
        <v>240.88059999999999</v>
      </c>
      <c r="M4577">
        <v>7.5801409999999899E-3</v>
      </c>
      <c r="N4577">
        <v>0</v>
      </c>
      <c r="O4577">
        <v>-0.99979130000000005</v>
      </c>
      <c r="P4577">
        <v>9.1901369999999996E-2</v>
      </c>
      <c r="Q4577">
        <v>-1.829598E-2</v>
      </c>
      <c r="R4577">
        <v>-0.99560000000000004</v>
      </c>
      <c r="S4577">
        <v>0.62518309999999999</v>
      </c>
      <c r="T4577">
        <v>-0.3045716</v>
      </c>
      <c r="U4577">
        <v>-2.9505309999999998</v>
      </c>
      <c r="V4577">
        <v>-8.4351140000000005E-2</v>
      </c>
      <c r="W4577">
        <v>4.842917E-4</v>
      </c>
      <c r="X4577">
        <v>0.99643599999999999</v>
      </c>
      <c r="Y4577">
        <v>-0.1988133</v>
      </c>
      <c r="Z4577">
        <v>0.10054680000000001</v>
      </c>
      <c r="AA4577">
        <v>0.97486600000000001</v>
      </c>
      <c r="AB4577">
        <v>14</v>
      </c>
      <c r="AC4577">
        <v>2.2803999999999802</v>
      </c>
      <c r="AD4577">
        <v>-1.1114725642462</v>
      </c>
      <c r="AE4577">
        <v>-10.703799999999999</v>
      </c>
      <c r="AF4577">
        <v>-2.1767318696187701</v>
      </c>
      <c r="AG4577">
        <v>-1.1114725642462</v>
      </c>
      <c r="AH4577">
        <v>10.611331761685699</v>
      </c>
      <c r="AI4577">
        <v>95.858465223405204</v>
      </c>
      <c r="AJ4577">
        <v>101.592426355345</v>
      </c>
      <c r="AK4577">
        <v>10.8891640932555</v>
      </c>
      <c r="AL4577">
        <v>89.972252129165994</v>
      </c>
      <c r="AM4577">
        <v>94.838714373999807</v>
      </c>
      <c r="AN4577">
        <v>1.00000002572687</v>
      </c>
    </row>
    <row r="4578" spans="1:40" x14ac:dyDescent="0.25">
      <c r="A4578" t="str">
        <f>"20190312150743075"</f>
        <v>20190312150743075</v>
      </c>
      <c r="B4578" t="str">
        <f>"1552374463064291"</f>
        <v>1552374463064291</v>
      </c>
      <c r="C4578" t="s">
        <v>40</v>
      </c>
      <c r="D4578">
        <v>4.5309730000000004</v>
      </c>
      <c r="E4578">
        <v>0.45565109999999998</v>
      </c>
      <c r="F4578" t="s">
        <v>42</v>
      </c>
      <c r="G4578">
        <v>-491.1472</v>
      </c>
      <c r="H4578" s="1">
        <v>-5.0252650000000005E-7</v>
      </c>
      <c r="I4578">
        <v>230.04900000000001</v>
      </c>
      <c r="J4578">
        <v>-493.45209999999997</v>
      </c>
      <c r="K4578">
        <v>1.1113959999999901</v>
      </c>
      <c r="L4578">
        <v>240.81399999999999</v>
      </c>
      <c r="M4578">
        <v>8.2343959999999997E-3</v>
      </c>
      <c r="N4578">
        <v>0</v>
      </c>
      <c r="O4578">
        <v>-0.99979099999999999</v>
      </c>
      <c r="P4578">
        <v>9.3949379999999999E-2</v>
      </c>
      <c r="Q4578">
        <v>-1.7759150000000001E-2</v>
      </c>
      <c r="R4578">
        <v>-0.99541880000000005</v>
      </c>
      <c r="S4578">
        <v>0.62805180000000005</v>
      </c>
      <c r="T4578">
        <v>-0.30268080000000003</v>
      </c>
      <c r="U4578">
        <v>-2.9496920000000002</v>
      </c>
      <c r="V4578">
        <v>-8.5748899999999906E-2</v>
      </c>
      <c r="W4578">
        <v>7.8279179999999997E-4</v>
      </c>
      <c r="X4578">
        <v>0.99631650000000005</v>
      </c>
      <c r="Y4578">
        <v>-0.1991482</v>
      </c>
      <c r="Z4578">
        <v>9.9942420000000004E-2</v>
      </c>
      <c r="AA4578">
        <v>0.9748597</v>
      </c>
      <c r="AB4578">
        <v>14</v>
      </c>
      <c r="AC4578">
        <v>2.3048999999999702</v>
      </c>
      <c r="AD4578">
        <v>-1.11139650252649</v>
      </c>
      <c r="AE4578">
        <v>-10.765000000000001</v>
      </c>
      <c r="AF4578">
        <v>-2.1938046031624898</v>
      </c>
      <c r="AG4578">
        <v>-1.11139650252649</v>
      </c>
      <c r="AH4578">
        <v>10.674823905244899</v>
      </c>
      <c r="AI4578">
        <v>95.823032312826896</v>
      </c>
      <c r="AJ4578">
        <v>101.613276716944</v>
      </c>
      <c r="AK4578">
        <v>10.9544441315236</v>
      </c>
      <c r="AL4578">
        <v>89.955149330270601</v>
      </c>
      <c r="AM4578">
        <v>94.919092292546196</v>
      </c>
      <c r="AN4578">
        <v>1.0000000273932299</v>
      </c>
    </row>
    <row r="4579" spans="1:40" x14ac:dyDescent="0.25">
      <c r="A4579" t="str">
        <f>"20190312150743086"</f>
        <v>20190312150743086</v>
      </c>
      <c r="B4579" t="str">
        <f>"1552374463074051"</f>
        <v>1552374463074051</v>
      </c>
      <c r="C4579" t="s">
        <v>40</v>
      </c>
      <c r="D4579">
        <v>4.6699760000000001</v>
      </c>
      <c r="E4579">
        <v>0.45588210000000001</v>
      </c>
      <c r="F4579" t="s">
        <v>42</v>
      </c>
      <c r="G4579">
        <v>-491.09300000000002</v>
      </c>
      <c r="H4579" s="1">
        <v>-4.060678E-7</v>
      </c>
      <c r="I4579">
        <v>229.85769999999999</v>
      </c>
      <c r="J4579">
        <v>-493.45069999999998</v>
      </c>
      <c r="K4579">
        <v>1.1113219999999999</v>
      </c>
      <c r="L4579">
        <v>240.74590000000001</v>
      </c>
      <c r="M4579">
        <v>8.9124369999999901E-3</v>
      </c>
      <c r="N4579">
        <v>0</v>
      </c>
      <c r="O4579">
        <v>-0.99978990000000001</v>
      </c>
      <c r="P4579">
        <v>9.6015009999999998E-2</v>
      </c>
      <c r="Q4579">
        <v>-1.7097480000000002E-2</v>
      </c>
      <c r="R4579">
        <v>-0.99523320000000004</v>
      </c>
      <c r="S4579">
        <v>0.63485719999999901</v>
      </c>
      <c r="T4579">
        <v>-0.29909799999999997</v>
      </c>
      <c r="U4579">
        <v>-2.9485320000000002</v>
      </c>
      <c r="V4579">
        <v>-8.7141250000000003E-2</v>
      </c>
      <c r="W4579">
        <v>1.194302E-3</v>
      </c>
      <c r="X4579">
        <v>0.99619530000000001</v>
      </c>
      <c r="Y4579">
        <v>-0.20073769999999999</v>
      </c>
      <c r="Z4579">
        <v>9.8768460000000002E-2</v>
      </c>
      <c r="AA4579">
        <v>0.9746534</v>
      </c>
      <c r="AB4579">
        <v>13</v>
      </c>
      <c r="AC4579">
        <v>2.3576999999999599</v>
      </c>
      <c r="AD4579">
        <v>-1.1113224060678</v>
      </c>
      <c r="AE4579">
        <v>-10.888199999999999</v>
      </c>
      <c r="AF4579">
        <v>-2.2382762638303602</v>
      </c>
      <c r="AG4579">
        <v>-1.1113224060678</v>
      </c>
      <c r="AH4579">
        <v>10.801299893532001</v>
      </c>
      <c r="AI4579">
        <v>95.752992335797899</v>
      </c>
      <c r="AJ4579">
        <v>101.70729668657</v>
      </c>
      <c r="AK4579">
        <v>11.0866134375412</v>
      </c>
      <c r="AL4579">
        <v>89.931571523074695</v>
      </c>
      <c r="AM4579">
        <v>94.999169780272894</v>
      </c>
      <c r="AN4579">
        <v>1.00000004977545</v>
      </c>
    </row>
    <row r="4580" spans="1:40" x14ac:dyDescent="0.25">
      <c r="A4580" t="str">
        <f>"20190312150743097"</f>
        <v>20190312150743097</v>
      </c>
      <c r="B4580" t="str">
        <f>"1552374463084788"</f>
        <v>1552374463084788</v>
      </c>
      <c r="C4580" t="s">
        <v>40</v>
      </c>
      <c r="D4580">
        <v>4.5013889999999996</v>
      </c>
      <c r="E4580">
        <v>0.45607019999999998</v>
      </c>
      <c r="F4580" t="s">
        <v>42</v>
      </c>
      <c r="G4580">
        <v>-491.04500000000002</v>
      </c>
      <c r="H4580" s="1">
        <v>-3.0278540000000002E-7</v>
      </c>
      <c r="I4580">
        <v>229.64670000000001</v>
      </c>
      <c r="J4580">
        <v>-493.44940000000003</v>
      </c>
      <c r="K4580">
        <v>1.111251</v>
      </c>
      <c r="L4580">
        <v>240.6789</v>
      </c>
      <c r="M4580">
        <v>9.6154959999999994E-3</v>
      </c>
      <c r="N4580">
        <v>0</v>
      </c>
      <c r="O4580">
        <v>-0.99978880000000003</v>
      </c>
      <c r="P4580">
        <v>9.82267E-2</v>
      </c>
      <c r="Q4580">
        <v>-1.629603E-2</v>
      </c>
      <c r="R4580">
        <v>-0.995031</v>
      </c>
      <c r="S4580">
        <v>0.6388855</v>
      </c>
      <c r="T4580">
        <v>-0.29514170000000001</v>
      </c>
      <c r="U4580">
        <v>-2.9476930000000001</v>
      </c>
      <c r="V4580">
        <v>-8.8654979999999994E-2</v>
      </c>
      <c r="W4580">
        <v>1.7064249999999999E-3</v>
      </c>
      <c r="X4580">
        <v>0.99606090000000003</v>
      </c>
      <c r="Y4580">
        <v>-0.20140559999999999</v>
      </c>
      <c r="Z4580">
        <v>9.748018E-2</v>
      </c>
      <c r="AA4580">
        <v>0.97464530000000005</v>
      </c>
      <c r="AB4580">
        <v>13</v>
      </c>
      <c r="AC4580">
        <v>2.4043999999999999</v>
      </c>
      <c r="AD4580">
        <v>-1.1112513027853901</v>
      </c>
      <c r="AE4580">
        <v>-11.0321999999999</v>
      </c>
      <c r="AF4580">
        <v>-2.2761443939179999</v>
      </c>
      <c r="AG4580">
        <v>-1.1112513027853901</v>
      </c>
      <c r="AH4580">
        <v>10.9487629164047</v>
      </c>
      <c r="AI4580">
        <v>95.674907849527202</v>
      </c>
      <c r="AJ4580">
        <v>101.743972723775</v>
      </c>
      <c r="AK4580">
        <v>11.2379322902189</v>
      </c>
      <c r="AL4580">
        <v>89.902228998761998</v>
      </c>
      <c r="AM4580">
        <v>95.086241394391493</v>
      </c>
      <c r="AN4580">
        <v>0.99999996693694504</v>
      </c>
    </row>
    <row r="4581" spans="1:40" x14ac:dyDescent="0.25">
      <c r="A4581" t="str">
        <f>"20190312150743109"</f>
        <v>20190312150743109</v>
      </c>
      <c r="B4581" t="str">
        <f>"1552374463104307"</f>
        <v>1552374463104307</v>
      </c>
      <c r="C4581" t="s">
        <v>40</v>
      </c>
      <c r="D4581">
        <v>4.4750129999999997</v>
      </c>
      <c r="E4581">
        <v>0.45640950000000002</v>
      </c>
      <c r="F4581" t="s">
        <v>61</v>
      </c>
      <c r="G4581">
        <v>-490.9776</v>
      </c>
      <c r="H4581" s="1">
        <v>6.3086029999999999E-6</v>
      </c>
      <c r="I4581">
        <v>229.37719999999999</v>
      </c>
      <c r="J4581">
        <v>-493.44799999999998</v>
      </c>
      <c r="K4581">
        <v>1.1111869999999999</v>
      </c>
      <c r="L4581">
        <v>240.6103</v>
      </c>
      <c r="M4581">
        <v>1.0339350000000001E-2</v>
      </c>
      <c r="N4581">
        <v>0</v>
      </c>
      <c r="O4581">
        <v>-0.99978690000000003</v>
      </c>
      <c r="P4581">
        <v>0.1005441</v>
      </c>
      <c r="Q4581">
        <v>-1.500688E-2</v>
      </c>
      <c r="R4581">
        <v>-0.99481929999999996</v>
      </c>
      <c r="S4581">
        <v>0.64443969999999995</v>
      </c>
      <c r="T4581">
        <v>-0.28972819999999999</v>
      </c>
      <c r="U4581">
        <v>-2.9466399999999999</v>
      </c>
      <c r="V4581">
        <v>-9.0254310000000004E-2</v>
      </c>
      <c r="W4581">
        <v>2.6910910000000001E-3</v>
      </c>
      <c r="X4581">
        <v>0.99591510000000005</v>
      </c>
      <c r="Y4581">
        <v>-0.20255919999999999</v>
      </c>
      <c r="Z4581">
        <v>9.5710859999999995E-2</v>
      </c>
      <c r="AA4581">
        <v>0.97458149999999999</v>
      </c>
      <c r="AB4581">
        <v>13</v>
      </c>
      <c r="AC4581">
        <v>2.4704000000000401</v>
      </c>
      <c r="AD4581">
        <v>-1.1111806913969999</v>
      </c>
      <c r="AE4581">
        <v>-11.2331</v>
      </c>
      <c r="AF4581">
        <v>-2.3323368999411702</v>
      </c>
      <c r="AG4581">
        <v>-1.1111806913969999</v>
      </c>
      <c r="AH4581">
        <v>11.1539374152251</v>
      </c>
      <c r="AI4581">
        <v>95.569487634929501</v>
      </c>
      <c r="AJ4581">
        <v>101.810621133079</v>
      </c>
      <c r="AK4581">
        <v>11.4492286991971</v>
      </c>
      <c r="AL4581">
        <v>89.845811654908104</v>
      </c>
      <c r="AM4581">
        <v>95.178256405040798</v>
      </c>
      <c r="AN4581">
        <v>0.99999998442617799</v>
      </c>
    </row>
    <row r="4582" spans="1:40" x14ac:dyDescent="0.25">
      <c r="A4582" t="str">
        <f>"20190312150743120"</f>
        <v>20190312150743120</v>
      </c>
      <c r="B4582" t="str">
        <f>"1552374463114068"</f>
        <v>1552374463114068</v>
      </c>
      <c r="C4582" t="s">
        <v>40</v>
      </c>
      <c r="D4582">
        <v>4.701092</v>
      </c>
      <c r="E4582">
        <v>0.45665869999999997</v>
      </c>
      <c r="F4582" t="s">
        <v>61</v>
      </c>
      <c r="G4582">
        <v>-490.87700000000001</v>
      </c>
      <c r="H4582" s="1">
        <v>6.2161420000000004E-6</v>
      </c>
      <c r="I4582">
        <v>228.92910000000001</v>
      </c>
      <c r="J4582">
        <v>-493.44650000000001</v>
      </c>
      <c r="K4582">
        <v>1.11114</v>
      </c>
      <c r="L4582">
        <v>240.54390000000001</v>
      </c>
      <c r="M4582">
        <v>1.104365E-2</v>
      </c>
      <c r="N4582">
        <v>0</v>
      </c>
      <c r="O4582">
        <v>-0.99978489999999998</v>
      </c>
      <c r="P4582">
        <v>0.1028951</v>
      </c>
      <c r="Q4582">
        <v>-1.403748E-2</v>
      </c>
      <c r="R4582">
        <v>-0.99459330000000001</v>
      </c>
      <c r="S4582">
        <v>0.64837650000000002</v>
      </c>
      <c r="T4582">
        <v>-0.28022849999999999</v>
      </c>
      <c r="U4582">
        <v>-2.945862</v>
      </c>
      <c r="V4582">
        <v>-9.190711E-2</v>
      </c>
      <c r="W4582">
        <v>3.3524610000000002E-3</v>
      </c>
      <c r="X4582">
        <v>0.99576189999999998</v>
      </c>
      <c r="Y4582">
        <v>-0.20322899999999999</v>
      </c>
      <c r="Z4582">
        <v>9.2603740000000004E-2</v>
      </c>
      <c r="AA4582">
        <v>0.97474229999999995</v>
      </c>
      <c r="AB4582">
        <v>13</v>
      </c>
      <c r="AC4582">
        <v>2.5695000000000601</v>
      </c>
      <c r="AD4582">
        <v>-1.111133783858</v>
      </c>
      <c r="AE4582">
        <v>-11.614800000000001</v>
      </c>
      <c r="AF4582">
        <v>-2.4199400776172699</v>
      </c>
      <c r="AG4582">
        <v>-1.111133783858</v>
      </c>
      <c r="AH4582">
        <v>11.5417722406536</v>
      </c>
      <c r="AI4582">
        <v>95.382625287864201</v>
      </c>
      <c r="AJ4582">
        <v>101.84155808537</v>
      </c>
      <c r="AK4582">
        <v>11.844966640730201</v>
      </c>
      <c r="AL4582">
        <v>89.807917765977393</v>
      </c>
      <c r="AM4582">
        <v>95.273361190028893</v>
      </c>
      <c r="AN4582">
        <v>0.99999995867745795</v>
      </c>
    </row>
    <row r="4583" spans="1:40" x14ac:dyDescent="0.25">
      <c r="A4583" t="str">
        <f>"20190312150743133"</f>
        <v>20190312150743133</v>
      </c>
      <c r="B4583" t="str">
        <f>"1552374463124803"</f>
        <v>1552374463124803</v>
      </c>
      <c r="C4583" t="s">
        <v>40</v>
      </c>
      <c r="D4583">
        <v>4.4842500000000003</v>
      </c>
      <c r="E4583">
        <v>0.45684950000000002</v>
      </c>
      <c r="F4583" t="s">
        <v>61</v>
      </c>
      <c r="G4583">
        <v>-490.80849999999998</v>
      </c>
      <c r="H4583" s="1">
        <v>6.1478349999999997E-6</v>
      </c>
      <c r="I4583">
        <v>228.65960000000001</v>
      </c>
      <c r="J4583">
        <v>-493.44490000000002</v>
      </c>
      <c r="K4583">
        <v>1.1111169999999999</v>
      </c>
      <c r="L4583">
        <v>240.46690000000001</v>
      </c>
      <c r="M4583">
        <v>1.185218E-2</v>
      </c>
      <c r="N4583">
        <v>0</v>
      </c>
      <c r="O4583">
        <v>-0.99978129999999998</v>
      </c>
      <c r="P4583">
        <v>0.1054596</v>
      </c>
      <c r="Q4583">
        <v>-1.29645E-2</v>
      </c>
      <c r="R4583">
        <v>-0.99433919999999998</v>
      </c>
      <c r="S4583">
        <v>0.65368649999999995</v>
      </c>
      <c r="T4583">
        <v>-0.27532839999999997</v>
      </c>
      <c r="U4583">
        <v>-2.9448089999999998</v>
      </c>
      <c r="V4583">
        <v>-9.366969E-2</v>
      </c>
      <c r="W4583">
        <v>4.0934600000000002E-3</v>
      </c>
      <c r="X4583">
        <v>0.99559489999999995</v>
      </c>
      <c r="Y4583">
        <v>-0.20421829999999999</v>
      </c>
      <c r="Z4583">
        <v>9.1001700000000005E-2</v>
      </c>
      <c r="AA4583">
        <v>0.97468639999999995</v>
      </c>
      <c r="AB4583">
        <v>13</v>
      </c>
      <c r="AC4583">
        <v>2.6364000000000298</v>
      </c>
      <c r="AD4583">
        <v>-1.1111108521649999</v>
      </c>
      <c r="AE4583">
        <v>-11.8072999999999</v>
      </c>
      <c r="AF4583">
        <v>-2.47537204843182</v>
      </c>
      <c r="AG4583">
        <v>-1.1111108521649999</v>
      </c>
      <c r="AH4583">
        <v>11.7387064772667</v>
      </c>
      <c r="AI4583">
        <v>95.291455867678707</v>
      </c>
      <c r="AJ4583">
        <v>101.90765759769999</v>
      </c>
      <c r="AK4583">
        <v>12.048205835865399</v>
      </c>
      <c r="AL4583">
        <v>89.765461360120298</v>
      </c>
      <c r="AM4583">
        <v>95.3748024682601</v>
      </c>
      <c r="AN4583">
        <v>0.99999998607273799</v>
      </c>
    </row>
    <row r="4584" spans="1:40" x14ac:dyDescent="0.25">
      <c r="A4584" t="str">
        <f>"20190312150743146"</f>
        <v>20190312150743146</v>
      </c>
      <c r="B4584" t="str">
        <f>"1552374463134564"</f>
        <v>1552374463134564</v>
      </c>
      <c r="C4584" t="s">
        <v>40</v>
      </c>
      <c r="D4584">
        <v>4.4451289999999997</v>
      </c>
      <c r="E4584">
        <v>0.4570361</v>
      </c>
      <c r="F4584" t="s">
        <v>61</v>
      </c>
      <c r="G4584">
        <v>-490.72059999999999</v>
      </c>
      <c r="H4584" s="1">
        <v>6.059294E-6</v>
      </c>
      <c r="I4584">
        <v>228.3109</v>
      </c>
      <c r="J4584">
        <v>-493.44310000000002</v>
      </c>
      <c r="K4584">
        <v>1.111116</v>
      </c>
      <c r="L4584">
        <v>240.3905</v>
      </c>
      <c r="M4584">
        <v>1.2648639999999999E-2</v>
      </c>
      <c r="N4584">
        <v>0</v>
      </c>
      <c r="O4584">
        <v>-0.99977680000000002</v>
      </c>
      <c r="P4584">
        <v>0.10802059999999999</v>
      </c>
      <c r="Q4584">
        <v>-1.2244029999999999E-2</v>
      </c>
      <c r="R4584">
        <v>-0.99407350000000005</v>
      </c>
      <c r="S4584">
        <v>0.65969849999999997</v>
      </c>
      <c r="T4584">
        <v>-0.26905970000000001</v>
      </c>
      <c r="U4584">
        <v>-2.943619</v>
      </c>
      <c r="V4584">
        <v>-9.5441559999999995E-2</v>
      </c>
      <c r="W4584">
        <v>4.5035370000000002E-3</v>
      </c>
      <c r="X4584">
        <v>0.99542489999999995</v>
      </c>
      <c r="Y4584">
        <v>-0.20545869999999999</v>
      </c>
      <c r="Z4584">
        <v>8.8949159999999999E-2</v>
      </c>
      <c r="AA4584">
        <v>0.97461520000000001</v>
      </c>
      <c r="AB4584">
        <v>13</v>
      </c>
      <c r="AC4584">
        <v>2.7225000000000201</v>
      </c>
      <c r="AD4584">
        <v>-1.1111099407060001</v>
      </c>
      <c r="AE4584">
        <v>-12.079599999999999</v>
      </c>
      <c r="AF4584">
        <v>-2.5489462639270601</v>
      </c>
      <c r="AG4584">
        <v>-1.1111099407060001</v>
      </c>
      <c r="AH4584">
        <v>12.016321776696801</v>
      </c>
      <c r="AI4584">
        <v>95.168570328473095</v>
      </c>
      <c r="AJ4584">
        <v>101.97626715521</v>
      </c>
      <c r="AK4584">
        <v>12.3338429290242</v>
      </c>
      <c r="AL4584">
        <v>89.741965478293906</v>
      </c>
      <c r="AM4584">
        <v>95.476790240293795</v>
      </c>
      <c r="AN4584">
        <v>1.00000005238037</v>
      </c>
    </row>
    <row r="4585" spans="1:40" x14ac:dyDescent="0.25">
      <c r="A4585" t="str">
        <f>"20190312150743157"</f>
        <v>20190312150743157</v>
      </c>
      <c r="B4585" t="str">
        <f>"1552374463154084"</f>
        <v>1552374463154084</v>
      </c>
      <c r="C4585" t="s">
        <v>40</v>
      </c>
      <c r="D4585">
        <v>4.4748299999999999</v>
      </c>
      <c r="E4585">
        <v>0.4574665</v>
      </c>
      <c r="F4585" t="s">
        <v>61</v>
      </c>
      <c r="G4585">
        <v>-490.65019999999998</v>
      </c>
      <c r="H4585" s="1">
        <v>5.995038E-6</v>
      </c>
      <c r="I4585">
        <v>228.0531</v>
      </c>
      <c r="J4585">
        <v>-493.44130000000001</v>
      </c>
      <c r="K4585">
        <v>1.1111519999999999</v>
      </c>
      <c r="L4585">
        <v>240.3167</v>
      </c>
      <c r="M4585">
        <v>1.341322E-2</v>
      </c>
      <c r="N4585">
        <v>0</v>
      </c>
      <c r="O4585">
        <v>-0.99977099999999997</v>
      </c>
      <c r="P4585">
        <v>0.1104791</v>
      </c>
      <c r="Q4585">
        <v>-1.160973E-2</v>
      </c>
      <c r="R4585">
        <v>-0.99381109999999995</v>
      </c>
      <c r="S4585">
        <v>0.66604609999999997</v>
      </c>
      <c r="T4585">
        <v>-0.26497720000000002</v>
      </c>
      <c r="U4585">
        <v>-2.9422299999999999</v>
      </c>
      <c r="V4585">
        <v>-9.7142889999999996E-2</v>
      </c>
      <c r="W4585">
        <v>4.8902470000000003E-3</v>
      </c>
      <c r="X4585">
        <v>0.99525850000000005</v>
      </c>
      <c r="Y4585">
        <v>-0.20683560000000001</v>
      </c>
      <c r="Z4585">
        <v>8.7615680000000001E-2</v>
      </c>
      <c r="AA4585">
        <v>0.97444470000000005</v>
      </c>
      <c r="AB4585">
        <v>13</v>
      </c>
      <c r="AC4585">
        <v>2.7911000000000201</v>
      </c>
      <c r="AD4585">
        <v>-1.1111460049619999</v>
      </c>
      <c r="AE4585">
        <v>-12.263599999999901</v>
      </c>
      <c r="AF4585">
        <v>-2.6059917910779999</v>
      </c>
      <c r="AG4585">
        <v>-1.1111460049619999</v>
      </c>
      <c r="AH4585">
        <v>12.2046815366666</v>
      </c>
      <c r="AI4585">
        <v>95.087945020712198</v>
      </c>
      <c r="AJ4585">
        <v>102.053020766777</v>
      </c>
      <c r="AK4585">
        <v>12.529169568289801</v>
      </c>
      <c r="AL4585">
        <v>89.719808388592796</v>
      </c>
      <c r="AM4585">
        <v>95.574735434326101</v>
      </c>
      <c r="AN4585">
        <v>1.0000000687077499</v>
      </c>
    </row>
    <row r="4586" spans="1:40" x14ac:dyDescent="0.25">
      <c r="A4586" t="str">
        <f>"20190312150743175"</f>
        <v>20190312150743175</v>
      </c>
      <c r="B4586" t="str">
        <f>"1552374463164820"</f>
        <v>1552374463164820</v>
      </c>
      <c r="C4586" t="s">
        <v>40</v>
      </c>
      <c r="D4586">
        <v>4.458005</v>
      </c>
      <c r="E4586">
        <v>0.45764060000000001</v>
      </c>
      <c r="F4586" t="s">
        <v>61</v>
      </c>
      <c r="G4586">
        <v>-490.57400000000001</v>
      </c>
      <c r="H4586" s="1">
        <v>5.91041399999999E-6</v>
      </c>
      <c r="I4586">
        <v>227.7253</v>
      </c>
      <c r="J4586">
        <v>-493.43869999999998</v>
      </c>
      <c r="K4586">
        <v>1.1112169999999999</v>
      </c>
      <c r="L4586">
        <v>240.2167</v>
      </c>
      <c r="M4586">
        <v>1.446648E-2</v>
      </c>
      <c r="N4586">
        <v>0</v>
      </c>
      <c r="O4586">
        <v>-0.9997606</v>
      </c>
      <c r="P4586">
        <v>0.11469849999999999</v>
      </c>
      <c r="Q4586">
        <v>-1.0328840000000001E-2</v>
      </c>
      <c r="R4586">
        <v>-0.99334679999999997</v>
      </c>
      <c r="S4586">
        <v>0.66976930000000001</v>
      </c>
      <c r="T4586">
        <v>-0.25955020000000001</v>
      </c>
      <c r="U4586">
        <v>-2.9411770000000002</v>
      </c>
      <c r="V4586">
        <v>-0.10032199999999999</v>
      </c>
      <c r="W4586">
        <v>5.8687030000000003E-3</v>
      </c>
      <c r="X4586">
        <v>0.99493770000000004</v>
      </c>
      <c r="Y4586">
        <v>-0.2070874</v>
      </c>
      <c r="Z4586">
        <v>8.5848610000000006E-2</v>
      </c>
      <c r="AA4586">
        <v>0.97454850000000004</v>
      </c>
      <c r="AB4586">
        <v>13</v>
      </c>
      <c r="AC4586">
        <v>2.8646999999999698</v>
      </c>
      <c r="AD4586">
        <v>-1.1112110895859999</v>
      </c>
      <c r="AE4586">
        <v>-12.491400000000001</v>
      </c>
      <c r="AF4586">
        <v>-2.6636435751955201</v>
      </c>
      <c r="AG4586">
        <v>-1.1112110895859999</v>
      </c>
      <c r="AH4586">
        <v>12.438029432333099</v>
      </c>
      <c r="AI4586">
        <v>94.992629773148295</v>
      </c>
      <c r="AJ4586">
        <v>102.087496689806</v>
      </c>
      <c r="AK4586">
        <v>12.768491036175099</v>
      </c>
      <c r="AL4586">
        <v>89.663746152007207</v>
      </c>
      <c r="AM4586">
        <v>95.757812534540804</v>
      </c>
      <c r="AN4586">
        <v>0.999999986120096</v>
      </c>
    </row>
    <row r="4587" spans="1:40" x14ac:dyDescent="0.25">
      <c r="A4587" t="str">
        <f>"20190312150743187"</f>
        <v>20190312150743187</v>
      </c>
      <c r="B4587" t="str">
        <f>"1552374463174580"</f>
        <v>1552374463174580</v>
      </c>
      <c r="C4587" t="s">
        <v>40</v>
      </c>
      <c r="D4587">
        <v>4.4669309999999998</v>
      </c>
      <c r="E4587">
        <v>0.45779760000000003</v>
      </c>
      <c r="F4587" t="s">
        <v>61</v>
      </c>
      <c r="G4587">
        <v>-490.46589999999998</v>
      </c>
      <c r="H4587" s="1">
        <v>5.8315979999999997E-6</v>
      </c>
      <c r="I4587">
        <v>227.39359999999999</v>
      </c>
      <c r="J4587">
        <v>-493.43689999999998</v>
      </c>
      <c r="K4587">
        <v>1.111264</v>
      </c>
      <c r="L4587">
        <v>240.14930000000001</v>
      </c>
      <c r="M4587">
        <v>1.5192529999999999E-2</v>
      </c>
      <c r="N4587">
        <v>0</v>
      </c>
      <c r="O4587">
        <v>-0.99975259999999999</v>
      </c>
      <c r="P4587">
        <v>0.1169496</v>
      </c>
      <c r="Q4587">
        <v>-9.7174679999999999E-3</v>
      </c>
      <c r="R4587">
        <v>-0.99309049999999999</v>
      </c>
      <c r="S4587">
        <v>0.68130489999999999</v>
      </c>
      <c r="T4587">
        <v>-0.25466369999999999</v>
      </c>
      <c r="U4587">
        <v>-2.9387660000000002</v>
      </c>
      <c r="V4587">
        <v>-0.1018559</v>
      </c>
      <c r="W4587">
        <v>6.2926040000000003E-3</v>
      </c>
      <c r="X4587">
        <v>0.99477930000000003</v>
      </c>
      <c r="Y4587">
        <v>-0.2102135</v>
      </c>
      <c r="Z4587">
        <v>8.4245009999999995E-2</v>
      </c>
      <c r="AA4587">
        <v>0.97401910000000003</v>
      </c>
      <c r="AB4587">
        <v>13</v>
      </c>
      <c r="AC4587">
        <v>2.9710000000000001</v>
      </c>
      <c r="AD4587">
        <v>-1.111258168402</v>
      </c>
      <c r="AE4587">
        <v>-12.755699999999999</v>
      </c>
      <c r="AF4587">
        <v>-2.7569922356053298</v>
      </c>
      <c r="AG4587">
        <v>-1.111258168402</v>
      </c>
      <c r="AH4587">
        <v>12.707885131749901</v>
      </c>
      <c r="AI4587">
        <v>94.884532435098606</v>
      </c>
      <c r="AJ4587">
        <v>102.240698946469</v>
      </c>
      <c r="AK4587">
        <v>13.0509097547174</v>
      </c>
      <c r="AL4587">
        <v>89.639457983106993</v>
      </c>
      <c r="AM4587">
        <v>95.846167416642601</v>
      </c>
      <c r="AN4587">
        <v>1.0000000384691901</v>
      </c>
    </row>
    <row r="4588" spans="1:40" x14ac:dyDescent="0.25">
      <c r="A4588" t="str">
        <f>"20190312150743198"</f>
        <v>20190312150743198</v>
      </c>
      <c r="B4588" t="str">
        <f>"1552374463194101"</f>
        <v>1552374463194101</v>
      </c>
      <c r="C4588" t="s">
        <v>40</v>
      </c>
      <c r="D4588">
        <v>4.6480269999999999</v>
      </c>
      <c r="E4588">
        <v>0.45808579999999999</v>
      </c>
      <c r="F4588" t="s">
        <v>61</v>
      </c>
      <c r="G4588">
        <v>-490.4128</v>
      </c>
      <c r="H4588" s="1">
        <v>5.7898900000000004E-6</v>
      </c>
      <c r="I4588">
        <v>227.2209</v>
      </c>
      <c r="J4588">
        <v>-493.4348</v>
      </c>
      <c r="K4588">
        <v>1.111308</v>
      </c>
      <c r="L4588">
        <v>240.0788</v>
      </c>
      <c r="M4588">
        <v>1.599124E-2</v>
      </c>
      <c r="N4588">
        <v>0</v>
      </c>
      <c r="O4588">
        <v>-0.99974320000000005</v>
      </c>
      <c r="P4588">
        <v>0.1195518</v>
      </c>
      <c r="Q4588">
        <v>-9.2829430000000001E-3</v>
      </c>
      <c r="R4588">
        <v>-0.99278460000000002</v>
      </c>
      <c r="S4588">
        <v>0.68710329999999997</v>
      </c>
      <c r="T4588">
        <v>-0.25248589999999999</v>
      </c>
      <c r="U4588">
        <v>-2.937424</v>
      </c>
      <c r="V4588">
        <v>-0.1036685</v>
      </c>
      <c r="W4588">
        <v>6.5400759999999997E-3</v>
      </c>
      <c r="X4588">
        <v>0.99459039999999999</v>
      </c>
      <c r="Y4588">
        <v>-0.21136779999999999</v>
      </c>
      <c r="Z4588">
        <v>8.3536239999999998E-2</v>
      </c>
      <c r="AA4588">
        <v>0.97383030000000004</v>
      </c>
      <c r="AB4588">
        <v>13</v>
      </c>
      <c r="AC4588">
        <v>3.02199999999999</v>
      </c>
      <c r="AD4588">
        <v>-1.1113022101100001</v>
      </c>
      <c r="AE4588">
        <v>-12.857900000000001</v>
      </c>
      <c r="AF4588">
        <v>-2.79617899479948</v>
      </c>
      <c r="AG4588">
        <v>-1.1113022101100001</v>
      </c>
      <c r="AH4588">
        <v>12.8138774956094</v>
      </c>
      <c r="AI4588">
        <v>94.843247754921094</v>
      </c>
      <c r="AJ4588">
        <v>102.30982511748</v>
      </c>
      <c r="AK4588">
        <v>13.1624111030478</v>
      </c>
      <c r="AL4588">
        <v>89.625278575095805</v>
      </c>
      <c r="AM4588">
        <v>95.950586312835298</v>
      </c>
      <c r="AN4588">
        <v>0.99999999712924703</v>
      </c>
    </row>
    <row r="4589" spans="1:40" x14ac:dyDescent="0.25">
      <c r="A4589" t="str">
        <f>"20190312150743210"</f>
        <v>20190312150743210</v>
      </c>
      <c r="B4589" t="str">
        <f>"1552374463204835"</f>
        <v>1552374463204835</v>
      </c>
      <c r="C4589" t="s">
        <v>40</v>
      </c>
      <c r="D4589">
        <v>4.4574660000000002</v>
      </c>
      <c r="E4589">
        <v>0.45814510000000003</v>
      </c>
      <c r="F4589" t="s">
        <v>61</v>
      </c>
      <c r="G4589">
        <v>-490.37509999999997</v>
      </c>
      <c r="H4589" s="1">
        <v>5.7612839999999998E-6</v>
      </c>
      <c r="I4589">
        <v>227.10159999999999</v>
      </c>
      <c r="J4589">
        <v>-493.43270000000001</v>
      </c>
      <c r="K4589">
        <v>1.1113470000000001</v>
      </c>
      <c r="L4589">
        <v>240.01050000000001</v>
      </c>
      <c r="M4589">
        <v>1.6796099999999901E-2</v>
      </c>
      <c r="N4589">
        <v>0</v>
      </c>
      <c r="O4589">
        <v>-0.99973259999999997</v>
      </c>
      <c r="P4589">
        <v>0.12213060000000001</v>
      </c>
      <c r="Q4589">
        <v>-9.0055580000000003E-3</v>
      </c>
      <c r="R4589">
        <v>-0.99247350000000001</v>
      </c>
      <c r="S4589">
        <v>0.69226069999999995</v>
      </c>
      <c r="T4589">
        <v>-0.25142880000000001</v>
      </c>
      <c r="U4589">
        <v>-2.9360659999999998</v>
      </c>
      <c r="V4589">
        <v>-0.1054524</v>
      </c>
      <c r="W4589">
        <v>6.6378269999999998E-3</v>
      </c>
      <c r="X4589">
        <v>0.99440220000000001</v>
      </c>
      <c r="Y4589">
        <v>-0.21230850000000001</v>
      </c>
      <c r="Z4589">
        <v>8.319957E-2</v>
      </c>
      <c r="AA4589">
        <v>0.97365440000000003</v>
      </c>
      <c r="AB4589">
        <v>13</v>
      </c>
      <c r="AC4589">
        <v>3.0576000000000301</v>
      </c>
      <c r="AD4589">
        <v>-1.11134123871599</v>
      </c>
      <c r="AE4589">
        <v>-12.908899999999999</v>
      </c>
      <c r="AF4589">
        <v>-2.8205276827217101</v>
      </c>
      <c r="AG4589">
        <v>-1.11134123871599</v>
      </c>
      <c r="AH4589">
        <v>12.8681328807772</v>
      </c>
      <c r="AI4589">
        <v>94.822118588126202</v>
      </c>
      <c r="AJ4589">
        <v>102.362980970801</v>
      </c>
      <c r="AK4589">
        <v>13.220412232423399</v>
      </c>
      <c r="AL4589">
        <v>89.619677735755204</v>
      </c>
      <c r="AM4589">
        <v>96.053365720766905</v>
      </c>
      <c r="AN4589">
        <v>1.0000000023889399</v>
      </c>
    </row>
    <row r="4590" spans="1:40" x14ac:dyDescent="0.25">
      <c r="A4590" t="str">
        <f>"20190312150743222"</f>
        <v>20190312150743222</v>
      </c>
      <c r="B4590" t="str">
        <f>"1552374463214596"</f>
        <v>1552374463214596</v>
      </c>
      <c r="C4590" t="s">
        <v>40</v>
      </c>
      <c r="D4590">
        <v>4.7546390000000001</v>
      </c>
      <c r="E4590">
        <v>0.45835290000000001</v>
      </c>
      <c r="F4590" t="s">
        <v>61</v>
      </c>
      <c r="G4590">
        <v>-490.3372</v>
      </c>
      <c r="H4590" s="1">
        <v>5.7434820000000001E-6</v>
      </c>
      <c r="I4590">
        <v>227.017</v>
      </c>
      <c r="J4590">
        <v>-493.43040000000002</v>
      </c>
      <c r="K4590">
        <v>1.1113789999999999</v>
      </c>
      <c r="L4590">
        <v>239.93539999999999</v>
      </c>
      <c r="M4590">
        <v>1.7715290000000002E-2</v>
      </c>
      <c r="N4590">
        <v>0</v>
      </c>
      <c r="O4590">
        <v>-0.99971989999999999</v>
      </c>
      <c r="P4590">
        <v>0.12491480000000001</v>
      </c>
      <c r="Q4590">
        <v>-8.7015589999999993E-3</v>
      </c>
      <c r="R4590">
        <v>-0.99212979999999995</v>
      </c>
      <c r="S4590">
        <v>0.69909670000000002</v>
      </c>
      <c r="T4590">
        <v>-0.25098419999999999</v>
      </c>
      <c r="U4590">
        <v>-2.9344329999999998</v>
      </c>
      <c r="V4590">
        <v>-0.1073289</v>
      </c>
      <c r="W4590">
        <v>6.7465429999999998E-3</v>
      </c>
      <c r="X4590">
        <v>0.99420059999999999</v>
      </c>
      <c r="Y4590">
        <v>-0.21368119999999999</v>
      </c>
      <c r="Z4590">
        <v>8.306173E-2</v>
      </c>
      <c r="AA4590">
        <v>0.97336579999999995</v>
      </c>
      <c r="AB4590">
        <v>13</v>
      </c>
      <c r="AC4590">
        <v>3.0932000000000199</v>
      </c>
      <c r="AD4590">
        <v>-1.1113732565179999</v>
      </c>
      <c r="AE4590">
        <v>-12.918399999999901</v>
      </c>
      <c r="AF4590">
        <v>-2.84392592331421</v>
      </c>
      <c r="AG4590">
        <v>-1.1113732565179999</v>
      </c>
      <c r="AH4590">
        <v>12.881010320225901</v>
      </c>
      <c r="AI4590">
        <v>94.815851803342298</v>
      </c>
      <c r="AJ4590">
        <v>102.45027856517299</v>
      </c>
      <c r="AK4590">
        <v>13.237956490424301</v>
      </c>
      <c r="AL4590">
        <v>89.613448596785901</v>
      </c>
      <c r="AM4590">
        <v>96.161502378998506</v>
      </c>
      <c r="AN4590">
        <v>0.99999992082900702</v>
      </c>
    </row>
    <row r="4591" spans="1:40" x14ac:dyDescent="0.25">
      <c r="A4591" t="str">
        <f>"20190312150743234"</f>
        <v>20190312150743234</v>
      </c>
      <c r="B4591" t="str">
        <f>"1552374463224355"</f>
        <v>1552374463224355</v>
      </c>
      <c r="C4591" t="s">
        <v>40</v>
      </c>
      <c r="D4591">
        <v>4.4220790000000001</v>
      </c>
      <c r="E4591">
        <v>0.45835290000000001</v>
      </c>
      <c r="F4591" t="s">
        <v>61</v>
      </c>
      <c r="G4591">
        <v>-490.28820000000002</v>
      </c>
      <c r="H4591" s="1">
        <v>5.7114739999999898E-6</v>
      </c>
      <c r="I4591">
        <v>226.87860000000001</v>
      </c>
      <c r="J4591">
        <v>-493.42829999999998</v>
      </c>
      <c r="K4591">
        <v>1.1113980000000001</v>
      </c>
      <c r="L4591">
        <v>239.86969999999999</v>
      </c>
      <c r="M4591">
        <v>1.8567529999999999E-2</v>
      </c>
      <c r="N4591">
        <v>0</v>
      </c>
      <c r="O4591">
        <v>-0.9997066</v>
      </c>
      <c r="P4591">
        <v>0.12749269999999999</v>
      </c>
      <c r="Q4591">
        <v>-8.808995E-3</v>
      </c>
      <c r="R4591">
        <v>-0.99180069999999998</v>
      </c>
      <c r="S4591">
        <v>0.70577999999999996</v>
      </c>
      <c r="T4591">
        <v>-0.24963160000000001</v>
      </c>
      <c r="U4591">
        <v>-2.9327549999999998</v>
      </c>
      <c r="V4591">
        <v>-0.10906449999999999</v>
      </c>
      <c r="W4591">
        <v>6.4780899999999997E-3</v>
      </c>
      <c r="X4591">
        <v>0.99401349999999999</v>
      </c>
      <c r="Y4591">
        <v>-0.2150803</v>
      </c>
      <c r="Z4591">
        <v>8.2626690000000003E-2</v>
      </c>
      <c r="AA4591">
        <v>0.97309469999999998</v>
      </c>
      <c r="AB4591">
        <v>13</v>
      </c>
      <c r="AC4591">
        <v>3.1400999999999599</v>
      </c>
      <c r="AD4591">
        <v>-1.1113922885259999</v>
      </c>
      <c r="AE4591">
        <v>-12.9910999999999</v>
      </c>
      <c r="AF4591">
        <v>-2.8784129112078198</v>
      </c>
      <c r="AG4591">
        <v>-1.1113922885259999</v>
      </c>
      <c r="AH4591">
        <v>12.9575711462416</v>
      </c>
      <c r="AI4591">
        <v>94.786246250577506</v>
      </c>
      <c r="AJ4591">
        <v>102.524394426903</v>
      </c>
      <c r="AK4591">
        <v>13.319876265052701</v>
      </c>
      <c r="AL4591">
        <v>89.628830163286096</v>
      </c>
      <c r="AM4591">
        <v>96.261523237163502</v>
      </c>
      <c r="AN4591">
        <v>0.999999934496271</v>
      </c>
    </row>
    <row r="4592" spans="1:40" x14ac:dyDescent="0.25">
      <c r="A4592" t="str">
        <f>"20190312150743245"</f>
        <v>20190312150743245</v>
      </c>
      <c r="B4592" t="str">
        <f>"1552374463234117"</f>
        <v>1552374463234117</v>
      </c>
      <c r="C4592" t="s">
        <v>40</v>
      </c>
      <c r="D4592">
        <v>4.4050529999999997</v>
      </c>
      <c r="E4592">
        <v>0.46512300000000001</v>
      </c>
      <c r="F4592" t="s">
        <v>61</v>
      </c>
      <c r="G4592">
        <v>-490.25540000000001</v>
      </c>
      <c r="H4592" s="1">
        <v>5.7071029999999998E-6</v>
      </c>
      <c r="I4592">
        <v>226.84100000000001</v>
      </c>
      <c r="J4592">
        <v>-493.42599999999999</v>
      </c>
      <c r="K4592">
        <v>1.111413</v>
      </c>
      <c r="L4592">
        <v>239.80199999999999</v>
      </c>
      <c r="M4592">
        <v>1.9458699999999999E-2</v>
      </c>
      <c r="N4592">
        <v>0</v>
      </c>
      <c r="O4592">
        <v>-0.99969180000000002</v>
      </c>
      <c r="P4592">
        <v>0.13021079999999999</v>
      </c>
      <c r="Q4592">
        <v>-8.7754879999999997E-3</v>
      </c>
      <c r="R4592">
        <v>-0.99144779999999999</v>
      </c>
      <c r="S4592">
        <v>0.71374510000000002</v>
      </c>
      <c r="T4592">
        <v>-0.25001000000000001</v>
      </c>
      <c r="U4592">
        <v>-2.9308320000000001</v>
      </c>
      <c r="V4592">
        <v>-0.110903</v>
      </c>
      <c r="W4592">
        <v>6.3483940000000003E-3</v>
      </c>
      <c r="X4592">
        <v>0.993811</v>
      </c>
      <c r="Y4592">
        <v>-0.2168503</v>
      </c>
      <c r="Z4592">
        <v>8.2759029999999997E-2</v>
      </c>
      <c r="AA4592">
        <v>0.97269050000000001</v>
      </c>
      <c r="AB4592">
        <v>13</v>
      </c>
      <c r="AC4592">
        <v>3.1705999999999701</v>
      </c>
      <c r="AD4592">
        <v>-1.111407292897</v>
      </c>
      <c r="AE4592">
        <v>-12.961</v>
      </c>
      <c r="AF4592">
        <v>-2.8976616535956201</v>
      </c>
      <c r="AG4592">
        <v>-1.111407292897</v>
      </c>
      <c r="AH4592">
        <v>12.9305376463149</v>
      </c>
      <c r="AI4592">
        <v>94.794289313943693</v>
      </c>
      <c r="AJ4592">
        <v>102.63098951428</v>
      </c>
      <c r="AK4592">
        <v>13.297761956517</v>
      </c>
      <c r="AL4592">
        <v>89.636261388621705</v>
      </c>
      <c r="AM4592">
        <v>96.3675007518992</v>
      </c>
      <c r="AN4592">
        <v>1.0000000406181799</v>
      </c>
    </row>
    <row r="4593" spans="1:40" x14ac:dyDescent="0.25">
      <c r="A4593" t="str">
        <f>"20190312150743257"</f>
        <v>20190312150743257</v>
      </c>
      <c r="B4593" t="str">
        <f>"1552374463254612"</f>
        <v>1552374463254612</v>
      </c>
      <c r="C4593" t="s">
        <v>40</v>
      </c>
      <c r="D4593">
        <v>4.4190849999999999</v>
      </c>
      <c r="E4593">
        <v>0.46526479999999998</v>
      </c>
      <c r="F4593" t="s">
        <v>61</v>
      </c>
      <c r="G4593">
        <v>-490.2527</v>
      </c>
      <c r="H4593" s="1">
        <v>5.4032040000000003E-6</v>
      </c>
      <c r="I4593">
        <v>225.85810000000001</v>
      </c>
      <c r="J4593">
        <v>-493.42340000000002</v>
      </c>
      <c r="K4593">
        <v>1.1114269999999999</v>
      </c>
      <c r="L4593">
        <v>239.73060000000001</v>
      </c>
      <c r="M4593">
        <v>2.0441009999999999E-2</v>
      </c>
      <c r="N4593">
        <v>0</v>
      </c>
      <c r="O4593">
        <v>-0.99967430000000002</v>
      </c>
      <c r="P4593">
        <v>0.1332487</v>
      </c>
      <c r="Q4593">
        <v>-8.8155969999999997E-3</v>
      </c>
      <c r="R4593">
        <v>-0.99104320000000001</v>
      </c>
      <c r="S4593">
        <v>0.66818239999999995</v>
      </c>
      <c r="T4593">
        <v>-0.23401749999999999</v>
      </c>
      <c r="U4593">
        <v>-2.936035</v>
      </c>
      <c r="V4593">
        <v>-0.1129719</v>
      </c>
      <c r="W4593">
        <v>6.1567080000000003E-3</v>
      </c>
      <c r="X4593">
        <v>0.99357910000000005</v>
      </c>
      <c r="Y4593">
        <v>-0.20125660000000001</v>
      </c>
      <c r="Z4593">
        <v>7.7629569999999995E-2</v>
      </c>
      <c r="AA4593">
        <v>0.97645760000000004</v>
      </c>
      <c r="AB4593">
        <v>13</v>
      </c>
      <c r="AC4593">
        <v>3.1707000000000098</v>
      </c>
      <c r="AD4593">
        <v>-1.1114215967959999</v>
      </c>
      <c r="AE4593">
        <v>-13.8725</v>
      </c>
      <c r="AF4593">
        <v>-2.8689356881880999</v>
      </c>
      <c r="AG4593">
        <v>-1.1114215967959999</v>
      </c>
      <c r="AH4593">
        <v>13.8499353706082</v>
      </c>
      <c r="AI4593">
        <v>94.493027321187</v>
      </c>
      <c r="AJ4593">
        <v>101.702982814409</v>
      </c>
      <c r="AK4593">
        <v>14.1875565098014</v>
      </c>
      <c r="AL4593">
        <v>89.647244384381693</v>
      </c>
      <c r="AM4593">
        <v>96.486784653640498</v>
      </c>
      <c r="AN4593">
        <v>0.99999999159990804</v>
      </c>
    </row>
    <row r="4594" spans="1:40" x14ac:dyDescent="0.25">
      <c r="A4594" t="str">
        <f>"20190312150743269"</f>
        <v>20190312150743269</v>
      </c>
      <c r="B4594" t="str">
        <f>"1552374463264372"</f>
        <v>1552374463264372</v>
      </c>
      <c r="C4594" t="s">
        <v>40</v>
      </c>
      <c r="D4594">
        <v>4.3833010000000003</v>
      </c>
      <c r="E4594">
        <v>0.4655841</v>
      </c>
      <c r="F4594" t="s">
        <v>61</v>
      </c>
      <c r="G4594">
        <v>-490.40899999999999</v>
      </c>
      <c r="H4594" s="1">
        <v>5.6126999999999996E-6</v>
      </c>
      <c r="I4594">
        <v>226.64619999999999</v>
      </c>
      <c r="J4594">
        <v>-493.42090000000002</v>
      </c>
      <c r="K4594">
        <v>1.1114389999999901</v>
      </c>
      <c r="L4594">
        <v>239.6611</v>
      </c>
      <c r="M4594">
        <v>2.1411139999999999E-2</v>
      </c>
      <c r="N4594">
        <v>0</v>
      </c>
      <c r="O4594">
        <v>-0.99965610000000005</v>
      </c>
      <c r="P4594">
        <v>0.136039299999999</v>
      </c>
      <c r="Q4594">
        <v>-8.9532980000000002E-3</v>
      </c>
      <c r="R4594">
        <v>-0.99066299999999996</v>
      </c>
      <c r="S4594">
        <v>0.67593380000000003</v>
      </c>
      <c r="T4594">
        <v>-0.24922069999999999</v>
      </c>
      <c r="U4594">
        <v>-2.9339900000000001</v>
      </c>
      <c r="V4594">
        <v>-0.1148059</v>
      </c>
      <c r="W4594">
        <v>5.8815780000000002E-3</v>
      </c>
      <c r="X4594">
        <v>0.99337050000000005</v>
      </c>
      <c r="Y4594">
        <v>-0.20281370000000001</v>
      </c>
      <c r="Z4594">
        <v>8.2654699999999998E-2</v>
      </c>
      <c r="AA4594">
        <v>0.97572270000000005</v>
      </c>
      <c r="AB4594">
        <v>13</v>
      </c>
      <c r="AC4594">
        <v>3.0119000000000198</v>
      </c>
      <c r="AD4594">
        <v>-1.11143338729999</v>
      </c>
      <c r="AE4594">
        <v>-13.014900000000001</v>
      </c>
      <c r="AF4594">
        <v>-2.7137293070205999</v>
      </c>
      <c r="AG4594">
        <v>-1.11143338729999</v>
      </c>
      <c r="AH4594">
        <v>12.9865193760713</v>
      </c>
      <c r="AI4594">
        <v>94.788721188873595</v>
      </c>
      <c r="AJ4594">
        <v>101.802976338378</v>
      </c>
      <c r="AK4594">
        <v>13.3135005325896</v>
      </c>
      <c r="AL4594">
        <v>89.6630084503186</v>
      </c>
      <c r="AM4594">
        <v>96.592544528869198</v>
      </c>
      <c r="AN4594">
        <v>0.99999996895241405</v>
      </c>
    </row>
    <row r="4595" spans="1:40" x14ac:dyDescent="0.25">
      <c r="A4595" t="str">
        <f>"20190312150743286"</f>
        <v>20190312150743286</v>
      </c>
      <c r="B4595" t="str">
        <f>"1552374463274134"</f>
        <v>1552374463274134</v>
      </c>
      <c r="C4595" t="s">
        <v>40</v>
      </c>
      <c r="D4595">
        <v>4.5806300000000002</v>
      </c>
      <c r="E4595">
        <v>0.46618599999999999</v>
      </c>
      <c r="F4595" t="s">
        <v>61</v>
      </c>
      <c r="G4595">
        <v>-490.46039999999999</v>
      </c>
      <c r="H4595" s="1">
        <v>5.6884240000000003E-6</v>
      </c>
      <c r="I4595">
        <v>226.92740000000001</v>
      </c>
      <c r="J4595">
        <v>-493.4171</v>
      </c>
      <c r="K4595">
        <v>1.111459</v>
      </c>
      <c r="L4595">
        <v>239.56139999999999</v>
      </c>
      <c r="M4595">
        <v>2.2833249999999999E-2</v>
      </c>
      <c r="N4595">
        <v>0</v>
      </c>
      <c r="O4595">
        <v>-0.99962709999999999</v>
      </c>
      <c r="P4595">
        <v>0.14142060000000001</v>
      </c>
      <c r="Q4595">
        <v>-9.1784799999999993E-3</v>
      </c>
      <c r="R4595">
        <v>-0.98990730000000005</v>
      </c>
      <c r="S4595">
        <v>0.68176269999999894</v>
      </c>
      <c r="T4595">
        <v>-0.25594509999999998</v>
      </c>
      <c r="U4595">
        <v>-2.9323579999999998</v>
      </c>
      <c r="V4595">
        <v>-0.1187888</v>
      </c>
      <c r="W4595">
        <v>5.4767499999999998E-3</v>
      </c>
      <c r="X4595">
        <v>0.99290440000000002</v>
      </c>
      <c r="Y4595">
        <v>-0.2033382</v>
      </c>
      <c r="Z4595">
        <v>8.4887099999999993E-2</v>
      </c>
      <c r="AA4595">
        <v>0.97542180000000001</v>
      </c>
      <c r="AB4595">
        <v>13</v>
      </c>
      <c r="AC4595">
        <v>2.9567000000000099</v>
      </c>
      <c r="AD4595">
        <v>-1.1114533115759999</v>
      </c>
      <c r="AE4595">
        <v>-12.633999999999901</v>
      </c>
      <c r="AF4595">
        <v>-2.64799190698771</v>
      </c>
      <c r="AG4595">
        <v>-1.1114533115759999</v>
      </c>
      <c r="AH4595">
        <v>12.6057305059327</v>
      </c>
      <c r="AI4595">
        <v>94.931680606161294</v>
      </c>
      <c r="AJ4595">
        <v>101.86321160999699</v>
      </c>
      <c r="AK4595">
        <v>12.928713439143401</v>
      </c>
      <c r="AL4595">
        <v>89.686203758487196</v>
      </c>
      <c r="AM4595">
        <v>96.822309023045705</v>
      </c>
      <c r="AN4595">
        <v>0.99999996066768004</v>
      </c>
    </row>
    <row r="4596" spans="1:40" x14ac:dyDescent="0.25">
      <c r="A4596" t="str">
        <f>"20190312150743297"</f>
        <v>20190312150743297</v>
      </c>
      <c r="B4596" t="str">
        <f>"1552374463294628"</f>
        <v>1552374463294628</v>
      </c>
      <c r="C4596" t="s">
        <v>40</v>
      </c>
      <c r="D4596">
        <v>4.4239459999999999</v>
      </c>
      <c r="E4596">
        <v>0.46664909999999998</v>
      </c>
      <c r="F4596" t="s">
        <v>61</v>
      </c>
      <c r="G4596">
        <v>-490.38619999999997</v>
      </c>
      <c r="H4596" s="1">
        <v>5.64763299999999E-6</v>
      </c>
      <c r="I4596">
        <v>226.74270000000001</v>
      </c>
      <c r="J4596">
        <v>-493.41449999999998</v>
      </c>
      <c r="K4596">
        <v>1.111472</v>
      </c>
      <c r="L4596">
        <v>239.49610000000001</v>
      </c>
      <c r="M4596">
        <v>2.3789680000000001E-2</v>
      </c>
      <c r="N4596">
        <v>0</v>
      </c>
      <c r="O4596">
        <v>-0.99960640000000001</v>
      </c>
      <c r="P4596">
        <v>0.14432519999999999</v>
      </c>
      <c r="Q4596">
        <v>-9.2150640000000002E-3</v>
      </c>
      <c r="R4596">
        <v>-0.98948760000000002</v>
      </c>
      <c r="S4596">
        <v>0.6925964</v>
      </c>
      <c r="T4596">
        <v>-0.25398189999999998</v>
      </c>
      <c r="U4596">
        <v>-2.9292600000000002</v>
      </c>
      <c r="V4596">
        <v>-0.1207526</v>
      </c>
      <c r="W4596">
        <v>5.3389459999999998E-3</v>
      </c>
      <c r="X4596">
        <v>0.99266829999999995</v>
      </c>
      <c r="Y4596">
        <v>-0.20605979999999999</v>
      </c>
      <c r="Z4596">
        <v>8.4264870000000006E-2</v>
      </c>
      <c r="AA4596">
        <v>0.97490449999999995</v>
      </c>
      <c r="AB4596">
        <v>13</v>
      </c>
      <c r="AC4596">
        <v>3.0283000000000002</v>
      </c>
      <c r="AD4596">
        <v>-1.1114663523670001</v>
      </c>
      <c r="AE4596">
        <v>-12.753399999999999</v>
      </c>
      <c r="AF4596">
        <v>-2.7045645131155598</v>
      </c>
      <c r="AG4596">
        <v>-1.1114663523670001</v>
      </c>
      <c r="AH4596">
        <v>12.730311121571299</v>
      </c>
      <c r="AI4596">
        <v>94.881363331779198</v>
      </c>
      <c r="AJ4596">
        <v>101.994200964138</v>
      </c>
      <c r="AK4596">
        <v>13.0618087533867</v>
      </c>
      <c r="AL4596">
        <v>89.694099481320805</v>
      </c>
      <c r="AM4596">
        <v>96.935638405934995</v>
      </c>
      <c r="AN4596">
        <v>1.00000002428802</v>
      </c>
    </row>
    <row r="4597" spans="1:40" x14ac:dyDescent="0.25">
      <c r="A4597" t="str">
        <f>"20190312150743308"</f>
        <v>20190312150743308</v>
      </c>
      <c r="B4597" t="str">
        <f>"1552374463304388"</f>
        <v>1552374463304388</v>
      </c>
      <c r="C4597" t="s">
        <v>40</v>
      </c>
      <c r="D4597">
        <v>4.6290239999999896</v>
      </c>
      <c r="E4597">
        <v>0.46691670000000002</v>
      </c>
      <c r="F4597" t="s">
        <v>61</v>
      </c>
      <c r="G4597">
        <v>-490.32010000000002</v>
      </c>
      <c r="H4597" s="1">
        <v>5.5926880000000003E-6</v>
      </c>
      <c r="I4597">
        <v>226.518</v>
      </c>
      <c r="J4597">
        <v>-493.41199999999998</v>
      </c>
      <c r="K4597">
        <v>1.1114850000000001</v>
      </c>
      <c r="L4597">
        <v>239.43440000000001</v>
      </c>
      <c r="M4597">
        <v>2.4701310000000001E-2</v>
      </c>
      <c r="N4597">
        <v>0</v>
      </c>
      <c r="O4597">
        <v>-0.99958539999999996</v>
      </c>
      <c r="P4597">
        <v>0.1476808</v>
      </c>
      <c r="Q4597">
        <v>-9.3211849999999992E-3</v>
      </c>
      <c r="R4597">
        <v>-0.98899150000000002</v>
      </c>
      <c r="S4597">
        <v>0.69805909999999904</v>
      </c>
      <c r="T4597">
        <v>-0.25073450000000003</v>
      </c>
      <c r="U4597">
        <v>-2.9277190000000002</v>
      </c>
      <c r="V4597">
        <v>-0.1232137</v>
      </c>
      <c r="W4597">
        <v>5.1386770000000003E-3</v>
      </c>
      <c r="X4597">
        <v>0.99236690000000005</v>
      </c>
      <c r="Y4597">
        <v>-0.20702480000000001</v>
      </c>
      <c r="Z4597">
        <v>8.3208539999999998E-2</v>
      </c>
      <c r="AA4597">
        <v>0.97479079999999996</v>
      </c>
      <c r="AB4597">
        <v>13</v>
      </c>
      <c r="AC4597">
        <v>3.0918999999999501</v>
      </c>
      <c r="AD4597">
        <v>-1.111479407312</v>
      </c>
      <c r="AE4597">
        <v>-12.916399999999999</v>
      </c>
      <c r="AF4597">
        <v>-2.7525914277747199</v>
      </c>
      <c r="AG4597">
        <v>-1.111479407312</v>
      </c>
      <c r="AH4597">
        <v>12.8985044950589</v>
      </c>
      <c r="AI4597">
        <v>94.817138538742199</v>
      </c>
      <c r="AJ4597">
        <v>102.046443383195</v>
      </c>
      <c r="AK4597">
        <v>13.2356928133813</v>
      </c>
      <c r="AL4597">
        <v>89.705574212514193</v>
      </c>
      <c r="AM4597">
        <v>97.077704507978396</v>
      </c>
      <c r="AN4597">
        <v>1.0000000430422999</v>
      </c>
    </row>
    <row r="4598" spans="1:40" x14ac:dyDescent="0.25">
      <c r="A4598" t="str">
        <f>"20190312150743320"</f>
        <v>20190312150743320</v>
      </c>
      <c r="B4598" t="str">
        <f>"1552374463314148"</f>
        <v>1552374463314148</v>
      </c>
      <c r="C4598" t="s">
        <v>40</v>
      </c>
      <c r="D4598">
        <v>4.4269439999999998</v>
      </c>
      <c r="E4598">
        <v>0.46691670000000002</v>
      </c>
      <c r="F4598" t="s">
        <v>61</v>
      </c>
      <c r="G4598">
        <v>-490.27859999999998</v>
      </c>
      <c r="H4598" s="1">
        <v>5.5773500000000001E-6</v>
      </c>
      <c r="I4598">
        <v>226.43879999999999</v>
      </c>
      <c r="J4598">
        <v>-493.40910000000002</v>
      </c>
      <c r="K4598">
        <v>1.1114949999999999</v>
      </c>
      <c r="L4598">
        <v>239.3655</v>
      </c>
      <c r="M4598">
        <v>2.5737590000000001E-2</v>
      </c>
      <c r="N4598">
        <v>0</v>
      </c>
      <c r="O4598">
        <v>-0.99956040000000002</v>
      </c>
      <c r="P4598">
        <v>0.15104310000000001</v>
      </c>
      <c r="Q4598">
        <v>-9.4379210000000002E-3</v>
      </c>
      <c r="R4598">
        <v>-0.98848230000000004</v>
      </c>
      <c r="S4598">
        <v>0.70541379999999998</v>
      </c>
      <c r="T4598">
        <v>-0.25022470000000002</v>
      </c>
      <c r="U4598">
        <v>-2.9256899999999999</v>
      </c>
      <c r="V4598">
        <v>-0.1255587</v>
      </c>
      <c r="W4598">
        <v>4.9260099999999998E-3</v>
      </c>
      <c r="X4598">
        <v>0.99207400000000001</v>
      </c>
      <c r="Y4598">
        <v>-0.20848330000000001</v>
      </c>
      <c r="Z4598">
        <v>8.3056069999999996E-2</v>
      </c>
      <c r="AA4598">
        <v>0.9744929</v>
      </c>
      <c r="AB4598">
        <v>13</v>
      </c>
      <c r="AC4598">
        <v>3.13050000000004</v>
      </c>
      <c r="AD4598">
        <v>-1.1114894226500001</v>
      </c>
      <c r="AE4598">
        <v>-12.9267</v>
      </c>
      <c r="AF4598">
        <v>-2.7773286544657498</v>
      </c>
      <c r="AG4598">
        <v>-1.1114894226500001</v>
      </c>
      <c r="AH4598">
        <v>12.912818257575999</v>
      </c>
      <c r="AI4598">
        <v>94.810219979417397</v>
      </c>
      <c r="AJ4598">
        <v>102.138429623205</v>
      </c>
      <c r="AK4598">
        <v>13.254804357091301</v>
      </c>
      <c r="AL4598">
        <v>89.717759286168004</v>
      </c>
      <c r="AM4598">
        <v>97.213108848202396</v>
      </c>
      <c r="AN4598">
        <v>1.0000000370980999</v>
      </c>
    </row>
    <row r="4599" spans="1:40" x14ac:dyDescent="0.25">
      <c r="A4599" t="str">
        <f>"20190312150743333"</f>
        <v>20190312150743333</v>
      </c>
      <c r="B4599" t="str">
        <f>"1552374463324883"</f>
        <v>1552374463324883</v>
      </c>
      <c r="C4599" t="s">
        <v>40</v>
      </c>
      <c r="D4599">
        <v>4.4513239999999996</v>
      </c>
      <c r="E4599">
        <v>0.44349470000000002</v>
      </c>
      <c r="F4599" t="s">
        <v>61</v>
      </c>
      <c r="G4599">
        <v>-490.23500000000001</v>
      </c>
      <c r="H4599" s="1">
        <v>5.5745739999999997E-6</v>
      </c>
      <c r="I4599">
        <v>226.39869999999999</v>
      </c>
      <c r="J4599">
        <v>-493.4058</v>
      </c>
      <c r="K4599">
        <v>1.111504</v>
      </c>
      <c r="L4599">
        <v>239.2902</v>
      </c>
      <c r="M4599">
        <v>2.689074E-2</v>
      </c>
      <c r="N4599">
        <v>0</v>
      </c>
      <c r="O4599">
        <v>-0.99953159999999996</v>
      </c>
      <c r="P4599">
        <v>0.15451719999999999</v>
      </c>
      <c r="Q4599">
        <v>-9.4763780000000006E-3</v>
      </c>
      <c r="R4599">
        <v>-0.98794510000000002</v>
      </c>
      <c r="S4599">
        <v>0.71554569999999995</v>
      </c>
      <c r="T4599">
        <v>-0.25057289999999999</v>
      </c>
      <c r="U4599">
        <v>-2.9232330000000002</v>
      </c>
      <c r="V4599">
        <v>-0.1279014</v>
      </c>
      <c r="W4599">
        <v>4.7877290000000001E-3</v>
      </c>
      <c r="X4599">
        <v>0.99177530000000003</v>
      </c>
      <c r="Y4599">
        <v>-0.2107279</v>
      </c>
      <c r="Z4599">
        <v>8.3180879999999999E-2</v>
      </c>
      <c r="AA4599">
        <v>0.97399930000000001</v>
      </c>
      <c r="AB4599">
        <v>13</v>
      </c>
      <c r="AC4599">
        <v>3.1707999999999799</v>
      </c>
      <c r="AD4599">
        <v>-1.1114984254260001</v>
      </c>
      <c r="AE4599">
        <v>-12.891500000000001</v>
      </c>
      <c r="AF4599">
        <v>-2.8033037318418099</v>
      </c>
      <c r="AG4599">
        <v>-1.1114984254260001</v>
      </c>
      <c r="AH4599">
        <v>12.881813340893</v>
      </c>
      <c r="AI4599">
        <v>94.819269144496701</v>
      </c>
      <c r="AJ4599">
        <v>102.277130174763</v>
      </c>
      <c r="AK4599">
        <v>13.2300814627988</v>
      </c>
      <c r="AL4599">
        <v>89.725682278083596</v>
      </c>
      <c r="AM4599">
        <v>97.348423949674498</v>
      </c>
      <c r="AN4599">
        <v>0.99999996808051295</v>
      </c>
    </row>
    <row r="4600" spans="1:40" x14ac:dyDescent="0.25">
      <c r="A4600" t="str">
        <f>"20190312150743347"</f>
        <v>20190312150743347</v>
      </c>
      <c r="B4600" t="str">
        <f>"1552374463344405"</f>
        <v>1552374463344405</v>
      </c>
      <c r="C4600" t="s">
        <v>40</v>
      </c>
      <c r="D4600">
        <v>4.3216049999999999</v>
      </c>
      <c r="E4600">
        <v>0.42603249999999998</v>
      </c>
      <c r="F4600" t="s">
        <v>61</v>
      </c>
      <c r="G4600">
        <v>-489.8682</v>
      </c>
      <c r="H4600" s="1">
        <v>6.1259680000000003E-6</v>
      </c>
      <c r="I4600">
        <v>228.05709999999999</v>
      </c>
      <c r="J4600">
        <v>-493.40210000000002</v>
      </c>
      <c r="K4600">
        <v>1.1115159999999999</v>
      </c>
      <c r="L4600">
        <v>239.2079</v>
      </c>
      <c r="M4600">
        <v>2.8167640000000001E-2</v>
      </c>
      <c r="N4600">
        <v>0</v>
      </c>
      <c r="O4600">
        <v>-0.99949750000000004</v>
      </c>
      <c r="P4600">
        <v>0.15852069999999999</v>
      </c>
      <c r="Q4600">
        <v>-9.6326750000000003E-3</v>
      </c>
      <c r="R4600">
        <v>-0.98730890000000004</v>
      </c>
      <c r="S4600">
        <v>0.91058349999999999</v>
      </c>
      <c r="T4600">
        <v>-0.28610099999999999</v>
      </c>
      <c r="U4600">
        <v>-2.8914179999999998</v>
      </c>
      <c r="V4600">
        <v>-0.13065399999999999</v>
      </c>
      <c r="W4600">
        <v>4.5269020000000002E-3</v>
      </c>
      <c r="X4600">
        <v>0.99141769999999996</v>
      </c>
      <c r="Y4600">
        <v>-0.2720572</v>
      </c>
      <c r="Z4600">
        <v>9.4291990000000006E-2</v>
      </c>
      <c r="AA4600">
        <v>0.95765020000000001</v>
      </c>
      <c r="AB4600">
        <v>13</v>
      </c>
      <c r="AC4600">
        <v>3.5339000000000098</v>
      </c>
      <c r="AD4600">
        <v>-1.111509874032</v>
      </c>
      <c r="AE4600">
        <v>-11.1508</v>
      </c>
      <c r="AF4600">
        <v>-3.1895732969372101</v>
      </c>
      <c r="AG4600">
        <v>-1.111509874032</v>
      </c>
      <c r="AH4600">
        <v>11.145293658042</v>
      </c>
      <c r="AI4600">
        <v>95.476781295302303</v>
      </c>
      <c r="AJ4600">
        <v>105.970125003316</v>
      </c>
      <c r="AK4600">
        <v>11.645874923791499</v>
      </c>
      <c r="AL4600">
        <v>89.740626737373802</v>
      </c>
      <c r="AM4600">
        <v>97.507463403895699</v>
      </c>
      <c r="AN4600">
        <v>1.0000000082155001</v>
      </c>
    </row>
    <row r="4601" spans="1:40" x14ac:dyDescent="0.25">
      <c r="A4601" t="str">
        <f>"20190312150743360"</f>
        <v>20190312150743360</v>
      </c>
      <c r="B4601" t="str">
        <f>"1552374463354164"</f>
        <v>1552374463354164</v>
      </c>
      <c r="C4601" t="s">
        <v>40</v>
      </c>
      <c r="D4601">
        <v>4.3844570000000003</v>
      </c>
      <c r="E4601">
        <v>0.42090300000000003</v>
      </c>
      <c r="F4601" t="s">
        <v>61</v>
      </c>
      <c r="G4601">
        <v>-489.47620000000001</v>
      </c>
      <c r="H4601" s="1">
        <v>6.1877239999999999E-6</v>
      </c>
      <c r="I4601">
        <v>228.59309999999999</v>
      </c>
      <c r="J4601">
        <v>-493.39839999999998</v>
      </c>
      <c r="K4601">
        <v>1.111526</v>
      </c>
      <c r="L4601">
        <v>239.1284</v>
      </c>
      <c r="M4601">
        <v>2.9427399999999999E-2</v>
      </c>
      <c r="N4601">
        <v>0</v>
      </c>
      <c r="O4601">
        <v>-0.99946250000000003</v>
      </c>
      <c r="P4601">
        <v>0.16223479999999901</v>
      </c>
      <c r="Q4601">
        <v>-9.5912459999999995E-3</v>
      </c>
      <c r="R4601">
        <v>-0.98670570000000002</v>
      </c>
      <c r="S4601">
        <v>1.059814</v>
      </c>
      <c r="T4601">
        <v>-0.30005530000000002</v>
      </c>
      <c r="U4601">
        <v>-2.865494</v>
      </c>
      <c r="V4601">
        <v>-0.13313410000000001</v>
      </c>
      <c r="W4601">
        <v>4.4754039999999997E-3</v>
      </c>
      <c r="X4601">
        <v>0.99108790000000002</v>
      </c>
      <c r="Y4601">
        <v>-0.31746249999999998</v>
      </c>
      <c r="Z4601">
        <v>9.8168850000000002E-2</v>
      </c>
      <c r="AA4601">
        <v>0.94317569999999995</v>
      </c>
      <c r="AB4601">
        <v>13</v>
      </c>
      <c r="AC4601">
        <v>3.9221999999999699</v>
      </c>
      <c r="AD4601">
        <v>-1.1115198122759999</v>
      </c>
      <c r="AE4601">
        <v>-10.535299999999999</v>
      </c>
      <c r="AF4601">
        <v>-3.5754875653283</v>
      </c>
      <c r="AG4601">
        <v>-1.1115198122759999</v>
      </c>
      <c r="AH4601">
        <v>10.543097415542</v>
      </c>
      <c r="AI4601">
        <v>95.701583112251299</v>
      </c>
      <c r="AJ4601">
        <v>108.733373120151</v>
      </c>
      <c r="AK4601">
        <v>11.1882300090992</v>
      </c>
      <c r="AL4601">
        <v>89.743577375924204</v>
      </c>
      <c r="AM4601">
        <v>97.650815042386597</v>
      </c>
      <c r="AN4601">
        <v>0.99999997167509103</v>
      </c>
    </row>
    <row r="4602" spans="1:40" x14ac:dyDescent="0.25">
      <c r="A4602" t="str">
        <f>"20190312150743379"</f>
        <v>20190312150743379</v>
      </c>
      <c r="B4602" t="str">
        <f>"1552374463374660"</f>
        <v>1552374463374660</v>
      </c>
      <c r="C4602" t="s">
        <v>40</v>
      </c>
      <c r="D4602">
        <v>4.3331900000000001</v>
      </c>
      <c r="E4602">
        <v>0.41480070000000002</v>
      </c>
      <c r="F4602" t="s">
        <v>61</v>
      </c>
      <c r="G4602">
        <v>-489.45420000000001</v>
      </c>
      <c r="H4602" s="1">
        <v>6.3076740000000003E-6</v>
      </c>
      <c r="I4602">
        <v>228.9992</v>
      </c>
      <c r="J4602">
        <v>-493.39350000000002</v>
      </c>
      <c r="K4602">
        <v>1.11154</v>
      </c>
      <c r="L4602">
        <v>239.0274</v>
      </c>
      <c r="M4602">
        <v>3.1056319999999998E-2</v>
      </c>
      <c r="N4602">
        <v>0</v>
      </c>
      <c r="O4602">
        <v>-0.99941460000000004</v>
      </c>
      <c r="P4602">
        <v>0.16939119999999999</v>
      </c>
      <c r="Q4602">
        <v>-9.2755819999999992E-3</v>
      </c>
      <c r="R4602">
        <v>-0.98550530000000003</v>
      </c>
      <c r="S4602">
        <v>1.111542</v>
      </c>
      <c r="T4602">
        <v>-0.31324829999999998</v>
      </c>
      <c r="U4602">
        <v>-2.8546299999999998</v>
      </c>
      <c r="V4602">
        <v>-0.13871020000000001</v>
      </c>
      <c r="W4602">
        <v>4.6718590000000004E-3</v>
      </c>
      <c r="X4602">
        <v>0.99032200000000004</v>
      </c>
      <c r="Y4602">
        <v>-0.33183069999999998</v>
      </c>
      <c r="Z4602">
        <v>0.1022168</v>
      </c>
      <c r="AA4602">
        <v>0.93778470000000003</v>
      </c>
      <c r="AB4602">
        <v>13</v>
      </c>
      <c r="AC4602">
        <v>3.9392999999999998</v>
      </c>
      <c r="AD4602">
        <v>-1.111533692326</v>
      </c>
      <c r="AE4602">
        <v>-10.028199999999901</v>
      </c>
      <c r="AF4602">
        <v>-3.5877428742279802</v>
      </c>
      <c r="AG4602">
        <v>-1.111533692326</v>
      </c>
      <c r="AH4602">
        <v>10.0388676508418</v>
      </c>
      <c r="AI4602">
        <v>95.9524081193547</v>
      </c>
      <c r="AJ4602">
        <v>109.66613837351299</v>
      </c>
      <c r="AK4602">
        <v>10.7185012847818</v>
      </c>
      <c r="AL4602">
        <v>89.732321224351793</v>
      </c>
      <c r="AM4602">
        <v>97.973305499873305</v>
      </c>
      <c r="AN4602">
        <v>1.0000000047672699</v>
      </c>
    </row>
    <row r="4603" spans="1:40" x14ac:dyDescent="0.25">
      <c r="A4603" t="str">
        <f>"20190312150743391"</f>
        <v>20190312150743391</v>
      </c>
      <c r="B4603" t="str">
        <f>"1552374463384420"</f>
        <v>1552374463384420</v>
      </c>
      <c r="C4603" t="s">
        <v>40</v>
      </c>
      <c r="D4603">
        <v>4.3234909999999998</v>
      </c>
      <c r="E4603">
        <v>0.41293459999999899</v>
      </c>
      <c r="F4603" t="s">
        <v>61</v>
      </c>
      <c r="G4603">
        <v>-489.37700000000001</v>
      </c>
      <c r="H4603" s="1">
        <v>6.4022850000000003E-6</v>
      </c>
      <c r="I4603">
        <v>229.37090000000001</v>
      </c>
      <c r="J4603">
        <v>-493.38959999999997</v>
      </c>
      <c r="K4603">
        <v>1.11155</v>
      </c>
      <c r="L4603">
        <v>238.95089999999999</v>
      </c>
      <c r="M4603">
        <v>3.2308209999999997E-2</v>
      </c>
      <c r="N4603">
        <v>0</v>
      </c>
      <c r="O4603">
        <v>-0.99937580000000004</v>
      </c>
      <c r="P4603">
        <v>0.1733142</v>
      </c>
      <c r="Q4603">
        <v>-9.2332170000000002E-3</v>
      </c>
      <c r="R4603">
        <v>-0.98482360000000002</v>
      </c>
      <c r="S4603">
        <v>1.1804809999999999</v>
      </c>
      <c r="T4603">
        <v>-0.3266908</v>
      </c>
      <c r="U4603">
        <v>-2.8381349999999999</v>
      </c>
      <c r="V4603">
        <v>-0.14141219999999999</v>
      </c>
      <c r="W4603">
        <v>4.6365729999999997E-3</v>
      </c>
      <c r="X4603">
        <v>0.98993989999999998</v>
      </c>
      <c r="Y4603">
        <v>-0.35183639999999999</v>
      </c>
      <c r="Z4603">
        <v>0.10625320000000001</v>
      </c>
      <c r="AA4603">
        <v>0.93001149999999999</v>
      </c>
      <c r="AB4603">
        <v>13</v>
      </c>
      <c r="AC4603">
        <v>4.0126000000000204</v>
      </c>
      <c r="AD4603">
        <v>-1.1115435977150001</v>
      </c>
      <c r="AE4603">
        <v>-9.5799999999999805</v>
      </c>
      <c r="AF4603">
        <v>-3.65905308532674</v>
      </c>
      <c r="AG4603">
        <v>-1.1115435977150001</v>
      </c>
      <c r="AH4603">
        <v>9.5947612635046493</v>
      </c>
      <c r="AI4603">
        <v>96.177917116811102</v>
      </c>
      <c r="AJ4603">
        <v>110.87482386942099</v>
      </c>
      <c r="AK4603">
        <v>10.3287773891448</v>
      </c>
      <c r="AL4603">
        <v>89.734342972389996</v>
      </c>
      <c r="AM4603">
        <v>98.129660744237</v>
      </c>
      <c r="AN4603">
        <v>0.99999995686501597</v>
      </c>
    </row>
    <row r="4604" spans="1:40" x14ac:dyDescent="0.25">
      <c r="A4604" t="str">
        <f>"20190312150743402"</f>
        <v>20190312150743402</v>
      </c>
      <c r="B4604" t="str">
        <f>"1552374463394180"</f>
        <v>1552374463394180</v>
      </c>
      <c r="C4604" t="s">
        <v>40</v>
      </c>
      <c r="D4604">
        <v>4.3176170000000003</v>
      </c>
      <c r="E4604">
        <v>0.41156730000000002</v>
      </c>
      <c r="F4604" t="s">
        <v>61</v>
      </c>
      <c r="G4604">
        <v>-489.31310000000002</v>
      </c>
      <c r="H4604" s="1">
        <v>6.3901809999999999E-6</v>
      </c>
      <c r="I4604">
        <v>229.38669999999999</v>
      </c>
      <c r="J4604">
        <v>-493.38600000000002</v>
      </c>
      <c r="K4604">
        <v>1.111558</v>
      </c>
      <c r="L4604">
        <v>238.88030000000001</v>
      </c>
      <c r="M4604">
        <v>3.3472590000000003E-2</v>
      </c>
      <c r="N4604">
        <v>0</v>
      </c>
      <c r="O4604">
        <v>-0.99933810000000001</v>
      </c>
      <c r="P4604">
        <v>0.17697829999999901</v>
      </c>
      <c r="Q4604">
        <v>-9.1308770000000008E-3</v>
      </c>
      <c r="R4604">
        <v>-0.98417220000000005</v>
      </c>
      <c r="S4604">
        <v>1.2065729999999999</v>
      </c>
      <c r="T4604">
        <v>-0.3289938</v>
      </c>
      <c r="U4604">
        <v>-2.8307950000000002</v>
      </c>
      <c r="V4604">
        <v>-0.14394279999999901</v>
      </c>
      <c r="W4604">
        <v>4.671382E-3</v>
      </c>
      <c r="X4604">
        <v>0.98957499999999998</v>
      </c>
      <c r="Y4604">
        <v>-0.35884240000000001</v>
      </c>
      <c r="Z4604">
        <v>0.10691059999999999</v>
      </c>
      <c r="AA4604">
        <v>0.92725519999999995</v>
      </c>
      <c r="AB4604">
        <v>13</v>
      </c>
      <c r="AC4604">
        <v>4.0728999999999402</v>
      </c>
      <c r="AD4604">
        <v>-1.1115516098189999</v>
      </c>
      <c r="AE4604">
        <v>-9.4936000000000096</v>
      </c>
      <c r="AF4604">
        <v>-3.7098576289193801</v>
      </c>
      <c r="AG4604">
        <v>-1.1115516098189999</v>
      </c>
      <c r="AH4604">
        <v>9.5144668524670006</v>
      </c>
      <c r="AI4604">
        <v>96.211957676935299</v>
      </c>
      <c r="AJ4604">
        <v>111.3016832595</v>
      </c>
      <c r="AK4604">
        <v>10.272471469653</v>
      </c>
      <c r="AL4604">
        <v>89.732348557757504</v>
      </c>
      <c r="AM4604">
        <v>98.276154676802804</v>
      </c>
      <c r="AN4604">
        <v>1.00000001605331</v>
      </c>
    </row>
    <row r="4605" spans="1:40" x14ac:dyDescent="0.25">
      <c r="A4605" t="str">
        <f>"20190312150743421"</f>
        <v>20190312150743421</v>
      </c>
      <c r="B4605" t="str">
        <f>"1552374463414677"</f>
        <v>1552374463414677</v>
      </c>
      <c r="C4605" t="s">
        <v>40</v>
      </c>
      <c r="D4605">
        <v>4.3478969999999997</v>
      </c>
      <c r="E4605">
        <v>0.41002369999999999</v>
      </c>
      <c r="F4605" t="s">
        <v>61</v>
      </c>
      <c r="G4605">
        <v>-489.27679999999998</v>
      </c>
      <c r="H4605" s="1">
        <v>6.3944409999999998E-6</v>
      </c>
      <c r="I4605">
        <v>229.43170000000001</v>
      </c>
      <c r="J4605">
        <v>-493.38049999999998</v>
      </c>
      <c r="K4605">
        <v>1.1115710000000001</v>
      </c>
      <c r="L4605">
        <v>238.7784</v>
      </c>
      <c r="M4605">
        <v>3.5189720000000001E-2</v>
      </c>
      <c r="N4605">
        <v>0</v>
      </c>
      <c r="O4605">
        <v>-0.9992801</v>
      </c>
      <c r="P4605">
        <v>0.1839084</v>
      </c>
      <c r="Q4605">
        <v>-8.7837169999999999E-3</v>
      </c>
      <c r="R4605">
        <v>-0.98290429999999995</v>
      </c>
      <c r="S4605">
        <v>1.228302</v>
      </c>
      <c r="T4605">
        <v>-0.33225690000000002</v>
      </c>
      <c r="U4605">
        <v>-2.8243260000000001</v>
      </c>
      <c r="V4605">
        <v>-0.1492137</v>
      </c>
      <c r="W4605">
        <v>4.9231489999999999E-3</v>
      </c>
      <c r="X4605">
        <v>0.98879269999999997</v>
      </c>
      <c r="Y4605">
        <v>-0.36397380000000001</v>
      </c>
      <c r="Z4605">
        <v>0.1079058</v>
      </c>
      <c r="AA4605">
        <v>0.92513749999999995</v>
      </c>
      <c r="AB4605">
        <v>13</v>
      </c>
      <c r="AC4605">
        <v>4.1036999999999999</v>
      </c>
      <c r="AD4605">
        <v>-1.1115646055589901</v>
      </c>
      <c r="AE4605">
        <v>-9.3466999999999896</v>
      </c>
      <c r="AF4605">
        <v>-3.7280117702197502</v>
      </c>
      <c r="AG4605">
        <v>-1.1115646055589901</v>
      </c>
      <c r="AH4605">
        <v>9.3741772563258898</v>
      </c>
      <c r="AI4605">
        <v>96.287704735893897</v>
      </c>
      <c r="AJ4605">
        <v>111.68719580940601</v>
      </c>
      <c r="AK4605">
        <v>10.149327409451599</v>
      </c>
      <c r="AL4605">
        <v>89.717923196571405</v>
      </c>
      <c r="AM4605">
        <v>98.581466998005894</v>
      </c>
      <c r="AN4605">
        <v>0.99999998461852702</v>
      </c>
    </row>
    <row r="4606" spans="1:40" x14ac:dyDescent="0.25">
      <c r="A4606" t="str">
        <f>"20190312150743433"</f>
        <v>20190312150743433</v>
      </c>
      <c r="B4606" t="str">
        <f>"1552374463424436"</f>
        <v>1552374463424436</v>
      </c>
      <c r="C4606" t="s">
        <v>40</v>
      </c>
      <c r="D4606">
        <v>4.3510090000000003</v>
      </c>
      <c r="E4606">
        <v>0.40971819999999998</v>
      </c>
      <c r="F4606" t="s">
        <v>42</v>
      </c>
      <c r="G4606">
        <v>-489.34530000000001</v>
      </c>
      <c r="H4606" s="1">
        <v>-2.1581660000000001E-7</v>
      </c>
      <c r="I4606">
        <v>229.7704</v>
      </c>
      <c r="J4606">
        <v>-493.37670000000003</v>
      </c>
      <c r="K4606">
        <v>1.1115740000000001</v>
      </c>
      <c r="L4606">
        <v>238.709</v>
      </c>
      <c r="M4606">
        <v>3.6374139999999999E-2</v>
      </c>
      <c r="N4606">
        <v>0</v>
      </c>
      <c r="O4606">
        <v>-0.99923839999999997</v>
      </c>
      <c r="P4606">
        <v>0.18747330000000001</v>
      </c>
      <c r="Q4606">
        <v>-8.6331869999999901E-3</v>
      </c>
      <c r="R4606">
        <v>-0.98223190000000005</v>
      </c>
      <c r="S4606">
        <v>1.2602230000000001</v>
      </c>
      <c r="T4606">
        <v>-0.34715170000000001</v>
      </c>
      <c r="U4606">
        <v>-2.8132630000000001</v>
      </c>
      <c r="V4606">
        <v>-0.15162870000000001</v>
      </c>
      <c r="W4606">
        <v>5.0180379999999998E-3</v>
      </c>
      <c r="X4606">
        <v>0.98842479999999999</v>
      </c>
      <c r="Y4606">
        <v>-0.37275000000000003</v>
      </c>
      <c r="Z4606">
        <v>0.1126244</v>
      </c>
      <c r="AA4606">
        <v>0.9210718</v>
      </c>
      <c r="AB4606">
        <v>13</v>
      </c>
      <c r="AC4606">
        <v>4.0314000000000103</v>
      </c>
      <c r="AD4606">
        <v>-1.1115742158166</v>
      </c>
      <c r="AE4606">
        <v>-8.9385999999999992</v>
      </c>
      <c r="AF4606">
        <v>-3.65657603984058</v>
      </c>
      <c r="AG4606">
        <v>-1.1115742158166</v>
      </c>
      <c r="AH4606">
        <v>8.9641421469239795</v>
      </c>
      <c r="AI4606">
        <v>96.549867614712696</v>
      </c>
      <c r="AJ4606">
        <v>112.191108895138</v>
      </c>
      <c r="AK4606">
        <v>9.7448442780099604</v>
      </c>
      <c r="AL4606">
        <v>89.712486398637495</v>
      </c>
      <c r="AM4606">
        <v>98.721434450095899</v>
      </c>
      <c r="AN4606">
        <v>1.00000001431204</v>
      </c>
    </row>
    <row r="4607" spans="1:40" x14ac:dyDescent="0.25">
      <c r="A4607" t="str">
        <f>"20190312150743445"</f>
        <v>20190312150743445</v>
      </c>
      <c r="B4607" t="str">
        <f>"1552374463434196"</f>
        <v>1552374463434196</v>
      </c>
      <c r="C4607" t="s">
        <v>40</v>
      </c>
      <c r="D4607">
        <v>4.3045619999999998</v>
      </c>
      <c r="E4607">
        <v>0.40932049999999998</v>
      </c>
      <c r="F4607" t="s">
        <v>42</v>
      </c>
      <c r="G4607">
        <v>-489.28149999999999</v>
      </c>
      <c r="H4607" s="1">
        <v>-2.0141549999999999E-7</v>
      </c>
      <c r="I4607">
        <v>229.6782</v>
      </c>
      <c r="J4607">
        <v>-493.37279999999998</v>
      </c>
      <c r="K4607">
        <v>1.111583</v>
      </c>
      <c r="L4607">
        <v>238.63980000000001</v>
      </c>
      <c r="M4607">
        <v>3.7566009999999997E-2</v>
      </c>
      <c r="N4607">
        <v>0</v>
      </c>
      <c r="O4607">
        <v>-0.99919500000000006</v>
      </c>
      <c r="P4607">
        <v>0.1912915</v>
      </c>
      <c r="Q4607">
        <v>-8.8451339999999993E-3</v>
      </c>
      <c r="R4607">
        <v>-0.98149379999999997</v>
      </c>
      <c r="S4607">
        <v>1.273407</v>
      </c>
      <c r="T4607">
        <v>-0.34564600000000001</v>
      </c>
      <c r="U4607">
        <v>-2.8081670000000001</v>
      </c>
      <c r="V4607">
        <v>-0.15429219999999999</v>
      </c>
      <c r="W4607">
        <v>4.7510139999999996E-3</v>
      </c>
      <c r="X4607">
        <v>0.9880139</v>
      </c>
      <c r="Y4607">
        <v>-0.37588149999999998</v>
      </c>
      <c r="Z4607">
        <v>0.11214250000000001</v>
      </c>
      <c r="AA4607">
        <v>0.91985709999999998</v>
      </c>
      <c r="AB4607">
        <v>13</v>
      </c>
      <c r="AC4607">
        <v>4.0912999999999897</v>
      </c>
      <c r="AD4607">
        <v>-1.1115832014155</v>
      </c>
      <c r="AE4607">
        <v>-8.9616000000000007</v>
      </c>
      <c r="AF4607">
        <v>-3.7045606091454601</v>
      </c>
      <c r="AG4607">
        <v>-1.1115832014155</v>
      </c>
      <c r="AH4607">
        <v>8.9944656938904401</v>
      </c>
      <c r="AI4607">
        <v>96.519042128801104</v>
      </c>
      <c r="AJ4607">
        <v>112.385347767968</v>
      </c>
      <c r="AK4607">
        <v>9.7908017873447601</v>
      </c>
      <c r="AL4607">
        <v>89.727785941875894</v>
      </c>
      <c r="AM4607">
        <v>98.875848930474803</v>
      </c>
      <c r="AN4607">
        <v>1.00000006085403</v>
      </c>
    </row>
    <row r="4608" spans="1:40" x14ac:dyDescent="0.25">
      <c r="A4608" t="str">
        <f>"20190312150743459"</f>
        <v>20190312150743459</v>
      </c>
      <c r="B4608" t="str">
        <f>"1552374463454691"</f>
        <v>1552374463454691</v>
      </c>
      <c r="C4608" t="s">
        <v>40</v>
      </c>
      <c r="D4608">
        <v>4.364274</v>
      </c>
      <c r="E4608">
        <v>0.40903339999999999</v>
      </c>
      <c r="F4608" t="s">
        <v>42</v>
      </c>
      <c r="G4608">
        <v>-489.27640000000002</v>
      </c>
      <c r="H4608" s="1">
        <v>-2.18026E-7</v>
      </c>
      <c r="I4608">
        <v>229.72300000000001</v>
      </c>
      <c r="J4608">
        <v>-493.36810000000003</v>
      </c>
      <c r="K4608">
        <v>1.111586</v>
      </c>
      <c r="L4608">
        <v>238.55889999999999</v>
      </c>
      <c r="M4608">
        <v>3.8983469999999999E-2</v>
      </c>
      <c r="N4608">
        <v>0</v>
      </c>
      <c r="O4608">
        <v>-0.9991411</v>
      </c>
      <c r="P4608">
        <v>0.19505410000000001</v>
      </c>
      <c r="Q4608">
        <v>-8.9135480000000003E-3</v>
      </c>
      <c r="R4608">
        <v>-0.98075219999999996</v>
      </c>
      <c r="S4608">
        <v>1.2874760000000001</v>
      </c>
      <c r="T4608">
        <v>-0.34936400000000001</v>
      </c>
      <c r="U4608">
        <v>-2.8024900000000001</v>
      </c>
      <c r="V4608">
        <v>-0.15667899999999901</v>
      </c>
      <c r="W4608">
        <v>4.6275129999999998E-3</v>
      </c>
      <c r="X4608">
        <v>0.98763869999999998</v>
      </c>
      <c r="Y4608">
        <v>-0.37903049999999999</v>
      </c>
      <c r="Z4608">
        <v>0.113342</v>
      </c>
      <c r="AA4608">
        <v>0.91841680000000003</v>
      </c>
      <c r="AB4608">
        <v>13</v>
      </c>
      <c r="AC4608">
        <v>4.0917000000000003</v>
      </c>
      <c r="AD4608">
        <v>-1.1115862180260001</v>
      </c>
      <c r="AE4608">
        <v>-8.8359000000000094</v>
      </c>
      <c r="AF4608">
        <v>-3.6959359006689598</v>
      </c>
      <c r="AG4608">
        <v>-1.1115862180260001</v>
      </c>
      <c r="AH4608">
        <v>8.8730732799994296</v>
      </c>
      <c r="AI4608">
        <v>96.596675962270893</v>
      </c>
      <c r="AJ4608">
        <v>112.61338341746099</v>
      </c>
      <c r="AK4608">
        <v>9.6761043573433501</v>
      </c>
      <c r="AL4608">
        <v>89.734862079192098</v>
      </c>
      <c r="AM4608">
        <v>99.014283408671403</v>
      </c>
      <c r="AN4608">
        <v>0.999999962327626</v>
      </c>
    </row>
    <row r="4609" spans="1:40" x14ac:dyDescent="0.25">
      <c r="A4609" t="str">
        <f>"20190312150743480"</f>
        <v>20190312150743480</v>
      </c>
      <c r="B4609" t="str">
        <f>"1552374463474212"</f>
        <v>1552374463474212</v>
      </c>
      <c r="C4609" t="s">
        <v>40</v>
      </c>
      <c r="D4609">
        <v>4.3382300000000003</v>
      </c>
      <c r="E4609">
        <v>0.40947090000000003</v>
      </c>
      <c r="F4609" t="s">
        <v>42</v>
      </c>
      <c r="G4609">
        <v>-489.25</v>
      </c>
      <c r="H4609" s="1">
        <v>-2.182235E-7</v>
      </c>
      <c r="I4609">
        <v>229.7029</v>
      </c>
      <c r="J4609">
        <v>-493.36130000000003</v>
      </c>
      <c r="K4609">
        <v>1.111588</v>
      </c>
      <c r="L4609">
        <v>238.446</v>
      </c>
      <c r="M4609">
        <v>4.0984699999999999E-2</v>
      </c>
      <c r="N4609">
        <v>0</v>
      </c>
      <c r="O4609">
        <v>-0.99906189999999995</v>
      </c>
      <c r="P4609">
        <v>0.20206640000000001</v>
      </c>
      <c r="Q4609">
        <v>-9.2872000000000007E-3</v>
      </c>
      <c r="R4609">
        <v>-0.97932790000000003</v>
      </c>
      <c r="S4609">
        <v>1.300629</v>
      </c>
      <c r="T4609">
        <v>-0.35107709999999998</v>
      </c>
      <c r="U4609">
        <v>-2.7970120000000001</v>
      </c>
      <c r="V4609">
        <v>-0.16176479999999999</v>
      </c>
      <c r="W4609">
        <v>4.175476E-3</v>
      </c>
      <c r="X4609">
        <v>0.98682049999999999</v>
      </c>
      <c r="Y4609">
        <v>-0.38139040000000002</v>
      </c>
      <c r="Z4609">
        <v>0.11391270000000001</v>
      </c>
      <c r="AA4609">
        <v>0.91736870000000004</v>
      </c>
      <c r="AB4609">
        <v>13</v>
      </c>
      <c r="AC4609">
        <v>4.1113000000000204</v>
      </c>
      <c r="AD4609">
        <v>-1.1115882182235</v>
      </c>
      <c r="AE4609">
        <v>-8.7430999999999894</v>
      </c>
      <c r="AF4609">
        <v>-3.7004920795143899</v>
      </c>
      <c r="AG4609">
        <v>-1.1115882182235</v>
      </c>
      <c r="AH4609">
        <v>8.7879408316870098</v>
      </c>
      <c r="AI4609">
        <v>96.649320877513105</v>
      </c>
      <c r="AJ4609">
        <v>112.83535136965</v>
      </c>
      <c r="AK4609">
        <v>9.5998528144276207</v>
      </c>
      <c r="AL4609">
        <v>89.760762150695697</v>
      </c>
      <c r="AM4609">
        <v>99.309428334888807</v>
      </c>
      <c r="AN4609">
        <v>0.99999999216955804</v>
      </c>
    </row>
    <row r="4610" spans="1:40" x14ac:dyDescent="0.25">
      <c r="A4610" t="str">
        <f>"20190312150743493"</f>
        <v>20190312150743493</v>
      </c>
      <c r="B4610" t="str">
        <f>"1552374463484948"</f>
        <v>1552374463484948</v>
      </c>
      <c r="C4610" t="s">
        <v>40</v>
      </c>
      <c r="D4610">
        <v>4.3872099999999996</v>
      </c>
      <c r="E4610">
        <v>0.40958319999999998</v>
      </c>
      <c r="F4610" t="s">
        <v>61</v>
      </c>
      <c r="G4610">
        <v>-489.17110000000002</v>
      </c>
      <c r="H4610" s="1">
        <v>6.4109589999999996E-6</v>
      </c>
      <c r="I4610">
        <v>229.57570000000001</v>
      </c>
      <c r="J4610">
        <v>-493.35629999999998</v>
      </c>
      <c r="K4610">
        <v>1.1115889999999999</v>
      </c>
      <c r="L4610">
        <v>238.36580000000001</v>
      </c>
      <c r="M4610">
        <v>4.242522E-2</v>
      </c>
      <c r="N4610">
        <v>0</v>
      </c>
      <c r="O4610">
        <v>-0.99900230000000001</v>
      </c>
      <c r="P4610">
        <v>0.20602889999999999</v>
      </c>
      <c r="Q4610">
        <v>-9.3253499999999996E-3</v>
      </c>
      <c r="R4610">
        <v>-0.97850159999999997</v>
      </c>
      <c r="S4610">
        <v>1.3171079999999999</v>
      </c>
      <c r="T4610">
        <v>-0.34940929999999998</v>
      </c>
      <c r="U4610">
        <v>-2.7882389999999999</v>
      </c>
      <c r="V4610">
        <v>-0.16433539999999999</v>
      </c>
      <c r="W4610">
        <v>4.0905999999999998E-3</v>
      </c>
      <c r="X4610">
        <v>0.98639600000000005</v>
      </c>
      <c r="Y4610">
        <v>-0.38562410000000003</v>
      </c>
      <c r="Z4610">
        <v>0.11344990000000001</v>
      </c>
      <c r="AA4610">
        <v>0.91565450000000004</v>
      </c>
      <c r="AB4610">
        <v>13</v>
      </c>
      <c r="AC4610">
        <v>4.1851999999999503</v>
      </c>
      <c r="AD4610">
        <v>-1.111582589041</v>
      </c>
      <c r="AE4610">
        <v>-8.79009999999999</v>
      </c>
      <c r="AF4610">
        <v>-3.75946292210504</v>
      </c>
      <c r="AG4610">
        <v>-1.111582589041</v>
      </c>
      <c r="AH4610">
        <v>8.84445936494531</v>
      </c>
      <c r="AI4610">
        <v>96.597834971919397</v>
      </c>
      <c r="AJ4610">
        <v>113.028606894177</v>
      </c>
      <c r="AK4610">
        <v>9.67438053691866</v>
      </c>
      <c r="AL4610">
        <v>89.765625221959695</v>
      </c>
      <c r="AM4610">
        <v>99.458708908043604</v>
      </c>
      <c r="AN4610">
        <v>0.99999996275875902</v>
      </c>
    </row>
    <row r="4611" spans="1:40" x14ac:dyDescent="0.25">
      <c r="A4611" t="str">
        <f>"20190312150743507"</f>
        <v>20190312150743507</v>
      </c>
      <c r="B4611" t="str">
        <f>"1552374463504469"</f>
        <v>1552374463504469</v>
      </c>
      <c r="C4611" t="s">
        <v>40</v>
      </c>
      <c r="D4611">
        <v>4.4095000000000004</v>
      </c>
      <c r="E4611">
        <v>0.40994390000000003</v>
      </c>
      <c r="F4611" t="s">
        <v>61</v>
      </c>
      <c r="G4611">
        <v>-489.11989999999997</v>
      </c>
      <c r="H4611" s="1">
        <v>6.3698079999999998E-6</v>
      </c>
      <c r="I4611">
        <v>229.48689999999999</v>
      </c>
      <c r="J4611">
        <v>-493.35140000000001</v>
      </c>
      <c r="K4611">
        <v>1.1115889999999999</v>
      </c>
      <c r="L4611">
        <v>238.28899999999999</v>
      </c>
      <c r="M4611">
        <v>4.3814029999999997E-2</v>
      </c>
      <c r="N4611">
        <v>0</v>
      </c>
      <c r="O4611">
        <v>-0.99894269999999996</v>
      </c>
      <c r="P4611">
        <v>0.21004129999999999</v>
      </c>
      <c r="Q4611">
        <v>-9.0870090000000001E-3</v>
      </c>
      <c r="R4611">
        <v>-0.97765060000000004</v>
      </c>
      <c r="S4611">
        <v>1.32785</v>
      </c>
      <c r="T4611">
        <v>-0.34841290000000003</v>
      </c>
      <c r="U4611">
        <v>-2.7829899999999999</v>
      </c>
      <c r="V4611">
        <v>-0.16700999999999999</v>
      </c>
      <c r="W4611">
        <v>4.2856250000000004E-3</v>
      </c>
      <c r="X4611">
        <v>0.98594590000000004</v>
      </c>
      <c r="Y4611">
        <v>-0.38790599999999997</v>
      </c>
      <c r="Z4611">
        <v>0.1131664</v>
      </c>
      <c r="AA4611">
        <v>0.91472520000000002</v>
      </c>
      <c r="AB4611">
        <v>13</v>
      </c>
      <c r="AC4611">
        <v>4.2315000000000396</v>
      </c>
      <c r="AD4611">
        <v>-1.111582630192</v>
      </c>
      <c r="AE4611">
        <v>-8.8021000000000207</v>
      </c>
      <c r="AF4611">
        <v>-3.79261216629116</v>
      </c>
      <c r="AG4611">
        <v>-1.111582630192</v>
      </c>
      <c r="AH4611">
        <v>8.8642326922186392</v>
      </c>
      <c r="AI4611">
        <v>96.576677213659906</v>
      </c>
      <c r="AJ4611">
        <v>113.163934923582</v>
      </c>
      <c r="AK4611">
        <v>9.7053667735661602</v>
      </c>
      <c r="AL4611">
        <v>89.754451026267802</v>
      </c>
      <c r="AM4611">
        <v>99.614108417581093</v>
      </c>
      <c r="AN4611">
        <v>1.0000000122042201</v>
      </c>
    </row>
    <row r="4612" spans="1:40" x14ac:dyDescent="0.25">
      <c r="A4612" t="str">
        <f>"20190312150743522"</f>
        <v>20190312150743522</v>
      </c>
      <c r="B4612" t="str">
        <f>"1552374463514228"</f>
        <v>1552374463514228</v>
      </c>
      <c r="C4612" t="s">
        <v>40</v>
      </c>
      <c r="D4612">
        <v>4.3562240000000001</v>
      </c>
      <c r="E4612">
        <v>0.41011560000000002</v>
      </c>
      <c r="F4612" t="s">
        <v>61</v>
      </c>
      <c r="G4612">
        <v>-489.0539</v>
      </c>
      <c r="H4612" s="1">
        <v>6.3109360000000002E-6</v>
      </c>
      <c r="I4612">
        <v>229.3535</v>
      </c>
      <c r="J4612">
        <v>-493.34559999999999</v>
      </c>
      <c r="K4612">
        <v>1.111591</v>
      </c>
      <c r="L4612">
        <v>238.19980000000001</v>
      </c>
      <c r="M4612">
        <v>4.5444209999999999E-2</v>
      </c>
      <c r="N4612">
        <v>0</v>
      </c>
      <c r="O4612">
        <v>-0.99887040000000005</v>
      </c>
      <c r="P4612">
        <v>0.21605179999999999</v>
      </c>
      <c r="Q4612">
        <v>-8.1367999999999996E-3</v>
      </c>
      <c r="R4612">
        <v>-0.97634840000000001</v>
      </c>
      <c r="S4612">
        <v>1.336212</v>
      </c>
      <c r="T4612">
        <v>-0.34562330000000002</v>
      </c>
      <c r="U4612">
        <v>-2.778305</v>
      </c>
      <c r="V4612">
        <v>-0.17146639999999999</v>
      </c>
      <c r="W4612">
        <v>5.1839750000000004E-3</v>
      </c>
      <c r="X4612">
        <v>0.9851763</v>
      </c>
      <c r="Y4612">
        <v>-0.38928259999999998</v>
      </c>
      <c r="Z4612">
        <v>0.1123262</v>
      </c>
      <c r="AA4612">
        <v>0.9142439</v>
      </c>
      <c r="AB4612">
        <v>13</v>
      </c>
      <c r="AC4612">
        <v>4.2916999999999899</v>
      </c>
      <c r="AD4612">
        <v>-1.111584689064</v>
      </c>
      <c r="AE4612">
        <v>-8.84630000000001</v>
      </c>
      <c r="AF4612">
        <v>-3.8361828519941801</v>
      </c>
      <c r="AG4612">
        <v>-1.111584689064</v>
      </c>
      <c r="AH4612">
        <v>8.9182260398026507</v>
      </c>
      <c r="AI4612">
        <v>96.531830780014403</v>
      </c>
      <c r="AJ4612">
        <v>113.27500060073299</v>
      </c>
      <c r="AK4612">
        <v>9.7717283574560003</v>
      </c>
      <c r="AL4612">
        <v>89.702978772437802</v>
      </c>
      <c r="AM4612">
        <v>99.873223881802204</v>
      </c>
      <c r="AN4612">
        <v>0.99999997100372395</v>
      </c>
    </row>
    <row r="4613" spans="1:40" x14ac:dyDescent="0.25">
      <c r="A4613" t="str">
        <f>"20190312150743536"</f>
        <v>20190312150743536</v>
      </c>
      <c r="B4613" t="str">
        <f>"1552374463523990"</f>
        <v>1552374463523990</v>
      </c>
      <c r="C4613" t="s">
        <v>40</v>
      </c>
      <c r="D4613">
        <v>4.4139390000000001</v>
      </c>
      <c r="E4613">
        <v>0.41044039999999998</v>
      </c>
      <c r="F4613" t="s">
        <v>61</v>
      </c>
      <c r="G4613">
        <v>-488.98739999999998</v>
      </c>
      <c r="H4613" s="1">
        <v>6.2662530000000002E-6</v>
      </c>
      <c r="I4613">
        <v>229.2664</v>
      </c>
      <c r="J4613">
        <v>-493.34050000000002</v>
      </c>
      <c r="K4613">
        <v>1.1115809999999999</v>
      </c>
      <c r="L4613">
        <v>238.1241</v>
      </c>
      <c r="M4613">
        <v>4.683851E-2</v>
      </c>
      <c r="N4613">
        <v>0</v>
      </c>
      <c r="O4613">
        <v>-0.99880630000000004</v>
      </c>
      <c r="P4613">
        <v>0.21957119999999999</v>
      </c>
      <c r="Q4613">
        <v>-7.6579990000000004E-3</v>
      </c>
      <c r="R4613">
        <v>-0.9755665</v>
      </c>
      <c r="S4613">
        <v>1.351685</v>
      </c>
      <c r="T4613">
        <v>-0.34475840000000002</v>
      </c>
      <c r="U4613">
        <v>-2.7707060000000001</v>
      </c>
      <c r="V4613">
        <v>-0.17364379999999999</v>
      </c>
      <c r="W4613">
        <v>5.6293360000000004E-3</v>
      </c>
      <c r="X4613">
        <v>0.98479240000000001</v>
      </c>
      <c r="Y4613">
        <v>-0.39311889999999999</v>
      </c>
      <c r="Z4613">
        <v>0.1120877</v>
      </c>
      <c r="AA4613">
        <v>0.91263019999999995</v>
      </c>
      <c r="AB4613">
        <v>13</v>
      </c>
      <c r="AC4613">
        <v>4.3531000000000297</v>
      </c>
      <c r="AD4613">
        <v>-1.1115747337470001</v>
      </c>
      <c r="AE4613">
        <v>-8.8576999999999906</v>
      </c>
      <c r="AF4613">
        <v>-3.8841309589217201</v>
      </c>
      <c r="AG4613">
        <v>-1.1115747337470001</v>
      </c>
      <c r="AH4613">
        <v>8.9385063456398903</v>
      </c>
      <c r="AI4613">
        <v>96.506761100804198</v>
      </c>
      <c r="AJ4613">
        <v>113.486833197424</v>
      </c>
      <c r="AK4613">
        <v>9.8091267392058601</v>
      </c>
      <c r="AL4613">
        <v>89.677461090890404</v>
      </c>
      <c r="AM4613">
        <v>99.999905739053801</v>
      </c>
      <c r="AN4613">
        <v>0.99999996489999898</v>
      </c>
    </row>
    <row r="4614" spans="1:40" x14ac:dyDescent="0.25">
      <c r="A4614" t="str">
        <f>"20190312150743551"</f>
        <v>20190312150743551</v>
      </c>
      <c r="B4614" t="str">
        <f>"1552374463544486"</f>
        <v>1552374463544486</v>
      </c>
      <c r="C4614" t="s">
        <v>40</v>
      </c>
      <c r="D4614">
        <v>4.4210440000000002</v>
      </c>
      <c r="E4614">
        <v>0.41098790000000002</v>
      </c>
      <c r="F4614" t="s">
        <v>61</v>
      </c>
      <c r="G4614">
        <v>-488.9128</v>
      </c>
      <c r="H4614" s="1">
        <v>6.1994040000000004E-6</v>
      </c>
      <c r="I4614">
        <v>229.1147</v>
      </c>
      <c r="J4614">
        <v>-493.3347</v>
      </c>
      <c r="K4614">
        <v>1.111578</v>
      </c>
      <c r="L4614">
        <v>238.03970000000001</v>
      </c>
      <c r="M4614">
        <v>4.8400190000000003E-2</v>
      </c>
      <c r="N4614">
        <v>0</v>
      </c>
      <c r="O4614">
        <v>-0.99873219999999996</v>
      </c>
      <c r="P4614">
        <v>0.22296769999999999</v>
      </c>
      <c r="Q4614">
        <v>-6.6671869999999998E-3</v>
      </c>
      <c r="R4614">
        <v>-0.97480330000000004</v>
      </c>
      <c r="S4614">
        <v>1.359558</v>
      </c>
      <c r="T4614">
        <v>-0.34132299999999999</v>
      </c>
      <c r="U4614">
        <v>-2.766464</v>
      </c>
      <c r="V4614">
        <v>-0.17553540000000001</v>
      </c>
      <c r="W4614">
        <v>6.5872839999999997E-3</v>
      </c>
      <c r="X4614">
        <v>0.98445110000000002</v>
      </c>
      <c r="Y4614">
        <v>-0.39438109999999998</v>
      </c>
      <c r="Z4614">
        <v>0.11102769999999999</v>
      </c>
      <c r="AA4614">
        <v>0.91221509999999995</v>
      </c>
      <c r="AB4614">
        <v>13</v>
      </c>
      <c r="AC4614">
        <v>4.4218999999999902</v>
      </c>
      <c r="AD4614">
        <v>-1.111571800596</v>
      </c>
      <c r="AE4614">
        <v>-8.9250000000000096</v>
      </c>
      <c r="AF4614">
        <v>-3.9356867675107599</v>
      </c>
      <c r="AG4614">
        <v>-1.111571800596</v>
      </c>
      <c r="AH4614">
        <v>9.0162864608777191</v>
      </c>
      <c r="AI4614">
        <v>96.446477706855902</v>
      </c>
      <c r="AJ4614">
        <v>113.58168407560601</v>
      </c>
      <c r="AK4614">
        <v>9.90043654312508</v>
      </c>
      <c r="AL4614">
        <v>89.622573705776404</v>
      </c>
      <c r="AM4614">
        <v>100.110038042507</v>
      </c>
      <c r="AN4614">
        <v>1.00000001862743</v>
      </c>
    </row>
    <row r="4615" spans="1:40" x14ac:dyDescent="0.25">
      <c r="A4615" t="str">
        <f>"20190312150743566"</f>
        <v>20190312150743566</v>
      </c>
      <c r="B4615" t="str">
        <f>"1552374463554244"</f>
        <v>1552374463554244</v>
      </c>
      <c r="C4615" t="s">
        <v>40</v>
      </c>
      <c r="D4615">
        <v>4.4685069999999998</v>
      </c>
      <c r="E4615">
        <v>0.41145019999999999</v>
      </c>
      <c r="F4615" t="s">
        <v>61</v>
      </c>
      <c r="G4615">
        <v>-488.90609999999998</v>
      </c>
      <c r="H4615" s="1">
        <v>6.1858229999999997E-6</v>
      </c>
      <c r="I4615">
        <v>229.07660000000001</v>
      </c>
      <c r="J4615">
        <v>-493.32839999999999</v>
      </c>
      <c r="K4615">
        <v>1.111572</v>
      </c>
      <c r="L4615">
        <v>237.95060000000001</v>
      </c>
      <c r="M4615">
        <v>5.0056509999999999E-2</v>
      </c>
      <c r="N4615">
        <v>0</v>
      </c>
      <c r="O4615">
        <v>-0.99865090000000001</v>
      </c>
      <c r="P4615">
        <v>0.22813459999999999</v>
      </c>
      <c r="Q4615">
        <v>-5.3520800000000004E-3</v>
      </c>
      <c r="R4615">
        <v>-0.97361489999999995</v>
      </c>
      <c r="S4615">
        <v>1.365143</v>
      </c>
      <c r="T4615">
        <v>-0.3426554</v>
      </c>
      <c r="U4615">
        <v>-2.762985</v>
      </c>
      <c r="V4615">
        <v>-0.17912500000000001</v>
      </c>
      <c r="W4615">
        <v>7.8627899999999997E-3</v>
      </c>
      <c r="X4615">
        <v>0.98379490000000003</v>
      </c>
      <c r="Y4615">
        <v>-0.39477309999999999</v>
      </c>
      <c r="Z4615">
        <v>0.1115092</v>
      </c>
      <c r="AA4615">
        <v>0.91198679999999999</v>
      </c>
      <c r="AB4615">
        <v>13</v>
      </c>
      <c r="AC4615">
        <v>4.4222999999999999</v>
      </c>
      <c r="AD4615">
        <v>-1.111565814177</v>
      </c>
      <c r="AE4615">
        <v>-8.8739999999999899</v>
      </c>
      <c r="AF4615">
        <v>-3.92320102369374</v>
      </c>
      <c r="AG4615">
        <v>-1.111565814177</v>
      </c>
      <c r="AH4615">
        <v>8.9714976852722899</v>
      </c>
      <c r="AI4615">
        <v>96.476497728805498</v>
      </c>
      <c r="AJ4615">
        <v>113.61957166612299</v>
      </c>
      <c r="AK4615">
        <v>9.8546869837861806</v>
      </c>
      <c r="AL4615">
        <v>89.549490674441898</v>
      </c>
      <c r="AM4615">
        <v>100.31912019764501</v>
      </c>
      <c r="AN4615">
        <v>0.99999999717879695</v>
      </c>
    </row>
    <row r="4616" spans="1:40" x14ac:dyDescent="0.25">
      <c r="A4616" t="str">
        <f>"20190312150743580"</f>
        <v>20190312150743580</v>
      </c>
      <c r="B4616" t="str">
        <f>"1552374463574740"</f>
        <v>1552374463574740</v>
      </c>
      <c r="C4616" t="s">
        <v>40</v>
      </c>
      <c r="D4616">
        <v>4.4216930000000003</v>
      </c>
      <c r="E4616">
        <v>0.41208329999999999</v>
      </c>
      <c r="F4616" t="s">
        <v>61</v>
      </c>
      <c r="G4616">
        <v>-488.86259999999999</v>
      </c>
      <c r="H4616" s="1">
        <v>6.1528139999999997E-6</v>
      </c>
      <c r="I4616">
        <v>229.00739999999999</v>
      </c>
      <c r="J4616">
        <v>-493.32260000000002</v>
      </c>
      <c r="K4616">
        <v>1.1115630000000001</v>
      </c>
      <c r="L4616">
        <v>237.87090000000001</v>
      </c>
      <c r="M4616">
        <v>5.1541780000000002E-2</v>
      </c>
      <c r="N4616">
        <v>0</v>
      </c>
      <c r="O4616">
        <v>-0.99857569999999996</v>
      </c>
      <c r="P4616">
        <v>0.23119909999999999</v>
      </c>
      <c r="Q4616">
        <v>-4.9444520000000002E-3</v>
      </c>
      <c r="R4616">
        <v>-0.97289429999999999</v>
      </c>
      <c r="S4616">
        <v>1.3766480000000001</v>
      </c>
      <c r="T4616">
        <v>-0.34265259999999997</v>
      </c>
      <c r="U4616">
        <v>-2.756821</v>
      </c>
      <c r="V4616">
        <v>-0.18075949999999999</v>
      </c>
      <c r="W4616">
        <v>8.2451999999999994E-3</v>
      </c>
      <c r="X4616">
        <v>0.9834927</v>
      </c>
      <c r="Y4616">
        <v>-0.39726590000000001</v>
      </c>
      <c r="Z4616">
        <v>0.1115564</v>
      </c>
      <c r="AA4616">
        <v>0.91089790000000004</v>
      </c>
      <c r="AB4616">
        <v>13</v>
      </c>
      <c r="AC4616">
        <v>4.4600000000000302</v>
      </c>
      <c r="AD4616">
        <v>-1.11155684718599</v>
      </c>
      <c r="AE4616">
        <v>-8.8635000000000108</v>
      </c>
      <c r="AF4616">
        <v>-3.9476450730933701</v>
      </c>
      <c r="AG4616">
        <v>-1.11155684718599</v>
      </c>
      <c r="AH4616">
        <v>8.9690559538738803</v>
      </c>
      <c r="AI4616">
        <v>96.471475841426695</v>
      </c>
      <c r="AJ4616">
        <v>113.756240105201</v>
      </c>
      <c r="AK4616">
        <v>9.8622221102226693</v>
      </c>
      <c r="AL4616">
        <v>89.527579455425197</v>
      </c>
      <c r="AM4616">
        <v>100.41436028488199</v>
      </c>
      <c r="AN4616">
        <v>0.99999993555828703</v>
      </c>
    </row>
    <row r="4617" spans="1:40" x14ac:dyDescent="0.25">
      <c r="A4617" t="str">
        <f>"20190312150743592"</f>
        <v>20190312150743592</v>
      </c>
      <c r="B4617" t="str">
        <f>"1552374463584500"</f>
        <v>1552374463584500</v>
      </c>
      <c r="C4617" t="s">
        <v>40</v>
      </c>
      <c r="D4617">
        <v>4.4402670000000004</v>
      </c>
      <c r="E4617">
        <v>0.4125645</v>
      </c>
      <c r="F4617" t="s">
        <v>61</v>
      </c>
      <c r="G4617">
        <v>-488.8947</v>
      </c>
      <c r="H4617" s="1">
        <v>6.170293E-6</v>
      </c>
      <c r="I4617">
        <v>229.03630000000001</v>
      </c>
      <c r="J4617">
        <v>-493.31760000000003</v>
      </c>
      <c r="K4617">
        <v>1.111553</v>
      </c>
      <c r="L4617">
        <v>237.80289999999999</v>
      </c>
      <c r="M4617">
        <v>5.2812739999999997E-2</v>
      </c>
      <c r="N4617">
        <v>0</v>
      </c>
      <c r="O4617">
        <v>-0.9985096</v>
      </c>
      <c r="P4617">
        <v>0.23411779999999999</v>
      </c>
      <c r="Q4617">
        <v>-4.9249740000000004E-3</v>
      </c>
      <c r="R4617">
        <v>-0.97219610000000001</v>
      </c>
      <c r="S4617">
        <v>1.3802190000000001</v>
      </c>
      <c r="T4617">
        <v>-0.34647860000000003</v>
      </c>
      <c r="U4617">
        <v>-2.7538149999999999</v>
      </c>
      <c r="V4617">
        <v>-0.18245929999999999</v>
      </c>
      <c r="W4617">
        <v>8.242816E-3</v>
      </c>
      <c r="X4617">
        <v>0.98317889999999997</v>
      </c>
      <c r="Y4617">
        <v>-0.39737610000000001</v>
      </c>
      <c r="Z4617">
        <v>0.11284859999999999</v>
      </c>
      <c r="AA4617">
        <v>0.91069060000000002</v>
      </c>
      <c r="AB4617">
        <v>13</v>
      </c>
      <c r="AC4617">
        <v>4.4229000000000198</v>
      </c>
      <c r="AD4617">
        <v>-1.1115468297069999</v>
      </c>
      <c r="AE4617">
        <v>-8.7665999999999809</v>
      </c>
      <c r="AF4617">
        <v>-3.9036698844392999</v>
      </c>
      <c r="AG4617">
        <v>-1.1115468297069999</v>
      </c>
      <c r="AH4617">
        <v>8.8742497772066997</v>
      </c>
      <c r="AI4617">
        <v>96.540563450872696</v>
      </c>
      <c r="AJ4617">
        <v>113.74408498411699</v>
      </c>
      <c r="AK4617">
        <v>9.7584058139412893</v>
      </c>
      <c r="AL4617">
        <v>89.527716104803204</v>
      </c>
      <c r="AM4617">
        <v>100.51340071499401</v>
      </c>
      <c r="AN4617">
        <v>1.0000000447886499</v>
      </c>
    </row>
    <row r="4618" spans="1:40" x14ac:dyDescent="0.25">
      <c r="A4618" t="str">
        <f>"20190312150743604"</f>
        <v>20190312150743604</v>
      </c>
      <c r="B4618" t="str">
        <f>"1552374463594260"</f>
        <v>1552374463594260</v>
      </c>
      <c r="C4618" t="s">
        <v>40</v>
      </c>
      <c r="D4618">
        <v>4.4207099999999997</v>
      </c>
      <c r="E4618">
        <v>0.41299950000000002</v>
      </c>
      <c r="F4618" t="s">
        <v>61</v>
      </c>
      <c r="G4618">
        <v>-488.87759999999997</v>
      </c>
      <c r="H4618" s="1">
        <v>6.150667E-6</v>
      </c>
      <c r="I4618">
        <v>228.98759999999999</v>
      </c>
      <c r="J4618">
        <v>-493.3125</v>
      </c>
      <c r="K4618">
        <v>1.111545</v>
      </c>
      <c r="L4618">
        <v>237.73390000000001</v>
      </c>
      <c r="M4618">
        <v>5.4102770000000001E-2</v>
      </c>
      <c r="N4618">
        <v>0</v>
      </c>
      <c r="O4618">
        <v>-0.99844089999999996</v>
      </c>
      <c r="P4618">
        <v>0.23686479999999999</v>
      </c>
      <c r="Q4618">
        <v>-5.0318689999999996E-3</v>
      </c>
      <c r="R4618">
        <v>-0.97152969999999905</v>
      </c>
      <c r="S4618">
        <v>1.3853150000000001</v>
      </c>
      <c r="T4618">
        <v>-0.34681279999999998</v>
      </c>
      <c r="U4618">
        <v>-2.7504580000000001</v>
      </c>
      <c r="V4618">
        <v>-0.1839674</v>
      </c>
      <c r="W4618">
        <v>8.1159809999999995E-3</v>
      </c>
      <c r="X4618">
        <v>0.98289879999999996</v>
      </c>
      <c r="Y4618">
        <v>-0.39797630000000001</v>
      </c>
      <c r="Z4618">
        <v>0.11300639999999899</v>
      </c>
      <c r="AA4618">
        <v>0.91040889999999997</v>
      </c>
      <c r="AB4618">
        <v>13</v>
      </c>
      <c r="AC4618">
        <v>4.4349000000000203</v>
      </c>
      <c r="AD4618">
        <v>-1.1115388493330001</v>
      </c>
      <c r="AE4618">
        <v>-8.7463000000000193</v>
      </c>
      <c r="AF4618">
        <v>-3.9049892477661601</v>
      </c>
      <c r="AG4618">
        <v>-1.1115388493330001</v>
      </c>
      <c r="AH4618">
        <v>8.8596242308605699</v>
      </c>
      <c r="AI4618">
        <v>96.549124581984799</v>
      </c>
      <c r="AJ4618">
        <v>113.786081355433</v>
      </c>
      <c r="AK4618">
        <v>9.7456349793534596</v>
      </c>
      <c r="AL4618">
        <v>89.534983419389604</v>
      </c>
      <c r="AM4618">
        <v>100.60128912738701</v>
      </c>
      <c r="AN4618">
        <v>0.99999996222589504</v>
      </c>
    </row>
    <row r="4619" spans="1:40" x14ac:dyDescent="0.25">
      <c r="A4619" t="str">
        <f>"20190312150743621"</f>
        <v>20190312150743621</v>
      </c>
      <c r="B4619" t="str">
        <f>"1552374463614756"</f>
        <v>1552374463614756</v>
      </c>
      <c r="C4619" t="s">
        <v>40</v>
      </c>
      <c r="D4619">
        <v>4.4728620000000001</v>
      </c>
      <c r="E4619">
        <v>0.41369359999999999</v>
      </c>
      <c r="F4619" t="s">
        <v>61</v>
      </c>
      <c r="G4619">
        <v>-488.85770000000002</v>
      </c>
      <c r="H4619" s="1">
        <v>6.1262699999999997E-6</v>
      </c>
      <c r="I4619">
        <v>228.92590000000001</v>
      </c>
      <c r="J4619">
        <v>-493.30500000000001</v>
      </c>
      <c r="K4619">
        <v>1.111529</v>
      </c>
      <c r="L4619">
        <v>237.63630000000001</v>
      </c>
      <c r="M4619">
        <v>5.5927869999999998E-2</v>
      </c>
      <c r="N4619">
        <v>0</v>
      </c>
      <c r="O4619">
        <v>-0.99834040000000002</v>
      </c>
      <c r="P4619">
        <v>0.24131030000000001</v>
      </c>
      <c r="Q4619">
        <v>-5.3155519999999899E-3</v>
      </c>
      <c r="R4619">
        <v>-0.97043349999999995</v>
      </c>
      <c r="S4619">
        <v>1.389526</v>
      </c>
      <c r="T4619">
        <v>-0.34670970000000001</v>
      </c>
      <c r="U4619">
        <v>-2.74736</v>
      </c>
      <c r="V4619">
        <v>-0.18666959999999999</v>
      </c>
      <c r="W4619">
        <v>7.8050929999999999E-3</v>
      </c>
      <c r="X4619">
        <v>0.98239169999999998</v>
      </c>
      <c r="Y4619">
        <v>-0.39782450000000003</v>
      </c>
      <c r="Z4619">
        <v>0.11303539999999999</v>
      </c>
      <c r="AA4619">
        <v>0.91047169999999999</v>
      </c>
      <c r="AB4619">
        <v>13</v>
      </c>
      <c r="AC4619">
        <v>4.4472999999999798</v>
      </c>
      <c r="AD4619">
        <v>-1.11152287373</v>
      </c>
      <c r="AE4619">
        <v>-8.7103999999999893</v>
      </c>
      <c r="AF4619">
        <v>-3.9027271548409499</v>
      </c>
      <c r="AG4619">
        <v>-1.11152287373</v>
      </c>
      <c r="AH4619">
        <v>8.8314417815105699</v>
      </c>
      <c r="AI4619">
        <v>96.566980999722006</v>
      </c>
      <c r="AJ4619">
        <v>113.84124883230101</v>
      </c>
      <c r="AK4619">
        <v>9.7191113937524403</v>
      </c>
      <c r="AL4619">
        <v>89.552796551907406</v>
      </c>
      <c r="AM4619">
        <v>100.758821409185</v>
      </c>
      <c r="AN4619">
        <v>0.99999995563489297</v>
      </c>
    </row>
    <row r="4620" spans="1:40" x14ac:dyDescent="0.25">
      <c r="A4620" t="str">
        <f>"20190312150743633"</f>
        <v>20190312150743633</v>
      </c>
      <c r="B4620" t="str">
        <f>"1552374463624516"</f>
        <v>1552374463624516</v>
      </c>
      <c r="C4620" t="s">
        <v>40</v>
      </c>
      <c r="D4620">
        <v>4.4180210000000004</v>
      </c>
      <c r="E4620">
        <v>0.41408800000000001</v>
      </c>
      <c r="F4620" t="s">
        <v>61</v>
      </c>
      <c r="G4620">
        <v>-488.88810000000001</v>
      </c>
      <c r="H4620" s="1">
        <v>6.1466770000000004E-6</v>
      </c>
      <c r="I4620">
        <v>228.9657</v>
      </c>
      <c r="J4620">
        <v>-493.3</v>
      </c>
      <c r="K4620">
        <v>1.1115159999999999</v>
      </c>
      <c r="L4620">
        <v>237.5729</v>
      </c>
      <c r="M4620">
        <v>5.7112870000000003E-2</v>
      </c>
      <c r="N4620">
        <v>0</v>
      </c>
      <c r="O4620">
        <v>-0.99827339999999998</v>
      </c>
      <c r="P4620">
        <v>0.2437396</v>
      </c>
      <c r="Q4620">
        <v>-5.4906030000000002E-3</v>
      </c>
      <c r="R4620">
        <v>-0.96982520000000005</v>
      </c>
      <c r="S4620">
        <v>1.3968510000000001</v>
      </c>
      <c r="T4620">
        <v>-0.35152290000000003</v>
      </c>
      <c r="U4620">
        <v>-2.742111</v>
      </c>
      <c r="V4620">
        <v>-0.18796260000000001</v>
      </c>
      <c r="W4620">
        <v>7.6148419999999897E-3</v>
      </c>
      <c r="X4620">
        <v>0.98214670000000004</v>
      </c>
      <c r="Y4620">
        <v>-0.3992869</v>
      </c>
      <c r="Z4620">
        <v>0.11466079999999999</v>
      </c>
      <c r="AA4620">
        <v>0.90962790000000004</v>
      </c>
      <c r="AB4620">
        <v>13</v>
      </c>
      <c r="AC4620">
        <v>4.4119000000000002</v>
      </c>
      <c r="AD4620">
        <v>-1.1115098533229999</v>
      </c>
      <c r="AE4620">
        <v>-8.6072000000000006</v>
      </c>
      <c r="AF4620">
        <v>-3.86206456713718</v>
      </c>
      <c r="AG4620">
        <v>-1.1115098533229999</v>
      </c>
      <c r="AH4620">
        <v>8.7298569684956302</v>
      </c>
      <c r="AI4620">
        <v>96.641461967653896</v>
      </c>
      <c r="AJ4620">
        <v>113.864465905264</v>
      </c>
      <c r="AK4620">
        <v>9.6104838361636293</v>
      </c>
      <c r="AL4620">
        <v>89.563697489322195</v>
      </c>
      <c r="AM4620">
        <v>100.83422524237901</v>
      </c>
      <c r="AN4620">
        <v>1.00000003256916</v>
      </c>
    </row>
    <row r="4621" spans="1:40" x14ac:dyDescent="0.25">
      <c r="A4621" t="str">
        <f>"20190312150743645"</f>
        <v>20190312150743645</v>
      </c>
      <c r="B4621" t="str">
        <f>"1552374463634276"</f>
        <v>1552374463634276</v>
      </c>
      <c r="C4621" t="s">
        <v>40</v>
      </c>
      <c r="D4621">
        <v>4.4144740000000002</v>
      </c>
      <c r="E4621">
        <v>0.41446169999999999</v>
      </c>
      <c r="F4621" t="s">
        <v>61</v>
      </c>
      <c r="G4621">
        <v>-488.89760000000001</v>
      </c>
      <c r="H4621" s="1">
        <v>6.1486459999999999E-6</v>
      </c>
      <c r="I4621">
        <v>228.96379999999999</v>
      </c>
      <c r="J4621">
        <v>-493.29469999999998</v>
      </c>
      <c r="K4621">
        <v>1.111507</v>
      </c>
      <c r="L4621">
        <v>237.505</v>
      </c>
      <c r="M4621">
        <v>5.8380899999999999E-2</v>
      </c>
      <c r="N4621">
        <v>0</v>
      </c>
      <c r="O4621">
        <v>-0.99820010000000003</v>
      </c>
      <c r="P4621">
        <v>0.24592230000000001</v>
      </c>
      <c r="Q4621">
        <v>-5.5212500000000001E-3</v>
      </c>
      <c r="R4621">
        <v>-0.96927379999999996</v>
      </c>
      <c r="S4621">
        <v>1.400787</v>
      </c>
      <c r="T4621">
        <v>-0.3536687</v>
      </c>
      <c r="U4621">
        <v>-2.7392880000000002</v>
      </c>
      <c r="V4621">
        <v>-0.18892590000000001</v>
      </c>
      <c r="W4621">
        <v>7.5714490000000001E-3</v>
      </c>
      <c r="X4621">
        <v>0.98196209999999995</v>
      </c>
      <c r="Y4621">
        <v>-0.3995011</v>
      </c>
      <c r="Z4621">
        <v>0.1154013</v>
      </c>
      <c r="AA4621">
        <v>0.90944020000000003</v>
      </c>
      <c r="AB4621">
        <v>13</v>
      </c>
      <c r="AC4621">
        <v>4.39709999999996</v>
      </c>
      <c r="AD4621">
        <v>-1.1115008513539999</v>
      </c>
      <c r="AE4621">
        <v>-8.5411999999999999</v>
      </c>
      <c r="AF4621">
        <v>-3.8395096779287399</v>
      </c>
      <c r="AG4621">
        <v>-1.1115008513539999</v>
      </c>
      <c r="AH4621">
        <v>8.6673310764686402</v>
      </c>
      <c r="AI4621">
        <v>96.687441687868798</v>
      </c>
      <c r="AJ4621">
        <v>113.892690580288</v>
      </c>
      <c r="AK4621">
        <v>9.5446265876978202</v>
      </c>
      <c r="AL4621">
        <v>89.566183758334105</v>
      </c>
      <c r="AM4621">
        <v>100.8904241827</v>
      </c>
      <c r="AN4621">
        <v>0.99999994418358795</v>
      </c>
    </row>
    <row r="4622" spans="1:40" x14ac:dyDescent="0.25">
      <c r="A4622" t="str">
        <f>"20190312150743657"</f>
        <v>20190312150743657</v>
      </c>
      <c r="B4622" t="str">
        <f>"1552374463654772"</f>
        <v>1552374463654772</v>
      </c>
      <c r="C4622" t="s">
        <v>40</v>
      </c>
      <c r="D4622">
        <v>4.4220079999999999</v>
      </c>
      <c r="E4622">
        <v>0.41526039999999997</v>
      </c>
      <c r="F4622" t="s">
        <v>61</v>
      </c>
      <c r="G4622">
        <v>-488.87569999999999</v>
      </c>
      <c r="H4622" s="1">
        <v>6.1210759999999999E-6</v>
      </c>
      <c r="I4622">
        <v>228.8937</v>
      </c>
      <c r="J4622">
        <v>-493.28919999999999</v>
      </c>
      <c r="K4622">
        <v>1.111497</v>
      </c>
      <c r="L4622">
        <v>237.43729999999999</v>
      </c>
      <c r="M4622">
        <v>5.9643139999999997E-2</v>
      </c>
      <c r="N4622">
        <v>0</v>
      </c>
      <c r="O4622">
        <v>-0.99812579999999995</v>
      </c>
      <c r="P4622">
        <v>0.24821270000000001</v>
      </c>
      <c r="Q4622">
        <v>-5.3812309999999898E-3</v>
      </c>
      <c r="R4622">
        <v>-0.96869070000000002</v>
      </c>
      <c r="S4622">
        <v>1.404388</v>
      </c>
      <c r="T4622">
        <v>-0.35324410000000001</v>
      </c>
      <c r="U4622">
        <v>-2.7367400000000002</v>
      </c>
      <c r="V4622">
        <v>-0.1900049</v>
      </c>
      <c r="W4622">
        <v>7.6987619999999996E-3</v>
      </c>
      <c r="X4622">
        <v>0.98175290000000004</v>
      </c>
      <c r="Y4622">
        <v>-0.39963939999999998</v>
      </c>
      <c r="Z4622">
        <v>0.11531</v>
      </c>
      <c r="AA4622">
        <v>0.90939099999999995</v>
      </c>
      <c r="AB4622">
        <v>13</v>
      </c>
      <c r="AC4622">
        <v>4.4134999999999902</v>
      </c>
      <c r="AD4622">
        <v>-1.1114908789239999</v>
      </c>
      <c r="AE4622">
        <v>-8.5435999999999908</v>
      </c>
      <c r="AF4622">
        <v>-3.84466245479631</v>
      </c>
      <c r="AG4622">
        <v>-1.1114908789239999</v>
      </c>
      <c r="AH4622">
        <v>8.6757407213945701</v>
      </c>
      <c r="AI4622">
        <v>96.6805551689894</v>
      </c>
      <c r="AJ4622">
        <v>113.900570535734</v>
      </c>
      <c r="AK4622">
        <v>9.5543350595483894</v>
      </c>
      <c r="AL4622">
        <v>89.558889047995805</v>
      </c>
      <c r="AM4622">
        <v>100.953399396344</v>
      </c>
      <c r="AN4622">
        <v>0.99999994480937404</v>
      </c>
    </row>
    <row r="4623" spans="1:40" x14ac:dyDescent="0.25">
      <c r="A4623" t="str">
        <f>"20190312150743669"</f>
        <v>20190312150743669</v>
      </c>
      <c r="B4623" t="str">
        <f>"1552374463664532"</f>
        <v>1552374463664532</v>
      </c>
      <c r="C4623" t="s">
        <v>40</v>
      </c>
      <c r="D4623">
        <v>4.4176919999999997</v>
      </c>
      <c r="E4623">
        <v>0.41559790000000002</v>
      </c>
      <c r="F4623" t="s">
        <v>61</v>
      </c>
      <c r="G4623">
        <v>-488.88049999999998</v>
      </c>
      <c r="H4623" s="1">
        <v>6.109933E-6</v>
      </c>
      <c r="I4623">
        <v>228.8536</v>
      </c>
      <c r="J4623">
        <v>-493.28399999999999</v>
      </c>
      <c r="K4623">
        <v>1.11149599999999</v>
      </c>
      <c r="L4623">
        <v>237.3734</v>
      </c>
      <c r="M4623">
        <v>6.0836719999999997E-2</v>
      </c>
      <c r="N4623">
        <v>0</v>
      </c>
      <c r="O4623">
        <v>-0.998054</v>
      </c>
      <c r="P4623">
        <v>0.25063360000000001</v>
      </c>
      <c r="Q4623">
        <v>-5.3260410000000001E-3</v>
      </c>
      <c r="R4623">
        <v>-0.96806749999999997</v>
      </c>
      <c r="S4623">
        <v>1.404785</v>
      </c>
      <c r="T4623">
        <v>-0.35415790000000003</v>
      </c>
      <c r="U4623">
        <v>-2.7350460000000001</v>
      </c>
      <c r="V4623">
        <v>-0.1912855</v>
      </c>
      <c r="W4623">
        <v>7.7407229999999997E-3</v>
      </c>
      <c r="X4623">
        <v>0.98150389999999998</v>
      </c>
      <c r="Y4623">
        <v>-0.39885870000000001</v>
      </c>
      <c r="Z4623">
        <v>0.11567089999999899</v>
      </c>
      <c r="AA4623">
        <v>0.90968789999999999</v>
      </c>
      <c r="AB4623">
        <v>13</v>
      </c>
      <c r="AC4623">
        <v>4.4035000000000002</v>
      </c>
      <c r="AD4623">
        <v>-1.1114898900669901</v>
      </c>
      <c r="AE4623">
        <v>-8.5198</v>
      </c>
      <c r="AF4623">
        <v>-3.8255929593637901</v>
      </c>
      <c r="AG4623">
        <v>-1.1114898900669901</v>
      </c>
      <c r="AH4623">
        <v>8.6556760039133493</v>
      </c>
      <c r="AI4623">
        <v>96.698782924008199</v>
      </c>
      <c r="AJ4623">
        <v>113.84423345159099</v>
      </c>
      <c r="AK4623">
        <v>9.5284467963659392</v>
      </c>
      <c r="AL4623">
        <v>89.556484805181697</v>
      </c>
      <c r="AM4623">
        <v>101.028148742046</v>
      </c>
      <c r="AN4623">
        <v>0.99999998350901098</v>
      </c>
    </row>
    <row r="4624" spans="1:40" x14ac:dyDescent="0.25">
      <c r="A4624" t="str">
        <f>"20190312150743681"</f>
        <v>20190312150743681</v>
      </c>
      <c r="B4624" t="str">
        <f>"1552374463674292"</f>
        <v>1552374463674292</v>
      </c>
      <c r="C4624" t="s">
        <v>40</v>
      </c>
      <c r="D4624">
        <v>4.4416219999999997</v>
      </c>
      <c r="E4624">
        <v>0.41592800000000002</v>
      </c>
      <c r="F4624" t="s">
        <v>61</v>
      </c>
      <c r="G4624">
        <v>-488.87580000000003</v>
      </c>
      <c r="H4624" s="1">
        <v>6.0994109999999997E-6</v>
      </c>
      <c r="I4624">
        <v>228.8237</v>
      </c>
      <c r="J4624">
        <v>-493.2783</v>
      </c>
      <c r="K4624">
        <v>1.1114900000000001</v>
      </c>
      <c r="L4624">
        <v>237.30420000000001</v>
      </c>
      <c r="M4624">
        <v>6.2126250000000001E-2</v>
      </c>
      <c r="N4624">
        <v>0</v>
      </c>
      <c r="O4624">
        <v>-0.99797460000000004</v>
      </c>
      <c r="P4624">
        <v>0.25321100000000002</v>
      </c>
      <c r="Q4624">
        <v>-4.9960680000000002E-3</v>
      </c>
      <c r="R4624">
        <v>-0.96739830000000004</v>
      </c>
      <c r="S4624">
        <v>1.408752</v>
      </c>
      <c r="T4624">
        <v>-0.35520699999999999</v>
      </c>
      <c r="U4624">
        <v>-2.7322850000000001</v>
      </c>
      <c r="V4624">
        <v>-0.19263140000000001</v>
      </c>
      <c r="W4624">
        <v>8.0568559999999994E-3</v>
      </c>
      <c r="X4624">
        <v>0.9812381</v>
      </c>
      <c r="Y4624">
        <v>-0.39907290000000001</v>
      </c>
      <c r="Z4624">
        <v>0.11605559999999999</v>
      </c>
      <c r="AA4624">
        <v>0.90954489999999999</v>
      </c>
      <c r="AB4624">
        <v>13</v>
      </c>
      <c r="AC4624">
        <v>4.4024999999999697</v>
      </c>
      <c r="AD4624">
        <v>-1.11148390058899</v>
      </c>
      <c r="AE4624">
        <v>-8.4804999999999993</v>
      </c>
      <c r="AF4624">
        <v>-3.8154560445718402</v>
      </c>
      <c r="AG4624">
        <v>-1.11148390058899</v>
      </c>
      <c r="AH4624">
        <v>8.6210003870931509</v>
      </c>
      <c r="AI4624">
        <v>96.7239611821946</v>
      </c>
      <c r="AJ4624">
        <v>113.87307686626001</v>
      </c>
      <c r="AK4624">
        <v>9.4928788554151797</v>
      </c>
      <c r="AL4624">
        <v>89.538371155625299</v>
      </c>
      <c r="AM4624">
        <v>101.106754877932</v>
      </c>
      <c r="AN4624">
        <v>0.99999998904308696</v>
      </c>
    </row>
    <row r="4625" spans="1:40" x14ac:dyDescent="0.25">
      <c r="A4625" t="str">
        <f>"20190312150743692"</f>
        <v>20190312150743692</v>
      </c>
      <c r="B4625" t="str">
        <f>"1552374463685028"</f>
        <v>1552374463685028</v>
      </c>
      <c r="C4625" t="s">
        <v>40</v>
      </c>
      <c r="D4625">
        <v>4.4127549999999998</v>
      </c>
      <c r="E4625">
        <v>0.41626659999999999</v>
      </c>
      <c r="F4625" t="s">
        <v>61</v>
      </c>
      <c r="G4625">
        <v>-488.86040000000003</v>
      </c>
      <c r="H4625" s="1">
        <v>6.079571E-6</v>
      </c>
      <c r="I4625">
        <v>228.77279999999999</v>
      </c>
      <c r="J4625">
        <v>-493.27289999999999</v>
      </c>
      <c r="K4625">
        <v>1.1114850000000001</v>
      </c>
      <c r="L4625">
        <v>237.24090000000001</v>
      </c>
      <c r="M4625">
        <v>6.3308920000000005E-2</v>
      </c>
      <c r="N4625">
        <v>0</v>
      </c>
      <c r="O4625">
        <v>-0.99790049999999997</v>
      </c>
      <c r="P4625">
        <v>0.2554167</v>
      </c>
      <c r="Q4625">
        <v>-4.8320239999999999E-3</v>
      </c>
      <c r="R4625">
        <v>-0.96681930000000005</v>
      </c>
      <c r="S4625">
        <v>1.4133610000000001</v>
      </c>
      <c r="T4625">
        <v>-0.35558650000000003</v>
      </c>
      <c r="U4625">
        <v>-2.7293699999999999</v>
      </c>
      <c r="V4625">
        <v>-0.19370670000000001</v>
      </c>
      <c r="W4625">
        <v>8.2089609999999903E-3</v>
      </c>
      <c r="X4625">
        <v>0.98102520000000004</v>
      </c>
      <c r="Y4625">
        <v>-0.39958650000000001</v>
      </c>
      <c r="Z4625">
        <v>0.1162178</v>
      </c>
      <c r="AA4625">
        <v>0.90929870000000002</v>
      </c>
      <c r="AB4625">
        <v>13</v>
      </c>
      <c r="AC4625">
        <v>4.4124999999999597</v>
      </c>
      <c r="AD4625">
        <v>-1.1114789204289901</v>
      </c>
      <c r="AE4625">
        <v>-8.4681000000000193</v>
      </c>
      <c r="AF4625">
        <v>-3.8157902315682501</v>
      </c>
      <c r="AG4625">
        <v>-1.1114789204289901</v>
      </c>
      <c r="AH4625">
        <v>8.6137779621203094</v>
      </c>
      <c r="AI4625">
        <v>96.728505783681101</v>
      </c>
      <c r="AJ4625">
        <v>113.892712011871</v>
      </c>
      <c r="AK4625">
        <v>9.4864540932109804</v>
      </c>
      <c r="AL4625">
        <v>89.529655925105601</v>
      </c>
      <c r="AM4625">
        <v>101.169563040637</v>
      </c>
      <c r="AN4625">
        <v>1.0000000578503101</v>
      </c>
    </row>
    <row r="4626" spans="1:40" x14ac:dyDescent="0.25">
      <c r="A4626" t="str">
        <f>"20190312150743704"</f>
        <v>20190312150743704</v>
      </c>
      <c r="B4626" t="str">
        <f>"1552374463694788"</f>
        <v>1552374463694788</v>
      </c>
      <c r="C4626" t="s">
        <v>40</v>
      </c>
      <c r="D4626">
        <v>4.4598440000000004</v>
      </c>
      <c r="E4626">
        <v>0.41667759999999998</v>
      </c>
      <c r="F4626" t="s">
        <v>61</v>
      </c>
      <c r="G4626">
        <v>-488.83879999999999</v>
      </c>
      <c r="H4626" s="1">
        <v>6.0531499999999998E-6</v>
      </c>
      <c r="I4626">
        <v>228.70609999999999</v>
      </c>
      <c r="J4626">
        <v>-493.26740000000001</v>
      </c>
      <c r="K4626">
        <v>1.11148</v>
      </c>
      <c r="L4626">
        <v>237.17619999999999</v>
      </c>
      <c r="M4626">
        <v>6.451759E-2</v>
      </c>
      <c r="N4626">
        <v>0</v>
      </c>
      <c r="O4626">
        <v>-0.99782320000000002</v>
      </c>
      <c r="P4626">
        <v>0.25788870000000003</v>
      </c>
      <c r="Q4626">
        <v>-4.5072879999999999E-3</v>
      </c>
      <c r="R4626">
        <v>-0.96616449999999998</v>
      </c>
      <c r="S4626">
        <v>1.4167179999999999</v>
      </c>
      <c r="T4626">
        <v>-0.35512189999999999</v>
      </c>
      <c r="U4626">
        <v>-2.7268979999999998</v>
      </c>
      <c r="V4626">
        <v>-0.19502800000000001</v>
      </c>
      <c r="W4626">
        <v>8.5203259999999999E-3</v>
      </c>
      <c r="X4626">
        <v>0.98076070000000004</v>
      </c>
      <c r="Y4626">
        <v>-0.3997019</v>
      </c>
      <c r="Z4626">
        <v>0.1161128</v>
      </c>
      <c r="AA4626">
        <v>0.90926130000000005</v>
      </c>
      <c r="AB4626">
        <v>13</v>
      </c>
      <c r="AC4626">
        <v>4.4286000000000101</v>
      </c>
      <c r="AD4626">
        <v>-1.1114739468499999</v>
      </c>
      <c r="AE4626">
        <v>-8.4701000000000004</v>
      </c>
      <c r="AF4626">
        <v>-3.8211773185320901</v>
      </c>
      <c r="AG4626">
        <v>-1.1114739468499999</v>
      </c>
      <c r="AH4626">
        <v>8.6216109671788299</v>
      </c>
      <c r="AI4626">
        <v>96.721870318812904</v>
      </c>
      <c r="AJ4626">
        <v>113.903361811941</v>
      </c>
      <c r="AK4626">
        <v>9.4957330471938093</v>
      </c>
      <c r="AL4626">
        <v>89.511815389751106</v>
      </c>
      <c r="AM4626">
        <v>101.246772462267</v>
      </c>
      <c r="AN4626">
        <v>1.00000003370181</v>
      </c>
    </row>
    <row r="4627" spans="1:40" x14ac:dyDescent="0.25">
      <c r="A4627" t="str">
        <f>"20190312150743723"</f>
        <v>20190312150743723</v>
      </c>
      <c r="B4627" t="str">
        <f>"1552374463714308"</f>
        <v>1552374463714308</v>
      </c>
      <c r="C4627" t="s">
        <v>40</v>
      </c>
      <c r="D4627">
        <v>4.4025400000000001</v>
      </c>
      <c r="E4627">
        <v>0.41626580000000002</v>
      </c>
      <c r="F4627" t="s">
        <v>61</v>
      </c>
      <c r="G4627">
        <v>-488.80560000000003</v>
      </c>
      <c r="H4627" s="1">
        <v>6.0173260000000003E-6</v>
      </c>
      <c r="I4627">
        <v>228.619</v>
      </c>
      <c r="J4627">
        <v>-493.25830000000002</v>
      </c>
      <c r="K4627">
        <v>1.111483</v>
      </c>
      <c r="L4627">
        <v>237.071</v>
      </c>
      <c r="M4627">
        <v>6.6494499999999998E-2</v>
      </c>
      <c r="N4627">
        <v>0</v>
      </c>
      <c r="O4627">
        <v>-0.99769339999999995</v>
      </c>
      <c r="P4627">
        <v>0.26224150000000002</v>
      </c>
      <c r="Q4627">
        <v>-4.2649940000000003E-3</v>
      </c>
      <c r="R4627">
        <v>-0.96499299999999999</v>
      </c>
      <c r="S4627">
        <v>1.42047099999999</v>
      </c>
      <c r="T4627">
        <v>-0.35384939999999998</v>
      </c>
      <c r="U4627">
        <v>-2.7242739999999999</v>
      </c>
      <c r="V4627">
        <v>-0.1975056</v>
      </c>
      <c r="W4627">
        <v>8.7377549999999998E-3</v>
      </c>
      <c r="X4627">
        <v>0.98026279999999999</v>
      </c>
      <c r="Y4627">
        <v>-0.39925159999999998</v>
      </c>
      <c r="Z4627">
        <v>0.11575489999999999</v>
      </c>
      <c r="AA4627">
        <v>0.9095048</v>
      </c>
      <c r="AB4627">
        <v>13</v>
      </c>
      <c r="AC4627">
        <v>4.4526999999999903</v>
      </c>
      <c r="AD4627">
        <v>-1.1114769826739901</v>
      </c>
      <c r="AE4627">
        <v>-8.4519999999999698</v>
      </c>
      <c r="AF4627">
        <v>-3.8289488831109799</v>
      </c>
      <c r="AG4627">
        <v>-1.1114769826739901</v>
      </c>
      <c r="AH4627">
        <v>8.6128106593237508</v>
      </c>
      <c r="AI4627">
        <v>96.725344230196001</v>
      </c>
      <c r="AJ4627">
        <v>113.96822731777701</v>
      </c>
      <c r="AK4627">
        <v>9.4908765709944696</v>
      </c>
      <c r="AL4627">
        <v>89.4993571372529</v>
      </c>
      <c r="AM4627">
        <v>101.391571960855</v>
      </c>
      <c r="AN4627">
        <v>0.99999998372881904</v>
      </c>
    </row>
    <row r="4628" spans="1:40" x14ac:dyDescent="0.25">
      <c r="A4628" t="str">
        <f>"20190312150743737"</f>
        <v>20190312150743737</v>
      </c>
      <c r="B4628" t="str">
        <f>"1552374463734804"</f>
        <v>1552374463734804</v>
      </c>
      <c r="C4628" t="s">
        <v>40</v>
      </c>
      <c r="D4628">
        <v>4.3778649999999999</v>
      </c>
      <c r="E4628">
        <v>0.37633660000000002</v>
      </c>
      <c r="F4628" t="s">
        <v>61</v>
      </c>
      <c r="G4628">
        <v>-488.71780000000001</v>
      </c>
      <c r="H4628" s="1">
        <v>5.9508930000000001E-6</v>
      </c>
      <c r="I4628">
        <v>228.48</v>
      </c>
      <c r="J4628">
        <v>-493.25170000000003</v>
      </c>
      <c r="K4628">
        <v>1.1114809999999999</v>
      </c>
      <c r="L4628">
        <v>236.99700000000001</v>
      </c>
      <c r="M4628">
        <v>6.789771E-2</v>
      </c>
      <c r="N4628">
        <v>0</v>
      </c>
      <c r="O4628">
        <v>-0.99759900000000001</v>
      </c>
      <c r="P4628">
        <v>0.26481110000000002</v>
      </c>
      <c r="Q4628">
        <v>-4.1333489999999997E-3</v>
      </c>
      <c r="R4628">
        <v>-0.96429149999999997</v>
      </c>
      <c r="S4628">
        <v>1.4359740000000001</v>
      </c>
      <c r="T4628">
        <v>-0.35151710000000003</v>
      </c>
      <c r="U4628">
        <v>-2.7170260000000002</v>
      </c>
      <c r="V4628">
        <v>-0.19873779999999999</v>
      </c>
      <c r="W4628">
        <v>8.8541000000000002E-3</v>
      </c>
      <c r="X4628">
        <v>0.98001269999999996</v>
      </c>
      <c r="Y4628">
        <v>-0.40306120000000001</v>
      </c>
      <c r="Z4628">
        <v>0.11501210000000001</v>
      </c>
      <c r="AA4628">
        <v>0.90791730000000004</v>
      </c>
      <c r="AB4628">
        <v>13</v>
      </c>
      <c r="AC4628">
        <v>4.5339000000000098</v>
      </c>
      <c r="AD4628">
        <v>-1.111475049107</v>
      </c>
      <c r="AE4628">
        <v>-8.5170000000000208</v>
      </c>
      <c r="AF4628">
        <v>-3.89343070635609</v>
      </c>
      <c r="AG4628">
        <v>-1.111475049107</v>
      </c>
      <c r="AH4628">
        <v>8.6898967962517109</v>
      </c>
      <c r="AI4628">
        <v>96.657670466123093</v>
      </c>
      <c r="AJ4628">
        <v>114.134339624087</v>
      </c>
      <c r="AK4628">
        <v>9.5868913511883296</v>
      </c>
      <c r="AL4628">
        <v>89.492690810141994</v>
      </c>
      <c r="AM4628">
        <v>101.463614161943</v>
      </c>
      <c r="AN4628">
        <v>1.0000000001984699</v>
      </c>
    </row>
    <row r="4629" spans="1:40" x14ac:dyDescent="0.25">
      <c r="A4629" t="str">
        <f>"20190312150743757"</f>
        <v>20190312150743757</v>
      </c>
      <c r="B4629" t="str">
        <f>"1552374463754324"</f>
        <v>1552374463754324</v>
      </c>
      <c r="C4629" t="s">
        <v>40</v>
      </c>
      <c r="D4629">
        <v>4.377167</v>
      </c>
      <c r="E4629">
        <v>0.37224109999999999</v>
      </c>
      <c r="F4629" t="s">
        <v>41</v>
      </c>
      <c r="G4629">
        <v>-492.76060000000001</v>
      </c>
      <c r="H4629">
        <v>1.0119020000000001</v>
      </c>
      <c r="I4629">
        <v>236.25919999999999</v>
      </c>
      <c r="J4629">
        <v>-493.24169999999998</v>
      </c>
      <c r="K4629">
        <v>1.1114919999999999</v>
      </c>
      <c r="L4629">
        <v>236.88720000000001</v>
      </c>
      <c r="M4629">
        <v>6.9995799999999997E-2</v>
      </c>
      <c r="N4629">
        <v>0</v>
      </c>
      <c r="O4629">
        <v>-0.99745419999999996</v>
      </c>
      <c r="P4629">
        <v>0.26972689999999999</v>
      </c>
      <c r="Q4629">
        <v>-4.1162760000000003E-3</v>
      </c>
      <c r="R4629">
        <v>-0.96292789999999995</v>
      </c>
      <c r="S4629">
        <v>1.7503359999999999</v>
      </c>
      <c r="T4629">
        <v>-0.35482950000000002</v>
      </c>
      <c r="U4629">
        <v>-2.6288909999999999</v>
      </c>
      <c r="V4629">
        <v>-0.20167579999999999</v>
      </c>
      <c r="W4629">
        <v>8.8407469999999995E-3</v>
      </c>
      <c r="X4629">
        <v>0.97941239999999996</v>
      </c>
      <c r="Y4629">
        <v>-0.4910178</v>
      </c>
      <c r="Z4629">
        <v>0.1134337</v>
      </c>
      <c r="AA4629">
        <v>0.86373279999999997</v>
      </c>
      <c r="AB4629">
        <v>13</v>
      </c>
      <c r="AC4629">
        <v>0.481099999999969</v>
      </c>
      <c r="AD4629">
        <v>-9.9589999999999804E-2</v>
      </c>
      <c r="AE4629">
        <v>-0.62800000000001399</v>
      </c>
      <c r="AF4629">
        <v>-0.42915716463193299</v>
      </c>
      <c r="AG4629">
        <v>-9.9589999999999804E-2</v>
      </c>
      <c r="AH4629">
        <v>0.64983903647821095</v>
      </c>
      <c r="AI4629">
        <v>97.287591642713593</v>
      </c>
      <c r="AJ4629">
        <v>123.440985246</v>
      </c>
      <c r="AK4629">
        <v>0.78510178536661701</v>
      </c>
      <c r="AL4629">
        <v>89.493455894418702</v>
      </c>
      <c r="AM4629">
        <v>101.635433830812</v>
      </c>
      <c r="AN4629">
        <v>0.99999996819345804</v>
      </c>
    </row>
    <row r="4630" spans="1:40" x14ac:dyDescent="0.25">
      <c r="A4630" t="str">
        <f>"20190312150743778"</f>
        <v>20190312150743778</v>
      </c>
      <c r="B4630" t="str">
        <f>"1552374463774820"</f>
        <v>1552374463774820</v>
      </c>
      <c r="C4630" t="s">
        <v>40</v>
      </c>
      <c r="D4630">
        <v>4.342657</v>
      </c>
      <c r="E4630">
        <v>0.37165759999999998</v>
      </c>
      <c r="F4630" t="s">
        <v>41</v>
      </c>
      <c r="G4630">
        <v>-492.73700000000002</v>
      </c>
      <c r="H4630">
        <v>1.008877</v>
      </c>
      <c r="I4630">
        <v>236.1532</v>
      </c>
      <c r="J4630">
        <v>-493.2303</v>
      </c>
      <c r="K4630">
        <v>1.111505</v>
      </c>
      <c r="L4630">
        <v>236.7655</v>
      </c>
      <c r="M4630">
        <v>7.2357679999999994E-2</v>
      </c>
      <c r="N4630">
        <v>0</v>
      </c>
      <c r="O4630">
        <v>-0.9972858</v>
      </c>
      <c r="P4630">
        <v>0.27515970000000001</v>
      </c>
      <c r="Q4630">
        <v>-3.9824409999999998E-3</v>
      </c>
      <c r="R4630">
        <v>-0.96139010000000003</v>
      </c>
      <c r="S4630">
        <v>1.7952269999999999</v>
      </c>
      <c r="T4630">
        <v>-0.36509760000000002</v>
      </c>
      <c r="U4630">
        <v>-2.6110989999999998</v>
      </c>
      <c r="V4630">
        <v>-0.20488580000000001</v>
      </c>
      <c r="W4630">
        <v>8.9389740000000006E-3</v>
      </c>
      <c r="X4630">
        <v>0.97874499999999998</v>
      </c>
      <c r="Y4630">
        <v>-0.50160289999999996</v>
      </c>
      <c r="Z4630">
        <v>0.11640200000000001</v>
      </c>
      <c r="AA4630">
        <v>0.85723110000000002</v>
      </c>
      <c r="AB4630">
        <v>13</v>
      </c>
      <c r="AC4630">
        <v>0.49330000000003299</v>
      </c>
      <c r="AD4630">
        <v>-0.102627999999999</v>
      </c>
      <c r="AE4630">
        <v>-0.61230000000000395</v>
      </c>
      <c r="AF4630">
        <v>-0.44019882918356501</v>
      </c>
      <c r="AG4630">
        <v>-0.102627999999999</v>
      </c>
      <c r="AH4630">
        <v>0.63556469075904098</v>
      </c>
      <c r="AI4630">
        <v>97.561515672979496</v>
      </c>
      <c r="AJ4630">
        <v>124.706883303837</v>
      </c>
      <c r="AK4630">
        <v>0.77990383492980597</v>
      </c>
      <c r="AL4630">
        <v>89.487827662638495</v>
      </c>
      <c r="AM4630">
        <v>101.823293946437</v>
      </c>
      <c r="AN4630">
        <v>0.99999993566140399</v>
      </c>
    </row>
    <row r="4631" spans="1:40" x14ac:dyDescent="0.25">
      <c r="A4631" t="str">
        <f>"20190312150743791"</f>
        <v>20190312150743791</v>
      </c>
      <c r="B4631" t="str">
        <f>"1552374463784580"</f>
        <v>1552374463784580</v>
      </c>
      <c r="C4631" t="s">
        <v>40</v>
      </c>
      <c r="D4631">
        <v>4.3746019999999897</v>
      </c>
      <c r="E4631">
        <v>0.37176310000000001</v>
      </c>
      <c r="F4631" t="s">
        <v>41</v>
      </c>
      <c r="G4631">
        <v>-492.72660000000002</v>
      </c>
      <c r="H4631">
        <v>1.0100880000000001</v>
      </c>
      <c r="I4631">
        <v>236.0437</v>
      </c>
      <c r="J4631">
        <v>-493.22340000000003</v>
      </c>
      <c r="K4631">
        <v>1.1115170000000001</v>
      </c>
      <c r="L4631">
        <v>236.69450000000001</v>
      </c>
      <c r="M4631">
        <v>7.3759270000000002E-2</v>
      </c>
      <c r="N4631">
        <v>0</v>
      </c>
      <c r="O4631">
        <v>-0.99718329999999999</v>
      </c>
      <c r="P4631">
        <v>0.27799699999999999</v>
      </c>
      <c r="Q4631">
        <v>-3.8900860000000001E-3</v>
      </c>
      <c r="R4631">
        <v>-0.96057420000000004</v>
      </c>
      <c r="S4631">
        <v>1.814697</v>
      </c>
      <c r="T4631">
        <v>-0.36520609999999998</v>
      </c>
      <c r="U4631">
        <v>-2.5996090000000001</v>
      </c>
      <c r="V4631">
        <v>-0.20640030000000001</v>
      </c>
      <c r="W4631">
        <v>9.011926E-3</v>
      </c>
      <c r="X4631">
        <v>0.97842620000000002</v>
      </c>
      <c r="Y4631">
        <v>-0.50647900000000001</v>
      </c>
      <c r="Z4631">
        <v>0.11643390000000001</v>
      </c>
      <c r="AA4631">
        <v>0.85435490000000003</v>
      </c>
      <c r="AB4631">
        <v>13</v>
      </c>
      <c r="AC4631">
        <v>0.49680000000000701</v>
      </c>
      <c r="AD4631">
        <v>-0.10142900000000001</v>
      </c>
      <c r="AE4631">
        <v>-0.65080000000000304</v>
      </c>
      <c r="AF4631">
        <v>-0.44067648828595102</v>
      </c>
      <c r="AG4631">
        <v>-0.10142900000000001</v>
      </c>
      <c r="AH4631">
        <v>0.67530998796419595</v>
      </c>
      <c r="AI4631">
        <v>97.169242838866396</v>
      </c>
      <c r="AJ4631">
        <v>123.12663326521201</v>
      </c>
      <c r="AK4631">
        <v>0.81272823822803197</v>
      </c>
      <c r="AL4631">
        <v>89.483647718429907</v>
      </c>
      <c r="AM4631">
        <v>101.911973615305</v>
      </c>
      <c r="AN4631">
        <v>1.0000000637483699</v>
      </c>
    </row>
    <row r="4632" spans="1:40" x14ac:dyDescent="0.25">
      <c r="A4632" t="str">
        <f>"20190312150743804"</f>
        <v>20190312150743804</v>
      </c>
      <c r="B4632" t="str">
        <f>"1552374463794340"</f>
        <v>1552374463794340</v>
      </c>
      <c r="C4632" t="s">
        <v>40</v>
      </c>
      <c r="D4632">
        <v>4.3324600000000002</v>
      </c>
      <c r="E4632">
        <v>0.37199710000000002</v>
      </c>
      <c r="F4632" t="s">
        <v>41</v>
      </c>
      <c r="G4632">
        <v>-492.69409999999999</v>
      </c>
      <c r="H4632">
        <v>1.0060469999999999</v>
      </c>
      <c r="I4632">
        <v>235.9408</v>
      </c>
      <c r="J4632">
        <v>-493.2165</v>
      </c>
      <c r="K4632">
        <v>1.111532</v>
      </c>
      <c r="L4632">
        <v>236.62289999999999</v>
      </c>
      <c r="M4632">
        <v>7.5183710000000001E-2</v>
      </c>
      <c r="N4632">
        <v>0</v>
      </c>
      <c r="O4632">
        <v>-0.9970772</v>
      </c>
      <c r="P4632">
        <v>0.28091539999999998</v>
      </c>
      <c r="Q4632">
        <v>-3.9634559999999998E-3</v>
      </c>
      <c r="R4632">
        <v>-0.95972460000000004</v>
      </c>
      <c r="S4632">
        <v>1.8218080000000001</v>
      </c>
      <c r="T4632">
        <v>-0.36310320000000001</v>
      </c>
      <c r="U4632">
        <v>-2.5944370000000001</v>
      </c>
      <c r="V4632">
        <v>-0.20797669999999999</v>
      </c>
      <c r="W4632">
        <v>8.918469E-3</v>
      </c>
      <c r="X4632">
        <v>0.97809310000000005</v>
      </c>
      <c r="Y4632">
        <v>-0.50766089999999997</v>
      </c>
      <c r="Z4632">
        <v>0.1158164</v>
      </c>
      <c r="AA4632">
        <v>0.85373709999999903</v>
      </c>
      <c r="AB4632">
        <v>12</v>
      </c>
      <c r="AC4632">
        <v>0.52240000000000397</v>
      </c>
      <c r="AD4632">
        <v>-0.105485</v>
      </c>
      <c r="AE4632">
        <v>-0.68209999999999105</v>
      </c>
      <c r="AF4632">
        <v>-0.46265949149175301</v>
      </c>
      <c r="AG4632">
        <v>-0.105485</v>
      </c>
      <c r="AH4632">
        <v>0.70876474130881395</v>
      </c>
      <c r="AI4632">
        <v>97.103979238569906</v>
      </c>
      <c r="AJ4632">
        <v>123.13524782561601</v>
      </c>
      <c r="AK4632">
        <v>0.85295272366934705</v>
      </c>
      <c r="AL4632">
        <v>89.489002581934102</v>
      </c>
      <c r="AM4632">
        <v>102.004292765767</v>
      </c>
      <c r="AN4632">
        <v>0.99999997954990105</v>
      </c>
    </row>
    <row r="4633" spans="1:40" x14ac:dyDescent="0.25">
      <c r="A4633" t="str">
        <f>"20190312150743815"</f>
        <v>20190312150743815</v>
      </c>
      <c r="B4633" t="str">
        <f>"1552374463804102"</f>
        <v>1552374463804102</v>
      </c>
      <c r="C4633" t="s">
        <v>40</v>
      </c>
      <c r="D4633">
        <v>4.3946680000000002</v>
      </c>
      <c r="E4633">
        <v>0.37222139999999998</v>
      </c>
      <c r="F4633" t="s">
        <v>41</v>
      </c>
      <c r="G4633">
        <v>-492.6628</v>
      </c>
      <c r="H4633">
        <v>1.0007299999999999</v>
      </c>
      <c r="I4633">
        <v>235.8381</v>
      </c>
      <c r="J4633">
        <v>-493.21010000000001</v>
      </c>
      <c r="K4633">
        <v>1.111548</v>
      </c>
      <c r="L4633">
        <v>236.55869999999999</v>
      </c>
      <c r="M4633">
        <v>7.6489199999999993E-2</v>
      </c>
      <c r="N4633">
        <v>0</v>
      </c>
      <c r="O4633">
        <v>-0.99697760000000002</v>
      </c>
      <c r="P4633">
        <v>0.28361310000000001</v>
      </c>
      <c r="Q4633">
        <v>-3.87616E-3</v>
      </c>
      <c r="R4633">
        <v>-0.95893110000000004</v>
      </c>
      <c r="S4633">
        <v>1.827637</v>
      </c>
      <c r="T4633">
        <v>-0.36558570000000001</v>
      </c>
      <c r="U4633">
        <v>-2.5894170000000001</v>
      </c>
      <c r="V4633">
        <v>-0.20944689999999999</v>
      </c>
      <c r="W4633">
        <v>8.9871310000000006E-3</v>
      </c>
      <c r="X4633">
        <v>0.9777787</v>
      </c>
      <c r="Y4633">
        <v>-0.50854120000000003</v>
      </c>
      <c r="Z4633">
        <v>0.11665979999999999</v>
      </c>
      <c r="AA4633">
        <v>0.85309799999999902</v>
      </c>
      <c r="AB4633">
        <v>12</v>
      </c>
      <c r="AC4633">
        <v>0.547300000000007</v>
      </c>
      <c r="AD4633">
        <v>-0.110818</v>
      </c>
      <c r="AE4633">
        <v>-0.72059999999999003</v>
      </c>
      <c r="AF4633">
        <v>-0.48332408218235101</v>
      </c>
      <c r="AG4633">
        <v>-0.110818</v>
      </c>
      <c r="AH4633">
        <v>0.74911944461159796</v>
      </c>
      <c r="AI4633">
        <v>97.085767403228402</v>
      </c>
      <c r="AJ4633">
        <v>122.82968748354899</v>
      </c>
      <c r="AK4633">
        <v>0.89836670677212904</v>
      </c>
      <c r="AL4633">
        <v>89.485068381244204</v>
      </c>
      <c r="AM4633">
        <v>102.09043705562</v>
      </c>
      <c r="AN4633">
        <v>0.99999997930845497</v>
      </c>
    </row>
    <row r="4634" spans="1:40" x14ac:dyDescent="0.25">
      <c r="A4634" t="str">
        <f>"20190312150743834"</f>
        <v>20190312150743834</v>
      </c>
      <c r="B4634" t="str">
        <f>"1552374463824596"</f>
        <v>1552374463824596</v>
      </c>
      <c r="C4634" t="s">
        <v>40</v>
      </c>
      <c r="D4634">
        <v>4.3619820000000002</v>
      </c>
      <c r="E4634">
        <v>0.37400080000000002</v>
      </c>
      <c r="F4634" t="s">
        <v>41</v>
      </c>
      <c r="G4634">
        <v>-492.69279999999998</v>
      </c>
      <c r="H4634">
        <v>1.0081290000000001</v>
      </c>
      <c r="I4634">
        <v>235.82910000000001</v>
      </c>
      <c r="J4634">
        <v>-493.2</v>
      </c>
      <c r="K4634">
        <v>1.1115699999999999</v>
      </c>
      <c r="L4634">
        <v>236.45820000000001</v>
      </c>
      <c r="M4634">
        <v>7.8559939999999995E-2</v>
      </c>
      <c r="N4634">
        <v>0</v>
      </c>
      <c r="O4634">
        <v>-0.99681660000000005</v>
      </c>
      <c r="P4634">
        <v>0.28834140000000003</v>
      </c>
      <c r="Q4634">
        <v>-3.735043E-3</v>
      </c>
      <c r="R4634">
        <v>-0.9575205</v>
      </c>
      <c r="S4634">
        <v>1.8334349999999999</v>
      </c>
      <c r="T4634">
        <v>-0.36638569999999998</v>
      </c>
      <c r="U4634">
        <v>-2.5847630000000001</v>
      </c>
      <c r="V4634">
        <v>-0.21224090000000001</v>
      </c>
      <c r="W4634">
        <v>9.0967989999999992E-3</v>
      </c>
      <c r="X4634">
        <v>0.97717509999999996</v>
      </c>
      <c r="Y4634">
        <v>-0.50873420000000003</v>
      </c>
      <c r="Z4634">
        <v>0.1169762</v>
      </c>
      <c r="AA4634">
        <v>0.85293969999999897</v>
      </c>
      <c r="AB4634">
        <v>12</v>
      </c>
      <c r="AC4634">
        <v>0.50720000000001098</v>
      </c>
      <c r="AD4634">
        <v>-0.10344100000000001</v>
      </c>
      <c r="AE4634">
        <v>-0.629099999999994</v>
      </c>
      <c r="AF4634">
        <v>-0.44885087430543502</v>
      </c>
      <c r="AG4634">
        <v>-0.10344100000000001</v>
      </c>
      <c r="AH4634">
        <v>0.65625161181367497</v>
      </c>
      <c r="AI4634">
        <v>97.412733499460501</v>
      </c>
      <c r="AJ4634">
        <v>124.370627327888</v>
      </c>
      <c r="AK4634">
        <v>0.80176887308862299</v>
      </c>
      <c r="AL4634">
        <v>89.478784654685697</v>
      </c>
      <c r="AM4634">
        <v>102.254221242501</v>
      </c>
      <c r="AN4634">
        <v>1.00000006372243</v>
      </c>
    </row>
    <row r="4635" spans="1:40" x14ac:dyDescent="0.25">
      <c r="A4635" t="str">
        <f>"20190312150743847"</f>
        <v>20190312150743847</v>
      </c>
      <c r="B4635" t="str">
        <f>"1552374463844116"</f>
        <v>1552374463844116</v>
      </c>
      <c r="C4635" t="s">
        <v>40</v>
      </c>
      <c r="D4635">
        <v>4.3750260000000001</v>
      </c>
      <c r="E4635">
        <v>0.37551830000000003</v>
      </c>
      <c r="F4635" t="s">
        <v>41</v>
      </c>
      <c r="G4635">
        <v>-492.67669999999998</v>
      </c>
      <c r="H4635">
        <v>1.0059560000000001</v>
      </c>
      <c r="I4635">
        <v>235.72200000000001</v>
      </c>
      <c r="J4635">
        <v>-493.19299999999998</v>
      </c>
      <c r="K4635">
        <v>1.111585</v>
      </c>
      <c r="L4635">
        <v>236.39070000000001</v>
      </c>
      <c r="M4635">
        <v>7.9970910000000006E-2</v>
      </c>
      <c r="N4635">
        <v>0</v>
      </c>
      <c r="O4635">
        <v>-0.99670440000000005</v>
      </c>
      <c r="P4635">
        <v>0.291220599999999</v>
      </c>
      <c r="Q4635">
        <v>-3.531644E-3</v>
      </c>
      <c r="R4635">
        <v>-0.95664950000000004</v>
      </c>
      <c r="S4635">
        <v>1.8331599999999999</v>
      </c>
      <c r="T4635">
        <v>-0.37008990000000003</v>
      </c>
      <c r="U4635">
        <v>-2.5796199999999998</v>
      </c>
      <c r="V4635">
        <v>-0.2137975</v>
      </c>
      <c r="W4635">
        <v>9.2808500000000002E-3</v>
      </c>
      <c r="X4635">
        <v>0.97683390000000003</v>
      </c>
      <c r="Y4635">
        <v>-0.50816779999999995</v>
      </c>
      <c r="Z4635">
        <v>0.1183323</v>
      </c>
      <c r="AA4635">
        <v>0.85309029999999997</v>
      </c>
      <c r="AB4635">
        <v>12</v>
      </c>
      <c r="AC4635">
        <v>0.51630000000005705</v>
      </c>
      <c r="AD4635">
        <v>-0.105629</v>
      </c>
      <c r="AE4635">
        <v>-0.66870000000000096</v>
      </c>
      <c r="AF4635">
        <v>-0.45406629043614599</v>
      </c>
      <c r="AG4635">
        <v>-0.105629</v>
      </c>
      <c r="AH4635">
        <v>0.69695536539421599</v>
      </c>
      <c r="AI4635">
        <v>97.237002058887199</v>
      </c>
      <c r="AJ4635">
        <v>123.08423598373</v>
      </c>
      <c r="AK4635">
        <v>0.83849893446755697</v>
      </c>
      <c r="AL4635">
        <v>89.468238823637904</v>
      </c>
      <c r="AM4635">
        <v>102.34552908704001</v>
      </c>
      <c r="AN4635">
        <v>0.99999998668609102</v>
      </c>
    </row>
    <row r="4636" spans="1:40" x14ac:dyDescent="0.25">
      <c r="A4636" t="str">
        <f>"20190312150743861"</f>
        <v>20190312150743861</v>
      </c>
      <c r="B4636" t="str">
        <f>"1552374463854853"</f>
        <v>1552374463854853</v>
      </c>
      <c r="C4636" t="s">
        <v>40</v>
      </c>
      <c r="D4636">
        <v>4.3146509999999996</v>
      </c>
      <c r="E4636">
        <v>0.3761388</v>
      </c>
      <c r="F4636" t="s">
        <v>41</v>
      </c>
      <c r="G4636">
        <v>-492.64589999999998</v>
      </c>
      <c r="H4636">
        <v>1.000532</v>
      </c>
      <c r="I4636">
        <v>235.61959999999999</v>
      </c>
      <c r="J4636">
        <v>-493.18490000000003</v>
      </c>
      <c r="K4636">
        <v>1.1115980000000001</v>
      </c>
      <c r="L4636">
        <v>236.31360000000001</v>
      </c>
      <c r="M4636">
        <v>8.1610890000000005E-2</v>
      </c>
      <c r="N4636">
        <v>0</v>
      </c>
      <c r="O4636">
        <v>-0.99657150000000005</v>
      </c>
      <c r="P4636">
        <v>0.29422779999999998</v>
      </c>
      <c r="Q4636">
        <v>-3.3508510000000002E-3</v>
      </c>
      <c r="R4636">
        <v>-0.95572939999999995</v>
      </c>
      <c r="S4636">
        <v>1.8293759999999999</v>
      </c>
      <c r="T4636">
        <v>-0.37124010000000002</v>
      </c>
      <c r="U4636">
        <v>-2.5776979999999998</v>
      </c>
      <c r="V4636">
        <v>-0.2152628</v>
      </c>
      <c r="W4636">
        <v>9.4420159999999993E-3</v>
      </c>
      <c r="X4636">
        <v>0.97651049999999995</v>
      </c>
      <c r="Y4636">
        <v>-0.50618490000000005</v>
      </c>
      <c r="Z4636">
        <v>0.1188597</v>
      </c>
      <c r="AA4636">
        <v>0.85419509999999899</v>
      </c>
      <c r="AB4636">
        <v>12</v>
      </c>
      <c r="AC4636">
        <v>0.539000000000044</v>
      </c>
      <c r="AD4636">
        <v>-0.111065999999999</v>
      </c>
      <c r="AE4636">
        <v>-0.69400000000001605</v>
      </c>
      <c r="AF4636">
        <v>-0.47300203041543898</v>
      </c>
      <c r="AG4636">
        <v>-0.111065999999999</v>
      </c>
      <c r="AH4636">
        <v>0.72410885085657894</v>
      </c>
      <c r="AI4636">
        <v>97.317520175799999</v>
      </c>
      <c r="AJ4636">
        <v>123.15335309617301</v>
      </c>
      <c r="AK4636">
        <v>0.87200929182088605</v>
      </c>
      <c r="AL4636">
        <v>89.459004289409606</v>
      </c>
      <c r="AM4636">
        <v>102.43150879202101</v>
      </c>
      <c r="AN4636">
        <v>0.99999999067011602</v>
      </c>
    </row>
    <row r="4637" spans="1:40" x14ac:dyDescent="0.25">
      <c r="A4637" t="str">
        <f>"20190312150743875"</f>
        <v>20190312150743875</v>
      </c>
      <c r="B4637" t="str">
        <f>"1552374463864612"</f>
        <v>1552374463864612</v>
      </c>
      <c r="C4637" t="s">
        <v>40</v>
      </c>
      <c r="D4637">
        <v>4.3150250000000003</v>
      </c>
      <c r="E4637">
        <v>0.37639050000000002</v>
      </c>
      <c r="F4637" t="s">
        <v>41</v>
      </c>
      <c r="G4637">
        <v>-492.68270000000001</v>
      </c>
      <c r="H4637">
        <v>1.0094080000000001</v>
      </c>
      <c r="I4637">
        <v>235.60839999999999</v>
      </c>
      <c r="J4637">
        <v>-493.17689999999999</v>
      </c>
      <c r="K4637">
        <v>1.111612</v>
      </c>
      <c r="L4637">
        <v>236.23939999999999</v>
      </c>
      <c r="M4637">
        <v>8.3219710000000002E-2</v>
      </c>
      <c r="N4637">
        <v>0</v>
      </c>
      <c r="O4637">
        <v>-0.99643870000000001</v>
      </c>
      <c r="P4637">
        <v>0.29728749999999998</v>
      </c>
      <c r="Q4637">
        <v>-3.2585729999999999E-3</v>
      </c>
      <c r="R4637">
        <v>-0.95478280000000004</v>
      </c>
      <c r="S4637">
        <v>1.8330379999999999</v>
      </c>
      <c r="T4637">
        <v>-0.37288650000000001</v>
      </c>
      <c r="U4637">
        <v>-2.5733489999999999</v>
      </c>
      <c r="V4637">
        <v>-0.2168148</v>
      </c>
      <c r="W4637">
        <v>9.5144909999999999E-3</v>
      </c>
      <c r="X4637">
        <v>0.97616639999999999</v>
      </c>
      <c r="Y4637">
        <v>-0.50624219999999998</v>
      </c>
      <c r="Z4637">
        <v>0.11946909999999999</v>
      </c>
      <c r="AA4637">
        <v>0.8540761</v>
      </c>
      <c r="AB4637">
        <v>12</v>
      </c>
      <c r="AC4637">
        <v>0.49419999999997699</v>
      </c>
      <c r="AD4637">
        <v>-0.102203999999999</v>
      </c>
      <c r="AE4637">
        <v>-0.63100000000000001</v>
      </c>
      <c r="AF4637">
        <v>-0.43292928847121298</v>
      </c>
      <c r="AG4637">
        <v>-0.102203999999999</v>
      </c>
      <c r="AH4637">
        <v>0.65922248409564099</v>
      </c>
      <c r="AI4637">
        <v>97.383818369944706</v>
      </c>
      <c r="AJ4637">
        <v>123.293991993489</v>
      </c>
      <c r="AK4637">
        <v>0.79526581088930204</v>
      </c>
      <c r="AL4637">
        <v>89.454851602711301</v>
      </c>
      <c r="AM4637">
        <v>102.52259531401501</v>
      </c>
      <c r="AN4637">
        <v>1.00000001176349</v>
      </c>
    </row>
    <row r="4638" spans="1:40" x14ac:dyDescent="0.25">
      <c r="A4638" t="str">
        <f>"20190312150743891"</f>
        <v>20190312150743891</v>
      </c>
      <c r="B4638" t="str">
        <f>"1552374463884686"</f>
        <v>1552374463884686</v>
      </c>
      <c r="C4638" t="s">
        <v>40</v>
      </c>
      <c r="D4638">
        <v>4.334098</v>
      </c>
      <c r="E4638">
        <v>0.3767875</v>
      </c>
      <c r="F4638" t="s">
        <v>41</v>
      </c>
      <c r="G4638">
        <v>-492.65179999999998</v>
      </c>
      <c r="H4638">
        <v>1.005314</v>
      </c>
      <c r="I4638">
        <v>235.50630000000001</v>
      </c>
      <c r="J4638">
        <v>-493.16750000000002</v>
      </c>
      <c r="K4638">
        <v>1.111632</v>
      </c>
      <c r="L4638">
        <v>236.1532</v>
      </c>
      <c r="M4638">
        <v>8.5116769999999994E-2</v>
      </c>
      <c r="N4638">
        <v>0</v>
      </c>
      <c r="O4638">
        <v>-0.99627829999999995</v>
      </c>
      <c r="P4638">
        <v>0.30183690000000002</v>
      </c>
      <c r="Q4638">
        <v>-3.3066990000000002E-3</v>
      </c>
      <c r="R4638">
        <v>-0.95335360000000002</v>
      </c>
      <c r="S4638">
        <v>1.8393550000000001</v>
      </c>
      <c r="T4638">
        <v>-0.37235760000000001</v>
      </c>
      <c r="U4638">
        <v>-2.568085</v>
      </c>
      <c r="V4638">
        <v>-0.21961020000000001</v>
      </c>
      <c r="W4638">
        <v>9.4386780000000007E-3</v>
      </c>
      <c r="X4638">
        <v>0.97554209999999997</v>
      </c>
      <c r="Y4638">
        <v>-0.50682890000000003</v>
      </c>
      <c r="Z4638">
        <v>0.1193705</v>
      </c>
      <c r="AA4638">
        <v>0.85374189999999905</v>
      </c>
      <c r="AB4638">
        <v>12</v>
      </c>
      <c r="AC4638">
        <v>0.51570000000003802</v>
      </c>
      <c r="AD4638">
        <v>-0.106317999999999</v>
      </c>
      <c r="AE4638">
        <v>-0.64689999999998704</v>
      </c>
      <c r="AF4638">
        <v>-0.45130755634610198</v>
      </c>
      <c r="AG4638">
        <v>-0.106317999999999</v>
      </c>
      <c r="AH4638">
        <v>0.67726546954448796</v>
      </c>
      <c r="AI4638">
        <v>97.4426517416655</v>
      </c>
      <c r="AJ4638">
        <v>123.678190764334</v>
      </c>
      <c r="AK4638">
        <v>0.82077435618835304</v>
      </c>
      <c r="AL4638">
        <v>89.459195588054101</v>
      </c>
      <c r="AM4638">
        <v>102.686713000605</v>
      </c>
      <c r="AN4638">
        <v>1.00000005872941</v>
      </c>
    </row>
    <row r="4639" spans="1:40" x14ac:dyDescent="0.25">
      <c r="A4639" t="str">
        <f>"20190312150743905"</f>
        <v>20190312150743905</v>
      </c>
      <c r="B4639" t="str">
        <f>"1552374463894448"</f>
        <v>1552374463894448</v>
      </c>
      <c r="C4639" t="s">
        <v>40</v>
      </c>
      <c r="D4639">
        <v>4.3484040000000004</v>
      </c>
      <c r="E4639">
        <v>0.37709769999999998</v>
      </c>
      <c r="F4639" t="s">
        <v>41</v>
      </c>
      <c r="G4639">
        <v>-492.6259</v>
      </c>
      <c r="H4639">
        <v>1.002332</v>
      </c>
      <c r="I4639">
        <v>235.40289999999999</v>
      </c>
      <c r="J4639">
        <v>-493.15890000000002</v>
      </c>
      <c r="K4639">
        <v>1.1116459999999999</v>
      </c>
      <c r="L4639">
        <v>236.07579999999999</v>
      </c>
      <c r="M4639">
        <v>8.6844710000000006E-2</v>
      </c>
      <c r="N4639">
        <v>0</v>
      </c>
      <c r="O4639">
        <v>-0.99612920000000005</v>
      </c>
      <c r="P4639">
        <v>0.30470740000000002</v>
      </c>
      <c r="Q4639">
        <v>-3.201841E-3</v>
      </c>
      <c r="R4639">
        <v>-0.95244030000000002</v>
      </c>
      <c r="S4639">
        <v>1.848724</v>
      </c>
      <c r="T4639">
        <v>-0.37299900000000002</v>
      </c>
      <c r="U4639">
        <v>-2.560181</v>
      </c>
      <c r="V4639">
        <v>-0.22085740000000001</v>
      </c>
      <c r="W4639">
        <v>9.5259349999999993E-3</v>
      </c>
      <c r="X4639">
        <v>0.9752596</v>
      </c>
      <c r="Y4639">
        <v>-0.50862059999999998</v>
      </c>
      <c r="Z4639">
        <v>0.11965820000000001</v>
      </c>
      <c r="AA4639">
        <v>0.85263529999999998</v>
      </c>
      <c r="AB4639">
        <v>12</v>
      </c>
      <c r="AC4639">
        <v>0.53300000000001502</v>
      </c>
      <c r="AD4639">
        <v>-0.109313999999999</v>
      </c>
      <c r="AE4639">
        <v>-0.67289999999999806</v>
      </c>
      <c r="AF4639">
        <v>-0.46500204858774502</v>
      </c>
      <c r="AG4639">
        <v>-0.109313999999999</v>
      </c>
      <c r="AH4639">
        <v>0.70521373917850405</v>
      </c>
      <c r="AI4639">
        <v>97.373578466984</v>
      </c>
      <c r="AJ4639">
        <v>123.399958327489</v>
      </c>
      <c r="AK4639">
        <v>0.85176456472016204</v>
      </c>
      <c r="AL4639">
        <v>89.454195879675694</v>
      </c>
      <c r="AM4639">
        <v>102.759985779126</v>
      </c>
      <c r="AN4639">
        <v>1.00000001098227</v>
      </c>
    </row>
    <row r="4640" spans="1:40" x14ac:dyDescent="0.25">
      <c r="A4640" t="str">
        <f>"20190312150743916"</f>
        <v>20190312150743916</v>
      </c>
      <c r="B4640" t="str">
        <f>"1552374463904207"</f>
        <v>1552374463904207</v>
      </c>
      <c r="C4640" t="s">
        <v>40</v>
      </c>
      <c r="D4640">
        <v>4.3603339999999999</v>
      </c>
      <c r="E4640">
        <v>0.37737999999999999</v>
      </c>
      <c r="F4640" t="s">
        <v>41</v>
      </c>
      <c r="G4640">
        <v>-492.59649999999999</v>
      </c>
      <c r="H4640">
        <v>0.99798330000000002</v>
      </c>
      <c r="I4640">
        <v>235.30090000000001</v>
      </c>
      <c r="J4640">
        <v>-493.15159999999997</v>
      </c>
      <c r="K4640">
        <v>1.111656</v>
      </c>
      <c r="L4640">
        <v>236.0121</v>
      </c>
      <c r="M4640">
        <v>8.8295910000000005E-2</v>
      </c>
      <c r="N4640">
        <v>0</v>
      </c>
      <c r="O4640">
        <v>-0.99600180000000005</v>
      </c>
      <c r="P4640">
        <v>0.30715809999999999</v>
      </c>
      <c r="Q4640">
        <v>-3.2811680000000001E-3</v>
      </c>
      <c r="R4640">
        <v>-0.95165319999999998</v>
      </c>
      <c r="S4640">
        <v>1.854492</v>
      </c>
      <c r="T4640">
        <v>-0.37485839999999998</v>
      </c>
      <c r="U4640">
        <v>-2.555237</v>
      </c>
      <c r="V4640">
        <v>-0.22194659999999999</v>
      </c>
      <c r="W4640">
        <v>9.4329559999999993E-3</v>
      </c>
      <c r="X4640">
        <v>0.97501320000000002</v>
      </c>
      <c r="Y4640">
        <v>-0.5093685</v>
      </c>
      <c r="Z4640">
        <v>0.12030689999999999</v>
      </c>
      <c r="AA4640">
        <v>0.8520974</v>
      </c>
      <c r="AB4640">
        <v>12</v>
      </c>
      <c r="AC4640">
        <v>0.55509999999998105</v>
      </c>
      <c r="AD4640">
        <v>-0.113672699999999</v>
      </c>
      <c r="AE4640">
        <v>-0.71119999999999095</v>
      </c>
      <c r="AF4640">
        <v>-0.48247038887903199</v>
      </c>
      <c r="AG4640">
        <v>-0.113672699999999</v>
      </c>
      <c r="AH4640">
        <v>0.74560272894357305</v>
      </c>
      <c r="AI4640">
        <v>97.294029851999298</v>
      </c>
      <c r="AJ4640">
        <v>122.90641096410501</v>
      </c>
      <c r="AK4640">
        <v>0.89533378595833102</v>
      </c>
      <c r="AL4640">
        <v>89.459523421144496</v>
      </c>
      <c r="AM4640">
        <v>102.823972135045</v>
      </c>
      <c r="AN4640">
        <v>1.00000000704234</v>
      </c>
    </row>
    <row r="4641" spans="1:40" x14ac:dyDescent="0.25">
      <c r="A4641" t="str">
        <f>"20190312150743938"</f>
        <v>20190312150743938</v>
      </c>
      <c r="B4641" t="str">
        <f>"1552374463934463"</f>
        <v>1552374463934463</v>
      </c>
      <c r="C4641" t="s">
        <v>40</v>
      </c>
      <c r="D4641">
        <v>4.3476080000000001</v>
      </c>
      <c r="E4641">
        <v>0.37816050000000001</v>
      </c>
      <c r="F4641" t="s">
        <v>41</v>
      </c>
      <c r="G4641">
        <v>-492.6266</v>
      </c>
      <c r="H4641">
        <v>1.0056780000000001</v>
      </c>
      <c r="I4641">
        <v>235.29159999999999</v>
      </c>
      <c r="J4641">
        <v>-493.13819999999998</v>
      </c>
      <c r="K4641">
        <v>1.1116779999999999</v>
      </c>
      <c r="L4641">
        <v>235.89760000000001</v>
      </c>
      <c r="M4641">
        <v>9.0939880000000001E-2</v>
      </c>
      <c r="N4641">
        <v>0</v>
      </c>
      <c r="O4641">
        <v>-0.99576390000000004</v>
      </c>
      <c r="P4641">
        <v>0.3119864</v>
      </c>
      <c r="Q4641">
        <v>-3.7313960000000001E-3</v>
      </c>
      <c r="R4641">
        <v>-0.95007929999999996</v>
      </c>
      <c r="S4641">
        <v>1.8586119999999999</v>
      </c>
      <c r="T4641">
        <v>-0.37525779999999997</v>
      </c>
      <c r="U4641">
        <v>-2.5512239999999999</v>
      </c>
      <c r="V4641">
        <v>-0.2243078</v>
      </c>
      <c r="W4641">
        <v>8.9566160000000006E-3</v>
      </c>
      <c r="X4641">
        <v>0.97447720000000004</v>
      </c>
      <c r="Y4641">
        <v>-0.50861199999999995</v>
      </c>
      <c r="Z4641">
        <v>0.12051729999999999</v>
      </c>
      <c r="AA4641">
        <v>0.85251949999999999</v>
      </c>
      <c r="AB4641">
        <v>12</v>
      </c>
      <c r="AC4641">
        <v>0.51159999999998695</v>
      </c>
      <c r="AD4641">
        <v>-0.106</v>
      </c>
      <c r="AE4641">
        <v>-0.60600000000002296</v>
      </c>
      <c r="AF4641">
        <v>-0.44639071806853498</v>
      </c>
      <c r="AG4641">
        <v>-0.106</v>
      </c>
      <c r="AH4641">
        <v>0.63860944325378999</v>
      </c>
      <c r="AI4641">
        <v>97.747205420002103</v>
      </c>
      <c r="AJ4641">
        <v>124.953712357443</v>
      </c>
      <c r="AK4641">
        <v>0.78633497581543399</v>
      </c>
      <c r="AL4641">
        <v>89.486816848995204</v>
      </c>
      <c r="AM4641">
        <v>102.962706515002</v>
      </c>
      <c r="AN4641">
        <v>1.00000001171542</v>
      </c>
    </row>
    <row r="4642" spans="1:40" x14ac:dyDescent="0.25">
      <c r="A4642" t="str">
        <f>"20190312150743959"</f>
        <v>20190312150743959</v>
      </c>
      <c r="B4642" t="str">
        <f>"1552374463954959"</f>
        <v>1552374463954959</v>
      </c>
      <c r="C4642" t="s">
        <v>40</v>
      </c>
      <c r="D4642">
        <v>4.2974030000000001</v>
      </c>
      <c r="E4642">
        <v>0.37863180000000002</v>
      </c>
      <c r="F4642" t="s">
        <v>41</v>
      </c>
      <c r="G4642">
        <v>-492.61500000000001</v>
      </c>
      <c r="H4642">
        <v>1.0059129999999901</v>
      </c>
      <c r="I4642">
        <v>235.1842</v>
      </c>
      <c r="J4642">
        <v>-493.12459999999999</v>
      </c>
      <c r="K4642">
        <v>1.111691</v>
      </c>
      <c r="L4642">
        <v>235.78290000000001</v>
      </c>
      <c r="M4642">
        <v>9.3638170000000007E-2</v>
      </c>
      <c r="N4642">
        <v>0</v>
      </c>
      <c r="O4642">
        <v>-0.99551389999999995</v>
      </c>
      <c r="P4642">
        <v>0.31662309999999999</v>
      </c>
      <c r="Q4642">
        <v>-3.8580720000000002E-3</v>
      </c>
      <c r="R4642">
        <v>-0.94854400000000005</v>
      </c>
      <c r="S4642">
        <v>1.866241</v>
      </c>
      <c r="T4642">
        <v>-0.37709320000000002</v>
      </c>
      <c r="U4642">
        <v>-2.543304</v>
      </c>
      <c r="V4642">
        <v>-0.2264265</v>
      </c>
      <c r="W4642">
        <v>8.8068950000000003E-3</v>
      </c>
      <c r="X4642">
        <v>0.97398850000000003</v>
      </c>
      <c r="Y4642">
        <v>-0.50916110000000003</v>
      </c>
      <c r="Z4642">
        <v>0.12123250000000001</v>
      </c>
      <c r="AA4642">
        <v>0.85209020000000002</v>
      </c>
      <c r="AB4642">
        <v>12</v>
      </c>
      <c r="AC4642">
        <v>0.50959999999997696</v>
      </c>
      <c r="AD4642">
        <v>-0.105778</v>
      </c>
      <c r="AE4642">
        <v>-0.598700000000007</v>
      </c>
      <c r="AF4642">
        <v>-0.44327048222784199</v>
      </c>
      <c r="AG4642">
        <v>-0.105778</v>
      </c>
      <c r="AH4642">
        <v>0.63234517677146895</v>
      </c>
      <c r="AI4642">
        <v>97.799618674262604</v>
      </c>
      <c r="AJ4642">
        <v>125.030243848732</v>
      </c>
      <c r="AK4642">
        <v>0.779447322328227</v>
      </c>
      <c r="AL4642">
        <v>89.495395592904899</v>
      </c>
      <c r="AM4642">
        <v>103.087291441506</v>
      </c>
      <c r="AN4642">
        <v>1.00000005971701</v>
      </c>
    </row>
    <row r="4643" spans="1:40" x14ac:dyDescent="0.25">
      <c r="A4643" t="str">
        <f>"20190312150743979"</f>
        <v>20190312150743979</v>
      </c>
      <c r="B4643" t="str">
        <f>"1552374463974479"</f>
        <v>1552374463974479</v>
      </c>
      <c r="C4643" t="s">
        <v>40</v>
      </c>
      <c r="D4643">
        <v>4.2863730000000002</v>
      </c>
      <c r="E4643">
        <v>0.379133</v>
      </c>
      <c r="F4643" t="s">
        <v>41</v>
      </c>
      <c r="G4643">
        <v>-492.6028</v>
      </c>
      <c r="H4643">
        <v>1.007692</v>
      </c>
      <c r="I4643">
        <v>235.07730000000001</v>
      </c>
      <c r="J4643">
        <v>-493.11130000000003</v>
      </c>
      <c r="K4643">
        <v>1.1117030000000001</v>
      </c>
      <c r="L4643">
        <v>235.67490000000001</v>
      </c>
      <c r="M4643">
        <v>9.6226870000000006E-2</v>
      </c>
      <c r="N4643">
        <v>0</v>
      </c>
      <c r="O4643">
        <v>-0.99526669999999995</v>
      </c>
      <c r="P4643">
        <v>0.32092459999999901</v>
      </c>
      <c r="Q4643">
        <v>-3.6901170000000001E-3</v>
      </c>
      <c r="R4643">
        <v>-0.94709750000000004</v>
      </c>
      <c r="S4643">
        <v>1.875183</v>
      </c>
      <c r="T4643">
        <v>-0.37366769999999999</v>
      </c>
      <c r="U4643">
        <v>-2.535263</v>
      </c>
      <c r="V4643">
        <v>-0.22831409999999999</v>
      </c>
      <c r="W4643">
        <v>8.9551839999999997E-3</v>
      </c>
      <c r="X4643">
        <v>0.97354629999999998</v>
      </c>
      <c r="Y4643">
        <v>-0.5102333</v>
      </c>
      <c r="Z4643">
        <v>0.12025280000000001</v>
      </c>
      <c r="AA4643">
        <v>0.85158750000000005</v>
      </c>
      <c r="AB4643">
        <v>12</v>
      </c>
      <c r="AC4643">
        <v>0.50850000000002604</v>
      </c>
      <c r="AD4643">
        <v>-0.10401100000000001</v>
      </c>
      <c r="AE4643">
        <v>-0.59759999999999902</v>
      </c>
      <c r="AF4643">
        <v>-0.44088269807064401</v>
      </c>
      <c r="AG4643">
        <v>-0.10401100000000001</v>
      </c>
      <c r="AH4643">
        <v>0.63264608179997905</v>
      </c>
      <c r="AI4643">
        <v>97.681913043307901</v>
      </c>
      <c r="AJ4643">
        <v>124.872131126102</v>
      </c>
      <c r="AK4643">
        <v>0.77809826268660798</v>
      </c>
      <c r="AL4643">
        <v>89.486898873772901</v>
      </c>
      <c r="AM4643">
        <v>103.19837538690101</v>
      </c>
      <c r="AN4643">
        <v>0.99999996091148602</v>
      </c>
    </row>
    <row r="4644" spans="1:40" x14ac:dyDescent="0.25">
      <c r="A4644" t="str">
        <f>"20190312150743994"</f>
        <v>20190312150743994</v>
      </c>
      <c r="B4644" t="str">
        <f>"1552374463984239"</f>
        <v>1552374463984239</v>
      </c>
      <c r="C4644" t="s">
        <v>40</v>
      </c>
      <c r="D4644">
        <v>4.2997180000000004</v>
      </c>
      <c r="E4644">
        <v>0.37939020000000001</v>
      </c>
      <c r="F4644" t="s">
        <v>41</v>
      </c>
      <c r="G4644">
        <v>-492.58789999999999</v>
      </c>
      <c r="H4644">
        <v>1.0086029999999999</v>
      </c>
      <c r="I4644">
        <v>234.97149999999999</v>
      </c>
      <c r="J4644">
        <v>-493.101</v>
      </c>
      <c r="K4644">
        <v>1.1117109999999999</v>
      </c>
      <c r="L4644">
        <v>235.59299999999999</v>
      </c>
      <c r="M4644">
        <v>9.8221149999999993E-2</v>
      </c>
      <c r="N4644">
        <v>0</v>
      </c>
      <c r="O4644">
        <v>-0.99507190000000001</v>
      </c>
      <c r="P4644">
        <v>0.32369290000000001</v>
      </c>
      <c r="Q4644">
        <v>-3.7998519999999998E-3</v>
      </c>
      <c r="R4644">
        <v>-0.94615439999999995</v>
      </c>
      <c r="S4644">
        <v>1.8827510000000001</v>
      </c>
      <c r="T4644">
        <v>-0.370531</v>
      </c>
      <c r="U4644">
        <v>-2.528152</v>
      </c>
      <c r="V4644">
        <v>-0.22920969999999999</v>
      </c>
      <c r="W4644">
        <v>8.8340720000000001E-3</v>
      </c>
      <c r="X4644">
        <v>0.97333700000000001</v>
      </c>
      <c r="Y4644">
        <v>-0.51136579999999998</v>
      </c>
      <c r="Z4644">
        <v>0.1193514</v>
      </c>
      <c r="AA4644">
        <v>0.85103479999999998</v>
      </c>
      <c r="AB4644">
        <v>12</v>
      </c>
      <c r="AC4644">
        <v>0.51310000000000799</v>
      </c>
      <c r="AD4644">
        <v>-0.10310799999999901</v>
      </c>
      <c r="AE4644">
        <v>-0.62149999999999705</v>
      </c>
      <c r="AF4644">
        <v>-0.44232860306638899</v>
      </c>
      <c r="AG4644">
        <v>-0.10310799999999901</v>
      </c>
      <c r="AH4644">
        <v>0.65812430893850404</v>
      </c>
      <c r="AI4644">
        <v>97.408580181513202</v>
      </c>
      <c r="AJ4644">
        <v>123.90524289166299</v>
      </c>
      <c r="AK4644">
        <v>0.79963332770117002</v>
      </c>
      <c r="AL4644">
        <v>89.493838385669804</v>
      </c>
      <c r="AM4644">
        <v>103.25107416121099</v>
      </c>
      <c r="AN4644">
        <v>1.00000002148559</v>
      </c>
    </row>
    <row r="4645" spans="1:40" x14ac:dyDescent="0.25">
      <c r="A4645" t="str">
        <f>"20190312150744008"</f>
        <v>20190312150744008</v>
      </c>
      <c r="B4645" t="str">
        <f>"1552374464004735"</f>
        <v>1552374464004735</v>
      </c>
      <c r="C4645" t="s">
        <v>40</v>
      </c>
      <c r="D4645">
        <v>4.3522819999999998</v>
      </c>
      <c r="E4645">
        <v>0.38001499999999999</v>
      </c>
      <c r="F4645" t="s">
        <v>41</v>
      </c>
      <c r="G4645">
        <v>-492.56</v>
      </c>
      <c r="H4645">
        <v>1.0053030000000001</v>
      </c>
      <c r="I4645">
        <v>234.87</v>
      </c>
      <c r="J4645">
        <v>-493.09199999999998</v>
      </c>
      <c r="K4645">
        <v>1.111718</v>
      </c>
      <c r="L4645">
        <v>235.5223</v>
      </c>
      <c r="M4645">
        <v>9.9961560000000005E-2</v>
      </c>
      <c r="N4645">
        <v>0</v>
      </c>
      <c r="O4645">
        <v>-0.99489879999999997</v>
      </c>
      <c r="P4645">
        <v>0.32601849999999999</v>
      </c>
      <c r="Q4645">
        <v>-3.7795839999999999E-3</v>
      </c>
      <c r="R4645">
        <v>-0.94535590000000003</v>
      </c>
      <c r="S4645">
        <v>1.8879999999999999</v>
      </c>
      <c r="T4645">
        <v>-0.37136400000000003</v>
      </c>
      <c r="U4645">
        <v>-2.5232999999999999</v>
      </c>
      <c r="V4645">
        <v>-0.22990070000000001</v>
      </c>
      <c r="W4645">
        <v>8.8455159999999994E-3</v>
      </c>
      <c r="X4645">
        <v>0.97317390000000004</v>
      </c>
      <c r="Y4645">
        <v>-0.51176290000000002</v>
      </c>
      <c r="Z4645">
        <v>0.11968330000000001</v>
      </c>
      <c r="AA4645">
        <v>0.85074950000000005</v>
      </c>
      <c r="AB4645">
        <v>12</v>
      </c>
      <c r="AC4645">
        <v>0.53199999999998204</v>
      </c>
      <c r="AD4645">
        <v>-0.106414999999999</v>
      </c>
      <c r="AE4645">
        <v>-0.65229999999999599</v>
      </c>
      <c r="AF4645">
        <v>-0.45682262817881802</v>
      </c>
      <c r="AG4645">
        <v>-0.106414999999999</v>
      </c>
      <c r="AH4645">
        <v>0.69116980844331799</v>
      </c>
      <c r="AI4645">
        <v>97.319216851525994</v>
      </c>
      <c r="AJ4645">
        <v>123.46236034289301</v>
      </c>
      <c r="AK4645">
        <v>0.83530040700623098</v>
      </c>
      <c r="AL4645">
        <v>89.493182659987298</v>
      </c>
      <c r="AM4645">
        <v>103.29175505219401</v>
      </c>
      <c r="AN4645">
        <v>1.0000000073274999</v>
      </c>
    </row>
    <row r="4646" spans="1:40" x14ac:dyDescent="0.25">
      <c r="A4646" t="str">
        <f>"20190312150744025"</f>
        <v>20190312150744025</v>
      </c>
      <c r="B4646" t="str">
        <f>"1552374464014499"</f>
        <v>1552374464014499</v>
      </c>
      <c r="C4646" t="s">
        <v>40</v>
      </c>
      <c r="D4646">
        <v>4.3069540000000002</v>
      </c>
      <c r="E4646">
        <v>0.38018790000000002</v>
      </c>
      <c r="F4646" t="s">
        <v>41</v>
      </c>
      <c r="G4646">
        <v>-492.52850000000001</v>
      </c>
      <c r="H4646">
        <v>1.001325</v>
      </c>
      <c r="I4646">
        <v>234.77010000000001</v>
      </c>
      <c r="J4646">
        <v>-493.0804</v>
      </c>
      <c r="K4646">
        <v>1.1117250000000001</v>
      </c>
      <c r="L4646">
        <v>235.43270000000001</v>
      </c>
      <c r="M4646">
        <v>0.1021912</v>
      </c>
      <c r="N4646">
        <v>0</v>
      </c>
      <c r="O4646">
        <v>-0.99467220000000001</v>
      </c>
      <c r="P4646">
        <v>0.32955119999999999</v>
      </c>
      <c r="Q4646">
        <v>-3.5899349999999998E-3</v>
      </c>
      <c r="R4646">
        <v>-0.9441309</v>
      </c>
      <c r="S4646">
        <v>1.8891910000000001</v>
      </c>
      <c r="T4646">
        <v>-0.36988749999999998</v>
      </c>
      <c r="U4646">
        <v>-2.520432</v>
      </c>
      <c r="V4646">
        <v>-0.23135910000000001</v>
      </c>
      <c r="W4646">
        <v>9.0205089999999995E-3</v>
      </c>
      <c r="X4646">
        <v>0.97282659999999999</v>
      </c>
      <c r="Y4646">
        <v>-0.51059079999999901</v>
      </c>
      <c r="Z4646">
        <v>0.11930979999999999</v>
      </c>
      <c r="AA4646">
        <v>0.85150590000000004</v>
      </c>
      <c r="AB4646">
        <v>12</v>
      </c>
      <c r="AC4646">
        <v>0.55189999999998895</v>
      </c>
      <c r="AD4646">
        <v>-0.1104</v>
      </c>
      <c r="AE4646">
        <v>-0.66259999999999697</v>
      </c>
      <c r="AF4646">
        <v>-0.47353083406414198</v>
      </c>
      <c r="AG4646">
        <v>-0.1104</v>
      </c>
      <c r="AH4646">
        <v>0.70399649063692005</v>
      </c>
      <c r="AI4646">
        <v>97.413779160736098</v>
      </c>
      <c r="AJ4646">
        <v>123.92605419549101</v>
      </c>
      <c r="AK4646">
        <v>0.85558790877301605</v>
      </c>
      <c r="AL4646">
        <v>89.483155894917502</v>
      </c>
      <c r="AM4646">
        <v>103.377655264403</v>
      </c>
      <c r="AN4646">
        <v>0.99999999820149399</v>
      </c>
    </row>
    <row r="4647" spans="1:40" x14ac:dyDescent="0.25">
      <c r="A4647" t="str">
        <f>"20190312150744037"</f>
        <v>20190312150744037</v>
      </c>
      <c r="B4647" t="str">
        <f>"1552374464034991"</f>
        <v>1552374464034991</v>
      </c>
      <c r="C4647" t="s">
        <v>40</v>
      </c>
      <c r="D4647">
        <v>4.2865630000000001</v>
      </c>
      <c r="E4647">
        <v>0.38063530000000001</v>
      </c>
      <c r="F4647" t="s">
        <v>41</v>
      </c>
      <c r="G4647">
        <v>-492.50360000000001</v>
      </c>
      <c r="H4647">
        <v>0.99965579999999998</v>
      </c>
      <c r="I4647">
        <v>234.66829999999999</v>
      </c>
      <c r="J4647">
        <v>-493.07100000000003</v>
      </c>
      <c r="K4647">
        <v>1.111729</v>
      </c>
      <c r="L4647">
        <v>235.36160000000001</v>
      </c>
      <c r="M4647">
        <v>0.1039861</v>
      </c>
      <c r="N4647">
        <v>0</v>
      </c>
      <c r="O4647">
        <v>-0.99448619999999999</v>
      </c>
      <c r="P4647">
        <v>0.33174809999999999</v>
      </c>
      <c r="Q4647">
        <v>-3.4126059999999999E-3</v>
      </c>
      <c r="R4647">
        <v>-0.94336180000000003</v>
      </c>
      <c r="S4647">
        <v>1.8975219999999999</v>
      </c>
      <c r="T4647">
        <v>-0.36856030000000001</v>
      </c>
      <c r="U4647">
        <v>-2.5137939999999999</v>
      </c>
      <c r="V4647">
        <v>-0.23186850000000001</v>
      </c>
      <c r="W4647">
        <v>9.1902560000000008E-3</v>
      </c>
      <c r="X4647">
        <v>0.97270369999999995</v>
      </c>
      <c r="Y4647">
        <v>-0.51194819999999996</v>
      </c>
      <c r="Z4647">
        <v>0.1189448</v>
      </c>
      <c r="AA4647">
        <v>0.85074159999999899</v>
      </c>
      <c r="AB4647">
        <v>12</v>
      </c>
      <c r="AC4647">
        <v>0.56739999999996305</v>
      </c>
      <c r="AD4647">
        <v>-0.1120732</v>
      </c>
      <c r="AE4647">
        <v>-0.69330000000002101</v>
      </c>
      <c r="AF4647">
        <v>-0.48463886317008098</v>
      </c>
      <c r="AG4647">
        <v>-0.1120732</v>
      </c>
      <c r="AH4647">
        <v>0.73701400359394598</v>
      </c>
      <c r="AI4647">
        <v>97.240954899093893</v>
      </c>
      <c r="AJ4647">
        <v>123.327750498546</v>
      </c>
      <c r="AK4647">
        <v>0.88917088984435699</v>
      </c>
      <c r="AL4647">
        <v>89.473429692812005</v>
      </c>
      <c r="AM4647">
        <v>103.407680280676</v>
      </c>
      <c r="AN4647">
        <v>0.99999997504564198</v>
      </c>
    </row>
    <row r="4648" spans="1:40" x14ac:dyDescent="0.25">
      <c r="A4648" t="str">
        <f>"20190312150744050"</f>
        <v>20190312150744050</v>
      </c>
      <c r="B4648" t="str">
        <f>"1552374464044751"</f>
        <v>1552374464044751</v>
      </c>
      <c r="C4648" t="s">
        <v>40</v>
      </c>
      <c r="D4648">
        <v>4.2960969999999996</v>
      </c>
      <c r="E4648">
        <v>0.38087650000000001</v>
      </c>
      <c r="F4648" t="s">
        <v>41</v>
      </c>
      <c r="G4648">
        <v>-492.53789999999998</v>
      </c>
      <c r="H4648">
        <v>1.008915</v>
      </c>
      <c r="I4648">
        <v>234.65700000000001</v>
      </c>
      <c r="J4648">
        <v>-493.06229999999999</v>
      </c>
      <c r="K4648">
        <v>1.1117319999999999</v>
      </c>
      <c r="L4648">
        <v>235.29640000000001</v>
      </c>
      <c r="M4648">
        <v>0.10563930000000001</v>
      </c>
      <c r="N4648">
        <v>0</v>
      </c>
      <c r="O4648">
        <v>-0.99431190000000003</v>
      </c>
      <c r="P4648">
        <v>0.33402009999999899</v>
      </c>
      <c r="Q4648">
        <v>-3.4989830000000002E-3</v>
      </c>
      <c r="R4648">
        <v>-0.94255949999999999</v>
      </c>
      <c r="S4648">
        <v>1.899994</v>
      </c>
      <c r="T4648">
        <v>-0.36638530000000002</v>
      </c>
      <c r="U4648">
        <v>-2.5106510000000002</v>
      </c>
      <c r="V4648">
        <v>-0.23259450000000001</v>
      </c>
      <c r="W4648">
        <v>9.0968000000000004E-3</v>
      </c>
      <c r="X4648">
        <v>0.97253129999999999</v>
      </c>
      <c r="Y4648">
        <v>-0.51161369999999995</v>
      </c>
      <c r="Z4648">
        <v>0.11831999999999999</v>
      </c>
      <c r="AA4648">
        <v>0.85102990000000001</v>
      </c>
      <c r="AB4648">
        <v>12</v>
      </c>
      <c r="AC4648">
        <v>0.52440000000001397</v>
      </c>
      <c r="AD4648">
        <v>-0.10281699999999901</v>
      </c>
      <c r="AE4648">
        <v>-0.63939999999999397</v>
      </c>
      <c r="AF4648">
        <v>-0.44700294905249399</v>
      </c>
      <c r="AG4648">
        <v>-0.10281699999999901</v>
      </c>
      <c r="AH4648">
        <v>0.68070093846415303</v>
      </c>
      <c r="AI4648">
        <v>97.195894042408398</v>
      </c>
      <c r="AJ4648">
        <v>123.292120493711</v>
      </c>
      <c r="AK4648">
        <v>0.82081468041002204</v>
      </c>
      <c r="AL4648">
        <v>89.478784585721201</v>
      </c>
      <c r="AM4648">
        <v>103.450435506396</v>
      </c>
      <c r="AN4648">
        <v>1.00000004134008</v>
      </c>
    </row>
    <row r="4649" spans="1:40" x14ac:dyDescent="0.25">
      <c r="A4649" t="str">
        <f>"20190312150744062"</f>
        <v>20190312150744062</v>
      </c>
      <c r="B4649" t="str">
        <f>"1552374464054510"</f>
        <v>1552374464054510</v>
      </c>
      <c r="C4649" t="s">
        <v>40</v>
      </c>
      <c r="D4649">
        <v>4.2805260000000001</v>
      </c>
      <c r="E4649">
        <v>0.38113229999999998</v>
      </c>
      <c r="F4649" t="s">
        <v>41</v>
      </c>
      <c r="G4649">
        <v>-492.50209999999998</v>
      </c>
      <c r="H4649">
        <v>1.004324</v>
      </c>
      <c r="I4649">
        <v>234.559</v>
      </c>
      <c r="J4649">
        <v>-493.05309999999997</v>
      </c>
      <c r="K4649">
        <v>1.1117239999999999</v>
      </c>
      <c r="L4649">
        <v>235.22929999999999</v>
      </c>
      <c r="M4649">
        <v>0.1073543</v>
      </c>
      <c r="N4649">
        <v>0</v>
      </c>
      <c r="O4649">
        <v>-0.99412829999999996</v>
      </c>
      <c r="P4649">
        <v>0.33649240000000002</v>
      </c>
      <c r="Q4649">
        <v>-3.7027509999999998E-3</v>
      </c>
      <c r="R4649">
        <v>-0.94167889999999999</v>
      </c>
      <c r="S4649">
        <v>1.9044190000000001</v>
      </c>
      <c r="T4649">
        <v>-0.36510130000000002</v>
      </c>
      <c r="U4649">
        <v>-2.5066069999999998</v>
      </c>
      <c r="V4649">
        <v>-0.23346900000000001</v>
      </c>
      <c r="W4649">
        <v>8.8846150000000002E-3</v>
      </c>
      <c r="X4649">
        <v>0.97232370000000001</v>
      </c>
      <c r="Y4649">
        <v>-0.51177490000000003</v>
      </c>
      <c r="Z4649">
        <v>0.117965899999999</v>
      </c>
      <c r="AA4649">
        <v>0.85098209999999996</v>
      </c>
      <c r="AB4649">
        <v>12</v>
      </c>
      <c r="AC4649">
        <v>0.55099999999998694</v>
      </c>
      <c r="AD4649">
        <v>-0.107399999999999</v>
      </c>
      <c r="AE4649">
        <v>-0.67029999999996903</v>
      </c>
      <c r="AF4649">
        <v>-0.46866869907953601</v>
      </c>
      <c r="AG4649">
        <v>-0.107399999999999</v>
      </c>
      <c r="AH4649">
        <v>0.71463469361759602</v>
      </c>
      <c r="AI4649">
        <v>97.1629124857145</v>
      </c>
      <c r="AJ4649">
        <v>123.25749415627401</v>
      </c>
      <c r="AK4649">
        <v>0.86132912107905601</v>
      </c>
      <c r="AL4649">
        <v>89.490942382937106</v>
      </c>
      <c r="AM4649">
        <v>103.50193512740501</v>
      </c>
      <c r="AN4649">
        <v>1.00000004396319</v>
      </c>
    </row>
    <row r="4650" spans="1:40" x14ac:dyDescent="0.25">
      <c r="A4650" t="str">
        <f>"20190312150744081"</f>
        <v>20190312150744081</v>
      </c>
      <c r="B4650" t="str">
        <f>"1552374464075008"</f>
        <v>1552374464075008</v>
      </c>
      <c r="C4650" t="s">
        <v>40</v>
      </c>
      <c r="D4650">
        <v>4.2829730000000001</v>
      </c>
      <c r="E4650">
        <v>0.38149909999999998</v>
      </c>
      <c r="F4650" t="s">
        <v>41</v>
      </c>
      <c r="G4650">
        <v>-492.53379999999999</v>
      </c>
      <c r="H4650">
        <v>1.012656</v>
      </c>
      <c r="I4650">
        <v>234.54849999999999</v>
      </c>
      <c r="J4650">
        <v>-493.03980000000001</v>
      </c>
      <c r="K4650">
        <v>1.1117250000000001</v>
      </c>
      <c r="L4650">
        <v>235.1337</v>
      </c>
      <c r="M4650">
        <v>0.10982210000000001</v>
      </c>
      <c r="N4650">
        <v>0</v>
      </c>
      <c r="O4650">
        <v>-0.99385860000000004</v>
      </c>
      <c r="P4650">
        <v>0.3401497</v>
      </c>
      <c r="Q4650">
        <v>-3.9850179999999999E-3</v>
      </c>
      <c r="R4650">
        <v>-0.94036299999999995</v>
      </c>
      <c r="S4650">
        <v>1.9088750000000001</v>
      </c>
      <c r="T4650">
        <v>-0.364116</v>
      </c>
      <c r="U4650">
        <v>-2.5022280000000001</v>
      </c>
      <c r="V4650">
        <v>-0.2348334</v>
      </c>
      <c r="W4650">
        <v>8.5913719999999999E-3</v>
      </c>
      <c r="X4650">
        <v>0.97199769999999996</v>
      </c>
      <c r="Y4650">
        <v>-0.51134099999999905</v>
      </c>
      <c r="Z4650">
        <v>0.11772489999999999</v>
      </c>
      <c r="AA4650">
        <v>0.85127629999999999</v>
      </c>
      <c r="AB4650">
        <v>12</v>
      </c>
      <c r="AC4650">
        <v>0.50600000000002798</v>
      </c>
      <c r="AD4650">
        <v>-9.9069000000000004E-2</v>
      </c>
      <c r="AE4650">
        <v>-0.58520000000001404</v>
      </c>
      <c r="AF4650">
        <v>-0.431587396092177</v>
      </c>
      <c r="AG4650">
        <v>-9.9069000000000004E-2</v>
      </c>
      <c r="AH4650">
        <v>0.62695337161162401</v>
      </c>
      <c r="AI4650">
        <v>97.4158281773082</v>
      </c>
      <c r="AJ4650">
        <v>124.543071115049</v>
      </c>
      <c r="AK4650">
        <v>0.76756294686612503</v>
      </c>
      <c r="AL4650">
        <v>89.507744604649602</v>
      </c>
      <c r="AM4650">
        <v>103.582312903832</v>
      </c>
      <c r="AN4650">
        <v>1.0000000331168399</v>
      </c>
    </row>
    <row r="4651" spans="1:40" x14ac:dyDescent="0.25">
      <c r="A4651" t="str">
        <f>"20190312150744094"</f>
        <v>20190312150744094</v>
      </c>
      <c r="B4651" t="str">
        <f>"1552374464084767"</f>
        <v>1552374464084767</v>
      </c>
      <c r="C4651" t="s">
        <v>40</v>
      </c>
      <c r="D4651">
        <v>4.3150000000000004</v>
      </c>
      <c r="E4651">
        <v>0.38170660000000001</v>
      </c>
      <c r="F4651" t="s">
        <v>41</v>
      </c>
      <c r="G4651">
        <v>-492.51209999999998</v>
      </c>
      <c r="H4651">
        <v>1.011328</v>
      </c>
      <c r="I4651">
        <v>234.446</v>
      </c>
      <c r="J4651">
        <v>-493.03</v>
      </c>
      <c r="K4651">
        <v>1.111728</v>
      </c>
      <c r="L4651">
        <v>235.06440000000001</v>
      </c>
      <c r="M4651">
        <v>0.1116301</v>
      </c>
      <c r="N4651">
        <v>0</v>
      </c>
      <c r="O4651">
        <v>-0.99365740000000002</v>
      </c>
      <c r="P4651">
        <v>0.34242329999999999</v>
      </c>
      <c r="Q4651">
        <v>-3.9068310000000004E-3</v>
      </c>
      <c r="R4651">
        <v>-0.93953810000000004</v>
      </c>
      <c r="S4651">
        <v>1.915527</v>
      </c>
      <c r="T4651">
        <v>-0.36432360000000003</v>
      </c>
      <c r="U4651">
        <v>-2.4958649999999998</v>
      </c>
      <c r="V4651">
        <v>-0.2354163</v>
      </c>
      <c r="W4651">
        <v>8.663848E-3</v>
      </c>
      <c r="X4651">
        <v>0.97185600000000005</v>
      </c>
      <c r="Y4651">
        <v>-0.5122468</v>
      </c>
      <c r="Z4651">
        <v>0.1178703</v>
      </c>
      <c r="AA4651">
        <v>0.85071129999999995</v>
      </c>
      <c r="AB4651">
        <v>12</v>
      </c>
      <c r="AC4651">
        <v>0.51789999999999703</v>
      </c>
      <c r="AD4651">
        <v>-0.1004</v>
      </c>
      <c r="AE4651">
        <v>-0.61840000000000805</v>
      </c>
      <c r="AF4651">
        <v>-0.43882544949194702</v>
      </c>
      <c r="AG4651">
        <v>-0.1004</v>
      </c>
      <c r="AH4651">
        <v>0.66209507466919104</v>
      </c>
      <c r="AI4651">
        <v>97.203874596612707</v>
      </c>
      <c r="AJ4651">
        <v>123.53574593998999</v>
      </c>
      <c r="AK4651">
        <v>0.80063588666947205</v>
      </c>
      <c r="AL4651">
        <v>89.503591860231495</v>
      </c>
      <c r="AM4651">
        <v>103.61668452899799</v>
      </c>
      <c r="AN4651">
        <v>0.99999999065192802</v>
      </c>
    </row>
    <row r="4652" spans="1:40" x14ac:dyDescent="0.25">
      <c r="A4652" t="str">
        <f>"20190312150744107"</f>
        <v>20190312150744107</v>
      </c>
      <c r="B4652" t="str">
        <f>"1552374464104287"</f>
        <v>1552374464104287</v>
      </c>
      <c r="C4652" t="s">
        <v>40</v>
      </c>
      <c r="D4652">
        <v>4.3423420000000004</v>
      </c>
      <c r="E4652">
        <v>0.38215260000000001</v>
      </c>
      <c r="F4652" t="s">
        <v>41</v>
      </c>
      <c r="G4652">
        <v>-492.47809999999998</v>
      </c>
      <c r="H4652">
        <v>1.0069760000000001</v>
      </c>
      <c r="I4652">
        <v>234.34800000000001</v>
      </c>
      <c r="J4652">
        <v>-493.0204</v>
      </c>
      <c r="K4652">
        <v>1.111728</v>
      </c>
      <c r="L4652">
        <v>234.9973</v>
      </c>
      <c r="M4652">
        <v>0.11338810000000001</v>
      </c>
      <c r="N4652">
        <v>0</v>
      </c>
      <c r="O4652">
        <v>-0.99345819999999996</v>
      </c>
      <c r="P4652">
        <v>0.34466200000000002</v>
      </c>
      <c r="Q4652">
        <v>-4.3001419999999999E-3</v>
      </c>
      <c r="R4652">
        <v>-0.93871700000000002</v>
      </c>
      <c r="S4652">
        <v>1.92041</v>
      </c>
      <c r="T4652">
        <v>-0.36428519999999998</v>
      </c>
      <c r="U4652">
        <v>-2.4916079999999998</v>
      </c>
      <c r="V4652">
        <v>-0.236012</v>
      </c>
      <c r="W4652">
        <v>8.2647480000000006E-3</v>
      </c>
      <c r="X4652">
        <v>0.971715</v>
      </c>
      <c r="Y4652">
        <v>-0.51247749999999903</v>
      </c>
      <c r="Z4652">
        <v>0.1179079</v>
      </c>
      <c r="AA4652">
        <v>0.85056719999999897</v>
      </c>
      <c r="AB4652">
        <v>12</v>
      </c>
      <c r="AC4652">
        <v>0.542300000000011</v>
      </c>
      <c r="AD4652">
        <v>-0.104751999999999</v>
      </c>
      <c r="AE4652">
        <v>-0.64930000000000998</v>
      </c>
      <c r="AF4652">
        <v>-0.45814783595216901</v>
      </c>
      <c r="AG4652">
        <v>-0.104751999999999</v>
      </c>
      <c r="AH4652">
        <v>0.69593747926984495</v>
      </c>
      <c r="AI4652">
        <v>97.165741398131601</v>
      </c>
      <c r="AJ4652">
        <v>123.357610334166</v>
      </c>
      <c r="AK4652">
        <v>0.83976270228209204</v>
      </c>
      <c r="AL4652">
        <v>89.526459432514002</v>
      </c>
      <c r="AM4652">
        <v>103.65175941474401</v>
      </c>
      <c r="AN4652">
        <v>1.00000000571425</v>
      </c>
    </row>
    <row r="4653" spans="1:40" x14ac:dyDescent="0.25">
      <c r="A4653" t="str">
        <f>"20190312150744125"</f>
        <v>20190312150744125</v>
      </c>
      <c r="B4653" t="str">
        <f>"1552374464115023"</f>
        <v>1552374464115023</v>
      </c>
      <c r="C4653" t="s">
        <v>40</v>
      </c>
      <c r="D4653">
        <v>4.3591899999999999</v>
      </c>
      <c r="E4653">
        <v>0.38236930000000002</v>
      </c>
      <c r="F4653" t="s">
        <v>41</v>
      </c>
      <c r="G4653">
        <v>-492.44310000000002</v>
      </c>
      <c r="H4653">
        <v>1.001636</v>
      </c>
      <c r="I4653">
        <v>234.25059999999999</v>
      </c>
      <c r="J4653">
        <v>-493.00659999999999</v>
      </c>
      <c r="K4653">
        <v>1.111723</v>
      </c>
      <c r="L4653">
        <v>234.9024</v>
      </c>
      <c r="M4653">
        <v>0.11589869999999999</v>
      </c>
      <c r="N4653">
        <v>0</v>
      </c>
      <c r="O4653">
        <v>-0.99316850000000001</v>
      </c>
      <c r="P4653">
        <v>0.34844399999999998</v>
      </c>
      <c r="Q4653">
        <v>-4.8068360000000001E-3</v>
      </c>
      <c r="R4653">
        <v>-0.93731739999999997</v>
      </c>
      <c r="S4653">
        <v>1.923065</v>
      </c>
      <c r="T4653">
        <v>-0.3668148</v>
      </c>
      <c r="U4653">
        <v>-2.488083</v>
      </c>
      <c r="V4653">
        <v>-0.23747280000000001</v>
      </c>
      <c r="W4653">
        <v>7.74692099999999E-3</v>
      </c>
      <c r="X4653">
        <v>0.97136330000000004</v>
      </c>
      <c r="Y4653">
        <v>-0.5113991</v>
      </c>
      <c r="Z4653">
        <v>0.11879770000000001</v>
      </c>
      <c r="AA4653">
        <v>0.85109230000000002</v>
      </c>
      <c r="AB4653">
        <v>12</v>
      </c>
      <c r="AC4653">
        <v>0.56349999999997602</v>
      </c>
      <c r="AD4653">
        <v>-0.110087</v>
      </c>
      <c r="AE4653">
        <v>-0.65180000000000804</v>
      </c>
      <c r="AF4653">
        <v>-0.47637543397235599</v>
      </c>
      <c r="AG4653">
        <v>-0.110087</v>
      </c>
      <c r="AH4653">
        <v>0.70127349094203395</v>
      </c>
      <c r="AI4653">
        <v>97.398709817383804</v>
      </c>
      <c r="AJ4653">
        <v>124.188287363494</v>
      </c>
      <c r="AK4653">
        <v>0.85489017467706196</v>
      </c>
      <c r="AL4653">
        <v>89.556129683962695</v>
      </c>
      <c r="AM4653">
        <v>103.737851116312</v>
      </c>
      <c r="AN4653">
        <v>1.00000000305585</v>
      </c>
    </row>
    <row r="4654" spans="1:40" x14ac:dyDescent="0.25">
      <c r="A4654" t="str">
        <f>"20190312150744138"</f>
        <v>20190312150744138</v>
      </c>
      <c r="B4654" t="str">
        <f>"1552374464134543"</f>
        <v>1552374464134543</v>
      </c>
      <c r="C4654" t="s">
        <v>40</v>
      </c>
      <c r="D4654">
        <v>4.3253300000000001</v>
      </c>
      <c r="E4654">
        <v>0.38279259999999998</v>
      </c>
      <c r="F4654" t="s">
        <v>41</v>
      </c>
      <c r="G4654">
        <v>-492.4203</v>
      </c>
      <c r="H4654">
        <v>1.0000039999999999</v>
      </c>
      <c r="I4654">
        <v>234.14930000000001</v>
      </c>
      <c r="J4654">
        <v>-492.99590000000001</v>
      </c>
      <c r="K4654">
        <v>1.1117220000000001</v>
      </c>
      <c r="L4654">
        <v>234.8313</v>
      </c>
      <c r="M4654">
        <v>0.1177988</v>
      </c>
      <c r="N4654">
        <v>0</v>
      </c>
      <c r="O4654">
        <v>-0.99294499999999997</v>
      </c>
      <c r="P4654">
        <v>0.35068860000000002</v>
      </c>
      <c r="Q4654">
        <v>-5.0568799999999997E-3</v>
      </c>
      <c r="R4654">
        <v>-0.9364787</v>
      </c>
      <c r="S4654">
        <v>1.931702</v>
      </c>
      <c r="T4654">
        <v>-0.36793740000000003</v>
      </c>
      <c r="U4654">
        <v>-2.4806210000000002</v>
      </c>
      <c r="V4654">
        <v>-0.23794109999999999</v>
      </c>
      <c r="W4654">
        <v>7.4932519999999997E-3</v>
      </c>
      <c r="X4654">
        <v>0.97125070000000002</v>
      </c>
      <c r="Y4654">
        <v>-0.51281290000000002</v>
      </c>
      <c r="Z4654">
        <v>0.1192264</v>
      </c>
      <c r="AA4654">
        <v>0.85018119999999997</v>
      </c>
      <c r="AB4654">
        <v>12</v>
      </c>
      <c r="AC4654">
        <v>0.57560000000000799</v>
      </c>
      <c r="AD4654">
        <v>-0.111717999999999</v>
      </c>
      <c r="AE4654">
        <v>-0.68199999999998795</v>
      </c>
      <c r="AF4654">
        <v>-0.48366600049626801</v>
      </c>
      <c r="AG4654">
        <v>-0.111717999999999</v>
      </c>
      <c r="AH4654">
        <v>0.73356627064711</v>
      </c>
      <c r="AI4654">
        <v>97.246001386385103</v>
      </c>
      <c r="AJ4654">
        <v>123.39826700468799</v>
      </c>
      <c r="AK4654">
        <v>0.88573877920703303</v>
      </c>
      <c r="AL4654">
        <v>89.570664275913899</v>
      </c>
      <c r="AM4654">
        <v>103.765448021227</v>
      </c>
      <c r="AN4654">
        <v>1.0000000190726099</v>
      </c>
    </row>
    <row r="4655" spans="1:40" x14ac:dyDescent="0.25">
      <c r="A4655" t="str">
        <f>"20190312150744160"</f>
        <v>20190312150744160</v>
      </c>
      <c r="B4655" t="str">
        <f>"1552374464154063"</f>
        <v>1552374464154063</v>
      </c>
      <c r="C4655" t="s">
        <v>40</v>
      </c>
      <c r="D4655">
        <v>4.3105479999999998</v>
      </c>
      <c r="E4655">
        <v>0.3831908</v>
      </c>
      <c r="F4655" t="s">
        <v>41</v>
      </c>
      <c r="G4655">
        <v>-492.45440000000002</v>
      </c>
      <c r="H4655">
        <v>1.0086310000000001</v>
      </c>
      <c r="I4655">
        <v>234.13749999999999</v>
      </c>
      <c r="J4655">
        <v>-492.97879999999998</v>
      </c>
      <c r="K4655">
        <v>1.111721</v>
      </c>
      <c r="L4655">
        <v>234.71770000000001</v>
      </c>
      <c r="M4655">
        <v>0.12084640000000001</v>
      </c>
      <c r="N4655">
        <v>0</v>
      </c>
      <c r="O4655">
        <v>-0.99257870000000004</v>
      </c>
      <c r="P4655">
        <v>0.35506110000000002</v>
      </c>
      <c r="Q4655">
        <v>-5.3276769999999899E-3</v>
      </c>
      <c r="R4655">
        <v>-0.93482799999999999</v>
      </c>
      <c r="S4655">
        <v>1.9344790000000001</v>
      </c>
      <c r="T4655">
        <v>-0.36805959999999899</v>
      </c>
      <c r="U4655">
        <v>-2.477112</v>
      </c>
      <c r="V4655">
        <v>-0.2394973</v>
      </c>
      <c r="W4655">
        <v>7.2114479999999996E-3</v>
      </c>
      <c r="X4655">
        <v>0.97087029999999996</v>
      </c>
      <c r="Y4655">
        <v>-0.51135120000000001</v>
      </c>
      <c r="Z4655">
        <v>0.1193482</v>
      </c>
      <c r="AA4655">
        <v>0.85104409999999897</v>
      </c>
      <c r="AB4655">
        <v>12</v>
      </c>
      <c r="AC4655">
        <v>0.52439999999995701</v>
      </c>
      <c r="AD4655">
        <v>-0.103089999999999</v>
      </c>
      <c r="AE4655">
        <v>-0.58020000000001903</v>
      </c>
      <c r="AF4655">
        <v>-0.44274154476706601</v>
      </c>
      <c r="AG4655">
        <v>-0.103089999999999</v>
      </c>
      <c r="AH4655">
        <v>0.62840564516441899</v>
      </c>
      <c r="AI4655">
        <v>97.638245533033299</v>
      </c>
      <c r="AJ4655">
        <v>125.16650938804899</v>
      </c>
      <c r="AK4655">
        <v>0.77559092209568703</v>
      </c>
      <c r="AL4655">
        <v>89.586810904943206</v>
      </c>
      <c r="AM4655">
        <v>103.85723931734699</v>
      </c>
      <c r="AN4655">
        <v>1.00000005055581</v>
      </c>
    </row>
    <row r="4656" spans="1:40" x14ac:dyDescent="0.25">
      <c r="A4656" t="str">
        <f>"20190312150744181"</f>
        <v>20190312150744181</v>
      </c>
      <c r="B4656" t="str">
        <f>"1552374464174560"</f>
        <v>1552374464174560</v>
      </c>
      <c r="C4656" t="s">
        <v>40</v>
      </c>
      <c r="D4656">
        <v>4.3158099999999999</v>
      </c>
      <c r="E4656">
        <v>0.38361430000000002</v>
      </c>
      <c r="F4656" t="s">
        <v>41</v>
      </c>
      <c r="G4656">
        <v>-492.44009999999997</v>
      </c>
      <c r="H4656">
        <v>1.0094110000000001</v>
      </c>
      <c r="I4656">
        <v>234.0334</v>
      </c>
      <c r="J4656">
        <v>-492.96199999999999</v>
      </c>
      <c r="K4656">
        <v>1.1117170000000001</v>
      </c>
      <c r="L4656">
        <v>234.60910000000001</v>
      </c>
      <c r="M4656">
        <v>0.1237844</v>
      </c>
      <c r="N4656">
        <v>0</v>
      </c>
      <c r="O4656">
        <v>-0.99221649999999995</v>
      </c>
      <c r="P4656">
        <v>0.35889260000000001</v>
      </c>
      <c r="Q4656">
        <v>-5.869071E-3</v>
      </c>
      <c r="R4656">
        <v>-0.93336030000000003</v>
      </c>
      <c r="S4656">
        <v>1.9435119999999999</v>
      </c>
      <c r="T4656">
        <v>-0.36911579999999999</v>
      </c>
      <c r="U4656">
        <v>-2.468842</v>
      </c>
      <c r="V4656">
        <v>-0.24060409999999999</v>
      </c>
      <c r="W4656">
        <v>6.6630989999999996E-3</v>
      </c>
      <c r="X4656">
        <v>0.97060049999999998</v>
      </c>
      <c r="Y4656">
        <v>-0.51208959999999903</v>
      </c>
      <c r="Z4656">
        <v>0.1197809</v>
      </c>
      <c r="AA4656">
        <v>0.85053909999999999</v>
      </c>
      <c r="AB4656">
        <v>12</v>
      </c>
      <c r="AC4656">
        <v>0.52190000000001602</v>
      </c>
      <c r="AD4656">
        <v>-0.10230599999999999</v>
      </c>
      <c r="AE4656">
        <v>-0.57570000000001098</v>
      </c>
      <c r="AF4656">
        <v>-0.43900637711108798</v>
      </c>
      <c r="AG4656">
        <v>-0.10230599999999999</v>
      </c>
      <c r="AH4656">
        <v>0.62504594766243804</v>
      </c>
      <c r="AI4656">
        <v>97.628866447138805</v>
      </c>
      <c r="AJ4656">
        <v>125.08261505900801</v>
      </c>
      <c r="AK4656">
        <v>0.77063321591366496</v>
      </c>
      <c r="AL4656">
        <v>89.618229735419007</v>
      </c>
      <c r="AM4656">
        <v>103.922512427545</v>
      </c>
      <c r="AN4656">
        <v>1.0000000302126699</v>
      </c>
    </row>
    <row r="4657" spans="1:40" x14ac:dyDescent="0.25">
      <c r="A4657" t="str">
        <f>"20190312150744194"</f>
        <v>20190312150744194</v>
      </c>
      <c r="B4657" t="str">
        <f>"1552374464184319"</f>
        <v>1552374464184319</v>
      </c>
      <c r="C4657" t="s">
        <v>40</v>
      </c>
      <c r="D4657">
        <v>4.3292679999999999</v>
      </c>
      <c r="E4657">
        <v>0.38380950000000003</v>
      </c>
      <c r="F4657" t="s">
        <v>41</v>
      </c>
      <c r="G4657">
        <v>-492.42450000000002</v>
      </c>
      <c r="H4657">
        <v>1.009579</v>
      </c>
      <c r="I4657">
        <v>233.93</v>
      </c>
      <c r="J4657">
        <v>-492.9513</v>
      </c>
      <c r="K4657">
        <v>1.1117060000000001</v>
      </c>
      <c r="L4657">
        <v>234.541</v>
      </c>
      <c r="M4657">
        <v>0.12563669999999999</v>
      </c>
      <c r="N4657">
        <v>0</v>
      </c>
      <c r="O4657">
        <v>-0.99198379999999997</v>
      </c>
      <c r="P4657">
        <v>0.36125089999999999</v>
      </c>
      <c r="Q4657">
        <v>-6.0369400000000002E-3</v>
      </c>
      <c r="R4657">
        <v>-0.93244910000000003</v>
      </c>
      <c r="S4657">
        <v>1.9500120000000001</v>
      </c>
      <c r="T4657">
        <v>-0.37028739999999999</v>
      </c>
      <c r="U4657">
        <v>-2.4620669999999998</v>
      </c>
      <c r="V4657">
        <v>-0.24124490000000001</v>
      </c>
      <c r="W4657">
        <v>6.4919180000000002E-3</v>
      </c>
      <c r="X4657">
        <v>0.97044260000000004</v>
      </c>
      <c r="Y4657">
        <v>-0.51297399999999904</v>
      </c>
      <c r="Z4657">
        <v>0.1202459</v>
      </c>
      <c r="AA4657">
        <v>0.84994040000000004</v>
      </c>
      <c r="AB4657">
        <v>12</v>
      </c>
      <c r="AC4657">
        <v>0.52679999999997995</v>
      </c>
      <c r="AD4657">
        <v>-0.102126999999999</v>
      </c>
      <c r="AE4657">
        <v>-0.61099999999999</v>
      </c>
      <c r="AF4657">
        <v>-0.43882169495517998</v>
      </c>
      <c r="AG4657">
        <v>-0.102126999999999</v>
      </c>
      <c r="AH4657">
        <v>0.66174454110035796</v>
      </c>
      <c r="AI4657">
        <v>97.329140100775305</v>
      </c>
      <c r="AJ4657">
        <v>123.549494042295</v>
      </c>
      <c r="AK4657">
        <v>0.80056245338415799</v>
      </c>
      <c r="AL4657">
        <v>89.628037901019098</v>
      </c>
      <c r="AM4657">
        <v>103.96032653880199</v>
      </c>
      <c r="AN4657">
        <v>1.00000004333504</v>
      </c>
    </row>
    <row r="4658" spans="1:40" x14ac:dyDescent="0.25">
      <c r="A4658" t="str">
        <f>"20190312150744207"</f>
        <v>20190312150744207</v>
      </c>
      <c r="B4658" t="str">
        <f>"1552374464204597"</f>
        <v>1552374464204597</v>
      </c>
      <c r="C4658" t="s">
        <v>40</v>
      </c>
      <c r="D4658">
        <v>4.3291329999999997</v>
      </c>
      <c r="E4658">
        <v>0.38400699999999999</v>
      </c>
      <c r="F4658" t="s">
        <v>41</v>
      </c>
      <c r="G4658">
        <v>-492.38889999999998</v>
      </c>
      <c r="H4658">
        <v>1.00495</v>
      </c>
      <c r="I4658">
        <v>233.8338</v>
      </c>
      <c r="J4658">
        <v>-492.9409</v>
      </c>
      <c r="K4658">
        <v>1.1117010000000001</v>
      </c>
      <c r="L4658">
        <v>234.4753</v>
      </c>
      <c r="M4658">
        <v>0.12743260000000001</v>
      </c>
      <c r="N4658">
        <v>0</v>
      </c>
      <c r="O4658">
        <v>-0.99175469999999999</v>
      </c>
      <c r="P4658">
        <v>0.36324849999999997</v>
      </c>
      <c r="Q4658">
        <v>-6.5602100000000003E-3</v>
      </c>
      <c r="R4658">
        <v>-0.93166959999999999</v>
      </c>
      <c r="S4658">
        <v>1.95462</v>
      </c>
      <c r="T4658">
        <v>-0.37099290000000001</v>
      </c>
      <c r="U4658">
        <v>-2.4576720000000001</v>
      </c>
      <c r="V4658">
        <v>-0.2415668</v>
      </c>
      <c r="W4658">
        <v>5.9664540000000004E-3</v>
      </c>
      <c r="X4658">
        <v>0.9703659</v>
      </c>
      <c r="Y4658">
        <v>-0.51311960000000001</v>
      </c>
      <c r="Z4658">
        <v>0.120527</v>
      </c>
      <c r="AA4658">
        <v>0.84981269999999998</v>
      </c>
      <c r="AB4658">
        <v>12</v>
      </c>
      <c r="AC4658">
        <v>0.55200000000002003</v>
      </c>
      <c r="AD4658">
        <v>-0.106751</v>
      </c>
      <c r="AE4658">
        <v>-0.64150000000000695</v>
      </c>
      <c r="AF4658">
        <v>-0.45844900822099999</v>
      </c>
      <c r="AG4658">
        <v>-0.106751</v>
      </c>
      <c r="AH4658">
        <v>0.69555146485359098</v>
      </c>
      <c r="AI4658">
        <v>97.302382977736897</v>
      </c>
      <c r="AJ4658">
        <v>123.389510566265</v>
      </c>
      <c r="AK4658">
        <v>0.83985898185338004</v>
      </c>
      <c r="AL4658">
        <v>89.658145355498803</v>
      </c>
      <c r="AM4658">
        <v>103.97928581509601</v>
      </c>
      <c r="AN4658">
        <v>1.00000004865919</v>
      </c>
    </row>
    <row r="4659" spans="1:40" x14ac:dyDescent="0.25">
      <c r="A4659" t="str">
        <f>"20190312150744227"</f>
        <v>20190312150744227</v>
      </c>
      <c r="B4659" t="str">
        <f>"1552374464214361"</f>
        <v>1552374464214361</v>
      </c>
      <c r="C4659" t="s">
        <v>40</v>
      </c>
      <c r="D4659">
        <v>4.3519500000000004</v>
      </c>
      <c r="E4659">
        <v>0.38418619999999998</v>
      </c>
      <c r="F4659" t="s">
        <v>41</v>
      </c>
      <c r="G4659">
        <v>-492.3528</v>
      </c>
      <c r="H4659">
        <v>0.9998108</v>
      </c>
      <c r="I4659">
        <v>233.73820000000001</v>
      </c>
      <c r="J4659">
        <v>-492.92469999999997</v>
      </c>
      <c r="K4659">
        <v>1.111694</v>
      </c>
      <c r="L4659">
        <v>234.37530000000001</v>
      </c>
      <c r="M4659">
        <v>0.13017609999999999</v>
      </c>
      <c r="N4659">
        <v>0</v>
      </c>
      <c r="O4659">
        <v>-0.99139829999999995</v>
      </c>
      <c r="P4659">
        <v>0.36690909999999999</v>
      </c>
      <c r="Q4659">
        <v>-7.0495230000000002E-3</v>
      </c>
      <c r="R4659">
        <v>-0.93023029999999995</v>
      </c>
      <c r="S4659">
        <v>1.958588</v>
      </c>
      <c r="T4659">
        <v>-0.37243999999999999</v>
      </c>
      <c r="U4659">
        <v>-2.4537810000000002</v>
      </c>
      <c r="V4659">
        <v>-0.24269669999999999</v>
      </c>
      <c r="W4659">
        <v>5.4710280000000002E-3</v>
      </c>
      <c r="X4659">
        <v>0.97008680000000003</v>
      </c>
      <c r="Y4659">
        <v>-0.51220790000000005</v>
      </c>
      <c r="Z4659">
        <v>0.1210517</v>
      </c>
      <c r="AA4659">
        <v>0.85028799999999904</v>
      </c>
      <c r="AB4659">
        <v>12</v>
      </c>
      <c r="AC4659">
        <v>0.57189999999997099</v>
      </c>
      <c r="AD4659">
        <v>-0.111883199999999</v>
      </c>
      <c r="AE4659">
        <v>-0.637100000000003</v>
      </c>
      <c r="AF4659">
        <v>-0.47596130062414699</v>
      </c>
      <c r="AG4659">
        <v>-0.111883199999999</v>
      </c>
      <c r="AH4659">
        <v>0.69427531520820696</v>
      </c>
      <c r="AI4659">
        <v>97.571150130412406</v>
      </c>
      <c r="AJ4659">
        <v>124.43263457347101</v>
      </c>
      <c r="AK4659">
        <v>0.84916148254706203</v>
      </c>
      <c r="AL4659">
        <v>89.6865316253066</v>
      </c>
      <c r="AM4659">
        <v>104.045971000847</v>
      </c>
      <c r="AN4659">
        <v>1.00000000993625</v>
      </c>
    </row>
    <row r="4660" spans="1:40" x14ac:dyDescent="0.25">
      <c r="A4660" t="str">
        <f>"20190312150744241"</f>
        <v>20190312150744241</v>
      </c>
      <c r="B4660" t="str">
        <f>"1552374464234853"</f>
        <v>1552374464234853</v>
      </c>
      <c r="C4660" t="s">
        <v>40</v>
      </c>
      <c r="D4660">
        <v>4.2994070000000004</v>
      </c>
      <c r="E4660">
        <v>0.38459280000000001</v>
      </c>
      <c r="F4660" t="s">
        <v>41</v>
      </c>
      <c r="G4660">
        <v>-492.33159999999998</v>
      </c>
      <c r="H4660">
        <v>0.9989403</v>
      </c>
      <c r="I4660">
        <v>233.63740000000001</v>
      </c>
      <c r="J4660">
        <v>-492.91109999999998</v>
      </c>
      <c r="K4660">
        <v>1.111688</v>
      </c>
      <c r="L4660">
        <v>234.29239999999999</v>
      </c>
      <c r="M4660">
        <v>0.13245789999999999</v>
      </c>
      <c r="N4660">
        <v>0</v>
      </c>
      <c r="O4660">
        <v>-0.99109610000000004</v>
      </c>
      <c r="P4660">
        <v>0.36956369999999999</v>
      </c>
      <c r="Q4660">
        <v>-7.3318919999999996E-3</v>
      </c>
      <c r="R4660">
        <v>-0.92917640000000001</v>
      </c>
      <c r="S4660">
        <v>1.9667049999999999</v>
      </c>
      <c r="T4660">
        <v>-0.37384319999999999</v>
      </c>
      <c r="U4660">
        <v>-2.4464419999999998</v>
      </c>
      <c r="V4660">
        <v>-0.2432327</v>
      </c>
      <c r="W4660">
        <v>5.1863600000000001E-3</v>
      </c>
      <c r="X4660">
        <v>0.96995410000000004</v>
      </c>
      <c r="Y4660">
        <v>-0.51315559999999905</v>
      </c>
      <c r="Z4660">
        <v>0.12157519999999999</v>
      </c>
      <c r="AA4660">
        <v>0.849641599999999</v>
      </c>
      <c r="AB4660">
        <v>12</v>
      </c>
      <c r="AC4660">
        <v>0.57949999999999502</v>
      </c>
      <c r="AD4660">
        <v>-0.11274769999999899</v>
      </c>
      <c r="AE4660">
        <v>-0.65499999999997205</v>
      </c>
      <c r="AF4660">
        <v>-0.479652958660091</v>
      </c>
      <c r="AG4660">
        <v>-0.11274769999999899</v>
      </c>
      <c r="AH4660">
        <v>0.71412483481107603</v>
      </c>
      <c r="AI4660">
        <v>97.466790819019707</v>
      </c>
      <c r="AJ4660">
        <v>123.887892512626</v>
      </c>
      <c r="AK4660">
        <v>0.86761355700600695</v>
      </c>
      <c r="AL4660">
        <v>89.702842128896094</v>
      </c>
      <c r="AM4660">
        <v>104.077609047891</v>
      </c>
      <c r="AN4660">
        <v>1.00000000039307</v>
      </c>
    </row>
    <row r="4661" spans="1:40" x14ac:dyDescent="0.25">
      <c r="A4661" t="str">
        <f>"20190312150744259"</f>
        <v>20190312150744259</v>
      </c>
      <c r="B4661" t="str">
        <f>"1552374464254373"</f>
        <v>1552374464254373</v>
      </c>
      <c r="C4661" t="s">
        <v>40</v>
      </c>
      <c r="D4661">
        <v>4.3163479999999996</v>
      </c>
      <c r="E4661">
        <v>0.38477670000000003</v>
      </c>
      <c r="F4661" t="s">
        <v>41</v>
      </c>
      <c r="G4661">
        <v>-492.37099999999998</v>
      </c>
      <c r="H4661">
        <v>1.0090170000000001</v>
      </c>
      <c r="I4661">
        <v>233.6232</v>
      </c>
      <c r="J4661">
        <v>-492.89699999999999</v>
      </c>
      <c r="K4661">
        <v>1.1116760000000001</v>
      </c>
      <c r="L4661">
        <v>234.20830000000001</v>
      </c>
      <c r="M4661">
        <v>0.1347835</v>
      </c>
      <c r="N4661">
        <v>0</v>
      </c>
      <c r="O4661">
        <v>-0.99078259999999996</v>
      </c>
      <c r="P4661">
        <v>0.37290430000000002</v>
      </c>
      <c r="Q4661">
        <v>-7.6701369999999996E-3</v>
      </c>
      <c r="R4661">
        <v>-0.92783819999999995</v>
      </c>
      <c r="S4661">
        <v>1.9706729999999999</v>
      </c>
      <c r="T4661">
        <v>-0.37461220000000001</v>
      </c>
      <c r="U4661">
        <v>-2.4418950000000001</v>
      </c>
      <c r="V4661">
        <v>-0.24444569999999999</v>
      </c>
      <c r="W4661">
        <v>4.8420879999999996E-3</v>
      </c>
      <c r="X4661">
        <v>0.96965089999999998</v>
      </c>
      <c r="Y4661">
        <v>-0.51273139999999995</v>
      </c>
      <c r="Z4661">
        <v>0.12189759999999999</v>
      </c>
      <c r="AA4661">
        <v>0.84985140000000003</v>
      </c>
      <c r="AB4661">
        <v>12</v>
      </c>
      <c r="AC4661">
        <v>0.52600000000001002</v>
      </c>
      <c r="AD4661">
        <v>-0.102659</v>
      </c>
      <c r="AE4661">
        <v>-0.58510000000001094</v>
      </c>
      <c r="AF4661">
        <v>-0.434925679619798</v>
      </c>
      <c r="AG4661">
        <v>-0.102659</v>
      </c>
      <c r="AH4661">
        <v>0.63977045555711698</v>
      </c>
      <c r="AI4661">
        <v>97.559092802484003</v>
      </c>
      <c r="AJ4661">
        <v>124.20846114380601</v>
      </c>
      <c r="AK4661">
        <v>0.78038801430923099</v>
      </c>
      <c r="AL4661">
        <v>89.722567711390496</v>
      </c>
      <c r="AM4661">
        <v>104.14924792442901</v>
      </c>
      <c r="AN4661">
        <v>1.0000000069677499</v>
      </c>
    </row>
    <row r="4662" spans="1:40" x14ac:dyDescent="0.25">
      <c r="A4662" t="str">
        <f>"20190312150744272"</f>
        <v>20190312150744272</v>
      </c>
      <c r="B4662" t="str">
        <f>"1552374464264133"</f>
        <v>1552374464264133</v>
      </c>
      <c r="C4662" t="s">
        <v>40</v>
      </c>
      <c r="D4662">
        <v>4.2990930000000001</v>
      </c>
      <c r="E4662">
        <v>0.38495089999999998</v>
      </c>
      <c r="F4662" t="s">
        <v>41</v>
      </c>
      <c r="G4662">
        <v>-492.34269999999998</v>
      </c>
      <c r="H4662">
        <v>1.006254</v>
      </c>
      <c r="I4662">
        <v>233.52520000000001</v>
      </c>
      <c r="J4662">
        <v>-492.88510000000002</v>
      </c>
      <c r="K4662">
        <v>1.111669</v>
      </c>
      <c r="L4662">
        <v>234.13749999999999</v>
      </c>
      <c r="M4662">
        <v>0.1367418</v>
      </c>
      <c r="N4662">
        <v>0</v>
      </c>
      <c r="O4662">
        <v>-0.99051429999999996</v>
      </c>
      <c r="P4662">
        <v>0.3753186</v>
      </c>
      <c r="Q4662">
        <v>-8.0020349999999994E-3</v>
      </c>
      <c r="R4662">
        <v>-0.92686159999999995</v>
      </c>
      <c r="S4662">
        <v>1.9777830000000001</v>
      </c>
      <c r="T4662">
        <v>-0.37580049999999998</v>
      </c>
      <c r="U4662">
        <v>-2.435333</v>
      </c>
      <c r="V4662">
        <v>-0.24505270000000001</v>
      </c>
      <c r="W4662">
        <v>4.5078289999999997E-3</v>
      </c>
      <c r="X4662">
        <v>0.96949929999999995</v>
      </c>
      <c r="Y4662">
        <v>-0.51362010000000002</v>
      </c>
      <c r="Z4662">
        <v>0.1223451</v>
      </c>
      <c r="AA4662">
        <v>0.84925030000000001</v>
      </c>
      <c r="AB4662">
        <v>12</v>
      </c>
      <c r="AC4662">
        <v>0.54240000000004296</v>
      </c>
      <c r="AD4662">
        <v>-0.10541499999999999</v>
      </c>
      <c r="AE4662">
        <v>-0.61229999999997597</v>
      </c>
      <c r="AF4662">
        <v>-0.44615981710980801</v>
      </c>
      <c r="AG4662">
        <v>-0.10541499999999999</v>
      </c>
      <c r="AH4662">
        <v>0.66960246512049304</v>
      </c>
      <c r="AI4662">
        <v>97.463860772124505</v>
      </c>
      <c r="AJ4662">
        <v>123.675739687705</v>
      </c>
      <c r="AK4662">
        <v>0.81150376827461401</v>
      </c>
      <c r="AL4662">
        <v>89.741719553832496</v>
      </c>
      <c r="AM4662">
        <v>104.185095016269</v>
      </c>
      <c r="AN4662">
        <v>1.00000001950003</v>
      </c>
    </row>
    <row r="4663" spans="1:40" x14ac:dyDescent="0.25">
      <c r="A4663" t="str">
        <f>"20190312150744286"</f>
        <v>20190312150744286</v>
      </c>
      <c r="B4663" t="str">
        <f>"1552374464284629"</f>
        <v>1552374464284629</v>
      </c>
      <c r="C4663" t="s">
        <v>40</v>
      </c>
      <c r="D4663">
        <v>4.3286680000000004</v>
      </c>
      <c r="E4663">
        <v>0.38531130000000002</v>
      </c>
      <c r="F4663" t="s">
        <v>41</v>
      </c>
      <c r="G4663">
        <v>-492.30779999999999</v>
      </c>
      <c r="H4663">
        <v>1.00211299999999</v>
      </c>
      <c r="I4663">
        <v>233.4298</v>
      </c>
      <c r="J4663">
        <v>-492.87329999999997</v>
      </c>
      <c r="K4663">
        <v>1.1116629999999901</v>
      </c>
      <c r="L4663">
        <v>234.0686</v>
      </c>
      <c r="M4663">
        <v>0.13865060000000001</v>
      </c>
      <c r="N4663">
        <v>0</v>
      </c>
      <c r="O4663">
        <v>-0.99024900000000005</v>
      </c>
      <c r="P4663">
        <v>0.37757210000000002</v>
      </c>
      <c r="Q4663">
        <v>-8.5130429999999997E-3</v>
      </c>
      <c r="R4663">
        <v>-0.92594129999999997</v>
      </c>
      <c r="S4663">
        <v>1.98288</v>
      </c>
      <c r="T4663">
        <v>-0.37624479999999999</v>
      </c>
      <c r="U4663">
        <v>-2.4305569999999999</v>
      </c>
      <c r="V4663">
        <v>-0.2455418</v>
      </c>
      <c r="W4663">
        <v>3.9952340000000003E-3</v>
      </c>
      <c r="X4663">
        <v>0.96937779999999996</v>
      </c>
      <c r="Y4663">
        <v>-0.51384279999999904</v>
      </c>
      <c r="Z4663">
        <v>0.1225407</v>
      </c>
      <c r="AA4663">
        <v>0.84908739999999905</v>
      </c>
      <c r="AB4663">
        <v>12</v>
      </c>
      <c r="AC4663">
        <v>0.56549999999998501</v>
      </c>
      <c r="AD4663">
        <v>-0.10954999999999999</v>
      </c>
      <c r="AE4663">
        <v>-0.63880000000000303</v>
      </c>
      <c r="AF4663">
        <v>-0.46381140496568701</v>
      </c>
      <c r="AG4663">
        <v>-0.10954999999999999</v>
      </c>
      <c r="AH4663">
        <v>0.699509200509144</v>
      </c>
      <c r="AI4663">
        <v>97.4364648128158</v>
      </c>
      <c r="AJ4663">
        <v>123.546472235956</v>
      </c>
      <c r="AK4663">
        <v>0.84642503712566697</v>
      </c>
      <c r="AL4663">
        <v>89.771089351130698</v>
      </c>
      <c r="AM4663">
        <v>104.213970092412</v>
      </c>
      <c r="AN4663">
        <v>1.00000002828739</v>
      </c>
    </row>
    <row r="4664" spans="1:40" x14ac:dyDescent="0.25">
      <c r="A4664" t="str">
        <f>"20190312150744306"</f>
        <v>20190312150744306</v>
      </c>
      <c r="B4664" t="str">
        <f>"1552374464294393"</f>
        <v>1552374464294393</v>
      </c>
      <c r="C4664" t="s">
        <v>40</v>
      </c>
      <c r="D4664">
        <v>4.2807729999999999</v>
      </c>
      <c r="E4664">
        <v>0.38543470000000002</v>
      </c>
      <c r="F4664" t="s">
        <v>41</v>
      </c>
      <c r="G4664">
        <v>-492.27280000000002</v>
      </c>
      <c r="H4664">
        <v>0.99770400000000004</v>
      </c>
      <c r="I4664">
        <v>233.3348</v>
      </c>
      <c r="J4664">
        <v>-492.85629999999998</v>
      </c>
      <c r="K4664">
        <v>1.111648</v>
      </c>
      <c r="L4664">
        <v>233.97110000000001</v>
      </c>
      <c r="M4664">
        <v>0.14135780000000001</v>
      </c>
      <c r="N4664">
        <v>0</v>
      </c>
      <c r="O4664">
        <v>-0.98986600000000002</v>
      </c>
      <c r="P4664">
        <v>0.38135570000000002</v>
      </c>
      <c r="Q4664">
        <v>-9.0743649999999992E-3</v>
      </c>
      <c r="R4664">
        <v>-0.92438370000000003</v>
      </c>
      <c r="S4664">
        <v>1.986755</v>
      </c>
      <c r="T4664">
        <v>-0.3767992</v>
      </c>
      <c r="U4664">
        <v>-2.4262999999999999</v>
      </c>
      <c r="V4664">
        <v>-0.2468544</v>
      </c>
      <c r="W4664">
        <v>3.4282779999999999E-3</v>
      </c>
      <c r="X4664">
        <v>0.96904650000000003</v>
      </c>
      <c r="Y4664">
        <v>-0.51302639999999999</v>
      </c>
      <c r="Z4664">
        <v>0.1227871</v>
      </c>
      <c r="AA4664">
        <v>0.84954529999999995</v>
      </c>
      <c r="AB4664">
        <v>12</v>
      </c>
      <c r="AC4664">
        <v>0.58349999999995805</v>
      </c>
      <c r="AD4664">
        <v>-0.113943999999999</v>
      </c>
      <c r="AE4664">
        <v>-0.63630000000000497</v>
      </c>
      <c r="AF4664">
        <v>-0.47933599136481497</v>
      </c>
      <c r="AG4664">
        <v>-0.113943999999999</v>
      </c>
      <c r="AH4664">
        <v>0.70020248482526504</v>
      </c>
      <c r="AI4664">
        <v>97.647926769795305</v>
      </c>
      <c r="AJ4664">
        <v>124.394280725675</v>
      </c>
      <c r="AK4664">
        <v>0.856171564296062</v>
      </c>
      <c r="AL4664">
        <v>89.803573751595906</v>
      </c>
      <c r="AM4664">
        <v>104.291535540564</v>
      </c>
      <c r="AN4664">
        <v>0.99999998352582697</v>
      </c>
    </row>
    <row r="4665" spans="1:40" x14ac:dyDescent="0.25">
      <c r="A4665" t="str">
        <f>"20190312150744318"</f>
        <v>20190312150744318</v>
      </c>
      <c r="B4665" t="str">
        <f>"1552374464314885"</f>
        <v>1552374464314885</v>
      </c>
      <c r="C4665" t="s">
        <v>40</v>
      </c>
      <c r="D4665">
        <v>4.2999599999999996</v>
      </c>
      <c r="E4665">
        <v>0.3857604</v>
      </c>
      <c r="F4665" t="s">
        <v>41</v>
      </c>
      <c r="G4665">
        <v>-492.24950000000001</v>
      </c>
      <c r="H4665">
        <v>0.99667700000000004</v>
      </c>
      <c r="I4665">
        <v>233.23570000000001</v>
      </c>
      <c r="J4665">
        <v>-492.84410000000003</v>
      </c>
      <c r="K4665">
        <v>1.111639</v>
      </c>
      <c r="L4665">
        <v>233.90119999999999</v>
      </c>
      <c r="M4665">
        <v>0.14329939999999999</v>
      </c>
      <c r="N4665">
        <v>0</v>
      </c>
      <c r="O4665">
        <v>-0.98958679999999999</v>
      </c>
      <c r="P4665">
        <v>0.3838144</v>
      </c>
      <c r="Q4665">
        <v>-9.1738489999999995E-3</v>
      </c>
      <c r="R4665">
        <v>-0.92336470000000004</v>
      </c>
      <c r="S4665">
        <v>1.995422</v>
      </c>
      <c r="T4665">
        <v>-0.37815149999999997</v>
      </c>
      <c r="U4665">
        <v>-2.4185180000000002</v>
      </c>
      <c r="V4665">
        <v>-0.2475318</v>
      </c>
      <c r="W4665">
        <v>3.3262349999999999E-3</v>
      </c>
      <c r="X4665">
        <v>0.96887400000000001</v>
      </c>
      <c r="Y4665">
        <v>-0.51446059999999905</v>
      </c>
      <c r="Z4665">
        <v>0.1232883</v>
      </c>
      <c r="AA4665">
        <v>0.8486049</v>
      </c>
      <c r="AB4665">
        <v>12</v>
      </c>
      <c r="AC4665">
        <v>0.59460000000001401</v>
      </c>
      <c r="AD4665">
        <v>-0.11496199999999999</v>
      </c>
      <c r="AE4665">
        <v>-0.66549999999998</v>
      </c>
      <c r="AF4665">
        <v>-0.48503891651066999</v>
      </c>
      <c r="AG4665">
        <v>-0.11496199999999999</v>
      </c>
      <c r="AH4665">
        <v>0.73170199845699402</v>
      </c>
      <c r="AI4665">
        <v>97.460772683461002</v>
      </c>
      <c r="AJ4665">
        <v>123.54005310675301</v>
      </c>
      <c r="AK4665">
        <v>0.88536253959595801</v>
      </c>
      <c r="AL4665">
        <v>89.809420410326794</v>
      </c>
      <c r="AM4665">
        <v>104.331586583435</v>
      </c>
      <c r="AN4665">
        <v>0.99999994186325503</v>
      </c>
    </row>
    <row r="4666" spans="1:40" x14ac:dyDescent="0.25">
      <c r="A4666" t="str">
        <f>"20190312150744331"</f>
        <v>20190312150744331</v>
      </c>
      <c r="B4666" t="str">
        <f>"1552374464324645"</f>
        <v>1552374464324645</v>
      </c>
      <c r="C4666" t="s">
        <v>40</v>
      </c>
      <c r="D4666">
        <v>4.3193970000000004</v>
      </c>
      <c r="E4666">
        <v>0.3858975</v>
      </c>
      <c r="F4666" t="s">
        <v>41</v>
      </c>
      <c r="G4666">
        <v>-492.2826</v>
      </c>
      <c r="H4666">
        <v>1.00546</v>
      </c>
      <c r="I4666">
        <v>233.2234</v>
      </c>
      <c r="J4666">
        <v>-492.83260000000001</v>
      </c>
      <c r="K4666">
        <v>1.111634</v>
      </c>
      <c r="L4666">
        <v>233.83690000000001</v>
      </c>
      <c r="M4666">
        <v>0.14508740000000001</v>
      </c>
      <c r="N4666">
        <v>0</v>
      </c>
      <c r="O4666">
        <v>-0.98932640000000005</v>
      </c>
      <c r="P4666">
        <v>0.38633780000000001</v>
      </c>
      <c r="Q4666">
        <v>-9.2077909999999999E-3</v>
      </c>
      <c r="R4666">
        <v>-0.92231169999999996</v>
      </c>
      <c r="S4666">
        <v>1.99939</v>
      </c>
      <c r="T4666">
        <v>-0.37817810000000002</v>
      </c>
      <c r="U4666">
        <v>-2.4141689999999998</v>
      </c>
      <c r="V4666">
        <v>-0.24842980000000001</v>
      </c>
      <c r="W4666">
        <v>3.2885660000000001E-3</v>
      </c>
      <c r="X4666">
        <v>0.96864430000000001</v>
      </c>
      <c r="Y4666">
        <v>-0.51448830000000001</v>
      </c>
      <c r="Z4666">
        <v>0.1233578</v>
      </c>
      <c r="AA4666">
        <v>0.84857800000000005</v>
      </c>
      <c r="AB4666">
        <v>12</v>
      </c>
      <c r="AC4666">
        <v>0.55000000000001104</v>
      </c>
      <c r="AD4666">
        <v>-0.106174</v>
      </c>
      <c r="AE4666">
        <v>-0.61350000000001603</v>
      </c>
      <c r="AF4666">
        <v>-0.44772549741701001</v>
      </c>
      <c r="AG4666">
        <v>-0.106174</v>
      </c>
      <c r="AH4666">
        <v>0.67559431365809997</v>
      </c>
      <c r="AI4666">
        <v>97.463281571717502</v>
      </c>
      <c r="AJ4666">
        <v>123.532975252089</v>
      </c>
      <c r="AK4666">
        <v>0.81740976013286504</v>
      </c>
      <c r="AL4666">
        <v>89.811578704172405</v>
      </c>
      <c r="AM4666">
        <v>104.384695029895</v>
      </c>
      <c r="AN4666">
        <v>0.99999998005843205</v>
      </c>
    </row>
    <row r="4667" spans="1:40" x14ac:dyDescent="0.25">
      <c r="A4667" t="str">
        <f>"20190312150744350"</f>
        <v>20190312150744350</v>
      </c>
      <c r="B4667" t="str">
        <f>"1552374464344166"</f>
        <v>1552374464344166</v>
      </c>
      <c r="C4667" t="s">
        <v>40</v>
      </c>
      <c r="D4667">
        <v>4.3004720000000001</v>
      </c>
      <c r="E4667">
        <v>0.3862215</v>
      </c>
      <c r="F4667" t="s">
        <v>41</v>
      </c>
      <c r="G4667">
        <v>-492.24419999999998</v>
      </c>
      <c r="H4667">
        <v>1.0006600000000001</v>
      </c>
      <c r="I4667">
        <v>233.1301</v>
      </c>
      <c r="J4667">
        <v>-492.81549999999999</v>
      </c>
      <c r="K4667">
        <v>1.1116239999999999</v>
      </c>
      <c r="L4667">
        <v>233.7424</v>
      </c>
      <c r="M4667">
        <v>0.1477136</v>
      </c>
      <c r="N4667">
        <v>0</v>
      </c>
      <c r="O4667">
        <v>-0.98893759999999997</v>
      </c>
      <c r="P4667">
        <v>0.39033519999999999</v>
      </c>
      <c r="Q4667">
        <v>-9.6630139999999993E-3</v>
      </c>
      <c r="R4667">
        <v>-0.92062180000000005</v>
      </c>
      <c r="S4667">
        <v>2.0050349999999999</v>
      </c>
      <c r="T4667">
        <v>-0.37822060000000002</v>
      </c>
      <c r="U4667">
        <v>-2.4090579999999999</v>
      </c>
      <c r="V4667">
        <v>-0.25005939999999999</v>
      </c>
      <c r="W4667">
        <v>2.8255580000000001E-3</v>
      </c>
      <c r="X4667">
        <v>0.96822640000000004</v>
      </c>
      <c r="Y4667">
        <v>-0.51427349999999905</v>
      </c>
      <c r="Z4667">
        <v>0.1234232</v>
      </c>
      <c r="AA4667">
        <v>0.84869869999999903</v>
      </c>
      <c r="AB4667">
        <v>12</v>
      </c>
      <c r="AC4667">
        <v>0.57130000000000702</v>
      </c>
      <c r="AD4667">
        <v>-0.11096399999999899</v>
      </c>
      <c r="AE4667">
        <v>-0.61230000000000395</v>
      </c>
      <c r="AF4667">
        <v>-0.46638981274549801</v>
      </c>
      <c r="AG4667">
        <v>-0.11096399999999899</v>
      </c>
      <c r="AH4667">
        <v>0.67807315660839496</v>
      </c>
      <c r="AI4667">
        <v>97.678954594283894</v>
      </c>
      <c r="AJ4667">
        <v>124.520829739273</v>
      </c>
      <c r="AK4667">
        <v>0.830431016064341</v>
      </c>
      <c r="AL4667">
        <v>89.8381072403741</v>
      </c>
      <c r="AM4667">
        <v>104.481085906366</v>
      </c>
      <c r="AN4667">
        <v>1.00000002448166</v>
      </c>
    </row>
    <row r="4668" spans="1:40" x14ac:dyDescent="0.25">
      <c r="A4668" t="str">
        <f>"20190312150744372"</f>
        <v>20190312150744372</v>
      </c>
      <c r="B4668" t="str">
        <f>"1552374464364661"</f>
        <v>1552374464364661</v>
      </c>
      <c r="C4668" t="s">
        <v>40</v>
      </c>
      <c r="D4668">
        <v>4.2911229999999998</v>
      </c>
      <c r="E4668">
        <v>0.38651609999999997</v>
      </c>
      <c r="F4668" t="s">
        <v>41</v>
      </c>
      <c r="G4668">
        <v>-492.21980000000002</v>
      </c>
      <c r="H4668">
        <v>0.9993069</v>
      </c>
      <c r="I4668">
        <v>233.0318</v>
      </c>
      <c r="J4668">
        <v>-492.79489999999998</v>
      </c>
      <c r="K4668">
        <v>1.111607</v>
      </c>
      <c r="L4668">
        <v>233.6302</v>
      </c>
      <c r="M4668">
        <v>0.15083369999999999</v>
      </c>
      <c r="N4668">
        <v>0</v>
      </c>
      <c r="O4668">
        <v>-0.98846670000000003</v>
      </c>
      <c r="P4668">
        <v>0.39451920000000001</v>
      </c>
      <c r="Q4668">
        <v>-1.0415489999999999E-2</v>
      </c>
      <c r="R4668">
        <v>-0.91882870000000005</v>
      </c>
      <c r="S4668">
        <v>2.0130620000000001</v>
      </c>
      <c r="T4668">
        <v>-0.37950349999999999</v>
      </c>
      <c r="U4668">
        <v>-2.4011840000000002</v>
      </c>
      <c r="V4668">
        <v>-0.25140770000000001</v>
      </c>
      <c r="W4668">
        <v>2.0683429999999998E-3</v>
      </c>
      <c r="X4668">
        <v>0.96787909999999999</v>
      </c>
      <c r="Y4668">
        <v>-0.514571</v>
      </c>
      <c r="Z4668">
        <v>0.12392259999999999</v>
      </c>
      <c r="AA4668">
        <v>0.84844549999999996</v>
      </c>
      <c r="AB4668">
        <v>12</v>
      </c>
      <c r="AC4668">
        <v>0.57509999999996297</v>
      </c>
      <c r="AD4668">
        <v>-0.1123001</v>
      </c>
      <c r="AE4668">
        <v>-0.59839999999999705</v>
      </c>
      <c r="AF4668">
        <v>-0.46965337029059701</v>
      </c>
      <c r="AG4668">
        <v>-0.1123001</v>
      </c>
      <c r="AH4668">
        <v>0.66610945728039095</v>
      </c>
      <c r="AI4668">
        <v>97.845171582020996</v>
      </c>
      <c r="AJ4668">
        <v>125.18649124577701</v>
      </c>
      <c r="AK4668">
        <v>0.82273167543476999</v>
      </c>
      <c r="AL4668">
        <v>89.881492594684403</v>
      </c>
      <c r="AM4668">
        <v>104.560859633413</v>
      </c>
      <c r="AN4668">
        <v>1.0000000309394299</v>
      </c>
    </row>
    <row r="4669" spans="1:40" x14ac:dyDescent="0.25">
      <c r="A4669" t="str">
        <f>"20190312150744395"</f>
        <v>20190312150744395</v>
      </c>
      <c r="B4669" t="str">
        <f>"1552374464384185"</f>
        <v>1552374464384185</v>
      </c>
      <c r="C4669" t="s">
        <v>40</v>
      </c>
      <c r="D4669">
        <v>4.3331689999999998</v>
      </c>
      <c r="E4669">
        <v>0.38687850000000001</v>
      </c>
      <c r="F4669" t="s">
        <v>41</v>
      </c>
      <c r="G4669">
        <v>-492.20389999999998</v>
      </c>
      <c r="H4669">
        <v>1.0002340000000001</v>
      </c>
      <c r="I4669">
        <v>232.93049999999999</v>
      </c>
      <c r="J4669">
        <v>-492.77260000000001</v>
      </c>
      <c r="K4669">
        <v>1.111591</v>
      </c>
      <c r="L4669">
        <v>233.5104</v>
      </c>
      <c r="M4669">
        <v>0.154160299999999</v>
      </c>
      <c r="N4669">
        <v>0</v>
      </c>
      <c r="O4669">
        <v>-0.98795319999999998</v>
      </c>
      <c r="P4669">
        <v>0.39875359999999999</v>
      </c>
      <c r="Q4669">
        <v>-1.063092E-2</v>
      </c>
      <c r="R4669">
        <v>-0.91699640000000004</v>
      </c>
      <c r="S4669">
        <v>2.021515</v>
      </c>
      <c r="T4669">
        <v>-0.380826</v>
      </c>
      <c r="U4669">
        <v>-2.3927309999999999</v>
      </c>
      <c r="V4669">
        <v>-0.25261400000000001</v>
      </c>
      <c r="W4669">
        <v>1.848999E-3</v>
      </c>
      <c r="X4669">
        <v>0.96756540000000002</v>
      </c>
      <c r="Y4669">
        <v>-0.51487769999999999</v>
      </c>
      <c r="Z4669">
        <v>0.1244426</v>
      </c>
      <c r="AA4669">
        <v>0.84818329999999997</v>
      </c>
      <c r="AB4669">
        <v>12</v>
      </c>
      <c r="AC4669">
        <v>0.56870000000003496</v>
      </c>
      <c r="AD4669">
        <v>-0.111356999999999</v>
      </c>
      <c r="AE4669">
        <v>-0.57990000000000896</v>
      </c>
      <c r="AF4669">
        <v>-0.463777110353363</v>
      </c>
      <c r="AG4669">
        <v>-0.111356999999999</v>
      </c>
      <c r="AH4669">
        <v>0.64845653080952503</v>
      </c>
      <c r="AI4669">
        <v>97.951563220791002</v>
      </c>
      <c r="AJ4669">
        <v>125.572408396976</v>
      </c>
      <c r="AK4669">
        <v>0.80497544179076597</v>
      </c>
      <c r="AL4669">
        <v>89.894060103528602</v>
      </c>
      <c r="AM4669">
        <v>104.632274479581</v>
      </c>
      <c r="AN4669">
        <v>1.0000000275352301</v>
      </c>
    </row>
    <row r="4670" spans="1:40" x14ac:dyDescent="0.25">
      <c r="A4670" t="str">
        <f>"20190312150744409"</f>
        <v>20190312150744409</v>
      </c>
      <c r="B4670" t="str">
        <f>"1552374464404677"</f>
        <v>1552374464404677</v>
      </c>
      <c r="C4670" t="s">
        <v>40</v>
      </c>
      <c r="D4670">
        <v>4.2657850000000002</v>
      </c>
      <c r="E4670">
        <v>0.40159080000000003</v>
      </c>
      <c r="F4670" t="s">
        <v>41</v>
      </c>
      <c r="G4670">
        <v>-492.19170000000003</v>
      </c>
      <c r="H4670">
        <v>1.002594</v>
      </c>
      <c r="I4670">
        <v>232.8279</v>
      </c>
      <c r="J4670">
        <v>-492.7602</v>
      </c>
      <c r="K4670">
        <v>1.111585</v>
      </c>
      <c r="L4670">
        <v>233.44489999999999</v>
      </c>
      <c r="M4670">
        <v>0.15598110000000001</v>
      </c>
      <c r="N4670">
        <v>0</v>
      </c>
      <c r="O4670">
        <v>-0.98766750000000003</v>
      </c>
      <c r="P4670">
        <v>0.4010724</v>
      </c>
      <c r="Q4670">
        <v>-1.0690460000000001E-2</v>
      </c>
      <c r="R4670">
        <v>-0.91598380000000001</v>
      </c>
      <c r="S4670">
        <v>2.0298769999999999</v>
      </c>
      <c r="T4670">
        <v>-0.38076009999999999</v>
      </c>
      <c r="U4670">
        <v>-2.3844449999999999</v>
      </c>
      <c r="V4670">
        <v>-0.253278</v>
      </c>
      <c r="W4670">
        <v>1.7870099999999999E-3</v>
      </c>
      <c r="X4670">
        <v>0.96739189999999997</v>
      </c>
      <c r="Y4670">
        <v>-0.51647579999999904</v>
      </c>
      <c r="Z4670">
        <v>0.12450319999999999</v>
      </c>
      <c r="AA4670">
        <v>0.84720229999999996</v>
      </c>
      <c r="AB4670">
        <v>12</v>
      </c>
      <c r="AC4670">
        <v>0.56849999999997103</v>
      </c>
      <c r="AD4670">
        <v>-0.108991</v>
      </c>
      <c r="AE4670">
        <v>-0.61699999999999</v>
      </c>
      <c r="AF4670">
        <v>-0.45756901154589502</v>
      </c>
      <c r="AG4670">
        <v>-0.108991</v>
      </c>
      <c r="AH4670">
        <v>0.68654347936013704</v>
      </c>
      <c r="AI4670">
        <v>97.525310029028901</v>
      </c>
      <c r="AJ4670">
        <v>123.68274996609701</v>
      </c>
      <c r="AK4670">
        <v>0.83222015564393204</v>
      </c>
      <c r="AL4670">
        <v>89.897611815933601</v>
      </c>
      <c r="AM4670">
        <v>104.671596243571</v>
      </c>
      <c r="AN4670">
        <v>1.00000001343717</v>
      </c>
    </row>
    <row r="4671" spans="1:40" x14ac:dyDescent="0.25">
      <c r="A4671" t="str">
        <f>"20190312150744427"</f>
        <v>20190312150744427</v>
      </c>
      <c r="B4671" t="str">
        <f>"1552374464424197"</f>
        <v>1552374464424197</v>
      </c>
      <c r="C4671" t="s">
        <v>40</v>
      </c>
      <c r="D4671">
        <v>4.2599179999999999</v>
      </c>
      <c r="E4671">
        <v>0.3981963</v>
      </c>
      <c r="F4671" t="s">
        <v>41</v>
      </c>
      <c r="G4671">
        <v>-492.1866</v>
      </c>
      <c r="H4671">
        <v>0.99855629999999995</v>
      </c>
      <c r="I4671">
        <v>232.72280000000001</v>
      </c>
      <c r="J4671">
        <v>-492.74329999999998</v>
      </c>
      <c r="K4671">
        <v>1.11158</v>
      </c>
      <c r="L4671">
        <v>233.35669999999999</v>
      </c>
      <c r="M4671">
        <v>0.15842790000000001</v>
      </c>
      <c r="N4671">
        <v>0</v>
      </c>
      <c r="O4671">
        <v>-0.98727810000000005</v>
      </c>
      <c r="P4671">
        <v>0.40465430000000002</v>
      </c>
      <c r="Q4671">
        <v>-1.031177E-2</v>
      </c>
      <c r="R4671">
        <v>-0.9144118</v>
      </c>
      <c r="S4671">
        <v>1.9281919999999999</v>
      </c>
      <c r="T4671">
        <v>-0.37980589999999997</v>
      </c>
      <c r="U4671">
        <v>-2.426498</v>
      </c>
      <c r="V4671">
        <v>-0.25466729999999999</v>
      </c>
      <c r="W4671">
        <v>2.1594190000000001E-3</v>
      </c>
      <c r="X4671">
        <v>0.96702630000000001</v>
      </c>
      <c r="Y4671">
        <v>-0.48534680000000002</v>
      </c>
      <c r="Z4671">
        <v>0.12512619999999999</v>
      </c>
      <c r="AA4671">
        <v>0.86532189999999998</v>
      </c>
      <c r="AB4671">
        <v>12</v>
      </c>
      <c r="AC4671">
        <v>0.55669999999997799</v>
      </c>
      <c r="AD4671">
        <v>-0.11302369999999901</v>
      </c>
      <c r="AE4671">
        <v>-0.63389999999998203</v>
      </c>
      <c r="AF4671">
        <v>-0.44131065152301602</v>
      </c>
      <c r="AG4671">
        <v>-0.11302369999999901</v>
      </c>
      <c r="AH4671">
        <v>0.70150696210541397</v>
      </c>
      <c r="AI4671">
        <v>97.7657768994534</v>
      </c>
      <c r="AJ4671">
        <v>122.17356624218201</v>
      </c>
      <c r="AK4671">
        <v>0.83644573391925703</v>
      </c>
      <c r="AL4671">
        <v>89.876274306571005</v>
      </c>
      <c r="AM4671">
        <v>104.753907483558</v>
      </c>
      <c r="AN4671">
        <v>0.99999998083569797</v>
      </c>
    </row>
    <row r="4672" spans="1:40" x14ac:dyDescent="0.25">
      <c r="A4672" t="str">
        <f>"20190312150744439"</f>
        <v>20190312150744439</v>
      </c>
      <c r="B4672" t="str">
        <f>"1552374464434897"</f>
        <v>1552374464434897</v>
      </c>
      <c r="C4672" t="s">
        <v>40</v>
      </c>
      <c r="D4672">
        <v>4.2957489999999998</v>
      </c>
      <c r="E4672">
        <v>0.3981963</v>
      </c>
      <c r="F4672" t="s">
        <v>41</v>
      </c>
      <c r="G4672">
        <v>-492.1508</v>
      </c>
      <c r="H4672">
        <v>0.99758829999999998</v>
      </c>
      <c r="I4672">
        <v>232.62970000000001</v>
      </c>
      <c r="J4672">
        <v>-492.73009999999999</v>
      </c>
      <c r="K4672">
        <v>1.1115729999999999</v>
      </c>
      <c r="L4672">
        <v>233.2885</v>
      </c>
      <c r="M4672">
        <v>0.16032089999999999</v>
      </c>
      <c r="N4672">
        <v>0</v>
      </c>
      <c r="O4672">
        <v>-0.98697250000000003</v>
      </c>
      <c r="P4672">
        <v>0.40709859999999998</v>
      </c>
      <c r="Q4672">
        <v>-1.02127E-2</v>
      </c>
      <c r="R4672">
        <v>-0.91332720000000001</v>
      </c>
      <c r="S4672">
        <v>1.9624330000000001</v>
      </c>
      <c r="T4672">
        <v>-0.37758550000000002</v>
      </c>
      <c r="U4672">
        <v>-2.408096</v>
      </c>
      <c r="V4672">
        <v>-0.25539899999999999</v>
      </c>
      <c r="W4672">
        <v>2.2547859999999999E-3</v>
      </c>
      <c r="X4672">
        <v>0.9668331</v>
      </c>
      <c r="Y4672">
        <v>-0.49437730000000002</v>
      </c>
      <c r="Z4672">
        <v>0.1242542</v>
      </c>
      <c r="AA4672">
        <v>0.86032090000000006</v>
      </c>
      <c r="AB4672">
        <v>12</v>
      </c>
      <c r="AC4672">
        <v>0.57929999999998905</v>
      </c>
      <c r="AD4672">
        <v>-0.113984699999999</v>
      </c>
      <c r="AE4672">
        <v>-0.65879999999998495</v>
      </c>
      <c r="AF4672">
        <v>-0.45843695205585999</v>
      </c>
      <c r="AG4672">
        <v>-0.113984699999999</v>
      </c>
      <c r="AH4672">
        <v>0.73082144334414301</v>
      </c>
      <c r="AI4672">
        <v>97.526574084657398</v>
      </c>
      <c r="AJ4672">
        <v>122.099635705376</v>
      </c>
      <c r="AK4672">
        <v>0.870205109670113</v>
      </c>
      <c r="AL4672">
        <v>89.870810167509603</v>
      </c>
      <c r="AM4672">
        <v>104.79726770622401</v>
      </c>
      <c r="AN4672">
        <v>0.99999998825825698</v>
      </c>
    </row>
    <row r="4673" spans="1:40" x14ac:dyDescent="0.25">
      <c r="A4673" t="str">
        <f>"20190312150744462"</f>
        <v>20190312150744462</v>
      </c>
      <c r="B4673" t="str">
        <f>"1552374464454417"</f>
        <v>1552374464454417</v>
      </c>
      <c r="C4673" t="s">
        <v>40</v>
      </c>
      <c r="D4673">
        <v>4.2449909999999997</v>
      </c>
      <c r="E4673">
        <v>0.36022739999999998</v>
      </c>
      <c r="F4673" t="s">
        <v>41</v>
      </c>
      <c r="G4673">
        <v>-492.18060000000003</v>
      </c>
      <c r="H4673">
        <v>1.006216</v>
      </c>
      <c r="I4673">
        <v>232.61799999999999</v>
      </c>
      <c r="J4673">
        <v>-492.709</v>
      </c>
      <c r="K4673">
        <v>1.111567</v>
      </c>
      <c r="L4673">
        <v>233.18109999999999</v>
      </c>
      <c r="M4673">
        <v>0.16329929999999901</v>
      </c>
      <c r="N4673">
        <v>0</v>
      </c>
      <c r="O4673">
        <v>-0.98648409999999997</v>
      </c>
      <c r="P4673">
        <v>0.4113887</v>
      </c>
      <c r="Q4673">
        <v>-1.030065E-2</v>
      </c>
      <c r="R4673">
        <v>-0.91140169999999998</v>
      </c>
      <c r="S4673">
        <v>1.9688110000000001</v>
      </c>
      <c r="T4673">
        <v>-0.37756149999999999</v>
      </c>
      <c r="U4673">
        <v>-2.4028779999999998</v>
      </c>
      <c r="V4673">
        <v>-0.25702609999999998</v>
      </c>
      <c r="W4673">
        <v>2.1584659999999999E-3</v>
      </c>
      <c r="X4673">
        <v>0.96640210000000004</v>
      </c>
      <c r="Y4673">
        <v>-0.49404100000000001</v>
      </c>
      <c r="Z4673">
        <v>0.1242796</v>
      </c>
      <c r="AA4673">
        <v>0.86051029999999995</v>
      </c>
      <c r="AB4673">
        <v>12</v>
      </c>
      <c r="AC4673">
        <v>0.528399999999976</v>
      </c>
      <c r="AD4673">
        <v>-0.105350999999999</v>
      </c>
      <c r="AE4673">
        <v>-0.56309999999999105</v>
      </c>
      <c r="AF4673">
        <v>-0.421498103133784</v>
      </c>
      <c r="AG4673">
        <v>-0.105350999999999</v>
      </c>
      <c r="AH4673">
        <v>0.630106797610965</v>
      </c>
      <c r="AI4673">
        <v>97.911700614103196</v>
      </c>
      <c r="AJ4673">
        <v>123.779799778488</v>
      </c>
      <c r="AK4673">
        <v>0.76537184462320296</v>
      </c>
      <c r="AL4673">
        <v>89.876328917756197</v>
      </c>
      <c r="AM4673">
        <v>104.893709110586</v>
      </c>
      <c r="AN4673">
        <v>1.0000000469705399</v>
      </c>
    </row>
    <row r="4674" spans="1:40" x14ac:dyDescent="0.25">
      <c r="A4674" t="str">
        <f>"20190312150744485"</f>
        <v>20190312150744485</v>
      </c>
      <c r="B4674" t="str">
        <f>"1552374464474913"</f>
        <v>1552374464474913</v>
      </c>
      <c r="C4674" t="s">
        <v>40</v>
      </c>
      <c r="D4674">
        <v>4.228135</v>
      </c>
      <c r="E4674">
        <v>0.348408099999999</v>
      </c>
      <c r="F4674" t="s">
        <v>41</v>
      </c>
      <c r="G4674">
        <v>-492.08150000000001</v>
      </c>
      <c r="H4674">
        <v>0.99826780000000004</v>
      </c>
      <c r="I4674">
        <v>232.55009999999999</v>
      </c>
      <c r="J4674">
        <v>-492.68509999999998</v>
      </c>
      <c r="K4674">
        <v>1.111561</v>
      </c>
      <c r="L4674">
        <v>233.0615</v>
      </c>
      <c r="M4674">
        <v>0.16661389999999901</v>
      </c>
      <c r="N4674">
        <v>0</v>
      </c>
      <c r="O4674">
        <v>-0.98592999999999997</v>
      </c>
      <c r="P4674">
        <v>0.41567280000000001</v>
      </c>
      <c r="Q4674">
        <v>-1.061463E-2</v>
      </c>
      <c r="R4674">
        <v>-0.90945260000000006</v>
      </c>
      <c r="S4674">
        <v>2.2565309999999998</v>
      </c>
      <c r="T4674">
        <v>-0.407304</v>
      </c>
      <c r="U4674">
        <v>-2.2685240000000002</v>
      </c>
      <c r="V4674">
        <v>-0.25832509999999997</v>
      </c>
      <c r="W4674">
        <v>1.837078E-3</v>
      </c>
      <c r="X4674">
        <v>0.96605629999999998</v>
      </c>
      <c r="Y4674">
        <v>-0.57116630000000002</v>
      </c>
      <c r="Z4674">
        <v>0.13116620000000001</v>
      </c>
      <c r="AA4674">
        <v>0.81028659999999997</v>
      </c>
      <c r="AB4674">
        <v>12</v>
      </c>
      <c r="AC4674">
        <v>0.60359999999997105</v>
      </c>
      <c r="AD4674">
        <v>-0.113293199999999</v>
      </c>
      <c r="AE4674">
        <v>-0.51140000000000896</v>
      </c>
      <c r="AF4674">
        <v>-0.49969940975994798</v>
      </c>
      <c r="AG4674">
        <v>-0.113293199999999</v>
      </c>
      <c r="AH4674">
        <v>0.59267306301799105</v>
      </c>
      <c r="AI4674">
        <v>98.314568881753402</v>
      </c>
      <c r="AJ4674">
        <v>130.13518440855199</v>
      </c>
      <c r="AK4674">
        <v>0.78345147195458598</v>
      </c>
      <c r="AL4674">
        <v>89.8947431251231</v>
      </c>
      <c r="AM4674">
        <v>104.97072848607</v>
      </c>
      <c r="AN4674">
        <v>1.00000000345763</v>
      </c>
    </row>
    <row r="4675" spans="1:40" x14ac:dyDescent="0.25">
      <c r="A4675" t="str">
        <f>"20190312150744507"</f>
        <v>20190312150744507</v>
      </c>
      <c r="B4675" t="str">
        <f>"1552374464504193"</f>
        <v>1552374464504193</v>
      </c>
      <c r="C4675" t="s">
        <v>40</v>
      </c>
      <c r="D4675">
        <v>4.2313689999999999</v>
      </c>
      <c r="E4675">
        <v>0.34238489999999999</v>
      </c>
      <c r="F4675" t="s">
        <v>41</v>
      </c>
      <c r="G4675">
        <v>-491.96589999999998</v>
      </c>
      <c r="H4675">
        <v>0.99079340000000005</v>
      </c>
      <c r="I4675">
        <v>232.38329999999999</v>
      </c>
      <c r="J4675">
        <v>-492.6635</v>
      </c>
      <c r="K4675">
        <v>1.111556</v>
      </c>
      <c r="L4675">
        <v>232.95509999999999</v>
      </c>
      <c r="M4675">
        <v>0.16956450000000001</v>
      </c>
      <c r="N4675">
        <v>0</v>
      </c>
      <c r="O4675">
        <v>-0.98542660000000004</v>
      </c>
      <c r="P4675">
        <v>0.41918319999999998</v>
      </c>
      <c r="Q4675">
        <v>-1.063893E-2</v>
      </c>
      <c r="R4675">
        <v>-0.90783959999999997</v>
      </c>
      <c r="S4675">
        <v>2.3532410000000001</v>
      </c>
      <c r="T4675">
        <v>-0.39499709999999899</v>
      </c>
      <c r="U4675">
        <v>-2.2185359999999998</v>
      </c>
      <c r="V4675">
        <v>-0.25916529999999999</v>
      </c>
      <c r="W4675">
        <v>1.8079909999999999E-3</v>
      </c>
      <c r="X4675">
        <v>0.96583129999999995</v>
      </c>
      <c r="Y4675">
        <v>-0.594958599999999</v>
      </c>
      <c r="Z4675">
        <v>0.12631239999999999</v>
      </c>
      <c r="AA4675">
        <v>0.79376910000000001</v>
      </c>
      <c r="AB4675">
        <v>12</v>
      </c>
      <c r="AC4675">
        <v>0.69760000000002198</v>
      </c>
      <c r="AD4675">
        <v>-0.120762599999999</v>
      </c>
      <c r="AE4675">
        <v>-0.57179999999999598</v>
      </c>
      <c r="AF4675">
        <v>-0.58013171938144603</v>
      </c>
      <c r="AG4675">
        <v>-0.120762599999999</v>
      </c>
      <c r="AH4675">
        <v>0.66981106926574696</v>
      </c>
      <c r="AI4675">
        <v>97.760642766922004</v>
      </c>
      <c r="AJ4675">
        <v>130.896245100594</v>
      </c>
      <c r="AK4675">
        <v>0.89430603593074098</v>
      </c>
      <c r="AL4675">
        <v>89.896409690985294</v>
      </c>
      <c r="AM4675">
        <v>105.02056473538499</v>
      </c>
      <c r="AN4675">
        <v>1.0000000108076099</v>
      </c>
    </row>
    <row r="4676" spans="1:40" x14ac:dyDescent="0.25">
      <c r="A4676" t="str">
        <f>"20190312150744527"</f>
        <v>20190312150744527</v>
      </c>
      <c r="B4676" t="str">
        <f>"1552374464524690"</f>
        <v>1552374464524690</v>
      </c>
      <c r="C4676" t="s">
        <v>40</v>
      </c>
      <c r="D4676">
        <v>4.2098170000000001</v>
      </c>
      <c r="E4676">
        <v>0.34077550000000001</v>
      </c>
      <c r="F4676" t="s">
        <v>41</v>
      </c>
      <c r="G4676">
        <v>-491.93239999999997</v>
      </c>
      <c r="H4676">
        <v>0.99359589999999998</v>
      </c>
      <c r="I4676">
        <v>232.28960000000001</v>
      </c>
      <c r="J4676">
        <v>-492.64249999999998</v>
      </c>
      <c r="K4676">
        <v>1.111548</v>
      </c>
      <c r="L4676">
        <v>232.85290000000001</v>
      </c>
      <c r="M4676">
        <v>0.17239670000000001</v>
      </c>
      <c r="N4676">
        <v>0</v>
      </c>
      <c r="O4676">
        <v>-0.98493529999999996</v>
      </c>
      <c r="P4676">
        <v>0.42289460000000001</v>
      </c>
      <c r="Q4676">
        <v>-1.068644E-2</v>
      </c>
      <c r="R4676">
        <v>-0.90611609999999998</v>
      </c>
      <c r="S4676">
        <v>2.4053040000000001</v>
      </c>
      <c r="T4676">
        <v>-0.38807979999999997</v>
      </c>
      <c r="U4676">
        <v>-2.1893769999999999</v>
      </c>
      <c r="V4676">
        <v>-0.26034079999999998</v>
      </c>
      <c r="W4676">
        <v>1.753154E-3</v>
      </c>
      <c r="X4676">
        <v>0.96551520000000002</v>
      </c>
      <c r="Y4676">
        <v>-0.60674150000000004</v>
      </c>
      <c r="Z4676">
        <v>0.1236609</v>
      </c>
      <c r="AA4676">
        <v>0.78522150000000002</v>
      </c>
      <c r="AB4676">
        <v>11</v>
      </c>
      <c r="AC4676">
        <v>0.71010000000001094</v>
      </c>
      <c r="AD4676">
        <v>-0.117952099999999</v>
      </c>
      <c r="AE4676">
        <v>-0.56329999999999802</v>
      </c>
      <c r="AF4676">
        <v>-0.59231556471772795</v>
      </c>
      <c r="AG4676">
        <v>-0.117952099999999</v>
      </c>
      <c r="AH4676">
        <v>0.66601574314453005</v>
      </c>
      <c r="AI4676">
        <v>97.538560483865993</v>
      </c>
      <c r="AJ4676">
        <v>131.64802861688401</v>
      </c>
      <c r="AK4676">
        <v>0.89907029548175599</v>
      </c>
      <c r="AL4676">
        <v>89.899551623865804</v>
      </c>
      <c r="AM4676">
        <v>105.09030865254999</v>
      </c>
      <c r="AN4676">
        <v>1.00000000356231</v>
      </c>
    </row>
    <row r="4677" spans="1:40" x14ac:dyDescent="0.25">
      <c r="A4677" t="str">
        <f>"20190312150744551"</f>
        <v>20190312150744551</v>
      </c>
      <c r="B4677" t="str">
        <f>"1552374464544209"</f>
        <v>1552374464544209</v>
      </c>
      <c r="C4677" t="s">
        <v>40</v>
      </c>
      <c r="D4677">
        <v>4.1862050000000002</v>
      </c>
      <c r="E4677">
        <v>0.34007140000000002</v>
      </c>
      <c r="F4677" t="s">
        <v>41</v>
      </c>
      <c r="G4677">
        <v>-491.90750000000003</v>
      </c>
      <c r="H4677">
        <v>0.99413969999999896</v>
      </c>
      <c r="I4677">
        <v>232.19380000000001</v>
      </c>
      <c r="J4677">
        <v>-492.61810000000003</v>
      </c>
      <c r="K4677">
        <v>1.1115409999999999</v>
      </c>
      <c r="L4677">
        <v>232.73650000000001</v>
      </c>
      <c r="M4677">
        <v>0.1756239</v>
      </c>
      <c r="N4677">
        <v>0</v>
      </c>
      <c r="O4677">
        <v>-0.98436500000000005</v>
      </c>
      <c r="P4677">
        <v>0.4266992</v>
      </c>
      <c r="Q4677">
        <v>-1.104919E-2</v>
      </c>
      <c r="R4677">
        <v>-0.90432610000000002</v>
      </c>
      <c r="S4677">
        <v>2.4257200000000001</v>
      </c>
      <c r="T4677">
        <v>-0.3872797</v>
      </c>
      <c r="U4677">
        <v>-2.17421</v>
      </c>
      <c r="V4677">
        <v>-0.26123400000000002</v>
      </c>
      <c r="W4677">
        <v>1.3836059999999999E-3</v>
      </c>
      <c r="X4677">
        <v>0.96527450000000004</v>
      </c>
      <c r="Y4677">
        <v>-0.61019179999999995</v>
      </c>
      <c r="Z4677">
        <v>0.1233366</v>
      </c>
      <c r="AA4677">
        <v>0.78259449999999997</v>
      </c>
      <c r="AB4677">
        <v>11</v>
      </c>
      <c r="AC4677">
        <v>0.71059999999999901</v>
      </c>
      <c r="AD4677">
        <v>-0.1174013</v>
      </c>
      <c r="AE4677">
        <v>-0.54269999999999596</v>
      </c>
      <c r="AF4677">
        <v>-0.593993084722373</v>
      </c>
      <c r="AG4677">
        <v>-0.1174013</v>
      </c>
      <c r="AH4677">
        <v>0.64790320251421696</v>
      </c>
      <c r="AI4677">
        <v>97.607703727255597</v>
      </c>
      <c r="AJ4677">
        <v>132.51437840100701</v>
      </c>
      <c r="AK4677">
        <v>0.88678599998413898</v>
      </c>
      <c r="AL4677">
        <v>89.920725189504495</v>
      </c>
      <c r="AM4677">
        <v>105.14331095296301</v>
      </c>
      <c r="AN4677">
        <v>0.99999998873590601</v>
      </c>
    </row>
    <row r="4678" spans="1:40" x14ac:dyDescent="0.25">
      <c r="A4678" t="str">
        <f>"20190312150744574"</f>
        <v>20190312150744574</v>
      </c>
      <c r="B4678" t="str">
        <f>"1552374464564705"</f>
        <v>1552374464564705</v>
      </c>
      <c r="C4678" t="s">
        <v>40</v>
      </c>
      <c r="D4678">
        <v>4.2431179999999999</v>
      </c>
      <c r="E4678">
        <v>0.33963710000000003</v>
      </c>
      <c r="F4678" t="s">
        <v>41</v>
      </c>
      <c r="G4678">
        <v>-491.89359999999999</v>
      </c>
      <c r="H4678">
        <v>0.99492840000000005</v>
      </c>
      <c r="I4678">
        <v>232.09469999999999</v>
      </c>
      <c r="J4678">
        <v>-492.59399999999999</v>
      </c>
      <c r="K4678">
        <v>1.111532</v>
      </c>
      <c r="L4678">
        <v>232.62309999999999</v>
      </c>
      <c r="M4678">
        <v>0.17876839999999999</v>
      </c>
      <c r="N4678">
        <v>0</v>
      </c>
      <c r="O4678">
        <v>-0.98379879999999997</v>
      </c>
      <c r="P4678">
        <v>0.43011769999999999</v>
      </c>
      <c r="Q4678">
        <v>-1.1278430000000001E-2</v>
      </c>
      <c r="R4678">
        <v>-0.90270260000000002</v>
      </c>
      <c r="S4678">
        <v>2.439819</v>
      </c>
      <c r="T4678">
        <v>-0.39271230000000001</v>
      </c>
      <c r="U4678">
        <v>-2.1613769999999999</v>
      </c>
      <c r="V4678">
        <v>-0.26180160000000002</v>
      </c>
      <c r="W4678">
        <v>1.150433E-3</v>
      </c>
      <c r="X4678">
        <v>0.96512100000000001</v>
      </c>
      <c r="Y4678">
        <v>-0.61206539999999998</v>
      </c>
      <c r="Z4678">
        <v>0.12505859999999999</v>
      </c>
      <c r="AA4678">
        <v>0.7808562</v>
      </c>
      <c r="AB4678">
        <v>11</v>
      </c>
      <c r="AC4678">
        <v>0.70040000000000102</v>
      </c>
      <c r="AD4678">
        <v>-0.1166036</v>
      </c>
      <c r="AE4678">
        <v>-0.52840000000000398</v>
      </c>
      <c r="AF4678">
        <v>-0.58432457431490903</v>
      </c>
      <c r="AG4678">
        <v>-0.1166036</v>
      </c>
      <c r="AH4678">
        <v>0.63391053977435796</v>
      </c>
      <c r="AI4678">
        <v>97.702499272488595</v>
      </c>
      <c r="AJ4678">
        <v>132.669169854118</v>
      </c>
      <c r="AK4678">
        <v>0.869985160860964</v>
      </c>
      <c r="AL4678">
        <v>89.934085028164702</v>
      </c>
      <c r="AM4678">
        <v>105.17700031173899</v>
      </c>
      <c r="AN4678">
        <v>0.99999997294982301</v>
      </c>
    </row>
    <row r="4679" spans="1:40" x14ac:dyDescent="0.25">
      <c r="A4679" t="str">
        <f>"20190312150744594"</f>
        <v>20190312150744594</v>
      </c>
      <c r="B4679" t="str">
        <f>"1552374464584225"</f>
        <v>1552374464584225</v>
      </c>
      <c r="C4679" t="s">
        <v>40</v>
      </c>
      <c r="D4679">
        <v>4.1767849999999997</v>
      </c>
      <c r="E4679">
        <v>0.33933590000000002</v>
      </c>
      <c r="F4679" t="s">
        <v>41</v>
      </c>
      <c r="G4679">
        <v>-491.87860000000001</v>
      </c>
      <c r="H4679">
        <v>0.99449810000000005</v>
      </c>
      <c r="I4679">
        <v>231.99520000000001</v>
      </c>
      <c r="J4679">
        <v>-492.5718</v>
      </c>
      <c r="K4679">
        <v>1.1115269999999999</v>
      </c>
      <c r="L4679">
        <v>232.52010000000001</v>
      </c>
      <c r="M4679">
        <v>0.18162490000000001</v>
      </c>
      <c r="N4679">
        <v>0</v>
      </c>
      <c r="O4679">
        <v>-0.98327560000000003</v>
      </c>
      <c r="P4679">
        <v>0.4335078</v>
      </c>
      <c r="Q4679">
        <v>-1.14348E-2</v>
      </c>
      <c r="R4679">
        <v>-0.90107720000000002</v>
      </c>
      <c r="S4679">
        <v>2.45105</v>
      </c>
      <c r="T4679">
        <v>-0.40082760000000001</v>
      </c>
      <c r="U4679">
        <v>-2.1505130000000001</v>
      </c>
      <c r="V4679">
        <v>-0.26262619999999998</v>
      </c>
      <c r="W4679">
        <v>9.8926190000000005E-4</v>
      </c>
      <c r="X4679">
        <v>0.96489720000000001</v>
      </c>
      <c r="Y4679">
        <v>-0.61326559999999997</v>
      </c>
      <c r="Z4679">
        <v>0.12763519999999901</v>
      </c>
      <c r="AA4679">
        <v>0.77949639999999998</v>
      </c>
      <c r="AB4679">
        <v>11</v>
      </c>
      <c r="AC4679">
        <v>0.69319999999999005</v>
      </c>
      <c r="AD4679">
        <v>-0.11702890000000001</v>
      </c>
      <c r="AE4679">
        <v>-0.52490000000000203</v>
      </c>
      <c r="AF4679">
        <v>-0.57589265984683602</v>
      </c>
      <c r="AG4679">
        <v>-0.11702890000000001</v>
      </c>
      <c r="AH4679">
        <v>0.63065766002910995</v>
      </c>
      <c r="AI4679">
        <v>97.802647473683393</v>
      </c>
      <c r="AJ4679">
        <v>132.40114347487801</v>
      </c>
      <c r="AK4679">
        <v>0.86201925921296296</v>
      </c>
      <c r="AL4679">
        <v>89.943319462059705</v>
      </c>
      <c r="AM4679">
        <v>105.22595560421099</v>
      </c>
      <c r="AN4679">
        <v>1.0000000530666899</v>
      </c>
    </row>
    <row r="4680" spans="1:40" x14ac:dyDescent="0.25">
      <c r="A4680" t="str">
        <f>"20190312150744610"</f>
        <v>20190312150744610</v>
      </c>
      <c r="B4680" t="str">
        <f>"1552374464604721"</f>
        <v>1552374464604721</v>
      </c>
      <c r="C4680" t="s">
        <v>40</v>
      </c>
      <c r="D4680">
        <v>4.2017699999999998</v>
      </c>
      <c r="E4680">
        <v>0.3391787</v>
      </c>
      <c r="F4680" t="s">
        <v>41</v>
      </c>
      <c r="G4680">
        <v>-491.8571</v>
      </c>
      <c r="H4680">
        <v>0.99393010000000004</v>
      </c>
      <c r="I4680">
        <v>231.89859999999999</v>
      </c>
      <c r="J4680">
        <v>-492.55579999999998</v>
      </c>
      <c r="K4680">
        <v>1.111523</v>
      </c>
      <c r="L4680">
        <v>232.44720000000001</v>
      </c>
      <c r="M4680">
        <v>0.18364910000000001</v>
      </c>
      <c r="N4680">
        <v>0</v>
      </c>
      <c r="O4680">
        <v>-0.98289939999999998</v>
      </c>
      <c r="P4680">
        <v>0.43580340000000001</v>
      </c>
      <c r="Q4680">
        <v>-1.1565290000000001E-2</v>
      </c>
      <c r="R4680">
        <v>-0.89996749999999903</v>
      </c>
      <c r="S4680">
        <v>2.4611209999999999</v>
      </c>
      <c r="T4680">
        <v>-0.40492450000000002</v>
      </c>
      <c r="U4680">
        <v>-2.1401520000000001</v>
      </c>
      <c r="V4680">
        <v>-0.26309969999999999</v>
      </c>
      <c r="W4680">
        <v>8.55271E-4</v>
      </c>
      <c r="X4680">
        <v>0.96476830000000002</v>
      </c>
      <c r="Y4680">
        <v>-0.61496759999999995</v>
      </c>
      <c r="Z4680">
        <v>0.12895909999999999</v>
      </c>
      <c r="AA4680">
        <v>0.77793590000000001</v>
      </c>
      <c r="AB4680">
        <v>11</v>
      </c>
      <c r="AC4680">
        <v>0.69869999999997301</v>
      </c>
      <c r="AD4680">
        <v>-0.1175929</v>
      </c>
      <c r="AE4680">
        <v>-0.54860000000002096</v>
      </c>
      <c r="AF4680">
        <v>-0.57596264342234005</v>
      </c>
      <c r="AG4680">
        <v>-0.1175929</v>
      </c>
      <c r="AH4680">
        <v>0.65609816998319903</v>
      </c>
      <c r="AI4680">
        <v>97.671211131231502</v>
      </c>
      <c r="AJ4680">
        <v>131.27861774001499</v>
      </c>
      <c r="AK4680">
        <v>0.88092330279302</v>
      </c>
      <c r="AL4680">
        <v>89.950996576765505</v>
      </c>
      <c r="AM4680">
        <v>105.254072461833</v>
      </c>
      <c r="AN4680">
        <v>1.0000000281567301</v>
      </c>
    </row>
    <row r="4681" spans="1:40" x14ac:dyDescent="0.25">
      <c r="A4681" t="str">
        <f>"20190312150744628"</f>
        <v>20190312150744628</v>
      </c>
      <c r="B4681" t="str">
        <f>"1552374464624242"</f>
        <v>1552374464624242</v>
      </c>
      <c r="C4681" t="s">
        <v>40</v>
      </c>
      <c r="D4681">
        <v>4.2221970000000004</v>
      </c>
      <c r="E4681">
        <v>0.33922999999999998</v>
      </c>
      <c r="F4681" t="s">
        <v>41</v>
      </c>
      <c r="G4681">
        <v>-491.8175</v>
      </c>
      <c r="H4681">
        <v>0.98900900000000003</v>
      </c>
      <c r="I4681">
        <v>231.80869999999999</v>
      </c>
      <c r="J4681">
        <v>-492.53680000000003</v>
      </c>
      <c r="K4681">
        <v>1.1115139999999999</v>
      </c>
      <c r="L4681">
        <v>232.36109999999999</v>
      </c>
      <c r="M4681">
        <v>0.18603700000000001</v>
      </c>
      <c r="N4681">
        <v>0</v>
      </c>
      <c r="O4681">
        <v>-0.9824505</v>
      </c>
      <c r="P4681">
        <v>0.43902649999999999</v>
      </c>
      <c r="Q4681">
        <v>-1.1287459999999999E-2</v>
      </c>
      <c r="R4681">
        <v>-0.89840350000000002</v>
      </c>
      <c r="S4681">
        <v>2.467743</v>
      </c>
      <c r="T4681">
        <v>-0.40933209999999998</v>
      </c>
      <c r="U4681">
        <v>-2.1332089999999999</v>
      </c>
      <c r="V4681">
        <v>-0.26421270000000002</v>
      </c>
      <c r="W4681">
        <v>1.126115E-3</v>
      </c>
      <c r="X4681">
        <v>0.96446379999999998</v>
      </c>
      <c r="Y4681">
        <v>-0.6152088</v>
      </c>
      <c r="Z4681">
        <v>0.1303763</v>
      </c>
      <c r="AA4681">
        <v>0.77750900000000001</v>
      </c>
      <c r="AB4681">
        <v>11</v>
      </c>
      <c r="AC4681">
        <v>0.71930000000003202</v>
      </c>
      <c r="AD4681">
        <v>-0.122504999999999</v>
      </c>
      <c r="AE4681">
        <v>-0.552400000000005</v>
      </c>
      <c r="AF4681">
        <v>-0.59314246735861498</v>
      </c>
      <c r="AG4681">
        <v>-0.122504999999999</v>
      </c>
      <c r="AH4681">
        <v>0.66446010002353795</v>
      </c>
      <c r="AI4681">
        <v>97.831310962544293</v>
      </c>
      <c r="AJ4681">
        <v>131.754278672335</v>
      </c>
      <c r="AK4681">
        <v>0.89907323735753397</v>
      </c>
      <c r="AL4681">
        <v>89.935478350922693</v>
      </c>
      <c r="AM4681">
        <v>105.32018619533901</v>
      </c>
      <c r="AN4681">
        <v>1.0000000202433601</v>
      </c>
    </row>
    <row r="4682" spans="1:40" x14ac:dyDescent="0.25">
      <c r="A4682" t="str">
        <f>"20190312150744641"</f>
        <v>20190312150744641</v>
      </c>
      <c r="B4682" t="str">
        <f>"1552374464634002"</f>
        <v>1552374464634002</v>
      </c>
      <c r="C4682" t="s">
        <v>40</v>
      </c>
      <c r="D4682">
        <v>4.2181610000000003</v>
      </c>
      <c r="E4682">
        <v>0.33928730000000001</v>
      </c>
      <c r="F4682" t="s">
        <v>61</v>
      </c>
      <c r="G4682">
        <v>-485.84039999999999</v>
      </c>
      <c r="H4682" s="1">
        <v>4.6118959999999997E-6</v>
      </c>
      <c r="I4682">
        <v>226.61060000000001</v>
      </c>
      <c r="J4682">
        <v>-492.5215</v>
      </c>
      <c r="K4682">
        <v>1.11151</v>
      </c>
      <c r="L4682">
        <v>232.29239999999999</v>
      </c>
      <c r="M4682">
        <v>0.18794530000000001</v>
      </c>
      <c r="N4682">
        <v>0</v>
      </c>
      <c r="O4682">
        <v>-0.98208709999999999</v>
      </c>
      <c r="P4682">
        <v>0.44105680000000003</v>
      </c>
      <c r="Q4682">
        <v>-1.1658709999999999E-2</v>
      </c>
      <c r="R4682">
        <v>-0.89740379999999997</v>
      </c>
      <c r="S4682">
        <v>2.4744259999999998</v>
      </c>
      <c r="T4682">
        <v>-0.41071839999999998</v>
      </c>
      <c r="U4682">
        <v>-2.124908</v>
      </c>
      <c r="V4682">
        <v>-0.26451950000000002</v>
      </c>
      <c r="W4682">
        <v>7.5275119999999895E-4</v>
      </c>
      <c r="X4682">
        <v>0.96438000000000001</v>
      </c>
      <c r="Y4682">
        <v>-0.61617500000000003</v>
      </c>
      <c r="Z4682">
        <v>0.13087939999999901</v>
      </c>
      <c r="AA4682">
        <v>0.77665890000000004</v>
      </c>
      <c r="AB4682">
        <v>11</v>
      </c>
      <c r="AC4682">
        <v>6.6811000000000096</v>
      </c>
      <c r="AD4682">
        <v>-1.111505388104</v>
      </c>
      <c r="AE4682">
        <v>-5.6817999999999804</v>
      </c>
      <c r="AF4682">
        <v>-5.4072056594805096</v>
      </c>
      <c r="AG4682">
        <v>-1.111505388104</v>
      </c>
      <c r="AH4682">
        <v>6.7282587813895498</v>
      </c>
      <c r="AI4682">
        <v>97.337554371997001</v>
      </c>
      <c r="AJ4682">
        <v>128.78730894458801</v>
      </c>
      <c r="AK4682">
        <v>8.7030330058576695</v>
      </c>
      <c r="AL4682">
        <v>89.956870527351697</v>
      </c>
      <c r="AM4682">
        <v>105.338408477561</v>
      </c>
      <c r="AN4682">
        <v>0.99999995845730805</v>
      </c>
    </row>
    <row r="4683" spans="1:40" x14ac:dyDescent="0.25">
      <c r="A4683" t="str">
        <f>"20190312150744662"</f>
        <v>20190312150744662</v>
      </c>
      <c r="B4683" t="str">
        <f>"1552374464654497"</f>
        <v>1552374464654497</v>
      </c>
      <c r="C4683" t="s">
        <v>40</v>
      </c>
      <c r="D4683">
        <v>4.2237429999999998</v>
      </c>
      <c r="E4683">
        <v>0.33934829999999999</v>
      </c>
      <c r="F4683" t="s">
        <v>41</v>
      </c>
      <c r="G4683">
        <v>-491.82850000000002</v>
      </c>
      <c r="H4683">
        <v>0.99621930000000003</v>
      </c>
      <c r="I4683">
        <v>231.69980000000001</v>
      </c>
      <c r="J4683">
        <v>-492.49880000000002</v>
      </c>
      <c r="K4683">
        <v>1.111499</v>
      </c>
      <c r="L4683">
        <v>232.1917</v>
      </c>
      <c r="M4683">
        <v>0.19074199999999999</v>
      </c>
      <c r="N4683">
        <v>0</v>
      </c>
      <c r="O4683">
        <v>-0.98154770000000002</v>
      </c>
      <c r="P4683">
        <v>0.44476080000000001</v>
      </c>
      <c r="Q4683">
        <v>-1.2294100000000001E-2</v>
      </c>
      <c r="R4683">
        <v>-0.89556499999999895</v>
      </c>
      <c r="S4683">
        <v>2.4788209999999999</v>
      </c>
      <c r="T4683">
        <v>-0.4123001</v>
      </c>
      <c r="U4683">
        <v>-2.119354</v>
      </c>
      <c r="V4683">
        <v>-0.26575690000000002</v>
      </c>
      <c r="W4683">
        <v>1.099745E-4</v>
      </c>
      <c r="X4683">
        <v>0.96404009999999996</v>
      </c>
      <c r="Y4683">
        <v>-0.61557430000000002</v>
      </c>
      <c r="Z4683">
        <v>0.13143150000000001</v>
      </c>
      <c r="AA4683">
        <v>0.77704189999999995</v>
      </c>
      <c r="AB4683">
        <v>11</v>
      </c>
      <c r="AC4683">
        <v>0.67029999999999701</v>
      </c>
      <c r="AD4683">
        <v>-0.115279699999999</v>
      </c>
      <c r="AE4683">
        <v>-0.49189999999998602</v>
      </c>
      <c r="AF4683">
        <v>-0.553515496417741</v>
      </c>
      <c r="AG4683">
        <v>-0.115279699999999</v>
      </c>
      <c r="AH4683">
        <v>0.59921343959839901</v>
      </c>
      <c r="AI4683">
        <v>98.043700607597899</v>
      </c>
      <c r="AJ4683">
        <v>132.729796783149</v>
      </c>
      <c r="AK4683">
        <v>0.82384802008745095</v>
      </c>
      <c r="AL4683">
        <v>89.993698925460905</v>
      </c>
      <c r="AM4683">
        <v>105.411932411753</v>
      </c>
      <c r="AN4683">
        <v>1.0000000281999999</v>
      </c>
    </row>
    <row r="4684" spans="1:40" x14ac:dyDescent="0.25">
      <c r="A4684" t="str">
        <f>"20190312150744675"</f>
        <v>20190312150744675</v>
      </c>
      <c r="B4684" t="str">
        <f>"1552374464664258"</f>
        <v>1552374464664258</v>
      </c>
      <c r="C4684" t="s">
        <v>40</v>
      </c>
      <c r="D4684">
        <v>4.2190960000000004</v>
      </c>
      <c r="E4684">
        <v>0.33928439999999999</v>
      </c>
      <c r="F4684" t="s">
        <v>41</v>
      </c>
      <c r="G4684">
        <v>-491.80599999999998</v>
      </c>
      <c r="H4684">
        <v>0.99583600000000005</v>
      </c>
      <c r="I4684">
        <v>231.60409999999999</v>
      </c>
      <c r="J4684">
        <v>-492.48419999999999</v>
      </c>
      <c r="K4684">
        <v>1.1114949999999999</v>
      </c>
      <c r="L4684">
        <v>232.12739999999999</v>
      </c>
      <c r="M4684">
        <v>0.19252810000000001</v>
      </c>
      <c r="N4684">
        <v>0</v>
      </c>
      <c r="O4684">
        <v>-0.98119900000000004</v>
      </c>
      <c r="P4684">
        <v>0.44656259999999998</v>
      </c>
      <c r="Q4684">
        <v>-1.2591400000000001E-2</v>
      </c>
      <c r="R4684">
        <v>-0.89466399999999902</v>
      </c>
      <c r="S4684">
        <v>2.4873959999999999</v>
      </c>
      <c r="T4684">
        <v>-0.4151031</v>
      </c>
      <c r="U4684">
        <v>-2.1088100000000001</v>
      </c>
      <c r="V4684">
        <v>-0.26594299999999998</v>
      </c>
      <c r="W4684">
        <v>-1.8878030000000001E-4</v>
      </c>
      <c r="X4684">
        <v>0.96398870000000003</v>
      </c>
      <c r="Y4684">
        <v>-0.61728879999999997</v>
      </c>
      <c r="Z4684">
        <v>0.1323886</v>
      </c>
      <c r="AA4684">
        <v>0.77551780000000003</v>
      </c>
      <c r="AB4684">
        <v>11</v>
      </c>
      <c r="AC4684">
        <v>0.67820000000000302</v>
      </c>
      <c r="AD4684">
        <v>-0.115659</v>
      </c>
      <c r="AE4684">
        <v>-0.52330000000000598</v>
      </c>
      <c r="AF4684">
        <v>-0.55463947219354703</v>
      </c>
      <c r="AG4684">
        <v>-0.115659</v>
      </c>
      <c r="AH4684">
        <v>0.63256096360897096</v>
      </c>
      <c r="AI4684">
        <v>97.827905907372795</v>
      </c>
      <c r="AJ4684">
        <v>131.24479743463999</v>
      </c>
      <c r="AK4684">
        <v>0.84919686826910001</v>
      </c>
      <c r="AL4684">
        <v>90.010816314895493</v>
      </c>
      <c r="AM4684">
        <v>105.42299438039301</v>
      </c>
      <c r="AN4684">
        <v>0.99999996430734495</v>
      </c>
    </row>
    <row r="4685" spans="1:40" x14ac:dyDescent="0.25">
      <c r="A4685" t="str">
        <f>"20190312150744689"</f>
        <v>20190312150744689</v>
      </c>
      <c r="B4685" t="str">
        <f>"1552374464684754"</f>
        <v>1552374464684754</v>
      </c>
      <c r="C4685" t="s">
        <v>40</v>
      </c>
      <c r="D4685">
        <v>4.2154889999999998</v>
      </c>
      <c r="E4685">
        <v>0.33942290000000003</v>
      </c>
      <c r="F4685" t="s">
        <v>41</v>
      </c>
      <c r="G4685">
        <v>-491.76209999999998</v>
      </c>
      <c r="H4685">
        <v>0.99152859999999998</v>
      </c>
      <c r="I4685">
        <v>231.5179</v>
      </c>
      <c r="J4685">
        <v>-492.46929999999998</v>
      </c>
      <c r="K4685">
        <v>1.1114900000000001</v>
      </c>
      <c r="L4685">
        <v>232.06270000000001</v>
      </c>
      <c r="M4685">
        <v>0.19432569999999999</v>
      </c>
      <c r="N4685">
        <v>0</v>
      </c>
      <c r="O4685">
        <v>-0.98084470000000001</v>
      </c>
      <c r="P4685">
        <v>0.44848009999999999</v>
      </c>
      <c r="Q4685">
        <v>-1.276415E-2</v>
      </c>
      <c r="R4685">
        <v>-0.89370190000000005</v>
      </c>
      <c r="S4685">
        <v>2.4920650000000002</v>
      </c>
      <c r="T4685">
        <v>-0.41401929999999998</v>
      </c>
      <c r="U4685">
        <v>-2.1034999999999999</v>
      </c>
      <c r="V4685">
        <v>-0.26624399999999998</v>
      </c>
      <c r="W4685">
        <v>-3.635383E-4</v>
      </c>
      <c r="X4685">
        <v>0.96390560000000003</v>
      </c>
      <c r="Y4685">
        <v>-0.61756860000000002</v>
      </c>
      <c r="Z4685">
        <v>0.13208220000000001</v>
      </c>
      <c r="AA4685">
        <v>0.77534729999999996</v>
      </c>
      <c r="AB4685">
        <v>11</v>
      </c>
      <c r="AC4685">
        <v>0.70720000000000005</v>
      </c>
      <c r="AD4685">
        <v>-0.119961399999999</v>
      </c>
      <c r="AE4685">
        <v>-0.54480000000000905</v>
      </c>
      <c r="AF4685">
        <v>-0.577411374283057</v>
      </c>
      <c r="AG4685">
        <v>-0.119961399999999</v>
      </c>
      <c r="AH4685">
        <v>0.65993540421540497</v>
      </c>
      <c r="AI4685">
        <v>97.789979877601397</v>
      </c>
      <c r="AJ4685">
        <v>131.18434647215301</v>
      </c>
      <c r="AK4685">
        <v>0.88504766559680803</v>
      </c>
      <c r="AL4685">
        <v>90.0208292106838</v>
      </c>
      <c r="AM4685">
        <v>105.44088558935699</v>
      </c>
      <c r="AN4685">
        <v>1.0000000027037199</v>
      </c>
    </row>
    <row r="4686" spans="1:40" x14ac:dyDescent="0.25">
      <c r="A4686" t="str">
        <f>"20190312150744706"</f>
        <v>20190312150744706</v>
      </c>
      <c r="B4686" t="str">
        <f>"1552374464704274"</f>
        <v>1552374464704274</v>
      </c>
      <c r="C4686" t="s">
        <v>40</v>
      </c>
      <c r="D4686">
        <v>4.239528</v>
      </c>
      <c r="E4686">
        <v>0.33937640000000002</v>
      </c>
      <c r="F4686" t="s">
        <v>61</v>
      </c>
      <c r="G4686">
        <v>-485.80520000000001</v>
      </c>
      <c r="H4686" s="1">
        <v>4.5706949999999998E-6</v>
      </c>
      <c r="I4686">
        <v>226.45949999999999</v>
      </c>
      <c r="J4686">
        <v>-492.44970000000001</v>
      </c>
      <c r="K4686">
        <v>1.1114850000000001</v>
      </c>
      <c r="L4686">
        <v>231.97839999999999</v>
      </c>
      <c r="M4686">
        <v>0.19666639999999999</v>
      </c>
      <c r="N4686">
        <v>0</v>
      </c>
      <c r="O4686">
        <v>-0.98037799999999997</v>
      </c>
      <c r="P4686">
        <v>0.4515691</v>
      </c>
      <c r="Q4686">
        <v>-1.271187E-2</v>
      </c>
      <c r="R4686">
        <v>-0.89214590000000005</v>
      </c>
      <c r="S4686">
        <v>2.4957579999999999</v>
      </c>
      <c r="T4686">
        <v>-0.41626299999999999</v>
      </c>
      <c r="U4686">
        <v>-2.0984500000000001</v>
      </c>
      <c r="V4686">
        <v>-0.2672776</v>
      </c>
      <c r="W4686">
        <v>-3.177756E-4</v>
      </c>
      <c r="X4686">
        <v>0.96361949999999996</v>
      </c>
      <c r="Y4686">
        <v>-0.61710889999999996</v>
      </c>
      <c r="Z4686">
        <v>0.13284109999999999</v>
      </c>
      <c r="AA4686">
        <v>0.77558359999999904</v>
      </c>
      <c r="AB4686">
        <v>11</v>
      </c>
      <c r="AC4686">
        <v>6.6444999999999901</v>
      </c>
      <c r="AD4686">
        <v>-1.111480429305</v>
      </c>
      <c r="AE4686">
        <v>-5.5189000000000004</v>
      </c>
      <c r="AF4686">
        <v>-5.3407961764789702</v>
      </c>
      <c r="AG4686">
        <v>-1.111480429305</v>
      </c>
      <c r="AH4686">
        <v>6.6085397207766396</v>
      </c>
      <c r="AI4686">
        <v>97.452572771993005</v>
      </c>
      <c r="AJ4686">
        <v>128.94396015260199</v>
      </c>
      <c r="AK4686">
        <v>8.5692642498935108</v>
      </c>
      <c r="AL4686">
        <v>90.018207201408103</v>
      </c>
      <c r="AM4686">
        <v>105.502333341176</v>
      </c>
      <c r="AN4686">
        <v>0.99999997861167</v>
      </c>
    </row>
    <row r="4687" spans="1:40" x14ac:dyDescent="0.25">
      <c r="A4687" t="str">
        <f>"20190312150744728"</f>
        <v>20190312150744728</v>
      </c>
      <c r="B4687" t="str">
        <f>"1552374464724770"</f>
        <v>1552374464724770</v>
      </c>
      <c r="C4687" t="s">
        <v>40</v>
      </c>
      <c r="D4687">
        <v>4.1988459999999996</v>
      </c>
      <c r="E4687">
        <v>0.33935189999999998</v>
      </c>
      <c r="F4687" t="s">
        <v>61</v>
      </c>
      <c r="G4687">
        <v>-485.71769999999998</v>
      </c>
      <c r="H4687" s="1">
        <v>4.529325E-6</v>
      </c>
      <c r="I4687">
        <v>226.36019999999999</v>
      </c>
      <c r="J4687">
        <v>-492.4248</v>
      </c>
      <c r="K4687">
        <v>1.111475</v>
      </c>
      <c r="L4687">
        <v>231.8724</v>
      </c>
      <c r="M4687">
        <v>0.19961409999999999</v>
      </c>
      <c r="N4687">
        <v>0</v>
      </c>
      <c r="O4687">
        <v>-0.97978229999999999</v>
      </c>
      <c r="P4687">
        <v>0.45458520000000002</v>
      </c>
      <c r="Q4687">
        <v>-1.246793E-2</v>
      </c>
      <c r="R4687">
        <v>-0.89061630000000003</v>
      </c>
      <c r="S4687">
        <v>2.503784</v>
      </c>
      <c r="T4687">
        <v>-0.41338069999999999</v>
      </c>
      <c r="U4687">
        <v>-2.0895079999999999</v>
      </c>
      <c r="V4687">
        <v>-0.26763969999999998</v>
      </c>
      <c r="W4687" s="1">
        <v>-7.6652270000000003E-5</v>
      </c>
      <c r="X4687">
        <v>0.96351909999999996</v>
      </c>
      <c r="Y4687">
        <v>-0.61770080000000005</v>
      </c>
      <c r="Z4687">
        <v>0.13198379999999901</v>
      </c>
      <c r="AA4687">
        <v>0.77525869999999997</v>
      </c>
      <c r="AB4687">
        <v>11</v>
      </c>
      <c r="AC4687">
        <v>6.70710000000002</v>
      </c>
      <c r="AD4687">
        <v>-1.111470470675</v>
      </c>
      <c r="AE4687">
        <v>-5.5122</v>
      </c>
      <c r="AF4687">
        <v>-5.3834409639385701</v>
      </c>
      <c r="AG4687">
        <v>-1.111470470675</v>
      </c>
      <c r="AH4687">
        <v>6.6315016740259001</v>
      </c>
      <c r="AI4687">
        <v>97.413954609607202</v>
      </c>
      <c r="AJ4687">
        <v>129.06962902214801</v>
      </c>
      <c r="AK4687">
        <v>8.61357171398733</v>
      </c>
      <c r="AL4687">
        <v>90.004391851409494</v>
      </c>
      <c r="AM4687">
        <v>105.523862878665</v>
      </c>
      <c r="AN4687">
        <v>1.0000000354782299</v>
      </c>
    </row>
    <row r="4688" spans="1:40" x14ac:dyDescent="0.25">
      <c r="A4688" t="str">
        <f>"20190312150744742"</f>
        <v>20190312150744742</v>
      </c>
      <c r="B4688" t="str">
        <f>"1552374464734530"</f>
        <v>1552374464734530</v>
      </c>
      <c r="C4688" t="s">
        <v>40</v>
      </c>
      <c r="D4688">
        <v>4.219563</v>
      </c>
      <c r="E4688">
        <v>0.33935300000000002</v>
      </c>
      <c r="F4688" t="s">
        <v>61</v>
      </c>
      <c r="G4688">
        <v>-485.62970000000001</v>
      </c>
      <c r="H4688" s="1">
        <v>4.4832749999999999E-6</v>
      </c>
      <c r="I4688">
        <v>226.24010000000001</v>
      </c>
      <c r="J4688">
        <v>-492.40870000000001</v>
      </c>
      <c r="K4688">
        <v>1.1114729999999999</v>
      </c>
      <c r="L4688">
        <v>231.80449999999999</v>
      </c>
      <c r="M4688">
        <v>0.2015016</v>
      </c>
      <c r="N4688">
        <v>0</v>
      </c>
      <c r="O4688">
        <v>-0.97939580000000004</v>
      </c>
      <c r="P4688">
        <v>0.45650000000000002</v>
      </c>
      <c r="Q4688">
        <v>-1.254185E-2</v>
      </c>
      <c r="R4688">
        <v>-0.88963539999999997</v>
      </c>
      <c r="S4688">
        <v>2.510834</v>
      </c>
      <c r="T4688">
        <v>-0.41069509999999998</v>
      </c>
      <c r="U4688">
        <v>-2.0811459999999999</v>
      </c>
      <c r="V4688">
        <v>-0.26785560000000003</v>
      </c>
      <c r="W4688">
        <v>-1.5249919999999999E-4</v>
      </c>
      <c r="X4688">
        <v>0.96345910000000001</v>
      </c>
      <c r="Y4688">
        <v>-0.61887569999999903</v>
      </c>
      <c r="Z4688">
        <v>0.13119149999999999</v>
      </c>
      <c r="AA4688">
        <v>0.77445580000000003</v>
      </c>
      <c r="AB4688">
        <v>11</v>
      </c>
      <c r="AC4688">
        <v>6.7789999999999901</v>
      </c>
      <c r="AD4688">
        <v>-1.111468516725</v>
      </c>
      <c r="AE4688">
        <v>-5.5643999999999698</v>
      </c>
      <c r="AF4688">
        <v>-5.4313555600468897</v>
      </c>
      <c r="AG4688">
        <v>-1.111468516725</v>
      </c>
      <c r="AH4688">
        <v>6.7086000133516004</v>
      </c>
      <c r="AI4688">
        <v>97.3374306012185</v>
      </c>
      <c r="AJ4688">
        <v>128.99400767675399</v>
      </c>
      <c r="AK4688">
        <v>8.7028903027939002</v>
      </c>
      <c r="AL4688">
        <v>90.008737560209994</v>
      </c>
      <c r="AM4688">
        <v>105.53670183975601</v>
      </c>
      <c r="AN4688">
        <v>1.00000004154008</v>
      </c>
    </row>
    <row r="4689" spans="1:40" x14ac:dyDescent="0.25">
      <c r="A4689" t="str">
        <f>"20190312150744764"</f>
        <v>20190312150744764</v>
      </c>
      <c r="B4689" t="str">
        <f>"1552374464754049"</f>
        <v>1552374464754049</v>
      </c>
      <c r="C4689" t="s">
        <v>40</v>
      </c>
      <c r="D4689">
        <v>4.2101220000000001</v>
      </c>
      <c r="E4689">
        <v>0.33952890000000002</v>
      </c>
      <c r="F4689" t="s">
        <v>41</v>
      </c>
      <c r="G4689">
        <v>-491.70850000000002</v>
      </c>
      <c r="H4689">
        <v>0.99715520000000002</v>
      </c>
      <c r="I4689">
        <v>231.22659999999999</v>
      </c>
      <c r="J4689">
        <v>-492.38420000000002</v>
      </c>
      <c r="K4689">
        <v>1.111467</v>
      </c>
      <c r="L4689">
        <v>231.70249999999999</v>
      </c>
      <c r="M4689">
        <v>0.2043431</v>
      </c>
      <c r="N4689">
        <v>0</v>
      </c>
      <c r="O4689">
        <v>-0.97880690000000004</v>
      </c>
      <c r="P4689">
        <v>0.4592465</v>
      </c>
      <c r="Q4689">
        <v>-1.284947E-2</v>
      </c>
      <c r="R4689">
        <v>-0.88821609999999995</v>
      </c>
      <c r="S4689">
        <v>2.5156559999999999</v>
      </c>
      <c r="T4689">
        <v>-0.41051280000000001</v>
      </c>
      <c r="U4689">
        <v>-2.0755460000000001</v>
      </c>
      <c r="V4689">
        <v>-0.26803709999999997</v>
      </c>
      <c r="W4689">
        <v>-4.6293929999999999E-4</v>
      </c>
      <c r="X4689">
        <v>0.9634085</v>
      </c>
      <c r="Y4689">
        <v>-0.61836599999999997</v>
      </c>
      <c r="Z4689">
        <v>0.13116989999999901</v>
      </c>
      <c r="AA4689">
        <v>0.77486639999999996</v>
      </c>
      <c r="AB4689">
        <v>11</v>
      </c>
      <c r="AC4689">
        <v>0.67570000000000596</v>
      </c>
      <c r="AD4689">
        <v>-0.11431179999999901</v>
      </c>
      <c r="AE4689">
        <v>-0.47589999999999499</v>
      </c>
      <c r="AF4689">
        <v>-0.55359340862828399</v>
      </c>
      <c r="AG4689">
        <v>-0.11431179999999901</v>
      </c>
      <c r="AH4689">
        <v>0.59260655608561996</v>
      </c>
      <c r="AI4689">
        <v>98.023519903274007</v>
      </c>
      <c r="AJ4689">
        <v>133.05057916689799</v>
      </c>
      <c r="AK4689">
        <v>0.81897214849565003</v>
      </c>
      <c r="AL4689">
        <v>90.026524468488802</v>
      </c>
      <c r="AM4689">
        <v>105.54749758685</v>
      </c>
      <c r="AN4689">
        <v>1.0000000195807199</v>
      </c>
    </row>
    <row r="4690" spans="1:40" x14ac:dyDescent="0.25">
      <c r="A4690" t="str">
        <f>"20190312150744787"</f>
        <v>20190312150744787</v>
      </c>
      <c r="B4690" t="str">
        <f>"1552374464784306"</f>
        <v>1552374464784306</v>
      </c>
      <c r="C4690" t="s">
        <v>40</v>
      </c>
      <c r="D4690">
        <v>4.2389409999999996</v>
      </c>
      <c r="E4690">
        <v>0.33957150000000003</v>
      </c>
      <c r="F4690" t="s">
        <v>41</v>
      </c>
      <c r="G4690">
        <v>-491.68770000000001</v>
      </c>
      <c r="H4690">
        <v>0.99739140000000004</v>
      </c>
      <c r="I4690">
        <v>231.1311</v>
      </c>
      <c r="J4690">
        <v>-492.35849999999999</v>
      </c>
      <c r="K4690">
        <v>1.1114710000000001</v>
      </c>
      <c r="L4690">
        <v>231.5967</v>
      </c>
      <c r="M4690">
        <v>0.20730599999999999</v>
      </c>
      <c r="N4690">
        <v>0</v>
      </c>
      <c r="O4690">
        <v>-0.97818380000000005</v>
      </c>
      <c r="P4690">
        <v>0.4617212</v>
      </c>
      <c r="Q4690">
        <v>-1.29975E-2</v>
      </c>
      <c r="R4690">
        <v>-0.8869302</v>
      </c>
      <c r="S4690">
        <v>2.521271</v>
      </c>
      <c r="T4690">
        <v>-0.41284680000000001</v>
      </c>
      <c r="U4690">
        <v>-2.067993</v>
      </c>
      <c r="V4690">
        <v>-0.26780549999999997</v>
      </c>
      <c r="W4690">
        <v>-6.1378769999999999E-4</v>
      </c>
      <c r="X4690">
        <v>0.96347280000000002</v>
      </c>
      <c r="Y4690">
        <v>-0.61815180000000003</v>
      </c>
      <c r="Z4690">
        <v>0.13197149999999999</v>
      </c>
      <c r="AA4690">
        <v>0.77490119999999996</v>
      </c>
      <c r="AB4690">
        <v>11</v>
      </c>
      <c r="AC4690">
        <v>0.67079999999998496</v>
      </c>
      <c r="AD4690">
        <v>-0.114079599999999</v>
      </c>
      <c r="AE4690">
        <v>-0.46559999999999402</v>
      </c>
      <c r="AF4690">
        <v>-0.54897926718009005</v>
      </c>
      <c r="AG4690">
        <v>-0.114079599999999</v>
      </c>
      <c r="AH4690">
        <v>0.58317420152161603</v>
      </c>
      <c r="AI4690">
        <v>98.106452286185004</v>
      </c>
      <c r="AJ4690">
        <v>133.269996045591</v>
      </c>
      <c r="AK4690">
        <v>0.80900218803790802</v>
      </c>
      <c r="AL4690">
        <v>90.035167446954404</v>
      </c>
      <c r="AM4690">
        <v>105.533725958223</v>
      </c>
      <c r="AN4690">
        <v>0.999999999452715</v>
      </c>
    </row>
    <row r="4691" spans="1:40" x14ac:dyDescent="0.25">
      <c r="A4691" t="str">
        <f>"20190312150744806"</f>
        <v>20190312150744806</v>
      </c>
      <c r="B4691" t="str">
        <f>"1552374464804801"</f>
        <v>1552374464804801</v>
      </c>
      <c r="C4691" t="s">
        <v>40</v>
      </c>
      <c r="D4691">
        <v>4.2571399999999997</v>
      </c>
      <c r="E4691">
        <v>0.3396941</v>
      </c>
      <c r="F4691" t="s">
        <v>61</v>
      </c>
      <c r="G4691">
        <v>-485.55599999999998</v>
      </c>
      <c r="H4691" s="1">
        <v>4.4246869999999996E-6</v>
      </c>
      <c r="I4691">
        <v>226.04900000000001</v>
      </c>
      <c r="J4691">
        <v>-492.33409999999998</v>
      </c>
      <c r="K4691">
        <v>1.1114820000000001</v>
      </c>
      <c r="L4691">
        <v>231.49780000000001</v>
      </c>
      <c r="M4691">
        <v>0.21009140000000001</v>
      </c>
      <c r="N4691">
        <v>0</v>
      </c>
      <c r="O4691">
        <v>-0.97758940000000005</v>
      </c>
      <c r="P4691">
        <v>0.46410069999999998</v>
      </c>
      <c r="Q4691">
        <v>-1.316085E-2</v>
      </c>
      <c r="R4691">
        <v>-0.88568499999999994</v>
      </c>
      <c r="S4691">
        <v>2.5270389999999998</v>
      </c>
      <c r="T4691">
        <v>-0.4128966</v>
      </c>
      <c r="U4691">
        <v>-2.060883</v>
      </c>
      <c r="V4691">
        <v>-0.26764840000000001</v>
      </c>
      <c r="W4691">
        <v>-7.8263599999999997E-4</v>
      </c>
      <c r="X4691">
        <v>0.96351640000000005</v>
      </c>
      <c r="Y4691">
        <v>-0.61809579999999997</v>
      </c>
      <c r="Z4691">
        <v>0.13203570000000001</v>
      </c>
      <c r="AA4691">
        <v>0.77493489999999998</v>
      </c>
      <c r="AB4691">
        <v>11</v>
      </c>
      <c r="AC4691">
        <v>6.7780999999999896</v>
      </c>
      <c r="AD4691">
        <v>-1.111477575313</v>
      </c>
      <c r="AE4691">
        <v>-5.4488000000000003</v>
      </c>
      <c r="AF4691">
        <v>-5.39384400708916</v>
      </c>
      <c r="AG4691">
        <v>-1.111477575313</v>
      </c>
      <c r="AH4691">
        <v>6.6428147405830602</v>
      </c>
      <c r="AI4691">
        <v>97.400857860090397</v>
      </c>
      <c r="AJ4691">
        <v>129.07596663929601</v>
      </c>
      <c r="AK4691">
        <v>8.6287845755322294</v>
      </c>
      <c r="AL4691">
        <v>90.044841741321903</v>
      </c>
      <c r="AM4691">
        <v>105.52438457079001</v>
      </c>
      <c r="AN4691">
        <v>1.0000000658053101</v>
      </c>
    </row>
    <row r="4692" spans="1:40" x14ac:dyDescent="0.25">
      <c r="A4692" t="str">
        <f>"20190312150744830"</f>
        <v>20190312150744830</v>
      </c>
      <c r="B4692" t="str">
        <f>"1552374464824321"</f>
        <v>1552374464824321</v>
      </c>
      <c r="C4692" t="s">
        <v>40</v>
      </c>
      <c r="D4692">
        <v>4.2316029999999998</v>
      </c>
      <c r="E4692">
        <v>0.33976659999999997</v>
      </c>
      <c r="F4692" t="s">
        <v>61</v>
      </c>
      <c r="G4692">
        <v>-485.54880000000003</v>
      </c>
      <c r="H4692" s="1">
        <v>4.4105959999999996E-6</v>
      </c>
      <c r="I4692">
        <v>225.99250000000001</v>
      </c>
      <c r="J4692">
        <v>-492.30739999999997</v>
      </c>
      <c r="K4692">
        <v>1.1115010000000001</v>
      </c>
      <c r="L4692">
        <v>231.39080000000001</v>
      </c>
      <c r="M4692">
        <v>0.2131258</v>
      </c>
      <c r="N4692">
        <v>0</v>
      </c>
      <c r="O4692">
        <v>-0.97693220000000003</v>
      </c>
      <c r="P4692">
        <v>0.46668710000000002</v>
      </c>
      <c r="Q4692">
        <v>-1.3931829999999999E-2</v>
      </c>
      <c r="R4692">
        <v>-0.88431299999999902</v>
      </c>
      <c r="S4692">
        <v>2.5319210000000001</v>
      </c>
      <c r="T4692">
        <v>-0.41474810000000001</v>
      </c>
      <c r="U4692">
        <v>-2.054306</v>
      </c>
      <c r="V4692">
        <v>-0.26747310000000002</v>
      </c>
      <c r="W4692">
        <v>-1.560826E-3</v>
      </c>
      <c r="X4692">
        <v>0.96356410000000003</v>
      </c>
      <c r="Y4692">
        <v>-0.61754779999999998</v>
      </c>
      <c r="Z4692">
        <v>0.1326743</v>
      </c>
      <c r="AA4692">
        <v>0.77526280000000003</v>
      </c>
      <c r="AB4692">
        <v>11</v>
      </c>
      <c r="AC4692">
        <v>6.75859999999994</v>
      </c>
      <c r="AD4692">
        <v>-1.1114965894040001</v>
      </c>
      <c r="AE4692">
        <v>-5.3982999999999999</v>
      </c>
      <c r="AF4692">
        <v>-5.3640986999817502</v>
      </c>
      <c r="AG4692">
        <v>-1.1114965894040001</v>
      </c>
      <c r="AH4692">
        <v>6.60573918509614</v>
      </c>
      <c r="AI4692">
        <v>97.441861777548098</v>
      </c>
      <c r="AJ4692">
        <v>129.077845079372</v>
      </c>
      <c r="AK4692">
        <v>8.5816530874253605</v>
      </c>
      <c r="AL4692">
        <v>90.089428775525604</v>
      </c>
      <c r="AM4692">
        <v>105.51397555982599</v>
      </c>
      <c r="AN4692">
        <v>1.0000000351051099</v>
      </c>
    </row>
    <row r="4693" spans="1:40" x14ac:dyDescent="0.25">
      <c r="A4693" t="str">
        <f>"20190312150744852"</f>
        <v>20190312150744852</v>
      </c>
      <c r="B4693" t="str">
        <f>"1552374464844818"</f>
        <v>1552374464844818</v>
      </c>
      <c r="C4693" t="s">
        <v>40</v>
      </c>
      <c r="D4693">
        <v>4.3278509999999999</v>
      </c>
      <c r="E4693">
        <v>0.37683240000000001</v>
      </c>
      <c r="F4693" t="s">
        <v>61</v>
      </c>
      <c r="G4693">
        <v>-485.53710000000001</v>
      </c>
      <c r="H4693" s="1">
        <v>4.3943009999999998E-6</v>
      </c>
      <c r="I4693">
        <v>225.9306</v>
      </c>
      <c r="J4693">
        <v>-492.28039999999999</v>
      </c>
      <c r="K4693">
        <v>1.111515</v>
      </c>
      <c r="L4693">
        <v>231.28450000000001</v>
      </c>
      <c r="M4693">
        <v>0.21616669999999999</v>
      </c>
      <c r="N4693">
        <v>0</v>
      </c>
      <c r="O4693">
        <v>-0.97626380000000001</v>
      </c>
      <c r="P4693">
        <v>0.46901019999999999</v>
      </c>
      <c r="Q4693">
        <v>-1.4337799999999901E-2</v>
      </c>
      <c r="R4693">
        <v>-0.88307639999999998</v>
      </c>
      <c r="S4693">
        <v>2.5376889999999999</v>
      </c>
      <c r="T4693">
        <v>-0.41662260000000001</v>
      </c>
      <c r="U4693">
        <v>-2.0466769999999999</v>
      </c>
      <c r="V4693">
        <v>-0.26700649999999998</v>
      </c>
      <c r="W4693">
        <v>-1.9728580000000001E-3</v>
      </c>
      <c r="X4693">
        <v>0.96369269999999996</v>
      </c>
      <c r="Y4693">
        <v>-0.61731859999999905</v>
      </c>
      <c r="Z4693">
        <v>0.13332359999999999</v>
      </c>
      <c r="AA4693">
        <v>0.77533379999999996</v>
      </c>
      <c r="AB4693">
        <v>11</v>
      </c>
      <c r="AC4693">
        <v>6.7432999999999703</v>
      </c>
      <c r="AD4693">
        <v>-1.1115106056990001</v>
      </c>
      <c r="AE4693">
        <v>-5.3539000000000003</v>
      </c>
      <c r="AF4693">
        <v>-5.3374490678615798</v>
      </c>
      <c r="AG4693">
        <v>-1.1115106056990001</v>
      </c>
      <c r="AH4693">
        <v>6.5755217911980903</v>
      </c>
      <c r="AI4693">
        <v>97.476929422533203</v>
      </c>
      <c r="AJ4693">
        <v>129.066753168231</v>
      </c>
      <c r="AK4693">
        <v>8.54173900357058</v>
      </c>
      <c r="AL4693">
        <v>90.113036511251906</v>
      </c>
      <c r="AM4693">
        <v>105.486244540789</v>
      </c>
      <c r="AN4693">
        <v>0.99999999162211395</v>
      </c>
    </row>
    <row r="4694" spans="1:40" x14ac:dyDescent="0.25">
      <c r="A4694" t="str">
        <f>"20190312150744865"</f>
        <v>20190312150744865</v>
      </c>
      <c r="B4694" t="str">
        <f>"1552374464854578"</f>
        <v>1552374464854578</v>
      </c>
      <c r="C4694" t="s">
        <v>40</v>
      </c>
      <c r="D4694">
        <v>4.269711</v>
      </c>
      <c r="E4694">
        <v>0.38746989999999998</v>
      </c>
      <c r="F4694" t="s">
        <v>41</v>
      </c>
      <c r="G4694">
        <v>-491.61020000000002</v>
      </c>
      <c r="H4694">
        <v>0.98530269999999998</v>
      </c>
      <c r="I4694">
        <v>230.6447</v>
      </c>
      <c r="J4694">
        <v>-492.26429999999999</v>
      </c>
      <c r="K4694">
        <v>1.1115269999999999</v>
      </c>
      <c r="L4694">
        <v>231.2217</v>
      </c>
      <c r="M4694">
        <v>0.21797549999999999</v>
      </c>
      <c r="N4694">
        <v>0</v>
      </c>
      <c r="O4694">
        <v>-0.97586150000000005</v>
      </c>
      <c r="P4694">
        <v>0.47042800000000001</v>
      </c>
      <c r="Q4694">
        <v>-1.4707120000000001E-2</v>
      </c>
      <c r="R4694">
        <v>-0.88231559999999898</v>
      </c>
      <c r="S4694">
        <v>2.2821959999999999</v>
      </c>
      <c r="T4694">
        <v>-0.42968079999999997</v>
      </c>
      <c r="U4694">
        <v>-2.1781920000000001</v>
      </c>
      <c r="V4694">
        <v>-0.26676909999999998</v>
      </c>
      <c r="W4694">
        <v>-2.3461659999999998E-3</v>
      </c>
      <c r="X4694">
        <v>0.96375759999999999</v>
      </c>
      <c r="Y4694">
        <v>-0.54828350000000003</v>
      </c>
      <c r="Z4694">
        <v>0.14058419999999999</v>
      </c>
      <c r="AA4694">
        <v>0.82439150000000005</v>
      </c>
      <c r="AB4694">
        <v>11</v>
      </c>
      <c r="AC4694">
        <v>0.65409999999997104</v>
      </c>
      <c r="AD4694">
        <v>-0.12622430000000001</v>
      </c>
      <c r="AE4694">
        <v>-0.57699999999999796</v>
      </c>
      <c r="AF4694">
        <v>-0.50207090104465202</v>
      </c>
      <c r="AG4694">
        <v>-0.12622430000000001</v>
      </c>
      <c r="AH4694">
        <v>0.69123747024341298</v>
      </c>
      <c r="AI4694">
        <v>98.4044247786358</v>
      </c>
      <c r="AJ4694">
        <v>125.992267444181</v>
      </c>
      <c r="AK4694">
        <v>0.86360697302348899</v>
      </c>
      <c r="AL4694">
        <v>90.134425535260604</v>
      </c>
      <c r="AM4694">
        <v>105.472143445924</v>
      </c>
      <c r="AN4694">
        <v>0.99999998438373405</v>
      </c>
    </row>
    <row r="4695" spans="1:40" x14ac:dyDescent="0.25">
      <c r="A4695" t="str">
        <f>"20190312150744885"</f>
        <v>20190312150744885</v>
      </c>
      <c r="B4695" t="str">
        <f>"1552374464874101"</f>
        <v>1552374464874101</v>
      </c>
      <c r="C4695" t="s">
        <v>40</v>
      </c>
      <c r="D4695">
        <v>4.3129339999999896</v>
      </c>
      <c r="E4695">
        <v>0.39910960000000001</v>
      </c>
      <c r="F4695" t="s">
        <v>41</v>
      </c>
      <c r="G4695">
        <v>-491.59269999999998</v>
      </c>
      <c r="H4695">
        <v>0.98968449999999997</v>
      </c>
      <c r="I4695">
        <v>230.5488</v>
      </c>
      <c r="J4695">
        <v>-492.23970000000003</v>
      </c>
      <c r="K4695">
        <v>1.1115379999999999</v>
      </c>
      <c r="L4695">
        <v>231.12690000000001</v>
      </c>
      <c r="M4695">
        <v>0.22073090000000001</v>
      </c>
      <c r="N4695">
        <v>0</v>
      </c>
      <c r="O4695">
        <v>-0.9752421</v>
      </c>
      <c r="P4695">
        <v>0.47263260000000001</v>
      </c>
      <c r="Q4695">
        <v>-1.490503E-2</v>
      </c>
      <c r="R4695">
        <v>-0.88113359999999996</v>
      </c>
      <c r="S4695">
        <v>2.2103269999999999</v>
      </c>
      <c r="T4695">
        <v>-0.40105469999999999</v>
      </c>
      <c r="U4695">
        <v>-2.2149510000000001</v>
      </c>
      <c r="V4695">
        <v>-0.266457</v>
      </c>
      <c r="W4695">
        <v>-2.5505250000000001E-3</v>
      </c>
      <c r="X4695">
        <v>0.96384349999999996</v>
      </c>
      <c r="Y4695">
        <v>-0.52647069999999996</v>
      </c>
      <c r="Z4695">
        <v>0.13205229999999901</v>
      </c>
      <c r="AA4695">
        <v>0.839875499999999</v>
      </c>
      <c r="AB4695">
        <v>11</v>
      </c>
      <c r="AC4695">
        <v>0.64700000000004798</v>
      </c>
      <c r="AD4695">
        <v>-0.121853499999999</v>
      </c>
      <c r="AE4695">
        <v>-0.57810000000000605</v>
      </c>
      <c r="AF4695">
        <v>-0.49368522804860199</v>
      </c>
      <c r="AG4695">
        <v>-0.121853499999999</v>
      </c>
      <c r="AH4695">
        <v>0.69299567130265705</v>
      </c>
      <c r="AI4695">
        <v>98.150005834872402</v>
      </c>
      <c r="AJ4695">
        <v>125.465803576941</v>
      </c>
      <c r="AK4695">
        <v>0.85954428640988101</v>
      </c>
      <c r="AL4695">
        <v>90.146134466944602</v>
      </c>
      <c r="AM4695">
        <v>105.453596449953</v>
      </c>
      <c r="AN4695">
        <v>1.00000006525951</v>
      </c>
    </row>
    <row r="4696" spans="1:40" x14ac:dyDescent="0.25">
      <c r="A4696" t="str">
        <f>"20190312150744907"</f>
        <v>20190312150744907</v>
      </c>
      <c r="B4696" t="str">
        <f>"1552374464904354"</f>
        <v>1552374464904354</v>
      </c>
      <c r="C4696" t="s">
        <v>40</v>
      </c>
      <c r="D4696">
        <v>4.2653749999999997</v>
      </c>
      <c r="E4696">
        <v>0.404472</v>
      </c>
      <c r="F4696" t="s">
        <v>41</v>
      </c>
      <c r="G4696">
        <v>-491.59390000000002</v>
      </c>
      <c r="H4696">
        <v>0.99789570000000005</v>
      </c>
      <c r="I4696">
        <v>230.4442</v>
      </c>
      <c r="J4696">
        <v>-492.2133</v>
      </c>
      <c r="K4696">
        <v>1.1115569999999999</v>
      </c>
      <c r="L4696">
        <v>231.0265</v>
      </c>
      <c r="M4696">
        <v>0.2236862</v>
      </c>
      <c r="N4696">
        <v>0</v>
      </c>
      <c r="O4696">
        <v>-0.97456849999999995</v>
      </c>
      <c r="P4696">
        <v>0.47491</v>
      </c>
      <c r="Q4696">
        <v>-1.495546E-2</v>
      </c>
      <c r="R4696">
        <v>-0.87990759999999901</v>
      </c>
      <c r="S4696">
        <v>2.1335449999999998</v>
      </c>
      <c r="T4696">
        <v>-0.37517210000000001</v>
      </c>
      <c r="U4696">
        <v>-2.2539669999999998</v>
      </c>
      <c r="V4696">
        <v>-0.26602809999999999</v>
      </c>
      <c r="W4696">
        <v>-2.6081530000000002E-3</v>
      </c>
      <c r="X4696">
        <v>0.96396179999999998</v>
      </c>
      <c r="Y4696">
        <v>-0.50219279999999999</v>
      </c>
      <c r="Z4696">
        <v>0.12425849999999999</v>
      </c>
      <c r="AA4696">
        <v>0.85578159999999903</v>
      </c>
      <c r="AB4696">
        <v>11</v>
      </c>
      <c r="AC4696">
        <v>0.61939999999998396</v>
      </c>
      <c r="AD4696">
        <v>-0.11366129999999899</v>
      </c>
      <c r="AE4696">
        <v>-0.58230000000000304</v>
      </c>
      <c r="AF4696">
        <v>-0.46512388418130701</v>
      </c>
      <c r="AG4696">
        <v>-0.11366129999999899</v>
      </c>
      <c r="AH4696">
        <v>0.69370618472725898</v>
      </c>
      <c r="AI4696">
        <v>97.749649625995104</v>
      </c>
      <c r="AJ4696">
        <v>123.841504521084</v>
      </c>
      <c r="AK4696">
        <v>0.84290414015025805</v>
      </c>
      <c r="AL4696">
        <v>90.149436320853198</v>
      </c>
      <c r="AM4696">
        <v>105.428104568546</v>
      </c>
      <c r="AN4696">
        <v>1.00000005215545</v>
      </c>
    </row>
    <row r="4697" spans="1:40" x14ac:dyDescent="0.25">
      <c r="A4697" t="str">
        <f>"20190312150744930"</f>
        <v>20190312150744930</v>
      </c>
      <c r="B4697" t="str">
        <f>"1552374464924850"</f>
        <v>1552374464924850</v>
      </c>
      <c r="C4697" t="s">
        <v>40</v>
      </c>
      <c r="D4697">
        <v>4.2535249999999998</v>
      </c>
      <c r="E4697">
        <v>0.40646310000000002</v>
      </c>
      <c r="F4697" t="s">
        <v>41</v>
      </c>
      <c r="G4697">
        <v>-491.58260000000001</v>
      </c>
      <c r="H4697">
        <v>1.0055670000000001</v>
      </c>
      <c r="I4697">
        <v>230.34549999999999</v>
      </c>
      <c r="J4697">
        <v>-492.18490000000003</v>
      </c>
      <c r="K4697">
        <v>1.111569</v>
      </c>
      <c r="L4697">
        <v>230.92009999999999</v>
      </c>
      <c r="M4697">
        <v>0.22686049999999999</v>
      </c>
      <c r="N4697">
        <v>0</v>
      </c>
      <c r="O4697">
        <v>-0.97383450000000005</v>
      </c>
      <c r="P4697">
        <v>0.47798059999999998</v>
      </c>
      <c r="Q4697">
        <v>-1.5308860000000001E-2</v>
      </c>
      <c r="R4697">
        <v>-0.87823719999999905</v>
      </c>
      <c r="S4697">
        <v>2.1017459999999999</v>
      </c>
      <c r="T4697">
        <v>-0.35312749999999998</v>
      </c>
      <c r="U4697">
        <v>-2.2690890000000001</v>
      </c>
      <c r="V4697">
        <v>-0.26625490000000002</v>
      </c>
      <c r="W4697">
        <v>-2.9729410000000002E-3</v>
      </c>
      <c r="X4697">
        <v>0.96389809999999998</v>
      </c>
      <c r="Y4697">
        <v>-0.49064279999999999</v>
      </c>
      <c r="Z4697">
        <v>0.1172769</v>
      </c>
      <c r="AA4697">
        <v>0.863432599999999</v>
      </c>
      <c r="AB4697">
        <v>11</v>
      </c>
      <c r="AC4697">
        <v>0.60230000000001305</v>
      </c>
      <c r="AD4697">
        <v>-0.106001999999999</v>
      </c>
      <c r="AE4697">
        <v>-0.574600000000003</v>
      </c>
      <c r="AF4697">
        <v>-0.44894764674248</v>
      </c>
      <c r="AG4697">
        <v>-0.106001999999999</v>
      </c>
      <c r="AH4697">
        <v>0.68515593248406204</v>
      </c>
      <c r="AI4697">
        <v>97.3734543967024</v>
      </c>
      <c r="AJ4697">
        <v>123.23477571354201</v>
      </c>
      <c r="AK4697">
        <v>0.82597158869885901</v>
      </c>
      <c r="AL4697">
        <v>90.170337218076199</v>
      </c>
      <c r="AM4697">
        <v>105.441601984656</v>
      </c>
      <c r="AN4697">
        <v>1.0000000286679001</v>
      </c>
    </row>
    <row r="4698" spans="1:40" x14ac:dyDescent="0.25">
      <c r="A4698" t="str">
        <f>"20190312150744943"</f>
        <v>20190312150744943</v>
      </c>
      <c r="B4698" t="str">
        <f>"1552374464934610"</f>
        <v>1552374464934610</v>
      </c>
      <c r="C4698" t="s">
        <v>40</v>
      </c>
      <c r="D4698">
        <v>4.2641460000000002</v>
      </c>
      <c r="E4698">
        <v>0.40663690000000002</v>
      </c>
      <c r="F4698" t="s">
        <v>41</v>
      </c>
      <c r="G4698">
        <v>-491.5659</v>
      </c>
      <c r="H4698">
        <v>1.0089030000000001</v>
      </c>
      <c r="I4698">
        <v>230.24950000000001</v>
      </c>
      <c r="J4698">
        <v>-492.1678</v>
      </c>
      <c r="K4698">
        <v>1.111575</v>
      </c>
      <c r="L4698">
        <v>230.8569</v>
      </c>
      <c r="M4698">
        <v>0.22876289999999999</v>
      </c>
      <c r="N4698">
        <v>0</v>
      </c>
      <c r="O4698">
        <v>-0.97338930000000001</v>
      </c>
      <c r="P4698">
        <v>0.47976289999999999</v>
      </c>
      <c r="Q4698">
        <v>-1.5504399999999899E-2</v>
      </c>
      <c r="R4698">
        <v>-0.87726119999999996</v>
      </c>
      <c r="S4698">
        <v>2.0957029999999999</v>
      </c>
      <c r="T4698">
        <v>-0.34743960000000002</v>
      </c>
      <c r="U4698">
        <v>-2.2693020000000002</v>
      </c>
      <c r="V4698">
        <v>-0.26632869999999997</v>
      </c>
      <c r="W4698">
        <v>-3.1747160000000002E-3</v>
      </c>
      <c r="X4698">
        <v>0.96387699999999998</v>
      </c>
      <c r="Y4698">
        <v>-0.4878014</v>
      </c>
      <c r="Z4698">
        <v>0.1155175</v>
      </c>
      <c r="AA4698">
        <v>0.86527770000000004</v>
      </c>
      <c r="AB4698">
        <v>11</v>
      </c>
      <c r="AC4698">
        <v>0.60189999999999999</v>
      </c>
      <c r="AD4698">
        <v>-0.102671999999999</v>
      </c>
      <c r="AE4698">
        <v>-0.60739999999998395</v>
      </c>
      <c r="AF4698">
        <v>-0.44062067797905502</v>
      </c>
      <c r="AG4698">
        <v>-0.102671999999999</v>
      </c>
      <c r="AH4698">
        <v>0.71863482658792799</v>
      </c>
      <c r="AI4698">
        <v>96.944379672635407</v>
      </c>
      <c r="AJ4698">
        <v>121.51394886710401</v>
      </c>
      <c r="AK4698">
        <v>0.84919028222877402</v>
      </c>
      <c r="AL4698">
        <v>90.181898140201</v>
      </c>
      <c r="AM4698">
        <v>105.44599968696799</v>
      </c>
      <c r="AN4698">
        <v>0.99999996319718398</v>
      </c>
    </row>
    <row r="4699" spans="1:40" x14ac:dyDescent="0.25">
      <c r="A4699" t="str">
        <f>"20190312150744969"</f>
        <v>20190312150744969</v>
      </c>
      <c r="B4699" t="str">
        <f>"1552374464964865"</f>
        <v>1552374464964865</v>
      </c>
      <c r="C4699" t="s">
        <v>40</v>
      </c>
      <c r="D4699">
        <v>4.3034400000000002</v>
      </c>
      <c r="E4699">
        <v>0.4073386</v>
      </c>
      <c r="F4699" t="s">
        <v>41</v>
      </c>
      <c r="G4699">
        <v>-491.58580000000001</v>
      </c>
      <c r="H4699">
        <v>1.0157879999999999</v>
      </c>
      <c r="I4699">
        <v>230.2285</v>
      </c>
      <c r="J4699">
        <v>-492.13560000000001</v>
      </c>
      <c r="K4699">
        <v>1.1115900000000001</v>
      </c>
      <c r="L4699">
        <v>230.73869999999999</v>
      </c>
      <c r="M4699">
        <v>0.2323653</v>
      </c>
      <c r="N4699">
        <v>0</v>
      </c>
      <c r="O4699">
        <v>-0.9725357</v>
      </c>
      <c r="P4699">
        <v>0.48278949999999998</v>
      </c>
      <c r="Q4699">
        <v>-1.534813E-2</v>
      </c>
      <c r="R4699">
        <v>-0.87560210000000005</v>
      </c>
      <c r="S4699">
        <v>2.0992130000000002</v>
      </c>
      <c r="T4699">
        <v>-0.3453754</v>
      </c>
      <c r="U4699">
        <v>-2.2655789999999998</v>
      </c>
      <c r="V4699">
        <v>-0.26608799999999999</v>
      </c>
      <c r="W4699">
        <v>-3.0265270000000002E-3</v>
      </c>
      <c r="X4699">
        <v>0.96394400000000002</v>
      </c>
      <c r="Y4699">
        <v>-0.48605880000000001</v>
      </c>
      <c r="Z4699">
        <v>0.1148348</v>
      </c>
      <c r="AA4699">
        <v>0.86634859999999903</v>
      </c>
      <c r="AB4699">
        <v>11</v>
      </c>
      <c r="AC4699">
        <v>0.54980000000000395</v>
      </c>
      <c r="AD4699">
        <v>-9.5801999999999901E-2</v>
      </c>
      <c r="AE4699">
        <v>-0.51019999999999699</v>
      </c>
      <c r="AF4699">
        <v>-0.40950427943913698</v>
      </c>
      <c r="AG4699">
        <v>-9.5801999999999901E-2</v>
      </c>
      <c r="AH4699">
        <v>0.61398199924154395</v>
      </c>
      <c r="AI4699">
        <v>97.396217282164599</v>
      </c>
      <c r="AJ4699">
        <v>123.70188516698801</v>
      </c>
      <c r="AK4699">
        <v>0.74420808479591904</v>
      </c>
      <c r="AL4699">
        <v>90.173407486789301</v>
      </c>
      <c r="AM4699">
        <v>105.43168424308401</v>
      </c>
      <c r="AN4699">
        <v>1.0000000093728401</v>
      </c>
    </row>
    <row r="4700" spans="1:40" x14ac:dyDescent="0.25">
      <c r="A4700" t="str">
        <f>"20190312150744998"</f>
        <v>20190312150744998</v>
      </c>
      <c r="B4700" t="str">
        <f>"1552374464994146"</f>
        <v>1552374464994146</v>
      </c>
      <c r="C4700" t="s">
        <v>40</v>
      </c>
      <c r="D4700">
        <v>4.2672600000000003</v>
      </c>
      <c r="E4700">
        <v>0.40792050000000002</v>
      </c>
      <c r="F4700" t="s">
        <v>41</v>
      </c>
      <c r="G4700">
        <v>-491.512</v>
      </c>
      <c r="H4700">
        <v>1.0092080000000001</v>
      </c>
      <c r="I4700">
        <v>230.06790000000001</v>
      </c>
      <c r="J4700">
        <v>-492.09899999999999</v>
      </c>
      <c r="K4700">
        <v>1.111607</v>
      </c>
      <c r="L4700">
        <v>230.60720000000001</v>
      </c>
      <c r="M4700">
        <v>0.23643259999999999</v>
      </c>
      <c r="N4700">
        <v>0</v>
      </c>
      <c r="O4700">
        <v>-0.97155480000000005</v>
      </c>
      <c r="P4700">
        <v>0.48598200000000003</v>
      </c>
      <c r="Q4700">
        <v>-1.5407489999999999E-2</v>
      </c>
      <c r="R4700">
        <v>-0.87383290000000002</v>
      </c>
      <c r="S4700">
        <v>2.1026609999999999</v>
      </c>
      <c r="T4700">
        <v>-0.34509759999999901</v>
      </c>
      <c r="U4700">
        <v>-2.2608489999999999</v>
      </c>
      <c r="V4700">
        <v>-0.26557259999999999</v>
      </c>
      <c r="W4700">
        <v>-3.0922699999999998E-3</v>
      </c>
      <c r="X4700">
        <v>0.96408590000000005</v>
      </c>
      <c r="Y4700">
        <v>-0.48402529999999999</v>
      </c>
      <c r="Z4700">
        <v>0.1147613</v>
      </c>
      <c r="AA4700">
        <v>0.86749599999999905</v>
      </c>
      <c r="AB4700">
        <v>11</v>
      </c>
      <c r="AC4700">
        <v>0.58700000000004504</v>
      </c>
      <c r="AD4700">
        <v>-0.102399</v>
      </c>
      <c r="AE4700">
        <v>-0.539299999999997</v>
      </c>
      <c r="AF4700">
        <v>-0.43564562390587203</v>
      </c>
      <c r="AG4700">
        <v>-0.102399</v>
      </c>
      <c r="AH4700">
        <v>0.65204537843398902</v>
      </c>
      <c r="AI4700">
        <v>97.439572841947495</v>
      </c>
      <c r="AJ4700">
        <v>123.747741974062</v>
      </c>
      <c r="AK4700">
        <v>0.79084501665399698</v>
      </c>
      <c r="AL4700">
        <v>90.177174303310593</v>
      </c>
      <c r="AM4700">
        <v>105.401055085213</v>
      </c>
      <c r="AN4700">
        <v>0.99999999529166095</v>
      </c>
    </row>
    <row r="4701" spans="1:40" x14ac:dyDescent="0.25">
      <c r="A4701" t="str">
        <f>"20190312150745020"</f>
        <v>20190312150745020</v>
      </c>
      <c r="B4701" t="str">
        <f>"1552374465014641"</f>
        <v>1552374465014641</v>
      </c>
      <c r="C4701" t="s">
        <v>40</v>
      </c>
      <c r="D4701">
        <v>4.2366659999999996</v>
      </c>
      <c r="E4701">
        <v>0.4083213</v>
      </c>
      <c r="F4701" t="s">
        <v>41</v>
      </c>
      <c r="G4701">
        <v>-491.50279999999998</v>
      </c>
      <c r="H4701">
        <v>1.015663</v>
      </c>
      <c r="I4701">
        <v>229.96889999999999</v>
      </c>
      <c r="J4701">
        <v>-492.07</v>
      </c>
      <c r="K4701">
        <v>1.1116170000000001</v>
      </c>
      <c r="L4701">
        <v>230.50460000000001</v>
      </c>
      <c r="M4701">
        <v>0.239646</v>
      </c>
      <c r="N4701">
        <v>0</v>
      </c>
      <c r="O4701">
        <v>-0.9707673</v>
      </c>
      <c r="P4701">
        <v>0.48864469999999999</v>
      </c>
      <c r="Q4701">
        <v>-1.531951E-2</v>
      </c>
      <c r="R4701">
        <v>-0.87234869999999898</v>
      </c>
      <c r="S4701">
        <v>2.106995</v>
      </c>
      <c r="T4701">
        <v>-0.33897159999999998</v>
      </c>
      <c r="U4701">
        <v>-2.2553709999999998</v>
      </c>
      <c r="V4701">
        <v>-0.26532260000000002</v>
      </c>
      <c r="W4701">
        <v>-3.0078729999999999E-3</v>
      </c>
      <c r="X4701">
        <v>0.96415499999999998</v>
      </c>
      <c r="Y4701">
        <v>-0.48323240000000001</v>
      </c>
      <c r="Z4701">
        <v>0.11277769999999999</v>
      </c>
      <c r="AA4701">
        <v>0.86819799999999903</v>
      </c>
      <c r="AB4701">
        <v>11</v>
      </c>
      <c r="AC4701">
        <v>0.56720000000001303</v>
      </c>
      <c r="AD4701">
        <v>-9.5954000000000095E-2</v>
      </c>
      <c r="AE4701">
        <v>-0.53570000000001905</v>
      </c>
      <c r="AF4701">
        <v>-0.41598669624906598</v>
      </c>
      <c r="AG4701">
        <v>-9.5954000000000095E-2</v>
      </c>
      <c r="AH4701">
        <v>0.64625118703542705</v>
      </c>
      <c r="AI4701">
        <v>97.116495200915494</v>
      </c>
      <c r="AJ4701">
        <v>122.769058280669</v>
      </c>
      <c r="AK4701">
        <v>0.77452740320592295</v>
      </c>
      <c r="AL4701">
        <v>90.172338688647699</v>
      </c>
      <c r="AM4701">
        <v>105.38619399469</v>
      </c>
      <c r="AN4701">
        <v>0.99999999669787198</v>
      </c>
    </row>
    <row r="4702" spans="1:40" x14ac:dyDescent="0.25">
      <c r="A4702" t="str">
        <f>"20190312150745041"</f>
        <v>20190312150745041</v>
      </c>
      <c r="B4702" t="str">
        <f>"1552374465034161"</f>
        <v>1552374465034161</v>
      </c>
      <c r="C4702" t="s">
        <v>40</v>
      </c>
      <c r="D4702">
        <v>4.5350129999999904</v>
      </c>
      <c r="E4702">
        <v>0.40876400000000002</v>
      </c>
      <c r="F4702" t="s">
        <v>41</v>
      </c>
      <c r="G4702">
        <v>-491.47989999999999</v>
      </c>
      <c r="H4702">
        <v>1.017814</v>
      </c>
      <c r="I4702">
        <v>229.87540000000001</v>
      </c>
      <c r="J4702">
        <v>-492.04090000000002</v>
      </c>
      <c r="K4702">
        <v>1.1116200000000001</v>
      </c>
      <c r="L4702">
        <v>230.40309999999999</v>
      </c>
      <c r="M4702">
        <v>0.24285670000000001</v>
      </c>
      <c r="N4702">
        <v>0</v>
      </c>
      <c r="O4702">
        <v>-0.96996899999999997</v>
      </c>
      <c r="P4702">
        <v>0.49140820000000002</v>
      </c>
      <c r="Q4702">
        <v>-1.539155E-2</v>
      </c>
      <c r="R4702">
        <v>-0.87079319999999905</v>
      </c>
      <c r="S4702">
        <v>2.1115110000000001</v>
      </c>
      <c r="T4702">
        <v>-0.33548820000000001</v>
      </c>
      <c r="U4702">
        <v>-2.2503660000000001</v>
      </c>
      <c r="V4702">
        <v>-0.26518960000000003</v>
      </c>
      <c r="W4702">
        <v>-3.0827250000000001E-3</v>
      </c>
      <c r="X4702">
        <v>0.96419129999999997</v>
      </c>
      <c r="Y4702">
        <v>-0.48231930000000001</v>
      </c>
      <c r="Z4702">
        <v>0.111641</v>
      </c>
      <c r="AA4702">
        <v>0.86885239999999997</v>
      </c>
      <c r="AB4702">
        <v>11</v>
      </c>
      <c r="AC4702">
        <v>0.56100000000003503</v>
      </c>
      <c r="AD4702">
        <v>-9.3806E-2</v>
      </c>
      <c r="AE4702">
        <v>-0.52769999999998096</v>
      </c>
      <c r="AF4702">
        <v>-0.409953338478799</v>
      </c>
      <c r="AG4702">
        <v>-9.3806E-2</v>
      </c>
      <c r="AH4702">
        <v>0.63867943609424405</v>
      </c>
      <c r="AI4702">
        <v>97.046199802861594</v>
      </c>
      <c r="AJ4702">
        <v>122.695452990956</v>
      </c>
      <c r="AK4702">
        <v>0.76470433989586795</v>
      </c>
      <c r="AL4702">
        <v>90.176627421356699</v>
      </c>
      <c r="AM4702">
        <v>105.378294905597</v>
      </c>
      <c r="AN4702">
        <v>0.99999994506863599</v>
      </c>
    </row>
    <row r="4703" spans="1:40" x14ac:dyDescent="0.25">
      <c r="A4703" t="str">
        <f>"20190312150745064"</f>
        <v>20190312150745064</v>
      </c>
      <c r="B4703" t="str">
        <f>"1552374465054658"</f>
        <v>1552374465054658</v>
      </c>
      <c r="C4703" t="s">
        <v>40</v>
      </c>
      <c r="D4703">
        <v>4.2023190000000001</v>
      </c>
      <c r="E4703">
        <v>0.40905560000000002</v>
      </c>
      <c r="F4703" t="s">
        <v>41</v>
      </c>
      <c r="G4703">
        <v>-491.44420000000002</v>
      </c>
      <c r="H4703">
        <v>1.0175799999999999</v>
      </c>
      <c r="I4703">
        <v>229.76990000000001</v>
      </c>
      <c r="J4703">
        <v>-492.01159999999999</v>
      </c>
      <c r="K4703">
        <v>1.1116250000000001</v>
      </c>
      <c r="L4703">
        <v>230.30240000000001</v>
      </c>
      <c r="M4703">
        <v>0.24607589999999999</v>
      </c>
      <c r="N4703">
        <v>0</v>
      </c>
      <c r="O4703">
        <v>-0.96915739999999995</v>
      </c>
      <c r="P4703">
        <v>0.4939598</v>
      </c>
      <c r="Q4703">
        <v>-1.5107290000000001E-2</v>
      </c>
      <c r="R4703">
        <v>-0.86935370000000001</v>
      </c>
      <c r="S4703">
        <v>2.115631</v>
      </c>
      <c r="T4703">
        <v>-0.33344610000000002</v>
      </c>
      <c r="U4703">
        <v>-2.2453159999999999</v>
      </c>
      <c r="V4703">
        <v>-0.26481559999999998</v>
      </c>
      <c r="W4703">
        <v>-2.798558E-3</v>
      </c>
      <c r="X4703">
        <v>0.96429500000000001</v>
      </c>
      <c r="Y4703">
        <v>-0.48128609999999999</v>
      </c>
      <c r="Z4703">
        <v>0.11098520000000001</v>
      </c>
      <c r="AA4703">
        <v>0.86950899999999998</v>
      </c>
      <c r="AB4703">
        <v>11</v>
      </c>
      <c r="AC4703">
        <v>0.56739999999996305</v>
      </c>
      <c r="AD4703">
        <v>-9.4045000000000101E-2</v>
      </c>
      <c r="AE4703">
        <v>-0.53249999999999797</v>
      </c>
      <c r="AF4703">
        <v>-0.41287154517762797</v>
      </c>
      <c r="AG4703">
        <v>-9.4045000000000101E-2</v>
      </c>
      <c r="AH4703">
        <v>0.64631828905114497</v>
      </c>
      <c r="AI4703">
        <v>96.9909580923579</v>
      </c>
      <c r="AJ4703">
        <v>122.570655741998</v>
      </c>
      <c r="AK4703">
        <v>0.77268020914500002</v>
      </c>
      <c r="AL4703">
        <v>90.160345772952596</v>
      </c>
      <c r="AM4703">
        <v>105.356057777215</v>
      </c>
      <c r="AN4703">
        <v>0.99999999047761901</v>
      </c>
    </row>
    <row r="4704" spans="1:40" x14ac:dyDescent="0.25">
      <c r="A4704" t="str">
        <f>"20190312150745086"</f>
        <v>20190312150745086</v>
      </c>
      <c r="B4704" t="str">
        <f>"1552374465084913"</f>
        <v>1552374465084913</v>
      </c>
      <c r="C4704" t="s">
        <v>40</v>
      </c>
      <c r="D4704">
        <v>4.2270349999999999</v>
      </c>
      <c r="E4704">
        <v>0.40951729999999997</v>
      </c>
      <c r="F4704" t="s">
        <v>41</v>
      </c>
      <c r="G4704">
        <v>-491.36799999999999</v>
      </c>
      <c r="H4704">
        <v>1.0108600000000001</v>
      </c>
      <c r="I4704">
        <v>229.6223</v>
      </c>
      <c r="J4704">
        <v>-491.98160000000001</v>
      </c>
      <c r="K4704">
        <v>1.111623</v>
      </c>
      <c r="L4704">
        <v>230.20060000000001</v>
      </c>
      <c r="M4704">
        <v>0.24935969999999999</v>
      </c>
      <c r="N4704">
        <v>0</v>
      </c>
      <c r="O4704">
        <v>-0.96831789999999995</v>
      </c>
      <c r="P4704">
        <v>0.4972202</v>
      </c>
      <c r="Q4704">
        <v>-1.492391E-2</v>
      </c>
      <c r="R4704">
        <v>-0.8674963</v>
      </c>
      <c r="S4704">
        <v>2.1202390000000002</v>
      </c>
      <c r="T4704">
        <v>-0.33198109999999997</v>
      </c>
      <c r="U4704">
        <v>-2.2403870000000001</v>
      </c>
      <c r="V4704">
        <v>-0.26516709999999999</v>
      </c>
      <c r="W4704">
        <v>-2.619143E-3</v>
      </c>
      <c r="X4704">
        <v>0.96419889999999997</v>
      </c>
      <c r="Y4704">
        <v>-0.4802553</v>
      </c>
      <c r="Z4704">
        <v>0.110502</v>
      </c>
      <c r="AA4704">
        <v>0.87014029999999998</v>
      </c>
      <c r="AB4704">
        <v>11</v>
      </c>
      <c r="AC4704">
        <v>0.61359999999996195</v>
      </c>
      <c r="AD4704">
        <v>-0.10076299999999901</v>
      </c>
      <c r="AE4704">
        <v>-0.57830000000001203</v>
      </c>
      <c r="AF4704">
        <v>-0.44365959741494998</v>
      </c>
      <c r="AG4704">
        <v>-0.10076299999999901</v>
      </c>
      <c r="AH4704">
        <v>0.70300961250111105</v>
      </c>
      <c r="AI4704">
        <v>96.911200415824496</v>
      </c>
      <c r="AJ4704">
        <v>122.255453956658</v>
      </c>
      <c r="AK4704">
        <v>0.83738255046087395</v>
      </c>
      <c r="AL4704">
        <v>90.150066013696204</v>
      </c>
      <c r="AM4704">
        <v>105.37693642605301</v>
      </c>
      <c r="AN4704">
        <v>0.99999998479683705</v>
      </c>
    </row>
    <row r="4705" spans="1:40" x14ac:dyDescent="0.25">
      <c r="A4705" t="str">
        <f>"20190312150745109"</f>
        <v>20190312150745109</v>
      </c>
      <c r="B4705" t="str">
        <f>"1552374465104434"</f>
        <v>1552374465104434</v>
      </c>
      <c r="C4705" t="s">
        <v>40</v>
      </c>
      <c r="D4705">
        <v>4.2304380000000004</v>
      </c>
      <c r="E4705">
        <v>0.40965309999999999</v>
      </c>
      <c r="F4705" t="s">
        <v>41</v>
      </c>
      <c r="G4705">
        <v>-491.3451</v>
      </c>
      <c r="H4705">
        <v>1.0123740000000001</v>
      </c>
      <c r="I4705">
        <v>229.5309</v>
      </c>
      <c r="J4705">
        <v>-491.95280000000002</v>
      </c>
      <c r="K4705">
        <v>1.111621</v>
      </c>
      <c r="L4705">
        <v>230.10400000000001</v>
      </c>
      <c r="M4705">
        <v>0.25249339999999998</v>
      </c>
      <c r="N4705">
        <v>0</v>
      </c>
      <c r="O4705">
        <v>-0.96750550000000002</v>
      </c>
      <c r="P4705">
        <v>0.50016709999999998</v>
      </c>
      <c r="Q4705">
        <v>-1.573687E-2</v>
      </c>
      <c r="R4705">
        <v>-0.86578619999999995</v>
      </c>
      <c r="S4705">
        <v>2.1254879999999998</v>
      </c>
      <c r="T4705">
        <v>-0.33116600000000002</v>
      </c>
      <c r="U4705">
        <v>-2.2342680000000001</v>
      </c>
      <c r="V4705">
        <v>-0.26532549999999999</v>
      </c>
      <c r="W4705">
        <v>-3.4333240000000002E-3</v>
      </c>
      <c r="X4705">
        <v>0.96415280000000003</v>
      </c>
      <c r="Y4705">
        <v>-0.47970220000000002</v>
      </c>
      <c r="Z4705">
        <v>0.1102534</v>
      </c>
      <c r="AA4705">
        <v>0.8704769</v>
      </c>
      <c r="AB4705">
        <v>11</v>
      </c>
      <c r="AC4705">
        <v>0.607700000000022</v>
      </c>
      <c r="AD4705">
        <v>-9.9247000000000002E-2</v>
      </c>
      <c r="AE4705">
        <v>-0.57310000000001005</v>
      </c>
      <c r="AF4705">
        <v>-0.437118309207428</v>
      </c>
      <c r="AG4705">
        <v>-9.9247000000000002E-2</v>
      </c>
      <c r="AH4705">
        <v>0.69812605388720395</v>
      </c>
      <c r="AI4705">
        <v>96.870553036534403</v>
      </c>
      <c r="AJ4705">
        <v>122.051955128644</v>
      </c>
      <c r="AK4705">
        <v>0.829639904036371</v>
      </c>
      <c r="AL4705">
        <v>90.196715358381695</v>
      </c>
      <c r="AM4705">
        <v>105.386387642644</v>
      </c>
      <c r="AN4705">
        <v>1.0000000152058801</v>
      </c>
    </row>
    <row r="4706" spans="1:40" x14ac:dyDescent="0.25">
      <c r="A4706" t="str">
        <f>"20190312150745131"</f>
        <v>20190312150745131</v>
      </c>
      <c r="B4706" t="str">
        <f>"1552374465124930"</f>
        <v>1552374465124930</v>
      </c>
      <c r="C4706" t="s">
        <v>40</v>
      </c>
      <c r="D4706">
        <v>4.2237119999999999</v>
      </c>
      <c r="E4706">
        <v>0.40966999999999998</v>
      </c>
      <c r="F4706" t="s">
        <v>41</v>
      </c>
      <c r="G4706">
        <v>-491.3186</v>
      </c>
      <c r="H4706">
        <v>1.011943</v>
      </c>
      <c r="I4706">
        <v>229.44149999999999</v>
      </c>
      <c r="J4706">
        <v>-491.92099999999999</v>
      </c>
      <c r="K4706">
        <v>1.1116109999999999</v>
      </c>
      <c r="L4706">
        <v>229.9992</v>
      </c>
      <c r="M4706">
        <v>0.25591269999999999</v>
      </c>
      <c r="N4706">
        <v>0</v>
      </c>
      <c r="O4706">
        <v>-0.96660650000000004</v>
      </c>
      <c r="P4706">
        <v>0.50359620000000005</v>
      </c>
      <c r="Q4706">
        <v>-1.6142589999999998E-2</v>
      </c>
      <c r="R4706">
        <v>-0.86378849999999996</v>
      </c>
      <c r="S4706">
        <v>2.1319889999999999</v>
      </c>
      <c r="T4706">
        <v>-0.33511459999999998</v>
      </c>
      <c r="U4706">
        <v>-2.227325</v>
      </c>
      <c r="V4706">
        <v>-0.2657407</v>
      </c>
      <c r="W4706">
        <v>-3.840305E-3</v>
      </c>
      <c r="X4706">
        <v>0.96403689999999997</v>
      </c>
      <c r="Y4706">
        <v>-0.47918349999999998</v>
      </c>
      <c r="Z4706">
        <v>0.1115626</v>
      </c>
      <c r="AA4706">
        <v>0.87059580000000003</v>
      </c>
      <c r="AB4706">
        <v>11</v>
      </c>
      <c r="AC4706">
        <v>0.60239999999998795</v>
      </c>
      <c r="AD4706">
        <v>-9.9668000000000007E-2</v>
      </c>
      <c r="AE4706">
        <v>-0.55770000000001096</v>
      </c>
      <c r="AF4706">
        <v>-0.43321521038093602</v>
      </c>
      <c r="AG4706">
        <v>-9.9668000000000007E-2</v>
      </c>
      <c r="AH4706">
        <v>0.68322983799408599</v>
      </c>
      <c r="AI4706">
        <v>97.023406043784505</v>
      </c>
      <c r="AJ4706">
        <v>122.37753813652</v>
      </c>
      <c r="AK4706">
        <v>0.81511480188671803</v>
      </c>
      <c r="AL4706">
        <v>90.220033808050502</v>
      </c>
      <c r="AM4706">
        <v>105.411086317184</v>
      </c>
      <c r="AN4706">
        <v>1.00000000607029</v>
      </c>
    </row>
    <row r="4707" spans="1:40" x14ac:dyDescent="0.25">
      <c r="A4707" t="str">
        <f>"20190312150745156"</f>
        <v>20190312150745156</v>
      </c>
      <c r="B4707" t="str">
        <f>"1552374465144453"</f>
        <v>1552374465144453</v>
      </c>
      <c r="C4707" t="s">
        <v>40</v>
      </c>
      <c r="D4707">
        <v>4.2666199999999996</v>
      </c>
      <c r="E4707">
        <v>0.40984619999999999</v>
      </c>
      <c r="F4707" t="s">
        <v>41</v>
      </c>
      <c r="G4707">
        <v>-491.29539999999997</v>
      </c>
      <c r="H4707">
        <v>1.012108</v>
      </c>
      <c r="I4707">
        <v>229.35050000000001</v>
      </c>
      <c r="J4707">
        <v>-491.88889999999998</v>
      </c>
      <c r="K4707">
        <v>1.111602</v>
      </c>
      <c r="L4707">
        <v>229.89429999999999</v>
      </c>
      <c r="M4707">
        <v>0.259351</v>
      </c>
      <c r="N4707">
        <v>0</v>
      </c>
      <c r="O4707">
        <v>-0.96568980000000004</v>
      </c>
      <c r="P4707">
        <v>0.50778769999999995</v>
      </c>
      <c r="Q4707">
        <v>-1.669004E-2</v>
      </c>
      <c r="R4707">
        <v>-0.86132059999999999</v>
      </c>
      <c r="S4707">
        <v>2.1402589999999999</v>
      </c>
      <c r="T4707">
        <v>-0.34037079999999997</v>
      </c>
      <c r="U4707">
        <v>-2.2189329999999998</v>
      </c>
      <c r="V4707">
        <v>-0.26699519999999999</v>
      </c>
      <c r="W4707">
        <v>-4.393264E-3</v>
      </c>
      <c r="X4707">
        <v>0.96368779999999998</v>
      </c>
      <c r="Y4707">
        <v>-0.47925289999999998</v>
      </c>
      <c r="Z4707">
        <v>0.1133028</v>
      </c>
      <c r="AA4707">
        <v>0.87033280000000002</v>
      </c>
      <c r="AB4707">
        <v>11</v>
      </c>
      <c r="AC4707">
        <v>0.59350000000000502</v>
      </c>
      <c r="AD4707">
        <v>-9.9493999999999902E-2</v>
      </c>
      <c r="AE4707">
        <v>-0.54379999999997597</v>
      </c>
      <c r="AF4707">
        <v>-0.425638194860122</v>
      </c>
      <c r="AG4707">
        <v>-9.9493999999999902E-2</v>
      </c>
      <c r="AH4707">
        <v>0.66890905792233202</v>
      </c>
      <c r="AI4707">
        <v>97.152626660789593</v>
      </c>
      <c r="AJ4707">
        <v>122.469289749</v>
      </c>
      <c r="AK4707">
        <v>0.79906586507641897</v>
      </c>
      <c r="AL4707">
        <v>90.251716306102594</v>
      </c>
      <c r="AM4707">
        <v>105.485695560861</v>
      </c>
      <c r="AN4707">
        <v>0.99999995673022501</v>
      </c>
    </row>
    <row r="4708" spans="1:40" x14ac:dyDescent="0.25">
      <c r="A4708" t="str">
        <f>"20190312150745178"</f>
        <v>20190312150745178</v>
      </c>
      <c r="B4708" t="str">
        <f>"1552374465174706"</f>
        <v>1552374465174706</v>
      </c>
      <c r="C4708" t="s">
        <v>40</v>
      </c>
      <c r="D4708">
        <v>4.2271650000000003</v>
      </c>
      <c r="E4708">
        <v>0.41023700000000002</v>
      </c>
      <c r="F4708" t="s">
        <v>41</v>
      </c>
      <c r="G4708">
        <v>-491.2715</v>
      </c>
      <c r="H4708">
        <v>1.0129709999999901</v>
      </c>
      <c r="I4708">
        <v>229.26009999999999</v>
      </c>
      <c r="J4708">
        <v>-491.85750000000002</v>
      </c>
      <c r="K4708">
        <v>1.111591</v>
      </c>
      <c r="L4708">
        <v>229.79339999999999</v>
      </c>
      <c r="M4708">
        <v>0.2626735</v>
      </c>
      <c r="N4708">
        <v>0</v>
      </c>
      <c r="O4708">
        <v>-0.96479139999999997</v>
      </c>
      <c r="P4708">
        <v>0.51152120000000001</v>
      </c>
      <c r="Q4708">
        <v>-1.7619159999999998E-2</v>
      </c>
      <c r="R4708">
        <v>-0.85909040000000003</v>
      </c>
      <c r="S4708">
        <v>2.149689</v>
      </c>
      <c r="T4708">
        <v>-0.3435549</v>
      </c>
      <c r="U4708">
        <v>-2.2090610000000002</v>
      </c>
      <c r="V4708">
        <v>-0.26786290000000001</v>
      </c>
      <c r="W4708">
        <v>-5.3252129999999996E-3</v>
      </c>
      <c r="X4708">
        <v>0.96344229999999997</v>
      </c>
      <c r="Y4708">
        <v>-0.48000209999999999</v>
      </c>
      <c r="Z4708">
        <v>0.11437899999999999</v>
      </c>
      <c r="AA4708">
        <v>0.86977899999999997</v>
      </c>
      <c r="AB4708">
        <v>11</v>
      </c>
      <c r="AC4708">
        <v>0.58600000000001196</v>
      </c>
      <c r="AD4708">
        <v>-9.8620000000000096E-2</v>
      </c>
      <c r="AE4708">
        <v>-0.533299999999997</v>
      </c>
      <c r="AF4708">
        <v>-0.41883376332551098</v>
      </c>
      <c r="AG4708">
        <v>-9.8620000000000096E-2</v>
      </c>
      <c r="AH4708">
        <v>0.65831164307447598</v>
      </c>
      <c r="AI4708">
        <v>97.2036881080938</v>
      </c>
      <c r="AJ4708">
        <v>122.465503384377</v>
      </c>
      <c r="AK4708">
        <v>0.78646159798735704</v>
      </c>
      <c r="AL4708">
        <v>90.305113678616607</v>
      </c>
      <c r="AM4708">
        <v>105.537362654267</v>
      </c>
      <c r="AN4708">
        <v>0.99999997825959697</v>
      </c>
    </row>
    <row r="4709" spans="1:40" x14ac:dyDescent="0.25">
      <c r="A4709" t="str">
        <f>"20190312150745199"</f>
        <v>20190312150745199</v>
      </c>
      <c r="B4709" t="str">
        <f>"1552374465194226"</f>
        <v>1552374465194226</v>
      </c>
      <c r="C4709" t="s">
        <v>40</v>
      </c>
      <c r="D4709">
        <v>4.2496619999999998</v>
      </c>
      <c r="E4709">
        <v>0.410383</v>
      </c>
      <c r="F4709" t="s">
        <v>41</v>
      </c>
      <c r="G4709">
        <v>-491.24650000000003</v>
      </c>
      <c r="H4709">
        <v>1.0129330000000001</v>
      </c>
      <c r="I4709">
        <v>229.16929999999999</v>
      </c>
      <c r="J4709">
        <v>-491.82839999999999</v>
      </c>
      <c r="K4709">
        <v>1.1115820000000001</v>
      </c>
      <c r="L4709">
        <v>229.70099999999999</v>
      </c>
      <c r="M4709">
        <v>0.26572079999999998</v>
      </c>
      <c r="N4709">
        <v>0</v>
      </c>
      <c r="O4709">
        <v>-0.9639567</v>
      </c>
      <c r="P4709">
        <v>0.51508080000000001</v>
      </c>
      <c r="Q4709">
        <v>-1.8431019999999999E-2</v>
      </c>
      <c r="R4709">
        <v>-0.85694359999999903</v>
      </c>
      <c r="S4709">
        <v>2.1561889999999999</v>
      </c>
      <c r="T4709">
        <v>-0.34801949999999998</v>
      </c>
      <c r="U4709">
        <v>-2.20105</v>
      </c>
      <c r="V4709">
        <v>-0.2688179</v>
      </c>
      <c r="W4709">
        <v>-6.1406589999999997E-3</v>
      </c>
      <c r="X4709">
        <v>0.96317140000000001</v>
      </c>
      <c r="Y4709">
        <v>-0.48000330000000002</v>
      </c>
      <c r="Z4709">
        <v>0.1158874</v>
      </c>
      <c r="AA4709">
        <v>0.86957859999999998</v>
      </c>
      <c r="AB4709">
        <v>11</v>
      </c>
      <c r="AC4709">
        <v>0.581899999999961</v>
      </c>
      <c r="AD4709">
        <v>-9.8649000000000001E-2</v>
      </c>
      <c r="AE4709">
        <v>-0.53169999999999995</v>
      </c>
      <c r="AF4709">
        <v>-0.41320832705659299</v>
      </c>
      <c r="AG4709">
        <v>-9.8649000000000001E-2</v>
      </c>
      <c r="AH4709">
        <v>0.65692925146096104</v>
      </c>
      <c r="AI4709">
        <v>97.244144216626694</v>
      </c>
      <c r="AJ4709">
        <v>122.16988208944301</v>
      </c>
      <c r="AK4709">
        <v>0.78232268800985705</v>
      </c>
      <c r="AL4709">
        <v>90.351836069938003</v>
      </c>
      <c r="AM4709">
        <v>105.59423928496599</v>
      </c>
      <c r="AN4709">
        <v>0.99999995841566103</v>
      </c>
    </row>
    <row r="4710" spans="1:40" x14ac:dyDescent="0.25">
      <c r="A4710" t="str">
        <f>"20190312150745220"</f>
        <v>20190312150745220</v>
      </c>
      <c r="B4710" t="str">
        <f>"1552374465214722"</f>
        <v>1552374465214722</v>
      </c>
      <c r="C4710" t="s">
        <v>40</v>
      </c>
      <c r="D4710">
        <v>4.2294080000000003</v>
      </c>
      <c r="E4710">
        <v>0.41046450000000001</v>
      </c>
      <c r="F4710" t="s">
        <v>41</v>
      </c>
      <c r="G4710">
        <v>-491.2174</v>
      </c>
      <c r="H4710">
        <v>1.0123</v>
      </c>
      <c r="I4710">
        <v>229.08199999999999</v>
      </c>
      <c r="J4710">
        <v>-491.79750000000001</v>
      </c>
      <c r="K4710">
        <v>1.1115600000000001</v>
      </c>
      <c r="L4710">
        <v>229.6036</v>
      </c>
      <c r="M4710">
        <v>0.26894259999999998</v>
      </c>
      <c r="N4710">
        <v>0</v>
      </c>
      <c r="O4710">
        <v>-0.96306259999999999</v>
      </c>
      <c r="P4710">
        <v>0.51876690000000003</v>
      </c>
      <c r="Q4710">
        <v>-1.8891000000000002E-2</v>
      </c>
      <c r="R4710">
        <v>-0.85470709999999905</v>
      </c>
      <c r="S4710">
        <v>2.1639400000000002</v>
      </c>
      <c r="T4710">
        <v>-0.35165030000000003</v>
      </c>
      <c r="U4710">
        <v>-2.1925659999999998</v>
      </c>
      <c r="V4710">
        <v>-0.26974700000000001</v>
      </c>
      <c r="W4710">
        <v>-6.6036849999999998E-3</v>
      </c>
      <c r="X4710">
        <v>0.9629086</v>
      </c>
      <c r="Y4710">
        <v>-0.4802129</v>
      </c>
      <c r="Z4710">
        <v>0.1171024</v>
      </c>
      <c r="AA4710">
        <v>0.86930010000000002</v>
      </c>
      <c r="AB4710">
        <v>11</v>
      </c>
      <c r="AC4710">
        <v>0.58010000000001505</v>
      </c>
      <c r="AD4710">
        <v>-9.9260000000000098E-2</v>
      </c>
      <c r="AE4710">
        <v>-0.52160000000000595</v>
      </c>
      <c r="AF4710">
        <v>-0.41176369780793798</v>
      </c>
      <c r="AG4710">
        <v>-9.9260000000000098E-2</v>
      </c>
      <c r="AH4710">
        <v>0.64791706754650702</v>
      </c>
      <c r="AI4710">
        <v>97.367310796970798</v>
      </c>
      <c r="AJ4710">
        <v>122.436739630131</v>
      </c>
      <c r="AK4710">
        <v>0.77407907661332098</v>
      </c>
      <c r="AL4710">
        <v>90.378366025115994</v>
      </c>
      <c r="AM4710">
        <v>105.649562217717</v>
      </c>
      <c r="AN4710">
        <v>1.0000000123092601</v>
      </c>
    </row>
    <row r="4711" spans="1:40" x14ac:dyDescent="0.25">
      <c r="A4711" t="str">
        <f>"20190312150745243"</f>
        <v>20190312150745243</v>
      </c>
      <c r="B4711" t="str">
        <f>"1552374465234245"</f>
        <v>1552374465234245</v>
      </c>
      <c r="C4711" t="s">
        <v>40</v>
      </c>
      <c r="D4711">
        <v>4.2542530000000003</v>
      </c>
      <c r="E4711">
        <v>0.4105782</v>
      </c>
      <c r="F4711" t="s">
        <v>41</v>
      </c>
      <c r="G4711">
        <v>-491.18689999999998</v>
      </c>
      <c r="H4711">
        <v>1.0119530000000001</v>
      </c>
      <c r="I4711">
        <v>228.9896</v>
      </c>
      <c r="J4711">
        <v>-491.76490000000001</v>
      </c>
      <c r="K4711">
        <v>1.1115469999999901</v>
      </c>
      <c r="L4711">
        <v>229.5025</v>
      </c>
      <c r="M4711">
        <v>0.2722907</v>
      </c>
      <c r="N4711">
        <v>0</v>
      </c>
      <c r="O4711">
        <v>-0.96212149999999996</v>
      </c>
      <c r="P4711">
        <v>0.52217199999999997</v>
      </c>
      <c r="Q4711">
        <v>-2.011336E-2</v>
      </c>
      <c r="R4711">
        <v>-0.85260279999999999</v>
      </c>
      <c r="S4711">
        <v>2.1723330000000001</v>
      </c>
      <c r="T4711">
        <v>-0.35419289999999998</v>
      </c>
      <c r="U4711">
        <v>-2.1835779999999998</v>
      </c>
      <c r="V4711">
        <v>-0.27024369999999998</v>
      </c>
      <c r="W4711">
        <v>-7.8266059999999998E-3</v>
      </c>
      <c r="X4711">
        <v>0.96276019999999896</v>
      </c>
      <c r="Y4711">
        <v>-0.48056339999999997</v>
      </c>
      <c r="Z4711">
        <v>0.1179553</v>
      </c>
      <c r="AA4711">
        <v>0.86899099999999996</v>
      </c>
      <c r="AB4711">
        <v>11</v>
      </c>
      <c r="AC4711">
        <v>0.57800000000003104</v>
      </c>
      <c r="AD4711">
        <v>-9.9593999999999697E-2</v>
      </c>
      <c r="AE4711">
        <v>-0.51290000000000102</v>
      </c>
      <c r="AF4711">
        <v>-0.40968080943685797</v>
      </c>
      <c r="AG4711">
        <v>-9.9593999999999697E-2</v>
      </c>
      <c r="AH4711">
        <v>0.64027936671293295</v>
      </c>
      <c r="AI4711">
        <v>97.464516147970699</v>
      </c>
      <c r="AJ4711">
        <v>122.613022243724</v>
      </c>
      <c r="AK4711">
        <v>0.76662572217161695</v>
      </c>
      <c r="AL4711">
        <v>90.448436044029293</v>
      </c>
      <c r="AM4711">
        <v>105.67926058666799</v>
      </c>
      <c r="AN4711">
        <v>1.0000000579276001</v>
      </c>
    </row>
    <row r="4712" spans="1:40" x14ac:dyDescent="0.25">
      <c r="A4712" t="str">
        <f>"20190312150745265"</f>
        <v>20190312150745265</v>
      </c>
      <c r="B4712" t="str">
        <f>"1552374465254738"</f>
        <v>1552374465254738</v>
      </c>
      <c r="C4712" t="s">
        <v>40</v>
      </c>
      <c r="D4712">
        <v>4.1994350000000003</v>
      </c>
      <c r="E4712">
        <v>0.41036240000000002</v>
      </c>
      <c r="F4712" t="s">
        <v>41</v>
      </c>
      <c r="G4712">
        <v>-491.14830000000001</v>
      </c>
      <c r="H4712">
        <v>1.0099800000000001</v>
      </c>
      <c r="I4712">
        <v>228.88740000000001</v>
      </c>
      <c r="J4712">
        <v>-491.73379999999997</v>
      </c>
      <c r="K4712">
        <v>1.1115269999999999</v>
      </c>
      <c r="L4712">
        <v>229.40700000000001</v>
      </c>
      <c r="M4712">
        <v>0.27546120000000002</v>
      </c>
      <c r="N4712">
        <v>0</v>
      </c>
      <c r="O4712">
        <v>-0.96121840000000003</v>
      </c>
      <c r="P4712">
        <v>0.52518299999999996</v>
      </c>
      <c r="Q4712">
        <v>-2.080328E-2</v>
      </c>
      <c r="R4712">
        <v>-0.85073480000000001</v>
      </c>
      <c r="S4712">
        <v>2.1797179999999998</v>
      </c>
      <c r="T4712">
        <v>-0.35912070000000001</v>
      </c>
      <c r="U4712">
        <v>-2.1751559999999999</v>
      </c>
      <c r="V4712">
        <v>-0.2704763</v>
      </c>
      <c r="W4712">
        <v>-8.5155619999999904E-3</v>
      </c>
      <c r="X4712">
        <v>0.96268900000000002</v>
      </c>
      <c r="Y4712">
        <v>-0.48069040000000002</v>
      </c>
      <c r="Z4712">
        <v>0.119598</v>
      </c>
      <c r="AA4712">
        <v>0.86869619999999903</v>
      </c>
      <c r="AB4712">
        <v>11</v>
      </c>
      <c r="AC4712">
        <v>0.58549999999996705</v>
      </c>
      <c r="AD4712">
        <v>-0.101547</v>
      </c>
      <c r="AE4712">
        <v>-0.51959999999999695</v>
      </c>
      <c r="AF4712">
        <v>-0.41275592740217798</v>
      </c>
      <c r="AG4712">
        <v>-0.101547</v>
      </c>
      <c r="AH4712">
        <v>0.64985574854267103</v>
      </c>
      <c r="AI4712">
        <v>97.5141471993755</v>
      </c>
      <c r="AJ4712">
        <v>122.421674699345</v>
      </c>
      <c r="AK4712">
        <v>0.77652542954406101</v>
      </c>
      <c r="AL4712">
        <v>90.487911646439201</v>
      </c>
      <c r="AM4712">
        <v>105.693194669397</v>
      </c>
      <c r="AN4712">
        <v>1.00000002718943</v>
      </c>
    </row>
    <row r="4713" spans="1:40" x14ac:dyDescent="0.25">
      <c r="A4713" t="str">
        <f>"20190312150745287"</f>
        <v>20190312150745287</v>
      </c>
      <c r="B4713" t="str">
        <f>"1552374465284993"</f>
        <v>1552374465284993</v>
      </c>
      <c r="C4713" t="s">
        <v>40</v>
      </c>
      <c r="D4713">
        <v>4.2262320000000004</v>
      </c>
      <c r="E4713">
        <v>0.35918460000000002</v>
      </c>
      <c r="F4713" t="s">
        <v>41</v>
      </c>
      <c r="G4713">
        <v>-491.07150000000001</v>
      </c>
      <c r="H4713">
        <v>1.0021180000000001</v>
      </c>
      <c r="I4713">
        <v>228.7516</v>
      </c>
      <c r="J4713">
        <v>-491.70060000000001</v>
      </c>
      <c r="K4713">
        <v>1.1115360000000001</v>
      </c>
      <c r="L4713">
        <v>229.30619999999999</v>
      </c>
      <c r="M4713">
        <v>0.27880630000000001</v>
      </c>
      <c r="N4713">
        <v>0</v>
      </c>
      <c r="O4713">
        <v>-0.96025389999999999</v>
      </c>
      <c r="P4713">
        <v>0.528833</v>
      </c>
      <c r="Q4713">
        <v>-2.1588309999999999E-2</v>
      </c>
      <c r="R4713">
        <v>-0.84845159999999997</v>
      </c>
      <c r="S4713">
        <v>2.1890260000000001</v>
      </c>
      <c r="T4713">
        <v>-0.361628</v>
      </c>
      <c r="U4713">
        <v>-2.1662750000000002</v>
      </c>
      <c r="V4713">
        <v>-0.2712639</v>
      </c>
      <c r="W4713">
        <v>-9.3035870000000003E-3</v>
      </c>
      <c r="X4713">
        <v>0.96245999999999998</v>
      </c>
      <c r="Y4713">
        <v>-0.48120059999999898</v>
      </c>
      <c r="Z4713">
        <v>0.1204083</v>
      </c>
      <c r="AA4713">
        <v>0.86830169999999995</v>
      </c>
      <c r="AB4713">
        <v>10</v>
      </c>
      <c r="AC4713">
        <v>0.629099999999994</v>
      </c>
      <c r="AD4713">
        <v>-0.109418</v>
      </c>
      <c r="AE4713">
        <v>-0.55459999999999299</v>
      </c>
      <c r="AF4713">
        <v>-0.44198665856064501</v>
      </c>
      <c r="AG4713">
        <v>-0.109418</v>
      </c>
      <c r="AH4713">
        <v>0.69616733096762395</v>
      </c>
      <c r="AI4713">
        <v>97.558350801633793</v>
      </c>
      <c r="AJ4713">
        <v>122.410878600625</v>
      </c>
      <c r="AK4713">
        <v>0.83184942013334895</v>
      </c>
      <c r="AL4713">
        <v>90.533063983182601</v>
      </c>
      <c r="AM4713">
        <v>105.740189714642</v>
      </c>
      <c r="AN4713">
        <v>0.99999995588713697</v>
      </c>
    </row>
    <row r="4714" spans="1:40" x14ac:dyDescent="0.25">
      <c r="A4714" t="str">
        <f>"20190312150745309"</f>
        <v>20190312150745309</v>
      </c>
      <c r="B4714" t="str">
        <f>"1552374465304514"</f>
        <v>1552374465304514</v>
      </c>
      <c r="C4714" t="s">
        <v>40</v>
      </c>
      <c r="D4714">
        <v>4.5264369999999996</v>
      </c>
      <c r="E4714">
        <v>0.35466540000000002</v>
      </c>
      <c r="F4714" t="s">
        <v>41</v>
      </c>
      <c r="G4714">
        <v>-490.93579999999997</v>
      </c>
      <c r="H4714">
        <v>0.99557269999999998</v>
      </c>
      <c r="I4714">
        <v>228.72300000000001</v>
      </c>
      <c r="J4714">
        <v>-491.6696</v>
      </c>
      <c r="K4714">
        <v>1.1115389999999901</v>
      </c>
      <c r="L4714">
        <v>229.2132</v>
      </c>
      <c r="M4714">
        <v>0.28190290000000001</v>
      </c>
      <c r="N4714">
        <v>0</v>
      </c>
      <c r="O4714">
        <v>-0.95934929999999996</v>
      </c>
      <c r="P4714">
        <v>0.53190109999999902</v>
      </c>
      <c r="Q4714">
        <v>-2.087077E-2</v>
      </c>
      <c r="R4714">
        <v>-0.84654949999999995</v>
      </c>
      <c r="S4714">
        <v>2.5449830000000002</v>
      </c>
      <c r="T4714">
        <v>-0.38566080000000003</v>
      </c>
      <c r="U4714">
        <v>-1.9397279999999999</v>
      </c>
      <c r="V4714">
        <v>-0.27163969999999998</v>
      </c>
      <c r="W4714">
        <v>-8.5871139999999999E-3</v>
      </c>
      <c r="X4714">
        <v>0.96236069999999996</v>
      </c>
      <c r="Y4714">
        <v>-0.5857599</v>
      </c>
      <c r="Z4714">
        <v>0.1258205</v>
      </c>
      <c r="AA4714">
        <v>0.8006588</v>
      </c>
      <c r="AB4714">
        <v>10</v>
      </c>
      <c r="AC4714">
        <v>0.73380000000002998</v>
      </c>
      <c r="AD4714">
        <v>-0.115966299999999</v>
      </c>
      <c r="AE4714">
        <v>-0.49020000000001501</v>
      </c>
      <c r="AF4714">
        <v>-0.55622720363674405</v>
      </c>
      <c r="AG4714">
        <v>-0.115966299999999</v>
      </c>
      <c r="AH4714">
        <v>0.66569843770645298</v>
      </c>
      <c r="AI4714">
        <v>97.614152382087795</v>
      </c>
      <c r="AJ4714">
        <v>129.880589243206</v>
      </c>
      <c r="AK4714">
        <v>0.875209286265894</v>
      </c>
      <c r="AL4714">
        <v>90.492011441640301</v>
      </c>
      <c r="AM4714">
        <v>105.762458301124</v>
      </c>
      <c r="AN4714">
        <v>0.99999999102371395</v>
      </c>
    </row>
    <row r="4715" spans="1:40" x14ac:dyDescent="0.25">
      <c r="A4715" t="str">
        <f>"20190312150745332"</f>
        <v>20190312150745332</v>
      </c>
      <c r="B4715" t="str">
        <f>"1552374465325010"</f>
        <v>1552374465325010</v>
      </c>
      <c r="C4715" t="s">
        <v>40</v>
      </c>
      <c r="D4715">
        <v>4.2089800000000004</v>
      </c>
      <c r="E4715">
        <v>0.35253329999999999</v>
      </c>
      <c r="F4715" t="s">
        <v>41</v>
      </c>
      <c r="G4715">
        <v>-490.89780000000002</v>
      </c>
      <c r="H4715">
        <v>0.99507780000000001</v>
      </c>
      <c r="I4715">
        <v>228.6421</v>
      </c>
      <c r="J4715">
        <v>-491.63630000000001</v>
      </c>
      <c r="K4715">
        <v>1.111534</v>
      </c>
      <c r="L4715">
        <v>229.11420000000001</v>
      </c>
      <c r="M4715">
        <v>0.28520400000000001</v>
      </c>
      <c r="N4715">
        <v>0</v>
      </c>
      <c r="O4715">
        <v>-0.95837309999999998</v>
      </c>
      <c r="P4715">
        <v>0.53541759999999905</v>
      </c>
      <c r="Q4715">
        <v>-2.0724960000000001E-2</v>
      </c>
      <c r="R4715">
        <v>-0.84433349999999996</v>
      </c>
      <c r="S4715">
        <v>2.5830989999999998</v>
      </c>
      <c r="T4715">
        <v>-0.38976529999999998</v>
      </c>
      <c r="U4715">
        <v>-1.911224</v>
      </c>
      <c r="V4715">
        <v>-0.27232830000000002</v>
      </c>
      <c r="W4715">
        <v>-8.4456940000000001E-3</v>
      </c>
      <c r="X4715">
        <v>0.96216729999999995</v>
      </c>
      <c r="Y4715">
        <v>-0.59425459999999997</v>
      </c>
      <c r="Z4715">
        <v>0.12683549999999999</v>
      </c>
      <c r="AA4715">
        <v>0.79421299999999995</v>
      </c>
      <c r="AB4715">
        <v>10</v>
      </c>
      <c r="AC4715">
        <v>0.73849999999998694</v>
      </c>
      <c r="AD4715">
        <v>-0.1164562</v>
      </c>
      <c r="AE4715">
        <v>-0.47210000000001101</v>
      </c>
      <c r="AF4715">
        <v>-0.56322269427407501</v>
      </c>
      <c r="AG4715">
        <v>-0.1164562</v>
      </c>
      <c r="AH4715">
        <v>0.65162754168232495</v>
      </c>
      <c r="AI4715">
        <v>97.700249987875097</v>
      </c>
      <c r="AJ4715">
        <v>130.83791331896199</v>
      </c>
      <c r="AK4715">
        <v>0.86913767778341</v>
      </c>
      <c r="AL4715">
        <v>90.483908387304695</v>
      </c>
      <c r="AM4715">
        <v>105.80344017679801</v>
      </c>
      <c r="AN4715">
        <v>0.99999997295866005</v>
      </c>
    </row>
    <row r="4716" spans="1:40" x14ac:dyDescent="0.25">
      <c r="A4716" t="str">
        <f>"20190312150745355"</f>
        <v>20190312150745355</v>
      </c>
      <c r="B4716" t="str">
        <f>"1552374465344534"</f>
        <v>1552374465344534</v>
      </c>
      <c r="C4716" t="s">
        <v>40</v>
      </c>
      <c r="D4716">
        <v>4.2263489999999999</v>
      </c>
      <c r="E4716">
        <v>0.35112880000000002</v>
      </c>
      <c r="F4716" t="s">
        <v>41</v>
      </c>
      <c r="G4716">
        <v>-490.86880000000002</v>
      </c>
      <c r="H4716">
        <v>0.99701119999999999</v>
      </c>
      <c r="I4716">
        <v>228.55670000000001</v>
      </c>
      <c r="J4716">
        <v>-491.60270000000003</v>
      </c>
      <c r="K4716">
        <v>1.1115280000000001</v>
      </c>
      <c r="L4716">
        <v>229.01570000000001</v>
      </c>
      <c r="M4716">
        <v>0.28850320000000002</v>
      </c>
      <c r="N4716">
        <v>0</v>
      </c>
      <c r="O4716">
        <v>-0.95738520000000005</v>
      </c>
      <c r="P4716">
        <v>0.53896630000000001</v>
      </c>
      <c r="Q4716">
        <v>-2.1009440000000001E-2</v>
      </c>
      <c r="R4716">
        <v>-0.84206550000000002</v>
      </c>
      <c r="S4716">
        <v>2.6052550000000001</v>
      </c>
      <c r="T4716">
        <v>-0.3885227</v>
      </c>
      <c r="U4716">
        <v>-1.891464</v>
      </c>
      <c r="V4716">
        <v>-0.273064799999999</v>
      </c>
      <c r="W4716">
        <v>-8.7368489999999997E-3</v>
      </c>
      <c r="X4716">
        <v>0.96195600000000003</v>
      </c>
      <c r="Y4716">
        <v>-0.598715199999999</v>
      </c>
      <c r="Z4716">
        <v>0.12631789999999901</v>
      </c>
      <c r="AA4716">
        <v>0.79093859999999905</v>
      </c>
      <c r="AB4716">
        <v>10</v>
      </c>
      <c r="AC4716">
        <v>0.73390000000000499</v>
      </c>
      <c r="AD4716">
        <v>-0.1145168</v>
      </c>
      <c r="AE4716">
        <v>-0.45900000000000302</v>
      </c>
      <c r="AF4716">
        <v>-0.56044429579267196</v>
      </c>
      <c r="AG4716">
        <v>-0.1145168</v>
      </c>
      <c r="AH4716">
        <v>0.64002894624060802</v>
      </c>
      <c r="AI4716">
        <v>97.666538451245003</v>
      </c>
      <c r="AJ4716">
        <v>131.20716075617</v>
      </c>
      <c r="AK4716">
        <v>0.85839906698146395</v>
      </c>
      <c r="AL4716">
        <v>90.500590926757496</v>
      </c>
      <c r="AM4716">
        <v>105.84734225595</v>
      </c>
      <c r="AN4716">
        <v>1.00000003173274</v>
      </c>
    </row>
    <row r="4717" spans="1:40" x14ac:dyDescent="0.25">
      <c r="A4717" t="str">
        <f>"20190312150745378"</f>
        <v>20190312150745378</v>
      </c>
      <c r="B4717" t="str">
        <f>"1552374465374786"</f>
        <v>1552374465374786</v>
      </c>
      <c r="C4717" t="s">
        <v>40</v>
      </c>
      <c r="D4717">
        <v>4.2084060000000001</v>
      </c>
      <c r="E4717">
        <v>0.34996480000000002</v>
      </c>
      <c r="F4717" t="s">
        <v>41</v>
      </c>
      <c r="G4717">
        <v>-490.84050000000002</v>
      </c>
      <c r="H4717">
        <v>0.99707440000000003</v>
      </c>
      <c r="I4717">
        <v>228.471</v>
      </c>
      <c r="J4717">
        <v>-491.56819999999999</v>
      </c>
      <c r="K4717">
        <v>1.1115269999999999</v>
      </c>
      <c r="L4717">
        <v>228.916</v>
      </c>
      <c r="M4717">
        <v>0.29186210000000001</v>
      </c>
      <c r="N4717">
        <v>0</v>
      </c>
      <c r="O4717">
        <v>-0.95636659999999996</v>
      </c>
      <c r="P4717">
        <v>0.54172629999999999</v>
      </c>
      <c r="Q4717">
        <v>-2.045406E-2</v>
      </c>
      <c r="R4717">
        <v>-0.8403062</v>
      </c>
      <c r="S4717">
        <v>2.62262</v>
      </c>
      <c r="T4717">
        <v>-0.39377459999999997</v>
      </c>
      <c r="U4717">
        <v>-1.8742220000000001</v>
      </c>
      <c r="V4717">
        <v>-0.27284170000000002</v>
      </c>
      <c r="W4717">
        <v>-8.1851670000000001E-3</v>
      </c>
      <c r="X4717">
        <v>0.96202410000000005</v>
      </c>
      <c r="Y4717">
        <v>-0.60167029999999999</v>
      </c>
      <c r="Z4717">
        <v>0.12793360000000001</v>
      </c>
      <c r="AA4717">
        <v>0.78843249999999998</v>
      </c>
      <c r="AB4717">
        <v>10</v>
      </c>
      <c r="AC4717">
        <v>0.72769999999997004</v>
      </c>
      <c r="AD4717">
        <v>-0.1144526</v>
      </c>
      <c r="AE4717">
        <v>-0.44500000000002099</v>
      </c>
      <c r="AF4717">
        <v>-0.55610782757803001</v>
      </c>
      <c r="AG4717">
        <v>-0.1144526</v>
      </c>
      <c r="AH4717">
        <v>0.626744368020278</v>
      </c>
      <c r="AI4717">
        <v>97.778221859939293</v>
      </c>
      <c r="AJ4717">
        <v>131.58251892885301</v>
      </c>
      <c r="AK4717">
        <v>0.84567358737603604</v>
      </c>
      <c r="AL4717">
        <v>90.468980770090994</v>
      </c>
      <c r="AM4717">
        <v>105.83397945866299</v>
      </c>
      <c r="AN4717">
        <v>0.99999997959925802</v>
      </c>
    </row>
    <row r="4718" spans="1:40" x14ac:dyDescent="0.25">
      <c r="A4718" t="str">
        <f>"20190312150745400"</f>
        <v>20190312150745400</v>
      </c>
      <c r="B4718" t="str">
        <f>"1552374465394307"</f>
        <v>1552374465394307</v>
      </c>
      <c r="C4718" t="s">
        <v>40</v>
      </c>
      <c r="D4718">
        <v>4.2709599999999996</v>
      </c>
      <c r="E4718">
        <v>0.34960999999999998</v>
      </c>
      <c r="F4718" t="s">
        <v>41</v>
      </c>
      <c r="G4718">
        <v>-490.81439999999998</v>
      </c>
      <c r="H4718">
        <v>0.99896280000000004</v>
      </c>
      <c r="I4718">
        <v>228.38419999999999</v>
      </c>
      <c r="J4718">
        <v>-491.53640000000001</v>
      </c>
      <c r="K4718">
        <v>1.111534</v>
      </c>
      <c r="L4718">
        <v>228.82480000000001</v>
      </c>
      <c r="M4718">
        <v>0.2949582</v>
      </c>
      <c r="N4718">
        <v>0</v>
      </c>
      <c r="O4718">
        <v>-0.9554163</v>
      </c>
      <c r="P4718">
        <v>0.54446349999999999</v>
      </c>
      <c r="Q4718">
        <v>-2.0632439999999998E-2</v>
      </c>
      <c r="R4718">
        <v>-0.83853080000000002</v>
      </c>
      <c r="S4718">
        <v>2.6376339999999998</v>
      </c>
      <c r="T4718">
        <v>-0.3937485</v>
      </c>
      <c r="U4718">
        <v>-1.860123</v>
      </c>
      <c r="V4718">
        <v>-0.27286339999999998</v>
      </c>
      <c r="W4718">
        <v>-8.3705819999999997E-3</v>
      </c>
      <c r="X4718">
        <v>0.96201639999999999</v>
      </c>
      <c r="Y4718">
        <v>-0.60403999999999902</v>
      </c>
      <c r="Z4718">
        <v>0.12783739999999999</v>
      </c>
      <c r="AA4718">
        <v>0.786634099999999</v>
      </c>
      <c r="AB4718">
        <v>10</v>
      </c>
      <c r="AC4718">
        <v>0.72200000000003595</v>
      </c>
      <c r="AD4718">
        <v>-0.112571199999999</v>
      </c>
      <c r="AE4718">
        <v>-0.44060000000001698</v>
      </c>
      <c r="AF4718">
        <v>-0.55015712973067998</v>
      </c>
      <c r="AG4718">
        <v>-0.112571199999999</v>
      </c>
      <c r="AH4718">
        <v>0.62293882884742402</v>
      </c>
      <c r="AI4718">
        <v>97.713688798861796</v>
      </c>
      <c r="AJ4718">
        <v>131.449782391452</v>
      </c>
      <c r="AK4718">
        <v>0.83868821796227799</v>
      </c>
      <c r="AL4718">
        <v>90.479604608167094</v>
      </c>
      <c r="AM4718">
        <v>105.835296022779</v>
      </c>
      <c r="AN4718">
        <v>1.0000000277857599</v>
      </c>
    </row>
    <row r="4719" spans="1:40" x14ac:dyDescent="0.25">
      <c r="A4719" t="str">
        <f>"20190312150745422"</f>
        <v>20190312150745422</v>
      </c>
      <c r="B4719" t="str">
        <f>"1552374465414802"</f>
        <v>1552374465414802</v>
      </c>
      <c r="C4719" t="s">
        <v>40</v>
      </c>
      <c r="D4719">
        <v>4.2497449999999999</v>
      </c>
      <c r="E4719">
        <v>0.34959580000000001</v>
      </c>
      <c r="F4719" t="s">
        <v>41</v>
      </c>
      <c r="G4719">
        <v>-490.78519999999997</v>
      </c>
      <c r="H4719">
        <v>0.99814119999999995</v>
      </c>
      <c r="I4719">
        <v>228.29939999999999</v>
      </c>
      <c r="J4719">
        <v>-491.50150000000002</v>
      </c>
      <c r="K4719">
        <v>1.111542</v>
      </c>
      <c r="L4719">
        <v>228.7261</v>
      </c>
      <c r="M4719">
        <v>0.29833660000000001</v>
      </c>
      <c r="N4719">
        <v>0</v>
      </c>
      <c r="O4719">
        <v>-0.95436690000000002</v>
      </c>
      <c r="P4719">
        <v>0.54802759999999995</v>
      </c>
      <c r="Q4719">
        <v>-2.056446E-2</v>
      </c>
      <c r="R4719">
        <v>-0.83620749999999999</v>
      </c>
      <c r="S4719">
        <v>2.6460569999999999</v>
      </c>
      <c r="T4719">
        <v>-0.39927040000000003</v>
      </c>
      <c r="U4719">
        <v>-1.849747</v>
      </c>
      <c r="V4719">
        <v>-0.27355380000000001</v>
      </c>
      <c r="W4719">
        <v>-8.3161209999999992E-3</v>
      </c>
      <c r="X4719">
        <v>0.96182080000000003</v>
      </c>
      <c r="Y4719">
        <v>-0.60429390000000005</v>
      </c>
      <c r="Z4719">
        <v>0.12958919999999999</v>
      </c>
      <c r="AA4719">
        <v>0.78615239999999997</v>
      </c>
      <c r="AB4719">
        <v>10</v>
      </c>
      <c r="AC4719">
        <v>0.71630000000004601</v>
      </c>
      <c r="AD4719">
        <v>-0.113400799999999</v>
      </c>
      <c r="AE4719">
        <v>-0.42670000000001002</v>
      </c>
      <c r="AF4719">
        <v>-0.54625738820514103</v>
      </c>
      <c r="AG4719">
        <v>-0.113400799999999</v>
      </c>
      <c r="AH4719">
        <v>0.60970356345841004</v>
      </c>
      <c r="AI4719">
        <v>97.886825752941903</v>
      </c>
      <c r="AJ4719">
        <v>131.858410897879</v>
      </c>
      <c r="AK4719">
        <v>0.82643530351941397</v>
      </c>
      <c r="AL4719">
        <v>90.476484105828902</v>
      </c>
      <c r="AM4719">
        <v>105.876411369096</v>
      </c>
      <c r="AN4719">
        <v>1.00000004533778</v>
      </c>
    </row>
    <row r="4720" spans="1:40" x14ac:dyDescent="0.25">
      <c r="A4720" t="str">
        <f>"20190312150745445"</f>
        <v>20190312150745445</v>
      </c>
      <c r="B4720" t="str">
        <f>"1552374465434323"</f>
        <v>1552374465434323</v>
      </c>
      <c r="C4720" t="s">
        <v>40</v>
      </c>
      <c r="D4720">
        <v>4.2434209999999997</v>
      </c>
      <c r="E4720">
        <v>0.34963880000000003</v>
      </c>
      <c r="F4720" t="s">
        <v>41</v>
      </c>
      <c r="G4720">
        <v>-490.76010000000002</v>
      </c>
      <c r="H4720">
        <v>0.99963080000000004</v>
      </c>
      <c r="I4720">
        <v>228.21250000000001</v>
      </c>
      <c r="J4720">
        <v>-491.4674</v>
      </c>
      <c r="K4720">
        <v>1.1115469999999901</v>
      </c>
      <c r="L4720">
        <v>228.63059999999999</v>
      </c>
      <c r="M4720">
        <v>0.30164220000000003</v>
      </c>
      <c r="N4720">
        <v>0</v>
      </c>
      <c r="O4720">
        <v>-0.95332740000000005</v>
      </c>
      <c r="P4720">
        <v>0.55110239999999999</v>
      </c>
      <c r="Q4720">
        <v>-2.093983E-2</v>
      </c>
      <c r="R4720">
        <v>-0.83417529999999995</v>
      </c>
      <c r="S4720">
        <v>2.654236</v>
      </c>
      <c r="T4720">
        <v>-0.4005243</v>
      </c>
      <c r="U4720">
        <v>-1.8382419999999999</v>
      </c>
      <c r="V4720">
        <v>-0.27376339999999999</v>
      </c>
      <c r="W4720">
        <v>-8.7026250000000003E-3</v>
      </c>
      <c r="X4720">
        <v>0.96175770000000005</v>
      </c>
      <c r="Y4720">
        <v>-0.60493759999999996</v>
      </c>
      <c r="Z4720">
        <v>0.13001299999999999</v>
      </c>
      <c r="AA4720">
        <v>0.78558709999999998</v>
      </c>
      <c r="AB4720">
        <v>10</v>
      </c>
      <c r="AC4720">
        <v>0.70729999999997495</v>
      </c>
      <c r="AD4720">
        <v>-0.11191619999999899</v>
      </c>
      <c r="AE4720">
        <v>-0.41809999999998099</v>
      </c>
      <c r="AF4720">
        <v>-0.53823465918801106</v>
      </c>
      <c r="AG4720">
        <v>-0.11191619999999899</v>
      </c>
      <c r="AH4720">
        <v>0.60084456581525603</v>
      </c>
      <c r="AI4720">
        <v>97.898744389187797</v>
      </c>
      <c r="AJ4720">
        <v>131.85388229545299</v>
      </c>
      <c r="AK4720">
        <v>0.81439301104773598</v>
      </c>
      <c r="AL4720">
        <v>90.498629975246601</v>
      </c>
      <c r="AM4720">
        <v>105.88895196749</v>
      </c>
      <c r="AN4720">
        <v>1.0000000041853701</v>
      </c>
    </row>
    <row r="4721" spans="1:40" x14ac:dyDescent="0.25">
      <c r="A4721" t="str">
        <f>"20190312150745467"</f>
        <v>20190312150745467</v>
      </c>
      <c r="B4721" t="str">
        <f>"1552374465464578"</f>
        <v>1552374465464578</v>
      </c>
      <c r="C4721" t="s">
        <v>40</v>
      </c>
      <c r="D4721">
        <v>4.2710650000000001</v>
      </c>
      <c r="E4721">
        <v>0.3498965</v>
      </c>
      <c r="F4721" t="s">
        <v>41</v>
      </c>
      <c r="G4721">
        <v>-490.65390000000002</v>
      </c>
      <c r="H4721">
        <v>0.9877821</v>
      </c>
      <c r="I4721">
        <v>228.07130000000001</v>
      </c>
      <c r="J4721">
        <v>-491.43360000000001</v>
      </c>
      <c r="K4721">
        <v>1.111559</v>
      </c>
      <c r="L4721">
        <v>228.53729999999999</v>
      </c>
      <c r="M4721">
        <v>0.30490600000000001</v>
      </c>
      <c r="N4721">
        <v>0</v>
      </c>
      <c r="O4721">
        <v>-0.95228820000000003</v>
      </c>
      <c r="P4721">
        <v>0.55459550000000002</v>
      </c>
      <c r="Q4721">
        <v>-2.1376300000000001E-2</v>
      </c>
      <c r="R4721">
        <v>-0.83184550000000002</v>
      </c>
      <c r="S4721">
        <v>2.6605219999999998</v>
      </c>
      <c r="T4721">
        <v>-0.40470339999999999</v>
      </c>
      <c r="U4721">
        <v>-1.828552</v>
      </c>
      <c r="V4721">
        <v>-0.27450330000000001</v>
      </c>
      <c r="W4721">
        <v>-9.1528430000000008E-3</v>
      </c>
      <c r="X4721">
        <v>0.96154260000000003</v>
      </c>
      <c r="Y4721">
        <v>-0.6048829</v>
      </c>
      <c r="Z4721">
        <v>0.13137279999999901</v>
      </c>
      <c r="AA4721">
        <v>0.78540299999999996</v>
      </c>
      <c r="AB4721">
        <v>10</v>
      </c>
      <c r="AC4721">
        <v>0.77969999999999096</v>
      </c>
      <c r="AD4721">
        <v>-0.123776899999999</v>
      </c>
      <c r="AE4721">
        <v>-0.46599999999997899</v>
      </c>
      <c r="AF4721">
        <v>-0.58952025362413996</v>
      </c>
      <c r="AG4721">
        <v>-0.123776899999999</v>
      </c>
      <c r="AH4721">
        <v>0.66913774438654705</v>
      </c>
      <c r="AI4721">
        <v>97.901990998468406</v>
      </c>
      <c r="AJ4721">
        <v>131.38052873896501</v>
      </c>
      <c r="AK4721">
        <v>0.90033336679776399</v>
      </c>
      <c r="AL4721">
        <v>90.524426594824106</v>
      </c>
      <c r="AM4721">
        <v>105.933101376788</v>
      </c>
      <c r="AN4721">
        <v>1.0000000039303101</v>
      </c>
    </row>
    <row r="4722" spans="1:40" x14ac:dyDescent="0.25">
      <c r="A4722" t="str">
        <f>"20190312150745490"</f>
        <v>20190312150745490</v>
      </c>
      <c r="B4722" t="str">
        <f>"1552374465484286"</f>
        <v>1552374465484286</v>
      </c>
      <c r="C4722" t="s">
        <v>40</v>
      </c>
      <c r="D4722">
        <v>4.2920449999999999</v>
      </c>
      <c r="E4722">
        <v>0.35007260000000001</v>
      </c>
      <c r="F4722" t="s">
        <v>41</v>
      </c>
      <c r="G4722">
        <v>-490.62599999999998</v>
      </c>
      <c r="H4722">
        <v>0.98817429999999995</v>
      </c>
      <c r="I4722">
        <v>227.98679999999999</v>
      </c>
      <c r="J4722">
        <v>-491.39870000000002</v>
      </c>
      <c r="K4722">
        <v>1.1115660000000001</v>
      </c>
      <c r="L4722">
        <v>228.44220000000001</v>
      </c>
      <c r="M4722">
        <v>0.30826609999999999</v>
      </c>
      <c r="N4722">
        <v>0</v>
      </c>
      <c r="O4722">
        <v>-0.95120590000000005</v>
      </c>
      <c r="P4722">
        <v>0.55730679999999999</v>
      </c>
      <c r="Q4722">
        <v>-2.2198490000000001E-2</v>
      </c>
      <c r="R4722">
        <v>-0.83001009999999997</v>
      </c>
      <c r="S4722">
        <v>2.6668090000000002</v>
      </c>
      <c r="T4722">
        <v>-0.40743079999999998</v>
      </c>
      <c r="U4722">
        <v>-1.8180240000000001</v>
      </c>
      <c r="V4722">
        <v>-0.27425080000000002</v>
      </c>
      <c r="W4722">
        <v>-9.9794940000000002E-3</v>
      </c>
      <c r="X4722">
        <v>0.96160639999999997</v>
      </c>
      <c r="Y4722">
        <v>-0.60496179999999999</v>
      </c>
      <c r="Z4722">
        <v>0.1322874</v>
      </c>
      <c r="AA4722">
        <v>0.78518869999999996</v>
      </c>
      <c r="AB4722">
        <v>10</v>
      </c>
      <c r="AC4722">
        <v>0.77270000000004202</v>
      </c>
      <c r="AD4722">
        <v>-0.12339170000000001</v>
      </c>
      <c r="AE4722">
        <v>-0.45540000000002501</v>
      </c>
      <c r="AF4722">
        <v>-0.58361986071299898</v>
      </c>
      <c r="AG4722">
        <v>-0.12339170000000001</v>
      </c>
      <c r="AH4722">
        <v>0.65896469623845999</v>
      </c>
      <c r="AI4722">
        <v>97.979580443370807</v>
      </c>
      <c r="AJ4722">
        <v>131.530085587196</v>
      </c>
      <c r="AK4722">
        <v>0.88886001391456304</v>
      </c>
      <c r="AL4722">
        <v>90.571792390374398</v>
      </c>
      <c r="AM4722">
        <v>105.91818575606899</v>
      </c>
      <c r="AN4722">
        <v>0.99999998006104696</v>
      </c>
    </row>
    <row r="4723" spans="1:40" x14ac:dyDescent="0.25">
      <c r="A4723" t="str">
        <f>"20190312150745511"</f>
        <v>20190312150745511</v>
      </c>
      <c r="B4723" t="str">
        <f>"1552374465504783"</f>
        <v>1552374465504783</v>
      </c>
      <c r="C4723" t="s">
        <v>40</v>
      </c>
      <c r="D4723">
        <v>4.2995349999999997</v>
      </c>
      <c r="E4723">
        <v>0.35030719999999999</v>
      </c>
      <c r="F4723" t="s">
        <v>41</v>
      </c>
      <c r="G4723">
        <v>-490.6003</v>
      </c>
      <c r="H4723">
        <v>0.98864620000000003</v>
      </c>
      <c r="I4723">
        <v>227.90110000000001</v>
      </c>
      <c r="J4723">
        <v>-491.36410000000001</v>
      </c>
      <c r="K4723">
        <v>1.111567</v>
      </c>
      <c r="L4723">
        <v>228.34880000000001</v>
      </c>
      <c r="M4723">
        <v>0.31158799999999998</v>
      </c>
      <c r="N4723">
        <v>0</v>
      </c>
      <c r="O4723">
        <v>-0.9501231</v>
      </c>
      <c r="P4723">
        <v>0.55978099999999997</v>
      </c>
      <c r="Q4723">
        <v>-2.2802389999999999E-2</v>
      </c>
      <c r="R4723">
        <v>-0.82832719999999904</v>
      </c>
      <c r="S4723">
        <v>2.6716609999999998</v>
      </c>
      <c r="T4723">
        <v>-0.41110000000000002</v>
      </c>
      <c r="U4723">
        <v>-1.809601</v>
      </c>
      <c r="V4723">
        <v>-0.27376339999999999</v>
      </c>
      <c r="W4723">
        <v>-1.0583270000000001E-2</v>
      </c>
      <c r="X4723">
        <v>0.9617388</v>
      </c>
      <c r="Y4723">
        <v>-0.60441650000000002</v>
      </c>
      <c r="Z4723">
        <v>0.133483399999999</v>
      </c>
      <c r="AA4723">
        <v>0.78540619999999906</v>
      </c>
      <c r="AB4723">
        <v>10</v>
      </c>
      <c r="AC4723">
        <v>0.76380000000000303</v>
      </c>
      <c r="AD4723">
        <v>-0.1229208</v>
      </c>
      <c r="AE4723">
        <v>-0.44769999999999699</v>
      </c>
      <c r="AF4723">
        <v>-0.575171187054766</v>
      </c>
      <c r="AG4723">
        <v>-0.1229208</v>
      </c>
      <c r="AH4723">
        <v>0.65087375315506502</v>
      </c>
      <c r="AI4723">
        <v>98.054822526841704</v>
      </c>
      <c r="AJ4723">
        <v>131.46673802364899</v>
      </c>
      <c r="AK4723">
        <v>0.87725028357749202</v>
      </c>
      <c r="AL4723">
        <v>90.606388047596397</v>
      </c>
      <c r="AM4723">
        <v>105.889248451043</v>
      </c>
      <c r="AN4723">
        <v>0.99999996210444497</v>
      </c>
    </row>
    <row r="4724" spans="1:40" x14ac:dyDescent="0.25">
      <c r="A4724" t="str">
        <f>"20190312150745534"</f>
        <v>20190312150745534</v>
      </c>
      <c r="B4724" t="str">
        <f>"1552374465524305"</f>
        <v>1552374465524305</v>
      </c>
      <c r="C4724" t="s">
        <v>40</v>
      </c>
      <c r="D4724">
        <v>4.2893889999999999</v>
      </c>
      <c r="E4724">
        <v>0.35037740000000001</v>
      </c>
      <c r="F4724" t="s">
        <v>41</v>
      </c>
      <c r="G4724">
        <v>-490.57339999999999</v>
      </c>
      <c r="H4724">
        <v>0.98981149999999996</v>
      </c>
      <c r="I4724">
        <v>227.81630000000001</v>
      </c>
      <c r="J4724">
        <v>-491.32900000000001</v>
      </c>
      <c r="K4724">
        <v>1.111569</v>
      </c>
      <c r="L4724">
        <v>228.25530000000001</v>
      </c>
      <c r="M4724">
        <v>0.31494519999999998</v>
      </c>
      <c r="N4724">
        <v>0</v>
      </c>
      <c r="O4724">
        <v>-0.94901530000000001</v>
      </c>
      <c r="P4724">
        <v>0.56231529999999996</v>
      </c>
      <c r="Q4724">
        <v>-2.2903E-2</v>
      </c>
      <c r="R4724">
        <v>-0.82660560000000005</v>
      </c>
      <c r="S4724">
        <v>2.6759339999999998</v>
      </c>
      <c r="T4724">
        <v>-0.41199930000000001</v>
      </c>
      <c r="U4724">
        <v>-1.8020780000000001</v>
      </c>
      <c r="V4724">
        <v>-0.27331</v>
      </c>
      <c r="W4724">
        <v>-1.068174E-2</v>
      </c>
      <c r="X4724">
        <v>0.96186669999999996</v>
      </c>
      <c r="Y4724">
        <v>-0.60367930000000003</v>
      </c>
      <c r="Z4724">
        <v>0.13378300000000001</v>
      </c>
      <c r="AA4724">
        <v>0.78592209999999996</v>
      </c>
      <c r="AB4724">
        <v>10</v>
      </c>
      <c r="AC4724">
        <v>0.75560000000001504</v>
      </c>
      <c r="AD4724">
        <v>-0.1217575</v>
      </c>
      <c r="AE4724">
        <v>-0.43899999999999201</v>
      </c>
      <c r="AF4724">
        <v>-0.56784334675719905</v>
      </c>
      <c r="AG4724">
        <v>-0.1217575</v>
      </c>
      <c r="AH4724">
        <v>0.64218228760621199</v>
      </c>
      <c r="AI4724">
        <v>98.083983876131498</v>
      </c>
      <c r="AJ4724">
        <v>131.484404278124</v>
      </c>
      <c r="AK4724">
        <v>0.86583430619132595</v>
      </c>
      <c r="AL4724">
        <v>90.612030257666802</v>
      </c>
      <c r="AM4724">
        <v>105.862255263032</v>
      </c>
      <c r="AN4724">
        <v>1.00000000211915</v>
      </c>
    </row>
    <row r="4725" spans="1:40" x14ac:dyDescent="0.25">
      <c r="A4725" t="str">
        <f>"20190312150745556"</f>
        <v>20190312150745556</v>
      </c>
      <c r="B4725" t="str">
        <f>"1552374465544798"</f>
        <v>1552374465544798</v>
      </c>
      <c r="C4725" t="s">
        <v>40</v>
      </c>
      <c r="D4725">
        <v>4.3300489999999998</v>
      </c>
      <c r="E4725">
        <v>0.35068300000000002</v>
      </c>
      <c r="F4725" t="s">
        <v>41</v>
      </c>
      <c r="G4725">
        <v>-490.54660000000001</v>
      </c>
      <c r="H4725">
        <v>0.99122390000000005</v>
      </c>
      <c r="I4725">
        <v>227.73159999999999</v>
      </c>
      <c r="J4725">
        <v>-491.29419999999999</v>
      </c>
      <c r="K4725">
        <v>1.111569</v>
      </c>
      <c r="L4725">
        <v>228.1635</v>
      </c>
      <c r="M4725">
        <v>0.31825979999999998</v>
      </c>
      <c r="N4725">
        <v>0</v>
      </c>
      <c r="O4725">
        <v>-0.947909</v>
      </c>
      <c r="P4725">
        <v>0.56508230000000004</v>
      </c>
      <c r="Q4725">
        <v>-2.3092629999999999E-2</v>
      </c>
      <c r="R4725">
        <v>-0.82471149999999904</v>
      </c>
      <c r="S4725">
        <v>2.6812130000000001</v>
      </c>
      <c r="T4725">
        <v>-0.41227930000000002</v>
      </c>
      <c r="U4725">
        <v>-1.7939909999999999</v>
      </c>
      <c r="V4725">
        <v>-0.27317279999999999</v>
      </c>
      <c r="W4725">
        <v>-1.087015E-2</v>
      </c>
      <c r="X4725">
        <v>0.96190359999999997</v>
      </c>
      <c r="Y4725">
        <v>-0.60325010000000001</v>
      </c>
      <c r="Z4725">
        <v>0.13386870000000001</v>
      </c>
      <c r="AA4725">
        <v>0.78623690000000002</v>
      </c>
      <c r="AB4725">
        <v>10</v>
      </c>
      <c r="AC4725">
        <v>0.74759999999997695</v>
      </c>
      <c r="AD4725">
        <v>-0.1203451</v>
      </c>
      <c r="AE4725">
        <v>-0.431900000000013</v>
      </c>
      <c r="AF4725">
        <v>-0.56036444188573098</v>
      </c>
      <c r="AG4725">
        <v>-0.1203451</v>
      </c>
      <c r="AH4725">
        <v>0.635052736908015</v>
      </c>
      <c r="AI4725">
        <v>98.087287290925602</v>
      </c>
      <c r="AJ4725">
        <v>131.42487250605799</v>
      </c>
      <c r="AK4725">
        <v>0.85544329413367703</v>
      </c>
      <c r="AL4725">
        <v>90.622825960415696</v>
      </c>
      <c r="AM4725">
        <v>105.854115266324</v>
      </c>
      <c r="AN4725">
        <v>1.00000003725691</v>
      </c>
    </row>
    <row r="4726" spans="1:40" x14ac:dyDescent="0.25">
      <c r="A4726" t="str">
        <f>"20190312150745570"</f>
        <v>20190312150745570</v>
      </c>
      <c r="B4726" t="str">
        <f>"1552374465564318"</f>
        <v>1552374465564318</v>
      </c>
      <c r="C4726" t="s">
        <v>40</v>
      </c>
      <c r="D4726">
        <v>4.3527639999999996</v>
      </c>
      <c r="E4726">
        <v>0.3509659</v>
      </c>
      <c r="F4726" t="s">
        <v>41</v>
      </c>
      <c r="G4726">
        <v>-490.51870000000002</v>
      </c>
      <c r="H4726">
        <v>0.99061469999999896</v>
      </c>
      <c r="I4726">
        <v>227.64769999999999</v>
      </c>
      <c r="J4726">
        <v>-491.27170000000001</v>
      </c>
      <c r="K4726">
        <v>1.111561</v>
      </c>
      <c r="L4726">
        <v>228.10470000000001</v>
      </c>
      <c r="M4726">
        <v>0.32039380000000001</v>
      </c>
      <c r="N4726">
        <v>0</v>
      </c>
      <c r="O4726">
        <v>-0.94718999999999998</v>
      </c>
      <c r="P4726">
        <v>0.56675830000000005</v>
      </c>
      <c r="Q4726">
        <v>-2.329753E-2</v>
      </c>
      <c r="R4726">
        <v>-0.82355489999999998</v>
      </c>
      <c r="S4726">
        <v>2.685425</v>
      </c>
      <c r="T4726">
        <v>-0.41876079999999999</v>
      </c>
      <c r="U4726">
        <v>-1.7859039999999999</v>
      </c>
      <c r="V4726">
        <v>-0.2729645</v>
      </c>
      <c r="W4726">
        <v>-1.10738E-2</v>
      </c>
      <c r="X4726">
        <v>0.96196040000000005</v>
      </c>
      <c r="Y4726">
        <v>-0.60342719999999905</v>
      </c>
      <c r="Z4726">
        <v>0.1359908</v>
      </c>
      <c r="AA4726">
        <v>0.78573669999999995</v>
      </c>
      <c r="AB4726">
        <v>10</v>
      </c>
      <c r="AC4726">
        <v>0.75299999999998501</v>
      </c>
      <c r="AD4726">
        <v>-0.12094630000000001</v>
      </c>
      <c r="AE4726">
        <v>-0.457000000000022</v>
      </c>
      <c r="AF4726">
        <v>-0.55637493723064202</v>
      </c>
      <c r="AG4726">
        <v>-0.12094630000000001</v>
      </c>
      <c r="AH4726">
        <v>0.66170687048878396</v>
      </c>
      <c r="AI4726">
        <v>97.9639129565426</v>
      </c>
      <c r="AJ4726">
        <v>130.057721476441</v>
      </c>
      <c r="AK4726">
        <v>0.87294734131799201</v>
      </c>
      <c r="AL4726">
        <v>90.634494952989698</v>
      </c>
      <c r="AM4726">
        <v>105.841744722714</v>
      </c>
      <c r="AN4726">
        <v>1.00000002923742</v>
      </c>
    </row>
    <row r="4727" spans="1:40" x14ac:dyDescent="0.25">
      <c r="A4727" t="str">
        <f>"20190312150745590"</f>
        <v>20190312150745590</v>
      </c>
      <c r="B4727" t="str">
        <f>"1552374465584813"</f>
        <v>1552374465584813</v>
      </c>
      <c r="C4727" t="s">
        <v>40</v>
      </c>
      <c r="D4727">
        <v>4.3287110000000002</v>
      </c>
      <c r="E4727">
        <v>0.35116649999999999</v>
      </c>
      <c r="F4727" t="s">
        <v>41</v>
      </c>
      <c r="G4727">
        <v>-490.47280000000001</v>
      </c>
      <c r="H4727">
        <v>0.98662229999999995</v>
      </c>
      <c r="I4727">
        <v>227.57480000000001</v>
      </c>
      <c r="J4727">
        <v>-491.23970000000003</v>
      </c>
      <c r="K4727">
        <v>1.111559</v>
      </c>
      <c r="L4727">
        <v>228.02189999999999</v>
      </c>
      <c r="M4727">
        <v>0.32341490000000001</v>
      </c>
      <c r="N4727">
        <v>0</v>
      </c>
      <c r="O4727">
        <v>-0.94616259999999996</v>
      </c>
      <c r="P4727">
        <v>0.5688588</v>
      </c>
      <c r="Q4727">
        <v>-2.3343929999999999E-2</v>
      </c>
      <c r="R4727">
        <v>-0.82210380000000005</v>
      </c>
      <c r="S4727">
        <v>2.687103</v>
      </c>
      <c r="T4727">
        <v>-0.42005670000000001</v>
      </c>
      <c r="U4727">
        <v>-1.7816620000000001</v>
      </c>
      <c r="V4727">
        <v>-0.27235100000000001</v>
      </c>
      <c r="W4727">
        <v>-1.11191E-2</v>
      </c>
      <c r="X4727">
        <v>0.96213369999999998</v>
      </c>
      <c r="Y4727">
        <v>-0.6019331</v>
      </c>
      <c r="Z4727">
        <v>0.13640169999999999</v>
      </c>
      <c r="AA4727">
        <v>0.78681080000000003</v>
      </c>
      <c r="AB4727">
        <v>10</v>
      </c>
      <c r="AC4727">
        <v>0.76690000000002101</v>
      </c>
      <c r="AD4727">
        <v>-0.1249367</v>
      </c>
      <c r="AE4727">
        <v>-0.44709999999997702</v>
      </c>
      <c r="AF4727">
        <v>-0.56977929900940805</v>
      </c>
      <c r="AG4727">
        <v>-0.1249367</v>
      </c>
      <c r="AH4727">
        <v>0.65808119258656395</v>
      </c>
      <c r="AI4727">
        <v>98.167752897205503</v>
      </c>
      <c r="AJ4727">
        <v>130.88664112966501</v>
      </c>
      <c r="AK4727">
        <v>0.87939097369867103</v>
      </c>
      <c r="AL4727">
        <v>90.637090643457896</v>
      </c>
      <c r="AM4727">
        <v>105.805216028057</v>
      </c>
      <c r="AN4727">
        <v>0.99999997913074901</v>
      </c>
    </row>
    <row r="4728" spans="1:40" x14ac:dyDescent="0.25">
      <c r="A4728" t="str">
        <f>"20190312150745613"</f>
        <v>20190312150745613</v>
      </c>
      <c r="B4728" t="str">
        <f>"1552374465604334"</f>
        <v>1552374465604334</v>
      </c>
      <c r="C4728" t="s">
        <v>40</v>
      </c>
      <c r="D4728">
        <v>4.3549020000000001</v>
      </c>
      <c r="E4728">
        <v>0.35140329999999997</v>
      </c>
      <c r="F4728" t="s">
        <v>41</v>
      </c>
      <c r="G4728">
        <v>-490.44</v>
      </c>
      <c r="H4728">
        <v>0.98692650000000004</v>
      </c>
      <c r="I4728">
        <v>227.49420000000001</v>
      </c>
      <c r="J4728">
        <v>-491.20280000000002</v>
      </c>
      <c r="K4728">
        <v>1.111556</v>
      </c>
      <c r="L4728">
        <v>227.9273</v>
      </c>
      <c r="M4728">
        <v>0.32688099999999998</v>
      </c>
      <c r="N4728">
        <v>0</v>
      </c>
      <c r="O4728">
        <v>-0.9449708</v>
      </c>
      <c r="P4728">
        <v>0.57188930000000004</v>
      </c>
      <c r="Q4728">
        <v>-2.345995E-2</v>
      </c>
      <c r="R4728">
        <v>-0.81999509999999898</v>
      </c>
      <c r="S4728">
        <v>2.6903990000000002</v>
      </c>
      <c r="T4728">
        <v>-0.41939029999999999</v>
      </c>
      <c r="U4728">
        <v>-1.775665</v>
      </c>
      <c r="V4728">
        <v>-0.27237620000000001</v>
      </c>
      <c r="W4728">
        <v>-1.1245069999999999E-2</v>
      </c>
      <c r="X4728">
        <v>0.96212509999999996</v>
      </c>
      <c r="Y4728">
        <v>-0.60071090000000005</v>
      </c>
      <c r="Z4728">
        <v>0.13617370000000001</v>
      </c>
      <c r="AA4728">
        <v>0.78778369999999998</v>
      </c>
      <c r="AB4728">
        <v>10</v>
      </c>
      <c r="AC4728">
        <v>0.76280000000002701</v>
      </c>
      <c r="AD4728">
        <v>-0.1246295</v>
      </c>
      <c r="AE4728">
        <v>-0.43309999999999599</v>
      </c>
      <c r="AF4728">
        <v>-0.56784053738039397</v>
      </c>
      <c r="AG4728">
        <v>-0.1246295</v>
      </c>
      <c r="AH4728">
        <v>0.64563728949924504</v>
      </c>
      <c r="AI4728">
        <v>98.247489710619604</v>
      </c>
      <c r="AJ4728">
        <v>131.33175526090599</v>
      </c>
      <c r="AK4728">
        <v>0.86880544298170403</v>
      </c>
      <c r="AL4728">
        <v>90.644308645619304</v>
      </c>
      <c r="AM4728">
        <v>105.80673959812501</v>
      </c>
      <c r="AN4728">
        <v>0.99999997698787702</v>
      </c>
    </row>
    <row r="4729" spans="1:40" x14ac:dyDescent="0.25">
      <c r="A4729" t="str">
        <f>"20190312150745634"</f>
        <v>20190312150745634</v>
      </c>
      <c r="B4729" t="str">
        <f>"1552374465624830"</f>
        <v>1552374465624830</v>
      </c>
      <c r="C4729" t="s">
        <v>40</v>
      </c>
      <c r="D4729">
        <v>4.4512519999999904</v>
      </c>
      <c r="E4729">
        <v>0.39163789999999998</v>
      </c>
      <c r="F4729" t="s">
        <v>41</v>
      </c>
      <c r="G4729">
        <v>-490.41390000000001</v>
      </c>
      <c r="H4729">
        <v>0.98808419999999997</v>
      </c>
      <c r="I4729">
        <v>227.40979999999999</v>
      </c>
      <c r="J4729">
        <v>-491.16820000000001</v>
      </c>
      <c r="K4729">
        <v>1.111553</v>
      </c>
      <c r="L4729">
        <v>227.83969999999999</v>
      </c>
      <c r="M4729">
        <v>0.33010729999999999</v>
      </c>
      <c r="N4729">
        <v>0</v>
      </c>
      <c r="O4729">
        <v>-0.94384900000000005</v>
      </c>
      <c r="P4729">
        <v>0.5745673</v>
      </c>
      <c r="Q4729">
        <v>-2.3666719999999999E-2</v>
      </c>
      <c r="R4729">
        <v>-0.81811509999999998</v>
      </c>
      <c r="S4729">
        <v>2.6948240000000001</v>
      </c>
      <c r="T4729">
        <v>-0.4216162</v>
      </c>
      <c r="U4729">
        <v>-1.767029</v>
      </c>
      <c r="V4729">
        <v>-0.27223649999999999</v>
      </c>
      <c r="W4729">
        <v>-1.146489E-2</v>
      </c>
      <c r="X4729">
        <v>0.96216210000000002</v>
      </c>
      <c r="Y4729">
        <v>-0.60026440000000003</v>
      </c>
      <c r="Z4729">
        <v>0.13691320000000001</v>
      </c>
      <c r="AA4729">
        <v>0.78799580000000002</v>
      </c>
      <c r="AB4729">
        <v>10</v>
      </c>
      <c r="AC4729">
        <v>0.75429999999999997</v>
      </c>
      <c r="AD4729">
        <v>-0.1234688</v>
      </c>
      <c r="AE4729">
        <v>-0.429900000000003</v>
      </c>
      <c r="AF4729">
        <v>-0.558782134316122</v>
      </c>
      <c r="AG4729">
        <v>-0.1234688</v>
      </c>
      <c r="AH4729">
        <v>0.64183840007252202</v>
      </c>
      <c r="AI4729">
        <v>98.255292944599603</v>
      </c>
      <c r="AJ4729">
        <v>131.042709635915</v>
      </c>
      <c r="AK4729">
        <v>0.85990612860473103</v>
      </c>
      <c r="AL4729">
        <v>90.656904180637298</v>
      </c>
      <c r="AM4729">
        <v>105.798460046936</v>
      </c>
      <c r="AN4729">
        <v>1.00000003115568</v>
      </c>
    </row>
    <row r="4730" spans="1:40" x14ac:dyDescent="0.25">
      <c r="A4730" t="str">
        <f>"20190312150745656"</f>
        <v>20190312150745656</v>
      </c>
      <c r="B4730" t="str">
        <f>"1552374465644353"</f>
        <v>1552374465644353</v>
      </c>
      <c r="C4730" t="s">
        <v>40</v>
      </c>
      <c r="D4730">
        <v>4.4623860000000004</v>
      </c>
      <c r="E4730">
        <v>0.40600730000000002</v>
      </c>
      <c r="F4730" t="s">
        <v>41</v>
      </c>
      <c r="G4730">
        <v>-490.46429999999998</v>
      </c>
      <c r="H4730">
        <v>0.99087570000000003</v>
      </c>
      <c r="I4730">
        <v>227.27879999999999</v>
      </c>
      <c r="J4730">
        <v>-491.13249999999999</v>
      </c>
      <c r="K4730">
        <v>1.111542</v>
      </c>
      <c r="L4730">
        <v>227.75040000000001</v>
      </c>
      <c r="M4730">
        <v>0.3334049</v>
      </c>
      <c r="N4730">
        <v>0</v>
      </c>
      <c r="O4730">
        <v>-0.94268940000000001</v>
      </c>
      <c r="P4730">
        <v>0.57725890000000002</v>
      </c>
      <c r="Q4730">
        <v>-2.3838359999999999E-2</v>
      </c>
      <c r="R4730">
        <v>-0.81621350000000004</v>
      </c>
      <c r="S4730">
        <v>2.4378359999999999</v>
      </c>
      <c r="T4730">
        <v>-0.4179697</v>
      </c>
      <c r="U4730">
        <v>-1.942795</v>
      </c>
      <c r="V4730">
        <v>-0.27204329999999999</v>
      </c>
      <c r="W4730">
        <v>-1.16525E-2</v>
      </c>
      <c r="X4730">
        <v>0.96221449999999997</v>
      </c>
      <c r="Y4730">
        <v>-0.52176449999999996</v>
      </c>
      <c r="Z4730">
        <v>0.13791919999999999</v>
      </c>
      <c r="AA4730">
        <v>0.84186709999999998</v>
      </c>
      <c r="AB4730">
        <v>10</v>
      </c>
      <c r="AC4730">
        <v>0.66820000000001301</v>
      </c>
      <c r="AD4730">
        <v>-0.1206663</v>
      </c>
      <c r="AE4730">
        <v>-0.471600000000023</v>
      </c>
      <c r="AF4730">
        <v>-0.46264268848768803</v>
      </c>
      <c r="AG4730">
        <v>-0.1206663</v>
      </c>
      <c r="AH4730">
        <v>0.65319430621546004</v>
      </c>
      <c r="AI4730">
        <v>98.572805783584599</v>
      </c>
      <c r="AJ4730">
        <v>125.309074893776</v>
      </c>
      <c r="AK4730">
        <v>0.80948218932790805</v>
      </c>
      <c r="AL4730">
        <v>90.667654153133597</v>
      </c>
      <c r="AM4730">
        <v>105.786990483602</v>
      </c>
      <c r="AN4730">
        <v>1.0000000409206899</v>
      </c>
    </row>
    <row r="4731" spans="1:40" x14ac:dyDescent="0.25">
      <c r="A4731" t="str">
        <f>"20190312150745678"</f>
        <v>20190312150745678</v>
      </c>
      <c r="B4731" t="str">
        <f>"1552374465674606"</f>
        <v>1552374465674606</v>
      </c>
      <c r="C4731" t="s">
        <v>40</v>
      </c>
      <c r="D4731">
        <v>4.4798280000000004</v>
      </c>
      <c r="E4731">
        <v>0.41347509999999998</v>
      </c>
      <c r="F4731" t="s">
        <v>41</v>
      </c>
      <c r="G4731">
        <v>-490.46230000000003</v>
      </c>
      <c r="H4731">
        <v>0.99867419999999996</v>
      </c>
      <c r="I4731">
        <v>227.17930000000001</v>
      </c>
      <c r="J4731">
        <v>-491.09649999999999</v>
      </c>
      <c r="K4731">
        <v>1.1115330000000001</v>
      </c>
      <c r="L4731">
        <v>227.661</v>
      </c>
      <c r="M4731">
        <v>0.33672360000000001</v>
      </c>
      <c r="N4731">
        <v>0</v>
      </c>
      <c r="O4731">
        <v>-0.94150940000000005</v>
      </c>
      <c r="P4731">
        <v>0.58006950000000002</v>
      </c>
      <c r="Q4731">
        <v>-2.4901280000000001E-2</v>
      </c>
      <c r="R4731">
        <v>-0.81418630000000003</v>
      </c>
      <c r="S4731">
        <v>2.3499759999999998</v>
      </c>
      <c r="T4731">
        <v>-0.39562649999999999</v>
      </c>
      <c r="U4731">
        <v>-2.0019529999999999</v>
      </c>
      <c r="V4731">
        <v>-0.27197959999999999</v>
      </c>
      <c r="W4731">
        <v>-1.273736E-2</v>
      </c>
      <c r="X4731">
        <v>0.96221869999999998</v>
      </c>
      <c r="Y4731">
        <v>-0.49158420000000003</v>
      </c>
      <c r="Z4731">
        <v>0.13106789999999999</v>
      </c>
      <c r="AA4731">
        <v>0.86091010000000001</v>
      </c>
      <c r="AB4731">
        <v>10</v>
      </c>
      <c r="AC4731">
        <v>0.63419999999996401</v>
      </c>
      <c r="AD4731">
        <v>-0.112858799999999</v>
      </c>
      <c r="AE4731">
        <v>-0.48169999999996099</v>
      </c>
      <c r="AF4731">
        <v>-0.42638132466822298</v>
      </c>
      <c r="AG4731">
        <v>-0.112858799999999</v>
      </c>
      <c r="AH4731">
        <v>0.65400046419001201</v>
      </c>
      <c r="AI4731">
        <v>98.225585365117396</v>
      </c>
      <c r="AJ4731">
        <v>123.10269190622201</v>
      </c>
      <c r="AK4731">
        <v>0.78883125567133905</v>
      </c>
      <c r="AL4731">
        <v>90.729816716357107</v>
      </c>
      <c r="AM4731">
        <v>105.783412651578</v>
      </c>
      <c r="AN4731">
        <v>0.99999998489280895</v>
      </c>
    </row>
    <row r="4732" spans="1:40" x14ac:dyDescent="0.25">
      <c r="A4732" t="str">
        <f>"20190312150745700"</f>
        <v>20190312150745700</v>
      </c>
      <c r="B4732" t="str">
        <f>"1552374465694126"</f>
        <v>1552374465694126</v>
      </c>
      <c r="C4732" t="s">
        <v>40</v>
      </c>
      <c r="D4732">
        <v>4.449675</v>
      </c>
      <c r="E4732">
        <v>0.41535830000000001</v>
      </c>
      <c r="F4732" t="s">
        <v>41</v>
      </c>
      <c r="G4732">
        <v>-490.44</v>
      </c>
      <c r="H4732">
        <v>0.99712940000000005</v>
      </c>
      <c r="I4732">
        <v>227.084</v>
      </c>
      <c r="J4732">
        <v>-491.05869999999999</v>
      </c>
      <c r="K4732">
        <v>1.111524</v>
      </c>
      <c r="L4732">
        <v>227.56829999999999</v>
      </c>
      <c r="M4732">
        <v>0.34017940000000002</v>
      </c>
      <c r="N4732">
        <v>0</v>
      </c>
      <c r="O4732">
        <v>-0.94026679999999996</v>
      </c>
      <c r="P4732">
        <v>0.58256940000000002</v>
      </c>
      <c r="Q4732">
        <v>-2.5170890000000001E-2</v>
      </c>
      <c r="R4732">
        <v>-0.81239119999999998</v>
      </c>
      <c r="S4732">
        <v>2.3081049999999999</v>
      </c>
      <c r="T4732">
        <v>-0.40212769999999998</v>
      </c>
      <c r="U4732">
        <v>-2.0279850000000001</v>
      </c>
      <c r="V4732">
        <v>-0.27140589999999998</v>
      </c>
      <c r="W4732">
        <v>-1.303327E-2</v>
      </c>
      <c r="X4732">
        <v>0.96237669999999997</v>
      </c>
      <c r="Y4732">
        <v>-0.47489789999999998</v>
      </c>
      <c r="Z4732">
        <v>0.13332040000000001</v>
      </c>
      <c r="AA4732">
        <v>0.86988369999999904</v>
      </c>
      <c r="AB4732">
        <v>10</v>
      </c>
      <c r="AC4732">
        <v>0.61869999999998904</v>
      </c>
      <c r="AD4732">
        <v>-0.1143946</v>
      </c>
      <c r="AE4732">
        <v>-0.48429999999999002</v>
      </c>
      <c r="AF4732">
        <v>-0.40837434460889899</v>
      </c>
      <c r="AG4732">
        <v>-0.1143946</v>
      </c>
      <c r="AH4732">
        <v>0.652076376712866</v>
      </c>
      <c r="AI4732">
        <v>98.456822489976702</v>
      </c>
      <c r="AJ4732">
        <v>122.05758277097399</v>
      </c>
      <c r="AK4732">
        <v>0.77785559772420998</v>
      </c>
      <c r="AL4732">
        <v>90.746772529051697</v>
      </c>
      <c r="AM4732">
        <v>105.74931613233601</v>
      </c>
      <c r="AN4732">
        <v>0.99999997069229596</v>
      </c>
    </row>
    <row r="4733" spans="1:40" x14ac:dyDescent="0.25">
      <c r="A4733" t="str">
        <f>"20190312150745723"</f>
        <v>20190312150745723</v>
      </c>
      <c r="B4733" t="str">
        <f>"1552374465714622"</f>
        <v>1552374465714622</v>
      </c>
      <c r="C4733" t="s">
        <v>40</v>
      </c>
      <c r="D4733">
        <v>4.463597</v>
      </c>
      <c r="E4733">
        <v>0.41656019999999999</v>
      </c>
      <c r="F4733" t="s">
        <v>41</v>
      </c>
      <c r="G4733">
        <v>-490.387</v>
      </c>
      <c r="H4733">
        <v>0.99603920000000001</v>
      </c>
      <c r="I4733">
        <v>226.9759</v>
      </c>
      <c r="J4733">
        <v>-491.02100000000002</v>
      </c>
      <c r="K4733">
        <v>1.11151</v>
      </c>
      <c r="L4733">
        <v>227.4769</v>
      </c>
      <c r="M4733">
        <v>0.34360439999999998</v>
      </c>
      <c r="N4733">
        <v>0</v>
      </c>
      <c r="O4733">
        <v>-0.93902110000000005</v>
      </c>
      <c r="P4733">
        <v>0.58506449999999999</v>
      </c>
      <c r="Q4733">
        <v>-2.572723E-2</v>
      </c>
      <c r="R4733">
        <v>-0.81057860000000004</v>
      </c>
      <c r="S4733">
        <v>2.301971</v>
      </c>
      <c r="T4733">
        <v>-0.39565260000000002</v>
      </c>
      <c r="U4733">
        <v>-2.0298159999999998</v>
      </c>
      <c r="V4733">
        <v>-0.27086169999999998</v>
      </c>
      <c r="W4733">
        <v>-1.3622830000000001E-2</v>
      </c>
      <c r="X4733">
        <v>0.96252190000000004</v>
      </c>
      <c r="Y4733">
        <v>-0.4703715</v>
      </c>
      <c r="Z4733">
        <v>0.13117980000000001</v>
      </c>
      <c r="AA4733">
        <v>0.872664</v>
      </c>
      <c r="AB4733">
        <v>10</v>
      </c>
      <c r="AC4733">
        <v>0.634000000000014</v>
      </c>
      <c r="AD4733">
        <v>-0.115470799999999</v>
      </c>
      <c r="AE4733">
        <v>-0.501000000000004</v>
      </c>
      <c r="AF4733">
        <v>-0.41476118781660798</v>
      </c>
      <c r="AG4733">
        <v>-0.115470799999999</v>
      </c>
      <c r="AH4733">
        <v>0.67458007571366396</v>
      </c>
      <c r="AI4733">
        <v>98.296243081149001</v>
      </c>
      <c r="AJ4733">
        <v>121.585010008255</v>
      </c>
      <c r="AK4733">
        <v>0.80026159917962802</v>
      </c>
      <c r="AL4733">
        <v>90.7805547885322</v>
      </c>
      <c r="AM4733">
        <v>105.717045220218</v>
      </c>
      <c r="AN4733">
        <v>1.0000000250018499</v>
      </c>
    </row>
    <row r="4734" spans="1:40" x14ac:dyDescent="0.25">
      <c r="A4734" t="str">
        <f>"20190312150745746"</f>
        <v>20190312150745746</v>
      </c>
      <c r="B4734" t="str">
        <f>"1552374465734143"</f>
        <v>1552374465734143</v>
      </c>
      <c r="C4734" t="s">
        <v>40</v>
      </c>
      <c r="D4734">
        <v>4.4567819999999996</v>
      </c>
      <c r="E4734">
        <v>0.41744049999999999</v>
      </c>
      <c r="F4734" t="s">
        <v>41</v>
      </c>
      <c r="G4734">
        <v>-490.33679999999998</v>
      </c>
      <c r="H4734">
        <v>0.99652209999999997</v>
      </c>
      <c r="I4734">
        <v>226.8734</v>
      </c>
      <c r="J4734">
        <v>-490.98379999999997</v>
      </c>
      <c r="K4734">
        <v>1.111504</v>
      </c>
      <c r="L4734">
        <v>227.38759999999999</v>
      </c>
      <c r="M4734">
        <v>0.34696329999999997</v>
      </c>
      <c r="N4734">
        <v>0</v>
      </c>
      <c r="O4734">
        <v>-0.93778570000000006</v>
      </c>
      <c r="P4734">
        <v>0.58760970000000001</v>
      </c>
      <c r="Q4734">
        <v>-2.5763399999999999E-2</v>
      </c>
      <c r="R4734">
        <v>-0.80873439999999996</v>
      </c>
      <c r="S4734">
        <v>2.2998349999999999</v>
      </c>
      <c r="T4734">
        <v>-0.38655240000000002</v>
      </c>
      <c r="U4734">
        <v>-2.0287929999999998</v>
      </c>
      <c r="V4734">
        <v>-0.27044240000000003</v>
      </c>
      <c r="W4734">
        <v>-1.3697320000000001E-2</v>
      </c>
      <c r="X4734">
        <v>0.96263869999999896</v>
      </c>
      <c r="Y4734">
        <v>-0.46733659999999999</v>
      </c>
      <c r="Z4734">
        <v>0.1281707</v>
      </c>
      <c r="AA4734">
        <v>0.87473919999999905</v>
      </c>
      <c r="AB4734">
        <v>10</v>
      </c>
      <c r="AC4734">
        <v>0.64699999999999103</v>
      </c>
      <c r="AD4734">
        <v>-0.1149819</v>
      </c>
      <c r="AE4734">
        <v>-0.514199999999988</v>
      </c>
      <c r="AF4734">
        <v>-0.42024169007252898</v>
      </c>
      <c r="AG4734">
        <v>-0.1149819</v>
      </c>
      <c r="AH4734">
        <v>0.69333561643215802</v>
      </c>
      <c r="AI4734">
        <v>98.071940109765507</v>
      </c>
      <c r="AJ4734">
        <v>121.220716659335</v>
      </c>
      <c r="AK4734">
        <v>0.81886396453622701</v>
      </c>
      <c r="AL4734">
        <v>90.784823178716195</v>
      </c>
      <c r="AM4734">
        <v>105.692104177478</v>
      </c>
      <c r="AN4734">
        <v>0.99999998751531505</v>
      </c>
    </row>
    <row r="4735" spans="1:40" x14ac:dyDescent="0.25">
      <c r="A4735" t="str">
        <f>"20190312150745768"</f>
        <v>20190312150745768</v>
      </c>
      <c r="B4735" t="str">
        <f>"1552374465764185"</f>
        <v>1552374465764185</v>
      </c>
      <c r="C4735" t="s">
        <v>40</v>
      </c>
      <c r="D4735">
        <v>4.4859220000000004</v>
      </c>
      <c r="E4735">
        <v>0.41847279999999998</v>
      </c>
      <c r="F4735" t="s">
        <v>41</v>
      </c>
      <c r="G4735">
        <v>-490.29430000000002</v>
      </c>
      <c r="H4735">
        <v>0.99625859999999999</v>
      </c>
      <c r="I4735">
        <v>226.7807</v>
      </c>
      <c r="J4735">
        <v>-490.94720000000001</v>
      </c>
      <c r="K4735">
        <v>1.11149599999999</v>
      </c>
      <c r="L4735">
        <v>227.30070000000001</v>
      </c>
      <c r="M4735">
        <v>0.35025329999999999</v>
      </c>
      <c r="N4735">
        <v>0</v>
      </c>
      <c r="O4735">
        <v>-0.93656280000000003</v>
      </c>
      <c r="P4735">
        <v>0.58979979999999999</v>
      </c>
      <c r="Q4735">
        <v>-2.6076370000000001E-2</v>
      </c>
      <c r="R4735">
        <v>-0.80712859999999997</v>
      </c>
      <c r="S4735">
        <v>2.3006289999999998</v>
      </c>
      <c r="T4735">
        <v>-0.38459470000000001</v>
      </c>
      <c r="U4735">
        <v>-2.0256810000000001</v>
      </c>
      <c r="V4735">
        <v>-0.26967590000000002</v>
      </c>
      <c r="W4735">
        <v>-1.4049809999999999E-2</v>
      </c>
      <c r="X4735">
        <v>0.9628487</v>
      </c>
      <c r="Y4735">
        <v>-0.4651209</v>
      </c>
      <c r="Z4735">
        <v>0.12748289999999901</v>
      </c>
      <c r="AA4735">
        <v>0.87601980000000002</v>
      </c>
      <c r="AB4735">
        <v>10</v>
      </c>
      <c r="AC4735">
        <v>0.65289999999998805</v>
      </c>
      <c r="AD4735">
        <v>-0.115237399999999</v>
      </c>
      <c r="AE4735">
        <v>-0.52000000000001001</v>
      </c>
      <c r="AF4735">
        <v>-0.42135560235431302</v>
      </c>
      <c r="AG4735">
        <v>-0.115237399999999</v>
      </c>
      <c r="AH4735">
        <v>0.70236677418710103</v>
      </c>
      <c r="AI4735">
        <v>98.008642790611802</v>
      </c>
      <c r="AJ4735">
        <v>120.95988981683701</v>
      </c>
      <c r="AK4735">
        <v>0.82712712896877005</v>
      </c>
      <c r="AL4735">
        <v>90.805021259072404</v>
      </c>
      <c r="AM4735">
        <v>105.64656500349599</v>
      </c>
      <c r="AN4735">
        <v>1.0000000536467599</v>
      </c>
    </row>
    <row r="4736" spans="1:40" x14ac:dyDescent="0.25">
      <c r="A4736" t="str">
        <f>"20190312150745782"</f>
        <v>20190312150745782</v>
      </c>
      <c r="B4736" t="str">
        <f>"1552374465774921"</f>
        <v>1552374465774921</v>
      </c>
      <c r="C4736" t="s">
        <v>40</v>
      </c>
      <c r="D4736">
        <v>4.4623889999999999</v>
      </c>
      <c r="E4736">
        <v>0.4187881</v>
      </c>
      <c r="F4736" t="s">
        <v>41</v>
      </c>
      <c r="G4736">
        <v>-490.26339999999999</v>
      </c>
      <c r="H4736">
        <v>0.99702670000000004</v>
      </c>
      <c r="I4736">
        <v>226.69829999999999</v>
      </c>
      <c r="J4736">
        <v>-490.92189999999999</v>
      </c>
      <c r="K4736">
        <v>1.1114919999999999</v>
      </c>
      <c r="L4736">
        <v>227.24100000000001</v>
      </c>
      <c r="M4736">
        <v>0.3525199</v>
      </c>
      <c r="N4736">
        <v>0</v>
      </c>
      <c r="O4736">
        <v>-0.93571249999999995</v>
      </c>
      <c r="P4736">
        <v>0.59148999999999996</v>
      </c>
      <c r="Q4736">
        <v>-2.5673140000000001E-2</v>
      </c>
      <c r="R4736">
        <v>-0.805903699999999</v>
      </c>
      <c r="S4736">
        <v>2.299347</v>
      </c>
      <c r="T4736">
        <v>-0.38467499999999999</v>
      </c>
      <c r="U4736">
        <v>-2.0242460000000002</v>
      </c>
      <c r="V4736">
        <v>-0.2693585</v>
      </c>
      <c r="W4736">
        <v>-1.3675970000000001E-2</v>
      </c>
      <c r="X4736">
        <v>0.96294279999999999</v>
      </c>
      <c r="Y4736">
        <v>-0.46304269999999997</v>
      </c>
      <c r="Z4736">
        <v>0.12749730000000001</v>
      </c>
      <c r="AA4736">
        <v>0.87711790000000001</v>
      </c>
      <c r="AB4736">
        <v>10</v>
      </c>
      <c r="AC4736">
        <v>0.65850000000000297</v>
      </c>
      <c r="AD4736">
        <v>-0.11446530000000001</v>
      </c>
      <c r="AE4736">
        <v>-0.54269999999999596</v>
      </c>
      <c r="AF4736">
        <v>-0.417380267628018</v>
      </c>
      <c r="AG4736">
        <v>-0.11446530000000001</v>
      </c>
      <c r="AH4736">
        <v>0.72692870223509798</v>
      </c>
      <c r="AI4736">
        <v>97.775972310315893</v>
      </c>
      <c r="AJ4736">
        <v>119.86312696069299</v>
      </c>
      <c r="AK4736">
        <v>0.84601059735828898</v>
      </c>
      <c r="AL4736">
        <v>90.783599840470302</v>
      </c>
      <c r="AM4736">
        <v>105.627597331845</v>
      </c>
      <c r="AN4736">
        <v>0.99999993487476302</v>
      </c>
    </row>
    <row r="4737" spans="1:40" x14ac:dyDescent="0.25">
      <c r="A4737" t="str">
        <f>"20190312150745803"</f>
        <v>20190312150745803</v>
      </c>
      <c r="B4737" t="str">
        <f>"1552374465794441"</f>
        <v>1552374465794441</v>
      </c>
      <c r="C4737" t="s">
        <v>40</v>
      </c>
      <c r="D4737">
        <v>4.4702570000000001</v>
      </c>
      <c r="E4737">
        <v>0.41919590000000001</v>
      </c>
      <c r="F4737" t="s">
        <v>41</v>
      </c>
      <c r="G4737">
        <v>-490.22059999999999</v>
      </c>
      <c r="H4737">
        <v>0.99341429999999997</v>
      </c>
      <c r="I4737">
        <v>226.625</v>
      </c>
      <c r="J4737">
        <v>-490.88630000000001</v>
      </c>
      <c r="K4737">
        <v>1.11149599999999</v>
      </c>
      <c r="L4737">
        <v>227.15799999999999</v>
      </c>
      <c r="M4737">
        <v>0.35568689999999997</v>
      </c>
      <c r="N4737">
        <v>0</v>
      </c>
      <c r="O4737">
        <v>-0.93451360000000006</v>
      </c>
      <c r="P4737">
        <v>0.59361469999999905</v>
      </c>
      <c r="Q4737">
        <v>-2.5942199999999999E-2</v>
      </c>
      <c r="R4737">
        <v>-0.80433120000000002</v>
      </c>
      <c r="S4737">
        <v>2.3018489999999998</v>
      </c>
      <c r="T4737">
        <v>-0.3873297</v>
      </c>
      <c r="U4737">
        <v>-2.0207820000000001</v>
      </c>
      <c r="V4737">
        <v>-0.26864149999999998</v>
      </c>
      <c r="W4737">
        <v>-1.399007E-2</v>
      </c>
      <c r="X4737">
        <v>0.96313859999999996</v>
      </c>
      <c r="Y4737">
        <v>-0.4611826</v>
      </c>
      <c r="Z4737">
        <v>0.12828059999999999</v>
      </c>
      <c r="AA4737">
        <v>0.87798330000000002</v>
      </c>
      <c r="AB4737">
        <v>10</v>
      </c>
      <c r="AC4737">
        <v>0.66570000000001495</v>
      </c>
      <c r="AD4737">
        <v>-0.118081699999999</v>
      </c>
      <c r="AE4737">
        <v>-0.53299999999998704</v>
      </c>
      <c r="AF4737">
        <v>-0.42442423119735501</v>
      </c>
      <c r="AG4737">
        <v>-0.118081699999999</v>
      </c>
      <c r="AH4737">
        <v>0.72111369262624603</v>
      </c>
      <c r="AI4737">
        <v>98.032562287460493</v>
      </c>
      <c r="AJ4737">
        <v>120.479692532269</v>
      </c>
      <c r="AK4737">
        <v>0.84503501323638397</v>
      </c>
      <c r="AL4737">
        <v>90.801598139841204</v>
      </c>
      <c r="AM4737">
        <v>105.585008647039</v>
      </c>
      <c r="AN4737">
        <v>0.99999997019540698</v>
      </c>
    </row>
    <row r="4738" spans="1:40" x14ac:dyDescent="0.25">
      <c r="A4738" t="str">
        <f>"20190312150745824"</f>
        <v>20190312150745824</v>
      </c>
      <c r="B4738" t="str">
        <f>"1552374465814940"</f>
        <v>1552374465814940</v>
      </c>
      <c r="C4738" t="s">
        <v>40</v>
      </c>
      <c r="D4738">
        <v>4.4868449999999998</v>
      </c>
      <c r="E4738">
        <v>0.41951129999999998</v>
      </c>
      <c r="F4738" t="s">
        <v>41</v>
      </c>
      <c r="G4738">
        <v>-490.17899999999997</v>
      </c>
      <c r="H4738">
        <v>0.99201269999999997</v>
      </c>
      <c r="I4738">
        <v>226.53899999999999</v>
      </c>
      <c r="J4738">
        <v>-490.84930000000003</v>
      </c>
      <c r="K4738">
        <v>1.111497</v>
      </c>
      <c r="L4738">
        <v>227.07239999999999</v>
      </c>
      <c r="M4738">
        <v>0.35897620000000002</v>
      </c>
      <c r="N4738">
        <v>0</v>
      </c>
      <c r="O4738">
        <v>-0.93325599999999997</v>
      </c>
      <c r="P4738">
        <v>0.59576169999999995</v>
      </c>
      <c r="Q4738">
        <v>-2.6135370000000002E-2</v>
      </c>
      <c r="R4738">
        <v>-0.80273589999999995</v>
      </c>
      <c r="S4738">
        <v>2.3046259999999998</v>
      </c>
      <c r="T4738">
        <v>-0.38918979999999997</v>
      </c>
      <c r="U4738">
        <v>-2.0163120000000001</v>
      </c>
      <c r="V4738">
        <v>-0.2678238</v>
      </c>
      <c r="W4738">
        <v>-1.4246669999999999E-2</v>
      </c>
      <c r="X4738">
        <v>0.96336259999999996</v>
      </c>
      <c r="Y4738">
        <v>-0.45949410000000002</v>
      </c>
      <c r="Z4738">
        <v>0.12882209999999999</v>
      </c>
      <c r="AA4738">
        <v>0.87878889999999998</v>
      </c>
      <c r="AB4738">
        <v>10</v>
      </c>
      <c r="AC4738">
        <v>0.67029999999999701</v>
      </c>
      <c r="AD4738">
        <v>-0.119484299999999</v>
      </c>
      <c r="AE4738">
        <v>-0.53339999999997101</v>
      </c>
      <c r="AF4738">
        <v>-0.42583567045196802</v>
      </c>
      <c r="AG4738">
        <v>-0.119484299999999</v>
      </c>
      <c r="AH4738">
        <v>0.72438994130190404</v>
      </c>
      <c r="AI4738">
        <v>98.092929711293095</v>
      </c>
      <c r="AJ4738">
        <v>120.449320325443</v>
      </c>
      <c r="AK4738">
        <v>0.84873629781878901</v>
      </c>
      <c r="AL4738">
        <v>90.816301656244903</v>
      </c>
      <c r="AM4738">
        <v>105.536427368915</v>
      </c>
      <c r="AN4738">
        <v>1.00000002726564</v>
      </c>
    </row>
    <row r="4739" spans="1:40" x14ac:dyDescent="0.25">
      <c r="A4739" t="str">
        <f>"20190312150745846"</f>
        <v>20190312150745846</v>
      </c>
      <c r="B4739" t="str">
        <f>"1552374465834460"</f>
        <v>1552374465834460</v>
      </c>
      <c r="C4739" t="s">
        <v>40</v>
      </c>
      <c r="D4739">
        <v>4.4907069999999996</v>
      </c>
      <c r="E4739">
        <v>0.41997000000000001</v>
      </c>
      <c r="F4739" t="s">
        <v>41</v>
      </c>
      <c r="G4739">
        <v>-490.15350000000001</v>
      </c>
      <c r="H4739">
        <v>0.99416749999999998</v>
      </c>
      <c r="I4739">
        <v>226.46610000000001</v>
      </c>
      <c r="J4739">
        <v>-490.81180000000001</v>
      </c>
      <c r="K4739">
        <v>1.11149599999999</v>
      </c>
      <c r="L4739">
        <v>226.98670000000001</v>
      </c>
      <c r="M4739">
        <v>0.36230269999999998</v>
      </c>
      <c r="N4739">
        <v>0</v>
      </c>
      <c r="O4739">
        <v>-0.9319712</v>
      </c>
      <c r="P4739">
        <v>0.59798519999999999</v>
      </c>
      <c r="Q4739">
        <v>-2.5233680000000001E-2</v>
      </c>
      <c r="R4739">
        <v>-0.80110990000000004</v>
      </c>
      <c r="S4739">
        <v>2.308319</v>
      </c>
      <c r="T4739">
        <v>-0.38917059999999998</v>
      </c>
      <c r="U4739">
        <v>-2.0113829999999999</v>
      </c>
      <c r="V4739">
        <v>-0.26705050000000002</v>
      </c>
      <c r="W4739">
        <v>-1.343776E-2</v>
      </c>
      <c r="X4739">
        <v>0.96358880000000002</v>
      </c>
      <c r="Y4739">
        <v>-0.45810129999999999</v>
      </c>
      <c r="Z4739">
        <v>0.1287383</v>
      </c>
      <c r="AA4739">
        <v>0.87952809999999904</v>
      </c>
      <c r="AB4739">
        <v>10</v>
      </c>
      <c r="AC4739">
        <v>0.658299999999997</v>
      </c>
      <c r="AD4739">
        <v>-0.117328499999999</v>
      </c>
      <c r="AE4739">
        <v>-0.52060000000000095</v>
      </c>
      <c r="AF4739">
        <v>-0.41679173117068502</v>
      </c>
      <c r="AG4739">
        <v>-0.117328499999999</v>
      </c>
      <c r="AH4739">
        <v>0.70987500161153005</v>
      </c>
      <c r="AI4739">
        <v>98.111703009070297</v>
      </c>
      <c r="AJ4739">
        <v>120.41864272267701</v>
      </c>
      <c r="AK4739">
        <v>0.831506970504444</v>
      </c>
      <c r="AL4739">
        <v>90.769950138783798</v>
      </c>
      <c r="AM4739">
        <v>105.4902638929</v>
      </c>
      <c r="AN4739">
        <v>0.99999995921475304</v>
      </c>
    </row>
    <row r="4740" spans="1:40" x14ac:dyDescent="0.25">
      <c r="A4740" t="str">
        <f>"20190312150745868"</f>
        <v>20190312150745868</v>
      </c>
      <c r="B4740" t="str">
        <f>"1552374465864713"</f>
        <v>1552374465864713</v>
      </c>
      <c r="C4740" t="s">
        <v>40</v>
      </c>
      <c r="D4740">
        <v>4.4751750000000001</v>
      </c>
      <c r="E4740">
        <v>0.42058780000000001</v>
      </c>
      <c r="F4740" t="s">
        <v>41</v>
      </c>
      <c r="G4740">
        <v>-490.12060000000002</v>
      </c>
      <c r="H4740">
        <v>0.99665280000000001</v>
      </c>
      <c r="I4740">
        <v>226.3861</v>
      </c>
      <c r="J4740">
        <v>-490.77319999999997</v>
      </c>
      <c r="K4740">
        <v>1.111486</v>
      </c>
      <c r="L4740">
        <v>226.89930000000001</v>
      </c>
      <c r="M4740">
        <v>0.36572320000000003</v>
      </c>
      <c r="N4740">
        <v>0</v>
      </c>
      <c r="O4740">
        <v>-0.93063560000000001</v>
      </c>
      <c r="P4740">
        <v>0.60074640000000001</v>
      </c>
      <c r="Q4740">
        <v>-2.486857E-2</v>
      </c>
      <c r="R4740">
        <v>-0.79905280000000001</v>
      </c>
      <c r="S4740">
        <v>2.31134</v>
      </c>
      <c r="T4740">
        <v>-0.38385459999999999</v>
      </c>
      <c r="U4740">
        <v>-2.007431</v>
      </c>
      <c r="V4740">
        <v>-0.26683400000000002</v>
      </c>
      <c r="W4740">
        <v>-1.318911E-2</v>
      </c>
      <c r="X4740">
        <v>0.96365230000000002</v>
      </c>
      <c r="Y4740">
        <v>-0.45645259999999999</v>
      </c>
      <c r="Z4740">
        <v>0.126910199999999</v>
      </c>
      <c r="AA4740">
        <v>0.88065020000000005</v>
      </c>
      <c r="AB4740">
        <v>10</v>
      </c>
      <c r="AC4740">
        <v>0.652599999999949</v>
      </c>
      <c r="AD4740">
        <v>-0.114833199999999</v>
      </c>
      <c r="AE4740">
        <v>-0.51320000000001098</v>
      </c>
      <c r="AF4740">
        <v>-0.411799659534825</v>
      </c>
      <c r="AG4740">
        <v>-0.114833199999999</v>
      </c>
      <c r="AH4740">
        <v>0.70288455929076299</v>
      </c>
      <c r="AI4740">
        <v>98.023732025927202</v>
      </c>
      <c r="AJ4740">
        <v>120.364799305332</v>
      </c>
      <c r="AK4740">
        <v>0.822686044068214</v>
      </c>
      <c r="AL4740">
        <v>90.755702214446202</v>
      </c>
      <c r="AM4740">
        <v>105.477337124176</v>
      </c>
      <c r="AN4740">
        <v>1.00000004573694</v>
      </c>
    </row>
    <row r="4741" spans="1:40" x14ac:dyDescent="0.25">
      <c r="A4741" t="str">
        <f>"20190312150745892"</f>
        <v>20190312150745892</v>
      </c>
      <c r="B4741" t="str">
        <f>"1552374465884232"</f>
        <v>1552374465884232</v>
      </c>
      <c r="C4741" t="s">
        <v>40</v>
      </c>
      <c r="D4741">
        <v>4.5039619999999996</v>
      </c>
      <c r="E4741">
        <v>0.42068860000000002</v>
      </c>
      <c r="F4741" t="s">
        <v>41</v>
      </c>
      <c r="G4741">
        <v>-490.07400000000001</v>
      </c>
      <c r="H4741">
        <v>0.9941238</v>
      </c>
      <c r="I4741">
        <v>226.2946</v>
      </c>
      <c r="J4741">
        <v>-490.73160000000001</v>
      </c>
      <c r="K4741">
        <v>1.1114759999999999</v>
      </c>
      <c r="L4741">
        <v>226.80619999999999</v>
      </c>
      <c r="M4741">
        <v>0.36939470000000002</v>
      </c>
      <c r="N4741">
        <v>0</v>
      </c>
      <c r="O4741">
        <v>-0.92918619999999996</v>
      </c>
      <c r="P4741">
        <v>0.60351299999999997</v>
      </c>
      <c r="Q4741">
        <v>-2.424716E-2</v>
      </c>
      <c r="R4741">
        <v>-0.79698449999999998</v>
      </c>
      <c r="S4741">
        <v>2.3147890000000002</v>
      </c>
      <c r="T4741">
        <v>-0.3885557</v>
      </c>
      <c r="U4741">
        <v>-2.0020899999999999</v>
      </c>
      <c r="V4741">
        <v>-0.2663642</v>
      </c>
      <c r="W4741">
        <v>-1.270162E-2</v>
      </c>
      <c r="X4741">
        <v>0.9637888</v>
      </c>
      <c r="Y4741">
        <v>-0.45460620000000002</v>
      </c>
      <c r="Z4741">
        <v>0.12835940000000001</v>
      </c>
      <c r="AA4741">
        <v>0.88139500000000004</v>
      </c>
      <c r="AB4741">
        <v>10</v>
      </c>
      <c r="AC4741">
        <v>0.65760000000000196</v>
      </c>
      <c r="AD4741">
        <v>-0.1173522</v>
      </c>
      <c r="AE4741">
        <v>-0.51159999999998695</v>
      </c>
      <c r="AF4741">
        <v>-0.413873650756519</v>
      </c>
      <c r="AG4741">
        <v>-0.1173522</v>
      </c>
      <c r="AH4741">
        <v>0.70436944850060601</v>
      </c>
      <c r="AI4741">
        <v>98.174309588246203</v>
      </c>
      <c r="AJ4741">
        <v>120.437658295191</v>
      </c>
      <c r="AK4741">
        <v>0.825347961538899</v>
      </c>
      <c r="AL4741">
        <v>90.727768763321507</v>
      </c>
      <c r="AM4741">
        <v>105.449306385195</v>
      </c>
      <c r="AN4741">
        <v>1.00000003459885</v>
      </c>
    </row>
    <row r="4742" spans="1:40" x14ac:dyDescent="0.25">
      <c r="A4742" t="str">
        <f>"20190312150745905"</f>
        <v>20190312150745905</v>
      </c>
      <c r="B4742" t="str">
        <f>"1552374465894969"</f>
        <v>1552374465894969</v>
      </c>
      <c r="C4742" t="s">
        <v>40</v>
      </c>
      <c r="D4742">
        <v>4.4546190000000001</v>
      </c>
      <c r="E4742">
        <v>0.42075099999999999</v>
      </c>
      <c r="F4742" t="s">
        <v>41</v>
      </c>
      <c r="G4742">
        <v>-490.02260000000001</v>
      </c>
      <c r="H4742">
        <v>0.99348250000000005</v>
      </c>
      <c r="I4742">
        <v>226.1968</v>
      </c>
      <c r="J4742">
        <v>-490.70670000000001</v>
      </c>
      <c r="K4742">
        <v>1.111472</v>
      </c>
      <c r="L4742">
        <v>226.751</v>
      </c>
      <c r="M4742">
        <v>0.3715851</v>
      </c>
      <c r="N4742">
        <v>0</v>
      </c>
      <c r="O4742">
        <v>-0.92831359999999996</v>
      </c>
      <c r="P4742">
        <v>0.60537350000000001</v>
      </c>
      <c r="Q4742">
        <v>-2.415399E-2</v>
      </c>
      <c r="R4742">
        <v>-0.79557540000000004</v>
      </c>
      <c r="S4742">
        <v>2.321472</v>
      </c>
      <c r="T4742">
        <v>-0.3862003</v>
      </c>
      <c r="U4742">
        <v>-1.994553</v>
      </c>
      <c r="V4742">
        <v>-0.26634219999999997</v>
      </c>
      <c r="W4742">
        <v>-1.269516E-2</v>
      </c>
      <c r="X4742">
        <v>0.96379490000000001</v>
      </c>
      <c r="Y4742">
        <v>-0.4554916</v>
      </c>
      <c r="Z4742">
        <v>0.1275686</v>
      </c>
      <c r="AA4742">
        <v>0.88105259999999996</v>
      </c>
      <c r="AB4742">
        <v>10</v>
      </c>
      <c r="AC4742">
        <v>0.68410000000000004</v>
      </c>
      <c r="AD4742">
        <v>-0.117989499999999</v>
      </c>
      <c r="AE4742">
        <v>-0.55419999999998004</v>
      </c>
      <c r="AF4742">
        <v>-0.42158902025686901</v>
      </c>
      <c r="AG4742">
        <v>-0.117989499999999</v>
      </c>
      <c r="AH4742">
        <v>0.75517060135060898</v>
      </c>
      <c r="AI4742">
        <v>97.768490658576496</v>
      </c>
      <c r="AJ4742">
        <v>119.173308506967</v>
      </c>
      <c r="AK4742">
        <v>0.87289258288499505</v>
      </c>
      <c r="AL4742">
        <v>90.727398648343197</v>
      </c>
      <c r="AM4742">
        <v>105.447998216169</v>
      </c>
      <c r="AN4742">
        <v>0.99999997192713697</v>
      </c>
    </row>
    <row r="4743" spans="1:40" x14ac:dyDescent="0.25">
      <c r="A4743" t="str">
        <f>"20190312150745926"</f>
        <v>20190312150745926</v>
      </c>
      <c r="B4743" t="str">
        <f>"1552374465914492"</f>
        <v>1552374465914492</v>
      </c>
      <c r="C4743" t="s">
        <v>40</v>
      </c>
      <c r="D4743">
        <v>4.4866989999999998</v>
      </c>
      <c r="E4743">
        <v>0.42093199999999997</v>
      </c>
      <c r="F4743" t="s">
        <v>41</v>
      </c>
      <c r="G4743">
        <v>-490.0061</v>
      </c>
      <c r="H4743">
        <v>0.99563880000000005</v>
      </c>
      <c r="I4743">
        <v>226.1516</v>
      </c>
      <c r="J4743">
        <v>-490.66969999999998</v>
      </c>
      <c r="K4743">
        <v>1.111462</v>
      </c>
      <c r="L4743">
        <v>226.6696</v>
      </c>
      <c r="M4743">
        <v>0.37484220000000001</v>
      </c>
      <c r="N4743">
        <v>0</v>
      </c>
      <c r="O4743">
        <v>-0.92700490000000002</v>
      </c>
      <c r="P4743">
        <v>0.60818519999999998</v>
      </c>
      <c r="Q4743">
        <v>-2.3876660000000001E-2</v>
      </c>
      <c r="R4743">
        <v>-0.79343619999999904</v>
      </c>
      <c r="S4743">
        <v>2.3258359999999998</v>
      </c>
      <c r="T4743">
        <v>-0.38445940000000001</v>
      </c>
      <c r="U4743">
        <v>-1.989365</v>
      </c>
      <c r="V4743">
        <v>-0.26636690000000002</v>
      </c>
      <c r="W4743">
        <v>-1.2560999999999999E-2</v>
      </c>
      <c r="X4743">
        <v>0.96378980000000003</v>
      </c>
      <c r="Y4743">
        <v>-0.45438889999999998</v>
      </c>
      <c r="Z4743">
        <v>0.1269093</v>
      </c>
      <c r="AA4743">
        <v>0.88171699999999997</v>
      </c>
      <c r="AB4743">
        <v>10</v>
      </c>
      <c r="AC4743">
        <v>0.66359999999997399</v>
      </c>
      <c r="AD4743">
        <v>-0.1158232</v>
      </c>
      <c r="AE4743">
        <v>-0.51800000000000002</v>
      </c>
      <c r="AF4743">
        <v>-0.41320320967544999</v>
      </c>
      <c r="AG4743">
        <v>-0.1158232</v>
      </c>
      <c r="AH4743">
        <v>0.715447461107245</v>
      </c>
      <c r="AI4743">
        <v>97.980191958662004</v>
      </c>
      <c r="AJ4743">
        <v>120.00837358518299</v>
      </c>
      <c r="AK4743">
        <v>0.83427631858343998</v>
      </c>
      <c r="AL4743">
        <v>90.719711255368196</v>
      </c>
      <c r="AM4743">
        <v>105.44944024179399</v>
      </c>
      <c r="AN4743">
        <v>0.999999941360323</v>
      </c>
    </row>
    <row r="4744" spans="1:40" x14ac:dyDescent="0.25">
      <c r="A4744" t="str">
        <f>"20190312150745939"</f>
        <v>20190312150745939</v>
      </c>
      <c r="B4744" t="str">
        <f>"1552374465934985"</f>
        <v>1552374465934985</v>
      </c>
      <c r="C4744" t="s">
        <v>40</v>
      </c>
      <c r="D4744">
        <v>4.4543710000000001</v>
      </c>
      <c r="E4744">
        <v>0.42107090000000003</v>
      </c>
      <c r="F4744" t="s">
        <v>41</v>
      </c>
      <c r="G4744">
        <v>-489.96519999999998</v>
      </c>
      <c r="H4744">
        <v>0.99662569999999995</v>
      </c>
      <c r="I4744">
        <v>226.07060000000001</v>
      </c>
      <c r="J4744">
        <v>-490.64319999999998</v>
      </c>
      <c r="K4744">
        <v>1.1114569999999999</v>
      </c>
      <c r="L4744">
        <v>226.61189999999999</v>
      </c>
      <c r="M4744">
        <v>0.37716450000000001</v>
      </c>
      <c r="N4744">
        <v>0</v>
      </c>
      <c r="O4744">
        <v>-0.92606409999999995</v>
      </c>
      <c r="P4744">
        <v>0.60996039999999996</v>
      </c>
      <c r="Q4744">
        <v>-2.365476E-2</v>
      </c>
      <c r="R4744">
        <v>-0.79207890000000003</v>
      </c>
      <c r="S4744">
        <v>2.332001</v>
      </c>
      <c r="T4744">
        <v>-0.38002209999999997</v>
      </c>
      <c r="U4744">
        <v>-1.98204</v>
      </c>
      <c r="V4744">
        <v>-0.266107599999999</v>
      </c>
      <c r="W4744">
        <v>-1.244864E-2</v>
      </c>
      <c r="X4744">
        <v>0.96386300000000003</v>
      </c>
      <c r="Y4744">
        <v>-0.45506790000000003</v>
      </c>
      <c r="Z4744">
        <v>0.1254391</v>
      </c>
      <c r="AA4744">
        <v>0.8815771</v>
      </c>
      <c r="AB4744">
        <v>10</v>
      </c>
      <c r="AC4744">
        <v>0.67799999999999705</v>
      </c>
      <c r="AD4744">
        <v>-0.114831299999999</v>
      </c>
      <c r="AE4744">
        <v>-0.54129999999997802</v>
      </c>
      <c r="AF4744">
        <v>-0.416448880241651</v>
      </c>
      <c r="AG4744">
        <v>-0.114831299999999</v>
      </c>
      <c r="AH4744">
        <v>0.74401931800961296</v>
      </c>
      <c r="AI4744">
        <v>97.670294568513796</v>
      </c>
      <c r="AJ4744">
        <v>119.23698656717301</v>
      </c>
      <c r="AK4744">
        <v>0.86033751684191095</v>
      </c>
      <c r="AL4744">
        <v>90.713272918105105</v>
      </c>
      <c r="AM4744">
        <v>105.434001842896</v>
      </c>
      <c r="AN4744">
        <v>1.0000000530922999</v>
      </c>
    </row>
    <row r="4745" spans="1:40" x14ac:dyDescent="0.25">
      <c r="A4745" t="str">
        <f>"20190312150745957"</f>
        <v>20190312150745957</v>
      </c>
      <c r="B4745" t="str">
        <f>"1552374465954505"</f>
        <v>1552374465954505</v>
      </c>
      <c r="C4745" t="s">
        <v>40</v>
      </c>
      <c r="D4745">
        <v>4.5219839999999998</v>
      </c>
      <c r="E4745">
        <v>0.42135089999999997</v>
      </c>
      <c r="F4745" t="s">
        <v>61</v>
      </c>
      <c r="G4745">
        <v>-483.83269999999999</v>
      </c>
      <c r="H4745" s="1">
        <v>2.720022E-6</v>
      </c>
      <c r="I4745">
        <v>220.84440000000001</v>
      </c>
      <c r="J4745">
        <v>-490.61169999999998</v>
      </c>
      <c r="K4745">
        <v>1.1114440000000001</v>
      </c>
      <c r="L4745">
        <v>226.5436</v>
      </c>
      <c r="M4745">
        <v>0.37992599999999999</v>
      </c>
      <c r="N4745">
        <v>0</v>
      </c>
      <c r="O4745">
        <v>-0.92493650000000005</v>
      </c>
      <c r="P4745">
        <v>0.61204950000000002</v>
      </c>
      <c r="Q4745">
        <v>-2.3136279999999999E-2</v>
      </c>
      <c r="R4745">
        <v>-0.79048119999999999</v>
      </c>
      <c r="S4745">
        <v>2.3353269999999999</v>
      </c>
      <c r="T4745">
        <v>-0.38111869999999998</v>
      </c>
      <c r="U4745">
        <v>-1.977676</v>
      </c>
      <c r="V4745">
        <v>-0.26577199999999901</v>
      </c>
      <c r="W4745">
        <v>-1.206496E-2</v>
      </c>
      <c r="X4745">
        <v>0.96396040000000005</v>
      </c>
      <c r="Y4745">
        <v>-0.45396399999999998</v>
      </c>
      <c r="Z4745">
        <v>0.1257209</v>
      </c>
      <c r="AA4745">
        <v>0.88210599999999995</v>
      </c>
      <c r="AB4745">
        <v>10</v>
      </c>
      <c r="AC4745">
        <v>6.7789999999999901</v>
      </c>
      <c r="AD4745">
        <v>-1.111441279978</v>
      </c>
      <c r="AE4745">
        <v>-5.6991999999999896</v>
      </c>
      <c r="AF4745">
        <v>-4.0415246414314403</v>
      </c>
      <c r="AG4745">
        <v>-1.111441279978</v>
      </c>
      <c r="AH4745">
        <v>7.7258242263785197</v>
      </c>
      <c r="AI4745">
        <v>97.264450901027303</v>
      </c>
      <c r="AJ4745">
        <v>117.61491603184599</v>
      </c>
      <c r="AK4745">
        <v>8.7896292938345209</v>
      </c>
      <c r="AL4745">
        <v>90.6912880693841</v>
      </c>
      <c r="AM4745">
        <v>105.413980187636</v>
      </c>
      <c r="AN4745">
        <v>0.99999998600597995</v>
      </c>
    </row>
    <row r="4746" spans="1:40" x14ac:dyDescent="0.25">
      <c r="A4746" t="str">
        <f>"20190312150745972"</f>
        <v>20190312150745972</v>
      </c>
      <c r="B4746" t="str">
        <f>"1552374465965240"</f>
        <v>1552374465965240</v>
      </c>
      <c r="C4746" t="s">
        <v>40</v>
      </c>
      <c r="D4746">
        <v>4.4041160000000001</v>
      </c>
      <c r="E4746">
        <v>0.42145650000000001</v>
      </c>
      <c r="F4746" t="s">
        <v>41</v>
      </c>
      <c r="G4746">
        <v>-489.8818</v>
      </c>
      <c r="H4746">
        <v>0.99354339999999997</v>
      </c>
      <c r="I4746">
        <v>225.9281</v>
      </c>
      <c r="J4746">
        <v>-490.584</v>
      </c>
      <c r="K4746">
        <v>1.111437</v>
      </c>
      <c r="L4746">
        <v>226.48439999999999</v>
      </c>
      <c r="M4746">
        <v>0.38233299999999998</v>
      </c>
      <c r="N4746">
        <v>0</v>
      </c>
      <c r="O4746">
        <v>-0.92394549999999998</v>
      </c>
      <c r="P4746">
        <v>0.61411359999999904</v>
      </c>
      <c r="Q4746">
        <v>-2.3022560000000001E-2</v>
      </c>
      <c r="R4746">
        <v>-0.78888190000000002</v>
      </c>
      <c r="S4746">
        <v>2.339172</v>
      </c>
      <c r="T4746">
        <v>-0.37790279999999998</v>
      </c>
      <c r="U4746">
        <v>-1.972885</v>
      </c>
      <c r="V4746">
        <v>-0.26578069999999998</v>
      </c>
      <c r="W4746">
        <v>-1.207311E-2</v>
      </c>
      <c r="X4746">
        <v>0.96395790000000003</v>
      </c>
      <c r="Y4746">
        <v>-0.45352959999999898</v>
      </c>
      <c r="Z4746">
        <v>0.1246184</v>
      </c>
      <c r="AA4746">
        <v>0.88248579999999999</v>
      </c>
      <c r="AB4746">
        <v>10</v>
      </c>
      <c r="AC4746">
        <v>0.70220000000000404</v>
      </c>
      <c r="AD4746">
        <v>-0.117893599999999</v>
      </c>
      <c r="AE4746">
        <v>-0.55629999999999302</v>
      </c>
      <c r="AF4746">
        <v>-0.42871002275158199</v>
      </c>
      <c r="AG4746">
        <v>-0.117893599999999</v>
      </c>
      <c r="AH4746">
        <v>0.769201040544367</v>
      </c>
      <c r="AI4746">
        <v>97.625313698909096</v>
      </c>
      <c r="AJ4746">
        <v>119.132872328631</v>
      </c>
      <c r="AK4746">
        <v>0.88846014277690499</v>
      </c>
      <c r="AL4746">
        <v>90.691755063509106</v>
      </c>
      <c r="AM4746">
        <v>105.414498840737</v>
      </c>
      <c r="AN4746">
        <v>0.99999998672498502</v>
      </c>
    </row>
    <row r="4747" spans="1:40" x14ac:dyDescent="0.25">
      <c r="A4747" t="str">
        <f>"20190312150746006"</f>
        <v>20190312150746006</v>
      </c>
      <c r="B4747" t="str">
        <f>"1552374465994521"</f>
        <v>1552374465994521</v>
      </c>
      <c r="C4747" t="s">
        <v>40</v>
      </c>
      <c r="D4747">
        <v>4.4391150000000001</v>
      </c>
      <c r="E4747">
        <v>0.42183850000000001</v>
      </c>
      <c r="F4747" t="s">
        <v>41</v>
      </c>
      <c r="G4747">
        <v>-489.85969999999998</v>
      </c>
      <c r="H4747">
        <v>0.99390290000000003</v>
      </c>
      <c r="I4747">
        <v>225.87610000000001</v>
      </c>
      <c r="J4747">
        <v>-490.52280000000002</v>
      </c>
      <c r="K4747">
        <v>1.1114120000000001</v>
      </c>
      <c r="L4747">
        <v>226.35419999999999</v>
      </c>
      <c r="M4747">
        <v>0.3876501</v>
      </c>
      <c r="N4747">
        <v>0</v>
      </c>
      <c r="O4747">
        <v>-0.92173110000000003</v>
      </c>
      <c r="P4747">
        <v>0.61755130000000003</v>
      </c>
      <c r="Q4747">
        <v>-2.3476259999999999E-2</v>
      </c>
      <c r="R4747">
        <v>-0.78618060000000001</v>
      </c>
      <c r="S4747">
        <v>2.3436889999999999</v>
      </c>
      <c r="T4747">
        <v>-0.38011470000000003</v>
      </c>
      <c r="U4747">
        <v>-1.967239</v>
      </c>
      <c r="V4747">
        <v>-0.26443870000000003</v>
      </c>
      <c r="W4747">
        <v>-1.278632E-2</v>
      </c>
      <c r="X4747">
        <v>0.96431770000000006</v>
      </c>
      <c r="Y4747">
        <v>-0.4504282</v>
      </c>
      <c r="Z4747">
        <v>0.12514330000000001</v>
      </c>
      <c r="AA4747">
        <v>0.88399859999999897</v>
      </c>
      <c r="AB4747">
        <v>10</v>
      </c>
      <c r="AC4747">
        <v>0.66310000000004199</v>
      </c>
      <c r="AD4747">
        <v>-0.11750910000000001</v>
      </c>
      <c r="AE4747">
        <v>-0.47809999999998298</v>
      </c>
      <c r="AF4747">
        <v>-0.41727211593876601</v>
      </c>
      <c r="AG4747">
        <v>-0.11750910000000001</v>
      </c>
      <c r="AH4747">
        <v>0.68365297204117903</v>
      </c>
      <c r="AI4747">
        <v>98.3465936421983</v>
      </c>
      <c r="AJ4747">
        <v>121.398080255452</v>
      </c>
      <c r="AK4747">
        <v>0.80950960062470001</v>
      </c>
      <c r="AL4747">
        <v>90.732622156196399</v>
      </c>
      <c r="AM4747">
        <v>105.334887801788</v>
      </c>
      <c r="AN4747">
        <v>0.99999997128506002</v>
      </c>
    </row>
    <row r="4748" spans="1:40" x14ac:dyDescent="0.25">
      <c r="A4748" t="str">
        <f>"20190312150746025"</f>
        <v>20190312150746025</v>
      </c>
      <c r="B4748" t="str">
        <f>"1552374466015017"</f>
        <v>1552374466015017</v>
      </c>
      <c r="C4748" t="s">
        <v>40</v>
      </c>
      <c r="D4748">
        <v>4.8671379999999997</v>
      </c>
      <c r="E4748">
        <v>0.46207340000000002</v>
      </c>
      <c r="F4748" t="s">
        <v>41</v>
      </c>
      <c r="G4748">
        <v>-489.80189999999999</v>
      </c>
      <c r="H4748">
        <v>0.99439509999999998</v>
      </c>
      <c r="I4748">
        <v>225.75280000000001</v>
      </c>
      <c r="J4748">
        <v>-490.48399999999998</v>
      </c>
      <c r="K4748">
        <v>1.111394</v>
      </c>
      <c r="L4748">
        <v>226.27289999999999</v>
      </c>
      <c r="M4748">
        <v>0.39097949999999998</v>
      </c>
      <c r="N4748">
        <v>0</v>
      </c>
      <c r="O4748">
        <v>-0.92032579999999997</v>
      </c>
      <c r="P4748">
        <v>0.62006209999999995</v>
      </c>
      <c r="Q4748">
        <v>-2.3986159999999999E-2</v>
      </c>
      <c r="R4748">
        <v>-0.78418650000000001</v>
      </c>
      <c r="S4748">
        <v>2.3496700000000001</v>
      </c>
      <c r="T4748">
        <v>-0.38121559999999999</v>
      </c>
      <c r="U4748">
        <v>-1.958847</v>
      </c>
      <c r="V4748">
        <v>-0.26404139999999998</v>
      </c>
      <c r="W4748">
        <v>-1.34524E-2</v>
      </c>
      <c r="X4748">
        <v>0.96441750000000004</v>
      </c>
      <c r="Y4748">
        <v>-0.4501426</v>
      </c>
      <c r="Z4748">
        <v>0.1254508</v>
      </c>
      <c r="AA4748">
        <v>0.88410059999999902</v>
      </c>
      <c r="AB4748">
        <v>10</v>
      </c>
      <c r="AC4748">
        <v>0.682100000000048</v>
      </c>
      <c r="AD4748">
        <v>-0.1169989</v>
      </c>
      <c r="AE4748">
        <v>-0.52009999999998502</v>
      </c>
      <c r="AF4748">
        <v>-0.41668225073347898</v>
      </c>
      <c r="AG4748">
        <v>-0.1169989</v>
      </c>
      <c r="AH4748">
        <v>0.73178435595250801</v>
      </c>
      <c r="AI4748">
        <v>97.909870397257507</v>
      </c>
      <c r="AJ4748">
        <v>119.657436867821</v>
      </c>
      <c r="AK4748">
        <v>0.85018891094530002</v>
      </c>
      <c r="AL4748">
        <v>90.770789015661606</v>
      </c>
      <c r="AM4748">
        <v>105.311420310982</v>
      </c>
      <c r="AN4748">
        <v>0.999999971142984</v>
      </c>
    </row>
    <row r="4749" spans="1:40" x14ac:dyDescent="0.25">
      <c r="A4749" t="str">
        <f>"20190312150746048"</f>
        <v>20190312150746048</v>
      </c>
      <c r="B4749" t="str">
        <f>"1552374466044296"</f>
        <v>1552374466044296</v>
      </c>
      <c r="C4749" t="s">
        <v>40</v>
      </c>
      <c r="D4749">
        <v>4.5197830000000003</v>
      </c>
      <c r="E4749">
        <v>0.53626969999999996</v>
      </c>
      <c r="F4749" t="s">
        <v>61</v>
      </c>
      <c r="G4749">
        <v>-483.60070000000002</v>
      </c>
      <c r="H4749" s="1">
        <v>2.390301E-6</v>
      </c>
      <c r="I4749">
        <v>219.22659999999999</v>
      </c>
      <c r="J4749">
        <v>-490.44170000000003</v>
      </c>
      <c r="K4749">
        <v>1.1113759999999999</v>
      </c>
      <c r="L4749">
        <v>226.18530000000001</v>
      </c>
      <c r="M4749">
        <v>0.39457809999999999</v>
      </c>
      <c r="N4749">
        <v>0</v>
      </c>
      <c r="O4749">
        <v>-0.91879080000000002</v>
      </c>
      <c r="P4749">
        <v>0.62271609999999999</v>
      </c>
      <c r="Q4749">
        <v>-2.469638E-2</v>
      </c>
      <c r="R4749">
        <v>-0.78205849999999999</v>
      </c>
      <c r="S4749">
        <v>2.1027830000000001</v>
      </c>
      <c r="T4749">
        <v>-0.33951969999999998</v>
      </c>
      <c r="U4749">
        <v>-2.152603</v>
      </c>
      <c r="V4749">
        <v>-0.26354240000000001</v>
      </c>
      <c r="W4749">
        <v>-1.431962E-2</v>
      </c>
      <c r="X4749">
        <v>0.9645416</v>
      </c>
      <c r="Y4749">
        <v>-0.35516740000000002</v>
      </c>
      <c r="Z4749">
        <v>0.111225</v>
      </c>
      <c r="AA4749">
        <v>0.9281623</v>
      </c>
      <c r="AB4749">
        <v>10</v>
      </c>
      <c r="AC4749">
        <v>6.8410000000000002</v>
      </c>
      <c r="AD4749">
        <v>-1.1113736096989999</v>
      </c>
      <c r="AE4749">
        <v>-6.9587000000000199</v>
      </c>
      <c r="AF4749">
        <v>-3.4946010762844701</v>
      </c>
      <c r="AG4749">
        <v>-1.1113736096989999</v>
      </c>
      <c r="AH4749">
        <v>8.9770537205063192</v>
      </c>
      <c r="AI4749">
        <v>96.581025588227106</v>
      </c>
      <c r="AJ4749">
        <v>111.270043539977</v>
      </c>
      <c r="AK4749">
        <v>9.6971584231443995</v>
      </c>
      <c r="AL4749">
        <v>90.820481772034498</v>
      </c>
      <c r="AM4749">
        <v>105.281963914844</v>
      </c>
      <c r="AN4749">
        <v>1.00000007312262</v>
      </c>
    </row>
    <row r="4750" spans="1:40" x14ac:dyDescent="0.25">
      <c r="A4750" t="str">
        <f>"20190312150746069"</f>
        <v>20190312150746069</v>
      </c>
      <c r="B4750" t="str">
        <f>"1552374466064793"</f>
        <v>1552374466064793</v>
      </c>
      <c r="C4750" t="s">
        <v>40</v>
      </c>
      <c r="D4750">
        <v>4.6122009999999998</v>
      </c>
      <c r="E4750">
        <v>0.55485580000000001</v>
      </c>
      <c r="F4750" t="s">
        <v>61</v>
      </c>
      <c r="G4750">
        <v>-486.18340000000001</v>
      </c>
      <c r="H4750" s="1">
        <v>2.884206E-6</v>
      </c>
      <c r="I4750">
        <v>219.70099999999999</v>
      </c>
      <c r="J4750">
        <v>-490.39980000000003</v>
      </c>
      <c r="K4750">
        <v>1.111361</v>
      </c>
      <c r="L4750">
        <v>226.0992</v>
      </c>
      <c r="M4750">
        <v>0.39811649999999998</v>
      </c>
      <c r="N4750">
        <v>0</v>
      </c>
      <c r="O4750">
        <v>-0.917265</v>
      </c>
      <c r="P4750">
        <v>0.62519849999999999</v>
      </c>
      <c r="Q4750">
        <v>-2.4653540000000002E-2</v>
      </c>
      <c r="R4750">
        <v>-0.78007680000000001</v>
      </c>
      <c r="S4750">
        <v>1.648315</v>
      </c>
      <c r="T4750">
        <v>-0.43019600000000002</v>
      </c>
      <c r="U4750">
        <v>-2.5099640000000001</v>
      </c>
      <c r="V4750">
        <v>-0.26288979999999901</v>
      </c>
      <c r="W4750">
        <v>-1.442042E-2</v>
      </c>
      <c r="X4750">
        <v>0.96471810000000002</v>
      </c>
      <c r="Y4750">
        <v>-0.16530149999999999</v>
      </c>
      <c r="Z4750">
        <v>0.13492290000000001</v>
      </c>
      <c r="AA4750">
        <v>0.97697040000000002</v>
      </c>
      <c r="AB4750">
        <v>10</v>
      </c>
      <c r="AC4750">
        <v>4.2164000000000197</v>
      </c>
      <c r="AD4750">
        <v>-1.111358115794</v>
      </c>
      <c r="AE4750">
        <v>-6.3982000000000001</v>
      </c>
      <c r="AF4750">
        <v>-1.2932081106503699</v>
      </c>
      <c r="AG4750">
        <v>-1.111358115794</v>
      </c>
      <c r="AH4750">
        <v>7.3924411504457996</v>
      </c>
      <c r="AI4750">
        <v>98.423608694660402</v>
      </c>
      <c r="AJ4750">
        <v>99.922717774814004</v>
      </c>
      <c r="AK4750">
        <v>7.5865466611494199</v>
      </c>
      <c r="AL4750">
        <v>90.826257839734296</v>
      </c>
      <c r="AM4750">
        <v>105.24322539613399</v>
      </c>
      <c r="AN4750">
        <v>1.00000000396231</v>
      </c>
    </row>
    <row r="4751" spans="1:40" x14ac:dyDescent="0.25">
      <c r="A4751" t="str">
        <f>"20190312150746093"</f>
        <v>20190312150746093</v>
      </c>
      <c r="B4751" t="str">
        <f>"1552374466084313"</f>
        <v>1552374466084313</v>
      </c>
      <c r="C4751" t="s">
        <v>40</v>
      </c>
      <c r="D4751">
        <v>4.6599159999999999</v>
      </c>
      <c r="E4751">
        <v>0.57190200000000002</v>
      </c>
      <c r="F4751" t="s">
        <v>61</v>
      </c>
      <c r="G4751">
        <v>-487.49130000000002</v>
      </c>
      <c r="H4751" s="1">
        <v>3.4836349999999999E-6</v>
      </c>
      <c r="I4751">
        <v>221.21600000000001</v>
      </c>
      <c r="J4751">
        <v>-490.35399999999998</v>
      </c>
      <c r="K4751">
        <v>1.1113390000000001</v>
      </c>
      <c r="L4751">
        <v>226.006</v>
      </c>
      <c r="M4751">
        <v>0.40194220000000003</v>
      </c>
      <c r="N4751">
        <v>0</v>
      </c>
      <c r="O4751">
        <v>-0.91559679999999999</v>
      </c>
      <c r="P4751">
        <v>0.62854330000000003</v>
      </c>
      <c r="Q4751">
        <v>-2.4833239999999999E-2</v>
      </c>
      <c r="R4751">
        <v>-0.77737819999999902</v>
      </c>
      <c r="S4751">
        <v>1.542969</v>
      </c>
      <c r="T4751">
        <v>-0.58957839999999995</v>
      </c>
      <c r="U4751">
        <v>-2.5905459999999998</v>
      </c>
      <c r="V4751">
        <v>-0.26300899999999999</v>
      </c>
      <c r="W4751">
        <v>-1.4754379999999999E-2</v>
      </c>
      <c r="X4751">
        <v>0.9646806</v>
      </c>
      <c r="Y4751">
        <v>-0.11405469999999999</v>
      </c>
      <c r="Z4751">
        <v>0.18043819999999999</v>
      </c>
      <c r="AA4751">
        <v>0.97695120000000002</v>
      </c>
      <c r="AB4751">
        <v>10</v>
      </c>
      <c r="AC4751">
        <v>2.86270000000001</v>
      </c>
      <c r="AD4751">
        <v>-1.1113355163649901</v>
      </c>
      <c r="AE4751">
        <v>-4.7899999999999903</v>
      </c>
      <c r="AF4751">
        <v>-0.66927400416272997</v>
      </c>
      <c r="AG4751">
        <v>-1.1113355163649901</v>
      </c>
      <c r="AH4751">
        <v>5.3254713479896596</v>
      </c>
      <c r="AI4751">
        <v>101.698037986839</v>
      </c>
      <c r="AJ4751">
        <v>97.163044036103798</v>
      </c>
      <c r="AK4751">
        <v>5.4812078414197298</v>
      </c>
      <c r="AL4751">
        <v>90.845394341503606</v>
      </c>
      <c r="AM4751">
        <v>105.250380455054</v>
      </c>
      <c r="AN4751">
        <v>1.00000004291327</v>
      </c>
    </row>
    <row r="4752" spans="1:40" x14ac:dyDescent="0.25">
      <c r="A4752" t="str">
        <f>"20190312150746114"</f>
        <v>20190312150746114</v>
      </c>
      <c r="B4752" t="str">
        <f>"1552374466104809"</f>
        <v>1552374466104809</v>
      </c>
      <c r="C4752" t="s">
        <v>40</v>
      </c>
      <c r="D4752">
        <v>4.646636</v>
      </c>
      <c r="E4752">
        <v>0.58223259999999999</v>
      </c>
      <c r="F4752" t="s">
        <v>41</v>
      </c>
      <c r="G4752">
        <v>-489.99869999999999</v>
      </c>
      <c r="H4752">
        <v>0.95418749999999997</v>
      </c>
      <c r="I4752">
        <v>225.35130000000001</v>
      </c>
      <c r="J4752">
        <v>-490.30959999999999</v>
      </c>
      <c r="K4752">
        <v>1.111321</v>
      </c>
      <c r="L4752">
        <v>225.91650000000001</v>
      </c>
      <c r="M4752">
        <v>0.40560970000000002</v>
      </c>
      <c r="N4752">
        <v>0</v>
      </c>
      <c r="O4752">
        <v>-0.91397980000000001</v>
      </c>
      <c r="P4752">
        <v>0.63226090000000001</v>
      </c>
      <c r="Q4752">
        <v>-2.538495E-2</v>
      </c>
      <c r="R4752">
        <v>-0.77433980000000002</v>
      </c>
      <c r="S4752">
        <v>1.4484859999999999</v>
      </c>
      <c r="T4752">
        <v>-0.64082659999999902</v>
      </c>
      <c r="U4752">
        <v>-2.6675260000000001</v>
      </c>
      <c r="V4752">
        <v>-0.26376889999999997</v>
      </c>
      <c r="W4752">
        <v>-1.5455460000000001E-2</v>
      </c>
      <c r="X4752">
        <v>0.96446209999999999</v>
      </c>
      <c r="Y4752">
        <v>-6.9973679999999996E-2</v>
      </c>
      <c r="Z4752">
        <v>0.1921136</v>
      </c>
      <c r="AA4752">
        <v>0.97887489999999999</v>
      </c>
      <c r="AB4752">
        <v>10</v>
      </c>
      <c r="AC4752">
        <v>0.31090000000000301</v>
      </c>
      <c r="AD4752">
        <v>-0.15713350000000001</v>
      </c>
      <c r="AE4752">
        <v>-0.56520000000000403</v>
      </c>
      <c r="AF4752">
        <v>-5.1833392364522599E-2</v>
      </c>
      <c r="AG4752">
        <v>-0.15713350000000001</v>
      </c>
      <c r="AH4752">
        <v>0.60672309005688196</v>
      </c>
      <c r="AI4752">
        <v>104.46936389005801</v>
      </c>
      <c r="AJ4752">
        <v>94.883019874657904</v>
      </c>
      <c r="AK4752">
        <v>0.62888039037199694</v>
      </c>
      <c r="AL4752">
        <v>90.885567866484095</v>
      </c>
      <c r="AM4752">
        <v>105.295684731479</v>
      </c>
      <c r="AN4752">
        <v>1.0000000230937101</v>
      </c>
    </row>
    <row r="4753" spans="1:40" x14ac:dyDescent="0.25">
      <c r="A4753" t="str">
        <f>"20190312150746136"</f>
        <v>20190312150746136</v>
      </c>
      <c r="B4753" t="str">
        <f>"1552374466124332"</f>
        <v>1552374466124332</v>
      </c>
      <c r="C4753" t="s">
        <v>40</v>
      </c>
      <c r="D4753">
        <v>4.7557359999999997</v>
      </c>
      <c r="E4753">
        <v>0.58889399999999903</v>
      </c>
      <c r="F4753" t="s">
        <v>41</v>
      </c>
      <c r="G4753">
        <v>-489.976</v>
      </c>
      <c r="H4753">
        <v>0.94286800000000004</v>
      </c>
      <c r="I4753">
        <v>225.27019999999999</v>
      </c>
      <c r="J4753">
        <v>-490.26549999999997</v>
      </c>
      <c r="K4753">
        <v>1.11131</v>
      </c>
      <c r="L4753">
        <v>225.82849999999999</v>
      </c>
      <c r="M4753">
        <v>0.40921800000000003</v>
      </c>
      <c r="N4753">
        <v>0</v>
      </c>
      <c r="O4753">
        <v>-0.91237159999999995</v>
      </c>
      <c r="P4753">
        <v>0.63554560000000004</v>
      </c>
      <c r="Q4753">
        <v>-2.5238279999999998E-2</v>
      </c>
      <c r="R4753">
        <v>-0.77165069999999902</v>
      </c>
      <c r="S4753">
        <v>1.3981319999999999</v>
      </c>
      <c r="T4753">
        <v>-0.70552530000000002</v>
      </c>
      <c r="U4753">
        <v>-2.7095030000000002</v>
      </c>
      <c r="V4753">
        <v>-0.26405489999999998</v>
      </c>
      <c r="W4753">
        <v>-1.545035E-2</v>
      </c>
      <c r="X4753">
        <v>0.96438389999999996</v>
      </c>
      <c r="Y4753">
        <v>-4.3694629999999998E-2</v>
      </c>
      <c r="Z4753">
        <v>0.20819190000000001</v>
      </c>
      <c r="AA4753">
        <v>0.97711150000000002</v>
      </c>
      <c r="AB4753">
        <v>10</v>
      </c>
      <c r="AC4753">
        <v>0.289499999999975</v>
      </c>
      <c r="AD4753">
        <v>-0.16844199999999901</v>
      </c>
      <c r="AE4753">
        <v>-0.55830000000000202</v>
      </c>
      <c r="AF4753">
        <v>-3.3279881011579401E-2</v>
      </c>
      <c r="AG4753">
        <v>-0.16844199999999901</v>
      </c>
      <c r="AH4753">
        <v>0.58585533364885301</v>
      </c>
      <c r="AI4753">
        <v>106.016226212495</v>
      </c>
      <c r="AJ4753">
        <v>93.251228718112202</v>
      </c>
      <c r="AK4753">
        <v>0.61049711695384201</v>
      </c>
      <c r="AL4753">
        <v>90.885275066065503</v>
      </c>
      <c r="AM4753">
        <v>105.312674860659</v>
      </c>
      <c r="AN4753">
        <v>1.00000000505417</v>
      </c>
    </row>
    <row r="4754" spans="1:40" x14ac:dyDescent="0.25">
      <c r="A4754" t="str">
        <f>"20190312150746158"</f>
        <v>20190312150746158</v>
      </c>
      <c r="B4754" t="str">
        <f>"1552374466154261"</f>
        <v>1552374466154261</v>
      </c>
      <c r="C4754" t="s">
        <v>40</v>
      </c>
      <c r="D4754">
        <v>4.6537870000000003</v>
      </c>
      <c r="E4754">
        <v>0.59467510000000001</v>
      </c>
      <c r="F4754" t="s">
        <v>41</v>
      </c>
      <c r="G4754">
        <v>-489.94589999999999</v>
      </c>
      <c r="H4754">
        <v>0.93574789999999997</v>
      </c>
      <c r="I4754">
        <v>225.18969999999999</v>
      </c>
      <c r="J4754">
        <v>-490.22160000000002</v>
      </c>
      <c r="K4754">
        <v>1.1113029999999999</v>
      </c>
      <c r="L4754">
        <v>225.74180000000001</v>
      </c>
      <c r="M4754">
        <v>0.4127692</v>
      </c>
      <c r="N4754">
        <v>0</v>
      </c>
      <c r="O4754">
        <v>-0.91077209999999997</v>
      </c>
      <c r="P4754">
        <v>0.63865609999999995</v>
      </c>
      <c r="Q4754">
        <v>-2.5284259999999999E-2</v>
      </c>
      <c r="R4754">
        <v>-0.76907709999999996</v>
      </c>
      <c r="S4754">
        <v>1.3696900000000001</v>
      </c>
      <c r="T4754">
        <v>-0.75320989999999999</v>
      </c>
      <c r="U4754">
        <v>-2.735001</v>
      </c>
      <c r="V4754">
        <v>-0.2641926</v>
      </c>
      <c r="W4754">
        <v>-1.5630160000000001E-2</v>
      </c>
      <c r="X4754">
        <v>0.96434330000000001</v>
      </c>
      <c r="Y4754">
        <v>-2.672594E-2</v>
      </c>
      <c r="Z4754">
        <v>0.21966440000000001</v>
      </c>
      <c r="AA4754">
        <v>0.9752094</v>
      </c>
      <c r="AB4754">
        <v>10</v>
      </c>
      <c r="AC4754">
        <v>0.27570000000002798</v>
      </c>
      <c r="AD4754">
        <v>-0.17555509999999999</v>
      </c>
      <c r="AE4754">
        <v>-0.55210000000002402</v>
      </c>
      <c r="AF4754">
        <v>-2.1473516496165801E-2</v>
      </c>
      <c r="AG4754">
        <v>-0.17555509999999999</v>
      </c>
      <c r="AH4754">
        <v>0.57050344590205604</v>
      </c>
      <c r="AI4754">
        <v>107.092760622909</v>
      </c>
      <c r="AJ4754">
        <v>92.155572143166495</v>
      </c>
      <c r="AK4754">
        <v>0.59728961721499996</v>
      </c>
      <c r="AL4754">
        <v>90.895578654547194</v>
      </c>
      <c r="AM4754">
        <v>105.320899724702</v>
      </c>
      <c r="AN4754">
        <v>1.0000000160256299</v>
      </c>
    </row>
    <row r="4755" spans="1:40" x14ac:dyDescent="0.25">
      <c r="A4755" t="str">
        <f>"20190312150746182"</f>
        <v>20190312150746182</v>
      </c>
      <c r="B4755" t="str">
        <f>"1552374466174757"</f>
        <v>1552374466174757</v>
      </c>
      <c r="C4755" t="s">
        <v>40</v>
      </c>
      <c r="D4755">
        <v>4.6406939999999999</v>
      </c>
      <c r="E4755">
        <v>0.59698619999999902</v>
      </c>
      <c r="F4755" t="s">
        <v>41</v>
      </c>
      <c r="G4755">
        <v>-489.91320000000002</v>
      </c>
      <c r="H4755">
        <v>0.92883300000000002</v>
      </c>
      <c r="I4755">
        <v>225.1096</v>
      </c>
      <c r="J4755">
        <v>-490.1737</v>
      </c>
      <c r="K4755">
        <v>1.1112959999999901</v>
      </c>
      <c r="L4755">
        <v>225.648</v>
      </c>
      <c r="M4755">
        <v>0.41660849999999999</v>
      </c>
      <c r="N4755">
        <v>0</v>
      </c>
      <c r="O4755">
        <v>-0.9090241</v>
      </c>
      <c r="P4755">
        <v>0.64208409999999905</v>
      </c>
      <c r="Q4755">
        <v>-2.5591949999999999E-2</v>
      </c>
      <c r="R4755">
        <v>-0.76620730000000004</v>
      </c>
      <c r="S4755">
        <v>1.3461609999999999</v>
      </c>
      <c r="T4755">
        <v>-0.79703259999999998</v>
      </c>
      <c r="U4755">
        <v>-2.7566830000000002</v>
      </c>
      <c r="V4755">
        <v>-0.26443299999999997</v>
      </c>
      <c r="W4755">
        <v>-1.6076449999999999E-2</v>
      </c>
      <c r="X4755">
        <v>0.96427010000000002</v>
      </c>
      <c r="Y4755">
        <v>-1.156577E-2</v>
      </c>
      <c r="Z4755">
        <v>0.22985749999999999</v>
      </c>
      <c r="AA4755">
        <v>0.97315560000000001</v>
      </c>
      <c r="AB4755">
        <v>10</v>
      </c>
      <c r="AC4755">
        <v>0.26049999999997903</v>
      </c>
      <c r="AD4755">
        <v>-0.18246299999999899</v>
      </c>
      <c r="AE4755">
        <v>-0.53839999999999499</v>
      </c>
      <c r="AF4755">
        <v>-1.1435239478080001E-2</v>
      </c>
      <c r="AG4755">
        <v>-0.18246299999999899</v>
      </c>
      <c r="AH4755">
        <v>0.54706582034520701</v>
      </c>
      <c r="AI4755">
        <v>108.441346725713</v>
      </c>
      <c r="AJ4755">
        <v>91.197471193365402</v>
      </c>
      <c r="AK4755">
        <v>0.57680544628227604</v>
      </c>
      <c r="AL4755">
        <v>90.921152375224594</v>
      </c>
      <c r="AM4755">
        <v>105.335294153045</v>
      </c>
      <c r="AN4755">
        <v>1.0000000447438</v>
      </c>
    </row>
    <row r="4756" spans="1:40" x14ac:dyDescent="0.25">
      <c r="A4756" t="str">
        <f>"20190312150746205"</f>
        <v>20190312150746205</v>
      </c>
      <c r="B4756" t="str">
        <f>"1552374466194277"</f>
        <v>1552374466194277</v>
      </c>
      <c r="C4756" t="s">
        <v>40</v>
      </c>
      <c r="D4756">
        <v>4.6586449999999999</v>
      </c>
      <c r="E4756">
        <v>0.59865489999999999</v>
      </c>
      <c r="F4756" t="s">
        <v>41</v>
      </c>
      <c r="G4756">
        <v>-489.87279999999998</v>
      </c>
      <c r="H4756">
        <v>0.92807729999999999</v>
      </c>
      <c r="I4756">
        <v>225.0292</v>
      </c>
      <c r="J4756">
        <v>-490.12490000000003</v>
      </c>
      <c r="K4756">
        <v>1.111291</v>
      </c>
      <c r="L4756">
        <v>225.55369999999999</v>
      </c>
      <c r="M4756">
        <v>0.42047079999999998</v>
      </c>
      <c r="N4756">
        <v>0</v>
      </c>
      <c r="O4756">
        <v>-0.90724559999999999</v>
      </c>
      <c r="P4756">
        <v>0.64556969999999902</v>
      </c>
      <c r="Q4756">
        <v>-2.6128040000000002E-2</v>
      </c>
      <c r="R4756">
        <v>-0.76325449999999995</v>
      </c>
      <c r="S4756">
        <v>1.344025</v>
      </c>
      <c r="T4756">
        <v>-0.81894250000000002</v>
      </c>
      <c r="U4756">
        <v>-2.761749</v>
      </c>
      <c r="V4756">
        <v>-0.264733099999999</v>
      </c>
      <c r="W4756">
        <v>-1.6745980000000001E-2</v>
      </c>
      <c r="X4756">
        <v>0.96417629999999999</v>
      </c>
      <c r="Y4756">
        <v>-5.4070339999999998E-3</v>
      </c>
      <c r="Z4756">
        <v>0.23475589999999999</v>
      </c>
      <c r="AA4756">
        <v>0.97203930000000005</v>
      </c>
      <c r="AB4756">
        <v>10</v>
      </c>
      <c r="AC4756">
        <v>0.25210000000004101</v>
      </c>
      <c r="AD4756">
        <v>-0.18321369999999901</v>
      </c>
      <c r="AE4756">
        <v>-0.52449999999998898</v>
      </c>
      <c r="AF4756">
        <v>-7.4424395349987002E-3</v>
      </c>
      <c r="AG4756">
        <v>-0.18321369999999901</v>
      </c>
      <c r="AH4756">
        <v>0.52940827948089497</v>
      </c>
      <c r="AI4756">
        <v>109.08758542516701</v>
      </c>
      <c r="AJ4756">
        <v>90.805412955520097</v>
      </c>
      <c r="AK4756">
        <v>0.56026402361462002</v>
      </c>
      <c r="AL4756">
        <v>90.959518837146106</v>
      </c>
      <c r="AM4756">
        <v>105.35330026520001</v>
      </c>
      <c r="AN4756">
        <v>0.99999998978172999</v>
      </c>
    </row>
    <row r="4757" spans="1:40" x14ac:dyDescent="0.25">
      <c r="A4757" t="str">
        <f>"20190312150746227"</f>
        <v>20190312150746227</v>
      </c>
      <c r="B4757" t="str">
        <f>"1552374466214773"</f>
        <v>1552374466214773</v>
      </c>
      <c r="C4757" t="s">
        <v>40</v>
      </c>
      <c r="D4757">
        <v>4.6089900000000004</v>
      </c>
      <c r="E4757">
        <v>0.60007790000000005</v>
      </c>
      <c r="F4757" t="s">
        <v>41</v>
      </c>
      <c r="G4757">
        <v>-489.79469999999998</v>
      </c>
      <c r="H4757">
        <v>0.90599379999999996</v>
      </c>
      <c r="I4757">
        <v>224.876</v>
      </c>
      <c r="J4757">
        <v>-490.07859999999999</v>
      </c>
      <c r="K4757">
        <v>1.111281</v>
      </c>
      <c r="L4757">
        <v>225.4648</v>
      </c>
      <c r="M4757">
        <v>0.42410900000000001</v>
      </c>
      <c r="N4757">
        <v>0</v>
      </c>
      <c r="O4757">
        <v>-0.90555169999999996</v>
      </c>
      <c r="P4757">
        <v>0.64842709999999903</v>
      </c>
      <c r="Q4757">
        <v>-2.6134950000000001E-2</v>
      </c>
      <c r="R4757">
        <v>-0.76082810000000001</v>
      </c>
      <c r="S4757">
        <v>1.3465879999999999</v>
      </c>
      <c r="T4757">
        <v>-0.83729560000000003</v>
      </c>
      <c r="U4757">
        <v>-2.7628629999999998</v>
      </c>
      <c r="V4757">
        <v>-0.2644783</v>
      </c>
      <c r="W4757">
        <v>-1.6869140000000001E-2</v>
      </c>
      <c r="X4757">
        <v>0.96424410000000005</v>
      </c>
      <c r="Y4757">
        <v>-1.4531310000000001E-3</v>
      </c>
      <c r="Z4757">
        <v>0.2388778</v>
      </c>
      <c r="AA4757">
        <v>0.97104849999999998</v>
      </c>
      <c r="AB4757">
        <v>10</v>
      </c>
      <c r="AC4757">
        <v>0.28390000000001597</v>
      </c>
      <c r="AD4757">
        <v>-0.2052872</v>
      </c>
      <c r="AE4757">
        <v>-0.58880000000001997</v>
      </c>
      <c r="AF4757">
        <v>-6.7094009975699398E-3</v>
      </c>
      <c r="AG4757">
        <v>-0.2052872</v>
      </c>
      <c r="AH4757">
        <v>0.59494909615742797</v>
      </c>
      <c r="AI4757">
        <v>109.03587234057601</v>
      </c>
      <c r="AJ4757">
        <v>90.646112528782396</v>
      </c>
      <c r="AK4757">
        <v>0.629406289739884</v>
      </c>
      <c r="AL4757">
        <v>90.966576361148199</v>
      </c>
      <c r="AM4757">
        <v>105.338191624741</v>
      </c>
      <c r="AN4757">
        <v>1.0000000117200101</v>
      </c>
    </row>
    <row r="4758" spans="1:40" x14ac:dyDescent="0.25">
      <c r="A4758" t="str">
        <f>"20190312150746247"</f>
        <v>20190312150746247</v>
      </c>
      <c r="B4758" t="str">
        <f>"1552374466234294"</f>
        <v>1552374466234294</v>
      </c>
      <c r="C4758" t="s">
        <v>40</v>
      </c>
      <c r="D4758">
        <v>4.7080310000000001</v>
      </c>
      <c r="E4758">
        <v>0.60134909999999997</v>
      </c>
      <c r="F4758" t="s">
        <v>41</v>
      </c>
      <c r="G4758">
        <v>-489.75189999999998</v>
      </c>
      <c r="H4758">
        <v>0.9050648</v>
      </c>
      <c r="I4758">
        <v>224.7955</v>
      </c>
      <c r="J4758">
        <v>-490.03379999999999</v>
      </c>
      <c r="K4758">
        <v>1.1112839999999999</v>
      </c>
      <c r="L4758">
        <v>225.37979999999999</v>
      </c>
      <c r="M4758">
        <v>0.42759409999999998</v>
      </c>
      <c r="N4758">
        <v>0</v>
      </c>
      <c r="O4758">
        <v>-0.9039123</v>
      </c>
      <c r="P4758">
        <v>0.65083429999999998</v>
      </c>
      <c r="Q4758">
        <v>-2.6028099999999998E-2</v>
      </c>
      <c r="R4758">
        <v>-0.75877329999999998</v>
      </c>
      <c r="S4758">
        <v>1.348938</v>
      </c>
      <c r="T4758">
        <v>-0.85161549999999997</v>
      </c>
      <c r="U4758">
        <v>-2.7641140000000002</v>
      </c>
      <c r="V4758">
        <v>-0.26381759999999999</v>
      </c>
      <c r="W4758">
        <v>-1.68635E-2</v>
      </c>
      <c r="X4758">
        <v>0.96442510000000004</v>
      </c>
      <c r="Y4758">
        <v>2.2966029999999999E-3</v>
      </c>
      <c r="Z4758">
        <v>0.241898</v>
      </c>
      <c r="AA4758">
        <v>0.97029889999999996</v>
      </c>
      <c r="AB4758">
        <v>10</v>
      </c>
      <c r="AC4758">
        <v>0.28190000000000698</v>
      </c>
      <c r="AD4758">
        <v>-0.20621919999999899</v>
      </c>
      <c r="AE4758">
        <v>-0.58429999999998405</v>
      </c>
      <c r="AF4758">
        <v>-4.5138182637765598E-3</v>
      </c>
      <c r="AG4758">
        <v>-0.20621919999999899</v>
      </c>
      <c r="AH4758">
        <v>0.58919506115291598</v>
      </c>
      <c r="AI4758">
        <v>109.289602427612</v>
      </c>
      <c r="AJ4758">
        <v>90.438933883941203</v>
      </c>
      <c r="AK4758">
        <v>0.62425760154838905</v>
      </c>
      <c r="AL4758">
        <v>90.966253237635598</v>
      </c>
      <c r="AM4758">
        <v>105.298935900348</v>
      </c>
      <c r="AN4758">
        <v>0.999999938606008</v>
      </c>
    </row>
    <row r="4759" spans="1:40" x14ac:dyDescent="0.25">
      <c r="A4759" t="str">
        <f>"20190312150746271"</f>
        <v>20190312150746271</v>
      </c>
      <c r="B4759" t="str">
        <f>"1552374466264304"</f>
        <v>1552374466264304</v>
      </c>
      <c r="C4759" t="s">
        <v>40</v>
      </c>
      <c r="D4759">
        <v>4.639589</v>
      </c>
      <c r="E4759">
        <v>0.60264819999999997</v>
      </c>
      <c r="F4759" t="s">
        <v>41</v>
      </c>
      <c r="G4759">
        <v>-489.70929999999998</v>
      </c>
      <c r="H4759">
        <v>0.90396120000000002</v>
      </c>
      <c r="I4759">
        <v>224.71469999999999</v>
      </c>
      <c r="J4759">
        <v>-489.9846</v>
      </c>
      <c r="K4759">
        <v>1.111297</v>
      </c>
      <c r="L4759">
        <v>225.28739999999999</v>
      </c>
      <c r="M4759">
        <v>0.4313902</v>
      </c>
      <c r="N4759">
        <v>0</v>
      </c>
      <c r="O4759">
        <v>-0.90210809999999997</v>
      </c>
      <c r="P4759">
        <v>0.65354909999999999</v>
      </c>
      <c r="Q4759">
        <v>-2.5468109999999999E-2</v>
      </c>
      <c r="R4759">
        <v>-0.75645560000000001</v>
      </c>
      <c r="S4759">
        <v>1.350311</v>
      </c>
      <c r="T4759">
        <v>-0.86355890000000002</v>
      </c>
      <c r="U4759">
        <v>-2.7658839999999998</v>
      </c>
      <c r="V4759">
        <v>-0.263212</v>
      </c>
      <c r="W4759">
        <v>-1.6403379999999999E-2</v>
      </c>
      <c r="X4759">
        <v>0.96459850000000003</v>
      </c>
      <c r="Y4759">
        <v>6.6643129999999998E-3</v>
      </c>
      <c r="Z4759">
        <v>0.24416860000000001</v>
      </c>
      <c r="AA4759">
        <v>0.96970990000000001</v>
      </c>
      <c r="AB4759">
        <v>10</v>
      </c>
      <c r="AC4759">
        <v>0.27530000000001498</v>
      </c>
      <c r="AD4759">
        <v>-0.20733579999999999</v>
      </c>
      <c r="AE4759">
        <v>-0.57269999999999699</v>
      </c>
      <c r="AF4759">
        <v>-1.1688203013601099E-3</v>
      </c>
      <c r="AG4759">
        <v>-0.20733579999999999</v>
      </c>
      <c r="AH4759">
        <v>0.57428986788793701</v>
      </c>
      <c r="AI4759">
        <v>109.851058877546</v>
      </c>
      <c r="AJ4759">
        <v>90.116610759750301</v>
      </c>
      <c r="AK4759">
        <v>0.61057215172433199</v>
      </c>
      <c r="AL4759">
        <v>90.939886646122901</v>
      </c>
      <c r="AM4759">
        <v>105.262840919694</v>
      </c>
      <c r="AN4759">
        <v>0.99999994701083506</v>
      </c>
    </row>
    <row r="4760" spans="1:40" x14ac:dyDescent="0.25">
      <c r="A4760" t="str">
        <f>"20190312150746293"</f>
        <v>20190312150746293</v>
      </c>
      <c r="B4760" t="str">
        <f>"1552374466284800"</f>
        <v>1552374466284800</v>
      </c>
      <c r="C4760" t="s">
        <v>40</v>
      </c>
      <c r="D4760">
        <v>4.6136730000000004</v>
      </c>
      <c r="E4760">
        <v>0.6033712</v>
      </c>
      <c r="F4760" t="s">
        <v>41</v>
      </c>
      <c r="G4760">
        <v>-489.66500000000002</v>
      </c>
      <c r="H4760">
        <v>0.90512899999999996</v>
      </c>
      <c r="I4760">
        <v>224.63329999999999</v>
      </c>
      <c r="J4760">
        <v>-489.9348</v>
      </c>
      <c r="K4760">
        <v>1.1113090000000001</v>
      </c>
      <c r="L4760">
        <v>225.19479999999999</v>
      </c>
      <c r="M4760">
        <v>0.435199</v>
      </c>
      <c r="N4760">
        <v>0</v>
      </c>
      <c r="O4760">
        <v>-0.90027800000000002</v>
      </c>
      <c r="P4760">
        <v>0.65621319999999905</v>
      </c>
      <c r="Q4760">
        <v>-2.5026860000000001E-2</v>
      </c>
      <c r="R4760">
        <v>-0.75416079999999996</v>
      </c>
      <c r="S4760">
        <v>1.352722</v>
      </c>
      <c r="T4760">
        <v>-0.87304340000000002</v>
      </c>
      <c r="U4760">
        <v>-2.7677309999999999</v>
      </c>
      <c r="V4760">
        <v>-0.2625323</v>
      </c>
      <c r="W4760">
        <v>-1.6051389999999999E-2</v>
      </c>
      <c r="X4760">
        <v>0.96478969999999997</v>
      </c>
      <c r="Y4760">
        <v>1.0688980000000001E-2</v>
      </c>
      <c r="Z4760">
        <v>0.2457347</v>
      </c>
      <c r="AA4760">
        <v>0.96927819999999998</v>
      </c>
      <c r="AB4760">
        <v>10</v>
      </c>
      <c r="AC4760">
        <v>0.269799999999975</v>
      </c>
      <c r="AD4760">
        <v>-0.20618</v>
      </c>
      <c r="AE4760">
        <v>-0.561499999999995</v>
      </c>
      <c r="AF4760">
        <v>1.3242485506692299E-3</v>
      </c>
      <c r="AG4760">
        <v>-0.20618</v>
      </c>
      <c r="AH4760">
        <v>0.56145211856780397</v>
      </c>
      <c r="AI4760">
        <v>110.164512779942</v>
      </c>
      <c r="AJ4760">
        <v>89.864861651111397</v>
      </c>
      <c r="AK4760">
        <v>0.59811405892061997</v>
      </c>
      <c r="AL4760">
        <v>90.919716389308206</v>
      </c>
      <c r="AM4760">
        <v>105.222381516767</v>
      </c>
      <c r="AN4760">
        <v>1.0000000104451501</v>
      </c>
    </row>
    <row r="4761" spans="1:40" x14ac:dyDescent="0.25">
      <c r="A4761" t="str">
        <f>"20190312150746316"</f>
        <v>20190312150746316</v>
      </c>
      <c r="B4761" t="str">
        <f>"1552374466304320"</f>
        <v>1552374466304320</v>
      </c>
      <c r="C4761" t="s">
        <v>40</v>
      </c>
      <c r="D4761">
        <v>4.7067069999999998</v>
      </c>
      <c r="E4761">
        <v>0.62855709999999998</v>
      </c>
      <c r="F4761" t="s">
        <v>41</v>
      </c>
      <c r="G4761">
        <v>-489.6191</v>
      </c>
      <c r="H4761">
        <v>0.90725909999999999</v>
      </c>
      <c r="I4761">
        <v>224.55160000000001</v>
      </c>
      <c r="J4761">
        <v>-489.88510000000002</v>
      </c>
      <c r="K4761">
        <v>1.111326</v>
      </c>
      <c r="L4761">
        <v>225.10329999999999</v>
      </c>
      <c r="M4761">
        <v>0.43897950000000002</v>
      </c>
      <c r="N4761">
        <v>0</v>
      </c>
      <c r="O4761">
        <v>-0.89844139999999995</v>
      </c>
      <c r="P4761">
        <v>0.65895649999999995</v>
      </c>
      <c r="Q4761">
        <v>-2.5002960000000001E-2</v>
      </c>
      <c r="R4761">
        <v>-0.75176569999999898</v>
      </c>
      <c r="S4761">
        <v>1.3587340000000001</v>
      </c>
      <c r="T4761">
        <v>-0.87851819999999903</v>
      </c>
      <c r="U4761">
        <v>-2.7665410000000001</v>
      </c>
      <c r="V4761">
        <v>-0.26199090000000003</v>
      </c>
      <c r="W4761">
        <v>-1.6107710000000001E-2</v>
      </c>
      <c r="X4761">
        <v>0.96493589999999996</v>
      </c>
      <c r="Y4761">
        <v>1.3145749999999999E-2</v>
      </c>
      <c r="Z4761">
        <v>0.24640719999999999</v>
      </c>
      <c r="AA4761">
        <v>0.96907719999999997</v>
      </c>
      <c r="AB4761">
        <v>10</v>
      </c>
      <c r="AC4761">
        <v>0.266000000000019</v>
      </c>
      <c r="AD4761">
        <v>-0.2040669</v>
      </c>
      <c r="AE4761">
        <v>-0.55169999999998198</v>
      </c>
      <c r="AF4761">
        <v>2.8800244507028701E-3</v>
      </c>
      <c r="AG4761">
        <v>-0.2040669</v>
      </c>
      <c r="AH4761">
        <v>0.55127222228751105</v>
      </c>
      <c r="AI4761">
        <v>110.313011086283</v>
      </c>
      <c r="AJ4761">
        <v>89.700671033280898</v>
      </c>
      <c r="AK4761">
        <v>0.58783727108976103</v>
      </c>
      <c r="AL4761">
        <v>90.922943723176004</v>
      </c>
      <c r="AM4761">
        <v>105.190246353327</v>
      </c>
      <c r="AN4761">
        <v>0.99999999055653199</v>
      </c>
    </row>
    <row r="4762" spans="1:40" x14ac:dyDescent="0.25">
      <c r="A4762" t="str">
        <f>"20190312150746337"</f>
        <v>20190312150746337</v>
      </c>
      <c r="B4762" t="str">
        <f>"1552374466334576"</f>
        <v>1552374466334576</v>
      </c>
      <c r="C4762" t="s">
        <v>40</v>
      </c>
      <c r="D4762">
        <v>4.6818419999999996</v>
      </c>
      <c r="E4762">
        <v>0.63225629999999999</v>
      </c>
      <c r="F4762" t="s">
        <v>41</v>
      </c>
      <c r="G4762">
        <v>-489.61410000000001</v>
      </c>
      <c r="H4762">
        <v>0.88842739999999998</v>
      </c>
      <c r="I4762">
        <v>224.4615</v>
      </c>
      <c r="J4762">
        <v>-489.83679999999998</v>
      </c>
      <c r="K4762">
        <v>1.111345</v>
      </c>
      <c r="L4762">
        <v>225.0153</v>
      </c>
      <c r="M4762">
        <v>0.44262839999999998</v>
      </c>
      <c r="N4762">
        <v>0</v>
      </c>
      <c r="O4762">
        <v>-0.89664999999999995</v>
      </c>
      <c r="P4762">
        <v>0.66213650000000002</v>
      </c>
      <c r="Q4762">
        <v>-2.4408309999999999E-2</v>
      </c>
      <c r="R4762">
        <v>-0.74898560000000003</v>
      </c>
      <c r="S4762">
        <v>1.219635</v>
      </c>
      <c r="T4762">
        <v>-1.0032810000000001</v>
      </c>
      <c r="U4762">
        <v>-2.8882289999999999</v>
      </c>
      <c r="V4762">
        <v>-0.26214999999999999</v>
      </c>
      <c r="W4762">
        <v>-1.558727E-2</v>
      </c>
      <c r="X4762">
        <v>0.96490120000000001</v>
      </c>
      <c r="Y4762">
        <v>7.5051110000000004E-2</v>
      </c>
      <c r="Z4762">
        <v>0.26941279999999901</v>
      </c>
      <c r="AA4762">
        <v>0.9600959</v>
      </c>
      <c r="AB4762">
        <v>11</v>
      </c>
      <c r="AC4762">
        <v>0.222699999999974</v>
      </c>
      <c r="AD4762">
        <v>-0.22291759999999999</v>
      </c>
      <c r="AE4762">
        <v>-0.55379999999999496</v>
      </c>
      <c r="AF4762">
        <v>3.9883314766217502E-2</v>
      </c>
      <c r="AG4762">
        <v>-0.22291759999999999</v>
      </c>
      <c r="AH4762">
        <v>0.52231894295403303</v>
      </c>
      <c r="AI4762">
        <v>113.051967759794</v>
      </c>
      <c r="AJ4762">
        <v>85.633472843838007</v>
      </c>
      <c r="AK4762">
        <v>0.56929782482907798</v>
      </c>
      <c r="AL4762">
        <v>90.893120993146297</v>
      </c>
      <c r="AM4762">
        <v>105.199565698398</v>
      </c>
      <c r="AN4762">
        <v>0.999999955623745</v>
      </c>
    </row>
    <row r="4763" spans="1:40" x14ac:dyDescent="0.25">
      <c r="A4763" t="str">
        <f>"20190312150746360"</f>
        <v>20190312150746360</v>
      </c>
      <c r="B4763" t="str">
        <f>"1552374466354748"</f>
        <v>1552374466354748</v>
      </c>
      <c r="C4763" t="s">
        <v>40</v>
      </c>
      <c r="D4763">
        <v>4.651764</v>
      </c>
      <c r="E4763">
        <v>0.63319389999999998</v>
      </c>
      <c r="F4763" t="s">
        <v>41</v>
      </c>
      <c r="G4763">
        <v>-489.57159999999999</v>
      </c>
      <c r="H4763">
        <v>0.8891038</v>
      </c>
      <c r="I4763">
        <v>224.37819999999999</v>
      </c>
      <c r="J4763">
        <v>-489.78590000000003</v>
      </c>
      <c r="K4763">
        <v>1.1113569999999999</v>
      </c>
      <c r="L4763">
        <v>224.92349999999999</v>
      </c>
      <c r="M4763">
        <v>0.44645499999999999</v>
      </c>
      <c r="N4763">
        <v>0</v>
      </c>
      <c r="O4763">
        <v>-0.89475139999999997</v>
      </c>
      <c r="P4763">
        <v>0.66610329999999995</v>
      </c>
      <c r="Q4763">
        <v>-2.3392349999999999E-2</v>
      </c>
      <c r="R4763">
        <v>-0.74549279999999996</v>
      </c>
      <c r="S4763">
        <v>1.2097469999999999</v>
      </c>
      <c r="T4763">
        <v>-1.0142329999999999</v>
      </c>
      <c r="U4763">
        <v>-2.9029690000000001</v>
      </c>
      <c r="V4763">
        <v>-0.26313779999999998</v>
      </c>
      <c r="W4763">
        <v>-1.464674E-2</v>
      </c>
      <c r="X4763">
        <v>0.96464709999999998</v>
      </c>
      <c r="Y4763">
        <v>8.395495E-2</v>
      </c>
      <c r="Z4763">
        <v>0.27009470000000002</v>
      </c>
      <c r="AA4763">
        <v>0.95916650000000003</v>
      </c>
      <c r="AB4763">
        <v>11</v>
      </c>
      <c r="AC4763">
        <v>0.21430000000003699</v>
      </c>
      <c r="AD4763">
        <v>-0.22225320000000001</v>
      </c>
      <c r="AE4763">
        <v>-0.54529999999999701</v>
      </c>
      <c r="AF4763">
        <v>4.5204432609222002E-2</v>
      </c>
      <c r="AG4763">
        <v>-0.22225320000000001</v>
      </c>
      <c r="AH4763">
        <v>0.51019609382781295</v>
      </c>
      <c r="AI4763">
        <v>113.45714065432</v>
      </c>
      <c r="AJ4763">
        <v>84.936696948051406</v>
      </c>
      <c r="AK4763">
        <v>0.55833679781554801</v>
      </c>
      <c r="AL4763">
        <v>90.839226369934295</v>
      </c>
      <c r="AM4763">
        <v>105.258005974173</v>
      </c>
      <c r="AN4763">
        <v>1.0000000281599299</v>
      </c>
    </row>
    <row r="4764" spans="1:40" x14ac:dyDescent="0.25">
      <c r="A4764" t="str">
        <f>"20190312150746383"</f>
        <v>20190312150746383</v>
      </c>
      <c r="B4764" t="str">
        <f>"1552374466374267"</f>
        <v>1552374466374267</v>
      </c>
      <c r="C4764" t="s">
        <v>40</v>
      </c>
      <c r="D4764">
        <v>4.5812910000000002</v>
      </c>
      <c r="E4764">
        <v>0.63360490000000003</v>
      </c>
      <c r="F4764" t="s">
        <v>41</v>
      </c>
      <c r="G4764">
        <v>-489.5224</v>
      </c>
      <c r="H4764">
        <v>0.89166529999999999</v>
      </c>
      <c r="I4764">
        <v>224.29669999999999</v>
      </c>
      <c r="J4764">
        <v>-489.73219999999998</v>
      </c>
      <c r="K4764">
        <v>1.1113770000000001</v>
      </c>
      <c r="L4764">
        <v>224.82769999999999</v>
      </c>
      <c r="M4764">
        <v>0.4504707</v>
      </c>
      <c r="N4764">
        <v>0</v>
      </c>
      <c r="O4764">
        <v>-0.89273709999999995</v>
      </c>
      <c r="P4764">
        <v>0.67040299999999997</v>
      </c>
      <c r="Q4764">
        <v>-2.3053790000000001E-2</v>
      </c>
      <c r="R4764">
        <v>-0.74163950000000001</v>
      </c>
      <c r="S4764">
        <v>1.2200009999999999</v>
      </c>
      <c r="T4764">
        <v>-1.0174609999999999</v>
      </c>
      <c r="U4764">
        <v>-2.9022670000000002</v>
      </c>
      <c r="V4764">
        <v>-0.26437640000000001</v>
      </c>
      <c r="W4764">
        <v>-1.4381659999999999E-2</v>
      </c>
      <c r="X4764">
        <v>0.96431239999999996</v>
      </c>
      <c r="Y4764">
        <v>8.5479079999999999E-2</v>
      </c>
      <c r="Z4764">
        <v>0.26986009999999999</v>
      </c>
      <c r="AA4764">
        <v>0.95909789999999995</v>
      </c>
      <c r="AB4764">
        <v>11</v>
      </c>
      <c r="AC4764">
        <v>0.20979999999997201</v>
      </c>
      <c r="AD4764">
        <v>-0.21971170000000001</v>
      </c>
      <c r="AE4764">
        <v>-0.53100000000000502</v>
      </c>
      <c r="AF4764">
        <v>4.5211006135166598E-2</v>
      </c>
      <c r="AG4764">
        <v>-0.21971170000000001</v>
      </c>
      <c r="AH4764">
        <v>0.49524052826051501</v>
      </c>
      <c r="AI4764">
        <v>113.836284372278</v>
      </c>
      <c r="AJ4764">
        <v>84.783869068154502</v>
      </c>
      <c r="AK4764">
        <v>0.54367310676949798</v>
      </c>
      <c r="AL4764">
        <v>90.824036779728999</v>
      </c>
      <c r="AM4764">
        <v>105.331525322632</v>
      </c>
      <c r="AN4764">
        <v>1.00000005890753</v>
      </c>
    </row>
    <row r="4765" spans="1:40" x14ac:dyDescent="0.25">
      <c r="A4765" t="str">
        <f>"20190312150746407"</f>
        <v>20190312150746407</v>
      </c>
      <c r="B4765" t="str">
        <f>"1552374466404524"</f>
        <v>1552374466404524</v>
      </c>
      <c r="C4765" t="s">
        <v>40</v>
      </c>
      <c r="D4765">
        <v>4.5291579999999998</v>
      </c>
      <c r="E4765">
        <v>0.63382700000000003</v>
      </c>
      <c r="F4765" t="s">
        <v>41</v>
      </c>
      <c r="G4765">
        <v>-489.47140000000002</v>
      </c>
      <c r="H4765">
        <v>0.89800170000000001</v>
      </c>
      <c r="I4765">
        <v>224.2141</v>
      </c>
      <c r="J4765">
        <v>-489.67829999999998</v>
      </c>
      <c r="K4765">
        <v>1.1113959999999901</v>
      </c>
      <c r="L4765">
        <v>224.73259999999999</v>
      </c>
      <c r="M4765">
        <v>0.45448850000000002</v>
      </c>
      <c r="N4765">
        <v>0</v>
      </c>
      <c r="O4765">
        <v>-0.89069869999999995</v>
      </c>
      <c r="P4765">
        <v>0.67431249999999998</v>
      </c>
      <c r="Q4765">
        <v>-2.251775E-2</v>
      </c>
      <c r="R4765">
        <v>-0.73810290000000001</v>
      </c>
      <c r="S4765">
        <v>1.2334290000000001</v>
      </c>
      <c r="T4765">
        <v>-1.0093379999999901</v>
      </c>
      <c r="U4765">
        <v>-2.8987430000000001</v>
      </c>
      <c r="V4765">
        <v>-0.26512019999999997</v>
      </c>
      <c r="W4765">
        <v>-1.39087E-2</v>
      </c>
      <c r="X4765">
        <v>0.96411500000000006</v>
      </c>
      <c r="Y4765">
        <v>8.5484309999999994E-2</v>
      </c>
      <c r="Z4765">
        <v>0.26707920000000002</v>
      </c>
      <c r="AA4765">
        <v>0.95987560000000005</v>
      </c>
      <c r="AB4765">
        <v>11</v>
      </c>
      <c r="AC4765">
        <v>0.206899999999961</v>
      </c>
      <c r="AD4765">
        <v>-0.21339429999999901</v>
      </c>
      <c r="AE4765">
        <v>-0.51849999999998797</v>
      </c>
      <c r="AF4765">
        <v>4.4820226658138403E-2</v>
      </c>
      <c r="AG4765">
        <v>-0.21339429999999901</v>
      </c>
      <c r="AH4765">
        <v>0.48501852172357701</v>
      </c>
      <c r="AI4765">
        <v>113.65845798260101</v>
      </c>
      <c r="AJ4765">
        <v>84.720331053967797</v>
      </c>
      <c r="AK4765">
        <v>0.53177903908023805</v>
      </c>
      <c r="AL4765">
        <v>90.796935542322402</v>
      </c>
      <c r="AM4765">
        <v>105.375620014758</v>
      </c>
      <c r="AN4765">
        <v>0.99999995280436305</v>
      </c>
    </row>
    <row r="4766" spans="1:40" x14ac:dyDescent="0.25">
      <c r="A4766" t="str">
        <f>"20190312150746428"</f>
        <v>20190312150746428</v>
      </c>
      <c r="B4766" t="str">
        <f>"1552374466425020"</f>
        <v>1552374466425020</v>
      </c>
      <c r="C4766" t="s">
        <v>40</v>
      </c>
      <c r="D4766">
        <v>4.3973680000000002</v>
      </c>
      <c r="E4766">
        <v>0.63360399999999995</v>
      </c>
      <c r="F4766" t="s">
        <v>41</v>
      </c>
      <c r="G4766">
        <v>-489.38639999999998</v>
      </c>
      <c r="H4766">
        <v>0.87510929999999998</v>
      </c>
      <c r="I4766">
        <v>224.05549999999999</v>
      </c>
      <c r="J4766">
        <v>-489.6259</v>
      </c>
      <c r="K4766">
        <v>1.1114120000000001</v>
      </c>
      <c r="L4766">
        <v>224.64109999999999</v>
      </c>
      <c r="M4766">
        <v>0.45837830000000002</v>
      </c>
      <c r="N4766">
        <v>0</v>
      </c>
      <c r="O4766">
        <v>-0.88870360000000004</v>
      </c>
      <c r="P4766">
        <v>0.67834259999999902</v>
      </c>
      <c r="Q4766">
        <v>-2.2340200000000001E-2</v>
      </c>
      <c r="R4766">
        <v>-0.73440609999999995</v>
      </c>
      <c r="S4766">
        <v>1.2480469999999999</v>
      </c>
      <c r="T4766">
        <v>-1.010572</v>
      </c>
      <c r="U4766">
        <v>-2.8934630000000001</v>
      </c>
      <c r="V4766">
        <v>-0.26617929999999901</v>
      </c>
      <c r="W4766">
        <v>-1.378765E-2</v>
      </c>
      <c r="X4766">
        <v>0.96382489999999998</v>
      </c>
      <c r="Y4766">
        <v>8.5108669999999997E-2</v>
      </c>
      <c r="Z4766">
        <v>0.26669399999999999</v>
      </c>
      <c r="AA4766">
        <v>0.96001610000000004</v>
      </c>
      <c r="AB4766">
        <v>11</v>
      </c>
      <c r="AC4766">
        <v>0.23950000000002</v>
      </c>
      <c r="AD4766">
        <v>-0.2363027</v>
      </c>
      <c r="AE4766">
        <v>-0.58559999999999901</v>
      </c>
      <c r="AF4766">
        <v>4.8779822945286898E-2</v>
      </c>
      <c r="AG4766">
        <v>-0.2363027</v>
      </c>
      <c r="AH4766">
        <v>0.55308296793441702</v>
      </c>
      <c r="AI4766">
        <v>113.054328976671</v>
      </c>
      <c r="AJ4766">
        <v>84.959770854094998</v>
      </c>
      <c r="AK4766">
        <v>0.60342290855834002</v>
      </c>
      <c r="AL4766">
        <v>90.789999202491302</v>
      </c>
      <c r="AM4766">
        <v>105.438543183703</v>
      </c>
      <c r="AN4766">
        <v>0.99999997845051003</v>
      </c>
    </row>
    <row r="4767" spans="1:40" x14ac:dyDescent="0.25">
      <c r="A4767" t="str">
        <f>"20190312150746450"</f>
        <v>20190312150746450</v>
      </c>
      <c r="B4767" t="str">
        <f>"1552374466444346"</f>
        <v>1552374466444346</v>
      </c>
      <c r="C4767" t="s">
        <v>40</v>
      </c>
      <c r="D4767">
        <v>3.7673920000000001</v>
      </c>
      <c r="E4767">
        <v>0.6327566</v>
      </c>
      <c r="F4767" t="s">
        <v>41</v>
      </c>
      <c r="G4767">
        <v>-489.33350000000002</v>
      </c>
      <c r="H4767">
        <v>0.87912679999999999</v>
      </c>
      <c r="I4767">
        <v>223.97389999999999</v>
      </c>
      <c r="J4767">
        <v>-489.57479999999998</v>
      </c>
      <c r="K4767">
        <v>1.111432</v>
      </c>
      <c r="L4767">
        <v>224.553</v>
      </c>
      <c r="M4767">
        <v>0.46214270000000002</v>
      </c>
      <c r="N4767">
        <v>0</v>
      </c>
      <c r="O4767">
        <v>-0.8867524</v>
      </c>
      <c r="P4767">
        <v>0.68203719999999901</v>
      </c>
      <c r="Q4767">
        <v>-2.194691E-2</v>
      </c>
      <c r="R4767">
        <v>-0.73098819999999998</v>
      </c>
      <c r="S4767">
        <v>1.264893</v>
      </c>
      <c r="T4767">
        <v>-1.004985</v>
      </c>
      <c r="U4767">
        <v>-2.886063</v>
      </c>
      <c r="V4767">
        <v>-0.2669475</v>
      </c>
      <c r="W4767">
        <v>-1.344121E-2</v>
      </c>
      <c r="X4767">
        <v>0.96361730000000001</v>
      </c>
      <c r="Y4767">
        <v>8.3538199999999896E-2</v>
      </c>
      <c r="Z4767">
        <v>0.26483820000000002</v>
      </c>
      <c r="AA4767">
        <v>0.96066759999999995</v>
      </c>
      <c r="AB4767">
        <v>11</v>
      </c>
      <c r="AC4767">
        <v>0.24129999999996599</v>
      </c>
      <c r="AD4767">
        <v>-0.23230519999999999</v>
      </c>
      <c r="AE4767">
        <v>-0.57910000000001005</v>
      </c>
      <c r="AF4767">
        <v>4.7186130281302599E-2</v>
      </c>
      <c r="AG4767">
        <v>-0.23230519999999999</v>
      </c>
      <c r="AH4767">
        <v>0.54969226803078597</v>
      </c>
      <c r="AI4767">
        <v>112.83406448250901</v>
      </c>
      <c r="AJ4767">
        <v>85.093700764060102</v>
      </c>
      <c r="AK4767">
        <v>0.59862661682453899</v>
      </c>
      <c r="AL4767">
        <v>90.770147820803402</v>
      </c>
      <c r="AM4767">
        <v>105.484140125812</v>
      </c>
      <c r="AN4767">
        <v>0.99999996737090102</v>
      </c>
    </row>
    <row r="4768" spans="1:40" x14ac:dyDescent="0.25">
      <c r="A4768" t="str">
        <f>"20190312150746472"</f>
        <v>20190312150746472</v>
      </c>
      <c r="B4768" t="str">
        <f>"1552374466464843"</f>
        <v>1552374466464843</v>
      </c>
      <c r="C4768" t="s">
        <v>40</v>
      </c>
      <c r="D4768">
        <v>5.0870449999999998</v>
      </c>
      <c r="E4768">
        <v>0.56361850000000002</v>
      </c>
      <c r="F4768" t="s">
        <v>41</v>
      </c>
      <c r="G4768">
        <v>-489.28030000000001</v>
      </c>
      <c r="H4768">
        <v>0.88231780000000004</v>
      </c>
      <c r="I4768">
        <v>223.89240000000001</v>
      </c>
      <c r="J4768">
        <v>-489.5197</v>
      </c>
      <c r="K4768">
        <v>1.1114520000000001</v>
      </c>
      <c r="L4768">
        <v>224.4589</v>
      </c>
      <c r="M4768">
        <v>0.46618579999999998</v>
      </c>
      <c r="N4768">
        <v>0</v>
      </c>
      <c r="O4768">
        <v>-0.88463400000000003</v>
      </c>
      <c r="P4768">
        <v>0.68594599999999994</v>
      </c>
      <c r="Q4768">
        <v>-2.1363759999999999E-2</v>
      </c>
      <c r="R4768">
        <v>-0.72733930000000002</v>
      </c>
      <c r="S4768">
        <v>1.2832950000000001</v>
      </c>
      <c r="T4768">
        <v>-0.99908759999999996</v>
      </c>
      <c r="U4768">
        <v>-2.8767399999999999</v>
      </c>
      <c r="V4768">
        <v>-0.26770749999999999</v>
      </c>
      <c r="W4768">
        <v>-1.290056E-2</v>
      </c>
      <c r="X4768">
        <v>0.96341390000000005</v>
      </c>
      <c r="Y4768">
        <v>8.1614740000000005E-2</v>
      </c>
      <c r="Z4768">
        <v>0.26296269999999999</v>
      </c>
      <c r="AA4768">
        <v>0.96134779999999997</v>
      </c>
      <c r="AB4768">
        <v>11</v>
      </c>
      <c r="AC4768">
        <v>0.23939999999998901</v>
      </c>
      <c r="AD4768">
        <v>-0.22913420000000001</v>
      </c>
      <c r="AE4768">
        <v>-0.56649999999999001</v>
      </c>
      <c r="AF4768">
        <v>4.5938614578225102E-2</v>
      </c>
      <c r="AG4768">
        <v>-0.22913420000000001</v>
      </c>
      <c r="AH4768">
        <v>0.538087180226272</v>
      </c>
      <c r="AI4768">
        <v>112.990907900729</v>
      </c>
      <c r="AJ4768">
        <v>85.120267108107996</v>
      </c>
      <c r="AK4768">
        <v>0.58664354717568301</v>
      </c>
      <c r="AL4768">
        <v>90.739168118053698</v>
      </c>
      <c r="AM4768">
        <v>105.52921946481401</v>
      </c>
      <c r="AN4768">
        <v>1.0000000363588799</v>
      </c>
    </row>
    <row r="4769" spans="1:40" x14ac:dyDescent="0.25">
      <c r="A4769" t="str">
        <f>"20190312150746496"</f>
        <v>20190312150746496</v>
      </c>
      <c r="B4769" t="str">
        <f>"1552374466484362"</f>
        <v>1552374466484362</v>
      </c>
      <c r="C4769" t="s">
        <v>40</v>
      </c>
      <c r="D4769">
        <v>4.2614239999999999</v>
      </c>
      <c r="E4769">
        <v>0.4721611</v>
      </c>
      <c r="F4769" t="s">
        <v>61</v>
      </c>
      <c r="G4769">
        <v>-485.28989999999999</v>
      </c>
      <c r="H4769" s="1">
        <v>2.644E-6</v>
      </c>
      <c r="I4769">
        <v>218.17580000000001</v>
      </c>
      <c r="J4769">
        <v>-489.46429999999998</v>
      </c>
      <c r="K4769">
        <v>1.1114660000000001</v>
      </c>
      <c r="L4769">
        <v>224.36519999999999</v>
      </c>
      <c r="M4769">
        <v>0.47023219999999999</v>
      </c>
      <c r="N4769">
        <v>0</v>
      </c>
      <c r="O4769">
        <v>-0.88248950000000004</v>
      </c>
      <c r="P4769">
        <v>0.68942349999999997</v>
      </c>
      <c r="Q4769">
        <v>-2.159633E-2</v>
      </c>
      <c r="R4769">
        <v>-0.72403640000000002</v>
      </c>
      <c r="S4769">
        <v>1.6930540000000001</v>
      </c>
      <c r="T4769">
        <v>-0.44487070000000001</v>
      </c>
      <c r="U4769">
        <v>-2.5149080000000001</v>
      </c>
      <c r="V4769">
        <v>-0.26791369999999998</v>
      </c>
      <c r="W4769">
        <v>-1.3162760000000001E-2</v>
      </c>
      <c r="X4769">
        <v>0.96335300000000001</v>
      </c>
      <c r="Y4769">
        <v>-9.7258800000000006E-2</v>
      </c>
      <c r="Z4769">
        <v>0.13162860000000001</v>
      </c>
      <c r="AA4769">
        <v>0.98651639999999996</v>
      </c>
      <c r="AB4769">
        <v>11</v>
      </c>
      <c r="AC4769">
        <v>4.1743999999999897</v>
      </c>
      <c r="AD4769">
        <v>-1.111463356</v>
      </c>
      <c r="AE4769">
        <v>-6.1893999999999698</v>
      </c>
      <c r="AF4769">
        <v>-0.75667365198874004</v>
      </c>
      <c r="AG4769">
        <v>-1.111463356</v>
      </c>
      <c r="AH4769">
        <v>7.2643522532847902</v>
      </c>
      <c r="AI4769">
        <v>98.652830656250202</v>
      </c>
      <c r="AJ4769">
        <v>95.946631256684896</v>
      </c>
      <c r="AK4769">
        <v>7.3877411613529498</v>
      </c>
      <c r="AL4769">
        <v>90.754192369815001</v>
      </c>
      <c r="AM4769">
        <v>105.5415378191</v>
      </c>
      <c r="AN4769">
        <v>1.0000000057537499</v>
      </c>
    </row>
    <row r="4770" spans="1:40" x14ac:dyDescent="0.25">
      <c r="A4770" t="str">
        <f>"20190312150746517"</f>
        <v>20190312150746517</v>
      </c>
      <c r="B4770" t="str">
        <f>"1552374466514618"</f>
        <v>1552374466514618</v>
      </c>
      <c r="C4770" t="s">
        <v>40</v>
      </c>
      <c r="D4770">
        <v>4.2355559999999999</v>
      </c>
      <c r="E4770">
        <v>0.41891859999999997</v>
      </c>
      <c r="F4770" t="s">
        <v>61</v>
      </c>
      <c r="G4770">
        <v>-481.49579999999997</v>
      </c>
      <c r="H4770" s="1">
        <v>1.928124E-6</v>
      </c>
      <c r="I4770">
        <v>217.19479999999999</v>
      </c>
      <c r="J4770">
        <v>-489.41079999999999</v>
      </c>
      <c r="K4770">
        <v>1.1114790000000001</v>
      </c>
      <c r="L4770">
        <v>224.27590000000001</v>
      </c>
      <c r="M4770">
        <v>0.47410649999999999</v>
      </c>
      <c r="N4770">
        <v>0</v>
      </c>
      <c r="O4770">
        <v>-0.88041429999999998</v>
      </c>
      <c r="P4770">
        <v>0.69305629999999996</v>
      </c>
      <c r="Q4770">
        <v>-2.188238E-2</v>
      </c>
      <c r="R4770">
        <v>-0.7205511</v>
      </c>
      <c r="S4770">
        <v>2.2321780000000002</v>
      </c>
      <c r="T4770">
        <v>-0.31135170000000001</v>
      </c>
      <c r="U4770">
        <v>-2.0086360000000001</v>
      </c>
      <c r="V4770">
        <v>-0.26852720000000002</v>
      </c>
      <c r="W4770">
        <v>-1.347024E-2</v>
      </c>
      <c r="X4770">
        <v>0.96317790000000003</v>
      </c>
      <c r="Y4770">
        <v>-0.33324569999999998</v>
      </c>
      <c r="Z4770">
        <v>9.9276100000000006E-2</v>
      </c>
      <c r="AA4770">
        <v>0.93759879999999995</v>
      </c>
      <c r="AB4770">
        <v>11</v>
      </c>
      <c r="AC4770">
        <v>7.9150000000000098</v>
      </c>
      <c r="AD4770">
        <v>-1.1114770718760001</v>
      </c>
      <c r="AE4770">
        <v>-7.0811000000000197</v>
      </c>
      <c r="AF4770">
        <v>-3.5723251110775802</v>
      </c>
      <c r="AG4770">
        <v>-1.1114770718760001</v>
      </c>
      <c r="AH4770">
        <v>9.8791164363844199</v>
      </c>
      <c r="AI4770">
        <v>96.039592264827206</v>
      </c>
      <c r="AJ4770">
        <v>109.88017819615899</v>
      </c>
      <c r="AK4770">
        <v>10.563798064341301</v>
      </c>
      <c r="AL4770">
        <v>90.7718112537259</v>
      </c>
      <c r="AM4770">
        <v>105.57809493065101</v>
      </c>
      <c r="AN4770">
        <v>0.99999998577695304</v>
      </c>
    </row>
    <row r="4771" spans="1:40" x14ac:dyDescent="0.25">
      <c r="A4771" t="str">
        <f>"20190312150746539"</f>
        <v>20190312150746539</v>
      </c>
      <c r="B4771" t="str">
        <f>"1552374466534138"</f>
        <v>1552374466534138</v>
      </c>
      <c r="C4771" t="s">
        <v>40</v>
      </c>
      <c r="D4771">
        <v>4.1638250000000001</v>
      </c>
      <c r="E4771">
        <v>0.41741410000000001</v>
      </c>
      <c r="F4771" t="s">
        <v>41</v>
      </c>
      <c r="G4771">
        <v>-488.64139999999998</v>
      </c>
      <c r="H4771">
        <v>0.99564900000000001</v>
      </c>
      <c r="I4771">
        <v>223.7629</v>
      </c>
      <c r="J4771">
        <v>-489.35719999999998</v>
      </c>
      <c r="K4771">
        <v>1.111486</v>
      </c>
      <c r="L4771">
        <v>224.18719999999999</v>
      </c>
      <c r="M4771">
        <v>0.4779697</v>
      </c>
      <c r="N4771">
        <v>0</v>
      </c>
      <c r="O4771">
        <v>-0.87832299999999996</v>
      </c>
      <c r="P4771">
        <v>0.69635749999999996</v>
      </c>
      <c r="Q4771">
        <v>-2.2229559999999999E-2</v>
      </c>
      <c r="R4771">
        <v>-0.71735070000000001</v>
      </c>
      <c r="S4771">
        <v>2.5494080000000001</v>
      </c>
      <c r="T4771">
        <v>-0.3837526</v>
      </c>
      <c r="U4771">
        <v>-1.699722</v>
      </c>
      <c r="V4771">
        <v>-0.26872200000000002</v>
      </c>
      <c r="W4771">
        <v>-1.3828139999999999E-2</v>
      </c>
      <c r="X4771">
        <v>0.96311849999999999</v>
      </c>
      <c r="Y4771">
        <v>-0.45861049999999998</v>
      </c>
      <c r="Z4771">
        <v>0.1237702</v>
      </c>
      <c r="AA4771">
        <v>0.87997569999999903</v>
      </c>
      <c r="AB4771">
        <v>11</v>
      </c>
      <c r="AC4771">
        <v>0.71580000000000099</v>
      </c>
      <c r="AD4771">
        <v>-0.115836999999999</v>
      </c>
      <c r="AE4771">
        <v>-0.42429999999998802</v>
      </c>
      <c r="AF4771">
        <v>-0.41782388611658899</v>
      </c>
      <c r="AG4771">
        <v>-0.115836999999999</v>
      </c>
      <c r="AH4771">
        <v>0.70124698540042996</v>
      </c>
      <c r="AI4771">
        <v>98.076757921953401</v>
      </c>
      <c r="AJ4771">
        <v>120.787747978241</v>
      </c>
      <c r="AK4771">
        <v>0.82446488397733497</v>
      </c>
      <c r="AL4771">
        <v>90.792319322359504</v>
      </c>
      <c r="AM4771">
        <v>105.58976124045</v>
      </c>
      <c r="AN4771">
        <v>0.99999998789105404</v>
      </c>
    </row>
    <row r="4772" spans="1:40" x14ac:dyDescent="0.25">
      <c r="A4772" t="str">
        <f>"20190312150746561"</f>
        <v>20190312150746561</v>
      </c>
      <c r="B4772" t="str">
        <f>"1552374466554634"</f>
        <v>1552374466554634</v>
      </c>
      <c r="C4772" t="s">
        <v>40</v>
      </c>
      <c r="D4772">
        <v>4.1778079999999997</v>
      </c>
      <c r="E4772">
        <v>0.41755750000000003</v>
      </c>
      <c r="F4772" t="s">
        <v>41</v>
      </c>
      <c r="G4772">
        <v>-488.59179999999998</v>
      </c>
      <c r="H4772">
        <v>0.98693129999999996</v>
      </c>
      <c r="I4772">
        <v>223.68629999999999</v>
      </c>
      <c r="J4772">
        <v>-489.29910000000001</v>
      </c>
      <c r="K4772">
        <v>1.1115060000000001</v>
      </c>
      <c r="L4772">
        <v>224.09200000000001</v>
      </c>
      <c r="M4772">
        <v>0.4821357</v>
      </c>
      <c r="N4772">
        <v>0</v>
      </c>
      <c r="O4772">
        <v>-0.87604309999999996</v>
      </c>
      <c r="P4772">
        <v>0.69975849999999995</v>
      </c>
      <c r="Q4772">
        <v>-2.272422E-2</v>
      </c>
      <c r="R4772">
        <v>-0.71401800000000004</v>
      </c>
      <c r="S4772">
        <v>2.565979</v>
      </c>
      <c r="T4772">
        <v>-0.41737190000000002</v>
      </c>
      <c r="U4772">
        <v>-1.6782840000000001</v>
      </c>
      <c r="V4772">
        <v>-0.26872970000000002</v>
      </c>
      <c r="W4772">
        <v>-1.4328459999999999E-2</v>
      </c>
      <c r="X4772">
        <v>0.96310899999999999</v>
      </c>
      <c r="Y4772">
        <v>-0.46088079999999998</v>
      </c>
      <c r="Z4772">
        <v>0.13429530000000001</v>
      </c>
      <c r="AA4772">
        <v>0.87724210000000002</v>
      </c>
      <c r="AB4772">
        <v>11</v>
      </c>
      <c r="AC4772">
        <v>0.70730000000003201</v>
      </c>
      <c r="AD4772">
        <v>-0.124574699999999</v>
      </c>
      <c r="AE4772">
        <v>-0.40570000000002399</v>
      </c>
      <c r="AF4772">
        <v>-0.41437072175338302</v>
      </c>
      <c r="AG4772">
        <v>-0.124574699999999</v>
      </c>
      <c r="AH4772">
        <v>0.68057241035792204</v>
      </c>
      <c r="AI4772">
        <v>98.885959967536607</v>
      </c>
      <c r="AJ4772">
        <v>121.335403673134</v>
      </c>
      <c r="AK4772">
        <v>0.80647427526667104</v>
      </c>
      <c r="AL4772">
        <v>90.820988418798393</v>
      </c>
      <c r="AM4772">
        <v>105.590332528009</v>
      </c>
      <c r="AN4772">
        <v>0.999999951154529</v>
      </c>
    </row>
    <row r="4773" spans="1:40" x14ac:dyDescent="0.25">
      <c r="A4773" t="str">
        <f>"20190312150746584"</f>
        <v>20190312150746584</v>
      </c>
      <c r="B4773" t="str">
        <f>"1552374466575131"</f>
        <v>1552374466575131</v>
      </c>
      <c r="C4773" t="s">
        <v>40</v>
      </c>
      <c r="D4773">
        <v>4.3230029999999999</v>
      </c>
      <c r="E4773">
        <v>0.41862290000000002</v>
      </c>
      <c r="F4773" t="s">
        <v>41</v>
      </c>
      <c r="G4773">
        <v>-488.52539999999999</v>
      </c>
      <c r="H4773">
        <v>0.98441230000000002</v>
      </c>
      <c r="I4773">
        <v>223.5907</v>
      </c>
      <c r="J4773">
        <v>-489.24020000000002</v>
      </c>
      <c r="K4773">
        <v>1.111526</v>
      </c>
      <c r="L4773">
        <v>223.9967</v>
      </c>
      <c r="M4773">
        <v>0.48633419999999999</v>
      </c>
      <c r="N4773">
        <v>0</v>
      </c>
      <c r="O4773">
        <v>-0.87371929999999998</v>
      </c>
      <c r="P4773">
        <v>0.7030632</v>
      </c>
      <c r="Q4773">
        <v>-2.2564910000000001E-2</v>
      </c>
      <c r="R4773">
        <v>-0.71076969999999995</v>
      </c>
      <c r="S4773">
        <v>2.572937</v>
      </c>
      <c r="T4773">
        <v>-0.42252050000000002</v>
      </c>
      <c r="U4773">
        <v>-1.66658</v>
      </c>
      <c r="V4773">
        <v>-0.2685728</v>
      </c>
      <c r="W4773">
        <v>-1.417305E-2</v>
      </c>
      <c r="X4773">
        <v>0.96315510000000004</v>
      </c>
      <c r="Y4773">
        <v>-0.4603313</v>
      </c>
      <c r="Z4773">
        <v>0.1357555</v>
      </c>
      <c r="AA4773">
        <v>0.87730580000000002</v>
      </c>
      <c r="AB4773">
        <v>11</v>
      </c>
      <c r="AC4773">
        <v>0.71480000000002497</v>
      </c>
      <c r="AD4773">
        <v>-0.1271137</v>
      </c>
      <c r="AE4773">
        <v>-0.40600000000000502</v>
      </c>
      <c r="AF4773">
        <v>-0.41712923698797599</v>
      </c>
      <c r="AG4773">
        <v>-0.1271137</v>
      </c>
      <c r="AH4773">
        <v>0.68599241376478903</v>
      </c>
      <c r="AI4773">
        <v>98.996751899282899</v>
      </c>
      <c r="AJ4773">
        <v>121.30239716121</v>
      </c>
      <c r="AK4773">
        <v>0.81285932658775795</v>
      </c>
      <c r="AL4773">
        <v>90.812083149104694</v>
      </c>
      <c r="AM4773">
        <v>105.580962750691</v>
      </c>
      <c r="AN4773">
        <v>0.99999998545107605</v>
      </c>
    </row>
    <row r="4774" spans="1:40" x14ac:dyDescent="0.25">
      <c r="A4774" t="str">
        <f>"20190312150746607"</f>
        <v>20190312150746607</v>
      </c>
      <c r="B4774" t="str">
        <f>"1552374466594650"</f>
        <v>1552374466594650</v>
      </c>
      <c r="C4774" t="s">
        <v>40</v>
      </c>
      <c r="D4774">
        <v>4.196148</v>
      </c>
      <c r="E4774">
        <v>0.41870279999999999</v>
      </c>
      <c r="F4774" t="s">
        <v>41</v>
      </c>
      <c r="G4774">
        <v>-488.45580000000001</v>
      </c>
      <c r="H4774">
        <v>0.98284939999999998</v>
      </c>
      <c r="I4774">
        <v>223.49080000000001</v>
      </c>
      <c r="J4774">
        <v>-489.18189999999998</v>
      </c>
      <c r="K4774">
        <v>1.1115469999999901</v>
      </c>
      <c r="L4774">
        <v>223.9033</v>
      </c>
      <c r="M4774">
        <v>0.49047030000000003</v>
      </c>
      <c r="N4774">
        <v>0</v>
      </c>
      <c r="O4774">
        <v>-0.87140409999999902</v>
      </c>
      <c r="P4774">
        <v>0.70616210000000001</v>
      </c>
      <c r="Q4774">
        <v>-2.2407099999999999E-2</v>
      </c>
      <c r="R4774">
        <v>-0.70769579999999999</v>
      </c>
      <c r="S4774">
        <v>2.5744929999999999</v>
      </c>
      <c r="T4774">
        <v>-0.4223983</v>
      </c>
      <c r="U4774">
        <v>-1.660812</v>
      </c>
      <c r="V4774">
        <v>-0.26821329999999999</v>
      </c>
      <c r="W4774">
        <v>-1.401852E-2</v>
      </c>
      <c r="X4774">
        <v>0.96325760000000005</v>
      </c>
      <c r="Y4774">
        <v>-0.4577792</v>
      </c>
      <c r="Z4774">
        <v>0.135518</v>
      </c>
      <c r="AA4774">
        <v>0.87867689999999998</v>
      </c>
      <c r="AB4774">
        <v>11</v>
      </c>
      <c r="AC4774">
        <v>0.72609999999997399</v>
      </c>
      <c r="AD4774">
        <v>-0.128697599999999</v>
      </c>
      <c r="AE4774">
        <v>-0.41249999999999398</v>
      </c>
      <c r="AF4774">
        <v>-0.42044198853831899</v>
      </c>
      <c r="AG4774">
        <v>-0.128697599999999</v>
      </c>
      <c r="AH4774">
        <v>0.69901623790151002</v>
      </c>
      <c r="AI4774">
        <v>98.965779378773206</v>
      </c>
      <c r="AJ4774">
        <v>121.02592877939099</v>
      </c>
      <c r="AK4774">
        <v>0.82580762821724796</v>
      </c>
      <c r="AL4774">
        <v>90.803228301721006</v>
      </c>
      <c r="AM4774">
        <v>105.55954230808</v>
      </c>
      <c r="AN4774">
        <v>1.0000000485788101</v>
      </c>
    </row>
    <row r="4775" spans="1:40" x14ac:dyDescent="0.25">
      <c r="A4775" t="str">
        <f>"20190312150746628"</f>
        <v>20190312150746628</v>
      </c>
      <c r="B4775" t="str">
        <f>"1552374466624906"</f>
        <v>1552374466624906</v>
      </c>
      <c r="C4775" t="s">
        <v>40</v>
      </c>
      <c r="D4775">
        <v>4.3037720000000004</v>
      </c>
      <c r="E4775">
        <v>0.4193614</v>
      </c>
      <c r="F4775" t="s">
        <v>41</v>
      </c>
      <c r="G4775">
        <v>-488.40559999999999</v>
      </c>
      <c r="H4775">
        <v>0.98459459999999999</v>
      </c>
      <c r="I4775">
        <v>223.4068</v>
      </c>
      <c r="J4775">
        <v>-489.12520000000001</v>
      </c>
      <c r="K4775">
        <v>1.111569</v>
      </c>
      <c r="L4775">
        <v>223.81379999999999</v>
      </c>
      <c r="M4775">
        <v>0.49446109999999999</v>
      </c>
      <c r="N4775">
        <v>0</v>
      </c>
      <c r="O4775">
        <v>-0.86914550000000002</v>
      </c>
      <c r="P4775">
        <v>0.70924359999999997</v>
      </c>
      <c r="Q4775">
        <v>-2.232957E-2</v>
      </c>
      <c r="R4775">
        <v>-0.70461019999999996</v>
      </c>
      <c r="S4775">
        <v>2.5812680000000001</v>
      </c>
      <c r="T4775">
        <v>-0.42197040000000002</v>
      </c>
      <c r="U4775">
        <v>-1.6501159999999999</v>
      </c>
      <c r="V4775">
        <v>-0.26799770000000001</v>
      </c>
      <c r="W4775">
        <v>-1.394359E-2</v>
      </c>
      <c r="X4775">
        <v>0.96331860000000002</v>
      </c>
      <c r="Y4775">
        <v>-0.457376</v>
      </c>
      <c r="Z4775">
        <v>0.1351966</v>
      </c>
      <c r="AA4775">
        <v>0.87893639999999995</v>
      </c>
      <c r="AB4775">
        <v>11</v>
      </c>
      <c r="AC4775">
        <v>0.71960000000001401</v>
      </c>
      <c r="AD4775">
        <v>-0.12697439999999999</v>
      </c>
      <c r="AE4775">
        <v>-0.40699999999998199</v>
      </c>
      <c r="AF4775">
        <v>-0.41443529602565399</v>
      </c>
      <c r="AG4775">
        <v>-0.12697439999999999</v>
      </c>
      <c r="AH4775">
        <v>0.69323707138258595</v>
      </c>
      <c r="AI4775">
        <v>98.934362783213402</v>
      </c>
      <c r="AJ4775">
        <v>120.872088861774</v>
      </c>
      <c r="AK4775">
        <v>0.81759204373962402</v>
      </c>
      <c r="AL4775">
        <v>90.798934781881101</v>
      </c>
      <c r="AM4775">
        <v>105.546703289205</v>
      </c>
      <c r="AN4775">
        <v>0.99999995800666797</v>
      </c>
    </row>
    <row r="4776" spans="1:40" x14ac:dyDescent="0.25">
      <c r="A4776" t="str">
        <f>"20190312150746650"</f>
        <v>20190312150746650</v>
      </c>
      <c r="B4776" t="str">
        <f>"1552374466644932"</f>
        <v>1552374466644932</v>
      </c>
      <c r="C4776" t="s">
        <v>40</v>
      </c>
      <c r="D4776">
        <v>4.145861</v>
      </c>
      <c r="E4776">
        <v>0.4193923</v>
      </c>
      <c r="F4776" t="s">
        <v>41</v>
      </c>
      <c r="G4776">
        <v>-488.35419999999999</v>
      </c>
      <c r="H4776">
        <v>0.98496589999999995</v>
      </c>
      <c r="I4776">
        <v>223.3237</v>
      </c>
      <c r="J4776">
        <v>-489.06700000000001</v>
      </c>
      <c r="K4776">
        <v>1.1115889999999999</v>
      </c>
      <c r="L4776">
        <v>223.7226</v>
      </c>
      <c r="M4776">
        <v>0.49854150000000003</v>
      </c>
      <c r="N4776">
        <v>0</v>
      </c>
      <c r="O4776">
        <v>-0.86681149999999996</v>
      </c>
      <c r="P4776">
        <v>0.71247399999999905</v>
      </c>
      <c r="Q4776">
        <v>-2.2709759999999999E-2</v>
      </c>
      <c r="R4776">
        <v>-0.70133120000000004</v>
      </c>
      <c r="S4776">
        <v>2.5844420000000001</v>
      </c>
      <c r="T4776">
        <v>-0.42439349999999998</v>
      </c>
      <c r="U4776">
        <v>-1.6428069999999999</v>
      </c>
      <c r="V4776">
        <v>-0.26790029999999998</v>
      </c>
      <c r="W4776">
        <v>-1.4322349999999999E-2</v>
      </c>
      <c r="X4776">
        <v>0.96334019999999998</v>
      </c>
      <c r="Y4776">
        <v>-0.4553798</v>
      </c>
      <c r="Z4776">
        <v>0.1357524</v>
      </c>
      <c r="AA4776">
        <v>0.87988659999999996</v>
      </c>
      <c r="AB4776">
        <v>11</v>
      </c>
      <c r="AC4776">
        <v>0.71279999999995802</v>
      </c>
      <c r="AD4776">
        <v>-0.12662309999999999</v>
      </c>
      <c r="AE4776">
        <v>-0.39889999999999698</v>
      </c>
      <c r="AF4776">
        <v>-0.40918183900286897</v>
      </c>
      <c r="AG4776">
        <v>-0.12662309999999999</v>
      </c>
      <c r="AH4776">
        <v>0.68471043658035202</v>
      </c>
      <c r="AI4776">
        <v>99.0200743326469</v>
      </c>
      <c r="AJ4776">
        <v>120.862470338538</v>
      </c>
      <c r="AK4776">
        <v>0.80764569508258799</v>
      </c>
      <c r="AL4776">
        <v>90.820638248572294</v>
      </c>
      <c r="AM4776">
        <v>105.540994573267</v>
      </c>
      <c r="AN4776">
        <v>1.0000000206928199</v>
      </c>
    </row>
    <row r="4777" spans="1:40" x14ac:dyDescent="0.25">
      <c r="A4777" t="str">
        <f>"20190312150746674"</f>
        <v>20190312150746674</v>
      </c>
      <c r="B4777" t="str">
        <f>"1552374466664456"</f>
        <v>1552374466664456</v>
      </c>
      <c r="C4777" t="s">
        <v>40</v>
      </c>
      <c r="D4777">
        <v>4.1802380000000001</v>
      </c>
      <c r="E4777">
        <v>0.4197939</v>
      </c>
      <c r="F4777" t="s">
        <v>41</v>
      </c>
      <c r="G4777">
        <v>-488.29079999999999</v>
      </c>
      <c r="H4777">
        <v>0.98499110000000001</v>
      </c>
      <c r="I4777">
        <v>223.2337</v>
      </c>
      <c r="J4777">
        <v>-489.00529999999998</v>
      </c>
      <c r="K4777">
        <v>1.1116060000000001</v>
      </c>
      <c r="L4777">
        <v>223.62710000000001</v>
      </c>
      <c r="M4777">
        <v>0.50284309999999999</v>
      </c>
      <c r="N4777">
        <v>0</v>
      </c>
      <c r="O4777">
        <v>-0.86432299999999995</v>
      </c>
      <c r="P4777">
        <v>0.71613450000000001</v>
      </c>
      <c r="Q4777">
        <v>-2.2714040000000001E-2</v>
      </c>
      <c r="R4777">
        <v>-0.69759289999999996</v>
      </c>
      <c r="S4777">
        <v>2.591736</v>
      </c>
      <c r="T4777">
        <v>-0.42245939999999998</v>
      </c>
      <c r="U4777">
        <v>-1.630951</v>
      </c>
      <c r="V4777">
        <v>-0.2681538</v>
      </c>
      <c r="W4777">
        <v>-1.432281E-2</v>
      </c>
      <c r="X4777">
        <v>0.96326970000000001</v>
      </c>
      <c r="Y4777">
        <v>-0.45506039999999998</v>
      </c>
      <c r="Z4777">
        <v>0.13494210000000001</v>
      </c>
      <c r="AA4777">
        <v>0.88017649999999903</v>
      </c>
      <c r="AB4777">
        <v>11</v>
      </c>
      <c r="AC4777">
        <v>0.71449999999998604</v>
      </c>
      <c r="AD4777">
        <v>-0.126614899999999</v>
      </c>
      <c r="AE4777">
        <v>-0.39340000000001402</v>
      </c>
      <c r="AF4777">
        <v>-0.40988306265718599</v>
      </c>
      <c r="AG4777">
        <v>-0.126614899999999</v>
      </c>
      <c r="AH4777">
        <v>0.682883453084977</v>
      </c>
      <c r="AI4777">
        <v>99.032944351932201</v>
      </c>
      <c r="AJ4777">
        <v>120.97319408804699</v>
      </c>
      <c r="AK4777">
        <v>0.80645227289189703</v>
      </c>
      <c r="AL4777">
        <v>90.8206645757801</v>
      </c>
      <c r="AM4777">
        <v>105.55607182443499</v>
      </c>
      <c r="AN4777">
        <v>1.00000005913941</v>
      </c>
    </row>
    <row r="4778" spans="1:40" x14ac:dyDescent="0.25">
      <c r="A4778" t="str">
        <f>"20190312150746695"</f>
        <v>20190312150746695</v>
      </c>
      <c r="B4778" t="str">
        <f>"1552374466684952"</f>
        <v>1552374466684952</v>
      </c>
      <c r="C4778" t="s">
        <v>40</v>
      </c>
      <c r="D4778">
        <v>4.3144720000000003</v>
      </c>
      <c r="E4778">
        <v>0.42019509999999999</v>
      </c>
      <c r="F4778" t="s">
        <v>41</v>
      </c>
      <c r="G4778">
        <v>-488.22039999999998</v>
      </c>
      <c r="H4778">
        <v>0.98375069999999998</v>
      </c>
      <c r="I4778">
        <v>223.1379</v>
      </c>
      <c r="J4778">
        <v>-488.94600000000003</v>
      </c>
      <c r="K4778">
        <v>1.1116220000000001</v>
      </c>
      <c r="L4778">
        <v>223.53620000000001</v>
      </c>
      <c r="M4778">
        <v>0.50696339999999995</v>
      </c>
      <c r="N4778">
        <v>0</v>
      </c>
      <c r="O4778">
        <v>-0.86191229999999996</v>
      </c>
      <c r="P4778">
        <v>0.71958769999999905</v>
      </c>
      <c r="Q4778">
        <v>-2.2970279999999999E-2</v>
      </c>
      <c r="R4778">
        <v>-0.69402180000000002</v>
      </c>
      <c r="S4778">
        <v>2.5980530000000002</v>
      </c>
      <c r="T4778">
        <v>-0.42325649999999998</v>
      </c>
      <c r="U4778">
        <v>-1.619553</v>
      </c>
      <c r="V4778">
        <v>-0.26833800000000002</v>
      </c>
      <c r="W4778">
        <v>-1.457435E-2</v>
      </c>
      <c r="X4778">
        <v>0.96321460000000003</v>
      </c>
      <c r="Y4778">
        <v>-0.45454159999999999</v>
      </c>
      <c r="Z4778">
        <v>0.13501050000000001</v>
      </c>
      <c r="AA4778">
        <v>0.88043400000000005</v>
      </c>
      <c r="AB4778">
        <v>11</v>
      </c>
      <c r="AC4778">
        <v>0.72559999999998503</v>
      </c>
      <c r="AD4778">
        <v>-0.12787129999999899</v>
      </c>
      <c r="AE4778">
        <v>-0.39830000000000598</v>
      </c>
      <c r="AF4778">
        <v>-0.41362882275665602</v>
      </c>
      <c r="AG4778">
        <v>-0.12787129999999899</v>
      </c>
      <c r="AH4778">
        <v>0.69460910558938105</v>
      </c>
      <c r="AI4778">
        <v>98.988068873873999</v>
      </c>
      <c r="AJ4778">
        <v>120.77313476968899</v>
      </c>
      <c r="AK4778">
        <v>0.81848743542367697</v>
      </c>
      <c r="AL4778">
        <v>90.835078284446695</v>
      </c>
      <c r="AM4778">
        <v>105.56708691940101</v>
      </c>
      <c r="AN4778">
        <v>1.00000002978754</v>
      </c>
    </row>
    <row r="4779" spans="1:40" x14ac:dyDescent="0.25">
      <c r="A4779" t="str">
        <f>"20190312150746718"</f>
        <v>20190312150746718</v>
      </c>
      <c r="B4779" t="str">
        <f>"1552374466714228"</f>
        <v>1552374466714228</v>
      </c>
      <c r="C4779" t="s">
        <v>40</v>
      </c>
      <c r="D4779">
        <v>4.2103549999999998</v>
      </c>
      <c r="E4779">
        <v>0.42064439999999997</v>
      </c>
      <c r="F4779" t="s">
        <v>41</v>
      </c>
      <c r="G4779">
        <v>-488.15230000000003</v>
      </c>
      <c r="H4779">
        <v>0.98245459999999996</v>
      </c>
      <c r="I4779">
        <v>223.0455</v>
      </c>
      <c r="J4779">
        <v>-488.88639999999998</v>
      </c>
      <c r="K4779">
        <v>1.111642</v>
      </c>
      <c r="L4779">
        <v>223.446</v>
      </c>
      <c r="M4779">
        <v>0.51107860000000005</v>
      </c>
      <c r="N4779">
        <v>0</v>
      </c>
      <c r="O4779">
        <v>-0.85947870000000004</v>
      </c>
      <c r="P4779">
        <v>0.72270959999999995</v>
      </c>
      <c r="Q4779">
        <v>-2.3142800000000002E-2</v>
      </c>
      <c r="R4779">
        <v>-0.69076459999999995</v>
      </c>
      <c r="S4779">
        <v>2.6038209999999999</v>
      </c>
      <c r="T4779">
        <v>-0.4236528</v>
      </c>
      <c r="U4779">
        <v>-1.6089169999999999</v>
      </c>
      <c r="V4779">
        <v>-0.26807779999999998</v>
      </c>
      <c r="W4779">
        <v>-1.474136E-2</v>
      </c>
      <c r="X4779">
        <v>0.96328449999999999</v>
      </c>
      <c r="Y4779">
        <v>-0.45376559999999999</v>
      </c>
      <c r="Z4779">
        <v>0.13493829999999901</v>
      </c>
      <c r="AA4779">
        <v>0.88084530000000005</v>
      </c>
      <c r="AB4779">
        <v>11</v>
      </c>
      <c r="AC4779">
        <v>0.73409999999995501</v>
      </c>
      <c r="AD4779">
        <v>-0.12918739999999901</v>
      </c>
      <c r="AE4779">
        <v>-0.40049999999999297</v>
      </c>
      <c r="AF4779">
        <v>-0.41634031973209701</v>
      </c>
      <c r="AG4779">
        <v>-0.12918739999999901</v>
      </c>
      <c r="AH4779">
        <v>0.702668501064453</v>
      </c>
      <c r="AI4779">
        <v>98.988142810907803</v>
      </c>
      <c r="AJ4779">
        <v>120.647298663963</v>
      </c>
      <c r="AK4779">
        <v>0.82690487272814495</v>
      </c>
      <c r="AL4779">
        <v>90.844648287651097</v>
      </c>
      <c r="AM4779">
        <v>105.551648964253</v>
      </c>
      <c r="AN4779">
        <v>1.00000002124386</v>
      </c>
    </row>
    <row r="4780" spans="1:40" x14ac:dyDescent="0.25">
      <c r="A4780" t="str">
        <f>"20190312150746741"</f>
        <v>20190312150746741</v>
      </c>
      <c r="B4780" t="str">
        <f>"1552374466734724"</f>
        <v>1552374466734724</v>
      </c>
      <c r="C4780" t="s">
        <v>40</v>
      </c>
      <c r="D4780">
        <v>4.2491700000000003</v>
      </c>
      <c r="E4780">
        <v>0.42092259999999998</v>
      </c>
      <c r="F4780" t="s">
        <v>41</v>
      </c>
      <c r="G4780">
        <v>-488.0847</v>
      </c>
      <c r="H4780">
        <v>0.98162629999999995</v>
      </c>
      <c r="I4780">
        <v>222.9546</v>
      </c>
      <c r="J4780">
        <v>-488.82319999999999</v>
      </c>
      <c r="K4780">
        <v>1.111667</v>
      </c>
      <c r="L4780">
        <v>223.35140000000001</v>
      </c>
      <c r="M4780">
        <v>0.51542549999999998</v>
      </c>
      <c r="N4780">
        <v>0</v>
      </c>
      <c r="O4780">
        <v>-0.85687860000000005</v>
      </c>
      <c r="P4780">
        <v>0.72607549999999998</v>
      </c>
      <c r="Q4780">
        <v>-2.2545989999999998E-2</v>
      </c>
      <c r="R4780">
        <v>-0.68724549999999995</v>
      </c>
      <c r="S4780">
        <v>2.6086429999999998</v>
      </c>
      <c r="T4780">
        <v>-0.42311500000000002</v>
      </c>
      <c r="U4780">
        <v>-1.599564</v>
      </c>
      <c r="V4780">
        <v>-0.26789540000000001</v>
      </c>
      <c r="W4780">
        <v>-1.4139489999999999E-2</v>
      </c>
      <c r="X4780">
        <v>0.96334419999999998</v>
      </c>
      <c r="Y4780">
        <v>-0.45232280000000002</v>
      </c>
      <c r="Z4780">
        <v>0.13453300000000001</v>
      </c>
      <c r="AA4780">
        <v>0.88164900000000002</v>
      </c>
      <c r="AB4780">
        <v>11</v>
      </c>
      <c r="AC4780">
        <v>0.73849999999998694</v>
      </c>
      <c r="AD4780">
        <v>-0.13004069999999901</v>
      </c>
      <c r="AE4780">
        <v>-0.39680000000001298</v>
      </c>
      <c r="AF4780">
        <v>-0.41824134029195598</v>
      </c>
      <c r="AG4780">
        <v>-0.13004069999999901</v>
      </c>
      <c r="AH4780">
        <v>0.70375288761351196</v>
      </c>
      <c r="AI4780">
        <v>99.0258529422983</v>
      </c>
      <c r="AJ4780">
        <v>120.72307594589201</v>
      </c>
      <c r="AK4780">
        <v>0.82891768542483002</v>
      </c>
      <c r="AL4780">
        <v>90.810160131371205</v>
      </c>
      <c r="AM4780">
        <v>105.540662650706</v>
      </c>
      <c r="AN4780">
        <v>0.99999995909612904</v>
      </c>
    </row>
    <row r="4781" spans="1:40" x14ac:dyDescent="0.25">
      <c r="A4781" t="str">
        <f>"20190312150746763"</f>
        <v>20190312150746763</v>
      </c>
      <c r="B4781" t="str">
        <f>"1552374466754752"</f>
        <v>1552374466754752</v>
      </c>
      <c r="C4781" t="s">
        <v>40</v>
      </c>
      <c r="D4781">
        <v>4.1793839999999998</v>
      </c>
      <c r="E4781">
        <v>0.42079640000000001</v>
      </c>
      <c r="F4781" t="s">
        <v>41</v>
      </c>
      <c r="G4781">
        <v>-488.01010000000002</v>
      </c>
      <c r="H4781">
        <v>0.98041529999999999</v>
      </c>
      <c r="I4781">
        <v>222.8571</v>
      </c>
      <c r="J4781">
        <v>-488.75940000000003</v>
      </c>
      <c r="K4781">
        <v>1.1116919999999999</v>
      </c>
      <c r="L4781">
        <v>223.2568</v>
      </c>
      <c r="M4781">
        <v>0.5198026</v>
      </c>
      <c r="N4781">
        <v>0</v>
      </c>
      <c r="O4781">
        <v>-0.85422999999999905</v>
      </c>
      <c r="P4781">
        <v>0.72960059999999904</v>
      </c>
      <c r="Q4781">
        <v>-2.2377370000000001E-2</v>
      </c>
      <c r="R4781">
        <v>-0.68350730000000004</v>
      </c>
      <c r="S4781">
        <v>2.6148380000000002</v>
      </c>
      <c r="T4781">
        <v>-0.42188439999999999</v>
      </c>
      <c r="U4781">
        <v>-1.588776</v>
      </c>
      <c r="V4781">
        <v>-0.26791859999999901</v>
      </c>
      <c r="W4781">
        <v>-1.3964270000000001E-2</v>
      </c>
      <c r="X4781">
        <v>0.96334030000000004</v>
      </c>
      <c r="Y4781">
        <v>-0.45142359999999998</v>
      </c>
      <c r="Z4781">
        <v>0.1339081</v>
      </c>
      <c r="AA4781">
        <v>0.88220480000000001</v>
      </c>
      <c r="AB4781">
        <v>11</v>
      </c>
      <c r="AC4781">
        <v>0.74930000000000496</v>
      </c>
      <c r="AD4781">
        <v>-0.131276699999999</v>
      </c>
      <c r="AE4781">
        <v>-0.399699999999995</v>
      </c>
      <c r="AF4781">
        <v>-0.42224068612483001</v>
      </c>
      <c r="AG4781">
        <v>-0.131276699999999</v>
      </c>
      <c r="AH4781">
        <v>0.713900152336709</v>
      </c>
      <c r="AI4781">
        <v>98.993879834661001</v>
      </c>
      <c r="AJ4781">
        <v>120.602456442319</v>
      </c>
      <c r="AK4781">
        <v>0.83974650727968703</v>
      </c>
      <c r="AL4781">
        <v>90.800119776162106</v>
      </c>
      <c r="AM4781">
        <v>105.542003314647</v>
      </c>
      <c r="AN4781">
        <v>0.99999995533333996</v>
      </c>
    </row>
    <row r="4782" spans="1:40" x14ac:dyDescent="0.25">
      <c r="A4782" t="str">
        <f>"20190312150746785"</f>
        <v>20190312150746785</v>
      </c>
      <c r="B4782" t="str">
        <f>"1552374466774275"</f>
        <v>1552374466774275</v>
      </c>
      <c r="C4782" t="s">
        <v>40</v>
      </c>
      <c r="D4782">
        <v>4.2564129999999896</v>
      </c>
      <c r="E4782">
        <v>0.41443000000000002</v>
      </c>
      <c r="F4782" t="s">
        <v>61</v>
      </c>
      <c r="G4782">
        <v>-481.81020000000001</v>
      </c>
      <c r="H4782" s="1">
        <v>2.0665929999999998E-6</v>
      </c>
      <c r="I4782">
        <v>219.08690000000001</v>
      </c>
      <c r="J4782">
        <v>-488.69659999999999</v>
      </c>
      <c r="K4782">
        <v>1.111718</v>
      </c>
      <c r="L4782">
        <v>223.16499999999999</v>
      </c>
      <c r="M4782">
        <v>0.52408840000000001</v>
      </c>
      <c r="N4782">
        <v>0</v>
      </c>
      <c r="O4782">
        <v>-0.85160709999999995</v>
      </c>
      <c r="P4782">
        <v>0.73272789999999999</v>
      </c>
      <c r="Q4782">
        <v>-2.2320340000000001E-2</v>
      </c>
      <c r="R4782">
        <v>-0.68015579999999998</v>
      </c>
      <c r="S4782">
        <v>2.6239319999999999</v>
      </c>
      <c r="T4782">
        <v>-0.41976180000000002</v>
      </c>
      <c r="U4782">
        <v>-1.574524</v>
      </c>
      <c r="V4782">
        <v>-0.26749440000000002</v>
      </c>
      <c r="W4782">
        <v>-1.3895070000000001E-2</v>
      </c>
      <c r="X4782">
        <v>0.96345919999999896</v>
      </c>
      <c r="Y4782">
        <v>-0.45192749999999998</v>
      </c>
      <c r="Z4782">
        <v>0.1330334</v>
      </c>
      <c r="AA4782">
        <v>0.88207909999999901</v>
      </c>
      <c r="AB4782">
        <v>11</v>
      </c>
      <c r="AC4782">
        <v>6.8863999999999796</v>
      </c>
      <c r="AD4782">
        <v>-1.1117159334069999</v>
      </c>
      <c r="AE4782">
        <v>-4.0780999999999699</v>
      </c>
      <c r="AF4782">
        <v>-3.6568435433732001</v>
      </c>
      <c r="AG4782">
        <v>-1.1117159334069999</v>
      </c>
      <c r="AH4782">
        <v>6.9482961223112003</v>
      </c>
      <c r="AI4782">
        <v>98.058757577108196</v>
      </c>
      <c r="AJ4782">
        <v>117.75754348404</v>
      </c>
      <c r="AK4782">
        <v>7.9301472887094704</v>
      </c>
      <c r="AL4782">
        <v>90.796154504851103</v>
      </c>
      <c r="AM4782">
        <v>105.516759366526</v>
      </c>
      <c r="AN4782">
        <v>0.99999997853315203</v>
      </c>
    </row>
    <row r="4783" spans="1:40" x14ac:dyDescent="0.25">
      <c r="A4783" t="str">
        <f>"20190312150746808"</f>
        <v>20190312150746808</v>
      </c>
      <c r="B4783" t="str">
        <f>"1552374466804527"</f>
        <v>1552374466804527</v>
      </c>
      <c r="C4783" t="s">
        <v>40</v>
      </c>
      <c r="D4783">
        <v>4.2541529999999996</v>
      </c>
      <c r="E4783">
        <v>0.41511189999999998</v>
      </c>
      <c r="F4783" t="s">
        <v>41</v>
      </c>
      <c r="G4783">
        <v>-487.88639999999998</v>
      </c>
      <c r="H4783">
        <v>1.025299</v>
      </c>
      <c r="I4783">
        <v>222.69980000000001</v>
      </c>
      <c r="J4783">
        <v>-488.63170000000002</v>
      </c>
      <c r="K4783">
        <v>1.1117379999999999</v>
      </c>
      <c r="L4783">
        <v>223.0712</v>
      </c>
      <c r="M4783">
        <v>0.52850030000000003</v>
      </c>
      <c r="N4783">
        <v>0</v>
      </c>
      <c r="O4783">
        <v>-0.84887590000000002</v>
      </c>
      <c r="P4783">
        <v>0.73585639999999997</v>
      </c>
      <c r="Q4783">
        <v>-2.2187749999999999E-2</v>
      </c>
      <c r="R4783">
        <v>-0.6767746</v>
      </c>
      <c r="S4783">
        <v>2.6647639999999999</v>
      </c>
      <c r="T4783">
        <v>-0.28432819999999998</v>
      </c>
      <c r="U4783">
        <v>-1.53067</v>
      </c>
      <c r="V4783">
        <v>-0.26693489999999997</v>
      </c>
      <c r="W4783">
        <v>-1.3749290000000001E-2</v>
      </c>
      <c r="X4783">
        <v>0.96361649999999999</v>
      </c>
      <c r="Y4783">
        <v>-0.4688273</v>
      </c>
      <c r="Z4783">
        <v>9.0421420000000002E-2</v>
      </c>
      <c r="AA4783">
        <v>0.87864949999999997</v>
      </c>
      <c r="AB4783">
        <v>11</v>
      </c>
      <c r="AC4783">
        <v>0.74530000000004204</v>
      </c>
      <c r="AD4783">
        <v>-8.6438999999999905E-2</v>
      </c>
      <c r="AE4783">
        <v>-0.37139999999999401</v>
      </c>
      <c r="AF4783">
        <v>-0.43175114557361999</v>
      </c>
      <c r="AG4783">
        <v>-8.6438999999999905E-2</v>
      </c>
      <c r="AH4783">
        <v>0.70163787123982002</v>
      </c>
      <c r="AI4783">
        <v>95.989709925735795</v>
      </c>
      <c r="AJ4783">
        <v>121.605961892588</v>
      </c>
      <c r="AK4783">
        <v>0.82835768529245801</v>
      </c>
      <c r="AL4783">
        <v>90.787801094114897</v>
      </c>
      <c r="AM4783">
        <v>105.483456574244</v>
      </c>
      <c r="AN4783">
        <v>1.0000000214428799</v>
      </c>
    </row>
    <row r="4784" spans="1:40" x14ac:dyDescent="0.25">
      <c r="A4784" t="str">
        <f>"20190312150746831"</f>
        <v>20190312150746831</v>
      </c>
      <c r="B4784" t="str">
        <f>"1552374466825024"</f>
        <v>1552374466825024</v>
      </c>
      <c r="C4784" t="s">
        <v>40</v>
      </c>
      <c r="D4784">
        <v>4.2820580000000001</v>
      </c>
      <c r="E4784">
        <v>0.41581659999999998</v>
      </c>
      <c r="F4784" t="s">
        <v>41</v>
      </c>
      <c r="G4784">
        <v>-487.83280000000002</v>
      </c>
      <c r="H4784">
        <v>1.027196</v>
      </c>
      <c r="I4784">
        <v>222.61500000000001</v>
      </c>
      <c r="J4784">
        <v>-488.56529999999998</v>
      </c>
      <c r="K4784">
        <v>1.111756</v>
      </c>
      <c r="L4784">
        <v>222.97640000000001</v>
      </c>
      <c r="M4784">
        <v>0.53298519999999905</v>
      </c>
      <c r="N4784">
        <v>0</v>
      </c>
      <c r="O4784">
        <v>-0.84606680000000001</v>
      </c>
      <c r="P4784">
        <v>0.73906149999999904</v>
      </c>
      <c r="Q4784">
        <v>-2.1717509999999999E-2</v>
      </c>
      <c r="R4784">
        <v>-0.673288</v>
      </c>
      <c r="S4784">
        <v>2.6680299999999999</v>
      </c>
      <c r="T4784">
        <v>-0.28227529999999901</v>
      </c>
      <c r="U4784">
        <v>-1.522583</v>
      </c>
      <c r="V4784">
        <v>-0.26640449999999999</v>
      </c>
      <c r="W4784">
        <v>-1.3266170000000001E-2</v>
      </c>
      <c r="X4784">
        <v>0.96377000000000002</v>
      </c>
      <c r="Y4784">
        <v>-0.46669549999999999</v>
      </c>
      <c r="Z4784">
        <v>8.9590569999999994E-2</v>
      </c>
      <c r="AA4784">
        <v>0.8798686</v>
      </c>
      <c r="AB4784">
        <v>11</v>
      </c>
      <c r="AC4784">
        <v>0.73249999999995896</v>
      </c>
      <c r="AD4784">
        <v>-8.4559999999999899E-2</v>
      </c>
      <c r="AE4784">
        <v>-0.361400000000003</v>
      </c>
      <c r="AF4784">
        <v>-0.42261455943084703</v>
      </c>
      <c r="AG4784">
        <v>-8.4559999999999899E-2</v>
      </c>
      <c r="AH4784">
        <v>0.68883163354255705</v>
      </c>
      <c r="AI4784">
        <v>95.973417981340404</v>
      </c>
      <c r="AJ4784">
        <v>121.53010392746999</v>
      </c>
      <c r="AK4784">
        <v>0.812553062151535</v>
      </c>
      <c r="AL4784">
        <v>90.760117862622806</v>
      </c>
      <c r="AM4784">
        <v>105.451819133529</v>
      </c>
      <c r="AN4784">
        <v>0.99999998089335895</v>
      </c>
    </row>
    <row r="4785" spans="1:40" x14ac:dyDescent="0.25">
      <c r="A4785" t="str">
        <f>"20190312150746853"</f>
        <v>20190312150746853</v>
      </c>
      <c r="B4785" t="str">
        <f>"1552374466844544"</f>
        <v>1552374466844544</v>
      </c>
      <c r="C4785" t="s">
        <v>40</v>
      </c>
      <c r="D4785">
        <v>4.288125</v>
      </c>
      <c r="E4785">
        <v>0.41614400000000001</v>
      </c>
      <c r="F4785" t="s">
        <v>41</v>
      </c>
      <c r="G4785">
        <v>-487.77760000000001</v>
      </c>
      <c r="H4785">
        <v>1.0281439999999999</v>
      </c>
      <c r="I4785">
        <v>222.5299</v>
      </c>
      <c r="J4785">
        <v>-488.5018</v>
      </c>
      <c r="K4785">
        <v>1.111769</v>
      </c>
      <c r="L4785">
        <v>222.88669999999999</v>
      </c>
      <c r="M4785">
        <v>0.53725559999999895</v>
      </c>
      <c r="N4785">
        <v>0</v>
      </c>
      <c r="O4785">
        <v>-0.84336119999999903</v>
      </c>
      <c r="P4785">
        <v>0.74231380000000002</v>
      </c>
      <c r="Q4785">
        <v>-2.1732379999999999E-2</v>
      </c>
      <c r="R4785">
        <v>-0.66969979999999996</v>
      </c>
      <c r="S4785">
        <v>2.6716000000000002</v>
      </c>
      <c r="T4785">
        <v>-0.2835414</v>
      </c>
      <c r="U4785">
        <v>-1.513992</v>
      </c>
      <c r="V4785">
        <v>-0.26619949999999998</v>
      </c>
      <c r="W4785">
        <v>-1.327122E-2</v>
      </c>
      <c r="X4785">
        <v>0.96382659999999998</v>
      </c>
      <c r="Y4785">
        <v>-0.4648466</v>
      </c>
      <c r="Z4785">
        <v>8.9817540000000001E-2</v>
      </c>
      <c r="AA4785">
        <v>0.88082369999999899</v>
      </c>
      <c r="AB4785">
        <v>11</v>
      </c>
      <c r="AC4785">
        <v>0.72419999999999596</v>
      </c>
      <c r="AD4785">
        <v>-8.3625000000000005E-2</v>
      </c>
      <c r="AE4785">
        <v>-0.35679999999999201</v>
      </c>
      <c r="AF4785">
        <v>-0.414641120334313</v>
      </c>
      <c r="AG4785">
        <v>-8.3625000000000005E-2</v>
      </c>
      <c r="AH4785">
        <v>0.682700710217641</v>
      </c>
      <c r="AI4785">
        <v>95.976770744576598</v>
      </c>
      <c r="AJ4785">
        <v>121.27257705447499</v>
      </c>
      <c r="AK4785">
        <v>0.80311933050373396</v>
      </c>
      <c r="AL4785">
        <v>90.760407211955794</v>
      </c>
      <c r="AM4785">
        <v>105.439632963254</v>
      </c>
      <c r="AN4785">
        <v>1.00000000697404</v>
      </c>
    </row>
    <row r="4786" spans="1:40" x14ac:dyDescent="0.25">
      <c r="A4786" t="str">
        <f>"20190312150746875"</f>
        <v>20190312150746875</v>
      </c>
      <c r="B4786" t="str">
        <f>"1552374466865043"</f>
        <v>1552374466865043</v>
      </c>
      <c r="C4786" t="s">
        <v>40</v>
      </c>
      <c r="D4786">
        <v>4.3435600000000001</v>
      </c>
      <c r="E4786">
        <v>0.4165585</v>
      </c>
      <c r="F4786" t="s">
        <v>41</v>
      </c>
      <c r="G4786">
        <v>-487.7124</v>
      </c>
      <c r="H4786">
        <v>1.02773799999999</v>
      </c>
      <c r="I4786">
        <v>222.44329999999999</v>
      </c>
      <c r="J4786">
        <v>-488.43529999999998</v>
      </c>
      <c r="K4786">
        <v>1.1117919999999999</v>
      </c>
      <c r="L4786">
        <v>222.79390000000001</v>
      </c>
      <c r="M4786">
        <v>0.54170099999999999</v>
      </c>
      <c r="N4786">
        <v>0</v>
      </c>
      <c r="O4786">
        <v>-0.8405127</v>
      </c>
      <c r="P4786">
        <v>0.74543930000000003</v>
      </c>
      <c r="Q4786">
        <v>-2.1793010000000002E-2</v>
      </c>
      <c r="R4786">
        <v>-0.6662169</v>
      </c>
      <c r="S4786">
        <v>2.6772459999999998</v>
      </c>
      <c r="T4786">
        <v>-0.28490779999999999</v>
      </c>
      <c r="U4786">
        <v>-1.5029300000000001</v>
      </c>
      <c r="V4786">
        <v>-0.2656212</v>
      </c>
      <c r="W4786">
        <v>-1.3320179999999999E-2</v>
      </c>
      <c r="X4786">
        <v>0.96398539999999999</v>
      </c>
      <c r="Y4786">
        <v>-0.4637076</v>
      </c>
      <c r="Z4786">
        <v>9.0067460000000002E-2</v>
      </c>
      <c r="AA4786">
        <v>0.88139840000000003</v>
      </c>
      <c r="AB4786">
        <v>11</v>
      </c>
      <c r="AC4786">
        <v>0.722899999999981</v>
      </c>
      <c r="AD4786">
        <v>-8.4054000000000295E-2</v>
      </c>
      <c r="AE4786">
        <v>-0.35060000000001401</v>
      </c>
      <c r="AF4786">
        <v>-0.41318449724628697</v>
      </c>
      <c r="AG4786">
        <v>-8.4054000000000295E-2</v>
      </c>
      <c r="AH4786">
        <v>0.678882783896544</v>
      </c>
      <c r="AI4786">
        <v>96.037363169980793</v>
      </c>
      <c r="AJ4786">
        <v>121.325706001581</v>
      </c>
      <c r="AK4786">
        <v>0.79916727782848396</v>
      </c>
      <c r="AL4786">
        <v>90.763212704575906</v>
      </c>
      <c r="AM4786">
        <v>105.40526927585699</v>
      </c>
      <c r="AN4786">
        <v>0.99999995024891397</v>
      </c>
    </row>
    <row r="4787" spans="1:40" x14ac:dyDescent="0.25">
      <c r="A4787" t="str">
        <f>"20190312150746897"</f>
        <v>20190312150746897</v>
      </c>
      <c r="B4787" t="str">
        <f>"1552374466894319"</f>
        <v>1552374466894319</v>
      </c>
      <c r="C4787" t="s">
        <v>40</v>
      </c>
      <c r="D4787">
        <v>4.3827360000000004</v>
      </c>
      <c r="E4787">
        <v>0.42305290000000001</v>
      </c>
      <c r="F4787" t="s">
        <v>41</v>
      </c>
      <c r="G4787">
        <v>-487.63589999999999</v>
      </c>
      <c r="H4787">
        <v>1.0258050000000001</v>
      </c>
      <c r="I4787">
        <v>222.3492</v>
      </c>
      <c r="J4787">
        <v>-488.37079999999997</v>
      </c>
      <c r="K4787">
        <v>1.1118140000000001</v>
      </c>
      <c r="L4787">
        <v>222.70490000000001</v>
      </c>
      <c r="M4787">
        <v>0.54598809999999998</v>
      </c>
      <c r="N4787">
        <v>0</v>
      </c>
      <c r="O4787">
        <v>-0.83773390000000003</v>
      </c>
      <c r="P4787">
        <v>0.74827860000000002</v>
      </c>
      <c r="Q4787">
        <v>-2.1659149999999999E-2</v>
      </c>
      <c r="R4787">
        <v>-0.66303080000000003</v>
      </c>
      <c r="S4787">
        <v>2.6822509999999999</v>
      </c>
      <c r="T4787">
        <v>-0.28853240000000002</v>
      </c>
      <c r="U4787">
        <v>-1.492416</v>
      </c>
      <c r="V4787">
        <v>-0.264812099999999</v>
      </c>
      <c r="W4787">
        <v>-1.317485E-2</v>
      </c>
      <c r="X4787">
        <v>0.96421000000000001</v>
      </c>
      <c r="Y4787">
        <v>-0.46242719999999998</v>
      </c>
      <c r="Z4787">
        <v>9.1028499999999998E-2</v>
      </c>
      <c r="AA4787">
        <v>0.88197219999999998</v>
      </c>
      <c r="AB4787">
        <v>12</v>
      </c>
      <c r="AC4787">
        <v>0.73489999999998101</v>
      </c>
      <c r="AD4787">
        <v>-8.6009000000000002E-2</v>
      </c>
      <c r="AE4787">
        <v>-0.35570000000001201</v>
      </c>
      <c r="AF4787">
        <v>-0.41683769494759698</v>
      </c>
      <c r="AG4787">
        <v>-8.6009000000000002E-2</v>
      </c>
      <c r="AH4787">
        <v>0.69158833626073701</v>
      </c>
      <c r="AI4787">
        <v>96.079842999556405</v>
      </c>
      <c r="AJ4787">
        <v>121.07842772115001</v>
      </c>
      <c r="AK4787">
        <v>0.81206258309450596</v>
      </c>
      <c r="AL4787">
        <v>90.754885159421306</v>
      </c>
      <c r="AM4787">
        <v>105.357154190968</v>
      </c>
      <c r="AN4787">
        <v>0.99999997453946599</v>
      </c>
    </row>
    <row r="4788" spans="1:40" x14ac:dyDescent="0.25">
      <c r="A4788" t="str">
        <f>"20190312150746918"</f>
        <v>20190312150746918</v>
      </c>
      <c r="B4788" t="str">
        <f>"1552374466914816"</f>
        <v>1552374466914816</v>
      </c>
      <c r="C4788" t="s">
        <v>40</v>
      </c>
      <c r="D4788">
        <v>4.4050760000000002</v>
      </c>
      <c r="E4788">
        <v>0.4227399</v>
      </c>
      <c r="F4788" t="s">
        <v>61</v>
      </c>
      <c r="G4788">
        <v>-479.10500000000002</v>
      </c>
      <c r="H4788" s="1">
        <v>2.0426569999999998E-6</v>
      </c>
      <c r="I4788">
        <v>217.405</v>
      </c>
      <c r="J4788">
        <v>-488.30680000000001</v>
      </c>
      <c r="K4788">
        <v>1.111829</v>
      </c>
      <c r="L4788">
        <v>222.6174</v>
      </c>
      <c r="M4788">
        <v>0.55022499999999996</v>
      </c>
      <c r="N4788">
        <v>0</v>
      </c>
      <c r="O4788">
        <v>-0.83495710000000001</v>
      </c>
      <c r="P4788">
        <v>0.75132089999999996</v>
      </c>
      <c r="Q4788">
        <v>-2.1099980000000001E-2</v>
      </c>
      <c r="R4788">
        <v>-0.65959999999999996</v>
      </c>
      <c r="S4788">
        <v>2.6545719999999999</v>
      </c>
      <c r="T4788">
        <v>-0.31852219999999998</v>
      </c>
      <c r="U4788">
        <v>-1.5183869999999999</v>
      </c>
      <c r="V4788">
        <v>-0.2643547</v>
      </c>
      <c r="W4788">
        <v>-1.260851E-2</v>
      </c>
      <c r="X4788">
        <v>0.96434310000000001</v>
      </c>
      <c r="Y4788">
        <v>-0.44656069999999998</v>
      </c>
      <c r="Z4788">
        <v>0.1000675</v>
      </c>
      <c r="AA4788">
        <v>0.88914009999999999</v>
      </c>
      <c r="AB4788">
        <v>12</v>
      </c>
      <c r="AC4788">
        <v>9.2017999999999898</v>
      </c>
      <c r="AD4788">
        <v>-1.111826957343</v>
      </c>
      <c r="AE4788">
        <v>-5.2123999999999997</v>
      </c>
      <c r="AF4788">
        <v>-4.7627131758999601</v>
      </c>
      <c r="AG4788">
        <v>-1.111826957343</v>
      </c>
      <c r="AH4788">
        <v>9.31272649293056</v>
      </c>
      <c r="AI4788">
        <v>96.067405903391901</v>
      </c>
      <c r="AJ4788">
        <v>117.086103925326</v>
      </c>
      <c r="AK4788">
        <v>10.518862614897801</v>
      </c>
      <c r="AL4788">
        <v>90.722433552513294</v>
      </c>
      <c r="AM4788">
        <v>105.329861038044</v>
      </c>
      <c r="AN4788">
        <v>0.99999999822705998</v>
      </c>
    </row>
    <row r="4789" spans="1:40" x14ac:dyDescent="0.25">
      <c r="A4789" t="str">
        <f>"20190312150746942"</f>
        <v>20190312150746942</v>
      </c>
      <c r="B4789" t="str">
        <f>"1552374466934336"</f>
        <v>1552374466934336</v>
      </c>
      <c r="C4789" t="s">
        <v>40</v>
      </c>
      <c r="D4789">
        <v>4.404757</v>
      </c>
      <c r="E4789">
        <v>0.42314689999999999</v>
      </c>
      <c r="F4789" t="s">
        <v>61</v>
      </c>
      <c r="G4789">
        <v>-479.05619999999999</v>
      </c>
      <c r="H4789" s="1">
        <v>2.063754E-6</v>
      </c>
      <c r="I4789">
        <v>217.39320000000001</v>
      </c>
      <c r="J4789">
        <v>-488.2353</v>
      </c>
      <c r="K4789">
        <v>1.1118440000000001</v>
      </c>
      <c r="L4789">
        <v>222.52109999999999</v>
      </c>
      <c r="M4789">
        <v>0.55491639999999998</v>
      </c>
      <c r="N4789">
        <v>0</v>
      </c>
      <c r="O4789">
        <v>-0.83184639999999999</v>
      </c>
      <c r="P4789">
        <v>0.75479479999999999</v>
      </c>
      <c r="Q4789">
        <v>-2.107531E-2</v>
      </c>
      <c r="R4789">
        <v>-0.65562240000000005</v>
      </c>
      <c r="S4789">
        <v>2.6634519999999999</v>
      </c>
      <c r="T4789">
        <v>-0.32012119999999999</v>
      </c>
      <c r="U4789">
        <v>-1.5041960000000001</v>
      </c>
      <c r="V4789">
        <v>-0.26401999999999998</v>
      </c>
      <c r="W4789">
        <v>-1.2579089999999999E-2</v>
      </c>
      <c r="X4789">
        <v>0.96443520000000005</v>
      </c>
      <c r="Y4789">
        <v>-0.44635750000000002</v>
      </c>
      <c r="Z4789">
        <v>0.1003285</v>
      </c>
      <c r="AA4789">
        <v>0.88921269999999997</v>
      </c>
      <c r="AB4789">
        <v>12</v>
      </c>
      <c r="AC4789">
        <v>9.1791</v>
      </c>
      <c r="AD4789">
        <v>-1.1118419362459999</v>
      </c>
      <c r="AE4789">
        <v>-5.1278999999999799</v>
      </c>
      <c r="AF4789">
        <v>-4.7373104863751996</v>
      </c>
      <c r="AG4789">
        <v>-1.1118419362459999</v>
      </c>
      <c r="AH4789">
        <v>9.2562195000825405</v>
      </c>
      <c r="AI4789">
        <v>96.103321029104293</v>
      </c>
      <c r="AJ4789">
        <v>117.10325545231601</v>
      </c>
      <c r="AK4789">
        <v>10.4573372599923</v>
      </c>
      <c r="AL4789">
        <v>90.720747758083803</v>
      </c>
      <c r="AM4789">
        <v>105.309969790341</v>
      </c>
      <c r="AN4789">
        <v>1.0000000244521301</v>
      </c>
    </row>
    <row r="4790" spans="1:40" x14ac:dyDescent="0.25">
      <c r="A4790" t="str">
        <f>"20190312150746963"</f>
        <v>20190312150746963</v>
      </c>
      <c r="B4790" t="str">
        <f>"1552374466954831"</f>
        <v>1552374466954831</v>
      </c>
      <c r="C4790" t="s">
        <v>40</v>
      </c>
      <c r="D4790">
        <v>4.4379</v>
      </c>
      <c r="E4790">
        <v>0.42316939999999997</v>
      </c>
      <c r="F4790" t="s">
        <v>61</v>
      </c>
      <c r="G4790">
        <v>-478.95580000000001</v>
      </c>
      <c r="H4790" s="1">
        <v>2.1055890000000001E-6</v>
      </c>
      <c r="I4790">
        <v>217.33150000000001</v>
      </c>
      <c r="J4790">
        <v>-488.1671</v>
      </c>
      <c r="K4790">
        <v>1.1118589999999999</v>
      </c>
      <c r="L4790">
        <v>222.43010000000001</v>
      </c>
      <c r="M4790">
        <v>0.559361199999999</v>
      </c>
      <c r="N4790">
        <v>0</v>
      </c>
      <c r="O4790">
        <v>-0.82886419999999905</v>
      </c>
      <c r="P4790">
        <v>0.75830509999999995</v>
      </c>
      <c r="Q4790">
        <v>-2.1071329999999999E-2</v>
      </c>
      <c r="R4790">
        <v>-0.65155949999999996</v>
      </c>
      <c r="S4790">
        <v>2.6690670000000001</v>
      </c>
      <c r="T4790">
        <v>-0.31979970000000002</v>
      </c>
      <c r="U4790">
        <v>-1.492691</v>
      </c>
      <c r="V4790">
        <v>-0.26403649999999901</v>
      </c>
      <c r="W4790">
        <v>-1.25738E-2</v>
      </c>
      <c r="X4790">
        <v>0.96443069999999997</v>
      </c>
      <c r="Y4790">
        <v>-0.44531219999999999</v>
      </c>
      <c r="Z4790">
        <v>0.1000168</v>
      </c>
      <c r="AA4790">
        <v>0.88977169999999906</v>
      </c>
      <c r="AB4790">
        <v>12</v>
      </c>
      <c r="AC4790">
        <v>9.2112999999999907</v>
      </c>
      <c r="AD4790">
        <v>-1.1118568944110001</v>
      </c>
      <c r="AE4790">
        <v>-5.0986000000000002</v>
      </c>
      <c r="AF4790">
        <v>-4.7304370770450497</v>
      </c>
      <c r="AG4790">
        <v>-1.1118568944110001</v>
      </c>
      <c r="AH4790">
        <v>9.2755074776297004</v>
      </c>
      <c r="AI4790">
        <v>96.095229222789598</v>
      </c>
      <c r="AJ4790">
        <v>117.02122993215499</v>
      </c>
      <c r="AK4790">
        <v>10.4713084025396</v>
      </c>
      <c r="AL4790">
        <v>90.720444675477395</v>
      </c>
      <c r="AM4790">
        <v>105.31094977598499</v>
      </c>
      <c r="AN4790">
        <v>0.99999997444058897</v>
      </c>
    </row>
    <row r="4791" spans="1:40" x14ac:dyDescent="0.25">
      <c r="A4791" t="str">
        <f>"20190312150746988"</f>
        <v>20190312150746988</v>
      </c>
      <c r="B4791" t="str">
        <f>"1552374466985088"</f>
        <v>1552374466985088</v>
      </c>
      <c r="C4791" t="s">
        <v>40</v>
      </c>
      <c r="D4791">
        <v>4.4084570000000003</v>
      </c>
      <c r="E4791">
        <v>0.42345319999999997</v>
      </c>
      <c r="F4791" t="s">
        <v>61</v>
      </c>
      <c r="G4791">
        <v>-478.87299999999999</v>
      </c>
      <c r="H4791" s="1">
        <v>2.140788E-6</v>
      </c>
      <c r="I4791">
        <v>217.297</v>
      </c>
      <c r="J4791">
        <v>-488.09480000000002</v>
      </c>
      <c r="K4791">
        <v>1.1118699999999999</v>
      </c>
      <c r="L4791">
        <v>222.33500000000001</v>
      </c>
      <c r="M4791">
        <v>0.56403139999999996</v>
      </c>
      <c r="N4791">
        <v>0</v>
      </c>
      <c r="O4791">
        <v>-0.82569309999999996</v>
      </c>
      <c r="P4791">
        <v>0.76206600000000002</v>
      </c>
      <c r="Q4791">
        <v>-2.0894240000000001E-2</v>
      </c>
      <c r="R4791">
        <v>-0.64716260000000003</v>
      </c>
      <c r="S4791">
        <v>2.6769409999999998</v>
      </c>
      <c r="T4791">
        <v>-0.3202448</v>
      </c>
      <c r="U4791">
        <v>-1.478485</v>
      </c>
      <c r="V4791">
        <v>-0.26417459999999998</v>
      </c>
      <c r="W4791">
        <v>-1.2396259999999999E-2</v>
      </c>
      <c r="X4791">
        <v>0.96439520000000001</v>
      </c>
      <c r="Y4791">
        <v>-0.44498949999999998</v>
      </c>
      <c r="Z4791">
        <v>9.9929760000000006E-2</v>
      </c>
      <c r="AA4791">
        <v>0.88994289999999998</v>
      </c>
      <c r="AB4791">
        <v>12</v>
      </c>
      <c r="AC4791">
        <v>9.2217999999999698</v>
      </c>
      <c r="AD4791">
        <v>-1.1118678592119999</v>
      </c>
      <c r="AE4791">
        <v>-5.03800000000001</v>
      </c>
      <c r="AF4791">
        <v>-4.7201787174843997</v>
      </c>
      <c r="AG4791">
        <v>-1.1118678592119999</v>
      </c>
      <c r="AH4791">
        <v>9.2580431089504298</v>
      </c>
      <c r="AI4791">
        <v>96.107058327947698</v>
      </c>
      <c r="AJ4791">
        <v>117.014591028203</v>
      </c>
      <c r="AK4791">
        <v>10.4512056466479</v>
      </c>
      <c r="AL4791">
        <v>90.7102715755981</v>
      </c>
      <c r="AM4791">
        <v>105.319119203425</v>
      </c>
      <c r="AN4791">
        <v>0.999999994165093</v>
      </c>
    </row>
    <row r="4792" spans="1:40" x14ac:dyDescent="0.25">
      <c r="A4792" t="str">
        <f>"20190312150747010"</f>
        <v>20190312150747010</v>
      </c>
      <c r="B4792" t="str">
        <f>"1552374467004608"</f>
        <v>1552374467004608</v>
      </c>
      <c r="C4792" t="s">
        <v>40</v>
      </c>
      <c r="D4792">
        <v>4.4284879999999998</v>
      </c>
      <c r="E4792">
        <v>0.42384230000000001</v>
      </c>
      <c r="F4792" t="s">
        <v>41</v>
      </c>
      <c r="G4792">
        <v>-487.2527</v>
      </c>
      <c r="H4792">
        <v>1.01085</v>
      </c>
      <c r="I4792">
        <v>221.87569999999999</v>
      </c>
      <c r="J4792">
        <v>-488.02370000000002</v>
      </c>
      <c r="K4792">
        <v>1.1118779999999999</v>
      </c>
      <c r="L4792">
        <v>222.2423</v>
      </c>
      <c r="M4792">
        <v>0.56858769999999903</v>
      </c>
      <c r="N4792">
        <v>0</v>
      </c>
      <c r="O4792">
        <v>-0.82256180000000001</v>
      </c>
      <c r="P4792">
        <v>0.76548649999999996</v>
      </c>
      <c r="Q4792">
        <v>-2.0849960000000001E-2</v>
      </c>
      <c r="R4792">
        <v>-0.64311399999999996</v>
      </c>
      <c r="S4792">
        <v>2.684326</v>
      </c>
      <c r="T4792">
        <v>-0.3220964</v>
      </c>
      <c r="U4792">
        <v>-1.464294</v>
      </c>
      <c r="V4792">
        <v>-0.26395550000000001</v>
      </c>
      <c r="W4792">
        <v>-1.23482E-2</v>
      </c>
      <c r="X4792">
        <v>0.96445579999999997</v>
      </c>
      <c r="Y4792">
        <v>-0.44465290000000002</v>
      </c>
      <c r="Z4792">
        <v>0.100288</v>
      </c>
      <c r="AA4792">
        <v>0.8900709</v>
      </c>
      <c r="AB4792">
        <v>12</v>
      </c>
      <c r="AC4792">
        <v>0.77100000000001501</v>
      </c>
      <c r="AD4792">
        <v>-0.10102800000000001</v>
      </c>
      <c r="AE4792">
        <v>-0.36660000000000498</v>
      </c>
      <c r="AF4792">
        <v>-0.41989202512124402</v>
      </c>
      <c r="AG4792">
        <v>-0.10102800000000001</v>
      </c>
      <c r="AH4792">
        <v>0.72974986685882304</v>
      </c>
      <c r="AI4792">
        <v>96.842541193480798</v>
      </c>
      <c r="AJ4792">
        <v>119.91576582159</v>
      </c>
      <c r="AK4792">
        <v>0.84796865373956498</v>
      </c>
      <c r="AL4792">
        <v>90.707517734648803</v>
      </c>
      <c r="AM4792">
        <v>105.30609342189901</v>
      </c>
      <c r="AN4792">
        <v>0.99999998708856397</v>
      </c>
    </row>
    <row r="4793" spans="1:40" x14ac:dyDescent="0.25">
      <c r="A4793" t="str">
        <f>"20190312150747043"</f>
        <v>20190312150747043</v>
      </c>
      <c r="B4793" t="str">
        <f>"1552374467034864"</f>
        <v>1552374467034864</v>
      </c>
      <c r="C4793" t="s">
        <v>40</v>
      </c>
      <c r="D4793">
        <v>4.3990669999999996</v>
      </c>
      <c r="E4793">
        <v>0.42334369999999999</v>
      </c>
      <c r="F4793" t="s">
        <v>41</v>
      </c>
      <c r="G4793">
        <v>-487.16919999999999</v>
      </c>
      <c r="H4793">
        <v>1.0089729999999999</v>
      </c>
      <c r="I4793">
        <v>221.7807</v>
      </c>
      <c r="J4793">
        <v>-487.91730000000001</v>
      </c>
      <c r="K4793">
        <v>1.111883</v>
      </c>
      <c r="L4793">
        <v>222.10579999999999</v>
      </c>
      <c r="M4793">
        <v>0.57531759999999998</v>
      </c>
      <c r="N4793">
        <v>0</v>
      </c>
      <c r="O4793">
        <v>-0.81786879999999995</v>
      </c>
      <c r="P4793">
        <v>0.77011099999999999</v>
      </c>
      <c r="Q4793">
        <v>-2.0668470000000001E-2</v>
      </c>
      <c r="R4793">
        <v>-0.63757489999999895</v>
      </c>
      <c r="S4793">
        <v>2.6900019999999998</v>
      </c>
      <c r="T4793">
        <v>-0.32384049999999998</v>
      </c>
      <c r="U4793">
        <v>-1.452469</v>
      </c>
      <c r="V4793">
        <v>-0.26300440000000003</v>
      </c>
      <c r="W4793">
        <v>-1.215522E-2</v>
      </c>
      <c r="X4793">
        <v>0.96471799999999996</v>
      </c>
      <c r="Y4793">
        <v>-0.44109559999999998</v>
      </c>
      <c r="Z4793">
        <v>0.10039439999999999</v>
      </c>
      <c r="AA4793">
        <v>0.89182709999999998</v>
      </c>
      <c r="AB4793">
        <v>12</v>
      </c>
      <c r="AC4793">
        <v>0.74810000000002197</v>
      </c>
      <c r="AD4793">
        <v>-0.10291</v>
      </c>
      <c r="AE4793">
        <v>-0.32509999999999101</v>
      </c>
      <c r="AF4793">
        <v>-0.41817695592697801</v>
      </c>
      <c r="AG4793">
        <v>-0.10291</v>
      </c>
      <c r="AH4793">
        <v>0.68540930016663904</v>
      </c>
      <c r="AI4793">
        <v>97.303888301178205</v>
      </c>
      <c r="AJ4793">
        <v>121.387899182556</v>
      </c>
      <c r="AK4793">
        <v>0.80947411528922597</v>
      </c>
      <c r="AL4793">
        <v>90.6964599966593</v>
      </c>
      <c r="AM4793">
        <v>105.24956246175999</v>
      </c>
      <c r="AN4793">
        <v>0.99999994165830197</v>
      </c>
    </row>
    <row r="4794" spans="1:40" x14ac:dyDescent="0.25">
      <c r="A4794" t="str">
        <f>"20190312150747065"</f>
        <v>20190312150747065</v>
      </c>
      <c r="B4794" t="str">
        <f>"1552374467054387"</f>
        <v>1552374467054387</v>
      </c>
      <c r="C4794" t="s">
        <v>40</v>
      </c>
      <c r="D4794">
        <v>4.3721199999999998</v>
      </c>
      <c r="E4794">
        <v>0.42352840000000003</v>
      </c>
      <c r="F4794" t="s">
        <v>61</v>
      </c>
      <c r="G4794">
        <v>-478.90410000000003</v>
      </c>
      <c r="H4794" s="1">
        <v>2.1288669999999998E-6</v>
      </c>
      <c r="I4794">
        <v>217.33949999999999</v>
      </c>
      <c r="J4794">
        <v>-487.84840000000003</v>
      </c>
      <c r="K4794">
        <v>1.1118889999999999</v>
      </c>
      <c r="L4794">
        <v>222.01859999999999</v>
      </c>
      <c r="M4794">
        <v>0.57961819999999997</v>
      </c>
      <c r="N4794">
        <v>0</v>
      </c>
      <c r="O4794">
        <v>-0.81482679999999996</v>
      </c>
      <c r="P4794">
        <v>0.77288639999999997</v>
      </c>
      <c r="Q4794">
        <v>-2.0654990000000002E-2</v>
      </c>
      <c r="R4794">
        <v>-0.63420859999999901</v>
      </c>
      <c r="S4794">
        <v>2.703125</v>
      </c>
      <c r="T4794">
        <v>-0.33346140000000002</v>
      </c>
      <c r="U4794">
        <v>-1.429443</v>
      </c>
      <c r="V4794">
        <v>-0.2621327</v>
      </c>
      <c r="W4794">
        <v>-1.213233E-2</v>
      </c>
      <c r="X4794">
        <v>0.96495560000000002</v>
      </c>
      <c r="Y4794">
        <v>-0.44379089999999999</v>
      </c>
      <c r="Z4794">
        <v>0.1032078</v>
      </c>
      <c r="AA4794">
        <v>0.89016729999999999</v>
      </c>
      <c r="AB4794">
        <v>12</v>
      </c>
      <c r="AC4794">
        <v>8.9442999999999895</v>
      </c>
      <c r="AD4794">
        <v>-1.1118868711330001</v>
      </c>
      <c r="AE4794">
        <v>-4.6791</v>
      </c>
      <c r="AF4794">
        <v>-4.5213350522271201</v>
      </c>
      <c r="AG4794">
        <v>-1.1118868711330001</v>
      </c>
      <c r="AH4794">
        <v>8.8895279270627494</v>
      </c>
      <c r="AI4794">
        <v>96.361445589035</v>
      </c>
      <c r="AJ4794">
        <v>116.958508966228</v>
      </c>
      <c r="AK4794">
        <v>10.035062024458201</v>
      </c>
      <c r="AL4794">
        <v>90.695148339516805</v>
      </c>
      <c r="AM4794">
        <v>105.197791833046</v>
      </c>
      <c r="AN4794">
        <v>1.00000002790593</v>
      </c>
    </row>
    <row r="4795" spans="1:40" x14ac:dyDescent="0.25">
      <c r="A4795" t="str">
        <f>"20190312150747086"</f>
        <v>20190312150747086</v>
      </c>
      <c r="B4795" t="str">
        <f>"1552374467074883"</f>
        <v>1552374467074883</v>
      </c>
      <c r="C4795" t="s">
        <v>40</v>
      </c>
      <c r="D4795">
        <v>4.4937110000000002</v>
      </c>
      <c r="E4795">
        <v>0.42378670000000002</v>
      </c>
      <c r="F4795" t="s">
        <v>41</v>
      </c>
      <c r="G4795">
        <v>-486.99669999999998</v>
      </c>
      <c r="H4795">
        <v>1.007282</v>
      </c>
      <c r="I4795">
        <v>221.57239999999999</v>
      </c>
      <c r="J4795">
        <v>-487.77780000000001</v>
      </c>
      <c r="K4795">
        <v>1.111893</v>
      </c>
      <c r="L4795">
        <v>221.93029999999999</v>
      </c>
      <c r="M4795">
        <v>0.58398109999999903</v>
      </c>
      <c r="N4795">
        <v>0</v>
      </c>
      <c r="O4795">
        <v>-0.81170549999999997</v>
      </c>
      <c r="P4795">
        <v>0.77602749999999998</v>
      </c>
      <c r="Q4795">
        <v>-2.056535E-2</v>
      </c>
      <c r="R4795">
        <v>-0.63036380000000003</v>
      </c>
      <c r="S4795">
        <v>2.7083740000000001</v>
      </c>
      <c r="T4795">
        <v>-0.33262940000000002</v>
      </c>
      <c r="U4795">
        <v>-1.4188689999999999</v>
      </c>
      <c r="V4795">
        <v>-0.26174829999999999</v>
      </c>
      <c r="W4795">
        <v>-1.2037849999999999E-2</v>
      </c>
      <c r="X4795">
        <v>0.96506110000000001</v>
      </c>
      <c r="Y4795">
        <v>-0.44247069999999999</v>
      </c>
      <c r="Z4795">
        <v>0.1026869</v>
      </c>
      <c r="AA4795">
        <v>0.89088449999999997</v>
      </c>
      <c r="AB4795">
        <v>12</v>
      </c>
      <c r="AC4795">
        <v>0.78110000000003699</v>
      </c>
      <c r="AD4795">
        <v>-0.104611</v>
      </c>
      <c r="AE4795">
        <v>-0.3579</v>
      </c>
      <c r="AF4795">
        <v>-0.41882878208721702</v>
      </c>
      <c r="AG4795">
        <v>-0.104611</v>
      </c>
      <c r="AH4795">
        <v>0.73578692051063899</v>
      </c>
      <c r="AI4795">
        <v>97.043773005403196</v>
      </c>
      <c r="AJ4795">
        <v>119.64964162458</v>
      </c>
      <c r="AK4795">
        <v>0.85307877855458902</v>
      </c>
      <c r="AL4795">
        <v>90.689734655172899</v>
      </c>
      <c r="AM4795">
        <v>105.174951320175</v>
      </c>
      <c r="AN4795">
        <v>1.00000000455936</v>
      </c>
    </row>
    <row r="4796" spans="1:40" x14ac:dyDescent="0.25">
      <c r="A4796" t="str">
        <f>"20190312150747109"</f>
        <v>20190312150747109</v>
      </c>
      <c r="B4796" t="str">
        <f>"1552374467104160"</f>
        <v>1552374467104160</v>
      </c>
      <c r="C4796" t="s">
        <v>40</v>
      </c>
      <c r="D4796">
        <v>4.4343009999999996</v>
      </c>
      <c r="E4796">
        <v>0.42441689999999999</v>
      </c>
      <c r="F4796" t="s">
        <v>41</v>
      </c>
      <c r="G4796">
        <v>-486.91649999999998</v>
      </c>
      <c r="H4796">
        <v>1.0063899999999999</v>
      </c>
      <c r="I4796">
        <v>221.48339999999999</v>
      </c>
      <c r="J4796">
        <v>-487.70530000000002</v>
      </c>
      <c r="K4796">
        <v>1.1118950000000001</v>
      </c>
      <c r="L4796">
        <v>221.84049999999999</v>
      </c>
      <c r="M4796">
        <v>0.58841209999999999</v>
      </c>
      <c r="N4796">
        <v>0</v>
      </c>
      <c r="O4796">
        <v>-0.80849899999999997</v>
      </c>
      <c r="P4796">
        <v>0.77933430000000004</v>
      </c>
      <c r="Q4796">
        <v>-2.0584950000000001E-2</v>
      </c>
      <c r="R4796">
        <v>-0.62627049999999995</v>
      </c>
      <c r="S4796">
        <v>2.7141419999999998</v>
      </c>
      <c r="T4796">
        <v>-0.332314</v>
      </c>
      <c r="U4796">
        <v>-1.406982</v>
      </c>
      <c r="V4796">
        <v>-0.26154889999999997</v>
      </c>
      <c r="W4796">
        <v>-1.2055440000000001E-2</v>
      </c>
      <c r="X4796">
        <v>0.96511499999999995</v>
      </c>
      <c r="Y4796">
        <v>-0.44144749999999999</v>
      </c>
      <c r="Z4796">
        <v>0.1023312</v>
      </c>
      <c r="AA4796">
        <v>0.89143280000000003</v>
      </c>
      <c r="AB4796">
        <v>12</v>
      </c>
      <c r="AC4796">
        <v>0.78880000000003703</v>
      </c>
      <c r="AD4796">
        <v>-0.105505</v>
      </c>
      <c r="AE4796">
        <v>-0.35710000000000203</v>
      </c>
      <c r="AF4796">
        <v>-0.42138714892532098</v>
      </c>
      <c r="AG4796">
        <v>-0.105505</v>
      </c>
      <c r="AH4796">
        <v>0.74187753680129898</v>
      </c>
      <c r="AI4796">
        <v>97.049299500913605</v>
      </c>
      <c r="AJ4796">
        <v>119.596616380407</v>
      </c>
      <c r="AK4796">
        <v>0.85969803647255905</v>
      </c>
      <c r="AL4796">
        <v>90.690742521405895</v>
      </c>
      <c r="AM4796">
        <v>105.16311565179301</v>
      </c>
      <c r="AN4796">
        <v>1.0000000619748901</v>
      </c>
    </row>
    <row r="4797" spans="1:40" x14ac:dyDescent="0.25">
      <c r="A4797" t="str">
        <f>"20190312150747131"</f>
        <v>20190312150747131</v>
      </c>
      <c r="B4797" t="str">
        <f>"1552374467124656"</f>
        <v>1552374467124656</v>
      </c>
      <c r="C4797" t="s">
        <v>40</v>
      </c>
      <c r="D4797">
        <v>4.4329970000000003</v>
      </c>
      <c r="E4797">
        <v>0.42471130000000001</v>
      </c>
      <c r="F4797" t="s">
        <v>41</v>
      </c>
      <c r="G4797">
        <v>-486.83260000000001</v>
      </c>
      <c r="H4797">
        <v>1.0057590000000001</v>
      </c>
      <c r="I4797">
        <v>221.392</v>
      </c>
      <c r="J4797">
        <v>-487.62950000000001</v>
      </c>
      <c r="K4797">
        <v>1.1119000000000001</v>
      </c>
      <c r="L4797">
        <v>221.74770000000001</v>
      </c>
      <c r="M4797">
        <v>0.59299219999999997</v>
      </c>
      <c r="N4797">
        <v>0</v>
      </c>
      <c r="O4797">
        <v>-0.80514589999999997</v>
      </c>
      <c r="P4797">
        <v>0.78292790000000001</v>
      </c>
      <c r="Q4797">
        <v>-2.085006E-2</v>
      </c>
      <c r="R4797">
        <v>-0.62176319999999996</v>
      </c>
      <c r="S4797">
        <v>2.7184140000000001</v>
      </c>
      <c r="T4797">
        <v>-0.33059250000000001</v>
      </c>
      <c r="U4797">
        <v>-1.3965909999999999</v>
      </c>
      <c r="V4797">
        <v>-0.26163180000000003</v>
      </c>
      <c r="W4797">
        <v>-1.2322110000000001E-2</v>
      </c>
      <c r="X4797">
        <v>0.96508910000000003</v>
      </c>
      <c r="Y4797">
        <v>-0.43969930000000002</v>
      </c>
      <c r="Z4797">
        <v>0.1015272</v>
      </c>
      <c r="AA4797">
        <v>0.89238819999999996</v>
      </c>
      <c r="AB4797">
        <v>12</v>
      </c>
      <c r="AC4797">
        <v>0.79689999999999295</v>
      </c>
      <c r="AD4797">
        <v>-0.106141</v>
      </c>
      <c r="AE4797">
        <v>-0.35570000000001201</v>
      </c>
      <c r="AF4797">
        <v>-0.42443637580642202</v>
      </c>
      <c r="AG4797">
        <v>-0.106141</v>
      </c>
      <c r="AH4797">
        <v>0.74791999957379196</v>
      </c>
      <c r="AI4797">
        <v>97.036178348007596</v>
      </c>
      <c r="AJ4797">
        <v>119.574433956231</v>
      </c>
      <c r="AK4797">
        <v>0.866485126676247</v>
      </c>
      <c r="AL4797">
        <v>90.706022763438597</v>
      </c>
      <c r="AM4797">
        <v>105.16808864132</v>
      </c>
      <c r="AN4797">
        <v>1.00000000205245</v>
      </c>
    </row>
    <row r="4798" spans="1:40" x14ac:dyDescent="0.25">
      <c r="A4798" t="str">
        <f>"20190312150747153"</f>
        <v>20190312150747153</v>
      </c>
      <c r="B4798" t="str">
        <f>"1552374467144179"</f>
        <v>1552374467144179</v>
      </c>
      <c r="C4798" t="s">
        <v>40</v>
      </c>
      <c r="D4798">
        <v>4.4127039999999997</v>
      </c>
      <c r="E4798">
        <v>0.42517739999999998</v>
      </c>
      <c r="F4798" t="s">
        <v>41</v>
      </c>
      <c r="G4798">
        <v>-486.7484</v>
      </c>
      <c r="H4798">
        <v>0.97794420000000004</v>
      </c>
      <c r="I4798">
        <v>221.3015</v>
      </c>
      <c r="J4798">
        <v>-487.55239999999998</v>
      </c>
      <c r="K4798">
        <v>1.111909</v>
      </c>
      <c r="L4798">
        <v>221.65440000000001</v>
      </c>
      <c r="M4798">
        <v>0.59759490000000004</v>
      </c>
      <c r="N4798">
        <v>0</v>
      </c>
      <c r="O4798">
        <v>-0.80173549999999905</v>
      </c>
      <c r="P4798">
        <v>0.78623859999999901</v>
      </c>
      <c r="Q4798">
        <v>-2.034913E-2</v>
      </c>
      <c r="R4798">
        <v>-0.61758800000000003</v>
      </c>
      <c r="S4798">
        <v>2.7255250000000002</v>
      </c>
      <c r="T4798">
        <v>-0.41417280000000001</v>
      </c>
      <c r="U4798">
        <v>-1.379105</v>
      </c>
      <c r="V4798">
        <v>-0.26125150000000003</v>
      </c>
      <c r="W4798">
        <v>-1.1821150000000001E-2</v>
      </c>
      <c r="X4798">
        <v>0.96519840000000001</v>
      </c>
      <c r="Y4798">
        <v>-0.43696099999999999</v>
      </c>
      <c r="Z4798">
        <v>0.12651580000000001</v>
      </c>
      <c r="AA4798">
        <v>0.89053850000000001</v>
      </c>
      <c r="AB4798">
        <v>12</v>
      </c>
      <c r="AC4798">
        <v>0.80399999999997296</v>
      </c>
      <c r="AD4798">
        <v>-0.13396479999999999</v>
      </c>
      <c r="AE4798">
        <v>-0.35290000000000499</v>
      </c>
      <c r="AF4798">
        <v>-0.423859148975055</v>
      </c>
      <c r="AG4798">
        <v>-0.13396479999999999</v>
      </c>
      <c r="AH4798">
        <v>0.74606983509795199</v>
      </c>
      <c r="AI4798">
        <v>98.873621431546795</v>
      </c>
      <c r="AJ4798">
        <v>119.601886603361</v>
      </c>
      <c r="AK4798">
        <v>0.868460329924162</v>
      </c>
      <c r="AL4798">
        <v>90.677317766700696</v>
      </c>
      <c r="AM4798">
        <v>105.14541799469001</v>
      </c>
      <c r="AN4798">
        <v>1.00000001860106</v>
      </c>
    </row>
    <row r="4799" spans="1:40" x14ac:dyDescent="0.25">
      <c r="A4799" t="str">
        <f>"20190312150747176"</f>
        <v>20190312150747176</v>
      </c>
      <c r="B4799" t="str">
        <f>"1552374467164684"</f>
        <v>1552374467164684</v>
      </c>
      <c r="C4799" t="s">
        <v>40</v>
      </c>
      <c r="D4799">
        <v>4.4289019999999999</v>
      </c>
      <c r="E4799">
        <v>0.42492990000000003</v>
      </c>
      <c r="F4799" t="s">
        <v>61</v>
      </c>
      <c r="G4799">
        <v>-480.19589999999999</v>
      </c>
      <c r="H4799" s="1">
        <v>1.7315409999999999E-6</v>
      </c>
      <c r="I4799">
        <v>217.97280000000001</v>
      </c>
      <c r="J4799">
        <v>-487.4778</v>
      </c>
      <c r="K4799">
        <v>1.1119190000000001</v>
      </c>
      <c r="L4799">
        <v>221.5651</v>
      </c>
      <c r="M4799">
        <v>0.60200050000000005</v>
      </c>
      <c r="N4799">
        <v>0</v>
      </c>
      <c r="O4799">
        <v>-0.7984329</v>
      </c>
      <c r="P4799">
        <v>0.78927599999999998</v>
      </c>
      <c r="Q4799">
        <v>-2.0068570000000001E-2</v>
      </c>
      <c r="R4799">
        <v>-0.61371089999999995</v>
      </c>
      <c r="S4799">
        <v>2.7312620000000001</v>
      </c>
      <c r="T4799">
        <v>-0.4128174</v>
      </c>
      <c r="U4799">
        <v>-1.3668819999999999</v>
      </c>
      <c r="V4799">
        <v>-0.26069399999999998</v>
      </c>
      <c r="W4799">
        <v>-1.1540480000000001E-2</v>
      </c>
      <c r="X4799">
        <v>0.96535249999999995</v>
      </c>
      <c r="Y4799">
        <v>-0.43603599999999998</v>
      </c>
      <c r="Z4799">
        <v>0.12577439999999901</v>
      </c>
      <c r="AA4799">
        <v>0.89109680000000002</v>
      </c>
      <c r="AB4799">
        <v>12</v>
      </c>
      <c r="AC4799">
        <v>7.2819000000000003</v>
      </c>
      <c r="AD4799">
        <v>-1.111917268459</v>
      </c>
      <c r="AE4799">
        <v>-3.5922999999999901</v>
      </c>
      <c r="AF4799">
        <v>-3.5845070941022601</v>
      </c>
      <c r="AG4799">
        <v>-1.111917268459</v>
      </c>
      <c r="AH4799">
        <v>7.1187871710460797</v>
      </c>
      <c r="AI4799">
        <v>97.941928691471006</v>
      </c>
      <c r="AJ4799">
        <v>116.726524374923</v>
      </c>
      <c r="AK4799">
        <v>8.0474953809379102</v>
      </c>
      <c r="AL4799">
        <v>90.661235477753294</v>
      </c>
      <c r="AM4799">
        <v>105.112276057668</v>
      </c>
      <c r="AN4799">
        <v>0.99999999678544005</v>
      </c>
    </row>
    <row r="4800" spans="1:40" x14ac:dyDescent="0.25">
      <c r="A4800" t="str">
        <f>"20190312150747198"</f>
        <v>20190312150747198</v>
      </c>
      <c r="B4800" t="str">
        <f>"1552374467194928"</f>
        <v>1552374467194928</v>
      </c>
      <c r="C4800" t="s">
        <v>40</v>
      </c>
      <c r="D4800">
        <v>4.4093669999999996</v>
      </c>
      <c r="E4800">
        <v>0.42992550000000002</v>
      </c>
      <c r="F4800" t="s">
        <v>61</v>
      </c>
      <c r="G4800">
        <v>-480.04320000000001</v>
      </c>
      <c r="H4800" s="1">
        <v>1.7010380000000001E-6</v>
      </c>
      <c r="I4800">
        <v>217.8948</v>
      </c>
      <c r="J4800">
        <v>-487.40289999999999</v>
      </c>
      <c r="K4800">
        <v>1.1119300000000001</v>
      </c>
      <c r="L4800">
        <v>221.47649999999999</v>
      </c>
      <c r="M4800">
        <v>0.60637940000000001</v>
      </c>
      <c r="N4800">
        <v>0</v>
      </c>
      <c r="O4800">
        <v>-0.79511229999999999</v>
      </c>
      <c r="P4800">
        <v>0.79262369999999904</v>
      </c>
      <c r="Q4800">
        <v>-2.0053979999999999E-2</v>
      </c>
      <c r="R4800">
        <v>-0.60938149999999902</v>
      </c>
      <c r="S4800">
        <v>2.7391049999999999</v>
      </c>
      <c r="T4800">
        <v>-0.40965780000000002</v>
      </c>
      <c r="U4800">
        <v>-1.352249</v>
      </c>
      <c r="V4800">
        <v>-0.26067289999999999</v>
      </c>
      <c r="W4800">
        <v>-1.1530230000000001E-2</v>
      </c>
      <c r="X4800">
        <v>0.9653583</v>
      </c>
      <c r="Y4800">
        <v>-0.43609819999999999</v>
      </c>
      <c r="Z4800">
        <v>0.1245016</v>
      </c>
      <c r="AA4800">
        <v>0.89124509999999901</v>
      </c>
      <c r="AB4800">
        <v>12</v>
      </c>
      <c r="AC4800">
        <v>7.3596999999999699</v>
      </c>
      <c r="AD4800">
        <v>-1.1119282989620001</v>
      </c>
      <c r="AE4800">
        <v>-3.5816999999999801</v>
      </c>
      <c r="AF4800">
        <v>-3.6134173310928999</v>
      </c>
      <c r="AG4800">
        <v>-1.1119282989620001</v>
      </c>
      <c r="AH4800">
        <v>7.178510425002</v>
      </c>
      <c r="AI4800">
        <v>97.877269666412602</v>
      </c>
      <c r="AJ4800">
        <v>116.719124669168</v>
      </c>
      <c r="AK4800">
        <v>8.1132102938687201</v>
      </c>
      <c r="AL4800">
        <v>90.660648169881597</v>
      </c>
      <c r="AM4800">
        <v>105.111022203963</v>
      </c>
      <c r="AN4800">
        <v>0.99999997718857603</v>
      </c>
    </row>
    <row r="4801" spans="1:40" x14ac:dyDescent="0.25">
      <c r="A4801" t="str">
        <f>"20190312150747222"</f>
        <v>20190312150747222</v>
      </c>
      <c r="B4801" t="str">
        <f>"1552374467214448"</f>
        <v>1552374467214448</v>
      </c>
      <c r="C4801" t="s">
        <v>40</v>
      </c>
      <c r="D4801">
        <v>4.4545789999999998</v>
      </c>
      <c r="E4801">
        <v>0.42931580000000003</v>
      </c>
      <c r="F4801" t="s">
        <v>61</v>
      </c>
      <c r="G4801">
        <v>-477.63819999999998</v>
      </c>
      <c r="H4801" s="1">
        <v>2.655637E-6</v>
      </c>
      <c r="I4801">
        <v>216.54730000000001</v>
      </c>
      <c r="J4801">
        <v>-487.32150000000001</v>
      </c>
      <c r="K4801">
        <v>1.111942</v>
      </c>
      <c r="L4801">
        <v>221.38130000000001</v>
      </c>
      <c r="M4801">
        <v>0.61107880000000003</v>
      </c>
      <c r="N4801">
        <v>0</v>
      </c>
      <c r="O4801">
        <v>-0.79150640000000005</v>
      </c>
      <c r="P4801">
        <v>0.79595139999999998</v>
      </c>
      <c r="Q4801">
        <v>-1.9797430000000001E-2</v>
      </c>
      <c r="R4801">
        <v>-0.6050373</v>
      </c>
      <c r="S4801">
        <v>2.7210999999999999</v>
      </c>
      <c r="T4801">
        <v>-0.30985770000000001</v>
      </c>
      <c r="U4801">
        <v>-1.37359599999999</v>
      </c>
      <c r="V4801">
        <v>-0.26024049999999999</v>
      </c>
      <c r="W4801">
        <v>-1.127599E-2</v>
      </c>
      <c r="X4801">
        <v>0.96547799999999995</v>
      </c>
      <c r="Y4801">
        <v>-0.42641479999999998</v>
      </c>
      <c r="Z4801">
        <v>9.4024720000000006E-2</v>
      </c>
      <c r="AA4801">
        <v>0.89962759999999997</v>
      </c>
      <c r="AB4801">
        <v>12</v>
      </c>
      <c r="AC4801">
        <v>9.6833000000000293</v>
      </c>
      <c r="AD4801">
        <v>-1.1119393443629999</v>
      </c>
      <c r="AE4801">
        <v>-4.8339999999999996</v>
      </c>
      <c r="AF4801">
        <v>-4.6614710299291398</v>
      </c>
      <c r="AG4801">
        <v>-1.1119393443629999</v>
      </c>
      <c r="AH4801">
        <v>9.6421125015188895</v>
      </c>
      <c r="AI4801">
        <v>95.927470965104703</v>
      </c>
      <c r="AJ4801">
        <v>115.80140511819199</v>
      </c>
      <c r="AK4801">
        <v>10.7673606218217</v>
      </c>
      <c r="AL4801">
        <v>90.646080317550599</v>
      </c>
      <c r="AM4801">
        <v>105.08531462804901</v>
      </c>
      <c r="AN4801">
        <v>1.00000001713736</v>
      </c>
    </row>
    <row r="4802" spans="1:40" x14ac:dyDescent="0.25">
      <c r="A4802" t="str">
        <f>"20190312150747244"</f>
        <v>20190312150747244</v>
      </c>
      <c r="B4802" t="str">
        <f>"1552374467234944"</f>
        <v>1552374467234944</v>
      </c>
      <c r="C4802" t="s">
        <v>40</v>
      </c>
      <c r="D4802">
        <v>4.3722300000000001</v>
      </c>
      <c r="E4802">
        <v>0.40383039999999998</v>
      </c>
      <c r="F4802" t="s">
        <v>61</v>
      </c>
      <c r="G4802">
        <v>-478.26710000000003</v>
      </c>
      <c r="H4802" s="1">
        <v>2.3919400000000002E-6</v>
      </c>
      <c r="I4802">
        <v>216.89490000000001</v>
      </c>
      <c r="J4802">
        <v>-487.24189999999999</v>
      </c>
      <c r="K4802">
        <v>1.111953</v>
      </c>
      <c r="L4802">
        <v>221.28919999999999</v>
      </c>
      <c r="M4802">
        <v>0.61563250000000003</v>
      </c>
      <c r="N4802">
        <v>0</v>
      </c>
      <c r="O4802">
        <v>-0.787969699999999</v>
      </c>
      <c r="P4802">
        <v>0.79884279999999996</v>
      </c>
      <c r="Q4802">
        <v>-1.9805119999999999E-2</v>
      </c>
      <c r="R4802">
        <v>-0.60121420000000003</v>
      </c>
      <c r="S4802">
        <v>2.7317809999999998</v>
      </c>
      <c r="T4802">
        <v>-0.3354782</v>
      </c>
      <c r="U4802">
        <v>-1.3535919999999999</v>
      </c>
      <c r="V4802">
        <v>-0.25930150000000002</v>
      </c>
      <c r="W4802">
        <v>-1.1282199999999999E-2</v>
      </c>
      <c r="X4802">
        <v>0.96573050000000005</v>
      </c>
      <c r="Y4802">
        <v>-0.42708220000000002</v>
      </c>
      <c r="Z4802">
        <v>0.1014673</v>
      </c>
      <c r="AA4802">
        <v>0.89850160000000001</v>
      </c>
      <c r="AB4802">
        <v>12</v>
      </c>
      <c r="AC4802">
        <v>8.9747999999999593</v>
      </c>
      <c r="AD4802">
        <v>-1.1119506080599999</v>
      </c>
      <c r="AE4802">
        <v>-4.3942999999999799</v>
      </c>
      <c r="AF4802">
        <v>-4.3134068779313903</v>
      </c>
      <c r="AG4802">
        <v>-1.1119506080599999</v>
      </c>
      <c r="AH4802">
        <v>8.8782736179761201</v>
      </c>
      <c r="AI4802">
        <v>96.427415673534497</v>
      </c>
      <c r="AJ4802">
        <v>115.91226479899601</v>
      </c>
      <c r="AK4802">
        <v>9.9330587174848404</v>
      </c>
      <c r="AL4802">
        <v>90.646436172733303</v>
      </c>
      <c r="AM4802">
        <v>105.02959915574399</v>
      </c>
      <c r="AN4802">
        <v>0.99999997728466905</v>
      </c>
    </row>
    <row r="4803" spans="1:40" x14ac:dyDescent="0.25">
      <c r="A4803" t="str">
        <f>"20190312150747266"</f>
        <v>20190312150747266</v>
      </c>
      <c r="B4803" t="str">
        <f>"1552374467254468"</f>
        <v>1552374467254468</v>
      </c>
      <c r="C4803" t="s">
        <v>40</v>
      </c>
      <c r="D4803">
        <v>4.3661070000000004</v>
      </c>
      <c r="E4803">
        <v>0.39320129999999998</v>
      </c>
      <c r="F4803" t="s">
        <v>41</v>
      </c>
      <c r="G4803">
        <v>-486.36250000000001</v>
      </c>
      <c r="H4803">
        <v>1.0056020000000001</v>
      </c>
      <c r="I4803">
        <v>220.9272</v>
      </c>
      <c r="J4803">
        <v>-487.16559999999998</v>
      </c>
      <c r="K4803">
        <v>1.111964</v>
      </c>
      <c r="L4803">
        <v>221.2021</v>
      </c>
      <c r="M4803">
        <v>0.61994209999999905</v>
      </c>
      <c r="N4803">
        <v>0</v>
      </c>
      <c r="O4803">
        <v>-0.78458359999999905</v>
      </c>
      <c r="P4803">
        <v>0.8017166</v>
      </c>
      <c r="Q4803">
        <v>-1.9070819999999999E-2</v>
      </c>
      <c r="R4803">
        <v>-0.5974003</v>
      </c>
      <c r="S4803">
        <v>2.8609010000000001</v>
      </c>
      <c r="T4803">
        <v>-0.34596110000000002</v>
      </c>
      <c r="U4803">
        <v>-1.177155</v>
      </c>
      <c r="V4803">
        <v>-0.25862760000000001</v>
      </c>
      <c r="W4803">
        <v>-1.0547630000000001E-2</v>
      </c>
      <c r="X4803">
        <v>0.96591950000000004</v>
      </c>
      <c r="Y4803">
        <v>-0.48344130000000002</v>
      </c>
      <c r="Z4803">
        <v>0.1051667</v>
      </c>
      <c r="AA4803">
        <v>0.86903649999999999</v>
      </c>
      <c r="AB4803">
        <v>12</v>
      </c>
      <c r="AC4803">
        <v>0.80309999999997195</v>
      </c>
      <c r="AD4803">
        <v>-0.106361999999999</v>
      </c>
      <c r="AE4803">
        <v>-0.27490000000000198</v>
      </c>
      <c r="AF4803">
        <v>-0.45259409542534901</v>
      </c>
      <c r="AG4803">
        <v>-0.106361999999999</v>
      </c>
      <c r="AH4803">
        <v>0.70256271615360399</v>
      </c>
      <c r="AI4803">
        <v>97.252994735182497</v>
      </c>
      <c r="AJ4803">
        <v>122.78981842031401</v>
      </c>
      <c r="AK4803">
        <v>0.84246582149486604</v>
      </c>
      <c r="AL4803">
        <v>90.604345898581201</v>
      </c>
      <c r="AM4803">
        <v>104.989497992729</v>
      </c>
      <c r="AN4803">
        <v>0.999999984230313</v>
      </c>
    </row>
    <row r="4804" spans="1:40" x14ac:dyDescent="0.25">
      <c r="A4804" t="str">
        <f>"20190312150747287"</f>
        <v>20190312150747287</v>
      </c>
      <c r="B4804" t="str">
        <f>"1552374467284721"</f>
        <v>1552374467284721</v>
      </c>
      <c r="C4804" t="s">
        <v>40</v>
      </c>
      <c r="D4804">
        <v>4.4074030000000004</v>
      </c>
      <c r="E4804">
        <v>0.38806800000000002</v>
      </c>
      <c r="F4804" t="s">
        <v>41</v>
      </c>
      <c r="G4804">
        <v>-486.27620000000002</v>
      </c>
      <c r="H4804">
        <v>1.0102120000000001</v>
      </c>
      <c r="I4804">
        <v>220.86799999999999</v>
      </c>
      <c r="J4804">
        <v>-487.08920000000001</v>
      </c>
      <c r="K4804">
        <v>1.1119749999999999</v>
      </c>
      <c r="L4804">
        <v>221.11580000000001</v>
      </c>
      <c r="M4804">
        <v>0.62421669999999996</v>
      </c>
      <c r="N4804">
        <v>0</v>
      </c>
      <c r="O4804">
        <v>-0.78118669999999901</v>
      </c>
      <c r="P4804">
        <v>0.80454780000000004</v>
      </c>
      <c r="Q4804">
        <v>-1.928626E-2</v>
      </c>
      <c r="R4804">
        <v>-0.59357490000000002</v>
      </c>
      <c r="S4804">
        <v>2.9175420000000001</v>
      </c>
      <c r="T4804">
        <v>-0.33377990000000002</v>
      </c>
      <c r="U4804">
        <v>-1.095688</v>
      </c>
      <c r="V4804">
        <v>-0.2579494</v>
      </c>
      <c r="W4804">
        <v>-1.076295E-2</v>
      </c>
      <c r="X4804">
        <v>0.96609849999999997</v>
      </c>
      <c r="Y4804">
        <v>-0.50598770000000004</v>
      </c>
      <c r="Z4804">
        <v>0.1014422</v>
      </c>
      <c r="AA4804">
        <v>0.856554699999999</v>
      </c>
      <c r="AB4804">
        <v>12</v>
      </c>
      <c r="AC4804">
        <v>0.81299999999998795</v>
      </c>
      <c r="AD4804">
        <v>-0.10176299999999899</v>
      </c>
      <c r="AE4804">
        <v>-0.24780000000001201</v>
      </c>
      <c r="AF4804">
        <v>-0.47365791591519901</v>
      </c>
      <c r="AG4804">
        <v>-0.10176299999999899</v>
      </c>
      <c r="AH4804">
        <v>0.69119288718734595</v>
      </c>
      <c r="AI4804">
        <v>96.924549457863705</v>
      </c>
      <c r="AJ4804">
        <v>124.421906317576</v>
      </c>
      <c r="AK4804">
        <v>0.84407057570828103</v>
      </c>
      <c r="AL4804">
        <v>90.6166835026077</v>
      </c>
      <c r="AM4804">
        <v>104.949307258193</v>
      </c>
      <c r="AN4804">
        <v>1.00000002287765</v>
      </c>
    </row>
    <row r="4805" spans="1:40" x14ac:dyDescent="0.25">
      <c r="A4805" t="str">
        <f>"20190312150747310"</f>
        <v>20190312150747310</v>
      </c>
      <c r="B4805" t="str">
        <f>"1552374467305215"</f>
        <v>1552374467305215</v>
      </c>
      <c r="C4805" t="s">
        <v>40</v>
      </c>
      <c r="D4805">
        <v>4.3583210000000001</v>
      </c>
      <c r="E4805">
        <v>0.3870304</v>
      </c>
      <c r="F4805" t="s">
        <v>41</v>
      </c>
      <c r="G4805">
        <v>-486.1979</v>
      </c>
      <c r="H4805">
        <v>1.0061990000000001</v>
      </c>
      <c r="I4805">
        <v>220.7987</v>
      </c>
      <c r="J4805">
        <v>-487.01029999999997</v>
      </c>
      <c r="K4805">
        <v>1.1119760000000001</v>
      </c>
      <c r="L4805">
        <v>221.0275</v>
      </c>
      <c r="M4805">
        <v>0.62858549999999902</v>
      </c>
      <c r="N4805">
        <v>0</v>
      </c>
      <c r="O4805">
        <v>-0.77767569999999997</v>
      </c>
      <c r="P4805">
        <v>0.80744099999999996</v>
      </c>
      <c r="Q4805">
        <v>-1.9195960000000001E-2</v>
      </c>
      <c r="R4805">
        <v>-0.5896361</v>
      </c>
      <c r="S4805">
        <v>2.9473880000000001</v>
      </c>
      <c r="T4805">
        <v>-0.34971049999999998</v>
      </c>
      <c r="U4805">
        <v>-1.047852</v>
      </c>
      <c r="V4805">
        <v>-0.25725769999999998</v>
      </c>
      <c r="W4805">
        <v>-1.0672910000000001E-2</v>
      </c>
      <c r="X4805">
        <v>0.96628389999999997</v>
      </c>
      <c r="Y4805">
        <v>-0.51571</v>
      </c>
      <c r="Z4805">
        <v>0.1060258</v>
      </c>
      <c r="AA4805">
        <v>0.85017749999999903</v>
      </c>
      <c r="AB4805">
        <v>12</v>
      </c>
      <c r="AC4805">
        <v>0.81239999999996804</v>
      </c>
      <c r="AD4805">
        <v>-0.105777</v>
      </c>
      <c r="AE4805">
        <v>-0.228800000000006</v>
      </c>
      <c r="AF4805">
        <v>-0.48044166867514398</v>
      </c>
      <c r="AG4805">
        <v>-0.105777</v>
      </c>
      <c r="AH4805">
        <v>0.67798071724751396</v>
      </c>
      <c r="AI4805">
        <v>97.254511608495093</v>
      </c>
      <c r="AJ4805">
        <v>125.322766480382</v>
      </c>
      <c r="AK4805">
        <v>0.83765793954800605</v>
      </c>
      <c r="AL4805">
        <v>90.611524305143206</v>
      </c>
      <c r="AM4805">
        <v>104.908274515481</v>
      </c>
      <c r="AN4805">
        <v>1.0000000053081799</v>
      </c>
    </row>
    <row r="4806" spans="1:40" x14ac:dyDescent="0.25">
      <c r="A4806" t="str">
        <f>"20190312150747332"</f>
        <v>20190312150747332</v>
      </c>
      <c r="B4806" t="str">
        <f>"1552374467324737"</f>
        <v>1552374467324737</v>
      </c>
      <c r="C4806" t="s">
        <v>40</v>
      </c>
      <c r="D4806">
        <v>4.3356180000000002</v>
      </c>
      <c r="E4806">
        <v>0.38683269999999997</v>
      </c>
      <c r="F4806" t="s">
        <v>41</v>
      </c>
      <c r="G4806">
        <v>-486.12639999999999</v>
      </c>
      <c r="H4806">
        <v>1.006456</v>
      </c>
      <c r="I4806">
        <v>220.72069999999999</v>
      </c>
      <c r="J4806">
        <v>-486.92720000000003</v>
      </c>
      <c r="K4806">
        <v>1.1119889999999999</v>
      </c>
      <c r="L4806">
        <v>220.9357</v>
      </c>
      <c r="M4806">
        <v>0.63313730000000001</v>
      </c>
      <c r="N4806">
        <v>0</v>
      </c>
      <c r="O4806">
        <v>-0.77397450000000001</v>
      </c>
      <c r="P4806">
        <v>0.81061939999999999</v>
      </c>
      <c r="Q4806">
        <v>-1.9067980000000002E-2</v>
      </c>
      <c r="R4806">
        <v>-0.58526299999999998</v>
      </c>
      <c r="S4806">
        <v>2.957306</v>
      </c>
      <c r="T4806">
        <v>-0.35307349999999998</v>
      </c>
      <c r="U4806">
        <v>-1.026764</v>
      </c>
      <c r="V4806">
        <v>-0.25681379999999998</v>
      </c>
      <c r="W4806">
        <v>-1.054721E-2</v>
      </c>
      <c r="X4806">
        <v>0.96640340000000002</v>
      </c>
      <c r="Y4806">
        <v>-0.51689160000000001</v>
      </c>
      <c r="Z4806">
        <v>0.10673879999999999</v>
      </c>
      <c r="AA4806">
        <v>0.84937030000000002</v>
      </c>
      <c r="AB4806">
        <v>12</v>
      </c>
      <c r="AC4806">
        <v>0.80080000000003704</v>
      </c>
      <c r="AD4806">
        <v>-0.105532999999999</v>
      </c>
      <c r="AE4806">
        <v>-0.21500000000000299</v>
      </c>
      <c r="AF4806">
        <v>-0.47598785658868598</v>
      </c>
      <c r="AG4806">
        <v>-0.105532999999999</v>
      </c>
      <c r="AH4806">
        <v>0.66271906874056696</v>
      </c>
      <c r="AI4806">
        <v>97.369659316475904</v>
      </c>
      <c r="AJ4806">
        <v>125.68722052672</v>
      </c>
      <c r="AK4806">
        <v>0.822738243781858</v>
      </c>
      <c r="AL4806">
        <v>90.604321792348401</v>
      </c>
      <c r="AM4806">
        <v>104.88193407210601</v>
      </c>
      <c r="AN4806">
        <v>1.00000005152039</v>
      </c>
    </row>
    <row r="4807" spans="1:40" x14ac:dyDescent="0.25">
      <c r="A4807" t="str">
        <f>"20190312150747355"</f>
        <v>20190312150747355</v>
      </c>
      <c r="B4807" t="str">
        <f>"1552374467345237"</f>
        <v>1552374467345237</v>
      </c>
      <c r="C4807" t="s">
        <v>40</v>
      </c>
      <c r="D4807">
        <v>4.3562289999999999</v>
      </c>
      <c r="E4807">
        <v>0.38682499999999997</v>
      </c>
      <c r="F4807" t="s">
        <v>41</v>
      </c>
      <c r="G4807">
        <v>-486.05709999999999</v>
      </c>
      <c r="H4807">
        <v>1.007158</v>
      </c>
      <c r="I4807">
        <v>220.63919999999999</v>
      </c>
      <c r="J4807">
        <v>-486.84390000000002</v>
      </c>
      <c r="K4807">
        <v>1.1120000000000001</v>
      </c>
      <c r="L4807">
        <v>220.84469999999999</v>
      </c>
      <c r="M4807">
        <v>0.63764739999999998</v>
      </c>
      <c r="N4807">
        <v>0</v>
      </c>
      <c r="O4807">
        <v>-0.77026300000000003</v>
      </c>
      <c r="P4807">
        <v>0.81390699999999905</v>
      </c>
      <c r="Q4807">
        <v>-1.9242059999999998E-2</v>
      </c>
      <c r="R4807">
        <v>-0.58067669999999905</v>
      </c>
      <c r="S4807">
        <v>2.9637760000000002</v>
      </c>
      <c r="T4807">
        <v>-0.35696030000000001</v>
      </c>
      <c r="U4807">
        <v>-1.0092620000000001</v>
      </c>
      <c r="V4807">
        <v>-0.25662119999999999</v>
      </c>
      <c r="W4807">
        <v>-1.072559E-2</v>
      </c>
      <c r="X4807">
        <v>0.96645250000000005</v>
      </c>
      <c r="Y4807">
        <v>-0.51683939999999995</v>
      </c>
      <c r="Z4807">
        <v>0.1076109</v>
      </c>
      <c r="AA4807">
        <v>0.84929200000000005</v>
      </c>
      <c r="AB4807">
        <v>12</v>
      </c>
      <c r="AC4807">
        <v>0.78680000000002703</v>
      </c>
      <c r="AD4807">
        <v>-0.104842</v>
      </c>
      <c r="AE4807">
        <v>-0.20549999999999999</v>
      </c>
      <c r="AF4807">
        <v>-0.46726347187412798</v>
      </c>
      <c r="AG4807">
        <v>-0.104842</v>
      </c>
      <c r="AH4807">
        <v>0.64923175038520897</v>
      </c>
      <c r="AI4807">
        <v>97.467145862526095</v>
      </c>
      <c r="AJ4807">
        <v>125.743227020749</v>
      </c>
      <c r="AK4807">
        <v>0.806739649961564</v>
      </c>
      <c r="AL4807">
        <v>90.614542849463405</v>
      </c>
      <c r="AM4807">
        <v>104.870545886185</v>
      </c>
      <c r="AN4807">
        <v>0.99999995666326802</v>
      </c>
    </row>
    <row r="4808" spans="1:40" x14ac:dyDescent="0.25">
      <c r="A4808" t="str">
        <f>"20190312150747377"</f>
        <v>20190312150747377</v>
      </c>
      <c r="B4808" t="str">
        <f>"1552374467364752"</f>
        <v>1552374467364752</v>
      </c>
      <c r="C4808" t="s">
        <v>40</v>
      </c>
      <c r="D4808">
        <v>4.3687800000000001</v>
      </c>
      <c r="E4808">
        <v>0.38684469999999999</v>
      </c>
      <c r="F4808" t="s">
        <v>41</v>
      </c>
      <c r="G4808">
        <v>-485.98689999999999</v>
      </c>
      <c r="H4808">
        <v>1.008491</v>
      </c>
      <c r="I4808">
        <v>220.5581</v>
      </c>
      <c r="J4808">
        <v>-486.76519999999999</v>
      </c>
      <c r="K4808">
        <v>1.1120129999999999</v>
      </c>
      <c r="L4808">
        <v>220.75980000000001</v>
      </c>
      <c r="M4808">
        <v>0.64186089999999996</v>
      </c>
      <c r="N4808">
        <v>0</v>
      </c>
      <c r="O4808">
        <v>-0.76675519999999997</v>
      </c>
      <c r="P4808">
        <v>0.81716650000000002</v>
      </c>
      <c r="Q4808">
        <v>-1.8830139999999999E-2</v>
      </c>
      <c r="R4808">
        <v>-0.57609399999999999</v>
      </c>
      <c r="S4808">
        <v>2.9694820000000002</v>
      </c>
      <c r="T4808">
        <v>-0.35860249999999999</v>
      </c>
      <c r="U4808">
        <v>-0.99235530000000005</v>
      </c>
      <c r="V4808">
        <v>-0.2567623</v>
      </c>
      <c r="W4808">
        <v>-1.0320040000000001E-2</v>
      </c>
      <c r="X4808">
        <v>0.96641949999999999</v>
      </c>
      <c r="Y4808">
        <v>-0.51695349999999995</v>
      </c>
      <c r="Z4808">
        <v>0.1078432</v>
      </c>
      <c r="AA4808">
        <v>0.84919310000000003</v>
      </c>
      <c r="AB4808">
        <v>12</v>
      </c>
      <c r="AC4808">
        <v>0.77830000000000099</v>
      </c>
      <c r="AD4808">
        <v>-0.103521999999999</v>
      </c>
      <c r="AE4808">
        <v>-0.20170000000001601</v>
      </c>
      <c r="AF4808">
        <v>-0.45970469582073498</v>
      </c>
      <c r="AG4808">
        <v>-0.103521999999999</v>
      </c>
      <c r="AH4808">
        <v>0.643578450634266</v>
      </c>
      <c r="AI4808">
        <v>97.457137423215698</v>
      </c>
      <c r="AJ4808">
        <v>125.538019849842</v>
      </c>
      <c r="AK4808">
        <v>0.797645556600447</v>
      </c>
      <c r="AL4808">
        <v>90.591305223274901</v>
      </c>
      <c r="AM4808">
        <v>104.87884523697601</v>
      </c>
      <c r="AN4808">
        <v>1.00000001595357</v>
      </c>
    </row>
    <row r="4809" spans="1:40" x14ac:dyDescent="0.25">
      <c r="A4809" t="str">
        <f>"20190312150747398"</f>
        <v>20190312150747398</v>
      </c>
      <c r="B4809" t="str">
        <f>"1552374467395008"</f>
        <v>1552374467395008</v>
      </c>
      <c r="C4809" t="s">
        <v>40</v>
      </c>
      <c r="D4809">
        <v>4.3511220000000002</v>
      </c>
      <c r="E4809">
        <v>0.38720670000000001</v>
      </c>
      <c r="F4809" t="s">
        <v>41</v>
      </c>
      <c r="G4809">
        <v>-485.91359999999997</v>
      </c>
      <c r="H4809">
        <v>1.0089109999999999</v>
      </c>
      <c r="I4809">
        <v>220.4803</v>
      </c>
      <c r="J4809">
        <v>-486.6848</v>
      </c>
      <c r="K4809">
        <v>1.112025</v>
      </c>
      <c r="L4809">
        <v>220.6738</v>
      </c>
      <c r="M4809">
        <v>0.64612259999999999</v>
      </c>
      <c r="N4809">
        <v>0</v>
      </c>
      <c r="O4809">
        <v>-0.76316759999999995</v>
      </c>
      <c r="P4809">
        <v>0.82066319999999904</v>
      </c>
      <c r="Q4809">
        <v>-1.8978149999999999E-2</v>
      </c>
      <c r="R4809">
        <v>-0.57109699999999997</v>
      </c>
      <c r="S4809">
        <v>2.9751280000000002</v>
      </c>
      <c r="T4809">
        <v>-0.36010619999999999</v>
      </c>
      <c r="U4809">
        <v>-0.9756165</v>
      </c>
      <c r="V4809">
        <v>-0.25727159999999999</v>
      </c>
      <c r="W4809">
        <v>-1.047741E-2</v>
      </c>
      <c r="X4809">
        <v>0.96628239999999999</v>
      </c>
      <c r="Y4809">
        <v>-0.51695029999999997</v>
      </c>
      <c r="Z4809">
        <v>0.10801570000000001</v>
      </c>
      <c r="AA4809">
        <v>0.84917310000000001</v>
      </c>
      <c r="AB4809">
        <v>12</v>
      </c>
      <c r="AC4809">
        <v>0.77120000000002098</v>
      </c>
      <c r="AD4809">
        <v>-0.103113999999999</v>
      </c>
      <c r="AE4809">
        <v>-0.19350000000000001</v>
      </c>
      <c r="AF4809">
        <v>-0.45588618557092703</v>
      </c>
      <c r="AG4809">
        <v>-0.103113999999999</v>
      </c>
      <c r="AH4809">
        <v>0.63531029162228403</v>
      </c>
      <c r="AI4809">
        <v>97.512089650074103</v>
      </c>
      <c r="AJ4809">
        <v>125.662478872252</v>
      </c>
      <c r="AK4809">
        <v>0.788722941108981</v>
      </c>
      <c r="AL4809">
        <v>90.600322318406498</v>
      </c>
      <c r="AM4809">
        <v>104.9090662731</v>
      </c>
      <c r="AN4809">
        <v>1.00000006441831</v>
      </c>
    </row>
    <row r="4810" spans="1:40" x14ac:dyDescent="0.25">
      <c r="A4810" t="str">
        <f>"20190312150747423"</f>
        <v>20190312150747423</v>
      </c>
      <c r="B4810" t="str">
        <f>"1552374467414528"</f>
        <v>1552374467414528</v>
      </c>
      <c r="C4810" t="s">
        <v>40</v>
      </c>
      <c r="D4810">
        <v>4.3957240000000004</v>
      </c>
      <c r="E4810">
        <v>0.38756429999999997</v>
      </c>
      <c r="F4810" t="s">
        <v>41</v>
      </c>
      <c r="G4810">
        <v>-485.84039999999999</v>
      </c>
      <c r="H4810">
        <v>1.010364</v>
      </c>
      <c r="I4810">
        <v>220.40180000000001</v>
      </c>
      <c r="J4810">
        <v>-486.59219999999999</v>
      </c>
      <c r="K4810">
        <v>1.1120380000000001</v>
      </c>
      <c r="L4810">
        <v>220.5761</v>
      </c>
      <c r="M4810">
        <v>0.65097119999999997</v>
      </c>
      <c r="N4810">
        <v>0</v>
      </c>
      <c r="O4810">
        <v>-0.75903599999999904</v>
      </c>
      <c r="P4810">
        <v>0.824621099999999</v>
      </c>
      <c r="Q4810">
        <v>-1.9077520000000001E-2</v>
      </c>
      <c r="R4810">
        <v>-0.56536409999999904</v>
      </c>
      <c r="S4810">
        <v>2.9792480000000001</v>
      </c>
      <c r="T4810">
        <v>-0.35871530000000001</v>
      </c>
      <c r="U4810">
        <v>-0.96005249999999998</v>
      </c>
      <c r="V4810">
        <v>-0.25784770000000001</v>
      </c>
      <c r="W4810">
        <v>-1.0587610000000001E-2</v>
      </c>
      <c r="X4810">
        <v>0.96612759999999998</v>
      </c>
      <c r="Y4810">
        <v>-0.51594719999999905</v>
      </c>
      <c r="Z4810">
        <v>0.107270699999999</v>
      </c>
      <c r="AA4810">
        <v>0.84987739999999901</v>
      </c>
      <c r="AB4810">
        <v>12</v>
      </c>
      <c r="AC4810">
        <v>0.75180000000000202</v>
      </c>
      <c r="AD4810">
        <v>-0.101673999999999</v>
      </c>
      <c r="AE4810">
        <v>-0.17429999999998799</v>
      </c>
      <c r="AF4810">
        <v>-0.44940173134720102</v>
      </c>
      <c r="AG4810">
        <v>-0.101673999999999</v>
      </c>
      <c r="AH4810">
        <v>0.61112413523772802</v>
      </c>
      <c r="AI4810">
        <v>97.6340305319941</v>
      </c>
      <c r="AJ4810">
        <v>126.32960988311601</v>
      </c>
      <c r="AK4810">
        <v>0.76535758118929098</v>
      </c>
      <c r="AL4810">
        <v>90.606636679978905</v>
      </c>
      <c r="AM4810">
        <v>104.94324704959</v>
      </c>
      <c r="AN4810">
        <v>1.00000003668128</v>
      </c>
    </row>
    <row r="4811" spans="1:40" x14ac:dyDescent="0.25">
      <c r="A4811" t="str">
        <f>"20190312150747446"</f>
        <v>20190312150747446</v>
      </c>
      <c r="B4811" t="str">
        <f>"1552374467435024"</f>
        <v>1552374467435024</v>
      </c>
      <c r="C4811" t="s">
        <v>40</v>
      </c>
      <c r="D4811">
        <v>4.3872559999999998</v>
      </c>
      <c r="E4811">
        <v>0.38785700000000001</v>
      </c>
      <c r="F4811" t="s">
        <v>41</v>
      </c>
      <c r="G4811">
        <v>-485.7715</v>
      </c>
      <c r="H4811">
        <v>1.0119830000000001</v>
      </c>
      <c r="I4811">
        <v>220.31700000000001</v>
      </c>
      <c r="J4811">
        <v>-486.50619999999998</v>
      </c>
      <c r="K4811">
        <v>1.11205</v>
      </c>
      <c r="L4811">
        <v>220.48650000000001</v>
      </c>
      <c r="M4811">
        <v>0.6554238</v>
      </c>
      <c r="N4811">
        <v>0</v>
      </c>
      <c r="O4811">
        <v>-0.75519449999999999</v>
      </c>
      <c r="P4811">
        <v>0.82821699999999998</v>
      </c>
      <c r="Q4811">
        <v>-1.9592910000000002E-2</v>
      </c>
      <c r="R4811">
        <v>-0.56006509999999998</v>
      </c>
      <c r="S4811">
        <v>2.9843139999999999</v>
      </c>
      <c r="T4811">
        <v>-0.36366910000000002</v>
      </c>
      <c r="U4811">
        <v>-0.94120789999999999</v>
      </c>
      <c r="V4811">
        <v>-0.25834829999999998</v>
      </c>
      <c r="W4811">
        <v>-1.111294E-2</v>
      </c>
      <c r="X4811">
        <v>0.96598790000000001</v>
      </c>
      <c r="Y4811">
        <v>-0.51604189999999905</v>
      </c>
      <c r="Z4811">
        <v>0.1084763</v>
      </c>
      <c r="AA4811">
        <v>0.84966679999999895</v>
      </c>
      <c r="AB4811">
        <v>12</v>
      </c>
      <c r="AC4811">
        <v>0.73469999999997504</v>
      </c>
      <c r="AD4811">
        <v>-0.100066999999999</v>
      </c>
      <c r="AE4811">
        <v>-0.16949999999999901</v>
      </c>
      <c r="AF4811">
        <v>-0.43608850524415299</v>
      </c>
      <c r="AG4811">
        <v>-0.100066999999999</v>
      </c>
      <c r="AH4811">
        <v>0.59902528793646503</v>
      </c>
      <c r="AI4811">
        <v>97.691407321974395</v>
      </c>
      <c r="AJ4811">
        <v>126.054499112624</v>
      </c>
      <c r="AK4811">
        <v>0.74767498586113201</v>
      </c>
      <c r="AL4811">
        <v>90.636737677656399</v>
      </c>
      <c r="AM4811">
        <v>104.973025157969</v>
      </c>
      <c r="AN4811">
        <v>0.99999998224737097</v>
      </c>
    </row>
    <row r="4812" spans="1:40" x14ac:dyDescent="0.25">
      <c r="A4812" t="str">
        <f>"20190312150747468"</f>
        <v>20190312150747468</v>
      </c>
      <c r="B4812" t="str">
        <f>"1552374467464304"</f>
        <v>1552374467464304</v>
      </c>
      <c r="C4812" t="s">
        <v>40</v>
      </c>
      <c r="D4812">
        <v>4.3610220000000002</v>
      </c>
      <c r="E4812">
        <v>0.38843220000000001</v>
      </c>
      <c r="F4812" t="s">
        <v>41</v>
      </c>
      <c r="G4812">
        <v>-485.59039999999999</v>
      </c>
      <c r="H4812">
        <v>0.99997409999999998</v>
      </c>
      <c r="I4812">
        <v>220.20320000000001</v>
      </c>
      <c r="J4812">
        <v>-486.4239</v>
      </c>
      <c r="K4812">
        <v>1.112055</v>
      </c>
      <c r="L4812">
        <v>220.40180000000001</v>
      </c>
      <c r="M4812">
        <v>0.65963380000000005</v>
      </c>
      <c r="N4812">
        <v>0</v>
      </c>
      <c r="O4812">
        <v>-0.75152010000000002</v>
      </c>
      <c r="P4812">
        <v>0.83142739999999904</v>
      </c>
      <c r="Q4812">
        <v>-1.9731370000000002E-2</v>
      </c>
      <c r="R4812">
        <v>-0.55528310000000003</v>
      </c>
      <c r="S4812">
        <v>2.9886469999999998</v>
      </c>
      <c r="T4812">
        <v>-0.36573519999999998</v>
      </c>
      <c r="U4812">
        <v>-0.92420959999999996</v>
      </c>
      <c r="V4812">
        <v>-0.2585132</v>
      </c>
      <c r="W4812">
        <v>-1.1258260000000001E-2</v>
      </c>
      <c r="X4812">
        <v>0.96594210000000003</v>
      </c>
      <c r="Y4812">
        <v>-0.51596129999999996</v>
      </c>
      <c r="Z4812">
        <v>0.1088267</v>
      </c>
      <c r="AA4812">
        <v>0.84967090000000001</v>
      </c>
      <c r="AB4812">
        <v>12</v>
      </c>
      <c r="AC4812">
        <v>0.83350000000001501</v>
      </c>
      <c r="AD4812">
        <v>-0.1120809</v>
      </c>
      <c r="AE4812">
        <v>-0.198599999999999</v>
      </c>
      <c r="AF4812">
        <v>-0.48707938537672002</v>
      </c>
      <c r="AG4812">
        <v>-0.1120809</v>
      </c>
      <c r="AH4812">
        <v>0.687331118457292</v>
      </c>
      <c r="AI4812">
        <v>97.578492234867994</v>
      </c>
      <c r="AJ4812">
        <v>125.323414860021</v>
      </c>
      <c r="AK4812">
        <v>0.84984264555476796</v>
      </c>
      <c r="AL4812">
        <v>90.645064421724399</v>
      </c>
      <c r="AM4812">
        <v>104.98283105435399</v>
      </c>
      <c r="AN4812">
        <v>0.99999998177243798</v>
      </c>
    </row>
    <row r="4813" spans="1:40" x14ac:dyDescent="0.25">
      <c r="A4813" t="str">
        <f>"20190312150747490"</f>
        <v>20190312150747490</v>
      </c>
      <c r="B4813" t="str">
        <f>"1552374467484800"</f>
        <v>1552374467484800</v>
      </c>
      <c r="C4813" t="s">
        <v>40</v>
      </c>
      <c r="D4813">
        <v>4.3962339999999998</v>
      </c>
      <c r="E4813">
        <v>0.38857789999999998</v>
      </c>
      <c r="F4813" t="s">
        <v>41</v>
      </c>
      <c r="G4813">
        <v>-485.51519999999999</v>
      </c>
      <c r="H4813">
        <v>1.0010969999999999</v>
      </c>
      <c r="I4813">
        <v>220.1251</v>
      </c>
      <c r="J4813">
        <v>-486.3365</v>
      </c>
      <c r="K4813">
        <v>1.1120639999999999</v>
      </c>
      <c r="L4813">
        <v>220.31280000000001</v>
      </c>
      <c r="M4813">
        <v>0.66406009999999904</v>
      </c>
      <c r="N4813">
        <v>0</v>
      </c>
      <c r="O4813">
        <v>-0.74761169999999899</v>
      </c>
      <c r="P4813">
        <v>0.83501409999999998</v>
      </c>
      <c r="Q4813">
        <v>-1.9651189999999999E-2</v>
      </c>
      <c r="R4813">
        <v>-0.54987759999999997</v>
      </c>
      <c r="S4813">
        <v>2.991333</v>
      </c>
      <c r="T4813">
        <v>-0.36521169999999997</v>
      </c>
      <c r="U4813">
        <v>-0.91069029999999995</v>
      </c>
      <c r="V4813">
        <v>-0.2590771</v>
      </c>
      <c r="W4813">
        <v>-1.118835E-2</v>
      </c>
      <c r="X4813">
        <v>0.96579179999999998</v>
      </c>
      <c r="Y4813">
        <v>-0.51468340000000001</v>
      </c>
      <c r="Z4813">
        <v>0.10834920000000001</v>
      </c>
      <c r="AA4813">
        <v>0.850506599999999</v>
      </c>
      <c r="AB4813">
        <v>12</v>
      </c>
      <c r="AC4813">
        <v>0.82130000000000702</v>
      </c>
      <c r="AD4813">
        <v>-0.110967</v>
      </c>
      <c r="AE4813">
        <v>-0.187700000000006</v>
      </c>
      <c r="AF4813">
        <v>-0.48104842260692698</v>
      </c>
      <c r="AG4813">
        <v>-0.110967</v>
      </c>
      <c r="AH4813">
        <v>0.67405965817996605</v>
      </c>
      <c r="AI4813">
        <v>97.632199646535099</v>
      </c>
      <c r="AJ4813">
        <v>125.513875804232</v>
      </c>
      <c r="AK4813">
        <v>0.83551043247065704</v>
      </c>
      <c r="AL4813">
        <v>90.641058634124704</v>
      </c>
      <c r="AM4813">
        <v>105.016270181373</v>
      </c>
      <c r="AN4813">
        <v>0.99999996193368501</v>
      </c>
    </row>
    <row r="4814" spans="1:40" x14ac:dyDescent="0.25">
      <c r="A4814" t="str">
        <f>"20190312150747513"</f>
        <v>20190312150747513</v>
      </c>
      <c r="B4814" t="str">
        <f>"1552374467504321"</f>
        <v>1552374467504321</v>
      </c>
      <c r="C4814" t="s">
        <v>40</v>
      </c>
      <c r="D4814">
        <v>4.3766930000000004</v>
      </c>
      <c r="E4814">
        <v>0.3665639</v>
      </c>
      <c r="F4814" t="s">
        <v>41</v>
      </c>
      <c r="G4814">
        <v>-485.44040000000001</v>
      </c>
      <c r="H4814">
        <v>1.00258</v>
      </c>
      <c r="I4814">
        <v>220.04570000000001</v>
      </c>
      <c r="J4814">
        <v>-486.24919999999997</v>
      </c>
      <c r="K4814">
        <v>1.112074</v>
      </c>
      <c r="L4814">
        <v>220.22489999999999</v>
      </c>
      <c r="M4814">
        <v>0.6684331</v>
      </c>
      <c r="N4814">
        <v>0</v>
      </c>
      <c r="O4814">
        <v>-0.74370449999999999</v>
      </c>
      <c r="P4814">
        <v>0.83833119999999905</v>
      </c>
      <c r="Q4814">
        <v>-1.9672490000000001E-2</v>
      </c>
      <c r="R4814">
        <v>-0.54480669999999898</v>
      </c>
      <c r="S4814">
        <v>2.9964900000000001</v>
      </c>
      <c r="T4814">
        <v>-0.36600939999999998</v>
      </c>
      <c r="U4814">
        <v>-0.89230350000000003</v>
      </c>
      <c r="V4814">
        <v>-0.25926589999999999</v>
      </c>
      <c r="W4814">
        <v>-1.121696E-2</v>
      </c>
      <c r="X4814">
        <v>0.96574090000000001</v>
      </c>
      <c r="Y4814">
        <v>-0.51485069999999999</v>
      </c>
      <c r="Z4814">
        <v>0.10829320000000001</v>
      </c>
      <c r="AA4814">
        <v>0.85041250000000002</v>
      </c>
      <c r="AB4814">
        <v>13</v>
      </c>
      <c r="AC4814">
        <v>0.80879999999996199</v>
      </c>
      <c r="AD4814">
        <v>-0.10949399999999899</v>
      </c>
      <c r="AE4814">
        <v>-0.17919999999997999</v>
      </c>
      <c r="AF4814">
        <v>-0.47347775384919899</v>
      </c>
      <c r="AG4814">
        <v>-0.10949399999999899</v>
      </c>
      <c r="AH4814">
        <v>0.66236321717547197</v>
      </c>
      <c r="AI4814">
        <v>97.6592998177737</v>
      </c>
      <c r="AJ4814">
        <v>125.558359701271</v>
      </c>
      <c r="AK4814">
        <v>0.82152002464524498</v>
      </c>
      <c r="AL4814">
        <v>90.6426979085212</v>
      </c>
      <c r="AM4814">
        <v>105.027474546137</v>
      </c>
      <c r="AN4814">
        <v>1.00000005651362</v>
      </c>
    </row>
    <row r="4815" spans="1:40" x14ac:dyDescent="0.25">
      <c r="A4815" t="str">
        <f>"20190312150747535"</f>
        <v>20190312150747535</v>
      </c>
      <c r="B4815" t="str">
        <f>"1552374467524816"</f>
        <v>1552374467524816</v>
      </c>
      <c r="C4815" t="s">
        <v>40</v>
      </c>
      <c r="D4815">
        <v>4.3556419999999996</v>
      </c>
      <c r="E4815">
        <v>0.35444560000000003</v>
      </c>
      <c r="F4815" t="s">
        <v>41</v>
      </c>
      <c r="G4815">
        <v>-485.33319999999998</v>
      </c>
      <c r="H4815">
        <v>0.99071540000000002</v>
      </c>
      <c r="I4815">
        <v>220.01070000000001</v>
      </c>
      <c r="J4815">
        <v>-486.15879999999999</v>
      </c>
      <c r="K4815">
        <v>1.112085</v>
      </c>
      <c r="L4815">
        <v>220.13499999999999</v>
      </c>
      <c r="M4815">
        <v>0.67290589999999995</v>
      </c>
      <c r="N4815">
        <v>0</v>
      </c>
      <c r="O4815">
        <v>-0.73965979999999998</v>
      </c>
      <c r="P4815">
        <v>0.84171379999999996</v>
      </c>
      <c r="Q4815">
        <v>-1.9486610000000001E-2</v>
      </c>
      <c r="R4815">
        <v>-0.53957239999999995</v>
      </c>
      <c r="S4815">
        <v>3.0978699999999999</v>
      </c>
      <c r="T4815">
        <v>-0.41052060000000001</v>
      </c>
      <c r="U4815">
        <v>-0.72479249999999995</v>
      </c>
      <c r="V4815">
        <v>-0.25946350000000001</v>
      </c>
      <c r="W4815">
        <v>-1.1038539999999999E-2</v>
      </c>
      <c r="X4815">
        <v>0.96568980000000004</v>
      </c>
      <c r="Y4815">
        <v>-0.55779460000000003</v>
      </c>
      <c r="Z4815">
        <v>0.1213099</v>
      </c>
      <c r="AA4815">
        <v>0.82106579999999996</v>
      </c>
      <c r="AB4815">
        <v>13</v>
      </c>
      <c r="AC4815">
        <v>0.82560000000000799</v>
      </c>
      <c r="AD4815">
        <v>-0.12136959999999899</v>
      </c>
      <c r="AE4815">
        <v>-0.124299999999976</v>
      </c>
      <c r="AF4815">
        <v>-0.51614033793455305</v>
      </c>
      <c r="AG4815">
        <v>-0.12136959999999899</v>
      </c>
      <c r="AH4815">
        <v>0.63412307814935198</v>
      </c>
      <c r="AI4815">
        <v>98.443409071966997</v>
      </c>
      <c r="AJ4815">
        <v>129.14364110953201</v>
      </c>
      <c r="AK4815">
        <v>0.82658545020400898</v>
      </c>
      <c r="AL4815">
        <v>90.6324746156223</v>
      </c>
      <c r="AM4815">
        <v>105.039168853075</v>
      </c>
      <c r="AN4815">
        <v>0.99999997351081005</v>
      </c>
    </row>
    <row r="4816" spans="1:40" x14ac:dyDescent="0.25">
      <c r="A4816" t="str">
        <f>"20190312150747556"</f>
        <v>20190312150747556</v>
      </c>
      <c r="B4816" t="str">
        <f>"1552374467544340"</f>
        <v>1552374467544340</v>
      </c>
      <c r="C4816" t="s">
        <v>40</v>
      </c>
      <c r="D4816">
        <v>4.3483510000000001</v>
      </c>
      <c r="E4816">
        <v>0.35147539999999999</v>
      </c>
      <c r="F4816" t="s">
        <v>41</v>
      </c>
      <c r="G4816">
        <v>-485.2423</v>
      </c>
      <c r="H4816">
        <v>1.009009</v>
      </c>
      <c r="I4816">
        <v>219.95269999999999</v>
      </c>
      <c r="J4816">
        <v>-486.07690000000002</v>
      </c>
      <c r="K4816">
        <v>1.1120939999999999</v>
      </c>
      <c r="L4816">
        <v>220.05439999999999</v>
      </c>
      <c r="M4816">
        <v>0.67691669999999904</v>
      </c>
      <c r="N4816">
        <v>0</v>
      </c>
      <c r="O4816">
        <v>-0.73599110000000001</v>
      </c>
      <c r="P4816">
        <v>0.84477839999999904</v>
      </c>
      <c r="Q4816">
        <v>-1.9448010000000002E-2</v>
      </c>
      <c r="R4816">
        <v>-0.53476299999999999</v>
      </c>
      <c r="S4816">
        <v>3.1542970000000001</v>
      </c>
      <c r="T4816">
        <v>-0.3546646</v>
      </c>
      <c r="U4816">
        <v>-0.62649540000000004</v>
      </c>
      <c r="V4816">
        <v>-0.25972230000000002</v>
      </c>
      <c r="W4816">
        <v>-1.100741E-2</v>
      </c>
      <c r="X4816">
        <v>0.96562060000000005</v>
      </c>
      <c r="Y4816">
        <v>-0.58317140000000001</v>
      </c>
      <c r="Z4816">
        <v>0.10482850000000001</v>
      </c>
      <c r="AA4816">
        <v>0.80555699999999997</v>
      </c>
      <c r="AB4816">
        <v>13</v>
      </c>
      <c r="AC4816">
        <v>0.83460000000002299</v>
      </c>
      <c r="AD4816">
        <v>-0.103085</v>
      </c>
      <c r="AE4816">
        <v>-0.101699999999993</v>
      </c>
      <c r="AF4816">
        <v>-0.53736528137308504</v>
      </c>
      <c r="AG4816">
        <v>-0.103085</v>
      </c>
      <c r="AH4816">
        <v>0.63036130358105902</v>
      </c>
      <c r="AI4816">
        <v>97.094011309402006</v>
      </c>
      <c r="AJ4816">
        <v>130.446658645318</v>
      </c>
      <c r="AK4816">
        <v>0.83471152855497799</v>
      </c>
      <c r="AL4816">
        <v>90.630690879397903</v>
      </c>
      <c r="AM4816">
        <v>105.05451884848</v>
      </c>
      <c r="AN4816">
        <v>0.99999998966827897</v>
      </c>
    </row>
    <row r="4817" spans="1:40" x14ac:dyDescent="0.25">
      <c r="A4817" t="str">
        <f>"20190312150747578"</f>
        <v>20190312150747578</v>
      </c>
      <c r="B4817" t="str">
        <f>"1552374467574592"</f>
        <v>1552374467574592</v>
      </c>
      <c r="C4817" t="s">
        <v>40</v>
      </c>
      <c r="D4817">
        <v>4.4009980000000004</v>
      </c>
      <c r="E4817">
        <v>0.35051090000000001</v>
      </c>
      <c r="F4817" t="s">
        <v>41</v>
      </c>
      <c r="G4817">
        <v>-485.15899999999999</v>
      </c>
      <c r="H4817">
        <v>1.01251</v>
      </c>
      <c r="I4817">
        <v>219.88390000000001</v>
      </c>
      <c r="J4817">
        <v>-485.98770000000002</v>
      </c>
      <c r="K4817">
        <v>1.1121030000000001</v>
      </c>
      <c r="L4817">
        <v>219.96770000000001</v>
      </c>
      <c r="M4817">
        <v>0.68123829999999996</v>
      </c>
      <c r="N4817">
        <v>0</v>
      </c>
      <c r="O4817">
        <v>-0.73199289999999995</v>
      </c>
      <c r="P4817">
        <v>0.8477846</v>
      </c>
      <c r="Q4817">
        <v>-1.9277760000000001E-2</v>
      </c>
      <c r="R4817">
        <v>-0.52999069999999904</v>
      </c>
      <c r="S4817">
        <v>3.1704409999999998</v>
      </c>
      <c r="T4817">
        <v>-0.34399180000000001</v>
      </c>
      <c r="U4817">
        <v>-0.58906559999999997</v>
      </c>
      <c r="V4817">
        <v>-0.25948569999999999</v>
      </c>
      <c r="W4817">
        <v>-1.084122E-2</v>
      </c>
      <c r="X4817">
        <v>0.96568609999999999</v>
      </c>
      <c r="Y4817">
        <v>-0.58878509999999995</v>
      </c>
      <c r="Z4817">
        <v>0.1014243</v>
      </c>
      <c r="AA4817">
        <v>0.80190099999999997</v>
      </c>
      <c r="AB4817">
        <v>13</v>
      </c>
      <c r="AC4817">
        <v>0.82870000000002597</v>
      </c>
      <c r="AD4817">
        <v>-9.9593000000000001E-2</v>
      </c>
      <c r="AE4817">
        <v>-8.3799999999996502E-2</v>
      </c>
      <c r="AF4817">
        <v>-0.541796380843798</v>
      </c>
      <c r="AG4817">
        <v>-9.9593000000000001E-2</v>
      </c>
      <c r="AH4817">
        <v>0.61709216374879095</v>
      </c>
      <c r="AI4817">
        <v>96.915031798545996</v>
      </c>
      <c r="AJ4817">
        <v>131.28258010835</v>
      </c>
      <c r="AK4817">
        <v>0.82720301166316001</v>
      </c>
      <c r="AL4817">
        <v>90.621168317710399</v>
      </c>
      <c r="AM4817">
        <v>105.04045233641899</v>
      </c>
      <c r="AN4817">
        <v>1.00000000214439</v>
      </c>
    </row>
    <row r="4818" spans="1:40" x14ac:dyDescent="0.25">
      <c r="A4818" t="str">
        <f>"20190312150747601"</f>
        <v>20190312150747601</v>
      </c>
      <c r="B4818" t="str">
        <f>"1552374467595088"</f>
        <v>1552374467595088</v>
      </c>
      <c r="C4818" t="s">
        <v>40</v>
      </c>
      <c r="D4818">
        <v>4.387594</v>
      </c>
      <c r="E4818">
        <v>0.35067880000000001</v>
      </c>
      <c r="F4818" t="s">
        <v>41</v>
      </c>
      <c r="G4818">
        <v>-485.08139999999997</v>
      </c>
      <c r="H4818">
        <v>1.012861</v>
      </c>
      <c r="I4818">
        <v>219.8065</v>
      </c>
      <c r="J4818">
        <v>-485.89600000000002</v>
      </c>
      <c r="K4818">
        <v>1.1121099999999999</v>
      </c>
      <c r="L4818">
        <v>219.87950000000001</v>
      </c>
      <c r="M4818">
        <v>0.68563280000000004</v>
      </c>
      <c r="N4818">
        <v>0</v>
      </c>
      <c r="O4818">
        <v>-0.72787829999999998</v>
      </c>
      <c r="P4818">
        <v>0.8508445</v>
      </c>
      <c r="Q4818">
        <v>-1.9328939999999999E-2</v>
      </c>
      <c r="R4818">
        <v>-0.52506239999999904</v>
      </c>
      <c r="S4818">
        <v>3.177765</v>
      </c>
      <c r="T4818">
        <v>-0.347858099999999</v>
      </c>
      <c r="U4818">
        <v>-0.56465149999999997</v>
      </c>
      <c r="V4818">
        <v>-0.25927420000000001</v>
      </c>
      <c r="W4818">
        <v>-1.0896970000000001E-2</v>
      </c>
      <c r="X4818">
        <v>0.96574230000000005</v>
      </c>
      <c r="Y4818">
        <v>-0.59010909999999905</v>
      </c>
      <c r="Z4818">
        <v>0.1022488</v>
      </c>
      <c r="AA4818">
        <v>0.80082240000000005</v>
      </c>
      <c r="AB4818">
        <v>13</v>
      </c>
      <c r="AC4818">
        <v>0.814599999999984</v>
      </c>
      <c r="AD4818">
        <v>-9.9248999999999907E-2</v>
      </c>
      <c r="AE4818">
        <v>-7.3000000000007503E-2</v>
      </c>
      <c r="AF4818">
        <v>-0.53502694839528397</v>
      </c>
      <c r="AG4818">
        <v>-9.9248999999999907E-2</v>
      </c>
      <c r="AH4818">
        <v>0.60280542525785197</v>
      </c>
      <c r="AI4818">
        <v>97.019974621307796</v>
      </c>
      <c r="AJ4818">
        <v>131.591029347736</v>
      </c>
      <c r="AK4818">
        <v>0.81208286537179897</v>
      </c>
      <c r="AL4818">
        <v>90.624362733476005</v>
      </c>
      <c r="AM4818">
        <v>105.027913065831</v>
      </c>
      <c r="AN4818">
        <v>1.00000002237505</v>
      </c>
    </row>
    <row r="4819" spans="1:40" x14ac:dyDescent="0.25">
      <c r="A4819" t="str">
        <f>"20190312150747626"</f>
        <v>20190312150747626</v>
      </c>
      <c r="B4819" t="str">
        <f>"1552374467614608"</f>
        <v>1552374467614608</v>
      </c>
      <c r="C4819" t="s">
        <v>40</v>
      </c>
      <c r="D4819">
        <v>4.3983660000000002</v>
      </c>
      <c r="E4819">
        <v>0.35082740000000001</v>
      </c>
      <c r="F4819" t="s">
        <v>41</v>
      </c>
      <c r="G4819">
        <v>-485.0052</v>
      </c>
      <c r="H4819">
        <v>1.0136449999999999</v>
      </c>
      <c r="I4819">
        <v>219.72630000000001</v>
      </c>
      <c r="J4819">
        <v>-485.79790000000003</v>
      </c>
      <c r="K4819">
        <v>1.1121219999999901</v>
      </c>
      <c r="L4819">
        <v>219.78639999999999</v>
      </c>
      <c r="M4819">
        <v>0.69027550000000004</v>
      </c>
      <c r="N4819">
        <v>0</v>
      </c>
      <c r="O4819">
        <v>-0.72347659999999903</v>
      </c>
      <c r="P4819">
        <v>0.85421349999999996</v>
      </c>
      <c r="Q4819">
        <v>-1.9293850000000001E-2</v>
      </c>
      <c r="R4819">
        <v>-0.51956400000000003</v>
      </c>
      <c r="S4819">
        <v>3.1802980000000001</v>
      </c>
      <c r="T4819">
        <v>-0.3515412</v>
      </c>
      <c r="U4819">
        <v>-0.54705809999999999</v>
      </c>
      <c r="V4819">
        <v>-0.259324</v>
      </c>
      <c r="W4819">
        <v>-1.0868630000000001E-2</v>
      </c>
      <c r="X4819">
        <v>0.96572919999999995</v>
      </c>
      <c r="Y4819">
        <v>-0.58925349999999999</v>
      </c>
      <c r="Z4819">
        <v>0.1029863</v>
      </c>
      <c r="AA4819">
        <v>0.80135769999999995</v>
      </c>
      <c r="AB4819">
        <v>13</v>
      </c>
      <c r="AC4819">
        <v>0.79270000000002405</v>
      </c>
      <c r="AD4819">
        <v>-9.8476999999999704E-2</v>
      </c>
      <c r="AE4819">
        <v>-6.0099999999977102E-2</v>
      </c>
      <c r="AF4819">
        <v>-0.52400059296309898</v>
      </c>
      <c r="AG4819">
        <v>-9.8476999999999704E-2</v>
      </c>
      <c r="AH4819">
        <v>0.58176516552883895</v>
      </c>
      <c r="AI4819">
        <v>97.168742498643596</v>
      </c>
      <c r="AJ4819">
        <v>132.00961938705399</v>
      </c>
      <c r="AK4819">
        <v>0.78912929788310204</v>
      </c>
      <c r="AL4819">
        <v>90.622738903891602</v>
      </c>
      <c r="AM4819">
        <v>105.03086360124701</v>
      </c>
      <c r="AN4819">
        <v>0.99999997591335799</v>
      </c>
    </row>
    <row r="4820" spans="1:40" x14ac:dyDescent="0.25">
      <c r="A4820" t="str">
        <f>"20190312150747647"</f>
        <v>20190312150747647</v>
      </c>
      <c r="B4820" t="str">
        <f>"1552374467635104"</f>
        <v>1552374467635104</v>
      </c>
      <c r="C4820" t="s">
        <v>40</v>
      </c>
      <c r="D4820">
        <v>4.3871789999999997</v>
      </c>
      <c r="E4820">
        <v>0.35119430000000001</v>
      </c>
      <c r="F4820" t="s">
        <v>41</v>
      </c>
      <c r="G4820">
        <v>-484.81270000000001</v>
      </c>
      <c r="H4820">
        <v>1.003765</v>
      </c>
      <c r="I4820">
        <v>219.62299999999999</v>
      </c>
      <c r="J4820">
        <v>-485.71039999999999</v>
      </c>
      <c r="K4820">
        <v>1.112134</v>
      </c>
      <c r="L4820">
        <v>219.70439999999999</v>
      </c>
      <c r="M4820">
        <v>0.69436450000000005</v>
      </c>
      <c r="N4820">
        <v>0</v>
      </c>
      <c r="O4820">
        <v>-0.71955340000000001</v>
      </c>
      <c r="P4820">
        <v>0.85738709999999996</v>
      </c>
      <c r="Q4820">
        <v>-1.949174E-2</v>
      </c>
      <c r="R4820">
        <v>-0.51430290000000001</v>
      </c>
      <c r="S4820">
        <v>3.1830750000000001</v>
      </c>
      <c r="T4820">
        <v>-0.35010629999999998</v>
      </c>
      <c r="U4820">
        <v>-0.52777099999999999</v>
      </c>
      <c r="V4820">
        <v>-0.25978289999999998</v>
      </c>
      <c r="W4820">
        <v>-1.107607E-2</v>
      </c>
      <c r="X4820">
        <v>0.96560349999999995</v>
      </c>
      <c r="Y4820">
        <v>-0.58959949999999905</v>
      </c>
      <c r="Z4820">
        <v>0.10232380000000001</v>
      </c>
      <c r="AA4820">
        <v>0.80118809999999996</v>
      </c>
      <c r="AB4820">
        <v>13</v>
      </c>
      <c r="AC4820">
        <v>0.89769999999998595</v>
      </c>
      <c r="AD4820">
        <v>-0.10836899999999899</v>
      </c>
      <c r="AE4820">
        <v>-8.1400000000002096E-2</v>
      </c>
      <c r="AF4820">
        <v>-0.58105293480113795</v>
      </c>
      <c r="AG4820">
        <v>-0.10836899999999899</v>
      </c>
      <c r="AH4820">
        <v>0.67222069080367597</v>
      </c>
      <c r="AI4820">
        <v>96.9536229967661</v>
      </c>
      <c r="AJ4820">
        <v>130.839421656974</v>
      </c>
      <c r="AK4820">
        <v>0.89512401953393395</v>
      </c>
      <c r="AL4820">
        <v>90.634625055639205</v>
      </c>
      <c r="AM4820">
        <v>105.058126508101</v>
      </c>
      <c r="AN4820">
        <v>0.999999976835652</v>
      </c>
    </row>
    <row r="4821" spans="1:40" x14ac:dyDescent="0.25">
      <c r="A4821" t="str">
        <f>"20190312150747669"</f>
        <v>20190312150747669</v>
      </c>
      <c r="B4821" t="str">
        <f>"1552374467664384"</f>
        <v>1552374467664384</v>
      </c>
      <c r="C4821" t="s">
        <v>40</v>
      </c>
      <c r="D4821">
        <v>4.3811920000000004</v>
      </c>
      <c r="E4821">
        <v>0.35200120000000001</v>
      </c>
      <c r="F4821" t="s">
        <v>41</v>
      </c>
      <c r="G4821">
        <v>-484.73239999999998</v>
      </c>
      <c r="H4821">
        <v>1.004756</v>
      </c>
      <c r="I4821">
        <v>219.54730000000001</v>
      </c>
      <c r="J4821">
        <v>-485.6191</v>
      </c>
      <c r="K4821">
        <v>1.1121460000000001</v>
      </c>
      <c r="L4821">
        <v>219.6198</v>
      </c>
      <c r="M4821">
        <v>0.69859169999999904</v>
      </c>
      <c r="N4821">
        <v>0</v>
      </c>
      <c r="O4821">
        <v>-0.71544980000000002</v>
      </c>
      <c r="P4821">
        <v>0.86058109999999999</v>
      </c>
      <c r="Q4821">
        <v>-1.9955529999999999E-2</v>
      </c>
      <c r="R4821">
        <v>-0.50892219999999999</v>
      </c>
      <c r="S4821">
        <v>3.1845089999999998</v>
      </c>
      <c r="T4821">
        <v>-0.34952090000000002</v>
      </c>
      <c r="U4821">
        <v>-0.51104740000000004</v>
      </c>
      <c r="V4821">
        <v>-0.26013190000000003</v>
      </c>
      <c r="W4821">
        <v>-1.1548320000000001E-2</v>
      </c>
      <c r="X4821">
        <v>0.96550409999999998</v>
      </c>
      <c r="Y4821">
        <v>-0.58905450000000004</v>
      </c>
      <c r="Z4821">
        <v>0.1018737</v>
      </c>
      <c r="AA4821">
        <v>0.80164619999999998</v>
      </c>
      <c r="AB4821">
        <v>13</v>
      </c>
      <c r="AC4821">
        <v>0.88670000000001803</v>
      </c>
      <c r="AD4821">
        <v>-0.107389999999999</v>
      </c>
      <c r="AE4821">
        <v>-7.2499999999990905E-2</v>
      </c>
      <c r="AF4821">
        <v>-0.57538718862176697</v>
      </c>
      <c r="AG4821">
        <v>-0.107389999999999</v>
      </c>
      <c r="AH4821">
        <v>0.66170385775013196</v>
      </c>
      <c r="AI4821">
        <v>96.982130410374495</v>
      </c>
      <c r="AJ4821">
        <v>131.00871857004199</v>
      </c>
      <c r="AK4821">
        <v>0.88343365585168199</v>
      </c>
      <c r="AL4821">
        <v>90.661684659409303</v>
      </c>
      <c r="AM4821">
        <v>105.07891711179199</v>
      </c>
      <c r="AN4821">
        <v>1.00000006810461</v>
      </c>
    </row>
    <row r="4822" spans="1:40" x14ac:dyDescent="0.25">
      <c r="A4822" t="str">
        <f>"20190312150747690"</f>
        <v>20190312150747690</v>
      </c>
      <c r="B4822" t="str">
        <f>"1552374467684880"</f>
        <v>1552374467684880</v>
      </c>
      <c r="C4822" t="s">
        <v>40</v>
      </c>
      <c r="D4822">
        <v>4.3926910000000001</v>
      </c>
      <c r="E4822">
        <v>0.3523908</v>
      </c>
      <c r="F4822" t="s">
        <v>41</v>
      </c>
      <c r="G4822">
        <v>-484.65300000000002</v>
      </c>
      <c r="H4822">
        <v>1.0049980000000001</v>
      </c>
      <c r="I4822">
        <v>219.4693</v>
      </c>
      <c r="J4822">
        <v>-485.52910000000003</v>
      </c>
      <c r="K4822">
        <v>1.1121570000000001</v>
      </c>
      <c r="L4822">
        <v>219.53729999999999</v>
      </c>
      <c r="M4822">
        <v>0.7027139</v>
      </c>
      <c r="N4822">
        <v>0</v>
      </c>
      <c r="O4822">
        <v>-0.71140150000000002</v>
      </c>
      <c r="P4822">
        <v>0.86329290000000003</v>
      </c>
      <c r="Q4822">
        <v>-1.9850030000000001E-2</v>
      </c>
      <c r="R4822">
        <v>-0.50431289999999995</v>
      </c>
      <c r="S4822">
        <v>3.1842649999999999</v>
      </c>
      <c r="T4822">
        <v>-0.35320940000000001</v>
      </c>
      <c r="U4822">
        <v>-0.49638369999999998</v>
      </c>
      <c r="V4822">
        <v>-0.25971880000000003</v>
      </c>
      <c r="W4822">
        <v>-1.1445200000000001E-2</v>
      </c>
      <c r="X4822">
        <v>0.96561649999999999</v>
      </c>
      <c r="Y4822">
        <v>-0.58786749999999999</v>
      </c>
      <c r="Z4822">
        <v>0.1026661</v>
      </c>
      <c r="AA4822">
        <v>0.80241600000000002</v>
      </c>
      <c r="AB4822">
        <v>13</v>
      </c>
      <c r="AC4822">
        <v>0.87610000000000798</v>
      </c>
      <c r="AD4822">
        <v>-0.10715899999999901</v>
      </c>
      <c r="AE4822">
        <v>-6.7999999999983601E-2</v>
      </c>
      <c r="AF4822">
        <v>-0.56707046610894696</v>
      </c>
      <c r="AG4822">
        <v>-0.10715899999999901</v>
      </c>
      <c r="AH4822">
        <v>0.65432600167934696</v>
      </c>
      <c r="AI4822">
        <v>97.055072637536</v>
      </c>
      <c r="AJ4822">
        <v>130.91377971834899</v>
      </c>
      <c r="AK4822">
        <v>0.87246460173906204</v>
      </c>
      <c r="AL4822">
        <v>90.655775949326994</v>
      </c>
      <c r="AM4822">
        <v>105.054386202879</v>
      </c>
      <c r="AN4822">
        <v>1.00000003637436</v>
      </c>
    </row>
    <row r="4823" spans="1:40" x14ac:dyDescent="0.25">
      <c r="A4823" t="str">
        <f>"20190312150747713"</f>
        <v>20190312150747713</v>
      </c>
      <c r="B4823" t="str">
        <f>"1552374467704401"</f>
        <v>1552374467704401</v>
      </c>
      <c r="C4823" t="s">
        <v>40</v>
      </c>
      <c r="D4823">
        <v>4.4085640000000001</v>
      </c>
      <c r="E4823">
        <v>0.35291319999999998</v>
      </c>
      <c r="F4823" t="s">
        <v>41</v>
      </c>
      <c r="G4823">
        <v>-484.57240000000002</v>
      </c>
      <c r="H4823">
        <v>1.006578</v>
      </c>
      <c r="I4823">
        <v>219.39240000000001</v>
      </c>
      <c r="J4823">
        <v>-485.4357</v>
      </c>
      <c r="K4823">
        <v>1.1121719999999999</v>
      </c>
      <c r="L4823">
        <v>219.4528</v>
      </c>
      <c r="M4823">
        <v>0.7069377</v>
      </c>
      <c r="N4823">
        <v>0</v>
      </c>
      <c r="O4823">
        <v>-0.70720430000000001</v>
      </c>
      <c r="P4823">
        <v>0.86605580000000004</v>
      </c>
      <c r="Q4823">
        <v>-1.956664E-2</v>
      </c>
      <c r="R4823">
        <v>-0.49956430000000002</v>
      </c>
      <c r="S4823">
        <v>3.1855769999999999</v>
      </c>
      <c r="T4823">
        <v>-0.35145219999999999</v>
      </c>
      <c r="U4823">
        <v>-0.48170469999999999</v>
      </c>
      <c r="V4823">
        <v>-0.25927709999999998</v>
      </c>
      <c r="W4823">
        <v>-1.116434E-2</v>
      </c>
      <c r="X4823">
        <v>0.96573850000000006</v>
      </c>
      <c r="Y4823">
        <v>-0.58682040000000002</v>
      </c>
      <c r="Z4823">
        <v>0.1018278</v>
      </c>
      <c r="AA4823">
        <v>0.80328880000000003</v>
      </c>
      <c r="AB4823">
        <v>13</v>
      </c>
      <c r="AC4823">
        <v>0.86329999999998097</v>
      </c>
      <c r="AD4823">
        <v>-0.10559399999999899</v>
      </c>
      <c r="AE4823">
        <v>-6.0399999999987103E-2</v>
      </c>
      <c r="AF4823">
        <v>-0.55952893221151201</v>
      </c>
      <c r="AG4823">
        <v>-0.10559399999999899</v>
      </c>
      <c r="AH4823">
        <v>0.64346758955657102</v>
      </c>
      <c r="AI4823">
        <v>97.059153034018195</v>
      </c>
      <c r="AJ4823">
        <v>131.008676091762</v>
      </c>
      <c r="AK4823">
        <v>0.85922829191519301</v>
      </c>
      <c r="AL4823">
        <v>90.639682817758896</v>
      </c>
      <c r="AM4823">
        <v>105.028130007999</v>
      </c>
      <c r="AN4823">
        <v>1.0000000537271401</v>
      </c>
    </row>
    <row r="4824" spans="1:40" x14ac:dyDescent="0.25">
      <c r="A4824" t="str">
        <f>"20190312150747735"</f>
        <v>20190312150747735</v>
      </c>
      <c r="B4824" t="str">
        <f>"1552374467724900"</f>
        <v>1552374467724900</v>
      </c>
      <c r="C4824" t="s">
        <v>40</v>
      </c>
      <c r="D4824">
        <v>4.398981</v>
      </c>
      <c r="E4824">
        <v>0.35350730000000002</v>
      </c>
      <c r="F4824" t="s">
        <v>41</v>
      </c>
      <c r="G4824">
        <v>-484.49209999999999</v>
      </c>
      <c r="H4824">
        <v>1.0079670000000001</v>
      </c>
      <c r="I4824">
        <v>219.3142</v>
      </c>
      <c r="J4824">
        <v>-485.33780000000002</v>
      </c>
      <c r="K4824">
        <v>1.1121829999999999</v>
      </c>
      <c r="L4824">
        <v>219.36510000000001</v>
      </c>
      <c r="M4824">
        <v>0.71132050000000002</v>
      </c>
      <c r="N4824">
        <v>0</v>
      </c>
      <c r="O4824">
        <v>-0.70279569999999902</v>
      </c>
      <c r="P4824">
        <v>0.86893629999999999</v>
      </c>
      <c r="Q4824">
        <v>-1.9975840000000002E-2</v>
      </c>
      <c r="R4824">
        <v>-0.49452079999999998</v>
      </c>
      <c r="S4824">
        <v>3.1859440000000001</v>
      </c>
      <c r="T4824">
        <v>-0.35189860000000001</v>
      </c>
      <c r="U4824">
        <v>-0.46821590000000002</v>
      </c>
      <c r="V4824">
        <v>-0.25887929999999998</v>
      </c>
      <c r="W4824">
        <v>-1.1576680000000001E-2</v>
      </c>
      <c r="X4824">
        <v>0.96584029999999998</v>
      </c>
      <c r="Y4824">
        <v>-0.58515130000000004</v>
      </c>
      <c r="Z4824">
        <v>0.10159559999999999</v>
      </c>
      <c r="AA4824">
        <v>0.80453479999999999</v>
      </c>
      <c r="AB4824">
        <v>13</v>
      </c>
      <c r="AC4824">
        <v>0.84570000000002199</v>
      </c>
      <c r="AD4824">
        <v>-0.104215999999999</v>
      </c>
      <c r="AE4824">
        <v>-5.0900000000012803E-2</v>
      </c>
      <c r="AF4824">
        <v>-0.54985655260392197</v>
      </c>
      <c r="AG4824">
        <v>-0.104215999999999</v>
      </c>
      <c r="AH4824">
        <v>0.627868115807802</v>
      </c>
      <c r="AI4824">
        <v>97.117631046729102</v>
      </c>
      <c r="AJ4824">
        <v>131.210308389196</v>
      </c>
      <c r="AK4824">
        <v>0.84108357132065603</v>
      </c>
      <c r="AL4824">
        <v>90.663309722541399</v>
      </c>
      <c r="AM4824">
        <v>105.004603313568</v>
      </c>
      <c r="AN4824">
        <v>0.99999999829620101</v>
      </c>
    </row>
    <row r="4825" spans="1:40" x14ac:dyDescent="0.25">
      <c r="A4825" t="str">
        <f>"20190312150747757"</f>
        <v>20190312150747757</v>
      </c>
      <c r="B4825" t="str">
        <f>"1552374467755153"</f>
        <v>1552374467755153</v>
      </c>
      <c r="C4825" t="s">
        <v>40</v>
      </c>
      <c r="D4825">
        <v>4.3616479999999997</v>
      </c>
      <c r="E4825">
        <v>0.35447630000000002</v>
      </c>
      <c r="F4825" t="s">
        <v>41</v>
      </c>
      <c r="G4825">
        <v>-484.41309999999999</v>
      </c>
      <c r="H4825">
        <v>1.0093430000000001</v>
      </c>
      <c r="I4825">
        <v>219.23330000000001</v>
      </c>
      <c r="J4825">
        <v>-485.24779999999998</v>
      </c>
      <c r="K4825">
        <v>1.112188</v>
      </c>
      <c r="L4825">
        <v>219.28559999999999</v>
      </c>
      <c r="M4825">
        <v>0.71530119999999997</v>
      </c>
      <c r="N4825">
        <v>0</v>
      </c>
      <c r="O4825">
        <v>-0.69874389999999997</v>
      </c>
      <c r="P4825">
        <v>0.87167939999999999</v>
      </c>
      <c r="Q4825">
        <v>-1.959671E-2</v>
      </c>
      <c r="R4825">
        <v>-0.48968460000000003</v>
      </c>
      <c r="S4825">
        <v>3.186188</v>
      </c>
      <c r="T4825">
        <v>-0.35429509999999997</v>
      </c>
      <c r="U4825">
        <v>-0.4537506</v>
      </c>
      <c r="V4825">
        <v>-0.2587681</v>
      </c>
      <c r="W4825">
        <v>-1.1202200000000001E-2</v>
      </c>
      <c r="X4825">
        <v>0.96587460000000003</v>
      </c>
      <c r="Y4825">
        <v>-0.58407399999999998</v>
      </c>
      <c r="Z4825">
        <v>0.10198160000000001</v>
      </c>
      <c r="AA4825">
        <v>0.80526850000000005</v>
      </c>
      <c r="AB4825">
        <v>13</v>
      </c>
      <c r="AC4825">
        <v>0.834699999999997</v>
      </c>
      <c r="AD4825">
        <v>-0.10284499999999901</v>
      </c>
      <c r="AE4825">
        <v>-5.2299999999973999E-2</v>
      </c>
      <c r="AF4825">
        <v>-0.53772747519432396</v>
      </c>
      <c r="AG4825">
        <v>-0.10284499999999901</v>
      </c>
      <c r="AH4825">
        <v>0.62419924213034494</v>
      </c>
      <c r="AI4825">
        <v>97.115443923190199</v>
      </c>
      <c r="AJ4825">
        <v>130.74383586971501</v>
      </c>
      <c r="AK4825">
        <v>0.830272621179309</v>
      </c>
      <c r="AL4825">
        <v>90.6418521540771</v>
      </c>
      <c r="AM4825">
        <v>104.997940038876</v>
      </c>
      <c r="AN4825">
        <v>1.0000000808938001</v>
      </c>
    </row>
    <row r="4826" spans="1:40" x14ac:dyDescent="0.25">
      <c r="A4826" t="str">
        <f>"20190312150747779"</f>
        <v>20190312150747779</v>
      </c>
      <c r="B4826" t="str">
        <f>"1552374467774673"</f>
        <v>1552374467774673</v>
      </c>
      <c r="C4826" t="s">
        <v>40</v>
      </c>
      <c r="D4826">
        <v>4.3917989999999998</v>
      </c>
      <c r="E4826">
        <v>0.36660890000000002</v>
      </c>
      <c r="F4826" t="s">
        <v>41</v>
      </c>
      <c r="G4826">
        <v>-484.33</v>
      </c>
      <c r="H4826">
        <v>1.0101059999999999</v>
      </c>
      <c r="I4826">
        <v>219.15780000000001</v>
      </c>
      <c r="J4826">
        <v>-485.15320000000003</v>
      </c>
      <c r="K4826">
        <v>1.1122000000000001</v>
      </c>
      <c r="L4826">
        <v>219.2029</v>
      </c>
      <c r="M4826">
        <v>0.71943999999999997</v>
      </c>
      <c r="N4826">
        <v>0</v>
      </c>
      <c r="O4826">
        <v>-0.69448169999999898</v>
      </c>
      <c r="P4826">
        <v>0.87459730000000002</v>
      </c>
      <c r="Q4826">
        <v>-1.9619029999999999E-2</v>
      </c>
      <c r="R4826">
        <v>-0.48445319999999997</v>
      </c>
      <c r="S4826">
        <v>3.1848450000000001</v>
      </c>
      <c r="T4826">
        <v>-0.35417490000000001</v>
      </c>
      <c r="U4826">
        <v>-0.44290160000000001</v>
      </c>
      <c r="V4826">
        <v>-0.25881539999999997</v>
      </c>
      <c r="W4826">
        <v>-1.1230779999999999E-2</v>
      </c>
      <c r="X4826">
        <v>0.96586150000000004</v>
      </c>
      <c r="Y4826">
        <v>-0.58193569999999994</v>
      </c>
      <c r="Z4826">
        <v>0.101602</v>
      </c>
      <c r="AA4826">
        <v>0.806863</v>
      </c>
      <c r="AB4826">
        <v>13</v>
      </c>
      <c r="AC4826">
        <v>0.82320000000004201</v>
      </c>
      <c r="AD4826">
        <v>-0.102094</v>
      </c>
      <c r="AE4826">
        <v>-4.50999999999908E-2</v>
      </c>
      <c r="AF4826">
        <v>-0.53113289007880904</v>
      </c>
      <c r="AG4826">
        <v>-0.102094</v>
      </c>
      <c r="AH4826">
        <v>0.61417720294024902</v>
      </c>
      <c r="AI4826">
        <v>97.166432970043999</v>
      </c>
      <c r="AJ4826">
        <v>130.85284681257301</v>
      </c>
      <c r="AK4826">
        <v>0.81837581120838099</v>
      </c>
      <c r="AL4826">
        <v>90.643489829192802</v>
      </c>
      <c r="AM4826">
        <v>105.00075222472501</v>
      </c>
      <c r="AN4826">
        <v>0.99999998943940904</v>
      </c>
    </row>
    <row r="4827" spans="1:40" x14ac:dyDescent="0.25">
      <c r="A4827" t="str">
        <f>"20190312150747802"</f>
        <v>20190312150747802</v>
      </c>
      <c r="B4827" t="str">
        <f>"1552374467795169"</f>
        <v>1552374467795169</v>
      </c>
      <c r="C4827" t="s">
        <v>40</v>
      </c>
      <c r="D4827">
        <v>4.3969440000000004</v>
      </c>
      <c r="E4827">
        <v>0.36629020000000001</v>
      </c>
      <c r="F4827" t="s">
        <v>41</v>
      </c>
      <c r="G4827">
        <v>-484.26119999999997</v>
      </c>
      <c r="H4827">
        <v>0.99887250000000005</v>
      </c>
      <c r="I4827">
        <v>219.05889999999999</v>
      </c>
      <c r="J4827">
        <v>-485.05419999999998</v>
      </c>
      <c r="K4827">
        <v>1.112206</v>
      </c>
      <c r="L4827">
        <v>219.11750000000001</v>
      </c>
      <c r="M4827">
        <v>0.72371969999999997</v>
      </c>
      <c r="N4827">
        <v>0</v>
      </c>
      <c r="O4827">
        <v>-0.69002059999999998</v>
      </c>
      <c r="P4827">
        <v>0.87749789999999905</v>
      </c>
      <c r="Q4827">
        <v>-1.9734129999999999E-2</v>
      </c>
      <c r="R4827">
        <v>-0.47917480000000001</v>
      </c>
      <c r="S4827">
        <v>3.1406860000000001</v>
      </c>
      <c r="T4827">
        <v>-0.3989066</v>
      </c>
      <c r="U4827">
        <v>-0.50642399999999999</v>
      </c>
      <c r="V4827">
        <v>-0.25866080000000002</v>
      </c>
      <c r="W4827">
        <v>-1.1350789999999999E-2</v>
      </c>
      <c r="X4827">
        <v>0.96590160000000003</v>
      </c>
      <c r="Y4827">
        <v>-0.55739030000000001</v>
      </c>
      <c r="Z4827">
        <v>0.11367530000000001</v>
      </c>
      <c r="AA4827">
        <v>0.82243169999999899</v>
      </c>
      <c r="AB4827">
        <v>13</v>
      </c>
      <c r="AC4827">
        <v>0.79300000000000603</v>
      </c>
      <c r="AD4827">
        <v>-0.113333499999999</v>
      </c>
      <c r="AE4827">
        <v>-5.86000000000126E-2</v>
      </c>
      <c r="AF4827">
        <v>-0.49475134452246999</v>
      </c>
      <c r="AG4827">
        <v>-0.113333499999999</v>
      </c>
      <c r="AH4827">
        <v>0.60214384627877104</v>
      </c>
      <c r="AI4827">
        <v>98.274188619849994</v>
      </c>
      <c r="AJ4827">
        <v>129.408226939401</v>
      </c>
      <c r="AK4827">
        <v>0.78752814980826902</v>
      </c>
      <c r="AL4827">
        <v>90.650366278198206</v>
      </c>
      <c r="AM4827">
        <v>104.991600883356</v>
      </c>
      <c r="AN4827">
        <v>1.0000000753864</v>
      </c>
    </row>
    <row r="4828" spans="1:40" x14ac:dyDescent="0.25">
      <c r="A4828" t="str">
        <f>"20190312150747826"</f>
        <v>20190312150747826</v>
      </c>
      <c r="B4828" t="str">
        <f>"1552374467814688"</f>
        <v>1552374467814688</v>
      </c>
      <c r="C4828" t="s">
        <v>40</v>
      </c>
      <c r="D4828">
        <v>4.4174620000000004</v>
      </c>
      <c r="E4828">
        <v>0.36769810000000003</v>
      </c>
      <c r="F4828" t="s">
        <v>41</v>
      </c>
      <c r="G4828">
        <v>-484.17779999999999</v>
      </c>
      <c r="H4828">
        <v>1.009917</v>
      </c>
      <c r="I4828">
        <v>218.9819</v>
      </c>
      <c r="J4828">
        <v>-484.9513</v>
      </c>
      <c r="K4828">
        <v>1.1122190000000001</v>
      </c>
      <c r="L4828">
        <v>219.02969999999999</v>
      </c>
      <c r="M4828">
        <v>0.7281185</v>
      </c>
      <c r="N4828">
        <v>0</v>
      </c>
      <c r="O4828">
        <v>-0.68537729999999997</v>
      </c>
      <c r="P4828">
        <v>0.88050509999999904</v>
      </c>
      <c r="Q4828">
        <v>-1.9624340000000001E-2</v>
      </c>
      <c r="R4828">
        <v>-0.4736302</v>
      </c>
      <c r="S4828">
        <v>3.1449280000000002</v>
      </c>
      <c r="T4828">
        <v>-0.36707990000000001</v>
      </c>
      <c r="U4828">
        <v>-0.48649599999999998</v>
      </c>
      <c r="V4828">
        <v>-0.25857729999999901</v>
      </c>
      <c r="W4828">
        <v>-1.1246519999999999E-2</v>
      </c>
      <c r="X4828">
        <v>0.96592509999999998</v>
      </c>
      <c r="Y4828">
        <v>-0.55870810000000004</v>
      </c>
      <c r="Z4828">
        <v>0.10433539999999999</v>
      </c>
      <c r="AA4828">
        <v>0.82277540000000005</v>
      </c>
      <c r="AB4828">
        <v>13</v>
      </c>
      <c r="AC4828">
        <v>0.77350000000001196</v>
      </c>
      <c r="AD4828">
        <v>-0.102302</v>
      </c>
      <c r="AE4828">
        <v>-4.7799999999995103E-2</v>
      </c>
      <c r="AF4828">
        <v>-0.48687619624138401</v>
      </c>
      <c r="AG4828">
        <v>-0.102302</v>
      </c>
      <c r="AH4828">
        <v>0.58578318457538403</v>
      </c>
      <c r="AI4828">
        <v>97.649452697929306</v>
      </c>
      <c r="AJ4828">
        <v>129.73180951224501</v>
      </c>
      <c r="AK4828">
        <v>0.76854152067520598</v>
      </c>
      <c r="AL4828">
        <v>90.644391713928002</v>
      </c>
      <c r="AM4828">
        <v>104.986630911102</v>
      </c>
      <c r="AN4828">
        <v>1.0000000015487001</v>
      </c>
    </row>
    <row r="4829" spans="1:40" x14ac:dyDescent="0.25">
      <c r="A4829" t="str">
        <f>"20190312150747848"</f>
        <v>20190312150747848</v>
      </c>
      <c r="B4829" t="str">
        <f>"1552374467844944"</f>
        <v>1552374467844944</v>
      </c>
      <c r="C4829" t="s">
        <v>40</v>
      </c>
      <c r="D4829">
        <v>4.3788489999999998</v>
      </c>
      <c r="E4829">
        <v>0.36792599999999998</v>
      </c>
      <c r="F4829" t="s">
        <v>41</v>
      </c>
      <c r="G4829">
        <v>-483.97730000000001</v>
      </c>
      <c r="H4829">
        <v>0.99925640000000004</v>
      </c>
      <c r="I4829">
        <v>218.88210000000001</v>
      </c>
      <c r="J4829">
        <v>-484.85129999999998</v>
      </c>
      <c r="K4829">
        <v>1.1122289999999999</v>
      </c>
      <c r="L4829">
        <v>218.94560000000001</v>
      </c>
      <c r="M4829">
        <v>0.73233719999999902</v>
      </c>
      <c r="N4829">
        <v>0</v>
      </c>
      <c r="O4829">
        <v>-0.68086789999999997</v>
      </c>
      <c r="P4829">
        <v>0.88318790000000003</v>
      </c>
      <c r="Q4829">
        <v>-1.9346950000000002E-2</v>
      </c>
      <c r="R4829">
        <v>-0.46862019999999999</v>
      </c>
      <c r="S4829">
        <v>3.1426699999999999</v>
      </c>
      <c r="T4829">
        <v>-0.36456539999999998</v>
      </c>
      <c r="U4829">
        <v>-0.47659299999999999</v>
      </c>
      <c r="V4829">
        <v>-0.25810549999999999</v>
      </c>
      <c r="W4829">
        <v>-1.0971180000000001E-2</v>
      </c>
      <c r="X4829">
        <v>0.96605439999999998</v>
      </c>
      <c r="Y4829">
        <v>-0.55616899999999903</v>
      </c>
      <c r="Z4829">
        <v>0.1032399</v>
      </c>
      <c r="AA4829">
        <v>0.82463180000000003</v>
      </c>
      <c r="AB4829">
        <v>13</v>
      </c>
      <c r="AC4829">
        <v>0.87399999999996603</v>
      </c>
      <c r="AD4829">
        <v>-0.11297260000000001</v>
      </c>
      <c r="AE4829">
        <v>-6.3500000000004705E-2</v>
      </c>
      <c r="AF4829">
        <v>-0.53963403335169702</v>
      </c>
      <c r="AG4829">
        <v>-0.11297260000000001</v>
      </c>
      <c r="AH4829">
        <v>0.67216091144199897</v>
      </c>
      <c r="AI4829">
        <v>97.466747860841593</v>
      </c>
      <c r="AJ4829">
        <v>128.75870211383801</v>
      </c>
      <c r="AK4829">
        <v>0.869349175632392</v>
      </c>
      <c r="AL4829">
        <v>90.628614946681296</v>
      </c>
      <c r="AM4829">
        <v>104.958600788597</v>
      </c>
      <c r="AN4829">
        <v>0.99999995984010004</v>
      </c>
    </row>
    <row r="4830" spans="1:40" x14ac:dyDescent="0.25">
      <c r="A4830" t="str">
        <f>"20190312150747870"</f>
        <v>20190312150747870</v>
      </c>
      <c r="B4830" t="str">
        <f>"1552374467864464"</f>
        <v>1552374467864464</v>
      </c>
      <c r="C4830" t="s">
        <v>40</v>
      </c>
      <c r="D4830">
        <v>4.3701489999999996</v>
      </c>
      <c r="E4830">
        <v>0.3682975</v>
      </c>
      <c r="F4830" t="s">
        <v>41</v>
      </c>
      <c r="G4830">
        <v>-483.8929</v>
      </c>
      <c r="H4830">
        <v>1.003703</v>
      </c>
      <c r="I4830">
        <v>218.8049</v>
      </c>
      <c r="J4830">
        <v>-484.7552</v>
      </c>
      <c r="K4830">
        <v>1.1122430000000001</v>
      </c>
      <c r="L4830">
        <v>218.86580000000001</v>
      </c>
      <c r="M4830">
        <v>0.73634560000000004</v>
      </c>
      <c r="N4830">
        <v>0</v>
      </c>
      <c r="O4830">
        <v>-0.67653069999999904</v>
      </c>
      <c r="P4830">
        <v>0.88575859999999995</v>
      </c>
      <c r="Q4830">
        <v>-1.8892470000000001E-2</v>
      </c>
      <c r="R4830">
        <v>-0.46376139999999999</v>
      </c>
      <c r="S4830">
        <v>3.1444399999999999</v>
      </c>
      <c r="T4830">
        <v>-0.35595320000000003</v>
      </c>
      <c r="U4830">
        <v>-0.46086120000000003</v>
      </c>
      <c r="V4830">
        <v>-0.25771559999999999</v>
      </c>
      <c r="W4830">
        <v>-1.051902E-2</v>
      </c>
      <c r="X4830">
        <v>0.96616360000000001</v>
      </c>
      <c r="Y4830">
        <v>-0.55574230000000002</v>
      </c>
      <c r="Z4830">
        <v>0.1004665</v>
      </c>
      <c r="AA4830">
        <v>0.82526180000000005</v>
      </c>
      <c r="AB4830">
        <v>13</v>
      </c>
      <c r="AC4830">
        <v>0.86230000000000395</v>
      </c>
      <c r="AD4830">
        <v>-0.10854</v>
      </c>
      <c r="AE4830">
        <v>-6.0900000000003701E-2</v>
      </c>
      <c r="AF4830">
        <v>-0.53019755336438201</v>
      </c>
      <c r="AG4830">
        <v>-0.10854</v>
      </c>
      <c r="AH4830">
        <v>0.66569099053684799</v>
      </c>
      <c r="AI4830">
        <v>97.268230015989602</v>
      </c>
      <c r="AJ4830">
        <v>128.535988308404</v>
      </c>
      <c r="AK4830">
        <v>0.85792474732665602</v>
      </c>
      <c r="AL4830">
        <v>90.602706541072607</v>
      </c>
      <c r="AM4830">
        <v>104.93540192739199</v>
      </c>
      <c r="AN4830">
        <v>1.00000004111503</v>
      </c>
    </row>
    <row r="4831" spans="1:40" x14ac:dyDescent="0.25">
      <c r="A4831" t="str">
        <f>"20190312150747891"</f>
        <v>20190312150747891</v>
      </c>
      <c r="B4831" t="str">
        <f>"1552374467884961"</f>
        <v>1552374467884961</v>
      </c>
      <c r="C4831" t="s">
        <v>40</v>
      </c>
      <c r="D4831">
        <v>4.325952</v>
      </c>
      <c r="E4831">
        <v>0.36936059999999998</v>
      </c>
      <c r="F4831" t="s">
        <v>41</v>
      </c>
      <c r="G4831">
        <v>-483.80610000000001</v>
      </c>
      <c r="H4831">
        <v>1.0072970000000001</v>
      </c>
      <c r="I4831">
        <v>218.7311</v>
      </c>
      <c r="J4831">
        <v>-484.65769999999998</v>
      </c>
      <c r="K4831">
        <v>1.1122570000000001</v>
      </c>
      <c r="L4831">
        <v>218.78579999999999</v>
      </c>
      <c r="M4831">
        <v>0.74036809999999997</v>
      </c>
      <c r="N4831">
        <v>0</v>
      </c>
      <c r="O4831">
        <v>-0.67212640000000001</v>
      </c>
      <c r="P4831">
        <v>0.88829590000000003</v>
      </c>
      <c r="Q4831">
        <v>-1.8687169999999999E-2</v>
      </c>
      <c r="R4831">
        <v>-0.45889160000000001</v>
      </c>
      <c r="S4831">
        <v>3.145721</v>
      </c>
      <c r="T4831">
        <v>-0.347833</v>
      </c>
      <c r="U4831">
        <v>-0.44654850000000001</v>
      </c>
      <c r="V4831">
        <v>-0.25725999999999999</v>
      </c>
      <c r="W4831">
        <v>-1.031556E-2</v>
      </c>
      <c r="X4831">
        <v>0.96628709999999995</v>
      </c>
      <c r="Y4831">
        <v>-0.55486020000000003</v>
      </c>
      <c r="Z4831">
        <v>9.7820889999999994E-2</v>
      </c>
      <c r="AA4831">
        <v>0.82617269999999898</v>
      </c>
      <c r="AB4831">
        <v>13</v>
      </c>
      <c r="AC4831">
        <v>0.85159999999996205</v>
      </c>
      <c r="AD4831">
        <v>-0.10496</v>
      </c>
      <c r="AE4831">
        <v>-5.46999999999968E-2</v>
      </c>
      <c r="AF4831">
        <v>-0.52398465452722198</v>
      </c>
      <c r="AG4831">
        <v>-0.10496</v>
      </c>
      <c r="AH4831">
        <v>0.65735197263015199</v>
      </c>
      <c r="AI4831">
        <v>97.116983468471005</v>
      </c>
      <c r="AJ4831">
        <v>128.55884996810201</v>
      </c>
      <c r="AK4831">
        <v>0.84716476301883803</v>
      </c>
      <c r="AL4831">
        <v>90.591048570006294</v>
      </c>
      <c r="AM4831">
        <v>104.90835469419601</v>
      </c>
      <c r="AN4831">
        <v>0.99999993900225903</v>
      </c>
    </row>
    <row r="4832" spans="1:40" x14ac:dyDescent="0.25">
      <c r="A4832" t="str">
        <f>"20190312150747914"</f>
        <v>20190312150747914</v>
      </c>
      <c r="B4832" t="str">
        <f>"1552374467904482"</f>
        <v>1552374467904482</v>
      </c>
      <c r="C4832" t="s">
        <v>40</v>
      </c>
      <c r="D4832">
        <v>4.3938790000000001</v>
      </c>
      <c r="E4832">
        <v>0.37012040000000002</v>
      </c>
      <c r="F4832" t="s">
        <v>41</v>
      </c>
      <c r="G4832">
        <v>-483.71980000000002</v>
      </c>
      <c r="H4832">
        <v>1.010362</v>
      </c>
      <c r="I4832">
        <v>218.65530000000001</v>
      </c>
      <c r="J4832">
        <v>-484.55290000000002</v>
      </c>
      <c r="K4832">
        <v>1.112274</v>
      </c>
      <c r="L4832">
        <v>218.70079999999999</v>
      </c>
      <c r="M4832">
        <v>0.74463869999999999</v>
      </c>
      <c r="N4832">
        <v>0</v>
      </c>
      <c r="O4832">
        <v>-0.66739179999999998</v>
      </c>
      <c r="P4832">
        <v>0.89106369999999901</v>
      </c>
      <c r="Q4832">
        <v>-1.826529E-2</v>
      </c>
      <c r="R4832">
        <v>-0.45351079999999999</v>
      </c>
      <c r="S4832">
        <v>3.1443479999999999</v>
      </c>
      <c r="T4832">
        <v>-0.34158189999999999</v>
      </c>
      <c r="U4832">
        <v>-0.43699650000000001</v>
      </c>
      <c r="V4832">
        <v>-0.25695089999999998</v>
      </c>
      <c r="W4832">
        <v>-9.8971730000000004E-3</v>
      </c>
      <c r="X4832">
        <v>0.9663737</v>
      </c>
      <c r="Y4832">
        <v>-0.55224010000000001</v>
      </c>
      <c r="Z4832">
        <v>9.5649540000000005E-2</v>
      </c>
      <c r="AA4832">
        <v>0.82817999999999903</v>
      </c>
      <c r="AB4832">
        <v>13</v>
      </c>
      <c r="AC4832">
        <v>0.83310000000000095</v>
      </c>
      <c r="AD4832">
        <v>-0.101912</v>
      </c>
      <c r="AE4832">
        <v>-4.5499999999975602E-2</v>
      </c>
      <c r="AF4832">
        <v>-0.51447367697852098</v>
      </c>
      <c r="AG4832">
        <v>-0.101912</v>
      </c>
      <c r="AH4832">
        <v>0.64119137500437495</v>
      </c>
      <c r="AI4832">
        <v>97.066846907146001</v>
      </c>
      <c r="AJ4832">
        <v>128.74256380022999</v>
      </c>
      <c r="AK4832">
        <v>0.82836924099570497</v>
      </c>
      <c r="AL4832">
        <v>90.567075543512004</v>
      </c>
      <c r="AM4832">
        <v>104.889963269913</v>
      </c>
      <c r="AN4832">
        <v>0.99999992354794298</v>
      </c>
    </row>
    <row r="4833" spans="1:40" x14ac:dyDescent="0.25">
      <c r="A4833" t="str">
        <f>"20190312150747936"</f>
        <v>20190312150747936</v>
      </c>
      <c r="B4833" t="str">
        <f>"1552374467924979"</f>
        <v>1552374467924979</v>
      </c>
      <c r="C4833" t="s">
        <v>40</v>
      </c>
      <c r="D4833">
        <v>4.3690680000000004</v>
      </c>
      <c r="E4833">
        <v>0.37059750000000002</v>
      </c>
      <c r="F4833" t="s">
        <v>41</v>
      </c>
      <c r="G4833">
        <v>-483.63459999999998</v>
      </c>
      <c r="H4833">
        <v>1.0139609999999999</v>
      </c>
      <c r="I4833">
        <v>218.5771</v>
      </c>
      <c r="J4833">
        <v>-484.45420000000001</v>
      </c>
      <c r="K4833">
        <v>1.1122810000000001</v>
      </c>
      <c r="L4833">
        <v>218.6217</v>
      </c>
      <c r="M4833">
        <v>0.7486178</v>
      </c>
      <c r="N4833">
        <v>0</v>
      </c>
      <c r="O4833">
        <v>-0.66292519999999999</v>
      </c>
      <c r="P4833">
        <v>0.89390530000000001</v>
      </c>
      <c r="Q4833">
        <v>-1.7936609999999999E-2</v>
      </c>
      <c r="R4833">
        <v>-0.44789669999999998</v>
      </c>
      <c r="S4833">
        <v>3.1443479999999999</v>
      </c>
      <c r="T4833">
        <v>-0.33654149999999999</v>
      </c>
      <c r="U4833">
        <v>-0.42344670000000001</v>
      </c>
      <c r="V4833">
        <v>-0.25725409999999999</v>
      </c>
      <c r="W4833">
        <v>-9.576289E-3</v>
      </c>
      <c r="X4833">
        <v>0.96629640000000006</v>
      </c>
      <c r="Y4833">
        <v>-0.55097649999999998</v>
      </c>
      <c r="Z4833">
        <v>9.3891290000000002E-2</v>
      </c>
      <c r="AA4833">
        <v>0.82922209999999996</v>
      </c>
      <c r="AB4833">
        <v>13</v>
      </c>
      <c r="AC4833">
        <v>0.81960000000003597</v>
      </c>
      <c r="AD4833">
        <v>-9.8319999999999699E-2</v>
      </c>
      <c r="AE4833">
        <v>-4.4600000000002603E-2</v>
      </c>
      <c r="AF4833">
        <v>-0.50275740384378997</v>
      </c>
      <c r="AG4833">
        <v>-9.8319999999999699E-2</v>
      </c>
      <c r="AH4833">
        <v>0.63406856955366497</v>
      </c>
      <c r="AI4833">
        <v>96.927618093236603</v>
      </c>
      <c r="AJ4833">
        <v>128.41114499873899</v>
      </c>
      <c r="AK4833">
        <v>0.81515322511511901</v>
      </c>
      <c r="AL4833">
        <v>90.548689299443197</v>
      </c>
      <c r="AM4833">
        <v>104.90789091844999</v>
      </c>
      <c r="AN4833">
        <v>1.00000005496538</v>
      </c>
    </row>
    <row r="4834" spans="1:40" x14ac:dyDescent="0.25">
      <c r="A4834" t="str">
        <f>"20190312150747958"</f>
        <v>20190312150747958</v>
      </c>
      <c r="B4834" t="str">
        <f>"1552374467955232"</f>
        <v>1552374467955232</v>
      </c>
      <c r="C4834" t="s">
        <v>40</v>
      </c>
      <c r="D4834">
        <v>4.3911809999999996</v>
      </c>
      <c r="E4834">
        <v>0.37129109999999999</v>
      </c>
      <c r="F4834" t="s">
        <v>41</v>
      </c>
      <c r="G4834">
        <v>-483.54570000000001</v>
      </c>
      <c r="H4834">
        <v>1.0152159999999999</v>
      </c>
      <c r="I4834">
        <v>218.50399999999999</v>
      </c>
      <c r="J4834">
        <v>-484.35469999999998</v>
      </c>
      <c r="K4834">
        <v>1.112293</v>
      </c>
      <c r="L4834">
        <v>218.54310000000001</v>
      </c>
      <c r="M4834">
        <v>0.75257810000000003</v>
      </c>
      <c r="N4834">
        <v>0</v>
      </c>
      <c r="O4834">
        <v>-0.65842590000000001</v>
      </c>
      <c r="P4834">
        <v>0.89636959999999999</v>
      </c>
      <c r="Q4834">
        <v>-1.7455200000000001E-2</v>
      </c>
      <c r="R4834">
        <v>-0.44296410000000003</v>
      </c>
      <c r="S4834">
        <v>3.1452939999999998</v>
      </c>
      <c r="T4834">
        <v>-0.3360341</v>
      </c>
      <c r="U4834">
        <v>-0.407196</v>
      </c>
      <c r="V4834">
        <v>-0.25679580000000002</v>
      </c>
      <c r="W4834">
        <v>-9.0963299999999997E-3</v>
      </c>
      <c r="X4834">
        <v>0.96642289999999997</v>
      </c>
      <c r="Y4834">
        <v>-0.55027159999999997</v>
      </c>
      <c r="Z4834">
        <v>9.3400899999999995E-2</v>
      </c>
      <c r="AA4834">
        <v>0.82974539999999997</v>
      </c>
      <c r="AB4834">
        <v>13</v>
      </c>
      <c r="AC4834">
        <v>0.80899999999996897</v>
      </c>
      <c r="AD4834">
        <v>-9.7076999999999997E-2</v>
      </c>
      <c r="AE4834">
        <v>-3.9099999999990503E-2</v>
      </c>
      <c r="AF4834">
        <v>-0.496138989145541</v>
      </c>
      <c r="AG4834">
        <v>-9.7076999999999997E-2</v>
      </c>
      <c r="AH4834">
        <v>0.62562490693587103</v>
      </c>
      <c r="AI4834">
        <v>96.931896695242799</v>
      </c>
      <c r="AJ4834">
        <v>128.415453325035</v>
      </c>
      <c r="AK4834">
        <v>0.80435338294674796</v>
      </c>
      <c r="AL4834">
        <v>90.521188493249099</v>
      </c>
      <c r="AM4834">
        <v>104.880650342876</v>
      </c>
      <c r="AN4834">
        <v>1.00000002388075</v>
      </c>
    </row>
    <row r="4835" spans="1:40" x14ac:dyDescent="0.25">
      <c r="A4835" t="str">
        <f>"20190312150747981"</f>
        <v>20190312150747981</v>
      </c>
      <c r="B4835" t="str">
        <f>"1552374467974753"</f>
        <v>1552374467974753</v>
      </c>
      <c r="C4835" t="s">
        <v>40</v>
      </c>
      <c r="D4835">
        <v>4.3457290000000004</v>
      </c>
      <c r="E4835">
        <v>0.37250549999999999</v>
      </c>
      <c r="F4835" t="s">
        <v>41</v>
      </c>
      <c r="G4835">
        <v>-483.45670000000001</v>
      </c>
      <c r="H4835">
        <v>1.0173700000000001</v>
      </c>
      <c r="I4835">
        <v>218.43049999999999</v>
      </c>
      <c r="J4835">
        <v>-484.25009999999997</v>
      </c>
      <c r="K4835">
        <v>1.1123069999999999</v>
      </c>
      <c r="L4835">
        <v>218.46129999999999</v>
      </c>
      <c r="M4835">
        <v>0.75669869999999995</v>
      </c>
      <c r="N4835">
        <v>0</v>
      </c>
      <c r="O4835">
        <v>-0.65368590000000004</v>
      </c>
      <c r="P4835">
        <v>0.89888449999999998</v>
      </c>
      <c r="Q4835">
        <v>-1.740266E-2</v>
      </c>
      <c r="R4835">
        <v>-0.43784020000000001</v>
      </c>
      <c r="S4835">
        <v>3.1452640000000001</v>
      </c>
      <c r="T4835">
        <v>-0.33255639999999997</v>
      </c>
      <c r="U4835">
        <v>-0.39471440000000002</v>
      </c>
      <c r="V4835">
        <v>-0.2562429</v>
      </c>
      <c r="W4835">
        <v>-9.0449060000000001E-3</v>
      </c>
      <c r="X4835">
        <v>0.96657009999999999</v>
      </c>
      <c r="Y4835">
        <v>-0.54843160000000002</v>
      </c>
      <c r="Z4835">
        <v>9.2026230000000001E-2</v>
      </c>
      <c r="AA4835">
        <v>0.83111610000000002</v>
      </c>
      <c r="AB4835">
        <v>13</v>
      </c>
      <c r="AC4835">
        <v>0.79339999999996202</v>
      </c>
      <c r="AD4835">
        <v>-9.4936999999999799E-2</v>
      </c>
      <c r="AE4835">
        <v>-3.07999999999992E-2</v>
      </c>
      <c r="AF4835">
        <v>-0.48837124654168501</v>
      </c>
      <c r="AG4835">
        <v>-9.4936999999999799E-2</v>
      </c>
      <c r="AH4835">
        <v>0.61178344647483296</v>
      </c>
      <c r="AI4835">
        <v>96.914935211713896</v>
      </c>
      <c r="AJ4835">
        <v>128.599481608487</v>
      </c>
      <c r="AK4835">
        <v>0.78854200509440397</v>
      </c>
      <c r="AL4835">
        <v>90.518242008299296</v>
      </c>
      <c r="AM4835">
        <v>104.847866691332</v>
      </c>
      <c r="AN4835">
        <v>0.99999999616948398</v>
      </c>
    </row>
    <row r="4836" spans="1:40" x14ac:dyDescent="0.25">
      <c r="A4836" t="str">
        <f>"20190312150748004"</f>
        <v>20190312150748004</v>
      </c>
      <c r="B4836" t="str">
        <f>"1552374467994273"</f>
        <v>1552374467994273</v>
      </c>
      <c r="C4836" t="s">
        <v>40</v>
      </c>
      <c r="D4836">
        <v>4.4053969999999998</v>
      </c>
      <c r="E4836">
        <v>0.3732144</v>
      </c>
      <c r="F4836" t="s">
        <v>41</v>
      </c>
      <c r="G4836">
        <v>-483.36939999999998</v>
      </c>
      <c r="H4836">
        <v>1.0188120000000001</v>
      </c>
      <c r="I4836">
        <v>218.35300000000001</v>
      </c>
      <c r="J4836">
        <v>-484.1429</v>
      </c>
      <c r="K4836">
        <v>1.1123190000000001</v>
      </c>
      <c r="L4836">
        <v>218.37860000000001</v>
      </c>
      <c r="M4836">
        <v>0.76086589999999998</v>
      </c>
      <c r="N4836">
        <v>0</v>
      </c>
      <c r="O4836">
        <v>-0.64883100000000005</v>
      </c>
      <c r="P4836">
        <v>0.90156570000000003</v>
      </c>
      <c r="Q4836">
        <v>-1.7642540000000002E-2</v>
      </c>
      <c r="R4836">
        <v>-0.43228299999999997</v>
      </c>
      <c r="S4836">
        <v>3.1432799999999999</v>
      </c>
      <c r="T4836">
        <v>-0.33359030000000001</v>
      </c>
      <c r="U4836">
        <v>-0.38539119999999999</v>
      </c>
      <c r="V4836">
        <v>-0.25602059999999999</v>
      </c>
      <c r="W4836">
        <v>-9.288691E-3</v>
      </c>
      <c r="X4836">
        <v>0.96662669999999995</v>
      </c>
      <c r="Y4836">
        <v>-0.54544589999999904</v>
      </c>
      <c r="Z4836">
        <v>9.1867500000000005E-2</v>
      </c>
      <c r="AA4836">
        <v>0.83309609999999901</v>
      </c>
      <c r="AB4836">
        <v>13</v>
      </c>
      <c r="AC4836">
        <v>0.77350000000001196</v>
      </c>
      <c r="AD4836">
        <v>-9.3507000000000007E-2</v>
      </c>
      <c r="AE4836">
        <v>-2.5600000000025599E-2</v>
      </c>
      <c r="AF4836">
        <v>-0.47547609355331699</v>
      </c>
      <c r="AG4836">
        <v>-9.3507000000000007E-2</v>
      </c>
      <c r="AH4836">
        <v>0.59646338643758201</v>
      </c>
      <c r="AI4836">
        <v>96.988779100528404</v>
      </c>
      <c r="AJ4836">
        <v>128.560412446551</v>
      </c>
      <c r="AK4836">
        <v>0.76849830575630496</v>
      </c>
      <c r="AL4836">
        <v>90.5322104436421</v>
      </c>
      <c r="AM4836">
        <v>104.834723545839</v>
      </c>
      <c r="AN4836">
        <v>1.00000000227887</v>
      </c>
    </row>
    <row r="4837" spans="1:40" x14ac:dyDescent="0.25">
      <c r="A4837" t="str">
        <f>"20190312150748026"</f>
        <v>20190312150748026</v>
      </c>
      <c r="B4837" t="str">
        <f>"1552374468014769"</f>
        <v>1552374468014769</v>
      </c>
      <c r="C4837" t="s">
        <v>40</v>
      </c>
      <c r="D4837">
        <v>4.3525419999999997</v>
      </c>
      <c r="E4837">
        <v>0.3738245</v>
      </c>
      <c r="F4837" t="s">
        <v>41</v>
      </c>
      <c r="G4837">
        <v>-483.28070000000002</v>
      </c>
      <c r="H4837">
        <v>1.0196289999999999</v>
      </c>
      <c r="I4837">
        <v>218.27690000000001</v>
      </c>
      <c r="J4837">
        <v>-484.0376</v>
      </c>
      <c r="K4837">
        <v>1.1123339999999999</v>
      </c>
      <c r="L4837">
        <v>218.29849999999999</v>
      </c>
      <c r="M4837">
        <v>0.76490630000000004</v>
      </c>
      <c r="N4837">
        <v>0</v>
      </c>
      <c r="O4837">
        <v>-0.64406260000000004</v>
      </c>
      <c r="P4837">
        <v>0.90404929999999994</v>
      </c>
      <c r="Q4837">
        <v>-1.7520460000000002E-2</v>
      </c>
      <c r="R4837">
        <v>-0.42706949999999999</v>
      </c>
      <c r="S4837">
        <v>3.1431269999999998</v>
      </c>
      <c r="T4837">
        <v>-0.337941099999999</v>
      </c>
      <c r="U4837">
        <v>-0.3708649</v>
      </c>
      <c r="V4837">
        <v>-0.25556319999999999</v>
      </c>
      <c r="W4837">
        <v>-9.1682050000000005E-3</v>
      </c>
      <c r="X4837">
        <v>0.96674890000000002</v>
      </c>
      <c r="Y4837">
        <v>-0.543879</v>
      </c>
      <c r="Z4837">
        <v>9.2652380000000006E-2</v>
      </c>
      <c r="AA4837">
        <v>0.83403309999999997</v>
      </c>
      <c r="AB4837">
        <v>13</v>
      </c>
      <c r="AC4837">
        <v>0.75689999999997304</v>
      </c>
      <c r="AD4837">
        <v>-9.2704999999999801E-2</v>
      </c>
      <c r="AE4837">
        <v>-2.1599999999978001E-2</v>
      </c>
      <c r="AF4837">
        <v>-0.46403745389935902</v>
      </c>
      <c r="AG4837">
        <v>-9.2704999999999801E-2</v>
      </c>
      <c r="AH4837">
        <v>0.58414369365598295</v>
      </c>
      <c r="AI4837">
        <v>97.083555202225</v>
      </c>
      <c r="AJ4837">
        <v>128.46325035436899</v>
      </c>
      <c r="AK4837">
        <v>0.75176381296551797</v>
      </c>
      <c r="AL4837">
        <v>90.525306800858701</v>
      </c>
      <c r="AM4837">
        <v>104.807596223015</v>
      </c>
      <c r="AN4837">
        <v>1.0000000204141799</v>
      </c>
    </row>
    <row r="4838" spans="1:40" x14ac:dyDescent="0.25">
      <c r="A4838" t="str">
        <f>"20190312150748048"</f>
        <v>20190312150748048</v>
      </c>
      <c r="B4838" t="str">
        <f>"1552374468045025"</f>
        <v>1552374468045025</v>
      </c>
      <c r="C4838" t="s">
        <v>40</v>
      </c>
      <c r="D4838">
        <v>4.338012</v>
      </c>
      <c r="E4838">
        <v>0.3833937</v>
      </c>
      <c r="F4838" t="s">
        <v>41</v>
      </c>
      <c r="G4838">
        <v>-483.06830000000002</v>
      </c>
      <c r="H4838">
        <v>1.008103</v>
      </c>
      <c r="I4838">
        <v>218.18860000000001</v>
      </c>
      <c r="J4838">
        <v>-483.93099999999998</v>
      </c>
      <c r="K4838">
        <v>1.1123459999999901</v>
      </c>
      <c r="L4838">
        <v>218.21850000000001</v>
      </c>
      <c r="M4838">
        <v>0.76894830000000003</v>
      </c>
      <c r="N4838">
        <v>0</v>
      </c>
      <c r="O4838">
        <v>-0.63923140000000001</v>
      </c>
      <c r="P4838">
        <v>0.90651230000000005</v>
      </c>
      <c r="Q4838">
        <v>-1.723732E-2</v>
      </c>
      <c r="R4838">
        <v>-0.42182740000000002</v>
      </c>
      <c r="S4838">
        <v>3.1431879999999999</v>
      </c>
      <c r="T4838">
        <v>-0.3380531</v>
      </c>
      <c r="U4838">
        <v>-0.35710140000000001</v>
      </c>
      <c r="V4838">
        <v>-0.25507560000000001</v>
      </c>
      <c r="W4838">
        <v>-8.8866929999999993E-3</v>
      </c>
      <c r="X4838">
        <v>0.96688030000000003</v>
      </c>
      <c r="Y4838">
        <v>-0.54223559999999904</v>
      </c>
      <c r="Z4838">
        <v>9.2254020000000006E-2</v>
      </c>
      <c r="AA4838">
        <v>0.83514659999999996</v>
      </c>
      <c r="AB4838">
        <v>13</v>
      </c>
      <c r="AC4838">
        <v>0.86269999999996105</v>
      </c>
      <c r="AD4838">
        <v>-0.104242999999999</v>
      </c>
      <c r="AE4838">
        <v>-2.98999999999978E-2</v>
      </c>
      <c r="AF4838">
        <v>-0.52090381268481301</v>
      </c>
      <c r="AG4838">
        <v>-0.104242999999999</v>
      </c>
      <c r="AH4838">
        <v>0.67270918158822302</v>
      </c>
      <c r="AI4838">
        <v>96.985179448344198</v>
      </c>
      <c r="AJ4838">
        <v>127.751954834656</v>
      </c>
      <c r="AK4838">
        <v>0.85717269445058297</v>
      </c>
      <c r="AL4838">
        <v>90.509176692156899</v>
      </c>
      <c r="AM4838">
        <v>104.778661342573</v>
      </c>
      <c r="AN4838">
        <v>1.0000000247779599</v>
      </c>
    </row>
    <row r="4839" spans="1:40" x14ac:dyDescent="0.25">
      <c r="A4839" t="str">
        <f>"20190312150748082"</f>
        <v>20190312150748082</v>
      </c>
      <c r="B4839" t="str">
        <f>"1552374468074305"</f>
        <v>1552374468074305</v>
      </c>
      <c r="C4839" t="s">
        <v>40</v>
      </c>
      <c r="D4839">
        <v>4.3367930000000001</v>
      </c>
      <c r="E4839">
        <v>0.38435809999999998</v>
      </c>
      <c r="F4839" t="s">
        <v>41</v>
      </c>
      <c r="G4839">
        <v>-482.98770000000002</v>
      </c>
      <c r="H4839">
        <v>1.0019990000000001</v>
      </c>
      <c r="I4839">
        <v>218.095</v>
      </c>
      <c r="J4839">
        <v>-483.77390000000003</v>
      </c>
      <c r="K4839">
        <v>1.1123639999999999</v>
      </c>
      <c r="L4839">
        <v>218.10230000000001</v>
      </c>
      <c r="M4839">
        <v>0.77481949999999999</v>
      </c>
      <c r="N4839">
        <v>0</v>
      </c>
      <c r="O4839">
        <v>-0.63210189999999999</v>
      </c>
      <c r="P4839">
        <v>0.91022530000000001</v>
      </c>
      <c r="Q4839">
        <v>-1.7348679999999998E-2</v>
      </c>
      <c r="R4839">
        <v>-0.41374949999999999</v>
      </c>
      <c r="S4839">
        <v>3.1130070000000001</v>
      </c>
      <c r="T4839">
        <v>-0.364068</v>
      </c>
      <c r="U4839">
        <v>-0.40707399999999999</v>
      </c>
      <c r="V4839">
        <v>-0.2547411</v>
      </c>
      <c r="W4839">
        <v>-9.0035469999999902E-3</v>
      </c>
      <c r="X4839">
        <v>0.96696740000000003</v>
      </c>
      <c r="Y4839">
        <v>-0.51930140000000002</v>
      </c>
      <c r="Z4839">
        <v>9.8114740000000006E-2</v>
      </c>
      <c r="AA4839">
        <v>0.84894029999999998</v>
      </c>
      <c r="AB4839">
        <v>13</v>
      </c>
      <c r="AC4839">
        <v>0.786200000000007</v>
      </c>
      <c r="AD4839">
        <v>-0.11036499999999901</v>
      </c>
      <c r="AE4839">
        <v>-7.3000000000149603E-3</v>
      </c>
      <c r="AF4839">
        <v>-0.48183322550311802</v>
      </c>
      <c r="AG4839">
        <v>-0.11036499999999901</v>
      </c>
      <c r="AH4839">
        <v>0.60194780732158304</v>
      </c>
      <c r="AI4839">
        <v>98.145851080124004</v>
      </c>
      <c r="AJ4839">
        <v>128.67576424272801</v>
      </c>
      <c r="AK4839">
        <v>0.77889977093525997</v>
      </c>
      <c r="AL4839">
        <v>90.515872202181598</v>
      </c>
      <c r="AM4839">
        <v>104.758856128453</v>
      </c>
      <c r="AN4839">
        <v>1.0000000222752701</v>
      </c>
    </row>
    <row r="4840" spans="1:40" x14ac:dyDescent="0.25">
      <c r="A4840" t="str">
        <f>"20190312150748104"</f>
        <v>20190312150748104</v>
      </c>
      <c r="B4840" t="str">
        <f>"1552374468094800"</f>
        <v>1552374468094800</v>
      </c>
      <c r="C4840" t="s">
        <v>40</v>
      </c>
      <c r="D4840">
        <v>4.398523</v>
      </c>
      <c r="E4840">
        <v>0.38465319999999997</v>
      </c>
      <c r="F4840" t="s">
        <v>41</v>
      </c>
      <c r="G4840">
        <v>-482.90940000000001</v>
      </c>
      <c r="H4840">
        <v>1.0140769999999999</v>
      </c>
      <c r="I4840">
        <v>217.9949</v>
      </c>
      <c r="J4840">
        <v>-483.66579999999999</v>
      </c>
      <c r="K4840">
        <v>1.1123749999999999</v>
      </c>
      <c r="L4840">
        <v>218.02369999999999</v>
      </c>
      <c r="M4840">
        <v>0.77879529999999997</v>
      </c>
      <c r="N4840">
        <v>0</v>
      </c>
      <c r="O4840">
        <v>-0.62719689999999995</v>
      </c>
      <c r="P4840">
        <v>0.91273519999999997</v>
      </c>
      <c r="Q4840">
        <v>-1.7492819999999999E-2</v>
      </c>
      <c r="R4840">
        <v>-0.40817690000000001</v>
      </c>
      <c r="S4840">
        <v>3.1132810000000002</v>
      </c>
      <c r="T4840">
        <v>-0.353937</v>
      </c>
      <c r="U4840">
        <v>-0.38676450000000001</v>
      </c>
      <c r="V4840">
        <v>-0.2545443</v>
      </c>
      <c r="W4840">
        <v>-9.1513329999999993E-3</v>
      </c>
      <c r="X4840">
        <v>0.96701780000000004</v>
      </c>
      <c r="Y4840">
        <v>-0.51978059999999904</v>
      </c>
      <c r="Z4840">
        <v>9.5074850000000002E-2</v>
      </c>
      <c r="AA4840">
        <v>0.84899290000000005</v>
      </c>
      <c r="AB4840">
        <v>13</v>
      </c>
      <c r="AC4840">
        <v>0.75639999999998497</v>
      </c>
      <c r="AD4840">
        <v>-9.8297999999999705E-2</v>
      </c>
      <c r="AE4840">
        <v>-2.8799999999989698E-2</v>
      </c>
      <c r="AF4840">
        <v>-0.44450932119860298</v>
      </c>
      <c r="AG4840">
        <v>-9.8297999999999705E-2</v>
      </c>
      <c r="AH4840">
        <v>0.59710547341766196</v>
      </c>
      <c r="AI4840">
        <v>97.522437375317196</v>
      </c>
      <c r="AJ4840">
        <v>126.665479204357</v>
      </c>
      <c r="AK4840">
        <v>0.75085683044224405</v>
      </c>
      <c r="AL4840">
        <v>90.524340083693801</v>
      </c>
      <c r="AM4840">
        <v>104.747216211447</v>
      </c>
      <c r="AN4840">
        <v>0.99999998653750299</v>
      </c>
    </row>
    <row r="4841" spans="1:40" x14ac:dyDescent="0.25">
      <c r="A4841" t="str">
        <f>"20190312150748127"</f>
        <v>20190312150748127</v>
      </c>
      <c r="B4841" t="str">
        <f>"1552374468125057"</f>
        <v>1552374468125057</v>
      </c>
      <c r="C4841" t="s">
        <v>40</v>
      </c>
      <c r="D4841">
        <v>4.3536479999999997</v>
      </c>
      <c r="E4841">
        <v>0.3862469</v>
      </c>
      <c r="F4841" t="s">
        <v>41</v>
      </c>
      <c r="G4841">
        <v>-482.81619999999998</v>
      </c>
      <c r="H4841">
        <v>1.0127809999999999</v>
      </c>
      <c r="I4841">
        <v>217.92269999999999</v>
      </c>
      <c r="J4841">
        <v>-483.55739999999997</v>
      </c>
      <c r="K4841">
        <v>1.1123829999999999</v>
      </c>
      <c r="L4841">
        <v>217.946</v>
      </c>
      <c r="M4841">
        <v>0.78273409999999999</v>
      </c>
      <c r="N4841">
        <v>0</v>
      </c>
      <c r="O4841">
        <v>-0.62227440000000001</v>
      </c>
      <c r="P4841">
        <v>0.91513659999999997</v>
      </c>
      <c r="Q4841">
        <v>-1.7446719999999999E-2</v>
      </c>
      <c r="R4841">
        <v>-0.40276659999999997</v>
      </c>
      <c r="S4841">
        <v>3.1146850000000001</v>
      </c>
      <c r="T4841">
        <v>-0.3650217</v>
      </c>
      <c r="U4841">
        <v>-0.36938480000000001</v>
      </c>
      <c r="V4841">
        <v>-0.25417269999999997</v>
      </c>
      <c r="W4841">
        <v>-9.1073379999999995E-3</v>
      </c>
      <c r="X4841">
        <v>0.96711590000000003</v>
      </c>
      <c r="Y4841">
        <v>-0.51873559999999996</v>
      </c>
      <c r="Z4841">
        <v>9.7552749999999994E-2</v>
      </c>
      <c r="AA4841">
        <v>0.84935090000000002</v>
      </c>
      <c r="AB4841">
        <v>14</v>
      </c>
      <c r="AC4841">
        <v>0.74119999999999198</v>
      </c>
      <c r="AD4841">
        <v>-9.9601999999999899E-2</v>
      </c>
      <c r="AE4841">
        <v>-2.3300000000006E-2</v>
      </c>
      <c r="AF4841">
        <v>-0.43516429248292399</v>
      </c>
      <c r="AG4841">
        <v>-9.9601999999999899E-2</v>
      </c>
      <c r="AH4841">
        <v>0.58415368091684705</v>
      </c>
      <c r="AI4841">
        <v>97.786112822499007</v>
      </c>
      <c r="AJ4841">
        <v>126.684205788112</v>
      </c>
      <c r="AK4841">
        <v>0.73520340232133397</v>
      </c>
      <c r="AL4841">
        <v>90.521819277926994</v>
      </c>
      <c r="AM4841">
        <v>104.72519476860801</v>
      </c>
      <c r="AN4841">
        <v>0.99999993453177105</v>
      </c>
    </row>
    <row r="4842" spans="1:40" x14ac:dyDescent="0.25">
      <c r="A4842" t="str">
        <f>"20190312150748148"</f>
        <v>20190312150748148</v>
      </c>
      <c r="B4842" t="str">
        <f>"1552374468144577"</f>
        <v>1552374468144577</v>
      </c>
      <c r="C4842" t="s">
        <v>40</v>
      </c>
      <c r="D4842">
        <v>4.3164689999999997</v>
      </c>
      <c r="E4842">
        <v>0.38722830000000003</v>
      </c>
      <c r="F4842" t="s">
        <v>41</v>
      </c>
      <c r="G4842">
        <v>-482.60079999999999</v>
      </c>
      <c r="H4842">
        <v>0.99943729999999997</v>
      </c>
      <c r="I4842">
        <v>217.83449999999999</v>
      </c>
      <c r="J4842">
        <v>-483.45260000000002</v>
      </c>
      <c r="K4842">
        <v>1.1123909999999999</v>
      </c>
      <c r="L4842">
        <v>217.87180000000001</v>
      </c>
      <c r="M4842">
        <v>0.7864932</v>
      </c>
      <c r="N4842">
        <v>0</v>
      </c>
      <c r="O4842">
        <v>-0.61751630000000002</v>
      </c>
      <c r="P4842">
        <v>0.9175373</v>
      </c>
      <c r="Q4842">
        <v>-1.7313439999999999E-2</v>
      </c>
      <c r="R4842">
        <v>-0.39727259999999998</v>
      </c>
      <c r="S4842">
        <v>3.1117859999999999</v>
      </c>
      <c r="T4842">
        <v>-0.3674325</v>
      </c>
      <c r="U4842">
        <v>-0.36225889999999999</v>
      </c>
      <c r="V4842">
        <v>-0.25410840000000001</v>
      </c>
      <c r="W4842">
        <v>-8.9738800000000001E-3</v>
      </c>
      <c r="X4842">
        <v>0.9671341</v>
      </c>
      <c r="Y4842">
        <v>-0.5153297</v>
      </c>
      <c r="Z4842">
        <v>9.7678429999999997E-2</v>
      </c>
      <c r="AA4842">
        <v>0.85140720000000003</v>
      </c>
      <c r="AB4842">
        <v>14</v>
      </c>
      <c r="AC4842">
        <v>0.85180000000002498</v>
      </c>
      <c r="AD4842">
        <v>-0.112953699999999</v>
      </c>
      <c r="AE4842">
        <v>-3.7300000000016098E-2</v>
      </c>
      <c r="AF4842">
        <v>-0.48812265689263101</v>
      </c>
      <c r="AG4842">
        <v>-0.112953699999999</v>
      </c>
      <c r="AH4842">
        <v>0.68105073650649905</v>
      </c>
      <c r="AI4842">
        <v>97.677420313829202</v>
      </c>
      <c r="AJ4842">
        <v>125.629924605087</v>
      </c>
      <c r="AK4842">
        <v>0.84548942761672397</v>
      </c>
      <c r="AL4842">
        <v>90.514172357059195</v>
      </c>
      <c r="AM4842">
        <v>104.721366438678</v>
      </c>
      <c r="AN4842">
        <v>0.99999998842781201</v>
      </c>
    </row>
    <row r="4843" spans="1:40" x14ac:dyDescent="0.25">
      <c r="A4843" t="str">
        <f>"20190312150748170"</f>
        <v>20190312150748170</v>
      </c>
      <c r="B4843" t="str">
        <f>"1552374468165073"</f>
        <v>1552374468165073</v>
      </c>
      <c r="C4843" t="s">
        <v>40</v>
      </c>
      <c r="D4843">
        <v>4.3208679999999999</v>
      </c>
      <c r="E4843">
        <v>0.38783200000000001</v>
      </c>
      <c r="F4843" t="s">
        <v>41</v>
      </c>
      <c r="G4843">
        <v>-482.5052</v>
      </c>
      <c r="H4843">
        <v>0.99953930000000002</v>
      </c>
      <c r="I4843">
        <v>217.76499999999999</v>
      </c>
      <c r="J4843">
        <v>-483.34379999999999</v>
      </c>
      <c r="K4843">
        <v>1.112411</v>
      </c>
      <c r="L4843">
        <v>217.79570000000001</v>
      </c>
      <c r="M4843">
        <v>0.79035059999999902</v>
      </c>
      <c r="N4843">
        <v>0</v>
      </c>
      <c r="O4843">
        <v>-0.61257139999999999</v>
      </c>
      <c r="P4843">
        <v>0.91986769999999995</v>
      </c>
      <c r="Q4843">
        <v>-1.748297E-2</v>
      </c>
      <c r="R4843">
        <v>-0.3918394</v>
      </c>
      <c r="S4843">
        <v>3.1107480000000001</v>
      </c>
      <c r="T4843">
        <v>-0.37058419999999997</v>
      </c>
      <c r="U4843">
        <v>-0.350769</v>
      </c>
      <c r="V4843">
        <v>-0.25375950000000003</v>
      </c>
      <c r="W4843">
        <v>-9.1356719999999992E-3</v>
      </c>
      <c r="X4843">
        <v>0.96722419999999998</v>
      </c>
      <c r="Y4843">
        <v>-0.51295360000000001</v>
      </c>
      <c r="Z4843">
        <v>9.7988640000000002E-2</v>
      </c>
      <c r="AA4843">
        <v>0.85280529999999999</v>
      </c>
      <c r="AB4843">
        <v>14</v>
      </c>
      <c r="AC4843">
        <v>0.83859999999998502</v>
      </c>
      <c r="AD4843">
        <v>-0.11287170000000001</v>
      </c>
      <c r="AE4843">
        <v>-3.0700000000024302E-2</v>
      </c>
      <c r="AF4843">
        <v>-0.48076576919373099</v>
      </c>
      <c r="AG4843">
        <v>-0.11287170000000001</v>
      </c>
      <c r="AH4843">
        <v>0.66951612249505199</v>
      </c>
      <c r="AI4843">
        <v>97.7975119750798</v>
      </c>
      <c r="AJ4843">
        <v>125.681350611936</v>
      </c>
      <c r="AK4843">
        <v>0.83194205553640599</v>
      </c>
      <c r="AL4843">
        <v>90.523442730598404</v>
      </c>
      <c r="AM4843">
        <v>104.700719456793</v>
      </c>
      <c r="AN4843">
        <v>0.99999999870439005</v>
      </c>
    </row>
    <row r="4844" spans="1:40" x14ac:dyDescent="0.25">
      <c r="A4844" t="str">
        <f>"20190312150748193"</f>
        <v>20190312150748193</v>
      </c>
      <c r="B4844" t="str">
        <f>"1552374468184593"</f>
        <v>1552374468184593</v>
      </c>
      <c r="C4844" t="s">
        <v>40</v>
      </c>
      <c r="D4844">
        <v>4.3110019999999896</v>
      </c>
      <c r="E4844">
        <v>0.38868049999999998</v>
      </c>
      <c r="F4844" t="s">
        <v>41</v>
      </c>
      <c r="G4844">
        <v>-482.40980000000002</v>
      </c>
      <c r="H4844">
        <v>1.0024820000000001</v>
      </c>
      <c r="I4844">
        <v>217.6943</v>
      </c>
      <c r="J4844">
        <v>-483.2287</v>
      </c>
      <c r="K4844">
        <v>1.1124259999999999</v>
      </c>
      <c r="L4844">
        <v>217.7165</v>
      </c>
      <c r="M4844">
        <v>0.79437429999999998</v>
      </c>
      <c r="N4844">
        <v>0</v>
      </c>
      <c r="O4844">
        <v>-0.60734409999999905</v>
      </c>
      <c r="P4844">
        <v>0.92234769999999999</v>
      </c>
      <c r="Q4844">
        <v>-1.752749E-2</v>
      </c>
      <c r="R4844">
        <v>-0.385963</v>
      </c>
      <c r="S4844">
        <v>3.1107480000000001</v>
      </c>
      <c r="T4844">
        <v>-0.3660273</v>
      </c>
      <c r="U4844">
        <v>-0.3370514</v>
      </c>
      <c r="V4844">
        <v>-0.2535481</v>
      </c>
      <c r="W4844">
        <v>-9.1707449999999992E-3</v>
      </c>
      <c r="X4844">
        <v>0.96727929999999995</v>
      </c>
      <c r="Y4844">
        <v>-0.51123439999999998</v>
      </c>
      <c r="Z4844">
        <v>9.6260600000000002E-2</v>
      </c>
      <c r="AA4844">
        <v>0.854033499999999</v>
      </c>
      <c r="AB4844">
        <v>14</v>
      </c>
      <c r="AC4844">
        <v>0.81889999999998497</v>
      </c>
      <c r="AD4844">
        <v>-0.109944</v>
      </c>
      <c r="AE4844">
        <v>-2.2199999999997999E-2</v>
      </c>
      <c r="AF4844">
        <v>-0.47125533180668999</v>
      </c>
      <c r="AG4844">
        <v>-0.109944</v>
      </c>
      <c r="AH4844">
        <v>0.65228132401841399</v>
      </c>
      <c r="AI4844">
        <v>97.779935492338296</v>
      </c>
      <c r="AJ4844">
        <v>125.847076749481</v>
      </c>
      <c r="AK4844">
        <v>0.81218236656273801</v>
      </c>
      <c r="AL4844">
        <v>90.525452352715604</v>
      </c>
      <c r="AM4844">
        <v>104.688201953202</v>
      </c>
      <c r="AN4844">
        <v>0.99999999289297703</v>
      </c>
    </row>
    <row r="4845" spans="1:40" x14ac:dyDescent="0.25">
      <c r="A4845" t="str">
        <f>"20190312150748215"</f>
        <v>20190312150748215</v>
      </c>
      <c r="B4845" t="str">
        <f>"1552374468205092"</f>
        <v>1552374468205092</v>
      </c>
      <c r="C4845" t="s">
        <v>40</v>
      </c>
      <c r="D4845">
        <v>4.3284669999999998</v>
      </c>
      <c r="E4845">
        <v>0.38932450000000002</v>
      </c>
      <c r="F4845" t="s">
        <v>41</v>
      </c>
      <c r="G4845">
        <v>-482.31479999999999</v>
      </c>
      <c r="H4845">
        <v>1.005978</v>
      </c>
      <c r="I4845">
        <v>217.62139999999999</v>
      </c>
      <c r="J4845">
        <v>-483.11950000000002</v>
      </c>
      <c r="K4845">
        <v>1.112441</v>
      </c>
      <c r="L4845">
        <v>217.6422</v>
      </c>
      <c r="M4845">
        <v>0.79814659999999904</v>
      </c>
      <c r="N4845">
        <v>0</v>
      </c>
      <c r="O4845">
        <v>-0.60237779999999996</v>
      </c>
      <c r="P4845">
        <v>0.92467820000000001</v>
      </c>
      <c r="Q4845">
        <v>-1.7197359999999998E-2</v>
      </c>
      <c r="R4845">
        <v>-0.38036130000000001</v>
      </c>
      <c r="S4845">
        <v>3.1102599999999998</v>
      </c>
      <c r="T4845">
        <v>-0.36233349999999998</v>
      </c>
      <c r="U4845">
        <v>-0.32373049999999998</v>
      </c>
      <c r="V4845">
        <v>-0.25338840000000001</v>
      </c>
      <c r="W4845">
        <v>-8.8322479999999991E-3</v>
      </c>
      <c r="X4845">
        <v>0.96732430000000003</v>
      </c>
      <c r="Y4845">
        <v>-0.50966409999999995</v>
      </c>
      <c r="Z4845">
        <v>9.4810489999999997E-2</v>
      </c>
      <c r="AA4845">
        <v>0.8551337</v>
      </c>
      <c r="AB4845">
        <v>14</v>
      </c>
      <c r="AC4845">
        <v>0.80470000000002495</v>
      </c>
      <c r="AD4845">
        <v>-0.106462999999999</v>
      </c>
      <c r="AE4845">
        <v>-2.0800000000008301E-2</v>
      </c>
      <c r="AF4845">
        <v>-0.460107870615453</v>
      </c>
      <c r="AG4845">
        <v>-0.106462999999999</v>
      </c>
      <c r="AH4845">
        <v>0.64357435006103803</v>
      </c>
      <c r="AI4845">
        <v>97.664292272455398</v>
      </c>
      <c r="AJ4845">
        <v>125.561952566884</v>
      </c>
      <c r="AK4845">
        <v>0.79826159060033397</v>
      </c>
      <c r="AL4845">
        <v>90.506057115845607</v>
      </c>
      <c r="AM4845">
        <v>104.67869671984199</v>
      </c>
      <c r="AN4845">
        <v>0.99999999561489095</v>
      </c>
    </row>
    <row r="4846" spans="1:40" x14ac:dyDescent="0.25">
      <c r="A4846" t="str">
        <f>"20190312150748240"</f>
        <v>20190312150748240</v>
      </c>
      <c r="B4846" t="str">
        <f>"1552374468234369"</f>
        <v>1552374468234369</v>
      </c>
      <c r="C4846" t="s">
        <v>40</v>
      </c>
      <c r="D4846">
        <v>4.3370709999999999</v>
      </c>
      <c r="E4846">
        <v>0.39026889999999997</v>
      </c>
      <c r="F4846" t="s">
        <v>41</v>
      </c>
      <c r="G4846">
        <v>-482.21769999999998</v>
      </c>
      <c r="H4846">
        <v>1.008464</v>
      </c>
      <c r="I4846">
        <v>217.5522</v>
      </c>
      <c r="J4846">
        <v>-483.00110000000001</v>
      </c>
      <c r="K4846">
        <v>1.1124529999999999</v>
      </c>
      <c r="L4846">
        <v>217.56280000000001</v>
      </c>
      <c r="M4846">
        <v>0.80218210000000001</v>
      </c>
      <c r="N4846">
        <v>0</v>
      </c>
      <c r="O4846">
        <v>-0.59699329999999995</v>
      </c>
      <c r="P4846">
        <v>0.92723160000000004</v>
      </c>
      <c r="Q4846">
        <v>-1.7261499999999999E-2</v>
      </c>
      <c r="R4846">
        <v>-0.37409039999999999</v>
      </c>
      <c r="S4846">
        <v>3.1103209999999999</v>
      </c>
      <c r="T4846">
        <v>-0.35857830000000002</v>
      </c>
      <c r="U4846">
        <v>-0.30976870000000001</v>
      </c>
      <c r="V4846">
        <v>-0.2534284</v>
      </c>
      <c r="W4846">
        <v>-8.8906679999999991E-3</v>
      </c>
      <c r="X4846">
        <v>0.96731330000000004</v>
      </c>
      <c r="Y4846">
        <v>-0.50786929999999997</v>
      </c>
      <c r="Z4846">
        <v>9.3284400000000003E-2</v>
      </c>
      <c r="AA4846">
        <v>0.85636840000000003</v>
      </c>
      <c r="AB4846">
        <v>14</v>
      </c>
      <c r="AC4846">
        <v>0.78340000000002796</v>
      </c>
      <c r="AD4846">
        <v>-0.103989</v>
      </c>
      <c r="AE4846">
        <v>-1.06000000000108E-2</v>
      </c>
      <c r="AF4846">
        <v>-0.45125534657795202</v>
      </c>
      <c r="AG4846">
        <v>-0.103989</v>
      </c>
      <c r="AH4846">
        <v>0.62380083653803797</v>
      </c>
      <c r="AI4846">
        <v>97.692202388199206</v>
      </c>
      <c r="AJ4846">
        <v>125.88184583262</v>
      </c>
      <c r="AK4846">
        <v>0.77689933942676503</v>
      </c>
      <c r="AL4846">
        <v>90.509404459843594</v>
      </c>
      <c r="AM4846">
        <v>104.68107354941201</v>
      </c>
      <c r="AN4846">
        <v>1.0000000091304599</v>
      </c>
    </row>
    <row r="4847" spans="1:40" x14ac:dyDescent="0.25">
      <c r="A4847" t="str">
        <f>"20190312150748262"</f>
        <v>20190312150748262</v>
      </c>
      <c r="B4847" t="str">
        <f>"1552374468254470"</f>
        <v>1552374468254470</v>
      </c>
      <c r="C4847" t="s">
        <v>40</v>
      </c>
      <c r="D4847">
        <v>4.3323349999999996</v>
      </c>
      <c r="E4847">
        <v>0.39092199999999999</v>
      </c>
      <c r="F4847" t="s">
        <v>41</v>
      </c>
      <c r="G4847">
        <v>-482.12180000000001</v>
      </c>
      <c r="H4847">
        <v>1.01156</v>
      </c>
      <c r="I4847">
        <v>217.47909999999999</v>
      </c>
      <c r="J4847">
        <v>-482.88510000000002</v>
      </c>
      <c r="K4847">
        <v>1.1124639999999999</v>
      </c>
      <c r="L4847">
        <v>217.48599999999999</v>
      </c>
      <c r="M4847">
        <v>0.80608669999999905</v>
      </c>
      <c r="N4847">
        <v>0</v>
      </c>
      <c r="O4847">
        <v>-0.59170999999999996</v>
      </c>
      <c r="P4847">
        <v>0.92965019999999998</v>
      </c>
      <c r="Q4847">
        <v>-1.7200150000000001E-2</v>
      </c>
      <c r="R4847">
        <v>-0.36804150000000002</v>
      </c>
      <c r="S4847">
        <v>3.1094970000000002</v>
      </c>
      <c r="T4847">
        <v>-0.35674679999999998</v>
      </c>
      <c r="U4847">
        <v>-0.2957458</v>
      </c>
      <c r="V4847">
        <v>-0.2533765</v>
      </c>
      <c r="W4847">
        <v>-8.8238399999999995E-3</v>
      </c>
      <c r="X4847">
        <v>0.96732750000000001</v>
      </c>
      <c r="Y4847">
        <v>-0.50612860000000004</v>
      </c>
      <c r="Z4847">
        <v>9.2297169999999998E-2</v>
      </c>
      <c r="AA4847">
        <v>0.85750509999999902</v>
      </c>
      <c r="AB4847">
        <v>14</v>
      </c>
      <c r="AC4847">
        <v>0.76330000000001497</v>
      </c>
      <c r="AD4847">
        <v>-0.10090399999999899</v>
      </c>
      <c r="AE4847">
        <v>-6.90000000000168E-3</v>
      </c>
      <c r="AF4847">
        <v>-0.43845185366186101</v>
      </c>
      <c r="AG4847">
        <v>-0.10090399999999899</v>
      </c>
      <c r="AH4847">
        <v>0.60876334241331898</v>
      </c>
      <c r="AI4847">
        <v>97.660247782779507</v>
      </c>
      <c r="AJ4847">
        <v>125.762703492705</v>
      </c>
      <c r="AK4847">
        <v>0.75697718080650001</v>
      </c>
      <c r="AL4847">
        <v>90.505575351139996</v>
      </c>
      <c r="AM4847">
        <v>104.677990666102</v>
      </c>
      <c r="AN4847">
        <v>1.00000000158042</v>
      </c>
    </row>
    <row r="4848" spans="1:40" x14ac:dyDescent="0.25">
      <c r="A4848" t="str">
        <f>"20190312150748283"</f>
        <v>20190312150748283</v>
      </c>
      <c r="B4848" t="str">
        <f>"1552374468274966"</f>
        <v>1552374468274966</v>
      </c>
      <c r="C4848" t="s">
        <v>40</v>
      </c>
      <c r="D4848">
        <v>4.2924939999999996</v>
      </c>
      <c r="E4848">
        <v>0.39159890000000003</v>
      </c>
      <c r="F4848" t="s">
        <v>41</v>
      </c>
      <c r="G4848">
        <v>-482.02440000000001</v>
      </c>
      <c r="H4848">
        <v>1.0143279999999999</v>
      </c>
      <c r="I4848">
        <v>217.40819999999999</v>
      </c>
      <c r="J4848">
        <v>-482.77480000000003</v>
      </c>
      <c r="K4848">
        <v>1.1124769999999999</v>
      </c>
      <c r="L4848">
        <v>217.41409999999999</v>
      </c>
      <c r="M4848">
        <v>0.80975129999999995</v>
      </c>
      <c r="N4848">
        <v>0</v>
      </c>
      <c r="O4848">
        <v>-0.58668520000000002</v>
      </c>
      <c r="P4848">
        <v>0.93185459999999998</v>
      </c>
      <c r="Q4848">
        <v>-1.700378E-2</v>
      </c>
      <c r="R4848">
        <v>-0.36243399999999998</v>
      </c>
      <c r="S4848">
        <v>3.1094059999999999</v>
      </c>
      <c r="T4848">
        <v>-0.35446509999999998</v>
      </c>
      <c r="U4848">
        <v>-0.28053280000000003</v>
      </c>
      <c r="V4848">
        <v>-0.25319140000000001</v>
      </c>
      <c r="W4848">
        <v>-8.6219539999999994E-3</v>
      </c>
      <c r="X4848">
        <v>0.96737779999999995</v>
      </c>
      <c r="Y4848">
        <v>-0.50505009999999995</v>
      </c>
      <c r="Z4848">
        <v>9.12383999999999E-2</v>
      </c>
      <c r="AA4848">
        <v>0.85825399999999996</v>
      </c>
      <c r="AB4848">
        <v>14</v>
      </c>
      <c r="AC4848">
        <v>0.75040000000001295</v>
      </c>
      <c r="AD4848">
        <v>-9.8148999999999806E-2</v>
      </c>
      <c r="AE4848">
        <v>-5.8999999999968999E-3</v>
      </c>
      <c r="AF4848">
        <v>-0.428169094471953</v>
      </c>
      <c r="AG4848">
        <v>-9.8148999999999806E-2</v>
      </c>
      <c r="AH4848">
        <v>0.60085195739852404</v>
      </c>
      <c r="AI4848">
        <v>97.577505104539</v>
      </c>
      <c r="AJ4848">
        <v>125.473798138723</v>
      </c>
      <c r="AK4848">
        <v>0.74430173610678196</v>
      </c>
      <c r="AL4848">
        <v>90.4940076884115</v>
      </c>
      <c r="AM4848">
        <v>104.667000662205</v>
      </c>
      <c r="AN4848">
        <v>1.00000001552878</v>
      </c>
    </row>
    <row r="4849" spans="1:40" x14ac:dyDescent="0.25">
      <c r="A4849" t="str">
        <f>"20190312150748306"</f>
        <v>20190312150748306</v>
      </c>
      <c r="B4849" t="str">
        <f>"1552374468294490"</f>
        <v>1552374468294490</v>
      </c>
      <c r="C4849" t="s">
        <v>40</v>
      </c>
      <c r="D4849">
        <v>4.3411470000000003</v>
      </c>
      <c r="E4849">
        <v>0.39204410000000001</v>
      </c>
      <c r="F4849" t="s">
        <v>41</v>
      </c>
      <c r="G4849">
        <v>-481.9248</v>
      </c>
      <c r="H4849">
        <v>1.0161279999999999</v>
      </c>
      <c r="I4849">
        <v>217.34129999999999</v>
      </c>
      <c r="J4849">
        <v>-482.66379999999998</v>
      </c>
      <c r="K4849">
        <v>1.1124889999999901</v>
      </c>
      <c r="L4849">
        <v>217.34270000000001</v>
      </c>
      <c r="M4849">
        <v>0.81338889999999997</v>
      </c>
      <c r="N4849">
        <v>0</v>
      </c>
      <c r="O4849">
        <v>-0.58163109999999996</v>
      </c>
      <c r="P4849">
        <v>0.93392260000000005</v>
      </c>
      <c r="Q4849">
        <v>-1.7212680000000001E-2</v>
      </c>
      <c r="R4849">
        <v>-0.35706080000000001</v>
      </c>
      <c r="S4849">
        <v>3.1091609999999998</v>
      </c>
      <c r="T4849">
        <v>-0.35248940000000001</v>
      </c>
      <c r="U4849">
        <v>-0.2667542</v>
      </c>
      <c r="V4849">
        <v>-0.25273479999999998</v>
      </c>
      <c r="W4849">
        <v>-8.8238209999999904E-3</v>
      </c>
      <c r="X4849">
        <v>0.96749540000000001</v>
      </c>
      <c r="Y4849">
        <v>-0.50356179999999995</v>
      </c>
      <c r="Z4849">
        <v>9.023362E-2</v>
      </c>
      <c r="AA4849">
        <v>0.85923419999999895</v>
      </c>
      <c r="AB4849">
        <v>14</v>
      </c>
      <c r="AC4849">
        <v>0.73899999999997501</v>
      </c>
      <c r="AD4849">
        <v>-9.6360999999999697E-2</v>
      </c>
      <c r="AE4849">
        <v>-1.40000000001805E-3</v>
      </c>
      <c r="AF4849">
        <v>-0.42154162933820399</v>
      </c>
      <c r="AG4849">
        <v>-9.6360999999999697E-2</v>
      </c>
      <c r="AH4849">
        <v>0.59187654383895705</v>
      </c>
      <c r="AI4849">
        <v>97.553950696563405</v>
      </c>
      <c r="AJ4849">
        <v>125.458929111559</v>
      </c>
      <c r="AK4849">
        <v>0.7330079336084</v>
      </c>
      <c r="AL4849">
        <v>90.505574241038801</v>
      </c>
      <c r="AM4849">
        <v>104.639984792113</v>
      </c>
      <c r="AN4849">
        <v>1.00000004398461</v>
      </c>
    </row>
    <row r="4850" spans="1:40" x14ac:dyDescent="0.25">
      <c r="A4850" t="str">
        <f>"20190312150748326"</f>
        <v>20190312150748326</v>
      </c>
      <c r="B4850" t="str">
        <f>"1552374468324743"</f>
        <v>1552374468324743</v>
      </c>
      <c r="C4850" t="s">
        <v>40</v>
      </c>
      <c r="D4850">
        <v>4.3793660000000001</v>
      </c>
      <c r="E4850">
        <v>0.4028931</v>
      </c>
      <c r="F4850" t="s">
        <v>41</v>
      </c>
      <c r="G4850">
        <v>-481.69990000000001</v>
      </c>
      <c r="H4850">
        <v>1.002948</v>
      </c>
      <c r="I4850">
        <v>217.26429999999999</v>
      </c>
      <c r="J4850">
        <v>-482.55360000000002</v>
      </c>
      <c r="K4850">
        <v>1.1125</v>
      </c>
      <c r="L4850">
        <v>217.27289999999999</v>
      </c>
      <c r="M4850">
        <v>0.81695869999999904</v>
      </c>
      <c r="N4850">
        <v>0</v>
      </c>
      <c r="O4850">
        <v>-0.5766059</v>
      </c>
      <c r="P4850">
        <v>0.93605099999999997</v>
      </c>
      <c r="Q4850">
        <v>-1.7207670000000001E-2</v>
      </c>
      <c r="R4850">
        <v>-0.35144320000000001</v>
      </c>
      <c r="S4850">
        <v>3.1093139999999999</v>
      </c>
      <c r="T4850">
        <v>-0.35328009999999999</v>
      </c>
      <c r="U4850">
        <v>-0.25213619999999998</v>
      </c>
      <c r="V4850">
        <v>-0.25258389999999997</v>
      </c>
      <c r="W4850">
        <v>-8.8153810000000006E-3</v>
      </c>
      <c r="X4850">
        <v>0.96753480000000003</v>
      </c>
      <c r="Y4850">
        <v>-0.50226870000000001</v>
      </c>
      <c r="Z4850">
        <v>8.9934360000000005E-2</v>
      </c>
      <c r="AA4850">
        <v>0.86002209999999901</v>
      </c>
      <c r="AB4850">
        <v>14</v>
      </c>
      <c r="AC4850">
        <v>0.85370000000000301</v>
      </c>
      <c r="AD4850">
        <v>-0.109552</v>
      </c>
      <c r="AE4850">
        <v>-8.6000000000012698E-3</v>
      </c>
      <c r="AF4850">
        <v>-0.477387254232846</v>
      </c>
      <c r="AG4850">
        <v>-0.109552</v>
      </c>
      <c r="AH4850">
        <v>0.69105417956126403</v>
      </c>
      <c r="AI4850">
        <v>97.431279330154197</v>
      </c>
      <c r="AJ4850">
        <v>124.637110860126</v>
      </c>
      <c r="AK4850">
        <v>0.84702780963618196</v>
      </c>
      <c r="AL4850">
        <v>90.505090686603097</v>
      </c>
      <c r="AM4850">
        <v>104.631048659399</v>
      </c>
      <c r="AN4850">
        <v>0.999999963346211</v>
      </c>
    </row>
    <row r="4851" spans="1:40" x14ac:dyDescent="0.25">
      <c r="A4851" t="str">
        <f>"20190312150748349"</f>
        <v>20190312150748349</v>
      </c>
      <c r="B4851" t="str">
        <f>"1552374468345239"</f>
        <v>1552374468345239</v>
      </c>
      <c r="C4851" t="s">
        <v>40</v>
      </c>
      <c r="D4851">
        <v>4.3570390000000003</v>
      </c>
      <c r="E4851">
        <v>0.40350360000000002</v>
      </c>
      <c r="F4851" t="s">
        <v>41</v>
      </c>
      <c r="G4851">
        <v>-481.60809999999998</v>
      </c>
      <c r="H4851">
        <v>0.99010750000000003</v>
      </c>
      <c r="I4851">
        <v>217.17689999999999</v>
      </c>
      <c r="J4851">
        <v>-482.43860000000001</v>
      </c>
      <c r="K4851">
        <v>1.112511</v>
      </c>
      <c r="L4851">
        <v>217.20089999999999</v>
      </c>
      <c r="M4851">
        <v>0.82063449999999905</v>
      </c>
      <c r="N4851">
        <v>0</v>
      </c>
      <c r="O4851">
        <v>-0.57136239999999905</v>
      </c>
      <c r="P4851">
        <v>0.93823429999999997</v>
      </c>
      <c r="Q4851">
        <v>-1.697392E-2</v>
      </c>
      <c r="R4851">
        <v>-0.34558450000000002</v>
      </c>
      <c r="S4851">
        <v>3.0802309999999999</v>
      </c>
      <c r="T4851">
        <v>-0.39873900000000001</v>
      </c>
      <c r="U4851">
        <v>-0.31256099999999998</v>
      </c>
      <c r="V4851">
        <v>-0.25244</v>
      </c>
      <c r="W4851">
        <v>-8.5786790000000005E-3</v>
      </c>
      <c r="X4851">
        <v>0.9675745</v>
      </c>
      <c r="Y4851">
        <v>-0.47754560000000001</v>
      </c>
      <c r="Z4851">
        <v>0.10002999999999999</v>
      </c>
      <c r="AA4851">
        <v>0.87289419999999995</v>
      </c>
      <c r="AB4851">
        <v>14</v>
      </c>
      <c r="AC4851">
        <v>0.83050000000002899</v>
      </c>
      <c r="AD4851">
        <v>-0.1224035</v>
      </c>
      <c r="AE4851">
        <v>-2.4000000000000899E-2</v>
      </c>
      <c r="AF4851">
        <v>-0.44518252653677298</v>
      </c>
      <c r="AG4851">
        <v>-0.1224035</v>
      </c>
      <c r="AH4851">
        <v>0.68051569481528296</v>
      </c>
      <c r="AI4851">
        <v>98.559978218601501</v>
      </c>
      <c r="AJ4851">
        <v>123.192072387194</v>
      </c>
      <c r="AK4851">
        <v>0.822357409911191</v>
      </c>
      <c r="AL4851">
        <v>90.491528139258094</v>
      </c>
      <c r="AM4851">
        <v>104.62249628226</v>
      </c>
      <c r="AN4851">
        <v>0.99999998019181702</v>
      </c>
    </row>
    <row r="4852" spans="1:40" x14ac:dyDescent="0.25">
      <c r="A4852" t="str">
        <f>"20190312150748371"</f>
        <v>20190312150748371</v>
      </c>
      <c r="B4852" t="str">
        <f>"1552374468364722"</f>
        <v>1552374468364722</v>
      </c>
      <c r="C4852" t="s">
        <v>40</v>
      </c>
      <c r="D4852">
        <v>4.3475440000000001</v>
      </c>
      <c r="E4852">
        <v>0.40469460000000002</v>
      </c>
      <c r="F4852" t="s">
        <v>41</v>
      </c>
      <c r="G4852">
        <v>-481.50659999999999</v>
      </c>
      <c r="H4852">
        <v>0.9956294</v>
      </c>
      <c r="I4852">
        <v>217.1105</v>
      </c>
      <c r="J4852">
        <v>-482.32069999999999</v>
      </c>
      <c r="K4852">
        <v>1.1125259999999999</v>
      </c>
      <c r="L4852">
        <v>217.1283</v>
      </c>
      <c r="M4852">
        <v>0.824353</v>
      </c>
      <c r="N4852">
        <v>0</v>
      </c>
      <c r="O4852">
        <v>-0.56598380000000004</v>
      </c>
      <c r="P4852">
        <v>0.9404477</v>
      </c>
      <c r="Q4852">
        <v>-1.6888569999999999E-2</v>
      </c>
      <c r="R4852">
        <v>-0.339518599999999</v>
      </c>
      <c r="S4852">
        <v>3.0804749999999999</v>
      </c>
      <c r="T4852">
        <v>-0.38628479999999998</v>
      </c>
      <c r="U4852">
        <v>-0.29869079999999998</v>
      </c>
      <c r="V4852">
        <v>-0.25236219999999998</v>
      </c>
      <c r="W4852">
        <v>-8.4916939999999993E-3</v>
      </c>
      <c r="X4852">
        <v>0.9675956</v>
      </c>
      <c r="Y4852">
        <v>-0.47625299999999998</v>
      </c>
      <c r="Z4852">
        <v>9.6336290000000005E-2</v>
      </c>
      <c r="AA4852">
        <v>0.87401509999999905</v>
      </c>
      <c r="AB4852">
        <v>14</v>
      </c>
      <c r="AC4852">
        <v>0.81409999999999605</v>
      </c>
      <c r="AD4852">
        <v>-0.1168966</v>
      </c>
      <c r="AE4852">
        <v>-1.7799999999994001E-2</v>
      </c>
      <c r="AF4852">
        <v>-0.437109185263028</v>
      </c>
      <c r="AG4852">
        <v>-0.1168966</v>
      </c>
      <c r="AH4852">
        <v>0.66746069001784303</v>
      </c>
      <c r="AI4852">
        <v>98.335333745114596</v>
      </c>
      <c r="AJ4852">
        <v>123.220139127001</v>
      </c>
      <c r="AK4852">
        <v>0.80637027949445295</v>
      </c>
      <c r="AL4852">
        <v>90.486544066322693</v>
      </c>
      <c r="AM4852">
        <v>104.61787768935901</v>
      </c>
      <c r="AN4852">
        <v>1.00000001699759</v>
      </c>
    </row>
    <row r="4853" spans="1:40" x14ac:dyDescent="0.25">
      <c r="A4853" t="str">
        <f>"20190312150748394"</f>
        <v>20190312150748394</v>
      </c>
      <c r="B4853" t="str">
        <f>"1552374468384245"</f>
        <v>1552374468384245</v>
      </c>
      <c r="C4853" t="s">
        <v>40</v>
      </c>
      <c r="D4853">
        <v>4.4438570000000004</v>
      </c>
      <c r="E4853">
        <v>0.40774159999999998</v>
      </c>
      <c r="F4853" t="s">
        <v>41</v>
      </c>
      <c r="G4853">
        <v>-481.40530000000001</v>
      </c>
      <c r="H4853">
        <v>1.0005090000000001</v>
      </c>
      <c r="I4853">
        <v>217.04259999999999</v>
      </c>
      <c r="J4853">
        <v>-482.19929999999999</v>
      </c>
      <c r="K4853">
        <v>1.1125389999999999</v>
      </c>
      <c r="L4853">
        <v>217.05449999999999</v>
      </c>
      <c r="M4853">
        <v>0.82813400000000004</v>
      </c>
      <c r="N4853">
        <v>0</v>
      </c>
      <c r="O4853">
        <v>-0.56043679999999996</v>
      </c>
      <c r="P4853">
        <v>0.94246359999999996</v>
      </c>
      <c r="Q4853">
        <v>-1.704673E-2</v>
      </c>
      <c r="R4853">
        <v>-0.33387410000000001</v>
      </c>
      <c r="S4853">
        <v>3.079285</v>
      </c>
      <c r="T4853">
        <v>-0.37676949999999998</v>
      </c>
      <c r="U4853">
        <v>-0.28805540000000002</v>
      </c>
      <c r="V4853">
        <v>-0.25166509999999997</v>
      </c>
      <c r="W4853">
        <v>-8.6440470000000002E-3</v>
      </c>
      <c r="X4853">
        <v>0.96777579999999996</v>
      </c>
      <c r="Y4853">
        <v>-0.47373520000000002</v>
      </c>
      <c r="Z4853">
        <v>9.3338829999999998E-2</v>
      </c>
      <c r="AA4853">
        <v>0.87570700000000001</v>
      </c>
      <c r="AB4853">
        <v>14</v>
      </c>
      <c r="AC4853">
        <v>0.79399999999998205</v>
      </c>
      <c r="AD4853">
        <v>-0.11202999999999901</v>
      </c>
      <c r="AE4853">
        <v>-1.18999999999971E-2</v>
      </c>
      <c r="AF4853">
        <v>-0.426662704992393</v>
      </c>
      <c r="AG4853">
        <v>-0.11202999999999901</v>
      </c>
      <c r="AH4853">
        <v>0.65127959487446696</v>
      </c>
      <c r="AI4853">
        <v>98.187968698625994</v>
      </c>
      <c r="AJ4853">
        <v>123.22938928777999</v>
      </c>
      <c r="AK4853">
        <v>0.78661101913924103</v>
      </c>
      <c r="AL4853">
        <v>90.495273568716996</v>
      </c>
      <c r="AM4853">
        <v>104.57662246736299</v>
      </c>
      <c r="AN4853">
        <v>1.0000000205860899</v>
      </c>
    </row>
    <row r="4854" spans="1:40" x14ac:dyDescent="0.25">
      <c r="A4854" t="str">
        <f>"20190312150748416"</f>
        <v>20190312150748416</v>
      </c>
      <c r="B4854" t="str">
        <f>"1552374468404738"</f>
        <v>1552374468404738</v>
      </c>
      <c r="C4854" t="s">
        <v>40</v>
      </c>
      <c r="D4854">
        <v>4.4026379999999996</v>
      </c>
      <c r="E4854">
        <v>0.4097208</v>
      </c>
      <c r="F4854" t="s">
        <v>41</v>
      </c>
      <c r="G4854">
        <v>-481.30450000000002</v>
      </c>
      <c r="H4854">
        <v>1.0037700000000001</v>
      </c>
      <c r="I4854">
        <v>216.96950000000001</v>
      </c>
      <c r="J4854">
        <v>-482.0865</v>
      </c>
      <c r="K4854">
        <v>1.1125560000000001</v>
      </c>
      <c r="L4854">
        <v>216.98699999999999</v>
      </c>
      <c r="M4854">
        <v>0.83160249999999902</v>
      </c>
      <c r="N4854">
        <v>0</v>
      </c>
      <c r="O4854">
        <v>-0.55527709999999997</v>
      </c>
      <c r="P4854">
        <v>0.94436580000000003</v>
      </c>
      <c r="Q4854">
        <v>-1.6970499999999999E-2</v>
      </c>
      <c r="R4854">
        <v>-0.32845940000000001</v>
      </c>
      <c r="S4854">
        <v>3.0727229999999999</v>
      </c>
      <c r="T4854">
        <v>-0.37355319999999997</v>
      </c>
      <c r="U4854">
        <v>-0.29252620000000001</v>
      </c>
      <c r="V4854">
        <v>-0.25120330000000002</v>
      </c>
      <c r="W4854">
        <v>-8.5654890000000008E-3</v>
      </c>
      <c r="X4854">
        <v>0.96789650000000005</v>
      </c>
      <c r="Y4854">
        <v>-0.4669991</v>
      </c>
      <c r="Z4854">
        <v>9.1805819999999996E-2</v>
      </c>
      <c r="AA4854">
        <v>0.87947919999999902</v>
      </c>
      <c r="AB4854">
        <v>14</v>
      </c>
      <c r="AC4854">
        <v>0.78199999999998204</v>
      </c>
      <c r="AD4854">
        <v>-0.10878599999999899</v>
      </c>
      <c r="AE4854">
        <v>-1.7499999999984001E-2</v>
      </c>
      <c r="AF4854">
        <v>-0.41173163973072702</v>
      </c>
      <c r="AG4854">
        <v>-0.10878599999999899</v>
      </c>
      <c r="AH4854">
        <v>0.64753992248697601</v>
      </c>
      <c r="AI4854">
        <v>98.068928690174602</v>
      </c>
      <c r="AJ4854">
        <v>122.449823641828</v>
      </c>
      <c r="AK4854">
        <v>0.77502599192916899</v>
      </c>
      <c r="AL4854">
        <v>90.490772345823103</v>
      </c>
      <c r="AM4854">
        <v>104.549273463209</v>
      </c>
      <c r="AN4854">
        <v>1.00000005012247</v>
      </c>
    </row>
    <row r="4855" spans="1:40" x14ac:dyDescent="0.25">
      <c r="A4855" t="str">
        <f>"20190312150748439"</f>
        <v>20190312150748439</v>
      </c>
      <c r="B4855" t="str">
        <f>"1552374468434994"</f>
        <v>1552374468434994</v>
      </c>
      <c r="C4855" t="s">
        <v>40</v>
      </c>
      <c r="D4855">
        <v>4.3994479999999996</v>
      </c>
      <c r="E4855">
        <v>0.433869</v>
      </c>
      <c r="F4855" t="s">
        <v>41</v>
      </c>
      <c r="G4855">
        <v>-481.18759999999997</v>
      </c>
      <c r="H4855">
        <v>1.0026440000000001</v>
      </c>
      <c r="I4855">
        <v>216.90190000000001</v>
      </c>
      <c r="J4855">
        <v>-481.9649</v>
      </c>
      <c r="K4855">
        <v>1.112574</v>
      </c>
      <c r="L4855">
        <v>216.9153</v>
      </c>
      <c r="M4855">
        <v>0.83529219999999904</v>
      </c>
      <c r="N4855">
        <v>0</v>
      </c>
      <c r="O4855">
        <v>-0.54971099999999995</v>
      </c>
      <c r="P4855">
        <v>0.94644280000000003</v>
      </c>
      <c r="Q4855">
        <v>-1.6421649999999999E-2</v>
      </c>
      <c r="R4855">
        <v>-0.32245390000000002</v>
      </c>
      <c r="S4855">
        <v>3.0692439999999999</v>
      </c>
      <c r="T4855">
        <v>-0.37521979999999999</v>
      </c>
      <c r="U4855">
        <v>-0.28964230000000002</v>
      </c>
      <c r="V4855">
        <v>-0.2508957</v>
      </c>
      <c r="W4855">
        <v>-8.0173580000000005E-3</v>
      </c>
      <c r="X4855">
        <v>0.96798090000000003</v>
      </c>
      <c r="Y4855">
        <v>-0.46182079999999998</v>
      </c>
      <c r="Z4855">
        <v>9.1445230000000002E-2</v>
      </c>
      <c r="AA4855">
        <v>0.8822468</v>
      </c>
      <c r="AB4855">
        <v>14</v>
      </c>
      <c r="AC4855">
        <v>0.77730000000002497</v>
      </c>
      <c r="AD4855">
        <v>-0.109929999999999</v>
      </c>
      <c r="AE4855">
        <v>-1.339999999999E-2</v>
      </c>
      <c r="AF4855">
        <v>-0.40796195423842602</v>
      </c>
      <c r="AG4855">
        <v>-0.109929999999999</v>
      </c>
      <c r="AH4855">
        <v>0.64380022716569196</v>
      </c>
      <c r="AI4855">
        <v>98.207277006025294</v>
      </c>
      <c r="AJ4855">
        <v>122.361530324809</v>
      </c>
      <c r="AK4855">
        <v>0.77006252571114797</v>
      </c>
      <c r="AL4855">
        <v>90.459365708300695</v>
      </c>
      <c r="AM4855">
        <v>104.53099906201</v>
      </c>
      <c r="AN4855">
        <v>0.99999997653629902</v>
      </c>
    </row>
    <row r="4856" spans="1:40" x14ac:dyDescent="0.25">
      <c r="A4856" t="str">
        <f>"20190312150748464"</f>
        <v>20190312150748464</v>
      </c>
      <c r="B4856" t="str">
        <f>"1552374468454478"</f>
        <v>1552374468454478</v>
      </c>
      <c r="C4856" t="s">
        <v>40</v>
      </c>
      <c r="D4856">
        <v>4.4022560000000004</v>
      </c>
      <c r="E4856">
        <v>0.43468459999999998</v>
      </c>
      <c r="F4856" t="s">
        <v>61</v>
      </c>
      <c r="G4856">
        <v>-469.995</v>
      </c>
      <c r="H4856" s="1">
        <v>5.9816520000000002E-6</v>
      </c>
      <c r="I4856">
        <v>215.09700000000001</v>
      </c>
      <c r="J4856">
        <v>-481.83260000000001</v>
      </c>
      <c r="K4856">
        <v>1.112598</v>
      </c>
      <c r="L4856">
        <v>216.83850000000001</v>
      </c>
      <c r="M4856">
        <v>0.83926029999999996</v>
      </c>
      <c r="N4856">
        <v>0</v>
      </c>
      <c r="O4856">
        <v>-0.54363309999999998</v>
      </c>
      <c r="P4856">
        <v>0.94867270000000004</v>
      </c>
      <c r="Q4856">
        <v>-1.671562E-2</v>
      </c>
      <c r="R4856">
        <v>-0.31581700000000001</v>
      </c>
      <c r="S4856">
        <v>3.0091549999999998</v>
      </c>
      <c r="T4856">
        <v>-0.27969240000000001</v>
      </c>
      <c r="U4856">
        <v>-0.4571228</v>
      </c>
      <c r="V4856">
        <v>-0.25064399999999998</v>
      </c>
      <c r="W4856">
        <v>-8.311555E-3</v>
      </c>
      <c r="X4856">
        <v>0.9680436</v>
      </c>
      <c r="Y4856">
        <v>-0.40771289999999999</v>
      </c>
      <c r="Z4856">
        <v>6.6244639999999994E-2</v>
      </c>
      <c r="AA4856">
        <v>0.91070399999999996</v>
      </c>
      <c r="AB4856">
        <v>14</v>
      </c>
      <c r="AC4856">
        <v>11.8376</v>
      </c>
      <c r="AD4856">
        <v>-1.112592018348</v>
      </c>
      <c r="AE4856">
        <v>-1.7415</v>
      </c>
      <c r="AF4856">
        <v>-4.9313615065499699</v>
      </c>
      <c r="AG4856">
        <v>-1.112592018348</v>
      </c>
      <c r="AH4856">
        <v>10.7888503252292</v>
      </c>
      <c r="AI4856">
        <v>95.358160277708507</v>
      </c>
      <c r="AJ4856">
        <v>114.564165097198</v>
      </c>
      <c r="AK4856">
        <v>11.9145070669236</v>
      </c>
      <c r="AL4856">
        <v>90.476222527724104</v>
      </c>
      <c r="AM4856">
        <v>104.51613715159399</v>
      </c>
      <c r="AN4856">
        <v>0.99999995409173703</v>
      </c>
    </row>
    <row r="4857" spans="1:40" x14ac:dyDescent="0.25">
      <c r="A4857" t="str">
        <f>"20190312150748487"</f>
        <v>20190312150748487</v>
      </c>
      <c r="B4857" t="str">
        <f>"1552374468484734"</f>
        <v>1552374468484734</v>
      </c>
      <c r="C4857" t="s">
        <v>40</v>
      </c>
      <c r="D4857">
        <v>4.4937420000000001</v>
      </c>
      <c r="E4857">
        <v>0.43531969999999998</v>
      </c>
      <c r="F4857" t="s">
        <v>67</v>
      </c>
      <c r="G4857">
        <v>-469.64789999999999</v>
      </c>
      <c r="H4857" s="1">
        <v>3.578494E-6</v>
      </c>
      <c r="I4857">
        <v>215.04820000000001</v>
      </c>
      <c r="J4857">
        <v>-481.70949999999999</v>
      </c>
      <c r="K4857">
        <v>1.1126259999999999</v>
      </c>
      <c r="L4857">
        <v>216.76820000000001</v>
      </c>
      <c r="M4857">
        <v>0.84290699999999996</v>
      </c>
      <c r="N4857">
        <v>0</v>
      </c>
      <c r="O4857">
        <v>-0.53796140000000003</v>
      </c>
      <c r="P4857">
        <v>0.95062060000000004</v>
      </c>
      <c r="Q4857">
        <v>-1.622898E-2</v>
      </c>
      <c r="R4857">
        <v>-0.30993130000000002</v>
      </c>
      <c r="S4857">
        <v>3.0102540000000002</v>
      </c>
      <c r="T4857">
        <v>-0.27487030000000001</v>
      </c>
      <c r="U4857">
        <v>-0.442276</v>
      </c>
      <c r="V4857">
        <v>-0.25012380000000001</v>
      </c>
      <c r="W4857">
        <v>-7.8179979999999996E-3</v>
      </c>
      <c r="X4857">
        <v>0.96818230000000005</v>
      </c>
      <c r="Y4857">
        <v>-0.40615639999999997</v>
      </c>
      <c r="Z4857">
        <v>6.4622910000000006E-2</v>
      </c>
      <c r="AA4857">
        <v>0.91151570000000004</v>
      </c>
      <c r="AB4857">
        <v>14</v>
      </c>
      <c r="AC4857">
        <v>12.0616</v>
      </c>
      <c r="AD4857">
        <v>-1.1126224215060001</v>
      </c>
      <c r="AE4857">
        <v>-1.71999999999999</v>
      </c>
      <c r="AF4857">
        <v>-4.9974639237386302</v>
      </c>
      <c r="AG4857">
        <v>-1.1126224215060001</v>
      </c>
      <c r="AH4857">
        <v>11.000941872534399</v>
      </c>
      <c r="AI4857">
        <v>95.261116201430298</v>
      </c>
      <c r="AJ4857">
        <v>114.431158702418</v>
      </c>
      <c r="AK4857">
        <v>12.133972820341601</v>
      </c>
      <c r="AL4857">
        <v>90.447942852297501</v>
      </c>
      <c r="AM4857">
        <v>104.485290496039</v>
      </c>
      <c r="AN4857">
        <v>1.00000000122622</v>
      </c>
    </row>
    <row r="4858" spans="1:40" x14ac:dyDescent="0.25">
      <c r="A4858" t="str">
        <f>"20190312150748508"</f>
        <v>20190312150748508</v>
      </c>
      <c r="B4858" t="str">
        <f>"1552374468504254"</f>
        <v>1552374468504254</v>
      </c>
      <c r="C4858" t="s">
        <v>40</v>
      </c>
      <c r="D4858">
        <v>4.4980960000000003</v>
      </c>
      <c r="E4858">
        <v>0.43565160000000003</v>
      </c>
      <c r="F4858" t="s">
        <v>67</v>
      </c>
      <c r="G4858">
        <v>-469.84190000000001</v>
      </c>
      <c r="H4858" s="1">
        <v>3.6801979999999999E-6</v>
      </c>
      <c r="I4858">
        <v>215.0823</v>
      </c>
      <c r="J4858">
        <v>-481.59609999999998</v>
      </c>
      <c r="K4858">
        <v>1.1126529999999999</v>
      </c>
      <c r="L4858">
        <v>216.7045</v>
      </c>
      <c r="M4858">
        <v>0.84623009999999999</v>
      </c>
      <c r="N4858">
        <v>0</v>
      </c>
      <c r="O4858">
        <v>-0.53271849999999998</v>
      </c>
      <c r="P4858">
        <v>0.95257340000000001</v>
      </c>
      <c r="Q4858">
        <v>-1.570415E-2</v>
      </c>
      <c r="R4858">
        <v>-0.303903599999999</v>
      </c>
      <c r="S4858">
        <v>3.011536</v>
      </c>
      <c r="T4858">
        <v>-0.28234029999999999</v>
      </c>
      <c r="U4858">
        <v>-0.42782589999999998</v>
      </c>
      <c r="V4858">
        <v>-0.25025360000000002</v>
      </c>
      <c r="W4858">
        <v>-7.2903680000000002E-3</v>
      </c>
      <c r="X4858">
        <v>0.96815289999999998</v>
      </c>
      <c r="Y4858">
        <v>-0.40465640000000003</v>
      </c>
      <c r="Z4858">
        <v>6.5901719999999997E-2</v>
      </c>
      <c r="AA4858">
        <v>0.91209110000000004</v>
      </c>
      <c r="AB4858">
        <v>14</v>
      </c>
      <c r="AC4858">
        <v>11.7541999999999</v>
      </c>
      <c r="AD4858">
        <v>-1.112649319802</v>
      </c>
      <c r="AE4858">
        <v>-1.6221999999999901</v>
      </c>
      <c r="AF4858">
        <v>-4.8465677270935599</v>
      </c>
      <c r="AG4858">
        <v>-1.112649319802</v>
      </c>
      <c r="AH4858">
        <v>10.717267975903599</v>
      </c>
      <c r="AI4858">
        <v>95.403839516954804</v>
      </c>
      <c r="AJ4858">
        <v>114.33345553658501</v>
      </c>
      <c r="AK4858">
        <v>11.8146959380887</v>
      </c>
      <c r="AL4858">
        <v>90.417711006971004</v>
      </c>
      <c r="AM4858">
        <v>104.492912628063</v>
      </c>
      <c r="AN4858">
        <v>1.00000002577847</v>
      </c>
    </row>
    <row r="4859" spans="1:40" x14ac:dyDescent="0.25">
      <c r="A4859" t="str">
        <f>"20190312150748529"</f>
        <v>20190312150748529</v>
      </c>
      <c r="B4859" t="str">
        <f>"1552374468524749"</f>
        <v>1552374468524749</v>
      </c>
      <c r="C4859" t="s">
        <v>40</v>
      </c>
      <c r="D4859">
        <v>4.5369429999999999</v>
      </c>
      <c r="E4859">
        <v>0.43619330000000001</v>
      </c>
      <c r="F4859" t="s">
        <v>61</v>
      </c>
      <c r="G4859">
        <v>-470.0967</v>
      </c>
      <c r="H4859" s="1">
        <v>5.9382689999999997E-6</v>
      </c>
      <c r="I4859">
        <v>215.1361</v>
      </c>
      <c r="J4859">
        <v>-481.47859999999997</v>
      </c>
      <c r="K4859">
        <v>1.1126769999999999</v>
      </c>
      <c r="L4859">
        <v>216.6396</v>
      </c>
      <c r="M4859">
        <v>0.84963630000000001</v>
      </c>
      <c r="N4859">
        <v>0</v>
      </c>
      <c r="O4859">
        <v>-0.52726850000000003</v>
      </c>
      <c r="P4859">
        <v>0.95465339999999999</v>
      </c>
      <c r="Q4859">
        <v>-1.5802259999999999E-2</v>
      </c>
      <c r="R4859">
        <v>-0.2972998</v>
      </c>
      <c r="S4859">
        <v>3.0134889999999999</v>
      </c>
      <c r="T4859">
        <v>-0.29157670000000002</v>
      </c>
      <c r="U4859">
        <v>-0.41101070000000001</v>
      </c>
      <c r="V4859">
        <v>-0.25073400000000001</v>
      </c>
      <c r="W4859">
        <v>-7.38865599999999E-3</v>
      </c>
      <c r="X4859">
        <v>0.96802779999999999</v>
      </c>
      <c r="Y4859">
        <v>-0.4036363</v>
      </c>
      <c r="Z4859">
        <v>6.7556870000000005E-2</v>
      </c>
      <c r="AA4859">
        <v>0.91242190000000001</v>
      </c>
      <c r="AB4859">
        <v>14</v>
      </c>
      <c r="AC4859">
        <v>11.3818999999999</v>
      </c>
      <c r="AD4859">
        <v>-1.1126710617310001</v>
      </c>
      <c r="AE4859">
        <v>-1.5035000000000001</v>
      </c>
      <c r="AF4859">
        <v>-4.6801801409598696</v>
      </c>
      <c r="AG4859">
        <v>-1.1126710617310001</v>
      </c>
      <c r="AH4859">
        <v>10.366409875064701</v>
      </c>
      <c r="AI4859">
        <v>95.587258408003805</v>
      </c>
      <c r="AJ4859">
        <v>114.29801022799801</v>
      </c>
      <c r="AK4859">
        <v>11.4282359417929</v>
      </c>
      <c r="AL4859">
        <v>90.423342667044594</v>
      </c>
      <c r="AM4859">
        <v>104.521356209161</v>
      </c>
      <c r="AN4859">
        <v>0.99999997628316295</v>
      </c>
    </row>
    <row r="4860" spans="1:40" x14ac:dyDescent="0.25">
      <c r="A4860" t="str">
        <f>"20190312150748551"</f>
        <v>20190312150748551</v>
      </c>
      <c r="B4860" t="str">
        <f>"1552374468544269"</f>
        <v>1552374468544269</v>
      </c>
      <c r="C4860" t="s">
        <v>40</v>
      </c>
      <c r="D4860">
        <v>4.5270900000000003</v>
      </c>
      <c r="E4860">
        <v>0.43685960000000001</v>
      </c>
      <c r="F4860" t="s">
        <v>67</v>
      </c>
      <c r="G4860">
        <v>-469.92809999999997</v>
      </c>
      <c r="H4860" s="1">
        <v>3.7241090000000001E-6</v>
      </c>
      <c r="I4860">
        <v>215.12719999999999</v>
      </c>
      <c r="J4860">
        <v>-481.35879999999997</v>
      </c>
      <c r="K4860">
        <v>1.1127009999999999</v>
      </c>
      <c r="L4860">
        <v>216.57429999999999</v>
      </c>
      <c r="M4860">
        <v>0.85307279999999996</v>
      </c>
      <c r="N4860">
        <v>0</v>
      </c>
      <c r="O4860">
        <v>-0.52168979999999998</v>
      </c>
      <c r="P4860">
        <v>0.95666879999999999</v>
      </c>
      <c r="Q4860">
        <v>-1.6111629999999998E-2</v>
      </c>
      <c r="R4860">
        <v>-0.29073270000000001</v>
      </c>
      <c r="S4860">
        <v>3.0148320000000002</v>
      </c>
      <c r="T4860">
        <v>-0.29042069999999998</v>
      </c>
      <c r="U4860">
        <v>-0.39474490000000001</v>
      </c>
      <c r="V4860">
        <v>-0.2510385</v>
      </c>
      <c r="W4860">
        <v>-7.69683E-3</v>
      </c>
      <c r="X4860">
        <v>0.96794650000000004</v>
      </c>
      <c r="Y4860">
        <v>-0.4025958</v>
      </c>
      <c r="Z4860">
        <v>6.6798399999999994E-2</v>
      </c>
      <c r="AA4860">
        <v>0.91293729999999995</v>
      </c>
      <c r="AB4860">
        <v>14</v>
      </c>
      <c r="AC4860">
        <v>11.4307</v>
      </c>
      <c r="AD4860">
        <v>-1.1126972758910001</v>
      </c>
      <c r="AE4860">
        <v>-1.4471000000000001</v>
      </c>
      <c r="AF4860">
        <v>-4.6853535095149796</v>
      </c>
      <c r="AG4860">
        <v>-1.1126972758910001</v>
      </c>
      <c r="AH4860">
        <v>10.4096343452798</v>
      </c>
      <c r="AI4860">
        <v>95.567189105033606</v>
      </c>
      <c r="AJ4860">
        <v>114.23240500823999</v>
      </c>
      <c r="AK4860">
        <v>11.4695736598763</v>
      </c>
      <c r="AL4860">
        <v>90.4410002296963</v>
      </c>
      <c r="AM4860">
        <v>104.539413953306</v>
      </c>
      <c r="AN4860">
        <v>0.99999999826827402</v>
      </c>
    </row>
    <row r="4861" spans="1:40" x14ac:dyDescent="0.25">
      <c r="A4861" t="str">
        <f>"20190312150748573"</f>
        <v>20190312150748573</v>
      </c>
      <c r="B4861" t="str">
        <f>"1552374468564765"</f>
        <v>1552374468564765</v>
      </c>
      <c r="C4861" t="s">
        <v>40</v>
      </c>
      <c r="D4861">
        <v>4.4366050000000001</v>
      </c>
      <c r="E4861">
        <v>0.4374035</v>
      </c>
      <c r="F4861" t="s">
        <v>67</v>
      </c>
      <c r="G4861">
        <v>-469.76190000000003</v>
      </c>
      <c r="H4861" s="1">
        <v>3.6361229999999998E-6</v>
      </c>
      <c r="I4861">
        <v>215.11670000000001</v>
      </c>
      <c r="J4861">
        <v>-481.23680000000002</v>
      </c>
      <c r="K4861">
        <v>1.1127290000000001</v>
      </c>
      <c r="L4861">
        <v>216.50890000000001</v>
      </c>
      <c r="M4861">
        <v>0.85653500000000005</v>
      </c>
      <c r="N4861">
        <v>0</v>
      </c>
      <c r="O4861">
        <v>-0.51598529999999998</v>
      </c>
      <c r="P4861">
        <v>0.95851370000000002</v>
      </c>
      <c r="Q4861">
        <v>-1.64551E-2</v>
      </c>
      <c r="R4861">
        <v>-0.28457130000000003</v>
      </c>
      <c r="S4861">
        <v>3.0157780000000001</v>
      </c>
      <c r="T4861">
        <v>-0.289356</v>
      </c>
      <c r="U4861">
        <v>-0.37905879999999997</v>
      </c>
      <c r="V4861">
        <v>-0.250801</v>
      </c>
      <c r="W4861">
        <v>-8.0340749999999999E-3</v>
      </c>
      <c r="X4861">
        <v>0.96800529999999996</v>
      </c>
      <c r="Y4861">
        <v>-0.4012578</v>
      </c>
      <c r="Z4861">
        <v>6.6043729999999995E-2</v>
      </c>
      <c r="AA4861">
        <v>0.91358110000000003</v>
      </c>
      <c r="AB4861">
        <v>14</v>
      </c>
      <c r="AC4861">
        <v>11.4748999999999</v>
      </c>
      <c r="AD4861">
        <v>-1.1127253638770001</v>
      </c>
      <c r="AE4861">
        <v>-1.3922000000000001</v>
      </c>
      <c r="AF4861">
        <v>-4.6852471309911197</v>
      </c>
      <c r="AG4861">
        <v>-1.1127253638770001</v>
      </c>
      <c r="AH4861">
        <v>10.450727042734099</v>
      </c>
      <c r="AI4861">
        <v>95.549242329746804</v>
      </c>
      <c r="AJ4861">
        <v>114.14754352967699</v>
      </c>
      <c r="AK4861">
        <v>11.5068411884239</v>
      </c>
      <c r="AL4861">
        <v>90.460323553703802</v>
      </c>
      <c r="AM4861">
        <v>104.525395766792</v>
      </c>
      <c r="AN4861">
        <v>0.99999997439509702</v>
      </c>
    </row>
    <row r="4862" spans="1:40" x14ac:dyDescent="0.25">
      <c r="A4862" t="str">
        <f>"20190312150748595"</f>
        <v>20190312150748595</v>
      </c>
      <c r="B4862" t="str">
        <f>"1552374468585261"</f>
        <v>1552374468585261</v>
      </c>
      <c r="C4862" t="s">
        <v>40</v>
      </c>
      <c r="D4862">
        <v>4.5477639999999999</v>
      </c>
      <c r="E4862">
        <v>0.43822610000000001</v>
      </c>
      <c r="F4862" t="s">
        <v>67</v>
      </c>
      <c r="G4862">
        <v>-469.66849999999999</v>
      </c>
      <c r="H4862" s="1">
        <v>3.586559E-6</v>
      </c>
      <c r="I4862">
        <v>215.11369999999999</v>
      </c>
      <c r="J4862">
        <v>-481.11149999999998</v>
      </c>
      <c r="K4862">
        <v>1.1127499999999999</v>
      </c>
      <c r="L4862">
        <v>216.44290000000001</v>
      </c>
      <c r="M4862">
        <v>0.86004609999999904</v>
      </c>
      <c r="N4862">
        <v>0</v>
      </c>
      <c r="O4862">
        <v>-0.51011110000000004</v>
      </c>
      <c r="P4862">
        <v>0.9605397</v>
      </c>
      <c r="Q4862">
        <v>-1.679342E-2</v>
      </c>
      <c r="R4862">
        <v>-0.27763549999999998</v>
      </c>
      <c r="S4862">
        <v>3.016785</v>
      </c>
      <c r="T4862">
        <v>-0.29017749999999998</v>
      </c>
      <c r="U4862">
        <v>-0.3638458</v>
      </c>
      <c r="V4862">
        <v>-0.25116729999999998</v>
      </c>
      <c r="W4862">
        <v>-8.3709349999999995E-3</v>
      </c>
      <c r="X4862">
        <v>0.96790750000000003</v>
      </c>
      <c r="Y4862">
        <v>-0.39957900000000002</v>
      </c>
      <c r="Z4862">
        <v>6.5681760000000006E-2</v>
      </c>
      <c r="AA4862">
        <v>0.91434269999999995</v>
      </c>
      <c r="AB4862">
        <v>14</v>
      </c>
      <c r="AC4862">
        <v>11.4429999999999</v>
      </c>
      <c r="AD4862">
        <v>-1.1127464134409999</v>
      </c>
      <c r="AE4862">
        <v>-1.3292000000000099</v>
      </c>
      <c r="AF4862">
        <v>-4.65088626446716</v>
      </c>
      <c r="AG4862">
        <v>-1.1127464134409999</v>
      </c>
      <c r="AH4862">
        <v>10.422864357654101</v>
      </c>
      <c r="AI4862">
        <v>95.568413964544504</v>
      </c>
      <c r="AJ4862">
        <v>114.04736472757099</v>
      </c>
      <c r="AK4862">
        <v>11.467565087833201</v>
      </c>
      <c r="AL4862">
        <v>90.479624844327304</v>
      </c>
      <c r="AM4862">
        <v>104.547118557164</v>
      </c>
      <c r="AN4862">
        <v>1.0000000068491499</v>
      </c>
    </row>
    <row r="4863" spans="1:40" x14ac:dyDescent="0.25">
      <c r="A4863" t="str">
        <f>"20190312150748619"</f>
        <v>20190312150748619</v>
      </c>
      <c r="B4863" t="str">
        <f>"1552374468614541"</f>
        <v>1552374468614541</v>
      </c>
      <c r="C4863" t="s">
        <v>40</v>
      </c>
      <c r="D4863">
        <v>4.4196229999999996</v>
      </c>
      <c r="E4863">
        <v>0.43951449999999997</v>
      </c>
      <c r="F4863" t="s">
        <v>67</v>
      </c>
      <c r="G4863">
        <v>-469.57119999999998</v>
      </c>
      <c r="H4863" s="1">
        <v>3.5349350000000001E-6</v>
      </c>
      <c r="I4863">
        <v>215.10990000000001</v>
      </c>
      <c r="J4863">
        <v>-480.98559999999998</v>
      </c>
      <c r="K4863">
        <v>1.112765</v>
      </c>
      <c r="L4863">
        <v>216.3776</v>
      </c>
      <c r="M4863">
        <v>0.86352969999999896</v>
      </c>
      <c r="N4863">
        <v>0</v>
      </c>
      <c r="O4863">
        <v>-0.50419130000000001</v>
      </c>
      <c r="P4863">
        <v>0.96245910000000001</v>
      </c>
      <c r="Q4863">
        <v>-1.7334019999999999E-2</v>
      </c>
      <c r="R4863">
        <v>-0.27087319999999998</v>
      </c>
      <c r="S4863">
        <v>3.0173649999999999</v>
      </c>
      <c r="T4863">
        <v>-0.29094179999999997</v>
      </c>
      <c r="U4863">
        <v>-0.348526</v>
      </c>
      <c r="V4863">
        <v>-0.25131799999999999</v>
      </c>
      <c r="W4863">
        <v>-8.9078009999999999E-3</v>
      </c>
      <c r="X4863">
        <v>0.96786360000000005</v>
      </c>
      <c r="Y4863">
        <v>-0.39789649999999999</v>
      </c>
      <c r="Z4863">
        <v>6.5305660000000001E-2</v>
      </c>
      <c r="AA4863">
        <v>0.915103</v>
      </c>
      <c r="AB4863">
        <v>14</v>
      </c>
      <c r="AC4863">
        <v>11.414400000000001</v>
      </c>
      <c r="AD4863">
        <v>-1.112761465065</v>
      </c>
      <c r="AE4863">
        <v>-1.2676999999999901</v>
      </c>
      <c r="AF4863">
        <v>-4.6172484896209198</v>
      </c>
      <c r="AG4863">
        <v>-1.112761465065</v>
      </c>
      <c r="AH4863">
        <v>10.3987774866981</v>
      </c>
      <c r="AI4863">
        <v>95.585843066809701</v>
      </c>
      <c r="AJ4863">
        <v>113.94210144626101</v>
      </c>
      <c r="AK4863">
        <v>11.432051211873601</v>
      </c>
      <c r="AL4863">
        <v>90.510386143218994</v>
      </c>
      <c r="AM4863">
        <v>104.556108358008</v>
      </c>
      <c r="AN4863">
        <v>1.0000000171237999</v>
      </c>
    </row>
    <row r="4864" spans="1:40" x14ac:dyDescent="0.25">
      <c r="A4864" t="str">
        <f>"20190312150748639"</f>
        <v>20190312150748639</v>
      </c>
      <c r="B4864" t="str">
        <f>"1552374468635037"</f>
        <v>1552374468635037</v>
      </c>
      <c r="C4864" t="s">
        <v>40</v>
      </c>
      <c r="D4864">
        <v>4.423044</v>
      </c>
      <c r="E4864">
        <v>0.44019170000000002</v>
      </c>
      <c r="F4864" t="s">
        <v>67</v>
      </c>
      <c r="G4864">
        <v>-469.41019999999997</v>
      </c>
      <c r="H4864" s="1">
        <v>3.450474E-6</v>
      </c>
      <c r="I4864">
        <v>215.08320000000001</v>
      </c>
      <c r="J4864">
        <v>-480.86590000000001</v>
      </c>
      <c r="K4864">
        <v>1.1127769999999999</v>
      </c>
      <c r="L4864">
        <v>216.31659999999999</v>
      </c>
      <c r="M4864">
        <v>0.86679789999999901</v>
      </c>
      <c r="N4864">
        <v>0</v>
      </c>
      <c r="O4864">
        <v>-0.49855129999999998</v>
      </c>
      <c r="P4864">
        <v>0.96419730000000003</v>
      </c>
      <c r="Q4864">
        <v>-1.775612E-2</v>
      </c>
      <c r="R4864">
        <v>-0.26459050000000001</v>
      </c>
      <c r="S4864">
        <v>3.0168759999999999</v>
      </c>
      <c r="T4864">
        <v>-0.29001860000000002</v>
      </c>
      <c r="U4864">
        <v>-0.3373718</v>
      </c>
      <c r="V4864">
        <v>-0.25131379999999998</v>
      </c>
      <c r="W4864">
        <v>-9.3249960000000003E-3</v>
      </c>
      <c r="X4864">
        <v>0.96786079999999997</v>
      </c>
      <c r="Y4864">
        <v>-0.39529959999999997</v>
      </c>
      <c r="Z4864">
        <v>6.4542340000000004E-2</v>
      </c>
      <c r="AA4864">
        <v>0.91628189999999998</v>
      </c>
      <c r="AB4864">
        <v>14</v>
      </c>
      <c r="AC4864">
        <v>11.4557</v>
      </c>
      <c r="AD4864">
        <v>-1.112773549526</v>
      </c>
      <c r="AE4864">
        <v>-1.2333999999999801</v>
      </c>
      <c r="AF4864">
        <v>-4.5994945511799097</v>
      </c>
      <c r="AG4864">
        <v>-1.112773549526</v>
      </c>
      <c r="AH4864">
        <v>10.4478075087112</v>
      </c>
      <c r="AI4864">
        <v>95.567589405656506</v>
      </c>
      <c r="AJ4864">
        <v>113.76079253482899</v>
      </c>
      <c r="AK4864">
        <v>11.469537777867901</v>
      </c>
      <c r="AL4864">
        <v>90.534290628890801</v>
      </c>
      <c r="AM4864">
        <v>104.555915751599</v>
      </c>
      <c r="AN4864">
        <v>1.00000005489873</v>
      </c>
    </row>
    <row r="4865" spans="1:40" x14ac:dyDescent="0.25">
      <c r="A4865" t="str">
        <f>"20190312150748664"</f>
        <v>20190312150748664</v>
      </c>
      <c r="B4865" t="str">
        <f>"1552374468654557"</f>
        <v>1552374468654557</v>
      </c>
      <c r="C4865" t="s">
        <v>40</v>
      </c>
      <c r="D4865">
        <v>4.5727440000000001</v>
      </c>
      <c r="E4865">
        <v>0.44090049999999997</v>
      </c>
      <c r="F4865" t="s">
        <v>67</v>
      </c>
      <c r="G4865">
        <v>-469.32279999999997</v>
      </c>
      <c r="H4865" s="1">
        <v>3.4040599999999999E-6</v>
      </c>
      <c r="I4865">
        <v>215.0804</v>
      </c>
      <c r="J4865">
        <v>-480.73110000000003</v>
      </c>
      <c r="K4865">
        <v>1.1127819999999999</v>
      </c>
      <c r="L4865">
        <v>216.249</v>
      </c>
      <c r="M4865">
        <v>0.8704267</v>
      </c>
      <c r="N4865">
        <v>0</v>
      </c>
      <c r="O4865">
        <v>-0.49218800000000001</v>
      </c>
      <c r="P4865">
        <v>0.96614549999999999</v>
      </c>
      <c r="Q4865">
        <v>-1.791945E-2</v>
      </c>
      <c r="R4865">
        <v>-0.25737490000000002</v>
      </c>
      <c r="S4865">
        <v>3.017334</v>
      </c>
      <c r="T4865">
        <v>-0.2908751</v>
      </c>
      <c r="U4865">
        <v>-0.32313540000000002</v>
      </c>
      <c r="V4865">
        <v>-0.25145650000000003</v>
      </c>
      <c r="W4865">
        <v>-9.4839280000000008E-3</v>
      </c>
      <c r="X4865">
        <v>0.96782210000000002</v>
      </c>
      <c r="Y4865">
        <v>-0.39287620000000001</v>
      </c>
      <c r="Z4865">
        <v>6.4104499999999995E-2</v>
      </c>
      <c r="AA4865">
        <v>0.91735429999999996</v>
      </c>
      <c r="AB4865">
        <v>14</v>
      </c>
      <c r="AC4865">
        <v>11.408300000000001</v>
      </c>
      <c r="AD4865">
        <v>-1.1127785959399901</v>
      </c>
      <c r="AE4865">
        <v>-1.1686000000000201</v>
      </c>
      <c r="AF4865">
        <v>-4.5552073251304899</v>
      </c>
      <c r="AG4865">
        <v>-1.1127785959399901</v>
      </c>
      <c r="AH4865">
        <v>10.4078341441717</v>
      </c>
      <c r="AI4865">
        <v>95.594106639014001</v>
      </c>
      <c r="AJ4865">
        <v>113.63760143645</v>
      </c>
      <c r="AK4865">
        <v>11.415393184253</v>
      </c>
      <c r="AL4865">
        <v>90.5433972118404</v>
      </c>
      <c r="AM4865">
        <v>104.56438708472901</v>
      </c>
      <c r="AN4865">
        <v>0.99999996676548397</v>
      </c>
    </row>
    <row r="4866" spans="1:40" x14ac:dyDescent="0.25">
      <c r="A4866" t="str">
        <f>"20190312150748687"</f>
        <v>20190312150748687</v>
      </c>
      <c r="B4866" t="str">
        <f>"1552374468684814"</f>
        <v>1552374468684814</v>
      </c>
      <c r="C4866" t="s">
        <v>40</v>
      </c>
      <c r="D4866">
        <v>4.8164160000000003</v>
      </c>
      <c r="E4866">
        <v>0.46621820000000003</v>
      </c>
      <c r="F4866" t="s">
        <v>67</v>
      </c>
      <c r="G4866">
        <v>-469.17230000000001</v>
      </c>
      <c r="H4866" s="1">
        <v>3.3241480000000001E-6</v>
      </c>
      <c r="I4866">
        <v>215.07640000000001</v>
      </c>
      <c r="J4866">
        <v>-480.59980000000002</v>
      </c>
      <c r="K4866">
        <v>1.1127899999999999</v>
      </c>
      <c r="L4866">
        <v>216.18440000000001</v>
      </c>
      <c r="M4866">
        <v>0.87390210000000002</v>
      </c>
      <c r="N4866">
        <v>0</v>
      </c>
      <c r="O4866">
        <v>-0.48599029999999999</v>
      </c>
      <c r="P4866">
        <v>0.96791719999999903</v>
      </c>
      <c r="Q4866">
        <v>-1.806468E-2</v>
      </c>
      <c r="R4866">
        <v>-0.25061919999999999</v>
      </c>
      <c r="S4866">
        <v>3.0181580000000001</v>
      </c>
      <c r="T4866">
        <v>-0.29056159999999998</v>
      </c>
      <c r="U4866">
        <v>-0.30616759999999998</v>
      </c>
      <c r="V4866">
        <v>-0.25133850000000002</v>
      </c>
      <c r="W4866">
        <v>-9.6223909999999992E-3</v>
      </c>
      <c r="X4866">
        <v>0.96785140000000003</v>
      </c>
      <c r="Y4866">
        <v>-0.3915149</v>
      </c>
      <c r="Z4866">
        <v>6.3467519999999999E-2</v>
      </c>
      <c r="AA4866">
        <v>0.91798040000000003</v>
      </c>
      <c r="AB4866">
        <v>14</v>
      </c>
      <c r="AC4866">
        <v>11.4275</v>
      </c>
      <c r="AD4866">
        <v>-1.112786675852</v>
      </c>
      <c r="AE4866">
        <v>-1.1080000000000001</v>
      </c>
      <c r="AF4866">
        <v>-4.5429424181572697</v>
      </c>
      <c r="AG4866">
        <v>-1.112786675852</v>
      </c>
      <c r="AH4866">
        <v>10.427606254301599</v>
      </c>
      <c r="AI4866">
        <v>95.587690262254895</v>
      </c>
      <c r="AJ4866">
        <v>113.541068474055</v>
      </c>
      <c r="AK4866">
        <v>11.4285428727986</v>
      </c>
      <c r="AL4866">
        <v>90.551330911134002</v>
      </c>
      <c r="AM4866">
        <v>104.55742096151199</v>
      </c>
      <c r="AN4866">
        <v>0.99999998223638298</v>
      </c>
    </row>
    <row r="4867" spans="1:40" x14ac:dyDescent="0.25">
      <c r="A4867" t="str">
        <f>"20190312150748707"</f>
        <v>20190312150748707</v>
      </c>
      <c r="B4867" t="str">
        <f>"1552374468704334"</f>
        <v>1552374468704334</v>
      </c>
      <c r="C4867" t="s">
        <v>40</v>
      </c>
      <c r="D4867">
        <v>4.8476299999999997</v>
      </c>
      <c r="E4867">
        <v>0.4694026</v>
      </c>
      <c r="F4867" t="s">
        <v>67</v>
      </c>
      <c r="G4867">
        <v>-465.92020000000002</v>
      </c>
      <c r="H4867" s="1">
        <v>1.649553E-6</v>
      </c>
      <c r="I4867">
        <v>213.79470000000001</v>
      </c>
      <c r="J4867">
        <v>-480.4828</v>
      </c>
      <c r="K4867">
        <v>1.112798</v>
      </c>
      <c r="L4867">
        <v>216.12790000000001</v>
      </c>
      <c r="M4867">
        <v>0.87695239999999997</v>
      </c>
      <c r="N4867">
        <v>0</v>
      </c>
      <c r="O4867">
        <v>-0.48046440000000001</v>
      </c>
      <c r="P4867">
        <v>0.96937189999999995</v>
      </c>
      <c r="Q4867">
        <v>-1.802293E-2</v>
      </c>
      <c r="R4867">
        <v>-0.24493599999999999</v>
      </c>
      <c r="S4867">
        <v>2.9700009999999999</v>
      </c>
      <c r="T4867">
        <v>-0.2251406</v>
      </c>
      <c r="U4867">
        <v>-0.48348999999999998</v>
      </c>
      <c r="V4867">
        <v>-0.25090800000000002</v>
      </c>
      <c r="W4867">
        <v>-9.5718369999999997E-3</v>
      </c>
      <c r="X4867">
        <v>0.96796360000000004</v>
      </c>
      <c r="Y4867">
        <v>-0.3311965</v>
      </c>
      <c r="Z4867">
        <v>4.7060730000000002E-2</v>
      </c>
      <c r="AA4867">
        <v>0.94238750000000004</v>
      </c>
      <c r="AB4867">
        <v>14</v>
      </c>
      <c r="AC4867">
        <v>14.5625999999999</v>
      </c>
      <c r="AD4867">
        <v>-1.112796350447</v>
      </c>
      <c r="AE4867">
        <v>-2.3332000000000002</v>
      </c>
      <c r="AF4867">
        <v>-4.9229473590807302</v>
      </c>
      <c r="AG4867">
        <v>-1.112796350447</v>
      </c>
      <c r="AH4867">
        <v>13.813836863175499</v>
      </c>
      <c r="AI4867">
        <v>94.339398513545703</v>
      </c>
      <c r="AJ4867">
        <v>109.614948206531</v>
      </c>
      <c r="AK4867">
        <v>14.7069988542963</v>
      </c>
      <c r="AL4867">
        <v>90.548434243832702</v>
      </c>
      <c r="AM4867">
        <v>104.531929999697</v>
      </c>
      <c r="AN4867">
        <v>0.99999998772625698</v>
      </c>
    </row>
    <row r="4868" spans="1:40" x14ac:dyDescent="0.25">
      <c r="A4868" t="str">
        <f>"20190312150748728"</f>
        <v>20190312150748728</v>
      </c>
      <c r="B4868" t="str">
        <f>"1552374468724829"</f>
        <v>1552374468724829</v>
      </c>
      <c r="C4868" t="s">
        <v>40</v>
      </c>
      <c r="D4868">
        <v>4.7888229999999998</v>
      </c>
      <c r="E4868">
        <v>0.47058759999999999</v>
      </c>
      <c r="F4868" t="s">
        <v>67</v>
      </c>
      <c r="G4868">
        <v>-465.27710000000002</v>
      </c>
      <c r="H4868" s="1">
        <v>1.315387E-6</v>
      </c>
      <c r="I4868">
        <v>213.61089999999999</v>
      </c>
      <c r="J4868">
        <v>-480.3614</v>
      </c>
      <c r="K4868">
        <v>1.1128009999999999</v>
      </c>
      <c r="L4868">
        <v>216.0701</v>
      </c>
      <c r="M4868">
        <v>0.88006709999999999</v>
      </c>
      <c r="N4868">
        <v>0</v>
      </c>
      <c r="O4868">
        <v>-0.47473480000000001</v>
      </c>
      <c r="P4868">
        <v>0.97086419999999996</v>
      </c>
      <c r="Q4868">
        <v>-1.7693520000000001E-2</v>
      </c>
      <c r="R4868">
        <v>-0.23897660000000001</v>
      </c>
      <c r="S4868">
        <v>2.966675</v>
      </c>
      <c r="T4868">
        <v>-0.2171109</v>
      </c>
      <c r="U4868">
        <v>-0.4910583</v>
      </c>
      <c r="V4868">
        <v>-0.2505464</v>
      </c>
      <c r="W4868">
        <v>-9.2347160000000005E-3</v>
      </c>
      <c r="X4868">
        <v>0.96806060000000005</v>
      </c>
      <c r="Y4868">
        <v>-0.3227042</v>
      </c>
      <c r="Z4868">
        <v>4.4749959999999998E-2</v>
      </c>
      <c r="AA4868">
        <v>0.94544139999999999</v>
      </c>
      <c r="AB4868">
        <v>14</v>
      </c>
      <c r="AC4868">
        <v>15.084299999999899</v>
      </c>
      <c r="AD4868">
        <v>-1.1127996846129999</v>
      </c>
      <c r="AE4868">
        <v>-2.4592000000000098</v>
      </c>
      <c r="AF4868">
        <v>-4.9707011807027497</v>
      </c>
      <c r="AG4868">
        <v>-1.1127996846129999</v>
      </c>
      <c r="AH4868">
        <v>14.367282655516499</v>
      </c>
      <c r="AI4868">
        <v>94.186400400347694</v>
      </c>
      <c r="AJ4868">
        <v>109.08427159758099</v>
      </c>
      <c r="AK4868">
        <v>15.2435233548357</v>
      </c>
      <c r="AL4868">
        <v>90.529117745045795</v>
      </c>
      <c r="AM4868">
        <v>104.51047921487999</v>
      </c>
      <c r="AN4868">
        <v>1.0000000519024499</v>
      </c>
    </row>
    <row r="4869" spans="1:40" x14ac:dyDescent="0.25">
      <c r="A4869" t="str">
        <f>"20190312150748753"</f>
        <v>20190312150748753</v>
      </c>
      <c r="B4869" t="str">
        <f>"1552374468744350"</f>
        <v>1552374468744350</v>
      </c>
      <c r="C4869" t="s">
        <v>40</v>
      </c>
      <c r="D4869">
        <v>4.446224</v>
      </c>
      <c r="E4869">
        <v>0.4718041</v>
      </c>
      <c r="F4869" t="s">
        <v>67</v>
      </c>
      <c r="G4869">
        <v>-464.68299999999999</v>
      </c>
      <c r="H4869" s="1">
        <v>1.003085E-6</v>
      </c>
      <c r="I4869">
        <v>213.52189999999999</v>
      </c>
      <c r="J4869">
        <v>-480.22089999999997</v>
      </c>
      <c r="K4869">
        <v>1.1128119999999999</v>
      </c>
      <c r="L4869">
        <v>216.00450000000001</v>
      </c>
      <c r="M4869">
        <v>0.88361259999999997</v>
      </c>
      <c r="N4869">
        <v>0</v>
      </c>
      <c r="O4869">
        <v>-0.46810269999999998</v>
      </c>
      <c r="P4869">
        <v>0.97255349999999996</v>
      </c>
      <c r="Q4869">
        <v>-1.7451520000000002E-2</v>
      </c>
      <c r="R4869">
        <v>-0.23202529999999999</v>
      </c>
      <c r="S4869">
        <v>2.9674990000000001</v>
      </c>
      <c r="T4869">
        <v>-0.21062210000000001</v>
      </c>
      <c r="U4869">
        <v>-0.4823151</v>
      </c>
      <c r="V4869">
        <v>-0.25019479999999999</v>
      </c>
      <c r="W4869">
        <v>-8.9859940000000006E-3</v>
      </c>
      <c r="X4869">
        <v>0.96815379999999995</v>
      </c>
      <c r="Y4869">
        <v>-0.31847959999999997</v>
      </c>
      <c r="Z4869">
        <v>4.2860410000000002E-2</v>
      </c>
      <c r="AA4869">
        <v>0.94696029999999998</v>
      </c>
      <c r="AB4869">
        <v>14</v>
      </c>
      <c r="AC4869">
        <v>15.537899999999899</v>
      </c>
      <c r="AD4869">
        <v>-1.112810996915</v>
      </c>
      <c r="AE4869">
        <v>-2.4826000000000099</v>
      </c>
      <c r="AF4869">
        <v>-5.0546707180927699</v>
      </c>
      <c r="AG4869">
        <v>-1.112810996915</v>
      </c>
      <c r="AH4869">
        <v>14.8182895286734</v>
      </c>
      <c r="AI4869">
        <v>94.065508231175301</v>
      </c>
      <c r="AJ4869">
        <v>108.83503586985</v>
      </c>
      <c r="AK4869">
        <v>15.696169881177701</v>
      </c>
      <c r="AL4869">
        <v>90.514866468795702</v>
      </c>
      <c r="AM4869">
        <v>104.489637805002</v>
      </c>
      <c r="AN4869">
        <v>0.99999998324482298</v>
      </c>
    </row>
    <row r="4870" spans="1:40" x14ac:dyDescent="0.25">
      <c r="A4870" t="str">
        <f>"20190312150748775"</f>
        <v>20190312150748775</v>
      </c>
      <c r="B4870" t="str">
        <f>"1552374468764845"</f>
        <v>1552374468764845</v>
      </c>
      <c r="C4870" t="s">
        <v>40</v>
      </c>
      <c r="D4870">
        <v>4.4147069999999999</v>
      </c>
      <c r="E4870">
        <v>0.4727383</v>
      </c>
      <c r="F4870" t="s">
        <v>67</v>
      </c>
      <c r="G4870">
        <v>-464.17079999999999</v>
      </c>
      <c r="H4870" s="1">
        <v>7.332396E-7</v>
      </c>
      <c r="I4870">
        <v>213.46</v>
      </c>
      <c r="J4870">
        <v>-480.08929999999998</v>
      </c>
      <c r="K4870">
        <v>1.1128229999999999</v>
      </c>
      <c r="L4870">
        <v>215.94409999999999</v>
      </c>
      <c r="M4870">
        <v>0.88687649999999996</v>
      </c>
      <c r="N4870">
        <v>0</v>
      </c>
      <c r="O4870">
        <v>-0.46188849999999998</v>
      </c>
      <c r="P4870">
        <v>0.97405200000000003</v>
      </c>
      <c r="Q4870">
        <v>-1.742059E-2</v>
      </c>
      <c r="R4870">
        <v>-0.2256532</v>
      </c>
      <c r="S4870">
        <v>2.968658</v>
      </c>
      <c r="T4870">
        <v>-0.20582690000000001</v>
      </c>
      <c r="U4870">
        <v>-0.47064210000000001</v>
      </c>
      <c r="V4870">
        <v>-0.2497373</v>
      </c>
      <c r="W4870">
        <v>-8.9488940000000006E-3</v>
      </c>
      <c r="X4870">
        <v>0.96827229999999997</v>
      </c>
      <c r="Y4870">
        <v>-0.31561600000000001</v>
      </c>
      <c r="Z4870">
        <v>4.1414560000000003E-2</v>
      </c>
      <c r="AA4870">
        <v>0.94798280000000001</v>
      </c>
      <c r="AB4870">
        <v>14</v>
      </c>
      <c r="AC4870">
        <v>15.9184999999999</v>
      </c>
      <c r="AD4870">
        <v>-1.1128222667604</v>
      </c>
      <c r="AE4870">
        <v>-2.4840999999999802</v>
      </c>
      <c r="AF4870">
        <v>-5.1253108456655001</v>
      </c>
      <c r="AG4870">
        <v>-1.1128222667604</v>
      </c>
      <c r="AH4870">
        <v>15.193467323131999</v>
      </c>
      <c r="AI4870">
        <v>93.970022108910001</v>
      </c>
      <c r="AJ4870">
        <v>108.64112759363999</v>
      </c>
      <c r="AK4870">
        <v>16.073227241632999</v>
      </c>
      <c r="AL4870">
        <v>90.512740688799596</v>
      </c>
      <c r="AM4870">
        <v>104.462558876117</v>
      </c>
      <c r="AN4870">
        <v>1.0000000243311999</v>
      </c>
    </row>
    <row r="4871" spans="1:40" x14ac:dyDescent="0.25">
      <c r="A4871" t="str">
        <f>"20190312150748796"</f>
        <v>20190312150748796</v>
      </c>
      <c r="B4871" t="str">
        <f>"1552374468784369"</f>
        <v>1552374468784369</v>
      </c>
      <c r="C4871" t="s">
        <v>40</v>
      </c>
      <c r="D4871">
        <v>4.4420590000000004</v>
      </c>
      <c r="E4871">
        <v>0.47312549999999998</v>
      </c>
      <c r="F4871" t="s">
        <v>67</v>
      </c>
      <c r="G4871">
        <v>-463.8306</v>
      </c>
      <c r="H4871" s="1">
        <v>5.5338560000000003E-7</v>
      </c>
      <c r="I4871">
        <v>213.43289999999999</v>
      </c>
      <c r="J4871">
        <v>-479.96940000000001</v>
      </c>
      <c r="K4871">
        <v>1.11283</v>
      </c>
      <c r="L4871">
        <v>215.89009999999999</v>
      </c>
      <c r="M4871">
        <v>0.88980009999999998</v>
      </c>
      <c r="N4871">
        <v>0</v>
      </c>
      <c r="O4871">
        <v>-0.45623089999999999</v>
      </c>
      <c r="P4871">
        <v>0.97543029999999997</v>
      </c>
      <c r="Q4871">
        <v>-1.7140039999999999E-2</v>
      </c>
      <c r="R4871">
        <v>-0.219641</v>
      </c>
      <c r="S4871">
        <v>2.9699710000000001</v>
      </c>
      <c r="T4871">
        <v>-0.20327870000000001</v>
      </c>
      <c r="U4871">
        <v>-0.45872499999999999</v>
      </c>
      <c r="V4871">
        <v>-0.2495463</v>
      </c>
      <c r="W4871">
        <v>-8.6659030000000008E-3</v>
      </c>
      <c r="X4871">
        <v>0.96832410000000002</v>
      </c>
      <c r="Y4871">
        <v>-0.31341049999999998</v>
      </c>
      <c r="Z4871">
        <v>4.048877E-2</v>
      </c>
      <c r="AA4871">
        <v>0.94875419999999999</v>
      </c>
      <c r="AB4871">
        <v>15</v>
      </c>
      <c r="AC4871">
        <v>16.1388</v>
      </c>
      <c r="AD4871">
        <v>-1.11282944661439</v>
      </c>
      <c r="AE4871">
        <v>-2.4571999999999998</v>
      </c>
      <c r="AF4871">
        <v>-5.1529398439869496</v>
      </c>
      <c r="AG4871">
        <v>-1.11282944661439</v>
      </c>
      <c r="AH4871">
        <v>15.410590096092999</v>
      </c>
      <c r="AI4871">
        <v>93.917775471263496</v>
      </c>
      <c r="AJ4871">
        <v>108.488726343607</v>
      </c>
      <c r="AK4871">
        <v>16.2873406522612</v>
      </c>
      <c r="AL4871">
        <v>90.496525878313506</v>
      </c>
      <c r="AM4871">
        <v>104.451220513997</v>
      </c>
      <c r="AN4871">
        <v>1.0000000081796501</v>
      </c>
    </row>
    <row r="4872" spans="1:40" x14ac:dyDescent="0.25">
      <c r="A4872" t="str">
        <f>"20190312150748818"</f>
        <v>20190312150748818</v>
      </c>
      <c r="B4872" t="str">
        <f>"1552374468814621"</f>
        <v>1552374468814621</v>
      </c>
      <c r="C4872" t="s">
        <v>40</v>
      </c>
      <c r="D4872">
        <v>4.4952370000000004</v>
      </c>
      <c r="E4872">
        <v>0.47345779999999899</v>
      </c>
      <c r="F4872" t="s">
        <v>67</v>
      </c>
      <c r="G4872">
        <v>-463.77170000000001</v>
      </c>
      <c r="H4872" s="1">
        <v>5.2030120000000003E-7</v>
      </c>
      <c r="I4872">
        <v>213.47319999999999</v>
      </c>
      <c r="J4872">
        <v>-479.84230000000002</v>
      </c>
      <c r="K4872">
        <v>1.1128400000000001</v>
      </c>
      <c r="L4872">
        <v>215.8338</v>
      </c>
      <c r="M4872">
        <v>0.89285149999999902</v>
      </c>
      <c r="N4872">
        <v>0</v>
      </c>
      <c r="O4872">
        <v>-0.45022990000000002</v>
      </c>
      <c r="P4872">
        <v>0.97679950000000004</v>
      </c>
      <c r="Q4872">
        <v>-1.678147E-2</v>
      </c>
      <c r="R4872">
        <v>-0.21349760000000001</v>
      </c>
      <c r="S4872">
        <v>2.9720759999999999</v>
      </c>
      <c r="T4872">
        <v>-0.20419029999999999</v>
      </c>
      <c r="U4872">
        <v>-0.44348140000000003</v>
      </c>
      <c r="V4872">
        <v>-0.24912690000000001</v>
      </c>
      <c r="W4872">
        <v>-8.3036940000000004E-3</v>
      </c>
      <c r="X4872">
        <v>0.96843520000000005</v>
      </c>
      <c r="Y4872">
        <v>-0.31187779999999998</v>
      </c>
      <c r="Z4872">
        <v>4.0248720000000002E-2</v>
      </c>
      <c r="AA4872">
        <v>0.94926940000000004</v>
      </c>
      <c r="AB4872">
        <v>15</v>
      </c>
      <c r="AC4872">
        <v>16.070599999999999</v>
      </c>
      <c r="AD4872">
        <v>-1.1128394796987999</v>
      </c>
      <c r="AE4872">
        <v>-2.3605999999999998</v>
      </c>
      <c r="AF4872">
        <v>-5.1041214502633396</v>
      </c>
      <c r="AG4872">
        <v>-1.1128394796987999</v>
      </c>
      <c r="AH4872">
        <v>15.3403085956488</v>
      </c>
      <c r="AI4872">
        <v>93.937647854307102</v>
      </c>
      <c r="AJ4872">
        <v>108.40363174412801</v>
      </c>
      <c r="AK4872">
        <v>16.205416850434698</v>
      </c>
      <c r="AL4872">
        <v>90.475772111927796</v>
      </c>
      <c r="AM4872">
        <v>104.426361536697</v>
      </c>
      <c r="AN4872">
        <v>0.99999995011834597</v>
      </c>
    </row>
    <row r="4873" spans="1:40" x14ac:dyDescent="0.25">
      <c r="A4873" t="str">
        <f>"20190312150748841"</f>
        <v>20190312150748841</v>
      </c>
      <c r="B4873" t="str">
        <f>"1552374468835117"</f>
        <v>1552374468835117</v>
      </c>
      <c r="C4873" t="s">
        <v>40</v>
      </c>
      <c r="D4873">
        <v>4.4961010000000003</v>
      </c>
      <c r="E4873">
        <v>0.47410079999999999</v>
      </c>
      <c r="F4873" t="s">
        <v>67</v>
      </c>
      <c r="G4873">
        <v>-463.86810000000003</v>
      </c>
      <c r="H4873" s="1">
        <v>5.6862419999999995E-7</v>
      </c>
      <c r="I4873">
        <v>213.54079999999999</v>
      </c>
      <c r="J4873">
        <v>-479.70240000000001</v>
      </c>
      <c r="K4873">
        <v>1.112854</v>
      </c>
      <c r="L4873">
        <v>215.7731</v>
      </c>
      <c r="M4873">
        <v>0.89615270000000002</v>
      </c>
      <c r="N4873">
        <v>0</v>
      </c>
      <c r="O4873">
        <v>-0.44362259999999998</v>
      </c>
      <c r="P4873">
        <v>0.97822699999999996</v>
      </c>
      <c r="Q4873">
        <v>-1.6244769999999999E-2</v>
      </c>
      <c r="R4873">
        <v>-0.20690159999999999</v>
      </c>
      <c r="S4873">
        <v>2.974335</v>
      </c>
      <c r="T4873">
        <v>-0.207206</v>
      </c>
      <c r="U4873">
        <v>-0.42695620000000001</v>
      </c>
      <c r="V4873">
        <v>-0.2485156</v>
      </c>
      <c r="W4873">
        <v>-7.7624440000000003E-3</v>
      </c>
      <c r="X4873">
        <v>0.96859680000000004</v>
      </c>
      <c r="Y4873">
        <v>-0.31009920000000002</v>
      </c>
      <c r="Z4873">
        <v>4.0366100000000002E-2</v>
      </c>
      <c r="AA4873">
        <v>0.94984690000000005</v>
      </c>
      <c r="AB4873">
        <v>15</v>
      </c>
      <c r="AC4873">
        <v>15.834299999999899</v>
      </c>
      <c r="AD4873">
        <v>-1.1128534313758001</v>
      </c>
      <c r="AE4873">
        <v>-2.2323</v>
      </c>
      <c r="AF4873">
        <v>-5.0000302314165896</v>
      </c>
      <c r="AG4873">
        <v>-1.1128534313758001</v>
      </c>
      <c r="AH4873">
        <v>15.107908871747901</v>
      </c>
      <c r="AI4873">
        <v>94.0001853444262</v>
      </c>
      <c r="AJ4873">
        <v>108.312193340017</v>
      </c>
      <c r="AK4873">
        <v>15.952669229688301</v>
      </c>
      <c r="AL4873">
        <v>90.444759742085793</v>
      </c>
      <c r="AM4873">
        <v>104.390133171163</v>
      </c>
      <c r="AN4873">
        <v>1.00000000997522</v>
      </c>
    </row>
    <row r="4874" spans="1:40" x14ac:dyDescent="0.25">
      <c r="A4874" t="str">
        <f>"20190312150748865"</f>
        <v>20190312150748865</v>
      </c>
      <c r="B4874" t="str">
        <f>"1552374468854637"</f>
        <v>1552374468854637</v>
      </c>
      <c r="C4874" t="s">
        <v>40</v>
      </c>
      <c r="D4874">
        <v>4.4902670000000002</v>
      </c>
      <c r="E4874">
        <v>0.47451500000000002</v>
      </c>
      <c r="F4874" t="s">
        <v>67</v>
      </c>
      <c r="G4874">
        <v>-463.94909999999999</v>
      </c>
      <c r="H4874" s="1">
        <v>6.0935099999999996E-7</v>
      </c>
      <c r="I4874">
        <v>213.5951</v>
      </c>
      <c r="J4874">
        <v>-479.56670000000003</v>
      </c>
      <c r="K4874">
        <v>1.1128659999999999</v>
      </c>
      <c r="L4874">
        <v>215.71530000000001</v>
      </c>
      <c r="M4874">
        <v>0.89929820000000005</v>
      </c>
      <c r="N4874">
        <v>0</v>
      </c>
      <c r="O4874">
        <v>-0.43721100000000002</v>
      </c>
      <c r="P4874">
        <v>0.97948900000000005</v>
      </c>
      <c r="Q4874">
        <v>-1.599658E-2</v>
      </c>
      <c r="R4874">
        <v>-0.20086190000000001</v>
      </c>
      <c r="S4874">
        <v>2.9762270000000002</v>
      </c>
      <c r="T4874">
        <v>-0.2102484</v>
      </c>
      <c r="U4874">
        <v>-0.41148380000000001</v>
      </c>
      <c r="V4874">
        <v>-0.24757750000000001</v>
      </c>
      <c r="W4874">
        <v>-7.5071829999999997E-3</v>
      </c>
      <c r="X4874">
        <v>0.96883900000000001</v>
      </c>
      <c r="Y4874">
        <v>-0.30820619999999999</v>
      </c>
      <c r="Z4874">
        <v>4.0484060000000002E-2</v>
      </c>
      <c r="AA4874">
        <v>0.95045780000000002</v>
      </c>
      <c r="AB4874">
        <v>15</v>
      </c>
      <c r="AC4874">
        <v>15.617599999999999</v>
      </c>
      <c r="AD4874">
        <v>-1.11286539064899</v>
      </c>
      <c r="AE4874">
        <v>-2.1202000000000099</v>
      </c>
      <c r="AF4874">
        <v>-4.8973467587346597</v>
      </c>
      <c r="AG4874">
        <v>-1.11286539064899</v>
      </c>
      <c r="AH4874">
        <v>14.8983937146262</v>
      </c>
      <c r="AI4874">
        <v>94.058989060450699</v>
      </c>
      <c r="AJ4874">
        <v>108.196543696669</v>
      </c>
      <c r="AK4874">
        <v>15.7221057727331</v>
      </c>
      <c r="AL4874">
        <v>90.430133945623396</v>
      </c>
      <c r="AM4874">
        <v>104.334619990628</v>
      </c>
      <c r="AN4874">
        <v>0.99999999211192203</v>
      </c>
    </row>
    <row r="4875" spans="1:40" x14ac:dyDescent="0.25">
      <c r="A4875" t="str">
        <f>"20190312150748887"</f>
        <v>20190312150748887</v>
      </c>
      <c r="B4875" t="str">
        <f>"1552374468884894"</f>
        <v>1552374468884894</v>
      </c>
      <c r="C4875" t="s">
        <v>40</v>
      </c>
      <c r="D4875">
        <v>4.5754999999999999</v>
      </c>
      <c r="E4875">
        <v>0.47587089999999999</v>
      </c>
      <c r="F4875" t="s">
        <v>67</v>
      </c>
      <c r="G4875">
        <v>-463.8349</v>
      </c>
      <c r="H4875" s="1">
        <v>5.4746359999999898E-7</v>
      </c>
      <c r="I4875">
        <v>213.62049999999999</v>
      </c>
      <c r="J4875">
        <v>-479.43180000000001</v>
      </c>
      <c r="K4875">
        <v>1.1128830000000001</v>
      </c>
      <c r="L4875">
        <v>215.65899999999999</v>
      </c>
      <c r="M4875">
        <v>0.90236930000000004</v>
      </c>
      <c r="N4875">
        <v>0</v>
      </c>
      <c r="O4875">
        <v>-0.43083640000000001</v>
      </c>
      <c r="P4875">
        <v>0.98070290000000004</v>
      </c>
      <c r="Q4875">
        <v>-1.589341E-2</v>
      </c>
      <c r="R4875">
        <v>-0.19485630000000001</v>
      </c>
      <c r="S4875">
        <v>2.978027</v>
      </c>
      <c r="T4875">
        <v>-0.21066460000000001</v>
      </c>
      <c r="U4875">
        <v>-0.39654539999999999</v>
      </c>
      <c r="V4875">
        <v>-0.24665960000000001</v>
      </c>
      <c r="W4875">
        <v>-7.3973419999999899E-3</v>
      </c>
      <c r="X4875">
        <v>0.96907399999999999</v>
      </c>
      <c r="Y4875">
        <v>-0.30624780000000001</v>
      </c>
      <c r="Z4875">
        <v>4.0088110000000003E-2</v>
      </c>
      <c r="AA4875">
        <v>0.95110740000000005</v>
      </c>
      <c r="AB4875">
        <v>15</v>
      </c>
      <c r="AC4875">
        <v>15.5969</v>
      </c>
      <c r="AD4875">
        <v>-1.1128824525364001</v>
      </c>
      <c r="AE4875">
        <v>-2.03850000000002</v>
      </c>
      <c r="AF4875">
        <v>-4.8561912927183801</v>
      </c>
      <c r="AG4875">
        <v>-1.1128824525364001</v>
      </c>
      <c r="AH4875">
        <v>14.8787646919123</v>
      </c>
      <c r="AI4875">
        <v>94.0671838906445</v>
      </c>
      <c r="AJ4875">
        <v>108.075856091205</v>
      </c>
      <c r="AK4875">
        <v>15.690721461485801</v>
      </c>
      <c r="AL4875">
        <v>90.423840321312895</v>
      </c>
      <c r="AM4875">
        <v>104.280330477161</v>
      </c>
      <c r="AN4875">
        <v>1.0000000482084099</v>
      </c>
    </row>
    <row r="4876" spans="1:40" x14ac:dyDescent="0.25">
      <c r="A4876" t="str">
        <f>"20190312150748908"</f>
        <v>20190312150748908</v>
      </c>
      <c r="B4876" t="str">
        <f>"1552374468904413"</f>
        <v>1552374468904413</v>
      </c>
      <c r="C4876" t="s">
        <v>40</v>
      </c>
      <c r="D4876">
        <v>4.5695610000000002</v>
      </c>
      <c r="E4876">
        <v>0.47617979999999999</v>
      </c>
      <c r="F4876" t="s">
        <v>67</v>
      </c>
      <c r="G4876">
        <v>-463.64030000000002</v>
      </c>
      <c r="H4876" s="1">
        <v>4.448921E-7</v>
      </c>
      <c r="I4876">
        <v>213.5985</v>
      </c>
      <c r="J4876">
        <v>-479.30810000000002</v>
      </c>
      <c r="K4876">
        <v>1.112895</v>
      </c>
      <c r="L4876">
        <v>215.60839999999999</v>
      </c>
      <c r="M4876">
        <v>0.9051363</v>
      </c>
      <c r="N4876">
        <v>0</v>
      </c>
      <c r="O4876">
        <v>-0.4249926</v>
      </c>
      <c r="P4876">
        <v>0.98170670000000004</v>
      </c>
      <c r="Q4876">
        <v>-1.544276E-2</v>
      </c>
      <c r="R4876">
        <v>-0.18977269999999999</v>
      </c>
      <c r="S4876">
        <v>2.978424</v>
      </c>
      <c r="T4876">
        <v>-0.20990059999999999</v>
      </c>
      <c r="U4876">
        <v>-0.38862609999999997</v>
      </c>
      <c r="V4876">
        <v>-0.24542040000000001</v>
      </c>
      <c r="W4876">
        <v>-6.9369189999999997E-3</v>
      </c>
      <c r="X4876">
        <v>0.96939189999999997</v>
      </c>
      <c r="Y4876">
        <v>-0.30262820000000001</v>
      </c>
      <c r="Z4876">
        <v>3.9451189999999997E-2</v>
      </c>
      <c r="AA4876">
        <v>0.95229180000000002</v>
      </c>
      <c r="AB4876">
        <v>15</v>
      </c>
      <c r="AC4876">
        <v>15.6678</v>
      </c>
      <c r="AD4876">
        <v>-1.1128945551078999</v>
      </c>
      <c r="AE4876">
        <v>-2.00989999999998</v>
      </c>
      <c r="AF4876">
        <v>-4.8158265624725303</v>
      </c>
      <c r="AG4876">
        <v>-1.1128945551078999</v>
      </c>
      <c r="AH4876">
        <v>14.962243231664599</v>
      </c>
      <c r="AI4876">
        <v>94.049957711690297</v>
      </c>
      <c r="AJ4876">
        <v>107.841564372082</v>
      </c>
      <c r="AK4876">
        <v>15.7575201822526</v>
      </c>
      <c r="AL4876">
        <v>90.397459379310106</v>
      </c>
      <c r="AM4876">
        <v>104.207028795469</v>
      </c>
      <c r="AN4876">
        <v>0.99999997468349</v>
      </c>
    </row>
    <row r="4877" spans="1:40" x14ac:dyDescent="0.25">
      <c r="A4877" t="str">
        <f>"20190312150748930"</f>
        <v>20190312150748930</v>
      </c>
      <c r="B4877" t="str">
        <f>"1552374468924910"</f>
        <v>1552374468924910</v>
      </c>
      <c r="C4877" t="s">
        <v>40</v>
      </c>
      <c r="D4877">
        <v>4.5198669999999996</v>
      </c>
      <c r="E4877">
        <v>0.45995999999999998</v>
      </c>
      <c r="F4877" t="s">
        <v>67</v>
      </c>
      <c r="G4877">
        <v>-463.71910000000003</v>
      </c>
      <c r="H4877" s="1">
        <v>4.848507E-7</v>
      </c>
      <c r="I4877">
        <v>213.6439</v>
      </c>
      <c r="J4877">
        <v>-479.17540000000002</v>
      </c>
      <c r="K4877">
        <v>1.112908</v>
      </c>
      <c r="L4877">
        <v>215.55510000000001</v>
      </c>
      <c r="M4877">
        <v>0.90805809999999998</v>
      </c>
      <c r="N4877">
        <v>0</v>
      </c>
      <c r="O4877">
        <v>-0.41871320000000001</v>
      </c>
      <c r="P4877">
        <v>0.98281390000000002</v>
      </c>
      <c r="Q4877">
        <v>-1.5063780000000001E-2</v>
      </c>
      <c r="R4877">
        <v>-0.18398390000000001</v>
      </c>
      <c r="S4877">
        <v>2.9799190000000002</v>
      </c>
      <c r="T4877">
        <v>-0.21273600000000001</v>
      </c>
      <c r="U4877">
        <v>-0.37551879999999999</v>
      </c>
      <c r="V4877">
        <v>-0.2444239</v>
      </c>
      <c r="W4877">
        <v>-6.5507430000000004E-3</v>
      </c>
      <c r="X4877">
        <v>0.96964629999999996</v>
      </c>
      <c r="Y4877">
        <v>-0.30018450000000002</v>
      </c>
      <c r="Z4877">
        <v>3.9488879999999997E-2</v>
      </c>
      <c r="AA4877">
        <v>0.95306340000000001</v>
      </c>
      <c r="AB4877">
        <v>15</v>
      </c>
      <c r="AC4877">
        <v>15.456300000000001</v>
      </c>
      <c r="AD4877">
        <v>-1.1129075151493</v>
      </c>
      <c r="AE4877">
        <v>-1.9112</v>
      </c>
      <c r="AF4877">
        <v>-4.7124722092975802</v>
      </c>
      <c r="AG4877">
        <v>-1.1129075151493</v>
      </c>
      <c r="AH4877">
        <v>14.7609017360152</v>
      </c>
      <c r="AI4877">
        <v>94.108166869832203</v>
      </c>
      <c r="AJ4877">
        <v>107.705874267787</v>
      </c>
      <c r="AK4877">
        <v>15.534805358322799</v>
      </c>
      <c r="AL4877">
        <v>90.3753326293496</v>
      </c>
      <c r="AM4877">
        <v>104.148101172073</v>
      </c>
      <c r="AN4877">
        <v>0.99999995111437401</v>
      </c>
    </row>
    <row r="4878" spans="1:40" x14ac:dyDescent="0.25">
      <c r="A4878" t="str">
        <f>"20190312150748953"</f>
        <v>20190312150748953</v>
      </c>
      <c r="B4878" t="str">
        <f>"1552374468944430"</f>
        <v>1552374468944430</v>
      </c>
      <c r="C4878" t="s">
        <v>40</v>
      </c>
      <c r="D4878">
        <v>4.5590529999999996</v>
      </c>
      <c r="E4878">
        <v>0.45749780000000001</v>
      </c>
      <c r="F4878" t="s">
        <v>67</v>
      </c>
      <c r="G4878">
        <v>-464.21640000000002</v>
      </c>
      <c r="H4878" s="1">
        <v>7.1597899999999996E-7</v>
      </c>
      <c r="I4878">
        <v>214.41059999999999</v>
      </c>
      <c r="J4878">
        <v>-479.03710000000001</v>
      </c>
      <c r="K4878">
        <v>1.112922</v>
      </c>
      <c r="L4878">
        <v>215.50069999999999</v>
      </c>
      <c r="M4878">
        <v>0.91104580000000002</v>
      </c>
      <c r="N4878">
        <v>0</v>
      </c>
      <c r="O4878">
        <v>-0.41217160000000003</v>
      </c>
      <c r="P4878">
        <v>0.98395759999999999</v>
      </c>
      <c r="Q4878">
        <v>-1.460727E-2</v>
      </c>
      <c r="R4878">
        <v>-0.1778042</v>
      </c>
      <c r="S4878">
        <v>3.0059200000000001</v>
      </c>
      <c r="T4878">
        <v>-0.22363230000000001</v>
      </c>
      <c r="U4878">
        <v>-0.2299805</v>
      </c>
      <c r="V4878">
        <v>-0.24354919999999999</v>
      </c>
      <c r="W4878">
        <v>-6.0883219999999898E-3</v>
      </c>
      <c r="X4878">
        <v>0.96986939999999999</v>
      </c>
      <c r="Y4878">
        <v>-0.33949249999999997</v>
      </c>
      <c r="Z4878">
        <v>4.2341070000000001E-2</v>
      </c>
      <c r="AA4878">
        <v>0.93965529999999997</v>
      </c>
      <c r="AB4878">
        <v>15</v>
      </c>
      <c r="AC4878">
        <v>14.820699999999899</v>
      </c>
      <c r="AD4878">
        <v>-1.1129212840210001</v>
      </c>
      <c r="AE4878">
        <v>-1.0901000000000001</v>
      </c>
      <c r="AF4878">
        <v>-5.0872901282596201</v>
      </c>
      <c r="AG4878">
        <v>-1.1129212840210001</v>
      </c>
      <c r="AH4878">
        <v>13.874597052133</v>
      </c>
      <c r="AI4878">
        <v>94.3068195444786</v>
      </c>
      <c r="AJ4878">
        <v>110.13607728668801</v>
      </c>
      <c r="AK4878">
        <v>14.819701683656501</v>
      </c>
      <c r="AL4878">
        <v>90.348837321628395</v>
      </c>
      <c r="AM4878">
        <v>104.096379304351</v>
      </c>
      <c r="AN4878">
        <v>0.99999996677088698</v>
      </c>
    </row>
    <row r="4879" spans="1:40" x14ac:dyDescent="0.25">
      <c r="A4879" t="str">
        <f>"20190312150748975"</f>
        <v>20190312150748975</v>
      </c>
      <c r="B4879" t="str">
        <f>"1552374468964929"</f>
        <v>1552374468964929</v>
      </c>
      <c r="C4879" t="s">
        <v>40</v>
      </c>
      <c r="D4879">
        <v>4.5054550000000004</v>
      </c>
      <c r="E4879">
        <v>0.45729839999999999</v>
      </c>
      <c r="F4879" t="s">
        <v>67</v>
      </c>
      <c r="G4879">
        <v>-464.88810000000001</v>
      </c>
      <c r="H4879" s="1">
        <v>1.0649669999999999E-6</v>
      </c>
      <c r="I4879">
        <v>214.60310000000001</v>
      </c>
      <c r="J4879">
        <v>-478.90190000000001</v>
      </c>
      <c r="K4879">
        <v>1.112932</v>
      </c>
      <c r="L4879">
        <v>215.4485</v>
      </c>
      <c r="M4879">
        <v>0.91391659999999997</v>
      </c>
      <c r="N4879">
        <v>0</v>
      </c>
      <c r="O4879">
        <v>-0.40576659999999998</v>
      </c>
      <c r="P4879">
        <v>0.98498920000000001</v>
      </c>
      <c r="Q4879">
        <v>-1.431756E-2</v>
      </c>
      <c r="R4879">
        <v>-0.1720217</v>
      </c>
      <c r="S4879">
        <v>3.0108640000000002</v>
      </c>
      <c r="T4879">
        <v>-0.23682520000000001</v>
      </c>
      <c r="U4879">
        <v>-0.1910095</v>
      </c>
      <c r="V4879">
        <v>-0.24244189999999999</v>
      </c>
      <c r="W4879">
        <v>-5.7904769999999996E-3</v>
      </c>
      <c r="X4879">
        <v>0.97014860000000003</v>
      </c>
      <c r="Y4879">
        <v>-0.34487050000000002</v>
      </c>
      <c r="Z4879">
        <v>4.4547919999999998E-2</v>
      </c>
      <c r="AA4879">
        <v>0.9375926</v>
      </c>
      <c r="AB4879">
        <v>15</v>
      </c>
      <c r="AC4879">
        <v>14.0138</v>
      </c>
      <c r="AD4879">
        <v>-1.1129309350329999</v>
      </c>
      <c r="AE4879">
        <v>-0.84539999999998305</v>
      </c>
      <c r="AF4879">
        <v>-4.8832895980152298</v>
      </c>
      <c r="AG4879">
        <v>-1.1129309350329999</v>
      </c>
      <c r="AH4879">
        <v>13.069074205734401</v>
      </c>
      <c r="AI4879">
        <v>94.560874081274505</v>
      </c>
      <c r="AJ4879">
        <v>110.488317543335</v>
      </c>
      <c r="AK4879">
        <v>13.995922018903499</v>
      </c>
      <c r="AL4879">
        <v>90.331771762348893</v>
      </c>
      <c r="AM4879">
        <v>104.03094890092601</v>
      </c>
      <c r="AN4879">
        <v>0.99999995529072705</v>
      </c>
    </row>
    <row r="4880" spans="1:40" x14ac:dyDescent="0.25">
      <c r="A4880" t="str">
        <f>"20190312150748998"</f>
        <v>20190312150748998</v>
      </c>
      <c r="B4880" t="str">
        <f>"1552374468995182"</f>
        <v>1552374468995182</v>
      </c>
      <c r="C4880" t="s">
        <v>40</v>
      </c>
      <c r="D4880">
        <v>4.576918</v>
      </c>
      <c r="E4880">
        <v>0.4574433</v>
      </c>
      <c r="F4880" t="s">
        <v>67</v>
      </c>
      <c r="G4880">
        <v>-465.00150000000002</v>
      </c>
      <c r="H4880" s="1">
        <v>1.122975E-6</v>
      </c>
      <c r="I4880">
        <v>214.6566</v>
      </c>
      <c r="J4880">
        <v>-478.76639999999998</v>
      </c>
      <c r="K4880">
        <v>1.1129370000000001</v>
      </c>
      <c r="L4880">
        <v>215.3974</v>
      </c>
      <c r="M4880">
        <v>0.91673990000000005</v>
      </c>
      <c r="N4880">
        <v>0</v>
      </c>
      <c r="O4880">
        <v>-0.3993466</v>
      </c>
      <c r="P4880">
        <v>0.98596779999999995</v>
      </c>
      <c r="Q4880">
        <v>-1.451497E-2</v>
      </c>
      <c r="R4880">
        <v>-0.1663039</v>
      </c>
      <c r="S4880">
        <v>3.0122990000000001</v>
      </c>
      <c r="T4880">
        <v>-0.24117849999999999</v>
      </c>
      <c r="U4880">
        <v>-0.1716309</v>
      </c>
      <c r="V4880">
        <v>-0.24126359999999999</v>
      </c>
      <c r="W4880">
        <v>-5.9790390000000002E-3</v>
      </c>
      <c r="X4880">
        <v>0.9704412</v>
      </c>
      <c r="Y4880">
        <v>-0.3442675</v>
      </c>
      <c r="Z4880">
        <v>4.4863960000000001E-2</v>
      </c>
      <c r="AA4880">
        <v>0.93779900000000005</v>
      </c>
      <c r="AB4880">
        <v>15</v>
      </c>
      <c r="AC4880">
        <v>13.7648999999999</v>
      </c>
      <c r="AD4880">
        <v>-1.112935877025</v>
      </c>
      <c r="AE4880">
        <v>-0.74080000000000701</v>
      </c>
      <c r="AF4880">
        <v>-4.7869079275190503</v>
      </c>
      <c r="AG4880">
        <v>-1.112935877025</v>
      </c>
      <c r="AH4880">
        <v>12.8317391347789</v>
      </c>
      <c r="AI4880">
        <v>94.645796001351997</v>
      </c>
      <c r="AJ4880">
        <v>110.458138593993</v>
      </c>
      <c r="AK4880">
        <v>13.740692959087999</v>
      </c>
      <c r="AL4880">
        <v>90.342575742025204</v>
      </c>
      <c r="AM4880">
        <v>103.96138569361</v>
      </c>
      <c r="AN4880">
        <v>0.99999999812488105</v>
      </c>
    </row>
    <row r="4881" spans="1:40" x14ac:dyDescent="0.25">
      <c r="A4881" t="str">
        <f>"20190312150749019"</f>
        <v>20190312150749019</v>
      </c>
      <c r="B4881" t="str">
        <f>"1552374469014702"</f>
        <v>1552374469014702</v>
      </c>
      <c r="C4881" t="s">
        <v>40</v>
      </c>
      <c r="D4881">
        <v>4.6017349999999997</v>
      </c>
      <c r="E4881">
        <v>0.45807100000000001</v>
      </c>
      <c r="F4881" t="s">
        <v>67</v>
      </c>
      <c r="G4881">
        <v>-465.24279999999999</v>
      </c>
      <c r="H4881" s="1">
        <v>1.2493719999999999E-6</v>
      </c>
      <c r="I4881">
        <v>214.70330000000001</v>
      </c>
      <c r="J4881">
        <v>-478.6336</v>
      </c>
      <c r="K4881">
        <v>1.112948</v>
      </c>
      <c r="L4881">
        <v>215.3484</v>
      </c>
      <c r="M4881">
        <v>0.91945390000000005</v>
      </c>
      <c r="N4881">
        <v>0</v>
      </c>
      <c r="O4881">
        <v>-0.3930575</v>
      </c>
      <c r="P4881">
        <v>0.98687820000000004</v>
      </c>
      <c r="Q4881">
        <v>-1.4980719999999999E-2</v>
      </c>
      <c r="R4881">
        <v>-0.1607692</v>
      </c>
      <c r="S4881">
        <v>3.0129389999999998</v>
      </c>
      <c r="T4881">
        <v>-0.24795320000000001</v>
      </c>
      <c r="U4881">
        <v>-0.154647799999999</v>
      </c>
      <c r="V4881">
        <v>-0.24005499999999999</v>
      </c>
      <c r="W4881">
        <v>-6.4359600000000001E-3</v>
      </c>
      <c r="X4881">
        <v>0.97073790000000004</v>
      </c>
      <c r="Y4881">
        <v>-0.3430144</v>
      </c>
      <c r="Z4881">
        <v>4.5596089999999999E-2</v>
      </c>
      <c r="AA4881">
        <v>0.93822289999999997</v>
      </c>
      <c r="AB4881">
        <v>15</v>
      </c>
      <c r="AC4881">
        <v>13.3908</v>
      </c>
      <c r="AD4881">
        <v>-1.112946750628</v>
      </c>
      <c r="AE4881">
        <v>-0.64509999999998502</v>
      </c>
      <c r="AF4881">
        <v>-4.6385049313738804</v>
      </c>
      <c r="AG4881">
        <v>-1.112946750628</v>
      </c>
      <c r="AH4881">
        <v>12.480465767539201</v>
      </c>
      <c r="AI4881">
        <v>94.778168565878701</v>
      </c>
      <c r="AJ4881">
        <v>110.388147270038</v>
      </c>
      <c r="AK4881">
        <v>13.3610031151419</v>
      </c>
      <c r="AL4881">
        <v>90.368755910227904</v>
      </c>
      <c r="AM4881">
        <v>103.890080720554</v>
      </c>
      <c r="AN4881">
        <v>0.99999994755126398</v>
      </c>
    </row>
    <row r="4882" spans="1:40" x14ac:dyDescent="0.25">
      <c r="A4882" t="str">
        <f>"20190312150749042"</f>
        <v>20190312150749042</v>
      </c>
      <c r="B4882" t="str">
        <f>"1552374469035197"</f>
        <v>1552374469035197</v>
      </c>
      <c r="C4882" t="s">
        <v>40</v>
      </c>
      <c r="D4882">
        <v>4.571993</v>
      </c>
      <c r="E4882">
        <v>0.45838079999999998</v>
      </c>
      <c r="F4882" t="s">
        <v>67</v>
      </c>
      <c r="G4882">
        <v>-465.262</v>
      </c>
      <c r="H4882" s="1">
        <v>1.2590370000000001E-6</v>
      </c>
      <c r="I4882">
        <v>214.71549999999999</v>
      </c>
      <c r="J4882">
        <v>-478.49450000000002</v>
      </c>
      <c r="K4882">
        <v>1.112959</v>
      </c>
      <c r="L4882">
        <v>215.29810000000001</v>
      </c>
      <c r="M4882">
        <v>0.92224490000000003</v>
      </c>
      <c r="N4882">
        <v>0</v>
      </c>
      <c r="O4882">
        <v>-0.38646340000000001</v>
      </c>
      <c r="P4882">
        <v>0.98780950000000001</v>
      </c>
      <c r="Q4882">
        <v>-1.5125400000000001E-2</v>
      </c>
      <c r="R4882">
        <v>-0.1549304</v>
      </c>
      <c r="S4882">
        <v>3.0128170000000001</v>
      </c>
      <c r="T4882">
        <v>-0.2507626</v>
      </c>
      <c r="U4882">
        <v>-0.1426086</v>
      </c>
      <c r="V4882">
        <v>-0.23884230000000001</v>
      </c>
      <c r="W4882">
        <v>-6.5719069999999897E-3</v>
      </c>
      <c r="X4882">
        <v>0.97103609999999896</v>
      </c>
      <c r="Y4882">
        <v>-0.34000429999999998</v>
      </c>
      <c r="Z4882">
        <v>4.5489309999999998E-2</v>
      </c>
      <c r="AA4882">
        <v>0.93932309999999997</v>
      </c>
      <c r="AB4882">
        <v>15</v>
      </c>
      <c r="AC4882">
        <v>13.2325</v>
      </c>
      <c r="AD4882">
        <v>-1.112957740963</v>
      </c>
      <c r="AE4882">
        <v>-0.582600000000013</v>
      </c>
      <c r="AF4882">
        <v>-4.5447417448916703</v>
      </c>
      <c r="AG4882">
        <v>-1.112957740963</v>
      </c>
      <c r="AH4882">
        <v>12.342303010374501</v>
      </c>
      <c r="AI4882">
        <v>94.836832350736302</v>
      </c>
      <c r="AJ4882">
        <v>110.21495692396</v>
      </c>
      <c r="AK4882">
        <v>13.1994619610358</v>
      </c>
      <c r="AL4882">
        <v>90.376545255951399</v>
      </c>
      <c r="AM4882">
        <v>103.81852679965201</v>
      </c>
      <c r="AN4882">
        <v>0.99999997086705705</v>
      </c>
    </row>
    <row r="4883" spans="1:40" x14ac:dyDescent="0.25">
      <c r="A4883" t="str">
        <f>"20190312150749065"</f>
        <v>20190312150749065</v>
      </c>
      <c r="B4883" t="str">
        <f>"1552374469054717"</f>
        <v>1552374469054717</v>
      </c>
      <c r="C4883" t="s">
        <v>40</v>
      </c>
      <c r="D4883">
        <v>4.5830789999999997</v>
      </c>
      <c r="E4883">
        <v>0.45874680000000001</v>
      </c>
      <c r="F4883" t="s">
        <v>67</v>
      </c>
      <c r="G4883">
        <v>-465.30599999999998</v>
      </c>
      <c r="H4883" s="1">
        <v>1.2813140000000001E-6</v>
      </c>
      <c r="I4883">
        <v>214.7422</v>
      </c>
      <c r="J4883">
        <v>-478.35390000000001</v>
      </c>
      <c r="K4883">
        <v>1.11297</v>
      </c>
      <c r="L4883">
        <v>215.2484</v>
      </c>
      <c r="M4883">
        <v>0.92501060000000002</v>
      </c>
      <c r="N4883">
        <v>0</v>
      </c>
      <c r="O4883">
        <v>-0.37979610000000003</v>
      </c>
      <c r="P4883">
        <v>0.98877649999999995</v>
      </c>
      <c r="Q4883">
        <v>-1.511502E-2</v>
      </c>
      <c r="R4883">
        <v>-0.1486365</v>
      </c>
      <c r="S4883">
        <v>3.0131839999999999</v>
      </c>
      <c r="T4883">
        <v>-0.25427840000000002</v>
      </c>
      <c r="U4883">
        <v>-0.1269989</v>
      </c>
      <c r="V4883">
        <v>-0.2380167</v>
      </c>
      <c r="W4883">
        <v>-6.5565959999999996E-3</v>
      </c>
      <c r="X4883">
        <v>0.97123890000000002</v>
      </c>
      <c r="Y4883">
        <v>-0.33804109999999998</v>
      </c>
      <c r="Z4883">
        <v>4.5526070000000002E-2</v>
      </c>
      <c r="AA4883">
        <v>0.94002960000000002</v>
      </c>
      <c r="AB4883">
        <v>15</v>
      </c>
      <c r="AC4883">
        <v>13.0479</v>
      </c>
      <c r="AD4883">
        <v>-1.112968718686</v>
      </c>
      <c r="AE4883">
        <v>-0.50620000000000598</v>
      </c>
      <c r="AF4883">
        <v>-4.4551820980938004</v>
      </c>
      <c r="AG4883">
        <v>-1.112968718686</v>
      </c>
      <c r="AH4883">
        <v>12.1739321760412</v>
      </c>
      <c r="AI4883">
        <v>94.907027069014305</v>
      </c>
      <c r="AJ4883">
        <v>110.100645669413</v>
      </c>
      <c r="AK4883">
        <v>13.0112248279246</v>
      </c>
      <c r="AL4883">
        <v>90.375667981801499</v>
      </c>
      <c r="AM4883">
        <v>103.769816139036</v>
      </c>
      <c r="AN4883">
        <v>0.99999996965160298</v>
      </c>
    </row>
    <row r="4884" spans="1:40" x14ac:dyDescent="0.25">
      <c r="A4884" t="str">
        <f>"20190312150749088"</f>
        <v>20190312150749088</v>
      </c>
      <c r="B4884" t="str">
        <f>"1552374469084974"</f>
        <v>1552374469084974</v>
      </c>
      <c r="C4884" t="s">
        <v>40</v>
      </c>
      <c r="D4884">
        <v>4.5934660000000003</v>
      </c>
      <c r="E4884">
        <v>0.45954129999999899</v>
      </c>
      <c r="F4884" t="s">
        <v>67</v>
      </c>
      <c r="G4884">
        <v>-465.2208</v>
      </c>
      <c r="H4884" s="1">
        <v>1.2349010000000001E-6</v>
      </c>
      <c r="I4884">
        <v>214.7662</v>
      </c>
      <c r="J4884">
        <v>-478.21039999999999</v>
      </c>
      <c r="K4884">
        <v>1.112981</v>
      </c>
      <c r="L4884">
        <v>215.19890000000001</v>
      </c>
      <c r="M4884">
        <v>0.92777779999999999</v>
      </c>
      <c r="N4884">
        <v>0</v>
      </c>
      <c r="O4884">
        <v>-0.37298559999999997</v>
      </c>
      <c r="P4884">
        <v>0.98969580000000001</v>
      </c>
      <c r="Q4884">
        <v>-1.4870680000000001E-2</v>
      </c>
      <c r="R4884">
        <v>-0.1424116</v>
      </c>
      <c r="S4884">
        <v>3.0134889999999999</v>
      </c>
      <c r="T4884">
        <v>-0.25537789999999999</v>
      </c>
      <c r="U4884">
        <v>-0.1106415</v>
      </c>
      <c r="V4884">
        <v>-0.23699110000000001</v>
      </c>
      <c r="W4884">
        <v>-6.3051239999999996E-3</v>
      </c>
      <c r="X4884">
        <v>0.97149129999999995</v>
      </c>
      <c r="Y4884">
        <v>-0.33623219999999998</v>
      </c>
      <c r="Z4884">
        <v>4.5114939999999999E-2</v>
      </c>
      <c r="AA4884">
        <v>0.94069789999999998</v>
      </c>
      <c r="AB4884">
        <v>15</v>
      </c>
      <c r="AC4884">
        <v>12.9895999999999</v>
      </c>
      <c r="AD4884">
        <v>-1.1129797650990001</v>
      </c>
      <c r="AE4884">
        <v>-0.43270000000001102</v>
      </c>
      <c r="AF4884">
        <v>-4.41137881608946</v>
      </c>
      <c r="AG4884">
        <v>-1.1129797650990001</v>
      </c>
      <c r="AH4884">
        <v>12.1246119259776</v>
      </c>
      <c r="AI4884">
        <v>94.930292984807295</v>
      </c>
      <c r="AJ4884">
        <v>109.99324385214599</v>
      </c>
      <c r="AK4884">
        <v>12.9501042996619</v>
      </c>
      <c r="AL4884">
        <v>90.361259409460004</v>
      </c>
      <c r="AM4884">
        <v>103.70929907509399</v>
      </c>
      <c r="AN4884">
        <v>0.99999994102177503</v>
      </c>
    </row>
    <row r="4885" spans="1:40" x14ac:dyDescent="0.25">
      <c r="A4885" t="str">
        <f>"20190312150749121"</f>
        <v>20190312150749121</v>
      </c>
      <c r="B4885" t="str">
        <f>"1552374469114254"</f>
        <v>1552374469114254</v>
      </c>
      <c r="C4885" t="s">
        <v>40</v>
      </c>
      <c r="D4885">
        <v>4.5948960000000003</v>
      </c>
      <c r="E4885">
        <v>0.46058300000000002</v>
      </c>
      <c r="F4885" t="s">
        <v>67</v>
      </c>
      <c r="G4885">
        <v>-464.98360000000002</v>
      </c>
      <c r="H4885" s="1">
        <v>1.10866E-6</v>
      </c>
      <c r="I4885">
        <v>214.76740000000001</v>
      </c>
      <c r="J4885">
        <v>-478.00819999999999</v>
      </c>
      <c r="K4885">
        <v>1.112995</v>
      </c>
      <c r="L4885">
        <v>215.1311</v>
      </c>
      <c r="M4885">
        <v>0.93157889999999999</v>
      </c>
      <c r="N4885">
        <v>0</v>
      </c>
      <c r="O4885">
        <v>-0.36338730000000002</v>
      </c>
      <c r="P4885">
        <v>0.99102990000000002</v>
      </c>
      <c r="Q4885">
        <v>-1.500598E-2</v>
      </c>
      <c r="R4885">
        <v>-0.132796</v>
      </c>
      <c r="S4885">
        <v>3.013306</v>
      </c>
      <c r="T4885">
        <v>-0.2535577</v>
      </c>
      <c r="U4885">
        <v>-9.8312380000000005E-2</v>
      </c>
      <c r="V4885">
        <v>-0.2363915</v>
      </c>
      <c r="W4885">
        <v>-6.4385859999999996E-3</v>
      </c>
      <c r="X4885">
        <v>0.97163659999999996</v>
      </c>
      <c r="Y4885">
        <v>-0.33043810000000001</v>
      </c>
      <c r="Z4885">
        <v>4.3805669999999998E-2</v>
      </c>
      <c r="AA4885">
        <v>0.9428105</v>
      </c>
      <c r="AB4885">
        <v>15</v>
      </c>
      <c r="AC4885">
        <v>13.0245999999999</v>
      </c>
      <c r="AD4885">
        <v>-1.1129938913399999</v>
      </c>
      <c r="AE4885">
        <v>-0.36369999999999397</v>
      </c>
      <c r="AF4885">
        <v>-4.36256985021463</v>
      </c>
      <c r="AG4885">
        <v>-1.1129938913399999</v>
      </c>
      <c r="AH4885">
        <v>12.1774303896284</v>
      </c>
      <c r="AI4885">
        <v>94.917799078491797</v>
      </c>
      <c r="AJ4885">
        <v>109.71008564220701</v>
      </c>
      <c r="AK4885">
        <v>12.9830883072714</v>
      </c>
      <c r="AL4885">
        <v>90.368906338126905</v>
      </c>
      <c r="AM4885">
        <v>103.673949521843</v>
      </c>
      <c r="AN4885">
        <v>1.00000003956074</v>
      </c>
    </row>
    <row r="4886" spans="1:40" x14ac:dyDescent="0.25">
      <c r="A4886" t="str">
        <f>"20190312150749143"</f>
        <v>20190312150749143</v>
      </c>
      <c r="B4886" t="str">
        <f>"1552374469134749"</f>
        <v>1552374469134749</v>
      </c>
      <c r="C4886" t="s">
        <v>40</v>
      </c>
      <c r="D4886">
        <v>5.0100920000000002</v>
      </c>
      <c r="E4886">
        <v>0.46133849999999998</v>
      </c>
      <c r="F4886" t="s">
        <v>67</v>
      </c>
      <c r="G4886">
        <v>-464.73739999999998</v>
      </c>
      <c r="H4886" s="1">
        <v>9.766424999999999E-7</v>
      </c>
      <c r="I4886">
        <v>214.78980000000001</v>
      </c>
      <c r="J4886">
        <v>-477.8664</v>
      </c>
      <c r="K4886">
        <v>1.1130100000000001</v>
      </c>
      <c r="L4886">
        <v>215.0849</v>
      </c>
      <c r="M4886">
        <v>0.93417790000000001</v>
      </c>
      <c r="N4886">
        <v>0</v>
      </c>
      <c r="O4886">
        <v>-0.35665219999999997</v>
      </c>
      <c r="P4886">
        <v>0.99187440000000004</v>
      </c>
      <c r="Q4886">
        <v>-1.500408E-2</v>
      </c>
      <c r="R4886">
        <v>-0.12633330000000001</v>
      </c>
      <c r="S4886">
        <v>3.0129090000000001</v>
      </c>
      <c r="T4886">
        <v>-0.25268689999999999</v>
      </c>
      <c r="U4886">
        <v>-7.7484129999999998E-2</v>
      </c>
      <c r="V4886">
        <v>-0.23571030000000001</v>
      </c>
      <c r="W4886">
        <v>-6.4332199999999999E-3</v>
      </c>
      <c r="X4886">
        <v>0.9718021</v>
      </c>
      <c r="Y4886">
        <v>-0.33017439999999998</v>
      </c>
      <c r="Z4886">
        <v>4.3132579999999997E-2</v>
      </c>
      <c r="AA4886">
        <v>0.94293389999999999</v>
      </c>
      <c r="AB4886">
        <v>15</v>
      </c>
      <c r="AC4886">
        <v>13.129</v>
      </c>
      <c r="AD4886">
        <v>-1.1130090233575001</v>
      </c>
      <c r="AE4886">
        <v>-0.29509999999998998</v>
      </c>
      <c r="AF4886">
        <v>-4.3756243735405196</v>
      </c>
      <c r="AG4886">
        <v>-1.1130090233575001</v>
      </c>
      <c r="AH4886">
        <v>12.282528241023099</v>
      </c>
      <c r="AI4886">
        <v>94.879068299026599</v>
      </c>
      <c r="AJ4886">
        <v>109.60833235291</v>
      </c>
      <c r="AK4886">
        <v>13.0860757194786</v>
      </c>
      <c r="AL4886">
        <v>90.368598887357294</v>
      </c>
      <c r="AM4886">
        <v>103.633783421801</v>
      </c>
      <c r="AN4886">
        <v>1.00000002670503</v>
      </c>
    </row>
    <row r="4887" spans="1:40" x14ac:dyDescent="0.25">
      <c r="A4887" t="str">
        <f>"20190312150749165"</f>
        <v>20190312150749165</v>
      </c>
      <c r="B4887" t="str">
        <f>"1552374469155249"</f>
        <v>1552374469155249</v>
      </c>
      <c r="C4887" t="s">
        <v>40</v>
      </c>
      <c r="D4887">
        <v>4.6029559999999998</v>
      </c>
      <c r="E4887">
        <v>0.4619491</v>
      </c>
      <c r="F4887" t="s">
        <v>67</v>
      </c>
      <c r="G4887">
        <v>-464.4468</v>
      </c>
      <c r="H4887" s="1">
        <v>8.2155950000000005E-7</v>
      </c>
      <c r="I4887">
        <v>214.79949999999999</v>
      </c>
      <c r="J4887">
        <v>-477.7276</v>
      </c>
      <c r="K4887">
        <v>1.113035</v>
      </c>
      <c r="L4887">
        <v>215.04079999999999</v>
      </c>
      <c r="M4887">
        <v>0.93666830000000001</v>
      </c>
      <c r="N4887">
        <v>0</v>
      </c>
      <c r="O4887">
        <v>-0.35005969999999997</v>
      </c>
      <c r="P4887">
        <v>0.99274340000000005</v>
      </c>
      <c r="Q4887">
        <v>-1.4415249999999999E-2</v>
      </c>
      <c r="R4887">
        <v>-0.1193844</v>
      </c>
      <c r="S4887">
        <v>3.0126339999999998</v>
      </c>
      <c r="T4887">
        <v>-0.2498648</v>
      </c>
      <c r="U4887">
        <v>-6.4071660000000002E-2</v>
      </c>
      <c r="V4887">
        <v>-0.23567370000000001</v>
      </c>
      <c r="W4887">
        <v>-5.8467010000000002E-3</v>
      </c>
      <c r="X4887">
        <v>0.97181470000000003</v>
      </c>
      <c r="Y4887">
        <v>-0.32779970000000003</v>
      </c>
      <c r="Z4887">
        <v>4.2049940000000001E-2</v>
      </c>
      <c r="AA4887">
        <v>0.94381090000000001</v>
      </c>
      <c r="AB4887">
        <v>15</v>
      </c>
      <c r="AC4887">
        <v>13.280799999999999</v>
      </c>
      <c r="AD4887">
        <v>-1.1130341784405</v>
      </c>
      <c r="AE4887">
        <v>-0.24129999999999499</v>
      </c>
      <c r="AF4887">
        <v>-4.3924583329827396</v>
      </c>
      <c r="AG4887">
        <v>-1.1130341784405</v>
      </c>
      <c r="AH4887">
        <v>12.437537825116699</v>
      </c>
      <c r="AI4887">
        <v>94.823322733597706</v>
      </c>
      <c r="AJ4887">
        <v>109.451254513043</v>
      </c>
      <c r="AK4887">
        <v>13.2372535837527</v>
      </c>
      <c r="AL4887">
        <v>90.334993185229905</v>
      </c>
      <c r="AM4887">
        <v>103.63157527912</v>
      </c>
      <c r="AN4887">
        <v>1.0000000439601799</v>
      </c>
    </row>
    <row r="4888" spans="1:40" x14ac:dyDescent="0.25">
      <c r="A4888" t="str">
        <f>"20190312150749187"</f>
        <v>20190312150749187</v>
      </c>
      <c r="B4888" t="str">
        <f>"1552374469184526"</f>
        <v>1552374469184526</v>
      </c>
      <c r="C4888" t="s">
        <v>40</v>
      </c>
      <c r="D4888">
        <v>4.6182589999999903</v>
      </c>
      <c r="E4888">
        <v>0.46281149999999999</v>
      </c>
      <c r="F4888" t="s">
        <v>67</v>
      </c>
      <c r="G4888">
        <v>-464.14729999999997</v>
      </c>
      <c r="H4888" s="1">
        <v>6.6107119999999898E-7</v>
      </c>
      <c r="I4888">
        <v>214.82490000000001</v>
      </c>
      <c r="J4888">
        <v>-477.5917</v>
      </c>
      <c r="K4888">
        <v>1.1130530000000001</v>
      </c>
      <c r="L4888">
        <v>214.99870000000001</v>
      </c>
      <c r="M4888">
        <v>0.93905760000000005</v>
      </c>
      <c r="N4888">
        <v>0</v>
      </c>
      <c r="O4888">
        <v>-0.34359879999999998</v>
      </c>
      <c r="P4888">
        <v>0.99347529999999995</v>
      </c>
      <c r="Q4888">
        <v>-1.321694E-2</v>
      </c>
      <c r="R4888">
        <v>-0.1132789</v>
      </c>
      <c r="S4888">
        <v>3.0126040000000001</v>
      </c>
      <c r="T4888">
        <v>-0.2469105</v>
      </c>
      <c r="U4888">
        <v>-4.7897339999999997E-2</v>
      </c>
      <c r="V4888">
        <v>-0.23496790000000001</v>
      </c>
      <c r="W4888">
        <v>-4.6441729999999997E-3</v>
      </c>
      <c r="X4888">
        <v>0.97199199999999997</v>
      </c>
      <c r="Y4888">
        <v>-0.32643850000000002</v>
      </c>
      <c r="Z4888">
        <v>4.1006580000000001E-2</v>
      </c>
      <c r="AA4888">
        <v>0.94432850000000002</v>
      </c>
      <c r="AB4888">
        <v>15</v>
      </c>
      <c r="AC4888">
        <v>13.4444</v>
      </c>
      <c r="AD4888">
        <v>-1.1130523389288001</v>
      </c>
      <c r="AE4888">
        <v>-0.17379999999999901</v>
      </c>
      <c r="AF4888">
        <v>-4.42618584163188</v>
      </c>
      <c r="AG4888">
        <v>-1.1130523389288001</v>
      </c>
      <c r="AH4888">
        <v>12.599144609240099</v>
      </c>
      <c r="AI4888">
        <v>94.764571535665695</v>
      </c>
      <c r="AJ4888">
        <v>109.356805684253</v>
      </c>
      <c r="AK4888">
        <v>13.400315350707199</v>
      </c>
      <c r="AL4888">
        <v>90.266092478018507</v>
      </c>
      <c r="AM4888">
        <v>103.589880446767</v>
      </c>
      <c r="AN4888">
        <v>0.99999996521863099</v>
      </c>
    </row>
    <row r="4889" spans="1:40" x14ac:dyDescent="0.25">
      <c r="A4889" t="str">
        <f>"20190312150749209"</f>
        <v>20190312150749209</v>
      </c>
      <c r="B4889" t="str">
        <f>"1552374469205022"</f>
        <v>1552374469205022</v>
      </c>
      <c r="C4889" t="s">
        <v>40</v>
      </c>
      <c r="D4889">
        <v>4.8819869999999996</v>
      </c>
      <c r="E4889">
        <v>0.46320840000000002</v>
      </c>
      <c r="F4889" t="s">
        <v>67</v>
      </c>
      <c r="G4889">
        <v>-463.71620000000001</v>
      </c>
      <c r="H4889" s="1">
        <v>4.3142690000000002E-7</v>
      </c>
      <c r="I4889">
        <v>214.83009999999999</v>
      </c>
      <c r="J4889">
        <v>-477.44869999999997</v>
      </c>
      <c r="K4889">
        <v>1.1130910000000001</v>
      </c>
      <c r="L4889">
        <v>214.9555</v>
      </c>
      <c r="M4889">
        <v>0.9415152</v>
      </c>
      <c r="N4889">
        <v>0</v>
      </c>
      <c r="O4889">
        <v>-0.33680589999999999</v>
      </c>
      <c r="P4889">
        <v>0.99421899999999996</v>
      </c>
      <c r="Q4889">
        <v>-1.282032E-2</v>
      </c>
      <c r="R4889">
        <v>-0.10660310000000001</v>
      </c>
      <c r="S4889">
        <v>3.0123289999999998</v>
      </c>
      <c r="T4889">
        <v>-0.24164040000000001</v>
      </c>
      <c r="U4889">
        <v>-3.6590579999999998E-2</v>
      </c>
      <c r="V4889">
        <v>-0.23447889999999999</v>
      </c>
      <c r="W4889">
        <v>-4.2455699999999997E-3</v>
      </c>
      <c r="X4889">
        <v>0.97211190000000003</v>
      </c>
      <c r="Y4889">
        <v>-0.32327800000000001</v>
      </c>
      <c r="Z4889">
        <v>3.9499449999999998E-2</v>
      </c>
      <c r="AA4889">
        <v>0.94547930000000002</v>
      </c>
      <c r="AB4889">
        <v>15</v>
      </c>
      <c r="AC4889">
        <v>13.7324999999999</v>
      </c>
      <c r="AD4889">
        <v>-1.1130905685731001</v>
      </c>
      <c r="AE4889">
        <v>-0.125400000000013</v>
      </c>
      <c r="AF4889">
        <v>-4.4779535284316401</v>
      </c>
      <c r="AG4889">
        <v>-1.1130905685731001</v>
      </c>
      <c r="AH4889">
        <v>12.8876482771125</v>
      </c>
      <c r="AI4889">
        <v>94.664105418086606</v>
      </c>
      <c r="AJ4889">
        <v>109.16033909186601</v>
      </c>
      <c r="AK4889">
        <v>13.6887733756973</v>
      </c>
      <c r="AL4889">
        <v>90.243253982458498</v>
      </c>
      <c r="AM4889">
        <v>103.561032780145</v>
      </c>
      <c r="AN4889">
        <v>0.99999996276572101</v>
      </c>
    </row>
    <row r="4890" spans="1:40" x14ac:dyDescent="0.25">
      <c r="A4890" t="str">
        <f>"20190312150749232"</f>
        <v>20190312150749232</v>
      </c>
      <c r="B4890" t="str">
        <f>"1552374469224542"</f>
        <v>1552374469224542</v>
      </c>
      <c r="C4890" t="s">
        <v>40</v>
      </c>
      <c r="D4890">
        <v>4.9414699999999998</v>
      </c>
      <c r="E4890">
        <v>0.4761167</v>
      </c>
      <c r="F4890" t="s">
        <v>67</v>
      </c>
      <c r="G4890">
        <v>-463.51130000000001</v>
      </c>
      <c r="H4890" s="1">
        <v>3.2090709999999899E-7</v>
      </c>
      <c r="I4890">
        <v>214.8646</v>
      </c>
      <c r="J4890">
        <v>-477.30470000000003</v>
      </c>
      <c r="K4890">
        <v>1.1131009999999999</v>
      </c>
      <c r="L4890">
        <v>214.91309999999999</v>
      </c>
      <c r="M4890">
        <v>0.94393749999999998</v>
      </c>
      <c r="N4890">
        <v>0</v>
      </c>
      <c r="O4890">
        <v>-0.32995600000000003</v>
      </c>
      <c r="P4890">
        <v>0.99485749999999995</v>
      </c>
      <c r="Q4890">
        <v>-1.184845E-2</v>
      </c>
      <c r="R4890">
        <v>-0.100589</v>
      </c>
      <c r="S4890">
        <v>3.0122990000000001</v>
      </c>
      <c r="T4890">
        <v>-0.24057319999999999</v>
      </c>
      <c r="U4890">
        <v>-1.9638059999999999E-2</v>
      </c>
      <c r="V4890">
        <v>-0.23330490000000001</v>
      </c>
      <c r="W4890">
        <v>-3.265001E-3</v>
      </c>
      <c r="X4890">
        <v>0.97239819999999999</v>
      </c>
      <c r="Y4890">
        <v>-0.32176959999999999</v>
      </c>
      <c r="Z4890">
        <v>3.8752410000000001E-2</v>
      </c>
      <c r="AA4890">
        <v>0.94602459999999999</v>
      </c>
      <c r="AB4890">
        <v>15</v>
      </c>
      <c r="AC4890">
        <v>13.7934</v>
      </c>
      <c r="AD4890">
        <v>-1.1131006790928999</v>
      </c>
      <c r="AE4890">
        <v>-4.8499999999990002E-2</v>
      </c>
      <c r="AF4890">
        <v>-4.4765326558863903</v>
      </c>
      <c r="AG4890">
        <v>-1.1131006790928999</v>
      </c>
      <c r="AH4890">
        <v>12.952486317505601</v>
      </c>
      <c r="AI4890">
        <v>94.643545893980502</v>
      </c>
      <c r="AJ4890">
        <v>109.06575568789199</v>
      </c>
      <c r="AK4890">
        <v>13.7493723328079</v>
      </c>
      <c r="AL4890">
        <v>90.187071100801603</v>
      </c>
      <c r="AM4890">
        <v>103.49179608506</v>
      </c>
      <c r="AN4890">
        <v>1.00000004797938</v>
      </c>
    </row>
    <row r="4891" spans="1:40" x14ac:dyDescent="0.25">
      <c r="A4891" t="str">
        <f>"20190312150749254"</f>
        <v>20190312150749254</v>
      </c>
      <c r="B4891" t="str">
        <f>"1552374469245038"</f>
        <v>1552374469245038</v>
      </c>
      <c r="C4891" t="s">
        <v>40</v>
      </c>
      <c r="D4891">
        <v>4.8397550000000003</v>
      </c>
      <c r="E4891">
        <v>0.47675250000000002</v>
      </c>
      <c r="F4891" t="s">
        <v>67</v>
      </c>
      <c r="G4891">
        <v>-460.20080000000002</v>
      </c>
      <c r="H4891" s="1">
        <v>-1.416625E-6</v>
      </c>
      <c r="I4891">
        <v>214.31219999999999</v>
      </c>
      <c r="J4891">
        <v>-477.1567</v>
      </c>
      <c r="K4891">
        <v>1.1131200000000001</v>
      </c>
      <c r="L4891">
        <v>214.8707</v>
      </c>
      <c r="M4891">
        <v>0.94636969999999998</v>
      </c>
      <c r="N4891">
        <v>0</v>
      </c>
      <c r="O4891">
        <v>-0.32291429999999999</v>
      </c>
      <c r="P4891">
        <v>0.99551869999999998</v>
      </c>
      <c r="Q4891">
        <v>-1.087775E-2</v>
      </c>
      <c r="R4891">
        <v>-9.3937640000000003E-2</v>
      </c>
      <c r="S4891">
        <v>3.0025019999999998</v>
      </c>
      <c r="T4891">
        <v>-0.19539989999999999</v>
      </c>
      <c r="U4891">
        <v>-0.10548399999999999</v>
      </c>
      <c r="V4891">
        <v>-0.2325702</v>
      </c>
      <c r="W4891">
        <v>-2.2897719999999998E-3</v>
      </c>
      <c r="X4891">
        <v>0.97257689999999997</v>
      </c>
      <c r="Y4891">
        <v>-0.28823510000000002</v>
      </c>
      <c r="Z4891">
        <v>3.0034930000000001E-2</v>
      </c>
      <c r="AA4891">
        <v>0.95708850000000001</v>
      </c>
      <c r="AB4891">
        <v>15</v>
      </c>
      <c r="AC4891">
        <v>16.9558999999999</v>
      </c>
      <c r="AD4891">
        <v>-1.1131214166249901</v>
      </c>
      <c r="AE4891">
        <v>-0.55850000000000899</v>
      </c>
      <c r="AF4891">
        <v>-4.9258234051355503</v>
      </c>
      <c r="AG4891">
        <v>-1.1131214166249901</v>
      </c>
      <c r="AH4891">
        <v>16.15823514717</v>
      </c>
      <c r="AI4891">
        <v>93.770049683733305</v>
      </c>
      <c r="AJ4891">
        <v>106.953795336822</v>
      </c>
      <c r="AK4891">
        <v>16.929008788998001</v>
      </c>
      <c r="AL4891">
        <v>90.131194388429194</v>
      </c>
      <c r="AM4891">
        <v>103.448473680259</v>
      </c>
      <c r="AN4891">
        <v>0.99999998369873</v>
      </c>
    </row>
    <row r="4892" spans="1:40" x14ac:dyDescent="0.25">
      <c r="A4892" t="str">
        <f>"20190312150749278"</f>
        <v>20190312150749278</v>
      </c>
      <c r="B4892" t="str">
        <f>"1552374469274318"</f>
        <v>1552374469274318</v>
      </c>
      <c r="C4892" t="s">
        <v>40</v>
      </c>
      <c r="D4892">
        <v>4.655513</v>
      </c>
      <c r="E4892">
        <v>0.4764852</v>
      </c>
      <c r="F4892" t="s">
        <v>67</v>
      </c>
      <c r="G4892">
        <v>-459.7851</v>
      </c>
      <c r="H4892" s="1">
        <v>3.6821150000000001E-6</v>
      </c>
      <c r="I4892">
        <v>214.34739999999999</v>
      </c>
      <c r="J4892">
        <v>-477.00959999999998</v>
      </c>
      <c r="K4892">
        <v>1.1131439999999999</v>
      </c>
      <c r="L4892">
        <v>214.8297</v>
      </c>
      <c r="M4892">
        <v>0.94872920000000005</v>
      </c>
      <c r="N4892">
        <v>0</v>
      </c>
      <c r="O4892">
        <v>-0.31591449999999999</v>
      </c>
      <c r="P4892">
        <v>0.99607190000000001</v>
      </c>
      <c r="Q4892">
        <v>-1.0288540000000001E-2</v>
      </c>
      <c r="R4892">
        <v>-8.7949319999999997E-2</v>
      </c>
      <c r="S4892">
        <v>3.002869</v>
      </c>
      <c r="T4892">
        <v>-0.19241449999999999</v>
      </c>
      <c r="U4892">
        <v>-9.0469359999999999E-2</v>
      </c>
      <c r="V4892">
        <v>-0.2312401</v>
      </c>
      <c r="W4892">
        <v>-1.6905430000000001E-3</v>
      </c>
      <c r="X4892">
        <v>0.97289530000000002</v>
      </c>
      <c r="Y4892">
        <v>-0.28600379999999997</v>
      </c>
      <c r="Z4892">
        <v>2.9080390000000001E-2</v>
      </c>
      <c r="AA4892">
        <v>0.9577871</v>
      </c>
      <c r="AB4892">
        <v>15</v>
      </c>
      <c r="AC4892">
        <v>17.2244999999999</v>
      </c>
      <c r="AD4892">
        <v>-1.1131403178849999</v>
      </c>
      <c r="AE4892">
        <v>-0.482300000000009</v>
      </c>
      <c r="AF4892">
        <v>-4.9634603065297798</v>
      </c>
      <c r="AG4892">
        <v>-1.1131403178849999</v>
      </c>
      <c r="AH4892">
        <v>16.4261176003005</v>
      </c>
      <c r="AI4892">
        <v>93.711558207615894</v>
      </c>
      <c r="AJ4892">
        <v>106.813179105933</v>
      </c>
      <c r="AK4892">
        <v>17.195707574877499</v>
      </c>
      <c r="AL4892">
        <v>90.096861019962404</v>
      </c>
      <c r="AM4892">
        <v>103.37011134258501</v>
      </c>
      <c r="AN4892">
        <v>1.0000000532728599</v>
      </c>
    </row>
    <row r="4893" spans="1:40" x14ac:dyDescent="0.25">
      <c r="A4893" t="str">
        <f>"20190312150749300"</f>
        <v>20190312150749300</v>
      </c>
      <c r="B4893" t="str">
        <f>"1552374469294814"</f>
        <v>1552374469294814</v>
      </c>
      <c r="C4893" t="s">
        <v>40</v>
      </c>
      <c r="D4893">
        <v>4.9007690000000004</v>
      </c>
      <c r="E4893">
        <v>0.46577950000000001</v>
      </c>
      <c r="F4893" t="s">
        <v>67</v>
      </c>
      <c r="G4893">
        <v>-459.9289</v>
      </c>
      <c r="H4893" s="1">
        <v>3.7549549999999999E-6</v>
      </c>
      <c r="I4893">
        <v>214.43090000000001</v>
      </c>
      <c r="J4893">
        <v>-476.86309999999997</v>
      </c>
      <c r="K4893">
        <v>1.113165</v>
      </c>
      <c r="L4893">
        <v>214.79</v>
      </c>
      <c r="M4893">
        <v>0.95102439999999999</v>
      </c>
      <c r="N4893">
        <v>0</v>
      </c>
      <c r="O4893">
        <v>-0.30893609999999999</v>
      </c>
      <c r="P4893">
        <v>0.99652289999999999</v>
      </c>
      <c r="Q4893">
        <v>-9.0756359999999998E-3</v>
      </c>
      <c r="R4893">
        <v>-8.2823350000000004E-2</v>
      </c>
      <c r="S4893">
        <v>3.0036320000000001</v>
      </c>
      <c r="T4893">
        <v>-0.1957439</v>
      </c>
      <c r="U4893">
        <v>-7.012939E-2</v>
      </c>
      <c r="V4893">
        <v>-0.22911000000000001</v>
      </c>
      <c r="W4893">
        <v>-4.597022E-4</v>
      </c>
      <c r="X4893">
        <v>0.97340040000000005</v>
      </c>
      <c r="Y4893">
        <v>-0.28542779999999901</v>
      </c>
      <c r="Z4893">
        <v>2.9129100000000002E-2</v>
      </c>
      <c r="AA4893">
        <v>0.95795739999999996</v>
      </c>
      <c r="AB4893">
        <v>15</v>
      </c>
      <c r="AC4893">
        <v>16.934199999999901</v>
      </c>
      <c r="AD4893">
        <v>-1.1131612450449999</v>
      </c>
      <c r="AE4893">
        <v>-0.35909999999998299</v>
      </c>
      <c r="AF4893">
        <v>-4.8693134833433298</v>
      </c>
      <c r="AG4893">
        <v>-1.1131612450449999</v>
      </c>
      <c r="AH4893">
        <v>16.1469370612663</v>
      </c>
      <c r="AI4893">
        <v>93.776249140308394</v>
      </c>
      <c r="AJ4893">
        <v>106.781350612219</v>
      </c>
      <c r="AK4893">
        <v>16.901861383203801</v>
      </c>
      <c r="AL4893">
        <v>90.0263389975824</v>
      </c>
      <c r="AM4893">
        <v>103.24468121498001</v>
      </c>
      <c r="AN4893">
        <v>0.99999997107313598</v>
      </c>
    </row>
    <row r="4894" spans="1:40" x14ac:dyDescent="0.25">
      <c r="A4894" t="str">
        <f>"20190312150749322"</f>
        <v>20190312150749322</v>
      </c>
      <c r="B4894" t="str">
        <f>"1552374469314334"</f>
        <v>1552374469314334</v>
      </c>
      <c r="C4894" t="s">
        <v>40</v>
      </c>
      <c r="D4894">
        <v>4.6503139999999998</v>
      </c>
      <c r="E4894">
        <v>0.46592040000000001</v>
      </c>
      <c r="F4894" t="s">
        <v>67</v>
      </c>
      <c r="G4894">
        <v>-457.49880000000002</v>
      </c>
      <c r="H4894" s="1">
        <v>2.437741E-6</v>
      </c>
      <c r="I4894">
        <v>214.9819</v>
      </c>
      <c r="J4894">
        <v>-476.7285</v>
      </c>
      <c r="K4894">
        <v>1.1131819999999999</v>
      </c>
      <c r="L4894">
        <v>214.75460000000001</v>
      </c>
      <c r="M4894">
        <v>0.95308150000000003</v>
      </c>
      <c r="N4894">
        <v>0</v>
      </c>
      <c r="O4894">
        <v>-0.30252980000000002</v>
      </c>
      <c r="P4894">
        <v>0.99688370000000004</v>
      </c>
      <c r="Q4894">
        <v>-7.8696789999999992E-3</v>
      </c>
      <c r="R4894">
        <v>-7.8493069999999998E-2</v>
      </c>
      <c r="S4894">
        <v>3.0113829999999999</v>
      </c>
      <c r="T4894">
        <v>-0.17311079999999901</v>
      </c>
      <c r="U4894">
        <v>2.9830929999999999E-2</v>
      </c>
      <c r="V4894">
        <v>-0.22680069999999999</v>
      </c>
      <c r="W4894">
        <v>7.6657910000000001E-4</v>
      </c>
      <c r="X4894">
        <v>0.9739409</v>
      </c>
      <c r="Y4894">
        <v>-0.31097160000000001</v>
      </c>
      <c r="Z4894">
        <v>2.6105710000000001E-2</v>
      </c>
      <c r="AA4894">
        <v>0.95006060000000003</v>
      </c>
      <c r="AB4894">
        <v>15</v>
      </c>
      <c r="AC4894">
        <v>19.229699999999902</v>
      </c>
      <c r="AD4894">
        <v>-1.1131795622589999</v>
      </c>
      <c r="AE4894">
        <v>0.22729999999998499</v>
      </c>
      <c r="AF4894">
        <v>-6.0143769035686603</v>
      </c>
      <c r="AG4894">
        <v>-1.1131795622589999</v>
      </c>
      <c r="AH4894">
        <v>18.198746135108301</v>
      </c>
      <c r="AI4894">
        <v>93.323916743796602</v>
      </c>
      <c r="AJ4894">
        <v>108.287844435203</v>
      </c>
      <c r="AK4894">
        <v>19.199121312344801</v>
      </c>
      <c r="AL4894">
        <v>89.956078249085294</v>
      </c>
      <c r="AM4894">
        <v>103.108792200937</v>
      </c>
      <c r="AN4894">
        <v>1.0000000109284</v>
      </c>
    </row>
    <row r="4895" spans="1:40" x14ac:dyDescent="0.25">
      <c r="A4895" t="str">
        <f>"20190312150749344"</f>
        <v>20190312150749344</v>
      </c>
      <c r="B4895" t="str">
        <f>"1552374469334830"</f>
        <v>1552374469334830</v>
      </c>
      <c r="C4895" t="s">
        <v>40</v>
      </c>
      <c r="D4895">
        <v>4.6456499999999998</v>
      </c>
      <c r="E4895">
        <v>0.4656245</v>
      </c>
      <c r="F4895" t="s">
        <v>67</v>
      </c>
      <c r="G4895">
        <v>-458.53519999999997</v>
      </c>
      <c r="H4895" s="1">
        <v>2.9880980000000002E-6</v>
      </c>
      <c r="I4895">
        <v>215.00829999999999</v>
      </c>
      <c r="J4895">
        <v>-476.57990000000001</v>
      </c>
      <c r="K4895">
        <v>1.113192</v>
      </c>
      <c r="L4895">
        <v>214.7166</v>
      </c>
      <c r="M4895">
        <v>0.9553007</v>
      </c>
      <c r="N4895">
        <v>0</v>
      </c>
      <c r="O4895">
        <v>-0.29544769999999998</v>
      </c>
      <c r="P4895">
        <v>0.99721329999999997</v>
      </c>
      <c r="Q4895">
        <v>-7.77789E-3</v>
      </c>
      <c r="R4895">
        <v>-7.4199479999999998E-2</v>
      </c>
      <c r="S4895">
        <v>3.0112299999999999</v>
      </c>
      <c r="T4895">
        <v>-0.18424550000000001</v>
      </c>
      <c r="U4895">
        <v>4.1976930000000003E-2</v>
      </c>
      <c r="V4895">
        <v>-0.22376650000000001</v>
      </c>
      <c r="W4895">
        <v>8.8578840000000001E-4</v>
      </c>
      <c r="X4895">
        <v>0.97464240000000002</v>
      </c>
      <c r="Y4895">
        <v>-0.30763570000000001</v>
      </c>
      <c r="Z4895">
        <v>2.726572E-2</v>
      </c>
      <c r="AA4895">
        <v>0.95111349999999995</v>
      </c>
      <c r="AB4895">
        <v>15</v>
      </c>
      <c r="AC4895">
        <v>18.044699999999999</v>
      </c>
      <c r="AD4895">
        <v>-1.113189011902</v>
      </c>
      <c r="AE4895">
        <v>0.29169999999999102</v>
      </c>
      <c r="AF4895">
        <v>-5.58897375260256</v>
      </c>
      <c r="AG4895">
        <v>-1.113189011902</v>
      </c>
      <c r="AH4895">
        <v>17.087871511437701</v>
      </c>
      <c r="AI4895">
        <v>93.543074707587905</v>
      </c>
      <c r="AJ4895">
        <v>108.111500055254</v>
      </c>
      <c r="AK4895">
        <v>18.013083305611602</v>
      </c>
      <c r="AL4895">
        <v>89.949248057491701</v>
      </c>
      <c r="AM4895">
        <v>102.93035943576299</v>
      </c>
      <c r="AN4895">
        <v>1.0000000195105401</v>
      </c>
    </row>
    <row r="4896" spans="1:40" x14ac:dyDescent="0.25">
      <c r="A4896" t="str">
        <f>"20190312150749367"</f>
        <v>20190312150749367</v>
      </c>
      <c r="B4896" t="str">
        <f>"1552374469354353"</f>
        <v>1552374469354353</v>
      </c>
      <c r="C4896" t="s">
        <v>40</v>
      </c>
      <c r="D4896">
        <v>4.5869099999999996</v>
      </c>
      <c r="E4896">
        <v>0.46548830000000002</v>
      </c>
      <c r="F4896" t="s">
        <v>67</v>
      </c>
      <c r="G4896">
        <v>-458.88279999999997</v>
      </c>
      <c r="H4896" s="1">
        <v>3.1710830000000002E-6</v>
      </c>
      <c r="I4896">
        <v>215.0538</v>
      </c>
      <c r="J4896">
        <v>-476.43630000000002</v>
      </c>
      <c r="K4896">
        <v>1.1132</v>
      </c>
      <c r="L4896">
        <v>214.68100000000001</v>
      </c>
      <c r="M4896">
        <v>0.95738380000000001</v>
      </c>
      <c r="N4896">
        <v>0</v>
      </c>
      <c r="O4896">
        <v>-0.28862599999999999</v>
      </c>
      <c r="P4896">
        <v>0.99751279999999998</v>
      </c>
      <c r="Q4896">
        <v>-6.8216010000000001E-3</v>
      </c>
      <c r="R4896">
        <v>-7.0157960000000005E-2</v>
      </c>
      <c r="S4896">
        <v>3.0111690000000002</v>
      </c>
      <c r="T4896">
        <v>-0.1894102</v>
      </c>
      <c r="U4896">
        <v>5.7373050000000002E-2</v>
      </c>
      <c r="V4896">
        <v>-0.22077169999999999</v>
      </c>
      <c r="W4896">
        <v>1.87141E-3</v>
      </c>
      <c r="X4896">
        <v>0.97532370000000002</v>
      </c>
      <c r="Y4896">
        <v>-0.30566539999999998</v>
      </c>
      <c r="Z4896">
        <v>2.7555039999999999E-2</v>
      </c>
      <c r="AA4896">
        <v>0.95174009999999998</v>
      </c>
      <c r="AB4896">
        <v>15</v>
      </c>
      <c r="AC4896">
        <v>17.5535</v>
      </c>
      <c r="AD4896">
        <v>-1.113196828917</v>
      </c>
      <c r="AE4896">
        <v>0.37280000000001201</v>
      </c>
      <c r="AF4896">
        <v>-5.4018956320097402</v>
      </c>
      <c r="AG4896">
        <v>-1.113196828917</v>
      </c>
      <c r="AH4896">
        <v>16.631906573248099</v>
      </c>
      <c r="AI4896">
        <v>93.642417145118401</v>
      </c>
      <c r="AJ4896">
        <v>107.99333655973599</v>
      </c>
      <c r="AK4896">
        <v>17.5225568870611</v>
      </c>
      <c r="AL4896">
        <v>89.892776040824302</v>
      </c>
      <c r="AM4896">
        <v>102.754385614363</v>
      </c>
      <c r="AN4896">
        <v>0.99999998273898305</v>
      </c>
    </row>
    <row r="4897" spans="1:40" x14ac:dyDescent="0.25">
      <c r="A4897" t="str">
        <f>"20190312150749388"</f>
        <v>20190312150749388</v>
      </c>
      <c r="B4897" t="str">
        <f>"1552374469384605"</f>
        <v>1552374469384605</v>
      </c>
      <c r="C4897" t="s">
        <v>40</v>
      </c>
      <c r="D4897">
        <v>4.5638249999999996</v>
      </c>
      <c r="E4897">
        <v>0.46571469999999998</v>
      </c>
      <c r="F4897" t="s">
        <v>67</v>
      </c>
      <c r="G4897">
        <v>-458.75009999999997</v>
      </c>
      <c r="H4897" s="1">
        <v>3.0986389999999999E-6</v>
      </c>
      <c r="I4897">
        <v>215.09549999999999</v>
      </c>
      <c r="J4897">
        <v>-476.29149999999998</v>
      </c>
      <c r="K4897">
        <v>1.1132</v>
      </c>
      <c r="L4897">
        <v>214.64619999999999</v>
      </c>
      <c r="M4897">
        <v>0.95942799999999995</v>
      </c>
      <c r="N4897">
        <v>0</v>
      </c>
      <c r="O4897">
        <v>-0.2817559</v>
      </c>
      <c r="P4897">
        <v>0.99785760000000001</v>
      </c>
      <c r="Q4897">
        <v>-5.6093289999999997E-3</v>
      </c>
      <c r="R4897">
        <v>-6.5184779999999998E-2</v>
      </c>
      <c r="S4897">
        <v>3.0111080000000001</v>
      </c>
      <c r="T4897">
        <v>-0.18952340000000001</v>
      </c>
      <c r="U4897">
        <v>7.0556640000000004E-2</v>
      </c>
      <c r="V4897">
        <v>-0.2186526</v>
      </c>
      <c r="W4897">
        <v>3.1073680000000001E-3</v>
      </c>
      <c r="X4897">
        <v>0.97579780000000005</v>
      </c>
      <c r="Y4897">
        <v>-0.30302390000000001</v>
      </c>
      <c r="Z4897">
        <v>2.7072079999999998E-2</v>
      </c>
      <c r="AA4897">
        <v>0.95259839999999996</v>
      </c>
      <c r="AB4897">
        <v>15</v>
      </c>
      <c r="AC4897">
        <v>17.541399999999999</v>
      </c>
      <c r="AD4897">
        <v>-1.1131969013609999</v>
      </c>
      <c r="AE4897">
        <v>0.44929999999999298</v>
      </c>
      <c r="AF4897">
        <v>-5.3522226610337</v>
      </c>
      <c r="AG4897">
        <v>-1.1131969013609999</v>
      </c>
      <c r="AH4897">
        <v>16.637090030413098</v>
      </c>
      <c r="AI4897">
        <v>93.644567845038694</v>
      </c>
      <c r="AJ4897">
        <v>107.83320417615199</v>
      </c>
      <c r="AK4897">
        <v>17.512231709138401</v>
      </c>
      <c r="AL4897">
        <v>89.821960638279506</v>
      </c>
      <c r="AM4897">
        <v>102.62996826531899</v>
      </c>
      <c r="AN4897">
        <v>0.99999998085374298</v>
      </c>
    </row>
    <row r="4898" spans="1:40" x14ac:dyDescent="0.25">
      <c r="A4898" t="str">
        <f>"20190312150749410"</f>
        <v>20190312150749410</v>
      </c>
      <c r="B4898" t="str">
        <f>"1552374469405102"</f>
        <v>1552374469405102</v>
      </c>
      <c r="C4898" t="s">
        <v>40</v>
      </c>
      <c r="D4898">
        <v>4.818079</v>
      </c>
      <c r="E4898">
        <v>0.4663622</v>
      </c>
      <c r="F4898" t="s">
        <v>67</v>
      </c>
      <c r="G4898">
        <v>-457.84160000000003</v>
      </c>
      <c r="H4898" s="1">
        <v>2.6124939999999998E-6</v>
      </c>
      <c r="I4898">
        <v>215.15610000000001</v>
      </c>
      <c r="J4898">
        <v>-476.14640000000003</v>
      </c>
      <c r="K4898">
        <v>1.1131979999999999</v>
      </c>
      <c r="L4898">
        <v>214.61240000000001</v>
      </c>
      <c r="M4898">
        <v>0.96141639999999995</v>
      </c>
      <c r="N4898">
        <v>0</v>
      </c>
      <c r="O4898">
        <v>-0.27489449999999999</v>
      </c>
      <c r="P4898">
        <v>0.99819080000000004</v>
      </c>
      <c r="Q4898">
        <v>-5.0545109999999898E-3</v>
      </c>
      <c r="R4898">
        <v>-5.9914509999999997E-2</v>
      </c>
      <c r="S4898">
        <v>3.010834</v>
      </c>
      <c r="T4898">
        <v>-0.18166170000000001</v>
      </c>
      <c r="U4898">
        <v>8.3206180000000005E-2</v>
      </c>
      <c r="V4898">
        <v>-0.216839</v>
      </c>
      <c r="W4898">
        <v>3.6843380000000001E-3</v>
      </c>
      <c r="X4898">
        <v>0.97620039999999997</v>
      </c>
      <c r="Y4898">
        <v>-0.30032809999999999</v>
      </c>
      <c r="Z4898">
        <v>2.547195E-2</v>
      </c>
      <c r="AA4898">
        <v>0.9534958</v>
      </c>
      <c r="AB4898">
        <v>15</v>
      </c>
      <c r="AC4898">
        <v>18.3048</v>
      </c>
      <c r="AD4898">
        <v>-1.1131953875059999</v>
      </c>
      <c r="AE4898">
        <v>0.54370000000000096</v>
      </c>
      <c r="AF4898">
        <v>-5.5344700985770903</v>
      </c>
      <c r="AG4898">
        <v>-1.1131953875059999</v>
      </c>
      <c r="AH4898">
        <v>17.3858049917228</v>
      </c>
      <c r="AI4898">
        <v>93.491414001378999</v>
      </c>
      <c r="AJ4898">
        <v>107.65797358573499</v>
      </c>
      <c r="AK4898">
        <v>18.279381238242799</v>
      </c>
      <c r="AL4898">
        <v>89.788902499143305</v>
      </c>
      <c r="AM4898">
        <v>102.52352650621501</v>
      </c>
      <c r="AN4898">
        <v>0.99999997361382797</v>
      </c>
    </row>
    <row r="4899" spans="1:40" x14ac:dyDescent="0.25">
      <c r="A4899" t="str">
        <f>"20190312150749433"</f>
        <v>20190312150749433</v>
      </c>
      <c r="B4899" t="str">
        <f>"1552374469424622"</f>
        <v>1552374469424622</v>
      </c>
      <c r="C4899" t="s">
        <v>40</v>
      </c>
      <c r="D4899">
        <v>4.8290480000000002</v>
      </c>
      <c r="E4899">
        <v>0.46694819999999998</v>
      </c>
      <c r="F4899" t="s">
        <v>67</v>
      </c>
      <c r="G4899">
        <v>-457.52140000000003</v>
      </c>
      <c r="H4899" s="1">
        <v>2.4405670000000001E-6</v>
      </c>
      <c r="I4899">
        <v>215.19210000000001</v>
      </c>
      <c r="J4899">
        <v>-475.9966</v>
      </c>
      <c r="K4899">
        <v>1.1131930000000001</v>
      </c>
      <c r="L4899">
        <v>214.57859999999999</v>
      </c>
      <c r="M4899">
        <v>0.96340499999999996</v>
      </c>
      <c r="N4899">
        <v>0</v>
      </c>
      <c r="O4899">
        <v>-0.26784239999999998</v>
      </c>
      <c r="P4899">
        <v>0.99843700000000002</v>
      </c>
      <c r="Q4899">
        <v>-4.3955460000000002E-3</v>
      </c>
      <c r="R4899">
        <v>-5.5720449999999998E-2</v>
      </c>
      <c r="S4899">
        <v>3.0101619999999998</v>
      </c>
      <c r="T4899">
        <v>-0.17991389999999999</v>
      </c>
      <c r="U4899">
        <v>9.3688960000000002E-2</v>
      </c>
      <c r="V4899">
        <v>-0.2137917</v>
      </c>
      <c r="W4899">
        <v>4.3800380000000002E-3</v>
      </c>
      <c r="X4899">
        <v>0.97686949999999995</v>
      </c>
      <c r="Y4899">
        <v>-0.29670029999999997</v>
      </c>
      <c r="Z4899">
        <v>2.47158E-2</v>
      </c>
      <c r="AA4899">
        <v>0.95465080000000002</v>
      </c>
      <c r="AB4899">
        <v>15</v>
      </c>
      <c r="AC4899">
        <v>18.475199999999901</v>
      </c>
      <c r="AD4899">
        <v>-1.113190559433</v>
      </c>
      <c r="AE4899">
        <v>0.61350000000001603</v>
      </c>
      <c r="AF4899">
        <v>-5.51978181719881</v>
      </c>
      <c r="AG4899">
        <v>-1.113190559433</v>
      </c>
      <c r="AH4899">
        <v>17.572035632611499</v>
      </c>
      <c r="AI4899">
        <v>93.458659618522901</v>
      </c>
      <c r="AJ4899">
        <v>107.438707036342</v>
      </c>
      <c r="AK4899">
        <v>18.452198264837101</v>
      </c>
      <c r="AL4899">
        <v>89.749041518075003</v>
      </c>
      <c r="AM4899">
        <v>102.344768340817</v>
      </c>
      <c r="AN4899">
        <v>1.0000000478760001</v>
      </c>
    </row>
    <row r="4900" spans="1:40" x14ac:dyDescent="0.25">
      <c r="A4900" t="str">
        <f>"20190312150749455"</f>
        <v>20190312150749455</v>
      </c>
      <c r="B4900" t="str">
        <f>"1552374469445121"</f>
        <v>1552374469445121</v>
      </c>
      <c r="C4900" t="s">
        <v>40</v>
      </c>
      <c r="D4900">
        <v>4.6369660000000001</v>
      </c>
      <c r="E4900">
        <v>0.46738990000000002</v>
      </c>
      <c r="F4900" t="s">
        <v>67</v>
      </c>
      <c r="G4900">
        <v>-457.25560000000002</v>
      </c>
      <c r="H4900" s="1">
        <v>2.298268E-6</v>
      </c>
      <c r="I4900">
        <v>215.21180000000001</v>
      </c>
      <c r="J4900">
        <v>-475.84660000000002</v>
      </c>
      <c r="K4900">
        <v>1.1131719999999901</v>
      </c>
      <c r="L4900">
        <v>214.54580000000001</v>
      </c>
      <c r="M4900">
        <v>0.96532530000000005</v>
      </c>
      <c r="N4900">
        <v>0</v>
      </c>
      <c r="O4900">
        <v>-0.26083659999999997</v>
      </c>
      <c r="P4900">
        <v>0.99868210000000002</v>
      </c>
      <c r="Q4900">
        <v>-3.631015E-3</v>
      </c>
      <c r="R4900">
        <v>-5.1194049999999998E-2</v>
      </c>
      <c r="S4900">
        <v>3.0095519999999998</v>
      </c>
      <c r="T4900">
        <v>-0.1787639</v>
      </c>
      <c r="U4900">
        <v>0.1016846</v>
      </c>
      <c r="V4900">
        <v>-0.21112800000000001</v>
      </c>
      <c r="W4900">
        <v>5.1806389999999999E-3</v>
      </c>
      <c r="X4900">
        <v>0.97744470000000006</v>
      </c>
      <c r="Y4900">
        <v>-0.29233330000000002</v>
      </c>
      <c r="Z4900">
        <v>2.4028859999999999E-2</v>
      </c>
      <c r="AA4900">
        <v>0.95601460000000005</v>
      </c>
      <c r="AB4900">
        <v>15</v>
      </c>
      <c r="AC4900">
        <v>18.591000000000001</v>
      </c>
      <c r="AD4900">
        <v>-1.1131697017319999</v>
      </c>
      <c r="AE4900">
        <v>0.66599999999999604</v>
      </c>
      <c r="AF4900">
        <v>-5.4728294198176997</v>
      </c>
      <c r="AG4900">
        <v>-1.1131697017319999</v>
      </c>
      <c r="AH4900">
        <v>17.7102210350495</v>
      </c>
      <c r="AI4900">
        <v>93.436637947931999</v>
      </c>
      <c r="AJ4900">
        <v>107.17224500347101</v>
      </c>
      <c r="AK4900">
        <v>18.5699471661496</v>
      </c>
      <c r="AL4900">
        <v>89.703169924261402</v>
      </c>
      <c r="AM4900">
        <v>102.18863011045801</v>
      </c>
      <c r="AN4900">
        <v>1.00000000648126</v>
      </c>
    </row>
    <row r="4901" spans="1:40" x14ac:dyDescent="0.25">
      <c r="A4901" t="str">
        <f>"20190312150749481"</f>
        <v>20190312150749481</v>
      </c>
      <c r="B4901" t="str">
        <f>"1552374469474399"</f>
        <v>1552374469474399</v>
      </c>
      <c r="C4901" t="s">
        <v>40</v>
      </c>
      <c r="D4901">
        <v>4.5911949999999999</v>
      </c>
      <c r="E4901">
        <v>0.46797620000000001</v>
      </c>
      <c r="F4901" t="s">
        <v>67</v>
      </c>
      <c r="G4901">
        <v>-456.58440000000002</v>
      </c>
      <c r="H4901" s="1">
        <v>1.9389850000000002E-6</v>
      </c>
      <c r="I4901">
        <v>215.2593</v>
      </c>
      <c r="J4901">
        <v>-475.6816</v>
      </c>
      <c r="K4901">
        <v>1.1131340000000001</v>
      </c>
      <c r="L4901">
        <v>214.51089999999999</v>
      </c>
      <c r="M4901">
        <v>0.96735159999999998</v>
      </c>
      <c r="N4901">
        <v>0</v>
      </c>
      <c r="O4901">
        <v>-0.25321870000000002</v>
      </c>
      <c r="P4901">
        <v>0.99892689999999995</v>
      </c>
      <c r="Q4901">
        <v>-2.8858349999999998E-3</v>
      </c>
      <c r="R4901">
        <v>-4.6227900000000002E-2</v>
      </c>
      <c r="S4901">
        <v>3.008972</v>
      </c>
      <c r="T4901">
        <v>-0.17388989999999999</v>
      </c>
      <c r="U4901">
        <v>0.1114502</v>
      </c>
      <c r="V4901">
        <v>-0.20828730000000001</v>
      </c>
      <c r="W4901">
        <v>5.9693150000000002E-3</v>
      </c>
      <c r="X4901">
        <v>0.97804950000000002</v>
      </c>
      <c r="Y4901">
        <v>-0.2879698</v>
      </c>
      <c r="Z4901">
        <v>2.2824379999999998E-2</v>
      </c>
      <c r="AA4901">
        <v>0.95736750000000004</v>
      </c>
      <c r="AB4901">
        <v>15</v>
      </c>
      <c r="AC4901">
        <v>19.097199999999901</v>
      </c>
      <c r="AD4901">
        <v>-1.113132061015</v>
      </c>
      <c r="AE4901">
        <v>0.74840000000000295</v>
      </c>
      <c r="AF4901">
        <v>-5.5412458869343304</v>
      </c>
      <c r="AG4901">
        <v>-1.113132061015</v>
      </c>
      <c r="AH4901">
        <v>18.223396260913699</v>
      </c>
      <c r="AI4901">
        <v>93.344594334159694</v>
      </c>
      <c r="AJ4901">
        <v>106.91310945343901</v>
      </c>
      <c r="AK4901">
        <v>19.079744239559599</v>
      </c>
      <c r="AL4901">
        <v>89.657981422384196</v>
      </c>
      <c r="AM4901">
        <v>102.02221955642401</v>
      </c>
      <c r="AN4901">
        <v>1.00000002825655</v>
      </c>
    </row>
    <row r="4902" spans="1:40" x14ac:dyDescent="0.25">
      <c r="A4902" t="str">
        <f>"20190312150749501"</f>
        <v>20190312150749501</v>
      </c>
      <c r="B4902" t="str">
        <f>"1552374469494896"</f>
        <v>1552374469494896</v>
      </c>
      <c r="C4902" t="s">
        <v>40</v>
      </c>
      <c r="D4902">
        <v>4.9393890000000003</v>
      </c>
      <c r="E4902">
        <v>0.46858559999999999</v>
      </c>
      <c r="F4902" t="s">
        <v>67</v>
      </c>
      <c r="G4902">
        <v>-456.4085</v>
      </c>
      <c r="H4902" s="1">
        <v>1.8441160000000001E-6</v>
      </c>
      <c r="I4902">
        <v>215.28909999999999</v>
      </c>
      <c r="J4902">
        <v>-475.54309999999998</v>
      </c>
      <c r="K4902">
        <v>1.113084</v>
      </c>
      <c r="L4902">
        <v>214.48259999999999</v>
      </c>
      <c r="M4902">
        <v>0.96897979999999995</v>
      </c>
      <c r="N4902">
        <v>0</v>
      </c>
      <c r="O4902">
        <v>-0.24691440000000001</v>
      </c>
      <c r="P4902">
        <v>0.99902619999999998</v>
      </c>
      <c r="Q4902">
        <v>-3.774609E-3</v>
      </c>
      <c r="R4902">
        <v>-4.3959730000000002E-2</v>
      </c>
      <c r="S4902">
        <v>3.00827</v>
      </c>
      <c r="T4902">
        <v>-0.17374529999999999</v>
      </c>
      <c r="U4902">
        <v>0.121459999999999</v>
      </c>
      <c r="V4902">
        <v>-0.20413000000000001</v>
      </c>
      <c r="W4902">
        <v>5.1372459999999998E-3</v>
      </c>
      <c r="X4902">
        <v>0.97893030000000003</v>
      </c>
      <c r="Y4902">
        <v>-0.28493970000000002</v>
      </c>
      <c r="Z4902">
        <v>2.236784E-2</v>
      </c>
      <c r="AA4902">
        <v>0.95828440000000004</v>
      </c>
      <c r="AB4902">
        <v>15</v>
      </c>
      <c r="AC4902">
        <v>19.134599999999899</v>
      </c>
      <c r="AD4902">
        <v>-1.1130821558840001</v>
      </c>
      <c r="AE4902">
        <v>0.806499999999999</v>
      </c>
      <c r="AF4902">
        <v>-5.4878599162620203</v>
      </c>
      <c r="AG4902">
        <v>-1.1130821558840001</v>
      </c>
      <c r="AH4902">
        <v>18.281174688165699</v>
      </c>
      <c r="AI4902">
        <v>93.337474694525497</v>
      </c>
      <c r="AJ4902">
        <v>106.709329050321</v>
      </c>
      <c r="AK4902">
        <v>19.119542523959499</v>
      </c>
      <c r="AL4902">
        <v>89.705656188307501</v>
      </c>
      <c r="AM4902">
        <v>101.778732596146</v>
      </c>
      <c r="AN4902">
        <v>0.99999999022727704</v>
      </c>
    </row>
    <row r="4903" spans="1:40" x14ac:dyDescent="0.25">
      <c r="A4903" t="str">
        <f>"20190312150749525"</f>
        <v>20190312150749525</v>
      </c>
      <c r="B4903" t="str">
        <f>"1552374469514414"</f>
        <v>1552374469514414</v>
      </c>
      <c r="C4903" t="s">
        <v>40</v>
      </c>
      <c r="D4903">
        <v>4.7520670000000003</v>
      </c>
      <c r="E4903">
        <v>0.46908030000000001</v>
      </c>
      <c r="F4903" t="s">
        <v>67</v>
      </c>
      <c r="G4903">
        <v>-456.42939999999999</v>
      </c>
      <c r="H4903" s="1">
        <v>1.8561769999999999E-6</v>
      </c>
      <c r="I4903">
        <v>215.26730000000001</v>
      </c>
      <c r="J4903">
        <v>-475.3895</v>
      </c>
      <c r="K4903">
        <v>1.1130139999999999</v>
      </c>
      <c r="L4903">
        <v>214.4521</v>
      </c>
      <c r="M4903">
        <v>0.97070529999999999</v>
      </c>
      <c r="N4903">
        <v>0</v>
      </c>
      <c r="O4903">
        <v>-0.24004220000000001</v>
      </c>
      <c r="P4903">
        <v>0.99913719999999995</v>
      </c>
      <c r="Q4903">
        <v>-5.2321729999999997E-3</v>
      </c>
      <c r="R4903">
        <v>-4.1201920000000003E-2</v>
      </c>
      <c r="S4903">
        <v>3.0077210000000001</v>
      </c>
      <c r="T4903">
        <v>-0.17515459999999999</v>
      </c>
      <c r="U4903">
        <v>0.1234894</v>
      </c>
      <c r="V4903">
        <v>-0.19988110000000001</v>
      </c>
      <c r="W4903">
        <v>3.742511E-3</v>
      </c>
      <c r="X4903">
        <v>0.97981300000000005</v>
      </c>
      <c r="Y4903">
        <v>-0.27880310000000003</v>
      </c>
      <c r="Z4903">
        <v>2.1983249999999999E-2</v>
      </c>
      <c r="AA4903">
        <v>0.96009670000000003</v>
      </c>
      <c r="AB4903">
        <v>15</v>
      </c>
      <c r="AC4903">
        <v>18.960100000000001</v>
      </c>
      <c r="AD4903">
        <v>-1.1130121438229901</v>
      </c>
      <c r="AE4903">
        <v>0.81520000000000403</v>
      </c>
      <c r="AF4903">
        <v>-5.32452491815289</v>
      </c>
      <c r="AG4903">
        <v>-1.1130121438229901</v>
      </c>
      <c r="AH4903">
        <v>18.147575875174098</v>
      </c>
      <c r="AI4903">
        <v>93.367995495336899</v>
      </c>
      <c r="AJ4903">
        <v>106.351764612205</v>
      </c>
      <c r="AK4903">
        <v>18.9452862681336</v>
      </c>
      <c r="AL4903">
        <v>89.785569411723003</v>
      </c>
      <c r="AM4903">
        <v>101.530088171575</v>
      </c>
      <c r="AN4903">
        <v>0.99999998774739696</v>
      </c>
    </row>
    <row r="4904" spans="1:40" x14ac:dyDescent="0.25">
      <c r="A4904" t="str">
        <f>"20190312150749545"</f>
        <v>20190312150749545</v>
      </c>
      <c r="B4904" t="str">
        <f>"1552374469534913"</f>
        <v>1552374469534913</v>
      </c>
      <c r="C4904" t="s">
        <v>40</v>
      </c>
      <c r="D4904">
        <v>4.6070209999999996</v>
      </c>
      <c r="E4904">
        <v>0.46947</v>
      </c>
      <c r="F4904" t="s">
        <v>67</v>
      </c>
      <c r="G4904">
        <v>-456.62670000000003</v>
      </c>
      <c r="H4904" s="1">
        <v>1.9618509999999999E-6</v>
      </c>
      <c r="I4904">
        <v>215.25149999999999</v>
      </c>
      <c r="J4904">
        <v>-475.24970000000002</v>
      </c>
      <c r="K4904">
        <v>1.1129279999999999</v>
      </c>
      <c r="L4904">
        <v>214.42519999999999</v>
      </c>
      <c r="M4904">
        <v>0.97219849999999997</v>
      </c>
      <c r="N4904">
        <v>0</v>
      </c>
      <c r="O4904">
        <v>-0.2339213</v>
      </c>
      <c r="P4904">
        <v>0.99922509999999998</v>
      </c>
      <c r="Q4904">
        <v>-5.028495E-3</v>
      </c>
      <c r="R4904">
        <v>-3.9039560000000001E-2</v>
      </c>
      <c r="S4904">
        <v>3.0069270000000001</v>
      </c>
      <c r="T4904">
        <v>-0.1783718</v>
      </c>
      <c r="U4904">
        <v>0.1281128</v>
      </c>
      <c r="V4904">
        <v>-0.19582749999999999</v>
      </c>
      <c r="W4904">
        <v>4.0066770000000002E-3</v>
      </c>
      <c r="X4904">
        <v>0.98063020000000001</v>
      </c>
      <c r="Y4904">
        <v>-0.27422029999999997</v>
      </c>
      <c r="Z4904">
        <v>2.1900900000000001E-2</v>
      </c>
      <c r="AA4904">
        <v>0.96141750000000004</v>
      </c>
      <c r="AB4904">
        <v>16</v>
      </c>
      <c r="AC4904">
        <v>18.622999999999902</v>
      </c>
      <c r="AD4904">
        <v>-1.112926038149</v>
      </c>
      <c r="AE4904">
        <v>0.82630000000000303</v>
      </c>
      <c r="AF4904">
        <v>-5.1416036959682199</v>
      </c>
      <c r="AG4904">
        <v>-1.112926038149</v>
      </c>
      <c r="AH4904">
        <v>17.849335706105801</v>
      </c>
      <c r="AI4904">
        <v>93.428771706317406</v>
      </c>
      <c r="AJ4904">
        <v>106.069349820054</v>
      </c>
      <c r="AK4904">
        <v>18.608424922116502</v>
      </c>
      <c r="AL4904">
        <v>89.770433709813901</v>
      </c>
      <c r="AM4904">
        <v>101.293159426705</v>
      </c>
      <c r="AN4904">
        <v>1.00000002618443</v>
      </c>
    </row>
    <row r="4905" spans="1:40" x14ac:dyDescent="0.25">
      <c r="A4905" t="str">
        <f>"20190312150749568"</f>
        <v>20190312150749568</v>
      </c>
      <c r="B4905" t="str">
        <f>"1552374469565166"</f>
        <v>1552374469565166</v>
      </c>
      <c r="C4905" t="s">
        <v>40</v>
      </c>
      <c r="D4905">
        <v>4.6382810000000001</v>
      </c>
      <c r="E4905">
        <v>0.47002860000000002</v>
      </c>
      <c r="F4905" t="s">
        <v>67</v>
      </c>
      <c r="G4905">
        <v>-456.32549999999998</v>
      </c>
      <c r="H4905" s="1">
        <v>1.8015250000000001E-6</v>
      </c>
      <c r="I4905">
        <v>215.25239999999999</v>
      </c>
      <c r="J4905">
        <v>-475.09699999999998</v>
      </c>
      <c r="K4905">
        <v>1.112851</v>
      </c>
      <c r="L4905">
        <v>214.39670000000001</v>
      </c>
      <c r="M4905">
        <v>0.97375310000000004</v>
      </c>
      <c r="N4905">
        <v>0</v>
      </c>
      <c r="O4905">
        <v>-0.22736390000000001</v>
      </c>
      <c r="P4905">
        <v>0.99936360000000002</v>
      </c>
      <c r="Q4905">
        <v>-3.8827509999999998E-3</v>
      </c>
      <c r="R4905">
        <v>-3.5460709999999999E-2</v>
      </c>
      <c r="S4905">
        <v>3.0065</v>
      </c>
      <c r="T4905">
        <v>-0.17681129999999901</v>
      </c>
      <c r="U4905">
        <v>0.13142400000000001</v>
      </c>
      <c r="V4905">
        <v>-0.19273750000000001</v>
      </c>
      <c r="W4905">
        <v>5.2011409999999899E-3</v>
      </c>
      <c r="X4905">
        <v>0.98123660000000001</v>
      </c>
      <c r="Y4905">
        <v>-0.26883449999999998</v>
      </c>
      <c r="Z4905">
        <v>2.1176420000000001E-2</v>
      </c>
      <c r="AA4905">
        <v>0.96295359999999997</v>
      </c>
      <c r="AB4905">
        <v>16</v>
      </c>
      <c r="AC4905">
        <v>18.7715</v>
      </c>
      <c r="AD4905">
        <v>-1.112849198475</v>
      </c>
      <c r="AE4905">
        <v>0.85569999999998403</v>
      </c>
      <c r="AF4905">
        <v>-5.0836540775656696</v>
      </c>
      <c r="AG4905">
        <v>-1.112849198475</v>
      </c>
      <c r="AH4905">
        <v>18.022042039978501</v>
      </c>
      <c r="AI4905">
        <v>93.401098616403701</v>
      </c>
      <c r="AJ4905">
        <v>105.752687389409</v>
      </c>
      <c r="AK4905">
        <v>18.758357375038202</v>
      </c>
      <c r="AL4905">
        <v>89.701995237521899</v>
      </c>
      <c r="AM4905">
        <v>101.11273673541</v>
      </c>
      <c r="AN4905">
        <v>1.00000003047675</v>
      </c>
    </row>
    <row r="4906" spans="1:40" x14ac:dyDescent="0.25">
      <c r="A4906" t="str">
        <f>"20190312150749589"</f>
        <v>20190312150749589</v>
      </c>
      <c r="B4906" t="str">
        <f>"1552374469584686"</f>
        <v>1552374469584686</v>
      </c>
      <c r="C4906" t="s">
        <v>40</v>
      </c>
      <c r="D4906">
        <v>4.8005570000000004</v>
      </c>
      <c r="E4906">
        <v>0.47044520000000001</v>
      </c>
      <c r="F4906" t="s">
        <v>67</v>
      </c>
      <c r="G4906">
        <v>-456.02190000000002</v>
      </c>
      <c r="H4906" s="1">
        <v>1.6392760000000001E-6</v>
      </c>
      <c r="I4906">
        <v>215.26769999999999</v>
      </c>
      <c r="J4906">
        <v>-474.95510000000002</v>
      </c>
      <c r="K4906">
        <v>1.112789</v>
      </c>
      <c r="L4906">
        <v>214.37090000000001</v>
      </c>
      <c r="M4906">
        <v>0.97513090000000002</v>
      </c>
      <c r="N4906">
        <v>0</v>
      </c>
      <c r="O4906">
        <v>-0.22138070000000001</v>
      </c>
      <c r="P4906">
        <v>0.9994402</v>
      </c>
      <c r="Q4906">
        <v>-3.8854269999999999E-3</v>
      </c>
      <c r="R4906">
        <v>-3.3230860000000001E-2</v>
      </c>
      <c r="S4906">
        <v>3.0060730000000002</v>
      </c>
      <c r="T4906">
        <v>-0.175375</v>
      </c>
      <c r="U4906">
        <v>0.1372681</v>
      </c>
      <c r="V4906">
        <v>-0.1888997</v>
      </c>
      <c r="W4906">
        <v>5.2473950000000002E-3</v>
      </c>
      <c r="X4906">
        <v>0.98198240000000003</v>
      </c>
      <c r="Y4906">
        <v>-0.26482420000000001</v>
      </c>
      <c r="Z4906">
        <v>2.0548050000000002E-2</v>
      </c>
      <c r="AA4906">
        <v>0.96407779999999998</v>
      </c>
      <c r="AB4906">
        <v>16</v>
      </c>
      <c r="AC4906">
        <v>18.933199999999999</v>
      </c>
      <c r="AD4906">
        <v>-1.112787360724</v>
      </c>
      <c r="AE4906">
        <v>0.89679999999998405</v>
      </c>
      <c r="AF4906">
        <v>-5.0488201539892499</v>
      </c>
      <c r="AG4906">
        <v>-1.112787360724</v>
      </c>
      <c r="AH4906">
        <v>18.202084540256401</v>
      </c>
      <c r="AI4906">
        <v>93.371450644794294</v>
      </c>
      <c r="AJ4906">
        <v>105.502733975512</v>
      </c>
      <c r="AK4906">
        <v>18.9220707711433</v>
      </c>
      <c r="AL4906">
        <v>89.699345043167895</v>
      </c>
      <c r="AM4906">
        <v>100.88873029841599</v>
      </c>
      <c r="AN4906">
        <v>1.00000003286206</v>
      </c>
    </row>
    <row r="4907" spans="1:40" x14ac:dyDescent="0.25">
      <c r="A4907" t="str">
        <f>"20190312150749612"</f>
        <v>20190312150749612</v>
      </c>
      <c r="B4907" t="str">
        <f>"1552374469605182"</f>
        <v>1552374469605182</v>
      </c>
      <c r="C4907" t="s">
        <v>40</v>
      </c>
      <c r="D4907">
        <v>4.7603849999999897</v>
      </c>
      <c r="E4907">
        <v>0.47094560000000002</v>
      </c>
      <c r="F4907" t="s">
        <v>67</v>
      </c>
      <c r="G4907">
        <v>-455.89780000000002</v>
      </c>
      <c r="H4907" s="1">
        <v>1.573529E-6</v>
      </c>
      <c r="I4907">
        <v>215.26169999999999</v>
      </c>
      <c r="J4907">
        <v>-474.79899999999998</v>
      </c>
      <c r="K4907">
        <v>1.1127180000000001</v>
      </c>
      <c r="L4907">
        <v>214.34350000000001</v>
      </c>
      <c r="M4907">
        <v>0.97656829999999994</v>
      </c>
      <c r="N4907">
        <v>0</v>
      </c>
      <c r="O4907">
        <v>-0.21495130000000001</v>
      </c>
      <c r="P4907">
        <v>0.99953970000000003</v>
      </c>
      <c r="Q4907">
        <v>-5.4732340000000004E-3</v>
      </c>
      <c r="R4907">
        <v>-2.98456E-2</v>
      </c>
      <c r="S4907">
        <v>3.0056759999999998</v>
      </c>
      <c r="T4907">
        <v>-0.17550679999999999</v>
      </c>
      <c r="U4907">
        <v>0.14048769999999999</v>
      </c>
      <c r="V4907">
        <v>-0.18574270000000001</v>
      </c>
      <c r="W4907">
        <v>3.701981E-3</v>
      </c>
      <c r="X4907">
        <v>0.98259149999999995</v>
      </c>
      <c r="Y4907">
        <v>-0.2595229</v>
      </c>
      <c r="Z4907">
        <v>2.0042580000000001E-2</v>
      </c>
      <c r="AA4907">
        <v>0.96552899999999997</v>
      </c>
      <c r="AB4907">
        <v>16</v>
      </c>
      <c r="AC4907">
        <v>18.901199999999999</v>
      </c>
      <c r="AD4907">
        <v>-1.1127164264710001</v>
      </c>
      <c r="AE4907">
        <v>0.91819999999998403</v>
      </c>
      <c r="AF4907">
        <v>-4.94270647078738</v>
      </c>
      <c r="AG4907">
        <v>-1.1127164264710001</v>
      </c>
      <c r="AH4907">
        <v>18.199027817314199</v>
      </c>
      <c r="AI4907">
        <v>93.376771471261307</v>
      </c>
      <c r="AJ4907">
        <v>105.194546733069</v>
      </c>
      <c r="AK4907">
        <v>18.8910851619878</v>
      </c>
      <c r="AL4907">
        <v>89.787891640168297</v>
      </c>
      <c r="AM4907">
        <v>100.70451011222799</v>
      </c>
      <c r="AN4907">
        <v>1.0000000555694299</v>
      </c>
    </row>
    <row r="4908" spans="1:40" x14ac:dyDescent="0.25">
      <c r="A4908" t="str">
        <f>"20190312150749634"</f>
        <v>20190312150749634</v>
      </c>
      <c r="B4908" t="str">
        <f>"1552374469624702"</f>
        <v>1552374469624702</v>
      </c>
      <c r="C4908" t="s">
        <v>40</v>
      </c>
      <c r="D4908">
        <v>4.646115</v>
      </c>
      <c r="E4908">
        <v>0.47893160000000001</v>
      </c>
      <c r="F4908" t="s">
        <v>67</v>
      </c>
      <c r="G4908">
        <v>-456.14980000000003</v>
      </c>
      <c r="H4908" s="1">
        <v>1.7079199999999999E-6</v>
      </c>
      <c r="I4908">
        <v>215.25489999999999</v>
      </c>
      <c r="J4908">
        <v>-474.64839999999998</v>
      </c>
      <c r="K4908">
        <v>1.1126480000000001</v>
      </c>
      <c r="L4908">
        <v>214.31790000000001</v>
      </c>
      <c r="M4908">
        <v>0.97787820000000003</v>
      </c>
      <c r="N4908">
        <v>0</v>
      </c>
      <c r="O4908">
        <v>-0.20891199999999999</v>
      </c>
      <c r="P4908">
        <v>0.99955609999999995</v>
      </c>
      <c r="Q4908">
        <v>-6.7019200000000001E-3</v>
      </c>
      <c r="R4908">
        <v>-2.9026670000000001E-2</v>
      </c>
      <c r="S4908">
        <v>3.0048520000000001</v>
      </c>
      <c r="T4908">
        <v>-0.179287</v>
      </c>
      <c r="U4908">
        <v>0.1468506</v>
      </c>
      <c r="V4908">
        <v>-0.18046309999999999</v>
      </c>
      <c r="W4908">
        <v>2.5375490000000001E-3</v>
      </c>
      <c r="X4908">
        <v>0.98357850000000002</v>
      </c>
      <c r="Y4908">
        <v>-0.25558799999999998</v>
      </c>
      <c r="Z4908">
        <v>2.0007150000000001E-2</v>
      </c>
      <c r="AA4908">
        <v>0.96657870000000001</v>
      </c>
      <c r="AB4908">
        <v>16</v>
      </c>
      <c r="AC4908">
        <v>18.4985999999999</v>
      </c>
      <c r="AD4908">
        <v>-1.11264629207999</v>
      </c>
      <c r="AE4908">
        <v>0.93699999999998296</v>
      </c>
      <c r="AF4908">
        <v>-4.7639238704473899</v>
      </c>
      <c r="AG4908">
        <v>-1.11264629207999</v>
      </c>
      <c r="AH4908">
        <v>17.830271289656999</v>
      </c>
      <c r="AI4908">
        <v>93.450034754798594</v>
      </c>
      <c r="AJ4908">
        <v>104.958968787025</v>
      </c>
      <c r="AK4908">
        <v>18.489227314235301</v>
      </c>
      <c r="AL4908">
        <v>89.8546089985241</v>
      </c>
      <c r="AM4908">
        <v>100.396768885136</v>
      </c>
      <c r="AN4908">
        <v>1.0000000176393899</v>
      </c>
    </row>
    <row r="4909" spans="1:40" x14ac:dyDescent="0.25">
      <c r="A4909" t="str">
        <f>"20190312150749656"</f>
        <v>20190312150749656</v>
      </c>
      <c r="B4909" t="str">
        <f>"1552374469645198"</f>
        <v>1552374469645198</v>
      </c>
      <c r="C4909" t="s">
        <v>40</v>
      </c>
      <c r="D4909">
        <v>4.6602399999999999</v>
      </c>
      <c r="E4909">
        <v>0.4787884</v>
      </c>
      <c r="F4909" t="s">
        <v>67</v>
      </c>
      <c r="G4909">
        <v>-454.78059999999999</v>
      </c>
      <c r="H4909" s="1">
        <v>9.9550180000000001E-7</v>
      </c>
      <c r="I4909">
        <v>214.88419999999999</v>
      </c>
      <c r="J4909">
        <v>-474.4948</v>
      </c>
      <c r="K4909">
        <v>1.1125700000000001</v>
      </c>
      <c r="L4909">
        <v>214.29249999999999</v>
      </c>
      <c r="M4909">
        <v>0.97913779999999995</v>
      </c>
      <c r="N4909">
        <v>0</v>
      </c>
      <c r="O4909">
        <v>-0.20292650000000001</v>
      </c>
      <c r="P4909">
        <v>0.99959920000000002</v>
      </c>
      <c r="Q4909">
        <v>-6.3847560000000001E-3</v>
      </c>
      <c r="R4909">
        <v>-2.7582869999999999E-2</v>
      </c>
      <c r="S4909">
        <v>3.0026860000000002</v>
      </c>
      <c r="T4909">
        <v>-0.16815820000000001</v>
      </c>
      <c r="U4909">
        <v>8.5586549999999997E-2</v>
      </c>
      <c r="V4909">
        <v>-0.17586749999999901</v>
      </c>
      <c r="W4909">
        <v>2.9199719999999998E-3</v>
      </c>
      <c r="X4909">
        <v>0.98440950000000005</v>
      </c>
      <c r="Y4909">
        <v>-0.23007859999999999</v>
      </c>
      <c r="Z4909">
        <v>1.7738469999999999E-2</v>
      </c>
      <c r="AA4909">
        <v>0.97301040000000005</v>
      </c>
      <c r="AB4909">
        <v>16</v>
      </c>
      <c r="AC4909">
        <v>19.714200000000002</v>
      </c>
      <c r="AD4909">
        <v>-1.1125690044982</v>
      </c>
      <c r="AE4909">
        <v>0.591700000000002</v>
      </c>
      <c r="AF4909">
        <v>-4.5656134387430098</v>
      </c>
      <c r="AG4909">
        <v>-1.1125690044982</v>
      </c>
      <c r="AH4909">
        <v>19.123051827449402</v>
      </c>
      <c r="AI4909">
        <v>93.238856522143607</v>
      </c>
      <c r="AJ4909">
        <v>103.427951950243</v>
      </c>
      <c r="AK4909">
        <v>19.6919716396586</v>
      </c>
      <c r="AL4909">
        <v>89.832697687639794</v>
      </c>
      <c r="AM4909">
        <v>100.129188994389</v>
      </c>
      <c r="AN4909">
        <v>0.99999998374149002</v>
      </c>
    </row>
    <row r="4910" spans="1:40" x14ac:dyDescent="0.25">
      <c r="A4910" t="str">
        <f>"20190312150749678"</f>
        <v>20190312150749678</v>
      </c>
      <c r="B4910" t="str">
        <f>"1552374469674478"</f>
        <v>1552374469674478</v>
      </c>
      <c r="C4910" t="s">
        <v>40</v>
      </c>
      <c r="D4910">
        <v>4.6607710000000004</v>
      </c>
      <c r="E4910">
        <v>0.47857490000000003</v>
      </c>
      <c r="F4910" t="s">
        <v>67</v>
      </c>
      <c r="G4910">
        <v>-456.44540000000001</v>
      </c>
      <c r="H4910" s="1">
        <v>1.8831480000000001E-6</v>
      </c>
      <c r="I4910">
        <v>214.84440000000001</v>
      </c>
      <c r="J4910">
        <v>-474.34379999999999</v>
      </c>
      <c r="K4910">
        <v>1.1124799999999999</v>
      </c>
      <c r="L4910">
        <v>214.26830000000001</v>
      </c>
      <c r="M4910">
        <v>0.98030340000000005</v>
      </c>
      <c r="N4910">
        <v>0</v>
      </c>
      <c r="O4910">
        <v>-0.19721900000000001</v>
      </c>
      <c r="P4910">
        <v>0.99964980000000003</v>
      </c>
      <c r="Q4910">
        <v>-6.1662430000000001E-3</v>
      </c>
      <c r="R4910">
        <v>-2.5735830000000001E-2</v>
      </c>
      <c r="S4910">
        <v>3.0025330000000001</v>
      </c>
      <c r="T4910">
        <v>-0.18507680000000001</v>
      </c>
      <c r="U4910">
        <v>9.1812130000000006E-2</v>
      </c>
      <c r="V4910">
        <v>-0.1719511</v>
      </c>
      <c r="W4910">
        <v>3.202735E-3</v>
      </c>
      <c r="X4910">
        <v>0.98510030000000004</v>
      </c>
      <c r="Y4910">
        <v>-0.22630069999999999</v>
      </c>
      <c r="Z4910">
        <v>1.9058200000000001E-2</v>
      </c>
      <c r="AA4910">
        <v>0.97387109999999999</v>
      </c>
      <c r="AB4910">
        <v>16</v>
      </c>
      <c r="AC4910">
        <v>17.898399999999899</v>
      </c>
      <c r="AD4910">
        <v>-1.1124781168519999</v>
      </c>
      <c r="AE4910">
        <v>0.57609999999999595</v>
      </c>
      <c r="AF4910">
        <v>-4.0791398886313397</v>
      </c>
      <c r="AG4910">
        <v>-1.1124781168519999</v>
      </c>
      <c r="AH4910">
        <v>17.3661818433084</v>
      </c>
      <c r="AI4910">
        <v>93.568500977398998</v>
      </c>
      <c r="AJ4910">
        <v>103.21857033347101</v>
      </c>
      <c r="AK4910">
        <v>17.873479280944501</v>
      </c>
      <c r="AL4910">
        <v>89.816496491496906</v>
      </c>
      <c r="AM4910">
        <v>99.901330643328393</v>
      </c>
      <c r="AN4910">
        <v>1.0000000196813901</v>
      </c>
    </row>
    <row r="4911" spans="1:40" x14ac:dyDescent="0.25">
      <c r="A4911" t="str">
        <f>"20190312150749702"</f>
        <v>20190312150749702</v>
      </c>
      <c r="B4911" t="str">
        <f>"1552374469694974"</f>
        <v>1552374469694974</v>
      </c>
      <c r="C4911" t="s">
        <v>40</v>
      </c>
      <c r="D4911">
        <v>4.6468619999999996</v>
      </c>
      <c r="E4911">
        <v>0.4789447</v>
      </c>
      <c r="F4911" t="s">
        <v>67</v>
      </c>
      <c r="G4911">
        <v>-456.01740000000001</v>
      </c>
      <c r="H4911" s="1">
        <v>1.654284E-6</v>
      </c>
      <c r="I4911">
        <v>214.87020000000001</v>
      </c>
      <c r="J4911">
        <v>-474.17529999999999</v>
      </c>
      <c r="K4911">
        <v>1.1123780000000001</v>
      </c>
      <c r="L4911">
        <v>214.24199999999999</v>
      </c>
      <c r="M4911">
        <v>0.98152209999999995</v>
      </c>
      <c r="N4911">
        <v>0</v>
      </c>
      <c r="O4911">
        <v>-0.19106219999999999</v>
      </c>
      <c r="P4911">
        <v>0.9996775</v>
      </c>
      <c r="Q4911">
        <v>-6.0037839999999999E-3</v>
      </c>
      <c r="R4911">
        <v>-2.4684060000000001E-2</v>
      </c>
      <c r="S4911">
        <v>3.0024410000000001</v>
      </c>
      <c r="T4911">
        <v>-0.18225939999999999</v>
      </c>
      <c r="U4911">
        <v>9.8617549999999998E-2</v>
      </c>
      <c r="V4911">
        <v>-0.166802799999999</v>
      </c>
      <c r="W4911">
        <v>3.4440130000000001E-3</v>
      </c>
      <c r="X4911">
        <v>0.98598430000000004</v>
      </c>
      <c r="Y4911">
        <v>-0.22243470000000001</v>
      </c>
      <c r="Z4911">
        <v>1.8283520000000001E-2</v>
      </c>
      <c r="AA4911">
        <v>0.97477610000000003</v>
      </c>
      <c r="AB4911">
        <v>16</v>
      </c>
      <c r="AC4911">
        <v>18.157899999999898</v>
      </c>
      <c r="AD4911">
        <v>-1.1123763457160001</v>
      </c>
      <c r="AE4911">
        <v>0.62819999999999199</v>
      </c>
      <c r="AF4911">
        <v>-4.0708450402081802</v>
      </c>
      <c r="AG4911">
        <v>-1.1123763457160001</v>
      </c>
      <c r="AH4911">
        <v>17.6372126946195</v>
      </c>
      <c r="AI4911">
        <v>93.516641272043699</v>
      </c>
      <c r="AJ4911">
        <v>102.996834502062</v>
      </c>
      <c r="AK4911">
        <v>18.1350608521489</v>
      </c>
      <c r="AL4911">
        <v>89.802672207834505</v>
      </c>
      <c r="AM4911">
        <v>99.602035947594402</v>
      </c>
      <c r="AN4911">
        <v>1.0000000375799301</v>
      </c>
    </row>
    <row r="4912" spans="1:40" x14ac:dyDescent="0.25">
      <c r="A4912" t="str">
        <f>"20190312150749726"</f>
        <v>20190312150749726</v>
      </c>
      <c r="B4912" t="str">
        <f>"1552374469714494"</f>
        <v>1552374469714494</v>
      </c>
      <c r="C4912" t="s">
        <v>40</v>
      </c>
      <c r="D4912">
        <v>4.6572469999999999</v>
      </c>
      <c r="E4912">
        <v>0.47928369999999998</v>
      </c>
      <c r="F4912" t="s">
        <v>67</v>
      </c>
      <c r="G4912">
        <v>-455.90269999999998</v>
      </c>
      <c r="H4912" s="1">
        <v>1.5942970000000001E-6</v>
      </c>
      <c r="I4912">
        <v>214.8458</v>
      </c>
      <c r="J4912">
        <v>-474.02319999999997</v>
      </c>
      <c r="K4912">
        <v>1.112276</v>
      </c>
      <c r="L4912">
        <v>214.21889999999999</v>
      </c>
      <c r="M4912">
        <v>0.98254600000000003</v>
      </c>
      <c r="N4912">
        <v>0</v>
      </c>
      <c r="O4912">
        <v>-0.18572530000000001</v>
      </c>
      <c r="P4912">
        <v>0.99965850000000001</v>
      </c>
      <c r="Q4912">
        <v>-5.7436529999999996E-3</v>
      </c>
      <c r="R4912">
        <v>-2.5501010000000001E-2</v>
      </c>
      <c r="S4912">
        <v>3.002319</v>
      </c>
      <c r="T4912">
        <v>-0.18277099999999999</v>
      </c>
      <c r="U4912">
        <v>9.9212649999999999E-2</v>
      </c>
      <c r="V4912">
        <v>-0.1606361</v>
      </c>
      <c r="W4912">
        <v>3.7849490000000001E-3</v>
      </c>
      <c r="X4912">
        <v>0.98700639999999995</v>
      </c>
      <c r="Y4912">
        <v>-0.21734319999999999</v>
      </c>
      <c r="Z4912">
        <v>1.786012E-2</v>
      </c>
      <c r="AA4912">
        <v>0.97593180000000002</v>
      </c>
      <c r="AB4912">
        <v>16</v>
      </c>
      <c r="AC4912">
        <v>18.1205</v>
      </c>
      <c r="AD4912">
        <v>-1.1122744057030001</v>
      </c>
      <c r="AE4912">
        <v>0.62690000000000601</v>
      </c>
      <c r="AF4912">
        <v>-3.96668367151059</v>
      </c>
      <c r="AG4912">
        <v>-1.1122744057030001</v>
      </c>
      <c r="AH4912">
        <v>17.622444020136601</v>
      </c>
      <c r="AI4912">
        <v>93.523610952136806</v>
      </c>
      <c r="AJ4912">
        <v>102.685439296091</v>
      </c>
      <c r="AK4912">
        <v>18.097576272701801</v>
      </c>
      <c r="AL4912">
        <v>89.783137869739903</v>
      </c>
      <c r="AM4912">
        <v>99.243886842050301</v>
      </c>
      <c r="AN4912">
        <v>0.99999995805154995</v>
      </c>
    </row>
    <row r="4913" spans="1:40" x14ac:dyDescent="0.25">
      <c r="A4913" t="str">
        <f>"20190312150749746"</f>
        <v>20190312150749746</v>
      </c>
      <c r="B4913" t="str">
        <f>"1552374469735000"</f>
        <v>1552374469735000</v>
      </c>
      <c r="C4913" t="s">
        <v>40</v>
      </c>
      <c r="D4913">
        <v>4.6717079999999997</v>
      </c>
      <c r="E4913">
        <v>0.4795488</v>
      </c>
      <c r="F4913" t="s">
        <v>67</v>
      </c>
      <c r="G4913">
        <v>-455.24939999999998</v>
      </c>
      <c r="H4913" s="1">
        <v>1.2483110000000001E-6</v>
      </c>
      <c r="I4913">
        <v>214.80760000000001</v>
      </c>
      <c r="J4913">
        <v>-473.87549999999999</v>
      </c>
      <c r="K4913">
        <v>1.1121730000000001</v>
      </c>
      <c r="L4913">
        <v>214.19710000000001</v>
      </c>
      <c r="M4913">
        <v>0.98347070000000003</v>
      </c>
      <c r="N4913">
        <v>0</v>
      </c>
      <c r="O4913">
        <v>-0.18076349999999999</v>
      </c>
      <c r="P4913">
        <v>0.99966509999999997</v>
      </c>
      <c r="Q4913">
        <v>-4.4516790000000001E-3</v>
      </c>
      <c r="R4913">
        <v>-2.549239E-2</v>
      </c>
      <c r="S4913">
        <v>3.0024410000000001</v>
      </c>
      <c r="T4913">
        <v>-0.17788309999999999</v>
      </c>
      <c r="U4913">
        <v>9.4146729999999998E-2</v>
      </c>
      <c r="V4913">
        <v>-0.1556669</v>
      </c>
      <c r="W4913">
        <v>5.1491669999999996E-3</v>
      </c>
      <c r="X4913">
        <v>0.98779620000000001</v>
      </c>
      <c r="Y4913">
        <v>-0.21082519999999999</v>
      </c>
      <c r="Z4913">
        <v>1.6899540000000001E-2</v>
      </c>
      <c r="AA4913">
        <v>0.97737770000000002</v>
      </c>
      <c r="AB4913">
        <v>16</v>
      </c>
      <c r="AC4913">
        <v>18.626100000000001</v>
      </c>
      <c r="AD4913">
        <v>-1.112171751689</v>
      </c>
      <c r="AE4913">
        <v>0.61050000000000104</v>
      </c>
      <c r="AF4913">
        <v>-3.9534657028751701</v>
      </c>
      <c r="AG4913">
        <v>-1.112171751689</v>
      </c>
      <c r="AH4913">
        <v>18.144247624514499</v>
      </c>
      <c r="AI4913">
        <v>93.427401203834293</v>
      </c>
      <c r="AJ4913">
        <v>102.292101648044</v>
      </c>
      <c r="AK4913">
        <v>18.6032400115885</v>
      </c>
      <c r="AL4913">
        <v>89.704973163648503</v>
      </c>
      <c r="AM4913">
        <v>98.955595867754795</v>
      </c>
      <c r="AN4913">
        <v>1.00000001520542</v>
      </c>
    </row>
    <row r="4914" spans="1:40" x14ac:dyDescent="0.25">
      <c r="A4914" t="str">
        <f>"20190312150749768"</f>
        <v>20190312150749768</v>
      </c>
      <c r="B4914" t="str">
        <f>"1552374469765246"</f>
        <v>1552374469765246</v>
      </c>
      <c r="C4914" t="s">
        <v>40</v>
      </c>
      <c r="D4914">
        <v>4.7079570000000004</v>
      </c>
      <c r="E4914">
        <v>0.47955609999999999</v>
      </c>
      <c r="F4914" t="s">
        <v>67</v>
      </c>
      <c r="G4914">
        <v>-454.78989999999999</v>
      </c>
      <c r="H4914" s="1">
        <v>1.0049459999999999E-6</v>
      </c>
      <c r="I4914">
        <v>214.78200000000001</v>
      </c>
      <c r="J4914">
        <v>-473.72390000000001</v>
      </c>
      <c r="K4914">
        <v>1.1120760000000001</v>
      </c>
      <c r="L4914">
        <v>214.17529999999999</v>
      </c>
      <c r="M4914">
        <v>0.98436009999999996</v>
      </c>
      <c r="N4914">
        <v>0</v>
      </c>
      <c r="O4914">
        <v>-0.1758566</v>
      </c>
      <c r="P4914">
        <v>0.99968650000000003</v>
      </c>
      <c r="Q4914">
        <v>-2.8408930000000002E-3</v>
      </c>
      <c r="R4914">
        <v>-2.488346E-2</v>
      </c>
      <c r="S4914">
        <v>3.0025629999999999</v>
      </c>
      <c r="T4914">
        <v>-0.1749685</v>
      </c>
      <c r="U4914">
        <v>9.2010499999999995E-2</v>
      </c>
      <c r="V4914">
        <v>-0.1513485</v>
      </c>
      <c r="W4914">
        <v>6.8247430000000003E-3</v>
      </c>
      <c r="X4914">
        <v>0.98845689999999997</v>
      </c>
      <c r="Y4914">
        <v>-0.20529149999999999</v>
      </c>
      <c r="Z4914">
        <v>1.617886E-2</v>
      </c>
      <c r="AA4914">
        <v>0.97856710000000002</v>
      </c>
      <c r="AB4914">
        <v>16</v>
      </c>
      <c r="AC4914">
        <v>18.934000000000001</v>
      </c>
      <c r="AD4914">
        <v>-1.1120749950540001</v>
      </c>
      <c r="AE4914">
        <v>0.606700000000017</v>
      </c>
      <c r="AF4914">
        <v>-3.91360845358134</v>
      </c>
      <c r="AG4914">
        <v>-1.1120749950540001</v>
      </c>
      <c r="AH4914">
        <v>18.4685520670293</v>
      </c>
      <c r="AI4914">
        <v>93.371195990322306</v>
      </c>
      <c r="AJ4914">
        <v>101.964366142651</v>
      </c>
      <c r="AK4914">
        <v>18.9113843325955</v>
      </c>
      <c r="AL4914">
        <v>89.608967992070404</v>
      </c>
      <c r="AM4914">
        <v>98.705286550030195</v>
      </c>
      <c r="AN4914">
        <v>0.99999999436343701</v>
      </c>
    </row>
    <row r="4915" spans="1:40" x14ac:dyDescent="0.25">
      <c r="A4915" t="str">
        <f>"20190312150749790"</f>
        <v>20190312150749790</v>
      </c>
      <c r="B4915" t="str">
        <f>"1552374469784766"</f>
        <v>1552374469784766</v>
      </c>
      <c r="C4915" t="s">
        <v>40</v>
      </c>
      <c r="D4915">
        <v>4.7252070000000002</v>
      </c>
      <c r="E4915">
        <v>0.47979889999999997</v>
      </c>
      <c r="F4915" t="s">
        <v>67</v>
      </c>
      <c r="G4915">
        <v>-453.9477</v>
      </c>
      <c r="H4915" s="1">
        <v>5.5630159999999995E-7</v>
      </c>
      <c r="I4915">
        <v>214.79239999999999</v>
      </c>
      <c r="J4915">
        <v>-473.56920000000002</v>
      </c>
      <c r="K4915">
        <v>1.1120000000000001</v>
      </c>
      <c r="L4915">
        <v>214.15350000000001</v>
      </c>
      <c r="M4915">
        <v>0.98520949999999996</v>
      </c>
      <c r="N4915">
        <v>0</v>
      </c>
      <c r="O4915">
        <v>-0.171033399999999</v>
      </c>
      <c r="P4915">
        <v>0.99967430000000002</v>
      </c>
      <c r="Q4915">
        <v>-2.258351E-3</v>
      </c>
      <c r="R4915">
        <v>-2.5424289999999999E-2</v>
      </c>
      <c r="S4915">
        <v>3.0028380000000001</v>
      </c>
      <c r="T4915">
        <v>-0.1688586</v>
      </c>
      <c r="U4915">
        <v>9.3704220000000005E-2</v>
      </c>
      <c r="V4915">
        <v>-0.14597189999999999</v>
      </c>
      <c r="W4915">
        <v>7.4737019999999996E-3</v>
      </c>
      <c r="X4915">
        <v>0.98926049999999999</v>
      </c>
      <c r="Y4915">
        <v>-0.2011038</v>
      </c>
      <c r="Z4915">
        <v>1.5227549999999999E-2</v>
      </c>
      <c r="AA4915">
        <v>0.97945150000000003</v>
      </c>
      <c r="AB4915">
        <v>16</v>
      </c>
      <c r="AC4915">
        <v>19.621500000000001</v>
      </c>
      <c r="AD4915">
        <v>-1.1119994436984</v>
      </c>
      <c r="AE4915">
        <v>0.63889999999997804</v>
      </c>
      <c r="AF4915">
        <v>-3.9728546675120899</v>
      </c>
      <c r="AG4915">
        <v>-1.1119994436984</v>
      </c>
      <c r="AH4915">
        <v>19.161593015109599</v>
      </c>
      <c r="AI4915">
        <v>93.252289885943398</v>
      </c>
      <c r="AJ4915">
        <v>101.71341634393499</v>
      </c>
      <c r="AK4915">
        <v>19.600682739349999</v>
      </c>
      <c r="AL4915">
        <v>89.5717844291555</v>
      </c>
      <c r="AM4915">
        <v>98.393799975563695</v>
      </c>
      <c r="AN4915">
        <v>0.99999999433572195</v>
      </c>
    </row>
    <row r="4916" spans="1:40" x14ac:dyDescent="0.25">
      <c r="A4916" t="str">
        <f>"20190312150749813"</f>
        <v>20190312150749813</v>
      </c>
      <c r="B4916" t="str">
        <f>"1552374469805263"</f>
        <v>1552374469805263</v>
      </c>
      <c r="C4916" t="s">
        <v>40</v>
      </c>
      <c r="D4916">
        <v>4.9931429999999999</v>
      </c>
      <c r="E4916">
        <v>0.480296</v>
      </c>
      <c r="F4916" t="s">
        <v>67</v>
      </c>
      <c r="G4916">
        <v>-453.73410000000001</v>
      </c>
      <c r="H4916" s="1">
        <v>4.446121E-7</v>
      </c>
      <c r="I4916">
        <v>214.74719999999999</v>
      </c>
      <c r="J4916">
        <v>-473.41140000000001</v>
      </c>
      <c r="K4916">
        <v>1.1119300000000001</v>
      </c>
      <c r="L4916">
        <v>214.1319</v>
      </c>
      <c r="M4916">
        <v>0.98601479999999997</v>
      </c>
      <c r="N4916">
        <v>0</v>
      </c>
      <c r="O4916">
        <v>-0.166327</v>
      </c>
      <c r="P4916">
        <v>0.99963440000000003</v>
      </c>
      <c r="Q4916">
        <v>-2.7112120000000002E-3</v>
      </c>
      <c r="R4916">
        <v>-2.6905889999999998E-2</v>
      </c>
      <c r="S4916">
        <v>3.0028990000000002</v>
      </c>
      <c r="T4916">
        <v>-0.16834939999999901</v>
      </c>
      <c r="U4916">
        <v>8.9874270000000006E-2</v>
      </c>
      <c r="V4916">
        <v>-0.13977590000000001</v>
      </c>
      <c r="W4916">
        <v>7.0884279999999999E-3</v>
      </c>
      <c r="X4916">
        <v>0.99015779999999998</v>
      </c>
      <c r="Y4916">
        <v>-0.1951946</v>
      </c>
      <c r="Z4916">
        <v>1.47549E-2</v>
      </c>
      <c r="AA4916">
        <v>0.98065349999999996</v>
      </c>
      <c r="AB4916">
        <v>16</v>
      </c>
      <c r="AC4916">
        <v>19.677299999999999</v>
      </c>
      <c r="AD4916">
        <v>-1.1119295553878901</v>
      </c>
      <c r="AE4916">
        <v>0.61529999999998997</v>
      </c>
      <c r="AF4916">
        <v>-3.8674374903584798</v>
      </c>
      <c r="AG4916">
        <v>-1.1119295553878901</v>
      </c>
      <c r="AH4916">
        <v>19.239455925089299</v>
      </c>
      <c r="AI4916">
        <v>93.242957721546603</v>
      </c>
      <c r="AJ4916">
        <v>101.365892280696</v>
      </c>
      <c r="AK4916">
        <v>19.655791115379401</v>
      </c>
      <c r="AL4916">
        <v>89.5938595944654</v>
      </c>
      <c r="AM4916">
        <v>98.035081890651995</v>
      </c>
      <c r="AN4916">
        <v>1.0000000084665801</v>
      </c>
    </row>
    <row r="4917" spans="1:40" x14ac:dyDescent="0.25">
      <c r="A4917" t="str">
        <f>"20190312150749835"</f>
        <v>20190312150749835</v>
      </c>
      <c r="B4917" t="str">
        <f>"1552374469824782"</f>
        <v>1552374469824782</v>
      </c>
      <c r="C4917" t="s">
        <v>40</v>
      </c>
      <c r="D4917">
        <v>4.7085869999999996</v>
      </c>
      <c r="E4917">
        <v>0.48071120000000001</v>
      </c>
      <c r="F4917" t="s">
        <v>67</v>
      </c>
      <c r="G4917">
        <v>-453.80110000000002</v>
      </c>
      <c r="H4917" s="1">
        <v>4.8386620000000004E-7</v>
      </c>
      <c r="I4917">
        <v>214.66489999999999</v>
      </c>
      <c r="J4917">
        <v>-473.25599999999997</v>
      </c>
      <c r="K4917">
        <v>1.111847</v>
      </c>
      <c r="L4917">
        <v>214.11109999999999</v>
      </c>
      <c r="M4917">
        <v>0.9867494</v>
      </c>
      <c r="N4917">
        <v>0</v>
      </c>
      <c r="O4917">
        <v>-0.16191220000000001</v>
      </c>
      <c r="P4917">
        <v>0.99959120000000001</v>
      </c>
      <c r="Q4917">
        <v>-2.9123259999999998E-3</v>
      </c>
      <c r="R4917">
        <v>-2.8440980000000001E-2</v>
      </c>
      <c r="S4917">
        <v>3.002869</v>
      </c>
      <c r="T4917">
        <v>-0.17026720000000001</v>
      </c>
      <c r="U4917">
        <v>8.1619259999999999E-2</v>
      </c>
      <c r="V4917">
        <v>-0.1338183</v>
      </c>
      <c r="W4917">
        <v>6.9506239999999999E-3</v>
      </c>
      <c r="X4917">
        <v>0.99098149999999996</v>
      </c>
      <c r="Y4917">
        <v>-0.18811249999999999</v>
      </c>
      <c r="Z4917">
        <v>1.4474549999999999E-2</v>
      </c>
      <c r="AA4917">
        <v>0.98204080000000005</v>
      </c>
      <c r="AB4917">
        <v>16</v>
      </c>
      <c r="AC4917">
        <v>19.454899999999899</v>
      </c>
      <c r="AD4917">
        <v>-1.1118465161338</v>
      </c>
      <c r="AE4917">
        <v>0.55379999999999496</v>
      </c>
      <c r="AF4917">
        <v>-3.68462623685358</v>
      </c>
      <c r="AG4917">
        <v>-1.1118465161338</v>
      </c>
      <c r="AH4917">
        <v>19.046338311685901</v>
      </c>
      <c r="AI4917">
        <v>93.280218218581396</v>
      </c>
      <c r="AJ4917">
        <v>100.948953956894</v>
      </c>
      <c r="AK4917">
        <v>19.431306602077498</v>
      </c>
      <c r="AL4917">
        <v>89.601755369564799</v>
      </c>
      <c r="AM4917">
        <v>97.690480426187605</v>
      </c>
      <c r="AN4917">
        <v>0.99999999096556402</v>
      </c>
    </row>
    <row r="4918" spans="1:40" x14ac:dyDescent="0.25">
      <c r="A4918" t="str">
        <f>"20190312150749857"</f>
        <v>20190312150749857</v>
      </c>
      <c r="B4918" t="str">
        <f>"1552374469855038"</f>
        <v>1552374469855038</v>
      </c>
      <c r="C4918" t="s">
        <v>40</v>
      </c>
      <c r="D4918">
        <v>4.7691860000000004</v>
      </c>
      <c r="E4918">
        <v>0.48068230000000001</v>
      </c>
      <c r="F4918" t="s">
        <v>67</v>
      </c>
      <c r="G4918">
        <v>-453.80540000000002</v>
      </c>
      <c r="H4918" s="1">
        <v>4.8949519999999999E-7</v>
      </c>
      <c r="I4918">
        <v>214.58789999999999</v>
      </c>
      <c r="J4918">
        <v>-473.10129999999998</v>
      </c>
      <c r="K4918">
        <v>1.111748</v>
      </c>
      <c r="L4918">
        <v>214.0909</v>
      </c>
      <c r="M4918">
        <v>0.98742379999999996</v>
      </c>
      <c r="N4918">
        <v>0</v>
      </c>
      <c r="O4918">
        <v>-0.157746</v>
      </c>
      <c r="P4918">
        <v>0.99955369999999999</v>
      </c>
      <c r="Q4918">
        <v>-1.7801500000000001E-3</v>
      </c>
      <c r="R4918">
        <v>-2.9822689999999999E-2</v>
      </c>
      <c r="S4918">
        <v>3.0028079999999999</v>
      </c>
      <c r="T4918">
        <v>-0.17164839999999901</v>
      </c>
      <c r="U4918">
        <v>7.3608399999999893E-2</v>
      </c>
      <c r="V4918">
        <v>-0.12826660000000001</v>
      </c>
      <c r="W4918">
        <v>8.1455450000000006E-3</v>
      </c>
      <c r="X4918">
        <v>0.99170630000000004</v>
      </c>
      <c r="Y4918">
        <v>-0.18135419999999999</v>
      </c>
      <c r="Z4918">
        <v>1.416327E-2</v>
      </c>
      <c r="AA4918">
        <v>0.98331579999999996</v>
      </c>
      <c r="AB4918">
        <v>16</v>
      </c>
      <c r="AC4918">
        <v>19.2958999999999</v>
      </c>
      <c r="AD4918">
        <v>-1.1117475105048</v>
      </c>
      <c r="AE4918">
        <v>0.49699999999998501</v>
      </c>
      <c r="AF4918">
        <v>-3.5231084017863998</v>
      </c>
      <c r="AG4918">
        <v>-1.1117475105048</v>
      </c>
      <c r="AH4918">
        <v>18.913137085240301</v>
      </c>
      <c r="AI4918">
        <v>93.307313381283805</v>
      </c>
      <c r="AJ4918">
        <v>100.552023420029</v>
      </c>
      <c r="AK4918">
        <v>19.270574193389798</v>
      </c>
      <c r="AL4918">
        <v>89.533289501613297</v>
      </c>
      <c r="AM4918">
        <v>97.369682867296305</v>
      </c>
      <c r="AN4918">
        <v>1.00000002801929</v>
      </c>
    </row>
    <row r="4919" spans="1:40" x14ac:dyDescent="0.25">
      <c r="A4919" t="str">
        <f>"20190312150749880"</f>
        <v>20190312150749880</v>
      </c>
      <c r="B4919" t="str">
        <f>"1552374469874558"</f>
        <v>1552374469874558</v>
      </c>
      <c r="C4919" t="s">
        <v>40</v>
      </c>
      <c r="D4919">
        <v>4.729368</v>
      </c>
      <c r="E4919">
        <v>0.48275230000000002</v>
      </c>
      <c r="F4919" t="s">
        <v>67</v>
      </c>
      <c r="G4919">
        <v>-454.03809999999999</v>
      </c>
      <c r="H4919" s="1">
        <v>6.156768E-7</v>
      </c>
      <c r="I4919">
        <v>214.5343</v>
      </c>
      <c r="J4919">
        <v>-472.94529999999997</v>
      </c>
      <c r="K4919">
        <v>1.1116280000000001</v>
      </c>
      <c r="L4919">
        <v>214.07079999999999</v>
      </c>
      <c r="M4919">
        <v>0.98804910000000001</v>
      </c>
      <c r="N4919">
        <v>0</v>
      </c>
      <c r="O4919">
        <v>-0.15378139999999901</v>
      </c>
      <c r="P4919">
        <v>0.99947359999999996</v>
      </c>
      <c r="Q4919">
        <v>-1.4889530000000001E-3</v>
      </c>
      <c r="R4919">
        <v>-3.2410899999999999E-2</v>
      </c>
      <c r="S4919">
        <v>3.003082</v>
      </c>
      <c r="T4919">
        <v>-0.1751374</v>
      </c>
      <c r="U4919">
        <v>6.9854739999999999E-2</v>
      </c>
      <c r="V4919">
        <v>-0.1217145</v>
      </c>
      <c r="W4919">
        <v>8.5055440000000003E-3</v>
      </c>
      <c r="X4919">
        <v>0.99252870000000004</v>
      </c>
      <c r="Y4919">
        <v>-0.17616709999999999</v>
      </c>
      <c r="Z4919">
        <v>1.4069170000000001E-2</v>
      </c>
      <c r="AA4919">
        <v>0.98425969999999996</v>
      </c>
      <c r="AB4919">
        <v>16</v>
      </c>
      <c r="AC4919">
        <v>18.9071999999999</v>
      </c>
      <c r="AD4919">
        <v>-1.1116273843232001</v>
      </c>
      <c r="AE4919">
        <v>0.46350000000001002</v>
      </c>
      <c r="AF4919">
        <v>-3.3541346598186101</v>
      </c>
      <c r="AG4919">
        <v>-1.1116273843232001</v>
      </c>
      <c r="AH4919">
        <v>18.546917318493801</v>
      </c>
      <c r="AI4919">
        <v>93.375352430991498</v>
      </c>
      <c r="AJ4919">
        <v>100.250914364661</v>
      </c>
      <c r="AK4919">
        <v>18.880521093889801</v>
      </c>
      <c r="AL4919">
        <v>89.512662346330202</v>
      </c>
      <c r="AM4919">
        <v>96.991315799579795</v>
      </c>
      <c r="AN4919">
        <v>0.99999999205633705</v>
      </c>
    </row>
    <row r="4920" spans="1:40" x14ac:dyDescent="0.25">
      <c r="A4920" t="str">
        <f>"20190312150749903"</f>
        <v>20190312150749903</v>
      </c>
      <c r="B4920" t="str">
        <f>"1552374469895054"</f>
        <v>1552374469895054</v>
      </c>
      <c r="C4920" t="s">
        <v>40</v>
      </c>
      <c r="D4920">
        <v>4.7727389999999996</v>
      </c>
      <c r="E4920">
        <v>0.49045709999999998</v>
      </c>
      <c r="F4920" t="s">
        <v>67</v>
      </c>
      <c r="G4920">
        <v>-459.61720000000003</v>
      </c>
      <c r="H4920" s="1">
        <v>3.5957429999999999E-6</v>
      </c>
      <c r="I4920">
        <v>214.27940000000001</v>
      </c>
      <c r="J4920">
        <v>-472.77699999999999</v>
      </c>
      <c r="K4920">
        <v>1.111475</v>
      </c>
      <c r="L4920">
        <v>214.04949999999999</v>
      </c>
      <c r="M4920">
        <v>0.98866220000000005</v>
      </c>
      <c r="N4920">
        <v>0</v>
      </c>
      <c r="O4920">
        <v>-0.14978910000000001</v>
      </c>
      <c r="P4920">
        <v>0.99935269999999998</v>
      </c>
      <c r="Q4920">
        <v>-2.3366189999999998E-3</v>
      </c>
      <c r="R4920">
        <v>-3.5899880000000002E-2</v>
      </c>
      <c r="S4920">
        <v>3.0027159999999999</v>
      </c>
      <c r="T4920">
        <v>-0.25044100000000002</v>
      </c>
      <c r="U4920">
        <v>4.6981809999999999E-2</v>
      </c>
      <c r="V4920">
        <v>-0.11423030000000001</v>
      </c>
      <c r="W4920">
        <v>7.733569E-3</v>
      </c>
      <c r="X4920">
        <v>0.99342419999999998</v>
      </c>
      <c r="Y4920">
        <v>-0.16415940000000001</v>
      </c>
      <c r="Z4920">
        <v>1.9273169999999999E-2</v>
      </c>
      <c r="AA4920">
        <v>0.9862455</v>
      </c>
      <c r="AB4920">
        <v>16</v>
      </c>
      <c r="AC4920">
        <v>13.159799999999899</v>
      </c>
      <c r="AD4920">
        <v>-1.111471404257</v>
      </c>
      <c r="AE4920">
        <v>0.22990000000001401</v>
      </c>
      <c r="AF4920">
        <v>-2.18304146432116</v>
      </c>
      <c r="AG4920">
        <v>-1.111471404257</v>
      </c>
      <c r="AH4920">
        <v>12.8849898227349</v>
      </c>
      <c r="AI4920">
        <v>94.861245819855299</v>
      </c>
      <c r="AJ4920">
        <v>99.616031493542394</v>
      </c>
      <c r="AK4920">
        <v>13.115792063364299</v>
      </c>
      <c r="AL4920">
        <v>89.556894721136601</v>
      </c>
      <c r="AM4920">
        <v>96.559428916795099</v>
      </c>
      <c r="AN4920">
        <v>1.0000000053366001</v>
      </c>
    </row>
    <row r="4921" spans="1:40" x14ac:dyDescent="0.25">
      <c r="A4921" t="str">
        <f>"20190312150749947"</f>
        <v>20190312150749947</v>
      </c>
      <c r="B4921" t="str">
        <f>"1552374469944830"</f>
        <v>1552374469944830</v>
      </c>
      <c r="C4921" t="s">
        <v>40</v>
      </c>
      <c r="D4921">
        <v>4.9050949999999904</v>
      </c>
      <c r="E4921">
        <v>0.52347500000000002</v>
      </c>
      <c r="F4921" t="s">
        <v>67</v>
      </c>
      <c r="G4921">
        <v>-453.80840000000001</v>
      </c>
      <c r="H4921" s="1">
        <v>5.2212729999999998E-7</v>
      </c>
      <c r="I4921">
        <v>213.87809999999999</v>
      </c>
      <c r="J4921">
        <v>-472.46699999999998</v>
      </c>
      <c r="K4921">
        <v>1.1111799999999901</v>
      </c>
      <c r="L4921">
        <v>214.011</v>
      </c>
      <c r="M4921">
        <v>0.98961540000000003</v>
      </c>
      <c r="N4921">
        <v>0</v>
      </c>
      <c r="O4921">
        <v>-0.14335709999999999</v>
      </c>
      <c r="P4921">
        <v>0.99898500000000001</v>
      </c>
      <c r="Q4921">
        <v>-1.0313259999999999E-3</v>
      </c>
      <c r="R4921">
        <v>-4.503766E-2</v>
      </c>
      <c r="S4921">
        <v>3.0005190000000002</v>
      </c>
      <c r="T4921">
        <v>-0.175817</v>
      </c>
      <c r="U4921">
        <v>-2.7114869999999999E-2</v>
      </c>
      <c r="V4921">
        <v>-9.8669350000000003E-2</v>
      </c>
      <c r="W4921">
        <v>9.1854870000000009E-3</v>
      </c>
      <c r="X4921">
        <v>0.99507789999999996</v>
      </c>
      <c r="Y4921">
        <v>-0.13394200000000001</v>
      </c>
      <c r="Z4921">
        <v>1.2290769999999999E-2</v>
      </c>
      <c r="AA4921">
        <v>0.99091300000000004</v>
      </c>
      <c r="AB4921">
        <v>16</v>
      </c>
      <c r="AC4921">
        <v>18.6585999999999</v>
      </c>
      <c r="AD4921">
        <v>-1.11117947787269</v>
      </c>
      <c r="AE4921">
        <v>-0.13290000000000601</v>
      </c>
      <c r="AF4921">
        <v>-2.5344746508088001</v>
      </c>
      <c r="AG4921">
        <v>-1.11117947787269</v>
      </c>
      <c r="AH4921">
        <v>18.419584402385201</v>
      </c>
      <c r="AI4921">
        <v>93.420093576524295</v>
      </c>
      <c r="AJ4921">
        <v>97.834516032360796</v>
      </c>
      <c r="AK4921">
        <v>18.626308575351999</v>
      </c>
      <c r="AL4921">
        <v>89.473702971814006</v>
      </c>
      <c r="AM4921">
        <v>95.662790451665003</v>
      </c>
      <c r="AN4921">
        <v>1.00000002043462</v>
      </c>
    </row>
    <row r="4922" spans="1:40" x14ac:dyDescent="0.25">
      <c r="A4922" t="str">
        <f>"20190312150749970"</f>
        <v>20190312150749970</v>
      </c>
      <c r="B4922" t="str">
        <f>"1552374469965326"</f>
        <v>1552374469965326</v>
      </c>
      <c r="C4922" t="s">
        <v>40</v>
      </c>
      <c r="D4922">
        <v>5.1234169999999999</v>
      </c>
      <c r="E4922">
        <v>0.5195748</v>
      </c>
      <c r="F4922" t="s">
        <v>48</v>
      </c>
      <c r="G4922">
        <v>0</v>
      </c>
      <c r="H4922">
        <v>0</v>
      </c>
      <c r="I4922">
        <v>0</v>
      </c>
      <c r="J4922">
        <v>-472.31040000000002</v>
      </c>
      <c r="K4922">
        <v>1.1110580000000001</v>
      </c>
      <c r="L4922">
        <v>213.99180000000001</v>
      </c>
      <c r="M4922">
        <v>0.99002299999999999</v>
      </c>
      <c r="N4922">
        <v>0</v>
      </c>
      <c r="O4922">
        <v>-0.14051359999999999</v>
      </c>
      <c r="P4922">
        <v>0.9988302</v>
      </c>
      <c r="Q4922">
        <v>5.0342639999999999E-4</v>
      </c>
      <c r="R4922">
        <v>-4.8353460000000001E-2</v>
      </c>
      <c r="S4922">
        <v>2.9883730000000002</v>
      </c>
      <c r="T4922">
        <v>1.150736</v>
      </c>
      <c r="U4922">
        <v>-0.35168460000000001</v>
      </c>
      <c r="V4922">
        <v>-9.2506210000000005E-2</v>
      </c>
      <c r="W4922">
        <v>1.077852E-2</v>
      </c>
      <c r="X4922">
        <v>0.99565369999999997</v>
      </c>
      <c r="Y4922">
        <v>-1.308759E-2</v>
      </c>
      <c r="Z4922">
        <v>-5.4266880000000003E-2</v>
      </c>
      <c r="AA4922">
        <v>0.99844069999999996</v>
      </c>
      <c r="AB4922">
        <v>16</v>
      </c>
      <c r="AC4922">
        <v>2.9883730000000002</v>
      </c>
      <c r="AD4922">
        <v>1.150736</v>
      </c>
      <c r="AE4922">
        <v>-0.35168460000000001</v>
      </c>
      <c r="AF4922">
        <v>-6.25822499990355E-2</v>
      </c>
      <c r="AG4922">
        <v>1.150736</v>
      </c>
      <c r="AH4922">
        <v>2.6243224094562501</v>
      </c>
      <c r="AI4922">
        <v>66.329076315112502</v>
      </c>
      <c r="AJ4922">
        <v>91.3660742716675</v>
      </c>
      <c r="AK4922">
        <v>2.8662131791765302</v>
      </c>
      <c r="AL4922">
        <v>89.382424294776399</v>
      </c>
      <c r="AM4922">
        <v>95.308113604123093</v>
      </c>
      <c r="AN4922">
        <v>0.99999993285281996</v>
      </c>
    </row>
    <row r="4923" spans="1:40" x14ac:dyDescent="0.25">
      <c r="A4923" t="str">
        <f>"20190312150749994"</f>
        <v>20190312150749994</v>
      </c>
      <c r="B4923" t="str">
        <f>"1552374469984846"</f>
        <v>1552374469984846</v>
      </c>
      <c r="C4923" t="s">
        <v>40</v>
      </c>
      <c r="D4923">
        <v>4.833164</v>
      </c>
      <c r="E4923">
        <v>0.49916050000000001</v>
      </c>
      <c r="F4923" t="s">
        <v>48</v>
      </c>
      <c r="G4923">
        <v>0</v>
      </c>
      <c r="H4923">
        <v>0</v>
      </c>
      <c r="I4923">
        <v>0</v>
      </c>
      <c r="J4923">
        <v>-472.1354</v>
      </c>
      <c r="K4923">
        <v>1.1109599999999999</v>
      </c>
      <c r="L4923">
        <v>213.97049999999999</v>
      </c>
      <c r="M4923">
        <v>0.99042980000000003</v>
      </c>
      <c r="N4923">
        <v>0</v>
      </c>
      <c r="O4923">
        <v>-0.13761590000000001</v>
      </c>
      <c r="P4923">
        <v>0.99867669999999997</v>
      </c>
      <c r="Q4923">
        <v>2.1016469999999999E-3</v>
      </c>
      <c r="R4923">
        <v>-5.1385630000000002E-2</v>
      </c>
      <c r="S4923">
        <v>2.9869379999999999</v>
      </c>
      <c r="T4923">
        <v>1.2108749999999999</v>
      </c>
      <c r="U4923">
        <v>-0.33061220000000002</v>
      </c>
      <c r="V4923">
        <v>-8.6567420000000006E-2</v>
      </c>
      <c r="W4923">
        <v>1.242731E-2</v>
      </c>
      <c r="X4923">
        <v>0.99616850000000001</v>
      </c>
      <c r="Y4923">
        <v>-1.5925269999999998E-2</v>
      </c>
      <c r="Z4923">
        <v>-5.6390940000000001E-2</v>
      </c>
      <c r="AA4923">
        <v>0.9982818</v>
      </c>
      <c r="AB4923">
        <v>16</v>
      </c>
      <c r="AC4923">
        <v>2.9869379999999999</v>
      </c>
      <c r="AD4923">
        <v>1.2108749999999999</v>
      </c>
      <c r="AE4923">
        <v>-0.33061220000000002</v>
      </c>
      <c r="AF4923">
        <v>-7.1928819961865897E-2</v>
      </c>
      <c r="AG4923">
        <v>1.2108749999999999</v>
      </c>
      <c r="AH4923">
        <v>2.5844287810928099</v>
      </c>
      <c r="AI4923">
        <v>64.9041562281148</v>
      </c>
      <c r="AJ4923">
        <v>91.594222381754506</v>
      </c>
      <c r="AK4923">
        <v>2.85493680233153</v>
      </c>
      <c r="AL4923">
        <v>89.287949270586793</v>
      </c>
      <c r="AM4923">
        <v>94.966548099999798</v>
      </c>
      <c r="AN4923">
        <v>1.00000001831577</v>
      </c>
    </row>
    <row r="4924" spans="1:40" x14ac:dyDescent="0.25">
      <c r="A4924" t="str">
        <f>"20190312150750037"</f>
        <v>20190312150750037</v>
      </c>
      <c r="B4924" t="str">
        <f>"1552374470034623"</f>
        <v>1552374470034623</v>
      </c>
      <c r="C4924" t="s">
        <v>40</v>
      </c>
      <c r="D4924">
        <v>4.7585480000000002</v>
      </c>
      <c r="E4924">
        <v>0.49147639999999998</v>
      </c>
      <c r="F4924" t="s">
        <v>68</v>
      </c>
      <c r="G4924">
        <v>-431.61320000000001</v>
      </c>
      <c r="H4924" s="1">
        <v>3.160965E-6</v>
      </c>
      <c r="I4924">
        <v>212.0016</v>
      </c>
      <c r="J4924">
        <v>-471.82729999999998</v>
      </c>
      <c r="K4924">
        <v>1.11083</v>
      </c>
      <c r="L4924">
        <v>213.93350000000001</v>
      </c>
      <c r="M4924">
        <v>0.99103050000000004</v>
      </c>
      <c r="N4924">
        <v>0</v>
      </c>
      <c r="O4924">
        <v>-0.1332198</v>
      </c>
      <c r="P4924">
        <v>0.99827619999999895</v>
      </c>
      <c r="Q4924">
        <v>3.5854010000000002E-3</v>
      </c>
      <c r="R4924">
        <v>-5.8584329999999997E-2</v>
      </c>
      <c r="S4924">
        <v>2.996613</v>
      </c>
      <c r="T4924">
        <v>-8.2155229999999996E-2</v>
      </c>
      <c r="U4924">
        <v>-0.14559939999999999</v>
      </c>
      <c r="V4924">
        <v>-7.4956250000000002E-2</v>
      </c>
      <c r="W4924">
        <v>1.3994059999999999E-2</v>
      </c>
      <c r="X4924">
        <v>0.99708859999999999</v>
      </c>
      <c r="Y4924">
        <v>-8.4890750000000001E-2</v>
      </c>
      <c r="Z4924">
        <v>4.8013869999999998E-3</v>
      </c>
      <c r="AA4924">
        <v>0.99637869999999995</v>
      </c>
      <c r="AB4924">
        <v>16</v>
      </c>
      <c r="AC4924">
        <v>40.214099999999902</v>
      </c>
      <c r="AD4924">
        <v>-1.110826839035</v>
      </c>
      <c r="AE4924">
        <v>-1.9319000000000099</v>
      </c>
      <c r="AF4924">
        <v>-3.4403146958624702</v>
      </c>
      <c r="AG4924">
        <v>-1.110826839035</v>
      </c>
      <c r="AH4924">
        <v>40.0824806352379</v>
      </c>
      <c r="AI4924">
        <v>91.581649406372605</v>
      </c>
      <c r="AJ4924">
        <v>94.905724182809394</v>
      </c>
      <c r="AK4924">
        <v>40.245185492765501</v>
      </c>
      <c r="AL4924">
        <v>89.198173231213801</v>
      </c>
      <c r="AM4924">
        <v>94.299130417209994</v>
      </c>
      <c r="AN4924">
        <v>0.99999997468965196</v>
      </c>
    </row>
    <row r="4925" spans="1:40" x14ac:dyDescent="0.25">
      <c r="A4925" t="str">
        <f>"20190312150750059"</f>
        <v>20190312150750059</v>
      </c>
      <c r="B4925" t="str">
        <f>"1552374470055118"</f>
        <v>1552374470055118</v>
      </c>
      <c r="C4925" t="s">
        <v>40</v>
      </c>
      <c r="D4925">
        <v>4.7355010000000002</v>
      </c>
      <c r="E4925">
        <v>0.48997930000000001</v>
      </c>
      <c r="F4925" t="s">
        <v>68</v>
      </c>
      <c r="G4925">
        <v>-437.72980000000001</v>
      </c>
      <c r="H4925" s="1">
        <v>5.809422E-6</v>
      </c>
      <c r="I4925">
        <v>212.7338</v>
      </c>
      <c r="J4925">
        <v>-471.66800000000001</v>
      </c>
      <c r="K4925">
        <v>1.1107720000000001</v>
      </c>
      <c r="L4925">
        <v>213.9145</v>
      </c>
      <c r="M4925">
        <v>0.99128919999999998</v>
      </c>
      <c r="N4925">
        <v>0</v>
      </c>
      <c r="O4925">
        <v>-0.13127929999999999</v>
      </c>
      <c r="P4925">
        <v>0.99807630000000003</v>
      </c>
      <c r="Q4925">
        <v>6.9246059999999998E-3</v>
      </c>
      <c r="R4925">
        <v>-6.1612640000000003E-2</v>
      </c>
      <c r="S4925">
        <v>2.9993289999999999</v>
      </c>
      <c r="T4925">
        <v>-9.7711919999999994E-2</v>
      </c>
      <c r="U4925">
        <v>-0.10552980000000001</v>
      </c>
      <c r="V4925">
        <v>-6.9976990000000003E-2</v>
      </c>
      <c r="W4925">
        <v>1.7376809999999999E-2</v>
      </c>
      <c r="X4925">
        <v>0.99739719999999998</v>
      </c>
      <c r="Y4925">
        <v>-9.6226939999999997E-2</v>
      </c>
      <c r="Z4925">
        <v>5.8293719999999898E-3</v>
      </c>
      <c r="AA4925">
        <v>0.99534239999999996</v>
      </c>
      <c r="AB4925">
        <v>16</v>
      </c>
      <c r="AC4925">
        <v>33.938199999999902</v>
      </c>
      <c r="AD4925">
        <v>-1.110766190578</v>
      </c>
      <c r="AE4925">
        <v>-1.1807000000000001</v>
      </c>
      <c r="AF4925">
        <v>-3.2816400593331498</v>
      </c>
      <c r="AG4925">
        <v>-1.110766190578</v>
      </c>
      <c r="AH4925">
        <v>33.763333094858901</v>
      </c>
      <c r="AI4925">
        <v>91.875439590690306</v>
      </c>
      <c r="AJ4925">
        <v>95.5514476000304</v>
      </c>
      <c r="AK4925">
        <v>33.940619096939599</v>
      </c>
      <c r="AL4925">
        <v>89.004331967542996</v>
      </c>
      <c r="AM4925">
        <v>94.013272737194796</v>
      </c>
      <c r="AN4925">
        <v>0.99999995361153704</v>
      </c>
    </row>
    <row r="4926" spans="1:40" x14ac:dyDescent="0.25">
      <c r="A4926" t="str">
        <f>"20190312150750081"</f>
        <v>20190312150750081</v>
      </c>
      <c r="B4926" t="str">
        <f>"1552374470075318"</f>
        <v>1552374470075318</v>
      </c>
      <c r="C4926" t="s">
        <v>40</v>
      </c>
      <c r="D4926">
        <v>4.7799239999999896</v>
      </c>
      <c r="E4926">
        <v>0.48914629999999998</v>
      </c>
      <c r="F4926" t="s">
        <v>68</v>
      </c>
      <c r="G4926">
        <v>-436.21600000000001</v>
      </c>
      <c r="H4926" s="1">
        <v>5.1409740000000001E-6</v>
      </c>
      <c r="I4926">
        <v>212.70099999999999</v>
      </c>
      <c r="J4926">
        <v>-471.51560000000001</v>
      </c>
      <c r="K4926">
        <v>1.110711</v>
      </c>
      <c r="L4926">
        <v>213.8964</v>
      </c>
      <c r="M4926">
        <v>0.99150970000000005</v>
      </c>
      <c r="N4926">
        <v>0</v>
      </c>
      <c r="O4926">
        <v>-0.1296012</v>
      </c>
      <c r="P4926">
        <v>0.99787389999999998</v>
      </c>
      <c r="Q4926">
        <v>1.0451220000000001E-2</v>
      </c>
      <c r="R4926">
        <v>-6.4331780000000005E-2</v>
      </c>
      <c r="S4926">
        <v>3.000092</v>
      </c>
      <c r="T4926">
        <v>-9.3997479999999994E-2</v>
      </c>
      <c r="U4926">
        <v>-0.1026917</v>
      </c>
      <c r="V4926">
        <v>-6.5566869999999999E-2</v>
      </c>
      <c r="W4926">
        <v>2.0943839999999998E-2</v>
      </c>
      <c r="X4926">
        <v>0.99762830000000002</v>
      </c>
      <c r="Y4926">
        <v>-9.5501719999999998E-2</v>
      </c>
      <c r="Z4926">
        <v>5.5431079999999997E-3</v>
      </c>
      <c r="AA4926">
        <v>0.99541380000000002</v>
      </c>
      <c r="AB4926">
        <v>16</v>
      </c>
      <c r="AC4926">
        <v>35.299599999999998</v>
      </c>
      <c r="AD4926">
        <v>-1.1107058590259999</v>
      </c>
      <c r="AE4926">
        <v>-1.1954</v>
      </c>
      <c r="AF4926">
        <v>-3.38646079698945</v>
      </c>
      <c r="AG4926">
        <v>-1.1107058590259999</v>
      </c>
      <c r="AH4926">
        <v>35.122057809192597</v>
      </c>
      <c r="AI4926">
        <v>91.802971729887005</v>
      </c>
      <c r="AJ4926">
        <v>95.507421009307095</v>
      </c>
      <c r="AK4926">
        <v>35.302418174780797</v>
      </c>
      <c r="AL4926">
        <v>88.799918545746607</v>
      </c>
      <c r="AM4926">
        <v>93.760228032161706</v>
      </c>
      <c r="AN4926">
        <v>0.99999994191821395</v>
      </c>
    </row>
    <row r="4927" spans="1:40" x14ac:dyDescent="0.25">
      <c r="A4927" t="str">
        <f>"20190312150750105"</f>
        <v>20190312150750105</v>
      </c>
      <c r="B4927" t="str">
        <f>"1552374470094838"</f>
        <v>1552374470094838</v>
      </c>
      <c r="C4927" t="s">
        <v>40</v>
      </c>
      <c r="D4927">
        <v>4.9668419999999998</v>
      </c>
      <c r="E4927">
        <v>0.48821209999999998</v>
      </c>
      <c r="F4927" t="s">
        <v>68</v>
      </c>
      <c r="G4927">
        <v>-433.64640000000003</v>
      </c>
      <c r="H4927" s="1">
        <v>4.0118780000000003E-6</v>
      </c>
      <c r="I4927">
        <v>212.58170000000001</v>
      </c>
      <c r="J4927">
        <v>-471.34190000000001</v>
      </c>
      <c r="K4927">
        <v>1.110644</v>
      </c>
      <c r="L4927">
        <v>213.8758</v>
      </c>
      <c r="M4927">
        <v>0.99173330000000004</v>
      </c>
      <c r="N4927">
        <v>0</v>
      </c>
      <c r="O4927">
        <v>-0.1278764</v>
      </c>
      <c r="P4927">
        <v>0.99765079999999995</v>
      </c>
      <c r="Q4927">
        <v>1.313105E-2</v>
      </c>
      <c r="R4927">
        <v>-6.7231910000000006E-2</v>
      </c>
      <c r="S4927">
        <v>3.0006409999999999</v>
      </c>
      <c r="T4927">
        <v>-8.8009119999999996E-2</v>
      </c>
      <c r="U4927">
        <v>-0.10417179999999999</v>
      </c>
      <c r="V4927">
        <v>-6.092434E-2</v>
      </c>
      <c r="W4927">
        <v>2.3669240000000001E-2</v>
      </c>
      <c r="X4927">
        <v>0.99786169999999996</v>
      </c>
      <c r="Y4927">
        <v>-9.3301209999999996E-2</v>
      </c>
      <c r="Z4927">
        <v>5.1066610000000002E-3</v>
      </c>
      <c r="AA4927">
        <v>0.99562479999999998</v>
      </c>
      <c r="AB4927">
        <v>16</v>
      </c>
      <c r="AC4927">
        <v>37.695499999999903</v>
      </c>
      <c r="AD4927">
        <v>-1.1106399881219999</v>
      </c>
      <c r="AE4927">
        <v>-1.29409999999998</v>
      </c>
      <c r="AF4927">
        <v>-3.5340977526694699</v>
      </c>
      <c r="AG4927">
        <v>-1.1106399881219999</v>
      </c>
      <c r="AH4927">
        <v>37.518951620803797</v>
      </c>
      <c r="AI4927">
        <v>91.688112426591601</v>
      </c>
      <c r="AJ4927">
        <v>95.381098637454997</v>
      </c>
      <c r="AK4927">
        <v>37.701393857957797</v>
      </c>
      <c r="AL4927">
        <v>88.643725772108198</v>
      </c>
      <c r="AM4927">
        <v>93.493850691099098</v>
      </c>
      <c r="AN4927">
        <v>0.99999999022675101</v>
      </c>
    </row>
    <row r="4928" spans="1:40" x14ac:dyDescent="0.25">
      <c r="A4928" t="str">
        <f>"20190312150750128"</f>
        <v>20190312150750128</v>
      </c>
      <c r="B4928" t="str">
        <f>"1552374470125094"</f>
        <v>1552374470125094</v>
      </c>
      <c r="C4928" t="s">
        <v>40</v>
      </c>
      <c r="D4928">
        <v>5.093763</v>
      </c>
      <c r="E4928">
        <v>0.48682500000000001</v>
      </c>
      <c r="F4928" t="s">
        <v>68</v>
      </c>
      <c r="G4928">
        <v>-433.68239999999997</v>
      </c>
      <c r="H4928" s="1">
        <v>4.0301879999999996E-6</v>
      </c>
      <c r="I4928">
        <v>212.55520000000001</v>
      </c>
      <c r="J4928">
        <v>-471.18130000000002</v>
      </c>
      <c r="K4928">
        <v>1.110606</v>
      </c>
      <c r="L4928">
        <v>213.85679999999999</v>
      </c>
      <c r="M4928">
        <v>0.99191510000000005</v>
      </c>
      <c r="N4928">
        <v>0</v>
      </c>
      <c r="O4928">
        <v>-0.12645670000000001</v>
      </c>
      <c r="P4928">
        <v>0.9971911</v>
      </c>
      <c r="Q4928">
        <v>1.6668720000000001E-2</v>
      </c>
      <c r="R4928">
        <v>-7.3023690000000002E-2</v>
      </c>
      <c r="S4928">
        <v>3.0011290000000002</v>
      </c>
      <c r="T4928">
        <v>-8.8508249999999997E-2</v>
      </c>
      <c r="U4928">
        <v>-0.105239899999999</v>
      </c>
      <c r="V4928">
        <v>-5.369119E-2</v>
      </c>
      <c r="W4928">
        <v>2.7252470000000001E-2</v>
      </c>
      <c r="X4928">
        <v>0.99818560000000001</v>
      </c>
      <c r="Y4928">
        <v>-9.1528010000000007E-2</v>
      </c>
      <c r="Z4928">
        <v>5.0670439999999997E-3</v>
      </c>
      <c r="AA4928">
        <v>0.99578960000000005</v>
      </c>
      <c r="AB4928">
        <v>16</v>
      </c>
      <c r="AC4928">
        <v>37.498899999999999</v>
      </c>
      <c r="AD4928">
        <v>-1.110601969812</v>
      </c>
      <c r="AE4928">
        <v>-1.3015999999999699</v>
      </c>
      <c r="AF4928">
        <v>-3.4480847941305002</v>
      </c>
      <c r="AG4928">
        <v>-1.110601969812</v>
      </c>
      <c r="AH4928">
        <v>37.329729970021802</v>
      </c>
      <c r="AI4928">
        <v>91.696892766726506</v>
      </c>
      <c r="AJ4928">
        <v>95.2773408345018</v>
      </c>
      <c r="AK4928">
        <v>37.5050858566889</v>
      </c>
      <c r="AL4928">
        <v>88.438355089856202</v>
      </c>
      <c r="AM4928">
        <v>93.078903288486302</v>
      </c>
      <c r="AN4928">
        <v>0.99999996652603795</v>
      </c>
    </row>
    <row r="4929" spans="1:40" x14ac:dyDescent="0.25">
      <c r="A4929" t="str">
        <f>"20190312150750159"</f>
        <v>20190312150750159</v>
      </c>
      <c r="B4929" t="str">
        <f>"1552374470155351"</f>
        <v>1552374470155351</v>
      </c>
      <c r="C4929" t="s">
        <v>40</v>
      </c>
      <c r="D4929">
        <v>4.7742709999999997</v>
      </c>
      <c r="E4929">
        <v>0.48605609999999999</v>
      </c>
      <c r="F4929" t="s">
        <v>68</v>
      </c>
      <c r="G4929">
        <v>-432.55939999999998</v>
      </c>
      <c r="H4929" s="1">
        <v>3.5437149999999998E-6</v>
      </c>
      <c r="I4929">
        <v>212.4228</v>
      </c>
      <c r="J4929">
        <v>-470.94959999999998</v>
      </c>
      <c r="K4929">
        <v>1.11059</v>
      </c>
      <c r="L4929">
        <v>213.8295</v>
      </c>
      <c r="M4929">
        <v>0.99214820000000004</v>
      </c>
      <c r="N4929">
        <v>0</v>
      </c>
      <c r="O4929">
        <v>-0.1246109</v>
      </c>
      <c r="P4929">
        <v>0.99678860000000002</v>
      </c>
      <c r="Q4929">
        <v>2.0809560000000001E-2</v>
      </c>
      <c r="R4929">
        <v>-7.7327880000000002E-2</v>
      </c>
      <c r="S4929">
        <v>3.00177</v>
      </c>
      <c r="T4929">
        <v>-8.6318140000000002E-2</v>
      </c>
      <c r="U4929">
        <v>-0.1114502</v>
      </c>
      <c r="V4929">
        <v>-4.7511930000000001E-2</v>
      </c>
      <c r="W4929">
        <v>3.1450159999999998E-2</v>
      </c>
      <c r="X4929">
        <v>0.99837540000000002</v>
      </c>
      <c r="Y4929">
        <v>-8.7631580000000001E-2</v>
      </c>
      <c r="Z4929">
        <v>4.8316979999999997E-3</v>
      </c>
      <c r="AA4929">
        <v>0.99614130000000001</v>
      </c>
      <c r="AB4929">
        <v>16</v>
      </c>
      <c r="AC4929">
        <v>38.390199999999901</v>
      </c>
      <c r="AD4929">
        <v>-1.1105864562850001</v>
      </c>
      <c r="AE4929">
        <v>-1.4067000000000001</v>
      </c>
      <c r="AF4929">
        <v>-3.38554626437235</v>
      </c>
      <c r="AG4929">
        <v>-1.1105864562850001</v>
      </c>
      <c r="AH4929">
        <v>38.234285947409298</v>
      </c>
      <c r="AI4929">
        <v>91.657314541889903</v>
      </c>
      <c r="AJ4929">
        <v>95.060194270511403</v>
      </c>
      <c r="AK4929">
        <v>38.399947235554201</v>
      </c>
      <c r="AL4929">
        <v>88.197741319326198</v>
      </c>
      <c r="AM4929">
        <v>92.724607203863201</v>
      </c>
      <c r="AN4929">
        <v>0.99999996769075405</v>
      </c>
    </row>
    <row r="4930" spans="1:40" x14ac:dyDescent="0.25">
      <c r="A4930" t="str">
        <f>"20190312150750181"</f>
        <v>20190312150750181</v>
      </c>
      <c r="B4930" t="str">
        <f>"1552374470174575"</f>
        <v>1552374470174575</v>
      </c>
      <c r="C4930" t="s">
        <v>40</v>
      </c>
      <c r="D4930">
        <v>4.7250489999999896</v>
      </c>
      <c r="E4930">
        <v>0.48556680000000002</v>
      </c>
      <c r="F4930" t="s">
        <v>68</v>
      </c>
      <c r="G4930">
        <v>-429.79469999999998</v>
      </c>
      <c r="H4930" s="1">
        <v>2.4376830000000001E-6</v>
      </c>
      <c r="I4930">
        <v>212.20840000000001</v>
      </c>
      <c r="J4930">
        <v>-470.79509999999999</v>
      </c>
      <c r="K4930">
        <v>1.1106009999999999</v>
      </c>
      <c r="L4930">
        <v>213.8115</v>
      </c>
      <c r="M4930">
        <v>0.99228810000000001</v>
      </c>
      <c r="N4930">
        <v>0</v>
      </c>
      <c r="O4930">
        <v>-0.1234903</v>
      </c>
      <c r="P4930">
        <v>0.99646349999999995</v>
      </c>
      <c r="Q4930">
        <v>2.3254259999999999E-2</v>
      </c>
      <c r="R4930">
        <v>-8.0747009999999994E-2</v>
      </c>
      <c r="S4930">
        <v>3.0021360000000001</v>
      </c>
      <c r="T4930">
        <v>-8.1014279999999994E-2</v>
      </c>
      <c r="U4930">
        <v>-0.1182556</v>
      </c>
      <c r="V4930">
        <v>-4.2952520000000001E-2</v>
      </c>
      <c r="W4930">
        <v>3.3933619999999998E-2</v>
      </c>
      <c r="X4930">
        <v>0.99850059999999996</v>
      </c>
      <c r="Y4930">
        <v>-8.4267800000000004E-2</v>
      </c>
      <c r="Z4930">
        <v>4.4586840000000001E-3</v>
      </c>
      <c r="AA4930">
        <v>0.99643309999999996</v>
      </c>
      <c r="AB4930">
        <v>16</v>
      </c>
      <c r="AC4930">
        <v>41.000399999999999</v>
      </c>
      <c r="AD4930">
        <v>-1.110598562317</v>
      </c>
      <c r="AE4930">
        <v>-1.60309999999998</v>
      </c>
      <c r="AF4930">
        <v>-3.4700711888025899</v>
      </c>
      <c r="AG4930">
        <v>-1.110598562317</v>
      </c>
      <c r="AH4930">
        <v>40.854585857824297</v>
      </c>
      <c r="AI4930">
        <v>91.551571535861299</v>
      </c>
      <c r="AJ4930">
        <v>94.8548864403094</v>
      </c>
      <c r="AK4930">
        <v>41.016728402400801</v>
      </c>
      <c r="AL4930">
        <v>88.055373327009093</v>
      </c>
      <c r="AM4930">
        <v>92.463175087223803</v>
      </c>
      <c r="AN4930">
        <v>0.99999992887050404</v>
      </c>
    </row>
    <row r="4931" spans="1:40" x14ac:dyDescent="0.25">
      <c r="A4931" t="str">
        <f>"20190312150750204"</f>
        <v>20190312150750204</v>
      </c>
      <c r="B4931" t="str">
        <f>"1552374470195072"</f>
        <v>1552374470195072</v>
      </c>
      <c r="C4931" t="s">
        <v>40</v>
      </c>
      <c r="D4931">
        <v>4.7634119999999998</v>
      </c>
      <c r="E4931">
        <v>0.48533300000000001</v>
      </c>
      <c r="F4931" t="s">
        <v>68</v>
      </c>
      <c r="G4931">
        <v>-429.24889999999999</v>
      </c>
      <c r="H4931" s="1">
        <v>2.5451169999999998E-6</v>
      </c>
      <c r="I4931">
        <v>212.08709999999999</v>
      </c>
      <c r="J4931">
        <v>-470.6232</v>
      </c>
      <c r="K4931">
        <v>1.1106199999999999</v>
      </c>
      <c r="L4931">
        <v>213.79150000000001</v>
      </c>
      <c r="M4931">
        <v>0.99243040000000005</v>
      </c>
      <c r="N4931">
        <v>0</v>
      </c>
      <c r="O4931">
        <v>-0.12233620000000001</v>
      </c>
      <c r="P4931">
        <v>0.99616329999999997</v>
      </c>
      <c r="Q4931">
        <v>2.5663930000000001E-2</v>
      </c>
      <c r="R4931">
        <v>-8.3667019999999995E-2</v>
      </c>
      <c r="S4931">
        <v>3.0024410000000001</v>
      </c>
      <c r="T4931">
        <v>-8.0260159999999997E-2</v>
      </c>
      <c r="U4931">
        <v>-0.12461849999999999</v>
      </c>
      <c r="V4931">
        <v>-3.8857969999999999E-2</v>
      </c>
      <c r="W4931">
        <v>3.638591E-2</v>
      </c>
      <c r="X4931">
        <v>0.99858210000000003</v>
      </c>
      <c r="Y4931">
        <v>-8.1007280000000001E-2</v>
      </c>
      <c r="Z4931">
        <v>4.3422820000000003E-3</v>
      </c>
      <c r="AA4931">
        <v>0.99670400000000003</v>
      </c>
      <c r="AB4931">
        <v>16</v>
      </c>
      <c r="AC4931">
        <v>41.374299999999998</v>
      </c>
      <c r="AD4931">
        <v>-1.1106174548829999</v>
      </c>
      <c r="AE4931">
        <v>-1.7044000000000199</v>
      </c>
      <c r="AF4931">
        <v>-3.3678487229181902</v>
      </c>
      <c r="AG4931">
        <v>-1.1106174548829999</v>
      </c>
      <c r="AH4931">
        <v>41.242344645450999</v>
      </c>
      <c r="AI4931">
        <v>91.537433432181004</v>
      </c>
      <c r="AJ4931">
        <v>94.668413285476106</v>
      </c>
      <c r="AK4931">
        <v>41.394527029617301</v>
      </c>
      <c r="AL4931">
        <v>87.914780725373504</v>
      </c>
      <c r="AM4931">
        <v>92.228434637295194</v>
      </c>
      <c r="AN4931">
        <v>1.00000004335972</v>
      </c>
    </row>
    <row r="4932" spans="1:40" x14ac:dyDescent="0.25">
      <c r="A4932" t="str">
        <f>"20190312150750227"</f>
        <v>20190312150750227</v>
      </c>
      <c r="B4932" t="str">
        <f>"1552374470214592"</f>
        <v>1552374470214592</v>
      </c>
      <c r="C4932" t="s">
        <v>40</v>
      </c>
      <c r="D4932">
        <v>4.7574059999999996</v>
      </c>
      <c r="E4932">
        <v>0.4851374</v>
      </c>
      <c r="F4932" t="s">
        <v>68</v>
      </c>
      <c r="G4932">
        <v>-426.76499999999999</v>
      </c>
      <c r="H4932" s="1">
        <v>3.0048489999999999E-6</v>
      </c>
      <c r="I4932">
        <v>211.8682</v>
      </c>
      <c r="J4932">
        <v>-470.46559999999999</v>
      </c>
      <c r="K4932">
        <v>1.110644</v>
      </c>
      <c r="L4932">
        <v>213.77330000000001</v>
      </c>
      <c r="M4932">
        <v>0.99255079999999996</v>
      </c>
      <c r="N4932">
        <v>0</v>
      </c>
      <c r="O4932">
        <v>-0.12135219999999999</v>
      </c>
      <c r="P4932">
        <v>0.99585190000000001</v>
      </c>
      <c r="Q4932">
        <v>2.812195E-2</v>
      </c>
      <c r="R4932">
        <v>-8.6534319999999998E-2</v>
      </c>
      <c r="S4932">
        <v>3.0025019999999998</v>
      </c>
      <c r="T4932">
        <v>-7.6032160000000001E-2</v>
      </c>
      <c r="U4932">
        <v>-0.13166810000000001</v>
      </c>
      <c r="V4932">
        <v>-3.4985589999999997E-2</v>
      </c>
      <c r="W4932">
        <v>3.888134E-2</v>
      </c>
      <c r="X4932">
        <v>0.99863120000000005</v>
      </c>
      <c r="Y4932">
        <v>-7.7692399999999995E-2</v>
      </c>
      <c r="Z4932">
        <v>4.0465379999999997E-3</v>
      </c>
      <c r="AA4932">
        <v>0.9969692</v>
      </c>
      <c r="AB4932">
        <v>16</v>
      </c>
      <c r="AC4932">
        <v>43.700600000000001</v>
      </c>
      <c r="AD4932">
        <v>-1.1106409951509999</v>
      </c>
      <c r="AE4932">
        <v>-1.9051</v>
      </c>
      <c r="AF4932">
        <v>-3.4102557508537998</v>
      </c>
      <c r="AG4932">
        <v>-1.1106409951509999</v>
      </c>
      <c r="AH4932">
        <v>43.580699155694198</v>
      </c>
      <c r="AI4932">
        <v>91.455402490178898</v>
      </c>
      <c r="AJ4932">
        <v>94.4743638139269</v>
      </c>
      <c r="AK4932">
        <v>43.7280311311345</v>
      </c>
      <c r="AL4932">
        <v>87.771701660422494</v>
      </c>
      <c r="AM4932">
        <v>92.0064536031297</v>
      </c>
      <c r="AN4932">
        <v>1.00000001186064</v>
      </c>
    </row>
    <row r="4933" spans="1:40" x14ac:dyDescent="0.25">
      <c r="A4933" t="str">
        <f>"20190312150750249"</f>
        <v>20190312150750249</v>
      </c>
      <c r="B4933" t="str">
        <f>"1552374470244848"</f>
        <v>1552374470244848</v>
      </c>
      <c r="C4933" t="s">
        <v>40</v>
      </c>
      <c r="D4933">
        <v>4.727398</v>
      </c>
      <c r="E4933">
        <v>0.48445939999999998</v>
      </c>
      <c r="F4933" t="s">
        <v>68</v>
      </c>
      <c r="G4933">
        <v>-425.98849999999999</v>
      </c>
      <c r="H4933" s="1">
        <v>3.1554860000000001E-6</v>
      </c>
      <c r="I4933">
        <v>211.72069999999999</v>
      </c>
      <c r="J4933">
        <v>-470.30439999999999</v>
      </c>
      <c r="K4933">
        <v>1.110657</v>
      </c>
      <c r="L4933">
        <v>213.75470000000001</v>
      </c>
      <c r="M4933">
        <v>0.99266900000000002</v>
      </c>
      <c r="N4933">
        <v>0</v>
      </c>
      <c r="O4933">
        <v>-0.1203789</v>
      </c>
      <c r="P4933">
        <v>0.99550910000000004</v>
      </c>
      <c r="Q4933">
        <v>2.9650510000000001E-2</v>
      </c>
      <c r="R4933">
        <v>-8.9902070000000001E-2</v>
      </c>
      <c r="S4933">
        <v>3.0025940000000002</v>
      </c>
      <c r="T4933">
        <v>-7.4977870000000002E-2</v>
      </c>
      <c r="U4933">
        <v>-0.1385651</v>
      </c>
      <c r="V4933">
        <v>-3.0622E-2</v>
      </c>
      <c r="W4933">
        <v>4.044557E-2</v>
      </c>
      <c r="X4933">
        <v>0.99871239999999994</v>
      </c>
      <c r="Y4933">
        <v>-7.4433449999999998E-2</v>
      </c>
      <c r="Z4933">
        <v>3.9252310000000004E-3</v>
      </c>
      <c r="AA4933">
        <v>0.9972183</v>
      </c>
      <c r="AB4933">
        <v>16</v>
      </c>
      <c r="AC4933">
        <v>44.315899999999999</v>
      </c>
      <c r="AD4933">
        <v>-1.110653844514</v>
      </c>
      <c r="AE4933">
        <v>-2.0340000000000198</v>
      </c>
      <c r="AF4933">
        <v>-3.3137277994883498</v>
      </c>
      <c r="AG4933">
        <v>-1.110653844514</v>
      </c>
      <c r="AH4933">
        <v>44.210751753003798</v>
      </c>
      <c r="AI4933">
        <v>91.435046989448097</v>
      </c>
      <c r="AJ4933">
        <v>94.286474608615805</v>
      </c>
      <c r="AK4933">
        <v>44.348674325814599</v>
      </c>
      <c r="AL4933">
        <v>87.682007277057593</v>
      </c>
      <c r="AM4933">
        <v>91.756223162345407</v>
      </c>
      <c r="AN4933">
        <v>1.00000000446519</v>
      </c>
    </row>
    <row r="4934" spans="1:40" x14ac:dyDescent="0.25">
      <c r="A4934" t="str">
        <f>"20190312150750271"</f>
        <v>20190312150750271</v>
      </c>
      <c r="B4934" t="str">
        <f>"1552374470264901"</f>
        <v>1552374470264901</v>
      </c>
      <c r="C4934" t="s">
        <v>40</v>
      </c>
      <c r="D4934">
        <v>4.7600809999999996</v>
      </c>
      <c r="E4934">
        <v>0.48405860000000001</v>
      </c>
      <c r="F4934" t="s">
        <v>68</v>
      </c>
      <c r="G4934">
        <v>-429.20609999999999</v>
      </c>
      <c r="H4934" s="1">
        <v>2.5781489999999998E-6</v>
      </c>
      <c r="I4934">
        <v>211.7961</v>
      </c>
      <c r="J4934">
        <v>-470.14319999999998</v>
      </c>
      <c r="K4934">
        <v>1.1106579999999999</v>
      </c>
      <c r="L4934">
        <v>213.7363</v>
      </c>
      <c r="M4934">
        <v>0.99278339999999998</v>
      </c>
      <c r="N4934">
        <v>0</v>
      </c>
      <c r="O4934">
        <v>-0.11942899999999999</v>
      </c>
      <c r="P4934">
        <v>0.99518819999999997</v>
      </c>
      <c r="Q4934">
        <v>3.0884749999999999E-2</v>
      </c>
      <c r="R4934">
        <v>-9.2987589999999995E-2</v>
      </c>
      <c r="S4934">
        <v>3.0030209999999999</v>
      </c>
      <c r="T4934">
        <v>-8.1154580000000004E-2</v>
      </c>
      <c r="U4934">
        <v>-0.14311219999999999</v>
      </c>
      <c r="V4934">
        <v>-2.6565330000000002E-2</v>
      </c>
      <c r="W4934">
        <v>4.171002E-2</v>
      </c>
      <c r="X4934">
        <v>0.99877660000000001</v>
      </c>
      <c r="Y4934">
        <v>-7.196988E-2</v>
      </c>
      <c r="Z4934">
        <v>4.1889149999999997E-3</v>
      </c>
      <c r="AA4934">
        <v>0.99739800000000001</v>
      </c>
      <c r="AB4934">
        <v>16</v>
      </c>
      <c r="AC4934">
        <v>40.937100000000001</v>
      </c>
      <c r="AD4934">
        <v>-1.1106554218510001</v>
      </c>
      <c r="AE4934">
        <v>-1.9401999999999999</v>
      </c>
      <c r="AF4934">
        <v>-2.9608785870394199</v>
      </c>
      <c r="AG4934">
        <v>-1.1106554218510001</v>
      </c>
      <c r="AH4934">
        <v>40.845799474732601</v>
      </c>
      <c r="AI4934">
        <v>91.553495782340903</v>
      </c>
      <c r="AJ4934">
        <v>94.146072233661201</v>
      </c>
      <c r="AK4934">
        <v>40.968032564468402</v>
      </c>
      <c r="AL4934">
        <v>87.609498578939807</v>
      </c>
      <c r="AM4934">
        <v>91.523586467882893</v>
      </c>
      <c r="AN4934">
        <v>1.00000006961698</v>
      </c>
    </row>
    <row r="4935" spans="1:40" x14ac:dyDescent="0.25">
      <c r="A4935" t="str">
        <f>"20190312150750293"</f>
        <v>20190312150750293</v>
      </c>
      <c r="B4935" t="str">
        <f>"1552374470284422"</f>
        <v>1552374470284422</v>
      </c>
      <c r="C4935" t="s">
        <v>40</v>
      </c>
      <c r="D4935">
        <v>4.7658079999999998</v>
      </c>
      <c r="E4935">
        <v>0.47679389999999999</v>
      </c>
      <c r="F4935" t="s">
        <v>68</v>
      </c>
      <c r="G4935">
        <v>-430.77780000000001</v>
      </c>
      <c r="H4935" s="1">
        <v>2.8097049999999999E-6</v>
      </c>
      <c r="I4935">
        <v>211.78200000000001</v>
      </c>
      <c r="J4935">
        <v>-469.98379999999997</v>
      </c>
      <c r="K4935">
        <v>1.1106560000000001</v>
      </c>
      <c r="L4935">
        <v>213.7182</v>
      </c>
      <c r="M4935">
        <v>0.99289269999999996</v>
      </c>
      <c r="N4935">
        <v>0</v>
      </c>
      <c r="O4935">
        <v>-0.1185161</v>
      </c>
      <c r="P4935">
        <v>0.99498260000000005</v>
      </c>
      <c r="Q4935">
        <v>3.0609939999999999E-2</v>
      </c>
      <c r="R4935">
        <v>-9.5252169999999997E-2</v>
      </c>
      <c r="S4935">
        <v>3.003174</v>
      </c>
      <c r="T4935">
        <v>-8.4731580000000001E-2</v>
      </c>
      <c r="U4935">
        <v>-0.14909359999999999</v>
      </c>
      <c r="V4935">
        <v>-2.3374079999999998E-2</v>
      </c>
      <c r="W4935">
        <v>4.1451799999999997E-2</v>
      </c>
      <c r="X4935">
        <v>0.99886699999999995</v>
      </c>
      <c r="Y4935">
        <v>-6.9068379999999999E-2</v>
      </c>
      <c r="Z4935">
        <v>4.3064849999999997E-3</v>
      </c>
      <c r="AA4935">
        <v>0.99760260000000001</v>
      </c>
      <c r="AB4935">
        <v>16</v>
      </c>
      <c r="AC4935">
        <v>39.205999999999896</v>
      </c>
      <c r="AD4935">
        <v>-1.1106531902950001</v>
      </c>
      <c r="AE4935">
        <v>-1.9361999999999799</v>
      </c>
      <c r="AF4935">
        <v>-2.7220849422320001</v>
      </c>
      <c r="AG4935">
        <v>-1.1106531902950001</v>
      </c>
      <c r="AH4935">
        <v>39.127808760827797</v>
      </c>
      <c r="AI4935">
        <v>91.622000969451904</v>
      </c>
      <c r="AJ4935">
        <v>93.979601655026002</v>
      </c>
      <c r="AK4935">
        <v>39.238102851256102</v>
      </c>
      <c r="AL4935">
        <v>87.624305996234099</v>
      </c>
      <c r="AM4935">
        <v>91.340510562986495</v>
      </c>
      <c r="AN4935">
        <v>0.99999994151404104</v>
      </c>
    </row>
    <row r="4936" spans="1:40" x14ac:dyDescent="0.25">
      <c r="A4936" t="str">
        <f>"20190312150750317"</f>
        <v>20190312150750317</v>
      </c>
      <c r="B4936" t="str">
        <f>"1552374470304918"</f>
        <v>1552374470304918</v>
      </c>
      <c r="C4936" t="s">
        <v>40</v>
      </c>
      <c r="D4936">
        <v>4.7743270000000004</v>
      </c>
      <c r="E4936">
        <v>0.47593069999999998</v>
      </c>
      <c r="F4936" t="s">
        <v>67</v>
      </c>
      <c r="G4936">
        <v>-452.92790000000002</v>
      </c>
      <c r="H4936" s="1">
        <v>8.4358799999999997E-8</v>
      </c>
      <c r="I4936">
        <v>213.17330000000001</v>
      </c>
      <c r="J4936">
        <v>-469.8107</v>
      </c>
      <c r="K4936">
        <v>1.110654</v>
      </c>
      <c r="L4936">
        <v>213.6987</v>
      </c>
      <c r="M4936">
        <v>0.99300650000000001</v>
      </c>
      <c r="N4936">
        <v>0</v>
      </c>
      <c r="O4936">
        <v>-0.11755980000000001</v>
      </c>
      <c r="P4936">
        <v>0.99478719999999998</v>
      </c>
      <c r="Q4936">
        <v>2.9604709999999999E-2</v>
      </c>
      <c r="R4936">
        <v>-9.7581639999999997E-2</v>
      </c>
      <c r="S4936">
        <v>3.0119630000000002</v>
      </c>
      <c r="T4936">
        <v>-0.1961349</v>
      </c>
      <c r="U4936">
        <v>-9.6221920000000002E-2</v>
      </c>
      <c r="V4936">
        <v>-2.0075470000000002E-2</v>
      </c>
      <c r="W4936">
        <v>4.044938E-2</v>
      </c>
      <c r="X4936">
        <v>0.99897990000000003</v>
      </c>
      <c r="Y4936">
        <v>-8.5369829999999994E-2</v>
      </c>
      <c r="Z4936">
        <v>1.0404780000000001E-2</v>
      </c>
      <c r="AA4936">
        <v>0.99629500000000004</v>
      </c>
      <c r="AB4936">
        <v>16</v>
      </c>
      <c r="AC4936">
        <v>16.8827999999999</v>
      </c>
      <c r="AD4936">
        <v>-1.1106539156411901</v>
      </c>
      <c r="AE4936">
        <v>-0.52539999999998999</v>
      </c>
      <c r="AF4936">
        <v>-1.4568004831039201</v>
      </c>
      <c r="AG4936">
        <v>-1.1106539156411901</v>
      </c>
      <c r="AH4936">
        <v>16.755044542586301</v>
      </c>
      <c r="AI4936">
        <v>93.778246108994097</v>
      </c>
      <c r="AJ4936">
        <v>94.969197994572198</v>
      </c>
      <c r="AK4936">
        <v>16.854890607534401</v>
      </c>
      <c r="AL4936">
        <v>87.681788811223896</v>
      </c>
      <c r="AM4936">
        <v>91.151259299190798</v>
      </c>
      <c r="AN4936">
        <v>1.0000000087210501</v>
      </c>
    </row>
    <row r="4937" spans="1:40" x14ac:dyDescent="0.25">
      <c r="A4937" t="str">
        <f>"20190312150750339"</f>
        <v>20190312150750339</v>
      </c>
      <c r="B4937" t="str">
        <f>"1552374470335174"</f>
        <v>1552374470335174</v>
      </c>
      <c r="C4937" t="s">
        <v>40</v>
      </c>
      <c r="D4937">
        <v>4.7260749999999998</v>
      </c>
      <c r="E4937">
        <v>0.47545219999999999</v>
      </c>
      <c r="F4937" t="s">
        <v>67</v>
      </c>
      <c r="G4937">
        <v>-454.04689999999999</v>
      </c>
      <c r="H4937" s="1">
        <v>6.787961E-7</v>
      </c>
      <c r="I4937">
        <v>213.1969</v>
      </c>
      <c r="J4937">
        <v>-469.65</v>
      </c>
      <c r="K4937">
        <v>1.110657</v>
      </c>
      <c r="L4937">
        <v>213.6807</v>
      </c>
      <c r="M4937">
        <v>0.99310759999999998</v>
      </c>
      <c r="N4937">
        <v>0</v>
      </c>
      <c r="O4937">
        <v>-0.116703399999999</v>
      </c>
      <c r="P4937">
        <v>0.99461460000000002</v>
      </c>
      <c r="Q4937">
        <v>2.9059519999999998E-2</v>
      </c>
      <c r="R4937">
        <v>-9.9487069999999997E-2</v>
      </c>
      <c r="S4937">
        <v>3.0126040000000001</v>
      </c>
      <c r="T4937">
        <v>-0.21225579999999999</v>
      </c>
      <c r="U4937">
        <v>-9.5886230000000003E-2</v>
      </c>
      <c r="V4937">
        <v>-1.7300570000000001E-2</v>
      </c>
      <c r="W4937">
        <v>3.9891450000000002E-2</v>
      </c>
      <c r="X4937">
        <v>0.99905429999999995</v>
      </c>
      <c r="Y4937">
        <v>-8.4559399999999896E-2</v>
      </c>
      <c r="Z4937">
        <v>1.116721E-2</v>
      </c>
      <c r="AA4937">
        <v>0.99635580000000001</v>
      </c>
      <c r="AB4937">
        <v>16</v>
      </c>
      <c r="AC4937">
        <v>15.6030999999999</v>
      </c>
      <c r="AD4937">
        <v>-1.11065632120389</v>
      </c>
      <c r="AE4937">
        <v>-0.48380000000000201</v>
      </c>
      <c r="AF4937">
        <v>-1.33379654877148</v>
      </c>
      <c r="AG4937">
        <v>-1.11065632120389</v>
      </c>
      <c r="AH4937">
        <v>15.4746008340739</v>
      </c>
      <c r="AI4937">
        <v>94.090129043873503</v>
      </c>
      <c r="AJ4937">
        <v>94.926298580565401</v>
      </c>
      <c r="AK4937">
        <v>15.5716358058897</v>
      </c>
      <c r="AL4937">
        <v>87.713781799735202</v>
      </c>
      <c r="AM4937">
        <v>90.992088796164694</v>
      </c>
      <c r="AN4937">
        <v>1.0000000659269499</v>
      </c>
    </row>
    <row r="4938" spans="1:40" x14ac:dyDescent="0.25">
      <c r="A4938" t="str">
        <f>"20190312150750360"</f>
        <v>20190312150750360</v>
      </c>
      <c r="B4938" t="str">
        <f>"1552374470354694"</f>
        <v>1552374470354694</v>
      </c>
      <c r="C4938" t="s">
        <v>40</v>
      </c>
      <c r="D4938">
        <v>4.9031479999999998</v>
      </c>
      <c r="E4938">
        <v>0.47533310000000001</v>
      </c>
      <c r="F4938" t="s">
        <v>67</v>
      </c>
      <c r="G4938">
        <v>-453.8956</v>
      </c>
      <c r="H4938" s="1">
        <v>5.9944950000000002E-7</v>
      </c>
      <c r="I4938">
        <v>213.1705</v>
      </c>
      <c r="J4938">
        <v>-469.49419999999998</v>
      </c>
      <c r="K4938">
        <v>1.110654</v>
      </c>
      <c r="L4938">
        <v>213.66329999999999</v>
      </c>
      <c r="M4938">
        <v>0.99320240000000004</v>
      </c>
      <c r="N4938">
        <v>0</v>
      </c>
      <c r="O4938">
        <v>-0.11589729999999999</v>
      </c>
      <c r="P4938">
        <v>0.99446109999999999</v>
      </c>
      <c r="Q4938">
        <v>2.8799600000000002E-2</v>
      </c>
      <c r="R4938">
        <v>-0.1010842</v>
      </c>
      <c r="S4938">
        <v>3.0126650000000001</v>
      </c>
      <c r="T4938">
        <v>-0.21238679999999999</v>
      </c>
      <c r="U4938">
        <v>-9.7564700000000004E-2</v>
      </c>
      <c r="V4938">
        <v>-1.488541E-2</v>
      </c>
      <c r="W4938">
        <v>3.9607000000000003E-2</v>
      </c>
      <c r="X4938">
        <v>0.9991044</v>
      </c>
      <c r="Y4938">
        <v>-8.3201419999999998E-2</v>
      </c>
      <c r="Z4938">
        <v>1.106949E-2</v>
      </c>
      <c r="AA4938">
        <v>0.99647129999999995</v>
      </c>
      <c r="AB4938">
        <v>16</v>
      </c>
      <c r="AC4938">
        <v>15.5985999999999</v>
      </c>
      <c r="AD4938">
        <v>-1.1106534005505</v>
      </c>
      <c r="AE4938">
        <v>-0.49279999999998803</v>
      </c>
      <c r="AF4938">
        <v>-1.3118185368505599</v>
      </c>
      <c r="AG4938">
        <v>-1.1106534005505</v>
      </c>
      <c r="AH4938">
        <v>15.472227404342</v>
      </c>
      <c r="AI4938">
        <v>94.091230553432894</v>
      </c>
      <c r="AJ4938">
        <v>94.846253559086705</v>
      </c>
      <c r="AK4938">
        <v>15.567409537281801</v>
      </c>
      <c r="AL4938">
        <v>87.730092201341094</v>
      </c>
      <c r="AM4938">
        <v>90.853572532536901</v>
      </c>
      <c r="AN4938">
        <v>0.99999994598961195</v>
      </c>
    </row>
    <row r="4939" spans="1:40" x14ac:dyDescent="0.25">
      <c r="A4939" t="str">
        <f>"20190312150750382"</f>
        <v>20190312150750382</v>
      </c>
      <c r="B4939" t="str">
        <f>"1552374470375190"</f>
        <v>1552374470375190</v>
      </c>
      <c r="C4939" t="s">
        <v>40</v>
      </c>
      <c r="D4939">
        <v>4.9159769999999998</v>
      </c>
      <c r="E4939">
        <v>0.46878829999999999</v>
      </c>
      <c r="F4939" t="s">
        <v>67</v>
      </c>
      <c r="G4939">
        <v>-453.8227</v>
      </c>
      <c r="H4939" s="1">
        <v>5.6227730000000003E-7</v>
      </c>
      <c r="I4939">
        <v>213.13380000000001</v>
      </c>
      <c r="J4939">
        <v>-469.33249999999998</v>
      </c>
      <c r="K4939">
        <v>1.110643</v>
      </c>
      <c r="L4939">
        <v>213.6454</v>
      </c>
      <c r="M4939">
        <v>0.99329780000000001</v>
      </c>
      <c r="N4939">
        <v>0</v>
      </c>
      <c r="O4939">
        <v>-0.1150803</v>
      </c>
      <c r="P4939">
        <v>0.99431230000000004</v>
      </c>
      <c r="Q4939">
        <v>2.8757700000000001E-2</v>
      </c>
      <c r="R4939">
        <v>-0.10254919999999999</v>
      </c>
      <c r="S4939">
        <v>3.012543</v>
      </c>
      <c r="T4939">
        <v>-0.21350160000000001</v>
      </c>
      <c r="U4939">
        <v>-0.1017914</v>
      </c>
      <c r="V4939">
        <v>-1.25915E-2</v>
      </c>
      <c r="W4939">
        <v>3.9525530000000003E-2</v>
      </c>
      <c r="X4939">
        <v>0.99913920000000001</v>
      </c>
      <c r="Y4939">
        <v>-8.0986020000000006E-2</v>
      </c>
      <c r="Z4939">
        <v>1.0991610000000001E-2</v>
      </c>
      <c r="AA4939">
        <v>0.99665459999999995</v>
      </c>
      <c r="AB4939">
        <v>16</v>
      </c>
      <c r="AC4939">
        <v>15.509799999999901</v>
      </c>
      <c r="AD4939">
        <v>-1.1106424377227</v>
      </c>
      <c r="AE4939">
        <v>-0.51159999999998695</v>
      </c>
      <c r="AF4939">
        <v>-1.2702686609527201</v>
      </c>
      <c r="AG4939">
        <v>-1.1106424377227</v>
      </c>
      <c r="AH4939">
        <v>15.3868067406334</v>
      </c>
      <c r="AI4939">
        <v>94.114584582364301</v>
      </c>
      <c r="AJ4939">
        <v>94.719391241187296</v>
      </c>
      <c r="AK4939">
        <v>15.4790481221899</v>
      </c>
      <c r="AL4939">
        <v>87.734763817513894</v>
      </c>
      <c r="AM4939">
        <v>90.722023136067804</v>
      </c>
      <c r="AN4939">
        <v>0.99999997718533495</v>
      </c>
    </row>
    <row r="4940" spans="1:40" x14ac:dyDescent="0.25">
      <c r="A4940" t="str">
        <f>"20190312150750405"</f>
        <v>20190312150750405</v>
      </c>
      <c r="B4940" t="str">
        <f>"1552374470394709"</f>
        <v>1552374470394709</v>
      </c>
      <c r="C4940" t="s">
        <v>40</v>
      </c>
      <c r="D4940">
        <v>4.9203999999999999</v>
      </c>
      <c r="E4940">
        <v>0.48565779999999997</v>
      </c>
      <c r="F4940" t="s">
        <v>67</v>
      </c>
      <c r="G4940">
        <v>-458.9742</v>
      </c>
      <c r="H4940" s="1">
        <v>3.2890670000000001E-6</v>
      </c>
      <c r="I4940">
        <v>213.46639999999999</v>
      </c>
      <c r="J4940">
        <v>-469.166</v>
      </c>
      <c r="K4940">
        <v>1.1106290000000001</v>
      </c>
      <c r="L4940">
        <v>213.62710000000001</v>
      </c>
      <c r="M4940">
        <v>0.99339290000000002</v>
      </c>
      <c r="N4940">
        <v>0</v>
      </c>
      <c r="O4940">
        <v>-0.1142605</v>
      </c>
      <c r="P4940">
        <v>0.99425569999999996</v>
      </c>
      <c r="Q4940">
        <v>2.836586E-2</v>
      </c>
      <c r="R4940">
        <v>-0.1032049</v>
      </c>
      <c r="S4940">
        <v>3.0211790000000001</v>
      </c>
      <c r="T4940">
        <v>-0.323936</v>
      </c>
      <c r="U4940">
        <v>-5.2215579999999998E-2</v>
      </c>
      <c r="V4940">
        <v>-1.110856E-2</v>
      </c>
      <c r="W4940">
        <v>3.9078599999999998E-2</v>
      </c>
      <c r="X4940">
        <v>0.99917440000000002</v>
      </c>
      <c r="Y4940">
        <v>-9.5881170000000002E-2</v>
      </c>
      <c r="Z4940">
        <v>1.731806E-2</v>
      </c>
      <c r="AA4940">
        <v>0.99524210000000002</v>
      </c>
      <c r="AB4940">
        <v>16</v>
      </c>
      <c r="AC4940">
        <v>10.191800000000001</v>
      </c>
      <c r="AD4940">
        <v>-1.110625710933</v>
      </c>
      <c r="AE4940">
        <v>-0.16070000000001899</v>
      </c>
      <c r="AF4940">
        <v>-0.99314903833884205</v>
      </c>
      <c r="AG4940">
        <v>-1.110625710933</v>
      </c>
      <c r="AH4940">
        <v>10.024396973289299</v>
      </c>
      <c r="AI4940">
        <v>96.291592387802098</v>
      </c>
      <c r="AJ4940">
        <v>95.658012087579294</v>
      </c>
      <c r="AK4940">
        <v>10.1345137604243</v>
      </c>
      <c r="AL4940">
        <v>87.760390893176805</v>
      </c>
      <c r="AM4940">
        <v>90.636973267956705</v>
      </c>
      <c r="AN4940">
        <v>1.00000000934929</v>
      </c>
    </row>
    <row r="4941" spans="1:40" x14ac:dyDescent="0.25">
      <c r="A4941" t="str">
        <f>"20190312150750428"</f>
        <v>20190312150750428</v>
      </c>
      <c r="B4941" t="str">
        <f>"1552374470424967"</f>
        <v>1552374470424967</v>
      </c>
      <c r="C4941" t="s">
        <v>40</v>
      </c>
      <c r="D4941">
        <v>4.7874809999999997</v>
      </c>
      <c r="E4941">
        <v>0.49681769999999997</v>
      </c>
      <c r="F4941" t="s">
        <v>67</v>
      </c>
      <c r="G4941">
        <v>-451.19580000000002</v>
      </c>
      <c r="H4941" s="1">
        <v>-8.0727240000000003E-7</v>
      </c>
      <c r="I4941">
        <v>212.48429999999999</v>
      </c>
      <c r="J4941">
        <v>-468.99950000000001</v>
      </c>
      <c r="K4941">
        <v>1.1106149999999999</v>
      </c>
      <c r="L4941">
        <v>213.60890000000001</v>
      </c>
      <c r="M4941">
        <v>0.9934849</v>
      </c>
      <c r="N4941">
        <v>0</v>
      </c>
      <c r="O4941">
        <v>-0.11346530000000001</v>
      </c>
      <c r="P4941">
        <v>0.99420609999999998</v>
      </c>
      <c r="Q4941">
        <v>2.851221E-2</v>
      </c>
      <c r="R4941">
        <v>-0.1036398</v>
      </c>
      <c r="S4941">
        <v>3.0028079999999999</v>
      </c>
      <c r="T4941">
        <v>-0.18558530000000001</v>
      </c>
      <c r="U4941">
        <v>-0.19096369999999999</v>
      </c>
      <c r="V4941">
        <v>-9.8707250000000003E-3</v>
      </c>
      <c r="W4941">
        <v>3.915722E-2</v>
      </c>
      <c r="X4941">
        <v>0.99918430000000003</v>
      </c>
      <c r="Y4941">
        <v>-4.9876910000000003E-2</v>
      </c>
      <c r="Z4941">
        <v>8.5199030000000005E-3</v>
      </c>
      <c r="AA4941">
        <v>0.99871900000000002</v>
      </c>
      <c r="AB4941">
        <v>16</v>
      </c>
      <c r="AC4941">
        <v>17.8036999999999</v>
      </c>
      <c r="AD4941">
        <v>-1.1106158072723999</v>
      </c>
      <c r="AE4941">
        <v>-1.12460000000001</v>
      </c>
      <c r="AF4941">
        <v>-0.89939422457792295</v>
      </c>
      <c r="AG4941">
        <v>-1.1106158072723999</v>
      </c>
      <c r="AH4941">
        <v>17.747531736378601</v>
      </c>
      <c r="AI4941">
        <v>93.5762433289174</v>
      </c>
      <c r="AJ4941">
        <v>92.901104664784</v>
      </c>
      <c r="AK4941">
        <v>17.804978522209201</v>
      </c>
      <c r="AL4941">
        <v>87.755882810141401</v>
      </c>
      <c r="AM4941">
        <v>90.565994168317204</v>
      </c>
      <c r="AN4941">
        <v>0.99999999222832203</v>
      </c>
    </row>
    <row r="4942" spans="1:40" x14ac:dyDescent="0.25">
      <c r="A4942" t="str">
        <f>"20190312150750449"</f>
        <v>20190312150750449</v>
      </c>
      <c r="B4942" t="str">
        <f>"1552374470444485"</f>
        <v>1552374470444485</v>
      </c>
      <c r="C4942" t="s">
        <v>40</v>
      </c>
      <c r="D4942">
        <v>4.7462400000000002</v>
      </c>
      <c r="E4942">
        <v>0.49946620000000003</v>
      </c>
      <c r="F4942" t="s">
        <v>67</v>
      </c>
      <c r="G4942">
        <v>-445.04880000000003</v>
      </c>
      <c r="H4942" s="1">
        <v>1.2926929999999999E-6</v>
      </c>
      <c r="I4942">
        <v>211.34979999999999</v>
      </c>
      <c r="J4942">
        <v>-468.8451</v>
      </c>
      <c r="K4942">
        <v>1.1106009999999999</v>
      </c>
      <c r="L4942">
        <v>213.59209999999999</v>
      </c>
      <c r="M4942">
        <v>0.99356739999999999</v>
      </c>
      <c r="N4942">
        <v>0</v>
      </c>
      <c r="O4942">
        <v>-0.1127469</v>
      </c>
      <c r="P4942">
        <v>0.99417560000000005</v>
      </c>
      <c r="Q4942">
        <v>2.9358889999999999E-2</v>
      </c>
      <c r="R4942">
        <v>-0.1036984</v>
      </c>
      <c r="S4942">
        <v>2.9920040000000001</v>
      </c>
      <c r="T4942">
        <v>-0.1387417</v>
      </c>
      <c r="U4942">
        <v>-0.2822113</v>
      </c>
      <c r="V4942">
        <v>-9.0862089999999996E-3</v>
      </c>
      <c r="W4942">
        <v>3.9935279999999997E-2</v>
      </c>
      <c r="X4942">
        <v>0.99916090000000002</v>
      </c>
      <c r="Y4942">
        <v>-1.8809449999999998E-2</v>
      </c>
      <c r="Z4942">
        <v>5.6337729999999999E-3</v>
      </c>
      <c r="AA4942">
        <v>0.99980720000000001</v>
      </c>
      <c r="AB4942">
        <v>17</v>
      </c>
      <c r="AC4942">
        <v>23.796299999999899</v>
      </c>
      <c r="AD4942">
        <v>-1.110599707307</v>
      </c>
      <c r="AE4942">
        <v>-2.2423000000000002</v>
      </c>
      <c r="AF4942">
        <v>-0.45412788052335001</v>
      </c>
      <c r="AG4942">
        <v>-1.110599707307</v>
      </c>
      <c r="AH4942">
        <v>23.8458942694926</v>
      </c>
      <c r="AI4942">
        <v>92.666086430144006</v>
      </c>
      <c r="AJ4942">
        <v>91.091024964978402</v>
      </c>
      <c r="AK4942">
        <v>23.876062015197601</v>
      </c>
      <c r="AL4942">
        <v>87.711268246101895</v>
      </c>
      <c r="AM4942">
        <v>90.521024268764705</v>
      </c>
      <c r="AN4942">
        <v>0.99999994493573796</v>
      </c>
    </row>
    <row r="4943" spans="1:40" x14ac:dyDescent="0.25">
      <c r="A4943" t="str">
        <f>"20190312150750473"</f>
        <v>20190312150750473</v>
      </c>
      <c r="B4943" t="str">
        <f>"1552374470464982"</f>
        <v>1552374470464982</v>
      </c>
      <c r="C4943" t="s">
        <v>40</v>
      </c>
      <c r="D4943">
        <v>4.7785820000000001</v>
      </c>
      <c r="E4943">
        <v>0.50183109999999997</v>
      </c>
      <c r="F4943" t="s">
        <v>67</v>
      </c>
      <c r="G4943">
        <v>-440.06639999999999</v>
      </c>
      <c r="H4943" s="1">
        <v>-1.3289159999999999E-6</v>
      </c>
      <c r="I4943">
        <v>210.6688</v>
      </c>
      <c r="J4943">
        <v>-468.66910000000001</v>
      </c>
      <c r="K4943">
        <v>1.110592</v>
      </c>
      <c r="L4943">
        <v>213.57310000000001</v>
      </c>
      <c r="M4943">
        <v>0.99365820000000005</v>
      </c>
      <c r="N4943">
        <v>0</v>
      </c>
      <c r="O4943">
        <v>-0.11195140000000001</v>
      </c>
      <c r="P4943">
        <v>0.99419800000000003</v>
      </c>
      <c r="Q4943">
        <v>2.9533110000000001E-2</v>
      </c>
      <c r="R4943">
        <v>-0.1034335</v>
      </c>
      <c r="S4943">
        <v>2.9893800000000001</v>
      </c>
      <c r="T4943">
        <v>-0.1153636</v>
      </c>
      <c r="U4943">
        <v>-0.30366520000000002</v>
      </c>
      <c r="V4943">
        <v>-8.5516120000000001E-3</v>
      </c>
      <c r="W4943">
        <v>4.0027720000000003E-2</v>
      </c>
      <c r="X4943">
        <v>0.99916199999999999</v>
      </c>
      <c r="Y4943">
        <v>-1.086851E-2</v>
      </c>
      <c r="Z4943">
        <v>4.5041059999999999E-3</v>
      </c>
      <c r="AA4943">
        <v>0.99993080000000001</v>
      </c>
      <c r="AB4943">
        <v>17</v>
      </c>
      <c r="AC4943">
        <v>28.602699999999999</v>
      </c>
      <c r="AD4943">
        <v>-1.1105933289159999</v>
      </c>
      <c r="AE4943">
        <v>-2.9043000000000001</v>
      </c>
      <c r="AF4943">
        <v>-0.31577701670875502</v>
      </c>
      <c r="AG4943">
        <v>-1.1105933289159999</v>
      </c>
      <c r="AH4943">
        <v>28.7051975485928</v>
      </c>
      <c r="AI4943">
        <v>92.215513222534597</v>
      </c>
      <c r="AJ4943">
        <v>90.630267759584996</v>
      </c>
      <c r="AK4943">
        <v>28.7284092662691</v>
      </c>
      <c r="AL4943">
        <v>87.705967770197304</v>
      </c>
      <c r="AM4943">
        <v>90.490370242501697</v>
      </c>
      <c r="AN4943">
        <v>1.00000002534009</v>
      </c>
    </row>
    <row r="4944" spans="1:40" x14ac:dyDescent="0.25">
      <c r="A4944" t="str">
        <f>"20190312150750496"</f>
        <v>20190312150750496</v>
      </c>
      <c r="B4944" t="str">
        <f>"1552374470484502"</f>
        <v>1552374470484502</v>
      </c>
      <c r="C4944" t="s">
        <v>40</v>
      </c>
      <c r="D4944">
        <v>4.7526380000000001</v>
      </c>
      <c r="E4944">
        <v>0.50290500000000005</v>
      </c>
      <c r="F4944" t="s">
        <v>68</v>
      </c>
      <c r="G4944">
        <v>-437.91370000000001</v>
      </c>
      <c r="H4944" s="1">
        <v>6.1071999999999997E-6</v>
      </c>
      <c r="I4944">
        <v>210.26009999999999</v>
      </c>
      <c r="J4944">
        <v>-468.5016</v>
      </c>
      <c r="K4944">
        <v>1.110571</v>
      </c>
      <c r="L4944">
        <v>213.55510000000001</v>
      </c>
      <c r="M4944">
        <v>0.99374079999999998</v>
      </c>
      <c r="N4944">
        <v>0</v>
      </c>
      <c r="O4944">
        <v>-0.1112235</v>
      </c>
      <c r="P4944">
        <v>0.99428740000000004</v>
      </c>
      <c r="Q4944">
        <v>2.9881620000000001E-2</v>
      </c>
      <c r="R4944">
        <v>-0.1024698</v>
      </c>
      <c r="S4944">
        <v>2.987244</v>
      </c>
      <c r="T4944">
        <v>-0.1078701</v>
      </c>
      <c r="U4944">
        <v>-0.32179259999999998</v>
      </c>
      <c r="V4944">
        <v>-8.7864029999999999E-3</v>
      </c>
      <c r="W4944">
        <v>4.0291670000000002E-2</v>
      </c>
      <c r="X4944">
        <v>0.99914930000000002</v>
      </c>
      <c r="Y4944">
        <v>-4.077832E-3</v>
      </c>
      <c r="Z4944">
        <v>4.0648450000000001E-3</v>
      </c>
      <c r="AA4944">
        <v>0.99998339999999997</v>
      </c>
      <c r="AB4944">
        <v>17</v>
      </c>
      <c r="AC4944">
        <v>30.587899999999902</v>
      </c>
      <c r="AD4944">
        <v>-1.1105648928</v>
      </c>
      <c r="AE4944">
        <v>-3.2950000000000101</v>
      </c>
      <c r="AF4944">
        <v>-0.127558071411636</v>
      </c>
      <c r="AG4944">
        <v>-1.1105648928</v>
      </c>
      <c r="AH4944">
        <v>30.7245583333162</v>
      </c>
      <c r="AI4944">
        <v>92.070084880312905</v>
      </c>
      <c r="AJ4944">
        <v>90.237871511937897</v>
      </c>
      <c r="AK4944">
        <v>30.744887546062898</v>
      </c>
      <c r="AL4944">
        <v>87.690832215273105</v>
      </c>
      <c r="AM4944">
        <v>90.503839448832593</v>
      </c>
      <c r="AN4944">
        <v>0.99999997161977805</v>
      </c>
    </row>
    <row r="4945" spans="1:40" x14ac:dyDescent="0.25">
      <c r="A4945" t="str">
        <f>"20190312150750519"</f>
        <v>20190312150750519</v>
      </c>
      <c r="B4945" t="str">
        <f>"1552374470514758"</f>
        <v>1552374470514758</v>
      </c>
      <c r="C4945" t="s">
        <v>40</v>
      </c>
      <c r="D4945">
        <v>4.7809470000000003</v>
      </c>
      <c r="E4945">
        <v>0.50361219999999995</v>
      </c>
      <c r="F4945" t="s">
        <v>68</v>
      </c>
      <c r="G4945">
        <v>-436.65719999999999</v>
      </c>
      <c r="H4945" s="1">
        <v>5.567169E-6</v>
      </c>
      <c r="I4945">
        <v>210.06389999999999</v>
      </c>
      <c r="J4945">
        <v>-468.32839999999999</v>
      </c>
      <c r="K4945">
        <v>1.1105430000000001</v>
      </c>
      <c r="L4945">
        <v>213.5367</v>
      </c>
      <c r="M4945">
        <v>0.99382159999999997</v>
      </c>
      <c r="N4945">
        <v>0</v>
      </c>
      <c r="O4945">
        <v>-0.1105087</v>
      </c>
      <c r="P4945">
        <v>0.99443079999999995</v>
      </c>
      <c r="Q4945">
        <v>3.0797479999999999E-2</v>
      </c>
      <c r="R4945">
        <v>-0.1007914</v>
      </c>
      <c r="S4945">
        <v>2.9866640000000002</v>
      </c>
      <c r="T4945">
        <v>-0.1041594</v>
      </c>
      <c r="U4945">
        <v>-0.32743840000000002</v>
      </c>
      <c r="V4945">
        <v>-9.7503699999999995E-3</v>
      </c>
      <c r="W4945">
        <v>4.1112580000000003E-2</v>
      </c>
      <c r="X4945">
        <v>0.99910690000000002</v>
      </c>
      <c r="Y4945">
        <v>-1.476544E-3</v>
      </c>
      <c r="Z4945">
        <v>3.8554850000000001E-3</v>
      </c>
      <c r="AA4945">
        <v>0.99999150000000003</v>
      </c>
      <c r="AB4945">
        <v>17</v>
      </c>
      <c r="AC4945">
        <v>31.671199999999999</v>
      </c>
      <c r="AD4945">
        <v>-1.110537432831</v>
      </c>
      <c r="AE4945">
        <v>-3.4727999999999999</v>
      </c>
      <c r="AF4945">
        <v>-4.8543098128471102E-2</v>
      </c>
      <c r="AG4945">
        <v>-1.110537432831</v>
      </c>
      <c r="AH4945">
        <v>31.822331684632399</v>
      </c>
      <c r="AI4945">
        <v>91.998697728750599</v>
      </c>
      <c r="AJ4945">
        <v>90.087401278997106</v>
      </c>
      <c r="AK4945">
        <v>31.841740587927202</v>
      </c>
      <c r="AL4945">
        <v>87.643758488140804</v>
      </c>
      <c r="AM4945">
        <v>90.559136680283203</v>
      </c>
      <c r="AN4945">
        <v>0.99999995578849998</v>
      </c>
    </row>
    <row r="4946" spans="1:40" x14ac:dyDescent="0.25">
      <c r="A4946" t="str">
        <f>"20190312150750541"</f>
        <v>20190312150750541</v>
      </c>
      <c r="B4946" t="str">
        <f>"1552374470535254"</f>
        <v>1552374470535254</v>
      </c>
      <c r="C4946" t="s">
        <v>40</v>
      </c>
      <c r="D4946">
        <v>4.890193</v>
      </c>
      <c r="E4946">
        <v>0.50428620000000002</v>
      </c>
      <c r="F4946" t="s">
        <v>68</v>
      </c>
      <c r="G4946">
        <v>-434.9597</v>
      </c>
      <c r="H4946" s="1">
        <v>4.8313760000000002E-6</v>
      </c>
      <c r="I4946">
        <v>209.8699</v>
      </c>
      <c r="J4946">
        <v>-468.16579999999999</v>
      </c>
      <c r="K4946">
        <v>1.110511</v>
      </c>
      <c r="L4946">
        <v>213.51929999999999</v>
      </c>
      <c r="M4946">
        <v>0.993892</v>
      </c>
      <c r="N4946">
        <v>0</v>
      </c>
      <c r="O4946">
        <v>-0.1098821</v>
      </c>
      <c r="P4946">
        <v>0.99460610000000005</v>
      </c>
      <c r="Q4946">
        <v>3.1065300000000001E-2</v>
      </c>
      <c r="R4946">
        <v>-9.8962659999999994E-2</v>
      </c>
      <c r="S4946">
        <v>2.9866030000000001</v>
      </c>
      <c r="T4946">
        <v>-9.9396709999999999E-2</v>
      </c>
      <c r="U4946">
        <v>-0.32818599999999998</v>
      </c>
      <c r="V4946">
        <v>-1.095513E-2</v>
      </c>
      <c r="W4946">
        <v>4.1280770000000001E-2</v>
      </c>
      <c r="X4946">
        <v>0.99908750000000002</v>
      </c>
      <c r="Y4946">
        <v>-6.0317550000000002E-4</v>
      </c>
      <c r="Z4946">
        <v>3.644188E-3</v>
      </c>
      <c r="AA4946">
        <v>0.99999320000000003</v>
      </c>
      <c r="AB4946">
        <v>17</v>
      </c>
      <c r="AC4946">
        <v>33.2060999999999</v>
      </c>
      <c r="AD4946">
        <v>-1.1105061686239901</v>
      </c>
      <c r="AE4946">
        <v>-3.64939999999998</v>
      </c>
      <c r="AF4946">
        <v>-2.16237724823806E-2</v>
      </c>
      <c r="AG4946">
        <v>-1.1105061686239901</v>
      </c>
      <c r="AH4946">
        <v>33.369152888312499</v>
      </c>
      <c r="AI4946">
        <v>91.906066646083104</v>
      </c>
      <c r="AJ4946">
        <v>90.037128623885494</v>
      </c>
      <c r="AK4946">
        <v>33.387633279728902</v>
      </c>
      <c r="AL4946">
        <v>87.634113767574405</v>
      </c>
      <c r="AM4946">
        <v>90.628230819144505</v>
      </c>
      <c r="AN4946">
        <v>0.99999997475067903</v>
      </c>
    </row>
    <row r="4947" spans="1:40" x14ac:dyDescent="0.25">
      <c r="A4947" t="str">
        <f>"20190312150750563"</f>
        <v>20190312150750563</v>
      </c>
      <c r="B4947" t="str">
        <f>"1552374470554774"</f>
        <v>1552374470554774</v>
      </c>
      <c r="C4947" t="s">
        <v>40</v>
      </c>
      <c r="D4947">
        <v>4.795884</v>
      </c>
      <c r="E4947">
        <v>0.50475999999999999</v>
      </c>
      <c r="F4947" t="s">
        <v>68</v>
      </c>
      <c r="G4947">
        <v>-433.6284</v>
      </c>
      <c r="H4947" s="1">
        <v>4.2536609999999996E-6</v>
      </c>
      <c r="I4947">
        <v>209.72450000000001</v>
      </c>
      <c r="J4947">
        <v>-468.00510000000003</v>
      </c>
      <c r="K4947">
        <v>1.110463</v>
      </c>
      <c r="L4947">
        <v>213.50229999999999</v>
      </c>
      <c r="M4947">
        <v>0.9939559</v>
      </c>
      <c r="N4947">
        <v>0</v>
      </c>
      <c r="O4947">
        <v>-0.10931340000000001</v>
      </c>
      <c r="P4947">
        <v>0.99480900000000005</v>
      </c>
      <c r="Q4947">
        <v>3.1558299999999997E-2</v>
      </c>
      <c r="R4947">
        <v>-9.674323E-2</v>
      </c>
      <c r="S4947">
        <v>2.9866329999999999</v>
      </c>
      <c r="T4947">
        <v>-9.6031309999999995E-2</v>
      </c>
      <c r="U4947">
        <v>-0.32815549999999999</v>
      </c>
      <c r="V4947">
        <v>-1.26085E-2</v>
      </c>
      <c r="W4947">
        <v>4.1664279999999998E-2</v>
      </c>
      <c r="X4947">
        <v>0.9990521</v>
      </c>
      <c r="Y4947" s="1">
        <v>-4.6613899999999998E-5</v>
      </c>
      <c r="Z4947">
        <v>3.493819E-3</v>
      </c>
      <c r="AA4947">
        <v>0.99999389999999999</v>
      </c>
      <c r="AB4947">
        <v>17</v>
      </c>
      <c r="AC4947">
        <v>34.3767</v>
      </c>
      <c r="AD4947">
        <v>-1.1104587463390001</v>
      </c>
      <c r="AE4947">
        <v>-3.7777999999999801</v>
      </c>
      <c r="AF4947">
        <v>-2.8645519812720002E-3</v>
      </c>
      <c r="AG4947">
        <v>-1.1104587463390001</v>
      </c>
      <c r="AH4947">
        <v>34.548036689625597</v>
      </c>
      <c r="AI4947">
        <v>91.840993235817805</v>
      </c>
      <c r="AJ4947">
        <v>90.004750682066799</v>
      </c>
      <c r="AK4947">
        <v>34.565878636897096</v>
      </c>
      <c r="AL4947">
        <v>87.612121383607303</v>
      </c>
      <c r="AM4947">
        <v>90.723060874642897</v>
      </c>
      <c r="AN4947">
        <v>0.99999999250728899</v>
      </c>
    </row>
    <row r="4948" spans="1:40" x14ac:dyDescent="0.25">
      <c r="A4948" t="str">
        <f>"20190312150750584"</f>
        <v>20190312150750584</v>
      </c>
      <c r="B4948" t="str">
        <f>"1552374470574803"</f>
        <v>1552374470574803</v>
      </c>
      <c r="C4948" t="s">
        <v>40</v>
      </c>
      <c r="D4948">
        <v>4.7466460000000001</v>
      </c>
      <c r="E4948">
        <v>0.50531769999999998</v>
      </c>
      <c r="F4948" t="s">
        <v>68</v>
      </c>
      <c r="G4948">
        <v>-432.2869</v>
      </c>
      <c r="H4948" s="1">
        <v>3.6691059999999999E-6</v>
      </c>
      <c r="I4948">
        <v>209.61150000000001</v>
      </c>
      <c r="J4948">
        <v>-467.84280000000001</v>
      </c>
      <c r="K4948">
        <v>1.1104099999999999</v>
      </c>
      <c r="L4948">
        <v>213.48509999999999</v>
      </c>
      <c r="M4948">
        <v>0.99401390000000001</v>
      </c>
      <c r="N4948">
        <v>0</v>
      </c>
      <c r="O4948">
        <v>-0.108795</v>
      </c>
      <c r="P4948">
        <v>0.99497179999999996</v>
      </c>
      <c r="Q4948">
        <v>3.1328799999999997E-2</v>
      </c>
      <c r="R4948">
        <v>-9.513133E-2</v>
      </c>
      <c r="S4948">
        <v>2.9870299999999999</v>
      </c>
      <c r="T4948">
        <v>-9.2865110000000001E-2</v>
      </c>
      <c r="U4948">
        <v>-0.32537840000000001</v>
      </c>
      <c r="V4948">
        <v>-1.3703899999999899E-2</v>
      </c>
      <c r="W4948">
        <v>4.1320780000000001E-2</v>
      </c>
      <c r="X4948">
        <v>0.99905189999999999</v>
      </c>
      <c r="Y4948">
        <v>-4.6174870000000002E-4</v>
      </c>
      <c r="Z4948">
        <v>3.3689330000000002E-3</v>
      </c>
      <c r="AA4948">
        <v>0.99999420000000006</v>
      </c>
      <c r="AB4948">
        <v>17</v>
      </c>
      <c r="AC4948">
        <v>35.555900000000001</v>
      </c>
      <c r="AD4948">
        <v>-1.110406330894</v>
      </c>
      <c r="AE4948">
        <v>-3.8735999999999802</v>
      </c>
      <c r="AF4948">
        <v>-1.7875562619405799E-2</v>
      </c>
      <c r="AG4948">
        <v>-1.110406330894</v>
      </c>
      <c r="AH4948">
        <v>35.731835085288203</v>
      </c>
      <c r="AI4948">
        <v>91.779956717822003</v>
      </c>
      <c r="AJ4948">
        <v>90.028663353187</v>
      </c>
      <c r="AK4948">
        <v>35.749088943883102</v>
      </c>
      <c r="AL4948">
        <v>87.631819350201198</v>
      </c>
      <c r="AM4948">
        <v>90.785871478666806</v>
      </c>
      <c r="AN4948">
        <v>0.99999995131431296</v>
      </c>
    </row>
    <row r="4949" spans="1:40" x14ac:dyDescent="0.25">
      <c r="A4949" t="str">
        <f>"20190312150750607"</f>
        <v>20190312150750607</v>
      </c>
      <c r="B4949" t="str">
        <f>"1552374470595304"</f>
        <v>1552374470595304</v>
      </c>
      <c r="C4949" t="s">
        <v>40</v>
      </c>
      <c r="D4949">
        <v>4.7483610000000001</v>
      </c>
      <c r="E4949">
        <v>0.50576109999999996</v>
      </c>
      <c r="F4949" t="s">
        <v>68</v>
      </c>
      <c r="G4949">
        <v>-431.38499999999999</v>
      </c>
      <c r="H4949" s="1">
        <v>3.2851390000000001E-6</v>
      </c>
      <c r="I4949">
        <v>209.52070000000001</v>
      </c>
      <c r="J4949">
        <v>-467.67689999999999</v>
      </c>
      <c r="K4949">
        <v>1.1103540000000001</v>
      </c>
      <c r="L4949">
        <v>213.4675</v>
      </c>
      <c r="M4949">
        <v>0.99406559999999999</v>
      </c>
      <c r="N4949">
        <v>0</v>
      </c>
      <c r="O4949">
        <v>-0.10833189999999999</v>
      </c>
      <c r="P4949">
        <v>0.99504349999999997</v>
      </c>
      <c r="Q4949">
        <v>3.0573039999999999E-2</v>
      </c>
      <c r="R4949">
        <v>-9.4625119999999993E-2</v>
      </c>
      <c r="S4949">
        <v>2.9869379999999999</v>
      </c>
      <c r="T4949">
        <v>-9.097421E-2</v>
      </c>
      <c r="U4949">
        <v>-0.32479859999999999</v>
      </c>
      <c r="V4949">
        <v>-1.374536E-2</v>
      </c>
      <c r="W4949">
        <v>4.0449369999999998E-2</v>
      </c>
      <c r="X4949">
        <v>0.99908699999999995</v>
      </c>
      <c r="Y4949">
        <v>-1.8675049999999999E-4</v>
      </c>
      <c r="Z4949">
        <v>3.282377E-3</v>
      </c>
      <c r="AA4949">
        <v>0.99999459999999996</v>
      </c>
      <c r="AB4949">
        <v>17</v>
      </c>
      <c r="AC4949">
        <v>36.291899999999998</v>
      </c>
      <c r="AD4949">
        <v>-1.1103507148609999</v>
      </c>
      <c r="AE4949">
        <v>-3.9467999999999899</v>
      </c>
      <c r="AF4949">
        <v>-8.1851998602875398E-3</v>
      </c>
      <c r="AG4949">
        <v>-1.1103507148609999</v>
      </c>
      <c r="AH4949">
        <v>36.472137706374099</v>
      </c>
      <c r="AI4949">
        <v>91.743763011350694</v>
      </c>
      <c r="AJ4949">
        <v>90.012858511402996</v>
      </c>
      <c r="AK4949">
        <v>36.489036361353797</v>
      </c>
      <c r="AL4949">
        <v>87.681789271671406</v>
      </c>
      <c r="AM4949">
        <v>90.788221078047101</v>
      </c>
      <c r="AN4949">
        <v>0.99999996001196201</v>
      </c>
    </row>
    <row r="4950" spans="1:40" x14ac:dyDescent="0.25">
      <c r="A4950" t="str">
        <f>"20190312150750628"</f>
        <v>20190312150750628</v>
      </c>
      <c r="B4950" t="str">
        <f>"1552374470624581"</f>
        <v>1552374470624581</v>
      </c>
      <c r="C4950" t="s">
        <v>40</v>
      </c>
      <c r="D4950">
        <v>4.7082750000000004</v>
      </c>
      <c r="E4950">
        <v>0.50637979999999905</v>
      </c>
      <c r="F4950" t="s">
        <v>68</v>
      </c>
      <c r="G4950">
        <v>-431.94709999999998</v>
      </c>
      <c r="H4950" s="1">
        <v>3.528085E-6</v>
      </c>
      <c r="I4950">
        <v>209.5566</v>
      </c>
      <c r="J4950">
        <v>-467.51220000000001</v>
      </c>
      <c r="K4950">
        <v>1.110312</v>
      </c>
      <c r="L4950">
        <v>213.45009999999999</v>
      </c>
      <c r="M4950">
        <v>0.99411050000000001</v>
      </c>
      <c r="N4950">
        <v>0</v>
      </c>
      <c r="O4950">
        <v>-0.1079302</v>
      </c>
      <c r="P4950">
        <v>0.99508580000000002</v>
      </c>
      <c r="Q4950">
        <v>3.0469280000000001E-2</v>
      </c>
      <c r="R4950">
        <v>-9.4214480000000003E-2</v>
      </c>
      <c r="S4950">
        <v>2.9867249999999999</v>
      </c>
      <c r="T4950">
        <v>-9.2816350000000006E-2</v>
      </c>
      <c r="U4950">
        <v>-0.32691959999999998</v>
      </c>
      <c r="V4950">
        <v>-1.3750719999999999E-2</v>
      </c>
      <c r="W4950">
        <v>4.0231629999999997E-2</v>
      </c>
      <c r="X4950">
        <v>0.99909570000000003</v>
      </c>
      <c r="Y4950">
        <v>9.2826140000000002E-4</v>
      </c>
      <c r="Z4950">
        <v>3.319261E-3</v>
      </c>
      <c r="AA4950">
        <v>0.99999400000000005</v>
      </c>
      <c r="AB4950">
        <v>17</v>
      </c>
      <c r="AC4950">
        <v>35.565100000000001</v>
      </c>
      <c r="AD4950">
        <v>-1.110308471915</v>
      </c>
      <c r="AE4950">
        <v>-3.89349999999998</v>
      </c>
      <c r="AF4950">
        <v>3.1991592340163598E-2</v>
      </c>
      <c r="AG4950">
        <v>-1.110308471915</v>
      </c>
      <c r="AH4950">
        <v>35.743148214155298</v>
      </c>
      <c r="AI4950">
        <v>91.779236497651496</v>
      </c>
      <c r="AJ4950">
        <v>89.948717927124207</v>
      </c>
      <c r="AK4950">
        <v>35.760403418080401</v>
      </c>
      <c r="AL4950">
        <v>87.694274977316496</v>
      </c>
      <c r="AM4950">
        <v>90.788521540335495</v>
      </c>
      <c r="AN4950">
        <v>0.99999994205573095</v>
      </c>
    </row>
    <row r="4951" spans="1:40" x14ac:dyDescent="0.25">
      <c r="A4951" t="str">
        <f>"20190312150750650"</f>
        <v>20190312150750650</v>
      </c>
      <c r="B4951" t="str">
        <f>"1552374470645076"</f>
        <v>1552374470645076</v>
      </c>
      <c r="C4951" t="s">
        <v>40</v>
      </c>
      <c r="D4951">
        <v>4.7051360000000004</v>
      </c>
      <c r="E4951">
        <v>0.50680559999999997</v>
      </c>
      <c r="F4951" t="s">
        <v>68</v>
      </c>
      <c r="G4951">
        <v>-432.73270000000002</v>
      </c>
      <c r="H4951" s="1">
        <v>3.8693149999999997E-6</v>
      </c>
      <c r="I4951">
        <v>209.59729999999999</v>
      </c>
      <c r="J4951">
        <v>-467.34480000000002</v>
      </c>
      <c r="K4951">
        <v>1.110277</v>
      </c>
      <c r="L4951">
        <v>213.4323</v>
      </c>
      <c r="M4951">
        <v>0.9941508</v>
      </c>
      <c r="N4951">
        <v>0</v>
      </c>
      <c r="O4951">
        <v>-0.1075692</v>
      </c>
      <c r="P4951">
        <v>0.99506819999999896</v>
      </c>
      <c r="Q4951">
        <v>3.0675939999999999E-2</v>
      </c>
      <c r="R4951">
        <v>-9.4333269999999997E-2</v>
      </c>
      <c r="S4951">
        <v>2.986389</v>
      </c>
      <c r="T4951">
        <v>-9.5338229999999996E-2</v>
      </c>
      <c r="U4951">
        <v>-0.3308258</v>
      </c>
      <c r="V4951">
        <v>-1.326569E-2</v>
      </c>
      <c r="W4951">
        <v>4.0325020000000003E-2</v>
      </c>
      <c r="X4951">
        <v>0.9990985</v>
      </c>
      <c r="Y4951">
        <v>2.597762E-3</v>
      </c>
      <c r="Z4951">
        <v>3.371513E-3</v>
      </c>
      <c r="AA4951">
        <v>0.99999090000000002</v>
      </c>
      <c r="AB4951">
        <v>17</v>
      </c>
      <c r="AC4951">
        <v>34.612099999999998</v>
      </c>
      <c r="AD4951">
        <v>-1.110273130685</v>
      </c>
      <c r="AE4951">
        <v>-3.835</v>
      </c>
      <c r="AF4951">
        <v>8.92858107581182E-2</v>
      </c>
      <c r="AG4951">
        <v>-1.110273130685</v>
      </c>
      <c r="AH4951">
        <v>34.788432856775302</v>
      </c>
      <c r="AI4951">
        <v>91.827968804083596</v>
      </c>
      <c r="AJ4951">
        <v>89.852948567261294</v>
      </c>
      <c r="AK4951">
        <v>34.806260054925303</v>
      </c>
      <c r="AL4951">
        <v>87.688919795008502</v>
      </c>
      <c r="AM4951">
        <v>90.760709167651896</v>
      </c>
      <c r="AN4951">
        <v>0.999999949235712</v>
      </c>
    </row>
    <row r="4952" spans="1:40" x14ac:dyDescent="0.25">
      <c r="A4952" t="str">
        <f>"20190312150750673"</f>
        <v>20190312150750673</v>
      </c>
      <c r="B4952" t="str">
        <f>"1552374470664596"</f>
        <v>1552374470664596</v>
      </c>
      <c r="C4952" t="s">
        <v>40</v>
      </c>
      <c r="D4952">
        <v>4.7482530000000001</v>
      </c>
      <c r="E4952">
        <v>0.5068684</v>
      </c>
      <c r="F4952" t="s">
        <v>68</v>
      </c>
      <c r="G4952">
        <v>-432.58760000000001</v>
      </c>
      <c r="H4952" s="1">
        <v>3.8155719999999996E-6</v>
      </c>
      <c r="I4952">
        <v>209.5368</v>
      </c>
      <c r="J4952">
        <v>-467.16910000000001</v>
      </c>
      <c r="K4952">
        <v>1.110257</v>
      </c>
      <c r="L4952">
        <v>213.41370000000001</v>
      </c>
      <c r="M4952">
        <v>0.99418859999999998</v>
      </c>
      <c r="N4952">
        <v>0</v>
      </c>
      <c r="O4952">
        <v>-0.1072292</v>
      </c>
      <c r="P4952">
        <v>0.9950949</v>
      </c>
      <c r="Q4952">
        <v>3.0870330000000001E-2</v>
      </c>
      <c r="R4952">
        <v>-9.3985360000000004E-2</v>
      </c>
      <c r="S4952">
        <v>2.986084</v>
      </c>
      <c r="T4952">
        <v>-9.5386269999999995E-2</v>
      </c>
      <c r="U4952">
        <v>-0.334671</v>
      </c>
      <c r="V4952">
        <v>-1.3271369999999999E-2</v>
      </c>
      <c r="W4952">
        <v>4.0400779999999997E-2</v>
      </c>
      <c r="X4952">
        <v>0.99909539999999997</v>
      </c>
      <c r="Y4952">
        <v>4.2220119999999998E-3</v>
      </c>
      <c r="Z4952">
        <v>3.3366519999999998E-3</v>
      </c>
      <c r="AA4952">
        <v>0.99998549999999997</v>
      </c>
      <c r="AB4952">
        <v>17</v>
      </c>
      <c r="AC4952">
        <v>34.581499999999998</v>
      </c>
      <c r="AD4952">
        <v>-1.1102531844279999</v>
      </c>
      <c r="AE4952">
        <v>-3.8769</v>
      </c>
      <c r="AF4952">
        <v>0.14608114655211399</v>
      </c>
      <c r="AG4952">
        <v>-1.1102531844279999</v>
      </c>
      <c r="AH4952">
        <v>34.762445126920497</v>
      </c>
      <c r="AI4952">
        <v>91.829291468015199</v>
      </c>
      <c r="AJ4952">
        <v>89.759229137478002</v>
      </c>
      <c r="AK4952">
        <v>34.780477182423297</v>
      </c>
      <c r="AL4952">
        <v>87.684575609861</v>
      </c>
      <c r="AM4952">
        <v>90.761037204954704</v>
      </c>
      <c r="AN4952">
        <v>0.99999998529372203</v>
      </c>
    </row>
    <row r="4953" spans="1:40" x14ac:dyDescent="0.25">
      <c r="A4953" t="str">
        <f>"20190312150750695"</f>
        <v>20190312150750695</v>
      </c>
      <c r="B4953" t="str">
        <f>"1552374470685095"</f>
        <v>1552374470685095</v>
      </c>
      <c r="C4953" t="s">
        <v>40</v>
      </c>
      <c r="D4953">
        <v>4.8450620000000004</v>
      </c>
      <c r="E4953">
        <v>0.48278840000000001</v>
      </c>
      <c r="F4953" t="s">
        <v>68</v>
      </c>
      <c r="G4953">
        <v>-432.50200000000001</v>
      </c>
      <c r="H4953" s="1">
        <v>3.7780539999999999E-6</v>
      </c>
      <c r="I4953">
        <v>209.5343</v>
      </c>
      <c r="J4953">
        <v>-467.00139999999999</v>
      </c>
      <c r="K4953">
        <v>1.1102369999999999</v>
      </c>
      <c r="L4953">
        <v>213.39599999999999</v>
      </c>
      <c r="M4953">
        <v>0.99422200000000005</v>
      </c>
      <c r="N4953">
        <v>0</v>
      </c>
      <c r="O4953">
        <v>-0.10692889999999999</v>
      </c>
      <c r="P4953">
        <v>0.99517699999999998</v>
      </c>
      <c r="Q4953">
        <v>3.1356090000000003E-2</v>
      </c>
      <c r="R4953">
        <v>-9.2950950000000004E-2</v>
      </c>
      <c r="S4953">
        <v>2.9862060000000001</v>
      </c>
      <c r="T4953">
        <v>-9.5636609999999997E-2</v>
      </c>
      <c r="U4953">
        <v>-0.33416750000000001</v>
      </c>
      <c r="V4953">
        <v>-1.400672E-2</v>
      </c>
      <c r="W4953">
        <v>4.0775260000000001E-2</v>
      </c>
      <c r="X4953">
        <v>0.99907020000000002</v>
      </c>
      <c r="Y4953">
        <v>4.3531539999999997E-3</v>
      </c>
      <c r="Z4953">
        <v>3.333697E-3</v>
      </c>
      <c r="AA4953">
        <v>0.99998500000000001</v>
      </c>
      <c r="AB4953">
        <v>17</v>
      </c>
      <c r="AC4953">
        <v>34.499400000000001</v>
      </c>
      <c r="AD4953">
        <v>-1.110233221946</v>
      </c>
      <c r="AE4953">
        <v>-3.8616999999999799</v>
      </c>
      <c r="AF4953">
        <v>0.150257199494753</v>
      </c>
      <c r="AG4953">
        <v>-1.110233221946</v>
      </c>
      <c r="AH4953">
        <v>34.679061283190798</v>
      </c>
      <c r="AI4953">
        <v>91.833652928778093</v>
      </c>
      <c r="AJ4953">
        <v>89.751750791936502</v>
      </c>
      <c r="AK4953">
        <v>34.697153867664902</v>
      </c>
      <c r="AL4953">
        <v>87.663101912322304</v>
      </c>
      <c r="AM4953">
        <v>90.803220201391497</v>
      </c>
      <c r="AN4953">
        <v>1.0000000372806299</v>
      </c>
    </row>
    <row r="4954" spans="1:40" x14ac:dyDescent="0.25">
      <c r="A4954" t="str">
        <f>"20190312150750718"</f>
        <v>20190312150750718</v>
      </c>
      <c r="B4954" t="str">
        <f>"1552374470714372"</f>
        <v>1552374470714372</v>
      </c>
      <c r="C4954" t="s">
        <v>40</v>
      </c>
      <c r="D4954">
        <v>4.8000379999999998</v>
      </c>
      <c r="E4954">
        <v>0.47674420000000001</v>
      </c>
      <c r="F4954" t="s">
        <v>67</v>
      </c>
      <c r="G4954">
        <v>-452.76609999999999</v>
      </c>
      <c r="H4954" s="1">
        <v>1.697922E-8</v>
      </c>
      <c r="I4954">
        <v>212.745</v>
      </c>
      <c r="J4954">
        <v>-466.83210000000003</v>
      </c>
      <c r="K4954">
        <v>1.110225</v>
      </c>
      <c r="L4954">
        <v>213.37809999999999</v>
      </c>
      <c r="M4954">
        <v>0.99425439999999998</v>
      </c>
      <c r="N4954">
        <v>0</v>
      </c>
      <c r="O4954">
        <v>-0.1066366</v>
      </c>
      <c r="P4954">
        <v>0.99526970000000003</v>
      </c>
      <c r="Q4954">
        <v>3.1405879999999997E-2</v>
      </c>
      <c r="R4954">
        <v>-9.1935840000000005E-2</v>
      </c>
      <c r="S4954">
        <v>3.0090940000000002</v>
      </c>
      <c r="T4954">
        <v>-0.23468449999999999</v>
      </c>
      <c r="U4954">
        <v>-0.137603799999999</v>
      </c>
      <c r="V4954">
        <v>-1.4732769999999999E-2</v>
      </c>
      <c r="W4954">
        <v>4.0717610000000001E-2</v>
      </c>
      <c r="X4954">
        <v>0.99906209999999995</v>
      </c>
      <c r="Y4954">
        <v>-6.0603560000000001E-2</v>
      </c>
      <c r="Z4954">
        <v>1.064176E-2</v>
      </c>
      <c r="AA4954">
        <v>0.99810520000000003</v>
      </c>
      <c r="AB4954">
        <v>17</v>
      </c>
      <c r="AC4954">
        <v>14.066000000000001</v>
      </c>
      <c r="AD4954">
        <v>-1.11022498302078</v>
      </c>
      <c r="AE4954">
        <v>-0.63309999999998401</v>
      </c>
      <c r="AF4954">
        <v>-0.86514686894939596</v>
      </c>
      <c r="AG4954">
        <v>-1.11022498302078</v>
      </c>
      <c r="AH4954">
        <v>13.9664703733603</v>
      </c>
      <c r="AI4954">
        <v>94.536349841040504</v>
      </c>
      <c r="AJ4954">
        <v>93.544632772718401</v>
      </c>
      <c r="AK4954">
        <v>14.0372138726931</v>
      </c>
      <c r="AL4954">
        <v>87.666407739917702</v>
      </c>
      <c r="AM4954">
        <v>90.844856752191305</v>
      </c>
      <c r="AN4954">
        <v>1.0000000289661899</v>
      </c>
    </row>
    <row r="4955" spans="1:40" x14ac:dyDescent="0.25">
      <c r="A4955" t="str">
        <f>"20190312150750741"</f>
        <v>20190312150750741</v>
      </c>
      <c r="B4955" t="str">
        <f>"1552374470734868"</f>
        <v>1552374470734868</v>
      </c>
      <c r="C4955" t="s">
        <v>40</v>
      </c>
      <c r="D4955">
        <v>4.5628390000000003</v>
      </c>
      <c r="E4955">
        <v>0.47597430000000002</v>
      </c>
      <c r="F4955" t="s">
        <v>67</v>
      </c>
      <c r="G4955">
        <v>-453.50450000000001</v>
      </c>
      <c r="H4955" s="1">
        <v>3.9887430000000001E-7</v>
      </c>
      <c r="I4955">
        <v>212.9973</v>
      </c>
      <c r="J4955">
        <v>-466.65350000000001</v>
      </c>
      <c r="K4955">
        <v>1.110223</v>
      </c>
      <c r="L4955">
        <v>213.35939999999999</v>
      </c>
      <c r="M4955">
        <v>0.99428839999999996</v>
      </c>
      <c r="N4955">
        <v>0</v>
      </c>
      <c r="O4955">
        <v>-0.10632850000000001</v>
      </c>
      <c r="P4955">
        <v>0.99535709999999999</v>
      </c>
      <c r="Q4955">
        <v>2.9915310000000001E-2</v>
      </c>
      <c r="R4955">
        <v>-9.1483919999999996E-2</v>
      </c>
      <c r="S4955">
        <v>3.01416</v>
      </c>
      <c r="T4955">
        <v>-0.251087</v>
      </c>
      <c r="U4955">
        <v>-8.612061E-2</v>
      </c>
      <c r="V4955">
        <v>-1.488283E-2</v>
      </c>
      <c r="W4955">
        <v>3.9124819999999998E-2</v>
      </c>
      <c r="X4955">
        <v>0.99912350000000005</v>
      </c>
      <c r="Y4955">
        <v>-7.7257359999999997E-2</v>
      </c>
      <c r="Z4955">
        <v>1.2036410000000001E-2</v>
      </c>
      <c r="AA4955">
        <v>0.99693849999999995</v>
      </c>
      <c r="AB4955">
        <v>17</v>
      </c>
      <c r="AC4955">
        <v>13.148999999999999</v>
      </c>
      <c r="AD4955">
        <v>-1.1102226011256999</v>
      </c>
      <c r="AE4955">
        <v>-0.36209999999999798</v>
      </c>
      <c r="AF4955">
        <v>-1.0307826650765399</v>
      </c>
      <c r="AG4955">
        <v>-1.1102226011256999</v>
      </c>
      <c r="AH4955">
        <v>13.0202039135501</v>
      </c>
      <c r="AI4955">
        <v>94.858647916430797</v>
      </c>
      <c r="AJ4955">
        <v>94.526547531443299</v>
      </c>
      <c r="AK4955">
        <v>13.108043983642199</v>
      </c>
      <c r="AL4955">
        <v>87.757740655153796</v>
      </c>
      <c r="AM4955">
        <v>90.853408297448894</v>
      </c>
      <c r="AN4955">
        <v>1.0000000092105401</v>
      </c>
    </row>
    <row r="4956" spans="1:40" x14ac:dyDescent="0.25">
      <c r="A4956" t="str">
        <f>"20190312150750763"</f>
        <v>20190312150750763</v>
      </c>
      <c r="B4956" t="str">
        <f>"1552374470755364"</f>
        <v>1552374470755364</v>
      </c>
      <c r="C4956" t="s">
        <v>40</v>
      </c>
      <c r="D4956">
        <v>4.7718590000000001</v>
      </c>
      <c r="E4956">
        <v>0.47609699999999999</v>
      </c>
      <c r="F4956" t="s">
        <v>67</v>
      </c>
      <c r="G4956">
        <v>-453.4323</v>
      </c>
      <c r="H4956" s="1">
        <v>3.5969519999999998E-7</v>
      </c>
      <c r="I4956">
        <v>213.01499999999999</v>
      </c>
      <c r="J4956">
        <v>-466.48790000000002</v>
      </c>
      <c r="K4956">
        <v>1.1102299999999901</v>
      </c>
      <c r="L4956">
        <v>213.34200000000001</v>
      </c>
      <c r="M4956">
        <v>0.99432069999999995</v>
      </c>
      <c r="N4956">
        <v>0</v>
      </c>
      <c r="O4956">
        <v>-0.1060333</v>
      </c>
      <c r="P4956">
        <v>0.99536619999999998</v>
      </c>
      <c r="Q4956">
        <v>2.86381E-2</v>
      </c>
      <c r="R4956">
        <v>-9.1793520000000003E-2</v>
      </c>
      <c r="S4956">
        <v>3.0143740000000001</v>
      </c>
      <c r="T4956">
        <v>-0.2531253</v>
      </c>
      <c r="U4956">
        <v>-7.8506469999999995E-2</v>
      </c>
      <c r="V4956">
        <v>-1.427996E-2</v>
      </c>
      <c r="W4956">
        <v>3.7760639999999998E-2</v>
      </c>
      <c r="X4956">
        <v>0.99918479999999998</v>
      </c>
      <c r="Y4956">
        <v>-7.9462420000000006E-2</v>
      </c>
      <c r="Z4956">
        <v>1.2201409999999999E-2</v>
      </c>
      <c r="AA4956">
        <v>0.99676319999999996</v>
      </c>
      <c r="AB4956">
        <v>17</v>
      </c>
      <c r="AC4956">
        <v>13.0556</v>
      </c>
      <c r="AD4956">
        <v>-1.11022964030479</v>
      </c>
      <c r="AE4956">
        <v>-0.32700000000002599</v>
      </c>
      <c r="AF4956">
        <v>-1.0516294393821</v>
      </c>
      <c r="AG4956">
        <v>-1.11022964030479</v>
      </c>
      <c r="AH4956">
        <v>12.923271461712799</v>
      </c>
      <c r="AI4956">
        <v>94.894087884473393</v>
      </c>
      <c r="AJ4956">
        <v>94.652185535029204</v>
      </c>
      <c r="AK4956">
        <v>13.013434581427999</v>
      </c>
      <c r="AL4956">
        <v>87.835960268285902</v>
      </c>
      <c r="AM4956">
        <v>90.818793222120405</v>
      </c>
      <c r="AN4956">
        <v>1.0000000238709199</v>
      </c>
    </row>
    <row r="4957" spans="1:40" x14ac:dyDescent="0.25">
      <c r="A4957" t="str">
        <f>"20190312150750785"</f>
        <v>20190312150750785</v>
      </c>
      <c r="B4957" t="str">
        <f>"1552374470774887"</f>
        <v>1552374470774887</v>
      </c>
      <c r="C4957" t="s">
        <v>40</v>
      </c>
      <c r="D4957">
        <v>4.8200240000000001</v>
      </c>
      <c r="E4957">
        <v>0.4758887</v>
      </c>
      <c r="F4957" t="s">
        <v>67</v>
      </c>
      <c r="G4957">
        <v>-453.7552</v>
      </c>
      <c r="H4957" s="1">
        <v>5.3202620000000001E-7</v>
      </c>
      <c r="I4957">
        <v>213.00309999999999</v>
      </c>
      <c r="J4957">
        <v>-466.31779999999998</v>
      </c>
      <c r="K4957">
        <v>1.110233</v>
      </c>
      <c r="L4957">
        <v>213.32419999999999</v>
      </c>
      <c r="M4957">
        <v>0.99435560000000001</v>
      </c>
      <c r="N4957">
        <v>0</v>
      </c>
      <c r="O4957">
        <v>-0.1057136</v>
      </c>
      <c r="P4957">
        <v>0.9953381</v>
      </c>
      <c r="Q4957">
        <v>2.7780590000000001E-2</v>
      </c>
      <c r="R4957">
        <v>-9.2362840000000002E-2</v>
      </c>
      <c r="S4957">
        <v>3.0140989999999999</v>
      </c>
      <c r="T4957">
        <v>-0.26281270000000001</v>
      </c>
      <c r="U4957">
        <v>-8.0215449999999994E-2</v>
      </c>
      <c r="V4957">
        <v>-1.339042E-2</v>
      </c>
      <c r="W4957">
        <v>3.6819060000000001E-2</v>
      </c>
      <c r="X4957">
        <v>0.99923220000000001</v>
      </c>
      <c r="Y4957">
        <v>-7.8528609999999999E-2</v>
      </c>
      <c r="Z4957">
        <v>1.2599310000000001E-2</v>
      </c>
      <c r="AA4957">
        <v>0.9968323</v>
      </c>
      <c r="AB4957">
        <v>17</v>
      </c>
      <c r="AC4957">
        <v>12.5625999999999</v>
      </c>
      <c r="AD4957">
        <v>-1.1102324679738</v>
      </c>
      <c r="AE4957">
        <v>-0.321100000000001</v>
      </c>
      <c r="AF4957">
        <v>-1.0009783789571001</v>
      </c>
      <c r="AG4957">
        <v>-1.1102324679738</v>
      </c>
      <c r="AH4957">
        <v>12.4291350882262</v>
      </c>
      <c r="AI4957">
        <v>95.088011727230807</v>
      </c>
      <c r="AJ4957">
        <v>94.604369040033205</v>
      </c>
      <c r="AK4957">
        <v>12.5187049206161</v>
      </c>
      <c r="AL4957">
        <v>87.8899462589644</v>
      </c>
      <c r="AM4957">
        <v>90.767758116328693</v>
      </c>
      <c r="AN4957">
        <v>0.99999996802194902</v>
      </c>
    </row>
    <row r="4958" spans="1:40" x14ac:dyDescent="0.25">
      <c r="A4958" t="str">
        <f>"20190312150750807"</f>
        <v>20190312150750807</v>
      </c>
      <c r="B4958" t="str">
        <f>"1552374470794407"</f>
        <v>1552374470794407</v>
      </c>
      <c r="C4958" t="s">
        <v>40</v>
      </c>
      <c r="D4958">
        <v>4.8413269999999997</v>
      </c>
      <c r="E4958">
        <v>0.47571770000000002</v>
      </c>
      <c r="F4958" t="s">
        <v>67</v>
      </c>
      <c r="G4958">
        <v>-453.60270000000003</v>
      </c>
      <c r="H4958" s="1">
        <v>4.5167610000000002E-7</v>
      </c>
      <c r="I4958">
        <v>212.98509999999999</v>
      </c>
      <c r="J4958">
        <v>-466.14550000000003</v>
      </c>
      <c r="K4958">
        <v>1.1102350000000001</v>
      </c>
      <c r="L4958">
        <v>213.30629999999999</v>
      </c>
      <c r="M4958">
        <v>0.99439359999999999</v>
      </c>
      <c r="N4958">
        <v>0</v>
      </c>
      <c r="O4958">
        <v>-0.105361999999999</v>
      </c>
      <c r="P4958">
        <v>0.99536749999999996</v>
      </c>
      <c r="Q4958">
        <v>2.727255E-2</v>
      </c>
      <c r="R4958">
        <v>-9.2195349999999995E-2</v>
      </c>
      <c r="S4958">
        <v>3.0139770000000001</v>
      </c>
      <c r="T4958">
        <v>-0.26316790000000001</v>
      </c>
      <c r="U4958">
        <v>-8.0383300000000005E-2</v>
      </c>
      <c r="V4958">
        <v>-1.320821E-2</v>
      </c>
      <c r="W4958">
        <v>3.6232479999999997E-2</v>
      </c>
      <c r="X4958">
        <v>0.99925609999999998</v>
      </c>
      <c r="Y4958">
        <v>-7.8120460000000003E-2</v>
      </c>
      <c r="Z4958">
        <v>1.256849E-2</v>
      </c>
      <c r="AA4958">
        <v>0.99686470000000005</v>
      </c>
      <c r="AB4958">
        <v>17</v>
      </c>
      <c r="AC4958">
        <v>12.5428</v>
      </c>
      <c r="AD4958">
        <v>-1.1102345483239</v>
      </c>
      <c r="AE4958">
        <v>-0.32120000000000398</v>
      </c>
      <c r="AF4958">
        <v>-0.99438950357646905</v>
      </c>
      <c r="AG4958">
        <v>-1.1102345483239</v>
      </c>
      <c r="AH4958">
        <v>12.4096576830036</v>
      </c>
      <c r="AI4958">
        <v>95.096128711834396</v>
      </c>
      <c r="AJ4958">
        <v>94.581338936443004</v>
      </c>
      <c r="AK4958">
        <v>12.4988413481589</v>
      </c>
      <c r="AL4958">
        <v>87.923577329797894</v>
      </c>
      <c r="AM4958">
        <v>90.7572939698114</v>
      </c>
      <c r="AN4958">
        <v>1.0000000014027799</v>
      </c>
    </row>
    <row r="4959" spans="1:40" x14ac:dyDescent="0.25">
      <c r="A4959" t="str">
        <f>"20190312150750829"</f>
        <v>20190312150750829</v>
      </c>
      <c r="B4959" t="str">
        <f>"1552374470824659"</f>
        <v>1552374470824659</v>
      </c>
      <c r="C4959" t="s">
        <v>40</v>
      </c>
      <c r="D4959">
        <v>4.7015379999999896</v>
      </c>
      <c r="E4959">
        <v>0.47559230000000002</v>
      </c>
      <c r="F4959" t="s">
        <v>67</v>
      </c>
      <c r="G4959">
        <v>-453.3897</v>
      </c>
      <c r="H4959" s="1">
        <v>3.3887680000000001E-7</v>
      </c>
      <c r="I4959">
        <v>212.97329999999999</v>
      </c>
      <c r="J4959">
        <v>-465.97500000000002</v>
      </c>
      <c r="K4959">
        <v>1.1102449999999999</v>
      </c>
      <c r="L4959">
        <v>213.28870000000001</v>
      </c>
      <c r="M4959">
        <v>0.99443380000000003</v>
      </c>
      <c r="N4959">
        <v>0</v>
      </c>
      <c r="O4959">
        <v>-0.10498830000000001</v>
      </c>
      <c r="P4959">
        <v>0.99535229999999997</v>
      </c>
      <c r="Q4959">
        <v>2.7106720000000001E-2</v>
      </c>
      <c r="R4959">
        <v>-9.2410409999999998E-2</v>
      </c>
      <c r="S4959">
        <v>3.013855</v>
      </c>
      <c r="T4959">
        <v>-0.26231929999999998</v>
      </c>
      <c r="U4959">
        <v>-7.8689579999999995E-2</v>
      </c>
      <c r="V4959">
        <v>-1.261843E-2</v>
      </c>
      <c r="W4959">
        <v>3.5997550000000003E-2</v>
      </c>
      <c r="X4959">
        <v>0.99927220000000005</v>
      </c>
      <c r="Y4959">
        <v>-7.8309619999999996E-2</v>
      </c>
      <c r="Z4959">
        <v>1.2504690000000001E-2</v>
      </c>
      <c r="AA4959">
        <v>0.99685069999999998</v>
      </c>
      <c r="AB4959">
        <v>17</v>
      </c>
      <c r="AC4959">
        <v>12.5853</v>
      </c>
      <c r="AD4959">
        <v>-1.1102446611232</v>
      </c>
      <c r="AE4959">
        <v>-0.315400000000011</v>
      </c>
      <c r="AF4959">
        <v>-0.99992767962102103</v>
      </c>
      <c r="AG4959">
        <v>-1.1102446611232</v>
      </c>
      <c r="AH4959">
        <v>12.452010945377101</v>
      </c>
      <c r="AI4959">
        <v>95.078862635237897</v>
      </c>
      <c r="AJ4959">
        <v>94.591142922490107</v>
      </c>
      <c r="AK4959">
        <v>12.541334664054601</v>
      </c>
      <c r="AL4959">
        <v>87.937046588592096</v>
      </c>
      <c r="AM4959">
        <v>90.723470900706104</v>
      </c>
      <c r="AN4959">
        <v>0.99999998903725296</v>
      </c>
    </row>
    <row r="4960" spans="1:40" x14ac:dyDescent="0.25">
      <c r="A4960" t="str">
        <f>"20190312150750851"</f>
        <v>20190312150750851</v>
      </c>
      <c r="B4960" t="str">
        <f>"1552374470845156"</f>
        <v>1552374470845156</v>
      </c>
      <c r="C4960" t="s">
        <v>40</v>
      </c>
      <c r="D4960">
        <v>4.6978210000000002</v>
      </c>
      <c r="E4960">
        <v>0.47547869999999998</v>
      </c>
      <c r="F4960" t="s">
        <v>67</v>
      </c>
      <c r="G4960">
        <v>-453.06959999999998</v>
      </c>
      <c r="H4960" s="1">
        <v>1.6950600000000001E-7</v>
      </c>
      <c r="I4960">
        <v>212.95079999999999</v>
      </c>
      <c r="J4960">
        <v>-465.80239999999998</v>
      </c>
      <c r="K4960">
        <v>1.1102620000000001</v>
      </c>
      <c r="L4960">
        <v>213.27090000000001</v>
      </c>
      <c r="M4960">
        <v>0.99447750000000001</v>
      </c>
      <c r="N4960">
        <v>0</v>
      </c>
      <c r="O4960">
        <v>-0.104578</v>
      </c>
      <c r="P4960">
        <v>0.99532759999999998</v>
      </c>
      <c r="Q4960">
        <v>2.6892679999999999E-2</v>
      </c>
      <c r="R4960">
        <v>-9.2734990000000003E-2</v>
      </c>
      <c r="S4960">
        <v>3.0137939999999999</v>
      </c>
      <c r="T4960">
        <v>-0.25927470000000002</v>
      </c>
      <c r="U4960">
        <v>-7.8903199999999896E-2</v>
      </c>
      <c r="V4960">
        <v>-1.188284E-2</v>
      </c>
      <c r="W4960">
        <v>3.5722579999999997E-2</v>
      </c>
      <c r="X4960">
        <v>0.99929109999999999</v>
      </c>
      <c r="Y4960">
        <v>-7.7846209999999999E-2</v>
      </c>
      <c r="Z4960">
        <v>1.230537E-2</v>
      </c>
      <c r="AA4960">
        <v>0.99688940000000004</v>
      </c>
      <c r="AB4960">
        <v>17</v>
      </c>
      <c r="AC4960">
        <v>12.7327999999999</v>
      </c>
      <c r="AD4960">
        <v>-1.110261830494</v>
      </c>
      <c r="AE4960">
        <v>-0.32010000000002398</v>
      </c>
      <c r="AF4960">
        <v>-1.00563665794499</v>
      </c>
      <c r="AG4960">
        <v>-1.110261830494</v>
      </c>
      <c r="AH4960">
        <v>12.600706715269</v>
      </c>
      <c r="AI4960">
        <v>95.019510703669198</v>
      </c>
      <c r="AJ4960">
        <v>94.562987804798198</v>
      </c>
      <c r="AK4960">
        <v>12.689436399788599</v>
      </c>
      <c r="AL4960">
        <v>87.952811378641599</v>
      </c>
      <c r="AM4960">
        <v>90.681287457411599</v>
      </c>
      <c r="AN4960">
        <v>1.00000000357376</v>
      </c>
    </row>
    <row r="4961" spans="1:40" x14ac:dyDescent="0.25">
      <c r="A4961" t="str">
        <f>"20190312150750874"</f>
        <v>20190312150750874</v>
      </c>
      <c r="B4961" t="str">
        <f>"1552374470864675"</f>
        <v>1552374470864675</v>
      </c>
      <c r="C4961" t="s">
        <v>40</v>
      </c>
      <c r="D4961">
        <v>4.6820789999999999</v>
      </c>
      <c r="E4961">
        <v>0.47535430000000001</v>
      </c>
      <c r="F4961" t="s">
        <v>67</v>
      </c>
      <c r="G4961">
        <v>-452.84410000000003</v>
      </c>
      <c r="H4961" s="1">
        <v>5.0375610000000002E-8</v>
      </c>
      <c r="I4961">
        <v>212.9306</v>
      </c>
      <c r="J4961">
        <v>-465.62079999999997</v>
      </c>
      <c r="K4961">
        <v>1.110295</v>
      </c>
      <c r="L4961">
        <v>213.25229999999999</v>
      </c>
      <c r="M4961">
        <v>0.99452839999999998</v>
      </c>
      <c r="N4961">
        <v>0</v>
      </c>
      <c r="O4961">
        <v>-0.1040983</v>
      </c>
      <c r="P4961">
        <v>0.99528119999999998</v>
      </c>
      <c r="Q4961">
        <v>2.632408E-2</v>
      </c>
      <c r="R4961">
        <v>-9.3396019999999996E-2</v>
      </c>
      <c r="S4961">
        <v>3.0137019999999999</v>
      </c>
      <c r="T4961">
        <v>-0.25821189999999999</v>
      </c>
      <c r="U4961">
        <v>-7.91626E-2</v>
      </c>
      <c r="V4961">
        <v>-1.0740909999999999E-2</v>
      </c>
      <c r="W4961">
        <v>3.5099279999999997E-2</v>
      </c>
      <c r="X4961">
        <v>0.99932609999999999</v>
      </c>
      <c r="Y4961">
        <v>-7.7287930000000005E-2</v>
      </c>
      <c r="Z4961">
        <v>1.219076E-2</v>
      </c>
      <c r="AA4961">
        <v>0.99693430000000005</v>
      </c>
      <c r="AB4961">
        <v>18</v>
      </c>
      <c r="AC4961">
        <v>12.7766999999999</v>
      </c>
      <c r="AD4961">
        <v>-1.1102949496243899</v>
      </c>
      <c r="AE4961">
        <v>-0.32169999999999199</v>
      </c>
      <c r="AF4961">
        <v>-1.0025655722398299</v>
      </c>
      <c r="AG4961">
        <v>-1.1102949496243899</v>
      </c>
      <c r="AH4961">
        <v>12.6453366198274</v>
      </c>
      <c r="AI4961">
        <v>95.002239885652799</v>
      </c>
      <c r="AJ4961">
        <v>94.533123197991699</v>
      </c>
      <c r="AK4961">
        <v>12.7335160435187</v>
      </c>
      <c r="AL4961">
        <v>87.988546223513396</v>
      </c>
      <c r="AM4961">
        <v>90.615800102545705</v>
      </c>
      <c r="AN4961">
        <v>0.99999999037267795</v>
      </c>
    </row>
    <row r="4962" spans="1:40" x14ac:dyDescent="0.25">
      <c r="A4962" t="str">
        <f>"20190312150750896"</f>
        <v>20190312150750896</v>
      </c>
      <c r="B4962" t="str">
        <f>"1552374470885173"</f>
        <v>1552374470885173</v>
      </c>
      <c r="C4962" t="s">
        <v>40</v>
      </c>
      <c r="D4962">
        <v>4.6661239999999999</v>
      </c>
      <c r="E4962">
        <v>0.47515619999999997</v>
      </c>
      <c r="F4962" t="s">
        <v>67</v>
      </c>
      <c r="G4962">
        <v>-452.61149999999998</v>
      </c>
      <c r="H4962" s="1">
        <v>-7.235188E-8</v>
      </c>
      <c r="I4962">
        <v>212.90629999999999</v>
      </c>
      <c r="J4962">
        <v>-465.44580000000002</v>
      </c>
      <c r="K4962">
        <v>1.11032999999999</v>
      </c>
      <c r="L4962">
        <v>213.2346</v>
      </c>
      <c r="M4962">
        <v>0.99458349999999995</v>
      </c>
      <c r="N4962">
        <v>0</v>
      </c>
      <c r="O4962">
        <v>-0.1035737</v>
      </c>
      <c r="P4962">
        <v>0.99525739999999996</v>
      </c>
      <c r="Q4962">
        <v>2.5648850000000001E-2</v>
      </c>
      <c r="R4962">
        <v>-9.3836020000000006E-2</v>
      </c>
      <c r="S4962">
        <v>3.01355</v>
      </c>
      <c r="T4962">
        <v>-0.25719520000000001</v>
      </c>
      <c r="U4962">
        <v>-8.0169679999999993E-2</v>
      </c>
      <c r="V4962">
        <v>-9.776201E-3</v>
      </c>
      <c r="W4962">
        <v>3.4378730000000003E-2</v>
      </c>
      <c r="X4962">
        <v>0.99936100000000005</v>
      </c>
      <c r="Y4962">
        <v>-7.6437850000000002E-2</v>
      </c>
      <c r="Z4962">
        <v>1.206277E-2</v>
      </c>
      <c r="AA4962">
        <v>0.99700129999999998</v>
      </c>
      <c r="AB4962">
        <v>18</v>
      </c>
      <c r="AC4962">
        <v>12.834300000000001</v>
      </c>
      <c r="AD4962">
        <v>-1.1103300723518801</v>
      </c>
      <c r="AE4962">
        <v>-0.32830000000001203</v>
      </c>
      <c r="AF4962">
        <v>-0.99536745229396495</v>
      </c>
      <c r="AG4962">
        <v>-1.1103300723518801</v>
      </c>
      <c r="AH4962">
        <v>12.7042514568258</v>
      </c>
      <c r="AI4962">
        <v>94.979678615419601</v>
      </c>
      <c r="AJ4962">
        <v>94.4799244460566</v>
      </c>
      <c r="AK4962">
        <v>12.7914656827478</v>
      </c>
      <c r="AL4962">
        <v>88.029855532557306</v>
      </c>
      <c r="AM4962">
        <v>90.560475334105902</v>
      </c>
      <c r="AN4962">
        <v>0.99999993975170098</v>
      </c>
    </row>
    <row r="4963" spans="1:40" x14ac:dyDescent="0.25">
      <c r="A4963" t="str">
        <f>"20190312150750918"</f>
        <v>20190312150750918</v>
      </c>
      <c r="B4963" t="str">
        <f>"1552374470914452"</f>
        <v>1552374470914452</v>
      </c>
      <c r="C4963" t="s">
        <v>40</v>
      </c>
      <c r="D4963">
        <v>4.7805390000000001</v>
      </c>
      <c r="E4963">
        <v>0.47506660000000001</v>
      </c>
      <c r="F4963" t="s">
        <v>67</v>
      </c>
      <c r="G4963">
        <v>-452.51819999999998</v>
      </c>
      <c r="H4963" s="1">
        <v>-1.213275E-7</v>
      </c>
      <c r="I4963">
        <v>212.89169999999999</v>
      </c>
      <c r="J4963">
        <v>-465.27370000000002</v>
      </c>
      <c r="K4963">
        <v>1.1103780000000001</v>
      </c>
      <c r="L4963">
        <v>213.21729999999999</v>
      </c>
      <c r="M4963">
        <v>0.99464520000000001</v>
      </c>
      <c r="N4963">
        <v>0</v>
      </c>
      <c r="O4963">
        <v>-0.1029814</v>
      </c>
      <c r="P4963">
        <v>0.99525269999999999</v>
      </c>
      <c r="Q4963">
        <v>2.5664989999999999E-2</v>
      </c>
      <c r="R4963">
        <v>-9.3879779999999996E-2</v>
      </c>
      <c r="S4963">
        <v>3.0134280000000002</v>
      </c>
      <c r="T4963">
        <v>-0.25881890000000002</v>
      </c>
      <c r="U4963">
        <v>-7.9940800000000006E-2</v>
      </c>
      <c r="V4963">
        <v>-9.1419410000000006E-3</v>
      </c>
      <c r="W4963">
        <v>3.4356810000000002E-2</v>
      </c>
      <c r="X4963">
        <v>0.99936780000000003</v>
      </c>
      <c r="Y4963">
        <v>-7.5914490000000001E-2</v>
      </c>
      <c r="Z4963">
        <v>1.2066199999999999E-2</v>
      </c>
      <c r="AA4963">
        <v>0.99704130000000002</v>
      </c>
      <c r="AB4963">
        <v>18</v>
      </c>
      <c r="AC4963">
        <v>12.7555</v>
      </c>
      <c r="AD4963">
        <v>-1.1103781213274999</v>
      </c>
      <c r="AE4963">
        <v>-0.32560000000000799</v>
      </c>
      <c r="AF4963">
        <v>-0.98232121257010097</v>
      </c>
      <c r="AG4963">
        <v>-1.1103781213274999</v>
      </c>
      <c r="AH4963">
        <v>12.625596707305</v>
      </c>
      <c r="AI4963">
        <v>95.010970163244806</v>
      </c>
      <c r="AJ4963">
        <v>94.448875016565196</v>
      </c>
      <c r="AK4963">
        <v>12.712339940093599</v>
      </c>
      <c r="AL4963">
        <v>88.031112282843594</v>
      </c>
      <c r="AM4963">
        <v>90.524111369270599</v>
      </c>
      <c r="AN4963">
        <v>0.99999998257773104</v>
      </c>
    </row>
    <row r="4964" spans="1:40" x14ac:dyDescent="0.25">
      <c r="A4964" t="str">
        <f>"20190312150750942"</f>
        <v>20190312150750942</v>
      </c>
      <c r="B4964" t="str">
        <f>"1552374470934948"</f>
        <v>1552374470934948</v>
      </c>
      <c r="C4964" t="s">
        <v>40</v>
      </c>
      <c r="D4964">
        <v>4.6875479999999996</v>
      </c>
      <c r="E4964">
        <v>0.47499459999999999</v>
      </c>
      <c r="F4964" t="s">
        <v>67</v>
      </c>
      <c r="G4964">
        <v>-452.20359999999999</v>
      </c>
      <c r="H4964" s="1">
        <v>-2.8789680000000002E-7</v>
      </c>
      <c r="I4964">
        <v>212.87129999999999</v>
      </c>
      <c r="J4964">
        <v>-465.0831</v>
      </c>
      <c r="K4964">
        <v>1.1104400000000001</v>
      </c>
      <c r="L4964">
        <v>213.1985</v>
      </c>
      <c r="M4964">
        <v>0.99472369999999999</v>
      </c>
      <c r="N4964">
        <v>0</v>
      </c>
      <c r="O4964">
        <v>-0.1022242</v>
      </c>
      <c r="P4964">
        <v>0.99533439999999995</v>
      </c>
      <c r="Q4964">
        <v>2.5468230000000001E-2</v>
      </c>
      <c r="R4964">
        <v>-9.3066159999999995E-2</v>
      </c>
      <c r="S4964">
        <v>3.0133969999999999</v>
      </c>
      <c r="T4964">
        <v>-0.25600410000000001</v>
      </c>
      <c r="U4964">
        <v>-7.9788209999999998E-2</v>
      </c>
      <c r="V4964">
        <v>-9.2044399999999995E-3</v>
      </c>
      <c r="W4964">
        <v>3.4123300000000002E-2</v>
      </c>
      <c r="X4964">
        <v>0.99937520000000002</v>
      </c>
      <c r="Y4964">
        <v>-7.5224970000000002E-2</v>
      </c>
      <c r="Z4964">
        <v>1.1842439999999999E-2</v>
      </c>
      <c r="AA4964">
        <v>0.99709619999999999</v>
      </c>
      <c r="AB4964">
        <v>18</v>
      </c>
      <c r="AC4964">
        <v>12.8795</v>
      </c>
      <c r="AD4964">
        <v>-1.1104402878967901</v>
      </c>
      <c r="AE4964">
        <v>-0.32720000000000399</v>
      </c>
      <c r="AF4964">
        <v>-0.98385141860707703</v>
      </c>
      <c r="AG4964">
        <v>-1.1104402878967901</v>
      </c>
      <c r="AH4964">
        <v>12.750751820049601</v>
      </c>
      <c r="AI4964">
        <v>94.9625529240882</v>
      </c>
      <c r="AJ4964">
        <v>94.412215175556597</v>
      </c>
      <c r="AK4964">
        <v>12.8367719159989</v>
      </c>
      <c r="AL4964">
        <v>88.044499217917604</v>
      </c>
      <c r="AM4964">
        <v>90.527690354458002</v>
      </c>
      <c r="AN4964">
        <v>0.99999995584682</v>
      </c>
    </row>
    <row r="4965" spans="1:40" x14ac:dyDescent="0.25">
      <c r="A4965" t="str">
        <f>"20190312150750965"</f>
        <v>20190312150750965</v>
      </c>
      <c r="B4965" t="str">
        <f>"1552374470954467"</f>
        <v>1552374470954467</v>
      </c>
      <c r="C4965" t="s">
        <v>40</v>
      </c>
      <c r="D4965">
        <v>4.4185189999999999</v>
      </c>
      <c r="E4965">
        <v>0.47487259999999998</v>
      </c>
      <c r="F4965" t="s">
        <v>67</v>
      </c>
      <c r="G4965">
        <v>-451.96210000000002</v>
      </c>
      <c r="H4965" s="1">
        <v>-4.1598030000000003E-7</v>
      </c>
      <c r="I4965">
        <v>212.86250000000001</v>
      </c>
      <c r="J4965">
        <v>-464.90730000000002</v>
      </c>
      <c r="K4965">
        <v>1.1105119999999999</v>
      </c>
      <c r="L4965">
        <v>213.18129999999999</v>
      </c>
      <c r="M4965">
        <v>0.99480679999999999</v>
      </c>
      <c r="N4965">
        <v>0</v>
      </c>
      <c r="O4965">
        <v>-0.10141310000000001</v>
      </c>
      <c r="P4965">
        <v>0.99542430000000004</v>
      </c>
      <c r="Q4965">
        <v>2.5758110000000001E-2</v>
      </c>
      <c r="R4965">
        <v>-9.2015760000000002E-2</v>
      </c>
      <c r="S4965">
        <v>3.0133969999999999</v>
      </c>
      <c r="T4965">
        <v>-0.25502609999999998</v>
      </c>
      <c r="U4965">
        <v>-7.7148439999999999E-2</v>
      </c>
      <c r="V4965">
        <v>-9.4497739999999993E-3</v>
      </c>
      <c r="W4965">
        <v>3.4385409999999998E-2</v>
      </c>
      <c r="X4965">
        <v>0.99936400000000003</v>
      </c>
      <c r="Y4965">
        <v>-7.5292239999999996E-2</v>
      </c>
      <c r="Z4965">
        <v>1.173223E-2</v>
      </c>
      <c r="AA4965">
        <v>0.99709250000000005</v>
      </c>
      <c r="AB4965">
        <v>18</v>
      </c>
      <c r="AC4965">
        <v>12.9452</v>
      </c>
      <c r="AD4965">
        <v>-1.1105124159802999</v>
      </c>
      <c r="AE4965">
        <v>-0.31879999999998099</v>
      </c>
      <c r="AF4965">
        <v>-0.98843603346840203</v>
      </c>
      <c r="AG4965">
        <v>-1.1105124159802999</v>
      </c>
      <c r="AH4965">
        <v>12.8165245282076</v>
      </c>
      <c r="AI4965">
        <v>94.937545488473205</v>
      </c>
      <c r="AJ4965">
        <v>94.4100357194163</v>
      </c>
      <c r="AK4965">
        <v>12.902462733929999</v>
      </c>
      <c r="AL4965">
        <v>88.029472747369795</v>
      </c>
      <c r="AM4965">
        <v>90.541760591323495</v>
      </c>
      <c r="AN4965">
        <v>1.00000002957275</v>
      </c>
    </row>
    <row r="4966" spans="1:40" x14ac:dyDescent="0.25">
      <c r="A4966" t="str">
        <f>"20190312150750987"</f>
        <v>20190312150750987</v>
      </c>
      <c r="B4966" t="str">
        <f>"1552374470984724"</f>
        <v>1552374470984724</v>
      </c>
      <c r="C4966" t="s">
        <v>40</v>
      </c>
      <c r="D4966">
        <v>4.5605070000000003</v>
      </c>
      <c r="E4966">
        <v>0.47480050000000001</v>
      </c>
      <c r="F4966" t="s">
        <v>67</v>
      </c>
      <c r="G4966">
        <v>-451.6302</v>
      </c>
      <c r="H4966" s="1">
        <v>-5.9244589999999999E-7</v>
      </c>
      <c r="I4966">
        <v>212.85929999999999</v>
      </c>
      <c r="J4966">
        <v>-464.72379999999998</v>
      </c>
      <c r="K4966">
        <v>1.110589</v>
      </c>
      <c r="L4966">
        <v>213.16370000000001</v>
      </c>
      <c r="M4966">
        <v>0.99490670000000003</v>
      </c>
      <c r="N4966">
        <v>0</v>
      </c>
      <c r="O4966">
        <v>-0.1004332</v>
      </c>
      <c r="P4966">
        <v>0.99556909999999998</v>
      </c>
      <c r="Q4966">
        <v>2.5624689999999999E-2</v>
      </c>
      <c r="R4966">
        <v>-9.0476269999999998E-2</v>
      </c>
      <c r="S4966">
        <v>3.01355</v>
      </c>
      <c r="T4966">
        <v>-0.25205889999999997</v>
      </c>
      <c r="U4966">
        <v>-7.3074340000000002E-2</v>
      </c>
      <c r="V4966">
        <v>-1.0018330000000001E-2</v>
      </c>
      <c r="W4966">
        <v>3.422766E-2</v>
      </c>
      <c r="X4966">
        <v>0.99936380000000002</v>
      </c>
      <c r="Y4966">
        <v>-7.5675199999999998E-2</v>
      </c>
      <c r="Z4966">
        <v>1.1530500000000001E-2</v>
      </c>
      <c r="AA4966">
        <v>0.9970658</v>
      </c>
      <c r="AB4966">
        <v>18</v>
      </c>
      <c r="AC4966">
        <v>13.093599999999901</v>
      </c>
      <c r="AD4966">
        <v>-1.1105895924458999</v>
      </c>
      <c r="AE4966">
        <v>-0.30440000000001499</v>
      </c>
      <c r="AF4966">
        <v>-1.0049935868062501</v>
      </c>
      <c r="AG4966">
        <v>-1.1105895924458999</v>
      </c>
      <c r="AH4966">
        <v>12.9647423082068</v>
      </c>
      <c r="AI4966">
        <v>94.881561883903601</v>
      </c>
      <c r="AJ4966">
        <v>94.432557780368199</v>
      </c>
      <c r="AK4966">
        <v>13.0509756137454</v>
      </c>
      <c r="AL4966">
        <v>88.038516328025295</v>
      </c>
      <c r="AM4966">
        <v>90.574354203805797</v>
      </c>
      <c r="AN4966">
        <v>0.99999995219775095</v>
      </c>
    </row>
    <row r="4967" spans="1:40" x14ac:dyDescent="0.25">
      <c r="A4967" t="str">
        <f>"20190312150751009"</f>
        <v>20190312150751009</v>
      </c>
      <c r="B4967" t="str">
        <f>"1552374471005220"</f>
        <v>1552374471005220</v>
      </c>
      <c r="C4967" t="s">
        <v>40</v>
      </c>
      <c r="D4967">
        <v>4.5868609999999999</v>
      </c>
      <c r="E4967">
        <v>0.4960483</v>
      </c>
      <c r="F4967" t="s">
        <v>67</v>
      </c>
      <c r="G4967">
        <v>-451.2749</v>
      </c>
      <c r="H4967" s="1">
        <v>-7.8156710000000004E-7</v>
      </c>
      <c r="I4967">
        <v>212.85990000000001</v>
      </c>
      <c r="J4967">
        <v>-464.5539</v>
      </c>
      <c r="K4967">
        <v>1.1106480000000001</v>
      </c>
      <c r="L4967">
        <v>213.14769999999999</v>
      </c>
      <c r="M4967">
        <v>0.99500739999999999</v>
      </c>
      <c r="N4967">
        <v>0</v>
      </c>
      <c r="O4967">
        <v>-9.9430089999999999E-2</v>
      </c>
      <c r="P4967">
        <v>0.99576260000000005</v>
      </c>
      <c r="Q4967">
        <v>2.4619970000000001E-2</v>
      </c>
      <c r="R4967">
        <v>-8.8606379999999998E-2</v>
      </c>
      <c r="S4967">
        <v>3.0135800000000001</v>
      </c>
      <c r="T4967">
        <v>-0.24885679999999999</v>
      </c>
      <c r="U4967">
        <v>-6.8084720000000001E-2</v>
      </c>
      <c r="V4967">
        <v>-1.08941E-2</v>
      </c>
      <c r="W4967">
        <v>3.3204480000000001E-2</v>
      </c>
      <c r="X4967">
        <v>0.99938919999999998</v>
      </c>
      <c r="Y4967">
        <v>-7.6336669999999995E-2</v>
      </c>
      <c r="Z4967">
        <v>1.132973E-2</v>
      </c>
      <c r="AA4967">
        <v>0.99701770000000001</v>
      </c>
      <c r="AB4967">
        <v>18</v>
      </c>
      <c r="AC4967">
        <v>13.2789999999999</v>
      </c>
      <c r="AD4967">
        <v>-1.11064878156709</v>
      </c>
      <c r="AE4967">
        <v>-0.28779999999997502</v>
      </c>
      <c r="AF4967">
        <v>-1.0268273944153601</v>
      </c>
      <c r="AG4967">
        <v>-1.11064878156709</v>
      </c>
      <c r="AH4967">
        <v>13.1498612367297</v>
      </c>
      <c r="AI4967">
        <v>94.8132106451108</v>
      </c>
      <c r="AJ4967">
        <v>94.464969818817906</v>
      </c>
      <c r="AK4967">
        <v>13.236569259410199</v>
      </c>
      <c r="AL4967">
        <v>88.097173661925694</v>
      </c>
      <c r="AM4967">
        <v>90.624542700754205</v>
      </c>
      <c r="AN4967">
        <v>0.99999999599176004</v>
      </c>
    </row>
    <row r="4968" spans="1:40" x14ac:dyDescent="0.25">
      <c r="A4968" t="str">
        <f>"20190312150751029"</f>
        <v>20190312150751029</v>
      </c>
      <c r="B4968" t="str">
        <f>"1552374471024740"</f>
        <v>1552374471024740</v>
      </c>
      <c r="C4968" t="s">
        <v>40</v>
      </c>
      <c r="D4968">
        <v>4.5210140000000001</v>
      </c>
      <c r="E4968">
        <v>0.50348709999999997</v>
      </c>
      <c r="F4968" t="s">
        <v>67</v>
      </c>
      <c r="G4968">
        <v>-443.65499999999997</v>
      </c>
      <c r="H4968" s="1">
        <v>5.4332909999999899E-7</v>
      </c>
      <c r="I4968">
        <v>211.52510000000001</v>
      </c>
      <c r="J4968">
        <v>-464.38619999999997</v>
      </c>
      <c r="K4968">
        <v>1.1106959999999999</v>
      </c>
      <c r="L4968">
        <v>213.13220000000001</v>
      </c>
      <c r="M4968">
        <v>0.99511490000000002</v>
      </c>
      <c r="N4968">
        <v>0</v>
      </c>
      <c r="O4968">
        <v>-9.8349809999999996E-2</v>
      </c>
      <c r="P4968">
        <v>0.99591030000000003</v>
      </c>
      <c r="Q4968">
        <v>2.3279399999999999E-2</v>
      </c>
      <c r="R4968">
        <v>-8.7298619999999993E-2</v>
      </c>
      <c r="S4968">
        <v>2.9959720000000001</v>
      </c>
      <c r="T4968">
        <v>-0.15921749999999901</v>
      </c>
      <c r="U4968">
        <v>-0.23260500000000001</v>
      </c>
      <c r="V4968">
        <v>-1.1127140000000001E-2</v>
      </c>
      <c r="W4968">
        <v>3.185002E-2</v>
      </c>
      <c r="X4968">
        <v>0.99943070000000001</v>
      </c>
      <c r="Y4968">
        <v>-2.0860779999999999E-2</v>
      </c>
      <c r="Z4968">
        <v>5.7571539999999996E-3</v>
      </c>
      <c r="AA4968">
        <v>0.99976580000000004</v>
      </c>
      <c r="AB4968">
        <v>18</v>
      </c>
      <c r="AC4968">
        <v>20.731200000000001</v>
      </c>
      <c r="AD4968">
        <v>-1.11069545667089</v>
      </c>
      <c r="AE4968">
        <v>-1.6071</v>
      </c>
      <c r="AF4968">
        <v>-0.43842568102430701</v>
      </c>
      <c r="AG4968">
        <v>-1.11069545667089</v>
      </c>
      <c r="AH4968">
        <v>20.7296029295312</v>
      </c>
      <c r="AI4968">
        <v>93.066299974666293</v>
      </c>
      <c r="AJ4968">
        <v>91.211610119312695</v>
      </c>
      <c r="AK4968">
        <v>20.763966362217001</v>
      </c>
      <c r="AL4968">
        <v>88.174819567962899</v>
      </c>
      <c r="AM4968">
        <v>90.637874962352498</v>
      </c>
      <c r="AN4968">
        <v>0.99999998056053396</v>
      </c>
    </row>
    <row r="4969" spans="1:40" x14ac:dyDescent="0.25">
      <c r="A4969" t="str">
        <f>"20190312150751053"</f>
        <v>20190312150751053</v>
      </c>
      <c r="B4969" t="str">
        <f>"1552374471045236"</f>
        <v>1552374471045236</v>
      </c>
      <c r="C4969" t="s">
        <v>40</v>
      </c>
      <c r="D4969">
        <v>4.4657299999999998</v>
      </c>
      <c r="E4969">
        <v>0.50682579999999999</v>
      </c>
      <c r="F4969" t="s">
        <v>67</v>
      </c>
      <c r="G4969">
        <v>-443.14749999999998</v>
      </c>
      <c r="H4969" s="1">
        <v>2.9246540000000001E-7</v>
      </c>
      <c r="I4969">
        <v>211.08609999999999</v>
      </c>
      <c r="J4969">
        <v>-464.20080000000002</v>
      </c>
      <c r="K4969">
        <v>1.110744</v>
      </c>
      <c r="L4969">
        <v>213.11539999999999</v>
      </c>
      <c r="M4969">
        <v>0.99524319999999999</v>
      </c>
      <c r="N4969">
        <v>0</v>
      </c>
      <c r="O4969">
        <v>-9.7044130000000006E-2</v>
      </c>
      <c r="P4969">
        <v>0.99599249999999995</v>
      </c>
      <c r="Q4969">
        <v>2.2144E-2</v>
      </c>
      <c r="R4969">
        <v>-8.6655250000000003E-2</v>
      </c>
      <c r="S4969">
        <v>2.990723</v>
      </c>
      <c r="T4969">
        <v>-0.1564025</v>
      </c>
      <c r="U4969">
        <v>-0.2881165</v>
      </c>
      <c r="V4969">
        <v>-1.0466039999999999E-2</v>
      </c>
      <c r="W4969">
        <v>3.0703790000000002E-2</v>
      </c>
      <c r="X4969">
        <v>0.99947379999999997</v>
      </c>
      <c r="Y4969">
        <v>-1.0281520000000001E-3</v>
      </c>
      <c r="Z4969">
        <v>5.0749719999999996E-3</v>
      </c>
      <c r="AA4969">
        <v>0.99998659999999995</v>
      </c>
      <c r="AB4969">
        <v>18</v>
      </c>
      <c r="AC4969">
        <v>21.0533</v>
      </c>
      <c r="AD4969">
        <v>-1.1107437075346001</v>
      </c>
      <c r="AE4969">
        <v>-2.0293000000000001</v>
      </c>
      <c r="AF4969">
        <v>-2.33885151454877E-2</v>
      </c>
      <c r="AG4969">
        <v>-1.1107437075346001</v>
      </c>
      <c r="AH4969">
        <v>21.092691134596599</v>
      </c>
      <c r="AI4969">
        <v>93.014416582452199</v>
      </c>
      <c r="AJ4969">
        <v>90.063532085552495</v>
      </c>
      <c r="AK4969">
        <v>21.1219297865028</v>
      </c>
      <c r="AL4969">
        <v>88.240526015788006</v>
      </c>
      <c r="AM4969">
        <v>90.599953699051298</v>
      </c>
      <c r="AN4969">
        <v>1.0000000688000401</v>
      </c>
    </row>
    <row r="4970" spans="1:40" x14ac:dyDescent="0.25">
      <c r="A4970" t="str">
        <f>"20190312150751075"</f>
        <v>20190312150751075</v>
      </c>
      <c r="B4970" t="str">
        <f>"1552374471064756"</f>
        <v>1552374471064756</v>
      </c>
      <c r="C4970" t="s">
        <v>40</v>
      </c>
      <c r="D4970">
        <v>4.4612829999999999</v>
      </c>
      <c r="E4970">
        <v>0.50853389999999998</v>
      </c>
      <c r="F4970" t="s">
        <v>67</v>
      </c>
      <c r="G4970">
        <v>-441.93340000000001</v>
      </c>
      <c r="H4970" s="1">
        <v>-3.4045979999999998E-7</v>
      </c>
      <c r="I4970">
        <v>210.78469999999999</v>
      </c>
      <c r="J4970">
        <v>-464.01580000000001</v>
      </c>
      <c r="K4970">
        <v>1.1107860000000001</v>
      </c>
      <c r="L4970">
        <v>213.09899999999999</v>
      </c>
      <c r="M4970">
        <v>0.9953805</v>
      </c>
      <c r="N4970">
        <v>0</v>
      </c>
      <c r="O4970">
        <v>-9.5625479999999999E-2</v>
      </c>
      <c r="P4970">
        <v>0.99608019999999997</v>
      </c>
      <c r="Q4970">
        <v>2.112023E-2</v>
      </c>
      <c r="R4970">
        <v>-8.5897589999999996E-2</v>
      </c>
      <c r="S4970">
        <v>2.9881899999999999</v>
      </c>
      <c r="T4970">
        <v>-0.14905689999999999</v>
      </c>
      <c r="U4970">
        <v>-0.31277470000000002</v>
      </c>
      <c r="V4970">
        <v>-9.8057950000000008E-3</v>
      </c>
      <c r="W4970">
        <v>2.9672859999999999E-2</v>
      </c>
      <c r="X4970">
        <v>0.9995115</v>
      </c>
      <c r="Y4970">
        <v>8.6215519999999993E-3</v>
      </c>
      <c r="Z4970">
        <v>4.5285509999999996E-3</v>
      </c>
      <c r="AA4970">
        <v>0.99995259999999997</v>
      </c>
      <c r="AB4970">
        <v>18</v>
      </c>
      <c r="AC4970">
        <v>22.0824</v>
      </c>
      <c r="AD4970">
        <v>-1.1107863404598</v>
      </c>
      <c r="AE4970">
        <v>-2.31430000000003</v>
      </c>
      <c r="AF4970">
        <v>0.191496763761351</v>
      </c>
      <c r="AG4970">
        <v>-1.1107863404598</v>
      </c>
      <c r="AH4970">
        <v>22.1470820652847</v>
      </c>
      <c r="AI4970">
        <v>92.871155262900402</v>
      </c>
      <c r="AJ4970">
        <v>89.504599165715405</v>
      </c>
      <c r="AK4970">
        <v>22.1757471421177</v>
      </c>
      <c r="AL4970">
        <v>88.299620659228694</v>
      </c>
      <c r="AM4970">
        <v>90.562087223964099</v>
      </c>
      <c r="AN4970">
        <v>0.99999993543420296</v>
      </c>
    </row>
    <row r="4971" spans="1:40" x14ac:dyDescent="0.25">
      <c r="A4971" t="str">
        <f>"20190312150751096"</f>
        <v>20190312150751096</v>
      </c>
      <c r="B4971" t="str">
        <f>"1552374471085255"</f>
        <v>1552374471085255</v>
      </c>
      <c r="C4971" t="s">
        <v>40</v>
      </c>
      <c r="D4971">
        <v>4.468229</v>
      </c>
      <c r="E4971">
        <v>0.5093685</v>
      </c>
      <c r="F4971" t="s">
        <v>67</v>
      </c>
      <c r="G4971">
        <v>-441.72460000000001</v>
      </c>
      <c r="H4971" s="1">
        <v>-4.4684829999999998E-7</v>
      </c>
      <c r="I4971">
        <v>210.67699999999999</v>
      </c>
      <c r="J4971">
        <v>-463.84390000000002</v>
      </c>
      <c r="K4971">
        <v>1.11084</v>
      </c>
      <c r="L4971">
        <v>213.08410000000001</v>
      </c>
      <c r="M4971">
        <v>0.99551579999999995</v>
      </c>
      <c r="N4971">
        <v>0</v>
      </c>
      <c r="O4971">
        <v>-9.4206949999999998E-2</v>
      </c>
      <c r="P4971">
        <v>0.99615580000000004</v>
      </c>
      <c r="Q4971">
        <v>2.0159679999999999E-2</v>
      </c>
      <c r="R4971">
        <v>-8.5249229999999995E-2</v>
      </c>
      <c r="S4971">
        <v>2.9869690000000002</v>
      </c>
      <c r="T4971">
        <v>-0.1488428</v>
      </c>
      <c r="U4971">
        <v>-0.32453920000000003</v>
      </c>
      <c r="V4971">
        <v>-9.0353789999999996E-3</v>
      </c>
      <c r="W4971">
        <v>2.8708629999999999E-2</v>
      </c>
      <c r="X4971">
        <v>0.99954699999999996</v>
      </c>
      <c r="Y4971">
        <v>1.3974240000000001E-2</v>
      </c>
      <c r="Z4971">
        <v>4.3198159999999998E-3</v>
      </c>
      <c r="AA4971">
        <v>0.99989300000000003</v>
      </c>
      <c r="AB4971">
        <v>18</v>
      </c>
      <c r="AC4971">
        <v>22.119299999999999</v>
      </c>
      <c r="AD4971">
        <v>-1.1108404468483</v>
      </c>
      <c r="AE4971">
        <v>-2.4070999999999798</v>
      </c>
      <c r="AF4971">
        <v>0.311748697969435</v>
      </c>
      <c r="AG4971">
        <v>-1.1108404468483</v>
      </c>
      <c r="AH4971">
        <v>22.192377955772901</v>
      </c>
      <c r="AI4971">
        <v>92.865268898254598</v>
      </c>
      <c r="AJ4971">
        <v>89.195187198108997</v>
      </c>
      <c r="AK4971">
        <v>22.222348955070402</v>
      </c>
      <c r="AL4971">
        <v>88.354890657037103</v>
      </c>
      <c r="AM4971">
        <v>90.5179095962541</v>
      </c>
      <c r="AN4971">
        <v>1.00000001435957</v>
      </c>
    </row>
    <row r="4972" spans="1:40" x14ac:dyDescent="0.25">
      <c r="A4972" t="str">
        <f>"20190312150751118"</f>
        <v>20190312150751118</v>
      </c>
      <c r="B4972" t="str">
        <f>"1552374471114533"</f>
        <v>1552374471114533</v>
      </c>
      <c r="C4972" t="s">
        <v>40</v>
      </c>
      <c r="D4972">
        <v>4.4639449999999998</v>
      </c>
      <c r="E4972">
        <v>0.51026369999999999</v>
      </c>
      <c r="F4972" t="s">
        <v>67</v>
      </c>
      <c r="G4972">
        <v>-441.5403</v>
      </c>
      <c r="H4972" s="1">
        <v>-5.4261419999999995E-7</v>
      </c>
      <c r="I4972">
        <v>210.6242</v>
      </c>
      <c r="J4972">
        <v>-463.66759999999999</v>
      </c>
      <c r="K4972">
        <v>1.1108960000000001</v>
      </c>
      <c r="L4972">
        <v>213.0692</v>
      </c>
      <c r="M4972">
        <v>0.99566169999999998</v>
      </c>
      <c r="N4972">
        <v>0</v>
      </c>
      <c r="O4972">
        <v>-9.265118E-2</v>
      </c>
      <c r="P4972">
        <v>0.99622339999999998</v>
      </c>
      <c r="Q4972">
        <v>1.9903529999999999E-2</v>
      </c>
      <c r="R4972">
        <v>-8.4514259999999994E-2</v>
      </c>
      <c r="S4972">
        <v>2.986389</v>
      </c>
      <c r="T4972">
        <v>-0.14873829999999999</v>
      </c>
      <c r="U4972">
        <v>-0.32937620000000001</v>
      </c>
      <c r="V4972">
        <v>-8.2151719999999998E-3</v>
      </c>
      <c r="W4972">
        <v>2.8451250000000001E-2</v>
      </c>
      <c r="X4972">
        <v>0.99956140000000004</v>
      </c>
      <c r="Y4972">
        <v>1.7151969999999999E-2</v>
      </c>
      <c r="Z4972">
        <v>4.1615510000000003E-3</v>
      </c>
      <c r="AA4972">
        <v>0.99984430000000002</v>
      </c>
      <c r="AB4972">
        <v>18</v>
      </c>
      <c r="AC4972">
        <v>22.127299999999899</v>
      </c>
      <c r="AD4972">
        <v>-1.1108965426141999</v>
      </c>
      <c r="AE4972">
        <v>-2.4449999999999901</v>
      </c>
      <c r="AF4972">
        <v>0.383331989469194</v>
      </c>
      <c r="AG4972">
        <v>-1.1108965426141999</v>
      </c>
      <c r="AH4972">
        <v>22.203366708744699</v>
      </c>
      <c r="AI4972">
        <v>92.863853608978602</v>
      </c>
      <c r="AJ4972">
        <v>89.010910207646802</v>
      </c>
      <c r="AK4972">
        <v>22.234444624175701</v>
      </c>
      <c r="AL4972">
        <v>88.369643410901105</v>
      </c>
      <c r="AM4972">
        <v>90.470890618421606</v>
      </c>
      <c r="AN4972">
        <v>0.99999997752375502</v>
      </c>
    </row>
    <row r="4973" spans="1:40" x14ac:dyDescent="0.25">
      <c r="A4973" t="str">
        <f>"20190312150751143"</f>
        <v>20190312150751143</v>
      </c>
      <c r="B4973" t="str">
        <f>"1552374471135028"</f>
        <v>1552374471135028</v>
      </c>
      <c r="C4973" t="s">
        <v>40</v>
      </c>
      <c r="D4973">
        <v>4.4642439999999999</v>
      </c>
      <c r="E4973">
        <v>0.51048110000000002</v>
      </c>
      <c r="F4973" t="s">
        <v>67</v>
      </c>
      <c r="G4973">
        <v>-441.721</v>
      </c>
      <c r="H4973" s="1">
        <v>-4.4591930000000001E-7</v>
      </c>
      <c r="I4973">
        <v>210.61150000000001</v>
      </c>
      <c r="J4973">
        <v>-463.46510000000001</v>
      </c>
      <c r="K4973">
        <v>1.1109690000000001</v>
      </c>
      <c r="L4973">
        <v>213.05250000000001</v>
      </c>
      <c r="M4973">
        <v>0.99583739999999998</v>
      </c>
      <c r="N4973">
        <v>0</v>
      </c>
      <c r="O4973">
        <v>-9.0744489999999997E-2</v>
      </c>
      <c r="P4973">
        <v>0.99632940000000003</v>
      </c>
      <c r="Q4973">
        <v>2.0319509999999999E-2</v>
      </c>
      <c r="R4973">
        <v>-8.3156380000000002E-2</v>
      </c>
      <c r="S4973">
        <v>2.9860229999999999</v>
      </c>
      <c r="T4973">
        <v>-0.15114649999999999</v>
      </c>
      <c r="U4973">
        <v>-0.33438109999999999</v>
      </c>
      <c r="V4973">
        <v>-7.6688619999999898E-3</v>
      </c>
      <c r="W4973">
        <v>2.8866880000000001E-2</v>
      </c>
      <c r="X4973">
        <v>0.9995539</v>
      </c>
      <c r="Y4973">
        <v>2.0731280000000001E-2</v>
      </c>
      <c r="Z4973">
        <v>4.0430290000000001E-3</v>
      </c>
      <c r="AA4973">
        <v>0.99977689999999997</v>
      </c>
      <c r="AB4973">
        <v>18</v>
      </c>
      <c r="AC4973">
        <v>21.7441</v>
      </c>
      <c r="AD4973">
        <v>-1.1109694459193</v>
      </c>
      <c r="AE4973">
        <v>-2.4409999999999998</v>
      </c>
      <c r="AF4973">
        <v>0.45652169414018101</v>
      </c>
      <c r="AG4973">
        <v>-1.1109694459193</v>
      </c>
      <c r="AH4973">
        <v>21.8196462054145</v>
      </c>
      <c r="AI4973">
        <v>92.914119103316594</v>
      </c>
      <c r="AJ4973">
        <v>88.801403543991398</v>
      </c>
      <c r="AK4973">
        <v>21.852680057522601</v>
      </c>
      <c r="AL4973">
        <v>88.345819905557605</v>
      </c>
      <c r="AM4973">
        <v>90.439580902135404</v>
      </c>
      <c r="AN4973">
        <v>1.00000005360525</v>
      </c>
    </row>
    <row r="4974" spans="1:40" x14ac:dyDescent="0.25">
      <c r="A4974" t="str">
        <f>"20190312150751166"</f>
        <v>20190312150751166</v>
      </c>
      <c r="B4974" t="str">
        <f>"1552374471154548"</f>
        <v>1552374471154548</v>
      </c>
      <c r="C4974" t="s">
        <v>40</v>
      </c>
      <c r="D4974">
        <v>4.4760229999999996</v>
      </c>
      <c r="E4974">
        <v>0.51080329999999996</v>
      </c>
      <c r="F4974" t="s">
        <v>67</v>
      </c>
      <c r="G4974">
        <v>-441.15260000000001</v>
      </c>
      <c r="H4974" s="1">
        <v>-7.4654209999999895E-7</v>
      </c>
      <c r="I4974">
        <v>210.56989999999999</v>
      </c>
      <c r="J4974">
        <v>-463.28710000000001</v>
      </c>
      <c r="K4974">
        <v>1.111032</v>
      </c>
      <c r="L4974">
        <v>213.03829999999999</v>
      </c>
      <c r="M4974">
        <v>0.99599919999999997</v>
      </c>
      <c r="N4974">
        <v>0</v>
      </c>
      <c r="O4974">
        <v>-8.8952310000000007E-2</v>
      </c>
      <c r="P4974">
        <v>0.99640229999999996</v>
      </c>
      <c r="Q4974">
        <v>2.0094040000000001E-2</v>
      </c>
      <c r="R4974">
        <v>-8.233596E-2</v>
      </c>
      <c r="S4974">
        <v>2.9863590000000002</v>
      </c>
      <c r="T4974">
        <v>-0.14869470000000001</v>
      </c>
      <c r="U4974">
        <v>-0.3322754</v>
      </c>
      <c r="V4974">
        <v>-6.6975419999999999E-3</v>
      </c>
      <c r="W4974">
        <v>2.8644280000000001E-2</v>
      </c>
      <c r="X4974">
        <v>0.99956719999999999</v>
      </c>
      <c r="Y4974">
        <v>2.1815370000000001E-2</v>
      </c>
      <c r="Z4974">
        <v>3.8619660000000001E-3</v>
      </c>
      <c r="AA4974">
        <v>0.99975449999999999</v>
      </c>
      <c r="AB4974">
        <v>18</v>
      </c>
      <c r="AC4974">
        <v>22.134499999999999</v>
      </c>
      <c r="AD4974">
        <v>-1.1110327465420999</v>
      </c>
      <c r="AE4974">
        <v>-2.4683999999999999</v>
      </c>
      <c r="AF4974">
        <v>0.48841197275208798</v>
      </c>
      <c r="AG4974">
        <v>-1.1110327465420999</v>
      </c>
      <c r="AH4974">
        <v>22.211054457188201</v>
      </c>
      <c r="AI4974">
        <v>92.862949466287205</v>
      </c>
      <c r="AJ4974">
        <v>88.740292335373596</v>
      </c>
      <c r="AK4974">
        <v>22.2441875580835</v>
      </c>
      <c r="AL4974">
        <v>88.358579083786196</v>
      </c>
      <c r="AM4974">
        <v>90.383901299548299</v>
      </c>
      <c r="AN4974">
        <v>0.99999996958069903</v>
      </c>
    </row>
    <row r="4975" spans="1:40" x14ac:dyDescent="0.25">
      <c r="A4975" t="str">
        <f>"20190312150751199"</f>
        <v>20190312150751199</v>
      </c>
      <c r="B4975" t="str">
        <f>"1552374471194565"</f>
        <v>1552374471194565</v>
      </c>
      <c r="C4975" t="s">
        <v>40</v>
      </c>
      <c r="D4975">
        <v>4.4787030000000003</v>
      </c>
      <c r="E4975">
        <v>0.51122769999999995</v>
      </c>
      <c r="F4975" t="s">
        <v>67</v>
      </c>
      <c r="G4975">
        <v>-440.85980000000001</v>
      </c>
      <c r="H4975" s="1">
        <v>-9.0111260000000001E-7</v>
      </c>
      <c r="I4975">
        <v>210.54140000000001</v>
      </c>
      <c r="J4975">
        <v>-463.01119999999997</v>
      </c>
      <c r="K4975">
        <v>1.1111180000000001</v>
      </c>
      <c r="L4975">
        <v>213.01730000000001</v>
      </c>
      <c r="M4975">
        <v>0.99626130000000002</v>
      </c>
      <c r="N4975">
        <v>0</v>
      </c>
      <c r="O4975">
        <v>-8.5964689999999996E-2</v>
      </c>
      <c r="P4975">
        <v>0.99660749999999998</v>
      </c>
      <c r="Q4975">
        <v>1.8854599999999999E-2</v>
      </c>
      <c r="R4975">
        <v>-8.0113719999999999E-2</v>
      </c>
      <c r="S4975">
        <v>2.9863590000000002</v>
      </c>
      <c r="T4975">
        <v>-0.1479424</v>
      </c>
      <c r="U4975">
        <v>-0.33248899999999998</v>
      </c>
      <c r="V4975">
        <v>-5.9341819999999997E-3</v>
      </c>
      <c r="W4975">
        <v>2.7411189999999998E-2</v>
      </c>
      <c r="X4975">
        <v>0.99960660000000001</v>
      </c>
      <c r="Y4975">
        <v>2.48763E-2</v>
      </c>
      <c r="Z4975">
        <v>3.6202109999999999E-3</v>
      </c>
      <c r="AA4975">
        <v>0.99968400000000002</v>
      </c>
      <c r="AB4975">
        <v>18</v>
      </c>
      <c r="AC4975">
        <v>22.151399999999899</v>
      </c>
      <c r="AD4975">
        <v>-1.1111189011125999</v>
      </c>
      <c r="AE4975">
        <v>-2.47589999999999</v>
      </c>
      <c r="AF4975">
        <v>0.561031621874719</v>
      </c>
      <c r="AG4975">
        <v>-1.1111189011125999</v>
      </c>
      <c r="AH4975">
        <v>22.2270072052698</v>
      </c>
      <c r="AI4975">
        <v>92.860900377831996</v>
      </c>
      <c r="AJ4975">
        <v>88.554104928921902</v>
      </c>
      <c r="AK4975">
        <v>22.2618326064201</v>
      </c>
      <c r="AL4975">
        <v>88.429257712291601</v>
      </c>
      <c r="AM4975">
        <v>90.340133397863099</v>
      </c>
      <c r="AN4975">
        <v>0.99999997130839202</v>
      </c>
    </row>
    <row r="4976" spans="1:40" x14ac:dyDescent="0.25">
      <c r="A4976" t="str">
        <f>"20190312150751219"</f>
        <v>20190312150751219</v>
      </c>
      <c r="B4976" t="str">
        <f>"1552374471215060"</f>
        <v>1552374471215060</v>
      </c>
      <c r="C4976" t="s">
        <v>40</v>
      </c>
      <c r="D4976">
        <v>4.4868449999999998</v>
      </c>
      <c r="E4976">
        <v>0.51142909999999997</v>
      </c>
      <c r="F4976" t="s">
        <v>67</v>
      </c>
      <c r="G4976">
        <v>-440.73970000000003</v>
      </c>
      <c r="H4976" s="1">
        <v>-9.6597230000000005E-7</v>
      </c>
      <c r="I4976">
        <v>210.56280000000001</v>
      </c>
      <c r="J4976">
        <v>-462.8365</v>
      </c>
      <c r="K4976">
        <v>1.1111610000000001</v>
      </c>
      <c r="L4976">
        <v>213.00460000000001</v>
      </c>
      <c r="M4976">
        <v>0.99643099999999996</v>
      </c>
      <c r="N4976">
        <v>0</v>
      </c>
      <c r="O4976">
        <v>-8.3974579999999993E-2</v>
      </c>
      <c r="P4976">
        <v>0.99678029999999995</v>
      </c>
      <c r="Q4976">
        <v>1.8037259999999999E-2</v>
      </c>
      <c r="R4976">
        <v>-7.8128089999999997E-2</v>
      </c>
      <c r="S4976">
        <v>2.9865719999999998</v>
      </c>
      <c r="T4976">
        <v>-0.14899949999999901</v>
      </c>
      <c r="U4976">
        <v>-0.32914729999999998</v>
      </c>
      <c r="V4976">
        <v>-5.9309760000000001E-3</v>
      </c>
      <c r="W4976">
        <v>2.6597530000000001E-2</v>
      </c>
      <c r="X4976">
        <v>0.99962859999999998</v>
      </c>
      <c r="Y4976">
        <v>2.5757769999999999E-2</v>
      </c>
      <c r="Z4976">
        <v>3.5257230000000001E-3</v>
      </c>
      <c r="AA4976">
        <v>0.99966200000000005</v>
      </c>
      <c r="AB4976">
        <v>18</v>
      </c>
      <c r="AC4976">
        <v>22.096799999999899</v>
      </c>
      <c r="AD4976">
        <v>-1.1111619659723</v>
      </c>
      <c r="AE4976">
        <v>-2.4418000000000002</v>
      </c>
      <c r="AF4976">
        <v>0.576097751212169</v>
      </c>
      <c r="AG4976">
        <v>-1.1111619659723</v>
      </c>
      <c r="AH4976">
        <v>22.1684219035469</v>
      </c>
      <c r="AI4976">
        <v>92.868504654976505</v>
      </c>
      <c r="AJ4976">
        <v>88.511371610270004</v>
      </c>
      <c r="AK4976">
        <v>22.2037271471983</v>
      </c>
      <c r="AL4976">
        <v>88.475894006703896</v>
      </c>
      <c r="AM4976">
        <v>90.339942160278994</v>
      </c>
      <c r="AN4976">
        <v>0.99999997150818598</v>
      </c>
    </row>
    <row r="4977" spans="1:40" x14ac:dyDescent="0.25">
      <c r="A4977" t="str">
        <f>"20190312150751242"</f>
        <v>20190312150751242</v>
      </c>
      <c r="B4977" t="str">
        <f>"1552374471234580"</f>
        <v>1552374471234580</v>
      </c>
      <c r="C4977" t="s">
        <v>40</v>
      </c>
      <c r="D4977">
        <v>4.4922519999999997</v>
      </c>
      <c r="E4977">
        <v>0.51158359999999903</v>
      </c>
      <c r="F4977" t="s">
        <v>67</v>
      </c>
      <c r="G4977">
        <v>-440.791</v>
      </c>
      <c r="H4977" s="1">
        <v>-9.4053949999999996E-7</v>
      </c>
      <c r="I4977">
        <v>210.60550000000001</v>
      </c>
      <c r="J4977">
        <v>-462.65190000000001</v>
      </c>
      <c r="K4977">
        <v>1.111202</v>
      </c>
      <c r="L4977">
        <v>212.99160000000001</v>
      </c>
      <c r="M4977">
        <v>0.99661330000000004</v>
      </c>
      <c r="N4977">
        <v>0</v>
      </c>
      <c r="O4977">
        <v>-8.1781619999999999E-2</v>
      </c>
      <c r="P4977">
        <v>0.99700089999999997</v>
      </c>
      <c r="Q4977">
        <v>1.7175039999999999E-2</v>
      </c>
      <c r="R4977">
        <v>-7.5460169999999993E-2</v>
      </c>
      <c r="S4977">
        <v>2.9869080000000001</v>
      </c>
      <c r="T4977">
        <v>-0.1505495</v>
      </c>
      <c r="U4977">
        <v>-0.32504270000000002</v>
      </c>
      <c r="V4977">
        <v>-6.4077800000000001E-3</v>
      </c>
      <c r="W4977">
        <v>2.5741420000000001E-2</v>
      </c>
      <c r="X4977">
        <v>0.99964810000000004</v>
      </c>
      <c r="Y4977">
        <v>2.6585669999999999E-2</v>
      </c>
      <c r="Z4977">
        <v>3.4318859999999999E-3</v>
      </c>
      <c r="AA4977">
        <v>0.99964059999999999</v>
      </c>
      <c r="AB4977">
        <v>19</v>
      </c>
      <c r="AC4977">
        <v>21.860900000000001</v>
      </c>
      <c r="AD4977">
        <v>-1.1112029405394901</v>
      </c>
      <c r="AE4977">
        <v>-2.3860999999999901</v>
      </c>
      <c r="AF4977">
        <v>0.58871773580107001</v>
      </c>
      <c r="AG4977">
        <v>-1.1112029405394901</v>
      </c>
      <c r="AH4977">
        <v>21.9268263947985</v>
      </c>
      <c r="AI4977">
        <v>92.900097811381499</v>
      </c>
      <c r="AJ4977">
        <v>88.4620236807758</v>
      </c>
      <c r="AK4977">
        <v>21.962856742581199</v>
      </c>
      <c r="AL4977">
        <v>88.524962349403097</v>
      </c>
      <c r="AM4977">
        <v>90.367262961607906</v>
      </c>
      <c r="AN4977">
        <v>1.0000000020908699</v>
      </c>
    </row>
    <row r="4978" spans="1:40" x14ac:dyDescent="0.25">
      <c r="A4978" t="str">
        <f>"20190312150751266"</f>
        <v>20190312150751266</v>
      </c>
      <c r="B4978" t="str">
        <f>"1552374471255079"</f>
        <v>1552374471255079</v>
      </c>
      <c r="C4978" t="s">
        <v>40</v>
      </c>
      <c r="D4978">
        <v>4.4996</v>
      </c>
      <c r="E4978">
        <v>0.51182280000000002</v>
      </c>
      <c r="F4978" t="s">
        <v>67</v>
      </c>
      <c r="G4978">
        <v>-440.96280000000002</v>
      </c>
      <c r="H4978" s="1">
        <v>-8.5242649999999997E-7</v>
      </c>
      <c r="I4978">
        <v>210.68129999999999</v>
      </c>
      <c r="J4978">
        <v>-462.45870000000002</v>
      </c>
      <c r="K4978">
        <v>1.111248</v>
      </c>
      <c r="L4978">
        <v>212.9785</v>
      </c>
      <c r="M4978">
        <v>0.9968072</v>
      </c>
      <c r="N4978">
        <v>0</v>
      </c>
      <c r="O4978">
        <v>-7.9381709999999994E-2</v>
      </c>
      <c r="P4978">
        <v>0.99724290000000004</v>
      </c>
      <c r="Q4978">
        <v>1.676209E-2</v>
      </c>
      <c r="R4978">
        <v>-7.2290140000000003E-2</v>
      </c>
      <c r="S4978">
        <v>2.987549</v>
      </c>
      <c r="T4978">
        <v>-0.15306220000000001</v>
      </c>
      <c r="U4978">
        <v>-0.318222</v>
      </c>
      <c r="V4978">
        <v>-7.1814849999999996E-3</v>
      </c>
      <c r="W4978">
        <v>2.5341010000000001E-2</v>
      </c>
      <c r="X4978">
        <v>0.99965300000000001</v>
      </c>
      <c r="Y4978">
        <v>2.671256E-2</v>
      </c>
      <c r="Z4978">
        <v>3.3636569999999999E-3</v>
      </c>
      <c r="AA4978">
        <v>0.99963749999999996</v>
      </c>
      <c r="AB4978">
        <v>19</v>
      </c>
      <c r="AC4978">
        <v>21.495899999999999</v>
      </c>
      <c r="AD4978">
        <v>-1.1112488524265001</v>
      </c>
      <c r="AE4978">
        <v>-2.2972000000000001</v>
      </c>
      <c r="AF4978">
        <v>0.581968050111763</v>
      </c>
      <c r="AG4978">
        <v>-1.1112488524265001</v>
      </c>
      <c r="AH4978">
        <v>21.553472205390801</v>
      </c>
      <c r="AI4978">
        <v>92.950355616676404</v>
      </c>
      <c r="AJ4978">
        <v>88.453325155072207</v>
      </c>
      <c r="AK4978">
        <v>21.589944996037499</v>
      </c>
      <c r="AL4978">
        <v>88.547911535297402</v>
      </c>
      <c r="AM4978">
        <v>90.4116045295562</v>
      </c>
      <c r="AN4978">
        <v>0.99999993046181002</v>
      </c>
    </row>
    <row r="4979" spans="1:40" x14ac:dyDescent="0.25">
      <c r="A4979" t="str">
        <f>"20190312150751287"</f>
        <v>20190312150751287</v>
      </c>
      <c r="B4979" t="str">
        <f>"1552374471285332"</f>
        <v>1552374471285332</v>
      </c>
      <c r="C4979" t="s">
        <v>40</v>
      </c>
      <c r="D4979">
        <v>4.5158370000000003</v>
      </c>
      <c r="E4979">
        <v>0.51224999999999998</v>
      </c>
      <c r="F4979" t="s">
        <v>67</v>
      </c>
      <c r="G4979">
        <v>-440.91129999999998</v>
      </c>
      <c r="H4979" s="1">
        <v>-8.8230260000000001E-7</v>
      </c>
      <c r="I4979">
        <v>210.73740000000001</v>
      </c>
      <c r="J4979">
        <v>-462.27460000000002</v>
      </c>
      <c r="K4979">
        <v>1.111294</v>
      </c>
      <c r="L4979">
        <v>212.9666</v>
      </c>
      <c r="M4979">
        <v>0.99699369999999998</v>
      </c>
      <c r="N4979">
        <v>0</v>
      </c>
      <c r="O4979">
        <v>-7.7000890000000002E-2</v>
      </c>
      <c r="P4979">
        <v>0.99748550000000002</v>
      </c>
      <c r="Q4979">
        <v>1.673811E-2</v>
      </c>
      <c r="R4979">
        <v>-6.8866280000000002E-2</v>
      </c>
      <c r="S4979">
        <v>2.9883419999999998</v>
      </c>
      <c r="T4979">
        <v>-0.15411540000000001</v>
      </c>
      <c r="U4979">
        <v>-0.31080629999999998</v>
      </c>
      <c r="V4979">
        <v>-8.2292069999999901E-3</v>
      </c>
      <c r="W4979">
        <v>2.5331949999999999E-2</v>
      </c>
      <c r="X4979">
        <v>0.99964520000000001</v>
      </c>
      <c r="Y4979">
        <v>2.6616440000000002E-2</v>
      </c>
      <c r="Z4979">
        <v>3.2670389999999998E-3</v>
      </c>
      <c r="AA4979">
        <v>0.99964039999999998</v>
      </c>
      <c r="AB4979">
        <v>19</v>
      </c>
      <c r="AC4979">
        <v>21.363299999999999</v>
      </c>
      <c r="AD4979">
        <v>-1.1112948823026001</v>
      </c>
      <c r="AE4979">
        <v>-2.2291999999999899</v>
      </c>
      <c r="AF4979">
        <v>0.57598492779946397</v>
      </c>
      <c r="AG4979">
        <v>-1.1112948823026001</v>
      </c>
      <c r="AH4979">
        <v>21.414203006478999</v>
      </c>
      <c r="AI4979">
        <v>92.969640356732896</v>
      </c>
      <c r="AJ4979">
        <v>88.459267880541006</v>
      </c>
      <c r="AK4979">
        <v>21.450753491548401</v>
      </c>
      <c r="AL4979">
        <v>88.548430868938993</v>
      </c>
      <c r="AM4979">
        <v>90.471655522819205</v>
      </c>
      <c r="AN4979">
        <v>0.99999997671084495</v>
      </c>
    </row>
    <row r="4980" spans="1:40" x14ac:dyDescent="0.25">
      <c r="A4980" t="str">
        <f>"20190312150751309"</f>
        <v>20190312150751309</v>
      </c>
      <c r="B4980" t="str">
        <f>"1552374471304852"</f>
        <v>1552374471304852</v>
      </c>
      <c r="C4980" t="s">
        <v>40</v>
      </c>
      <c r="D4980">
        <v>4.5315969999999997</v>
      </c>
      <c r="E4980">
        <v>0.51242390000000004</v>
      </c>
      <c r="F4980" t="s">
        <v>67</v>
      </c>
      <c r="G4980">
        <v>-440.44080000000002</v>
      </c>
      <c r="H4980" s="1">
        <v>-1.1330279999999999E-6</v>
      </c>
      <c r="I4980">
        <v>210.7456</v>
      </c>
      <c r="J4980">
        <v>-462.09550000000002</v>
      </c>
      <c r="K4980">
        <v>1.1113360000000001</v>
      </c>
      <c r="L4980">
        <v>212.9555</v>
      </c>
      <c r="M4980">
        <v>0.99717429999999996</v>
      </c>
      <c r="N4980">
        <v>0</v>
      </c>
      <c r="O4980">
        <v>-7.462452E-2</v>
      </c>
      <c r="P4980">
        <v>0.99769839999999999</v>
      </c>
      <c r="Q4980">
        <v>1.6871319999999999E-2</v>
      </c>
      <c r="R4980">
        <v>-6.5675289999999997E-2</v>
      </c>
      <c r="S4980">
        <v>2.9891049999999999</v>
      </c>
      <c r="T4980">
        <v>-0.1521392</v>
      </c>
      <c r="U4980">
        <v>-0.3040619</v>
      </c>
      <c r="V4980">
        <v>-9.0471319999999994E-3</v>
      </c>
      <c r="W4980">
        <v>2.5481150000000001E-2</v>
      </c>
      <c r="X4980">
        <v>0.99963440000000003</v>
      </c>
      <c r="Y4980">
        <v>2.6735889999999998E-2</v>
      </c>
      <c r="Z4980">
        <v>3.1017340000000001E-3</v>
      </c>
      <c r="AA4980">
        <v>0.99963769999999996</v>
      </c>
      <c r="AB4980">
        <v>19</v>
      </c>
      <c r="AC4980">
        <v>21.654699999999899</v>
      </c>
      <c r="AD4980">
        <v>-1.111337133028</v>
      </c>
      <c r="AE4980">
        <v>-2.2099000000000002</v>
      </c>
      <c r="AF4980">
        <v>0.58617783509907695</v>
      </c>
      <c r="AG4980">
        <v>-1.111337133028</v>
      </c>
      <c r="AH4980">
        <v>21.7026627407433</v>
      </c>
      <c r="AI4980">
        <v>92.930341173082795</v>
      </c>
      <c r="AJ4980">
        <v>88.452846410999797</v>
      </c>
      <c r="AK4980">
        <v>21.739002845486201</v>
      </c>
      <c r="AL4980">
        <v>88.539879665597297</v>
      </c>
      <c r="AM4980">
        <v>90.518537905344999</v>
      </c>
      <c r="AN4980">
        <v>1.0000000366330499</v>
      </c>
    </row>
    <row r="4981" spans="1:40" x14ac:dyDescent="0.25">
      <c r="A4981" t="str">
        <f>"20190312150751332"</f>
        <v>20190312150751332</v>
      </c>
      <c r="B4981" t="str">
        <f>"1552374471324373"</f>
        <v>1552374471324373</v>
      </c>
      <c r="C4981" t="s">
        <v>40</v>
      </c>
      <c r="D4981">
        <v>4.5297530000000004</v>
      </c>
      <c r="E4981">
        <v>0.51253909999999903</v>
      </c>
      <c r="F4981" t="s">
        <v>67</v>
      </c>
      <c r="G4981">
        <v>-440.32130000000001</v>
      </c>
      <c r="H4981" s="1">
        <v>-1.1990150000000001E-6</v>
      </c>
      <c r="I4981">
        <v>210.80070000000001</v>
      </c>
      <c r="J4981">
        <v>-461.90300000000002</v>
      </c>
      <c r="K4981">
        <v>1.1113690000000001</v>
      </c>
      <c r="L4981">
        <v>212.9442</v>
      </c>
      <c r="M4981">
        <v>0.99736610000000003</v>
      </c>
      <c r="N4981">
        <v>0</v>
      </c>
      <c r="O4981">
        <v>-7.2011539999999999E-2</v>
      </c>
      <c r="P4981">
        <v>0.99792219999999998</v>
      </c>
      <c r="Q4981">
        <v>1.6712169999999998E-2</v>
      </c>
      <c r="R4981">
        <v>-6.2224969999999998E-2</v>
      </c>
      <c r="S4981">
        <v>2.990021</v>
      </c>
      <c r="T4981">
        <v>-0.15260860000000001</v>
      </c>
      <c r="U4981">
        <v>-0.29589840000000001</v>
      </c>
      <c r="V4981">
        <v>-9.8865689999999996E-3</v>
      </c>
      <c r="W4981">
        <v>2.5337680000000001E-2</v>
      </c>
      <c r="X4981">
        <v>0.99963000000000002</v>
      </c>
      <c r="Y4981">
        <v>2.661935E-2</v>
      </c>
      <c r="Z4981">
        <v>2.9813800000000001E-3</v>
      </c>
      <c r="AA4981">
        <v>0.99964120000000001</v>
      </c>
      <c r="AB4981">
        <v>19</v>
      </c>
      <c r="AC4981">
        <v>21.581700000000001</v>
      </c>
      <c r="AD4981">
        <v>-1.111370199015</v>
      </c>
      <c r="AE4981">
        <v>-2.14349999999998</v>
      </c>
      <c r="AF4981">
        <v>0.58221587404117103</v>
      </c>
      <c r="AG4981">
        <v>-1.111370199015</v>
      </c>
      <c r="AH4981">
        <v>21.623246764133299</v>
      </c>
      <c r="AI4981">
        <v>92.941178615678595</v>
      </c>
      <c r="AJ4981">
        <v>88.457657409456104</v>
      </c>
      <c r="AK4981">
        <v>21.659614947312502</v>
      </c>
      <c r="AL4981">
        <v>88.548102404790995</v>
      </c>
      <c r="AM4981">
        <v>90.566649869409801</v>
      </c>
      <c r="AN4981">
        <v>0.99999993958718503</v>
      </c>
    </row>
    <row r="4982" spans="1:40" x14ac:dyDescent="0.25">
      <c r="A4982" t="str">
        <f>"20190312150751356"</f>
        <v>20190312150751356</v>
      </c>
      <c r="B4982" t="str">
        <f>"1552374471344868"</f>
        <v>1552374471344868</v>
      </c>
      <c r="C4982" t="s">
        <v>40</v>
      </c>
      <c r="D4982">
        <v>4.5285320000000002</v>
      </c>
      <c r="E4982">
        <v>0.51278190000000001</v>
      </c>
      <c r="F4982" t="s">
        <v>67</v>
      </c>
      <c r="G4982">
        <v>-439.9975</v>
      </c>
      <c r="H4982" s="1">
        <v>-1.3733179999999999E-6</v>
      </c>
      <c r="I4982">
        <v>210.846</v>
      </c>
      <c r="J4982">
        <v>-461.70600000000002</v>
      </c>
      <c r="K4982">
        <v>1.1114040000000001</v>
      </c>
      <c r="L4982">
        <v>212.9332</v>
      </c>
      <c r="M4982">
        <v>0.99756009999999995</v>
      </c>
      <c r="N4982">
        <v>0</v>
      </c>
      <c r="O4982">
        <v>-6.9271150000000004E-2</v>
      </c>
      <c r="P4982">
        <v>0.99816550000000004</v>
      </c>
      <c r="Q4982">
        <v>1.6744370000000001E-2</v>
      </c>
      <c r="R4982">
        <v>-5.8185140000000003E-2</v>
      </c>
      <c r="S4982">
        <v>2.990936</v>
      </c>
      <c r="T4982">
        <v>-0.15174470000000001</v>
      </c>
      <c r="U4982">
        <v>-0.28648380000000001</v>
      </c>
      <c r="V4982">
        <v>-1.1188790000000001E-2</v>
      </c>
      <c r="W4982">
        <v>2.5383429999999998E-2</v>
      </c>
      <c r="X4982">
        <v>0.99961520000000004</v>
      </c>
      <c r="Y4982">
        <v>2.621507E-2</v>
      </c>
      <c r="Z4982">
        <v>2.8362610000000001E-3</v>
      </c>
      <c r="AA4982">
        <v>0.99965230000000005</v>
      </c>
      <c r="AB4982">
        <v>19</v>
      </c>
      <c r="AC4982">
        <v>21.708499999999901</v>
      </c>
      <c r="AD4982">
        <v>-1.111405373318</v>
      </c>
      <c r="AE4982">
        <v>-2.0872000000000202</v>
      </c>
      <c r="AF4982">
        <v>0.576858312094223</v>
      </c>
      <c r="AG4982">
        <v>-1.111405373318</v>
      </c>
      <c r="AH4982">
        <v>21.744464986423299</v>
      </c>
      <c r="AI4982">
        <v>92.924934390928698</v>
      </c>
      <c r="AJ4982">
        <v>88.480358279201496</v>
      </c>
      <c r="AK4982">
        <v>21.780490007386501</v>
      </c>
      <c r="AL4982">
        <v>88.545480407706904</v>
      </c>
      <c r="AM4982">
        <v>90.641290443172394</v>
      </c>
      <c r="AN4982">
        <v>1.00000002780563</v>
      </c>
    </row>
    <row r="4983" spans="1:40" x14ac:dyDescent="0.25">
      <c r="A4983" t="str">
        <f>"20190312150751377"</f>
        <v>20190312150751377</v>
      </c>
      <c r="B4983" t="str">
        <f>"1552374471364388"</f>
        <v>1552374471364388</v>
      </c>
      <c r="C4983" t="s">
        <v>40</v>
      </c>
      <c r="D4983">
        <v>4.5299449999999997</v>
      </c>
      <c r="E4983">
        <v>0.5129958</v>
      </c>
      <c r="F4983" t="s">
        <v>68</v>
      </c>
      <c r="G4983">
        <v>-439.9461</v>
      </c>
      <c r="H4983" s="1">
        <v>6.9507780000000003E-6</v>
      </c>
      <c r="I4983">
        <v>210.92019999999999</v>
      </c>
      <c r="J4983">
        <v>-461.52760000000001</v>
      </c>
      <c r="K4983">
        <v>1.111434</v>
      </c>
      <c r="L4983">
        <v>212.9238</v>
      </c>
      <c r="M4983">
        <v>0.99773310000000004</v>
      </c>
      <c r="N4983">
        <v>0</v>
      </c>
      <c r="O4983">
        <v>-6.6731659999999998E-2</v>
      </c>
      <c r="P4983">
        <v>0.99840439999999997</v>
      </c>
      <c r="Q4983">
        <v>1.6976419999999999E-2</v>
      </c>
      <c r="R4983">
        <v>-5.385645E-2</v>
      </c>
      <c r="S4983">
        <v>2.991943</v>
      </c>
      <c r="T4983">
        <v>-0.1528147</v>
      </c>
      <c r="U4983">
        <v>-0.2767792</v>
      </c>
      <c r="V4983">
        <v>-1.2981380000000001E-2</v>
      </c>
      <c r="W4983">
        <v>2.5624629999999999E-2</v>
      </c>
      <c r="X4983">
        <v>0.99958740000000001</v>
      </c>
      <c r="Y4983">
        <v>2.5512159999999999E-2</v>
      </c>
      <c r="Z4983">
        <v>2.74479E-3</v>
      </c>
      <c r="AA4983">
        <v>0.99967070000000002</v>
      </c>
      <c r="AB4983">
        <v>19</v>
      </c>
      <c r="AC4983">
        <v>21.581499999999998</v>
      </c>
      <c r="AD4983">
        <v>-1.111427049222</v>
      </c>
      <c r="AE4983">
        <v>-2.0036</v>
      </c>
      <c r="AF4983">
        <v>0.55744403769397999</v>
      </c>
      <c r="AG4983">
        <v>-1.111427049222</v>
      </c>
      <c r="AH4983">
        <v>21.610274906217501</v>
      </c>
      <c r="AI4983">
        <v>92.943178734915904</v>
      </c>
      <c r="AJ4983">
        <v>88.522364498316904</v>
      </c>
      <c r="AK4983">
        <v>21.646015694884799</v>
      </c>
      <c r="AL4983">
        <v>88.531656207846396</v>
      </c>
      <c r="AM4983">
        <v>90.744043468753503</v>
      </c>
      <c r="AN4983">
        <v>1.0000000540640399</v>
      </c>
    </row>
    <row r="4984" spans="1:40" x14ac:dyDescent="0.25">
      <c r="A4984" t="str">
        <f>"20190312150751398"</f>
        <v>20190312150751398</v>
      </c>
      <c r="B4984" t="str">
        <f>"1552374471394644"</f>
        <v>1552374471394644</v>
      </c>
      <c r="C4984" t="s">
        <v>40</v>
      </c>
      <c r="D4984">
        <v>4.577807</v>
      </c>
      <c r="E4984">
        <v>0.49178440000000001</v>
      </c>
      <c r="F4984" t="s">
        <v>68</v>
      </c>
      <c r="G4984">
        <v>-439.78140000000002</v>
      </c>
      <c r="H4984" s="1">
        <v>6.8713279999999997E-6</v>
      </c>
      <c r="I4984">
        <v>210.99369999999999</v>
      </c>
      <c r="J4984">
        <v>-461.34660000000002</v>
      </c>
      <c r="K4984">
        <v>1.111461</v>
      </c>
      <c r="L4984">
        <v>212.91470000000001</v>
      </c>
      <c r="M4984">
        <v>0.99790540000000005</v>
      </c>
      <c r="N4984">
        <v>0</v>
      </c>
      <c r="O4984">
        <v>-6.4102779999999998E-2</v>
      </c>
      <c r="P4984">
        <v>0.99860539999999998</v>
      </c>
      <c r="Q4984">
        <v>1.6561010000000001E-2</v>
      </c>
      <c r="R4984">
        <v>-5.0131660000000001E-2</v>
      </c>
      <c r="S4984">
        <v>2.9931030000000001</v>
      </c>
      <c r="T4984">
        <v>-0.1529741</v>
      </c>
      <c r="U4984">
        <v>-0.26565549999999999</v>
      </c>
      <c r="V4984">
        <v>-1.407779E-2</v>
      </c>
      <c r="W4984">
        <v>2.5221360000000002E-2</v>
      </c>
      <c r="X4984">
        <v>0.99958279999999999</v>
      </c>
      <c r="Y4984">
        <v>2.4423549999999999E-2</v>
      </c>
      <c r="Z4984">
        <v>2.6412979999999998E-3</v>
      </c>
      <c r="AA4984">
        <v>0.99969819999999998</v>
      </c>
      <c r="AB4984">
        <v>19</v>
      </c>
      <c r="AC4984">
        <v>21.565200000000001</v>
      </c>
      <c r="AD4984">
        <v>-1.1114541286720001</v>
      </c>
      <c r="AE4984">
        <v>-1.92100000000002</v>
      </c>
      <c r="AF4984">
        <v>0.53320203200869298</v>
      </c>
      <c r="AG4984">
        <v>-1.1114541286720001</v>
      </c>
      <c r="AH4984">
        <v>21.587099378293999</v>
      </c>
      <c r="AI4984">
        <v>92.9464858591802</v>
      </c>
      <c r="AJ4984">
        <v>88.585080144937905</v>
      </c>
      <c r="AK4984">
        <v>21.622268480791298</v>
      </c>
      <c r="AL4984">
        <v>88.554769322527406</v>
      </c>
      <c r="AM4984">
        <v>90.806881259607707</v>
      </c>
      <c r="AN4984">
        <v>1.0000000376136799</v>
      </c>
    </row>
    <row r="4985" spans="1:40" x14ac:dyDescent="0.25">
      <c r="A4985" t="str">
        <f>"20190312150751420"</f>
        <v>20190312150751420</v>
      </c>
      <c r="B4985" t="str">
        <f>"1552374471415140"</f>
        <v>1552374471415140</v>
      </c>
      <c r="C4985" t="s">
        <v>40</v>
      </c>
      <c r="D4985">
        <v>4.838997</v>
      </c>
      <c r="E4985">
        <v>0.48843140000000002</v>
      </c>
      <c r="F4985" t="s">
        <v>67</v>
      </c>
      <c r="G4985">
        <v>-447.19540000000001</v>
      </c>
      <c r="H4985" s="1">
        <v>2.3843199999999999E-6</v>
      </c>
      <c r="I4985">
        <v>212.50980000000001</v>
      </c>
      <c r="J4985">
        <v>-461.15449999999998</v>
      </c>
      <c r="K4985">
        <v>1.1114839999999999</v>
      </c>
      <c r="L4985">
        <v>212.9057</v>
      </c>
      <c r="M4985">
        <v>0.9980831</v>
      </c>
      <c r="N4985">
        <v>0</v>
      </c>
      <c r="O4985">
        <v>-6.1270650000000003E-2</v>
      </c>
      <c r="P4985">
        <v>0.99879459999999998</v>
      </c>
      <c r="Q4985">
        <v>1.6255269999999999E-2</v>
      </c>
      <c r="R4985">
        <v>-4.6318480000000002E-2</v>
      </c>
      <c r="S4985">
        <v>3.0037539999999998</v>
      </c>
      <c r="T4985">
        <v>-0.23591980000000001</v>
      </c>
      <c r="U4985">
        <v>-8.5952760000000003E-2</v>
      </c>
      <c r="V4985">
        <v>-1.5058810000000001E-2</v>
      </c>
      <c r="W4985">
        <v>2.492724E-2</v>
      </c>
      <c r="X4985">
        <v>0.99957589999999996</v>
      </c>
      <c r="Y4985">
        <v>-3.241028E-2</v>
      </c>
      <c r="Z4985">
        <v>6.0713549999999996E-3</v>
      </c>
      <c r="AA4985">
        <v>0.99945620000000002</v>
      </c>
      <c r="AB4985">
        <v>19</v>
      </c>
      <c r="AC4985">
        <v>13.9590999999999</v>
      </c>
      <c r="AD4985">
        <v>-1.11148161567999</v>
      </c>
      <c r="AE4985">
        <v>-0.39589999999998299</v>
      </c>
      <c r="AF4985">
        <v>-0.45726280579122103</v>
      </c>
      <c r="AG4985">
        <v>-1.11148161567999</v>
      </c>
      <c r="AH4985">
        <v>13.869268874562099</v>
      </c>
      <c r="AI4985">
        <v>94.579407423194894</v>
      </c>
      <c r="AJ4985">
        <v>91.888328979489501</v>
      </c>
      <c r="AK4985">
        <v>13.921246344004301</v>
      </c>
      <c r="AL4985">
        <v>88.571626485019806</v>
      </c>
      <c r="AM4985">
        <v>90.863107035836407</v>
      </c>
      <c r="AN4985">
        <v>1.00000005745672</v>
      </c>
    </row>
    <row r="4986" spans="1:40" x14ac:dyDescent="0.25">
      <c r="A4986" t="str">
        <f>"20190312150751443"</f>
        <v>20190312150751443</v>
      </c>
      <c r="B4986" t="str">
        <f>"1552374471434660"</f>
        <v>1552374471434660</v>
      </c>
      <c r="C4986" t="s">
        <v>40</v>
      </c>
      <c r="D4986">
        <v>4.7802629999999997</v>
      </c>
      <c r="E4986">
        <v>0.48778820000000001</v>
      </c>
      <c r="F4986" t="s">
        <v>67</v>
      </c>
      <c r="G4986">
        <v>-445.35919999999999</v>
      </c>
      <c r="H4986" s="1">
        <v>1.400771E-6</v>
      </c>
      <c r="I4986">
        <v>212.6566</v>
      </c>
      <c r="J4986">
        <v>-460.96140000000003</v>
      </c>
      <c r="K4986">
        <v>1.111497</v>
      </c>
      <c r="L4986">
        <v>212.8972</v>
      </c>
      <c r="M4986">
        <v>0.99825549999999996</v>
      </c>
      <c r="N4986">
        <v>0</v>
      </c>
      <c r="O4986">
        <v>-5.839217E-2</v>
      </c>
      <c r="P4986">
        <v>0.99892939999999997</v>
      </c>
      <c r="Q4986">
        <v>1.6058599999999999E-2</v>
      </c>
      <c r="R4986">
        <v>-4.3387290000000002E-2</v>
      </c>
      <c r="S4986">
        <v>3.004883</v>
      </c>
      <c r="T4986">
        <v>-0.2114471</v>
      </c>
      <c r="U4986">
        <v>-4.73938E-2</v>
      </c>
      <c r="V4986">
        <v>-1.511036E-2</v>
      </c>
      <c r="W4986">
        <v>2.474515E-2</v>
      </c>
      <c r="X4986">
        <v>0.99957960000000001</v>
      </c>
      <c r="Y4986">
        <v>-4.2394769999999998E-2</v>
      </c>
      <c r="Z4986">
        <v>5.5912119999999999E-3</v>
      </c>
      <c r="AA4986">
        <v>0.99908529999999995</v>
      </c>
      <c r="AB4986">
        <v>19</v>
      </c>
      <c r="AC4986">
        <v>15.6022</v>
      </c>
      <c r="AD4986">
        <v>-1.1114955992290001</v>
      </c>
      <c r="AE4986">
        <v>-0.24060000000000001</v>
      </c>
      <c r="AF4986">
        <v>-0.66750479820535102</v>
      </c>
      <c r="AG4986">
        <v>-1.1114955992290001</v>
      </c>
      <c r="AH4986">
        <v>15.510925322601301</v>
      </c>
      <c r="AI4986">
        <v>94.094968312884504</v>
      </c>
      <c r="AJ4986">
        <v>92.464174349313097</v>
      </c>
      <c r="AK4986">
        <v>15.5650181331743</v>
      </c>
      <c r="AL4986">
        <v>88.582062626369805</v>
      </c>
      <c r="AM4986">
        <v>90.866058008357797</v>
      </c>
      <c r="AN4986">
        <v>1.000000011082</v>
      </c>
    </row>
    <row r="4987" spans="1:40" x14ac:dyDescent="0.25">
      <c r="A4987" t="str">
        <f>"20190312150751467"</f>
        <v>20190312150751467</v>
      </c>
      <c r="B4987" t="str">
        <f>"1552374471455156"</f>
        <v>1552374471455156</v>
      </c>
      <c r="C4987" t="s">
        <v>40</v>
      </c>
      <c r="D4987">
        <v>4.5701049999999999</v>
      </c>
      <c r="E4987">
        <v>0.4881278</v>
      </c>
      <c r="F4987" t="s">
        <v>67</v>
      </c>
      <c r="G4987">
        <v>-444.01179999999999</v>
      </c>
      <c r="H4987" s="1">
        <v>6.8155139999999995E-7</v>
      </c>
      <c r="I4987">
        <v>212.70699999999999</v>
      </c>
      <c r="J4987">
        <v>-460.76159999999999</v>
      </c>
      <c r="K4987">
        <v>1.1115029999999999</v>
      </c>
      <c r="L4987">
        <v>212.88900000000001</v>
      </c>
      <c r="M4987">
        <v>0.99842640000000005</v>
      </c>
      <c r="N4987">
        <v>0</v>
      </c>
      <c r="O4987">
        <v>-5.5391679999999999E-2</v>
      </c>
      <c r="P4987">
        <v>0.99907409999999996</v>
      </c>
      <c r="Q4987">
        <v>1.544017E-2</v>
      </c>
      <c r="R4987">
        <v>-4.0159460000000001E-2</v>
      </c>
      <c r="S4987">
        <v>3.004883</v>
      </c>
      <c r="T4987">
        <v>-0.19705020000000001</v>
      </c>
      <c r="U4987">
        <v>-3.3721920000000002E-2</v>
      </c>
      <c r="V4987">
        <v>-1.533461E-2</v>
      </c>
      <c r="W4987">
        <v>2.4139750000000001E-2</v>
      </c>
      <c r="X4987">
        <v>0.99959100000000001</v>
      </c>
      <c r="Y4987">
        <v>-4.3972610000000002E-2</v>
      </c>
      <c r="Z4987">
        <v>5.06705E-3</v>
      </c>
      <c r="AA4987">
        <v>0.99901989999999996</v>
      </c>
      <c r="AB4987">
        <v>19</v>
      </c>
      <c r="AC4987">
        <v>16.749799999999901</v>
      </c>
      <c r="AD4987">
        <v>-1.1115023184485999</v>
      </c>
      <c r="AE4987">
        <v>-0.18200000000001601</v>
      </c>
      <c r="AF4987">
        <v>-0.74284373835267203</v>
      </c>
      <c r="AG4987">
        <v>-1.1115023184485999</v>
      </c>
      <c r="AH4987">
        <v>16.6608059854263</v>
      </c>
      <c r="AI4987">
        <v>93.812975007393803</v>
      </c>
      <c r="AJ4987">
        <v>92.552916182777906</v>
      </c>
      <c r="AK4987">
        <v>16.714356413201902</v>
      </c>
      <c r="AL4987">
        <v>88.616759873472404</v>
      </c>
      <c r="AM4987">
        <v>90.878898988192304</v>
      </c>
      <c r="AN4987">
        <v>1.0000000225374499</v>
      </c>
    </row>
    <row r="4988" spans="1:40" x14ac:dyDescent="0.25">
      <c r="A4988" t="str">
        <f>"20190312150751489"</f>
        <v>20190312150751489</v>
      </c>
      <c r="B4988" t="str">
        <f>"1552374471484437"</f>
        <v>1552374471484437</v>
      </c>
      <c r="C4988" t="s">
        <v>40</v>
      </c>
      <c r="D4988">
        <v>4.6177089999999996</v>
      </c>
      <c r="E4988">
        <v>0.4886838</v>
      </c>
      <c r="F4988" t="s">
        <v>67</v>
      </c>
      <c r="G4988">
        <v>-443.36259999999999</v>
      </c>
      <c r="H4988" s="1">
        <v>3.3492529999999999E-7</v>
      </c>
      <c r="I4988">
        <v>212.73390000000001</v>
      </c>
      <c r="J4988">
        <v>-460.57429999999999</v>
      </c>
      <c r="K4988">
        <v>1.1115029999999999</v>
      </c>
      <c r="L4988">
        <v>212.88200000000001</v>
      </c>
      <c r="M4988">
        <v>0.99857899999999999</v>
      </c>
      <c r="N4988">
        <v>0</v>
      </c>
      <c r="O4988">
        <v>-5.2568139999999999E-2</v>
      </c>
      <c r="P4988">
        <v>0.99918890000000005</v>
      </c>
      <c r="Q4988">
        <v>1.4591969999999999E-2</v>
      </c>
      <c r="R4988">
        <v>-3.7536239999999998E-2</v>
      </c>
      <c r="S4988">
        <v>3.0046689999999998</v>
      </c>
      <c r="T4988">
        <v>-0.19194810000000001</v>
      </c>
      <c r="U4988">
        <v>-2.6794430000000001E-2</v>
      </c>
      <c r="V4988">
        <v>-1.513043E-2</v>
      </c>
      <c r="W4988">
        <v>2.3305039999999999E-2</v>
      </c>
      <c r="X4988">
        <v>0.99961390000000006</v>
      </c>
      <c r="Y4988">
        <v>-4.3467499999999999E-2</v>
      </c>
      <c r="Z4988">
        <v>4.7404919999999998E-3</v>
      </c>
      <c r="AA4988">
        <v>0.99904360000000003</v>
      </c>
      <c r="AB4988">
        <v>19</v>
      </c>
      <c r="AC4988">
        <v>17.2117</v>
      </c>
      <c r="AD4988">
        <v>-1.1115026650747</v>
      </c>
      <c r="AE4988">
        <v>-0.14809999999999901</v>
      </c>
      <c r="AF4988">
        <v>-0.75378317137299899</v>
      </c>
      <c r="AG4988">
        <v>-1.1115026650747</v>
      </c>
      <c r="AH4988">
        <v>17.1242767763428</v>
      </c>
      <c r="AI4988">
        <v>93.710162615321195</v>
      </c>
      <c r="AJ4988">
        <v>92.520441183465607</v>
      </c>
      <c r="AK4988">
        <v>17.1768589199744</v>
      </c>
      <c r="AL4988">
        <v>88.664598668979906</v>
      </c>
      <c r="AM4988">
        <v>90.867178402925205</v>
      </c>
      <c r="AN4988">
        <v>1.0000000019372901</v>
      </c>
    </row>
    <row r="4989" spans="1:40" x14ac:dyDescent="0.25">
      <c r="A4989" t="str">
        <f>"20190312150751511"</f>
        <v>20190312150751511</v>
      </c>
      <c r="B4989" t="str">
        <f>"1552374471504932"</f>
        <v>1552374471504932</v>
      </c>
      <c r="C4989" t="s">
        <v>40</v>
      </c>
      <c r="D4989">
        <v>4.5735659999999996</v>
      </c>
      <c r="E4989">
        <v>0.48880200000000001</v>
      </c>
      <c r="F4989" t="s">
        <v>67</v>
      </c>
      <c r="G4989">
        <v>-443.2602</v>
      </c>
      <c r="H4989" s="1">
        <v>2.7979089999999998E-7</v>
      </c>
      <c r="I4989">
        <v>212.74789999999999</v>
      </c>
      <c r="J4989">
        <v>-460.38279999999997</v>
      </c>
      <c r="K4989">
        <v>1.111497</v>
      </c>
      <c r="L4989">
        <v>212.87530000000001</v>
      </c>
      <c r="M4989">
        <v>0.99872669999999997</v>
      </c>
      <c r="N4989">
        <v>0</v>
      </c>
      <c r="O4989">
        <v>-4.9677159999999998E-2</v>
      </c>
      <c r="P4989">
        <v>0.99929489999999999</v>
      </c>
      <c r="Q4989">
        <v>1.443461E-2</v>
      </c>
      <c r="R4989">
        <v>-3.4661070000000002E-2</v>
      </c>
      <c r="S4989">
        <v>3.0043329999999999</v>
      </c>
      <c r="T4989">
        <v>-0.1928675</v>
      </c>
      <c r="U4989">
        <v>-2.325439E-2</v>
      </c>
      <c r="V4989">
        <v>-1.511236E-2</v>
      </c>
      <c r="W4989">
        <v>2.3159639999999999E-2</v>
      </c>
      <c r="X4989">
        <v>0.9996176</v>
      </c>
      <c r="Y4989">
        <v>-4.1758969999999999E-2</v>
      </c>
      <c r="Z4989">
        <v>4.5237460000000004E-3</v>
      </c>
      <c r="AA4989">
        <v>0.99911749999999999</v>
      </c>
      <c r="AB4989">
        <v>19</v>
      </c>
      <c r="AC4989">
        <v>17.122599999999899</v>
      </c>
      <c r="AD4989">
        <v>-1.1114967202091</v>
      </c>
      <c r="AE4989">
        <v>-0.127400000000022</v>
      </c>
      <c r="AF4989">
        <v>-0.72035697334377602</v>
      </c>
      <c r="AG4989">
        <v>-1.1114967202091</v>
      </c>
      <c r="AH4989">
        <v>17.036003841901</v>
      </c>
      <c r="AI4989">
        <v>93.729590763246506</v>
      </c>
      <c r="AJ4989">
        <v>92.421274526591205</v>
      </c>
      <c r="AK4989">
        <v>17.0874154285938</v>
      </c>
      <c r="AL4989">
        <v>88.672931787315406</v>
      </c>
      <c r="AM4989">
        <v>90.866139699782295</v>
      </c>
      <c r="AN4989">
        <v>1.0000000492897201</v>
      </c>
    </row>
    <row r="4990" spans="1:40" x14ac:dyDescent="0.25">
      <c r="A4990" t="str">
        <f>"20190312150751533"</f>
        <v>20190312150751533</v>
      </c>
      <c r="B4990" t="str">
        <f>"1552374471525428"</f>
        <v>1552374471525428</v>
      </c>
      <c r="C4990" t="s">
        <v>40</v>
      </c>
      <c r="D4990">
        <v>4.6013279999999996</v>
      </c>
      <c r="E4990">
        <v>0.48888809999999999</v>
      </c>
      <c r="F4990" t="s">
        <v>67</v>
      </c>
      <c r="G4990">
        <v>-443.38409999999999</v>
      </c>
      <c r="H4990" s="1">
        <v>3.440623E-7</v>
      </c>
      <c r="I4990">
        <v>212.78630000000001</v>
      </c>
      <c r="J4990">
        <v>-460.1961</v>
      </c>
      <c r="K4990">
        <v>1.1114980000000001</v>
      </c>
      <c r="L4990">
        <v>212.86930000000001</v>
      </c>
      <c r="M4990">
        <v>0.99886280000000005</v>
      </c>
      <c r="N4990">
        <v>0</v>
      </c>
      <c r="O4990">
        <v>-4.6862840000000003E-2</v>
      </c>
      <c r="P4990">
        <v>0.99936400000000003</v>
      </c>
      <c r="Q4990">
        <v>1.5258809999999999E-2</v>
      </c>
      <c r="R4990">
        <v>-3.223823E-2</v>
      </c>
      <c r="S4990">
        <v>3.0043639999999998</v>
      </c>
      <c r="T4990">
        <v>-0.19644710000000001</v>
      </c>
      <c r="U4990">
        <v>-1.5731809999999999E-2</v>
      </c>
      <c r="V4990">
        <v>-1.4721690000000001E-2</v>
      </c>
      <c r="W4990">
        <v>2.3995309999999999E-2</v>
      </c>
      <c r="X4990">
        <v>0.99960369999999998</v>
      </c>
      <c r="Y4990">
        <v>-4.1444990000000001E-2</v>
      </c>
      <c r="Z4990">
        <v>4.4136590000000003E-3</v>
      </c>
      <c r="AA4990">
        <v>0.99913099999999999</v>
      </c>
      <c r="AB4990">
        <v>19</v>
      </c>
      <c r="AC4990">
        <v>16.812000000000001</v>
      </c>
      <c r="AD4990">
        <v>-1.1114976559376999</v>
      </c>
      <c r="AE4990">
        <v>-8.2999999999998395E-2</v>
      </c>
      <c r="AF4990">
        <v>-0.70191162570830001</v>
      </c>
      <c r="AG4990">
        <v>-1.1114976559376999</v>
      </c>
      <c r="AH4990">
        <v>16.7243177667604</v>
      </c>
      <c r="AI4990">
        <v>93.7989496898049</v>
      </c>
      <c r="AJ4990">
        <v>92.403266081843199</v>
      </c>
      <c r="AK4990">
        <v>16.775902709930001</v>
      </c>
      <c r="AL4990">
        <v>88.625038083930093</v>
      </c>
      <c r="AM4990">
        <v>90.843764111564198</v>
      </c>
      <c r="AN4990">
        <v>1.0000000300560701</v>
      </c>
    </row>
    <row r="4991" spans="1:40" x14ac:dyDescent="0.25">
      <c r="A4991" t="str">
        <f>"20190312150751556"</f>
        <v>20190312150751556</v>
      </c>
      <c r="B4991" t="str">
        <f>"1552374471544948"</f>
        <v>1552374471544948</v>
      </c>
      <c r="C4991" t="s">
        <v>40</v>
      </c>
      <c r="D4991">
        <v>4.9822730000000002</v>
      </c>
      <c r="E4991">
        <v>0.48922399999999999</v>
      </c>
      <c r="F4991" t="s">
        <v>67</v>
      </c>
      <c r="G4991">
        <v>-443.0659</v>
      </c>
      <c r="H4991" s="1">
        <v>1.7334339999999999E-7</v>
      </c>
      <c r="I4991">
        <v>212.8176</v>
      </c>
      <c r="J4991">
        <v>-459.99459999999999</v>
      </c>
      <c r="K4991">
        <v>1.1114999999999999</v>
      </c>
      <c r="L4991">
        <v>212.86340000000001</v>
      </c>
      <c r="M4991">
        <v>0.9990002</v>
      </c>
      <c r="N4991">
        <v>0</v>
      </c>
      <c r="O4991">
        <v>-4.3831450000000001E-2</v>
      </c>
      <c r="P4991">
        <v>0.99945839999999997</v>
      </c>
      <c r="Q4991">
        <v>1.560073E-2</v>
      </c>
      <c r="R4991">
        <v>-2.897665E-2</v>
      </c>
      <c r="S4991">
        <v>3.0045470000000001</v>
      </c>
      <c r="T4991">
        <v>-0.1949506</v>
      </c>
      <c r="U4991">
        <v>-9.0637210000000003E-3</v>
      </c>
      <c r="V4991">
        <v>-1.495083E-2</v>
      </c>
      <c r="W4991">
        <v>2.4349490000000001E-2</v>
      </c>
      <c r="X4991">
        <v>0.99959169999999997</v>
      </c>
      <c r="Y4991">
        <v>-4.0641620000000003E-2</v>
      </c>
      <c r="Z4991">
        <v>4.1575290000000001E-3</v>
      </c>
      <c r="AA4991">
        <v>0.99916510000000003</v>
      </c>
      <c r="AB4991">
        <v>19</v>
      </c>
      <c r="AC4991">
        <v>16.9286999999999</v>
      </c>
      <c r="AD4991">
        <v>-1.1114998266566001</v>
      </c>
      <c r="AE4991">
        <v>-4.5800000000014003E-2</v>
      </c>
      <c r="AF4991">
        <v>-0.69329348462184903</v>
      </c>
      <c r="AG4991">
        <v>-1.1114998266566001</v>
      </c>
      <c r="AH4991">
        <v>16.841833269777901</v>
      </c>
      <c r="AI4991">
        <v>93.772651900403503</v>
      </c>
      <c r="AJ4991">
        <v>92.357247890171195</v>
      </c>
      <c r="AK4991">
        <v>16.892703620423699</v>
      </c>
      <c r="AL4991">
        <v>88.604739086248401</v>
      </c>
      <c r="AM4991">
        <v>90.856905464189097</v>
      </c>
      <c r="AN4991">
        <v>0.99999999584491905</v>
      </c>
    </row>
    <row r="4992" spans="1:40" x14ac:dyDescent="0.25">
      <c r="A4992" t="str">
        <f>"20190312150751578"</f>
        <v>20190312150751578</v>
      </c>
      <c r="B4992" t="str">
        <f>"1552374471575204"</f>
        <v>1552374471575204</v>
      </c>
      <c r="C4992" t="s">
        <v>40</v>
      </c>
      <c r="D4992">
        <v>4.621016</v>
      </c>
      <c r="E4992">
        <v>0.48984149999999999</v>
      </c>
      <c r="F4992" t="s">
        <v>67</v>
      </c>
      <c r="G4992">
        <v>-442.48360000000002</v>
      </c>
      <c r="H4992" s="1">
        <v>-1.379782E-7</v>
      </c>
      <c r="I4992">
        <v>212.85169999999999</v>
      </c>
      <c r="J4992">
        <v>-459.8048</v>
      </c>
      <c r="K4992">
        <v>1.111507</v>
      </c>
      <c r="L4992">
        <v>212.85839999999999</v>
      </c>
      <c r="M4992">
        <v>0.99912080000000003</v>
      </c>
      <c r="N4992">
        <v>0</v>
      </c>
      <c r="O4992">
        <v>-4.0989009999999999E-2</v>
      </c>
      <c r="P4992">
        <v>0.99955510000000003</v>
      </c>
      <c r="Q4992">
        <v>1.553828E-2</v>
      </c>
      <c r="R4992">
        <v>-2.5463489999999998E-2</v>
      </c>
      <c r="S4992">
        <v>3.0045470000000001</v>
      </c>
      <c r="T4992">
        <v>-0.19071270000000001</v>
      </c>
      <c r="U4992">
        <v>-2.0141600000000001E-3</v>
      </c>
      <c r="V4992">
        <v>-1.562005E-2</v>
      </c>
      <c r="W4992">
        <v>2.4301819999999998E-2</v>
      </c>
      <c r="X4992">
        <v>0.99958259999999999</v>
      </c>
      <c r="Y4992">
        <v>-4.015751E-2</v>
      </c>
      <c r="Z4992">
        <v>3.871906E-3</v>
      </c>
      <c r="AA4992">
        <v>0.99918589999999996</v>
      </c>
      <c r="AB4992">
        <v>19</v>
      </c>
      <c r="AC4992">
        <v>17.321199999999902</v>
      </c>
      <c r="AD4992">
        <v>-1.1115071379782</v>
      </c>
      <c r="AE4992">
        <v>-6.6999999999950398E-3</v>
      </c>
      <c r="AF4992">
        <v>-0.70042775144334601</v>
      </c>
      <c r="AG4992">
        <v>-1.1115071379782</v>
      </c>
      <c r="AH4992">
        <v>17.2359420337798</v>
      </c>
      <c r="AI4992">
        <v>93.686732274114405</v>
      </c>
      <c r="AJ4992">
        <v>92.327083979035507</v>
      </c>
      <c r="AK4992">
        <v>17.2859406728297</v>
      </c>
      <c r="AL4992">
        <v>88.607471147587603</v>
      </c>
      <c r="AM4992">
        <v>90.895263787628195</v>
      </c>
      <c r="AN4992">
        <v>0.99999996932003699</v>
      </c>
    </row>
    <row r="4993" spans="1:40" x14ac:dyDescent="0.25">
      <c r="A4993" t="str">
        <f>"20190312150751598"</f>
        <v>20190312150751598</v>
      </c>
      <c r="B4993" t="str">
        <f>"1552374471594724"</f>
        <v>1552374471594724</v>
      </c>
      <c r="C4993" t="s">
        <v>40</v>
      </c>
      <c r="D4993">
        <v>4.7825530000000001</v>
      </c>
      <c r="E4993">
        <v>0.49022719999999997</v>
      </c>
      <c r="F4993" t="s">
        <v>67</v>
      </c>
      <c r="G4993">
        <v>-441.94929999999999</v>
      </c>
      <c r="H4993" s="1">
        <v>-4.2362459999999999E-7</v>
      </c>
      <c r="I4993">
        <v>212.88120000000001</v>
      </c>
      <c r="J4993">
        <v>-459.62599999999998</v>
      </c>
      <c r="K4993">
        <v>1.1115159999999999</v>
      </c>
      <c r="L4993">
        <v>212.85409999999999</v>
      </c>
      <c r="M4993">
        <v>0.99922639999999996</v>
      </c>
      <c r="N4993">
        <v>0</v>
      </c>
      <c r="O4993">
        <v>-3.832E-2</v>
      </c>
      <c r="P4993">
        <v>0.99963809999999997</v>
      </c>
      <c r="Q4993">
        <v>1.5750259999999999E-2</v>
      </c>
      <c r="R4993">
        <v>-2.18158E-2</v>
      </c>
      <c r="S4993">
        <v>3.0043030000000002</v>
      </c>
      <c r="T4993">
        <v>-0.18701789999999999</v>
      </c>
      <c r="U4993">
        <v>3.8452149999999999E-3</v>
      </c>
      <c r="V4993">
        <v>-1.6598970000000001E-2</v>
      </c>
      <c r="W4993">
        <v>2.4528729999999999E-2</v>
      </c>
      <c r="X4993">
        <v>0.99956129999999999</v>
      </c>
      <c r="Y4993">
        <v>-3.9449919999999999E-2</v>
      </c>
      <c r="Z4993">
        <v>3.6094740000000001E-3</v>
      </c>
      <c r="AA4993">
        <v>0.99921499999999996</v>
      </c>
      <c r="AB4993">
        <v>19</v>
      </c>
      <c r="AC4993">
        <v>17.676699999999901</v>
      </c>
      <c r="AD4993">
        <v>-1.1115164236246</v>
      </c>
      <c r="AE4993">
        <v>2.7100000000018502E-2</v>
      </c>
      <c r="AF4993">
        <v>-0.70170323614035202</v>
      </c>
      <c r="AG4993">
        <v>-1.1115164236246</v>
      </c>
      <c r="AH4993">
        <v>17.593115423935298</v>
      </c>
      <c r="AI4993">
        <v>93.612223934585302</v>
      </c>
      <c r="AJ4993">
        <v>92.284037465447696</v>
      </c>
      <c r="AK4993">
        <v>17.642153114387899</v>
      </c>
      <c r="AL4993">
        <v>88.594466311981193</v>
      </c>
      <c r="AM4993">
        <v>90.951380887476304</v>
      </c>
      <c r="AN4993">
        <v>0.999999988429081</v>
      </c>
    </row>
    <row r="4994" spans="1:40" x14ac:dyDescent="0.25">
      <c r="A4994" t="str">
        <f>"20190312150751622"</f>
        <v>20190312150751622</v>
      </c>
      <c r="B4994" t="str">
        <f>"1552374471615220"</f>
        <v>1552374471615220</v>
      </c>
      <c r="C4994" t="s">
        <v>40</v>
      </c>
      <c r="D4994">
        <v>4.7637600000000004</v>
      </c>
      <c r="E4994">
        <v>0.49044379999999999</v>
      </c>
      <c r="F4994" t="s">
        <v>67</v>
      </c>
      <c r="G4994">
        <v>-441.48899999999998</v>
      </c>
      <c r="H4994" s="1">
        <v>-6.7048399999999996E-7</v>
      </c>
      <c r="I4994">
        <v>212.9247</v>
      </c>
      <c r="J4994">
        <v>-459.42200000000003</v>
      </c>
      <c r="K4994">
        <v>1.1115250000000001</v>
      </c>
      <c r="L4994">
        <v>212.84989999999999</v>
      </c>
      <c r="M4994">
        <v>0.99933799999999995</v>
      </c>
      <c r="N4994">
        <v>0</v>
      </c>
      <c r="O4994">
        <v>-3.5286699999999997E-2</v>
      </c>
      <c r="P4994">
        <v>0.99969649999999999</v>
      </c>
      <c r="Q4994">
        <v>1.6463229999999999E-2</v>
      </c>
      <c r="R4994">
        <v>-1.833272E-2</v>
      </c>
      <c r="S4994">
        <v>3.0042110000000002</v>
      </c>
      <c r="T4994">
        <v>-0.1841112</v>
      </c>
      <c r="U4994">
        <v>1.1688230000000001E-2</v>
      </c>
      <c r="V4994">
        <v>-1.7049539999999998E-2</v>
      </c>
      <c r="W4994">
        <v>2.5262360000000001E-2</v>
      </c>
      <c r="X4994">
        <v>0.99953539999999996</v>
      </c>
      <c r="Y4994">
        <v>-3.9036559999999998E-2</v>
      </c>
      <c r="Z4994">
        <v>3.3553139999999999E-3</v>
      </c>
      <c r="AA4994">
        <v>0.99923220000000001</v>
      </c>
      <c r="AB4994">
        <v>20</v>
      </c>
      <c r="AC4994">
        <v>17.9329999999999</v>
      </c>
      <c r="AD4994">
        <v>-1.111525670484</v>
      </c>
      <c r="AE4994">
        <v>7.48000000000104E-2</v>
      </c>
      <c r="AF4994">
        <v>-0.70486671518900501</v>
      </c>
      <c r="AG4994">
        <v>-1.111525670484</v>
      </c>
      <c r="AH4994">
        <v>17.850614413497901</v>
      </c>
      <c r="AI4994">
        <v>93.560337384772893</v>
      </c>
      <c r="AJ4994">
        <v>92.261262072285703</v>
      </c>
      <c r="AK4994">
        <v>17.899071521777401</v>
      </c>
      <c r="AL4994">
        <v>88.552419312466796</v>
      </c>
      <c r="AM4994">
        <v>90.977225978262993</v>
      </c>
      <c r="AN4994">
        <v>0.99999994475006904</v>
      </c>
    </row>
    <row r="4995" spans="1:40" x14ac:dyDescent="0.25">
      <c r="A4995" t="str">
        <f>"20190312150751645"</f>
        <v>20190312150751645</v>
      </c>
      <c r="B4995" t="str">
        <f>"1552374471634740"</f>
        <v>1552374471634740</v>
      </c>
      <c r="C4995" t="s">
        <v>40</v>
      </c>
      <c r="D4995">
        <v>4.8386019999999998</v>
      </c>
      <c r="E4995">
        <v>0.49095670000000002</v>
      </c>
      <c r="F4995" t="s">
        <v>67</v>
      </c>
      <c r="G4995">
        <v>-440.98750000000001</v>
      </c>
      <c r="H4995" s="1">
        <v>-9.3958040000000002E-7</v>
      </c>
      <c r="I4995">
        <v>212.976</v>
      </c>
      <c r="J4995">
        <v>-459.22340000000003</v>
      </c>
      <c r="K4995">
        <v>1.1115250000000001</v>
      </c>
      <c r="L4995">
        <v>212.84630000000001</v>
      </c>
      <c r="M4995">
        <v>0.99943720000000003</v>
      </c>
      <c r="N4995">
        <v>0</v>
      </c>
      <c r="O4995">
        <v>-3.2348889999999998E-2</v>
      </c>
      <c r="P4995">
        <v>0.99972799999999995</v>
      </c>
      <c r="Q4995">
        <v>1.7602900000000001E-2</v>
      </c>
      <c r="R4995">
        <v>-1.5316069999999999E-2</v>
      </c>
      <c r="S4995">
        <v>3.0042420000000001</v>
      </c>
      <c r="T4995">
        <v>-0.18114379999999999</v>
      </c>
      <c r="U4995">
        <v>2.055359E-2</v>
      </c>
      <c r="V4995">
        <v>-1.7131009999999999E-2</v>
      </c>
      <c r="W4995">
        <v>2.6422589999999999E-2</v>
      </c>
      <c r="X4995">
        <v>0.99950410000000001</v>
      </c>
      <c r="Y4995">
        <v>-3.9057509999999997E-2</v>
      </c>
      <c r="Z4995">
        <v>3.125016E-3</v>
      </c>
      <c r="AA4995">
        <v>0.99923209999999996</v>
      </c>
      <c r="AB4995">
        <v>20</v>
      </c>
      <c r="AC4995">
        <v>18.235900000000001</v>
      </c>
      <c r="AD4995">
        <v>-1.11152593958039</v>
      </c>
      <c r="AE4995">
        <v>0.12969999999998499</v>
      </c>
      <c r="AF4995">
        <v>-0.71690317129159198</v>
      </c>
      <c r="AG4995">
        <v>-1.11152593958039</v>
      </c>
      <c r="AH4995">
        <v>18.154714062347701</v>
      </c>
      <c r="AI4995">
        <v>93.500850336864502</v>
      </c>
      <c r="AJ4995">
        <v>92.261351819873596</v>
      </c>
      <c r="AK4995">
        <v>18.202831723580001</v>
      </c>
      <c r="AL4995">
        <v>88.4859209513114</v>
      </c>
      <c r="AM4995">
        <v>90.981925412769101</v>
      </c>
      <c r="AN4995">
        <v>1.0000000353413601</v>
      </c>
    </row>
    <row r="4996" spans="1:40" x14ac:dyDescent="0.25">
      <c r="A4996" t="str">
        <f>"20190312150751665"</f>
        <v>20190312150751665</v>
      </c>
      <c r="B4996" t="str">
        <f>"1552374471655239"</f>
        <v>1552374471655239</v>
      </c>
      <c r="C4996" t="s">
        <v>40</v>
      </c>
      <c r="D4996">
        <v>4.9451340000000004</v>
      </c>
      <c r="E4996">
        <v>0.49157250000000002</v>
      </c>
      <c r="F4996" t="s">
        <v>67</v>
      </c>
      <c r="G4996">
        <v>-440.39280000000002</v>
      </c>
      <c r="H4996" s="1">
        <v>-1.2573199999999999E-6</v>
      </c>
      <c r="I4996">
        <v>213.00489999999999</v>
      </c>
      <c r="J4996">
        <v>-459.03489999999999</v>
      </c>
      <c r="K4996">
        <v>1.1115170000000001</v>
      </c>
      <c r="L4996">
        <v>212.8434</v>
      </c>
      <c r="M4996">
        <v>0.99952249999999998</v>
      </c>
      <c r="N4996">
        <v>0</v>
      </c>
      <c r="O4996">
        <v>-2.958539E-2</v>
      </c>
      <c r="P4996">
        <v>0.99974980000000002</v>
      </c>
      <c r="Q4996">
        <v>1.8310139999999999E-2</v>
      </c>
      <c r="R4996">
        <v>-1.2844639999999999E-2</v>
      </c>
      <c r="S4996">
        <v>3.0043329999999999</v>
      </c>
      <c r="T4996">
        <v>-0.177339</v>
      </c>
      <c r="U4996">
        <v>2.529907E-2</v>
      </c>
      <c r="V4996">
        <v>-1.684043E-2</v>
      </c>
      <c r="W4996">
        <v>2.7149030000000001E-2</v>
      </c>
      <c r="X4996">
        <v>0.99948950000000003</v>
      </c>
      <c r="Y4996">
        <v>-3.7884960000000002E-2</v>
      </c>
      <c r="Z4996">
        <v>2.8618810000000001E-3</v>
      </c>
      <c r="AA4996">
        <v>0.999278</v>
      </c>
      <c r="AB4996">
        <v>20</v>
      </c>
      <c r="AC4996">
        <v>18.6420999999999</v>
      </c>
      <c r="AD4996">
        <v>-1.11151825732</v>
      </c>
      <c r="AE4996">
        <v>0.16149999999998901</v>
      </c>
      <c r="AF4996">
        <v>-0.71045949924642904</v>
      </c>
      <c r="AG4996">
        <v>-1.11151825732</v>
      </c>
      <c r="AH4996">
        <v>18.5631729390267</v>
      </c>
      <c r="AI4996">
        <v>93.424141576614105</v>
      </c>
      <c r="AJ4996">
        <v>92.191784402824396</v>
      </c>
      <c r="AK4996">
        <v>18.609986972070601</v>
      </c>
      <c r="AL4996">
        <v>88.444283957256403</v>
      </c>
      <c r="AM4996">
        <v>90.965287051698894</v>
      </c>
      <c r="AN4996">
        <v>0.99999996526138701</v>
      </c>
    </row>
    <row r="4997" spans="1:40" x14ac:dyDescent="0.25">
      <c r="A4997" t="str">
        <f>"20190312150751688"</f>
        <v>20190312150751688</v>
      </c>
      <c r="B4997" t="str">
        <f>"1552374471684516"</f>
        <v>1552374471684516</v>
      </c>
      <c r="C4997" t="s">
        <v>40</v>
      </c>
      <c r="D4997">
        <v>4.7593610000000002</v>
      </c>
      <c r="E4997">
        <v>0.50250399999999995</v>
      </c>
      <c r="F4997" t="s">
        <v>68</v>
      </c>
      <c r="G4997">
        <v>-439.92689999999999</v>
      </c>
      <c r="H4997" s="1">
        <v>6.7587670000000001E-6</v>
      </c>
      <c r="I4997">
        <v>213.01939999999999</v>
      </c>
      <c r="J4997">
        <v>-458.83859999999999</v>
      </c>
      <c r="K4997">
        <v>1.1114949999999999</v>
      </c>
      <c r="L4997">
        <v>212.84100000000001</v>
      </c>
      <c r="M4997">
        <v>0.99960280000000001</v>
      </c>
      <c r="N4997">
        <v>0</v>
      </c>
      <c r="O4997">
        <v>-2.6729659999999999E-2</v>
      </c>
      <c r="P4997">
        <v>0.99979070000000003</v>
      </c>
      <c r="Q4997">
        <v>1.7930249999999998E-2</v>
      </c>
      <c r="R4997">
        <v>-9.8317679999999994E-3</v>
      </c>
      <c r="S4997">
        <v>3.0042719999999998</v>
      </c>
      <c r="T4997">
        <v>-0.1747581</v>
      </c>
      <c r="U4997">
        <v>2.766418E-2</v>
      </c>
      <c r="V4997">
        <v>-1.6994530000000001E-2</v>
      </c>
      <c r="W4997">
        <v>2.678724E-2</v>
      </c>
      <c r="X4997">
        <v>0.99949670000000002</v>
      </c>
      <c r="Y4997">
        <v>-3.5828449999999998E-2</v>
      </c>
      <c r="Z4997">
        <v>2.5946509999999999E-3</v>
      </c>
      <c r="AA4997">
        <v>0.99935459999999998</v>
      </c>
      <c r="AB4997">
        <v>20</v>
      </c>
      <c r="AC4997">
        <v>18.9117</v>
      </c>
      <c r="AD4997">
        <v>-1.1114882412330001</v>
      </c>
      <c r="AE4997">
        <v>0.17840000000001</v>
      </c>
      <c r="AF4997">
        <v>-0.68150587176071298</v>
      </c>
      <c r="AG4997">
        <v>-1.1114882412330001</v>
      </c>
      <c r="AH4997">
        <v>18.8351188791585</v>
      </c>
      <c r="AI4997">
        <v>93.374988770466203</v>
      </c>
      <c r="AJ4997">
        <v>92.072213275473104</v>
      </c>
      <c r="AK4997">
        <v>18.880189605925001</v>
      </c>
      <c r="AL4997">
        <v>88.465020611629598</v>
      </c>
      <c r="AM4997">
        <v>90.974111295023505</v>
      </c>
      <c r="AN4997">
        <v>1.0000000117938099</v>
      </c>
    </row>
    <row r="4998" spans="1:40" x14ac:dyDescent="0.25">
      <c r="A4998" t="str">
        <f>"20190312150751710"</f>
        <v>20190312150751710</v>
      </c>
      <c r="B4998" t="str">
        <f>"1552374471705013"</f>
        <v>1552374471705013</v>
      </c>
      <c r="C4998" t="s">
        <v>40</v>
      </c>
      <c r="D4998">
        <v>4.6138629999999896</v>
      </c>
      <c r="E4998">
        <v>0.4904906</v>
      </c>
      <c r="F4998" t="s">
        <v>67</v>
      </c>
      <c r="G4998">
        <v>-441.70229999999998</v>
      </c>
      <c r="H4998" s="1">
        <v>-5.4063479999999999E-7</v>
      </c>
      <c r="I4998">
        <v>212.55099999999999</v>
      </c>
      <c r="J4998">
        <v>-458.6454</v>
      </c>
      <c r="K4998">
        <v>1.111475</v>
      </c>
      <c r="L4998">
        <v>212.8391</v>
      </c>
      <c r="M4998">
        <v>0.99967309999999998</v>
      </c>
      <c r="N4998">
        <v>0</v>
      </c>
      <c r="O4998">
        <v>-2.3954909999999999E-2</v>
      </c>
      <c r="P4998">
        <v>0.99983100000000003</v>
      </c>
      <c r="Q4998">
        <v>1.6846670000000001E-2</v>
      </c>
      <c r="R4998">
        <v>-7.3860319999999998E-3</v>
      </c>
      <c r="S4998">
        <v>3.0036320000000001</v>
      </c>
      <c r="T4998">
        <v>-0.19482179999999999</v>
      </c>
      <c r="U4998">
        <v>-5.0827030000000002E-2</v>
      </c>
      <c r="V4998">
        <v>-1.6660910000000001E-2</v>
      </c>
      <c r="W4998">
        <v>2.5721879999999999E-2</v>
      </c>
      <c r="X4998">
        <v>0.99953029999999998</v>
      </c>
      <c r="Y4998">
        <v>-6.9729029999999999E-3</v>
      </c>
      <c r="Z4998">
        <v>1.777781E-3</v>
      </c>
      <c r="AA4998">
        <v>0.99997409999999998</v>
      </c>
      <c r="AB4998">
        <v>20</v>
      </c>
      <c r="AC4998">
        <v>16.943100000000001</v>
      </c>
      <c r="AD4998">
        <v>-1.1114755406348</v>
      </c>
      <c r="AE4998">
        <v>-0.28810000000001401</v>
      </c>
      <c r="AF4998">
        <v>-0.117364399152619</v>
      </c>
      <c r="AG4998">
        <v>-1.1114755406348</v>
      </c>
      <c r="AH4998">
        <v>16.872550564244602</v>
      </c>
      <c r="AI4998">
        <v>93.768810498874203</v>
      </c>
      <c r="AJ4998">
        <v>90.398539406310405</v>
      </c>
      <c r="AK4998">
        <v>16.909527338829101</v>
      </c>
      <c r="AL4998">
        <v>88.526082292633603</v>
      </c>
      <c r="AM4998">
        <v>90.954959974425194</v>
      </c>
      <c r="AN4998">
        <v>1.0000000108254199</v>
      </c>
    </row>
    <row r="4999" spans="1:40" x14ac:dyDescent="0.25">
      <c r="A4999" t="str">
        <f>"20190312150751734"</f>
        <v>20190312150751734</v>
      </c>
      <c r="B4999" t="str">
        <f>"1552374471724534"</f>
        <v>1552374471724534</v>
      </c>
      <c r="C4999" t="s">
        <v>40</v>
      </c>
      <c r="D4999">
        <v>4.5982969999999996</v>
      </c>
      <c r="E4999">
        <v>0.48990020000000001</v>
      </c>
      <c r="F4999" t="s">
        <v>68</v>
      </c>
      <c r="G4999">
        <v>-438.90159999999997</v>
      </c>
      <c r="H4999" s="1">
        <v>6.2897169999999999E-6</v>
      </c>
      <c r="I4999">
        <v>213.18350000000001</v>
      </c>
      <c r="J4999">
        <v>-458.44260000000003</v>
      </c>
      <c r="K4999">
        <v>1.1114379999999999</v>
      </c>
      <c r="L4999">
        <v>212.83760000000001</v>
      </c>
      <c r="M4999">
        <v>0.99973730000000005</v>
      </c>
      <c r="N4999">
        <v>0</v>
      </c>
      <c r="O4999">
        <v>-2.1102280000000001E-2</v>
      </c>
      <c r="P4999">
        <v>0.99985740000000001</v>
      </c>
      <c r="Q4999">
        <v>1.6043780000000001E-2</v>
      </c>
      <c r="R4999">
        <v>-5.2718590000000003E-3</v>
      </c>
      <c r="S4999">
        <v>3.0037539999999998</v>
      </c>
      <c r="T4999">
        <v>-0.16909489999999999</v>
      </c>
      <c r="U4999">
        <v>5.2398680000000003E-2</v>
      </c>
      <c r="V4999">
        <v>-1.59177E-2</v>
      </c>
      <c r="W4999">
        <v>2.4938680000000001E-2</v>
      </c>
      <c r="X4999">
        <v>0.99956230000000001</v>
      </c>
      <c r="Y4999">
        <v>-3.8443520000000002E-2</v>
      </c>
      <c r="Z4999">
        <v>2.2680920000000002E-3</v>
      </c>
      <c r="AA4999">
        <v>0.99925819999999999</v>
      </c>
      <c r="AB4999">
        <v>20</v>
      </c>
      <c r="AC4999">
        <v>19.541</v>
      </c>
      <c r="AD4999">
        <v>-1.111431710283</v>
      </c>
      <c r="AE4999">
        <v>0.34589999999999999</v>
      </c>
      <c r="AF4999">
        <v>-0.75575503466771898</v>
      </c>
      <c r="AG4999">
        <v>-1.111431710283</v>
      </c>
      <c r="AH4999">
        <v>19.4663950014845</v>
      </c>
      <c r="AI4999">
        <v>93.265294046447806</v>
      </c>
      <c r="AJ4999">
        <v>92.223310364490501</v>
      </c>
      <c r="AK4999">
        <v>19.512738928014901</v>
      </c>
      <c r="AL4999">
        <v>88.570970808648596</v>
      </c>
      <c r="AM4999">
        <v>90.912339277829005</v>
      </c>
      <c r="AN4999">
        <v>1.0000000512573599</v>
      </c>
    </row>
    <row r="5000" spans="1:40" x14ac:dyDescent="0.25">
      <c r="A5000" t="str">
        <f>"20190312150751756"</f>
        <v>20190312150751756</v>
      </c>
      <c r="B5000" t="str">
        <f>"1552374471745028"</f>
        <v>1552374471745028</v>
      </c>
      <c r="C5000" t="s">
        <v>40</v>
      </c>
      <c r="D5000">
        <v>4.8266249999999999</v>
      </c>
      <c r="E5000">
        <v>0.49041309999999999</v>
      </c>
      <c r="F5000" t="s">
        <v>68</v>
      </c>
      <c r="G5000">
        <v>-438.28879999999998</v>
      </c>
      <c r="H5000" s="1">
        <v>6.0108320000000002E-6</v>
      </c>
      <c r="I5000">
        <v>213.2654</v>
      </c>
      <c r="J5000">
        <v>-458.23770000000002</v>
      </c>
      <c r="K5000">
        <v>1.111394</v>
      </c>
      <c r="L5000">
        <v>212.8366</v>
      </c>
      <c r="M5000">
        <v>0.99979220000000002</v>
      </c>
      <c r="N5000">
        <v>0</v>
      </c>
      <c r="O5000">
        <v>-1.8304460000000002E-2</v>
      </c>
      <c r="P5000">
        <v>0.99986390000000003</v>
      </c>
      <c r="Q5000">
        <v>1.6089220000000001E-2</v>
      </c>
      <c r="R5000">
        <v>-3.6791720000000001E-3</v>
      </c>
      <c r="S5000">
        <v>3.003479</v>
      </c>
      <c r="T5000">
        <v>-0.1656347</v>
      </c>
      <c r="U5000">
        <v>6.3751219999999997E-2</v>
      </c>
      <c r="V5000">
        <v>-1.470989E-2</v>
      </c>
      <c r="W5000">
        <v>2.5003040000000001E-2</v>
      </c>
      <c r="X5000">
        <v>0.99957910000000005</v>
      </c>
      <c r="Y5000">
        <v>-3.9430840000000002E-2</v>
      </c>
      <c r="Z5000">
        <v>2.094926E-3</v>
      </c>
      <c r="AA5000">
        <v>0.99922010000000006</v>
      </c>
      <c r="AB5000">
        <v>20</v>
      </c>
      <c r="AC5000">
        <v>19.948899999999998</v>
      </c>
      <c r="AD5000">
        <v>-1.1113879891680001</v>
      </c>
      <c r="AE5000">
        <v>0.42879999999999502</v>
      </c>
      <c r="AF5000">
        <v>-0.79144135396603399</v>
      </c>
      <c r="AG5000">
        <v>-1.1113879891680001</v>
      </c>
      <c r="AH5000">
        <v>19.876045464497</v>
      </c>
      <c r="AI5000">
        <v>93.1978864040736</v>
      </c>
      <c r="AJ5000">
        <v>92.280247650594504</v>
      </c>
      <c r="AK5000">
        <v>19.922819729796899</v>
      </c>
      <c r="AL5000">
        <v>88.567281964336203</v>
      </c>
      <c r="AM5000">
        <v>90.843108645578397</v>
      </c>
      <c r="AN5000">
        <v>0.99999995501493</v>
      </c>
    </row>
    <row r="5001" spans="1:40" x14ac:dyDescent="0.25">
      <c r="A5001" t="str">
        <f>"20190312150751779"</f>
        <v>20190312150751779</v>
      </c>
      <c r="B5001" t="str">
        <f>"1552374471775284"</f>
        <v>1552374471775284</v>
      </c>
      <c r="C5001" t="s">
        <v>40</v>
      </c>
      <c r="D5001">
        <v>4.6061990000000002</v>
      </c>
      <c r="E5001">
        <v>0.49145519999999998</v>
      </c>
      <c r="F5001" t="s">
        <v>68</v>
      </c>
      <c r="G5001">
        <v>-437.78820000000002</v>
      </c>
      <c r="H5001" s="1">
        <v>5.7879309999999999E-6</v>
      </c>
      <c r="I5001">
        <v>213.27549999999999</v>
      </c>
      <c r="J5001">
        <v>-458.03930000000003</v>
      </c>
      <c r="K5001">
        <v>1.1113329999999999</v>
      </c>
      <c r="L5001">
        <v>212.83600000000001</v>
      </c>
      <c r="M5001">
        <v>0.99983659999999996</v>
      </c>
      <c r="N5001">
        <v>0</v>
      </c>
      <c r="O5001">
        <v>-1.569628E-2</v>
      </c>
      <c r="P5001">
        <v>0.99987170000000003</v>
      </c>
      <c r="Q5001">
        <v>1.5882179999999999E-2</v>
      </c>
      <c r="R5001">
        <v>-2.1916449999999999E-3</v>
      </c>
      <c r="S5001">
        <v>3.0032649999999999</v>
      </c>
      <c r="T5001">
        <v>-0.1632207</v>
      </c>
      <c r="U5001">
        <v>6.4468380000000006E-2</v>
      </c>
      <c r="V5001">
        <v>-1.3585079999999999E-2</v>
      </c>
      <c r="W5001">
        <v>2.481332E-2</v>
      </c>
      <c r="X5001">
        <v>0.99959980000000004</v>
      </c>
      <c r="Y5001">
        <v>-3.7073960000000003E-2</v>
      </c>
      <c r="Z5001">
        <v>1.8589590000000001E-3</v>
      </c>
      <c r="AA5001">
        <v>0.99931080000000005</v>
      </c>
      <c r="AB5001">
        <v>20</v>
      </c>
      <c r="AC5001">
        <v>20.251100000000001</v>
      </c>
      <c r="AD5001">
        <v>-1.1113272120690001</v>
      </c>
      <c r="AE5001">
        <v>0.43950000000000899</v>
      </c>
      <c r="AF5001">
        <v>-0.75505277593127096</v>
      </c>
      <c r="AG5001">
        <v>-1.1113272120690001</v>
      </c>
      <c r="AH5001">
        <v>20.180959311046202</v>
      </c>
      <c r="AI5001">
        <v>93.149787170133806</v>
      </c>
      <c r="AJ5001">
        <v>92.142671597915694</v>
      </c>
      <c r="AK5001">
        <v>20.225634021726702</v>
      </c>
      <c r="AL5001">
        <v>88.578155568649095</v>
      </c>
      <c r="AM5001">
        <v>90.778631439880201</v>
      </c>
      <c r="AN5001">
        <v>1.0000000077040301</v>
      </c>
    </row>
    <row r="5002" spans="1:40" x14ac:dyDescent="0.25">
      <c r="A5002" t="str">
        <f>"20190312150751799"</f>
        <v>20190312150751799</v>
      </c>
      <c r="B5002" t="str">
        <f>"1552374471794805"</f>
        <v>1552374471794805</v>
      </c>
      <c r="C5002" t="s">
        <v>40</v>
      </c>
      <c r="D5002">
        <v>4.7568799999999998</v>
      </c>
      <c r="E5002">
        <v>0.49196640000000003</v>
      </c>
      <c r="F5002" t="s">
        <v>68</v>
      </c>
      <c r="G5002">
        <v>-436.32319999999999</v>
      </c>
      <c r="H5002" s="1">
        <v>5.1383280000000003E-6</v>
      </c>
      <c r="I5002">
        <v>213.2748</v>
      </c>
      <c r="J5002">
        <v>-457.85340000000002</v>
      </c>
      <c r="K5002">
        <v>1.1112690000000001</v>
      </c>
      <c r="L5002">
        <v>212.83580000000001</v>
      </c>
      <c r="M5002">
        <v>0.99987040000000005</v>
      </c>
      <c r="N5002">
        <v>0</v>
      </c>
      <c r="O5002">
        <v>-1.3362829999999999E-2</v>
      </c>
      <c r="P5002">
        <v>0.99987020000000004</v>
      </c>
      <c r="Q5002">
        <v>1.6068799999999901E-2</v>
      </c>
      <c r="R5002">
        <v>-1.2461670000000001E-3</v>
      </c>
      <c r="S5002">
        <v>3.0029300000000001</v>
      </c>
      <c r="T5002">
        <v>-0.1536756</v>
      </c>
      <c r="U5002">
        <v>6.0684200000000001E-2</v>
      </c>
      <c r="V5002">
        <v>-1.219368E-2</v>
      </c>
      <c r="W5002">
        <v>2.5015909999999999E-2</v>
      </c>
      <c r="X5002">
        <v>0.99961270000000002</v>
      </c>
      <c r="Y5002">
        <v>-3.3501740000000002E-2</v>
      </c>
      <c r="Z5002">
        <v>1.539945E-3</v>
      </c>
      <c r="AA5002">
        <v>0.99943749999999998</v>
      </c>
      <c r="AB5002">
        <v>20</v>
      </c>
      <c r="AC5002">
        <v>21.530200000000001</v>
      </c>
      <c r="AD5002">
        <v>-1.1112638616720001</v>
      </c>
      <c r="AE5002">
        <v>0.43899999999999201</v>
      </c>
      <c r="AF5002">
        <v>-0.724746859071983</v>
      </c>
      <c r="AG5002">
        <v>-1.1112638616720001</v>
      </c>
      <c r="AH5002">
        <v>21.4652507730111</v>
      </c>
      <c r="AI5002">
        <v>92.961892887299499</v>
      </c>
      <c r="AJ5002">
        <v>91.933784428448305</v>
      </c>
      <c r="AK5002">
        <v>21.506212035787399</v>
      </c>
      <c r="AL5002">
        <v>88.566544424042405</v>
      </c>
      <c r="AM5002">
        <v>90.698882427879994</v>
      </c>
      <c r="AN5002">
        <v>1.0000000157931801</v>
      </c>
    </row>
    <row r="5003" spans="1:40" x14ac:dyDescent="0.25">
      <c r="A5003" t="str">
        <f>"20190312150751823"</f>
        <v>20190312150751823</v>
      </c>
      <c r="B5003" t="str">
        <f>"1552374471815300"</f>
        <v>1552374471815300</v>
      </c>
      <c r="C5003" t="s">
        <v>40</v>
      </c>
      <c r="D5003">
        <v>4.8076949999999998</v>
      </c>
      <c r="E5003">
        <v>0.49243619999999999</v>
      </c>
      <c r="F5003" t="s">
        <v>68</v>
      </c>
      <c r="G5003">
        <v>-436.09679999999997</v>
      </c>
      <c r="H5003" s="1">
        <v>5.038666E-6</v>
      </c>
      <c r="I5003">
        <v>213.26650000000001</v>
      </c>
      <c r="J5003">
        <v>-457.64460000000003</v>
      </c>
      <c r="K5003">
        <v>1.1111799999999901</v>
      </c>
      <c r="L5003">
        <v>212.83600000000001</v>
      </c>
      <c r="M5003">
        <v>0.99990029999999996</v>
      </c>
      <c r="N5003">
        <v>0</v>
      </c>
      <c r="O5003">
        <v>-1.088338E-2</v>
      </c>
      <c r="P5003">
        <v>0.99986960000000003</v>
      </c>
      <c r="Q5003">
        <v>1.6137459999999999E-2</v>
      </c>
      <c r="R5003">
        <v>-6.5450959999999896E-4</v>
      </c>
      <c r="S5003">
        <v>3.0029300000000001</v>
      </c>
      <c r="T5003">
        <v>-0.15338089999999999</v>
      </c>
      <c r="U5003">
        <v>5.9448239999999999E-2</v>
      </c>
      <c r="V5003">
        <v>-1.030037E-2</v>
      </c>
      <c r="W5003">
        <v>2.5098849999999999E-2</v>
      </c>
      <c r="X5003">
        <v>0.99963190000000002</v>
      </c>
      <c r="Y5003">
        <v>-3.061931E-2</v>
      </c>
      <c r="Z5003">
        <v>1.336891E-3</v>
      </c>
      <c r="AA5003">
        <v>0.99953020000000004</v>
      </c>
      <c r="AB5003">
        <v>20</v>
      </c>
      <c r="AC5003">
        <v>21.547799999999999</v>
      </c>
      <c r="AD5003">
        <v>-1.1111749613339901</v>
      </c>
      <c r="AE5003">
        <v>0.43050000000002298</v>
      </c>
      <c r="AF5003">
        <v>-0.663233887967414</v>
      </c>
      <c r="AG5003">
        <v>-1.1111749613339901</v>
      </c>
      <c r="AH5003">
        <v>21.484727780471299</v>
      </c>
      <c r="AI5003">
        <v>92.959252182929106</v>
      </c>
      <c r="AJ5003">
        <v>91.768160105933802</v>
      </c>
      <c r="AK5003">
        <v>21.523664111526099</v>
      </c>
      <c r="AL5003">
        <v>88.561790786374502</v>
      </c>
      <c r="AM5003">
        <v>90.590364155627498</v>
      </c>
      <c r="AN5003">
        <v>0.99999999269553397</v>
      </c>
    </row>
    <row r="5004" spans="1:40" x14ac:dyDescent="0.25">
      <c r="A5004" t="str">
        <f>"20190312150751846"</f>
        <v>20190312150751846</v>
      </c>
      <c r="B5004" t="str">
        <f>"1552374471834820"</f>
        <v>1552374471834820</v>
      </c>
      <c r="C5004" t="s">
        <v>40</v>
      </c>
      <c r="D5004">
        <v>4.7952779999999997</v>
      </c>
      <c r="E5004">
        <v>0.49288579999999999</v>
      </c>
      <c r="F5004" t="s">
        <v>68</v>
      </c>
      <c r="G5004">
        <v>-435.37099999999998</v>
      </c>
      <c r="H5004" s="1">
        <v>4.7170690000000003E-6</v>
      </c>
      <c r="I5004">
        <v>213.2637</v>
      </c>
      <c r="J5004">
        <v>-457.44139999999999</v>
      </c>
      <c r="K5004">
        <v>1.1110799999999901</v>
      </c>
      <c r="L5004">
        <v>212.8364</v>
      </c>
      <c r="M5004">
        <v>0.99992219999999998</v>
      </c>
      <c r="N5004">
        <v>0</v>
      </c>
      <c r="O5004">
        <v>-8.6453889999999999E-3</v>
      </c>
      <c r="P5004">
        <v>0.99986699999999995</v>
      </c>
      <c r="Q5004">
        <v>1.6299060000000001E-2</v>
      </c>
      <c r="R5004">
        <v>6.1390160000000002E-4</v>
      </c>
      <c r="S5004">
        <v>3.0028380000000001</v>
      </c>
      <c r="T5004">
        <v>-0.1498042</v>
      </c>
      <c r="U5004">
        <v>5.7662959999999999E-2</v>
      </c>
      <c r="V5004">
        <v>-9.3260329999999992E-3</v>
      </c>
      <c r="W5004">
        <v>2.526045E-2</v>
      </c>
      <c r="X5004">
        <v>0.99963740000000001</v>
      </c>
      <c r="Y5004">
        <v>-2.77974E-2</v>
      </c>
      <c r="Z5004">
        <v>1.12389E-3</v>
      </c>
      <c r="AA5004">
        <v>0.99961290000000003</v>
      </c>
      <c r="AB5004">
        <v>20</v>
      </c>
      <c r="AC5004">
        <v>22.070399999999999</v>
      </c>
      <c r="AD5004">
        <v>-1.11107528293099</v>
      </c>
      <c r="AE5004">
        <v>0.42730000000000201</v>
      </c>
      <c r="AF5004">
        <v>-0.61653700199367101</v>
      </c>
      <c r="AG5004">
        <v>-1.11107528293099</v>
      </c>
      <c r="AH5004">
        <v>22.010120348895398</v>
      </c>
      <c r="AI5004">
        <v>92.888718235509202</v>
      </c>
      <c r="AJ5004">
        <v>91.604522497994097</v>
      </c>
      <c r="AK5004">
        <v>22.046768559859899</v>
      </c>
      <c r="AL5004">
        <v>88.552528859949902</v>
      </c>
      <c r="AM5004">
        <v>90.534520645799503</v>
      </c>
      <c r="AN5004">
        <v>0.99999999835223896</v>
      </c>
    </row>
    <row r="5005" spans="1:40" x14ac:dyDescent="0.25">
      <c r="A5005" t="str">
        <f>"20190312150751867"</f>
        <v>20190312150751867</v>
      </c>
      <c r="B5005" t="str">
        <f>"1552374471855320"</f>
        <v>1552374471855320</v>
      </c>
      <c r="C5005" t="s">
        <v>40</v>
      </c>
      <c r="D5005">
        <v>4.6158149999999996</v>
      </c>
      <c r="E5005">
        <v>0.49301159999999999</v>
      </c>
      <c r="F5005" t="s">
        <v>68</v>
      </c>
      <c r="G5005">
        <v>-434.73180000000002</v>
      </c>
      <c r="H5005" s="1">
        <v>4.4328579999999996E-6</v>
      </c>
      <c r="I5005">
        <v>213.2723</v>
      </c>
      <c r="J5005">
        <v>-457.25330000000002</v>
      </c>
      <c r="K5005">
        <v>1.1109830000000001</v>
      </c>
      <c r="L5005">
        <v>212.83709999999999</v>
      </c>
      <c r="M5005">
        <v>0.99993710000000002</v>
      </c>
      <c r="N5005">
        <v>0</v>
      </c>
      <c r="O5005">
        <v>-6.7317310000000003E-3</v>
      </c>
      <c r="P5005">
        <v>0.99986229999999998</v>
      </c>
      <c r="Q5005">
        <v>1.6566029999999999E-2</v>
      </c>
      <c r="R5005">
        <v>1.0623480000000001E-3</v>
      </c>
      <c r="S5005">
        <v>3.0027159999999999</v>
      </c>
      <c r="T5005">
        <v>-0.14690919999999999</v>
      </c>
      <c r="U5005">
        <v>5.7632450000000002E-2</v>
      </c>
      <c r="V5005">
        <v>-7.855463E-3</v>
      </c>
      <c r="W5005">
        <v>2.552072E-2</v>
      </c>
      <c r="X5005">
        <v>0.99964339999999996</v>
      </c>
      <c r="Y5005">
        <v>-2.588124E-2</v>
      </c>
      <c r="Z5005">
        <v>9.6183170000000004E-4</v>
      </c>
      <c r="AA5005">
        <v>0.99966449999999996</v>
      </c>
      <c r="AB5005">
        <v>20</v>
      </c>
      <c r="AC5005">
        <v>22.5215</v>
      </c>
      <c r="AD5005">
        <v>-1.1109785671420001</v>
      </c>
      <c r="AE5005">
        <v>0.43520000000000802</v>
      </c>
      <c r="AF5005">
        <v>-0.58538097414131096</v>
      </c>
      <c r="AG5005">
        <v>-1.1109785671420001</v>
      </c>
      <c r="AH5005">
        <v>22.463417408607398</v>
      </c>
      <c r="AI5005">
        <v>92.830424606966702</v>
      </c>
      <c r="AJ5005">
        <v>91.492750169949304</v>
      </c>
      <c r="AK5005">
        <v>22.498490303459501</v>
      </c>
      <c r="AL5005">
        <v>88.537611638595294</v>
      </c>
      <c r="AM5005">
        <v>90.450236165984194</v>
      </c>
      <c r="AN5005">
        <v>0.99999997130591001</v>
      </c>
    </row>
    <row r="5006" spans="1:40" x14ac:dyDescent="0.25">
      <c r="A5006" t="str">
        <f>"20190312150751889"</f>
        <v>20190312150751889</v>
      </c>
      <c r="B5006" t="str">
        <f>"1552374471884811"</f>
        <v>1552374471884811</v>
      </c>
      <c r="C5006" t="s">
        <v>40</v>
      </c>
      <c r="D5006">
        <v>4.6018330000000001</v>
      </c>
      <c r="E5006">
        <v>0.49349169999999998</v>
      </c>
      <c r="F5006" t="s">
        <v>68</v>
      </c>
      <c r="G5006">
        <v>-434.5136</v>
      </c>
      <c r="H5006" s="1">
        <v>4.3356529999999996E-6</v>
      </c>
      <c r="I5006">
        <v>213.27709999999999</v>
      </c>
      <c r="J5006">
        <v>-457.0496</v>
      </c>
      <c r="K5006">
        <v>1.110894</v>
      </c>
      <c r="L5006">
        <v>212.83799999999999</v>
      </c>
      <c r="M5006">
        <v>0.99994839999999996</v>
      </c>
      <c r="N5006">
        <v>0</v>
      </c>
      <c r="O5006">
        <v>-4.8051659999999996E-3</v>
      </c>
      <c r="P5006">
        <v>0.99985299999999999</v>
      </c>
      <c r="Q5006">
        <v>1.709919E-2</v>
      </c>
      <c r="R5006">
        <v>1.35425E-3</v>
      </c>
      <c r="S5006">
        <v>3.0027469999999998</v>
      </c>
      <c r="T5006">
        <v>-0.146703</v>
      </c>
      <c r="U5006">
        <v>5.8105469999999999E-2</v>
      </c>
      <c r="V5006">
        <v>-6.2170639999999996E-3</v>
      </c>
      <c r="W5006">
        <v>2.6041729999999999E-2</v>
      </c>
      <c r="X5006">
        <v>0.99964149999999996</v>
      </c>
      <c r="Y5006">
        <v>-2.41169E-2</v>
      </c>
      <c r="Z5006">
        <v>8.2333690000000001E-4</v>
      </c>
      <c r="AA5006">
        <v>0.99970879999999995</v>
      </c>
      <c r="AB5006">
        <v>20</v>
      </c>
      <c r="AC5006">
        <v>22.535999999999898</v>
      </c>
      <c r="AD5006">
        <v>-1.1108896643469901</v>
      </c>
      <c r="AE5006">
        <v>0.43909999999999599</v>
      </c>
      <c r="AF5006">
        <v>-0.54606211674620098</v>
      </c>
      <c r="AG5006">
        <v>-1.1108896643469901</v>
      </c>
      <c r="AH5006">
        <v>22.479028735034799</v>
      </c>
      <c r="AI5006">
        <v>92.828361694249494</v>
      </c>
      <c r="AJ5006">
        <v>91.391559349673301</v>
      </c>
      <c r="AK5006">
        <v>22.5130849186028</v>
      </c>
      <c r="AL5006">
        <v>88.507750044674694</v>
      </c>
      <c r="AM5006">
        <v>90.356334681544595</v>
      </c>
      <c r="AN5006">
        <v>0.99999997605421098</v>
      </c>
    </row>
    <row r="5007" spans="1:40" x14ac:dyDescent="0.25">
      <c r="A5007" t="str">
        <f>"20190312150751979"</f>
        <v>20190312150751979</v>
      </c>
      <c r="B5007" t="str">
        <f>"1552374471974603"</f>
        <v>1552374471974603</v>
      </c>
      <c r="C5007" t="s">
        <v>40</v>
      </c>
      <c r="D5007">
        <v>4.861872</v>
      </c>
      <c r="E5007">
        <v>0.51034219999999997</v>
      </c>
      <c r="F5007" t="s">
        <v>68</v>
      </c>
      <c r="G5007">
        <v>-433.78230000000002</v>
      </c>
      <c r="H5007" s="1">
        <v>4.0123599999999996E-6</v>
      </c>
      <c r="I5007">
        <v>213.26589999999999</v>
      </c>
      <c r="J5007">
        <v>-456.2294</v>
      </c>
      <c r="K5007">
        <v>1.11059</v>
      </c>
      <c r="L5007">
        <v>212.84360000000001</v>
      </c>
      <c r="M5007">
        <v>0.99995959999999995</v>
      </c>
      <c r="N5007">
        <v>0</v>
      </c>
      <c r="O5007">
        <v>1.4292160000000001E-3</v>
      </c>
      <c r="P5007">
        <v>0.99978860000000003</v>
      </c>
      <c r="Q5007">
        <v>2.057208E-2</v>
      </c>
      <c r="R5007">
        <v>1.193636E-4</v>
      </c>
      <c r="S5007">
        <v>3.0028380000000001</v>
      </c>
      <c r="T5007">
        <v>-0.14336969999999999</v>
      </c>
      <c r="U5007">
        <v>5.5221560000000003E-2</v>
      </c>
      <c r="V5007">
        <v>1.2661860000000001E-3</v>
      </c>
      <c r="W5007">
        <v>2.9452180000000001E-2</v>
      </c>
      <c r="X5007">
        <v>0.99956540000000005</v>
      </c>
      <c r="Y5007">
        <v>-1.6939969999999999E-2</v>
      </c>
      <c r="Z5007">
        <v>3.3593730000000001E-4</v>
      </c>
      <c r="AA5007">
        <v>0.99985650000000004</v>
      </c>
      <c r="AB5007">
        <v>20</v>
      </c>
      <c r="AC5007">
        <v>22.447099999999899</v>
      </c>
      <c r="AD5007">
        <v>-1.1105859876399999</v>
      </c>
      <c r="AE5007">
        <v>0.42229999999997803</v>
      </c>
      <c r="AF5007">
        <v>-0.38926402995811399</v>
      </c>
      <c r="AG5007">
        <v>-1.1105859876399999</v>
      </c>
      <c r="AH5007">
        <v>22.3928857365986</v>
      </c>
      <c r="AI5007">
        <v>92.838857260530006</v>
      </c>
      <c r="AJ5007">
        <v>90.995893971095597</v>
      </c>
      <c r="AK5007">
        <v>22.4237878007558</v>
      </c>
      <c r="AL5007">
        <v>88.312270349823095</v>
      </c>
      <c r="AM5007">
        <v>89.927421382257606</v>
      </c>
      <c r="AN5007">
        <v>1.0000000115054399</v>
      </c>
    </row>
    <row r="5008" spans="1:40" x14ac:dyDescent="0.25">
      <c r="A5008" t="str">
        <f>"20190312150752001"</f>
        <v>20190312150752001</v>
      </c>
      <c r="B5008" t="str">
        <f>"1552374471995099"</f>
        <v>1552374471995099</v>
      </c>
      <c r="C5008" t="s">
        <v>40</v>
      </c>
      <c r="D5008">
        <v>4.6461969999999999</v>
      </c>
      <c r="E5008">
        <v>0.5460663</v>
      </c>
      <c r="F5008" t="s">
        <v>67</v>
      </c>
      <c r="G5008">
        <v>-390.23390000000001</v>
      </c>
      <c r="H5008" s="1">
        <v>-1.4123480000000001E-6</v>
      </c>
      <c r="I5008">
        <v>211.0239</v>
      </c>
      <c r="J5008">
        <v>-456.02730000000003</v>
      </c>
      <c r="K5008">
        <v>1.1105080000000001</v>
      </c>
      <c r="L5008">
        <v>212.84530000000001</v>
      </c>
      <c r="M5008">
        <v>0.9999574</v>
      </c>
      <c r="N5008">
        <v>0</v>
      </c>
      <c r="O5008">
        <v>2.588333E-3</v>
      </c>
      <c r="P5008">
        <v>0.99976399999999999</v>
      </c>
      <c r="Q5008">
        <v>2.1669130000000002E-2</v>
      </c>
      <c r="R5008">
        <v>-1.6018460000000001E-3</v>
      </c>
      <c r="S5008">
        <v>3.0016479999999999</v>
      </c>
      <c r="T5008">
        <v>-5.0512550000000003E-2</v>
      </c>
      <c r="U5008">
        <v>-8.2763669999999998E-2</v>
      </c>
      <c r="V5008">
        <v>4.1510920000000003E-3</v>
      </c>
      <c r="W5008">
        <v>3.0529830000000001E-2</v>
      </c>
      <c r="X5008">
        <v>0.9995252</v>
      </c>
      <c r="Y5008">
        <v>3.0145000000000002E-2</v>
      </c>
      <c r="Z5008">
        <v>-2.9712590000000001E-4</v>
      </c>
      <c r="AA5008">
        <v>0.99954549999999998</v>
      </c>
      <c r="AB5008">
        <v>20</v>
      </c>
      <c r="AC5008">
        <v>65.793400000000005</v>
      </c>
      <c r="AD5008">
        <v>-1.1105094123479999</v>
      </c>
      <c r="AE5008">
        <v>-1.8214000000000099</v>
      </c>
      <c r="AF5008">
        <v>1.99112898931933</v>
      </c>
      <c r="AG5008">
        <v>-1.1105094123479999</v>
      </c>
      <c r="AH5008">
        <v>65.769742111120706</v>
      </c>
      <c r="AI5008">
        <v>90.966893359305402</v>
      </c>
      <c r="AJ5008">
        <v>88.2659434342293</v>
      </c>
      <c r="AK5008">
        <v>65.809245575149603</v>
      </c>
      <c r="AL5008">
        <v>88.2504976799395</v>
      </c>
      <c r="AM5008">
        <v>89.7620483359822</v>
      </c>
      <c r="AN5008">
        <v>0.99999996375983002</v>
      </c>
    </row>
    <row r="5009" spans="1:40" x14ac:dyDescent="0.25">
      <c r="A5009" t="str">
        <f>"20190312150752025"</f>
        <v>20190312150752025</v>
      </c>
      <c r="B5009" t="str">
        <f>"1552374472014619"</f>
        <v>1552374472014619</v>
      </c>
      <c r="C5009" t="s">
        <v>40</v>
      </c>
      <c r="D5009">
        <v>4.543774</v>
      </c>
      <c r="E5009">
        <v>0.54671059999999905</v>
      </c>
      <c r="F5009" t="s">
        <v>68</v>
      </c>
      <c r="G5009">
        <v>-407.41</v>
      </c>
      <c r="H5009">
        <v>8.0001450000000002E-2</v>
      </c>
      <c r="I5009">
        <v>206.8038</v>
      </c>
      <c r="J5009">
        <v>-455.81349999999998</v>
      </c>
      <c r="K5009">
        <v>1.1104259999999999</v>
      </c>
      <c r="L5009">
        <v>212.84710000000001</v>
      </c>
      <c r="M5009">
        <v>0.99995429999999996</v>
      </c>
      <c r="N5009">
        <v>0</v>
      </c>
      <c r="O5009">
        <v>3.6627930000000001E-3</v>
      </c>
      <c r="P5009">
        <v>0.99973270000000003</v>
      </c>
      <c r="Q5009">
        <v>2.2916720000000002E-2</v>
      </c>
      <c r="R5009">
        <v>-3.108413E-3</v>
      </c>
      <c r="S5009">
        <v>3.0014949999999998</v>
      </c>
      <c r="T5009">
        <v>-6.3620689999999994E-2</v>
      </c>
      <c r="U5009">
        <v>-0.37298579999999998</v>
      </c>
      <c r="V5009">
        <v>6.7373729999999996E-3</v>
      </c>
      <c r="W5009">
        <v>3.1759000000000003E-2</v>
      </c>
      <c r="X5009">
        <v>0.9994729</v>
      </c>
      <c r="Y5009">
        <v>0.12692339999999999</v>
      </c>
      <c r="Z5009">
        <v>-1.4171920000000001E-3</v>
      </c>
      <c r="AA5009">
        <v>0.99191149999999995</v>
      </c>
      <c r="AB5009">
        <v>21</v>
      </c>
      <c r="AC5009">
        <v>48.403499999999902</v>
      </c>
      <c r="AD5009">
        <v>-1.03042455</v>
      </c>
      <c r="AE5009">
        <v>-6.0433000000000101</v>
      </c>
      <c r="AF5009">
        <v>6.2177837948047197</v>
      </c>
      <c r="AG5009">
        <v>-1.03042455</v>
      </c>
      <c r="AH5009">
        <v>48.359459497234603</v>
      </c>
      <c r="AI5009">
        <v>91.210688337218102</v>
      </c>
      <c r="AJ5009">
        <v>82.673431329551093</v>
      </c>
      <c r="AK5009">
        <v>48.768431725213901</v>
      </c>
      <c r="AL5009">
        <v>88.180037399669104</v>
      </c>
      <c r="AM5009">
        <v>89.613779231941606</v>
      </c>
      <c r="AN5009">
        <v>1.00000005205517</v>
      </c>
    </row>
    <row r="5010" spans="1:40" x14ac:dyDescent="0.25">
      <c r="A5010" t="str">
        <f>"20190312150752046"</f>
        <v>20190312150752046</v>
      </c>
      <c r="B5010" t="str">
        <f>"1552374472035118"</f>
        <v>1552374472035118</v>
      </c>
      <c r="C5010" t="s">
        <v>40</v>
      </c>
      <c r="D5010">
        <v>4.6072059999999997</v>
      </c>
      <c r="E5010">
        <v>0.54751119999999898</v>
      </c>
      <c r="F5010" t="s">
        <v>68</v>
      </c>
      <c r="G5010">
        <v>-406.8279</v>
      </c>
      <c r="H5010">
        <v>8.0001390000000006E-2</v>
      </c>
      <c r="I5010">
        <v>206.59899999999999</v>
      </c>
      <c r="J5010">
        <v>-455.6182</v>
      </c>
      <c r="K5010">
        <v>1.1103529999999999</v>
      </c>
      <c r="L5010">
        <v>212.84880000000001</v>
      </c>
      <c r="M5010">
        <v>0.99995089999999998</v>
      </c>
      <c r="N5010">
        <v>0</v>
      </c>
      <c r="O5010">
        <v>4.5058540000000001E-3</v>
      </c>
      <c r="P5010">
        <v>0.99968069999999998</v>
      </c>
      <c r="Q5010">
        <v>2.4650410000000001E-2</v>
      </c>
      <c r="R5010">
        <v>-5.5604199999999999E-3</v>
      </c>
      <c r="S5010">
        <v>3.0010379999999999</v>
      </c>
      <c r="T5010">
        <v>-6.3127639999999999E-2</v>
      </c>
      <c r="U5010">
        <v>-0.38278200000000001</v>
      </c>
      <c r="V5010">
        <v>1.0036389999999999E-2</v>
      </c>
      <c r="W5010">
        <v>3.3477550000000002E-2</v>
      </c>
      <c r="X5010">
        <v>0.99938910000000003</v>
      </c>
      <c r="Y5010">
        <v>0.13096389999999999</v>
      </c>
      <c r="Z5010">
        <v>-1.466122E-3</v>
      </c>
      <c r="AA5010">
        <v>0.99138610000000005</v>
      </c>
      <c r="AB5010">
        <v>21</v>
      </c>
      <c r="AC5010">
        <v>48.790300000000002</v>
      </c>
      <c r="AD5010">
        <v>-1.0303516100000001</v>
      </c>
      <c r="AE5010">
        <v>-6.2497999999999898</v>
      </c>
      <c r="AF5010">
        <v>6.4667496742089297</v>
      </c>
      <c r="AG5010">
        <v>-1.0303516100000001</v>
      </c>
      <c r="AH5010">
        <v>48.740257185477603</v>
      </c>
      <c r="AI5010">
        <v>91.200514567014096</v>
      </c>
      <c r="AJ5010">
        <v>82.442263517416905</v>
      </c>
      <c r="AK5010">
        <v>49.178177541421903</v>
      </c>
      <c r="AL5010">
        <v>88.081519254354006</v>
      </c>
      <c r="AM5010">
        <v>89.424625045187199</v>
      </c>
      <c r="AN5010">
        <v>1.0000000243385201</v>
      </c>
    </row>
    <row r="5011" spans="1:40" x14ac:dyDescent="0.25">
      <c r="A5011" t="str">
        <f>"20190312150752068"</f>
        <v>20190312150752068</v>
      </c>
      <c r="B5011" t="str">
        <f>"1552374472065372"</f>
        <v>1552374472065372</v>
      </c>
      <c r="C5011" t="s">
        <v>40</v>
      </c>
      <c r="D5011">
        <v>4.6361270000000001</v>
      </c>
      <c r="E5011">
        <v>0.5468208</v>
      </c>
      <c r="F5011" t="s">
        <v>68</v>
      </c>
      <c r="G5011">
        <v>-409.76240000000001</v>
      </c>
      <c r="H5011">
        <v>8.0001399999999903E-2</v>
      </c>
      <c r="I5011">
        <v>206.7894</v>
      </c>
      <c r="J5011">
        <v>-455.4194</v>
      </c>
      <c r="K5011">
        <v>1.1102970000000001</v>
      </c>
      <c r="L5011">
        <v>212.85059999999999</v>
      </c>
      <c r="M5011">
        <v>0.99994740000000004</v>
      </c>
      <c r="N5011">
        <v>0</v>
      </c>
      <c r="O5011">
        <v>5.260196E-3</v>
      </c>
      <c r="P5011">
        <v>0.99961040000000001</v>
      </c>
      <c r="Q5011">
        <v>2.6679810000000002E-2</v>
      </c>
      <c r="R5011">
        <v>-8.2026379999999999E-3</v>
      </c>
      <c r="S5011">
        <v>3.0004580000000001</v>
      </c>
      <c r="T5011">
        <v>-6.7418459999999999E-2</v>
      </c>
      <c r="U5011">
        <v>-0.39648440000000001</v>
      </c>
      <c r="V5011">
        <v>1.343608E-2</v>
      </c>
      <c r="W5011">
        <v>3.5493379999999998E-2</v>
      </c>
      <c r="X5011">
        <v>0.99927960000000005</v>
      </c>
      <c r="Y5011">
        <v>0.13618069999999999</v>
      </c>
      <c r="Z5011">
        <v>-1.640819E-3</v>
      </c>
      <c r="AA5011">
        <v>0.99068270000000003</v>
      </c>
      <c r="AB5011">
        <v>21</v>
      </c>
      <c r="AC5011">
        <v>45.656999999999897</v>
      </c>
      <c r="AD5011">
        <v>-1.0302956000000001</v>
      </c>
      <c r="AE5011">
        <v>-6.0611999999999799</v>
      </c>
      <c r="AF5011">
        <v>6.2981385962061598</v>
      </c>
      <c r="AG5011">
        <v>-1.0302956000000001</v>
      </c>
      <c r="AH5011">
        <v>45.601664652805397</v>
      </c>
      <c r="AI5011">
        <v>91.282118667589302</v>
      </c>
      <c r="AJ5011">
        <v>82.136510131512594</v>
      </c>
      <c r="AK5011">
        <v>46.046062566818001</v>
      </c>
      <c r="AL5011">
        <v>87.965951925001093</v>
      </c>
      <c r="AM5011">
        <v>89.229660757589699</v>
      </c>
      <c r="AN5011">
        <v>1.0000000136228699</v>
      </c>
    </row>
    <row r="5012" spans="1:40" x14ac:dyDescent="0.25">
      <c r="A5012" t="str">
        <f>"20190312150752081"</f>
        <v>20190312150752081</v>
      </c>
      <c r="B5012" t="str">
        <f>"1552374472075131"</f>
        <v>1552374472075131</v>
      </c>
      <c r="C5012" t="s">
        <v>40</v>
      </c>
      <c r="D5012">
        <v>4.6529870000000004</v>
      </c>
      <c r="E5012">
        <v>0.54681590000000002</v>
      </c>
      <c r="F5012" t="s">
        <v>68</v>
      </c>
      <c r="G5012">
        <v>-414.31099999999998</v>
      </c>
      <c r="H5012" s="1">
        <v>4.1921470000000003E-6</v>
      </c>
      <c r="I5012">
        <v>207.38249999999999</v>
      </c>
      <c r="J5012">
        <v>-455.28500000000003</v>
      </c>
      <c r="K5012">
        <v>1.1102719999999999</v>
      </c>
      <c r="L5012">
        <v>212.8518</v>
      </c>
      <c r="M5012">
        <v>0.99994499999999997</v>
      </c>
      <c r="N5012">
        <v>0</v>
      </c>
      <c r="O5012">
        <v>5.7192220000000004E-3</v>
      </c>
      <c r="P5012">
        <v>0.99957549999999995</v>
      </c>
      <c r="Q5012">
        <v>2.7595519999999998E-2</v>
      </c>
      <c r="R5012">
        <v>-9.3594239999999999E-3</v>
      </c>
      <c r="S5012">
        <v>3.000092</v>
      </c>
      <c r="T5012">
        <v>-8.1029180000000006E-2</v>
      </c>
      <c r="U5012">
        <v>-0.3990631</v>
      </c>
      <c r="V5012">
        <v>1.5053560000000001E-2</v>
      </c>
      <c r="W5012">
        <v>3.6401160000000002E-2</v>
      </c>
      <c r="X5012">
        <v>0.99922390000000005</v>
      </c>
      <c r="Y5012">
        <v>0.1374716</v>
      </c>
      <c r="Z5012">
        <v>-2.0017910000000002E-3</v>
      </c>
      <c r="AA5012">
        <v>0.99050369999999999</v>
      </c>
      <c r="AB5012">
        <v>21</v>
      </c>
      <c r="AC5012">
        <v>40.973999999999997</v>
      </c>
      <c r="AD5012">
        <v>-1.1102678078529999</v>
      </c>
      <c r="AE5012">
        <v>-5.4692999999999996</v>
      </c>
      <c r="AF5012">
        <v>5.6994474893493301</v>
      </c>
      <c r="AG5012">
        <v>-1.1102678078529999</v>
      </c>
      <c r="AH5012">
        <v>40.9125346658589</v>
      </c>
      <c r="AI5012">
        <v>91.539627616067705</v>
      </c>
      <c r="AJ5012">
        <v>82.069274152489399</v>
      </c>
      <c r="AK5012">
        <v>41.322534881999999</v>
      </c>
      <c r="AL5012">
        <v>87.913906353967903</v>
      </c>
      <c r="AM5012">
        <v>89.136889928678798</v>
      </c>
      <c r="AN5012">
        <v>1.00000002822461</v>
      </c>
    </row>
    <row r="5013" spans="1:40" x14ac:dyDescent="0.25">
      <c r="A5013" t="str">
        <f>"20190312150752102"</f>
        <v>20190312150752102</v>
      </c>
      <c r="B5013" t="str">
        <f>"1552374472094651"</f>
        <v>1552374472094651</v>
      </c>
      <c r="C5013" t="s">
        <v>40</v>
      </c>
      <c r="D5013">
        <v>4.6523899999999996</v>
      </c>
      <c r="E5013">
        <v>0.54704109999999995</v>
      </c>
      <c r="F5013" t="s">
        <v>68</v>
      </c>
      <c r="G5013">
        <v>-415.14299999999997</v>
      </c>
      <c r="H5013" s="1">
        <v>4.3164540000000001E-6</v>
      </c>
      <c r="I5013">
        <v>207.46270000000001</v>
      </c>
      <c r="J5013">
        <v>-455.09500000000003</v>
      </c>
      <c r="K5013">
        <v>1.110244</v>
      </c>
      <c r="L5013">
        <v>212.8536</v>
      </c>
      <c r="M5013">
        <v>0.99994159999999999</v>
      </c>
      <c r="N5013">
        <v>0</v>
      </c>
      <c r="O5013">
        <v>6.2932500000000002E-3</v>
      </c>
      <c r="P5013">
        <v>0.99949509999999997</v>
      </c>
      <c r="Q5013">
        <v>2.9301480000000001E-2</v>
      </c>
      <c r="R5013">
        <v>-1.228079E-2</v>
      </c>
      <c r="S5013">
        <v>2.9997560000000001</v>
      </c>
      <c r="T5013">
        <v>-8.2968710000000001E-2</v>
      </c>
      <c r="U5013">
        <v>-0.40272520000000001</v>
      </c>
      <c r="V5013">
        <v>1.855033E-2</v>
      </c>
      <c r="W5013">
        <v>3.8097520000000003E-2</v>
      </c>
      <c r="X5013">
        <v>0.99910180000000004</v>
      </c>
      <c r="Y5013">
        <v>0.1392391</v>
      </c>
      <c r="Z5013">
        <v>-2.089886E-3</v>
      </c>
      <c r="AA5013">
        <v>0.99025660000000004</v>
      </c>
      <c r="AB5013">
        <v>21</v>
      </c>
      <c r="AC5013">
        <v>39.951999999999998</v>
      </c>
      <c r="AD5013">
        <v>-1.110239683546</v>
      </c>
      <c r="AE5013">
        <v>-5.3908999999999798</v>
      </c>
      <c r="AF5013">
        <v>5.6379548253526703</v>
      </c>
      <c r="AG5013">
        <v>-1.110239683546</v>
      </c>
      <c r="AH5013">
        <v>39.887029341380298</v>
      </c>
      <c r="AI5013">
        <v>91.578709004562</v>
      </c>
      <c r="AJ5013">
        <v>81.954649429583696</v>
      </c>
      <c r="AK5013">
        <v>40.298812345375197</v>
      </c>
      <c r="AL5013">
        <v>87.816644452617098</v>
      </c>
      <c r="AM5013">
        <v>88.936311085851997</v>
      </c>
      <c r="AN5013">
        <v>0.99999997126824902</v>
      </c>
    </row>
    <row r="5014" spans="1:40" x14ac:dyDescent="0.25">
      <c r="A5014" t="str">
        <f>"20190312150752124"</f>
        <v>20190312150752124</v>
      </c>
      <c r="B5014" t="str">
        <f>"1552374472115150"</f>
        <v>1552374472115150</v>
      </c>
      <c r="C5014" t="s">
        <v>40</v>
      </c>
      <c r="D5014">
        <v>4.9287979999999996</v>
      </c>
      <c r="E5014">
        <v>0.54688619999999899</v>
      </c>
      <c r="F5014" t="s">
        <v>68</v>
      </c>
      <c r="G5014">
        <v>-416.90949999999998</v>
      </c>
      <c r="H5014" s="1">
        <v>4.583552E-6</v>
      </c>
      <c r="I5014">
        <v>207.59350000000001</v>
      </c>
      <c r="J5014">
        <v>-454.88729999999998</v>
      </c>
      <c r="K5014">
        <v>1.110212</v>
      </c>
      <c r="L5014">
        <v>212.85550000000001</v>
      </c>
      <c r="M5014">
        <v>0.99993810000000005</v>
      </c>
      <c r="N5014">
        <v>0</v>
      </c>
      <c r="O5014">
        <v>6.8211869999999898E-3</v>
      </c>
      <c r="P5014">
        <v>0.99942180000000003</v>
      </c>
      <c r="Q5014">
        <v>3.0730919999999998E-2</v>
      </c>
      <c r="R5014">
        <v>-1.4552229999999999E-2</v>
      </c>
      <c r="S5014">
        <v>2.9990230000000002</v>
      </c>
      <c r="T5014">
        <v>-8.7196350000000006E-2</v>
      </c>
      <c r="U5014">
        <v>-0.4131165</v>
      </c>
      <c r="V5014">
        <v>2.1351749999999999E-2</v>
      </c>
      <c r="W5014">
        <v>3.9513619999999999E-2</v>
      </c>
      <c r="X5014">
        <v>0.99899090000000001</v>
      </c>
      <c r="Y5014">
        <v>0.143154</v>
      </c>
      <c r="Z5014">
        <v>-2.2682650000000002E-3</v>
      </c>
      <c r="AA5014">
        <v>0.98969779999999996</v>
      </c>
      <c r="AB5014">
        <v>21</v>
      </c>
      <c r="AC5014">
        <v>37.977800000000002</v>
      </c>
      <c r="AD5014">
        <v>-1.110207416448</v>
      </c>
      <c r="AE5014">
        <v>-5.2619999999999996</v>
      </c>
      <c r="AF5014">
        <v>5.5163159614406601</v>
      </c>
      <c r="AG5014">
        <v>-1.110207416448</v>
      </c>
      <c r="AH5014">
        <v>37.909235958946098</v>
      </c>
      <c r="AI5014">
        <v>91.660008281386894</v>
      </c>
      <c r="AJ5014">
        <v>81.720784013024897</v>
      </c>
      <c r="AK5014">
        <v>38.324567489862602</v>
      </c>
      <c r="AL5014">
        <v>87.735446842673596</v>
      </c>
      <c r="AM5014">
        <v>88.775585517451205</v>
      </c>
      <c r="AN5014">
        <v>1.0000000208381801</v>
      </c>
    </row>
    <row r="5015" spans="1:40" x14ac:dyDescent="0.25">
      <c r="A5015" t="str">
        <f>"20190312150752138"</f>
        <v>20190312150752138</v>
      </c>
      <c r="B5015" t="str">
        <f>"1552374472134667"</f>
        <v>1552374472134667</v>
      </c>
      <c r="C5015" t="s">
        <v>40</v>
      </c>
      <c r="D5015">
        <v>4.737336</v>
      </c>
      <c r="E5015">
        <v>0.5472901</v>
      </c>
      <c r="F5015" t="s">
        <v>68</v>
      </c>
      <c r="G5015">
        <v>-413.97149999999999</v>
      </c>
      <c r="H5015" s="1">
        <v>4.1800190000000001E-6</v>
      </c>
      <c r="I5015">
        <v>207.14400000000001</v>
      </c>
      <c r="J5015">
        <v>-454.75810000000001</v>
      </c>
      <c r="K5015">
        <v>1.110187</v>
      </c>
      <c r="L5015">
        <v>212.85679999999999</v>
      </c>
      <c r="M5015">
        <v>0.99993639999999995</v>
      </c>
      <c r="N5015">
        <v>0</v>
      </c>
      <c r="O5015">
        <v>7.0926399999999999E-3</v>
      </c>
      <c r="P5015">
        <v>0.99938110000000002</v>
      </c>
      <c r="Q5015">
        <v>3.1391809999999999E-2</v>
      </c>
      <c r="R5015">
        <v>-1.587324E-2</v>
      </c>
      <c r="S5015">
        <v>2.9981689999999999</v>
      </c>
      <c r="T5015">
        <v>-8.1352229999999998E-2</v>
      </c>
      <c r="U5015">
        <v>-0.4185181</v>
      </c>
      <c r="V5015">
        <v>2.2946049999999999E-2</v>
      </c>
      <c r="W5015">
        <v>4.0164459999999999E-2</v>
      </c>
      <c r="X5015">
        <v>0.99892959999999997</v>
      </c>
      <c r="Y5015">
        <v>0.14521709999999999</v>
      </c>
      <c r="Z5015">
        <v>-2.151816E-3</v>
      </c>
      <c r="AA5015">
        <v>0.98939750000000004</v>
      </c>
      <c r="AB5015">
        <v>21</v>
      </c>
      <c r="AC5015">
        <v>40.7866</v>
      </c>
      <c r="AD5015">
        <v>-1.110182819981</v>
      </c>
      <c r="AE5015">
        <v>-5.7127999999999801</v>
      </c>
      <c r="AF5015">
        <v>5.99759402522138</v>
      </c>
      <c r="AG5015">
        <v>-1.110182819981</v>
      </c>
      <c r="AH5015">
        <v>40.715468334115201</v>
      </c>
      <c r="AI5015">
        <v>91.545222247676804</v>
      </c>
      <c r="AJ5015">
        <v>81.620305368995005</v>
      </c>
      <c r="AK5015">
        <v>41.169806917831004</v>
      </c>
      <c r="AL5015">
        <v>87.698126840200203</v>
      </c>
      <c r="AM5015">
        <v>88.6841108135242</v>
      </c>
      <c r="AN5015">
        <v>1.0000000254069199</v>
      </c>
    </row>
    <row r="5016" spans="1:40" x14ac:dyDescent="0.25">
      <c r="A5016" t="str">
        <f>"20190312150752159"</f>
        <v>20190312150752159</v>
      </c>
      <c r="B5016" t="str">
        <f>"1552374472155164"</f>
        <v>1552374472155164</v>
      </c>
      <c r="C5016" t="s">
        <v>40</v>
      </c>
      <c r="D5016">
        <v>4.6645440000000002</v>
      </c>
      <c r="E5016">
        <v>0.54736689999999999</v>
      </c>
      <c r="F5016" t="s">
        <v>68</v>
      </c>
      <c r="G5016">
        <v>-415.73399999999998</v>
      </c>
      <c r="H5016" s="1">
        <v>4.4730530000000002E-6</v>
      </c>
      <c r="I5016">
        <v>207.31620000000001</v>
      </c>
      <c r="J5016">
        <v>-454.56849999999997</v>
      </c>
      <c r="K5016">
        <v>1.1101540000000001</v>
      </c>
      <c r="L5016">
        <v>212.85849999999999</v>
      </c>
      <c r="M5016">
        <v>0.99993399999999999</v>
      </c>
      <c r="N5016">
        <v>0</v>
      </c>
      <c r="O5016">
        <v>7.4532979999999997E-3</v>
      </c>
      <c r="P5016">
        <v>0.99930479999999999</v>
      </c>
      <c r="Q5016">
        <v>3.2132540000000001E-2</v>
      </c>
      <c r="R5016">
        <v>-1.8910819999999998E-2</v>
      </c>
      <c r="S5016">
        <v>2.9977719999999999</v>
      </c>
      <c r="T5016">
        <v>-8.5282440000000001E-2</v>
      </c>
      <c r="U5016">
        <v>-0.42561339999999998</v>
      </c>
      <c r="V5016">
        <v>2.6346319999999999E-2</v>
      </c>
      <c r="W5016">
        <v>4.088961E-2</v>
      </c>
      <c r="X5016">
        <v>0.99881629999999999</v>
      </c>
      <c r="Y5016">
        <v>0.14788099999999901</v>
      </c>
      <c r="Z5016">
        <v>-2.3035619999999999E-3</v>
      </c>
      <c r="AA5016">
        <v>0.98900250000000001</v>
      </c>
      <c r="AB5016">
        <v>21</v>
      </c>
      <c r="AC5016">
        <v>38.834499999999899</v>
      </c>
      <c r="AD5016">
        <v>-1.1101495269470001</v>
      </c>
      <c r="AE5016">
        <v>-5.5422999999999796</v>
      </c>
      <c r="AF5016">
        <v>5.8269354973743699</v>
      </c>
      <c r="AG5016">
        <v>-1.1101495269470001</v>
      </c>
      <c r="AH5016">
        <v>38.7610680484837</v>
      </c>
      <c r="AI5016">
        <v>91.622331537585495</v>
      </c>
      <c r="AJ5016">
        <v>81.450766667631299</v>
      </c>
      <c r="AK5016">
        <v>39.212319563141399</v>
      </c>
      <c r="AL5016">
        <v>87.656544689509104</v>
      </c>
      <c r="AM5016">
        <v>88.489028473538596</v>
      </c>
      <c r="AN5016">
        <v>1.0000000449645901</v>
      </c>
    </row>
    <row r="5017" spans="1:40" x14ac:dyDescent="0.25">
      <c r="A5017" t="str">
        <f>"20190312150752180"</f>
        <v>20190312150752180</v>
      </c>
      <c r="B5017" t="str">
        <f>"1552374472174683"</f>
        <v>1552374472174683</v>
      </c>
      <c r="C5017" t="s">
        <v>40</v>
      </c>
      <c r="D5017">
        <v>4.6308210000000001</v>
      </c>
      <c r="E5017">
        <v>0.54728290000000002</v>
      </c>
      <c r="F5017" t="s">
        <v>68</v>
      </c>
      <c r="G5017">
        <v>-417.11250000000001</v>
      </c>
      <c r="H5017" s="1">
        <v>4.6810690000000002E-6</v>
      </c>
      <c r="I5017">
        <v>207.4195</v>
      </c>
      <c r="J5017">
        <v>-454.36360000000002</v>
      </c>
      <c r="K5017">
        <v>1.1101259999999999</v>
      </c>
      <c r="L5017">
        <v>212.8604</v>
      </c>
      <c r="M5017">
        <v>0.99993149999999997</v>
      </c>
      <c r="N5017">
        <v>0</v>
      </c>
      <c r="O5017">
        <v>7.7855169999999996E-3</v>
      </c>
      <c r="P5017">
        <v>0.99918359999999995</v>
      </c>
      <c r="Q5017">
        <v>3.334434E-2</v>
      </c>
      <c r="R5017">
        <v>-2.2810380000000002E-2</v>
      </c>
      <c r="S5017">
        <v>2.9966740000000001</v>
      </c>
      <c r="T5017">
        <v>-8.881783E-2</v>
      </c>
      <c r="U5017">
        <v>-0.43515009999999998</v>
      </c>
      <c r="V5017">
        <v>3.0580240000000002E-2</v>
      </c>
      <c r="W5017">
        <v>4.2083540000000003E-2</v>
      </c>
      <c r="X5017">
        <v>0.99864600000000003</v>
      </c>
      <c r="Y5017">
        <v>0.1513361</v>
      </c>
      <c r="Z5017">
        <v>-2.4600680000000002E-3</v>
      </c>
      <c r="AA5017">
        <v>0.98847929999999995</v>
      </c>
      <c r="AB5017">
        <v>21</v>
      </c>
      <c r="AC5017">
        <v>37.251100000000001</v>
      </c>
      <c r="AD5017">
        <v>-1.110121318931</v>
      </c>
      <c r="AE5017">
        <v>-5.4408999999999903</v>
      </c>
      <c r="AF5017">
        <v>5.7257863722125801</v>
      </c>
      <c r="AG5017">
        <v>-1.110121318931</v>
      </c>
      <c r="AH5017">
        <v>37.175283278748701</v>
      </c>
      <c r="AI5017">
        <v>91.690525002133199</v>
      </c>
      <c r="AJ5017">
        <v>81.244033510745794</v>
      </c>
      <c r="AK5017">
        <v>37.6300237281107</v>
      </c>
      <c r="AL5017">
        <v>87.5880784953861</v>
      </c>
      <c r="AM5017">
        <v>88.246053807702907</v>
      </c>
      <c r="AN5017">
        <v>1.0000000043666899</v>
      </c>
    </row>
    <row r="5018" spans="1:40" x14ac:dyDescent="0.25">
      <c r="A5018" t="str">
        <f>"20190312150752214"</f>
        <v>20190312150752214</v>
      </c>
      <c r="B5018" t="str">
        <f>"1552374472204939"</f>
        <v>1552374472204939</v>
      </c>
      <c r="C5018" t="s">
        <v>40</v>
      </c>
      <c r="D5018">
        <v>4.6541920000000001</v>
      </c>
      <c r="E5018">
        <v>0.54701889999999997</v>
      </c>
      <c r="F5018" t="s">
        <v>68</v>
      </c>
      <c r="G5018">
        <v>-417.95389999999998</v>
      </c>
      <c r="H5018" s="1">
        <v>4.8234689999999998E-6</v>
      </c>
      <c r="I5018">
        <v>207.43889999999999</v>
      </c>
      <c r="J5018">
        <v>-454.04629999999997</v>
      </c>
      <c r="K5018">
        <v>1.1100760000000001</v>
      </c>
      <c r="L5018">
        <v>212.86340000000001</v>
      </c>
      <c r="M5018">
        <v>0.9999285</v>
      </c>
      <c r="N5018">
        <v>0</v>
      </c>
      <c r="O5018">
        <v>8.1747680000000007E-3</v>
      </c>
      <c r="P5018">
        <v>0.9990367</v>
      </c>
      <c r="Q5018">
        <v>3.4455359999999997E-2</v>
      </c>
      <c r="R5018">
        <v>-2.7170130000000001E-2</v>
      </c>
      <c r="S5018">
        <v>2.9953310000000002</v>
      </c>
      <c r="T5018">
        <v>-9.1326589999999999E-2</v>
      </c>
      <c r="U5018">
        <v>-0.44601439999999998</v>
      </c>
      <c r="V5018">
        <v>3.5332460000000003E-2</v>
      </c>
      <c r="W5018">
        <v>4.317116E-2</v>
      </c>
      <c r="X5018">
        <v>0.99844270000000002</v>
      </c>
      <c r="Y5018">
        <v>0.15528610000000001</v>
      </c>
      <c r="Z5018">
        <v>-2.6016609999999999E-3</v>
      </c>
      <c r="AA5018">
        <v>0.98786609999999997</v>
      </c>
      <c r="AB5018">
        <v>21</v>
      </c>
      <c r="AC5018">
        <v>36.092399999999998</v>
      </c>
      <c r="AD5018">
        <v>-1.1100711765310001</v>
      </c>
      <c r="AE5018">
        <v>-5.4245000000000196</v>
      </c>
      <c r="AF5018">
        <v>5.7140910971528598</v>
      </c>
      <c r="AG5018">
        <v>-1.1100711765310001</v>
      </c>
      <c r="AH5018">
        <v>36.013533573211298</v>
      </c>
      <c r="AI5018">
        <v>91.743711737863194</v>
      </c>
      <c r="AJ5018">
        <v>80.984313289355299</v>
      </c>
      <c r="AK5018">
        <v>36.480922350076902</v>
      </c>
      <c r="AL5018">
        <v>87.525705698539397</v>
      </c>
      <c r="AM5018">
        <v>87.973287367157695</v>
      </c>
      <c r="AN5018">
        <v>0.99999997848434297</v>
      </c>
    </row>
    <row r="5019" spans="1:40" x14ac:dyDescent="0.25">
      <c r="A5019" t="str">
        <f>"20190312150752236"</f>
        <v>20190312150752236</v>
      </c>
      <c r="B5019" t="str">
        <f>"1552374472225440"</f>
        <v>1552374472225440</v>
      </c>
      <c r="C5019" t="s">
        <v>40</v>
      </c>
      <c r="D5019">
        <v>4.8792770000000001</v>
      </c>
      <c r="E5019">
        <v>0.54684200000000005</v>
      </c>
      <c r="F5019" t="s">
        <v>68</v>
      </c>
      <c r="G5019">
        <v>-418.19810000000001</v>
      </c>
      <c r="H5019" s="1">
        <v>4.8828290000000002E-6</v>
      </c>
      <c r="I5019">
        <v>207.39349999999999</v>
      </c>
      <c r="J5019">
        <v>-453.84160000000003</v>
      </c>
      <c r="K5019">
        <v>1.1100460000000001</v>
      </c>
      <c r="L5019">
        <v>212.86519999999999</v>
      </c>
      <c r="M5019">
        <v>0.99992709999999996</v>
      </c>
      <c r="N5019">
        <v>0</v>
      </c>
      <c r="O5019">
        <v>8.3558539999999994E-3</v>
      </c>
      <c r="P5019">
        <v>0.99894700000000003</v>
      </c>
      <c r="Q5019">
        <v>3.4937000000000003E-2</v>
      </c>
      <c r="R5019">
        <v>-2.973837E-2</v>
      </c>
      <c r="S5019">
        <v>2.9936829999999999</v>
      </c>
      <c r="T5019">
        <v>-9.2702030000000005E-2</v>
      </c>
      <c r="U5019">
        <v>-0.4567871</v>
      </c>
      <c r="V5019">
        <v>3.8083499999999999E-2</v>
      </c>
      <c r="W5019">
        <v>4.3640400000000003E-2</v>
      </c>
      <c r="X5019">
        <v>0.99832120000000002</v>
      </c>
      <c r="Y5019">
        <v>0.15901479999999901</v>
      </c>
      <c r="Z5019">
        <v>-2.7045200000000002E-3</v>
      </c>
      <c r="AA5019">
        <v>0.9872725</v>
      </c>
      <c r="AB5019">
        <v>21</v>
      </c>
      <c r="AC5019">
        <v>35.643500000000003</v>
      </c>
      <c r="AD5019">
        <v>-1.1100411171709901</v>
      </c>
      <c r="AE5019">
        <v>-5.4716999999999896</v>
      </c>
      <c r="AF5019">
        <v>5.7638905924831398</v>
      </c>
      <c r="AG5019">
        <v>-1.1100411171709901</v>
      </c>
      <c r="AH5019">
        <v>35.562835574216599</v>
      </c>
      <c r="AI5019">
        <v>91.764807732085899</v>
      </c>
      <c r="AJ5019">
        <v>80.793770488567006</v>
      </c>
      <c r="AK5019">
        <v>36.043999502312303</v>
      </c>
      <c r="AL5019">
        <v>87.498794987087905</v>
      </c>
      <c r="AM5019">
        <v>87.815366146836197</v>
      </c>
      <c r="AN5019">
        <v>1.0000000279269201</v>
      </c>
    </row>
    <row r="5020" spans="1:40" x14ac:dyDescent="0.25">
      <c r="A5020" t="str">
        <f>"20190312150752259"</f>
        <v>20190312150752259</v>
      </c>
      <c r="B5020" t="str">
        <f>"1552374472254715"</f>
        <v>1552374472254715</v>
      </c>
      <c r="C5020" t="s">
        <v>40</v>
      </c>
      <c r="D5020">
        <v>4.6579350000000002</v>
      </c>
      <c r="E5020">
        <v>0.54669109999999999</v>
      </c>
      <c r="F5020" t="s">
        <v>68</v>
      </c>
      <c r="G5020">
        <v>-418.8109</v>
      </c>
      <c r="H5020" s="1">
        <v>4.9730819999999998E-6</v>
      </c>
      <c r="I5020">
        <v>207.44569999999999</v>
      </c>
      <c r="J5020">
        <v>-453.6216</v>
      </c>
      <c r="K5020">
        <v>1.110023</v>
      </c>
      <c r="L5020">
        <v>212.8672</v>
      </c>
      <c r="M5020">
        <v>0.99992599999999998</v>
      </c>
      <c r="N5020">
        <v>0</v>
      </c>
      <c r="O5020">
        <v>8.4995539999999994E-3</v>
      </c>
      <c r="P5020">
        <v>0.99886390000000003</v>
      </c>
      <c r="Q5020">
        <v>3.5115979999999998E-2</v>
      </c>
      <c r="R5020">
        <v>-3.2217179999999998E-2</v>
      </c>
      <c r="S5020">
        <v>2.9927060000000001</v>
      </c>
      <c r="T5020">
        <v>-9.4831940000000003E-2</v>
      </c>
      <c r="U5020">
        <v>-0.4629974</v>
      </c>
      <c r="V5020">
        <v>4.0707029999999998E-2</v>
      </c>
      <c r="W5020">
        <v>4.3807609999999997E-2</v>
      </c>
      <c r="X5020">
        <v>0.99821029999999999</v>
      </c>
      <c r="Y5020">
        <v>0.16120100000000001</v>
      </c>
      <c r="Z5020">
        <v>-2.8060390000000002E-3</v>
      </c>
      <c r="AA5020">
        <v>0.98691759999999995</v>
      </c>
      <c r="AB5020">
        <v>21</v>
      </c>
      <c r="AC5020">
        <v>34.810699999999997</v>
      </c>
      <c r="AD5020">
        <v>-1.110018026918</v>
      </c>
      <c r="AE5020">
        <v>-5.4215</v>
      </c>
      <c r="AF5020">
        <v>5.7115208490156597</v>
      </c>
      <c r="AG5020">
        <v>-1.110018026918</v>
      </c>
      <c r="AH5020">
        <v>34.728884389584202</v>
      </c>
      <c r="AI5020">
        <v>91.806436508996597</v>
      </c>
      <c r="AJ5020">
        <v>80.660723535444205</v>
      </c>
      <c r="AK5020">
        <v>35.212909868029001</v>
      </c>
      <c r="AL5020">
        <v>87.489205283701807</v>
      </c>
      <c r="AM5020">
        <v>87.664771238826603</v>
      </c>
      <c r="AN5020">
        <v>0.99999998600571105</v>
      </c>
    </row>
    <row r="5021" spans="1:40" x14ac:dyDescent="0.25">
      <c r="A5021" t="str">
        <f>"20190312150752280"</f>
        <v>20190312150752280</v>
      </c>
      <c r="B5021" t="str">
        <f>"1552374472275210"</f>
        <v>1552374472275210</v>
      </c>
      <c r="C5021" t="s">
        <v>40</v>
      </c>
      <c r="D5021">
        <v>4.6902179999999998</v>
      </c>
      <c r="E5021">
        <v>0.5464</v>
      </c>
      <c r="F5021" t="s">
        <v>68</v>
      </c>
      <c r="G5021">
        <v>-420.40649999999999</v>
      </c>
      <c r="H5021" s="1">
        <v>5.0020690000000001E-6</v>
      </c>
      <c r="I5021">
        <v>207.65770000000001</v>
      </c>
      <c r="J5021">
        <v>-453.42469999999997</v>
      </c>
      <c r="K5021">
        <v>1.1100099999999999</v>
      </c>
      <c r="L5021">
        <v>212.869</v>
      </c>
      <c r="M5021">
        <v>0.99992530000000002</v>
      </c>
      <c r="N5021">
        <v>0</v>
      </c>
      <c r="O5021">
        <v>8.5873990000000008E-3</v>
      </c>
      <c r="P5021">
        <v>0.9987741</v>
      </c>
      <c r="Q5021">
        <v>3.5253470000000002E-2</v>
      </c>
      <c r="R5021">
        <v>-3.4752230000000002E-2</v>
      </c>
      <c r="S5021">
        <v>2.9918209999999998</v>
      </c>
      <c r="T5021">
        <v>-9.9983810000000006E-2</v>
      </c>
      <c r="U5021">
        <v>-0.4692383</v>
      </c>
      <c r="V5021">
        <v>4.3330559999999997E-2</v>
      </c>
      <c r="W5021">
        <v>4.3937660000000003E-2</v>
      </c>
      <c r="X5021">
        <v>0.99809409999999998</v>
      </c>
      <c r="Y5021">
        <v>0.1633308</v>
      </c>
      <c r="Z5021">
        <v>-2.9970729999999998E-3</v>
      </c>
      <c r="AA5021">
        <v>0.98656679999999997</v>
      </c>
      <c r="AB5021">
        <v>21</v>
      </c>
      <c r="AC5021">
        <v>33.018199999999901</v>
      </c>
      <c r="AD5021">
        <v>-1.110004997931</v>
      </c>
      <c r="AE5021">
        <v>-5.21130000000002</v>
      </c>
      <c r="AF5021">
        <v>5.4886067333372202</v>
      </c>
      <c r="AG5021">
        <v>-1.110004997931</v>
      </c>
      <c r="AH5021">
        <v>32.935910839466104</v>
      </c>
      <c r="AI5021">
        <v>91.9040129187714</v>
      </c>
      <c r="AJ5021">
        <v>80.538882485482304</v>
      </c>
      <c r="AK5021">
        <v>33.408548872914601</v>
      </c>
      <c r="AL5021">
        <v>87.481746679883599</v>
      </c>
      <c r="AM5021">
        <v>87.514161968815799</v>
      </c>
      <c r="AN5021">
        <v>0.99999994392549796</v>
      </c>
    </row>
    <row r="5022" spans="1:40" x14ac:dyDescent="0.25">
      <c r="A5022" t="str">
        <f>"20190312150752303"</f>
        <v>20190312150752303</v>
      </c>
      <c r="B5022" t="str">
        <f>"1552374472294731"</f>
        <v>1552374472294731</v>
      </c>
      <c r="C5022" t="s">
        <v>40</v>
      </c>
      <c r="D5022">
        <v>4.6310989999999999</v>
      </c>
      <c r="E5022">
        <v>0.54632999999999998</v>
      </c>
      <c r="F5022" t="s">
        <v>68</v>
      </c>
      <c r="G5022">
        <v>-420.69709999999998</v>
      </c>
      <c r="H5022" s="1">
        <v>4.930682E-6</v>
      </c>
      <c r="I5022">
        <v>207.67740000000001</v>
      </c>
      <c r="J5022">
        <v>-453.20229999999998</v>
      </c>
      <c r="K5022">
        <v>1.1100000000000001</v>
      </c>
      <c r="L5022">
        <v>212.87100000000001</v>
      </c>
      <c r="M5022">
        <v>0.99992479999999995</v>
      </c>
      <c r="N5022">
        <v>0</v>
      </c>
      <c r="O5022">
        <v>8.6505190000000006E-3</v>
      </c>
      <c r="P5022">
        <v>0.99868509999999999</v>
      </c>
      <c r="Q5022">
        <v>3.5348940000000002E-2</v>
      </c>
      <c r="R5022">
        <v>-3.713089E-2</v>
      </c>
      <c r="S5022">
        <v>2.9907530000000002</v>
      </c>
      <c r="T5022">
        <v>-0.1014359</v>
      </c>
      <c r="U5022">
        <v>-0.47442630000000002</v>
      </c>
      <c r="V5022">
        <v>4.5772760000000003E-2</v>
      </c>
      <c r="W5022">
        <v>4.4025799999999997E-2</v>
      </c>
      <c r="X5022">
        <v>0.99798129999999996</v>
      </c>
      <c r="Y5022">
        <v>0.1651127</v>
      </c>
      <c r="Z5022">
        <v>-3.0733890000000002E-3</v>
      </c>
      <c r="AA5022">
        <v>0.98626990000000003</v>
      </c>
      <c r="AB5022">
        <v>21</v>
      </c>
      <c r="AC5022">
        <v>32.505200000000002</v>
      </c>
      <c r="AD5022">
        <v>-1.1099950693179901</v>
      </c>
      <c r="AE5022">
        <v>-5.1935999999999698</v>
      </c>
      <c r="AF5022">
        <v>5.46838517797738</v>
      </c>
      <c r="AG5022">
        <v>-1.1099950693179901</v>
      </c>
      <c r="AH5022">
        <v>32.422188235864198</v>
      </c>
      <c r="AI5022">
        <v>91.933506072453</v>
      </c>
      <c r="AJ5022">
        <v>80.426489772542297</v>
      </c>
      <c r="AK5022">
        <v>32.8988391210152</v>
      </c>
      <c r="AL5022">
        <v>87.476691995550198</v>
      </c>
      <c r="AM5022">
        <v>87.373949493197003</v>
      </c>
      <c r="AN5022">
        <v>1.00000004588667</v>
      </c>
    </row>
    <row r="5023" spans="1:40" x14ac:dyDescent="0.25">
      <c r="A5023" t="str">
        <f>"20190312150752326"</f>
        <v>20190312150752326</v>
      </c>
      <c r="B5023" t="str">
        <f>"1552374472315227"</f>
        <v>1552374472315227</v>
      </c>
      <c r="C5023" t="s">
        <v>40</v>
      </c>
      <c r="D5023">
        <v>4.6455219999999997</v>
      </c>
      <c r="E5023">
        <v>0.5461724</v>
      </c>
      <c r="F5023" t="s">
        <v>68</v>
      </c>
      <c r="G5023">
        <v>-421.31639999999999</v>
      </c>
      <c r="H5023" s="1">
        <v>4.770113E-6</v>
      </c>
      <c r="I5023">
        <v>207.7432</v>
      </c>
      <c r="J5023">
        <v>-452.98590000000002</v>
      </c>
      <c r="K5023">
        <v>1.1099950000000001</v>
      </c>
      <c r="L5023">
        <v>212.87289999999999</v>
      </c>
      <c r="M5023">
        <v>0.99992449999999999</v>
      </c>
      <c r="N5023">
        <v>0</v>
      </c>
      <c r="O5023">
        <v>8.6835190000000007E-3</v>
      </c>
      <c r="P5023">
        <v>0.99857589999999996</v>
      </c>
      <c r="Q5023">
        <v>3.6216440000000003E-2</v>
      </c>
      <c r="R5023">
        <v>-3.9170860000000002E-2</v>
      </c>
      <c r="S5023">
        <v>2.9897459999999998</v>
      </c>
      <c r="T5023">
        <v>-0.10407760000000001</v>
      </c>
      <c r="U5023">
        <v>-0.48080440000000002</v>
      </c>
      <c r="V5023">
        <v>4.7845730000000003E-2</v>
      </c>
      <c r="W5023">
        <v>4.4889449999999997E-2</v>
      </c>
      <c r="X5023">
        <v>0.99784550000000005</v>
      </c>
      <c r="Y5023">
        <v>0.16724149999999999</v>
      </c>
      <c r="Z5023">
        <v>-3.1918530000000001E-3</v>
      </c>
      <c r="AA5023">
        <v>0.98591079999999998</v>
      </c>
      <c r="AB5023">
        <v>21</v>
      </c>
      <c r="AC5023">
        <v>31.669499999999999</v>
      </c>
      <c r="AD5023">
        <v>-1.1099902298869999</v>
      </c>
      <c r="AE5023">
        <v>-5.1296999999999802</v>
      </c>
      <c r="AF5023">
        <v>5.3980579927437304</v>
      </c>
      <c r="AG5023">
        <v>-1.1099902298869999</v>
      </c>
      <c r="AH5023">
        <v>31.585950723617401</v>
      </c>
      <c r="AI5023">
        <v>91.983914044802404</v>
      </c>
      <c r="AJ5023">
        <v>80.301810838920701</v>
      </c>
      <c r="AK5023">
        <v>32.063115748758001</v>
      </c>
      <c r="AL5023">
        <v>87.427159299015798</v>
      </c>
      <c r="AM5023">
        <v>87.254825125548805</v>
      </c>
      <c r="AN5023">
        <v>0.99999995923539098</v>
      </c>
    </row>
    <row r="5024" spans="1:40" x14ac:dyDescent="0.25">
      <c r="A5024" t="str">
        <f>"20190312150752349"</f>
        <v>20190312150752349</v>
      </c>
      <c r="B5024" t="str">
        <f>"1552374472344507"</f>
        <v>1552374472344507</v>
      </c>
      <c r="C5024" t="s">
        <v>40</v>
      </c>
      <c r="D5024">
        <v>4.6626269999999996</v>
      </c>
      <c r="E5024">
        <v>0.54587569999999996</v>
      </c>
      <c r="F5024" t="s">
        <v>68</v>
      </c>
      <c r="G5024">
        <v>-421.404</v>
      </c>
      <c r="H5024" s="1">
        <v>4.7509929999999999E-6</v>
      </c>
      <c r="I5024">
        <v>207.7423</v>
      </c>
      <c r="J5024">
        <v>-452.76990000000001</v>
      </c>
      <c r="K5024">
        <v>1.109993</v>
      </c>
      <c r="L5024">
        <v>212.87479999999999</v>
      </c>
      <c r="M5024">
        <v>0.99992440000000005</v>
      </c>
      <c r="N5024">
        <v>0</v>
      </c>
      <c r="O5024">
        <v>8.7004100000000004E-3</v>
      </c>
      <c r="P5024">
        <v>0.99847810000000004</v>
      </c>
      <c r="Q5024">
        <v>3.7450850000000001E-2</v>
      </c>
      <c r="R5024">
        <v>-4.0484920000000001E-2</v>
      </c>
      <c r="S5024">
        <v>2.9890439999999998</v>
      </c>
      <c r="T5024">
        <v>-0.1050543</v>
      </c>
      <c r="U5024">
        <v>-0.48558040000000002</v>
      </c>
      <c r="V5024">
        <v>4.9176299999999999E-2</v>
      </c>
      <c r="W5024">
        <v>4.6121750000000003E-2</v>
      </c>
      <c r="X5024">
        <v>0.99772470000000002</v>
      </c>
      <c r="Y5024">
        <v>0.16882649999999999</v>
      </c>
      <c r="Z5024">
        <v>-3.2503800000000002E-3</v>
      </c>
      <c r="AA5024">
        <v>0.98564039999999997</v>
      </c>
      <c r="AB5024">
        <v>21</v>
      </c>
      <c r="AC5024">
        <v>31.3659</v>
      </c>
      <c r="AD5024">
        <v>-1.1099882490070001</v>
      </c>
      <c r="AE5024">
        <v>-5.1324999999999896</v>
      </c>
      <c r="AF5024">
        <v>5.3986276218903999</v>
      </c>
      <c r="AG5024">
        <v>-1.1099882490070001</v>
      </c>
      <c r="AH5024">
        <v>31.281902306588702</v>
      </c>
      <c r="AI5024">
        <v>92.002617107102594</v>
      </c>
      <c r="AJ5024">
        <v>80.208350658907094</v>
      </c>
      <c r="AK5024">
        <v>31.7637319285963</v>
      </c>
      <c r="AL5024">
        <v>87.356480727013405</v>
      </c>
      <c r="AM5024">
        <v>87.1782635829491</v>
      </c>
      <c r="AN5024">
        <v>1.00000005064741</v>
      </c>
    </row>
    <row r="5025" spans="1:40" x14ac:dyDescent="0.25">
      <c r="A5025" t="str">
        <f>"20190312150752371"</f>
        <v>20190312150752371</v>
      </c>
      <c r="B5025" t="str">
        <f>"1552374472365003"</f>
        <v>1552374472365003</v>
      </c>
      <c r="C5025" t="s">
        <v>40</v>
      </c>
      <c r="D5025">
        <v>4.6896649999999998</v>
      </c>
      <c r="E5025">
        <v>0.54568269999999997</v>
      </c>
      <c r="F5025" t="s">
        <v>68</v>
      </c>
      <c r="G5025">
        <v>-420.16030000000001</v>
      </c>
      <c r="H5025" s="1">
        <v>5.0910930000000003E-6</v>
      </c>
      <c r="I5025">
        <v>207.56030000000001</v>
      </c>
      <c r="J5025">
        <v>-452.55009999999999</v>
      </c>
      <c r="K5025">
        <v>1.1099950000000001</v>
      </c>
      <c r="L5025">
        <v>212.8767</v>
      </c>
      <c r="M5025">
        <v>0.99992440000000005</v>
      </c>
      <c r="N5025">
        <v>0</v>
      </c>
      <c r="O5025">
        <v>8.7094779999999997E-3</v>
      </c>
      <c r="P5025">
        <v>0.99840110000000004</v>
      </c>
      <c r="Q5025">
        <v>3.818978E-2</v>
      </c>
      <c r="R5025">
        <v>-4.1678229999999997E-2</v>
      </c>
      <c r="S5025">
        <v>2.9886780000000002</v>
      </c>
      <c r="T5025">
        <v>-0.1017308</v>
      </c>
      <c r="U5025">
        <v>-0.4870758</v>
      </c>
      <c r="V5025">
        <v>5.0377640000000001E-2</v>
      </c>
      <c r="W5025">
        <v>4.6861E-2</v>
      </c>
      <c r="X5025">
        <v>0.99763020000000002</v>
      </c>
      <c r="Y5025">
        <v>0.169341299999999</v>
      </c>
      <c r="Z5025">
        <v>-3.1568759999999999E-3</v>
      </c>
      <c r="AA5025">
        <v>0.9855524</v>
      </c>
      <c r="AB5025">
        <v>21</v>
      </c>
      <c r="AC5025">
        <v>32.389799999999902</v>
      </c>
      <c r="AD5025">
        <v>-1.109989908907</v>
      </c>
      <c r="AE5025">
        <v>-5.3163999999999803</v>
      </c>
      <c r="AF5025">
        <v>5.5919122841222499</v>
      </c>
      <c r="AG5025">
        <v>-1.109989908907</v>
      </c>
      <c r="AH5025">
        <v>32.305322091005998</v>
      </c>
      <c r="AI5025">
        <v>91.939059389825204</v>
      </c>
      <c r="AJ5025">
        <v>80.179654914247806</v>
      </c>
      <c r="AK5025">
        <v>32.8045026786695</v>
      </c>
      <c r="AL5025">
        <v>87.314078670867005</v>
      </c>
      <c r="AM5025">
        <v>87.109172858326005</v>
      </c>
      <c r="AN5025">
        <v>0.99999993794250297</v>
      </c>
    </row>
    <row r="5026" spans="1:40" x14ac:dyDescent="0.25">
      <c r="A5026" t="str">
        <f>"20190312150752393"</f>
        <v>20190312150752393</v>
      </c>
      <c r="B5026" t="str">
        <f>"1552374472384523"</f>
        <v>1552374472384523</v>
      </c>
      <c r="C5026" t="s">
        <v>40</v>
      </c>
      <c r="D5026">
        <v>4.663716</v>
      </c>
      <c r="E5026">
        <v>0.54551830000000001</v>
      </c>
      <c r="F5026" t="s">
        <v>68</v>
      </c>
      <c r="G5026">
        <v>-419.596</v>
      </c>
      <c r="H5026" s="1">
        <v>5.099305E-6</v>
      </c>
      <c r="I5026">
        <v>207.48259999999999</v>
      </c>
      <c r="J5026">
        <v>-452.34289999999999</v>
      </c>
      <c r="K5026">
        <v>1.1099969999999999</v>
      </c>
      <c r="L5026">
        <v>212.8785</v>
      </c>
      <c r="M5026">
        <v>0.99992420000000004</v>
      </c>
      <c r="N5026">
        <v>0</v>
      </c>
      <c r="O5026">
        <v>8.71596E-3</v>
      </c>
      <c r="P5026">
        <v>0.99833530000000004</v>
      </c>
      <c r="Q5026">
        <v>3.8554039999999998E-2</v>
      </c>
      <c r="R5026">
        <v>-4.2898029999999997E-2</v>
      </c>
      <c r="S5026">
        <v>2.988251</v>
      </c>
      <c r="T5026">
        <v>-0.1006529</v>
      </c>
      <c r="U5026">
        <v>-0.48913570000000001</v>
      </c>
      <c r="V5026">
        <v>5.1602879999999997E-2</v>
      </c>
      <c r="W5026">
        <v>4.7226339999999999E-2</v>
      </c>
      <c r="X5026">
        <v>0.99755039999999995</v>
      </c>
      <c r="Y5026">
        <v>0.1700335</v>
      </c>
      <c r="Z5026">
        <v>-3.135508E-3</v>
      </c>
      <c r="AA5026">
        <v>0.98543329999999996</v>
      </c>
      <c r="AB5026">
        <v>22</v>
      </c>
      <c r="AC5026">
        <v>32.746899999999897</v>
      </c>
      <c r="AD5026">
        <v>-1.1099919006950001</v>
      </c>
      <c r="AE5026">
        <v>-5.3959000000000099</v>
      </c>
      <c r="AF5026">
        <v>5.6747788240003096</v>
      </c>
      <c r="AG5026">
        <v>-1.1099919006950001</v>
      </c>
      <c r="AH5026">
        <v>32.662088819426799</v>
      </c>
      <c r="AI5026">
        <v>91.917689925107496</v>
      </c>
      <c r="AJ5026">
        <v>80.143701966156598</v>
      </c>
      <c r="AK5026">
        <v>33.169975019120201</v>
      </c>
      <c r="AL5026">
        <v>87.2931231757061</v>
      </c>
      <c r="AM5026">
        <v>87.038751929155595</v>
      </c>
      <c r="AN5026">
        <v>0.99999999247712501</v>
      </c>
    </row>
    <row r="5027" spans="1:40" x14ac:dyDescent="0.25">
      <c r="A5027" t="str">
        <f>"20190312150752416"</f>
        <v>20190312150752416</v>
      </c>
      <c r="B5027" t="str">
        <f>"1552374472405018"</f>
        <v>1552374472405018</v>
      </c>
      <c r="C5027" t="s">
        <v>40</v>
      </c>
      <c r="D5027">
        <v>4.6735860000000002</v>
      </c>
      <c r="E5027">
        <v>0.54523889999999997</v>
      </c>
      <c r="F5027" t="s">
        <v>68</v>
      </c>
      <c r="G5027">
        <v>-420.24299999999999</v>
      </c>
      <c r="H5027" s="1">
        <v>5.0590549999999998E-6</v>
      </c>
      <c r="I5027">
        <v>207.59909999999999</v>
      </c>
      <c r="J5027">
        <v>-452.11759999999998</v>
      </c>
      <c r="K5027">
        <v>1.110004</v>
      </c>
      <c r="L5027">
        <v>212.88050000000001</v>
      </c>
      <c r="M5027">
        <v>0.99992420000000004</v>
      </c>
      <c r="N5027">
        <v>0</v>
      </c>
      <c r="O5027">
        <v>8.7237210000000003E-3</v>
      </c>
      <c r="P5027">
        <v>0.99829330000000005</v>
      </c>
      <c r="Q5027">
        <v>3.8376849999999997E-2</v>
      </c>
      <c r="R5027">
        <v>-4.402118E-2</v>
      </c>
      <c r="S5027">
        <v>2.9878849999999999</v>
      </c>
      <c r="T5027">
        <v>-0.1033187</v>
      </c>
      <c r="U5027">
        <v>-0.49140929999999999</v>
      </c>
      <c r="V5027">
        <v>5.2732399999999999E-2</v>
      </c>
      <c r="W5027">
        <v>4.7052950000000003E-2</v>
      </c>
      <c r="X5027">
        <v>0.99749949999999998</v>
      </c>
      <c r="Y5027">
        <v>0.17078479999999999</v>
      </c>
      <c r="Z5027">
        <v>-3.2318609999999999E-3</v>
      </c>
      <c r="AA5027">
        <v>0.98530300000000004</v>
      </c>
      <c r="AB5027">
        <v>22</v>
      </c>
      <c r="AC5027">
        <v>31.874599999999901</v>
      </c>
      <c r="AD5027">
        <v>-1.109998940945</v>
      </c>
      <c r="AE5027">
        <v>-5.2814000000000103</v>
      </c>
      <c r="AF5027">
        <v>5.5527207408088</v>
      </c>
      <c r="AG5027">
        <v>-1.109998940945</v>
      </c>
      <c r="AH5027">
        <v>31.789790249125101</v>
      </c>
      <c r="AI5027">
        <v>91.969973272566094</v>
      </c>
      <c r="AJ5027">
        <v>80.092104650391406</v>
      </c>
      <c r="AK5027">
        <v>32.290177598732399</v>
      </c>
      <c r="AL5027">
        <v>87.303068684870993</v>
      </c>
      <c r="AM5027">
        <v>86.973899108823701</v>
      </c>
      <c r="AN5027">
        <v>0.99999996930685497</v>
      </c>
    </row>
    <row r="5028" spans="1:40" x14ac:dyDescent="0.25">
      <c r="A5028" t="str">
        <f>"20190312150752437"</f>
        <v>20190312150752437</v>
      </c>
      <c r="B5028" t="str">
        <f>"1552374472424539"</f>
        <v>1552374472424539</v>
      </c>
      <c r="C5028" t="s">
        <v>40</v>
      </c>
      <c r="D5028">
        <v>4.8091410000000003</v>
      </c>
      <c r="E5028">
        <v>0.54507510000000003</v>
      </c>
      <c r="F5028" t="s">
        <v>68</v>
      </c>
      <c r="G5028">
        <v>-420.57839999999999</v>
      </c>
      <c r="H5028" s="1">
        <v>4.9548639999999996E-6</v>
      </c>
      <c r="I5028">
        <v>207.68340000000001</v>
      </c>
      <c r="J5028">
        <v>-451.91340000000002</v>
      </c>
      <c r="K5028">
        <v>1.110012</v>
      </c>
      <c r="L5028">
        <v>212.88229999999999</v>
      </c>
      <c r="M5028">
        <v>0.99992409999999998</v>
      </c>
      <c r="N5028">
        <v>0</v>
      </c>
      <c r="O5028">
        <v>8.7343379999999995E-3</v>
      </c>
      <c r="P5028">
        <v>0.9982898</v>
      </c>
      <c r="Q5028">
        <v>3.8256900000000003E-2</v>
      </c>
      <c r="R5028">
        <v>-4.4207320000000001E-2</v>
      </c>
      <c r="S5028">
        <v>2.9874879999999999</v>
      </c>
      <c r="T5028">
        <v>-0.10514220000000001</v>
      </c>
      <c r="U5028">
        <v>-0.49227910000000002</v>
      </c>
      <c r="V5028">
        <v>5.2928219999999998E-2</v>
      </c>
      <c r="W5028">
        <v>4.6937680000000002E-2</v>
      </c>
      <c r="X5028">
        <v>0.99749460000000001</v>
      </c>
      <c r="Y5028">
        <v>0.17109160000000001</v>
      </c>
      <c r="Z5028">
        <v>-3.2949540000000001E-3</v>
      </c>
      <c r="AA5028">
        <v>0.98524959999999995</v>
      </c>
      <c r="AB5028">
        <v>22</v>
      </c>
      <c r="AC5028">
        <v>31.335000000000001</v>
      </c>
      <c r="AD5028">
        <v>-1.110007045136</v>
      </c>
      <c r="AE5028">
        <v>-5.1988999999999796</v>
      </c>
      <c r="AF5028">
        <v>5.4657275575398998</v>
      </c>
      <c r="AG5028">
        <v>-1.110007045136</v>
      </c>
      <c r="AH5028">
        <v>31.2502301425083</v>
      </c>
      <c r="AI5028">
        <v>92.003894746433204</v>
      </c>
      <c r="AJ5028">
        <v>80.079203067818497</v>
      </c>
      <c r="AK5028">
        <v>31.744025852642501</v>
      </c>
      <c r="AL5028">
        <v>87.309680583507301</v>
      </c>
      <c r="AM5028">
        <v>86.962667894300196</v>
      </c>
      <c r="AN5028">
        <v>1.00000000965265</v>
      </c>
    </row>
    <row r="5029" spans="1:40" x14ac:dyDescent="0.25">
      <c r="A5029" t="str">
        <f>"20190312150752460"</f>
        <v>20190312150752460</v>
      </c>
      <c r="B5029" t="str">
        <f>"1552374472454795"</f>
        <v>1552374472454795</v>
      </c>
      <c r="C5029" t="s">
        <v>40</v>
      </c>
      <c r="D5029">
        <v>4.7086379999999997</v>
      </c>
      <c r="E5029">
        <v>0.54494730000000002</v>
      </c>
      <c r="F5029" t="s">
        <v>68</v>
      </c>
      <c r="G5029">
        <v>-421.43369999999999</v>
      </c>
      <c r="H5029" s="1">
        <v>4.7010329999999998E-6</v>
      </c>
      <c r="I5029">
        <v>207.86500000000001</v>
      </c>
      <c r="J5029">
        <v>-451.69189999999998</v>
      </c>
      <c r="K5029">
        <v>1.1100159999999999</v>
      </c>
      <c r="L5029">
        <v>212.88419999999999</v>
      </c>
      <c r="M5029">
        <v>0.99992389999999998</v>
      </c>
      <c r="N5029">
        <v>0</v>
      </c>
      <c r="O5029">
        <v>8.7508510000000005E-3</v>
      </c>
      <c r="P5029">
        <v>0.99828139999999999</v>
      </c>
      <c r="Q5029">
        <v>3.856039E-2</v>
      </c>
      <c r="R5029">
        <v>-4.4132159999999997E-2</v>
      </c>
      <c r="S5029">
        <v>2.9874879999999999</v>
      </c>
      <c r="T5029">
        <v>-0.1087983</v>
      </c>
      <c r="U5029">
        <v>-0.49177549999999998</v>
      </c>
      <c r="V5029">
        <v>5.286863E-2</v>
      </c>
      <c r="W5029">
        <v>4.7246330000000003E-2</v>
      </c>
      <c r="X5029">
        <v>0.99748320000000001</v>
      </c>
      <c r="Y5029">
        <v>0.17093849999999999</v>
      </c>
      <c r="Z5029">
        <v>-3.4073300000000001E-3</v>
      </c>
      <c r="AA5029">
        <v>0.98527580000000003</v>
      </c>
      <c r="AB5029">
        <v>22</v>
      </c>
      <c r="AC5029">
        <v>30.258199999999899</v>
      </c>
      <c r="AD5029">
        <v>-1.1100112989669999</v>
      </c>
      <c r="AE5029">
        <v>-5.0191999999999801</v>
      </c>
      <c r="AF5029">
        <v>5.2768915381602604</v>
      </c>
      <c r="AG5029">
        <v>-1.1100112989669999</v>
      </c>
      <c r="AH5029">
        <v>30.173598297206901</v>
      </c>
      <c r="AI5029">
        <v>92.075348915965193</v>
      </c>
      <c r="AJ5029">
        <v>80.080181374301006</v>
      </c>
      <c r="AK5029">
        <v>30.651651563831699</v>
      </c>
      <c r="AL5029">
        <v>87.291976630461207</v>
      </c>
      <c r="AM5029">
        <v>86.966046517105795</v>
      </c>
      <c r="AN5029">
        <v>1.00000002100939</v>
      </c>
    </row>
    <row r="5030" spans="1:40" x14ac:dyDescent="0.25">
      <c r="A5030" t="str">
        <f>"20190312150752483"</f>
        <v>20190312150752483</v>
      </c>
      <c r="B5030" t="str">
        <f>"1552374472475291"</f>
        <v>1552374472475291</v>
      </c>
      <c r="C5030" t="s">
        <v>40</v>
      </c>
      <c r="D5030">
        <v>4.6526680000000002</v>
      </c>
      <c r="E5030">
        <v>0.5448693</v>
      </c>
      <c r="F5030" t="s">
        <v>68</v>
      </c>
      <c r="G5030">
        <v>-421.75099999999998</v>
      </c>
      <c r="H5030" s="1">
        <v>4.5953020000000003E-6</v>
      </c>
      <c r="I5030">
        <v>207.96510000000001</v>
      </c>
      <c r="J5030">
        <v>-451.4674</v>
      </c>
      <c r="K5030">
        <v>1.1100190000000001</v>
      </c>
      <c r="L5030">
        <v>212.8862</v>
      </c>
      <c r="M5030">
        <v>0.99992360000000002</v>
      </c>
      <c r="N5030">
        <v>0</v>
      </c>
      <c r="O5030">
        <v>8.7736029999999996E-3</v>
      </c>
      <c r="P5030">
        <v>0.99827010000000005</v>
      </c>
      <c r="Q5030">
        <v>3.9273019999999999E-2</v>
      </c>
      <c r="R5030">
        <v>-4.3756209999999997E-2</v>
      </c>
      <c r="S5030">
        <v>2.9877319999999998</v>
      </c>
      <c r="T5030">
        <v>-0.11076560000000001</v>
      </c>
      <c r="U5030">
        <v>-0.49087520000000001</v>
      </c>
      <c r="V5030">
        <v>5.2514690000000003E-2</v>
      </c>
      <c r="W5030">
        <v>4.7965059999999997E-2</v>
      </c>
      <c r="X5030">
        <v>0.99746760000000001</v>
      </c>
      <c r="Y5030">
        <v>0.170655</v>
      </c>
      <c r="Z5030">
        <v>-3.4643249999999999E-3</v>
      </c>
      <c r="AA5030">
        <v>0.98532470000000005</v>
      </c>
      <c r="AB5030">
        <v>22</v>
      </c>
      <c r="AC5030">
        <v>29.7164</v>
      </c>
      <c r="AD5030">
        <v>-1.1100144046980001</v>
      </c>
      <c r="AE5030">
        <v>-4.9210999999999903</v>
      </c>
      <c r="AF5030">
        <v>5.1746129863250401</v>
      </c>
      <c r="AG5030">
        <v>-1.1100144046980001</v>
      </c>
      <c r="AH5030">
        <v>29.631837294759599</v>
      </c>
      <c r="AI5030">
        <v>92.113355504602296</v>
      </c>
      <c r="AJ5030">
        <v>80.094315451096705</v>
      </c>
      <c r="AK5030">
        <v>30.100739741740298</v>
      </c>
      <c r="AL5030">
        <v>87.250749706664394</v>
      </c>
      <c r="AM5030">
        <v>86.986273333878898</v>
      </c>
      <c r="AN5030">
        <v>1.0000000263481701</v>
      </c>
    </row>
    <row r="5031" spans="1:40" x14ac:dyDescent="0.25">
      <c r="A5031" t="str">
        <f>"20190312150752507"</f>
        <v>20190312150752507</v>
      </c>
      <c r="B5031" t="str">
        <f>"1552374472494811"</f>
        <v>1552374472494811</v>
      </c>
      <c r="C5031" t="s">
        <v>40</v>
      </c>
      <c r="D5031">
        <v>4.5827460000000002</v>
      </c>
      <c r="E5031">
        <v>0.54477589999999998</v>
      </c>
      <c r="F5031" t="s">
        <v>68</v>
      </c>
      <c r="G5031">
        <v>-421.59300000000002</v>
      </c>
      <c r="H5031" s="1">
        <v>4.6200029999999997E-6</v>
      </c>
      <c r="I5031">
        <v>207.99430000000001</v>
      </c>
      <c r="J5031">
        <v>-451.23829999999998</v>
      </c>
      <c r="K5031">
        <v>1.110026</v>
      </c>
      <c r="L5031">
        <v>212.88829999999999</v>
      </c>
      <c r="M5031">
        <v>0.99992320000000001</v>
      </c>
      <c r="N5031">
        <v>0</v>
      </c>
      <c r="O5031">
        <v>8.8016369999999993E-3</v>
      </c>
      <c r="P5031">
        <v>0.99833799999999995</v>
      </c>
      <c r="Q5031">
        <v>3.9065040000000002E-2</v>
      </c>
      <c r="R5031">
        <v>-4.2371109999999997E-2</v>
      </c>
      <c r="S5031">
        <v>2.9881289999999998</v>
      </c>
      <c r="T5031">
        <v>-0.1110269</v>
      </c>
      <c r="U5031">
        <v>-0.48930360000000001</v>
      </c>
      <c r="V5031">
        <v>5.1157689999999999E-2</v>
      </c>
      <c r="W5031">
        <v>4.7764069999999999E-2</v>
      </c>
      <c r="X5031">
        <v>0.99754770000000004</v>
      </c>
      <c r="Y5031">
        <v>0.17015669999999999</v>
      </c>
      <c r="Z5031">
        <v>-3.4640249999999999E-3</v>
      </c>
      <c r="AA5031">
        <v>0.98541089999999998</v>
      </c>
      <c r="AB5031">
        <v>22</v>
      </c>
      <c r="AC5031">
        <v>29.645299999999899</v>
      </c>
      <c r="AD5031">
        <v>-1.110021379997</v>
      </c>
      <c r="AE5031">
        <v>-4.8939999999999699</v>
      </c>
      <c r="AF5031">
        <v>5.147721833566</v>
      </c>
      <c r="AG5031">
        <v>-1.110021379997</v>
      </c>
      <c r="AH5031">
        <v>29.560729843461299</v>
      </c>
      <c r="AI5031">
        <v>92.118623180918306</v>
      </c>
      <c r="AJ5031">
        <v>80.1215409122929</v>
      </c>
      <c r="AK5031">
        <v>30.0261209019401</v>
      </c>
      <c r="AL5031">
        <v>87.262278630450197</v>
      </c>
      <c r="AM5031">
        <v>87.064246485413904</v>
      </c>
      <c r="AN5031">
        <v>0.99999996470219399</v>
      </c>
    </row>
    <row r="5032" spans="1:40" x14ac:dyDescent="0.25">
      <c r="A5032" t="str">
        <f>"20190312150752527"</f>
        <v>20190312150752527</v>
      </c>
      <c r="B5032" t="str">
        <f>"1552374472515308"</f>
        <v>1552374472515308</v>
      </c>
      <c r="C5032" t="s">
        <v>40</v>
      </c>
      <c r="D5032">
        <v>4.7424099999999996</v>
      </c>
      <c r="E5032">
        <v>0.51080049999999999</v>
      </c>
      <c r="F5032" t="s">
        <v>68</v>
      </c>
      <c r="G5032">
        <v>-421.7242</v>
      </c>
      <c r="H5032" s="1">
        <v>4.5527030000000003E-6</v>
      </c>
      <c r="I5032">
        <v>208.10239999999999</v>
      </c>
      <c r="J5032">
        <v>-451.036</v>
      </c>
      <c r="K5032">
        <v>1.110025</v>
      </c>
      <c r="L5032">
        <v>212.89009999999999</v>
      </c>
      <c r="M5032">
        <v>0.99992289999999995</v>
      </c>
      <c r="N5032">
        <v>0</v>
      </c>
      <c r="O5032">
        <v>8.8292949999999992E-3</v>
      </c>
      <c r="P5032">
        <v>0.99840450000000003</v>
      </c>
      <c r="Q5032">
        <v>3.8755890000000001E-2</v>
      </c>
      <c r="R5032">
        <v>-4.1065560000000001E-2</v>
      </c>
      <c r="S5032">
        <v>2.988861</v>
      </c>
      <c r="T5032">
        <v>-0.11241080000000001</v>
      </c>
      <c r="U5032">
        <v>-0.48466490000000001</v>
      </c>
      <c r="V5032">
        <v>4.9880090000000002E-2</v>
      </c>
      <c r="W5032">
        <v>4.7461629999999998E-2</v>
      </c>
      <c r="X5032">
        <v>0.99762680000000004</v>
      </c>
      <c r="Y5032">
        <v>0.16865350000000001</v>
      </c>
      <c r="Z5032">
        <v>-3.4797169999999998E-3</v>
      </c>
      <c r="AA5032">
        <v>0.98566929999999997</v>
      </c>
      <c r="AB5032">
        <v>22</v>
      </c>
      <c r="AC5032">
        <v>29.311800000000002</v>
      </c>
      <c r="AD5032">
        <v>-1.1100204472969999</v>
      </c>
      <c r="AE5032">
        <v>-4.7877000000000001</v>
      </c>
      <c r="AF5032">
        <v>5.0392867541778399</v>
      </c>
      <c r="AG5032">
        <v>-1.1100204472969999</v>
      </c>
      <c r="AH5032">
        <v>29.227557927940001</v>
      </c>
      <c r="AI5032">
        <v>92.143370991555599</v>
      </c>
      <c r="AJ5032">
        <v>80.217492776785093</v>
      </c>
      <c r="AK5032">
        <v>29.6795670254021</v>
      </c>
      <c r="AL5032">
        <v>87.279626749844994</v>
      </c>
      <c r="AM5032">
        <v>87.137666384961705</v>
      </c>
      <c r="AN5032">
        <v>0.99999993088945005</v>
      </c>
    </row>
    <row r="5033" spans="1:40" x14ac:dyDescent="0.25">
      <c r="A5033" t="str">
        <f>"20190312150752549"</f>
        <v>20190312150752549</v>
      </c>
      <c r="B5033" t="str">
        <f>"1552374472544587"</f>
        <v>1552374472544587</v>
      </c>
      <c r="C5033" t="s">
        <v>40</v>
      </c>
      <c r="D5033">
        <v>4.5190070000000002</v>
      </c>
      <c r="E5033">
        <v>0.46125899999999997</v>
      </c>
      <c r="F5033" t="s">
        <v>68</v>
      </c>
      <c r="G5033">
        <v>-410.36779999999999</v>
      </c>
      <c r="H5033" s="1">
        <v>2.6710599999999999E-6</v>
      </c>
      <c r="I5033">
        <v>210.0401</v>
      </c>
      <c r="J5033">
        <v>-450.82100000000003</v>
      </c>
      <c r="K5033">
        <v>1.110023</v>
      </c>
      <c r="L5033">
        <v>212.892</v>
      </c>
      <c r="M5033">
        <v>0.9999228</v>
      </c>
      <c r="N5033">
        <v>0</v>
      </c>
      <c r="O5033">
        <v>8.8593890000000005E-3</v>
      </c>
      <c r="P5033">
        <v>0.99846259999999998</v>
      </c>
      <c r="Q5033">
        <v>3.8244930000000003E-2</v>
      </c>
      <c r="R5033">
        <v>-4.0125019999999997E-2</v>
      </c>
      <c r="S5033">
        <v>2.9993590000000001</v>
      </c>
      <c r="T5033">
        <v>-8.1866380000000002E-2</v>
      </c>
      <c r="U5033">
        <v>-0.21018980000000001</v>
      </c>
      <c r="V5033">
        <v>4.8969770000000003E-2</v>
      </c>
      <c r="W5033">
        <v>4.6958159999999999E-2</v>
      </c>
      <c r="X5033">
        <v>0.99769580000000002</v>
      </c>
      <c r="Y5033">
        <v>7.8709650000000006E-2</v>
      </c>
      <c r="Z5033">
        <v>-1.3141590000000001E-3</v>
      </c>
      <c r="AA5033">
        <v>0.99689669999999997</v>
      </c>
      <c r="AB5033">
        <v>22</v>
      </c>
      <c r="AC5033">
        <v>40.453199999999903</v>
      </c>
      <c r="AD5033">
        <v>-1.1100203289399999</v>
      </c>
      <c r="AE5033">
        <v>-2.8519000000000001</v>
      </c>
      <c r="AF5033">
        <v>3.2077890016620398</v>
      </c>
      <c r="AG5033">
        <v>-1.1100203289399999</v>
      </c>
      <c r="AH5033">
        <v>40.396080130975299</v>
      </c>
      <c r="AI5033">
        <v>91.569064467915396</v>
      </c>
      <c r="AJ5033">
        <v>85.459759661642806</v>
      </c>
      <c r="AK5033">
        <v>40.538442808746602</v>
      </c>
      <c r="AL5033">
        <v>87.308505866868302</v>
      </c>
      <c r="AM5033">
        <v>87.190013979942293</v>
      </c>
      <c r="AN5033">
        <v>1.0000000082510301</v>
      </c>
    </row>
    <row r="5034" spans="1:40" x14ac:dyDescent="0.25">
      <c r="A5034" t="str">
        <f>"20190312150752574"</f>
        <v>20190312150752574</v>
      </c>
      <c r="B5034" t="str">
        <f>"1552374472565083"</f>
        <v>1552374472565083</v>
      </c>
      <c r="C5034" t="s">
        <v>40</v>
      </c>
      <c r="D5034">
        <v>4.5817379999999996</v>
      </c>
      <c r="E5034">
        <v>0.45946320000000002</v>
      </c>
      <c r="F5034" t="s">
        <v>68</v>
      </c>
      <c r="G5034">
        <v>-409.78550000000001</v>
      </c>
      <c r="H5034" s="1">
        <v>3.8916960000000003E-6</v>
      </c>
      <c r="I5034">
        <v>215.4444</v>
      </c>
      <c r="J5034">
        <v>-450.57150000000001</v>
      </c>
      <c r="K5034">
        <v>1.1100219999999901</v>
      </c>
      <c r="L5034">
        <v>212.89429999999999</v>
      </c>
      <c r="M5034">
        <v>0.99992239999999999</v>
      </c>
      <c r="N5034">
        <v>0</v>
      </c>
      <c r="O5034">
        <v>8.8945999999999904E-3</v>
      </c>
      <c r="P5034">
        <v>0.99850559999999999</v>
      </c>
      <c r="Q5034">
        <v>3.7696350000000003E-2</v>
      </c>
      <c r="R5034">
        <v>-3.9570590000000003E-2</v>
      </c>
      <c r="S5034">
        <v>3.01532</v>
      </c>
      <c r="T5034">
        <v>-8.1564899999999899E-2</v>
      </c>
      <c r="U5034">
        <v>0.18754580000000001</v>
      </c>
      <c r="V5034">
        <v>4.8450809999999997E-2</v>
      </c>
      <c r="W5034">
        <v>4.6418019999999997E-2</v>
      </c>
      <c r="X5034">
        <v>0.99774640000000003</v>
      </c>
      <c r="Y5034">
        <v>-5.3181310000000002E-2</v>
      </c>
      <c r="Z5034">
        <v>4.7814180000000002E-4</v>
      </c>
      <c r="AA5034">
        <v>0.99858469999999999</v>
      </c>
      <c r="AB5034">
        <v>22</v>
      </c>
      <c r="AC5034">
        <v>40.786000000000001</v>
      </c>
      <c r="AD5034">
        <v>-1.1100181083039999</v>
      </c>
      <c r="AE5034">
        <v>2.5501000000000098</v>
      </c>
      <c r="AF5034">
        <v>-2.1855976080505299</v>
      </c>
      <c r="AG5034">
        <v>-1.1100181083039999</v>
      </c>
      <c r="AH5034">
        <v>40.776983866796101</v>
      </c>
      <c r="AI5034">
        <v>91.557068545286697</v>
      </c>
      <c r="AJ5034">
        <v>93.068049565747998</v>
      </c>
      <c r="AK5034">
        <v>40.850598409056701</v>
      </c>
      <c r="AL5034">
        <v>87.339487361940598</v>
      </c>
      <c r="AM5034">
        <v>87.219886775069497</v>
      </c>
      <c r="AN5034">
        <v>0.99999999614166801</v>
      </c>
    </row>
    <row r="5035" spans="1:40" x14ac:dyDescent="0.25">
      <c r="A5035" t="str">
        <f>"20190312150752594"</f>
        <v>20190312150752594</v>
      </c>
      <c r="B5035" t="str">
        <f>"1552374472584605"</f>
        <v>1552374472584605</v>
      </c>
      <c r="C5035" t="s">
        <v>40</v>
      </c>
      <c r="D5035">
        <v>4.6095259999999998</v>
      </c>
      <c r="E5035">
        <v>0.45811750000000001</v>
      </c>
      <c r="F5035" t="s">
        <v>68</v>
      </c>
      <c r="G5035">
        <v>-421.18790000000001</v>
      </c>
      <c r="H5035" s="1">
        <v>3.7313210000000001E-6</v>
      </c>
      <c r="I5035">
        <v>214.87450000000001</v>
      </c>
      <c r="J5035">
        <v>-450.37180000000001</v>
      </c>
      <c r="K5035">
        <v>1.110023</v>
      </c>
      <c r="L5035">
        <v>212.89609999999999</v>
      </c>
      <c r="M5035">
        <v>0.99992199999999998</v>
      </c>
      <c r="N5035">
        <v>0</v>
      </c>
      <c r="O5035">
        <v>8.9224189999999991E-3</v>
      </c>
      <c r="P5035">
        <v>0.99849869999999996</v>
      </c>
      <c r="Q5035">
        <v>3.802904E-2</v>
      </c>
      <c r="R5035">
        <v>-3.9421209999999998E-2</v>
      </c>
      <c r="S5035">
        <v>3.0168460000000001</v>
      </c>
      <c r="T5035">
        <v>-0.11396679999999999</v>
      </c>
      <c r="U5035">
        <v>0.20330809999999999</v>
      </c>
      <c r="V5035">
        <v>4.832906E-2</v>
      </c>
      <c r="W5035">
        <v>4.6757159999999999E-2</v>
      </c>
      <c r="X5035">
        <v>0.99773650000000003</v>
      </c>
      <c r="Y5035">
        <v>-5.829815E-2</v>
      </c>
      <c r="Z5035">
        <v>7.6297780000000003E-4</v>
      </c>
      <c r="AA5035">
        <v>0.99829889999999999</v>
      </c>
      <c r="AB5035">
        <v>22</v>
      </c>
      <c r="AC5035">
        <v>29.183899999999898</v>
      </c>
      <c r="AD5035">
        <v>-1.110019268679</v>
      </c>
      <c r="AE5035">
        <v>1.9784000000000199</v>
      </c>
      <c r="AF5035">
        <v>-1.7154499481160099</v>
      </c>
      <c r="AG5035">
        <v>-1.110019268679</v>
      </c>
      <c r="AH5035">
        <v>29.158400926642699</v>
      </c>
      <c r="AI5035">
        <v>92.176357366611697</v>
      </c>
      <c r="AJ5035">
        <v>93.366950006793203</v>
      </c>
      <c r="AK5035">
        <v>29.229903453487001</v>
      </c>
      <c r="AL5035">
        <v>87.320035031916404</v>
      </c>
      <c r="AM5035">
        <v>87.226834412218196</v>
      </c>
      <c r="AN5035">
        <v>1.00000002674199</v>
      </c>
    </row>
    <row r="5036" spans="1:40" x14ac:dyDescent="0.25">
      <c r="A5036" t="str">
        <f>"20190312150752616"</f>
        <v>20190312150752616</v>
      </c>
      <c r="B5036" t="str">
        <f>"1552374472605103"</f>
        <v>1552374472605103</v>
      </c>
      <c r="C5036" t="s">
        <v>40</v>
      </c>
      <c r="D5036">
        <v>4.5792299999999999</v>
      </c>
      <c r="E5036">
        <v>0.45910289999999998</v>
      </c>
      <c r="F5036" t="s">
        <v>68</v>
      </c>
      <c r="G5036">
        <v>-427.48410000000001</v>
      </c>
      <c r="H5036" s="1">
        <v>2.6453159999999999E-6</v>
      </c>
      <c r="I5036">
        <v>214.52170000000001</v>
      </c>
      <c r="J5036">
        <v>-450.15359999999998</v>
      </c>
      <c r="K5036">
        <v>1.1100239999999999</v>
      </c>
      <c r="L5036">
        <v>212.8981</v>
      </c>
      <c r="M5036">
        <v>0.99992170000000002</v>
      </c>
      <c r="N5036">
        <v>0</v>
      </c>
      <c r="O5036">
        <v>8.9522579999999994E-3</v>
      </c>
      <c r="P5036">
        <v>0.99849319999999997</v>
      </c>
      <c r="Q5036">
        <v>3.8763310000000002E-2</v>
      </c>
      <c r="R5036">
        <v>-3.8846150000000003E-2</v>
      </c>
      <c r="S5036">
        <v>3.0185550000000001</v>
      </c>
      <c r="T5036">
        <v>-0.14639559999999999</v>
      </c>
      <c r="U5036">
        <v>0.21438599999999999</v>
      </c>
      <c r="V5036">
        <v>4.7783590000000001E-2</v>
      </c>
      <c r="W5036">
        <v>4.7498770000000003E-2</v>
      </c>
      <c r="X5036">
        <v>0.9977277</v>
      </c>
      <c r="Y5036">
        <v>-6.1849479999999998E-2</v>
      </c>
      <c r="Z5036">
        <v>1.0636930000000001E-3</v>
      </c>
      <c r="AA5036">
        <v>0.99808490000000005</v>
      </c>
      <c r="AB5036">
        <v>22</v>
      </c>
      <c r="AC5036">
        <v>22.6694999999999</v>
      </c>
      <c r="AD5036">
        <v>-1.1100213546840001</v>
      </c>
      <c r="AE5036">
        <v>1.6236000000000099</v>
      </c>
      <c r="AF5036">
        <v>-1.41720340053115</v>
      </c>
      <c r="AG5036">
        <v>-1.1100213546840001</v>
      </c>
      <c r="AH5036">
        <v>22.6291479370846</v>
      </c>
      <c r="AI5036">
        <v>92.802780782436699</v>
      </c>
      <c r="AJ5036">
        <v>93.583602120835806</v>
      </c>
      <c r="AK5036">
        <v>22.7006376396081</v>
      </c>
      <c r="AL5036">
        <v>87.277496526437702</v>
      </c>
      <c r="AM5036">
        <v>87.258061794906993</v>
      </c>
      <c r="AN5036">
        <v>0.99999998398604495</v>
      </c>
    </row>
    <row r="5037" spans="1:40" x14ac:dyDescent="0.25">
      <c r="A5037" t="str">
        <f>"20190312150752637"</f>
        <v>20190312150752637</v>
      </c>
      <c r="B5037" t="str">
        <f>"1552374472635355"</f>
        <v>1552374472635355</v>
      </c>
      <c r="C5037" t="s">
        <v>40</v>
      </c>
      <c r="D5037">
        <v>4.3583910000000001</v>
      </c>
      <c r="E5037">
        <v>0.46036349999999998</v>
      </c>
      <c r="F5037" t="s">
        <v>68</v>
      </c>
      <c r="G5037">
        <v>-424.53899999999999</v>
      </c>
      <c r="H5037" s="1">
        <v>3.155204E-6</v>
      </c>
      <c r="I5037">
        <v>214.66499999999999</v>
      </c>
      <c r="J5037">
        <v>-449.94200000000001</v>
      </c>
      <c r="K5037">
        <v>1.110023</v>
      </c>
      <c r="L5037">
        <v>212.9</v>
      </c>
      <c r="M5037">
        <v>0.99992139999999996</v>
      </c>
      <c r="N5037">
        <v>0</v>
      </c>
      <c r="O5037">
        <v>8.9807819999999997E-3</v>
      </c>
      <c r="P5037">
        <v>0.99850050000000001</v>
      </c>
      <c r="Q5037">
        <v>3.9028630000000002E-2</v>
      </c>
      <c r="R5037">
        <v>-3.8390359999999998E-2</v>
      </c>
      <c r="S5037">
        <v>3.0177</v>
      </c>
      <c r="T5037">
        <v>-0.13077349999999999</v>
      </c>
      <c r="U5037">
        <v>0.2081604</v>
      </c>
      <c r="V5037">
        <v>4.7356229999999999E-2</v>
      </c>
      <c r="W5037">
        <v>4.7771220000000003E-2</v>
      </c>
      <c r="X5037">
        <v>0.99773509999999999</v>
      </c>
      <c r="Y5037">
        <v>-5.9806209999999999E-2</v>
      </c>
      <c r="Z5037">
        <v>9.0519899999999998E-4</v>
      </c>
      <c r="AA5037">
        <v>0.99820960000000003</v>
      </c>
      <c r="AB5037">
        <v>22</v>
      </c>
      <c r="AC5037">
        <v>25.402999999999899</v>
      </c>
      <c r="AD5037">
        <v>-1.1100198447959999</v>
      </c>
      <c r="AE5037">
        <v>1.7649999999999799</v>
      </c>
      <c r="AF5037">
        <v>-1.5338666213527301</v>
      </c>
      <c r="AG5037">
        <v>-1.1100198447959999</v>
      </c>
      <c r="AH5037">
        <v>25.369619730959101</v>
      </c>
      <c r="AI5037">
        <v>92.500755206390906</v>
      </c>
      <c r="AJ5037">
        <v>93.459934837645207</v>
      </c>
      <c r="AK5037">
        <v>25.440174845338799</v>
      </c>
      <c r="AL5037">
        <v>87.261868637662403</v>
      </c>
      <c r="AM5037">
        <v>87.282567947518203</v>
      </c>
      <c r="AN5037">
        <v>1.00000001587605</v>
      </c>
    </row>
    <row r="5038" spans="1:40" x14ac:dyDescent="0.25">
      <c r="A5038" t="str">
        <f>"20190312150752660"</f>
        <v>20190312150752660</v>
      </c>
      <c r="B5038" t="str">
        <f>"1552374472654876"</f>
        <v>1552374472654876</v>
      </c>
      <c r="C5038" t="s">
        <v>40</v>
      </c>
      <c r="D5038">
        <v>4.5628089999999997</v>
      </c>
      <c r="E5038">
        <v>0.46104349999999999</v>
      </c>
      <c r="F5038" t="s">
        <v>68</v>
      </c>
      <c r="G5038">
        <v>-420.68090000000001</v>
      </c>
      <c r="H5038" s="1">
        <v>3.8249340000000001E-6</v>
      </c>
      <c r="I5038">
        <v>214.83240000000001</v>
      </c>
      <c r="J5038">
        <v>-449.71600000000001</v>
      </c>
      <c r="K5038">
        <v>1.1100239999999999</v>
      </c>
      <c r="L5038">
        <v>212.90209999999999</v>
      </c>
      <c r="M5038">
        <v>0.99992099999999995</v>
      </c>
      <c r="N5038">
        <v>0</v>
      </c>
      <c r="O5038">
        <v>9.0107899999999994E-3</v>
      </c>
      <c r="P5038">
        <v>0.9984999</v>
      </c>
      <c r="Q5038">
        <v>3.9493680000000003E-2</v>
      </c>
      <c r="R5038">
        <v>-3.792127E-2</v>
      </c>
      <c r="S5038">
        <v>3.016632</v>
      </c>
      <c r="T5038">
        <v>-0.1144356</v>
      </c>
      <c r="U5038">
        <v>0.1992188</v>
      </c>
      <c r="V5038">
        <v>4.6917220000000003E-2</v>
      </c>
      <c r="W5038">
        <v>4.8244170000000003E-2</v>
      </c>
      <c r="X5038">
        <v>0.99773310000000004</v>
      </c>
      <c r="Y5038">
        <v>-5.6868080000000001E-2</v>
      </c>
      <c r="Z5038">
        <v>7.3576890000000002E-4</v>
      </c>
      <c r="AA5038">
        <v>0.99838139999999997</v>
      </c>
      <c r="AB5038">
        <v>22</v>
      </c>
      <c r="AC5038">
        <v>29.0351</v>
      </c>
      <c r="AD5038">
        <v>-1.1100201750659999</v>
      </c>
      <c r="AE5038">
        <v>1.9303000000000099</v>
      </c>
      <c r="AF5038">
        <v>-1.6661579264917199</v>
      </c>
      <c r="AG5038">
        <v>-1.1100201750659999</v>
      </c>
      <c r="AH5038">
        <v>29.009103513161001</v>
      </c>
      <c r="AI5038">
        <v>92.187725894274394</v>
      </c>
      <c r="AJ5038">
        <v>93.287211221617994</v>
      </c>
      <c r="AK5038">
        <v>29.078107119658799</v>
      </c>
      <c r="AL5038">
        <v>87.2347393629328</v>
      </c>
      <c r="AM5038">
        <v>87.307716933931502</v>
      </c>
      <c r="AN5038">
        <v>1.00000003215356</v>
      </c>
    </row>
    <row r="5039" spans="1:40" x14ac:dyDescent="0.25">
      <c r="A5039" t="str">
        <f>"20190312150752682"</f>
        <v>20190312150752682</v>
      </c>
      <c r="B5039" t="str">
        <f>"1552374472675371"</f>
        <v>1552374472675371</v>
      </c>
      <c r="C5039" t="s">
        <v>40</v>
      </c>
      <c r="D5039">
        <v>4.3346010000000001</v>
      </c>
      <c r="E5039">
        <v>0.46134809999999998</v>
      </c>
      <c r="F5039" t="s">
        <v>68</v>
      </c>
      <c r="G5039">
        <v>-418.32029999999997</v>
      </c>
      <c r="H5039" s="1">
        <v>3.653844E-6</v>
      </c>
      <c r="I5039">
        <v>214.9342</v>
      </c>
      <c r="J5039">
        <v>-449.49290000000002</v>
      </c>
      <c r="K5039">
        <v>1.1100239999999999</v>
      </c>
      <c r="L5039">
        <v>212.9041</v>
      </c>
      <c r="M5039">
        <v>0.9999207</v>
      </c>
      <c r="N5039">
        <v>0</v>
      </c>
      <c r="O5039">
        <v>9.0399620000000003E-3</v>
      </c>
      <c r="P5039">
        <v>0.99852209999999997</v>
      </c>
      <c r="Q5039">
        <v>3.8940950000000002E-2</v>
      </c>
      <c r="R5039">
        <v>-3.791812E-2</v>
      </c>
      <c r="S5039">
        <v>3.0161129999999998</v>
      </c>
      <c r="T5039">
        <v>-0.1066371</v>
      </c>
      <c r="U5039">
        <v>0.1952209</v>
      </c>
      <c r="V5039">
        <v>4.6943140000000001E-2</v>
      </c>
      <c r="W5039">
        <v>4.7699770000000002E-2</v>
      </c>
      <c r="X5039">
        <v>0.99775800000000003</v>
      </c>
      <c r="Y5039">
        <v>-5.553785E-2</v>
      </c>
      <c r="Z5039">
        <v>6.6129389999999995E-4</v>
      </c>
      <c r="AA5039">
        <v>0.99845640000000002</v>
      </c>
      <c r="AB5039">
        <v>22</v>
      </c>
      <c r="AC5039">
        <v>31.172599999999999</v>
      </c>
      <c r="AD5039">
        <v>-1.1100203461560001</v>
      </c>
      <c r="AE5039">
        <v>2.0301</v>
      </c>
      <c r="AF5039">
        <v>-1.7460025259780401</v>
      </c>
      <c r="AG5039">
        <v>-1.1100203461560001</v>
      </c>
      <c r="AH5039">
        <v>31.1503473658803</v>
      </c>
      <c r="AI5039">
        <v>92.037634992930194</v>
      </c>
      <c r="AJ5039">
        <v>93.208118615056705</v>
      </c>
      <c r="AK5039">
        <v>31.2189815817975</v>
      </c>
      <c r="AL5039">
        <v>87.265966985520194</v>
      </c>
      <c r="AM5039">
        <v>87.306298865557906</v>
      </c>
      <c r="AN5039">
        <v>0.99999997650755601</v>
      </c>
    </row>
    <row r="5040" spans="1:40" x14ac:dyDescent="0.25">
      <c r="A5040" t="str">
        <f>"20190312150752705"</f>
        <v>20190312150752705</v>
      </c>
      <c r="B5040" t="str">
        <f>"1552374472694891"</f>
        <v>1552374472694891</v>
      </c>
      <c r="C5040" t="s">
        <v>40</v>
      </c>
      <c r="D5040">
        <v>4.6659569999999997</v>
      </c>
      <c r="E5040">
        <v>0.46174510000000002</v>
      </c>
      <c r="F5040" t="s">
        <v>68</v>
      </c>
      <c r="G5040">
        <v>-417.76459999999997</v>
      </c>
      <c r="H5040" s="1">
        <v>3.5551340000000002E-6</v>
      </c>
      <c r="I5040">
        <v>214.9359</v>
      </c>
      <c r="J5040">
        <v>-449.2663</v>
      </c>
      <c r="K5040">
        <v>1.1100190000000001</v>
      </c>
      <c r="L5040">
        <v>212.90620000000001</v>
      </c>
      <c r="M5040">
        <v>0.99992029999999998</v>
      </c>
      <c r="N5040">
        <v>0</v>
      </c>
      <c r="O5040">
        <v>9.069311E-3</v>
      </c>
      <c r="P5040">
        <v>0.99856400000000001</v>
      </c>
      <c r="Q5040">
        <v>3.8007899999999997E-2</v>
      </c>
      <c r="R5040">
        <v>-3.7758069999999998E-2</v>
      </c>
      <c r="S5040">
        <v>3.0158999999999998</v>
      </c>
      <c r="T5040">
        <v>-0.1055121</v>
      </c>
      <c r="U5040">
        <v>0.19313050000000001</v>
      </c>
      <c r="V5040">
        <v>4.6812769999999997E-2</v>
      </c>
      <c r="W5040">
        <v>4.6775740000000003E-2</v>
      </c>
      <c r="X5040">
        <v>0.99780789999999997</v>
      </c>
      <c r="Y5040">
        <v>-5.4824919999999999E-2</v>
      </c>
      <c r="Z5040">
        <v>6.4090250000000001E-4</v>
      </c>
      <c r="AA5040">
        <v>0.99849580000000004</v>
      </c>
      <c r="AB5040">
        <v>22</v>
      </c>
      <c r="AC5040">
        <v>31.5017</v>
      </c>
      <c r="AD5040">
        <v>-1.110015444866</v>
      </c>
      <c r="AE5040">
        <v>2.0296999999999898</v>
      </c>
      <c r="AF5040">
        <v>-1.74175312189436</v>
      </c>
      <c r="AG5040">
        <v>-1.110015444866</v>
      </c>
      <c r="AH5040">
        <v>31.479888429135698</v>
      </c>
      <c r="AI5040">
        <v>92.016393940937505</v>
      </c>
      <c r="AJ5040">
        <v>93.166893530577099</v>
      </c>
      <c r="AK5040">
        <v>31.547570647140201</v>
      </c>
      <c r="AL5040">
        <v>87.318969252761306</v>
      </c>
      <c r="AM5040">
        <v>87.313902952193402</v>
      </c>
      <c r="AN5040">
        <v>1.00000000529501</v>
      </c>
    </row>
    <row r="5041" spans="1:40" x14ac:dyDescent="0.25">
      <c r="A5041" t="str">
        <f>"20190312150752727"</f>
        <v>20190312150752727</v>
      </c>
      <c r="B5041" t="str">
        <f>"1552374472715390"</f>
        <v>1552374472715390</v>
      </c>
      <c r="C5041" t="s">
        <v>40</v>
      </c>
      <c r="D5041">
        <v>4.5440750000000003</v>
      </c>
      <c r="E5041">
        <v>0.46207510000000002</v>
      </c>
      <c r="F5041" t="s">
        <v>68</v>
      </c>
      <c r="G5041">
        <v>-417.09660000000002</v>
      </c>
      <c r="H5041" s="1">
        <v>3.4363960000000001E-6</v>
      </c>
      <c r="I5041">
        <v>214.93870000000001</v>
      </c>
      <c r="J5041">
        <v>-449.04880000000003</v>
      </c>
      <c r="K5041">
        <v>1.1100159999999999</v>
      </c>
      <c r="L5041">
        <v>212.90819999999999</v>
      </c>
      <c r="M5041">
        <v>0.99992000000000003</v>
      </c>
      <c r="N5041">
        <v>0</v>
      </c>
      <c r="O5041">
        <v>9.0987849999999999E-3</v>
      </c>
      <c r="P5041">
        <v>0.99858279999999999</v>
      </c>
      <c r="Q5041">
        <v>3.767935E-2</v>
      </c>
      <c r="R5041">
        <v>-3.7585880000000002E-2</v>
      </c>
      <c r="S5041">
        <v>3.0155029999999998</v>
      </c>
      <c r="T5041">
        <v>-0.10405</v>
      </c>
      <c r="U5041">
        <v>0.1905212</v>
      </c>
      <c r="V5041">
        <v>4.6670440000000001E-2</v>
      </c>
      <c r="W5041">
        <v>4.6455650000000001E-2</v>
      </c>
      <c r="X5041">
        <v>0.99782950000000004</v>
      </c>
      <c r="Y5041">
        <v>-5.3944640000000002E-2</v>
      </c>
      <c r="Z5041">
        <v>6.1594359999999997E-4</v>
      </c>
      <c r="AA5041">
        <v>0.99854370000000003</v>
      </c>
      <c r="AB5041">
        <v>22</v>
      </c>
      <c r="AC5041">
        <v>31.952200000000001</v>
      </c>
      <c r="AD5041">
        <v>-1.1100125636039999</v>
      </c>
      <c r="AE5041">
        <v>2.0305000000000102</v>
      </c>
      <c r="AF5041">
        <v>-1.73758993914418</v>
      </c>
      <c r="AG5041">
        <v>-1.1100125636039999</v>
      </c>
      <c r="AH5041">
        <v>31.930972056117401</v>
      </c>
      <c r="AI5041">
        <v>91.988025644816403</v>
      </c>
      <c r="AJ5041">
        <v>93.114796334423005</v>
      </c>
      <c r="AK5041">
        <v>31.997473699286299</v>
      </c>
      <c r="AL5041">
        <v>87.337328961618397</v>
      </c>
      <c r="AM5041">
        <v>87.322115766037498</v>
      </c>
      <c r="AN5041">
        <v>0.99999998422848202</v>
      </c>
    </row>
    <row r="5042" spans="1:40" x14ac:dyDescent="0.25">
      <c r="A5042" t="str">
        <f>"20190312150752749"</f>
        <v>20190312150752749</v>
      </c>
      <c r="B5042" t="str">
        <f>"1552374472744667"</f>
        <v>1552374472744667</v>
      </c>
      <c r="C5042" t="s">
        <v>40</v>
      </c>
      <c r="D5042">
        <v>4.3423809999999996</v>
      </c>
      <c r="E5042">
        <v>0.46217019999999998</v>
      </c>
      <c r="F5042" t="s">
        <v>68</v>
      </c>
      <c r="G5042">
        <v>-415.8836</v>
      </c>
      <c r="H5042" s="1">
        <v>3.2177079999999999E-6</v>
      </c>
      <c r="I5042">
        <v>214.97880000000001</v>
      </c>
      <c r="J5042">
        <v>-448.827</v>
      </c>
      <c r="K5042">
        <v>1.1100159999999999</v>
      </c>
      <c r="L5042">
        <v>212.9102</v>
      </c>
      <c r="M5042">
        <v>0.99991949999999996</v>
      </c>
      <c r="N5042">
        <v>0</v>
      </c>
      <c r="O5042">
        <v>9.1304690000000004E-3</v>
      </c>
      <c r="P5042">
        <v>0.99857530000000005</v>
      </c>
      <c r="Q5042">
        <v>3.7975460000000003E-2</v>
      </c>
      <c r="R5042">
        <v>-3.7488680000000003E-2</v>
      </c>
      <c r="S5042">
        <v>3.0151669999999999</v>
      </c>
      <c r="T5042">
        <v>-0.1009152</v>
      </c>
      <c r="U5042">
        <v>0.18824769999999999</v>
      </c>
      <c r="V5042">
        <v>4.6604340000000001E-2</v>
      </c>
      <c r="W5042">
        <v>4.6760019999999999E-2</v>
      </c>
      <c r="X5042">
        <v>0.99781839999999999</v>
      </c>
      <c r="Y5042">
        <v>-5.3172009999999999E-2</v>
      </c>
      <c r="Z5042">
        <v>5.8350480000000004E-4</v>
      </c>
      <c r="AA5042">
        <v>0.99858519999999995</v>
      </c>
      <c r="AB5042">
        <v>22</v>
      </c>
      <c r="AC5042">
        <v>32.943399999999997</v>
      </c>
      <c r="AD5042">
        <v>-1.1100127822919901</v>
      </c>
      <c r="AE5042">
        <v>2.0686</v>
      </c>
      <c r="AF5042">
        <v>-1.7657166145535399</v>
      </c>
      <c r="AG5042">
        <v>-1.1100127822919901</v>
      </c>
      <c r="AH5042">
        <v>32.923682531206801</v>
      </c>
      <c r="AI5042">
        <v>91.928210913594597</v>
      </c>
      <c r="AJ5042">
        <v>93.069865655953095</v>
      </c>
      <c r="AK5042">
        <v>32.989676490615302</v>
      </c>
      <c r="AL5042">
        <v>87.319870946158503</v>
      </c>
      <c r="AM5042">
        <v>87.325873277733095</v>
      </c>
      <c r="AN5042">
        <v>1.00000001167789</v>
      </c>
    </row>
    <row r="5043" spans="1:40" x14ac:dyDescent="0.25">
      <c r="A5043" t="str">
        <f>"20190312150752773"</f>
        <v>20190312150752773</v>
      </c>
      <c r="B5043" t="str">
        <f>"1552374472765164"</f>
        <v>1552374472765164</v>
      </c>
      <c r="C5043" t="s">
        <v>40</v>
      </c>
      <c r="D5043">
        <v>4.2706249999999999</v>
      </c>
      <c r="E5043">
        <v>0.43262339999999999</v>
      </c>
      <c r="F5043" t="s">
        <v>68</v>
      </c>
      <c r="G5043">
        <v>-413.96460000000002</v>
      </c>
      <c r="H5043" s="1">
        <v>2.8681900000000001E-6</v>
      </c>
      <c r="I5043">
        <v>215.08330000000001</v>
      </c>
      <c r="J5043">
        <v>-448.58179999999999</v>
      </c>
      <c r="K5043">
        <v>1.110015</v>
      </c>
      <c r="L5043">
        <v>212.91249999999999</v>
      </c>
      <c r="M5043">
        <v>0.99991909999999895</v>
      </c>
      <c r="N5043">
        <v>0</v>
      </c>
      <c r="O5043">
        <v>9.1682369999999992E-3</v>
      </c>
      <c r="P5043">
        <v>0.99858469999999999</v>
      </c>
      <c r="Q5043">
        <v>3.7935110000000001E-2</v>
      </c>
      <c r="R5043">
        <v>-3.72778E-2</v>
      </c>
      <c r="S5043">
        <v>3.0149840000000001</v>
      </c>
      <c r="T5043">
        <v>-9.5996620000000005E-2</v>
      </c>
      <c r="U5043">
        <v>0.18792719999999999</v>
      </c>
      <c r="V5043">
        <v>4.6431050000000001E-2</v>
      </c>
      <c r="W5043">
        <v>4.6729529999999998E-2</v>
      </c>
      <c r="X5043">
        <v>0.99782789999999999</v>
      </c>
      <c r="Y5043">
        <v>-5.3034770000000002E-2</v>
      </c>
      <c r="Z5043">
        <v>5.5173180000000002E-4</v>
      </c>
      <c r="AA5043">
        <v>0.99859249999999999</v>
      </c>
      <c r="AB5043">
        <v>22</v>
      </c>
      <c r="AC5043">
        <v>34.617199999999897</v>
      </c>
      <c r="AD5043">
        <v>-1.11001213181</v>
      </c>
      <c r="AE5043">
        <v>2.1708000000000101</v>
      </c>
      <c r="AF5043">
        <v>-1.85142157649602</v>
      </c>
      <c r="AG5043">
        <v>-1.11001213181</v>
      </c>
      <c r="AH5043">
        <v>34.600212040924497</v>
      </c>
      <c r="AI5043">
        <v>91.834857105137701</v>
      </c>
      <c r="AJ5043">
        <v>93.0629169002585</v>
      </c>
      <c r="AK5043">
        <v>34.667485661115002</v>
      </c>
      <c r="AL5043">
        <v>87.321619787486895</v>
      </c>
      <c r="AM5043">
        <v>87.335827520576402</v>
      </c>
      <c r="AN5043">
        <v>1.00000000469826</v>
      </c>
    </row>
    <row r="5044" spans="1:40" x14ac:dyDescent="0.25">
      <c r="A5044" t="str">
        <f>"20190312150752795"</f>
        <v>20190312150752795</v>
      </c>
      <c r="B5044" t="str">
        <f>"1552374472784683"</f>
        <v>1552374472784683</v>
      </c>
      <c r="C5044" t="s">
        <v>40</v>
      </c>
      <c r="D5044">
        <v>4.28064</v>
      </c>
      <c r="E5044">
        <v>0.42732799999999999</v>
      </c>
      <c r="F5044" t="s">
        <v>68</v>
      </c>
      <c r="G5044">
        <v>-431.29149999999998</v>
      </c>
      <c r="H5044" s="1">
        <v>2.7271819999999998E-6</v>
      </c>
      <c r="I5044">
        <v>215.33179999999999</v>
      </c>
      <c r="J5044">
        <v>-448.35890000000001</v>
      </c>
      <c r="K5044">
        <v>1.1100179999999999</v>
      </c>
      <c r="L5044">
        <v>212.91460000000001</v>
      </c>
      <c r="M5044">
        <v>0.99991870000000005</v>
      </c>
      <c r="N5044">
        <v>0</v>
      </c>
      <c r="O5044">
        <v>9.2051149999999998E-3</v>
      </c>
      <c r="P5044">
        <v>0.99861800000000001</v>
      </c>
      <c r="Q5044">
        <v>3.7598050000000001E-2</v>
      </c>
      <c r="R5044">
        <v>-3.6723249999999999E-2</v>
      </c>
      <c r="S5044">
        <v>3.0274350000000001</v>
      </c>
      <c r="T5044">
        <v>-0.1943569</v>
      </c>
      <c r="U5044">
        <v>0.42359920000000001</v>
      </c>
      <c r="V5044">
        <v>4.5913370000000002E-2</v>
      </c>
      <c r="W5044">
        <v>4.6401820000000003E-2</v>
      </c>
      <c r="X5044">
        <v>0.99786719999999896</v>
      </c>
      <c r="Y5044">
        <v>-0.1292056</v>
      </c>
      <c r="Z5044">
        <v>3.5357000000000001E-3</v>
      </c>
      <c r="AA5044">
        <v>0.99161149999999998</v>
      </c>
      <c r="AB5044">
        <v>23</v>
      </c>
      <c r="AC5044">
        <v>17.067399999999999</v>
      </c>
      <c r="AD5044">
        <v>-1.1100152728179999</v>
      </c>
      <c r="AE5044">
        <v>2.4171999999999798</v>
      </c>
      <c r="AF5044">
        <v>-2.25065140153378</v>
      </c>
      <c r="AG5044">
        <v>-1.1100152728179999</v>
      </c>
      <c r="AH5044">
        <v>17.018358982699201</v>
      </c>
      <c r="AI5044">
        <v>93.699684765346106</v>
      </c>
      <c r="AJ5044">
        <v>97.533560578266602</v>
      </c>
      <c r="AK5044">
        <v>17.202386697814099</v>
      </c>
      <c r="AL5044">
        <v>87.340416718474401</v>
      </c>
      <c r="AM5044">
        <v>87.365593065998496</v>
      </c>
      <c r="AN5044">
        <v>1.0000000576399499</v>
      </c>
    </row>
    <row r="5045" spans="1:40" x14ac:dyDescent="0.25">
      <c r="A5045" t="str">
        <f>"20190312150752816"</f>
        <v>20190312150752816</v>
      </c>
      <c r="B5045" t="str">
        <f>"1552374472805183"</f>
        <v>1552374472805183</v>
      </c>
      <c r="C5045" t="s">
        <v>40</v>
      </c>
      <c r="D5045">
        <v>4.2702010000000001</v>
      </c>
      <c r="E5045">
        <v>0.42519129999999999</v>
      </c>
      <c r="F5045" t="s">
        <v>68</v>
      </c>
      <c r="G5045">
        <v>-432.11829999999998</v>
      </c>
      <c r="H5045" s="1">
        <v>3.0860390000000002E-6</v>
      </c>
      <c r="I5045">
        <v>215.42099999999999</v>
      </c>
      <c r="J5045">
        <v>-448.14240000000001</v>
      </c>
      <c r="K5045">
        <v>1.1100179999999999</v>
      </c>
      <c r="L5045">
        <v>212.91659999999999</v>
      </c>
      <c r="M5045">
        <v>0.99991830000000004</v>
      </c>
      <c r="N5045">
        <v>0</v>
      </c>
      <c r="O5045">
        <v>9.2433640000000004E-3</v>
      </c>
      <c r="P5045">
        <v>0.99863000000000002</v>
      </c>
      <c r="Q5045">
        <v>3.7207410000000003E-2</v>
      </c>
      <c r="R5045">
        <v>-3.6792499999999999E-2</v>
      </c>
      <c r="S5045">
        <v>3.0291139999999999</v>
      </c>
      <c r="T5045">
        <v>-0.2070351</v>
      </c>
      <c r="U5045">
        <v>0.4674835</v>
      </c>
      <c r="V5045">
        <v>4.6020709999999999E-2</v>
      </c>
      <c r="W5045">
        <v>4.6020289999999998E-2</v>
      </c>
      <c r="X5045">
        <v>0.99787990000000004</v>
      </c>
      <c r="Y5045">
        <v>-0.1430775</v>
      </c>
      <c r="Z5045">
        <v>4.2279809999999996E-3</v>
      </c>
      <c r="AA5045">
        <v>0.98970250000000004</v>
      </c>
      <c r="AB5045">
        <v>23</v>
      </c>
      <c r="AC5045">
        <v>16.024100000000001</v>
      </c>
      <c r="AD5045">
        <v>-1.110014913961</v>
      </c>
      <c r="AE5045">
        <v>2.5044</v>
      </c>
      <c r="AF5045">
        <v>-2.3451854699179302</v>
      </c>
      <c r="AG5045">
        <v>-1.110014913961</v>
      </c>
      <c r="AH5045">
        <v>15.971751500536801</v>
      </c>
      <c r="AI5045">
        <v>93.933542881130805</v>
      </c>
      <c r="AJ5045">
        <v>98.353239418777406</v>
      </c>
      <c r="AK5045">
        <v>16.1811270927717</v>
      </c>
      <c r="AL5045">
        <v>87.362300091367004</v>
      </c>
      <c r="AM5045">
        <v>87.359476401600503</v>
      </c>
      <c r="AN5045">
        <v>1.0000000338322901</v>
      </c>
    </row>
    <row r="5046" spans="1:40" x14ac:dyDescent="0.25">
      <c r="A5046" t="str">
        <f>"20190312150752838"</f>
        <v>20190312150752838</v>
      </c>
      <c r="B5046" t="str">
        <f>"1552374472835435"</f>
        <v>1552374472835435</v>
      </c>
      <c r="C5046" t="s">
        <v>40</v>
      </c>
      <c r="D5046">
        <v>4.238054</v>
      </c>
      <c r="E5046">
        <v>0.42315730000000001</v>
      </c>
      <c r="F5046" t="s">
        <v>68</v>
      </c>
      <c r="G5046">
        <v>-432.7183</v>
      </c>
      <c r="H5046" s="1">
        <v>3.355564E-6</v>
      </c>
      <c r="I5046">
        <v>215.38130000000001</v>
      </c>
      <c r="J5046">
        <v>-447.92219999999998</v>
      </c>
      <c r="K5046">
        <v>1.1100209999999999</v>
      </c>
      <c r="L5046">
        <v>212.9187</v>
      </c>
      <c r="M5046">
        <v>0.99991799999999997</v>
      </c>
      <c r="N5046">
        <v>0</v>
      </c>
      <c r="O5046">
        <v>9.2861479999999993E-3</v>
      </c>
      <c r="P5046">
        <v>0.99863880000000005</v>
      </c>
      <c r="Q5046">
        <v>3.6921460000000003E-2</v>
      </c>
      <c r="R5046">
        <v>-3.6849229999999997E-2</v>
      </c>
      <c r="S5046">
        <v>3.0300600000000002</v>
      </c>
      <c r="T5046">
        <v>-0.21806220000000001</v>
      </c>
      <c r="U5046">
        <v>0.48419190000000001</v>
      </c>
      <c r="V5046">
        <v>4.6119920000000002E-2</v>
      </c>
      <c r="W5046">
        <v>4.5743529999999998E-2</v>
      </c>
      <c r="X5046">
        <v>0.997888</v>
      </c>
      <c r="Y5046">
        <v>-0.14826689999999901</v>
      </c>
      <c r="Z5046">
        <v>4.6316300000000003E-3</v>
      </c>
      <c r="AA5046">
        <v>0.9889365</v>
      </c>
      <c r="AB5046">
        <v>23</v>
      </c>
      <c r="AC5046">
        <v>15.2038999999999</v>
      </c>
      <c r="AD5046">
        <v>-1.1100176444359999</v>
      </c>
      <c r="AE5046">
        <v>2.4626000000000001</v>
      </c>
      <c r="AF5046">
        <v>-2.30930808027041</v>
      </c>
      <c r="AG5046">
        <v>-1.1100176444359999</v>
      </c>
      <c r="AH5046">
        <v>15.147437372536499</v>
      </c>
      <c r="AI5046">
        <v>94.1434873324569</v>
      </c>
      <c r="AJ5046">
        <v>98.668302114874805</v>
      </c>
      <c r="AK5046">
        <v>15.362613772905799</v>
      </c>
      <c r="AL5046">
        <v>87.378173870594097</v>
      </c>
      <c r="AM5046">
        <v>87.353813575563706</v>
      </c>
      <c r="AN5046">
        <v>0.99999998905083298</v>
      </c>
    </row>
    <row r="5047" spans="1:40" x14ac:dyDescent="0.25">
      <c r="A5047" t="str">
        <f>"20190312150752861"</f>
        <v>20190312150752861</v>
      </c>
      <c r="B5047" t="str">
        <f>"1552374472854956"</f>
        <v>1552374472854956</v>
      </c>
      <c r="C5047" t="s">
        <v>40</v>
      </c>
      <c r="D5047">
        <v>4.2136239999999896</v>
      </c>
      <c r="E5047">
        <v>0.42244510000000002</v>
      </c>
      <c r="F5047" t="s">
        <v>68</v>
      </c>
      <c r="G5047">
        <v>-433.35719999999998</v>
      </c>
      <c r="H5047" s="1">
        <v>3.6440819999999999E-6</v>
      </c>
      <c r="I5047">
        <v>215.3219</v>
      </c>
      <c r="J5047">
        <v>-447.68900000000002</v>
      </c>
      <c r="K5047">
        <v>1.1100289999999999</v>
      </c>
      <c r="L5047">
        <v>212.92089999999999</v>
      </c>
      <c r="M5047">
        <v>0.99991739999999996</v>
      </c>
      <c r="N5047">
        <v>0</v>
      </c>
      <c r="O5047">
        <v>9.3381820000000004E-3</v>
      </c>
      <c r="P5047">
        <v>0.99863780000000002</v>
      </c>
      <c r="Q5047">
        <v>3.6521959999999999E-2</v>
      </c>
      <c r="R5047">
        <v>-3.726985E-2</v>
      </c>
      <c r="S5047">
        <v>3.0310969999999999</v>
      </c>
      <c r="T5047">
        <v>-0.2310036</v>
      </c>
      <c r="U5047">
        <v>0.50012209999999901</v>
      </c>
      <c r="V5047">
        <v>4.6592160000000001E-2</v>
      </c>
      <c r="W5047">
        <v>4.5353409999999997E-2</v>
      </c>
      <c r="X5047">
        <v>0.99788390000000005</v>
      </c>
      <c r="Y5047">
        <v>-0.153169</v>
      </c>
      <c r="Z5047">
        <v>5.0834019999999999E-3</v>
      </c>
      <c r="AA5047">
        <v>0.98818700000000004</v>
      </c>
      <c r="AB5047">
        <v>23</v>
      </c>
      <c r="AC5047">
        <v>14.331799999999999</v>
      </c>
      <c r="AD5047">
        <v>-1.110025355918</v>
      </c>
      <c r="AE5047">
        <v>2.40100000000001</v>
      </c>
      <c r="AF5047">
        <v>-2.2539055165850801</v>
      </c>
      <c r="AG5047">
        <v>-1.110025355918</v>
      </c>
      <c r="AH5047">
        <v>14.270329078315401</v>
      </c>
      <c r="AI5047">
        <v>94.393580668929701</v>
      </c>
      <c r="AJ5047">
        <v>98.975351757369296</v>
      </c>
      <c r="AK5047">
        <v>14.489808086095801</v>
      </c>
      <c r="AL5047">
        <v>87.400549402572494</v>
      </c>
      <c r="AM5047">
        <v>87.326746370495002</v>
      </c>
      <c r="AN5047">
        <v>1.00000001952565</v>
      </c>
    </row>
    <row r="5048" spans="1:40" x14ac:dyDescent="0.25">
      <c r="A5048" t="str">
        <f>"20190312150752875"</f>
        <v>20190312150752875</v>
      </c>
      <c r="B5048" t="str">
        <f>"1552374472864715"</f>
        <v>1552374472864715</v>
      </c>
      <c r="C5048" t="s">
        <v>40</v>
      </c>
      <c r="D5048">
        <v>4.2060690000000003</v>
      </c>
      <c r="E5048">
        <v>0.42212749999999999</v>
      </c>
      <c r="F5048" t="s">
        <v>68</v>
      </c>
      <c r="G5048">
        <v>-433.15460000000002</v>
      </c>
      <c r="H5048" s="1">
        <v>3.5526620000000001E-6</v>
      </c>
      <c r="I5048">
        <v>215.34010000000001</v>
      </c>
      <c r="J5048">
        <v>-447.54790000000003</v>
      </c>
      <c r="K5048">
        <v>1.1100319999999999</v>
      </c>
      <c r="L5048">
        <v>212.92230000000001</v>
      </c>
      <c r="M5048">
        <v>0.99991699999999994</v>
      </c>
      <c r="N5048">
        <v>0</v>
      </c>
      <c r="O5048">
        <v>9.3747299999999995E-3</v>
      </c>
      <c r="P5048">
        <v>0.99862759999999995</v>
      </c>
      <c r="Q5048">
        <v>3.6633119999999998E-2</v>
      </c>
      <c r="R5048">
        <v>-3.7433250000000001E-2</v>
      </c>
      <c r="S5048">
        <v>3.0313720000000002</v>
      </c>
      <c r="T5048">
        <v>-0.2315141</v>
      </c>
      <c r="U5048">
        <v>0.50456239999999997</v>
      </c>
      <c r="V5048">
        <v>4.6791590000000001E-2</v>
      </c>
      <c r="W5048">
        <v>4.5470599999999903E-2</v>
      </c>
      <c r="X5048">
        <v>0.99786920000000001</v>
      </c>
      <c r="Y5048">
        <v>-0.15452179999999999</v>
      </c>
      <c r="Z5048">
        <v>5.1420110000000002E-3</v>
      </c>
      <c r="AA5048">
        <v>0.98797599999999997</v>
      </c>
      <c r="AB5048">
        <v>23</v>
      </c>
      <c r="AC5048">
        <v>14.3933</v>
      </c>
      <c r="AD5048">
        <v>-1.110028447338</v>
      </c>
      <c r="AE5048">
        <v>2.4178000000000002</v>
      </c>
      <c r="AF5048">
        <v>-2.2696266206466702</v>
      </c>
      <c r="AG5048">
        <v>-1.110028447338</v>
      </c>
      <c r="AH5048">
        <v>14.332429273264401</v>
      </c>
      <c r="AI5048">
        <v>94.374352793707899</v>
      </c>
      <c r="AJ5048">
        <v>98.998412116873197</v>
      </c>
      <c r="AK5048">
        <v>14.553415304462799</v>
      </c>
      <c r="AL5048">
        <v>87.393827884311307</v>
      </c>
      <c r="AM5048">
        <v>87.315281166454994</v>
      </c>
      <c r="AN5048">
        <v>0.99999998433386394</v>
      </c>
    </row>
    <row r="5049" spans="1:40" x14ac:dyDescent="0.25">
      <c r="A5049" t="str">
        <f>"20190312150752894"</f>
        <v>20190312150752894</v>
      </c>
      <c r="B5049" t="str">
        <f>"1552374472885215"</f>
        <v>1552374472885215</v>
      </c>
      <c r="C5049" t="s">
        <v>40</v>
      </c>
      <c r="D5049">
        <v>4.3089589999999998</v>
      </c>
      <c r="E5049">
        <v>0.42183310000000002</v>
      </c>
      <c r="F5049" t="s">
        <v>68</v>
      </c>
      <c r="G5049">
        <v>-433.05900000000003</v>
      </c>
      <c r="H5049" s="1">
        <v>3.5099419999999999E-6</v>
      </c>
      <c r="I5049">
        <v>215.34379999999999</v>
      </c>
      <c r="J5049">
        <v>-447.34059999999999</v>
      </c>
      <c r="K5049">
        <v>1.1100350000000001</v>
      </c>
      <c r="L5049">
        <v>212.92429999999999</v>
      </c>
      <c r="M5049">
        <v>0.99991620000000003</v>
      </c>
      <c r="N5049">
        <v>0</v>
      </c>
      <c r="O5049">
        <v>9.4356830000000003E-3</v>
      </c>
      <c r="P5049">
        <v>0.99863449999999998</v>
      </c>
      <c r="Q5049">
        <v>3.629868E-2</v>
      </c>
      <c r="R5049">
        <v>-3.7570060000000002E-2</v>
      </c>
      <c r="S5049">
        <v>3.0316770000000002</v>
      </c>
      <c r="T5049">
        <v>-0.2322651</v>
      </c>
      <c r="U5049">
        <v>0.50668329999999995</v>
      </c>
      <c r="V5049">
        <v>4.6988639999999998E-2</v>
      </c>
      <c r="W5049">
        <v>4.5143830000000003E-2</v>
      </c>
      <c r="X5049">
        <v>0.99787479999999995</v>
      </c>
      <c r="Y5049">
        <v>-0.1551139</v>
      </c>
      <c r="Z5049">
        <v>5.1757030000000002E-3</v>
      </c>
      <c r="AA5049">
        <v>0.98788299999999996</v>
      </c>
      <c r="AB5049">
        <v>23</v>
      </c>
      <c r="AC5049">
        <v>14.2815999999999</v>
      </c>
      <c r="AD5049">
        <v>-1.1100314900579999</v>
      </c>
      <c r="AE5049">
        <v>2.4195000000000002</v>
      </c>
      <c r="AF5049">
        <v>-2.27129203279801</v>
      </c>
      <c r="AG5049">
        <v>-1.1100314900579999</v>
      </c>
      <c r="AH5049">
        <v>14.220285185051599</v>
      </c>
      <c r="AI5049">
        <v>94.407796062186904</v>
      </c>
      <c r="AJ5049">
        <v>99.074744200646407</v>
      </c>
      <c r="AK5049">
        <v>14.4432492241659</v>
      </c>
      <c r="AL5049">
        <v>87.412569731369203</v>
      </c>
      <c r="AM5049">
        <v>87.3040069599693</v>
      </c>
      <c r="AN5049">
        <v>1.0000000070755699</v>
      </c>
    </row>
    <row r="5050" spans="1:40" x14ac:dyDescent="0.25">
      <c r="A5050" t="str">
        <f>"20190312150752917"</f>
        <v>20190312150752917</v>
      </c>
      <c r="B5050" t="str">
        <f>"1552374472904731"</f>
        <v>1552374472904731</v>
      </c>
      <c r="C5050" t="s">
        <v>40</v>
      </c>
      <c r="D5050">
        <v>4.1795869999999997</v>
      </c>
      <c r="E5050">
        <v>0.42171189999999997</v>
      </c>
      <c r="F5050" t="s">
        <v>68</v>
      </c>
      <c r="G5050">
        <v>-432.90839999999997</v>
      </c>
      <c r="H5050" s="1">
        <v>3.4429309999999999E-6</v>
      </c>
      <c r="I5050">
        <v>215.346</v>
      </c>
      <c r="J5050">
        <v>-447.12220000000002</v>
      </c>
      <c r="K5050">
        <v>1.110039</v>
      </c>
      <c r="L5050">
        <v>212.9264</v>
      </c>
      <c r="M5050">
        <v>0.99991560000000002</v>
      </c>
      <c r="N5050">
        <v>0</v>
      </c>
      <c r="O5050">
        <v>9.5102629999999997E-3</v>
      </c>
      <c r="P5050">
        <v>0.99863539999999995</v>
      </c>
      <c r="Q5050">
        <v>3.6450719999999999E-2</v>
      </c>
      <c r="R5050">
        <v>-3.7398269999999997E-2</v>
      </c>
      <c r="S5050">
        <v>3.0317379999999998</v>
      </c>
      <c r="T5050">
        <v>-0.2331809</v>
      </c>
      <c r="U5050">
        <v>0.50872799999999996</v>
      </c>
      <c r="V5050">
        <v>4.6890429999999997E-2</v>
      </c>
      <c r="W5050">
        <v>4.5300060000000003E-2</v>
      </c>
      <c r="X5050">
        <v>0.99787239999999999</v>
      </c>
      <c r="Y5050">
        <v>-0.1556804</v>
      </c>
      <c r="Z5050">
        <v>5.2115809999999999E-3</v>
      </c>
      <c r="AA5050">
        <v>0.9877937</v>
      </c>
      <c r="AB5050">
        <v>23</v>
      </c>
      <c r="AC5050">
        <v>14.213800000000001</v>
      </c>
      <c r="AD5050">
        <v>-1.1100355570689999</v>
      </c>
      <c r="AE5050">
        <v>2.4195999999999702</v>
      </c>
      <c r="AF5050">
        <v>-2.2708485922926198</v>
      </c>
      <c r="AG5050">
        <v>-1.1100355570689999</v>
      </c>
      <c r="AH5050">
        <v>14.1522860879859</v>
      </c>
      <c r="AI5050">
        <v>94.428399983375698</v>
      </c>
      <c r="AJ5050">
        <v>99.115865772741898</v>
      </c>
      <c r="AK5050">
        <v>14.376235035059601</v>
      </c>
      <c r="AL5050">
        <v>87.403609401294503</v>
      </c>
      <c r="AM5050">
        <v>87.309627051382805</v>
      </c>
      <c r="AN5050">
        <v>1.00000006727167</v>
      </c>
    </row>
    <row r="5051" spans="1:40" x14ac:dyDescent="0.25">
      <c r="A5051" t="str">
        <f>"20190312150752939"</f>
        <v>20190312150752939</v>
      </c>
      <c r="B5051" t="str">
        <f>"1552374472934988"</f>
        <v>1552374472934988</v>
      </c>
      <c r="C5051" t="s">
        <v>40</v>
      </c>
      <c r="D5051">
        <v>4.2222030000000004</v>
      </c>
      <c r="E5051">
        <v>0.4212552</v>
      </c>
      <c r="F5051" t="s">
        <v>68</v>
      </c>
      <c r="G5051">
        <v>-432.71210000000002</v>
      </c>
      <c r="H5051" s="1">
        <v>3.3554070000000001E-6</v>
      </c>
      <c r="I5051">
        <v>215.35169999999999</v>
      </c>
      <c r="J5051">
        <v>-446.88740000000001</v>
      </c>
      <c r="K5051">
        <v>1.110039</v>
      </c>
      <c r="L5051">
        <v>212.9288</v>
      </c>
      <c r="M5051">
        <v>0.99991459999999999</v>
      </c>
      <c r="N5051">
        <v>0</v>
      </c>
      <c r="O5051">
        <v>9.6023470000000007E-3</v>
      </c>
      <c r="P5051">
        <v>0.9986488</v>
      </c>
      <c r="Q5051">
        <v>3.6379509999999997E-2</v>
      </c>
      <c r="R5051">
        <v>-3.7111860000000003E-2</v>
      </c>
      <c r="S5051">
        <v>3.0317080000000001</v>
      </c>
      <c r="T5051">
        <v>-0.23353850000000001</v>
      </c>
      <c r="U5051">
        <v>0.51023859999999999</v>
      </c>
      <c r="V5051">
        <v>4.6694899999999998E-2</v>
      </c>
      <c r="W5051">
        <v>4.5226700000000002E-2</v>
      </c>
      <c r="X5051">
        <v>0.99788480000000002</v>
      </c>
      <c r="Y5051">
        <v>-0.1560676</v>
      </c>
      <c r="Z5051">
        <v>5.2271490000000004E-3</v>
      </c>
      <c r="AA5051">
        <v>0.98773250000000001</v>
      </c>
      <c r="AB5051">
        <v>23</v>
      </c>
      <c r="AC5051">
        <v>14.175299999999901</v>
      </c>
      <c r="AD5051">
        <v>-1.110035644593</v>
      </c>
      <c r="AE5051">
        <v>2.4228999999999901</v>
      </c>
      <c r="AF5051">
        <v>-2.2731234346295999</v>
      </c>
      <c r="AG5051">
        <v>-1.110035644593</v>
      </c>
      <c r="AH5051">
        <v>14.1138221799339</v>
      </c>
      <c r="AI5051">
        <v>94.440005936627003</v>
      </c>
      <c r="AJ5051">
        <v>99.149291704239204</v>
      </c>
      <c r="AK5051">
        <v>14.3387323640593</v>
      </c>
      <c r="AL5051">
        <v>87.407816682215895</v>
      </c>
      <c r="AM5051">
        <v>87.3208625924252</v>
      </c>
      <c r="AN5051">
        <v>0.99999997107496896</v>
      </c>
    </row>
    <row r="5052" spans="1:40" x14ac:dyDescent="0.25">
      <c r="A5052" t="str">
        <f>"20190312150752963"</f>
        <v>20190312150752963</v>
      </c>
      <c r="B5052" t="str">
        <f>"1552374472954508"</f>
        <v>1552374472954508</v>
      </c>
      <c r="C5052" t="s">
        <v>40</v>
      </c>
      <c r="D5052">
        <v>4.204326</v>
      </c>
      <c r="E5052">
        <v>0.42089759999999998</v>
      </c>
      <c r="F5052" t="s">
        <v>68</v>
      </c>
      <c r="G5052">
        <v>-432.48390000000001</v>
      </c>
      <c r="H5052" s="1">
        <v>3.2521479999999998E-6</v>
      </c>
      <c r="I5052">
        <v>215.37530000000001</v>
      </c>
      <c r="J5052">
        <v>-446.65120000000002</v>
      </c>
      <c r="K5052">
        <v>1.1100490000000001</v>
      </c>
      <c r="L5052">
        <v>212.93119999999999</v>
      </c>
      <c r="M5052">
        <v>0.99991379999999996</v>
      </c>
      <c r="N5052">
        <v>0</v>
      </c>
      <c r="O5052">
        <v>9.7076990000000002E-3</v>
      </c>
      <c r="P5052">
        <v>0.99869719999999995</v>
      </c>
      <c r="Q5052">
        <v>3.6032580000000002E-2</v>
      </c>
      <c r="R5052">
        <v>-3.6136889999999998E-2</v>
      </c>
      <c r="S5052">
        <v>3.0317379999999998</v>
      </c>
      <c r="T5052">
        <v>-0.2336481</v>
      </c>
      <c r="U5052">
        <v>0.51495360000000001</v>
      </c>
      <c r="V5052">
        <v>4.5824709999999998E-2</v>
      </c>
      <c r="W5052">
        <v>4.4868959999999999E-2</v>
      </c>
      <c r="X5052">
        <v>0.99794130000000003</v>
      </c>
      <c r="Y5052">
        <v>-0.15745129999999999</v>
      </c>
      <c r="Z5052">
        <v>5.2736869999999896E-3</v>
      </c>
      <c r="AA5052">
        <v>0.98751259999999996</v>
      </c>
      <c r="AB5052">
        <v>23</v>
      </c>
      <c r="AC5052">
        <v>14.167299999999999</v>
      </c>
      <c r="AD5052">
        <v>-1.1100457478520001</v>
      </c>
      <c r="AE5052">
        <v>2.4441000000000201</v>
      </c>
      <c r="AF5052">
        <v>-2.29277868844517</v>
      </c>
      <c r="AG5052">
        <v>-1.1100457478520001</v>
      </c>
      <c r="AH5052">
        <v>14.106262476427</v>
      </c>
      <c r="AI5052">
        <v>94.441383987382693</v>
      </c>
      <c r="AJ5052">
        <v>99.231908519644804</v>
      </c>
      <c r="AK5052">
        <v>14.334422790275299</v>
      </c>
      <c r="AL5052">
        <v>87.428334534647902</v>
      </c>
      <c r="AM5052">
        <v>87.370867994527501</v>
      </c>
      <c r="AN5052">
        <v>0.99999998293187697</v>
      </c>
    </row>
    <row r="5053" spans="1:40" x14ac:dyDescent="0.25">
      <c r="A5053" t="str">
        <f>"20190312150752987"</f>
        <v>20190312150752987</v>
      </c>
      <c r="B5053" t="str">
        <f>"1552374472975004"</f>
        <v>1552374472975004</v>
      </c>
      <c r="C5053" t="s">
        <v>40</v>
      </c>
      <c r="D5053">
        <v>4.2247760000000003</v>
      </c>
      <c r="E5053">
        <v>0.42044199999999998</v>
      </c>
      <c r="F5053" t="s">
        <v>68</v>
      </c>
      <c r="G5053">
        <v>-432.27260000000001</v>
      </c>
      <c r="H5053" s="1">
        <v>3.1561920000000002E-6</v>
      </c>
      <c r="I5053">
        <v>215.40110000000001</v>
      </c>
      <c r="J5053">
        <v>-446.40449999999998</v>
      </c>
      <c r="K5053">
        <v>1.110047</v>
      </c>
      <c r="L5053">
        <v>212.93369999999999</v>
      </c>
      <c r="M5053">
        <v>0.99991280000000005</v>
      </c>
      <c r="N5053">
        <v>0</v>
      </c>
      <c r="O5053">
        <v>9.8318160000000002E-3</v>
      </c>
      <c r="P5053">
        <v>0.99871160000000003</v>
      </c>
      <c r="Q5053">
        <v>3.6402900000000002E-2</v>
      </c>
      <c r="R5053">
        <v>-3.5359210000000002E-2</v>
      </c>
      <c r="S5053">
        <v>3.0311889999999999</v>
      </c>
      <c r="T5053">
        <v>-0.2340122</v>
      </c>
      <c r="U5053">
        <v>0.52070620000000001</v>
      </c>
      <c r="V5053">
        <v>4.5170259999999997E-2</v>
      </c>
      <c r="W5053">
        <v>4.5214320000000002E-2</v>
      </c>
      <c r="X5053">
        <v>0.99795560000000005</v>
      </c>
      <c r="Y5053">
        <v>-0.15917300000000001</v>
      </c>
      <c r="Z5053">
        <v>5.3383780000000004E-3</v>
      </c>
      <c r="AA5053">
        <v>0.98723629999999996</v>
      </c>
      <c r="AB5053">
        <v>23</v>
      </c>
      <c r="AC5053">
        <v>14.1318999999999</v>
      </c>
      <c r="AD5053">
        <v>-1.110043843808</v>
      </c>
      <c r="AE5053">
        <v>2.46740000000002</v>
      </c>
      <c r="AF5053">
        <v>-2.3144754195028501</v>
      </c>
      <c r="AG5053">
        <v>-1.110043843808</v>
      </c>
      <c r="AH5053">
        <v>14.071226911698</v>
      </c>
      <c r="AI5053">
        <v>94.451015961771006</v>
      </c>
      <c r="AJ5053">
        <v>99.340537160173</v>
      </c>
      <c r="AK5053">
        <v>14.303440865860001</v>
      </c>
      <c r="AL5053">
        <v>87.408526891830107</v>
      </c>
      <c r="AM5053">
        <v>87.4084017171471</v>
      </c>
      <c r="AN5053">
        <v>1.0000000333464401</v>
      </c>
    </row>
    <row r="5054" spans="1:40" x14ac:dyDescent="0.25">
      <c r="A5054" t="str">
        <f>"20190312150753008"</f>
        <v>20190312150753008</v>
      </c>
      <c r="B5054" t="str">
        <f>"1552374473005260"</f>
        <v>1552374473005260</v>
      </c>
      <c r="C5054" t="s">
        <v>40</v>
      </c>
      <c r="D5054">
        <v>4.2104030000000003</v>
      </c>
      <c r="E5054">
        <v>0.42006670000000002</v>
      </c>
      <c r="F5054" t="s">
        <v>68</v>
      </c>
      <c r="G5054">
        <v>-432.0985</v>
      </c>
      <c r="H5054" s="1">
        <v>3.077423E-6</v>
      </c>
      <c r="I5054">
        <v>215.4188</v>
      </c>
      <c r="J5054">
        <v>-446.18380000000002</v>
      </c>
      <c r="K5054">
        <v>1.1100429999999999</v>
      </c>
      <c r="L5054">
        <v>212.93600000000001</v>
      </c>
      <c r="M5054">
        <v>0.99991180000000002</v>
      </c>
      <c r="N5054">
        <v>0</v>
      </c>
      <c r="O5054">
        <v>9.9541590000000006E-3</v>
      </c>
      <c r="P5054">
        <v>0.99874649999999998</v>
      </c>
      <c r="Q5054">
        <v>3.6067979999999999E-2</v>
      </c>
      <c r="R5054">
        <v>-3.4708219999999998E-2</v>
      </c>
      <c r="S5054">
        <v>3.0310969999999999</v>
      </c>
      <c r="T5054">
        <v>-0.2351917</v>
      </c>
      <c r="U5054">
        <v>0.52653499999999998</v>
      </c>
      <c r="V5054">
        <v>4.4641019999999997E-2</v>
      </c>
      <c r="W5054">
        <v>4.48461E-2</v>
      </c>
      <c r="X5054">
        <v>0.99799599999999999</v>
      </c>
      <c r="Y5054">
        <v>-0.1608916</v>
      </c>
      <c r="Z5054">
        <v>5.4211769999999897E-3</v>
      </c>
      <c r="AA5054">
        <v>0.98695719999999998</v>
      </c>
      <c r="AB5054">
        <v>23</v>
      </c>
      <c r="AC5054">
        <v>14.0853</v>
      </c>
      <c r="AD5054">
        <v>-1.1100399225769999</v>
      </c>
      <c r="AE5054">
        <v>2.4828000000000201</v>
      </c>
      <c r="AF5054">
        <v>-2.3284386508772701</v>
      </c>
      <c r="AG5054">
        <v>-1.1100399225769999</v>
      </c>
      <c r="AH5054">
        <v>14.0248371569201</v>
      </c>
      <c r="AI5054">
        <v>94.464561955746007</v>
      </c>
      <c r="AJ5054">
        <v>99.426408437160504</v>
      </c>
      <c r="AK5054">
        <v>14.2600796792564</v>
      </c>
      <c r="AL5054">
        <v>87.429645691899907</v>
      </c>
      <c r="AM5054">
        <v>87.438829200261495</v>
      </c>
      <c r="AN5054">
        <v>1.0000000046839199</v>
      </c>
    </row>
    <row r="5055" spans="1:40" x14ac:dyDescent="0.25">
      <c r="A5055" t="str">
        <f>"20190312150753028"</f>
        <v>20190312150753028</v>
      </c>
      <c r="B5055" t="str">
        <f>"1552374473024779"</f>
        <v>1552374473024779</v>
      </c>
      <c r="C5055" t="s">
        <v>40</v>
      </c>
      <c r="D5055">
        <v>4.2533690000000002</v>
      </c>
      <c r="E5055">
        <v>0.41979739999999999</v>
      </c>
      <c r="F5055" t="s">
        <v>68</v>
      </c>
      <c r="G5055">
        <v>-431.91370000000001</v>
      </c>
      <c r="H5055" s="1">
        <v>2.9936800000000001E-6</v>
      </c>
      <c r="I5055">
        <v>215.4391</v>
      </c>
      <c r="J5055">
        <v>-445.96809999999999</v>
      </c>
      <c r="K5055">
        <v>1.1100429999999999</v>
      </c>
      <c r="L5055">
        <v>212.9383</v>
      </c>
      <c r="M5055">
        <v>0.99991099999999999</v>
      </c>
      <c r="N5055">
        <v>0</v>
      </c>
      <c r="O5055">
        <v>1.008068E-2</v>
      </c>
      <c r="P5055">
        <v>0.9987625</v>
      </c>
      <c r="Q5055">
        <v>3.581869E-2</v>
      </c>
      <c r="R5055">
        <v>-3.4500070000000001E-2</v>
      </c>
      <c r="S5055">
        <v>3.0307620000000002</v>
      </c>
      <c r="T5055">
        <v>-0.23575499999999999</v>
      </c>
      <c r="U5055">
        <v>0.53163149999999904</v>
      </c>
      <c r="V5055">
        <v>4.4558920000000002E-2</v>
      </c>
      <c r="W5055">
        <v>4.4557899999999998E-2</v>
      </c>
      <c r="X5055">
        <v>0.99801260000000003</v>
      </c>
      <c r="Y5055">
        <v>-0.16238949999999999</v>
      </c>
      <c r="Z5055">
        <v>5.4819250000000003E-3</v>
      </c>
      <c r="AA5055">
        <v>0.98671149999999996</v>
      </c>
      <c r="AB5055">
        <v>23</v>
      </c>
      <c r="AC5055">
        <v>14.0543999999999</v>
      </c>
      <c r="AD5055">
        <v>-1.11004000632</v>
      </c>
      <c r="AE5055">
        <v>2.5007999999999901</v>
      </c>
      <c r="AF5055">
        <v>-2.3448113310459799</v>
      </c>
      <c r="AG5055">
        <v>-1.11004000632</v>
      </c>
      <c r="AH5055">
        <v>13.9942779452252</v>
      </c>
      <c r="AI5055">
        <v>94.473163951367297</v>
      </c>
      <c r="AJ5055">
        <v>99.511837556930701</v>
      </c>
      <c r="AK5055">
        <v>14.232713873399099</v>
      </c>
      <c r="AL5055">
        <v>87.446174915123805</v>
      </c>
      <c r="AM5055">
        <v>87.443575700232302</v>
      </c>
      <c r="AN5055">
        <v>1.00000002678136</v>
      </c>
    </row>
    <row r="5056" spans="1:40" x14ac:dyDescent="0.25">
      <c r="A5056" t="str">
        <f>"20190312150753041"</f>
        <v>20190312150753041</v>
      </c>
      <c r="B5056" t="str">
        <f>"1552374473034540"</f>
        <v>1552374473034540</v>
      </c>
      <c r="C5056" t="s">
        <v>40</v>
      </c>
      <c r="D5056">
        <v>4.231287</v>
      </c>
      <c r="E5056">
        <v>0.419763</v>
      </c>
      <c r="F5056" t="s">
        <v>68</v>
      </c>
      <c r="G5056">
        <v>-431.69110000000001</v>
      </c>
      <c r="H5056" s="1">
        <v>2.8935389999999999E-6</v>
      </c>
      <c r="I5056">
        <v>215.45580000000001</v>
      </c>
      <c r="J5056">
        <v>-445.8279</v>
      </c>
      <c r="K5056">
        <v>1.110039</v>
      </c>
      <c r="L5056">
        <v>212.93979999999999</v>
      </c>
      <c r="M5056">
        <v>0.99991039999999998</v>
      </c>
      <c r="N5056">
        <v>0</v>
      </c>
      <c r="O5056">
        <v>1.0166059999999999E-2</v>
      </c>
      <c r="P5056">
        <v>0.99876620000000005</v>
      </c>
      <c r="Q5056">
        <v>3.5718199999999999E-2</v>
      </c>
      <c r="R5056">
        <v>-3.4505399999999999E-2</v>
      </c>
      <c r="S5056">
        <v>3.03064</v>
      </c>
      <c r="T5056">
        <v>-0.23563249999999999</v>
      </c>
      <c r="U5056">
        <v>0.53440859999999901</v>
      </c>
      <c r="V5056">
        <v>4.4649269999999998E-2</v>
      </c>
      <c r="W5056">
        <v>4.4429749999999997E-2</v>
      </c>
      <c r="X5056">
        <v>0.99801430000000002</v>
      </c>
      <c r="Y5056">
        <v>-0.16318740000000001</v>
      </c>
      <c r="Z5056">
        <v>5.5030319999999997E-3</v>
      </c>
      <c r="AA5056">
        <v>0.98657969999999895</v>
      </c>
      <c r="AB5056">
        <v>23</v>
      </c>
      <c r="AC5056">
        <v>14.1367999999999</v>
      </c>
      <c r="AD5056">
        <v>-1.110036106461</v>
      </c>
      <c r="AE5056">
        <v>2.51600000000002</v>
      </c>
      <c r="AF5056">
        <v>-2.3580566229214299</v>
      </c>
      <c r="AG5056">
        <v>-1.110036106461</v>
      </c>
      <c r="AH5056">
        <v>14.077517381402901</v>
      </c>
      <c r="AI5056">
        <v>94.4468412506085</v>
      </c>
      <c r="AJ5056">
        <v>99.5090588294361</v>
      </c>
      <c r="AK5056">
        <v>14.3167421859252</v>
      </c>
      <c r="AL5056">
        <v>87.453524710803507</v>
      </c>
      <c r="AM5056">
        <v>87.438403415641602</v>
      </c>
      <c r="AN5056">
        <v>1.0000000515005401</v>
      </c>
    </row>
    <row r="5057" spans="1:40" x14ac:dyDescent="0.25">
      <c r="A5057" t="str">
        <f>"20190312150753062"</f>
        <v>20190312150753062</v>
      </c>
      <c r="B5057" t="str">
        <f>"1552374473055036"</f>
        <v>1552374473055036</v>
      </c>
      <c r="C5057" t="s">
        <v>40</v>
      </c>
      <c r="D5057">
        <v>4.2600360000000004</v>
      </c>
      <c r="E5057">
        <v>0.41962179999999999</v>
      </c>
      <c r="F5057" t="s">
        <v>68</v>
      </c>
      <c r="G5057">
        <v>-431.56740000000002</v>
      </c>
      <c r="H5057" s="1">
        <v>2.8387379999999998E-6</v>
      </c>
      <c r="I5057">
        <v>215.45519999999999</v>
      </c>
      <c r="J5057">
        <v>-445.61180000000002</v>
      </c>
      <c r="K5057">
        <v>1.110028</v>
      </c>
      <c r="L5057">
        <v>212.94210000000001</v>
      </c>
      <c r="M5057">
        <v>0.99990939999999995</v>
      </c>
      <c r="N5057">
        <v>0</v>
      </c>
      <c r="O5057">
        <v>1.030213E-2</v>
      </c>
      <c r="P5057">
        <v>0.99876589999999998</v>
      </c>
      <c r="Q5057">
        <v>3.5759949999999999E-2</v>
      </c>
      <c r="R5057">
        <v>-3.446929E-2</v>
      </c>
      <c r="S5057">
        <v>3.0306090000000001</v>
      </c>
      <c r="T5057">
        <v>-0.23590320000000001</v>
      </c>
      <c r="U5057">
        <v>0.53457639999999995</v>
      </c>
      <c r="V5057">
        <v>4.4748629999999998E-2</v>
      </c>
      <c r="W5057">
        <v>4.4427380000000002E-2</v>
      </c>
      <c r="X5057">
        <v>0.99800990000000001</v>
      </c>
      <c r="Y5057">
        <v>-0.16310749999999999</v>
      </c>
      <c r="Z5057">
        <v>5.4957919999999898E-3</v>
      </c>
      <c r="AA5057">
        <v>0.98659300000000005</v>
      </c>
      <c r="AB5057">
        <v>23</v>
      </c>
      <c r="AC5057">
        <v>14.0443999999999</v>
      </c>
      <c r="AD5057">
        <v>-1.110025161262</v>
      </c>
      <c r="AE5057">
        <v>2.5130999999999801</v>
      </c>
      <c r="AF5057">
        <v>-2.3540250216167999</v>
      </c>
      <c r="AG5057">
        <v>-1.110025161262</v>
      </c>
      <c r="AH5057">
        <v>13.9848951724074</v>
      </c>
      <c r="AI5057">
        <v>94.4755317531571</v>
      </c>
      <c r="AJ5057">
        <v>99.554814676015795</v>
      </c>
      <c r="AK5057">
        <v>14.225009056034301</v>
      </c>
      <c r="AL5057">
        <v>87.453660495204701</v>
      </c>
      <c r="AM5057">
        <v>87.432699296169403</v>
      </c>
      <c r="AN5057">
        <v>0.99999999623927505</v>
      </c>
    </row>
    <row r="5058" spans="1:40" x14ac:dyDescent="0.25">
      <c r="A5058" t="str">
        <f>"20190312150753086"</f>
        <v>20190312150753086</v>
      </c>
      <c r="B5058" t="str">
        <f>"1552374473074556"</f>
        <v>1552374473074556</v>
      </c>
      <c r="C5058" t="s">
        <v>40</v>
      </c>
      <c r="D5058">
        <v>4.1893289999999999</v>
      </c>
      <c r="E5058">
        <v>0.39500629999999998</v>
      </c>
      <c r="F5058" t="s">
        <v>68</v>
      </c>
      <c r="G5058">
        <v>-431.38200000000001</v>
      </c>
      <c r="H5058" s="1">
        <v>2.7563260000000001E-6</v>
      </c>
      <c r="I5058">
        <v>215.45750000000001</v>
      </c>
      <c r="J5058">
        <v>-445.37049999999999</v>
      </c>
      <c r="K5058">
        <v>1.1100219999999901</v>
      </c>
      <c r="L5058">
        <v>212.94479999999999</v>
      </c>
      <c r="M5058">
        <v>0.99990829999999997</v>
      </c>
      <c r="N5058">
        <v>0</v>
      </c>
      <c r="O5058">
        <v>1.0458729999999999E-2</v>
      </c>
      <c r="P5058">
        <v>0.99875119999999895</v>
      </c>
      <c r="Q5058">
        <v>3.5759510000000001E-2</v>
      </c>
      <c r="R5058">
        <v>-3.489627E-2</v>
      </c>
      <c r="S5058">
        <v>3.03064</v>
      </c>
      <c r="T5058">
        <v>-0.23641180000000001</v>
      </c>
      <c r="U5058">
        <v>0.5357208</v>
      </c>
      <c r="V5058">
        <v>4.5331299999999998E-2</v>
      </c>
      <c r="W5058">
        <v>4.437402E-2</v>
      </c>
      <c r="X5058">
        <v>0.99798600000000004</v>
      </c>
      <c r="Y5058">
        <v>-0.1633105</v>
      </c>
      <c r="Z5058">
        <v>5.5031189999999999E-3</v>
      </c>
      <c r="AA5058">
        <v>0.98655939999999998</v>
      </c>
      <c r="AB5058">
        <v>23</v>
      </c>
      <c r="AC5058">
        <v>13.9885</v>
      </c>
      <c r="AD5058">
        <v>-1.11001924367399</v>
      </c>
      <c r="AE5058">
        <v>2.5127000000000201</v>
      </c>
      <c r="AF5058">
        <v>-2.3519086429624401</v>
      </c>
      <c r="AG5058">
        <v>-1.11001924367399</v>
      </c>
      <c r="AH5058">
        <v>13.929048779812501</v>
      </c>
      <c r="AI5058">
        <v>94.492994919089995</v>
      </c>
      <c r="AJ5058">
        <v>99.583948797803899</v>
      </c>
      <c r="AK5058">
        <v>14.1697571220034</v>
      </c>
      <c r="AL5058">
        <v>87.456720872243807</v>
      </c>
      <c r="AM5058">
        <v>87.399253989232406</v>
      </c>
      <c r="AN5058">
        <v>1.00000001830332</v>
      </c>
    </row>
    <row r="5059" spans="1:40" x14ac:dyDescent="0.25">
      <c r="A5059" t="str">
        <f>"20190312150753106"</f>
        <v>20190312150753106</v>
      </c>
      <c r="B5059" t="str">
        <f>"1552374473095055"</f>
        <v>1552374473095055</v>
      </c>
      <c r="C5059" t="s">
        <v>40</v>
      </c>
      <c r="D5059">
        <v>4.232812</v>
      </c>
      <c r="E5059">
        <v>0.38887749999999999</v>
      </c>
      <c r="F5059" t="s">
        <v>68</v>
      </c>
      <c r="G5059">
        <v>-435.18119999999999</v>
      </c>
      <c r="H5059" s="1">
        <v>4.4468259999999998E-6</v>
      </c>
      <c r="I5059">
        <v>215.39179999999999</v>
      </c>
      <c r="J5059">
        <v>-445.14909999999998</v>
      </c>
      <c r="K5059">
        <v>1.11002</v>
      </c>
      <c r="L5059">
        <v>212.94730000000001</v>
      </c>
      <c r="M5059">
        <v>0.99990710000000005</v>
      </c>
      <c r="N5059">
        <v>0</v>
      </c>
      <c r="O5059">
        <v>1.0605170000000001E-2</v>
      </c>
      <c r="P5059">
        <v>0.99875720000000001</v>
      </c>
      <c r="Q5059">
        <v>3.5466709999999999E-2</v>
      </c>
      <c r="R5059">
        <v>-3.5015209999999998E-2</v>
      </c>
      <c r="S5059">
        <v>3.0411069999999998</v>
      </c>
      <c r="T5059">
        <v>-0.33129439999999999</v>
      </c>
      <c r="U5059">
        <v>0.73033139999999996</v>
      </c>
      <c r="V5059">
        <v>4.559647E-2</v>
      </c>
      <c r="W5059">
        <v>4.403199E-2</v>
      </c>
      <c r="X5059">
        <v>0.99798909999999996</v>
      </c>
      <c r="Y5059">
        <v>-0.22200629999999999</v>
      </c>
      <c r="Z5059">
        <v>1.0753749999999999E-2</v>
      </c>
      <c r="AA5059">
        <v>0.97498589999999996</v>
      </c>
      <c r="AB5059">
        <v>23</v>
      </c>
      <c r="AC5059">
        <v>9.9678999999999807</v>
      </c>
      <c r="AD5059">
        <v>-1.1100155531739999</v>
      </c>
      <c r="AE5059">
        <v>2.4444999999999699</v>
      </c>
      <c r="AF5059">
        <v>-2.3116077139159801</v>
      </c>
      <c r="AG5059">
        <v>-1.1100155531739999</v>
      </c>
      <c r="AH5059">
        <v>9.8777216414055893</v>
      </c>
      <c r="AI5059">
        <v>96.244425271443603</v>
      </c>
      <c r="AJ5059">
        <v>103.171456429369</v>
      </c>
      <c r="AK5059">
        <v>10.205148189831201</v>
      </c>
      <c r="AL5059">
        <v>87.476336998212602</v>
      </c>
      <c r="AM5059">
        <v>87.384069849954798</v>
      </c>
      <c r="AN5059">
        <v>1.0000000489693099</v>
      </c>
    </row>
    <row r="5060" spans="1:40" x14ac:dyDescent="0.25">
      <c r="A5060" t="str">
        <f>"20190312150753128"</f>
        <v>20190312150753128</v>
      </c>
      <c r="B5060" t="str">
        <f>"1552374473125308"</f>
        <v>1552374473125308</v>
      </c>
      <c r="C5060" t="s">
        <v>40</v>
      </c>
      <c r="D5060">
        <v>4.183948</v>
      </c>
      <c r="E5060">
        <v>0.38597599999999999</v>
      </c>
      <c r="F5060" t="s">
        <v>68</v>
      </c>
      <c r="G5060">
        <v>-435.82209999999998</v>
      </c>
      <c r="H5060" s="1">
        <v>4.7361579999999998E-6</v>
      </c>
      <c r="I5060">
        <v>215.33359999999999</v>
      </c>
      <c r="J5060">
        <v>-444.92160000000001</v>
      </c>
      <c r="K5060">
        <v>1.1100110000000001</v>
      </c>
      <c r="L5060">
        <v>212.94990000000001</v>
      </c>
      <c r="M5060">
        <v>0.99990579999999996</v>
      </c>
      <c r="N5060">
        <v>0</v>
      </c>
      <c r="O5060">
        <v>1.075661E-2</v>
      </c>
      <c r="P5060">
        <v>0.99876019999999999</v>
      </c>
      <c r="Q5060">
        <v>3.5660850000000001E-2</v>
      </c>
      <c r="R5060">
        <v>-3.4733220000000002E-2</v>
      </c>
      <c r="S5060">
        <v>3.0439150000000001</v>
      </c>
      <c r="T5060">
        <v>-0.36226039999999998</v>
      </c>
      <c r="U5060">
        <v>0.77879330000000002</v>
      </c>
      <c r="V5060">
        <v>4.5465579999999998E-2</v>
      </c>
      <c r="W5060">
        <v>4.4177290000000001E-2</v>
      </c>
      <c r="X5060">
        <v>0.9979886</v>
      </c>
      <c r="Y5060">
        <v>-0.23594190000000001</v>
      </c>
      <c r="Z5060">
        <v>1.2515760000000001E-2</v>
      </c>
      <c r="AA5060">
        <v>0.97168650000000001</v>
      </c>
      <c r="AB5060">
        <v>23</v>
      </c>
      <c r="AC5060">
        <v>9.0995000000000292</v>
      </c>
      <c r="AD5060">
        <v>-1.1100062638420001</v>
      </c>
      <c r="AE5060">
        <v>2.38369999999997</v>
      </c>
      <c r="AF5060">
        <v>-2.2542880680043602</v>
      </c>
      <c r="AG5060">
        <v>-1.1100062638420001</v>
      </c>
      <c r="AH5060">
        <v>8.9993008207611798</v>
      </c>
      <c r="AI5060">
        <v>96.822828946484904</v>
      </c>
      <c r="AJ5060">
        <v>104.062982627754</v>
      </c>
      <c r="AK5060">
        <v>9.3435188158352993</v>
      </c>
      <c r="AL5060">
        <v>87.468003685916401</v>
      </c>
      <c r="AM5060">
        <v>87.391567491919901</v>
      </c>
      <c r="AN5060">
        <v>0.99999999882321999</v>
      </c>
    </row>
    <row r="5061" spans="1:40" x14ac:dyDescent="0.25">
      <c r="A5061" t="str">
        <f>"20190312150753151"</f>
        <v>20190312150753151</v>
      </c>
      <c r="B5061" t="str">
        <f>"1552374473144827"</f>
        <v>1552374473144827</v>
      </c>
      <c r="C5061" t="s">
        <v>40</v>
      </c>
      <c r="D5061">
        <v>4.224939</v>
      </c>
      <c r="E5061">
        <v>0.38509779999999999</v>
      </c>
      <c r="F5061" t="s">
        <v>68</v>
      </c>
      <c r="G5061">
        <v>-436.00650000000002</v>
      </c>
      <c r="H5061" s="1">
        <v>4.8209559999999997E-6</v>
      </c>
      <c r="I5061">
        <v>215.29900000000001</v>
      </c>
      <c r="J5061">
        <v>-444.67439999999999</v>
      </c>
      <c r="K5061">
        <v>1.1100049999999999</v>
      </c>
      <c r="L5061">
        <v>212.95269999999999</v>
      </c>
      <c r="M5061">
        <v>0.99990460000000003</v>
      </c>
      <c r="N5061">
        <v>0</v>
      </c>
      <c r="O5061">
        <v>1.092168E-2</v>
      </c>
      <c r="P5061">
        <v>0.99875250000000004</v>
      </c>
      <c r="Q5061">
        <v>3.5508379999999999E-2</v>
      </c>
      <c r="R5061">
        <v>-3.5115349999999997E-2</v>
      </c>
      <c r="S5061">
        <v>3.0451969999999999</v>
      </c>
      <c r="T5061">
        <v>-0.37915379999999999</v>
      </c>
      <c r="U5061">
        <v>0.80242919999999995</v>
      </c>
      <c r="V5061">
        <v>4.6012289999999997E-2</v>
      </c>
      <c r="W5061">
        <v>4.3977210000000003E-2</v>
      </c>
      <c r="X5061">
        <v>0.99797239999999998</v>
      </c>
      <c r="Y5061">
        <v>-0.2425602</v>
      </c>
      <c r="Z5061">
        <v>1.3461030000000001E-2</v>
      </c>
      <c r="AA5061">
        <v>0.97004290000000004</v>
      </c>
      <c r="AB5061">
        <v>24</v>
      </c>
      <c r="AC5061">
        <v>8.6678999999999693</v>
      </c>
      <c r="AD5061">
        <v>-1.1100001790439999</v>
      </c>
      <c r="AE5061">
        <v>2.34630000000001</v>
      </c>
      <c r="AF5061">
        <v>-2.21760479710345</v>
      </c>
      <c r="AG5061">
        <v>-1.1100001790439999</v>
      </c>
      <c r="AH5061">
        <v>8.5621837631289797</v>
      </c>
      <c r="AI5061">
        <v>97.153158108021202</v>
      </c>
      <c r="AJ5061">
        <v>104.520530305062</v>
      </c>
      <c r="AK5061">
        <v>8.9140822425644792</v>
      </c>
      <c r="AL5061">
        <v>87.479478627283896</v>
      </c>
      <c r="AM5061">
        <v>87.360203184943103</v>
      </c>
      <c r="AN5061">
        <v>1.00000001849609</v>
      </c>
    </row>
    <row r="5062" spans="1:40" x14ac:dyDescent="0.25">
      <c r="A5062" t="str">
        <f>"20190312150753175"</f>
        <v>20190312150753175</v>
      </c>
      <c r="B5062" t="str">
        <f>"1552374473165325"</f>
        <v>1552374473165325</v>
      </c>
      <c r="C5062" t="s">
        <v>40</v>
      </c>
      <c r="D5062">
        <v>4.2471680000000003</v>
      </c>
      <c r="E5062">
        <v>0.3846736</v>
      </c>
      <c r="F5062" t="s">
        <v>68</v>
      </c>
      <c r="G5062">
        <v>-435.77589999999998</v>
      </c>
      <c r="H5062" s="1">
        <v>4.7173779999999997E-6</v>
      </c>
      <c r="I5062">
        <v>215.31399999999999</v>
      </c>
      <c r="J5062">
        <v>-444.42939999999999</v>
      </c>
      <c r="K5062">
        <v>1.1100000000000001</v>
      </c>
      <c r="L5062">
        <v>212.9555</v>
      </c>
      <c r="M5062">
        <v>0.99990310000000004</v>
      </c>
      <c r="N5062">
        <v>0</v>
      </c>
      <c r="O5062">
        <v>1.1085279999999999E-2</v>
      </c>
      <c r="P5062">
        <v>0.99876589999999998</v>
      </c>
      <c r="Q5062">
        <v>3.4723560000000001E-2</v>
      </c>
      <c r="R5062">
        <v>-3.5514329999999997E-2</v>
      </c>
      <c r="S5062">
        <v>3.0456240000000001</v>
      </c>
      <c r="T5062">
        <v>-0.37991219999999998</v>
      </c>
      <c r="U5062">
        <v>0.80818179999999995</v>
      </c>
      <c r="V5062">
        <v>4.657505E-2</v>
      </c>
      <c r="W5062">
        <v>4.3151149999999999E-2</v>
      </c>
      <c r="X5062">
        <v>0.99798229999999999</v>
      </c>
      <c r="Y5062">
        <v>-0.24406530000000001</v>
      </c>
      <c r="Z5062">
        <v>1.3554739999999999E-2</v>
      </c>
      <c r="AA5062">
        <v>0.96966410000000003</v>
      </c>
      <c r="AB5062">
        <v>24</v>
      </c>
      <c r="AC5062">
        <v>8.6534999999999993</v>
      </c>
      <c r="AD5062">
        <v>-1.1099952826219901</v>
      </c>
      <c r="AE5062">
        <v>2.3585000000000198</v>
      </c>
      <c r="AF5062">
        <v>-2.2282970229132699</v>
      </c>
      <c r="AG5062">
        <v>-1.1099952826219901</v>
      </c>
      <c r="AH5062">
        <v>8.5481913203200293</v>
      </c>
      <c r="AI5062">
        <v>97.161824434975898</v>
      </c>
      <c r="AJ5062">
        <v>104.61041877055</v>
      </c>
      <c r="AK5062">
        <v>8.9033124172165294</v>
      </c>
      <c r="AL5062">
        <v>87.526853220826595</v>
      </c>
      <c r="AM5062">
        <v>87.327989745353094</v>
      </c>
      <c r="AN5062">
        <v>0.99999996407105596</v>
      </c>
    </row>
    <row r="5063" spans="1:40" x14ac:dyDescent="0.25">
      <c r="A5063" t="str">
        <f>"20190312150753197"</f>
        <v>20190312150753197</v>
      </c>
      <c r="B5063" t="str">
        <f>"1552374473194605"</f>
        <v>1552374473194605</v>
      </c>
      <c r="C5063" t="s">
        <v>40</v>
      </c>
      <c r="D5063">
        <v>4.2531730000000003</v>
      </c>
      <c r="E5063">
        <v>0.38437959999999999</v>
      </c>
      <c r="F5063" t="s">
        <v>68</v>
      </c>
      <c r="G5063">
        <v>-435.6628</v>
      </c>
      <c r="H5063" s="1">
        <v>4.6693539999999997E-6</v>
      </c>
      <c r="I5063">
        <v>215.2894</v>
      </c>
      <c r="J5063">
        <v>-444.19110000000001</v>
      </c>
      <c r="K5063">
        <v>1.109988</v>
      </c>
      <c r="L5063">
        <v>212.95840000000001</v>
      </c>
      <c r="M5063">
        <v>0.9999015</v>
      </c>
      <c r="N5063">
        <v>0</v>
      </c>
      <c r="O5063">
        <v>1.1244870000000001E-2</v>
      </c>
      <c r="P5063">
        <v>0.99877009999999999</v>
      </c>
      <c r="Q5063">
        <v>3.4110179999999997E-2</v>
      </c>
      <c r="R5063">
        <v>-3.598618E-2</v>
      </c>
      <c r="S5063">
        <v>3.0459589999999999</v>
      </c>
      <c r="T5063">
        <v>-0.38566850000000003</v>
      </c>
      <c r="U5063">
        <v>0.81091309999999905</v>
      </c>
      <c r="V5063">
        <v>4.7206360000000003E-2</v>
      </c>
      <c r="W5063">
        <v>4.2503730000000003E-2</v>
      </c>
      <c r="X5063">
        <v>0.99798050000000005</v>
      </c>
      <c r="Y5063">
        <v>-0.24464259999999999</v>
      </c>
      <c r="Z5063">
        <v>1.377162E-2</v>
      </c>
      <c r="AA5063">
        <v>0.96951549999999997</v>
      </c>
      <c r="AB5063">
        <v>24</v>
      </c>
      <c r="AC5063">
        <v>8.5282999999999998</v>
      </c>
      <c r="AD5063">
        <v>-1.1099833306460001</v>
      </c>
      <c r="AE5063">
        <v>2.33099999999998</v>
      </c>
      <c r="AF5063">
        <v>-2.20026843781885</v>
      </c>
      <c r="AG5063">
        <v>-1.1099833306460001</v>
      </c>
      <c r="AH5063">
        <v>8.4212359064384703</v>
      </c>
      <c r="AI5063">
        <v>97.267512963592097</v>
      </c>
      <c r="AJ5063">
        <v>104.642685270736</v>
      </c>
      <c r="AK5063">
        <v>8.7744206865560308</v>
      </c>
      <c r="AL5063">
        <v>87.563981914598997</v>
      </c>
      <c r="AM5063">
        <v>87.291820178630303</v>
      </c>
      <c r="AN5063">
        <v>1.0000000429342999</v>
      </c>
    </row>
    <row r="5064" spans="1:40" x14ac:dyDescent="0.25">
      <c r="A5064" t="str">
        <f>"20190312150753230"</f>
        <v>20190312150753230</v>
      </c>
      <c r="B5064" t="str">
        <f>"1552374473224860"</f>
        <v>1552374473224860</v>
      </c>
      <c r="C5064" t="s">
        <v>40</v>
      </c>
      <c r="D5064">
        <v>4.2522539999999998</v>
      </c>
      <c r="E5064">
        <v>0.3838066</v>
      </c>
      <c r="F5064" t="s">
        <v>68</v>
      </c>
      <c r="G5064">
        <v>-435.58850000000001</v>
      </c>
      <c r="H5064" s="1">
        <v>4.6397989999999998E-6</v>
      </c>
      <c r="I5064">
        <v>215.25059999999999</v>
      </c>
      <c r="J5064">
        <v>-443.8449</v>
      </c>
      <c r="K5064">
        <v>1.1099829999999999</v>
      </c>
      <c r="L5064">
        <v>212.96250000000001</v>
      </c>
      <c r="M5064">
        <v>0.99989930000000005</v>
      </c>
      <c r="N5064">
        <v>0</v>
      </c>
      <c r="O5064">
        <v>1.1475829999999999E-2</v>
      </c>
      <c r="P5064">
        <v>0.99880820000000003</v>
      </c>
      <c r="Q5064">
        <v>3.3448230000000002E-2</v>
      </c>
      <c r="R5064">
        <v>-3.554798E-2</v>
      </c>
      <c r="S5064">
        <v>3.0463559999999998</v>
      </c>
      <c r="T5064">
        <v>-0.3930669</v>
      </c>
      <c r="U5064">
        <v>0.81172180000000005</v>
      </c>
      <c r="V5064">
        <v>4.6999159999999998E-2</v>
      </c>
      <c r="W5064">
        <v>4.1801489999999997E-2</v>
      </c>
      <c r="X5064">
        <v>0.99801989999999996</v>
      </c>
      <c r="Y5064">
        <v>-0.24456359999999999</v>
      </c>
      <c r="Z5064">
        <v>1.399739E-2</v>
      </c>
      <c r="AA5064">
        <v>0.96953219999999996</v>
      </c>
      <c r="AB5064">
        <v>24</v>
      </c>
      <c r="AC5064">
        <v>8.2563999999999798</v>
      </c>
      <c r="AD5064">
        <v>-1.109978360201</v>
      </c>
      <c r="AE5064">
        <v>2.28809999999998</v>
      </c>
      <c r="AF5064">
        <v>-2.1569926319272499</v>
      </c>
      <c r="AG5064">
        <v>-1.109978360201</v>
      </c>
      <c r="AH5064">
        <v>8.1453974879564193</v>
      </c>
      <c r="AI5064">
        <v>97.504369758975798</v>
      </c>
      <c r="AJ5064">
        <v>104.83211992813401</v>
      </c>
      <c r="AK5064">
        <v>8.4989510771100303</v>
      </c>
      <c r="AL5064">
        <v>87.604253000341501</v>
      </c>
      <c r="AM5064">
        <v>87.303795735143495</v>
      </c>
      <c r="AN5064">
        <v>1.00000000320146</v>
      </c>
    </row>
    <row r="5065" spans="1:40" x14ac:dyDescent="0.25">
      <c r="A5065" t="str">
        <f>"20190312150753252"</f>
        <v>20190312150753252</v>
      </c>
      <c r="B5065" t="str">
        <f>"1552374473245356"</f>
        <v>1552374473245356</v>
      </c>
      <c r="C5065" t="s">
        <v>40</v>
      </c>
      <c r="D5065">
        <v>4.2361849999999999</v>
      </c>
      <c r="E5065">
        <v>0.3835481</v>
      </c>
      <c r="F5065" t="s">
        <v>68</v>
      </c>
      <c r="G5065">
        <v>-435.3417</v>
      </c>
      <c r="H5065" s="1">
        <v>4.5308730000000004E-6</v>
      </c>
      <c r="I5065">
        <v>215.24449999999999</v>
      </c>
      <c r="J5065">
        <v>-443.60739999999998</v>
      </c>
      <c r="K5065">
        <v>1.10998</v>
      </c>
      <c r="L5065">
        <v>212.96539999999999</v>
      </c>
      <c r="M5065">
        <v>0.9998977</v>
      </c>
      <c r="N5065">
        <v>0</v>
      </c>
      <c r="O5065">
        <v>1.1634169999999999E-2</v>
      </c>
      <c r="P5065">
        <v>0.99883719999999998</v>
      </c>
      <c r="Q5065">
        <v>3.3089639999999997E-2</v>
      </c>
      <c r="R5065">
        <v>-3.506302E-2</v>
      </c>
      <c r="S5065">
        <v>3.0459589999999999</v>
      </c>
      <c r="T5065">
        <v>-0.39760699999999999</v>
      </c>
      <c r="U5065">
        <v>0.81744380000000005</v>
      </c>
      <c r="V5065">
        <v>4.6672909999999998E-2</v>
      </c>
      <c r="W5065">
        <v>4.142179E-2</v>
      </c>
      <c r="X5065">
        <v>0.99805100000000002</v>
      </c>
      <c r="Y5065">
        <v>-0.24608910000000001</v>
      </c>
      <c r="Z5065">
        <v>1.423345E-2</v>
      </c>
      <c r="AA5065">
        <v>0.96914270000000002</v>
      </c>
      <c r="AB5065">
        <v>24</v>
      </c>
      <c r="AC5065">
        <v>8.2656999999999794</v>
      </c>
      <c r="AD5065">
        <v>-1.1099754691270001</v>
      </c>
      <c r="AE5065">
        <v>2.2791000000000001</v>
      </c>
      <c r="AF5065">
        <v>-2.1467999445830501</v>
      </c>
      <c r="AG5065">
        <v>-1.1099754691270001</v>
      </c>
      <c r="AH5065">
        <v>8.1549886284056896</v>
      </c>
      <c r="AI5065">
        <v>97.498481209498195</v>
      </c>
      <c r="AJ5065">
        <v>104.748492842853</v>
      </c>
      <c r="AK5065">
        <v>8.5055649473477999</v>
      </c>
      <c r="AL5065">
        <v>87.626026969175399</v>
      </c>
      <c r="AM5065">
        <v>87.322567723346594</v>
      </c>
      <c r="AN5065">
        <v>0.99999996190783502</v>
      </c>
    </row>
    <row r="5066" spans="1:40" x14ac:dyDescent="0.25">
      <c r="A5066" t="str">
        <f>"20190312150753274"</f>
        <v>20190312150753274</v>
      </c>
      <c r="B5066" t="str">
        <f>"1552374473264879"</f>
        <v>1552374473264879</v>
      </c>
      <c r="C5066" t="s">
        <v>40</v>
      </c>
      <c r="D5066">
        <v>4.252173</v>
      </c>
      <c r="E5066">
        <v>0.38331910000000002</v>
      </c>
      <c r="F5066" t="s">
        <v>68</v>
      </c>
      <c r="G5066">
        <v>-435.16930000000002</v>
      </c>
      <c r="H5066" s="1">
        <v>4.4549140000000003E-6</v>
      </c>
      <c r="I5066">
        <v>215.2388</v>
      </c>
      <c r="J5066">
        <v>-443.36290000000002</v>
      </c>
      <c r="K5066">
        <v>1.1099699999999999</v>
      </c>
      <c r="L5066">
        <v>212.96850000000001</v>
      </c>
      <c r="M5066">
        <v>0.99989600000000001</v>
      </c>
      <c r="N5066">
        <v>0</v>
      </c>
      <c r="O5066">
        <v>1.1797139999999999E-2</v>
      </c>
      <c r="P5066">
        <v>0.99891319999999995</v>
      </c>
      <c r="Q5066">
        <v>3.194951E-2</v>
      </c>
      <c r="R5066">
        <v>-3.3941249999999999E-2</v>
      </c>
      <c r="S5066">
        <v>3.045563</v>
      </c>
      <c r="T5066">
        <v>-0.40062249999999999</v>
      </c>
      <c r="U5066">
        <v>0.82052610000000004</v>
      </c>
      <c r="V5066">
        <v>4.5714869999999998E-2</v>
      </c>
      <c r="W5066">
        <v>4.0264510000000003E-2</v>
      </c>
      <c r="X5066">
        <v>0.99814270000000005</v>
      </c>
      <c r="Y5066">
        <v>-0.2468447</v>
      </c>
      <c r="Z5066">
        <v>1.436815E-2</v>
      </c>
      <c r="AA5066">
        <v>0.96894849999999999</v>
      </c>
      <c r="AB5066">
        <v>24</v>
      </c>
      <c r="AC5066">
        <v>8.1936</v>
      </c>
      <c r="AD5066">
        <v>-1.109965545086</v>
      </c>
      <c r="AE5066">
        <v>2.27029999999999</v>
      </c>
      <c r="AF5066">
        <v>-2.1370558971005398</v>
      </c>
      <c r="AG5066">
        <v>-1.109965545086</v>
      </c>
      <c r="AH5066">
        <v>8.0820714248607803</v>
      </c>
      <c r="AI5066">
        <v>97.563129522601798</v>
      </c>
      <c r="AJ5066">
        <v>104.811135632201</v>
      </c>
      <c r="AK5066">
        <v>8.4332028278206099</v>
      </c>
      <c r="AL5066">
        <v>87.692389616852395</v>
      </c>
      <c r="AM5066">
        <v>87.377689591971006</v>
      </c>
      <c r="AN5066">
        <v>0.99999996483397202</v>
      </c>
    </row>
    <row r="5067" spans="1:40" x14ac:dyDescent="0.25">
      <c r="A5067" t="str">
        <f>"20190312150753296"</f>
        <v>20190312150753296</v>
      </c>
      <c r="B5067" t="str">
        <f>"1552374473285375"</f>
        <v>1552374473285375</v>
      </c>
      <c r="C5067" t="s">
        <v>40</v>
      </c>
      <c r="D5067">
        <v>4.2601139999999997</v>
      </c>
      <c r="E5067">
        <v>0.38315260000000001</v>
      </c>
      <c r="F5067" t="s">
        <v>68</v>
      </c>
      <c r="G5067">
        <v>-435.08</v>
      </c>
      <c r="H5067" s="1">
        <v>4.417498E-6</v>
      </c>
      <c r="I5067">
        <v>215.2141</v>
      </c>
      <c r="J5067">
        <v>-443.13170000000002</v>
      </c>
      <c r="K5067">
        <v>1.109969</v>
      </c>
      <c r="L5067">
        <v>212.97139999999999</v>
      </c>
      <c r="M5067">
        <v>0.99989419999999996</v>
      </c>
      <c r="N5067">
        <v>0</v>
      </c>
      <c r="O5067">
        <v>1.1950860000000001E-2</v>
      </c>
      <c r="P5067">
        <v>0.99896680000000004</v>
      </c>
      <c r="Q5067">
        <v>3.136618E-2</v>
      </c>
      <c r="R5067">
        <v>-3.2889050000000003E-2</v>
      </c>
      <c r="S5067">
        <v>3.0443730000000002</v>
      </c>
      <c r="T5067">
        <v>-0.40796860000000001</v>
      </c>
      <c r="U5067">
        <v>0.82536319999999996</v>
      </c>
      <c r="V5067">
        <v>4.481715E-2</v>
      </c>
      <c r="W5067">
        <v>3.966894E-2</v>
      </c>
      <c r="X5067">
        <v>0.99820730000000002</v>
      </c>
      <c r="Y5067">
        <v>-0.2481459</v>
      </c>
      <c r="Z5067">
        <v>1.4697109999999999E-2</v>
      </c>
      <c r="AA5067">
        <v>0.96861120000000001</v>
      </c>
      <c r="AB5067">
        <v>24</v>
      </c>
      <c r="AC5067">
        <v>8.0517000000000394</v>
      </c>
      <c r="AD5067">
        <v>-1.1099645825019999</v>
      </c>
      <c r="AE5067">
        <v>2.2427000000000099</v>
      </c>
      <c r="AF5067">
        <v>-2.1091160769369699</v>
      </c>
      <c r="AG5067">
        <v>-1.1099645825019999</v>
      </c>
      <c r="AH5067">
        <v>7.9379371243291104</v>
      </c>
      <c r="AI5067">
        <v>97.696405310079996</v>
      </c>
      <c r="AJ5067">
        <v>104.879737583918</v>
      </c>
      <c r="AK5067">
        <v>8.2880177238110004</v>
      </c>
      <c r="AL5067">
        <v>87.726540649807802</v>
      </c>
      <c r="AM5067">
        <v>87.4292812550067</v>
      </c>
      <c r="AN5067">
        <v>1.0000000077540601</v>
      </c>
    </row>
    <row r="5068" spans="1:40" x14ac:dyDescent="0.25">
      <c r="A5068" t="str">
        <f>"20190312150753318"</f>
        <v>20190312150753318</v>
      </c>
      <c r="B5068" t="str">
        <f>"1552374473314652"</f>
        <v>1552374473314652</v>
      </c>
      <c r="C5068" t="s">
        <v>40</v>
      </c>
      <c r="D5068">
        <v>4.3966719999999997</v>
      </c>
      <c r="E5068">
        <v>0.38311390000000001</v>
      </c>
      <c r="F5068" t="s">
        <v>68</v>
      </c>
      <c r="G5068">
        <v>-434.98480000000001</v>
      </c>
      <c r="H5068" s="1">
        <v>4.3771619999999996E-6</v>
      </c>
      <c r="I5068">
        <v>215.1926</v>
      </c>
      <c r="J5068">
        <v>-442.89760000000001</v>
      </c>
      <c r="K5068">
        <v>1.1099650000000001</v>
      </c>
      <c r="L5068">
        <v>212.9743</v>
      </c>
      <c r="M5068">
        <v>0.99989229999999996</v>
      </c>
      <c r="N5068">
        <v>0</v>
      </c>
      <c r="O5068">
        <v>1.2107059999999999E-2</v>
      </c>
      <c r="P5068">
        <v>0.99902279999999999</v>
      </c>
      <c r="Q5068">
        <v>3.1004529999999999E-2</v>
      </c>
      <c r="R5068">
        <v>-3.1500050000000002E-2</v>
      </c>
      <c r="S5068">
        <v>3.043488</v>
      </c>
      <c r="T5068">
        <v>-0.41465469999999999</v>
      </c>
      <c r="U5068">
        <v>0.82980350000000003</v>
      </c>
      <c r="V5068">
        <v>4.3584959999999999E-2</v>
      </c>
      <c r="W5068">
        <v>3.929825E-2</v>
      </c>
      <c r="X5068">
        <v>0.99827650000000001</v>
      </c>
      <c r="Y5068">
        <v>-0.249308</v>
      </c>
      <c r="Z5068">
        <v>1.4993909999999999E-2</v>
      </c>
      <c r="AA5068">
        <v>0.96830819999999995</v>
      </c>
      <c r="AB5068">
        <v>24</v>
      </c>
      <c r="AC5068">
        <v>7.9127999999999998</v>
      </c>
      <c r="AD5068">
        <v>-1.1099606228379999</v>
      </c>
      <c r="AE5068">
        <v>2.2183000000000002</v>
      </c>
      <c r="AF5068">
        <v>-2.0843092061105599</v>
      </c>
      <c r="AG5068">
        <v>-1.1099606228379999</v>
      </c>
      <c r="AH5068">
        <v>7.79683988514868</v>
      </c>
      <c r="AI5068">
        <v>97.830812096041399</v>
      </c>
      <c r="AJ5068">
        <v>104.96675711020499</v>
      </c>
      <c r="AK5068">
        <v>8.1465986549954401</v>
      </c>
      <c r="AL5068">
        <v>87.747796147526799</v>
      </c>
      <c r="AM5068">
        <v>87.500042005933096</v>
      </c>
      <c r="AN5068">
        <v>0.99999998582175598</v>
      </c>
    </row>
    <row r="5069" spans="1:40" x14ac:dyDescent="0.25">
      <c r="A5069" t="str">
        <f>"20190312150753341"</f>
        <v>20190312150753341</v>
      </c>
      <c r="B5069" t="str">
        <f>"1552374473335149"</f>
        <v>1552374473335149</v>
      </c>
      <c r="C5069" t="s">
        <v>40</v>
      </c>
      <c r="D5069">
        <v>4.6808189999999996</v>
      </c>
      <c r="E5069">
        <v>0.42084939999999998</v>
      </c>
      <c r="F5069" t="s">
        <v>68</v>
      </c>
      <c r="G5069">
        <v>-434.76179999999999</v>
      </c>
      <c r="H5069" s="1">
        <v>4.2771320000000001E-6</v>
      </c>
      <c r="I5069">
        <v>215.20570000000001</v>
      </c>
      <c r="J5069">
        <v>-442.6481</v>
      </c>
      <c r="K5069">
        <v>1.1099600000000001</v>
      </c>
      <c r="L5069">
        <v>212.9776</v>
      </c>
      <c r="M5069">
        <v>0.99989039999999996</v>
      </c>
      <c r="N5069">
        <v>0</v>
      </c>
      <c r="O5069">
        <v>1.2273330000000001E-2</v>
      </c>
      <c r="P5069">
        <v>0.99906740000000005</v>
      </c>
      <c r="Q5069">
        <v>3.036297E-2</v>
      </c>
      <c r="R5069">
        <v>-3.070399E-2</v>
      </c>
      <c r="S5069">
        <v>3.042084</v>
      </c>
      <c r="T5069">
        <v>-0.41503190000000001</v>
      </c>
      <c r="U5069">
        <v>0.83432009999999901</v>
      </c>
      <c r="V5069">
        <v>4.2955510000000002E-2</v>
      </c>
      <c r="W5069">
        <v>3.8649290000000003E-2</v>
      </c>
      <c r="X5069">
        <v>0.99832909999999997</v>
      </c>
      <c r="Y5069">
        <v>-0.25058380000000002</v>
      </c>
      <c r="Z5069">
        <v>1.507412E-2</v>
      </c>
      <c r="AA5069">
        <v>0.96797750000000005</v>
      </c>
      <c r="AB5069">
        <v>24</v>
      </c>
      <c r="AC5069">
        <v>7.8863000000000003</v>
      </c>
      <c r="AD5069">
        <v>-1.1099557228679999</v>
      </c>
      <c r="AE5069">
        <v>2.2281000000000102</v>
      </c>
      <c r="AF5069">
        <v>-2.0927467068281702</v>
      </c>
      <c r="AG5069">
        <v>-1.1099557228679999</v>
      </c>
      <c r="AH5069">
        <v>7.7705048932360699</v>
      </c>
      <c r="AI5069">
        <v>97.853118976433393</v>
      </c>
      <c r="AJ5069">
        <v>105.07321607420501</v>
      </c>
      <c r="AK5069">
        <v>8.1235667524476796</v>
      </c>
      <c r="AL5069">
        <v>87.785007049192501</v>
      </c>
      <c r="AM5069">
        <v>87.536231008502199</v>
      </c>
      <c r="AN5069">
        <v>0.99999996768183597</v>
      </c>
    </row>
    <row r="5070" spans="1:40" x14ac:dyDescent="0.25">
      <c r="A5070" t="str">
        <f>"20190312150753366"</f>
        <v>20190312150753366</v>
      </c>
      <c r="B5070" t="str">
        <f>"1552374473354685"</f>
        <v>1552374473354685</v>
      </c>
      <c r="C5070" t="s">
        <v>40</v>
      </c>
      <c r="D5070">
        <v>4.4101269999999904</v>
      </c>
      <c r="E5070">
        <v>0.48928389999999999</v>
      </c>
      <c r="F5070" t="s">
        <v>68</v>
      </c>
      <c r="G5070">
        <v>-435.06580000000002</v>
      </c>
      <c r="H5070" s="1">
        <v>4.4896899999999997E-6</v>
      </c>
      <c r="I5070">
        <v>214.31649999999999</v>
      </c>
      <c r="J5070">
        <v>-442.38799999999998</v>
      </c>
      <c r="K5070">
        <v>1.1099589999999999</v>
      </c>
      <c r="L5070">
        <v>212.98089999999999</v>
      </c>
      <c r="M5070">
        <v>0.9998882</v>
      </c>
      <c r="N5070">
        <v>0</v>
      </c>
      <c r="O5070">
        <v>1.244674E-2</v>
      </c>
      <c r="P5070">
        <v>0.99911000000000005</v>
      </c>
      <c r="Q5070">
        <v>3.002061E-2</v>
      </c>
      <c r="R5070">
        <v>-2.9633799999999901E-2</v>
      </c>
      <c r="S5070">
        <v>3.0327760000000001</v>
      </c>
      <c r="T5070">
        <v>-0.44396479999999999</v>
      </c>
      <c r="U5070">
        <v>0.53553769999999901</v>
      </c>
      <c r="V5070">
        <v>4.2059079999999999E-2</v>
      </c>
      <c r="W5070">
        <v>3.8302889999999999E-2</v>
      </c>
      <c r="X5070">
        <v>0.99838070000000001</v>
      </c>
      <c r="Y5070">
        <v>-0.16009660000000001</v>
      </c>
      <c r="Z5070">
        <v>9.7697329999999992E-3</v>
      </c>
      <c r="AA5070">
        <v>0.98705299999999996</v>
      </c>
      <c r="AB5070">
        <v>24</v>
      </c>
      <c r="AC5070">
        <v>7.3221999999999996</v>
      </c>
      <c r="AD5070">
        <v>-1.1099545103099999</v>
      </c>
      <c r="AE5070">
        <v>1.3355999999999899</v>
      </c>
      <c r="AF5070">
        <v>-1.21728483763586</v>
      </c>
      <c r="AG5070">
        <v>-1.1099545103099999</v>
      </c>
      <c r="AH5070">
        <v>7.1786129143712003</v>
      </c>
      <c r="AI5070">
        <v>98.667635698018401</v>
      </c>
      <c r="AJ5070">
        <v>99.624156213213794</v>
      </c>
      <c r="AK5070">
        <v>7.3652063627078803</v>
      </c>
      <c r="AL5070">
        <v>87.804869195810895</v>
      </c>
      <c r="AM5070">
        <v>87.587710057918798</v>
      </c>
      <c r="AN5070">
        <v>1.00000004986264</v>
      </c>
    </row>
    <row r="5071" spans="1:40" x14ac:dyDescent="0.25">
      <c r="A5071" t="str">
        <f>"20190312150753388"</f>
        <v>20190312150753388</v>
      </c>
      <c r="B5071" t="str">
        <f>"1552374473385449"</f>
        <v>1552374473385449</v>
      </c>
      <c r="C5071" t="s">
        <v>40</v>
      </c>
      <c r="D5071">
        <v>4.3574999999999999</v>
      </c>
      <c r="E5071">
        <v>0.50114769999999997</v>
      </c>
      <c r="F5071" t="s">
        <v>41</v>
      </c>
      <c r="G5071">
        <v>-441.50420000000003</v>
      </c>
      <c r="H5071">
        <v>0.925813</v>
      </c>
      <c r="I5071">
        <v>212.97829999999999</v>
      </c>
      <c r="J5071">
        <v>-442.13920000000002</v>
      </c>
      <c r="K5071">
        <v>1.1099589999999999</v>
      </c>
      <c r="L5071">
        <v>212.98419999999999</v>
      </c>
      <c r="M5071">
        <v>0.99988630000000001</v>
      </c>
      <c r="N5071">
        <v>0</v>
      </c>
      <c r="O5071">
        <v>1.261227E-2</v>
      </c>
      <c r="P5071">
        <v>0.99913569999999996</v>
      </c>
      <c r="Q5071">
        <v>2.9995529999999999E-2</v>
      </c>
      <c r="R5071">
        <v>-2.8786550000000001E-2</v>
      </c>
      <c r="S5071">
        <v>3.0213619999999999</v>
      </c>
      <c r="T5071">
        <v>-0.62960159999999998</v>
      </c>
      <c r="U5071">
        <v>-7.7362059999999998E-3</v>
      </c>
      <c r="V5071">
        <v>4.1377480000000001E-2</v>
      </c>
      <c r="W5071">
        <v>3.8276200000000003E-2</v>
      </c>
      <c r="X5071">
        <v>0.99841020000000003</v>
      </c>
      <c r="Y5071">
        <v>1.458864E-2</v>
      </c>
      <c r="Z5071">
        <v>-4.1041619999999997E-3</v>
      </c>
      <c r="AA5071">
        <v>0.99988509999999997</v>
      </c>
      <c r="AB5071">
        <v>24</v>
      </c>
      <c r="AC5071">
        <v>0.63499999999999002</v>
      </c>
      <c r="AD5071">
        <v>-0.184146</v>
      </c>
      <c r="AE5071">
        <v>-5.8999999999968999E-3</v>
      </c>
      <c r="AF5071">
        <v>1.2829753471787501E-2</v>
      </c>
      <c r="AG5071">
        <v>-0.184146</v>
      </c>
      <c r="AH5071">
        <v>0.58562998428637603</v>
      </c>
      <c r="AI5071">
        <v>107.451345491529</v>
      </c>
      <c r="AJ5071">
        <v>88.744987143663707</v>
      </c>
      <c r="AK5071">
        <v>0.61403324859929898</v>
      </c>
      <c r="AL5071">
        <v>87.806399532521297</v>
      </c>
      <c r="AM5071">
        <v>87.626828062160698</v>
      </c>
      <c r="AN5071">
        <v>1.00000004540081</v>
      </c>
    </row>
    <row r="5072" spans="1:40" x14ac:dyDescent="0.25">
      <c r="A5072" t="str">
        <f>"20190312150753408"</f>
        <v>20190312150753408</v>
      </c>
      <c r="B5072" t="str">
        <f>"1552374473404970"</f>
        <v>1552374473404970</v>
      </c>
      <c r="C5072" t="s">
        <v>40</v>
      </c>
      <c r="D5072">
        <v>4.3534090000000001</v>
      </c>
      <c r="E5072">
        <v>0.50422789999999995</v>
      </c>
      <c r="F5072" t="s">
        <v>41</v>
      </c>
      <c r="G5072">
        <v>-441.29379999999998</v>
      </c>
      <c r="H5072">
        <v>0.91028209999999998</v>
      </c>
      <c r="I5072">
        <v>212.95609999999999</v>
      </c>
      <c r="J5072">
        <v>-441.91460000000001</v>
      </c>
      <c r="K5072">
        <v>1.10996299999999</v>
      </c>
      <c r="L5072">
        <v>212.9872</v>
      </c>
      <c r="M5072">
        <v>0.9998842</v>
      </c>
      <c r="N5072">
        <v>0</v>
      </c>
      <c r="O5072">
        <v>1.276187E-2</v>
      </c>
      <c r="P5072">
        <v>0.99914440000000004</v>
      </c>
      <c r="Q5072">
        <v>3.0143980000000001E-2</v>
      </c>
      <c r="R5072">
        <v>-2.8313069999999999E-2</v>
      </c>
      <c r="S5072">
        <v>3.0211790000000001</v>
      </c>
      <c r="T5072">
        <v>-0.71352079999999996</v>
      </c>
      <c r="U5072">
        <v>-9.9975590000000003E-2</v>
      </c>
      <c r="V5072">
        <v>4.1053659999999999E-2</v>
      </c>
      <c r="W5072">
        <v>3.8425340000000002E-2</v>
      </c>
      <c r="X5072">
        <v>0.99841780000000002</v>
      </c>
      <c r="Y5072">
        <v>4.4258970000000002E-2</v>
      </c>
      <c r="Z5072">
        <v>-8.1266440000000006E-3</v>
      </c>
      <c r="AA5072">
        <v>0.99898699999999996</v>
      </c>
      <c r="AB5072">
        <v>24</v>
      </c>
      <c r="AC5072">
        <v>0.62080000000003099</v>
      </c>
      <c r="AD5072">
        <v>-0.199680899999999</v>
      </c>
      <c r="AE5072">
        <v>-3.11000000000092E-2</v>
      </c>
      <c r="AF5072">
        <v>3.5370102275402097E-2</v>
      </c>
      <c r="AG5072">
        <v>-0.199680899999999</v>
      </c>
      <c r="AH5072">
        <v>0.56232084019376805</v>
      </c>
      <c r="AI5072">
        <v>109.514376411984</v>
      </c>
      <c r="AJ5072">
        <v>86.400824735551893</v>
      </c>
      <c r="AK5072">
        <v>0.59776938134702795</v>
      </c>
      <c r="AL5072">
        <v>87.797848063836895</v>
      </c>
      <c r="AM5072">
        <v>87.645397413758602</v>
      </c>
      <c r="AN5072">
        <v>1.00000000655517</v>
      </c>
    </row>
    <row r="5073" spans="1:40" x14ac:dyDescent="0.25">
      <c r="A5073" t="str">
        <f>"20190312150753432"</f>
        <v>20190312150753432</v>
      </c>
      <c r="B5073" t="str">
        <f>"1552374473424490"</f>
        <v>1552374473424490</v>
      </c>
      <c r="C5073" t="s">
        <v>40</v>
      </c>
      <c r="D5073">
        <v>4.7407789999999999</v>
      </c>
      <c r="E5073">
        <v>0.50592769999999998</v>
      </c>
      <c r="F5073" t="s">
        <v>41</v>
      </c>
      <c r="G5073">
        <v>-441.07709999999997</v>
      </c>
      <c r="H5073">
        <v>0.90600910000000001</v>
      </c>
      <c r="I5073">
        <v>212.95249999999999</v>
      </c>
      <c r="J5073">
        <v>-441.66109999999998</v>
      </c>
      <c r="K5073">
        <v>1.1099669999999999</v>
      </c>
      <c r="L5073">
        <v>212.9907</v>
      </c>
      <c r="M5073">
        <v>0.9998821</v>
      </c>
      <c r="N5073">
        <v>0</v>
      </c>
      <c r="O5073">
        <v>1.293037E-2</v>
      </c>
      <c r="P5073">
        <v>0.99913640000000004</v>
      </c>
      <c r="Q5073">
        <v>3.0619670000000002E-2</v>
      </c>
      <c r="R5073">
        <v>-2.8087460000000002E-2</v>
      </c>
      <c r="S5073">
        <v>3.021271</v>
      </c>
      <c r="T5073">
        <v>-0.7357918</v>
      </c>
      <c r="U5073">
        <v>-0.1238861</v>
      </c>
      <c r="V5073">
        <v>4.0995999999999998E-2</v>
      </c>
      <c r="W5073">
        <v>3.8903260000000002E-2</v>
      </c>
      <c r="X5073">
        <v>0.9984016</v>
      </c>
      <c r="Y5073">
        <v>5.1992070000000001E-2</v>
      </c>
      <c r="Z5073">
        <v>-9.3399680000000006E-3</v>
      </c>
      <c r="AA5073">
        <v>0.99860380000000004</v>
      </c>
      <c r="AB5073">
        <v>24</v>
      </c>
      <c r="AC5073">
        <v>0.58400000000000296</v>
      </c>
      <c r="AD5073">
        <v>-0.203957899999999</v>
      </c>
      <c r="AE5073">
        <v>-3.8200000000017498E-2</v>
      </c>
      <c r="AF5073">
        <v>4.0793936181300297E-2</v>
      </c>
      <c r="AG5073">
        <v>-0.203957899999999</v>
      </c>
      <c r="AH5073">
        <v>0.52026990638655202</v>
      </c>
      <c r="AI5073">
        <v>111.34673610170201</v>
      </c>
      <c r="AJ5073">
        <v>85.516657818991106</v>
      </c>
      <c r="AK5073">
        <v>0.56030683173868701</v>
      </c>
      <c r="AL5073">
        <v>87.770444637464095</v>
      </c>
      <c r="AM5073">
        <v>87.648662637288297</v>
      </c>
      <c r="AN5073">
        <v>0.99999994526859204</v>
      </c>
    </row>
    <row r="5074" spans="1:40" x14ac:dyDescent="0.25">
      <c r="A5074" t="str">
        <f>"20190312150753453"</f>
        <v>20190312150753453</v>
      </c>
      <c r="B5074" t="str">
        <f>"1552374473444986"</f>
        <v>1552374473444986</v>
      </c>
      <c r="C5074" t="s">
        <v>40</v>
      </c>
      <c r="D5074">
        <v>4.3990419999999997</v>
      </c>
      <c r="E5074">
        <v>0.50689070000000003</v>
      </c>
      <c r="F5074" t="s">
        <v>41</v>
      </c>
      <c r="G5074">
        <v>-440.8546</v>
      </c>
      <c r="H5074">
        <v>0.91356800000000005</v>
      </c>
      <c r="I5074">
        <v>212.9539</v>
      </c>
      <c r="J5074">
        <v>-441.4212</v>
      </c>
      <c r="K5074">
        <v>1.109966</v>
      </c>
      <c r="L5074">
        <v>212.9939</v>
      </c>
      <c r="M5074">
        <v>0.99987999999999999</v>
      </c>
      <c r="N5074">
        <v>0</v>
      </c>
      <c r="O5074">
        <v>1.30898E-2</v>
      </c>
      <c r="P5074">
        <v>0.99914130000000001</v>
      </c>
      <c r="Q5074">
        <v>3.0390859999999999E-2</v>
      </c>
      <c r="R5074">
        <v>-2.816256E-2</v>
      </c>
      <c r="S5074">
        <v>3.0212400000000001</v>
      </c>
      <c r="T5074">
        <v>-0.73581470000000004</v>
      </c>
      <c r="U5074">
        <v>-0.1370392</v>
      </c>
      <c r="V5074">
        <v>4.1230419999999997E-2</v>
      </c>
      <c r="W5074">
        <v>3.8678360000000002E-2</v>
      </c>
      <c r="X5074">
        <v>0.99840070000000003</v>
      </c>
      <c r="Y5074">
        <v>5.6358720000000001E-2</v>
      </c>
      <c r="Z5074">
        <v>-9.9016039999999996E-3</v>
      </c>
      <c r="AA5074">
        <v>0.99836150000000001</v>
      </c>
      <c r="AB5074">
        <v>24</v>
      </c>
      <c r="AC5074">
        <v>0.566599999999994</v>
      </c>
      <c r="AD5074">
        <v>-0.19639799999999999</v>
      </c>
      <c r="AE5074">
        <v>-3.9999999999992E-2</v>
      </c>
      <c r="AF5074">
        <v>4.23503769424994E-2</v>
      </c>
      <c r="AG5074">
        <v>-0.19639799999999999</v>
      </c>
      <c r="AH5074">
        <v>0.50558360956017701</v>
      </c>
      <c r="AI5074">
        <v>111.161535235353</v>
      </c>
      <c r="AJ5074">
        <v>85.211778411841294</v>
      </c>
      <c r="AK5074">
        <v>0.54404091306359403</v>
      </c>
      <c r="AL5074">
        <v>87.783340198373295</v>
      </c>
      <c r="AM5074">
        <v>87.635230501943397</v>
      </c>
      <c r="AN5074">
        <v>0.99999996041307704</v>
      </c>
    </row>
    <row r="5075" spans="1:40" x14ac:dyDescent="0.25">
      <c r="A5075" t="str">
        <f>"20190312150753476"</f>
        <v>20190312150753476</v>
      </c>
      <c r="B5075" t="str">
        <f>"1552374473464506"</f>
        <v>1552374473464506</v>
      </c>
      <c r="C5075" t="s">
        <v>40</v>
      </c>
      <c r="D5075">
        <v>4.3991170000000004</v>
      </c>
      <c r="E5075">
        <v>0.50771709999999903</v>
      </c>
      <c r="F5075" t="s">
        <v>41</v>
      </c>
      <c r="G5075">
        <v>-440.63220000000001</v>
      </c>
      <c r="H5075">
        <v>0.91965379999999997</v>
      </c>
      <c r="I5075">
        <v>212.95580000000001</v>
      </c>
      <c r="J5075">
        <v>-441.16520000000003</v>
      </c>
      <c r="K5075">
        <v>1.10996299999999</v>
      </c>
      <c r="L5075">
        <v>212.9975</v>
      </c>
      <c r="M5075">
        <v>0.99987769999999998</v>
      </c>
      <c r="N5075">
        <v>0</v>
      </c>
      <c r="O5075">
        <v>1.3259780000000001E-2</v>
      </c>
      <c r="P5075">
        <v>0.999139</v>
      </c>
      <c r="Q5075">
        <v>3.0006930000000001E-2</v>
      </c>
      <c r="R5075">
        <v>-2.8656899999999999E-2</v>
      </c>
      <c r="S5075">
        <v>3.0206909999999998</v>
      </c>
      <c r="T5075">
        <v>-0.72872349999999997</v>
      </c>
      <c r="U5075">
        <v>-0.14414979999999999</v>
      </c>
      <c r="V5075">
        <v>4.189441E-2</v>
      </c>
      <c r="W5075">
        <v>3.8299560000000003E-2</v>
      </c>
      <c r="X5075">
        <v>0.99838769999999999</v>
      </c>
      <c r="Y5075">
        <v>5.8843340000000001E-2</v>
      </c>
      <c r="Z5075">
        <v>-1.014579E-2</v>
      </c>
      <c r="AA5075">
        <v>0.99821570000000004</v>
      </c>
      <c r="AB5075">
        <v>25</v>
      </c>
      <c r="AC5075">
        <v>0.53300000000001502</v>
      </c>
      <c r="AD5075">
        <v>-0.19030919999999901</v>
      </c>
      <c r="AE5075">
        <v>-4.1699999999991598E-2</v>
      </c>
      <c r="AF5075">
        <v>4.3279981552265097E-2</v>
      </c>
      <c r="AG5075">
        <v>-0.19030919999999901</v>
      </c>
      <c r="AH5075">
        <v>0.47252587165705801</v>
      </c>
      <c r="AI5075">
        <v>111.854236333516</v>
      </c>
      <c r="AJ5075">
        <v>84.766719272519893</v>
      </c>
      <c r="AK5075">
        <v>0.51124499781715804</v>
      </c>
      <c r="AL5075">
        <v>87.805060018490394</v>
      </c>
      <c r="AM5075">
        <v>87.597160407752895</v>
      </c>
      <c r="AN5075">
        <v>0.99999999869836498</v>
      </c>
    </row>
    <row r="5076" spans="1:40" x14ac:dyDescent="0.25">
      <c r="A5076" t="str">
        <f>"20190312150753498"</f>
        <v>20190312150753498</v>
      </c>
      <c r="B5076" t="str">
        <f>"1552374473494527"</f>
        <v>1552374473494527</v>
      </c>
      <c r="C5076" t="s">
        <v>40</v>
      </c>
      <c r="D5076">
        <v>4.3410989999999998</v>
      </c>
      <c r="E5076">
        <v>0.50856570000000001</v>
      </c>
      <c r="F5076" t="s">
        <v>41</v>
      </c>
      <c r="G5076">
        <v>-440.40800000000002</v>
      </c>
      <c r="H5076">
        <v>0.92843659999999995</v>
      </c>
      <c r="I5076">
        <v>212.9589</v>
      </c>
      <c r="J5076">
        <v>-440.93020000000001</v>
      </c>
      <c r="K5076">
        <v>1.1099589999999999</v>
      </c>
      <c r="L5076">
        <v>213.0008</v>
      </c>
      <c r="M5076">
        <v>0.99987550000000003</v>
      </c>
      <c r="N5076">
        <v>0</v>
      </c>
      <c r="O5076">
        <v>1.34158E-2</v>
      </c>
      <c r="P5076">
        <v>0.99914029999999998</v>
      </c>
      <c r="Q5076">
        <v>2.9635109999999999E-2</v>
      </c>
      <c r="R5076">
        <v>-2.899699E-2</v>
      </c>
      <c r="S5076">
        <v>3.0199579999999999</v>
      </c>
      <c r="T5076">
        <v>-0.72409429999999997</v>
      </c>
      <c r="U5076">
        <v>-0.15255739999999901</v>
      </c>
      <c r="V5076">
        <v>4.2390339999999999E-2</v>
      </c>
      <c r="W5076">
        <v>3.7934089999999997E-2</v>
      </c>
      <c r="X5076">
        <v>0.99838070000000001</v>
      </c>
      <c r="Y5076">
        <v>6.1722029999999997E-2</v>
      </c>
      <c r="Z5076">
        <v>-1.046179E-2</v>
      </c>
      <c r="AA5076">
        <v>0.99803850000000005</v>
      </c>
      <c r="AB5076">
        <v>25</v>
      </c>
      <c r="AC5076">
        <v>0.522199999999998</v>
      </c>
      <c r="AD5076">
        <v>-0.1815224</v>
      </c>
      <c r="AE5076">
        <v>-4.1899999999998203E-2</v>
      </c>
      <c r="AF5076">
        <v>4.3660326545038902E-2</v>
      </c>
      <c r="AG5076">
        <v>-0.1815224</v>
      </c>
      <c r="AH5076">
        <v>0.46568102464059402</v>
      </c>
      <c r="AI5076">
        <v>111.21112699417</v>
      </c>
      <c r="AJ5076">
        <v>84.643841934871205</v>
      </c>
      <c r="AK5076">
        <v>0.50171248990441997</v>
      </c>
      <c r="AL5076">
        <v>87.826015092890003</v>
      </c>
      <c r="AM5076">
        <v>87.568733418120303</v>
      </c>
      <c r="AN5076">
        <v>0.99999997912096605</v>
      </c>
    </row>
    <row r="5077" spans="1:40" x14ac:dyDescent="0.25">
      <c r="A5077" t="str">
        <f>"20190312150753520"</f>
        <v>20190312150753520</v>
      </c>
      <c r="B5077" t="str">
        <f>"1552374473515024"</f>
        <v>1552374473515024</v>
      </c>
      <c r="C5077" t="s">
        <v>40</v>
      </c>
      <c r="D5077">
        <v>4.4004469999999998</v>
      </c>
      <c r="E5077">
        <v>0.50894450000000002</v>
      </c>
      <c r="F5077" t="s">
        <v>41</v>
      </c>
      <c r="G5077">
        <v>-440.18669999999997</v>
      </c>
      <c r="H5077">
        <v>0.92951740000000005</v>
      </c>
      <c r="I5077">
        <v>212.9606</v>
      </c>
      <c r="J5077">
        <v>-440.68169999999998</v>
      </c>
      <c r="K5077">
        <v>1.1099559999999999</v>
      </c>
      <c r="L5077">
        <v>213.0043</v>
      </c>
      <c r="M5077">
        <v>0.99987320000000002</v>
      </c>
      <c r="N5077">
        <v>0</v>
      </c>
      <c r="O5077">
        <v>1.358087E-2</v>
      </c>
      <c r="P5077">
        <v>0.99911249999999996</v>
      </c>
      <c r="Q5077">
        <v>2.9760950000000001E-2</v>
      </c>
      <c r="R5077">
        <v>-2.9807719999999999E-2</v>
      </c>
      <c r="S5077">
        <v>3.0196839999999998</v>
      </c>
      <c r="T5077">
        <v>-0.73289359999999903</v>
      </c>
      <c r="U5077">
        <v>-0.16099550000000001</v>
      </c>
      <c r="V5077">
        <v>4.3365470000000003E-2</v>
      </c>
      <c r="W5077">
        <v>3.8066549999999998E-2</v>
      </c>
      <c r="X5077">
        <v>0.99833380000000005</v>
      </c>
      <c r="Y5077">
        <v>6.4535019999999998E-2</v>
      </c>
      <c r="Z5077">
        <v>-1.096131E-2</v>
      </c>
      <c r="AA5077">
        <v>0.99785520000000005</v>
      </c>
      <c r="AB5077">
        <v>25</v>
      </c>
      <c r="AC5077">
        <v>0.49500000000000399</v>
      </c>
      <c r="AD5077">
        <v>-0.18043859999999901</v>
      </c>
      <c r="AE5077">
        <v>-4.3700000000001099E-2</v>
      </c>
      <c r="AF5077">
        <v>4.45454590127905E-2</v>
      </c>
      <c r="AG5077">
        <v>-0.18043859999999901</v>
      </c>
      <c r="AH5077">
        <v>0.43677279178629203</v>
      </c>
      <c r="AI5077">
        <v>112.341969349073</v>
      </c>
      <c r="AJ5077">
        <v>84.176669115059298</v>
      </c>
      <c r="AK5077">
        <v>0.47467131568424498</v>
      </c>
      <c r="AL5077">
        <v>87.818420256425</v>
      </c>
      <c r="AM5077">
        <v>87.512758306486703</v>
      </c>
      <c r="AN5077">
        <v>1.00000000121983</v>
      </c>
    </row>
    <row r="5078" spans="1:40" x14ac:dyDescent="0.25">
      <c r="A5078" t="str">
        <f>"20190312150753543"</f>
        <v>20190312150753543</v>
      </c>
      <c r="B5078" t="str">
        <f>"1552374473534544"</f>
        <v>1552374473534544</v>
      </c>
      <c r="C5078" t="s">
        <v>40</v>
      </c>
      <c r="D5078">
        <v>4.4438719999999998</v>
      </c>
      <c r="E5078">
        <v>0.50913059999999999</v>
      </c>
      <c r="F5078" t="s">
        <v>41</v>
      </c>
      <c r="G5078">
        <v>-439.96280000000002</v>
      </c>
      <c r="H5078">
        <v>0.93482069999999995</v>
      </c>
      <c r="I5078">
        <v>212.96459999999999</v>
      </c>
      <c r="J5078">
        <v>-440.42959999999999</v>
      </c>
      <c r="K5078">
        <v>1.109955</v>
      </c>
      <c r="L5078">
        <v>213.00790000000001</v>
      </c>
      <c r="M5078">
        <v>0.99987099999999995</v>
      </c>
      <c r="N5078">
        <v>0</v>
      </c>
      <c r="O5078">
        <v>1.3748079999999999E-2</v>
      </c>
      <c r="P5078">
        <v>0.99913949999999996</v>
      </c>
      <c r="Q5078">
        <v>2.8935160000000001E-2</v>
      </c>
      <c r="R5078">
        <v>-2.9718189999999998E-2</v>
      </c>
      <c r="S5078">
        <v>3.0196230000000002</v>
      </c>
      <c r="T5078">
        <v>-0.73565999999999998</v>
      </c>
      <c r="U5078">
        <v>-0.166153</v>
      </c>
      <c r="V5078">
        <v>4.3443570000000001E-2</v>
      </c>
      <c r="W5078">
        <v>3.7252210000000001E-2</v>
      </c>
      <c r="X5078">
        <v>0.9983611</v>
      </c>
      <c r="Y5078">
        <v>6.632826E-2</v>
      </c>
      <c r="Z5078">
        <v>-1.1256510000000001E-2</v>
      </c>
      <c r="AA5078">
        <v>0.99773440000000002</v>
      </c>
      <c r="AB5078">
        <v>25</v>
      </c>
      <c r="AC5078">
        <v>0.46679999999997701</v>
      </c>
      <c r="AD5078">
        <v>-0.17513429999999899</v>
      </c>
      <c r="AE5078">
        <v>-4.3300000000016298E-2</v>
      </c>
      <c r="AF5078">
        <v>4.3625387937278097E-2</v>
      </c>
      <c r="AG5078">
        <v>-0.17513429999999899</v>
      </c>
      <c r="AH5078">
        <v>0.40907078513492201</v>
      </c>
      <c r="AI5078">
        <v>113.060090707884</v>
      </c>
      <c r="AJ5078">
        <v>83.912694575160103</v>
      </c>
      <c r="AK5078">
        <v>0.44711755138897102</v>
      </c>
      <c r="AL5078">
        <v>87.865111575409401</v>
      </c>
      <c r="AM5078">
        <v>87.508352543987598</v>
      </c>
      <c r="AN5078">
        <v>0.99999997845871902</v>
      </c>
    </row>
    <row r="5079" spans="1:40" x14ac:dyDescent="0.25">
      <c r="A5079" t="str">
        <f>"20190312150753566"</f>
        <v>20190312150753566</v>
      </c>
      <c r="B5079" t="str">
        <f>"1552374473555040"</f>
        <v>1552374473555040</v>
      </c>
      <c r="C5079" t="s">
        <v>40</v>
      </c>
      <c r="D5079">
        <v>4.362622</v>
      </c>
      <c r="E5079">
        <v>0.52955920000000001</v>
      </c>
      <c r="F5079" t="s">
        <v>41</v>
      </c>
      <c r="G5079">
        <v>-439.73809999999997</v>
      </c>
      <c r="H5079">
        <v>0.9407742</v>
      </c>
      <c r="I5079">
        <v>212.9691</v>
      </c>
      <c r="J5079">
        <v>-440.18150000000003</v>
      </c>
      <c r="K5079">
        <v>1.109958</v>
      </c>
      <c r="L5079">
        <v>213.01150000000001</v>
      </c>
      <c r="M5079">
        <v>0.9998686</v>
      </c>
      <c r="N5079">
        <v>0</v>
      </c>
      <c r="O5079">
        <v>1.3912280000000001E-2</v>
      </c>
      <c r="P5079">
        <v>0.99915710000000002</v>
      </c>
      <c r="Q5079">
        <v>2.8078189999999999E-2</v>
      </c>
      <c r="R5079">
        <v>-2.99455E-2</v>
      </c>
      <c r="S5079">
        <v>3.019012</v>
      </c>
      <c r="T5079">
        <v>-0.7386568</v>
      </c>
      <c r="U5079">
        <v>-0.16711429999999999</v>
      </c>
      <c r="V5079">
        <v>4.3835440000000003E-2</v>
      </c>
      <c r="W5079">
        <v>3.641498E-2</v>
      </c>
      <c r="X5079">
        <v>0.99837489999999995</v>
      </c>
      <c r="Y5079">
        <v>6.6782010000000003E-2</v>
      </c>
      <c r="Z5079">
        <v>-1.139741E-2</v>
      </c>
      <c r="AA5079">
        <v>0.99770250000000005</v>
      </c>
      <c r="AB5079">
        <v>25</v>
      </c>
      <c r="AC5079">
        <v>0.44340000000005297</v>
      </c>
      <c r="AD5079">
        <v>-0.1691838</v>
      </c>
      <c r="AE5079">
        <v>-4.2400000000014801E-2</v>
      </c>
      <c r="AF5079">
        <v>4.2441781711827303E-2</v>
      </c>
      <c r="AG5079">
        <v>-0.1691838</v>
      </c>
      <c r="AH5079">
        <v>0.38694326867031298</v>
      </c>
      <c r="AI5079">
        <v>113.490966818101</v>
      </c>
      <c r="AJ5079">
        <v>83.740547791222994</v>
      </c>
      <c r="AK5079">
        <v>0.42444028577242798</v>
      </c>
      <c r="AL5079">
        <v>87.913113981230495</v>
      </c>
      <c r="AM5079">
        <v>87.4859407833913</v>
      </c>
      <c r="AN5079">
        <v>1.0000000187592</v>
      </c>
    </row>
    <row r="5080" spans="1:40" x14ac:dyDescent="0.25">
      <c r="A5080" t="str">
        <f>"20190312150753588"</f>
        <v>20190312150753588</v>
      </c>
      <c r="B5080" t="str">
        <f>"1552374473584883"</f>
        <v>1552374473584883</v>
      </c>
      <c r="C5080" t="s">
        <v>40</v>
      </c>
      <c r="D5080">
        <v>4.3255059999999999</v>
      </c>
      <c r="E5080">
        <v>0.53201129999999996</v>
      </c>
      <c r="F5080" t="s">
        <v>41</v>
      </c>
      <c r="G5080">
        <v>-439.32510000000002</v>
      </c>
      <c r="H5080">
        <v>0.86348780000000003</v>
      </c>
      <c r="I5080">
        <v>212.9171</v>
      </c>
      <c r="J5080">
        <v>-439.92680000000001</v>
      </c>
      <c r="K5080">
        <v>1.1099589999999999</v>
      </c>
      <c r="L5080">
        <v>213.01519999999999</v>
      </c>
      <c r="M5080">
        <v>0.99986589999999997</v>
      </c>
      <c r="N5080">
        <v>0</v>
      </c>
      <c r="O5080">
        <v>1.408156E-2</v>
      </c>
      <c r="P5080">
        <v>0.99919119999999995</v>
      </c>
      <c r="Q5080">
        <v>2.734909E-2</v>
      </c>
      <c r="R5080">
        <v>-2.9485310000000001E-2</v>
      </c>
      <c r="S5080">
        <v>3.0169980000000001</v>
      </c>
      <c r="T5080">
        <v>-0.86825810000000003</v>
      </c>
      <c r="U5080">
        <v>-0.33132929999999999</v>
      </c>
      <c r="V5080">
        <v>4.3544659999999999E-2</v>
      </c>
      <c r="W5080">
        <v>3.571448E-2</v>
      </c>
      <c r="X5080">
        <v>0.99841290000000005</v>
      </c>
      <c r="Y5080">
        <v>0.11785710000000001</v>
      </c>
      <c r="Z5080">
        <v>-2.0536189999999999E-2</v>
      </c>
      <c r="AA5080">
        <v>0.99281819999999998</v>
      </c>
      <c r="AB5080">
        <v>25</v>
      </c>
      <c r="AC5080">
        <v>0.60169999999999302</v>
      </c>
      <c r="AD5080">
        <v>-0.246471199999999</v>
      </c>
      <c r="AE5080">
        <v>-9.8099999999988002E-2</v>
      </c>
      <c r="AF5080">
        <v>9.1592805641855901E-2</v>
      </c>
      <c r="AG5080">
        <v>-0.246471199999999</v>
      </c>
      <c r="AH5080">
        <v>0.51593110988319302</v>
      </c>
      <c r="AI5080">
        <v>115.190720133675</v>
      </c>
      <c r="AJ5080">
        <v>79.933212116502304</v>
      </c>
      <c r="AK5080">
        <v>0.57907012064178298</v>
      </c>
      <c r="AL5080">
        <v>87.953275743385504</v>
      </c>
      <c r="AM5080">
        <v>87.502691404581498</v>
      </c>
      <c r="AN5080">
        <v>0.99999999019129804</v>
      </c>
    </row>
    <row r="5081" spans="1:40" x14ac:dyDescent="0.25">
      <c r="A5081" t="str">
        <f>"20190312150753610"</f>
        <v>20190312150753610</v>
      </c>
      <c r="B5081" t="str">
        <f>"1552374473605380"</f>
        <v>1552374473605380</v>
      </c>
      <c r="C5081" t="s">
        <v>40</v>
      </c>
      <c r="D5081">
        <v>4.2979989999999999</v>
      </c>
      <c r="E5081">
        <v>0.53216140000000001</v>
      </c>
      <c r="F5081" t="s">
        <v>41</v>
      </c>
      <c r="G5081">
        <v>-439.10129999999998</v>
      </c>
      <c r="H5081">
        <v>0.86443869999999901</v>
      </c>
      <c r="I5081">
        <v>212.91919999999999</v>
      </c>
      <c r="J5081">
        <v>-439.69380000000001</v>
      </c>
      <c r="K5081">
        <v>1.1099479999999999</v>
      </c>
      <c r="L5081">
        <v>213.0187</v>
      </c>
      <c r="M5081">
        <v>0.99986339999999996</v>
      </c>
      <c r="N5081">
        <v>0</v>
      </c>
      <c r="O5081">
        <v>1.4235930000000001E-2</v>
      </c>
      <c r="P5081">
        <v>0.99922029999999995</v>
      </c>
      <c r="Q5081">
        <v>2.6883290000000001E-2</v>
      </c>
      <c r="R5081">
        <v>-2.8919179999999999E-2</v>
      </c>
      <c r="S5081">
        <v>3.0166930000000001</v>
      </c>
      <c r="T5081">
        <v>-0.89729619999999999</v>
      </c>
      <c r="U5081">
        <v>-0.3499603</v>
      </c>
      <c r="V5081">
        <v>4.3133329999999998E-2</v>
      </c>
      <c r="W5081">
        <v>3.5278450000000003E-2</v>
      </c>
      <c r="X5081">
        <v>0.99844630000000001</v>
      </c>
      <c r="Y5081">
        <v>0.1234773</v>
      </c>
      <c r="Z5081">
        <v>-2.2050770000000001E-2</v>
      </c>
      <c r="AA5081">
        <v>0.99210240000000005</v>
      </c>
      <c r="AB5081">
        <v>25</v>
      </c>
      <c r="AC5081">
        <v>0.592500000000029</v>
      </c>
      <c r="AD5081">
        <v>-0.24550930000000001</v>
      </c>
      <c r="AE5081">
        <v>-9.9500000000006097E-2</v>
      </c>
      <c r="AF5081">
        <v>9.2481801756370302E-2</v>
      </c>
      <c r="AG5081">
        <v>-0.24550930000000001</v>
      </c>
      <c r="AH5081">
        <v>0.50645272591845203</v>
      </c>
      <c r="AI5081">
        <v>115.495396670715</v>
      </c>
      <c r="AJ5081">
        <v>79.651411153008297</v>
      </c>
      <c r="AK5081">
        <v>0.57037011109701796</v>
      </c>
      <c r="AL5081">
        <v>87.978274264307302</v>
      </c>
      <c r="AM5081">
        <v>87.526334595767693</v>
      </c>
      <c r="AN5081">
        <v>1.0000000335874899</v>
      </c>
    </row>
    <row r="5082" spans="1:40" x14ac:dyDescent="0.25">
      <c r="A5082" t="str">
        <f>"20190312150753632"</f>
        <v>20190312150753632</v>
      </c>
      <c r="B5082" t="str">
        <f>"1552374473624899"</f>
        <v>1552374473624899</v>
      </c>
      <c r="C5082" t="s">
        <v>40</v>
      </c>
      <c r="D5082">
        <v>4.3104310000000003</v>
      </c>
      <c r="E5082">
        <v>0.53237500000000004</v>
      </c>
      <c r="F5082" t="s">
        <v>41</v>
      </c>
      <c r="G5082">
        <v>-438.87720000000002</v>
      </c>
      <c r="H5082">
        <v>0.86522779999999999</v>
      </c>
      <c r="I5082">
        <v>212.92359999999999</v>
      </c>
      <c r="J5082">
        <v>-439.43560000000002</v>
      </c>
      <c r="K5082">
        <v>1.1099559999999999</v>
      </c>
      <c r="L5082">
        <v>213.02260000000001</v>
      </c>
      <c r="M5082">
        <v>0.99986070000000005</v>
      </c>
      <c r="N5082">
        <v>0</v>
      </c>
      <c r="O5082">
        <v>1.440702E-2</v>
      </c>
      <c r="P5082">
        <v>0.99924429999999997</v>
      </c>
      <c r="Q5082">
        <v>2.6748049999999999E-2</v>
      </c>
      <c r="R5082">
        <v>-2.8204659999999999E-2</v>
      </c>
      <c r="S5082">
        <v>3.0165709999999999</v>
      </c>
      <c r="T5082">
        <v>-0.90401030000000004</v>
      </c>
      <c r="U5082">
        <v>-0.34954829999999998</v>
      </c>
      <c r="V5082">
        <v>4.2590080000000002E-2</v>
      </c>
      <c r="W5082">
        <v>3.5181240000000003E-2</v>
      </c>
      <c r="X5082">
        <v>0.99847300000000005</v>
      </c>
      <c r="Y5082">
        <v>0.12342549999999999</v>
      </c>
      <c r="Z5082">
        <v>-2.225239E-2</v>
      </c>
      <c r="AA5082">
        <v>0.99210430000000005</v>
      </c>
      <c r="AB5082">
        <v>25</v>
      </c>
      <c r="AC5082">
        <v>0.558400000000006</v>
      </c>
      <c r="AD5082">
        <v>-0.24472819999999901</v>
      </c>
      <c r="AE5082">
        <v>-9.9000000000017893E-2</v>
      </c>
      <c r="AF5082">
        <v>9.0231576664711904E-2</v>
      </c>
      <c r="AG5082">
        <v>-0.24472819999999901</v>
      </c>
      <c r="AH5082">
        <v>0.46948598985937501</v>
      </c>
      <c r="AI5082">
        <v>117.107900384811</v>
      </c>
      <c r="AJ5082">
        <v>79.120850615513007</v>
      </c>
      <c r="AK5082">
        <v>0.53707608769789505</v>
      </c>
      <c r="AL5082">
        <v>87.9838473447372</v>
      </c>
      <c r="AM5082">
        <v>87.557516855580701</v>
      </c>
      <c r="AN5082">
        <v>0.99999998314567096</v>
      </c>
    </row>
    <row r="5083" spans="1:40" x14ac:dyDescent="0.25">
      <c r="A5083" t="str">
        <f>"20190312150753655"</f>
        <v>20190312150753655</v>
      </c>
      <c r="B5083" t="str">
        <f>"1552374473645396"</f>
        <v>1552374473645396</v>
      </c>
      <c r="C5083" t="s">
        <v>40</v>
      </c>
      <c r="D5083">
        <v>4.3804030000000003</v>
      </c>
      <c r="E5083">
        <v>0.53287289999999998</v>
      </c>
      <c r="F5083" t="s">
        <v>41</v>
      </c>
      <c r="G5083">
        <v>-438.64980000000003</v>
      </c>
      <c r="H5083">
        <v>0.87334730000000005</v>
      </c>
      <c r="I5083">
        <v>212.93109999999999</v>
      </c>
      <c r="J5083">
        <v>-439.18400000000003</v>
      </c>
      <c r="K5083">
        <v>1.109961</v>
      </c>
      <c r="L5083">
        <v>213.0264</v>
      </c>
      <c r="M5083">
        <v>0.99985780000000002</v>
      </c>
      <c r="N5083">
        <v>0</v>
      </c>
      <c r="O5083">
        <v>1.4573859999999999E-2</v>
      </c>
      <c r="P5083">
        <v>0.99926809999999999</v>
      </c>
      <c r="Q5083">
        <v>2.6639320000000001E-2</v>
      </c>
      <c r="R5083">
        <v>-2.745792E-2</v>
      </c>
      <c r="S5083">
        <v>3.016724</v>
      </c>
      <c r="T5083">
        <v>-0.90833079999999999</v>
      </c>
      <c r="U5083">
        <v>-0.34974670000000002</v>
      </c>
      <c r="V5083">
        <v>4.201034E-2</v>
      </c>
      <c r="W5083">
        <v>3.5114050000000001E-2</v>
      </c>
      <c r="X5083">
        <v>0.9984999</v>
      </c>
      <c r="Y5083">
        <v>0.12358</v>
      </c>
      <c r="Z5083">
        <v>-2.2424820000000002E-2</v>
      </c>
      <c r="AA5083">
        <v>0.9920812</v>
      </c>
      <c r="AB5083">
        <v>25</v>
      </c>
      <c r="AC5083">
        <v>0.53419999999999801</v>
      </c>
      <c r="AD5083">
        <v>-0.23661369999999901</v>
      </c>
      <c r="AE5083">
        <v>-9.5300000000008794E-2</v>
      </c>
      <c r="AF5083">
        <v>8.6608139365971101E-2</v>
      </c>
      <c r="AG5083">
        <v>-0.23661369999999901</v>
      </c>
      <c r="AH5083">
        <v>0.44764133338612899</v>
      </c>
      <c r="AI5083">
        <v>117.427277722117</v>
      </c>
      <c r="AJ5083">
        <v>79.049899996164996</v>
      </c>
      <c r="AK5083">
        <v>0.51368256364007203</v>
      </c>
      <c r="AL5083">
        <v>87.987699377162201</v>
      </c>
      <c r="AM5083">
        <v>87.590789538712201</v>
      </c>
      <c r="AN5083">
        <v>0.99999995773716299</v>
      </c>
    </row>
    <row r="5084" spans="1:40" x14ac:dyDescent="0.25">
      <c r="A5084" t="str">
        <f>"20190312150753676"</f>
        <v>20190312150753676</v>
      </c>
      <c r="B5084" t="str">
        <f>"1552374473664930"</f>
        <v>1552374473664930</v>
      </c>
      <c r="C5084" t="s">
        <v>40</v>
      </c>
      <c r="D5084">
        <v>4.3046709999999999</v>
      </c>
      <c r="E5084">
        <v>0.532941</v>
      </c>
      <c r="F5084" t="s">
        <v>41</v>
      </c>
      <c r="G5084">
        <v>-438.42200000000003</v>
      </c>
      <c r="H5084">
        <v>0.88119239999999999</v>
      </c>
      <c r="I5084">
        <v>212.93719999999999</v>
      </c>
      <c r="J5084">
        <v>-438.94130000000001</v>
      </c>
      <c r="K5084">
        <v>1.10996299999999</v>
      </c>
      <c r="L5084">
        <v>213.0301</v>
      </c>
      <c r="M5084">
        <v>0.9998551</v>
      </c>
      <c r="N5084">
        <v>0</v>
      </c>
      <c r="O5084">
        <v>1.473431E-2</v>
      </c>
      <c r="P5084">
        <v>0.99930759999999996</v>
      </c>
      <c r="Q5084">
        <v>2.6215470000000001E-2</v>
      </c>
      <c r="R5084">
        <v>-2.6402269999999999E-2</v>
      </c>
      <c r="S5084">
        <v>3.016724</v>
      </c>
      <c r="T5084">
        <v>-0.90582989999999997</v>
      </c>
      <c r="U5084">
        <v>-0.35145569999999998</v>
      </c>
      <c r="V5084">
        <v>4.1115730000000003E-2</v>
      </c>
      <c r="W5084">
        <v>3.4735189999999999E-2</v>
      </c>
      <c r="X5084">
        <v>0.99855039999999995</v>
      </c>
      <c r="Y5084">
        <v>0.1242888</v>
      </c>
      <c r="Z5084">
        <v>-2.2515779999999999E-2</v>
      </c>
      <c r="AA5084">
        <v>0.99199059999999994</v>
      </c>
      <c r="AB5084">
        <v>25</v>
      </c>
      <c r="AC5084">
        <v>0.51930000000004295</v>
      </c>
      <c r="AD5084">
        <v>-0.22877059999999899</v>
      </c>
      <c r="AE5084">
        <v>-9.2900000000014402E-2</v>
      </c>
      <c r="AF5084">
        <v>8.46272269307181E-2</v>
      </c>
      <c r="AG5084">
        <v>-0.22877059999999899</v>
      </c>
      <c r="AH5084">
        <v>0.43590167954574799</v>
      </c>
      <c r="AI5084">
        <v>117.25761447462899</v>
      </c>
      <c r="AJ5084">
        <v>79.013106520401095</v>
      </c>
      <c r="AK5084">
        <v>0.49950778691943098</v>
      </c>
      <c r="AL5084">
        <v>88.009419730185201</v>
      </c>
      <c r="AM5084">
        <v>87.642154242602402</v>
      </c>
      <c r="AN5084">
        <v>0.99999996900896304</v>
      </c>
    </row>
    <row r="5085" spans="1:40" x14ac:dyDescent="0.25">
      <c r="A5085" t="str">
        <f>"20190312150753699"</f>
        <v>20190312150753699</v>
      </c>
      <c r="B5085" t="str">
        <f>"1552374473694798"</f>
        <v>1552374473694798</v>
      </c>
      <c r="C5085" t="s">
        <v>40</v>
      </c>
      <c r="D5085">
        <v>4.3481639999999997</v>
      </c>
      <c r="E5085">
        <v>0.53352699999999997</v>
      </c>
      <c r="F5085" t="s">
        <v>41</v>
      </c>
      <c r="G5085">
        <v>-438.1952</v>
      </c>
      <c r="H5085">
        <v>0.88574349999999902</v>
      </c>
      <c r="I5085">
        <v>212.9435</v>
      </c>
      <c r="J5085">
        <v>-438.69110000000001</v>
      </c>
      <c r="K5085">
        <v>1.1099730000000001</v>
      </c>
      <c r="L5085">
        <v>213.03399999999999</v>
      </c>
      <c r="M5085">
        <v>0.99985239999999997</v>
      </c>
      <c r="N5085">
        <v>0</v>
      </c>
      <c r="O5085">
        <v>1.4899920000000001E-2</v>
      </c>
      <c r="P5085">
        <v>0.99935350000000001</v>
      </c>
      <c r="Q5085">
        <v>2.5552620000000002E-2</v>
      </c>
      <c r="R5085">
        <v>-2.52924E-2</v>
      </c>
      <c r="S5085">
        <v>3.016632</v>
      </c>
      <c r="T5085">
        <v>-0.90648269999999997</v>
      </c>
      <c r="U5085">
        <v>-0.34912110000000002</v>
      </c>
      <c r="V5085">
        <v>4.0172380000000001E-2</v>
      </c>
      <c r="W5085">
        <v>3.4122819999999998E-2</v>
      </c>
      <c r="X5085">
        <v>0.99861</v>
      </c>
      <c r="Y5085">
        <v>0.1237075</v>
      </c>
      <c r="Z5085">
        <v>-2.249628E-2</v>
      </c>
      <c r="AA5085">
        <v>0.99206369999999999</v>
      </c>
      <c r="AB5085">
        <v>25</v>
      </c>
      <c r="AC5085">
        <v>0.495900000000006</v>
      </c>
      <c r="AD5085">
        <v>-0.2242295</v>
      </c>
      <c r="AE5085">
        <v>-9.0500000000019995E-2</v>
      </c>
      <c r="AF5085">
        <v>8.1711295922538493E-2</v>
      </c>
      <c r="AG5085">
        <v>-0.2242295</v>
      </c>
      <c r="AH5085">
        <v>0.41281487834653202</v>
      </c>
      <c r="AI5085">
        <v>118.05022442110899</v>
      </c>
      <c r="AJ5085">
        <v>78.803773175164295</v>
      </c>
      <c r="AK5085">
        <v>0.47683511650868698</v>
      </c>
      <c r="AL5085">
        <v>88.0445269387465</v>
      </c>
      <c r="AM5085">
        <v>87.6963304983082</v>
      </c>
      <c r="AN5085">
        <v>1.0000000595298</v>
      </c>
    </row>
    <row r="5086" spans="1:40" x14ac:dyDescent="0.25">
      <c r="A5086" t="str">
        <f>"20190312150753722"</f>
        <v>20190312150753722</v>
      </c>
      <c r="B5086" t="str">
        <f>"1552374473715294"</f>
        <v>1552374473715294</v>
      </c>
      <c r="C5086" t="s">
        <v>40</v>
      </c>
      <c r="D5086">
        <v>4.3555469999999996</v>
      </c>
      <c r="E5086">
        <v>0.54698239999999998</v>
      </c>
      <c r="F5086" t="s">
        <v>41</v>
      </c>
      <c r="G5086">
        <v>-437.96679999999998</v>
      </c>
      <c r="H5086">
        <v>0.89283009999999996</v>
      </c>
      <c r="I5086">
        <v>212.94929999999999</v>
      </c>
      <c r="J5086">
        <v>-438.4323</v>
      </c>
      <c r="K5086">
        <v>1.1099829999999999</v>
      </c>
      <c r="L5086">
        <v>213.03800000000001</v>
      </c>
      <c r="M5086">
        <v>0.99984930000000005</v>
      </c>
      <c r="N5086">
        <v>0</v>
      </c>
      <c r="O5086">
        <v>1.507087E-2</v>
      </c>
      <c r="P5086">
        <v>0.99936999999999998</v>
      </c>
      <c r="Q5086">
        <v>2.568407E-2</v>
      </c>
      <c r="R5086">
        <v>-2.4497519999999998E-2</v>
      </c>
      <c r="S5086">
        <v>3.016235</v>
      </c>
      <c r="T5086">
        <v>-0.90430069999999996</v>
      </c>
      <c r="U5086">
        <v>-0.35040280000000001</v>
      </c>
      <c r="V5086">
        <v>3.9548180000000002E-2</v>
      </c>
      <c r="W5086">
        <v>3.431058E-2</v>
      </c>
      <c r="X5086">
        <v>0.99862839999999997</v>
      </c>
      <c r="Y5086">
        <v>0.12430190000000001</v>
      </c>
      <c r="Z5086">
        <v>-2.258363E-2</v>
      </c>
      <c r="AA5086">
        <v>0.99198739999999996</v>
      </c>
      <c r="AB5086">
        <v>25</v>
      </c>
      <c r="AC5086">
        <v>0.46550000000002001</v>
      </c>
      <c r="AD5086">
        <v>-0.21715290000000001</v>
      </c>
      <c r="AE5086">
        <v>-8.8699999999988594E-2</v>
      </c>
      <c r="AF5086">
        <v>7.90961196118906E-2</v>
      </c>
      <c r="AG5086">
        <v>-0.21715290000000001</v>
      </c>
      <c r="AH5086">
        <v>0.38356474558954101</v>
      </c>
      <c r="AI5086">
        <v>119.007383216683</v>
      </c>
      <c r="AJ5086">
        <v>78.348181018289196</v>
      </c>
      <c r="AK5086">
        <v>0.44780966065420902</v>
      </c>
      <c r="AL5086">
        <v>88.033762620083095</v>
      </c>
      <c r="AM5086">
        <v>87.732129076964398</v>
      </c>
      <c r="AN5086">
        <v>0.99999997786390404</v>
      </c>
    </row>
    <row r="5087" spans="1:40" x14ac:dyDescent="0.25">
      <c r="A5087" t="str">
        <f>"20190312150753743"</f>
        <v>20190312150753743</v>
      </c>
      <c r="B5087" t="str">
        <f>"1552374473734814"</f>
        <v>1552374473734814</v>
      </c>
      <c r="C5087" t="s">
        <v>40</v>
      </c>
      <c r="D5087">
        <v>4.3017599999999998</v>
      </c>
      <c r="E5087">
        <v>0.54642749999999995</v>
      </c>
      <c r="F5087" t="s">
        <v>41</v>
      </c>
      <c r="G5087">
        <v>-437.73719999999997</v>
      </c>
      <c r="H5087">
        <v>0.89775819999999995</v>
      </c>
      <c r="I5087">
        <v>212.9325</v>
      </c>
      <c r="J5087">
        <v>-438.17770000000002</v>
      </c>
      <c r="K5087">
        <v>1.1099909999999999</v>
      </c>
      <c r="L5087">
        <v>213.042</v>
      </c>
      <c r="M5087">
        <v>0.99984620000000002</v>
      </c>
      <c r="N5087">
        <v>0</v>
      </c>
      <c r="O5087">
        <v>1.523942E-2</v>
      </c>
      <c r="P5087">
        <v>0.99938919999999998</v>
      </c>
      <c r="Q5087">
        <v>2.5554259999999999E-2</v>
      </c>
      <c r="R5087">
        <v>-2.3838499999999999E-2</v>
      </c>
      <c r="S5087">
        <v>3.0143430000000002</v>
      </c>
      <c r="T5087">
        <v>-0.92044809999999999</v>
      </c>
      <c r="U5087">
        <v>-0.45576480000000003</v>
      </c>
      <c r="V5087">
        <v>3.9058130000000003E-2</v>
      </c>
      <c r="W5087">
        <v>3.4240060000000003E-2</v>
      </c>
      <c r="X5087">
        <v>0.99865009999999999</v>
      </c>
      <c r="Y5087">
        <v>0.1568727</v>
      </c>
      <c r="Z5087">
        <v>-2.782047E-2</v>
      </c>
      <c r="AA5087">
        <v>0.98722690000000002</v>
      </c>
      <c r="AB5087">
        <v>25</v>
      </c>
      <c r="AC5087">
        <v>0.44050000000004202</v>
      </c>
      <c r="AD5087">
        <v>-0.212232799999999</v>
      </c>
      <c r="AE5087">
        <v>-0.109499999999997</v>
      </c>
      <c r="AF5087">
        <v>9.5354029724292994E-2</v>
      </c>
      <c r="AG5087">
        <v>-0.212232799999999</v>
      </c>
      <c r="AH5087">
        <v>0.36006253817536599</v>
      </c>
      <c r="AI5087">
        <v>119.67410720906</v>
      </c>
      <c r="AJ5087">
        <v>75.167072584260893</v>
      </c>
      <c r="AK5087">
        <v>0.42869591061472501</v>
      </c>
      <c r="AL5087">
        <v>88.037805480016203</v>
      </c>
      <c r="AM5087">
        <v>87.760250572862404</v>
      </c>
      <c r="AN5087">
        <v>0.99999997072895397</v>
      </c>
    </row>
    <row r="5088" spans="1:40" x14ac:dyDescent="0.25">
      <c r="A5088" t="str">
        <f>"20190312150753756"</f>
        <v>20190312150753756</v>
      </c>
      <c r="B5088" t="str">
        <f>"1552374473745550"</f>
        <v>1552374473745550</v>
      </c>
      <c r="C5088" t="s">
        <v>40</v>
      </c>
      <c r="D5088">
        <v>4.3151519999999897</v>
      </c>
      <c r="E5088">
        <v>0.54663969999999995</v>
      </c>
      <c r="F5088" t="s">
        <v>41</v>
      </c>
      <c r="G5088">
        <v>-437.5059</v>
      </c>
      <c r="H5088">
        <v>0.91002620000000001</v>
      </c>
      <c r="I5088">
        <v>212.94130000000001</v>
      </c>
      <c r="J5088">
        <v>-438.03489999999999</v>
      </c>
      <c r="K5088">
        <v>1.1099950000000001</v>
      </c>
      <c r="L5088">
        <v>213.04429999999999</v>
      </c>
      <c r="M5088">
        <v>0.99984459999999997</v>
      </c>
      <c r="N5088">
        <v>0</v>
      </c>
      <c r="O5088">
        <v>1.53338E-2</v>
      </c>
      <c r="P5088">
        <v>0.99941049999999998</v>
      </c>
      <c r="Q5088">
        <v>2.5242730000000001E-2</v>
      </c>
      <c r="R5088">
        <v>-2.3279480000000002E-2</v>
      </c>
      <c r="S5088">
        <v>3.0140690000000001</v>
      </c>
      <c r="T5088">
        <v>-0.89713449999999995</v>
      </c>
      <c r="U5088">
        <v>-0.4494476</v>
      </c>
      <c r="V5088">
        <v>3.8593929999999999E-2</v>
      </c>
      <c r="W5088">
        <v>3.3963170000000001E-2</v>
      </c>
      <c r="X5088">
        <v>0.99867760000000005</v>
      </c>
      <c r="Y5088">
        <v>0.15538669999999999</v>
      </c>
      <c r="Z5088">
        <v>-2.6963290000000001E-2</v>
      </c>
      <c r="AA5088">
        <v>0.98748559999999996</v>
      </c>
      <c r="AB5088">
        <v>25</v>
      </c>
      <c r="AC5088">
        <v>0.52899999999999603</v>
      </c>
      <c r="AD5088">
        <v>-0.1999688</v>
      </c>
      <c r="AE5088">
        <v>-0.10299999999998</v>
      </c>
      <c r="AF5088">
        <v>9.7655163298374204E-2</v>
      </c>
      <c r="AG5088">
        <v>-0.1999688</v>
      </c>
      <c r="AH5088">
        <v>0.46354068738484699</v>
      </c>
      <c r="AI5088">
        <v>112.885986985458</v>
      </c>
      <c r="AJ5088">
        <v>78.103335202375902</v>
      </c>
      <c r="AK5088">
        <v>0.51419259111104398</v>
      </c>
      <c r="AL5088">
        <v>88.053679337371904</v>
      </c>
      <c r="AM5088">
        <v>87.786903910935607</v>
      </c>
      <c r="AN5088">
        <v>0.99999996854552597</v>
      </c>
    </row>
    <row r="5089" spans="1:40" x14ac:dyDescent="0.25">
      <c r="A5089" t="str">
        <f>"20190312150753778"</f>
        <v>20190312150753778</v>
      </c>
      <c r="B5089" t="str">
        <f>"1552374473774829"</f>
        <v>1552374473774829</v>
      </c>
      <c r="C5089" t="s">
        <v>40</v>
      </c>
      <c r="D5089">
        <v>4.3231909999999996</v>
      </c>
      <c r="E5089">
        <v>0.54664509999999999</v>
      </c>
      <c r="F5089" t="s">
        <v>41</v>
      </c>
      <c r="G5089">
        <v>-437.28809999999999</v>
      </c>
      <c r="H5089">
        <v>0.88704439999999996</v>
      </c>
      <c r="I5089">
        <v>212.93279999999999</v>
      </c>
      <c r="J5089">
        <v>-437.78800000000001</v>
      </c>
      <c r="K5089">
        <v>1.1100019999999999</v>
      </c>
      <c r="L5089">
        <v>213.04830000000001</v>
      </c>
      <c r="M5089">
        <v>0.99984150000000005</v>
      </c>
      <c r="N5089">
        <v>0</v>
      </c>
      <c r="O5089">
        <v>1.5496970000000001E-2</v>
      </c>
      <c r="P5089">
        <v>0.99943009999999999</v>
      </c>
      <c r="Q5089">
        <v>2.4825779999999999E-2</v>
      </c>
      <c r="R5089">
        <v>-2.288594E-2</v>
      </c>
      <c r="S5089">
        <v>3.0140989999999999</v>
      </c>
      <c r="T5089">
        <v>-0.89990559999999997</v>
      </c>
      <c r="U5089">
        <v>-0.4494476</v>
      </c>
      <c r="V5089">
        <v>3.8363580000000001E-2</v>
      </c>
      <c r="W5089">
        <v>3.360813E-2</v>
      </c>
      <c r="X5089">
        <v>0.99869850000000004</v>
      </c>
      <c r="Y5089">
        <v>0.15549109999999999</v>
      </c>
      <c r="Z5089">
        <v>-2.7105520000000001E-2</v>
      </c>
      <c r="AA5089">
        <v>0.98746529999999999</v>
      </c>
      <c r="AB5089">
        <v>25</v>
      </c>
      <c r="AC5089">
        <v>0.49990000000002499</v>
      </c>
      <c r="AD5089">
        <v>-0.22295760000000001</v>
      </c>
      <c r="AE5089">
        <v>-0.115500000000025</v>
      </c>
      <c r="AF5089">
        <v>0.10365855829531199</v>
      </c>
      <c r="AG5089">
        <v>-0.22295760000000001</v>
      </c>
      <c r="AH5089">
        <v>0.41893805151566099</v>
      </c>
      <c r="AI5089">
        <v>117.321675525629</v>
      </c>
      <c r="AJ5089">
        <v>76.1023361958826</v>
      </c>
      <c r="AK5089">
        <v>0.48576154552759898</v>
      </c>
      <c r="AL5089">
        <v>88.074033278164194</v>
      </c>
      <c r="AM5089">
        <v>87.800145872621201</v>
      </c>
      <c r="AN5089">
        <v>0.99999998228738096</v>
      </c>
    </row>
    <row r="5090" spans="1:40" x14ac:dyDescent="0.25">
      <c r="A5090" t="str">
        <f>"20190312150753800"</f>
        <v>20190312150753800</v>
      </c>
      <c r="B5090" t="str">
        <f>"1552374473795326"</f>
        <v>1552374473795326</v>
      </c>
      <c r="C5090" t="s">
        <v>40</v>
      </c>
      <c r="D5090">
        <v>4.320754</v>
      </c>
      <c r="E5090">
        <v>0.54661729999999997</v>
      </c>
      <c r="F5090" t="s">
        <v>41</v>
      </c>
      <c r="G5090">
        <v>-437.05900000000003</v>
      </c>
      <c r="H5090">
        <v>0.8919028</v>
      </c>
      <c r="I5090">
        <v>212.9391</v>
      </c>
      <c r="J5090">
        <v>-437.54300000000001</v>
      </c>
      <c r="K5090">
        <v>1.1100099999999999</v>
      </c>
      <c r="L5090">
        <v>213.0523</v>
      </c>
      <c r="M5090">
        <v>0.99983829999999996</v>
      </c>
      <c r="N5090">
        <v>0</v>
      </c>
      <c r="O5090">
        <v>1.565913E-2</v>
      </c>
      <c r="P5090">
        <v>0.99945539999999999</v>
      </c>
      <c r="Q5090">
        <v>2.428373E-2</v>
      </c>
      <c r="R5090">
        <v>-2.234446E-2</v>
      </c>
      <c r="S5090">
        <v>3.0138240000000001</v>
      </c>
      <c r="T5090">
        <v>-0.90172669999999999</v>
      </c>
      <c r="U5090">
        <v>-0.44847110000000001</v>
      </c>
      <c r="V5090">
        <v>3.7984820000000002E-2</v>
      </c>
      <c r="W5090">
        <v>3.3129169999999999E-2</v>
      </c>
      <c r="X5090">
        <v>0.99872899999999998</v>
      </c>
      <c r="Y5090">
        <v>0.15532079999999901</v>
      </c>
      <c r="Z5090">
        <v>-2.7183519999999999E-2</v>
      </c>
      <c r="AA5090">
        <v>0.98748999999999998</v>
      </c>
      <c r="AB5090">
        <v>25</v>
      </c>
      <c r="AC5090">
        <v>0.48399999999998</v>
      </c>
      <c r="AD5090">
        <v>-0.218107199999999</v>
      </c>
      <c r="AE5090">
        <v>-0.113200000000006</v>
      </c>
      <c r="AF5090">
        <v>0.10126746042766099</v>
      </c>
      <c r="AG5090">
        <v>-0.218107199999999</v>
      </c>
      <c r="AH5090">
        <v>0.40432037449549002</v>
      </c>
      <c r="AI5090">
        <v>117.62207489682901</v>
      </c>
      <c r="AJ5090">
        <v>75.938769577015094</v>
      </c>
      <c r="AK5090">
        <v>0.47042620512199401</v>
      </c>
      <c r="AL5090">
        <v>88.101490993673906</v>
      </c>
      <c r="AM5090">
        <v>87.821910254969694</v>
      </c>
      <c r="AN5090">
        <v>1.0000000019481601</v>
      </c>
    </row>
    <row r="5091" spans="1:40" x14ac:dyDescent="0.25">
      <c r="A5091" t="str">
        <f>"20190312150753822"</f>
        <v>20190312150753822</v>
      </c>
      <c r="B5091" t="str">
        <f>"1552374473814846"</f>
        <v>1552374473814846</v>
      </c>
      <c r="C5091" t="s">
        <v>40</v>
      </c>
      <c r="D5091">
        <v>4.3512259999999996</v>
      </c>
      <c r="E5091">
        <v>0.54694180000000003</v>
      </c>
      <c r="F5091" t="s">
        <v>41</v>
      </c>
      <c r="G5091">
        <v>-436.8297</v>
      </c>
      <c r="H5091">
        <v>0.89639439999999904</v>
      </c>
      <c r="I5091">
        <v>212.9462</v>
      </c>
      <c r="J5091">
        <v>-437.28829999999999</v>
      </c>
      <c r="K5091">
        <v>1.110017</v>
      </c>
      <c r="L5091">
        <v>213.0565</v>
      </c>
      <c r="M5091">
        <v>0.99983509999999998</v>
      </c>
      <c r="N5091">
        <v>0</v>
      </c>
      <c r="O5091">
        <v>1.5827580000000001E-2</v>
      </c>
      <c r="P5091">
        <v>0.9994693</v>
      </c>
      <c r="Q5091">
        <v>2.3842439999999999E-2</v>
      </c>
      <c r="R5091">
        <v>-2.21984E-2</v>
      </c>
      <c r="S5091">
        <v>3.0135800000000001</v>
      </c>
      <c r="T5091">
        <v>-0.90247860000000002</v>
      </c>
      <c r="U5091">
        <v>-0.44622800000000001</v>
      </c>
      <c r="V5091">
        <v>3.8007340000000001E-2</v>
      </c>
      <c r="W5091">
        <v>3.2753160000000003E-2</v>
      </c>
      <c r="X5091">
        <v>0.99874059999999998</v>
      </c>
      <c r="Y5091">
        <v>0.15478140000000001</v>
      </c>
      <c r="Z5091">
        <v>-2.7179209999999999E-2</v>
      </c>
      <c r="AA5091">
        <v>0.98757479999999997</v>
      </c>
      <c r="AB5091">
        <v>25</v>
      </c>
      <c r="AC5091">
        <v>0.45859999999998902</v>
      </c>
      <c r="AD5091">
        <v>-0.2136226</v>
      </c>
      <c r="AE5091">
        <v>-0.110299999999995</v>
      </c>
      <c r="AF5091">
        <v>9.7538182191393E-2</v>
      </c>
      <c r="AG5091">
        <v>-0.2136226</v>
      </c>
      <c r="AH5091">
        <v>0.37904734584107502</v>
      </c>
      <c r="AI5091">
        <v>118.625580206848</v>
      </c>
      <c r="AJ5091">
        <v>75.569463504854497</v>
      </c>
      <c r="AK5091">
        <v>0.44589819758003602</v>
      </c>
      <c r="AL5091">
        <v>88.123046581007102</v>
      </c>
      <c r="AM5091">
        <v>87.820645467460693</v>
      </c>
      <c r="AN5091">
        <v>1.0000000567361</v>
      </c>
    </row>
    <row r="5092" spans="1:40" x14ac:dyDescent="0.25">
      <c r="A5092" t="str">
        <f>"20190312150753845"</f>
        <v>20190312150753845</v>
      </c>
      <c r="B5092" t="str">
        <f>"1552374473835345"</f>
        <v>1552374473835345</v>
      </c>
      <c r="C5092" t="s">
        <v>40</v>
      </c>
      <c r="D5092">
        <v>4.3000920000000002</v>
      </c>
      <c r="E5092">
        <v>0.54680069999999903</v>
      </c>
      <c r="F5092" t="s">
        <v>41</v>
      </c>
      <c r="G5092">
        <v>-436.59930000000003</v>
      </c>
      <c r="H5092">
        <v>0.90267520000000001</v>
      </c>
      <c r="I5092">
        <v>212.95330000000001</v>
      </c>
      <c r="J5092">
        <v>-437.03440000000001</v>
      </c>
      <c r="K5092">
        <v>1.110015</v>
      </c>
      <c r="L5092">
        <v>213.06059999999999</v>
      </c>
      <c r="M5092">
        <v>0.9998319</v>
      </c>
      <c r="N5092">
        <v>0</v>
      </c>
      <c r="O5092">
        <v>1.5995220000000001E-2</v>
      </c>
      <c r="P5092">
        <v>0.99947719999999995</v>
      </c>
      <c r="Q5092">
        <v>2.3319139999999999E-2</v>
      </c>
      <c r="R5092">
        <v>-2.2402519999999999E-2</v>
      </c>
      <c r="S5092">
        <v>3.013306</v>
      </c>
      <c r="T5092">
        <v>-0.90689649999999999</v>
      </c>
      <c r="U5092">
        <v>-0.44840999999999998</v>
      </c>
      <c r="V5092">
        <v>3.8379200000000002E-2</v>
      </c>
      <c r="W5092">
        <v>3.2291830000000001E-2</v>
      </c>
      <c r="X5092">
        <v>0.99874130000000005</v>
      </c>
      <c r="Y5092">
        <v>0.15554799999999999</v>
      </c>
      <c r="Z5092">
        <v>-2.7469150000000001E-2</v>
      </c>
      <c r="AA5092">
        <v>0.9874463</v>
      </c>
      <c r="AB5092">
        <v>25</v>
      </c>
      <c r="AC5092">
        <v>0.43509999999997701</v>
      </c>
      <c r="AD5092">
        <v>-0.20733979999999999</v>
      </c>
      <c r="AE5092">
        <v>-0.10729999999997999</v>
      </c>
      <c r="AF5092">
        <v>9.4102056385891905E-2</v>
      </c>
      <c r="AG5092">
        <v>-0.20733979999999999</v>
      </c>
      <c r="AH5092">
        <v>0.35692302682267002</v>
      </c>
      <c r="AI5092">
        <v>119.323553079384</v>
      </c>
      <c r="AJ5092">
        <v>75.230175952057706</v>
      </c>
      <c r="AK5092">
        <v>0.42336631509409201</v>
      </c>
      <c r="AL5092">
        <v>88.149492642975403</v>
      </c>
      <c r="AM5092">
        <v>87.7993452851874</v>
      </c>
      <c r="AN5092">
        <v>0.99999995480153803</v>
      </c>
    </row>
    <row r="5093" spans="1:40" x14ac:dyDescent="0.25">
      <c r="A5093" t="str">
        <f>"20190312150753866"</f>
        <v>20190312150753866</v>
      </c>
      <c r="B5093" t="str">
        <f>"1552374473854862"</f>
        <v>1552374473854862</v>
      </c>
      <c r="C5093" t="s">
        <v>40</v>
      </c>
      <c r="D5093">
        <v>4.3200450000000004</v>
      </c>
      <c r="E5093">
        <v>0.54687019999999997</v>
      </c>
      <c r="F5093" t="s">
        <v>41</v>
      </c>
      <c r="G5093">
        <v>-436.1635</v>
      </c>
      <c r="H5093">
        <v>0.84823349999999897</v>
      </c>
      <c r="I5093">
        <v>212.9308</v>
      </c>
      <c r="J5093">
        <v>-436.78269999999998</v>
      </c>
      <c r="K5093">
        <v>1.11002</v>
      </c>
      <c r="L5093">
        <v>213.06489999999999</v>
      </c>
      <c r="M5093">
        <v>0.99982859999999996</v>
      </c>
      <c r="N5093">
        <v>0</v>
      </c>
      <c r="O5093">
        <v>1.6161680000000001E-2</v>
      </c>
      <c r="P5093">
        <v>0.99947160000000002</v>
      </c>
      <c r="Q5093">
        <v>2.3390069999999999E-2</v>
      </c>
      <c r="R5093">
        <v>-2.2571919999999999E-2</v>
      </c>
      <c r="S5093">
        <v>3.0126650000000001</v>
      </c>
      <c r="T5093">
        <v>-0.90561449999999999</v>
      </c>
      <c r="U5093">
        <v>-0.44760129999999998</v>
      </c>
      <c r="V5093">
        <v>3.8714789999999999E-2</v>
      </c>
      <c r="W5093">
        <v>3.2418120000000002E-2</v>
      </c>
      <c r="X5093">
        <v>0.99872430000000001</v>
      </c>
      <c r="Y5093">
        <v>0.15549569999999999</v>
      </c>
      <c r="Z5093">
        <v>-2.747906E-2</v>
      </c>
      <c r="AA5093">
        <v>0.98745430000000001</v>
      </c>
      <c r="AB5093">
        <v>26</v>
      </c>
      <c r="AC5093">
        <v>0.61919999999997799</v>
      </c>
      <c r="AD5093">
        <v>-0.26178649999999998</v>
      </c>
      <c r="AE5093">
        <v>-0.13409999999998901</v>
      </c>
      <c r="AF5093">
        <v>0.123076545679718</v>
      </c>
      <c r="AG5093">
        <v>-0.26178649999999998</v>
      </c>
      <c r="AH5093">
        <v>0.52697746297153103</v>
      </c>
      <c r="AI5093">
        <v>115.815446452795</v>
      </c>
      <c r="AJ5093">
        <v>76.854106257572795</v>
      </c>
      <c r="AK5093">
        <v>0.60115327010556396</v>
      </c>
      <c r="AL5093">
        <v>88.142253049347005</v>
      </c>
      <c r="AM5093">
        <v>87.780084049404493</v>
      </c>
      <c r="AN5093">
        <v>0.99999999843978404</v>
      </c>
    </row>
    <row r="5094" spans="1:40" x14ac:dyDescent="0.25">
      <c r="A5094" t="str">
        <f>"20190312150753888"</f>
        <v>20190312150753888</v>
      </c>
      <c r="B5094" t="str">
        <f>"1552374473885117"</f>
        <v>1552374473885117</v>
      </c>
      <c r="C5094" t="s">
        <v>40</v>
      </c>
      <c r="D5094">
        <v>4.3149579999999998</v>
      </c>
      <c r="E5094">
        <v>0.54722869999999901</v>
      </c>
      <c r="F5094" t="s">
        <v>41</v>
      </c>
      <c r="G5094">
        <v>-435.93200000000002</v>
      </c>
      <c r="H5094">
        <v>0.85444529999999996</v>
      </c>
      <c r="I5094">
        <v>212.93790000000001</v>
      </c>
      <c r="J5094">
        <v>-436.53539999999998</v>
      </c>
      <c r="K5094">
        <v>1.110023</v>
      </c>
      <c r="L5094">
        <v>213.06909999999999</v>
      </c>
      <c r="M5094">
        <v>0.99982550000000003</v>
      </c>
      <c r="N5094">
        <v>0</v>
      </c>
      <c r="O5094">
        <v>1.632519E-2</v>
      </c>
      <c r="P5094">
        <v>0.99946520000000005</v>
      </c>
      <c r="Q5094">
        <v>2.303415E-2</v>
      </c>
      <c r="R5094">
        <v>-2.321343E-2</v>
      </c>
      <c r="S5094">
        <v>3.0126339999999998</v>
      </c>
      <c r="T5094">
        <v>-0.90508599999999995</v>
      </c>
      <c r="U5094">
        <v>-0.4486694</v>
      </c>
      <c r="V5094">
        <v>3.9519520000000002E-2</v>
      </c>
      <c r="W5094">
        <v>3.2113099999999999E-2</v>
      </c>
      <c r="X5094">
        <v>0.9987026</v>
      </c>
      <c r="Y5094">
        <v>0.1559817</v>
      </c>
      <c r="Z5094">
        <v>-2.7582189999999999E-2</v>
      </c>
      <c r="AA5094">
        <v>0.9873748</v>
      </c>
      <c r="AB5094">
        <v>26</v>
      </c>
      <c r="AC5094">
        <v>0.60340000000002103</v>
      </c>
      <c r="AD5094">
        <v>-0.25557769999999902</v>
      </c>
      <c r="AE5094">
        <v>-0.131199999999978</v>
      </c>
      <c r="AF5094">
        <v>0.12040704999513099</v>
      </c>
      <c r="AG5094">
        <v>-0.25557769999999902</v>
      </c>
      <c r="AH5094">
        <v>0.51325397291709496</v>
      </c>
      <c r="AI5094">
        <v>115.863827203536</v>
      </c>
      <c r="AJ5094">
        <v>76.797416380183193</v>
      </c>
      <c r="AK5094">
        <v>0.58587324494381998</v>
      </c>
      <c r="AL5094">
        <v>88.159738447858302</v>
      </c>
      <c r="AM5094">
        <v>87.733939053483098</v>
      </c>
      <c r="AN5094">
        <v>0.99999996344969899</v>
      </c>
    </row>
    <row r="5095" spans="1:40" x14ac:dyDescent="0.25">
      <c r="A5095" t="str">
        <f>"20190312150753900"</f>
        <v>20190312150753900</v>
      </c>
      <c r="B5095" t="str">
        <f>"1552374473894878"</f>
        <v>1552374473894878</v>
      </c>
      <c r="C5095" t="s">
        <v>40</v>
      </c>
      <c r="D5095">
        <v>4.3057410000000003</v>
      </c>
      <c r="E5095">
        <v>0.54719039999999997</v>
      </c>
      <c r="F5095" t="s">
        <v>41</v>
      </c>
      <c r="G5095">
        <v>-435.70100000000002</v>
      </c>
      <c r="H5095">
        <v>0.85830390000000001</v>
      </c>
      <c r="I5095">
        <v>212.94290000000001</v>
      </c>
      <c r="J5095">
        <v>-436.3888</v>
      </c>
      <c r="K5095">
        <v>1.1100179999999999</v>
      </c>
      <c r="L5095">
        <v>213.07149999999999</v>
      </c>
      <c r="M5095">
        <v>0.99982369999999998</v>
      </c>
      <c r="N5095">
        <v>0</v>
      </c>
      <c r="O5095">
        <v>1.6422039999999999E-2</v>
      </c>
      <c r="P5095">
        <v>0.99946579999999996</v>
      </c>
      <c r="Q5095">
        <v>2.2781369999999999E-2</v>
      </c>
      <c r="R5095">
        <v>-2.3439870000000002E-2</v>
      </c>
      <c r="S5095">
        <v>3.012054</v>
      </c>
      <c r="T5095">
        <v>-0.90863430000000001</v>
      </c>
      <c r="U5095">
        <v>-0.45349119999999998</v>
      </c>
      <c r="V5095">
        <v>3.984273E-2</v>
      </c>
      <c r="W5095">
        <v>3.1888149999999997E-2</v>
      </c>
      <c r="X5095">
        <v>0.99869699999999995</v>
      </c>
      <c r="Y5095">
        <v>0.15752140000000001</v>
      </c>
      <c r="Z5095">
        <v>-2.7942229999999998E-2</v>
      </c>
      <c r="AA5095">
        <v>0.9871202</v>
      </c>
      <c r="AB5095">
        <v>26</v>
      </c>
      <c r="AC5095">
        <v>0.68780000000003805</v>
      </c>
      <c r="AD5095">
        <v>-0.251714099999999</v>
      </c>
      <c r="AE5095">
        <v>-0.12859999999997701</v>
      </c>
      <c r="AF5095">
        <v>0.123850692871231</v>
      </c>
      <c r="AG5095">
        <v>-0.251714099999999</v>
      </c>
      <c r="AH5095">
        <v>0.60703846662810801</v>
      </c>
      <c r="AI5095">
        <v>112.111383137343</v>
      </c>
      <c r="AJ5095">
        <v>78.468524380509393</v>
      </c>
      <c r="AK5095">
        <v>0.668726163859093</v>
      </c>
      <c r="AL5095">
        <v>88.172633800588599</v>
      </c>
      <c r="AM5095">
        <v>87.715412857642505</v>
      </c>
      <c r="AN5095">
        <v>0.99999999752663704</v>
      </c>
    </row>
    <row r="5096" spans="1:40" x14ac:dyDescent="0.25">
      <c r="A5096" t="str">
        <f>"20190312150753922"</f>
        <v>20190312150753922</v>
      </c>
      <c r="B5096" t="str">
        <f>"1552374473915374"</f>
        <v>1552374473915374</v>
      </c>
      <c r="C5096" t="s">
        <v>40</v>
      </c>
      <c r="D5096">
        <v>4.236567</v>
      </c>
      <c r="E5096">
        <v>0.547270699999999</v>
      </c>
      <c r="F5096" t="s">
        <v>41</v>
      </c>
      <c r="G5096">
        <v>-435.68529999999998</v>
      </c>
      <c r="H5096">
        <v>0.89844040000000003</v>
      </c>
      <c r="I5096">
        <v>212.965</v>
      </c>
      <c r="J5096">
        <v>-436.14249999999998</v>
      </c>
      <c r="K5096">
        <v>1.1100190000000001</v>
      </c>
      <c r="L5096">
        <v>213.07579999999999</v>
      </c>
      <c r="M5096">
        <v>0.99982059999999995</v>
      </c>
      <c r="N5096">
        <v>0</v>
      </c>
      <c r="O5096">
        <v>1.658486E-2</v>
      </c>
      <c r="P5096">
        <v>0.99946489999999999</v>
      </c>
      <c r="Q5096">
        <v>2.229449E-2</v>
      </c>
      <c r="R5096">
        <v>-2.3942149999999999E-2</v>
      </c>
      <c r="S5096">
        <v>3.0116269999999998</v>
      </c>
      <c r="T5096">
        <v>-0.90585340000000003</v>
      </c>
      <c r="U5096">
        <v>-0.45397949999999998</v>
      </c>
      <c r="V5096">
        <v>4.0507639999999998E-2</v>
      </c>
      <c r="W5096">
        <v>3.1445389999999997E-2</v>
      </c>
      <c r="X5096">
        <v>0.99868429999999997</v>
      </c>
      <c r="Y5096">
        <v>0.15787999999999999</v>
      </c>
      <c r="Z5096">
        <v>-2.79639E-2</v>
      </c>
      <c r="AA5096">
        <v>0.98706229999999995</v>
      </c>
      <c r="AB5096">
        <v>26</v>
      </c>
      <c r="AC5096">
        <v>0.4572</v>
      </c>
      <c r="AD5096">
        <v>-0.21157860000000001</v>
      </c>
      <c r="AE5096">
        <v>-0.110799999999983</v>
      </c>
      <c r="AF5096">
        <v>9.8452955883384097E-2</v>
      </c>
      <c r="AG5096">
        <v>-0.21157860000000001</v>
      </c>
      <c r="AH5096">
        <v>0.37869777390735399</v>
      </c>
      <c r="AI5096">
        <v>118.40123195069999</v>
      </c>
      <c r="AJ5096">
        <v>75.426983488267496</v>
      </c>
      <c r="AK5096">
        <v>0.44482636214878402</v>
      </c>
      <c r="AL5096">
        <v>88.198014824967302</v>
      </c>
      <c r="AM5096">
        <v>87.677298744085306</v>
      </c>
      <c r="AN5096">
        <v>1.0000000062585499</v>
      </c>
    </row>
    <row r="5097" spans="1:40" x14ac:dyDescent="0.25">
      <c r="A5097" t="str">
        <f>"20190312150753945"</f>
        <v>20190312150753945</v>
      </c>
      <c r="B5097" t="str">
        <f>"1552374473934905"</f>
        <v>1552374473934905</v>
      </c>
      <c r="C5097" t="s">
        <v>40</v>
      </c>
      <c r="D5097">
        <v>4.3176899999999998</v>
      </c>
      <c r="E5097">
        <v>0.5473732</v>
      </c>
      <c r="F5097" t="s">
        <v>41</v>
      </c>
      <c r="G5097">
        <v>-435.45400000000001</v>
      </c>
      <c r="H5097">
        <v>0.90230860000000002</v>
      </c>
      <c r="I5097">
        <v>212.97130000000001</v>
      </c>
      <c r="J5097">
        <v>-435.88299999999998</v>
      </c>
      <c r="K5097">
        <v>1.1100179999999999</v>
      </c>
      <c r="L5097">
        <v>213.08019999999999</v>
      </c>
      <c r="M5097">
        <v>0.99981730000000002</v>
      </c>
      <c r="N5097">
        <v>0</v>
      </c>
      <c r="O5097">
        <v>1.675633E-2</v>
      </c>
      <c r="P5097">
        <v>0.99947399999999997</v>
      </c>
      <c r="Q5097">
        <v>2.1923890000000001E-2</v>
      </c>
      <c r="R5097">
        <v>-2.3903730000000002E-2</v>
      </c>
      <c r="S5097">
        <v>3.0109859999999999</v>
      </c>
      <c r="T5097">
        <v>-0.90845790000000004</v>
      </c>
      <c r="U5097">
        <v>-0.45596310000000001</v>
      </c>
      <c r="V5097">
        <v>4.0640589999999997E-2</v>
      </c>
      <c r="W5097">
        <v>3.111653E-2</v>
      </c>
      <c r="X5097">
        <v>0.99868920000000005</v>
      </c>
      <c r="Y5097">
        <v>0.15863070000000001</v>
      </c>
      <c r="Z5097">
        <v>-2.8205870000000001E-2</v>
      </c>
      <c r="AA5097">
        <v>0.98693500000000001</v>
      </c>
      <c r="AB5097">
        <v>26</v>
      </c>
      <c r="AC5097">
        <v>0.42900000000003002</v>
      </c>
      <c r="AD5097">
        <v>-0.20770939999999999</v>
      </c>
      <c r="AE5097">
        <v>-0.108899999999977</v>
      </c>
      <c r="AF5097">
        <v>9.5124226261014994E-2</v>
      </c>
      <c r="AG5097">
        <v>-0.20770939999999999</v>
      </c>
      <c r="AH5097">
        <v>0.35002807612939602</v>
      </c>
      <c r="AI5097">
        <v>119.797114766573</v>
      </c>
      <c r="AJ5097">
        <v>74.796386889295505</v>
      </c>
      <c r="AK5097">
        <v>0.41798500852179199</v>
      </c>
      <c r="AL5097">
        <v>88.216866341825096</v>
      </c>
      <c r="AM5097">
        <v>87.669695224843196</v>
      </c>
      <c r="AN5097">
        <v>1.00000000709571</v>
      </c>
    </row>
    <row r="5098" spans="1:40" x14ac:dyDescent="0.25">
      <c r="A5098" t="str">
        <f>"20190312150753966"</f>
        <v>20190312150753966</v>
      </c>
      <c r="B5098" t="str">
        <f>"1552374473955394"</f>
        <v>1552374473955394</v>
      </c>
      <c r="C5098" t="s">
        <v>40</v>
      </c>
      <c r="D5098">
        <v>4.2678929999999999</v>
      </c>
      <c r="E5098">
        <v>0.54741969999999995</v>
      </c>
      <c r="F5098" t="s">
        <v>41</v>
      </c>
      <c r="G5098">
        <v>-435.0147</v>
      </c>
      <c r="H5098">
        <v>0.84731480000000003</v>
      </c>
      <c r="I5098">
        <v>212.94800000000001</v>
      </c>
      <c r="J5098">
        <v>-435.6345</v>
      </c>
      <c r="K5098">
        <v>1.110025</v>
      </c>
      <c r="L5098">
        <v>213.08459999999999</v>
      </c>
      <c r="M5098">
        <v>0.99981430000000004</v>
      </c>
      <c r="N5098">
        <v>0</v>
      </c>
      <c r="O5098">
        <v>1.6920299999999999E-2</v>
      </c>
      <c r="P5098">
        <v>0.99948329999999996</v>
      </c>
      <c r="Q5098">
        <v>2.157131E-2</v>
      </c>
      <c r="R5098">
        <v>-2.38382E-2</v>
      </c>
      <c r="S5098">
        <v>3.0106510000000002</v>
      </c>
      <c r="T5098">
        <v>-0.91093539999999995</v>
      </c>
      <c r="U5098">
        <v>-0.45701599999999998</v>
      </c>
      <c r="V5098">
        <v>4.0739160000000003E-2</v>
      </c>
      <c r="W5098">
        <v>3.0804359999999999E-2</v>
      </c>
      <c r="X5098">
        <v>0.99869479999999999</v>
      </c>
      <c r="Y5098">
        <v>0.1590772</v>
      </c>
      <c r="Z5098">
        <v>-2.839587E-2</v>
      </c>
      <c r="AA5098">
        <v>0.98685769999999995</v>
      </c>
      <c r="AB5098">
        <v>26</v>
      </c>
      <c r="AC5098">
        <v>0.61979999999999702</v>
      </c>
      <c r="AD5098">
        <v>-0.26271019999999901</v>
      </c>
      <c r="AE5098">
        <v>-0.13660000000001499</v>
      </c>
      <c r="AF5098">
        <v>0.12555571463579401</v>
      </c>
      <c r="AG5098">
        <v>-0.26271019999999901</v>
      </c>
      <c r="AH5098">
        <v>0.52708972481628202</v>
      </c>
      <c r="AI5098">
        <v>115.86645408453801</v>
      </c>
      <c r="AJ5098">
        <v>76.601519334068698</v>
      </c>
      <c r="AK5098">
        <v>0.60216647587577299</v>
      </c>
      <c r="AL5098">
        <v>88.234760835244501</v>
      </c>
      <c r="AM5098">
        <v>87.664062623043193</v>
      </c>
      <c r="AN5098">
        <v>0.99999994564977601</v>
      </c>
    </row>
    <row r="5099" spans="1:40" x14ac:dyDescent="0.25">
      <c r="A5099" t="str">
        <f>"20190312150753991"</f>
        <v>20190312150753991</v>
      </c>
      <c r="B5099" t="str">
        <f>"1552374473984670"</f>
        <v>1552374473984670</v>
      </c>
      <c r="C5099" t="s">
        <v>40</v>
      </c>
      <c r="D5099">
        <v>4.300656</v>
      </c>
      <c r="E5099">
        <v>0.54749820000000005</v>
      </c>
      <c r="F5099" t="s">
        <v>41</v>
      </c>
      <c r="G5099">
        <v>-434.78190000000001</v>
      </c>
      <c r="H5099">
        <v>0.85241019999999901</v>
      </c>
      <c r="I5099">
        <v>212.9546</v>
      </c>
      <c r="J5099">
        <v>-435.34899999999999</v>
      </c>
      <c r="K5099">
        <v>1.110031</v>
      </c>
      <c r="L5099">
        <v>213.08959999999999</v>
      </c>
      <c r="M5099">
        <v>0.99981070000000005</v>
      </c>
      <c r="N5099">
        <v>0</v>
      </c>
      <c r="O5099">
        <v>1.71088E-2</v>
      </c>
      <c r="P5099">
        <v>0.99948760000000003</v>
      </c>
      <c r="Q5099">
        <v>2.1599859999999999E-2</v>
      </c>
      <c r="R5099">
        <v>-2.3630169999999999E-2</v>
      </c>
      <c r="S5099">
        <v>3.010284</v>
      </c>
      <c r="T5099">
        <v>-0.90961789999999998</v>
      </c>
      <c r="U5099">
        <v>-0.45721440000000002</v>
      </c>
      <c r="V5099">
        <v>4.071963E-2</v>
      </c>
      <c r="W5099">
        <v>3.0879179999999999E-2</v>
      </c>
      <c r="X5099">
        <v>0.99869330000000001</v>
      </c>
      <c r="Y5099">
        <v>0.1593446</v>
      </c>
      <c r="Z5099">
        <v>-2.8454420000000001E-2</v>
      </c>
      <c r="AA5099">
        <v>0.98681289999999999</v>
      </c>
      <c r="AB5099">
        <v>26</v>
      </c>
      <c r="AC5099">
        <v>0.56709999999998195</v>
      </c>
      <c r="AD5099">
        <v>-0.25762079999999998</v>
      </c>
      <c r="AE5099">
        <v>-0.13499999999998999</v>
      </c>
      <c r="AF5099">
        <v>0.12104324481507001</v>
      </c>
      <c r="AG5099">
        <v>-0.25762079999999998</v>
      </c>
      <c r="AH5099">
        <v>0.47243951010957103</v>
      </c>
      <c r="AI5099">
        <v>117.844672727779</v>
      </c>
      <c r="AJ5099">
        <v>75.629426811799604</v>
      </c>
      <c r="AK5099">
        <v>0.55156054465541005</v>
      </c>
      <c r="AL5099">
        <v>88.230471949413698</v>
      </c>
      <c r="AM5099">
        <v>87.665177708635895</v>
      </c>
      <c r="AN5099">
        <v>0.99999995974484801</v>
      </c>
    </row>
    <row r="5100" spans="1:40" x14ac:dyDescent="0.25">
      <c r="A5100" t="str">
        <f>"20190312150754012"</f>
        <v>20190312150754012</v>
      </c>
      <c r="B5100" t="str">
        <f>"1552374474005166"</f>
        <v>1552374474005166</v>
      </c>
      <c r="C5100" t="s">
        <v>40</v>
      </c>
      <c r="D5100">
        <v>4.3012169999999896</v>
      </c>
      <c r="E5100">
        <v>0.54756159999999998</v>
      </c>
      <c r="F5100" t="s">
        <v>41</v>
      </c>
      <c r="G5100">
        <v>-434.54450000000003</v>
      </c>
      <c r="H5100">
        <v>0.86801519999999999</v>
      </c>
      <c r="I5100">
        <v>212.96729999999999</v>
      </c>
      <c r="J5100">
        <v>-435.09980000000002</v>
      </c>
      <c r="K5100">
        <v>1.110036</v>
      </c>
      <c r="L5100">
        <v>213.0941</v>
      </c>
      <c r="M5100">
        <v>0.99980740000000001</v>
      </c>
      <c r="N5100">
        <v>0</v>
      </c>
      <c r="O5100">
        <v>1.7273420000000001E-2</v>
      </c>
      <c r="P5100">
        <v>0.99950810000000001</v>
      </c>
      <c r="Q5100">
        <v>2.1604020000000002E-2</v>
      </c>
      <c r="R5100">
        <v>-2.2730839999999999E-2</v>
      </c>
      <c r="S5100">
        <v>3.0103149999999999</v>
      </c>
      <c r="T5100">
        <v>-0.90562140000000002</v>
      </c>
      <c r="U5100">
        <v>-0.45684809999999998</v>
      </c>
      <c r="V5100">
        <v>3.9985340000000001E-2</v>
      </c>
      <c r="W5100">
        <v>3.0923030000000001E-2</v>
      </c>
      <c r="X5100">
        <v>0.99872169999999905</v>
      </c>
      <c r="Y5100">
        <v>0.1594429</v>
      </c>
      <c r="Z5100">
        <v>-2.8397209999999999E-2</v>
      </c>
      <c r="AA5100">
        <v>0.98679859999999997</v>
      </c>
      <c r="AB5100">
        <v>26</v>
      </c>
      <c r="AC5100">
        <v>0.55529999999998803</v>
      </c>
      <c r="AD5100">
        <v>-0.24202080000000001</v>
      </c>
      <c r="AE5100">
        <v>-0.12680000000000199</v>
      </c>
      <c r="AF5100">
        <v>0.11551773611817</v>
      </c>
      <c r="AG5100">
        <v>-0.24202080000000001</v>
      </c>
      <c r="AH5100">
        <v>0.468451978702705</v>
      </c>
      <c r="AI5100">
        <v>116.63895130218501</v>
      </c>
      <c r="AJ5100">
        <v>76.147539954484003</v>
      </c>
      <c r="AK5100">
        <v>0.53978298541264402</v>
      </c>
      <c r="AL5100">
        <v>88.227958484770298</v>
      </c>
      <c r="AM5100">
        <v>87.707300936505007</v>
      </c>
      <c r="AN5100">
        <v>1.0000000476250901</v>
      </c>
    </row>
    <row r="5101" spans="1:40" x14ac:dyDescent="0.25">
      <c r="A5101" t="str">
        <f>"20190312150754035"</f>
        <v>20190312150754035</v>
      </c>
      <c r="B5101" t="str">
        <f>"1552374474024686"</f>
        <v>1552374474024686</v>
      </c>
      <c r="C5101" t="s">
        <v>40</v>
      </c>
      <c r="D5101">
        <v>4.2850599999999996</v>
      </c>
      <c r="E5101">
        <v>0.54763689999999998</v>
      </c>
      <c r="F5101" t="s">
        <v>41</v>
      </c>
      <c r="G5101">
        <v>-434.31099999999998</v>
      </c>
      <c r="H5101">
        <v>0.87291419999999997</v>
      </c>
      <c r="I5101">
        <v>212.9743</v>
      </c>
      <c r="J5101">
        <v>-434.8365</v>
      </c>
      <c r="K5101">
        <v>1.1100429999999999</v>
      </c>
      <c r="L5101">
        <v>213.09880000000001</v>
      </c>
      <c r="M5101">
        <v>0.99980400000000003</v>
      </c>
      <c r="N5101">
        <v>0</v>
      </c>
      <c r="O5101">
        <v>1.7447049999999999E-2</v>
      </c>
      <c r="P5101">
        <v>0.99951540000000005</v>
      </c>
      <c r="Q5101">
        <v>2.1963770000000001E-2</v>
      </c>
      <c r="R5101">
        <v>-2.2053429999999999E-2</v>
      </c>
      <c r="S5101">
        <v>3.0106809999999999</v>
      </c>
      <c r="T5101">
        <v>-0.90509530000000005</v>
      </c>
      <c r="U5101">
        <v>-0.45512390000000003</v>
      </c>
      <c r="V5101">
        <v>3.9481559999999999E-2</v>
      </c>
      <c r="W5101">
        <v>3.1321469999999997E-2</v>
      </c>
      <c r="X5101">
        <v>0.99872930000000004</v>
      </c>
      <c r="Y5101">
        <v>0.1590625</v>
      </c>
      <c r="Z5101">
        <v>-2.8374429999999999E-2</v>
      </c>
      <c r="AA5101">
        <v>0.98686070000000004</v>
      </c>
      <c r="AB5101">
        <v>26</v>
      </c>
      <c r="AC5101">
        <v>0.52550000000002195</v>
      </c>
      <c r="AD5101">
        <v>-0.2371288</v>
      </c>
      <c r="AE5101">
        <v>-0.124500000000011</v>
      </c>
      <c r="AF5101">
        <v>0.112047226126726</v>
      </c>
      <c r="AG5101">
        <v>-0.2371288</v>
      </c>
      <c r="AH5101">
        <v>0.43867201259199101</v>
      </c>
      <c r="AI5101">
        <v>117.643101192646</v>
      </c>
      <c r="AJ5101">
        <v>75.671656723588598</v>
      </c>
      <c r="AK5101">
        <v>0.51109469113231998</v>
      </c>
      <c r="AL5101">
        <v>88.205118444153698</v>
      </c>
      <c r="AM5101">
        <v>87.736173884946496</v>
      </c>
      <c r="AN5101">
        <v>1.0000000213707401</v>
      </c>
    </row>
    <row r="5102" spans="1:40" x14ac:dyDescent="0.25">
      <c r="A5102" t="str">
        <f>"20190312150754056"</f>
        <v>20190312150754056</v>
      </c>
      <c r="B5102" t="str">
        <f>"1552374474045185"</f>
        <v>1552374474045185</v>
      </c>
      <c r="C5102" t="s">
        <v>40</v>
      </c>
      <c r="D5102">
        <v>4.2700079999999998</v>
      </c>
      <c r="E5102">
        <v>0.54772359999999998</v>
      </c>
      <c r="F5102" t="s">
        <v>41</v>
      </c>
      <c r="G5102">
        <v>-434.07560000000001</v>
      </c>
      <c r="H5102">
        <v>0.88210929999999999</v>
      </c>
      <c r="I5102">
        <v>212.98429999999999</v>
      </c>
      <c r="J5102">
        <v>-434.59089999999998</v>
      </c>
      <c r="K5102">
        <v>1.1100509999999999</v>
      </c>
      <c r="L5102">
        <v>213.10329999999999</v>
      </c>
      <c r="M5102">
        <v>0.99980089999999999</v>
      </c>
      <c r="N5102">
        <v>0</v>
      </c>
      <c r="O5102">
        <v>1.7608780000000001E-2</v>
      </c>
      <c r="P5102">
        <v>0.9995309</v>
      </c>
      <c r="Q5102">
        <v>2.1719599999999999E-2</v>
      </c>
      <c r="R5102">
        <v>-2.1601410000000001E-2</v>
      </c>
      <c r="S5102">
        <v>3.0112920000000001</v>
      </c>
      <c r="T5102">
        <v>-0.90212510000000001</v>
      </c>
      <c r="U5102">
        <v>-0.45283509999999999</v>
      </c>
      <c r="V5102">
        <v>3.9191249999999997E-2</v>
      </c>
      <c r="W5102">
        <v>3.111129E-2</v>
      </c>
      <c r="X5102">
        <v>0.9987473</v>
      </c>
      <c r="Y5102">
        <v>0.158526</v>
      </c>
      <c r="Z5102">
        <v>-2.8250210000000001E-2</v>
      </c>
      <c r="AA5102">
        <v>0.98695060000000001</v>
      </c>
      <c r="AB5102">
        <v>26</v>
      </c>
      <c r="AC5102">
        <v>0.51529999999996701</v>
      </c>
      <c r="AD5102">
        <v>-0.2279417</v>
      </c>
      <c r="AE5102">
        <v>-0.118999999999999</v>
      </c>
      <c r="AF5102">
        <v>0.107994253354699</v>
      </c>
      <c r="AG5102">
        <v>-0.2279417</v>
      </c>
      <c r="AH5102">
        <v>0.43273732705962098</v>
      </c>
      <c r="AI5102">
        <v>117.07018145134199</v>
      </c>
      <c r="AJ5102">
        <v>75.987445546327606</v>
      </c>
      <c r="AK5102">
        <v>0.500880995434279</v>
      </c>
      <c r="AL5102">
        <v>88.217166736314496</v>
      </c>
      <c r="AM5102">
        <v>87.752843248175097</v>
      </c>
      <c r="AN5102">
        <v>1.00000001784965</v>
      </c>
    </row>
    <row r="5103" spans="1:40" x14ac:dyDescent="0.25">
      <c r="A5103" t="str">
        <f>"20190312150754078"</f>
        <v>20190312150754078</v>
      </c>
      <c r="B5103" t="str">
        <f>"1552374474075438"</f>
        <v>1552374474075438</v>
      </c>
      <c r="C5103" t="s">
        <v>40</v>
      </c>
      <c r="D5103">
        <v>4.2720039999999999</v>
      </c>
      <c r="E5103">
        <v>0.54777100000000001</v>
      </c>
      <c r="F5103" t="s">
        <v>41</v>
      </c>
      <c r="G5103">
        <v>-433.84199999999998</v>
      </c>
      <c r="H5103">
        <v>0.88559940000000004</v>
      </c>
      <c r="I5103">
        <v>212.99080000000001</v>
      </c>
      <c r="J5103">
        <v>-434.34269999999998</v>
      </c>
      <c r="K5103">
        <v>1.110052</v>
      </c>
      <c r="L5103">
        <v>213.1078</v>
      </c>
      <c r="M5103">
        <v>0.99979770000000001</v>
      </c>
      <c r="N5103">
        <v>0</v>
      </c>
      <c r="O5103">
        <v>1.7772369999999999E-2</v>
      </c>
      <c r="P5103">
        <v>0.99953700000000001</v>
      </c>
      <c r="Q5103">
        <v>2.1594829999999999E-2</v>
      </c>
      <c r="R5103">
        <v>-2.1438019999999999E-2</v>
      </c>
      <c r="S5103">
        <v>3.0113219999999998</v>
      </c>
      <c r="T5103">
        <v>-0.90250889999999995</v>
      </c>
      <c r="U5103">
        <v>-0.45068359999999902</v>
      </c>
      <c r="V5103">
        <v>3.919156E-2</v>
      </c>
      <c r="W5103">
        <v>3.1017869999999999E-2</v>
      </c>
      <c r="X5103">
        <v>0.99875020000000003</v>
      </c>
      <c r="Y5103">
        <v>0.15800449999999999</v>
      </c>
      <c r="Z5103">
        <v>-2.8234539999999999E-2</v>
      </c>
      <c r="AA5103">
        <v>0.98703459999999998</v>
      </c>
      <c r="AB5103">
        <v>26</v>
      </c>
      <c r="AC5103">
        <v>0.50069999999999404</v>
      </c>
      <c r="AD5103">
        <v>-0.224452599999999</v>
      </c>
      <c r="AE5103">
        <v>-0.11699999999999</v>
      </c>
      <c r="AF5103">
        <v>0.10573324819428601</v>
      </c>
      <c r="AG5103">
        <v>-0.224452599999999</v>
      </c>
      <c r="AH5103">
        <v>0.41874945313268702</v>
      </c>
      <c r="AI5103">
        <v>117.460729843545</v>
      </c>
      <c r="AJ5103">
        <v>75.829149611722897</v>
      </c>
      <c r="AK5103">
        <v>0.48673359645641701</v>
      </c>
      <c r="AL5103">
        <v>88.222521903951005</v>
      </c>
      <c r="AM5103">
        <v>87.752832009819201</v>
      </c>
      <c r="AN5103">
        <v>1.0000000243173</v>
      </c>
    </row>
    <row r="5104" spans="1:40" x14ac:dyDescent="0.25">
      <c r="A5104" t="str">
        <f>"20190312150754100"</f>
        <v>20190312150754100</v>
      </c>
      <c r="B5104" t="str">
        <f>"1552374474094957"</f>
        <v>1552374474094957</v>
      </c>
      <c r="C5104" t="s">
        <v>40</v>
      </c>
      <c r="D5104">
        <v>4.2653990000000004</v>
      </c>
      <c r="E5104">
        <v>0.54783470000000001</v>
      </c>
      <c r="F5104" t="s">
        <v>41</v>
      </c>
      <c r="G5104">
        <v>-433.60750000000002</v>
      </c>
      <c r="H5104">
        <v>0.89049140000000004</v>
      </c>
      <c r="I5104">
        <v>212.99770000000001</v>
      </c>
      <c r="J5104">
        <v>-434.0806</v>
      </c>
      <c r="K5104">
        <v>1.1100540000000001</v>
      </c>
      <c r="L5104">
        <v>213.11269999999999</v>
      </c>
      <c r="M5104">
        <v>0.99979419999999997</v>
      </c>
      <c r="N5104">
        <v>0</v>
      </c>
      <c r="O5104">
        <v>1.7945200000000001E-2</v>
      </c>
      <c r="P5104">
        <v>0.99952379999999996</v>
      </c>
      <c r="Q5104">
        <v>2.19905E-2</v>
      </c>
      <c r="R5104">
        <v>-2.164259E-2</v>
      </c>
      <c r="S5104">
        <v>3.0111690000000002</v>
      </c>
      <c r="T5104">
        <v>-0.89936959999999999</v>
      </c>
      <c r="U5104">
        <v>-0.45022580000000001</v>
      </c>
      <c r="V5104">
        <v>3.9568600000000002E-2</v>
      </c>
      <c r="W5104">
        <v>3.144396E-2</v>
      </c>
      <c r="X5104">
        <v>0.998722</v>
      </c>
      <c r="Y5104">
        <v>0.15807560000000001</v>
      </c>
      <c r="Z5104">
        <v>-2.8202640000000001E-2</v>
      </c>
      <c r="AA5104">
        <v>0.98702420000000002</v>
      </c>
      <c r="AB5104">
        <v>26</v>
      </c>
      <c r="AC5104">
        <v>0.47309999999998797</v>
      </c>
      <c r="AD5104">
        <v>-0.2195626</v>
      </c>
      <c r="AE5104">
        <v>-0.11499999999997999</v>
      </c>
      <c r="AF5104">
        <v>0.10260526529894499</v>
      </c>
      <c r="AG5104">
        <v>-0.2195626</v>
      </c>
      <c r="AH5104">
        <v>0.391368746171882</v>
      </c>
      <c r="AI5104">
        <v>118.487452635615</v>
      </c>
      <c r="AJ5104">
        <v>75.309369684993797</v>
      </c>
      <c r="AK5104">
        <v>0.46033147976863198</v>
      </c>
      <c r="AL5104">
        <v>88.198096814233807</v>
      </c>
      <c r="AM5104">
        <v>87.731171757472097</v>
      </c>
      <c r="AN5104">
        <v>1.00000001500522</v>
      </c>
    </row>
    <row r="5105" spans="1:40" x14ac:dyDescent="0.25">
      <c r="A5105" t="str">
        <f>"20190312150754124"</f>
        <v>20190312150754124</v>
      </c>
      <c r="B5105" t="str">
        <f>"1552374474115455"</f>
        <v>1552374474115455</v>
      </c>
      <c r="C5105" t="s">
        <v>40</v>
      </c>
      <c r="D5105">
        <v>4.270022</v>
      </c>
      <c r="E5105">
        <v>0.54788950000000003</v>
      </c>
      <c r="F5105" t="s">
        <v>41</v>
      </c>
      <c r="G5105">
        <v>-433.37130000000002</v>
      </c>
      <c r="H5105">
        <v>0.89878139999999995</v>
      </c>
      <c r="I5105">
        <v>213.0059</v>
      </c>
      <c r="J5105">
        <v>-433.80790000000002</v>
      </c>
      <c r="K5105">
        <v>1.1100570000000001</v>
      </c>
      <c r="L5105">
        <v>213.11779999999999</v>
      </c>
      <c r="M5105">
        <v>0.99979079999999998</v>
      </c>
      <c r="N5105">
        <v>0</v>
      </c>
      <c r="O5105">
        <v>1.8124950000000001E-2</v>
      </c>
      <c r="P5105">
        <v>0.9995077</v>
      </c>
      <c r="Q5105">
        <v>2.1859259999999998E-2</v>
      </c>
      <c r="R5105">
        <v>-2.2511969999999999E-2</v>
      </c>
      <c r="S5105">
        <v>3.0114139999999998</v>
      </c>
      <c r="T5105">
        <v>-0.89711379999999996</v>
      </c>
      <c r="U5105">
        <v>-0.45135500000000001</v>
      </c>
      <c r="V5105">
        <v>4.0616840000000001E-2</v>
      </c>
      <c r="W5105">
        <v>3.1341969999999997E-2</v>
      </c>
      <c r="X5105">
        <v>0.99868310000000005</v>
      </c>
      <c r="Y5105">
        <v>0.15861129999999901</v>
      </c>
      <c r="Z5105">
        <v>-2.8261769999999999E-2</v>
      </c>
      <c r="AA5105">
        <v>0.98693660000000005</v>
      </c>
      <c r="AB5105">
        <v>26</v>
      </c>
      <c r="AC5105">
        <v>0.43659999999999799</v>
      </c>
      <c r="AD5105">
        <v>-0.21127559999999901</v>
      </c>
      <c r="AE5105">
        <v>-0.11189999999999101</v>
      </c>
      <c r="AF5105">
        <v>9.8214161786376E-2</v>
      </c>
      <c r="AG5105">
        <v>-0.21127559999999901</v>
      </c>
      <c r="AH5105">
        <v>0.35622469613325197</v>
      </c>
      <c r="AI5105">
        <v>119.759328321168</v>
      </c>
      <c r="AJ5105">
        <v>74.586017836720004</v>
      </c>
      <c r="AK5105">
        <v>0.42565177653334002</v>
      </c>
      <c r="AL5105">
        <v>88.203943248290102</v>
      </c>
      <c r="AM5105">
        <v>87.671041324669901</v>
      </c>
      <c r="AN5105">
        <v>0.99999999050033805</v>
      </c>
    </row>
    <row r="5106" spans="1:40" x14ac:dyDescent="0.25">
      <c r="A5106" t="str">
        <f>"20190312150754136"</f>
        <v>20190312150754136</v>
      </c>
      <c r="B5106" t="str">
        <f>"1552374474125214"</f>
        <v>1552374474125214</v>
      </c>
      <c r="C5106" t="s">
        <v>40</v>
      </c>
      <c r="D5106">
        <v>4.2705869999999999</v>
      </c>
      <c r="E5106">
        <v>0.54793999999999998</v>
      </c>
      <c r="F5106" t="s">
        <v>41</v>
      </c>
      <c r="G5106">
        <v>-433.13389999999998</v>
      </c>
      <c r="H5106">
        <v>0.90947230000000001</v>
      </c>
      <c r="I5106">
        <v>213.01570000000001</v>
      </c>
      <c r="J5106">
        <v>-433.66180000000003</v>
      </c>
      <c r="K5106">
        <v>1.1100589999999999</v>
      </c>
      <c r="L5106">
        <v>213.12049999999999</v>
      </c>
      <c r="M5106">
        <v>0.99978900000000004</v>
      </c>
      <c r="N5106">
        <v>0</v>
      </c>
      <c r="O5106">
        <v>1.8221080000000001E-2</v>
      </c>
      <c r="P5106">
        <v>0.99951069999999997</v>
      </c>
      <c r="Q5106">
        <v>2.158156E-2</v>
      </c>
      <c r="R5106">
        <v>-2.2644939999999999E-2</v>
      </c>
      <c r="S5106">
        <v>3.0108640000000002</v>
      </c>
      <c r="T5106">
        <v>-0.89602630000000005</v>
      </c>
      <c r="U5106">
        <v>-0.45454410000000001</v>
      </c>
      <c r="V5106">
        <v>4.0846109999999998E-2</v>
      </c>
      <c r="W5106">
        <v>3.1078410000000001E-2</v>
      </c>
      <c r="X5106">
        <v>0.99868199999999996</v>
      </c>
      <c r="Y5106">
        <v>0.15972</v>
      </c>
      <c r="Z5106">
        <v>-2.8420230000000001E-2</v>
      </c>
      <c r="AA5106">
        <v>0.9867532</v>
      </c>
      <c r="AB5106">
        <v>26</v>
      </c>
      <c r="AC5106">
        <v>0.527900000000045</v>
      </c>
      <c r="AD5106">
        <v>-0.20058669999999901</v>
      </c>
      <c r="AE5106">
        <v>-0.104799999999983</v>
      </c>
      <c r="AF5106">
        <v>0.100449185034952</v>
      </c>
      <c r="AG5106">
        <v>-0.20058669999999901</v>
      </c>
      <c r="AH5106">
        <v>0.46176224810344502</v>
      </c>
      <c r="AI5106">
        <v>112.999612238365</v>
      </c>
      <c r="AJ5106">
        <v>77.727396352004405</v>
      </c>
      <c r="AK5106">
        <v>0.51337066215807803</v>
      </c>
      <c r="AL5106">
        <v>88.219051509495401</v>
      </c>
      <c r="AM5106">
        <v>87.657907066304404</v>
      </c>
      <c r="AN5106">
        <v>1.00000000469713</v>
      </c>
    </row>
    <row r="5107" spans="1:40" x14ac:dyDescent="0.25">
      <c r="A5107" t="str">
        <f>"20190312150754156"</f>
        <v>20190312150754156</v>
      </c>
      <c r="B5107" t="str">
        <f>"1552374474144734"</f>
        <v>1552374474144734</v>
      </c>
      <c r="C5107" t="s">
        <v>40</v>
      </c>
      <c r="D5107">
        <v>4.3278179999999997</v>
      </c>
      <c r="E5107">
        <v>0.5477725</v>
      </c>
      <c r="F5107" t="s">
        <v>41</v>
      </c>
      <c r="G5107">
        <v>-432.90929999999997</v>
      </c>
      <c r="H5107">
        <v>0.88605990000000001</v>
      </c>
      <c r="I5107">
        <v>213.00630000000001</v>
      </c>
      <c r="J5107">
        <v>-433.42700000000002</v>
      </c>
      <c r="K5107">
        <v>1.110058</v>
      </c>
      <c r="L5107">
        <v>213.1249</v>
      </c>
      <c r="M5107">
        <v>0.99978590000000001</v>
      </c>
      <c r="N5107">
        <v>0</v>
      </c>
      <c r="O5107">
        <v>1.8375829999999999E-2</v>
      </c>
      <c r="P5107">
        <v>0.99950680000000003</v>
      </c>
      <c r="Q5107">
        <v>2.1227090000000001E-2</v>
      </c>
      <c r="R5107">
        <v>-2.3143690000000001E-2</v>
      </c>
      <c r="S5107">
        <v>3.0104679999999999</v>
      </c>
      <c r="T5107">
        <v>-0.89619419999999905</v>
      </c>
      <c r="U5107">
        <v>-0.45495609999999997</v>
      </c>
      <c r="V5107">
        <v>4.1499380000000002E-2</v>
      </c>
      <c r="W5107">
        <v>3.0745729999999999E-2</v>
      </c>
      <c r="X5107">
        <v>0.99866529999999998</v>
      </c>
      <c r="Y5107">
        <v>0.160000799999999</v>
      </c>
      <c r="Z5107">
        <v>-2.851418E-2</v>
      </c>
      <c r="AA5107">
        <v>0.9867049</v>
      </c>
      <c r="AB5107">
        <v>26</v>
      </c>
      <c r="AC5107">
        <v>0.51769999999998995</v>
      </c>
      <c r="AD5107">
        <v>-0.22399810000000001</v>
      </c>
      <c r="AE5107">
        <v>-0.11859999999998599</v>
      </c>
      <c r="AF5107">
        <v>0.10874961579022401</v>
      </c>
      <c r="AG5107">
        <v>-0.22399810000000001</v>
      </c>
      <c r="AH5107">
        <v>0.437595362555876</v>
      </c>
      <c r="AI5107">
        <v>116.41696552419501</v>
      </c>
      <c r="AJ5107">
        <v>76.043789231812198</v>
      </c>
      <c r="AK5107">
        <v>0.50347922406842205</v>
      </c>
      <c r="AL5107">
        <v>88.238121668825698</v>
      </c>
      <c r="AM5107">
        <v>87.6204519051971</v>
      </c>
      <c r="AN5107">
        <v>0.99999993993885095</v>
      </c>
    </row>
    <row r="5108" spans="1:40" x14ac:dyDescent="0.25">
      <c r="A5108" t="str">
        <f>"20190312150754170"</f>
        <v>20190312150754170</v>
      </c>
      <c r="B5108" t="str">
        <f>"1552374474165230"</f>
        <v>1552374474165230</v>
      </c>
      <c r="C5108" t="s">
        <v>40</v>
      </c>
      <c r="D5108">
        <v>4.3405760000000004</v>
      </c>
      <c r="E5108">
        <v>0.50459770000000004</v>
      </c>
      <c r="F5108" t="s">
        <v>41</v>
      </c>
      <c r="G5108">
        <v>-432.67520000000002</v>
      </c>
      <c r="H5108">
        <v>0.88638130000000004</v>
      </c>
      <c r="I5108">
        <v>213.0111</v>
      </c>
      <c r="J5108">
        <v>-433.2722</v>
      </c>
      <c r="K5108">
        <v>1.1100540000000001</v>
      </c>
      <c r="L5108">
        <v>213.12790000000001</v>
      </c>
      <c r="M5108">
        <v>0.99978400000000001</v>
      </c>
      <c r="N5108">
        <v>0</v>
      </c>
      <c r="O5108">
        <v>1.84777E-2</v>
      </c>
      <c r="P5108">
        <v>0.99950209999999995</v>
      </c>
      <c r="Q5108">
        <v>2.1338860000000001E-2</v>
      </c>
      <c r="R5108">
        <v>-2.325284E-2</v>
      </c>
      <c r="S5108">
        <v>3.009979</v>
      </c>
      <c r="T5108">
        <v>-0.89556399999999903</v>
      </c>
      <c r="U5108">
        <v>-0.45491029999999999</v>
      </c>
      <c r="V5108">
        <v>4.1710089999999998E-2</v>
      </c>
      <c r="W5108">
        <v>3.087061E-2</v>
      </c>
      <c r="X5108">
        <v>0.99865280000000001</v>
      </c>
      <c r="Y5108">
        <v>0.16010929999999901</v>
      </c>
      <c r="Z5108">
        <v>-2.854462E-2</v>
      </c>
      <c r="AA5108">
        <v>0.98668650000000002</v>
      </c>
      <c r="AB5108">
        <v>26</v>
      </c>
      <c r="AC5108">
        <v>0.59699999999997999</v>
      </c>
      <c r="AD5108">
        <v>-0.2236727</v>
      </c>
      <c r="AE5108">
        <v>-0.11680000000001101</v>
      </c>
      <c r="AF5108">
        <v>0.112590014930482</v>
      </c>
      <c r="AG5108">
        <v>-0.2236727</v>
      </c>
      <c r="AH5108">
        <v>0.52390929150335896</v>
      </c>
      <c r="AI5108">
        <v>112.655679804627</v>
      </c>
      <c r="AJ5108">
        <v>77.871396900872298</v>
      </c>
      <c r="AK5108">
        <v>0.58067799502898998</v>
      </c>
      <c r="AL5108">
        <v>88.230963404564406</v>
      </c>
      <c r="AM5108">
        <v>87.608354020675407</v>
      </c>
      <c r="AN5108">
        <v>1.0000000705587</v>
      </c>
    </row>
    <row r="5109" spans="1:40" x14ac:dyDescent="0.25">
      <c r="A5109" t="str">
        <f>"20190312150754192"</f>
        <v>20190312150754192</v>
      </c>
      <c r="B5109" t="str">
        <f>"1552374474184750"</f>
        <v>1552374474184750</v>
      </c>
      <c r="C5109" t="s">
        <v>40</v>
      </c>
      <c r="D5109">
        <v>4.3558459999999997</v>
      </c>
      <c r="E5109">
        <v>0.49383650000000001</v>
      </c>
      <c r="F5109" t="s">
        <v>41</v>
      </c>
      <c r="G5109">
        <v>-432.3836</v>
      </c>
      <c r="H5109">
        <v>1.0152300000000001</v>
      </c>
      <c r="I5109">
        <v>213.09540000000001</v>
      </c>
      <c r="J5109">
        <v>-433.00889999999998</v>
      </c>
      <c r="K5109">
        <v>1.1100559999999999</v>
      </c>
      <c r="L5109">
        <v>213.13290000000001</v>
      </c>
      <c r="M5109">
        <v>0.99978049999999996</v>
      </c>
      <c r="N5109">
        <v>0</v>
      </c>
      <c r="O5109">
        <v>1.8651109999999999E-2</v>
      </c>
      <c r="P5109">
        <v>0.99950050000000001</v>
      </c>
      <c r="Q5109">
        <v>2.1386800000000001E-2</v>
      </c>
      <c r="R5109">
        <v>-2.3273740000000001E-2</v>
      </c>
      <c r="S5109">
        <v>3.0058590000000001</v>
      </c>
      <c r="T5109">
        <v>-0.32098179999999998</v>
      </c>
      <c r="U5109">
        <v>-0.10847469999999999</v>
      </c>
      <c r="V5109">
        <v>4.190427E-2</v>
      </c>
      <c r="W5109">
        <v>3.0938759999999999E-2</v>
      </c>
      <c r="X5109">
        <v>0.99864249999999999</v>
      </c>
      <c r="Y5109">
        <v>5.4283640000000001E-2</v>
      </c>
      <c r="Z5109">
        <v>-4.8747510000000001E-3</v>
      </c>
      <c r="AA5109">
        <v>0.9985136</v>
      </c>
      <c r="AB5109">
        <v>26</v>
      </c>
      <c r="AC5109">
        <v>0.62529999999998098</v>
      </c>
      <c r="AD5109">
        <v>-9.4825999999999994E-2</v>
      </c>
      <c r="AE5109">
        <v>-3.7499999999994302E-2</v>
      </c>
      <c r="AF5109">
        <v>4.8055360650704898E-2</v>
      </c>
      <c r="AG5109">
        <v>-9.4825999999999994E-2</v>
      </c>
      <c r="AH5109">
        <v>0.61050214844745998</v>
      </c>
      <c r="AI5109">
        <v>98.802095436581297</v>
      </c>
      <c r="AJ5109">
        <v>85.499272517216198</v>
      </c>
      <c r="AK5109">
        <v>0.61968876157490105</v>
      </c>
      <c r="AL5109">
        <v>88.227056721837002</v>
      </c>
      <c r="AM5109">
        <v>87.597208054974402</v>
      </c>
      <c r="AN5109">
        <v>1.00000000876041</v>
      </c>
    </row>
    <row r="5110" spans="1:40" x14ac:dyDescent="0.25">
      <c r="A5110" t="str">
        <f>"20190312150754214"</f>
        <v>20190312150754214</v>
      </c>
      <c r="B5110" t="str">
        <f>"1552374474205246"</f>
        <v>1552374474205246</v>
      </c>
      <c r="C5110" t="s">
        <v>40</v>
      </c>
      <c r="D5110">
        <v>4.2902809999999896</v>
      </c>
      <c r="E5110">
        <v>0.48938779999999998</v>
      </c>
      <c r="F5110" t="s">
        <v>41</v>
      </c>
      <c r="G5110">
        <v>-432.1284</v>
      </c>
      <c r="H5110">
        <v>1.0504899999999999</v>
      </c>
      <c r="I5110">
        <v>213.12620000000001</v>
      </c>
      <c r="J5110">
        <v>-432.7527</v>
      </c>
      <c r="K5110">
        <v>1.1100570000000001</v>
      </c>
      <c r="L5110">
        <v>213.1379</v>
      </c>
      <c r="M5110">
        <v>0.99977729999999998</v>
      </c>
      <c r="N5110">
        <v>0</v>
      </c>
      <c r="O5110">
        <v>1.8819720000000002E-2</v>
      </c>
      <c r="P5110">
        <v>0.99949929999999998</v>
      </c>
      <c r="Q5110">
        <v>2.1222250000000002E-2</v>
      </c>
      <c r="R5110">
        <v>-2.3477850000000001E-2</v>
      </c>
      <c r="S5110">
        <v>3.005341</v>
      </c>
      <c r="T5110">
        <v>-0.20346980000000001</v>
      </c>
      <c r="U5110">
        <v>-2.1942139999999999E-2</v>
      </c>
      <c r="V5110">
        <v>4.22767E-2</v>
      </c>
      <c r="W5110">
        <v>3.078815E-2</v>
      </c>
      <c r="X5110">
        <v>0.99863150000000001</v>
      </c>
      <c r="Y5110">
        <v>2.601701E-2</v>
      </c>
      <c r="Z5110">
        <v>-2.1523890000000002E-3</v>
      </c>
      <c r="AA5110">
        <v>0.99965919999999997</v>
      </c>
      <c r="AB5110">
        <v>26</v>
      </c>
      <c r="AC5110">
        <v>0.62430000000000496</v>
      </c>
      <c r="AD5110">
        <v>-5.9567000000000099E-2</v>
      </c>
      <c r="AE5110">
        <v>-1.16999999999904E-2</v>
      </c>
      <c r="AF5110">
        <v>2.3236150465360501E-2</v>
      </c>
      <c r="AG5110">
        <v>-5.9567000000000099E-2</v>
      </c>
      <c r="AH5110">
        <v>0.61834190993223004</v>
      </c>
      <c r="AI5110">
        <v>95.498662586270598</v>
      </c>
      <c r="AJ5110">
        <v>87.847942705746107</v>
      </c>
      <c r="AK5110">
        <v>0.62163885315839695</v>
      </c>
      <c r="AL5110">
        <v>88.235690226844298</v>
      </c>
      <c r="AM5110">
        <v>87.5758516022495</v>
      </c>
      <c r="AN5110">
        <v>1.00000005116778</v>
      </c>
    </row>
    <row r="5111" spans="1:40" x14ac:dyDescent="0.25">
      <c r="A5111" t="str">
        <f>"20190312150754235"</f>
        <v>20190312150754235</v>
      </c>
      <c r="B5111" t="str">
        <f>"1552374474224766"</f>
        <v>1552374474224766</v>
      </c>
      <c r="C5111" t="s">
        <v>40</v>
      </c>
      <c r="D5111">
        <v>4.3256790000000001</v>
      </c>
      <c r="E5111">
        <v>0.48711130000000002</v>
      </c>
      <c r="F5111" t="s">
        <v>68</v>
      </c>
      <c r="G5111">
        <v>-410.78730000000002</v>
      </c>
      <c r="H5111" s="1">
        <v>2.4661290000000002E-6</v>
      </c>
      <c r="I5111">
        <v>213.2354</v>
      </c>
      <c r="J5111">
        <v>-432.49610000000001</v>
      </c>
      <c r="K5111">
        <v>1.1100509999999999</v>
      </c>
      <c r="L5111">
        <v>213.1429</v>
      </c>
      <c r="M5111">
        <v>0.99977400000000005</v>
      </c>
      <c r="N5111">
        <v>0</v>
      </c>
      <c r="O5111">
        <v>1.8988669999999999E-2</v>
      </c>
      <c r="P5111">
        <v>0.99950950000000005</v>
      </c>
      <c r="Q5111">
        <v>2.0991630000000001E-2</v>
      </c>
      <c r="R5111">
        <v>-2.3247339999999998E-2</v>
      </c>
      <c r="S5111">
        <v>3.0050349999999999</v>
      </c>
      <c r="T5111">
        <v>-0.15186379999999999</v>
      </c>
      <c r="U5111">
        <v>1.333618E-2</v>
      </c>
      <c r="V5111">
        <v>4.2215320000000001E-2</v>
      </c>
      <c r="W5111">
        <v>3.0565100000000001E-2</v>
      </c>
      <c r="X5111">
        <v>0.99864090000000005</v>
      </c>
      <c r="Y5111">
        <v>1.45095E-2</v>
      </c>
      <c r="Z5111">
        <v>-1.3253869999999999E-3</v>
      </c>
      <c r="AA5111">
        <v>0.99989380000000005</v>
      </c>
      <c r="AB5111">
        <v>26</v>
      </c>
      <c r="AC5111">
        <v>21.7088</v>
      </c>
      <c r="AD5111">
        <v>-1.110048533871</v>
      </c>
      <c r="AE5111">
        <v>9.2500000000001095E-2</v>
      </c>
      <c r="AF5111">
        <v>0.31892290001136298</v>
      </c>
      <c r="AG5111">
        <v>-1.110048533871</v>
      </c>
      <c r="AH5111">
        <v>21.650035980730099</v>
      </c>
      <c r="AI5111">
        <v>92.934802035991396</v>
      </c>
      <c r="AJ5111">
        <v>89.156046917260795</v>
      </c>
      <c r="AK5111">
        <v>21.6808204994785</v>
      </c>
      <c r="AL5111">
        <v>88.248475982717693</v>
      </c>
      <c r="AM5111">
        <v>87.579389703237595</v>
      </c>
      <c r="AN5111">
        <v>1.0000000028667599</v>
      </c>
    </row>
    <row r="5112" spans="1:40" x14ac:dyDescent="0.25">
      <c r="A5112" t="str">
        <f>"20190312150754256"</f>
        <v>20190312150754256</v>
      </c>
      <c r="B5112" t="str">
        <f>"1552374474245266"</f>
        <v>1552374474245266</v>
      </c>
      <c r="C5112" t="s">
        <v>40</v>
      </c>
      <c r="D5112">
        <v>4.3005019999999998</v>
      </c>
      <c r="E5112">
        <v>0.48581350000000001</v>
      </c>
      <c r="F5112" t="s">
        <v>68</v>
      </c>
      <c r="G5112">
        <v>-405.56599999999997</v>
      </c>
      <c r="H5112" s="1">
        <v>6.1787429999999898E-6</v>
      </c>
      <c r="I5112">
        <v>213.43180000000001</v>
      </c>
      <c r="J5112">
        <v>-432.24439999999998</v>
      </c>
      <c r="K5112">
        <v>1.1100490000000001</v>
      </c>
      <c r="L5112">
        <v>213.14789999999999</v>
      </c>
      <c r="M5112">
        <v>0.99977090000000002</v>
      </c>
      <c r="N5112">
        <v>0</v>
      </c>
      <c r="O5112">
        <v>1.9154330000000001E-2</v>
      </c>
      <c r="P5112">
        <v>0.99953000000000003</v>
      </c>
      <c r="Q5112">
        <v>2.0499860000000002E-2</v>
      </c>
      <c r="R5112">
        <v>-2.2801479999999999E-2</v>
      </c>
      <c r="S5112">
        <v>3.004791</v>
      </c>
      <c r="T5112">
        <v>-0.1238557</v>
      </c>
      <c r="U5112">
        <v>3.2226560000000001E-2</v>
      </c>
      <c r="V5112">
        <v>4.1935510000000002E-2</v>
      </c>
      <c r="W5112">
        <v>3.0069889999999998E-2</v>
      </c>
      <c r="X5112">
        <v>0.99866770000000005</v>
      </c>
      <c r="Y5112">
        <v>8.4082259999999995E-3</v>
      </c>
      <c r="Z5112">
        <v>-9.6236439999999998E-4</v>
      </c>
      <c r="AA5112">
        <v>0.99996419999999997</v>
      </c>
      <c r="AB5112">
        <v>26</v>
      </c>
      <c r="AC5112">
        <v>26.6784</v>
      </c>
      <c r="AD5112">
        <v>-1.1100428212569999</v>
      </c>
      <c r="AE5112">
        <v>0.28390000000001597</v>
      </c>
      <c r="AF5112">
        <v>0.22678970011181801</v>
      </c>
      <c r="AG5112">
        <v>-1.1100428212569999</v>
      </c>
      <c r="AH5112">
        <v>26.632840372830401</v>
      </c>
      <c r="AI5112">
        <v>92.386590230622502</v>
      </c>
      <c r="AJ5112">
        <v>89.512114426849394</v>
      </c>
      <c r="AK5112">
        <v>26.656928085542098</v>
      </c>
      <c r="AL5112">
        <v>88.276862435478193</v>
      </c>
      <c r="AM5112">
        <v>87.595479459443595</v>
      </c>
      <c r="AN5112">
        <v>0.99999998015343095</v>
      </c>
    </row>
    <row r="5113" spans="1:40" x14ac:dyDescent="0.25">
      <c r="A5113" t="str">
        <f>"20190312150754279"</f>
        <v>20190312150754279</v>
      </c>
      <c r="B5113" t="str">
        <f>"1552374474275518"</f>
        <v>1552374474275518</v>
      </c>
      <c r="C5113" t="s">
        <v>40</v>
      </c>
      <c r="D5113">
        <v>4.291029</v>
      </c>
      <c r="E5113">
        <v>0.48504550000000002</v>
      </c>
      <c r="F5113" t="s">
        <v>68</v>
      </c>
      <c r="G5113">
        <v>-401.41559999999998</v>
      </c>
      <c r="H5113" s="1">
        <v>7.9845770000000002E-6</v>
      </c>
      <c r="I5113">
        <v>213.59970000000001</v>
      </c>
      <c r="J5113">
        <v>-431.98399999999998</v>
      </c>
      <c r="K5113">
        <v>1.1100449999999999</v>
      </c>
      <c r="L5113">
        <v>213.15309999999999</v>
      </c>
      <c r="M5113">
        <v>0.99976770000000004</v>
      </c>
      <c r="N5113">
        <v>0</v>
      </c>
      <c r="O5113">
        <v>1.9326030000000001E-2</v>
      </c>
      <c r="P5113">
        <v>0.99955150000000004</v>
      </c>
      <c r="Q5113">
        <v>2.0275979999999999E-2</v>
      </c>
      <c r="R5113">
        <v>-2.2042229999999999E-2</v>
      </c>
      <c r="S5113">
        <v>3.0046689999999998</v>
      </c>
      <c r="T5113">
        <v>-0.1081877</v>
      </c>
      <c r="U5113">
        <v>4.4036869999999999E-2</v>
      </c>
      <c r="V5113">
        <v>4.134852E-2</v>
      </c>
      <c r="W5113">
        <v>2.9825859999999999E-2</v>
      </c>
      <c r="X5113">
        <v>0.99869949999999996</v>
      </c>
      <c r="Y5113">
        <v>4.6574600000000004E-3</v>
      </c>
      <c r="Z5113">
        <v>-7.7939269999999998E-4</v>
      </c>
      <c r="AA5113">
        <v>0.99998889999999996</v>
      </c>
      <c r="AB5113">
        <v>26</v>
      </c>
      <c r="AC5113">
        <v>30.5684</v>
      </c>
      <c r="AD5113">
        <v>-1.1100370154229999</v>
      </c>
      <c r="AE5113">
        <v>0.44660000000001698</v>
      </c>
      <c r="AF5113">
        <v>0.14408617032754101</v>
      </c>
      <c r="AG5113">
        <v>-1.1100370154229999</v>
      </c>
      <c r="AH5113">
        <v>30.5310705643004</v>
      </c>
      <c r="AI5113">
        <v>92.082197768880405</v>
      </c>
      <c r="AJ5113">
        <v>89.729604366798398</v>
      </c>
      <c r="AK5113">
        <v>30.551582819919201</v>
      </c>
      <c r="AL5113">
        <v>88.290850610224595</v>
      </c>
      <c r="AM5113">
        <v>87.629173330580997</v>
      </c>
      <c r="AN5113">
        <v>0.99999998666558898</v>
      </c>
    </row>
    <row r="5114" spans="1:40" x14ac:dyDescent="0.25">
      <c r="A5114" t="str">
        <f>"20190312150754302"</f>
        <v>20190312150754302</v>
      </c>
      <c r="B5114" t="str">
        <f>"1552374474295038"</f>
        <v>1552374474295038</v>
      </c>
      <c r="C5114" t="s">
        <v>40</v>
      </c>
      <c r="D5114">
        <v>4.5425180000000003</v>
      </c>
      <c r="E5114">
        <v>0.48490100000000003</v>
      </c>
      <c r="F5114" t="s">
        <v>67</v>
      </c>
      <c r="G5114">
        <v>-393.26920000000001</v>
      </c>
      <c r="H5114" s="1">
        <v>2.0289580000000001E-7</v>
      </c>
      <c r="I5114">
        <v>213.83150000000001</v>
      </c>
      <c r="J5114">
        <v>-431.71080000000001</v>
      </c>
      <c r="K5114">
        <v>1.1100300000000001</v>
      </c>
      <c r="L5114">
        <v>213.1585</v>
      </c>
      <c r="M5114">
        <v>0.9997646</v>
      </c>
      <c r="N5114">
        <v>0</v>
      </c>
      <c r="O5114">
        <v>1.9506369999999999E-2</v>
      </c>
      <c r="P5114">
        <v>0.99957410000000002</v>
      </c>
      <c r="Q5114">
        <v>2.0489980000000001E-2</v>
      </c>
      <c r="R5114">
        <v>-2.0781109999999998E-2</v>
      </c>
      <c r="S5114">
        <v>3.004181</v>
      </c>
      <c r="T5114">
        <v>-8.6136820000000003E-2</v>
      </c>
      <c r="U5114">
        <v>5.264282E-2</v>
      </c>
      <c r="V5114">
        <v>4.0268020000000002E-2</v>
      </c>
      <c r="W5114">
        <v>2.99922E-2</v>
      </c>
      <c r="X5114">
        <v>0.99873869999999998</v>
      </c>
      <c r="Y5114">
        <v>1.9782710000000002E-3</v>
      </c>
      <c r="Z5114">
        <v>-5.8746269999999999E-4</v>
      </c>
      <c r="AA5114">
        <v>0.9999979</v>
      </c>
      <c r="AB5114">
        <v>26</v>
      </c>
      <c r="AC5114">
        <v>38.441600000000001</v>
      </c>
      <c r="AD5114">
        <v>-1.1100297971041999</v>
      </c>
      <c r="AE5114">
        <v>0.67300000000000104</v>
      </c>
      <c r="AF5114">
        <v>7.6953827455101903E-2</v>
      </c>
      <c r="AG5114">
        <v>-1.1100297971041999</v>
      </c>
      <c r="AH5114">
        <v>38.415392268911603</v>
      </c>
      <c r="AI5114">
        <v>91.655123096198693</v>
      </c>
      <c r="AJ5114">
        <v>89.885225078478399</v>
      </c>
      <c r="AK5114">
        <v>38.431503369193997</v>
      </c>
      <c r="AL5114">
        <v>88.281315818660502</v>
      </c>
      <c r="AM5114">
        <v>87.691149230174304</v>
      </c>
      <c r="AN5114">
        <v>1.00000001818662</v>
      </c>
    </row>
    <row r="5115" spans="1:40" x14ac:dyDescent="0.25">
      <c r="A5115" t="str">
        <f>"20190312150754324"</f>
        <v>20190312150754324</v>
      </c>
      <c r="B5115" t="str">
        <f>"1552374474315536"</f>
        <v>1552374474315536</v>
      </c>
      <c r="C5115" t="s">
        <v>40</v>
      </c>
      <c r="D5115">
        <v>4.3047149999999998</v>
      </c>
      <c r="E5115">
        <v>0.48471819999999999</v>
      </c>
      <c r="F5115" t="s">
        <v>67</v>
      </c>
      <c r="G5115">
        <v>-388.14330000000001</v>
      </c>
      <c r="H5115" s="1">
        <v>2.8238119999999999E-6</v>
      </c>
      <c r="I5115">
        <v>213.995</v>
      </c>
      <c r="J5115">
        <v>-431.44929999999999</v>
      </c>
      <c r="K5115">
        <v>1.110017</v>
      </c>
      <c r="L5115">
        <v>213.16380000000001</v>
      </c>
      <c r="M5115">
        <v>0.99976200000000004</v>
      </c>
      <c r="N5115">
        <v>0</v>
      </c>
      <c r="O5115">
        <v>1.9679149999999999E-2</v>
      </c>
      <c r="P5115">
        <v>0.99957879999999999</v>
      </c>
      <c r="Q5115">
        <v>2.0839429999999999E-2</v>
      </c>
      <c r="R5115">
        <v>-2.020131E-2</v>
      </c>
      <c r="S5115">
        <v>3.004089</v>
      </c>
      <c r="T5115">
        <v>-7.6539159999999995E-2</v>
      </c>
      <c r="U5115">
        <v>5.7678220000000002E-2</v>
      </c>
      <c r="V5115">
        <v>3.986108E-2</v>
      </c>
      <c r="W5115">
        <v>3.0269589999999999E-2</v>
      </c>
      <c r="X5115">
        <v>0.99874660000000004</v>
      </c>
      <c r="Y5115">
        <v>4.7721029999999999E-4</v>
      </c>
      <c r="Z5115">
        <v>-5.0731629999999897E-4</v>
      </c>
      <c r="AA5115">
        <v>0.99999979999999999</v>
      </c>
      <c r="AB5115">
        <v>26</v>
      </c>
      <c r="AC5115">
        <v>43.305999999999898</v>
      </c>
      <c r="AD5115">
        <v>-1.110014176188</v>
      </c>
      <c r="AE5115">
        <v>0.83119999999999505</v>
      </c>
      <c r="AF5115">
        <v>2.12101067700344E-2</v>
      </c>
      <c r="AG5115">
        <v>-1.110014176188</v>
      </c>
      <c r="AH5115">
        <v>43.285543107560798</v>
      </c>
      <c r="AI5115">
        <v>91.468970459061296</v>
      </c>
      <c r="AJ5115">
        <v>89.971924817931395</v>
      </c>
      <c r="AK5115">
        <v>43.2997785612868</v>
      </c>
      <c r="AL5115">
        <v>88.265415226376902</v>
      </c>
      <c r="AM5115">
        <v>87.714475171558604</v>
      </c>
      <c r="AN5115">
        <v>0.99999996239454603</v>
      </c>
    </row>
    <row r="5116" spans="1:40" x14ac:dyDescent="0.25">
      <c r="A5116" t="str">
        <f>"20190312150754347"</f>
        <v>20190312150754347</v>
      </c>
      <c r="B5116" t="str">
        <f>"1552374474335057"</f>
        <v>1552374474335057</v>
      </c>
      <c r="C5116" t="s">
        <v>40</v>
      </c>
      <c r="D5116">
        <v>4.324033</v>
      </c>
      <c r="E5116">
        <v>0.48446349999999999</v>
      </c>
      <c r="F5116" t="s">
        <v>67</v>
      </c>
      <c r="G5116">
        <v>-386.85649999999998</v>
      </c>
      <c r="H5116" s="1">
        <v>2.1358879999999998E-6</v>
      </c>
      <c r="I5116">
        <v>214.0676</v>
      </c>
      <c r="J5116">
        <v>-431.18360000000001</v>
      </c>
      <c r="K5116">
        <v>1.1099950000000001</v>
      </c>
      <c r="L5116">
        <v>213.16929999999999</v>
      </c>
      <c r="M5116">
        <v>0.99975939999999996</v>
      </c>
      <c r="N5116">
        <v>0</v>
      </c>
      <c r="O5116">
        <v>1.985524E-2</v>
      </c>
      <c r="P5116">
        <v>0.99959359999999997</v>
      </c>
      <c r="Q5116">
        <v>2.0877380000000001E-2</v>
      </c>
      <c r="R5116">
        <v>-1.9408310000000002E-2</v>
      </c>
      <c r="S5116">
        <v>3.0040589999999998</v>
      </c>
      <c r="T5116">
        <v>-7.4777720000000006E-2</v>
      </c>
      <c r="U5116">
        <v>6.0882569999999997E-2</v>
      </c>
      <c r="V5116">
        <v>3.9244569999999999E-2</v>
      </c>
      <c r="W5116">
        <v>3.020049E-2</v>
      </c>
      <c r="X5116">
        <v>0.99877320000000003</v>
      </c>
      <c r="Y5116">
        <v>-4.1260409999999999E-4</v>
      </c>
      <c r="Z5116">
        <v>-4.8895239999999999E-4</v>
      </c>
      <c r="AA5116">
        <v>0.99999979999999999</v>
      </c>
      <c r="AB5116">
        <v>26</v>
      </c>
      <c r="AC5116">
        <v>44.327100000000002</v>
      </c>
      <c r="AD5116">
        <v>-1.109992864112</v>
      </c>
      <c r="AE5116">
        <v>0.89830000000000598</v>
      </c>
      <c r="AF5116">
        <v>-1.7948190692854901E-2</v>
      </c>
      <c r="AG5116">
        <v>-1.109992864112</v>
      </c>
      <c r="AH5116">
        <v>44.308425402990103</v>
      </c>
      <c r="AI5116">
        <v>91.4350453982819</v>
      </c>
      <c r="AJ5116">
        <v>90.023209028779405</v>
      </c>
      <c r="AK5116">
        <v>44.322330353764897</v>
      </c>
      <c r="AL5116">
        <v>88.269376336871801</v>
      </c>
      <c r="AM5116">
        <v>87.749847406651199</v>
      </c>
      <c r="AN5116">
        <v>1.0000000554544799</v>
      </c>
    </row>
    <row r="5117" spans="1:40" x14ac:dyDescent="0.25">
      <c r="A5117" t="str">
        <f>"20190312150754368"</f>
        <v>20190312150754368</v>
      </c>
      <c r="B5117" t="str">
        <f>"1552374474365310"</f>
        <v>1552374474365310</v>
      </c>
      <c r="C5117" t="s">
        <v>40</v>
      </c>
      <c r="D5117">
        <v>4.5542389999999999</v>
      </c>
      <c r="E5117">
        <v>0.48443839999999999</v>
      </c>
      <c r="F5117" t="s">
        <v>67</v>
      </c>
      <c r="G5117">
        <v>-384.86419999999998</v>
      </c>
      <c r="H5117" s="1">
        <v>1.0708059999999999E-6</v>
      </c>
      <c r="I5117">
        <v>214.1788</v>
      </c>
      <c r="J5117">
        <v>-430.92720000000003</v>
      </c>
      <c r="K5117">
        <v>1.109969</v>
      </c>
      <c r="L5117">
        <v>213.17449999999999</v>
      </c>
      <c r="M5117">
        <v>0.99975720000000001</v>
      </c>
      <c r="N5117">
        <v>0</v>
      </c>
      <c r="O5117">
        <v>2.0024770000000001E-2</v>
      </c>
      <c r="P5117">
        <v>0.99961160000000004</v>
      </c>
      <c r="Q5117">
        <v>2.0453659999999999E-2</v>
      </c>
      <c r="R5117">
        <v>-1.891936E-2</v>
      </c>
      <c r="S5117">
        <v>3.0040279999999999</v>
      </c>
      <c r="T5117">
        <v>-7.1988220000000006E-2</v>
      </c>
      <c r="U5117">
        <v>6.5475459999999999E-2</v>
      </c>
      <c r="V5117">
        <v>3.8925660000000001E-2</v>
      </c>
      <c r="W5117">
        <v>2.9644739999999999E-2</v>
      </c>
      <c r="X5117">
        <v>0.99880219999999997</v>
      </c>
      <c r="Y5117">
        <v>-1.7707210000000001E-3</v>
      </c>
      <c r="Z5117">
        <v>-4.5850459999999997E-4</v>
      </c>
      <c r="AA5117">
        <v>0.99999830000000001</v>
      </c>
      <c r="AB5117">
        <v>27</v>
      </c>
      <c r="AC5117">
        <v>46.063000000000002</v>
      </c>
      <c r="AD5117">
        <v>-1.1099679291939999</v>
      </c>
      <c r="AE5117">
        <v>1.0043</v>
      </c>
      <c r="AF5117">
        <v>-8.1611262345219399E-2</v>
      </c>
      <c r="AG5117">
        <v>-1.1099679291939999</v>
      </c>
      <c r="AH5117">
        <v>46.047149889522203</v>
      </c>
      <c r="AI5117">
        <v>91.380846908579898</v>
      </c>
      <c r="AJ5117">
        <v>90.101547566098901</v>
      </c>
      <c r="AK5117">
        <v>46.060598152326499</v>
      </c>
      <c r="AL5117">
        <v>88.301232510001896</v>
      </c>
      <c r="AM5117">
        <v>87.768178810589006</v>
      </c>
      <c r="AN5117">
        <v>0.99999992617046796</v>
      </c>
    </row>
    <row r="5118" spans="1:40" x14ac:dyDescent="0.25">
      <c r="A5118" t="str">
        <f>"20190312150754392"</f>
        <v>20190312150754392</v>
      </c>
      <c r="B5118" t="str">
        <f>"1552374474384830"</f>
        <v>1552374474384830</v>
      </c>
      <c r="C5118" t="s">
        <v>40</v>
      </c>
      <c r="D5118">
        <v>4.293317</v>
      </c>
      <c r="E5118">
        <v>0.4845912</v>
      </c>
      <c r="F5118" t="s">
        <v>67</v>
      </c>
      <c r="G5118">
        <v>-382.46800000000002</v>
      </c>
      <c r="H5118" s="1">
        <v>-2.0765610000000001E-7</v>
      </c>
      <c r="I5118">
        <v>214.25559999999999</v>
      </c>
      <c r="J5118">
        <v>-430.63690000000003</v>
      </c>
      <c r="K5118">
        <v>1.109936</v>
      </c>
      <c r="L5118">
        <v>213.18049999999999</v>
      </c>
      <c r="M5118">
        <v>0.99975510000000001</v>
      </c>
      <c r="N5118">
        <v>0</v>
      </c>
      <c r="O5118">
        <v>2.021628E-2</v>
      </c>
      <c r="P5118">
        <v>0.99961299999999997</v>
      </c>
      <c r="Q5118">
        <v>2.0552560000000001E-2</v>
      </c>
      <c r="R5118">
        <v>-1.8741480000000001E-2</v>
      </c>
      <c r="S5118">
        <v>3.0038450000000001</v>
      </c>
      <c r="T5118">
        <v>-6.8803790000000004E-2</v>
      </c>
      <c r="U5118">
        <v>6.7016599999999996E-2</v>
      </c>
      <c r="V5118">
        <v>3.893916E-2</v>
      </c>
      <c r="W5118">
        <v>2.9572290000000001E-2</v>
      </c>
      <c r="X5118">
        <v>0.99880389999999997</v>
      </c>
      <c r="Y5118">
        <v>-2.0928399999999999E-3</v>
      </c>
      <c r="Z5118">
        <v>-4.3894700000000002E-4</v>
      </c>
      <c r="AA5118">
        <v>0.99999769999999999</v>
      </c>
      <c r="AB5118">
        <v>27</v>
      </c>
      <c r="AC5118">
        <v>48.168900000000001</v>
      </c>
      <c r="AD5118">
        <v>-1.1099362076560999</v>
      </c>
      <c r="AE5118">
        <v>1.07509999999999</v>
      </c>
      <c r="AF5118">
        <v>-0.100991237136901</v>
      </c>
      <c r="AG5118">
        <v>-1.1099362076560999</v>
      </c>
      <c r="AH5118">
        <v>48.155234515276099</v>
      </c>
      <c r="AI5118">
        <v>91.3203811145722</v>
      </c>
      <c r="AJ5118">
        <v>90.120160626995201</v>
      </c>
      <c r="AK5118">
        <v>48.168130219433301</v>
      </c>
      <c r="AL5118">
        <v>88.305385543207194</v>
      </c>
      <c r="AM5118">
        <v>87.767409360921604</v>
      </c>
      <c r="AN5118">
        <v>1.00000000458627</v>
      </c>
    </row>
    <row r="5119" spans="1:40" x14ac:dyDescent="0.25">
      <c r="A5119" t="str">
        <f>"20190312150754415"</f>
        <v>20190312150754415</v>
      </c>
      <c r="B5119" t="str">
        <f>"1552374474405328"</f>
        <v>1552374474405328</v>
      </c>
      <c r="C5119" t="s">
        <v>40</v>
      </c>
      <c r="D5119">
        <v>4.2905759999999997</v>
      </c>
      <c r="E5119">
        <v>0.48458250000000003</v>
      </c>
      <c r="F5119" t="s">
        <v>67</v>
      </c>
      <c r="G5119">
        <v>-379.10019999999997</v>
      </c>
      <c r="H5119" s="1">
        <v>3.3058620000000002E-6</v>
      </c>
      <c r="I5119">
        <v>214.32069999999999</v>
      </c>
      <c r="J5119">
        <v>-430.36579999999998</v>
      </c>
      <c r="K5119">
        <v>1.1099030000000001</v>
      </c>
      <c r="L5119">
        <v>213.18620000000001</v>
      </c>
      <c r="M5119">
        <v>0.99975309999999995</v>
      </c>
      <c r="N5119">
        <v>0</v>
      </c>
      <c r="O5119">
        <v>2.039465E-2</v>
      </c>
      <c r="P5119">
        <v>0.99960789999999999</v>
      </c>
      <c r="Q5119">
        <v>2.0781839999999999E-2</v>
      </c>
      <c r="R5119">
        <v>-1.8777390000000001E-2</v>
      </c>
      <c r="S5119">
        <v>3.0037229999999999</v>
      </c>
      <c r="T5119">
        <v>-6.4690349999999994E-2</v>
      </c>
      <c r="U5119">
        <v>6.6452029999999995E-2</v>
      </c>
      <c r="V5119">
        <v>3.9152920000000001E-2</v>
      </c>
      <c r="W5119">
        <v>2.9621379999999999E-2</v>
      </c>
      <c r="X5119">
        <v>0.99879410000000002</v>
      </c>
      <c r="Y5119">
        <v>-1.7270829999999999E-3</v>
      </c>
      <c r="Z5119">
        <v>-4.2050520000000001E-4</v>
      </c>
      <c r="AA5119">
        <v>0.99999839999999995</v>
      </c>
      <c r="AB5119">
        <v>27</v>
      </c>
      <c r="AC5119">
        <v>51.265599999999999</v>
      </c>
      <c r="AD5119">
        <v>-1.1098996941379999</v>
      </c>
      <c r="AE5119">
        <v>1.1344999999999701</v>
      </c>
      <c r="AF5119">
        <v>-8.8637846309147506E-2</v>
      </c>
      <c r="AG5119">
        <v>-1.1098996941379999</v>
      </c>
      <c r="AH5119">
        <v>51.2540627909191</v>
      </c>
      <c r="AI5119">
        <v>91.240536500340397</v>
      </c>
      <c r="AJ5119">
        <v>90.0990861828151</v>
      </c>
      <c r="AK5119">
        <v>51.266155371495501</v>
      </c>
      <c r="AL5119">
        <v>88.302571679640195</v>
      </c>
      <c r="AM5119">
        <v>87.755143855998696</v>
      </c>
      <c r="AN5119">
        <v>1.0000000157462201</v>
      </c>
    </row>
    <row r="5120" spans="1:40" x14ac:dyDescent="0.25">
      <c r="A5120" t="str">
        <f>"20190312150754437"</f>
        <v>20190312150754437</v>
      </c>
      <c r="B5120" t="str">
        <f>"1552374474424846"</f>
        <v>1552374474424846</v>
      </c>
      <c r="C5120" t="s">
        <v>40</v>
      </c>
      <c r="D5120">
        <v>4.2988289999999996</v>
      </c>
      <c r="E5120">
        <v>0.484539</v>
      </c>
      <c r="F5120" t="s">
        <v>67</v>
      </c>
      <c r="G5120">
        <v>-377.49560000000002</v>
      </c>
      <c r="H5120" s="1">
        <v>2.452023E-6</v>
      </c>
      <c r="I5120">
        <v>214.3537</v>
      </c>
      <c r="J5120">
        <v>-430.1053</v>
      </c>
      <c r="K5120">
        <v>1.109861</v>
      </c>
      <c r="L5120">
        <v>213.1917</v>
      </c>
      <c r="M5120">
        <v>0.99975130000000001</v>
      </c>
      <c r="N5120">
        <v>0</v>
      </c>
      <c r="O5120">
        <v>2.0566310000000001E-2</v>
      </c>
      <c r="P5120">
        <v>0.99961</v>
      </c>
      <c r="Q5120">
        <v>2.076428E-2</v>
      </c>
      <c r="R5120">
        <v>-1.868181E-2</v>
      </c>
      <c r="S5120">
        <v>3.0037229999999999</v>
      </c>
      <c r="T5120">
        <v>-6.3057070000000007E-2</v>
      </c>
      <c r="U5120">
        <v>6.6329959999999993E-2</v>
      </c>
      <c r="V5120">
        <v>3.9228880000000001E-2</v>
      </c>
      <c r="W5120">
        <v>2.9411670000000001E-2</v>
      </c>
      <c r="X5120">
        <v>0.9987973</v>
      </c>
      <c r="Y5120">
        <v>-1.514661E-3</v>
      </c>
      <c r="Z5120">
        <v>-4.1572160000000001E-4</v>
      </c>
      <c r="AA5120">
        <v>0.99999870000000002</v>
      </c>
      <c r="AB5120">
        <v>27</v>
      </c>
      <c r="AC5120">
        <v>52.609699999999897</v>
      </c>
      <c r="AD5120">
        <v>-1.109858547977</v>
      </c>
      <c r="AE5120">
        <v>1.1619999999999999</v>
      </c>
      <c r="AF5120">
        <v>-7.9691127064671102E-2</v>
      </c>
      <c r="AG5120">
        <v>-1.109858547977</v>
      </c>
      <c r="AH5120">
        <v>52.599073169061803</v>
      </c>
      <c r="AI5120">
        <v>91.208779909744393</v>
      </c>
      <c r="AJ5120">
        <v>90.086806886067293</v>
      </c>
      <c r="AK5120">
        <v>52.610841419963698</v>
      </c>
      <c r="AL5120">
        <v>88.314592386557095</v>
      </c>
      <c r="AM5120">
        <v>87.750800311246195</v>
      </c>
      <c r="AN5120">
        <v>0.99999999892276603</v>
      </c>
    </row>
    <row r="5121" spans="1:40" x14ac:dyDescent="0.25">
      <c r="A5121" t="str">
        <f>"20190312150754459"</f>
        <v>20190312150754459</v>
      </c>
      <c r="B5121" t="str">
        <f>"1552374474455104"</f>
        <v>1552374474455104</v>
      </c>
      <c r="C5121" t="s">
        <v>40</v>
      </c>
      <c r="D5121">
        <v>4.4314390000000001</v>
      </c>
      <c r="E5121">
        <v>0.48489139999999997</v>
      </c>
      <c r="F5121" t="s">
        <v>67</v>
      </c>
      <c r="G5121">
        <v>-376.64159999999998</v>
      </c>
      <c r="H5121" s="1">
        <v>1.9975299999999999E-6</v>
      </c>
      <c r="I5121">
        <v>214.38509999999999</v>
      </c>
      <c r="J5121">
        <v>-429.84410000000003</v>
      </c>
      <c r="K5121">
        <v>1.1098269999999999</v>
      </c>
      <c r="L5121">
        <v>213.19730000000001</v>
      </c>
      <c r="M5121">
        <v>0.99974940000000001</v>
      </c>
      <c r="N5121">
        <v>0</v>
      </c>
      <c r="O5121">
        <v>2.0738840000000001E-2</v>
      </c>
      <c r="P5121">
        <v>0.99962189999999995</v>
      </c>
      <c r="Q5121">
        <v>2.0187119999999999E-2</v>
      </c>
      <c r="R5121">
        <v>-1.8681960000000001E-2</v>
      </c>
      <c r="S5121">
        <v>3.0036930000000002</v>
      </c>
      <c r="T5121">
        <v>-6.2353970000000002E-2</v>
      </c>
      <c r="U5121">
        <v>6.7047120000000002E-2</v>
      </c>
      <c r="V5121">
        <v>3.9401810000000002E-2</v>
      </c>
      <c r="W5121">
        <v>2.8630940000000001E-2</v>
      </c>
      <c r="X5121">
        <v>0.99881319999999996</v>
      </c>
      <c r="Y5121">
        <v>-1.5809210000000001E-3</v>
      </c>
      <c r="Z5121">
        <v>-4.1398150000000001E-4</v>
      </c>
      <c r="AA5121">
        <v>0.99999870000000002</v>
      </c>
      <c r="AB5121">
        <v>27</v>
      </c>
      <c r="AC5121">
        <v>53.202500000000001</v>
      </c>
      <c r="AD5121">
        <v>-1.10982500247</v>
      </c>
      <c r="AE5121">
        <v>1.18779999999998</v>
      </c>
      <c r="AF5121">
        <v>-8.4110608088245206E-2</v>
      </c>
      <c r="AG5121">
        <v>-1.10982500247</v>
      </c>
      <c r="AH5121">
        <v>53.192555716477898</v>
      </c>
      <c r="AI5121">
        <v>91.195260947223105</v>
      </c>
      <c r="AJ5121">
        <v>90.090598745901303</v>
      </c>
      <c r="AK5121">
        <v>53.204198798413501</v>
      </c>
      <c r="AL5121">
        <v>88.359343807379702</v>
      </c>
      <c r="AM5121">
        <v>87.740931493026494</v>
      </c>
      <c r="AN5121">
        <v>1.0000000209253901</v>
      </c>
    </row>
    <row r="5122" spans="1:40" x14ac:dyDescent="0.25">
      <c r="A5122" t="str">
        <f>"20190312150754480"</f>
        <v>20190312150754480</v>
      </c>
      <c r="B5122" t="str">
        <f>"1552374474475599"</f>
        <v>1552374474475599</v>
      </c>
      <c r="C5122" t="s">
        <v>40</v>
      </c>
      <c r="D5122">
        <v>4.3024250000000004</v>
      </c>
      <c r="E5122">
        <v>0.4851106</v>
      </c>
      <c r="F5122" t="s">
        <v>67</v>
      </c>
      <c r="G5122">
        <v>-374.58859999999999</v>
      </c>
      <c r="H5122" s="1">
        <v>9.05034E-7</v>
      </c>
      <c r="I5122">
        <v>214.37569999999999</v>
      </c>
      <c r="J5122">
        <v>-429.57459999999998</v>
      </c>
      <c r="K5122">
        <v>1.1097919999999999</v>
      </c>
      <c r="L5122">
        <v>213.203</v>
      </c>
      <c r="M5122">
        <v>0.99974739999999995</v>
      </c>
      <c r="N5122">
        <v>0</v>
      </c>
      <c r="O5122">
        <v>2.091674E-2</v>
      </c>
      <c r="P5122">
        <v>0.99962629999999997</v>
      </c>
      <c r="Q5122">
        <v>2.0049919999999999E-2</v>
      </c>
      <c r="R5122">
        <v>-1.8583760000000001E-2</v>
      </c>
      <c r="S5122">
        <v>3.0035400000000001</v>
      </c>
      <c r="T5122">
        <v>-6.0327169999999999E-2</v>
      </c>
      <c r="U5122">
        <v>6.4056399999999999E-2</v>
      </c>
      <c r="V5122">
        <v>3.9481580000000002E-2</v>
      </c>
      <c r="W5122">
        <v>2.8280610000000001E-2</v>
      </c>
      <c r="X5122">
        <v>0.99882000000000004</v>
      </c>
      <c r="Y5122">
        <v>-4.0888980000000001E-4</v>
      </c>
      <c r="Z5122">
        <v>-4.1589250000000002E-4</v>
      </c>
      <c r="AA5122">
        <v>0.99999979999999999</v>
      </c>
      <c r="AB5122">
        <v>27</v>
      </c>
      <c r="AC5122">
        <v>54.985999999999898</v>
      </c>
      <c r="AD5122">
        <v>-1.1097910949659999</v>
      </c>
      <c r="AE5122">
        <v>1.1726999999999901</v>
      </c>
      <c r="AF5122">
        <v>-2.22675967948558E-2</v>
      </c>
      <c r="AG5122">
        <v>-1.1097910949659999</v>
      </c>
      <c r="AH5122">
        <v>54.976114418463602</v>
      </c>
      <c r="AI5122">
        <v>91.156460513309099</v>
      </c>
      <c r="AJ5122">
        <v>90.023207155688695</v>
      </c>
      <c r="AK5122">
        <v>54.987319344302797</v>
      </c>
      <c r="AL5122">
        <v>88.379424319317096</v>
      </c>
      <c r="AM5122">
        <v>87.736378097215706</v>
      </c>
      <c r="AN5122">
        <v>0.99999999023063402</v>
      </c>
    </row>
    <row r="5123" spans="1:40" x14ac:dyDescent="0.25">
      <c r="A5123" t="str">
        <f>"20190312150754503"</f>
        <v>20190312150754503</v>
      </c>
      <c r="B5123" t="str">
        <f>"1552374474495119"</f>
        <v>1552374474495119</v>
      </c>
      <c r="C5123" t="s">
        <v>40</v>
      </c>
      <c r="D5123">
        <v>4.3068660000000003</v>
      </c>
      <c r="E5123">
        <v>0.48522900000000002</v>
      </c>
      <c r="F5123" t="s">
        <v>67</v>
      </c>
      <c r="G5123">
        <v>-372.41550000000001</v>
      </c>
      <c r="H5123" s="1">
        <v>-2.5137600000000001E-7</v>
      </c>
      <c r="I5123">
        <v>214.39789999999999</v>
      </c>
      <c r="J5123">
        <v>-429.28590000000003</v>
      </c>
      <c r="K5123">
        <v>1.1097619999999999</v>
      </c>
      <c r="L5123">
        <v>213.20920000000001</v>
      </c>
      <c r="M5123">
        <v>0.9997452</v>
      </c>
      <c r="N5123">
        <v>0</v>
      </c>
      <c r="O5123">
        <v>2.1106759999999999E-2</v>
      </c>
      <c r="P5123">
        <v>0.99963999999999997</v>
      </c>
      <c r="Q5123">
        <v>1.926974E-2</v>
      </c>
      <c r="R5123">
        <v>-1.868566E-2</v>
      </c>
      <c r="S5123">
        <v>3.003479</v>
      </c>
      <c r="T5123">
        <v>-5.8315039999999999E-2</v>
      </c>
      <c r="U5123">
        <v>6.2789919999999999E-2</v>
      </c>
      <c r="V5123">
        <v>3.9773709999999997E-2</v>
      </c>
      <c r="W5123">
        <v>2.7279640000000001E-2</v>
      </c>
      <c r="X5123">
        <v>0.99883630000000001</v>
      </c>
      <c r="Y5123">
        <v>2.023057E-4</v>
      </c>
      <c r="Z5123">
        <v>-4.1165320000000001E-4</v>
      </c>
      <c r="AA5123">
        <v>0.99999990000000005</v>
      </c>
      <c r="AB5123">
        <v>27</v>
      </c>
      <c r="AC5123">
        <v>56.870399999999997</v>
      </c>
      <c r="AD5123">
        <v>-1.1097622513759999</v>
      </c>
      <c r="AE5123">
        <v>1.1886999999999801</v>
      </c>
      <c r="AF5123">
        <v>1.1948599469429199E-2</v>
      </c>
      <c r="AG5123">
        <v>-1.1097622513759999</v>
      </c>
      <c r="AH5123">
        <v>56.861177636073101</v>
      </c>
      <c r="AI5123">
        <v>91.1181024188121</v>
      </c>
      <c r="AJ5123">
        <v>89.987960075062105</v>
      </c>
      <c r="AK5123">
        <v>56.8720075009198</v>
      </c>
      <c r="AL5123">
        <v>88.436797900123494</v>
      </c>
      <c r="AM5123">
        <v>87.7196840171313</v>
      </c>
      <c r="AN5123">
        <v>1.00000004048169</v>
      </c>
    </row>
    <row r="5124" spans="1:40" x14ac:dyDescent="0.25">
      <c r="A5124" t="str">
        <f>"20190312150754526"</f>
        <v>20190312150754526</v>
      </c>
      <c r="B5124" t="str">
        <f>"1552374474514639"</f>
        <v>1552374474514639</v>
      </c>
      <c r="C5124" t="s">
        <v>40</v>
      </c>
      <c r="D5124">
        <v>4.2986459999999997</v>
      </c>
      <c r="E5124">
        <v>0.4854019</v>
      </c>
      <c r="F5124" t="s">
        <v>67</v>
      </c>
      <c r="G5124">
        <v>-372.69670000000002</v>
      </c>
      <c r="H5124" s="1">
        <v>-1.017312E-7</v>
      </c>
      <c r="I5124">
        <v>214.36959999999999</v>
      </c>
      <c r="J5124">
        <v>-429.02199999999999</v>
      </c>
      <c r="K5124">
        <v>1.1097379999999999</v>
      </c>
      <c r="L5124">
        <v>213.215</v>
      </c>
      <c r="M5124">
        <v>0.99974300000000005</v>
      </c>
      <c r="N5124">
        <v>0</v>
      </c>
      <c r="O5124">
        <v>2.1279989999999999E-2</v>
      </c>
      <c r="P5124">
        <v>0.99964299999999995</v>
      </c>
      <c r="Q5124">
        <v>1.8826699999999998E-2</v>
      </c>
      <c r="R5124">
        <v>-1.896107E-2</v>
      </c>
      <c r="S5124">
        <v>3.0033569999999998</v>
      </c>
      <c r="T5124">
        <v>-5.8898449999999998E-2</v>
      </c>
      <c r="U5124">
        <v>6.1584470000000002E-2</v>
      </c>
      <c r="V5124">
        <v>4.0222349999999997E-2</v>
      </c>
      <c r="W5124">
        <v>2.6650440000000001E-2</v>
      </c>
      <c r="X5124">
        <v>0.99883529999999998</v>
      </c>
      <c r="Y5124">
        <v>7.7567100000000002E-4</v>
      </c>
      <c r="Z5124">
        <v>-4.2480589999999998E-4</v>
      </c>
      <c r="AA5124">
        <v>0.99999959999999999</v>
      </c>
      <c r="AB5124">
        <v>27</v>
      </c>
      <c r="AC5124">
        <v>56.325299999999899</v>
      </c>
      <c r="AD5124">
        <v>-1.10973810173119</v>
      </c>
      <c r="AE5124">
        <v>1.1545999999999801</v>
      </c>
      <c r="AF5124">
        <v>4.4282723760931703E-2</v>
      </c>
      <c r="AG5124">
        <v>-1.10973810173119</v>
      </c>
      <c r="AH5124">
        <v>56.3152639680685</v>
      </c>
      <c r="AI5124">
        <v>91.128913498351295</v>
      </c>
      <c r="AJ5124">
        <v>89.954946270777597</v>
      </c>
      <c r="AK5124">
        <v>56.326214460118798</v>
      </c>
      <c r="AL5124">
        <v>88.472861485934004</v>
      </c>
      <c r="AM5124">
        <v>87.693987786933604</v>
      </c>
      <c r="AN5124">
        <v>1.0000000199589001</v>
      </c>
    </row>
    <row r="5125" spans="1:40" x14ac:dyDescent="0.25">
      <c r="A5125" t="str">
        <f>"20190312150754546"</f>
        <v>20190312150754546</v>
      </c>
      <c r="B5125" t="str">
        <f>"1552374474535138"</f>
        <v>1552374474535138</v>
      </c>
      <c r="C5125" t="s">
        <v>40</v>
      </c>
      <c r="D5125">
        <v>4.3553230000000003</v>
      </c>
      <c r="E5125">
        <v>0.48564449999999998</v>
      </c>
      <c r="F5125" t="s">
        <v>67</v>
      </c>
      <c r="G5125">
        <v>-372.07749999999999</v>
      </c>
      <c r="H5125" s="1">
        <v>-4.3122439999999999E-7</v>
      </c>
      <c r="I5125">
        <v>214.34190000000001</v>
      </c>
      <c r="J5125">
        <v>-428.75959999999998</v>
      </c>
      <c r="K5125">
        <v>1.109723</v>
      </c>
      <c r="L5125">
        <v>213.2208</v>
      </c>
      <c r="M5125">
        <v>0.99974070000000004</v>
      </c>
      <c r="N5125">
        <v>0</v>
      </c>
      <c r="O5125">
        <v>2.1452240000000001E-2</v>
      </c>
      <c r="P5125">
        <v>0.99964030000000004</v>
      </c>
      <c r="Q5125">
        <v>1.8839350000000001E-2</v>
      </c>
      <c r="R5125">
        <v>-1.91028E-2</v>
      </c>
      <c r="S5125">
        <v>3.0032649999999999</v>
      </c>
      <c r="T5125">
        <v>-5.8527830000000003E-2</v>
      </c>
      <c r="U5125">
        <v>5.9432980000000003E-2</v>
      </c>
      <c r="V5125">
        <v>4.0535870000000002E-2</v>
      </c>
      <c r="W5125">
        <v>2.6495520000000002E-2</v>
      </c>
      <c r="X5125">
        <v>0.99882669999999996</v>
      </c>
      <c r="Y5125">
        <v>1.6632540000000001E-3</v>
      </c>
      <c r="Z5125">
        <v>-4.3415169999999999E-4</v>
      </c>
      <c r="AA5125">
        <v>0.99999850000000001</v>
      </c>
      <c r="AB5125">
        <v>27</v>
      </c>
      <c r="AC5125">
        <v>56.682099999999899</v>
      </c>
      <c r="AD5125">
        <v>-1.1097234312244</v>
      </c>
      <c r="AE5125">
        <v>1.12110000000001</v>
      </c>
      <c r="AF5125">
        <v>9.5115046223305605E-2</v>
      </c>
      <c r="AG5125">
        <v>-1.1097234312244</v>
      </c>
      <c r="AH5125">
        <v>56.6713924424471</v>
      </c>
      <c r="AI5125">
        <v>91.121805056816001</v>
      </c>
      <c r="AJ5125">
        <v>89.903837097257394</v>
      </c>
      <c r="AK5125">
        <v>56.682336352091902</v>
      </c>
      <c r="AL5125">
        <v>88.481740812120506</v>
      </c>
      <c r="AM5125">
        <v>87.676012823701996</v>
      </c>
      <c r="AN5125">
        <v>0.99999997298480803</v>
      </c>
    </row>
    <row r="5126" spans="1:40" x14ac:dyDescent="0.25">
      <c r="A5126" t="str">
        <f>"20190312150754570"</f>
        <v>20190312150754570</v>
      </c>
      <c r="B5126" t="str">
        <f>"1552374474565391"</f>
        <v>1552374474565391</v>
      </c>
      <c r="C5126" t="s">
        <v>40</v>
      </c>
      <c r="D5126">
        <v>4.5685589999999996</v>
      </c>
      <c r="E5126">
        <v>0.48582150000000002</v>
      </c>
      <c r="F5126" t="s">
        <v>67</v>
      </c>
      <c r="G5126">
        <v>-372.71789999999999</v>
      </c>
      <c r="H5126" s="1">
        <v>-9.0472580000000004E-8</v>
      </c>
      <c r="I5126">
        <v>214.28200000000001</v>
      </c>
      <c r="J5126">
        <v>-428.48419999999999</v>
      </c>
      <c r="K5126">
        <v>1.1097090000000001</v>
      </c>
      <c r="L5126">
        <v>213.2269</v>
      </c>
      <c r="M5126">
        <v>0.99973780000000001</v>
      </c>
      <c r="N5126">
        <v>0</v>
      </c>
      <c r="O5126">
        <v>2.163325E-2</v>
      </c>
      <c r="P5126">
        <v>0.99964240000000004</v>
      </c>
      <c r="Q5126">
        <v>1.924054E-2</v>
      </c>
      <c r="R5126">
        <v>-1.8579040000000002E-2</v>
      </c>
      <c r="S5126">
        <v>3.0032960000000002</v>
      </c>
      <c r="T5126">
        <v>-5.9470420000000003E-2</v>
      </c>
      <c r="U5126">
        <v>5.6869509999999998E-2</v>
      </c>
      <c r="V5126">
        <v>4.0193060000000003E-2</v>
      </c>
      <c r="W5126">
        <v>2.674052E-2</v>
      </c>
      <c r="X5126">
        <v>0.99883409999999995</v>
      </c>
      <c r="Y5126">
        <v>2.697343E-3</v>
      </c>
      <c r="Z5126">
        <v>-4.5496129999999998E-4</v>
      </c>
      <c r="AA5126">
        <v>0.9999962</v>
      </c>
      <c r="AB5126">
        <v>27</v>
      </c>
      <c r="AC5126">
        <v>55.766300000000001</v>
      </c>
      <c r="AD5126">
        <v>-1.1097090904725799</v>
      </c>
      <c r="AE5126">
        <v>1.0551000000000099</v>
      </c>
      <c r="AF5126">
        <v>0.151527246015522</v>
      </c>
      <c r="AG5126">
        <v>-1.1097090904725799</v>
      </c>
      <c r="AH5126">
        <v>55.7540047374737</v>
      </c>
      <c r="AI5126">
        <v>91.140241294957207</v>
      </c>
      <c r="AJ5126">
        <v>89.8442829292146</v>
      </c>
      <c r="AK5126">
        <v>55.765253151384599</v>
      </c>
      <c r="AL5126">
        <v>88.467698485765297</v>
      </c>
      <c r="AM5126">
        <v>87.695662453576702</v>
      </c>
      <c r="AN5126">
        <v>1.0000000484024201</v>
      </c>
    </row>
    <row r="5127" spans="1:40" x14ac:dyDescent="0.25">
      <c r="A5127" t="str">
        <f>"20190312150754593"</f>
        <v>20190312150754593</v>
      </c>
      <c r="B5127" t="str">
        <f>"1552374474584911"</f>
        <v>1552374474584911</v>
      </c>
      <c r="C5127" t="s">
        <v>40</v>
      </c>
      <c r="D5127">
        <v>4.3293140000000001</v>
      </c>
      <c r="E5127">
        <v>0.48596719999999999</v>
      </c>
      <c r="F5127" t="s">
        <v>67</v>
      </c>
      <c r="G5127">
        <v>-368.97469999999998</v>
      </c>
      <c r="H5127" s="1">
        <v>3.2391099999999999E-6</v>
      </c>
      <c r="I5127">
        <v>214.35740000000001</v>
      </c>
      <c r="J5127">
        <v>-428.19459999999998</v>
      </c>
      <c r="K5127">
        <v>1.109702</v>
      </c>
      <c r="L5127">
        <v>213.23330000000001</v>
      </c>
      <c r="M5127">
        <v>0.99973489999999998</v>
      </c>
      <c r="N5127">
        <v>0</v>
      </c>
      <c r="O5127">
        <v>2.182255E-2</v>
      </c>
      <c r="P5127">
        <v>0.99964200000000003</v>
      </c>
      <c r="Q5127">
        <v>1.9738789999999999E-2</v>
      </c>
      <c r="R5127">
        <v>-1.8070800000000001E-2</v>
      </c>
      <c r="S5127">
        <v>3.0032040000000002</v>
      </c>
      <c r="T5127">
        <v>-5.6002379999999997E-2</v>
      </c>
      <c r="U5127">
        <v>5.7052609999999997E-2</v>
      </c>
      <c r="V5127">
        <v>3.9873939999999997E-2</v>
      </c>
      <c r="W5127">
        <v>2.7096120000000001E-2</v>
      </c>
      <c r="X5127">
        <v>0.99883719999999998</v>
      </c>
      <c r="Y5127">
        <v>2.8256209999999999E-3</v>
      </c>
      <c r="Z5127">
        <v>-4.3317129999999998E-4</v>
      </c>
      <c r="AA5127">
        <v>0.99999590000000005</v>
      </c>
      <c r="AB5127">
        <v>28</v>
      </c>
      <c r="AC5127">
        <v>59.219900000000003</v>
      </c>
      <c r="AD5127">
        <v>-1.10969876089</v>
      </c>
      <c r="AE5127">
        <v>1.1240999999999901</v>
      </c>
      <c r="AF5127">
        <v>0.16847263472316501</v>
      </c>
      <c r="AG5127">
        <v>-1.10969876089</v>
      </c>
      <c r="AH5127">
        <v>59.209544899752501</v>
      </c>
      <c r="AI5127">
        <v>91.073701131438995</v>
      </c>
      <c r="AJ5127">
        <v>89.836973162018694</v>
      </c>
      <c r="AK5127">
        <v>59.220182552947101</v>
      </c>
      <c r="AL5127">
        <v>88.447316555746696</v>
      </c>
      <c r="AM5127">
        <v>87.7139457531988</v>
      </c>
      <c r="AN5127">
        <v>0.99999994145700699</v>
      </c>
    </row>
    <row r="5128" spans="1:40" x14ac:dyDescent="0.25">
      <c r="A5128" t="str">
        <f>"20190312150754616"</f>
        <v>20190312150754616</v>
      </c>
      <c r="B5128" t="str">
        <f>"1552374474605407"</f>
        <v>1552374474605407</v>
      </c>
      <c r="C5128" t="s">
        <v>40</v>
      </c>
      <c r="D5128">
        <v>4.6405159999999999</v>
      </c>
      <c r="E5128">
        <v>0.48606700000000003</v>
      </c>
      <c r="F5128" t="s">
        <v>67</v>
      </c>
      <c r="G5128">
        <v>-368.37599999999998</v>
      </c>
      <c r="H5128" s="1">
        <v>2.920483E-6</v>
      </c>
      <c r="I5128">
        <v>214.37819999999999</v>
      </c>
      <c r="J5128">
        <v>-427.9083</v>
      </c>
      <c r="K5128">
        <v>1.109691</v>
      </c>
      <c r="L5128">
        <v>213.2398</v>
      </c>
      <c r="M5128">
        <v>0.9997317</v>
      </c>
      <c r="N5128">
        <v>0</v>
      </c>
      <c r="O5128">
        <v>2.200889E-2</v>
      </c>
      <c r="P5128">
        <v>0.99966010000000005</v>
      </c>
      <c r="Q5128">
        <v>1.9598259999999999E-2</v>
      </c>
      <c r="R5128">
        <v>-1.7199119999999998E-2</v>
      </c>
      <c r="S5128">
        <v>3.0032040000000002</v>
      </c>
      <c r="T5128">
        <v>-5.5712579999999998E-2</v>
      </c>
      <c r="U5128">
        <v>5.7479860000000001E-2</v>
      </c>
      <c r="V5128">
        <v>3.9188979999999998E-2</v>
      </c>
      <c r="W5128">
        <v>2.683491E-2</v>
      </c>
      <c r="X5128">
        <v>0.99887139999999996</v>
      </c>
      <c r="Y5128">
        <v>2.869786E-3</v>
      </c>
      <c r="Z5128">
        <v>-4.3479409999999999E-4</v>
      </c>
      <c r="AA5128">
        <v>0.99999579999999999</v>
      </c>
      <c r="AB5128">
        <v>28</v>
      </c>
      <c r="AC5128">
        <v>59.532299999999999</v>
      </c>
      <c r="AD5128">
        <v>-1.1096880795170001</v>
      </c>
      <c r="AE5128">
        <v>1.1383999999999901</v>
      </c>
      <c r="AF5128">
        <v>0.17208999120266399</v>
      </c>
      <c r="AG5128">
        <v>-1.1096880795170001</v>
      </c>
      <c r="AH5128">
        <v>59.522260962805397</v>
      </c>
      <c r="AI5128">
        <v>91.068051047961603</v>
      </c>
      <c r="AJ5128">
        <v>89.834347644733299</v>
      </c>
      <c r="AK5128">
        <v>59.5328528858076</v>
      </c>
      <c r="AL5128">
        <v>88.462288292507594</v>
      </c>
      <c r="AM5128">
        <v>87.753252157503297</v>
      </c>
      <c r="AN5128">
        <v>0.999999981143054</v>
      </c>
    </row>
    <row r="5129" spans="1:40" x14ac:dyDescent="0.25">
      <c r="A5129" t="str">
        <f>"20190312150754637"</f>
        <v>20190312150754637</v>
      </c>
      <c r="B5129" t="str">
        <f>"1552374474624926"</f>
        <v>1552374474624926</v>
      </c>
      <c r="C5129" t="s">
        <v>40</v>
      </c>
      <c r="D5129">
        <v>4.5769539999999997</v>
      </c>
      <c r="E5129">
        <v>0.48612260000000002</v>
      </c>
      <c r="F5129" t="s">
        <v>67</v>
      </c>
      <c r="G5129">
        <v>-367.01220000000001</v>
      </c>
      <c r="H5129" s="1">
        <v>2.194764E-6</v>
      </c>
      <c r="I5129">
        <v>214.44149999999999</v>
      </c>
      <c r="J5129">
        <v>-427.64710000000002</v>
      </c>
      <c r="K5129">
        <v>1.1096820000000001</v>
      </c>
      <c r="L5129">
        <v>213.2457</v>
      </c>
      <c r="M5129">
        <v>0.99972859999999997</v>
      </c>
      <c r="N5129">
        <v>0</v>
      </c>
      <c r="O5129">
        <v>2.2178260000000002E-2</v>
      </c>
      <c r="P5129">
        <v>0.99967890000000004</v>
      </c>
      <c r="Q5129">
        <v>1.919939E-2</v>
      </c>
      <c r="R5129">
        <v>-1.655094E-2</v>
      </c>
      <c r="S5129">
        <v>3.003082</v>
      </c>
      <c r="T5129">
        <v>-5.4724219999999997E-2</v>
      </c>
      <c r="U5129">
        <v>5.9265140000000001E-2</v>
      </c>
      <c r="V5129">
        <v>3.8710799999999997E-2</v>
      </c>
      <c r="W5129">
        <v>2.634299E-2</v>
      </c>
      <c r="X5129">
        <v>0.99890319999999999</v>
      </c>
      <c r="Y5129">
        <v>2.4443490000000002E-3</v>
      </c>
      <c r="Z5129">
        <v>-4.2630530000000003E-4</v>
      </c>
      <c r="AA5129">
        <v>0.99999689999999997</v>
      </c>
      <c r="AB5129">
        <v>28</v>
      </c>
      <c r="AC5129">
        <v>60.634900000000002</v>
      </c>
      <c r="AD5129">
        <v>-1.109679805236</v>
      </c>
      <c r="AE5129">
        <v>1.19579999999999</v>
      </c>
      <c r="AF5129">
        <v>0.14925494354258101</v>
      </c>
      <c r="AG5129">
        <v>-1.109679805236</v>
      </c>
      <c r="AH5129">
        <v>60.626208988479704</v>
      </c>
      <c r="AI5129">
        <v>91.048600581808799</v>
      </c>
      <c r="AJ5129">
        <v>89.8589444861841</v>
      </c>
      <c r="AK5129">
        <v>60.636547416744797</v>
      </c>
      <c r="AL5129">
        <v>88.490483291927305</v>
      </c>
      <c r="AM5129">
        <v>87.780709748719005</v>
      </c>
      <c r="AN5129">
        <v>1.0000000410645</v>
      </c>
    </row>
    <row r="5130" spans="1:40" x14ac:dyDescent="0.25">
      <c r="A5130" t="str">
        <f>"20190312150754660"</f>
        <v>20190312150754660</v>
      </c>
      <c r="B5130" t="str">
        <f>"1552374474655183"</f>
        <v>1552374474655183</v>
      </c>
      <c r="C5130" t="s">
        <v>40</v>
      </c>
      <c r="D5130">
        <v>4.3667509999999998</v>
      </c>
      <c r="E5130">
        <v>0.48634850000000002</v>
      </c>
      <c r="F5130" t="s">
        <v>67</v>
      </c>
      <c r="G5130">
        <v>-368.16649999999998</v>
      </c>
      <c r="H5130" s="1">
        <v>2.8090160000000001E-6</v>
      </c>
      <c r="I5130">
        <v>214.4477</v>
      </c>
      <c r="J5130">
        <v>-427.37150000000003</v>
      </c>
      <c r="K5130">
        <v>1.1096699999999999</v>
      </c>
      <c r="L5130">
        <v>213.25200000000001</v>
      </c>
      <c r="M5130">
        <v>0.99972519999999998</v>
      </c>
      <c r="N5130">
        <v>0</v>
      </c>
      <c r="O5130">
        <v>2.2356230000000001E-2</v>
      </c>
      <c r="P5130">
        <v>0.99968789999999996</v>
      </c>
      <c r="Q5130">
        <v>1.8841529999999999E-2</v>
      </c>
      <c r="R5130">
        <v>-1.6409469999999999E-2</v>
      </c>
      <c r="S5130">
        <v>3.0030209999999999</v>
      </c>
      <c r="T5130">
        <v>-5.6024789999999998E-2</v>
      </c>
      <c r="U5130">
        <v>6.0684200000000001E-2</v>
      </c>
      <c r="V5130">
        <v>3.8747579999999997E-2</v>
      </c>
      <c r="W5130">
        <v>2.5902060000000001E-2</v>
      </c>
      <c r="X5130">
        <v>0.9989133</v>
      </c>
      <c r="Y5130">
        <v>2.14942E-3</v>
      </c>
      <c r="Z5130">
        <v>-4.3700919999999999E-4</v>
      </c>
      <c r="AA5130">
        <v>0.99999760000000004</v>
      </c>
      <c r="AB5130">
        <v>28</v>
      </c>
      <c r="AC5130">
        <v>59.204999999999998</v>
      </c>
      <c r="AD5130">
        <v>-1.1096671909839999</v>
      </c>
      <c r="AE5130">
        <v>1.19569999999998</v>
      </c>
      <c r="AF5130">
        <v>0.12818735074944099</v>
      </c>
      <c r="AG5130">
        <v>-1.1096671909839999</v>
      </c>
      <c r="AH5130">
        <v>59.196147387401197</v>
      </c>
      <c r="AI5130">
        <v>91.073915362254198</v>
      </c>
      <c r="AJ5130">
        <v>89.875928028615405</v>
      </c>
      <c r="AK5130">
        <v>59.206685929737397</v>
      </c>
      <c r="AL5130">
        <v>88.515755336193195</v>
      </c>
      <c r="AM5130">
        <v>87.778625700662303</v>
      </c>
      <c r="AN5130">
        <v>1.0000000362924899</v>
      </c>
    </row>
    <row r="5131" spans="1:40" x14ac:dyDescent="0.25">
      <c r="A5131" t="str">
        <f>"20190312150754681"</f>
        <v>20190312150754681</v>
      </c>
      <c r="B5131" t="str">
        <f>"1552374474674703"</f>
        <v>1552374474674703</v>
      </c>
      <c r="C5131" t="s">
        <v>40</v>
      </c>
      <c r="D5131">
        <v>5.6562340000000004</v>
      </c>
      <c r="E5131">
        <v>0.48634850000000002</v>
      </c>
      <c r="F5131" t="s">
        <v>67</v>
      </c>
      <c r="G5131">
        <v>-366.32839999999999</v>
      </c>
      <c r="H5131" s="1">
        <v>1.830874E-6</v>
      </c>
      <c r="I5131">
        <v>214.45830000000001</v>
      </c>
      <c r="J5131">
        <v>-427.08620000000002</v>
      </c>
      <c r="K5131">
        <v>1.1096680000000001</v>
      </c>
      <c r="L5131">
        <v>213.2586</v>
      </c>
      <c r="M5131">
        <v>0.99972159999999999</v>
      </c>
      <c r="N5131">
        <v>0</v>
      </c>
      <c r="O5131">
        <v>2.253989E-2</v>
      </c>
      <c r="P5131">
        <v>0.99970409999999998</v>
      </c>
      <c r="Q5131">
        <v>1.8040629999999998E-2</v>
      </c>
      <c r="R5131">
        <v>-1.6324539999999998E-2</v>
      </c>
      <c r="S5131">
        <v>3.0029300000000001</v>
      </c>
      <c r="T5131">
        <v>-5.4588560000000001E-2</v>
      </c>
      <c r="U5131">
        <v>5.9341430000000001E-2</v>
      </c>
      <c r="V5131">
        <v>3.8846789999999999E-2</v>
      </c>
      <c r="W5131">
        <v>2.5030690000000001E-2</v>
      </c>
      <c r="X5131">
        <v>0.99893160000000003</v>
      </c>
      <c r="Y5131">
        <v>2.7795519999999998E-3</v>
      </c>
      <c r="Z5131">
        <v>-4.3488659999999998E-4</v>
      </c>
      <c r="AA5131">
        <v>0.99999610000000005</v>
      </c>
      <c r="AB5131">
        <v>28</v>
      </c>
      <c r="AC5131">
        <v>60.757800000000003</v>
      </c>
      <c r="AD5131">
        <v>-1.1096661691259999</v>
      </c>
      <c r="AE5131">
        <v>1.1997</v>
      </c>
      <c r="AF5131">
        <v>0.170055562858172</v>
      </c>
      <c r="AG5131">
        <v>-1.1096661691259999</v>
      </c>
      <c r="AH5131">
        <v>60.749149255025003</v>
      </c>
      <c r="AI5131">
        <v>91.046465177734206</v>
      </c>
      <c r="AJ5131">
        <v>89.839611900680694</v>
      </c>
      <c r="AK5131">
        <v>60.759521172493301</v>
      </c>
      <c r="AL5131">
        <v>88.565697268669496</v>
      </c>
      <c r="AM5131">
        <v>87.772984531332995</v>
      </c>
      <c r="AN5131">
        <v>0.99999997500686899</v>
      </c>
    </row>
    <row r="5132" spans="1:40" x14ac:dyDescent="0.25">
      <c r="A5132" t="str">
        <f>"20190312150754704"</f>
        <v>20190312150754704</v>
      </c>
      <c r="B5132" t="str">
        <f>"1552374474695202"</f>
        <v>1552374474695202</v>
      </c>
      <c r="C5132" t="s">
        <v>40</v>
      </c>
      <c r="D5132">
        <v>4.5799050000000001</v>
      </c>
      <c r="E5132">
        <v>0.5254548</v>
      </c>
      <c r="F5132" t="s">
        <v>67</v>
      </c>
      <c r="G5132">
        <v>-368.61709999999999</v>
      </c>
      <c r="H5132" s="1">
        <v>3.0488220000000001E-6</v>
      </c>
      <c r="I5132">
        <v>214.41669999999999</v>
      </c>
      <c r="J5132">
        <v>-426.79919999999998</v>
      </c>
      <c r="K5132">
        <v>1.109667</v>
      </c>
      <c r="L5132">
        <v>213.26519999999999</v>
      </c>
      <c r="M5132">
        <v>0.99971779999999999</v>
      </c>
      <c r="N5132">
        <v>0</v>
      </c>
      <c r="O5132">
        <v>2.2724210000000002E-2</v>
      </c>
      <c r="P5132">
        <v>0.99970700000000001</v>
      </c>
      <c r="Q5132">
        <v>1.7922E-2</v>
      </c>
      <c r="R5132">
        <v>-1.6275359999999999E-2</v>
      </c>
      <c r="S5132">
        <v>3.0028990000000002</v>
      </c>
      <c r="T5132">
        <v>-5.6990979999999997E-2</v>
      </c>
      <c r="U5132">
        <v>5.9478759999999999E-2</v>
      </c>
      <c r="V5132">
        <v>3.898194E-2</v>
      </c>
      <c r="W5132">
        <v>2.4853839999999999E-2</v>
      </c>
      <c r="X5132">
        <v>0.99893080000000001</v>
      </c>
      <c r="Y5132">
        <v>2.9175640000000001E-3</v>
      </c>
      <c r="Z5132">
        <v>-4.5883239999999997E-4</v>
      </c>
      <c r="AA5132">
        <v>0.99999559999999998</v>
      </c>
      <c r="AB5132">
        <v>28</v>
      </c>
      <c r="AC5132">
        <v>58.182099999999899</v>
      </c>
      <c r="AD5132">
        <v>-1.109663951178</v>
      </c>
      <c r="AE5132">
        <v>1.15149999999999</v>
      </c>
      <c r="AF5132">
        <v>0.17090916533791201</v>
      </c>
      <c r="AG5132">
        <v>-1.109663951178</v>
      </c>
      <c r="AH5132">
        <v>58.172090705851801</v>
      </c>
      <c r="AI5132">
        <v>91.092810591090796</v>
      </c>
      <c r="AJ5132">
        <v>89.831665914702</v>
      </c>
      <c r="AK5132">
        <v>58.182924480617103</v>
      </c>
      <c r="AL5132">
        <v>88.575833250822498</v>
      </c>
      <c r="AM5132">
        <v>87.765242682884406</v>
      </c>
      <c r="AN5132">
        <v>1.0000000240987701</v>
      </c>
    </row>
    <row r="5133" spans="1:40" x14ac:dyDescent="0.25">
      <c r="A5133" t="str">
        <f>"20190312150754726"</f>
        <v>20190312150754726</v>
      </c>
      <c r="B5133" t="str">
        <f>"1552374474714719"</f>
        <v>1552374474714719</v>
      </c>
      <c r="C5133" t="s">
        <v>40</v>
      </c>
      <c r="D5133">
        <v>4.3878919999999999</v>
      </c>
      <c r="E5133">
        <v>0.5278119</v>
      </c>
      <c r="F5133" t="s">
        <v>48</v>
      </c>
      <c r="G5133">
        <v>0</v>
      </c>
      <c r="H5133">
        <v>0</v>
      </c>
      <c r="I5133">
        <v>0</v>
      </c>
      <c r="J5133">
        <v>-426.52760000000001</v>
      </c>
      <c r="K5133">
        <v>1.1096680000000001</v>
      </c>
      <c r="L5133">
        <v>213.27160000000001</v>
      </c>
      <c r="M5133">
        <v>0.99971410000000005</v>
      </c>
      <c r="N5133">
        <v>0</v>
      </c>
      <c r="O5133">
        <v>2.289822E-2</v>
      </c>
      <c r="P5133">
        <v>0.99970899999999996</v>
      </c>
      <c r="Q5133">
        <v>1.7997320000000001E-2</v>
      </c>
      <c r="R5133">
        <v>-1.607279E-2</v>
      </c>
      <c r="S5133">
        <v>2.9721980000000001</v>
      </c>
      <c r="T5133">
        <v>1.374576</v>
      </c>
      <c r="U5133">
        <v>-0.24746699999999999</v>
      </c>
      <c r="V5133">
        <v>3.8953349999999998E-2</v>
      </c>
      <c r="W5133">
        <v>2.4886249999999999E-2</v>
      </c>
      <c r="X5133">
        <v>0.99893109999999996</v>
      </c>
      <c r="Y5133">
        <v>9.39527E-2</v>
      </c>
      <c r="Z5133">
        <v>3.07067E-2</v>
      </c>
      <c r="AA5133">
        <v>0.99510299999999996</v>
      </c>
      <c r="AB5133">
        <v>28</v>
      </c>
      <c r="AC5133">
        <v>2.9721980000000001</v>
      </c>
      <c r="AD5133">
        <v>1.374576</v>
      </c>
      <c r="AE5133">
        <v>-0.24746699999999999</v>
      </c>
      <c r="AF5133">
        <v>0.26019325395731202</v>
      </c>
      <c r="AG5133">
        <v>1.374576</v>
      </c>
      <c r="AH5133">
        <v>2.44615587044717</v>
      </c>
      <c r="AI5133">
        <v>60.804373855255299</v>
      </c>
      <c r="AJ5133">
        <v>83.928379554318994</v>
      </c>
      <c r="AK5133">
        <v>2.8179492989945798</v>
      </c>
      <c r="AL5133">
        <v>88.573975708170394</v>
      </c>
      <c r="AM5133">
        <v>87.766880700909795</v>
      </c>
      <c r="AN5133">
        <v>1.0000000157312401</v>
      </c>
    </row>
    <row r="5134" spans="1:40" x14ac:dyDescent="0.25">
      <c r="A5134" t="str">
        <f>"20190312150754759"</f>
        <v>20190312150754759</v>
      </c>
      <c r="B5134" t="str">
        <f>"1552374474754735"</f>
        <v>1552374474754735</v>
      </c>
      <c r="C5134" t="s">
        <v>40</v>
      </c>
      <c r="D5134">
        <v>4.5802319999999996</v>
      </c>
      <c r="E5134">
        <v>0.52790859999999995</v>
      </c>
      <c r="F5134" t="s">
        <v>48</v>
      </c>
      <c r="G5134">
        <v>0</v>
      </c>
      <c r="H5134">
        <v>0</v>
      </c>
      <c r="I5134">
        <v>0</v>
      </c>
      <c r="J5134">
        <v>-426.09739999999999</v>
      </c>
      <c r="K5134">
        <v>1.1096629999999901</v>
      </c>
      <c r="L5134">
        <v>213.2818</v>
      </c>
      <c r="M5134">
        <v>0.99970809999999999</v>
      </c>
      <c r="N5134">
        <v>0</v>
      </c>
      <c r="O5134">
        <v>2.3173180000000002E-2</v>
      </c>
      <c r="P5134">
        <v>0.99972349999999999</v>
      </c>
      <c r="Q5134">
        <v>1.749262E-2</v>
      </c>
      <c r="R5134">
        <v>-1.5716310000000001E-2</v>
      </c>
      <c r="S5134">
        <v>2.9729920000000001</v>
      </c>
      <c r="T5134">
        <v>1.311939</v>
      </c>
      <c r="U5134">
        <v>-0.26617429999999997</v>
      </c>
      <c r="V5134">
        <v>3.8871919999999997E-2</v>
      </c>
      <c r="W5134">
        <v>2.433043E-2</v>
      </c>
      <c r="X5134">
        <v>0.99894799999999995</v>
      </c>
      <c r="Y5134">
        <v>0.10078090000000001</v>
      </c>
      <c r="Z5134">
        <v>3.0967390000000001E-2</v>
      </c>
      <c r="AA5134">
        <v>0.99442660000000005</v>
      </c>
      <c r="AB5134">
        <v>28</v>
      </c>
      <c r="AC5134">
        <v>2.9729920000000001</v>
      </c>
      <c r="AD5134">
        <v>1.311939</v>
      </c>
      <c r="AE5134">
        <v>-0.26617429999999997</v>
      </c>
      <c r="AF5134">
        <v>0.28075966668823099</v>
      </c>
      <c r="AG5134">
        <v>1.311939</v>
      </c>
      <c r="AH5134">
        <v>2.4858059580220599</v>
      </c>
      <c r="AI5134">
        <v>62.325790710641101</v>
      </c>
      <c r="AJ5134">
        <v>83.556029434707696</v>
      </c>
      <c r="AK5134">
        <v>2.82475506745237</v>
      </c>
      <c r="AL5134">
        <v>88.605831544833606</v>
      </c>
      <c r="AM5134">
        <v>87.771581874603001</v>
      </c>
      <c r="AN5134">
        <v>1.0000000513462299</v>
      </c>
    </row>
    <row r="5135" spans="1:40" x14ac:dyDescent="0.25">
      <c r="A5135" t="str">
        <f>"20190312150754782"</f>
        <v>20190312150754782</v>
      </c>
      <c r="B5135" t="str">
        <f>"1552374474775231"</f>
        <v>1552374474775231</v>
      </c>
      <c r="C5135" t="s">
        <v>40</v>
      </c>
      <c r="D5135">
        <v>4.4206960000000004</v>
      </c>
      <c r="E5135">
        <v>0.50803259999999995</v>
      </c>
      <c r="F5135" t="s">
        <v>48</v>
      </c>
      <c r="G5135">
        <v>0</v>
      </c>
      <c r="H5135">
        <v>0</v>
      </c>
      <c r="I5135">
        <v>0</v>
      </c>
      <c r="J5135">
        <v>-425.81029999999998</v>
      </c>
      <c r="K5135">
        <v>1.1096569999999999</v>
      </c>
      <c r="L5135">
        <v>213.2886</v>
      </c>
      <c r="M5135">
        <v>0.99970420000000004</v>
      </c>
      <c r="N5135">
        <v>0</v>
      </c>
      <c r="O5135">
        <v>2.335688E-2</v>
      </c>
      <c r="P5135">
        <v>0.99972930000000004</v>
      </c>
      <c r="Q5135">
        <v>1.7691160000000001E-2</v>
      </c>
      <c r="R5135">
        <v>-1.5116320000000001E-2</v>
      </c>
      <c r="S5135">
        <v>2.9736630000000002</v>
      </c>
      <c r="T5135">
        <v>1.3161590000000001</v>
      </c>
      <c r="U5135">
        <v>-0.26567079999999998</v>
      </c>
      <c r="V5135">
        <v>3.8455940000000001E-2</v>
      </c>
      <c r="W5135">
        <v>2.4497749999999999E-2</v>
      </c>
      <c r="X5135">
        <v>0.99895999999999996</v>
      </c>
      <c r="Y5135">
        <v>0.100701</v>
      </c>
      <c r="Z5135">
        <v>3.111301E-2</v>
      </c>
      <c r="AA5135">
        <v>0.99443009999999998</v>
      </c>
      <c r="AB5135">
        <v>28</v>
      </c>
      <c r="AC5135">
        <v>2.9736630000000002</v>
      </c>
      <c r="AD5135">
        <v>1.3161590000000001</v>
      </c>
      <c r="AE5135">
        <v>-0.26567079999999998</v>
      </c>
      <c r="AF5135">
        <v>0.28053410915530802</v>
      </c>
      <c r="AG5135">
        <v>1.3161590000000001</v>
      </c>
      <c r="AH5135">
        <v>2.4839040751687702</v>
      </c>
      <c r="AI5135">
        <v>62.231953363917199</v>
      </c>
      <c r="AJ5135">
        <v>83.556274260093303</v>
      </c>
      <c r="AK5135">
        <v>2.8250227174875202</v>
      </c>
      <c r="AL5135">
        <v>88.596241941678798</v>
      </c>
      <c r="AM5135">
        <v>87.795431640336204</v>
      </c>
      <c r="AN5135">
        <v>1.0000000403381699</v>
      </c>
    </row>
    <row r="5136" spans="1:40" x14ac:dyDescent="0.25">
      <c r="A5136" t="str">
        <f>"20190312150754806"</f>
        <v>20190312150754806</v>
      </c>
      <c r="B5136" t="str">
        <f>"1552374474794751"</f>
        <v>1552374474794751</v>
      </c>
      <c r="C5136" t="s">
        <v>40</v>
      </c>
      <c r="D5136">
        <v>4.4138640000000002</v>
      </c>
      <c r="E5136">
        <v>0.50761559999999994</v>
      </c>
      <c r="F5136" t="s">
        <v>57</v>
      </c>
      <c r="G5136">
        <v>-168.41399999999999</v>
      </c>
      <c r="H5136">
        <v>8.0651609999999998</v>
      </c>
      <c r="I5136">
        <v>203.8972</v>
      </c>
      <c r="J5136">
        <v>-425.50779999999997</v>
      </c>
      <c r="K5136">
        <v>1.1096629999999901</v>
      </c>
      <c r="L5136">
        <v>213.29589999999999</v>
      </c>
      <c r="M5136">
        <v>0.99969969999999997</v>
      </c>
      <c r="N5136">
        <v>0</v>
      </c>
      <c r="O5136">
        <v>2.3550419999999999E-2</v>
      </c>
      <c r="P5136">
        <v>0.99971540000000003</v>
      </c>
      <c r="Q5136">
        <v>1.8309240000000001E-2</v>
      </c>
      <c r="R5136">
        <v>-1.528799E-2</v>
      </c>
      <c r="S5136">
        <v>2.9977109999999998</v>
      </c>
      <c r="T5136">
        <v>8.1006170000000002E-2</v>
      </c>
      <c r="U5136">
        <v>-0.109375</v>
      </c>
      <c r="V5136">
        <v>3.8820540000000001E-2</v>
      </c>
      <c r="W5136">
        <v>2.50774E-2</v>
      </c>
      <c r="X5136">
        <v>0.99893149999999997</v>
      </c>
      <c r="Y5136">
        <v>5.995665E-2</v>
      </c>
      <c r="Z5136">
        <v>1.4457840000000001E-3</v>
      </c>
      <c r="AA5136">
        <v>0.99819990000000003</v>
      </c>
      <c r="AB5136">
        <v>28</v>
      </c>
      <c r="AC5136">
        <v>257.09379999999999</v>
      </c>
      <c r="AD5136">
        <v>6.9554979999999897</v>
      </c>
      <c r="AE5136">
        <v>-9.3986999999999892</v>
      </c>
      <c r="AF5136">
        <v>15.439613315927</v>
      </c>
      <c r="AG5136">
        <v>6.9554979999999897</v>
      </c>
      <c r="AH5136">
        <v>256.61356936407401</v>
      </c>
      <c r="AI5136">
        <v>88.450182202411497</v>
      </c>
      <c r="AJ5136">
        <v>86.556847965631604</v>
      </c>
      <c r="AK5136">
        <v>257.17170255209601</v>
      </c>
      <c r="AL5136">
        <v>88.563020215684205</v>
      </c>
      <c r="AM5136">
        <v>87.774487659601505</v>
      </c>
      <c r="AN5136">
        <v>1.0000000260044499</v>
      </c>
    </row>
    <row r="5137" spans="1:40" x14ac:dyDescent="0.25">
      <c r="A5137" t="str">
        <f>"20190312150754828"</f>
        <v>20190312150754828</v>
      </c>
      <c r="B5137" t="str">
        <f>"1552374474825008"</f>
        <v>1552374474825008</v>
      </c>
      <c r="C5137" t="s">
        <v>40</v>
      </c>
      <c r="D5137">
        <v>4.454402</v>
      </c>
      <c r="E5137">
        <v>0.50709040000000005</v>
      </c>
      <c r="F5137" t="s">
        <v>57</v>
      </c>
      <c r="G5137">
        <v>-168.41329999999999</v>
      </c>
      <c r="H5137">
        <v>6.1277869999999997</v>
      </c>
      <c r="I5137">
        <v>204.15100000000001</v>
      </c>
      <c r="J5137">
        <v>-425.21620000000001</v>
      </c>
      <c r="K5137">
        <v>1.109658</v>
      </c>
      <c r="L5137">
        <v>213.30289999999999</v>
      </c>
      <c r="M5137">
        <v>0.99969569999999996</v>
      </c>
      <c r="N5137">
        <v>0</v>
      </c>
      <c r="O5137">
        <v>2.373749E-2</v>
      </c>
      <c r="P5137">
        <v>0.99971080000000001</v>
      </c>
      <c r="Q5137">
        <v>1.9067379999999998E-2</v>
      </c>
      <c r="R5137">
        <v>-1.4668189999999999E-2</v>
      </c>
      <c r="S5137">
        <v>2.998138</v>
      </c>
      <c r="T5137">
        <v>5.8519839999999997E-2</v>
      </c>
      <c r="U5137">
        <v>-0.10664369999999999</v>
      </c>
      <c r="V5137">
        <v>3.8387310000000001E-2</v>
      </c>
      <c r="W5137">
        <v>2.579147E-2</v>
      </c>
      <c r="X5137">
        <v>0.99892999999999998</v>
      </c>
      <c r="Y5137">
        <v>5.9244699999999997E-2</v>
      </c>
      <c r="Z5137">
        <v>1.0411140000000001E-3</v>
      </c>
      <c r="AA5137">
        <v>0.99824299999999999</v>
      </c>
      <c r="AB5137">
        <v>29</v>
      </c>
      <c r="AC5137">
        <v>256.80290000000002</v>
      </c>
      <c r="AD5137">
        <v>5.0181290000000001</v>
      </c>
      <c r="AE5137">
        <v>-9.1519000000000101</v>
      </c>
      <c r="AF5137">
        <v>15.239502965615401</v>
      </c>
      <c r="AG5137">
        <v>5.0181290000000001</v>
      </c>
      <c r="AH5137">
        <v>256.41550231807997</v>
      </c>
      <c r="AI5137">
        <v>88.880821738907201</v>
      </c>
      <c r="AJ5137">
        <v>86.598749719575807</v>
      </c>
      <c r="AK5137">
        <v>256.91697861046998</v>
      </c>
      <c r="AL5137">
        <v>88.522093688700394</v>
      </c>
      <c r="AM5137">
        <v>87.799296104207997</v>
      </c>
      <c r="AN5137">
        <v>0.99999996519689704</v>
      </c>
    </row>
    <row r="5138" spans="1:40" x14ac:dyDescent="0.25">
      <c r="A5138" t="str">
        <f>"20190312150754849"</f>
        <v>20190312150754849</v>
      </c>
      <c r="B5138" t="str">
        <f>"1552374474845503"</f>
        <v>1552374474845503</v>
      </c>
      <c r="C5138" t="s">
        <v>40</v>
      </c>
      <c r="D5138">
        <v>4.4222950000000001</v>
      </c>
      <c r="E5138">
        <v>0.50623859999999998</v>
      </c>
      <c r="F5138" t="s">
        <v>46</v>
      </c>
      <c r="G5138">
        <v>-234.56540000000001</v>
      </c>
      <c r="H5138">
        <v>3.6617289999999998</v>
      </c>
      <c r="I5138">
        <v>206.91749999999999</v>
      </c>
      <c r="J5138">
        <v>-424.95370000000003</v>
      </c>
      <c r="K5138">
        <v>1.1096469999999901</v>
      </c>
      <c r="L5138">
        <v>213.30940000000001</v>
      </c>
      <c r="M5138">
        <v>0.99969200000000003</v>
      </c>
      <c r="N5138">
        <v>0</v>
      </c>
      <c r="O5138">
        <v>2.3905539999999999E-2</v>
      </c>
      <c r="P5138">
        <v>0.99972050000000001</v>
      </c>
      <c r="Q5138">
        <v>1.9089640000000001E-2</v>
      </c>
      <c r="R5138">
        <v>-1.39582E-2</v>
      </c>
      <c r="S5138">
        <v>2.9986570000000001</v>
      </c>
      <c r="T5138">
        <v>4.0141110000000001E-2</v>
      </c>
      <c r="U5138">
        <v>-0.1004333</v>
      </c>
      <c r="V5138">
        <v>3.7845620000000003E-2</v>
      </c>
      <c r="W5138">
        <v>2.5770979999999999E-2</v>
      </c>
      <c r="X5138">
        <v>0.99895129999999999</v>
      </c>
      <c r="Y5138">
        <v>5.7349829999999997E-2</v>
      </c>
      <c r="Z5138">
        <v>7.036484E-4</v>
      </c>
      <c r="AA5138">
        <v>0.99835390000000002</v>
      </c>
      <c r="AB5138">
        <v>29</v>
      </c>
      <c r="AC5138">
        <v>190.38829999999999</v>
      </c>
      <c r="AD5138">
        <v>2.552082</v>
      </c>
      <c r="AE5138">
        <v>-6.3919000000000201</v>
      </c>
      <c r="AF5138">
        <v>10.939546040647899</v>
      </c>
      <c r="AG5138">
        <v>2.552082</v>
      </c>
      <c r="AH5138">
        <v>190.146955684201</v>
      </c>
      <c r="AI5138">
        <v>89.232312740167401</v>
      </c>
      <c r="AJ5138">
        <v>86.707285474637303</v>
      </c>
      <c r="AK5138">
        <v>190.47848053278801</v>
      </c>
      <c r="AL5138">
        <v>88.523268220086095</v>
      </c>
      <c r="AM5138">
        <v>87.830366946208002</v>
      </c>
      <c r="AN5138">
        <v>1.00000006706751</v>
      </c>
    </row>
    <row r="5139" spans="1:40" x14ac:dyDescent="0.25">
      <c r="A5139" t="str">
        <f>"20190312150754871"</f>
        <v>20190312150754871</v>
      </c>
      <c r="B5139" t="str">
        <f>"1552374474865023"</f>
        <v>1552374474865023</v>
      </c>
      <c r="C5139" t="s">
        <v>40</v>
      </c>
      <c r="D5139">
        <v>4.4330059999999998</v>
      </c>
      <c r="E5139">
        <v>0.50621130000000003</v>
      </c>
      <c r="F5139" t="s">
        <v>46</v>
      </c>
      <c r="G5139">
        <v>-177.58709999999999</v>
      </c>
      <c r="H5139">
        <v>3.2301470000000001</v>
      </c>
      <c r="I5139">
        <v>205.7517</v>
      </c>
      <c r="J5139">
        <v>-424.6617</v>
      </c>
      <c r="K5139">
        <v>1.1096349999999999</v>
      </c>
      <c r="L5139">
        <v>213.31649999999999</v>
      </c>
      <c r="M5139">
        <v>0.99968789999999996</v>
      </c>
      <c r="N5139">
        <v>0</v>
      </c>
      <c r="O5139">
        <v>2.4092209999999999E-2</v>
      </c>
      <c r="P5139">
        <v>0.99973480000000003</v>
      </c>
      <c r="Q5139">
        <v>1.863954E-2</v>
      </c>
      <c r="R5139">
        <v>-1.3537860000000001E-2</v>
      </c>
      <c r="S5139">
        <v>2.9990839999999999</v>
      </c>
      <c r="T5139">
        <v>2.5709030000000001E-2</v>
      </c>
      <c r="U5139">
        <v>-9.162903E-2</v>
      </c>
      <c r="V5139">
        <v>3.76125E-2</v>
      </c>
      <c r="W5139">
        <v>2.5270460000000002E-2</v>
      </c>
      <c r="X5139">
        <v>0.99897279999999999</v>
      </c>
      <c r="Y5139">
        <v>5.4607839999999998E-2</v>
      </c>
      <c r="Z5139">
        <v>4.4048040000000001E-4</v>
      </c>
      <c r="AA5139">
        <v>0.99850779999999995</v>
      </c>
      <c r="AB5139">
        <v>29</v>
      </c>
      <c r="AC5139">
        <v>247.0746</v>
      </c>
      <c r="AD5139">
        <v>2.12051199999999</v>
      </c>
      <c r="AE5139">
        <v>-7.5647999999999902</v>
      </c>
      <c r="AF5139">
        <v>13.514312754091</v>
      </c>
      <c r="AG5139">
        <v>2.12051199999999</v>
      </c>
      <c r="AH5139">
        <v>246.80246223510301</v>
      </c>
      <c r="AI5139">
        <v>89.508466519253801</v>
      </c>
      <c r="AJ5139">
        <v>86.865750174852295</v>
      </c>
      <c r="AK5139">
        <v>247.18128688407501</v>
      </c>
      <c r="AL5139">
        <v>88.551955113277501</v>
      </c>
      <c r="AM5139">
        <v>87.843765078225701</v>
      </c>
      <c r="AN5139">
        <v>0.99999997572235</v>
      </c>
    </row>
    <row r="5140" spans="1:40" x14ac:dyDescent="0.25">
      <c r="A5140" t="str">
        <f>"20190312150754894"</f>
        <v>20190312150754894</v>
      </c>
      <c r="B5140" t="str">
        <f>"1552374474885522"</f>
        <v>1552374474885522</v>
      </c>
      <c r="C5140" t="s">
        <v>40</v>
      </c>
      <c r="D5140">
        <v>4.5220640000000003</v>
      </c>
      <c r="E5140">
        <v>0.5059804</v>
      </c>
      <c r="F5140" t="s">
        <v>57</v>
      </c>
      <c r="G5140">
        <v>-168.41200000000001</v>
      </c>
      <c r="H5140">
        <v>3.5764260000000001</v>
      </c>
      <c r="I5140">
        <v>205.60589999999999</v>
      </c>
      <c r="J5140">
        <v>-424.36869999999999</v>
      </c>
      <c r="K5140">
        <v>1.1096239999999999</v>
      </c>
      <c r="L5140">
        <v>213.32380000000001</v>
      </c>
      <c r="M5140">
        <v>0.99968369999999995</v>
      </c>
      <c r="N5140">
        <v>0</v>
      </c>
      <c r="O5140">
        <v>2.4279419999999999E-2</v>
      </c>
      <c r="P5140">
        <v>0.99974300000000005</v>
      </c>
      <c r="Q5140">
        <v>1.8172890000000001E-2</v>
      </c>
      <c r="R5140">
        <v>-1.355174E-2</v>
      </c>
      <c r="S5140">
        <v>2.998993</v>
      </c>
      <c r="T5140">
        <v>2.8870219999999999E-2</v>
      </c>
      <c r="U5140">
        <v>-9.0240479999999998E-2</v>
      </c>
      <c r="V5140">
        <v>3.781379E-2</v>
      </c>
      <c r="W5140">
        <v>2.4751820000000001E-2</v>
      </c>
      <c r="X5140">
        <v>0.99897820000000004</v>
      </c>
      <c r="Y5140">
        <v>5.4333109999999997E-2</v>
      </c>
      <c r="Z5140">
        <v>4.9513750000000005E-4</v>
      </c>
      <c r="AA5140">
        <v>0.99852280000000004</v>
      </c>
      <c r="AB5140">
        <v>29</v>
      </c>
      <c r="AC5140">
        <v>255.95670000000001</v>
      </c>
      <c r="AD5140">
        <v>2.4668019999999999</v>
      </c>
      <c r="AE5140">
        <v>-7.71790000000001</v>
      </c>
      <c r="AF5140">
        <v>13.9289460352784</v>
      </c>
      <c r="AG5140">
        <v>2.4668019999999999</v>
      </c>
      <c r="AH5140">
        <v>255.670127678792</v>
      </c>
      <c r="AI5140">
        <v>89.448024320386196</v>
      </c>
      <c r="AJ5140">
        <v>86.881600321386799</v>
      </c>
      <c r="AK5140">
        <v>256.06115448667799</v>
      </c>
      <c r="AL5140">
        <v>88.581680316090996</v>
      </c>
      <c r="AM5140">
        <v>87.832248289076105</v>
      </c>
      <c r="AN5140">
        <v>0.99999998969135795</v>
      </c>
    </row>
    <row r="5141" spans="1:40" x14ac:dyDescent="0.25">
      <c r="A5141" t="str">
        <f>"20190312150754915"</f>
        <v>20190312150754915</v>
      </c>
      <c r="B5141" t="str">
        <f>"1552374474905042"</f>
        <v>1552374474905042</v>
      </c>
      <c r="C5141" t="s">
        <v>40</v>
      </c>
      <c r="D5141">
        <v>4.452725</v>
      </c>
      <c r="E5141">
        <v>0.50584300000000004</v>
      </c>
      <c r="F5141" t="s">
        <v>57</v>
      </c>
      <c r="G5141">
        <v>-168.4118</v>
      </c>
      <c r="H5141">
        <v>3.3432979999999999</v>
      </c>
      <c r="I5141">
        <v>205.78749999999999</v>
      </c>
      <c r="J5141">
        <v>-424.0813</v>
      </c>
      <c r="K5141">
        <v>1.1096140000000001</v>
      </c>
      <c r="L5141">
        <v>213.33090000000001</v>
      </c>
      <c r="M5141">
        <v>0.99967950000000005</v>
      </c>
      <c r="N5141">
        <v>0</v>
      </c>
      <c r="O5141">
        <v>2.4462930000000001E-2</v>
      </c>
      <c r="P5141">
        <v>0.99974669999999999</v>
      </c>
      <c r="Q5141">
        <v>1.8284080000000001E-2</v>
      </c>
      <c r="R5141">
        <v>-1.312026E-2</v>
      </c>
      <c r="S5141">
        <v>2.9990540000000001</v>
      </c>
      <c r="T5141">
        <v>2.6172399999999998E-2</v>
      </c>
      <c r="U5141">
        <v>-8.8302610000000004E-2</v>
      </c>
      <c r="V5141">
        <v>3.7565759999999997E-2</v>
      </c>
      <c r="W5141">
        <v>2.4811880000000001E-2</v>
      </c>
      <c r="X5141">
        <v>0.99898609999999999</v>
      </c>
      <c r="Y5141">
        <v>5.3871809999999999E-2</v>
      </c>
      <c r="Z5141">
        <v>4.4845390000000001E-4</v>
      </c>
      <c r="AA5141">
        <v>0.99854770000000004</v>
      </c>
      <c r="AB5141">
        <v>29</v>
      </c>
      <c r="AC5141">
        <v>255.6695</v>
      </c>
      <c r="AD5141">
        <v>2.2336839999999998</v>
      </c>
      <c r="AE5141">
        <v>-7.5434000000000099</v>
      </c>
      <c r="AF5141">
        <v>13.794648317525899</v>
      </c>
      <c r="AG5141">
        <v>2.2336839999999998</v>
      </c>
      <c r="AH5141">
        <v>255.38897048337199</v>
      </c>
      <c r="AI5141">
        <v>89.499621577791402</v>
      </c>
      <c r="AJ5141">
        <v>86.908214872961295</v>
      </c>
      <c r="AK5141">
        <v>255.77100678335799</v>
      </c>
      <c r="AL5141">
        <v>88.578238120101801</v>
      </c>
      <c r="AM5141">
        <v>87.846470690844498</v>
      </c>
      <c r="AN5141">
        <v>1.00000002185336</v>
      </c>
    </row>
    <row r="5142" spans="1:40" x14ac:dyDescent="0.25">
      <c r="A5142" t="str">
        <f>"20190312150754938"</f>
        <v>20190312150754938</v>
      </c>
      <c r="B5142" t="str">
        <f>"1552374474935295"</f>
        <v>1552374474935295</v>
      </c>
      <c r="C5142" t="s">
        <v>40</v>
      </c>
      <c r="D5142">
        <v>4.5638909999999999</v>
      </c>
      <c r="E5142">
        <v>0.50568959999999996</v>
      </c>
      <c r="F5142" t="s">
        <v>57</v>
      </c>
      <c r="G5142">
        <v>-168.4117</v>
      </c>
      <c r="H5142">
        <v>3.1360420000000002</v>
      </c>
      <c r="I5142">
        <v>205.98159999999999</v>
      </c>
      <c r="J5142">
        <v>-423.78980000000001</v>
      </c>
      <c r="K5142">
        <v>1.109605</v>
      </c>
      <c r="L5142">
        <v>213.3383</v>
      </c>
      <c r="M5142">
        <v>0.99967530000000004</v>
      </c>
      <c r="N5142">
        <v>0</v>
      </c>
      <c r="O5142">
        <v>2.464889E-2</v>
      </c>
      <c r="P5142">
        <v>0.99974909999999995</v>
      </c>
      <c r="Q5142">
        <v>1.8432609999999999E-2</v>
      </c>
      <c r="R5142">
        <v>-1.2731350000000001E-2</v>
      </c>
      <c r="S5142">
        <v>2.9991759999999998</v>
      </c>
      <c r="T5142">
        <v>2.3771759999999999E-2</v>
      </c>
      <c r="U5142">
        <v>-8.6212159999999996E-2</v>
      </c>
      <c r="V5142">
        <v>3.7362949999999999E-2</v>
      </c>
      <c r="W5142">
        <v>2.4907700000000001E-2</v>
      </c>
      <c r="X5142">
        <v>0.99899130000000003</v>
      </c>
      <c r="Y5142">
        <v>5.3361470000000001E-2</v>
      </c>
      <c r="Z5142">
        <v>4.0675979999999997E-4</v>
      </c>
      <c r="AA5142">
        <v>0.9985752</v>
      </c>
      <c r="AB5142">
        <v>29</v>
      </c>
      <c r="AC5142">
        <v>255.37809999999999</v>
      </c>
      <c r="AD5142">
        <v>2.026437</v>
      </c>
      <c r="AE5142">
        <v>-7.3567000000000098</v>
      </c>
      <c r="AF5142">
        <v>13.648524084098</v>
      </c>
      <c r="AG5142">
        <v>2.026437</v>
      </c>
      <c r="AH5142">
        <v>255.10311771120001</v>
      </c>
      <c r="AI5142">
        <v>89.545524813897003</v>
      </c>
      <c r="AJ5142">
        <v>86.937481747903703</v>
      </c>
      <c r="AK5142">
        <v>255.47600537538401</v>
      </c>
      <c r="AL5142">
        <v>88.5727463109166</v>
      </c>
      <c r="AM5142">
        <v>87.858097443765899</v>
      </c>
      <c r="AN5142">
        <v>1.0000000005138401</v>
      </c>
    </row>
    <row r="5143" spans="1:40" x14ac:dyDescent="0.25">
      <c r="A5143" t="str">
        <f>"20190312150754960"</f>
        <v>20190312150754960</v>
      </c>
      <c r="B5143" t="str">
        <f>"1552374474954815"</f>
        <v>1552374474954815</v>
      </c>
      <c r="C5143" t="s">
        <v>40</v>
      </c>
      <c r="D5143">
        <v>4.4561529999999996</v>
      </c>
      <c r="E5143">
        <v>0.50551099999999904</v>
      </c>
      <c r="F5143" t="s">
        <v>57</v>
      </c>
      <c r="G5143">
        <v>-168.4117</v>
      </c>
      <c r="H5143">
        <v>3.288103</v>
      </c>
      <c r="I5143">
        <v>206.2235</v>
      </c>
      <c r="J5143">
        <v>-423.49419999999998</v>
      </c>
      <c r="K5143">
        <v>1.109588</v>
      </c>
      <c r="L5143">
        <v>213.34569999999999</v>
      </c>
      <c r="M5143">
        <v>0.99967099999999998</v>
      </c>
      <c r="N5143">
        <v>0</v>
      </c>
      <c r="O5143">
        <v>2.4836879999999999E-2</v>
      </c>
      <c r="P5143">
        <v>0.99974399999999997</v>
      </c>
      <c r="Q5143">
        <v>1.8789770000000001E-2</v>
      </c>
      <c r="R5143">
        <v>-1.262074E-2</v>
      </c>
      <c r="S5143">
        <v>2.9992070000000002</v>
      </c>
      <c r="T5143">
        <v>2.558506E-2</v>
      </c>
      <c r="U5143">
        <v>-8.3557129999999993E-2</v>
      </c>
      <c r="V5143">
        <v>3.7439920000000002E-2</v>
      </c>
      <c r="W5143">
        <v>2.5211830000000001E-2</v>
      </c>
      <c r="X5143">
        <v>0.9989808</v>
      </c>
      <c r="Y5143">
        <v>5.2665289999999997E-2</v>
      </c>
      <c r="Z5143">
        <v>4.3642099999999999E-4</v>
      </c>
      <c r="AA5143">
        <v>0.9986121</v>
      </c>
      <c r="AB5143">
        <v>29</v>
      </c>
      <c r="AC5143">
        <v>255.08250000000001</v>
      </c>
      <c r="AD5143">
        <v>2.178515</v>
      </c>
      <c r="AE5143">
        <v>-7.1221999999999897</v>
      </c>
      <c r="AF5143">
        <v>13.454605622491799</v>
      </c>
      <c r="AG5143">
        <v>2.178515</v>
      </c>
      <c r="AH5143">
        <v>254.80834034427201</v>
      </c>
      <c r="AI5143">
        <v>89.510836097287495</v>
      </c>
      <c r="AJ5143">
        <v>86.977426796794703</v>
      </c>
      <c r="AK5143">
        <v>255.17261343855901</v>
      </c>
      <c r="AL5143">
        <v>88.555315487057399</v>
      </c>
      <c r="AM5143">
        <v>87.853666575673998</v>
      </c>
      <c r="AN5143">
        <v>1.00000001137509</v>
      </c>
    </row>
    <row r="5144" spans="1:40" x14ac:dyDescent="0.25">
      <c r="A5144" t="str">
        <f>"20190312150754984"</f>
        <v>20190312150754984</v>
      </c>
      <c r="B5144" t="str">
        <f>"1552374474975311"</f>
        <v>1552374474975311</v>
      </c>
      <c r="C5144" t="s">
        <v>40</v>
      </c>
      <c r="D5144">
        <v>4.5084980000000003</v>
      </c>
      <c r="E5144">
        <v>0.50558139999999996</v>
      </c>
      <c r="F5144" t="s">
        <v>57</v>
      </c>
      <c r="G5144">
        <v>-168.41159999999999</v>
      </c>
      <c r="H5144">
        <v>3.1707939999999999</v>
      </c>
      <c r="I5144">
        <v>206.3809</v>
      </c>
      <c r="J5144">
        <v>-423.19310000000002</v>
      </c>
      <c r="K5144">
        <v>1.10958</v>
      </c>
      <c r="L5144">
        <v>213.35339999999999</v>
      </c>
      <c r="M5144">
        <v>0.99966659999999996</v>
      </c>
      <c r="N5144">
        <v>0</v>
      </c>
      <c r="O5144">
        <v>2.5028129999999999E-2</v>
      </c>
      <c r="P5144">
        <v>0.99975510000000001</v>
      </c>
      <c r="Q5144">
        <v>1.8326950000000002E-2</v>
      </c>
      <c r="R5144">
        <v>-1.240694E-2</v>
      </c>
      <c r="S5144">
        <v>2.999298</v>
      </c>
      <c r="T5144">
        <v>2.4236319999999999E-2</v>
      </c>
      <c r="U5144">
        <v>-8.1893919999999995E-2</v>
      </c>
      <c r="V5144">
        <v>3.7417810000000003E-2</v>
      </c>
      <c r="W5144">
        <v>2.4698439999999999E-2</v>
      </c>
      <c r="X5144">
        <v>0.99899450000000001</v>
      </c>
      <c r="Y5144">
        <v>5.2302429999999997E-2</v>
      </c>
      <c r="Z5144">
        <v>4.1348490000000002E-4</v>
      </c>
      <c r="AA5144">
        <v>0.99863120000000005</v>
      </c>
      <c r="AB5144">
        <v>29</v>
      </c>
      <c r="AC5144">
        <v>254.78149999999999</v>
      </c>
      <c r="AD5144">
        <v>2.0612140000000001</v>
      </c>
      <c r="AE5144">
        <v>-6.9724999999999904</v>
      </c>
      <c r="AF5144">
        <v>13.3462758352204</v>
      </c>
      <c r="AG5144">
        <v>2.0612140000000001</v>
      </c>
      <c r="AH5144">
        <v>254.51052836187401</v>
      </c>
      <c r="AI5144">
        <v>89.536623300074794</v>
      </c>
      <c r="AJ5144">
        <v>86.998216482729703</v>
      </c>
      <c r="AK5144">
        <v>254.86855578682801</v>
      </c>
      <c r="AL5144">
        <v>88.584739797155606</v>
      </c>
      <c r="AM5144">
        <v>87.8549622896861</v>
      </c>
      <c r="AN5144">
        <v>1.0000000582369299</v>
      </c>
    </row>
    <row r="5145" spans="1:40" x14ac:dyDescent="0.25">
      <c r="A5145" t="str">
        <f>"20190312150755007"</f>
        <v>20190312150755007</v>
      </c>
      <c r="B5145" t="str">
        <f>"1552374474994831"</f>
        <v>1552374474994831</v>
      </c>
      <c r="C5145" t="s">
        <v>40</v>
      </c>
      <c r="D5145">
        <v>4.5889629999999997</v>
      </c>
      <c r="E5145">
        <v>0.50527290000000002</v>
      </c>
      <c r="F5145" t="s">
        <v>57</v>
      </c>
      <c r="G5145">
        <v>-168.41139999999999</v>
      </c>
      <c r="H5145">
        <v>2.7195279999999999</v>
      </c>
      <c r="I5145">
        <v>206.40199999999999</v>
      </c>
      <c r="J5145">
        <v>-422.88740000000001</v>
      </c>
      <c r="K5145">
        <v>1.109564</v>
      </c>
      <c r="L5145">
        <v>213.3613</v>
      </c>
      <c r="M5145">
        <v>0.99966200000000005</v>
      </c>
      <c r="N5145">
        <v>0</v>
      </c>
      <c r="O5145">
        <v>2.5220200000000002E-2</v>
      </c>
      <c r="P5145">
        <v>0.9997646</v>
      </c>
      <c r="Q5145">
        <v>1.8249270000000001E-2</v>
      </c>
      <c r="R5145">
        <v>-1.1758950000000001E-2</v>
      </c>
      <c r="S5145">
        <v>2.9993289999999999</v>
      </c>
      <c r="T5145">
        <v>1.895297E-2</v>
      </c>
      <c r="U5145">
        <v>-8.1832890000000005E-2</v>
      </c>
      <c r="V5145">
        <v>3.6962080000000001E-2</v>
      </c>
      <c r="W5145">
        <v>2.4572589999999998E-2</v>
      </c>
      <c r="X5145">
        <v>0.99901450000000003</v>
      </c>
      <c r="Y5145">
        <v>5.2474689999999997E-2</v>
      </c>
      <c r="Z5145">
        <v>3.2510429999999999E-4</v>
      </c>
      <c r="AA5145">
        <v>0.99862220000000002</v>
      </c>
      <c r="AB5145">
        <v>29</v>
      </c>
      <c r="AC5145">
        <v>254.476</v>
      </c>
      <c r="AD5145">
        <v>1.609964</v>
      </c>
      <c r="AE5145">
        <v>-6.9592999999999803</v>
      </c>
      <c r="AF5145">
        <v>13.3746147943626</v>
      </c>
      <c r="AG5145">
        <v>1.609964</v>
      </c>
      <c r="AH5145">
        <v>254.20936736166499</v>
      </c>
      <c r="AI5145">
        <v>89.637639203555906</v>
      </c>
      <c r="AJ5145">
        <v>86.9882971238995</v>
      </c>
      <c r="AK5145">
        <v>254.56605185962499</v>
      </c>
      <c r="AL5145">
        <v>88.591952562716102</v>
      </c>
      <c r="AM5145">
        <v>87.881106184637304</v>
      </c>
      <c r="AN5145">
        <v>0.99999998937374202</v>
      </c>
    </row>
    <row r="5146" spans="1:40" x14ac:dyDescent="0.25">
      <c r="A5146" t="str">
        <f>"20190312150755028"</f>
        <v>20190312150755028</v>
      </c>
      <c r="B5146" t="str">
        <f>"1552374475025087"</f>
        <v>1552374475025087</v>
      </c>
      <c r="C5146" t="s">
        <v>40</v>
      </c>
      <c r="D5146">
        <v>4.5109680000000001</v>
      </c>
      <c r="E5146">
        <v>0.50501569999999996</v>
      </c>
      <c r="F5146" t="s">
        <v>57</v>
      </c>
      <c r="G5146">
        <v>-168.41139999999999</v>
      </c>
      <c r="H5146">
        <v>2.9661029999999999</v>
      </c>
      <c r="I5146">
        <v>206.78739999999999</v>
      </c>
      <c r="J5146">
        <v>-422.59249999999997</v>
      </c>
      <c r="K5146">
        <v>1.109553</v>
      </c>
      <c r="L5146">
        <v>213.3689</v>
      </c>
      <c r="M5146">
        <v>0.99965780000000004</v>
      </c>
      <c r="N5146">
        <v>0</v>
      </c>
      <c r="O5146">
        <v>2.5403800000000001E-2</v>
      </c>
      <c r="P5146">
        <v>0.99976229999999999</v>
      </c>
      <c r="Q5146">
        <v>1.8591389999999999E-2</v>
      </c>
      <c r="R5146">
        <v>-1.1412790000000001E-2</v>
      </c>
      <c r="S5146">
        <v>2.9994200000000002</v>
      </c>
      <c r="T5146">
        <v>2.1882769999999999E-2</v>
      </c>
      <c r="U5146">
        <v>-7.7484129999999998E-2</v>
      </c>
      <c r="V5146">
        <v>3.6799369999999998E-2</v>
      </c>
      <c r="W5146">
        <v>2.486909E-2</v>
      </c>
      <c r="X5146">
        <v>0.99901320000000005</v>
      </c>
      <c r="Y5146">
        <v>5.1209879999999999E-2</v>
      </c>
      <c r="Z5146">
        <v>3.7207970000000001E-4</v>
      </c>
      <c r="AA5146">
        <v>0.99868789999999996</v>
      </c>
      <c r="AB5146">
        <v>30</v>
      </c>
      <c r="AC5146">
        <v>254.18109999999999</v>
      </c>
      <c r="AD5146">
        <v>1.8565499999999999</v>
      </c>
      <c r="AE5146">
        <v>-6.5815000000000001</v>
      </c>
      <c r="AF5146">
        <v>13.035972408117701</v>
      </c>
      <c r="AG5146">
        <v>1.8565499999999999</v>
      </c>
      <c r="AH5146">
        <v>253.91832970124099</v>
      </c>
      <c r="AI5146">
        <v>89.5816344404723</v>
      </c>
      <c r="AJ5146">
        <v>87.061058859288906</v>
      </c>
      <c r="AK5146">
        <v>254.259516071268</v>
      </c>
      <c r="AL5146">
        <v>88.574959213524906</v>
      </c>
      <c r="AM5146">
        <v>87.890422533970593</v>
      </c>
      <c r="AN5146">
        <v>1.00000001952203</v>
      </c>
    </row>
    <row r="5147" spans="1:40" x14ac:dyDescent="0.25">
      <c r="A5147" t="str">
        <f>"20190312150755051"</f>
        <v>20190312150755051</v>
      </c>
      <c r="B5147" t="str">
        <f>"1552374475044607"</f>
        <v>1552374475044607</v>
      </c>
      <c r="C5147" t="s">
        <v>40</v>
      </c>
      <c r="D5147">
        <v>4.5510869999999999</v>
      </c>
      <c r="E5147">
        <v>0.50491980000000003</v>
      </c>
      <c r="F5147" t="s">
        <v>57</v>
      </c>
      <c r="G5147">
        <v>-168.41130000000001</v>
      </c>
      <c r="H5147">
        <v>3.1045440000000002</v>
      </c>
      <c r="I5147">
        <v>207.0677</v>
      </c>
      <c r="J5147">
        <v>-422.29849999999999</v>
      </c>
      <c r="K5147">
        <v>1.109548</v>
      </c>
      <c r="L5147">
        <v>213.37649999999999</v>
      </c>
      <c r="M5147">
        <v>0.99965329999999997</v>
      </c>
      <c r="N5147">
        <v>0</v>
      </c>
      <c r="O5147">
        <v>2.5585489999999999E-2</v>
      </c>
      <c r="P5147">
        <v>0.99975849999999999</v>
      </c>
      <c r="Q5147">
        <v>1.8811069999999999E-2</v>
      </c>
      <c r="R5147">
        <v>-1.137107E-2</v>
      </c>
      <c r="S5147">
        <v>2.9994510000000001</v>
      </c>
      <c r="T5147">
        <v>2.3542170000000001E-2</v>
      </c>
      <c r="U5147">
        <v>-7.4356080000000005E-2</v>
      </c>
      <c r="V5147">
        <v>3.6939130000000001E-2</v>
      </c>
      <c r="W5147">
        <v>2.504642E-2</v>
      </c>
      <c r="X5147">
        <v>0.99900359999999999</v>
      </c>
      <c r="Y5147">
        <v>5.0349959999999999E-2</v>
      </c>
      <c r="Z5147">
        <v>3.9834609999999998E-4</v>
      </c>
      <c r="AA5147">
        <v>0.99873160000000005</v>
      </c>
      <c r="AB5147">
        <v>30</v>
      </c>
      <c r="AC5147">
        <v>253.88720000000001</v>
      </c>
      <c r="AD5147">
        <v>1.994996</v>
      </c>
      <c r="AE5147">
        <v>-6.30879999999999</v>
      </c>
      <c r="AF5147">
        <v>12.801898683494899</v>
      </c>
      <c r="AG5147">
        <v>1.994996</v>
      </c>
      <c r="AH5147">
        <v>253.627016285765</v>
      </c>
      <c r="AI5147">
        <v>89.5499013807474</v>
      </c>
      <c r="AJ5147">
        <v>87.110430884763005</v>
      </c>
      <c r="AK5147">
        <v>253.957736659001</v>
      </c>
      <c r="AL5147">
        <v>88.564795770242597</v>
      </c>
      <c r="AM5147">
        <v>87.882397538119207</v>
      </c>
      <c r="AN5147">
        <v>1.0000000076464599</v>
      </c>
    </row>
    <row r="5148" spans="1:40" x14ac:dyDescent="0.25">
      <c r="A5148" t="str">
        <f>"20190312150755072"</f>
        <v>20190312150755072</v>
      </c>
      <c r="B5148" t="str">
        <f>"1552374475065103"</f>
        <v>1552374475065103</v>
      </c>
      <c r="C5148" t="s">
        <v>40</v>
      </c>
      <c r="D5148">
        <v>4.542313</v>
      </c>
      <c r="E5148">
        <v>0.50499550000000004</v>
      </c>
      <c r="F5148" t="s">
        <v>57</v>
      </c>
      <c r="G5148">
        <v>-168.41130000000001</v>
      </c>
      <c r="H5148">
        <v>3.087358</v>
      </c>
      <c r="I5148">
        <v>207.17320000000001</v>
      </c>
      <c r="J5148">
        <v>-422.00420000000003</v>
      </c>
      <c r="K5148">
        <v>1.1095459999999999</v>
      </c>
      <c r="L5148">
        <v>213.3843</v>
      </c>
      <c r="M5148">
        <v>0.99964900000000001</v>
      </c>
      <c r="N5148">
        <v>0</v>
      </c>
      <c r="O5148">
        <v>2.5766319999999999E-2</v>
      </c>
      <c r="P5148">
        <v>0.99975179999999997</v>
      </c>
      <c r="Q5148">
        <v>1.914122E-2</v>
      </c>
      <c r="R5148">
        <v>-1.141299E-2</v>
      </c>
      <c r="S5148">
        <v>2.9994809999999998</v>
      </c>
      <c r="T5148">
        <v>2.3366689999999999E-2</v>
      </c>
      <c r="U5148">
        <v>-7.3287959999999999E-2</v>
      </c>
      <c r="V5148">
        <v>3.7161649999999997E-2</v>
      </c>
      <c r="W5148">
        <v>2.533815E-2</v>
      </c>
      <c r="X5148">
        <v>0.99898799999999999</v>
      </c>
      <c r="Y5148">
        <v>5.0174959999999998E-2</v>
      </c>
      <c r="Z5148">
        <v>3.9610129999999999E-4</v>
      </c>
      <c r="AA5148">
        <v>0.99874039999999997</v>
      </c>
      <c r="AB5148">
        <v>30</v>
      </c>
      <c r="AC5148">
        <v>253.59289999999999</v>
      </c>
      <c r="AD5148">
        <v>1.9778119999999999</v>
      </c>
      <c r="AE5148">
        <v>-6.2110999999999796</v>
      </c>
      <c r="AF5148">
        <v>12.742543046866</v>
      </c>
      <c r="AG5148">
        <v>1.9778119999999999</v>
      </c>
      <c r="AH5148">
        <v>253.33326177791099</v>
      </c>
      <c r="AI5148">
        <v>89.553256825389894</v>
      </c>
      <c r="AJ5148">
        <v>87.120476238021496</v>
      </c>
      <c r="AK5148">
        <v>253.66124194808299</v>
      </c>
      <c r="AL5148">
        <v>88.548075579705994</v>
      </c>
      <c r="AM5148">
        <v>87.869619658544593</v>
      </c>
      <c r="AN5148">
        <v>1.00000001711007</v>
      </c>
    </row>
    <row r="5149" spans="1:40" x14ac:dyDescent="0.25">
      <c r="A5149" t="str">
        <f>"20190312150755095"</f>
        <v>20190312150755095</v>
      </c>
      <c r="B5149" t="str">
        <f>"1552374475085614"</f>
        <v>1552374475085614</v>
      </c>
      <c r="C5149" t="s">
        <v>40</v>
      </c>
      <c r="D5149">
        <v>4.500966</v>
      </c>
      <c r="E5149">
        <v>0.50499399999999905</v>
      </c>
      <c r="F5149" t="s">
        <v>57</v>
      </c>
      <c r="G5149">
        <v>-168.41130000000001</v>
      </c>
      <c r="H5149">
        <v>2.9978120000000001</v>
      </c>
      <c r="I5149">
        <v>207.12350000000001</v>
      </c>
      <c r="J5149">
        <v>-421.7063</v>
      </c>
      <c r="K5149">
        <v>1.1095459999999999</v>
      </c>
      <c r="L5149">
        <v>213.3921</v>
      </c>
      <c r="M5149">
        <v>0.99964430000000004</v>
      </c>
      <c r="N5149">
        <v>0</v>
      </c>
      <c r="O5149">
        <v>2.594863E-2</v>
      </c>
      <c r="P5149">
        <v>0.99974830000000003</v>
      </c>
      <c r="Q5149">
        <v>1.9276339999999999E-2</v>
      </c>
      <c r="R5149">
        <v>-1.148033E-2</v>
      </c>
      <c r="S5149">
        <v>2.9994510000000001</v>
      </c>
      <c r="T5149">
        <v>2.233446E-2</v>
      </c>
      <c r="U5149">
        <v>-7.4050899999999906E-2</v>
      </c>
      <c r="V5149">
        <v>3.7410970000000002E-2</v>
      </c>
      <c r="W5149">
        <v>2.544016E-2</v>
      </c>
      <c r="X5149">
        <v>0.99897610000000003</v>
      </c>
      <c r="Y5149">
        <v>5.0611419999999997E-2</v>
      </c>
      <c r="Z5149">
        <v>3.8158860000000002E-4</v>
      </c>
      <c r="AA5149">
        <v>0.99871829999999995</v>
      </c>
      <c r="AB5149">
        <v>30</v>
      </c>
      <c r="AC5149">
        <v>253.29499999999999</v>
      </c>
      <c r="AD5149">
        <v>1.888266</v>
      </c>
      <c r="AE5149">
        <v>-6.2685999999999904</v>
      </c>
      <c r="AF5149">
        <v>12.838559015733299</v>
      </c>
      <c r="AG5149">
        <v>1.888266</v>
      </c>
      <c r="AH5149">
        <v>253.03298850236001</v>
      </c>
      <c r="AI5149">
        <v>89.572985805745603</v>
      </c>
      <c r="AJ5149">
        <v>87.095378819293401</v>
      </c>
      <c r="AK5149">
        <v>253.36552136492901</v>
      </c>
      <c r="AL5149">
        <v>88.542228950134898</v>
      </c>
      <c r="AM5149">
        <v>87.855314572741506</v>
      </c>
      <c r="AN5149">
        <v>1.0000000153941799</v>
      </c>
    </row>
    <row r="5150" spans="1:40" x14ac:dyDescent="0.25">
      <c r="A5150" t="str">
        <f>"20190312150755117"</f>
        <v>20190312150755117</v>
      </c>
      <c r="B5150" t="str">
        <f>"1552374475105122"</f>
        <v>1552374475105122</v>
      </c>
      <c r="C5150" t="s">
        <v>40</v>
      </c>
      <c r="D5150">
        <v>4.832541</v>
      </c>
      <c r="E5150">
        <v>0.50490420000000003</v>
      </c>
      <c r="F5150" t="s">
        <v>57</v>
      </c>
      <c r="G5150">
        <v>-168.41120000000001</v>
      </c>
      <c r="H5150">
        <v>2.889256</v>
      </c>
      <c r="I5150">
        <v>207.1078</v>
      </c>
      <c r="J5150">
        <v>-421.40269999999998</v>
      </c>
      <c r="K5150">
        <v>1.1095389999999901</v>
      </c>
      <c r="L5150">
        <v>213.40020000000001</v>
      </c>
      <c r="M5150">
        <v>0.99963970000000002</v>
      </c>
      <c r="N5150">
        <v>0</v>
      </c>
      <c r="O5150">
        <v>2.6133859999999998E-2</v>
      </c>
      <c r="P5150">
        <v>0.99974359999999995</v>
      </c>
      <c r="Q5150">
        <v>1.9623229999999998E-2</v>
      </c>
      <c r="R5150">
        <v>-1.1312569999999999E-2</v>
      </c>
      <c r="S5150">
        <v>2.9994200000000002</v>
      </c>
      <c r="T5150">
        <v>2.1075010000000002E-2</v>
      </c>
      <c r="U5150">
        <v>-7.4417109999999995E-2</v>
      </c>
      <c r="V5150">
        <v>3.7428080000000002E-2</v>
      </c>
      <c r="W5150">
        <v>2.5756680000000001E-2</v>
      </c>
      <c r="X5150">
        <v>0.9989673</v>
      </c>
      <c r="Y5150">
        <v>5.09188E-2</v>
      </c>
      <c r="Z5150">
        <v>3.6245519999999999E-4</v>
      </c>
      <c r="AA5150">
        <v>0.99870270000000005</v>
      </c>
      <c r="AB5150">
        <v>30</v>
      </c>
      <c r="AC5150">
        <v>252.9915</v>
      </c>
      <c r="AD5150">
        <v>1.779717</v>
      </c>
      <c r="AE5150">
        <v>-6.2924000000000104</v>
      </c>
      <c r="AF5150">
        <v>12.901381096720399</v>
      </c>
      <c r="AG5150">
        <v>1.779717</v>
      </c>
      <c r="AH5150">
        <v>252.72814133079501</v>
      </c>
      <c r="AI5150">
        <v>89.597053228796298</v>
      </c>
      <c r="AJ5150">
        <v>87.077675700154401</v>
      </c>
      <c r="AK5150">
        <v>253.06348303799399</v>
      </c>
      <c r="AL5150">
        <v>88.524087674167603</v>
      </c>
      <c r="AM5150">
        <v>87.854315728432297</v>
      </c>
      <c r="AN5150">
        <v>0.99999996710319805</v>
      </c>
    </row>
    <row r="5151" spans="1:40" x14ac:dyDescent="0.25">
      <c r="A5151" t="str">
        <f>"20190312150755139"</f>
        <v>20190312150755139</v>
      </c>
      <c r="B5151" t="str">
        <f>"1552374475135375"</f>
        <v>1552374475135375</v>
      </c>
      <c r="C5151" t="s">
        <v>40</v>
      </c>
      <c r="D5151">
        <v>4.5593079999999997</v>
      </c>
      <c r="E5151">
        <v>0.50477030000000001</v>
      </c>
      <c r="F5151" t="s">
        <v>57</v>
      </c>
      <c r="G5151">
        <v>-168.41120000000001</v>
      </c>
      <c r="H5151">
        <v>2.9049469999999999</v>
      </c>
      <c r="I5151">
        <v>207.22649999999999</v>
      </c>
      <c r="J5151">
        <v>-421.10849999999999</v>
      </c>
      <c r="K5151">
        <v>1.1095360000000001</v>
      </c>
      <c r="L5151">
        <v>213.40809999999999</v>
      </c>
      <c r="M5151">
        <v>0.99963519999999995</v>
      </c>
      <c r="N5151">
        <v>0</v>
      </c>
      <c r="O5151">
        <v>2.6312809999999999E-2</v>
      </c>
      <c r="P5151">
        <v>0.99973999999999996</v>
      </c>
      <c r="Q5151">
        <v>1.9801590000000001E-2</v>
      </c>
      <c r="R5151">
        <v>-1.1326289999999999E-2</v>
      </c>
      <c r="S5151">
        <v>2.9995120000000002</v>
      </c>
      <c r="T5151">
        <v>2.128708E-2</v>
      </c>
      <c r="U5151">
        <v>-7.3196410000000003E-2</v>
      </c>
      <c r="V5151">
        <v>3.7620349999999997E-2</v>
      </c>
      <c r="W5151">
        <v>2.591017E-2</v>
      </c>
      <c r="X5151">
        <v>0.99895610000000001</v>
      </c>
      <c r="Y5151">
        <v>5.0690600000000002E-2</v>
      </c>
      <c r="Z5151">
        <v>3.6655299999999999E-4</v>
      </c>
      <c r="AA5151">
        <v>0.99871430000000005</v>
      </c>
      <c r="AB5151">
        <v>30</v>
      </c>
      <c r="AC5151">
        <v>252.69730000000001</v>
      </c>
      <c r="AD5151">
        <v>1.7954110000000001</v>
      </c>
      <c r="AE5151">
        <v>-6.1816000000000004</v>
      </c>
      <c r="AF5151">
        <v>12.828111802792</v>
      </c>
      <c r="AG5151">
        <v>1.7954110000000001</v>
      </c>
      <c r="AH5151">
        <v>252.43440858955299</v>
      </c>
      <c r="AI5151">
        <v>89.593022299576603</v>
      </c>
      <c r="AJ5151">
        <v>87.090868254265999</v>
      </c>
      <c r="AK5151">
        <v>252.766521899244</v>
      </c>
      <c r="AL5151">
        <v>88.515290396184</v>
      </c>
      <c r="AM5151">
        <v>87.843279461140895</v>
      </c>
      <c r="AN5151">
        <v>0.99999995868537905</v>
      </c>
    </row>
    <row r="5152" spans="1:40" x14ac:dyDescent="0.25">
      <c r="A5152" t="str">
        <f>"20190312150755162"</f>
        <v>20190312150755162</v>
      </c>
      <c r="B5152" t="str">
        <f>"1552374475154895"</f>
        <v>1552374475154895</v>
      </c>
      <c r="C5152" t="s">
        <v>40</v>
      </c>
      <c r="D5152">
        <v>4.606026</v>
      </c>
      <c r="E5152">
        <v>0.50456599999999996</v>
      </c>
      <c r="F5152" t="s">
        <v>57</v>
      </c>
      <c r="G5152">
        <v>-168.41120000000001</v>
      </c>
      <c r="H5152">
        <v>2.9353280000000002</v>
      </c>
      <c r="I5152">
        <v>207.33410000000001</v>
      </c>
      <c r="J5152">
        <v>-420.79829999999998</v>
      </c>
      <c r="K5152">
        <v>1.109523</v>
      </c>
      <c r="L5152">
        <v>213.41640000000001</v>
      </c>
      <c r="M5152">
        <v>0.99963029999999997</v>
      </c>
      <c r="N5152">
        <v>0</v>
      </c>
      <c r="O5152">
        <v>2.650135E-2</v>
      </c>
      <c r="P5152">
        <v>0.9997492</v>
      </c>
      <c r="Q5152">
        <v>1.9466710000000002E-2</v>
      </c>
      <c r="R5152">
        <v>-1.1071869999999999E-2</v>
      </c>
      <c r="S5152">
        <v>2.9995419999999999</v>
      </c>
      <c r="T5152">
        <v>2.1672730000000001E-2</v>
      </c>
      <c r="U5152">
        <v>-7.209778E-2</v>
      </c>
      <c r="V5152">
        <v>3.7554959999999998E-2</v>
      </c>
      <c r="W5152">
        <v>2.555456E-2</v>
      </c>
      <c r="X5152">
        <v>0.99896779999999996</v>
      </c>
      <c r="Y5152">
        <v>5.0513059999999999E-2</v>
      </c>
      <c r="Z5152">
        <v>3.7391159999999998E-4</v>
      </c>
      <c r="AA5152">
        <v>0.99872329999999998</v>
      </c>
      <c r="AB5152">
        <v>30</v>
      </c>
      <c r="AC5152">
        <v>252.3871</v>
      </c>
      <c r="AD5152">
        <v>1.8258049999999999</v>
      </c>
      <c r="AE5152">
        <v>-6.0823</v>
      </c>
      <c r="AF5152">
        <v>12.7682182915299</v>
      </c>
      <c r="AG5152">
        <v>1.8258049999999999</v>
      </c>
      <c r="AH5152">
        <v>252.124073853704</v>
      </c>
      <c r="AI5152">
        <v>89.585619855321397</v>
      </c>
      <c r="AJ5152">
        <v>87.100869579203803</v>
      </c>
      <c r="AK5152">
        <v>252.45377711340799</v>
      </c>
      <c r="AL5152">
        <v>88.535672214486695</v>
      </c>
      <c r="AM5152">
        <v>87.847049837025295</v>
      </c>
      <c r="AN5152">
        <v>1.0000000379971099</v>
      </c>
    </row>
    <row r="5153" spans="1:40" x14ac:dyDescent="0.25">
      <c r="A5153" t="str">
        <f>"20190312150755175"</f>
        <v>20190312150755175</v>
      </c>
      <c r="B5153" t="str">
        <f>"1552374475164655"</f>
        <v>1552374475164655</v>
      </c>
      <c r="C5153" t="s">
        <v>40</v>
      </c>
      <c r="D5153">
        <v>4.5664530000000001</v>
      </c>
      <c r="E5153">
        <v>0.50433609999999995</v>
      </c>
      <c r="F5153" t="s">
        <v>57</v>
      </c>
      <c r="G5153">
        <v>-168.41099999999901</v>
      </c>
      <c r="H5153">
        <v>2.745981</v>
      </c>
      <c r="I5153">
        <v>207.55410000000001</v>
      </c>
      <c r="J5153">
        <v>-420.6146</v>
      </c>
      <c r="K5153">
        <v>1.109521</v>
      </c>
      <c r="L5153">
        <v>213.42140000000001</v>
      </c>
      <c r="M5153">
        <v>0.9996275</v>
      </c>
      <c r="N5153">
        <v>0</v>
      </c>
      <c r="O5153">
        <v>2.661266E-2</v>
      </c>
      <c r="P5153">
        <v>0.99975639999999999</v>
      </c>
      <c r="Q5153">
        <v>1.9281920000000001E-2</v>
      </c>
      <c r="R5153">
        <v>-1.076274E-2</v>
      </c>
      <c r="S5153">
        <v>2.9995729999999998</v>
      </c>
      <c r="T5153">
        <v>1.9449350000000001E-2</v>
      </c>
      <c r="U5153">
        <v>-6.9671629999999998E-2</v>
      </c>
      <c r="V5153">
        <v>3.7357170000000002E-2</v>
      </c>
      <c r="W5153">
        <v>2.5360560000000001E-2</v>
      </c>
      <c r="X5153">
        <v>0.99898010000000004</v>
      </c>
      <c r="Y5153">
        <v>4.9817060000000003E-2</v>
      </c>
      <c r="Z5153">
        <v>3.3401809999999998E-4</v>
      </c>
      <c r="AA5153">
        <v>0.99875829999999999</v>
      </c>
      <c r="AB5153">
        <v>30</v>
      </c>
      <c r="AC5153">
        <v>252.20359999999999</v>
      </c>
      <c r="AD5153">
        <v>1.63646</v>
      </c>
      <c r="AE5153">
        <v>-5.8673000000000002</v>
      </c>
      <c r="AF5153">
        <v>12.576624204417</v>
      </c>
      <c r="AG5153">
        <v>1.63646</v>
      </c>
      <c r="AH5153">
        <v>251.947522157408</v>
      </c>
      <c r="AI5153">
        <v>89.628318080681396</v>
      </c>
      <c r="AJ5153">
        <v>87.142302247356</v>
      </c>
      <c r="AK5153">
        <v>252.26653245915901</v>
      </c>
      <c r="AL5153">
        <v>88.546791111974997</v>
      </c>
      <c r="AM5153">
        <v>87.858404497035394</v>
      </c>
      <c r="AN5153">
        <v>0.999999978174966</v>
      </c>
    </row>
    <row r="5154" spans="1:40" x14ac:dyDescent="0.25">
      <c r="A5154" t="str">
        <f>"20190312150755195"</f>
        <v>20190312150755195</v>
      </c>
      <c r="B5154" t="str">
        <f>"1552374475185155"</f>
        <v>1552374475185155</v>
      </c>
      <c r="C5154" t="s">
        <v>40</v>
      </c>
      <c r="D5154">
        <v>4.543793</v>
      </c>
      <c r="E5154">
        <v>0.50409129999999902</v>
      </c>
      <c r="F5154" t="s">
        <v>57</v>
      </c>
      <c r="G5154">
        <v>-168.4109</v>
      </c>
      <c r="H5154">
        <v>2.5958269999999999</v>
      </c>
      <c r="I5154">
        <v>207.8047</v>
      </c>
      <c r="J5154">
        <v>-420.33629999999999</v>
      </c>
      <c r="K5154">
        <v>1.1095170000000001</v>
      </c>
      <c r="L5154">
        <v>213.429</v>
      </c>
      <c r="M5154">
        <v>0.99962309999999999</v>
      </c>
      <c r="N5154">
        <v>0</v>
      </c>
      <c r="O5154">
        <v>2.67815E-2</v>
      </c>
      <c r="P5154">
        <v>0.99975539999999996</v>
      </c>
      <c r="Q5154">
        <v>1.9640560000000001E-2</v>
      </c>
      <c r="R5154">
        <v>-1.016716E-2</v>
      </c>
      <c r="S5154">
        <v>2.9996640000000001</v>
      </c>
      <c r="T5154">
        <v>1.7678260000000001E-2</v>
      </c>
      <c r="U5154">
        <v>-6.6802979999999998E-2</v>
      </c>
      <c r="V5154">
        <v>3.6930589999999999E-2</v>
      </c>
      <c r="W5154">
        <v>2.5709490000000002E-2</v>
      </c>
      <c r="X5154">
        <v>0.99898710000000002</v>
      </c>
      <c r="Y5154">
        <v>4.903068E-2</v>
      </c>
      <c r="Z5154">
        <v>3.0227379999999999E-4</v>
      </c>
      <c r="AA5154">
        <v>0.99879720000000005</v>
      </c>
      <c r="AB5154">
        <v>30</v>
      </c>
      <c r="AC5154">
        <v>251.9254</v>
      </c>
      <c r="AD5154">
        <v>1.48630999999999</v>
      </c>
      <c r="AE5154">
        <v>-5.6242999999999999</v>
      </c>
      <c r="AF5154">
        <v>12.368915163919301</v>
      </c>
      <c r="AG5154">
        <v>1.48630999999999</v>
      </c>
      <c r="AH5154">
        <v>251.67564810494201</v>
      </c>
      <c r="AI5154">
        <v>89.662042612133206</v>
      </c>
      <c r="AJ5154">
        <v>87.186390934427493</v>
      </c>
      <c r="AK5154">
        <v>251.98379120251099</v>
      </c>
      <c r="AL5154">
        <v>88.526792459507504</v>
      </c>
      <c r="AM5154">
        <v>87.882851727550204</v>
      </c>
      <c r="AN5154">
        <v>1.0000000361601</v>
      </c>
    </row>
    <row r="5155" spans="1:40" x14ac:dyDescent="0.25">
      <c r="A5155" t="str">
        <f>"20190312150755219"</f>
        <v>20190312150755219</v>
      </c>
      <c r="B5155" t="str">
        <f>"1552374475215237"</f>
        <v>1552374475215237</v>
      </c>
      <c r="C5155" t="s">
        <v>40</v>
      </c>
      <c r="D5155">
        <v>4.6108419999999999</v>
      </c>
      <c r="E5155">
        <v>0.50343289999999996</v>
      </c>
      <c r="F5155" t="s">
        <v>57</v>
      </c>
      <c r="G5155">
        <v>-168.41079999999999</v>
      </c>
      <c r="H5155">
        <v>2.5901450000000001</v>
      </c>
      <c r="I5155">
        <v>208.1275</v>
      </c>
      <c r="J5155">
        <v>-420.0224</v>
      </c>
      <c r="K5155">
        <v>1.1095170000000001</v>
      </c>
      <c r="L5155">
        <v>213.4375</v>
      </c>
      <c r="M5155">
        <v>0.99961800000000001</v>
      </c>
      <c r="N5155">
        <v>0</v>
      </c>
      <c r="O5155">
        <v>2.697196E-2</v>
      </c>
      <c r="P5155">
        <v>0.99977199999999999</v>
      </c>
      <c r="Q5155">
        <v>1.879786E-2</v>
      </c>
      <c r="R5155">
        <v>-1.0155050000000001E-2</v>
      </c>
      <c r="S5155">
        <v>2.9997560000000001</v>
      </c>
      <c r="T5155">
        <v>1.7630699999999999E-2</v>
      </c>
      <c r="U5155">
        <v>-6.3125609999999999E-2</v>
      </c>
      <c r="V5155">
        <v>3.7109280000000001E-2</v>
      </c>
      <c r="W5155">
        <v>2.4859559999999999E-2</v>
      </c>
      <c r="X5155">
        <v>0.99900199999999995</v>
      </c>
      <c r="Y5155">
        <v>4.7996459999999998E-2</v>
      </c>
      <c r="Z5155">
        <v>2.9953500000000002E-4</v>
      </c>
      <c r="AA5155">
        <v>0.9988475</v>
      </c>
      <c r="AB5155">
        <v>31</v>
      </c>
      <c r="AC5155">
        <v>251.61160000000001</v>
      </c>
      <c r="AD5155">
        <v>1.4806280000000001</v>
      </c>
      <c r="AE5155">
        <v>-5.31</v>
      </c>
      <c r="AF5155">
        <v>12.094230902854299</v>
      </c>
      <c r="AG5155">
        <v>1.4806280000000001</v>
      </c>
      <c r="AH5155">
        <v>251.36813370534799</v>
      </c>
      <c r="AI5155">
        <v>89.662905814823802</v>
      </c>
      <c r="AJ5155">
        <v>87.245416864723694</v>
      </c>
      <c r="AK5155">
        <v>251.66326971355201</v>
      </c>
      <c r="AL5155">
        <v>88.575505449161298</v>
      </c>
      <c r="AM5155">
        <v>87.872648919084298</v>
      </c>
      <c r="AN5155">
        <v>1.00000004619475</v>
      </c>
    </row>
    <row r="5156" spans="1:40" x14ac:dyDescent="0.25">
      <c r="A5156" t="str">
        <f>"20190312150755251"</f>
        <v>20190312150755251</v>
      </c>
      <c r="B5156" t="str">
        <f>"1552374475245494"</f>
        <v>1552374475245494</v>
      </c>
      <c r="C5156" t="s">
        <v>40</v>
      </c>
      <c r="D5156">
        <v>4.6283450000000004</v>
      </c>
      <c r="E5156">
        <v>0.50286779999999998</v>
      </c>
      <c r="F5156" t="s">
        <v>57</v>
      </c>
      <c r="G5156">
        <v>-169.3931</v>
      </c>
      <c r="H5156">
        <v>2.0770970000000002</v>
      </c>
      <c r="I5156">
        <v>208.59960000000001</v>
      </c>
      <c r="J5156">
        <v>-419.57889999999998</v>
      </c>
      <c r="K5156">
        <v>1.1095120000000001</v>
      </c>
      <c r="L5156">
        <v>213.44980000000001</v>
      </c>
      <c r="M5156">
        <v>0.99961060000000002</v>
      </c>
      <c r="N5156">
        <v>0</v>
      </c>
      <c r="O5156">
        <v>2.724116E-2</v>
      </c>
      <c r="P5156">
        <v>0.99977519999999998</v>
      </c>
      <c r="Q5156">
        <v>1.8718700000000001E-2</v>
      </c>
      <c r="R5156">
        <v>-9.959308E-3</v>
      </c>
      <c r="S5156">
        <v>2.999908</v>
      </c>
      <c r="T5156">
        <v>1.1581899999999999E-2</v>
      </c>
      <c r="U5156">
        <v>-5.7907100000000003E-2</v>
      </c>
      <c r="V5156">
        <v>3.718291E-2</v>
      </c>
      <c r="W5156">
        <v>2.47747E-2</v>
      </c>
      <c r="X5156">
        <v>0.99900129999999998</v>
      </c>
      <c r="Y5156">
        <v>4.652825E-2</v>
      </c>
      <c r="Z5156">
        <v>1.9496849999999999E-4</v>
      </c>
      <c r="AA5156">
        <v>0.99891700000000005</v>
      </c>
      <c r="AB5156">
        <v>31</v>
      </c>
      <c r="AC5156">
        <v>250.1858</v>
      </c>
      <c r="AD5156">
        <v>0.96758500000000003</v>
      </c>
      <c r="AE5156">
        <v>-4.8502000000000001</v>
      </c>
      <c r="AF5156">
        <v>11.6637016095594</v>
      </c>
      <c r="AG5156">
        <v>0.96758500000000003</v>
      </c>
      <c r="AH5156">
        <v>249.957085570647</v>
      </c>
      <c r="AI5156">
        <v>89.778449958200198</v>
      </c>
      <c r="AJ5156">
        <v>87.328355527366497</v>
      </c>
      <c r="AK5156">
        <v>250.23093890032999</v>
      </c>
      <c r="AL5156">
        <v>88.580368967043796</v>
      </c>
      <c r="AM5156">
        <v>87.868430354656795</v>
      </c>
      <c r="AN5156">
        <v>0.99999997597892298</v>
      </c>
    </row>
    <row r="5157" spans="1:40" x14ac:dyDescent="0.25">
      <c r="A5157" t="str">
        <f>"20190312150755273"</f>
        <v>20190312150755273</v>
      </c>
      <c r="B5157" t="str">
        <f>"1552374475265017"</f>
        <v>1552374475265017</v>
      </c>
      <c r="C5157" t="s">
        <v>40</v>
      </c>
      <c r="D5157">
        <v>4.6330239999999998</v>
      </c>
      <c r="E5157">
        <v>0.50252829999999904</v>
      </c>
      <c r="F5157" t="s">
        <v>57</v>
      </c>
      <c r="G5157">
        <v>-169.3929</v>
      </c>
      <c r="H5157">
        <v>1.7823659999999999</v>
      </c>
      <c r="I5157">
        <v>209.05330000000001</v>
      </c>
      <c r="J5157">
        <v>-419.25490000000002</v>
      </c>
      <c r="K5157">
        <v>1.1095120000000001</v>
      </c>
      <c r="L5157">
        <v>213.4588</v>
      </c>
      <c r="M5157">
        <v>0.99960519999999997</v>
      </c>
      <c r="N5157">
        <v>0</v>
      </c>
      <c r="O5157">
        <v>2.7437679999999999E-2</v>
      </c>
      <c r="P5157">
        <v>0.99977389999999999</v>
      </c>
      <c r="Q5157">
        <v>1.8854249999999999E-2</v>
      </c>
      <c r="R5157">
        <v>-9.8279439999999999E-3</v>
      </c>
      <c r="S5157">
        <v>3</v>
      </c>
      <c r="T5157">
        <v>8.0686809999999994E-3</v>
      </c>
      <c r="U5157">
        <v>-5.2719120000000001E-2</v>
      </c>
      <c r="V5157">
        <v>3.7247959999999997E-2</v>
      </c>
      <c r="W5157">
        <v>2.4909609999999999E-2</v>
      </c>
      <c r="X5157">
        <v>0.99899550000000004</v>
      </c>
      <c r="Y5157">
        <v>4.49974E-2</v>
      </c>
      <c r="Z5157">
        <v>1.342952E-4</v>
      </c>
      <c r="AA5157">
        <v>0.99898710000000002</v>
      </c>
      <c r="AB5157">
        <v>31</v>
      </c>
      <c r="AC5157">
        <v>249.86199999999999</v>
      </c>
      <c r="AD5157">
        <v>0.67285399999999895</v>
      </c>
      <c r="AE5157">
        <v>-4.4054999999999804</v>
      </c>
      <c r="AF5157">
        <v>11.259518836278</v>
      </c>
      <c r="AG5157">
        <v>0.67285399999999895</v>
      </c>
      <c r="AH5157">
        <v>249.64523879830099</v>
      </c>
      <c r="AI5157">
        <v>89.8457312849592</v>
      </c>
      <c r="AJ5157">
        <v>87.417591422454194</v>
      </c>
      <c r="AK5157">
        <v>249.899929474961</v>
      </c>
      <c r="AL5157">
        <v>88.572636775760401</v>
      </c>
      <c r="AM5157">
        <v>87.864692322843993</v>
      </c>
      <c r="AN5157">
        <v>0.99999995410737996</v>
      </c>
    </row>
    <row r="5158" spans="1:40" x14ac:dyDescent="0.25">
      <c r="A5158" t="str">
        <f>"20190312150755295"</f>
        <v>20190312150755295</v>
      </c>
      <c r="B5158" t="str">
        <f>"1552374475285513"</f>
        <v>1552374475285513</v>
      </c>
      <c r="C5158" t="s">
        <v>40</v>
      </c>
      <c r="D5158">
        <v>4.856706</v>
      </c>
      <c r="E5158">
        <v>0.50212040000000002</v>
      </c>
      <c r="F5158" t="s">
        <v>57</v>
      </c>
      <c r="G5158">
        <v>-169.39269999999999</v>
      </c>
      <c r="H5158">
        <v>1.4875370000000001</v>
      </c>
      <c r="I5158">
        <v>209.3109</v>
      </c>
      <c r="J5158">
        <v>-418.94979999999998</v>
      </c>
      <c r="K5158">
        <v>1.10951</v>
      </c>
      <c r="L5158">
        <v>213.4674</v>
      </c>
      <c r="M5158">
        <v>0.99960020000000005</v>
      </c>
      <c r="N5158">
        <v>0</v>
      </c>
      <c r="O5158">
        <v>2.7622219999999999E-2</v>
      </c>
      <c r="P5158">
        <v>0.99976739999999997</v>
      </c>
      <c r="Q5158">
        <v>1.931163E-2</v>
      </c>
      <c r="R5158">
        <v>-9.6137400000000008E-3</v>
      </c>
      <c r="S5158">
        <v>3.0001220000000002</v>
      </c>
      <c r="T5158">
        <v>4.5393710000000004E-3</v>
      </c>
      <c r="U5158">
        <v>-4.9804689999999999E-2</v>
      </c>
      <c r="V5158">
        <v>3.7217849999999997E-2</v>
      </c>
      <c r="W5158">
        <v>2.5368660000000001E-2</v>
      </c>
      <c r="X5158">
        <v>0.99898509999999996</v>
      </c>
      <c r="Y5158">
        <v>4.4211109999999998E-2</v>
      </c>
      <c r="Z5158" s="1">
        <v>7.5235159999999896E-5</v>
      </c>
      <c r="AA5158">
        <v>0.99902219999999997</v>
      </c>
      <c r="AB5158">
        <v>31</v>
      </c>
      <c r="AC5158">
        <v>249.55709999999999</v>
      </c>
      <c r="AD5158">
        <v>0.378027</v>
      </c>
      <c r="AE5158">
        <v>-4.1564999999999896</v>
      </c>
      <c r="AF5158">
        <v>11.0483353811101</v>
      </c>
      <c r="AG5158">
        <v>0.378027</v>
      </c>
      <c r="AH5158">
        <v>249.34648810465399</v>
      </c>
      <c r="AI5158">
        <v>89.913220737178406</v>
      </c>
      <c r="AJ5158">
        <v>87.462931167499605</v>
      </c>
      <c r="AK5158">
        <v>249.59142563243299</v>
      </c>
      <c r="AL5158">
        <v>88.546326874741496</v>
      </c>
      <c r="AM5158">
        <v>87.866394646680604</v>
      </c>
      <c r="AN5158">
        <v>0.99999998364541298</v>
      </c>
    </row>
    <row r="5159" spans="1:40" x14ac:dyDescent="0.25">
      <c r="A5159" t="str">
        <f>"20190312150755317"</f>
        <v>20190312150755317</v>
      </c>
      <c r="B5159" t="str">
        <f>"1552374475305555"</f>
        <v>1552374475305555</v>
      </c>
      <c r="C5159" t="s">
        <v>40</v>
      </c>
      <c r="D5159">
        <v>4.7492070000000002</v>
      </c>
      <c r="E5159">
        <v>0.50186850000000005</v>
      </c>
      <c r="F5159" t="s">
        <v>57</v>
      </c>
      <c r="G5159">
        <v>-169.39250000000001</v>
      </c>
      <c r="H5159">
        <v>1.3757360000000001</v>
      </c>
      <c r="I5159">
        <v>209.66480000000001</v>
      </c>
      <c r="J5159">
        <v>-418.65449999999998</v>
      </c>
      <c r="K5159">
        <v>1.10951</v>
      </c>
      <c r="L5159">
        <v>213.47569999999999</v>
      </c>
      <c r="M5159">
        <v>0.99959520000000002</v>
      </c>
      <c r="N5159">
        <v>0</v>
      </c>
      <c r="O5159">
        <v>2.780061E-2</v>
      </c>
      <c r="P5159">
        <v>0.99976120000000002</v>
      </c>
      <c r="Q5159">
        <v>1.971792E-2</v>
      </c>
      <c r="R5159">
        <v>-9.434128E-3</v>
      </c>
      <c r="S5159">
        <v>3.0002140000000002</v>
      </c>
      <c r="T5159">
        <v>3.201008E-3</v>
      </c>
      <c r="U5159">
        <v>-4.5715329999999998E-2</v>
      </c>
      <c r="V5159">
        <v>3.7215970000000001E-2</v>
      </c>
      <c r="W5159">
        <v>2.5777649999999999E-2</v>
      </c>
      <c r="X5159">
        <v>0.99897469999999999</v>
      </c>
      <c r="Y5159">
        <v>4.3027559999999999E-2</v>
      </c>
      <c r="Z5159" s="1">
        <v>5.2611020000000003E-5</v>
      </c>
      <c r="AA5159">
        <v>0.99907389999999996</v>
      </c>
      <c r="AB5159">
        <v>31</v>
      </c>
      <c r="AC5159">
        <v>249.262</v>
      </c>
      <c r="AD5159">
        <v>0.26622600000000002</v>
      </c>
      <c r="AE5159">
        <v>-3.81089999999997</v>
      </c>
      <c r="AF5159">
        <v>10.7391770757934</v>
      </c>
      <c r="AG5159">
        <v>0.26622600000000002</v>
      </c>
      <c r="AH5159">
        <v>249.05942248030101</v>
      </c>
      <c r="AI5159">
        <v>89.938811951386896</v>
      </c>
      <c r="AJ5159">
        <v>87.530996402201097</v>
      </c>
      <c r="AK5159">
        <v>249.29098805767001</v>
      </c>
      <c r="AL5159">
        <v>88.522885806722797</v>
      </c>
      <c r="AM5159">
        <v>87.866480132110198</v>
      </c>
      <c r="AN5159">
        <v>0.99999998345132601</v>
      </c>
    </row>
    <row r="5160" spans="1:40" x14ac:dyDescent="0.25">
      <c r="A5160" t="str">
        <f>"20190312150755339"</f>
        <v>20190312150755339</v>
      </c>
      <c r="B5160" t="str">
        <f>"1552374475334831"</f>
        <v>1552374475334831</v>
      </c>
      <c r="C5160" t="s">
        <v>40</v>
      </c>
      <c r="D5160">
        <v>4.888369</v>
      </c>
      <c r="E5160">
        <v>0.50147969999999997</v>
      </c>
      <c r="F5160" t="s">
        <v>57</v>
      </c>
      <c r="G5160">
        <v>-169.39240000000001</v>
      </c>
      <c r="H5160">
        <v>1.3021130000000001</v>
      </c>
      <c r="I5160">
        <v>209.88310000000001</v>
      </c>
      <c r="J5160">
        <v>-418.33640000000003</v>
      </c>
      <c r="K5160">
        <v>1.1095079999999999</v>
      </c>
      <c r="L5160">
        <v>213.4847</v>
      </c>
      <c r="M5160">
        <v>0.99958999999999998</v>
      </c>
      <c r="N5160">
        <v>0</v>
      </c>
      <c r="O5160">
        <v>2.7990629999999999E-2</v>
      </c>
      <c r="P5160">
        <v>0.99976830000000005</v>
      </c>
      <c r="Q5160">
        <v>1.9538280000000002E-2</v>
      </c>
      <c r="R5160">
        <v>-9.0551669999999994E-3</v>
      </c>
      <c r="S5160">
        <v>3.000305</v>
      </c>
      <c r="T5160">
        <v>2.3187400000000001E-3</v>
      </c>
      <c r="U5160">
        <v>-4.3243410000000003E-2</v>
      </c>
      <c r="V5160">
        <v>3.7027530000000003E-2</v>
      </c>
      <c r="W5160">
        <v>2.559985E-2</v>
      </c>
      <c r="X5160">
        <v>0.99898629999999999</v>
      </c>
      <c r="Y5160">
        <v>4.2394059999999997E-2</v>
      </c>
      <c r="Z5160" s="1">
        <v>3.801131E-5</v>
      </c>
      <c r="AA5160">
        <v>0.99910100000000002</v>
      </c>
      <c r="AB5160">
        <v>31</v>
      </c>
      <c r="AC5160">
        <v>248.94399999999999</v>
      </c>
      <c r="AD5160">
        <v>0.192604999999999</v>
      </c>
      <c r="AE5160">
        <v>-3.6015999999999901</v>
      </c>
      <c r="AF5160">
        <v>10.568408531069901</v>
      </c>
      <c r="AG5160">
        <v>0.192604999999999</v>
      </c>
      <c r="AH5160">
        <v>248.74549484638899</v>
      </c>
      <c r="AI5160">
        <v>89.955675560416495</v>
      </c>
      <c r="AJ5160">
        <v>87.567146899677695</v>
      </c>
      <c r="AK5160">
        <v>248.969977230068</v>
      </c>
      <c r="AL5160">
        <v>88.533076396892895</v>
      </c>
      <c r="AM5160">
        <v>87.877297752622695</v>
      </c>
      <c r="AN5160">
        <v>1.0000000089428001</v>
      </c>
    </row>
    <row r="5161" spans="1:40" x14ac:dyDescent="0.25">
      <c r="A5161" t="str">
        <f>"20190312150755363"</f>
        <v>20190312150755363</v>
      </c>
      <c r="B5161" t="str">
        <f>"1552374475355327"</f>
        <v>1552374475355327</v>
      </c>
      <c r="C5161" t="s">
        <v>40</v>
      </c>
      <c r="D5161">
        <v>4.5597770000000004</v>
      </c>
      <c r="E5161">
        <v>0.5012181</v>
      </c>
      <c r="F5161" t="s">
        <v>57</v>
      </c>
      <c r="G5161">
        <v>-168.25059999999999</v>
      </c>
      <c r="H5161">
        <v>1.034794</v>
      </c>
      <c r="I5161">
        <v>210.23650000000001</v>
      </c>
      <c r="J5161">
        <v>-418.0111</v>
      </c>
      <c r="K5161">
        <v>1.1094980000000001</v>
      </c>
      <c r="L5161">
        <v>213.494</v>
      </c>
      <c r="M5161">
        <v>0.99958460000000005</v>
      </c>
      <c r="N5161">
        <v>0</v>
      </c>
      <c r="O5161">
        <v>2.8180029999999998E-2</v>
      </c>
      <c r="P5161">
        <v>0.99977510000000003</v>
      </c>
      <c r="Q5161">
        <v>1.9390339999999999E-2</v>
      </c>
      <c r="R5161">
        <v>-8.6101289999999994E-3</v>
      </c>
      <c r="S5161">
        <v>3.000397</v>
      </c>
      <c r="T5161">
        <v>-8.9597699999999995E-4</v>
      </c>
      <c r="U5161">
        <v>-3.8970949999999997E-2</v>
      </c>
      <c r="V5161">
        <v>3.6772369999999999E-2</v>
      </c>
      <c r="W5161">
        <v>2.5453030000000001E-2</v>
      </c>
      <c r="X5161">
        <v>0.99899950000000004</v>
      </c>
      <c r="Y5161">
        <v>4.1160509999999997E-2</v>
      </c>
      <c r="Z5161" s="1">
        <v>-1.455986E-5</v>
      </c>
      <c r="AA5161">
        <v>0.9991525</v>
      </c>
      <c r="AB5161">
        <v>31</v>
      </c>
      <c r="AC5161">
        <v>249.76050000000001</v>
      </c>
      <c r="AD5161">
        <v>-7.4703999999999798E-2</v>
      </c>
      <c r="AE5161">
        <v>-3.2575000000000198</v>
      </c>
      <c r="AF5161">
        <v>10.294592243261199</v>
      </c>
      <c r="AG5161">
        <v>-7.4703999999999798E-2</v>
      </c>
      <c r="AH5161">
        <v>249.56948706857401</v>
      </c>
      <c r="AI5161">
        <v>90.017135856819195</v>
      </c>
      <c r="AJ5161">
        <v>87.637922419588094</v>
      </c>
      <c r="AK5161">
        <v>249.781730888818</v>
      </c>
      <c r="AL5161">
        <v>88.541491339509605</v>
      </c>
      <c r="AM5161">
        <v>87.891940068475904</v>
      </c>
      <c r="AN5161">
        <v>1.00000003246592</v>
      </c>
    </row>
    <row r="5162" spans="1:40" x14ac:dyDescent="0.25">
      <c r="A5162" t="str">
        <f>"20190312150755385"</f>
        <v>20190312150755385</v>
      </c>
      <c r="B5162" t="str">
        <f>"1552374475374847"</f>
        <v>1552374475374847</v>
      </c>
      <c r="C5162" t="s">
        <v>40</v>
      </c>
      <c r="D5162">
        <v>4.5919889999999999</v>
      </c>
      <c r="E5162">
        <v>0.5009979</v>
      </c>
      <c r="F5162" t="s">
        <v>57</v>
      </c>
      <c r="G5162">
        <v>-138.91299999999899</v>
      </c>
      <c r="H5162">
        <v>0.82902719999999896</v>
      </c>
      <c r="I5162">
        <v>210.18690000000001</v>
      </c>
      <c r="J5162">
        <v>-417.7002</v>
      </c>
      <c r="K5162">
        <v>1.109488</v>
      </c>
      <c r="L5162">
        <v>213.50290000000001</v>
      </c>
      <c r="M5162">
        <v>0.99957980000000002</v>
      </c>
      <c r="N5162">
        <v>0</v>
      </c>
      <c r="O5162">
        <v>2.8350340000000002E-2</v>
      </c>
      <c r="P5162">
        <v>0.99977910000000003</v>
      </c>
      <c r="Q5162">
        <v>1.9196499999999998E-2</v>
      </c>
      <c r="R5162">
        <v>-8.5733849999999993E-3</v>
      </c>
      <c r="S5162">
        <v>3.000397</v>
      </c>
      <c r="T5162">
        <v>-3.0148029999999999E-3</v>
      </c>
      <c r="U5162">
        <v>-3.5552979999999998E-2</v>
      </c>
      <c r="V5162">
        <v>3.6906340000000003E-2</v>
      </c>
      <c r="W5162">
        <v>2.52614E-2</v>
      </c>
      <c r="X5162">
        <v>0.99899939999999998</v>
      </c>
      <c r="Y5162">
        <v>4.0192659999999998E-2</v>
      </c>
      <c r="Z5162" s="1">
        <v>-4.8676410000000001E-5</v>
      </c>
      <c r="AA5162">
        <v>0.99919190000000002</v>
      </c>
      <c r="AB5162">
        <v>31</v>
      </c>
      <c r="AC5162">
        <v>278.78719999999998</v>
      </c>
      <c r="AD5162">
        <v>-0.28046080000000001</v>
      </c>
      <c r="AE5162">
        <v>-3.3159999999999998</v>
      </c>
      <c r="AF5162">
        <v>11.2185118094509</v>
      </c>
      <c r="AG5162">
        <v>-0.28046080000000001</v>
      </c>
      <c r="AH5162">
        <v>278.58084359183601</v>
      </c>
      <c r="AI5162">
        <v>90.057635696376494</v>
      </c>
      <c r="AJ5162">
        <v>87.6939324016016</v>
      </c>
      <c r="AK5162">
        <v>278.806779117399</v>
      </c>
      <c r="AL5162">
        <v>88.552474426611397</v>
      </c>
      <c r="AM5162">
        <v>87.884266688286502</v>
      </c>
      <c r="AN5162">
        <v>1.0000000087312499</v>
      </c>
    </row>
    <row r="5163" spans="1:40" x14ac:dyDescent="0.25">
      <c r="A5163" t="str">
        <f>"20190312150755406"</f>
        <v>20190312150755406</v>
      </c>
      <c r="B5163" t="str">
        <f>"1552374475395089"</f>
        <v>1552374475395089</v>
      </c>
      <c r="C5163" t="s">
        <v>40</v>
      </c>
      <c r="D5163">
        <v>4.8351119999999996</v>
      </c>
      <c r="E5163">
        <v>0.50077190000000005</v>
      </c>
      <c r="F5163" t="s">
        <v>57</v>
      </c>
      <c r="G5163">
        <v>-121.25279999999999</v>
      </c>
      <c r="H5163">
        <v>0.58538819999999903</v>
      </c>
      <c r="I5163">
        <v>210.16820000000001</v>
      </c>
      <c r="J5163">
        <v>-417.39319999999998</v>
      </c>
      <c r="K5163">
        <v>1.1094790000000001</v>
      </c>
      <c r="L5163">
        <v>213.51179999999999</v>
      </c>
      <c r="M5163">
        <v>0.9995754</v>
      </c>
      <c r="N5163">
        <v>0</v>
      </c>
      <c r="O5163">
        <v>2.8503799999999999E-2</v>
      </c>
      <c r="P5163">
        <v>0.99979110000000004</v>
      </c>
      <c r="Q5163">
        <v>1.8738339999999999E-2</v>
      </c>
      <c r="R5163">
        <v>-8.1821419999999999E-3</v>
      </c>
      <c r="S5163">
        <v>3.0004879999999998</v>
      </c>
      <c r="T5163">
        <v>-5.3043369999999897E-3</v>
      </c>
      <c r="U5163">
        <v>-3.3752440000000002E-2</v>
      </c>
      <c r="V5163">
        <v>3.6669460000000001E-2</v>
      </c>
      <c r="W5163">
        <v>2.4806640000000001E-2</v>
      </c>
      <c r="X5163">
        <v>0.99901949999999995</v>
      </c>
      <c r="Y5163">
        <v>3.9746120000000003E-2</v>
      </c>
      <c r="Z5163" s="1">
        <v>-8.5516840000000004E-5</v>
      </c>
      <c r="AA5163">
        <v>0.99920980000000004</v>
      </c>
      <c r="AB5163">
        <v>32</v>
      </c>
      <c r="AC5163">
        <v>296.1404</v>
      </c>
      <c r="AD5163">
        <v>-0.52409079999999997</v>
      </c>
      <c r="AE5163">
        <v>-3.3435999999999799</v>
      </c>
      <c r="AF5163">
        <v>11.783485504233999</v>
      </c>
      <c r="AG5163">
        <v>-0.52409079999999997</v>
      </c>
      <c r="AH5163">
        <v>295.92383530688801</v>
      </c>
      <c r="AI5163">
        <v>90.101392244463398</v>
      </c>
      <c r="AJ5163">
        <v>87.719725771497906</v>
      </c>
      <c r="AK5163">
        <v>296.15881128970898</v>
      </c>
      <c r="AL5163">
        <v>88.5785383971768</v>
      </c>
      <c r="AM5163">
        <v>87.897876365241302</v>
      </c>
      <c r="AN5163">
        <v>0.99999999003251505</v>
      </c>
    </row>
    <row r="5164" spans="1:40" x14ac:dyDescent="0.25">
      <c r="A5164" t="str">
        <f>"20190312150755430"</f>
        <v>20190312150755430</v>
      </c>
      <c r="B5164" t="str">
        <f>"1552374475425342"</f>
        <v>1552374475425342</v>
      </c>
      <c r="C5164" t="s">
        <v>40</v>
      </c>
      <c r="D5164">
        <v>4.6924910000000004</v>
      </c>
      <c r="E5164">
        <v>0.5005984</v>
      </c>
      <c r="F5164" t="s">
        <v>74</v>
      </c>
      <c r="G5164">
        <v>-107.39749999999999</v>
      </c>
      <c r="H5164">
        <v>0.29840539999999999</v>
      </c>
      <c r="I5164">
        <v>210.3321</v>
      </c>
      <c r="J5164">
        <v>-417.06459999999998</v>
      </c>
      <c r="K5164">
        <v>1.109456</v>
      </c>
      <c r="L5164">
        <v>213.5213</v>
      </c>
      <c r="M5164">
        <v>0.99957099999999999</v>
      </c>
      <c r="N5164">
        <v>0</v>
      </c>
      <c r="O5164">
        <v>2.8652759999999999E-2</v>
      </c>
      <c r="P5164">
        <v>0.99978829999999996</v>
      </c>
      <c r="Q5164">
        <v>1.9091629999999998E-2</v>
      </c>
      <c r="R5164">
        <v>-7.6772219999999896E-3</v>
      </c>
      <c r="S5164">
        <v>3.0005489999999999</v>
      </c>
      <c r="T5164">
        <v>-7.8501700000000001E-3</v>
      </c>
      <c r="U5164">
        <v>-3.0776979999999999E-2</v>
      </c>
      <c r="V5164">
        <v>3.631442E-2</v>
      </c>
      <c r="W5164">
        <v>2.5167019999999998E-2</v>
      </c>
      <c r="X5164">
        <v>0.99902340000000001</v>
      </c>
      <c r="Y5164">
        <v>3.8903920000000002E-2</v>
      </c>
      <c r="Z5164">
        <v>-1.258466E-4</v>
      </c>
      <c r="AA5164">
        <v>0.99924299999999999</v>
      </c>
      <c r="AB5164">
        <v>32</v>
      </c>
      <c r="AC5164">
        <v>309.6671</v>
      </c>
      <c r="AD5164">
        <v>-0.81105059999999995</v>
      </c>
      <c r="AE5164">
        <v>-3.1892</v>
      </c>
      <c r="AF5164">
        <v>12.060788339625899</v>
      </c>
      <c r="AG5164">
        <v>-0.81105059999999995</v>
      </c>
      <c r="AH5164">
        <v>309.44645031258699</v>
      </c>
      <c r="AI5164">
        <v>90.150056381866605</v>
      </c>
      <c r="AJ5164">
        <v>87.7680058166561</v>
      </c>
      <c r="AK5164">
        <v>309.68245999654101</v>
      </c>
      <c r="AL5164">
        <v>88.557883615470303</v>
      </c>
      <c r="AM5164">
        <v>87.918219610853697</v>
      </c>
      <c r="AN5164">
        <v>0.999999934871586</v>
      </c>
    </row>
    <row r="5165" spans="1:40" x14ac:dyDescent="0.25">
      <c r="A5165" t="str">
        <f>"20190312150755453"</f>
        <v>20190312150755453</v>
      </c>
      <c r="B5165" t="str">
        <f>"1552374475444862"</f>
        <v>1552374475444862</v>
      </c>
      <c r="C5165" t="s">
        <v>40</v>
      </c>
      <c r="D5165">
        <v>4.9159509999999997</v>
      </c>
      <c r="E5165">
        <v>0.50043590000000004</v>
      </c>
      <c r="F5165" t="s">
        <v>74</v>
      </c>
      <c r="G5165">
        <v>-107.39749999999999</v>
      </c>
      <c r="H5165">
        <v>0.18081120000000001</v>
      </c>
      <c r="I5165">
        <v>210.64580000000001</v>
      </c>
      <c r="J5165">
        <v>-416.7269</v>
      </c>
      <c r="K5165">
        <v>1.10944</v>
      </c>
      <c r="L5165">
        <v>213.53110000000001</v>
      </c>
      <c r="M5165">
        <v>0.99956730000000005</v>
      </c>
      <c r="N5165">
        <v>0</v>
      </c>
      <c r="O5165">
        <v>2.8784170000000001E-2</v>
      </c>
      <c r="P5165">
        <v>0.99978679999999998</v>
      </c>
      <c r="Q5165">
        <v>1.9284160000000002E-2</v>
      </c>
      <c r="R5165">
        <v>-7.4070689999999996E-3</v>
      </c>
      <c r="S5165">
        <v>3.0005799999999998</v>
      </c>
      <c r="T5165">
        <v>-8.9977979999999996E-3</v>
      </c>
      <c r="U5165">
        <v>-2.786255E-2</v>
      </c>
      <c r="V5165">
        <v>3.6176460000000001E-2</v>
      </c>
      <c r="W5165">
        <v>2.537056E-2</v>
      </c>
      <c r="X5165">
        <v>0.99902329999999995</v>
      </c>
      <c r="Y5165">
        <v>3.8064630000000002E-2</v>
      </c>
      <c r="Z5165">
        <v>-1.433788E-4</v>
      </c>
      <c r="AA5165">
        <v>0.99927529999999998</v>
      </c>
      <c r="AB5165">
        <v>32</v>
      </c>
      <c r="AC5165">
        <v>309.32940000000002</v>
      </c>
      <c r="AD5165">
        <v>-0.92862880000000003</v>
      </c>
      <c r="AE5165">
        <v>-2.8853</v>
      </c>
      <c r="AF5165">
        <v>11.787951557916401</v>
      </c>
      <c r="AG5165">
        <v>-0.92862880000000003</v>
      </c>
      <c r="AH5165">
        <v>309.115386512763</v>
      </c>
      <c r="AI5165">
        <v>90.1719995453671</v>
      </c>
      <c r="AJ5165">
        <v>87.816114011627207</v>
      </c>
      <c r="AK5165">
        <v>309.34146235562201</v>
      </c>
      <c r="AL5165">
        <v>88.546217969148003</v>
      </c>
      <c r="AM5165">
        <v>87.926121255059101</v>
      </c>
      <c r="AN5165">
        <v>0.99999997775786698</v>
      </c>
    </row>
    <row r="5166" spans="1:40" x14ac:dyDescent="0.25">
      <c r="A5166" t="str">
        <f>"20190312150755476"</f>
        <v>20190312150755476</v>
      </c>
      <c r="B5166" t="str">
        <f>"1552374475465358"</f>
        <v>1552374475465358</v>
      </c>
      <c r="C5166" t="s">
        <v>40</v>
      </c>
      <c r="D5166">
        <v>4.4868969999999999</v>
      </c>
      <c r="E5166">
        <v>0.50028660000000003</v>
      </c>
      <c r="F5166" t="s">
        <v>74</v>
      </c>
      <c r="G5166">
        <v>-107.39749999999999</v>
      </c>
      <c r="H5166">
        <v>0.18040639999999999</v>
      </c>
      <c r="I5166">
        <v>210.86320000000001</v>
      </c>
      <c r="J5166">
        <v>-416.4117</v>
      </c>
      <c r="K5166">
        <v>1.109423</v>
      </c>
      <c r="L5166">
        <v>213.5403</v>
      </c>
      <c r="M5166">
        <v>0.99956429999999996</v>
      </c>
      <c r="N5166">
        <v>0</v>
      </c>
      <c r="O5166">
        <v>2.8880079999999999E-2</v>
      </c>
      <c r="P5166">
        <v>0.9997994</v>
      </c>
      <c r="Q5166">
        <v>1.8865699999999999E-2</v>
      </c>
      <c r="R5166">
        <v>-6.7308680000000001E-3</v>
      </c>
      <c r="S5166">
        <v>3.0005799999999998</v>
      </c>
      <c r="T5166">
        <v>-9.0113880000000004E-3</v>
      </c>
      <c r="U5166">
        <v>-2.5878910000000001E-2</v>
      </c>
      <c r="V5166">
        <v>3.5598079999999997E-2</v>
      </c>
      <c r="W5166">
        <v>2.4964429999999999E-2</v>
      </c>
      <c r="X5166">
        <v>0.99905429999999995</v>
      </c>
      <c r="Y5166">
        <v>3.7499959999999999E-2</v>
      </c>
      <c r="Z5166">
        <v>-1.430356E-4</v>
      </c>
      <c r="AA5166">
        <v>0.99929659999999998</v>
      </c>
      <c r="AB5166">
        <v>32</v>
      </c>
      <c r="AC5166">
        <v>309.01420000000002</v>
      </c>
      <c r="AD5166">
        <v>-0.92901659999999997</v>
      </c>
      <c r="AE5166">
        <v>-2.67709999999999</v>
      </c>
      <c r="AF5166">
        <v>11.600399051846599</v>
      </c>
      <c r="AG5166">
        <v>-0.92901659999999997</v>
      </c>
      <c r="AH5166">
        <v>308.805193103357</v>
      </c>
      <c r="AI5166">
        <v>90.172247921218002</v>
      </c>
      <c r="AJ5166">
        <v>87.848671133150802</v>
      </c>
      <c r="AK5166">
        <v>309.02439971239602</v>
      </c>
      <c r="AL5166">
        <v>88.569494866952894</v>
      </c>
      <c r="AM5166">
        <v>87.959312905563493</v>
      </c>
      <c r="AN5166">
        <v>0.99999997020669995</v>
      </c>
    </row>
    <row r="5167" spans="1:40" x14ac:dyDescent="0.25">
      <c r="A5167" t="str">
        <f>"20190312150755498"</f>
        <v>20190312150755498</v>
      </c>
      <c r="B5167" t="str">
        <f>"1552374475484878"</f>
        <v>1552374475484878</v>
      </c>
      <c r="C5167" t="s">
        <v>40</v>
      </c>
      <c r="D5167">
        <v>4.7270479999999999</v>
      </c>
      <c r="E5167">
        <v>0.50012760000000001</v>
      </c>
      <c r="F5167" t="s">
        <v>43</v>
      </c>
      <c r="G5167">
        <v>-104.63979999999999</v>
      </c>
      <c r="H5167">
        <v>-0.05</v>
      </c>
      <c r="I5167">
        <v>211.2114</v>
      </c>
      <c r="J5167">
        <v>-416.0949</v>
      </c>
      <c r="K5167">
        <v>1.1093999999999999</v>
      </c>
      <c r="L5167">
        <v>213.54949999999999</v>
      </c>
      <c r="M5167">
        <v>0.99956230000000001</v>
      </c>
      <c r="N5167">
        <v>0</v>
      </c>
      <c r="O5167">
        <v>2.8948120000000001E-2</v>
      </c>
      <c r="P5167">
        <v>0.99980550000000001</v>
      </c>
      <c r="Q5167">
        <v>1.864853E-2</v>
      </c>
      <c r="R5167">
        <v>-6.4241430000000002E-3</v>
      </c>
      <c r="S5167">
        <v>3.000702</v>
      </c>
      <c r="T5167">
        <v>-1.115906E-2</v>
      </c>
      <c r="U5167">
        <v>-2.241516E-2</v>
      </c>
      <c r="V5167">
        <v>3.536123E-2</v>
      </c>
      <c r="W5167">
        <v>2.4763739999999999E-2</v>
      </c>
      <c r="X5167">
        <v>0.9990677</v>
      </c>
      <c r="Y5167">
        <v>3.6414040000000002E-2</v>
      </c>
      <c r="Z5167">
        <v>-1.75351899999999E-4</v>
      </c>
      <c r="AA5167">
        <v>0.99933680000000003</v>
      </c>
      <c r="AB5167">
        <v>32</v>
      </c>
      <c r="AC5167">
        <v>311.45510000000002</v>
      </c>
      <c r="AD5167">
        <v>-1.1594</v>
      </c>
      <c r="AE5167">
        <v>-2.3380999999999901</v>
      </c>
      <c r="AF5167">
        <v>11.3531701663654</v>
      </c>
      <c r="AG5167">
        <v>-1.1594</v>
      </c>
      <c r="AH5167">
        <v>311.25257138528201</v>
      </c>
      <c r="AI5167">
        <v>90.213281043253602</v>
      </c>
      <c r="AJ5167">
        <v>87.911019740781299</v>
      </c>
      <c r="AK5167">
        <v>311.46171815350999</v>
      </c>
      <c r="AL5167">
        <v>88.5809971049393</v>
      </c>
      <c r="AM5167">
        <v>87.972906313127098</v>
      </c>
      <c r="AN5167">
        <v>0.99999996429459403</v>
      </c>
    </row>
    <row r="5168" spans="1:40" x14ac:dyDescent="0.25">
      <c r="A5168" t="str">
        <f>"20190312150755520"</f>
        <v>20190312150755520</v>
      </c>
      <c r="B5168" t="str">
        <f>"1552374475515135"</f>
        <v>1552374475515135</v>
      </c>
      <c r="C5168" t="s">
        <v>40</v>
      </c>
      <c r="D5168">
        <v>4.6725760000000003</v>
      </c>
      <c r="E5168">
        <v>0.4999556</v>
      </c>
      <c r="F5168" t="s">
        <v>61</v>
      </c>
      <c r="G5168">
        <v>-179.94049999999999</v>
      </c>
      <c r="H5168">
        <v>6.7229330000000004E-2</v>
      </c>
      <c r="I5168">
        <v>211.94159999999999</v>
      </c>
      <c r="J5168">
        <v>-415.78410000000002</v>
      </c>
      <c r="K5168">
        <v>1.109381</v>
      </c>
      <c r="L5168">
        <v>213.55860000000001</v>
      </c>
      <c r="M5168">
        <v>0.99956089999999997</v>
      </c>
      <c r="N5168">
        <v>0</v>
      </c>
      <c r="O5168">
        <v>2.8992259999999999E-2</v>
      </c>
      <c r="P5168">
        <v>0.99980150000000001</v>
      </c>
      <c r="Q5168">
        <v>1.899692E-2</v>
      </c>
      <c r="R5168">
        <v>-6.0293409999999997E-3</v>
      </c>
      <c r="S5168">
        <v>3.000702</v>
      </c>
      <c r="T5168">
        <v>-1.324236E-2</v>
      </c>
      <c r="U5168">
        <v>-2.0431520000000002E-2</v>
      </c>
      <c r="V5168">
        <v>3.501133E-2</v>
      </c>
      <c r="W5168">
        <v>2.5131270000000001E-2</v>
      </c>
      <c r="X5168">
        <v>0.99907089999999998</v>
      </c>
      <c r="Y5168">
        <v>3.57974E-2</v>
      </c>
      <c r="Z5168">
        <v>-2.069227E-4</v>
      </c>
      <c r="AA5168">
        <v>0.99935909999999994</v>
      </c>
      <c r="AB5168">
        <v>32</v>
      </c>
      <c r="AC5168">
        <v>235.84360000000001</v>
      </c>
      <c r="AD5168">
        <v>-1.04215167</v>
      </c>
      <c r="AE5168">
        <v>-1.61700000000001</v>
      </c>
      <c r="AF5168">
        <v>8.4539222120110207</v>
      </c>
      <c r="AG5168">
        <v>-1.04215167</v>
      </c>
      <c r="AH5168">
        <v>235.69297285367301</v>
      </c>
      <c r="AI5168">
        <v>90.253177385827698</v>
      </c>
      <c r="AJ5168">
        <v>87.945774558968097</v>
      </c>
      <c r="AK5168">
        <v>235.84684083843999</v>
      </c>
      <c r="AL5168">
        <v>88.559932708381098</v>
      </c>
      <c r="AM5168">
        <v>87.992954378083098</v>
      </c>
      <c r="AN5168">
        <v>1.0000000185934901</v>
      </c>
    </row>
    <row r="5169" spans="1:40" x14ac:dyDescent="0.25">
      <c r="A5169" t="str">
        <f>"20190312150755541"</f>
        <v>20190312150755541</v>
      </c>
      <c r="B5169" t="str">
        <f>"1552374475534655"</f>
        <v>1552374475534655</v>
      </c>
      <c r="C5169" t="s">
        <v>40</v>
      </c>
      <c r="D5169">
        <v>4.4944660000000001</v>
      </c>
      <c r="E5169">
        <v>0.49989549999999999</v>
      </c>
      <c r="F5169" t="s">
        <v>61</v>
      </c>
      <c r="G5169">
        <v>-184.779</v>
      </c>
      <c r="H5169" s="1">
        <v>3.2657750000000001E-6</v>
      </c>
      <c r="I5169">
        <v>212.18780000000001</v>
      </c>
      <c r="J5169">
        <v>-415.46339999999998</v>
      </c>
      <c r="K5169">
        <v>1.109364</v>
      </c>
      <c r="L5169">
        <v>213.56790000000001</v>
      </c>
      <c r="M5169">
        <v>0.99956</v>
      </c>
      <c r="N5169">
        <v>0</v>
      </c>
      <c r="O5169">
        <v>2.902068E-2</v>
      </c>
      <c r="P5169">
        <v>0.99980309999999994</v>
      </c>
      <c r="Q5169">
        <v>1.9172040000000001E-2</v>
      </c>
      <c r="R5169">
        <v>-5.1700720000000004E-3</v>
      </c>
      <c r="S5169">
        <v>3.0007630000000001</v>
      </c>
      <c r="T5169">
        <v>-1.4410849999999999E-2</v>
      </c>
      <c r="U5169">
        <v>-1.7807010000000002E-2</v>
      </c>
      <c r="V5169">
        <v>3.4181860000000001E-2</v>
      </c>
      <c r="W5169">
        <v>2.5328610000000001E-2</v>
      </c>
      <c r="X5169">
        <v>0.99909460000000005</v>
      </c>
      <c r="Y5169">
        <v>3.4951530000000001E-2</v>
      </c>
      <c r="Z5169">
        <v>-2.232821E-4</v>
      </c>
      <c r="AA5169">
        <v>0.99938899999999997</v>
      </c>
      <c r="AB5169">
        <v>32</v>
      </c>
      <c r="AC5169">
        <v>230.68439999999899</v>
      </c>
      <c r="AD5169">
        <v>-1.109360734225</v>
      </c>
      <c r="AE5169">
        <v>-1.3800999999999899</v>
      </c>
      <c r="AF5169">
        <v>8.0740760152317197</v>
      </c>
      <c r="AG5169">
        <v>-1.109360734225</v>
      </c>
      <c r="AH5169">
        <v>230.54185107865101</v>
      </c>
      <c r="AI5169">
        <v>90.275534585147298</v>
      </c>
      <c r="AJ5169">
        <v>87.9941972471387</v>
      </c>
      <c r="AK5169">
        <v>230.68586103944301</v>
      </c>
      <c r="AL5169">
        <v>88.548622301438002</v>
      </c>
      <c r="AM5169">
        <v>88.040513174538304</v>
      </c>
      <c r="AN5169">
        <v>0.999999978893375</v>
      </c>
    </row>
    <row r="5170" spans="1:40" x14ac:dyDescent="0.25">
      <c r="A5170" t="str">
        <f>"20190312150755564"</f>
        <v>20190312150755564</v>
      </c>
      <c r="B5170" t="str">
        <f>"1552374475555153"</f>
        <v>1552374475555153</v>
      </c>
      <c r="C5170" t="s">
        <v>40</v>
      </c>
      <c r="D5170">
        <v>4.5015640000000001</v>
      </c>
      <c r="E5170">
        <v>0.49979639999999997</v>
      </c>
      <c r="F5170" t="s">
        <v>61</v>
      </c>
      <c r="G5170">
        <v>-182.38149999999999</v>
      </c>
      <c r="H5170" s="1">
        <v>2.8199380000000001E-6</v>
      </c>
      <c r="I5170">
        <v>212.423</v>
      </c>
      <c r="J5170">
        <v>-415.12529999999998</v>
      </c>
      <c r="K5170">
        <v>1.109367</v>
      </c>
      <c r="L5170">
        <v>213.57769999999999</v>
      </c>
      <c r="M5170">
        <v>0.99955899999999998</v>
      </c>
      <c r="N5170">
        <v>0</v>
      </c>
      <c r="O5170">
        <v>2.9031899999999999E-2</v>
      </c>
      <c r="P5170">
        <v>0.99981140000000002</v>
      </c>
      <c r="Q5170">
        <v>1.8881140000000001E-2</v>
      </c>
      <c r="R5170">
        <v>-4.5492639999999999E-3</v>
      </c>
      <c r="S5170">
        <v>3.0007630000000001</v>
      </c>
      <c r="T5170">
        <v>-1.428223E-2</v>
      </c>
      <c r="U5170">
        <v>-1.473999E-2</v>
      </c>
      <c r="V5170">
        <v>3.3573819999999997E-2</v>
      </c>
      <c r="W5170">
        <v>2.5130309999999999E-2</v>
      </c>
      <c r="X5170">
        <v>0.99912020000000001</v>
      </c>
      <c r="Y5170">
        <v>3.3941359999999997E-2</v>
      </c>
      <c r="Z5170">
        <v>-2.1893880000000001E-4</v>
      </c>
      <c r="AA5170">
        <v>0.99942379999999997</v>
      </c>
      <c r="AB5170">
        <v>32</v>
      </c>
      <c r="AC5170">
        <v>232.74379999999999</v>
      </c>
      <c r="AD5170">
        <v>-1.109364180062</v>
      </c>
      <c r="AE5170">
        <v>-1.1546999999999901</v>
      </c>
      <c r="AF5170">
        <v>7.9111598659879601</v>
      </c>
      <c r="AG5170">
        <v>-1.109364180062</v>
      </c>
      <c r="AH5170">
        <v>232.60688301555601</v>
      </c>
      <c r="AI5170">
        <v>90.273098857506994</v>
      </c>
      <c r="AJ5170">
        <v>88.052072179735603</v>
      </c>
      <c r="AK5170">
        <v>232.744020686938</v>
      </c>
      <c r="AL5170">
        <v>88.559987636611694</v>
      </c>
      <c r="AM5170">
        <v>88.075392101037593</v>
      </c>
      <c r="AN5170">
        <v>0.99999995395906305</v>
      </c>
    </row>
    <row r="5171" spans="1:40" x14ac:dyDescent="0.25">
      <c r="A5171" t="str">
        <f>"20190312150755586"</f>
        <v>20190312150755586</v>
      </c>
      <c r="B5171" t="str">
        <f>"1552374475575646"</f>
        <v>1552374475575646</v>
      </c>
      <c r="C5171" t="s">
        <v>40</v>
      </c>
      <c r="D5171">
        <v>4.7282409999999997</v>
      </c>
      <c r="E5171">
        <v>0.49966179999999899</v>
      </c>
      <c r="F5171" t="s">
        <v>61</v>
      </c>
      <c r="G5171">
        <v>-207.41470000000001</v>
      </c>
      <c r="H5171" s="1">
        <v>5.6691959999999998E-6</v>
      </c>
      <c r="I5171">
        <v>212.73910000000001</v>
      </c>
      <c r="J5171">
        <v>-414.81630000000001</v>
      </c>
      <c r="K5171">
        <v>1.1094109999999999</v>
      </c>
      <c r="L5171">
        <v>213.58670000000001</v>
      </c>
      <c r="M5171">
        <v>0.99955780000000005</v>
      </c>
      <c r="N5171">
        <v>0</v>
      </c>
      <c r="O5171">
        <v>2.9016480000000001E-2</v>
      </c>
      <c r="P5171">
        <v>0.99982260000000001</v>
      </c>
      <c r="Q5171">
        <v>1.8260330000000002E-2</v>
      </c>
      <c r="R5171">
        <v>-4.6046949999999998E-3</v>
      </c>
      <c r="S5171">
        <v>3.0008240000000002</v>
      </c>
      <c r="T5171">
        <v>-1.6027090000000001E-2</v>
      </c>
      <c r="U5171">
        <v>-1.211548E-2</v>
      </c>
      <c r="V5171">
        <v>3.3615159999999998E-2</v>
      </c>
      <c r="W5171">
        <v>2.4756589999999998E-2</v>
      </c>
      <c r="X5171">
        <v>0.99912820000000002</v>
      </c>
      <c r="Y5171">
        <v>3.3051629999999999E-2</v>
      </c>
      <c r="Z5171">
        <v>-2.432232E-4</v>
      </c>
      <c r="AA5171">
        <v>0.99945360000000005</v>
      </c>
      <c r="AB5171">
        <v>32</v>
      </c>
      <c r="AC5171">
        <v>207.4016</v>
      </c>
      <c r="AD5171">
        <v>-1.1094053308039999</v>
      </c>
      <c r="AE5171">
        <v>-0.84759999999999902</v>
      </c>
      <c r="AF5171">
        <v>6.8652381692470001</v>
      </c>
      <c r="AG5171">
        <v>-1.1094053308039999</v>
      </c>
      <c r="AH5171">
        <v>207.28374069970999</v>
      </c>
      <c r="AI5171">
        <v>90.306482326252606</v>
      </c>
      <c r="AJ5171">
        <v>88.103057000026197</v>
      </c>
      <c r="AK5171">
        <v>207.40036507627801</v>
      </c>
      <c r="AL5171">
        <v>88.581406965770697</v>
      </c>
      <c r="AM5171">
        <v>88.073039502630905</v>
      </c>
      <c r="AN5171">
        <v>1.0000000138827401</v>
      </c>
    </row>
    <row r="5172" spans="1:40" x14ac:dyDescent="0.25">
      <c r="A5172" t="str">
        <f>"20190312150755607"</f>
        <v>20190312150755607</v>
      </c>
      <c r="B5172" t="str">
        <f>"1552374475595166"</f>
        <v>1552374475595166</v>
      </c>
      <c r="C5172" t="s">
        <v>40</v>
      </c>
      <c r="D5172">
        <v>4.6638219999999997</v>
      </c>
      <c r="E5172">
        <v>0.49956489999999998</v>
      </c>
      <c r="F5172" t="s">
        <v>67</v>
      </c>
      <c r="G5172">
        <v>-237.02379999999999</v>
      </c>
      <c r="H5172" s="1">
        <v>2.2749220000000002E-6</v>
      </c>
      <c r="I5172">
        <v>212.92400000000001</v>
      </c>
      <c r="J5172">
        <v>-414.50029999999998</v>
      </c>
      <c r="K5172">
        <v>1.1094850000000001</v>
      </c>
      <c r="L5172">
        <v>213.5958</v>
      </c>
      <c r="M5172">
        <v>0.99955629999999995</v>
      </c>
      <c r="N5172">
        <v>0</v>
      </c>
      <c r="O5172">
        <v>2.8972990000000001E-2</v>
      </c>
      <c r="P5172">
        <v>0.99983250000000001</v>
      </c>
      <c r="Q5172">
        <v>1.7666589999999999E-2</v>
      </c>
      <c r="R5172">
        <v>-4.8051700000000001E-3</v>
      </c>
      <c r="S5172">
        <v>3.0007929999999998</v>
      </c>
      <c r="T5172">
        <v>-1.872468E-2</v>
      </c>
      <c r="U5172">
        <v>-1.1184690000000001E-2</v>
      </c>
      <c r="V5172">
        <v>3.3773610000000003E-2</v>
      </c>
      <c r="W5172">
        <v>2.458546E-2</v>
      </c>
      <c r="X5172">
        <v>0.99912710000000005</v>
      </c>
      <c r="Y5172">
        <v>3.2697940000000002E-2</v>
      </c>
      <c r="Z5172">
        <v>-2.8278899999999998E-4</v>
      </c>
      <c r="AA5172">
        <v>0.99946520000000005</v>
      </c>
      <c r="AB5172">
        <v>32</v>
      </c>
      <c r="AC5172">
        <v>177.47649999999999</v>
      </c>
      <c r="AD5172">
        <v>-1.1094827250779999</v>
      </c>
      <c r="AE5172">
        <v>-0.67179999999998996</v>
      </c>
      <c r="AF5172">
        <v>5.8134384517318001</v>
      </c>
      <c r="AG5172">
        <v>-1.1094827250779999</v>
      </c>
      <c r="AH5172">
        <v>177.375594548213</v>
      </c>
      <c r="AI5172">
        <v>90.358187581208</v>
      </c>
      <c r="AJ5172">
        <v>88.122817851944603</v>
      </c>
      <c r="AK5172">
        <v>177.47430394251799</v>
      </c>
      <c r="AL5172">
        <v>88.591215002916101</v>
      </c>
      <c r="AM5172">
        <v>88.063961257159804</v>
      </c>
      <c r="AN5172">
        <v>1.0000000317651201</v>
      </c>
    </row>
    <row r="5173" spans="1:40" x14ac:dyDescent="0.25">
      <c r="A5173" t="str">
        <f>"20190312150755632"</f>
        <v>20190312150755632</v>
      </c>
      <c r="B5173" t="str">
        <f>"1552374475625422"</f>
        <v>1552374475625422</v>
      </c>
      <c r="C5173" t="s">
        <v>40</v>
      </c>
      <c r="D5173">
        <v>4.6588890000000003</v>
      </c>
      <c r="E5173">
        <v>0.49943409999999999</v>
      </c>
      <c r="F5173" t="s">
        <v>67</v>
      </c>
      <c r="G5173">
        <v>-252.8595</v>
      </c>
      <c r="H5173" s="1">
        <v>5.5022629999999997E-8</v>
      </c>
      <c r="I5173">
        <v>213.01230000000001</v>
      </c>
      <c r="J5173">
        <v>-414.15199999999999</v>
      </c>
      <c r="K5173">
        <v>1.109542</v>
      </c>
      <c r="L5173">
        <v>213.60579999999999</v>
      </c>
      <c r="M5173">
        <v>0.99955530000000004</v>
      </c>
      <c r="N5173">
        <v>0</v>
      </c>
      <c r="O5173">
        <v>2.8879620000000002E-2</v>
      </c>
      <c r="P5173">
        <v>0.99985380000000001</v>
      </c>
      <c r="Q5173">
        <v>1.634244E-2</v>
      </c>
      <c r="R5173">
        <v>-5.0990430000000002E-3</v>
      </c>
      <c r="S5173">
        <v>3.0008240000000002</v>
      </c>
      <c r="T5173">
        <v>-2.0597339999999999E-2</v>
      </c>
      <c r="U5173">
        <v>-1.083374E-2</v>
      </c>
      <c r="V5173">
        <v>3.3976099999999898E-2</v>
      </c>
      <c r="W5173">
        <v>2.3769829999999999E-2</v>
      </c>
      <c r="X5173">
        <v>0.99914000000000003</v>
      </c>
      <c r="Y5173">
        <v>3.2487509999999997E-2</v>
      </c>
      <c r="Z5173">
        <v>-3.097048E-4</v>
      </c>
      <c r="AA5173">
        <v>0.99947209999999997</v>
      </c>
      <c r="AB5173">
        <v>32</v>
      </c>
      <c r="AC5173">
        <v>161.29249999999999</v>
      </c>
      <c r="AD5173">
        <v>-1.10954194497737</v>
      </c>
      <c r="AE5173">
        <v>-0.59349999999997705</v>
      </c>
      <c r="AF5173">
        <v>5.2511985504435197</v>
      </c>
      <c r="AG5173">
        <v>-1.10954194497737</v>
      </c>
      <c r="AH5173">
        <v>161.200451985673</v>
      </c>
      <c r="AI5173">
        <v>90.394151282084096</v>
      </c>
      <c r="AJ5173">
        <v>88.134216416881301</v>
      </c>
      <c r="AK5173">
        <v>161.289776148177</v>
      </c>
      <c r="AL5173">
        <v>88.637960862525503</v>
      </c>
      <c r="AM5173">
        <v>88.052387758265198</v>
      </c>
      <c r="AN5173">
        <v>1.0000000598947101</v>
      </c>
    </row>
    <row r="5174" spans="1:40" x14ac:dyDescent="0.25">
      <c r="A5174" t="str">
        <f>"20190312150755654"</f>
        <v>20190312150755654</v>
      </c>
      <c r="B5174" t="str">
        <f>"1552374475644942"</f>
        <v>1552374475644942</v>
      </c>
      <c r="C5174" t="s">
        <v>40</v>
      </c>
      <c r="D5174">
        <v>4.49024</v>
      </c>
      <c r="E5174">
        <v>0.49928899999999998</v>
      </c>
      <c r="F5174" t="s">
        <v>68</v>
      </c>
      <c r="G5174">
        <v>-281.01870000000002</v>
      </c>
      <c r="H5174" s="1">
        <v>6.8167409999999898E-6</v>
      </c>
      <c r="I5174">
        <v>213.12649999999999</v>
      </c>
      <c r="J5174">
        <v>-413.82240000000002</v>
      </c>
      <c r="K5174">
        <v>1.1095809999999999</v>
      </c>
      <c r="L5174">
        <v>213.61519999999999</v>
      </c>
      <c r="M5174">
        <v>0.99955559999999999</v>
      </c>
      <c r="N5174">
        <v>0</v>
      </c>
      <c r="O5174">
        <v>2.874291E-2</v>
      </c>
      <c r="P5174">
        <v>0.99986929999999996</v>
      </c>
      <c r="Q5174">
        <v>1.524443E-2</v>
      </c>
      <c r="R5174">
        <v>-5.4134200000000004E-3</v>
      </c>
      <c r="S5174">
        <v>3.0007929999999998</v>
      </c>
      <c r="T5174">
        <v>-2.5008679999999998E-2</v>
      </c>
      <c r="U5174">
        <v>-1.0803220000000001E-2</v>
      </c>
      <c r="V5174">
        <v>3.4156480000000003E-2</v>
      </c>
      <c r="W5174">
        <v>2.3147250000000001E-2</v>
      </c>
      <c r="X5174">
        <v>0.99914840000000005</v>
      </c>
      <c r="Y5174">
        <v>3.2340109999999998E-2</v>
      </c>
      <c r="Z5174">
        <v>-3.742838E-4</v>
      </c>
      <c r="AA5174">
        <v>0.9994769</v>
      </c>
      <c r="AB5174">
        <v>32</v>
      </c>
      <c r="AC5174">
        <v>132.80369999999999</v>
      </c>
      <c r="AD5174">
        <v>-1.109574183259</v>
      </c>
      <c r="AE5174">
        <v>-0.48869999999999397</v>
      </c>
      <c r="AF5174">
        <v>4.3054815194506197</v>
      </c>
      <c r="AG5174">
        <v>-1.109574183259</v>
      </c>
      <c r="AH5174">
        <v>132.725515023779</v>
      </c>
      <c r="AI5174">
        <v>90.478724956992593</v>
      </c>
      <c r="AJ5174">
        <v>88.1420343618869</v>
      </c>
      <c r="AK5174">
        <v>132.79996485056</v>
      </c>
      <c r="AL5174">
        <v>88.673641797361299</v>
      </c>
      <c r="AM5174">
        <v>88.042072308702501</v>
      </c>
      <c r="AN5174">
        <v>0.99999999276555596</v>
      </c>
    </row>
    <row r="5175" spans="1:40" x14ac:dyDescent="0.25">
      <c r="A5175" t="str">
        <f>"20190312150755676"</f>
        <v>20190312150755676</v>
      </c>
      <c r="B5175" t="str">
        <f>"1552374475665441"</f>
        <v>1552374475665441</v>
      </c>
      <c r="C5175" t="s">
        <v>40</v>
      </c>
      <c r="D5175">
        <v>4.6358519999999999</v>
      </c>
      <c r="E5175">
        <v>0.49921290000000001</v>
      </c>
      <c r="F5175" t="s">
        <v>68</v>
      </c>
      <c r="G5175">
        <v>-299.59699999999998</v>
      </c>
      <c r="H5175" s="1">
        <v>2.596767E-6</v>
      </c>
      <c r="I5175">
        <v>213.2116</v>
      </c>
      <c r="J5175">
        <v>-413.51029999999997</v>
      </c>
      <c r="K5175">
        <v>1.109599</v>
      </c>
      <c r="L5175">
        <v>213.6241</v>
      </c>
      <c r="M5175">
        <v>0.99955709999999998</v>
      </c>
      <c r="N5175">
        <v>0</v>
      </c>
      <c r="O5175">
        <v>2.8563229999999998E-2</v>
      </c>
      <c r="P5175">
        <v>0.9998766</v>
      </c>
      <c r="Q5175">
        <v>1.4634650000000001E-2</v>
      </c>
      <c r="R5175">
        <v>-5.7252179999999998E-3</v>
      </c>
      <c r="S5175">
        <v>3.0007929999999998</v>
      </c>
      <c r="T5175">
        <v>-2.914953E-2</v>
      </c>
      <c r="U5175">
        <v>-1.0604860000000001E-2</v>
      </c>
      <c r="V5175">
        <v>3.4291269999999999E-2</v>
      </c>
      <c r="W5175">
        <v>2.2970870000000001E-2</v>
      </c>
      <c r="X5175">
        <v>0.99914780000000003</v>
      </c>
      <c r="Y5175">
        <v>3.2093749999999997E-2</v>
      </c>
      <c r="Z5175">
        <v>-4.333133E-4</v>
      </c>
      <c r="AA5175">
        <v>0.99948479999999995</v>
      </c>
      <c r="AB5175">
        <v>32</v>
      </c>
      <c r="AC5175">
        <v>113.91330000000001</v>
      </c>
      <c r="AD5175">
        <v>-1.1095964032329999</v>
      </c>
      <c r="AE5175">
        <v>-0.41249999999999398</v>
      </c>
      <c r="AF5175">
        <v>3.6658291294917298</v>
      </c>
      <c r="AG5175">
        <v>-1.1095964032329999</v>
      </c>
      <c r="AH5175">
        <v>113.844234425743</v>
      </c>
      <c r="AI5175">
        <v>90.558133202275101</v>
      </c>
      <c r="AJ5175">
        <v>88.155690619539101</v>
      </c>
      <c r="AK5175">
        <v>113.908644181941</v>
      </c>
      <c r="AL5175">
        <v>88.683750244270897</v>
      </c>
      <c r="AM5175">
        <v>88.034350706847405</v>
      </c>
      <c r="AN5175">
        <v>0.99999993915580299</v>
      </c>
    </row>
    <row r="5176" spans="1:40" x14ac:dyDescent="0.25">
      <c r="A5176" t="str">
        <f>"20190312150755697"</f>
        <v>20190312150755697</v>
      </c>
      <c r="B5176" t="str">
        <f>"1552374475694718"</f>
        <v>1552374475694718</v>
      </c>
      <c r="C5176" t="s">
        <v>40</v>
      </c>
      <c r="D5176">
        <v>4.7226220000000003</v>
      </c>
      <c r="E5176">
        <v>0.49919920000000001</v>
      </c>
      <c r="F5176" t="s">
        <v>68</v>
      </c>
      <c r="G5176">
        <v>-305.35860000000002</v>
      </c>
      <c r="H5176" s="1">
        <v>1.702737E-6</v>
      </c>
      <c r="I5176">
        <v>213.22980000000001</v>
      </c>
      <c r="J5176">
        <v>-413.20280000000002</v>
      </c>
      <c r="K5176">
        <v>1.10959599999999</v>
      </c>
      <c r="L5176">
        <v>213.6327</v>
      </c>
      <c r="M5176">
        <v>0.99956040000000002</v>
      </c>
      <c r="N5176">
        <v>0</v>
      </c>
      <c r="O5176">
        <v>2.8330379999999999E-2</v>
      </c>
      <c r="P5176">
        <v>0.99988390000000005</v>
      </c>
      <c r="Q5176">
        <v>1.4145090000000001E-2</v>
      </c>
      <c r="R5176">
        <v>-5.6901199999999999E-3</v>
      </c>
      <c r="S5176">
        <v>3.0007630000000001</v>
      </c>
      <c r="T5176">
        <v>-3.0786750000000002E-2</v>
      </c>
      <c r="U5176">
        <v>-1.094055E-2</v>
      </c>
      <c r="V5176">
        <v>3.4026550000000003E-2</v>
      </c>
      <c r="W5176">
        <v>2.2884100000000001E-2</v>
      </c>
      <c r="X5176">
        <v>0.99915889999999996</v>
      </c>
      <c r="Y5176">
        <v>3.1972540000000001E-2</v>
      </c>
      <c r="Z5176">
        <v>-4.5464520000000001E-4</v>
      </c>
      <c r="AA5176">
        <v>0.99948870000000001</v>
      </c>
      <c r="AB5176">
        <v>32</v>
      </c>
      <c r="AC5176">
        <v>107.8442</v>
      </c>
      <c r="AD5176">
        <v>-1.10959429726299</v>
      </c>
      <c r="AE5176">
        <v>-0.40289999999998799</v>
      </c>
      <c r="AF5176">
        <v>3.4577561129388701</v>
      </c>
      <c r="AG5176">
        <v>-1.10959429726299</v>
      </c>
      <c r="AH5176">
        <v>107.778085512087</v>
      </c>
      <c r="AI5176">
        <v>90.589545961796503</v>
      </c>
      <c r="AJ5176">
        <v>88.162456663774506</v>
      </c>
      <c r="AK5176">
        <v>107.83924607253</v>
      </c>
      <c r="AL5176">
        <v>88.688723183480107</v>
      </c>
      <c r="AM5176">
        <v>88.049534911702096</v>
      </c>
      <c r="AN5176">
        <v>0.99999999779346105</v>
      </c>
    </row>
    <row r="5177" spans="1:40" x14ac:dyDescent="0.25">
      <c r="A5177" t="str">
        <f>"20190312150755720"</f>
        <v>20190312150755720</v>
      </c>
      <c r="B5177" t="str">
        <f>"1552374475715215"</f>
        <v>1552374475715215</v>
      </c>
      <c r="C5177" t="s">
        <v>40</v>
      </c>
      <c r="D5177">
        <v>4.4587149999999998</v>
      </c>
      <c r="E5177">
        <v>0.51321340000000004</v>
      </c>
      <c r="F5177" t="s">
        <v>68</v>
      </c>
      <c r="G5177">
        <v>-308.48250000000002</v>
      </c>
      <c r="H5177" s="1">
        <v>1.1486140000000001E-6</v>
      </c>
      <c r="I5177">
        <v>213.2621</v>
      </c>
      <c r="J5177">
        <v>-412.88029999999998</v>
      </c>
      <c r="K5177">
        <v>1.1095790000000001</v>
      </c>
      <c r="L5177">
        <v>213.64150000000001</v>
      </c>
      <c r="M5177">
        <v>0.9995655</v>
      </c>
      <c r="N5177">
        <v>0</v>
      </c>
      <c r="O5177">
        <v>2.8020840000000002E-2</v>
      </c>
      <c r="P5177">
        <v>0.99989490000000003</v>
      </c>
      <c r="Q5177">
        <v>1.347608E-2</v>
      </c>
      <c r="R5177">
        <v>-5.3692810000000001E-3</v>
      </c>
      <c r="S5177">
        <v>3.0007320000000002</v>
      </c>
      <c r="T5177">
        <v>-3.179514E-2</v>
      </c>
      <c r="U5177">
        <v>-1.062012E-2</v>
      </c>
      <c r="V5177">
        <v>3.33998E-2</v>
      </c>
      <c r="W5177">
        <v>2.260523E-2</v>
      </c>
      <c r="X5177">
        <v>0.99918640000000003</v>
      </c>
      <c r="Y5177">
        <v>3.1556260000000003E-2</v>
      </c>
      <c r="Z5177">
        <v>-4.6405749999999999E-4</v>
      </c>
      <c r="AA5177">
        <v>0.99950190000000005</v>
      </c>
      <c r="AB5177">
        <v>32</v>
      </c>
      <c r="AC5177">
        <v>104.39779999999899</v>
      </c>
      <c r="AD5177">
        <v>-1.109577851386</v>
      </c>
      <c r="AE5177">
        <v>-0.37940000000000401</v>
      </c>
      <c r="AF5177">
        <v>3.3043141545136399</v>
      </c>
      <c r="AG5177">
        <v>-1.109577851386</v>
      </c>
      <c r="AH5177">
        <v>104.334386413625</v>
      </c>
      <c r="AI5177">
        <v>90.609002249209396</v>
      </c>
      <c r="AJ5177">
        <v>88.1860247446198</v>
      </c>
      <c r="AK5177">
        <v>104.39259477255899</v>
      </c>
      <c r="AL5177">
        <v>88.704705398193994</v>
      </c>
      <c r="AM5177">
        <v>88.085487052689601</v>
      </c>
      <c r="AN5177">
        <v>1.00000000250417</v>
      </c>
    </row>
    <row r="5178" spans="1:40" x14ac:dyDescent="0.25">
      <c r="A5178" t="str">
        <f>"20190312150755742"</f>
        <v>20190312150755742</v>
      </c>
      <c r="B5178" t="str">
        <f>"1552374475734734"</f>
        <v>1552374475734734</v>
      </c>
      <c r="C5178" t="s">
        <v>40</v>
      </c>
      <c r="D5178">
        <v>4.5141920000000004</v>
      </c>
      <c r="E5178">
        <v>0.51370340000000003</v>
      </c>
      <c r="F5178" t="s">
        <v>67</v>
      </c>
      <c r="G5178">
        <v>-358.12619999999998</v>
      </c>
      <c r="H5178" s="1">
        <v>2.9272090000000001E-6</v>
      </c>
      <c r="I5178">
        <v>211.422</v>
      </c>
      <c r="J5178">
        <v>-412.5532</v>
      </c>
      <c r="K5178">
        <v>1.109545</v>
      </c>
      <c r="L5178">
        <v>213.65029999999999</v>
      </c>
      <c r="M5178">
        <v>0.99957289999999999</v>
      </c>
      <c r="N5178">
        <v>0</v>
      </c>
      <c r="O5178">
        <v>2.7635799999999999E-2</v>
      </c>
      <c r="P5178">
        <v>0.99990239999999997</v>
      </c>
      <c r="Q5178">
        <v>1.2921520000000001E-2</v>
      </c>
      <c r="R5178">
        <v>-5.3522910000000003E-3</v>
      </c>
      <c r="S5178">
        <v>3.0005190000000002</v>
      </c>
      <c r="T5178">
        <v>-6.0804610000000002E-2</v>
      </c>
      <c r="U5178">
        <v>-0.12162779999999999</v>
      </c>
      <c r="V5178">
        <v>3.3001250000000003E-2</v>
      </c>
      <c r="W5178">
        <v>2.2408819999999999E-2</v>
      </c>
      <c r="X5178">
        <v>0.99920399999999998</v>
      </c>
      <c r="Y5178">
        <v>6.8081600000000006E-2</v>
      </c>
      <c r="Z5178">
        <v>-1.2492670000000001E-3</v>
      </c>
      <c r="AA5178">
        <v>0.99767899999999998</v>
      </c>
      <c r="AB5178">
        <v>32</v>
      </c>
      <c r="AC5178">
        <v>54.427</v>
      </c>
      <c r="AD5178">
        <v>-1.1095420727909999</v>
      </c>
      <c r="AE5178">
        <v>-2.2282999999999902</v>
      </c>
      <c r="AF5178">
        <v>3.73010285360481</v>
      </c>
      <c r="AG5178">
        <v>-1.1095420727909999</v>
      </c>
      <c r="AH5178">
        <v>54.322088940035201</v>
      </c>
      <c r="AI5178">
        <v>91.167369615645001</v>
      </c>
      <c r="AJ5178">
        <v>86.071870555037194</v>
      </c>
      <c r="AK5178">
        <v>54.461308263012398</v>
      </c>
      <c r="AL5178">
        <v>88.715961627796005</v>
      </c>
      <c r="AM5178">
        <v>88.108348970733402</v>
      </c>
      <c r="AN5178">
        <v>0.99999993566567502</v>
      </c>
    </row>
    <row r="5179" spans="1:40" x14ac:dyDescent="0.25">
      <c r="A5179" t="str">
        <f>"20190312150755765"</f>
        <v>20190312150755765</v>
      </c>
      <c r="B5179" t="str">
        <f>"1552374475755231"</f>
        <v>1552374475755231</v>
      </c>
      <c r="C5179" t="s">
        <v>40</v>
      </c>
      <c r="D5179">
        <v>4.5699209999999999</v>
      </c>
      <c r="E5179">
        <v>0.51281359999999998</v>
      </c>
      <c r="F5179" t="s">
        <v>67</v>
      </c>
      <c r="G5179">
        <v>-373.25349999999997</v>
      </c>
      <c r="H5179" s="1">
        <v>1.9455200000000001E-7</v>
      </c>
      <c r="I5179">
        <v>212.0076</v>
      </c>
      <c r="J5179">
        <v>-412.21800000000002</v>
      </c>
      <c r="K5179">
        <v>1.109513</v>
      </c>
      <c r="L5179">
        <v>213.6591</v>
      </c>
      <c r="M5179">
        <v>0.99958250000000004</v>
      </c>
      <c r="N5179">
        <v>0</v>
      </c>
      <c r="O5179">
        <v>2.716841E-2</v>
      </c>
      <c r="P5179">
        <v>0.99990500000000004</v>
      </c>
      <c r="Q5179">
        <v>1.2545300000000001E-2</v>
      </c>
      <c r="R5179">
        <v>-5.7595550000000004E-3</v>
      </c>
      <c r="S5179">
        <v>3.0007320000000002</v>
      </c>
      <c r="T5179">
        <v>-8.4719299999999997E-2</v>
      </c>
      <c r="U5179">
        <v>-0.12542719999999999</v>
      </c>
      <c r="V5179">
        <v>3.2944399999999999E-2</v>
      </c>
      <c r="W5179">
        <v>2.235877E-2</v>
      </c>
      <c r="X5179">
        <v>0.99920710000000001</v>
      </c>
      <c r="Y5179">
        <v>6.8854819999999997E-2</v>
      </c>
      <c r="Z5179">
        <v>-1.737997E-3</v>
      </c>
      <c r="AA5179">
        <v>0.99762519999999999</v>
      </c>
      <c r="AB5179">
        <v>32</v>
      </c>
      <c r="AC5179">
        <v>38.964500000000001</v>
      </c>
      <c r="AD5179">
        <v>-1.1095128054479999</v>
      </c>
      <c r="AE5179">
        <v>-1.65149999999999</v>
      </c>
      <c r="AF5179">
        <v>2.7073537741491398</v>
      </c>
      <c r="AG5179">
        <v>-1.1095128054479999</v>
      </c>
      <c r="AH5179">
        <v>38.873781608377399</v>
      </c>
      <c r="AI5179">
        <v>91.630910549555495</v>
      </c>
      <c r="AJ5179">
        <v>86.016084142642001</v>
      </c>
      <c r="AK5179">
        <v>38.983736091601997</v>
      </c>
      <c r="AL5179">
        <v>88.718830132039898</v>
      </c>
      <c r="AM5179">
        <v>88.111611139142596</v>
      </c>
      <c r="AN5179">
        <v>1.0000000383888401</v>
      </c>
    </row>
    <row r="5180" spans="1:40" x14ac:dyDescent="0.25">
      <c r="A5180" t="str">
        <f>"20190312150755779"</f>
        <v>20190312150755779</v>
      </c>
      <c r="B5180" t="str">
        <f>"1552374475774750"</f>
        <v>1552374475774750</v>
      </c>
      <c r="C5180" t="s">
        <v>40</v>
      </c>
      <c r="D5180">
        <v>4.490049</v>
      </c>
      <c r="E5180">
        <v>0.51271929999999999</v>
      </c>
      <c r="F5180" t="s">
        <v>67</v>
      </c>
      <c r="G5180">
        <v>-371.68709999999999</v>
      </c>
      <c r="H5180" s="1">
        <v>-6.389945E-7</v>
      </c>
      <c r="I5180">
        <v>212.04509999999999</v>
      </c>
      <c r="J5180">
        <v>-412.01960000000003</v>
      </c>
      <c r="K5180">
        <v>1.1094900000000001</v>
      </c>
      <c r="L5180">
        <v>213.66419999999999</v>
      </c>
      <c r="M5180">
        <v>0.99958919999999996</v>
      </c>
      <c r="N5180">
        <v>0</v>
      </c>
      <c r="O5180">
        <v>2.6855319999999998E-2</v>
      </c>
      <c r="P5180">
        <v>0.99990489999999999</v>
      </c>
      <c r="Q5180">
        <v>1.2370290000000001E-2</v>
      </c>
      <c r="R5180">
        <v>-6.1287759999999998E-3</v>
      </c>
      <c r="S5180">
        <v>3.0006409999999999</v>
      </c>
      <c r="T5180">
        <v>-8.2141160000000005E-2</v>
      </c>
      <c r="U5180">
        <v>-0.1194916</v>
      </c>
      <c r="V5180">
        <v>3.3002459999999997E-2</v>
      </c>
      <c r="W5180">
        <v>2.2356379999999999E-2</v>
      </c>
      <c r="X5180">
        <v>0.99920520000000002</v>
      </c>
      <c r="Y5180">
        <v>6.6576590000000005E-2</v>
      </c>
      <c r="Z5180">
        <v>-1.645512E-3</v>
      </c>
      <c r="AA5180">
        <v>0.99778</v>
      </c>
      <c r="AB5180">
        <v>32</v>
      </c>
      <c r="AC5180">
        <v>40.332500000000003</v>
      </c>
      <c r="AD5180">
        <v>-1.1094906389944901</v>
      </c>
      <c r="AE5180">
        <v>-1.6191</v>
      </c>
      <c r="AF5180">
        <v>2.69967283997482</v>
      </c>
      <c r="AG5180">
        <v>-1.1094906389944901</v>
      </c>
      <c r="AH5180">
        <v>40.244063610254599</v>
      </c>
      <c r="AI5180">
        <v>91.575650761533097</v>
      </c>
      <c r="AJ5180">
        <v>86.162205121623302</v>
      </c>
      <c r="AK5180">
        <v>40.349769005375201</v>
      </c>
      <c r="AL5180">
        <v>88.718967055152604</v>
      </c>
      <c r="AM5180">
        <v>88.108281933435293</v>
      </c>
      <c r="AN5180">
        <v>1.0000000008998899</v>
      </c>
    </row>
    <row r="5181" spans="1:40" x14ac:dyDescent="0.25">
      <c r="A5181" t="str">
        <f>"20190312150755798"</f>
        <v>20190312150755798</v>
      </c>
      <c r="B5181" t="str">
        <f>"1552374475795246"</f>
        <v>1552374475795246</v>
      </c>
      <c r="C5181" t="s">
        <v>40</v>
      </c>
      <c r="D5181">
        <v>4.5429550000000001</v>
      </c>
      <c r="E5181">
        <v>0.51262929999999995</v>
      </c>
      <c r="F5181" t="s">
        <v>67</v>
      </c>
      <c r="G5181">
        <v>-376.45839999999998</v>
      </c>
      <c r="H5181" s="1">
        <v>1.9000640000000001E-6</v>
      </c>
      <c r="I5181">
        <v>212.244</v>
      </c>
      <c r="J5181">
        <v>-411.7534</v>
      </c>
      <c r="K5181">
        <v>1.109459</v>
      </c>
      <c r="L5181">
        <v>213.67089999999999</v>
      </c>
      <c r="M5181">
        <v>0.99959869999999995</v>
      </c>
      <c r="N5181">
        <v>0</v>
      </c>
      <c r="O5181">
        <v>2.640994E-2</v>
      </c>
      <c r="P5181">
        <v>0.99990049999999997</v>
      </c>
      <c r="Q5181">
        <v>1.2329929999999999E-2</v>
      </c>
      <c r="R5181">
        <v>-6.8784900000000001E-3</v>
      </c>
      <c r="S5181">
        <v>3.000702</v>
      </c>
      <c r="T5181">
        <v>-9.3620060000000005E-2</v>
      </c>
      <c r="U5181">
        <v>-0.1198425</v>
      </c>
      <c r="V5181">
        <v>3.3308869999999997E-2</v>
      </c>
      <c r="W5181">
        <v>2.2530379999999999E-2</v>
      </c>
      <c r="X5181">
        <v>0.9991911</v>
      </c>
      <c r="Y5181">
        <v>6.6237699999999997E-2</v>
      </c>
      <c r="Z5181">
        <v>-1.8561509999999999E-3</v>
      </c>
      <c r="AA5181">
        <v>0.99780210000000003</v>
      </c>
      <c r="AB5181">
        <v>32</v>
      </c>
      <c r="AC5181">
        <v>35.295000000000002</v>
      </c>
      <c r="AD5181">
        <v>-1.1094570999360001</v>
      </c>
      <c r="AE5181">
        <v>-1.4268999999999601</v>
      </c>
      <c r="AF5181">
        <v>2.35626559878314</v>
      </c>
      <c r="AG5181">
        <v>-1.1094570999360001</v>
      </c>
      <c r="AH5181">
        <v>35.210267378641802</v>
      </c>
      <c r="AI5181">
        <v>91.800737976990206</v>
      </c>
      <c r="AJ5181">
        <v>86.171483604086603</v>
      </c>
      <c r="AK5181">
        <v>35.306455663292702</v>
      </c>
      <c r="AL5181">
        <v>88.7089950463278</v>
      </c>
      <c r="AM5181">
        <v>88.090704370713496</v>
      </c>
      <c r="AN5181">
        <v>0.99999997658141504</v>
      </c>
    </row>
    <row r="5182" spans="1:40" x14ac:dyDescent="0.25">
      <c r="A5182" t="str">
        <f>"20190312150755821"</f>
        <v>20190312150755821</v>
      </c>
      <c r="B5182" t="str">
        <f>"1552374475815742"</f>
        <v>1552374475815742</v>
      </c>
      <c r="C5182" t="s">
        <v>40</v>
      </c>
      <c r="D5182">
        <v>4.5031840000000001</v>
      </c>
      <c r="E5182">
        <v>0.51276279999999996</v>
      </c>
      <c r="F5182" t="s">
        <v>67</v>
      </c>
      <c r="G5182">
        <v>-377.15620000000001</v>
      </c>
      <c r="H5182" s="1">
        <v>2.2713799999999998E-6</v>
      </c>
      <c r="I5182">
        <v>212.27350000000001</v>
      </c>
      <c r="J5182">
        <v>-411.41699999999997</v>
      </c>
      <c r="K5182">
        <v>1.1094200000000001</v>
      </c>
      <c r="L5182">
        <v>213.67920000000001</v>
      </c>
      <c r="M5182">
        <v>0.99961199999999995</v>
      </c>
      <c r="N5182">
        <v>0</v>
      </c>
      <c r="O5182">
        <v>2.580197E-2</v>
      </c>
      <c r="P5182">
        <v>0.99989349999999999</v>
      </c>
      <c r="Q5182">
        <v>1.2381329999999999E-2</v>
      </c>
      <c r="R5182">
        <v>-7.7280259999999998E-3</v>
      </c>
      <c r="S5182">
        <v>3.0006409999999999</v>
      </c>
      <c r="T5182">
        <v>-9.6224069999999995E-2</v>
      </c>
      <c r="U5182">
        <v>-0.12120060000000001</v>
      </c>
      <c r="V5182">
        <v>3.3553189999999997E-2</v>
      </c>
      <c r="W5182">
        <v>2.282356E-2</v>
      </c>
      <c r="X5182">
        <v>0.99917630000000002</v>
      </c>
      <c r="Y5182">
        <v>6.6080420000000001E-2</v>
      </c>
      <c r="Z5182">
        <v>-1.8857730000000001E-3</v>
      </c>
      <c r="AA5182">
        <v>0.99781249999999999</v>
      </c>
      <c r="AB5182">
        <v>32</v>
      </c>
      <c r="AC5182">
        <v>34.260799999999897</v>
      </c>
      <c r="AD5182">
        <v>-1.10941772862</v>
      </c>
      <c r="AE5182">
        <v>-1.40569999999999</v>
      </c>
      <c r="AF5182">
        <v>2.28688284473894</v>
      </c>
      <c r="AG5182">
        <v>-1.10941772862</v>
      </c>
      <c r="AH5182">
        <v>34.177343671516397</v>
      </c>
      <c r="AI5182">
        <v>91.855058405624007</v>
      </c>
      <c r="AJ5182">
        <v>86.171916965554502</v>
      </c>
      <c r="AK5182">
        <v>34.271729767887102</v>
      </c>
      <c r="AL5182">
        <v>88.692192785560096</v>
      </c>
      <c r="AM5182">
        <v>88.076681732308401</v>
      </c>
      <c r="AN5182">
        <v>1.0000000049659601</v>
      </c>
    </row>
    <row r="5183" spans="1:40" x14ac:dyDescent="0.25">
      <c r="A5183" t="str">
        <f>"20190312150755845"</f>
        <v>20190312150755845</v>
      </c>
      <c r="B5183" t="str">
        <f>"1552374475835262"</f>
        <v>1552374475835262</v>
      </c>
      <c r="C5183" t="s">
        <v>40</v>
      </c>
      <c r="D5183">
        <v>4.5498909999999997</v>
      </c>
      <c r="E5183">
        <v>0.51272169999999995</v>
      </c>
      <c r="F5183" t="s">
        <v>67</v>
      </c>
      <c r="G5183">
        <v>-378.00869999999998</v>
      </c>
      <c r="H5183" s="1">
        <v>2.725033E-6</v>
      </c>
      <c r="I5183">
        <v>212.2869</v>
      </c>
      <c r="J5183">
        <v>-411.06939999999997</v>
      </c>
      <c r="K5183">
        <v>1.109386</v>
      </c>
      <c r="L5183">
        <v>213.6875</v>
      </c>
      <c r="M5183">
        <v>0.99962720000000005</v>
      </c>
      <c r="N5183">
        <v>0</v>
      </c>
      <c r="O5183">
        <v>2.5119490000000001E-2</v>
      </c>
      <c r="P5183">
        <v>0.99988849999999996</v>
      </c>
      <c r="Q5183">
        <v>1.249482E-2</v>
      </c>
      <c r="R5183">
        <v>-8.1771489999999999E-3</v>
      </c>
      <c r="S5183">
        <v>3.0005489999999999</v>
      </c>
      <c r="T5183">
        <v>-9.9641679999999996E-2</v>
      </c>
      <c r="U5183">
        <v>-0.12504580000000001</v>
      </c>
      <c r="V5183">
        <v>3.3322869999999997E-2</v>
      </c>
      <c r="W5183">
        <v>2.3155829999999999E-2</v>
      </c>
      <c r="X5183">
        <v>0.99917639999999996</v>
      </c>
      <c r="Y5183">
        <v>6.6673640000000006E-2</v>
      </c>
      <c r="Z5183">
        <v>-1.939922E-3</v>
      </c>
      <c r="AA5183">
        <v>0.99777289999999996</v>
      </c>
      <c r="AB5183">
        <v>32</v>
      </c>
      <c r="AC5183">
        <v>33.060699999999997</v>
      </c>
      <c r="AD5183">
        <v>-1.1093832749670001</v>
      </c>
      <c r="AE5183">
        <v>-1.4005999999999901</v>
      </c>
      <c r="AF5183">
        <v>2.2281690302855801</v>
      </c>
      <c r="AG5183">
        <v>-1.1093832749670001</v>
      </c>
      <c r="AH5183">
        <v>32.978015538832501</v>
      </c>
      <c r="AI5183">
        <v>91.922328887703998</v>
      </c>
      <c r="AJ5183">
        <v>86.134668997119903</v>
      </c>
      <c r="AK5183">
        <v>33.071815453007403</v>
      </c>
      <c r="AL5183">
        <v>88.673150133403496</v>
      </c>
      <c r="AM5183">
        <v>88.089874391169204</v>
      </c>
      <c r="AN5183">
        <v>1.0000000422224899</v>
      </c>
    </row>
    <row r="5184" spans="1:40" x14ac:dyDescent="0.25">
      <c r="A5184" t="str">
        <f>"20190312150755867"</f>
        <v>20190312150755867</v>
      </c>
      <c r="B5184" t="str">
        <f>"1552374475854782"</f>
        <v>1552374475854782</v>
      </c>
      <c r="C5184" t="s">
        <v>40</v>
      </c>
      <c r="D5184">
        <v>4.5420590000000001</v>
      </c>
      <c r="E5184">
        <v>0.51254549999999999</v>
      </c>
      <c r="F5184" t="s">
        <v>67</v>
      </c>
      <c r="G5184">
        <v>-376.8725</v>
      </c>
      <c r="H5184" s="1">
        <v>2.1204160000000001E-6</v>
      </c>
      <c r="I5184">
        <v>212.25030000000001</v>
      </c>
      <c r="J5184">
        <v>-410.75360000000001</v>
      </c>
      <c r="K5184">
        <v>1.1093519999999999</v>
      </c>
      <c r="L5184">
        <v>213.69470000000001</v>
      </c>
      <c r="M5184">
        <v>0.99964180000000002</v>
      </c>
      <c r="N5184">
        <v>0</v>
      </c>
      <c r="O5184">
        <v>2.445189E-2</v>
      </c>
      <c r="P5184">
        <v>0.99987859999999995</v>
      </c>
      <c r="Q5184">
        <v>1.285977E-2</v>
      </c>
      <c r="R5184">
        <v>-8.8195659999999992E-3</v>
      </c>
      <c r="S5184">
        <v>3.0004879999999998</v>
      </c>
      <c r="T5184">
        <v>-9.7339029999999993E-2</v>
      </c>
      <c r="U5184">
        <v>-0.12609860000000001</v>
      </c>
      <c r="V5184">
        <v>3.330031E-2</v>
      </c>
      <c r="W5184">
        <v>2.369069E-2</v>
      </c>
      <c r="X5184">
        <v>0.99916459999999996</v>
      </c>
      <c r="Y5184">
        <v>6.6360489999999994E-2</v>
      </c>
      <c r="Z5184">
        <v>-1.868422E-3</v>
      </c>
      <c r="AA5184">
        <v>0.99779399999999996</v>
      </c>
      <c r="AB5184">
        <v>32</v>
      </c>
      <c r="AC5184">
        <v>33.881100000000004</v>
      </c>
      <c r="AD5184">
        <v>-1.109349879584</v>
      </c>
      <c r="AE5184">
        <v>-1.4443999999999999</v>
      </c>
      <c r="AF5184">
        <v>2.2700448282320198</v>
      </c>
      <c r="AG5184">
        <v>-1.109349879584</v>
      </c>
      <c r="AH5184">
        <v>33.799478634575898</v>
      </c>
      <c r="AI5184">
        <v>91.875636611516995</v>
      </c>
      <c r="AJ5184">
        <v>86.157664002621402</v>
      </c>
      <c r="AK5184">
        <v>33.893782861266303</v>
      </c>
      <c r="AL5184">
        <v>88.642496485098107</v>
      </c>
      <c r="AM5184">
        <v>88.091144086728093</v>
      </c>
      <c r="AN5184">
        <v>1.0000000286659601</v>
      </c>
    </row>
    <row r="5185" spans="1:40" x14ac:dyDescent="0.25">
      <c r="A5185" t="str">
        <f>"20190312150755887"</f>
        <v>20190312150755887</v>
      </c>
      <c r="B5185" t="str">
        <f>"1552374475885039"</f>
        <v>1552374475885039</v>
      </c>
      <c r="C5185" t="s">
        <v>40</v>
      </c>
      <c r="D5185">
        <v>4.503196</v>
      </c>
      <c r="E5185">
        <v>0.51239979999999996</v>
      </c>
      <c r="F5185" t="s">
        <v>67</v>
      </c>
      <c r="G5185">
        <v>-377.30160000000001</v>
      </c>
      <c r="H5185" s="1">
        <v>2.3487769999999999E-6</v>
      </c>
      <c r="I5185">
        <v>212.28360000000001</v>
      </c>
      <c r="J5185">
        <v>-410.45</v>
      </c>
      <c r="K5185">
        <v>1.1093230000000001</v>
      </c>
      <c r="L5185">
        <v>213.70150000000001</v>
      </c>
      <c r="M5185">
        <v>0.99965630000000005</v>
      </c>
      <c r="N5185">
        <v>0</v>
      </c>
      <c r="O5185">
        <v>2.3779970000000001E-2</v>
      </c>
      <c r="P5185">
        <v>0.99987459999999995</v>
      </c>
      <c r="Q5185">
        <v>1.2899509999999999E-2</v>
      </c>
      <c r="R5185">
        <v>-9.1921199999999998E-3</v>
      </c>
      <c r="S5185">
        <v>3.0005190000000002</v>
      </c>
      <c r="T5185">
        <v>-9.9504469999999998E-2</v>
      </c>
      <c r="U5185">
        <v>-0.12657169999999901</v>
      </c>
      <c r="V5185">
        <v>3.3003150000000002E-2</v>
      </c>
      <c r="W5185">
        <v>2.3878509999999999E-2</v>
      </c>
      <c r="X5185">
        <v>0.99916990000000006</v>
      </c>
      <c r="Y5185">
        <v>6.5844949999999999E-2</v>
      </c>
      <c r="Z5185">
        <v>-1.8791299999999999E-3</v>
      </c>
      <c r="AA5185">
        <v>0.9978281</v>
      </c>
      <c r="AB5185">
        <v>32</v>
      </c>
      <c r="AC5185">
        <v>33.148399999999903</v>
      </c>
      <c r="AD5185">
        <v>-1.1093206512230001</v>
      </c>
      <c r="AE5185">
        <v>-1.4178999999999999</v>
      </c>
      <c r="AF5185">
        <v>2.20335187497004</v>
      </c>
      <c r="AG5185">
        <v>-1.1093206512230001</v>
      </c>
      <c r="AH5185">
        <v>33.068338931543202</v>
      </c>
      <c r="AI5185">
        <v>91.9170936373459</v>
      </c>
      <c r="AJ5185">
        <v>86.188002140728202</v>
      </c>
      <c r="AK5185">
        <v>33.160223031270199</v>
      </c>
      <c r="AL5185">
        <v>88.631732025725995</v>
      </c>
      <c r="AM5185">
        <v>88.108175625059303</v>
      </c>
      <c r="AN5185">
        <v>0.99999994010787396</v>
      </c>
    </row>
    <row r="5186" spans="1:40" x14ac:dyDescent="0.25">
      <c r="A5186" t="str">
        <f>"20190312150755910"</f>
        <v>20190312150755910</v>
      </c>
      <c r="B5186" t="str">
        <f>"1552374475905535"</f>
        <v>1552374475905535</v>
      </c>
      <c r="C5186" t="s">
        <v>40</v>
      </c>
      <c r="D5186">
        <v>4.663049</v>
      </c>
      <c r="E5186">
        <v>0.51254940000000004</v>
      </c>
      <c r="F5186" t="s">
        <v>67</v>
      </c>
      <c r="G5186">
        <v>-377.24209999999999</v>
      </c>
      <c r="H5186" s="1">
        <v>2.3170769999999998E-6</v>
      </c>
      <c r="I5186">
        <v>212.30250000000001</v>
      </c>
      <c r="J5186">
        <v>-410.12979999999999</v>
      </c>
      <c r="K5186">
        <v>1.109254</v>
      </c>
      <c r="L5186">
        <v>213.70830000000001</v>
      </c>
      <c r="M5186">
        <v>0.99967470000000003</v>
      </c>
      <c r="N5186">
        <v>0</v>
      </c>
      <c r="O5186">
        <v>2.3045630000000001E-2</v>
      </c>
      <c r="P5186">
        <v>0.99987269999999995</v>
      </c>
      <c r="Q5186">
        <v>1.290694E-2</v>
      </c>
      <c r="R5186">
        <v>-9.3908949999999998E-3</v>
      </c>
      <c r="S5186">
        <v>3.0005489999999999</v>
      </c>
      <c r="T5186">
        <v>-0.1002344</v>
      </c>
      <c r="U5186">
        <v>-0.12640380000000001</v>
      </c>
      <c r="V5186">
        <v>3.246868E-2</v>
      </c>
      <c r="W5186">
        <v>2.378508E-2</v>
      </c>
      <c r="X5186">
        <v>0.99918969999999896</v>
      </c>
      <c r="Y5186">
        <v>6.50559E-2</v>
      </c>
      <c r="Z5186">
        <v>-1.8552029999999999E-3</v>
      </c>
      <c r="AA5186">
        <v>0.99787990000000004</v>
      </c>
      <c r="AB5186">
        <v>32</v>
      </c>
      <c r="AC5186">
        <v>32.887699999999903</v>
      </c>
      <c r="AD5186">
        <v>-1.1092516829229999</v>
      </c>
      <c r="AE5186">
        <v>-1.4057999999999899</v>
      </c>
      <c r="AF5186">
        <v>2.16093579237211</v>
      </c>
      <c r="AG5186">
        <v>-1.1092516829229999</v>
      </c>
      <c r="AH5186">
        <v>32.809308863812802</v>
      </c>
      <c r="AI5186">
        <v>91.932195300281194</v>
      </c>
      <c r="AJ5186">
        <v>86.231742250934502</v>
      </c>
      <c r="AK5186">
        <v>32.8991007615084</v>
      </c>
      <c r="AL5186">
        <v>88.637086774416204</v>
      </c>
      <c r="AM5186">
        <v>88.138827933374301</v>
      </c>
      <c r="AN5186">
        <v>1.0000000008988099</v>
      </c>
    </row>
    <row r="5187" spans="1:40" x14ac:dyDescent="0.25">
      <c r="A5187" t="str">
        <f>"20190312150755932"</f>
        <v>20190312150755932</v>
      </c>
      <c r="B5187" t="str">
        <f>"1552374475925055"</f>
        <v>1552374475925055</v>
      </c>
      <c r="C5187" t="s">
        <v>40</v>
      </c>
      <c r="D5187">
        <v>4.5234489999999896</v>
      </c>
      <c r="E5187">
        <v>0.51251159999999996</v>
      </c>
      <c r="F5187" t="s">
        <v>67</v>
      </c>
      <c r="G5187">
        <v>-377.43119999999999</v>
      </c>
      <c r="H5187" s="1">
        <v>2.417733E-6</v>
      </c>
      <c r="I5187">
        <v>212.31049999999999</v>
      </c>
      <c r="J5187">
        <v>-409.79629999999997</v>
      </c>
      <c r="K5187">
        <v>1.108975</v>
      </c>
      <c r="L5187">
        <v>213.71530000000001</v>
      </c>
      <c r="M5187">
        <v>0.99970270000000006</v>
      </c>
      <c r="N5187">
        <v>0</v>
      </c>
      <c r="O5187">
        <v>2.2287410000000001E-2</v>
      </c>
      <c r="P5187">
        <v>0.99985210000000002</v>
      </c>
      <c r="Q5187">
        <v>1.395416E-2</v>
      </c>
      <c r="R5187">
        <v>-1.0071210000000001E-2</v>
      </c>
      <c r="S5187">
        <v>3.0004580000000001</v>
      </c>
      <c r="T5187">
        <v>-0.1017861</v>
      </c>
      <c r="U5187">
        <v>-0.1282654</v>
      </c>
      <c r="V5187">
        <v>3.2389029999999999E-2</v>
      </c>
      <c r="W5187">
        <v>2.3802719999999999E-2</v>
      </c>
      <c r="X5187">
        <v>0.99919190000000002</v>
      </c>
      <c r="Y5187">
        <v>6.4917069999999993E-2</v>
      </c>
      <c r="Z5187">
        <v>-1.855876E-3</v>
      </c>
      <c r="AA5187">
        <v>0.99788889999999997</v>
      </c>
      <c r="AB5187">
        <v>32</v>
      </c>
      <c r="AC5187">
        <v>32.365099999999899</v>
      </c>
      <c r="AD5187">
        <v>-1.108972582267</v>
      </c>
      <c r="AE5187">
        <v>-1.40480000000002</v>
      </c>
      <c r="AF5187">
        <v>2.1233323264122901</v>
      </c>
      <c r="AG5187">
        <v>-1.108972582267</v>
      </c>
      <c r="AH5187">
        <v>32.2879125561997</v>
      </c>
      <c r="AI5187">
        <v>91.962892193426896</v>
      </c>
      <c r="AJ5187">
        <v>86.237506646762</v>
      </c>
      <c r="AK5187">
        <v>32.376652970827699</v>
      </c>
      <c r="AL5187">
        <v>88.636075838368996</v>
      </c>
      <c r="AM5187">
        <v>88.143394522230594</v>
      </c>
      <c r="AN5187">
        <v>1.0000000358846699</v>
      </c>
    </row>
    <row r="5188" spans="1:40" x14ac:dyDescent="0.25">
      <c r="A5188" t="str">
        <f>"20190312150755958"</f>
        <v>20190312150755958</v>
      </c>
      <c r="B5188" t="str">
        <f>"1552374475945554"</f>
        <v>1552374475945554</v>
      </c>
      <c r="C5188" t="s">
        <v>40</v>
      </c>
      <c r="D5188">
        <v>4.5422840000000004</v>
      </c>
      <c r="E5188">
        <v>0.51249960000000006</v>
      </c>
      <c r="F5188" t="s">
        <v>67</v>
      </c>
      <c r="G5188">
        <v>-376.25749999999999</v>
      </c>
      <c r="H5188" s="1">
        <v>1.7931630000000001E-6</v>
      </c>
      <c r="I5188">
        <v>212.261</v>
      </c>
      <c r="J5188">
        <v>-409.42829999999998</v>
      </c>
      <c r="K5188">
        <v>1.108684</v>
      </c>
      <c r="L5188">
        <v>213.72280000000001</v>
      </c>
      <c r="M5188">
        <v>0.99973339999999999</v>
      </c>
      <c r="N5188">
        <v>0</v>
      </c>
      <c r="O5188">
        <v>2.1460460000000001E-2</v>
      </c>
      <c r="P5188">
        <v>0.99982119999999997</v>
      </c>
      <c r="Q5188">
        <v>1.535455E-2</v>
      </c>
      <c r="R5188">
        <v>-1.1042049999999999E-2</v>
      </c>
      <c r="S5188">
        <v>3.0005799999999998</v>
      </c>
      <c r="T5188">
        <v>-9.9215510000000007E-2</v>
      </c>
      <c r="U5188">
        <v>-0.1301117</v>
      </c>
      <c r="V5188">
        <v>3.253023E-2</v>
      </c>
      <c r="W5188">
        <v>2.3839430000000002E-2</v>
      </c>
      <c r="X5188">
        <v>0.99918640000000003</v>
      </c>
      <c r="Y5188">
        <v>6.4705589999999993E-2</v>
      </c>
      <c r="Z5188">
        <v>-1.778106E-3</v>
      </c>
      <c r="AA5188">
        <v>0.99790279999999998</v>
      </c>
      <c r="AB5188">
        <v>33</v>
      </c>
      <c r="AC5188">
        <v>33.1707999999999</v>
      </c>
      <c r="AD5188">
        <v>-1.1086822068369999</v>
      </c>
      <c r="AE5188">
        <v>-1.46180000000001</v>
      </c>
      <c r="AF5188">
        <v>2.1709292790054202</v>
      </c>
      <c r="AG5188">
        <v>-1.1086822068369999</v>
      </c>
      <c r="AH5188">
        <v>33.094888590549402</v>
      </c>
      <c r="AI5188">
        <v>91.914585306395495</v>
      </c>
      <c r="AJ5188">
        <v>86.246939002256397</v>
      </c>
      <c r="AK5188">
        <v>33.184540994129698</v>
      </c>
      <c r="AL5188">
        <v>88.633971861761196</v>
      </c>
      <c r="AM5188">
        <v>88.135296094018301</v>
      </c>
      <c r="AN5188">
        <v>0.99999999811576801</v>
      </c>
    </row>
    <row r="5189" spans="1:40" x14ac:dyDescent="0.25">
      <c r="A5189" t="str">
        <f>"20190312150755977"</f>
        <v>20190312150755977</v>
      </c>
      <c r="B5189" t="str">
        <f>"1552374475974830"</f>
        <v>1552374475974830</v>
      </c>
      <c r="C5189" t="s">
        <v>40</v>
      </c>
      <c r="D5189">
        <v>4.5357229999999999</v>
      </c>
      <c r="E5189">
        <v>0.51242219999999905</v>
      </c>
      <c r="F5189" t="s">
        <v>67</v>
      </c>
      <c r="G5189">
        <v>-373.18599999999998</v>
      </c>
      <c r="H5189" s="1">
        <v>1.586505E-7</v>
      </c>
      <c r="I5189">
        <v>212.11940000000001</v>
      </c>
      <c r="J5189">
        <v>-409.12569999999999</v>
      </c>
      <c r="K5189">
        <v>1.108487</v>
      </c>
      <c r="L5189">
        <v>213.7287</v>
      </c>
      <c r="M5189">
        <v>0.99975670000000005</v>
      </c>
      <c r="N5189">
        <v>0</v>
      </c>
      <c r="O5189">
        <v>2.0779800000000001E-2</v>
      </c>
      <c r="P5189">
        <v>0.9997994</v>
      </c>
      <c r="Q5189">
        <v>1.6321950000000002E-2</v>
      </c>
      <c r="R5189">
        <v>-1.1625740000000001E-2</v>
      </c>
      <c r="S5189">
        <v>3.0004580000000001</v>
      </c>
      <c r="T5189">
        <v>-9.1786619999999999E-2</v>
      </c>
      <c r="U5189">
        <v>-0.1327362</v>
      </c>
      <c r="V5189">
        <v>3.2431229999999998E-2</v>
      </c>
      <c r="W5189">
        <v>2.3689740000000001E-2</v>
      </c>
      <c r="X5189">
        <v>0.9991932</v>
      </c>
      <c r="Y5189">
        <v>6.4905930000000001E-2</v>
      </c>
      <c r="Z5189">
        <v>-1.6273170000000001E-3</v>
      </c>
      <c r="AA5189">
        <v>0.9978901</v>
      </c>
      <c r="AB5189">
        <v>33</v>
      </c>
      <c r="AC5189">
        <v>35.939700000000002</v>
      </c>
      <c r="AD5189">
        <v>-1.1084868413494999</v>
      </c>
      <c r="AE5189">
        <v>-1.60929999999999</v>
      </c>
      <c r="AF5189">
        <v>2.353558282661</v>
      </c>
      <c r="AG5189">
        <v>-1.1084868413494999</v>
      </c>
      <c r="AH5189">
        <v>35.864448344572303</v>
      </c>
      <c r="AI5189">
        <v>91.766518731418103</v>
      </c>
      <c r="AJ5189">
        <v>86.245421667360205</v>
      </c>
      <c r="AK5189">
        <v>35.958679546499198</v>
      </c>
      <c r="AL5189">
        <v>88.642550919185496</v>
      </c>
      <c r="AM5189">
        <v>88.140979645123195</v>
      </c>
      <c r="AN5189">
        <v>1.00000001969341</v>
      </c>
    </row>
    <row r="5190" spans="1:40" x14ac:dyDescent="0.25">
      <c r="A5190" t="str">
        <f>"20190312150756000"</f>
        <v>20190312150756000</v>
      </c>
      <c r="B5190" t="str">
        <f>"1552374475995328"</f>
        <v>1552374475995328</v>
      </c>
      <c r="C5190" t="s">
        <v>40</v>
      </c>
      <c r="D5190">
        <v>4.4605169999999896</v>
      </c>
      <c r="E5190">
        <v>0.53446300000000002</v>
      </c>
      <c r="F5190" t="s">
        <v>67</v>
      </c>
      <c r="G5190">
        <v>-370.94839999999999</v>
      </c>
      <c r="H5190" s="1">
        <v>-1.032107E-6</v>
      </c>
      <c r="I5190">
        <v>212.0258</v>
      </c>
      <c r="J5190">
        <v>-408.7928</v>
      </c>
      <c r="K5190">
        <v>1.108282</v>
      </c>
      <c r="L5190">
        <v>213.73519999999999</v>
      </c>
      <c r="M5190">
        <v>0.99978</v>
      </c>
      <c r="N5190">
        <v>0</v>
      </c>
      <c r="O5190">
        <v>2.003593E-2</v>
      </c>
      <c r="P5190">
        <v>0.99976900000000002</v>
      </c>
      <c r="Q5190">
        <v>1.7609039999999999E-2</v>
      </c>
      <c r="R5190">
        <v>-1.233792E-2</v>
      </c>
      <c r="S5190">
        <v>3.0004580000000001</v>
      </c>
      <c r="T5190">
        <v>-8.7118979999999999E-2</v>
      </c>
      <c r="U5190">
        <v>-0.1338348</v>
      </c>
      <c r="V5190">
        <v>3.2398950000000003E-2</v>
      </c>
      <c r="W5190">
        <v>2.377698E-2</v>
      </c>
      <c r="X5190">
        <v>0.99919219999999997</v>
      </c>
      <c r="Y5190">
        <v>6.4532389999999995E-2</v>
      </c>
      <c r="Z5190">
        <v>-1.517577E-3</v>
      </c>
      <c r="AA5190">
        <v>0.99791439999999998</v>
      </c>
      <c r="AB5190">
        <v>33</v>
      </c>
      <c r="AC5190">
        <v>37.8444</v>
      </c>
      <c r="AD5190">
        <v>-1.1082830321070001</v>
      </c>
      <c r="AE5190">
        <v>-1.70939999999998</v>
      </c>
      <c r="AF5190">
        <v>2.46520927014685</v>
      </c>
      <c r="AG5190">
        <v>-1.1082830321070001</v>
      </c>
      <c r="AH5190">
        <v>37.770225980671903</v>
      </c>
      <c r="AI5190">
        <v>91.677168071092893</v>
      </c>
      <c r="AJ5190">
        <v>86.265682152171394</v>
      </c>
      <c r="AK5190">
        <v>37.866812892768003</v>
      </c>
      <c r="AL5190">
        <v>88.637551061123602</v>
      </c>
      <c r="AM5190">
        <v>88.142826842890898</v>
      </c>
      <c r="AN5190">
        <v>1.00000004463993</v>
      </c>
    </row>
    <row r="5191" spans="1:40" x14ac:dyDescent="0.25">
      <c r="A5191" t="str">
        <f>"20190312150756023"</f>
        <v>20190312150756023</v>
      </c>
      <c r="B5191" t="str">
        <f>"1552374476014846"</f>
        <v>1552374476014846</v>
      </c>
      <c r="C5191" t="s">
        <v>40</v>
      </c>
      <c r="D5191">
        <v>4.4776800000000003</v>
      </c>
      <c r="E5191">
        <v>0.54326129999999995</v>
      </c>
      <c r="F5191" t="s">
        <v>41</v>
      </c>
      <c r="G5191">
        <v>-408.00170000000003</v>
      </c>
      <c r="H5191">
        <v>1.0220149999999999</v>
      </c>
      <c r="I5191">
        <v>213.65289999999999</v>
      </c>
      <c r="J5191">
        <v>-408.4357</v>
      </c>
      <c r="K5191">
        <v>1.1080829999999999</v>
      </c>
      <c r="L5191">
        <v>213.74180000000001</v>
      </c>
      <c r="M5191">
        <v>0.99980250000000004</v>
      </c>
      <c r="N5191">
        <v>0</v>
      </c>
      <c r="O5191">
        <v>1.9243489999999999E-2</v>
      </c>
      <c r="P5191">
        <v>0.99974209999999997</v>
      </c>
      <c r="Q5191">
        <v>1.863194E-2</v>
      </c>
      <c r="R5191">
        <v>-1.2995039999999999E-2</v>
      </c>
      <c r="S5191">
        <v>3.0026549999999999</v>
      </c>
      <c r="T5191">
        <v>-0.3274763</v>
      </c>
      <c r="U5191">
        <v>-0.31182860000000001</v>
      </c>
      <c r="V5191">
        <v>3.2264630000000002E-2</v>
      </c>
      <c r="W5191">
        <v>2.3579139999999998E-2</v>
      </c>
      <c r="X5191">
        <v>0.99920120000000001</v>
      </c>
      <c r="Y5191">
        <v>0.1215905</v>
      </c>
      <c r="Z5191">
        <v>-8.6807080000000005E-3</v>
      </c>
      <c r="AA5191">
        <v>0.99254240000000005</v>
      </c>
      <c r="AB5191">
        <v>34</v>
      </c>
      <c r="AC5191">
        <v>0.43399999999996902</v>
      </c>
      <c r="AD5191">
        <v>-8.6068000000000006E-2</v>
      </c>
      <c r="AE5191">
        <v>-8.8900000000023696E-2</v>
      </c>
      <c r="AF5191">
        <v>9.3698706903676598E-2</v>
      </c>
      <c r="AG5191">
        <v>-8.6068000000000006E-2</v>
      </c>
      <c r="AH5191">
        <v>0.41648871801354198</v>
      </c>
      <c r="AI5191">
        <v>101.398732241088</v>
      </c>
      <c r="AJ5191">
        <v>77.321090198201105</v>
      </c>
      <c r="AK5191">
        <v>0.43548823236912498</v>
      </c>
      <c r="AL5191">
        <v>88.648889589963304</v>
      </c>
      <c r="AM5191">
        <v>88.150537624829497</v>
      </c>
      <c r="AN5191">
        <v>1.0000000101368001</v>
      </c>
    </row>
    <row r="5192" spans="1:40" x14ac:dyDescent="0.25">
      <c r="A5192" t="str">
        <f>"20190312150756046"</f>
        <v>20190312150756046</v>
      </c>
      <c r="B5192" t="str">
        <f>"1552374476035342"</f>
        <v>1552374476035342</v>
      </c>
      <c r="C5192" t="s">
        <v>40</v>
      </c>
      <c r="D5192">
        <v>4.4721120000000001</v>
      </c>
      <c r="E5192">
        <v>0.54630869999999998</v>
      </c>
      <c r="F5192" t="s">
        <v>41</v>
      </c>
      <c r="G5192">
        <v>-407.71359999999999</v>
      </c>
      <c r="H5192">
        <v>0.98753760000000002</v>
      </c>
      <c r="I5192">
        <v>213.64920000000001</v>
      </c>
      <c r="J5192">
        <v>-408.09530000000001</v>
      </c>
      <c r="K5192">
        <v>1.1079289999999999</v>
      </c>
      <c r="L5192">
        <v>213.74780000000001</v>
      </c>
      <c r="M5192">
        <v>0.99982130000000002</v>
      </c>
      <c r="N5192">
        <v>0</v>
      </c>
      <c r="O5192">
        <v>1.8484980000000002E-2</v>
      </c>
      <c r="P5192">
        <v>0.99971310000000002</v>
      </c>
      <c r="Q5192">
        <v>1.958857E-2</v>
      </c>
      <c r="R5192">
        <v>-1.3780550000000001E-2</v>
      </c>
      <c r="S5192">
        <v>3.0051269999999999</v>
      </c>
      <c r="T5192">
        <v>-0.50166829999999996</v>
      </c>
      <c r="U5192">
        <v>-0.38357540000000001</v>
      </c>
      <c r="V5192">
        <v>3.2293919999999997E-2</v>
      </c>
      <c r="W5192">
        <v>2.3504779999999999E-2</v>
      </c>
      <c r="X5192">
        <v>0.99920200000000003</v>
      </c>
      <c r="Y5192">
        <v>0.1427311</v>
      </c>
      <c r="Z5192">
        <v>-1.4838169999999999E-2</v>
      </c>
      <c r="AA5192">
        <v>0.98965020000000004</v>
      </c>
      <c r="AB5192">
        <v>34</v>
      </c>
      <c r="AC5192">
        <v>0.38170000000002302</v>
      </c>
      <c r="AD5192">
        <v>-0.1203914</v>
      </c>
      <c r="AE5192">
        <v>-9.8600000000004601E-2</v>
      </c>
      <c r="AF5192">
        <v>9.6627498065979395E-2</v>
      </c>
      <c r="AG5192">
        <v>-0.1203914</v>
      </c>
      <c r="AH5192">
        <v>0.34741263786538501</v>
      </c>
      <c r="AI5192">
        <v>108.462311280827</v>
      </c>
      <c r="AJ5192">
        <v>74.456907321410498</v>
      </c>
      <c r="AK5192">
        <v>0.38016641556696701</v>
      </c>
      <c r="AL5192">
        <v>88.653151277458207</v>
      </c>
      <c r="AM5192">
        <v>88.1488613218648</v>
      </c>
      <c r="AN5192">
        <v>1.0000000043779</v>
      </c>
    </row>
    <row r="5193" spans="1:40" x14ac:dyDescent="0.25">
      <c r="A5193" t="str">
        <f>"20190312150756068"</f>
        <v>20190312150756068</v>
      </c>
      <c r="B5193" t="str">
        <f>"1552374476065599"</f>
        <v>1552374476065599</v>
      </c>
      <c r="C5193" t="s">
        <v>40</v>
      </c>
      <c r="D5193">
        <v>4.4302859999999997</v>
      </c>
      <c r="E5193">
        <v>0.54832389999999998</v>
      </c>
      <c r="F5193" t="s">
        <v>41</v>
      </c>
      <c r="G5193">
        <v>-407.12529999999998</v>
      </c>
      <c r="H5193">
        <v>0.92258169999999995</v>
      </c>
      <c r="I5193">
        <v>213.61529999999999</v>
      </c>
      <c r="J5193">
        <v>-407.74169999999998</v>
      </c>
      <c r="K5193">
        <v>1.1078079999999999</v>
      </c>
      <c r="L5193">
        <v>213.75380000000001</v>
      </c>
      <c r="M5193">
        <v>0.99983869999999997</v>
      </c>
      <c r="N5193">
        <v>0</v>
      </c>
      <c r="O5193">
        <v>1.7686710000000001E-2</v>
      </c>
      <c r="P5193">
        <v>0.99968290000000004</v>
      </c>
      <c r="Q5193">
        <v>2.0585619999999999E-2</v>
      </c>
      <c r="R5193">
        <v>-1.450218E-2</v>
      </c>
      <c r="S5193">
        <v>3.0065</v>
      </c>
      <c r="T5193">
        <v>-0.57451260000000004</v>
      </c>
      <c r="U5193">
        <v>-0.41012569999999998</v>
      </c>
      <c r="V5193">
        <v>3.2221100000000003E-2</v>
      </c>
      <c r="W5193">
        <v>2.3671629999999999E-2</v>
      </c>
      <c r="X5193">
        <v>0.99920039999999999</v>
      </c>
      <c r="Y5193">
        <v>0.14968919999999999</v>
      </c>
      <c r="Z5193">
        <v>-1.7445510000000001E-2</v>
      </c>
      <c r="AA5193">
        <v>0.98857919999999999</v>
      </c>
      <c r="AB5193">
        <v>34</v>
      </c>
      <c r="AC5193">
        <v>0.61639999999999795</v>
      </c>
      <c r="AD5193">
        <v>-0.18522629999999901</v>
      </c>
      <c r="AE5193">
        <v>-0.138500000000021</v>
      </c>
      <c r="AF5193">
        <v>0.13755632019422201</v>
      </c>
      <c r="AG5193">
        <v>-0.18522629999999901</v>
      </c>
      <c r="AH5193">
        <v>0.56526457618544501</v>
      </c>
      <c r="AI5193">
        <v>107.660904578377</v>
      </c>
      <c r="AJ5193">
        <v>76.3229959252117</v>
      </c>
      <c r="AK5193">
        <v>0.61053629255530495</v>
      </c>
      <c r="AL5193">
        <v>88.643588799704403</v>
      </c>
      <c r="AM5193">
        <v>88.153029629869195</v>
      </c>
      <c r="AN5193">
        <v>0.99999999235611303</v>
      </c>
    </row>
    <row r="5194" spans="1:40" x14ac:dyDescent="0.25">
      <c r="A5194" t="str">
        <f>"20190312150756089"</f>
        <v>20190312150756089</v>
      </c>
      <c r="B5194" t="str">
        <f>"1552374476085119"</f>
        <v>1552374476085119</v>
      </c>
      <c r="C5194" t="s">
        <v>40</v>
      </c>
      <c r="D5194">
        <v>4.4787229999999996</v>
      </c>
      <c r="E5194">
        <v>0.54918719999999999</v>
      </c>
      <c r="F5194" t="s">
        <v>41</v>
      </c>
      <c r="G5194">
        <v>-406.81760000000003</v>
      </c>
      <c r="H5194">
        <v>0.9157573</v>
      </c>
      <c r="I5194">
        <v>213.62190000000001</v>
      </c>
      <c r="J5194">
        <v>-407.40230000000003</v>
      </c>
      <c r="K5194">
        <v>1.107756</v>
      </c>
      <c r="L5194">
        <v>213.75909999999999</v>
      </c>
      <c r="M5194">
        <v>0.99985349999999995</v>
      </c>
      <c r="N5194">
        <v>0</v>
      </c>
      <c r="O5194">
        <v>1.6913149999999998E-2</v>
      </c>
      <c r="P5194">
        <v>0.99966820000000001</v>
      </c>
      <c r="Q5194">
        <v>2.0892609999999999E-2</v>
      </c>
      <c r="R5194">
        <v>-1.506469E-2</v>
      </c>
      <c r="S5194">
        <v>3.0075989999999999</v>
      </c>
      <c r="T5194">
        <v>-0.625031</v>
      </c>
      <c r="U5194">
        <v>-0.42822270000000001</v>
      </c>
      <c r="V5194">
        <v>3.2013809999999997E-2</v>
      </c>
      <c r="W5194">
        <v>2.3476650000000002E-2</v>
      </c>
      <c r="X5194">
        <v>0.99921170000000004</v>
      </c>
      <c r="Y5194">
        <v>0.15409870000000001</v>
      </c>
      <c r="Z5194">
        <v>-1.9227600000000001E-2</v>
      </c>
      <c r="AA5194">
        <v>0.98786839999999998</v>
      </c>
      <c r="AB5194">
        <v>35</v>
      </c>
      <c r="AC5194">
        <v>0.584699999999997</v>
      </c>
      <c r="AD5194">
        <v>-0.19199869999999999</v>
      </c>
      <c r="AE5194">
        <v>-0.13719999999997801</v>
      </c>
      <c r="AF5194">
        <v>0.13343264778937799</v>
      </c>
      <c r="AG5194">
        <v>-0.19199869999999999</v>
      </c>
      <c r="AH5194">
        <v>0.52830304909014203</v>
      </c>
      <c r="AI5194">
        <v>109.41043786100199</v>
      </c>
      <c r="AJ5194">
        <v>75.825339171883897</v>
      </c>
      <c r="AK5194">
        <v>0.57772994034904901</v>
      </c>
      <c r="AL5194">
        <v>88.654763486094197</v>
      </c>
      <c r="AM5194">
        <v>88.164924446952696</v>
      </c>
      <c r="AN5194">
        <v>1.00000002927141</v>
      </c>
    </row>
    <row r="5195" spans="1:40" x14ac:dyDescent="0.25">
      <c r="A5195" t="str">
        <f>"20190312150756111"</f>
        <v>20190312150756111</v>
      </c>
      <c r="B5195" t="str">
        <f>"1552374476105614"</f>
        <v>1552374476105614</v>
      </c>
      <c r="C5195" t="s">
        <v>40</v>
      </c>
      <c r="D5195">
        <v>4.4885849999999996</v>
      </c>
      <c r="E5195">
        <v>0.54985600000000001</v>
      </c>
      <c r="F5195" t="s">
        <v>41</v>
      </c>
      <c r="G5195">
        <v>-406.50560000000002</v>
      </c>
      <c r="H5195">
        <v>0.91619680000000003</v>
      </c>
      <c r="I5195">
        <v>213.6285</v>
      </c>
      <c r="J5195">
        <v>-407.06310000000002</v>
      </c>
      <c r="K5195">
        <v>1.107777</v>
      </c>
      <c r="L5195">
        <v>213.76410000000001</v>
      </c>
      <c r="M5195">
        <v>0.99986710000000001</v>
      </c>
      <c r="N5195">
        <v>0</v>
      </c>
      <c r="O5195">
        <v>1.61256E-2</v>
      </c>
      <c r="P5195">
        <v>0.99965570000000004</v>
      </c>
      <c r="Q5195">
        <v>2.113319E-2</v>
      </c>
      <c r="R5195">
        <v>-1.556131E-2</v>
      </c>
      <c r="S5195">
        <v>3.0078429999999998</v>
      </c>
      <c r="T5195">
        <v>-0.64242959999999905</v>
      </c>
      <c r="U5195">
        <v>-0.43711850000000002</v>
      </c>
      <c r="V5195">
        <v>3.1727020000000002E-2</v>
      </c>
      <c r="W5195">
        <v>2.3523849999999999E-2</v>
      </c>
      <c r="X5195">
        <v>0.99921970000000004</v>
      </c>
      <c r="Y5195">
        <v>0.155950799999999</v>
      </c>
      <c r="Z5195">
        <v>-1.977483E-2</v>
      </c>
      <c r="AA5195">
        <v>0.98756679999999997</v>
      </c>
      <c r="AB5195">
        <v>35</v>
      </c>
      <c r="AC5195">
        <v>0.55750000000000399</v>
      </c>
      <c r="AD5195">
        <v>-0.19158020000000001</v>
      </c>
      <c r="AE5195">
        <v>-0.13560000000000999</v>
      </c>
      <c r="AF5195">
        <v>0.13007040187712901</v>
      </c>
      <c r="AG5195">
        <v>-0.19158020000000001</v>
      </c>
      <c r="AH5195">
        <v>0.49954483235612801</v>
      </c>
      <c r="AI5195">
        <v>110.361651253318</v>
      </c>
      <c r="AJ5195">
        <v>75.405508088621303</v>
      </c>
      <c r="AK5195">
        <v>0.55060541407638697</v>
      </c>
      <c r="AL5195">
        <v>88.6520583281889</v>
      </c>
      <c r="AM5195">
        <v>88.181367104910805</v>
      </c>
      <c r="AN5195">
        <v>0.99999999209249602</v>
      </c>
    </row>
    <row r="5196" spans="1:40" x14ac:dyDescent="0.25">
      <c r="A5196" t="str">
        <f>"20190312150756133"</f>
        <v>20190312150756133</v>
      </c>
      <c r="B5196" t="str">
        <f>"1552374476125139"</f>
        <v>1552374476125139</v>
      </c>
      <c r="C5196" t="s">
        <v>40</v>
      </c>
      <c r="D5196">
        <v>4.4672989999999997</v>
      </c>
      <c r="E5196">
        <v>0.55016580000000004</v>
      </c>
      <c r="F5196" t="s">
        <v>41</v>
      </c>
      <c r="G5196">
        <v>-406.19159999999999</v>
      </c>
      <c r="H5196">
        <v>0.91855900000000001</v>
      </c>
      <c r="I5196">
        <v>213.63499999999999</v>
      </c>
      <c r="J5196">
        <v>-406.71469999999999</v>
      </c>
      <c r="K5196">
        <v>1.1078490000000001</v>
      </c>
      <c r="L5196">
        <v>213.7688</v>
      </c>
      <c r="M5196">
        <v>0.99988030000000006</v>
      </c>
      <c r="N5196">
        <v>0</v>
      </c>
      <c r="O5196">
        <v>1.5273719999999999E-2</v>
      </c>
      <c r="P5196">
        <v>0.99964629999999999</v>
      </c>
      <c r="Q5196">
        <v>2.1096589999999998E-2</v>
      </c>
      <c r="R5196">
        <v>-1.619232E-2</v>
      </c>
      <c r="S5196">
        <v>3.0079349999999998</v>
      </c>
      <c r="T5196">
        <v>-0.65305919999999995</v>
      </c>
      <c r="U5196">
        <v>-0.44425959999999998</v>
      </c>
      <c r="V5196">
        <v>3.1509349999999998E-2</v>
      </c>
      <c r="W5196">
        <v>2.3525750000000002E-2</v>
      </c>
      <c r="X5196">
        <v>0.99922659999999996</v>
      </c>
      <c r="Y5196">
        <v>0.15726660000000001</v>
      </c>
      <c r="Z5196">
        <v>-2.0049339999999999E-2</v>
      </c>
      <c r="AA5196">
        <v>0.98735269999999997</v>
      </c>
      <c r="AB5196">
        <v>35</v>
      </c>
      <c r="AC5196">
        <v>0.52309999999999901</v>
      </c>
      <c r="AD5196">
        <v>-0.18929000000000001</v>
      </c>
      <c r="AE5196">
        <v>-0.133800000000007</v>
      </c>
      <c r="AF5196">
        <v>0.12625674544083099</v>
      </c>
      <c r="AG5196">
        <v>-0.18929000000000001</v>
      </c>
      <c r="AH5196">
        <v>0.46397175189044498</v>
      </c>
      <c r="AI5196">
        <v>111.48769044376201</v>
      </c>
      <c r="AJ5196">
        <v>74.777185125881502</v>
      </c>
      <c r="AK5196">
        <v>0.51676034718387598</v>
      </c>
      <c r="AL5196">
        <v>88.651949512933399</v>
      </c>
      <c r="AM5196">
        <v>88.193848395590706</v>
      </c>
      <c r="AN5196">
        <v>1.00000004909902</v>
      </c>
    </row>
    <row r="5197" spans="1:40" x14ac:dyDescent="0.25">
      <c r="A5197" t="str">
        <f>"20190312150756156"</f>
        <v>20190312150756156</v>
      </c>
      <c r="B5197" t="str">
        <f>"1552374476145635"</f>
        <v>1552374476145635</v>
      </c>
      <c r="C5197" t="s">
        <v>40</v>
      </c>
      <c r="D5197">
        <v>4.5236859999999997</v>
      </c>
      <c r="E5197">
        <v>0.55028350000000004</v>
      </c>
      <c r="F5197" t="s">
        <v>41</v>
      </c>
      <c r="G5197">
        <v>-405.87619999999998</v>
      </c>
      <c r="H5197">
        <v>0.9225544</v>
      </c>
      <c r="I5197">
        <v>213.64330000000001</v>
      </c>
      <c r="J5197">
        <v>-406.36450000000002</v>
      </c>
      <c r="K5197">
        <v>1.107944</v>
      </c>
      <c r="L5197">
        <v>213.7732</v>
      </c>
      <c r="M5197">
        <v>0.99989340000000004</v>
      </c>
      <c r="N5197">
        <v>0</v>
      </c>
      <c r="O5197">
        <v>1.435297E-2</v>
      </c>
      <c r="P5197">
        <v>0.99964050000000004</v>
      </c>
      <c r="Q5197">
        <v>2.0817780000000001E-2</v>
      </c>
      <c r="R5197">
        <v>-1.6896950000000001E-2</v>
      </c>
      <c r="S5197">
        <v>3.0078130000000001</v>
      </c>
      <c r="T5197">
        <v>-0.66463700000000003</v>
      </c>
      <c r="U5197">
        <v>-0.44860840000000002</v>
      </c>
      <c r="V5197">
        <v>3.1294780000000001E-2</v>
      </c>
      <c r="W5197">
        <v>2.3420880000000002E-2</v>
      </c>
      <c r="X5197">
        <v>0.99923569999999995</v>
      </c>
      <c r="Y5197">
        <v>0.157635</v>
      </c>
      <c r="Z5197">
        <v>-2.023529E-2</v>
      </c>
      <c r="AA5197">
        <v>0.98729009999999995</v>
      </c>
      <c r="AB5197">
        <v>35</v>
      </c>
      <c r="AC5197">
        <v>0.48830000000003698</v>
      </c>
      <c r="AD5197">
        <v>-0.18538959999999999</v>
      </c>
      <c r="AE5197">
        <v>-0.12989999999999199</v>
      </c>
      <c r="AF5197">
        <v>0.120653175861509</v>
      </c>
      <c r="AG5197">
        <v>-0.18538959999999999</v>
      </c>
      <c r="AH5197">
        <v>0.42867773652357799</v>
      </c>
      <c r="AI5197">
        <v>112.601668853289</v>
      </c>
      <c r="AJ5197">
        <v>74.280517303937003</v>
      </c>
      <c r="AK5197">
        <v>0.482380653037212</v>
      </c>
      <c r="AL5197">
        <v>88.657959634017601</v>
      </c>
      <c r="AM5197">
        <v>88.2061560532741</v>
      </c>
      <c r="AN5197">
        <v>0.99999994251485402</v>
      </c>
    </row>
    <row r="5198" spans="1:40" x14ac:dyDescent="0.25">
      <c r="A5198" t="str">
        <f>"20190312150756177"</f>
        <v>20190312150756177</v>
      </c>
      <c r="B5198" t="str">
        <f>"1552374476174911"</f>
        <v>1552374476174911</v>
      </c>
      <c r="C5198" t="s">
        <v>40</v>
      </c>
      <c r="D5198">
        <v>4.5134319999999999</v>
      </c>
      <c r="E5198">
        <v>0.54989180000000004</v>
      </c>
      <c r="F5198" t="s">
        <v>41</v>
      </c>
      <c r="G5198">
        <v>-405.55959999999999</v>
      </c>
      <c r="H5198">
        <v>0.9269674</v>
      </c>
      <c r="I5198">
        <v>213.65209999999999</v>
      </c>
      <c r="J5198">
        <v>-406.02679999999998</v>
      </c>
      <c r="K5198">
        <v>1.108031</v>
      </c>
      <c r="L5198">
        <v>213.77709999999999</v>
      </c>
      <c r="M5198">
        <v>0.99990590000000001</v>
      </c>
      <c r="N5198">
        <v>0</v>
      </c>
      <c r="O5198">
        <v>1.340683E-2</v>
      </c>
      <c r="P5198">
        <v>0.99963860000000004</v>
      </c>
      <c r="Q5198">
        <v>2.032836E-2</v>
      </c>
      <c r="R5198">
        <v>-1.759432E-2</v>
      </c>
      <c r="S5198">
        <v>3.0075379999999998</v>
      </c>
      <c r="T5198">
        <v>-0.67623580000000005</v>
      </c>
      <c r="U5198">
        <v>-0.45179750000000002</v>
      </c>
      <c r="V5198">
        <v>3.1046560000000001E-2</v>
      </c>
      <c r="W5198">
        <v>2.3159639999999999E-2</v>
      </c>
      <c r="X5198">
        <v>0.99924959999999996</v>
      </c>
      <c r="Y5198">
        <v>0.1576207</v>
      </c>
      <c r="Z5198">
        <v>-2.0369640000000001E-2</v>
      </c>
      <c r="AA5198">
        <v>0.98728959999999999</v>
      </c>
      <c r="AB5198">
        <v>35</v>
      </c>
      <c r="AC5198">
        <v>0.46719999999999101</v>
      </c>
      <c r="AD5198">
        <v>-0.18106359999999899</v>
      </c>
      <c r="AE5198">
        <v>-0.125</v>
      </c>
      <c r="AF5198">
        <v>0.11511737294831299</v>
      </c>
      <c r="AG5198">
        <v>-0.18106359999999899</v>
      </c>
      <c r="AH5198">
        <v>0.40825963155557199</v>
      </c>
      <c r="AI5198">
        <v>113.115525521611</v>
      </c>
      <c r="AJ5198">
        <v>74.253087755582996</v>
      </c>
      <c r="AK5198">
        <v>0.461207072319335</v>
      </c>
      <c r="AL5198">
        <v>88.672931735771797</v>
      </c>
      <c r="AM5198">
        <v>88.220399792719505</v>
      </c>
      <c r="AN5198">
        <v>1.0000000104564599</v>
      </c>
    </row>
    <row r="5199" spans="1:40" x14ac:dyDescent="0.25">
      <c r="A5199" t="str">
        <f>"20190312150756201"</f>
        <v>20190312150756201</v>
      </c>
      <c r="B5199" t="str">
        <f>"1552374476195407"</f>
        <v>1552374476195407</v>
      </c>
      <c r="C5199" t="s">
        <v>40</v>
      </c>
      <c r="D5199">
        <v>4.5108670000000002</v>
      </c>
      <c r="E5199">
        <v>0.54993800000000004</v>
      </c>
      <c r="F5199" t="s">
        <v>41</v>
      </c>
      <c r="G5199">
        <v>-405.25599999999997</v>
      </c>
      <c r="H5199">
        <v>0.89797019999999905</v>
      </c>
      <c r="I5199">
        <v>213.6609</v>
      </c>
      <c r="J5199">
        <v>-405.66570000000002</v>
      </c>
      <c r="K5199">
        <v>1.108107</v>
      </c>
      <c r="L5199">
        <v>213.78100000000001</v>
      </c>
      <c r="M5199">
        <v>0.99991870000000005</v>
      </c>
      <c r="N5199">
        <v>0</v>
      </c>
      <c r="O5199">
        <v>1.234963E-2</v>
      </c>
      <c r="P5199">
        <v>0.99963150000000001</v>
      </c>
      <c r="Q5199">
        <v>1.9841540000000001E-2</v>
      </c>
      <c r="R5199">
        <v>-1.8522429999999999E-2</v>
      </c>
      <c r="S5199">
        <v>3.0097960000000001</v>
      </c>
      <c r="T5199">
        <v>-0.82013619999999898</v>
      </c>
      <c r="U5199">
        <v>-0.45124819999999999</v>
      </c>
      <c r="V5199">
        <v>3.091787E-2</v>
      </c>
      <c r="W5199">
        <v>2.294417E-2</v>
      </c>
      <c r="X5199">
        <v>0.9992586</v>
      </c>
      <c r="Y5199">
        <v>0.15451589999999901</v>
      </c>
      <c r="Z5199">
        <v>-2.3854259999999999E-2</v>
      </c>
      <c r="AA5199">
        <v>0.98770230000000003</v>
      </c>
      <c r="AB5199">
        <v>35</v>
      </c>
      <c r="AC5199">
        <v>0.40970000000004297</v>
      </c>
      <c r="AD5199">
        <v>-0.21013679999999901</v>
      </c>
      <c r="AE5199">
        <v>-0.120099999999979</v>
      </c>
      <c r="AF5199">
        <v>0.100744758033062</v>
      </c>
      <c r="AG5199">
        <v>-0.21013679999999901</v>
      </c>
      <c r="AH5199">
        <v>0.32858479976303401</v>
      </c>
      <c r="AI5199">
        <v>121.442766247436</v>
      </c>
      <c r="AJ5199">
        <v>72.954355522116202</v>
      </c>
      <c r="AK5199">
        <v>0.40283365254245201</v>
      </c>
      <c r="AL5199">
        <v>88.685280590266601</v>
      </c>
      <c r="AM5199">
        <v>88.227787588587404</v>
      </c>
      <c r="AN5199">
        <v>1.00000004964814</v>
      </c>
    </row>
    <row r="5200" spans="1:40" x14ac:dyDescent="0.25">
      <c r="A5200" t="str">
        <f>"20190312150756223"</f>
        <v>20190312150756223</v>
      </c>
      <c r="B5200" t="str">
        <f>"1552374476214927"</f>
        <v>1552374476214927</v>
      </c>
      <c r="C5200" t="s">
        <v>40</v>
      </c>
      <c r="D5200">
        <v>4.5129060000000001</v>
      </c>
      <c r="E5200">
        <v>0.55003179999999996</v>
      </c>
      <c r="F5200" t="s">
        <v>41</v>
      </c>
      <c r="G5200">
        <v>-404.93520000000001</v>
      </c>
      <c r="H5200">
        <v>0.90796589999999999</v>
      </c>
      <c r="I5200">
        <v>213.67080000000001</v>
      </c>
      <c r="J5200">
        <v>-405.29730000000001</v>
      </c>
      <c r="K5200">
        <v>1.108158</v>
      </c>
      <c r="L5200">
        <v>213.78460000000001</v>
      </c>
      <c r="M5200">
        <v>0.99993089999999996</v>
      </c>
      <c r="N5200">
        <v>0</v>
      </c>
      <c r="O5200">
        <v>1.124147E-2</v>
      </c>
      <c r="P5200">
        <v>0.99961940000000005</v>
      </c>
      <c r="Q5200">
        <v>1.945682E-2</v>
      </c>
      <c r="R5200">
        <v>-1.956097E-2</v>
      </c>
      <c r="S5200">
        <v>3.0090940000000002</v>
      </c>
      <c r="T5200">
        <v>-0.82439530000000005</v>
      </c>
      <c r="U5200">
        <v>-0.45426939999999999</v>
      </c>
      <c r="V5200">
        <v>3.0849100000000001E-2</v>
      </c>
      <c r="W5200">
        <v>2.284597E-2</v>
      </c>
      <c r="X5200">
        <v>0.99926289999999995</v>
      </c>
      <c r="Y5200">
        <v>0.15440709999999999</v>
      </c>
      <c r="Z5200">
        <v>-2.366629E-2</v>
      </c>
      <c r="AA5200">
        <v>0.98772380000000004</v>
      </c>
      <c r="AB5200">
        <v>35</v>
      </c>
      <c r="AC5200">
        <v>0.36209999999999798</v>
      </c>
      <c r="AD5200">
        <v>-0.20019210000000001</v>
      </c>
      <c r="AE5200">
        <v>-0.113799999999997</v>
      </c>
      <c r="AF5200">
        <v>9.2211690657507506E-2</v>
      </c>
      <c r="AG5200">
        <v>-0.20019210000000001</v>
      </c>
      <c r="AH5200">
        <v>0.28227411340950898</v>
      </c>
      <c r="AI5200">
        <v>123.98595489018901</v>
      </c>
      <c r="AJ5200">
        <v>71.909116866410102</v>
      </c>
      <c r="AK5200">
        <v>0.35813202579139702</v>
      </c>
      <c r="AL5200">
        <v>88.690908412130895</v>
      </c>
      <c r="AM5200">
        <v>88.2317345842213</v>
      </c>
      <c r="AN5200">
        <v>0.99999997431623</v>
      </c>
    </row>
    <row r="5201" spans="1:40" x14ac:dyDescent="0.25">
      <c r="A5201" t="str">
        <f>"20190312150756247"</f>
        <v>20190312150756247</v>
      </c>
      <c r="B5201" t="str">
        <f>"1552374476235423"</f>
        <v>1552374476235423</v>
      </c>
      <c r="C5201" t="s">
        <v>40</v>
      </c>
      <c r="D5201">
        <v>4.471044</v>
      </c>
      <c r="E5201">
        <v>0.55009379999999997</v>
      </c>
      <c r="F5201" t="s">
        <v>41</v>
      </c>
      <c r="G5201">
        <v>-404.61200000000002</v>
      </c>
      <c r="H5201">
        <v>0.92112400000000005</v>
      </c>
      <c r="I5201">
        <v>213.6798</v>
      </c>
      <c r="J5201">
        <v>-404.93389999999999</v>
      </c>
      <c r="K5201">
        <v>1.108179</v>
      </c>
      <c r="L5201">
        <v>213.7877</v>
      </c>
      <c r="M5201">
        <v>0.99994170000000004</v>
      </c>
      <c r="N5201">
        <v>0</v>
      </c>
      <c r="O5201">
        <v>1.01306E-2</v>
      </c>
      <c r="P5201">
        <v>0.9996081</v>
      </c>
      <c r="Q5201">
        <v>1.9005290000000001E-2</v>
      </c>
      <c r="R5201">
        <v>-2.055514E-2</v>
      </c>
      <c r="S5201">
        <v>3.0081180000000001</v>
      </c>
      <c r="T5201">
        <v>-0.82101109999999899</v>
      </c>
      <c r="U5201">
        <v>-0.45840449999999999</v>
      </c>
      <c r="V5201">
        <v>3.0733529999999998E-2</v>
      </c>
      <c r="W5201">
        <v>2.26734E-2</v>
      </c>
      <c r="X5201">
        <v>0.9992704</v>
      </c>
      <c r="Y5201">
        <v>0.15475829999999999</v>
      </c>
      <c r="Z5201">
        <v>-2.3328109999999999E-2</v>
      </c>
      <c r="AA5201">
        <v>0.98767689999999997</v>
      </c>
      <c r="AB5201">
        <v>35</v>
      </c>
      <c r="AC5201">
        <v>0.321900000000027</v>
      </c>
      <c r="AD5201">
        <v>-0.187055</v>
      </c>
      <c r="AE5201">
        <v>-0.1079</v>
      </c>
      <c r="AF5201">
        <v>8.5270380077622193E-2</v>
      </c>
      <c r="AG5201">
        <v>-0.187055</v>
      </c>
      <c r="AH5201">
        <v>0.24608689106912501</v>
      </c>
      <c r="AI5201">
        <v>125.686761760092</v>
      </c>
      <c r="AJ5201">
        <v>70.888534436958494</v>
      </c>
      <c r="AK5201">
        <v>0.32065459407226599</v>
      </c>
      <c r="AL5201">
        <v>88.700798517747003</v>
      </c>
      <c r="AM5201">
        <v>88.238368069565396</v>
      </c>
      <c r="AN5201">
        <v>0.99999998262499001</v>
      </c>
    </row>
    <row r="5202" spans="1:40" x14ac:dyDescent="0.25">
      <c r="A5202" t="str">
        <f>"20190312150756278"</f>
        <v>20190312150756278</v>
      </c>
      <c r="B5202" t="str">
        <f>"1552374476275439"</f>
        <v>1552374476275439</v>
      </c>
      <c r="C5202" t="s">
        <v>40</v>
      </c>
      <c r="D5202">
        <v>4.4903469999999999</v>
      </c>
      <c r="E5202">
        <v>0.55023319999999998</v>
      </c>
      <c r="F5202" t="s">
        <v>41</v>
      </c>
      <c r="G5202">
        <v>-403.9991</v>
      </c>
      <c r="H5202">
        <v>0.85334489999999996</v>
      </c>
      <c r="I5202">
        <v>213.6439</v>
      </c>
      <c r="J5202">
        <v>-404.42939999999999</v>
      </c>
      <c r="K5202">
        <v>1.1081780000000001</v>
      </c>
      <c r="L5202">
        <v>213.79140000000001</v>
      </c>
      <c r="M5202">
        <v>0.99995500000000004</v>
      </c>
      <c r="N5202">
        <v>0</v>
      </c>
      <c r="O5202">
        <v>8.5674700000000006E-3</v>
      </c>
      <c r="P5202">
        <v>0.99957770000000001</v>
      </c>
      <c r="Q5202">
        <v>1.917984E-2</v>
      </c>
      <c r="R5202">
        <v>-2.1836680000000001E-2</v>
      </c>
      <c r="S5202">
        <v>3.007263</v>
      </c>
      <c r="T5202">
        <v>-0.81982250000000001</v>
      </c>
      <c r="U5202">
        <v>-0.46229550000000003</v>
      </c>
      <c r="V5202">
        <v>3.045608E-2</v>
      </c>
      <c r="W5202">
        <v>2.321399E-2</v>
      </c>
      <c r="X5202">
        <v>0.99926649999999995</v>
      </c>
      <c r="Y5202">
        <v>0.1545832</v>
      </c>
      <c r="Z5202">
        <v>-2.2860060000000001E-2</v>
      </c>
      <c r="AA5202">
        <v>0.98771520000000002</v>
      </c>
      <c r="AB5202">
        <v>36</v>
      </c>
      <c r="AC5202">
        <v>0.43029999999998803</v>
      </c>
      <c r="AD5202">
        <v>-0.25483309999999998</v>
      </c>
      <c r="AE5202">
        <v>-0.14750000000000699</v>
      </c>
      <c r="AF5202">
        <v>0.115067387108756</v>
      </c>
      <c r="AG5202">
        <v>-0.25483309999999998</v>
      </c>
      <c r="AH5202">
        <v>0.32653707970574802</v>
      </c>
      <c r="AI5202">
        <v>126.35484837226799</v>
      </c>
      <c r="AJ5202">
        <v>70.588210343727098</v>
      </c>
      <c r="AK5202">
        <v>0.42989170363523499</v>
      </c>
      <c r="AL5202">
        <v>88.669816858952402</v>
      </c>
      <c r="AM5202">
        <v>88.254254682394503</v>
      </c>
      <c r="AN5202">
        <v>1.0000000000814599</v>
      </c>
    </row>
    <row r="5203" spans="1:40" x14ac:dyDescent="0.25">
      <c r="A5203" t="str">
        <f>"20190312150756301"</f>
        <v>20190312150756301</v>
      </c>
      <c r="B5203" t="str">
        <f>"1552374476294959"</f>
        <v>1552374476294959</v>
      </c>
      <c r="C5203" t="s">
        <v>40</v>
      </c>
      <c r="D5203">
        <v>4.4959290000000003</v>
      </c>
      <c r="E5203">
        <v>0.55027490000000001</v>
      </c>
      <c r="F5203" t="s">
        <v>41</v>
      </c>
      <c r="G5203">
        <v>-403.66090000000003</v>
      </c>
      <c r="H5203">
        <v>0.899037999999999</v>
      </c>
      <c r="I5203">
        <v>213.67179999999999</v>
      </c>
      <c r="J5203">
        <v>-404.05590000000001</v>
      </c>
      <c r="K5203">
        <v>1.108152</v>
      </c>
      <c r="L5203">
        <v>213.7936</v>
      </c>
      <c r="M5203">
        <v>0.99996320000000005</v>
      </c>
      <c r="N5203">
        <v>0</v>
      </c>
      <c r="O5203">
        <v>7.3954750000000003E-3</v>
      </c>
      <c r="P5203">
        <v>0.99956719999999999</v>
      </c>
      <c r="Q5203">
        <v>1.904672E-2</v>
      </c>
      <c r="R5203">
        <v>-2.2422299999999999E-2</v>
      </c>
      <c r="S5203">
        <v>3.0068049999999999</v>
      </c>
      <c r="T5203">
        <v>-0.8183414</v>
      </c>
      <c r="U5203">
        <v>-0.4671631</v>
      </c>
      <c r="V5203">
        <v>2.987277E-2</v>
      </c>
      <c r="W5203">
        <v>2.333031E-2</v>
      </c>
      <c r="X5203">
        <v>0.99928139999999999</v>
      </c>
      <c r="Y5203">
        <v>0.15505639999999901</v>
      </c>
      <c r="Z5203">
        <v>-2.2572140000000001E-2</v>
      </c>
      <c r="AA5203">
        <v>0.98764770000000002</v>
      </c>
      <c r="AB5203">
        <v>36</v>
      </c>
      <c r="AC5203">
        <v>0.39499999999998098</v>
      </c>
      <c r="AD5203">
        <v>-0.20911399999999999</v>
      </c>
      <c r="AE5203">
        <v>-0.121800000000007</v>
      </c>
      <c r="AF5203">
        <v>9.9303046071972406E-2</v>
      </c>
      <c r="AG5203">
        <v>-0.20911399999999999</v>
      </c>
      <c r="AH5203">
        <v>0.313781563367105</v>
      </c>
      <c r="AI5203">
        <v>122.430780839639</v>
      </c>
      <c r="AJ5203">
        <v>72.438884298674907</v>
      </c>
      <c r="AK5203">
        <v>0.38993413477698602</v>
      </c>
      <c r="AL5203">
        <v>88.663150409700805</v>
      </c>
      <c r="AM5203">
        <v>88.287695482938105</v>
      </c>
      <c r="AN5203">
        <v>1.00000000106906</v>
      </c>
    </row>
    <row r="5204" spans="1:40" x14ac:dyDescent="0.25">
      <c r="A5204" t="str">
        <f>"20190312150756323"</f>
        <v>20190312150756323</v>
      </c>
      <c r="B5204" t="str">
        <f>"1552374476315454"</f>
        <v>1552374476315454</v>
      </c>
      <c r="C5204" t="s">
        <v>40</v>
      </c>
      <c r="D5204">
        <v>4.4819420000000001</v>
      </c>
      <c r="E5204">
        <v>0.55023759999999999</v>
      </c>
      <c r="F5204" t="s">
        <v>41</v>
      </c>
      <c r="G5204">
        <v>-403.33429999999998</v>
      </c>
      <c r="H5204">
        <v>0.91186789999999995</v>
      </c>
      <c r="I5204">
        <v>213.6806</v>
      </c>
      <c r="J5204">
        <v>-403.69159999999999</v>
      </c>
      <c r="K5204">
        <v>1.1081209999999999</v>
      </c>
      <c r="L5204">
        <v>213.7953</v>
      </c>
      <c r="M5204">
        <v>0.99997020000000003</v>
      </c>
      <c r="N5204">
        <v>0</v>
      </c>
      <c r="O5204">
        <v>6.2319289999999998E-3</v>
      </c>
      <c r="P5204">
        <v>0.99954509999999996</v>
      </c>
      <c r="Q5204">
        <v>1.8428739999999999E-2</v>
      </c>
      <c r="R5204">
        <v>-2.3877120000000002E-2</v>
      </c>
      <c r="S5204">
        <v>3.0062869999999999</v>
      </c>
      <c r="T5204">
        <v>-0.81774709999999995</v>
      </c>
      <c r="U5204">
        <v>-0.46961979999999998</v>
      </c>
      <c r="V5204">
        <v>3.016547E-2</v>
      </c>
      <c r="W5204">
        <v>2.2932250000000001E-2</v>
      </c>
      <c r="X5204">
        <v>0.9992818</v>
      </c>
      <c r="Y5204">
        <v>0.15478029999999901</v>
      </c>
      <c r="Z5204">
        <v>-2.2212869999999999E-2</v>
      </c>
      <c r="AA5204">
        <v>0.9876992</v>
      </c>
      <c r="AB5204">
        <v>36</v>
      </c>
      <c r="AC5204">
        <v>0.357300000000009</v>
      </c>
      <c r="AD5204">
        <v>-0.19625310000000001</v>
      </c>
      <c r="AE5204">
        <v>-0.114699999999999</v>
      </c>
      <c r="AF5204">
        <v>9.1812874279906406E-2</v>
      </c>
      <c r="AG5204">
        <v>-0.19625310000000001</v>
      </c>
      <c r="AH5204">
        <v>0.27999678679126799</v>
      </c>
      <c r="AI5204">
        <v>123.664399546155</v>
      </c>
      <c r="AJ5204">
        <v>71.845326522675606</v>
      </c>
      <c r="AK5204">
        <v>0.35403825182680798</v>
      </c>
      <c r="AL5204">
        <v>88.685963643793599</v>
      </c>
      <c r="AM5204">
        <v>88.270928771814098</v>
      </c>
      <c r="AN5204">
        <v>0.99999997974081101</v>
      </c>
    </row>
    <row r="5205" spans="1:40" x14ac:dyDescent="0.25">
      <c r="A5205" t="str">
        <f>"20190312150756345"</f>
        <v>20190312150756345</v>
      </c>
      <c r="B5205" t="str">
        <f>"1552374476334978"</f>
        <v>1552374476334978</v>
      </c>
      <c r="C5205" t="s">
        <v>40</v>
      </c>
      <c r="D5205">
        <v>4.5103299999999997</v>
      </c>
      <c r="E5205">
        <v>0.55027930000000003</v>
      </c>
      <c r="F5205" t="s">
        <v>41</v>
      </c>
      <c r="G5205">
        <v>-403.00790000000001</v>
      </c>
      <c r="H5205">
        <v>0.92160359999999997</v>
      </c>
      <c r="I5205">
        <v>213.6876</v>
      </c>
      <c r="J5205">
        <v>-403.33510000000001</v>
      </c>
      <c r="K5205">
        <v>1.1080859999999999</v>
      </c>
      <c r="L5205">
        <v>213.79650000000001</v>
      </c>
      <c r="M5205">
        <v>0.99997590000000003</v>
      </c>
      <c r="N5205">
        <v>0</v>
      </c>
      <c r="O5205">
        <v>5.071486E-3</v>
      </c>
      <c r="P5205">
        <v>0.99950110000000003</v>
      </c>
      <c r="Q5205">
        <v>1.7219379999999999E-2</v>
      </c>
      <c r="R5205">
        <v>-2.648323E-2</v>
      </c>
      <c r="S5205">
        <v>3.005188</v>
      </c>
      <c r="T5205">
        <v>-0.81983050000000002</v>
      </c>
      <c r="U5205">
        <v>-0.4733887</v>
      </c>
      <c r="V5205">
        <v>3.1610649999999997E-2</v>
      </c>
      <c r="W5205">
        <v>2.1917320000000001E-2</v>
      </c>
      <c r="X5205">
        <v>0.99925989999999998</v>
      </c>
      <c r="Y5205">
        <v>0.15490470000000001</v>
      </c>
      <c r="Z5205">
        <v>-2.1980650000000001E-2</v>
      </c>
      <c r="AA5205">
        <v>0.98768480000000003</v>
      </c>
      <c r="AB5205">
        <v>36</v>
      </c>
      <c r="AC5205">
        <v>0.32720000000000399</v>
      </c>
      <c r="AD5205">
        <v>-0.18648239999999999</v>
      </c>
      <c r="AE5205">
        <v>-0.10890000000000501</v>
      </c>
      <c r="AF5205">
        <v>8.5542639327020095E-2</v>
      </c>
      <c r="AG5205">
        <v>-0.18648239999999999</v>
      </c>
      <c r="AH5205">
        <v>0.25273562367428998</v>
      </c>
      <c r="AI5205">
        <v>124.94998777381799</v>
      </c>
      <c r="AJ5205">
        <v>71.300742336906097</v>
      </c>
      <c r="AK5205">
        <v>0.325528069645038</v>
      </c>
      <c r="AL5205">
        <v>88.744129473724698</v>
      </c>
      <c r="AM5205">
        <v>88.188105972015407</v>
      </c>
      <c r="AN5205">
        <v>0.99999997492870696</v>
      </c>
    </row>
    <row r="5206" spans="1:40" x14ac:dyDescent="0.25">
      <c r="A5206" t="str">
        <f>"20190312150756367"</f>
        <v>20190312150756367</v>
      </c>
      <c r="B5206" t="str">
        <f>"1552374476355471"</f>
        <v>1552374476355471</v>
      </c>
      <c r="C5206" t="s">
        <v>40</v>
      </c>
      <c r="D5206">
        <v>4.4984330000000003</v>
      </c>
      <c r="E5206">
        <v>0.55027090000000001</v>
      </c>
      <c r="F5206" t="s">
        <v>41</v>
      </c>
      <c r="G5206">
        <v>-402.38850000000002</v>
      </c>
      <c r="H5206">
        <v>0.84844089999999905</v>
      </c>
      <c r="I5206">
        <v>213.64529999999999</v>
      </c>
      <c r="J5206">
        <v>-402.98700000000002</v>
      </c>
      <c r="K5206">
        <v>1.108053</v>
      </c>
      <c r="L5206">
        <v>213.79730000000001</v>
      </c>
      <c r="M5206">
        <v>0.99997990000000003</v>
      </c>
      <c r="N5206">
        <v>0</v>
      </c>
      <c r="O5206">
        <v>3.9226779999999998E-3</v>
      </c>
      <c r="P5206">
        <v>0.99944900000000003</v>
      </c>
      <c r="Q5206">
        <v>1.6545750000000001E-2</v>
      </c>
      <c r="R5206">
        <v>-2.8770460000000001E-2</v>
      </c>
      <c r="S5206">
        <v>3.0029910000000002</v>
      </c>
      <c r="T5206">
        <v>-0.82375589999999999</v>
      </c>
      <c r="U5206">
        <v>-0.47993469999999999</v>
      </c>
      <c r="V5206">
        <v>3.2749630000000002E-2</v>
      </c>
      <c r="W5206">
        <v>2.1421530000000001E-2</v>
      </c>
      <c r="X5206">
        <v>0.99923399999999996</v>
      </c>
      <c r="Y5206">
        <v>0.15592710000000001</v>
      </c>
      <c r="Z5206">
        <v>-2.19233E-2</v>
      </c>
      <c r="AA5206">
        <v>0.98752519999999999</v>
      </c>
      <c r="AB5206">
        <v>36</v>
      </c>
      <c r="AC5206">
        <v>0.59849999999994397</v>
      </c>
      <c r="AD5206">
        <v>-0.25961210000000001</v>
      </c>
      <c r="AE5206">
        <v>-0.15200000000001501</v>
      </c>
      <c r="AF5206">
        <v>0.13116269460998001</v>
      </c>
      <c r="AG5206">
        <v>-0.25961210000000001</v>
      </c>
      <c r="AH5206">
        <v>0.50809069541600305</v>
      </c>
      <c r="AI5206">
        <v>116.32331940341599</v>
      </c>
      <c r="AJ5206">
        <v>75.525211043627607</v>
      </c>
      <c r="AK5206">
        <v>0.58545559156274096</v>
      </c>
      <c r="AL5206">
        <v>88.772542856035102</v>
      </c>
      <c r="AM5206">
        <v>88.122817937645607</v>
      </c>
      <c r="AN5206">
        <v>1.0000000034843299</v>
      </c>
    </row>
    <row r="5207" spans="1:40" x14ac:dyDescent="0.25">
      <c r="A5207" t="str">
        <f>"20190312150756389"</f>
        <v>20190312150756389</v>
      </c>
      <c r="B5207" t="str">
        <f>"1552374476384751"</f>
        <v>1552374476384751</v>
      </c>
      <c r="C5207" t="s">
        <v>40</v>
      </c>
      <c r="D5207">
        <v>4.4961529999999996</v>
      </c>
      <c r="E5207">
        <v>0.55037069999999999</v>
      </c>
      <c r="F5207" t="s">
        <v>41</v>
      </c>
      <c r="G5207">
        <v>-402.06139999999999</v>
      </c>
      <c r="H5207">
        <v>0.8534408</v>
      </c>
      <c r="I5207">
        <v>213.64680000000001</v>
      </c>
      <c r="J5207">
        <v>-402.6189</v>
      </c>
      <c r="K5207">
        <v>1.108026</v>
      </c>
      <c r="L5207">
        <v>213.79769999999999</v>
      </c>
      <c r="M5207">
        <v>0.99998310000000001</v>
      </c>
      <c r="N5207">
        <v>0</v>
      </c>
      <c r="O5207">
        <v>2.694789E-3</v>
      </c>
      <c r="P5207">
        <v>0.99941069999999999</v>
      </c>
      <c r="Q5207">
        <v>1.648432E-2</v>
      </c>
      <c r="R5207">
        <v>-3.0113190000000001E-2</v>
      </c>
      <c r="S5207">
        <v>3.0012210000000001</v>
      </c>
      <c r="T5207">
        <v>-0.82553770000000004</v>
      </c>
      <c r="U5207">
        <v>-0.48738100000000001</v>
      </c>
      <c r="V5207">
        <v>3.2866449999999998E-2</v>
      </c>
      <c r="W5207">
        <v>2.1538330000000001E-2</v>
      </c>
      <c r="X5207">
        <v>0.99922759999999999</v>
      </c>
      <c r="Y5207">
        <v>0.15716559999999999</v>
      </c>
      <c r="Z5207">
        <v>-2.1813929999999999E-2</v>
      </c>
      <c r="AA5207">
        <v>0.98733130000000002</v>
      </c>
      <c r="AB5207">
        <v>36</v>
      </c>
      <c r="AC5207">
        <v>0.55750000000000399</v>
      </c>
      <c r="AD5207">
        <v>-0.25458519999999901</v>
      </c>
      <c r="AE5207">
        <v>-0.150899999999978</v>
      </c>
      <c r="AF5207">
        <v>0.12760777811030599</v>
      </c>
      <c r="AG5207">
        <v>-0.25458519999999901</v>
      </c>
      <c r="AH5207">
        <v>0.46645891665232803</v>
      </c>
      <c r="AI5207">
        <v>117.764068796142</v>
      </c>
      <c r="AJ5207">
        <v>74.700107576960093</v>
      </c>
      <c r="AK5207">
        <v>0.54651741968372103</v>
      </c>
      <c r="AL5207">
        <v>88.765849098493405</v>
      </c>
      <c r="AM5207">
        <v>88.116114669531498</v>
      </c>
      <c r="AN5207">
        <v>0.99999994989827401</v>
      </c>
    </row>
    <row r="5208" spans="1:40" x14ac:dyDescent="0.25">
      <c r="A5208" t="str">
        <f>"20190312150756413"</f>
        <v>20190312150756413</v>
      </c>
      <c r="B5208" t="str">
        <f>"1552374476405247"</f>
        <v>1552374476405247</v>
      </c>
      <c r="C5208" t="s">
        <v>40</v>
      </c>
      <c r="D5208">
        <v>4.4457240000000002</v>
      </c>
      <c r="E5208">
        <v>0.55024329999999999</v>
      </c>
      <c r="F5208" t="s">
        <v>41</v>
      </c>
      <c r="G5208">
        <v>-401.73149999999998</v>
      </c>
      <c r="H5208">
        <v>0.86363009999999996</v>
      </c>
      <c r="I5208">
        <v>213.65180000000001</v>
      </c>
      <c r="J5208">
        <v>-402.24299999999999</v>
      </c>
      <c r="K5208">
        <v>1.1080030000000001</v>
      </c>
      <c r="L5208">
        <v>213.79759999999999</v>
      </c>
      <c r="M5208">
        <v>0.99998480000000001</v>
      </c>
      <c r="N5208">
        <v>0</v>
      </c>
      <c r="O5208">
        <v>1.432018E-3</v>
      </c>
      <c r="P5208">
        <v>0.99939040000000001</v>
      </c>
      <c r="Q5208">
        <v>1.6502940000000001E-2</v>
      </c>
      <c r="R5208">
        <v>-3.0766809999999999E-2</v>
      </c>
      <c r="S5208">
        <v>3.0005489999999999</v>
      </c>
      <c r="T5208">
        <v>-0.82628769999999996</v>
      </c>
      <c r="U5208">
        <v>-0.4928131</v>
      </c>
      <c r="V5208">
        <v>3.2259830000000003E-2</v>
      </c>
      <c r="W5208">
        <v>2.1730449999999998E-2</v>
      </c>
      <c r="X5208">
        <v>0.99924329999999995</v>
      </c>
      <c r="Y5208">
        <v>0.15771109999999999</v>
      </c>
      <c r="Z5208">
        <v>-2.156872E-2</v>
      </c>
      <c r="AA5208">
        <v>0.98724970000000001</v>
      </c>
      <c r="AB5208">
        <v>36</v>
      </c>
      <c r="AC5208">
        <v>0.51150000000006901</v>
      </c>
      <c r="AD5208">
        <v>-0.2443729</v>
      </c>
      <c r="AE5208">
        <v>-0.145799999999979</v>
      </c>
      <c r="AF5208">
        <v>0.12099109328827699</v>
      </c>
      <c r="AG5208">
        <v>-0.2443729</v>
      </c>
      <c r="AH5208">
        <v>0.42217042116672698</v>
      </c>
      <c r="AI5208">
        <v>119.093652861984</v>
      </c>
      <c r="AJ5208">
        <v>74.008067311623606</v>
      </c>
      <c r="AK5208">
        <v>0.502578176423921</v>
      </c>
      <c r="AL5208">
        <v>88.754838969065702</v>
      </c>
      <c r="AM5208">
        <v>88.150890433446605</v>
      </c>
      <c r="AN5208">
        <v>1.0000000408418599</v>
      </c>
    </row>
    <row r="5209" spans="1:40" x14ac:dyDescent="0.25">
      <c r="A5209" t="str">
        <f>"20190312150756436"</f>
        <v>20190312150756436</v>
      </c>
      <c r="B5209" t="str">
        <f>"1552374476424767"</f>
        <v>1552374476424767</v>
      </c>
      <c r="C5209" t="s">
        <v>40</v>
      </c>
      <c r="D5209">
        <v>4.5257820000000004</v>
      </c>
      <c r="E5209">
        <v>0.55010190000000003</v>
      </c>
      <c r="F5209" t="s">
        <v>41</v>
      </c>
      <c r="G5209">
        <v>-401.40010000000001</v>
      </c>
      <c r="H5209">
        <v>0.87564809999999904</v>
      </c>
      <c r="I5209">
        <v>213.6584</v>
      </c>
      <c r="J5209">
        <v>-401.85930000000002</v>
      </c>
      <c r="K5209">
        <v>1.107977</v>
      </c>
      <c r="L5209">
        <v>213.797</v>
      </c>
      <c r="M5209">
        <v>0.99998500000000001</v>
      </c>
      <c r="N5209">
        <v>0</v>
      </c>
      <c r="O5209">
        <v>1.3827309999999999E-4</v>
      </c>
      <c r="P5209">
        <v>0.99939599999999995</v>
      </c>
      <c r="Q5209">
        <v>1.5845250000000002E-2</v>
      </c>
      <c r="R5209">
        <v>-3.0931230000000001E-2</v>
      </c>
      <c r="S5209">
        <v>3.0002749999999998</v>
      </c>
      <c r="T5209">
        <v>-0.827022699999999</v>
      </c>
      <c r="U5209">
        <v>-0.49415589999999998</v>
      </c>
      <c r="V5209">
        <v>3.1130700000000001E-2</v>
      </c>
      <c r="W5209">
        <v>2.1245610000000002E-2</v>
      </c>
      <c r="X5209">
        <v>0.99928950000000005</v>
      </c>
      <c r="Y5209">
        <v>0.156944</v>
      </c>
      <c r="Z5209">
        <v>-2.1137340000000001E-2</v>
      </c>
      <c r="AA5209">
        <v>0.98738130000000002</v>
      </c>
      <c r="AB5209">
        <v>36</v>
      </c>
      <c r="AC5209">
        <v>0.45920000000000899</v>
      </c>
      <c r="AD5209">
        <v>-0.2323289</v>
      </c>
      <c r="AE5209">
        <v>-0.138599999999996</v>
      </c>
      <c r="AF5209">
        <v>0.11231402942422899</v>
      </c>
      <c r="AG5209">
        <v>-0.2323289</v>
      </c>
      <c r="AH5209">
        <v>0.37192520975356702</v>
      </c>
      <c r="AI5209">
        <v>120.879182350883</v>
      </c>
      <c r="AJ5209">
        <v>73.196726289615498</v>
      </c>
      <c r="AK5209">
        <v>0.45268037358709401</v>
      </c>
      <c r="AL5209">
        <v>88.782624620530001</v>
      </c>
      <c r="AM5209">
        <v>88.215651173831205</v>
      </c>
      <c r="AN5209">
        <v>1.0000000006184999</v>
      </c>
    </row>
    <row r="5210" spans="1:40" x14ac:dyDescent="0.25">
      <c r="A5210" t="str">
        <f>"20190312150756459"</f>
        <v>20190312150756459</v>
      </c>
      <c r="B5210" t="str">
        <f>"1552374476455023"</f>
        <v>1552374476455023</v>
      </c>
      <c r="C5210" t="s">
        <v>40</v>
      </c>
      <c r="D5210">
        <v>4.5114669999999997</v>
      </c>
      <c r="E5210">
        <v>0.54985640000000002</v>
      </c>
      <c r="F5210" t="s">
        <v>41</v>
      </c>
      <c r="G5210">
        <v>-401.0677</v>
      </c>
      <c r="H5210">
        <v>0.88839729999999995</v>
      </c>
      <c r="I5210">
        <v>213.66640000000001</v>
      </c>
      <c r="J5210">
        <v>-401.49079999999998</v>
      </c>
      <c r="K5210">
        <v>1.1079650000000001</v>
      </c>
      <c r="L5210">
        <v>213.7961</v>
      </c>
      <c r="M5210">
        <v>0.99998339999999997</v>
      </c>
      <c r="N5210">
        <v>0</v>
      </c>
      <c r="O5210">
        <v>-1.106026E-3</v>
      </c>
      <c r="P5210">
        <v>0.99938289999999996</v>
      </c>
      <c r="Q5210">
        <v>1.5169149999999999E-2</v>
      </c>
      <c r="R5210">
        <v>-3.1688620000000001E-2</v>
      </c>
      <c r="S5210">
        <v>2.9997250000000002</v>
      </c>
      <c r="T5210">
        <v>-0.83192489999999997</v>
      </c>
      <c r="U5210">
        <v>-0.49366759999999899</v>
      </c>
      <c r="V5210">
        <v>3.0643569999999998E-2</v>
      </c>
      <c r="W5210">
        <v>2.073504E-2</v>
      </c>
      <c r="X5210">
        <v>0.99931530000000002</v>
      </c>
      <c r="Y5210">
        <v>0.15561459999999999</v>
      </c>
      <c r="Z5210">
        <v>-2.074581E-2</v>
      </c>
      <c r="AA5210">
        <v>0.98760000000000003</v>
      </c>
      <c r="AB5210">
        <v>37</v>
      </c>
      <c r="AC5210">
        <v>0.423099999999976</v>
      </c>
      <c r="AD5210">
        <v>-0.21956769999999901</v>
      </c>
      <c r="AE5210">
        <v>-0.12969999999998499</v>
      </c>
      <c r="AF5210">
        <v>0.103702842120173</v>
      </c>
      <c r="AG5210">
        <v>-0.21956769999999901</v>
      </c>
      <c r="AH5210">
        <v>0.339633666592706</v>
      </c>
      <c r="AI5210">
        <v>121.72865078821199</v>
      </c>
      <c r="AJ5210">
        <v>73.020612322064295</v>
      </c>
      <c r="AK5210">
        <v>0.41751081642311599</v>
      </c>
      <c r="AL5210">
        <v>88.811884596046696</v>
      </c>
      <c r="AM5210">
        <v>88.243600171390398</v>
      </c>
      <c r="AN5210">
        <v>1.00000001954011</v>
      </c>
    </row>
    <row r="5211" spans="1:40" x14ac:dyDescent="0.25">
      <c r="A5211" t="str">
        <f>"20190312150756481"</f>
        <v>20190312150756481</v>
      </c>
      <c r="B5211" t="str">
        <f>"1552374476475519"</f>
        <v>1552374476475519</v>
      </c>
      <c r="C5211" t="s">
        <v>40</v>
      </c>
      <c r="D5211">
        <v>4.4740190000000002</v>
      </c>
      <c r="E5211">
        <v>0.5497746</v>
      </c>
      <c r="F5211" t="s">
        <v>41</v>
      </c>
      <c r="G5211">
        <v>-400.73610000000002</v>
      </c>
      <c r="H5211">
        <v>0.89669639999999995</v>
      </c>
      <c r="I5211">
        <v>213.6711</v>
      </c>
      <c r="J5211">
        <v>-401.12580000000003</v>
      </c>
      <c r="K5211">
        <v>1.1079680000000001</v>
      </c>
      <c r="L5211">
        <v>213.7946</v>
      </c>
      <c r="M5211">
        <v>0.99998039999999999</v>
      </c>
      <c r="N5211">
        <v>0</v>
      </c>
      <c r="O5211">
        <v>-2.338297E-3</v>
      </c>
      <c r="P5211">
        <v>0.9993727</v>
      </c>
      <c r="Q5211">
        <v>1.4851700000000001E-2</v>
      </c>
      <c r="R5211">
        <v>-3.2158810000000003E-2</v>
      </c>
      <c r="S5211">
        <v>2.998901</v>
      </c>
      <c r="T5211">
        <v>-0.83930469999999902</v>
      </c>
      <c r="U5211">
        <v>-0.4942627</v>
      </c>
      <c r="V5211">
        <v>2.9882479999999999E-2</v>
      </c>
      <c r="W5211">
        <v>2.0586770000000001E-2</v>
      </c>
      <c r="X5211">
        <v>0.99934140000000005</v>
      </c>
      <c r="Y5211">
        <v>0.15461429999999901</v>
      </c>
      <c r="Z5211">
        <v>-2.0455649999999999E-2</v>
      </c>
      <c r="AA5211">
        <v>0.9877631</v>
      </c>
      <c r="AB5211">
        <v>37</v>
      </c>
      <c r="AC5211">
        <v>0.38970000000000399</v>
      </c>
      <c r="AD5211">
        <v>-0.2112716</v>
      </c>
      <c r="AE5211">
        <v>-0.12350000000000699</v>
      </c>
      <c r="AF5211">
        <v>9.6747968034256795E-2</v>
      </c>
      <c r="AG5211">
        <v>-0.2112716</v>
      </c>
      <c r="AH5211">
        <v>0.30778210247943899</v>
      </c>
      <c r="AI5211">
        <v>123.218469949748</v>
      </c>
      <c r="AJ5211">
        <v>72.550024605249504</v>
      </c>
      <c r="AK5211">
        <v>0.385649686752085</v>
      </c>
      <c r="AL5211">
        <v>88.820381638602299</v>
      </c>
      <c r="AM5211">
        <v>88.287242016222507</v>
      </c>
      <c r="AN5211">
        <v>1.00000000573197</v>
      </c>
    </row>
    <row r="5212" spans="1:40" x14ac:dyDescent="0.25">
      <c r="A5212" t="str">
        <f>"20190312150756503"</f>
        <v>20190312150756503</v>
      </c>
      <c r="B5212" t="str">
        <f>"1552374476495040"</f>
        <v>1552374476495040</v>
      </c>
      <c r="C5212" t="s">
        <v>40</v>
      </c>
      <c r="D5212">
        <v>4.484534</v>
      </c>
      <c r="E5212">
        <v>0.54979290000000003</v>
      </c>
      <c r="F5212" t="s">
        <v>41</v>
      </c>
      <c r="G5212">
        <v>-400.40370000000001</v>
      </c>
      <c r="H5212">
        <v>0.90529579999999998</v>
      </c>
      <c r="I5212">
        <v>213.67500000000001</v>
      </c>
      <c r="J5212">
        <v>-400.75909999999999</v>
      </c>
      <c r="K5212">
        <v>1.1079699999999999</v>
      </c>
      <c r="L5212">
        <v>213.7927</v>
      </c>
      <c r="M5212">
        <v>0.99997550000000002</v>
      </c>
      <c r="N5212">
        <v>0</v>
      </c>
      <c r="O5212">
        <v>-3.568571E-3</v>
      </c>
      <c r="P5212">
        <v>0.99935439999999998</v>
      </c>
      <c r="Q5212">
        <v>1.495847E-2</v>
      </c>
      <c r="R5212">
        <v>-3.2665449999999999E-2</v>
      </c>
      <c r="S5212">
        <v>2.9984440000000001</v>
      </c>
      <c r="T5212">
        <v>-0.84158929999999998</v>
      </c>
      <c r="U5212">
        <v>-0.49588009999999899</v>
      </c>
      <c r="V5212">
        <v>2.9160729999999999E-2</v>
      </c>
      <c r="W5212">
        <v>2.0872809999999999E-2</v>
      </c>
      <c r="X5212">
        <v>0.99935680000000005</v>
      </c>
      <c r="Y5212">
        <v>0.1539816</v>
      </c>
      <c r="Z5212">
        <v>-2.0088310000000002E-2</v>
      </c>
      <c r="AA5212">
        <v>0.98786949999999996</v>
      </c>
      <c r="AB5212">
        <v>37</v>
      </c>
      <c r="AC5212">
        <v>0.35539999999997401</v>
      </c>
      <c r="AD5212">
        <v>-0.2026742</v>
      </c>
      <c r="AE5212">
        <v>-0.117699999999985</v>
      </c>
      <c r="AF5212">
        <v>9.00425565817429E-2</v>
      </c>
      <c r="AG5212">
        <v>-0.2026742</v>
      </c>
      <c r="AH5212">
        <v>0.27517373374335802</v>
      </c>
      <c r="AI5212">
        <v>124.99234488065299</v>
      </c>
      <c r="AJ5212">
        <v>71.880829559991994</v>
      </c>
      <c r="AK5212">
        <v>0.35341912382280199</v>
      </c>
      <c r="AL5212">
        <v>88.803989246104194</v>
      </c>
      <c r="AM5212">
        <v>88.328612158012902</v>
      </c>
      <c r="AN5212">
        <v>1.00000001803883</v>
      </c>
    </row>
    <row r="5213" spans="1:40" x14ac:dyDescent="0.25">
      <c r="A5213" t="str">
        <f>"20190312150756527"</f>
        <v>20190312150756527</v>
      </c>
      <c r="B5213" t="str">
        <f>"1552374476515535"</f>
        <v>1552374476515535</v>
      </c>
      <c r="C5213" t="s">
        <v>40</v>
      </c>
      <c r="D5213">
        <v>4.5079289999999999</v>
      </c>
      <c r="E5213">
        <v>0.54987140000000001</v>
      </c>
      <c r="F5213" t="s">
        <v>41</v>
      </c>
      <c r="G5213">
        <v>-400.0702</v>
      </c>
      <c r="H5213">
        <v>0.91479600000000005</v>
      </c>
      <c r="I5213">
        <v>213.67779999999999</v>
      </c>
      <c r="J5213">
        <v>-400.37560000000002</v>
      </c>
      <c r="K5213">
        <v>1.1079859999999999</v>
      </c>
      <c r="L5213">
        <v>213.7902</v>
      </c>
      <c r="M5213">
        <v>0.99996910000000006</v>
      </c>
      <c r="N5213">
        <v>0</v>
      </c>
      <c r="O5213">
        <v>-4.8394179999999998E-3</v>
      </c>
      <c r="P5213">
        <v>0.9993476</v>
      </c>
      <c r="Q5213">
        <v>1.473817E-2</v>
      </c>
      <c r="R5213">
        <v>-3.2978029999999998E-2</v>
      </c>
      <c r="S5213">
        <v>2.99823</v>
      </c>
      <c r="T5213">
        <v>-0.84065270000000003</v>
      </c>
      <c r="U5213">
        <v>-0.49827579999999999</v>
      </c>
      <c r="V5213">
        <v>2.820303E-2</v>
      </c>
      <c r="W5213">
        <v>2.085279E-2</v>
      </c>
      <c r="X5213">
        <v>0.99938470000000001</v>
      </c>
      <c r="Y5213">
        <v>0.153582</v>
      </c>
      <c r="Z5213">
        <v>-1.966501E-2</v>
      </c>
      <c r="AA5213">
        <v>0.98794020000000005</v>
      </c>
      <c r="AB5213">
        <v>37</v>
      </c>
      <c r="AC5213">
        <v>0.30540000000001999</v>
      </c>
      <c r="AD5213">
        <v>-0.19319</v>
      </c>
      <c r="AE5213">
        <v>-0.11240000000000799</v>
      </c>
      <c r="AF5213">
        <v>8.2016417723269897E-2</v>
      </c>
      <c r="AG5213">
        <v>-0.19319</v>
      </c>
      <c r="AH5213">
        <v>0.22621688319712199</v>
      </c>
      <c r="AI5213">
        <v>128.759757740521</v>
      </c>
      <c r="AJ5213">
        <v>70.0715545142086</v>
      </c>
      <c r="AK5213">
        <v>0.30858248025378598</v>
      </c>
      <c r="AL5213">
        <v>88.805136552684004</v>
      </c>
      <c r="AM5213">
        <v>88.3835195526582</v>
      </c>
      <c r="AN5213">
        <v>1.0000000141730201</v>
      </c>
    </row>
    <row r="5214" spans="1:40" x14ac:dyDescent="0.25">
      <c r="A5214" t="str">
        <f>"20190312150756547"</f>
        <v>20190312150756547</v>
      </c>
      <c r="B5214" t="str">
        <f>"1552374476535058"</f>
        <v>1552374476535058</v>
      </c>
      <c r="C5214" t="s">
        <v>40</v>
      </c>
      <c r="D5214">
        <v>4.4920949999999999</v>
      </c>
      <c r="E5214">
        <v>0.54987249999999999</v>
      </c>
      <c r="F5214" t="s">
        <v>41</v>
      </c>
      <c r="G5214">
        <v>-399.43650000000002</v>
      </c>
      <c r="H5214">
        <v>0.84471980000000002</v>
      </c>
      <c r="I5214">
        <v>213.63319999999999</v>
      </c>
      <c r="J5214">
        <v>-400.03100000000001</v>
      </c>
      <c r="K5214">
        <v>1.108007</v>
      </c>
      <c r="L5214">
        <v>213.7876</v>
      </c>
      <c r="M5214">
        <v>0.99996189999999996</v>
      </c>
      <c r="N5214">
        <v>0</v>
      </c>
      <c r="O5214">
        <v>-5.9604139999999998E-3</v>
      </c>
      <c r="P5214">
        <v>0.99934339999999999</v>
      </c>
      <c r="Q5214">
        <v>1.4542930000000001E-2</v>
      </c>
      <c r="R5214">
        <v>-3.3186479999999997E-2</v>
      </c>
      <c r="S5214">
        <v>2.997833</v>
      </c>
      <c r="T5214">
        <v>-0.8403427</v>
      </c>
      <c r="U5214">
        <v>-0.50073239999999997</v>
      </c>
      <c r="V5214">
        <v>2.7291039999999999E-2</v>
      </c>
      <c r="W5214">
        <v>2.08442E-2</v>
      </c>
      <c r="X5214">
        <v>0.99941020000000003</v>
      </c>
      <c r="Y5214">
        <v>0.153339</v>
      </c>
      <c r="Z5214">
        <v>-1.9319840000000001E-2</v>
      </c>
      <c r="AA5214">
        <v>0.9879848</v>
      </c>
      <c r="AB5214">
        <v>37</v>
      </c>
      <c r="AC5214">
        <v>0.59449999999998204</v>
      </c>
      <c r="AD5214">
        <v>-0.263287199999999</v>
      </c>
      <c r="AE5214">
        <v>-0.154400000000009</v>
      </c>
      <c r="AF5214">
        <v>0.127438040195892</v>
      </c>
      <c r="AG5214">
        <v>-0.263287199999999</v>
      </c>
      <c r="AH5214">
        <v>0.50298959556647405</v>
      </c>
      <c r="AI5214">
        <v>116.90378601464801</v>
      </c>
      <c r="AJ5214">
        <v>75.782646967209601</v>
      </c>
      <c r="AK5214">
        <v>0.581858347900015</v>
      </c>
      <c r="AL5214">
        <v>88.805628831052005</v>
      </c>
      <c r="AM5214">
        <v>88.435804516971899</v>
      </c>
      <c r="AN5214">
        <v>1.00000001470098</v>
      </c>
    </row>
    <row r="5215" spans="1:40" x14ac:dyDescent="0.25">
      <c r="A5215" t="str">
        <f>"20190312150756569"</f>
        <v>20190312150756569</v>
      </c>
      <c r="B5215" t="str">
        <f>"1552374476565311"</f>
        <v>1552374476565311</v>
      </c>
      <c r="C5215" t="s">
        <v>40</v>
      </c>
      <c r="D5215">
        <v>4.4441129999999998</v>
      </c>
      <c r="E5215">
        <v>0.54991020000000002</v>
      </c>
      <c r="F5215" t="s">
        <v>41</v>
      </c>
      <c r="G5215">
        <v>-399.1037</v>
      </c>
      <c r="H5215">
        <v>0.84787250000000003</v>
      </c>
      <c r="I5215">
        <v>213.63210000000001</v>
      </c>
      <c r="J5215">
        <v>-399.67590000000001</v>
      </c>
      <c r="K5215">
        <v>1.1080319999999999</v>
      </c>
      <c r="L5215">
        <v>213.78450000000001</v>
      </c>
      <c r="M5215">
        <v>0.99995330000000004</v>
      </c>
      <c r="N5215">
        <v>0</v>
      </c>
      <c r="O5215">
        <v>-7.0952159999999997E-3</v>
      </c>
      <c r="P5215">
        <v>0.99933620000000001</v>
      </c>
      <c r="Q5215">
        <v>1.4090510000000001E-2</v>
      </c>
      <c r="R5215">
        <v>-3.3592419999999998E-2</v>
      </c>
      <c r="S5215">
        <v>2.997528</v>
      </c>
      <c r="T5215">
        <v>-0.84081899999999998</v>
      </c>
      <c r="U5215">
        <v>-0.5016022</v>
      </c>
      <c r="V5215">
        <v>2.6561560000000001E-2</v>
      </c>
      <c r="W5215">
        <v>2.058248E-2</v>
      </c>
      <c r="X5215">
        <v>0.99943519999999997</v>
      </c>
      <c r="Y5215">
        <v>0.1525783</v>
      </c>
      <c r="Z5215">
        <v>-1.8917659999999999E-2</v>
      </c>
      <c r="AA5215">
        <v>0.9881103</v>
      </c>
      <c r="AB5215">
        <v>37</v>
      </c>
      <c r="AC5215">
        <v>0.57220000000000903</v>
      </c>
      <c r="AD5215">
        <v>-0.26015949999999899</v>
      </c>
      <c r="AE5215">
        <v>-0.15240000000000001</v>
      </c>
      <c r="AF5215">
        <v>0.124335916654931</v>
      </c>
      <c r="AG5215">
        <v>-0.26015949999999899</v>
      </c>
      <c r="AH5215">
        <v>0.48051434721924602</v>
      </c>
      <c r="AI5215">
        <v>117.661539615183</v>
      </c>
      <c r="AJ5215">
        <v>75.492572799289306</v>
      </c>
      <c r="AK5215">
        <v>0.56038952835881095</v>
      </c>
      <c r="AL5215">
        <v>88.8206274084867</v>
      </c>
      <c r="AM5215">
        <v>88.477633035053799</v>
      </c>
      <c r="AN5215">
        <v>0.99999993697580902</v>
      </c>
    </row>
    <row r="5216" spans="1:40" x14ac:dyDescent="0.25">
      <c r="A5216" t="str">
        <f>"20190312150756591"</f>
        <v>20190312150756591</v>
      </c>
      <c r="B5216" t="str">
        <f>"1552374476584832"</f>
        <v>1552374476584832</v>
      </c>
      <c r="C5216" t="s">
        <v>40</v>
      </c>
      <c r="D5216">
        <v>4.4883040000000003</v>
      </c>
      <c r="E5216">
        <v>0.54743430000000004</v>
      </c>
      <c r="F5216" t="s">
        <v>41</v>
      </c>
      <c r="G5216">
        <v>-398.76940000000002</v>
      </c>
      <c r="H5216">
        <v>0.8535587</v>
      </c>
      <c r="I5216">
        <v>213.63210000000001</v>
      </c>
      <c r="J5216">
        <v>-399.29450000000003</v>
      </c>
      <c r="K5216">
        <v>1.108066</v>
      </c>
      <c r="L5216">
        <v>213.7808</v>
      </c>
      <c r="M5216">
        <v>0.99994280000000002</v>
      </c>
      <c r="N5216">
        <v>0</v>
      </c>
      <c r="O5216">
        <v>-8.2782910000000001E-3</v>
      </c>
      <c r="P5216">
        <v>0.99933110000000003</v>
      </c>
      <c r="Q5216">
        <v>1.366467E-2</v>
      </c>
      <c r="R5216">
        <v>-3.3923879999999997E-2</v>
      </c>
      <c r="S5216">
        <v>2.9969790000000001</v>
      </c>
      <c r="T5216">
        <v>-0.84129509999999996</v>
      </c>
      <c r="U5216">
        <v>-0.50286869999999995</v>
      </c>
      <c r="V5216">
        <v>2.5708780000000001E-2</v>
      </c>
      <c r="W5216">
        <v>2.0365560000000001E-2</v>
      </c>
      <c r="X5216">
        <v>0.99946199999999996</v>
      </c>
      <c r="Y5216">
        <v>0.15190799999999999</v>
      </c>
      <c r="Z5216">
        <v>-1.851541E-2</v>
      </c>
      <c r="AA5216">
        <v>0.98822120000000002</v>
      </c>
      <c r="AB5216">
        <v>37</v>
      </c>
      <c r="AC5216">
        <v>0.525100000000008</v>
      </c>
      <c r="AD5216">
        <v>-0.25450729999999999</v>
      </c>
      <c r="AE5216">
        <v>-0.14869999999999001</v>
      </c>
      <c r="AF5216">
        <v>0.11856304151814299</v>
      </c>
      <c r="AG5216">
        <v>-0.25450729999999999</v>
      </c>
      <c r="AH5216">
        <v>0.43229782477399697</v>
      </c>
      <c r="AI5216">
        <v>119.58639025618</v>
      </c>
      <c r="AJ5216">
        <v>74.663045893998103</v>
      </c>
      <c r="AK5216">
        <v>0.51547315145568195</v>
      </c>
      <c r="AL5216">
        <v>88.833058681431098</v>
      </c>
      <c r="AM5216">
        <v>88.526527425105996</v>
      </c>
      <c r="AN5216">
        <v>0.99999999342360002</v>
      </c>
    </row>
    <row r="5217" spans="1:40" x14ac:dyDescent="0.25">
      <c r="A5217" t="str">
        <f>"20190312150756614"</f>
        <v>20190312150756614</v>
      </c>
      <c r="B5217" t="str">
        <f>"1552374476605330"</f>
        <v>1552374476605330</v>
      </c>
      <c r="C5217" t="s">
        <v>40</v>
      </c>
      <c r="D5217">
        <v>4.5169220000000001</v>
      </c>
      <c r="E5217">
        <v>0.54728189999999999</v>
      </c>
      <c r="F5217" t="s">
        <v>41</v>
      </c>
      <c r="G5217">
        <v>-398.42329999999998</v>
      </c>
      <c r="H5217">
        <v>0.88651550000000001</v>
      </c>
      <c r="I5217">
        <v>213.64009999999999</v>
      </c>
      <c r="J5217">
        <v>-398.91419999999999</v>
      </c>
      <c r="K5217">
        <v>1.108115</v>
      </c>
      <c r="L5217">
        <v>213.7766</v>
      </c>
      <c r="M5217">
        <v>0.99993149999999997</v>
      </c>
      <c r="N5217">
        <v>0</v>
      </c>
      <c r="O5217">
        <v>-9.4060849999999998E-3</v>
      </c>
      <c r="P5217">
        <v>0.99931250000000005</v>
      </c>
      <c r="Q5217">
        <v>1.345702E-2</v>
      </c>
      <c r="R5217">
        <v>-3.4554929999999998E-2</v>
      </c>
      <c r="S5217">
        <v>2.9960019999999998</v>
      </c>
      <c r="T5217">
        <v>-0.76189019999999996</v>
      </c>
      <c r="U5217">
        <v>-0.48376459999999999</v>
      </c>
      <c r="V5217">
        <v>2.5210969999999999E-2</v>
      </c>
      <c r="W5217">
        <v>2.0372709999999999E-2</v>
      </c>
      <c r="X5217">
        <v>0.99947450000000004</v>
      </c>
      <c r="Y5217">
        <v>0.14587890000000001</v>
      </c>
      <c r="Z5217">
        <v>-1.580631E-2</v>
      </c>
      <c r="AA5217">
        <v>0.98917619999999895</v>
      </c>
      <c r="AB5217">
        <v>37</v>
      </c>
      <c r="AC5217">
        <v>0.49090000000001</v>
      </c>
      <c r="AD5217">
        <v>-0.22159949999999901</v>
      </c>
      <c r="AE5217">
        <v>-0.136500000000012</v>
      </c>
      <c r="AF5217">
        <v>0.110899666190842</v>
      </c>
      <c r="AG5217">
        <v>-0.22159949999999901</v>
      </c>
      <c r="AH5217">
        <v>0.41387714363679001</v>
      </c>
      <c r="AI5217">
        <v>117.34704546795599</v>
      </c>
      <c r="AJ5217">
        <v>74.999790783270996</v>
      </c>
      <c r="AK5217">
        <v>0.48238922498998499</v>
      </c>
      <c r="AL5217">
        <v>88.832648890510697</v>
      </c>
      <c r="AM5217">
        <v>88.555064747346805</v>
      </c>
      <c r="AN5217">
        <v>0.99999995823566601</v>
      </c>
    </row>
    <row r="5218" spans="1:40" x14ac:dyDescent="0.25">
      <c r="A5218" t="str">
        <f>"20190312150756636"</f>
        <v>20190312150756636</v>
      </c>
      <c r="B5218" t="str">
        <f>"1552374476624847"</f>
        <v>1552374476624847</v>
      </c>
      <c r="C5218" t="s">
        <v>40</v>
      </c>
      <c r="D5218">
        <v>4.4757669999999896</v>
      </c>
      <c r="E5218">
        <v>0.54703000000000002</v>
      </c>
      <c r="F5218" t="s">
        <v>41</v>
      </c>
      <c r="G5218">
        <v>-398.08580000000001</v>
      </c>
      <c r="H5218">
        <v>0.8978159</v>
      </c>
      <c r="I5218">
        <v>213.64259999999999</v>
      </c>
      <c r="J5218">
        <v>-398.54489999999998</v>
      </c>
      <c r="K5218">
        <v>1.108187</v>
      </c>
      <c r="L5218">
        <v>213.7723</v>
      </c>
      <c r="M5218">
        <v>0.99991969999999997</v>
      </c>
      <c r="N5218">
        <v>0</v>
      </c>
      <c r="O5218">
        <v>-1.0433400000000001E-2</v>
      </c>
      <c r="P5218">
        <v>0.99928399999999995</v>
      </c>
      <c r="Q5218">
        <v>1.3006200000000001E-2</v>
      </c>
      <c r="R5218">
        <v>-3.5534620000000003E-2</v>
      </c>
      <c r="S5218">
        <v>2.9955750000000001</v>
      </c>
      <c r="T5218">
        <v>-0.76047880000000001</v>
      </c>
      <c r="U5218">
        <v>-0.4837341</v>
      </c>
      <c r="V5218">
        <v>2.516115E-2</v>
      </c>
      <c r="W5218">
        <v>2.014817E-2</v>
      </c>
      <c r="X5218">
        <v>0.99948040000000005</v>
      </c>
      <c r="Y5218">
        <v>0.14495039999999901</v>
      </c>
      <c r="Z5218">
        <v>-1.540971E-2</v>
      </c>
      <c r="AA5218">
        <v>0.9893189</v>
      </c>
      <c r="AB5218">
        <v>37</v>
      </c>
      <c r="AC5218">
        <v>0.45909999999997803</v>
      </c>
      <c r="AD5218">
        <v>-0.21037110000000001</v>
      </c>
      <c r="AE5218">
        <v>-0.129700000000013</v>
      </c>
      <c r="AF5218">
        <v>0.10456926914538101</v>
      </c>
      <c r="AG5218">
        <v>-0.21037110000000001</v>
      </c>
      <c r="AH5218">
        <v>0.38547278399546597</v>
      </c>
      <c r="AI5218">
        <v>117.776306418555</v>
      </c>
      <c r="AJ5218">
        <v>74.822338943257293</v>
      </c>
      <c r="AK5218">
        <v>0.45141998068985001</v>
      </c>
      <c r="AL5218">
        <v>88.845516833937197</v>
      </c>
      <c r="AM5218">
        <v>88.557927420596201</v>
      </c>
      <c r="AN5218">
        <v>1.00000005110391</v>
      </c>
    </row>
    <row r="5219" spans="1:40" x14ac:dyDescent="0.25">
      <c r="A5219" t="str">
        <f>"20190312150756659"</f>
        <v>20190312150756659</v>
      </c>
      <c r="B5219" t="str">
        <f>"1552374476655103"</f>
        <v>1552374476655103</v>
      </c>
      <c r="C5219" t="s">
        <v>40</v>
      </c>
      <c r="D5219">
        <v>4.4825220000000003</v>
      </c>
      <c r="E5219">
        <v>0.5472844</v>
      </c>
      <c r="F5219" t="s">
        <v>41</v>
      </c>
      <c r="G5219">
        <v>-397.7491</v>
      </c>
      <c r="H5219">
        <v>0.90573559999999997</v>
      </c>
      <c r="I5219">
        <v>213.64340000000001</v>
      </c>
      <c r="J5219">
        <v>-398.15910000000002</v>
      </c>
      <c r="K5219">
        <v>1.1082920000000001</v>
      </c>
      <c r="L5219">
        <v>213.76730000000001</v>
      </c>
      <c r="M5219">
        <v>0.99990699999999999</v>
      </c>
      <c r="N5219">
        <v>0</v>
      </c>
      <c r="O5219">
        <v>-1.141384E-2</v>
      </c>
      <c r="P5219">
        <v>0.99928150000000004</v>
      </c>
      <c r="Q5219">
        <v>1.214201E-2</v>
      </c>
      <c r="R5219">
        <v>-3.5908679999999998E-2</v>
      </c>
      <c r="S5219">
        <v>2.9948429999999999</v>
      </c>
      <c r="T5219">
        <v>-0.7619068</v>
      </c>
      <c r="U5219">
        <v>-0.48423769999999999</v>
      </c>
      <c r="V5219">
        <v>2.455048E-2</v>
      </c>
      <c r="W5219">
        <v>1.9555099999999999E-2</v>
      </c>
      <c r="X5219">
        <v>0.99950729999999999</v>
      </c>
      <c r="Y5219">
        <v>0.14421709999999999</v>
      </c>
      <c r="Z5219">
        <v>-1.5106039999999999E-2</v>
      </c>
      <c r="AA5219">
        <v>0.98943080000000005</v>
      </c>
      <c r="AB5219">
        <v>37</v>
      </c>
      <c r="AC5219">
        <v>0.41000000000002501</v>
      </c>
      <c r="AD5219">
        <v>-0.2025564</v>
      </c>
      <c r="AE5219">
        <v>-0.123899999999991</v>
      </c>
      <c r="AF5219">
        <v>9.7423283368978902E-2</v>
      </c>
      <c r="AG5219">
        <v>-0.2025564</v>
      </c>
      <c r="AH5219">
        <v>0.33619669023139898</v>
      </c>
      <c r="AI5219">
        <v>120.057386608759</v>
      </c>
      <c r="AJ5219">
        <v>73.839436428450895</v>
      </c>
      <c r="AK5219">
        <v>0.40441143139864399</v>
      </c>
      <c r="AL5219">
        <v>88.879503864605397</v>
      </c>
      <c r="AM5219">
        <v>88.592950640063606</v>
      </c>
      <c r="AN5219">
        <v>0.999999985378765</v>
      </c>
    </row>
    <row r="5220" spans="1:40" x14ac:dyDescent="0.25">
      <c r="A5220" t="str">
        <f>"20190312150756682"</f>
        <v>20190312150756682</v>
      </c>
      <c r="B5220" t="str">
        <f>"1552374476675599"</f>
        <v>1552374476675599</v>
      </c>
      <c r="C5220" t="s">
        <v>40</v>
      </c>
      <c r="D5220">
        <v>4.4865219999999999</v>
      </c>
      <c r="E5220">
        <v>0.54706980000000005</v>
      </c>
      <c r="F5220" t="s">
        <v>41</v>
      </c>
      <c r="G5220">
        <v>-397.41059999999999</v>
      </c>
      <c r="H5220">
        <v>0.91730820000000002</v>
      </c>
      <c r="I5220">
        <v>213.64519999999999</v>
      </c>
      <c r="J5220">
        <v>-397.79610000000002</v>
      </c>
      <c r="K5220">
        <v>1.1084080000000001</v>
      </c>
      <c r="L5220">
        <v>213.76249999999999</v>
      </c>
      <c r="M5220">
        <v>0.99989510000000004</v>
      </c>
      <c r="N5220">
        <v>0</v>
      </c>
      <c r="O5220">
        <v>-1.222814E-2</v>
      </c>
      <c r="P5220">
        <v>0.99925920000000001</v>
      </c>
      <c r="Q5220">
        <v>1.1166209999999999E-2</v>
      </c>
      <c r="R5220">
        <v>-3.682672E-2</v>
      </c>
      <c r="S5220">
        <v>2.9939269999999998</v>
      </c>
      <c r="T5220">
        <v>-0.76397729999999997</v>
      </c>
      <c r="U5220">
        <v>-0.4883728</v>
      </c>
      <c r="V5220">
        <v>2.4649460000000002E-2</v>
      </c>
      <c r="W5220">
        <v>1.886763E-2</v>
      </c>
      <c r="X5220">
        <v>0.99951809999999996</v>
      </c>
      <c r="Y5220">
        <v>0.1447755</v>
      </c>
      <c r="Z5220">
        <v>-1.5015229999999999E-2</v>
      </c>
      <c r="AA5220">
        <v>0.98935059999999997</v>
      </c>
      <c r="AB5220">
        <v>37</v>
      </c>
      <c r="AC5220">
        <v>0.38550000000003498</v>
      </c>
      <c r="AD5220">
        <v>-0.19109979999999999</v>
      </c>
      <c r="AE5220">
        <v>-0.1173</v>
      </c>
      <c r="AF5220">
        <v>9.1906180495543194E-2</v>
      </c>
      <c r="AG5220">
        <v>-0.19109979999999999</v>
      </c>
      <c r="AH5220">
        <v>0.315863542625755</v>
      </c>
      <c r="AI5220">
        <v>120.15299543822999</v>
      </c>
      <c r="AJ5220">
        <v>73.776694928646904</v>
      </c>
      <c r="AK5220">
        <v>0.380441397765032</v>
      </c>
      <c r="AL5220">
        <v>88.918900290540094</v>
      </c>
      <c r="AM5220">
        <v>88.587295401743802</v>
      </c>
      <c r="AN5220">
        <v>1.00000000778385</v>
      </c>
    </row>
    <row r="5221" spans="1:40" x14ac:dyDescent="0.25">
      <c r="A5221" t="str">
        <f>"20190312150756703"</f>
        <v>20190312150756703</v>
      </c>
      <c r="B5221" t="str">
        <f>"1552374476695120"</f>
        <v>1552374476695120</v>
      </c>
      <c r="C5221" t="s">
        <v>40</v>
      </c>
      <c r="D5221">
        <v>4.4648300000000001</v>
      </c>
      <c r="E5221">
        <v>0.5472901</v>
      </c>
      <c r="F5221" t="s">
        <v>41</v>
      </c>
      <c r="G5221">
        <v>-397.07380000000001</v>
      </c>
      <c r="H5221">
        <v>0.92351930000000004</v>
      </c>
      <c r="I5221">
        <v>213.64410000000001</v>
      </c>
      <c r="J5221">
        <v>-397.41609999999997</v>
      </c>
      <c r="K5221">
        <v>1.1085590000000001</v>
      </c>
      <c r="L5221">
        <v>213.75720000000001</v>
      </c>
      <c r="M5221">
        <v>0.99988339999999998</v>
      </c>
      <c r="N5221">
        <v>0</v>
      </c>
      <c r="O5221">
        <v>-1.2948919999999999E-2</v>
      </c>
      <c r="P5221">
        <v>0.99923150000000005</v>
      </c>
      <c r="Q5221">
        <v>1.0518680000000001E-2</v>
      </c>
      <c r="R5221">
        <v>-3.7759189999999998E-2</v>
      </c>
      <c r="S5221">
        <v>2.9926759999999999</v>
      </c>
      <c r="T5221">
        <v>-0.76614399999999905</v>
      </c>
      <c r="U5221">
        <v>-0.49032589999999998</v>
      </c>
      <c r="V5221">
        <v>2.485617E-2</v>
      </c>
      <c r="W5221">
        <v>1.8552490000000001E-2</v>
      </c>
      <c r="X5221">
        <v>0.99951889999999999</v>
      </c>
      <c r="Y5221">
        <v>0.14475460000000001</v>
      </c>
      <c r="Z5221">
        <v>-1.4878819999999999E-2</v>
      </c>
      <c r="AA5221">
        <v>0.98935569999999895</v>
      </c>
      <c r="AB5221">
        <v>37</v>
      </c>
      <c r="AC5221">
        <v>0.34229999999996602</v>
      </c>
      <c r="AD5221">
        <v>-0.185039699999999</v>
      </c>
      <c r="AE5221">
        <v>-0.113100000000002</v>
      </c>
      <c r="AF5221">
        <v>8.6000213313351004E-2</v>
      </c>
      <c r="AG5221">
        <v>-0.185039699999999</v>
      </c>
      <c r="AH5221">
        <v>0.27205884523840801</v>
      </c>
      <c r="AI5221">
        <v>122.964046282806</v>
      </c>
      <c r="AJ5221">
        <v>72.457792701915395</v>
      </c>
      <c r="AK5221">
        <v>0.34007608345558199</v>
      </c>
      <c r="AL5221">
        <v>88.9369596649355</v>
      </c>
      <c r="AM5221">
        <v>88.575454483380099</v>
      </c>
      <c r="AN5221">
        <v>1.0000000277647301</v>
      </c>
    </row>
    <row r="5222" spans="1:40" x14ac:dyDescent="0.25">
      <c r="A5222" t="str">
        <f>"20190312150756726"</f>
        <v>20190312150756726</v>
      </c>
      <c r="B5222" t="str">
        <f>"1552374476715619"</f>
        <v>1552374476715619</v>
      </c>
      <c r="C5222" t="s">
        <v>40</v>
      </c>
      <c r="D5222">
        <v>4.460636</v>
      </c>
      <c r="E5222">
        <v>0.54747299999999999</v>
      </c>
      <c r="F5222" t="s">
        <v>41</v>
      </c>
      <c r="G5222">
        <v>-396.73500000000001</v>
      </c>
      <c r="H5222">
        <v>0.93374159999999995</v>
      </c>
      <c r="I5222">
        <v>213.64420000000001</v>
      </c>
      <c r="J5222">
        <v>-397.0514</v>
      </c>
      <c r="K5222">
        <v>1.1087149999999999</v>
      </c>
      <c r="L5222">
        <v>213.75190000000001</v>
      </c>
      <c r="M5222">
        <v>0.99987349999999997</v>
      </c>
      <c r="N5222">
        <v>0</v>
      </c>
      <c r="O5222">
        <v>-1.3484700000000001E-2</v>
      </c>
      <c r="P5222">
        <v>0.99920900000000001</v>
      </c>
      <c r="Q5222">
        <v>1.0398050000000001E-2</v>
      </c>
      <c r="R5222">
        <v>-3.8383239999999999E-2</v>
      </c>
      <c r="S5222">
        <v>2.9916990000000001</v>
      </c>
      <c r="T5222">
        <v>-0.76791409999999904</v>
      </c>
      <c r="U5222">
        <v>-0.49497989999999997</v>
      </c>
      <c r="V5222">
        <v>2.4939940000000001E-2</v>
      </c>
      <c r="W5222">
        <v>1.877562E-2</v>
      </c>
      <c r="X5222">
        <v>0.99951259999999997</v>
      </c>
      <c r="Y5222">
        <v>0.14574029999999999</v>
      </c>
      <c r="Z5222">
        <v>-1.490431E-2</v>
      </c>
      <c r="AA5222">
        <v>0.98921060000000005</v>
      </c>
      <c r="AB5222">
        <v>37</v>
      </c>
      <c r="AC5222">
        <v>0.31639999999998702</v>
      </c>
      <c r="AD5222">
        <v>-0.174973399999999</v>
      </c>
      <c r="AE5222">
        <v>-0.10769999999999399</v>
      </c>
      <c r="AF5222">
        <v>8.1175786004576103E-2</v>
      </c>
      <c r="AG5222">
        <v>-0.174973399999999</v>
      </c>
      <c r="AH5222">
        <v>0.24945568669592999</v>
      </c>
      <c r="AI5222">
        <v>123.703061325211</v>
      </c>
      <c r="AJ5222">
        <v>71.974508545396304</v>
      </c>
      <c r="AK5222">
        <v>0.31533052273124201</v>
      </c>
      <c r="AL5222">
        <v>88.924172980416998</v>
      </c>
      <c r="AM5222">
        <v>88.570646478005202</v>
      </c>
      <c r="AN5222">
        <v>0.99999998103617305</v>
      </c>
    </row>
    <row r="5223" spans="1:40" x14ac:dyDescent="0.25">
      <c r="A5223" t="str">
        <f>"20190312150756747"</f>
        <v>20190312150756747</v>
      </c>
      <c r="B5223" t="str">
        <f>"1552374476735135"</f>
        <v>1552374476735135</v>
      </c>
      <c r="C5223" t="s">
        <v>40</v>
      </c>
      <c r="D5223">
        <v>4.4537789999999999</v>
      </c>
      <c r="E5223">
        <v>0.54758209999999996</v>
      </c>
      <c r="F5223" t="s">
        <v>41</v>
      </c>
      <c r="G5223">
        <v>-396.09559999999999</v>
      </c>
      <c r="H5223">
        <v>0.86383940000000004</v>
      </c>
      <c r="I5223">
        <v>213.59229999999999</v>
      </c>
      <c r="J5223">
        <v>-396.69459999999998</v>
      </c>
      <c r="K5223">
        <v>1.1088899999999999</v>
      </c>
      <c r="L5223">
        <v>213.7467</v>
      </c>
      <c r="M5223">
        <v>0.99986560000000002</v>
      </c>
      <c r="N5223">
        <v>0</v>
      </c>
      <c r="O5223">
        <v>-1.385921E-2</v>
      </c>
      <c r="P5223">
        <v>0.99920370000000003</v>
      </c>
      <c r="Q5223">
        <v>9.7090739999999998E-3</v>
      </c>
      <c r="R5223">
        <v>-3.8705589999999998E-2</v>
      </c>
      <c r="S5223">
        <v>2.9912109999999998</v>
      </c>
      <c r="T5223">
        <v>-0.76642449999999995</v>
      </c>
      <c r="U5223">
        <v>-0.49891659999999999</v>
      </c>
      <c r="V5223">
        <v>2.488166E-2</v>
      </c>
      <c r="W5223">
        <v>1.8439029999999999E-2</v>
      </c>
      <c r="X5223">
        <v>0.99952039999999998</v>
      </c>
      <c r="Y5223">
        <v>0.1466615</v>
      </c>
      <c r="Z5223">
        <v>-1.4898700000000001E-2</v>
      </c>
      <c r="AA5223">
        <v>0.98907449999999997</v>
      </c>
      <c r="AB5223">
        <v>37</v>
      </c>
      <c r="AC5223">
        <v>0.59899999999998899</v>
      </c>
      <c r="AD5223">
        <v>-0.24505059999999901</v>
      </c>
      <c r="AE5223">
        <v>-0.154400000000009</v>
      </c>
      <c r="AF5223">
        <v>0.12626737120859099</v>
      </c>
      <c r="AG5223">
        <v>-0.24505059999999901</v>
      </c>
      <c r="AH5223">
        <v>0.51954710582430197</v>
      </c>
      <c r="AI5223">
        <v>114.62296652045001</v>
      </c>
      <c r="AJ5223">
        <v>76.340037452115396</v>
      </c>
      <c r="AK5223">
        <v>0.58815171576957603</v>
      </c>
      <c r="AL5223">
        <v>88.943461592746203</v>
      </c>
      <c r="AM5223">
        <v>88.5739963541333</v>
      </c>
      <c r="AN5223">
        <v>1.00000006242392</v>
      </c>
    </row>
    <row r="5224" spans="1:40" x14ac:dyDescent="0.25">
      <c r="A5224" t="str">
        <f>"20190312150756769"</f>
        <v>20190312150756769</v>
      </c>
      <c r="B5224" t="str">
        <f>"1552374476765392"</f>
        <v>1552374476765392</v>
      </c>
      <c r="C5224" t="s">
        <v>40</v>
      </c>
      <c r="D5224">
        <v>4.4736830000000003</v>
      </c>
      <c r="E5224">
        <v>0.54759639999999998</v>
      </c>
      <c r="F5224" t="s">
        <v>41</v>
      </c>
      <c r="G5224">
        <v>-395.7595</v>
      </c>
      <c r="H5224">
        <v>0.86878250000000001</v>
      </c>
      <c r="I5224">
        <v>213.59</v>
      </c>
      <c r="J5224">
        <v>-396.32249999999999</v>
      </c>
      <c r="K5224">
        <v>1.109062</v>
      </c>
      <c r="L5224">
        <v>213.7413</v>
      </c>
      <c r="M5224">
        <v>0.99985869999999999</v>
      </c>
      <c r="N5224">
        <v>0</v>
      </c>
      <c r="O5224">
        <v>-1.411956E-2</v>
      </c>
      <c r="P5224">
        <v>0.99921099999999996</v>
      </c>
      <c r="Q5224">
        <v>9.3257689999999994E-3</v>
      </c>
      <c r="R5224">
        <v>-3.861237E-2</v>
      </c>
      <c r="S5224">
        <v>2.9904480000000002</v>
      </c>
      <c r="T5224">
        <v>-0.76785930000000002</v>
      </c>
      <c r="U5224">
        <v>-0.50097659999999999</v>
      </c>
      <c r="V5224">
        <v>2.452238E-2</v>
      </c>
      <c r="W5224">
        <v>1.8419479999999998E-2</v>
      </c>
      <c r="X5224">
        <v>0.99952960000000002</v>
      </c>
      <c r="Y5224">
        <v>0.14708570000000001</v>
      </c>
      <c r="Z5224">
        <v>-1.4916489999999999E-2</v>
      </c>
      <c r="AA5224">
        <v>0.98901130000000004</v>
      </c>
      <c r="AB5224">
        <v>37</v>
      </c>
      <c r="AC5224">
        <v>0.56299999999998795</v>
      </c>
      <c r="AD5224">
        <v>-0.24027949999999901</v>
      </c>
      <c r="AE5224">
        <v>-0.151299999999992</v>
      </c>
      <c r="AF5224">
        <v>0.12252174613985101</v>
      </c>
      <c r="AG5224">
        <v>-0.24027949999999901</v>
      </c>
      <c r="AH5224">
        <v>0.48302568831563902</v>
      </c>
      <c r="AI5224">
        <v>115.742278180665</v>
      </c>
      <c r="AJ5224">
        <v>75.766844210681498</v>
      </c>
      <c r="AK5224">
        <v>0.55322656477270205</v>
      </c>
      <c r="AL5224">
        <v>88.944581873630597</v>
      </c>
      <c r="AM5224">
        <v>88.594591818451804</v>
      </c>
      <c r="AN5224">
        <v>1.0000000228202399</v>
      </c>
    </row>
    <row r="5225" spans="1:40" x14ac:dyDescent="0.25">
      <c r="A5225" t="str">
        <f>"20190312150756792"</f>
        <v>20190312150756792</v>
      </c>
      <c r="B5225" t="str">
        <f>"1552374476784911"</f>
        <v>1552374476784911</v>
      </c>
      <c r="C5225" t="s">
        <v>40</v>
      </c>
      <c r="D5225">
        <v>4.4821339999999896</v>
      </c>
      <c r="E5225">
        <v>0.54756949999999904</v>
      </c>
      <c r="F5225" t="s">
        <v>41</v>
      </c>
      <c r="G5225">
        <v>-395.42169999999999</v>
      </c>
      <c r="H5225">
        <v>0.87759009999999904</v>
      </c>
      <c r="I5225">
        <v>213.5898</v>
      </c>
      <c r="J5225">
        <v>-395.93490000000003</v>
      </c>
      <c r="K5225">
        <v>1.109218</v>
      </c>
      <c r="L5225">
        <v>213.73560000000001</v>
      </c>
      <c r="M5225">
        <v>0.9998532</v>
      </c>
      <c r="N5225">
        <v>0</v>
      </c>
      <c r="O5225">
        <v>-1.42725E-2</v>
      </c>
      <c r="P5225">
        <v>0.99923770000000001</v>
      </c>
      <c r="Q5225">
        <v>8.1763489999999994E-3</v>
      </c>
      <c r="R5225">
        <v>-3.817661E-2</v>
      </c>
      <c r="S5225">
        <v>2.9901430000000002</v>
      </c>
      <c r="T5225">
        <v>-0.76840980000000003</v>
      </c>
      <c r="U5225">
        <v>-0.50129699999999999</v>
      </c>
      <c r="V5225">
        <v>2.3927380000000002E-2</v>
      </c>
      <c r="W5225">
        <v>1.7636160000000001E-2</v>
      </c>
      <c r="X5225">
        <v>0.99955819999999995</v>
      </c>
      <c r="Y5225">
        <v>0.1470533</v>
      </c>
      <c r="Z5225">
        <v>-1.488571E-2</v>
      </c>
      <c r="AA5225">
        <v>0.98901649999999997</v>
      </c>
      <c r="AB5225">
        <v>37</v>
      </c>
      <c r="AC5225">
        <v>0.51320000000003996</v>
      </c>
      <c r="AD5225">
        <v>-0.2316279</v>
      </c>
      <c r="AE5225">
        <v>-0.14580000000000801</v>
      </c>
      <c r="AF5225">
        <v>0.116500493854333</v>
      </c>
      <c r="AG5225">
        <v>-0.2316279</v>
      </c>
      <c r="AH5225">
        <v>0.43351385916741197</v>
      </c>
      <c r="AI5225">
        <v>117.29354571528</v>
      </c>
      <c r="AJ5225">
        <v>74.957982692052397</v>
      </c>
      <c r="AK5225">
        <v>0.50513178005045001</v>
      </c>
      <c r="AL5225">
        <v>88.9894701508927</v>
      </c>
      <c r="AM5225">
        <v>88.628718049727198</v>
      </c>
      <c r="AN5225">
        <v>1.00000007442022</v>
      </c>
    </row>
    <row r="5226" spans="1:40" x14ac:dyDescent="0.25">
      <c r="A5226" t="str">
        <f>"20190312150756815"</f>
        <v>20190312150756815</v>
      </c>
      <c r="B5226" t="str">
        <f>"1552374476805407"</f>
        <v>1552374476805407</v>
      </c>
      <c r="C5226" t="s">
        <v>40</v>
      </c>
      <c r="D5226">
        <v>4.4711569999999998</v>
      </c>
      <c r="E5226">
        <v>0.54769419999999902</v>
      </c>
      <c r="F5226" t="s">
        <v>41</v>
      </c>
      <c r="G5226">
        <v>-395.0831</v>
      </c>
      <c r="H5226">
        <v>0.889011</v>
      </c>
      <c r="I5226">
        <v>213.5932</v>
      </c>
      <c r="J5226">
        <v>-395.56169999999997</v>
      </c>
      <c r="K5226">
        <v>1.109359</v>
      </c>
      <c r="L5226">
        <v>213.7302</v>
      </c>
      <c r="M5226">
        <v>0.9998494</v>
      </c>
      <c r="N5226">
        <v>0</v>
      </c>
      <c r="O5226">
        <v>-1.4311529999999999E-2</v>
      </c>
      <c r="P5226">
        <v>0.99926289999999995</v>
      </c>
      <c r="Q5226">
        <v>7.5089269999999899E-3</v>
      </c>
      <c r="R5226">
        <v>-3.7648590000000003E-2</v>
      </c>
      <c r="S5226">
        <v>2.989563</v>
      </c>
      <c r="T5226">
        <v>-0.77290959999999997</v>
      </c>
      <c r="U5226">
        <v>-0.49966430000000001</v>
      </c>
      <c r="V5226">
        <v>2.3355460000000001E-2</v>
      </c>
      <c r="W5226">
        <v>1.7307670000000001E-2</v>
      </c>
      <c r="X5226">
        <v>0.99957739999999995</v>
      </c>
      <c r="Y5226">
        <v>0.14648920000000001</v>
      </c>
      <c r="Z5226">
        <v>-1.489244E-2</v>
      </c>
      <c r="AA5226">
        <v>0.98910019999999998</v>
      </c>
      <c r="AB5226">
        <v>37</v>
      </c>
      <c r="AC5226">
        <v>0.47859999999997099</v>
      </c>
      <c r="AD5226">
        <v>-0.22034799999999899</v>
      </c>
      <c r="AE5226">
        <v>-0.13700000000000001</v>
      </c>
      <c r="AF5226">
        <v>0.10881713324490799</v>
      </c>
      <c r="AG5226">
        <v>-0.22034799999999899</v>
      </c>
      <c r="AH5226">
        <v>0.40179393447084399</v>
      </c>
      <c r="AI5226">
        <v>117.894100947133</v>
      </c>
      <c r="AJ5226">
        <v>74.846205277889794</v>
      </c>
      <c r="AK5226">
        <v>0.47099126888850201</v>
      </c>
      <c r="AL5226">
        <v>89.008294045496896</v>
      </c>
      <c r="AM5226">
        <v>88.661508506701495</v>
      </c>
      <c r="AN5226">
        <v>1.0000000057717</v>
      </c>
    </row>
    <row r="5227" spans="1:40" x14ac:dyDescent="0.25">
      <c r="A5227" t="str">
        <f>"20190312150756836"</f>
        <v>20190312150756836</v>
      </c>
      <c r="B5227" t="str">
        <f>"1552374476824931"</f>
        <v>1552374476824931</v>
      </c>
      <c r="C5227" t="s">
        <v>40</v>
      </c>
      <c r="D5227">
        <v>4.4697459999999998</v>
      </c>
      <c r="E5227">
        <v>0.54774429999999996</v>
      </c>
      <c r="F5227" t="s">
        <v>41</v>
      </c>
      <c r="G5227">
        <v>-394.74579999999997</v>
      </c>
      <c r="H5227">
        <v>0.89705239999999997</v>
      </c>
      <c r="I5227">
        <v>213.59350000000001</v>
      </c>
      <c r="J5227">
        <v>-395.19819999999999</v>
      </c>
      <c r="K5227">
        <v>1.1095010000000001</v>
      </c>
      <c r="L5227">
        <v>213.72499999999999</v>
      </c>
      <c r="M5227">
        <v>0.99984740000000005</v>
      </c>
      <c r="N5227">
        <v>0</v>
      </c>
      <c r="O5227">
        <v>-1.424342E-2</v>
      </c>
      <c r="P5227">
        <v>0.99928669999999997</v>
      </c>
      <c r="Q5227">
        <v>7.4118019999999899E-3</v>
      </c>
      <c r="R5227">
        <v>-3.7032080000000002E-2</v>
      </c>
      <c r="S5227">
        <v>2.989258</v>
      </c>
      <c r="T5227">
        <v>-0.77794339999999995</v>
      </c>
      <c r="U5227">
        <v>-0.49922179999999999</v>
      </c>
      <c r="V5227">
        <v>2.2802570000000001E-2</v>
      </c>
      <c r="W5227">
        <v>1.7527460000000002E-2</v>
      </c>
      <c r="X5227">
        <v>0.99958630000000004</v>
      </c>
      <c r="Y5227">
        <v>0.14637649999999999</v>
      </c>
      <c r="Z5227">
        <v>-1.4990989999999999E-2</v>
      </c>
      <c r="AA5227">
        <v>0.98911539999999998</v>
      </c>
      <c r="AB5227">
        <v>37</v>
      </c>
      <c r="AC5227">
        <v>0.45240000000001102</v>
      </c>
      <c r="AD5227">
        <v>-0.21244859999999999</v>
      </c>
      <c r="AE5227">
        <v>-0.13149999999998799</v>
      </c>
      <c r="AF5227">
        <v>0.10391237706497899</v>
      </c>
      <c r="AG5227">
        <v>-0.21244859999999999</v>
      </c>
      <c r="AH5227">
        <v>0.37746997128653598</v>
      </c>
      <c r="AI5227">
        <v>118.4858841703</v>
      </c>
      <c r="AJ5227">
        <v>74.608490187723504</v>
      </c>
      <c r="AK5227">
        <v>0.445438849868658</v>
      </c>
      <c r="AL5227">
        <v>88.9956990597166</v>
      </c>
      <c r="AM5227">
        <v>88.693194908224498</v>
      </c>
      <c r="AN5227">
        <v>0.99999997010017205</v>
      </c>
    </row>
    <row r="5228" spans="1:40" x14ac:dyDescent="0.25">
      <c r="A5228" t="str">
        <f>"20190312150756860"</f>
        <v>20190312150756860</v>
      </c>
      <c r="B5228" t="str">
        <f>"1552374476855184"</f>
        <v>1552374476855184</v>
      </c>
      <c r="C5228" t="s">
        <v>40</v>
      </c>
      <c r="D5228">
        <v>4.434698</v>
      </c>
      <c r="E5228">
        <v>0.54791469999999998</v>
      </c>
      <c r="F5228" t="s">
        <v>41</v>
      </c>
      <c r="G5228">
        <v>-394.40929999999997</v>
      </c>
      <c r="H5228">
        <v>0.90340019999999999</v>
      </c>
      <c r="I5228">
        <v>213.59350000000001</v>
      </c>
      <c r="J5228">
        <v>-394.81299999999999</v>
      </c>
      <c r="K5228">
        <v>1.1096440000000001</v>
      </c>
      <c r="L5228">
        <v>213.71960000000001</v>
      </c>
      <c r="M5228">
        <v>0.99984660000000003</v>
      </c>
      <c r="N5228">
        <v>0</v>
      </c>
      <c r="O5228">
        <v>-1.4063239999999999E-2</v>
      </c>
      <c r="P5228">
        <v>0.9993126</v>
      </c>
      <c r="Q5228">
        <v>7.3276469999999996E-3</v>
      </c>
      <c r="R5228">
        <v>-3.6344099999999997E-2</v>
      </c>
      <c r="S5228">
        <v>2.9895019999999999</v>
      </c>
      <c r="T5228">
        <v>-0.78095419999999904</v>
      </c>
      <c r="U5228">
        <v>-0.49806210000000001</v>
      </c>
      <c r="V5228">
        <v>2.2289429999999999E-2</v>
      </c>
      <c r="W5228">
        <v>1.7767749999999999E-2</v>
      </c>
      <c r="X5228">
        <v>0.99959370000000003</v>
      </c>
      <c r="Y5228">
        <v>0.14613770000000001</v>
      </c>
      <c r="Z5228">
        <v>-1.506191E-2</v>
      </c>
      <c r="AA5228">
        <v>0.98914959999999996</v>
      </c>
      <c r="AB5228">
        <v>37</v>
      </c>
      <c r="AC5228">
        <v>0.403700000000071</v>
      </c>
      <c r="AD5228">
        <v>-0.2062438</v>
      </c>
      <c r="AE5228">
        <v>-0.12610000000000801</v>
      </c>
      <c r="AF5228">
        <v>9.7277314289134401E-2</v>
      </c>
      <c r="AG5228">
        <v>-0.2062438</v>
      </c>
      <c r="AH5228">
        <v>0.32754358177437798</v>
      </c>
      <c r="AI5228">
        <v>121.11562181003301</v>
      </c>
      <c r="AJ5228">
        <v>73.459083543944203</v>
      </c>
      <c r="AK5228">
        <v>0.39910422056818101</v>
      </c>
      <c r="AL5228">
        <v>88.981929381529696</v>
      </c>
      <c r="AM5228">
        <v>88.722602329518693</v>
      </c>
      <c r="AN5228">
        <v>1.0000000383547301</v>
      </c>
    </row>
    <row r="5229" spans="1:40" x14ac:dyDescent="0.25">
      <c r="A5229" t="str">
        <f>"20190312150756883"</f>
        <v>20190312150756883</v>
      </c>
      <c r="B5229" t="str">
        <f>"1552374476875681"</f>
        <v>1552374476875681</v>
      </c>
      <c r="C5229" t="s">
        <v>40</v>
      </c>
      <c r="D5229">
        <v>4.4542390000000003</v>
      </c>
      <c r="E5229">
        <v>0.54803480000000004</v>
      </c>
      <c r="F5229" t="s">
        <v>41</v>
      </c>
      <c r="G5229">
        <v>-394.07080000000002</v>
      </c>
      <c r="H5229">
        <v>0.91486250000000002</v>
      </c>
      <c r="I5229">
        <v>213.59569999999999</v>
      </c>
      <c r="J5229">
        <v>-394.42680000000001</v>
      </c>
      <c r="K5229">
        <v>1.109799</v>
      </c>
      <c r="L5229">
        <v>213.71430000000001</v>
      </c>
      <c r="M5229">
        <v>0.99984729999999999</v>
      </c>
      <c r="N5229">
        <v>0</v>
      </c>
      <c r="O5229">
        <v>-1.377983E-2</v>
      </c>
      <c r="P5229">
        <v>0.99935810000000003</v>
      </c>
      <c r="Q5229">
        <v>7.0642150000000004E-3</v>
      </c>
      <c r="R5229">
        <v>-3.512825E-2</v>
      </c>
      <c r="S5229">
        <v>2.989716</v>
      </c>
      <c r="T5229">
        <v>-0.78462609999999999</v>
      </c>
      <c r="U5229">
        <v>-0.49768069999999998</v>
      </c>
      <c r="V5229">
        <v>2.1351040000000002E-2</v>
      </c>
      <c r="W5229">
        <v>1.7823530000000001E-2</v>
      </c>
      <c r="X5229">
        <v>0.99961319999999998</v>
      </c>
      <c r="Y5229">
        <v>0.14623169999999999</v>
      </c>
      <c r="Z5229">
        <v>-1.521423E-2</v>
      </c>
      <c r="AA5229">
        <v>0.98913340000000005</v>
      </c>
      <c r="AB5229">
        <v>37</v>
      </c>
      <c r="AC5229">
        <v>0.35599999999999399</v>
      </c>
      <c r="AD5229">
        <v>-0.19493650000000001</v>
      </c>
      <c r="AE5229">
        <v>-0.118600000000014</v>
      </c>
      <c r="AF5229">
        <v>8.9522198896402005E-2</v>
      </c>
      <c r="AG5229">
        <v>-0.19493650000000001</v>
      </c>
      <c r="AH5229">
        <v>0.28160091133675402</v>
      </c>
      <c r="AI5229">
        <v>123.413229611291</v>
      </c>
      <c r="AJ5229">
        <v>72.364305002109504</v>
      </c>
      <c r="AK5229">
        <v>0.35399652031225798</v>
      </c>
      <c r="AL5229">
        <v>88.978732926105295</v>
      </c>
      <c r="AM5229">
        <v>88.776388210776403</v>
      </c>
      <c r="AN5229">
        <v>1.0000000473724899</v>
      </c>
    </row>
    <row r="5230" spans="1:40" x14ac:dyDescent="0.25">
      <c r="A5230" t="str">
        <f>"20190312150756905"</f>
        <v>20190312150756905</v>
      </c>
      <c r="B5230" t="str">
        <f>"1552374476895203"</f>
        <v>1552374476895203</v>
      </c>
      <c r="C5230" t="s">
        <v>40</v>
      </c>
      <c r="D5230">
        <v>4.4666769999999998</v>
      </c>
      <c r="E5230">
        <v>0.54810369999999997</v>
      </c>
      <c r="F5230" t="s">
        <v>41</v>
      </c>
      <c r="G5230">
        <v>-393.73180000000002</v>
      </c>
      <c r="H5230">
        <v>0.92681469999999999</v>
      </c>
      <c r="I5230">
        <v>213.59899999999999</v>
      </c>
      <c r="J5230">
        <v>-394.05739999999997</v>
      </c>
      <c r="K5230">
        <v>1.109953</v>
      </c>
      <c r="L5230">
        <v>213.70949999999999</v>
      </c>
      <c r="M5230">
        <v>0.99984910000000005</v>
      </c>
      <c r="N5230">
        <v>0</v>
      </c>
      <c r="O5230">
        <v>-1.3409239999999999E-2</v>
      </c>
      <c r="P5230">
        <v>0.99939849999999997</v>
      </c>
      <c r="Q5230">
        <v>6.8858259999999899E-3</v>
      </c>
      <c r="R5230">
        <v>-3.3994839999999998E-2</v>
      </c>
      <c r="S5230">
        <v>2.9901119999999999</v>
      </c>
      <c r="T5230">
        <v>-0.78738739999999996</v>
      </c>
      <c r="U5230">
        <v>-0.49545289999999997</v>
      </c>
      <c r="V5230">
        <v>2.05826E-2</v>
      </c>
      <c r="W5230">
        <v>1.794654E-2</v>
      </c>
      <c r="X5230">
        <v>0.99962709999999999</v>
      </c>
      <c r="Y5230">
        <v>0.14583080000000001</v>
      </c>
      <c r="Z5230">
        <v>-1.530869E-2</v>
      </c>
      <c r="AA5230">
        <v>0.98919109999999999</v>
      </c>
      <c r="AB5230">
        <v>37</v>
      </c>
      <c r="AC5230">
        <v>0.32559999999995098</v>
      </c>
      <c r="AD5230">
        <v>-0.1831383</v>
      </c>
      <c r="AE5230">
        <v>-0.11049999999997299</v>
      </c>
      <c r="AF5230">
        <v>8.26707380704155E-2</v>
      </c>
      <c r="AG5230">
        <v>-0.1831383</v>
      </c>
      <c r="AH5230">
        <v>0.25477496392843402</v>
      </c>
      <c r="AI5230">
        <v>124.361558633191</v>
      </c>
      <c r="AJ5230">
        <v>72.022513729883201</v>
      </c>
      <c r="AK5230">
        <v>0.32447553082587299</v>
      </c>
      <c r="AL5230">
        <v>88.971683827628397</v>
      </c>
      <c r="AM5230">
        <v>88.820430642750495</v>
      </c>
      <c r="AN5230">
        <v>1.00000003038757</v>
      </c>
    </row>
    <row r="5231" spans="1:40" x14ac:dyDescent="0.25">
      <c r="A5231" t="str">
        <f>"20190312150756926"</f>
        <v>20190312150756926</v>
      </c>
      <c r="B5231" t="str">
        <f>"1552374476915534"</f>
        <v>1552374476915534</v>
      </c>
      <c r="C5231" t="s">
        <v>40</v>
      </c>
      <c r="D5231">
        <v>4.4626989999999997</v>
      </c>
      <c r="E5231">
        <v>0.54820360000000001</v>
      </c>
      <c r="F5231" t="s">
        <v>41</v>
      </c>
      <c r="G5231">
        <v>-393.09469999999999</v>
      </c>
      <c r="H5231">
        <v>0.85577000000000003</v>
      </c>
      <c r="I5231">
        <v>213.5506</v>
      </c>
      <c r="J5231">
        <v>-393.70319999999998</v>
      </c>
      <c r="K5231">
        <v>1.11009</v>
      </c>
      <c r="L5231">
        <v>213.70509999999999</v>
      </c>
      <c r="M5231">
        <v>0.99985179999999996</v>
      </c>
      <c r="N5231">
        <v>0</v>
      </c>
      <c r="O5231">
        <v>-1.2964679999999999E-2</v>
      </c>
      <c r="P5231">
        <v>0.99943550000000003</v>
      </c>
      <c r="Q5231">
        <v>6.8014310000000001E-3</v>
      </c>
      <c r="R5231">
        <v>-3.2903490000000001E-2</v>
      </c>
      <c r="S5231">
        <v>2.9904790000000001</v>
      </c>
      <c r="T5231">
        <v>-0.78960269999999899</v>
      </c>
      <c r="U5231">
        <v>-0.4926758</v>
      </c>
      <c r="V5231">
        <v>1.9930440000000001E-2</v>
      </c>
      <c r="W5231">
        <v>1.814963E-2</v>
      </c>
      <c r="X5231">
        <v>0.99963659999999999</v>
      </c>
      <c r="Y5231">
        <v>0.14533409999999999</v>
      </c>
      <c r="Z5231">
        <v>-1.5400199999999999E-2</v>
      </c>
      <c r="AA5231">
        <v>0.9892628</v>
      </c>
      <c r="AB5231">
        <v>37</v>
      </c>
      <c r="AC5231">
        <v>0.60849999999999205</v>
      </c>
      <c r="AD5231">
        <v>-0.25431999999999999</v>
      </c>
      <c r="AE5231">
        <v>-0.15449999999998401</v>
      </c>
      <c r="AF5231">
        <v>0.12593208351937199</v>
      </c>
      <c r="AG5231">
        <v>-0.25431999999999999</v>
      </c>
      <c r="AH5231">
        <v>0.52439840712951902</v>
      </c>
      <c r="AI5231">
        <v>115.247051161397</v>
      </c>
      <c r="AJ5231">
        <v>76.496367344102495</v>
      </c>
      <c r="AK5231">
        <v>0.59626440566204097</v>
      </c>
      <c r="AL5231">
        <v>88.960045681937004</v>
      </c>
      <c r="AM5231">
        <v>88.857806104859506</v>
      </c>
      <c r="AN5231">
        <v>0.99999998178364502</v>
      </c>
    </row>
    <row r="5232" spans="1:40" x14ac:dyDescent="0.25">
      <c r="A5232" t="str">
        <f>"20190312150756948"</f>
        <v>20190312150756948</v>
      </c>
      <c r="B5232" t="str">
        <f>"1552374476944810"</f>
        <v>1552374476944810</v>
      </c>
      <c r="C5232" t="s">
        <v>40</v>
      </c>
      <c r="D5232">
        <v>4.4590489999999896</v>
      </c>
      <c r="E5232">
        <v>0.5483922</v>
      </c>
      <c r="F5232" t="s">
        <v>41</v>
      </c>
      <c r="G5232">
        <v>-392.75979999999998</v>
      </c>
      <c r="H5232">
        <v>0.86053489999999999</v>
      </c>
      <c r="I5232">
        <v>213.55</v>
      </c>
      <c r="J5232">
        <v>-393.3458</v>
      </c>
      <c r="K5232">
        <v>1.110215</v>
      </c>
      <c r="L5232">
        <v>213.70099999999999</v>
      </c>
      <c r="M5232">
        <v>0.99985520000000006</v>
      </c>
      <c r="N5232">
        <v>0</v>
      </c>
      <c r="O5232">
        <v>-1.244133E-2</v>
      </c>
      <c r="P5232">
        <v>0.99947569999999997</v>
      </c>
      <c r="Q5232">
        <v>6.8097009999999996E-3</v>
      </c>
      <c r="R5232">
        <v>-3.1652329999999999E-2</v>
      </c>
      <c r="S5232">
        <v>2.9909669999999999</v>
      </c>
      <c r="T5232">
        <v>-0.79122910000000002</v>
      </c>
      <c r="U5232">
        <v>-0.49023440000000001</v>
      </c>
      <c r="V5232">
        <v>1.9197680000000002E-2</v>
      </c>
      <c r="W5232">
        <v>1.8436640000000001E-2</v>
      </c>
      <c r="X5232">
        <v>0.99964569999999997</v>
      </c>
      <c r="Y5232">
        <v>0.14501520000000001</v>
      </c>
      <c r="Z5232">
        <v>-1.552341E-2</v>
      </c>
      <c r="AA5232">
        <v>0.98930759999999995</v>
      </c>
      <c r="AB5232">
        <v>37</v>
      </c>
      <c r="AC5232">
        <v>0.58600000000001196</v>
      </c>
      <c r="AD5232">
        <v>-0.24968009999999999</v>
      </c>
      <c r="AE5232">
        <v>-0.15099999999998201</v>
      </c>
      <c r="AF5232">
        <v>0.122793283032504</v>
      </c>
      <c r="AG5232">
        <v>-0.24968009999999999</v>
      </c>
      <c r="AH5232">
        <v>0.50232011157283696</v>
      </c>
      <c r="AI5232">
        <v>115.772953662094</v>
      </c>
      <c r="AJ5232">
        <v>76.263309520524899</v>
      </c>
      <c r="AK5232">
        <v>0.57423326025619403</v>
      </c>
      <c r="AL5232">
        <v>88.943598479659101</v>
      </c>
      <c r="AM5232">
        <v>88.899799353063003</v>
      </c>
      <c r="AN5232">
        <v>0.99999999307018095</v>
      </c>
    </row>
    <row r="5233" spans="1:40" x14ac:dyDescent="0.25">
      <c r="A5233" t="str">
        <f>"20190312150756971"</f>
        <v>20190312150756971</v>
      </c>
      <c r="B5233" t="str">
        <f>"1552374476965308"</f>
        <v>1552374476965308</v>
      </c>
      <c r="C5233" t="s">
        <v>40</v>
      </c>
      <c r="D5233">
        <v>4.461125</v>
      </c>
      <c r="E5233">
        <v>0.54853640000000004</v>
      </c>
      <c r="F5233" t="s">
        <v>41</v>
      </c>
      <c r="G5233">
        <v>-392.42489999999998</v>
      </c>
      <c r="H5233">
        <v>0.86605789999999905</v>
      </c>
      <c r="I5233">
        <v>213.5506</v>
      </c>
      <c r="J5233">
        <v>-392.96620000000001</v>
      </c>
      <c r="K5233">
        <v>1.110333</v>
      </c>
      <c r="L5233">
        <v>213.6969</v>
      </c>
      <c r="M5233">
        <v>0.99985959999999996</v>
      </c>
      <c r="N5233">
        <v>0</v>
      </c>
      <c r="O5233">
        <v>-1.1804220000000001E-2</v>
      </c>
      <c r="P5233">
        <v>0.99950559999999999</v>
      </c>
      <c r="Q5233">
        <v>7.0108929999999998E-3</v>
      </c>
      <c r="R5233">
        <v>-3.0651979999999999E-2</v>
      </c>
      <c r="S5233">
        <v>2.9915470000000002</v>
      </c>
      <c r="T5233">
        <v>-0.79319819999999996</v>
      </c>
      <c r="U5233">
        <v>-0.48786930000000001</v>
      </c>
      <c r="V5233">
        <v>1.8829660000000002E-2</v>
      </c>
      <c r="W5233">
        <v>1.8928179999999999E-2</v>
      </c>
      <c r="X5233">
        <v>0.99964350000000002</v>
      </c>
      <c r="Y5233">
        <v>0.1448171</v>
      </c>
      <c r="Z5233">
        <v>-1.5698110000000001E-2</v>
      </c>
      <c r="AA5233">
        <v>0.98933389999999999</v>
      </c>
      <c r="AB5233">
        <v>37</v>
      </c>
      <c r="AC5233">
        <v>0.54130000000003498</v>
      </c>
      <c r="AD5233">
        <v>-0.2442751</v>
      </c>
      <c r="AE5233">
        <v>-0.14629999999999599</v>
      </c>
      <c r="AF5233">
        <v>0.117583997807556</v>
      </c>
      <c r="AG5233">
        <v>-0.2442751</v>
      </c>
      <c r="AH5233">
        <v>0.45637586368144101</v>
      </c>
      <c r="AI5233">
        <v>117.39872578939401</v>
      </c>
      <c r="AJ5233">
        <v>75.552121622235106</v>
      </c>
      <c r="AK5233">
        <v>0.53082506531944995</v>
      </c>
      <c r="AL5233">
        <v>88.915430380882796</v>
      </c>
      <c r="AM5233">
        <v>88.920882816330007</v>
      </c>
      <c r="AN5233">
        <v>0.99999997959303799</v>
      </c>
    </row>
    <row r="5234" spans="1:40" x14ac:dyDescent="0.25">
      <c r="A5234" t="str">
        <f>"20190312150756994"</f>
        <v>20190312150756994</v>
      </c>
      <c r="B5234" t="str">
        <f>"1552374476984827"</f>
        <v>1552374476984827</v>
      </c>
      <c r="C5234" t="s">
        <v>40</v>
      </c>
      <c r="D5234">
        <v>4.4405349999999997</v>
      </c>
      <c r="E5234">
        <v>0.54860659999999895</v>
      </c>
      <c r="F5234" t="s">
        <v>41</v>
      </c>
      <c r="G5234">
        <v>-392.08800000000002</v>
      </c>
      <c r="H5234">
        <v>0.87745119999999899</v>
      </c>
      <c r="I5234">
        <v>213.5538</v>
      </c>
      <c r="J5234">
        <v>-392.57010000000002</v>
      </c>
      <c r="K5234">
        <v>1.1104510000000001</v>
      </c>
      <c r="L5234">
        <v>213.69290000000001</v>
      </c>
      <c r="M5234">
        <v>0.99986450000000004</v>
      </c>
      <c r="N5234">
        <v>0</v>
      </c>
      <c r="O5234">
        <v>-1.105504E-2</v>
      </c>
      <c r="P5234">
        <v>0.99953879999999995</v>
      </c>
      <c r="Q5234">
        <v>6.6969630000000002E-3</v>
      </c>
      <c r="R5234">
        <v>-2.9620790000000001E-2</v>
      </c>
      <c r="S5234">
        <v>2.9921259999999998</v>
      </c>
      <c r="T5234">
        <v>-0.7934949</v>
      </c>
      <c r="U5234">
        <v>-0.48626710000000001</v>
      </c>
      <c r="V5234">
        <v>1.8543759999999999E-2</v>
      </c>
      <c r="W5234">
        <v>1.8923410000000002E-2</v>
      </c>
      <c r="X5234">
        <v>0.99964889999999995</v>
      </c>
      <c r="Y5234">
        <v>0.14497850000000001</v>
      </c>
      <c r="Z5234">
        <v>-1.5916429999999999E-2</v>
      </c>
      <c r="AA5234">
        <v>0.98930669999999998</v>
      </c>
      <c r="AB5234">
        <v>37</v>
      </c>
      <c r="AC5234">
        <v>0.48210000000000203</v>
      </c>
      <c r="AD5234">
        <v>-0.23299980000000001</v>
      </c>
      <c r="AE5234">
        <v>-0.13910000000001299</v>
      </c>
      <c r="AF5234">
        <v>0.11003471994983299</v>
      </c>
      <c r="AG5234">
        <v>-0.23299980000000001</v>
      </c>
      <c r="AH5234">
        <v>0.39782544680266202</v>
      </c>
      <c r="AI5234">
        <v>119.444251617993</v>
      </c>
      <c r="AJ5234">
        <v>74.539063983475799</v>
      </c>
      <c r="AK5234">
        <v>0.47398484418619902</v>
      </c>
      <c r="AL5234">
        <v>88.915703693068096</v>
      </c>
      <c r="AM5234">
        <v>88.937269536709493</v>
      </c>
      <c r="AN5234">
        <v>0.99999994487608601</v>
      </c>
    </row>
    <row r="5235" spans="1:40" x14ac:dyDescent="0.25">
      <c r="A5235" t="str">
        <f>"20190312150757015"</f>
        <v>20190312150757015</v>
      </c>
      <c r="B5235" t="str">
        <f>"1552374477005202"</f>
        <v>1552374477005202</v>
      </c>
      <c r="C5235" t="s">
        <v>40</v>
      </c>
      <c r="D5235">
        <v>4.4777360000000002</v>
      </c>
      <c r="E5235">
        <v>0.54863799999999996</v>
      </c>
      <c r="F5235" t="s">
        <v>41</v>
      </c>
      <c r="G5235">
        <v>-391.74990000000003</v>
      </c>
      <c r="H5235">
        <v>0.89229269999999905</v>
      </c>
      <c r="I5235">
        <v>213.56010000000001</v>
      </c>
      <c r="J5235">
        <v>-392.21510000000001</v>
      </c>
      <c r="K5235">
        <v>1.1105499999999999</v>
      </c>
      <c r="L5235">
        <v>213.68960000000001</v>
      </c>
      <c r="M5235">
        <v>0.99986889999999995</v>
      </c>
      <c r="N5235">
        <v>0</v>
      </c>
      <c r="O5235">
        <v>-1.0316850000000001E-2</v>
      </c>
      <c r="P5235">
        <v>0.99957750000000001</v>
      </c>
      <c r="Q5235">
        <v>6.5747669999999996E-3</v>
      </c>
      <c r="R5235">
        <v>-2.8314579999999999E-2</v>
      </c>
      <c r="S5235">
        <v>2.9923709999999999</v>
      </c>
      <c r="T5235">
        <v>-0.79597989999999996</v>
      </c>
      <c r="U5235">
        <v>-0.48394779999999998</v>
      </c>
      <c r="V5235">
        <v>1.797203E-2</v>
      </c>
      <c r="W5235">
        <v>1.9080739999999999E-2</v>
      </c>
      <c r="X5235">
        <v>0.9996564</v>
      </c>
      <c r="Y5235">
        <v>0.14489830000000001</v>
      </c>
      <c r="Z5235">
        <v>-1.6145619999999999E-2</v>
      </c>
      <c r="AA5235">
        <v>0.98931480000000005</v>
      </c>
      <c r="AB5235">
        <v>37</v>
      </c>
      <c r="AC5235">
        <v>0.46519999999998102</v>
      </c>
      <c r="AD5235">
        <v>-0.21825729999999999</v>
      </c>
      <c r="AE5235">
        <v>-0.129500000000007</v>
      </c>
      <c r="AF5235">
        <v>0.103541084720081</v>
      </c>
      <c r="AG5235">
        <v>-0.21825729999999999</v>
      </c>
      <c r="AH5235">
        <v>0.38737510640913198</v>
      </c>
      <c r="AI5235">
        <v>118.56023495791101</v>
      </c>
      <c r="AJ5235">
        <v>75.035300958074401</v>
      </c>
      <c r="AK5235">
        <v>0.45652653624273298</v>
      </c>
      <c r="AL5235">
        <v>88.906687772613495</v>
      </c>
      <c r="AM5235">
        <v>88.970035555221301</v>
      </c>
      <c r="AN5235">
        <v>0.999999993281114</v>
      </c>
    </row>
    <row r="5236" spans="1:40" x14ac:dyDescent="0.25">
      <c r="A5236" t="str">
        <f>"20190312150757038"</f>
        <v>20190312150757038</v>
      </c>
      <c r="B5236" t="str">
        <f>"1552374477035456"</f>
        <v>1552374477035456</v>
      </c>
      <c r="C5236" t="s">
        <v>40</v>
      </c>
      <c r="D5236">
        <v>4.5075260000000004</v>
      </c>
      <c r="E5236">
        <v>0.54868019999999995</v>
      </c>
      <c r="F5236" t="s">
        <v>41</v>
      </c>
      <c r="G5236">
        <v>-391.41629999999998</v>
      </c>
      <c r="H5236">
        <v>0.89775939999999999</v>
      </c>
      <c r="I5236">
        <v>213.56120000000001</v>
      </c>
      <c r="J5236">
        <v>-391.85480000000001</v>
      </c>
      <c r="K5236">
        <v>1.1106450000000001</v>
      </c>
      <c r="L5236">
        <v>213.6867</v>
      </c>
      <c r="M5236">
        <v>0.99987349999999997</v>
      </c>
      <c r="N5236">
        <v>0</v>
      </c>
      <c r="O5236">
        <v>-9.5124830000000004E-3</v>
      </c>
      <c r="P5236">
        <v>0.99961100000000003</v>
      </c>
      <c r="Q5236">
        <v>6.2363699999999998E-3</v>
      </c>
      <c r="R5236">
        <v>-2.7187240000000001E-2</v>
      </c>
      <c r="S5236">
        <v>2.9929199999999998</v>
      </c>
      <c r="T5236">
        <v>-0.79729819999999996</v>
      </c>
      <c r="U5236">
        <v>-0.48019410000000001</v>
      </c>
      <c r="V5236">
        <v>1.7645930000000001E-2</v>
      </c>
      <c r="W5236">
        <v>1.9014949999999999E-2</v>
      </c>
      <c r="X5236">
        <v>0.99966350000000004</v>
      </c>
      <c r="Y5236">
        <v>0.14442969999999999</v>
      </c>
      <c r="Z5236">
        <v>-1.631846E-2</v>
      </c>
      <c r="AA5236">
        <v>0.9893805</v>
      </c>
      <c r="AB5236">
        <v>37</v>
      </c>
      <c r="AC5236">
        <v>0.43850000000003297</v>
      </c>
      <c r="AD5236">
        <v>-0.21288560000000001</v>
      </c>
      <c r="AE5236">
        <v>-0.12549999999998801</v>
      </c>
      <c r="AF5236">
        <v>9.9620287611486003E-2</v>
      </c>
      <c r="AG5236">
        <v>-0.21288560000000001</v>
      </c>
      <c r="AH5236">
        <v>0.36102424677005501</v>
      </c>
      <c r="AI5236">
        <v>119.61509622498799</v>
      </c>
      <c r="AJ5236">
        <v>74.573798989828504</v>
      </c>
      <c r="AK5236">
        <v>0.43079343907148898</v>
      </c>
      <c r="AL5236">
        <v>88.910457986213899</v>
      </c>
      <c r="AM5236">
        <v>88.988727381756505</v>
      </c>
      <c r="AN5236">
        <v>1.00000003020065</v>
      </c>
    </row>
    <row r="5237" spans="1:40" x14ac:dyDescent="0.25">
      <c r="A5237" t="str">
        <f>"20190312150757061"</f>
        <v>20190312150757061</v>
      </c>
      <c r="B5237" t="str">
        <f>"1552374477054975"</f>
        <v>1552374477054975</v>
      </c>
      <c r="C5237" t="s">
        <v>40</v>
      </c>
      <c r="D5237">
        <v>4.48665</v>
      </c>
      <c r="E5237">
        <v>0.54871829999999999</v>
      </c>
      <c r="F5237" t="s">
        <v>41</v>
      </c>
      <c r="G5237">
        <v>-391.08249999999998</v>
      </c>
      <c r="H5237">
        <v>0.90440500000000001</v>
      </c>
      <c r="I5237">
        <v>213.56319999999999</v>
      </c>
      <c r="J5237">
        <v>-391.4726</v>
      </c>
      <c r="K5237">
        <v>1.1107469999999999</v>
      </c>
      <c r="L5237">
        <v>213.68389999999999</v>
      </c>
      <c r="M5237">
        <v>0.9998783</v>
      </c>
      <c r="N5237">
        <v>0</v>
      </c>
      <c r="O5237">
        <v>-8.6088829999999995E-3</v>
      </c>
      <c r="P5237">
        <v>0.99964450000000005</v>
      </c>
      <c r="Q5237">
        <v>6.2534089999999997E-3</v>
      </c>
      <c r="R5237">
        <v>-2.591765E-2</v>
      </c>
      <c r="S5237">
        <v>2.9931950000000001</v>
      </c>
      <c r="T5237">
        <v>-0.79940020000000001</v>
      </c>
      <c r="U5237">
        <v>-0.47726439999999998</v>
      </c>
      <c r="V5237">
        <v>1.7276150000000001E-2</v>
      </c>
      <c r="W5237">
        <v>1.9297180000000001E-2</v>
      </c>
      <c r="X5237">
        <v>0.99966449999999996</v>
      </c>
      <c r="Y5237">
        <v>0.14431389999999999</v>
      </c>
      <c r="Z5237">
        <v>-1.6580370000000001E-2</v>
      </c>
      <c r="AA5237">
        <v>0.98939310000000003</v>
      </c>
      <c r="AB5237">
        <v>37</v>
      </c>
      <c r="AC5237">
        <v>0.39010000000001799</v>
      </c>
      <c r="AD5237">
        <v>-0.206342</v>
      </c>
      <c r="AE5237">
        <v>-0.120699999999999</v>
      </c>
      <c r="AF5237">
        <v>9.3470242268040502E-2</v>
      </c>
      <c r="AG5237">
        <v>-0.206342</v>
      </c>
      <c r="AH5237">
        <v>0.31156880080789801</v>
      </c>
      <c r="AI5237">
        <v>122.388499713445</v>
      </c>
      <c r="AJ5237">
        <v>73.300822908487106</v>
      </c>
      <c r="AK5237">
        <v>0.38521270071288899</v>
      </c>
      <c r="AL5237">
        <v>88.894284375016298</v>
      </c>
      <c r="AM5237">
        <v>89.009915872690399</v>
      </c>
      <c r="AN5237">
        <v>0.99999997953751196</v>
      </c>
    </row>
    <row r="5238" spans="1:40" x14ac:dyDescent="0.25">
      <c r="A5238" t="str">
        <f>"20190312150757084"</f>
        <v>20190312150757084</v>
      </c>
      <c r="B5238" t="str">
        <f>"1552374477075472"</f>
        <v>1552374477075472</v>
      </c>
      <c r="C5238" t="s">
        <v>40</v>
      </c>
      <c r="D5238">
        <v>4.5066680000000003</v>
      </c>
      <c r="E5238">
        <v>0.54878909999999903</v>
      </c>
      <c r="F5238" t="s">
        <v>41</v>
      </c>
      <c r="G5238">
        <v>-390.7466</v>
      </c>
      <c r="H5238">
        <v>0.91681679999999999</v>
      </c>
      <c r="I5238">
        <v>213.5684</v>
      </c>
      <c r="J5238">
        <v>-391.08760000000001</v>
      </c>
      <c r="K5238">
        <v>1.1108340000000001</v>
      </c>
      <c r="L5238">
        <v>213.6814</v>
      </c>
      <c r="M5238">
        <v>0.99988279999999996</v>
      </c>
      <c r="N5238">
        <v>0</v>
      </c>
      <c r="O5238">
        <v>-7.6571819999999898E-3</v>
      </c>
      <c r="P5238">
        <v>0.99967810000000001</v>
      </c>
      <c r="Q5238">
        <v>6.3677819999999998E-3</v>
      </c>
      <c r="R5238">
        <v>-2.455794E-2</v>
      </c>
      <c r="S5238">
        <v>2.993744</v>
      </c>
      <c r="T5238">
        <v>-0.79980980000000002</v>
      </c>
      <c r="U5238">
        <v>-0.47372439999999999</v>
      </c>
      <c r="V5238">
        <v>1.686433E-2</v>
      </c>
      <c r="W5238">
        <v>1.965045E-2</v>
      </c>
      <c r="X5238">
        <v>0.99966469999999996</v>
      </c>
      <c r="Y5238">
        <v>0.14405770000000001</v>
      </c>
      <c r="Z5238">
        <v>-1.6802020000000001E-2</v>
      </c>
      <c r="AA5238">
        <v>0.98942669999999999</v>
      </c>
      <c r="AB5238">
        <v>37</v>
      </c>
      <c r="AC5238">
        <v>0.34100000000000802</v>
      </c>
      <c r="AD5238">
        <v>-0.1940172</v>
      </c>
      <c r="AE5238">
        <v>-0.112999999999999</v>
      </c>
      <c r="AF5238">
        <v>8.5458047606042101E-2</v>
      </c>
      <c r="AG5238">
        <v>-0.1940172</v>
      </c>
      <c r="AH5238">
        <v>0.26465729087657203</v>
      </c>
      <c r="AI5238">
        <v>124.900448520634</v>
      </c>
      <c r="AJ5238">
        <v>72.104690982977402</v>
      </c>
      <c r="AK5238">
        <v>0.33910062431467602</v>
      </c>
      <c r="AL5238">
        <v>88.874039711240599</v>
      </c>
      <c r="AM5238">
        <v>89.033512652066705</v>
      </c>
      <c r="AN5238">
        <v>1.00000002911882</v>
      </c>
    </row>
    <row r="5239" spans="1:40" x14ac:dyDescent="0.25">
      <c r="A5239" t="str">
        <f>"20190312150757105"</f>
        <v>20190312150757105</v>
      </c>
      <c r="B5239" t="str">
        <f>"1552374477094995"</f>
        <v>1552374477094995</v>
      </c>
      <c r="C5239" t="s">
        <v>40</v>
      </c>
      <c r="D5239">
        <v>4.4790369999999999</v>
      </c>
      <c r="E5239">
        <v>0.54882619999999904</v>
      </c>
      <c r="F5239" t="s">
        <v>41</v>
      </c>
      <c r="G5239">
        <v>-390.41039999999998</v>
      </c>
      <c r="H5239">
        <v>0.92982480000000001</v>
      </c>
      <c r="I5239">
        <v>213.57480000000001</v>
      </c>
      <c r="J5239">
        <v>-390.73110000000003</v>
      </c>
      <c r="K5239">
        <v>1.1108990000000001</v>
      </c>
      <c r="L5239">
        <v>213.67959999999999</v>
      </c>
      <c r="M5239">
        <v>0.99988690000000002</v>
      </c>
      <c r="N5239">
        <v>0</v>
      </c>
      <c r="O5239">
        <v>-6.74443E-3</v>
      </c>
      <c r="P5239">
        <v>0.99971770000000004</v>
      </c>
      <c r="Q5239">
        <v>6.6814769999999999E-3</v>
      </c>
      <c r="R5239">
        <v>-2.2808780000000001E-2</v>
      </c>
      <c r="S5239">
        <v>2.994507</v>
      </c>
      <c r="T5239">
        <v>-0.80037990000000003</v>
      </c>
      <c r="U5239">
        <v>-0.47061160000000002</v>
      </c>
      <c r="V5239">
        <v>1.6024460000000001E-2</v>
      </c>
      <c r="W5239">
        <v>2.0158659999999998E-2</v>
      </c>
      <c r="X5239">
        <v>0.99966840000000001</v>
      </c>
      <c r="Y5239">
        <v>0.14388709999999999</v>
      </c>
      <c r="Z5239">
        <v>-1.702683E-2</v>
      </c>
      <c r="AA5239">
        <v>0.98944759999999998</v>
      </c>
      <c r="AB5239">
        <v>37</v>
      </c>
      <c r="AC5239">
        <v>0.32070000000004401</v>
      </c>
      <c r="AD5239">
        <v>-0.18107419999999999</v>
      </c>
      <c r="AE5239">
        <v>-0.104799999999983</v>
      </c>
      <c r="AF5239">
        <v>7.9682773403581E-2</v>
      </c>
      <c r="AG5239">
        <v>-0.18107419999999999</v>
      </c>
      <c r="AH5239">
        <v>0.24952637580785</v>
      </c>
      <c r="AI5239">
        <v>124.655339055497</v>
      </c>
      <c r="AJ5239">
        <v>72.289841656145697</v>
      </c>
      <c r="AK5239">
        <v>0.31843464401149402</v>
      </c>
      <c r="AL5239">
        <v>88.844915657567199</v>
      </c>
      <c r="AM5239">
        <v>89.081640172086793</v>
      </c>
      <c r="AN5239">
        <v>1.0000000324249201</v>
      </c>
    </row>
    <row r="5240" spans="1:40" x14ac:dyDescent="0.25">
      <c r="A5240" t="str">
        <f>"20190312150757127"</f>
        <v>20190312150757127</v>
      </c>
      <c r="B5240" t="str">
        <f>"1552374477115492"</f>
        <v>1552374477115492</v>
      </c>
      <c r="C5240" t="s">
        <v>40</v>
      </c>
      <c r="D5240">
        <v>4.4982300000000004</v>
      </c>
      <c r="E5240">
        <v>0.54886809999999997</v>
      </c>
      <c r="F5240" t="s">
        <v>41</v>
      </c>
      <c r="G5240">
        <v>-389.78109999999998</v>
      </c>
      <c r="H5240">
        <v>0.85749449999999905</v>
      </c>
      <c r="I5240">
        <v>213.53149999999999</v>
      </c>
      <c r="J5240">
        <v>-390.37830000000002</v>
      </c>
      <c r="K5240">
        <v>1.110954</v>
      </c>
      <c r="L5240">
        <v>213.6781</v>
      </c>
      <c r="M5240">
        <v>0.99989030000000001</v>
      </c>
      <c r="N5240">
        <v>0</v>
      </c>
      <c r="O5240">
        <v>-5.8199100000000002E-3</v>
      </c>
      <c r="P5240">
        <v>0.99975219999999998</v>
      </c>
      <c r="Q5240">
        <v>6.8495700000000001E-3</v>
      </c>
      <c r="R5240">
        <v>-2.1185639999999999E-2</v>
      </c>
      <c r="S5240">
        <v>2.995514</v>
      </c>
      <c r="T5240">
        <v>-0.79916719999999997</v>
      </c>
      <c r="U5240">
        <v>-0.46615600000000001</v>
      </c>
      <c r="V5240">
        <v>1.532318E-2</v>
      </c>
      <c r="W5240">
        <v>2.0498099999999998E-2</v>
      </c>
      <c r="X5240">
        <v>0.99967249999999996</v>
      </c>
      <c r="Y5240">
        <v>0.14331729999999901</v>
      </c>
      <c r="Z5240">
        <v>-1.7164990000000001E-2</v>
      </c>
      <c r="AA5240">
        <v>0.98952790000000002</v>
      </c>
      <c r="AB5240">
        <v>37</v>
      </c>
      <c r="AC5240">
        <v>0.59720000000004303</v>
      </c>
      <c r="AD5240">
        <v>-0.2534595</v>
      </c>
      <c r="AE5240">
        <v>-0.146600000000006</v>
      </c>
      <c r="AF5240">
        <v>0.12233771419512</v>
      </c>
      <c r="AG5240">
        <v>-0.2534595</v>
      </c>
      <c r="AH5240">
        <v>0.51119650722736398</v>
      </c>
      <c r="AI5240">
        <v>115.74336757157199</v>
      </c>
      <c r="AJ5240">
        <v>76.541306005886298</v>
      </c>
      <c r="AK5240">
        <v>0.58354957240682903</v>
      </c>
      <c r="AL5240">
        <v>88.825463167418107</v>
      </c>
      <c r="AM5240">
        <v>89.121827605612097</v>
      </c>
      <c r="AN5240">
        <v>1.0000000396025801</v>
      </c>
    </row>
    <row r="5241" spans="1:40" x14ac:dyDescent="0.25">
      <c r="A5241" t="str">
        <f>"20190312150757149"</f>
        <v>20190312150757149</v>
      </c>
      <c r="B5241" t="str">
        <f>"1552374477144767"</f>
        <v>1552374477144767</v>
      </c>
      <c r="C5241" t="s">
        <v>40</v>
      </c>
      <c r="D5241">
        <v>4.610614</v>
      </c>
      <c r="E5241">
        <v>0.53148909999999905</v>
      </c>
      <c r="F5241" t="s">
        <v>41</v>
      </c>
      <c r="G5241">
        <v>-389.44959999999998</v>
      </c>
      <c r="H5241">
        <v>0.86344589999999999</v>
      </c>
      <c r="I5241">
        <v>213.53450000000001</v>
      </c>
      <c r="J5241">
        <v>-390.01499999999999</v>
      </c>
      <c r="K5241">
        <v>1.1109929999999999</v>
      </c>
      <c r="L5241">
        <v>213.67699999999999</v>
      </c>
      <c r="M5241">
        <v>0.99989329999999998</v>
      </c>
      <c r="N5241">
        <v>0</v>
      </c>
      <c r="O5241">
        <v>-4.8526330000000003E-3</v>
      </c>
      <c r="P5241">
        <v>0.99977769999999999</v>
      </c>
      <c r="Q5241">
        <v>7.289795E-3</v>
      </c>
      <c r="R5241">
        <v>-1.9785850000000001E-2</v>
      </c>
      <c r="S5241">
        <v>2.9964599999999999</v>
      </c>
      <c r="T5241">
        <v>-0.79867010000000005</v>
      </c>
      <c r="U5241">
        <v>-0.4623871</v>
      </c>
      <c r="V5241">
        <v>1.4887879999999999E-2</v>
      </c>
      <c r="W5241">
        <v>2.1093540000000001E-2</v>
      </c>
      <c r="X5241">
        <v>0.99966659999999996</v>
      </c>
      <c r="Y5241">
        <v>0.14299629999999999</v>
      </c>
      <c r="Z5241">
        <v>-1.7361189999999999E-2</v>
      </c>
      <c r="AA5241">
        <v>0.98957090000000003</v>
      </c>
      <c r="AB5241">
        <v>37</v>
      </c>
      <c r="AC5241">
        <v>0.565400000000011</v>
      </c>
      <c r="AD5241">
        <v>-0.24754709999999999</v>
      </c>
      <c r="AE5241">
        <v>-0.14250000000001201</v>
      </c>
      <c r="AF5241">
        <v>0.118411551406519</v>
      </c>
      <c r="AG5241">
        <v>-0.24754709999999999</v>
      </c>
      <c r="AH5241">
        <v>0.47963427570571099</v>
      </c>
      <c r="AI5241">
        <v>116.61417807807101</v>
      </c>
      <c r="AJ5241">
        <v>76.1321899159758</v>
      </c>
      <c r="AK5241">
        <v>0.55258474522615197</v>
      </c>
      <c r="AL5241">
        <v>88.791339480075806</v>
      </c>
      <c r="AM5241">
        <v>89.146765898635195</v>
      </c>
      <c r="AN5241">
        <v>0.99999994877809095</v>
      </c>
    </row>
    <row r="5242" spans="1:40" x14ac:dyDescent="0.25">
      <c r="A5242" t="str">
        <f>"20190312150757173"</f>
        <v>20190312150757173</v>
      </c>
      <c r="B5242" t="str">
        <f>"1552374477165264"</f>
        <v>1552374477165264</v>
      </c>
      <c r="C5242" t="s">
        <v>40</v>
      </c>
      <c r="D5242">
        <v>4.5364519999999997</v>
      </c>
      <c r="E5242">
        <v>0.49542170000000002</v>
      </c>
      <c r="F5242" t="s">
        <v>41</v>
      </c>
      <c r="G5242">
        <v>-389.10050000000001</v>
      </c>
      <c r="H5242">
        <v>0.91467430000000005</v>
      </c>
      <c r="I5242">
        <v>213.58019999999999</v>
      </c>
      <c r="J5242">
        <v>-389.62540000000001</v>
      </c>
      <c r="K5242">
        <v>1.1110249999999999</v>
      </c>
      <c r="L5242">
        <v>213.67609999999999</v>
      </c>
      <c r="M5242">
        <v>0.99989589999999995</v>
      </c>
      <c r="N5242">
        <v>0</v>
      </c>
      <c r="O5242">
        <v>-3.8039829999999999E-3</v>
      </c>
      <c r="P5242">
        <v>0.99980749999999996</v>
      </c>
      <c r="Q5242">
        <v>7.0032239999999997E-3</v>
      </c>
      <c r="R5242">
        <v>-1.8336700000000001E-2</v>
      </c>
      <c r="S5242">
        <v>2.9990839999999999</v>
      </c>
      <c r="T5242">
        <v>-0.64384830000000004</v>
      </c>
      <c r="U5242">
        <v>-0.31715389999999999</v>
      </c>
      <c r="V5242">
        <v>1.448667E-2</v>
      </c>
      <c r="W5242">
        <v>2.0952430000000001E-2</v>
      </c>
      <c r="X5242">
        <v>0.99967550000000005</v>
      </c>
      <c r="Y5242">
        <v>9.9229629999999999E-2</v>
      </c>
      <c r="Z5242">
        <v>-9.6977890000000001E-3</v>
      </c>
      <c r="AA5242">
        <v>0.99501729999999999</v>
      </c>
      <c r="AB5242">
        <v>37</v>
      </c>
      <c r="AC5242">
        <v>0.52490000000000203</v>
      </c>
      <c r="AD5242">
        <v>-0.19635069999999899</v>
      </c>
      <c r="AE5242">
        <v>-9.5900000000000304E-2</v>
      </c>
      <c r="AF5242">
        <v>8.2703494731580396E-2</v>
      </c>
      <c r="AG5242">
        <v>-0.19635069999999899</v>
      </c>
      <c r="AH5242">
        <v>0.46261781035717697</v>
      </c>
      <c r="AI5242">
        <v>112.675655250296</v>
      </c>
      <c r="AJ5242">
        <v>79.864145930938406</v>
      </c>
      <c r="AK5242">
        <v>0.50932180779049296</v>
      </c>
      <c r="AL5242">
        <v>88.799426320618394</v>
      </c>
      <c r="AM5242">
        <v>89.169763632499297</v>
      </c>
      <c r="AN5242">
        <v>0.999999986615421</v>
      </c>
    </row>
    <row r="5243" spans="1:40" x14ac:dyDescent="0.25">
      <c r="A5243" t="str">
        <f>"20190312150757194"</f>
        <v>20190312150757194</v>
      </c>
      <c r="B5243" t="str">
        <f>"1552374477184783"</f>
        <v>1552374477184783</v>
      </c>
      <c r="C5243" t="s">
        <v>40</v>
      </c>
      <c r="D5243">
        <v>4.5617279999999996</v>
      </c>
      <c r="E5243">
        <v>0.49083399999999999</v>
      </c>
      <c r="F5243" t="s">
        <v>67</v>
      </c>
      <c r="G5243">
        <v>-359.62259999999998</v>
      </c>
      <c r="H5243" s="1">
        <v>3.6336120000000002E-6</v>
      </c>
      <c r="I5243">
        <v>213.47839999999999</v>
      </c>
      <c r="J5243">
        <v>-389.26510000000002</v>
      </c>
      <c r="K5243">
        <v>1.1110450000000001</v>
      </c>
      <c r="L5243">
        <v>213.67570000000001</v>
      </c>
      <c r="M5243">
        <v>0.99989749999999999</v>
      </c>
      <c r="N5243">
        <v>0</v>
      </c>
      <c r="O5243">
        <v>-2.8307179999999999E-3</v>
      </c>
      <c r="P5243">
        <v>0.99984890000000004</v>
      </c>
      <c r="Q5243">
        <v>6.6513939999999997E-3</v>
      </c>
      <c r="R5243">
        <v>-1.6072389999999999E-2</v>
      </c>
      <c r="S5243">
        <v>3.001007</v>
      </c>
      <c r="T5243">
        <v>-0.11112909999999999</v>
      </c>
      <c r="U5243">
        <v>-1.977539E-2</v>
      </c>
      <c r="V5243">
        <v>1.319526E-2</v>
      </c>
      <c r="W5243">
        <v>2.071549E-2</v>
      </c>
      <c r="X5243">
        <v>0.99969830000000004</v>
      </c>
      <c r="Y5243">
        <v>3.7578450000000001E-3</v>
      </c>
      <c r="Z5243" s="1">
        <v>3.5243069999999999E-5</v>
      </c>
      <c r="AA5243">
        <v>0.99999300000000002</v>
      </c>
      <c r="AB5243">
        <v>37</v>
      </c>
      <c r="AC5243">
        <v>29.642499999999998</v>
      </c>
      <c r="AD5243">
        <v>-1.1110413663879899</v>
      </c>
      <c r="AE5243">
        <v>-0.19730000000001199</v>
      </c>
      <c r="AF5243">
        <v>0.11322233206462801</v>
      </c>
      <c r="AG5243">
        <v>-1.1110413663879899</v>
      </c>
      <c r="AH5243">
        <v>29.601356066157201</v>
      </c>
      <c r="AI5243">
        <v>92.149484243511196</v>
      </c>
      <c r="AJ5243">
        <v>89.780850237934004</v>
      </c>
      <c r="AK5243">
        <v>29.622415721370999</v>
      </c>
      <c r="AL5243">
        <v>88.813004908826102</v>
      </c>
      <c r="AM5243">
        <v>89.243783042515304</v>
      </c>
      <c r="AN5243">
        <v>0.99999996871764796</v>
      </c>
    </row>
    <row r="5244" spans="1:40" x14ac:dyDescent="0.25">
      <c r="A5244" t="str">
        <f>"20190312150757209"</f>
        <v>20190312150757209</v>
      </c>
      <c r="B5244" t="str">
        <f>"1552374477205280"</f>
        <v>1552374477205280</v>
      </c>
      <c r="C5244" t="s">
        <v>40</v>
      </c>
      <c r="D5244">
        <v>4.5125159999999997</v>
      </c>
      <c r="E5244">
        <v>0.48984460000000002</v>
      </c>
      <c r="F5244" t="s">
        <v>67</v>
      </c>
      <c r="G5244">
        <v>-327.65339999999998</v>
      </c>
      <c r="H5244" s="1">
        <v>2.5359609999999999E-6</v>
      </c>
      <c r="I5244">
        <v>214.1728</v>
      </c>
      <c r="J5244">
        <v>-389.0403</v>
      </c>
      <c r="K5244">
        <v>1.1110549999999999</v>
      </c>
      <c r="L5244">
        <v>213.6756</v>
      </c>
      <c r="M5244">
        <v>0.99989810000000001</v>
      </c>
      <c r="N5244">
        <v>0</v>
      </c>
      <c r="O5244">
        <v>-2.223198E-3</v>
      </c>
      <c r="P5244">
        <v>0.99986540000000002</v>
      </c>
      <c r="Q5244">
        <v>6.5027349999999999E-3</v>
      </c>
      <c r="R5244">
        <v>-1.5059950000000001E-2</v>
      </c>
      <c r="S5244">
        <v>3.00116</v>
      </c>
      <c r="T5244">
        <v>-5.4119830000000001E-2</v>
      </c>
      <c r="U5244">
        <v>2.42157E-2</v>
      </c>
      <c r="V5244">
        <v>1.2790579999999999E-2</v>
      </c>
      <c r="W5244">
        <v>2.0631590000000002E-2</v>
      </c>
      <c r="X5244">
        <v>0.99970530000000002</v>
      </c>
      <c r="Y5244">
        <v>-1.028981E-2</v>
      </c>
      <c r="Z5244">
        <v>1.3285989999999999E-4</v>
      </c>
      <c r="AA5244">
        <v>0.99994709999999998</v>
      </c>
      <c r="AB5244">
        <v>37</v>
      </c>
      <c r="AC5244">
        <v>61.386899999999997</v>
      </c>
      <c r="AD5244">
        <v>-1.1110524640389901</v>
      </c>
      <c r="AE5244">
        <v>0.49719999999999198</v>
      </c>
      <c r="AF5244">
        <v>-0.63348007323986399</v>
      </c>
      <c r="AG5244">
        <v>-1.1110524640389901</v>
      </c>
      <c r="AH5244">
        <v>61.365541958122698</v>
      </c>
      <c r="AI5244">
        <v>91.037198888454597</v>
      </c>
      <c r="AJ5244">
        <v>90.591446669175099</v>
      </c>
      <c r="AK5244">
        <v>61.3788683049399</v>
      </c>
      <c r="AL5244">
        <v>88.817813058895396</v>
      </c>
      <c r="AM5244">
        <v>89.266977710734395</v>
      </c>
      <c r="AN5244">
        <v>0.999999974145377</v>
      </c>
    </row>
    <row r="5245" spans="1:40" x14ac:dyDescent="0.25">
      <c r="A5245" t="str">
        <f>"20190312150757227"</f>
        <v>20190312150757227</v>
      </c>
      <c r="B5245" t="str">
        <f>"1552374477215039"</f>
        <v>1552374477215039</v>
      </c>
      <c r="C5245" t="s">
        <v>40</v>
      </c>
      <c r="D5245">
        <v>4.5467079999999997</v>
      </c>
      <c r="E5245">
        <v>0.48967509999999997</v>
      </c>
      <c r="F5245" t="s">
        <v>67</v>
      </c>
      <c r="G5245">
        <v>-270.33409999999998</v>
      </c>
      <c r="H5245" s="1">
        <v>-1.3790010000000001E-6</v>
      </c>
      <c r="I5245">
        <v>215.07400000000001</v>
      </c>
      <c r="J5245">
        <v>-388.73779999999999</v>
      </c>
      <c r="K5245">
        <v>1.111059</v>
      </c>
      <c r="L5245">
        <v>213.67570000000001</v>
      </c>
      <c r="M5245">
        <v>0.99989839999999997</v>
      </c>
      <c r="N5245">
        <v>0</v>
      </c>
      <c r="O5245">
        <v>-1.4055999999999999E-3</v>
      </c>
      <c r="P5245">
        <v>0.99988370000000004</v>
      </c>
      <c r="Q5245">
        <v>5.9054930000000004E-3</v>
      </c>
      <c r="R5245">
        <v>-1.405929E-2</v>
      </c>
      <c r="S5245">
        <v>3.00116</v>
      </c>
      <c r="T5245">
        <v>-2.809E-2</v>
      </c>
      <c r="U5245">
        <v>3.5354610000000002E-2</v>
      </c>
      <c r="V5245">
        <v>1.2608100000000001E-2</v>
      </c>
      <c r="W5245">
        <v>2.0113369999999998E-2</v>
      </c>
      <c r="X5245">
        <v>0.9997182</v>
      </c>
      <c r="Y5245">
        <v>-1.318449E-2</v>
      </c>
      <c r="Z5245" s="1">
        <v>7.4854680000000005E-5</v>
      </c>
      <c r="AA5245">
        <v>0.9999131</v>
      </c>
      <c r="AB5245">
        <v>37</v>
      </c>
      <c r="AC5245">
        <v>118.4037</v>
      </c>
      <c r="AD5245">
        <v>-1.1110603790009901</v>
      </c>
      <c r="AE5245">
        <v>1.3983000000000001</v>
      </c>
      <c r="AF5245">
        <v>-1.56460585626954</v>
      </c>
      <c r="AG5245">
        <v>-1.1110603790009901</v>
      </c>
      <c r="AH5245">
        <v>118.39119410147001</v>
      </c>
      <c r="AI5245">
        <v>90.537638330156597</v>
      </c>
      <c r="AJ5245">
        <v>90.757151699595596</v>
      </c>
      <c r="AK5245">
        <v>118.406745109488</v>
      </c>
      <c r="AL5245">
        <v>88.847511067148105</v>
      </c>
      <c r="AM5245">
        <v>89.277443761995897</v>
      </c>
      <c r="AN5245">
        <v>0.99999999562480302</v>
      </c>
    </row>
    <row r="5246" spans="1:40" x14ac:dyDescent="0.25">
      <c r="A5246" t="str">
        <f>"20190312150757250"</f>
        <v>20190312150757250</v>
      </c>
      <c r="B5246" t="str">
        <f>"1552374477245296"</f>
        <v>1552374477245296</v>
      </c>
      <c r="C5246" t="s">
        <v>40</v>
      </c>
      <c r="D5246">
        <v>4.5527930000000003</v>
      </c>
      <c r="E5246">
        <v>0.48935709999999999</v>
      </c>
      <c r="F5246" t="s">
        <v>67</v>
      </c>
      <c r="G5246">
        <v>-243.08539999999999</v>
      </c>
      <c r="H5246" s="1">
        <v>6.1710040000000001E-8</v>
      </c>
      <c r="I5246">
        <v>215.6086</v>
      </c>
      <c r="J5246">
        <v>-388.37290000000002</v>
      </c>
      <c r="K5246">
        <v>1.11107</v>
      </c>
      <c r="L5246">
        <v>213.67609999999999</v>
      </c>
      <c r="M5246">
        <v>0.99989810000000001</v>
      </c>
      <c r="N5246">
        <v>0</v>
      </c>
      <c r="O5246">
        <v>-4.2115030000000001E-4</v>
      </c>
      <c r="P5246">
        <v>0.99990590000000001</v>
      </c>
      <c r="Q5246">
        <v>5.149771E-3</v>
      </c>
      <c r="R5246">
        <v>-1.270047E-2</v>
      </c>
      <c r="S5246">
        <v>3.0010379999999999</v>
      </c>
      <c r="T5246">
        <v>-2.289236E-2</v>
      </c>
      <c r="U5246">
        <v>3.9825439999999997E-2</v>
      </c>
      <c r="V5246">
        <v>1.2235070000000001E-2</v>
      </c>
      <c r="W5246">
        <v>1.9441159999999999E-2</v>
      </c>
      <c r="X5246">
        <v>0.99973610000000002</v>
      </c>
      <c r="Y5246">
        <v>-1.369013E-2</v>
      </c>
      <c r="Z5246" s="1">
        <v>5.5424860000000002E-5</v>
      </c>
      <c r="AA5246">
        <v>0.99990630000000003</v>
      </c>
      <c r="AB5246">
        <v>37</v>
      </c>
      <c r="AC5246">
        <v>145.28749999999999</v>
      </c>
      <c r="AD5246">
        <v>-1.11106993828996</v>
      </c>
      <c r="AE5246">
        <v>1.9325000000000001</v>
      </c>
      <c r="AF5246">
        <v>-1.99357736418456</v>
      </c>
      <c r="AG5246">
        <v>-1.11106993828996</v>
      </c>
      <c r="AH5246">
        <v>145.27817842163401</v>
      </c>
      <c r="AI5246">
        <v>90.438141400359697</v>
      </c>
      <c r="AJ5246">
        <v>90.7861910265501</v>
      </c>
      <c r="AK5246">
        <v>145.29610439589499</v>
      </c>
      <c r="AL5246">
        <v>88.886033361795896</v>
      </c>
      <c r="AM5246">
        <v>89.298832084141196</v>
      </c>
      <c r="AN5246">
        <v>0.99999996264162905</v>
      </c>
    </row>
    <row r="5247" spans="1:40" x14ac:dyDescent="0.25">
      <c r="A5247" t="str">
        <f>"20190312150757273"</f>
        <v>20190312150757273</v>
      </c>
      <c r="B5247" t="str">
        <f>"1552374477264815"</f>
        <v>1552374477264815</v>
      </c>
      <c r="C5247" t="s">
        <v>40</v>
      </c>
      <c r="D5247">
        <v>4.5468489999999999</v>
      </c>
      <c r="E5247">
        <v>0.48965110000000001</v>
      </c>
      <c r="F5247" t="s">
        <v>74</v>
      </c>
      <c r="G5247">
        <v>-107.39749999999999</v>
      </c>
      <c r="H5247">
        <v>0.66010990000000003</v>
      </c>
      <c r="I5247">
        <v>218.0393</v>
      </c>
      <c r="J5247">
        <v>-387.97449999999998</v>
      </c>
      <c r="K5247">
        <v>1.1110799999999901</v>
      </c>
      <c r="L5247">
        <v>213.6771</v>
      </c>
      <c r="M5247">
        <v>0.99989689999999998</v>
      </c>
      <c r="N5247">
        <v>0</v>
      </c>
      <c r="O5247">
        <v>6.5247199999999997E-4</v>
      </c>
      <c r="P5247">
        <v>0.99992250000000005</v>
      </c>
      <c r="Q5247">
        <v>4.8932239999999998E-3</v>
      </c>
      <c r="R5247">
        <v>-1.146087E-2</v>
      </c>
      <c r="S5247">
        <v>3.0008849999999998</v>
      </c>
      <c r="T5247">
        <v>-4.815817E-3</v>
      </c>
      <c r="U5247">
        <v>4.6600339999999997E-2</v>
      </c>
      <c r="V5247">
        <v>1.2069150000000001E-2</v>
      </c>
      <c r="W5247">
        <v>1.9261899999999998E-2</v>
      </c>
      <c r="X5247">
        <v>0.99974160000000001</v>
      </c>
      <c r="Y5247">
        <v>-1.4874510000000001E-2</v>
      </c>
      <c r="Z5247" s="1">
        <v>1.088745E-5</v>
      </c>
      <c r="AA5247">
        <v>0.99988940000000004</v>
      </c>
      <c r="AB5247">
        <v>37</v>
      </c>
      <c r="AC5247">
        <v>280.577</v>
      </c>
      <c r="AD5247">
        <v>-0.45097009999999899</v>
      </c>
      <c r="AE5247">
        <v>4.3621999999999996</v>
      </c>
      <c r="AF5247">
        <v>-4.1791008039122701</v>
      </c>
      <c r="AG5247">
        <v>-0.45097009999999899</v>
      </c>
      <c r="AH5247">
        <v>280.57906209805498</v>
      </c>
      <c r="AI5247">
        <v>90.092080269031996</v>
      </c>
      <c r="AJ5247">
        <v>90.8533321482291</v>
      </c>
      <c r="AK5247">
        <v>280.610545677429</v>
      </c>
      <c r="AL5247">
        <v>88.896306142005002</v>
      </c>
      <c r="AM5247">
        <v>89.308343509265498</v>
      </c>
      <c r="AN5247">
        <v>0.99999997597194501</v>
      </c>
    </row>
    <row r="5248" spans="1:40" x14ac:dyDescent="0.25">
      <c r="A5248" t="str">
        <f>"20190312150757306"</f>
        <v>20190312150757306</v>
      </c>
      <c r="B5248" t="str">
        <f>"1552374477295071"</f>
        <v>1552374477295071</v>
      </c>
      <c r="C5248" t="s">
        <v>40</v>
      </c>
      <c r="D5248">
        <v>4.5786020000000001</v>
      </c>
      <c r="E5248">
        <v>0.48992750000000002</v>
      </c>
      <c r="F5248" t="s">
        <v>74</v>
      </c>
      <c r="G5248">
        <v>-107.39749999999999</v>
      </c>
      <c r="H5248">
        <v>1.38079</v>
      </c>
      <c r="I5248">
        <v>218.18270000000001</v>
      </c>
      <c r="J5248">
        <v>-387.4452</v>
      </c>
      <c r="K5248">
        <v>1.1110949999999999</v>
      </c>
      <c r="L5248">
        <v>213.6789</v>
      </c>
      <c r="M5248">
        <v>0.99989380000000005</v>
      </c>
      <c r="N5248">
        <v>0</v>
      </c>
      <c r="O5248">
        <v>2.0786849999999998E-3</v>
      </c>
      <c r="P5248">
        <v>0.99994179999999999</v>
      </c>
      <c r="Q5248">
        <v>4.8678380000000002E-3</v>
      </c>
      <c r="R5248">
        <v>-9.6266279999999999E-3</v>
      </c>
      <c r="S5248">
        <v>3.0007630000000001</v>
      </c>
      <c r="T5248">
        <v>2.885103E-3</v>
      </c>
      <c r="U5248">
        <v>4.8187260000000003E-2</v>
      </c>
      <c r="V5248">
        <v>1.1661019999999999E-2</v>
      </c>
      <c r="W5248">
        <v>1.9322450000000001E-2</v>
      </c>
      <c r="X5248">
        <v>0.99974529999999995</v>
      </c>
      <c r="Y5248">
        <v>-1.397759E-2</v>
      </c>
      <c r="Z5248" s="1">
        <v>-4.720355E-6</v>
      </c>
      <c r="AA5248">
        <v>0.99990230000000002</v>
      </c>
      <c r="AB5248">
        <v>37</v>
      </c>
      <c r="AC5248">
        <v>280.04770000000002</v>
      </c>
      <c r="AD5248">
        <v>0.26969499999999902</v>
      </c>
      <c r="AE5248">
        <v>4.5038000000000098</v>
      </c>
      <c r="AF5248">
        <v>-3.9215951075121298</v>
      </c>
      <c r="AG5248">
        <v>0.26969499999999902</v>
      </c>
      <c r="AH5248">
        <v>280.056198129873</v>
      </c>
      <c r="AI5248">
        <v>89.944829409782102</v>
      </c>
      <c r="AJ5248">
        <v>90.802253854732498</v>
      </c>
      <c r="AK5248">
        <v>280.08378345512801</v>
      </c>
      <c r="AL5248">
        <v>88.892836264027494</v>
      </c>
      <c r="AM5248">
        <v>89.331732858344594</v>
      </c>
      <c r="AN5248">
        <v>1.00000000066676</v>
      </c>
    </row>
    <row r="5249" spans="1:40" x14ac:dyDescent="0.25">
      <c r="A5249" t="str">
        <f>"20190312150757327"</f>
        <v>20190312150757327</v>
      </c>
      <c r="B5249" t="str">
        <f>"1552374477315567"</f>
        <v>1552374477315567</v>
      </c>
      <c r="C5249" t="s">
        <v>40</v>
      </c>
      <c r="D5249">
        <v>4.529401</v>
      </c>
      <c r="E5249">
        <v>0.49013269999999998</v>
      </c>
      <c r="F5249" t="s">
        <v>74</v>
      </c>
      <c r="G5249">
        <v>-107.39749999999999</v>
      </c>
      <c r="H5249">
        <v>1.8161020000000001</v>
      </c>
      <c r="I5249">
        <v>218.4838</v>
      </c>
      <c r="J5249">
        <v>-387.10059999999999</v>
      </c>
      <c r="K5249">
        <v>1.111108</v>
      </c>
      <c r="L5249">
        <v>213.68049999999999</v>
      </c>
      <c r="M5249">
        <v>0.99989070000000002</v>
      </c>
      <c r="N5249">
        <v>0</v>
      </c>
      <c r="O5249">
        <v>3.0079030000000001E-3</v>
      </c>
      <c r="P5249">
        <v>0.99995040000000002</v>
      </c>
      <c r="Q5249">
        <v>4.6499130000000003E-3</v>
      </c>
      <c r="R5249">
        <v>-8.8141650000000005E-3</v>
      </c>
      <c r="S5249">
        <v>3.0006409999999999</v>
      </c>
      <c r="T5249">
        <v>7.5545309999999997E-3</v>
      </c>
      <c r="U5249">
        <v>5.1483149999999998E-2</v>
      </c>
      <c r="V5249">
        <v>1.177805E-2</v>
      </c>
      <c r="W5249">
        <v>1.91513E-2</v>
      </c>
      <c r="X5249">
        <v>0.99974719999999995</v>
      </c>
      <c r="Y5249">
        <v>-1.414697E-2</v>
      </c>
      <c r="Z5249" s="1">
        <v>-1.0234170000000001E-5</v>
      </c>
      <c r="AA5249">
        <v>0.99989989999999995</v>
      </c>
      <c r="AB5249">
        <v>36</v>
      </c>
      <c r="AC5249">
        <v>279.70310000000001</v>
      </c>
      <c r="AD5249">
        <v>0.70499400000000001</v>
      </c>
      <c r="AE5249">
        <v>4.8033000000000001</v>
      </c>
      <c r="AF5249">
        <v>-3.9618451517126201</v>
      </c>
      <c r="AG5249">
        <v>0.70499400000000001</v>
      </c>
      <c r="AH5249">
        <v>279.71450731036998</v>
      </c>
      <c r="AI5249">
        <v>89.855606187465199</v>
      </c>
      <c r="AJ5249">
        <v>90.811476782390002</v>
      </c>
      <c r="AK5249">
        <v>279.74345181510398</v>
      </c>
      <c r="AL5249">
        <v>88.902644228207393</v>
      </c>
      <c r="AM5249">
        <v>89.325028029186299</v>
      </c>
      <c r="AN5249">
        <v>0.99999997933066598</v>
      </c>
    </row>
    <row r="5250" spans="1:40" x14ac:dyDescent="0.25">
      <c r="A5250" t="str">
        <f>"20190312150757350"</f>
        <v>20190312150757350</v>
      </c>
      <c r="B5250" t="str">
        <f>"1552374477344848"</f>
        <v>1552374477344848</v>
      </c>
      <c r="C5250" t="s">
        <v>40</v>
      </c>
      <c r="D5250">
        <v>4.552454</v>
      </c>
      <c r="E5250">
        <v>0.49062359999999999</v>
      </c>
      <c r="F5250" t="s">
        <v>74</v>
      </c>
      <c r="G5250">
        <v>-107.39749999999999</v>
      </c>
      <c r="H5250">
        <v>1.937341</v>
      </c>
      <c r="I5250">
        <v>218.5436</v>
      </c>
      <c r="J5250">
        <v>-386.72919999999999</v>
      </c>
      <c r="K5250">
        <v>1.1111200000000001</v>
      </c>
      <c r="L5250">
        <v>213.68260000000001</v>
      </c>
      <c r="M5250">
        <v>0.99988659999999996</v>
      </c>
      <c r="N5250">
        <v>0</v>
      </c>
      <c r="O5250">
        <v>4.0099050000000002E-3</v>
      </c>
      <c r="P5250">
        <v>0.9999576</v>
      </c>
      <c r="Q5250">
        <v>4.746765E-3</v>
      </c>
      <c r="R5250">
        <v>-7.8898379999999997E-3</v>
      </c>
      <c r="S5250">
        <v>3.0005799999999998</v>
      </c>
      <c r="T5250">
        <v>8.8641640000000008E-3</v>
      </c>
      <c r="U5250">
        <v>5.2169800000000002E-2</v>
      </c>
      <c r="V5250">
        <v>1.1855620000000001E-2</v>
      </c>
      <c r="W5250">
        <v>1.9290990000000001E-2</v>
      </c>
      <c r="X5250">
        <v>0.99974359999999995</v>
      </c>
      <c r="Y5250">
        <v>-1.337405E-2</v>
      </c>
      <c r="Z5250" s="1">
        <v>-7.9068700000000001E-6</v>
      </c>
      <c r="AA5250">
        <v>0.99991059999999998</v>
      </c>
      <c r="AB5250">
        <v>36</v>
      </c>
      <c r="AC5250">
        <v>279.33170000000001</v>
      </c>
      <c r="AD5250">
        <v>0.82622099999999898</v>
      </c>
      <c r="AE5250">
        <v>4.86099999999999</v>
      </c>
      <c r="AF5250">
        <v>-3.74071658826779</v>
      </c>
      <c r="AG5250">
        <v>0.82622099999999898</v>
      </c>
      <c r="AH5250">
        <v>279.34650475874201</v>
      </c>
      <c r="AI5250">
        <v>89.830552401229696</v>
      </c>
      <c r="AJ5250">
        <v>90.767199373177405</v>
      </c>
      <c r="AK5250">
        <v>279.37277126209</v>
      </c>
      <c r="AL5250">
        <v>88.894639104521104</v>
      </c>
      <c r="AM5250">
        <v>89.320580646430102</v>
      </c>
      <c r="AN5250">
        <v>0.99999998188086203</v>
      </c>
    </row>
    <row r="5251" spans="1:40" x14ac:dyDescent="0.25">
      <c r="A5251" t="str">
        <f>"20190312150757373"</f>
        <v>20190312150757373</v>
      </c>
      <c r="B5251" t="str">
        <f>"1552374477365343"</f>
        <v>1552374477365343</v>
      </c>
      <c r="C5251" t="s">
        <v>40</v>
      </c>
      <c r="D5251">
        <v>4.5487229999999998</v>
      </c>
      <c r="E5251">
        <v>0.49088569999999998</v>
      </c>
      <c r="F5251" t="s">
        <v>74</v>
      </c>
      <c r="G5251">
        <v>-107.39749999999999</v>
      </c>
      <c r="H5251">
        <v>2.4951639999999999</v>
      </c>
      <c r="I5251">
        <v>218.45429999999999</v>
      </c>
      <c r="J5251">
        <v>-386.35700000000003</v>
      </c>
      <c r="K5251">
        <v>1.1111260000000001</v>
      </c>
      <c r="L5251">
        <v>213.68510000000001</v>
      </c>
      <c r="M5251">
        <v>0.99988160000000004</v>
      </c>
      <c r="N5251">
        <v>0</v>
      </c>
      <c r="O5251">
        <v>5.0149749999999996E-3</v>
      </c>
      <c r="P5251">
        <v>0.99996479999999999</v>
      </c>
      <c r="Q5251">
        <v>4.8908889999999998E-3</v>
      </c>
      <c r="R5251">
        <v>-6.819454E-3</v>
      </c>
      <c r="S5251">
        <v>3.0004270000000002</v>
      </c>
      <c r="T5251">
        <v>1.4867190000000001E-2</v>
      </c>
      <c r="U5251">
        <v>5.1254269999999998E-2</v>
      </c>
      <c r="V5251">
        <v>1.1789819999999999E-2</v>
      </c>
      <c r="W5251">
        <v>1.947072E-2</v>
      </c>
      <c r="X5251">
        <v>0.99974090000000004</v>
      </c>
      <c r="Y5251">
        <v>-1.2064760000000001E-2</v>
      </c>
      <c r="Z5251" s="1">
        <v>-5.0385839999999999E-6</v>
      </c>
      <c r="AA5251">
        <v>0.99992720000000002</v>
      </c>
      <c r="AB5251">
        <v>36</v>
      </c>
      <c r="AC5251">
        <v>278.95949999999999</v>
      </c>
      <c r="AD5251">
        <v>1.3840380000000001</v>
      </c>
      <c r="AE5251">
        <v>4.7691999999999801</v>
      </c>
      <c r="AF5251">
        <v>-3.36993410621269</v>
      </c>
      <c r="AG5251">
        <v>1.3840380000000001</v>
      </c>
      <c r="AH5251">
        <v>278.97304613896301</v>
      </c>
      <c r="AI5251">
        <v>89.715767879309197</v>
      </c>
      <c r="AJ5251">
        <v>90.692086971786296</v>
      </c>
      <c r="AK5251">
        <v>278.996832399791</v>
      </c>
      <c r="AL5251">
        <v>88.884339406098405</v>
      </c>
      <c r="AM5251">
        <v>89.324349323758398</v>
      </c>
      <c r="AN5251">
        <v>0.99999998796288003</v>
      </c>
    </row>
    <row r="5252" spans="1:40" x14ac:dyDescent="0.25">
      <c r="A5252" t="str">
        <f>"20190312150757395"</f>
        <v>20190312150757395</v>
      </c>
      <c r="B5252" t="str">
        <f>"1552374477384863"</f>
        <v>1552374477384863</v>
      </c>
      <c r="C5252" t="s">
        <v>40</v>
      </c>
      <c r="D5252">
        <v>4.5392580000000002</v>
      </c>
      <c r="E5252">
        <v>0.49105470000000001</v>
      </c>
      <c r="F5252" t="s">
        <v>74</v>
      </c>
      <c r="G5252">
        <v>-107.39749999999999</v>
      </c>
      <c r="H5252">
        <v>2.8234309999999998</v>
      </c>
      <c r="I5252">
        <v>218.54409999999999</v>
      </c>
      <c r="J5252">
        <v>-385.99709999999999</v>
      </c>
      <c r="K5252">
        <v>1.111132</v>
      </c>
      <c r="L5252">
        <v>213.68790000000001</v>
      </c>
      <c r="M5252">
        <v>0.99987579999999998</v>
      </c>
      <c r="N5252">
        <v>0</v>
      </c>
      <c r="O5252">
        <v>5.9873560000000001E-3</v>
      </c>
      <c r="P5252">
        <v>0.99996960000000001</v>
      </c>
      <c r="Q5252">
        <v>4.963065E-3</v>
      </c>
      <c r="R5252">
        <v>-6.0352069999999999E-3</v>
      </c>
      <c r="S5252">
        <v>3.0003660000000001</v>
      </c>
      <c r="T5252">
        <v>1.8417360000000001E-2</v>
      </c>
      <c r="U5252">
        <v>5.2261349999999998E-2</v>
      </c>
      <c r="V5252">
        <v>1.197784E-2</v>
      </c>
      <c r="W5252">
        <v>1.9573219999999999E-2</v>
      </c>
      <c r="X5252">
        <v>0.99973670000000003</v>
      </c>
      <c r="Y5252">
        <v>-1.142818E-2</v>
      </c>
      <c r="Z5252" s="1">
        <v>1.680506E-6</v>
      </c>
      <c r="AA5252">
        <v>0.99993469999999995</v>
      </c>
      <c r="AB5252">
        <v>36</v>
      </c>
      <c r="AC5252">
        <v>278.59960000000001</v>
      </c>
      <c r="AD5252">
        <v>1.712299</v>
      </c>
      <c r="AE5252">
        <v>4.8561999999999701</v>
      </c>
      <c r="AF5252">
        <v>-3.18774028052494</v>
      </c>
      <c r="AG5252">
        <v>1.712299</v>
      </c>
      <c r="AH5252">
        <v>278.61316283857701</v>
      </c>
      <c r="AI5252">
        <v>89.647899441680096</v>
      </c>
      <c r="AJ5252">
        <v>90.655518544897703</v>
      </c>
      <c r="AK5252">
        <v>278.636659761197</v>
      </c>
      <c r="AL5252">
        <v>88.878465510155706</v>
      </c>
      <c r="AM5252">
        <v>89.313572418269899</v>
      </c>
      <c r="AN5252">
        <v>1.0000000244595599</v>
      </c>
    </row>
    <row r="5253" spans="1:40" x14ac:dyDescent="0.25">
      <c r="A5253" t="str">
        <f>"20190312150757417"</f>
        <v>20190312150757417</v>
      </c>
      <c r="B5253" t="str">
        <f>"1552374477405360"</f>
        <v>1552374477405360</v>
      </c>
      <c r="C5253" t="s">
        <v>40</v>
      </c>
      <c r="D5253">
        <v>4.7835749999999999</v>
      </c>
      <c r="E5253">
        <v>0.4912899</v>
      </c>
      <c r="F5253" t="s">
        <v>74</v>
      </c>
      <c r="G5253">
        <v>-107.39749999999999</v>
      </c>
      <c r="H5253">
        <v>3.1622780000000001</v>
      </c>
      <c r="I5253">
        <v>218.6386</v>
      </c>
      <c r="J5253">
        <v>-385.65140000000002</v>
      </c>
      <c r="K5253">
        <v>1.111138</v>
      </c>
      <c r="L5253">
        <v>213.6909</v>
      </c>
      <c r="M5253">
        <v>0.99986940000000002</v>
      </c>
      <c r="N5253">
        <v>0</v>
      </c>
      <c r="O5253">
        <v>6.9222800000000003E-3</v>
      </c>
      <c r="P5253">
        <v>0.99996790000000002</v>
      </c>
      <c r="Q5253">
        <v>5.6890380000000004E-3</v>
      </c>
      <c r="R5253">
        <v>-5.6558149999999998E-3</v>
      </c>
      <c r="S5253">
        <v>3.0002749999999998</v>
      </c>
      <c r="T5253">
        <v>2.2089600000000001E-2</v>
      </c>
      <c r="U5253">
        <v>5.3314210000000001E-2</v>
      </c>
      <c r="V5253">
        <v>1.253162E-2</v>
      </c>
      <c r="W5253">
        <v>2.0324559999999998E-2</v>
      </c>
      <c r="X5253">
        <v>0.99971489999999996</v>
      </c>
      <c r="Y5253">
        <v>-1.084451E-2</v>
      </c>
      <c r="Z5253" s="1">
        <v>1.10473E-5</v>
      </c>
      <c r="AA5253">
        <v>0.99994119999999997</v>
      </c>
      <c r="AB5253">
        <v>36</v>
      </c>
      <c r="AC5253">
        <v>278.25389999999999</v>
      </c>
      <c r="AD5253">
        <v>2.0511400000000002</v>
      </c>
      <c r="AE5253">
        <v>4.9476999999999904</v>
      </c>
      <c r="AF5253">
        <v>-3.0210604931969698</v>
      </c>
      <c r="AG5253">
        <v>2.0511400000000002</v>
      </c>
      <c r="AH5253">
        <v>278.26636902249999</v>
      </c>
      <c r="AI5253">
        <v>89.577697397806801</v>
      </c>
      <c r="AJ5253">
        <v>90.622019887746703</v>
      </c>
      <c r="AK5253">
        <v>278.29032701617399</v>
      </c>
      <c r="AL5253">
        <v>88.835408308521806</v>
      </c>
      <c r="AM5253">
        <v>89.281823915165305</v>
      </c>
      <c r="AN5253">
        <v>1.00000000526051</v>
      </c>
    </row>
    <row r="5254" spans="1:40" x14ac:dyDescent="0.25">
      <c r="A5254" t="str">
        <f>"20190312150757439"</f>
        <v>20190312150757439</v>
      </c>
      <c r="B5254" t="str">
        <f>"1552374477435616"</f>
        <v>1552374477435616</v>
      </c>
      <c r="C5254" t="s">
        <v>40</v>
      </c>
      <c r="D5254">
        <v>4.5061200000000001</v>
      </c>
      <c r="E5254">
        <v>0.49154759999999997</v>
      </c>
      <c r="F5254" t="s">
        <v>74</v>
      </c>
      <c r="G5254">
        <v>-107.39749999999999</v>
      </c>
      <c r="H5254">
        <v>3.4560689999999998</v>
      </c>
      <c r="I5254">
        <v>218.56610000000001</v>
      </c>
      <c r="J5254">
        <v>-385.2894</v>
      </c>
      <c r="K5254">
        <v>1.1111500000000001</v>
      </c>
      <c r="L5254">
        <v>213.6944</v>
      </c>
      <c r="M5254">
        <v>0.99986189999999997</v>
      </c>
      <c r="N5254">
        <v>0</v>
      </c>
      <c r="O5254">
        <v>7.9017429999999993E-3</v>
      </c>
      <c r="P5254">
        <v>0.99997020000000003</v>
      </c>
      <c r="Q5254">
        <v>5.7490579999999996E-3</v>
      </c>
      <c r="R5254">
        <v>-5.2036920000000002E-3</v>
      </c>
      <c r="S5254">
        <v>3.0002439999999999</v>
      </c>
      <c r="T5254">
        <v>2.528453E-2</v>
      </c>
      <c r="U5254">
        <v>5.256653E-2</v>
      </c>
      <c r="V5254">
        <v>1.305895E-2</v>
      </c>
      <c r="W5254">
        <v>2.0407519999999998E-2</v>
      </c>
      <c r="X5254">
        <v>0.9997064</v>
      </c>
      <c r="Y5254">
        <v>-9.6160789999999996E-3</v>
      </c>
      <c r="Z5254" s="1">
        <v>2.6075150000000001E-5</v>
      </c>
      <c r="AA5254">
        <v>0.99995369999999995</v>
      </c>
      <c r="AB5254">
        <v>36</v>
      </c>
      <c r="AC5254">
        <v>277.89190000000002</v>
      </c>
      <c r="AD5254">
        <v>2.344919</v>
      </c>
      <c r="AE5254">
        <v>4.8716999999999997</v>
      </c>
      <c r="AF5254">
        <v>-2.6752923585227202</v>
      </c>
      <c r="AG5254">
        <v>2.344919</v>
      </c>
      <c r="AH5254">
        <v>277.90193997373598</v>
      </c>
      <c r="AI5254">
        <v>89.516575707128396</v>
      </c>
      <c r="AJ5254">
        <v>90.551555078219494</v>
      </c>
      <c r="AK5254">
        <v>277.92470936476002</v>
      </c>
      <c r="AL5254">
        <v>88.830653993688102</v>
      </c>
      <c r="AM5254">
        <v>89.251600103561302</v>
      </c>
      <c r="AN5254">
        <v>0.99999994462430497</v>
      </c>
    </row>
    <row r="5255" spans="1:40" x14ac:dyDescent="0.25">
      <c r="A5255" t="str">
        <f>"20190312150757463"</f>
        <v>20190312150757463</v>
      </c>
      <c r="B5255" t="str">
        <f>"1552374477455136"</f>
        <v>1552374477455136</v>
      </c>
      <c r="C5255" t="s">
        <v>40</v>
      </c>
      <c r="D5255">
        <v>4.5502609999999999</v>
      </c>
      <c r="E5255">
        <v>0.49169180000000001</v>
      </c>
      <c r="F5255" t="s">
        <v>74</v>
      </c>
      <c r="G5255">
        <v>-107.39749999999999</v>
      </c>
      <c r="H5255">
        <v>3.53199</v>
      </c>
      <c r="I5255">
        <v>218.48840000000001</v>
      </c>
      <c r="J5255">
        <v>-384.90350000000001</v>
      </c>
      <c r="K5255">
        <v>1.111151</v>
      </c>
      <c r="L5255">
        <v>213.69839999999999</v>
      </c>
      <c r="M5255">
        <v>0.99985270000000004</v>
      </c>
      <c r="N5255">
        <v>0</v>
      </c>
      <c r="O5255">
        <v>8.947076E-3</v>
      </c>
      <c r="P5255">
        <v>0.99997029999999998</v>
      </c>
      <c r="Q5255">
        <v>6.3160830000000001E-3</v>
      </c>
      <c r="R5255">
        <v>-4.4515450000000003E-3</v>
      </c>
      <c r="S5255">
        <v>3.0002140000000002</v>
      </c>
      <c r="T5255">
        <v>2.6136759999999998E-2</v>
      </c>
      <c r="U5255">
        <v>5.1757810000000001E-2</v>
      </c>
      <c r="V5255">
        <v>1.335098E-2</v>
      </c>
      <c r="W5255">
        <v>2.099438E-2</v>
      </c>
      <c r="X5255">
        <v>0.99969050000000004</v>
      </c>
      <c r="Y5255">
        <v>-8.3014419999999992E-3</v>
      </c>
      <c r="Z5255" s="1">
        <v>4.1786270000000001E-5</v>
      </c>
      <c r="AA5255">
        <v>0.99996549999999995</v>
      </c>
      <c r="AB5255">
        <v>36</v>
      </c>
      <c r="AC5255">
        <v>277.50599999999997</v>
      </c>
      <c r="AD5255">
        <v>2.420839</v>
      </c>
      <c r="AE5255">
        <v>4.7900000000000196</v>
      </c>
      <c r="AF5255">
        <v>-2.30649912383929</v>
      </c>
      <c r="AG5255">
        <v>2.420839</v>
      </c>
      <c r="AH5255">
        <v>277.51663844223901</v>
      </c>
      <c r="AI5255">
        <v>89.500226183339905</v>
      </c>
      <c r="AJ5255">
        <v>90.4761863045252</v>
      </c>
      <c r="AK5255">
        <v>277.53678136771799</v>
      </c>
      <c r="AL5255">
        <v>88.797022315161996</v>
      </c>
      <c r="AM5255">
        <v>89.234853854910099</v>
      </c>
      <c r="AN5255">
        <v>1.0000000542243901</v>
      </c>
    </row>
    <row r="5256" spans="1:40" x14ac:dyDescent="0.25">
      <c r="A5256" t="str">
        <f>"20190312150757487"</f>
        <v>20190312150757487</v>
      </c>
      <c r="B5256" t="str">
        <f>"1552374477475631"</f>
        <v>1552374477475631</v>
      </c>
      <c r="C5256" t="s">
        <v>40</v>
      </c>
      <c r="D5256">
        <v>4.5137980000000004</v>
      </c>
      <c r="E5256">
        <v>0.49174879999999999</v>
      </c>
      <c r="F5256" t="s">
        <v>74</v>
      </c>
      <c r="G5256">
        <v>-107.39749999999999</v>
      </c>
      <c r="H5256">
        <v>3.6616529999999998</v>
      </c>
      <c r="I5256">
        <v>218.59460000000001</v>
      </c>
      <c r="J5256">
        <v>-384.52809999999999</v>
      </c>
      <c r="K5256">
        <v>1.111159</v>
      </c>
      <c r="L5256">
        <v>213.7028</v>
      </c>
      <c r="M5256">
        <v>0.99984289999999998</v>
      </c>
      <c r="N5256">
        <v>0</v>
      </c>
      <c r="O5256">
        <v>9.9647160000000002E-3</v>
      </c>
      <c r="P5256">
        <v>0.99997119999999995</v>
      </c>
      <c r="Q5256">
        <v>6.428909E-3</v>
      </c>
      <c r="R5256">
        <v>-4.0496919999999997E-3</v>
      </c>
      <c r="S5256">
        <v>3.0001220000000002</v>
      </c>
      <c r="T5256">
        <v>2.7574060000000001E-2</v>
      </c>
      <c r="U5256">
        <v>5.2932739999999999E-2</v>
      </c>
      <c r="V5256">
        <v>1.3966599999999999E-2</v>
      </c>
      <c r="W5256">
        <v>2.1123099999999999E-2</v>
      </c>
      <c r="X5256">
        <v>0.99967930000000005</v>
      </c>
      <c r="Y5256">
        <v>-7.6757700000000002E-3</v>
      </c>
      <c r="Z5256" s="1">
        <v>5.63127E-5</v>
      </c>
      <c r="AA5256">
        <v>0.99997060000000004</v>
      </c>
      <c r="AB5256">
        <v>36</v>
      </c>
      <c r="AC5256">
        <v>277.13060000000002</v>
      </c>
      <c r="AD5256">
        <v>2.550494</v>
      </c>
      <c r="AE5256">
        <v>4.8918000000000097</v>
      </c>
      <c r="AF5256">
        <v>-2.1295522894796401</v>
      </c>
      <c r="AG5256">
        <v>2.550494</v>
      </c>
      <c r="AH5256">
        <v>277.14212199441602</v>
      </c>
      <c r="AI5256">
        <v>89.472746682911307</v>
      </c>
      <c r="AJ5256">
        <v>90.440250497704</v>
      </c>
      <c r="AK5256">
        <v>277.16203888008403</v>
      </c>
      <c r="AL5256">
        <v>88.789645473539906</v>
      </c>
      <c r="AM5256">
        <v>89.199568126996397</v>
      </c>
      <c r="AN5256">
        <v>0.99999997705882904</v>
      </c>
    </row>
    <row r="5257" spans="1:40" x14ac:dyDescent="0.25">
      <c r="A5257" t="str">
        <f>"20190312150757508"</f>
        <v>20190312150757508</v>
      </c>
      <c r="B5257" t="str">
        <f>"1552374477504912"</f>
        <v>1552374477504912</v>
      </c>
      <c r="C5257" t="s">
        <v>40</v>
      </c>
      <c r="D5257">
        <v>4.6621589999999999</v>
      </c>
      <c r="E5257">
        <v>0.49203580000000002</v>
      </c>
      <c r="F5257" t="s">
        <v>74</v>
      </c>
      <c r="G5257">
        <v>-107.39749999999999</v>
      </c>
      <c r="H5257">
        <v>3.5311460000000001</v>
      </c>
      <c r="I5257">
        <v>218.65860000000001</v>
      </c>
      <c r="J5257">
        <v>-384.1694</v>
      </c>
      <c r="K5257">
        <v>1.111164</v>
      </c>
      <c r="L5257">
        <v>213.7073</v>
      </c>
      <c r="M5257">
        <v>0.99983250000000001</v>
      </c>
      <c r="N5257">
        <v>0</v>
      </c>
      <c r="O5257">
        <v>1.0937199999999999E-2</v>
      </c>
      <c r="P5257">
        <v>0.99997480000000005</v>
      </c>
      <c r="Q5257">
        <v>6.1634699999999999E-3</v>
      </c>
      <c r="R5257">
        <v>-3.5411150000000001E-3</v>
      </c>
      <c r="S5257">
        <v>3.0001220000000002</v>
      </c>
      <c r="T5257">
        <v>2.6198510000000001E-2</v>
      </c>
      <c r="U5257">
        <v>5.36499E-2</v>
      </c>
      <c r="V5257">
        <v>1.443126E-2</v>
      </c>
      <c r="W5257">
        <v>2.0870900000000001E-2</v>
      </c>
      <c r="X5257">
        <v>0.99967799999999996</v>
      </c>
      <c r="Y5257">
        <v>-6.9421709999999996E-3</v>
      </c>
      <c r="Z5257" s="1">
        <v>6.5197749999999896E-5</v>
      </c>
      <c r="AA5257">
        <v>0.99997590000000003</v>
      </c>
      <c r="AB5257">
        <v>36</v>
      </c>
      <c r="AC5257">
        <v>276.77190000000002</v>
      </c>
      <c r="AD5257">
        <v>2.4199820000000001</v>
      </c>
      <c r="AE5257">
        <v>4.9512999999999998</v>
      </c>
      <c r="AF5257">
        <v>-1.9234211640907399</v>
      </c>
      <c r="AG5257">
        <v>2.4199820000000001</v>
      </c>
      <c r="AH5257">
        <v>276.78834724235099</v>
      </c>
      <c r="AI5257">
        <v>89.499083410692705</v>
      </c>
      <c r="AJ5257">
        <v>90.398145883591695</v>
      </c>
      <c r="AK5257">
        <v>276.80560874195999</v>
      </c>
      <c r="AL5257">
        <v>88.804098659039099</v>
      </c>
      <c r="AM5257">
        <v>89.172940825988803</v>
      </c>
      <c r="AN5257">
        <v>0.99999997970799803</v>
      </c>
    </row>
    <row r="5258" spans="1:40" x14ac:dyDescent="0.25">
      <c r="A5258" t="str">
        <f>"20190312150757529"</f>
        <v>20190312150757529</v>
      </c>
      <c r="B5258" t="str">
        <f>"1552374477525408"</f>
        <v>1552374477525408</v>
      </c>
      <c r="C5258" t="s">
        <v>40</v>
      </c>
      <c r="D5258">
        <v>4.4887860000000002</v>
      </c>
      <c r="E5258">
        <v>0.49209219999999998</v>
      </c>
      <c r="F5258" t="s">
        <v>74</v>
      </c>
      <c r="G5258">
        <v>-107.39749999999999</v>
      </c>
      <c r="H5258">
        <v>3.5716030000000001</v>
      </c>
      <c r="I5258">
        <v>218.6019</v>
      </c>
      <c r="J5258">
        <v>-383.8356</v>
      </c>
      <c r="K5258">
        <v>1.11117</v>
      </c>
      <c r="L5258">
        <v>213.71190000000001</v>
      </c>
      <c r="M5258">
        <v>0.99982210000000005</v>
      </c>
      <c r="N5258">
        <v>0</v>
      </c>
      <c r="O5258">
        <v>1.184341E-2</v>
      </c>
      <c r="P5258">
        <v>0.99997499999999995</v>
      </c>
      <c r="Q5258">
        <v>6.3523169999999997E-3</v>
      </c>
      <c r="R5258">
        <v>-3.2030629999999999E-3</v>
      </c>
      <c r="S5258">
        <v>3.000092</v>
      </c>
      <c r="T5258">
        <v>2.667069E-2</v>
      </c>
      <c r="U5258">
        <v>5.3054810000000001E-2</v>
      </c>
      <c r="V5258">
        <v>1.499897E-2</v>
      </c>
      <c r="W5258">
        <v>2.1070180000000001E-2</v>
      </c>
      <c r="X5258">
        <v>0.99966549999999998</v>
      </c>
      <c r="Y5258">
        <v>-5.8377919999999996E-3</v>
      </c>
      <c r="Z5258" s="1">
        <v>7.9337590000000004E-5</v>
      </c>
      <c r="AA5258">
        <v>0.99998299999999996</v>
      </c>
      <c r="AB5258">
        <v>36</v>
      </c>
      <c r="AC5258">
        <v>276.43810000000002</v>
      </c>
      <c r="AD5258">
        <v>2.4604330000000001</v>
      </c>
      <c r="AE5258">
        <v>4.8899999999999801</v>
      </c>
      <c r="AF5258">
        <v>-1.61520645993894</v>
      </c>
      <c r="AG5258">
        <v>2.4604330000000001</v>
      </c>
      <c r="AH5258">
        <v>276.454734661408</v>
      </c>
      <c r="AI5258">
        <v>89.490092658078794</v>
      </c>
      <c r="AJ5258">
        <v>90.334750860062698</v>
      </c>
      <c r="AK5258">
        <v>276.47040156075502</v>
      </c>
      <c r="AL5258">
        <v>88.792678289143893</v>
      </c>
      <c r="AM5258">
        <v>89.140399264411101</v>
      </c>
      <c r="AN5258">
        <v>1.0000000167382701</v>
      </c>
    </row>
    <row r="5259" spans="1:40" x14ac:dyDescent="0.25">
      <c r="A5259" t="str">
        <f>"20190312150757552"</f>
        <v>20190312150757552</v>
      </c>
      <c r="B5259" t="str">
        <f>"1552374477544928"</f>
        <v>1552374477544928</v>
      </c>
      <c r="C5259" t="s">
        <v>40</v>
      </c>
      <c r="D5259">
        <v>4.46312</v>
      </c>
      <c r="E5259">
        <v>0.49220190000000003</v>
      </c>
      <c r="F5259" t="s">
        <v>74</v>
      </c>
      <c r="G5259">
        <v>-107.39749999999999</v>
      </c>
      <c r="H5259">
        <v>3.6204260000000001</v>
      </c>
      <c r="I5259">
        <v>218.6456</v>
      </c>
      <c r="J5259">
        <v>-383.46719999999999</v>
      </c>
      <c r="K5259">
        <v>1.1111789999999999</v>
      </c>
      <c r="L5259">
        <v>213.71729999999999</v>
      </c>
      <c r="M5259">
        <v>0.99980950000000002</v>
      </c>
      <c r="N5259">
        <v>0</v>
      </c>
      <c r="O5259">
        <v>1.2843500000000001E-2</v>
      </c>
      <c r="P5259">
        <v>0.99997499999999995</v>
      </c>
      <c r="Q5259">
        <v>6.6271780000000001E-3</v>
      </c>
      <c r="R5259">
        <v>-2.4600939999999999E-3</v>
      </c>
      <c r="S5259">
        <v>3.0000610000000001</v>
      </c>
      <c r="T5259">
        <v>2.7232409999999999E-2</v>
      </c>
      <c r="U5259">
        <v>5.3543090000000002E-2</v>
      </c>
      <c r="V5259">
        <v>1.525578E-2</v>
      </c>
      <c r="W5259">
        <v>2.1353830000000001E-2</v>
      </c>
      <c r="X5259">
        <v>0.99965559999999998</v>
      </c>
      <c r="Y5259">
        <v>-5.0004990000000003E-3</v>
      </c>
      <c r="Z5259" s="1">
        <v>9.3886099999999995E-5</v>
      </c>
      <c r="AA5259">
        <v>0.99998750000000003</v>
      </c>
      <c r="AB5259">
        <v>36</v>
      </c>
      <c r="AC5259">
        <v>276.06970000000001</v>
      </c>
      <c r="AD5259">
        <v>2.5092469999999998</v>
      </c>
      <c r="AE5259">
        <v>4.9283000000000001</v>
      </c>
      <c r="AF5259">
        <v>-1.3816951061709799</v>
      </c>
      <c r="AG5259">
        <v>2.5092469999999998</v>
      </c>
      <c r="AH5259">
        <v>276.087426798845</v>
      </c>
      <c r="AI5259">
        <v>89.479282682523703</v>
      </c>
      <c r="AJ5259">
        <v>90.286737567775404</v>
      </c>
      <c r="AK5259">
        <v>276.10228655025799</v>
      </c>
      <c r="AL5259">
        <v>88.776422690120597</v>
      </c>
      <c r="AM5259">
        <v>89.125674924215303</v>
      </c>
      <c r="AN5259">
        <v>1.0000000217452101</v>
      </c>
    </row>
    <row r="5260" spans="1:40" x14ac:dyDescent="0.25">
      <c r="A5260" t="str">
        <f>"20190312150757575"</f>
        <v>20190312150757575</v>
      </c>
      <c r="B5260" t="str">
        <f>"1552374477565427"</f>
        <v>1552374477565427</v>
      </c>
      <c r="C5260" t="s">
        <v>40</v>
      </c>
      <c r="D5260">
        <v>4.7115049999999998</v>
      </c>
      <c r="E5260">
        <v>0.49205769999999999</v>
      </c>
      <c r="F5260" t="s">
        <v>74</v>
      </c>
      <c r="G5260">
        <v>-107.39749999999999</v>
      </c>
      <c r="H5260">
        <v>3.6715170000000001</v>
      </c>
      <c r="I5260">
        <v>218.7483</v>
      </c>
      <c r="J5260">
        <v>-383.10789999999997</v>
      </c>
      <c r="K5260">
        <v>1.1111770000000001</v>
      </c>
      <c r="L5260">
        <v>213.72280000000001</v>
      </c>
      <c r="M5260">
        <v>0.99979649999999998</v>
      </c>
      <c r="N5260">
        <v>0</v>
      </c>
      <c r="O5260">
        <v>1.3817970000000001E-2</v>
      </c>
      <c r="P5260">
        <v>0.99997349999999996</v>
      </c>
      <c r="Q5260">
        <v>7.1642969999999896E-3</v>
      </c>
      <c r="R5260">
        <v>-1.2951289999999999E-3</v>
      </c>
      <c r="S5260">
        <v>3.0000309999999999</v>
      </c>
      <c r="T5260">
        <v>2.7823569999999999E-2</v>
      </c>
      <c r="U5260">
        <v>5.4672239999999997E-2</v>
      </c>
      <c r="V5260">
        <v>1.506421E-2</v>
      </c>
      <c r="W5260">
        <v>2.1896820000000001E-2</v>
      </c>
      <c r="X5260">
        <v>0.9996467</v>
      </c>
      <c r="Y5260">
        <v>-4.4023669999999999E-3</v>
      </c>
      <c r="Z5260">
        <v>1.077345E-4</v>
      </c>
      <c r="AA5260">
        <v>0.9999903</v>
      </c>
      <c r="AB5260">
        <v>36</v>
      </c>
      <c r="AC5260">
        <v>275.71039999999999</v>
      </c>
      <c r="AD5260">
        <v>2.5603400000000001</v>
      </c>
      <c r="AE5260">
        <v>5.0254999999999903</v>
      </c>
      <c r="AF5260">
        <v>-1.2147457792274801</v>
      </c>
      <c r="AG5260">
        <v>2.5603400000000001</v>
      </c>
      <c r="AH5260">
        <v>275.72975125008298</v>
      </c>
      <c r="AI5260">
        <v>89.467989812708893</v>
      </c>
      <c r="AJ5260">
        <v>90.2524187387571</v>
      </c>
      <c r="AK5260">
        <v>275.74431394438</v>
      </c>
      <c r="AL5260">
        <v>88.745304304195599</v>
      </c>
      <c r="AM5260">
        <v>89.1366446481792</v>
      </c>
      <c r="AN5260">
        <v>0.99999996298496197</v>
      </c>
    </row>
    <row r="5261" spans="1:40" x14ac:dyDescent="0.25">
      <c r="A5261" t="str">
        <f>"20190312150757595"</f>
        <v>20190312150757595</v>
      </c>
      <c r="B5261" t="str">
        <f>"1552374477584943"</f>
        <v>1552374477584943</v>
      </c>
      <c r="C5261" t="s">
        <v>40</v>
      </c>
      <c r="D5261">
        <v>4.5948669999999998</v>
      </c>
      <c r="E5261">
        <v>0.49219309999999999</v>
      </c>
      <c r="F5261" t="s">
        <v>56</v>
      </c>
      <c r="G5261">
        <v>-122.13</v>
      </c>
      <c r="H5261">
        <v>3.5345059999999999</v>
      </c>
      <c r="I5261">
        <v>218.89709999999999</v>
      </c>
      <c r="J5261">
        <v>-382.76609999999999</v>
      </c>
      <c r="K5261">
        <v>1.1111770000000001</v>
      </c>
      <c r="L5261">
        <v>213.7285</v>
      </c>
      <c r="M5261">
        <v>0.99978330000000004</v>
      </c>
      <c r="N5261">
        <v>0</v>
      </c>
      <c r="O5261">
        <v>1.474308E-2</v>
      </c>
      <c r="P5261">
        <v>0.99997320000000001</v>
      </c>
      <c r="Q5261">
        <v>7.3451890000000002E-3</v>
      </c>
      <c r="R5261" s="1">
        <v>-2.207765E-5</v>
      </c>
      <c r="S5261">
        <v>2.9999690000000001</v>
      </c>
      <c r="T5261">
        <v>2.7857070000000001E-2</v>
      </c>
      <c r="U5261">
        <v>5.9478759999999999E-2</v>
      </c>
      <c r="V5261">
        <v>1.4716160000000001E-2</v>
      </c>
      <c r="W5261">
        <v>2.208179E-2</v>
      </c>
      <c r="X5261">
        <v>0.99964790000000003</v>
      </c>
      <c r="Y5261">
        <v>-5.0790419999999998E-3</v>
      </c>
      <c r="Z5261">
        <v>1.133121E-4</v>
      </c>
      <c r="AA5261">
        <v>0.99998710000000002</v>
      </c>
      <c r="AB5261">
        <v>36</v>
      </c>
      <c r="AC5261">
        <v>260.6361</v>
      </c>
      <c r="AD5261">
        <v>2.4233289999999998</v>
      </c>
      <c r="AE5261">
        <v>5.1685999999999899</v>
      </c>
      <c r="AF5261">
        <v>-1.3249297074626301</v>
      </c>
      <c r="AG5261">
        <v>2.4233289999999998</v>
      </c>
      <c r="AH5261">
        <v>260.661451092768</v>
      </c>
      <c r="AI5261">
        <v>89.467352268584506</v>
      </c>
      <c r="AJ5261">
        <v>90.291229202895394</v>
      </c>
      <c r="AK5261">
        <v>260.67608261587702</v>
      </c>
      <c r="AL5261">
        <v>88.734703847119206</v>
      </c>
      <c r="AM5261">
        <v>89.156590079112306</v>
      </c>
      <c r="AN5261">
        <v>1.00000004739457</v>
      </c>
    </row>
    <row r="5262" spans="1:40" x14ac:dyDescent="0.25">
      <c r="A5262" t="str">
        <f>"20190312150757618"</f>
        <v>20190312150757618</v>
      </c>
      <c r="B5262" t="str">
        <f>"1552374477615200"</f>
        <v>1552374477615200</v>
      </c>
      <c r="C5262" t="s">
        <v>40</v>
      </c>
      <c r="D5262">
        <v>4.4148209999999999</v>
      </c>
      <c r="E5262">
        <v>0.49241099999999999</v>
      </c>
      <c r="F5262" t="s">
        <v>56</v>
      </c>
      <c r="G5262">
        <v>-124.6118</v>
      </c>
      <c r="H5262">
        <v>3.5686900000000001</v>
      </c>
      <c r="I5262">
        <v>219.08189999999999</v>
      </c>
      <c r="J5262">
        <v>-382.4151</v>
      </c>
      <c r="K5262">
        <v>1.1111770000000001</v>
      </c>
      <c r="L5262">
        <v>213.7346</v>
      </c>
      <c r="M5262">
        <v>0.99976889999999996</v>
      </c>
      <c r="N5262">
        <v>0</v>
      </c>
      <c r="O5262">
        <v>1.5686820000000001E-2</v>
      </c>
      <c r="P5262">
        <v>0.99997369999999997</v>
      </c>
      <c r="Q5262">
        <v>7.1333739999999996E-3</v>
      </c>
      <c r="R5262">
        <v>1.421886E-3</v>
      </c>
      <c r="S5262">
        <v>2.9998779999999998</v>
      </c>
      <c r="T5262">
        <v>2.8558139999999999E-2</v>
      </c>
      <c r="U5262">
        <v>6.2210080000000001E-2</v>
      </c>
      <c r="V5262">
        <v>1.4217169999999999E-2</v>
      </c>
      <c r="W5262">
        <v>2.1872510000000001E-2</v>
      </c>
      <c r="X5262">
        <v>0.99965970000000004</v>
      </c>
      <c r="Y5262">
        <v>-5.0458719999999999E-3</v>
      </c>
      <c r="Z5262">
        <v>1.2530629999999999E-4</v>
      </c>
      <c r="AA5262">
        <v>0.99998719999999996</v>
      </c>
      <c r="AB5262">
        <v>36</v>
      </c>
      <c r="AC5262">
        <v>257.80329999999998</v>
      </c>
      <c r="AD5262">
        <v>2.4575130000000001</v>
      </c>
      <c r="AE5262">
        <v>5.34729999999999</v>
      </c>
      <c r="AF5262">
        <v>-1.3019726978411701</v>
      </c>
      <c r="AG5262">
        <v>2.4575130000000001</v>
      </c>
      <c r="AH5262">
        <v>257.832043936449</v>
      </c>
      <c r="AI5262">
        <v>89.453911693533101</v>
      </c>
      <c r="AJ5262">
        <v>90.289323644315701</v>
      </c>
      <c r="AK5262">
        <v>257.84704261150199</v>
      </c>
      <c r="AL5262">
        <v>88.746697576313906</v>
      </c>
      <c r="AM5262">
        <v>89.185193797917606</v>
      </c>
      <c r="AN5262">
        <v>1.0000000252102901</v>
      </c>
    </row>
    <row r="5263" spans="1:40" x14ac:dyDescent="0.25">
      <c r="A5263" t="str">
        <f>"20190312150757640"</f>
        <v>20190312150757640</v>
      </c>
      <c r="B5263" t="str">
        <f>"1552374477635696"</f>
        <v>1552374477635696</v>
      </c>
      <c r="C5263" t="s">
        <v>40</v>
      </c>
      <c r="D5263">
        <v>4.4039339999999996</v>
      </c>
      <c r="E5263">
        <v>0.4925543</v>
      </c>
      <c r="F5263" t="s">
        <v>56</v>
      </c>
      <c r="G5263">
        <v>-141.2441</v>
      </c>
      <c r="H5263">
        <v>3.4831400000000001</v>
      </c>
      <c r="I5263">
        <v>218.9385</v>
      </c>
      <c r="J5263">
        <v>-382.05</v>
      </c>
      <c r="K5263">
        <v>1.111173</v>
      </c>
      <c r="L5263">
        <v>213.7413</v>
      </c>
      <c r="M5263">
        <v>0.99975320000000001</v>
      </c>
      <c r="N5263">
        <v>0</v>
      </c>
      <c r="O5263">
        <v>1.6656069999999999E-2</v>
      </c>
      <c r="P5263">
        <v>0.99996910000000006</v>
      </c>
      <c r="Q5263">
        <v>7.509969E-3</v>
      </c>
      <c r="R5263">
        <v>2.38404E-3</v>
      </c>
      <c r="S5263">
        <v>2.9997859999999998</v>
      </c>
      <c r="T5263">
        <v>2.9504180000000001E-2</v>
      </c>
      <c r="U5263">
        <v>6.4727779999999999E-2</v>
      </c>
      <c r="V5263">
        <v>1.4224199999999999E-2</v>
      </c>
      <c r="W5263">
        <v>2.22515E-2</v>
      </c>
      <c r="X5263">
        <v>0.99965119999999996</v>
      </c>
      <c r="Y5263">
        <v>-4.9160280000000002E-3</v>
      </c>
      <c r="Z5263">
        <v>1.3962889999999999E-4</v>
      </c>
      <c r="AA5263">
        <v>0.99998790000000004</v>
      </c>
      <c r="AB5263">
        <v>36</v>
      </c>
      <c r="AC5263">
        <v>240.80590000000001</v>
      </c>
      <c r="AD5263">
        <v>2.3719669999999899</v>
      </c>
      <c r="AE5263">
        <v>5.1971999999999996</v>
      </c>
      <c r="AF5263">
        <v>-1.18505055098857</v>
      </c>
      <c r="AG5263">
        <v>2.3719669999999899</v>
      </c>
      <c r="AH5263">
        <v>240.83570582374401</v>
      </c>
      <c r="AI5263">
        <v>89.435724621017499</v>
      </c>
      <c r="AJ5263">
        <v>90.281925999593795</v>
      </c>
      <c r="AK5263">
        <v>240.85030158145599</v>
      </c>
      <c r="AL5263">
        <v>88.724977717065897</v>
      </c>
      <c r="AM5263">
        <v>89.184784022234496</v>
      </c>
      <c r="AN5263">
        <v>0.99999998938966395</v>
      </c>
    </row>
    <row r="5264" spans="1:40" x14ac:dyDescent="0.25">
      <c r="A5264" t="str">
        <f>"20190312150757664"</f>
        <v>20190312150757664</v>
      </c>
      <c r="B5264" t="str">
        <f>"1552374477655219"</f>
        <v>1552374477655219</v>
      </c>
      <c r="C5264" t="s">
        <v>40</v>
      </c>
      <c r="D5264">
        <v>4.3415589999999904</v>
      </c>
      <c r="E5264">
        <v>0.49263040000000002</v>
      </c>
      <c r="F5264" t="s">
        <v>56</v>
      </c>
      <c r="G5264">
        <v>-141.2441</v>
      </c>
      <c r="H5264">
        <v>3.5215489999999998</v>
      </c>
      <c r="I5264">
        <v>219.07470000000001</v>
      </c>
      <c r="J5264">
        <v>-381.68349999999998</v>
      </c>
      <c r="K5264">
        <v>1.111162</v>
      </c>
      <c r="L5264">
        <v>213.7484</v>
      </c>
      <c r="M5264">
        <v>0.99973670000000003</v>
      </c>
      <c r="N5264">
        <v>0</v>
      </c>
      <c r="O5264">
        <v>1.7610810000000001E-2</v>
      </c>
      <c r="P5264">
        <v>0.99996370000000001</v>
      </c>
      <c r="Q5264">
        <v>7.9226319999999902E-3</v>
      </c>
      <c r="R5264">
        <v>3.202444E-3</v>
      </c>
      <c r="S5264">
        <v>2.9996640000000001</v>
      </c>
      <c r="T5264">
        <v>3.0026199999999999E-2</v>
      </c>
      <c r="U5264">
        <v>6.6436770000000006E-2</v>
      </c>
      <c r="V5264">
        <v>1.4360349999999999E-2</v>
      </c>
      <c r="W5264">
        <v>2.2665769999999998E-2</v>
      </c>
      <c r="X5264">
        <v>0.99963990000000003</v>
      </c>
      <c r="Y5264">
        <v>-4.5314530000000004E-3</v>
      </c>
      <c r="Z5264">
        <v>1.535831E-4</v>
      </c>
      <c r="AA5264">
        <v>0.99998969999999998</v>
      </c>
      <c r="AB5264">
        <v>36</v>
      </c>
      <c r="AC5264">
        <v>240.43940000000001</v>
      </c>
      <c r="AD5264">
        <v>2.4103870000000001</v>
      </c>
      <c r="AE5264">
        <v>5.3262999999999998</v>
      </c>
      <c r="AF5264">
        <v>-1.09057346023209</v>
      </c>
      <c r="AG5264">
        <v>2.4103870000000001</v>
      </c>
      <c r="AH5264">
        <v>240.471759284108</v>
      </c>
      <c r="AI5264">
        <v>89.425716527056807</v>
      </c>
      <c r="AJ5264">
        <v>90.2598426872365</v>
      </c>
      <c r="AK5264">
        <v>240.48631214511099</v>
      </c>
      <c r="AL5264">
        <v>88.701235745750196</v>
      </c>
      <c r="AM5264">
        <v>89.176972772626598</v>
      </c>
      <c r="AN5264">
        <v>0.99999994322691099</v>
      </c>
    </row>
    <row r="5265" spans="1:40" x14ac:dyDescent="0.25">
      <c r="A5265" t="str">
        <f>"20190312150757688"</f>
        <v>20190312150757688</v>
      </c>
      <c r="B5265" t="str">
        <f>"1552374477685472"</f>
        <v>1552374477685472</v>
      </c>
      <c r="C5265" t="s">
        <v>40</v>
      </c>
      <c r="D5265">
        <v>4.4611409999999996</v>
      </c>
      <c r="E5265">
        <v>0.49277739999999998</v>
      </c>
      <c r="F5265" t="s">
        <v>56</v>
      </c>
      <c r="G5265">
        <v>-155.90459999999999</v>
      </c>
      <c r="H5265">
        <v>3.3006669999999998</v>
      </c>
      <c r="I5265">
        <v>218.89709999999999</v>
      </c>
      <c r="J5265">
        <v>-381.31319999999999</v>
      </c>
      <c r="K5265">
        <v>1.111145</v>
      </c>
      <c r="L5265">
        <v>213.7559</v>
      </c>
      <c r="M5265">
        <v>0.99971969999999999</v>
      </c>
      <c r="N5265">
        <v>0</v>
      </c>
      <c r="O5265">
        <v>1.8549940000000001E-2</v>
      </c>
      <c r="P5265">
        <v>0.99996419999999997</v>
      </c>
      <c r="Q5265">
        <v>7.576462E-3</v>
      </c>
      <c r="R5265">
        <v>3.8810419999999999E-3</v>
      </c>
      <c r="S5265">
        <v>2.9996640000000001</v>
      </c>
      <c r="T5265">
        <v>2.9090169999999999E-2</v>
      </c>
      <c r="U5265">
        <v>6.8405149999999998E-2</v>
      </c>
      <c r="V5265">
        <v>1.462288E-2</v>
      </c>
      <c r="W5265">
        <v>2.232015E-2</v>
      </c>
      <c r="X5265">
        <v>0.99964390000000003</v>
      </c>
      <c r="Y5265">
        <v>-4.2479670000000001E-3</v>
      </c>
      <c r="Z5265">
        <v>1.5927350000000001E-4</v>
      </c>
      <c r="AA5265">
        <v>0.99999090000000002</v>
      </c>
      <c r="AB5265">
        <v>36</v>
      </c>
      <c r="AC5265">
        <v>225.40860000000001</v>
      </c>
      <c r="AD5265">
        <v>2.1895220000000002</v>
      </c>
      <c r="AE5265">
        <v>5.1411999999999898</v>
      </c>
      <c r="AF5265">
        <v>-0.95845626004774098</v>
      </c>
      <c r="AG5265">
        <v>2.1895220000000002</v>
      </c>
      <c r="AH5265">
        <v>225.443925613304</v>
      </c>
      <c r="AI5265">
        <v>89.4435632199678</v>
      </c>
      <c r="AJ5265">
        <v>90.243586814526793</v>
      </c>
      <c r="AK5265">
        <v>225.456595026466</v>
      </c>
      <c r="AL5265">
        <v>88.721043362719598</v>
      </c>
      <c r="AM5265">
        <v>89.161932007838601</v>
      </c>
      <c r="AN5265">
        <v>0.99999997226136295</v>
      </c>
    </row>
    <row r="5266" spans="1:40" x14ac:dyDescent="0.25">
      <c r="A5266" t="str">
        <f>"20190312150757708"</f>
        <v>20190312150757708</v>
      </c>
      <c r="B5266" t="str">
        <f>"1552374477704993"</f>
        <v>1552374477704993</v>
      </c>
      <c r="C5266" t="s">
        <v>40</v>
      </c>
      <c r="D5266">
        <v>4.3864879999999999</v>
      </c>
      <c r="E5266">
        <v>0.49321799999999999</v>
      </c>
      <c r="F5266" t="s">
        <v>56</v>
      </c>
      <c r="G5266">
        <v>-157.8382</v>
      </c>
      <c r="H5266">
        <v>3.2903530000000001</v>
      </c>
      <c r="I5266">
        <v>218.92259999999999</v>
      </c>
      <c r="J5266">
        <v>-380.96859999999998</v>
      </c>
      <c r="K5266">
        <v>1.1111260000000001</v>
      </c>
      <c r="L5266">
        <v>213.76310000000001</v>
      </c>
      <c r="M5266">
        <v>0.99970360000000003</v>
      </c>
      <c r="N5266">
        <v>0</v>
      </c>
      <c r="O5266">
        <v>1.9401140000000001E-2</v>
      </c>
      <c r="P5266">
        <v>0.99996169999999995</v>
      </c>
      <c r="Q5266">
        <v>7.6199619999999897E-3</v>
      </c>
      <c r="R5266">
        <v>4.3495010000000004E-3</v>
      </c>
      <c r="S5266">
        <v>2.9996339999999999</v>
      </c>
      <c r="T5266">
        <v>2.9251579999999999E-2</v>
      </c>
      <c r="U5266">
        <v>6.9351199999999905E-2</v>
      </c>
      <c r="V5266">
        <v>1.5007019999999999E-2</v>
      </c>
      <c r="W5266">
        <v>2.2364479999999999E-2</v>
      </c>
      <c r="X5266">
        <v>0.9996372</v>
      </c>
      <c r="Y5266">
        <v>-3.712052E-3</v>
      </c>
      <c r="Z5266">
        <v>1.7106900000000001E-4</v>
      </c>
      <c r="AA5266">
        <v>0.99999309999999997</v>
      </c>
      <c r="AB5266">
        <v>36</v>
      </c>
      <c r="AC5266">
        <v>223.13040000000001</v>
      </c>
      <c r="AD5266">
        <v>2.179227</v>
      </c>
      <c r="AE5266">
        <v>5.15949999999998</v>
      </c>
      <c r="AF5266">
        <v>-0.82899723528695402</v>
      </c>
      <c r="AG5266">
        <v>2.179227</v>
      </c>
      <c r="AH5266">
        <v>223.16722856513101</v>
      </c>
      <c r="AI5266">
        <v>89.440528608728897</v>
      </c>
      <c r="AJ5266">
        <v>90.212835122088194</v>
      </c>
      <c r="AK5266">
        <v>223.17940803796199</v>
      </c>
      <c r="AL5266">
        <v>88.7185027858784</v>
      </c>
      <c r="AM5266">
        <v>89.139913638020701</v>
      </c>
      <c r="AN5266">
        <v>0.99999995611939396</v>
      </c>
    </row>
    <row r="5267" spans="1:40" x14ac:dyDescent="0.25">
      <c r="A5267" t="str">
        <f>"20190312150757752"</f>
        <v>20190312150757752</v>
      </c>
      <c r="B5267" t="str">
        <f>"1552374477745011"</f>
        <v>1552374477745011</v>
      </c>
      <c r="C5267" t="s">
        <v>40</v>
      </c>
      <c r="D5267">
        <v>4.367121</v>
      </c>
      <c r="E5267">
        <v>0.49378109999999997</v>
      </c>
      <c r="F5267" t="s">
        <v>56</v>
      </c>
      <c r="G5267">
        <v>-141.2441</v>
      </c>
      <c r="H5267">
        <v>3.8135599999999998</v>
      </c>
      <c r="I5267">
        <v>219.1362</v>
      </c>
      <c r="J5267">
        <v>-380.26249999999999</v>
      </c>
      <c r="K5267">
        <v>1.111094</v>
      </c>
      <c r="L5267">
        <v>213.77879999999999</v>
      </c>
      <c r="M5267">
        <v>0.99966960000000005</v>
      </c>
      <c r="N5267">
        <v>0</v>
      </c>
      <c r="O5267">
        <v>2.1083669999999999E-2</v>
      </c>
      <c r="P5267">
        <v>0.99994249999999996</v>
      </c>
      <c r="Q5267">
        <v>9.1012990000000002E-3</v>
      </c>
      <c r="R5267">
        <v>5.7090419999999897E-3</v>
      </c>
      <c r="S5267">
        <v>2.9995419999999999</v>
      </c>
      <c r="T5267">
        <v>3.3814789999999997E-2</v>
      </c>
      <c r="U5267">
        <v>6.7230219999999993E-2</v>
      </c>
      <c r="V5267">
        <v>1.532936E-2</v>
      </c>
      <c r="W5267">
        <v>2.3843240000000002E-2</v>
      </c>
      <c r="X5267">
        <v>0.99959810000000004</v>
      </c>
      <c r="Y5267">
        <v>-1.3234849999999999E-3</v>
      </c>
      <c r="Z5267">
        <v>2.301851E-4</v>
      </c>
      <c r="AA5267">
        <v>0.99999910000000003</v>
      </c>
      <c r="AB5267">
        <v>36</v>
      </c>
      <c r="AC5267">
        <v>239.01840000000001</v>
      </c>
      <c r="AD5267">
        <v>2.7024659999999998</v>
      </c>
      <c r="AE5267">
        <v>5.3574000000000099</v>
      </c>
      <c r="AF5267">
        <v>-0.31623862551848703</v>
      </c>
      <c r="AG5267">
        <v>2.7024659999999998</v>
      </c>
      <c r="AH5267">
        <v>239.04768022408899</v>
      </c>
      <c r="AI5267">
        <v>89.352291708198294</v>
      </c>
      <c r="AJ5267">
        <v>90.075797129569295</v>
      </c>
      <c r="AK5267">
        <v>239.063164770041</v>
      </c>
      <c r="AL5267">
        <v>88.633753403471999</v>
      </c>
      <c r="AM5267">
        <v>89.121408106525493</v>
      </c>
      <c r="AN5267">
        <v>0.99999992544765504</v>
      </c>
    </row>
    <row r="5268" spans="1:40" x14ac:dyDescent="0.25">
      <c r="A5268" t="str">
        <f>"20190312150757775"</f>
        <v>20190312150757775</v>
      </c>
      <c r="B5268" t="str">
        <f>"1552374477765507"</f>
        <v>1552374477765507</v>
      </c>
      <c r="C5268" t="s">
        <v>40</v>
      </c>
      <c r="D5268">
        <v>4.3121349999999996</v>
      </c>
      <c r="E5268">
        <v>0.49421320000000002</v>
      </c>
      <c r="F5268" t="s">
        <v>56</v>
      </c>
      <c r="G5268">
        <v>-141.2441</v>
      </c>
      <c r="H5268">
        <v>4.3492800000000003</v>
      </c>
      <c r="I5268">
        <v>219.09010000000001</v>
      </c>
      <c r="J5268">
        <v>-379.91570000000002</v>
      </c>
      <c r="K5268">
        <v>1.1110850000000001</v>
      </c>
      <c r="L5268">
        <v>213.78700000000001</v>
      </c>
      <c r="M5268">
        <v>0.9996524</v>
      </c>
      <c r="N5268">
        <v>0</v>
      </c>
      <c r="O5268">
        <v>2.1880449999999999E-2</v>
      </c>
      <c r="P5268">
        <v>0.99993149999999997</v>
      </c>
      <c r="Q5268">
        <v>9.866405E-3</v>
      </c>
      <c r="R5268">
        <v>6.3394289999999997E-3</v>
      </c>
      <c r="S5268">
        <v>2.9994200000000002</v>
      </c>
      <c r="T5268">
        <v>4.0636419999999999E-2</v>
      </c>
      <c r="U5268">
        <v>6.6650390000000004E-2</v>
      </c>
      <c r="V5268">
        <v>1.549539E-2</v>
      </c>
      <c r="W5268">
        <v>2.4606429999999999E-2</v>
      </c>
      <c r="X5268">
        <v>0.9995771</v>
      </c>
      <c r="Y5268">
        <v>-3.3485010000000001E-4</v>
      </c>
      <c r="Z5268">
        <v>2.9411660000000002E-4</v>
      </c>
      <c r="AA5268">
        <v>0.99999990000000005</v>
      </c>
      <c r="AB5268">
        <v>36</v>
      </c>
      <c r="AC5268">
        <v>238.67160000000001</v>
      </c>
      <c r="AD5268">
        <v>3.2381950000000002</v>
      </c>
      <c r="AE5268">
        <v>5.3030999999999997</v>
      </c>
      <c r="AF5268">
        <v>-7.9008643366142495E-2</v>
      </c>
      <c r="AG5268">
        <v>3.2381950000000002</v>
      </c>
      <c r="AH5268">
        <v>238.686579527464</v>
      </c>
      <c r="AI5268">
        <v>89.222731687454399</v>
      </c>
      <c r="AJ5268">
        <v>90.0189657150123</v>
      </c>
      <c r="AK5268">
        <v>238.70855744137901</v>
      </c>
      <c r="AL5268">
        <v>88.590013075521497</v>
      </c>
      <c r="AM5268">
        <v>89.111875070278401</v>
      </c>
      <c r="AN5268">
        <v>0.99999998117650302</v>
      </c>
    </row>
    <row r="5269" spans="1:40" x14ac:dyDescent="0.25">
      <c r="A5269" t="str">
        <f>"20190312150757796"</f>
        <v>20190312150757796</v>
      </c>
      <c r="B5269" t="str">
        <f>"1552374477785024"</f>
        <v>1552374477785024</v>
      </c>
      <c r="C5269" t="s">
        <v>40</v>
      </c>
      <c r="D5269">
        <v>4.3590249999999999</v>
      </c>
      <c r="E5269">
        <v>0.49462810000000001</v>
      </c>
      <c r="F5269" t="s">
        <v>56</v>
      </c>
      <c r="G5269">
        <v>-141.2441</v>
      </c>
      <c r="H5269">
        <v>4.595383</v>
      </c>
      <c r="I5269">
        <v>218.97280000000001</v>
      </c>
      <c r="J5269">
        <v>-379.57380000000001</v>
      </c>
      <c r="K5269">
        <v>1.1110719999999901</v>
      </c>
      <c r="L5269">
        <v>213.79519999999999</v>
      </c>
      <c r="M5269">
        <v>0.99963519999999995</v>
      </c>
      <c r="N5269">
        <v>0</v>
      </c>
      <c r="O5269">
        <v>2.2648979999999999E-2</v>
      </c>
      <c r="P5269">
        <v>0.99992049999999999</v>
      </c>
      <c r="Q5269">
        <v>1.0493300000000001E-2</v>
      </c>
      <c r="R5269">
        <v>6.99374E-3</v>
      </c>
      <c r="S5269">
        <v>2.9993590000000001</v>
      </c>
      <c r="T5269">
        <v>4.3787479999999997E-2</v>
      </c>
      <c r="U5269">
        <v>6.5170290000000006E-2</v>
      </c>
      <c r="V5269">
        <v>1.5609670000000001E-2</v>
      </c>
      <c r="W5269">
        <v>2.5230889999999999E-2</v>
      </c>
      <c r="X5269">
        <v>0.9995598</v>
      </c>
      <c r="Y5269">
        <v>9.2621019999999997E-4</v>
      </c>
      <c r="Z5269">
        <v>3.3734869999999998E-4</v>
      </c>
      <c r="AA5269">
        <v>0.99999950000000004</v>
      </c>
      <c r="AB5269">
        <v>36</v>
      </c>
      <c r="AC5269">
        <v>238.3297</v>
      </c>
      <c r="AD5269">
        <v>3.4843109999999999</v>
      </c>
      <c r="AE5269">
        <v>5.1776000000000098</v>
      </c>
      <c r="AF5269">
        <v>0.22218998707477899</v>
      </c>
      <c r="AG5269">
        <v>3.4843109999999999</v>
      </c>
      <c r="AH5269">
        <v>238.33491353097</v>
      </c>
      <c r="AI5269">
        <v>89.162430697141403</v>
      </c>
      <c r="AJ5269">
        <v>89.946585480772498</v>
      </c>
      <c r="AK5269">
        <v>238.36048497884499</v>
      </c>
      <c r="AL5269">
        <v>88.5542231041577</v>
      </c>
      <c r="AM5269">
        <v>89.105310641633096</v>
      </c>
      <c r="AN5269">
        <v>1.00000002669187</v>
      </c>
    </row>
    <row r="5270" spans="1:40" x14ac:dyDescent="0.25">
      <c r="A5270" t="str">
        <f>"20190312150757821"</f>
        <v>20190312150757821</v>
      </c>
      <c r="B5270" t="str">
        <f>"1552374477815280"</f>
        <v>1552374477815280</v>
      </c>
      <c r="C5270" t="s">
        <v>40</v>
      </c>
      <c r="D5270">
        <v>4.262359</v>
      </c>
      <c r="E5270">
        <v>0.49506299999999998</v>
      </c>
      <c r="F5270" t="s">
        <v>56</v>
      </c>
      <c r="G5270">
        <v>-140.1773</v>
      </c>
      <c r="H5270">
        <v>4.7851249999999999</v>
      </c>
      <c r="I5270">
        <v>218.89709999999999</v>
      </c>
      <c r="J5270">
        <v>-379.19779999999997</v>
      </c>
      <c r="K5270">
        <v>1.111059</v>
      </c>
      <c r="L5270">
        <v>213.80459999999999</v>
      </c>
      <c r="M5270">
        <v>0.99961639999999996</v>
      </c>
      <c r="N5270">
        <v>0</v>
      </c>
      <c r="O5270">
        <v>2.3472730000000001E-2</v>
      </c>
      <c r="P5270">
        <v>0.99990730000000005</v>
      </c>
      <c r="Q5270">
        <v>1.140541E-2</v>
      </c>
      <c r="R5270">
        <v>7.4538410000000001E-3</v>
      </c>
      <c r="S5270">
        <v>2.999298</v>
      </c>
      <c r="T5270">
        <v>4.603136E-2</v>
      </c>
      <c r="U5270">
        <v>6.3919069999999995E-2</v>
      </c>
      <c r="V5270">
        <v>1.5972730000000001E-2</v>
      </c>
      <c r="W5270">
        <v>2.6140400000000001E-2</v>
      </c>
      <c r="X5270">
        <v>0.99953069999999999</v>
      </c>
      <c r="Y5270">
        <v>2.1662880000000002E-3</v>
      </c>
      <c r="Z5270">
        <v>3.7679489999999999E-4</v>
      </c>
      <c r="AA5270">
        <v>0.99999760000000004</v>
      </c>
      <c r="AB5270">
        <v>36</v>
      </c>
      <c r="AC5270">
        <v>239.0205</v>
      </c>
      <c r="AD5270">
        <v>3.6740659999999998</v>
      </c>
      <c r="AE5270">
        <v>5.0925000000000002</v>
      </c>
      <c r="AF5270">
        <v>0.51985055229725496</v>
      </c>
      <c r="AG5270">
        <v>3.6740659999999998</v>
      </c>
      <c r="AH5270">
        <v>239.01772898886401</v>
      </c>
      <c r="AI5270">
        <v>89.119348171303997</v>
      </c>
      <c r="AJ5270">
        <v>89.875384994305406</v>
      </c>
      <c r="AK5270">
        <v>239.04653056792699</v>
      </c>
      <c r="AL5270">
        <v>88.502094832199802</v>
      </c>
      <c r="AM5270">
        <v>89.084478219023794</v>
      </c>
      <c r="AN5270">
        <v>1.00000003442915</v>
      </c>
    </row>
    <row r="5271" spans="1:40" x14ac:dyDescent="0.25">
      <c r="A5271" t="str">
        <f>"20190312150757841"</f>
        <v>20190312150757841</v>
      </c>
      <c r="B5271" t="str">
        <f>"1552374477834800"</f>
        <v>1552374477834800</v>
      </c>
      <c r="C5271" t="s">
        <v>40</v>
      </c>
      <c r="D5271">
        <v>4.5598340000000004</v>
      </c>
      <c r="E5271">
        <v>0.49546380000000001</v>
      </c>
      <c r="F5271" t="s">
        <v>56</v>
      </c>
      <c r="G5271">
        <v>-124.6118</v>
      </c>
      <c r="H5271">
        <v>5.0768800000000001</v>
      </c>
      <c r="I5271">
        <v>219.0488</v>
      </c>
      <c r="J5271">
        <v>-378.8596</v>
      </c>
      <c r="K5271">
        <v>1.1110420000000001</v>
      </c>
      <c r="L5271">
        <v>213.8133</v>
      </c>
      <c r="M5271">
        <v>0.99959920000000002</v>
      </c>
      <c r="N5271">
        <v>0</v>
      </c>
      <c r="O5271">
        <v>2.4191979999999998E-2</v>
      </c>
      <c r="P5271">
        <v>0.99989059999999996</v>
      </c>
      <c r="Q5271">
        <v>1.221159E-2</v>
      </c>
      <c r="R5271">
        <v>8.3708469999999903E-3</v>
      </c>
      <c r="S5271">
        <v>2.9993289999999999</v>
      </c>
      <c r="T5271">
        <v>4.6722769999999997E-2</v>
      </c>
      <c r="U5271">
        <v>6.1782839999999999E-2</v>
      </c>
      <c r="V5271">
        <v>1.5774690000000001E-2</v>
      </c>
      <c r="W5271">
        <v>2.6942629999999999E-2</v>
      </c>
      <c r="X5271">
        <v>0.99951250000000003</v>
      </c>
      <c r="Y5271">
        <v>3.5976089999999999E-3</v>
      </c>
      <c r="Z5271">
        <v>4.0479999999999997E-4</v>
      </c>
      <c r="AA5271">
        <v>0.99999340000000003</v>
      </c>
      <c r="AB5271">
        <v>35</v>
      </c>
      <c r="AC5271">
        <v>254.24780000000001</v>
      </c>
      <c r="AD5271">
        <v>3.9658380000000002</v>
      </c>
      <c r="AE5271">
        <v>5.2355</v>
      </c>
      <c r="AF5271">
        <v>0.91723218267063999</v>
      </c>
      <c r="AG5271">
        <v>3.9658380000000002</v>
      </c>
      <c r="AH5271">
        <v>254.23821246946801</v>
      </c>
      <c r="AI5271">
        <v>89.106326811628307</v>
      </c>
      <c r="AJ5271">
        <v>89.793291085631907</v>
      </c>
      <c r="AK5271">
        <v>254.27079632861799</v>
      </c>
      <c r="AL5271">
        <v>88.456114175268596</v>
      </c>
      <c r="AM5271">
        <v>89.095811079082097</v>
      </c>
      <c r="AN5271">
        <v>0.99999999190608102</v>
      </c>
    </row>
    <row r="5272" spans="1:40" x14ac:dyDescent="0.25">
      <c r="A5272" t="str">
        <f>"20190312150757864"</f>
        <v>20190312150757864</v>
      </c>
      <c r="B5272" t="str">
        <f>"1552374477855296"</f>
        <v>1552374477855296</v>
      </c>
      <c r="C5272" t="s">
        <v>40</v>
      </c>
      <c r="D5272">
        <v>4.3261909999999997</v>
      </c>
      <c r="E5272">
        <v>0.4956122</v>
      </c>
      <c r="F5272" t="s">
        <v>56</v>
      </c>
      <c r="G5272">
        <v>-124.6118</v>
      </c>
      <c r="H5272">
        <v>5.2571300000000001</v>
      </c>
      <c r="I5272">
        <v>219.00409999999999</v>
      </c>
      <c r="J5272">
        <v>-378.50049999999999</v>
      </c>
      <c r="K5272">
        <v>1.1110180000000001</v>
      </c>
      <c r="L5272">
        <v>213.8227</v>
      </c>
      <c r="M5272">
        <v>0.99958130000000001</v>
      </c>
      <c r="N5272">
        <v>0</v>
      </c>
      <c r="O5272">
        <v>2.4927120000000001E-2</v>
      </c>
      <c r="P5272">
        <v>0.99987170000000003</v>
      </c>
      <c r="Q5272">
        <v>1.302615E-2</v>
      </c>
      <c r="R5272">
        <v>9.3470170000000009E-3</v>
      </c>
      <c r="S5272">
        <v>2.9992369999999999</v>
      </c>
      <c r="T5272">
        <v>4.8910019999999998E-2</v>
      </c>
      <c r="U5272">
        <v>6.123352E-2</v>
      </c>
      <c r="V5272">
        <v>1.553412E-2</v>
      </c>
      <c r="W5272">
        <v>2.775248E-2</v>
      </c>
      <c r="X5272">
        <v>0.99949410000000005</v>
      </c>
      <c r="Y5272">
        <v>4.5149409999999997E-3</v>
      </c>
      <c r="Z5272">
        <v>4.4322330000000002E-4</v>
      </c>
      <c r="AA5272">
        <v>0.99998969999999998</v>
      </c>
      <c r="AB5272">
        <v>35</v>
      </c>
      <c r="AC5272">
        <v>253.8887</v>
      </c>
      <c r="AD5272">
        <v>4.1461119999999996</v>
      </c>
      <c r="AE5272">
        <v>5.1813999999999902</v>
      </c>
      <c r="AF5272">
        <v>1.1493012580201101</v>
      </c>
      <c r="AG5272">
        <v>4.1461119999999996</v>
      </c>
      <c r="AH5272">
        <v>253.871288753302</v>
      </c>
      <c r="AI5272">
        <v>89.064363797278304</v>
      </c>
      <c r="AJ5272">
        <v>89.7406179251536</v>
      </c>
      <c r="AK5272">
        <v>253.907743858592</v>
      </c>
      <c r="AL5272">
        <v>88.409695810464399</v>
      </c>
      <c r="AM5272">
        <v>89.109581676507702</v>
      </c>
      <c r="AN5272">
        <v>0.99999998248256705</v>
      </c>
    </row>
    <row r="5273" spans="1:40" x14ac:dyDescent="0.25">
      <c r="A5273" t="str">
        <f>"20190312150757887"</f>
        <v>20190312150757887</v>
      </c>
      <c r="B5273" t="str">
        <f>"1552374477874816"</f>
        <v>1552374477874816</v>
      </c>
      <c r="C5273" t="s">
        <v>40</v>
      </c>
      <c r="D5273">
        <v>4.2661889999999998</v>
      </c>
      <c r="E5273">
        <v>0.49601260000000003</v>
      </c>
      <c r="F5273" t="s">
        <v>56</v>
      </c>
      <c r="G5273">
        <v>-124.6118</v>
      </c>
      <c r="H5273">
        <v>5.1909150000000004</v>
      </c>
      <c r="I5273">
        <v>219.1703</v>
      </c>
      <c r="J5273">
        <v>-378.13839999999999</v>
      </c>
      <c r="K5273">
        <v>1.110989</v>
      </c>
      <c r="L5273">
        <v>213.83250000000001</v>
      </c>
      <c r="M5273">
        <v>0.99956350000000005</v>
      </c>
      <c r="N5273">
        <v>0</v>
      </c>
      <c r="O5273">
        <v>2.5626920000000001E-2</v>
      </c>
      <c r="P5273">
        <v>0.99985389999999996</v>
      </c>
      <c r="Q5273">
        <v>1.3928060000000001E-2</v>
      </c>
      <c r="R5273">
        <v>9.9193719999999992E-3</v>
      </c>
      <c r="S5273">
        <v>2.9992070000000002</v>
      </c>
      <c r="T5273">
        <v>4.8196790000000003E-2</v>
      </c>
      <c r="U5273">
        <v>6.3171389999999994E-2</v>
      </c>
      <c r="V5273">
        <v>1.5662410000000002E-2</v>
      </c>
      <c r="W5273">
        <v>2.865001E-2</v>
      </c>
      <c r="X5273">
        <v>0.99946679999999999</v>
      </c>
      <c r="Y5273">
        <v>4.5689980000000003E-3</v>
      </c>
      <c r="Z5273">
        <v>4.4843649999999998E-4</v>
      </c>
      <c r="AA5273">
        <v>0.99998940000000003</v>
      </c>
      <c r="AB5273">
        <v>35</v>
      </c>
      <c r="AC5273">
        <v>253.5266</v>
      </c>
      <c r="AD5273">
        <v>4.0799260000000004</v>
      </c>
      <c r="AE5273">
        <v>5.3377999999999801</v>
      </c>
      <c r="AF5273">
        <v>1.1614607079154999</v>
      </c>
      <c r="AG5273">
        <v>4.0799260000000004</v>
      </c>
      <c r="AH5273">
        <v>253.51449930019299</v>
      </c>
      <c r="AI5273">
        <v>89.078001809635694</v>
      </c>
      <c r="AJ5273">
        <v>89.737504832160297</v>
      </c>
      <c r="AK5273">
        <v>253.54998746316099</v>
      </c>
      <c r="AL5273">
        <v>88.358250709277399</v>
      </c>
      <c r="AM5273">
        <v>89.102204752968603</v>
      </c>
      <c r="AN5273">
        <v>1.0000000092311201</v>
      </c>
    </row>
    <row r="5274" spans="1:40" x14ac:dyDescent="0.25">
      <c r="A5274" t="str">
        <f>"20190312150757909"</f>
        <v>20190312150757909</v>
      </c>
      <c r="B5274" t="str">
        <f>"1552374477905072"</f>
        <v>1552374477905072</v>
      </c>
      <c r="C5274" t="s">
        <v>40</v>
      </c>
      <c r="D5274">
        <v>4.2645049999999998</v>
      </c>
      <c r="E5274">
        <v>0.4963921</v>
      </c>
      <c r="F5274" t="s">
        <v>56</v>
      </c>
      <c r="G5274">
        <v>-124.6118</v>
      </c>
      <c r="H5274">
        <v>5.3068809999999997</v>
      </c>
      <c r="I5274">
        <v>219.03200000000001</v>
      </c>
      <c r="J5274">
        <v>-377.79340000000002</v>
      </c>
      <c r="K5274">
        <v>1.110957</v>
      </c>
      <c r="L5274">
        <v>213.84200000000001</v>
      </c>
      <c r="M5274">
        <v>0.99954730000000003</v>
      </c>
      <c r="N5274">
        <v>0</v>
      </c>
      <c r="O5274">
        <v>2.6252939999999999E-2</v>
      </c>
      <c r="P5274">
        <v>0.99983659999999996</v>
      </c>
      <c r="Q5274">
        <v>1.45097E-2</v>
      </c>
      <c r="R5274">
        <v>1.080157E-2</v>
      </c>
      <c r="S5274">
        <v>2.9991460000000001</v>
      </c>
      <c r="T5274">
        <v>4.9636840000000002E-2</v>
      </c>
      <c r="U5274">
        <v>6.1508180000000003E-2</v>
      </c>
      <c r="V5274">
        <v>1.540767E-2</v>
      </c>
      <c r="W5274">
        <v>2.9226740000000001E-2</v>
      </c>
      <c r="X5274">
        <v>0.99945410000000001</v>
      </c>
      <c r="Y5274">
        <v>5.7486869999999997E-3</v>
      </c>
      <c r="Z5274">
        <v>4.8196270000000003E-4</v>
      </c>
      <c r="AA5274">
        <v>0.99998339999999997</v>
      </c>
      <c r="AB5274">
        <v>35</v>
      </c>
      <c r="AC5274">
        <v>253.1816</v>
      </c>
      <c r="AD5274">
        <v>4.1959239999999998</v>
      </c>
      <c r="AE5274">
        <v>5.1899999999999897</v>
      </c>
      <c r="AF5274">
        <v>1.4588679402635301</v>
      </c>
      <c r="AG5274">
        <v>4.1959239999999998</v>
      </c>
      <c r="AH5274">
        <v>253.16108176756799</v>
      </c>
      <c r="AI5274">
        <v>89.050475158993706</v>
      </c>
      <c r="AJ5274">
        <v>89.669830567808106</v>
      </c>
      <c r="AK5274">
        <v>253.20005409874301</v>
      </c>
      <c r="AL5274">
        <v>88.3251927348946</v>
      </c>
      <c r="AM5274">
        <v>89.1167933180826</v>
      </c>
      <c r="AN5274">
        <v>1.00000004831633</v>
      </c>
    </row>
    <row r="5275" spans="1:40" x14ac:dyDescent="0.25">
      <c r="A5275" t="str">
        <f>"20190312150757931"</f>
        <v>20190312150757931</v>
      </c>
      <c r="B5275" t="str">
        <f>"1552374477925568"</f>
        <v>1552374477925568</v>
      </c>
      <c r="C5275" t="s">
        <v>40</v>
      </c>
      <c r="D5275">
        <v>4.3965959999999997</v>
      </c>
      <c r="E5275">
        <v>0.49661470000000002</v>
      </c>
      <c r="F5275" t="s">
        <v>56</v>
      </c>
      <c r="G5275">
        <v>-124.6118</v>
      </c>
      <c r="H5275">
        <v>5.4446089999999998</v>
      </c>
      <c r="I5275">
        <v>219.001</v>
      </c>
      <c r="J5275">
        <v>-377.44299999999998</v>
      </c>
      <c r="K5275">
        <v>1.1109260000000001</v>
      </c>
      <c r="L5275">
        <v>213.8519</v>
      </c>
      <c r="M5275">
        <v>0.99953150000000002</v>
      </c>
      <c r="N5275">
        <v>0</v>
      </c>
      <c r="O5275">
        <v>2.6850450000000001E-2</v>
      </c>
      <c r="P5275">
        <v>0.99981819999999999</v>
      </c>
      <c r="Q5275">
        <v>1.5231939999999999E-2</v>
      </c>
      <c r="R5275">
        <v>1.148358E-2</v>
      </c>
      <c r="S5275">
        <v>2.9991150000000002</v>
      </c>
      <c r="T5275">
        <v>5.1335810000000003E-2</v>
      </c>
      <c r="U5275">
        <v>6.1111449999999998E-2</v>
      </c>
      <c r="V5275">
        <v>1.532476E-2</v>
      </c>
      <c r="W5275">
        <v>2.9944060000000002E-2</v>
      </c>
      <c r="X5275">
        <v>0.99943409999999999</v>
      </c>
      <c r="Y5275">
        <v>6.4779709999999999E-3</v>
      </c>
      <c r="Z5275">
        <v>5.1492599999999997E-4</v>
      </c>
      <c r="AA5275">
        <v>0.9999789</v>
      </c>
      <c r="AB5275">
        <v>35</v>
      </c>
      <c r="AC5275">
        <v>252.8312</v>
      </c>
      <c r="AD5275">
        <v>4.3336829999999997</v>
      </c>
      <c r="AE5275">
        <v>5.1490999999999696</v>
      </c>
      <c r="AF5275">
        <v>1.64163895475702</v>
      </c>
      <c r="AG5275">
        <v>4.3336829999999997</v>
      </c>
      <c r="AH5275">
        <v>252.80405231960199</v>
      </c>
      <c r="AI5275">
        <v>89.017926367040999</v>
      </c>
      <c r="AJ5275">
        <v>89.627942429496997</v>
      </c>
      <c r="AK5275">
        <v>252.846523915228</v>
      </c>
      <c r="AL5275">
        <v>88.284075258697897</v>
      </c>
      <c r="AM5275">
        <v>89.121527606286804</v>
      </c>
      <c r="AN5275">
        <v>1.00000000762057</v>
      </c>
    </row>
    <row r="5276" spans="1:40" x14ac:dyDescent="0.25">
      <c r="A5276" t="str">
        <f>"20190312150757953"</f>
        <v>20190312150757953</v>
      </c>
      <c r="B5276" t="str">
        <f>"1552374477945091"</f>
        <v>1552374477945091</v>
      </c>
      <c r="C5276" t="s">
        <v>40</v>
      </c>
      <c r="D5276">
        <v>4.3386370000000003</v>
      </c>
      <c r="E5276">
        <v>0.53519859999999997</v>
      </c>
      <c r="F5276" t="s">
        <v>56</v>
      </c>
      <c r="G5276">
        <v>-124.6118</v>
      </c>
      <c r="H5276">
        <v>5.5505319999999996</v>
      </c>
      <c r="I5276">
        <v>219.02440000000001</v>
      </c>
      <c r="J5276">
        <v>-377.084</v>
      </c>
      <c r="K5276">
        <v>1.110889</v>
      </c>
      <c r="L5276">
        <v>213.8621</v>
      </c>
      <c r="M5276">
        <v>0.99951619999999997</v>
      </c>
      <c r="N5276">
        <v>0</v>
      </c>
      <c r="O5276">
        <v>2.7415970000000001E-2</v>
      </c>
      <c r="P5276">
        <v>0.99979660000000004</v>
      </c>
      <c r="Q5276">
        <v>1.6156529999999999E-2</v>
      </c>
      <c r="R5276">
        <v>1.209433E-2</v>
      </c>
      <c r="S5276">
        <v>2.9990540000000001</v>
      </c>
      <c r="T5276">
        <v>5.2662729999999998E-2</v>
      </c>
      <c r="U5276">
        <v>6.1355590000000002E-2</v>
      </c>
      <c r="V5276">
        <v>1.528093E-2</v>
      </c>
      <c r="W5276">
        <v>3.0863459999999999E-2</v>
      </c>
      <c r="X5276">
        <v>0.99940680000000004</v>
      </c>
      <c r="Y5276">
        <v>6.9615500000000004E-3</v>
      </c>
      <c r="Z5276">
        <v>5.4241450000000002E-4</v>
      </c>
      <c r="AA5276">
        <v>0.99997559999999996</v>
      </c>
      <c r="AB5276">
        <v>35</v>
      </c>
      <c r="AC5276">
        <v>252.47219999999999</v>
      </c>
      <c r="AD5276">
        <v>4.4396429999999896</v>
      </c>
      <c r="AE5276">
        <v>5.1623000000000099</v>
      </c>
      <c r="AF5276">
        <v>1.7616133674599701</v>
      </c>
      <c r="AG5276">
        <v>4.4396429999999896</v>
      </c>
      <c r="AH5276">
        <v>252.44079551848199</v>
      </c>
      <c r="AI5276">
        <v>88.992475072527895</v>
      </c>
      <c r="AJ5276">
        <v>89.600178043521296</v>
      </c>
      <c r="AK5276">
        <v>252.48597773664099</v>
      </c>
      <c r="AL5276">
        <v>88.231373150326903</v>
      </c>
      <c r="AM5276">
        <v>89.124015789111496</v>
      </c>
      <c r="AN5276">
        <v>1.0000000059355301</v>
      </c>
    </row>
    <row r="5277" spans="1:40" x14ac:dyDescent="0.25">
      <c r="A5277" t="str">
        <f>"20190312150757976"</f>
        <v>20190312150757976</v>
      </c>
      <c r="B5277" t="str">
        <f>"1552374477965587"</f>
        <v>1552374477965587</v>
      </c>
      <c r="C5277" t="s">
        <v>40</v>
      </c>
      <c r="D5277">
        <v>4.366994</v>
      </c>
      <c r="E5277">
        <v>0.53727780000000003</v>
      </c>
      <c r="F5277" t="s">
        <v>57</v>
      </c>
      <c r="G5277">
        <v>-168.4187</v>
      </c>
      <c r="H5277">
        <v>15.3109</v>
      </c>
      <c r="I5277">
        <v>196.93340000000001</v>
      </c>
      <c r="J5277">
        <v>-376.74180000000001</v>
      </c>
      <c r="K5277">
        <v>1.1108480000000001</v>
      </c>
      <c r="L5277">
        <v>213.87200000000001</v>
      </c>
      <c r="M5277">
        <v>0.99950280000000002</v>
      </c>
      <c r="N5277">
        <v>0</v>
      </c>
      <c r="O5277">
        <v>2.7902010000000001E-2</v>
      </c>
      <c r="P5277">
        <v>0.9997819</v>
      </c>
      <c r="Q5277">
        <v>1.648235E-2</v>
      </c>
      <c r="R5277">
        <v>1.283112E-2</v>
      </c>
      <c r="S5277">
        <v>3.0002749999999998</v>
      </c>
      <c r="T5277">
        <v>0.20417399999999999</v>
      </c>
      <c r="U5277">
        <v>-0.24340819999999999</v>
      </c>
      <c r="V5277">
        <v>1.5033029999999999E-2</v>
      </c>
      <c r="W5277">
        <v>3.118373E-2</v>
      </c>
      <c r="X5277">
        <v>0.99940059999999997</v>
      </c>
      <c r="Y5277">
        <v>0.10833189999999999</v>
      </c>
      <c r="Z5277">
        <v>5.5698569999999897E-3</v>
      </c>
      <c r="AA5277">
        <v>0.99409919999999996</v>
      </c>
      <c r="AB5277">
        <v>35</v>
      </c>
      <c r="AC5277">
        <v>208.32310000000001</v>
      </c>
      <c r="AD5277">
        <v>14.200051999999999</v>
      </c>
      <c r="AE5277">
        <v>-16.938600000000001</v>
      </c>
      <c r="AF5277">
        <v>22.640759447552199</v>
      </c>
      <c r="AG5277">
        <v>14.200051999999999</v>
      </c>
      <c r="AH5277">
        <v>206.81469561500199</v>
      </c>
      <c r="AI5277">
        <v>86.0954479107384</v>
      </c>
      <c r="AJ5277">
        <v>83.752500343616305</v>
      </c>
      <c r="AK5277">
        <v>208.534322804402</v>
      </c>
      <c r="AL5277">
        <v>88.213014162210101</v>
      </c>
      <c r="AM5277">
        <v>89.138219229846797</v>
      </c>
      <c r="AN5277">
        <v>0.99999998814402602</v>
      </c>
    </row>
    <row r="5278" spans="1:40" x14ac:dyDescent="0.25">
      <c r="A5278" t="str">
        <f>"20190312150757997"</f>
        <v>20190312150757997</v>
      </c>
      <c r="B5278" t="str">
        <f>"1552374477985104"</f>
        <v>1552374477985104</v>
      </c>
      <c r="C5278" t="s">
        <v>40</v>
      </c>
      <c r="D5278">
        <v>4.3142500000000004</v>
      </c>
      <c r="E5278">
        <v>0.53866309999999995</v>
      </c>
      <c r="F5278" t="s">
        <v>57</v>
      </c>
      <c r="G5278">
        <v>-168.41929999999999</v>
      </c>
      <c r="H5278">
        <v>16.058039999999998</v>
      </c>
      <c r="I5278">
        <v>195.98220000000001</v>
      </c>
      <c r="J5278">
        <v>-376.40800000000002</v>
      </c>
      <c r="K5278">
        <v>1.1108</v>
      </c>
      <c r="L5278">
        <v>213.8818</v>
      </c>
      <c r="M5278">
        <v>0.99949109999999997</v>
      </c>
      <c r="N5278">
        <v>0</v>
      </c>
      <c r="O5278">
        <v>2.8318329999999999E-2</v>
      </c>
      <c r="P5278">
        <v>0.99976750000000003</v>
      </c>
      <c r="Q5278">
        <v>1.6593549999999999E-2</v>
      </c>
      <c r="R5278">
        <v>1.377433E-2</v>
      </c>
      <c r="S5278">
        <v>3.000397</v>
      </c>
      <c r="T5278">
        <v>0.21527969999999999</v>
      </c>
      <c r="U5278">
        <v>-0.2576599</v>
      </c>
      <c r="V5278">
        <v>1.4509859999999999E-2</v>
      </c>
      <c r="W5278">
        <v>3.128906E-2</v>
      </c>
      <c r="X5278">
        <v>0.99940499999999999</v>
      </c>
      <c r="Y5278">
        <v>0.1133818</v>
      </c>
      <c r="Z5278">
        <v>6.0810990000000004E-3</v>
      </c>
      <c r="AA5278">
        <v>0.99353290000000005</v>
      </c>
      <c r="AB5278">
        <v>35</v>
      </c>
      <c r="AC5278">
        <v>207.98869999999999</v>
      </c>
      <c r="AD5278">
        <v>14.947240000000001</v>
      </c>
      <c r="AE5278">
        <v>-17.8995999999999</v>
      </c>
      <c r="AF5278">
        <v>23.661641516945199</v>
      </c>
      <c r="AG5278">
        <v>14.947240000000001</v>
      </c>
      <c r="AH5278">
        <v>206.34048231844</v>
      </c>
      <c r="AI5278">
        <v>85.883631569479405</v>
      </c>
      <c r="AJ5278">
        <v>83.458306589815507</v>
      </c>
      <c r="AK5278">
        <v>208.22989196150601</v>
      </c>
      <c r="AL5278">
        <v>88.206976178732006</v>
      </c>
      <c r="AM5278">
        <v>89.168209750887399</v>
      </c>
      <c r="AN5278">
        <v>0.99999994766894995</v>
      </c>
    </row>
    <row r="5279" spans="1:40" x14ac:dyDescent="0.25">
      <c r="A5279" t="str">
        <f>"20190312150758021"</f>
        <v>20190312150758021</v>
      </c>
      <c r="B5279" t="str">
        <f>"1552374478015360"</f>
        <v>1552374478015360</v>
      </c>
      <c r="C5279" t="s">
        <v>40</v>
      </c>
      <c r="D5279">
        <v>4.3528370000000001</v>
      </c>
      <c r="E5279">
        <v>0.53930690000000003</v>
      </c>
      <c r="F5279" t="s">
        <v>57</v>
      </c>
      <c r="G5279">
        <v>-168.4194</v>
      </c>
      <c r="H5279">
        <v>15.87992</v>
      </c>
      <c r="I5279">
        <v>195.4563</v>
      </c>
      <c r="J5279">
        <v>-376.04640000000001</v>
      </c>
      <c r="K5279">
        <v>1.1107419999999999</v>
      </c>
      <c r="L5279">
        <v>213.89240000000001</v>
      </c>
      <c r="M5279">
        <v>0.99948029999999999</v>
      </c>
      <c r="N5279">
        <v>0</v>
      </c>
      <c r="O5279">
        <v>2.8700900000000001E-2</v>
      </c>
      <c r="P5279">
        <v>0.99975400000000003</v>
      </c>
      <c r="Q5279">
        <v>1.6865439999999999E-2</v>
      </c>
      <c r="R5279">
        <v>1.440485E-2</v>
      </c>
      <c r="S5279">
        <v>3.0008240000000002</v>
      </c>
      <c r="T5279">
        <v>0.21308679999999999</v>
      </c>
      <c r="U5279">
        <v>-0.26583859999999998</v>
      </c>
      <c r="V5279">
        <v>1.426615E-2</v>
      </c>
      <c r="W5279">
        <v>3.1555E-2</v>
      </c>
      <c r="X5279">
        <v>0.99940019999999996</v>
      </c>
      <c r="Y5279">
        <v>0.11643580000000001</v>
      </c>
      <c r="Z5279">
        <v>6.1529469999999998E-3</v>
      </c>
      <c r="AA5279">
        <v>0.99317909999999998</v>
      </c>
      <c r="AB5279">
        <v>35</v>
      </c>
      <c r="AC5279">
        <v>207.62700000000001</v>
      </c>
      <c r="AD5279">
        <v>14.769178</v>
      </c>
      <c r="AE5279">
        <v>-18.4361</v>
      </c>
      <c r="AF5279">
        <v>24.266401233377501</v>
      </c>
      <c r="AG5279">
        <v>14.769178</v>
      </c>
      <c r="AH5279">
        <v>205.97817564042899</v>
      </c>
      <c r="AI5279">
        <v>85.926833733353703</v>
      </c>
      <c r="AJ5279">
        <v>83.2809241494585</v>
      </c>
      <c r="AK5279">
        <v>207.92786174001401</v>
      </c>
      <c r="AL5279">
        <v>88.191731505913907</v>
      </c>
      <c r="AM5279">
        <v>89.182174795913298</v>
      </c>
      <c r="AN5279">
        <v>1.0000000004104299</v>
      </c>
    </row>
    <row r="5280" spans="1:40" x14ac:dyDescent="0.25">
      <c r="A5280" t="str">
        <f>"20190312150758043"</f>
        <v>20190312150758043</v>
      </c>
      <c r="B5280" t="str">
        <f>"1552374478034884"</f>
        <v>1552374478034884</v>
      </c>
      <c r="C5280" t="s">
        <v>40</v>
      </c>
      <c r="D5280">
        <v>4.3726390000000004</v>
      </c>
      <c r="E5280">
        <v>0.53976659999999999</v>
      </c>
      <c r="F5280" t="s">
        <v>46</v>
      </c>
      <c r="G5280">
        <v>-285.68680000000001</v>
      </c>
      <c r="H5280">
        <v>7.3551859999999998</v>
      </c>
      <c r="I5280">
        <v>205.78739999999999</v>
      </c>
      <c r="J5280">
        <v>-375.68650000000002</v>
      </c>
      <c r="K5280">
        <v>1.110671</v>
      </c>
      <c r="L5280">
        <v>213.90309999999999</v>
      </c>
      <c r="M5280">
        <v>0.99947149999999996</v>
      </c>
      <c r="N5280">
        <v>0</v>
      </c>
      <c r="O5280">
        <v>2.9006460000000001E-2</v>
      </c>
      <c r="P5280">
        <v>0.99974949999999996</v>
      </c>
      <c r="Q5280">
        <v>1.704073E-2</v>
      </c>
      <c r="R5280">
        <v>1.45159E-2</v>
      </c>
      <c r="S5280">
        <v>3.0011290000000002</v>
      </c>
      <c r="T5280">
        <v>0.20739779999999999</v>
      </c>
      <c r="U5280">
        <v>-0.26919559999999998</v>
      </c>
      <c r="V5280">
        <v>1.446564E-2</v>
      </c>
      <c r="W5280">
        <v>3.1724200000000001E-2</v>
      </c>
      <c r="X5280">
        <v>0.99939199999999995</v>
      </c>
      <c r="Y5280">
        <v>0.1178477</v>
      </c>
      <c r="Z5280">
        <v>6.057865E-3</v>
      </c>
      <c r="AA5280">
        <v>0.99301320000000004</v>
      </c>
      <c r="AB5280">
        <v>35</v>
      </c>
      <c r="AC5280">
        <v>89.999700000000004</v>
      </c>
      <c r="AD5280">
        <v>6.2445149999999998</v>
      </c>
      <c r="AE5280">
        <v>-8.1157000000000004</v>
      </c>
      <c r="AF5280">
        <v>10.672175662216301</v>
      </c>
      <c r="AG5280">
        <v>6.2445149999999998</v>
      </c>
      <c r="AH5280">
        <v>89.299957462584402</v>
      </c>
      <c r="AI5280">
        <v>86.028137757282593</v>
      </c>
      <c r="AJ5280">
        <v>83.184943961944199</v>
      </c>
      <c r="AK5280">
        <v>90.151936772150407</v>
      </c>
      <c r="AL5280">
        <v>88.182032248039206</v>
      </c>
      <c r="AM5280">
        <v>89.170733560650305</v>
      </c>
      <c r="AN5280">
        <v>1.0000000246351199</v>
      </c>
    </row>
    <row r="5281" spans="1:40" x14ac:dyDescent="0.25">
      <c r="A5281" t="str">
        <f>"20190312150758066"</f>
        <v>20190312150758066</v>
      </c>
      <c r="B5281" t="str">
        <f>"1552374478055379"</f>
        <v>1552374478055379</v>
      </c>
      <c r="C5281" t="s">
        <v>40</v>
      </c>
      <c r="D5281">
        <v>4.3398909999999997</v>
      </c>
      <c r="E5281">
        <v>0.54024490000000003</v>
      </c>
      <c r="F5281" t="s">
        <v>46</v>
      </c>
      <c r="G5281">
        <v>-285.66849999999999</v>
      </c>
      <c r="H5281">
        <v>7.2208350000000001</v>
      </c>
      <c r="I5281">
        <v>205.72569999999999</v>
      </c>
      <c r="J5281">
        <v>-375.34309999999999</v>
      </c>
      <c r="K5281">
        <v>1.1106049999999901</v>
      </c>
      <c r="L5281">
        <v>213.91329999999999</v>
      </c>
      <c r="M5281">
        <v>0.99946520000000005</v>
      </c>
      <c r="N5281">
        <v>0</v>
      </c>
      <c r="O5281">
        <v>2.9220280000000001E-2</v>
      </c>
      <c r="P5281">
        <v>0.99975579999999997</v>
      </c>
      <c r="Q5281">
        <v>1.6719189999999998E-2</v>
      </c>
      <c r="R5281">
        <v>1.4450950000000001E-2</v>
      </c>
      <c r="S5281">
        <v>3.0012819999999998</v>
      </c>
      <c r="T5281">
        <v>0.20371829999999999</v>
      </c>
      <c r="U5281">
        <v>-0.272644</v>
      </c>
      <c r="V5281">
        <v>1.4749999999999999E-2</v>
      </c>
      <c r="W5281">
        <v>3.1397250000000002E-2</v>
      </c>
      <c r="X5281">
        <v>0.99939820000000001</v>
      </c>
      <c r="Y5281">
        <v>0.119196</v>
      </c>
      <c r="Z5281">
        <v>6.0101269999999997E-3</v>
      </c>
      <c r="AA5281">
        <v>0.99285259999999997</v>
      </c>
      <c r="AB5281">
        <v>35</v>
      </c>
      <c r="AC5281">
        <v>89.674599999999998</v>
      </c>
      <c r="AD5281">
        <v>6.1102299999999996</v>
      </c>
      <c r="AE5281">
        <v>-8.1875999999999998</v>
      </c>
      <c r="AF5281">
        <v>10.755181500813499</v>
      </c>
      <c r="AG5281">
        <v>6.1102299999999996</v>
      </c>
      <c r="AH5281">
        <v>88.987299613548601</v>
      </c>
      <c r="AI5281">
        <v>86.100295049856598</v>
      </c>
      <c r="AJ5281">
        <v>83.108544661670507</v>
      </c>
      <c r="AK5281">
        <v>89.842909193101093</v>
      </c>
      <c r="AL5281">
        <v>88.200774495878207</v>
      </c>
      <c r="AM5281">
        <v>89.154439748117895</v>
      </c>
      <c r="AN5281">
        <v>1.0000000559853901</v>
      </c>
    </row>
    <row r="5282" spans="1:40" x14ac:dyDescent="0.25">
      <c r="A5282" t="str">
        <f>"20190312150758088"</f>
        <v>20190312150758088</v>
      </c>
      <c r="B5282" t="str">
        <f>"1552374478085633"</f>
        <v>1552374478085633</v>
      </c>
      <c r="C5282" t="s">
        <v>40</v>
      </c>
      <c r="D5282">
        <v>4.3608469999999997</v>
      </c>
      <c r="E5282">
        <v>0.54093369999999996</v>
      </c>
      <c r="F5282" t="s">
        <v>46</v>
      </c>
      <c r="G5282">
        <v>-285.58699999999999</v>
      </c>
      <c r="H5282">
        <v>7.0677779999999997</v>
      </c>
      <c r="I5282">
        <v>205.6405</v>
      </c>
      <c r="J5282">
        <v>-374.98489999999998</v>
      </c>
      <c r="K5282">
        <v>1.1105339999999999</v>
      </c>
      <c r="L5282">
        <v>213.92400000000001</v>
      </c>
      <c r="M5282">
        <v>0.99946120000000005</v>
      </c>
      <c r="N5282">
        <v>0</v>
      </c>
      <c r="O5282">
        <v>2.9364790000000002E-2</v>
      </c>
      <c r="P5282">
        <v>0.99976589999999999</v>
      </c>
      <c r="Q5282">
        <v>1.6934769999999998E-2</v>
      </c>
      <c r="R5282">
        <v>1.3472939999999999E-2</v>
      </c>
      <c r="S5282">
        <v>3.0014340000000002</v>
      </c>
      <c r="T5282">
        <v>0.1992072</v>
      </c>
      <c r="U5282">
        <v>-0.27664179999999999</v>
      </c>
      <c r="V5282">
        <v>1.5877780000000001E-2</v>
      </c>
      <c r="W5282">
        <v>3.1606960000000003E-2</v>
      </c>
      <c r="X5282">
        <v>0.99937430000000005</v>
      </c>
      <c r="Y5282">
        <v>0.1206578</v>
      </c>
      <c r="Z5282">
        <v>5.9346059999999898E-3</v>
      </c>
      <c r="AA5282">
        <v>0.99267640000000001</v>
      </c>
      <c r="AB5282">
        <v>35</v>
      </c>
      <c r="AC5282">
        <v>89.397899999999893</v>
      </c>
      <c r="AD5282">
        <v>5.9572439999999904</v>
      </c>
      <c r="AE5282">
        <v>-8.2835000000000001</v>
      </c>
      <c r="AF5282">
        <v>10.857556866832001</v>
      </c>
      <c r="AG5282">
        <v>5.9572439999999904</v>
      </c>
      <c r="AH5282">
        <v>88.725435194320596</v>
      </c>
      <c r="AI5282">
        <v>86.187143600904804</v>
      </c>
      <c r="AJ5282">
        <v>83.023257601704103</v>
      </c>
      <c r="AK5282">
        <v>89.5855911830335</v>
      </c>
      <c r="AL5282">
        <v>88.188753017095706</v>
      </c>
      <c r="AM5282">
        <v>89.089777224547305</v>
      </c>
      <c r="AN5282">
        <v>1.00000004765932</v>
      </c>
    </row>
    <row r="5283" spans="1:40" x14ac:dyDescent="0.25">
      <c r="A5283" t="str">
        <f>"20190312150758111"</f>
        <v>20190312150758111</v>
      </c>
      <c r="B5283" t="str">
        <f>"1552374478105153"</f>
        <v>1552374478105153</v>
      </c>
      <c r="C5283" t="s">
        <v>40</v>
      </c>
      <c r="D5283">
        <v>4.4264979999999996</v>
      </c>
      <c r="E5283">
        <v>0.54135409999999995</v>
      </c>
      <c r="F5283" t="s">
        <v>57</v>
      </c>
      <c r="G5283">
        <v>-168.4194</v>
      </c>
      <c r="H5283">
        <v>14.668150000000001</v>
      </c>
      <c r="I5283">
        <v>194.2979</v>
      </c>
      <c r="J5283">
        <v>-374.64440000000002</v>
      </c>
      <c r="K5283">
        <v>1.1104719999999999</v>
      </c>
      <c r="L5283">
        <v>213.9341</v>
      </c>
      <c r="M5283">
        <v>0.99945870000000003</v>
      </c>
      <c r="N5283">
        <v>0</v>
      </c>
      <c r="O5283">
        <v>2.944666E-2</v>
      </c>
      <c r="P5283">
        <v>0.99977660000000002</v>
      </c>
      <c r="Q5283">
        <v>1.708581E-2</v>
      </c>
      <c r="R5283">
        <v>1.244433E-2</v>
      </c>
      <c r="S5283">
        <v>3.0012819999999998</v>
      </c>
      <c r="T5283">
        <v>0.19698499999999999</v>
      </c>
      <c r="U5283">
        <v>-0.28515629999999997</v>
      </c>
      <c r="V5283">
        <v>1.6992429999999999E-2</v>
      </c>
      <c r="W5283">
        <v>3.1752320000000001E-2</v>
      </c>
      <c r="X5283">
        <v>0.99935130000000005</v>
      </c>
      <c r="Y5283">
        <v>0.1235359</v>
      </c>
      <c r="Z5283">
        <v>5.9675880000000002E-3</v>
      </c>
      <c r="AA5283">
        <v>0.99232209999999998</v>
      </c>
      <c r="AB5283">
        <v>35</v>
      </c>
      <c r="AC5283">
        <v>206.22499999999999</v>
      </c>
      <c r="AD5283">
        <v>13.557677999999999</v>
      </c>
      <c r="AE5283">
        <v>-19.636199999999999</v>
      </c>
      <c r="AF5283">
        <v>25.591361072529899</v>
      </c>
      <c r="AG5283">
        <v>13.557677999999999</v>
      </c>
      <c r="AH5283">
        <v>204.680581454021</v>
      </c>
      <c r="AI5283">
        <v>86.239559168616395</v>
      </c>
      <c r="AJ5283">
        <v>82.873250443886306</v>
      </c>
      <c r="AK5283">
        <v>206.71929957953199</v>
      </c>
      <c r="AL5283">
        <v>88.180420209545105</v>
      </c>
      <c r="AM5283">
        <v>89.025867369006804</v>
      </c>
      <c r="AN5283">
        <v>0.99999998665718803</v>
      </c>
    </row>
    <row r="5284" spans="1:40" x14ac:dyDescent="0.25">
      <c r="A5284" t="str">
        <f>"20190312150758133"</f>
        <v>20190312150758133</v>
      </c>
      <c r="B5284" t="str">
        <f>"1552374478125648"</f>
        <v>1552374478125648</v>
      </c>
      <c r="C5284" t="s">
        <v>40</v>
      </c>
      <c r="D5284">
        <v>4.4417059999999999</v>
      </c>
      <c r="E5284">
        <v>0.54132650000000004</v>
      </c>
      <c r="F5284" t="s">
        <v>57</v>
      </c>
      <c r="G5284">
        <v>-168.4195</v>
      </c>
      <c r="H5284">
        <v>14.495240000000001</v>
      </c>
      <c r="I5284">
        <v>193.90450000000001</v>
      </c>
      <c r="J5284">
        <v>-374.2894</v>
      </c>
      <c r="K5284">
        <v>1.1104320000000001</v>
      </c>
      <c r="L5284">
        <v>213.94470000000001</v>
      </c>
      <c r="M5284">
        <v>0.99945779999999995</v>
      </c>
      <c r="N5284">
        <v>0</v>
      </c>
      <c r="O5284">
        <v>2.948924E-2</v>
      </c>
      <c r="P5284">
        <v>0.99978520000000004</v>
      </c>
      <c r="Q5284">
        <v>1.7054130000000001E-2</v>
      </c>
      <c r="R5284">
        <v>1.1794600000000001E-2</v>
      </c>
      <c r="S5284">
        <v>3.001007</v>
      </c>
      <c r="T5284">
        <v>0.19477700000000001</v>
      </c>
      <c r="U5284">
        <v>-0.29147339999999999</v>
      </c>
      <c r="V5284">
        <v>1.76884E-2</v>
      </c>
      <c r="W5284">
        <v>3.1714680000000002E-2</v>
      </c>
      <c r="X5284">
        <v>0.99934040000000002</v>
      </c>
      <c r="Y5284">
        <v>0.12565889999999999</v>
      </c>
      <c r="Z5284">
        <v>5.9722169999999897E-3</v>
      </c>
      <c r="AA5284">
        <v>0.99205549999999998</v>
      </c>
      <c r="AB5284">
        <v>35</v>
      </c>
      <c r="AC5284">
        <v>205.8699</v>
      </c>
      <c r="AD5284">
        <v>13.384808</v>
      </c>
      <c r="AE5284">
        <v>-20.040199999999999</v>
      </c>
      <c r="AF5284">
        <v>25.994232878531498</v>
      </c>
      <c r="AG5284">
        <v>13.384808</v>
      </c>
      <c r="AH5284">
        <v>204.333690507726</v>
      </c>
      <c r="AI5284">
        <v>86.282092678705993</v>
      </c>
      <c r="AJ5284">
        <v>82.750081618943199</v>
      </c>
      <c r="AK5284">
        <v>206.41489845611301</v>
      </c>
      <c r="AL5284">
        <v>88.182577875027505</v>
      </c>
      <c r="AM5284">
        <v>88.985966294776603</v>
      </c>
      <c r="AN5284">
        <v>0.99999996774710997</v>
      </c>
    </row>
    <row r="5285" spans="1:40" x14ac:dyDescent="0.25">
      <c r="A5285" t="str">
        <f>"20190312150758154"</f>
        <v>20190312150758154</v>
      </c>
      <c r="B5285" t="str">
        <f>"1552374478145172"</f>
        <v>1552374478145172</v>
      </c>
      <c r="C5285" t="s">
        <v>40</v>
      </c>
      <c r="D5285">
        <v>4.5264689999999996</v>
      </c>
      <c r="E5285">
        <v>0.50462510000000005</v>
      </c>
      <c r="F5285" t="s">
        <v>57</v>
      </c>
      <c r="G5285">
        <v>-169.71789999999999</v>
      </c>
      <c r="H5285">
        <v>14.301410000000001</v>
      </c>
      <c r="I5285">
        <v>193.94730000000001</v>
      </c>
      <c r="J5285">
        <v>-373.94630000000001</v>
      </c>
      <c r="K5285">
        <v>1.1103989999999999</v>
      </c>
      <c r="L5285">
        <v>213.95480000000001</v>
      </c>
      <c r="M5285">
        <v>0.99945740000000005</v>
      </c>
      <c r="N5285">
        <v>0</v>
      </c>
      <c r="O5285">
        <v>2.9503100000000001E-2</v>
      </c>
      <c r="P5285">
        <v>0.99978619999999996</v>
      </c>
      <c r="Q5285">
        <v>1.7102610000000001E-2</v>
      </c>
      <c r="R5285">
        <v>1.163614E-2</v>
      </c>
      <c r="S5285">
        <v>3.0007929999999998</v>
      </c>
      <c r="T5285">
        <v>0.19349469999999999</v>
      </c>
      <c r="U5285">
        <v>-0.29333500000000001</v>
      </c>
      <c r="V5285">
        <v>1.786312E-2</v>
      </c>
      <c r="W5285">
        <v>3.1758050000000003E-2</v>
      </c>
      <c r="X5285">
        <v>0.99933590000000005</v>
      </c>
      <c r="Y5285">
        <v>0.12629199999999999</v>
      </c>
      <c r="Z5285">
        <v>5.9544569999999998E-3</v>
      </c>
      <c r="AA5285">
        <v>0.99197519999999995</v>
      </c>
      <c r="AB5285">
        <v>35</v>
      </c>
      <c r="AC5285">
        <v>204.22839999999999</v>
      </c>
      <c r="AD5285">
        <v>13.1910109999999</v>
      </c>
      <c r="AE5285">
        <v>-20.0075</v>
      </c>
      <c r="AF5285">
        <v>25.917710027354399</v>
      </c>
      <c r="AG5285">
        <v>13.1910109999999</v>
      </c>
      <c r="AH5285">
        <v>202.71149789524699</v>
      </c>
      <c r="AI5285">
        <v>86.306830137581997</v>
      </c>
      <c r="AJ5285">
        <v>82.713969056291305</v>
      </c>
      <c r="AK5285">
        <v>204.78691814468701</v>
      </c>
      <c r="AL5285">
        <v>88.180091677635701</v>
      </c>
      <c r="AM5285">
        <v>88.975947526909906</v>
      </c>
      <c r="AN5285">
        <v>0.99999995291237198</v>
      </c>
    </row>
    <row r="5286" spans="1:40" x14ac:dyDescent="0.25">
      <c r="A5286" t="str">
        <f>"20190312150758176"</f>
        <v>20190312150758176</v>
      </c>
      <c r="B5286" t="str">
        <f>"1552374478165668"</f>
        <v>1552374478165668</v>
      </c>
      <c r="C5286" t="s">
        <v>40</v>
      </c>
      <c r="D5286">
        <v>4.490005</v>
      </c>
      <c r="E5286">
        <v>0.50283239999999996</v>
      </c>
      <c r="F5286" t="s">
        <v>74</v>
      </c>
      <c r="G5286">
        <v>-107.39749999999999</v>
      </c>
      <c r="H5286">
        <v>6.9900130000000003</v>
      </c>
      <c r="I5286">
        <v>213.7826</v>
      </c>
      <c r="J5286">
        <v>-373.6189</v>
      </c>
      <c r="K5286">
        <v>1.110374</v>
      </c>
      <c r="L5286">
        <v>213.96449999999999</v>
      </c>
      <c r="M5286">
        <v>0.9994575</v>
      </c>
      <c r="N5286">
        <v>0</v>
      </c>
      <c r="O5286">
        <v>2.9499379999999999E-2</v>
      </c>
      <c r="P5286">
        <v>0.99978370000000005</v>
      </c>
      <c r="Q5286">
        <v>1.7270210000000001E-2</v>
      </c>
      <c r="R5286">
        <v>1.1612249999999999E-2</v>
      </c>
      <c r="S5286">
        <v>2.9995729999999998</v>
      </c>
      <c r="T5286">
        <v>6.6166039999999995E-2</v>
      </c>
      <c r="U5286">
        <v>-1.9378659999999999E-3</v>
      </c>
      <c r="V5286">
        <v>1.788497E-2</v>
      </c>
      <c r="W5286">
        <v>3.1921039999999998E-2</v>
      </c>
      <c r="X5286">
        <v>0.9993303</v>
      </c>
      <c r="Y5286">
        <v>3.0133790000000001E-2</v>
      </c>
      <c r="Z5286">
        <v>9.8294539999999996E-4</v>
      </c>
      <c r="AA5286">
        <v>0.99954540000000003</v>
      </c>
      <c r="AB5286">
        <v>35</v>
      </c>
      <c r="AC5286">
        <v>266.22140000000002</v>
      </c>
      <c r="AD5286">
        <v>5.8796390000000001</v>
      </c>
      <c r="AE5286">
        <v>-0.18189999999998399</v>
      </c>
      <c r="AF5286">
        <v>8.0321116172423004</v>
      </c>
      <c r="AG5286">
        <v>5.8796390000000001</v>
      </c>
      <c r="AH5286">
        <v>265.97041627403502</v>
      </c>
      <c r="AI5286">
        <v>88.734181763181596</v>
      </c>
      <c r="AJ5286">
        <v>88.270235174282405</v>
      </c>
      <c r="AK5286">
        <v>266.15662175641199</v>
      </c>
      <c r="AL5286">
        <v>88.170748271300695</v>
      </c>
      <c r="AM5286">
        <v>88.974689438484205</v>
      </c>
      <c r="AN5286">
        <v>0.999999936722334</v>
      </c>
    </row>
    <row r="5287" spans="1:40" x14ac:dyDescent="0.25">
      <c r="A5287" t="str">
        <f>"20190312150758197"</f>
        <v>20190312150758197</v>
      </c>
      <c r="B5287" t="str">
        <f>"1552374478185184"</f>
        <v>1552374478185184</v>
      </c>
      <c r="C5287" t="s">
        <v>40</v>
      </c>
      <c r="D5287">
        <v>4.458323</v>
      </c>
      <c r="E5287">
        <v>0.50104029999999999</v>
      </c>
      <c r="F5287" t="s">
        <v>74</v>
      </c>
      <c r="G5287">
        <v>-109.68</v>
      </c>
      <c r="H5287">
        <v>7.6301129999999997</v>
      </c>
      <c r="I5287">
        <v>215.0455</v>
      </c>
      <c r="J5287">
        <v>-373.28190000000001</v>
      </c>
      <c r="K5287">
        <v>1.1103590000000001</v>
      </c>
      <c r="L5287">
        <v>213.97450000000001</v>
      </c>
      <c r="M5287">
        <v>0.99945799999999996</v>
      </c>
      <c r="N5287">
        <v>0</v>
      </c>
      <c r="O5287">
        <v>2.9484159999999999E-2</v>
      </c>
      <c r="P5287">
        <v>0.9997762</v>
      </c>
      <c r="Q5287">
        <v>1.7565009999999999E-2</v>
      </c>
      <c r="R5287">
        <v>1.1803350000000001E-2</v>
      </c>
      <c r="S5287">
        <v>2.9992369999999999</v>
      </c>
      <c r="T5287">
        <v>7.408679E-2</v>
      </c>
      <c r="U5287">
        <v>1.228333E-2</v>
      </c>
      <c r="V5287">
        <v>1.7679960000000002E-2</v>
      </c>
      <c r="W5287">
        <v>3.2211280000000002E-2</v>
      </c>
      <c r="X5287">
        <v>0.99932469999999995</v>
      </c>
      <c r="Y5287">
        <v>2.5376679999999999E-2</v>
      </c>
      <c r="Z5287">
        <v>1.0415649999999999E-3</v>
      </c>
      <c r="AA5287">
        <v>0.99967740000000005</v>
      </c>
      <c r="AB5287">
        <v>35</v>
      </c>
      <c r="AC5287">
        <v>263.6019</v>
      </c>
      <c r="AD5287">
        <v>6.5197539999999998</v>
      </c>
      <c r="AE5287">
        <v>1.07099999999999</v>
      </c>
      <c r="AF5287">
        <v>6.6982820548552802</v>
      </c>
      <c r="AG5287">
        <v>6.5197539999999998</v>
      </c>
      <c r="AH5287">
        <v>263.35775155212502</v>
      </c>
      <c r="AI5287">
        <v>88.582318512262304</v>
      </c>
      <c r="AJ5287">
        <v>88.543044335767902</v>
      </c>
      <c r="AK5287">
        <v>263.523584290472</v>
      </c>
      <c r="AL5287">
        <v>88.154110307127098</v>
      </c>
      <c r="AM5287">
        <v>88.986434118686304</v>
      </c>
      <c r="AN5287">
        <v>1.00000000178746</v>
      </c>
    </row>
    <row r="5288" spans="1:40" x14ac:dyDescent="0.25">
      <c r="A5288" t="str">
        <f>"20190312150758222"</f>
        <v>20190312150758222</v>
      </c>
      <c r="B5288" t="str">
        <f>"1552374478215440"</f>
        <v>1552374478215440</v>
      </c>
      <c r="C5288" t="s">
        <v>40</v>
      </c>
      <c r="D5288">
        <v>4.4466780000000004</v>
      </c>
      <c r="E5288">
        <v>0.50071940000000004</v>
      </c>
      <c r="F5288" t="s">
        <v>74</v>
      </c>
      <c r="G5288">
        <v>-107.39749999999999</v>
      </c>
      <c r="H5288">
        <v>7.1056589999999904</v>
      </c>
      <c r="I5288">
        <v>216.3972</v>
      </c>
      <c r="J5288">
        <v>-372.91559999999998</v>
      </c>
      <c r="K5288">
        <v>1.110344</v>
      </c>
      <c r="L5288">
        <v>213.9853</v>
      </c>
      <c r="M5288">
        <v>0.99945870000000003</v>
      </c>
      <c r="N5288">
        <v>0</v>
      </c>
      <c r="O5288">
        <v>2.9457919999999999E-2</v>
      </c>
      <c r="P5288">
        <v>0.99977380000000005</v>
      </c>
      <c r="Q5288">
        <v>1.7811480000000001E-2</v>
      </c>
      <c r="R5288">
        <v>1.1627E-2</v>
      </c>
      <c r="S5288">
        <v>2.9991759999999998</v>
      </c>
      <c r="T5288">
        <v>6.7627549999999995E-2</v>
      </c>
      <c r="U5288">
        <v>2.732849E-2</v>
      </c>
      <c r="V5288">
        <v>1.7831659999999999E-2</v>
      </c>
      <c r="W5288">
        <v>3.2452429999999997E-2</v>
      </c>
      <c r="X5288">
        <v>0.99931420000000004</v>
      </c>
      <c r="Y5288">
        <v>2.033954E-2</v>
      </c>
      <c r="Z5288">
        <v>8.9339809999999895E-4</v>
      </c>
      <c r="AA5288">
        <v>0.99979280000000004</v>
      </c>
      <c r="AB5288">
        <v>35</v>
      </c>
      <c r="AC5288">
        <v>265.5181</v>
      </c>
      <c r="AD5288">
        <v>5.9953149999999997</v>
      </c>
      <c r="AE5288">
        <v>2.4119000000000002</v>
      </c>
      <c r="AF5288">
        <v>5.4088396104430796</v>
      </c>
      <c r="AG5288">
        <v>5.9953149999999997</v>
      </c>
      <c r="AH5288">
        <v>265.33863358830399</v>
      </c>
      <c r="AI5288">
        <v>88.705893326261602</v>
      </c>
      <c r="AJ5288">
        <v>88.832206365834395</v>
      </c>
      <c r="AK5288">
        <v>265.46146579567602</v>
      </c>
      <c r="AL5288">
        <v>88.140286197896401</v>
      </c>
      <c r="AM5288">
        <v>88.977728481543394</v>
      </c>
      <c r="AN5288">
        <v>0.99999999931645001</v>
      </c>
    </row>
    <row r="5289" spans="1:40" x14ac:dyDescent="0.25">
      <c r="A5289" t="str">
        <f>"20190312150758243"</f>
        <v>20190312150758243</v>
      </c>
      <c r="B5289" t="str">
        <f>"1552374478234960"</f>
        <v>1552374478234960</v>
      </c>
      <c r="C5289" t="s">
        <v>40</v>
      </c>
      <c r="D5289">
        <v>4.4465810000000001</v>
      </c>
      <c r="E5289">
        <v>0.50071940000000004</v>
      </c>
      <c r="F5289" t="s">
        <v>74</v>
      </c>
      <c r="G5289">
        <v>-107.39749999999999</v>
      </c>
      <c r="H5289">
        <v>7.3547229999999999</v>
      </c>
      <c r="I5289">
        <v>216.57089999999999</v>
      </c>
      <c r="J5289">
        <v>-372.5711</v>
      </c>
      <c r="K5289">
        <v>1.1103289999999999</v>
      </c>
      <c r="L5289">
        <v>213.99539999999999</v>
      </c>
      <c r="M5289">
        <v>0.99945969999999995</v>
      </c>
      <c r="N5289">
        <v>0</v>
      </c>
      <c r="O5289">
        <v>2.9425730000000001E-2</v>
      </c>
      <c r="P5289">
        <v>0.99977099999999997</v>
      </c>
      <c r="Q5289">
        <v>1.802229E-2</v>
      </c>
      <c r="R5289">
        <v>1.154371E-2</v>
      </c>
      <c r="S5289">
        <v>2.9990839999999999</v>
      </c>
      <c r="T5289">
        <v>7.0532200000000003E-2</v>
      </c>
      <c r="U5289">
        <v>2.920532E-2</v>
      </c>
      <c r="V5289">
        <v>1.7884029999999999E-2</v>
      </c>
      <c r="W5289">
        <v>3.265879E-2</v>
      </c>
      <c r="X5289">
        <v>0.99930660000000004</v>
      </c>
      <c r="Y5289">
        <v>1.968052E-2</v>
      </c>
      <c r="Z5289">
        <v>9.2327939999999997E-4</v>
      </c>
      <c r="AA5289">
        <v>0.99980590000000003</v>
      </c>
      <c r="AB5289">
        <v>35</v>
      </c>
      <c r="AC5289">
        <v>265.17360000000002</v>
      </c>
      <c r="AD5289">
        <v>6.2443939999999998</v>
      </c>
      <c r="AE5289">
        <v>2.5754999999999999</v>
      </c>
      <c r="AF5289">
        <v>5.2264810753695601</v>
      </c>
      <c r="AG5289">
        <v>6.2443939999999998</v>
      </c>
      <c r="AH5289">
        <v>264.98761316823601</v>
      </c>
      <c r="AI5289">
        <v>88.6503456405718</v>
      </c>
      <c r="AJ5289">
        <v>88.870073654302303</v>
      </c>
      <c r="AK5289">
        <v>265.11269998522698</v>
      </c>
      <c r="AL5289">
        <v>88.128456479889806</v>
      </c>
      <c r="AM5289">
        <v>88.974719005100596</v>
      </c>
      <c r="AN5289">
        <v>1.0000000579484301</v>
      </c>
    </row>
    <row r="5290" spans="1:40" x14ac:dyDescent="0.25">
      <c r="A5290" t="str">
        <f>"20190312150758266"</f>
        <v>20190312150758266</v>
      </c>
      <c r="B5290" t="str">
        <f>"1552374478255460"</f>
        <v>1552374478255460</v>
      </c>
      <c r="C5290" t="s">
        <v>40</v>
      </c>
      <c r="D5290">
        <v>4.4584530000000004</v>
      </c>
      <c r="E5290">
        <v>0.50071259999999995</v>
      </c>
      <c r="F5290" t="s">
        <v>74</v>
      </c>
      <c r="G5290">
        <v>-109.11920000000001</v>
      </c>
      <c r="H5290">
        <v>7.543812</v>
      </c>
      <c r="I5290">
        <v>216.53550000000001</v>
      </c>
      <c r="J5290">
        <v>-372.23270000000002</v>
      </c>
      <c r="K5290">
        <v>1.1103190000000001</v>
      </c>
      <c r="L5290">
        <v>214.00540000000001</v>
      </c>
      <c r="M5290">
        <v>0.99946100000000004</v>
      </c>
      <c r="N5290">
        <v>0</v>
      </c>
      <c r="O5290">
        <v>2.9386909999999999E-2</v>
      </c>
      <c r="P5290">
        <v>0.99976430000000005</v>
      </c>
      <c r="Q5290">
        <v>1.852415E-2</v>
      </c>
      <c r="R5290">
        <v>1.1336840000000001E-2</v>
      </c>
      <c r="S5290">
        <v>2.9990230000000002</v>
      </c>
      <c r="T5290">
        <v>7.3236579999999996E-2</v>
      </c>
      <c r="U5290">
        <v>2.8915409999999999E-2</v>
      </c>
      <c r="V5290">
        <v>1.8053099999999999E-2</v>
      </c>
      <c r="W5290">
        <v>3.3156339999999999E-2</v>
      </c>
      <c r="X5290">
        <v>0.99928709999999998</v>
      </c>
      <c r="Y5290">
        <v>1.9737049999999999E-2</v>
      </c>
      <c r="Z5290">
        <v>9.5843220000000002E-4</v>
      </c>
      <c r="AA5290">
        <v>0.99980469999999999</v>
      </c>
      <c r="AB5290">
        <v>35</v>
      </c>
      <c r="AC5290">
        <v>263.11349999999999</v>
      </c>
      <c r="AD5290">
        <v>6.4334930000000004</v>
      </c>
      <c r="AE5290">
        <v>2.5301</v>
      </c>
      <c r="AF5290">
        <v>5.2008045043213</v>
      </c>
      <c r="AG5290">
        <v>6.4334930000000004</v>
      </c>
      <c r="AH5290">
        <v>262.91702384543999</v>
      </c>
      <c r="AI5290">
        <v>88.598544920312406</v>
      </c>
      <c r="AJ5290">
        <v>88.866770639555995</v>
      </c>
      <c r="AK5290">
        <v>263.047143355363</v>
      </c>
      <c r="AL5290">
        <v>88.099933375191199</v>
      </c>
      <c r="AM5290">
        <v>88.965008227242393</v>
      </c>
      <c r="AN5290">
        <v>0.99999998276410695</v>
      </c>
    </row>
    <row r="5291" spans="1:40" x14ac:dyDescent="0.25">
      <c r="A5291" t="str">
        <f>"20190312150758288"</f>
        <v>20190312150758288</v>
      </c>
      <c r="B5291" t="str">
        <f>"1552374478285712"</f>
        <v>1552374478285712</v>
      </c>
      <c r="C5291" t="s">
        <v>40</v>
      </c>
      <c r="D5291">
        <v>4.4251500000000004</v>
      </c>
      <c r="E5291">
        <v>0.5009152</v>
      </c>
      <c r="F5291" t="s">
        <v>74</v>
      </c>
      <c r="G5291">
        <v>-109.68</v>
      </c>
      <c r="H5291">
        <v>7.6887049999999997</v>
      </c>
      <c r="I5291">
        <v>216.48339999999999</v>
      </c>
      <c r="J5291">
        <v>-371.8845</v>
      </c>
      <c r="K5291">
        <v>1.1103099999999999</v>
      </c>
      <c r="L5291">
        <v>214.0155</v>
      </c>
      <c r="M5291">
        <v>0.99946239999999997</v>
      </c>
      <c r="N5291">
        <v>0</v>
      </c>
      <c r="O5291">
        <v>2.93402E-2</v>
      </c>
      <c r="P5291">
        <v>0.99975099999999995</v>
      </c>
      <c r="Q5291">
        <v>1.9380540000000002E-2</v>
      </c>
      <c r="R5291">
        <v>1.106264E-2</v>
      </c>
      <c r="S5291">
        <v>2.998993</v>
      </c>
      <c r="T5291">
        <v>7.514179E-2</v>
      </c>
      <c r="U5291">
        <v>2.8305049999999998E-2</v>
      </c>
      <c r="V5291">
        <v>1.828132E-2</v>
      </c>
      <c r="W5291">
        <v>3.4007500000000003E-2</v>
      </c>
      <c r="X5291">
        <v>0.99925430000000004</v>
      </c>
      <c r="Y5291">
        <v>1.9892880000000002E-2</v>
      </c>
      <c r="Z5291">
        <v>9.8415089999999992E-4</v>
      </c>
      <c r="AA5291">
        <v>0.99980159999999996</v>
      </c>
      <c r="AB5291">
        <v>35</v>
      </c>
      <c r="AC5291">
        <v>262.2045</v>
      </c>
      <c r="AD5291">
        <v>6.5783949999999898</v>
      </c>
      <c r="AE5291">
        <v>2.4678999999999802</v>
      </c>
      <c r="AF5291">
        <v>5.2238308751631797</v>
      </c>
      <c r="AG5291">
        <v>6.5783949999999898</v>
      </c>
      <c r="AH5291">
        <v>261.99910882083202</v>
      </c>
      <c r="AI5291">
        <v>88.561978912374499</v>
      </c>
      <c r="AJ5291">
        <v>88.857767832314394</v>
      </c>
      <c r="AK5291">
        <v>262.13373821905901</v>
      </c>
      <c r="AL5291">
        <v>88.051137884620005</v>
      </c>
      <c r="AM5291">
        <v>88.951892784698899</v>
      </c>
      <c r="AN5291">
        <v>0.99999993639283902</v>
      </c>
    </row>
    <row r="5292" spans="1:40" x14ac:dyDescent="0.25">
      <c r="A5292" t="str">
        <f>"20190312150758311"</f>
        <v>20190312150758311</v>
      </c>
      <c r="B5292" t="str">
        <f>"1552374478305233"</f>
        <v>1552374478305233</v>
      </c>
      <c r="C5292" t="s">
        <v>40</v>
      </c>
      <c r="D5292">
        <v>4.7141159999999998</v>
      </c>
      <c r="E5292">
        <v>0.50113669999999999</v>
      </c>
      <c r="F5292" t="s">
        <v>74</v>
      </c>
      <c r="G5292">
        <v>-109.68</v>
      </c>
      <c r="H5292">
        <v>7.6818879999999998</v>
      </c>
      <c r="I5292">
        <v>216.28749999999999</v>
      </c>
      <c r="J5292">
        <v>-371.53519999999997</v>
      </c>
      <c r="K5292">
        <v>1.110306</v>
      </c>
      <c r="L5292">
        <v>214.0258</v>
      </c>
      <c r="M5292">
        <v>0.99946409999999997</v>
      </c>
      <c r="N5292">
        <v>0</v>
      </c>
      <c r="O5292">
        <v>2.9286759999999998E-2</v>
      </c>
      <c r="P5292">
        <v>0.99973849999999997</v>
      </c>
      <c r="Q5292">
        <v>2.0314769999999999E-2</v>
      </c>
      <c r="R5292">
        <v>1.0517800000000001E-2</v>
      </c>
      <c r="S5292">
        <v>2.998993</v>
      </c>
      <c r="T5292">
        <v>7.5163720000000003E-2</v>
      </c>
      <c r="U5292">
        <v>2.598572E-2</v>
      </c>
      <c r="V5292">
        <v>1.8773060000000001E-2</v>
      </c>
      <c r="W5292">
        <v>3.4936769999999999E-2</v>
      </c>
      <c r="X5292">
        <v>0.99921320000000002</v>
      </c>
      <c r="Y5292">
        <v>2.0612350000000002E-2</v>
      </c>
      <c r="Z5292">
        <v>9.9211929999999996E-4</v>
      </c>
      <c r="AA5292">
        <v>0.99978699999999998</v>
      </c>
      <c r="AB5292">
        <v>35</v>
      </c>
      <c r="AC5292">
        <v>261.85520000000002</v>
      </c>
      <c r="AD5292">
        <v>6.5715820000000003</v>
      </c>
      <c r="AE5292">
        <v>2.2616999999999901</v>
      </c>
      <c r="AF5292">
        <v>5.4055763949934601</v>
      </c>
      <c r="AG5292">
        <v>6.5715820000000003</v>
      </c>
      <c r="AH5292">
        <v>261.64432143862803</v>
      </c>
      <c r="AI5292">
        <v>88.561541540721393</v>
      </c>
      <c r="AJ5292">
        <v>88.816436539759906</v>
      </c>
      <c r="AK5292">
        <v>261.78265199822698</v>
      </c>
      <c r="AL5292">
        <v>87.997863118998794</v>
      </c>
      <c r="AM5292">
        <v>88.923662562551897</v>
      </c>
      <c r="AN5292">
        <v>1.0000000123670101</v>
      </c>
    </row>
    <row r="5293" spans="1:40" x14ac:dyDescent="0.25">
      <c r="A5293" t="str">
        <f>"20190312150758344"</f>
        <v>20190312150758344</v>
      </c>
      <c r="B5293" t="str">
        <f>"1552374478335080"</f>
        <v>1552374478335080</v>
      </c>
      <c r="C5293" t="s">
        <v>40</v>
      </c>
      <c r="D5293">
        <v>4.7639889999999996</v>
      </c>
      <c r="E5293">
        <v>0.50129179999999995</v>
      </c>
      <c r="F5293" t="s">
        <v>74</v>
      </c>
      <c r="G5293">
        <v>-109.68</v>
      </c>
      <c r="H5293">
        <v>7.976737</v>
      </c>
      <c r="I5293">
        <v>215.98429999999999</v>
      </c>
      <c r="J5293">
        <v>-371.02460000000002</v>
      </c>
      <c r="K5293">
        <v>1.110295</v>
      </c>
      <c r="L5293">
        <v>214.04060000000001</v>
      </c>
      <c r="M5293">
        <v>0.99946670000000004</v>
      </c>
      <c r="N5293">
        <v>0</v>
      </c>
      <c r="O5293">
        <v>2.9197730000000002E-2</v>
      </c>
      <c r="P5293">
        <v>0.9997357</v>
      </c>
      <c r="Q5293">
        <v>2.0712729999999999E-2</v>
      </c>
      <c r="R5293">
        <v>9.9821319999999995E-3</v>
      </c>
      <c r="S5293">
        <v>2.9989319999999999</v>
      </c>
      <c r="T5293">
        <v>7.8639269999999997E-2</v>
      </c>
      <c r="U5293">
        <v>2.243042E-2</v>
      </c>
      <c r="V5293">
        <v>1.9220370000000001E-2</v>
      </c>
      <c r="W5293">
        <v>3.5328489999999997E-2</v>
      </c>
      <c r="X5293">
        <v>0.99919089999999999</v>
      </c>
      <c r="Y5293">
        <v>2.1706469999999999E-2</v>
      </c>
      <c r="Z5293">
        <v>1.050018E-3</v>
      </c>
      <c r="AA5293">
        <v>0.99976379999999998</v>
      </c>
      <c r="AB5293">
        <v>34</v>
      </c>
      <c r="AC5293">
        <v>261.34460000000001</v>
      </c>
      <c r="AD5293">
        <v>6.8664420000000002</v>
      </c>
      <c r="AE5293">
        <v>1.94369999999997</v>
      </c>
      <c r="AF5293">
        <v>5.6846898999550399</v>
      </c>
      <c r="AG5293">
        <v>6.8664420000000002</v>
      </c>
      <c r="AH5293">
        <v>261.10967755228802</v>
      </c>
      <c r="AI5293">
        <v>88.493987814963006</v>
      </c>
      <c r="AJ5293">
        <v>88.752795009053102</v>
      </c>
      <c r="AK5293">
        <v>261.26179865502297</v>
      </c>
      <c r="AL5293">
        <v>87.975405306434197</v>
      </c>
      <c r="AM5293">
        <v>88.897998086537797</v>
      </c>
      <c r="AN5293">
        <v>0.99999998973571302</v>
      </c>
    </row>
    <row r="5294" spans="1:40" x14ac:dyDescent="0.25">
      <c r="A5294" t="str">
        <f>"20190312150758366"</f>
        <v>20190312150758366</v>
      </c>
      <c r="B5294" t="str">
        <f>"1552374478355575"</f>
        <v>1552374478355575</v>
      </c>
      <c r="C5294" t="s">
        <v>40</v>
      </c>
      <c r="D5294">
        <v>4.4516530000000003</v>
      </c>
      <c r="E5294">
        <v>0.5013398</v>
      </c>
      <c r="F5294" t="s">
        <v>74</v>
      </c>
      <c r="G5294">
        <v>-109.68</v>
      </c>
      <c r="H5294">
        <v>8.0860140000000005</v>
      </c>
      <c r="I5294">
        <v>215.76400000000001</v>
      </c>
      <c r="J5294">
        <v>-370.68819999999999</v>
      </c>
      <c r="K5294">
        <v>1.11029</v>
      </c>
      <c r="L5294">
        <v>214.0504</v>
      </c>
      <c r="M5294">
        <v>0.99946849999999998</v>
      </c>
      <c r="N5294">
        <v>0</v>
      </c>
      <c r="O5294">
        <v>2.913371E-2</v>
      </c>
      <c r="P5294">
        <v>0.9997279</v>
      </c>
      <c r="Q5294">
        <v>2.1272059999999999E-2</v>
      </c>
      <c r="R5294">
        <v>9.5665300000000002E-3</v>
      </c>
      <c r="S5294">
        <v>2.998901</v>
      </c>
      <c r="T5294">
        <v>8.0046179999999995E-2</v>
      </c>
      <c r="U5294">
        <v>1.977539E-2</v>
      </c>
      <c r="V5294">
        <v>1.9572030000000001E-2</v>
      </c>
      <c r="W5294">
        <v>3.5883650000000003E-2</v>
      </c>
      <c r="X5294">
        <v>0.99916430000000001</v>
      </c>
      <c r="Y5294">
        <v>2.2526529999999999E-2</v>
      </c>
      <c r="Z5294">
        <v>1.0780480000000001E-3</v>
      </c>
      <c r="AA5294">
        <v>0.99974569999999996</v>
      </c>
      <c r="AB5294">
        <v>34</v>
      </c>
      <c r="AC5294">
        <v>261.00819999999999</v>
      </c>
      <c r="AD5294">
        <v>6.9757239999999996</v>
      </c>
      <c r="AE5294">
        <v>1.71360000000001</v>
      </c>
      <c r="AF5294">
        <v>5.8878728814031698</v>
      </c>
      <c r="AG5294">
        <v>6.9757239999999996</v>
      </c>
      <c r="AH5294">
        <v>260.76106412452998</v>
      </c>
      <c r="AI5294">
        <v>88.468013349073402</v>
      </c>
      <c r="AJ5294">
        <v>88.706505689948898</v>
      </c>
      <c r="AK5294">
        <v>260.92079322229</v>
      </c>
      <c r="AL5294">
        <v>87.943576818556807</v>
      </c>
      <c r="AM5294">
        <v>88.877810866434501</v>
      </c>
      <c r="AN5294">
        <v>0.99999999954506602</v>
      </c>
    </row>
    <row r="5295" spans="1:40" x14ac:dyDescent="0.25">
      <c r="A5295" t="str">
        <f>"20190312150758388"</f>
        <v>20190312150758388</v>
      </c>
      <c r="B5295" t="str">
        <f>"1552374478385829"</f>
        <v>1552374478385829</v>
      </c>
      <c r="C5295" t="s">
        <v>40</v>
      </c>
      <c r="D5295">
        <v>4.4777500000000003</v>
      </c>
      <c r="E5295">
        <v>0.50146009999999996</v>
      </c>
      <c r="F5295" t="s">
        <v>74</v>
      </c>
      <c r="G5295">
        <v>-109.68</v>
      </c>
      <c r="H5295">
        <v>8.0937260000000002</v>
      </c>
      <c r="I5295">
        <v>215.61879999999999</v>
      </c>
      <c r="J5295">
        <v>-370.35230000000001</v>
      </c>
      <c r="K5295">
        <v>1.1102920000000001</v>
      </c>
      <c r="L5295">
        <v>214.06010000000001</v>
      </c>
      <c r="M5295">
        <v>0.99947050000000004</v>
      </c>
      <c r="N5295">
        <v>0</v>
      </c>
      <c r="O5295">
        <v>2.906823E-2</v>
      </c>
      <c r="P5295">
        <v>0.99973290000000004</v>
      </c>
      <c r="Q5295">
        <v>2.1376510000000001E-2</v>
      </c>
      <c r="R5295">
        <v>8.7900119999999998E-3</v>
      </c>
      <c r="S5295">
        <v>2.9989319999999999</v>
      </c>
      <c r="T5295">
        <v>8.0238820000000002E-2</v>
      </c>
      <c r="U5295">
        <v>1.8020629999999999E-2</v>
      </c>
      <c r="V5295">
        <v>2.0283289999999999E-2</v>
      </c>
      <c r="W5295">
        <v>3.5983729999999998E-2</v>
      </c>
      <c r="X5295">
        <v>0.99914650000000005</v>
      </c>
      <c r="Y5295">
        <v>2.304579E-2</v>
      </c>
      <c r="Z5295">
        <v>1.0858280000000001E-3</v>
      </c>
      <c r="AA5295">
        <v>0.99973380000000001</v>
      </c>
      <c r="AB5295">
        <v>34</v>
      </c>
      <c r="AC5295">
        <v>260.67230000000001</v>
      </c>
      <c r="AD5295">
        <v>6.9834339999999999</v>
      </c>
      <c r="AE5295">
        <v>1.55869999999998</v>
      </c>
      <c r="AF5295">
        <v>6.0157337620531504</v>
      </c>
      <c r="AG5295">
        <v>6.9834339999999999</v>
      </c>
      <c r="AH5295">
        <v>260.420538129595</v>
      </c>
      <c r="AI5295">
        <v>88.464334669775695</v>
      </c>
      <c r="AJ5295">
        <v>88.676698583780194</v>
      </c>
      <c r="AK5295">
        <v>260.58360286640499</v>
      </c>
      <c r="AL5295">
        <v>87.937838920394</v>
      </c>
      <c r="AM5295">
        <v>88.8370200916154</v>
      </c>
      <c r="AN5295">
        <v>0.99999998457009298</v>
      </c>
    </row>
    <row r="5296" spans="1:40" x14ac:dyDescent="0.25">
      <c r="A5296" t="str">
        <f>"20190312150758410"</f>
        <v>20190312150758410</v>
      </c>
      <c r="B5296" t="str">
        <f>"1552374478405348"</f>
        <v>1552374478405348</v>
      </c>
      <c r="C5296" t="s">
        <v>40</v>
      </c>
      <c r="D5296">
        <v>4.8505529999999997</v>
      </c>
      <c r="E5296">
        <v>0.50148499999999996</v>
      </c>
      <c r="F5296" t="s">
        <v>74</v>
      </c>
      <c r="G5296">
        <v>-109.68</v>
      </c>
      <c r="H5296">
        <v>7.9970189999999999</v>
      </c>
      <c r="I5296">
        <v>215.3493</v>
      </c>
      <c r="J5296">
        <v>-370.0043</v>
      </c>
      <c r="K5296">
        <v>1.1102909999999999</v>
      </c>
      <c r="L5296">
        <v>214.0702</v>
      </c>
      <c r="M5296">
        <v>0.99947260000000004</v>
      </c>
      <c r="N5296">
        <v>0</v>
      </c>
      <c r="O5296">
        <v>2.8999899999999999E-2</v>
      </c>
      <c r="P5296">
        <v>0.99973480000000003</v>
      </c>
      <c r="Q5296">
        <v>2.158353E-2</v>
      </c>
      <c r="R5296">
        <v>8.0518499999999993E-3</v>
      </c>
      <c r="S5296">
        <v>2.9989620000000001</v>
      </c>
      <c r="T5296">
        <v>7.9230430000000004E-2</v>
      </c>
      <c r="U5296">
        <v>1.4831540000000001E-2</v>
      </c>
      <c r="V5296">
        <v>2.0953070000000001E-2</v>
      </c>
      <c r="W5296">
        <v>3.6186240000000001E-2</v>
      </c>
      <c r="X5296">
        <v>0.99912540000000005</v>
      </c>
      <c r="Y5296">
        <v>2.4040720000000002E-2</v>
      </c>
      <c r="Z5296">
        <v>1.0835179999999999E-3</v>
      </c>
      <c r="AA5296">
        <v>0.9997104</v>
      </c>
      <c r="AB5296">
        <v>34</v>
      </c>
      <c r="AC5296">
        <v>260.32429999999999</v>
      </c>
      <c r="AD5296">
        <v>6.8867279999999997</v>
      </c>
      <c r="AE5296">
        <v>1.2790999999999899</v>
      </c>
      <c r="AF5296">
        <v>6.2672369493058904</v>
      </c>
      <c r="AG5296">
        <v>6.8867279999999997</v>
      </c>
      <c r="AH5296">
        <v>260.06988376482201</v>
      </c>
      <c r="AI5296">
        <v>88.483585207825996</v>
      </c>
      <c r="AJ5296">
        <v>88.619537429527398</v>
      </c>
      <c r="AK5296">
        <v>260.23652649651802</v>
      </c>
      <c r="AL5296">
        <v>87.926228463775601</v>
      </c>
      <c r="AM5296">
        <v>88.798602729314595</v>
      </c>
      <c r="AN5296">
        <v>1.00000002001646</v>
      </c>
    </row>
    <row r="5297" spans="1:40" x14ac:dyDescent="0.25">
      <c r="A5297" t="str">
        <f>"20190312150758434"</f>
        <v>20190312150758434</v>
      </c>
      <c r="B5297" t="str">
        <f>"1552374478425419"</f>
        <v>1552374478425419</v>
      </c>
      <c r="C5297" t="s">
        <v>40</v>
      </c>
      <c r="D5297">
        <v>4.4633320000000003</v>
      </c>
      <c r="E5297">
        <v>0.50154659999999995</v>
      </c>
      <c r="F5297" t="s">
        <v>74</v>
      </c>
      <c r="G5297">
        <v>-109.68</v>
      </c>
      <c r="H5297">
        <v>7.903098</v>
      </c>
      <c r="I5297">
        <v>215.14429999999999</v>
      </c>
      <c r="J5297">
        <v>-369.65600000000001</v>
      </c>
      <c r="K5297">
        <v>1.110282</v>
      </c>
      <c r="L5297">
        <v>214.08019999999999</v>
      </c>
      <c r="M5297">
        <v>0.99947459999999999</v>
      </c>
      <c r="N5297">
        <v>0</v>
      </c>
      <c r="O5297">
        <v>2.8931459999999999E-2</v>
      </c>
      <c r="P5297">
        <v>0.99973339999999999</v>
      </c>
      <c r="Q5297">
        <v>2.186747E-2</v>
      </c>
      <c r="R5297">
        <v>7.4135750000000004E-3</v>
      </c>
      <c r="S5297">
        <v>2.998993</v>
      </c>
      <c r="T5297">
        <v>7.8255179999999994E-2</v>
      </c>
      <c r="U5297">
        <v>1.237488E-2</v>
      </c>
      <c r="V5297">
        <v>2.1522860000000001E-2</v>
      </c>
      <c r="W5297">
        <v>3.6465490000000003E-2</v>
      </c>
      <c r="X5297">
        <v>0.99910310000000002</v>
      </c>
      <c r="Y5297">
        <v>2.479145E-2</v>
      </c>
      <c r="Z5297">
        <v>1.078187E-3</v>
      </c>
      <c r="AA5297">
        <v>0.99969209999999997</v>
      </c>
      <c r="AB5297">
        <v>34</v>
      </c>
      <c r="AC5297">
        <v>259.976</v>
      </c>
      <c r="AD5297">
        <v>6.7928160000000002</v>
      </c>
      <c r="AE5297">
        <v>1.0640999999999901</v>
      </c>
      <c r="AF5297">
        <v>6.4542275409057197</v>
      </c>
      <c r="AG5297">
        <v>6.7928160000000002</v>
      </c>
      <c r="AH5297">
        <v>259.72062981320499</v>
      </c>
      <c r="AI5297">
        <v>88.502271682068496</v>
      </c>
      <c r="AJ5297">
        <v>88.576455391226801</v>
      </c>
      <c r="AK5297">
        <v>259.88960147133201</v>
      </c>
      <c r="AL5297">
        <v>87.910217977388896</v>
      </c>
      <c r="AM5297">
        <v>88.765914811945194</v>
      </c>
      <c r="AN5297">
        <v>0.99999998494656395</v>
      </c>
    </row>
    <row r="5298" spans="1:40" x14ac:dyDescent="0.25">
      <c r="A5298" t="str">
        <f>"20190312150758455"</f>
        <v>20190312150758455</v>
      </c>
      <c r="B5298" t="str">
        <f>"1552374478444939"</f>
        <v>1552374478444939</v>
      </c>
      <c r="C5298" t="s">
        <v>40</v>
      </c>
      <c r="D5298">
        <v>4.4621180000000003</v>
      </c>
      <c r="E5298">
        <v>0.50152989999999997</v>
      </c>
      <c r="F5298" t="s">
        <v>74</v>
      </c>
      <c r="G5298">
        <v>-109.68</v>
      </c>
      <c r="H5298">
        <v>7.8948720000000003</v>
      </c>
      <c r="I5298">
        <v>214.9426</v>
      </c>
      <c r="J5298">
        <v>-369.32130000000001</v>
      </c>
      <c r="K5298">
        <v>1.1102860000000001</v>
      </c>
      <c r="L5298">
        <v>214.0898</v>
      </c>
      <c r="M5298">
        <v>0.9994767</v>
      </c>
      <c r="N5298">
        <v>0</v>
      </c>
      <c r="O5298">
        <v>2.8865370000000001E-2</v>
      </c>
      <c r="P5298">
        <v>0.99973860000000003</v>
      </c>
      <c r="Q5298">
        <v>2.1892289999999998E-2</v>
      </c>
      <c r="R5298">
        <v>6.5991180000000002E-3</v>
      </c>
      <c r="S5298">
        <v>2.9990230000000002</v>
      </c>
      <c r="T5298">
        <v>7.8266020000000006E-2</v>
      </c>
      <c r="U5298">
        <v>9.9487299999999994E-3</v>
      </c>
      <c r="V5298">
        <v>2.2271180000000002E-2</v>
      </c>
      <c r="W5298">
        <v>3.6485980000000001E-2</v>
      </c>
      <c r="X5298">
        <v>0.99908600000000003</v>
      </c>
      <c r="Y5298">
        <v>2.5533839999999999E-2</v>
      </c>
      <c r="Z5298">
        <v>1.08629E-3</v>
      </c>
      <c r="AA5298">
        <v>0.99967340000000005</v>
      </c>
      <c r="AB5298">
        <v>34</v>
      </c>
      <c r="AC5298">
        <v>259.6413</v>
      </c>
      <c r="AD5298">
        <v>6.784586</v>
      </c>
      <c r="AE5298">
        <v>0.852800000000002</v>
      </c>
      <c r="AF5298">
        <v>6.6384636131108197</v>
      </c>
      <c r="AG5298">
        <v>6.784586</v>
      </c>
      <c r="AH5298">
        <v>259.38060012950001</v>
      </c>
      <c r="AI5298">
        <v>88.502153354585403</v>
      </c>
      <c r="AJ5298">
        <v>88.533919144588793</v>
      </c>
      <c r="AK5298">
        <v>259.554224642701</v>
      </c>
      <c r="AL5298">
        <v>87.909043307270295</v>
      </c>
      <c r="AM5298">
        <v>88.722999500997005</v>
      </c>
      <c r="AN5298">
        <v>1.0000000337955699</v>
      </c>
    </row>
    <row r="5299" spans="1:40" x14ac:dyDescent="0.25">
      <c r="A5299" t="str">
        <f>"20190312150758479"</f>
        <v>20190312150758479</v>
      </c>
      <c r="B5299" t="str">
        <f>"1552374478475192"</f>
        <v>1552374478475192</v>
      </c>
      <c r="C5299" t="s">
        <v>40</v>
      </c>
      <c r="D5299">
        <v>4.4813729999999996</v>
      </c>
      <c r="E5299">
        <v>0.50149169999999998</v>
      </c>
      <c r="F5299" t="s">
        <v>74</v>
      </c>
      <c r="G5299">
        <v>-109.68</v>
      </c>
      <c r="H5299">
        <v>7.6931139999999996</v>
      </c>
      <c r="I5299">
        <v>214.74639999999999</v>
      </c>
      <c r="J5299">
        <v>-368.96710000000002</v>
      </c>
      <c r="K5299">
        <v>1.1102939999999999</v>
      </c>
      <c r="L5299">
        <v>214.09989999999999</v>
      </c>
      <c r="M5299">
        <v>0.99947859999999999</v>
      </c>
      <c r="N5299">
        <v>0</v>
      </c>
      <c r="O5299">
        <v>2.8795580000000001E-2</v>
      </c>
      <c r="P5299">
        <v>0.99973860000000003</v>
      </c>
      <c r="Q5299">
        <v>2.2064790000000001E-2</v>
      </c>
      <c r="R5299">
        <v>5.981742E-3</v>
      </c>
      <c r="S5299">
        <v>2.9990839999999999</v>
      </c>
      <c r="T5299">
        <v>7.6037999999999994E-2</v>
      </c>
      <c r="U5299">
        <v>7.5836180000000003E-3</v>
      </c>
      <c r="V5299">
        <v>2.281878E-2</v>
      </c>
      <c r="W5299">
        <v>3.6654190000000003E-2</v>
      </c>
      <c r="X5299">
        <v>0.99906740000000005</v>
      </c>
      <c r="Y5299">
        <v>2.6253289999999999E-2</v>
      </c>
      <c r="Z5299">
        <v>1.0627080000000001E-3</v>
      </c>
      <c r="AA5299">
        <v>0.99965479999999995</v>
      </c>
      <c r="AB5299">
        <v>34</v>
      </c>
      <c r="AC5299">
        <v>259.28710000000001</v>
      </c>
      <c r="AD5299">
        <v>6.5828199999999999</v>
      </c>
      <c r="AE5299">
        <v>0.64650000000000296</v>
      </c>
      <c r="AF5299">
        <v>6.8164935487077702</v>
      </c>
      <c r="AG5299">
        <v>6.5828199999999999</v>
      </c>
      <c r="AH5299">
        <v>259.03121488829601</v>
      </c>
      <c r="AI5299">
        <v>88.544746055336304</v>
      </c>
      <c r="AJ5299">
        <v>88.492590184499093</v>
      </c>
      <c r="AK5299">
        <v>259.20449145406099</v>
      </c>
      <c r="AL5299">
        <v>87.899398953246106</v>
      </c>
      <c r="AM5299">
        <v>88.691587262425003</v>
      </c>
      <c r="AN5299">
        <v>0.99999994805400105</v>
      </c>
    </row>
    <row r="5300" spans="1:40" x14ac:dyDescent="0.25">
      <c r="A5300" t="str">
        <f>"20190312150758501"</f>
        <v>20190312150758501</v>
      </c>
      <c r="B5300" t="str">
        <f>"1552374478495688"</f>
        <v>1552374478495688</v>
      </c>
      <c r="C5300" t="s">
        <v>40</v>
      </c>
      <c r="D5300">
        <v>4.5269649999999997</v>
      </c>
      <c r="E5300">
        <v>0.50147629999999999</v>
      </c>
      <c r="F5300" t="s">
        <v>74</v>
      </c>
      <c r="G5300">
        <v>-108.0771</v>
      </c>
      <c r="H5300">
        <v>7.5438130000000001</v>
      </c>
      <c r="I5300">
        <v>214.61760000000001</v>
      </c>
      <c r="J5300">
        <v>-368.62459999999999</v>
      </c>
      <c r="K5300">
        <v>1.1102970000000001</v>
      </c>
      <c r="L5300">
        <v>214.1097</v>
      </c>
      <c r="M5300">
        <v>0.99948079999999995</v>
      </c>
      <c r="N5300">
        <v>0</v>
      </c>
      <c r="O5300">
        <v>2.8728009999999998E-2</v>
      </c>
      <c r="P5300">
        <v>0.99973820000000002</v>
      </c>
      <c r="Q5300">
        <v>2.224462E-2</v>
      </c>
      <c r="R5300">
        <v>5.4101459999999898E-3</v>
      </c>
      <c r="S5300">
        <v>2.9990839999999999</v>
      </c>
      <c r="T5300">
        <v>7.3957679999999998E-2</v>
      </c>
      <c r="U5300">
        <v>5.9509280000000003E-3</v>
      </c>
      <c r="V5300">
        <v>2.3322510000000001E-2</v>
      </c>
      <c r="W5300">
        <v>3.6829069999999998E-2</v>
      </c>
      <c r="X5300">
        <v>0.99904939999999998</v>
      </c>
      <c r="Y5300">
        <v>2.6730730000000001E-2</v>
      </c>
      <c r="Z5300">
        <v>1.037865E-3</v>
      </c>
      <c r="AA5300">
        <v>0.99964209999999998</v>
      </c>
      <c r="AB5300">
        <v>34</v>
      </c>
      <c r="AC5300">
        <v>260.54750000000001</v>
      </c>
      <c r="AD5300">
        <v>6.433516</v>
      </c>
      <c r="AE5300">
        <v>0.50790000000000601</v>
      </c>
      <c r="AF5300">
        <v>6.9738654938106999</v>
      </c>
      <c r="AG5300">
        <v>6.433516</v>
      </c>
      <c r="AH5300">
        <v>260.29582845017597</v>
      </c>
      <c r="AI5300">
        <v>88.584663699576694</v>
      </c>
      <c r="AJ5300">
        <v>88.465294289700793</v>
      </c>
      <c r="AK5300">
        <v>260.46869914946001</v>
      </c>
      <c r="AL5300">
        <v>87.889372431286105</v>
      </c>
      <c r="AM5300">
        <v>88.662690029836</v>
      </c>
      <c r="AN5300">
        <v>1.00000001175506</v>
      </c>
    </row>
    <row r="5301" spans="1:40" x14ac:dyDescent="0.25">
      <c r="A5301" t="str">
        <f>"20190312150758525"</f>
        <v>20190312150758525</v>
      </c>
      <c r="B5301" t="str">
        <f>"1552374478514963"</f>
        <v>1552374478514963</v>
      </c>
      <c r="C5301" t="s">
        <v>40</v>
      </c>
      <c r="D5301">
        <v>4.3682749999999997</v>
      </c>
      <c r="E5301">
        <v>0.50013169999999996</v>
      </c>
      <c r="F5301" t="s">
        <v>74</v>
      </c>
      <c r="G5301">
        <v>-107.39749999999999</v>
      </c>
      <c r="H5301">
        <v>7.4929160000000001</v>
      </c>
      <c r="I5301">
        <v>214.50049999999999</v>
      </c>
      <c r="J5301">
        <v>-368.27370000000002</v>
      </c>
      <c r="K5301">
        <v>1.110301</v>
      </c>
      <c r="L5301">
        <v>214.1198</v>
      </c>
      <c r="M5301">
        <v>0.99948289999999995</v>
      </c>
      <c r="N5301">
        <v>0</v>
      </c>
      <c r="O5301">
        <v>2.8659069999999998E-2</v>
      </c>
      <c r="P5301">
        <v>0.99973049999999997</v>
      </c>
      <c r="Q5301">
        <v>2.269591E-2</v>
      </c>
      <c r="R5301">
        <v>4.9154280000000003E-3</v>
      </c>
      <c r="S5301">
        <v>2.9991759999999998</v>
      </c>
      <c r="T5301">
        <v>7.3280100000000001E-2</v>
      </c>
      <c r="U5301">
        <v>4.4860840000000004E-3</v>
      </c>
      <c r="V5301">
        <v>2.3748080000000001E-2</v>
      </c>
      <c r="W5301">
        <v>3.7276040000000003E-2</v>
      </c>
      <c r="X5301">
        <v>0.99902279999999999</v>
      </c>
      <c r="Y5301">
        <v>2.7150270000000001E-2</v>
      </c>
      <c r="Z5301">
        <v>1.03177E-3</v>
      </c>
      <c r="AA5301">
        <v>0.99963080000000004</v>
      </c>
      <c r="AB5301">
        <v>34</v>
      </c>
      <c r="AC5301">
        <v>260.87619999999998</v>
      </c>
      <c r="AD5301">
        <v>6.3826150000000004</v>
      </c>
      <c r="AE5301">
        <v>0.38069999999998999</v>
      </c>
      <c r="AF5301">
        <v>7.0924750591743102</v>
      </c>
      <c r="AG5301">
        <v>6.3826150000000004</v>
      </c>
      <c r="AH5301">
        <v>260.62392638624101</v>
      </c>
      <c r="AI5301">
        <v>88.597640023487102</v>
      </c>
      <c r="AJ5301">
        <v>88.441169150171902</v>
      </c>
      <c r="AK5301">
        <v>260.79852756808998</v>
      </c>
      <c r="AL5301">
        <v>87.863745345423894</v>
      </c>
      <c r="AM5301">
        <v>88.638260758626799</v>
      </c>
      <c r="AN5301">
        <v>1.0000000146907999</v>
      </c>
    </row>
    <row r="5302" spans="1:40" x14ac:dyDescent="0.25">
      <c r="A5302" t="str">
        <f>"20190312150758545"</f>
        <v>20190312150758545</v>
      </c>
      <c r="B5302" t="str">
        <f>"1552374478535460"</f>
        <v>1552374478535460</v>
      </c>
      <c r="C5302" t="s">
        <v>40</v>
      </c>
      <c r="D5302">
        <v>4.4150159999999996</v>
      </c>
      <c r="E5302">
        <v>0.49906709999999899</v>
      </c>
      <c r="F5302" t="s">
        <v>74</v>
      </c>
      <c r="G5302">
        <v>-109.68</v>
      </c>
      <c r="H5302">
        <v>7.5806779999999998</v>
      </c>
      <c r="I5302">
        <v>215.3091</v>
      </c>
      <c r="J5302">
        <v>-367.959</v>
      </c>
      <c r="K5302">
        <v>1.1102989999999999</v>
      </c>
      <c r="L5302">
        <v>214.12870000000001</v>
      </c>
      <c r="M5302">
        <v>0.9994845</v>
      </c>
      <c r="N5302">
        <v>0</v>
      </c>
      <c r="O5302">
        <v>2.8597460000000002E-2</v>
      </c>
      <c r="P5302">
        <v>0.99971449999999995</v>
      </c>
      <c r="Q5302">
        <v>2.3480069999999999E-2</v>
      </c>
      <c r="R5302">
        <v>4.4463509999999899E-3</v>
      </c>
      <c r="S5302">
        <v>2.9990230000000002</v>
      </c>
      <c r="T5302">
        <v>7.5040339999999997E-2</v>
      </c>
      <c r="U5302">
        <v>1.3793949999999999E-2</v>
      </c>
      <c r="V5302">
        <v>2.4155019999999999E-2</v>
      </c>
      <c r="W5302">
        <v>3.805654E-2</v>
      </c>
      <c r="X5302">
        <v>0.99898359999999997</v>
      </c>
      <c r="Y5302">
        <v>2.3986199999999999E-2</v>
      </c>
      <c r="Z5302">
        <v>1.0154680000000001E-3</v>
      </c>
      <c r="AA5302">
        <v>0.99971180000000004</v>
      </c>
      <c r="AB5302">
        <v>34</v>
      </c>
      <c r="AC5302">
        <v>258.279</v>
      </c>
      <c r="AD5302">
        <v>6.4703789999999897</v>
      </c>
      <c r="AE5302">
        <v>1.1803999999999899</v>
      </c>
      <c r="AF5302">
        <v>6.2030997287854097</v>
      </c>
      <c r="AG5302">
        <v>6.4703789999999897</v>
      </c>
      <c r="AH5302">
        <v>258.04515861993099</v>
      </c>
      <c r="AI5302">
        <v>88.5640469177592</v>
      </c>
      <c r="AJ5302">
        <v>88.622942588464895</v>
      </c>
      <c r="AK5302">
        <v>258.20079035090902</v>
      </c>
      <c r="AL5302">
        <v>87.818994198540906</v>
      </c>
      <c r="AM5302">
        <v>88.614881086603503</v>
      </c>
      <c r="AN5302">
        <v>0.99999999914846505</v>
      </c>
    </row>
    <row r="5303" spans="1:40" x14ac:dyDescent="0.25">
      <c r="A5303" t="str">
        <f>"20190312150758567"</f>
        <v>20190312150758567</v>
      </c>
      <c r="B5303" t="str">
        <f>"1552374478554980"</f>
        <v>1552374478554980</v>
      </c>
      <c r="C5303" t="s">
        <v>40</v>
      </c>
      <c r="D5303">
        <v>4.3791710000000004</v>
      </c>
      <c r="E5303">
        <v>0.49812610000000002</v>
      </c>
      <c r="F5303" t="s">
        <v>74</v>
      </c>
      <c r="G5303">
        <v>-109.68</v>
      </c>
      <c r="H5303">
        <v>7.55931</v>
      </c>
      <c r="I5303">
        <v>215.9264</v>
      </c>
      <c r="J5303">
        <v>-367.63029999999998</v>
      </c>
      <c r="K5303">
        <v>1.1103069999999999</v>
      </c>
      <c r="L5303">
        <v>214.13800000000001</v>
      </c>
      <c r="M5303">
        <v>0.99948650000000006</v>
      </c>
      <c r="N5303">
        <v>0</v>
      </c>
      <c r="O5303">
        <v>2.8532999999999999E-2</v>
      </c>
      <c r="P5303">
        <v>0.99971569999999998</v>
      </c>
      <c r="Q5303">
        <v>2.3532839999999999E-2</v>
      </c>
      <c r="R5303">
        <v>3.8477440000000002E-3</v>
      </c>
      <c r="S5303">
        <v>2.9989620000000001</v>
      </c>
      <c r="T5303">
        <v>7.4882149999999995E-2</v>
      </c>
      <c r="U5303">
        <v>2.087402E-2</v>
      </c>
      <c r="V5303">
        <v>2.4688959999999999E-2</v>
      </c>
      <c r="W5303">
        <v>3.8105149999999997E-2</v>
      </c>
      <c r="X5303">
        <v>0.99896870000000004</v>
      </c>
      <c r="Y5303">
        <v>2.1562319999999999E-2</v>
      </c>
      <c r="Z5303">
        <v>9.8146980000000006E-4</v>
      </c>
      <c r="AA5303">
        <v>0.99976699999999996</v>
      </c>
      <c r="AB5303">
        <v>34</v>
      </c>
      <c r="AC5303">
        <v>257.95030000000003</v>
      </c>
      <c r="AD5303">
        <v>6.4490030000000003</v>
      </c>
      <c r="AE5303">
        <v>1.78839999999999</v>
      </c>
      <c r="AF5303">
        <v>5.5697255522650799</v>
      </c>
      <c r="AG5303">
        <v>6.4490030000000003</v>
      </c>
      <c r="AH5303">
        <v>257.73519829538401</v>
      </c>
      <c r="AI5303">
        <v>88.566988999718106</v>
      </c>
      <c r="AJ5303">
        <v>88.762015796742901</v>
      </c>
      <c r="AK5303">
        <v>257.87602432716102</v>
      </c>
      <c r="AL5303">
        <v>87.816207042694103</v>
      </c>
      <c r="AM5303">
        <v>88.584254636698603</v>
      </c>
      <c r="AN5303">
        <v>1.0000000053910401</v>
      </c>
    </row>
    <row r="5304" spans="1:40" x14ac:dyDescent="0.25">
      <c r="A5304" t="str">
        <f>"20190312150758590"</f>
        <v>20190312150758590</v>
      </c>
      <c r="B5304" t="str">
        <f>"1552374478585236"</f>
        <v>1552374478585236</v>
      </c>
      <c r="C5304" t="s">
        <v>40</v>
      </c>
      <c r="D5304">
        <v>4.3930389999999999</v>
      </c>
      <c r="E5304">
        <v>0.49695030000000001</v>
      </c>
      <c r="F5304" t="s">
        <v>74</v>
      </c>
      <c r="G5304">
        <v>-107.39749999999999</v>
      </c>
      <c r="H5304">
        <v>7.4128679999999996</v>
      </c>
      <c r="I5304">
        <v>216.4418</v>
      </c>
      <c r="J5304">
        <v>-367.29079999999999</v>
      </c>
      <c r="K5304">
        <v>1.1103099999999999</v>
      </c>
      <c r="L5304">
        <v>214.14769999999999</v>
      </c>
      <c r="M5304">
        <v>0.9994885</v>
      </c>
      <c r="N5304">
        <v>0</v>
      </c>
      <c r="O5304">
        <v>2.8466089999999999E-2</v>
      </c>
      <c r="P5304">
        <v>0.99971650000000001</v>
      </c>
      <c r="Q5304">
        <v>2.3547149999999999E-2</v>
      </c>
      <c r="R5304">
        <v>3.6028269999999999E-3</v>
      </c>
      <c r="S5304">
        <v>2.9990540000000001</v>
      </c>
      <c r="T5304">
        <v>7.2634459999999998E-2</v>
      </c>
      <c r="U5304">
        <v>2.6550290000000001E-2</v>
      </c>
      <c r="V5304">
        <v>2.4866869999999999E-2</v>
      </c>
      <c r="W5304">
        <v>3.8115629999999998E-2</v>
      </c>
      <c r="X5304">
        <v>0.99896390000000002</v>
      </c>
      <c r="Y5304">
        <v>1.9604949999999999E-2</v>
      </c>
      <c r="Z5304">
        <v>9.2665900000000003E-4</v>
      </c>
      <c r="AA5304">
        <v>0.99980740000000001</v>
      </c>
      <c r="AB5304">
        <v>34</v>
      </c>
      <c r="AC5304">
        <v>259.89330000000001</v>
      </c>
      <c r="AD5304">
        <v>6.3025579999999897</v>
      </c>
      <c r="AE5304">
        <v>2.29410000000001</v>
      </c>
      <c r="AF5304">
        <v>5.1027611651189302</v>
      </c>
      <c r="AG5304">
        <v>6.3025579999999897</v>
      </c>
      <c r="AH5304">
        <v>259.70055381891598</v>
      </c>
      <c r="AI5304">
        <v>88.6100551025188</v>
      </c>
      <c r="AJ5304">
        <v>88.874361034331002</v>
      </c>
      <c r="AK5304">
        <v>259.82713111355997</v>
      </c>
      <c r="AL5304">
        <v>87.815606173929297</v>
      </c>
      <c r="AM5304">
        <v>88.574050046181</v>
      </c>
      <c r="AN5304">
        <v>1.00000001798855</v>
      </c>
    </row>
    <row r="5305" spans="1:40" x14ac:dyDescent="0.25">
      <c r="A5305" t="str">
        <f>"20190312150758613"</f>
        <v>20190312150758613</v>
      </c>
      <c r="B5305" t="str">
        <f>"1552374478605733"</f>
        <v>1552374478605733</v>
      </c>
      <c r="C5305" t="s">
        <v>40</v>
      </c>
      <c r="D5305">
        <v>4.3848890000000003</v>
      </c>
      <c r="E5305">
        <v>0.4962184</v>
      </c>
      <c r="F5305" t="s">
        <v>74</v>
      </c>
      <c r="G5305">
        <v>-107.39749999999999</v>
      </c>
      <c r="H5305">
        <v>7.1430490000000004</v>
      </c>
      <c r="I5305">
        <v>217.18889999999999</v>
      </c>
      <c r="J5305">
        <v>-366.9307</v>
      </c>
      <c r="K5305">
        <v>1.110309</v>
      </c>
      <c r="L5305">
        <v>214.15780000000001</v>
      </c>
      <c r="M5305">
        <v>0.99949049999999995</v>
      </c>
      <c r="N5305">
        <v>0</v>
      </c>
      <c r="O5305">
        <v>2.8395489999999999E-2</v>
      </c>
      <c r="P5305">
        <v>0.99971310000000002</v>
      </c>
      <c r="Q5305">
        <v>2.3792589999999999E-2</v>
      </c>
      <c r="R5305">
        <v>2.806233E-3</v>
      </c>
      <c r="S5305">
        <v>2.9990839999999999</v>
      </c>
      <c r="T5305">
        <v>6.9616440000000002E-2</v>
      </c>
      <c r="U5305">
        <v>3.5095210000000002E-2</v>
      </c>
      <c r="V5305">
        <v>2.559258E-2</v>
      </c>
      <c r="W5305">
        <v>3.8356260000000003E-2</v>
      </c>
      <c r="X5305">
        <v>0.99893639999999995</v>
      </c>
      <c r="Y5305">
        <v>1.668797E-2</v>
      </c>
      <c r="Z5305">
        <v>8.5264970000000005E-4</v>
      </c>
      <c r="AA5305">
        <v>0.99986039999999998</v>
      </c>
      <c r="AB5305">
        <v>34</v>
      </c>
      <c r="AC5305">
        <v>259.53320000000002</v>
      </c>
      <c r="AD5305">
        <v>6.0327400000000004</v>
      </c>
      <c r="AE5305">
        <v>3.0310999999999799</v>
      </c>
      <c r="AF5305">
        <v>4.3381341736928798</v>
      </c>
      <c r="AG5305">
        <v>6.0327400000000004</v>
      </c>
      <c r="AH5305">
        <v>259.37448043151898</v>
      </c>
      <c r="AI5305">
        <v>88.667795220473295</v>
      </c>
      <c r="AJ5305">
        <v>89.041796225811694</v>
      </c>
      <c r="AK5305">
        <v>259.48089420829598</v>
      </c>
      <c r="AL5305">
        <v>87.801809087265795</v>
      </c>
      <c r="AM5305">
        <v>88.532412952058095</v>
      </c>
      <c r="AN5305">
        <v>1.0000000570386001</v>
      </c>
    </row>
    <row r="5306" spans="1:40" x14ac:dyDescent="0.25">
      <c r="A5306" t="str">
        <f>"20190312150758634"</f>
        <v>20190312150758634</v>
      </c>
      <c r="B5306" t="str">
        <f>"1552374478624897"</f>
        <v>1552374478624897</v>
      </c>
      <c r="C5306" t="s">
        <v>40</v>
      </c>
      <c r="D5306">
        <v>4.3655049999999997</v>
      </c>
      <c r="E5306">
        <v>0.49553190000000003</v>
      </c>
      <c r="F5306" t="s">
        <v>74</v>
      </c>
      <c r="G5306">
        <v>-107.39749999999999</v>
      </c>
      <c r="H5306">
        <v>6.9648479999999999</v>
      </c>
      <c r="I5306">
        <v>217.50120000000001</v>
      </c>
      <c r="J5306">
        <v>-366.59969999999998</v>
      </c>
      <c r="K5306">
        <v>1.110312</v>
      </c>
      <c r="L5306">
        <v>214.16720000000001</v>
      </c>
      <c r="M5306">
        <v>0.99949250000000001</v>
      </c>
      <c r="N5306">
        <v>0</v>
      </c>
      <c r="O5306">
        <v>2.83302E-2</v>
      </c>
      <c r="P5306">
        <v>0.99972930000000004</v>
      </c>
      <c r="Q5306">
        <v>2.3152539999999999E-2</v>
      </c>
      <c r="R5306">
        <v>2.3308769999999999E-3</v>
      </c>
      <c r="S5306">
        <v>2.9991460000000001</v>
      </c>
      <c r="T5306">
        <v>6.7655209999999993E-2</v>
      </c>
      <c r="U5306">
        <v>3.8635250000000003E-2</v>
      </c>
      <c r="V5306">
        <v>2.6002879999999999E-2</v>
      </c>
      <c r="W5306">
        <v>3.7712509999999998E-2</v>
      </c>
      <c r="X5306">
        <v>0.99895020000000001</v>
      </c>
      <c r="Y5306">
        <v>1.544388E-2</v>
      </c>
      <c r="Z5306">
        <v>8.1310740000000001E-4</v>
      </c>
      <c r="AA5306">
        <v>0.9998804</v>
      </c>
      <c r="AB5306">
        <v>34</v>
      </c>
      <c r="AC5306">
        <v>259.2022</v>
      </c>
      <c r="AD5306">
        <v>5.8545360000000004</v>
      </c>
      <c r="AE5306">
        <v>3.3340000000000001</v>
      </c>
      <c r="AF5306">
        <v>4.0093226209224397</v>
      </c>
      <c r="AG5306">
        <v>5.8545360000000004</v>
      </c>
      <c r="AH5306">
        <v>259.06046128912902</v>
      </c>
      <c r="AI5306">
        <v>88.705541672013794</v>
      </c>
      <c r="AJ5306">
        <v>89.113338539438502</v>
      </c>
      <c r="AK5306">
        <v>259.15762165714898</v>
      </c>
      <c r="AL5306">
        <v>87.838719704030296</v>
      </c>
      <c r="AM5306">
        <v>88.508915738390698</v>
      </c>
      <c r="AN5306">
        <v>0.99999994262941505</v>
      </c>
    </row>
    <row r="5307" spans="1:40" x14ac:dyDescent="0.25">
      <c r="A5307" t="str">
        <f>"20190312150758656"</f>
        <v>20190312150758656</v>
      </c>
      <c r="B5307" t="str">
        <f>"1552374478645397"</f>
        <v>1552374478645397</v>
      </c>
      <c r="C5307" t="s">
        <v>40</v>
      </c>
      <c r="D5307">
        <v>4.4869029999999999</v>
      </c>
      <c r="E5307">
        <v>0.49486659999999999</v>
      </c>
      <c r="F5307" t="s">
        <v>74</v>
      </c>
      <c r="G5307">
        <v>-107.39749999999999</v>
      </c>
      <c r="H5307">
        <v>6.5790979999999903</v>
      </c>
      <c r="I5307">
        <v>217.84899999999999</v>
      </c>
      <c r="J5307">
        <v>-366.27699999999999</v>
      </c>
      <c r="K5307">
        <v>1.1103099999999999</v>
      </c>
      <c r="L5307">
        <v>214.17619999999999</v>
      </c>
      <c r="M5307">
        <v>0.99949429999999995</v>
      </c>
      <c r="N5307">
        <v>0</v>
      </c>
      <c r="O5307">
        <v>2.8266570000000001E-2</v>
      </c>
      <c r="P5307">
        <v>0.99972559999999999</v>
      </c>
      <c r="Q5307">
        <v>2.335243E-2</v>
      </c>
      <c r="R5307">
        <v>1.9494689999999999E-3</v>
      </c>
      <c r="S5307">
        <v>2.9992369999999999</v>
      </c>
      <c r="T5307">
        <v>6.3280110000000001E-2</v>
      </c>
      <c r="U5307">
        <v>4.2602540000000001E-2</v>
      </c>
      <c r="V5307">
        <v>2.632046E-2</v>
      </c>
      <c r="W5307">
        <v>3.7908829999999998E-2</v>
      </c>
      <c r="X5307">
        <v>0.99893449999999995</v>
      </c>
      <c r="Y5307">
        <v>1.405995E-2</v>
      </c>
      <c r="Z5307">
        <v>7.4456589999999997E-4</v>
      </c>
      <c r="AA5307">
        <v>0.99990089999999998</v>
      </c>
      <c r="AB5307">
        <v>34</v>
      </c>
      <c r="AC5307">
        <v>258.87950000000001</v>
      </c>
      <c r="AD5307">
        <v>5.4687879999999902</v>
      </c>
      <c r="AE5307">
        <v>3.67280000000002</v>
      </c>
      <c r="AF5307">
        <v>3.6454532307504</v>
      </c>
      <c r="AG5307">
        <v>5.4687879999999902</v>
      </c>
      <c r="AH5307">
        <v>258.76441094989599</v>
      </c>
      <c r="AI5307">
        <v>88.7893978320499</v>
      </c>
      <c r="AJ5307">
        <v>89.192874834065805</v>
      </c>
      <c r="AK5307">
        <v>258.84786525233898</v>
      </c>
      <c r="AL5307">
        <v>87.827463451119698</v>
      </c>
      <c r="AM5307">
        <v>88.490689397230398</v>
      </c>
      <c r="AN5307">
        <v>0.99999999064841505</v>
      </c>
    </row>
    <row r="5308" spans="1:40" x14ac:dyDescent="0.25">
      <c r="A5308" t="str">
        <f>"20190312150758678"</f>
        <v>20190312150758678</v>
      </c>
      <c r="B5308" t="str">
        <f>"1552374478675650"</f>
        <v>1552374478675650</v>
      </c>
      <c r="C5308" t="s">
        <v>40</v>
      </c>
      <c r="D5308">
        <v>4.3597739999999998</v>
      </c>
      <c r="E5308">
        <v>0.49398310000000001</v>
      </c>
      <c r="F5308" t="s">
        <v>74</v>
      </c>
      <c r="G5308">
        <v>-107.39749999999999</v>
      </c>
      <c r="H5308">
        <v>6.4697709999999997</v>
      </c>
      <c r="I5308">
        <v>218.20249999999999</v>
      </c>
      <c r="J5308">
        <v>-365.94589999999999</v>
      </c>
      <c r="K5308">
        <v>1.110309</v>
      </c>
      <c r="L5308">
        <v>214.18549999999999</v>
      </c>
      <c r="M5308">
        <v>0.99949619999999995</v>
      </c>
      <c r="N5308">
        <v>0</v>
      </c>
      <c r="O5308">
        <v>2.8201449999999999E-2</v>
      </c>
      <c r="P5308">
        <v>0.99973140000000005</v>
      </c>
      <c r="Q5308">
        <v>2.3126109999999998E-2</v>
      </c>
      <c r="R5308">
        <v>1.588391E-3</v>
      </c>
      <c r="S5308">
        <v>2.9992679999999998</v>
      </c>
      <c r="T5308">
        <v>6.2093019999999999E-2</v>
      </c>
      <c r="U5308">
        <v>4.6646119999999999E-2</v>
      </c>
      <c r="V5308">
        <v>2.661639E-2</v>
      </c>
      <c r="W5308">
        <v>3.7679169999999998E-2</v>
      </c>
      <c r="X5308">
        <v>0.99893529999999997</v>
      </c>
      <c r="Y5308">
        <v>1.264785E-2</v>
      </c>
      <c r="Z5308">
        <v>7.1462160000000002E-4</v>
      </c>
      <c r="AA5308">
        <v>0.99991980000000003</v>
      </c>
      <c r="AB5308">
        <v>34</v>
      </c>
      <c r="AC5308">
        <v>258.54840000000002</v>
      </c>
      <c r="AD5308">
        <v>5.3594619999999997</v>
      </c>
      <c r="AE5308">
        <v>4.0169999999999897</v>
      </c>
      <c r="AF5308">
        <v>3.27540386037247</v>
      </c>
      <c r="AG5308">
        <v>5.3594619999999997</v>
      </c>
      <c r="AH5308">
        <v>258.44781386664602</v>
      </c>
      <c r="AI5308">
        <v>88.812116472407496</v>
      </c>
      <c r="AJ5308">
        <v>89.273908460508494</v>
      </c>
      <c r="AK5308">
        <v>258.52412768603699</v>
      </c>
      <c r="AL5308">
        <v>87.840631304508705</v>
      </c>
      <c r="AM5308">
        <v>88.473728902026807</v>
      </c>
      <c r="AN5308">
        <v>0.99999994282730298</v>
      </c>
    </row>
    <row r="5309" spans="1:40" x14ac:dyDescent="0.25">
      <c r="A5309" t="str">
        <f>"20190312150758702"</f>
        <v>20190312150758702</v>
      </c>
      <c r="B5309" t="str">
        <f>"1552374478695170"</f>
        <v>1552374478695170</v>
      </c>
      <c r="C5309" t="s">
        <v>40</v>
      </c>
      <c r="D5309">
        <v>4.3639729999999997</v>
      </c>
      <c r="E5309">
        <v>0.49346449999999997</v>
      </c>
      <c r="F5309" t="s">
        <v>74</v>
      </c>
      <c r="G5309">
        <v>-107.39749999999999</v>
      </c>
      <c r="H5309">
        <v>6.2168869999999998</v>
      </c>
      <c r="I5309">
        <v>218.73259999999999</v>
      </c>
      <c r="J5309">
        <v>-365.59070000000003</v>
      </c>
      <c r="K5309">
        <v>1.1103099999999999</v>
      </c>
      <c r="L5309">
        <v>214.19550000000001</v>
      </c>
      <c r="M5309">
        <v>0.9994982</v>
      </c>
      <c r="N5309">
        <v>0</v>
      </c>
      <c r="O5309">
        <v>2.8131389999999999E-2</v>
      </c>
      <c r="P5309">
        <v>0.99973710000000005</v>
      </c>
      <c r="Q5309">
        <v>2.291089E-2</v>
      </c>
      <c r="R5309">
        <v>1.0954319999999999E-3</v>
      </c>
      <c r="S5309">
        <v>2.9993590000000001</v>
      </c>
      <c r="T5309">
        <v>5.924082E-2</v>
      </c>
      <c r="U5309">
        <v>5.2749629999999999E-2</v>
      </c>
      <c r="V5309">
        <v>2.7039179999999999E-2</v>
      </c>
      <c r="W5309">
        <v>3.7459970000000002E-2</v>
      </c>
      <c r="X5309">
        <v>0.99893220000000005</v>
      </c>
      <c r="Y5309">
        <v>1.0545199999999999E-2</v>
      </c>
      <c r="Z5309">
        <v>6.5962179999999896E-4</v>
      </c>
      <c r="AA5309">
        <v>0.99994419999999995</v>
      </c>
      <c r="AB5309">
        <v>34</v>
      </c>
      <c r="AC5309">
        <v>258.19319999999999</v>
      </c>
      <c r="AD5309">
        <v>5.1065769999999997</v>
      </c>
      <c r="AE5309">
        <v>4.5370999999999801</v>
      </c>
      <c r="AF5309">
        <v>2.7277328634452398</v>
      </c>
      <c r="AG5309">
        <v>5.1065769999999997</v>
      </c>
      <c r="AH5309">
        <v>258.11770492445697</v>
      </c>
      <c r="AI5309">
        <v>88.866676673526499</v>
      </c>
      <c r="AJ5309">
        <v>89.394532958587504</v>
      </c>
      <c r="AK5309">
        <v>258.18262383572602</v>
      </c>
      <c r="AL5309">
        <v>87.853199435737494</v>
      </c>
      <c r="AM5309">
        <v>88.449491669547896</v>
      </c>
      <c r="AN5309">
        <v>0.99999995340215497</v>
      </c>
    </row>
    <row r="5310" spans="1:40" x14ac:dyDescent="0.25">
      <c r="A5310" t="str">
        <f>"20190312150758725"</f>
        <v>20190312150758725</v>
      </c>
      <c r="B5310" t="str">
        <f>"1552374478715666"</f>
        <v>1552374478715666</v>
      </c>
      <c r="C5310" t="s">
        <v>40</v>
      </c>
      <c r="D5310">
        <v>4.3964449999999999</v>
      </c>
      <c r="E5310">
        <v>0.4929154</v>
      </c>
      <c r="F5310" t="s">
        <v>74</v>
      </c>
      <c r="G5310">
        <v>-107.39749999999999</v>
      </c>
      <c r="H5310">
        <v>6.1004820000000004</v>
      </c>
      <c r="I5310">
        <v>218.9622</v>
      </c>
      <c r="J5310">
        <v>-365.24779999999998</v>
      </c>
      <c r="K5310">
        <v>1.110312</v>
      </c>
      <c r="L5310">
        <v>214.20500000000001</v>
      </c>
      <c r="M5310">
        <v>0.99950000000000006</v>
      </c>
      <c r="N5310">
        <v>0</v>
      </c>
      <c r="O5310">
        <v>2.806378E-2</v>
      </c>
      <c r="P5310">
        <v>0.99973319999999999</v>
      </c>
      <c r="Q5310">
        <v>2.3098569999999999E-2</v>
      </c>
      <c r="R5310">
        <v>6.4711110000000005E-4</v>
      </c>
      <c r="S5310">
        <v>2.99939</v>
      </c>
      <c r="T5310">
        <v>5.7970639999999997E-2</v>
      </c>
      <c r="U5310">
        <v>5.5374149999999997E-2</v>
      </c>
      <c r="V5310">
        <v>2.74194E-2</v>
      </c>
      <c r="W5310">
        <v>3.7643419999999997E-2</v>
      </c>
      <c r="X5310">
        <v>0.998915</v>
      </c>
      <c r="Y5310">
        <v>9.6035570000000004E-3</v>
      </c>
      <c r="Z5310">
        <v>6.350641E-4</v>
      </c>
      <c r="AA5310">
        <v>0.99995369999999995</v>
      </c>
      <c r="AB5310">
        <v>34</v>
      </c>
      <c r="AC5310">
        <v>257.8503</v>
      </c>
      <c r="AD5310">
        <v>4.99017</v>
      </c>
      <c r="AE5310">
        <v>4.7571999999999797</v>
      </c>
      <c r="AF5310">
        <v>2.4807671577234198</v>
      </c>
      <c r="AG5310">
        <v>4.99017</v>
      </c>
      <c r="AH5310">
        <v>257.785721713751</v>
      </c>
      <c r="AI5310">
        <v>88.891068366523399</v>
      </c>
      <c r="AJ5310">
        <v>89.448638583847199</v>
      </c>
      <c r="AK5310">
        <v>257.84595075703498</v>
      </c>
      <c r="AL5310">
        <v>87.842681236323799</v>
      </c>
      <c r="AM5310">
        <v>88.427672514249096</v>
      </c>
      <c r="AN5310">
        <v>1.00000001389532</v>
      </c>
    </row>
    <row r="5311" spans="1:40" x14ac:dyDescent="0.25">
      <c r="A5311" t="str">
        <f>"20190312150758745"</f>
        <v>20190312150758745</v>
      </c>
      <c r="B5311" t="str">
        <f>"1552374478735189"</f>
        <v>1552374478735189</v>
      </c>
      <c r="C5311" t="s">
        <v>40</v>
      </c>
      <c r="D5311">
        <v>4.3297780000000001</v>
      </c>
      <c r="E5311">
        <v>0.49238520000000002</v>
      </c>
      <c r="F5311" t="s">
        <v>56</v>
      </c>
      <c r="G5311">
        <v>-123.7996</v>
      </c>
      <c r="H5311">
        <v>5.6962849999999996</v>
      </c>
      <c r="I5311">
        <v>218.89709999999999</v>
      </c>
      <c r="J5311">
        <v>-364.92649999999998</v>
      </c>
      <c r="K5311">
        <v>1.1103069999999999</v>
      </c>
      <c r="L5311">
        <v>214.214</v>
      </c>
      <c r="M5311">
        <v>0.99950209999999995</v>
      </c>
      <c r="N5311">
        <v>0</v>
      </c>
      <c r="O5311">
        <v>2.8000150000000001E-2</v>
      </c>
      <c r="P5311">
        <v>0.99973670000000003</v>
      </c>
      <c r="Q5311">
        <v>2.2957020000000002E-2</v>
      </c>
      <c r="R5311">
        <v>-3.1235090000000001E-4</v>
      </c>
      <c r="S5311">
        <v>2.9994809999999998</v>
      </c>
      <c r="T5311">
        <v>5.6971670000000002E-2</v>
      </c>
      <c r="U5311">
        <v>5.8288569999999998E-2</v>
      </c>
      <c r="V5311">
        <v>2.8315010000000002E-2</v>
      </c>
      <c r="W5311">
        <v>3.7498089999999998E-2</v>
      </c>
      <c r="X5311">
        <v>0.99889550000000005</v>
      </c>
      <c r="Y5311">
        <v>8.5696390000000004E-3</v>
      </c>
      <c r="Z5311">
        <v>6.1307059999999897E-4</v>
      </c>
      <c r="AA5311">
        <v>0.99996309999999999</v>
      </c>
      <c r="AB5311">
        <v>34</v>
      </c>
      <c r="AC5311">
        <v>241.12690000000001</v>
      </c>
      <c r="AD5311">
        <v>4.5859779999999999</v>
      </c>
      <c r="AE5311">
        <v>4.6830999999999596</v>
      </c>
      <c r="AF5311">
        <v>2.0702915702079401</v>
      </c>
      <c r="AG5311">
        <v>4.5859779999999999</v>
      </c>
      <c r="AH5311">
        <v>241.076310815097</v>
      </c>
      <c r="AI5311">
        <v>88.910237963377597</v>
      </c>
      <c r="AJ5311">
        <v>89.507973002129802</v>
      </c>
      <c r="AK5311">
        <v>241.12881399289401</v>
      </c>
      <c r="AL5311">
        <v>87.851013956548499</v>
      </c>
      <c r="AM5311">
        <v>88.376310377227</v>
      </c>
      <c r="AN5311">
        <v>1.00000003323259</v>
      </c>
    </row>
    <row r="5312" spans="1:40" x14ac:dyDescent="0.25">
      <c r="A5312" t="str">
        <f>"20190312150758768"</f>
        <v>20190312150758768</v>
      </c>
      <c r="B5312" t="str">
        <f>"1552374478765442"</f>
        <v>1552374478765442</v>
      </c>
      <c r="C5312" t="s">
        <v>40</v>
      </c>
      <c r="D5312">
        <v>4.3321860000000001</v>
      </c>
      <c r="E5312">
        <v>0.49159399999999998</v>
      </c>
      <c r="F5312" t="s">
        <v>56</v>
      </c>
      <c r="G5312">
        <v>-124.6118</v>
      </c>
      <c r="H5312">
        <v>5.5175979999999996</v>
      </c>
      <c r="I5312">
        <v>218.99639999999999</v>
      </c>
      <c r="J5312">
        <v>-364.59530000000001</v>
      </c>
      <c r="K5312">
        <v>1.110304</v>
      </c>
      <c r="L5312">
        <v>214.22319999999999</v>
      </c>
      <c r="M5312">
        <v>0.9995039</v>
      </c>
      <c r="N5312">
        <v>0</v>
      </c>
      <c r="O5312">
        <v>2.793503E-2</v>
      </c>
      <c r="P5312">
        <v>0.99974569999999996</v>
      </c>
      <c r="Q5312">
        <v>2.252411E-2</v>
      </c>
      <c r="R5312">
        <v>-1.2118369999999999E-3</v>
      </c>
      <c r="S5312">
        <v>2.9995419999999999</v>
      </c>
      <c r="T5312">
        <v>5.5011270000000001E-2</v>
      </c>
      <c r="U5312">
        <v>5.9692380000000003E-2</v>
      </c>
      <c r="V5312">
        <v>2.91493E-2</v>
      </c>
      <c r="W5312">
        <v>3.7061139999999999E-2</v>
      </c>
      <c r="X5312">
        <v>0.99888779999999999</v>
      </c>
      <c r="Y5312">
        <v>8.0376270000000003E-3</v>
      </c>
      <c r="Z5312">
        <v>5.8589160000000005E-4</v>
      </c>
      <c r="AA5312">
        <v>0.99996750000000001</v>
      </c>
      <c r="AB5312">
        <v>34</v>
      </c>
      <c r="AC5312">
        <v>239.98349999999999</v>
      </c>
      <c r="AD5312">
        <v>4.4072940000000003</v>
      </c>
      <c r="AE5312">
        <v>4.7732000000000001</v>
      </c>
      <c r="AF5312">
        <v>1.9326672225970101</v>
      </c>
      <c r="AG5312">
        <v>4.4072940000000003</v>
      </c>
      <c r="AH5312">
        <v>239.942284027418</v>
      </c>
      <c r="AI5312">
        <v>88.947735433053296</v>
      </c>
      <c r="AJ5312">
        <v>89.538508684051195</v>
      </c>
      <c r="AK5312">
        <v>239.99053962039801</v>
      </c>
      <c r="AL5312">
        <v>87.8760667407239</v>
      </c>
      <c r="AM5312">
        <v>88.328482911632904</v>
      </c>
      <c r="AN5312">
        <v>1.0000000233887101</v>
      </c>
    </row>
    <row r="5313" spans="1:40" x14ac:dyDescent="0.25">
      <c r="A5313" t="str">
        <f>"20190312150758790"</f>
        <v>20190312150758790</v>
      </c>
      <c r="B5313" t="str">
        <f>"1552374478784962"</f>
        <v>1552374478784962</v>
      </c>
      <c r="C5313" t="s">
        <v>40</v>
      </c>
      <c r="D5313">
        <v>4.3884049999999997</v>
      </c>
      <c r="E5313">
        <v>0.49118840000000002</v>
      </c>
      <c r="F5313" t="s">
        <v>56</v>
      </c>
      <c r="G5313">
        <v>-141.2441</v>
      </c>
      <c r="H5313">
        <v>4.9519820000000001</v>
      </c>
      <c r="I5313">
        <v>218.9462</v>
      </c>
      <c r="J5313">
        <v>-364.2602</v>
      </c>
      <c r="K5313">
        <v>1.1103080000000001</v>
      </c>
      <c r="L5313">
        <v>214.23249999999999</v>
      </c>
      <c r="M5313">
        <v>0.99950570000000005</v>
      </c>
      <c r="N5313">
        <v>0</v>
      </c>
      <c r="O5313">
        <v>2.7868250000000001E-2</v>
      </c>
      <c r="P5313">
        <v>0.99974870000000005</v>
      </c>
      <c r="Q5313">
        <v>2.2318910000000001E-2</v>
      </c>
      <c r="R5313">
        <v>-2.0988119999999998E-3</v>
      </c>
      <c r="S5313">
        <v>2.9996640000000001</v>
      </c>
      <c r="T5313">
        <v>5.1595450000000001E-2</v>
      </c>
      <c r="U5313">
        <v>6.3430790000000001E-2</v>
      </c>
      <c r="V5313">
        <v>2.9969180000000002E-2</v>
      </c>
      <c r="W5313">
        <v>3.6851950000000001E-2</v>
      </c>
      <c r="X5313">
        <v>0.99887130000000002</v>
      </c>
      <c r="Y5313">
        <v>6.726831E-3</v>
      </c>
      <c r="Z5313">
        <v>5.3706649999999995E-4</v>
      </c>
      <c r="AA5313">
        <v>0.99997720000000001</v>
      </c>
      <c r="AB5313">
        <v>34</v>
      </c>
      <c r="AC5313">
        <v>223.01609999999999</v>
      </c>
      <c r="AD5313">
        <v>3.8416739999999998</v>
      </c>
      <c r="AE5313">
        <v>4.71370000000001</v>
      </c>
      <c r="AF5313">
        <v>1.5034116992867701</v>
      </c>
      <c r="AG5313">
        <v>3.8416739999999998</v>
      </c>
      <c r="AH5313">
        <v>222.994699015263</v>
      </c>
      <c r="AI5313">
        <v>89.013048584714795</v>
      </c>
      <c r="AJ5313">
        <v>89.613722476144801</v>
      </c>
      <c r="AK5313">
        <v>223.03285519126501</v>
      </c>
      <c r="AL5313">
        <v>87.888060685633704</v>
      </c>
      <c r="AM5313">
        <v>88.281467721860807</v>
      </c>
      <c r="AN5313">
        <v>1.00000004596618</v>
      </c>
    </row>
    <row r="5314" spans="1:40" x14ac:dyDescent="0.25">
      <c r="A5314" t="str">
        <f>"20190312150758813"</f>
        <v>20190312150758813</v>
      </c>
      <c r="B5314" t="str">
        <f>"1552374478805461"</f>
        <v>1552374478805461</v>
      </c>
      <c r="C5314" t="s">
        <v>40</v>
      </c>
      <c r="D5314">
        <v>4.3108370000000003</v>
      </c>
      <c r="E5314">
        <v>0.49076690000000001</v>
      </c>
      <c r="F5314" t="s">
        <v>56</v>
      </c>
      <c r="G5314">
        <v>-141.2441</v>
      </c>
      <c r="H5314">
        <v>4.7702249999999999</v>
      </c>
      <c r="I5314">
        <v>218.99019999999999</v>
      </c>
      <c r="J5314">
        <v>-363.91629999999998</v>
      </c>
      <c r="K5314">
        <v>1.1103130000000001</v>
      </c>
      <c r="L5314">
        <v>214.24209999999999</v>
      </c>
      <c r="M5314">
        <v>0.9995077</v>
      </c>
      <c r="N5314">
        <v>0</v>
      </c>
      <c r="O5314">
        <v>2.7798590000000001E-2</v>
      </c>
      <c r="P5314">
        <v>0.99974540000000001</v>
      </c>
      <c r="Q5314">
        <v>2.234825E-2</v>
      </c>
      <c r="R5314">
        <v>-3.1603180000000001E-3</v>
      </c>
      <c r="S5314">
        <v>2.9997859999999998</v>
      </c>
      <c r="T5314">
        <v>4.9230219999999998E-2</v>
      </c>
      <c r="U5314">
        <v>6.3995360000000001E-2</v>
      </c>
      <c r="V5314">
        <v>3.096059E-2</v>
      </c>
      <c r="W5314">
        <v>3.6877199999999999E-2</v>
      </c>
      <c r="X5314">
        <v>0.99884010000000001</v>
      </c>
      <c r="Y5314">
        <v>6.4703859999999998E-3</v>
      </c>
      <c r="Z5314">
        <v>5.0918109999999997E-4</v>
      </c>
      <c r="AA5314">
        <v>0.99997899999999995</v>
      </c>
      <c r="AB5314">
        <v>34</v>
      </c>
      <c r="AC5314">
        <v>222.6722</v>
      </c>
      <c r="AD5314">
        <v>3.6599119999999998</v>
      </c>
      <c r="AE5314">
        <v>4.7480999999999902</v>
      </c>
      <c r="AF5314">
        <v>1.4439735846555499</v>
      </c>
      <c r="AG5314">
        <v>3.6599119999999998</v>
      </c>
      <c r="AH5314">
        <v>222.65800902337099</v>
      </c>
      <c r="AI5314">
        <v>89.058312697646699</v>
      </c>
      <c r="AJ5314">
        <v>89.628432713156997</v>
      </c>
      <c r="AK5314">
        <v>222.69276817582701</v>
      </c>
      <c r="AL5314">
        <v>87.886612919208304</v>
      </c>
      <c r="AM5314">
        <v>88.224597361100507</v>
      </c>
      <c r="AN5314">
        <v>1.00000001569049</v>
      </c>
    </row>
    <row r="5315" spans="1:40" x14ac:dyDescent="0.25">
      <c r="A5315" t="str">
        <f>"20190312150758835"</f>
        <v>20190312150758835</v>
      </c>
      <c r="B5315" t="str">
        <f>"1552374478824981"</f>
        <v>1552374478824981</v>
      </c>
      <c r="C5315" t="s">
        <v>40</v>
      </c>
      <c r="D5315">
        <v>4.854965</v>
      </c>
      <c r="E5315">
        <v>0.49050969999999999</v>
      </c>
      <c r="F5315" t="s">
        <v>56</v>
      </c>
      <c r="G5315">
        <v>-141.2441</v>
      </c>
      <c r="H5315">
        <v>4.7552899999999996</v>
      </c>
      <c r="I5315">
        <v>218.99799999999999</v>
      </c>
      <c r="J5315">
        <v>-363.5908</v>
      </c>
      <c r="K5315">
        <v>1.110317</v>
      </c>
      <c r="L5315">
        <v>214.251</v>
      </c>
      <c r="M5315">
        <v>0.9995098</v>
      </c>
      <c r="N5315">
        <v>0</v>
      </c>
      <c r="O5315">
        <v>2.772927E-2</v>
      </c>
      <c r="P5315">
        <v>0.99972430000000001</v>
      </c>
      <c r="Q5315">
        <v>2.3177799999999998E-2</v>
      </c>
      <c r="R5315">
        <v>-3.7909290000000002E-3</v>
      </c>
      <c r="S5315">
        <v>2.9998469999999999</v>
      </c>
      <c r="T5315">
        <v>4.9105999999999997E-2</v>
      </c>
      <c r="U5315">
        <v>6.4071660000000002E-2</v>
      </c>
      <c r="V5315">
        <v>3.1521479999999998E-2</v>
      </c>
      <c r="W5315">
        <v>3.7702029999999997E-2</v>
      </c>
      <c r="X5315">
        <v>0.99879180000000001</v>
      </c>
      <c r="Y5315">
        <v>6.3760869999999999E-3</v>
      </c>
      <c r="Z5315">
        <v>5.0597999999999995E-4</v>
      </c>
      <c r="AA5315">
        <v>0.99997959999999997</v>
      </c>
      <c r="AB5315">
        <v>33</v>
      </c>
      <c r="AC5315">
        <v>222.3467</v>
      </c>
      <c r="AD5315">
        <v>3.6449729999999998</v>
      </c>
      <c r="AE5315">
        <v>4.7470000000000097</v>
      </c>
      <c r="AF5315">
        <v>1.42060715965811</v>
      </c>
      <c r="AG5315">
        <v>3.6449729999999998</v>
      </c>
      <c r="AH5315">
        <v>222.33310579243201</v>
      </c>
      <c r="AI5315">
        <v>89.060784943931793</v>
      </c>
      <c r="AJ5315">
        <v>89.633911078381701</v>
      </c>
      <c r="AK5315">
        <v>222.36751984986799</v>
      </c>
      <c r="AL5315">
        <v>87.839320830313198</v>
      </c>
      <c r="AM5315">
        <v>88.192367505616104</v>
      </c>
      <c r="AN5315">
        <v>1.0000000532573701</v>
      </c>
    </row>
    <row r="5316" spans="1:40" x14ac:dyDescent="0.25">
      <c r="A5316" t="str">
        <f>"20190312150758857"</f>
        <v>20190312150758857</v>
      </c>
      <c r="B5316" t="str">
        <f>"1552374478845474"</f>
        <v>1552374478845474</v>
      </c>
      <c r="C5316" t="s">
        <v>40</v>
      </c>
      <c r="D5316">
        <v>4.4342870000000003</v>
      </c>
      <c r="E5316">
        <v>0.50978049999999997</v>
      </c>
      <c r="F5316" t="s">
        <v>56</v>
      </c>
      <c r="G5316">
        <v>-141.2441</v>
      </c>
      <c r="H5316">
        <v>4.8116890000000003</v>
      </c>
      <c r="I5316">
        <v>219.01910000000001</v>
      </c>
      <c r="J5316">
        <v>-363.26389999999998</v>
      </c>
      <c r="K5316">
        <v>1.1103160000000001</v>
      </c>
      <c r="L5316">
        <v>214.26</v>
      </c>
      <c r="M5316">
        <v>0.99951179999999995</v>
      </c>
      <c r="N5316">
        <v>0</v>
      </c>
      <c r="O5316">
        <v>2.7655280000000001E-2</v>
      </c>
      <c r="P5316">
        <v>0.9997064</v>
      </c>
      <c r="Q5316">
        <v>2.379028E-2</v>
      </c>
      <c r="R5316">
        <v>-4.5966549999999998E-3</v>
      </c>
      <c r="S5316">
        <v>2.9998779999999998</v>
      </c>
      <c r="T5316">
        <v>4.9939270000000001E-2</v>
      </c>
      <c r="U5316">
        <v>6.4331050000000001E-2</v>
      </c>
      <c r="V5316">
        <v>3.2252879999999998E-2</v>
      </c>
      <c r="W5316">
        <v>3.8310039999999997E-2</v>
      </c>
      <c r="X5316">
        <v>0.99874529999999995</v>
      </c>
      <c r="Y5316">
        <v>6.2157280000000002E-3</v>
      </c>
      <c r="Z5316">
        <v>5.1199329999999997E-4</v>
      </c>
      <c r="AA5316">
        <v>0.9999806</v>
      </c>
      <c r="AB5316">
        <v>33</v>
      </c>
      <c r="AC5316">
        <v>222.0198</v>
      </c>
      <c r="AD5316">
        <v>3.7013729999999998</v>
      </c>
      <c r="AE5316">
        <v>4.7591000000000099</v>
      </c>
      <c r="AF5316">
        <v>1.38300511443297</v>
      </c>
      <c r="AG5316">
        <v>3.7013729999999998</v>
      </c>
      <c r="AH5316">
        <v>222.00481754074099</v>
      </c>
      <c r="AI5316">
        <v>89.044843742600307</v>
      </c>
      <c r="AJ5316">
        <v>89.643073821789798</v>
      </c>
      <c r="AK5316">
        <v>222.03997810423499</v>
      </c>
      <c r="AL5316">
        <v>87.804459210317006</v>
      </c>
      <c r="AM5316">
        <v>88.150367351064304</v>
      </c>
      <c r="AN5316">
        <v>1.00000004085259</v>
      </c>
    </row>
    <row r="5317" spans="1:40" x14ac:dyDescent="0.25">
      <c r="A5317" t="str">
        <f>"20190312150758869"</f>
        <v>20190312150758869</v>
      </c>
      <c r="B5317" t="str">
        <f>"1552374478864995"</f>
        <v>1552374478864995</v>
      </c>
      <c r="C5317" t="s">
        <v>40</v>
      </c>
      <c r="D5317">
        <v>4.4254680000000004</v>
      </c>
      <c r="E5317">
        <v>0.51128549999999995</v>
      </c>
      <c r="F5317" t="s">
        <v>57</v>
      </c>
      <c r="G5317">
        <v>-169.39279999999999</v>
      </c>
      <c r="H5317">
        <v>0.84224699999999997</v>
      </c>
      <c r="I5317">
        <v>208.3219</v>
      </c>
      <c r="J5317">
        <v>-363.07780000000002</v>
      </c>
      <c r="K5317">
        <v>1.1103149999999999</v>
      </c>
      <c r="L5317">
        <v>214.26509999999999</v>
      </c>
      <c r="M5317">
        <v>0.99951319999999999</v>
      </c>
      <c r="N5317">
        <v>0</v>
      </c>
      <c r="O5317">
        <v>2.7610909999999999E-2</v>
      </c>
      <c r="P5317">
        <v>0.99970440000000005</v>
      </c>
      <c r="Q5317">
        <v>2.3800689999999999E-2</v>
      </c>
      <c r="R5317">
        <v>-4.9699890000000002E-3</v>
      </c>
      <c r="S5317">
        <v>3.0005489999999999</v>
      </c>
      <c r="T5317">
        <v>-4.1483639999999999E-3</v>
      </c>
      <c r="U5317">
        <v>-9.1903689999999996E-2</v>
      </c>
      <c r="V5317">
        <v>3.2581909999999999E-2</v>
      </c>
      <c r="W5317">
        <v>3.8317669999999998E-2</v>
      </c>
      <c r="X5317">
        <v>0.99873429999999996</v>
      </c>
      <c r="Y5317">
        <v>5.8203730000000002E-2</v>
      </c>
      <c r="Z5317" s="1">
        <v>-7.8393389999999898E-5</v>
      </c>
      <c r="AA5317">
        <v>0.99830469999999905</v>
      </c>
      <c r="AB5317">
        <v>33</v>
      </c>
      <c r="AC5317">
        <v>193.685</v>
      </c>
      <c r="AD5317">
        <v>-0.26806799999999997</v>
      </c>
      <c r="AE5317">
        <v>-5.9431999999999903</v>
      </c>
      <c r="AF5317">
        <v>11.289295438089701</v>
      </c>
      <c r="AG5317">
        <v>-0.26806799999999997</v>
      </c>
      <c r="AH5317">
        <v>193.446656572965</v>
      </c>
      <c r="AI5317">
        <v>90.079262508256903</v>
      </c>
      <c r="AJ5317">
        <v>86.660080972122103</v>
      </c>
      <c r="AK5317">
        <v>193.77597630046901</v>
      </c>
      <c r="AL5317">
        <v>87.804021661877997</v>
      </c>
      <c r="AM5317">
        <v>88.131490937903806</v>
      </c>
      <c r="AN5317">
        <v>1.00000001334498</v>
      </c>
    </row>
    <row r="5318" spans="1:40" x14ac:dyDescent="0.25">
      <c r="A5318" t="str">
        <f>"20190312150758881"</f>
        <v>20190312150758881</v>
      </c>
      <c r="B5318" t="str">
        <f>"1552374478875730"</f>
        <v>1552374478875730</v>
      </c>
      <c r="C5318" t="s">
        <v>40</v>
      </c>
      <c r="D5318">
        <v>4.3577779999999997</v>
      </c>
      <c r="E5318">
        <v>0.51243229999999995</v>
      </c>
      <c r="F5318" t="s">
        <v>67</v>
      </c>
      <c r="G5318">
        <v>-245.1079</v>
      </c>
      <c r="H5318" s="1">
        <v>1.3775689999999999E-6</v>
      </c>
      <c r="I5318">
        <v>210.12819999999999</v>
      </c>
      <c r="J5318">
        <v>-362.89150000000001</v>
      </c>
      <c r="K5318">
        <v>1.1103160000000001</v>
      </c>
      <c r="L5318">
        <v>214.27019999999999</v>
      </c>
      <c r="M5318">
        <v>0.99951440000000003</v>
      </c>
      <c r="N5318">
        <v>0</v>
      </c>
      <c r="O5318">
        <v>2.756517E-2</v>
      </c>
      <c r="P5318">
        <v>0.99970970000000003</v>
      </c>
      <c r="Q5318">
        <v>2.3543689999999999E-2</v>
      </c>
      <c r="R5318">
        <v>-5.1431439999999997E-3</v>
      </c>
      <c r="S5318">
        <v>3.0010680000000001</v>
      </c>
      <c r="T5318">
        <v>-2.8245570000000001E-2</v>
      </c>
      <c r="U5318">
        <v>-0.105239899999999</v>
      </c>
      <c r="V5318">
        <v>3.2709439999999999E-2</v>
      </c>
      <c r="W5318">
        <v>3.8058450000000001E-2</v>
      </c>
      <c r="X5318">
        <v>0.99873999999999996</v>
      </c>
      <c r="Y5318">
        <v>6.2579770000000007E-2</v>
      </c>
      <c r="Z5318">
        <v>-5.5378610000000005E-4</v>
      </c>
      <c r="AA5318">
        <v>0.99803980000000003</v>
      </c>
      <c r="AB5318">
        <v>33</v>
      </c>
      <c r="AC5318">
        <v>117.78360000000001</v>
      </c>
      <c r="AD5318">
        <v>-1.1103146224310001</v>
      </c>
      <c r="AE5318">
        <v>-4.1419999999999897</v>
      </c>
      <c r="AF5318">
        <v>7.3868378795824299</v>
      </c>
      <c r="AG5318">
        <v>-1.1103146224310001</v>
      </c>
      <c r="AH5318">
        <v>117.614208113586</v>
      </c>
      <c r="AI5318">
        <v>90.539810327766503</v>
      </c>
      <c r="AJ5318">
        <v>86.4062211155222</v>
      </c>
      <c r="AK5318">
        <v>117.851177858374</v>
      </c>
      <c r="AL5318">
        <v>87.818884621401196</v>
      </c>
      <c r="AM5318">
        <v>88.124193253640101</v>
      </c>
      <c r="AN5318">
        <v>0.99999997034075705</v>
      </c>
    </row>
    <row r="5319" spans="1:40" x14ac:dyDescent="0.25">
      <c r="A5319" t="str">
        <f>"20190312150758904"</f>
        <v>20190312150758904</v>
      </c>
      <c r="B5319" t="str">
        <f>"1552374478895253"</f>
        <v>1552374478895253</v>
      </c>
      <c r="C5319" t="s">
        <v>40</v>
      </c>
      <c r="D5319">
        <v>4.3673789999999997</v>
      </c>
      <c r="E5319">
        <v>0.51367589999999996</v>
      </c>
      <c r="F5319" t="s">
        <v>67</v>
      </c>
      <c r="G5319">
        <v>-253.33789999999999</v>
      </c>
      <c r="H5319" s="1">
        <v>4.3814500000000001E-7</v>
      </c>
      <c r="I5319">
        <v>210.07069999999999</v>
      </c>
      <c r="J5319">
        <v>-362.57859999999999</v>
      </c>
      <c r="K5319">
        <v>1.1103130000000001</v>
      </c>
      <c r="L5319">
        <v>214.27879999999999</v>
      </c>
      <c r="M5319">
        <v>0.99951670000000004</v>
      </c>
      <c r="N5319">
        <v>0</v>
      </c>
      <c r="O5319">
        <v>2.748329E-2</v>
      </c>
      <c r="P5319">
        <v>0.99970550000000002</v>
      </c>
      <c r="Q5319">
        <v>2.3341569999999999E-2</v>
      </c>
      <c r="R5319">
        <v>-6.6421249999999996E-3</v>
      </c>
      <c r="S5319">
        <v>3.0009769999999998</v>
      </c>
      <c r="T5319">
        <v>-3.041458E-2</v>
      </c>
      <c r="U5319">
        <v>-0.115036</v>
      </c>
      <c r="V5319">
        <v>3.412631E-2</v>
      </c>
      <c r="W5319">
        <v>3.7852129999999998E-2</v>
      </c>
      <c r="X5319">
        <v>0.99870040000000004</v>
      </c>
      <c r="Y5319">
        <v>6.5751500000000004E-2</v>
      </c>
      <c r="Z5319">
        <v>-6.1153209999999995E-4</v>
      </c>
      <c r="AA5319">
        <v>0.99783580000000005</v>
      </c>
      <c r="AB5319">
        <v>33</v>
      </c>
      <c r="AC5319">
        <v>109.2407</v>
      </c>
      <c r="AD5319">
        <v>-1.1103125618549901</v>
      </c>
      <c r="AE5319">
        <v>-4.2081</v>
      </c>
      <c r="AF5319">
        <v>7.2083772339873304</v>
      </c>
      <c r="AG5319">
        <v>-1.1103125618549901</v>
      </c>
      <c r="AH5319">
        <v>109.072511354719</v>
      </c>
      <c r="AI5319">
        <v>90.581957523886899</v>
      </c>
      <c r="AJ5319">
        <v>86.218938490308304</v>
      </c>
      <c r="AK5319">
        <v>109.316084038708</v>
      </c>
      <c r="AL5319">
        <v>87.8307143427932</v>
      </c>
      <c r="AM5319">
        <v>88.042923542365401</v>
      </c>
      <c r="AN5319">
        <v>0.99999993886995397</v>
      </c>
    </row>
    <row r="5320" spans="1:40" x14ac:dyDescent="0.25">
      <c r="A5320" t="str">
        <f>"20190312150758926"</f>
        <v>20190312150758926</v>
      </c>
      <c r="B5320" t="str">
        <f>"1552374478915746"</f>
        <v>1552374478915746</v>
      </c>
      <c r="C5320" t="s">
        <v>40</v>
      </c>
      <c r="D5320">
        <v>4.3304780000000003</v>
      </c>
      <c r="E5320">
        <v>0.51404510000000003</v>
      </c>
      <c r="F5320" t="s">
        <v>67</v>
      </c>
      <c r="G5320">
        <v>-271.7371</v>
      </c>
      <c r="H5320" s="1">
        <v>-4.2630349999999999E-7</v>
      </c>
      <c r="I5320">
        <v>210.3595</v>
      </c>
      <c r="J5320">
        <v>-362.24189999999999</v>
      </c>
      <c r="K5320">
        <v>1.1103130000000001</v>
      </c>
      <c r="L5320">
        <v>214.28790000000001</v>
      </c>
      <c r="M5320">
        <v>0.9995193</v>
      </c>
      <c r="N5320">
        <v>0</v>
      </c>
      <c r="O5320">
        <v>2.738865E-2</v>
      </c>
      <c r="P5320">
        <v>0.99969039999999998</v>
      </c>
      <c r="Q5320">
        <v>2.3517380000000001E-2</v>
      </c>
      <c r="R5320">
        <v>-8.1363019999999998E-3</v>
      </c>
      <c r="S5320">
        <v>3.0008849999999998</v>
      </c>
      <c r="T5320">
        <v>-3.6678429999999998E-2</v>
      </c>
      <c r="U5320">
        <v>-0.1294708</v>
      </c>
      <c r="V5320">
        <v>3.5525399999999999E-2</v>
      </c>
      <c r="W5320">
        <v>3.8022239999999999E-2</v>
      </c>
      <c r="X5320">
        <v>0.99864520000000001</v>
      </c>
      <c r="Y5320">
        <v>7.0446709999999996E-2</v>
      </c>
      <c r="Z5320">
        <v>-7.6494649999999905E-4</v>
      </c>
      <c r="AA5320">
        <v>0.99751529999999999</v>
      </c>
      <c r="AB5320">
        <v>33</v>
      </c>
      <c r="AC5320">
        <v>90.504800000000003</v>
      </c>
      <c r="AD5320">
        <v>-1.1103134263034999</v>
      </c>
      <c r="AE5320">
        <v>-3.9284000000000101</v>
      </c>
      <c r="AF5320">
        <v>6.4050297053881504</v>
      </c>
      <c r="AG5320">
        <v>-1.1103134263034999</v>
      </c>
      <c r="AH5320">
        <v>90.349663572853899</v>
      </c>
      <c r="AI5320">
        <v>90.702314066586894</v>
      </c>
      <c r="AJ5320">
        <v>85.944995988699006</v>
      </c>
      <c r="AK5320">
        <v>90.583215383201207</v>
      </c>
      <c r="AL5320">
        <v>87.8209608475171</v>
      </c>
      <c r="AM5320">
        <v>87.962642260733304</v>
      </c>
      <c r="AN5320">
        <v>0.99999999013140795</v>
      </c>
    </row>
    <row r="5321" spans="1:40" x14ac:dyDescent="0.25">
      <c r="A5321" t="str">
        <f>"20190312150758946"</f>
        <v>20190312150758946</v>
      </c>
      <c r="B5321" t="str">
        <f>"1552374478935266"</f>
        <v>1552374478935266</v>
      </c>
      <c r="C5321" t="s">
        <v>40</v>
      </c>
      <c r="D5321">
        <v>4.3665250000000002</v>
      </c>
      <c r="E5321">
        <v>0.51419199999999998</v>
      </c>
      <c r="F5321" t="s">
        <v>67</v>
      </c>
      <c r="G5321">
        <v>-226.39150000000001</v>
      </c>
      <c r="H5321">
        <v>8.0001340000000004E-2</v>
      </c>
      <c r="I5321">
        <v>208.1003</v>
      </c>
      <c r="J5321">
        <v>-361.92619999999999</v>
      </c>
      <c r="K5321">
        <v>1.1103130000000001</v>
      </c>
      <c r="L5321">
        <v>214.29650000000001</v>
      </c>
      <c r="M5321">
        <v>0.99952189999999996</v>
      </c>
      <c r="N5321">
        <v>0</v>
      </c>
      <c r="O5321">
        <v>2.729521E-2</v>
      </c>
      <c r="P5321">
        <v>0.99966310000000003</v>
      </c>
      <c r="Q5321">
        <v>2.4094540000000001E-2</v>
      </c>
      <c r="R5321">
        <v>-9.6814640000000007E-3</v>
      </c>
      <c r="S5321">
        <v>3.0003359999999999</v>
      </c>
      <c r="T5321">
        <v>-2.2755029999999999E-2</v>
      </c>
      <c r="U5321">
        <v>-0.13665769999999999</v>
      </c>
      <c r="V5321">
        <v>3.6975920000000002E-2</v>
      </c>
      <c r="W5321">
        <v>3.8594499999999997E-2</v>
      </c>
      <c r="X5321">
        <v>0.99857059999999997</v>
      </c>
      <c r="Y5321">
        <v>7.2750270000000006E-2</v>
      </c>
      <c r="Z5321">
        <v>-4.8266360000000003E-4</v>
      </c>
      <c r="AA5321">
        <v>0.99735010000000002</v>
      </c>
      <c r="AB5321">
        <v>33</v>
      </c>
      <c r="AC5321">
        <v>135.53469999999999</v>
      </c>
      <c r="AD5321">
        <v>-1.03031166</v>
      </c>
      <c r="AE5321">
        <v>-6.1962000000000002</v>
      </c>
      <c r="AF5321">
        <v>9.8931587451359295</v>
      </c>
      <c r="AG5321">
        <v>-1.03031166</v>
      </c>
      <c r="AH5321">
        <v>135.30724410753001</v>
      </c>
      <c r="AI5321">
        <v>90.435115020165895</v>
      </c>
      <c r="AJ5321">
        <v>85.818188642349298</v>
      </c>
      <c r="AK5321">
        <v>135.67234957812099</v>
      </c>
      <c r="AL5321">
        <v>87.7881486975012</v>
      </c>
      <c r="AM5321">
        <v>87.879372098681301</v>
      </c>
      <c r="AN5321">
        <v>0.99999999863722799</v>
      </c>
    </row>
    <row r="5322" spans="1:40" x14ac:dyDescent="0.25">
      <c r="A5322" t="str">
        <f>"20190312150758969"</f>
        <v>20190312150758969</v>
      </c>
      <c r="B5322" t="str">
        <f>"1552374478965522"</f>
        <v>1552374478965522</v>
      </c>
      <c r="C5322" t="s">
        <v>40</v>
      </c>
      <c r="D5322">
        <v>4.3489199999999997</v>
      </c>
      <c r="E5322">
        <v>0.51474449999999905</v>
      </c>
      <c r="F5322" t="s">
        <v>46</v>
      </c>
      <c r="G5322">
        <v>-177.8013</v>
      </c>
      <c r="H5322">
        <v>0.39470460000000002</v>
      </c>
      <c r="I5322">
        <v>205.54839999999999</v>
      </c>
      <c r="J5322">
        <v>-361.60219999999998</v>
      </c>
      <c r="K5322">
        <v>1.1103160000000001</v>
      </c>
      <c r="L5322">
        <v>214.30520000000001</v>
      </c>
      <c r="M5322">
        <v>0.99952470000000004</v>
      </c>
      <c r="N5322">
        <v>0</v>
      </c>
      <c r="O5322">
        <v>2.719504E-2</v>
      </c>
      <c r="P5322">
        <v>0.99961310000000003</v>
      </c>
      <c r="Q5322">
        <v>2.5162159999999999E-2</v>
      </c>
      <c r="R5322">
        <v>-1.184756E-2</v>
      </c>
      <c r="S5322">
        <v>2.9999389999999999</v>
      </c>
      <c r="T5322">
        <v>-1.165938E-2</v>
      </c>
      <c r="U5322">
        <v>-0.142532299999999</v>
      </c>
      <c r="V5322">
        <v>3.904067E-2</v>
      </c>
      <c r="W5322">
        <v>3.9656549999999999E-2</v>
      </c>
      <c r="X5322">
        <v>0.99845039999999996</v>
      </c>
      <c r="Y5322">
        <v>7.4607160000000006E-2</v>
      </c>
      <c r="Z5322">
        <v>-2.5055269999999999E-4</v>
      </c>
      <c r="AA5322">
        <v>0.99721289999999996</v>
      </c>
      <c r="AB5322">
        <v>33</v>
      </c>
      <c r="AC5322">
        <v>183.80090000000001</v>
      </c>
      <c r="AD5322">
        <v>-0.71561140000000001</v>
      </c>
      <c r="AE5322">
        <v>-8.7568000000000197</v>
      </c>
      <c r="AF5322">
        <v>13.752352349139199</v>
      </c>
      <c r="AG5322">
        <v>-0.71561140000000001</v>
      </c>
      <c r="AH5322">
        <v>183.491964444763</v>
      </c>
      <c r="AI5322">
        <v>90.222825195748698</v>
      </c>
      <c r="AJ5322">
        <v>85.713810454298795</v>
      </c>
      <c r="AK5322">
        <v>184.00798980101101</v>
      </c>
      <c r="AL5322">
        <v>87.727251105395993</v>
      </c>
      <c r="AM5322">
        <v>87.760803463784697</v>
      </c>
      <c r="AN5322">
        <v>1.0000000085660501</v>
      </c>
    </row>
    <row r="5323" spans="1:40" x14ac:dyDescent="0.25">
      <c r="A5323" t="str">
        <f>"20190312150758992"</f>
        <v>20190312150758992</v>
      </c>
      <c r="B5323" t="str">
        <f>"1552374478985042"</f>
        <v>1552374478985042</v>
      </c>
      <c r="C5323" t="s">
        <v>40</v>
      </c>
      <c r="D5323">
        <v>4.3731210000000003</v>
      </c>
      <c r="E5323">
        <v>0.51495299999999999</v>
      </c>
      <c r="F5323" t="s">
        <v>57</v>
      </c>
      <c r="G5323">
        <v>-168.41139999999999</v>
      </c>
      <c r="H5323">
        <v>0.65069200000000005</v>
      </c>
      <c r="I5323">
        <v>204.40950000000001</v>
      </c>
      <c r="J5323">
        <v>-361.25549999999998</v>
      </c>
      <c r="K5323">
        <v>1.1103179999999999</v>
      </c>
      <c r="L5323">
        <v>214.31450000000001</v>
      </c>
      <c r="M5323">
        <v>0.99952779999999997</v>
      </c>
      <c r="N5323">
        <v>0</v>
      </c>
      <c r="O5323">
        <v>2.70853E-2</v>
      </c>
      <c r="P5323">
        <v>0.99955839999999996</v>
      </c>
      <c r="Q5323">
        <v>2.586749E-2</v>
      </c>
      <c r="R5323">
        <v>-1.4626210000000001E-2</v>
      </c>
      <c r="S5323">
        <v>2.9994809999999998</v>
      </c>
      <c r="T5323">
        <v>-7.1356299999999996E-3</v>
      </c>
      <c r="U5323">
        <v>-0.15364069999999999</v>
      </c>
      <c r="V5323">
        <v>4.170749E-2</v>
      </c>
      <c r="W5323">
        <v>4.035503E-2</v>
      </c>
      <c r="X5323">
        <v>0.99831460000000005</v>
      </c>
      <c r="Y5323">
        <v>7.8189010000000003E-2</v>
      </c>
      <c r="Z5323">
        <v>-1.5734740000000001E-4</v>
      </c>
      <c r="AA5323">
        <v>0.99693849999999995</v>
      </c>
      <c r="AB5323">
        <v>33</v>
      </c>
      <c r="AC5323">
        <v>192.8441</v>
      </c>
      <c r="AD5323">
        <v>-0.45962599999999998</v>
      </c>
      <c r="AE5323">
        <v>-9.9049999999999994</v>
      </c>
      <c r="AF5323">
        <v>15.1250699539595</v>
      </c>
      <c r="AG5323">
        <v>-0.45962599999999998</v>
      </c>
      <c r="AH5323">
        <v>192.50393679135101</v>
      </c>
      <c r="AI5323">
        <v>90.136379908842997</v>
      </c>
      <c r="AJ5323">
        <v>85.507489326319401</v>
      </c>
      <c r="AK5323">
        <v>193.09775937939</v>
      </c>
      <c r="AL5323">
        <v>87.687199162188094</v>
      </c>
      <c r="AM5323">
        <v>87.607693702275</v>
      </c>
      <c r="AN5323">
        <v>1.00000004187077</v>
      </c>
    </row>
    <row r="5324" spans="1:40" x14ac:dyDescent="0.25">
      <c r="A5324" t="str">
        <f>"20190312150759014"</f>
        <v>20190312150759014</v>
      </c>
      <c r="B5324" t="str">
        <f>"1552374479005541"</f>
        <v>1552374479005541</v>
      </c>
      <c r="C5324" t="s">
        <v>40</v>
      </c>
      <c r="D5324">
        <v>4.36883</v>
      </c>
      <c r="E5324">
        <v>0.51510749999999905</v>
      </c>
      <c r="F5324" t="s">
        <v>57</v>
      </c>
      <c r="G5324">
        <v>-168.4117</v>
      </c>
      <c r="H5324">
        <v>0.85040469999999901</v>
      </c>
      <c r="I5324">
        <v>203.7963</v>
      </c>
      <c r="J5324">
        <v>-360.92759999999998</v>
      </c>
      <c r="K5324">
        <v>1.11032</v>
      </c>
      <c r="L5324">
        <v>214.32329999999999</v>
      </c>
      <c r="M5324">
        <v>0.99953069999999999</v>
      </c>
      <c r="N5324">
        <v>0</v>
      </c>
      <c r="O5324">
        <v>2.697987E-2</v>
      </c>
      <c r="P5324">
        <v>0.99949030000000005</v>
      </c>
      <c r="Q5324">
        <v>2.669622E-2</v>
      </c>
      <c r="R5324">
        <v>-1.7515739999999998E-2</v>
      </c>
      <c r="S5324">
        <v>2.9990230000000002</v>
      </c>
      <c r="T5324">
        <v>-4.0415529999999998E-3</v>
      </c>
      <c r="U5324">
        <v>-0.1635742</v>
      </c>
      <c r="V5324">
        <v>4.4489040000000001E-2</v>
      </c>
      <c r="W5324">
        <v>4.117738E-2</v>
      </c>
      <c r="X5324">
        <v>0.99816090000000002</v>
      </c>
      <c r="Y5324">
        <v>8.1384280000000003E-2</v>
      </c>
      <c r="Z5324" s="1">
        <v>-9.113576E-5</v>
      </c>
      <c r="AA5324">
        <v>0.99668279999999998</v>
      </c>
      <c r="AB5324">
        <v>33</v>
      </c>
      <c r="AC5324">
        <v>192.51589999999999</v>
      </c>
      <c r="AD5324">
        <v>-0.25991530000000002</v>
      </c>
      <c r="AE5324">
        <v>-10.5269999999999</v>
      </c>
      <c r="AF5324">
        <v>15.7177391873277</v>
      </c>
      <c r="AG5324">
        <v>-0.25991530000000002</v>
      </c>
      <c r="AH5324">
        <v>192.16140883406001</v>
      </c>
      <c r="AI5324">
        <v>90.0772396133342</v>
      </c>
      <c r="AJ5324">
        <v>85.323932112086595</v>
      </c>
      <c r="AK5324">
        <v>192.80332446878299</v>
      </c>
      <c r="AL5324">
        <v>87.6400427188359</v>
      </c>
      <c r="AM5324">
        <v>87.447958253550098</v>
      </c>
      <c r="AN5324">
        <v>1.0000000167962899</v>
      </c>
    </row>
    <row r="5325" spans="1:40" x14ac:dyDescent="0.25">
      <c r="A5325" t="str">
        <f>"20190312150759036"</f>
        <v>20190312150759036</v>
      </c>
      <c r="B5325" t="str">
        <f>"1552374479025065"</f>
        <v>1552374479025065</v>
      </c>
      <c r="C5325" t="s">
        <v>40</v>
      </c>
      <c r="D5325">
        <v>4.3829570000000002</v>
      </c>
      <c r="E5325">
        <v>0.51492209999999905</v>
      </c>
      <c r="F5325" t="s">
        <v>46</v>
      </c>
      <c r="G5325">
        <v>-234.62209999999999</v>
      </c>
      <c r="H5325">
        <v>1.0316909999999999</v>
      </c>
      <c r="I5325">
        <v>207.00700000000001</v>
      </c>
      <c r="J5325">
        <v>-360.60939999999999</v>
      </c>
      <c r="K5325">
        <v>1.1103240000000001</v>
      </c>
      <c r="L5325">
        <v>214.33170000000001</v>
      </c>
      <c r="M5325">
        <v>0.99953340000000002</v>
      </c>
      <c r="N5325">
        <v>0</v>
      </c>
      <c r="O5325">
        <v>2.6877479999999999E-2</v>
      </c>
      <c r="P5325">
        <v>0.99937169999999997</v>
      </c>
      <c r="Q5325">
        <v>2.782838E-2</v>
      </c>
      <c r="R5325">
        <v>-2.1950250000000001E-2</v>
      </c>
      <c r="S5325">
        <v>2.998535</v>
      </c>
      <c r="T5325">
        <v>-1.8655060000000001E-3</v>
      </c>
      <c r="U5325">
        <v>-0.17369079999999901</v>
      </c>
      <c r="V5325">
        <v>4.8817109999999997E-2</v>
      </c>
      <c r="W5325">
        <v>4.230126E-2</v>
      </c>
      <c r="X5325">
        <v>0.99791160000000001</v>
      </c>
      <c r="Y5325">
        <v>8.4642700000000001E-2</v>
      </c>
      <c r="Z5325" s="1">
        <v>-4.3018759999999999E-5</v>
      </c>
      <c r="AA5325">
        <v>0.99641139999999995</v>
      </c>
      <c r="AB5325">
        <v>33</v>
      </c>
      <c r="AC5325">
        <v>125.9873</v>
      </c>
      <c r="AD5325">
        <v>-7.8633000000000106E-2</v>
      </c>
      <c r="AE5325">
        <v>-7.3247</v>
      </c>
      <c r="AF5325">
        <v>10.7086268626392</v>
      </c>
      <c r="AG5325">
        <v>-7.8633000000000106E-2</v>
      </c>
      <c r="AH5325">
        <v>125.744836616882</v>
      </c>
      <c r="AI5325">
        <v>90.035699989238296</v>
      </c>
      <c r="AJ5325">
        <v>85.132346712705797</v>
      </c>
      <c r="AK5325">
        <v>126.20001905007101</v>
      </c>
      <c r="AL5325">
        <v>87.575593012143898</v>
      </c>
      <c r="AM5325">
        <v>87.199364758109297</v>
      </c>
      <c r="AN5325">
        <v>1.00000003412044</v>
      </c>
    </row>
    <row r="5326" spans="1:40" x14ac:dyDescent="0.25">
      <c r="A5326" t="str">
        <f>"20190312150759049"</f>
        <v>20190312150759049</v>
      </c>
      <c r="B5326" t="str">
        <f>"1552374479045554"</f>
        <v>1552374479045554</v>
      </c>
      <c r="C5326" t="s">
        <v>40</v>
      </c>
      <c r="D5326">
        <v>4.4140829999999998</v>
      </c>
      <c r="E5326">
        <v>0.51489419999999997</v>
      </c>
      <c r="F5326" t="s">
        <v>57</v>
      </c>
      <c r="G5326">
        <v>-168.41220000000001</v>
      </c>
      <c r="H5326">
        <v>1.241941</v>
      </c>
      <c r="I5326">
        <v>202.4366</v>
      </c>
      <c r="J5326">
        <v>-360.41500000000002</v>
      </c>
      <c r="K5326">
        <v>1.1103289999999999</v>
      </c>
      <c r="L5326">
        <v>214.33690000000001</v>
      </c>
      <c r="M5326">
        <v>0.99953510000000001</v>
      </c>
      <c r="N5326">
        <v>0</v>
      </c>
      <c r="O5326">
        <v>2.6814790000000002E-2</v>
      </c>
      <c r="P5326">
        <v>0.99929699999999999</v>
      </c>
      <c r="Q5326">
        <v>2.8430879999999999E-2</v>
      </c>
      <c r="R5326">
        <v>-2.444663E-2</v>
      </c>
      <c r="S5326">
        <v>2.9977420000000001</v>
      </c>
      <c r="T5326">
        <v>2.05338E-3</v>
      </c>
      <c r="U5326">
        <v>-0.18553159999999999</v>
      </c>
      <c r="V5326">
        <v>5.1247849999999998E-2</v>
      </c>
      <c r="W5326">
        <v>4.2899149999999997E-2</v>
      </c>
      <c r="X5326">
        <v>0.99776419999999999</v>
      </c>
      <c r="Y5326">
        <v>8.8516429999999993E-2</v>
      </c>
      <c r="Z5326" s="1">
        <v>4.8640829999999999E-5</v>
      </c>
      <c r="AA5326">
        <v>0.99607469999999998</v>
      </c>
      <c r="AB5326">
        <v>33</v>
      </c>
      <c r="AC5326">
        <v>192.00280000000001</v>
      </c>
      <c r="AD5326">
        <v>0.13161199999999901</v>
      </c>
      <c r="AE5326">
        <v>-11.9003</v>
      </c>
      <c r="AF5326">
        <v>17.0450688563017</v>
      </c>
      <c r="AG5326">
        <v>0.13161199999999901</v>
      </c>
      <c r="AH5326">
        <v>191.61451754029801</v>
      </c>
      <c r="AI5326">
        <v>89.960800717131306</v>
      </c>
      <c r="AJ5326">
        <v>84.916634132235004</v>
      </c>
      <c r="AK5326">
        <v>192.37119073872699</v>
      </c>
      <c r="AL5326">
        <v>87.541305324794607</v>
      </c>
      <c r="AM5326">
        <v>87.059718621970305</v>
      </c>
      <c r="AN5326">
        <v>1.00000003900099</v>
      </c>
    </row>
    <row r="5327" spans="1:40" x14ac:dyDescent="0.25">
      <c r="A5327" t="str">
        <f>"20190312150759069"</f>
        <v>20190312150759069</v>
      </c>
      <c r="B5327" t="str">
        <f>"1552374479065074"</f>
        <v>1552374479065074</v>
      </c>
      <c r="C5327" t="s">
        <v>40</v>
      </c>
      <c r="D5327">
        <v>4.3920810000000001</v>
      </c>
      <c r="E5327">
        <v>0.51470249999999995</v>
      </c>
      <c r="F5327" t="s">
        <v>57</v>
      </c>
      <c r="G5327">
        <v>-168.41239999999999</v>
      </c>
      <c r="H5327">
        <v>1.3002720000000001</v>
      </c>
      <c r="I5327">
        <v>201.98779999999999</v>
      </c>
      <c r="J5327">
        <v>-360.11250000000001</v>
      </c>
      <c r="K5327">
        <v>1.1103369999999999</v>
      </c>
      <c r="L5327">
        <v>214.3449</v>
      </c>
      <c r="M5327">
        <v>0.99953769999999997</v>
      </c>
      <c r="N5327">
        <v>0</v>
      </c>
      <c r="O5327">
        <v>2.6717660000000001E-2</v>
      </c>
      <c r="P5327">
        <v>0.99913580000000002</v>
      </c>
      <c r="Q5327">
        <v>2.9659140000000001E-2</v>
      </c>
      <c r="R5327">
        <v>-2.9119119999999998E-2</v>
      </c>
      <c r="S5327">
        <v>2.9973139999999998</v>
      </c>
      <c r="T5327">
        <v>2.9656890000000001E-3</v>
      </c>
      <c r="U5327">
        <v>-0.19277949999999999</v>
      </c>
      <c r="V5327">
        <v>5.581792E-2</v>
      </c>
      <c r="W5327">
        <v>4.4118209999999998E-2</v>
      </c>
      <c r="X5327">
        <v>0.99746579999999996</v>
      </c>
      <c r="Y5327">
        <v>9.0827199999999997E-2</v>
      </c>
      <c r="Z5327" s="1">
        <v>7.1302600000000004E-5</v>
      </c>
      <c r="AA5327">
        <v>0.99586669999999999</v>
      </c>
      <c r="AB5327">
        <v>33</v>
      </c>
      <c r="AC5327">
        <v>191.70009999999999</v>
      </c>
      <c r="AD5327">
        <v>0.18993499999999899</v>
      </c>
      <c r="AE5327">
        <v>-12.357100000000001</v>
      </c>
      <c r="AF5327">
        <v>17.4749881263185</v>
      </c>
      <c r="AG5327">
        <v>0.18993499999999899</v>
      </c>
      <c r="AH5327">
        <v>191.30127783133699</v>
      </c>
      <c r="AI5327">
        <v>89.943349315261997</v>
      </c>
      <c r="AJ5327">
        <v>84.780630867845801</v>
      </c>
      <c r="AK5327">
        <v>192.097866165196</v>
      </c>
      <c r="AL5327">
        <v>87.4713921268511</v>
      </c>
      <c r="AM5327">
        <v>86.797083981873698</v>
      </c>
      <c r="AN5327">
        <v>1.0000000394081801</v>
      </c>
    </row>
    <row r="5328" spans="1:40" x14ac:dyDescent="0.25">
      <c r="A5328" t="str">
        <f>"20190312150759092"</f>
        <v>20190312150759092</v>
      </c>
      <c r="B5328" t="str">
        <f>"1552374479085570"</f>
        <v>1552374479085570</v>
      </c>
      <c r="C5328" t="s">
        <v>40</v>
      </c>
      <c r="D5328">
        <v>4.4366940000000001</v>
      </c>
      <c r="E5328">
        <v>0.51482559999999999</v>
      </c>
      <c r="F5328" t="s">
        <v>57</v>
      </c>
      <c r="G5328">
        <v>-168.4127</v>
      </c>
      <c r="H5328">
        <v>1.426588</v>
      </c>
      <c r="I5328">
        <v>201.2259</v>
      </c>
      <c r="J5328">
        <v>-359.77640000000002</v>
      </c>
      <c r="K5328">
        <v>1.1103369999999999</v>
      </c>
      <c r="L5328">
        <v>214.35380000000001</v>
      </c>
      <c r="M5328">
        <v>0.99954080000000001</v>
      </c>
      <c r="N5328">
        <v>0</v>
      </c>
      <c r="O5328">
        <v>2.660962E-2</v>
      </c>
      <c r="P5328">
        <v>0.99894760000000005</v>
      </c>
      <c r="Q5328">
        <v>3.0644330000000001E-2</v>
      </c>
      <c r="R5328">
        <v>-3.4132849999999999E-2</v>
      </c>
      <c r="S5328">
        <v>2.9964599999999999</v>
      </c>
      <c r="T5328">
        <v>4.9438479999999998E-3</v>
      </c>
      <c r="U5328">
        <v>-0.20506289999999999</v>
      </c>
      <c r="V5328">
        <v>6.0717199999999999E-2</v>
      </c>
      <c r="W5328">
        <v>4.5093800000000003E-2</v>
      </c>
      <c r="X5328">
        <v>0.99713589999999996</v>
      </c>
      <c r="Y5328">
        <v>9.4801319999999994E-2</v>
      </c>
      <c r="Z5328">
        <v>1.219773E-4</v>
      </c>
      <c r="AA5328">
        <v>0.99549620000000005</v>
      </c>
      <c r="AB5328">
        <v>33</v>
      </c>
      <c r="AC5328">
        <v>191.36369999999999</v>
      </c>
      <c r="AD5328">
        <v>0.31625099999999901</v>
      </c>
      <c r="AE5328">
        <v>-13.1279</v>
      </c>
      <c r="AF5328">
        <v>18.215851328141799</v>
      </c>
      <c r="AG5328">
        <v>0.31625099999999901</v>
      </c>
      <c r="AH5328">
        <v>190.94603993777</v>
      </c>
      <c r="AI5328">
        <v>89.905533848253498</v>
      </c>
      <c r="AJ5328">
        <v>84.550594238738796</v>
      </c>
      <c r="AK5328">
        <v>191.81320971773701</v>
      </c>
      <c r="AL5328">
        <v>87.415439184741899</v>
      </c>
      <c r="AM5328">
        <v>86.515470714156393</v>
      </c>
      <c r="AN5328">
        <v>1.0000000161215401</v>
      </c>
    </row>
    <row r="5329" spans="1:40" x14ac:dyDescent="0.25">
      <c r="A5329" t="str">
        <f>"20190312150759106"</f>
        <v>20190312150759106</v>
      </c>
      <c r="B5329" t="str">
        <f>"1552374479095330"</f>
        <v>1552374479095330</v>
      </c>
      <c r="C5329" t="s">
        <v>40</v>
      </c>
      <c r="D5329">
        <v>4.4666730000000001</v>
      </c>
      <c r="E5329">
        <v>0.52915769999999995</v>
      </c>
      <c r="F5329" t="s">
        <v>57</v>
      </c>
      <c r="G5329">
        <v>-168.41299999999899</v>
      </c>
      <c r="H5329">
        <v>1.4328069999999999</v>
      </c>
      <c r="I5329">
        <v>200.23580000000001</v>
      </c>
      <c r="J5329">
        <v>-359.58409999999998</v>
      </c>
      <c r="K5329">
        <v>1.110339</v>
      </c>
      <c r="L5329">
        <v>214.3588</v>
      </c>
      <c r="M5329">
        <v>0.99954240000000005</v>
      </c>
      <c r="N5329">
        <v>0</v>
      </c>
      <c r="O5329">
        <v>2.6548240000000001E-2</v>
      </c>
      <c r="P5329">
        <v>0.9988437</v>
      </c>
      <c r="Q5329">
        <v>3.110636E-2</v>
      </c>
      <c r="R5329">
        <v>-3.6658499999999997E-2</v>
      </c>
      <c r="S5329">
        <v>2.9954830000000001</v>
      </c>
      <c r="T5329">
        <v>5.0482749999999996E-3</v>
      </c>
      <c r="U5329">
        <v>-0.22099299999999999</v>
      </c>
      <c r="V5329">
        <v>6.3178100000000001E-2</v>
      </c>
      <c r="W5329">
        <v>4.555062E-2</v>
      </c>
      <c r="X5329">
        <v>0.99696220000000002</v>
      </c>
      <c r="Y5329">
        <v>0.1000284</v>
      </c>
      <c r="Z5329">
        <v>1.288669E-4</v>
      </c>
      <c r="AA5329">
        <v>0.9949846</v>
      </c>
      <c r="AB5329">
        <v>33</v>
      </c>
      <c r="AC5329">
        <v>191.1711</v>
      </c>
      <c r="AD5329">
        <v>0.32246799999999998</v>
      </c>
      <c r="AE5329">
        <v>-14.1229999999999</v>
      </c>
      <c r="AF5329">
        <v>19.193756441915401</v>
      </c>
      <c r="AG5329">
        <v>0.32246799999999998</v>
      </c>
      <c r="AH5329">
        <v>190.728184460292</v>
      </c>
      <c r="AI5329">
        <v>89.903615780454302</v>
      </c>
      <c r="AJ5329">
        <v>84.253438403657398</v>
      </c>
      <c r="AK5329">
        <v>191.691795910732</v>
      </c>
      <c r="AL5329">
        <v>87.389238308574306</v>
      </c>
      <c r="AM5329">
        <v>86.373980304385299</v>
      </c>
      <c r="AN5329">
        <v>0.99999997976541699</v>
      </c>
    </row>
    <row r="5330" spans="1:40" x14ac:dyDescent="0.25">
      <c r="A5330" t="str">
        <f>"20190312150759127"</f>
        <v>20190312150759127</v>
      </c>
      <c r="B5330" t="str">
        <f>"1552374479114850"</f>
        <v>1552374479114850</v>
      </c>
      <c r="C5330" t="s">
        <v>40</v>
      </c>
      <c r="D5330">
        <v>4.5406019999999998</v>
      </c>
      <c r="E5330">
        <v>0.53162109999999996</v>
      </c>
      <c r="F5330" t="s">
        <v>68</v>
      </c>
      <c r="G5330">
        <v>-290.66030000000001</v>
      </c>
      <c r="H5330" s="1">
        <v>1.60344699999999E-6</v>
      </c>
      <c r="I5330">
        <v>206.45500000000001</v>
      </c>
      <c r="J5330">
        <v>-359.27210000000002</v>
      </c>
      <c r="K5330">
        <v>1.1103479999999999</v>
      </c>
      <c r="L5330">
        <v>214.36689999999999</v>
      </c>
      <c r="M5330">
        <v>0.99954500000000002</v>
      </c>
      <c r="N5330">
        <v>0</v>
      </c>
      <c r="O5330">
        <v>2.6448490000000002E-2</v>
      </c>
      <c r="P5330">
        <v>0.99864620000000004</v>
      </c>
      <c r="Q5330">
        <v>3.2049250000000001E-2</v>
      </c>
      <c r="R5330">
        <v>-4.0970510000000002E-2</v>
      </c>
      <c r="S5330">
        <v>2.9923099999999998</v>
      </c>
      <c r="T5330">
        <v>-4.8205020000000001E-2</v>
      </c>
      <c r="U5330">
        <v>-0.34313959999999999</v>
      </c>
      <c r="V5330">
        <v>6.7384180000000002E-2</v>
      </c>
      <c r="W5330">
        <v>4.648422E-2</v>
      </c>
      <c r="X5330">
        <v>0.99664370000000002</v>
      </c>
      <c r="Y5330">
        <v>0.14014509999999999</v>
      </c>
      <c r="Z5330">
        <v>-1.5499089999999999E-3</v>
      </c>
      <c r="AA5330">
        <v>0.99012979999999995</v>
      </c>
      <c r="AB5330">
        <v>33</v>
      </c>
      <c r="AC5330">
        <v>68.611800000000002</v>
      </c>
      <c r="AD5330">
        <v>-1.1103463965529901</v>
      </c>
      <c r="AE5330">
        <v>-7.91189999999997</v>
      </c>
      <c r="AF5330">
        <v>9.7214884270456494</v>
      </c>
      <c r="AG5330">
        <v>-1.1103463965529901</v>
      </c>
      <c r="AH5330">
        <v>68.360845086649803</v>
      </c>
      <c r="AI5330">
        <v>90.921273674405896</v>
      </c>
      <c r="AJ5330">
        <v>81.906326109537204</v>
      </c>
      <c r="AK5330">
        <v>69.057550979733193</v>
      </c>
      <c r="AL5330">
        <v>87.335690393119293</v>
      </c>
      <c r="AM5330">
        <v>86.132055768690094</v>
      </c>
      <c r="AN5330">
        <v>1.0000000375864799</v>
      </c>
    </row>
    <row r="5331" spans="1:40" x14ac:dyDescent="0.25">
      <c r="A5331" t="str">
        <f>"20190312150759149"</f>
        <v>20190312150759149</v>
      </c>
      <c r="B5331" t="str">
        <f>"1552374479145106"</f>
        <v>1552374479145106</v>
      </c>
      <c r="C5331" t="s">
        <v>40</v>
      </c>
      <c r="D5331">
        <v>4.46028</v>
      </c>
      <c r="E5331">
        <v>0.53158819999999996</v>
      </c>
      <c r="F5331" t="s">
        <v>68</v>
      </c>
      <c r="G5331">
        <v>-302.6549</v>
      </c>
      <c r="H5331" s="1">
        <v>2.691615E-6</v>
      </c>
      <c r="I5331">
        <v>207.2527</v>
      </c>
      <c r="J5331">
        <v>-358.9504</v>
      </c>
      <c r="K5331">
        <v>1.110352</v>
      </c>
      <c r="L5331">
        <v>214.37540000000001</v>
      </c>
      <c r="M5331">
        <v>0.99954779999999999</v>
      </c>
      <c r="N5331">
        <v>0</v>
      </c>
      <c r="O5331">
        <v>2.6345879999999999E-2</v>
      </c>
      <c r="P5331">
        <v>0.99845569999999895</v>
      </c>
      <c r="Q5331">
        <v>3.3416790000000002E-2</v>
      </c>
      <c r="R5331">
        <v>-4.4381339999999998E-2</v>
      </c>
      <c r="S5331">
        <v>2.9905400000000002</v>
      </c>
      <c r="T5331">
        <v>-5.8648819999999997E-2</v>
      </c>
      <c r="U5331">
        <v>-0.37577820000000001</v>
      </c>
      <c r="V5331">
        <v>7.0686769999999996E-2</v>
      </c>
      <c r="W5331">
        <v>4.7843129999999998E-2</v>
      </c>
      <c r="X5331">
        <v>0.99635050000000003</v>
      </c>
      <c r="Y5331">
        <v>0.1507415</v>
      </c>
      <c r="Z5331">
        <v>-1.9870299999999999E-3</v>
      </c>
      <c r="AA5331">
        <v>0.98857119999999998</v>
      </c>
      <c r="AB5331">
        <v>33</v>
      </c>
      <c r="AC5331">
        <v>56.295499999999997</v>
      </c>
      <c r="AD5331">
        <v>-1.110349308385</v>
      </c>
      <c r="AE5331">
        <v>-7.1227</v>
      </c>
      <c r="AF5331">
        <v>8.6002444565582898</v>
      </c>
      <c r="AG5331">
        <v>-1.110349308385</v>
      </c>
      <c r="AH5331">
        <v>56.066814026667302</v>
      </c>
      <c r="AI5331">
        <v>91.121426382440603</v>
      </c>
      <c r="AJ5331">
        <v>81.279215274990094</v>
      </c>
      <c r="AK5331">
        <v>56.733453229995497</v>
      </c>
      <c r="AL5331">
        <v>87.257743605659897</v>
      </c>
      <c r="AM5331">
        <v>85.941911000402897</v>
      </c>
      <c r="AN5331">
        <v>0.99999995169573797</v>
      </c>
    </row>
    <row r="5332" spans="1:40" x14ac:dyDescent="0.25">
      <c r="A5332" t="str">
        <f>"20190312150759170"</f>
        <v>20190312150759170</v>
      </c>
      <c r="B5332" t="str">
        <f>"1552374479165602"</f>
        <v>1552374479165602</v>
      </c>
      <c r="C5332" t="s">
        <v>40</v>
      </c>
      <c r="D5332">
        <v>4.4285519999999998</v>
      </c>
      <c r="E5332">
        <v>0.53128969999999998</v>
      </c>
      <c r="F5332" t="s">
        <v>68</v>
      </c>
      <c r="G5332">
        <v>-310.5908</v>
      </c>
      <c r="H5332">
        <v>7.9999239999999999E-2</v>
      </c>
      <c r="I5332">
        <v>208.13310000000001</v>
      </c>
      <c r="J5332">
        <v>-358.64100000000002</v>
      </c>
      <c r="K5332">
        <v>1.110363</v>
      </c>
      <c r="L5332">
        <v>214.38339999999999</v>
      </c>
      <c r="M5332">
        <v>0.99955050000000001</v>
      </c>
      <c r="N5332">
        <v>0</v>
      </c>
      <c r="O5332">
        <v>2.6247369999999999E-2</v>
      </c>
      <c r="P5332">
        <v>0.99828309999999998</v>
      </c>
      <c r="Q5332">
        <v>3.4768590000000002E-2</v>
      </c>
      <c r="R5332">
        <v>-4.713705E-2</v>
      </c>
      <c r="S5332">
        <v>2.9895939999999999</v>
      </c>
      <c r="T5332">
        <v>-6.3696500000000003E-2</v>
      </c>
      <c r="U5332">
        <v>-0.38589479999999998</v>
      </c>
      <c r="V5332">
        <v>7.3339340000000003E-2</v>
      </c>
      <c r="W5332">
        <v>4.9187660000000001E-2</v>
      </c>
      <c r="X5332">
        <v>0.99609329999999996</v>
      </c>
      <c r="Y5332">
        <v>0.1539671</v>
      </c>
      <c r="Z5332">
        <v>-2.1903600000000001E-3</v>
      </c>
      <c r="AA5332">
        <v>0.98807350000000005</v>
      </c>
      <c r="AB5332">
        <v>33</v>
      </c>
      <c r="AC5332">
        <v>48.050199999999897</v>
      </c>
      <c r="AD5332">
        <v>-1.03036376</v>
      </c>
      <c r="AE5332">
        <v>-6.2502999999999798</v>
      </c>
      <c r="AF5332">
        <v>7.5060758906713403</v>
      </c>
      <c r="AG5332">
        <v>-1.03036376</v>
      </c>
      <c r="AH5332">
        <v>47.847935537228203</v>
      </c>
      <c r="AI5332">
        <v>91.218723958412298</v>
      </c>
      <c r="AJ5332">
        <v>81.084468388322406</v>
      </c>
      <c r="AK5332">
        <v>48.444068366820602</v>
      </c>
      <c r="AL5332">
        <v>87.180616941416801</v>
      </c>
      <c r="AM5332">
        <v>85.7890829359619</v>
      </c>
      <c r="AN5332">
        <v>0.99999997349640002</v>
      </c>
    </row>
    <row r="5333" spans="1:40" x14ac:dyDescent="0.25">
      <c r="A5333" t="str">
        <f>"20190312150759193"</f>
        <v>20190312150759193</v>
      </c>
      <c r="B5333" t="str">
        <f>"1552374479185125"</f>
        <v>1552374479185125</v>
      </c>
      <c r="C5333" t="s">
        <v>40</v>
      </c>
      <c r="D5333">
        <v>4.4235819999999997</v>
      </c>
      <c r="E5333">
        <v>0.53145929999999997</v>
      </c>
      <c r="F5333" t="s">
        <v>68</v>
      </c>
      <c r="G5333">
        <v>-302.04910000000001</v>
      </c>
      <c r="H5333" s="1">
        <v>2.9023769999999999E-6</v>
      </c>
      <c r="I5333">
        <v>206.96539999999999</v>
      </c>
      <c r="J5333">
        <v>-358.29680000000002</v>
      </c>
      <c r="K5333">
        <v>1.110368</v>
      </c>
      <c r="L5333">
        <v>214.39230000000001</v>
      </c>
      <c r="M5333">
        <v>0.99955340000000004</v>
      </c>
      <c r="N5333">
        <v>0</v>
      </c>
      <c r="O5333">
        <v>2.6137790000000001E-2</v>
      </c>
      <c r="P5333">
        <v>0.99813929999999995</v>
      </c>
      <c r="Q5333">
        <v>3.5943299999999997E-2</v>
      </c>
      <c r="R5333">
        <v>-4.9256929999999997E-2</v>
      </c>
      <c r="S5333">
        <v>2.9887079999999999</v>
      </c>
      <c r="T5333">
        <v>-5.8639879999999998E-2</v>
      </c>
      <c r="U5333">
        <v>-0.3917542</v>
      </c>
      <c r="V5333">
        <v>7.5345750000000003E-2</v>
      </c>
      <c r="W5333">
        <v>5.0354929999999999E-2</v>
      </c>
      <c r="X5333">
        <v>0.99588529999999997</v>
      </c>
      <c r="Y5333">
        <v>0.15580629999999901</v>
      </c>
      <c r="Z5333">
        <v>-2.032673E-3</v>
      </c>
      <c r="AA5333">
        <v>0.98778549999999998</v>
      </c>
      <c r="AB5333">
        <v>33</v>
      </c>
      <c r="AC5333">
        <v>56.247700000000002</v>
      </c>
      <c r="AD5333">
        <v>-1.110365097623</v>
      </c>
      <c r="AE5333">
        <v>-7.4269000000000096</v>
      </c>
      <c r="AF5333">
        <v>8.8913013931032392</v>
      </c>
      <c r="AG5333">
        <v>-1.110365097623</v>
      </c>
      <c r="AH5333">
        <v>56.012882028005798</v>
      </c>
      <c r="AI5333">
        <v>91.121608516242503</v>
      </c>
      <c r="AJ5333">
        <v>80.980310653141999</v>
      </c>
      <c r="AK5333">
        <v>56.725048296112597</v>
      </c>
      <c r="AL5333">
        <v>87.113654567405106</v>
      </c>
      <c r="AM5333">
        <v>85.673412547422501</v>
      </c>
      <c r="AN5333">
        <v>1.0000000658872199</v>
      </c>
    </row>
    <row r="5334" spans="1:40" x14ac:dyDescent="0.25">
      <c r="A5334" t="str">
        <f>"20190312150759205"</f>
        <v>20190312150759205</v>
      </c>
      <c r="B5334" t="str">
        <f>"1552374479194882"</f>
        <v>1552374479194882</v>
      </c>
      <c r="C5334" t="s">
        <v>40</v>
      </c>
      <c r="D5334">
        <v>4.4444369999999997</v>
      </c>
      <c r="E5334">
        <v>0.53115730000000005</v>
      </c>
      <c r="F5334" t="s">
        <v>68</v>
      </c>
      <c r="G5334">
        <v>-295.47449999999998</v>
      </c>
      <c r="H5334" s="1">
        <v>2.7527770000000001E-6</v>
      </c>
      <c r="I5334">
        <v>205.99340000000001</v>
      </c>
      <c r="J5334">
        <v>-358.11610000000002</v>
      </c>
      <c r="K5334">
        <v>1.1103719999999999</v>
      </c>
      <c r="L5334">
        <v>214.39689999999999</v>
      </c>
      <c r="M5334">
        <v>0.99955499999999997</v>
      </c>
      <c r="N5334">
        <v>0</v>
      </c>
      <c r="O5334">
        <v>2.6079930000000001E-2</v>
      </c>
      <c r="P5334">
        <v>0.99805549999999998</v>
      </c>
      <c r="Q5334">
        <v>3.673088E-2</v>
      </c>
      <c r="R5334">
        <v>-5.0363320000000003E-2</v>
      </c>
      <c r="S5334">
        <v>2.9877929999999999</v>
      </c>
      <c r="T5334">
        <v>-5.2808399999999998E-2</v>
      </c>
      <c r="U5334">
        <v>-0.39944459999999998</v>
      </c>
      <c r="V5334">
        <v>7.639195E-2</v>
      </c>
      <c r="W5334">
        <v>5.1139270000000001E-2</v>
      </c>
      <c r="X5334">
        <v>0.99576560000000003</v>
      </c>
      <c r="Y5334">
        <v>0.1582925</v>
      </c>
      <c r="Z5334">
        <v>-1.851672E-3</v>
      </c>
      <c r="AA5334">
        <v>0.98739049999999995</v>
      </c>
      <c r="AB5334">
        <v>33</v>
      </c>
      <c r="AC5334">
        <v>62.641599999999997</v>
      </c>
      <c r="AD5334">
        <v>-1.110369247223</v>
      </c>
      <c r="AE5334">
        <v>-8.4034999999999798</v>
      </c>
      <c r="AF5334">
        <v>10.0314046852406</v>
      </c>
      <c r="AG5334">
        <v>-1.110369247223</v>
      </c>
      <c r="AH5334">
        <v>62.3818489968344</v>
      </c>
      <c r="AI5334">
        <v>91.006800295571793</v>
      </c>
      <c r="AJ5334">
        <v>80.8646750283703</v>
      </c>
      <c r="AK5334">
        <v>63.193014519708598</v>
      </c>
      <c r="AL5334">
        <v>87.068657151574797</v>
      </c>
      <c r="AM5334">
        <v>85.613044126800503</v>
      </c>
      <c r="AN5334">
        <v>1.00000004255214</v>
      </c>
    </row>
    <row r="5335" spans="1:40" x14ac:dyDescent="0.25">
      <c r="A5335" t="str">
        <f>"20190312150759218"</f>
        <v>20190312150759218</v>
      </c>
      <c r="B5335" t="str">
        <f>"1552374479215378"</f>
        <v>1552374479215378</v>
      </c>
      <c r="C5335" t="s">
        <v>40</v>
      </c>
      <c r="D5335">
        <v>4.4455359999999997</v>
      </c>
      <c r="E5335">
        <v>0.53049099999999905</v>
      </c>
      <c r="F5335" t="s">
        <v>68</v>
      </c>
      <c r="G5335">
        <v>-294.50170000000003</v>
      </c>
      <c r="H5335" s="1">
        <v>2.558324E-6</v>
      </c>
      <c r="I5335">
        <v>205.87370000000001</v>
      </c>
      <c r="J5335">
        <v>-357.92899999999997</v>
      </c>
      <c r="K5335">
        <v>1.1103749999999999</v>
      </c>
      <c r="L5335">
        <v>214.40180000000001</v>
      </c>
      <c r="M5335">
        <v>0.99955660000000002</v>
      </c>
      <c r="N5335">
        <v>0</v>
      </c>
      <c r="O5335">
        <v>2.602022E-2</v>
      </c>
      <c r="P5335">
        <v>0.997977</v>
      </c>
      <c r="Q5335">
        <v>3.7489710000000002E-2</v>
      </c>
      <c r="R5335">
        <v>-5.1350310000000003E-2</v>
      </c>
      <c r="S5335">
        <v>2.9875790000000002</v>
      </c>
      <c r="T5335">
        <v>-5.2147270000000003E-2</v>
      </c>
      <c r="U5335">
        <v>-0.40028380000000002</v>
      </c>
      <c r="V5335">
        <v>7.7317250000000004E-2</v>
      </c>
      <c r="W5335">
        <v>5.1894059999999999E-2</v>
      </c>
      <c r="X5335">
        <v>0.99565510000000002</v>
      </c>
      <c r="Y5335">
        <v>0.15851589999999999</v>
      </c>
      <c r="Z5335">
        <v>-1.8294920000000001E-3</v>
      </c>
      <c r="AA5335">
        <v>0.98735479999999998</v>
      </c>
      <c r="AB5335">
        <v>33</v>
      </c>
      <c r="AC5335">
        <v>63.427300000000002</v>
      </c>
      <c r="AD5335">
        <v>-1.1103724416759999</v>
      </c>
      <c r="AE5335">
        <v>-8.5280999999999896</v>
      </c>
      <c r="AF5335">
        <v>10.172714920921999</v>
      </c>
      <c r="AG5335">
        <v>-1.1103724416759999</v>
      </c>
      <c r="AH5335">
        <v>63.164879522573102</v>
      </c>
      <c r="AI5335">
        <v>90.994286759753194</v>
      </c>
      <c r="AJ5335">
        <v>80.851064015251495</v>
      </c>
      <c r="AK5335">
        <v>63.988429117480003</v>
      </c>
      <c r="AL5335">
        <v>87.025353285519699</v>
      </c>
      <c r="AM5335">
        <v>85.559627402055</v>
      </c>
      <c r="AN5335">
        <v>1.00000001438342</v>
      </c>
    </row>
    <row r="5336" spans="1:40" x14ac:dyDescent="0.25">
      <c r="A5336" t="str">
        <f>"20190312150759237"</f>
        <v>20190312150759237</v>
      </c>
      <c r="B5336" t="str">
        <f>"1552374479225138"</f>
        <v>1552374479225138</v>
      </c>
      <c r="C5336" t="s">
        <v>40</v>
      </c>
      <c r="D5336">
        <v>4.5649150000000001</v>
      </c>
      <c r="E5336">
        <v>0.53021339999999995</v>
      </c>
      <c r="F5336" t="s">
        <v>68</v>
      </c>
      <c r="G5336">
        <v>-296.55360000000002</v>
      </c>
      <c r="H5336" s="1">
        <v>2.951385E-6</v>
      </c>
      <c r="I5336">
        <v>206.2227</v>
      </c>
      <c r="J5336">
        <v>-357.6601</v>
      </c>
      <c r="K5336">
        <v>1.1103809999999901</v>
      </c>
      <c r="L5336">
        <v>214.40870000000001</v>
      </c>
      <c r="M5336">
        <v>0.99955879999999997</v>
      </c>
      <c r="N5336">
        <v>0</v>
      </c>
      <c r="O5336">
        <v>2.5934240000000001E-2</v>
      </c>
      <c r="P5336">
        <v>0.99789819999999996</v>
      </c>
      <c r="Q5336">
        <v>3.807236E-2</v>
      </c>
      <c r="R5336">
        <v>-5.2440390000000003E-2</v>
      </c>
      <c r="S5336">
        <v>2.9876710000000002</v>
      </c>
      <c r="T5336">
        <v>-5.4051399999999999E-2</v>
      </c>
      <c r="U5336">
        <v>-0.39814759999999999</v>
      </c>
      <c r="V5336">
        <v>7.8319310000000003E-2</v>
      </c>
      <c r="W5336">
        <v>5.2472159999999997E-2</v>
      </c>
      <c r="X5336">
        <v>0.9955465</v>
      </c>
      <c r="Y5336">
        <v>0.15773139999999999</v>
      </c>
      <c r="Z5336">
        <v>-1.887702E-3</v>
      </c>
      <c r="AA5336">
        <v>0.98748020000000003</v>
      </c>
      <c r="AB5336">
        <v>33</v>
      </c>
      <c r="AC5336">
        <v>61.106499999999897</v>
      </c>
      <c r="AD5336">
        <v>-1.1103780486149999</v>
      </c>
      <c r="AE5336">
        <v>-8.1859999999999999</v>
      </c>
      <c r="AF5336">
        <v>9.7649953484738408</v>
      </c>
      <c r="AG5336">
        <v>-1.1103780486149999</v>
      </c>
      <c r="AH5336">
        <v>60.853883397394199</v>
      </c>
      <c r="AI5336">
        <v>91.032137554115394</v>
      </c>
      <c r="AJ5336">
        <v>80.883676820941304</v>
      </c>
      <c r="AK5336">
        <v>61.6423815090738</v>
      </c>
      <c r="AL5336">
        <v>86.992185475695706</v>
      </c>
      <c r="AM5336">
        <v>85.501824544445597</v>
      </c>
      <c r="AN5336">
        <v>1.00000003777809</v>
      </c>
    </row>
    <row r="5337" spans="1:40" x14ac:dyDescent="0.25">
      <c r="A5337" t="str">
        <f>"20190312150759260"</f>
        <v>20190312150759260</v>
      </c>
      <c r="B5337" t="str">
        <f>"1552374479255394"</f>
        <v>1552374479255394</v>
      </c>
      <c r="C5337" t="s">
        <v>40</v>
      </c>
      <c r="D5337">
        <v>4.472016</v>
      </c>
      <c r="E5337">
        <v>0.52203820000000001</v>
      </c>
      <c r="F5337" t="s">
        <v>68</v>
      </c>
      <c r="G5337">
        <v>-292.7758</v>
      </c>
      <c r="H5337" s="1">
        <v>2.200065E-6</v>
      </c>
      <c r="I5337">
        <v>205.73599999999999</v>
      </c>
      <c r="J5337">
        <v>-357.3272</v>
      </c>
      <c r="K5337">
        <v>1.11039</v>
      </c>
      <c r="L5337">
        <v>214.41720000000001</v>
      </c>
      <c r="M5337">
        <v>0.99956149999999999</v>
      </c>
      <c r="N5337">
        <v>0</v>
      </c>
      <c r="O5337">
        <v>2.5827760000000002E-2</v>
      </c>
      <c r="P5337">
        <v>0.99776989999999999</v>
      </c>
      <c r="Q5337">
        <v>3.9462820000000003E-2</v>
      </c>
      <c r="R5337">
        <v>-5.3830929999999999E-2</v>
      </c>
      <c r="S5337">
        <v>2.9872740000000002</v>
      </c>
      <c r="T5337">
        <v>-5.112183E-2</v>
      </c>
      <c r="U5337">
        <v>-0.39929199999999998</v>
      </c>
      <c r="V5337">
        <v>7.9600539999999997E-2</v>
      </c>
      <c r="W5337">
        <v>5.3856359999999999E-2</v>
      </c>
      <c r="X5337">
        <v>0.99537089999999995</v>
      </c>
      <c r="Y5337">
        <v>0.1580182</v>
      </c>
      <c r="Z5337">
        <v>-1.7862209999999999E-3</v>
      </c>
      <c r="AA5337">
        <v>0.98743460000000005</v>
      </c>
      <c r="AB5337">
        <v>33</v>
      </c>
      <c r="AC5337">
        <v>64.551400000000001</v>
      </c>
      <c r="AD5337">
        <v>-1.110387799935</v>
      </c>
      <c r="AE5337">
        <v>-8.6812000000000094</v>
      </c>
      <c r="AF5337">
        <v>10.3426903562028</v>
      </c>
      <c r="AG5337">
        <v>-1.110387799935</v>
      </c>
      <c r="AH5337">
        <v>64.286937896321007</v>
      </c>
      <c r="AI5337">
        <v>90.976975057408396</v>
      </c>
      <c r="AJ5337">
        <v>80.860387575843703</v>
      </c>
      <c r="AK5337">
        <v>65.123072631410494</v>
      </c>
      <c r="AL5337">
        <v>86.912764190905605</v>
      </c>
      <c r="AM5337">
        <v>85.427744983245205</v>
      </c>
      <c r="AN5337">
        <v>0.99999999102377501</v>
      </c>
    </row>
    <row r="5338" spans="1:40" x14ac:dyDescent="0.25">
      <c r="A5338" t="str">
        <f>"20190312150759282"</f>
        <v>20190312150759282</v>
      </c>
      <c r="B5338" t="str">
        <f>"1552374479274917"</f>
        <v>1552374479274917</v>
      </c>
      <c r="C5338" t="s">
        <v>40</v>
      </c>
      <c r="D5338">
        <v>4.5131790000000001</v>
      </c>
      <c r="E5338">
        <v>0.52093059999999902</v>
      </c>
      <c r="F5338" t="s">
        <v>43</v>
      </c>
      <c r="G5338">
        <v>-246.99850000000001</v>
      </c>
      <c r="H5338">
        <v>-0.05</v>
      </c>
      <c r="I5338">
        <v>201.9469</v>
      </c>
      <c r="J5338">
        <v>-356.99970000000002</v>
      </c>
      <c r="K5338">
        <v>1.1104019999999999</v>
      </c>
      <c r="L5338">
        <v>214.4255</v>
      </c>
      <c r="M5338">
        <v>0.99956440000000002</v>
      </c>
      <c r="N5338">
        <v>0</v>
      </c>
      <c r="O5338">
        <v>2.5722829999999999E-2</v>
      </c>
      <c r="P5338">
        <v>0.99756820000000002</v>
      </c>
      <c r="Q5338">
        <v>4.1079030000000002E-2</v>
      </c>
      <c r="R5338">
        <v>-5.6305929999999997E-2</v>
      </c>
      <c r="S5338">
        <v>2.989716</v>
      </c>
      <c r="T5338">
        <v>-3.1444550000000002E-2</v>
      </c>
      <c r="U5338">
        <v>-0.33792109999999997</v>
      </c>
      <c r="V5338">
        <v>8.1965220000000005E-2</v>
      </c>
      <c r="W5338">
        <v>5.5464239999999998E-2</v>
      </c>
      <c r="X5338">
        <v>0.99509069999999999</v>
      </c>
      <c r="Y5338">
        <v>0.13782929999999999</v>
      </c>
      <c r="Z5338">
        <v>-9.9227449999999997E-4</v>
      </c>
      <c r="AA5338">
        <v>0.99045550000000004</v>
      </c>
      <c r="AB5338">
        <v>33</v>
      </c>
      <c r="AC5338">
        <v>110.0012</v>
      </c>
      <c r="AD5338">
        <v>-1.1604019999999999</v>
      </c>
      <c r="AE5338">
        <v>-12.4786</v>
      </c>
      <c r="AF5338">
        <v>15.302627262907899</v>
      </c>
      <c r="AG5338">
        <v>-1.1604019999999999</v>
      </c>
      <c r="AH5338">
        <v>109.631730974223</v>
      </c>
      <c r="AI5338">
        <v>90.600604930873402</v>
      </c>
      <c r="AJ5338">
        <v>82.053874565343307</v>
      </c>
      <c r="AK5338">
        <v>110.70064756067799</v>
      </c>
      <c r="AL5338">
        <v>86.820501666699997</v>
      </c>
      <c r="AM5338">
        <v>85.291199873477098</v>
      </c>
      <c r="AN5338">
        <v>1.00000004021745</v>
      </c>
    </row>
    <row r="5339" spans="1:40" x14ac:dyDescent="0.25">
      <c r="A5339" t="str">
        <f>"20190312150759316"</f>
        <v>20190312150759316</v>
      </c>
      <c r="B5339" t="str">
        <f>"1552374479305174"</f>
        <v>1552374479305174</v>
      </c>
      <c r="C5339" t="s">
        <v>40</v>
      </c>
      <c r="D5339">
        <v>4.4543749999999998</v>
      </c>
      <c r="E5339">
        <v>0.52240569999999997</v>
      </c>
      <c r="F5339" t="s">
        <v>75</v>
      </c>
      <c r="G5339">
        <v>-225.10169999999999</v>
      </c>
      <c r="H5339">
        <v>0.45157710000000001</v>
      </c>
      <c r="I5339">
        <v>199.57599999999999</v>
      </c>
      <c r="J5339">
        <v>-356.50909999999999</v>
      </c>
      <c r="K5339">
        <v>1.1104160000000001</v>
      </c>
      <c r="L5339">
        <v>214.43790000000001</v>
      </c>
      <c r="M5339">
        <v>0.99956849999999997</v>
      </c>
      <c r="N5339">
        <v>0</v>
      </c>
      <c r="O5339">
        <v>2.5565939999999999E-2</v>
      </c>
      <c r="P5339">
        <v>0.99733090000000002</v>
      </c>
      <c r="Q5339">
        <v>4.3637530000000001E-2</v>
      </c>
      <c r="R5339">
        <v>-5.8540509999999997E-2</v>
      </c>
      <c r="S5339">
        <v>2.9889220000000001</v>
      </c>
      <c r="T5339">
        <v>-1.492953E-2</v>
      </c>
      <c r="U5339">
        <v>-0.33650210000000003</v>
      </c>
      <c r="V5339">
        <v>8.4037559999999997E-2</v>
      </c>
      <c r="W5339">
        <v>5.8013099999999998E-2</v>
      </c>
      <c r="X5339">
        <v>0.9947724</v>
      </c>
      <c r="Y5339">
        <v>0.137245799999999</v>
      </c>
      <c r="Z5339">
        <v>-4.6903340000000002E-4</v>
      </c>
      <c r="AA5339">
        <v>0.99053690000000005</v>
      </c>
      <c r="AB5339">
        <v>33</v>
      </c>
      <c r="AC5339">
        <v>131.4074</v>
      </c>
      <c r="AD5339">
        <v>-0.65883890000000001</v>
      </c>
      <c r="AE5339">
        <v>-14.8619</v>
      </c>
      <c r="AF5339">
        <v>18.216494224234701</v>
      </c>
      <c r="AG5339">
        <v>-0.65883890000000001</v>
      </c>
      <c r="AH5339">
        <v>130.98118979256299</v>
      </c>
      <c r="AI5339">
        <v>90.285449498166798</v>
      </c>
      <c r="AJ5339">
        <v>82.082253574017898</v>
      </c>
      <c r="AK5339">
        <v>132.24351330024899</v>
      </c>
      <c r="AL5339">
        <v>86.674226870932401</v>
      </c>
      <c r="AM5339">
        <v>85.171164923035803</v>
      </c>
      <c r="AN5339">
        <v>0.99999997953206099</v>
      </c>
    </row>
    <row r="5340" spans="1:40" x14ac:dyDescent="0.25">
      <c r="A5340" t="str">
        <f>"20190312150759338"</f>
        <v>20190312150759338</v>
      </c>
      <c r="B5340" t="str">
        <f>"1552374479335426"</f>
        <v>1552374479335426</v>
      </c>
      <c r="C5340" t="s">
        <v>40</v>
      </c>
      <c r="D5340">
        <v>4.4370599999999998</v>
      </c>
      <c r="E5340">
        <v>0.52289279999999905</v>
      </c>
      <c r="F5340" t="s">
        <v>57</v>
      </c>
      <c r="G5340">
        <v>-168.41540000000001</v>
      </c>
      <c r="H5340">
        <v>0.52284909999999996</v>
      </c>
      <c r="I5340">
        <v>192.0917</v>
      </c>
      <c r="J5340">
        <v>-356.18779999999998</v>
      </c>
      <c r="K5340">
        <v>1.1104290000000001</v>
      </c>
      <c r="L5340">
        <v>214.446</v>
      </c>
      <c r="M5340">
        <v>0.99957110000000005</v>
      </c>
      <c r="N5340">
        <v>0</v>
      </c>
      <c r="O5340">
        <v>2.5463280000000001E-2</v>
      </c>
      <c r="P5340">
        <v>0.99714700000000001</v>
      </c>
      <c r="Q5340">
        <v>4.5111310000000002E-2</v>
      </c>
      <c r="R5340">
        <v>-6.0519459999999997E-2</v>
      </c>
      <c r="S5340">
        <v>2.9875790000000002</v>
      </c>
      <c r="T5340">
        <v>-9.3320609999999991E-3</v>
      </c>
      <c r="U5340">
        <v>-0.35493469999999999</v>
      </c>
      <c r="V5340">
        <v>8.5909369999999999E-2</v>
      </c>
      <c r="W5340">
        <v>5.9479690000000002E-2</v>
      </c>
      <c r="X5340">
        <v>0.99452589999999996</v>
      </c>
      <c r="Y5340">
        <v>0.14322279999999901</v>
      </c>
      <c r="Z5340">
        <v>-3.0219300000000003E-4</v>
      </c>
      <c r="AA5340">
        <v>0.98969039999999997</v>
      </c>
      <c r="AB5340">
        <v>33</v>
      </c>
      <c r="AC5340">
        <v>187.7724</v>
      </c>
      <c r="AD5340">
        <v>-0.58757990000000004</v>
      </c>
      <c r="AE5340">
        <v>-22.354299999999899</v>
      </c>
      <c r="AF5340">
        <v>27.128589841913598</v>
      </c>
      <c r="AG5340">
        <v>-0.58757990000000004</v>
      </c>
      <c r="AH5340">
        <v>187.140423354126</v>
      </c>
      <c r="AI5340">
        <v>90.178034677197502</v>
      </c>
      <c r="AJ5340">
        <v>81.7516432973663</v>
      </c>
      <c r="AK5340">
        <v>189.09744495923599</v>
      </c>
      <c r="AL5340">
        <v>86.590052171853102</v>
      </c>
      <c r="AM5340">
        <v>85.062918157954101</v>
      </c>
      <c r="AN5340">
        <v>1.00000000957355</v>
      </c>
    </row>
    <row r="5341" spans="1:40" x14ac:dyDescent="0.25">
      <c r="A5341" t="str">
        <f>"20190312150759360"</f>
        <v>20190312150759360</v>
      </c>
      <c r="B5341" t="str">
        <f>"1552374479354946"</f>
        <v>1552374479354946</v>
      </c>
      <c r="C5341" t="s">
        <v>40</v>
      </c>
      <c r="D5341">
        <v>4.4256320000000002</v>
      </c>
      <c r="E5341">
        <v>0.52317709999999995</v>
      </c>
      <c r="F5341" t="s">
        <v>46</v>
      </c>
      <c r="G5341">
        <v>-285.67899999999997</v>
      </c>
      <c r="H5341">
        <v>0.94143480000000002</v>
      </c>
      <c r="I5341">
        <v>205.83609999999999</v>
      </c>
      <c r="J5341">
        <v>-355.87490000000003</v>
      </c>
      <c r="K5341">
        <v>1.1104400000000001</v>
      </c>
      <c r="L5341">
        <v>214.4539</v>
      </c>
      <c r="M5341">
        <v>0.99957379999999996</v>
      </c>
      <c r="N5341">
        <v>0</v>
      </c>
      <c r="O5341">
        <v>2.536294E-2</v>
      </c>
      <c r="P5341">
        <v>0.99688659999999996</v>
      </c>
      <c r="Q5341">
        <v>4.7147660000000001E-2</v>
      </c>
      <c r="R5341">
        <v>-6.3200469999999995E-2</v>
      </c>
      <c r="S5341">
        <v>2.986755</v>
      </c>
      <c r="T5341">
        <v>-7.1586369999999998E-3</v>
      </c>
      <c r="U5341">
        <v>-0.36471559999999997</v>
      </c>
      <c r="V5341">
        <v>8.8483519999999996E-2</v>
      </c>
      <c r="W5341">
        <v>6.1506829999999998E-2</v>
      </c>
      <c r="X5341">
        <v>0.99417679999999997</v>
      </c>
      <c r="Y5341">
        <v>0.1463497</v>
      </c>
      <c r="Z5341">
        <v>-2.3532539999999999E-4</v>
      </c>
      <c r="AA5341">
        <v>0.98923289999999997</v>
      </c>
      <c r="AB5341">
        <v>32</v>
      </c>
      <c r="AC5341">
        <v>70.195899999999995</v>
      </c>
      <c r="AD5341">
        <v>-0.169005199999999</v>
      </c>
      <c r="AE5341">
        <v>-8.6178000000000097</v>
      </c>
      <c r="AF5341">
        <v>10.395528210981</v>
      </c>
      <c r="AG5341">
        <v>-0.169005199999999</v>
      </c>
      <c r="AH5341">
        <v>69.9543188219195</v>
      </c>
      <c r="AI5341">
        <v>90.136919149860006</v>
      </c>
      <c r="AJ5341">
        <v>81.547445870812297</v>
      </c>
      <c r="AK5341">
        <v>70.722714112099098</v>
      </c>
      <c r="AL5341">
        <v>86.473692333952201</v>
      </c>
      <c r="AM5341">
        <v>84.913973858565996</v>
      </c>
      <c r="AN5341">
        <v>0.99999996655323897</v>
      </c>
    </row>
    <row r="5342" spans="1:40" x14ac:dyDescent="0.25">
      <c r="A5342" t="str">
        <f>"20190312150759383"</f>
        <v>20190312150759383</v>
      </c>
      <c r="B5342" t="str">
        <f>"1552374479375442"</f>
        <v>1552374479375442</v>
      </c>
      <c r="C5342" t="s">
        <v>40</v>
      </c>
      <c r="D5342">
        <v>4.4563920000000001</v>
      </c>
      <c r="E5342">
        <v>0.52311209999999997</v>
      </c>
      <c r="F5342" t="s">
        <v>46</v>
      </c>
      <c r="G5342">
        <v>-285.67619999999999</v>
      </c>
      <c r="H5342">
        <v>0.95359439999999995</v>
      </c>
      <c r="I5342">
        <v>205.64009999999999</v>
      </c>
      <c r="J5342">
        <v>-355.53859999999997</v>
      </c>
      <c r="K5342">
        <v>1.1104529999999999</v>
      </c>
      <c r="L5342">
        <v>214.4623</v>
      </c>
      <c r="M5342">
        <v>0.99957660000000004</v>
      </c>
      <c r="N5342">
        <v>0</v>
      </c>
      <c r="O5342">
        <v>2.5254789999999999E-2</v>
      </c>
      <c r="P5342">
        <v>0.99661449999999996</v>
      </c>
      <c r="Q5342">
        <v>4.8791960000000002E-2</v>
      </c>
      <c r="R5342">
        <v>-6.6176180000000001E-2</v>
      </c>
      <c r="S5342">
        <v>2.9859010000000001</v>
      </c>
      <c r="T5342">
        <v>-6.6714290000000004E-3</v>
      </c>
      <c r="U5342">
        <v>-0.37489319999999998</v>
      </c>
      <c r="V5342">
        <v>9.1344060000000005E-2</v>
      </c>
      <c r="W5342">
        <v>6.3142050000000005E-2</v>
      </c>
      <c r="X5342">
        <v>0.99381549999999996</v>
      </c>
      <c r="Y5342">
        <v>0.1495969</v>
      </c>
      <c r="Z5342">
        <v>-2.2269919999999999E-4</v>
      </c>
      <c r="AA5342">
        <v>0.98874709999999999</v>
      </c>
      <c r="AB5342">
        <v>32</v>
      </c>
      <c r="AC5342">
        <v>69.862399999999894</v>
      </c>
      <c r="AD5342">
        <v>-0.15685859999999999</v>
      </c>
      <c r="AE5342">
        <v>-8.8222000000000094</v>
      </c>
      <c r="AF5342">
        <v>10.583877510293</v>
      </c>
      <c r="AG5342">
        <v>-0.15685859999999999</v>
      </c>
      <c r="AH5342">
        <v>69.616941002694006</v>
      </c>
      <c r="AI5342">
        <v>90.127630206585593</v>
      </c>
      <c r="AJ5342">
        <v>81.355506132644393</v>
      </c>
      <c r="AK5342">
        <v>70.417054343006001</v>
      </c>
      <c r="AL5342">
        <v>86.379818566632693</v>
      </c>
      <c r="AM5342">
        <v>84.748556810223107</v>
      </c>
      <c r="AN5342">
        <v>0.99999995190786695</v>
      </c>
    </row>
    <row r="5343" spans="1:40" x14ac:dyDescent="0.25">
      <c r="A5343" t="str">
        <f>"20190312150759405"</f>
        <v>20190312150759405</v>
      </c>
      <c r="B5343" t="str">
        <f>"1552374479394965"</f>
        <v>1552374479394965</v>
      </c>
      <c r="C5343" t="s">
        <v>40</v>
      </c>
      <c r="D5343">
        <v>4.4717500000000001</v>
      </c>
      <c r="E5343">
        <v>0.52258779999999905</v>
      </c>
      <c r="F5343" t="s">
        <v>76</v>
      </c>
      <c r="G5343">
        <v>-234.7379</v>
      </c>
      <c r="H5343">
        <v>0.77895639999999999</v>
      </c>
      <c r="I5343">
        <v>198.95</v>
      </c>
      <c r="J5343">
        <v>-355.22379999999998</v>
      </c>
      <c r="K5343">
        <v>1.110466</v>
      </c>
      <c r="L5343">
        <v>214.4701</v>
      </c>
      <c r="M5343">
        <v>0.9995792</v>
      </c>
      <c r="N5343">
        <v>0</v>
      </c>
      <c r="O5343">
        <v>2.515098E-2</v>
      </c>
      <c r="P5343">
        <v>0.99638870000000002</v>
      </c>
      <c r="Q5343">
        <v>4.9785299999999998E-2</v>
      </c>
      <c r="R5343">
        <v>-6.8784129999999999E-2</v>
      </c>
      <c r="S5343">
        <v>2.9851679999999998</v>
      </c>
      <c r="T5343">
        <v>-8.1918240000000003E-3</v>
      </c>
      <c r="U5343">
        <v>-0.38333129999999999</v>
      </c>
      <c r="V5343">
        <v>9.3842449999999994E-2</v>
      </c>
      <c r="W5343">
        <v>6.4127110000000001E-2</v>
      </c>
      <c r="X5343">
        <v>0.99351970000000001</v>
      </c>
      <c r="Y5343">
        <v>0.15227389999999999</v>
      </c>
      <c r="Z5343">
        <v>-2.7684429999999999E-4</v>
      </c>
      <c r="AA5343">
        <v>0.9883383</v>
      </c>
      <c r="AB5343">
        <v>32</v>
      </c>
      <c r="AC5343">
        <v>120.4859</v>
      </c>
      <c r="AD5343">
        <v>-0.33150960000000002</v>
      </c>
      <c r="AE5343">
        <v>-15.520099999999999</v>
      </c>
      <c r="AF5343">
        <v>18.5457062573789</v>
      </c>
      <c r="AG5343">
        <v>-0.33150960000000002</v>
      </c>
      <c r="AH5343">
        <v>120.056497481229</v>
      </c>
      <c r="AI5343">
        <v>90.156354787035895</v>
      </c>
      <c r="AJ5343">
        <v>81.218653783840196</v>
      </c>
      <c r="AK5343">
        <v>121.480927337011</v>
      </c>
      <c r="AL5343">
        <v>86.323264495583999</v>
      </c>
      <c r="AM5343">
        <v>84.604161898800001</v>
      </c>
      <c r="AN5343">
        <v>1.0000000429735201</v>
      </c>
    </row>
    <row r="5344" spans="1:40" x14ac:dyDescent="0.25">
      <c r="A5344" t="str">
        <f>"20190312150759427"</f>
        <v>20190312150759427</v>
      </c>
      <c r="B5344" t="str">
        <f>"1552374479415458"</f>
        <v>1552374479415458</v>
      </c>
      <c r="C5344" t="s">
        <v>40</v>
      </c>
      <c r="D5344">
        <v>4.447946</v>
      </c>
      <c r="E5344">
        <v>0.50191399999999997</v>
      </c>
      <c r="F5344" t="s">
        <v>76</v>
      </c>
      <c r="G5344">
        <v>-234.84970000000001</v>
      </c>
      <c r="H5344">
        <v>0.90434599999999998</v>
      </c>
      <c r="I5344">
        <v>198.86160000000001</v>
      </c>
      <c r="J5344">
        <v>-354.90390000000002</v>
      </c>
      <c r="K5344">
        <v>1.1104670000000001</v>
      </c>
      <c r="L5344">
        <v>214.47800000000001</v>
      </c>
      <c r="M5344">
        <v>0.99958219999999998</v>
      </c>
      <c r="N5344">
        <v>0</v>
      </c>
      <c r="O5344">
        <v>2.5036260000000001E-2</v>
      </c>
      <c r="P5344">
        <v>0.99617029999999995</v>
      </c>
      <c r="Q5344">
        <v>5.1176190000000003E-2</v>
      </c>
      <c r="R5344">
        <v>-7.0894440000000003E-2</v>
      </c>
      <c r="S5344">
        <v>2.9844059999999999</v>
      </c>
      <c r="T5344">
        <v>-5.1103829999999996E-3</v>
      </c>
      <c r="U5344">
        <v>-0.38697809999999999</v>
      </c>
      <c r="V5344">
        <v>9.5833600000000005E-2</v>
      </c>
      <c r="W5344">
        <v>6.5509419999999999E-2</v>
      </c>
      <c r="X5344">
        <v>0.99323930000000005</v>
      </c>
      <c r="Y5344">
        <v>0.15338060000000001</v>
      </c>
      <c r="Z5344">
        <v>-1.7348489999999999E-4</v>
      </c>
      <c r="AA5344">
        <v>0.98816720000000002</v>
      </c>
      <c r="AB5344">
        <v>32</v>
      </c>
      <c r="AC5344">
        <v>120.05419999999999</v>
      </c>
      <c r="AD5344">
        <v>-0.206121</v>
      </c>
      <c r="AE5344">
        <v>-15.616399999999899</v>
      </c>
      <c r="AF5344">
        <v>18.6174716797602</v>
      </c>
      <c r="AG5344">
        <v>-0.206121</v>
      </c>
      <c r="AH5344">
        <v>119.625196607945</v>
      </c>
      <c r="AI5344">
        <v>90.0975494676278</v>
      </c>
      <c r="AJ5344">
        <v>81.153926289762794</v>
      </c>
      <c r="AK5344">
        <v>121.065438507869</v>
      </c>
      <c r="AL5344">
        <v>86.243896654627406</v>
      </c>
      <c r="AM5344">
        <v>84.488824345343303</v>
      </c>
      <c r="AN5344">
        <v>0.99999993503109097</v>
      </c>
    </row>
    <row r="5345" spans="1:40" x14ac:dyDescent="0.25">
      <c r="A5345" t="str">
        <f>"20190312150759449"</f>
        <v>20190312150759449</v>
      </c>
      <c r="B5345" t="str">
        <f>"1552374479445715"</f>
        <v>1552374479445715</v>
      </c>
      <c r="C5345" t="s">
        <v>40</v>
      </c>
      <c r="D5345">
        <v>4.500394</v>
      </c>
      <c r="E5345">
        <v>0.49753069999999999</v>
      </c>
      <c r="F5345" t="s">
        <v>57</v>
      </c>
      <c r="G5345">
        <v>-168.4136</v>
      </c>
      <c r="H5345">
        <v>3.2858489999999998</v>
      </c>
      <c r="I5345">
        <v>200.2389</v>
      </c>
      <c r="J5345">
        <v>-354.59070000000003</v>
      </c>
      <c r="K5345">
        <v>1.110466</v>
      </c>
      <c r="L5345">
        <v>214.48570000000001</v>
      </c>
      <c r="M5345">
        <v>0.99958519999999895</v>
      </c>
      <c r="N5345">
        <v>0</v>
      </c>
      <c r="O5345">
        <v>2.4914450000000001E-2</v>
      </c>
      <c r="P5345">
        <v>0.99600180000000005</v>
      </c>
      <c r="Q5345">
        <v>5.2732349999999997E-2</v>
      </c>
      <c r="R5345">
        <v>-7.2110399999999894E-2</v>
      </c>
      <c r="S5345">
        <v>2.9934690000000002</v>
      </c>
      <c r="T5345">
        <v>3.4918900000000003E-2</v>
      </c>
      <c r="U5345">
        <v>-0.2285614</v>
      </c>
      <c r="V5345">
        <v>9.692539E-2</v>
      </c>
      <c r="W5345">
        <v>6.7057160000000005E-2</v>
      </c>
      <c r="X5345">
        <v>0.99303010000000003</v>
      </c>
      <c r="Y5345">
        <v>0.1009443</v>
      </c>
      <c r="Z5345">
        <v>8.7815600000000005E-4</v>
      </c>
      <c r="AA5345">
        <v>0.99489170000000005</v>
      </c>
      <c r="AB5345">
        <v>32</v>
      </c>
      <c r="AC5345">
        <v>186.1771</v>
      </c>
      <c r="AD5345">
        <v>2.1753830000000001</v>
      </c>
      <c r="AE5345">
        <v>-14.2468</v>
      </c>
      <c r="AF5345">
        <v>18.878798368640702</v>
      </c>
      <c r="AG5345">
        <v>2.1753830000000001</v>
      </c>
      <c r="AH5345">
        <v>185.739097098695</v>
      </c>
      <c r="AI5345">
        <v>89.332419655099997</v>
      </c>
      <c r="AJ5345">
        <v>84.196302884177797</v>
      </c>
      <c r="AK5345">
        <v>186.70873977957999</v>
      </c>
      <c r="AL5345">
        <v>86.155022420399803</v>
      </c>
      <c r="AM5345">
        <v>84.425264307698797</v>
      </c>
      <c r="AN5345">
        <v>0.99999998671996304</v>
      </c>
    </row>
    <row r="5346" spans="1:40" x14ac:dyDescent="0.25">
      <c r="A5346" t="str">
        <f>"20190312150759473"</f>
        <v>20190312150759473</v>
      </c>
      <c r="B5346" t="str">
        <f>"1552374479465235"</f>
        <v>1552374479465235</v>
      </c>
      <c r="C5346" t="s">
        <v>40</v>
      </c>
      <c r="D5346">
        <v>4.5922470000000004</v>
      </c>
      <c r="E5346">
        <v>0.49634010000000001</v>
      </c>
      <c r="F5346" t="s">
        <v>57</v>
      </c>
      <c r="G5346">
        <v>-168.41239999999999</v>
      </c>
      <c r="H5346">
        <v>1.595423</v>
      </c>
      <c r="I5346">
        <v>202.21440000000001</v>
      </c>
      <c r="J5346">
        <v>-354.24529999999999</v>
      </c>
      <c r="K5346">
        <v>1.11046</v>
      </c>
      <c r="L5346">
        <v>214.49420000000001</v>
      </c>
      <c r="M5346">
        <v>0.99958919999999996</v>
      </c>
      <c r="N5346">
        <v>0</v>
      </c>
      <c r="O5346">
        <v>2.4757769999999998E-2</v>
      </c>
      <c r="P5346">
        <v>0.99586569999999996</v>
      </c>
      <c r="Q5346">
        <v>5.3794260000000003E-2</v>
      </c>
      <c r="R5346">
        <v>-7.3197540000000005E-2</v>
      </c>
      <c r="S5346">
        <v>2.9972840000000001</v>
      </c>
      <c r="T5346">
        <v>7.8078509999999898E-3</v>
      </c>
      <c r="U5346">
        <v>-0.19755549999999999</v>
      </c>
      <c r="V5346">
        <v>9.7855750000000005E-2</v>
      </c>
      <c r="W5346">
        <v>6.8109970000000006E-2</v>
      </c>
      <c r="X5346">
        <v>0.99286719999999895</v>
      </c>
      <c r="Y5346">
        <v>9.0455019999999997E-2</v>
      </c>
      <c r="Z5346">
        <v>1.82127E-4</v>
      </c>
      <c r="AA5346">
        <v>0.99590049999999997</v>
      </c>
      <c r="AB5346">
        <v>32</v>
      </c>
      <c r="AC5346">
        <v>185.8329</v>
      </c>
      <c r="AD5346">
        <v>0.48496299999999998</v>
      </c>
      <c r="AE5346">
        <v>-12.2797999999999</v>
      </c>
      <c r="AF5346">
        <v>16.877208632317402</v>
      </c>
      <c r="AG5346">
        <v>0.48496299999999998</v>
      </c>
      <c r="AH5346">
        <v>185.47061671810101</v>
      </c>
      <c r="AI5346">
        <v>89.850801492373293</v>
      </c>
      <c r="AJ5346">
        <v>84.800594310467105</v>
      </c>
      <c r="AK5346">
        <v>186.23754998958401</v>
      </c>
      <c r="AL5346">
        <v>86.094562650442796</v>
      </c>
      <c r="AM5346">
        <v>84.371178426882295</v>
      </c>
      <c r="AN5346">
        <v>0.999999996328651</v>
      </c>
    </row>
    <row r="5347" spans="1:40" x14ac:dyDescent="0.25">
      <c r="A5347" t="str">
        <f>"20190312150759495"</f>
        <v>20190312150759495</v>
      </c>
      <c r="B5347" t="str">
        <f>"1552374479485731"</f>
        <v>1552374479485731</v>
      </c>
      <c r="C5347" t="s">
        <v>40</v>
      </c>
      <c r="D5347">
        <v>4.604584</v>
      </c>
      <c r="E5347">
        <v>0.49532399999999999</v>
      </c>
      <c r="F5347" t="s">
        <v>46</v>
      </c>
      <c r="G5347">
        <v>-234.5376</v>
      </c>
      <c r="H5347">
        <v>1.5030330000000001</v>
      </c>
      <c r="I5347">
        <v>206.8597</v>
      </c>
      <c r="J5347">
        <v>-353.9255</v>
      </c>
      <c r="K5347">
        <v>1.110444</v>
      </c>
      <c r="L5347">
        <v>214.50190000000001</v>
      </c>
      <c r="M5347">
        <v>0.99959359999999997</v>
      </c>
      <c r="N5347">
        <v>0</v>
      </c>
      <c r="O5347">
        <v>2.4579259999999999E-2</v>
      </c>
      <c r="P5347">
        <v>0.99574490000000004</v>
      </c>
      <c r="Q5347">
        <v>5.5188790000000001E-2</v>
      </c>
      <c r="R5347">
        <v>-7.3795860000000005E-2</v>
      </c>
      <c r="S5347">
        <v>2.9978940000000001</v>
      </c>
      <c r="T5347">
        <v>9.8326209999999997E-3</v>
      </c>
      <c r="U5347">
        <v>-0.19119259999999999</v>
      </c>
      <c r="V5347">
        <v>9.8277820000000002E-2</v>
      </c>
      <c r="W5347">
        <v>6.9493819999999998E-2</v>
      </c>
      <c r="X5347">
        <v>0.99272959999999999</v>
      </c>
      <c r="Y5347">
        <v>8.8158479999999997E-2</v>
      </c>
      <c r="Z5347">
        <v>2.24978E-4</v>
      </c>
      <c r="AA5347">
        <v>0.99610639999999995</v>
      </c>
      <c r="AB5347">
        <v>32</v>
      </c>
      <c r="AC5347">
        <v>119.3879</v>
      </c>
      <c r="AD5347">
        <v>0.39258900000000002</v>
      </c>
      <c r="AE5347">
        <v>-7.6421999999999999</v>
      </c>
      <c r="AF5347">
        <v>10.5745490050752</v>
      </c>
      <c r="AG5347">
        <v>0.39258900000000002</v>
      </c>
      <c r="AH5347">
        <v>119.162681042861</v>
      </c>
      <c r="AI5347">
        <v>89.811974987216004</v>
      </c>
      <c r="AJ5347">
        <v>84.928830945171299</v>
      </c>
      <c r="AK5347">
        <v>119.63160019871999</v>
      </c>
      <c r="AL5347">
        <v>86.015085519683396</v>
      </c>
      <c r="AM5347">
        <v>84.346278722727703</v>
      </c>
      <c r="AN5347">
        <v>0.99999998981915195</v>
      </c>
    </row>
    <row r="5348" spans="1:40" x14ac:dyDescent="0.25">
      <c r="A5348" t="str">
        <f>"20190312150759518"</f>
        <v>20190312150759518</v>
      </c>
      <c r="B5348" t="str">
        <f>"1552374479505250"</f>
        <v>1552374479505250</v>
      </c>
      <c r="C5348" t="s">
        <v>40</v>
      </c>
      <c r="D5348">
        <v>4.4027760000000002</v>
      </c>
      <c r="E5348">
        <v>0.49492009999999997</v>
      </c>
      <c r="F5348" t="s">
        <v>57</v>
      </c>
      <c r="G5348">
        <v>-168.41220000000001</v>
      </c>
      <c r="H5348">
        <v>1.8566819999999999</v>
      </c>
      <c r="I5348">
        <v>203.06190000000001</v>
      </c>
      <c r="J5348">
        <v>-353.59390000000002</v>
      </c>
      <c r="K5348">
        <v>1.110414</v>
      </c>
      <c r="L5348">
        <v>214.50980000000001</v>
      </c>
      <c r="M5348">
        <v>0.99959949999999997</v>
      </c>
      <c r="N5348">
        <v>0</v>
      </c>
      <c r="O5348">
        <v>2.4346900000000001E-2</v>
      </c>
      <c r="P5348">
        <v>0.99564370000000002</v>
      </c>
      <c r="Q5348">
        <v>5.6022910000000002E-2</v>
      </c>
      <c r="R5348">
        <v>-7.4534639999999999E-2</v>
      </c>
      <c r="S5348">
        <v>2.9984739999999999</v>
      </c>
      <c r="T5348">
        <v>1.2062069999999999E-2</v>
      </c>
      <c r="U5348">
        <v>-0.18490599999999999</v>
      </c>
      <c r="V5348">
        <v>9.8788630000000002E-2</v>
      </c>
      <c r="W5348">
        <v>7.031482E-2</v>
      </c>
      <c r="X5348">
        <v>0.99262110000000003</v>
      </c>
      <c r="Y5348">
        <v>8.5833919999999994E-2</v>
      </c>
      <c r="Z5348">
        <v>2.703483E-4</v>
      </c>
      <c r="AA5348">
        <v>0.99630940000000001</v>
      </c>
      <c r="AB5348">
        <v>32</v>
      </c>
      <c r="AC5348">
        <v>185.18170000000001</v>
      </c>
      <c r="AD5348">
        <v>0.74626799999999904</v>
      </c>
      <c r="AE5348">
        <v>-11.447900000000001</v>
      </c>
      <c r="AF5348">
        <v>15.9533171488945</v>
      </c>
      <c r="AG5348">
        <v>0.74626799999999904</v>
      </c>
      <c r="AH5348">
        <v>184.84505483355599</v>
      </c>
      <c r="AI5348">
        <v>89.769539881227004</v>
      </c>
      <c r="AJ5348">
        <v>85.067229211172901</v>
      </c>
      <c r="AK5348">
        <v>185.533715373787</v>
      </c>
      <c r="AL5348">
        <v>85.967930399572694</v>
      </c>
      <c r="AM5348">
        <v>84.3164676152863</v>
      </c>
      <c r="AN5348">
        <v>1.0000000077470499</v>
      </c>
    </row>
    <row r="5349" spans="1:40" x14ac:dyDescent="0.25">
      <c r="A5349" t="str">
        <f>"20190312150759539"</f>
        <v>20190312150759539</v>
      </c>
      <c r="B5349" t="str">
        <f>"1552374479534993"</f>
        <v>1552374479534993</v>
      </c>
      <c r="C5349" t="s">
        <v>40</v>
      </c>
      <c r="D5349">
        <v>4.4974600000000002</v>
      </c>
      <c r="E5349">
        <v>0.49440299999999998</v>
      </c>
      <c r="F5349" t="s">
        <v>57</v>
      </c>
      <c r="G5349">
        <v>-168.41220000000001</v>
      </c>
      <c r="H5349">
        <v>1.7300990000000001</v>
      </c>
      <c r="I5349">
        <v>203.15</v>
      </c>
      <c r="J5349">
        <v>-353.28489999999999</v>
      </c>
      <c r="K5349">
        <v>1.110384</v>
      </c>
      <c r="L5349">
        <v>214.5171</v>
      </c>
      <c r="M5349">
        <v>0.99960610000000005</v>
      </c>
      <c r="N5349">
        <v>0</v>
      </c>
      <c r="O5349">
        <v>2.407697E-2</v>
      </c>
      <c r="P5349">
        <v>0.99561129999999998</v>
      </c>
      <c r="Q5349">
        <v>5.6371659999999997E-2</v>
      </c>
      <c r="R5349">
        <v>-7.4704699999999999E-2</v>
      </c>
      <c r="S5349">
        <v>2.9988100000000002</v>
      </c>
      <c r="T5349">
        <v>1.003563E-2</v>
      </c>
      <c r="U5349">
        <v>-0.18396000000000001</v>
      </c>
      <c r="V5349">
        <v>9.8696619999999999E-2</v>
      </c>
      <c r="W5349">
        <v>7.0650640000000001E-2</v>
      </c>
      <c r="X5349">
        <v>0.9926064</v>
      </c>
      <c r="Y5349">
        <v>8.524516E-2</v>
      </c>
      <c r="Z5349">
        <v>2.230198E-4</v>
      </c>
      <c r="AA5349">
        <v>0.99636000000000002</v>
      </c>
      <c r="AB5349">
        <v>32</v>
      </c>
      <c r="AC5349">
        <v>184.87270000000001</v>
      </c>
      <c r="AD5349">
        <v>0.61971500000000002</v>
      </c>
      <c r="AE5349">
        <v>-11.367099999999899</v>
      </c>
      <c r="AF5349">
        <v>15.8152643605008</v>
      </c>
      <c r="AG5349">
        <v>0.61971500000000002</v>
      </c>
      <c r="AH5349">
        <v>184.54331605463801</v>
      </c>
      <c r="AI5349">
        <v>89.808298411389401</v>
      </c>
      <c r="AJ5349">
        <v>85.101750239376003</v>
      </c>
      <c r="AK5349">
        <v>185.22079293080401</v>
      </c>
      <c r="AL5349">
        <v>85.948641329804403</v>
      </c>
      <c r="AM5349">
        <v>84.321643005961604</v>
      </c>
      <c r="AN5349">
        <v>1.00000000052639</v>
      </c>
    </row>
    <row r="5350" spans="1:40" x14ac:dyDescent="0.25">
      <c r="A5350" t="str">
        <f>"20190312150759563"</f>
        <v>20190312150759563</v>
      </c>
      <c r="B5350" t="str">
        <f>"1552374479555489"</f>
        <v>1552374479555489</v>
      </c>
      <c r="C5350" t="s">
        <v>40</v>
      </c>
      <c r="D5350">
        <v>4.3853350000000004</v>
      </c>
      <c r="E5350">
        <v>0.49412299999999998</v>
      </c>
      <c r="F5350" t="s">
        <v>57</v>
      </c>
      <c r="G5350">
        <v>-168.4119</v>
      </c>
      <c r="H5350">
        <v>1.1952689999999999</v>
      </c>
      <c r="I5350">
        <v>203.41159999999999</v>
      </c>
      <c r="J5350">
        <v>-352.959</v>
      </c>
      <c r="K5350">
        <v>1.1103449999999999</v>
      </c>
      <c r="L5350">
        <v>214.52459999999999</v>
      </c>
      <c r="M5350">
        <v>0.99961420000000001</v>
      </c>
      <c r="N5350">
        <v>0</v>
      </c>
      <c r="O5350">
        <v>2.3731309999999999E-2</v>
      </c>
      <c r="P5350">
        <v>0.99559129999999996</v>
      </c>
      <c r="Q5350">
        <v>5.6734800000000002E-2</v>
      </c>
      <c r="R5350">
        <v>-7.4693369999999995E-2</v>
      </c>
      <c r="S5350">
        <v>2.9996339999999999</v>
      </c>
      <c r="T5350">
        <v>1.377821E-3</v>
      </c>
      <c r="U5350">
        <v>-0.18019099999999999</v>
      </c>
      <c r="V5350">
        <v>9.8349950000000005E-2</v>
      </c>
      <c r="W5350">
        <v>7.0999279999999998E-2</v>
      </c>
      <c r="X5350">
        <v>0.9926159</v>
      </c>
      <c r="Y5350">
        <v>8.3637089999999997E-2</v>
      </c>
      <c r="Z5350" s="1">
        <v>3.0084189999999998E-5</v>
      </c>
      <c r="AA5350">
        <v>0.9964963</v>
      </c>
      <c r="AB5350">
        <v>32</v>
      </c>
      <c r="AC5350">
        <v>184.5471</v>
      </c>
      <c r="AD5350">
        <v>8.4923999999999999E-2</v>
      </c>
      <c r="AE5350">
        <v>-11.113</v>
      </c>
      <c r="AF5350">
        <v>15.489866944754899</v>
      </c>
      <c r="AG5350">
        <v>8.4923999999999999E-2</v>
      </c>
      <c r="AH5350">
        <v>184.23132330110599</v>
      </c>
      <c r="AI5350">
        <v>89.973681573442803</v>
      </c>
      <c r="AJ5350">
        <v>85.193968618147295</v>
      </c>
      <c r="AK5350">
        <v>184.88137730806901</v>
      </c>
      <c r="AL5350">
        <v>85.928615305352906</v>
      </c>
      <c r="AM5350">
        <v>84.341512267659198</v>
      </c>
      <c r="AN5350">
        <v>0.99999996767916499</v>
      </c>
    </row>
    <row r="5351" spans="1:40" x14ac:dyDescent="0.25">
      <c r="A5351" t="str">
        <f>"20190312150759584"</f>
        <v>20190312150759584</v>
      </c>
      <c r="B5351" t="str">
        <f>"1552374479575013"</f>
        <v>1552374479575013</v>
      </c>
      <c r="C5351" t="s">
        <v>40</v>
      </c>
      <c r="D5351">
        <v>4.3928250000000002</v>
      </c>
      <c r="E5351">
        <v>0.49379220000000001</v>
      </c>
      <c r="F5351" t="s">
        <v>57</v>
      </c>
      <c r="G5351">
        <v>-168.4118</v>
      </c>
      <c r="H5351">
        <v>1.0748629999999999</v>
      </c>
      <c r="I5351">
        <v>203.60429999999999</v>
      </c>
      <c r="J5351">
        <v>-352.6438</v>
      </c>
      <c r="K5351">
        <v>1.110298</v>
      </c>
      <c r="L5351">
        <v>214.5317</v>
      </c>
      <c r="M5351">
        <v>0.9996237</v>
      </c>
      <c r="N5351">
        <v>0</v>
      </c>
      <c r="O5351">
        <v>2.3331500000000002E-2</v>
      </c>
      <c r="P5351">
        <v>0.99554580000000004</v>
      </c>
      <c r="Q5351">
        <v>5.7585450000000003E-2</v>
      </c>
      <c r="R5351">
        <v>-7.4648530000000005E-2</v>
      </c>
      <c r="S5351">
        <v>3</v>
      </c>
      <c r="T5351">
        <v>-5.7625769999999996E-4</v>
      </c>
      <c r="U5351">
        <v>-0.17752079999999901</v>
      </c>
      <c r="V5351">
        <v>9.7916009999999998E-2</v>
      </c>
      <c r="W5351">
        <v>7.1834930000000005E-2</v>
      </c>
      <c r="X5351">
        <v>0.99259869999999994</v>
      </c>
      <c r="Y5351">
        <v>8.2347370000000003E-2</v>
      </c>
      <c r="Z5351" s="1">
        <v>-1.2380640000000001E-5</v>
      </c>
      <c r="AA5351">
        <v>0.99660369999999998</v>
      </c>
      <c r="AB5351">
        <v>32</v>
      </c>
      <c r="AC5351">
        <v>184.232</v>
      </c>
      <c r="AD5351">
        <v>-3.5435000000000098E-2</v>
      </c>
      <c r="AE5351">
        <v>-10.9274</v>
      </c>
      <c r="AF5351">
        <v>15.2232804272218</v>
      </c>
      <c r="AG5351">
        <v>-3.5435000000000098E-2</v>
      </c>
      <c r="AH5351">
        <v>183.92685262493799</v>
      </c>
      <c r="AI5351">
        <v>90.011000879725501</v>
      </c>
      <c r="AJ5351">
        <v>85.268520617409806</v>
      </c>
      <c r="AK5351">
        <v>184.55578191734</v>
      </c>
      <c r="AL5351">
        <v>85.880613608542106</v>
      </c>
      <c r="AM5351">
        <v>84.366220714399105</v>
      </c>
      <c r="AN5351">
        <v>0.99999999071205703</v>
      </c>
    </row>
    <row r="5352" spans="1:40" x14ac:dyDescent="0.25">
      <c r="A5352" t="str">
        <f>"20190312150759606"</f>
        <v>20190312150759606</v>
      </c>
      <c r="B5352" t="str">
        <f>"1552374479595509"</f>
        <v>1552374479595509</v>
      </c>
      <c r="C5352" t="s">
        <v>40</v>
      </c>
      <c r="D5352">
        <v>4.5439309999999997</v>
      </c>
      <c r="E5352">
        <v>0.49355379999999899</v>
      </c>
      <c r="F5352" t="s">
        <v>57</v>
      </c>
      <c r="G5352">
        <v>-168.4117</v>
      </c>
      <c r="H5352">
        <v>0.93503380000000003</v>
      </c>
      <c r="I5352">
        <v>203.804</v>
      </c>
      <c r="J5352">
        <v>-352.33429999999998</v>
      </c>
      <c r="K5352">
        <v>1.1102559999999999</v>
      </c>
      <c r="L5352">
        <v>214.5384</v>
      </c>
      <c r="M5352">
        <v>0.99963440000000003</v>
      </c>
      <c r="N5352">
        <v>0</v>
      </c>
      <c r="O5352">
        <v>2.2873049999999999E-2</v>
      </c>
      <c r="P5352">
        <v>0.99555400000000005</v>
      </c>
      <c r="Q5352">
        <v>5.7972959999999997E-2</v>
      </c>
      <c r="R5352">
        <v>-7.423971E-2</v>
      </c>
      <c r="S5352">
        <v>3.0004580000000001</v>
      </c>
      <c r="T5352">
        <v>-2.8538700000000001E-3</v>
      </c>
      <c r="U5352">
        <v>-0.17471310000000001</v>
      </c>
      <c r="V5352">
        <v>9.7060779999999999E-2</v>
      </c>
      <c r="W5352">
        <v>7.2209709999999996E-2</v>
      </c>
      <c r="X5352">
        <v>0.99265550000000002</v>
      </c>
      <c r="Y5352">
        <v>8.095186E-2</v>
      </c>
      <c r="Z5352" s="1">
        <v>-6.0207519999999997E-5</v>
      </c>
      <c r="AA5352">
        <v>0.99671799999999999</v>
      </c>
      <c r="AB5352">
        <v>32</v>
      </c>
      <c r="AC5352">
        <v>183.92259999999999</v>
      </c>
      <c r="AD5352">
        <v>-0.175222199999999</v>
      </c>
      <c r="AE5352">
        <v>-10.7343999999999</v>
      </c>
      <c r="AF5352">
        <v>14.938885720361</v>
      </c>
      <c r="AG5352">
        <v>-0.175222199999999</v>
      </c>
      <c r="AH5352">
        <v>183.62875162130399</v>
      </c>
      <c r="AI5352">
        <v>90.054492722926895</v>
      </c>
      <c r="AJ5352">
        <v>85.349016739484199</v>
      </c>
      <c r="AK5352">
        <v>184.235499921659</v>
      </c>
      <c r="AL5352">
        <v>85.859084379807797</v>
      </c>
      <c r="AM5352">
        <v>84.415433053892798</v>
      </c>
      <c r="AN5352">
        <v>0.99999998945637103</v>
      </c>
    </row>
    <row r="5353" spans="1:40" x14ac:dyDescent="0.25">
      <c r="A5353" t="str">
        <f>"20190312150759627"</f>
        <v>20190312150759627</v>
      </c>
      <c r="B5353" t="str">
        <f>"1552374479615025"</f>
        <v>1552374479615025</v>
      </c>
      <c r="C5353" t="s">
        <v>40</v>
      </c>
      <c r="D5353">
        <v>4.5437079999999996</v>
      </c>
      <c r="E5353">
        <v>0.49368299999999998</v>
      </c>
      <c r="F5353" t="s">
        <v>57</v>
      </c>
      <c r="G5353">
        <v>-168.41159999999999</v>
      </c>
      <c r="H5353">
        <v>0.88991359999999997</v>
      </c>
      <c r="I5353">
        <v>204.0265</v>
      </c>
      <c r="J5353">
        <v>-352.02600000000001</v>
      </c>
      <c r="K5353">
        <v>1.1102160000000001</v>
      </c>
      <c r="L5353">
        <v>214.54499999999999</v>
      </c>
      <c r="M5353">
        <v>0.99964580000000003</v>
      </c>
      <c r="N5353">
        <v>0</v>
      </c>
      <c r="O5353">
        <v>2.236817E-2</v>
      </c>
      <c r="P5353">
        <v>0.9955003</v>
      </c>
      <c r="Q5353">
        <v>5.8821350000000001E-2</v>
      </c>
      <c r="R5353">
        <v>-7.4291949999999995E-2</v>
      </c>
      <c r="S5353">
        <v>3.0008240000000002</v>
      </c>
      <c r="T5353">
        <v>-3.5945180000000001E-3</v>
      </c>
      <c r="U5353">
        <v>-0.17150879999999999</v>
      </c>
      <c r="V5353">
        <v>9.6618259999999997E-2</v>
      </c>
      <c r="W5353">
        <v>7.3045289999999999E-2</v>
      </c>
      <c r="X5353">
        <v>0.99263760000000001</v>
      </c>
      <c r="Y5353">
        <v>7.9380469999999995E-2</v>
      </c>
      <c r="Z5353" s="1">
        <v>-7.4281020000000004E-5</v>
      </c>
      <c r="AA5353">
        <v>0.99684439999999996</v>
      </c>
      <c r="AB5353">
        <v>32</v>
      </c>
      <c r="AC5353">
        <v>183.61439999999999</v>
      </c>
      <c r="AD5353">
        <v>-0.22030239999999901</v>
      </c>
      <c r="AE5353">
        <v>-10.5184999999999</v>
      </c>
      <c r="AF5353">
        <v>14.6233919505154</v>
      </c>
      <c r="AG5353">
        <v>-0.22030239999999901</v>
      </c>
      <c r="AH5353">
        <v>183.33288322443801</v>
      </c>
      <c r="AI5353">
        <v>90.068631596386794</v>
      </c>
      <c r="AJ5353">
        <v>85.439506156985999</v>
      </c>
      <c r="AK5353">
        <v>183.91530169257601</v>
      </c>
      <c r="AL5353">
        <v>85.811082673525206</v>
      </c>
      <c r="AM5353">
        <v>84.440634757859598</v>
      </c>
      <c r="AN5353">
        <v>1.0000000537451801</v>
      </c>
    </row>
    <row r="5354" spans="1:40" x14ac:dyDescent="0.25">
      <c r="A5354" t="str">
        <f>"20190312150759651"</f>
        <v>20190312150759651</v>
      </c>
      <c r="B5354" t="str">
        <f>"1552374479645281"</f>
        <v>1552374479645281</v>
      </c>
      <c r="C5354" t="s">
        <v>40</v>
      </c>
      <c r="D5354">
        <v>4.5922989999999997</v>
      </c>
      <c r="E5354">
        <v>0.49357879999999899</v>
      </c>
      <c r="F5354" t="s">
        <v>57</v>
      </c>
      <c r="G5354">
        <v>-168.41149999999999</v>
      </c>
      <c r="H5354">
        <v>0.69446949999999996</v>
      </c>
      <c r="I5354">
        <v>203.97409999999999</v>
      </c>
      <c r="J5354">
        <v>-351.69589999999999</v>
      </c>
      <c r="K5354">
        <v>1.110177</v>
      </c>
      <c r="L5354">
        <v>214.55170000000001</v>
      </c>
      <c r="M5354">
        <v>0.99965890000000002</v>
      </c>
      <c r="N5354">
        <v>0</v>
      </c>
      <c r="O5354">
        <v>2.1778829999999999E-2</v>
      </c>
      <c r="P5354">
        <v>0.99547099999999999</v>
      </c>
      <c r="Q5354">
        <v>5.9639520000000001E-2</v>
      </c>
      <c r="R5354">
        <v>-7.4033680000000004E-2</v>
      </c>
      <c r="S5354">
        <v>3.0010680000000001</v>
      </c>
      <c r="T5354">
        <v>-6.7945719999999996E-3</v>
      </c>
      <c r="U5354">
        <v>-0.17277529999999999</v>
      </c>
      <c r="V5354">
        <v>9.5781389999999994E-2</v>
      </c>
      <c r="W5354">
        <v>7.3852319999999999E-2</v>
      </c>
      <c r="X5354">
        <v>0.99265890000000001</v>
      </c>
      <c r="Y5354">
        <v>7.920729E-2</v>
      </c>
      <c r="Z5354">
        <v>-1.3886789999999999E-4</v>
      </c>
      <c r="AA5354">
        <v>0.99685820000000003</v>
      </c>
      <c r="AB5354">
        <v>32</v>
      </c>
      <c r="AC5354">
        <v>183.28440000000001</v>
      </c>
      <c r="AD5354">
        <v>-0.41570750000000001</v>
      </c>
      <c r="AE5354">
        <v>-10.5776</v>
      </c>
      <c r="AF5354">
        <v>14.5671504483529</v>
      </c>
      <c r="AG5354">
        <v>-0.41570750000000001</v>
      </c>
      <c r="AH5354">
        <v>183.00958830111</v>
      </c>
      <c r="AI5354">
        <v>90.129737177213997</v>
      </c>
      <c r="AJ5354">
        <v>85.448980448080306</v>
      </c>
      <c r="AK5354">
        <v>183.58889970543501</v>
      </c>
      <c r="AL5354">
        <v>85.764717657204301</v>
      </c>
      <c r="AM5354">
        <v>84.488607582022894</v>
      </c>
      <c r="AN5354">
        <v>0.99999996579446104</v>
      </c>
    </row>
    <row r="5355" spans="1:40" x14ac:dyDescent="0.25">
      <c r="A5355" t="str">
        <f>"20190312150759673"</f>
        <v>20190312150759673</v>
      </c>
      <c r="B5355" t="str">
        <f>"1552374479665778"</f>
        <v>1552374479665778</v>
      </c>
      <c r="C5355" t="s">
        <v>40</v>
      </c>
      <c r="D5355">
        <v>4.3528289999999998</v>
      </c>
      <c r="E5355">
        <v>0.49354130000000002</v>
      </c>
      <c r="F5355" t="s">
        <v>57</v>
      </c>
      <c r="G5355">
        <v>-168.41149999999999</v>
      </c>
      <c r="H5355">
        <v>0.73147769999999901</v>
      </c>
      <c r="I5355">
        <v>204.08619999999999</v>
      </c>
      <c r="J5355">
        <v>-351.3707</v>
      </c>
      <c r="K5355">
        <v>1.1101430000000001</v>
      </c>
      <c r="L5355">
        <v>214.5582</v>
      </c>
      <c r="M5355">
        <v>0.99967229999999996</v>
      </c>
      <c r="N5355">
        <v>0</v>
      </c>
      <c r="O5355">
        <v>2.1155899999999998E-2</v>
      </c>
      <c r="P5355">
        <v>0.99539290000000002</v>
      </c>
      <c r="Q5355">
        <v>5.9825150000000001E-2</v>
      </c>
      <c r="R5355">
        <v>-7.4927629999999995E-2</v>
      </c>
      <c r="S5355">
        <v>3.0012819999999998</v>
      </c>
      <c r="T5355">
        <v>-6.2006709999999996E-3</v>
      </c>
      <c r="U5355">
        <v>-0.17137149999999901</v>
      </c>
      <c r="V5355">
        <v>9.6060690000000004E-2</v>
      </c>
      <c r="W5355">
        <v>7.4025880000000002E-2</v>
      </c>
      <c r="X5355">
        <v>0.99261900000000003</v>
      </c>
      <c r="Y5355">
        <v>7.8117290000000006E-2</v>
      </c>
      <c r="Z5355">
        <v>-1.24311E-4</v>
      </c>
      <c r="AA5355">
        <v>0.99694419999999995</v>
      </c>
      <c r="AB5355">
        <v>32</v>
      </c>
      <c r="AC5355">
        <v>182.95920000000001</v>
      </c>
      <c r="AD5355">
        <v>-0.37866529999999998</v>
      </c>
      <c r="AE5355">
        <v>-10.472</v>
      </c>
      <c r="AF5355">
        <v>14.3406631453364</v>
      </c>
      <c r="AG5355">
        <v>-0.37866529999999998</v>
      </c>
      <c r="AH5355">
        <v>182.69589556476001</v>
      </c>
      <c r="AI5355">
        <v>90.118389967753899</v>
      </c>
      <c r="AJ5355">
        <v>85.511786664147493</v>
      </c>
      <c r="AK5355">
        <v>183.25825564778</v>
      </c>
      <c r="AL5355">
        <v>85.754746180489207</v>
      </c>
      <c r="AM5355">
        <v>84.472414855672795</v>
      </c>
      <c r="AN5355">
        <v>0.99999998311702498</v>
      </c>
    </row>
    <row r="5356" spans="1:40" x14ac:dyDescent="0.25">
      <c r="A5356" t="str">
        <f>"20190312150759695"</f>
        <v>20190312150759695</v>
      </c>
      <c r="B5356" t="str">
        <f>"1552374479685301"</f>
        <v>1552374479685301</v>
      </c>
      <c r="C5356" t="s">
        <v>40</v>
      </c>
      <c r="D5356">
        <v>4.532565</v>
      </c>
      <c r="E5356">
        <v>0.49356329999999998</v>
      </c>
      <c r="F5356" t="s">
        <v>57</v>
      </c>
      <c r="G5356">
        <v>-168.41149999999999</v>
      </c>
      <c r="H5356">
        <v>0.69107439999999998</v>
      </c>
      <c r="I5356">
        <v>203.97630000000001</v>
      </c>
      <c r="J5356">
        <v>-351.06979999999999</v>
      </c>
      <c r="K5356">
        <v>1.1101179999999999</v>
      </c>
      <c r="L5356">
        <v>214.56389999999999</v>
      </c>
      <c r="M5356">
        <v>0.99968509999999999</v>
      </c>
      <c r="N5356">
        <v>0</v>
      </c>
      <c r="O5356">
        <v>2.054684E-2</v>
      </c>
      <c r="P5356">
        <v>0.99526179999999997</v>
      </c>
      <c r="Q5356">
        <v>6.0358410000000001E-2</v>
      </c>
      <c r="R5356">
        <v>-7.6230699999999998E-2</v>
      </c>
      <c r="S5356">
        <v>3.0012509999999999</v>
      </c>
      <c r="T5356">
        <v>-6.8738459999999899E-3</v>
      </c>
      <c r="U5356">
        <v>-0.17358399999999999</v>
      </c>
      <c r="V5356">
        <v>9.6761509999999995E-2</v>
      </c>
      <c r="W5356">
        <v>7.4547039999999995E-2</v>
      </c>
      <c r="X5356">
        <v>0.9925119</v>
      </c>
      <c r="Y5356">
        <v>7.824296E-2</v>
      </c>
      <c r="Z5356">
        <v>-1.3655509999999999E-4</v>
      </c>
      <c r="AA5356">
        <v>0.99693430000000005</v>
      </c>
      <c r="AB5356">
        <v>32</v>
      </c>
      <c r="AC5356">
        <v>182.6583</v>
      </c>
      <c r="AD5356">
        <v>-0.41904359999999902</v>
      </c>
      <c r="AE5356">
        <v>-10.587599999999901</v>
      </c>
      <c r="AF5356">
        <v>14.338729546818699</v>
      </c>
      <c r="AG5356">
        <v>-0.41904359999999902</v>
      </c>
      <c r="AH5356">
        <v>182.40121018052201</v>
      </c>
      <c r="AI5356">
        <v>90.131224703074196</v>
      </c>
      <c r="AJ5356">
        <v>85.505168904406503</v>
      </c>
      <c r="AK5356">
        <v>182.964412490174</v>
      </c>
      <c r="AL5356">
        <v>85.724803083603703</v>
      </c>
      <c r="AM5356">
        <v>84.431743286036095</v>
      </c>
      <c r="AN5356">
        <v>0.99999996131592495</v>
      </c>
    </row>
    <row r="5357" spans="1:40" x14ac:dyDescent="0.25">
      <c r="A5357" t="str">
        <f>"20190312150759717"</f>
        <v>20190312150759717</v>
      </c>
      <c r="B5357" t="str">
        <f>"1552374479705794"</f>
        <v>1552374479705794</v>
      </c>
      <c r="C5357" t="s">
        <v>40</v>
      </c>
      <c r="D5357">
        <v>4.402825</v>
      </c>
      <c r="E5357">
        <v>0.4935194</v>
      </c>
      <c r="F5357" t="s">
        <v>57</v>
      </c>
      <c r="G5357">
        <v>-168.41159999999999</v>
      </c>
      <c r="H5357">
        <v>0.69745639999999998</v>
      </c>
      <c r="I5357">
        <v>203.74449999999999</v>
      </c>
      <c r="J5357">
        <v>-350.76</v>
      </c>
      <c r="K5357">
        <v>1.110098</v>
      </c>
      <c r="L5357">
        <v>214.56960000000001</v>
      </c>
      <c r="M5357">
        <v>0.99969830000000004</v>
      </c>
      <c r="N5357">
        <v>0</v>
      </c>
      <c r="O5357">
        <v>1.9894419999999999E-2</v>
      </c>
      <c r="P5357">
        <v>0.99511530000000004</v>
      </c>
      <c r="Q5357">
        <v>6.0915070000000002E-2</v>
      </c>
      <c r="R5357">
        <v>-7.7686549999999993E-2</v>
      </c>
      <c r="S5357">
        <v>3.001099</v>
      </c>
      <c r="T5357">
        <v>-6.7795520000000003E-3</v>
      </c>
      <c r="U5357">
        <v>-0.177764899999999</v>
      </c>
      <c r="V5357">
        <v>9.7571350000000001E-2</v>
      </c>
      <c r="W5357">
        <v>7.5091480000000002E-2</v>
      </c>
      <c r="X5357">
        <v>0.99239160000000004</v>
      </c>
      <c r="Y5357">
        <v>7.8979359999999998E-2</v>
      </c>
      <c r="Z5357">
        <v>-1.3404150000000001E-4</v>
      </c>
      <c r="AA5357">
        <v>0.99687619999999999</v>
      </c>
      <c r="AB5357">
        <v>32</v>
      </c>
      <c r="AC5357">
        <v>182.3484</v>
      </c>
      <c r="AD5357">
        <v>-0.4126416</v>
      </c>
      <c r="AE5357">
        <v>-10.825100000000001</v>
      </c>
      <c r="AF5357">
        <v>14.4509755079629</v>
      </c>
      <c r="AG5357">
        <v>-0.4126416</v>
      </c>
      <c r="AH5357">
        <v>182.095992640872</v>
      </c>
      <c r="AI5357">
        <v>90.129428893306098</v>
      </c>
      <c r="AJ5357">
        <v>85.462567496724603</v>
      </c>
      <c r="AK5357">
        <v>182.66896699244299</v>
      </c>
      <c r="AL5357">
        <v>85.693521426097305</v>
      </c>
      <c r="AM5357">
        <v>84.384760358913098</v>
      </c>
      <c r="AN5357">
        <v>0.99999999322998601</v>
      </c>
    </row>
    <row r="5358" spans="1:40" x14ac:dyDescent="0.25">
      <c r="A5358" t="str">
        <f>"20190312150759740"</f>
        <v>20190312150759740</v>
      </c>
      <c r="B5358" t="str">
        <f>"1552374479735074"</f>
        <v>1552374479735074</v>
      </c>
      <c r="C5358" t="s">
        <v>40</v>
      </c>
      <c r="D5358">
        <v>4.6070710000000004</v>
      </c>
      <c r="E5358">
        <v>0.4934461</v>
      </c>
      <c r="F5358" t="s">
        <v>57</v>
      </c>
      <c r="G5358">
        <v>-168.4117</v>
      </c>
      <c r="H5358">
        <v>0.66538809999999904</v>
      </c>
      <c r="I5358">
        <v>203.51949999999999</v>
      </c>
      <c r="J5358">
        <v>-350.41899999999998</v>
      </c>
      <c r="K5358">
        <v>1.1100760000000001</v>
      </c>
      <c r="L5358">
        <v>214.57560000000001</v>
      </c>
      <c r="M5358">
        <v>0.99971279999999996</v>
      </c>
      <c r="N5358">
        <v>0</v>
      </c>
      <c r="O5358">
        <v>1.9155330000000002E-2</v>
      </c>
      <c r="P5358">
        <v>0.99497119999999994</v>
      </c>
      <c r="Q5358">
        <v>6.1940879999999997E-2</v>
      </c>
      <c r="R5358">
        <v>-7.871214E-2</v>
      </c>
      <c r="S5358">
        <v>3.0009459999999999</v>
      </c>
      <c r="T5358">
        <v>-7.3181390000000004E-3</v>
      </c>
      <c r="U5358">
        <v>-0.18185419999999999</v>
      </c>
      <c r="V5358">
        <v>9.7865779999999999E-2</v>
      </c>
      <c r="W5358">
        <v>7.6106149999999997E-2</v>
      </c>
      <c r="X5358">
        <v>0.99228530000000004</v>
      </c>
      <c r="Y5358">
        <v>7.9598849999999999E-2</v>
      </c>
      <c r="Z5358">
        <v>-1.4364520000000001E-4</v>
      </c>
      <c r="AA5358">
        <v>0.99682689999999996</v>
      </c>
      <c r="AB5358">
        <v>32</v>
      </c>
      <c r="AC5358">
        <v>182.00729999999999</v>
      </c>
      <c r="AD5358">
        <v>-0.44468790000000002</v>
      </c>
      <c r="AE5358">
        <v>-11.056100000000001</v>
      </c>
      <c r="AF5358">
        <v>14.540755998065899</v>
      </c>
      <c r="AG5358">
        <v>-0.44468790000000002</v>
      </c>
      <c r="AH5358">
        <v>181.76101211309299</v>
      </c>
      <c r="AI5358">
        <v>90.139730451115895</v>
      </c>
      <c r="AJ5358">
        <v>85.426117883673101</v>
      </c>
      <c r="AK5358">
        <v>182.342251978799</v>
      </c>
      <c r="AL5358">
        <v>85.635218241070305</v>
      </c>
      <c r="AM5358">
        <v>84.367325200607297</v>
      </c>
      <c r="AN5358">
        <v>0.99999998677946</v>
      </c>
    </row>
    <row r="5359" spans="1:40" x14ac:dyDescent="0.25">
      <c r="A5359" t="str">
        <f>"20190312150759764"</f>
        <v>20190312150759764</v>
      </c>
      <c r="B5359" t="str">
        <f>"1552374479755569"</f>
        <v>1552374479755569</v>
      </c>
      <c r="C5359" t="s">
        <v>40</v>
      </c>
      <c r="D5359">
        <v>4.3650010000000004</v>
      </c>
      <c r="E5359">
        <v>0.49330930000000001</v>
      </c>
      <c r="F5359" t="s">
        <v>57</v>
      </c>
      <c r="G5359">
        <v>-168.4117</v>
      </c>
      <c r="H5359">
        <v>0.58940509999999902</v>
      </c>
      <c r="I5359">
        <v>203.38849999999999</v>
      </c>
      <c r="J5359">
        <v>-350.09660000000002</v>
      </c>
      <c r="K5359">
        <v>1.110061</v>
      </c>
      <c r="L5359">
        <v>214.58099999999999</v>
      </c>
      <c r="M5359">
        <v>0.99972629999999996</v>
      </c>
      <c r="N5359">
        <v>0</v>
      </c>
      <c r="O5359">
        <v>1.844202E-2</v>
      </c>
      <c r="P5359">
        <v>0.99483279999999996</v>
      </c>
      <c r="Q5359">
        <v>6.2442530000000003E-2</v>
      </c>
      <c r="R5359">
        <v>-8.005756E-2</v>
      </c>
      <c r="S5359">
        <v>3.001099</v>
      </c>
      <c r="T5359">
        <v>-8.5847379999999997E-3</v>
      </c>
      <c r="U5359">
        <v>-0.1844635</v>
      </c>
      <c r="V5359">
        <v>9.8503370000000007E-2</v>
      </c>
      <c r="W5359">
        <v>7.6597760000000001E-2</v>
      </c>
      <c r="X5359">
        <v>0.99218439999999997</v>
      </c>
      <c r="Y5359">
        <v>7.9747899999999997E-2</v>
      </c>
      <c r="Z5359">
        <v>-1.6666779999999901E-4</v>
      </c>
      <c r="AA5359">
        <v>0.99681500000000001</v>
      </c>
      <c r="AB5359">
        <v>32</v>
      </c>
      <c r="AC5359">
        <v>181.6849</v>
      </c>
      <c r="AD5359">
        <v>-0.52065589999999995</v>
      </c>
      <c r="AE5359">
        <v>-11.1924999999999</v>
      </c>
      <c r="AF5359">
        <v>14.5414609143772</v>
      </c>
      <c r="AG5359">
        <v>-0.52065589999999995</v>
      </c>
      <c r="AH5359">
        <v>181.44607656341401</v>
      </c>
      <c r="AI5359">
        <v>90.1638832009575</v>
      </c>
      <c r="AJ5359">
        <v>85.417991606094901</v>
      </c>
      <c r="AK5359">
        <v>182.02857981192699</v>
      </c>
      <c r="AL5359">
        <v>85.606968689285495</v>
      </c>
      <c r="AM5359">
        <v>84.330294153717702</v>
      </c>
      <c r="AN5359">
        <v>1.0000000071708599</v>
      </c>
    </row>
    <row r="5360" spans="1:40" x14ac:dyDescent="0.25">
      <c r="A5360" t="str">
        <f>"20190312150759784"</f>
        <v>20190312150759784</v>
      </c>
      <c r="B5360" t="str">
        <f>"1552374479775090"</f>
        <v>1552374479775090</v>
      </c>
      <c r="C5360" t="s">
        <v>40</v>
      </c>
      <c r="D5360">
        <v>4.3422159999999996</v>
      </c>
      <c r="E5360">
        <v>0.48028910000000002</v>
      </c>
      <c r="F5360" t="s">
        <v>57</v>
      </c>
      <c r="G5360">
        <v>-168.4117</v>
      </c>
      <c r="H5360">
        <v>0.48511120000000002</v>
      </c>
      <c r="I5360">
        <v>203.22919999999999</v>
      </c>
      <c r="J5360">
        <v>-349.7962</v>
      </c>
      <c r="K5360">
        <v>1.11005</v>
      </c>
      <c r="L5360">
        <v>214.58590000000001</v>
      </c>
      <c r="M5360">
        <v>0.99973840000000003</v>
      </c>
      <c r="N5360">
        <v>0</v>
      </c>
      <c r="O5360">
        <v>1.7769549999999999E-2</v>
      </c>
      <c r="P5360">
        <v>0.99474700000000005</v>
      </c>
      <c r="Q5360">
        <v>6.2866749999999999E-2</v>
      </c>
      <c r="R5360">
        <v>-8.0786250000000004E-2</v>
      </c>
      <c r="S5360">
        <v>3.00116</v>
      </c>
      <c r="T5360">
        <v>-1.0322690000000001E-2</v>
      </c>
      <c r="U5360">
        <v>-0.1875153</v>
      </c>
      <c r="V5360">
        <v>9.8564669999999993E-2</v>
      </c>
      <c r="W5360">
        <v>7.701566E-2</v>
      </c>
      <c r="X5360">
        <v>0.99214599999999997</v>
      </c>
      <c r="Y5360">
        <v>8.0085710000000004E-2</v>
      </c>
      <c r="Z5360">
        <v>-1.986678E-4</v>
      </c>
      <c r="AA5360">
        <v>0.99678800000000001</v>
      </c>
      <c r="AB5360">
        <v>32</v>
      </c>
      <c r="AC5360">
        <v>181.3845</v>
      </c>
      <c r="AD5360">
        <v>-0.62493880000000002</v>
      </c>
      <c r="AE5360">
        <v>-11.3567</v>
      </c>
      <c r="AF5360">
        <v>14.578189322125899</v>
      </c>
      <c r="AG5360">
        <v>-0.62493880000000002</v>
      </c>
      <c r="AH5360">
        <v>181.151888723453</v>
      </c>
      <c r="AI5360">
        <v>90.197021574179303</v>
      </c>
      <c r="AJ5360">
        <v>85.399040143414496</v>
      </c>
      <c r="AK5360">
        <v>181.738606081619</v>
      </c>
      <c r="AL5360">
        <v>85.582954013668498</v>
      </c>
      <c r="AM5360">
        <v>84.326570683930896</v>
      </c>
      <c r="AN5360">
        <v>1.00000004568672</v>
      </c>
    </row>
    <row r="5361" spans="1:40" x14ac:dyDescent="0.25">
      <c r="A5361" t="str">
        <f>"20190312150759806"</f>
        <v>20190312150759806</v>
      </c>
      <c r="B5361" t="str">
        <f>"1552374479795586"</f>
        <v>1552374479795586</v>
      </c>
      <c r="C5361" t="s">
        <v>40</v>
      </c>
      <c r="D5361">
        <v>4.3357039999999998</v>
      </c>
      <c r="E5361">
        <v>0.4785548</v>
      </c>
      <c r="F5361" t="s">
        <v>67</v>
      </c>
      <c r="G5361">
        <v>-325.036</v>
      </c>
      <c r="H5361" s="1">
        <v>1.1431060000000001E-6</v>
      </c>
      <c r="I5361">
        <v>213.87639999999999</v>
      </c>
      <c r="J5361">
        <v>-349.4914</v>
      </c>
      <c r="K5361">
        <v>1.1100490000000001</v>
      </c>
      <c r="L5361">
        <v>214.59049999999999</v>
      </c>
      <c r="M5361">
        <v>0.99975060000000004</v>
      </c>
      <c r="N5361">
        <v>0</v>
      </c>
      <c r="O5361">
        <v>1.7082030000000002E-2</v>
      </c>
      <c r="P5361">
        <v>0.99472609999999995</v>
      </c>
      <c r="Q5361">
        <v>6.2661069999999999E-2</v>
      </c>
      <c r="R5361">
        <v>-8.1203800000000007E-2</v>
      </c>
      <c r="S5361">
        <v>3.017334</v>
      </c>
      <c r="T5361">
        <v>-0.1352727</v>
      </c>
      <c r="U5361">
        <v>-8.64563E-2</v>
      </c>
      <c r="V5361">
        <v>9.8299590000000006E-2</v>
      </c>
      <c r="W5361">
        <v>7.6806459999999993E-2</v>
      </c>
      <c r="X5361">
        <v>0.99218850000000003</v>
      </c>
      <c r="Y5361">
        <v>4.56511E-2</v>
      </c>
      <c r="Z5361">
        <v>-1.7879650000000001E-3</v>
      </c>
      <c r="AA5361">
        <v>0.99895579999999995</v>
      </c>
      <c r="AB5361">
        <v>32</v>
      </c>
      <c r="AC5361">
        <v>24.455400000000001</v>
      </c>
      <c r="AD5361">
        <v>-1.110047856894</v>
      </c>
      <c r="AE5361">
        <v>-0.71410000000000196</v>
      </c>
      <c r="AF5361">
        <v>1.12946182716015</v>
      </c>
      <c r="AG5361">
        <v>-1.110047856894</v>
      </c>
      <c r="AH5361">
        <v>24.389424354492299</v>
      </c>
      <c r="AI5361">
        <v>92.603146611749295</v>
      </c>
      <c r="AJ5361">
        <v>87.348555934234199</v>
      </c>
      <c r="AK5361">
        <v>24.4407837559909</v>
      </c>
      <c r="AL5361">
        <v>85.5949758330148</v>
      </c>
      <c r="AM5361">
        <v>84.341970468515598</v>
      </c>
      <c r="AN5361">
        <v>1.00000003061207</v>
      </c>
    </row>
    <row r="5362" spans="1:40" x14ac:dyDescent="0.25">
      <c r="A5362" t="str">
        <f>"20190312150759829"</f>
        <v>20190312150759829</v>
      </c>
      <c r="B5362" t="str">
        <f>"1552374479825842"</f>
        <v>1552374479825842</v>
      </c>
      <c r="C5362" t="s">
        <v>40</v>
      </c>
      <c r="D5362">
        <v>4.7309369999999999</v>
      </c>
      <c r="E5362">
        <v>0.47749449999999999</v>
      </c>
      <c r="F5362" t="s">
        <v>68</v>
      </c>
      <c r="G5362">
        <v>-319.8904</v>
      </c>
      <c r="H5362" s="1">
        <v>5.29160999999999E-6</v>
      </c>
      <c r="I5362">
        <v>213.86670000000001</v>
      </c>
      <c r="J5362">
        <v>-349.17399999999998</v>
      </c>
      <c r="K5362">
        <v>1.1100479999999999</v>
      </c>
      <c r="L5362">
        <v>214.59520000000001</v>
      </c>
      <c r="M5362">
        <v>0.99976259999999995</v>
      </c>
      <c r="N5362">
        <v>0</v>
      </c>
      <c r="O5362">
        <v>1.636541E-2</v>
      </c>
      <c r="P5362">
        <v>0.99462110000000004</v>
      </c>
      <c r="Q5362">
        <v>6.3202629999999996E-2</v>
      </c>
      <c r="R5362">
        <v>-8.2065319999999997E-2</v>
      </c>
      <c r="S5362">
        <v>3.0169980000000001</v>
      </c>
      <c r="T5362">
        <v>-0.1131378</v>
      </c>
      <c r="U5362">
        <v>-7.3776250000000002E-2</v>
      </c>
      <c r="V5362">
        <v>9.8448620000000001E-2</v>
      </c>
      <c r="W5362">
        <v>7.7342750000000002E-2</v>
      </c>
      <c r="X5362">
        <v>0.99213200000000001</v>
      </c>
      <c r="Y5362">
        <v>4.0765019999999999E-2</v>
      </c>
      <c r="Z5362">
        <v>-1.377435E-3</v>
      </c>
      <c r="AA5362">
        <v>0.99916780000000005</v>
      </c>
      <c r="AB5362">
        <v>32</v>
      </c>
      <c r="AC5362">
        <v>29.2836</v>
      </c>
      <c r="AD5362">
        <v>-1.11004270839</v>
      </c>
      <c r="AE5362">
        <v>-0.72849999999999604</v>
      </c>
      <c r="AF5362">
        <v>1.2059583413215</v>
      </c>
      <c r="AG5362">
        <v>-1.11004270839</v>
      </c>
      <c r="AH5362">
        <v>29.225785092944101</v>
      </c>
      <c r="AI5362">
        <v>92.173293413884906</v>
      </c>
      <c r="AJ5362">
        <v>87.637115759789907</v>
      </c>
      <c r="AK5362">
        <v>29.271710654391399</v>
      </c>
      <c r="AL5362">
        <v>85.564156728422603</v>
      </c>
      <c r="AM5362">
        <v>84.333127631171607</v>
      </c>
      <c r="AN5362">
        <v>0.99999996859073204</v>
      </c>
    </row>
    <row r="5363" spans="1:40" x14ac:dyDescent="0.25">
      <c r="A5363" t="str">
        <f>"20190312150759852"</f>
        <v>20190312150759852</v>
      </c>
      <c r="B5363" t="str">
        <f>"1552374479845362"</f>
        <v>1552374479845362</v>
      </c>
      <c r="C5363" t="s">
        <v>40</v>
      </c>
      <c r="D5363">
        <v>4.7412809999999999</v>
      </c>
      <c r="E5363">
        <v>0.47711769999999998</v>
      </c>
      <c r="F5363" t="s">
        <v>68</v>
      </c>
      <c r="G5363">
        <v>-319.50409999999999</v>
      </c>
      <c r="H5363" s="1">
        <v>5.1203139999999999E-6</v>
      </c>
      <c r="I5363">
        <v>213.9281</v>
      </c>
      <c r="J5363">
        <v>-348.8476</v>
      </c>
      <c r="K5363">
        <v>1.11005</v>
      </c>
      <c r="L5363">
        <v>214.59979999999999</v>
      </c>
      <c r="M5363">
        <v>0.99977439999999995</v>
      </c>
      <c r="N5363">
        <v>0</v>
      </c>
      <c r="O5363">
        <v>1.5629810000000001E-2</v>
      </c>
      <c r="P5363">
        <v>0.99451129999999999</v>
      </c>
      <c r="Q5363">
        <v>6.3832449999999999E-2</v>
      </c>
      <c r="R5363">
        <v>-8.2902660000000003E-2</v>
      </c>
      <c r="S5363">
        <v>3.0177610000000001</v>
      </c>
      <c r="T5363">
        <v>-0.1129038</v>
      </c>
      <c r="U5363">
        <v>-6.7855830000000006E-2</v>
      </c>
      <c r="V5363">
        <v>9.8554749999999997E-2</v>
      </c>
      <c r="W5363">
        <v>7.7967899999999896E-2</v>
      </c>
      <c r="X5363">
        <v>0.99207259999999997</v>
      </c>
      <c r="Y5363">
        <v>3.806698E-2</v>
      </c>
      <c r="Z5363">
        <v>-1.2963129999999999E-3</v>
      </c>
      <c r="AA5363">
        <v>0.99927440000000001</v>
      </c>
      <c r="AB5363">
        <v>32</v>
      </c>
      <c r="AC5363">
        <v>29.343499999999999</v>
      </c>
      <c r="AD5363">
        <v>-1.1100448796860001</v>
      </c>
      <c r="AE5363">
        <v>-0.67169999999998697</v>
      </c>
      <c r="AF5363">
        <v>1.1286843391288399</v>
      </c>
      <c r="AG5363">
        <v>-1.1100448796860001</v>
      </c>
      <c r="AH5363">
        <v>29.2875250361753</v>
      </c>
      <c r="AI5363">
        <v>92.168955847630102</v>
      </c>
      <c r="AJ5363">
        <v>87.793024079307301</v>
      </c>
      <c r="AK5363">
        <v>29.330278735752</v>
      </c>
      <c r="AL5363">
        <v>85.528230090973807</v>
      </c>
      <c r="AM5363">
        <v>84.326720981884094</v>
      </c>
      <c r="AN5363">
        <v>1.0000000379243601</v>
      </c>
    </row>
    <row r="5364" spans="1:40" x14ac:dyDescent="0.25">
      <c r="A5364" t="str">
        <f>"20190312150759865"</f>
        <v>20190312150759865</v>
      </c>
      <c r="B5364" t="str">
        <f>"1552374479855122"</f>
        <v>1552374479855122</v>
      </c>
      <c r="C5364" t="s">
        <v>40</v>
      </c>
      <c r="D5364">
        <v>4.2834879999999904</v>
      </c>
      <c r="E5364">
        <v>0.47680739999999999</v>
      </c>
      <c r="F5364" t="s">
        <v>68</v>
      </c>
      <c r="G5364">
        <v>-319.02609999999999</v>
      </c>
      <c r="H5364" s="1">
        <v>4.9083589999999998E-6</v>
      </c>
      <c r="I5364">
        <v>213.9323</v>
      </c>
      <c r="J5364">
        <v>-348.66250000000002</v>
      </c>
      <c r="K5364">
        <v>1.11005</v>
      </c>
      <c r="L5364">
        <v>214.60220000000001</v>
      </c>
      <c r="M5364">
        <v>0.99978089999999997</v>
      </c>
      <c r="N5364">
        <v>0</v>
      </c>
      <c r="O5364">
        <v>1.521314E-2</v>
      </c>
      <c r="P5364">
        <v>0.99447110000000005</v>
      </c>
      <c r="Q5364">
        <v>6.4033080000000006E-2</v>
      </c>
      <c r="R5364">
        <v>-8.3230419999999999E-2</v>
      </c>
      <c r="S5364">
        <v>3.018097</v>
      </c>
      <c r="T5364">
        <v>-0.1123427</v>
      </c>
      <c r="U5364">
        <v>-6.7550659999999998E-2</v>
      </c>
      <c r="V5364">
        <v>9.8468269999999997E-2</v>
      </c>
      <c r="W5364">
        <v>7.816613E-2</v>
      </c>
      <c r="X5364">
        <v>0.99206550000000004</v>
      </c>
      <c r="Y5364">
        <v>3.7548049999999999E-2</v>
      </c>
      <c r="Z5364">
        <v>-1.2645759999999999E-3</v>
      </c>
      <c r="AA5364">
        <v>0.99929400000000002</v>
      </c>
      <c r="AB5364">
        <v>32</v>
      </c>
      <c r="AC5364">
        <v>29.636399999999998</v>
      </c>
      <c r="AD5364">
        <v>-1.1100450916410001</v>
      </c>
      <c r="AE5364">
        <v>-0.66990000000001204</v>
      </c>
      <c r="AF5364">
        <v>1.11916248338501</v>
      </c>
      <c r="AG5364">
        <v>-1.1100450916410001</v>
      </c>
      <c r="AH5364">
        <v>29.5812984802321</v>
      </c>
      <c r="AI5364">
        <v>92.147494150879496</v>
      </c>
      <c r="AJ5364">
        <v>87.83333654306</v>
      </c>
      <c r="AK5364">
        <v>29.62326694587</v>
      </c>
      <c r="AL5364">
        <v>85.516837186203702</v>
      </c>
      <c r="AM5364">
        <v>84.3316264452951</v>
      </c>
      <c r="AN5364">
        <v>0.99999995018310806</v>
      </c>
    </row>
    <row r="5365" spans="1:40" x14ac:dyDescent="0.25">
      <c r="A5365" t="str">
        <f>"20190312150759885"</f>
        <v>20190312150759885</v>
      </c>
      <c r="B5365" t="str">
        <f>"1552374479875617"</f>
        <v>1552374479875617</v>
      </c>
      <c r="C5365" t="s">
        <v>40</v>
      </c>
      <c r="D5365">
        <v>4.5081239999999996</v>
      </c>
      <c r="E5365">
        <v>0.476545</v>
      </c>
      <c r="F5365" t="s">
        <v>68</v>
      </c>
      <c r="G5365">
        <v>-319.25720000000001</v>
      </c>
      <c r="H5365" s="1">
        <v>5.0108359999999997E-6</v>
      </c>
      <c r="I5365">
        <v>213.9579</v>
      </c>
      <c r="J5365">
        <v>-348.37909999999999</v>
      </c>
      <c r="K5365">
        <v>1.110052</v>
      </c>
      <c r="L5365">
        <v>214.60589999999999</v>
      </c>
      <c r="M5365">
        <v>0.99979039999999997</v>
      </c>
      <c r="N5365">
        <v>0</v>
      </c>
      <c r="O5365">
        <v>1.457721E-2</v>
      </c>
      <c r="P5365">
        <v>0.99441389999999996</v>
      </c>
      <c r="Q5365">
        <v>6.4075450000000006E-2</v>
      </c>
      <c r="R5365">
        <v>-8.3877380000000001E-2</v>
      </c>
      <c r="S5365">
        <v>3.018494</v>
      </c>
      <c r="T5365">
        <v>-0.1139477</v>
      </c>
      <c r="U5365">
        <v>-6.6146849999999993E-2</v>
      </c>
      <c r="V5365">
        <v>9.8482799999999995E-2</v>
      </c>
      <c r="W5365">
        <v>7.82051E-2</v>
      </c>
      <c r="X5365">
        <v>0.99206099999999997</v>
      </c>
      <c r="Y5365">
        <v>3.6445159999999997E-2</v>
      </c>
      <c r="Z5365">
        <v>-1.237663E-3</v>
      </c>
      <c r="AA5365">
        <v>0.99933490000000003</v>
      </c>
      <c r="AB5365">
        <v>31</v>
      </c>
      <c r="AC5365">
        <v>29.121899999999901</v>
      </c>
      <c r="AD5365">
        <v>-1.1100469891639999</v>
      </c>
      <c r="AE5365">
        <v>-0.64799999999999602</v>
      </c>
      <c r="AF5365">
        <v>1.0709358380190901</v>
      </c>
      <c r="AG5365">
        <v>-1.1100469891639999</v>
      </c>
      <c r="AH5365">
        <v>29.067146562293999</v>
      </c>
      <c r="AI5365">
        <v>92.185527740251601</v>
      </c>
      <c r="AJ5365">
        <v>87.889976513708604</v>
      </c>
      <c r="AK5365">
        <v>29.108042138920698</v>
      </c>
      <c r="AL5365">
        <v>85.514597574011006</v>
      </c>
      <c r="AM5365">
        <v>84.330769918966197</v>
      </c>
      <c r="AN5365">
        <v>0.99999996364142396</v>
      </c>
    </row>
    <row r="5366" spans="1:40" x14ac:dyDescent="0.25">
      <c r="A5366" t="str">
        <f>"20190312150759898"</f>
        <v>20190312150759898</v>
      </c>
      <c r="B5366" t="str">
        <f>"1552374479895138"</f>
        <v>1552374479895138</v>
      </c>
      <c r="C5366" t="s">
        <v>40</v>
      </c>
      <c r="D5366">
        <v>4.3434699999999999</v>
      </c>
      <c r="E5366">
        <v>0.47607139999999998</v>
      </c>
      <c r="F5366" t="s">
        <v>68</v>
      </c>
      <c r="G5366">
        <v>-319.48790000000002</v>
      </c>
      <c r="H5366" s="1">
        <v>5.1131530000000002E-6</v>
      </c>
      <c r="I5366">
        <v>213.97620000000001</v>
      </c>
      <c r="J5366">
        <v>-348.19549999999998</v>
      </c>
      <c r="K5366">
        <v>1.1100460000000001</v>
      </c>
      <c r="L5366">
        <v>214.60810000000001</v>
      </c>
      <c r="M5366">
        <v>0.99979629999999997</v>
      </c>
      <c r="N5366">
        <v>0</v>
      </c>
      <c r="O5366">
        <v>1.416567E-2</v>
      </c>
      <c r="P5366">
        <v>0.99439829999999996</v>
      </c>
      <c r="Q5366">
        <v>6.3842739999999995E-2</v>
      </c>
      <c r="R5366">
        <v>-8.4240510000000005E-2</v>
      </c>
      <c r="S5366">
        <v>3.0187680000000001</v>
      </c>
      <c r="T5366">
        <v>-0.1159862</v>
      </c>
      <c r="U5366">
        <v>-6.5795899999999893E-2</v>
      </c>
      <c r="V5366">
        <v>9.8436339999999997E-2</v>
      </c>
      <c r="W5366">
        <v>7.7971700000000005E-2</v>
      </c>
      <c r="X5366">
        <v>0.99208399999999997</v>
      </c>
      <c r="Y5366">
        <v>3.5915089999999997E-2</v>
      </c>
      <c r="Z5366">
        <v>-1.23369E-3</v>
      </c>
      <c r="AA5366">
        <v>0.99935410000000002</v>
      </c>
      <c r="AB5366">
        <v>31</v>
      </c>
      <c r="AC5366">
        <v>28.7075999999999</v>
      </c>
      <c r="AD5366">
        <v>-1.110040886847</v>
      </c>
      <c r="AE5366">
        <v>-0.63190000000000102</v>
      </c>
      <c r="AF5366">
        <v>1.0369913002214499</v>
      </c>
      <c r="AG5366">
        <v>-1.110040886847</v>
      </c>
      <c r="AH5366">
        <v>28.652947075850602</v>
      </c>
      <c r="AI5366">
        <v>92.217130347584302</v>
      </c>
      <c r="AJ5366">
        <v>87.927288106838702</v>
      </c>
      <c r="AK5366">
        <v>28.693185913361098</v>
      </c>
      <c r="AL5366">
        <v>85.528011447300798</v>
      </c>
      <c r="AM5366">
        <v>84.333557526953797</v>
      </c>
      <c r="AN5366">
        <v>0.99999998104474197</v>
      </c>
    </row>
    <row r="5367" spans="1:40" x14ac:dyDescent="0.25">
      <c r="A5367" t="str">
        <f>"20190312150759918"</f>
        <v>20190312150759918</v>
      </c>
      <c r="B5367" t="str">
        <f>"1552374479915634"</f>
        <v>1552374479915634</v>
      </c>
      <c r="C5367" t="s">
        <v>40</v>
      </c>
      <c r="D5367">
        <v>4.837091</v>
      </c>
      <c r="E5367">
        <v>0.47584749999999998</v>
      </c>
      <c r="F5367" t="s">
        <v>68</v>
      </c>
      <c r="G5367">
        <v>-318.86900000000003</v>
      </c>
      <c r="H5367" s="1">
        <v>4.8386840000000003E-6</v>
      </c>
      <c r="I5367">
        <v>213.99539999999999</v>
      </c>
      <c r="J5367">
        <v>-347.91750000000002</v>
      </c>
      <c r="K5367">
        <v>1.1100429999999999</v>
      </c>
      <c r="L5367">
        <v>214.6114</v>
      </c>
      <c r="M5367">
        <v>0.99980500000000005</v>
      </c>
      <c r="N5367">
        <v>0</v>
      </c>
      <c r="O5367">
        <v>1.354299E-2</v>
      </c>
      <c r="P5367">
        <v>0.99437489999999995</v>
      </c>
      <c r="Q5367">
        <v>6.3926999999999998E-2</v>
      </c>
      <c r="R5367">
        <v>-8.445242E-2</v>
      </c>
      <c r="S5367">
        <v>3.0189210000000002</v>
      </c>
      <c r="T5367">
        <v>-0.1142696</v>
      </c>
      <c r="U5367">
        <v>-6.3079830000000003E-2</v>
      </c>
      <c r="V5367">
        <v>9.8029459999999999E-2</v>
      </c>
      <c r="W5367">
        <v>7.8053940000000002E-2</v>
      </c>
      <c r="X5367">
        <v>0.99211780000000005</v>
      </c>
      <c r="Y5367">
        <v>3.4395469999999997E-2</v>
      </c>
      <c r="Z5367">
        <v>-1.1630880000000001E-3</v>
      </c>
      <c r="AA5367">
        <v>0.99940759999999995</v>
      </c>
      <c r="AB5367">
        <v>31</v>
      </c>
      <c r="AC5367">
        <v>29.048499999999901</v>
      </c>
      <c r="AD5367">
        <v>-1.110038161316</v>
      </c>
      <c r="AE5367">
        <v>-0.61600000000001298</v>
      </c>
      <c r="AF5367">
        <v>1.0079165220653401</v>
      </c>
      <c r="AG5367">
        <v>-1.110038161316</v>
      </c>
      <c r="AH5367">
        <v>28.995170771971601</v>
      </c>
      <c r="AI5367">
        <v>92.191093219909902</v>
      </c>
      <c r="AJ5367">
        <v>88.009112642620906</v>
      </c>
      <c r="AK5367">
        <v>29.033911354325401</v>
      </c>
      <c r="AL5367">
        <v>85.523284947195407</v>
      </c>
      <c r="AM5367">
        <v>84.3570189115174</v>
      </c>
      <c r="AN5367">
        <v>0.99999996082712606</v>
      </c>
    </row>
    <row r="5368" spans="1:40" x14ac:dyDescent="0.25">
      <c r="A5368" t="str">
        <f>"20190312150759941"</f>
        <v>20190312150759941</v>
      </c>
      <c r="B5368" t="str">
        <f>"1552374479935153"</f>
        <v>1552374479935153</v>
      </c>
      <c r="C5368" t="s">
        <v>40</v>
      </c>
      <c r="D5368">
        <v>4.3603249999999996</v>
      </c>
      <c r="E5368">
        <v>0.47582429999999898</v>
      </c>
      <c r="F5368" t="s">
        <v>68</v>
      </c>
      <c r="G5368">
        <v>-318.71570000000003</v>
      </c>
      <c r="H5368" s="1">
        <v>4.7706879999999996E-6</v>
      </c>
      <c r="I5368">
        <v>214.0138</v>
      </c>
      <c r="J5368">
        <v>-347.58139999999997</v>
      </c>
      <c r="K5368">
        <v>1.1100460000000001</v>
      </c>
      <c r="L5368">
        <v>214.61519999999999</v>
      </c>
      <c r="M5368">
        <v>0.99981500000000001</v>
      </c>
      <c r="N5368">
        <v>0</v>
      </c>
      <c r="O5368">
        <v>1.279015E-2</v>
      </c>
      <c r="P5368">
        <v>0.99431230000000004</v>
      </c>
      <c r="Q5368">
        <v>6.4369079999999995E-2</v>
      </c>
      <c r="R5368">
        <v>-8.4851640000000006E-2</v>
      </c>
      <c r="S5368">
        <v>3.019104</v>
      </c>
      <c r="T5368">
        <v>-0.114764</v>
      </c>
      <c r="U5368">
        <v>-6.1782839999999999E-2</v>
      </c>
      <c r="V5368">
        <v>9.7680740000000002E-2</v>
      </c>
      <c r="W5368">
        <v>7.8493179999999996E-2</v>
      </c>
      <c r="X5368">
        <v>0.99211760000000004</v>
      </c>
      <c r="Y5368">
        <v>3.3213579999999999E-2</v>
      </c>
      <c r="Z5368">
        <v>-1.11699E-3</v>
      </c>
      <c r="AA5368">
        <v>0.99944759999999999</v>
      </c>
      <c r="AB5368">
        <v>31</v>
      </c>
      <c r="AC5368">
        <v>28.865699999999901</v>
      </c>
      <c r="AD5368">
        <v>-1.1100412293120001</v>
      </c>
      <c r="AE5368">
        <v>-0.60139999999998395</v>
      </c>
      <c r="AF5368">
        <v>0.96915295599857698</v>
      </c>
      <c r="AG5368">
        <v>-1.1100412293120001</v>
      </c>
      <c r="AH5368">
        <v>28.8130548773863</v>
      </c>
      <c r="AI5368">
        <v>92.205019411281</v>
      </c>
      <c r="AJ5368">
        <v>88.073531341628495</v>
      </c>
      <c r="AK5368">
        <v>28.850711955689601</v>
      </c>
      <c r="AL5368">
        <v>85.498041160562707</v>
      </c>
      <c r="AM5368">
        <v>84.376962676845693</v>
      </c>
      <c r="AN5368">
        <v>1.0000000192516101</v>
      </c>
    </row>
    <row r="5369" spans="1:40" x14ac:dyDescent="0.25">
      <c r="A5369" t="str">
        <f>"20190312150759965"</f>
        <v>20190312150759965</v>
      </c>
      <c r="B5369" t="str">
        <f>"1552374479955650"</f>
        <v>1552374479955650</v>
      </c>
      <c r="C5369" t="s">
        <v>40</v>
      </c>
      <c r="D5369">
        <v>4.5487659999999996</v>
      </c>
      <c r="E5369">
        <v>0.4757227</v>
      </c>
      <c r="F5369" t="s">
        <v>68</v>
      </c>
      <c r="G5369">
        <v>-317.92169999999999</v>
      </c>
      <c r="H5369" s="1">
        <v>4.4185990000000001E-6</v>
      </c>
      <c r="I5369">
        <v>213.99860000000001</v>
      </c>
      <c r="J5369">
        <v>-347.26690000000002</v>
      </c>
      <c r="K5369">
        <v>1.110044</v>
      </c>
      <c r="L5369">
        <v>214.61840000000001</v>
      </c>
      <c r="M5369">
        <v>0.99982369999999998</v>
      </c>
      <c r="N5369">
        <v>0</v>
      </c>
      <c r="O5369">
        <v>1.208559E-2</v>
      </c>
      <c r="P5369">
        <v>0.99423830000000002</v>
      </c>
      <c r="Q5369">
        <v>6.463489E-2</v>
      </c>
      <c r="R5369">
        <v>-8.5515599999999997E-2</v>
      </c>
      <c r="S5369">
        <v>3.0191349999999999</v>
      </c>
      <c r="T5369">
        <v>-0.112993899999999</v>
      </c>
      <c r="U5369">
        <v>-6.2759400000000007E-2</v>
      </c>
      <c r="V5369">
        <v>9.7643869999999994E-2</v>
      </c>
      <c r="W5369">
        <v>7.8755569999999997E-2</v>
      </c>
      <c r="X5369">
        <v>0.99210039999999999</v>
      </c>
      <c r="Y5369">
        <v>3.2833999999999898E-2</v>
      </c>
      <c r="Z5369">
        <v>-1.0663000000000001E-3</v>
      </c>
      <c r="AA5369">
        <v>0.99946029999999997</v>
      </c>
      <c r="AB5369">
        <v>31</v>
      </c>
      <c r="AC5369">
        <v>29.345199999999998</v>
      </c>
      <c r="AD5369">
        <v>-1.110039581401</v>
      </c>
      <c r="AE5369">
        <v>-0.61979999999999702</v>
      </c>
      <c r="AF5369">
        <v>0.97305370436272298</v>
      </c>
      <c r="AG5369">
        <v>-1.110039581401</v>
      </c>
      <c r="AH5369">
        <v>29.293667963143001</v>
      </c>
      <c r="AI5369">
        <v>92.168904181832005</v>
      </c>
      <c r="AJ5369">
        <v>88.097494007225094</v>
      </c>
      <c r="AK5369">
        <v>29.330837085203001</v>
      </c>
      <c r="AL5369">
        <v>85.482960478954695</v>
      </c>
      <c r="AM5369">
        <v>84.378974695472806</v>
      </c>
      <c r="AN5369">
        <v>0.99999998441738003</v>
      </c>
    </row>
    <row r="5370" spans="1:40" x14ac:dyDescent="0.25">
      <c r="A5370" t="str">
        <f>"20190312150759987"</f>
        <v>20190312150759987</v>
      </c>
      <c r="B5370" t="str">
        <f>"1552374479975170"</f>
        <v>1552374479975170</v>
      </c>
      <c r="C5370" t="s">
        <v>40</v>
      </c>
      <c r="D5370">
        <v>4.3599579999999998</v>
      </c>
      <c r="E5370">
        <v>0.4756997</v>
      </c>
      <c r="F5370" t="s">
        <v>68</v>
      </c>
      <c r="G5370">
        <v>-317.07830000000001</v>
      </c>
      <c r="H5370" s="1">
        <v>4.0445939999999996E-6</v>
      </c>
      <c r="I5370">
        <v>213.9819</v>
      </c>
      <c r="J5370">
        <v>-346.9513</v>
      </c>
      <c r="K5370">
        <v>1.110047</v>
      </c>
      <c r="L5370">
        <v>214.6215</v>
      </c>
      <c r="M5370">
        <v>0.9998321</v>
      </c>
      <c r="N5370">
        <v>0</v>
      </c>
      <c r="O5370">
        <v>1.1378289999999999E-2</v>
      </c>
      <c r="P5370">
        <v>0.99412979999999995</v>
      </c>
      <c r="Q5370">
        <v>6.508978E-2</v>
      </c>
      <c r="R5370">
        <v>-8.6426379999999997E-2</v>
      </c>
      <c r="S5370">
        <v>3.0191349999999999</v>
      </c>
      <c r="T5370">
        <v>-0.1110141</v>
      </c>
      <c r="U5370">
        <v>-6.3659670000000002E-2</v>
      </c>
      <c r="V5370">
        <v>9.7851129999999995E-2</v>
      </c>
      <c r="W5370">
        <v>7.9206209999999999E-2</v>
      </c>
      <c r="X5370">
        <v>0.99204409999999998</v>
      </c>
      <c r="Y5370">
        <v>3.2426700000000003E-2</v>
      </c>
      <c r="Z5370">
        <v>-1.0141429999999999E-3</v>
      </c>
      <c r="AA5370">
        <v>0.99947359999999996</v>
      </c>
      <c r="AB5370">
        <v>31</v>
      </c>
      <c r="AC5370">
        <v>29.872999999999902</v>
      </c>
      <c r="AD5370">
        <v>-1.1100429554060001</v>
      </c>
      <c r="AE5370">
        <v>-0.63960000000000095</v>
      </c>
      <c r="AF5370">
        <v>0.97814733243720897</v>
      </c>
      <c r="AG5370">
        <v>-1.1100429554060001</v>
      </c>
      <c r="AH5370">
        <v>29.822628097824399</v>
      </c>
      <c r="AI5370">
        <v>92.130506207240003</v>
      </c>
      <c r="AJ5370">
        <v>88.121438859170993</v>
      </c>
      <c r="AK5370">
        <v>29.859305320585499</v>
      </c>
      <c r="AL5370">
        <v>85.457059786179897</v>
      </c>
      <c r="AM5370">
        <v>84.366802474779405</v>
      </c>
      <c r="AN5370">
        <v>0.99999998184482497</v>
      </c>
    </row>
    <row r="5371" spans="1:40" x14ac:dyDescent="0.25">
      <c r="A5371" t="str">
        <f>"20190312150800009"</f>
        <v>20190312150800009</v>
      </c>
      <c r="B5371" t="str">
        <f>"1552374480005426"</f>
        <v>1552374480005426</v>
      </c>
      <c r="C5371" t="s">
        <v>40</v>
      </c>
      <c r="D5371">
        <v>4.3567910000000003</v>
      </c>
      <c r="E5371">
        <v>0.47553590000000001</v>
      </c>
      <c r="F5371" t="s">
        <v>68</v>
      </c>
      <c r="G5371">
        <v>-316.51979999999998</v>
      </c>
      <c r="H5371" s="1">
        <v>3.7969189999999999E-6</v>
      </c>
      <c r="I5371">
        <v>213.9537</v>
      </c>
      <c r="J5371">
        <v>-346.64620000000002</v>
      </c>
      <c r="K5371">
        <v>1.110053</v>
      </c>
      <c r="L5371">
        <v>214.6242</v>
      </c>
      <c r="M5371">
        <v>0.9998397</v>
      </c>
      <c r="N5371">
        <v>0</v>
      </c>
      <c r="O5371">
        <v>1.0694530000000001E-2</v>
      </c>
      <c r="P5371">
        <v>0.99405149999999998</v>
      </c>
      <c r="Q5371">
        <v>6.5631510000000004E-2</v>
      </c>
      <c r="R5371">
        <v>-8.6914690000000003E-2</v>
      </c>
      <c r="S5371">
        <v>3.0191349999999999</v>
      </c>
      <c r="T5371">
        <v>-0.11012859999999999</v>
      </c>
      <c r="U5371">
        <v>-6.6253660000000006E-2</v>
      </c>
      <c r="V5371">
        <v>9.7660209999999997E-2</v>
      </c>
      <c r="W5371">
        <v>7.974523E-2</v>
      </c>
      <c r="X5371">
        <v>0.99201980000000001</v>
      </c>
      <c r="Y5371">
        <v>3.2602329999999999E-2</v>
      </c>
      <c r="Z5371">
        <v>-9.8431870000000011E-4</v>
      </c>
      <c r="AA5371">
        <v>0.99946789999999996</v>
      </c>
      <c r="AB5371">
        <v>31</v>
      </c>
      <c r="AC5371">
        <v>30.1264</v>
      </c>
      <c r="AD5371">
        <v>-1.1100492030810001</v>
      </c>
      <c r="AE5371">
        <v>-0.67050000000000398</v>
      </c>
      <c r="AF5371">
        <v>0.99133732948199005</v>
      </c>
      <c r="AG5371">
        <v>-1.1100492030810001</v>
      </c>
      <c r="AH5371">
        <v>30.0766917437542</v>
      </c>
      <c r="AI5371">
        <v>92.112526468213701</v>
      </c>
      <c r="AJ5371">
        <v>88.112196304991201</v>
      </c>
      <c r="AK5371">
        <v>30.113491082617799</v>
      </c>
      <c r="AL5371">
        <v>85.426078530105301</v>
      </c>
      <c r="AM5371">
        <v>84.377586234162095</v>
      </c>
      <c r="AN5371">
        <v>1.0000000509585101</v>
      </c>
    </row>
    <row r="5372" spans="1:40" x14ac:dyDescent="0.25">
      <c r="A5372" t="str">
        <f>"20190312150800030"</f>
        <v>20190312150800030</v>
      </c>
      <c r="B5372" t="str">
        <f>"1552374480025887"</f>
        <v>1552374480025887</v>
      </c>
      <c r="C5372" t="s">
        <v>40</v>
      </c>
      <c r="D5372">
        <v>4.3533039999999996</v>
      </c>
      <c r="E5372">
        <v>0.45432650000000002</v>
      </c>
      <c r="F5372" t="s">
        <v>68</v>
      </c>
      <c r="G5372">
        <v>-315.50869999999998</v>
      </c>
      <c r="H5372" s="1">
        <v>3.3485350000000001E-6</v>
      </c>
      <c r="I5372">
        <v>213.9357</v>
      </c>
      <c r="J5372">
        <v>-346.35079999999999</v>
      </c>
      <c r="K5372">
        <v>1.1100589999999999</v>
      </c>
      <c r="L5372">
        <v>214.6266</v>
      </c>
      <c r="M5372">
        <v>0.99984660000000003</v>
      </c>
      <c r="N5372">
        <v>0</v>
      </c>
      <c r="O5372">
        <v>1.003216E-2</v>
      </c>
      <c r="P5372">
        <v>0.99396130000000005</v>
      </c>
      <c r="Q5372">
        <v>6.6100629999999994E-2</v>
      </c>
      <c r="R5372">
        <v>-8.7590959999999995E-2</v>
      </c>
      <c r="S5372">
        <v>3.0192260000000002</v>
      </c>
      <c r="T5372">
        <v>-0.1076351</v>
      </c>
      <c r="U5372">
        <v>-6.6757200000000003E-2</v>
      </c>
      <c r="V5372">
        <v>9.7677769999999997E-2</v>
      </c>
      <c r="W5372">
        <v>8.0210550000000005E-2</v>
      </c>
      <c r="X5372">
        <v>0.99198050000000004</v>
      </c>
      <c r="Y5372">
        <v>3.2108169999999998E-2</v>
      </c>
      <c r="Z5372">
        <v>-9.2960600000000003E-4</v>
      </c>
      <c r="AA5372">
        <v>0.99948389999999998</v>
      </c>
      <c r="AB5372">
        <v>31</v>
      </c>
      <c r="AC5372">
        <v>30.842099999999999</v>
      </c>
      <c r="AD5372">
        <v>-1.110055651465</v>
      </c>
      <c r="AE5372">
        <v>-0.69089999999999896</v>
      </c>
      <c r="AF5372">
        <v>0.999016531088602</v>
      </c>
      <c r="AG5372">
        <v>-1.110055651465</v>
      </c>
      <c r="AH5372">
        <v>30.793745665037001</v>
      </c>
      <c r="AI5372">
        <v>92.063424707287794</v>
      </c>
      <c r="AJ5372">
        <v>88.141851180692697</v>
      </c>
      <c r="AK5372">
        <v>30.829937230907898</v>
      </c>
      <c r="AL5372">
        <v>85.399331725588695</v>
      </c>
      <c r="AM5372">
        <v>84.376360404427501</v>
      </c>
      <c r="AN5372">
        <v>0.99999999573186205</v>
      </c>
    </row>
    <row r="5373" spans="1:40" x14ac:dyDescent="0.25">
      <c r="A5373" t="str">
        <f>"20190312150800054"</f>
        <v>20190312150800054</v>
      </c>
      <c r="B5373" t="str">
        <f>"1552374480045407"</f>
        <v>1552374480045407</v>
      </c>
      <c r="C5373" t="s">
        <v>40</v>
      </c>
      <c r="D5373">
        <v>4.3753489999999999</v>
      </c>
      <c r="E5373">
        <v>0.45305570000000001</v>
      </c>
      <c r="F5373" t="s">
        <v>68</v>
      </c>
      <c r="G5373">
        <v>-318.762</v>
      </c>
      <c r="H5373" s="1">
        <v>4.7912220000000002E-6</v>
      </c>
      <c r="I5373">
        <v>215.53110000000001</v>
      </c>
      <c r="J5373">
        <v>-346.0138</v>
      </c>
      <c r="K5373">
        <v>1.1100589999999999</v>
      </c>
      <c r="L5373">
        <v>214.6292</v>
      </c>
      <c r="M5373">
        <v>0.99985389999999996</v>
      </c>
      <c r="N5373">
        <v>0</v>
      </c>
      <c r="O5373">
        <v>9.2762920000000002E-3</v>
      </c>
      <c r="P5373">
        <v>0.99387449999999999</v>
      </c>
      <c r="Q5373">
        <v>6.6632949999999996E-2</v>
      </c>
      <c r="R5373">
        <v>-8.8167319999999993E-2</v>
      </c>
      <c r="S5373">
        <v>3.0351560000000002</v>
      </c>
      <c r="T5373">
        <v>-0.1221214</v>
      </c>
      <c r="U5373">
        <v>9.9502560000000004E-2</v>
      </c>
      <c r="V5373">
        <v>9.7503309999999996E-2</v>
      </c>
      <c r="W5373">
        <v>8.0740039999999999E-2</v>
      </c>
      <c r="X5373">
        <v>0.99195469999999997</v>
      </c>
      <c r="Y5373">
        <v>-2.3480589999999999E-2</v>
      </c>
      <c r="Z5373" s="1">
        <v>9.9053640000000006E-5</v>
      </c>
      <c r="AA5373">
        <v>0.99972430000000001</v>
      </c>
      <c r="AB5373">
        <v>31</v>
      </c>
      <c r="AC5373">
        <v>27.251799999999999</v>
      </c>
      <c r="AD5373">
        <v>-1.1100542087780001</v>
      </c>
      <c r="AE5373">
        <v>0.90190000000001203</v>
      </c>
      <c r="AF5373">
        <v>-0.64796554815199103</v>
      </c>
      <c r="AG5373">
        <v>-1.1100542087780001</v>
      </c>
      <c r="AH5373">
        <v>27.213890572154298</v>
      </c>
      <c r="AI5373">
        <v>92.335138059672801</v>
      </c>
      <c r="AJ5373">
        <v>91.363960720271294</v>
      </c>
      <c r="AK5373">
        <v>27.244227274254001</v>
      </c>
      <c r="AL5373">
        <v>85.368895430925093</v>
      </c>
      <c r="AM5373">
        <v>84.386195369132693</v>
      </c>
      <c r="AN5373">
        <v>0.99999998818612301</v>
      </c>
    </row>
    <row r="5374" spans="1:40" x14ac:dyDescent="0.25">
      <c r="A5374" t="str">
        <f>"20190312150800074"</f>
        <v>20190312150800074</v>
      </c>
      <c r="B5374" t="str">
        <f>"1552374480065903"</f>
        <v>1552374480065903</v>
      </c>
      <c r="C5374" t="s">
        <v>40</v>
      </c>
      <c r="D5374">
        <v>4.4879899999999999</v>
      </c>
      <c r="E5374">
        <v>0.45323330000000001</v>
      </c>
      <c r="F5374" t="s">
        <v>68</v>
      </c>
      <c r="G5374">
        <v>-318.33519999999999</v>
      </c>
      <c r="H5374" s="1">
        <v>4.6019650000000002E-6</v>
      </c>
      <c r="I5374">
        <v>215.6122</v>
      </c>
      <c r="J5374">
        <v>-345.72340000000003</v>
      </c>
      <c r="K5374">
        <v>1.1100680000000001</v>
      </c>
      <c r="L5374">
        <v>214.63120000000001</v>
      </c>
      <c r="M5374">
        <v>0.99985979999999997</v>
      </c>
      <c r="N5374">
        <v>0</v>
      </c>
      <c r="O5374">
        <v>8.6248939999999993E-3</v>
      </c>
      <c r="P5374">
        <v>0.99382979999999999</v>
      </c>
      <c r="Q5374">
        <v>6.7182439999999996E-2</v>
      </c>
      <c r="R5374">
        <v>-8.8256050000000003E-2</v>
      </c>
      <c r="S5374">
        <v>3.0361940000000001</v>
      </c>
      <c r="T5374">
        <v>-0.121767</v>
      </c>
      <c r="U5374">
        <v>0.1078339</v>
      </c>
      <c r="V5374">
        <v>9.6945139999999999E-2</v>
      </c>
      <c r="W5374">
        <v>8.1288020000000002E-2</v>
      </c>
      <c r="X5374">
        <v>0.99196459999999997</v>
      </c>
      <c r="Y5374">
        <v>-2.6857450000000001E-2</v>
      </c>
      <c r="Z5374">
        <v>1.9250110000000001E-4</v>
      </c>
      <c r="AA5374">
        <v>0.99963930000000001</v>
      </c>
      <c r="AB5374">
        <v>31</v>
      </c>
      <c r="AC5374">
        <v>27.388200000000001</v>
      </c>
      <c r="AD5374">
        <v>-1.1100633980349901</v>
      </c>
      <c r="AE5374">
        <v>0.98099999999999399</v>
      </c>
      <c r="AF5374">
        <v>-0.74349903883838397</v>
      </c>
      <c r="AG5374">
        <v>-1.1100633980349901</v>
      </c>
      <c r="AH5374">
        <v>27.3507703667164</v>
      </c>
      <c r="AI5374">
        <v>92.323284161192802</v>
      </c>
      <c r="AJ5374">
        <v>91.557135977680602</v>
      </c>
      <c r="AK5374">
        <v>27.383383122274399</v>
      </c>
      <c r="AL5374">
        <v>85.337394697080001</v>
      </c>
      <c r="AM5374">
        <v>84.418184123471093</v>
      </c>
      <c r="AN5374">
        <v>0.99999993500914697</v>
      </c>
    </row>
    <row r="5375" spans="1:40" x14ac:dyDescent="0.25">
      <c r="A5375" t="str">
        <f>"20190312150800096"</f>
        <v>20190312150800096</v>
      </c>
      <c r="B5375" t="str">
        <f>"1552374480085426"</f>
        <v>1552374480085426</v>
      </c>
      <c r="C5375" t="s">
        <v>40</v>
      </c>
      <c r="D5375">
        <v>4.3633610000000003</v>
      </c>
      <c r="E5375">
        <v>0.45301659999999999</v>
      </c>
      <c r="F5375" t="s">
        <v>68</v>
      </c>
      <c r="G5375">
        <v>-315.2414</v>
      </c>
      <c r="H5375" s="1">
        <v>3.2299810000000001E-6</v>
      </c>
      <c r="I5375">
        <v>215.69749999999999</v>
      </c>
      <c r="J5375">
        <v>-345.4282</v>
      </c>
      <c r="K5375">
        <v>1.110074</v>
      </c>
      <c r="L5375">
        <v>214.63300000000001</v>
      </c>
      <c r="M5375">
        <v>0.99986549999999996</v>
      </c>
      <c r="N5375">
        <v>0</v>
      </c>
      <c r="O5375">
        <v>7.962172E-3</v>
      </c>
      <c r="P5375">
        <v>0.99381399999999998</v>
      </c>
      <c r="Q5375">
        <v>6.7595500000000003E-2</v>
      </c>
      <c r="R5375">
        <v>-8.8119400000000001E-2</v>
      </c>
      <c r="S5375">
        <v>3.0355530000000002</v>
      </c>
      <c r="T5375">
        <v>-0.1105458</v>
      </c>
      <c r="U5375">
        <v>0.1061859</v>
      </c>
      <c r="V5375">
        <v>9.6150520000000003E-2</v>
      </c>
      <c r="W5375">
        <v>8.170007E-2</v>
      </c>
      <c r="X5375">
        <v>0.99200809999999995</v>
      </c>
      <c r="Y5375">
        <v>-2.6987549999999999E-2</v>
      </c>
      <c r="Z5375">
        <v>2.012987E-4</v>
      </c>
      <c r="AA5375">
        <v>0.99963579999999996</v>
      </c>
      <c r="AB5375">
        <v>31</v>
      </c>
      <c r="AC5375">
        <v>30.186800000000002</v>
      </c>
      <c r="AD5375">
        <v>-1.110070770019</v>
      </c>
      <c r="AE5375">
        <v>1.0645</v>
      </c>
      <c r="AF5375">
        <v>-0.82297753057679901</v>
      </c>
      <c r="AG5375">
        <v>-1.110070770019</v>
      </c>
      <c r="AH5375">
        <v>30.153594016912599</v>
      </c>
      <c r="AI5375">
        <v>92.107543708867496</v>
      </c>
      <c r="AJ5375">
        <v>91.563377029626494</v>
      </c>
      <c r="AK5375">
        <v>30.1852411165966</v>
      </c>
      <c r="AL5375">
        <v>85.3137072379335</v>
      </c>
      <c r="AM5375">
        <v>84.463891849861596</v>
      </c>
      <c r="AN5375">
        <v>0.99999994719994101</v>
      </c>
    </row>
    <row r="5376" spans="1:40" x14ac:dyDescent="0.25">
      <c r="A5376" t="str">
        <f>"20190312150800111"</f>
        <v>20190312150800111</v>
      </c>
      <c r="B5376" t="str">
        <f>"1552374480105919"</f>
        <v>1552374480105919</v>
      </c>
      <c r="C5376" t="s">
        <v>40</v>
      </c>
      <c r="D5376">
        <v>4.3610620000000004</v>
      </c>
      <c r="E5376">
        <v>0.45251609999999998</v>
      </c>
      <c r="F5376" t="s">
        <v>68</v>
      </c>
      <c r="G5376">
        <v>-314.83269999999999</v>
      </c>
      <c r="H5376" s="1">
        <v>3.0487460000000001E-6</v>
      </c>
      <c r="I5376">
        <v>215.7251</v>
      </c>
      <c r="J5376">
        <v>-345.2201</v>
      </c>
      <c r="K5376">
        <v>1.1100760000000001</v>
      </c>
      <c r="L5376">
        <v>214.63419999999999</v>
      </c>
      <c r="M5376">
        <v>0.99986900000000001</v>
      </c>
      <c r="N5376">
        <v>0</v>
      </c>
      <c r="O5376">
        <v>7.4952269999999897E-3</v>
      </c>
      <c r="P5376">
        <v>0.9938015</v>
      </c>
      <c r="Q5376">
        <v>6.8041050000000006E-2</v>
      </c>
      <c r="R5376">
        <v>-8.7916469999999997E-2</v>
      </c>
      <c r="S5376">
        <v>3.0357669999999999</v>
      </c>
      <c r="T5376">
        <v>-0.1101443</v>
      </c>
      <c r="U5376">
        <v>0.1083527</v>
      </c>
      <c r="V5376">
        <v>9.548421E-2</v>
      </c>
      <c r="W5376">
        <v>8.2144889999999998E-2</v>
      </c>
      <c r="X5376">
        <v>0.99203580000000002</v>
      </c>
      <c r="Y5376">
        <v>-2.8163500000000001E-2</v>
      </c>
      <c r="Z5376">
        <v>2.3880209999999999E-4</v>
      </c>
      <c r="AA5376">
        <v>0.99960329999999997</v>
      </c>
      <c r="AB5376">
        <v>31</v>
      </c>
      <c r="AC5376">
        <v>30.3874</v>
      </c>
      <c r="AD5376">
        <v>-1.110072951254</v>
      </c>
      <c r="AE5376">
        <v>1.0909</v>
      </c>
      <c r="AF5376">
        <v>-0.86193668209172203</v>
      </c>
      <c r="AG5376">
        <v>-1.110072951254</v>
      </c>
      <c r="AH5376">
        <v>30.3542682509744</v>
      </c>
      <c r="AI5376">
        <v>92.093562942627699</v>
      </c>
      <c r="AJ5376">
        <v>91.626527990244696</v>
      </c>
      <c r="AK5376">
        <v>30.386786566748899</v>
      </c>
      <c r="AL5376">
        <v>85.288135329256903</v>
      </c>
      <c r="AM5376">
        <v>84.502173017776698</v>
      </c>
      <c r="AN5376">
        <v>1.00000002289703</v>
      </c>
    </row>
    <row r="5377" spans="1:40" x14ac:dyDescent="0.25">
      <c r="A5377" t="str">
        <f>"20190312150800131"</f>
        <v>20190312150800131</v>
      </c>
      <c r="B5377" t="str">
        <f>"1552374480125350"</f>
        <v>1552374480125350</v>
      </c>
      <c r="C5377" t="s">
        <v>40</v>
      </c>
      <c r="D5377">
        <v>4.4275690000000001</v>
      </c>
      <c r="E5377">
        <v>0.4524956</v>
      </c>
      <c r="F5377" t="s">
        <v>68</v>
      </c>
      <c r="G5377">
        <v>-316.2312</v>
      </c>
      <c r="H5377" s="1">
        <v>3.668924E-6</v>
      </c>
      <c r="I5377">
        <v>215.71100000000001</v>
      </c>
      <c r="J5377">
        <v>-344.94839999999999</v>
      </c>
      <c r="K5377">
        <v>1.1100840000000001</v>
      </c>
      <c r="L5377">
        <v>214.63560000000001</v>
      </c>
      <c r="M5377">
        <v>0.99987349999999997</v>
      </c>
      <c r="N5377">
        <v>0</v>
      </c>
      <c r="O5377">
        <v>6.8853680000000002E-3</v>
      </c>
      <c r="P5377">
        <v>0.99377610000000005</v>
      </c>
      <c r="Q5377">
        <v>6.8515599999999996E-2</v>
      </c>
      <c r="R5377">
        <v>-8.7835919999999998E-2</v>
      </c>
      <c r="S5377">
        <v>3.0366819999999999</v>
      </c>
      <c r="T5377">
        <v>-0.11628380000000001</v>
      </c>
      <c r="U5377">
        <v>0.112793</v>
      </c>
      <c r="V5377">
        <v>9.4797999999999993E-2</v>
      </c>
      <c r="W5377">
        <v>8.2618200000000003E-2</v>
      </c>
      <c r="X5377">
        <v>0.99206229999999995</v>
      </c>
      <c r="Y5377">
        <v>-3.021861E-2</v>
      </c>
      <c r="Z5377">
        <v>3.1467870000000001E-4</v>
      </c>
      <c r="AA5377">
        <v>0.99954319999999997</v>
      </c>
      <c r="AB5377">
        <v>31</v>
      </c>
      <c r="AC5377">
        <v>28.717199999999899</v>
      </c>
      <c r="AD5377">
        <v>-1.1100803310759999</v>
      </c>
      <c r="AE5377">
        <v>1.0753999999999699</v>
      </c>
      <c r="AF5377">
        <v>-0.87631807718632304</v>
      </c>
      <c r="AG5377">
        <v>-1.1100803310759999</v>
      </c>
      <c r="AH5377">
        <v>28.681127527829101</v>
      </c>
      <c r="AI5377">
        <v>92.215448617549598</v>
      </c>
      <c r="AJ5377">
        <v>91.750060626383402</v>
      </c>
      <c r="AK5377">
        <v>28.715976180193501</v>
      </c>
      <c r="AL5377">
        <v>85.260924143797993</v>
      </c>
      <c r="AM5377">
        <v>84.541589315075598</v>
      </c>
      <c r="AN5377">
        <v>1.0000000174282599</v>
      </c>
    </row>
    <row r="5378" spans="1:40" x14ac:dyDescent="0.25">
      <c r="A5378" t="str">
        <f>"20190312150800154"</f>
        <v>20190312150800154</v>
      </c>
      <c r="B5378" t="str">
        <f>"1552374480145846"</f>
        <v>1552374480145846</v>
      </c>
      <c r="C5378" t="s">
        <v>40</v>
      </c>
      <c r="D5378">
        <v>4.3959339999999996</v>
      </c>
      <c r="E5378">
        <v>0.4520344</v>
      </c>
      <c r="F5378" t="s">
        <v>68</v>
      </c>
      <c r="G5378">
        <v>-315.89980000000003</v>
      </c>
      <c r="H5378" s="1">
        <v>3.5219629999999999E-6</v>
      </c>
      <c r="I5378">
        <v>215.72110000000001</v>
      </c>
      <c r="J5378">
        <v>-344.62360000000001</v>
      </c>
      <c r="K5378">
        <v>1.1100859999999999</v>
      </c>
      <c r="L5378">
        <v>214.6371</v>
      </c>
      <c r="M5378">
        <v>0.99987820000000005</v>
      </c>
      <c r="N5378">
        <v>0</v>
      </c>
      <c r="O5378">
        <v>6.1561960000000001E-3</v>
      </c>
      <c r="P5378">
        <v>0.99376620000000004</v>
      </c>
      <c r="Q5378">
        <v>6.9327529999999998E-2</v>
      </c>
      <c r="R5378">
        <v>-8.7307819999999994E-2</v>
      </c>
      <c r="S5378">
        <v>3.036896</v>
      </c>
      <c r="T5378">
        <v>-0.1160539</v>
      </c>
      <c r="U5378">
        <v>0.1134796</v>
      </c>
      <c r="V5378">
        <v>9.3546710000000005E-2</v>
      </c>
      <c r="W5378">
        <v>8.3429829999999996E-2</v>
      </c>
      <c r="X5378">
        <v>0.99211309999999997</v>
      </c>
      <c r="Y5378">
        <v>-3.1169450000000001E-2</v>
      </c>
      <c r="Z5378">
        <v>3.600346E-4</v>
      </c>
      <c r="AA5378">
        <v>0.99951400000000001</v>
      </c>
      <c r="AB5378">
        <v>31</v>
      </c>
      <c r="AC5378">
        <v>28.723799999999901</v>
      </c>
      <c r="AD5378">
        <v>-1.110082478037</v>
      </c>
      <c r="AE5378">
        <v>1.0840000000000001</v>
      </c>
      <c r="AF5378">
        <v>-0.90578099646843602</v>
      </c>
      <c r="AG5378">
        <v>-1.110082478037</v>
      </c>
      <c r="AH5378">
        <v>28.687144154327999</v>
      </c>
      <c r="AI5378">
        <v>92.214918620670105</v>
      </c>
      <c r="AJ5378">
        <v>91.808482293451704</v>
      </c>
      <c r="AK5378">
        <v>28.722899610812402</v>
      </c>
      <c r="AL5378">
        <v>85.214259804760005</v>
      </c>
      <c r="AM5378">
        <v>84.613485400848703</v>
      </c>
      <c r="AN5378">
        <v>0.99999996333862995</v>
      </c>
    </row>
    <row r="5379" spans="1:40" x14ac:dyDescent="0.25">
      <c r="A5379" t="str">
        <f>"20190312150800177"</f>
        <v>20190312150800177</v>
      </c>
      <c r="B5379" t="str">
        <f>"1552374480165367"</f>
        <v>1552374480165367</v>
      </c>
      <c r="C5379" t="s">
        <v>40</v>
      </c>
      <c r="D5379">
        <v>4.5109199999999996</v>
      </c>
      <c r="E5379">
        <v>0.45214749999999998</v>
      </c>
      <c r="F5379" t="s">
        <v>68</v>
      </c>
      <c r="G5379">
        <v>-316.15390000000002</v>
      </c>
      <c r="H5379" s="1">
        <v>3.634636E-6</v>
      </c>
      <c r="I5379">
        <v>215.75030000000001</v>
      </c>
      <c r="J5379">
        <v>-344.31650000000002</v>
      </c>
      <c r="K5379">
        <v>1.110093</v>
      </c>
      <c r="L5379">
        <v>214.63820000000001</v>
      </c>
      <c r="M5379">
        <v>0.9998823</v>
      </c>
      <c r="N5379">
        <v>0</v>
      </c>
      <c r="O5379">
        <v>5.4664179999999998E-3</v>
      </c>
      <c r="P5379">
        <v>0.99372229999999995</v>
      </c>
      <c r="Q5379">
        <v>7.0468130000000004E-2</v>
      </c>
      <c r="R5379">
        <v>-8.6893200000000004E-2</v>
      </c>
      <c r="S5379">
        <v>3.0374759999999998</v>
      </c>
      <c r="T5379">
        <v>-0.11843629999999999</v>
      </c>
      <c r="U5379">
        <v>0.1187744</v>
      </c>
      <c r="V5379">
        <v>9.2448089999999997E-2</v>
      </c>
      <c r="W5379">
        <v>8.4569249999999999E-2</v>
      </c>
      <c r="X5379">
        <v>0.99211970000000005</v>
      </c>
      <c r="Y5379">
        <v>-3.3588420000000001E-2</v>
      </c>
      <c r="Z5379">
        <v>4.4133820000000001E-4</v>
      </c>
      <c r="AA5379">
        <v>0.99943570000000004</v>
      </c>
      <c r="AB5379">
        <v>31</v>
      </c>
      <c r="AC5379">
        <v>28.162600000000001</v>
      </c>
      <c r="AD5379">
        <v>-1.110089365364</v>
      </c>
      <c r="AE5379">
        <v>1.1120999999999901</v>
      </c>
      <c r="AF5379">
        <v>-0.95663499543938102</v>
      </c>
      <c r="AG5379">
        <v>-1.110089365364</v>
      </c>
      <c r="AH5379">
        <v>28.124629437275299</v>
      </c>
      <c r="AI5379">
        <v>92.259006921742696</v>
      </c>
      <c r="AJ5379">
        <v>91.9481154205954</v>
      </c>
      <c r="AK5379">
        <v>28.1627809333106</v>
      </c>
      <c r="AL5379">
        <v>85.148744733550203</v>
      </c>
      <c r="AM5379">
        <v>84.676414670232006</v>
      </c>
      <c r="AN5379">
        <v>1.00000005325914</v>
      </c>
    </row>
    <row r="5380" spans="1:40" x14ac:dyDescent="0.25">
      <c r="A5380" t="str">
        <f>"20190312150800198"</f>
        <v>20190312150800198</v>
      </c>
      <c r="B5380" t="str">
        <f>"1552374480195623"</f>
        <v>1552374480195623</v>
      </c>
      <c r="C5380" t="s">
        <v>40</v>
      </c>
      <c r="D5380">
        <v>4.4190170000000002</v>
      </c>
      <c r="E5380">
        <v>0.45186749999999998</v>
      </c>
      <c r="F5380" t="s">
        <v>68</v>
      </c>
      <c r="G5380">
        <v>-314.54480000000001</v>
      </c>
      <c r="H5380" s="1">
        <v>2.9210730000000002E-6</v>
      </c>
      <c r="I5380">
        <v>215.80670000000001</v>
      </c>
      <c r="J5380">
        <v>-344.01780000000002</v>
      </c>
      <c r="K5380">
        <v>1.1100920000000001</v>
      </c>
      <c r="L5380">
        <v>214.63919999999999</v>
      </c>
      <c r="M5380">
        <v>0.99988589999999999</v>
      </c>
      <c r="N5380">
        <v>0</v>
      </c>
      <c r="O5380">
        <v>4.7966170000000004E-3</v>
      </c>
      <c r="P5380">
        <v>0.99371399999999999</v>
      </c>
      <c r="Q5380">
        <v>7.1487629999999996E-2</v>
      </c>
      <c r="R5380">
        <v>-8.6152499999999896E-2</v>
      </c>
      <c r="S5380">
        <v>3.0373839999999999</v>
      </c>
      <c r="T5380">
        <v>-0.1132542</v>
      </c>
      <c r="U5380">
        <v>0.1192169</v>
      </c>
      <c r="V5380">
        <v>9.1043070000000004E-2</v>
      </c>
      <c r="W5380">
        <v>8.5588819999999996E-2</v>
      </c>
      <c r="X5380">
        <v>0.99216219999999999</v>
      </c>
      <c r="Y5380">
        <v>-3.440526E-2</v>
      </c>
      <c r="Z5380">
        <v>4.6222780000000001E-4</v>
      </c>
      <c r="AA5380">
        <v>0.99940779999999996</v>
      </c>
      <c r="AB5380">
        <v>31</v>
      </c>
      <c r="AC5380">
        <v>29.472999999999999</v>
      </c>
      <c r="AD5380">
        <v>-1.1100890789269999</v>
      </c>
      <c r="AE5380">
        <v>1.16750000000001</v>
      </c>
      <c r="AF5380">
        <v>-1.0246500535484999</v>
      </c>
      <c r="AG5380">
        <v>-1.1100890789269999</v>
      </c>
      <c r="AH5380">
        <v>29.436567537691399</v>
      </c>
      <c r="AI5380">
        <v>92.158364793037507</v>
      </c>
      <c r="AJ5380">
        <v>91.993589418415098</v>
      </c>
      <c r="AK5380">
        <v>29.475306849911799</v>
      </c>
      <c r="AL5380">
        <v>85.090115124956299</v>
      </c>
      <c r="AM5380">
        <v>84.757091136948404</v>
      </c>
      <c r="AN5380">
        <v>1.00000005890642</v>
      </c>
    </row>
    <row r="5381" spans="1:40" x14ac:dyDescent="0.25">
      <c r="A5381" t="str">
        <f>"20190312150800220"</f>
        <v>20190312150800220</v>
      </c>
      <c r="B5381" t="str">
        <f>"1552374480215143"</f>
        <v>1552374480215143</v>
      </c>
      <c r="C5381" t="s">
        <v>40</v>
      </c>
      <c r="D5381">
        <v>4.4185549999999996</v>
      </c>
      <c r="E5381">
        <v>0.45179170000000002</v>
      </c>
      <c r="F5381" t="s">
        <v>68</v>
      </c>
      <c r="G5381">
        <v>-314.94880000000001</v>
      </c>
      <c r="H5381" s="1">
        <v>3.1002489999999999E-6</v>
      </c>
      <c r="I5381">
        <v>215.82220000000001</v>
      </c>
      <c r="J5381">
        <v>-343.70749999999998</v>
      </c>
      <c r="K5381">
        <v>1.1100969999999999</v>
      </c>
      <c r="L5381">
        <v>214.63990000000001</v>
      </c>
      <c r="M5381">
        <v>0.99988900000000003</v>
      </c>
      <c r="N5381">
        <v>0</v>
      </c>
      <c r="O5381">
        <v>4.1038999999999997E-3</v>
      </c>
      <c r="P5381">
        <v>0.99375979999999997</v>
      </c>
      <c r="Q5381">
        <v>7.1886179999999994E-2</v>
      </c>
      <c r="R5381">
        <v>-8.5287440000000006E-2</v>
      </c>
      <c r="S5381">
        <v>3.0380549999999999</v>
      </c>
      <c r="T5381">
        <v>-0.1160176</v>
      </c>
      <c r="U5381">
        <v>0.123642</v>
      </c>
      <c r="V5381">
        <v>8.9489879999999994E-2</v>
      </c>
      <c r="W5381">
        <v>8.5988369999999995E-2</v>
      </c>
      <c r="X5381">
        <v>0.99226890000000001</v>
      </c>
      <c r="Y5381">
        <v>-3.6539200000000001E-2</v>
      </c>
      <c r="Z5381">
        <v>5.4052820000000004E-4</v>
      </c>
      <c r="AA5381">
        <v>0.99933209999999995</v>
      </c>
      <c r="AB5381">
        <v>31</v>
      </c>
      <c r="AC5381">
        <v>28.758699999999902</v>
      </c>
      <c r="AD5381">
        <v>-1.1100938997509999</v>
      </c>
      <c r="AE5381">
        <v>1.1822999999999899</v>
      </c>
      <c r="AF5381">
        <v>-1.06267441118357</v>
      </c>
      <c r="AG5381">
        <v>-1.1100938997509999</v>
      </c>
      <c r="AH5381">
        <v>28.7205893622397</v>
      </c>
      <c r="AI5381">
        <v>92.211953984148494</v>
      </c>
      <c r="AJ5381">
        <v>92.119002346162404</v>
      </c>
      <c r="AK5381">
        <v>28.761673085633401</v>
      </c>
      <c r="AL5381">
        <v>85.0671376179573</v>
      </c>
      <c r="AM5381">
        <v>84.846600254244507</v>
      </c>
      <c r="AN5381">
        <v>1.0000000041524399</v>
      </c>
    </row>
    <row r="5382" spans="1:40" x14ac:dyDescent="0.25">
      <c r="A5382" t="str">
        <f>"20190312150800234"</f>
        <v>20190312150800234</v>
      </c>
      <c r="B5382" t="str">
        <f>"1552374480225879"</f>
        <v>1552374480225879</v>
      </c>
      <c r="C5382" t="s">
        <v>40</v>
      </c>
      <c r="D5382">
        <v>4.4223530000000002</v>
      </c>
      <c r="E5382">
        <v>0.45179170000000002</v>
      </c>
      <c r="F5382" t="s">
        <v>68</v>
      </c>
      <c r="G5382">
        <v>-314.8877</v>
      </c>
      <c r="H5382" s="1">
        <v>3.0731380000000001E-6</v>
      </c>
      <c r="I5382">
        <v>215.84370000000001</v>
      </c>
      <c r="J5382">
        <v>-343.52199999999999</v>
      </c>
      <c r="K5382">
        <v>1.1101049999999999</v>
      </c>
      <c r="L5382">
        <v>214.64019999999999</v>
      </c>
      <c r="M5382">
        <v>0.99989059999999996</v>
      </c>
      <c r="N5382">
        <v>0</v>
      </c>
      <c r="O5382">
        <v>3.6921219999999999E-3</v>
      </c>
      <c r="P5382">
        <v>0.99380089999999999</v>
      </c>
      <c r="Q5382">
        <v>7.1722240000000007E-2</v>
      </c>
      <c r="R5382">
        <v>-8.49467E-2</v>
      </c>
      <c r="S5382">
        <v>3.038208</v>
      </c>
      <c r="T5382">
        <v>-0.11702700000000001</v>
      </c>
      <c r="U5382">
        <v>0.1269073</v>
      </c>
      <c r="V5382">
        <v>8.8739369999999998E-2</v>
      </c>
      <c r="W5382">
        <v>8.5825410000000005E-2</v>
      </c>
      <c r="X5382">
        <v>0.99235039999999997</v>
      </c>
      <c r="Y5382">
        <v>-3.8019089999999998E-2</v>
      </c>
      <c r="Z5382">
        <v>5.8951640000000003E-4</v>
      </c>
      <c r="AA5382">
        <v>0.99927679999999997</v>
      </c>
      <c r="AB5382">
        <v>31</v>
      </c>
      <c r="AC5382">
        <v>28.6343</v>
      </c>
      <c r="AD5382">
        <v>-1.1101019268619901</v>
      </c>
      <c r="AE5382">
        <v>1.20350000000001</v>
      </c>
      <c r="AF5382">
        <v>-1.0961150884595501</v>
      </c>
      <c r="AG5382">
        <v>-1.1101019268619901</v>
      </c>
      <c r="AH5382">
        <v>28.595645883258101</v>
      </c>
      <c r="AI5382">
        <v>92.221513986632104</v>
      </c>
      <c r="AJ5382">
        <v>92.195160652379698</v>
      </c>
      <c r="AK5382">
        <v>28.638169600305599</v>
      </c>
      <c r="AL5382">
        <v>85.0765091458928</v>
      </c>
      <c r="AM5382">
        <v>84.890007093333296</v>
      </c>
      <c r="AN5382">
        <v>0.99999999658491201</v>
      </c>
    </row>
    <row r="5383" spans="1:40" x14ac:dyDescent="0.25">
      <c r="A5383" t="str">
        <f>"20190312150800254"</f>
        <v>20190312150800254</v>
      </c>
      <c r="B5383" t="str">
        <f>"1552374480245402"</f>
        <v>1552374480245402</v>
      </c>
      <c r="C5383" t="s">
        <v>40</v>
      </c>
      <c r="D5383">
        <v>4.510262</v>
      </c>
      <c r="E5383">
        <v>0.45190910000000001</v>
      </c>
      <c r="F5383" t="s">
        <v>68</v>
      </c>
      <c r="G5383">
        <v>-314.81389999999999</v>
      </c>
      <c r="H5383" s="1">
        <v>3.0404149999999999E-6</v>
      </c>
      <c r="I5383">
        <v>215.84909999999999</v>
      </c>
      <c r="J5383">
        <v>-343.25130000000001</v>
      </c>
      <c r="K5383">
        <v>1.110109</v>
      </c>
      <c r="L5383">
        <v>214.64060000000001</v>
      </c>
      <c r="M5383">
        <v>0.99989269999999997</v>
      </c>
      <c r="N5383">
        <v>0</v>
      </c>
      <c r="O5383">
        <v>3.093953E-3</v>
      </c>
      <c r="P5383">
        <v>0.99388030000000005</v>
      </c>
      <c r="Q5383">
        <v>7.1750220000000003E-2</v>
      </c>
      <c r="R5383">
        <v>-8.3988759999999996E-2</v>
      </c>
      <c r="S5383">
        <v>3.0381469999999999</v>
      </c>
      <c r="T5383">
        <v>-0.1174809</v>
      </c>
      <c r="U5383">
        <v>0.12792970000000001</v>
      </c>
      <c r="V5383">
        <v>8.7186459999999993E-2</v>
      </c>
      <c r="W5383">
        <v>8.5855819999999999E-2</v>
      </c>
      <c r="X5383">
        <v>0.99248539999999996</v>
      </c>
      <c r="Y5383">
        <v>-3.895204E-2</v>
      </c>
      <c r="Z5383">
        <v>6.3294459999999996E-4</v>
      </c>
      <c r="AA5383">
        <v>0.99924089999999999</v>
      </c>
      <c r="AB5383">
        <v>31</v>
      </c>
      <c r="AC5383">
        <v>28.4374</v>
      </c>
      <c r="AD5383">
        <v>-1.110105959585</v>
      </c>
      <c r="AE5383">
        <v>1.2084999999999799</v>
      </c>
      <c r="AF5383">
        <v>-1.11879937916297</v>
      </c>
      <c r="AG5383">
        <v>-1.110105959585</v>
      </c>
      <c r="AH5383">
        <v>28.397806617895402</v>
      </c>
      <c r="AI5383">
        <v>92.236890650221696</v>
      </c>
      <c r="AJ5383">
        <v>92.256137194636906</v>
      </c>
      <c r="AK5383">
        <v>28.4415095942481</v>
      </c>
      <c r="AL5383">
        <v>85.074760268558293</v>
      </c>
      <c r="AM5383">
        <v>84.979648622078301</v>
      </c>
      <c r="AN5383">
        <v>0.99999998492418096</v>
      </c>
    </row>
    <row r="5384" spans="1:40" x14ac:dyDescent="0.25">
      <c r="A5384" t="str">
        <f>"20190312150800267"</f>
        <v>20190312150800267</v>
      </c>
      <c r="B5384" t="str">
        <f>"1552374480265895"</f>
        <v>1552374480265895</v>
      </c>
      <c r="C5384" t="s">
        <v>40</v>
      </c>
      <c r="D5384">
        <v>4.3929769999999904</v>
      </c>
      <c r="E5384">
        <v>0.45198260000000001</v>
      </c>
      <c r="F5384" t="s">
        <v>68</v>
      </c>
      <c r="G5384">
        <v>-314.58049999999997</v>
      </c>
      <c r="H5384" s="1">
        <v>2.9369179999999999E-6</v>
      </c>
      <c r="I5384">
        <v>215.86709999999999</v>
      </c>
      <c r="J5384">
        <v>-343.05990000000003</v>
      </c>
      <c r="K5384">
        <v>1.110114</v>
      </c>
      <c r="L5384">
        <v>214.64080000000001</v>
      </c>
      <c r="M5384">
        <v>0.99989399999999995</v>
      </c>
      <c r="N5384">
        <v>0</v>
      </c>
      <c r="O5384">
        <v>2.6739099999999998E-3</v>
      </c>
      <c r="P5384">
        <v>0.99391229999999997</v>
      </c>
      <c r="Q5384">
        <v>7.1749549999999995E-2</v>
      </c>
      <c r="R5384">
        <v>-8.3610219999999999E-2</v>
      </c>
      <c r="S5384">
        <v>3.0379939999999999</v>
      </c>
      <c r="T5384">
        <v>-0.11762830000000001</v>
      </c>
      <c r="U5384">
        <v>0.12995909999999999</v>
      </c>
      <c r="V5384">
        <v>8.6389709999999995E-2</v>
      </c>
      <c r="W5384">
        <v>8.5855829999999994E-2</v>
      </c>
      <c r="X5384">
        <v>0.99255510000000002</v>
      </c>
      <c r="Y5384">
        <v>-4.003901E-2</v>
      </c>
      <c r="Z5384">
        <v>6.7103799999999999E-4</v>
      </c>
      <c r="AA5384">
        <v>0.99919789999999997</v>
      </c>
      <c r="AB5384">
        <v>31</v>
      </c>
      <c r="AC5384">
        <v>28.479399999999998</v>
      </c>
      <c r="AD5384">
        <v>-1.1101110630819999</v>
      </c>
      <c r="AE5384">
        <v>1.22629999999998</v>
      </c>
      <c r="AF5384">
        <v>-1.1483948239703901</v>
      </c>
      <c r="AG5384">
        <v>-1.1101110630819999</v>
      </c>
      <c r="AH5384">
        <v>28.439446685750902</v>
      </c>
      <c r="AI5384">
        <v>92.233541699573095</v>
      </c>
      <c r="AJ5384">
        <v>92.312367374758296</v>
      </c>
      <c r="AK5384">
        <v>28.4842638141794</v>
      </c>
      <c r="AL5384">
        <v>85.074759847095905</v>
      </c>
      <c r="AM5384">
        <v>85.025643211545898</v>
      </c>
      <c r="AN5384">
        <v>1.00000001603744</v>
      </c>
    </row>
    <row r="5385" spans="1:40" x14ac:dyDescent="0.25">
      <c r="A5385" t="str">
        <f>"20190312150800287"</f>
        <v>20190312150800287</v>
      </c>
      <c r="B5385" t="str">
        <f>"1552374480275654"</f>
        <v>1552374480275654</v>
      </c>
      <c r="C5385" t="s">
        <v>40</v>
      </c>
      <c r="D5385">
        <v>4.3928919999999998</v>
      </c>
      <c r="E5385">
        <v>0.4519937</v>
      </c>
      <c r="F5385" t="s">
        <v>68</v>
      </c>
      <c r="G5385">
        <v>-314.9862</v>
      </c>
      <c r="H5385" s="1">
        <v>3.1168380000000002E-6</v>
      </c>
      <c r="I5385">
        <v>215.84790000000001</v>
      </c>
      <c r="J5385">
        <v>-342.7955</v>
      </c>
      <c r="K5385">
        <v>1.1101190000000001</v>
      </c>
      <c r="L5385">
        <v>214.64089999999999</v>
      </c>
      <c r="M5385">
        <v>0.99989530000000004</v>
      </c>
      <c r="N5385">
        <v>0</v>
      </c>
      <c r="O5385">
        <v>2.09991E-3</v>
      </c>
      <c r="P5385">
        <v>0.99401790000000001</v>
      </c>
      <c r="Q5385">
        <v>7.1628590000000006E-2</v>
      </c>
      <c r="R5385">
        <v>-8.245007E-2</v>
      </c>
      <c r="S5385">
        <v>3.0380250000000002</v>
      </c>
      <c r="T5385">
        <v>-0.12013210000000001</v>
      </c>
      <c r="U5385">
        <v>0.13063050000000001</v>
      </c>
      <c r="V5385">
        <v>8.4657979999999994E-2</v>
      </c>
      <c r="W5385">
        <v>8.573799E-2</v>
      </c>
      <c r="X5385">
        <v>0.99271450000000006</v>
      </c>
      <c r="Y5385">
        <v>-4.0830310000000002E-2</v>
      </c>
      <c r="Z5385">
        <v>7.2361229999999999E-4</v>
      </c>
      <c r="AA5385">
        <v>0.99916579999999999</v>
      </c>
      <c r="AB5385">
        <v>31</v>
      </c>
      <c r="AC5385">
        <v>27.8093</v>
      </c>
      <c r="AD5385">
        <v>-1.1101158831619999</v>
      </c>
      <c r="AE5385">
        <v>1.2070000000000201</v>
      </c>
      <c r="AF5385">
        <v>-1.1467703637406499</v>
      </c>
      <c r="AG5385">
        <v>-1.1101158831619999</v>
      </c>
      <c r="AH5385">
        <v>27.767608584398001</v>
      </c>
      <c r="AI5385">
        <v>92.287449923655501</v>
      </c>
      <c r="AJ5385">
        <v>92.364906018445296</v>
      </c>
      <c r="AK5385">
        <v>27.813441463392099</v>
      </c>
      <c r="AL5385">
        <v>85.081536626378096</v>
      </c>
      <c r="AM5385">
        <v>85.125650546758294</v>
      </c>
      <c r="AN5385">
        <v>1.0000000275085801</v>
      </c>
    </row>
    <row r="5386" spans="1:40" x14ac:dyDescent="0.25">
      <c r="A5386" t="str">
        <f>"20190312150800308"</f>
        <v>20190312150800308</v>
      </c>
      <c r="B5386" t="str">
        <f>"1552374480305911"</f>
        <v>1552374480305911</v>
      </c>
      <c r="C5386" t="s">
        <v>40</v>
      </c>
      <c r="D5386">
        <v>4.4430680000000002</v>
      </c>
      <c r="E5386">
        <v>0.45209749999999999</v>
      </c>
      <c r="F5386" t="s">
        <v>68</v>
      </c>
      <c r="G5386">
        <v>-315.0462</v>
      </c>
      <c r="H5386" s="1">
        <v>3.1434120000000002E-6</v>
      </c>
      <c r="I5386">
        <v>215.8682</v>
      </c>
      <c r="J5386">
        <v>-342.49689999999998</v>
      </c>
      <c r="K5386">
        <v>1.110125</v>
      </c>
      <c r="L5386">
        <v>214.64080000000001</v>
      </c>
      <c r="M5386">
        <v>0.99989649999999997</v>
      </c>
      <c r="N5386">
        <v>0</v>
      </c>
      <c r="O5386">
        <v>1.4626070000000001E-3</v>
      </c>
      <c r="P5386">
        <v>0.99404689999999996</v>
      </c>
      <c r="Q5386">
        <v>7.1677080000000004E-2</v>
      </c>
      <c r="R5386">
        <v>-8.2057649999999996E-2</v>
      </c>
      <c r="S5386">
        <v>3.0379640000000001</v>
      </c>
      <c r="T5386">
        <v>-0.121534199999999</v>
      </c>
      <c r="U5386">
        <v>0.13436890000000001</v>
      </c>
      <c r="V5386">
        <v>8.3630220000000005E-2</v>
      </c>
      <c r="W5386">
        <v>8.5787879999999997E-2</v>
      </c>
      <c r="X5386">
        <v>0.99279729999999999</v>
      </c>
      <c r="Y5386">
        <v>-4.2692430000000003E-2</v>
      </c>
      <c r="Z5386">
        <v>7.9473499999999997E-4</v>
      </c>
      <c r="AA5386">
        <v>0.99908790000000003</v>
      </c>
      <c r="AB5386">
        <v>31</v>
      </c>
      <c r="AC5386">
        <v>27.450699999999902</v>
      </c>
      <c r="AD5386">
        <v>-1.110121856588</v>
      </c>
      <c r="AE5386">
        <v>1.2273999999999801</v>
      </c>
      <c r="AF5386">
        <v>-1.1853103525003601</v>
      </c>
      <c r="AG5386">
        <v>-1.110121856588</v>
      </c>
      <c r="AH5386">
        <v>27.4077317700287</v>
      </c>
      <c r="AI5386">
        <v>92.317274845807901</v>
      </c>
      <c r="AJ5386">
        <v>92.476344579561001</v>
      </c>
      <c r="AK5386">
        <v>27.455802518703798</v>
      </c>
      <c r="AL5386">
        <v>85.078667564057099</v>
      </c>
      <c r="AM5386">
        <v>85.184945605179905</v>
      </c>
      <c r="AN5386">
        <v>1.00000002646971</v>
      </c>
    </row>
    <row r="5387" spans="1:40" x14ac:dyDescent="0.25">
      <c r="A5387" t="str">
        <f>"20190312150800332"</f>
        <v>20190312150800332</v>
      </c>
      <c r="B5387" t="str">
        <f>"1552374480325431"</f>
        <v>1552374480325431</v>
      </c>
      <c r="C5387" t="s">
        <v>40</v>
      </c>
      <c r="D5387">
        <v>4.5446220000000004</v>
      </c>
      <c r="E5387">
        <v>0.4522137</v>
      </c>
      <c r="F5387" t="s">
        <v>68</v>
      </c>
      <c r="G5387">
        <v>-315.60140000000001</v>
      </c>
      <c r="H5387" s="1">
        <v>3.3896250000000002E-6</v>
      </c>
      <c r="I5387">
        <v>215.8329</v>
      </c>
      <c r="J5387">
        <v>-342.17860000000002</v>
      </c>
      <c r="K5387">
        <v>1.1101350000000001</v>
      </c>
      <c r="L5387">
        <v>214.6405</v>
      </c>
      <c r="M5387">
        <v>0.99989720000000004</v>
      </c>
      <c r="N5387">
        <v>0</v>
      </c>
      <c r="O5387">
        <v>7.9974970000000001E-4</v>
      </c>
      <c r="P5387">
        <v>0.99411709999999998</v>
      </c>
      <c r="Q5387">
        <v>7.1235809999999997E-2</v>
      </c>
      <c r="R5387">
        <v>-8.1590380000000004E-2</v>
      </c>
      <c r="S5387">
        <v>3.0381469999999999</v>
      </c>
      <c r="T5387">
        <v>-0.1254006</v>
      </c>
      <c r="U5387">
        <v>0.1346588</v>
      </c>
      <c r="V5387">
        <v>8.2500879999999999E-2</v>
      </c>
      <c r="W5387">
        <v>8.5348899999999894E-2</v>
      </c>
      <c r="X5387">
        <v>0.99292959999999997</v>
      </c>
      <c r="Y5387">
        <v>-4.3443910000000002E-2</v>
      </c>
      <c r="Z5387">
        <v>8.6277789999999902E-4</v>
      </c>
      <c r="AA5387">
        <v>0.99905549999999999</v>
      </c>
      <c r="AB5387">
        <v>31</v>
      </c>
      <c r="AC5387">
        <v>26.577200000000001</v>
      </c>
      <c r="AD5387">
        <v>-1.1101316103749901</v>
      </c>
      <c r="AE5387">
        <v>1.1923999999999899</v>
      </c>
      <c r="AF5387">
        <v>-1.16910664403196</v>
      </c>
      <c r="AG5387">
        <v>-1.1101316103749901</v>
      </c>
      <c r="AH5387">
        <v>26.5319468868515</v>
      </c>
      <c r="AI5387">
        <v>92.393613421233994</v>
      </c>
      <c r="AJ5387">
        <v>92.523055454237905</v>
      </c>
      <c r="AK5387">
        <v>26.580884261893601</v>
      </c>
      <c r="AL5387">
        <v>85.103911773746503</v>
      </c>
      <c r="AM5387">
        <v>85.250298421226901</v>
      </c>
      <c r="AN5387">
        <v>1.00000001024407</v>
      </c>
    </row>
    <row r="5388" spans="1:40" x14ac:dyDescent="0.25">
      <c r="A5388" t="str">
        <f>"20190312150800355"</f>
        <v>20190312150800355</v>
      </c>
      <c r="B5388" t="str">
        <f>"1552374480344950"</f>
        <v>1552374480344950</v>
      </c>
      <c r="C5388" t="s">
        <v>40</v>
      </c>
      <c r="D5388">
        <v>4.402298</v>
      </c>
      <c r="E5388">
        <v>0.45243349999999999</v>
      </c>
      <c r="F5388" t="s">
        <v>68</v>
      </c>
      <c r="G5388">
        <v>-315.50689999999997</v>
      </c>
      <c r="H5388" s="1">
        <v>3.347742E-6</v>
      </c>
      <c r="I5388">
        <v>215.82599999999999</v>
      </c>
      <c r="J5388">
        <v>-341.8639</v>
      </c>
      <c r="K5388">
        <v>1.11015</v>
      </c>
      <c r="L5388">
        <v>214.64009999999999</v>
      </c>
      <c r="M5388">
        <v>0.99989760000000005</v>
      </c>
      <c r="N5388">
        <v>0</v>
      </c>
      <c r="O5388">
        <v>1.664127E-4</v>
      </c>
      <c r="P5388">
        <v>0.99419990000000003</v>
      </c>
      <c r="Q5388">
        <v>7.0676080000000002E-2</v>
      </c>
      <c r="R5388">
        <v>-8.1064129999999998E-2</v>
      </c>
      <c r="S5388">
        <v>3.0378720000000001</v>
      </c>
      <c r="T5388">
        <v>-0.12644269999999999</v>
      </c>
      <c r="U5388">
        <v>0.13502500000000001</v>
      </c>
      <c r="V5388">
        <v>8.1340759999999998E-2</v>
      </c>
      <c r="W5388">
        <v>8.4792549999999994E-2</v>
      </c>
      <c r="X5388">
        <v>0.99307299999999998</v>
      </c>
      <c r="Y5388">
        <v>-4.4199080000000002E-2</v>
      </c>
      <c r="Z5388">
        <v>9.1205769999999999E-4</v>
      </c>
      <c r="AA5388">
        <v>0.99902230000000003</v>
      </c>
      <c r="AB5388">
        <v>31</v>
      </c>
      <c r="AC5388">
        <v>26.356999999999999</v>
      </c>
      <c r="AD5388">
        <v>-1.1101466522579999</v>
      </c>
      <c r="AE5388">
        <v>1.1859</v>
      </c>
      <c r="AF5388">
        <v>-1.1794252489093799</v>
      </c>
      <c r="AG5388">
        <v>-1.1101466522579999</v>
      </c>
      <c r="AH5388">
        <v>26.310614649614202</v>
      </c>
      <c r="AI5388">
        <v>92.413676534890001</v>
      </c>
      <c r="AJ5388">
        <v>92.566678150455601</v>
      </c>
      <c r="AK5388">
        <v>26.360423227781698</v>
      </c>
      <c r="AL5388">
        <v>85.135904399127995</v>
      </c>
      <c r="AM5388">
        <v>85.317462361090307</v>
      </c>
      <c r="AN5388">
        <v>1.0000000395509301</v>
      </c>
    </row>
    <row r="5389" spans="1:40" x14ac:dyDescent="0.25">
      <c r="A5389" t="str">
        <f>"20190312150800378"</f>
        <v>20190312150800378</v>
      </c>
      <c r="B5389" t="str">
        <f>"1552374480365446"</f>
        <v>1552374480365446</v>
      </c>
      <c r="C5389" t="s">
        <v>40</v>
      </c>
      <c r="D5389">
        <v>4.37019</v>
      </c>
      <c r="E5389">
        <v>0.45263710000000001</v>
      </c>
      <c r="F5389" t="s">
        <v>68</v>
      </c>
      <c r="G5389">
        <v>-315.42680000000001</v>
      </c>
      <c r="H5389" s="1">
        <v>3.3122260000000001E-6</v>
      </c>
      <c r="I5389">
        <v>215.8135</v>
      </c>
      <c r="J5389">
        <v>-341.55779999999999</v>
      </c>
      <c r="K5389">
        <v>1.110161</v>
      </c>
      <c r="L5389">
        <v>214.6395</v>
      </c>
      <c r="M5389">
        <v>0.9998977</v>
      </c>
      <c r="N5389">
        <v>0</v>
      </c>
      <c r="O5389">
        <v>-4.2130029999999999E-4</v>
      </c>
      <c r="P5389">
        <v>0.99424179999999995</v>
      </c>
      <c r="Q5389">
        <v>7.040399E-2</v>
      </c>
      <c r="R5389">
        <v>-8.0789390000000003E-2</v>
      </c>
      <c r="S5389">
        <v>3.037598</v>
      </c>
      <c r="T5389">
        <v>-0.1275551</v>
      </c>
      <c r="U5389">
        <v>0.13482669999999999</v>
      </c>
      <c r="V5389">
        <v>8.0476820000000004E-2</v>
      </c>
      <c r="W5389">
        <v>8.452411E-2</v>
      </c>
      <c r="X5389">
        <v>0.9931662</v>
      </c>
      <c r="Y5389">
        <v>-4.4723510000000001E-2</v>
      </c>
      <c r="Z5389">
        <v>9.5581859999999998E-4</v>
      </c>
      <c r="AA5389">
        <v>0.99899890000000002</v>
      </c>
      <c r="AB5389">
        <v>31</v>
      </c>
      <c r="AC5389">
        <v>26.130999999999901</v>
      </c>
      <c r="AD5389">
        <v>-1.110157687774</v>
      </c>
      <c r="AE5389">
        <v>1.1739999999999999</v>
      </c>
      <c r="AF5389">
        <v>-1.1828793208346</v>
      </c>
      <c r="AG5389">
        <v>-1.110157687774</v>
      </c>
      <c r="AH5389">
        <v>26.0835192667247</v>
      </c>
      <c r="AI5389">
        <v>92.434632937089404</v>
      </c>
      <c r="AJ5389">
        <v>92.596566365234494</v>
      </c>
      <c r="AK5389">
        <v>26.1339172516671</v>
      </c>
      <c r="AL5389">
        <v>85.151339964881203</v>
      </c>
      <c r="AM5389">
        <v>85.367411943387097</v>
      </c>
      <c r="AN5389">
        <v>0.99999997227552195</v>
      </c>
    </row>
    <row r="5390" spans="1:40" x14ac:dyDescent="0.25">
      <c r="A5390" t="str">
        <f>"20190312150800398"</f>
        <v>20190312150800398</v>
      </c>
      <c r="B5390" t="str">
        <f>"1552374480395702"</f>
        <v>1552374480395702</v>
      </c>
      <c r="C5390" t="s">
        <v>40</v>
      </c>
      <c r="D5390">
        <v>4.3473509999999997</v>
      </c>
      <c r="E5390">
        <v>0.45283499999999999</v>
      </c>
      <c r="F5390" t="s">
        <v>68</v>
      </c>
      <c r="G5390">
        <v>-315.02080000000001</v>
      </c>
      <c r="H5390" s="1">
        <v>3.132137E-6</v>
      </c>
      <c r="I5390">
        <v>215.8115</v>
      </c>
      <c r="J5390">
        <v>-341.2756</v>
      </c>
      <c r="K5390">
        <v>1.110182</v>
      </c>
      <c r="L5390">
        <v>214.6388</v>
      </c>
      <c r="M5390">
        <v>0.99989720000000004</v>
      </c>
      <c r="N5390">
        <v>0</v>
      </c>
      <c r="O5390">
        <v>-9.3315589999999995E-4</v>
      </c>
      <c r="P5390">
        <v>0.9943535</v>
      </c>
      <c r="Q5390">
        <v>7.0159689999999997E-2</v>
      </c>
      <c r="R5390">
        <v>-7.9618739999999993E-2</v>
      </c>
      <c r="S5390">
        <v>3.0372309999999998</v>
      </c>
      <c r="T5390">
        <v>-0.12706039999999999</v>
      </c>
      <c r="U5390">
        <v>0.13414000000000001</v>
      </c>
      <c r="V5390">
        <v>7.8791689999999998E-2</v>
      </c>
      <c r="W5390">
        <v>8.4285589999999994E-2</v>
      </c>
      <c r="X5390">
        <v>0.99332160000000003</v>
      </c>
      <c r="Y5390">
        <v>-4.5014419999999999E-2</v>
      </c>
      <c r="Z5390">
        <v>9.797098000000001E-4</v>
      </c>
      <c r="AA5390">
        <v>0.99898580000000003</v>
      </c>
      <c r="AB5390">
        <v>31</v>
      </c>
      <c r="AC5390">
        <v>26.2547999999999</v>
      </c>
      <c r="AD5390">
        <v>-1.110178867863</v>
      </c>
      <c r="AE5390">
        <v>1.1726999999999901</v>
      </c>
      <c r="AF5390">
        <v>-1.19506928489358</v>
      </c>
      <c r="AG5390">
        <v>-1.110178867863</v>
      </c>
      <c r="AH5390">
        <v>26.206929347018601</v>
      </c>
      <c r="AI5390">
        <v>92.423200337196704</v>
      </c>
      <c r="AJ5390">
        <v>92.6109515624903</v>
      </c>
      <c r="AK5390">
        <v>26.257643335112402</v>
      </c>
      <c r="AL5390">
        <v>85.165055211746704</v>
      </c>
      <c r="AM5390">
        <v>85.464712757137406</v>
      </c>
      <c r="AN5390">
        <v>0.99999999606063195</v>
      </c>
    </row>
    <row r="5391" spans="1:40" x14ac:dyDescent="0.25">
      <c r="A5391" t="str">
        <f>"20190312150800421"</f>
        <v>20190312150800421</v>
      </c>
      <c r="B5391" t="str">
        <f>"1552374480415223"</f>
        <v>1552374480415223</v>
      </c>
      <c r="C5391" t="s">
        <v>40</v>
      </c>
      <c r="D5391">
        <v>4.3730650000000004</v>
      </c>
      <c r="E5391">
        <v>0.4529261</v>
      </c>
      <c r="F5391" t="s">
        <v>68</v>
      </c>
      <c r="G5391">
        <v>-314.92849999999999</v>
      </c>
      <c r="H5391" s="1">
        <v>3.0912109999999998E-6</v>
      </c>
      <c r="I5391">
        <v>215.81710000000001</v>
      </c>
      <c r="J5391">
        <v>-340.95859999999999</v>
      </c>
      <c r="K5391">
        <v>1.110209</v>
      </c>
      <c r="L5391">
        <v>214.6379</v>
      </c>
      <c r="M5391">
        <v>0.99989680000000003</v>
      </c>
      <c r="N5391">
        <v>0</v>
      </c>
      <c r="O5391">
        <v>-1.4742240000000001E-3</v>
      </c>
      <c r="P5391">
        <v>0.99455439999999995</v>
      </c>
      <c r="Q5391">
        <v>6.933048E-2</v>
      </c>
      <c r="R5391">
        <v>-7.7814560000000005E-2</v>
      </c>
      <c r="S5391">
        <v>3.0369259999999998</v>
      </c>
      <c r="T5391">
        <v>-0.12796569999999999</v>
      </c>
      <c r="U5391">
        <v>0.13581849999999901</v>
      </c>
      <c r="V5391">
        <v>7.6442259999999998E-2</v>
      </c>
      <c r="W5391">
        <v>8.3464999999999998E-2</v>
      </c>
      <c r="X5391">
        <v>0.99357439999999997</v>
      </c>
      <c r="Y5391">
        <v>-4.6108410000000002E-2</v>
      </c>
      <c r="Z5391">
        <v>1.032577E-3</v>
      </c>
      <c r="AA5391">
        <v>0.99893589999999999</v>
      </c>
      <c r="AB5391">
        <v>31</v>
      </c>
      <c r="AC5391">
        <v>26.030100000000001</v>
      </c>
      <c r="AD5391">
        <v>-1.1102059087889999</v>
      </c>
      <c r="AE5391">
        <v>1.1792</v>
      </c>
      <c r="AF5391">
        <v>-1.2153704888368799</v>
      </c>
      <c r="AG5391">
        <v>-1.1102059087889999</v>
      </c>
      <c r="AH5391">
        <v>25.9811677053608</v>
      </c>
      <c r="AI5391">
        <v>92.444158102631903</v>
      </c>
      <c r="AJ5391">
        <v>92.678281176594496</v>
      </c>
      <c r="AK5391">
        <v>26.033262529293701</v>
      </c>
      <c r="AL5391">
        <v>85.212237628044306</v>
      </c>
      <c r="AM5391">
        <v>85.600523022949403</v>
      </c>
      <c r="AN5391">
        <v>0.99999995683713205</v>
      </c>
    </row>
    <row r="5392" spans="1:40" x14ac:dyDescent="0.25">
      <c r="A5392" t="str">
        <f>"20190312150800443"</f>
        <v>20190312150800443</v>
      </c>
      <c r="B5392" t="str">
        <f>"1552374480435719"</f>
        <v>1552374480435719</v>
      </c>
      <c r="C5392" t="s">
        <v>40</v>
      </c>
      <c r="D5392">
        <v>4.384582</v>
      </c>
      <c r="E5392">
        <v>0.45302379999999998</v>
      </c>
      <c r="F5392" t="s">
        <v>68</v>
      </c>
      <c r="G5392">
        <v>-315.2165</v>
      </c>
      <c r="H5392" s="1">
        <v>3.2189269999999999E-6</v>
      </c>
      <c r="I5392">
        <v>215.82859999999999</v>
      </c>
      <c r="J5392">
        <v>-340.65699999999998</v>
      </c>
      <c r="K5392">
        <v>1.1102379999999901</v>
      </c>
      <c r="L5392">
        <v>214.637</v>
      </c>
      <c r="M5392">
        <v>0.99989589999999995</v>
      </c>
      <c r="N5392">
        <v>0</v>
      </c>
      <c r="O5392">
        <v>-1.955011E-3</v>
      </c>
      <c r="P5392">
        <v>0.99470040000000004</v>
      </c>
      <c r="Q5392">
        <v>6.8621150000000006E-2</v>
      </c>
      <c r="R5392">
        <v>-7.6566750000000003E-2</v>
      </c>
      <c r="S5392">
        <v>3.0365600000000001</v>
      </c>
      <c r="T5392">
        <v>-0.1309603</v>
      </c>
      <c r="U5392">
        <v>0.1404572</v>
      </c>
      <c r="V5392">
        <v>7.4709289999999998E-2</v>
      </c>
      <c r="W5392">
        <v>8.2761710000000002E-2</v>
      </c>
      <c r="X5392">
        <v>0.99376509999999996</v>
      </c>
      <c r="Y5392">
        <v>-4.8112540000000002E-2</v>
      </c>
      <c r="Z5392">
        <v>1.120701E-3</v>
      </c>
      <c r="AA5392">
        <v>0.99884130000000004</v>
      </c>
      <c r="AB5392">
        <v>30</v>
      </c>
      <c r="AC5392">
        <v>25.440499999999901</v>
      </c>
      <c r="AD5392">
        <v>-1.11023478107299</v>
      </c>
      <c r="AE5392">
        <v>1.19159999999999</v>
      </c>
      <c r="AF5392">
        <v>-1.2389847957061799</v>
      </c>
      <c r="AG5392">
        <v>-1.11023478107299</v>
      </c>
      <c r="AH5392">
        <v>25.389872672146002</v>
      </c>
      <c r="AI5392">
        <v>92.500832161769793</v>
      </c>
      <c r="AJ5392">
        <v>92.793725395708606</v>
      </c>
      <c r="AK5392">
        <v>25.444318401185001</v>
      </c>
      <c r="AL5392">
        <v>85.252673412661196</v>
      </c>
      <c r="AM5392">
        <v>85.700704211147695</v>
      </c>
      <c r="AN5392">
        <v>1.0000000263162101</v>
      </c>
    </row>
    <row r="5393" spans="1:40" x14ac:dyDescent="0.25">
      <c r="A5393" t="str">
        <f>"20190312150800466"</f>
        <v>20190312150800466</v>
      </c>
      <c r="B5393" t="str">
        <f>"1552374480455242"</f>
        <v>1552374480455242</v>
      </c>
      <c r="C5393" t="s">
        <v>40</v>
      </c>
      <c r="D5393">
        <v>4.5484280000000004</v>
      </c>
      <c r="E5393">
        <v>0.4531984</v>
      </c>
      <c r="F5393" t="s">
        <v>68</v>
      </c>
      <c r="G5393">
        <v>-315.50060000000002</v>
      </c>
      <c r="H5393" s="1">
        <v>3.3449540000000002E-6</v>
      </c>
      <c r="I5393">
        <v>215.82579999999999</v>
      </c>
      <c r="J5393">
        <v>-340.34460000000001</v>
      </c>
      <c r="K5393">
        <v>1.1102590000000001</v>
      </c>
      <c r="L5393">
        <v>214.63579999999999</v>
      </c>
      <c r="M5393">
        <v>0.99989490000000003</v>
      </c>
      <c r="N5393">
        <v>0</v>
      </c>
      <c r="O5393">
        <v>-2.4204690000000002E-3</v>
      </c>
      <c r="P5393">
        <v>0.99488509999999997</v>
      </c>
      <c r="Q5393">
        <v>6.7776340000000004E-2</v>
      </c>
      <c r="R5393">
        <v>-7.4900999999999995E-2</v>
      </c>
      <c r="S5393">
        <v>3.0363159999999998</v>
      </c>
      <c r="T5393">
        <v>-0.13400319999999999</v>
      </c>
      <c r="U5393">
        <v>0.1434937</v>
      </c>
      <c r="V5393">
        <v>7.2574020000000003E-2</v>
      </c>
      <c r="W5393">
        <v>8.1923430000000005E-2</v>
      </c>
      <c r="X5393">
        <v>0.99399269999999995</v>
      </c>
      <c r="Y5393">
        <v>-4.9573819999999998E-2</v>
      </c>
      <c r="Z5393">
        <v>1.1995160000000001E-3</v>
      </c>
      <c r="AA5393">
        <v>0.99876980000000004</v>
      </c>
      <c r="AB5393">
        <v>30</v>
      </c>
      <c r="AC5393">
        <v>24.843999999999902</v>
      </c>
      <c r="AD5393">
        <v>-1.1102556550460001</v>
      </c>
      <c r="AE5393">
        <v>1.18999999999999</v>
      </c>
      <c r="AF5393">
        <v>-1.2476507920136699</v>
      </c>
      <c r="AG5393">
        <v>-1.1102556550460001</v>
      </c>
      <c r="AH5393">
        <v>24.791648133277199</v>
      </c>
      <c r="AI5393">
        <v>92.560953035062695</v>
      </c>
      <c r="AJ5393">
        <v>92.881005203631403</v>
      </c>
      <c r="AK5393">
        <v>24.847839288006501</v>
      </c>
      <c r="AL5393">
        <v>85.300866678236304</v>
      </c>
      <c r="AM5393">
        <v>85.824094368594203</v>
      </c>
      <c r="AN5393">
        <v>0.99999996220760601</v>
      </c>
    </row>
    <row r="5394" spans="1:40" x14ac:dyDescent="0.25">
      <c r="A5394" t="str">
        <f>"20190312150800488"</f>
        <v>20190312150800488</v>
      </c>
      <c r="B5394" t="str">
        <f>"1552374480485495"</f>
        <v>1552374480485495</v>
      </c>
      <c r="C5394" t="s">
        <v>40</v>
      </c>
      <c r="D5394">
        <v>4.4953900000000004</v>
      </c>
      <c r="E5394">
        <v>0.45307910000000001</v>
      </c>
      <c r="F5394" t="s">
        <v>68</v>
      </c>
      <c r="G5394">
        <v>-315.69929999999999</v>
      </c>
      <c r="H5394" s="1">
        <v>3.433037E-6</v>
      </c>
      <c r="I5394">
        <v>215.82980000000001</v>
      </c>
      <c r="J5394">
        <v>-340.04669999999999</v>
      </c>
      <c r="K5394">
        <v>1.1102749999999999</v>
      </c>
      <c r="L5394">
        <v>214.63470000000001</v>
      </c>
      <c r="M5394">
        <v>0.9998939</v>
      </c>
      <c r="N5394">
        <v>0</v>
      </c>
      <c r="O5394">
        <v>-2.8426609999999998E-3</v>
      </c>
      <c r="P5394">
        <v>0.99510480000000001</v>
      </c>
      <c r="Q5394">
        <v>6.6995349999999995E-2</v>
      </c>
      <c r="R5394">
        <v>-7.2650770000000003E-2</v>
      </c>
      <c r="S5394">
        <v>3.035828</v>
      </c>
      <c r="T5394">
        <v>-0.13676179999999999</v>
      </c>
      <c r="U5394">
        <v>0.1470795</v>
      </c>
      <c r="V5394">
        <v>6.9898399999999902E-2</v>
      </c>
      <c r="W5394">
        <v>8.1147810000000001E-2</v>
      </c>
      <c r="X5394">
        <v>0.99424809999999997</v>
      </c>
      <c r="Y5394">
        <v>-5.1175900000000003E-2</v>
      </c>
      <c r="Z5394">
        <v>1.279395E-3</v>
      </c>
      <c r="AA5394">
        <v>0.99868880000000004</v>
      </c>
      <c r="AB5394">
        <v>30</v>
      </c>
      <c r="AC5394">
        <v>24.3474</v>
      </c>
      <c r="AD5394">
        <v>-1.1102715669629999</v>
      </c>
      <c r="AE5394">
        <v>1.1950999999999901</v>
      </c>
      <c r="AF5394">
        <v>-1.2616962821978199</v>
      </c>
      <c r="AG5394">
        <v>-1.1102715669629999</v>
      </c>
      <c r="AH5394">
        <v>24.293507729952299</v>
      </c>
      <c r="AI5394">
        <v>92.613216637250602</v>
      </c>
      <c r="AJ5394">
        <v>92.973015752637295</v>
      </c>
      <c r="AK5394">
        <v>24.351572809290399</v>
      </c>
      <c r="AL5394">
        <v>85.345455157563705</v>
      </c>
      <c r="AM5394">
        <v>85.978564310509995</v>
      </c>
      <c r="AN5394">
        <v>1.00000001887198</v>
      </c>
    </row>
    <row r="5395" spans="1:40" x14ac:dyDescent="0.25">
      <c r="A5395" t="str">
        <f>"20190312150800510"</f>
        <v>20190312150800510</v>
      </c>
      <c r="B5395" t="str">
        <f>"1552374480505016"</f>
        <v>1552374480505016</v>
      </c>
      <c r="C5395" t="s">
        <v>40</v>
      </c>
      <c r="D5395">
        <v>4.4789389999999996</v>
      </c>
      <c r="E5395">
        <v>0.45283950000000001</v>
      </c>
      <c r="F5395" t="s">
        <v>68</v>
      </c>
      <c r="G5395">
        <v>-315.79379999999998</v>
      </c>
      <c r="H5395" s="1">
        <v>3.4749669999999999E-6</v>
      </c>
      <c r="I5395">
        <v>215.87</v>
      </c>
      <c r="J5395">
        <v>-339.74239999999998</v>
      </c>
      <c r="K5395">
        <v>1.1102860000000001</v>
      </c>
      <c r="L5395">
        <v>214.63329999999999</v>
      </c>
      <c r="M5395">
        <v>0.99989269999999997</v>
      </c>
      <c r="N5395">
        <v>0</v>
      </c>
      <c r="O5395">
        <v>-3.260303E-3</v>
      </c>
      <c r="P5395">
        <v>0.99527469999999996</v>
      </c>
      <c r="Q5395">
        <v>6.6742759999999998E-2</v>
      </c>
      <c r="R5395">
        <v>-7.0527409999999999E-2</v>
      </c>
      <c r="S5395">
        <v>3.035431</v>
      </c>
      <c r="T5395">
        <v>-0.13895879999999999</v>
      </c>
      <c r="U5395">
        <v>0.15461730000000001</v>
      </c>
      <c r="V5395">
        <v>6.7355750000000006E-2</v>
      </c>
      <c r="W5395">
        <v>8.0899260000000001E-2</v>
      </c>
      <c r="X5395">
        <v>0.99444379999999999</v>
      </c>
      <c r="Y5395">
        <v>-5.4067820000000003E-2</v>
      </c>
      <c r="Z5395">
        <v>1.3852319999999999E-3</v>
      </c>
      <c r="AA5395">
        <v>0.99853630000000004</v>
      </c>
      <c r="AB5395">
        <v>30</v>
      </c>
      <c r="AC5395">
        <v>23.948599999999999</v>
      </c>
      <c r="AD5395">
        <v>-1.110282525033</v>
      </c>
      <c r="AE5395">
        <v>1.2367000000000099</v>
      </c>
      <c r="AF5395">
        <v>-1.3119687043013999</v>
      </c>
      <c r="AG5395">
        <v>-1.110282525033</v>
      </c>
      <c r="AH5395">
        <v>23.893221995793699</v>
      </c>
      <c r="AI5395">
        <v>92.656539790863803</v>
      </c>
      <c r="AJ5395">
        <v>93.142935603397902</v>
      </c>
      <c r="AK5395">
        <v>23.954958703924699</v>
      </c>
      <c r="AL5395">
        <v>85.359742815228998</v>
      </c>
      <c r="AM5395">
        <v>86.125155731988997</v>
      </c>
      <c r="AN5395">
        <v>0.99999997934252405</v>
      </c>
    </row>
    <row r="5396" spans="1:40" x14ac:dyDescent="0.25">
      <c r="A5396" t="str">
        <f>"20190312150800533"</f>
        <v>20190312150800533</v>
      </c>
      <c r="B5396" t="str">
        <f>"1552374480525510"</f>
        <v>1552374480525510</v>
      </c>
      <c r="C5396" t="s">
        <v>40</v>
      </c>
      <c r="D5396">
        <v>4.3877769999999998</v>
      </c>
      <c r="E5396">
        <v>0.4526849</v>
      </c>
      <c r="F5396" t="s">
        <v>68</v>
      </c>
      <c r="G5396">
        <v>-315.79059999999998</v>
      </c>
      <c r="H5396" s="1">
        <v>3.4735229999999999E-6</v>
      </c>
      <c r="I5396">
        <v>215.91849999999999</v>
      </c>
      <c r="J5396">
        <v>-339.43950000000001</v>
      </c>
      <c r="K5396">
        <v>1.1102970000000001</v>
      </c>
      <c r="L5396">
        <v>214.6319</v>
      </c>
      <c r="M5396">
        <v>0.99989119999999998</v>
      </c>
      <c r="N5396">
        <v>0</v>
      </c>
      <c r="O5396">
        <v>-3.6683789999999998E-3</v>
      </c>
      <c r="P5396">
        <v>0.9954885</v>
      </c>
      <c r="Q5396">
        <v>6.5837359999999998E-2</v>
      </c>
      <c r="R5396">
        <v>-6.8323209999999995E-2</v>
      </c>
      <c r="S5396">
        <v>3.0352480000000002</v>
      </c>
      <c r="T5396">
        <v>-0.14069809999999999</v>
      </c>
      <c r="U5396">
        <v>0.1628571</v>
      </c>
      <c r="V5396">
        <v>6.4742010000000003E-2</v>
      </c>
      <c r="W5396">
        <v>7.999763E-2</v>
      </c>
      <c r="X5396">
        <v>0.99469039999999997</v>
      </c>
      <c r="Y5396">
        <v>-5.717618E-2</v>
      </c>
      <c r="Z5396">
        <v>1.493386E-3</v>
      </c>
      <c r="AA5396">
        <v>0.998363</v>
      </c>
      <c r="AB5396">
        <v>30</v>
      </c>
      <c r="AC5396">
        <v>23.648900000000001</v>
      </c>
      <c r="AD5396">
        <v>-1.110293526477</v>
      </c>
      <c r="AE5396">
        <v>1.28659999999999</v>
      </c>
      <c r="AF5396">
        <v>-1.3703417129639199</v>
      </c>
      <c r="AG5396">
        <v>-1.110293526477</v>
      </c>
      <c r="AH5396">
        <v>23.592171898055401</v>
      </c>
      <c r="AI5396">
        <v>92.689935632482999</v>
      </c>
      <c r="AJ5396">
        <v>93.324266923397602</v>
      </c>
      <c r="AK5396">
        <v>23.658004205609199</v>
      </c>
      <c r="AL5396">
        <v>85.411570814892897</v>
      </c>
      <c r="AM5396">
        <v>86.276008111852093</v>
      </c>
      <c r="AN5396">
        <v>1.0000000702583001</v>
      </c>
    </row>
    <row r="5397" spans="1:40" x14ac:dyDescent="0.25">
      <c r="A5397" t="str">
        <f>"20190312150800555"</f>
        <v>20190312150800555</v>
      </c>
      <c r="B5397" t="str">
        <f>"1552374480545034"</f>
        <v>1552374480545034</v>
      </c>
      <c r="C5397" t="s">
        <v>40</v>
      </c>
      <c r="D5397">
        <v>4.473211</v>
      </c>
      <c r="E5397">
        <v>0.44344040000000001</v>
      </c>
      <c r="F5397" t="s">
        <v>68</v>
      </c>
      <c r="G5397">
        <v>-315.84350000000001</v>
      </c>
      <c r="H5397" s="1">
        <v>3.4969989999999999E-6</v>
      </c>
      <c r="I5397">
        <v>215.9599</v>
      </c>
      <c r="J5397">
        <v>-339.13369999999998</v>
      </c>
      <c r="K5397">
        <v>1.1102989999999999</v>
      </c>
      <c r="L5397">
        <v>214.63030000000001</v>
      </c>
      <c r="M5397">
        <v>0.99988980000000005</v>
      </c>
      <c r="N5397">
        <v>0</v>
      </c>
      <c r="O5397">
        <v>-4.078188E-3</v>
      </c>
      <c r="P5397">
        <v>0.99564319999999895</v>
      </c>
      <c r="Q5397">
        <v>6.5501619999999997E-2</v>
      </c>
      <c r="R5397">
        <v>-6.6367540000000003E-2</v>
      </c>
      <c r="S5397">
        <v>3.0347599999999999</v>
      </c>
      <c r="T5397">
        <v>-0.1427987</v>
      </c>
      <c r="U5397">
        <v>0.17080689999999901</v>
      </c>
      <c r="V5397">
        <v>6.2376099999999997E-2</v>
      </c>
      <c r="W5397">
        <v>7.9663949999999997E-2</v>
      </c>
      <c r="X5397">
        <v>0.99486830000000004</v>
      </c>
      <c r="Y5397">
        <v>-6.0195360000000003E-2</v>
      </c>
      <c r="Z5397">
        <v>1.6059900000000001E-3</v>
      </c>
      <c r="AA5397">
        <v>0.99818530000000005</v>
      </c>
      <c r="AB5397">
        <v>30</v>
      </c>
      <c r="AC5397">
        <v>23.290199999999899</v>
      </c>
      <c r="AD5397">
        <v>-1.110295503001</v>
      </c>
      <c r="AE5397">
        <v>1.3295999999999899</v>
      </c>
      <c r="AF5397">
        <v>-1.4213606848999401</v>
      </c>
      <c r="AG5397">
        <v>-1.110295503001</v>
      </c>
      <c r="AH5397">
        <v>23.231957000968201</v>
      </c>
      <c r="AI5397">
        <v>92.731083815114403</v>
      </c>
      <c r="AJ5397">
        <v>93.501064699320594</v>
      </c>
      <c r="AK5397">
        <v>23.301863624942001</v>
      </c>
      <c r="AL5397">
        <v>85.430750291681306</v>
      </c>
      <c r="AM5397">
        <v>86.412374100609995</v>
      </c>
      <c r="AN5397">
        <v>1.0000000285628501</v>
      </c>
    </row>
    <row r="5398" spans="1:40" x14ac:dyDescent="0.25">
      <c r="A5398" t="str">
        <f>"20190312150800578"</f>
        <v>20190312150800578</v>
      </c>
      <c r="B5398" t="str">
        <f>"1552374480565527"</f>
        <v>1552374480565527</v>
      </c>
      <c r="C5398" t="s">
        <v>40</v>
      </c>
      <c r="D5398">
        <v>4.4978639999999999</v>
      </c>
      <c r="E5398">
        <v>0.4440711</v>
      </c>
      <c r="F5398" t="s">
        <v>67</v>
      </c>
      <c r="G5398">
        <v>-326.6438</v>
      </c>
      <c r="H5398" s="1">
        <v>1.9987259999999999E-6</v>
      </c>
      <c r="I5398">
        <v>215.6551</v>
      </c>
      <c r="J5398">
        <v>-338.83260000000001</v>
      </c>
      <c r="K5398">
        <v>1.110304</v>
      </c>
      <c r="L5398">
        <v>214.62870000000001</v>
      </c>
      <c r="M5398">
        <v>0.9998882</v>
      </c>
      <c r="N5398">
        <v>0</v>
      </c>
      <c r="O5398">
        <v>-4.4823129999999999E-3</v>
      </c>
      <c r="P5398">
        <v>0.99578029999999995</v>
      </c>
      <c r="Q5398">
        <v>6.5450759999999997E-2</v>
      </c>
      <c r="R5398">
        <v>-6.4327259999999997E-2</v>
      </c>
      <c r="S5398">
        <v>3.0476380000000001</v>
      </c>
      <c r="T5398">
        <v>-0.2709222</v>
      </c>
      <c r="U5398">
        <v>0.25004579999999998</v>
      </c>
      <c r="V5398">
        <v>5.9931900000000003E-2</v>
      </c>
      <c r="W5398">
        <v>7.9614530000000003E-2</v>
      </c>
      <c r="X5398">
        <v>0.99502250000000003</v>
      </c>
      <c r="Y5398">
        <v>-8.5883929999999997E-2</v>
      </c>
      <c r="Z5398">
        <v>4.2005649999999999E-3</v>
      </c>
      <c r="AA5398">
        <v>0.99629630000000002</v>
      </c>
      <c r="AB5398">
        <v>30</v>
      </c>
      <c r="AC5398">
        <v>12.188800000000001</v>
      </c>
      <c r="AD5398">
        <v>-1.1103020012739999</v>
      </c>
      <c r="AE5398">
        <v>1.02639999999999</v>
      </c>
      <c r="AF5398">
        <v>-1.0721951003126899</v>
      </c>
      <c r="AG5398">
        <v>-1.1103020012739999</v>
      </c>
      <c r="AH5398">
        <v>12.0845082335982</v>
      </c>
      <c r="AI5398">
        <v>95.2290638261547</v>
      </c>
      <c r="AJ5398">
        <v>95.070277587900705</v>
      </c>
      <c r="AK5398">
        <v>12.1826808262825</v>
      </c>
      <c r="AL5398">
        <v>85.433590927251501</v>
      </c>
      <c r="AM5398">
        <v>86.553141820450506</v>
      </c>
      <c r="AN5398">
        <v>1.0000000407654801</v>
      </c>
    </row>
    <row r="5399" spans="1:40" x14ac:dyDescent="0.25">
      <c r="A5399" t="str">
        <f>"20190312150800599"</f>
        <v>20190312150800599</v>
      </c>
      <c r="B5399" t="str">
        <f>"1552374480595783"</f>
        <v>1552374480595783</v>
      </c>
      <c r="C5399" t="s">
        <v>40</v>
      </c>
      <c r="D5399">
        <v>4.325825</v>
      </c>
      <c r="E5399">
        <v>0.44911570000000001</v>
      </c>
      <c r="F5399" t="s">
        <v>67</v>
      </c>
      <c r="G5399">
        <v>-326.63080000000002</v>
      </c>
      <c r="H5399" s="1">
        <v>1.9918020000000002E-6</v>
      </c>
      <c r="I5399">
        <v>215.63550000000001</v>
      </c>
      <c r="J5399">
        <v>-338.54829999999998</v>
      </c>
      <c r="K5399">
        <v>1.1103019999999999</v>
      </c>
      <c r="L5399">
        <v>214.62700000000001</v>
      </c>
      <c r="M5399">
        <v>0.99988639999999995</v>
      </c>
      <c r="N5399">
        <v>0</v>
      </c>
      <c r="O5399">
        <v>-4.8659619999999997E-3</v>
      </c>
      <c r="P5399">
        <v>0.99592440000000004</v>
      </c>
      <c r="Q5399">
        <v>6.4928609999999998E-2</v>
      </c>
      <c r="R5399">
        <v>-6.260367E-2</v>
      </c>
      <c r="S5399">
        <v>3.04718</v>
      </c>
      <c r="T5399">
        <v>-0.27727810000000003</v>
      </c>
      <c r="U5399">
        <v>0.2514343</v>
      </c>
      <c r="V5399">
        <v>5.7824489999999999E-2</v>
      </c>
      <c r="W5399">
        <v>7.9093549999999999E-2</v>
      </c>
      <c r="X5399">
        <v>0.99518870000000004</v>
      </c>
      <c r="Y5399">
        <v>-8.6707480000000003E-2</v>
      </c>
      <c r="Z5399">
        <v>4.3713880000000004E-3</v>
      </c>
      <c r="AA5399">
        <v>0.9962242</v>
      </c>
      <c r="AB5399">
        <v>30</v>
      </c>
      <c r="AC5399">
        <v>11.917499999999899</v>
      </c>
      <c r="AD5399">
        <v>-1.1103000081979999</v>
      </c>
      <c r="AE5399">
        <v>1.00849999999999</v>
      </c>
      <c r="AF5399">
        <v>-1.05737153081225</v>
      </c>
      <c r="AG5399">
        <v>-1.1103000081979999</v>
      </c>
      <c r="AH5399">
        <v>11.8106655905694</v>
      </c>
      <c r="AI5399">
        <v>95.349222904521397</v>
      </c>
      <c r="AJ5399">
        <v>95.115870998007296</v>
      </c>
      <c r="AK5399">
        <v>11.909770037857101</v>
      </c>
      <c r="AL5399">
        <v>85.463535148513401</v>
      </c>
      <c r="AM5399">
        <v>86.674622275865104</v>
      </c>
      <c r="AN5399">
        <v>1.0000000049515201</v>
      </c>
    </row>
    <row r="5400" spans="1:40" x14ac:dyDescent="0.25">
      <c r="A5400" t="str">
        <f>"20190312150800623"</f>
        <v>20190312150800623</v>
      </c>
      <c r="B5400" t="str">
        <f>"1552374480615306"</f>
        <v>1552374480615306</v>
      </c>
      <c r="C5400" t="s">
        <v>40</v>
      </c>
      <c r="D5400">
        <v>4.4738020000000001</v>
      </c>
      <c r="E5400">
        <v>0.44966299999999998</v>
      </c>
      <c r="F5400" t="s">
        <v>68</v>
      </c>
      <c r="G5400">
        <v>-318.87639999999999</v>
      </c>
      <c r="H5400" s="1">
        <v>4.8419519999999999E-6</v>
      </c>
      <c r="I5400">
        <v>216.02930000000001</v>
      </c>
      <c r="J5400">
        <v>-338.23390000000001</v>
      </c>
      <c r="K5400">
        <v>1.1103000000000001</v>
      </c>
      <c r="L5400">
        <v>214.625</v>
      </c>
      <c r="M5400">
        <v>0.99988410000000005</v>
      </c>
      <c r="N5400">
        <v>0</v>
      </c>
      <c r="O5400">
        <v>-5.2925309999999996E-3</v>
      </c>
      <c r="P5400">
        <v>0.99601919999999999</v>
      </c>
      <c r="Q5400">
        <v>6.4952570000000001E-2</v>
      </c>
      <c r="R5400">
        <v>-6.1050340000000002E-2</v>
      </c>
      <c r="S5400">
        <v>3.0371090000000001</v>
      </c>
      <c r="T5400">
        <v>-0.1714165</v>
      </c>
      <c r="U5400">
        <v>0.21650700000000001</v>
      </c>
      <c r="V5400">
        <v>5.5845489999999998E-2</v>
      </c>
      <c r="W5400">
        <v>7.9117320000000005E-2</v>
      </c>
      <c r="X5400">
        <v>0.99529979999999996</v>
      </c>
      <c r="Y5400">
        <v>-7.6256270000000001E-2</v>
      </c>
      <c r="Z5400">
        <v>2.4456909999999998E-3</v>
      </c>
      <c r="AA5400">
        <v>0.99708529999999995</v>
      </c>
      <c r="AB5400">
        <v>30</v>
      </c>
      <c r="AC5400">
        <v>19.357500000000002</v>
      </c>
      <c r="AD5400">
        <v>-1.1102951580480001</v>
      </c>
      <c r="AE5400">
        <v>1.4043000000000001</v>
      </c>
      <c r="AF5400">
        <v>-1.5018259955288</v>
      </c>
      <c r="AG5400">
        <v>-1.1102951580480001</v>
      </c>
      <c r="AH5400">
        <v>19.286677351297001</v>
      </c>
      <c r="AI5400">
        <v>93.284844179631804</v>
      </c>
      <c r="AJ5400">
        <v>94.452555575113095</v>
      </c>
      <c r="AK5400">
        <v>19.376897582220501</v>
      </c>
      <c r="AL5400">
        <v>85.462168835225896</v>
      </c>
      <c r="AM5400">
        <v>86.788546137676803</v>
      </c>
      <c r="AN5400">
        <v>0.99999998047868099</v>
      </c>
    </row>
    <row r="5401" spans="1:40" x14ac:dyDescent="0.25">
      <c r="A5401" t="str">
        <f>"20190312150800644"</f>
        <v>20190312150800644</v>
      </c>
      <c r="B5401" t="str">
        <f>"1552374480635799"</f>
        <v>1552374480635799</v>
      </c>
      <c r="C5401" t="s">
        <v>40</v>
      </c>
      <c r="D5401">
        <v>4.8216150000000004</v>
      </c>
      <c r="E5401">
        <v>0.4499976</v>
      </c>
      <c r="F5401" t="s">
        <v>68</v>
      </c>
      <c r="G5401">
        <v>-315.60939999999999</v>
      </c>
      <c r="H5401" s="1">
        <v>3.3931709999999998E-6</v>
      </c>
      <c r="I5401">
        <v>216.24170000000001</v>
      </c>
      <c r="J5401">
        <v>-337.93810000000002</v>
      </c>
      <c r="K5401">
        <v>1.1103019999999999</v>
      </c>
      <c r="L5401">
        <v>214.62299999999999</v>
      </c>
      <c r="M5401">
        <v>0.99988200000000005</v>
      </c>
      <c r="N5401">
        <v>0</v>
      </c>
      <c r="O5401">
        <v>-5.6959849999999998E-3</v>
      </c>
      <c r="P5401">
        <v>0.99614250000000004</v>
      </c>
      <c r="Q5401">
        <v>6.4591679999999999E-2</v>
      </c>
      <c r="R5401">
        <v>-5.9398590000000001E-2</v>
      </c>
      <c r="S5401">
        <v>3.0350039999999998</v>
      </c>
      <c r="T5401">
        <v>-0.14894260000000001</v>
      </c>
      <c r="U5401">
        <v>0.21687319999999999</v>
      </c>
      <c r="V5401">
        <v>5.3790610000000003E-2</v>
      </c>
      <c r="W5401">
        <v>7.8757480000000005E-2</v>
      </c>
      <c r="X5401">
        <v>0.99544149999999998</v>
      </c>
      <c r="Y5401">
        <v>-7.6857629999999996E-2</v>
      </c>
      <c r="Z5401">
        <v>2.1614109999999998E-3</v>
      </c>
      <c r="AA5401">
        <v>0.99703969999999997</v>
      </c>
      <c r="AB5401">
        <v>30</v>
      </c>
      <c r="AC5401">
        <v>22.328700000000001</v>
      </c>
      <c r="AD5401">
        <v>-1.1102986068289999</v>
      </c>
      <c r="AE5401">
        <v>1.61870000000001</v>
      </c>
      <c r="AF5401">
        <v>-1.74158689791354</v>
      </c>
      <c r="AG5401">
        <v>-1.1102986068289999</v>
      </c>
      <c r="AH5401">
        <v>22.264353780924399</v>
      </c>
      <c r="AI5401">
        <v>92.846231657368506</v>
      </c>
      <c r="AJ5401">
        <v>94.472745958219406</v>
      </c>
      <c r="AK5401">
        <v>22.3599494006912</v>
      </c>
      <c r="AL5401">
        <v>85.482850661093295</v>
      </c>
      <c r="AM5401">
        <v>86.906919798082498</v>
      </c>
      <c r="AN5401">
        <v>0.99999997515118499</v>
      </c>
    </row>
    <row r="5402" spans="1:40" x14ac:dyDescent="0.25">
      <c r="A5402" t="str">
        <f>"20190312150800666"</f>
        <v>20190312150800666</v>
      </c>
      <c r="B5402" t="str">
        <f>"1552374480655319"</f>
        <v>1552374480655319</v>
      </c>
      <c r="C5402" t="s">
        <v>40</v>
      </c>
      <c r="D5402">
        <v>4.7075889999999996</v>
      </c>
      <c r="E5402">
        <v>0.47894759999999997</v>
      </c>
      <c r="F5402" t="s">
        <v>68</v>
      </c>
      <c r="G5402">
        <v>-315.1936</v>
      </c>
      <c r="H5402" s="1">
        <v>3.2087739999999998E-6</v>
      </c>
      <c r="I5402">
        <v>216.26400000000001</v>
      </c>
      <c r="J5402">
        <v>-337.64690000000002</v>
      </c>
      <c r="K5402">
        <v>1.1103000000000001</v>
      </c>
      <c r="L5402">
        <v>214.62090000000001</v>
      </c>
      <c r="M5402">
        <v>0.99987969999999904</v>
      </c>
      <c r="N5402">
        <v>0</v>
      </c>
      <c r="O5402">
        <v>-6.0940830000000001E-3</v>
      </c>
      <c r="P5402">
        <v>0.99630839999999998</v>
      </c>
      <c r="Q5402">
        <v>6.3346990000000006E-2</v>
      </c>
      <c r="R5402">
        <v>-5.7937780000000001E-2</v>
      </c>
      <c r="S5402">
        <v>3.0342709999999999</v>
      </c>
      <c r="T5402">
        <v>-0.14812120000000001</v>
      </c>
      <c r="U5402">
        <v>0.2189178</v>
      </c>
      <c r="V5402">
        <v>5.1930759999999999E-2</v>
      </c>
      <c r="W5402">
        <v>7.7513890000000002E-2</v>
      </c>
      <c r="X5402">
        <v>0.99563789999999996</v>
      </c>
      <c r="Y5402">
        <v>-7.7939350000000004E-2</v>
      </c>
      <c r="Z5402">
        <v>2.195724E-3</v>
      </c>
      <c r="AA5402">
        <v>0.9969557</v>
      </c>
      <c r="AB5402">
        <v>30</v>
      </c>
      <c r="AC5402">
        <v>22.453299999999999</v>
      </c>
      <c r="AD5402">
        <v>-1.110296791226</v>
      </c>
      <c r="AE5402">
        <v>1.6431</v>
      </c>
      <c r="AF5402">
        <v>-1.7755970802737999</v>
      </c>
      <c r="AG5402">
        <v>-1.110296791226</v>
      </c>
      <c r="AH5402">
        <v>22.388415786452001</v>
      </c>
      <c r="AI5402">
        <v>92.830240651755204</v>
      </c>
      <c r="AJ5402">
        <v>94.534564776762394</v>
      </c>
      <c r="AK5402">
        <v>22.486143853118399</v>
      </c>
      <c r="AL5402">
        <v>85.554321820208898</v>
      </c>
      <c r="AM5402">
        <v>87.014256307113698</v>
      </c>
      <c r="AN5402">
        <v>1.00000001744675</v>
      </c>
    </row>
    <row r="5403" spans="1:40" x14ac:dyDescent="0.25">
      <c r="A5403" t="str">
        <f>"20190312150800689"</f>
        <v>20190312150800689</v>
      </c>
      <c r="B5403" t="str">
        <f>"1552374480685575"</f>
        <v>1552374480685575</v>
      </c>
      <c r="C5403" t="s">
        <v>40</v>
      </c>
      <c r="D5403">
        <v>4.3200260000000004</v>
      </c>
      <c r="E5403">
        <v>0.4870911</v>
      </c>
      <c r="F5403" t="s">
        <v>68</v>
      </c>
      <c r="G5403">
        <v>-295.21170000000001</v>
      </c>
      <c r="H5403" s="1">
        <v>1.818873E-6</v>
      </c>
      <c r="I5403">
        <v>214.52279999999999</v>
      </c>
      <c r="J5403">
        <v>-337.33940000000001</v>
      </c>
      <c r="K5403">
        <v>1.110298</v>
      </c>
      <c r="L5403">
        <v>214.61859999999999</v>
      </c>
      <c r="M5403">
        <v>0.99987709999999996</v>
      </c>
      <c r="N5403">
        <v>0</v>
      </c>
      <c r="O5403">
        <v>-6.515308E-3</v>
      </c>
      <c r="P5403">
        <v>0.99646029999999997</v>
      </c>
      <c r="Q5403">
        <v>6.2182359999999999E-2</v>
      </c>
      <c r="R5403">
        <v>-5.6570250000000002E-2</v>
      </c>
      <c r="S5403">
        <v>3.015717</v>
      </c>
      <c r="T5403">
        <v>-7.8904870000000002E-2</v>
      </c>
      <c r="U5403">
        <v>-6.9732669999999896E-3</v>
      </c>
      <c r="V5403">
        <v>5.0141379999999999E-2</v>
      </c>
      <c r="W5403">
        <v>7.6350059999999997E-2</v>
      </c>
      <c r="X5403">
        <v>0.99581949999999997</v>
      </c>
      <c r="Y5403">
        <v>-4.2000329999999997E-3</v>
      </c>
      <c r="Z5403">
        <v>2.253933E-4</v>
      </c>
      <c r="AA5403">
        <v>0.99999119999999997</v>
      </c>
      <c r="AB5403">
        <v>30</v>
      </c>
      <c r="AC5403">
        <v>42.127699999999997</v>
      </c>
      <c r="AD5403">
        <v>-1.110296181127</v>
      </c>
      <c r="AE5403">
        <v>-9.5799999999996999E-2</v>
      </c>
      <c r="AF5403">
        <v>-0.17858084038466401</v>
      </c>
      <c r="AG5403">
        <v>-1.110296181127</v>
      </c>
      <c r="AH5403">
        <v>42.098188144712502</v>
      </c>
      <c r="AI5403">
        <v>91.510753127715802</v>
      </c>
      <c r="AJ5403">
        <v>90.243047682911495</v>
      </c>
      <c r="AK5403">
        <v>42.11320569363</v>
      </c>
      <c r="AL5403">
        <v>85.621202430909406</v>
      </c>
      <c r="AM5403">
        <v>87.1174843937589</v>
      </c>
      <c r="AN5403">
        <v>0.99999998311527805</v>
      </c>
    </row>
    <row r="5404" spans="1:40" x14ac:dyDescent="0.25">
      <c r="A5404" t="str">
        <f>"20190312150800711"</f>
        <v>20190312150800711</v>
      </c>
      <c r="B5404" t="str">
        <f>"1552374480705109"</f>
        <v>1552374480705109</v>
      </c>
      <c r="C5404" t="s">
        <v>40</v>
      </c>
      <c r="D5404">
        <v>4.2947629999999997</v>
      </c>
      <c r="E5404">
        <v>0.48968590000000001</v>
      </c>
      <c r="F5404" t="s">
        <v>68</v>
      </c>
      <c r="G5404">
        <v>-288.0401</v>
      </c>
      <c r="H5404" s="1">
        <v>3.6576930000000002E-6</v>
      </c>
      <c r="I5404">
        <v>213.50710000000001</v>
      </c>
      <c r="J5404">
        <v>-337.03730000000002</v>
      </c>
      <c r="K5404">
        <v>1.1102939999999999</v>
      </c>
      <c r="L5404">
        <v>214.61619999999999</v>
      </c>
      <c r="M5404">
        <v>0.9998745</v>
      </c>
      <c r="N5404">
        <v>0</v>
      </c>
      <c r="O5404">
        <v>-6.9284250000000002E-3</v>
      </c>
      <c r="P5404">
        <v>0.99656979999999995</v>
      </c>
      <c r="Q5404">
        <v>6.1607879999999997E-2</v>
      </c>
      <c r="R5404">
        <v>-5.5260070000000001E-2</v>
      </c>
      <c r="S5404">
        <v>3.0110779999999999</v>
      </c>
      <c r="T5404">
        <v>-6.7813990000000005E-2</v>
      </c>
      <c r="U5404">
        <v>-6.7886349999999998E-2</v>
      </c>
      <c r="V5404">
        <v>4.8417740000000001E-2</v>
      </c>
      <c r="W5404">
        <v>7.5775209999999996E-2</v>
      </c>
      <c r="X5404">
        <v>0.99594870000000002</v>
      </c>
      <c r="Y5404">
        <v>1.5609700000000001E-2</v>
      </c>
      <c r="Z5404" s="1">
        <v>-1.972153E-5</v>
      </c>
      <c r="AA5404">
        <v>0.99987820000000005</v>
      </c>
      <c r="AB5404">
        <v>30</v>
      </c>
      <c r="AC5404">
        <v>48.997199999999999</v>
      </c>
      <c r="AD5404">
        <v>-1.1102903423070001</v>
      </c>
      <c r="AE5404">
        <v>-1.10909999999998</v>
      </c>
      <c r="AF5404">
        <v>0.76917073221304699</v>
      </c>
      <c r="AG5404">
        <v>-1.1102903423070001</v>
      </c>
      <c r="AH5404">
        <v>48.978571788852797</v>
      </c>
      <c r="AI5404">
        <v>91.298449830547199</v>
      </c>
      <c r="AJ5404">
        <v>89.100287887159695</v>
      </c>
      <c r="AK5404">
        <v>48.997192396456001</v>
      </c>
      <c r="AL5404">
        <v>85.654234618416893</v>
      </c>
      <c r="AM5404">
        <v>87.216774519767398</v>
      </c>
      <c r="AN5404">
        <v>0.99999998651446997</v>
      </c>
    </row>
    <row r="5405" spans="1:40" x14ac:dyDescent="0.25">
      <c r="A5405" t="str">
        <f>"20190312150800734"</f>
        <v>20190312150800734</v>
      </c>
      <c r="B5405" t="str">
        <f>"1552374480725594"</f>
        <v>1552374480725594</v>
      </c>
      <c r="C5405" t="s">
        <v>40</v>
      </c>
      <c r="D5405">
        <v>4.3317509999999997</v>
      </c>
      <c r="E5405">
        <v>0.49056499999999997</v>
      </c>
      <c r="F5405" t="s">
        <v>67</v>
      </c>
      <c r="G5405">
        <v>-276.54430000000002</v>
      </c>
      <c r="H5405" s="1">
        <v>2.0201369999999999E-6</v>
      </c>
      <c r="I5405">
        <v>212.9143</v>
      </c>
      <c r="J5405">
        <v>-336.73880000000003</v>
      </c>
      <c r="K5405">
        <v>1.11029</v>
      </c>
      <c r="L5405">
        <v>214.61369999999999</v>
      </c>
      <c r="M5405">
        <v>0.99987170000000003</v>
      </c>
      <c r="N5405">
        <v>0</v>
      </c>
      <c r="O5405">
        <v>-7.3340119999999896E-3</v>
      </c>
      <c r="P5405">
        <v>0.99665910000000002</v>
      </c>
      <c r="Q5405">
        <v>6.0479209999999999E-2</v>
      </c>
      <c r="R5405">
        <v>-5.489641E-2</v>
      </c>
      <c r="S5405">
        <v>3.009064</v>
      </c>
      <c r="T5405">
        <v>-5.5228470000000002E-2</v>
      </c>
      <c r="U5405">
        <v>-8.4655759999999997E-2</v>
      </c>
      <c r="V5405">
        <v>4.7647689999999999E-2</v>
      </c>
      <c r="W5405">
        <v>7.4645939999999994E-2</v>
      </c>
      <c r="X5405">
        <v>0.99607109999999999</v>
      </c>
      <c r="Y5405">
        <v>2.0787590000000002E-2</v>
      </c>
      <c r="Z5405" s="1">
        <v>-5.6134219999999997E-5</v>
      </c>
      <c r="AA5405">
        <v>0.99978389999999995</v>
      </c>
      <c r="AB5405">
        <v>30</v>
      </c>
      <c r="AC5405">
        <v>60.194499999999998</v>
      </c>
      <c r="AD5405">
        <v>-1.1102879798630001</v>
      </c>
      <c r="AE5405">
        <v>-1.69939999999999</v>
      </c>
      <c r="AF5405">
        <v>1.25741487584989</v>
      </c>
      <c r="AG5405">
        <v>-1.1102879798630001</v>
      </c>
      <c r="AH5405">
        <v>60.184885779349599</v>
      </c>
      <c r="AI5405">
        <v>91.056639465542901</v>
      </c>
      <c r="AJ5405">
        <v>88.803120005007202</v>
      </c>
      <c r="AK5405">
        <v>60.208257804404198</v>
      </c>
      <c r="AL5405">
        <v>85.719120767887802</v>
      </c>
      <c r="AM5405">
        <v>87.261307871852395</v>
      </c>
      <c r="AN5405">
        <v>0.99999997748801395</v>
      </c>
    </row>
    <row r="5406" spans="1:40" x14ac:dyDescent="0.25">
      <c r="A5406" t="str">
        <f>"20190312150800755"</f>
        <v>20190312150800755</v>
      </c>
      <c r="B5406" t="str">
        <f>"1552374480745111"</f>
        <v>1552374480745111</v>
      </c>
      <c r="C5406" t="s">
        <v>40</v>
      </c>
      <c r="D5406">
        <v>4.5444620000000002</v>
      </c>
      <c r="E5406">
        <v>0.49130020000000002</v>
      </c>
      <c r="F5406" t="s">
        <v>67</v>
      </c>
      <c r="G5406">
        <v>-274.39670000000001</v>
      </c>
      <c r="H5406" s="1">
        <v>8.8516499999999905E-7</v>
      </c>
      <c r="I5406">
        <v>212.73439999999999</v>
      </c>
      <c r="J5406">
        <v>-336.4504</v>
      </c>
      <c r="K5406">
        <v>1.1102890000000001</v>
      </c>
      <c r="L5406">
        <v>214.6112</v>
      </c>
      <c r="M5406">
        <v>0.9998688</v>
      </c>
      <c r="N5406">
        <v>0</v>
      </c>
      <c r="O5406">
        <v>-7.7192880000000004E-3</v>
      </c>
      <c r="P5406">
        <v>0.99675069999999999</v>
      </c>
      <c r="Q5406">
        <v>5.9509479999999997E-2</v>
      </c>
      <c r="R5406">
        <v>-5.4288940000000001E-2</v>
      </c>
      <c r="S5406">
        <v>3.0083310000000001</v>
      </c>
      <c r="T5406">
        <v>-5.3577180000000002E-2</v>
      </c>
      <c r="U5406">
        <v>-9.0682979999999996E-2</v>
      </c>
      <c r="V5406">
        <v>4.6653809999999997E-2</v>
      </c>
      <c r="W5406">
        <v>7.3676359999999996E-2</v>
      </c>
      <c r="X5406">
        <v>0.99619040000000003</v>
      </c>
      <c r="Y5406">
        <v>2.2410469999999998E-2</v>
      </c>
      <c r="Z5406" s="1">
        <v>-6.2055380000000001E-5</v>
      </c>
      <c r="AA5406">
        <v>0.99974879999999999</v>
      </c>
      <c r="AB5406">
        <v>30</v>
      </c>
      <c r="AC5406">
        <v>62.0536999999999</v>
      </c>
      <c r="AD5406">
        <v>-1.1102881148349999</v>
      </c>
      <c r="AE5406">
        <v>-1.8768</v>
      </c>
      <c r="AF5406">
        <v>1.39723821229918</v>
      </c>
      <c r="AG5406">
        <v>-1.1102881148349999</v>
      </c>
      <c r="AH5406">
        <v>62.046494584812102</v>
      </c>
      <c r="AI5406">
        <v>91.024907466033795</v>
      </c>
      <c r="AJ5406">
        <v>88.709962187478595</v>
      </c>
      <c r="AK5406">
        <v>62.072155630225801</v>
      </c>
      <c r="AL5406">
        <v>85.774827313921804</v>
      </c>
      <c r="AM5406">
        <v>87.318670468700802</v>
      </c>
      <c r="AN5406">
        <v>1.0000000485312599</v>
      </c>
    </row>
    <row r="5407" spans="1:40" x14ac:dyDescent="0.25">
      <c r="A5407" t="str">
        <f>"20190312150800779"</f>
        <v>20190312150800779</v>
      </c>
      <c r="B5407" t="str">
        <f>"1552374480775367"</f>
        <v>1552374480775367</v>
      </c>
      <c r="C5407" t="s">
        <v>40</v>
      </c>
      <c r="D5407">
        <v>4.6272250000000001</v>
      </c>
      <c r="E5407">
        <v>0.49284030000000001</v>
      </c>
      <c r="F5407" t="s">
        <v>67</v>
      </c>
      <c r="G5407">
        <v>-275.75330000000002</v>
      </c>
      <c r="H5407" s="1">
        <v>1.608616E-6</v>
      </c>
      <c r="I5407">
        <v>212.69900000000001</v>
      </c>
      <c r="J5407">
        <v>-336.14359999999999</v>
      </c>
      <c r="K5407">
        <v>1.1102959999999999</v>
      </c>
      <c r="L5407">
        <v>214.60830000000001</v>
      </c>
      <c r="M5407">
        <v>0.99986560000000002</v>
      </c>
      <c r="N5407">
        <v>0</v>
      </c>
      <c r="O5407">
        <v>-8.1133980000000008E-3</v>
      </c>
      <c r="P5407">
        <v>0.99684269999999997</v>
      </c>
      <c r="Q5407">
        <v>5.8357079999999999E-2</v>
      </c>
      <c r="R5407">
        <v>-5.3846339999999999E-2</v>
      </c>
      <c r="S5407">
        <v>3.0079039999999999</v>
      </c>
      <c r="T5407">
        <v>-5.502129E-2</v>
      </c>
      <c r="U5407">
        <v>-9.4757079999999994E-2</v>
      </c>
      <c r="V5407">
        <v>4.5814689999999998E-2</v>
      </c>
      <c r="W5407">
        <v>7.2524069999999996E-2</v>
      </c>
      <c r="X5407">
        <v>0.99631389999999997</v>
      </c>
      <c r="Y5407">
        <v>2.3373290000000001E-2</v>
      </c>
      <c r="Z5407" s="1">
        <v>-6.5331960000000001E-5</v>
      </c>
      <c r="AA5407">
        <v>0.99972680000000003</v>
      </c>
      <c r="AB5407">
        <v>30</v>
      </c>
      <c r="AC5407">
        <v>60.390299999999897</v>
      </c>
      <c r="AD5407">
        <v>-1.110294391384</v>
      </c>
      <c r="AE5407">
        <v>-1.9093</v>
      </c>
      <c r="AF5407">
        <v>1.4187377941806001</v>
      </c>
      <c r="AG5407">
        <v>-1.110294391384</v>
      </c>
      <c r="AH5407">
        <v>60.383413986414403</v>
      </c>
      <c r="AI5407">
        <v>91.053111520806894</v>
      </c>
      <c r="AJ5407">
        <v>88.654055319733104</v>
      </c>
      <c r="AK5407">
        <v>60.410282694412899</v>
      </c>
      <c r="AL5407">
        <v>85.841025810582806</v>
      </c>
      <c r="AM5407">
        <v>87.367154567374399</v>
      </c>
      <c r="AN5407">
        <v>1.00000005694118</v>
      </c>
    </row>
    <row r="5408" spans="1:40" x14ac:dyDescent="0.25">
      <c r="A5408" t="str">
        <f>"20190312150800801"</f>
        <v>20190312150800801</v>
      </c>
      <c r="B5408" t="str">
        <f>"1552374480795863"</f>
        <v>1552374480795863</v>
      </c>
      <c r="C5408" t="s">
        <v>40</v>
      </c>
      <c r="D5408">
        <v>4.4363080000000004</v>
      </c>
      <c r="E5408">
        <v>0.49271340000000002</v>
      </c>
      <c r="F5408" t="s">
        <v>67</v>
      </c>
      <c r="G5408">
        <v>-279.45389999999998</v>
      </c>
      <c r="H5408" s="1">
        <v>3.5817299999999999E-6</v>
      </c>
      <c r="I5408">
        <v>212.61240000000001</v>
      </c>
      <c r="J5408">
        <v>-335.83960000000002</v>
      </c>
      <c r="K5408">
        <v>1.1103069999999999</v>
      </c>
      <c r="L5408">
        <v>214.60550000000001</v>
      </c>
      <c r="M5408">
        <v>0.99986269999999999</v>
      </c>
      <c r="N5408">
        <v>0</v>
      </c>
      <c r="O5408">
        <v>-8.4775649999999994E-3</v>
      </c>
      <c r="P5408">
        <v>0.99680449999999998</v>
      </c>
      <c r="Q5408">
        <v>5.7830970000000002E-2</v>
      </c>
      <c r="R5408">
        <v>-5.5106330000000002E-2</v>
      </c>
      <c r="S5408">
        <v>3.0072329999999998</v>
      </c>
      <c r="T5408">
        <v>-5.8897970000000001E-2</v>
      </c>
      <c r="U5408">
        <v>-0.10588069999999999</v>
      </c>
      <c r="V5408">
        <v>4.6707980000000003E-2</v>
      </c>
      <c r="W5408">
        <v>7.1995690000000001E-2</v>
      </c>
      <c r="X5408">
        <v>0.99631069999999999</v>
      </c>
      <c r="Y5408">
        <v>2.6708969999999999E-2</v>
      </c>
      <c r="Z5408" s="1">
        <v>-9.5468699999999996E-5</v>
      </c>
      <c r="AA5408">
        <v>0.99964330000000001</v>
      </c>
      <c r="AB5408">
        <v>30</v>
      </c>
      <c r="AC5408">
        <v>56.3857</v>
      </c>
      <c r="AD5408">
        <v>-1.11030341827</v>
      </c>
      <c r="AE5408">
        <v>-1.9930999999999901</v>
      </c>
      <c r="AF5408">
        <v>1.5143800098697799</v>
      </c>
      <c r="AG5408">
        <v>-1.11030341827</v>
      </c>
      <c r="AH5408">
        <v>56.378738451641901</v>
      </c>
      <c r="AI5408">
        <v>91.127810785788199</v>
      </c>
      <c r="AJ5408">
        <v>88.461357475836394</v>
      </c>
      <c r="AK5408">
        <v>56.410001505881603</v>
      </c>
      <c r="AL5408">
        <v>85.871378919276694</v>
      </c>
      <c r="AM5408">
        <v>87.315885373125596</v>
      </c>
      <c r="AN5408">
        <v>1.00000001285437</v>
      </c>
    </row>
    <row r="5409" spans="1:40" x14ac:dyDescent="0.25">
      <c r="A5409" t="str">
        <f>"20190312150800824"</f>
        <v>20190312150800824</v>
      </c>
      <c r="B5409" t="str">
        <f>"1552374480815383"</f>
        <v>1552374480815383</v>
      </c>
      <c r="C5409" t="s">
        <v>40</v>
      </c>
      <c r="D5409">
        <v>4.4206750000000001</v>
      </c>
      <c r="E5409">
        <v>0.49287500000000001</v>
      </c>
      <c r="F5409" t="s">
        <v>68</v>
      </c>
      <c r="G5409">
        <v>-283.46190000000001</v>
      </c>
      <c r="H5409" s="1">
        <v>5.7823849999999997E-6</v>
      </c>
      <c r="I5409">
        <v>212.7149</v>
      </c>
      <c r="J5409">
        <v>-335.54160000000002</v>
      </c>
      <c r="K5409">
        <v>1.1103270000000001</v>
      </c>
      <c r="L5409">
        <v>214.6026</v>
      </c>
      <c r="M5409">
        <v>0.99985990000000002</v>
      </c>
      <c r="N5409">
        <v>0</v>
      </c>
      <c r="O5409">
        <v>-8.7944689999999992E-3</v>
      </c>
      <c r="P5409">
        <v>0.99683259999999996</v>
      </c>
      <c r="Q5409">
        <v>5.679994E-2</v>
      </c>
      <c r="R5409">
        <v>-5.566455E-2</v>
      </c>
      <c r="S5409">
        <v>3.0073240000000001</v>
      </c>
      <c r="T5409">
        <v>-6.3749189999999997E-2</v>
      </c>
      <c r="U5409">
        <v>-0.10855099999999999</v>
      </c>
      <c r="V5409">
        <v>4.6944350000000003E-2</v>
      </c>
      <c r="W5409">
        <v>7.0965029999999998E-2</v>
      </c>
      <c r="X5409">
        <v>0.99637350000000002</v>
      </c>
      <c r="Y5409">
        <v>2.727688E-2</v>
      </c>
      <c r="Z5409">
        <v>-1.0262779999999999E-4</v>
      </c>
      <c r="AA5409">
        <v>0.99962790000000001</v>
      </c>
      <c r="AB5409">
        <v>30</v>
      </c>
      <c r="AC5409">
        <v>52.079700000000003</v>
      </c>
      <c r="AD5409">
        <v>-1.1103212176149999</v>
      </c>
      <c r="AE5409">
        <v>-1.8876999999999899</v>
      </c>
      <c r="AF5409">
        <v>1.42891858758654</v>
      </c>
      <c r="AG5409">
        <v>-1.1103212176149999</v>
      </c>
      <c r="AH5409">
        <v>52.070652064857498</v>
      </c>
      <c r="AI5409">
        <v>91.2210938165735</v>
      </c>
      <c r="AJ5409">
        <v>88.428088392552297</v>
      </c>
      <c r="AK5409">
        <v>52.102086599249397</v>
      </c>
      <c r="AL5409">
        <v>85.930582696467795</v>
      </c>
      <c r="AM5409">
        <v>87.3024919607291</v>
      </c>
      <c r="AN5409">
        <v>0.99999997949103603</v>
      </c>
    </row>
    <row r="5410" spans="1:40" x14ac:dyDescent="0.25">
      <c r="A5410" t="str">
        <f>"20190312150800837"</f>
        <v>20190312150800837</v>
      </c>
      <c r="B5410" t="str">
        <f>"1552374480835879"</f>
        <v>1552374480835879</v>
      </c>
      <c r="C5410" t="s">
        <v>40</v>
      </c>
      <c r="D5410">
        <v>4.435473</v>
      </c>
      <c r="E5410">
        <v>0.49309649999999999</v>
      </c>
      <c r="F5410" t="s">
        <v>68</v>
      </c>
      <c r="G5410">
        <v>-288.46589999999998</v>
      </c>
      <c r="H5410" s="1">
        <v>3.5462640000000001E-6</v>
      </c>
      <c r="I5410">
        <v>212.85769999999999</v>
      </c>
      <c r="J5410">
        <v>-335.35820000000001</v>
      </c>
      <c r="K5410">
        <v>1.1103449999999999</v>
      </c>
      <c r="L5410">
        <v>214.60069999999999</v>
      </c>
      <c r="M5410">
        <v>0.99985840000000004</v>
      </c>
      <c r="N5410">
        <v>0</v>
      </c>
      <c r="O5410">
        <v>-8.9582859999999993E-3</v>
      </c>
      <c r="P5410">
        <v>0.99683679999999997</v>
      </c>
      <c r="Q5410">
        <v>5.6376040000000002E-2</v>
      </c>
      <c r="R5410">
        <v>-5.6019949999999999E-2</v>
      </c>
      <c r="S5410">
        <v>3.007355</v>
      </c>
      <c r="T5410">
        <v>-7.0931320000000006E-2</v>
      </c>
      <c r="U5410">
        <v>-0.1114655</v>
      </c>
      <c r="V5410">
        <v>4.7131899999999997E-2</v>
      </c>
      <c r="W5410">
        <v>7.0542179999999996E-2</v>
      </c>
      <c r="X5410">
        <v>0.99639469999999997</v>
      </c>
      <c r="Y5410">
        <v>2.807902E-2</v>
      </c>
      <c r="Z5410">
        <v>-1.197771E-4</v>
      </c>
      <c r="AA5410">
        <v>0.99960570000000004</v>
      </c>
      <c r="AB5410">
        <v>30</v>
      </c>
      <c r="AC5410">
        <v>46.892299999999999</v>
      </c>
      <c r="AD5410">
        <v>-1.1103414537359999</v>
      </c>
      <c r="AE5410">
        <v>-1.7429999999999899</v>
      </c>
      <c r="AF5410">
        <v>1.3220725536506199</v>
      </c>
      <c r="AG5410">
        <v>-1.1103414537359999</v>
      </c>
      <c r="AH5410">
        <v>46.879785893835297</v>
      </c>
      <c r="AI5410">
        <v>91.356250184430706</v>
      </c>
      <c r="AJ5410">
        <v>88.384610676558907</v>
      </c>
      <c r="AK5410">
        <v>46.911566371555303</v>
      </c>
      <c r="AL5410">
        <v>85.954871198657699</v>
      </c>
      <c r="AM5410">
        <v>87.291788546164497</v>
      </c>
      <c r="AN5410">
        <v>1.0000000066724199</v>
      </c>
    </row>
    <row r="5411" spans="1:40" x14ac:dyDescent="0.25">
      <c r="A5411" t="str">
        <f>"20190312150800850"</f>
        <v>20190312150800850</v>
      </c>
      <c r="B5411" t="str">
        <f>"1552374480845639"</f>
        <v>1552374480845639</v>
      </c>
      <c r="C5411" t="s">
        <v>40</v>
      </c>
      <c r="D5411">
        <v>4.446529</v>
      </c>
      <c r="E5411">
        <v>0.49296450000000003</v>
      </c>
      <c r="F5411" t="s">
        <v>68</v>
      </c>
      <c r="G5411">
        <v>-291.29750000000001</v>
      </c>
      <c r="H5411" s="1">
        <v>1.1245659999999999E-6</v>
      </c>
      <c r="I5411">
        <v>212.92740000000001</v>
      </c>
      <c r="J5411">
        <v>-335.19459999999998</v>
      </c>
      <c r="K5411">
        <v>1.110366</v>
      </c>
      <c r="L5411">
        <v>214.59909999999999</v>
      </c>
      <c r="M5411">
        <v>0.9998572</v>
      </c>
      <c r="N5411">
        <v>0</v>
      </c>
      <c r="O5411">
        <v>-9.0886089999999992E-3</v>
      </c>
      <c r="P5411">
        <v>0.99684950000000005</v>
      </c>
      <c r="Q5411">
        <v>5.5773820000000002E-2</v>
      </c>
      <c r="R5411">
        <v>-5.6397170000000003E-2</v>
      </c>
      <c r="S5411">
        <v>3.0073850000000002</v>
      </c>
      <c r="T5411">
        <v>-7.5787190000000004E-2</v>
      </c>
      <c r="U5411">
        <v>-0.11421199999999999</v>
      </c>
      <c r="V5411">
        <v>4.7374380000000001E-2</v>
      </c>
      <c r="W5411">
        <v>6.9941420000000004E-2</v>
      </c>
      <c r="X5411">
        <v>0.99642560000000002</v>
      </c>
      <c r="Y5411">
        <v>2.8859010000000001E-2</v>
      </c>
      <c r="Z5411">
        <v>-1.3451169999999999E-4</v>
      </c>
      <c r="AA5411">
        <v>0.99958349999999996</v>
      </c>
      <c r="AB5411">
        <v>30</v>
      </c>
      <c r="AC5411">
        <v>43.897099999999902</v>
      </c>
      <c r="AD5411">
        <v>-1.1103648754340001</v>
      </c>
      <c r="AE5411">
        <v>-1.67169999999998</v>
      </c>
      <c r="AF5411">
        <v>1.2718143090382099</v>
      </c>
      <c r="AG5411">
        <v>-1.1103648754340001</v>
      </c>
      <c r="AH5411">
        <v>43.882445219517798</v>
      </c>
      <c r="AI5411">
        <v>91.448847328951999</v>
      </c>
      <c r="AJ5411">
        <v>88.339901085883199</v>
      </c>
      <c r="AK5411">
        <v>43.9149111377588</v>
      </c>
      <c r="AL5411">
        <v>85.989377637112298</v>
      </c>
      <c r="AM5411">
        <v>87.277960772920395</v>
      </c>
      <c r="AN5411">
        <v>1.0000000552236701</v>
      </c>
    </row>
    <row r="5412" spans="1:40" x14ac:dyDescent="0.25">
      <c r="A5412" t="str">
        <f>"20190312150800867"</f>
        <v>20190312150800867</v>
      </c>
      <c r="B5412" t="str">
        <f>"1552374480855399"</f>
        <v>1552374480855399</v>
      </c>
      <c r="C5412" t="s">
        <v>40</v>
      </c>
      <c r="D5412">
        <v>4.4275419999999999</v>
      </c>
      <c r="E5412">
        <v>0.49284030000000001</v>
      </c>
      <c r="F5412" t="s">
        <v>68</v>
      </c>
      <c r="G5412">
        <v>-292.50760000000002</v>
      </c>
      <c r="H5412" s="1">
        <v>1.3392090000000001E-6</v>
      </c>
      <c r="I5412">
        <v>212.97370000000001</v>
      </c>
      <c r="J5412">
        <v>-334.96370000000002</v>
      </c>
      <c r="K5412">
        <v>1.1103970000000001</v>
      </c>
      <c r="L5412">
        <v>214.5968</v>
      </c>
      <c r="M5412">
        <v>0.99985610000000003</v>
      </c>
      <c r="N5412">
        <v>0</v>
      </c>
      <c r="O5412">
        <v>-9.2390509999999999E-3</v>
      </c>
      <c r="P5412">
        <v>0.99686739999999996</v>
      </c>
      <c r="Q5412">
        <v>5.4487519999999998E-2</v>
      </c>
      <c r="R5412">
        <v>-5.733133E-2</v>
      </c>
      <c r="S5412">
        <v>3.0073850000000002</v>
      </c>
      <c r="T5412">
        <v>-7.8227399999999905E-2</v>
      </c>
      <c r="U5412">
        <v>-0.1145172</v>
      </c>
      <c r="V5412">
        <v>4.8151260000000001E-2</v>
      </c>
      <c r="W5412">
        <v>6.8657049999999997E-2</v>
      </c>
      <c r="X5412">
        <v>0.99647759999999996</v>
      </c>
      <c r="Y5412">
        <v>2.880955E-2</v>
      </c>
      <c r="Z5412">
        <v>-1.342871E-4</v>
      </c>
      <c r="AA5412">
        <v>0.9995849</v>
      </c>
      <c r="AB5412">
        <v>30</v>
      </c>
      <c r="AC5412">
        <v>42.4560999999999</v>
      </c>
      <c r="AD5412">
        <v>-1.1103956607909999</v>
      </c>
      <c r="AE5412">
        <v>-1.62309999999999</v>
      </c>
      <c r="AF5412">
        <v>1.2298968725600301</v>
      </c>
      <c r="AG5412">
        <v>-1.1103956607909999</v>
      </c>
      <c r="AH5412">
        <v>42.440296908106397</v>
      </c>
      <c r="AI5412">
        <v>91.498099656289995</v>
      </c>
      <c r="AJ5412">
        <v>88.340063840905202</v>
      </c>
      <c r="AK5412">
        <v>42.472631499459297</v>
      </c>
      <c r="AL5412">
        <v>86.063143626011396</v>
      </c>
      <c r="AM5412">
        <v>87.233535709552498</v>
      </c>
      <c r="AN5412">
        <v>0.99999997082802405</v>
      </c>
    </row>
    <row r="5413" spans="1:40" x14ac:dyDescent="0.25">
      <c r="A5413" t="str">
        <f>"20190312150800880"</f>
        <v>20190312150800880</v>
      </c>
      <c r="B5413" t="str">
        <f>"1552374480875895"</f>
        <v>1552374480875895</v>
      </c>
      <c r="C5413" t="s">
        <v>40</v>
      </c>
      <c r="D5413">
        <v>4.4344359999999998</v>
      </c>
      <c r="E5413">
        <v>0.49308000000000002</v>
      </c>
      <c r="F5413" t="s">
        <v>68</v>
      </c>
      <c r="G5413">
        <v>-295.99880000000002</v>
      </c>
      <c r="H5413" s="1">
        <v>1.9584939999999998E-6</v>
      </c>
      <c r="I5413">
        <v>213.08879999999999</v>
      </c>
      <c r="J5413">
        <v>-334.77910000000003</v>
      </c>
      <c r="K5413">
        <v>1.11043</v>
      </c>
      <c r="L5413">
        <v>214.595</v>
      </c>
      <c r="M5413">
        <v>0.99985520000000006</v>
      </c>
      <c r="N5413">
        <v>0</v>
      </c>
      <c r="O5413">
        <v>-9.3265299999999995E-3</v>
      </c>
      <c r="P5413">
        <v>0.99685900000000005</v>
      </c>
      <c r="Q5413">
        <v>5.3899910000000002E-2</v>
      </c>
      <c r="R5413">
        <v>-5.8028110000000001E-2</v>
      </c>
      <c r="S5413">
        <v>3.0074160000000001</v>
      </c>
      <c r="T5413">
        <v>-8.5703130000000002E-2</v>
      </c>
      <c r="U5413">
        <v>-0.116394</v>
      </c>
      <c r="V5413">
        <v>4.8755020000000003E-2</v>
      </c>
      <c r="W5413">
        <v>6.8070969999999995E-2</v>
      </c>
      <c r="X5413">
        <v>0.9964885</v>
      </c>
      <c r="Y5413">
        <v>2.93431E-2</v>
      </c>
      <c r="Z5413">
        <v>-1.5221860000000001E-4</v>
      </c>
      <c r="AA5413">
        <v>0.99956940000000005</v>
      </c>
      <c r="AB5413">
        <v>30</v>
      </c>
      <c r="AC5413">
        <v>38.780299999999997</v>
      </c>
      <c r="AD5413">
        <v>-1.1104280415059999</v>
      </c>
      <c r="AE5413">
        <v>-1.5062</v>
      </c>
      <c r="AF5413">
        <v>1.14347608398638</v>
      </c>
      <c r="AG5413">
        <v>-1.1104280415059999</v>
      </c>
      <c r="AH5413">
        <v>38.760929983060898</v>
      </c>
      <c r="AI5413">
        <v>91.640254732671096</v>
      </c>
      <c r="AJ5413">
        <v>88.310222242372006</v>
      </c>
      <c r="AK5413">
        <v>38.793688676661802</v>
      </c>
      <c r="AL5413">
        <v>86.096802475621303</v>
      </c>
      <c r="AM5413">
        <v>87.198933005435407</v>
      </c>
      <c r="AN5413">
        <v>1.00000001978209</v>
      </c>
    </row>
    <row r="5414" spans="1:40" x14ac:dyDescent="0.25">
      <c r="A5414" t="str">
        <f>"20190312150800893"</f>
        <v>20190312150800893</v>
      </c>
      <c r="B5414" t="str">
        <f>"1552374480885656"</f>
        <v>1552374480885656</v>
      </c>
      <c r="C5414" t="s">
        <v>40</v>
      </c>
      <c r="D5414">
        <v>4.6858690000000003</v>
      </c>
      <c r="E5414">
        <v>0.49312109999999898</v>
      </c>
      <c r="F5414" t="s">
        <v>68</v>
      </c>
      <c r="G5414">
        <v>-297.92349999999999</v>
      </c>
      <c r="H5414" s="1">
        <v>2.299908E-6</v>
      </c>
      <c r="I5414">
        <v>213.12020000000001</v>
      </c>
      <c r="J5414">
        <v>-334.61840000000001</v>
      </c>
      <c r="K5414">
        <v>1.1104510000000001</v>
      </c>
      <c r="L5414">
        <v>214.5934</v>
      </c>
      <c r="M5414">
        <v>0.99985480000000004</v>
      </c>
      <c r="N5414">
        <v>0</v>
      </c>
      <c r="O5414">
        <v>-9.3807330000000005E-3</v>
      </c>
      <c r="P5414">
        <v>0.99687669999999995</v>
      </c>
      <c r="Q5414">
        <v>5.3155519999999998E-2</v>
      </c>
      <c r="R5414">
        <v>-5.841056E-2</v>
      </c>
      <c r="S5414">
        <v>3.007355</v>
      </c>
      <c r="T5414">
        <v>-9.060907E-2</v>
      </c>
      <c r="U5414">
        <v>-0.1203461</v>
      </c>
      <c r="V5414">
        <v>4.9078259999999999E-2</v>
      </c>
      <c r="W5414">
        <v>6.7328799999999994E-2</v>
      </c>
      <c r="X5414">
        <v>0.99652300000000005</v>
      </c>
      <c r="Y5414">
        <v>3.0599689999999999E-2</v>
      </c>
      <c r="Z5414">
        <v>-1.78214E-4</v>
      </c>
      <c r="AA5414">
        <v>0.99953170000000002</v>
      </c>
      <c r="AB5414">
        <v>30</v>
      </c>
      <c r="AC5414">
        <v>36.694899999999997</v>
      </c>
      <c r="AD5414">
        <v>-1.110448700092</v>
      </c>
      <c r="AE5414">
        <v>-1.4731999999999901</v>
      </c>
      <c r="AF5414">
        <v>1.1278440873529401</v>
      </c>
      <c r="AG5414">
        <v>-1.110448700092</v>
      </c>
      <c r="AH5414">
        <v>36.673575738601897</v>
      </c>
      <c r="AI5414">
        <v>91.733524769847307</v>
      </c>
      <c r="AJ5414">
        <v>88.238504317836004</v>
      </c>
      <c r="AK5414">
        <v>36.7077142581213</v>
      </c>
      <c r="AL5414">
        <v>86.139423261388004</v>
      </c>
      <c r="AM5414">
        <v>87.180489591552799</v>
      </c>
      <c r="AN5414">
        <v>0.99999996622153298</v>
      </c>
    </row>
    <row r="5415" spans="1:40" x14ac:dyDescent="0.25">
      <c r="A5415" t="str">
        <f>"20190312150800906"</f>
        <v>20190312150800906</v>
      </c>
      <c r="B5415" t="str">
        <f>"1552374480895416"</f>
        <v>1552374480895416</v>
      </c>
      <c r="C5415" t="s">
        <v>40</v>
      </c>
      <c r="D5415">
        <v>4.4865409999999999</v>
      </c>
      <c r="E5415">
        <v>0.49324079999999898</v>
      </c>
      <c r="F5415" t="s">
        <v>68</v>
      </c>
      <c r="G5415">
        <v>-298.95429999999999</v>
      </c>
      <c r="H5415" s="1">
        <v>2.4827610000000002E-6</v>
      </c>
      <c r="I5415">
        <v>213.1456</v>
      </c>
      <c r="J5415">
        <v>-334.45179999999999</v>
      </c>
      <c r="K5415">
        <v>1.110476</v>
      </c>
      <c r="L5415">
        <v>214.59180000000001</v>
      </c>
      <c r="M5415">
        <v>0.99985440000000003</v>
      </c>
      <c r="N5415">
        <v>0</v>
      </c>
      <c r="O5415">
        <v>-9.4255160000000001E-3</v>
      </c>
      <c r="P5415">
        <v>0.99685230000000002</v>
      </c>
      <c r="Q5415">
        <v>5.2920469999999997E-2</v>
      </c>
      <c r="R5415">
        <v>-5.9035900000000002E-2</v>
      </c>
      <c r="S5415">
        <v>3.0072329999999998</v>
      </c>
      <c r="T5415">
        <v>-9.3634250000000002E-2</v>
      </c>
      <c r="U5415">
        <v>-0.1220856</v>
      </c>
      <c r="V5415">
        <v>4.9654480000000001E-2</v>
      </c>
      <c r="W5415">
        <v>6.709474E-2</v>
      </c>
      <c r="X5415">
        <v>0.99651029999999996</v>
      </c>
      <c r="Y5415">
        <v>3.113289E-2</v>
      </c>
      <c r="Z5415">
        <v>-1.9106869999999999E-4</v>
      </c>
      <c r="AA5415">
        <v>0.99951520000000005</v>
      </c>
      <c r="AB5415">
        <v>30</v>
      </c>
      <c r="AC5415">
        <v>35.497500000000002</v>
      </c>
      <c r="AD5415">
        <v>-1.1104735172389999</v>
      </c>
      <c r="AE5415">
        <v>-1.4461999999999999</v>
      </c>
      <c r="AF5415">
        <v>1.1104347264749499</v>
      </c>
      <c r="AG5415">
        <v>-1.1104735172389999</v>
      </c>
      <c r="AH5415">
        <v>35.474895944284697</v>
      </c>
      <c r="AI5415">
        <v>91.792071753534202</v>
      </c>
      <c r="AJ5415">
        <v>88.207113675272097</v>
      </c>
      <c r="AK5415">
        <v>35.509638958627598</v>
      </c>
      <c r="AL5415">
        <v>86.152864531382093</v>
      </c>
      <c r="AM5415">
        <v>87.147404235333696</v>
      </c>
      <c r="AN5415">
        <v>1.0000000247629099</v>
      </c>
    </row>
    <row r="5416" spans="1:40" x14ac:dyDescent="0.25">
      <c r="A5416" t="str">
        <f>"20190312150800917"</f>
        <v>20190312150800917</v>
      </c>
      <c r="B5416" t="str">
        <f>"1552374480905175"</f>
        <v>1552374480905175</v>
      </c>
      <c r="C5416" t="s">
        <v>40</v>
      </c>
      <c r="D5416">
        <v>4.4065070000000004</v>
      </c>
      <c r="E5416">
        <v>0.49339909999999998</v>
      </c>
      <c r="F5416" t="s">
        <v>68</v>
      </c>
      <c r="G5416">
        <v>-299.06880000000001</v>
      </c>
      <c r="H5416" s="1">
        <v>2.5030579999999999E-6</v>
      </c>
      <c r="I5416">
        <v>213.12260000000001</v>
      </c>
      <c r="J5416">
        <v>-334.28899999999999</v>
      </c>
      <c r="K5416">
        <v>1.1104969999999901</v>
      </c>
      <c r="L5416">
        <v>214.59020000000001</v>
      </c>
      <c r="M5416">
        <v>0.99985409999999997</v>
      </c>
      <c r="N5416">
        <v>0</v>
      </c>
      <c r="O5416">
        <v>-9.4470130000000006E-3</v>
      </c>
      <c r="P5416">
        <v>0.99686819999999998</v>
      </c>
      <c r="Q5416">
        <v>5.2341690000000003E-2</v>
      </c>
      <c r="R5416">
        <v>-5.9280880000000001E-2</v>
      </c>
      <c r="S5416">
        <v>3.00705</v>
      </c>
      <c r="T5416">
        <v>-9.4374299999999994E-2</v>
      </c>
      <c r="U5416">
        <v>-0.12486269999999999</v>
      </c>
      <c r="V5416">
        <v>4.987374E-2</v>
      </c>
      <c r="W5416">
        <v>6.6517629999999994E-2</v>
      </c>
      <c r="X5416">
        <v>0.99653800000000003</v>
      </c>
      <c r="Y5416">
        <v>3.2034779999999999E-2</v>
      </c>
      <c r="Z5416">
        <v>-2.0605539999999999E-4</v>
      </c>
      <c r="AA5416">
        <v>0.99948669999999995</v>
      </c>
      <c r="AB5416">
        <v>30</v>
      </c>
      <c r="AC5416">
        <v>35.220199999999899</v>
      </c>
      <c r="AD5416">
        <v>-1.1104944969420001</v>
      </c>
      <c r="AE5416">
        <v>-1.4676</v>
      </c>
      <c r="AF5416">
        <v>1.13365005258278</v>
      </c>
      <c r="AG5416">
        <v>-1.1104944969420001</v>
      </c>
      <c r="AH5416">
        <v>35.1975630691079</v>
      </c>
      <c r="AI5416">
        <v>91.806164955855806</v>
      </c>
      <c r="AJ5416">
        <v>88.1552439548135</v>
      </c>
      <c r="AK5416">
        <v>35.233319549444701</v>
      </c>
      <c r="AL5416">
        <v>86.186004383105001</v>
      </c>
      <c r="AM5416">
        <v>87.134908438364207</v>
      </c>
      <c r="AN5416">
        <v>0.99999998524320199</v>
      </c>
    </row>
    <row r="5417" spans="1:40" x14ac:dyDescent="0.25">
      <c r="A5417" t="str">
        <f>"20190312150800935"</f>
        <v>20190312150800935</v>
      </c>
      <c r="B5417" t="str">
        <f>"1552374480925683"</f>
        <v>1552374480925683</v>
      </c>
      <c r="C5417" t="s">
        <v>40</v>
      </c>
      <c r="D5417">
        <v>4.4412900000000004</v>
      </c>
      <c r="E5417">
        <v>0.49373800000000001</v>
      </c>
      <c r="F5417" t="s">
        <v>68</v>
      </c>
      <c r="G5417">
        <v>-298.65839999999997</v>
      </c>
      <c r="H5417" s="1">
        <v>2.4302640000000001E-6</v>
      </c>
      <c r="I5417">
        <v>213.0866</v>
      </c>
      <c r="J5417">
        <v>-334.06459999999998</v>
      </c>
      <c r="K5417">
        <v>1.110519</v>
      </c>
      <c r="L5417">
        <v>214.5881</v>
      </c>
      <c r="M5417">
        <v>0.99985409999999997</v>
      </c>
      <c r="N5417">
        <v>0</v>
      </c>
      <c r="O5417">
        <v>-9.4557770000000003E-3</v>
      </c>
      <c r="P5417">
        <v>0.9968958</v>
      </c>
      <c r="Q5417">
        <v>5.1275349999999997E-2</v>
      </c>
      <c r="R5417">
        <v>-5.9746840000000002E-2</v>
      </c>
      <c r="S5417">
        <v>3.0068049999999999</v>
      </c>
      <c r="T5417">
        <v>-9.3712809999999994E-2</v>
      </c>
      <c r="U5417">
        <v>-0.12689210000000001</v>
      </c>
      <c r="V5417">
        <v>5.0325799999999997E-2</v>
      </c>
      <c r="W5417">
        <v>6.5453280000000003E-2</v>
      </c>
      <c r="X5417">
        <v>0.99658579999999997</v>
      </c>
      <c r="Y5417">
        <v>3.2702630000000003E-2</v>
      </c>
      <c r="Z5417">
        <v>-2.1475300000000001E-4</v>
      </c>
      <c r="AA5417">
        <v>0.9994651</v>
      </c>
      <c r="AB5417">
        <v>30</v>
      </c>
      <c r="AC5417">
        <v>35.406199999999998</v>
      </c>
      <c r="AD5417">
        <v>-1.110516569736</v>
      </c>
      <c r="AE5417">
        <v>-1.5014999999999901</v>
      </c>
      <c r="AF5417">
        <v>1.16546136471231</v>
      </c>
      <c r="AG5417">
        <v>-1.110516569736</v>
      </c>
      <c r="AH5417">
        <v>35.384068940492099</v>
      </c>
      <c r="AI5417">
        <v>91.796644180583101</v>
      </c>
      <c r="AJ5417">
        <v>88.113504546461598</v>
      </c>
      <c r="AK5417">
        <v>35.420670265112101</v>
      </c>
      <c r="AL5417">
        <v>86.2471205428768</v>
      </c>
      <c r="AM5417">
        <v>87.109121282111005</v>
      </c>
      <c r="AN5417">
        <v>1.00000003738501</v>
      </c>
    </row>
    <row r="5418" spans="1:40" x14ac:dyDescent="0.25">
      <c r="A5418" t="str">
        <f>"20190312150800956"</f>
        <v>20190312150800956</v>
      </c>
      <c r="B5418" t="str">
        <f>"1552374480945191"</f>
        <v>1552374480945191</v>
      </c>
      <c r="C5418" t="s">
        <v>40</v>
      </c>
      <c r="D5418">
        <v>4.4143480000000004</v>
      </c>
      <c r="E5418">
        <v>0.52491350000000003</v>
      </c>
      <c r="F5418" t="s">
        <v>68</v>
      </c>
      <c r="G5418">
        <v>-299.99979999999999</v>
      </c>
      <c r="H5418" s="1">
        <v>2.6533029999999999E-6</v>
      </c>
      <c r="I5418">
        <v>213.1011</v>
      </c>
      <c r="J5418">
        <v>-333.78280000000001</v>
      </c>
      <c r="K5418">
        <v>1.110549</v>
      </c>
      <c r="L5418">
        <v>214.58539999999999</v>
      </c>
      <c r="M5418">
        <v>0.99985449999999998</v>
      </c>
      <c r="N5418">
        <v>0</v>
      </c>
      <c r="O5418">
        <v>-9.4241629999999993E-3</v>
      </c>
      <c r="P5418">
        <v>0.99694070000000001</v>
      </c>
      <c r="Q5418">
        <v>5.028585E-2</v>
      </c>
      <c r="R5418">
        <v>-5.9838679999999998E-2</v>
      </c>
      <c r="S5418">
        <v>3.0064700000000002</v>
      </c>
      <c r="T5418">
        <v>-9.8011020000000004E-2</v>
      </c>
      <c r="U5418">
        <v>-0.13124079999999999</v>
      </c>
      <c r="V5418">
        <v>5.0443349999999998E-2</v>
      </c>
      <c r="W5418">
        <v>6.4464960000000002E-2</v>
      </c>
      <c r="X5418">
        <v>0.99664430000000004</v>
      </c>
      <c r="Y5418">
        <v>3.418007E-2</v>
      </c>
      <c r="Z5418">
        <v>-2.4971070000000001E-4</v>
      </c>
      <c r="AA5418">
        <v>0.99941559999999896</v>
      </c>
      <c r="AB5418">
        <v>30</v>
      </c>
      <c r="AC5418">
        <v>33.783000000000001</v>
      </c>
      <c r="AD5418">
        <v>-1.110546346697</v>
      </c>
      <c r="AE5418">
        <v>-1.48429999999999</v>
      </c>
      <c r="AF5418">
        <v>1.16456934193061</v>
      </c>
      <c r="AG5418">
        <v>-1.110546346697</v>
      </c>
      <c r="AH5418">
        <v>33.759078367043998</v>
      </c>
      <c r="AI5418">
        <v>91.883016327604807</v>
      </c>
      <c r="AJ5418">
        <v>88.024280796544204</v>
      </c>
      <c r="AK5418">
        <v>33.797409769574699</v>
      </c>
      <c r="AL5418">
        <v>86.303867050442904</v>
      </c>
      <c r="AM5418">
        <v>87.102550111176697</v>
      </c>
      <c r="AN5418">
        <v>1.00000006167475</v>
      </c>
    </row>
    <row r="5419" spans="1:40" x14ac:dyDescent="0.25">
      <c r="A5419" t="str">
        <f>"20190312150800971"</f>
        <v>20190312150800971</v>
      </c>
      <c r="B5419" t="str">
        <f>"1552374480965688"</f>
        <v>1552374480965688</v>
      </c>
      <c r="C5419" t="s">
        <v>40</v>
      </c>
      <c r="D5419">
        <v>4.3833820000000001</v>
      </c>
      <c r="E5419">
        <v>0.52796430000000005</v>
      </c>
      <c r="F5419" t="s">
        <v>41</v>
      </c>
      <c r="G5419">
        <v>-333.01029999999997</v>
      </c>
      <c r="H5419">
        <v>0.92058680000000004</v>
      </c>
      <c r="I5419">
        <v>214.4872</v>
      </c>
      <c r="J5419">
        <v>-333.59370000000001</v>
      </c>
      <c r="K5419">
        <v>1.110573</v>
      </c>
      <c r="L5419">
        <v>214.58369999999999</v>
      </c>
      <c r="M5419">
        <v>0.9998551</v>
      </c>
      <c r="N5419">
        <v>0</v>
      </c>
      <c r="O5419">
        <v>-9.3753350000000003E-3</v>
      </c>
      <c r="P5419">
        <v>0.99698509999999996</v>
      </c>
      <c r="Q5419">
        <v>4.9882780000000002E-2</v>
      </c>
      <c r="R5419">
        <v>-5.943698E-2</v>
      </c>
      <c r="S5419">
        <v>3.0236510000000001</v>
      </c>
      <c r="T5419">
        <v>-0.74347390000000002</v>
      </c>
      <c r="U5419">
        <v>-0.38420100000000001</v>
      </c>
      <c r="V5419">
        <v>5.0086169999999999E-2</v>
      </c>
      <c r="W5419">
        <v>6.4063819999999994E-2</v>
      </c>
      <c r="X5419">
        <v>0.99668809999999997</v>
      </c>
      <c r="Y5419">
        <v>0.11368730000000001</v>
      </c>
      <c r="Z5419">
        <v>-1.1456569999999999E-2</v>
      </c>
      <c r="AA5419">
        <v>0.99345050000000001</v>
      </c>
      <c r="AB5419">
        <v>30</v>
      </c>
      <c r="AC5419">
        <v>0.58340000000004</v>
      </c>
      <c r="AD5419">
        <v>-0.18998619999999999</v>
      </c>
      <c r="AE5419">
        <v>-9.6499999999991801E-2</v>
      </c>
      <c r="AF5419">
        <v>8.2508613777009507E-2</v>
      </c>
      <c r="AG5419">
        <v>-0.18998619999999999</v>
      </c>
      <c r="AH5419">
        <v>0.52960975033208302</v>
      </c>
      <c r="AI5419">
        <v>109.51702447460799</v>
      </c>
      <c r="AJ5419">
        <v>81.144995515349194</v>
      </c>
      <c r="AK5419">
        <v>0.56867294219494502</v>
      </c>
      <c r="AL5419">
        <v>86.326897996740797</v>
      </c>
      <c r="AM5419">
        <v>87.123158043283496</v>
      </c>
      <c r="AN5419">
        <v>0.99999998306993498</v>
      </c>
    </row>
    <row r="5420" spans="1:40" x14ac:dyDescent="0.25">
      <c r="A5420" t="str">
        <f>"20190312150800993"</f>
        <v>20190312150800993</v>
      </c>
      <c r="B5420" t="str">
        <f>"1552374480985208"</f>
        <v>1552374480985208</v>
      </c>
      <c r="C5420" t="s">
        <v>40</v>
      </c>
      <c r="D5420">
        <v>4.4308909999999999</v>
      </c>
      <c r="E5420">
        <v>0.53041780000000005</v>
      </c>
      <c r="F5420" t="s">
        <v>41</v>
      </c>
      <c r="G5420">
        <v>-332.77319999999997</v>
      </c>
      <c r="H5420">
        <v>0.85898850000000004</v>
      </c>
      <c r="I5420">
        <v>214.47290000000001</v>
      </c>
      <c r="J5420">
        <v>-333.31110000000001</v>
      </c>
      <c r="K5420">
        <v>1.1106149999999999</v>
      </c>
      <c r="L5420">
        <v>214.58109999999999</v>
      </c>
      <c r="M5420">
        <v>0.99985610000000003</v>
      </c>
      <c r="N5420">
        <v>0</v>
      </c>
      <c r="O5420">
        <v>-9.2601969999999995E-3</v>
      </c>
      <c r="P5420">
        <v>0.99705869999999996</v>
      </c>
      <c r="Q5420">
        <v>4.9281169999999999E-2</v>
      </c>
      <c r="R5420">
        <v>-5.8701179999999999E-2</v>
      </c>
      <c r="S5420">
        <v>3.0312809999999999</v>
      </c>
      <c r="T5420">
        <v>-0.92953240000000004</v>
      </c>
      <c r="U5420">
        <v>-0.40809630000000002</v>
      </c>
      <c r="V5420">
        <v>4.9458410000000001E-2</v>
      </c>
      <c r="W5420">
        <v>6.3464699999999999E-2</v>
      </c>
      <c r="X5420">
        <v>0.99675780000000003</v>
      </c>
      <c r="Y5420">
        <v>0.11927400000000001</v>
      </c>
      <c r="Z5420">
        <v>-1.503762E-2</v>
      </c>
      <c r="AA5420">
        <v>0.9927475</v>
      </c>
      <c r="AB5420">
        <v>30</v>
      </c>
      <c r="AC5420">
        <v>0.53790000000003602</v>
      </c>
      <c r="AD5420">
        <v>-0.25162649999999898</v>
      </c>
      <c r="AE5420">
        <v>-0.10819999999998201</v>
      </c>
      <c r="AF5420">
        <v>8.5278013019617502E-2</v>
      </c>
      <c r="AG5420">
        <v>-0.25162649999999898</v>
      </c>
      <c r="AH5420">
        <v>0.445236303079181</v>
      </c>
      <c r="AI5420">
        <v>119.03303664842601</v>
      </c>
      <c r="AJ5420">
        <v>79.157212183238201</v>
      </c>
      <c r="AK5420">
        <v>0.51848201568274299</v>
      </c>
      <c r="AL5420">
        <v>86.361295131425706</v>
      </c>
      <c r="AM5420">
        <v>87.159354114267003</v>
      </c>
      <c r="AN5420">
        <v>1.0000000071633199</v>
      </c>
    </row>
    <row r="5421" spans="1:40" x14ac:dyDescent="0.25">
      <c r="A5421" t="str">
        <f>"20190312150801014"</f>
        <v>20190312150801014</v>
      </c>
      <c r="B5421" t="str">
        <f>"1552374481005703"</f>
        <v>1552374481005703</v>
      </c>
      <c r="C5421" t="s">
        <v>40</v>
      </c>
      <c r="D5421">
        <v>4.4439719999999996</v>
      </c>
      <c r="E5421">
        <v>0.53141919999999898</v>
      </c>
      <c r="F5421" t="s">
        <v>41</v>
      </c>
      <c r="G5421">
        <v>-332.51350000000002</v>
      </c>
      <c r="H5421">
        <v>0.85041060000000002</v>
      </c>
      <c r="I5421">
        <v>214.46899999999999</v>
      </c>
      <c r="J5421">
        <v>-333.0188</v>
      </c>
      <c r="K5421">
        <v>1.1106590000000001</v>
      </c>
      <c r="L5421">
        <v>214.57859999999999</v>
      </c>
      <c r="M5421">
        <v>0.99985780000000002</v>
      </c>
      <c r="N5421">
        <v>0</v>
      </c>
      <c r="O5421">
        <v>-9.092167E-3</v>
      </c>
      <c r="P5421">
        <v>0.99713940000000001</v>
      </c>
      <c r="Q5421">
        <v>4.903544E-2</v>
      </c>
      <c r="R5421">
        <v>-5.7522490000000003E-2</v>
      </c>
      <c r="S5421">
        <v>3.0327449999999998</v>
      </c>
      <c r="T5421">
        <v>-0.98954310000000001</v>
      </c>
      <c r="U5421">
        <v>-0.4255524</v>
      </c>
      <c r="V5421">
        <v>4.8439830000000003E-2</v>
      </c>
      <c r="W5421">
        <v>6.3222009999999995E-2</v>
      </c>
      <c r="X5421">
        <v>0.99682329999999997</v>
      </c>
      <c r="Y5421">
        <v>0.1240947</v>
      </c>
      <c r="Z5421">
        <v>-1.6765680000000002E-2</v>
      </c>
      <c r="AA5421">
        <v>0.99212869999999997</v>
      </c>
      <c r="AB5421">
        <v>29</v>
      </c>
      <c r="AC5421">
        <v>0.50529999999997699</v>
      </c>
      <c r="AD5421">
        <v>-0.26024839999999999</v>
      </c>
      <c r="AE5421">
        <v>-0.109599999999971</v>
      </c>
      <c r="AF5421">
        <v>8.3776422554509997E-2</v>
      </c>
      <c r="AG5421">
        <v>-0.26024839999999999</v>
      </c>
      <c r="AH5421">
        <v>0.403939730300999</v>
      </c>
      <c r="AI5421">
        <v>122.245796575464</v>
      </c>
      <c r="AJ5421">
        <v>78.283064342676795</v>
      </c>
      <c r="AK5421">
        <v>0.48776533742593398</v>
      </c>
      <c r="AL5421">
        <v>86.375228436546706</v>
      </c>
      <c r="AM5421">
        <v>87.217945944147402</v>
      </c>
      <c r="AN5421">
        <v>1.0000000655508701</v>
      </c>
    </row>
    <row r="5422" spans="1:40" x14ac:dyDescent="0.25">
      <c r="A5422" t="str">
        <f>"20190312150801036"</f>
        <v>20190312150801036</v>
      </c>
      <c r="B5422" t="str">
        <f>"1552374481025222"</f>
        <v>1552374481025222</v>
      </c>
      <c r="C5422" t="s">
        <v>40</v>
      </c>
      <c r="D5422">
        <v>4.3882409999999998</v>
      </c>
      <c r="E5422">
        <v>0.53192779999999995</v>
      </c>
      <c r="F5422" t="s">
        <v>41</v>
      </c>
      <c r="G5422">
        <v>-332.25099999999998</v>
      </c>
      <c r="H5422">
        <v>0.84996289999999997</v>
      </c>
      <c r="I5422">
        <v>214.46969999999999</v>
      </c>
      <c r="J5422">
        <v>-332.73649999999998</v>
      </c>
      <c r="K5422">
        <v>1.110697</v>
      </c>
      <c r="L5422">
        <v>214.5762</v>
      </c>
      <c r="M5422">
        <v>0.99985959999999996</v>
      </c>
      <c r="N5422">
        <v>0</v>
      </c>
      <c r="O5422">
        <v>-8.8842309999999994E-3</v>
      </c>
      <c r="P5422">
        <v>0.99720920000000002</v>
      </c>
      <c r="Q5422">
        <v>4.8627410000000003E-2</v>
      </c>
      <c r="R5422">
        <v>-5.6650209999999999E-2</v>
      </c>
      <c r="S5422">
        <v>3.0344850000000001</v>
      </c>
      <c r="T5422">
        <v>-1.0303910000000001</v>
      </c>
      <c r="U5422">
        <v>-0.42974849999999998</v>
      </c>
      <c r="V5422">
        <v>4.7767909999999997E-2</v>
      </c>
      <c r="W5422">
        <v>6.2816549999999999E-2</v>
      </c>
      <c r="X5422">
        <v>0.99688129999999997</v>
      </c>
      <c r="Y5422">
        <v>0.1250329</v>
      </c>
      <c r="Z5422">
        <v>-1.7633780000000002E-2</v>
      </c>
      <c r="AA5422">
        <v>0.99199590000000004</v>
      </c>
      <c r="AB5422">
        <v>29</v>
      </c>
      <c r="AC5422">
        <v>0.48550000000000099</v>
      </c>
      <c r="AD5422">
        <v>-0.26073410000000002</v>
      </c>
      <c r="AE5422">
        <v>-0.106500000000011</v>
      </c>
      <c r="AF5422">
        <v>8.0131900740996603E-2</v>
      </c>
      <c r="AG5422">
        <v>-0.26073410000000002</v>
      </c>
      <c r="AH5422">
        <v>0.38145958048102102</v>
      </c>
      <c r="AI5422">
        <v>123.77925013919</v>
      </c>
      <c r="AJ5422">
        <v>78.136568557097206</v>
      </c>
      <c r="AK5422">
        <v>0.46895074790422397</v>
      </c>
      <c r="AL5422">
        <v>86.3985056471398</v>
      </c>
      <c r="AM5422">
        <v>87.256636458516496</v>
      </c>
      <c r="AN5422">
        <v>1.0000000092346799</v>
      </c>
    </row>
    <row r="5423" spans="1:40" x14ac:dyDescent="0.25">
      <c r="A5423" t="str">
        <f>"20190312150801057"</f>
        <v>20190312150801057</v>
      </c>
      <c r="B5423" t="str">
        <f>"1552374481045719"</f>
        <v>1552374481045719</v>
      </c>
      <c r="C5423" t="s">
        <v>40</v>
      </c>
      <c r="D5423">
        <v>4.4266860000000001</v>
      </c>
      <c r="E5423">
        <v>0.53247519999999904</v>
      </c>
      <c r="F5423" t="s">
        <v>41</v>
      </c>
      <c r="G5423">
        <v>-331.98860000000002</v>
      </c>
      <c r="H5423">
        <v>0.84996909999999903</v>
      </c>
      <c r="I5423">
        <v>214.47020000000001</v>
      </c>
      <c r="J5423">
        <v>-332.46120000000002</v>
      </c>
      <c r="K5423">
        <v>1.1107370000000001</v>
      </c>
      <c r="L5423">
        <v>214.57400000000001</v>
      </c>
      <c r="M5423">
        <v>0.99986180000000002</v>
      </c>
      <c r="N5423">
        <v>0</v>
      </c>
      <c r="O5423">
        <v>-8.6382200000000003E-3</v>
      </c>
      <c r="P5423">
        <v>0.99730830000000004</v>
      </c>
      <c r="Q5423">
        <v>4.7863780000000002E-2</v>
      </c>
      <c r="R5423">
        <v>-5.5548790000000001E-2</v>
      </c>
      <c r="S5423">
        <v>3.0354920000000001</v>
      </c>
      <c r="T5423">
        <v>-1.058241</v>
      </c>
      <c r="U5423">
        <v>-0.43075560000000002</v>
      </c>
      <c r="V5423">
        <v>4.6905339999999997E-2</v>
      </c>
      <c r="W5423">
        <v>6.2055569999999997E-2</v>
      </c>
      <c r="X5423">
        <v>0.99696989999999996</v>
      </c>
      <c r="Y5423">
        <v>0.12519439999999901</v>
      </c>
      <c r="Z5423">
        <v>-1.8188610000000001E-2</v>
      </c>
      <c r="AA5423">
        <v>0.99196549999999994</v>
      </c>
      <c r="AB5423">
        <v>29</v>
      </c>
      <c r="AC5423">
        <v>0.47259999999999902</v>
      </c>
      <c r="AD5423">
        <v>-0.2607679</v>
      </c>
      <c r="AE5423">
        <v>-0.103800000000006</v>
      </c>
      <c r="AF5423">
        <v>7.7270622516188395E-2</v>
      </c>
      <c r="AG5423">
        <v>-0.2607679</v>
      </c>
      <c r="AH5423">
        <v>0.36691221670132301</v>
      </c>
      <c r="AI5423">
        <v>124.81685423175099</v>
      </c>
      <c r="AJ5423">
        <v>78.107462430650699</v>
      </c>
      <c r="AK5423">
        <v>0.45672225864208499</v>
      </c>
      <c r="AL5423">
        <v>86.442191765827999</v>
      </c>
      <c r="AM5423">
        <v>87.306340208717202</v>
      </c>
      <c r="AN5423">
        <v>0.99999999309727505</v>
      </c>
    </row>
    <row r="5424" spans="1:40" x14ac:dyDescent="0.25">
      <c r="A5424" t="str">
        <f>"20190312150801072"</f>
        <v>20190312150801072</v>
      </c>
      <c r="B5424" t="str">
        <f>"1552374481065240"</f>
        <v>1552374481065240</v>
      </c>
      <c r="C5424" t="s">
        <v>40</v>
      </c>
      <c r="D5424">
        <v>4.4319769999999998</v>
      </c>
      <c r="E5424">
        <v>0.5326033</v>
      </c>
      <c r="F5424" t="s">
        <v>41</v>
      </c>
      <c r="G5424">
        <v>-331.72629999999998</v>
      </c>
      <c r="H5424">
        <v>0.8504062</v>
      </c>
      <c r="I5424">
        <v>214.4691</v>
      </c>
      <c r="J5424">
        <v>-332.27370000000002</v>
      </c>
      <c r="K5424">
        <v>1.1107610000000001</v>
      </c>
      <c r="L5424">
        <v>214.57259999999999</v>
      </c>
      <c r="M5424">
        <v>0.99986359999999996</v>
      </c>
      <c r="N5424">
        <v>0</v>
      </c>
      <c r="O5424">
        <v>-8.4465949999999995E-3</v>
      </c>
      <c r="P5424">
        <v>0.99735280000000004</v>
      </c>
      <c r="Q5424">
        <v>4.7511879999999999E-2</v>
      </c>
      <c r="R5424">
        <v>-5.5048430000000002E-2</v>
      </c>
      <c r="S5424">
        <v>3.0356749999999999</v>
      </c>
      <c r="T5424">
        <v>-1.0752549999999901</v>
      </c>
      <c r="U5424">
        <v>-0.4317474</v>
      </c>
      <c r="V5424">
        <v>4.6592399999999999E-2</v>
      </c>
      <c r="W5424">
        <v>6.1705290000000003E-2</v>
      </c>
      <c r="X5424">
        <v>0.99700630000000001</v>
      </c>
      <c r="Y5424">
        <v>0.12545539999999999</v>
      </c>
      <c r="Z5424">
        <v>-1.8573369999999999E-2</v>
      </c>
      <c r="AA5424">
        <v>0.99192539999999996</v>
      </c>
      <c r="AB5424">
        <v>29</v>
      </c>
      <c r="AC5424">
        <v>0.54740000000003797</v>
      </c>
      <c r="AD5424">
        <v>-0.2603548</v>
      </c>
      <c r="AE5424">
        <v>-0.103499999999996</v>
      </c>
      <c r="AF5424">
        <v>8.1148716606247506E-2</v>
      </c>
      <c r="AG5424">
        <v>-0.2603548</v>
      </c>
      <c r="AH5424">
        <v>0.44997666539343301</v>
      </c>
      <c r="AI5424">
        <v>119.65766166764899</v>
      </c>
      <c r="AJ5424">
        <v>79.777167472030698</v>
      </c>
      <c r="AK5424">
        <v>0.52616417161231599</v>
      </c>
      <c r="AL5424">
        <v>86.462299815415705</v>
      </c>
      <c r="AM5424">
        <v>87.324382934387799</v>
      </c>
      <c r="AN5424">
        <v>0.99999997839571597</v>
      </c>
    </row>
    <row r="5425" spans="1:40" x14ac:dyDescent="0.25">
      <c r="A5425" t="str">
        <f>"20190312150801083"</f>
        <v>20190312150801083</v>
      </c>
      <c r="B5425" t="str">
        <f>"1552374481074999"</f>
        <v>1552374481074999</v>
      </c>
      <c r="C5425" t="s">
        <v>40</v>
      </c>
      <c r="D5425">
        <v>4.4467939999999997</v>
      </c>
      <c r="E5425">
        <v>0.53280300000000003</v>
      </c>
      <c r="F5425" t="s">
        <v>41</v>
      </c>
      <c r="G5425">
        <v>-331.47430000000003</v>
      </c>
      <c r="H5425">
        <v>0.82605550000000005</v>
      </c>
      <c r="I5425">
        <v>214.45920000000001</v>
      </c>
      <c r="J5425">
        <v>-332.10419999999999</v>
      </c>
      <c r="K5425">
        <v>1.110778</v>
      </c>
      <c r="L5425">
        <v>214.57130000000001</v>
      </c>
      <c r="M5425">
        <v>0.999865</v>
      </c>
      <c r="N5425">
        <v>0</v>
      </c>
      <c r="O5425">
        <v>-8.2612369999999994E-3</v>
      </c>
      <c r="P5425">
        <v>0.99738939999999998</v>
      </c>
      <c r="Q5425">
        <v>4.7302419999999998E-2</v>
      </c>
      <c r="R5425">
        <v>-5.4564300000000003E-2</v>
      </c>
      <c r="S5425">
        <v>3.0357059999999998</v>
      </c>
      <c r="T5425">
        <v>-1.081056</v>
      </c>
      <c r="U5425">
        <v>-0.43078610000000001</v>
      </c>
      <c r="V5425">
        <v>4.6289780000000003E-2</v>
      </c>
      <c r="W5425">
        <v>6.149636E-2</v>
      </c>
      <c r="X5425">
        <v>0.99703330000000001</v>
      </c>
      <c r="Y5425">
        <v>0.12525700000000001</v>
      </c>
      <c r="Z5425">
        <v>-1.8697680000000001E-2</v>
      </c>
      <c r="AA5425">
        <v>0.9919481</v>
      </c>
      <c r="AB5425">
        <v>29</v>
      </c>
      <c r="AC5425">
        <v>0.62989999999996305</v>
      </c>
      <c r="AD5425">
        <v>-0.28472249999999999</v>
      </c>
      <c r="AE5425">
        <v>-0.11209999999999801</v>
      </c>
      <c r="AF5425">
        <v>8.9222104810464206E-2</v>
      </c>
      <c r="AG5425">
        <v>-0.28472249999999999</v>
      </c>
      <c r="AH5425">
        <v>0.52652935736836803</v>
      </c>
      <c r="AI5425">
        <v>118.06443832236801</v>
      </c>
      <c r="AJ5425">
        <v>80.382404629916806</v>
      </c>
      <c r="AK5425">
        <v>0.60519472086577697</v>
      </c>
      <c r="AL5425">
        <v>86.474293383646</v>
      </c>
      <c r="AM5425">
        <v>87.341808077481701</v>
      </c>
      <c r="AN5425">
        <v>0.99999997366729299</v>
      </c>
    </row>
    <row r="5426" spans="1:40" x14ac:dyDescent="0.25">
      <c r="A5426" t="str">
        <f>"20190312150801103"</f>
        <v>20190312150801103</v>
      </c>
      <c r="B5426" t="str">
        <f>"1552374481095499"</f>
        <v>1552374481095499</v>
      </c>
      <c r="C5426" t="s">
        <v>40</v>
      </c>
      <c r="D5426">
        <v>4.4219429999999997</v>
      </c>
      <c r="E5426">
        <v>0.53313259999999996</v>
      </c>
      <c r="F5426" t="s">
        <v>41</v>
      </c>
      <c r="G5426">
        <v>-331.45319999999998</v>
      </c>
      <c r="H5426">
        <v>0.87831199999999998</v>
      </c>
      <c r="I5426">
        <v>214.47880000000001</v>
      </c>
      <c r="J5426">
        <v>-331.85500000000002</v>
      </c>
      <c r="K5426">
        <v>1.110806</v>
      </c>
      <c r="L5426">
        <v>214.56950000000001</v>
      </c>
      <c r="M5426">
        <v>0.99986739999999996</v>
      </c>
      <c r="N5426">
        <v>0</v>
      </c>
      <c r="O5426">
        <v>-7.961727E-3</v>
      </c>
      <c r="P5426">
        <v>0.99743419999999905</v>
      </c>
      <c r="Q5426">
        <v>4.7045049999999998E-2</v>
      </c>
      <c r="R5426">
        <v>-5.3964690000000003E-2</v>
      </c>
      <c r="S5426">
        <v>3.0356749999999999</v>
      </c>
      <c r="T5426">
        <v>-1.084087</v>
      </c>
      <c r="U5426">
        <v>-0.43138120000000002</v>
      </c>
      <c r="V5426">
        <v>4.5985129999999999E-2</v>
      </c>
      <c r="W5426">
        <v>6.1239349999999998E-2</v>
      </c>
      <c r="X5426">
        <v>0.99706320000000004</v>
      </c>
      <c r="Y5426">
        <v>0.12566449999999901</v>
      </c>
      <c r="Z5426">
        <v>-1.8920559999999999E-2</v>
      </c>
      <c r="AA5426">
        <v>0.99189229999999995</v>
      </c>
      <c r="AB5426">
        <v>29</v>
      </c>
      <c r="AC5426">
        <v>0.40180000000003702</v>
      </c>
      <c r="AD5426">
        <v>-0.23249399999999901</v>
      </c>
      <c r="AE5426">
        <v>-9.0699999999998199E-2</v>
      </c>
      <c r="AF5426">
        <v>6.6357558630497596E-2</v>
      </c>
      <c r="AG5426">
        <v>-0.23249399999999901</v>
      </c>
      <c r="AH5426">
        <v>0.30525969188100399</v>
      </c>
      <c r="AI5426">
        <v>126.65829953555399</v>
      </c>
      <c r="AJ5426">
        <v>77.735807671401105</v>
      </c>
      <c r="AK5426">
        <v>0.38941015024095799</v>
      </c>
      <c r="AL5426">
        <v>86.489046722421193</v>
      </c>
      <c r="AM5426">
        <v>87.359356844207596</v>
      </c>
      <c r="AN5426">
        <v>0.99999995748188797</v>
      </c>
    </row>
    <row r="5427" spans="1:40" x14ac:dyDescent="0.25">
      <c r="A5427" t="str">
        <f>"20190312150801116"</f>
        <v>20190312150801116</v>
      </c>
      <c r="B5427" t="str">
        <f>"1552374481105255"</f>
        <v>1552374481105255</v>
      </c>
      <c r="C5427" t="s">
        <v>40</v>
      </c>
      <c r="D5427">
        <v>4.4159930000000003</v>
      </c>
      <c r="E5427">
        <v>0.53385190000000005</v>
      </c>
      <c r="F5427" t="s">
        <v>41</v>
      </c>
      <c r="G5427">
        <v>-331.1936</v>
      </c>
      <c r="H5427">
        <v>0.87359129999999996</v>
      </c>
      <c r="I5427">
        <v>214.4751</v>
      </c>
      <c r="J5427">
        <v>-331.67939999999999</v>
      </c>
      <c r="K5427">
        <v>1.1108229999999999</v>
      </c>
      <c r="L5427">
        <v>214.5684</v>
      </c>
      <c r="M5427">
        <v>0.99986920000000001</v>
      </c>
      <c r="N5427">
        <v>0</v>
      </c>
      <c r="O5427">
        <v>-7.7367790000000001E-3</v>
      </c>
      <c r="P5427">
        <v>0.99747660000000005</v>
      </c>
      <c r="Q5427">
        <v>4.6709340000000002E-2</v>
      </c>
      <c r="R5427">
        <v>-5.3466609999999998E-2</v>
      </c>
      <c r="S5427">
        <v>3.035736</v>
      </c>
      <c r="T5427">
        <v>-1.088862</v>
      </c>
      <c r="U5427">
        <v>-0.43218990000000002</v>
      </c>
      <c r="V5427">
        <v>4.570946E-2</v>
      </c>
      <c r="W5427">
        <v>6.0903329999999999E-2</v>
      </c>
      <c r="X5427">
        <v>0.99709650000000005</v>
      </c>
      <c r="Y5427">
        <v>0.12604599999999999</v>
      </c>
      <c r="Z5427">
        <v>-1.9142289999999999E-2</v>
      </c>
      <c r="AA5427">
        <v>0.99183969999999999</v>
      </c>
      <c r="AB5427">
        <v>29</v>
      </c>
      <c r="AC5427">
        <v>0.48579999999998302</v>
      </c>
      <c r="AD5427">
        <v>-0.23723169999999899</v>
      </c>
      <c r="AE5427">
        <v>-9.3299999999999203E-2</v>
      </c>
      <c r="AF5427">
        <v>7.2796242480098305E-2</v>
      </c>
      <c r="AG5427">
        <v>-0.23723169999999899</v>
      </c>
      <c r="AH5427">
        <v>0.39553920886683502</v>
      </c>
      <c r="AI5427">
        <v>120.53470512203</v>
      </c>
      <c r="AJ5427">
        <v>79.571805671047599</v>
      </c>
      <c r="AK5427">
        <v>0.46693622493346199</v>
      </c>
      <c r="AL5427">
        <v>86.508335404852602</v>
      </c>
      <c r="AM5427">
        <v>87.375252209500005</v>
      </c>
      <c r="AN5427">
        <v>1.0000000003254099</v>
      </c>
    </row>
    <row r="5428" spans="1:40" x14ac:dyDescent="0.25">
      <c r="A5428" t="str">
        <f>"20190312150801136"</f>
        <v>20190312150801136</v>
      </c>
      <c r="B5428" t="str">
        <f>"1552374481125751"</f>
        <v>1552374481125751</v>
      </c>
      <c r="C5428" t="s">
        <v>40</v>
      </c>
      <c r="D5428">
        <v>4.4351409999999998</v>
      </c>
      <c r="E5428">
        <v>0.5347906</v>
      </c>
      <c r="F5428" t="s">
        <v>41</v>
      </c>
      <c r="G5428">
        <v>-330.94299999999998</v>
      </c>
      <c r="H5428">
        <v>0.84743559999999996</v>
      </c>
      <c r="I5428">
        <v>214.46250000000001</v>
      </c>
      <c r="J5428">
        <v>-331.42660000000001</v>
      </c>
      <c r="K5428">
        <v>1.1108340000000001</v>
      </c>
      <c r="L5428">
        <v>214.5668</v>
      </c>
      <c r="M5428">
        <v>0.99987190000000004</v>
      </c>
      <c r="N5428">
        <v>0</v>
      </c>
      <c r="O5428">
        <v>-7.4022350000000001E-3</v>
      </c>
      <c r="P5428">
        <v>0.99753270000000005</v>
      </c>
      <c r="Q5428">
        <v>4.6335330000000001E-2</v>
      </c>
      <c r="R5428">
        <v>-5.2743169999999999E-2</v>
      </c>
      <c r="S5428">
        <v>3.035034</v>
      </c>
      <c r="T5428">
        <v>-1.085461</v>
      </c>
      <c r="U5428">
        <v>-0.43640139999999999</v>
      </c>
      <c r="V5428">
        <v>4.5317120000000002E-2</v>
      </c>
      <c r="W5428">
        <v>6.0529230000000003E-2</v>
      </c>
      <c r="X5428">
        <v>0.99713719999999995</v>
      </c>
      <c r="Y5428">
        <v>0.12768060000000001</v>
      </c>
      <c r="Z5428">
        <v>-1.9486050000000001E-2</v>
      </c>
      <c r="AA5428">
        <v>0.9916239</v>
      </c>
      <c r="AB5428">
        <v>29</v>
      </c>
      <c r="AC5428">
        <v>0.483599999999967</v>
      </c>
      <c r="AD5428">
        <v>-0.26339839999999998</v>
      </c>
      <c r="AE5428">
        <v>-0.10429999999999399</v>
      </c>
      <c r="AF5428">
        <v>7.8472430267386595E-2</v>
      </c>
      <c r="AG5428">
        <v>-0.26339839999999998</v>
      </c>
      <c r="AH5428">
        <v>0.377382125205875</v>
      </c>
      <c r="AI5428">
        <v>124.346550814336</v>
      </c>
      <c r="AJ5428">
        <v>78.253371151900296</v>
      </c>
      <c r="AK5428">
        <v>0.46685533932850398</v>
      </c>
      <c r="AL5428">
        <v>86.529809415903003</v>
      </c>
      <c r="AM5428">
        <v>87.397856288535806</v>
      </c>
      <c r="AN5428">
        <v>1.0000000123366599</v>
      </c>
    </row>
    <row r="5429" spans="1:40" x14ac:dyDescent="0.25">
      <c r="A5429" t="str">
        <f>"20190312150801157"</f>
        <v>20190312150801157</v>
      </c>
      <c r="B5429" t="str">
        <f>"1552374481145271"</f>
        <v>1552374481145271</v>
      </c>
      <c r="C5429" t="s">
        <v>40</v>
      </c>
      <c r="D5429">
        <v>4.415044</v>
      </c>
      <c r="E5429">
        <v>0.53541539999999999</v>
      </c>
      <c r="F5429" t="s">
        <v>41</v>
      </c>
      <c r="G5429">
        <v>-330.68259999999998</v>
      </c>
      <c r="H5429">
        <v>0.846402399999999</v>
      </c>
      <c r="I5429">
        <v>214.45820000000001</v>
      </c>
      <c r="J5429">
        <v>-331.15159999999997</v>
      </c>
      <c r="K5429">
        <v>1.110846</v>
      </c>
      <c r="L5429">
        <v>214.5651</v>
      </c>
      <c r="M5429">
        <v>0.99987470000000001</v>
      </c>
      <c r="N5429">
        <v>0</v>
      </c>
      <c r="O5429">
        <v>-7.026628E-3</v>
      </c>
      <c r="P5429">
        <v>0.99758150000000001</v>
      </c>
      <c r="Q5429">
        <v>4.5834800000000002E-2</v>
      </c>
      <c r="R5429">
        <v>-5.2253939999999999E-2</v>
      </c>
      <c r="S5429">
        <v>3.034119</v>
      </c>
      <c r="T5429">
        <v>-1.078379</v>
      </c>
      <c r="U5429">
        <v>-0.44184879999999999</v>
      </c>
      <c r="V5429">
        <v>4.5201060000000001E-2</v>
      </c>
      <c r="W5429">
        <v>6.0028030000000003E-2</v>
      </c>
      <c r="X5429">
        <v>0.99717279999999997</v>
      </c>
      <c r="Y5429">
        <v>0.12978019999999901</v>
      </c>
      <c r="Z5429">
        <v>-1.9858520000000001E-2</v>
      </c>
      <c r="AA5429">
        <v>0.99134389999999994</v>
      </c>
      <c r="AB5429">
        <v>29</v>
      </c>
      <c r="AC5429">
        <v>0.46899999999999398</v>
      </c>
      <c r="AD5429">
        <v>-0.2644436</v>
      </c>
      <c r="AE5429">
        <v>-0.106899999999996</v>
      </c>
      <c r="AF5429">
        <v>7.9557592481175401E-2</v>
      </c>
      <c r="AG5429">
        <v>-0.2644436</v>
      </c>
      <c r="AH5429">
        <v>0.36072200150747802</v>
      </c>
      <c r="AI5429">
        <v>125.598519017762</v>
      </c>
      <c r="AJ5429">
        <v>77.562473287870702</v>
      </c>
      <c r="AK5429">
        <v>0.45429086549689901</v>
      </c>
      <c r="AL5429">
        <v>86.558578492482198</v>
      </c>
      <c r="AM5429">
        <v>87.404603952254803</v>
      </c>
      <c r="AN5429">
        <v>1.0000000466353201</v>
      </c>
    </row>
    <row r="5430" spans="1:40" x14ac:dyDescent="0.25">
      <c r="A5430" t="str">
        <f>"20190312150801173"</f>
        <v>20190312150801173</v>
      </c>
      <c r="B5430" t="str">
        <f>"1552374481165769"</f>
        <v>1552374481165769</v>
      </c>
      <c r="C5430" t="s">
        <v>40</v>
      </c>
      <c r="D5430">
        <v>4.530875</v>
      </c>
      <c r="E5430">
        <v>0.53610950000000002</v>
      </c>
      <c r="F5430" t="s">
        <v>41</v>
      </c>
      <c r="G5430">
        <v>-330.41899999999998</v>
      </c>
      <c r="H5430">
        <v>0.85400140000000002</v>
      </c>
      <c r="I5430">
        <v>214.4572</v>
      </c>
      <c r="J5430">
        <v>-330.94889999999998</v>
      </c>
      <c r="K5430">
        <v>1.110852</v>
      </c>
      <c r="L5430">
        <v>214.56399999999999</v>
      </c>
      <c r="M5430">
        <v>0.99987669999999995</v>
      </c>
      <c r="N5430">
        <v>0</v>
      </c>
      <c r="O5430">
        <v>-6.7456440000000003E-3</v>
      </c>
      <c r="P5430">
        <v>0.99761610000000001</v>
      </c>
      <c r="Q5430">
        <v>4.53871E-2</v>
      </c>
      <c r="R5430">
        <v>-5.1985219999999999E-2</v>
      </c>
      <c r="S5430">
        <v>3.0328059999999999</v>
      </c>
      <c r="T5430">
        <v>-1.063315</v>
      </c>
      <c r="U5430">
        <v>-0.4452972</v>
      </c>
      <c r="V5430">
        <v>4.5211590000000003E-2</v>
      </c>
      <c r="W5430">
        <v>5.9576329999999997E-2</v>
      </c>
      <c r="X5430">
        <v>0.99719939999999996</v>
      </c>
      <c r="Y5430">
        <v>0.1313115</v>
      </c>
      <c r="Z5430">
        <v>-1.9957630000000001E-2</v>
      </c>
      <c r="AA5430">
        <v>0.99114020000000003</v>
      </c>
      <c r="AB5430">
        <v>29</v>
      </c>
      <c r="AC5430">
        <v>0.52989999999994097</v>
      </c>
      <c r="AD5430">
        <v>-0.25685059999999899</v>
      </c>
      <c r="AE5430">
        <v>-0.106800000000021</v>
      </c>
      <c r="AF5430">
        <v>8.4209978259843096E-2</v>
      </c>
      <c r="AG5430">
        <v>-0.25685059999999899</v>
      </c>
      <c r="AH5430">
        <v>0.43287502428446401</v>
      </c>
      <c r="AI5430">
        <v>120.21827501526499</v>
      </c>
      <c r="AJ5430">
        <v>78.991378766747005</v>
      </c>
      <c r="AK5430">
        <v>0.51033747443055599</v>
      </c>
      <c r="AL5430">
        <v>86.584505358601604</v>
      </c>
      <c r="AM5430">
        <v>87.404069310870796</v>
      </c>
      <c r="AN5430">
        <v>1.0000000351634699</v>
      </c>
    </row>
    <row r="5431" spans="1:40" x14ac:dyDescent="0.25">
      <c r="A5431" t="str">
        <f>"20190312150801193"</f>
        <v>20190312150801193</v>
      </c>
      <c r="B5431" t="str">
        <f>"1552374481185288"</f>
        <v>1552374481185288</v>
      </c>
      <c r="C5431" t="s">
        <v>40</v>
      </c>
      <c r="D5431">
        <v>4.7488469999999996</v>
      </c>
      <c r="E5431">
        <v>0.53657169999999998</v>
      </c>
      <c r="F5431" t="s">
        <v>41</v>
      </c>
      <c r="G5431">
        <v>-330.16430000000003</v>
      </c>
      <c r="H5431">
        <v>0.83979619999999999</v>
      </c>
      <c r="I5431">
        <v>214.44730000000001</v>
      </c>
      <c r="J5431">
        <v>-330.6909</v>
      </c>
      <c r="K5431">
        <v>1.1108480000000001</v>
      </c>
      <c r="L5431">
        <v>214.56270000000001</v>
      </c>
      <c r="M5431">
        <v>0.99987919999999997</v>
      </c>
      <c r="N5431">
        <v>0</v>
      </c>
      <c r="O5431">
        <v>-6.3855780000000003E-3</v>
      </c>
      <c r="P5431">
        <v>0.99765309999999996</v>
      </c>
      <c r="Q5431">
        <v>4.4977740000000002E-2</v>
      </c>
      <c r="R5431">
        <v>-5.1627069999999997E-2</v>
      </c>
      <c r="S5431">
        <v>3.0314030000000001</v>
      </c>
      <c r="T5431">
        <v>-1.0473429999999999</v>
      </c>
      <c r="U5431">
        <v>-0.44950869999999998</v>
      </c>
      <c r="V5431">
        <v>4.5212330000000002E-2</v>
      </c>
      <c r="W5431">
        <v>5.9152690000000001E-2</v>
      </c>
      <c r="X5431">
        <v>0.99722460000000002</v>
      </c>
      <c r="Y5431">
        <v>0.13316249999999999</v>
      </c>
      <c r="Z5431">
        <v>-2.0110309999999999E-2</v>
      </c>
      <c r="AA5431">
        <v>0.9908901</v>
      </c>
      <c r="AB5431">
        <v>29</v>
      </c>
      <c r="AC5431">
        <v>0.52659999999997298</v>
      </c>
      <c r="AD5431">
        <v>-0.27105180000000001</v>
      </c>
      <c r="AE5431">
        <v>-0.11539999999999299</v>
      </c>
      <c r="AF5431">
        <v>8.9427622556076697E-2</v>
      </c>
      <c r="AG5431">
        <v>-0.27105180000000001</v>
      </c>
      <c r="AH5431">
        <v>0.42091911210456601</v>
      </c>
      <c r="AI5431">
        <v>122.206536821665</v>
      </c>
      <c r="AJ5431">
        <v>78.005404488054097</v>
      </c>
      <c r="AK5431">
        <v>0.508565902213438</v>
      </c>
      <c r="AL5431">
        <v>86.608821073340494</v>
      </c>
      <c r="AM5431">
        <v>87.404092390992005</v>
      </c>
      <c r="AN5431">
        <v>1.00000004918171</v>
      </c>
    </row>
    <row r="5432" spans="1:40" x14ac:dyDescent="0.25">
      <c r="A5432" t="str">
        <f>"20190312150801215"</f>
        <v>20190312150801215</v>
      </c>
      <c r="B5432" t="str">
        <f>"1552374481205783"</f>
        <v>1552374481205783</v>
      </c>
      <c r="C5432" t="s">
        <v>40</v>
      </c>
      <c r="D5432">
        <v>4.3572369999999996</v>
      </c>
      <c r="E5432">
        <v>0.53679480000000002</v>
      </c>
      <c r="F5432" t="s">
        <v>41</v>
      </c>
      <c r="G5432">
        <v>-329.90339999999998</v>
      </c>
      <c r="H5432">
        <v>0.84207919999999903</v>
      </c>
      <c r="I5432">
        <v>214.44499999999999</v>
      </c>
      <c r="J5432">
        <v>-330.39530000000002</v>
      </c>
      <c r="K5432">
        <v>1.11084</v>
      </c>
      <c r="L5432">
        <v>214.56120000000001</v>
      </c>
      <c r="M5432">
        <v>0.9998823</v>
      </c>
      <c r="N5432">
        <v>0</v>
      </c>
      <c r="O5432">
        <v>-5.9729479999999996E-3</v>
      </c>
      <c r="P5432">
        <v>0.99768349999999995</v>
      </c>
      <c r="Q5432">
        <v>4.524421E-2</v>
      </c>
      <c r="R5432">
        <v>-5.0804290000000002E-2</v>
      </c>
      <c r="S5432">
        <v>3.0302730000000002</v>
      </c>
      <c r="T5432">
        <v>-1.0342309999999999</v>
      </c>
      <c r="U5432">
        <v>-0.45220949999999999</v>
      </c>
      <c r="V5432">
        <v>4.48005E-2</v>
      </c>
      <c r="W5432">
        <v>5.9381639999999999E-2</v>
      </c>
      <c r="X5432">
        <v>0.99722949999999999</v>
      </c>
      <c r="Y5432">
        <v>0.1345586</v>
      </c>
      <c r="Z5432">
        <v>-2.0244419999999999E-2</v>
      </c>
      <c r="AA5432">
        <v>0.99069879999999999</v>
      </c>
      <c r="AB5432">
        <v>29</v>
      </c>
      <c r="AC5432">
        <v>0.49190000000004303</v>
      </c>
      <c r="AD5432">
        <v>-0.26876080000000002</v>
      </c>
      <c r="AE5432">
        <v>-0.11620000000002</v>
      </c>
      <c r="AF5432">
        <v>8.82946506407115E-2</v>
      </c>
      <c r="AG5432">
        <v>-0.26876080000000002</v>
      </c>
      <c r="AH5432">
        <v>0.38400872239169398</v>
      </c>
      <c r="AI5432">
        <v>124.29728298779899</v>
      </c>
      <c r="AJ5432">
        <v>77.051112041902996</v>
      </c>
      <c r="AK5432">
        <v>0.47696017844397298</v>
      </c>
      <c r="AL5432">
        <v>86.595679834983599</v>
      </c>
      <c r="AM5432">
        <v>87.427718706778293</v>
      </c>
      <c r="AN5432">
        <v>0.999999969819794</v>
      </c>
    </row>
    <row r="5433" spans="1:40" x14ac:dyDescent="0.25">
      <c r="A5433" t="str">
        <f>"20190312150801236"</f>
        <v>20190312150801236</v>
      </c>
      <c r="B5433" t="str">
        <f>"1552374481225304"</f>
        <v>1552374481225304</v>
      </c>
      <c r="C5433" t="s">
        <v>40</v>
      </c>
      <c r="D5433">
        <v>4.36869</v>
      </c>
      <c r="E5433">
        <v>0.53702680000000003</v>
      </c>
      <c r="F5433" t="s">
        <v>41</v>
      </c>
      <c r="G5433">
        <v>-329.63799999999998</v>
      </c>
      <c r="H5433">
        <v>0.855769</v>
      </c>
      <c r="I5433">
        <v>214.44810000000001</v>
      </c>
      <c r="J5433">
        <v>-330.12670000000003</v>
      </c>
      <c r="K5433">
        <v>1.110822</v>
      </c>
      <c r="L5433">
        <v>214.56</v>
      </c>
      <c r="M5433">
        <v>0.99988520000000003</v>
      </c>
      <c r="N5433">
        <v>0</v>
      </c>
      <c r="O5433">
        <v>-5.6006449999999996E-3</v>
      </c>
      <c r="P5433">
        <v>0.99770460000000005</v>
      </c>
      <c r="Q5433">
        <v>4.5044750000000001E-2</v>
      </c>
      <c r="R5433">
        <v>-5.0564860000000003E-2</v>
      </c>
      <c r="S5433">
        <v>3.030243</v>
      </c>
      <c r="T5433">
        <v>-1.0206309999999901</v>
      </c>
      <c r="U5433">
        <v>-0.45172119999999999</v>
      </c>
      <c r="V5433">
        <v>4.4932260000000002E-2</v>
      </c>
      <c r="W5433">
        <v>5.9129849999999998E-2</v>
      </c>
      <c r="X5433">
        <v>0.99723859999999998</v>
      </c>
      <c r="Y5433">
        <v>0.13491420000000001</v>
      </c>
      <c r="Z5433">
        <v>-2.0171789999999998E-2</v>
      </c>
      <c r="AA5433">
        <v>0.99065190000000003</v>
      </c>
      <c r="AB5433">
        <v>29</v>
      </c>
      <c r="AC5433">
        <v>0.48869999999999397</v>
      </c>
      <c r="AD5433">
        <v>-0.25505299999999997</v>
      </c>
      <c r="AE5433">
        <v>-0.11189999999999101</v>
      </c>
      <c r="AF5433">
        <v>8.6717477265433801E-2</v>
      </c>
      <c r="AG5433">
        <v>-0.25505299999999997</v>
      </c>
      <c r="AH5433">
        <v>0.38871522510658402</v>
      </c>
      <c r="AI5433">
        <v>122.63555260157401</v>
      </c>
      <c r="AJ5433">
        <v>77.423961500818606</v>
      </c>
      <c r="AK5433">
        <v>0.472939192605078</v>
      </c>
      <c r="AL5433">
        <v>86.610131959579306</v>
      </c>
      <c r="AM5433">
        <v>87.420187243892101</v>
      </c>
      <c r="AN5433">
        <v>1.00000003623984</v>
      </c>
    </row>
    <row r="5434" spans="1:40" x14ac:dyDescent="0.25">
      <c r="A5434" t="str">
        <f>"20190312150801249"</f>
        <v>20190312150801249</v>
      </c>
      <c r="B5434" t="str">
        <f>"1552374481245799"</f>
        <v>1552374481245799</v>
      </c>
      <c r="C5434" t="s">
        <v>40</v>
      </c>
      <c r="D5434">
        <v>4.3201850000000004</v>
      </c>
      <c r="E5434">
        <v>0.53730349999999905</v>
      </c>
      <c r="F5434" t="s">
        <v>41</v>
      </c>
      <c r="G5434">
        <v>-329.37639999999999</v>
      </c>
      <c r="H5434">
        <v>0.86048769999999997</v>
      </c>
      <c r="I5434">
        <v>214.4478</v>
      </c>
      <c r="J5434">
        <v>-329.95460000000003</v>
      </c>
      <c r="K5434">
        <v>1.110814</v>
      </c>
      <c r="L5434">
        <v>214.55930000000001</v>
      </c>
      <c r="M5434">
        <v>0.99988719999999998</v>
      </c>
      <c r="N5434">
        <v>0</v>
      </c>
      <c r="O5434">
        <v>-5.3638319999999998E-3</v>
      </c>
      <c r="P5434">
        <v>0.99772079999999996</v>
      </c>
      <c r="Q5434">
        <v>4.4817610000000001E-2</v>
      </c>
      <c r="R5434">
        <v>-5.0446400000000002E-2</v>
      </c>
      <c r="S5434">
        <v>3.0296020000000001</v>
      </c>
      <c r="T5434">
        <v>-1.0108469999999901</v>
      </c>
      <c r="U5434">
        <v>-0.45274350000000002</v>
      </c>
      <c r="V5434">
        <v>4.5050350000000003E-2</v>
      </c>
      <c r="W5434">
        <v>5.885899E-2</v>
      </c>
      <c r="X5434">
        <v>0.99724919999999995</v>
      </c>
      <c r="Y5434">
        <v>0.1355855</v>
      </c>
      <c r="Z5434">
        <v>-2.0176759999999998E-2</v>
      </c>
      <c r="AA5434">
        <v>0.9905602</v>
      </c>
      <c r="AB5434">
        <v>29</v>
      </c>
      <c r="AC5434">
        <v>0.57820000000003802</v>
      </c>
      <c r="AD5434">
        <v>-0.250326299999999</v>
      </c>
      <c r="AE5434">
        <v>-0.111500000000006</v>
      </c>
      <c r="AF5434">
        <v>9.1805825515393097E-2</v>
      </c>
      <c r="AG5434">
        <v>-0.250326299999999</v>
      </c>
      <c r="AH5434">
        <v>0.49020186813449002</v>
      </c>
      <c r="AI5434">
        <v>116.653583768133</v>
      </c>
      <c r="AJ5434">
        <v>79.392429627496199</v>
      </c>
      <c r="AK5434">
        <v>0.55802279307640901</v>
      </c>
      <c r="AL5434">
        <v>86.625677848193007</v>
      </c>
      <c r="AM5434">
        <v>87.413443687856201</v>
      </c>
      <c r="AN5434">
        <v>0.99999994081978905</v>
      </c>
    </row>
    <row r="5435" spans="1:40" x14ac:dyDescent="0.25">
      <c r="A5435" t="str">
        <f>"20190312150801270"</f>
        <v>20190312150801270</v>
      </c>
      <c r="B5435" t="str">
        <f>"1552374481265320"</f>
        <v>1552374481265320</v>
      </c>
      <c r="C5435" t="s">
        <v>40</v>
      </c>
      <c r="D5435">
        <v>4.3015210000000002</v>
      </c>
      <c r="E5435">
        <v>0.53757900000000003</v>
      </c>
      <c r="F5435" t="s">
        <v>41</v>
      </c>
      <c r="G5435">
        <v>-329.12650000000002</v>
      </c>
      <c r="H5435">
        <v>0.836563099999999</v>
      </c>
      <c r="I5435">
        <v>214.4348</v>
      </c>
      <c r="J5435">
        <v>-329.69369999999998</v>
      </c>
      <c r="K5435">
        <v>1.1108009999999999</v>
      </c>
      <c r="L5435">
        <v>214.5583</v>
      </c>
      <c r="M5435">
        <v>0.99989019999999995</v>
      </c>
      <c r="N5435">
        <v>0</v>
      </c>
      <c r="O5435">
        <v>-5.0068100000000004E-3</v>
      </c>
      <c r="P5435">
        <v>0.99778319999999998</v>
      </c>
      <c r="Q5435">
        <v>4.40534E-2</v>
      </c>
      <c r="R5435">
        <v>-4.9882969999999999E-2</v>
      </c>
      <c r="S5435">
        <v>3.0289609999999998</v>
      </c>
      <c r="T5435">
        <v>-1.0030950000000001</v>
      </c>
      <c r="U5435">
        <v>-0.45381159999999998</v>
      </c>
      <c r="V5435">
        <v>4.484308E-2</v>
      </c>
      <c r="W5435">
        <v>5.8010720000000002E-2</v>
      </c>
      <c r="X5435">
        <v>0.99730830000000004</v>
      </c>
      <c r="Y5435">
        <v>0.1363529</v>
      </c>
      <c r="Z5435">
        <v>-2.0270980000000001E-2</v>
      </c>
      <c r="AA5435">
        <v>0.99045289999999997</v>
      </c>
      <c r="AB5435">
        <v>29</v>
      </c>
      <c r="AC5435">
        <v>0.56719999999995696</v>
      </c>
      <c r="AD5435">
        <v>-0.27423789999999998</v>
      </c>
      <c r="AE5435">
        <v>-0.12350000000000699</v>
      </c>
      <c r="AF5435">
        <v>9.8642685723759505E-2</v>
      </c>
      <c r="AG5435">
        <v>-0.27423789999999998</v>
      </c>
      <c r="AH5435">
        <v>0.46420697710227499</v>
      </c>
      <c r="AI5435">
        <v>120.022060024334</v>
      </c>
      <c r="AJ5435">
        <v>78.003253850183796</v>
      </c>
      <c r="AK5435">
        <v>0.54811031994812698</v>
      </c>
      <c r="AL5435">
        <v>86.674363517606295</v>
      </c>
      <c r="AM5435">
        <v>87.425480368906804</v>
      </c>
      <c r="AN5435">
        <v>0.99999999535384698</v>
      </c>
    </row>
    <row r="5436" spans="1:40" x14ac:dyDescent="0.25">
      <c r="A5436" t="str">
        <f>"20190312150801292"</f>
        <v>20190312150801292</v>
      </c>
      <c r="B5436" t="str">
        <f>"1552374481285815"</f>
        <v>1552374481285815</v>
      </c>
      <c r="C5436" t="s">
        <v>40</v>
      </c>
      <c r="D5436">
        <v>4.3265500000000001</v>
      </c>
      <c r="E5436">
        <v>0.53776789999999997</v>
      </c>
      <c r="F5436" t="s">
        <v>41</v>
      </c>
      <c r="G5436">
        <v>-328.8664</v>
      </c>
      <c r="H5436">
        <v>0.83813729999999997</v>
      </c>
      <c r="I5436">
        <v>214.43430000000001</v>
      </c>
      <c r="J5436">
        <v>-329.3997</v>
      </c>
      <c r="K5436">
        <v>1.1107860000000001</v>
      </c>
      <c r="L5436">
        <v>214.5573</v>
      </c>
      <c r="M5436">
        <v>0.99989380000000005</v>
      </c>
      <c r="N5436">
        <v>0</v>
      </c>
      <c r="O5436">
        <v>-4.6066329999999997E-3</v>
      </c>
      <c r="P5436">
        <v>0.99785380000000001</v>
      </c>
      <c r="Q5436">
        <v>4.3671179999999997E-2</v>
      </c>
      <c r="R5436">
        <v>-4.879704E-2</v>
      </c>
      <c r="S5436">
        <v>3.0280459999999998</v>
      </c>
      <c r="T5436">
        <v>-0.99795080000000003</v>
      </c>
      <c r="U5436">
        <v>-0.45411679999999999</v>
      </c>
      <c r="V5436">
        <v>4.4155840000000002E-2</v>
      </c>
      <c r="W5436">
        <v>5.751183E-2</v>
      </c>
      <c r="X5436">
        <v>0.99736789999999997</v>
      </c>
      <c r="Y5436">
        <v>0.13690569999999999</v>
      </c>
      <c r="Z5436">
        <v>-2.039388E-2</v>
      </c>
      <c r="AA5436">
        <v>0.99037410000000003</v>
      </c>
      <c r="AB5436">
        <v>29</v>
      </c>
      <c r="AC5436">
        <v>0.533299999999997</v>
      </c>
      <c r="AD5436">
        <v>-0.27264870000000002</v>
      </c>
      <c r="AE5436">
        <v>-0.12299999999999001</v>
      </c>
      <c r="AF5436">
        <v>9.6574522274998797E-2</v>
      </c>
      <c r="AG5436">
        <v>-0.27264870000000002</v>
      </c>
      <c r="AH5436">
        <v>0.42771384418832398</v>
      </c>
      <c r="AI5436">
        <v>121.873451037683</v>
      </c>
      <c r="AJ5436">
        <v>77.276412027747298</v>
      </c>
      <c r="AK5436">
        <v>0.51633621263154506</v>
      </c>
      <c r="AL5436">
        <v>86.702995754937604</v>
      </c>
      <c r="AM5436">
        <v>87.465035438015505</v>
      </c>
      <c r="AN5436">
        <v>1.0000000383732299</v>
      </c>
    </row>
    <row r="5437" spans="1:40" x14ac:dyDescent="0.25">
      <c r="A5437" t="str">
        <f>"20190312150801314"</f>
        <v>20190312150801314</v>
      </c>
      <c r="B5437" t="str">
        <f>"1552374481305339"</f>
        <v>1552374481305339</v>
      </c>
      <c r="C5437" t="s">
        <v>40</v>
      </c>
      <c r="D5437">
        <v>4.3423439999999998</v>
      </c>
      <c r="E5437">
        <v>0.5379294</v>
      </c>
      <c r="F5437" t="s">
        <v>41</v>
      </c>
      <c r="G5437">
        <v>-328.60239999999999</v>
      </c>
      <c r="H5437">
        <v>0.84957709999999997</v>
      </c>
      <c r="I5437">
        <v>214.4376</v>
      </c>
      <c r="J5437">
        <v>-329.11059999999998</v>
      </c>
      <c r="K5437">
        <v>1.1107610000000001</v>
      </c>
      <c r="L5437">
        <v>214.5565</v>
      </c>
      <c r="M5437">
        <v>0.99989729999999999</v>
      </c>
      <c r="N5437">
        <v>0</v>
      </c>
      <c r="O5437">
        <v>-4.2063769999999999E-3</v>
      </c>
      <c r="P5437">
        <v>0.99788270000000001</v>
      </c>
      <c r="Q5437">
        <v>4.3795969999999997E-2</v>
      </c>
      <c r="R5437">
        <v>-4.8084809999999999E-2</v>
      </c>
      <c r="S5437">
        <v>3.0277099999999999</v>
      </c>
      <c r="T5437">
        <v>-0.99200829999999995</v>
      </c>
      <c r="U5437">
        <v>-0.45330809999999999</v>
      </c>
      <c r="V5437">
        <v>4.384267E-2</v>
      </c>
      <c r="W5437">
        <v>5.750421E-2</v>
      </c>
      <c r="X5437">
        <v>0.99738210000000005</v>
      </c>
      <c r="Y5437">
        <v>0.1371059</v>
      </c>
      <c r="Z5437">
        <v>-2.0439820000000001E-2</v>
      </c>
      <c r="AA5437">
        <v>0.99034549999999999</v>
      </c>
      <c r="AB5437">
        <v>29</v>
      </c>
      <c r="AC5437">
        <v>0.50819999999998799</v>
      </c>
      <c r="AD5437">
        <v>-0.26118389999999903</v>
      </c>
      <c r="AE5437">
        <v>-0.118899999999996</v>
      </c>
      <c r="AF5437">
        <v>9.33770651529751E-2</v>
      </c>
      <c r="AG5437">
        <v>-0.26118389999999903</v>
      </c>
      <c r="AH5437">
        <v>0.40681805903662699</v>
      </c>
      <c r="AI5437">
        <v>122.036053106222</v>
      </c>
      <c r="AJ5437">
        <v>77.072798626718694</v>
      </c>
      <c r="AK5437">
        <v>0.49237916190078701</v>
      </c>
      <c r="AL5437">
        <v>86.703432891872197</v>
      </c>
      <c r="AM5437">
        <v>87.4830269548155</v>
      </c>
      <c r="AN5437">
        <v>0.99999998364043097</v>
      </c>
    </row>
    <row r="5438" spans="1:40" x14ac:dyDescent="0.25">
      <c r="A5438" t="str">
        <f>"20190312150801336"</f>
        <v>20190312150801336</v>
      </c>
      <c r="B5438" t="str">
        <f>"1552374481325831"</f>
        <v>1552374481325831</v>
      </c>
      <c r="C5438" t="s">
        <v>40</v>
      </c>
      <c r="D5438">
        <v>4.3383419999999999</v>
      </c>
      <c r="E5438">
        <v>0.53815360000000001</v>
      </c>
      <c r="F5438" t="s">
        <v>41</v>
      </c>
      <c r="G5438">
        <v>-328.339</v>
      </c>
      <c r="H5438">
        <v>0.85970340000000001</v>
      </c>
      <c r="I5438">
        <v>214.441</v>
      </c>
      <c r="J5438">
        <v>-328.82600000000002</v>
      </c>
      <c r="K5438">
        <v>1.1107340000000001</v>
      </c>
      <c r="L5438">
        <v>214.5558</v>
      </c>
      <c r="M5438">
        <v>0.99990089999999998</v>
      </c>
      <c r="N5438">
        <v>0</v>
      </c>
      <c r="O5438">
        <v>-3.800487E-3</v>
      </c>
      <c r="P5438">
        <v>0.99794260000000001</v>
      </c>
      <c r="Q5438">
        <v>4.3398560000000003E-2</v>
      </c>
      <c r="R5438">
        <v>-4.7194819999999998E-2</v>
      </c>
      <c r="S5438">
        <v>3.027771</v>
      </c>
      <c r="T5438">
        <v>-0.98520209999999997</v>
      </c>
      <c r="U5438">
        <v>-0.4526367</v>
      </c>
      <c r="V5438">
        <v>4.3357890000000003E-2</v>
      </c>
      <c r="W5438">
        <v>5.6959129999999997E-2</v>
      </c>
      <c r="X5438">
        <v>0.99743459999999995</v>
      </c>
      <c r="Y5438">
        <v>0.13734789999999999</v>
      </c>
      <c r="Z5438">
        <v>-2.0472569999999999E-2</v>
      </c>
      <c r="AA5438">
        <v>0.99031130000000001</v>
      </c>
      <c r="AB5438">
        <v>29</v>
      </c>
      <c r="AC5438">
        <v>0.48699999999996602</v>
      </c>
      <c r="AD5438">
        <v>-0.25103059999999999</v>
      </c>
      <c r="AE5438">
        <v>-0.11480000000003</v>
      </c>
      <c r="AF5438">
        <v>9.0234727274079898E-2</v>
      </c>
      <c r="AG5438">
        <v>-0.25103059999999999</v>
      </c>
      <c r="AH5438">
        <v>0.38941197487753498</v>
      </c>
      <c r="AI5438">
        <v>122.128843927161</v>
      </c>
      <c r="AJ5438">
        <v>76.953647530323195</v>
      </c>
      <c r="AK5438">
        <v>0.47201732417424003</v>
      </c>
      <c r="AL5438">
        <v>86.734715053073302</v>
      </c>
      <c r="AM5438">
        <v>87.510953443846404</v>
      </c>
      <c r="AN5438">
        <v>1.0000000151963799</v>
      </c>
    </row>
    <row r="5439" spans="1:40" x14ac:dyDescent="0.25">
      <c r="A5439" t="str">
        <f>"20190312150801359"</f>
        <v>20190312150801359</v>
      </c>
      <c r="B5439" t="str">
        <f>"1552374481345351"</f>
        <v>1552374481345351</v>
      </c>
      <c r="C5439" t="s">
        <v>40</v>
      </c>
      <c r="D5439">
        <v>4.3230329999999997</v>
      </c>
      <c r="E5439">
        <v>0.53834399999999905</v>
      </c>
      <c r="F5439" t="s">
        <v>41</v>
      </c>
      <c r="G5439">
        <v>-328.07639999999998</v>
      </c>
      <c r="H5439">
        <v>0.8679249</v>
      </c>
      <c r="I5439">
        <v>214.44370000000001</v>
      </c>
      <c r="J5439">
        <v>-328.53579999999999</v>
      </c>
      <c r="K5439">
        <v>1.1107049999999901</v>
      </c>
      <c r="L5439">
        <v>214.55520000000001</v>
      </c>
      <c r="M5439">
        <v>0.99990489999999999</v>
      </c>
      <c r="N5439">
        <v>0</v>
      </c>
      <c r="O5439">
        <v>-3.3713900000000002E-3</v>
      </c>
      <c r="P5439">
        <v>0.99798549999999997</v>
      </c>
      <c r="Q5439">
        <v>4.3523840000000001E-2</v>
      </c>
      <c r="R5439">
        <v>-4.616249E-2</v>
      </c>
      <c r="S5439">
        <v>3.0274350000000001</v>
      </c>
      <c r="T5439">
        <v>-0.98068480000000002</v>
      </c>
      <c r="U5439">
        <v>-0.4515228</v>
      </c>
      <c r="V5439">
        <v>4.2754109999999998E-2</v>
      </c>
      <c r="W5439">
        <v>5.6918660000000003E-2</v>
      </c>
      <c r="X5439">
        <v>0.99746290000000004</v>
      </c>
      <c r="Y5439">
        <v>0.13746320000000001</v>
      </c>
      <c r="Z5439">
        <v>-2.0538799999999999E-2</v>
      </c>
      <c r="AA5439">
        <v>0.99029389999999995</v>
      </c>
      <c r="AB5439">
        <v>29</v>
      </c>
      <c r="AC5439">
        <v>0.45940000000001602</v>
      </c>
      <c r="AD5439">
        <v>-0.242780099999999</v>
      </c>
      <c r="AE5439">
        <v>-0.111500000000006</v>
      </c>
      <c r="AF5439">
        <v>8.7003549599551103E-2</v>
      </c>
      <c r="AG5439">
        <v>-0.242780099999999</v>
      </c>
      <c r="AH5439">
        <v>0.36381775659892002</v>
      </c>
      <c r="AI5439">
        <v>122.98407405686</v>
      </c>
      <c r="AJ5439">
        <v>76.550841031028796</v>
      </c>
      <c r="AK5439">
        <v>0.44595420685940701</v>
      </c>
      <c r="AL5439">
        <v>86.737037343126701</v>
      </c>
      <c r="AM5439">
        <v>87.545641509195804</v>
      </c>
      <c r="AN5439">
        <v>0.99999994232724698</v>
      </c>
    </row>
    <row r="5440" spans="1:40" x14ac:dyDescent="0.25">
      <c r="A5440" t="str">
        <f>"20190312150801382"</f>
        <v>20190312150801382</v>
      </c>
      <c r="B5440" t="str">
        <f>"1552374481375608"</f>
        <v>1552374481375608</v>
      </c>
      <c r="C5440" t="s">
        <v>40</v>
      </c>
      <c r="D5440">
        <v>4.3146100000000001</v>
      </c>
      <c r="E5440">
        <v>0.53870249999999997</v>
      </c>
      <c r="F5440" t="s">
        <v>41</v>
      </c>
      <c r="G5440">
        <v>-327.81310000000002</v>
      </c>
      <c r="H5440">
        <v>0.87765219999999899</v>
      </c>
      <c r="I5440">
        <v>214.44739999999999</v>
      </c>
      <c r="J5440">
        <v>-328.23779999999999</v>
      </c>
      <c r="K5440">
        <v>1.1106860000000001</v>
      </c>
      <c r="L5440">
        <v>214.5547</v>
      </c>
      <c r="M5440">
        <v>0.99990849999999998</v>
      </c>
      <c r="N5440">
        <v>0</v>
      </c>
      <c r="O5440">
        <v>-2.9103110000000001E-3</v>
      </c>
      <c r="P5440">
        <v>0.99801989999999996</v>
      </c>
      <c r="Q5440">
        <v>4.3348850000000001E-2</v>
      </c>
      <c r="R5440">
        <v>-4.5573799999999998E-2</v>
      </c>
      <c r="S5440">
        <v>3.0278019999999999</v>
      </c>
      <c r="T5440">
        <v>-0.97644390000000003</v>
      </c>
      <c r="U5440">
        <v>-0.45031739999999998</v>
      </c>
      <c r="V5440">
        <v>4.262527E-2</v>
      </c>
      <c r="W5440">
        <v>5.6564469999999999E-2</v>
      </c>
      <c r="X5440">
        <v>0.99748859999999995</v>
      </c>
      <c r="Y5440">
        <v>0.1375468</v>
      </c>
      <c r="Z5440">
        <v>-2.0609800000000001E-2</v>
      </c>
      <c r="AA5440">
        <v>0.99028079999999996</v>
      </c>
      <c r="AB5440">
        <v>29</v>
      </c>
      <c r="AC5440">
        <v>0.42469999999997199</v>
      </c>
      <c r="AD5440">
        <v>-0.23303380000000001</v>
      </c>
      <c r="AE5440">
        <v>-0.107300000000009</v>
      </c>
      <c r="AF5440">
        <v>8.2667710281252499E-2</v>
      </c>
      <c r="AG5440">
        <v>-0.23303380000000001</v>
      </c>
      <c r="AH5440">
        <v>0.33126069700337202</v>
      </c>
      <c r="AI5440">
        <v>124.315215623607</v>
      </c>
      <c r="AJ5440">
        <v>75.987764487128302</v>
      </c>
      <c r="AK5440">
        <v>0.41336709066487798</v>
      </c>
      <c r="AL5440">
        <v>86.757363806683699</v>
      </c>
      <c r="AM5440">
        <v>87.553091711623495</v>
      </c>
      <c r="AN5440">
        <v>0.999999980019456</v>
      </c>
    </row>
    <row r="5441" spans="1:40" x14ac:dyDescent="0.25">
      <c r="A5441" t="str">
        <f>"20190312150801405"</f>
        <v>20190312150801405</v>
      </c>
      <c r="B5441" t="str">
        <f>"1552374481395127"</f>
        <v>1552374481395127</v>
      </c>
      <c r="C5441" t="s">
        <v>40</v>
      </c>
      <c r="D5441">
        <v>4.3056590000000003</v>
      </c>
      <c r="E5441">
        <v>0.53885810000000001</v>
      </c>
      <c r="F5441" t="s">
        <v>41</v>
      </c>
      <c r="G5441">
        <v>-327.54899999999998</v>
      </c>
      <c r="H5441">
        <v>0.88909729999999998</v>
      </c>
      <c r="I5441">
        <v>214.45189999999999</v>
      </c>
      <c r="J5441">
        <v>-327.93880000000001</v>
      </c>
      <c r="K5441">
        <v>1.1106780000000001</v>
      </c>
      <c r="L5441">
        <v>214.55430000000001</v>
      </c>
      <c r="M5441">
        <v>0.99991229999999998</v>
      </c>
      <c r="N5441">
        <v>0</v>
      </c>
      <c r="O5441">
        <v>-2.42165E-3</v>
      </c>
      <c r="P5441">
        <v>0.99801390000000001</v>
      </c>
      <c r="Q5441">
        <v>4.4101849999999998E-2</v>
      </c>
      <c r="R5441">
        <v>-4.4981889999999997E-2</v>
      </c>
      <c r="S5441">
        <v>3.0276489999999998</v>
      </c>
      <c r="T5441">
        <v>-0.97410430000000003</v>
      </c>
      <c r="U5441">
        <v>-0.45117190000000001</v>
      </c>
      <c r="V5441">
        <v>4.251862E-2</v>
      </c>
      <c r="W5441">
        <v>5.7135270000000002E-2</v>
      </c>
      <c r="X5441">
        <v>0.99746069999999998</v>
      </c>
      <c r="Y5441">
        <v>0.1382814</v>
      </c>
      <c r="Z5441">
        <v>-2.0830580000000001E-2</v>
      </c>
      <c r="AA5441">
        <v>0.99017390000000005</v>
      </c>
      <c r="AB5441">
        <v>29</v>
      </c>
      <c r="AC5441">
        <v>0.389799999999979</v>
      </c>
      <c r="AD5441">
        <v>-0.22158069999999999</v>
      </c>
      <c r="AE5441">
        <v>-0.10240000000001701</v>
      </c>
      <c r="AF5441">
        <v>7.7906649283982596E-2</v>
      </c>
      <c r="AG5441">
        <v>-0.22158069999999999</v>
      </c>
      <c r="AH5441">
        <v>0.29951254935796701</v>
      </c>
      <c r="AI5441">
        <v>125.601902268149</v>
      </c>
      <c r="AJ5441">
        <v>75.419801649090701</v>
      </c>
      <c r="AK5441">
        <v>0.380624775649269</v>
      </c>
      <c r="AL5441">
        <v>86.724606659862005</v>
      </c>
      <c r="AM5441">
        <v>87.559138364126696</v>
      </c>
      <c r="AN5441">
        <v>1.00000006008458</v>
      </c>
    </row>
    <row r="5442" spans="1:40" x14ac:dyDescent="0.25">
      <c r="A5442" t="str">
        <f>"20190312150801427"</f>
        <v>20190312150801427</v>
      </c>
      <c r="B5442" t="str">
        <f>"1552374481415625"</f>
        <v>1552374481415625</v>
      </c>
      <c r="C5442" t="s">
        <v>40</v>
      </c>
      <c r="D5442">
        <v>4.2636139999999996</v>
      </c>
      <c r="E5442">
        <v>0.53910319999999901</v>
      </c>
      <c r="F5442" t="s">
        <v>41</v>
      </c>
      <c r="G5442">
        <v>-327.05439999999999</v>
      </c>
      <c r="H5442">
        <v>0.82753779999999999</v>
      </c>
      <c r="I5442">
        <v>214.42240000000001</v>
      </c>
      <c r="J5442">
        <v>-327.65600000000001</v>
      </c>
      <c r="K5442">
        <v>1.1106830000000001</v>
      </c>
      <c r="L5442">
        <v>214.55410000000001</v>
      </c>
      <c r="M5442">
        <v>0.99991560000000002</v>
      </c>
      <c r="N5442">
        <v>0</v>
      </c>
      <c r="O5442">
        <v>-1.9255349999999999E-3</v>
      </c>
      <c r="P5442">
        <v>0.99801629999999997</v>
      </c>
      <c r="Q5442">
        <v>4.4871069999999999E-2</v>
      </c>
      <c r="R5442">
        <v>-4.4164290000000002E-2</v>
      </c>
      <c r="S5442">
        <v>3.0285030000000002</v>
      </c>
      <c r="T5442">
        <v>-0.96957850000000001</v>
      </c>
      <c r="U5442">
        <v>-0.45080569999999998</v>
      </c>
      <c r="V5442">
        <v>4.2191949999999999E-2</v>
      </c>
      <c r="W5442">
        <v>5.773462E-2</v>
      </c>
      <c r="X5442">
        <v>0.99743999999999999</v>
      </c>
      <c r="Y5442">
        <v>0.13863699999999901</v>
      </c>
      <c r="Z5442">
        <v>-2.0942410000000002E-2</v>
      </c>
      <c r="AA5442">
        <v>0.99012180000000005</v>
      </c>
      <c r="AB5442">
        <v>29</v>
      </c>
      <c r="AC5442">
        <v>0.60160000000001901</v>
      </c>
      <c r="AD5442">
        <v>-0.28314519999999999</v>
      </c>
      <c r="AE5442">
        <v>-0.13169999999999499</v>
      </c>
      <c r="AF5442">
        <v>0.107762047669323</v>
      </c>
      <c r="AG5442">
        <v>-0.28314519999999999</v>
      </c>
      <c r="AH5442">
        <v>0.49683033900298801</v>
      </c>
      <c r="AI5442">
        <v>119.115742036086</v>
      </c>
      <c r="AJ5442">
        <v>77.762158264040096</v>
      </c>
      <c r="AK5442">
        <v>0.58191429691557695</v>
      </c>
      <c r="AL5442">
        <v>86.690209457031898</v>
      </c>
      <c r="AM5442">
        <v>87.577818844325606</v>
      </c>
      <c r="AN5442">
        <v>1.0000000002956699</v>
      </c>
    </row>
    <row r="5443" spans="1:40" x14ac:dyDescent="0.25">
      <c r="A5443" t="str">
        <f>"20190312150801447"</f>
        <v>20190312150801447</v>
      </c>
      <c r="B5443" t="str">
        <f>"1552374481435144"</f>
        <v>1552374481435144</v>
      </c>
      <c r="C5443" t="s">
        <v>40</v>
      </c>
      <c r="D5443">
        <v>4.298394</v>
      </c>
      <c r="E5443">
        <v>0.53935290000000002</v>
      </c>
      <c r="F5443" t="s">
        <v>41</v>
      </c>
      <c r="G5443">
        <v>-326.79169999999999</v>
      </c>
      <c r="H5443">
        <v>0.83508169999999904</v>
      </c>
      <c r="I5443">
        <v>214.4254</v>
      </c>
      <c r="J5443">
        <v>-327.38389999999998</v>
      </c>
      <c r="K5443">
        <v>1.110703</v>
      </c>
      <c r="L5443">
        <v>214.55410000000001</v>
      </c>
      <c r="M5443">
        <v>0.99991850000000004</v>
      </c>
      <c r="N5443">
        <v>0</v>
      </c>
      <c r="O5443">
        <v>-1.421393E-3</v>
      </c>
      <c r="P5443">
        <v>0.99802440000000003</v>
      </c>
      <c r="Q5443">
        <v>4.555186E-2</v>
      </c>
      <c r="R5443">
        <v>-4.327516E-2</v>
      </c>
      <c r="S5443">
        <v>3.0294490000000001</v>
      </c>
      <c r="T5443">
        <v>-0.96587920000000005</v>
      </c>
      <c r="U5443">
        <v>-0.4505615</v>
      </c>
      <c r="V5443">
        <v>4.1801520000000002E-2</v>
      </c>
      <c r="W5443">
        <v>5.8259690000000003E-2</v>
      </c>
      <c r="X5443">
        <v>0.99742589999999998</v>
      </c>
      <c r="Y5443">
        <v>0.13902300000000001</v>
      </c>
      <c r="Z5443">
        <v>-2.1076000000000001E-2</v>
      </c>
      <c r="AA5443">
        <v>0.99006490000000003</v>
      </c>
      <c r="AB5443">
        <v>29</v>
      </c>
      <c r="AC5443">
        <v>0.59219999999999096</v>
      </c>
      <c r="AD5443">
        <v>-0.27562130000000001</v>
      </c>
      <c r="AE5443">
        <v>-0.128700000000009</v>
      </c>
      <c r="AF5443">
        <v>0.105943990811331</v>
      </c>
      <c r="AG5443">
        <v>-0.27562130000000001</v>
      </c>
      <c r="AH5443">
        <v>0.49085175788990498</v>
      </c>
      <c r="AI5443">
        <v>118.761371146646</v>
      </c>
      <c r="AJ5443">
        <v>77.820287778819605</v>
      </c>
      <c r="AK5443">
        <v>0.57282342691821797</v>
      </c>
      <c r="AL5443">
        <v>86.660074410090104</v>
      </c>
      <c r="AM5443">
        <v>87.600172675907004</v>
      </c>
      <c r="AN5443">
        <v>0.99999999227200798</v>
      </c>
    </row>
    <row r="5444" spans="1:40" x14ac:dyDescent="0.25">
      <c r="A5444" t="str">
        <f>"20190312150801472"</f>
        <v>20190312150801472</v>
      </c>
      <c r="B5444" t="str">
        <f>"1552374481465400"</f>
        <v>1552374481465400</v>
      </c>
      <c r="C5444" t="s">
        <v>40</v>
      </c>
      <c r="D5444">
        <v>4.7337689999999997</v>
      </c>
      <c r="E5444">
        <v>0.53958809999999902</v>
      </c>
      <c r="F5444" t="s">
        <v>41</v>
      </c>
      <c r="G5444">
        <v>-326.5301</v>
      </c>
      <c r="H5444">
        <v>0.83957719999999902</v>
      </c>
      <c r="I5444">
        <v>214.4271</v>
      </c>
      <c r="J5444">
        <v>-327.07369999999997</v>
      </c>
      <c r="K5444">
        <v>1.110725</v>
      </c>
      <c r="L5444">
        <v>214.55439999999999</v>
      </c>
      <c r="M5444">
        <v>0.99992119999999995</v>
      </c>
      <c r="N5444">
        <v>0</v>
      </c>
      <c r="O5444">
        <v>-8.0638740000000002E-4</v>
      </c>
      <c r="P5444">
        <v>0.99802570000000002</v>
      </c>
      <c r="Q5444">
        <v>4.6389130000000001E-2</v>
      </c>
      <c r="R5444">
        <v>-4.2341780000000002E-2</v>
      </c>
      <c r="S5444">
        <v>3.0304259999999998</v>
      </c>
      <c r="T5444">
        <v>-0.9623621</v>
      </c>
      <c r="U5444">
        <v>-0.44923400000000002</v>
      </c>
      <c r="V5444">
        <v>4.1476890000000002E-2</v>
      </c>
      <c r="W5444">
        <v>5.8930400000000001E-2</v>
      </c>
      <c r="X5444">
        <v>0.99739999999999995</v>
      </c>
      <c r="Y5444">
        <v>0.13917470000000001</v>
      </c>
      <c r="Z5444">
        <v>-2.1210099999999999E-2</v>
      </c>
      <c r="AA5444">
        <v>0.9900407</v>
      </c>
      <c r="AB5444">
        <v>29</v>
      </c>
      <c r="AC5444">
        <v>0.543599999999969</v>
      </c>
      <c r="AD5444">
        <v>-0.27114779999999999</v>
      </c>
      <c r="AE5444">
        <v>-0.127299999999991</v>
      </c>
      <c r="AF5444">
        <v>0.10264988157844999</v>
      </c>
      <c r="AG5444">
        <v>-0.27114779999999999</v>
      </c>
      <c r="AH5444">
        <v>0.43993618203719198</v>
      </c>
      <c r="AI5444">
        <v>120.972704088835</v>
      </c>
      <c r="AJ5444">
        <v>76.866211654040995</v>
      </c>
      <c r="AK5444">
        <v>0.52687946619542103</v>
      </c>
      <c r="AL5444">
        <v>86.621579246727293</v>
      </c>
      <c r="AM5444">
        <v>87.618726400534499</v>
      </c>
      <c r="AN5444">
        <v>0.99999994222411404</v>
      </c>
    </row>
    <row r="5445" spans="1:40" x14ac:dyDescent="0.25">
      <c r="A5445" t="str">
        <f>"20190312150801494"</f>
        <v>20190312150801494</v>
      </c>
      <c r="B5445" t="str">
        <f>"1552374481485895"</f>
        <v>1552374481485895</v>
      </c>
      <c r="C5445" t="s">
        <v>40</v>
      </c>
      <c r="D5445">
        <v>4.2785010000000003</v>
      </c>
      <c r="E5445">
        <v>0.53968729999999998</v>
      </c>
      <c r="F5445" t="s">
        <v>41</v>
      </c>
      <c r="G5445">
        <v>-326.26409999999998</v>
      </c>
      <c r="H5445">
        <v>0.85497209999999901</v>
      </c>
      <c r="I5445">
        <v>214.43459999999999</v>
      </c>
      <c r="J5445">
        <v>-326.77980000000002</v>
      </c>
      <c r="K5445">
        <v>1.1107469999999999</v>
      </c>
      <c r="L5445">
        <v>214.5548</v>
      </c>
      <c r="M5445">
        <v>0.99992329999999996</v>
      </c>
      <c r="N5445">
        <v>0</v>
      </c>
      <c r="O5445">
        <v>-1.792749E-4</v>
      </c>
      <c r="P5445">
        <v>0.99803109999999995</v>
      </c>
      <c r="Q5445">
        <v>4.7581409999999998E-2</v>
      </c>
      <c r="R5445">
        <v>-4.0865560000000002E-2</v>
      </c>
      <c r="S5445">
        <v>3.0314329999999998</v>
      </c>
      <c r="T5445">
        <v>-0.95756750000000002</v>
      </c>
      <c r="U5445">
        <v>-0.44830320000000001</v>
      </c>
      <c r="V5445">
        <v>4.0620870000000003E-2</v>
      </c>
      <c r="W5445">
        <v>5.9975680000000003E-2</v>
      </c>
      <c r="X5445">
        <v>0.99737299999999995</v>
      </c>
      <c r="Y5445">
        <v>0.13947419999999999</v>
      </c>
      <c r="Z5445">
        <v>-2.134146E-2</v>
      </c>
      <c r="AA5445">
        <v>0.98999570000000003</v>
      </c>
      <c r="AB5445">
        <v>29</v>
      </c>
      <c r="AC5445">
        <v>0.51570000000003802</v>
      </c>
      <c r="AD5445">
        <v>-0.25577489999999897</v>
      </c>
      <c r="AE5445">
        <v>-0.12020000000001101</v>
      </c>
      <c r="AF5445">
        <v>9.7385783835323494E-2</v>
      </c>
      <c r="AG5445">
        <v>-0.25577489999999897</v>
      </c>
      <c r="AH5445">
        <v>0.418158152964688</v>
      </c>
      <c r="AI5445">
        <v>120.78343219368701</v>
      </c>
      <c r="AJ5445">
        <v>76.8899485615581</v>
      </c>
      <c r="AK5445">
        <v>0.49976097412069898</v>
      </c>
      <c r="AL5445">
        <v>86.561583245890006</v>
      </c>
      <c r="AM5445">
        <v>87.667754367806296</v>
      </c>
      <c r="AN5445">
        <v>1.0000000192</v>
      </c>
    </row>
    <row r="5446" spans="1:40" x14ac:dyDescent="0.25">
      <c r="A5446" t="str">
        <f>"20190312150801516"</f>
        <v>20190312150801516</v>
      </c>
      <c r="B5446" t="str">
        <f>"1552374481505416"</f>
        <v>1552374481505416</v>
      </c>
      <c r="C5446" t="s">
        <v>40</v>
      </c>
      <c r="D5446">
        <v>4.4305149999999998</v>
      </c>
      <c r="E5446">
        <v>0.53958799999999996</v>
      </c>
      <c r="F5446" t="s">
        <v>41</v>
      </c>
      <c r="G5446">
        <v>-325.99950000000001</v>
      </c>
      <c r="H5446">
        <v>0.86626489999999901</v>
      </c>
      <c r="I5446">
        <v>214.4401</v>
      </c>
      <c r="J5446">
        <v>-326.4984</v>
      </c>
      <c r="K5446">
        <v>1.110771</v>
      </c>
      <c r="L5446">
        <v>214.55539999999999</v>
      </c>
      <c r="M5446">
        <v>0.99992499999999995</v>
      </c>
      <c r="N5446">
        <v>0</v>
      </c>
      <c r="O5446">
        <v>4.6260019999999998E-4</v>
      </c>
      <c r="P5446">
        <v>0.99801830000000002</v>
      </c>
      <c r="Q5446">
        <v>4.9258490000000002E-2</v>
      </c>
      <c r="R5446">
        <v>-3.9152449999999998E-2</v>
      </c>
      <c r="S5446">
        <v>3.032959</v>
      </c>
      <c r="T5446">
        <v>-0.9502486</v>
      </c>
      <c r="U5446">
        <v>-0.44503779999999998</v>
      </c>
      <c r="V5446">
        <v>3.9542220000000003E-2</v>
      </c>
      <c r="W5446">
        <v>6.1523010000000003E-2</v>
      </c>
      <c r="X5446">
        <v>0.99732209999999999</v>
      </c>
      <c r="Y5446">
        <v>0.13908589999999901</v>
      </c>
      <c r="Z5446">
        <v>-2.1313519999999999E-2</v>
      </c>
      <c r="AA5446">
        <v>0.99005089999999996</v>
      </c>
      <c r="AB5446">
        <v>29</v>
      </c>
      <c r="AC5446">
        <v>0.49889999999999102</v>
      </c>
      <c r="AD5446">
        <v>-0.2445061</v>
      </c>
      <c r="AE5446">
        <v>-0.11529999999998999</v>
      </c>
      <c r="AF5446">
        <v>9.4079662669157404E-2</v>
      </c>
      <c r="AG5446">
        <v>-0.2445061</v>
      </c>
      <c r="AH5446">
        <v>0.40622346468098602</v>
      </c>
      <c r="AI5446">
        <v>120.38651347423099</v>
      </c>
      <c r="AJ5446">
        <v>76.960425057151397</v>
      </c>
      <c r="AK5446">
        <v>0.48337533979566699</v>
      </c>
      <c r="AL5446">
        <v>86.472763716320998</v>
      </c>
      <c r="AM5446">
        <v>87.729503572533503</v>
      </c>
      <c r="AN5446">
        <v>1.0000000195351899</v>
      </c>
    </row>
    <row r="5447" spans="1:40" x14ac:dyDescent="0.25">
      <c r="A5447" t="str">
        <f>"20190312150801537"</f>
        <v>20190312150801537</v>
      </c>
      <c r="B5447" t="str">
        <f>"1552374481525912"</f>
        <v>1552374481525912</v>
      </c>
      <c r="C5447" t="s">
        <v>40</v>
      </c>
      <c r="D5447">
        <v>4.3864919999999996</v>
      </c>
      <c r="E5447">
        <v>0.50268159999999995</v>
      </c>
      <c r="F5447" t="s">
        <v>41</v>
      </c>
      <c r="G5447">
        <v>-325.7364</v>
      </c>
      <c r="H5447">
        <v>0.87383909999999998</v>
      </c>
      <c r="I5447">
        <v>214.4452</v>
      </c>
      <c r="J5447">
        <v>-326.21629999999999</v>
      </c>
      <c r="K5447">
        <v>1.1107929999999999</v>
      </c>
      <c r="L5447">
        <v>214.55619999999999</v>
      </c>
      <c r="M5447">
        <v>0.99992599999999998</v>
      </c>
      <c r="N5447">
        <v>0</v>
      </c>
      <c r="O5447">
        <v>1.1417230000000001E-3</v>
      </c>
      <c r="P5447">
        <v>0.99801110000000004</v>
      </c>
      <c r="Q5447">
        <v>5.078676E-2</v>
      </c>
      <c r="R5447">
        <v>-3.7346829999999998E-2</v>
      </c>
      <c r="S5447">
        <v>3.0353089999999998</v>
      </c>
      <c r="T5447">
        <v>-0.94375679999999995</v>
      </c>
      <c r="U5447">
        <v>-0.438446</v>
      </c>
      <c r="V5447">
        <v>3.8408270000000001E-2</v>
      </c>
      <c r="W5447">
        <v>6.2925990000000001E-2</v>
      </c>
      <c r="X5447">
        <v>0.99727889999999997</v>
      </c>
      <c r="Y5447">
        <v>0.1376704</v>
      </c>
      <c r="Z5447">
        <v>-2.1153370000000001E-2</v>
      </c>
      <c r="AA5447">
        <v>0.99025220000000003</v>
      </c>
      <c r="AB5447">
        <v>29</v>
      </c>
      <c r="AC5447">
        <v>0.479899999999986</v>
      </c>
      <c r="AD5447">
        <v>-0.236953899999999</v>
      </c>
      <c r="AE5447">
        <v>-0.11099999999999</v>
      </c>
      <c r="AF5447">
        <v>9.0585098709365902E-2</v>
      </c>
      <c r="AG5447">
        <v>-0.236953899999999</v>
      </c>
      <c r="AH5447">
        <v>0.38961098547283901</v>
      </c>
      <c r="AI5447">
        <v>120.641666782051</v>
      </c>
      <c r="AJ5447">
        <v>76.911191231103203</v>
      </c>
      <c r="AK5447">
        <v>0.46491884327752597</v>
      </c>
      <c r="AL5447">
        <v>86.392222878109493</v>
      </c>
      <c r="AM5447">
        <v>87.794453785239497</v>
      </c>
      <c r="AN5447">
        <v>1.00000003990354</v>
      </c>
    </row>
    <row r="5448" spans="1:40" x14ac:dyDescent="0.25">
      <c r="A5448" t="str">
        <f>"20190312150801560"</f>
        <v>20190312150801560</v>
      </c>
      <c r="B5448" t="str">
        <f>"1552374481555192"</f>
        <v>1552374481555192</v>
      </c>
      <c r="C5448" t="s">
        <v>40</v>
      </c>
      <c r="D5448">
        <v>4.3320069999999999</v>
      </c>
      <c r="E5448">
        <v>0.49021949999999997</v>
      </c>
      <c r="F5448" t="s">
        <v>41</v>
      </c>
      <c r="G5448">
        <v>-325.41770000000002</v>
      </c>
      <c r="H5448">
        <v>1.000583</v>
      </c>
      <c r="I5448">
        <v>214.52</v>
      </c>
      <c r="J5448">
        <v>-325.92919999999998</v>
      </c>
      <c r="K5448">
        <v>1.1108199999999999</v>
      </c>
      <c r="L5448">
        <v>214.5574</v>
      </c>
      <c r="M5448">
        <v>0.99992630000000005</v>
      </c>
      <c r="N5448">
        <v>0</v>
      </c>
      <c r="O5448">
        <v>1.864585E-3</v>
      </c>
      <c r="P5448">
        <v>0.99803269999999999</v>
      </c>
      <c r="Q5448">
        <v>5.2229640000000001E-2</v>
      </c>
      <c r="R5448">
        <v>-3.4680120000000002E-2</v>
      </c>
      <c r="S5448">
        <v>3.022125</v>
      </c>
      <c r="T5448">
        <v>-0.41728340000000003</v>
      </c>
      <c r="U5448">
        <v>-0.13563539999999999</v>
      </c>
      <c r="V5448">
        <v>3.6457030000000001E-2</v>
      </c>
      <c r="W5448">
        <v>6.4247499999999999E-2</v>
      </c>
      <c r="X5448">
        <v>0.99726780000000004</v>
      </c>
      <c r="Y5448">
        <v>4.6242909999999998E-2</v>
      </c>
      <c r="Z5448">
        <v>-3.432006E-3</v>
      </c>
      <c r="AA5448">
        <v>0.99892429999999999</v>
      </c>
      <c r="AB5448">
        <v>29</v>
      </c>
      <c r="AC5448">
        <v>0.51149999999995499</v>
      </c>
      <c r="AD5448">
        <v>-0.110237</v>
      </c>
      <c r="AE5448">
        <v>-3.7399999999991003E-2</v>
      </c>
      <c r="AF5448">
        <v>3.6660022990409699E-2</v>
      </c>
      <c r="AG5448">
        <v>-0.110237</v>
      </c>
      <c r="AH5448">
        <v>0.48884445262357101</v>
      </c>
      <c r="AI5448">
        <v>102.67350168490201</v>
      </c>
      <c r="AJ5448">
        <v>85.711232566539906</v>
      </c>
      <c r="AK5448">
        <v>0.50245900560692103</v>
      </c>
      <c r="AL5448">
        <v>86.316352099504101</v>
      </c>
      <c r="AM5448">
        <v>87.906375612731196</v>
      </c>
      <c r="AN5448">
        <v>0.99999996060475405</v>
      </c>
    </row>
    <row r="5449" spans="1:40" x14ac:dyDescent="0.25">
      <c r="A5449" t="str">
        <f>"20190312150801583"</f>
        <v>20190312150801583</v>
      </c>
      <c r="B5449" t="str">
        <f>"1552374481575688"</f>
        <v>1552374481575688</v>
      </c>
      <c r="C5449" t="s">
        <v>40</v>
      </c>
      <c r="D5449">
        <v>4.3989120000000002</v>
      </c>
      <c r="E5449">
        <v>0.48828569999999999</v>
      </c>
      <c r="F5449" t="s">
        <v>41</v>
      </c>
      <c r="G5449">
        <v>-325.13529999999997</v>
      </c>
      <c r="H5449">
        <v>1.040665</v>
      </c>
      <c r="I5449">
        <v>214.5498</v>
      </c>
      <c r="J5449">
        <v>-325.62349999999998</v>
      </c>
      <c r="K5449">
        <v>1.1108389999999999</v>
      </c>
      <c r="L5449">
        <v>214.55869999999999</v>
      </c>
      <c r="M5449">
        <v>0.99992599999999998</v>
      </c>
      <c r="N5449">
        <v>0</v>
      </c>
      <c r="O5449">
        <v>2.6605259999999999E-3</v>
      </c>
      <c r="P5449">
        <v>0.99802349999999995</v>
      </c>
      <c r="Q5449">
        <v>5.4069159999999998E-2</v>
      </c>
      <c r="R5449">
        <v>-3.203056E-2</v>
      </c>
      <c r="S5449">
        <v>3.0189210000000002</v>
      </c>
      <c r="T5449">
        <v>-0.26698139999999998</v>
      </c>
      <c r="U5449">
        <v>-2.7435299999999999E-2</v>
      </c>
      <c r="V5449">
        <v>3.4595559999999997E-2</v>
      </c>
      <c r="W5449">
        <v>6.5963800000000003E-2</v>
      </c>
      <c r="X5449">
        <v>0.9972221</v>
      </c>
      <c r="Y5449">
        <v>1.1691969999999999E-2</v>
      </c>
      <c r="Z5449">
        <v>-7.5081859999999998E-4</v>
      </c>
      <c r="AA5449">
        <v>0.99993129999999997</v>
      </c>
      <c r="AB5449">
        <v>29</v>
      </c>
      <c r="AC5449">
        <v>0.48820000000000602</v>
      </c>
      <c r="AD5449">
        <v>-7.0173999999999903E-2</v>
      </c>
      <c r="AE5449">
        <v>-8.8999999999828001E-3</v>
      </c>
      <c r="AF5449">
        <v>9.99253890945845E-3</v>
      </c>
      <c r="AG5449">
        <v>-7.0173999999999903E-2</v>
      </c>
      <c r="AH5449">
        <v>0.47829568077135898</v>
      </c>
      <c r="AI5449">
        <v>98.344906808622795</v>
      </c>
      <c r="AJ5449">
        <v>88.803152416633594</v>
      </c>
      <c r="AK5449">
        <v>0.483519388809171</v>
      </c>
      <c r="AL5449">
        <v>86.217806394636796</v>
      </c>
      <c r="AM5449">
        <v>88.013095630956698</v>
      </c>
      <c r="AN5449">
        <v>0.99999999620528102</v>
      </c>
    </row>
    <row r="5450" spans="1:40" x14ac:dyDescent="0.25">
      <c r="A5450" t="str">
        <f>"20190312150801605"</f>
        <v>20190312150801605</v>
      </c>
      <c r="B5450" t="str">
        <f>"1552374481595207"</f>
        <v>1552374481595207</v>
      </c>
      <c r="C5450" t="s">
        <v>40</v>
      </c>
      <c r="D5450">
        <v>4.6245050000000001</v>
      </c>
      <c r="E5450">
        <v>0.48732779999999998</v>
      </c>
      <c r="F5450" t="s">
        <v>68</v>
      </c>
      <c r="G5450">
        <v>-310.77910000000003</v>
      </c>
      <c r="H5450" s="1">
        <v>1.2511509999999999E-6</v>
      </c>
      <c r="I5450">
        <v>214.53890000000001</v>
      </c>
      <c r="J5450">
        <v>-325.33030000000002</v>
      </c>
      <c r="K5450">
        <v>1.110849</v>
      </c>
      <c r="L5450">
        <v>214.56039999999999</v>
      </c>
      <c r="M5450">
        <v>0.99992499999999995</v>
      </c>
      <c r="N5450">
        <v>0</v>
      </c>
      <c r="O5450">
        <v>3.4421199999999999E-3</v>
      </c>
      <c r="P5450">
        <v>0.99805719999999998</v>
      </c>
      <c r="Q5450">
        <v>5.4687270000000003E-2</v>
      </c>
      <c r="R5450">
        <v>-2.984769E-2</v>
      </c>
      <c r="S5450">
        <v>3.0180359999999999</v>
      </c>
      <c r="T5450">
        <v>-0.22584660000000001</v>
      </c>
      <c r="U5450">
        <v>-4.0283200000000002E-3</v>
      </c>
      <c r="V5450">
        <v>3.3189829999999997E-2</v>
      </c>
      <c r="W5450">
        <v>6.6467189999999995E-2</v>
      </c>
      <c r="X5450">
        <v>0.99723640000000002</v>
      </c>
      <c r="Y5450">
        <v>4.7541770000000001E-3</v>
      </c>
      <c r="Z5450">
        <v>-4.3487430000000002E-4</v>
      </c>
      <c r="AA5450">
        <v>0.99998860000000001</v>
      </c>
      <c r="AB5450">
        <v>29</v>
      </c>
      <c r="AC5450">
        <v>14.5511999999999</v>
      </c>
      <c r="AD5450">
        <v>-1.1108477488490001</v>
      </c>
      <c r="AE5450">
        <v>-2.1499999999974699E-2</v>
      </c>
      <c r="AF5450">
        <v>7.1175506951574499E-2</v>
      </c>
      <c r="AG5450">
        <v>-1.1108477488490001</v>
      </c>
      <c r="AH5450">
        <v>14.4667294288697</v>
      </c>
      <c r="AI5450">
        <v>94.390866118637305</v>
      </c>
      <c r="AJ5450">
        <v>89.718110214939699</v>
      </c>
      <c r="AK5450">
        <v>14.5094903095194</v>
      </c>
      <c r="AL5450">
        <v>86.188900637949004</v>
      </c>
      <c r="AM5450">
        <v>88.093796502327194</v>
      </c>
      <c r="AN5450">
        <v>0.99999994482344001</v>
      </c>
    </row>
    <row r="5451" spans="1:40" x14ac:dyDescent="0.25">
      <c r="A5451" t="str">
        <f>"20190312150801627"</f>
        <v>20190312150801627</v>
      </c>
      <c r="B5451" t="str">
        <f>"1552374481615704"</f>
        <v>1552374481615704</v>
      </c>
      <c r="C5451" t="s">
        <v>40</v>
      </c>
      <c r="D5451">
        <v>4.3483400000000003</v>
      </c>
      <c r="E5451">
        <v>0.4869349</v>
      </c>
      <c r="F5451" t="s">
        <v>68</v>
      </c>
      <c r="G5451">
        <v>-308.46690000000001</v>
      </c>
      <c r="H5451" s="1">
        <v>1.1513610000000001E-6</v>
      </c>
      <c r="I5451">
        <v>214.61869999999999</v>
      </c>
      <c r="J5451">
        <v>-325.05059999999997</v>
      </c>
      <c r="K5451">
        <v>1.1108549999999999</v>
      </c>
      <c r="L5451">
        <v>214.56209999999999</v>
      </c>
      <c r="M5451">
        <v>0.99992340000000002</v>
      </c>
      <c r="N5451">
        <v>0</v>
      </c>
      <c r="O5451">
        <v>4.1976050000000001E-3</v>
      </c>
      <c r="P5451">
        <v>0.99800520000000004</v>
      </c>
      <c r="Q5451">
        <v>5.6599070000000001E-2</v>
      </c>
      <c r="R5451">
        <v>-2.7975989999999999E-2</v>
      </c>
      <c r="S5451">
        <v>3.017029</v>
      </c>
      <c r="T5451">
        <v>-0.19874220000000001</v>
      </c>
      <c r="U5451">
        <v>1.043701E-2</v>
      </c>
      <c r="V5451">
        <v>3.2067610000000003E-2</v>
      </c>
      <c r="W5451">
        <v>6.8269830000000004E-2</v>
      </c>
      <c r="X5451">
        <v>0.99715140000000002</v>
      </c>
      <c r="Y5451">
        <v>7.2787310000000001E-4</v>
      </c>
      <c r="Z5451">
        <v>-3.0017599999999998E-4</v>
      </c>
      <c r="AA5451">
        <v>0.99999970000000005</v>
      </c>
      <c r="AB5451">
        <v>29</v>
      </c>
      <c r="AC5451">
        <v>16.583699999999901</v>
      </c>
      <c r="AD5451">
        <v>-1.1108538486389901</v>
      </c>
      <c r="AE5451">
        <v>5.6600000000003002E-2</v>
      </c>
      <c r="AF5451">
        <v>1.2958894813448101E-2</v>
      </c>
      <c r="AG5451">
        <v>-1.1108538486389901</v>
      </c>
      <c r="AH5451">
        <v>16.509714121956399</v>
      </c>
      <c r="AI5451">
        <v>93.849335501146399</v>
      </c>
      <c r="AJ5451">
        <v>89.955027093625304</v>
      </c>
      <c r="AK5451">
        <v>16.547048818285301</v>
      </c>
      <c r="AL5451">
        <v>86.085382023193304</v>
      </c>
      <c r="AM5451">
        <v>88.158047310042093</v>
      </c>
      <c r="AN5451">
        <v>1.0000000079106499</v>
      </c>
    </row>
    <row r="5452" spans="1:40" x14ac:dyDescent="0.25">
      <c r="A5452" t="str">
        <f>"20190312150801649"</f>
        <v>20190312150801649</v>
      </c>
      <c r="B5452" t="str">
        <f>"1552374481644984"</f>
        <v>1552374481644984</v>
      </c>
      <c r="C5452" t="s">
        <v>40</v>
      </c>
      <c r="D5452">
        <v>4.3506809999999998</v>
      </c>
      <c r="E5452">
        <v>0.4865988</v>
      </c>
      <c r="F5452" t="s">
        <v>68</v>
      </c>
      <c r="G5452">
        <v>-306.37360000000001</v>
      </c>
      <c r="H5452" s="1">
        <v>1.5226879999999999E-6</v>
      </c>
      <c r="I5452">
        <v>214.68129999999999</v>
      </c>
      <c r="J5452">
        <v>-324.7604</v>
      </c>
      <c r="K5452">
        <v>1.110857</v>
      </c>
      <c r="L5452">
        <v>214.5642</v>
      </c>
      <c r="M5452">
        <v>0.99992110000000001</v>
      </c>
      <c r="N5452">
        <v>0</v>
      </c>
      <c r="O5452">
        <v>4.9855730000000001E-3</v>
      </c>
      <c r="P5452">
        <v>0.99790800000000002</v>
      </c>
      <c r="Q5452">
        <v>5.8850439999999997E-2</v>
      </c>
      <c r="R5452">
        <v>-2.6767369999999999E-2</v>
      </c>
      <c r="S5452">
        <v>3.016724</v>
      </c>
      <c r="T5452">
        <v>-0.17942620000000001</v>
      </c>
      <c r="U5452">
        <v>1.9241330000000001E-2</v>
      </c>
      <c r="V5452">
        <v>3.1640929999999998E-2</v>
      </c>
      <c r="W5452">
        <v>7.0413279999999995E-2</v>
      </c>
      <c r="X5452">
        <v>0.99701600000000001</v>
      </c>
      <c r="Y5452">
        <v>-1.398549E-3</v>
      </c>
      <c r="Z5452">
        <v>-2.5472690000000002E-4</v>
      </c>
      <c r="AA5452">
        <v>0.99999899999999997</v>
      </c>
      <c r="AB5452">
        <v>29</v>
      </c>
      <c r="AC5452">
        <v>18.386799999999901</v>
      </c>
      <c r="AD5452">
        <v>-1.1108554773119901</v>
      </c>
      <c r="AE5452">
        <v>0.117099999999993</v>
      </c>
      <c r="AF5452">
        <v>-2.5331259650190601E-2</v>
      </c>
      <c r="AG5452">
        <v>-1.1108554773119901</v>
      </c>
      <c r="AH5452">
        <v>18.320287437590402</v>
      </c>
      <c r="AI5452">
        <v>93.469893092260307</v>
      </c>
      <c r="AJ5452">
        <v>90.079222192758905</v>
      </c>
      <c r="AK5452">
        <v>18.353952526911499</v>
      </c>
      <c r="AL5452">
        <v>85.962275175586399</v>
      </c>
      <c r="AM5452">
        <v>88.182292462390294</v>
      </c>
      <c r="AN5452">
        <v>1.0000000413538099</v>
      </c>
    </row>
    <row r="5453" spans="1:40" x14ac:dyDescent="0.25">
      <c r="A5453" t="str">
        <f>"20190312150801672"</f>
        <v>20190312150801672</v>
      </c>
      <c r="B5453" t="str">
        <f>"1552374481665484"</f>
        <v>1552374481665484</v>
      </c>
      <c r="C5453" t="s">
        <v>40</v>
      </c>
      <c r="D5453">
        <v>4.3396559999999997</v>
      </c>
      <c r="E5453">
        <v>0.48645820000000001</v>
      </c>
      <c r="F5453" t="s">
        <v>68</v>
      </c>
      <c r="G5453">
        <v>-304.05549999999999</v>
      </c>
      <c r="H5453" s="1">
        <v>1.93389E-6</v>
      </c>
      <c r="I5453">
        <v>214.7406</v>
      </c>
      <c r="J5453">
        <v>-324.46179999999998</v>
      </c>
      <c r="K5453">
        <v>1.1108640000000001</v>
      </c>
      <c r="L5453">
        <v>214.56649999999999</v>
      </c>
      <c r="M5453">
        <v>0.99991790000000003</v>
      </c>
      <c r="N5453">
        <v>0</v>
      </c>
      <c r="O5453">
        <v>5.7969809999999997E-3</v>
      </c>
      <c r="P5453">
        <v>0.99781039999999999</v>
      </c>
      <c r="Q5453">
        <v>6.0854720000000001E-2</v>
      </c>
      <c r="R5453">
        <v>-2.5912709999999999E-2</v>
      </c>
      <c r="S5453">
        <v>3.0165099999999998</v>
      </c>
      <c r="T5453">
        <v>-0.1618405</v>
      </c>
      <c r="U5453">
        <v>2.5711060000000001E-2</v>
      </c>
      <c r="V5453">
        <v>3.1592009999999997E-2</v>
      </c>
      <c r="W5453">
        <v>7.2311959999999995E-2</v>
      </c>
      <c r="X5453">
        <v>0.99688160000000003</v>
      </c>
      <c r="Y5453">
        <v>-2.7302540000000001E-3</v>
      </c>
      <c r="Z5453">
        <v>-2.376178E-4</v>
      </c>
      <c r="AA5453">
        <v>0.9999962</v>
      </c>
      <c r="AB5453">
        <v>29</v>
      </c>
      <c r="AC5453">
        <v>20.406299999999899</v>
      </c>
      <c r="AD5453">
        <v>-1.1108620661099999</v>
      </c>
      <c r="AE5453">
        <v>0.174100000000009</v>
      </c>
      <c r="AF5453">
        <v>-5.5629574937966698E-2</v>
      </c>
      <c r="AG5453">
        <v>-1.1108620661099999</v>
      </c>
      <c r="AH5453">
        <v>20.3466752439749</v>
      </c>
      <c r="AI5453">
        <v>93.125048318162399</v>
      </c>
      <c r="AJ5453">
        <v>90.1566512405509</v>
      </c>
      <c r="AK5453">
        <v>20.377053336125702</v>
      </c>
      <c r="AL5453">
        <v>85.853210572562205</v>
      </c>
      <c r="AM5453">
        <v>88.184856414866104</v>
      </c>
      <c r="AN5453">
        <v>0.99999999953672003</v>
      </c>
    </row>
    <row r="5454" spans="1:40" x14ac:dyDescent="0.25">
      <c r="A5454" t="str">
        <f>"20190312150801694"</f>
        <v>20190312150801694</v>
      </c>
      <c r="B5454" t="str">
        <f>"1552374481685003"</f>
        <v>1552374481685003</v>
      </c>
      <c r="C5454" t="s">
        <v>40</v>
      </c>
      <c r="D5454">
        <v>4.4208869999999996</v>
      </c>
      <c r="E5454">
        <v>0.48662810000000001</v>
      </c>
      <c r="F5454" t="s">
        <v>68</v>
      </c>
      <c r="G5454">
        <v>-302.3073</v>
      </c>
      <c r="H5454" s="1">
        <v>2.243993E-6</v>
      </c>
      <c r="I5454">
        <v>214.7852</v>
      </c>
      <c r="J5454">
        <v>-324.17090000000002</v>
      </c>
      <c r="K5454">
        <v>1.110868</v>
      </c>
      <c r="L5454">
        <v>214.56899999999999</v>
      </c>
      <c r="M5454">
        <v>0.99991410000000003</v>
      </c>
      <c r="N5454">
        <v>0</v>
      </c>
      <c r="O5454">
        <v>6.5852169999999896E-3</v>
      </c>
      <c r="P5454">
        <v>0.99762360000000005</v>
      </c>
      <c r="Q5454">
        <v>6.3975589999999999E-2</v>
      </c>
      <c r="R5454">
        <v>-2.5581860000000001E-2</v>
      </c>
      <c r="S5454">
        <v>3.0165709999999999</v>
      </c>
      <c r="T5454">
        <v>-0.15125549999999999</v>
      </c>
      <c r="U5454">
        <v>2.9769899999999998E-2</v>
      </c>
      <c r="V5454">
        <v>3.2041559999999997E-2</v>
      </c>
      <c r="W5454">
        <v>7.5332090000000004E-2</v>
      </c>
      <c r="X5454">
        <v>0.99664359999999996</v>
      </c>
      <c r="Y5454">
        <v>-3.286916E-3</v>
      </c>
      <c r="Z5454">
        <v>-2.4764250000000002E-4</v>
      </c>
      <c r="AA5454">
        <v>0.99999459999999996</v>
      </c>
      <c r="AB5454">
        <v>29</v>
      </c>
      <c r="AC5454">
        <v>21.863600000000002</v>
      </c>
      <c r="AD5454">
        <v>-1.1108657560070001</v>
      </c>
      <c r="AE5454">
        <v>0.21619999999998599</v>
      </c>
      <c r="AF5454">
        <v>-7.2023600977205393E-2</v>
      </c>
      <c r="AG5454">
        <v>-1.1108657560070001</v>
      </c>
      <c r="AH5454">
        <v>21.808256186248698</v>
      </c>
      <c r="AI5454">
        <v>92.915987866093005</v>
      </c>
      <c r="AJ5454">
        <v>90.189223444689006</v>
      </c>
      <c r="AK5454">
        <v>21.8366491937756</v>
      </c>
      <c r="AL5454">
        <v>85.679696469202995</v>
      </c>
      <c r="AM5454">
        <v>88.158605497488793</v>
      </c>
      <c r="AN5454">
        <v>1.00000002538598</v>
      </c>
    </row>
    <row r="5455" spans="1:40" x14ac:dyDescent="0.25">
      <c r="A5455" t="str">
        <f>"20190312150801716"</f>
        <v>20190312150801716</v>
      </c>
      <c r="B5455" t="str">
        <f>"1552374481705496"</f>
        <v>1552374481705496</v>
      </c>
      <c r="C5455" t="s">
        <v>40</v>
      </c>
      <c r="D5455">
        <v>4.3100719999999999</v>
      </c>
      <c r="E5455">
        <v>0.48674590000000001</v>
      </c>
      <c r="F5455" t="s">
        <v>68</v>
      </c>
      <c r="G5455">
        <v>-299.27980000000002</v>
      </c>
      <c r="H5455" s="1">
        <v>2.5404919999999999E-6</v>
      </c>
      <c r="I5455">
        <v>214.8109</v>
      </c>
      <c r="J5455">
        <v>-323.88889999999998</v>
      </c>
      <c r="K5455">
        <v>1.1108709999999999</v>
      </c>
      <c r="L5455">
        <v>214.57169999999999</v>
      </c>
      <c r="M5455">
        <v>0.99990979999999996</v>
      </c>
      <c r="N5455">
        <v>0</v>
      </c>
      <c r="O5455">
        <v>7.3465609999999997E-3</v>
      </c>
      <c r="P5455">
        <v>0.99743590000000004</v>
      </c>
      <c r="Q5455">
        <v>6.6880209999999995E-2</v>
      </c>
      <c r="R5455">
        <v>-2.54694E-2</v>
      </c>
      <c r="S5455">
        <v>3.0165709999999999</v>
      </c>
      <c r="T5455">
        <v>-0.13462669999999999</v>
      </c>
      <c r="U5455">
        <v>2.9312129999999999E-2</v>
      </c>
      <c r="V5455">
        <v>3.2682719999999998E-2</v>
      </c>
      <c r="W5455">
        <v>7.8136650000000002E-2</v>
      </c>
      <c r="X5455">
        <v>0.99640680000000004</v>
      </c>
      <c r="Y5455">
        <v>-2.3745860000000001E-3</v>
      </c>
      <c r="Z5455">
        <v>-2.7475479999999999E-4</v>
      </c>
      <c r="AA5455">
        <v>0.99999709999999997</v>
      </c>
      <c r="AB5455">
        <v>29</v>
      </c>
      <c r="AC5455">
        <v>24.609099999999899</v>
      </c>
      <c r="AD5455">
        <v>-1.1108684595079901</v>
      </c>
      <c r="AE5455">
        <v>0.23920000000000999</v>
      </c>
      <c r="AF5455">
        <v>-5.8271134677199098E-2</v>
      </c>
      <c r="AG5455">
        <v>-1.1108684595079901</v>
      </c>
      <c r="AH5455">
        <v>24.560152461528698</v>
      </c>
      <c r="AI5455">
        <v>92.5897455280424</v>
      </c>
      <c r="AJ5455">
        <v>90.135939051070693</v>
      </c>
      <c r="AK5455">
        <v>24.5853312605912</v>
      </c>
      <c r="AL5455">
        <v>85.518531687965904</v>
      </c>
      <c r="AM5455">
        <v>88.121338798943796</v>
      </c>
      <c r="AN5455">
        <v>1.0000000036730301</v>
      </c>
    </row>
    <row r="5456" spans="1:40" x14ac:dyDescent="0.25">
      <c r="A5456" t="str">
        <f>"20190312150801738"</f>
        <v>20190312150801738</v>
      </c>
      <c r="B5456" t="str">
        <f>"1552374481735772"</f>
        <v>1552374481735772</v>
      </c>
      <c r="C5456" t="s">
        <v>40</v>
      </c>
      <c r="D5456">
        <v>4.3242839999999996</v>
      </c>
      <c r="E5456">
        <v>0.48651939999999999</v>
      </c>
      <c r="F5456" t="s">
        <v>68</v>
      </c>
      <c r="G5456">
        <v>-296.35320000000002</v>
      </c>
      <c r="H5456" s="1">
        <v>2.0213629999999999E-6</v>
      </c>
      <c r="I5456">
        <v>214.8348</v>
      </c>
      <c r="J5456">
        <v>-323.59570000000002</v>
      </c>
      <c r="K5456">
        <v>1.110868</v>
      </c>
      <c r="L5456">
        <v>214.57470000000001</v>
      </c>
      <c r="M5456">
        <v>0.99990500000000004</v>
      </c>
      <c r="N5456">
        <v>0</v>
      </c>
      <c r="O5456">
        <v>8.136183E-3</v>
      </c>
      <c r="P5456">
        <v>0.9972512</v>
      </c>
      <c r="Q5456">
        <v>6.9725300000000004E-2</v>
      </c>
      <c r="R5456">
        <v>-2.5071909999999999E-2</v>
      </c>
      <c r="S5456">
        <v>3.0166019999999998</v>
      </c>
      <c r="T5456">
        <v>-0.1216984</v>
      </c>
      <c r="U5456">
        <v>2.8823850000000002E-2</v>
      </c>
      <c r="V5456">
        <v>3.306688E-2</v>
      </c>
      <c r="W5456">
        <v>8.0874070000000006E-2</v>
      </c>
      <c r="X5456">
        <v>0.99617560000000005</v>
      </c>
      <c r="Y5456">
        <v>-1.4234670000000001E-3</v>
      </c>
      <c r="Z5456">
        <v>-2.994095E-4</v>
      </c>
      <c r="AA5456">
        <v>0.99999890000000002</v>
      </c>
      <c r="AB5456">
        <v>29</v>
      </c>
      <c r="AC5456">
        <v>27.2425</v>
      </c>
      <c r="AD5456">
        <v>-1.1108659786370001</v>
      </c>
      <c r="AE5456">
        <v>0.260099999999994</v>
      </c>
      <c r="AF5456">
        <v>-3.8363919592257899E-2</v>
      </c>
      <c r="AG5456">
        <v>-1.1108659786370001</v>
      </c>
      <c r="AH5456">
        <v>27.198494103505201</v>
      </c>
      <c r="AI5456">
        <v>92.338824818659603</v>
      </c>
      <c r="AJ5456">
        <v>90.0808165780102</v>
      </c>
      <c r="AK5456">
        <v>27.221197190998499</v>
      </c>
      <c r="AL5456">
        <v>85.361190610794296</v>
      </c>
      <c r="AM5456">
        <v>88.098831887098896</v>
      </c>
      <c r="AN5456">
        <v>0.99999992989332698</v>
      </c>
    </row>
    <row r="5457" spans="1:40" x14ac:dyDescent="0.25">
      <c r="A5457" t="str">
        <f>"20190312150801761"</f>
        <v>20190312150801761</v>
      </c>
      <c r="B5457" t="str">
        <f>"1552374481755292"</f>
        <v>1552374481755292</v>
      </c>
      <c r="C5457" t="s">
        <v>40</v>
      </c>
      <c r="D5457">
        <v>4.3232869999999997</v>
      </c>
      <c r="E5457">
        <v>0.48648400000000003</v>
      </c>
      <c r="F5457" t="s">
        <v>68</v>
      </c>
      <c r="G5457">
        <v>-292.4982</v>
      </c>
      <c r="H5457" s="1">
        <v>1.337549E-6</v>
      </c>
      <c r="I5457">
        <v>214.90450000000001</v>
      </c>
      <c r="J5457">
        <v>-323.30079999999998</v>
      </c>
      <c r="K5457">
        <v>1.110865</v>
      </c>
      <c r="L5457">
        <v>214.5779</v>
      </c>
      <c r="M5457">
        <v>0.99989939999999999</v>
      </c>
      <c r="N5457">
        <v>0</v>
      </c>
      <c r="O5457">
        <v>8.9290229999999995E-3</v>
      </c>
      <c r="P5457">
        <v>0.99706209999999995</v>
      </c>
      <c r="Q5457">
        <v>7.2697520000000002E-2</v>
      </c>
      <c r="R5457">
        <v>-2.4129339999999999E-2</v>
      </c>
      <c r="S5457">
        <v>3.0166019999999998</v>
      </c>
      <c r="T5457">
        <v>-0.1077592</v>
      </c>
      <c r="U5457">
        <v>3.1997680000000001E-2</v>
      </c>
      <c r="V5457">
        <v>3.2908720000000002E-2</v>
      </c>
      <c r="W5457">
        <v>8.3735359999999995E-2</v>
      </c>
      <c r="X5457">
        <v>0.99594450000000001</v>
      </c>
      <c r="Y5457">
        <v>-1.681735E-3</v>
      </c>
      <c r="Z5457">
        <v>-2.8883780000000001E-4</v>
      </c>
      <c r="AA5457">
        <v>0.99999859999999896</v>
      </c>
      <c r="AB5457">
        <v>29</v>
      </c>
      <c r="AC5457">
        <v>30.802599999999899</v>
      </c>
      <c r="AD5457">
        <v>-1.110863662451</v>
      </c>
      <c r="AE5457">
        <v>0.32660000000001299</v>
      </c>
      <c r="AF5457">
        <v>-5.14662200393377E-2</v>
      </c>
      <c r="AG5457">
        <v>-1.110863662451</v>
      </c>
      <c r="AH5457">
        <v>30.764280512384602</v>
      </c>
      <c r="AI5457">
        <v>92.067984970484304</v>
      </c>
      <c r="AJ5457">
        <v>90.095851240325999</v>
      </c>
      <c r="AK5457">
        <v>30.784373020950799</v>
      </c>
      <c r="AL5457">
        <v>85.196693031120901</v>
      </c>
      <c r="AM5457">
        <v>88.107479891443703</v>
      </c>
      <c r="AN5457">
        <v>1.0000000207233</v>
      </c>
    </row>
    <row r="5458" spans="1:40" x14ac:dyDescent="0.25">
      <c r="A5458" t="str">
        <f>"20190312150801783"</f>
        <v>20190312150801783</v>
      </c>
      <c r="B5458" t="str">
        <f>"1552374481775788"</f>
        <v>1552374481775788</v>
      </c>
      <c r="C5458" t="s">
        <v>40</v>
      </c>
      <c r="D5458">
        <v>4.6581000000000001</v>
      </c>
      <c r="E5458">
        <v>0.48660110000000001</v>
      </c>
      <c r="F5458" t="s">
        <v>68</v>
      </c>
      <c r="G5458">
        <v>-289.60930000000002</v>
      </c>
      <c r="H5458" s="1">
        <v>2.7873969999999999E-6</v>
      </c>
      <c r="I5458">
        <v>214.97</v>
      </c>
      <c r="J5458">
        <v>-322.99930000000001</v>
      </c>
      <c r="K5458">
        <v>1.1108579999999999</v>
      </c>
      <c r="L5458">
        <v>214.58150000000001</v>
      </c>
      <c r="M5458">
        <v>0.99989300000000003</v>
      </c>
      <c r="N5458">
        <v>0</v>
      </c>
      <c r="O5458">
        <v>9.7388019999999995E-3</v>
      </c>
      <c r="P5458">
        <v>0.99695679999999998</v>
      </c>
      <c r="Q5458">
        <v>7.4362490000000003E-2</v>
      </c>
      <c r="R5458">
        <v>-2.3397390000000001E-2</v>
      </c>
      <c r="S5458">
        <v>3.0169679999999999</v>
      </c>
      <c r="T5458">
        <v>-9.9474309999999996E-2</v>
      </c>
      <c r="U5458">
        <v>3.5110469999999998E-2</v>
      </c>
      <c r="V5458">
        <v>3.2980570000000001E-2</v>
      </c>
      <c r="W5458">
        <v>8.528761E-2</v>
      </c>
      <c r="X5458">
        <v>0.99581039999999998</v>
      </c>
      <c r="Y5458">
        <v>-1.9018660000000001E-3</v>
      </c>
      <c r="Z5458">
        <v>-2.896725E-4</v>
      </c>
      <c r="AA5458">
        <v>0.99999819999999995</v>
      </c>
      <c r="AB5458">
        <v>29</v>
      </c>
      <c r="AC5458">
        <v>33.389999999999901</v>
      </c>
      <c r="AD5458">
        <v>-1.11085521260299</v>
      </c>
      <c r="AE5458">
        <v>0.38849999999999302</v>
      </c>
      <c r="AF5458">
        <v>-6.3213644298900903E-2</v>
      </c>
      <c r="AG5458">
        <v>-1.11085521260299</v>
      </c>
      <c r="AH5458">
        <v>33.3552863663324</v>
      </c>
      <c r="AI5458">
        <v>91.907454335451803</v>
      </c>
      <c r="AJ5458">
        <v>90.108584607850403</v>
      </c>
      <c r="AK5458">
        <v>33.373838913859302</v>
      </c>
      <c r="AL5458">
        <v>85.1074363486984</v>
      </c>
      <c r="AM5458">
        <v>88.103095720216501</v>
      </c>
      <c r="AN5458">
        <v>1.0000000235825901</v>
      </c>
    </row>
    <row r="5459" spans="1:40" x14ac:dyDescent="0.25">
      <c r="A5459" t="str">
        <f>"20190312150801807"</f>
        <v>20190312150801807</v>
      </c>
      <c r="B5459" t="str">
        <f>"1552374481795308"</f>
        <v>1552374481795308</v>
      </c>
      <c r="C5459" t="s">
        <v>40</v>
      </c>
      <c r="D5459">
        <v>4.2945739999999999</v>
      </c>
      <c r="E5459">
        <v>0.486622</v>
      </c>
      <c r="F5459" t="s">
        <v>68</v>
      </c>
      <c r="G5459">
        <v>-286.79820000000001</v>
      </c>
      <c r="H5459" s="1">
        <v>4.028105E-6</v>
      </c>
      <c r="I5459">
        <v>215.0196</v>
      </c>
      <c r="J5459">
        <v>-322.69909999999999</v>
      </c>
      <c r="K5459">
        <v>1.110857</v>
      </c>
      <c r="L5459">
        <v>214.58529999999999</v>
      </c>
      <c r="M5459">
        <v>0.99988619999999995</v>
      </c>
      <c r="N5459">
        <v>0</v>
      </c>
      <c r="O5459">
        <v>1.0544939999999999E-2</v>
      </c>
      <c r="P5459">
        <v>0.99672749999999999</v>
      </c>
      <c r="Q5459">
        <v>7.7582670000000006E-2</v>
      </c>
      <c r="R5459">
        <v>-2.2707700000000001E-2</v>
      </c>
      <c r="S5459">
        <v>3.016937</v>
      </c>
      <c r="T5459">
        <v>-9.2576740000000005E-2</v>
      </c>
      <c r="U5459">
        <v>3.6514280000000003E-2</v>
      </c>
      <c r="V5459">
        <v>3.3087129999999999E-2</v>
      </c>
      <c r="W5459">
        <v>8.8392440000000003E-2</v>
      </c>
      <c r="X5459">
        <v>0.99553599999999998</v>
      </c>
      <c r="Y5459">
        <v>-1.5609829999999999E-3</v>
      </c>
      <c r="Z5459">
        <v>-2.995564E-4</v>
      </c>
      <c r="AA5459">
        <v>0.99999870000000002</v>
      </c>
      <c r="AB5459">
        <v>29</v>
      </c>
      <c r="AC5459">
        <v>35.900899999999901</v>
      </c>
      <c r="AD5459">
        <v>-1.110852971895</v>
      </c>
      <c r="AE5459">
        <v>0.43430000000000701</v>
      </c>
      <c r="AF5459">
        <v>-5.5627729391731398E-2</v>
      </c>
      <c r="AG5459">
        <v>-1.110852971895</v>
      </c>
      <c r="AH5459">
        <v>35.869146818978301</v>
      </c>
      <c r="AI5459">
        <v>91.773858022420896</v>
      </c>
      <c r="AJ5459">
        <v>90.088857189129101</v>
      </c>
      <c r="AK5459">
        <v>35.886387144582599</v>
      </c>
      <c r="AL5459">
        <v>84.928867689767202</v>
      </c>
      <c r="AM5459">
        <v>88.096447187757406</v>
      </c>
      <c r="AN5459">
        <v>0.99999995445839396</v>
      </c>
    </row>
    <row r="5460" spans="1:40" x14ac:dyDescent="0.25">
      <c r="A5460" t="str">
        <f>"20190312150801829"</f>
        <v>20190312150801829</v>
      </c>
      <c r="B5460" t="str">
        <f>"1552374481825566"</f>
        <v>1552374481825566</v>
      </c>
      <c r="C5460" t="s">
        <v>40</v>
      </c>
      <c r="D5460">
        <v>4.5757940000000001</v>
      </c>
      <c r="E5460">
        <v>0.48642920000000001</v>
      </c>
      <c r="F5460" t="s">
        <v>68</v>
      </c>
      <c r="G5460">
        <v>-283.03320000000002</v>
      </c>
      <c r="H5460" s="1">
        <v>5.6888100000000003E-6</v>
      </c>
      <c r="I5460">
        <v>215.09440000000001</v>
      </c>
      <c r="J5460">
        <v>-322.40960000000001</v>
      </c>
      <c r="K5460">
        <v>1.110852</v>
      </c>
      <c r="L5460">
        <v>214.5891</v>
      </c>
      <c r="M5460">
        <v>0.99987870000000001</v>
      </c>
      <c r="N5460">
        <v>0</v>
      </c>
      <c r="O5460">
        <v>1.131886E-2</v>
      </c>
      <c r="P5460">
        <v>0.99648910000000002</v>
      </c>
      <c r="Q5460">
        <v>8.0790180000000003E-2</v>
      </c>
      <c r="R5460">
        <v>-2.1963110000000001E-2</v>
      </c>
      <c r="S5460">
        <v>3.0173030000000001</v>
      </c>
      <c r="T5460">
        <v>-8.4500190000000003E-2</v>
      </c>
      <c r="U5460">
        <v>3.872681E-2</v>
      </c>
      <c r="V5460">
        <v>3.3106839999999998E-2</v>
      </c>
      <c r="W5460">
        <v>9.1488819999999998E-2</v>
      </c>
      <c r="X5460">
        <v>0.99525560000000002</v>
      </c>
      <c r="Y5460">
        <v>-1.5182939999999999E-3</v>
      </c>
      <c r="Z5460">
        <v>-2.9566409999999999E-4</v>
      </c>
      <c r="AA5460">
        <v>0.99999879999999997</v>
      </c>
      <c r="AB5460">
        <v>29</v>
      </c>
      <c r="AC5460">
        <v>39.376399999999897</v>
      </c>
      <c r="AD5460">
        <v>-1.11084631119</v>
      </c>
      <c r="AE5460">
        <v>0.50530000000000497</v>
      </c>
      <c r="AF5460">
        <v>-5.9498811541893501E-2</v>
      </c>
      <c r="AG5460">
        <v>-1.11084631119</v>
      </c>
      <c r="AH5460">
        <v>39.348286474759703</v>
      </c>
      <c r="AI5460">
        <v>91.617092830194906</v>
      </c>
      <c r="AJ5460">
        <v>90.086637271774705</v>
      </c>
      <c r="AK5460">
        <v>39.364008537437002</v>
      </c>
      <c r="AL5460">
        <v>84.750736336016004</v>
      </c>
      <c r="AM5460">
        <v>88.094777852075097</v>
      </c>
      <c r="AN5460">
        <v>0.99999998818556801</v>
      </c>
    </row>
    <row r="5461" spans="1:40" x14ac:dyDescent="0.25">
      <c r="A5461" t="str">
        <f>"20190312150801850"</f>
        <v>20190312150801850</v>
      </c>
      <c r="B5461" t="str">
        <f>"1552374481845084"</f>
        <v>1552374481845084</v>
      </c>
      <c r="C5461" t="s">
        <v>40</v>
      </c>
      <c r="D5461">
        <v>4.2440230000000003</v>
      </c>
      <c r="E5461">
        <v>0.48585830000000002</v>
      </c>
      <c r="F5461" t="s">
        <v>68</v>
      </c>
      <c r="G5461">
        <v>-280.1465</v>
      </c>
      <c r="H5461" s="1">
        <v>6.9578840000000003E-6</v>
      </c>
      <c r="I5461">
        <v>215.1874</v>
      </c>
      <c r="J5461">
        <v>-322.11689999999999</v>
      </c>
      <c r="K5461">
        <v>1.1108450000000001</v>
      </c>
      <c r="L5461">
        <v>214.5932</v>
      </c>
      <c r="M5461">
        <v>0.99987079999999995</v>
      </c>
      <c r="N5461">
        <v>0</v>
      </c>
      <c r="O5461">
        <v>1.209763E-2</v>
      </c>
      <c r="P5461">
        <v>0.9963301</v>
      </c>
      <c r="Q5461">
        <v>8.2949040000000002E-2</v>
      </c>
      <c r="R5461">
        <v>-2.111679E-2</v>
      </c>
      <c r="S5461">
        <v>3.0179749999999999</v>
      </c>
      <c r="T5461">
        <v>-7.9324480000000003E-2</v>
      </c>
      <c r="U5461">
        <v>4.2724610000000003E-2</v>
      </c>
      <c r="V5461">
        <v>3.3031570000000003E-2</v>
      </c>
      <c r="W5461">
        <v>9.3541830000000006E-2</v>
      </c>
      <c r="X5461">
        <v>0.99506719999999904</v>
      </c>
      <c r="Y5461">
        <v>-2.0606320000000002E-3</v>
      </c>
      <c r="Z5461">
        <v>-2.908338E-4</v>
      </c>
      <c r="AA5461">
        <v>0.9999979</v>
      </c>
      <c r="AB5461">
        <v>30</v>
      </c>
      <c r="AC5461">
        <v>41.970399999999898</v>
      </c>
      <c r="AD5461">
        <v>-1.110838042116</v>
      </c>
      <c r="AE5461">
        <v>0.59419999999999995</v>
      </c>
      <c r="AF5461">
        <v>-8.6325238562404399E-2</v>
      </c>
      <c r="AG5461">
        <v>-1.110838042116</v>
      </c>
      <c r="AH5461">
        <v>41.945139953453896</v>
      </c>
      <c r="AI5461">
        <v>91.517013022309399</v>
      </c>
      <c r="AJ5461">
        <v>90.117917471665095</v>
      </c>
      <c r="AK5461">
        <v>41.959935401731201</v>
      </c>
      <c r="AL5461">
        <v>84.632600623112594</v>
      </c>
      <c r="AM5461">
        <v>88.098746645602105</v>
      </c>
      <c r="AN5461">
        <v>0.99999994554612504</v>
      </c>
    </row>
    <row r="5462" spans="1:40" x14ac:dyDescent="0.25">
      <c r="A5462" t="str">
        <f>"20190312150801864"</f>
        <v>20190312150801864</v>
      </c>
      <c r="B5462" t="str">
        <f>"1552374481855821"</f>
        <v>1552374481855821</v>
      </c>
      <c r="C5462" t="s">
        <v>40</v>
      </c>
      <c r="D5462">
        <v>4.263007</v>
      </c>
      <c r="E5462">
        <v>0.48558760000000001</v>
      </c>
      <c r="F5462" t="s">
        <v>67</v>
      </c>
      <c r="G5462">
        <v>-275.26330000000002</v>
      </c>
      <c r="H5462" s="1">
        <v>1.2310839999999999E-6</v>
      </c>
      <c r="I5462">
        <v>215.3707</v>
      </c>
      <c r="J5462">
        <v>-321.93040000000002</v>
      </c>
      <c r="K5462">
        <v>1.1108439999999999</v>
      </c>
      <c r="L5462">
        <v>214.596</v>
      </c>
      <c r="M5462">
        <v>0.99986549999999996</v>
      </c>
      <c r="N5462">
        <v>0</v>
      </c>
      <c r="O5462">
        <v>1.259177E-2</v>
      </c>
      <c r="P5462">
        <v>0.99626429999999999</v>
      </c>
      <c r="Q5462">
        <v>8.3864229999999998E-2</v>
      </c>
      <c r="R5462">
        <v>-2.0609269999999999E-2</v>
      </c>
      <c r="S5462">
        <v>3.0180359999999999</v>
      </c>
      <c r="T5462">
        <v>-7.1554060000000003E-2</v>
      </c>
      <c r="U5462">
        <v>5.0079350000000002E-2</v>
      </c>
      <c r="V5462">
        <v>3.301436E-2</v>
      </c>
      <c r="W5462">
        <v>9.4393480000000002E-2</v>
      </c>
      <c r="X5462">
        <v>0.99498739999999997</v>
      </c>
      <c r="Y5462">
        <v>-4.0014330000000004E-3</v>
      </c>
      <c r="Z5462">
        <v>-2.5105180000000002E-4</v>
      </c>
      <c r="AA5462">
        <v>0.99999199999999999</v>
      </c>
      <c r="AB5462">
        <v>30</v>
      </c>
      <c r="AC5462">
        <v>46.667099999999998</v>
      </c>
      <c r="AD5462">
        <v>-1.1108427689160001</v>
      </c>
      <c r="AE5462">
        <v>0.77470000000002404</v>
      </c>
      <c r="AF5462">
        <v>-0.18687887955464799</v>
      </c>
      <c r="AG5462">
        <v>-1.1108427689160001</v>
      </c>
      <c r="AH5462">
        <v>46.646732048966797</v>
      </c>
      <c r="AI5462">
        <v>91.364169830805196</v>
      </c>
      <c r="AJ5462">
        <v>90.229540491348899</v>
      </c>
      <c r="AK5462">
        <v>46.660331184218798</v>
      </c>
      <c r="AL5462">
        <v>84.583588103317595</v>
      </c>
      <c r="AM5462">
        <v>88.099584210710702</v>
      </c>
      <c r="AN5462">
        <v>1.00000000159574</v>
      </c>
    </row>
    <row r="5463" spans="1:40" x14ac:dyDescent="0.25">
      <c r="A5463" t="str">
        <f>"20190312150801884"</f>
        <v>20190312150801884</v>
      </c>
      <c r="B5463" t="str">
        <f>"1552374481875343"</f>
        <v>1552374481875343</v>
      </c>
      <c r="C5463" t="s">
        <v>40</v>
      </c>
      <c r="D5463">
        <v>4.6174439999999999</v>
      </c>
      <c r="E5463">
        <v>0.48514429999999997</v>
      </c>
      <c r="F5463" t="s">
        <v>67</v>
      </c>
      <c r="G5463">
        <v>-273.7303</v>
      </c>
      <c r="H5463" s="1">
        <v>4.116069E-7</v>
      </c>
      <c r="I5463">
        <v>215.45490000000001</v>
      </c>
      <c r="J5463">
        <v>-321.6687</v>
      </c>
      <c r="K5463">
        <v>1.1108370000000001</v>
      </c>
      <c r="L5463">
        <v>214.6</v>
      </c>
      <c r="M5463">
        <v>0.99985749999999995</v>
      </c>
      <c r="N5463">
        <v>0</v>
      </c>
      <c r="O5463">
        <v>1.327684E-2</v>
      </c>
      <c r="P5463">
        <v>0.99614000000000003</v>
      </c>
      <c r="Q5463">
        <v>8.549793E-2</v>
      </c>
      <c r="R5463">
        <v>-1.9887229999999999E-2</v>
      </c>
      <c r="S5463">
        <v>3.0182190000000002</v>
      </c>
      <c r="T5463">
        <v>-6.9559339999999997E-2</v>
      </c>
      <c r="U5463">
        <v>5.3787229999999998E-2</v>
      </c>
      <c r="V5463">
        <v>3.2971979999999998E-2</v>
      </c>
      <c r="W5463">
        <v>9.5941390000000001E-2</v>
      </c>
      <c r="X5463">
        <v>0.99484070000000002</v>
      </c>
      <c r="Y5463">
        <v>-4.5433160000000004E-3</v>
      </c>
      <c r="Z5463">
        <v>-2.535778E-4</v>
      </c>
      <c r="AA5463">
        <v>0.99998960000000003</v>
      </c>
      <c r="AB5463">
        <v>30</v>
      </c>
      <c r="AC5463">
        <v>47.938400000000001</v>
      </c>
      <c r="AD5463">
        <v>-1.1108365883931</v>
      </c>
      <c r="AE5463">
        <v>0.85490000000001398</v>
      </c>
      <c r="AF5463">
        <v>-0.218202450250539</v>
      </c>
      <c r="AG5463">
        <v>-1.1108365883931</v>
      </c>
      <c r="AH5463">
        <v>47.919802859296702</v>
      </c>
      <c r="AI5463">
        <v>91.327931005747502</v>
      </c>
      <c r="AJ5463">
        <v>90.260894084003198</v>
      </c>
      <c r="AK5463">
        <v>47.933173025674698</v>
      </c>
      <c r="AL5463">
        <v>84.494494786325305</v>
      </c>
      <c r="AM5463">
        <v>88.101742285718402</v>
      </c>
      <c r="AN5463">
        <v>0.99999996007837</v>
      </c>
    </row>
    <row r="5464" spans="1:40" x14ac:dyDescent="0.25">
      <c r="A5464" t="str">
        <f>"20190312150801898"</f>
        <v>20190312150801898</v>
      </c>
      <c r="B5464" t="str">
        <f>"1552374481895836"</f>
        <v>1552374481895836</v>
      </c>
      <c r="C5464" t="s">
        <v>40</v>
      </c>
      <c r="D5464">
        <v>4.2202799999999998</v>
      </c>
      <c r="E5464">
        <v>0.48478589999999999</v>
      </c>
      <c r="F5464" t="s">
        <v>67</v>
      </c>
      <c r="G5464">
        <v>-269.05169999999998</v>
      </c>
      <c r="H5464" s="1">
        <v>3.2354110000000001E-6</v>
      </c>
      <c r="I5464">
        <v>215.63849999999999</v>
      </c>
      <c r="J5464">
        <v>-321.48219999999998</v>
      </c>
      <c r="K5464">
        <v>1.1108260000000001</v>
      </c>
      <c r="L5464">
        <v>214.60300000000001</v>
      </c>
      <c r="M5464">
        <v>0.9998515</v>
      </c>
      <c r="N5464">
        <v>0</v>
      </c>
      <c r="O5464">
        <v>1.3755420000000001E-2</v>
      </c>
      <c r="P5464">
        <v>0.99607060000000003</v>
      </c>
      <c r="Q5464">
        <v>8.6383509999999997E-2</v>
      </c>
      <c r="R5464">
        <v>-1.9523720000000001E-2</v>
      </c>
      <c r="S5464">
        <v>3.0183110000000002</v>
      </c>
      <c r="T5464">
        <v>-6.3721659999999999E-2</v>
      </c>
      <c r="U5464">
        <v>5.9570310000000001E-2</v>
      </c>
      <c r="V5464">
        <v>3.3084170000000003E-2</v>
      </c>
      <c r="W5464">
        <v>9.6768649999999998E-2</v>
      </c>
      <c r="X5464">
        <v>0.99475690000000005</v>
      </c>
      <c r="Y5464">
        <v>-5.9788539999999996E-3</v>
      </c>
      <c r="Z5464">
        <v>-2.2723980000000001E-4</v>
      </c>
      <c r="AA5464">
        <v>0.99998209999999998</v>
      </c>
      <c r="AB5464">
        <v>30</v>
      </c>
      <c r="AC5464">
        <v>52.430500000000002</v>
      </c>
      <c r="AD5464">
        <v>-1.1108227645890001</v>
      </c>
      <c r="AE5464">
        <v>1.0355000000000101</v>
      </c>
      <c r="AF5464">
        <v>-0.314018709384487</v>
      </c>
      <c r="AG5464">
        <v>-1.1108227645890001</v>
      </c>
      <c r="AH5464">
        <v>52.416264539767504</v>
      </c>
      <c r="AI5464">
        <v>91.214027548417207</v>
      </c>
      <c r="AJ5464">
        <v>90.343247113317304</v>
      </c>
      <c r="AK5464">
        <v>52.428974081771401</v>
      </c>
      <c r="AL5464">
        <v>84.446874990930198</v>
      </c>
      <c r="AM5464">
        <v>88.09512771208</v>
      </c>
      <c r="AN5464">
        <v>1.0000000120125101</v>
      </c>
    </row>
    <row r="5465" spans="1:40" x14ac:dyDescent="0.25">
      <c r="A5465" t="str">
        <f>"20190312150801917"</f>
        <v>20190312150801917</v>
      </c>
      <c r="B5465" t="str">
        <f>"1552374481905596"</f>
        <v>1552374481905596</v>
      </c>
      <c r="C5465" t="s">
        <v>40</v>
      </c>
      <c r="D5465">
        <v>4.2217120000000001</v>
      </c>
      <c r="E5465">
        <v>0.48461409999999999</v>
      </c>
      <c r="F5465" t="s">
        <v>67</v>
      </c>
      <c r="G5465">
        <v>-266.5598</v>
      </c>
      <c r="H5465" s="1">
        <v>1.903898E-6</v>
      </c>
      <c r="I5465">
        <v>215.76329999999999</v>
      </c>
      <c r="J5465">
        <v>-321.23849999999999</v>
      </c>
      <c r="K5465">
        <v>1.1108089999999999</v>
      </c>
      <c r="L5465">
        <v>214.607</v>
      </c>
      <c r="M5465">
        <v>0.99984379999999995</v>
      </c>
      <c r="N5465">
        <v>0</v>
      </c>
      <c r="O5465">
        <v>1.4366739999999999E-2</v>
      </c>
      <c r="P5465">
        <v>0.99601910000000005</v>
      </c>
      <c r="Q5465">
        <v>8.7081210000000006E-2</v>
      </c>
      <c r="R5465">
        <v>-1.9053049999999998E-2</v>
      </c>
      <c r="S5465">
        <v>3.0183719999999998</v>
      </c>
      <c r="T5465">
        <v>-6.1047669999999998E-2</v>
      </c>
      <c r="U5465">
        <v>6.376648E-2</v>
      </c>
      <c r="V5465">
        <v>3.3223280000000001E-2</v>
      </c>
      <c r="W5465">
        <v>9.7391790000000006E-2</v>
      </c>
      <c r="X5465">
        <v>0.9946914</v>
      </c>
      <c r="Y5465">
        <v>-6.7564849999999996E-3</v>
      </c>
      <c r="Z5465">
        <v>-2.2219589999999999E-4</v>
      </c>
      <c r="AA5465">
        <v>0.99997720000000001</v>
      </c>
      <c r="AB5465">
        <v>30</v>
      </c>
      <c r="AC5465">
        <v>54.6786999999999</v>
      </c>
      <c r="AD5465">
        <v>-1.110807096102</v>
      </c>
      <c r="AE5465">
        <v>1.1562999999999799</v>
      </c>
      <c r="AF5465">
        <v>-0.37043154484058499</v>
      </c>
      <c r="AG5465">
        <v>-1.110807096102</v>
      </c>
      <c r="AH5465">
        <v>54.667117952418401</v>
      </c>
      <c r="AI5465">
        <v>91.164033212382904</v>
      </c>
      <c r="AJ5465">
        <v>90.388237757526298</v>
      </c>
      <c r="AK5465">
        <v>54.679657068765501</v>
      </c>
      <c r="AL5465">
        <v>84.411001987728</v>
      </c>
      <c r="AM5465">
        <v>88.0869983080173</v>
      </c>
      <c r="AN5465">
        <v>0.99999996416365999</v>
      </c>
    </row>
    <row r="5466" spans="1:40" x14ac:dyDescent="0.25">
      <c r="A5466" t="str">
        <f>"20190312150801931"</f>
        <v>20190312150801931</v>
      </c>
      <c r="B5466" t="str">
        <f>"1552374481925116"</f>
        <v>1552374481925116</v>
      </c>
      <c r="C5466" t="s">
        <v>40</v>
      </c>
      <c r="D5466">
        <v>4.3479900000000002</v>
      </c>
      <c r="E5466">
        <v>0.48431210000000002</v>
      </c>
      <c r="F5466" t="s">
        <v>67</v>
      </c>
      <c r="G5466">
        <v>-264.84339999999997</v>
      </c>
      <c r="H5466" s="1">
        <v>9.8684779999999999E-7</v>
      </c>
      <c r="I5466">
        <v>215.84739999999999</v>
      </c>
      <c r="J5466">
        <v>-321.05549999999999</v>
      </c>
      <c r="K5466">
        <v>1.1107959999999999</v>
      </c>
      <c r="L5466">
        <v>214.61</v>
      </c>
      <c r="M5466">
        <v>0.99983770000000005</v>
      </c>
      <c r="N5466">
        <v>0</v>
      </c>
      <c r="O5466">
        <v>1.481407E-2</v>
      </c>
      <c r="P5466">
        <v>0.99599369999999998</v>
      </c>
      <c r="Q5466">
        <v>8.7400820000000004E-2</v>
      </c>
      <c r="R5466">
        <v>-1.8920630000000001E-2</v>
      </c>
      <c r="S5466">
        <v>3.0184630000000001</v>
      </c>
      <c r="T5466">
        <v>-5.9454439999999997E-2</v>
      </c>
      <c r="U5466">
        <v>6.6390989999999997E-2</v>
      </c>
      <c r="V5466">
        <v>3.3537919999999999E-2</v>
      </c>
      <c r="W5466">
        <v>9.7657069999999999E-2</v>
      </c>
      <c r="X5466">
        <v>0.99465490000000001</v>
      </c>
      <c r="Y5466">
        <v>-7.1774469999999896E-3</v>
      </c>
      <c r="Z5466">
        <v>-2.2105209999999999E-4</v>
      </c>
      <c r="AA5466">
        <v>0.99997420000000004</v>
      </c>
      <c r="AB5466">
        <v>30</v>
      </c>
      <c r="AC5466">
        <v>56.2121</v>
      </c>
      <c r="AD5466">
        <v>-1.1107950131522</v>
      </c>
      <c r="AE5466">
        <v>1.2373999999999701</v>
      </c>
      <c r="AF5466">
        <v>-0.40433263493691601</v>
      </c>
      <c r="AG5466">
        <v>-1.1107950131522</v>
      </c>
      <c r="AH5466">
        <v>56.202327115050402</v>
      </c>
      <c r="AI5466">
        <v>91.132229537793705</v>
      </c>
      <c r="AJ5466">
        <v>90.412192075058798</v>
      </c>
      <c r="AK5466">
        <v>56.214757169163803</v>
      </c>
      <c r="AL5466">
        <v>84.395730147634296</v>
      </c>
      <c r="AM5466">
        <v>88.068824129704396</v>
      </c>
      <c r="AN5466">
        <v>1.00000003274646</v>
      </c>
    </row>
    <row r="5467" spans="1:40" x14ac:dyDescent="0.25">
      <c r="A5467" t="str">
        <f>"20190312150801951"</f>
        <v>20190312150801951</v>
      </c>
      <c r="B5467" t="str">
        <f>"1552374481945144"</f>
        <v>1552374481945144</v>
      </c>
      <c r="C5467" t="s">
        <v>40</v>
      </c>
      <c r="D5467">
        <v>4.3428559999999896</v>
      </c>
      <c r="E5467">
        <v>0.48418539999999999</v>
      </c>
      <c r="F5467" t="s">
        <v>67</v>
      </c>
      <c r="G5467">
        <v>-264.94389999999999</v>
      </c>
      <c r="H5467" s="1">
        <v>1.03792E-6</v>
      </c>
      <c r="I5467">
        <v>215.9014</v>
      </c>
      <c r="J5467">
        <v>-320.78719999999998</v>
      </c>
      <c r="K5467">
        <v>1.1107689999999999</v>
      </c>
      <c r="L5467">
        <v>214.6147</v>
      </c>
      <c r="M5467">
        <v>0.99982899999999997</v>
      </c>
      <c r="N5467">
        <v>0</v>
      </c>
      <c r="O5467">
        <v>1.5448079999999999E-2</v>
      </c>
      <c r="P5467">
        <v>0.99595560000000005</v>
      </c>
      <c r="Q5467">
        <v>8.7907979999999997E-2</v>
      </c>
      <c r="R5467">
        <v>-1.8581139999999999E-2</v>
      </c>
      <c r="S5467">
        <v>3.0186769999999998</v>
      </c>
      <c r="T5467">
        <v>-5.9758190000000003E-2</v>
      </c>
      <c r="U5467">
        <v>6.9473270000000004E-2</v>
      </c>
      <c r="V5467">
        <v>3.3833059999999998E-2</v>
      </c>
      <c r="W5467">
        <v>9.8087480000000005E-2</v>
      </c>
      <c r="X5467">
        <v>0.99460249999999994</v>
      </c>
      <c r="Y5467">
        <v>-7.5623919999999898E-3</v>
      </c>
      <c r="Z5467">
        <v>-2.3089939999999999E-4</v>
      </c>
      <c r="AA5467">
        <v>0.99997139999999995</v>
      </c>
      <c r="AB5467">
        <v>30</v>
      </c>
      <c r="AC5467">
        <v>55.843299999999999</v>
      </c>
      <c r="AD5467">
        <v>-1.1107679620799999</v>
      </c>
      <c r="AE5467">
        <v>1.28669999999999</v>
      </c>
      <c r="AF5467">
        <v>-0.42366257507472399</v>
      </c>
      <c r="AG5467">
        <v>-1.1107679620799999</v>
      </c>
      <c r="AH5467">
        <v>55.834434838779899</v>
      </c>
      <c r="AI5467">
        <v>91.139656758708796</v>
      </c>
      <c r="AJ5467">
        <v>90.434742676512201</v>
      </c>
      <c r="AK5467">
        <v>55.847089532123903</v>
      </c>
      <c r="AL5467">
        <v>84.370950214046402</v>
      </c>
      <c r="AM5467">
        <v>88.051739899242307</v>
      </c>
      <c r="AN5467">
        <v>0.99999998134398105</v>
      </c>
    </row>
    <row r="5468" spans="1:40" x14ac:dyDescent="0.25">
      <c r="A5468" t="str">
        <f>"20190312150801973"</f>
        <v>20190312150801973</v>
      </c>
      <c r="B5468" t="str">
        <f>"1552374481965641"</f>
        <v>1552374481965641</v>
      </c>
      <c r="C5468" t="s">
        <v>40</v>
      </c>
      <c r="D5468">
        <v>4.2515650000000003</v>
      </c>
      <c r="E5468">
        <v>0.48389359999999998</v>
      </c>
      <c r="F5468" t="s">
        <v>67</v>
      </c>
      <c r="G5468">
        <v>-263.98329999999999</v>
      </c>
      <c r="H5468" s="1">
        <v>5.2394680000000002E-7</v>
      </c>
      <c r="I5468">
        <v>215.96530000000001</v>
      </c>
      <c r="J5468">
        <v>-320.48410000000001</v>
      </c>
      <c r="K5468">
        <v>1.1107309999999999</v>
      </c>
      <c r="L5468">
        <v>214.62010000000001</v>
      </c>
      <c r="M5468">
        <v>0.99981900000000001</v>
      </c>
      <c r="N5468">
        <v>0</v>
      </c>
      <c r="O5468">
        <v>1.6131059999999999E-2</v>
      </c>
      <c r="P5468">
        <v>0.99602179999999996</v>
      </c>
      <c r="Q5468">
        <v>8.7249930000000003E-2</v>
      </c>
      <c r="R5468">
        <v>-1.812267E-2</v>
      </c>
      <c r="S5468">
        <v>3.0187379999999999</v>
      </c>
      <c r="T5468">
        <v>-5.9029699999999997E-2</v>
      </c>
      <c r="U5468">
        <v>7.1777339999999995E-2</v>
      </c>
      <c r="V5468">
        <v>3.406261E-2</v>
      </c>
      <c r="W5468">
        <v>9.7346699999999994E-2</v>
      </c>
      <c r="X5468">
        <v>0.99466750000000004</v>
      </c>
      <c r="Y5468">
        <v>-7.64175599999999E-3</v>
      </c>
      <c r="Z5468">
        <v>-2.406524E-4</v>
      </c>
      <c r="AA5468">
        <v>0.99997080000000005</v>
      </c>
      <c r="AB5468">
        <v>30</v>
      </c>
      <c r="AC5468">
        <v>56.500799999999998</v>
      </c>
      <c r="AD5468">
        <v>-1.1107304760532</v>
      </c>
      <c r="AE5468">
        <v>1.3452</v>
      </c>
      <c r="AF5468">
        <v>-0.43339338752754902</v>
      </c>
      <c r="AG5468">
        <v>-1.1107304760532</v>
      </c>
      <c r="AH5468">
        <v>56.493328086504</v>
      </c>
      <c r="AI5468">
        <v>91.126329431085793</v>
      </c>
      <c r="AJ5468">
        <v>90.439540839464499</v>
      </c>
      <c r="AK5468">
        <v>56.505908277879897</v>
      </c>
      <c r="AL5468">
        <v>84.413598205394905</v>
      </c>
      <c r="AM5468">
        <v>88.038659745023196</v>
      </c>
      <c r="AN5468">
        <v>1.0000000384785701</v>
      </c>
    </row>
    <row r="5469" spans="1:40" x14ac:dyDescent="0.25">
      <c r="A5469" t="str">
        <f>"20190312150801989"</f>
        <v>20190312150801989</v>
      </c>
      <c r="B5469" t="str">
        <f>"1552374481985161"</f>
        <v>1552374481985161</v>
      </c>
      <c r="C5469" t="s">
        <v>40</v>
      </c>
      <c r="D5469">
        <v>4.2400769999999897</v>
      </c>
      <c r="E5469">
        <v>0.48359370000000002</v>
      </c>
      <c r="F5469" t="s">
        <v>67</v>
      </c>
      <c r="G5469">
        <v>-268.02609999999999</v>
      </c>
      <c r="H5469" s="1">
        <v>2.6769499999999998E-6</v>
      </c>
      <c r="I5469">
        <v>215.92779999999999</v>
      </c>
      <c r="J5469">
        <v>-320.29039999999998</v>
      </c>
      <c r="K5469">
        <v>1.110706</v>
      </c>
      <c r="L5469">
        <v>214.62360000000001</v>
      </c>
      <c r="M5469">
        <v>0.99981249999999999</v>
      </c>
      <c r="N5469">
        <v>0</v>
      </c>
      <c r="O5469">
        <v>1.65490999999999E-2</v>
      </c>
      <c r="P5469">
        <v>0.99604550000000003</v>
      </c>
      <c r="Q5469">
        <v>8.7073300000000006E-2</v>
      </c>
      <c r="R5469">
        <v>-1.765104E-2</v>
      </c>
      <c r="S5469">
        <v>3.0189210000000002</v>
      </c>
      <c r="T5469">
        <v>-6.3921569999999997E-2</v>
      </c>
      <c r="U5469">
        <v>7.525635E-2</v>
      </c>
      <c r="V5469">
        <v>3.4012100000000003E-2</v>
      </c>
      <c r="W5469">
        <v>9.7119369999999997E-2</v>
      </c>
      <c r="X5469">
        <v>0.9946914</v>
      </c>
      <c r="Y5469">
        <v>-8.3741049999999997E-3</v>
      </c>
      <c r="Z5469">
        <v>-2.6166749999999999E-4</v>
      </c>
      <c r="AA5469">
        <v>0.99996490000000005</v>
      </c>
      <c r="AB5469">
        <v>30</v>
      </c>
      <c r="AC5469">
        <v>52.264299999999899</v>
      </c>
      <c r="AD5469">
        <v>-1.1107033230500001</v>
      </c>
      <c r="AE5469">
        <v>1.30419999999998</v>
      </c>
      <c r="AF5469">
        <v>-0.43885245121057698</v>
      </c>
      <c r="AG5469">
        <v>-1.1107033230500001</v>
      </c>
      <c r="AH5469">
        <v>52.2551408605459</v>
      </c>
      <c r="AI5469">
        <v>91.217617775886595</v>
      </c>
      <c r="AJ5469">
        <v>90.481173751378606</v>
      </c>
      <c r="AK5469">
        <v>52.268786093626296</v>
      </c>
      <c r="AL5469">
        <v>84.426684984007807</v>
      </c>
      <c r="AM5469">
        <v>88.041612886564394</v>
      </c>
      <c r="AN5469">
        <v>0.99999998810478297</v>
      </c>
    </row>
    <row r="5470" spans="1:40" x14ac:dyDescent="0.25">
      <c r="A5470" t="str">
        <f>"20190312150802007"</f>
        <v>20190312150802007</v>
      </c>
      <c r="B5470" t="str">
        <f>"1552374481995897"</f>
        <v>1552374481995897</v>
      </c>
      <c r="C5470" t="s">
        <v>40</v>
      </c>
      <c r="D5470">
        <v>4.541766</v>
      </c>
      <c r="E5470">
        <v>0.48346739999999999</v>
      </c>
      <c r="F5470" t="s">
        <v>67</v>
      </c>
      <c r="G5470">
        <v>-271.15050000000002</v>
      </c>
      <c r="H5470" s="1">
        <v>-9.811598000000001E-7</v>
      </c>
      <c r="I5470">
        <v>215.91130000000001</v>
      </c>
      <c r="J5470">
        <v>-320.0333</v>
      </c>
      <c r="K5470">
        <v>1.1106780000000001</v>
      </c>
      <c r="L5470">
        <v>214.6284</v>
      </c>
      <c r="M5470">
        <v>0.99980440000000004</v>
      </c>
      <c r="N5470">
        <v>0</v>
      </c>
      <c r="O5470">
        <v>1.7073990000000001E-2</v>
      </c>
      <c r="P5470">
        <v>0.99607590000000001</v>
      </c>
      <c r="Q5470">
        <v>8.6865319999999996E-2</v>
      </c>
      <c r="R5470">
        <v>-1.6957529999999998E-2</v>
      </c>
      <c r="S5470">
        <v>3.0192869999999998</v>
      </c>
      <c r="T5470">
        <v>-6.8244810000000003E-2</v>
      </c>
      <c r="U5470">
        <v>7.9116820000000004E-2</v>
      </c>
      <c r="V5470">
        <v>3.3847540000000002E-2</v>
      </c>
      <c r="W5470">
        <v>9.6847909999999995E-2</v>
      </c>
      <c r="X5470">
        <v>0.99472349999999998</v>
      </c>
      <c r="Y5470">
        <v>-9.1240439999999996E-3</v>
      </c>
      <c r="Z5470">
        <v>-2.8270649999999998E-4</v>
      </c>
      <c r="AA5470">
        <v>0.99995829999999997</v>
      </c>
      <c r="AB5470">
        <v>30</v>
      </c>
      <c r="AC5470">
        <v>48.882799999999897</v>
      </c>
      <c r="AD5470">
        <v>-1.1106789811597999</v>
      </c>
      <c r="AE5470">
        <v>1.2829000000000099</v>
      </c>
      <c r="AF5470">
        <v>-0.44781592033037698</v>
      </c>
      <c r="AG5470">
        <v>-1.1106789811597999</v>
      </c>
      <c r="AH5470">
        <v>48.872365622069204</v>
      </c>
      <c r="AI5470">
        <v>91.301831719232993</v>
      </c>
      <c r="AJ5470">
        <v>90.5249846996889</v>
      </c>
      <c r="AK5470">
        <v>48.8870357906358</v>
      </c>
      <c r="AL5470">
        <v>84.442312271829607</v>
      </c>
      <c r="AM5470">
        <v>88.051143627032303</v>
      </c>
      <c r="AN5470">
        <v>1.00000000754383</v>
      </c>
    </row>
    <row r="5471" spans="1:40" x14ac:dyDescent="0.25">
      <c r="A5471" t="str">
        <f>"20190312150802030"</f>
        <v>20190312150802030</v>
      </c>
      <c r="B5471" t="str">
        <f>"1552374482025177"</f>
        <v>1552374482025177</v>
      </c>
      <c r="C5471" t="s">
        <v>40</v>
      </c>
      <c r="D5471">
        <v>4.5558509999999997</v>
      </c>
      <c r="E5471">
        <v>0.48312500000000003</v>
      </c>
      <c r="F5471" t="s">
        <v>67</v>
      </c>
      <c r="G5471">
        <v>-271.92610000000002</v>
      </c>
      <c r="H5471" s="1">
        <v>-5.6939719999999895E-7</v>
      </c>
      <c r="I5471">
        <v>215.93379999999999</v>
      </c>
      <c r="J5471">
        <v>-319.73230000000001</v>
      </c>
      <c r="K5471">
        <v>1.110633</v>
      </c>
      <c r="L5471">
        <v>214.63419999999999</v>
      </c>
      <c r="M5471">
        <v>0.99979530000000005</v>
      </c>
      <c r="N5471">
        <v>0</v>
      </c>
      <c r="O5471">
        <v>1.764079E-2</v>
      </c>
      <c r="P5471">
        <v>0.99608280000000005</v>
      </c>
      <c r="Q5471">
        <v>8.6924979999999999E-2</v>
      </c>
      <c r="R5471">
        <v>-1.6232030000000001E-2</v>
      </c>
      <c r="S5471">
        <v>3.0192869999999998</v>
      </c>
      <c r="T5471">
        <v>-6.9708110000000004E-2</v>
      </c>
      <c r="U5471">
        <v>8.1924440000000001E-2</v>
      </c>
      <c r="V5471">
        <v>3.3694290000000002E-2</v>
      </c>
      <c r="W5471">
        <v>9.6835089999999999E-2</v>
      </c>
      <c r="X5471">
        <v>0.99472989999999994</v>
      </c>
      <c r="Y5471">
        <v>-9.4865009999999996E-3</v>
      </c>
      <c r="Z5471">
        <v>-2.9765880000000002E-4</v>
      </c>
      <c r="AA5471">
        <v>0.99995489999999998</v>
      </c>
      <c r="AB5471">
        <v>30</v>
      </c>
      <c r="AC5471">
        <v>47.806199999999897</v>
      </c>
      <c r="AD5471">
        <v>-1.11063356939719</v>
      </c>
      <c r="AE5471">
        <v>1.2995999999999901</v>
      </c>
      <c r="AF5471">
        <v>-0.455771409086625</v>
      </c>
      <c r="AG5471">
        <v>-1.11063356939719</v>
      </c>
      <c r="AH5471">
        <v>47.795909569009801</v>
      </c>
      <c r="AI5471">
        <v>91.331082003143294</v>
      </c>
      <c r="AJ5471">
        <v>90.546343545366</v>
      </c>
      <c r="AK5471">
        <v>47.810984156695397</v>
      </c>
      <c r="AL5471">
        <v>84.443049990111405</v>
      </c>
      <c r="AM5471">
        <v>88.059973091683801</v>
      </c>
      <c r="AN5471">
        <v>0.99999995689396004</v>
      </c>
    </row>
    <row r="5472" spans="1:40" x14ac:dyDescent="0.25">
      <c r="A5472" t="str">
        <f>"20190312150802053"</f>
        <v>20190312150802053</v>
      </c>
      <c r="B5472" t="str">
        <f>"1552374482045203"</f>
        <v>1552374482045203</v>
      </c>
      <c r="C5472" t="s">
        <v>40</v>
      </c>
      <c r="D5472">
        <v>4.2379160000000002</v>
      </c>
      <c r="E5472">
        <v>0.48290820000000001</v>
      </c>
      <c r="F5472" t="s">
        <v>67</v>
      </c>
      <c r="G5472">
        <v>-273.20729999999998</v>
      </c>
      <c r="H5472" s="1">
        <v>1.1052379999999999E-7</v>
      </c>
      <c r="I5472">
        <v>215.976</v>
      </c>
      <c r="J5472">
        <v>-319.43270000000001</v>
      </c>
      <c r="K5472">
        <v>1.1105910000000001</v>
      </c>
      <c r="L5472">
        <v>214.64</v>
      </c>
      <c r="M5472">
        <v>0.99978670000000003</v>
      </c>
      <c r="N5472">
        <v>0</v>
      </c>
      <c r="O5472">
        <v>1.8156100000000001E-2</v>
      </c>
      <c r="P5472">
        <v>0.99606479999999997</v>
      </c>
      <c r="Q5472">
        <v>8.7346350000000003E-2</v>
      </c>
      <c r="R5472">
        <v>-1.5023969999999999E-2</v>
      </c>
      <c r="S5472">
        <v>3.0195310000000002</v>
      </c>
      <c r="T5472">
        <v>-7.2081450000000005E-2</v>
      </c>
      <c r="U5472">
        <v>8.7081909999999998E-2</v>
      </c>
      <c r="V5472">
        <v>3.3007109999999999E-2</v>
      </c>
      <c r="W5472">
        <v>9.7187720000000005E-2</v>
      </c>
      <c r="X5472">
        <v>0.99471860000000001</v>
      </c>
      <c r="Y5472">
        <v>-1.0675499999999999E-2</v>
      </c>
      <c r="Z5472">
        <v>-3.0586399999999998E-4</v>
      </c>
      <c r="AA5472">
        <v>0.99994300000000003</v>
      </c>
      <c r="AB5472">
        <v>30</v>
      </c>
      <c r="AC5472">
        <v>46.2254</v>
      </c>
      <c r="AD5472">
        <v>-1.1105908894762</v>
      </c>
      <c r="AE5472">
        <v>1.3360000000000101</v>
      </c>
      <c r="AF5472">
        <v>-0.49617993368368801</v>
      </c>
      <c r="AG5472">
        <v>-1.1105908894762</v>
      </c>
      <c r="AH5472">
        <v>46.215382881035197</v>
      </c>
      <c r="AI5472">
        <v>91.376517024822704</v>
      </c>
      <c r="AJ5472">
        <v>90.615118215465202</v>
      </c>
      <c r="AK5472">
        <v>46.231387838686601</v>
      </c>
      <c r="AL5472">
        <v>84.422750313254696</v>
      </c>
      <c r="AM5472">
        <v>88.099488183947599</v>
      </c>
      <c r="AN5472">
        <v>1.0000000077076501</v>
      </c>
    </row>
    <row r="5473" spans="1:40" x14ac:dyDescent="0.25">
      <c r="A5473" t="str">
        <f>"20190312150802074"</f>
        <v>20190312150802074</v>
      </c>
      <c r="B5473" t="str">
        <f>"1552374482065699"</f>
        <v>1552374482065699</v>
      </c>
      <c r="C5473" t="s">
        <v>40</v>
      </c>
      <c r="D5473">
        <v>4.5984619999999996</v>
      </c>
      <c r="E5473">
        <v>0.48274980000000001</v>
      </c>
      <c r="F5473" t="s">
        <v>67</v>
      </c>
      <c r="G5473">
        <v>-273.42009999999999</v>
      </c>
      <c r="H5473" s="1">
        <v>2.2085420000000001E-7</v>
      </c>
      <c r="I5473">
        <v>216.04300000000001</v>
      </c>
      <c r="J5473">
        <v>-319.14049999999997</v>
      </c>
      <c r="K5473">
        <v>1.1105449999999999</v>
      </c>
      <c r="L5473">
        <v>214.64590000000001</v>
      </c>
      <c r="M5473">
        <v>0.99977890000000003</v>
      </c>
      <c r="N5473">
        <v>0</v>
      </c>
      <c r="O5473">
        <v>1.8609319999999999E-2</v>
      </c>
      <c r="P5473">
        <v>0.99600089999999997</v>
      </c>
      <c r="Q5473">
        <v>8.8250770000000006E-2</v>
      </c>
      <c r="R5473">
        <v>-1.3929860000000001E-2</v>
      </c>
      <c r="S5473">
        <v>3.0195919999999998</v>
      </c>
      <c r="T5473">
        <v>-7.2882890000000006E-2</v>
      </c>
      <c r="U5473">
        <v>9.2071529999999999E-2</v>
      </c>
      <c r="V5473">
        <v>3.2371080000000003E-2</v>
      </c>
      <c r="W5473">
        <v>9.802864E-2</v>
      </c>
      <c r="X5473">
        <v>0.99465700000000001</v>
      </c>
      <c r="Y5473">
        <v>-1.187233E-2</v>
      </c>
      <c r="Z5473">
        <v>-3.0574239999999999E-4</v>
      </c>
      <c r="AA5473">
        <v>0.99992950000000003</v>
      </c>
      <c r="AB5473">
        <v>30</v>
      </c>
      <c r="AC5473">
        <v>45.720399999999898</v>
      </c>
      <c r="AD5473">
        <v>-1.1105447791458001</v>
      </c>
      <c r="AE5473">
        <v>1.39709999999999</v>
      </c>
      <c r="AF5473">
        <v>-0.54567006772075799</v>
      </c>
      <c r="AG5473">
        <v>-1.1105447791458001</v>
      </c>
      <c r="AH5473">
        <v>45.711537586736398</v>
      </c>
      <c r="AI5473">
        <v>91.391606748579093</v>
      </c>
      <c r="AJ5473">
        <v>90.683921579053106</v>
      </c>
      <c r="AK5473">
        <v>45.728281556088596</v>
      </c>
      <c r="AL5473">
        <v>84.374338066500499</v>
      </c>
      <c r="AM5473">
        <v>88.135968628789897</v>
      </c>
      <c r="AN5473">
        <v>1.0000000243648</v>
      </c>
    </row>
    <row r="5474" spans="1:40" x14ac:dyDescent="0.25">
      <c r="A5474" t="str">
        <f>"20190312150802095"</f>
        <v>20190312150802095</v>
      </c>
      <c r="B5474" t="str">
        <f>"1552374482085219"</f>
        <v>1552374482085219</v>
      </c>
      <c r="C5474" t="s">
        <v>40</v>
      </c>
      <c r="D5474">
        <v>4.1603199999999996</v>
      </c>
      <c r="E5474">
        <v>0.48263099999999998</v>
      </c>
      <c r="F5474" t="s">
        <v>67</v>
      </c>
      <c r="G5474">
        <v>-272.63630000000001</v>
      </c>
      <c r="H5474" s="1">
        <v>-2.001957E-7</v>
      </c>
      <c r="I5474">
        <v>216.13310000000001</v>
      </c>
      <c r="J5474">
        <v>-318.84879999999998</v>
      </c>
      <c r="K5474">
        <v>1.1105069999999999</v>
      </c>
      <c r="L5474">
        <v>214.65170000000001</v>
      </c>
      <c r="M5474">
        <v>0.99977199999999999</v>
      </c>
      <c r="N5474">
        <v>0</v>
      </c>
      <c r="O5474">
        <v>1.9009930000000001E-2</v>
      </c>
      <c r="P5474">
        <v>0.99595440000000002</v>
      </c>
      <c r="Q5474">
        <v>8.8846899999999895E-2</v>
      </c>
      <c r="R5474">
        <v>-1.346583E-2</v>
      </c>
      <c r="S5474">
        <v>3.019806</v>
      </c>
      <c r="T5474">
        <v>-7.2114590000000006E-2</v>
      </c>
      <c r="U5474">
        <v>9.657288E-2</v>
      </c>
      <c r="V5474">
        <v>3.2314240000000001E-2</v>
      </c>
      <c r="W5474">
        <v>9.8564379999999993E-2</v>
      </c>
      <c r="X5474">
        <v>0.99460590000000004</v>
      </c>
      <c r="Y5474">
        <v>-1.2958320000000001E-2</v>
      </c>
      <c r="Z5474">
        <v>-2.9908879999999998E-4</v>
      </c>
      <c r="AA5474">
        <v>0.99991600000000003</v>
      </c>
      <c r="AB5474">
        <v>30</v>
      </c>
      <c r="AC5474">
        <v>46.212499999999899</v>
      </c>
      <c r="AD5474">
        <v>-1.1105072001956999</v>
      </c>
      <c r="AE5474">
        <v>1.4814000000000001</v>
      </c>
      <c r="AF5474">
        <v>-0.60224692715335804</v>
      </c>
      <c r="AG5474">
        <v>-1.1105072001956999</v>
      </c>
      <c r="AH5474">
        <v>46.205656374060602</v>
      </c>
      <c r="AI5474">
        <v>91.376665389340999</v>
      </c>
      <c r="AJ5474">
        <v>90.746753882772495</v>
      </c>
      <c r="AK5474">
        <v>46.222922977249297</v>
      </c>
      <c r="AL5474">
        <v>84.3434930337814</v>
      </c>
      <c r="AM5474">
        <v>88.139143823344199</v>
      </c>
      <c r="AN5474">
        <v>1.0000000217131799</v>
      </c>
    </row>
    <row r="5475" spans="1:40" x14ac:dyDescent="0.25">
      <c r="A5475" t="str">
        <f>"20190312150802118"</f>
        <v>20190312150802118</v>
      </c>
      <c r="B5475" t="str">
        <f>"1552374482115475"</f>
        <v>1552374482115475</v>
      </c>
      <c r="C5475" t="s">
        <v>40</v>
      </c>
      <c r="D5475">
        <v>4.2598449999999897</v>
      </c>
      <c r="E5475">
        <v>0.48247839999999997</v>
      </c>
      <c r="F5475" t="s">
        <v>67</v>
      </c>
      <c r="G5475">
        <v>-272.22230000000002</v>
      </c>
      <c r="H5475" s="1">
        <v>-4.2274069999999998E-7</v>
      </c>
      <c r="I5475">
        <v>216.1849</v>
      </c>
      <c r="J5475">
        <v>-318.54750000000001</v>
      </c>
      <c r="K5475">
        <v>1.11046</v>
      </c>
      <c r="L5475">
        <v>214.65780000000001</v>
      </c>
      <c r="M5475">
        <v>0.99976549999999997</v>
      </c>
      <c r="N5475">
        <v>0</v>
      </c>
      <c r="O5475">
        <v>1.937032E-2</v>
      </c>
      <c r="P5475">
        <v>0.99592970000000003</v>
      </c>
      <c r="Q5475">
        <v>8.9157189999999997E-2</v>
      </c>
      <c r="R5475">
        <v>-1.323121E-2</v>
      </c>
      <c r="S5475">
        <v>3.0199579999999999</v>
      </c>
      <c r="T5475">
        <v>-7.1926589999999999E-2</v>
      </c>
      <c r="U5475">
        <v>9.9304199999999995E-2</v>
      </c>
      <c r="V5475">
        <v>3.2447829999999997E-2</v>
      </c>
      <c r="W5475">
        <v>9.881587E-2</v>
      </c>
      <c r="X5475">
        <v>0.99457660000000003</v>
      </c>
      <c r="Y5475">
        <v>-1.34996E-2</v>
      </c>
      <c r="Z5475">
        <v>-3.0042360000000001E-4</v>
      </c>
      <c r="AA5475">
        <v>0.99990880000000004</v>
      </c>
      <c r="AB5475">
        <v>30</v>
      </c>
      <c r="AC5475">
        <v>46.325200000000002</v>
      </c>
      <c r="AD5475">
        <v>-1.1104604227407</v>
      </c>
      <c r="AE5475">
        <v>1.5270999999999899</v>
      </c>
      <c r="AF5475">
        <v>-0.62907636821166502</v>
      </c>
      <c r="AG5475">
        <v>-1.1104604227407</v>
      </c>
      <c r="AH5475">
        <v>46.319502689753598</v>
      </c>
      <c r="AI5475">
        <v>91.373215233809901</v>
      </c>
      <c r="AJ5475">
        <v>90.778100000454302</v>
      </c>
      <c r="AK5475">
        <v>46.337082222056303</v>
      </c>
      <c r="AL5475">
        <v>84.329013052023598</v>
      </c>
      <c r="AM5475">
        <v>88.131401309454006</v>
      </c>
      <c r="AN5475">
        <v>1.00000002555156</v>
      </c>
    </row>
    <row r="5476" spans="1:40" x14ac:dyDescent="0.25">
      <c r="A5476" t="str">
        <f>"20190312150802134"</f>
        <v>20190312150802134</v>
      </c>
      <c r="B5476" t="str">
        <f>"1552374482125235"</f>
        <v>1552374482125235</v>
      </c>
      <c r="C5476" t="s">
        <v>40</v>
      </c>
      <c r="D5476">
        <v>4.6858709999999997</v>
      </c>
      <c r="E5476">
        <v>0.4824774</v>
      </c>
      <c r="F5476" t="s">
        <v>67</v>
      </c>
      <c r="G5476">
        <v>-272.01909999999998</v>
      </c>
      <c r="H5476" s="1">
        <v>-5.3231819999999897E-7</v>
      </c>
      <c r="I5476">
        <v>216.21789999999999</v>
      </c>
      <c r="J5476">
        <v>-318.34010000000001</v>
      </c>
      <c r="K5476">
        <v>1.1104290000000001</v>
      </c>
      <c r="L5476">
        <v>214.66210000000001</v>
      </c>
      <c r="M5476">
        <v>0.99976169999999998</v>
      </c>
      <c r="N5476">
        <v>0</v>
      </c>
      <c r="O5476">
        <v>1.9586349999999999E-2</v>
      </c>
      <c r="P5476">
        <v>0.99590630000000002</v>
      </c>
      <c r="Q5476">
        <v>8.9416099999999998E-2</v>
      </c>
      <c r="R5476">
        <v>-1.32558E-2</v>
      </c>
      <c r="S5476">
        <v>3.0200200000000001</v>
      </c>
      <c r="T5476">
        <v>-7.2076799999999996E-2</v>
      </c>
      <c r="U5476">
        <v>0.10125729999999999</v>
      </c>
      <c r="V5476">
        <v>3.2693680000000003E-2</v>
      </c>
      <c r="W5476">
        <v>9.9037929999999996E-2</v>
      </c>
      <c r="X5476">
        <v>0.99454640000000005</v>
      </c>
      <c r="Y5476">
        <v>-1.392879E-2</v>
      </c>
      <c r="Z5476">
        <v>-3.0107339999999998E-4</v>
      </c>
      <c r="AA5476">
        <v>0.99990299999999999</v>
      </c>
      <c r="AB5476">
        <v>30</v>
      </c>
      <c r="AC5476">
        <v>46.320999999999998</v>
      </c>
      <c r="AD5476">
        <v>-1.1104295323182001</v>
      </c>
      <c r="AE5476">
        <v>1.5557999999999701</v>
      </c>
      <c r="AF5476">
        <v>-0.647828175529226</v>
      </c>
      <c r="AG5476">
        <v>-1.1104295323182001</v>
      </c>
      <c r="AH5476">
        <v>46.316000341321399</v>
      </c>
      <c r="AI5476">
        <v>91.373273167703999</v>
      </c>
      <c r="AJ5476">
        <v>90.801351579189799</v>
      </c>
      <c r="AK5476">
        <v>46.333838851411201</v>
      </c>
      <c r="AL5476">
        <v>84.316226888120696</v>
      </c>
      <c r="AM5476">
        <v>88.117196373938697</v>
      </c>
      <c r="AN5476">
        <v>0.999999965021793</v>
      </c>
    </row>
    <row r="5477" spans="1:40" x14ac:dyDescent="0.25">
      <c r="A5477" t="str">
        <f>"20190312150802152"</f>
        <v>20190312150802152</v>
      </c>
      <c r="B5477" t="str">
        <f>"1552374482145731"</f>
        <v>1552374482145731</v>
      </c>
      <c r="C5477" t="s">
        <v>40</v>
      </c>
      <c r="D5477">
        <v>4.6826840000000001</v>
      </c>
      <c r="E5477">
        <v>0.48242259999999998</v>
      </c>
      <c r="F5477" t="s">
        <v>67</v>
      </c>
      <c r="G5477">
        <v>-271.7681</v>
      </c>
      <c r="H5477" s="1">
        <v>-6.6612269999999898E-7</v>
      </c>
      <c r="I5477">
        <v>216.22239999999999</v>
      </c>
      <c r="J5477">
        <v>-318.08679999999998</v>
      </c>
      <c r="K5477">
        <v>1.110392</v>
      </c>
      <c r="L5477">
        <v>214.66730000000001</v>
      </c>
      <c r="M5477">
        <v>0.99975740000000002</v>
      </c>
      <c r="N5477">
        <v>0</v>
      </c>
      <c r="O5477">
        <v>1.9820049999999999E-2</v>
      </c>
      <c r="P5477">
        <v>0.99586079999999999</v>
      </c>
      <c r="Q5477">
        <v>8.9854299999999998E-2</v>
      </c>
      <c r="R5477">
        <v>-1.3695529999999999E-2</v>
      </c>
      <c r="S5477">
        <v>3.020111</v>
      </c>
      <c r="T5477">
        <v>-7.2009329999999996E-2</v>
      </c>
      <c r="U5477">
        <v>0.10118099999999999</v>
      </c>
      <c r="V5477">
        <v>3.3372979999999997E-2</v>
      </c>
      <c r="W5477">
        <v>9.9435549999999998E-2</v>
      </c>
      <c r="X5477">
        <v>0.99448419999999904</v>
      </c>
      <c r="Y5477">
        <v>-1.3668949999999999E-2</v>
      </c>
      <c r="Z5477">
        <v>-3.0944719999999998E-4</v>
      </c>
      <c r="AA5477">
        <v>0.99990650000000003</v>
      </c>
      <c r="AB5477">
        <v>30</v>
      </c>
      <c r="AC5477">
        <v>46.3186999999999</v>
      </c>
      <c r="AD5477">
        <v>-1.1103926661226999</v>
      </c>
      <c r="AE5477">
        <v>1.5550999999999799</v>
      </c>
      <c r="AF5477">
        <v>-0.63634787322424602</v>
      </c>
      <c r="AG5477">
        <v>-1.1103926661226999</v>
      </c>
      <c r="AH5477">
        <v>46.313837511956002</v>
      </c>
      <c r="AI5477">
        <v>91.373296401128499</v>
      </c>
      <c r="AJ5477">
        <v>90.787189213534106</v>
      </c>
      <c r="AK5477">
        <v>46.331516871052202</v>
      </c>
      <c r="AL5477">
        <v>84.293332150844194</v>
      </c>
      <c r="AM5477">
        <v>88.077984939652595</v>
      </c>
      <c r="AN5477">
        <v>1.00000000422376</v>
      </c>
    </row>
    <row r="5478" spans="1:40" x14ac:dyDescent="0.25">
      <c r="A5478" t="str">
        <f>"20190312150802167"</f>
        <v>20190312150802167</v>
      </c>
      <c r="B5478" t="str">
        <f>"1552374482155490"</f>
        <v>1552374482155490</v>
      </c>
      <c r="C5478" t="s">
        <v>40</v>
      </c>
      <c r="D5478">
        <v>4.2720469999999997</v>
      </c>
      <c r="E5478">
        <v>0.48238769999999997</v>
      </c>
      <c r="F5478" t="s">
        <v>67</v>
      </c>
      <c r="G5478">
        <v>-271.17669999999998</v>
      </c>
      <c r="H5478" s="1">
        <v>-9.8107280000000003E-7</v>
      </c>
      <c r="I5478">
        <v>216.22810000000001</v>
      </c>
      <c r="J5478">
        <v>-317.89359999999999</v>
      </c>
      <c r="K5478">
        <v>1.110365</v>
      </c>
      <c r="L5478">
        <v>214.6713</v>
      </c>
      <c r="M5478">
        <v>0.99975440000000004</v>
      </c>
      <c r="N5478">
        <v>0</v>
      </c>
      <c r="O5478">
        <v>1.9979770000000001E-2</v>
      </c>
      <c r="P5478">
        <v>0.99585440000000003</v>
      </c>
      <c r="Q5478">
        <v>8.9878470000000002E-2</v>
      </c>
      <c r="R5478">
        <v>-1.4005180000000001E-2</v>
      </c>
      <c r="S5478">
        <v>3.0202939999999998</v>
      </c>
      <c r="T5478">
        <v>-7.1492310000000003E-2</v>
      </c>
      <c r="U5478">
        <v>0.1004944</v>
      </c>
      <c r="V5478">
        <v>3.3846870000000001E-2</v>
      </c>
      <c r="W5478">
        <v>9.9431279999999997E-2</v>
      </c>
      <c r="X5478">
        <v>0.99446860000000004</v>
      </c>
      <c r="Y5478">
        <v>-1.328024E-2</v>
      </c>
      <c r="Z5478">
        <v>-3.1558569999999998E-4</v>
      </c>
      <c r="AA5478">
        <v>0.99991180000000002</v>
      </c>
      <c r="AB5478">
        <v>30</v>
      </c>
      <c r="AC5478">
        <v>46.716900000000003</v>
      </c>
      <c r="AD5478">
        <v>-1.1103659810727999</v>
      </c>
      <c r="AE5478">
        <v>1.5568</v>
      </c>
      <c r="AF5478">
        <v>-0.62270199344726096</v>
      </c>
      <c r="AG5478">
        <v>-1.1103659810727999</v>
      </c>
      <c r="AH5478">
        <v>46.712320371016901</v>
      </c>
      <c r="AI5478">
        <v>91.361560654959604</v>
      </c>
      <c r="AJ5478">
        <v>90.763740329590206</v>
      </c>
      <c r="AK5478">
        <v>46.729664505847701</v>
      </c>
      <c r="AL5478">
        <v>84.293577959298403</v>
      </c>
      <c r="AM5478">
        <v>88.050683042833697</v>
      </c>
      <c r="AN5478">
        <v>0.99999999321859701</v>
      </c>
    </row>
    <row r="5479" spans="1:40" x14ac:dyDescent="0.25">
      <c r="A5479" t="str">
        <f>"20190312150802185"</f>
        <v>20190312150802185</v>
      </c>
      <c r="B5479" t="str">
        <f>"1552374482175987"</f>
        <v>1552374482175987</v>
      </c>
      <c r="C5479" t="s">
        <v>40</v>
      </c>
      <c r="D5479">
        <v>4.2731500000000002</v>
      </c>
      <c r="E5479">
        <v>0.48232959999999903</v>
      </c>
      <c r="F5479" t="s">
        <v>67</v>
      </c>
      <c r="G5479">
        <v>-270.9341</v>
      </c>
      <c r="H5479" s="1">
        <v>-1.1099E-6</v>
      </c>
      <c r="I5479">
        <v>216.22139999999999</v>
      </c>
      <c r="J5479">
        <v>-317.63780000000003</v>
      </c>
      <c r="K5479">
        <v>1.1103350000000001</v>
      </c>
      <c r="L5479">
        <v>214.67660000000001</v>
      </c>
      <c r="M5479">
        <v>0.9997511</v>
      </c>
      <c r="N5479">
        <v>0</v>
      </c>
      <c r="O5479">
        <v>2.0166369999999999E-2</v>
      </c>
      <c r="P5479">
        <v>0.99580860000000004</v>
      </c>
      <c r="Q5479">
        <v>9.0281959999999994E-2</v>
      </c>
      <c r="R5479">
        <v>-1.4651829999999999E-2</v>
      </c>
      <c r="S5479">
        <v>3.0203250000000001</v>
      </c>
      <c r="T5479">
        <v>-7.1416019999999997E-2</v>
      </c>
      <c r="U5479">
        <v>9.9700929999999993E-2</v>
      </c>
      <c r="V5479">
        <v>3.4684439999999997E-2</v>
      </c>
      <c r="W5479">
        <v>9.9800879999999995E-2</v>
      </c>
      <c r="X5479">
        <v>0.99440269999999997</v>
      </c>
      <c r="Y5479">
        <v>-1.283106E-2</v>
      </c>
      <c r="Z5479">
        <v>-3.249646E-4</v>
      </c>
      <c r="AA5479">
        <v>0.99991759999999996</v>
      </c>
      <c r="AB5479">
        <v>30</v>
      </c>
      <c r="AC5479">
        <v>46.703699999999998</v>
      </c>
      <c r="AD5479">
        <v>-1.1103361099</v>
      </c>
      <c r="AE5479">
        <v>1.54479999999998</v>
      </c>
      <c r="AF5479">
        <v>-0.60225881236580203</v>
      </c>
      <c r="AG5479">
        <v>-1.1103361099</v>
      </c>
      <c r="AH5479">
        <v>46.698990129102398</v>
      </c>
      <c r="AI5479">
        <v>91.361920287139696</v>
      </c>
      <c r="AJ5479">
        <v>90.738880543807696</v>
      </c>
      <c r="AK5479">
        <v>46.716070479354599</v>
      </c>
      <c r="AL5479">
        <v>84.272295491197994</v>
      </c>
      <c r="AM5479">
        <v>88.002351848900105</v>
      </c>
      <c r="AN5479">
        <v>0.99999997789708805</v>
      </c>
    </row>
    <row r="5480" spans="1:40" x14ac:dyDescent="0.25">
      <c r="A5480" t="str">
        <f>"20190312150802209"</f>
        <v>20190312150802209</v>
      </c>
      <c r="B5480" t="str">
        <f>"1552374482205267"</f>
        <v>1552374482205267</v>
      </c>
      <c r="C5480" t="s">
        <v>40</v>
      </c>
      <c r="D5480">
        <v>4.1884690000000004</v>
      </c>
      <c r="E5480">
        <v>0.48222710000000002</v>
      </c>
      <c r="F5480" t="s">
        <v>67</v>
      </c>
      <c r="G5480">
        <v>-270.3306</v>
      </c>
      <c r="H5480" s="1">
        <v>-1.4309229999999999E-6</v>
      </c>
      <c r="I5480">
        <v>216.2192</v>
      </c>
      <c r="J5480">
        <v>-317.32310000000001</v>
      </c>
      <c r="K5480">
        <v>1.110306</v>
      </c>
      <c r="L5480">
        <v>214.6832</v>
      </c>
      <c r="M5480">
        <v>0.99974730000000001</v>
      </c>
      <c r="N5480">
        <v>0</v>
      </c>
      <c r="O5480">
        <v>2.0365319999999999E-2</v>
      </c>
      <c r="P5480">
        <v>0.9958051</v>
      </c>
      <c r="Q5480">
        <v>9.0225260000000002E-2</v>
      </c>
      <c r="R5480">
        <v>-1.5220269999999999E-2</v>
      </c>
      <c r="S5480">
        <v>3.020508</v>
      </c>
      <c r="T5480">
        <v>-7.0893650000000002E-2</v>
      </c>
      <c r="U5480">
        <v>9.8495479999999996E-2</v>
      </c>
      <c r="V5480">
        <v>3.5456969999999997E-2</v>
      </c>
      <c r="W5480">
        <v>9.9706950000000003E-2</v>
      </c>
      <c r="X5480">
        <v>0.99438490000000002</v>
      </c>
      <c r="Y5480">
        <v>-1.223164E-2</v>
      </c>
      <c r="Z5480">
        <v>-3.3426920000000001E-4</v>
      </c>
      <c r="AA5480">
        <v>0.99992510000000001</v>
      </c>
      <c r="AB5480">
        <v>30</v>
      </c>
      <c r="AC5480">
        <v>46.9925</v>
      </c>
      <c r="AD5480">
        <v>-1.1103074309229899</v>
      </c>
      <c r="AE5480">
        <v>1.536</v>
      </c>
      <c r="AF5480">
        <v>-0.57829827092896902</v>
      </c>
      <c r="AG5480">
        <v>-1.1103074309229899</v>
      </c>
      <c r="AH5480">
        <v>46.987832670250498</v>
      </c>
      <c r="AI5480">
        <v>91.353526542582799</v>
      </c>
      <c r="AJ5480">
        <v>90.705126743041802</v>
      </c>
      <c r="AK5480">
        <v>47.004506491705499</v>
      </c>
      <c r="AL5480">
        <v>84.277704394581505</v>
      </c>
      <c r="AM5480">
        <v>87.957858769428597</v>
      </c>
      <c r="AN5480">
        <v>1.00000000097394</v>
      </c>
    </row>
    <row r="5481" spans="1:40" x14ac:dyDescent="0.25">
      <c r="A5481" t="str">
        <f>"20190312150802231"</f>
        <v>20190312150802231</v>
      </c>
      <c r="B5481" t="str">
        <f>"1552374482225763"</f>
        <v>1552374482225763</v>
      </c>
      <c r="C5481" t="s">
        <v>40</v>
      </c>
      <c r="D5481">
        <v>4.6310449999999896</v>
      </c>
      <c r="E5481">
        <v>0.48220390000000002</v>
      </c>
      <c r="F5481" t="s">
        <v>67</v>
      </c>
      <c r="G5481">
        <v>-271.25110000000001</v>
      </c>
      <c r="H5481" s="1">
        <v>-9.3907840000000003E-7</v>
      </c>
      <c r="I5481">
        <v>216.1729</v>
      </c>
      <c r="J5481">
        <v>-317.02100000000002</v>
      </c>
      <c r="K5481">
        <v>1.1102890000000001</v>
      </c>
      <c r="L5481">
        <v>214.68950000000001</v>
      </c>
      <c r="M5481">
        <v>0.99974419999999997</v>
      </c>
      <c r="N5481">
        <v>0</v>
      </c>
      <c r="O5481">
        <v>2.053377E-2</v>
      </c>
      <c r="P5481">
        <v>0.99574589999999996</v>
      </c>
      <c r="Q5481">
        <v>9.0725470000000003E-2</v>
      </c>
      <c r="R5481">
        <v>-1.6089570000000001E-2</v>
      </c>
      <c r="S5481">
        <v>3.020721</v>
      </c>
      <c r="T5481">
        <v>-7.2797420000000002E-2</v>
      </c>
      <c r="U5481">
        <v>9.7671510000000003E-2</v>
      </c>
      <c r="V5481">
        <v>3.649724E-2</v>
      </c>
      <c r="W5481">
        <v>0.100171</v>
      </c>
      <c r="X5481">
        <v>0.99430059999999998</v>
      </c>
      <c r="Y5481">
        <v>-1.1788699999999999E-2</v>
      </c>
      <c r="Z5481">
        <v>-3.5261230000000003E-4</v>
      </c>
      <c r="AA5481">
        <v>0.9999304</v>
      </c>
      <c r="AB5481">
        <v>30</v>
      </c>
      <c r="AC5481">
        <v>45.7698999999999</v>
      </c>
      <c r="AD5481">
        <v>-1.11028993907839</v>
      </c>
      <c r="AE5481">
        <v>1.4833999999999801</v>
      </c>
      <c r="AF5481">
        <v>-0.54289722947868202</v>
      </c>
      <c r="AG5481">
        <v>-1.11028993907839</v>
      </c>
      <c r="AH5481">
        <v>45.763808505468297</v>
      </c>
      <c r="AI5481">
        <v>91.389700274953</v>
      </c>
      <c r="AJ5481">
        <v>90.679669413754596</v>
      </c>
      <c r="AK5481">
        <v>45.780494209605997</v>
      </c>
      <c r="AL5481">
        <v>84.250982388266905</v>
      </c>
      <c r="AM5481">
        <v>87.897819431642603</v>
      </c>
      <c r="AN5481">
        <v>0.99999998046448801</v>
      </c>
    </row>
    <row r="5482" spans="1:40" x14ac:dyDescent="0.25">
      <c r="A5482" t="str">
        <f>"20190312150802265"</f>
        <v>20190312150802265</v>
      </c>
      <c r="B5482" t="str">
        <f>"1552374482256019"</f>
        <v>1552374482256019</v>
      </c>
      <c r="C5482" t="s">
        <v>40</v>
      </c>
      <c r="D5482">
        <v>4.5405550000000003</v>
      </c>
      <c r="E5482">
        <v>0.48215439999999998</v>
      </c>
      <c r="F5482" t="s">
        <v>67</v>
      </c>
      <c r="G5482">
        <v>-270.82089999999999</v>
      </c>
      <c r="H5482" s="1">
        <v>-1.1669330000000001E-6</v>
      </c>
      <c r="I5482">
        <v>216.1491</v>
      </c>
      <c r="J5482">
        <v>-316.55650000000003</v>
      </c>
      <c r="K5482">
        <v>1.1102639999999999</v>
      </c>
      <c r="L5482">
        <v>214.69929999999999</v>
      </c>
      <c r="M5482">
        <v>0.99973999999999996</v>
      </c>
      <c r="N5482">
        <v>0</v>
      </c>
      <c r="O5482">
        <v>2.0762139999999998E-2</v>
      </c>
      <c r="P5482">
        <v>0.99566699999999997</v>
      </c>
      <c r="Q5482">
        <v>9.1455120000000001E-2</v>
      </c>
      <c r="R5482">
        <v>-1.6830749999999998E-2</v>
      </c>
      <c r="S5482">
        <v>3.020966</v>
      </c>
      <c r="T5482">
        <v>-7.2600479999999995E-2</v>
      </c>
      <c r="U5482">
        <v>9.5443730000000004E-2</v>
      </c>
      <c r="V5482">
        <v>3.7469269999999999E-2</v>
      </c>
      <c r="W5482">
        <v>0.10084940000000001</v>
      </c>
      <c r="X5482">
        <v>0.99419590000000002</v>
      </c>
      <c r="Y5482">
        <v>-1.082138E-2</v>
      </c>
      <c r="Z5482">
        <v>-3.6873849999999997E-4</v>
      </c>
      <c r="AA5482">
        <v>0.99994139999999998</v>
      </c>
      <c r="AB5482">
        <v>30</v>
      </c>
      <c r="AC5482">
        <v>45.735599999999998</v>
      </c>
      <c r="AD5482">
        <v>-1.1102651669329999</v>
      </c>
      <c r="AE5482">
        <v>1.44980000000001</v>
      </c>
      <c r="AF5482">
        <v>-0.49958221946623199</v>
      </c>
      <c r="AG5482">
        <v>-1.1102651669329999</v>
      </c>
      <c r="AH5482">
        <v>45.728921296488899</v>
      </c>
      <c r="AI5482">
        <v>91.390743920412902</v>
      </c>
      <c r="AJ5482">
        <v>90.625923664582203</v>
      </c>
      <c r="AK5482">
        <v>45.745125577217401</v>
      </c>
      <c r="AL5482">
        <v>84.211915310043807</v>
      </c>
      <c r="AM5482">
        <v>87.841657308635803</v>
      </c>
      <c r="AN5482">
        <v>1.00000001762575</v>
      </c>
    </row>
    <row r="5483" spans="1:40" x14ac:dyDescent="0.25">
      <c r="A5483" t="str">
        <f>"20190312150802286"</f>
        <v>20190312150802286</v>
      </c>
      <c r="B5483" t="str">
        <f>"1552374482275539"</f>
        <v>1552374482275539</v>
      </c>
      <c r="C5483" t="s">
        <v>40</v>
      </c>
      <c r="D5483">
        <v>4.3151539999999997</v>
      </c>
      <c r="E5483">
        <v>0.48209020000000002</v>
      </c>
      <c r="F5483" t="s">
        <v>67</v>
      </c>
      <c r="G5483">
        <v>-270.33940000000001</v>
      </c>
      <c r="H5483" s="1">
        <v>-1.422286E-6</v>
      </c>
      <c r="I5483">
        <v>216.12950000000001</v>
      </c>
      <c r="J5483">
        <v>-316.26900000000001</v>
      </c>
      <c r="K5483">
        <v>1.1102529999999999</v>
      </c>
      <c r="L5483">
        <v>214.7054</v>
      </c>
      <c r="M5483">
        <v>0.9997376</v>
      </c>
      <c r="N5483">
        <v>0</v>
      </c>
      <c r="O5483">
        <v>2.088543E-2</v>
      </c>
      <c r="P5483">
        <v>0.99561440000000001</v>
      </c>
      <c r="Q5483">
        <v>9.1947269999999998E-2</v>
      </c>
      <c r="R5483">
        <v>-1.7255380000000001E-2</v>
      </c>
      <c r="S5483">
        <v>3.021271</v>
      </c>
      <c r="T5483">
        <v>-7.2579619999999997E-2</v>
      </c>
      <c r="U5483">
        <v>9.3490599999999993E-2</v>
      </c>
      <c r="V5483">
        <v>3.8018639999999999E-2</v>
      </c>
      <c r="W5483">
        <v>0.1013143</v>
      </c>
      <c r="X5483">
        <v>0.99412780000000001</v>
      </c>
      <c r="Y5483">
        <v>-1.004934E-2</v>
      </c>
      <c r="Z5483">
        <v>-3.8082939999999998E-4</v>
      </c>
      <c r="AA5483">
        <v>0.99994950000000005</v>
      </c>
      <c r="AB5483">
        <v>30</v>
      </c>
      <c r="AC5483">
        <v>45.929599999999901</v>
      </c>
      <c r="AD5483">
        <v>-1.110254422286</v>
      </c>
      <c r="AE5483">
        <v>1.4241000000000099</v>
      </c>
      <c r="AF5483">
        <v>-0.46421643540962898</v>
      </c>
      <c r="AG5483">
        <v>-1.110254422286</v>
      </c>
      <c r="AH5483">
        <v>45.922516779995</v>
      </c>
      <c r="AI5483">
        <v>91.384881735606697</v>
      </c>
      <c r="AJ5483">
        <v>90.579165483182507</v>
      </c>
      <c r="AK5483">
        <v>45.938281521951097</v>
      </c>
      <c r="AL5483">
        <v>84.185141520551298</v>
      </c>
      <c r="AM5483">
        <v>87.809892662307107</v>
      </c>
      <c r="AN5483">
        <v>1.0000000435523799</v>
      </c>
    </row>
    <row r="5484" spans="1:40" x14ac:dyDescent="0.25">
      <c r="A5484" t="str">
        <f>"20190312150802307"</f>
        <v>20190312150802307</v>
      </c>
      <c r="B5484" t="str">
        <f>"1552374482305795"</f>
        <v>1552374482305795</v>
      </c>
      <c r="C5484" t="s">
        <v>40</v>
      </c>
      <c r="D5484">
        <v>4.3448409999999997</v>
      </c>
      <c r="E5484">
        <v>0.48203580000000001</v>
      </c>
      <c r="F5484" t="s">
        <v>67</v>
      </c>
      <c r="G5484">
        <v>-270.24400000000003</v>
      </c>
      <c r="H5484" s="1">
        <v>-1.47268E-6</v>
      </c>
      <c r="I5484">
        <v>216.11969999999999</v>
      </c>
      <c r="J5484">
        <v>-315.96940000000001</v>
      </c>
      <c r="K5484">
        <v>1.1102399999999999</v>
      </c>
      <c r="L5484">
        <v>214.71180000000001</v>
      </c>
      <c r="M5484">
        <v>0.9997355</v>
      </c>
      <c r="N5484">
        <v>0</v>
      </c>
      <c r="O5484">
        <v>2.1002280000000002E-2</v>
      </c>
      <c r="P5484">
        <v>0.99561080000000002</v>
      </c>
      <c r="Q5484">
        <v>9.1878130000000002E-2</v>
      </c>
      <c r="R5484">
        <v>-1.7824199999999998E-2</v>
      </c>
      <c r="S5484">
        <v>3.0215450000000001</v>
      </c>
      <c r="T5484">
        <v>-7.2888259999999996E-2</v>
      </c>
      <c r="U5484">
        <v>9.2849730000000005E-2</v>
      </c>
      <c r="V5484">
        <v>3.8706850000000001E-2</v>
      </c>
      <c r="W5484">
        <v>0.1012199</v>
      </c>
      <c r="X5484">
        <v>0.99411079999999996</v>
      </c>
      <c r="Y5484">
        <v>-9.7179369999999994E-3</v>
      </c>
      <c r="Z5484">
        <v>-3.8922750000000003E-4</v>
      </c>
      <c r="AA5484">
        <v>0.99995270000000003</v>
      </c>
      <c r="AB5484">
        <v>31</v>
      </c>
      <c r="AC5484">
        <v>45.725399999999901</v>
      </c>
      <c r="AD5484">
        <v>-1.1102414726799901</v>
      </c>
      <c r="AE5484">
        <v>1.4078999999999799</v>
      </c>
      <c r="AF5484">
        <v>-0.44694634995586302</v>
      </c>
      <c r="AG5484">
        <v>-1.1102414726799901</v>
      </c>
      <c r="AH5484">
        <v>45.717956325702602</v>
      </c>
      <c r="AI5484">
        <v>91.391064200069593</v>
      </c>
      <c r="AJ5484">
        <v>90.5601152327622</v>
      </c>
      <c r="AK5484">
        <v>45.733619228815101</v>
      </c>
      <c r="AL5484">
        <v>84.190577852124207</v>
      </c>
      <c r="AM5484">
        <v>87.770249104716697</v>
      </c>
      <c r="AN5484">
        <v>0.99999998553478597</v>
      </c>
    </row>
    <row r="5485" spans="1:40" x14ac:dyDescent="0.25">
      <c r="A5485" t="str">
        <f>"20190312150802331"</f>
        <v>20190312150802331</v>
      </c>
      <c r="B5485" t="str">
        <f>"1552374482325316"</f>
        <v>1552374482325316</v>
      </c>
      <c r="C5485" t="s">
        <v>40</v>
      </c>
      <c r="D5485">
        <v>4.5246079999999997</v>
      </c>
      <c r="E5485">
        <v>0.47040349999999997</v>
      </c>
      <c r="F5485" t="s">
        <v>67</v>
      </c>
      <c r="G5485">
        <v>-271.0462</v>
      </c>
      <c r="H5485" s="1">
        <v>-1.0437470000000001E-6</v>
      </c>
      <c r="I5485">
        <v>216.07400000000001</v>
      </c>
      <c r="J5485">
        <v>-315.65910000000002</v>
      </c>
      <c r="K5485">
        <v>1.110217</v>
      </c>
      <c r="L5485">
        <v>214.7184</v>
      </c>
      <c r="M5485">
        <v>0.9997336</v>
      </c>
      <c r="N5485">
        <v>0</v>
      </c>
      <c r="O5485">
        <v>2.1104689999999999E-2</v>
      </c>
      <c r="P5485">
        <v>0.9956197</v>
      </c>
      <c r="Q5485">
        <v>9.1739710000000002E-2</v>
      </c>
      <c r="R5485">
        <v>-1.8041769999999999E-2</v>
      </c>
      <c r="S5485">
        <v>3.0217290000000001</v>
      </c>
      <c r="T5485">
        <v>-7.4679609999999993E-2</v>
      </c>
      <c r="U5485">
        <v>9.162903E-2</v>
      </c>
      <c r="V5485">
        <v>3.9030269999999999E-2</v>
      </c>
      <c r="W5485">
        <v>0.1010529</v>
      </c>
      <c r="X5485">
        <v>0.99411519999999998</v>
      </c>
      <c r="Y5485">
        <v>-9.2104160000000008E-3</v>
      </c>
      <c r="Z5485">
        <v>-4.075676E-4</v>
      </c>
      <c r="AA5485">
        <v>0.99995750000000005</v>
      </c>
      <c r="AB5485">
        <v>31</v>
      </c>
      <c r="AC5485">
        <v>44.612900000000003</v>
      </c>
      <c r="AD5485">
        <v>-1.1102180437469999</v>
      </c>
      <c r="AE5485">
        <v>1.3555999999999999</v>
      </c>
      <c r="AF5485">
        <v>-0.413459690905912</v>
      </c>
      <c r="AG5485">
        <v>-1.1102180437469999</v>
      </c>
      <c r="AH5485">
        <v>44.603975906142303</v>
      </c>
      <c r="AI5485">
        <v>91.425768540667406</v>
      </c>
      <c r="AJ5485">
        <v>90.531092045839401</v>
      </c>
      <c r="AK5485">
        <v>44.619706404865397</v>
      </c>
      <c r="AL5485">
        <v>84.200195882773599</v>
      </c>
      <c r="AM5485">
        <v>87.7516471204829</v>
      </c>
      <c r="AN5485">
        <v>1.00000004072286</v>
      </c>
    </row>
    <row r="5486" spans="1:40" x14ac:dyDescent="0.25">
      <c r="A5486" t="str">
        <f>"20190312150802353"</f>
        <v>20190312150802353</v>
      </c>
      <c r="B5486" t="str">
        <f>"1552374482345811"</f>
        <v>1552374482345811</v>
      </c>
      <c r="C5486" t="s">
        <v>40</v>
      </c>
      <c r="D5486">
        <v>4.3094099999999997</v>
      </c>
      <c r="E5486">
        <v>0.46949570000000002</v>
      </c>
      <c r="F5486" t="s">
        <v>68</v>
      </c>
      <c r="G5486">
        <v>-294.50760000000002</v>
      </c>
      <c r="H5486" s="1">
        <v>1.69397699999999E-6</v>
      </c>
      <c r="I5486">
        <v>216.0043</v>
      </c>
      <c r="J5486">
        <v>-315.3476</v>
      </c>
      <c r="K5486">
        <v>1.110193</v>
      </c>
      <c r="L5486">
        <v>214.7251</v>
      </c>
      <c r="M5486">
        <v>0.99973219999999996</v>
      </c>
      <c r="N5486">
        <v>0</v>
      </c>
      <c r="O5486">
        <v>2.118196E-2</v>
      </c>
      <c r="P5486">
        <v>0.99549169999999998</v>
      </c>
      <c r="Q5486">
        <v>9.3030009999999996E-2</v>
      </c>
      <c r="R5486">
        <v>-1.849195E-2</v>
      </c>
      <c r="S5486">
        <v>3.0311889999999999</v>
      </c>
      <c r="T5486">
        <v>-0.15910279999999999</v>
      </c>
      <c r="U5486">
        <v>0.18428040000000001</v>
      </c>
      <c r="V5486">
        <v>3.9559249999999997E-2</v>
      </c>
      <c r="W5486">
        <v>0.1023128</v>
      </c>
      <c r="X5486">
        <v>0.9939654</v>
      </c>
      <c r="Y5486">
        <v>-3.9500140000000003E-2</v>
      </c>
      <c r="Z5486" s="1">
        <v>-7.4844689999999998E-5</v>
      </c>
      <c r="AA5486">
        <v>0.99921950000000004</v>
      </c>
      <c r="AB5486">
        <v>31</v>
      </c>
      <c r="AC5486">
        <v>20.8399999999999</v>
      </c>
      <c r="AD5486">
        <v>-1.110191306023</v>
      </c>
      <c r="AE5486">
        <v>1.2791999999999999</v>
      </c>
      <c r="AF5486">
        <v>-0.835100699111338</v>
      </c>
      <c r="AG5486">
        <v>-1.110191306023</v>
      </c>
      <c r="AH5486">
        <v>20.803603648262399</v>
      </c>
      <c r="AI5486">
        <v>93.052257404386793</v>
      </c>
      <c r="AJ5486">
        <v>92.298739713686402</v>
      </c>
      <c r="AK5486">
        <v>20.849936274905598</v>
      </c>
      <c r="AL5486">
        <v>84.127632760075798</v>
      </c>
      <c r="AM5486">
        <v>87.720863872094498</v>
      </c>
      <c r="AN5486">
        <v>1.0000000298507801</v>
      </c>
    </row>
    <row r="5487" spans="1:40" x14ac:dyDescent="0.25">
      <c r="A5487" t="str">
        <f>"20190312150802375"</f>
        <v>20190312150802375</v>
      </c>
      <c r="B5487" t="str">
        <f>"1552374482365335"</f>
        <v>1552374482365335</v>
      </c>
      <c r="C5487" t="s">
        <v>40</v>
      </c>
      <c r="D5487">
        <v>4.7923720000000003</v>
      </c>
      <c r="E5487">
        <v>0.46957460000000001</v>
      </c>
      <c r="F5487" t="s">
        <v>68</v>
      </c>
      <c r="G5487">
        <v>-294.74079999999998</v>
      </c>
      <c r="H5487" s="1">
        <v>1.735358E-6</v>
      </c>
      <c r="I5487">
        <v>216.0179</v>
      </c>
      <c r="J5487">
        <v>-315.04629999999997</v>
      </c>
      <c r="K5487">
        <v>1.110169</v>
      </c>
      <c r="L5487">
        <v>214.73150000000001</v>
      </c>
      <c r="M5487">
        <v>0.99973140000000005</v>
      </c>
      <c r="N5487">
        <v>0</v>
      </c>
      <c r="O5487">
        <v>2.1231730000000001E-2</v>
      </c>
      <c r="P5487">
        <v>0.99541710000000005</v>
      </c>
      <c r="Q5487">
        <v>9.3743850000000004E-2</v>
      </c>
      <c r="R5487">
        <v>-1.889536E-2</v>
      </c>
      <c r="S5487">
        <v>3.03241</v>
      </c>
      <c r="T5487">
        <v>-0.16337170000000001</v>
      </c>
      <c r="U5487">
        <v>0.19024659999999999</v>
      </c>
      <c r="V5487">
        <v>4.0015910000000002E-2</v>
      </c>
      <c r="W5487">
        <v>0.102997699999999</v>
      </c>
      <c r="X5487">
        <v>0.99387630000000005</v>
      </c>
      <c r="Y5487">
        <v>-4.1380439999999998E-2</v>
      </c>
      <c r="Z5487" s="1">
        <v>-2.8919660000000001E-5</v>
      </c>
      <c r="AA5487">
        <v>0.99914349999999996</v>
      </c>
      <c r="AB5487">
        <v>31</v>
      </c>
      <c r="AC5487">
        <v>20.305499999999899</v>
      </c>
      <c r="AD5487">
        <v>-1.110167264642</v>
      </c>
      <c r="AE5487">
        <v>1.28639999999998</v>
      </c>
      <c r="AF5487">
        <v>-0.85243261652607405</v>
      </c>
      <c r="AG5487">
        <v>-1.110167264642</v>
      </c>
      <c r="AH5487">
        <v>20.267894207019101</v>
      </c>
      <c r="AI5487">
        <v>93.132460798070497</v>
      </c>
      <c r="AJ5487">
        <v>92.408342136736593</v>
      </c>
      <c r="AK5487">
        <v>20.316167165785</v>
      </c>
      <c r="AL5487">
        <v>84.088181988124603</v>
      </c>
      <c r="AM5487">
        <v>87.694375986104404</v>
      </c>
      <c r="AN5487">
        <v>0.999999949480052</v>
      </c>
    </row>
    <row r="5488" spans="1:40" x14ac:dyDescent="0.25">
      <c r="A5488" t="str">
        <f>"20190312150802397"</f>
        <v>20190312150802397</v>
      </c>
      <c r="B5488" t="str">
        <f>"1552374482385827"</f>
        <v>1552374482385827</v>
      </c>
      <c r="C5488" t="s">
        <v>40</v>
      </c>
      <c r="D5488">
        <v>4.3432589999999998</v>
      </c>
      <c r="E5488">
        <v>0.4694583</v>
      </c>
      <c r="F5488" t="s">
        <v>68</v>
      </c>
      <c r="G5488">
        <v>-294.64269999999999</v>
      </c>
      <c r="H5488" s="1">
        <v>1.717949E-6</v>
      </c>
      <c r="I5488">
        <v>216.0035</v>
      </c>
      <c r="J5488">
        <v>-314.74599999999998</v>
      </c>
      <c r="K5488">
        <v>1.11015</v>
      </c>
      <c r="L5488">
        <v>214.7379</v>
      </c>
      <c r="M5488">
        <v>0.99973089999999998</v>
      </c>
      <c r="N5488">
        <v>0</v>
      </c>
      <c r="O5488">
        <v>2.1262349999999999E-2</v>
      </c>
      <c r="P5488">
        <v>0.99537960000000003</v>
      </c>
      <c r="Q5488">
        <v>9.4072420000000004E-2</v>
      </c>
      <c r="R5488">
        <v>-1.9239340000000001E-2</v>
      </c>
      <c r="S5488">
        <v>3.0329280000000001</v>
      </c>
      <c r="T5488">
        <v>-0.16502269999999999</v>
      </c>
      <c r="U5488">
        <v>0.1890869</v>
      </c>
      <c r="V5488">
        <v>4.0394060000000002E-2</v>
      </c>
      <c r="W5488">
        <v>0.1032965</v>
      </c>
      <c r="X5488">
        <v>0.99382999999999999</v>
      </c>
      <c r="Y5488">
        <v>-4.0958719999999997E-2</v>
      </c>
      <c r="Z5488" s="1">
        <v>-4.232337E-5</v>
      </c>
      <c r="AA5488">
        <v>0.99916079999999996</v>
      </c>
      <c r="AB5488">
        <v>31</v>
      </c>
      <c r="AC5488">
        <v>20.103299999999901</v>
      </c>
      <c r="AD5488">
        <v>-1.110148282051</v>
      </c>
      <c r="AE5488">
        <v>1.2656000000000001</v>
      </c>
      <c r="AF5488">
        <v>-0.83531484268839595</v>
      </c>
      <c r="AG5488">
        <v>-1.110148282051</v>
      </c>
      <c r="AH5488">
        <v>20.064720032214499</v>
      </c>
      <c r="AI5488">
        <v>93.164118144975902</v>
      </c>
      <c r="AJ5488">
        <v>92.383905396495393</v>
      </c>
      <c r="AK5488">
        <v>20.112761373459001</v>
      </c>
      <c r="AL5488">
        <v>84.070970252926301</v>
      </c>
      <c r="AM5488">
        <v>87.672503399024606</v>
      </c>
      <c r="AN5488">
        <v>0.99999995794776597</v>
      </c>
    </row>
    <row r="5489" spans="1:40" x14ac:dyDescent="0.25">
      <c r="A5489" t="str">
        <f>"20190312150802420"</f>
        <v>20190312150802420</v>
      </c>
      <c r="B5489" t="str">
        <f>"1552374482415107"</f>
        <v>1552374482415107</v>
      </c>
      <c r="C5489" t="s">
        <v>40</v>
      </c>
      <c r="D5489">
        <v>4.490818</v>
      </c>
      <c r="E5489">
        <v>0.46932289999999999</v>
      </c>
      <c r="F5489" t="s">
        <v>68</v>
      </c>
      <c r="G5489">
        <v>-294.78129999999999</v>
      </c>
      <c r="H5489" s="1">
        <v>1.742537E-6</v>
      </c>
      <c r="I5489">
        <v>215.98419999999999</v>
      </c>
      <c r="J5489">
        <v>-314.41890000000001</v>
      </c>
      <c r="K5489">
        <v>1.110131</v>
      </c>
      <c r="L5489">
        <v>214.7449</v>
      </c>
      <c r="M5489">
        <v>0.99973109999999998</v>
      </c>
      <c r="N5489">
        <v>0</v>
      </c>
      <c r="O5489">
        <v>2.127325E-2</v>
      </c>
      <c r="P5489">
        <v>0.99534800000000001</v>
      </c>
      <c r="Q5489">
        <v>9.4302559999999994E-2</v>
      </c>
      <c r="R5489">
        <v>-1.9745559999999999E-2</v>
      </c>
      <c r="S5489">
        <v>3.0335390000000002</v>
      </c>
      <c r="T5489">
        <v>-0.1686819</v>
      </c>
      <c r="U5489">
        <v>0.18937680000000001</v>
      </c>
      <c r="V5489">
        <v>4.0914850000000003E-2</v>
      </c>
      <c r="W5489">
        <v>0.1034948</v>
      </c>
      <c r="X5489">
        <v>0.99378809999999995</v>
      </c>
      <c r="Y5489">
        <v>-4.1029080000000002E-2</v>
      </c>
      <c r="Z5489" s="1">
        <v>-4.1902879999999899E-5</v>
      </c>
      <c r="AA5489">
        <v>0.99915799999999999</v>
      </c>
      <c r="AB5489">
        <v>31</v>
      </c>
      <c r="AC5489">
        <v>19.637599999999999</v>
      </c>
      <c r="AD5489">
        <v>-1.110129257463</v>
      </c>
      <c r="AE5489">
        <v>1.2392999999999801</v>
      </c>
      <c r="AF5489">
        <v>-0.81864037740495998</v>
      </c>
      <c r="AG5489">
        <v>-1.110129257463</v>
      </c>
      <c r="AH5489">
        <v>19.597141902906301</v>
      </c>
      <c r="AI5489">
        <v>93.239378961289603</v>
      </c>
      <c r="AJ5489">
        <v>92.392052071767395</v>
      </c>
      <c r="AK5489">
        <v>19.645623680566601</v>
      </c>
      <c r="AL5489">
        <v>84.059547485498697</v>
      </c>
      <c r="AM5489">
        <v>87.642429955209096</v>
      </c>
      <c r="AN5489">
        <v>0.99999999313958599</v>
      </c>
    </row>
    <row r="5490" spans="1:40" x14ac:dyDescent="0.25">
      <c r="A5490" t="str">
        <f>"20190312150802444"</f>
        <v>20190312150802444</v>
      </c>
      <c r="B5490" t="str">
        <f>"1552374482435603"</f>
        <v>1552374482435603</v>
      </c>
      <c r="C5490" t="s">
        <v>40</v>
      </c>
      <c r="D5490">
        <v>4.4439019999999996</v>
      </c>
      <c r="E5490">
        <v>0.46960259999999998</v>
      </c>
      <c r="F5490" t="s">
        <v>68</v>
      </c>
      <c r="G5490">
        <v>-294.55880000000002</v>
      </c>
      <c r="H5490" s="1">
        <v>1.7030649999999999E-6</v>
      </c>
      <c r="I5490">
        <v>215.9828</v>
      </c>
      <c r="J5490">
        <v>-314.09980000000002</v>
      </c>
      <c r="K5490">
        <v>1.1101030000000001</v>
      </c>
      <c r="L5490">
        <v>214.7516</v>
      </c>
      <c r="M5490">
        <v>0.99973179999999995</v>
      </c>
      <c r="N5490">
        <v>0</v>
      </c>
      <c r="O5490">
        <v>2.125283E-2</v>
      </c>
      <c r="P5490">
        <v>0.99530439999999998</v>
      </c>
      <c r="Q5490">
        <v>9.4584959999999996E-2</v>
      </c>
      <c r="R5490">
        <v>-2.0572239999999999E-2</v>
      </c>
      <c r="S5490">
        <v>3.0338440000000002</v>
      </c>
      <c r="T5490">
        <v>-0.16958380000000001</v>
      </c>
      <c r="U5490">
        <v>0.18911739999999999</v>
      </c>
      <c r="V5490">
        <v>4.1724879999999999E-2</v>
      </c>
      <c r="W5490">
        <v>0.10374949999999999</v>
      </c>
      <c r="X5490">
        <v>0.9937279</v>
      </c>
      <c r="Y5490">
        <v>-4.095791E-2</v>
      </c>
      <c r="Z5490" s="1">
        <v>-4.2969709999999997E-5</v>
      </c>
      <c r="AA5490">
        <v>0.99916090000000002</v>
      </c>
      <c r="AB5490">
        <v>31</v>
      </c>
      <c r="AC5490">
        <v>19.541</v>
      </c>
      <c r="AD5490">
        <v>-1.1101012969349999</v>
      </c>
      <c r="AE5490">
        <v>1.2312000000000001</v>
      </c>
      <c r="AF5490">
        <v>-0.81298942032895505</v>
      </c>
      <c r="AG5490">
        <v>-1.1101012969349999</v>
      </c>
      <c r="AH5490">
        <v>19.500070922758301</v>
      </c>
      <c r="AI5490">
        <v>93.255399187220902</v>
      </c>
      <c r="AJ5490">
        <v>92.387370900534506</v>
      </c>
      <c r="AK5490">
        <v>19.548556025436501</v>
      </c>
      <c r="AL5490">
        <v>84.0448754969308</v>
      </c>
      <c r="AM5490">
        <v>87.595663673510899</v>
      </c>
      <c r="AN5490">
        <v>1.0000000317998301</v>
      </c>
    </row>
    <row r="5491" spans="1:40" x14ac:dyDescent="0.25">
      <c r="A5491" t="str">
        <f>"20190312150802465"</f>
        <v>20190312150802465</v>
      </c>
      <c r="B5491" t="str">
        <f>"1552374482455123"</f>
        <v>1552374482455123</v>
      </c>
      <c r="C5491" t="s">
        <v>40</v>
      </c>
      <c r="D5491">
        <v>4.3598949999999999</v>
      </c>
      <c r="E5491">
        <v>0.46930240000000001</v>
      </c>
      <c r="F5491" t="s">
        <v>68</v>
      </c>
      <c r="G5491">
        <v>-294.62880000000001</v>
      </c>
      <c r="H5491" s="1">
        <v>1.7154769999999999E-6</v>
      </c>
      <c r="I5491">
        <v>215.9366</v>
      </c>
      <c r="J5491">
        <v>-313.80169999999998</v>
      </c>
      <c r="K5491">
        <v>1.11007099999999</v>
      </c>
      <c r="L5491">
        <v>214.75790000000001</v>
      </c>
      <c r="M5491">
        <v>0.99973319999999999</v>
      </c>
      <c r="N5491">
        <v>0</v>
      </c>
      <c r="O5491">
        <v>2.1194419999999999E-2</v>
      </c>
      <c r="P5491">
        <v>0.99527359999999998</v>
      </c>
      <c r="Q5491">
        <v>9.4715199999999999E-2</v>
      </c>
      <c r="R5491">
        <v>-2.1433290000000001E-2</v>
      </c>
      <c r="S5491">
        <v>3.034424</v>
      </c>
      <c r="T5491">
        <v>-0.1730014</v>
      </c>
      <c r="U5491">
        <v>0.18466189999999999</v>
      </c>
      <c r="V5491">
        <v>4.2533389999999997E-2</v>
      </c>
      <c r="W5491">
        <v>0.1038557</v>
      </c>
      <c r="X5491">
        <v>0.99368250000000002</v>
      </c>
      <c r="Y5491">
        <v>-3.9543790000000002E-2</v>
      </c>
      <c r="Z5491" s="1">
        <v>-8.0751139999999996E-5</v>
      </c>
      <c r="AA5491">
        <v>0.99921780000000004</v>
      </c>
      <c r="AB5491">
        <v>31</v>
      </c>
      <c r="AC5491">
        <v>19.172899999999899</v>
      </c>
      <c r="AD5491">
        <v>-1.11006928452299</v>
      </c>
      <c r="AE5491">
        <v>1.1786999999999901</v>
      </c>
      <c r="AF5491">
        <v>-0.76948984068767001</v>
      </c>
      <c r="AG5491">
        <v>-1.11006928452299</v>
      </c>
      <c r="AH5491">
        <v>19.129691492054899</v>
      </c>
      <c r="AI5491">
        <v>93.318392158460298</v>
      </c>
      <c r="AJ5491">
        <v>92.303474904314896</v>
      </c>
      <c r="AK5491">
        <v>19.177316418429399</v>
      </c>
      <c r="AL5491">
        <v>84.038757465330605</v>
      </c>
      <c r="AM5491">
        <v>87.549018876616998</v>
      </c>
      <c r="AN5491">
        <v>1.0000000032468099</v>
      </c>
    </row>
    <row r="5492" spans="1:40" x14ac:dyDescent="0.25">
      <c r="A5492" t="str">
        <f>"20190312150802487"</f>
        <v>20190312150802487</v>
      </c>
      <c r="B5492" t="str">
        <f>"1552374482475619"</f>
        <v>1552374482475619</v>
      </c>
      <c r="C5492" t="s">
        <v>40</v>
      </c>
      <c r="D5492">
        <v>4.3640650000000001</v>
      </c>
      <c r="E5492">
        <v>0.46912690000000001</v>
      </c>
      <c r="F5492" t="s">
        <v>68</v>
      </c>
      <c r="G5492">
        <v>-294.77480000000003</v>
      </c>
      <c r="H5492" s="1">
        <v>1.741378E-6</v>
      </c>
      <c r="I5492">
        <v>215.91820000000001</v>
      </c>
      <c r="J5492">
        <v>-313.49740000000003</v>
      </c>
      <c r="K5492">
        <v>1.110036</v>
      </c>
      <c r="L5492">
        <v>214.76429999999999</v>
      </c>
      <c r="M5492">
        <v>0.9997355</v>
      </c>
      <c r="N5492">
        <v>0</v>
      </c>
      <c r="O5492">
        <v>2.1093589999999999E-2</v>
      </c>
      <c r="P5492">
        <v>0.99523870000000003</v>
      </c>
      <c r="Q5492">
        <v>9.4857529999999995E-2</v>
      </c>
      <c r="R5492">
        <v>-2.241305E-2</v>
      </c>
      <c r="S5492">
        <v>3.0350950000000001</v>
      </c>
      <c r="T5492">
        <v>-0.17707339999999999</v>
      </c>
      <c r="U5492">
        <v>0.18507390000000001</v>
      </c>
      <c r="V5492">
        <v>4.3419930000000002E-2</v>
      </c>
      <c r="W5492">
        <v>0.1039757</v>
      </c>
      <c r="X5492">
        <v>0.99363159999999895</v>
      </c>
      <c r="Y5492">
        <v>-3.9764359999999999E-2</v>
      </c>
      <c r="Z5492" s="1">
        <v>-7.0337319999999996E-5</v>
      </c>
      <c r="AA5492">
        <v>0.99920909999999996</v>
      </c>
      <c r="AB5492">
        <v>31</v>
      </c>
      <c r="AC5492">
        <v>18.7226</v>
      </c>
      <c r="AD5492">
        <v>-1.110034258622</v>
      </c>
      <c r="AE5492">
        <v>1.1539000000000199</v>
      </c>
      <c r="AF5492">
        <v>-0.75605224817838601</v>
      </c>
      <c r="AG5492">
        <v>-1.110034258622</v>
      </c>
      <c r="AH5492">
        <v>18.677370084171901</v>
      </c>
      <c r="AI5492">
        <v>93.398427788832393</v>
      </c>
      <c r="AJ5492">
        <v>92.318043995134602</v>
      </c>
      <c r="AK5492">
        <v>18.725595966975501</v>
      </c>
      <c r="AL5492">
        <v>84.0318445056907</v>
      </c>
      <c r="AM5492">
        <v>87.497868376994603</v>
      </c>
      <c r="AN5492">
        <v>0.99999999651512705</v>
      </c>
    </row>
    <row r="5493" spans="1:40" x14ac:dyDescent="0.25">
      <c r="A5493" t="str">
        <f>"20190312150802509"</f>
        <v>20190312150802509</v>
      </c>
      <c r="B5493" t="str">
        <f>"1552374482505875"</f>
        <v>1552374482505875</v>
      </c>
      <c r="C5493" t="s">
        <v>40</v>
      </c>
      <c r="D5493">
        <v>4.6523960000000004</v>
      </c>
      <c r="E5493">
        <v>0.46908610000000001</v>
      </c>
      <c r="F5493" t="s">
        <v>68</v>
      </c>
      <c r="G5493">
        <v>-294.6848</v>
      </c>
      <c r="H5493" s="1">
        <v>1.7254250000000001E-6</v>
      </c>
      <c r="I5493">
        <v>215.90459999999999</v>
      </c>
      <c r="J5493">
        <v>-313.1902</v>
      </c>
      <c r="K5493">
        <v>1.1099939999999999</v>
      </c>
      <c r="L5493">
        <v>214.7706</v>
      </c>
      <c r="M5493">
        <v>0.99973840000000003</v>
      </c>
      <c r="N5493">
        <v>0</v>
      </c>
      <c r="O5493">
        <v>2.0957880000000002E-2</v>
      </c>
      <c r="P5493">
        <v>0.99520799999999998</v>
      </c>
      <c r="Q5493">
        <v>9.4842679999999999E-2</v>
      </c>
      <c r="R5493">
        <v>-2.378738E-2</v>
      </c>
      <c r="S5493">
        <v>3.0355530000000002</v>
      </c>
      <c r="T5493">
        <v>-0.17911279999999999</v>
      </c>
      <c r="U5493">
        <v>0.18400569999999999</v>
      </c>
      <c r="V5493">
        <v>4.4666900000000002E-2</v>
      </c>
      <c r="W5493">
        <v>0.10393869999999999</v>
      </c>
      <c r="X5493">
        <v>0.99358020000000002</v>
      </c>
      <c r="Y5493">
        <v>-3.9539980000000002E-2</v>
      </c>
      <c r="Z5493" s="1">
        <v>-6.9754549999999994E-5</v>
      </c>
      <c r="AA5493">
        <v>0.99921800000000005</v>
      </c>
      <c r="AB5493">
        <v>31</v>
      </c>
      <c r="AC5493">
        <v>18.505400000000002</v>
      </c>
      <c r="AD5493">
        <v>-1.1099922745749999</v>
      </c>
      <c r="AE5493">
        <v>1.1339999999999799</v>
      </c>
      <c r="AF5493">
        <v>-0.74323663440725296</v>
      </c>
      <c r="AG5493">
        <v>-1.1099922745749999</v>
      </c>
      <c r="AH5493">
        <v>18.4589383368493</v>
      </c>
      <c r="AI5493">
        <v>93.438446788991797</v>
      </c>
      <c r="AJ5493">
        <v>92.305730217212201</v>
      </c>
      <c r="AK5493">
        <v>18.507211785353999</v>
      </c>
      <c r="AL5493">
        <v>84.033976016762296</v>
      </c>
      <c r="AM5493">
        <v>87.425972378270103</v>
      </c>
      <c r="AN5493">
        <v>0.99999999957267005</v>
      </c>
    </row>
    <row r="5494" spans="1:40" x14ac:dyDescent="0.25">
      <c r="A5494" t="str">
        <f>"20190312150802532"</f>
        <v>20190312150802532</v>
      </c>
      <c r="B5494" t="str">
        <f>"1552374482525399"</f>
        <v>1552374482525399</v>
      </c>
      <c r="C5494" t="s">
        <v>40</v>
      </c>
      <c r="D5494">
        <v>4.3452799999999998</v>
      </c>
      <c r="E5494">
        <v>0.46896559999999998</v>
      </c>
      <c r="F5494" t="s">
        <v>68</v>
      </c>
      <c r="G5494">
        <v>-294.21030000000002</v>
      </c>
      <c r="H5494" s="1">
        <v>1.6412390000000001E-6</v>
      </c>
      <c r="I5494">
        <v>215.89959999999999</v>
      </c>
      <c r="J5494">
        <v>-312.87009999999998</v>
      </c>
      <c r="K5494">
        <v>1.1099540000000001</v>
      </c>
      <c r="L5494">
        <v>214.77709999999999</v>
      </c>
      <c r="M5494">
        <v>0.99974229999999997</v>
      </c>
      <c r="N5494">
        <v>0</v>
      </c>
      <c r="O5494">
        <v>2.0776579999999999E-2</v>
      </c>
      <c r="P5494">
        <v>0.99515180000000003</v>
      </c>
      <c r="Q5494">
        <v>9.5129779999999997E-2</v>
      </c>
      <c r="R5494">
        <v>-2.4964940000000001E-2</v>
      </c>
      <c r="S5494">
        <v>3.0356749999999999</v>
      </c>
      <c r="T5494">
        <v>-0.177533</v>
      </c>
      <c r="U5494">
        <v>0.1805725</v>
      </c>
      <c r="V5494">
        <v>4.567119E-2</v>
      </c>
      <c r="W5494">
        <v>0.1042005</v>
      </c>
      <c r="X5494">
        <v>0.99350709999999998</v>
      </c>
      <c r="Y5494">
        <v>-3.85946E-2</v>
      </c>
      <c r="Z5494" s="1">
        <v>-8.6159680000000006E-5</v>
      </c>
      <c r="AA5494">
        <v>0.99925489999999995</v>
      </c>
      <c r="AB5494">
        <v>31</v>
      </c>
      <c r="AC5494">
        <v>18.659799999999901</v>
      </c>
      <c r="AD5494">
        <v>-1.1099523587610001</v>
      </c>
      <c r="AE5494">
        <v>1.1225000000000001</v>
      </c>
      <c r="AF5494">
        <v>-0.731974028549506</v>
      </c>
      <c r="AG5494">
        <v>-1.1099523587610001</v>
      </c>
      <c r="AH5494">
        <v>18.613471927466499</v>
      </c>
      <c r="AI5494">
        <v>93.409972237949503</v>
      </c>
      <c r="AJ5494">
        <v>92.2519938165577</v>
      </c>
      <c r="AK5494">
        <v>18.660898086956401</v>
      </c>
      <c r="AL5494">
        <v>84.018893968155695</v>
      </c>
      <c r="AM5494">
        <v>87.367985083615693</v>
      </c>
      <c r="AN5494">
        <v>0.99999997977333699</v>
      </c>
    </row>
    <row r="5495" spans="1:40" x14ac:dyDescent="0.25">
      <c r="A5495" t="str">
        <f>"20190312150802554"</f>
        <v>20190312150802554</v>
      </c>
      <c r="B5495" t="str">
        <f>"1552374482545891"</f>
        <v>1552374482545891</v>
      </c>
      <c r="C5495" t="s">
        <v>40</v>
      </c>
      <c r="D5495">
        <v>4.340827</v>
      </c>
      <c r="E5495">
        <v>0.4689101</v>
      </c>
      <c r="F5495" t="s">
        <v>68</v>
      </c>
      <c r="G5495">
        <v>-293.70609999999999</v>
      </c>
      <c r="H5495" s="1">
        <v>1.5518070000000001E-6</v>
      </c>
      <c r="I5495">
        <v>215.9014</v>
      </c>
      <c r="J5495">
        <v>-312.5641</v>
      </c>
      <c r="K5495">
        <v>1.10992</v>
      </c>
      <c r="L5495">
        <v>214.7833</v>
      </c>
      <c r="M5495">
        <v>0.99974700000000005</v>
      </c>
      <c r="N5495">
        <v>0</v>
      </c>
      <c r="O5495">
        <v>2.0563410000000001E-2</v>
      </c>
      <c r="P5495">
        <v>0.99508799999999997</v>
      </c>
      <c r="Q5495">
        <v>9.5412869999999997E-2</v>
      </c>
      <c r="R5495">
        <v>-2.6385749999999999E-2</v>
      </c>
      <c r="S5495">
        <v>3.0358890000000001</v>
      </c>
      <c r="T5495">
        <v>-0.1758342</v>
      </c>
      <c r="U5495">
        <v>0.1781006</v>
      </c>
      <c r="V5495">
        <v>4.6886379999999998E-2</v>
      </c>
      <c r="W5495">
        <v>0.10445889999999999</v>
      </c>
      <c r="X5495">
        <v>0.99342339999999996</v>
      </c>
      <c r="Y5495">
        <v>-3.7993899999999997E-2</v>
      </c>
      <c r="Z5495" s="1">
        <v>-9.0381010000000002E-5</v>
      </c>
      <c r="AA5495">
        <v>0.99927790000000005</v>
      </c>
      <c r="AB5495">
        <v>31</v>
      </c>
      <c r="AC5495">
        <v>18.858000000000001</v>
      </c>
      <c r="AD5495">
        <v>-1.109918448193</v>
      </c>
      <c r="AE5495">
        <v>1.1180999999999901</v>
      </c>
      <c r="AF5495">
        <v>-0.72755117922659396</v>
      </c>
      <c r="AG5495">
        <v>-1.109918448193</v>
      </c>
      <c r="AH5495">
        <v>18.812066397373901</v>
      </c>
      <c r="AI5495">
        <v>93.3740399802751</v>
      </c>
      <c r="AJ5495">
        <v>92.214793749153699</v>
      </c>
      <c r="AK5495">
        <v>18.8588200007115</v>
      </c>
      <c r="AL5495">
        <v>84.004007759839396</v>
      </c>
      <c r="AM5495">
        <v>87.297829228989698</v>
      </c>
      <c r="AN5495">
        <v>1.0000000230431301</v>
      </c>
    </row>
    <row r="5496" spans="1:40" x14ac:dyDescent="0.25">
      <c r="A5496" t="str">
        <f>"20190312150802576"</f>
        <v>20190312150802576</v>
      </c>
      <c r="B5496" t="str">
        <f>"1552374482565416"</f>
        <v>1552374482565416</v>
      </c>
      <c r="C5496" t="s">
        <v>40</v>
      </c>
      <c r="D5496">
        <v>4.3646690000000001</v>
      </c>
      <c r="E5496">
        <v>0.46880430000000001</v>
      </c>
      <c r="F5496" t="s">
        <v>68</v>
      </c>
      <c r="G5496">
        <v>-293.22609999999997</v>
      </c>
      <c r="H5496" s="1">
        <v>1.466668E-6</v>
      </c>
      <c r="I5496">
        <v>215.8938</v>
      </c>
      <c r="J5496">
        <v>-312.26170000000002</v>
      </c>
      <c r="K5496">
        <v>1.1098920000000001</v>
      </c>
      <c r="L5496">
        <v>214.78919999999999</v>
      </c>
      <c r="M5496">
        <v>0.99975230000000004</v>
      </c>
      <c r="N5496">
        <v>0</v>
      </c>
      <c r="O5496">
        <v>2.03161E-2</v>
      </c>
      <c r="P5496">
        <v>0.99507089999999998</v>
      </c>
      <c r="Q5496">
        <v>9.5132369999999994E-2</v>
      </c>
      <c r="R5496">
        <v>-2.8005700000000001E-2</v>
      </c>
      <c r="S5496">
        <v>3.0361630000000002</v>
      </c>
      <c r="T5496">
        <v>-0.17426269999999999</v>
      </c>
      <c r="U5496">
        <v>0.17436219999999999</v>
      </c>
      <c r="V5496">
        <v>4.8266690000000001E-2</v>
      </c>
      <c r="W5496">
        <v>0.1041559</v>
      </c>
      <c r="X5496">
        <v>0.99338910000000002</v>
      </c>
      <c r="Y5496">
        <v>-3.7011250000000002E-2</v>
      </c>
      <c r="Z5496">
        <v>-1.035613E-4</v>
      </c>
      <c r="AA5496">
        <v>0.99931479999999995</v>
      </c>
      <c r="AB5496">
        <v>31</v>
      </c>
      <c r="AC5496">
        <v>19.035599999999999</v>
      </c>
      <c r="AD5496">
        <v>-1.1098905333319999</v>
      </c>
      <c r="AE5496">
        <v>1.1046</v>
      </c>
      <c r="AF5496">
        <v>-0.71520363129164699</v>
      </c>
      <c r="AG5496">
        <v>-1.1098905333319999</v>
      </c>
      <c r="AH5496">
        <v>18.9897720694042</v>
      </c>
      <c r="AI5496">
        <v>93.342582522479304</v>
      </c>
      <c r="AJ5496">
        <v>92.156886900718703</v>
      </c>
      <c r="AK5496">
        <v>19.035619676756401</v>
      </c>
      <c r="AL5496">
        <v>84.021463548810701</v>
      </c>
      <c r="AM5496">
        <v>87.218306025639706</v>
      </c>
      <c r="AN5496">
        <v>1.0000000144335801</v>
      </c>
    </row>
    <row r="5497" spans="1:40" x14ac:dyDescent="0.25">
      <c r="A5497" t="str">
        <f>"20190312150802598"</f>
        <v>20190312150802598</v>
      </c>
      <c r="B5497" t="str">
        <f>"1552374482595667"</f>
        <v>1552374482595667</v>
      </c>
      <c r="C5497" t="s">
        <v>40</v>
      </c>
      <c r="D5497">
        <v>4.6223359999999998</v>
      </c>
      <c r="E5497">
        <v>0.46858149999999998</v>
      </c>
      <c r="F5497" t="s">
        <v>68</v>
      </c>
      <c r="G5497">
        <v>-293.07190000000003</v>
      </c>
      <c r="H5497" s="1">
        <v>1.4393130000000001E-6</v>
      </c>
      <c r="I5497">
        <v>215.86600000000001</v>
      </c>
      <c r="J5497">
        <v>-311.94690000000003</v>
      </c>
      <c r="K5497">
        <v>1.109861</v>
      </c>
      <c r="L5497">
        <v>214.7954</v>
      </c>
      <c r="M5497">
        <v>0.99975820000000004</v>
      </c>
      <c r="N5497">
        <v>0</v>
      </c>
      <c r="O5497">
        <v>2.0025640000000001E-2</v>
      </c>
      <c r="P5497">
        <v>0.99495909999999999</v>
      </c>
      <c r="Q5497">
        <v>9.5846269999999997E-2</v>
      </c>
      <c r="R5497">
        <v>-2.9491960000000001E-2</v>
      </c>
      <c r="S5497">
        <v>3.036438</v>
      </c>
      <c r="T5497">
        <v>-0.17561959999999999</v>
      </c>
      <c r="U5497">
        <v>0.17037959999999999</v>
      </c>
      <c r="V5497">
        <v>4.9469539999999999E-2</v>
      </c>
      <c r="W5497">
        <v>0.10484830000000001</v>
      </c>
      <c r="X5497">
        <v>0.99325699999999995</v>
      </c>
      <c r="Y5497">
        <v>-3.5990719999999997E-2</v>
      </c>
      <c r="Z5497">
        <v>-1.1706349999999999E-4</v>
      </c>
      <c r="AA5497">
        <v>0.99935209999999997</v>
      </c>
      <c r="AB5497">
        <v>31</v>
      </c>
      <c r="AC5497">
        <v>18.875</v>
      </c>
      <c r="AD5497">
        <v>-1.1098595606870001</v>
      </c>
      <c r="AE5497">
        <v>1.07059999999998</v>
      </c>
      <c r="AF5497">
        <v>-0.69000769012727403</v>
      </c>
      <c r="AG5497">
        <v>-1.1098595606870001</v>
      </c>
      <c r="AH5497">
        <v>18.827766721906301</v>
      </c>
      <c r="AI5497">
        <v>93.371310746550293</v>
      </c>
      <c r="AJ5497">
        <v>92.098859818254496</v>
      </c>
      <c r="AK5497">
        <v>18.873068075737098</v>
      </c>
      <c r="AL5497">
        <v>83.981573058206706</v>
      </c>
      <c r="AM5497">
        <v>87.148718112235599</v>
      </c>
      <c r="AN5497">
        <v>0.99999993472484805</v>
      </c>
    </row>
    <row r="5498" spans="1:40" x14ac:dyDescent="0.25">
      <c r="A5498" t="str">
        <f>"20190312150802622"</f>
        <v>20190312150802622</v>
      </c>
      <c r="B5498" t="str">
        <f>"1552374482615187"</f>
        <v>1552374482615187</v>
      </c>
      <c r="C5498" t="s">
        <v>40</v>
      </c>
      <c r="D5498">
        <v>4.5086779999999997</v>
      </c>
      <c r="E5498">
        <v>0.4683947</v>
      </c>
      <c r="F5498" t="s">
        <v>68</v>
      </c>
      <c r="G5498">
        <v>-292.49189999999999</v>
      </c>
      <c r="H5498" s="1">
        <v>1.3364240000000001E-6</v>
      </c>
      <c r="I5498">
        <v>215.87029999999999</v>
      </c>
      <c r="J5498">
        <v>-311.61360000000002</v>
      </c>
      <c r="K5498">
        <v>1.109831</v>
      </c>
      <c r="L5498">
        <v>214.80170000000001</v>
      </c>
      <c r="M5498">
        <v>0.99976500000000001</v>
      </c>
      <c r="N5498">
        <v>0</v>
      </c>
      <c r="O5498">
        <v>1.9691750000000001E-2</v>
      </c>
      <c r="P5498">
        <v>0.99486850000000004</v>
      </c>
      <c r="Q5498">
        <v>9.6323160000000005E-2</v>
      </c>
      <c r="R5498">
        <v>-3.0966279999999999E-2</v>
      </c>
      <c r="S5498">
        <v>3.0368650000000001</v>
      </c>
      <c r="T5498">
        <v>-0.17324529999999999</v>
      </c>
      <c r="U5498">
        <v>0.1678009</v>
      </c>
      <c r="V5498">
        <v>5.0616420000000002E-2</v>
      </c>
      <c r="W5498">
        <v>0.10530539999999899</v>
      </c>
      <c r="X5498">
        <v>0.99315089999999995</v>
      </c>
      <c r="Y5498">
        <v>-3.5471660000000002E-2</v>
      </c>
      <c r="Z5498">
        <v>-1.1124399999999999E-4</v>
      </c>
      <c r="AA5498">
        <v>0.99937069999999995</v>
      </c>
      <c r="AB5498">
        <v>31</v>
      </c>
      <c r="AC5498">
        <v>19.121700000000001</v>
      </c>
      <c r="AD5498">
        <v>-1.1098296635760001</v>
      </c>
      <c r="AE5498">
        <v>1.06859999999997</v>
      </c>
      <c r="AF5498">
        <v>-0.68952202416483099</v>
      </c>
      <c r="AG5498">
        <v>-1.1098296635760001</v>
      </c>
      <c r="AH5498">
        <v>19.074978013280599</v>
      </c>
      <c r="AI5498">
        <v>93.327688421930503</v>
      </c>
      <c r="AJ5498">
        <v>92.070225602317194</v>
      </c>
      <c r="AK5498">
        <v>19.1196743882081</v>
      </c>
      <c r="AL5498">
        <v>83.955237636696694</v>
      </c>
      <c r="AM5498">
        <v>87.082417027387805</v>
      </c>
      <c r="AN5498">
        <v>0.999999979706793</v>
      </c>
    </row>
    <row r="5499" spans="1:40" x14ac:dyDescent="0.25">
      <c r="A5499" t="str">
        <f>"20190312150802645"</f>
        <v>20190312150802645</v>
      </c>
      <c r="B5499" t="str">
        <f>"1552374482635684"</f>
        <v>1552374482635684</v>
      </c>
      <c r="C5499" t="s">
        <v>40</v>
      </c>
      <c r="D5499">
        <v>4.820729</v>
      </c>
      <c r="E5499">
        <v>0.46827540000000001</v>
      </c>
      <c r="F5499" t="s">
        <v>68</v>
      </c>
      <c r="G5499">
        <v>-292.07769999999999</v>
      </c>
      <c r="H5499" s="1">
        <v>1.2629560000000001E-6</v>
      </c>
      <c r="I5499">
        <v>215.863</v>
      </c>
      <c r="J5499">
        <v>-311.29750000000001</v>
      </c>
      <c r="K5499">
        <v>1.1098049999999999</v>
      </c>
      <c r="L5499">
        <v>214.80760000000001</v>
      </c>
      <c r="M5499">
        <v>0.99977169999999904</v>
      </c>
      <c r="N5499">
        <v>0</v>
      </c>
      <c r="O5499">
        <v>1.935775E-2</v>
      </c>
      <c r="P5499">
        <v>0.99485670000000004</v>
      </c>
      <c r="Q5499">
        <v>9.6025269999999996E-2</v>
      </c>
      <c r="R5499">
        <v>-3.2249849999999997E-2</v>
      </c>
      <c r="S5499">
        <v>3.0372919999999999</v>
      </c>
      <c r="T5499">
        <v>-0.17254720000000001</v>
      </c>
      <c r="U5499">
        <v>0.1650085</v>
      </c>
      <c r="V5499">
        <v>5.1571819999999997E-2</v>
      </c>
      <c r="W5499">
        <v>0.1049924</v>
      </c>
      <c r="X5499">
        <v>0.99313490000000004</v>
      </c>
      <c r="Y5499">
        <v>-3.4882370000000003E-2</v>
      </c>
      <c r="Z5499">
        <v>-1.085615E-4</v>
      </c>
      <c r="AA5499">
        <v>0.99939140000000004</v>
      </c>
      <c r="AB5499">
        <v>31</v>
      </c>
      <c r="AC5499">
        <v>19.219799999999999</v>
      </c>
      <c r="AD5499">
        <v>-1.1098037370439999</v>
      </c>
      <c r="AE5499">
        <v>1.0553999999999899</v>
      </c>
      <c r="AF5499">
        <v>-0.68087156536988602</v>
      </c>
      <c r="AG5499">
        <v>-1.1098037370439999</v>
      </c>
      <c r="AH5499">
        <v>19.1728948028099</v>
      </c>
      <c r="AI5499">
        <v>93.310729661309793</v>
      </c>
      <c r="AJ5499">
        <v>92.033844170389202</v>
      </c>
      <c r="AK5499">
        <v>19.217053508353001</v>
      </c>
      <c r="AL5499">
        <v>83.973271266540706</v>
      </c>
      <c r="AM5499">
        <v>87.027396829755205</v>
      </c>
      <c r="AN5499">
        <v>0.99999999313694099</v>
      </c>
    </row>
    <row r="5500" spans="1:40" x14ac:dyDescent="0.25">
      <c r="A5500" t="str">
        <f>"20190312150802664"</f>
        <v>20190312150802664</v>
      </c>
      <c r="B5500" t="str">
        <f>"1552374482655207"</f>
        <v>1552374482655207</v>
      </c>
      <c r="C5500" t="s">
        <v>40</v>
      </c>
      <c r="D5500">
        <v>4.5744530000000001</v>
      </c>
      <c r="E5500">
        <v>0.46815180000000001</v>
      </c>
      <c r="F5500" t="s">
        <v>68</v>
      </c>
      <c r="G5500">
        <v>-291.91300000000001</v>
      </c>
      <c r="H5500" s="1">
        <v>1.233747E-6</v>
      </c>
      <c r="I5500">
        <v>215.84360000000001</v>
      </c>
      <c r="J5500">
        <v>-311.00229999999999</v>
      </c>
      <c r="K5500">
        <v>1.1097980000000001</v>
      </c>
      <c r="L5500">
        <v>214.81299999999999</v>
      </c>
      <c r="M5500">
        <v>0.9997779</v>
      </c>
      <c r="N5500">
        <v>0</v>
      </c>
      <c r="O5500">
        <v>1.9035750000000001E-2</v>
      </c>
      <c r="P5500">
        <v>0.99483239999999995</v>
      </c>
      <c r="Q5500">
        <v>9.5890879999999998E-2</v>
      </c>
      <c r="R5500">
        <v>-3.3369059999999999E-2</v>
      </c>
      <c r="S5500">
        <v>3.0375369999999999</v>
      </c>
      <c r="T5500">
        <v>-0.1739057</v>
      </c>
      <c r="U5500">
        <v>0.16233829999999999</v>
      </c>
      <c r="V5500">
        <v>5.2373280000000001E-2</v>
      </c>
      <c r="W5500">
        <v>0.10484690000000001</v>
      </c>
      <c r="X5500">
        <v>0.99310830000000005</v>
      </c>
      <c r="Y5500">
        <v>-3.4323859999999998E-2</v>
      </c>
      <c r="Z5500">
        <v>-1.0697299999999999E-4</v>
      </c>
      <c r="AA5500">
        <v>0.99941069999999999</v>
      </c>
      <c r="AB5500">
        <v>31</v>
      </c>
      <c r="AC5500">
        <v>19.089299999999898</v>
      </c>
      <c r="AD5500">
        <v>-1.1097967662529999</v>
      </c>
      <c r="AE5500">
        <v>1.0306000000000199</v>
      </c>
      <c r="AF5500">
        <v>-0.66477886809182396</v>
      </c>
      <c r="AG5500">
        <v>-1.1097967662529999</v>
      </c>
      <c r="AH5500">
        <v>19.0412887905388</v>
      </c>
      <c r="AI5500">
        <v>93.333609971786004</v>
      </c>
      <c r="AJ5500">
        <v>91.999526388868603</v>
      </c>
      <c r="AK5500">
        <v>19.085184269756098</v>
      </c>
      <c r="AL5500">
        <v>83.981653894996498</v>
      </c>
      <c r="AM5500">
        <v>86.981204706438902</v>
      </c>
      <c r="AN5500">
        <v>0.99999996421322801</v>
      </c>
    </row>
    <row r="5501" spans="1:40" x14ac:dyDescent="0.25">
      <c r="A5501" t="str">
        <f>"20190312150802687"</f>
        <v>20190312150802687</v>
      </c>
      <c r="B5501" t="str">
        <f>"1552374482675699"</f>
        <v>1552374482675699</v>
      </c>
      <c r="C5501" t="s">
        <v>40</v>
      </c>
      <c r="D5501">
        <v>4.3866820000000004</v>
      </c>
      <c r="E5501">
        <v>0.46317799999999998</v>
      </c>
      <c r="F5501" t="s">
        <v>68</v>
      </c>
      <c r="G5501">
        <v>-291.75420000000003</v>
      </c>
      <c r="H5501" s="1">
        <v>1.205565E-6</v>
      </c>
      <c r="I5501">
        <v>215.82579999999999</v>
      </c>
      <c r="J5501">
        <v>-310.69189999999998</v>
      </c>
      <c r="K5501">
        <v>1.109785</v>
      </c>
      <c r="L5501">
        <v>214.8186</v>
      </c>
      <c r="M5501">
        <v>0.99978440000000002</v>
      </c>
      <c r="N5501">
        <v>0</v>
      </c>
      <c r="O5501">
        <v>1.8692259999999999E-2</v>
      </c>
      <c r="P5501">
        <v>0.9947937</v>
      </c>
      <c r="Q5501">
        <v>9.5981839999999999E-2</v>
      </c>
      <c r="R5501">
        <v>-3.4250990000000002E-2</v>
      </c>
      <c r="S5501">
        <v>3.037903</v>
      </c>
      <c r="T5501">
        <v>-0.17515710000000001</v>
      </c>
      <c r="U5501">
        <v>0.1598511</v>
      </c>
      <c r="V5501">
        <v>5.2914919999999997E-2</v>
      </c>
      <c r="W5501">
        <v>0.1049284</v>
      </c>
      <c r="X5501">
        <v>0.99307100000000004</v>
      </c>
      <c r="Y5501">
        <v>-3.3844730000000003E-2</v>
      </c>
      <c r="Z5501">
        <v>-1.017569E-4</v>
      </c>
      <c r="AA5501">
        <v>0.99942710000000001</v>
      </c>
      <c r="AB5501">
        <v>32</v>
      </c>
      <c r="AC5501">
        <v>18.9376999999999</v>
      </c>
      <c r="AD5501">
        <v>-1.109783794435</v>
      </c>
      <c r="AE5501">
        <v>1.0071999999999799</v>
      </c>
      <c r="AF5501">
        <v>-0.65079249854201704</v>
      </c>
      <c r="AG5501">
        <v>-1.109783794435</v>
      </c>
      <c r="AH5501">
        <v>18.8885350831663</v>
      </c>
      <c r="AI5501">
        <v>93.3605217333116</v>
      </c>
      <c r="AJ5501">
        <v>91.973309156674503</v>
      </c>
      <c r="AK5501">
        <v>18.932298025716602</v>
      </c>
      <c r="AL5501">
        <v>83.976958511165407</v>
      </c>
      <c r="AM5501">
        <v>86.949928885020299</v>
      </c>
      <c r="AN5501">
        <v>0.99999998446308302</v>
      </c>
    </row>
    <row r="5502" spans="1:40" x14ac:dyDescent="0.25">
      <c r="A5502" t="str">
        <f>"20190312150802710"</f>
        <v>20190312150802710</v>
      </c>
      <c r="B5502" t="str">
        <f>"1552374482705955"</f>
        <v>1552374482705955</v>
      </c>
      <c r="C5502" t="s">
        <v>40</v>
      </c>
      <c r="D5502">
        <v>4.4824669999999998</v>
      </c>
      <c r="E5502">
        <v>0.47958600000000001</v>
      </c>
      <c r="F5502" t="s">
        <v>68</v>
      </c>
      <c r="G5502">
        <v>-295.98779999999999</v>
      </c>
      <c r="H5502" s="1">
        <v>1.9565510000000002E-6</v>
      </c>
      <c r="I5502">
        <v>215.77199999999999</v>
      </c>
      <c r="J5502">
        <v>-310.36709999999999</v>
      </c>
      <c r="K5502">
        <v>1.1097790000000001</v>
      </c>
      <c r="L5502">
        <v>214.82429999999999</v>
      </c>
      <c r="M5502">
        <v>0.99979130000000005</v>
      </c>
      <c r="N5502">
        <v>0</v>
      </c>
      <c r="O5502">
        <v>1.8331139999999999E-2</v>
      </c>
      <c r="P5502">
        <v>0.99482230000000005</v>
      </c>
      <c r="Q5502">
        <v>9.5505599999999996E-2</v>
      </c>
      <c r="R5502">
        <v>-3.4749210000000003E-2</v>
      </c>
      <c r="S5502">
        <v>3.044708</v>
      </c>
      <c r="T5502">
        <v>-0.22979759999999999</v>
      </c>
      <c r="U5502">
        <v>0.19741819999999999</v>
      </c>
      <c r="V5502">
        <v>5.3055659999999998E-2</v>
      </c>
      <c r="W5502">
        <v>0.1044447</v>
      </c>
      <c r="X5502">
        <v>0.99311450000000001</v>
      </c>
      <c r="Y5502">
        <v>-4.6320310000000003E-2</v>
      </c>
      <c r="Z5502">
        <v>3.6377540000000002E-4</v>
      </c>
      <c r="AA5502">
        <v>0.9989266</v>
      </c>
      <c r="AB5502">
        <v>32</v>
      </c>
      <c r="AC5502">
        <v>14.379300000000001</v>
      </c>
      <c r="AD5502">
        <v>-1.109777043449</v>
      </c>
      <c r="AE5502">
        <v>0.94770000000002597</v>
      </c>
      <c r="AF5502">
        <v>-0.679908659950621</v>
      </c>
      <c r="AG5502">
        <v>-1.109777043449</v>
      </c>
      <c r="AH5502">
        <v>14.309390589387601</v>
      </c>
      <c r="AI5502">
        <v>94.429768223610907</v>
      </c>
      <c r="AJ5502">
        <v>92.720354837070104</v>
      </c>
      <c r="AK5502">
        <v>14.3684564206354</v>
      </c>
      <c r="AL5502">
        <v>84.004825721798696</v>
      </c>
      <c r="AM5502">
        <v>86.941965561674706</v>
      </c>
      <c r="AN5502">
        <v>1.00000000426318</v>
      </c>
    </row>
    <row r="5503" spans="1:40" x14ac:dyDescent="0.25">
      <c r="A5503" t="str">
        <f>"20190312150802733"</f>
        <v>20190312150802733</v>
      </c>
      <c r="B5503" t="str">
        <f>"1552374482725475"</f>
        <v>1552374482725475</v>
      </c>
      <c r="C5503" t="s">
        <v>40</v>
      </c>
      <c r="D5503">
        <v>4.3674359999999997</v>
      </c>
      <c r="E5503">
        <v>0.49650290000000002</v>
      </c>
      <c r="F5503" t="s">
        <v>68</v>
      </c>
      <c r="G5503">
        <v>-286.9153</v>
      </c>
      <c r="H5503" s="1">
        <v>3.9407329999999997E-6</v>
      </c>
      <c r="I5503">
        <v>215.31710000000001</v>
      </c>
      <c r="J5503">
        <v>-310.0437</v>
      </c>
      <c r="K5503">
        <v>1.1097699999999999</v>
      </c>
      <c r="L5503">
        <v>214.82980000000001</v>
      </c>
      <c r="M5503">
        <v>0.99979770000000001</v>
      </c>
      <c r="N5503">
        <v>0</v>
      </c>
      <c r="O5503">
        <v>1.797296E-2</v>
      </c>
      <c r="P5503">
        <v>0.99480089999999999</v>
      </c>
      <c r="Q5503">
        <v>9.5345879999999994E-2</v>
      </c>
      <c r="R5503">
        <v>-3.5786699999999998E-2</v>
      </c>
      <c r="S5503">
        <v>3.0316160000000001</v>
      </c>
      <c r="T5503">
        <v>-0.14346049999999999</v>
      </c>
      <c r="U5503">
        <v>6.3705440000000002E-2</v>
      </c>
      <c r="V5503">
        <v>5.3737180000000002E-2</v>
      </c>
      <c r="W5503">
        <v>0.1042792</v>
      </c>
      <c r="X5503">
        <v>0.99309519999999996</v>
      </c>
      <c r="Y5503">
        <v>-3.0526220000000001E-3</v>
      </c>
      <c r="Z5503">
        <v>-7.7771869999999996E-4</v>
      </c>
      <c r="AA5503">
        <v>0.99999510000000003</v>
      </c>
      <c r="AB5503">
        <v>32</v>
      </c>
      <c r="AC5503">
        <v>23.128399999999999</v>
      </c>
      <c r="AD5503">
        <v>-1.109766059267</v>
      </c>
      <c r="AE5503">
        <v>0.48730000000000401</v>
      </c>
      <c r="AF5503">
        <v>-7.1354316872840801E-2</v>
      </c>
      <c r="AG5503">
        <v>-1.109766059267</v>
      </c>
      <c r="AH5503">
        <v>23.080307012801399</v>
      </c>
      <c r="AI5503">
        <v>92.752808888167195</v>
      </c>
      <c r="AJ5503">
        <v>90.177133180231195</v>
      </c>
      <c r="AK5503">
        <v>23.1070821167453</v>
      </c>
      <c r="AL5503">
        <v>84.014359948671995</v>
      </c>
      <c r="AM5503">
        <v>86.902699875318007</v>
      </c>
      <c r="AN5503">
        <v>0.99999995616501502</v>
      </c>
    </row>
    <row r="5504" spans="1:40" x14ac:dyDescent="0.25">
      <c r="A5504" t="str">
        <f>"20190312150802754"</f>
        <v>20190312150802754</v>
      </c>
      <c r="B5504" t="str">
        <f>"1552374482745975"</f>
        <v>1552374482745975</v>
      </c>
      <c r="C5504" t="s">
        <v>40</v>
      </c>
      <c r="D5504">
        <v>4.3714519999999997</v>
      </c>
      <c r="E5504">
        <v>0.50292530000000002</v>
      </c>
      <c r="F5504" t="s">
        <v>67</v>
      </c>
      <c r="G5504">
        <v>-277.3922</v>
      </c>
      <c r="H5504" s="1">
        <v>2.423018E-6</v>
      </c>
      <c r="I5504">
        <v>214.02010000000001</v>
      </c>
      <c r="J5504">
        <v>-309.73689999999999</v>
      </c>
      <c r="K5504">
        <v>1.109766</v>
      </c>
      <c r="L5504">
        <v>214.83500000000001</v>
      </c>
      <c r="M5504">
        <v>0.99980380000000002</v>
      </c>
      <c r="N5504">
        <v>0</v>
      </c>
      <c r="O5504">
        <v>1.7634090000000002E-2</v>
      </c>
      <c r="P5504">
        <v>0.99479090000000003</v>
      </c>
      <c r="Q5504">
        <v>9.5256480000000004E-2</v>
      </c>
      <c r="R5504">
        <v>-3.6299070000000003E-2</v>
      </c>
      <c r="S5504">
        <v>3.0228269999999999</v>
      </c>
      <c r="T5504">
        <v>-0.1027404</v>
      </c>
      <c r="U5504">
        <v>-7.4966430000000001E-2</v>
      </c>
      <c r="V5504">
        <v>5.3913370000000002E-2</v>
      </c>
      <c r="W5504">
        <v>0.1041863</v>
      </c>
      <c r="X5504">
        <v>0.99309550000000002</v>
      </c>
      <c r="Y5504">
        <v>4.2383379999999998E-2</v>
      </c>
      <c r="Z5504">
        <v>-1.3190679999999901E-3</v>
      </c>
      <c r="AA5504">
        <v>0.99910060000000001</v>
      </c>
      <c r="AB5504">
        <v>32</v>
      </c>
      <c r="AC5504">
        <v>32.344699999999897</v>
      </c>
      <c r="AD5504">
        <v>-1.109763576982</v>
      </c>
      <c r="AE5504">
        <v>-0.81489999999999396</v>
      </c>
      <c r="AF5504">
        <v>1.38353816055213</v>
      </c>
      <c r="AG5504">
        <v>-1.109763576982</v>
      </c>
      <c r="AH5504">
        <v>32.287314719136702</v>
      </c>
      <c r="AI5504">
        <v>91.966763722737696</v>
      </c>
      <c r="AJ5504">
        <v>87.546329492940899</v>
      </c>
      <c r="AK5504">
        <v>32.335993023426397</v>
      </c>
      <c r="AL5504">
        <v>84.019712468452099</v>
      </c>
      <c r="AM5504">
        <v>86.892565454120501</v>
      </c>
      <c r="AN5504">
        <v>1.0000000543463401</v>
      </c>
    </row>
    <row r="5505" spans="1:40" x14ac:dyDescent="0.25">
      <c r="A5505" t="str">
        <f>"20190312150802777"</f>
        <v>20190312150802777</v>
      </c>
      <c r="B5505" t="str">
        <f>"1552374482765492"</f>
        <v>1552374482765492</v>
      </c>
      <c r="C5505" t="s">
        <v>40</v>
      </c>
      <c r="D5505">
        <v>4.3359779999999999</v>
      </c>
      <c r="E5505">
        <v>0.50573919999999895</v>
      </c>
      <c r="F5505" t="s">
        <v>67</v>
      </c>
      <c r="G5505">
        <v>-270.13260000000002</v>
      </c>
      <c r="H5505" s="1">
        <v>-1.4023990000000001E-6</v>
      </c>
      <c r="I5505">
        <v>213.15629999999999</v>
      </c>
      <c r="J5505">
        <v>-309.42529999999999</v>
      </c>
      <c r="K5505">
        <v>1.1097619999999999</v>
      </c>
      <c r="L5505">
        <v>214.84020000000001</v>
      </c>
      <c r="M5505">
        <v>0.99980979999999997</v>
      </c>
      <c r="N5505">
        <v>0</v>
      </c>
      <c r="O5505">
        <v>1.7291339999999999E-2</v>
      </c>
      <c r="P5505">
        <v>0.99475970000000002</v>
      </c>
      <c r="Q5505">
        <v>9.5248570000000005E-2</v>
      </c>
      <c r="R5505">
        <v>-3.7158900000000002E-2</v>
      </c>
      <c r="S5505">
        <v>3.019104</v>
      </c>
      <c r="T5505">
        <v>-8.4599489999999999E-2</v>
      </c>
      <c r="U5505">
        <v>-0.12797549999999999</v>
      </c>
      <c r="V5505">
        <v>5.4432550000000003E-2</v>
      </c>
      <c r="W5505">
        <v>0.1041753</v>
      </c>
      <c r="X5505">
        <v>0.99306830000000001</v>
      </c>
      <c r="Y5505">
        <v>5.9590600000000001E-2</v>
      </c>
      <c r="Z5505">
        <v>-1.318629E-3</v>
      </c>
      <c r="AA5505">
        <v>0.9982221</v>
      </c>
      <c r="AB5505">
        <v>32</v>
      </c>
      <c r="AC5505">
        <v>39.292699999999897</v>
      </c>
      <c r="AD5505">
        <v>-1.109763402399</v>
      </c>
      <c r="AE5505">
        <v>-1.6839000000000199</v>
      </c>
      <c r="AF5505">
        <v>2.3612192254376101</v>
      </c>
      <c r="AG5505">
        <v>-1.109763402399</v>
      </c>
      <c r="AH5505">
        <v>39.226473527353903</v>
      </c>
      <c r="AI5505">
        <v>91.617606818020505</v>
      </c>
      <c r="AJ5505">
        <v>86.555263871691295</v>
      </c>
      <c r="AK5505">
        <v>39.313142286417097</v>
      </c>
      <c r="AL5505">
        <v>84.020345976518598</v>
      </c>
      <c r="AM5505">
        <v>86.862614925932604</v>
      </c>
      <c r="AN5505">
        <v>1.00000002204724</v>
      </c>
    </row>
    <row r="5506" spans="1:40" x14ac:dyDescent="0.25">
      <c r="A5506" t="str">
        <f>"20190312150802791"</f>
        <v>20190312150802791</v>
      </c>
      <c r="B5506" t="str">
        <f>"1552374482785988"</f>
        <v>1552374482785988</v>
      </c>
      <c r="C5506" t="s">
        <v>40</v>
      </c>
      <c r="D5506">
        <v>4.3372449999999896</v>
      </c>
      <c r="E5506">
        <v>0.50746729999999995</v>
      </c>
      <c r="F5506" t="s">
        <v>67</v>
      </c>
      <c r="G5506">
        <v>-264.34960000000001</v>
      </c>
      <c r="H5506" s="1">
        <v>8.6809669999999999E-7</v>
      </c>
      <c r="I5506">
        <v>212.5522</v>
      </c>
      <c r="J5506">
        <v>-309.21839999999997</v>
      </c>
      <c r="K5506">
        <v>1.1097570000000001</v>
      </c>
      <c r="L5506">
        <v>214.84360000000001</v>
      </c>
      <c r="M5506">
        <v>0.99981370000000003</v>
      </c>
      <c r="N5506">
        <v>0</v>
      </c>
      <c r="O5506">
        <v>1.7063999999999999E-2</v>
      </c>
      <c r="P5506">
        <v>0.99474180000000001</v>
      </c>
      <c r="Q5506">
        <v>9.5308210000000004E-2</v>
      </c>
      <c r="R5506">
        <v>-3.7490229999999999E-2</v>
      </c>
      <c r="S5506">
        <v>3.0171809999999999</v>
      </c>
      <c r="T5506">
        <v>-7.4282879999999996E-2</v>
      </c>
      <c r="U5506">
        <v>-0.1531525</v>
      </c>
      <c r="V5506">
        <v>5.4537960000000003E-2</v>
      </c>
      <c r="W5506">
        <v>0.1042337</v>
      </c>
      <c r="X5506">
        <v>0.99305639999999995</v>
      </c>
      <c r="Y5506">
        <v>6.7704600000000004E-2</v>
      </c>
      <c r="Z5506">
        <v>-1.252609E-3</v>
      </c>
      <c r="AA5506">
        <v>0.99770460000000005</v>
      </c>
      <c r="AB5506">
        <v>32</v>
      </c>
      <c r="AC5506">
        <v>44.868799999999901</v>
      </c>
      <c r="AD5506">
        <v>-1.10975613190329</v>
      </c>
      <c r="AE5506">
        <v>-2.2913999999999999</v>
      </c>
      <c r="AF5506">
        <v>3.05487477956052</v>
      </c>
      <c r="AG5506">
        <v>-1.10975613190329</v>
      </c>
      <c r="AH5506">
        <v>44.795832424482803</v>
      </c>
      <c r="AI5506">
        <v>91.415848001298102</v>
      </c>
      <c r="AJ5506">
        <v>86.098725224803601</v>
      </c>
      <c r="AK5506">
        <v>44.913588380282398</v>
      </c>
      <c r="AL5506">
        <v>84.016981655373598</v>
      </c>
      <c r="AM5506">
        <v>86.856513880607096</v>
      </c>
      <c r="AN5506">
        <v>1.0000000334388</v>
      </c>
    </row>
    <row r="5507" spans="1:40" x14ac:dyDescent="0.25">
      <c r="A5507" t="str">
        <f>"20190312150802811"</f>
        <v>20190312150802811</v>
      </c>
      <c r="B5507" t="str">
        <f>"1552374482805508"</f>
        <v>1552374482805508</v>
      </c>
      <c r="C5507" t="s">
        <v>40</v>
      </c>
      <c r="D5507">
        <v>4.3477880000000004</v>
      </c>
      <c r="E5507">
        <v>0.5087526</v>
      </c>
      <c r="F5507" t="s">
        <v>67</v>
      </c>
      <c r="G5507">
        <v>-256.49709999999999</v>
      </c>
      <c r="H5507" s="1">
        <v>2.039121E-6</v>
      </c>
      <c r="I5507">
        <v>211.90620000000001</v>
      </c>
      <c r="J5507">
        <v>-308.93540000000002</v>
      </c>
      <c r="K5507">
        <v>1.10975</v>
      </c>
      <c r="L5507">
        <v>214.84809999999999</v>
      </c>
      <c r="M5507">
        <v>0.99981900000000001</v>
      </c>
      <c r="N5507">
        <v>0</v>
      </c>
      <c r="O5507">
        <v>1.6753799999999999E-2</v>
      </c>
      <c r="P5507">
        <v>0.99475849999999999</v>
      </c>
      <c r="Q5507">
        <v>9.4880119999999998E-2</v>
      </c>
      <c r="R5507">
        <v>-3.812509E-2</v>
      </c>
      <c r="S5507">
        <v>3.015625</v>
      </c>
      <c r="T5507">
        <v>-6.3477400000000003E-2</v>
      </c>
      <c r="U5507">
        <v>-0.16801450000000001</v>
      </c>
      <c r="V5507">
        <v>5.4864950000000003E-2</v>
      </c>
      <c r="W5507">
        <v>0.10380490000000001</v>
      </c>
      <c r="X5507">
        <v>0.99308320000000005</v>
      </c>
      <c r="Y5507">
        <v>7.2329439999999995E-2</v>
      </c>
      <c r="Z5507">
        <v>-1.112965E-3</v>
      </c>
      <c r="AA5507">
        <v>0.99738020000000005</v>
      </c>
      <c r="AB5507">
        <v>32</v>
      </c>
      <c r="AC5507">
        <v>52.438299999999998</v>
      </c>
      <c r="AD5507">
        <v>-1.109747960879</v>
      </c>
      <c r="AE5507">
        <v>-2.9418999999999702</v>
      </c>
      <c r="AF5507">
        <v>3.8183587913997501</v>
      </c>
      <c r="AG5507">
        <v>-1.109747960879</v>
      </c>
      <c r="AH5507">
        <v>52.358273330029</v>
      </c>
      <c r="AI5507">
        <v>91.211002874665098</v>
      </c>
      <c r="AJ5507">
        <v>85.828945169000505</v>
      </c>
      <c r="AK5507">
        <v>52.509048653527898</v>
      </c>
      <c r="AL5507">
        <v>84.041683476609194</v>
      </c>
      <c r="AM5507">
        <v>86.837789972700605</v>
      </c>
      <c r="AN5507">
        <v>0.99999993106237395</v>
      </c>
    </row>
    <row r="5508" spans="1:40" x14ac:dyDescent="0.25">
      <c r="A5508" t="str">
        <f>"20190312150802834"</f>
        <v>20190312150802834</v>
      </c>
      <c r="B5508" t="str">
        <f>"1552374482826003"</f>
        <v>1552374482826003</v>
      </c>
      <c r="C5508" t="s">
        <v>40</v>
      </c>
      <c r="D5508">
        <v>4.6185199999999904</v>
      </c>
      <c r="E5508">
        <v>0.50954809999999995</v>
      </c>
      <c r="F5508" t="s">
        <v>67</v>
      </c>
      <c r="G5508">
        <v>-255.77869999999999</v>
      </c>
      <c r="H5508" s="1">
        <v>1.6670329999999999E-6</v>
      </c>
      <c r="I5508">
        <v>211.67189999999999</v>
      </c>
      <c r="J5508">
        <v>-308.60649999999998</v>
      </c>
      <c r="K5508">
        <v>1.1097440000000001</v>
      </c>
      <c r="L5508">
        <v>214.85319999999999</v>
      </c>
      <c r="M5508">
        <v>0.99982490000000002</v>
      </c>
      <c r="N5508">
        <v>0</v>
      </c>
      <c r="O5508">
        <v>1.639347E-2</v>
      </c>
      <c r="P5508">
        <v>0.99474510000000005</v>
      </c>
      <c r="Q5508">
        <v>9.4753309999999993E-2</v>
      </c>
      <c r="R5508">
        <v>-3.8782810000000001E-2</v>
      </c>
      <c r="S5508">
        <v>3.014923</v>
      </c>
      <c r="T5508">
        <v>-6.2942269999999995E-2</v>
      </c>
      <c r="U5508">
        <v>-0.18014530000000001</v>
      </c>
      <c r="V5508">
        <v>5.5164579999999998E-2</v>
      </c>
      <c r="W5508">
        <v>0.1036778</v>
      </c>
      <c r="X5508">
        <v>0.99307999999999996</v>
      </c>
      <c r="Y5508">
        <v>7.5981709999999994E-2</v>
      </c>
      <c r="Z5508">
        <v>-1.134286E-3</v>
      </c>
      <c r="AA5508">
        <v>0.99710860000000001</v>
      </c>
      <c r="AB5508">
        <v>32</v>
      </c>
      <c r="AC5508">
        <v>52.827800000000003</v>
      </c>
      <c r="AD5508">
        <v>-1.109742332967</v>
      </c>
      <c r="AE5508">
        <v>-3.18129999999999</v>
      </c>
      <c r="AF5508">
        <v>4.0451600513885699</v>
      </c>
      <c r="AG5508">
        <v>-1.109742332967</v>
      </c>
      <c r="AH5508">
        <v>52.745354014542897</v>
      </c>
      <c r="AI5508">
        <v>91.201775717427097</v>
      </c>
      <c r="AJ5508">
        <v>85.614442299872195</v>
      </c>
      <c r="AK5508">
        <v>52.911881633583803</v>
      </c>
      <c r="AL5508">
        <v>84.049005997670093</v>
      </c>
      <c r="AM5508">
        <v>86.820545533494695</v>
      </c>
      <c r="AN5508">
        <v>1.0000000517497001</v>
      </c>
    </row>
    <row r="5509" spans="1:40" x14ac:dyDescent="0.25">
      <c r="A5509" t="str">
        <f>"20190312150802856"</f>
        <v>20190312150802856</v>
      </c>
      <c r="B5509" t="str">
        <f>"1552374482845525"</f>
        <v>1552374482845525</v>
      </c>
      <c r="C5509" t="s">
        <v>40</v>
      </c>
      <c r="D5509">
        <v>4.3436589999999997</v>
      </c>
      <c r="E5509">
        <v>0.51011909999999905</v>
      </c>
      <c r="F5509" t="s">
        <v>67</v>
      </c>
      <c r="G5509">
        <v>-250.00739999999999</v>
      </c>
      <c r="H5509" s="1">
        <v>-1.383188E-6</v>
      </c>
      <c r="I5509">
        <v>211.1919</v>
      </c>
      <c r="J5509">
        <v>-308.29070000000002</v>
      </c>
      <c r="K5509">
        <v>1.109739</v>
      </c>
      <c r="L5509">
        <v>214.85810000000001</v>
      </c>
      <c r="M5509">
        <v>0.99983040000000001</v>
      </c>
      <c r="N5509">
        <v>0</v>
      </c>
      <c r="O5509">
        <v>1.6047499999999999E-2</v>
      </c>
      <c r="P5509">
        <v>0.99469689999999999</v>
      </c>
      <c r="Q5509">
        <v>9.4921859999999997E-2</v>
      </c>
      <c r="R5509">
        <v>-3.9596579999999999E-2</v>
      </c>
      <c r="S5509">
        <v>3.0138850000000001</v>
      </c>
      <c r="T5509">
        <v>-5.7076689999999999E-2</v>
      </c>
      <c r="U5509">
        <v>-0.1883087</v>
      </c>
      <c r="V5509">
        <v>5.5634089999999997E-2</v>
      </c>
      <c r="W5509">
        <v>0.1038467</v>
      </c>
      <c r="X5509">
        <v>0.99303609999999998</v>
      </c>
      <c r="Y5509">
        <v>7.8350829999999996E-2</v>
      </c>
      <c r="Z5509">
        <v>-1.044735E-3</v>
      </c>
      <c r="AA5509">
        <v>0.99692530000000001</v>
      </c>
      <c r="AB5509">
        <v>32</v>
      </c>
      <c r="AC5509">
        <v>58.283299999999997</v>
      </c>
      <c r="AD5509">
        <v>-1.1097403831879999</v>
      </c>
      <c r="AE5509">
        <v>-3.6661999999999999</v>
      </c>
      <c r="AF5509">
        <v>4.59940641774278</v>
      </c>
      <c r="AG5509">
        <v>-1.1097403831879999</v>
      </c>
      <c r="AH5509">
        <v>58.195943398167302</v>
      </c>
      <c r="AI5509">
        <v>91.089047620691403</v>
      </c>
      <c r="AJ5509">
        <v>85.481129352348503</v>
      </c>
      <c r="AK5509">
        <v>58.387960155466502</v>
      </c>
      <c r="AL5509">
        <v>84.039275866399194</v>
      </c>
      <c r="AM5509">
        <v>86.793399723745395</v>
      </c>
      <c r="AN5509">
        <v>0.99999999248711402</v>
      </c>
    </row>
    <row r="5510" spans="1:40" x14ac:dyDescent="0.25">
      <c r="A5510" t="str">
        <f>"20190312150802877"</f>
        <v>20190312150802877</v>
      </c>
      <c r="B5510" t="str">
        <f>"1552374482866020"</f>
        <v>1552374482866020</v>
      </c>
      <c r="C5510" t="s">
        <v>40</v>
      </c>
      <c r="D5510">
        <v>4.3310559999999896</v>
      </c>
      <c r="E5510">
        <v>0.51056869999999999</v>
      </c>
      <c r="F5510" t="s">
        <v>67</v>
      </c>
      <c r="G5510">
        <v>-247.12790000000001</v>
      </c>
      <c r="H5510" s="1">
        <v>2.4190979999999998E-6</v>
      </c>
      <c r="I5510">
        <v>210.89230000000001</v>
      </c>
      <c r="J5510">
        <v>-307.9864</v>
      </c>
      <c r="K5510">
        <v>1.1097319999999999</v>
      </c>
      <c r="L5510">
        <v>214.86259999999999</v>
      </c>
      <c r="M5510">
        <v>0.99983599999999995</v>
      </c>
      <c r="N5510">
        <v>0</v>
      </c>
      <c r="O5510">
        <v>1.5713459999999999E-2</v>
      </c>
      <c r="P5510">
        <v>0.99468330000000005</v>
      </c>
      <c r="Q5510">
        <v>9.4742950000000006E-2</v>
      </c>
      <c r="R5510">
        <v>-4.0367109999999998E-2</v>
      </c>
      <c r="S5510">
        <v>3.0133969999999999</v>
      </c>
      <c r="T5510">
        <v>-5.4674979999999998E-2</v>
      </c>
      <c r="U5510">
        <v>-0.1953888</v>
      </c>
      <c r="V5510">
        <v>5.6072219999999999E-2</v>
      </c>
      <c r="W5510">
        <v>0.10366930000000001</v>
      </c>
      <c r="X5510">
        <v>0.99302999999999997</v>
      </c>
      <c r="Y5510">
        <v>8.036161E-2</v>
      </c>
      <c r="Z5510">
        <v>-1.0130359999999999E-3</v>
      </c>
      <c r="AA5510">
        <v>0.99676529999999997</v>
      </c>
      <c r="AB5510">
        <v>32</v>
      </c>
      <c r="AC5510">
        <v>60.8584999999999</v>
      </c>
      <c r="AD5510">
        <v>-1.109729580902</v>
      </c>
      <c r="AE5510">
        <v>-3.97029999999998</v>
      </c>
      <c r="AF5510">
        <v>4.9245156747662397</v>
      </c>
      <c r="AG5510">
        <v>-1.109729580902</v>
      </c>
      <c r="AH5510">
        <v>60.768475979731797</v>
      </c>
      <c r="AI5510">
        <v>91.042778672713297</v>
      </c>
      <c r="AJ5510">
        <v>85.367026368935697</v>
      </c>
      <c r="AK5510">
        <v>60.977783062956497</v>
      </c>
      <c r="AL5510">
        <v>84.049495336849702</v>
      </c>
      <c r="AM5510">
        <v>86.768180590892996</v>
      </c>
      <c r="AN5510">
        <v>0.99999999925910898</v>
      </c>
    </row>
    <row r="5511" spans="1:40" x14ac:dyDescent="0.25">
      <c r="A5511" t="str">
        <f>"20190312150802900"</f>
        <v>20190312150802900</v>
      </c>
      <c r="B5511" t="str">
        <f>"1552374482895300"</f>
        <v>1552374482895300</v>
      </c>
      <c r="C5511" t="s">
        <v>40</v>
      </c>
      <c r="D5511">
        <v>4.2874889999999999</v>
      </c>
      <c r="E5511">
        <v>0.51105599999999995</v>
      </c>
      <c r="F5511" t="s">
        <v>67</v>
      </c>
      <c r="G5511">
        <v>-245.8091</v>
      </c>
      <c r="H5511" s="1">
        <v>1.7253870000000001E-6</v>
      </c>
      <c r="I5511">
        <v>210.70679999999999</v>
      </c>
      <c r="J5511">
        <v>-307.66039999999998</v>
      </c>
      <c r="K5511">
        <v>1.1097330000000001</v>
      </c>
      <c r="L5511">
        <v>214.8674</v>
      </c>
      <c r="M5511">
        <v>0.99984139999999999</v>
      </c>
      <c r="N5511">
        <v>0</v>
      </c>
      <c r="O5511">
        <v>1.535633E-2</v>
      </c>
      <c r="P5511">
        <v>0.99465300000000001</v>
      </c>
      <c r="Q5511">
        <v>9.4411789999999995E-2</v>
      </c>
      <c r="R5511">
        <v>-4.1855660000000003E-2</v>
      </c>
      <c r="S5511">
        <v>3.0130309999999998</v>
      </c>
      <c r="T5511">
        <v>-5.3776030000000002E-2</v>
      </c>
      <c r="U5511">
        <v>-0.2013855</v>
      </c>
      <c r="V5511">
        <v>5.720534E-2</v>
      </c>
      <c r="W5511">
        <v>0.1033425</v>
      </c>
      <c r="X5511">
        <v>0.99299939999999998</v>
      </c>
      <c r="Y5511">
        <v>8.1988859999999997E-2</v>
      </c>
      <c r="Z5511">
        <v>-1.0045760000000001E-3</v>
      </c>
      <c r="AA5511">
        <v>0.99663279999999999</v>
      </c>
      <c r="AB5511">
        <v>32</v>
      </c>
      <c r="AC5511">
        <v>61.851299999999902</v>
      </c>
      <c r="AD5511">
        <v>-1.1097312746129999</v>
      </c>
      <c r="AE5511">
        <v>-4.1606000000000103</v>
      </c>
      <c r="AF5511">
        <v>5.1083199495393998</v>
      </c>
      <c r="AG5511">
        <v>-1.1097312746129999</v>
      </c>
      <c r="AH5511">
        <v>61.760320172307402</v>
      </c>
      <c r="AI5511">
        <v>91.025897563926904</v>
      </c>
      <c r="AJ5511">
        <v>85.271714064641799</v>
      </c>
      <c r="AK5511">
        <v>61.981155071478298</v>
      </c>
      <c r="AL5511">
        <v>84.068320512714905</v>
      </c>
      <c r="AM5511">
        <v>86.702912536353793</v>
      </c>
      <c r="AN5511">
        <v>0.99999996581556205</v>
      </c>
    </row>
    <row r="5512" spans="1:40" x14ac:dyDescent="0.25">
      <c r="A5512" t="str">
        <f>"20190312150802923"</f>
        <v>20190312150802923</v>
      </c>
      <c r="B5512" t="str">
        <f>"1552374482915795"</f>
        <v>1552374482915795</v>
      </c>
      <c r="C5512" t="s">
        <v>40</v>
      </c>
      <c r="D5512">
        <v>4.4371460000000003</v>
      </c>
      <c r="E5512">
        <v>0.51137790000000005</v>
      </c>
      <c r="F5512" t="s">
        <v>67</v>
      </c>
      <c r="G5512">
        <v>-244.71260000000001</v>
      </c>
      <c r="H5512" s="1">
        <v>1.1515699999999999E-6</v>
      </c>
      <c r="I5512">
        <v>210.48570000000001</v>
      </c>
      <c r="J5512">
        <v>-307.32619999999997</v>
      </c>
      <c r="K5512">
        <v>1.109731</v>
      </c>
      <c r="L5512">
        <v>214.87219999999999</v>
      </c>
      <c r="M5512">
        <v>0.99984680000000004</v>
      </c>
      <c r="N5512">
        <v>0</v>
      </c>
      <c r="O5512">
        <v>1.4989880000000001E-2</v>
      </c>
      <c r="P5512">
        <v>0.99461739999999998</v>
      </c>
      <c r="Q5512">
        <v>9.4166879999999994E-2</v>
      </c>
      <c r="R5512">
        <v>-4.3234839999999997E-2</v>
      </c>
      <c r="S5512">
        <v>3.0123600000000001</v>
      </c>
      <c r="T5512">
        <v>-5.3106069999999998E-2</v>
      </c>
      <c r="U5512">
        <v>-0.20968629999999999</v>
      </c>
      <c r="V5512">
        <v>5.8219479999999997E-2</v>
      </c>
      <c r="W5512">
        <v>0.1031078</v>
      </c>
      <c r="X5512">
        <v>0.99296490000000004</v>
      </c>
      <c r="Y5512">
        <v>8.4371749999999995E-2</v>
      </c>
      <c r="Z5512">
        <v>-1.0067159999999999E-3</v>
      </c>
      <c r="AA5512">
        <v>0.99643389999999998</v>
      </c>
      <c r="AB5512">
        <v>32</v>
      </c>
      <c r="AC5512">
        <v>62.613599999999899</v>
      </c>
      <c r="AD5512">
        <v>-1.10972984843</v>
      </c>
      <c r="AE5512">
        <v>-4.3864999999999803</v>
      </c>
      <c r="AF5512">
        <v>5.3229519148306998</v>
      </c>
      <c r="AG5512">
        <v>-1.10972984843</v>
      </c>
      <c r="AH5512">
        <v>62.521265372841299</v>
      </c>
      <c r="AI5512">
        <v>91.013207852873904</v>
      </c>
      <c r="AJ5512">
        <v>85.133672129298901</v>
      </c>
      <c r="AK5512">
        <v>62.757262059823297</v>
      </c>
      <c r="AL5512">
        <v>84.081840313009195</v>
      </c>
      <c r="AM5512">
        <v>86.644477631507002</v>
      </c>
      <c r="AN5512">
        <v>1.0000000094521599</v>
      </c>
    </row>
    <row r="5513" spans="1:40" x14ac:dyDescent="0.25">
      <c r="A5513" t="str">
        <f>"20190312150802945"</f>
        <v>20190312150802945</v>
      </c>
      <c r="B5513" t="str">
        <f>"1552374482935319"</f>
        <v>1552374482935319</v>
      </c>
      <c r="C5513" t="s">
        <v>40</v>
      </c>
      <c r="D5513">
        <v>4.3095970000000001</v>
      </c>
      <c r="E5513">
        <v>0.51169310000000001</v>
      </c>
      <c r="F5513" t="s">
        <v>67</v>
      </c>
      <c r="G5513">
        <v>-241.23390000000001</v>
      </c>
      <c r="H5513" s="1">
        <v>-6.8390179999999999E-7</v>
      </c>
      <c r="I5513">
        <v>210.12610000000001</v>
      </c>
      <c r="J5513">
        <v>-307.01909999999998</v>
      </c>
      <c r="K5513">
        <v>1.1097360000000001</v>
      </c>
      <c r="L5513">
        <v>214.87639999999999</v>
      </c>
      <c r="M5513">
        <v>0.99985179999999996</v>
      </c>
      <c r="N5513">
        <v>0</v>
      </c>
      <c r="O5513">
        <v>1.4652989999999999E-2</v>
      </c>
      <c r="P5513">
        <v>0.99463210000000002</v>
      </c>
      <c r="Q5513">
        <v>9.3594640000000007E-2</v>
      </c>
      <c r="R5513">
        <v>-4.4134329999999999E-2</v>
      </c>
      <c r="S5513">
        <v>3.0116269999999998</v>
      </c>
      <c r="T5513">
        <v>-5.0567149999999998E-2</v>
      </c>
      <c r="U5513">
        <v>-0.21626280000000001</v>
      </c>
      <c r="V5513">
        <v>5.8784049999999997E-2</v>
      </c>
      <c r="W5513">
        <v>0.1025476</v>
      </c>
      <c r="X5513">
        <v>0.99298969999999998</v>
      </c>
      <c r="Y5513">
        <v>8.6218959999999997E-2</v>
      </c>
      <c r="Z5513">
        <v>-9.6858939999999998E-4</v>
      </c>
      <c r="AA5513">
        <v>0.99627569999999999</v>
      </c>
      <c r="AB5513">
        <v>32</v>
      </c>
      <c r="AC5513">
        <v>65.785199999999904</v>
      </c>
      <c r="AD5513">
        <v>-1.1097366839017999</v>
      </c>
      <c r="AE5513">
        <v>-4.7502999999999798</v>
      </c>
      <c r="AF5513">
        <v>5.7121621469880397</v>
      </c>
      <c r="AG5513">
        <v>-1.1097366839017999</v>
      </c>
      <c r="AH5513">
        <v>65.689931551316903</v>
      </c>
      <c r="AI5513">
        <v>90.964199719266304</v>
      </c>
      <c r="AJ5513">
        <v>85.030264304890693</v>
      </c>
      <c r="AK5513">
        <v>65.9471562625545</v>
      </c>
      <c r="AL5513">
        <v>84.114108752285802</v>
      </c>
      <c r="AM5513">
        <v>86.612098078698295</v>
      </c>
      <c r="AN5513">
        <v>1.00000005955312</v>
      </c>
    </row>
    <row r="5514" spans="1:40" x14ac:dyDescent="0.25">
      <c r="A5514" t="str">
        <f>"20190312150802958"</f>
        <v>20190312150802958</v>
      </c>
      <c r="B5514" t="str">
        <f>"1552374482946052"</f>
        <v>1552374482946052</v>
      </c>
      <c r="C5514" t="s">
        <v>40</v>
      </c>
      <c r="D5514">
        <v>4.3256569999999996</v>
      </c>
      <c r="E5514">
        <v>0.51180899999999996</v>
      </c>
      <c r="F5514" t="s">
        <v>67</v>
      </c>
      <c r="G5514">
        <v>-235.95580000000001</v>
      </c>
      <c r="H5514" s="1">
        <v>1.850244E-6</v>
      </c>
      <c r="I5514">
        <v>209.63659999999999</v>
      </c>
      <c r="J5514">
        <v>-306.81290000000001</v>
      </c>
      <c r="K5514">
        <v>1.109737</v>
      </c>
      <c r="L5514">
        <v>214.8792</v>
      </c>
      <c r="M5514">
        <v>0.99985489999999999</v>
      </c>
      <c r="N5514">
        <v>0</v>
      </c>
      <c r="O5514">
        <v>1.442834E-2</v>
      </c>
      <c r="P5514">
        <v>0.99464450000000004</v>
      </c>
      <c r="Q5514">
        <v>9.3298729999999996E-2</v>
      </c>
      <c r="R5514">
        <v>-4.4473369999999998E-2</v>
      </c>
      <c r="S5514">
        <v>3.0107729999999999</v>
      </c>
      <c r="T5514">
        <v>-4.7016620000000002E-2</v>
      </c>
      <c r="U5514">
        <v>-0.22200010000000001</v>
      </c>
      <c r="V5514">
        <v>5.8899849999999997E-2</v>
      </c>
      <c r="W5514">
        <v>0.10226300000000001</v>
      </c>
      <c r="X5514">
        <v>0.99301209999999995</v>
      </c>
      <c r="Y5514">
        <v>8.7905430000000007E-2</v>
      </c>
      <c r="Z5514">
        <v>-9.1042830000000001E-4</v>
      </c>
      <c r="AA5514">
        <v>0.99612840000000002</v>
      </c>
      <c r="AB5514">
        <v>32</v>
      </c>
      <c r="AC5514">
        <v>70.857100000000003</v>
      </c>
      <c r="AD5514">
        <v>-1.109735149756</v>
      </c>
      <c r="AE5514">
        <v>-5.2426000000000004</v>
      </c>
      <c r="AF5514">
        <v>6.2629186431053103</v>
      </c>
      <c r="AG5514">
        <v>-1.109735149756</v>
      </c>
      <c r="AH5514">
        <v>70.756817353693904</v>
      </c>
      <c r="AI5514">
        <v>90.895042634472901</v>
      </c>
      <c r="AJ5514">
        <v>84.941744414796005</v>
      </c>
      <c r="AK5514">
        <v>71.042120351638999</v>
      </c>
      <c r="AL5514">
        <v>84.1305007948785</v>
      </c>
      <c r="AM5514">
        <v>86.6055161611812</v>
      </c>
      <c r="AN5514">
        <v>0.99999997212271496</v>
      </c>
    </row>
    <row r="5515" spans="1:40" x14ac:dyDescent="0.25">
      <c r="A5515" t="str">
        <f>"20190312150802978"</f>
        <v>20190312150802978</v>
      </c>
      <c r="B5515" t="str">
        <f>"1552374482965571"</f>
        <v>1552374482965571</v>
      </c>
      <c r="C5515" t="s">
        <v>40</v>
      </c>
      <c r="D5515">
        <v>4.3220580000000002</v>
      </c>
      <c r="E5515">
        <v>0.51199439999999996</v>
      </c>
      <c r="F5515" t="s">
        <v>67</v>
      </c>
      <c r="G5515">
        <v>-236.08670000000001</v>
      </c>
      <c r="H5515">
        <v>2.656505E-2</v>
      </c>
      <c r="I5515">
        <v>209.6163</v>
      </c>
      <c r="J5515">
        <v>-306.54039999999998</v>
      </c>
      <c r="K5515">
        <v>1.109737</v>
      </c>
      <c r="L5515">
        <v>214.88290000000001</v>
      </c>
      <c r="M5515">
        <v>0.99985889999999999</v>
      </c>
      <c r="N5515">
        <v>0</v>
      </c>
      <c r="O5515">
        <v>1.413268E-2</v>
      </c>
      <c r="P5515">
        <v>0.99463809999999997</v>
      </c>
      <c r="Q5515">
        <v>9.3041960000000007E-2</v>
      </c>
      <c r="R5515">
        <v>-4.5148099999999997E-2</v>
      </c>
      <c r="S5515">
        <v>3.010437</v>
      </c>
      <c r="T5515">
        <v>-4.6104909999999999E-2</v>
      </c>
      <c r="U5515">
        <v>-0.2240143</v>
      </c>
      <c r="V5515">
        <v>5.928025E-2</v>
      </c>
      <c r="W5515">
        <v>0.102023</v>
      </c>
      <c r="X5515">
        <v>0.99301419999999996</v>
      </c>
      <c r="Y5515">
        <v>8.8282310000000003E-2</v>
      </c>
      <c r="Z5515">
        <v>-8.9121280000000001E-4</v>
      </c>
      <c r="AA5515">
        <v>0.99609510000000001</v>
      </c>
      <c r="AB5515">
        <v>32</v>
      </c>
      <c r="AC5515">
        <v>70.453699999999898</v>
      </c>
      <c r="AD5515">
        <v>-1.0831719500000001</v>
      </c>
      <c r="AE5515">
        <v>-5.2666000000000102</v>
      </c>
      <c r="AF5515">
        <v>6.2603431033358499</v>
      </c>
      <c r="AG5515">
        <v>-1.0831719500000001</v>
      </c>
      <c r="AH5515">
        <v>70.355691508300794</v>
      </c>
      <c r="AI5515">
        <v>90.878565672182404</v>
      </c>
      <c r="AJ5515">
        <v>84.915137137348196</v>
      </c>
      <c r="AK5515">
        <v>70.641973959225794</v>
      </c>
      <c r="AL5515">
        <v>84.144324369088096</v>
      </c>
      <c r="AM5515">
        <v>86.583652124328196</v>
      </c>
      <c r="AN5515">
        <v>1.0000000209853499</v>
      </c>
    </row>
    <row r="5516" spans="1:40" x14ac:dyDescent="0.25">
      <c r="A5516" t="str">
        <f>"20190312150803000"</f>
        <v>20190312150803000</v>
      </c>
      <c r="B5516" t="str">
        <f>"1552374482995828"</f>
        <v>1552374482995828</v>
      </c>
      <c r="C5516" t="s">
        <v>40</v>
      </c>
      <c r="D5516">
        <v>4.3268019999999998</v>
      </c>
      <c r="E5516">
        <v>0.51217460000000004</v>
      </c>
      <c r="F5516" t="s">
        <v>67</v>
      </c>
      <c r="G5516">
        <v>-234.9051</v>
      </c>
      <c r="H5516">
        <v>8.000024E-2</v>
      </c>
      <c r="I5516">
        <v>209.46180000000001</v>
      </c>
      <c r="J5516">
        <v>-306.21350000000001</v>
      </c>
      <c r="K5516">
        <v>1.109739</v>
      </c>
      <c r="L5516">
        <v>214.8871</v>
      </c>
      <c r="M5516">
        <v>0.99986359999999996</v>
      </c>
      <c r="N5516">
        <v>0</v>
      </c>
      <c r="O5516">
        <v>1.3780010000000001E-2</v>
      </c>
      <c r="P5516">
        <v>0.99463179999999995</v>
      </c>
      <c r="Q5516">
        <v>9.2678209999999997E-2</v>
      </c>
      <c r="R5516">
        <v>-4.6027819999999997E-2</v>
      </c>
      <c r="S5516">
        <v>3.0099490000000002</v>
      </c>
      <c r="T5516">
        <v>-4.3267130000000001E-2</v>
      </c>
      <c r="U5516">
        <v>-0.22778319999999999</v>
      </c>
      <c r="V5516">
        <v>5.9808930000000003E-2</v>
      </c>
      <c r="W5516">
        <v>0.10168480000000001</v>
      </c>
      <c r="X5516">
        <v>0.99301719999999905</v>
      </c>
      <c r="Y5516">
        <v>8.9184540000000007E-2</v>
      </c>
      <c r="Z5516">
        <v>-8.3787259999999904E-4</v>
      </c>
      <c r="AA5516">
        <v>0.99601479999999998</v>
      </c>
      <c r="AB5516">
        <v>32</v>
      </c>
      <c r="AC5516">
        <v>71.308400000000006</v>
      </c>
      <c r="AD5516">
        <v>-1.0297387600000001</v>
      </c>
      <c r="AE5516">
        <v>-5.4252999999999902</v>
      </c>
      <c r="AF5516">
        <v>6.4061278309157101</v>
      </c>
      <c r="AG5516">
        <v>-1.0297387600000001</v>
      </c>
      <c r="AH5516">
        <v>71.2121004632953</v>
      </c>
      <c r="AI5516">
        <v>90.825117269981007</v>
      </c>
      <c r="AJ5516">
        <v>84.859598836262904</v>
      </c>
      <c r="AK5516">
        <v>71.507077188865296</v>
      </c>
      <c r="AL5516">
        <v>84.163803173943705</v>
      </c>
      <c r="AM5516">
        <v>86.553267572346698</v>
      </c>
      <c r="AN5516">
        <v>1.00000003307731</v>
      </c>
    </row>
    <row r="5517" spans="1:40" x14ac:dyDescent="0.25">
      <c r="A5517" t="str">
        <f>"20190312150803024"</f>
        <v>20190312150803024</v>
      </c>
      <c r="B5517" t="str">
        <f>"1552374483015348"</f>
        <v>1552374483015348</v>
      </c>
      <c r="C5517" t="s">
        <v>40</v>
      </c>
      <c r="D5517">
        <v>4.2919169999999998</v>
      </c>
      <c r="E5517">
        <v>0.51217259999999998</v>
      </c>
      <c r="F5517" t="s">
        <v>67</v>
      </c>
      <c r="G5517">
        <v>-231.0035</v>
      </c>
      <c r="H5517">
        <v>8.0001399999999903E-2</v>
      </c>
      <c r="I5517">
        <v>209.08670000000001</v>
      </c>
      <c r="J5517">
        <v>-305.8766</v>
      </c>
      <c r="K5517">
        <v>1.1097349999999999</v>
      </c>
      <c r="L5517">
        <v>214.8914</v>
      </c>
      <c r="M5517">
        <v>0.99986819999999998</v>
      </c>
      <c r="N5517">
        <v>0</v>
      </c>
      <c r="O5517">
        <v>1.3421239999999999E-2</v>
      </c>
      <c r="P5517">
        <v>0.99462729999999999</v>
      </c>
      <c r="Q5517">
        <v>9.2196299999999995E-2</v>
      </c>
      <c r="R5517">
        <v>-4.7079799999999998E-2</v>
      </c>
      <c r="S5517">
        <v>3.0093079999999999</v>
      </c>
      <c r="T5517">
        <v>-4.1201950000000001E-2</v>
      </c>
      <c r="U5517">
        <v>-0.23208619999999999</v>
      </c>
      <c r="V5517">
        <v>6.0503269999999998E-2</v>
      </c>
      <c r="W5517">
        <v>0.1012332</v>
      </c>
      <c r="X5517">
        <v>0.99302120000000005</v>
      </c>
      <c r="Y5517">
        <v>9.0259909999999999E-2</v>
      </c>
      <c r="Z5517">
        <v>-8.0045530000000004E-4</v>
      </c>
      <c r="AA5517">
        <v>0.99591790000000002</v>
      </c>
      <c r="AB5517">
        <v>32</v>
      </c>
      <c r="AC5517">
        <v>74.873099999999994</v>
      </c>
      <c r="AD5517">
        <v>-1.0297335999999999</v>
      </c>
      <c r="AE5517">
        <v>-5.8046999999999898</v>
      </c>
      <c r="AF5517">
        <v>6.8078289279946302</v>
      </c>
      <c r="AG5517">
        <v>-1.0297335999999999</v>
      </c>
      <c r="AH5517">
        <v>74.774387368627004</v>
      </c>
      <c r="AI5517">
        <v>90.785732782723898</v>
      </c>
      <c r="AJ5517">
        <v>84.797851926580194</v>
      </c>
      <c r="AK5517">
        <v>75.090717750953004</v>
      </c>
      <c r="AL5517">
        <v>84.189811706076995</v>
      </c>
      <c r="AM5517">
        <v>86.513365568873894</v>
      </c>
      <c r="AN5517">
        <v>0.999999955056185</v>
      </c>
    </row>
    <row r="5518" spans="1:40" x14ac:dyDescent="0.25">
      <c r="A5518" t="str">
        <f>"20190312150803046"</f>
        <v>20190312150803046</v>
      </c>
      <c r="B5518" t="str">
        <f>"1552374483035843"</f>
        <v>1552374483035843</v>
      </c>
      <c r="C5518" t="s">
        <v>40</v>
      </c>
      <c r="D5518">
        <v>4.3155869999999998</v>
      </c>
      <c r="E5518">
        <v>0.51217539999999995</v>
      </c>
      <c r="F5518" t="s">
        <v>67</v>
      </c>
      <c r="G5518">
        <v>-233.6405</v>
      </c>
      <c r="H5518">
        <v>8.0000639999999998E-2</v>
      </c>
      <c r="I5518">
        <v>209.24289999999999</v>
      </c>
      <c r="J5518">
        <v>-305.55560000000003</v>
      </c>
      <c r="K5518">
        <v>1.1097399999999999</v>
      </c>
      <c r="L5518">
        <v>214.8954</v>
      </c>
      <c r="M5518">
        <v>0.99987230000000005</v>
      </c>
      <c r="N5518">
        <v>0</v>
      </c>
      <c r="O5518">
        <v>1.30879E-2</v>
      </c>
      <c r="P5518">
        <v>0.99462629999999996</v>
      </c>
      <c r="Q5518">
        <v>9.1808710000000002E-2</v>
      </c>
      <c r="R5518">
        <v>-4.785437E-2</v>
      </c>
      <c r="S5518">
        <v>3.0090029999999999</v>
      </c>
      <c r="T5518">
        <v>-4.2893769999999998E-2</v>
      </c>
      <c r="U5518">
        <v>-0.23529050000000001</v>
      </c>
      <c r="V5518">
        <v>6.094488E-2</v>
      </c>
      <c r="W5518">
        <v>0.1008759</v>
      </c>
      <c r="X5518">
        <v>0.99303059999999999</v>
      </c>
      <c r="Y5518">
        <v>9.0988970000000002E-2</v>
      </c>
      <c r="Z5518">
        <v>-8.3381310000000001E-4</v>
      </c>
      <c r="AA5518">
        <v>0.99585159999999995</v>
      </c>
      <c r="AB5518">
        <v>32</v>
      </c>
      <c r="AC5518">
        <v>71.915099999999995</v>
      </c>
      <c r="AD5518">
        <v>-1.02973936</v>
      </c>
      <c r="AE5518">
        <v>-5.6524999999999999</v>
      </c>
      <c r="AF5518">
        <v>6.5919297991308197</v>
      </c>
      <c r="AG5518">
        <v>-1.02973936</v>
      </c>
      <c r="AH5518">
        <v>71.820322663699699</v>
      </c>
      <c r="AI5518">
        <v>90.817996505849806</v>
      </c>
      <c r="AJ5518">
        <v>84.755878437629306</v>
      </c>
      <c r="AK5518">
        <v>72.129554616288502</v>
      </c>
      <c r="AL5518">
        <v>84.210389081435594</v>
      </c>
      <c r="AM5518">
        <v>86.488013446627903</v>
      </c>
      <c r="AN5518">
        <v>0.99999999906769199</v>
      </c>
    </row>
    <row r="5519" spans="1:40" x14ac:dyDescent="0.25">
      <c r="A5519" t="str">
        <f>"20190312150803068"</f>
        <v>20190312150803068</v>
      </c>
      <c r="B5519" t="str">
        <f>"1552374483055364"</f>
        <v>1552374483055364</v>
      </c>
      <c r="C5519" t="s">
        <v>40</v>
      </c>
      <c r="D5519">
        <v>4.335413</v>
      </c>
      <c r="E5519">
        <v>0.5121327</v>
      </c>
      <c r="F5519" t="s">
        <v>67</v>
      </c>
      <c r="G5519">
        <v>-235.404</v>
      </c>
      <c r="H5519">
        <v>8.0001569999999994E-2</v>
      </c>
      <c r="I5519">
        <v>209.35650000000001</v>
      </c>
      <c r="J5519">
        <v>-305.23700000000002</v>
      </c>
      <c r="K5519">
        <v>1.109745</v>
      </c>
      <c r="L5519">
        <v>214.89920000000001</v>
      </c>
      <c r="M5519">
        <v>0.99987610000000005</v>
      </c>
      <c r="N5519">
        <v>0</v>
      </c>
      <c r="O5519">
        <v>1.276774E-2</v>
      </c>
      <c r="P5519">
        <v>0.99452490000000004</v>
      </c>
      <c r="Q5519">
        <v>9.2351520000000006E-2</v>
      </c>
      <c r="R5519">
        <v>-4.8903790000000003E-2</v>
      </c>
      <c r="S5519">
        <v>3.0088200000000001</v>
      </c>
      <c r="T5519">
        <v>-4.416573E-2</v>
      </c>
      <c r="U5519">
        <v>-0.2375641</v>
      </c>
      <c r="V5519">
        <v>6.1673720000000001E-2</v>
      </c>
      <c r="W5519">
        <v>0.101451399999999</v>
      </c>
      <c r="X5519">
        <v>0.992927</v>
      </c>
      <c r="Y5519">
        <v>9.1422059999999999E-2</v>
      </c>
      <c r="Z5519">
        <v>-8.5704369999999995E-4</v>
      </c>
      <c r="AA5519">
        <v>0.99581189999999997</v>
      </c>
      <c r="AB5519">
        <v>32</v>
      </c>
      <c r="AC5519">
        <v>69.832999999999998</v>
      </c>
      <c r="AD5519">
        <v>-1.0297434299999999</v>
      </c>
      <c r="AE5519">
        <v>-5.5426999999999902</v>
      </c>
      <c r="AF5519">
        <v>6.4325056326360803</v>
      </c>
      <c r="AG5519">
        <v>-1.0297434299999999</v>
      </c>
      <c r="AH5519">
        <v>69.741467060005107</v>
      </c>
      <c r="AI5519">
        <v>90.842344658839096</v>
      </c>
      <c r="AJ5519">
        <v>84.730314150062199</v>
      </c>
      <c r="AK5519">
        <v>70.045054985539807</v>
      </c>
      <c r="AL5519">
        <v>84.177245511169104</v>
      </c>
      <c r="AM5519">
        <v>86.445750743657598</v>
      </c>
      <c r="AN5519">
        <v>1.0000000308147901</v>
      </c>
    </row>
    <row r="5520" spans="1:40" x14ac:dyDescent="0.25">
      <c r="A5520" t="str">
        <f>"20190312150803090"</f>
        <v>20190312150803090</v>
      </c>
      <c r="B5520" t="str">
        <f>"1552374483085619"</f>
        <v>1552374483085619</v>
      </c>
      <c r="C5520" t="s">
        <v>40</v>
      </c>
      <c r="D5520">
        <v>4.3448180000000001</v>
      </c>
      <c r="E5520">
        <v>0.51219340000000002</v>
      </c>
      <c r="F5520" t="s">
        <v>67</v>
      </c>
      <c r="G5520">
        <v>-232.279</v>
      </c>
      <c r="H5520">
        <v>8.0001050000000004E-2</v>
      </c>
      <c r="I5520">
        <v>209.06399999999999</v>
      </c>
      <c r="J5520">
        <v>-304.91239999999999</v>
      </c>
      <c r="K5520">
        <v>1.109756</v>
      </c>
      <c r="L5520">
        <v>214.90309999999999</v>
      </c>
      <c r="M5520">
        <v>0.99987979999999999</v>
      </c>
      <c r="N5520">
        <v>0</v>
      </c>
      <c r="O5520">
        <v>1.2452049999999999E-2</v>
      </c>
      <c r="P5520">
        <v>0.99448409999999998</v>
      </c>
      <c r="Q5520">
        <v>9.2212450000000001E-2</v>
      </c>
      <c r="R5520">
        <v>-4.9983619999999999E-2</v>
      </c>
      <c r="S5520">
        <v>3.0086360000000001</v>
      </c>
      <c r="T5520">
        <v>-4.2464490000000001E-2</v>
      </c>
      <c r="U5520">
        <v>-0.24063109999999999</v>
      </c>
      <c r="V5520">
        <v>6.2437140000000002E-2</v>
      </c>
      <c r="W5520">
        <v>0.10134840000000001</v>
      </c>
      <c r="X5520">
        <v>0.99288980000000004</v>
      </c>
      <c r="Y5520">
        <v>9.2121949999999994E-2</v>
      </c>
      <c r="Z5520">
        <v>-8.2453309999999896E-4</v>
      </c>
      <c r="AA5520">
        <v>0.99574739999999995</v>
      </c>
      <c r="AB5520">
        <v>32</v>
      </c>
      <c r="AC5520">
        <v>72.633399999999895</v>
      </c>
      <c r="AD5520">
        <v>-1.0297549500000001</v>
      </c>
      <c r="AE5520">
        <v>-5.83909999999997</v>
      </c>
      <c r="AF5520">
        <v>6.7417741848088699</v>
      </c>
      <c r="AG5520">
        <v>-1.0297549500000001</v>
      </c>
      <c r="AH5520">
        <v>72.540569406634503</v>
      </c>
      <c r="AI5520">
        <v>90.809802460467296</v>
      </c>
      <c r="AJ5520">
        <v>84.690298241859196</v>
      </c>
      <c r="AK5520">
        <v>72.860456519670294</v>
      </c>
      <c r="AL5520">
        <v>84.183177516342795</v>
      </c>
      <c r="AM5520">
        <v>86.401735360923794</v>
      </c>
      <c r="AN5520">
        <v>1.00000002478898</v>
      </c>
    </row>
    <row r="5521" spans="1:40" x14ac:dyDescent="0.25">
      <c r="A5521" t="str">
        <f>"20190312150803112"</f>
        <v>20190312150803112</v>
      </c>
      <c r="B5521" t="str">
        <f>"1552374483106116"</f>
        <v>1552374483106116</v>
      </c>
      <c r="C5521" t="s">
        <v>40</v>
      </c>
      <c r="D5521">
        <v>4.365386</v>
      </c>
      <c r="E5521">
        <v>0.51211980000000001</v>
      </c>
      <c r="F5521" t="s">
        <v>67</v>
      </c>
      <c r="G5521">
        <v>-233.18260000000001</v>
      </c>
      <c r="H5521">
        <v>8.0000769999999999E-2</v>
      </c>
      <c r="I5521">
        <v>209.07900000000001</v>
      </c>
      <c r="J5521">
        <v>-304.57889999999998</v>
      </c>
      <c r="K5521">
        <v>1.1097729999999999</v>
      </c>
      <c r="L5521">
        <v>214.90690000000001</v>
      </c>
      <c r="M5521">
        <v>0.99988319999999997</v>
      </c>
      <c r="N5521">
        <v>0</v>
      </c>
      <c r="O5521">
        <v>1.214318E-2</v>
      </c>
      <c r="P5521">
        <v>0.99443709999999996</v>
      </c>
      <c r="Q5521">
        <v>9.2171859999999994E-2</v>
      </c>
      <c r="R5521">
        <v>-5.0982930000000003E-2</v>
      </c>
      <c r="S5521">
        <v>3.008362</v>
      </c>
      <c r="T5521">
        <v>-4.31881E-2</v>
      </c>
      <c r="U5521">
        <v>-0.2442627</v>
      </c>
      <c r="V5521">
        <v>6.3126440000000006E-2</v>
      </c>
      <c r="W5521">
        <v>0.10134609999999999</v>
      </c>
      <c r="X5521">
        <v>0.99284640000000002</v>
      </c>
      <c r="Y5521">
        <v>9.3015399999999998E-2</v>
      </c>
      <c r="Z5521">
        <v>-8.4059249999999999E-4</v>
      </c>
      <c r="AA5521">
        <v>0.99566429999999995</v>
      </c>
      <c r="AB5521">
        <v>33</v>
      </c>
      <c r="AC5521">
        <v>71.396299999999897</v>
      </c>
      <c r="AD5521">
        <v>-1.0297722299999901</v>
      </c>
      <c r="AE5521">
        <v>-5.8278999999999996</v>
      </c>
      <c r="AF5521">
        <v>6.6931025602342098</v>
      </c>
      <c r="AG5521">
        <v>-1.0297722299999901</v>
      </c>
      <c r="AH5521">
        <v>71.305527455990998</v>
      </c>
      <c r="AI5521">
        <v>90.823769775779795</v>
      </c>
      <c r="AJ5521">
        <v>84.637636070803893</v>
      </c>
      <c r="AK5521">
        <v>71.626365945122402</v>
      </c>
      <c r="AL5521">
        <v>84.183309697997601</v>
      </c>
      <c r="AM5521">
        <v>86.361958368580304</v>
      </c>
      <c r="AN5521">
        <v>0.99999997670262097</v>
      </c>
    </row>
    <row r="5522" spans="1:40" x14ac:dyDescent="0.25">
      <c r="A5522" t="str">
        <f>"20190312150803127"</f>
        <v>20190312150803127</v>
      </c>
      <c r="B5522" t="str">
        <f>"1552374483115875"</f>
        <v>1552374483115875</v>
      </c>
      <c r="C5522" t="s">
        <v>40</v>
      </c>
      <c r="D5522">
        <v>4.3618489999999897</v>
      </c>
      <c r="E5522">
        <v>0.512071099999999</v>
      </c>
      <c r="F5522" t="s">
        <v>67</v>
      </c>
      <c r="G5522">
        <v>-234.05670000000001</v>
      </c>
      <c r="H5522">
        <v>8.0000509999999997E-2</v>
      </c>
      <c r="I5522">
        <v>209.124</v>
      </c>
      <c r="J5522">
        <v>-304.3691</v>
      </c>
      <c r="K5522">
        <v>1.1097889999999999</v>
      </c>
      <c r="L5522">
        <v>214.9093</v>
      </c>
      <c r="M5522">
        <v>0.99988520000000003</v>
      </c>
      <c r="N5522">
        <v>0</v>
      </c>
      <c r="O5522">
        <v>1.195766E-2</v>
      </c>
      <c r="P5522">
        <v>0.99437299999999995</v>
      </c>
      <c r="Q5522">
        <v>9.2528890000000003E-2</v>
      </c>
      <c r="R5522">
        <v>-5.1583980000000001E-2</v>
      </c>
      <c r="S5522">
        <v>3.0081790000000002</v>
      </c>
      <c r="T5522">
        <v>-4.3925760000000001E-2</v>
      </c>
      <c r="U5522">
        <v>-0.24667359999999999</v>
      </c>
      <c r="V5522">
        <v>6.3540639999999995E-2</v>
      </c>
      <c r="W5522">
        <v>0.1017279</v>
      </c>
      <c r="X5522">
        <v>0.99278089999999997</v>
      </c>
      <c r="Y5522">
        <v>9.3627829999999995E-2</v>
      </c>
      <c r="Z5522">
        <v>-8.5673179999999995E-4</v>
      </c>
      <c r="AA5522">
        <v>0.99560689999999996</v>
      </c>
      <c r="AB5522">
        <v>33</v>
      </c>
      <c r="AC5522">
        <v>70.312399999999997</v>
      </c>
      <c r="AD5522">
        <v>-1.0297884899999901</v>
      </c>
      <c r="AE5522">
        <v>-5.7852999999999701</v>
      </c>
      <c r="AF5522">
        <v>6.6242831533697402</v>
      </c>
      <c r="AG5522">
        <v>-1.0297884899999901</v>
      </c>
      <c r="AH5522">
        <v>70.223229144784099</v>
      </c>
      <c r="AI5522">
        <v>90.836440937828996</v>
      </c>
      <c r="AJ5522">
        <v>84.611132857769704</v>
      </c>
      <c r="AK5522">
        <v>70.542494307693801</v>
      </c>
      <c r="AL5522">
        <v>84.161320349370698</v>
      </c>
      <c r="AM5522">
        <v>86.337911397780303</v>
      </c>
      <c r="AN5522">
        <v>0.99999994698741301</v>
      </c>
    </row>
    <row r="5523" spans="1:40" x14ac:dyDescent="0.25">
      <c r="A5523" t="str">
        <f>"20190312150803145"</f>
        <v>20190312150803145</v>
      </c>
      <c r="B5523" t="str">
        <f>"1552374483135399"</f>
        <v>1552374483135399</v>
      </c>
      <c r="C5523" t="s">
        <v>40</v>
      </c>
      <c r="D5523">
        <v>4.370781</v>
      </c>
      <c r="E5523">
        <v>0.51203019999999999</v>
      </c>
      <c r="F5523" t="s">
        <v>67</v>
      </c>
      <c r="G5523">
        <v>-232.06120000000001</v>
      </c>
      <c r="H5523">
        <v>8.0001100000000006E-2</v>
      </c>
      <c r="I5523">
        <v>208.94640000000001</v>
      </c>
      <c r="J5523">
        <v>-304.10059999999999</v>
      </c>
      <c r="K5523">
        <v>1.109807</v>
      </c>
      <c r="L5523">
        <v>214.91220000000001</v>
      </c>
      <c r="M5523">
        <v>0.99988759999999999</v>
      </c>
      <c r="N5523">
        <v>0</v>
      </c>
      <c r="O5523">
        <v>1.1733769999999999E-2</v>
      </c>
      <c r="P5523">
        <v>0.99426890000000001</v>
      </c>
      <c r="Q5523">
        <v>9.2964599999999994E-2</v>
      </c>
      <c r="R5523">
        <v>-5.279176E-2</v>
      </c>
      <c r="S5523">
        <v>3.0081180000000001</v>
      </c>
      <c r="T5523">
        <v>-4.2840719999999999E-2</v>
      </c>
      <c r="U5523">
        <v>-0.24806210000000001</v>
      </c>
      <c r="V5523">
        <v>6.4522010000000005E-2</v>
      </c>
      <c r="W5523">
        <v>0.1021966</v>
      </c>
      <c r="X5523">
        <v>0.99266949999999998</v>
      </c>
      <c r="Y5523">
        <v>9.3863550000000004E-2</v>
      </c>
      <c r="Z5523">
        <v>-8.3406409999999996E-4</v>
      </c>
      <c r="AA5523">
        <v>0.99558469999999999</v>
      </c>
      <c r="AB5523">
        <v>33</v>
      </c>
      <c r="AC5523">
        <v>72.039399999999901</v>
      </c>
      <c r="AD5523">
        <v>-1.0298058999999999</v>
      </c>
      <c r="AE5523">
        <v>-5.9657999999999998</v>
      </c>
      <c r="AF5523">
        <v>6.8093378309551902</v>
      </c>
      <c r="AG5523">
        <v>-1.0298058999999999</v>
      </c>
      <c r="AH5523">
        <v>71.949833116215004</v>
      </c>
      <c r="AI5523">
        <v>90.816361571453299</v>
      </c>
      <c r="AJ5523">
        <v>84.593625745635606</v>
      </c>
      <c r="AK5523">
        <v>72.2786695183229</v>
      </c>
      <c r="AL5523">
        <v>84.134325350817704</v>
      </c>
      <c r="AM5523">
        <v>86.281092671998096</v>
      </c>
      <c r="AN5523">
        <v>0.99999998552812497</v>
      </c>
    </row>
    <row r="5524" spans="1:40" x14ac:dyDescent="0.25">
      <c r="A5524" t="str">
        <f>"20190312150803168"</f>
        <v>20190312150803168</v>
      </c>
      <c r="B5524" t="str">
        <f>"1552374483155891"</f>
        <v>1552374483155891</v>
      </c>
      <c r="C5524" t="s">
        <v>40</v>
      </c>
      <c r="D5524">
        <v>4.6057750000000004</v>
      </c>
      <c r="E5524">
        <v>0.51206750000000001</v>
      </c>
      <c r="F5524" t="s">
        <v>67</v>
      </c>
      <c r="G5524">
        <v>-229.30879999999999</v>
      </c>
      <c r="H5524">
        <v>8.0000459999999995E-2</v>
      </c>
      <c r="I5524">
        <v>208.6635</v>
      </c>
      <c r="J5524">
        <v>-303.77629999999999</v>
      </c>
      <c r="K5524">
        <v>1.1098319999999999</v>
      </c>
      <c r="L5524">
        <v>214.91579999999999</v>
      </c>
      <c r="M5524">
        <v>0.99988999999999995</v>
      </c>
      <c r="N5524">
        <v>0</v>
      </c>
      <c r="O5524">
        <v>1.148567E-2</v>
      </c>
      <c r="P5524">
        <v>0.99417979999999995</v>
      </c>
      <c r="Q5524">
        <v>9.3237349999999997E-2</v>
      </c>
      <c r="R5524">
        <v>-5.3973939999999998E-2</v>
      </c>
      <c r="S5524">
        <v>3.0078130000000001</v>
      </c>
      <c r="T5524">
        <v>-4.14145E-2</v>
      </c>
      <c r="U5524">
        <v>-0.25129699999999999</v>
      </c>
      <c r="V5524">
        <v>6.5452720000000006E-2</v>
      </c>
      <c r="W5524">
        <v>0.10251349999999999</v>
      </c>
      <c r="X5524">
        <v>0.99257589999999996</v>
      </c>
      <c r="Y5524">
        <v>9.4688839999999996E-2</v>
      </c>
      <c r="Z5524">
        <v>-8.0860669999999895E-4</v>
      </c>
      <c r="AA5524">
        <v>0.99550660000000002</v>
      </c>
      <c r="AB5524">
        <v>33</v>
      </c>
      <c r="AC5524">
        <v>74.467500000000001</v>
      </c>
      <c r="AD5524">
        <v>-1.02983154</v>
      </c>
      <c r="AE5524">
        <v>-6.2522999999999902</v>
      </c>
      <c r="AF5524">
        <v>7.1058848626199502</v>
      </c>
      <c r="AG5524">
        <v>-1.02983154</v>
      </c>
      <c r="AH5524">
        <v>74.376647611558099</v>
      </c>
      <c r="AI5524">
        <v>90.789680927987305</v>
      </c>
      <c r="AJ5524">
        <v>84.542571916756998</v>
      </c>
      <c r="AK5524">
        <v>74.722418741736902</v>
      </c>
      <c r="AL5524">
        <v>84.116072518697905</v>
      </c>
      <c r="AM5524">
        <v>86.227247677080896</v>
      </c>
      <c r="AN5524">
        <v>0.99999999674922901</v>
      </c>
    </row>
    <row r="5525" spans="1:40" x14ac:dyDescent="0.25">
      <c r="A5525" t="str">
        <f>"20190312150803190"</f>
        <v>20190312150803190</v>
      </c>
      <c r="B5525" t="str">
        <f>"1552374483185172"</f>
        <v>1552374483185172</v>
      </c>
      <c r="C5525" t="s">
        <v>40</v>
      </c>
      <c r="D5525">
        <v>4.3832389999999997</v>
      </c>
      <c r="E5525">
        <v>0.50212709999999905</v>
      </c>
      <c r="F5525" t="s">
        <v>67</v>
      </c>
      <c r="G5525">
        <v>-228.32249999999999</v>
      </c>
      <c r="H5525">
        <v>8.0000749999999995E-2</v>
      </c>
      <c r="I5525">
        <v>208.51669999999999</v>
      </c>
      <c r="J5525">
        <v>-303.44970000000001</v>
      </c>
      <c r="K5525">
        <v>1.109847</v>
      </c>
      <c r="L5525">
        <v>214.91929999999999</v>
      </c>
      <c r="M5525">
        <v>0.99989229999999996</v>
      </c>
      <c r="N5525">
        <v>0</v>
      </c>
      <c r="O5525">
        <v>1.125702E-2</v>
      </c>
      <c r="P5525">
        <v>0.99410770000000004</v>
      </c>
      <c r="Q5525">
        <v>9.3163369999999995E-2</v>
      </c>
      <c r="R5525">
        <v>-5.5416960000000001E-2</v>
      </c>
      <c r="S5525">
        <v>3.007568</v>
      </c>
      <c r="T5525">
        <v>-4.1048769999999998E-2</v>
      </c>
      <c r="U5525">
        <v>-0.25506590000000001</v>
      </c>
      <c r="V5525">
        <v>6.6663169999999994E-2</v>
      </c>
      <c r="W5525">
        <v>0.10248450000000001</v>
      </c>
      <c r="X5525">
        <v>0.99249830000000006</v>
      </c>
      <c r="Y5525">
        <v>9.5706669999999994E-2</v>
      </c>
      <c r="Z5525">
        <v>-8.0530710000000004E-4</v>
      </c>
      <c r="AA5525">
        <v>0.99540930000000005</v>
      </c>
      <c r="AB5525">
        <v>33</v>
      </c>
      <c r="AC5525">
        <v>75.127200000000002</v>
      </c>
      <c r="AD5525">
        <v>-1.0298462500000001</v>
      </c>
      <c r="AE5525">
        <v>-6.4025999999999996</v>
      </c>
      <c r="AF5525">
        <v>7.2465882807659403</v>
      </c>
      <c r="AG5525">
        <v>-1.0298462500000001</v>
      </c>
      <c r="AH5525">
        <v>75.036363529400404</v>
      </c>
      <c r="AI5525">
        <v>90.782673032831198</v>
      </c>
      <c r="AJ5525">
        <v>84.483803832024705</v>
      </c>
      <c r="AK5525">
        <v>75.392502788578994</v>
      </c>
      <c r="AL5525">
        <v>84.117742696184095</v>
      </c>
      <c r="AM5525">
        <v>86.157383864321801</v>
      </c>
      <c r="AN5525">
        <v>0.99999996323879303</v>
      </c>
    </row>
    <row r="5526" spans="1:40" x14ac:dyDescent="0.25">
      <c r="A5526" t="str">
        <f>"20190312150803204"</f>
        <v>20190312150803204</v>
      </c>
      <c r="B5526" t="str">
        <f>"1552374483195908"</f>
        <v>1552374483195908</v>
      </c>
      <c r="C5526" t="s">
        <v>40</v>
      </c>
      <c r="D5526">
        <v>4.3782489999999896</v>
      </c>
      <c r="E5526">
        <v>0.50156889999999998</v>
      </c>
      <c r="F5526" t="s">
        <v>67</v>
      </c>
      <c r="G5526">
        <v>-249.7037</v>
      </c>
      <c r="H5526" s="1">
        <v>3.7541249999999998E-6</v>
      </c>
      <c r="I5526">
        <v>211.70840000000001</v>
      </c>
      <c r="J5526">
        <v>-303.23099999999999</v>
      </c>
      <c r="K5526">
        <v>1.109861</v>
      </c>
      <c r="L5526">
        <v>214.92160000000001</v>
      </c>
      <c r="M5526">
        <v>0.9998937</v>
      </c>
      <c r="N5526">
        <v>0</v>
      </c>
      <c r="O5526">
        <v>1.111403E-2</v>
      </c>
      <c r="P5526">
        <v>0.99408510000000005</v>
      </c>
      <c r="Q5526">
        <v>9.2962550000000005E-2</v>
      </c>
      <c r="R5526">
        <v>-5.6149919999999999E-2</v>
      </c>
      <c r="S5526">
        <v>3.0135800000000001</v>
      </c>
      <c r="T5526">
        <v>-6.222975E-2</v>
      </c>
      <c r="U5526">
        <v>-0.18003849999999999</v>
      </c>
      <c r="V5526">
        <v>6.7251089999999999E-2</v>
      </c>
      <c r="W5526">
        <v>0.10231419999999999</v>
      </c>
      <c r="X5526">
        <v>0.99247620000000003</v>
      </c>
      <c r="Y5526">
        <v>7.0709729999999998E-2</v>
      </c>
      <c r="Z5526">
        <v>-9.5864120000000005E-4</v>
      </c>
      <c r="AA5526">
        <v>0.99749650000000001</v>
      </c>
      <c r="AB5526">
        <v>33</v>
      </c>
      <c r="AC5526">
        <v>53.527299999999997</v>
      </c>
      <c r="AD5526">
        <v>-1.109857245875</v>
      </c>
      <c r="AE5526">
        <v>-3.2132000000000001</v>
      </c>
      <c r="AF5526">
        <v>3.80630152503366</v>
      </c>
      <c r="AG5526">
        <v>-1.109857245875</v>
      </c>
      <c r="AH5526">
        <v>53.465377433436103</v>
      </c>
      <c r="AI5526">
        <v>91.186198246147001</v>
      </c>
      <c r="AJ5526">
        <v>85.927875183934802</v>
      </c>
      <c r="AK5526">
        <v>53.6121842355399</v>
      </c>
      <c r="AL5526">
        <v>84.127551688181498</v>
      </c>
      <c r="AM5526">
        <v>86.123511639100798</v>
      </c>
      <c r="AN5526">
        <v>0.99999995609713299</v>
      </c>
    </row>
    <row r="5527" spans="1:40" x14ac:dyDescent="0.25">
      <c r="A5527" t="str">
        <f>"20190312150803225"</f>
        <v>20190312150803225</v>
      </c>
      <c r="B5527" t="str">
        <f>"1552374483215428"</f>
        <v>1552374483215428</v>
      </c>
      <c r="C5527" t="s">
        <v>40</v>
      </c>
      <c r="D5527">
        <v>4.3785109999999996</v>
      </c>
      <c r="E5527">
        <v>0.50175059999999905</v>
      </c>
      <c r="F5527" t="s">
        <v>67</v>
      </c>
      <c r="G5527">
        <v>-254.45859999999999</v>
      </c>
      <c r="H5527" s="1">
        <v>9.481233E-7</v>
      </c>
      <c r="I5527">
        <v>212.04769999999999</v>
      </c>
      <c r="J5527">
        <v>-302.93700000000001</v>
      </c>
      <c r="K5527">
        <v>1.1098749999999999</v>
      </c>
      <c r="L5527">
        <v>214.9247</v>
      </c>
      <c r="M5527">
        <v>0.99989519999999998</v>
      </c>
      <c r="N5527">
        <v>0</v>
      </c>
      <c r="O5527">
        <v>1.093596E-2</v>
      </c>
      <c r="P5527">
        <v>0.99403660000000005</v>
      </c>
      <c r="Q5527">
        <v>9.2714909999999998E-2</v>
      </c>
      <c r="R5527">
        <v>-5.7409469999999997E-2</v>
      </c>
      <c r="S5527">
        <v>3.014221</v>
      </c>
      <c r="T5527">
        <v>-6.8591239999999998E-2</v>
      </c>
      <c r="U5527">
        <v>-0.177612299999999</v>
      </c>
      <c r="V5527">
        <v>6.8329299999999996E-2</v>
      </c>
      <c r="W5527">
        <v>0.1021079</v>
      </c>
      <c r="X5527">
        <v>0.99242379999999997</v>
      </c>
      <c r="Y5527">
        <v>6.9715929999999995E-2</v>
      </c>
      <c r="Z5527">
        <v>-1.041071E-3</v>
      </c>
      <c r="AA5527">
        <v>0.99756630000000002</v>
      </c>
      <c r="AB5527">
        <v>33</v>
      </c>
      <c r="AC5527">
        <v>48.478400000000001</v>
      </c>
      <c r="AD5527">
        <v>-1.1098740518767001</v>
      </c>
      <c r="AE5527">
        <v>-2.8769999999999998</v>
      </c>
      <c r="AF5527">
        <v>3.4052310736595399</v>
      </c>
      <c r="AG5527">
        <v>-1.1098740518767001</v>
      </c>
      <c r="AH5527">
        <v>48.418747246149699</v>
      </c>
      <c r="AI5527">
        <v>91.309892682942703</v>
      </c>
      <c r="AJ5527">
        <v>85.977082048854001</v>
      </c>
      <c r="AK5527">
        <v>48.551029896003001</v>
      </c>
      <c r="AL5527">
        <v>84.139434048143201</v>
      </c>
      <c r="AM5527">
        <v>86.061348200018003</v>
      </c>
      <c r="AN5527">
        <v>0.999999957643669</v>
      </c>
    </row>
    <row r="5528" spans="1:40" x14ac:dyDescent="0.25">
      <c r="A5528" t="str">
        <f>"20190312150803247"</f>
        <v>20190312150803247</v>
      </c>
      <c r="B5528" t="str">
        <f>"1552374483235924"</f>
        <v>1552374483235924</v>
      </c>
      <c r="C5528" t="s">
        <v>40</v>
      </c>
      <c r="D5528">
        <v>4.3262710000000002</v>
      </c>
      <c r="E5528">
        <v>0.50165700000000002</v>
      </c>
      <c r="F5528" t="s">
        <v>67</v>
      </c>
      <c r="G5528">
        <v>-273.96730000000002</v>
      </c>
      <c r="H5528" s="1">
        <v>6.3768609999999897E-7</v>
      </c>
      <c r="I5528">
        <v>213.16829999999999</v>
      </c>
      <c r="J5528">
        <v>-302.61610000000002</v>
      </c>
      <c r="K5528">
        <v>1.10989</v>
      </c>
      <c r="L5528">
        <v>214.9281</v>
      </c>
      <c r="M5528">
        <v>0.99989669999999997</v>
      </c>
      <c r="N5528">
        <v>0</v>
      </c>
      <c r="O5528">
        <v>1.075593E-2</v>
      </c>
      <c r="P5528">
        <v>0.99391859999999999</v>
      </c>
      <c r="Q5528">
        <v>9.2803780000000002E-2</v>
      </c>
      <c r="R5528">
        <v>-5.9275109999999999E-2</v>
      </c>
      <c r="S5528">
        <v>3.0181879999999999</v>
      </c>
      <c r="T5528">
        <v>-0.115631399999999</v>
      </c>
      <c r="U5528">
        <v>-0.18299869999999999</v>
      </c>
      <c r="V5528">
        <v>7.0011870000000004E-2</v>
      </c>
      <c r="W5528">
        <v>0.1022417</v>
      </c>
      <c r="X5528">
        <v>0.99229279999999997</v>
      </c>
      <c r="Y5528">
        <v>7.1194110000000005E-2</v>
      </c>
      <c r="Z5528">
        <v>-1.7736220000000001E-3</v>
      </c>
      <c r="AA5528">
        <v>0.99746089999999998</v>
      </c>
      <c r="AB5528">
        <v>33</v>
      </c>
      <c r="AC5528">
        <v>28.648799999999898</v>
      </c>
      <c r="AD5528">
        <v>-1.1098893623138999</v>
      </c>
      <c r="AE5528">
        <v>-1.75980000000001</v>
      </c>
      <c r="AF5528">
        <v>2.0647693598804202</v>
      </c>
      <c r="AG5528">
        <v>-1.1098893623138999</v>
      </c>
      <c r="AH5528">
        <v>28.585471326098901</v>
      </c>
      <c r="AI5528">
        <v>92.2177368090789</v>
      </c>
      <c r="AJ5528">
        <v>85.868619159584796</v>
      </c>
      <c r="AK5528">
        <v>28.681427751095299</v>
      </c>
      <c r="AL5528">
        <v>84.131727872339198</v>
      </c>
      <c r="AM5528">
        <v>85.964146752743403</v>
      </c>
      <c r="AN5528">
        <v>1.0000000140458101</v>
      </c>
    </row>
    <row r="5529" spans="1:40" x14ac:dyDescent="0.25">
      <c r="A5529" t="str">
        <f>"20190312150803279"</f>
        <v>20190312150803279</v>
      </c>
      <c r="B5529" t="str">
        <f>"1552374483275940"</f>
        <v>1552374483275940</v>
      </c>
      <c r="C5529" t="s">
        <v>40</v>
      </c>
      <c r="D5529">
        <v>4.3903030000000003</v>
      </c>
      <c r="E5529">
        <v>0.5013396</v>
      </c>
      <c r="F5529" t="s">
        <v>67</v>
      </c>
      <c r="G5529">
        <v>-273.39710000000002</v>
      </c>
      <c r="H5529" s="1">
        <v>3.3692189999999999E-7</v>
      </c>
      <c r="I5529">
        <v>213.10749999999999</v>
      </c>
      <c r="J5529">
        <v>-302.13240000000002</v>
      </c>
      <c r="K5529">
        <v>1.1099060000000001</v>
      </c>
      <c r="L5529">
        <v>214.93299999999999</v>
      </c>
      <c r="M5529">
        <v>0.99989879999999998</v>
      </c>
      <c r="N5529">
        <v>0</v>
      </c>
      <c r="O5529">
        <v>1.050156E-2</v>
      </c>
      <c r="P5529">
        <v>0.99379379999999995</v>
      </c>
      <c r="Q5529">
        <v>9.3067730000000001E-2</v>
      </c>
      <c r="R5529">
        <v>-6.0932849999999997E-2</v>
      </c>
      <c r="S5529">
        <v>3.0178530000000001</v>
      </c>
      <c r="T5529">
        <v>-0.1146336</v>
      </c>
      <c r="U5529">
        <v>-0.18803410000000001</v>
      </c>
      <c r="V5529">
        <v>7.1412580000000003E-2</v>
      </c>
      <c r="W5529">
        <v>0.10256850000000001</v>
      </c>
      <c r="X5529">
        <v>0.99215920000000002</v>
      </c>
      <c r="Y5529">
        <v>7.2605210000000003E-2</v>
      </c>
      <c r="Z5529">
        <v>-1.7755469999999999E-3</v>
      </c>
      <c r="AA5529">
        <v>0.9973592</v>
      </c>
      <c r="AB5529">
        <v>33</v>
      </c>
      <c r="AC5529">
        <v>28.735299999999899</v>
      </c>
      <c r="AD5529">
        <v>-1.1099056630780999</v>
      </c>
      <c r="AE5529">
        <v>-1.8254999999999999</v>
      </c>
      <c r="AF5529">
        <v>2.1240226039521302</v>
      </c>
      <c r="AG5529">
        <v>-1.1099056630780999</v>
      </c>
      <c r="AH5529">
        <v>28.6719400061953</v>
      </c>
      <c r="AI5529">
        <v>92.210790523278703</v>
      </c>
      <c r="AJ5529">
        <v>85.763257013333202</v>
      </c>
      <c r="AK5529">
        <v>28.771922186776099</v>
      </c>
      <c r="AL5529">
        <v>84.112904369857105</v>
      </c>
      <c r="AM5529">
        <v>85.883124909220996</v>
      </c>
      <c r="AN5529">
        <v>0.99999996595957197</v>
      </c>
    </row>
    <row r="5530" spans="1:40" x14ac:dyDescent="0.25">
      <c r="A5530" t="str">
        <f>"20190312150803302"</f>
        <v>20190312150803302</v>
      </c>
      <c r="B5530" t="str">
        <f>"1552374483295463"</f>
        <v>1552374483295463</v>
      </c>
      <c r="C5530" t="s">
        <v>40</v>
      </c>
      <c r="D5530">
        <v>4.4881219999999997</v>
      </c>
      <c r="E5530">
        <v>0.50134860000000003</v>
      </c>
      <c r="F5530" t="s">
        <v>67</v>
      </c>
      <c r="G5530">
        <v>-272.9504</v>
      </c>
      <c r="H5530" s="1">
        <v>9.9923239999999998E-8</v>
      </c>
      <c r="I5530">
        <v>213.0915</v>
      </c>
      <c r="J5530">
        <v>-301.80009999999999</v>
      </c>
      <c r="K5530">
        <v>1.10992</v>
      </c>
      <c r="L5530">
        <v>214.93629999999999</v>
      </c>
      <c r="M5530">
        <v>0.99990020000000002</v>
      </c>
      <c r="N5530">
        <v>0</v>
      </c>
      <c r="O5530">
        <v>1.0333230000000001E-2</v>
      </c>
      <c r="P5530">
        <v>0.99373540000000005</v>
      </c>
      <c r="Q5530">
        <v>9.2971910000000005E-2</v>
      </c>
      <c r="R5530">
        <v>-6.201856E-2</v>
      </c>
      <c r="S5530">
        <v>3.017792</v>
      </c>
      <c r="T5530">
        <v>-0.1147783</v>
      </c>
      <c r="U5530">
        <v>-0.19042970000000001</v>
      </c>
      <c r="V5530">
        <v>7.2329249999999998E-2</v>
      </c>
      <c r="W5530">
        <v>0.10251109999999999</v>
      </c>
      <c r="X5530">
        <v>0.9920987</v>
      </c>
      <c r="Y5530">
        <v>7.3226719999999995E-2</v>
      </c>
      <c r="Z5530">
        <v>-1.78318799999999E-3</v>
      </c>
      <c r="AA5530">
        <v>0.99731369999999997</v>
      </c>
      <c r="AB5530">
        <v>33</v>
      </c>
      <c r="AC5530">
        <v>28.849699999999899</v>
      </c>
      <c r="AD5530">
        <v>-1.1099199000767599</v>
      </c>
      <c r="AE5530">
        <v>-1.84479999999999</v>
      </c>
      <c r="AF5530">
        <v>2.1396718180635199</v>
      </c>
      <c r="AG5530">
        <v>-1.1099199000767599</v>
      </c>
      <c r="AH5530">
        <v>28.786661399548901</v>
      </c>
      <c r="AI5530">
        <v>92.2019766018647</v>
      </c>
      <c r="AJ5530">
        <v>85.749102629290903</v>
      </c>
      <c r="AK5530">
        <v>28.8874019635875</v>
      </c>
      <c r="AL5530">
        <v>84.116210411639898</v>
      </c>
      <c r="AM5530">
        <v>85.830211486001204</v>
      </c>
      <c r="AN5530">
        <v>0.99999993828522904</v>
      </c>
    </row>
    <row r="5531" spans="1:40" x14ac:dyDescent="0.25">
      <c r="A5531" t="str">
        <f>"20190312150803323"</f>
        <v>20190312150803323</v>
      </c>
      <c r="B5531" t="str">
        <f>"1552374483315969"</f>
        <v>1552374483315969</v>
      </c>
      <c r="C5531" t="s">
        <v>40</v>
      </c>
      <c r="D5531">
        <v>4.3547330000000004</v>
      </c>
      <c r="E5531">
        <v>0.50075259999999999</v>
      </c>
      <c r="F5531" t="s">
        <v>67</v>
      </c>
      <c r="G5531">
        <v>-273.0095</v>
      </c>
      <c r="H5531" s="1">
        <v>1.3155310000000001E-7</v>
      </c>
      <c r="I5531">
        <v>213.08760000000001</v>
      </c>
      <c r="J5531">
        <v>-301.47719999999998</v>
      </c>
      <c r="K5531">
        <v>1.1099209999999999</v>
      </c>
      <c r="L5531">
        <v>214.93940000000001</v>
      </c>
      <c r="M5531">
        <v>0.9999015</v>
      </c>
      <c r="N5531">
        <v>0</v>
      </c>
      <c r="O5531">
        <v>1.017143E-2</v>
      </c>
      <c r="P5531">
        <v>0.99370749999999997</v>
      </c>
      <c r="Q5531">
        <v>9.2951859999999997E-2</v>
      </c>
      <c r="R5531">
        <v>-6.2493020000000003E-2</v>
      </c>
      <c r="S5531">
        <v>3.0177309999999999</v>
      </c>
      <c r="T5531">
        <v>-0.116338</v>
      </c>
      <c r="U5531">
        <v>-0.19377140000000001</v>
      </c>
      <c r="V5531">
        <v>7.264168E-2</v>
      </c>
      <c r="W5531">
        <v>0.1025301</v>
      </c>
      <c r="X5531">
        <v>0.99207400000000001</v>
      </c>
      <c r="Y5531">
        <v>7.4164270000000004E-2</v>
      </c>
      <c r="Z5531">
        <v>-1.819193E-3</v>
      </c>
      <c r="AA5531">
        <v>0.99724440000000003</v>
      </c>
      <c r="AB5531">
        <v>33</v>
      </c>
      <c r="AC5531">
        <v>28.467699999999901</v>
      </c>
      <c r="AD5531">
        <v>-1.1099208684469</v>
      </c>
      <c r="AE5531">
        <v>-1.8517999999999899</v>
      </c>
      <c r="AF5531">
        <v>2.1380385658312901</v>
      </c>
      <c r="AG5531">
        <v>-1.1099208684469</v>
      </c>
      <c r="AH5531">
        <v>28.404394590405499</v>
      </c>
      <c r="AI5531">
        <v>92.231426684523896</v>
      </c>
      <c r="AJ5531">
        <v>85.695383852061198</v>
      </c>
      <c r="AK5531">
        <v>28.506363592900598</v>
      </c>
      <c r="AL5531">
        <v>84.115116556774893</v>
      </c>
      <c r="AM5531">
        <v>85.812159913909895</v>
      </c>
      <c r="AN5531">
        <v>1.00000002827761</v>
      </c>
    </row>
    <row r="5532" spans="1:40" x14ac:dyDescent="0.25">
      <c r="A5532" t="str">
        <f>"20190312150803347"</f>
        <v>20190312150803347</v>
      </c>
      <c r="B5532" t="str">
        <f>"1552374483335476"</f>
        <v>1552374483335476</v>
      </c>
      <c r="C5532" t="s">
        <v>40</v>
      </c>
      <c r="D5532">
        <v>4.6953259999999997</v>
      </c>
      <c r="E5532">
        <v>0.50057739999999995</v>
      </c>
      <c r="F5532" t="s">
        <v>67</v>
      </c>
      <c r="G5532">
        <v>-273.40089999999998</v>
      </c>
      <c r="H5532" s="1">
        <v>3.362805E-7</v>
      </c>
      <c r="I5532">
        <v>213.1688</v>
      </c>
      <c r="J5532">
        <v>-301.15179999999998</v>
      </c>
      <c r="K5532">
        <v>1.109926</v>
      </c>
      <c r="L5532">
        <v>214.9426</v>
      </c>
      <c r="M5532">
        <v>0.99990270000000003</v>
      </c>
      <c r="N5532">
        <v>0</v>
      </c>
      <c r="O5532">
        <v>1.000824E-2</v>
      </c>
      <c r="P5532">
        <v>0.993699</v>
      </c>
      <c r="Q5532">
        <v>9.2675519999999997E-2</v>
      </c>
      <c r="R5532">
        <v>-6.3038319999999995E-2</v>
      </c>
      <c r="S5532">
        <v>3.0181580000000001</v>
      </c>
      <c r="T5532">
        <v>-0.1193149</v>
      </c>
      <c r="U5532">
        <v>-0.19033810000000001</v>
      </c>
      <c r="V5532">
        <v>7.3023930000000001E-2</v>
      </c>
      <c r="W5532">
        <v>0.1022938</v>
      </c>
      <c r="X5532">
        <v>0.99207029999999996</v>
      </c>
      <c r="Y5532">
        <v>7.2860549999999996E-2</v>
      </c>
      <c r="Z5532">
        <v>-1.8333329999999999E-3</v>
      </c>
      <c r="AA5532">
        <v>0.99734040000000002</v>
      </c>
      <c r="AB5532">
        <v>33</v>
      </c>
      <c r="AC5532">
        <v>27.750900000000001</v>
      </c>
      <c r="AD5532">
        <v>-1.1099256637195001</v>
      </c>
      <c r="AE5532">
        <v>-1.7737999999999901</v>
      </c>
      <c r="AF5532">
        <v>2.04819879950516</v>
      </c>
      <c r="AG5532">
        <v>-1.1099256637195001</v>
      </c>
      <c r="AH5532">
        <v>27.687645341256701</v>
      </c>
      <c r="AI5532">
        <v>92.289360735880706</v>
      </c>
      <c r="AJ5532">
        <v>85.769240016533402</v>
      </c>
      <c r="AK5532">
        <v>27.785477462957001</v>
      </c>
      <c r="AL5532">
        <v>84.128726934068894</v>
      </c>
      <c r="AM5532">
        <v>85.790186328568197</v>
      </c>
      <c r="AN5532">
        <v>0.99999999800658701</v>
      </c>
    </row>
    <row r="5533" spans="1:40" x14ac:dyDescent="0.25">
      <c r="A5533" t="str">
        <f>"20190312150803368"</f>
        <v>20190312150803368</v>
      </c>
      <c r="B5533" t="str">
        <f>"1552374483365732"</f>
        <v>1552374483365732</v>
      </c>
      <c r="C5533" t="s">
        <v>40</v>
      </c>
      <c r="D5533">
        <v>4.3521169999999998</v>
      </c>
      <c r="E5533">
        <v>0.50026519999999997</v>
      </c>
      <c r="F5533" t="s">
        <v>67</v>
      </c>
      <c r="G5533">
        <v>-273.44159999999999</v>
      </c>
      <c r="H5533" s="1">
        <v>3.5685319999999998E-7</v>
      </c>
      <c r="I5533">
        <v>213.19300000000001</v>
      </c>
      <c r="J5533">
        <v>-300.81740000000002</v>
      </c>
      <c r="K5533">
        <v>1.109936</v>
      </c>
      <c r="L5533">
        <v>214.94569999999999</v>
      </c>
      <c r="M5533">
        <v>0.99990420000000002</v>
      </c>
      <c r="N5533">
        <v>0</v>
      </c>
      <c r="O5533">
        <v>9.8398089999999997E-3</v>
      </c>
      <c r="P5533">
        <v>0.99366299999999996</v>
      </c>
      <c r="Q5533">
        <v>9.2709429999999995E-2</v>
      </c>
      <c r="R5533">
        <v>-6.3554639999999996E-2</v>
      </c>
      <c r="S5533">
        <v>3.0182500000000001</v>
      </c>
      <c r="T5533">
        <v>-0.12089510000000001</v>
      </c>
      <c r="U5533">
        <v>-0.19056699999999999</v>
      </c>
      <c r="V5533">
        <v>7.337217E-2</v>
      </c>
      <c r="W5533">
        <v>0.1023659</v>
      </c>
      <c r="X5533">
        <v>0.99203719999999995</v>
      </c>
      <c r="Y5533">
        <v>7.2764469999999998E-2</v>
      </c>
      <c r="Z5533">
        <v>-1.848875E-3</v>
      </c>
      <c r="AA5533">
        <v>0.9973474</v>
      </c>
      <c r="AB5533">
        <v>33</v>
      </c>
      <c r="AC5533">
        <v>27.375800000000002</v>
      </c>
      <c r="AD5533">
        <v>-1.1099356431467999</v>
      </c>
      <c r="AE5533">
        <v>-1.7526999999999999</v>
      </c>
      <c r="AF5533">
        <v>2.0186956640117302</v>
      </c>
      <c r="AG5533">
        <v>-1.1099356431467999</v>
      </c>
      <c r="AH5533">
        <v>27.312513138755701</v>
      </c>
      <c r="AI5533">
        <v>92.320802307494006</v>
      </c>
      <c r="AJ5533">
        <v>85.772896726719594</v>
      </c>
      <c r="AK5533">
        <v>27.409495859474202</v>
      </c>
      <c r="AL5533">
        <v>84.124574293870396</v>
      </c>
      <c r="AM5533">
        <v>85.770042441372595</v>
      </c>
      <c r="AN5533">
        <v>1.00000002949857</v>
      </c>
    </row>
    <row r="5534" spans="1:40" x14ac:dyDescent="0.25">
      <c r="A5534" t="str">
        <f>"20190312150803392"</f>
        <v>20190312150803392</v>
      </c>
      <c r="B5534" t="str">
        <f>"1552374483385255"</f>
        <v>1552374483385255</v>
      </c>
      <c r="C5534" t="s">
        <v>40</v>
      </c>
      <c r="D5534">
        <v>4.3307289999999998</v>
      </c>
      <c r="E5534">
        <v>0.49857699999999999</v>
      </c>
      <c r="F5534" t="s">
        <v>67</v>
      </c>
      <c r="G5534">
        <v>-254.3552</v>
      </c>
      <c r="H5534" s="1">
        <v>8.9443889999999898E-7</v>
      </c>
      <c r="I5534">
        <v>212.01769999999999</v>
      </c>
      <c r="J5534">
        <v>-300.4821</v>
      </c>
      <c r="K5534">
        <v>1.1099410000000001</v>
      </c>
      <c r="L5534">
        <v>214.94890000000001</v>
      </c>
      <c r="M5534">
        <v>0.99990520000000005</v>
      </c>
      <c r="N5534">
        <v>0</v>
      </c>
      <c r="O5534">
        <v>9.6703640000000007E-3</v>
      </c>
      <c r="P5534">
        <v>0.99366840000000001</v>
      </c>
      <c r="Q5534">
        <v>9.2613130000000002E-2</v>
      </c>
      <c r="R5534">
        <v>-6.3606899999999994E-2</v>
      </c>
      <c r="S5534">
        <v>3.0137019999999999</v>
      </c>
      <c r="T5534">
        <v>-7.1994299999999997E-2</v>
      </c>
      <c r="U5534">
        <v>-0.18992609999999999</v>
      </c>
      <c r="V5534">
        <v>7.3255819999999999E-2</v>
      </c>
      <c r="W5534">
        <v>0.1023071</v>
      </c>
      <c r="X5534">
        <v>0.99205180000000004</v>
      </c>
      <c r="Y5534">
        <v>7.2521479999999999E-2</v>
      </c>
      <c r="Z5534">
        <v>-1.09603E-3</v>
      </c>
      <c r="AA5534">
        <v>0.99736619999999998</v>
      </c>
      <c r="AB5534">
        <v>33</v>
      </c>
      <c r="AC5534">
        <v>46.126899999999999</v>
      </c>
      <c r="AD5534">
        <v>-1.1099401055611</v>
      </c>
      <c r="AE5534">
        <v>-2.9312000000000098</v>
      </c>
      <c r="AF5534">
        <v>3.3752018334060301</v>
      </c>
      <c r="AG5534">
        <v>-1.1099401055611</v>
      </c>
      <c r="AH5534">
        <v>46.069827927822999</v>
      </c>
      <c r="AI5534">
        <v>91.376447404683205</v>
      </c>
      <c r="AJ5534">
        <v>85.809840287228994</v>
      </c>
      <c r="AK5534">
        <v>46.206633720207101</v>
      </c>
      <c r="AL5534">
        <v>84.127960691819396</v>
      </c>
      <c r="AM5534">
        <v>85.7767877415219</v>
      </c>
      <c r="AN5534">
        <v>0.99999996587876006</v>
      </c>
    </row>
    <row r="5535" spans="1:40" x14ac:dyDescent="0.25">
      <c r="A5535" t="str">
        <f>"20190312150803413"</f>
        <v>20190312150803413</v>
      </c>
      <c r="B5535" t="str">
        <f>"1552374483405748"</f>
        <v>1552374483405748</v>
      </c>
      <c r="C5535" t="s">
        <v>40</v>
      </c>
      <c r="D5535">
        <v>4.4478559999999998</v>
      </c>
      <c r="E5535">
        <v>0.498558</v>
      </c>
      <c r="F5535" t="s">
        <v>67</v>
      </c>
      <c r="G5535">
        <v>-272.45049999999998</v>
      </c>
      <c r="H5535" s="1">
        <v>-1.75681E-7</v>
      </c>
      <c r="I5535">
        <v>213.3107</v>
      </c>
      <c r="J5535">
        <v>-300.14879999999999</v>
      </c>
      <c r="K5535">
        <v>1.109944</v>
      </c>
      <c r="L5535">
        <v>214.95189999999999</v>
      </c>
      <c r="M5535">
        <v>0.99990650000000003</v>
      </c>
      <c r="N5535">
        <v>0</v>
      </c>
      <c r="O5535">
        <v>9.5012039999999992E-3</v>
      </c>
      <c r="P5535">
        <v>0.99364509999999995</v>
      </c>
      <c r="Q5535">
        <v>9.2803670000000005E-2</v>
      </c>
      <c r="R5535">
        <v>-6.3691310000000001E-2</v>
      </c>
      <c r="S5535">
        <v>3.0189819999999998</v>
      </c>
      <c r="T5535">
        <v>-0.1195396</v>
      </c>
      <c r="U5535">
        <v>-0.1764221</v>
      </c>
      <c r="V5535">
        <v>7.3171940000000005E-2</v>
      </c>
      <c r="W5535">
        <v>0.1025358</v>
      </c>
      <c r="X5535">
        <v>0.99203439999999998</v>
      </c>
      <c r="Y5535">
        <v>6.7760589999999996E-2</v>
      </c>
      <c r="Z5535">
        <v>-1.7156389999999999E-3</v>
      </c>
      <c r="AA5535">
        <v>0.99770020000000004</v>
      </c>
      <c r="AB5535">
        <v>33</v>
      </c>
      <c r="AC5535">
        <v>27.6983</v>
      </c>
      <c r="AD5535">
        <v>-1.109944175681</v>
      </c>
      <c r="AE5535">
        <v>-1.64119999999999</v>
      </c>
      <c r="AF5535">
        <v>1.9012634398880299</v>
      </c>
      <c r="AG5535">
        <v>-1.109944175681</v>
      </c>
      <c r="AH5535">
        <v>27.637230453549702</v>
      </c>
      <c r="AI5535">
        <v>92.294413974959397</v>
      </c>
      <c r="AJ5535">
        <v>86.064619737202605</v>
      </c>
      <c r="AK5535">
        <v>27.724777472210601</v>
      </c>
      <c r="AL5535">
        <v>84.114787996311506</v>
      </c>
      <c r="AM5535">
        <v>85.781532251488898</v>
      </c>
      <c r="AN5535">
        <v>0.99999998693418102</v>
      </c>
    </row>
    <row r="5536" spans="1:40" x14ac:dyDescent="0.25">
      <c r="A5536" t="str">
        <f>"20190312150803436"</f>
        <v>20190312150803436</v>
      </c>
      <c r="B5536" t="str">
        <f>"1552374483425268"</f>
        <v>1552374483425268</v>
      </c>
      <c r="C5536" t="s">
        <v>40</v>
      </c>
      <c r="D5536">
        <v>4.3159260000000002</v>
      </c>
      <c r="E5536">
        <v>0.49832419999999999</v>
      </c>
      <c r="F5536" t="s">
        <v>67</v>
      </c>
      <c r="G5536">
        <v>-271.85759999999999</v>
      </c>
      <c r="H5536" s="1">
        <v>-4.9053859999999995E-7</v>
      </c>
      <c r="I5536">
        <v>213.2955</v>
      </c>
      <c r="J5536">
        <v>-299.81330000000003</v>
      </c>
      <c r="K5536">
        <v>1.109942</v>
      </c>
      <c r="L5536">
        <v>214.95490000000001</v>
      </c>
      <c r="M5536">
        <v>0.99990789999999996</v>
      </c>
      <c r="N5536">
        <v>0</v>
      </c>
      <c r="O5536">
        <v>9.3304149999999999E-3</v>
      </c>
      <c r="P5536">
        <v>0.99367709999999998</v>
      </c>
      <c r="Q5536">
        <v>9.2503859999999993E-2</v>
      </c>
      <c r="R5536">
        <v>-6.3633590000000004E-2</v>
      </c>
      <c r="S5536">
        <v>3.0189509999999999</v>
      </c>
      <c r="T5536">
        <v>-0.1184419</v>
      </c>
      <c r="U5536">
        <v>-0.17675779999999999</v>
      </c>
      <c r="V5536">
        <v>7.2944510000000004E-2</v>
      </c>
      <c r="W5536">
        <v>0.1022777</v>
      </c>
      <c r="X5536">
        <v>0.99207780000000001</v>
      </c>
      <c r="Y5536">
        <v>6.7702609999999996E-2</v>
      </c>
      <c r="Z5536">
        <v>-1.692079E-3</v>
      </c>
      <c r="AA5536">
        <v>0.99770409999999998</v>
      </c>
      <c r="AB5536">
        <v>33</v>
      </c>
      <c r="AC5536">
        <v>27.9557</v>
      </c>
      <c r="AD5536">
        <v>-1.1099424905385999</v>
      </c>
      <c r="AE5536">
        <v>-1.6594</v>
      </c>
      <c r="AF5536">
        <v>1.9171671442028599</v>
      </c>
      <c r="AG5536">
        <v>-1.1099424905385999</v>
      </c>
      <c r="AH5536">
        <v>27.895180406210098</v>
      </c>
      <c r="AI5536">
        <v>92.2732264381101</v>
      </c>
      <c r="AJ5536">
        <v>86.068384504309705</v>
      </c>
      <c r="AK5536">
        <v>27.983005415539701</v>
      </c>
      <c r="AL5536">
        <v>84.129654244268494</v>
      </c>
      <c r="AM5536">
        <v>85.794780117525207</v>
      </c>
      <c r="AN5536">
        <v>0.99999999535463502</v>
      </c>
    </row>
    <row r="5537" spans="1:40" x14ac:dyDescent="0.25">
      <c r="A5537" t="str">
        <f>"20190312150803458"</f>
        <v>20190312150803458</v>
      </c>
      <c r="B5537" t="str">
        <f>"1552374483455525"</f>
        <v>1552374483455525</v>
      </c>
      <c r="C5537" t="s">
        <v>40</v>
      </c>
      <c r="D5537">
        <v>4.337656</v>
      </c>
      <c r="E5537">
        <v>0.50077079999999996</v>
      </c>
      <c r="F5537" t="s">
        <v>67</v>
      </c>
      <c r="G5537">
        <v>-271.96690000000001</v>
      </c>
      <c r="H5537" s="1">
        <v>-4.344355E-7</v>
      </c>
      <c r="I5537">
        <v>213.34219999999999</v>
      </c>
      <c r="J5537">
        <v>-299.48950000000002</v>
      </c>
      <c r="K5537">
        <v>1.1099509999999999</v>
      </c>
      <c r="L5537">
        <v>214.95779999999999</v>
      </c>
      <c r="M5537">
        <v>0.99990869999999998</v>
      </c>
      <c r="N5537">
        <v>0</v>
      </c>
      <c r="O5537">
        <v>9.1658610000000008E-3</v>
      </c>
      <c r="P5537">
        <v>0.99373579999999995</v>
      </c>
      <c r="Q5537">
        <v>9.1892959999999996E-2</v>
      </c>
      <c r="R5537">
        <v>-6.3600989999999996E-2</v>
      </c>
      <c r="S5537">
        <v>3.019104</v>
      </c>
      <c r="T5537">
        <v>-0.1203398</v>
      </c>
      <c r="U5537">
        <v>-0.17485049999999999</v>
      </c>
      <c r="V5537">
        <v>7.2748740000000006E-2</v>
      </c>
      <c r="W5537">
        <v>0.1017118</v>
      </c>
      <c r="X5537">
        <v>0.99215039999999999</v>
      </c>
      <c r="Y5537">
        <v>6.6906149999999998E-2</v>
      </c>
      <c r="Z5537">
        <v>-1.6967110000000001E-3</v>
      </c>
      <c r="AA5537">
        <v>0.99775789999999998</v>
      </c>
      <c r="AB5537">
        <v>33</v>
      </c>
      <c r="AC5537">
        <v>27.522600000000001</v>
      </c>
      <c r="AD5537">
        <v>-1.1099514344354999</v>
      </c>
      <c r="AE5537">
        <v>-1.6155999999999999</v>
      </c>
      <c r="AF5537">
        <v>1.8647903952915501</v>
      </c>
      <c r="AG5537">
        <v>-1.1099514344354999</v>
      </c>
      <c r="AH5537">
        <v>27.462123445310301</v>
      </c>
      <c r="AI5537">
        <v>92.309182745581694</v>
      </c>
      <c r="AJ5537">
        <v>86.115345798272998</v>
      </c>
      <c r="AK5537">
        <v>27.547734199578699</v>
      </c>
      <c r="AL5537">
        <v>84.162248182574103</v>
      </c>
      <c r="AM5537">
        <v>85.806331646255302</v>
      </c>
      <c r="AN5537">
        <v>1.00000004282549</v>
      </c>
    </row>
    <row r="5538" spans="1:40" x14ac:dyDescent="0.25">
      <c r="A5538" t="str">
        <f>"20190312150803482"</f>
        <v>20190312150803482</v>
      </c>
      <c r="B5538" t="str">
        <f>"1552374483476021"</f>
        <v>1552374483476021</v>
      </c>
      <c r="C5538" t="s">
        <v>40</v>
      </c>
      <c r="D5538">
        <v>4.3230170000000001</v>
      </c>
      <c r="E5538">
        <v>0.4987798</v>
      </c>
      <c r="F5538" t="s">
        <v>67</v>
      </c>
      <c r="G5538">
        <v>-254.27529999999999</v>
      </c>
      <c r="H5538" s="1">
        <v>8.5112649999999998E-7</v>
      </c>
      <c r="I5538">
        <v>212.0361</v>
      </c>
      <c r="J5538">
        <v>-299.13040000000001</v>
      </c>
      <c r="K5538">
        <v>1.1099540000000001</v>
      </c>
      <c r="L5538">
        <v>214.96090000000001</v>
      </c>
      <c r="M5538">
        <v>0.99990999999999997</v>
      </c>
      <c r="N5538">
        <v>0</v>
      </c>
      <c r="O5538">
        <v>8.9831779999999996E-3</v>
      </c>
      <c r="P5538">
        <v>0.99372870000000002</v>
      </c>
      <c r="Q5538">
        <v>9.1824760000000005E-2</v>
      </c>
      <c r="R5538">
        <v>-6.3811939999999998E-2</v>
      </c>
      <c r="S5538">
        <v>3.0132750000000001</v>
      </c>
      <c r="T5538">
        <v>-7.3972109999999994E-2</v>
      </c>
      <c r="U5538">
        <v>-0.19471740000000001</v>
      </c>
      <c r="V5538">
        <v>7.2777960000000003E-2</v>
      </c>
      <c r="W5538">
        <v>0.1017</v>
      </c>
      <c r="X5538">
        <v>0.99214939999999996</v>
      </c>
      <c r="Y5538">
        <v>7.3422970000000004E-2</v>
      </c>
      <c r="Z5538">
        <v>-1.120434E-3</v>
      </c>
      <c r="AA5538">
        <v>0.99730030000000003</v>
      </c>
      <c r="AB5538">
        <v>33</v>
      </c>
      <c r="AC5538">
        <v>44.8551</v>
      </c>
      <c r="AD5538">
        <v>-1.1099531488734999</v>
      </c>
      <c r="AE5538">
        <v>-2.9247999999999998</v>
      </c>
      <c r="AF5538">
        <v>3.3256155746726499</v>
      </c>
      <c r="AG5538">
        <v>-1.1099531488734999</v>
      </c>
      <c r="AH5538">
        <v>44.799698568924697</v>
      </c>
      <c r="AI5538">
        <v>91.415371747320904</v>
      </c>
      <c r="AJ5538">
        <v>85.754549784078193</v>
      </c>
      <c r="AK5538">
        <v>44.936674407545098</v>
      </c>
      <c r="AL5538">
        <v>84.162927409503595</v>
      </c>
      <c r="AM5538">
        <v>85.804649031965198</v>
      </c>
      <c r="AN5538">
        <v>0.99999997669106</v>
      </c>
    </row>
    <row r="5539" spans="1:40" x14ac:dyDescent="0.25">
      <c r="A5539" t="str">
        <f>"20190312150803504"</f>
        <v>20190312150803504</v>
      </c>
      <c r="B5539" t="str">
        <f>"1552374483495541"</f>
        <v>1552374483495541</v>
      </c>
      <c r="C5539" t="s">
        <v>40</v>
      </c>
      <c r="D5539">
        <v>4.3395060000000001</v>
      </c>
      <c r="E5539">
        <v>0.49893979999999999</v>
      </c>
      <c r="F5539" t="s">
        <v>67</v>
      </c>
      <c r="G5539">
        <v>-272.8116</v>
      </c>
      <c r="H5539" s="1">
        <v>1.269875E-8</v>
      </c>
      <c r="I5539">
        <v>213.39779999999999</v>
      </c>
      <c r="J5539">
        <v>-298.80860000000001</v>
      </c>
      <c r="K5539">
        <v>1.1099619999999999</v>
      </c>
      <c r="L5539">
        <v>214.96369999999999</v>
      </c>
      <c r="M5539">
        <v>0.99991079999999999</v>
      </c>
      <c r="N5539">
        <v>0</v>
      </c>
      <c r="O5539">
        <v>8.8197580000000005E-3</v>
      </c>
      <c r="P5539">
        <v>0.99378679999999997</v>
      </c>
      <c r="Q5539">
        <v>9.1231290000000007E-2</v>
      </c>
      <c r="R5539">
        <v>-6.3757759999999997E-2</v>
      </c>
      <c r="S5539">
        <v>3.0192260000000002</v>
      </c>
      <c r="T5539">
        <v>-0.12733130000000001</v>
      </c>
      <c r="U5539">
        <v>-0.17932129999999999</v>
      </c>
      <c r="V5539">
        <v>7.2561810000000004E-2</v>
      </c>
      <c r="W5539">
        <v>0.1011611</v>
      </c>
      <c r="X5539">
        <v>0.99222030000000006</v>
      </c>
      <c r="Y5539">
        <v>6.8022959999999993E-2</v>
      </c>
      <c r="Z5539">
        <v>-1.8039919999999999E-3</v>
      </c>
      <c r="AA5539">
        <v>0.99768219999999996</v>
      </c>
      <c r="AB5539">
        <v>33</v>
      </c>
      <c r="AC5539">
        <v>25.997</v>
      </c>
      <c r="AD5539">
        <v>-1.1099619873012401</v>
      </c>
      <c r="AE5539">
        <v>-1.5658999999999901</v>
      </c>
      <c r="AF5539">
        <v>1.7918832042085699</v>
      </c>
      <c r="AG5539">
        <v>-1.1099619873012401</v>
      </c>
      <c r="AH5539">
        <v>25.9350703145168</v>
      </c>
      <c r="AI5539">
        <v>92.444812257628797</v>
      </c>
      <c r="AJ5539">
        <v>86.047651063707207</v>
      </c>
      <c r="AK5539">
        <v>26.0205828768248</v>
      </c>
      <c r="AL5539">
        <v>84.193964042769295</v>
      </c>
      <c r="AM5539">
        <v>85.817362735361797</v>
      </c>
      <c r="AN5539">
        <v>0.999999954077887</v>
      </c>
    </row>
    <row r="5540" spans="1:40" x14ac:dyDescent="0.25">
      <c r="A5540" t="str">
        <f>"20190312150803526"</f>
        <v>20190312150803526</v>
      </c>
      <c r="B5540" t="str">
        <f>"1552374483516036"</f>
        <v>1552374483516036</v>
      </c>
      <c r="C5540" t="s">
        <v>40</v>
      </c>
      <c r="D5540">
        <v>4.3586799999999997</v>
      </c>
      <c r="E5540">
        <v>0.4991063</v>
      </c>
      <c r="F5540" t="s">
        <v>67</v>
      </c>
      <c r="G5540">
        <v>-273.9126</v>
      </c>
      <c r="H5540" s="1">
        <v>5.9519619999999896E-7</v>
      </c>
      <c r="I5540">
        <v>213.4743</v>
      </c>
      <c r="J5540">
        <v>-298.48469999999998</v>
      </c>
      <c r="K5540">
        <v>1.109969</v>
      </c>
      <c r="L5540">
        <v>214.96629999999999</v>
      </c>
      <c r="M5540">
        <v>0.99991169999999996</v>
      </c>
      <c r="N5540">
        <v>0</v>
      </c>
      <c r="O5540">
        <v>8.6549460000000002E-3</v>
      </c>
      <c r="P5540">
        <v>0.99378630000000001</v>
      </c>
      <c r="Q5540">
        <v>9.0918330000000006E-2</v>
      </c>
      <c r="R5540">
        <v>-6.4211149999999995E-2</v>
      </c>
      <c r="S5540">
        <v>3.0195310000000002</v>
      </c>
      <c r="T5540">
        <v>-0.1346223</v>
      </c>
      <c r="U5540">
        <v>-0.1806335</v>
      </c>
      <c r="V5540">
        <v>7.2851650000000004E-2</v>
      </c>
      <c r="W5540">
        <v>0.10090490000000001</v>
      </c>
      <c r="X5540">
        <v>0.99222520000000003</v>
      </c>
      <c r="Y5540">
        <v>6.8276519999999993E-2</v>
      </c>
      <c r="Z5540">
        <v>-1.9052800000000001E-3</v>
      </c>
      <c r="AA5540">
        <v>0.99766460000000001</v>
      </c>
      <c r="AB5540">
        <v>33</v>
      </c>
      <c r="AC5540">
        <v>24.572099999999899</v>
      </c>
      <c r="AD5540">
        <v>-1.1099684048038001</v>
      </c>
      <c r="AE5540">
        <v>-1.49199999999999</v>
      </c>
      <c r="AF5540">
        <v>1.70116664345957</v>
      </c>
      <c r="AG5540">
        <v>-1.1099684048038001</v>
      </c>
      <c r="AH5540">
        <v>24.508439946146101</v>
      </c>
      <c r="AI5540">
        <v>92.586894065619106</v>
      </c>
      <c r="AJ5540">
        <v>86.029384759304307</v>
      </c>
      <c r="AK5540">
        <v>24.592470929175299</v>
      </c>
      <c r="AL5540">
        <v>84.208719014566498</v>
      </c>
      <c r="AM5540">
        <v>85.800735971069798</v>
      </c>
      <c r="AN5540">
        <v>1.0000000046333799</v>
      </c>
    </row>
    <row r="5541" spans="1:40" x14ac:dyDescent="0.25">
      <c r="A5541" t="str">
        <f>"20190312150803548"</f>
        <v>20190312150803548</v>
      </c>
      <c r="B5541" t="str">
        <f>"1552374483535557"</f>
        <v>1552374483535557</v>
      </c>
      <c r="C5541" t="s">
        <v>40</v>
      </c>
      <c r="D5541">
        <v>4.3423999999999996</v>
      </c>
      <c r="E5541">
        <v>0.50025710000000001</v>
      </c>
      <c r="F5541" t="s">
        <v>67</v>
      </c>
      <c r="G5541">
        <v>-273.68860000000001</v>
      </c>
      <c r="H5541" s="1">
        <v>4.7666659999999999E-7</v>
      </c>
      <c r="I5541">
        <v>213.45920000000001</v>
      </c>
      <c r="J5541">
        <v>-298.16239999999999</v>
      </c>
      <c r="K5541">
        <v>1.109977</v>
      </c>
      <c r="L5541">
        <v>214.96899999999999</v>
      </c>
      <c r="M5541">
        <v>0.99991240000000003</v>
      </c>
      <c r="N5541">
        <v>0</v>
      </c>
      <c r="O5541">
        <v>8.4916599999999998E-3</v>
      </c>
      <c r="P5541">
        <v>0.99377309999999996</v>
      </c>
      <c r="Q5541">
        <v>9.0691330000000001E-2</v>
      </c>
      <c r="R5541">
        <v>-6.4731280000000002E-2</v>
      </c>
      <c r="S5541">
        <v>3.0192570000000001</v>
      </c>
      <c r="T5541">
        <v>-0.13515350000000001</v>
      </c>
      <c r="U5541">
        <v>-0.1835175</v>
      </c>
      <c r="V5541">
        <v>7.3209419999999997E-2</v>
      </c>
      <c r="W5541">
        <v>0.1007393</v>
      </c>
      <c r="X5541">
        <v>0.99221570000000003</v>
      </c>
      <c r="Y5541">
        <v>6.9067229999999993E-2</v>
      </c>
      <c r="Z5541">
        <v>-1.923281E-3</v>
      </c>
      <c r="AA5541">
        <v>0.9976102</v>
      </c>
      <c r="AB5541">
        <v>33</v>
      </c>
      <c r="AC5541">
        <v>24.473799999999901</v>
      </c>
      <c r="AD5541">
        <v>-1.10997652333339</v>
      </c>
      <c r="AE5541">
        <v>-1.50980000000001</v>
      </c>
      <c r="AF5541">
        <v>1.7140670682908801</v>
      </c>
      <c r="AG5541">
        <v>-1.10997652333339</v>
      </c>
      <c r="AH5541">
        <v>24.4100760780534</v>
      </c>
      <c r="AI5541">
        <v>92.597177409929103</v>
      </c>
      <c r="AJ5541">
        <v>85.983303436427093</v>
      </c>
      <c r="AK5541">
        <v>24.495344209324902</v>
      </c>
      <c r="AL5541">
        <v>84.218255824781494</v>
      </c>
      <c r="AM5541">
        <v>85.780147697492694</v>
      </c>
      <c r="AN5541">
        <v>1.00000001053385</v>
      </c>
    </row>
    <row r="5542" spans="1:40" x14ac:dyDescent="0.25">
      <c r="A5542" t="str">
        <f>"20190312150803570"</f>
        <v>20190312150803570</v>
      </c>
      <c r="B5542" t="str">
        <f>"1552374483565812"</f>
        <v>1552374483565812</v>
      </c>
      <c r="C5542" t="s">
        <v>40</v>
      </c>
      <c r="D5542">
        <v>4.3589079999999996</v>
      </c>
      <c r="E5542">
        <v>0.49954890000000002</v>
      </c>
      <c r="F5542" t="s">
        <v>67</v>
      </c>
      <c r="G5542">
        <v>-252.93360000000001</v>
      </c>
      <c r="H5542" s="1">
        <v>1.3646860000000001E-7</v>
      </c>
      <c r="I5542">
        <v>212.05029999999999</v>
      </c>
      <c r="J5542">
        <v>-297.8245</v>
      </c>
      <c r="K5542">
        <v>1.1099749999999999</v>
      </c>
      <c r="L5542">
        <v>214.9717</v>
      </c>
      <c r="M5542">
        <v>0.9999131</v>
      </c>
      <c r="N5542">
        <v>0</v>
      </c>
      <c r="O5542">
        <v>8.3205399999999995E-3</v>
      </c>
      <c r="P5542">
        <v>0.99374549999999995</v>
      </c>
      <c r="Q5542">
        <v>9.0754489999999993E-2</v>
      </c>
      <c r="R5542">
        <v>-6.5064659999999996E-2</v>
      </c>
      <c r="S5542">
        <v>3.0128780000000002</v>
      </c>
      <c r="T5542">
        <v>-7.3940039999999999E-2</v>
      </c>
      <c r="U5542">
        <v>-0.1944275</v>
      </c>
      <c r="V5542">
        <v>7.3372820000000005E-2</v>
      </c>
      <c r="W5542">
        <v>0.1008679</v>
      </c>
      <c r="X5542">
        <v>0.99219049999999998</v>
      </c>
      <c r="Y5542">
        <v>7.2675379999999998E-2</v>
      </c>
      <c r="Z5542">
        <v>-1.094692E-3</v>
      </c>
      <c r="AA5542">
        <v>0.99735499999999999</v>
      </c>
      <c r="AB5542">
        <v>33</v>
      </c>
      <c r="AC5542">
        <v>44.890899999999903</v>
      </c>
      <c r="AD5542">
        <v>-1.1099748635314</v>
      </c>
      <c r="AE5542">
        <v>-2.9214000000000002</v>
      </c>
      <c r="AF5542">
        <v>3.29283024637285</v>
      </c>
      <c r="AG5542">
        <v>-1.1099748635314</v>
      </c>
      <c r="AH5542">
        <v>44.837739792741303</v>
      </c>
      <c r="AI5542">
        <v>91.414281507319899</v>
      </c>
      <c r="AJ5542">
        <v>85.799806225105698</v>
      </c>
      <c r="AK5542">
        <v>44.972187904867098</v>
      </c>
      <c r="AL5542">
        <v>84.210849490066096</v>
      </c>
      <c r="AM5542">
        <v>85.770656294956694</v>
      </c>
      <c r="AN5542">
        <v>0.99999994612770404</v>
      </c>
    </row>
    <row r="5543" spans="1:40" x14ac:dyDescent="0.25">
      <c r="A5543" t="str">
        <f>"20190312150803593"</f>
        <v>20190312150803593</v>
      </c>
      <c r="B5543" t="str">
        <f>"1552374483585332"</f>
        <v>1552374483585332</v>
      </c>
      <c r="C5543" t="s">
        <v>40</v>
      </c>
      <c r="D5543">
        <v>4.3197999999999999</v>
      </c>
      <c r="E5543">
        <v>0.4996758</v>
      </c>
      <c r="F5543" t="s">
        <v>67</v>
      </c>
      <c r="G5543">
        <v>-271.52820000000003</v>
      </c>
      <c r="H5543" s="1">
        <v>-6.6670999999999997E-7</v>
      </c>
      <c r="I5543">
        <v>213.31620000000001</v>
      </c>
      <c r="J5543">
        <v>-297.49110000000002</v>
      </c>
      <c r="K5543">
        <v>1.1099829999999999</v>
      </c>
      <c r="L5543">
        <v>214.9743</v>
      </c>
      <c r="M5543">
        <v>0.99991390000000002</v>
      </c>
      <c r="N5543">
        <v>0</v>
      </c>
      <c r="O5543">
        <v>8.1517969999999901E-3</v>
      </c>
      <c r="P5543">
        <v>0.99371589999999999</v>
      </c>
      <c r="Q5543">
        <v>9.1006100000000006E-2</v>
      </c>
      <c r="R5543">
        <v>-6.5169169999999998E-2</v>
      </c>
      <c r="S5543">
        <v>3.0180359999999999</v>
      </c>
      <c r="T5543">
        <v>-0.12739230000000001</v>
      </c>
      <c r="U5543">
        <v>-0.19000239999999999</v>
      </c>
      <c r="V5543">
        <v>7.3309340000000001E-2</v>
      </c>
      <c r="W5543">
        <v>0.1011871</v>
      </c>
      <c r="X5543">
        <v>0.99216280000000001</v>
      </c>
      <c r="Y5543">
        <v>7.0895180000000002E-2</v>
      </c>
      <c r="Z5543">
        <v>-1.8377459999999999E-3</v>
      </c>
      <c r="AA5543">
        <v>0.99748210000000004</v>
      </c>
      <c r="AB5543">
        <v>33</v>
      </c>
      <c r="AC5543">
        <v>25.962899999999902</v>
      </c>
      <c r="AD5543">
        <v>-1.10998366671</v>
      </c>
      <c r="AE5543">
        <v>-1.6580999999999899</v>
      </c>
      <c r="AF5543">
        <v>1.8663030251571799</v>
      </c>
      <c r="AG5543">
        <v>-1.10998366671</v>
      </c>
      <c r="AH5543">
        <v>25.901370034993999</v>
      </c>
      <c r="AI5543">
        <v>92.447528384325807</v>
      </c>
      <c r="AJ5543">
        <v>85.8787197295064</v>
      </c>
      <c r="AK5543">
        <v>25.992231924399199</v>
      </c>
      <c r="AL5543">
        <v>84.192467257839994</v>
      </c>
      <c r="AM5543">
        <v>85.774184589151005</v>
      </c>
      <c r="AN5543">
        <v>1.00000005512074</v>
      </c>
    </row>
    <row r="5544" spans="1:40" x14ac:dyDescent="0.25">
      <c r="A5544" t="str">
        <f>"20190312150803614"</f>
        <v>20190312150803614</v>
      </c>
      <c r="B5544" t="str">
        <f>"1552374483605828"</f>
        <v>1552374483605828</v>
      </c>
      <c r="C5544" t="s">
        <v>40</v>
      </c>
      <c r="D5544">
        <v>4.3439480000000001</v>
      </c>
      <c r="E5544">
        <v>0.50001779999999996</v>
      </c>
      <c r="F5544" t="s">
        <v>67</v>
      </c>
      <c r="G5544">
        <v>-271.1395</v>
      </c>
      <c r="H5544" s="1">
        <v>-8.7288079999999996E-7</v>
      </c>
      <c r="I5544">
        <v>213.30080000000001</v>
      </c>
      <c r="J5544">
        <v>-297.16000000000003</v>
      </c>
      <c r="K5544">
        <v>1.1099939999999999</v>
      </c>
      <c r="L5544">
        <v>214.9768</v>
      </c>
      <c r="M5544">
        <v>0.99991450000000004</v>
      </c>
      <c r="N5544">
        <v>0</v>
      </c>
      <c r="O5544">
        <v>7.9875609999999903E-3</v>
      </c>
      <c r="P5544">
        <v>0.99370340000000001</v>
      </c>
      <c r="Q5544">
        <v>9.0853229999999993E-2</v>
      </c>
      <c r="R5544">
        <v>-6.5570699999999996E-2</v>
      </c>
      <c r="S5544">
        <v>3.0180359999999999</v>
      </c>
      <c r="T5544">
        <v>-0.12712599999999999</v>
      </c>
      <c r="U5544">
        <v>-0.19166559999999999</v>
      </c>
      <c r="V5544">
        <v>7.3547479999999998E-2</v>
      </c>
      <c r="W5544">
        <v>0.1011079</v>
      </c>
      <c r="X5544">
        <v>0.99215319999999996</v>
      </c>
      <c r="Y5544">
        <v>7.1278969999999997E-2</v>
      </c>
      <c r="Z5544">
        <v>-1.8350389999999999E-3</v>
      </c>
      <c r="AA5544">
        <v>0.99745470000000003</v>
      </c>
      <c r="AB5544">
        <v>33</v>
      </c>
      <c r="AC5544">
        <v>26.020499999999998</v>
      </c>
      <c r="AD5544">
        <v>-1.1099948728808</v>
      </c>
      <c r="AE5544">
        <v>-1.67599999999998</v>
      </c>
      <c r="AF5544">
        <v>1.8803903050587301</v>
      </c>
      <c r="AG5544">
        <v>-1.1099948728808</v>
      </c>
      <c r="AH5544">
        <v>25.9592379248543</v>
      </c>
      <c r="AI5544">
        <v>92.442036660846995</v>
      </c>
      <c r="AJ5544">
        <v>85.856943694821794</v>
      </c>
      <c r="AK5544">
        <v>26.050911499530599</v>
      </c>
      <c r="AL5544">
        <v>84.197028188401404</v>
      </c>
      <c r="AM5544">
        <v>85.760466435982906</v>
      </c>
      <c r="AN5544">
        <v>1.0000000057634999</v>
      </c>
    </row>
    <row r="5545" spans="1:40" x14ac:dyDescent="0.25">
      <c r="A5545" t="str">
        <f>"20190312150803637"</f>
        <v>20190312150803637</v>
      </c>
      <c r="B5545" t="str">
        <f>"1552374483625348"</f>
        <v>1552374483625348</v>
      </c>
      <c r="C5545" t="s">
        <v>40</v>
      </c>
      <c r="D5545">
        <v>4.3711580000000003</v>
      </c>
      <c r="E5545">
        <v>0.50017389999999995</v>
      </c>
      <c r="F5545" t="s">
        <v>67</v>
      </c>
      <c r="G5545">
        <v>-271.447</v>
      </c>
      <c r="H5545" s="1">
        <v>-7.0962279999999996E-7</v>
      </c>
      <c r="I5545">
        <v>213.30869999999999</v>
      </c>
      <c r="J5545">
        <v>-296.8329</v>
      </c>
      <c r="K5545">
        <v>1.110009</v>
      </c>
      <c r="L5545">
        <v>214.97929999999999</v>
      </c>
      <c r="M5545">
        <v>0.99991490000000005</v>
      </c>
      <c r="N5545">
        <v>0</v>
      </c>
      <c r="O5545">
        <v>7.8312750000000004E-3</v>
      </c>
      <c r="P5545">
        <v>0.99370780000000003</v>
      </c>
      <c r="Q5545">
        <v>9.0085040000000005E-2</v>
      </c>
      <c r="R5545">
        <v>-6.6557920000000007E-2</v>
      </c>
      <c r="S5545">
        <v>3.0179749999999999</v>
      </c>
      <c r="T5545">
        <v>-0.1302816</v>
      </c>
      <c r="U5545">
        <v>-0.1957855</v>
      </c>
      <c r="V5545">
        <v>7.4378330000000006E-2</v>
      </c>
      <c r="W5545">
        <v>0.10042570000000001</v>
      </c>
      <c r="X5545">
        <v>0.99216059999999995</v>
      </c>
      <c r="Y5545">
        <v>7.2475880000000006E-2</v>
      </c>
      <c r="Z5545">
        <v>-1.899562E-3</v>
      </c>
      <c r="AA5545">
        <v>0.99736829999999999</v>
      </c>
      <c r="AB5545">
        <v>33</v>
      </c>
      <c r="AC5545">
        <v>25.3858999999999</v>
      </c>
      <c r="AD5545">
        <v>-1.1100097096228001</v>
      </c>
      <c r="AE5545">
        <v>-1.6706000000000001</v>
      </c>
      <c r="AF5545">
        <v>1.8658116620249801</v>
      </c>
      <c r="AG5545">
        <v>-1.1100097096228001</v>
      </c>
      <c r="AH5545">
        <v>25.3238296025987</v>
      </c>
      <c r="AI5545">
        <v>92.503041406100706</v>
      </c>
      <c r="AJ5545">
        <v>85.786169666782399</v>
      </c>
      <c r="AK5545">
        <v>25.4167212766529</v>
      </c>
      <c r="AL5545">
        <v>84.236315633036398</v>
      </c>
      <c r="AM5545">
        <v>85.712782775968293</v>
      </c>
      <c r="AN5545">
        <v>1.0000000566932099</v>
      </c>
    </row>
    <row r="5546" spans="1:40" x14ac:dyDescent="0.25">
      <c r="A5546" t="str">
        <f>"20190312150803659"</f>
        <v>20190312150803659</v>
      </c>
      <c r="B5546" t="str">
        <f>"1552374483655681"</f>
        <v>1552374483655681</v>
      </c>
      <c r="C5546" t="s">
        <v>40</v>
      </c>
      <c r="D5546">
        <v>4.3843519999999998</v>
      </c>
      <c r="E5546">
        <v>0.50202950000000002</v>
      </c>
      <c r="F5546" t="s">
        <v>67</v>
      </c>
      <c r="G5546">
        <v>-271.70389999999998</v>
      </c>
      <c r="H5546" s="1">
        <v>-5.7333440000000004E-7</v>
      </c>
      <c r="I5546">
        <v>213.3186</v>
      </c>
      <c r="J5546">
        <v>-296.48770000000002</v>
      </c>
      <c r="K5546">
        <v>1.110033</v>
      </c>
      <c r="L5546">
        <v>214.98179999999999</v>
      </c>
      <c r="M5546">
        <v>0.99991490000000005</v>
      </c>
      <c r="N5546">
        <v>0</v>
      </c>
      <c r="O5546">
        <v>7.6801809999999899E-3</v>
      </c>
      <c r="P5546">
        <v>0.99374169999999995</v>
      </c>
      <c r="Q5546">
        <v>8.9404109999999995E-2</v>
      </c>
      <c r="R5546">
        <v>-6.6965529999999995E-2</v>
      </c>
      <c r="S5546">
        <v>3.0177309999999999</v>
      </c>
      <c r="T5546">
        <v>-0.13330040000000001</v>
      </c>
      <c r="U5546">
        <v>-0.19943240000000001</v>
      </c>
      <c r="V5546">
        <v>7.4634069999999997E-2</v>
      </c>
      <c r="W5546">
        <v>9.9852140000000006E-2</v>
      </c>
      <c r="X5546">
        <v>0.99219919999999995</v>
      </c>
      <c r="Y5546">
        <v>7.352612E-2</v>
      </c>
      <c r="Z5546">
        <v>-1.9601110000000001E-3</v>
      </c>
      <c r="AA5546">
        <v>0.99729140000000005</v>
      </c>
      <c r="AB5546">
        <v>33</v>
      </c>
      <c r="AC5546">
        <v>24.783799999999999</v>
      </c>
      <c r="AD5546">
        <v>-1.1100335733344</v>
      </c>
      <c r="AE5546">
        <v>-1.66319999999998</v>
      </c>
      <c r="AF5546">
        <v>1.84981146412283</v>
      </c>
      <c r="AG5546">
        <v>-1.1100335733344</v>
      </c>
      <c r="AH5546">
        <v>24.720926107793101</v>
      </c>
      <c r="AI5546">
        <v>92.563843715031993</v>
      </c>
      <c r="AJ5546">
        <v>85.720660363785697</v>
      </c>
      <c r="AK5546">
        <v>24.8148778883495</v>
      </c>
      <c r="AL5546">
        <v>84.269343739177202</v>
      </c>
      <c r="AM5546">
        <v>85.698263723905598</v>
      </c>
      <c r="AN5546">
        <v>0.99999997337399105</v>
      </c>
    </row>
    <row r="5547" spans="1:40" x14ac:dyDescent="0.25">
      <c r="A5547" t="str">
        <f>"20190312150803683"</f>
        <v>20190312150803683</v>
      </c>
      <c r="B5547" t="str">
        <f>"1552374483675201"</f>
        <v>1552374483675201</v>
      </c>
      <c r="C5547" t="s">
        <v>40</v>
      </c>
      <c r="D5547">
        <v>4.3566799999999999</v>
      </c>
      <c r="E5547">
        <v>0.51819099999999996</v>
      </c>
      <c r="F5547" t="s">
        <v>67</v>
      </c>
      <c r="G5547">
        <v>-255.29949999999999</v>
      </c>
      <c r="H5547" s="1">
        <v>1.396474E-6</v>
      </c>
      <c r="I5547">
        <v>212.02789999999999</v>
      </c>
      <c r="J5547">
        <v>-296.14780000000002</v>
      </c>
      <c r="K5547">
        <v>1.1100639999999999</v>
      </c>
      <c r="L5547">
        <v>214.98429999999999</v>
      </c>
      <c r="M5547">
        <v>0.99991450000000004</v>
      </c>
      <c r="N5547">
        <v>0</v>
      </c>
      <c r="O5547">
        <v>7.5546040000000004E-3</v>
      </c>
      <c r="P5547">
        <v>0.99374790000000002</v>
      </c>
      <c r="Q5547">
        <v>8.9178839999999995E-2</v>
      </c>
      <c r="R5547">
        <v>-6.7175570000000004E-2</v>
      </c>
      <c r="S5547">
        <v>3.0116269999999998</v>
      </c>
      <c r="T5547">
        <v>-8.1164E-2</v>
      </c>
      <c r="U5547">
        <v>-0.21598819999999999</v>
      </c>
      <c r="V5547">
        <v>7.4715729999999994E-2</v>
      </c>
      <c r="W5547">
        <v>9.9748690000000001E-2</v>
      </c>
      <c r="X5547">
        <v>0.99220350000000002</v>
      </c>
      <c r="Y5547">
        <v>7.9036709999999996E-2</v>
      </c>
      <c r="Z5547">
        <v>-1.2667939999999999E-3</v>
      </c>
      <c r="AA5547">
        <v>0.9968709</v>
      </c>
      <c r="AB5547">
        <v>33</v>
      </c>
      <c r="AC5547">
        <v>40.848300000000002</v>
      </c>
      <c r="AD5547">
        <v>-1.1100626035259999</v>
      </c>
      <c r="AE5547">
        <v>-2.9563999999999999</v>
      </c>
      <c r="AF5547">
        <v>3.26252913155589</v>
      </c>
      <c r="AG5547">
        <v>-1.1100626035259999</v>
      </c>
      <c r="AH5547">
        <v>40.794828749096801</v>
      </c>
      <c r="AI5547">
        <v>91.553724798224096</v>
      </c>
      <c r="AJ5547">
        <v>85.427554079516995</v>
      </c>
      <c r="AK5547">
        <v>40.9401317534046</v>
      </c>
      <c r="AL5547">
        <v>84.275300958268303</v>
      </c>
      <c r="AM5547">
        <v>85.693593318569498</v>
      </c>
      <c r="AN5547">
        <v>1.00000001343919</v>
      </c>
    </row>
    <row r="5548" spans="1:40" x14ac:dyDescent="0.25">
      <c r="A5548" t="str">
        <f>"20190312150803704"</f>
        <v>20190312150803704</v>
      </c>
      <c r="B5548" t="str">
        <f>"1552374483695698"</f>
        <v>1552374483695698</v>
      </c>
      <c r="C5548" t="s">
        <v>40</v>
      </c>
      <c r="D5548">
        <v>4.2984470000000004</v>
      </c>
      <c r="E5548">
        <v>0.52674200000000004</v>
      </c>
      <c r="F5548" t="s">
        <v>67</v>
      </c>
      <c r="G5548">
        <v>-233.0222</v>
      </c>
      <c r="H5548">
        <v>8.0000870000000002E-2</v>
      </c>
      <c r="I5548">
        <v>207.71559999999999</v>
      </c>
      <c r="J5548">
        <v>-295.82220000000001</v>
      </c>
      <c r="K5548">
        <v>1.110106</v>
      </c>
      <c r="L5548">
        <v>214.98660000000001</v>
      </c>
      <c r="M5548">
        <v>0.99991390000000002</v>
      </c>
      <c r="N5548">
        <v>0</v>
      </c>
      <c r="O5548">
        <v>7.4672459999999899E-3</v>
      </c>
      <c r="P5548">
        <v>0.99378060000000001</v>
      </c>
      <c r="Q5548">
        <v>8.8776949999999993E-2</v>
      </c>
      <c r="R5548">
        <v>-6.722641E-2</v>
      </c>
      <c r="S5548">
        <v>2.999908</v>
      </c>
      <c r="T5548">
        <v>-4.8951509999999997E-2</v>
      </c>
      <c r="U5548">
        <v>-0.34542850000000003</v>
      </c>
      <c r="V5548">
        <v>7.4674470000000007E-2</v>
      </c>
      <c r="W5548">
        <v>9.947541E-2</v>
      </c>
      <c r="X5548">
        <v>0.99223410000000001</v>
      </c>
      <c r="Y5548">
        <v>0.12178899999999999</v>
      </c>
      <c r="Z5548">
        <v>-1.111777E-3</v>
      </c>
      <c r="AA5548">
        <v>0.99255539999999998</v>
      </c>
      <c r="AB5548">
        <v>33</v>
      </c>
      <c r="AC5548">
        <v>62.8</v>
      </c>
      <c r="AD5548">
        <v>-1.0301051299999999</v>
      </c>
      <c r="AE5548">
        <v>-7.2710000000000097</v>
      </c>
      <c r="AF5548">
        <v>7.7377132653461702</v>
      </c>
      <c r="AG5548">
        <v>-1.0301051299999999</v>
      </c>
      <c r="AH5548">
        <v>62.727297456039601</v>
      </c>
      <c r="AI5548">
        <v>90.933748336327994</v>
      </c>
      <c r="AJ5548">
        <v>82.967815153390504</v>
      </c>
      <c r="AK5548">
        <v>63.211131688129498</v>
      </c>
      <c r="AL5548">
        <v>84.291037346537095</v>
      </c>
      <c r="AM5548">
        <v>85.696094726949596</v>
      </c>
      <c r="AN5548">
        <v>1.0000000714336199</v>
      </c>
    </row>
    <row r="5549" spans="1:40" x14ac:dyDescent="0.25">
      <c r="A5549" t="str">
        <f>"20190312150803726"</f>
        <v>20190312150803726</v>
      </c>
      <c r="B5549" t="str">
        <f>"1552374483715218"</f>
        <v>1552374483715218</v>
      </c>
      <c r="C5549" t="s">
        <v>40</v>
      </c>
      <c r="D5549">
        <v>4.3006669999999998</v>
      </c>
      <c r="E5549">
        <v>0.52985099999999996</v>
      </c>
      <c r="F5549" t="s">
        <v>67</v>
      </c>
      <c r="G5549">
        <v>-238.94040000000001</v>
      </c>
      <c r="H5549">
        <v>8.0000630000000003E-2</v>
      </c>
      <c r="I5549">
        <v>207.12819999999999</v>
      </c>
      <c r="J5549">
        <v>-295.48970000000003</v>
      </c>
      <c r="K5549">
        <v>1.1101529999999999</v>
      </c>
      <c r="L5549">
        <v>214.98910000000001</v>
      </c>
      <c r="M5549">
        <v>0.99991280000000005</v>
      </c>
      <c r="N5549">
        <v>0</v>
      </c>
      <c r="O5549">
        <v>7.4151140000000004E-3</v>
      </c>
      <c r="P5549">
        <v>0.99381010000000003</v>
      </c>
      <c r="Q5549">
        <v>8.8813580000000003E-2</v>
      </c>
      <c r="R5549">
        <v>-6.673867E-2</v>
      </c>
      <c r="S5549">
        <v>2.9956670000000001</v>
      </c>
      <c r="T5549">
        <v>-5.4250239999999998E-2</v>
      </c>
      <c r="U5549">
        <v>-0.41386410000000001</v>
      </c>
      <c r="V5549">
        <v>7.4128659999999999E-2</v>
      </c>
      <c r="W5549">
        <v>9.9652850000000001E-2</v>
      </c>
      <c r="X5549">
        <v>0.99225719999999995</v>
      </c>
      <c r="Y5549">
        <v>0.1441721</v>
      </c>
      <c r="Z5549">
        <v>-1.4328349999999999E-3</v>
      </c>
      <c r="AA5549">
        <v>0.98955159999999998</v>
      </c>
      <c r="AB5549">
        <v>33</v>
      </c>
      <c r="AC5549">
        <v>56.549300000000002</v>
      </c>
      <c r="AD5549">
        <v>-1.0301523699999999</v>
      </c>
      <c r="AE5549">
        <v>-7.8609000000000098</v>
      </c>
      <c r="AF5549">
        <v>8.2773336015432992</v>
      </c>
      <c r="AG5549">
        <v>-1.0301523699999999</v>
      </c>
      <c r="AH5549">
        <v>56.471067246575501</v>
      </c>
      <c r="AI5549">
        <v>91.034034477292593</v>
      </c>
      <c r="AJ5549">
        <v>81.661163662658097</v>
      </c>
      <c r="AK5549">
        <v>57.0837709110383</v>
      </c>
      <c r="AL5549">
        <v>84.280819891870706</v>
      </c>
      <c r="AM5549">
        <v>85.727534976191393</v>
      </c>
      <c r="AN5549">
        <v>1.0000000498491699</v>
      </c>
    </row>
    <row r="5550" spans="1:40" x14ac:dyDescent="0.25">
      <c r="A5550" t="str">
        <f>"20190312150803748"</f>
        <v>20190312150803748</v>
      </c>
      <c r="B5550" t="str">
        <f>"1552374483745174"</f>
        <v>1552374483745174</v>
      </c>
      <c r="C5550" t="s">
        <v>40</v>
      </c>
      <c r="D5550">
        <v>4.2735370000000001</v>
      </c>
      <c r="E5550">
        <v>0.53171869999999999</v>
      </c>
      <c r="F5550" t="s">
        <v>67</v>
      </c>
      <c r="G5550">
        <v>-236.84630000000001</v>
      </c>
      <c r="H5550">
        <v>8.0001279999999994E-2</v>
      </c>
      <c r="I5550">
        <v>206.42840000000001</v>
      </c>
      <c r="J5550">
        <v>-295.1628</v>
      </c>
      <c r="K5550">
        <v>1.1101989999999999</v>
      </c>
      <c r="L5550">
        <v>214.9915</v>
      </c>
      <c r="M5550">
        <v>0.99991140000000001</v>
      </c>
      <c r="N5550">
        <v>0</v>
      </c>
      <c r="O5550">
        <v>7.3949860000000001E-3</v>
      </c>
      <c r="P5550">
        <v>0.99378750000000005</v>
      </c>
      <c r="Q5550">
        <v>8.9000099999999999E-2</v>
      </c>
      <c r="R5550">
        <v>-6.6827280000000003E-2</v>
      </c>
      <c r="S5550">
        <v>2.9940799999999999</v>
      </c>
      <c r="T5550">
        <v>-5.2595139999999999E-2</v>
      </c>
      <c r="U5550">
        <v>-0.43707279999999998</v>
      </c>
      <c r="V5550">
        <v>7.419096E-2</v>
      </c>
      <c r="W5550">
        <v>9.998688E-2</v>
      </c>
      <c r="X5550">
        <v>0.99221890000000001</v>
      </c>
      <c r="Y5550">
        <v>0.15173789999999901</v>
      </c>
      <c r="Z5550">
        <v>-1.4548499999999999E-3</v>
      </c>
      <c r="AA5550">
        <v>0.98841970000000001</v>
      </c>
      <c r="AB5550">
        <v>33</v>
      </c>
      <c r="AC5550">
        <v>58.316499999999898</v>
      </c>
      <c r="AD5550">
        <v>-1.0301977200000001</v>
      </c>
      <c r="AE5550">
        <v>-8.5630999999999897</v>
      </c>
      <c r="AF5550">
        <v>8.9913951862054908</v>
      </c>
      <c r="AG5550">
        <v>-1.0301977200000001</v>
      </c>
      <c r="AH5550">
        <v>58.233787649730601</v>
      </c>
      <c r="AI5550">
        <v>91.001631356768698</v>
      </c>
      <c r="AJ5550">
        <v>81.222746450647605</v>
      </c>
      <c r="AK5550">
        <v>58.932847536588</v>
      </c>
      <c r="AL5550">
        <v>84.261585088142894</v>
      </c>
      <c r="AM5550">
        <v>85.723793133603706</v>
      </c>
      <c r="AN5550">
        <v>1.0000000101175299</v>
      </c>
    </row>
    <row r="5551" spans="1:40" x14ac:dyDescent="0.25">
      <c r="A5551" t="str">
        <f>"20190312150803771"</f>
        <v>20190312150803771</v>
      </c>
      <c r="B5551" t="str">
        <f>"1552374483765669"</f>
        <v>1552374483765669</v>
      </c>
      <c r="C5551" t="s">
        <v>40</v>
      </c>
      <c r="D5551">
        <v>4.2641299999999998</v>
      </c>
      <c r="E5551">
        <v>0.53243019999999996</v>
      </c>
      <c r="F5551" t="s">
        <v>67</v>
      </c>
      <c r="G5551">
        <v>-229.7491</v>
      </c>
      <c r="H5551">
        <v>8.0000479999999999E-2</v>
      </c>
      <c r="I5551">
        <v>205.101</v>
      </c>
      <c r="J5551">
        <v>-294.82330000000002</v>
      </c>
      <c r="K5551">
        <v>1.1102399999999999</v>
      </c>
      <c r="L5551">
        <v>214.994</v>
      </c>
      <c r="M5551">
        <v>0.99990959999999995</v>
      </c>
      <c r="N5551">
        <v>0</v>
      </c>
      <c r="O5551">
        <v>7.3980890000000001E-3</v>
      </c>
      <c r="P5551">
        <v>0.99382289999999995</v>
      </c>
      <c r="Q5551">
        <v>8.86493E-2</v>
      </c>
      <c r="R5551">
        <v>-6.6763030000000001E-2</v>
      </c>
      <c r="S5551">
        <v>2.9925540000000002</v>
      </c>
      <c r="T5551">
        <v>-4.7129629999999999E-2</v>
      </c>
      <c r="U5551">
        <v>-0.45246890000000001</v>
      </c>
      <c r="V5551">
        <v>7.4125629999999998E-2</v>
      </c>
      <c r="W5551">
        <v>9.9789039999999996E-2</v>
      </c>
      <c r="X5551">
        <v>0.99224369999999995</v>
      </c>
      <c r="Y5551">
        <v>0.1567905</v>
      </c>
      <c r="Z5551">
        <v>-1.3434619999999999E-3</v>
      </c>
      <c r="AA5551">
        <v>0.98763100000000004</v>
      </c>
      <c r="AB5551">
        <v>33</v>
      </c>
      <c r="AC5551">
        <v>65.074200000000005</v>
      </c>
      <c r="AD5551">
        <v>-1.0302395200000001</v>
      </c>
      <c r="AE5551">
        <v>-9.8930000000000202</v>
      </c>
      <c r="AF5551">
        <v>10.371643428081599</v>
      </c>
      <c r="AG5551">
        <v>-1.0302395200000001</v>
      </c>
      <c r="AH5551">
        <v>64.9833052415634</v>
      </c>
      <c r="AI5551">
        <v>90.896935688709704</v>
      </c>
      <c r="AJ5551">
        <v>80.931805978609006</v>
      </c>
      <c r="AK5551">
        <v>65.813846119080694</v>
      </c>
      <c r="AL5551">
        <v>84.272977466101196</v>
      </c>
      <c r="AM5551">
        <v>85.727651054511099</v>
      </c>
      <c r="AN5551">
        <v>1.00000001085835</v>
      </c>
    </row>
    <row r="5552" spans="1:40" x14ac:dyDescent="0.25">
      <c r="A5552" t="str">
        <f>"20190312150803792"</f>
        <v>20190312150803792</v>
      </c>
      <c r="B5552" t="str">
        <f>"1552374483785193"</f>
        <v>1552374483785193</v>
      </c>
      <c r="C5552" t="s">
        <v>40</v>
      </c>
      <c r="D5552">
        <v>4.3026489999999997</v>
      </c>
      <c r="E5552">
        <v>0.53299339999999995</v>
      </c>
      <c r="F5552" t="s">
        <v>67</v>
      </c>
      <c r="G5552">
        <v>-231.0986</v>
      </c>
      <c r="H5552">
        <v>8.0001550000000005E-2</v>
      </c>
      <c r="I5552">
        <v>205.24340000000001</v>
      </c>
      <c r="J5552">
        <v>-294.48759999999999</v>
      </c>
      <c r="K5552">
        <v>1.1102730000000001</v>
      </c>
      <c r="L5552">
        <v>214.99639999999999</v>
      </c>
      <c r="M5552">
        <v>0.99990789999999996</v>
      </c>
      <c r="N5552">
        <v>0</v>
      </c>
      <c r="O5552">
        <v>7.4151989999999999E-3</v>
      </c>
      <c r="P5552">
        <v>0.99380199999999996</v>
      </c>
      <c r="Q5552">
        <v>8.8737399999999994E-2</v>
      </c>
      <c r="R5552">
        <v>-6.695943E-2</v>
      </c>
      <c r="S5552">
        <v>2.9922179999999998</v>
      </c>
      <c r="T5552">
        <v>-4.8375250000000002E-2</v>
      </c>
      <c r="U5552">
        <v>-0.45784000000000002</v>
      </c>
      <c r="V5552">
        <v>7.4335929999999995E-2</v>
      </c>
      <c r="W5552">
        <v>0.10003049999999999</v>
      </c>
      <c r="X5552">
        <v>0.99220370000000002</v>
      </c>
      <c r="Y5552">
        <v>0.1585549</v>
      </c>
      <c r="Z5552">
        <v>-1.3933870000000001E-3</v>
      </c>
      <c r="AA5552">
        <v>0.98734920000000004</v>
      </c>
      <c r="AB5552">
        <v>33</v>
      </c>
      <c r="AC5552">
        <v>63.388999999999903</v>
      </c>
      <c r="AD5552">
        <v>-1.0302714500000001</v>
      </c>
      <c r="AE5552">
        <v>-9.7529999999999806</v>
      </c>
      <c r="AF5552">
        <v>10.2201668670389</v>
      </c>
      <c r="AG5552">
        <v>-1.0302714500000001</v>
      </c>
      <c r="AH5552">
        <v>63.298597315852497</v>
      </c>
      <c r="AI5552">
        <v>90.920565112183297</v>
      </c>
      <c r="AJ5552">
        <v>80.828199653423297</v>
      </c>
      <c r="AK5552">
        <v>64.126637929999603</v>
      </c>
      <c r="AL5552">
        <v>84.2590735225684</v>
      </c>
      <c r="AM5552">
        <v>85.715403068273801</v>
      </c>
      <c r="AN5552">
        <v>1.00000005685645</v>
      </c>
    </row>
    <row r="5553" spans="1:40" x14ac:dyDescent="0.25">
      <c r="A5553" t="str">
        <f>"20190312150803807"</f>
        <v>20190312150803807</v>
      </c>
      <c r="B5553" t="str">
        <f>"1552374483795926"</f>
        <v>1552374483795926</v>
      </c>
      <c r="C5553" t="s">
        <v>40</v>
      </c>
      <c r="D5553">
        <v>4.7946999999999997</v>
      </c>
      <c r="E5553">
        <v>0.53335519999999903</v>
      </c>
      <c r="F5553" t="s">
        <v>67</v>
      </c>
      <c r="G5553">
        <v>-231.13890000000001</v>
      </c>
      <c r="H5553">
        <v>8.0001530000000001E-2</v>
      </c>
      <c r="I5553">
        <v>205.19239999999999</v>
      </c>
      <c r="J5553">
        <v>-294.27999999999997</v>
      </c>
      <c r="K5553">
        <v>1.1102939999999999</v>
      </c>
      <c r="L5553">
        <v>214.99799999999999</v>
      </c>
      <c r="M5553">
        <v>0.99990659999999998</v>
      </c>
      <c r="N5553">
        <v>0</v>
      </c>
      <c r="O5553">
        <v>7.4296329999999997E-3</v>
      </c>
      <c r="P5553">
        <v>0.99380219999999997</v>
      </c>
      <c r="Q5553">
        <v>8.8735399999999895E-2</v>
      </c>
      <c r="R5553">
        <v>-6.6958279999999995E-2</v>
      </c>
      <c r="S5553">
        <v>2.9918520000000002</v>
      </c>
      <c r="T5553">
        <v>-4.8658010000000002E-2</v>
      </c>
      <c r="U5553">
        <v>-0.463028</v>
      </c>
      <c r="V5553">
        <v>7.4347170000000004E-2</v>
      </c>
      <c r="W5553">
        <v>0.1001273</v>
      </c>
      <c r="X5553">
        <v>0.99219299999999999</v>
      </c>
      <c r="Y5553">
        <v>0.16025909999999999</v>
      </c>
      <c r="Z5553">
        <v>-1.4155249999999999E-3</v>
      </c>
      <c r="AA5553">
        <v>0.98707400000000001</v>
      </c>
      <c r="AB5553">
        <v>33</v>
      </c>
      <c r="AC5553">
        <v>63.141099999999902</v>
      </c>
      <c r="AD5553">
        <v>-1.03029247</v>
      </c>
      <c r="AE5553">
        <v>-9.8055999999999894</v>
      </c>
      <c r="AF5553">
        <v>10.2718048896264</v>
      </c>
      <c r="AG5553">
        <v>-1.03029247</v>
      </c>
      <c r="AH5553">
        <v>63.050108226450803</v>
      </c>
      <c r="AI5553">
        <v>90.923998914312406</v>
      </c>
      <c r="AJ5553">
        <v>80.746952350068</v>
      </c>
      <c r="AK5553">
        <v>63.889651944829502</v>
      </c>
      <c r="AL5553">
        <v>84.253498768225796</v>
      </c>
      <c r="AM5553">
        <v>85.714711586094495</v>
      </c>
      <c r="AN5553">
        <v>0.99999996357064802</v>
      </c>
    </row>
    <row r="5554" spans="1:40" x14ac:dyDescent="0.25">
      <c r="A5554" t="str">
        <f>"20190312150803826"</f>
        <v>20190312150803826</v>
      </c>
      <c r="B5554" t="str">
        <f>"1552374483815449"</f>
        <v>1552374483815449</v>
      </c>
      <c r="C5554" t="s">
        <v>40</v>
      </c>
      <c r="D5554">
        <v>4.2942650000000002</v>
      </c>
      <c r="E5554">
        <v>0.53377180000000002</v>
      </c>
      <c r="F5554" t="s">
        <v>43</v>
      </c>
      <c r="G5554">
        <v>-217.87289999999999</v>
      </c>
      <c r="H5554">
        <v>-0.05</v>
      </c>
      <c r="I5554">
        <v>203.0958</v>
      </c>
      <c r="J5554">
        <v>-293.99880000000002</v>
      </c>
      <c r="K5554">
        <v>1.110331</v>
      </c>
      <c r="L5554">
        <v>215</v>
      </c>
      <c r="M5554">
        <v>0.99990480000000004</v>
      </c>
      <c r="N5554">
        <v>0</v>
      </c>
      <c r="O5554">
        <v>7.447693E-3</v>
      </c>
      <c r="P5554">
        <v>0.99373299999999998</v>
      </c>
      <c r="Q5554">
        <v>8.9102559999999997E-2</v>
      </c>
      <c r="R5554">
        <v>-6.7493949999999997E-2</v>
      </c>
      <c r="S5554">
        <v>2.9913639999999999</v>
      </c>
      <c r="T5554">
        <v>-4.5425889999999997E-2</v>
      </c>
      <c r="U5554">
        <v>-0.46597290000000002</v>
      </c>
      <c r="V5554">
        <v>7.4896589999999999E-2</v>
      </c>
      <c r="W5554">
        <v>0.1006345</v>
      </c>
      <c r="X5554">
        <v>0.99210039999999999</v>
      </c>
      <c r="Y5554">
        <v>0.1612527</v>
      </c>
      <c r="Z5554">
        <v>-1.329396E-3</v>
      </c>
      <c r="AA5554">
        <v>0.98691229999999996</v>
      </c>
      <c r="AB5554">
        <v>33</v>
      </c>
      <c r="AC5554">
        <v>76.125900000000001</v>
      </c>
      <c r="AD5554">
        <v>-1.160331</v>
      </c>
      <c r="AE5554">
        <v>-11.904199999999999</v>
      </c>
      <c r="AF5554">
        <v>12.468042867460801</v>
      </c>
      <c r="AG5554">
        <v>-1.160331</v>
      </c>
      <c r="AH5554">
        <v>76.017884179720895</v>
      </c>
      <c r="AI5554">
        <v>90.862961984906605</v>
      </c>
      <c r="AJ5554">
        <v>80.685586483284098</v>
      </c>
      <c r="AK5554">
        <v>77.042307702559597</v>
      </c>
      <c r="AL5554">
        <v>84.224291047455495</v>
      </c>
      <c r="AM5554">
        <v>85.6827614991426</v>
      </c>
      <c r="AN5554">
        <v>1.00000000273201</v>
      </c>
    </row>
    <row r="5555" spans="1:40" x14ac:dyDescent="0.25">
      <c r="A5555" t="str">
        <f>"20190312150803841"</f>
        <v>20190312150803841</v>
      </c>
      <c r="B5555" t="str">
        <f>"1552374483835942"</f>
        <v>1552374483835942</v>
      </c>
      <c r="C5555" t="s">
        <v>40</v>
      </c>
      <c r="D5555">
        <v>4.270111</v>
      </c>
      <c r="E5555">
        <v>0.53412490000000001</v>
      </c>
      <c r="F5555" t="s">
        <v>43</v>
      </c>
      <c r="G5555">
        <v>-205.73599999999999</v>
      </c>
      <c r="H5555">
        <v>-0.05</v>
      </c>
      <c r="I5555">
        <v>201.0941</v>
      </c>
      <c r="J5555">
        <v>-293.76350000000002</v>
      </c>
      <c r="K5555">
        <v>1.1103590000000001</v>
      </c>
      <c r="L5555">
        <v>215.0018</v>
      </c>
      <c r="M5555">
        <v>0.99990330000000005</v>
      </c>
      <c r="N5555">
        <v>0</v>
      </c>
      <c r="O5555">
        <v>7.4680049999999998E-3</v>
      </c>
      <c r="P5555">
        <v>0.99372769999999999</v>
      </c>
      <c r="Q5555">
        <v>8.906907E-2</v>
      </c>
      <c r="R5555">
        <v>-6.7617449999999996E-2</v>
      </c>
      <c r="S5555">
        <v>2.9904169999999999</v>
      </c>
      <c r="T5555">
        <v>-3.9312960000000001E-2</v>
      </c>
      <c r="U5555">
        <v>-0.4711456</v>
      </c>
      <c r="V5555">
        <v>7.5037430000000002E-2</v>
      </c>
      <c r="W5555">
        <v>0.1007237</v>
      </c>
      <c r="X5555">
        <v>0.99208070000000004</v>
      </c>
      <c r="Y5555">
        <v>0.16299079999999999</v>
      </c>
      <c r="Z5555">
        <v>-1.1623429999999999E-3</v>
      </c>
      <c r="AA5555">
        <v>0.98662689999999997</v>
      </c>
      <c r="AB5555">
        <v>33</v>
      </c>
      <c r="AC5555">
        <v>88.027500000000003</v>
      </c>
      <c r="AD5555">
        <v>-1.1603589999999999</v>
      </c>
      <c r="AE5555">
        <v>-13.9077</v>
      </c>
      <c r="AF5555">
        <v>14.562278459063601</v>
      </c>
      <c r="AG5555">
        <v>-1.1603589999999999</v>
      </c>
      <c r="AH5555">
        <v>87.906272473702302</v>
      </c>
      <c r="AI5555">
        <v>90.746091160536807</v>
      </c>
      <c r="AJ5555">
        <v>80.593980053482795</v>
      </c>
      <c r="AK5555">
        <v>89.111834944349496</v>
      </c>
      <c r="AL5555">
        <v>84.219154132695394</v>
      </c>
      <c r="AM5555">
        <v>85.674588324241299</v>
      </c>
      <c r="AN5555">
        <v>0.99999999747759205</v>
      </c>
    </row>
    <row r="5556" spans="1:40" x14ac:dyDescent="0.25">
      <c r="A5556" t="str">
        <f>"20190312150803861"</f>
        <v>20190312150803861</v>
      </c>
      <c r="B5556" t="str">
        <f>"1552374483855462"</f>
        <v>1552374483855462</v>
      </c>
      <c r="C5556" t="s">
        <v>40</v>
      </c>
      <c r="D5556">
        <v>4.2724840000000004</v>
      </c>
      <c r="E5556">
        <v>0.53447409999999995</v>
      </c>
      <c r="F5556" t="s">
        <v>61</v>
      </c>
      <c r="G5556">
        <v>-204.6859</v>
      </c>
      <c r="H5556">
        <v>8.0002290000000004E-2</v>
      </c>
      <c r="I5556">
        <v>200.8663</v>
      </c>
      <c r="J5556">
        <v>-293.48090000000002</v>
      </c>
      <c r="K5556">
        <v>1.110393</v>
      </c>
      <c r="L5556">
        <v>215.00399999999999</v>
      </c>
      <c r="M5556">
        <v>0.99990140000000005</v>
      </c>
      <c r="N5556">
        <v>0</v>
      </c>
      <c r="O5556">
        <v>7.5003739999999998E-3</v>
      </c>
      <c r="P5556">
        <v>0.99370650000000005</v>
      </c>
      <c r="Q5556">
        <v>8.9169040000000005E-2</v>
      </c>
      <c r="R5556">
        <v>-6.7799470000000001E-2</v>
      </c>
      <c r="S5556">
        <v>2.9897770000000001</v>
      </c>
      <c r="T5556">
        <v>-3.458261E-2</v>
      </c>
      <c r="U5556">
        <v>-0.47444150000000002</v>
      </c>
      <c r="V5556">
        <v>7.5248529999999994E-2</v>
      </c>
      <c r="W5556">
        <v>0.1009723</v>
      </c>
      <c r="X5556">
        <v>0.99203940000000002</v>
      </c>
      <c r="Y5556">
        <v>0.1641195</v>
      </c>
      <c r="Z5556">
        <v>-1.0294810000000001E-3</v>
      </c>
      <c r="AA5556">
        <v>0.98643990000000004</v>
      </c>
      <c r="AB5556">
        <v>33</v>
      </c>
      <c r="AC5556">
        <v>88.795000000000002</v>
      </c>
      <c r="AD5556">
        <v>-1.03039071</v>
      </c>
      <c r="AE5556">
        <v>-14.137700000000001</v>
      </c>
      <c r="AF5556">
        <v>14.8014010947232</v>
      </c>
      <c r="AG5556">
        <v>-1.03039071</v>
      </c>
      <c r="AH5556">
        <v>88.674811080213701</v>
      </c>
      <c r="AI5556">
        <v>90.656656082618198</v>
      </c>
      <c r="AJ5556">
        <v>80.523680436695997</v>
      </c>
      <c r="AK5556">
        <v>89.907537500999993</v>
      </c>
      <c r="AL5556">
        <v>84.204837188608295</v>
      </c>
      <c r="AM5556">
        <v>85.662286291550203</v>
      </c>
      <c r="AN5556">
        <v>0.99999995889340398</v>
      </c>
    </row>
    <row r="5557" spans="1:40" x14ac:dyDescent="0.25">
      <c r="A5557" t="str">
        <f>"20190312150803885"</f>
        <v>20190312150803885</v>
      </c>
      <c r="B5557" t="str">
        <f>"1552374483875243"</f>
        <v>1552374483875243</v>
      </c>
      <c r="C5557" t="s">
        <v>40</v>
      </c>
      <c r="D5557">
        <v>4.3243229999999997</v>
      </c>
      <c r="E5557">
        <v>0.53472569999999997</v>
      </c>
      <c r="F5557" t="s">
        <v>42</v>
      </c>
      <c r="G5557">
        <v>-187.5016</v>
      </c>
      <c r="H5557" s="1">
        <v>-4.0574460000000003E-6</v>
      </c>
      <c r="I5557">
        <v>198.05770000000001</v>
      </c>
      <c r="J5557">
        <v>-293.13350000000003</v>
      </c>
      <c r="K5557">
        <v>1.1104350000000001</v>
      </c>
      <c r="L5557">
        <v>215.00659999999999</v>
      </c>
      <c r="M5557">
        <v>0.99989850000000002</v>
      </c>
      <c r="N5557">
        <v>0</v>
      </c>
      <c r="O5557">
        <v>7.5519080000000004E-3</v>
      </c>
      <c r="P5557">
        <v>0.99367709999999998</v>
      </c>
      <c r="Q5557">
        <v>8.943653E-2</v>
      </c>
      <c r="R5557">
        <v>-6.7874169999999998E-2</v>
      </c>
      <c r="S5557">
        <v>2.9892270000000001</v>
      </c>
      <c r="T5557">
        <v>-3.1319619999999999E-2</v>
      </c>
      <c r="U5557">
        <v>-0.47798160000000001</v>
      </c>
      <c r="V5557">
        <v>7.5371499999999994E-2</v>
      </c>
      <c r="W5557">
        <v>0.1014381</v>
      </c>
      <c r="X5557">
        <v>0.99198260000000005</v>
      </c>
      <c r="Y5557">
        <v>0.1653395</v>
      </c>
      <c r="Z5557">
        <v>-9.3932230000000002E-4</v>
      </c>
      <c r="AA5557">
        <v>0.98623629999999995</v>
      </c>
      <c r="AB5557">
        <v>33</v>
      </c>
      <c r="AC5557">
        <v>105.6319</v>
      </c>
      <c r="AD5557">
        <v>-1.1104390574459999</v>
      </c>
      <c r="AE5557">
        <v>-16.948899999999899</v>
      </c>
      <c r="AF5557">
        <v>17.744285533672901</v>
      </c>
      <c r="AG5557">
        <v>-1.1104390574459999</v>
      </c>
      <c r="AH5557">
        <v>105.489516485764</v>
      </c>
      <c r="AI5557">
        <v>90.594749045162104</v>
      </c>
      <c r="AJ5557">
        <v>80.451718809298896</v>
      </c>
      <c r="AK5557">
        <v>106.977244460685</v>
      </c>
      <c r="AL5557">
        <v>84.178011403758106</v>
      </c>
      <c r="AM5557">
        <v>85.654976962035207</v>
      </c>
      <c r="AN5557">
        <v>1.0000000149233099</v>
      </c>
    </row>
    <row r="5558" spans="1:40" x14ac:dyDescent="0.25">
      <c r="A5558" t="str">
        <f>"20190312150803905"</f>
        <v>20190312150803905</v>
      </c>
      <c r="B5558" t="str">
        <f>"1552374483895738"</f>
        <v>1552374483895738</v>
      </c>
      <c r="C5558" t="s">
        <v>40</v>
      </c>
      <c r="D5558">
        <v>4.2940889999999996</v>
      </c>
      <c r="E5558">
        <v>0.53500619999999999</v>
      </c>
      <c r="F5558" t="s">
        <v>42</v>
      </c>
      <c r="G5558">
        <v>-179.95779999999999</v>
      </c>
      <c r="H5558">
        <v>1.256291E-2</v>
      </c>
      <c r="I5558">
        <v>196.8212</v>
      </c>
      <c r="J5558">
        <v>-292.82400000000001</v>
      </c>
      <c r="K5558">
        <v>1.1104670000000001</v>
      </c>
      <c r="L5558">
        <v>215.00899999999999</v>
      </c>
      <c r="M5558">
        <v>0.9998958</v>
      </c>
      <c r="N5558">
        <v>0</v>
      </c>
      <c r="O5558">
        <v>7.6082069999999996E-3</v>
      </c>
      <c r="P5558">
        <v>0.99360510000000002</v>
      </c>
      <c r="Q5558">
        <v>8.9665869999999995E-2</v>
      </c>
      <c r="R5558">
        <v>-6.8626889999999996E-2</v>
      </c>
      <c r="S5558">
        <v>2.9889220000000001</v>
      </c>
      <c r="T5558">
        <v>-2.8994320000000001E-2</v>
      </c>
      <c r="U5558">
        <v>-0.48027039999999999</v>
      </c>
      <c r="V5558">
        <v>7.6177800000000004E-2</v>
      </c>
      <c r="W5558">
        <v>0.1018612</v>
      </c>
      <c r="X5558">
        <v>0.99187760000000003</v>
      </c>
      <c r="Y5558">
        <v>0.1661483</v>
      </c>
      <c r="Z5558">
        <v>-8.7406270000000002E-4</v>
      </c>
      <c r="AA5558">
        <v>0.98610039999999999</v>
      </c>
      <c r="AB5558">
        <v>33</v>
      </c>
      <c r="AC5558">
        <v>112.86620000000001</v>
      </c>
      <c r="AD5558">
        <v>-1.0979040900000001</v>
      </c>
      <c r="AE5558">
        <v>-18.187799999999999</v>
      </c>
      <c r="AF5558">
        <v>19.044291119116298</v>
      </c>
      <c r="AG5558">
        <v>-1.0979040900000001</v>
      </c>
      <c r="AH5558">
        <v>112.714150370502</v>
      </c>
      <c r="AI5558">
        <v>90.550279075677494</v>
      </c>
      <c r="AJ5558">
        <v>80.409825006090898</v>
      </c>
      <c r="AK5558">
        <v>114.316972105478</v>
      </c>
      <c r="AL5558">
        <v>84.153643060155503</v>
      </c>
      <c r="AM5558">
        <v>85.608213117715394</v>
      </c>
      <c r="AN5558">
        <v>0.99999996733001895</v>
      </c>
    </row>
    <row r="5559" spans="1:40" x14ac:dyDescent="0.25">
      <c r="A5559" t="str">
        <f>"20190312150803926"</f>
        <v>20190312150803926</v>
      </c>
      <c r="B5559" t="str">
        <f>"1552374483915259"</f>
        <v>1552374483915259</v>
      </c>
      <c r="C5559" t="s">
        <v>40</v>
      </c>
      <c r="D5559">
        <v>4.2891969999999997</v>
      </c>
      <c r="E5559">
        <v>0.53520730000000005</v>
      </c>
      <c r="F5559" t="s">
        <v>42</v>
      </c>
      <c r="G5559">
        <v>-179.93979999999999</v>
      </c>
      <c r="H5559">
        <v>6.7995879999999995E-2</v>
      </c>
      <c r="I5559">
        <v>196.71119999999999</v>
      </c>
      <c r="J5559">
        <v>-292.49939999999998</v>
      </c>
      <c r="K5559">
        <v>1.1105039999999999</v>
      </c>
      <c r="L5559">
        <v>215.01150000000001</v>
      </c>
      <c r="M5559">
        <v>0.99989249999999996</v>
      </c>
      <c r="N5559">
        <v>0</v>
      </c>
      <c r="O5559">
        <v>7.6731200000000003E-3</v>
      </c>
      <c r="P5559">
        <v>0.99362090000000003</v>
      </c>
      <c r="Q5559">
        <v>8.9146439999999993E-2</v>
      </c>
      <c r="R5559">
        <v>-6.9069809999999995E-2</v>
      </c>
      <c r="S5559">
        <v>2.9883419999999998</v>
      </c>
      <c r="T5559">
        <v>-2.7596949999999999E-2</v>
      </c>
      <c r="U5559">
        <v>-0.4843903</v>
      </c>
      <c r="V5559">
        <v>7.6684150000000006E-2</v>
      </c>
      <c r="W5559">
        <v>0.1015538</v>
      </c>
      <c r="X5559">
        <v>0.99187009999999998</v>
      </c>
      <c r="Y5559">
        <v>0.16756779999999999</v>
      </c>
      <c r="Z5559">
        <v>-8.3911559999999997E-4</v>
      </c>
      <c r="AA5559">
        <v>0.98586019999999996</v>
      </c>
      <c r="AB5559">
        <v>33</v>
      </c>
      <c r="AC5559">
        <v>112.5596</v>
      </c>
      <c r="AD5559">
        <v>-1.0425081199999999</v>
      </c>
      <c r="AE5559">
        <v>-18.3003</v>
      </c>
      <c r="AF5559">
        <v>19.161910510437099</v>
      </c>
      <c r="AG5559">
        <v>-1.0425081199999999</v>
      </c>
      <c r="AH5559">
        <v>112.406460419027</v>
      </c>
      <c r="AI5559">
        <v>90.523815524121005</v>
      </c>
      <c r="AJ5559">
        <v>80.325793401310193</v>
      </c>
      <c r="AK5559">
        <v>114.03279344787001</v>
      </c>
      <c r="AL5559">
        <v>84.17134757478</v>
      </c>
      <c r="AM5559">
        <v>85.579103180315201</v>
      </c>
      <c r="AN5559">
        <v>0.99999996421483495</v>
      </c>
    </row>
    <row r="5560" spans="1:40" x14ac:dyDescent="0.25">
      <c r="A5560" t="str">
        <f>"20190312150803942"</f>
        <v>20190312150803942</v>
      </c>
      <c r="B5560" t="str">
        <f>"1552374483935755"</f>
        <v>1552374483935755</v>
      </c>
      <c r="C5560" t="s">
        <v>40</v>
      </c>
      <c r="D5560">
        <v>4.3161050000000003</v>
      </c>
      <c r="E5560">
        <v>0.53529769999999999</v>
      </c>
      <c r="F5560" t="s">
        <v>42</v>
      </c>
      <c r="G5560">
        <v>-179.9538</v>
      </c>
      <c r="H5560">
        <v>5.400195E-2</v>
      </c>
      <c r="I5560">
        <v>196.66030000000001</v>
      </c>
      <c r="J5560">
        <v>-292.26499999999999</v>
      </c>
      <c r="K5560">
        <v>1.110527</v>
      </c>
      <c r="L5560">
        <v>215.01339999999999</v>
      </c>
      <c r="M5560">
        <v>0.99989039999999996</v>
      </c>
      <c r="N5560">
        <v>0</v>
      </c>
      <c r="O5560">
        <v>7.7218030000000002E-3</v>
      </c>
      <c r="P5560">
        <v>0.99364699999999995</v>
      </c>
      <c r="Q5560">
        <v>8.8964000000000001E-2</v>
      </c>
      <c r="R5560">
        <v>-6.8931149999999997E-2</v>
      </c>
      <c r="S5560">
        <v>2.9879150000000001</v>
      </c>
      <c r="T5560">
        <v>-2.804852E-2</v>
      </c>
      <c r="U5560">
        <v>-0.48719790000000002</v>
      </c>
      <c r="V5560">
        <v>7.6593530000000007E-2</v>
      </c>
      <c r="W5560">
        <v>0.1015216</v>
      </c>
      <c r="X5560">
        <v>0.9918804</v>
      </c>
      <c r="Y5560">
        <v>0.1685402</v>
      </c>
      <c r="Z5560">
        <v>-8.578905E-4</v>
      </c>
      <c r="AA5560">
        <v>0.98569439999999997</v>
      </c>
      <c r="AB5560">
        <v>33</v>
      </c>
      <c r="AC5560">
        <v>112.3112</v>
      </c>
      <c r="AD5560">
        <v>-1.0565250500000001</v>
      </c>
      <c r="AE5560">
        <v>-18.353099999999898</v>
      </c>
      <c r="AF5560">
        <v>19.218210439150901</v>
      </c>
      <c r="AG5560">
        <v>-1.0565250500000001</v>
      </c>
      <c r="AH5560">
        <v>112.156453718927</v>
      </c>
      <c r="AI5560">
        <v>90.531963377877901</v>
      </c>
      <c r="AJ5560">
        <v>80.276694499585901</v>
      </c>
      <c r="AK5560">
        <v>113.795983973383</v>
      </c>
      <c r="AL5560">
        <v>84.173202094082896</v>
      </c>
      <c r="AM5560">
        <v>85.584352487361201</v>
      </c>
      <c r="AN5560">
        <v>0.99999996600428898</v>
      </c>
    </row>
    <row r="5561" spans="1:40" x14ac:dyDescent="0.25">
      <c r="A5561" t="str">
        <f>"20190312150803960"</f>
        <v>20190312150803960</v>
      </c>
      <c r="B5561" t="str">
        <f>"1552374483955783"</f>
        <v>1552374483955783</v>
      </c>
      <c r="C5561" t="s">
        <v>40</v>
      </c>
      <c r="D5561">
        <v>4.3117349999999997</v>
      </c>
      <c r="E5561">
        <v>0.53534530000000002</v>
      </c>
      <c r="F5561" t="s">
        <v>42</v>
      </c>
      <c r="G5561">
        <v>-179.95779999999999</v>
      </c>
      <c r="H5561">
        <v>2.0912210000000001E-2</v>
      </c>
      <c r="I5561">
        <v>196.6909</v>
      </c>
      <c r="J5561">
        <v>-291.99560000000002</v>
      </c>
      <c r="K5561">
        <v>1.110554</v>
      </c>
      <c r="L5561">
        <v>215.0155</v>
      </c>
      <c r="M5561">
        <v>0.99988770000000005</v>
      </c>
      <c r="N5561">
        <v>0</v>
      </c>
      <c r="O5561">
        <v>7.7779889999999999E-3</v>
      </c>
      <c r="P5561">
        <v>0.99366679999999996</v>
      </c>
      <c r="Q5561">
        <v>8.8657050000000001E-2</v>
      </c>
      <c r="R5561">
        <v>-6.9039340000000005E-2</v>
      </c>
      <c r="S5561">
        <v>2.987946</v>
      </c>
      <c r="T5561">
        <v>-2.8989319999999999E-2</v>
      </c>
      <c r="U5561">
        <v>-0.48747249999999998</v>
      </c>
      <c r="V5561">
        <v>7.6757140000000001E-2</v>
      </c>
      <c r="W5561">
        <v>0.1013821</v>
      </c>
      <c r="X5561">
        <v>0.99188200000000004</v>
      </c>
      <c r="Y5561">
        <v>0.16868179999999999</v>
      </c>
      <c r="Z5561">
        <v>-8.8787309999999999E-4</v>
      </c>
      <c r="AA5561">
        <v>0.98567009999999999</v>
      </c>
      <c r="AB5561">
        <v>33</v>
      </c>
      <c r="AC5561">
        <v>112.0378</v>
      </c>
      <c r="AD5561">
        <v>-1.0896417899999999</v>
      </c>
      <c r="AE5561">
        <v>-18.3246</v>
      </c>
      <c r="AF5561">
        <v>19.193777679858201</v>
      </c>
      <c r="AG5561">
        <v>-1.0896417899999999</v>
      </c>
      <c r="AH5561">
        <v>111.88156319079999</v>
      </c>
      <c r="AI5561">
        <v>90.549966092944004</v>
      </c>
      <c r="AJ5561">
        <v>80.265416360515502</v>
      </c>
      <c r="AK5561">
        <v>113.521242958625</v>
      </c>
      <c r="AL5561">
        <v>84.181236187834301</v>
      </c>
      <c r="AM5561">
        <v>85.574964837806604</v>
      </c>
      <c r="AN5561">
        <v>0.99999994533269299</v>
      </c>
    </row>
    <row r="5562" spans="1:40" x14ac:dyDescent="0.25">
      <c r="A5562" t="str">
        <f>"20190312150803977"</f>
        <v>20190312150803977</v>
      </c>
      <c r="B5562" t="str">
        <f>"1552374483965544"</f>
        <v>1552374483965544</v>
      </c>
      <c r="C5562" t="s">
        <v>40</v>
      </c>
      <c r="D5562">
        <v>4.310066</v>
      </c>
      <c r="E5562">
        <v>0.5353734</v>
      </c>
      <c r="F5562" t="s">
        <v>42</v>
      </c>
      <c r="G5562">
        <v>-188.94659999999999</v>
      </c>
      <c r="H5562" s="1">
        <v>-3.852033E-6</v>
      </c>
      <c r="I5562">
        <v>198.1764</v>
      </c>
      <c r="J5562">
        <v>-291.75380000000001</v>
      </c>
      <c r="K5562">
        <v>1.1105719999999999</v>
      </c>
      <c r="L5562">
        <v>215.01740000000001</v>
      </c>
      <c r="M5562">
        <v>0.99988540000000004</v>
      </c>
      <c r="N5562">
        <v>0</v>
      </c>
      <c r="O5562">
        <v>7.8284659999999992E-3</v>
      </c>
      <c r="P5562">
        <v>0.99368400000000001</v>
      </c>
      <c r="Q5562">
        <v>8.8429259999999996E-2</v>
      </c>
      <c r="R5562">
        <v>-6.9084930000000003E-2</v>
      </c>
      <c r="S5562">
        <v>2.9880979999999999</v>
      </c>
      <c r="T5562">
        <v>-3.2202719999999997E-2</v>
      </c>
      <c r="U5562">
        <v>-0.48828129999999997</v>
      </c>
      <c r="V5562">
        <v>7.6852409999999996E-2</v>
      </c>
      <c r="W5562">
        <v>0.1012982</v>
      </c>
      <c r="X5562">
        <v>0.99188330000000002</v>
      </c>
      <c r="Y5562">
        <v>0.168981399999999</v>
      </c>
      <c r="Z5562">
        <v>-9.883607E-4</v>
      </c>
      <c r="AA5562">
        <v>0.98561869999999996</v>
      </c>
      <c r="AB5562">
        <v>33</v>
      </c>
      <c r="AC5562">
        <v>102.80719999999999</v>
      </c>
      <c r="AD5562">
        <v>-1.11057585203299</v>
      </c>
      <c r="AE5562">
        <v>-16.841000000000001</v>
      </c>
      <c r="AF5562">
        <v>17.643369025211999</v>
      </c>
      <c r="AG5562">
        <v>-1.11057585203299</v>
      </c>
      <c r="AH5562">
        <v>102.660532071828</v>
      </c>
      <c r="AI5562">
        <v>90.610843648103994</v>
      </c>
      <c r="AJ5562">
        <v>80.2483393733106</v>
      </c>
      <c r="AK5562">
        <v>104.17152535387901</v>
      </c>
      <c r="AL5562">
        <v>84.186068787792095</v>
      </c>
      <c r="AM5562">
        <v>85.569500177617698</v>
      </c>
      <c r="AN5562">
        <v>1.0000000495324599</v>
      </c>
    </row>
    <row r="5563" spans="1:40" x14ac:dyDescent="0.25">
      <c r="A5563" t="str">
        <f>"20190312150803995"</f>
        <v>20190312150803995</v>
      </c>
      <c r="B5563" t="str">
        <f>"1552374483986040"</f>
        <v>1552374483986040</v>
      </c>
      <c r="C5563" t="s">
        <v>40</v>
      </c>
      <c r="D5563">
        <v>4.3412680000000003</v>
      </c>
      <c r="E5563">
        <v>0.53539040000000004</v>
      </c>
      <c r="F5563" t="s">
        <v>42</v>
      </c>
      <c r="G5563">
        <v>-192.49440000000001</v>
      </c>
      <c r="H5563" s="1">
        <v>-4.4594330000000003E-6</v>
      </c>
      <c r="I5563">
        <v>198.79079999999999</v>
      </c>
      <c r="J5563">
        <v>-291.48669999999998</v>
      </c>
      <c r="K5563">
        <v>1.110589</v>
      </c>
      <c r="L5563">
        <v>215.0196</v>
      </c>
      <c r="M5563">
        <v>0.99988310000000002</v>
      </c>
      <c r="N5563">
        <v>0</v>
      </c>
      <c r="O5563">
        <v>7.8839549999999998E-3</v>
      </c>
      <c r="P5563">
        <v>0.99371010000000004</v>
      </c>
      <c r="Q5563">
        <v>8.7914480000000003E-2</v>
      </c>
      <c r="R5563">
        <v>-6.9364930000000005E-2</v>
      </c>
      <c r="S5563">
        <v>2.9880680000000002</v>
      </c>
      <c r="T5563">
        <v>-3.3432360000000001E-2</v>
      </c>
      <c r="U5563">
        <v>-0.48847960000000001</v>
      </c>
      <c r="V5563">
        <v>7.718738E-2</v>
      </c>
      <c r="W5563">
        <v>0.10093340000000001</v>
      </c>
      <c r="X5563">
        <v>0.99189439999999995</v>
      </c>
      <c r="Y5563">
        <v>0.16910069999999999</v>
      </c>
      <c r="Z5563">
        <v>-1.027383E-3</v>
      </c>
      <c r="AA5563">
        <v>0.98559830000000004</v>
      </c>
      <c r="AB5563">
        <v>33</v>
      </c>
      <c r="AC5563">
        <v>98.992299999999901</v>
      </c>
      <c r="AD5563">
        <v>-1.110593459433</v>
      </c>
      <c r="AE5563">
        <v>-16.2288</v>
      </c>
      <c r="AF5563">
        <v>17.006728823219301</v>
      </c>
      <c r="AG5563">
        <v>-1.110593459433</v>
      </c>
      <c r="AH5563">
        <v>98.849148712927402</v>
      </c>
      <c r="AI5563">
        <v>90.634384756016701</v>
      </c>
      <c r="AJ5563">
        <v>80.237986714548001</v>
      </c>
      <c r="AK5563">
        <v>100.307609105038</v>
      </c>
      <c r="AL5563">
        <v>84.207077514568397</v>
      </c>
      <c r="AM5563">
        <v>85.550316321771007</v>
      </c>
      <c r="AN5563">
        <v>0.99999997180909095</v>
      </c>
    </row>
    <row r="5564" spans="1:40" x14ac:dyDescent="0.25">
      <c r="A5564" t="str">
        <f>"20190312150804017"</f>
        <v>20190312150804017</v>
      </c>
      <c r="B5564" t="str">
        <f>"1552374484005559"</f>
        <v>1552374484005559</v>
      </c>
      <c r="C5564" t="s">
        <v>40</v>
      </c>
      <c r="D5564">
        <v>4.2828650000000001</v>
      </c>
      <c r="E5564">
        <v>0.52939780000000003</v>
      </c>
      <c r="F5564" t="s">
        <v>43</v>
      </c>
      <c r="G5564">
        <v>-197.1645</v>
      </c>
      <c r="H5564">
        <v>-0.05</v>
      </c>
      <c r="I5564">
        <v>199.56620000000001</v>
      </c>
      <c r="J5564">
        <v>-291.17009999999999</v>
      </c>
      <c r="K5564">
        <v>1.110606</v>
      </c>
      <c r="L5564">
        <v>215.0222</v>
      </c>
      <c r="M5564">
        <v>0.99988030000000006</v>
      </c>
      <c r="N5564">
        <v>0</v>
      </c>
      <c r="O5564">
        <v>7.9495319999999901E-3</v>
      </c>
      <c r="P5564">
        <v>0.9937066</v>
      </c>
      <c r="Q5564">
        <v>8.7805930000000004E-2</v>
      </c>
      <c r="R5564">
        <v>-6.9551279999999993E-2</v>
      </c>
      <c r="S5564">
        <v>2.9881289999999998</v>
      </c>
      <c r="T5564">
        <v>-3.6767479999999998E-2</v>
      </c>
      <c r="U5564">
        <v>-0.48956300000000003</v>
      </c>
      <c r="V5564">
        <v>7.7438380000000001E-2</v>
      </c>
      <c r="W5564">
        <v>0.10098790000000001</v>
      </c>
      <c r="X5564">
        <v>0.99186929999999995</v>
      </c>
      <c r="Y5564">
        <v>0.16950789999999999</v>
      </c>
      <c r="Z5564">
        <v>-1.133099E-3</v>
      </c>
      <c r="AA5564">
        <v>0.98552819999999997</v>
      </c>
      <c r="AB5564">
        <v>33</v>
      </c>
      <c r="AC5564">
        <v>94.005600000000001</v>
      </c>
      <c r="AD5564">
        <v>-1.160606</v>
      </c>
      <c r="AE5564">
        <v>-15.4559999999999</v>
      </c>
      <c r="AF5564">
        <v>16.200473508315799</v>
      </c>
      <c r="AG5564">
        <v>-1.160606</v>
      </c>
      <c r="AH5564">
        <v>93.865819191659298</v>
      </c>
      <c r="AI5564">
        <v>90.698079007480203</v>
      </c>
      <c r="AJ5564">
        <v>80.207686980362297</v>
      </c>
      <c r="AK5564">
        <v>95.260665338334405</v>
      </c>
      <c r="AL5564">
        <v>84.203938925051901</v>
      </c>
      <c r="AM5564">
        <v>85.535792602819299</v>
      </c>
      <c r="AN5564">
        <v>0.99999998346296104</v>
      </c>
    </row>
    <row r="5565" spans="1:40" x14ac:dyDescent="0.25">
      <c r="A5565" t="str">
        <f>"20190312150804039"</f>
        <v>20190312150804039</v>
      </c>
      <c r="B5565" t="str">
        <f>"1552374484035816"</f>
        <v>1552374484035816</v>
      </c>
      <c r="C5565" t="s">
        <v>40</v>
      </c>
      <c r="D5565">
        <v>4.2975789999999998</v>
      </c>
      <c r="E5565">
        <v>0.52635290000000001</v>
      </c>
      <c r="F5565" t="s">
        <v>41</v>
      </c>
      <c r="G5565">
        <v>-290.34359999999998</v>
      </c>
      <c r="H5565">
        <v>0.99998969999999998</v>
      </c>
      <c r="I5565">
        <v>214.90100000000001</v>
      </c>
      <c r="J5565">
        <v>-290.834</v>
      </c>
      <c r="K5565">
        <v>1.1106199999999999</v>
      </c>
      <c r="L5565">
        <v>215.0249</v>
      </c>
      <c r="M5565">
        <v>0.99987769999999998</v>
      </c>
      <c r="N5565">
        <v>0</v>
      </c>
      <c r="O5565">
        <v>8.0188940000000004E-3</v>
      </c>
      <c r="P5565">
        <v>0.99370369999999997</v>
      </c>
      <c r="Q5565">
        <v>8.7753499999999998E-2</v>
      </c>
      <c r="R5565">
        <v>-6.9660819999999998E-2</v>
      </c>
      <c r="S5565">
        <v>3.0238040000000002</v>
      </c>
      <c r="T5565">
        <v>-0.4048311</v>
      </c>
      <c r="U5565">
        <v>-0.44233699999999998</v>
      </c>
      <c r="V5565">
        <v>7.7616470000000007E-2</v>
      </c>
      <c r="W5565">
        <v>0.1010904</v>
      </c>
      <c r="X5565">
        <v>0.99184499999999998</v>
      </c>
      <c r="Y5565">
        <v>0.1512829</v>
      </c>
      <c r="Z5565">
        <v>-1.109281E-2</v>
      </c>
      <c r="AA5565">
        <v>0.98842830000000004</v>
      </c>
      <c r="AB5565">
        <v>33</v>
      </c>
      <c r="AC5565">
        <v>0.49040000000002198</v>
      </c>
      <c r="AD5565">
        <v>-0.1106303</v>
      </c>
      <c r="AE5565">
        <v>-0.12390000000001999</v>
      </c>
      <c r="AF5565">
        <v>0.121992924851613</v>
      </c>
      <c r="AG5565">
        <v>-0.1106303</v>
      </c>
      <c r="AH5565">
        <v>0.46704791005452501</v>
      </c>
      <c r="AI5565">
        <v>102.908263225233</v>
      </c>
      <c r="AJ5565">
        <v>75.361400009762505</v>
      </c>
      <c r="AK5565">
        <v>0.49523235685710298</v>
      </c>
      <c r="AL5565">
        <v>84.198036255070804</v>
      </c>
      <c r="AM5565">
        <v>85.525458444762293</v>
      </c>
      <c r="AN5565">
        <v>1.0000000447062001</v>
      </c>
    </row>
    <row r="5566" spans="1:40" x14ac:dyDescent="0.25">
      <c r="A5566" t="str">
        <f>"20190312150804062"</f>
        <v>20190312150804062</v>
      </c>
      <c r="B5566" t="str">
        <f>"1552374484055335"</f>
        <v>1552374484055335</v>
      </c>
      <c r="C5566" t="s">
        <v>40</v>
      </c>
      <c r="D5566">
        <v>4.3260860000000001</v>
      </c>
      <c r="E5566">
        <v>0.52551579999999998</v>
      </c>
      <c r="F5566" t="s">
        <v>41</v>
      </c>
      <c r="G5566">
        <v>-290.11610000000002</v>
      </c>
      <c r="H5566">
        <v>0.85396620000000001</v>
      </c>
      <c r="I5566">
        <v>214.9273</v>
      </c>
      <c r="J5566">
        <v>-290.49829999999997</v>
      </c>
      <c r="K5566">
        <v>1.1106259999999999</v>
      </c>
      <c r="L5566">
        <v>215.02770000000001</v>
      </c>
      <c r="M5566">
        <v>0.99987539999999997</v>
      </c>
      <c r="N5566">
        <v>0</v>
      </c>
      <c r="O5566">
        <v>8.0878210000000002E-3</v>
      </c>
      <c r="P5566">
        <v>0.99367280000000002</v>
      </c>
      <c r="Q5566">
        <v>8.7926630000000006E-2</v>
      </c>
      <c r="R5566">
        <v>-6.9882440000000004E-2</v>
      </c>
      <c r="S5566">
        <v>3.087097</v>
      </c>
      <c r="T5566">
        <v>-1.103629</v>
      </c>
      <c r="U5566">
        <v>-0.41879270000000002</v>
      </c>
      <c r="V5566">
        <v>7.7906409999999995E-2</v>
      </c>
      <c r="W5566">
        <v>0.10140109999999999</v>
      </c>
      <c r="X5566">
        <v>0.99179050000000002</v>
      </c>
      <c r="Y5566">
        <v>0.1337962</v>
      </c>
      <c r="Z5566">
        <v>-2.589371E-2</v>
      </c>
      <c r="AA5566">
        <v>0.99067050000000001</v>
      </c>
      <c r="AB5566">
        <v>33</v>
      </c>
      <c r="AC5566">
        <v>0.38219999999995402</v>
      </c>
      <c r="AD5566">
        <v>-0.25665979999999999</v>
      </c>
      <c r="AE5566">
        <v>-0.100400000000007</v>
      </c>
      <c r="AF5566">
        <v>7.2784354225121195E-2</v>
      </c>
      <c r="AG5566">
        <v>-0.25665979999999999</v>
      </c>
      <c r="AH5566">
        <v>0.26822547893704801</v>
      </c>
      <c r="AI5566">
        <v>132.72200708294901</v>
      </c>
      <c r="AJ5566">
        <v>74.818083047849697</v>
      </c>
      <c r="AK5566">
        <v>0.37830770902403899</v>
      </c>
      <c r="AL5566">
        <v>84.1801422121125</v>
      </c>
      <c r="AM5566">
        <v>85.508566054464694</v>
      </c>
      <c r="AN5566">
        <v>0.99999999384527405</v>
      </c>
    </row>
    <row r="5567" spans="1:40" x14ac:dyDescent="0.25">
      <c r="A5567" t="str">
        <f>"20190312150804085"</f>
        <v>20190312150804085</v>
      </c>
      <c r="B5567" t="str">
        <f>"1552374484075831"</f>
        <v>1552374484075831</v>
      </c>
      <c r="C5567" t="s">
        <v>40</v>
      </c>
      <c r="D5567">
        <v>4.2950109999999997</v>
      </c>
      <c r="E5567">
        <v>0.5250937</v>
      </c>
      <c r="F5567" t="s">
        <v>41</v>
      </c>
      <c r="G5567">
        <v>-289.82089999999999</v>
      </c>
      <c r="H5567">
        <v>0.85492860000000004</v>
      </c>
      <c r="I5567">
        <v>214.93690000000001</v>
      </c>
      <c r="J5567">
        <v>-290.16449999999998</v>
      </c>
      <c r="K5567">
        <v>1.1106339999999999</v>
      </c>
      <c r="L5567">
        <v>215.03039999999999</v>
      </c>
      <c r="M5567">
        <v>0.99987300000000001</v>
      </c>
      <c r="N5567">
        <v>0</v>
      </c>
      <c r="O5567">
        <v>8.1564949999999997E-3</v>
      </c>
      <c r="P5567">
        <v>0.9936952</v>
      </c>
      <c r="Q5567">
        <v>8.7569519999999998E-2</v>
      </c>
      <c r="R5567">
        <v>-7.0009920000000003E-2</v>
      </c>
      <c r="S5567">
        <v>3.093353</v>
      </c>
      <c r="T5567">
        <v>-1.1676040000000001</v>
      </c>
      <c r="U5567">
        <v>-0.41333009999999898</v>
      </c>
      <c r="V5567">
        <v>7.8102099999999994E-2</v>
      </c>
      <c r="W5567">
        <v>0.1011648</v>
      </c>
      <c r="X5567">
        <v>0.99179919999999999</v>
      </c>
      <c r="Y5567">
        <v>0.1310934</v>
      </c>
      <c r="Z5567">
        <v>-2.6786600000000001E-2</v>
      </c>
      <c r="AA5567">
        <v>0.991008</v>
      </c>
      <c r="AB5567">
        <v>33</v>
      </c>
      <c r="AC5567">
        <v>0.34359999999997998</v>
      </c>
      <c r="AD5567">
        <v>-0.25570540000000003</v>
      </c>
      <c r="AE5567">
        <v>-9.3499999999977407E-2</v>
      </c>
      <c r="AF5567">
        <v>6.3537186199876E-2</v>
      </c>
      <c r="AG5567">
        <v>-0.25570540000000003</v>
      </c>
      <c r="AH5567">
        <v>0.22619162308979401</v>
      </c>
      <c r="AI5567">
        <v>137.422731983218</v>
      </c>
      <c r="AJ5567">
        <v>74.309956963500696</v>
      </c>
      <c r="AK5567">
        <v>0.34725333112203999</v>
      </c>
      <c r="AL5567">
        <v>84.193750954475107</v>
      </c>
      <c r="AM5567">
        <v>85.497369870369695</v>
      </c>
      <c r="AN5567">
        <v>0.999999953952044</v>
      </c>
    </row>
    <row r="5568" spans="1:40" x14ac:dyDescent="0.25">
      <c r="A5568" t="str">
        <f>"20190312150804106"</f>
        <v>20190312150804106</v>
      </c>
      <c r="B5568" t="str">
        <f>"1552374484095351"</f>
        <v>1552374484095351</v>
      </c>
      <c r="C5568" t="s">
        <v>40</v>
      </c>
      <c r="D5568">
        <v>4.3536679999999999</v>
      </c>
      <c r="E5568">
        <v>0.52473429999999999</v>
      </c>
      <c r="F5568" t="s">
        <v>41</v>
      </c>
      <c r="G5568">
        <v>-289.26819999999998</v>
      </c>
      <c r="H5568">
        <v>0.76435529999999996</v>
      </c>
      <c r="I5568">
        <v>214.9111</v>
      </c>
      <c r="J5568">
        <v>-289.85520000000002</v>
      </c>
      <c r="K5568">
        <v>1.110641</v>
      </c>
      <c r="L5568">
        <v>215.03309999999999</v>
      </c>
      <c r="M5568">
        <v>0.99987119999999996</v>
      </c>
      <c r="N5568">
        <v>0</v>
      </c>
      <c r="O5568">
        <v>8.2197759999999998E-3</v>
      </c>
      <c r="P5568">
        <v>0.99371880000000001</v>
      </c>
      <c r="Q5568">
        <v>8.7251540000000002E-2</v>
      </c>
      <c r="R5568">
        <v>-7.0072140000000005E-2</v>
      </c>
      <c r="S5568">
        <v>3.095459</v>
      </c>
      <c r="T5568">
        <v>-1.1958569999999999</v>
      </c>
      <c r="U5568">
        <v>-0.41111760000000003</v>
      </c>
      <c r="V5568">
        <v>7.8227399999999905E-2</v>
      </c>
      <c r="W5568">
        <v>0.1009443</v>
      </c>
      <c r="X5568">
        <v>0.99181189999999997</v>
      </c>
      <c r="Y5568">
        <v>0.13000909999999999</v>
      </c>
      <c r="Z5568">
        <v>-2.7198179999999999E-2</v>
      </c>
      <c r="AA5568">
        <v>0.99113969999999996</v>
      </c>
      <c r="AB5568">
        <v>33</v>
      </c>
      <c r="AC5568">
        <v>0.58700000000004504</v>
      </c>
      <c r="AD5568">
        <v>-0.34628569999999897</v>
      </c>
      <c r="AE5568">
        <v>-0.121999999999985</v>
      </c>
      <c r="AF5568">
        <v>9.5096936509970406E-2</v>
      </c>
      <c r="AG5568">
        <v>-0.34628569999999897</v>
      </c>
      <c r="AH5568">
        <v>0.43939482114529799</v>
      </c>
      <c r="AI5568">
        <v>127.605748513905</v>
      </c>
      <c r="AJ5568">
        <v>77.787989952808701</v>
      </c>
      <c r="AK5568">
        <v>0.56747248585933996</v>
      </c>
      <c r="AL5568">
        <v>84.206450305315997</v>
      </c>
      <c r="AM5568">
        <v>85.490233539185795</v>
      </c>
      <c r="AN5568">
        <v>1.00000006139742</v>
      </c>
    </row>
    <row r="5569" spans="1:40" x14ac:dyDescent="0.25">
      <c r="A5569" t="str">
        <f>"20190312150804128"</f>
        <v>20190312150804128</v>
      </c>
      <c r="B5569" t="str">
        <f>"1552374484115847"</f>
        <v>1552374484115847</v>
      </c>
      <c r="C5569" t="s">
        <v>40</v>
      </c>
      <c r="D5569">
        <v>4.3515670000000002</v>
      </c>
      <c r="E5569">
        <v>0.52442919999999904</v>
      </c>
      <c r="F5569" t="s">
        <v>41</v>
      </c>
      <c r="G5569">
        <v>-288.97309999999999</v>
      </c>
      <c r="H5569">
        <v>0.76759429999999995</v>
      </c>
      <c r="I5569">
        <v>214.91650000000001</v>
      </c>
      <c r="J5569">
        <v>-289.52749999999997</v>
      </c>
      <c r="K5569">
        <v>1.1106469999999999</v>
      </c>
      <c r="L5569">
        <v>215.03579999999999</v>
      </c>
      <c r="M5569">
        <v>0.99986940000000002</v>
      </c>
      <c r="N5569">
        <v>0</v>
      </c>
      <c r="O5569">
        <v>8.2866180000000008E-3</v>
      </c>
      <c r="P5569">
        <v>0.99374189999999996</v>
      </c>
      <c r="Q5569">
        <v>8.7179389999999995E-2</v>
      </c>
      <c r="R5569">
        <v>-6.9834859999999999E-2</v>
      </c>
      <c r="S5569">
        <v>3.0958559999999999</v>
      </c>
      <c r="T5569">
        <v>-1.203921</v>
      </c>
      <c r="U5569">
        <v>-0.40892030000000001</v>
      </c>
      <c r="V5569">
        <v>7.805666E-2</v>
      </c>
      <c r="W5569">
        <v>0.10096280000000001</v>
      </c>
      <c r="X5569">
        <v>0.99182340000000002</v>
      </c>
      <c r="Y5569">
        <v>0.1292875</v>
      </c>
      <c r="Z5569">
        <v>-2.7257340000000001E-2</v>
      </c>
      <c r="AA5569">
        <v>0.99123249999999996</v>
      </c>
      <c r="AB5569">
        <v>33</v>
      </c>
      <c r="AC5569">
        <v>0.55439999999998602</v>
      </c>
      <c r="AD5569">
        <v>-0.34305269999999899</v>
      </c>
      <c r="AE5569">
        <v>-0.119299999999981</v>
      </c>
      <c r="AF5569">
        <v>9.0699393323779604E-2</v>
      </c>
      <c r="AG5569">
        <v>-0.34305269999999899</v>
      </c>
      <c r="AH5569">
        <v>0.40513489821055099</v>
      </c>
      <c r="AI5569">
        <v>129.56718215165799</v>
      </c>
      <c r="AJ5569">
        <v>77.381007598354202</v>
      </c>
      <c r="AK5569">
        <v>0.53855902246148002</v>
      </c>
      <c r="AL5569">
        <v>84.205384492542294</v>
      </c>
      <c r="AM5569">
        <v>85.500088096564596</v>
      </c>
      <c r="AN5569">
        <v>0.99999999297087705</v>
      </c>
    </row>
    <row r="5570" spans="1:40" x14ac:dyDescent="0.25">
      <c r="A5570" t="str">
        <f>"20190312150804150"</f>
        <v>20190312150804150</v>
      </c>
      <c r="B5570" t="str">
        <f>"1552374484145131"</f>
        <v>1552374484145131</v>
      </c>
      <c r="C5570" t="s">
        <v>40</v>
      </c>
      <c r="D5570">
        <v>4.3331019999999896</v>
      </c>
      <c r="E5570">
        <v>0.52380479999999996</v>
      </c>
      <c r="F5570" t="s">
        <v>41</v>
      </c>
      <c r="G5570">
        <v>-288.67540000000002</v>
      </c>
      <c r="H5570">
        <v>0.77806149999999996</v>
      </c>
      <c r="I5570">
        <v>214.92359999999999</v>
      </c>
      <c r="J5570">
        <v>-289.19819999999999</v>
      </c>
      <c r="K5570">
        <v>1.1106549999999999</v>
      </c>
      <c r="L5570">
        <v>215.0386</v>
      </c>
      <c r="M5570">
        <v>0.99986779999999997</v>
      </c>
      <c r="N5570">
        <v>0</v>
      </c>
      <c r="O5570">
        <v>8.3534149999999995E-3</v>
      </c>
      <c r="P5570">
        <v>0.9938015</v>
      </c>
      <c r="Q5570">
        <v>8.6437860000000005E-2</v>
      </c>
      <c r="R5570">
        <v>-6.9911609999999999E-2</v>
      </c>
      <c r="S5570">
        <v>3.0963750000000001</v>
      </c>
      <c r="T5570">
        <v>-1.208553</v>
      </c>
      <c r="U5570">
        <v>-0.40635680000000002</v>
      </c>
      <c r="V5570">
        <v>7.8200309999999995E-2</v>
      </c>
      <c r="W5570">
        <v>0.1003014</v>
      </c>
      <c r="X5570">
        <v>0.99187919999999996</v>
      </c>
      <c r="Y5570">
        <v>0.12850549999999999</v>
      </c>
      <c r="Z5570">
        <v>-2.7230629999999999E-2</v>
      </c>
      <c r="AA5570">
        <v>0.99133490000000002</v>
      </c>
      <c r="AB5570">
        <v>33</v>
      </c>
      <c r="AC5570">
        <v>0.52279999999996096</v>
      </c>
      <c r="AD5570">
        <v>-0.33259349999999999</v>
      </c>
      <c r="AE5570">
        <v>-0.115000000000009</v>
      </c>
      <c r="AF5570">
        <v>8.6118277220363804E-2</v>
      </c>
      <c r="AG5570">
        <v>-0.33259349999999999</v>
      </c>
      <c r="AH5570">
        <v>0.37648274525743203</v>
      </c>
      <c r="AI5570">
        <v>130.73437426623499</v>
      </c>
      <c r="AJ5570">
        <v>77.115586467984798</v>
      </c>
      <c r="AK5570">
        <v>0.50968034236198101</v>
      </c>
      <c r="AL5570">
        <v>84.243473331952401</v>
      </c>
      <c r="AM5570">
        <v>85.492093449665504</v>
      </c>
      <c r="AN5570">
        <v>1.0000000033593399</v>
      </c>
    </row>
    <row r="5571" spans="1:40" x14ac:dyDescent="0.25">
      <c r="A5571" t="str">
        <f>"20190312150804174"</f>
        <v>20190312150804174</v>
      </c>
      <c r="B5571" t="str">
        <f>"1552374484165627"</f>
        <v>1552374484165627</v>
      </c>
      <c r="C5571" t="s">
        <v>40</v>
      </c>
      <c r="D5571">
        <v>4.366117</v>
      </c>
      <c r="E5571">
        <v>0.52980550000000004</v>
      </c>
      <c r="F5571" t="s">
        <v>41</v>
      </c>
      <c r="G5571">
        <v>-288.37740000000002</v>
      </c>
      <c r="H5571">
        <v>0.79041619999999901</v>
      </c>
      <c r="I5571">
        <v>214.93180000000001</v>
      </c>
      <c r="J5571">
        <v>-288.85379999999998</v>
      </c>
      <c r="K5571">
        <v>1.110654</v>
      </c>
      <c r="L5571">
        <v>215.04150000000001</v>
      </c>
      <c r="M5571">
        <v>0.99986609999999998</v>
      </c>
      <c r="N5571">
        <v>0</v>
      </c>
      <c r="O5571">
        <v>8.4238969999999996E-3</v>
      </c>
      <c r="P5571">
        <v>0.99380809999999997</v>
      </c>
      <c r="Q5571">
        <v>8.6247459999999998E-2</v>
      </c>
      <c r="R5571">
        <v>-7.0046750000000005E-2</v>
      </c>
      <c r="S5571">
        <v>3.095459</v>
      </c>
      <c r="T5571">
        <v>-1.207654</v>
      </c>
      <c r="U5571">
        <v>-0.40202329999999997</v>
      </c>
      <c r="V5571">
        <v>7.8405669999999997E-2</v>
      </c>
      <c r="W5571">
        <v>0.1001823</v>
      </c>
      <c r="X5571">
        <v>0.99187499999999995</v>
      </c>
      <c r="Y5571">
        <v>0.12733449999999999</v>
      </c>
      <c r="Z5571">
        <v>-2.7028320000000002E-2</v>
      </c>
      <c r="AA5571">
        <v>0.99149149999999997</v>
      </c>
      <c r="AB5571">
        <v>33</v>
      </c>
      <c r="AC5571">
        <v>0.47639999999995503</v>
      </c>
      <c r="AD5571">
        <v>-0.32023780000000002</v>
      </c>
      <c r="AE5571">
        <v>-0.109700000000003</v>
      </c>
      <c r="AF5571">
        <v>7.9567035595149702E-2</v>
      </c>
      <c r="AG5571">
        <v>-0.32023780000000002</v>
      </c>
      <c r="AH5571">
        <v>0.33269697402077297</v>
      </c>
      <c r="AI5571">
        <v>133.11122536101399</v>
      </c>
      <c r="AJ5571">
        <v>76.549908497574506</v>
      </c>
      <c r="AK5571">
        <v>0.46858343784732598</v>
      </c>
      <c r="AL5571">
        <v>84.250331664026206</v>
      </c>
      <c r="AM5571">
        <v>85.480285267531002</v>
      </c>
      <c r="AN5571">
        <v>0.99999997897321902</v>
      </c>
    </row>
    <row r="5572" spans="1:40" x14ac:dyDescent="0.25">
      <c r="A5572" t="str">
        <f>"20190312150804195"</f>
        <v>20190312150804195</v>
      </c>
      <c r="B5572" t="str">
        <f>"1552374484185144"</f>
        <v>1552374484185144</v>
      </c>
      <c r="C5572" t="s">
        <v>40</v>
      </c>
      <c r="D5572">
        <v>4.3385249999999997</v>
      </c>
      <c r="E5572">
        <v>0.53413999999999995</v>
      </c>
      <c r="F5572" t="s">
        <v>41</v>
      </c>
      <c r="G5572">
        <v>-288.06479999999999</v>
      </c>
      <c r="H5572">
        <v>0.83855619999999997</v>
      </c>
      <c r="I5572">
        <v>214.92599999999999</v>
      </c>
      <c r="J5572">
        <v>-288.54109999999997</v>
      </c>
      <c r="K5572">
        <v>1.1106640000000001</v>
      </c>
      <c r="L5572">
        <v>215.04429999999999</v>
      </c>
      <c r="M5572">
        <v>0.99986489999999995</v>
      </c>
      <c r="N5572">
        <v>0</v>
      </c>
      <c r="O5572">
        <v>8.4876309999999903E-3</v>
      </c>
      <c r="P5572">
        <v>0.99381350000000002</v>
      </c>
      <c r="Q5572">
        <v>8.6150630000000006E-2</v>
      </c>
      <c r="R5572">
        <v>-7.0095199999999996E-2</v>
      </c>
      <c r="S5572">
        <v>3.0791019999999998</v>
      </c>
      <c r="T5572">
        <v>-1.0618749999999999</v>
      </c>
      <c r="U5572">
        <v>-0.45019530000000002</v>
      </c>
      <c r="V5572">
        <v>7.8517240000000002E-2</v>
      </c>
      <c r="W5572">
        <v>0.1001411</v>
      </c>
      <c r="X5572">
        <v>0.99187029999999998</v>
      </c>
      <c r="Y5572">
        <v>0.14440629999999999</v>
      </c>
      <c r="Z5572">
        <v>-2.6915020000000001E-2</v>
      </c>
      <c r="AA5572">
        <v>0.98915240000000004</v>
      </c>
      <c r="AB5572">
        <v>33</v>
      </c>
      <c r="AC5572">
        <v>0.47629999999998002</v>
      </c>
      <c r="AD5572">
        <v>-0.27210779999999901</v>
      </c>
      <c r="AE5572">
        <v>-0.118300000000004</v>
      </c>
      <c r="AF5572">
        <v>9.35731212428242E-2</v>
      </c>
      <c r="AG5572">
        <v>-0.27210779999999901</v>
      </c>
      <c r="AH5572">
        <v>0.36352578359130899</v>
      </c>
      <c r="AI5572">
        <v>125.93815072788399</v>
      </c>
      <c r="AJ5572">
        <v>75.565174079903002</v>
      </c>
      <c r="AK5572">
        <v>0.46362655141357001</v>
      </c>
      <c r="AL5572">
        <v>84.252703982113502</v>
      </c>
      <c r="AM5572">
        <v>85.473859132671194</v>
      </c>
      <c r="AN5572">
        <v>0.99999994445425699</v>
      </c>
    </row>
    <row r="5573" spans="1:40" x14ac:dyDescent="0.25">
      <c r="A5573" t="str">
        <f>"20190312150804217"</f>
        <v>20190312150804217</v>
      </c>
      <c r="B5573" t="str">
        <f>"1552374484205534"</f>
        <v>1552374484205534</v>
      </c>
      <c r="C5573" t="s">
        <v>40</v>
      </c>
      <c r="D5573">
        <v>4.3719210000000004</v>
      </c>
      <c r="E5573">
        <v>0.53349230000000003</v>
      </c>
      <c r="F5573" t="s">
        <v>41</v>
      </c>
      <c r="G5573">
        <v>-287.76179999999999</v>
      </c>
      <c r="H5573">
        <v>0.86296070000000002</v>
      </c>
      <c r="I5573">
        <v>214.92099999999999</v>
      </c>
      <c r="J5573">
        <v>-288.21960000000001</v>
      </c>
      <c r="K5573">
        <v>1.110671</v>
      </c>
      <c r="L5573">
        <v>215.0471</v>
      </c>
      <c r="M5573">
        <v>0.99986359999999996</v>
      </c>
      <c r="N5573">
        <v>0</v>
      </c>
      <c r="O5573">
        <v>8.5534310000000002E-3</v>
      </c>
      <c r="P5573">
        <v>0.99382079999999995</v>
      </c>
      <c r="Q5573">
        <v>8.6062849999999996E-2</v>
      </c>
      <c r="R5573">
        <v>-7.0096759999999994E-2</v>
      </c>
      <c r="S5573">
        <v>3.0690309999999998</v>
      </c>
      <c r="T5573">
        <v>-0.97549339999999995</v>
      </c>
      <c r="U5573">
        <v>-0.48535159999999999</v>
      </c>
      <c r="V5573">
        <v>7.8584490000000007E-2</v>
      </c>
      <c r="W5573">
        <v>0.1001031</v>
      </c>
      <c r="X5573">
        <v>0.99186890000000005</v>
      </c>
      <c r="Y5573">
        <v>0.1566921</v>
      </c>
      <c r="Z5573">
        <v>-2.6802280000000001E-2</v>
      </c>
      <c r="AA5573">
        <v>0.98728380000000004</v>
      </c>
      <c r="AB5573">
        <v>33</v>
      </c>
      <c r="AC5573">
        <v>0.45780000000002002</v>
      </c>
      <c r="AD5573">
        <v>-0.247710299999999</v>
      </c>
      <c r="AE5573">
        <v>-0.12610000000000801</v>
      </c>
      <c r="AF5573">
        <v>0.102199896865986</v>
      </c>
      <c r="AG5573">
        <v>-0.247710299999999</v>
      </c>
      <c r="AH5573">
        <v>0.35900781697415202</v>
      </c>
      <c r="AI5573">
        <v>123.56905051631099</v>
      </c>
      <c r="AJ5573">
        <v>74.109768262076997</v>
      </c>
      <c r="AK5573">
        <v>0.44798641083637097</v>
      </c>
      <c r="AL5573">
        <v>84.254892732091506</v>
      </c>
      <c r="AM5573">
        <v>85.469992254837905</v>
      </c>
      <c r="AN5573">
        <v>1.00000003374268</v>
      </c>
    </row>
    <row r="5574" spans="1:40" x14ac:dyDescent="0.25">
      <c r="A5574" t="str">
        <f>"20190312150804240"</f>
        <v>20190312150804240</v>
      </c>
      <c r="B5574" t="str">
        <f>"1552374484235791"</f>
        <v>1552374484235791</v>
      </c>
      <c r="C5574" t="s">
        <v>40</v>
      </c>
      <c r="D5574">
        <v>4.3737659999999998</v>
      </c>
      <c r="E5574">
        <v>0.53279019999999899</v>
      </c>
      <c r="F5574" t="s">
        <v>41</v>
      </c>
      <c r="G5574">
        <v>-287.4665</v>
      </c>
      <c r="H5574">
        <v>0.87108719999999995</v>
      </c>
      <c r="I5574">
        <v>214.9289</v>
      </c>
      <c r="J5574">
        <v>-287.88339999999999</v>
      </c>
      <c r="K5574">
        <v>1.110671</v>
      </c>
      <c r="L5574">
        <v>215.05</v>
      </c>
      <c r="M5574">
        <v>0.99986220000000003</v>
      </c>
      <c r="N5574">
        <v>0</v>
      </c>
      <c r="O5574">
        <v>8.622546E-3</v>
      </c>
      <c r="P5574">
        <v>0.99383869999999996</v>
      </c>
      <c r="Q5574">
        <v>8.5908780000000004E-2</v>
      </c>
      <c r="R5574">
        <v>-7.0031129999999997E-2</v>
      </c>
      <c r="S5574">
        <v>3.0693359999999998</v>
      </c>
      <c r="T5574">
        <v>-0.97640749999999998</v>
      </c>
      <c r="U5574">
        <v>-0.48016360000000002</v>
      </c>
      <c r="V5574">
        <v>7.8587740000000003E-2</v>
      </c>
      <c r="W5574">
        <v>9.9994E-2</v>
      </c>
      <c r="X5574">
        <v>0.99187959999999997</v>
      </c>
      <c r="Y5574">
        <v>0.155171</v>
      </c>
      <c r="Z5574">
        <v>-2.6613540000000002E-2</v>
      </c>
      <c r="AA5574">
        <v>0.98752910000000005</v>
      </c>
      <c r="AB5574">
        <v>33</v>
      </c>
      <c r="AC5574">
        <v>0.41689999999999799</v>
      </c>
      <c r="AD5574">
        <v>-0.23958379999999899</v>
      </c>
      <c r="AE5574">
        <v>-0.121100000000012</v>
      </c>
      <c r="AF5574">
        <v>9.55806848429019E-2</v>
      </c>
      <c r="AG5574">
        <v>-0.23958379999999899</v>
      </c>
      <c r="AH5574">
        <v>0.31875932851546301</v>
      </c>
      <c r="AI5574">
        <v>125.75178930218701</v>
      </c>
      <c r="AJ5574">
        <v>73.308525358055604</v>
      </c>
      <c r="AK5574">
        <v>0.410053135645988</v>
      </c>
      <c r="AL5574">
        <v>84.261174953777996</v>
      </c>
      <c r="AM5574">
        <v>85.469854354706698</v>
      </c>
      <c r="AN5574">
        <v>0.99999998690523295</v>
      </c>
    </row>
    <row r="5575" spans="1:40" x14ac:dyDescent="0.25">
      <c r="A5575" t="str">
        <f>"20190312150804257"</f>
        <v>20190312150804257</v>
      </c>
      <c r="B5575" t="str">
        <f>"1552374484245551"</f>
        <v>1552374484245551</v>
      </c>
      <c r="C5575" t="s">
        <v>40</v>
      </c>
      <c r="D5575">
        <v>4.4022300000000003</v>
      </c>
      <c r="E5575">
        <v>0.53255090000000005</v>
      </c>
      <c r="F5575" t="s">
        <v>41</v>
      </c>
      <c r="G5575">
        <v>-287.17</v>
      </c>
      <c r="H5575">
        <v>0.88292459999999995</v>
      </c>
      <c r="I5575">
        <v>214.93960000000001</v>
      </c>
      <c r="J5575">
        <v>-287.64819999999997</v>
      </c>
      <c r="K5575">
        <v>1.1106750000000001</v>
      </c>
      <c r="L5575">
        <v>215.0521</v>
      </c>
      <c r="M5575">
        <v>0.99986149999999996</v>
      </c>
      <c r="N5575">
        <v>0</v>
      </c>
      <c r="O5575">
        <v>8.670568E-3</v>
      </c>
      <c r="P5575">
        <v>0.99386220000000003</v>
      </c>
      <c r="Q5575">
        <v>8.5580649999999994E-2</v>
      </c>
      <c r="R5575">
        <v>-7.0101759999999999E-2</v>
      </c>
      <c r="S5575">
        <v>3.0698240000000001</v>
      </c>
      <c r="T5575">
        <v>-0.98003949999999995</v>
      </c>
      <c r="U5575">
        <v>-0.4752808</v>
      </c>
      <c r="V5575">
        <v>7.8706230000000002E-2</v>
      </c>
      <c r="W5575">
        <v>9.9693190000000001E-2</v>
      </c>
      <c r="X5575">
        <v>0.99190049999999996</v>
      </c>
      <c r="Y5575">
        <v>0.1536737</v>
      </c>
      <c r="Z5575">
        <v>-2.6489889999999999E-2</v>
      </c>
      <c r="AA5575">
        <v>0.98776649999999999</v>
      </c>
      <c r="AB5575">
        <v>33</v>
      </c>
      <c r="AC5575">
        <v>0.47819999999995799</v>
      </c>
      <c r="AD5575">
        <v>-0.22775039999999999</v>
      </c>
      <c r="AE5575">
        <v>-0.112499999999982</v>
      </c>
      <c r="AF5575">
        <v>9.6007267227228396E-2</v>
      </c>
      <c r="AG5575">
        <v>-0.22775039999999999</v>
      </c>
      <c r="AH5575">
        <v>0.39278400521106799</v>
      </c>
      <c r="AI5575">
        <v>119.390583367106</v>
      </c>
      <c r="AJ5575">
        <v>76.264640260832195</v>
      </c>
      <c r="AK5575">
        <v>0.46407641052982701</v>
      </c>
      <c r="AL5575">
        <v>84.278496740124496</v>
      </c>
      <c r="AM5575">
        <v>85.463147757801906</v>
      </c>
      <c r="AN5575">
        <v>1.0000000023367099</v>
      </c>
    </row>
    <row r="5576" spans="1:40" x14ac:dyDescent="0.25">
      <c r="A5576" t="str">
        <f>"20190312150804274"</f>
        <v>20190312150804274</v>
      </c>
      <c r="B5576" t="str">
        <f>"1552374484266047"</f>
        <v>1552374484266047</v>
      </c>
      <c r="C5576" t="s">
        <v>40</v>
      </c>
      <c r="D5576">
        <v>4.3876780000000002</v>
      </c>
      <c r="E5576">
        <v>0.53243809999999903</v>
      </c>
      <c r="F5576" t="s">
        <v>41</v>
      </c>
      <c r="G5576">
        <v>-286.88499999999999</v>
      </c>
      <c r="H5576">
        <v>0.86701099999999998</v>
      </c>
      <c r="I5576">
        <v>214.934</v>
      </c>
      <c r="J5576">
        <v>-287.392</v>
      </c>
      <c r="K5576">
        <v>1.1106780000000001</v>
      </c>
      <c r="L5576">
        <v>215.05439999999999</v>
      </c>
      <c r="M5576">
        <v>0.99986079999999999</v>
      </c>
      <c r="N5576">
        <v>0</v>
      </c>
      <c r="O5576">
        <v>8.7230659999999998E-3</v>
      </c>
      <c r="P5576">
        <v>0.99392499999999995</v>
      </c>
      <c r="Q5576">
        <v>8.5142540000000003E-2</v>
      </c>
      <c r="R5576">
        <v>-6.974313E-2</v>
      </c>
      <c r="S5576">
        <v>3.0695190000000001</v>
      </c>
      <c r="T5576">
        <v>-0.97993790000000003</v>
      </c>
      <c r="U5576">
        <v>-0.47390749999999998</v>
      </c>
      <c r="V5576">
        <v>7.8400529999999996E-2</v>
      </c>
      <c r="W5576">
        <v>9.9281830000000001E-2</v>
      </c>
      <c r="X5576">
        <v>0.99196589999999996</v>
      </c>
      <c r="Y5576">
        <v>0.1533226</v>
      </c>
      <c r="Z5576">
        <v>-2.6452489999999999E-2</v>
      </c>
      <c r="AA5576">
        <v>0.98782210000000004</v>
      </c>
      <c r="AB5576">
        <v>33</v>
      </c>
      <c r="AC5576">
        <v>0.507000000000005</v>
      </c>
      <c r="AD5576">
        <v>-0.24366699999999999</v>
      </c>
      <c r="AE5576">
        <v>-0.12039999999996</v>
      </c>
      <c r="AF5576">
        <v>0.102423470989129</v>
      </c>
      <c r="AG5576">
        <v>-0.24366699999999999</v>
      </c>
      <c r="AH5576">
        <v>0.41515607362935297</v>
      </c>
      <c r="AI5576">
        <v>119.676338644469</v>
      </c>
      <c r="AJ5576">
        <v>76.141266988659297</v>
      </c>
      <c r="AK5576">
        <v>0.49215723074013801</v>
      </c>
      <c r="AL5576">
        <v>84.302183066061005</v>
      </c>
      <c r="AM5576">
        <v>85.480992763669704</v>
      </c>
      <c r="AN5576">
        <v>0.99999993581761704</v>
      </c>
    </row>
    <row r="5577" spans="1:40" x14ac:dyDescent="0.25">
      <c r="A5577" t="str">
        <f>"20190312150804297"</f>
        <v>20190312150804297</v>
      </c>
      <c r="B5577" t="str">
        <f>"1552374484285566"</f>
        <v>1552374484285566</v>
      </c>
      <c r="C5577" t="s">
        <v>40</v>
      </c>
      <c r="D5577">
        <v>4.3667290000000003</v>
      </c>
      <c r="E5577">
        <v>0.53242449999999997</v>
      </c>
      <c r="F5577" t="s">
        <v>41</v>
      </c>
      <c r="G5577">
        <v>-286.59789999999998</v>
      </c>
      <c r="H5577">
        <v>0.85716919999999996</v>
      </c>
      <c r="I5577">
        <v>214.93209999999999</v>
      </c>
      <c r="J5577">
        <v>-287.0684</v>
      </c>
      <c r="K5577">
        <v>1.110687</v>
      </c>
      <c r="L5577">
        <v>215.0573</v>
      </c>
      <c r="M5577">
        <v>0.99985970000000002</v>
      </c>
      <c r="N5577">
        <v>0</v>
      </c>
      <c r="O5577">
        <v>8.7894919999999994E-3</v>
      </c>
      <c r="P5577">
        <v>0.99391450000000003</v>
      </c>
      <c r="Q5577">
        <v>8.516936E-2</v>
      </c>
      <c r="R5577">
        <v>-6.9861380000000001E-2</v>
      </c>
      <c r="S5577">
        <v>3.0691220000000001</v>
      </c>
      <c r="T5577">
        <v>-0.97975000000000001</v>
      </c>
      <c r="U5577">
        <v>-0.47218320000000003</v>
      </c>
      <c r="V5577">
        <v>7.8584360000000006E-2</v>
      </c>
      <c r="W5577">
        <v>9.9337339999999996E-2</v>
      </c>
      <c r="X5577">
        <v>0.99194590000000005</v>
      </c>
      <c r="Y5577">
        <v>0.15288360000000001</v>
      </c>
      <c r="Z5577">
        <v>-2.6404509999999999E-2</v>
      </c>
      <c r="AA5577">
        <v>0.98789139999999998</v>
      </c>
      <c r="AB5577">
        <v>33</v>
      </c>
      <c r="AC5577">
        <v>0.47050000000001502</v>
      </c>
      <c r="AD5577">
        <v>-0.25351780000000002</v>
      </c>
      <c r="AE5577">
        <v>-0.125200000000006</v>
      </c>
      <c r="AF5577">
        <v>0.10174453471059799</v>
      </c>
      <c r="AG5577">
        <v>-0.25351780000000002</v>
      </c>
      <c r="AH5577">
        <v>0.369261537958883</v>
      </c>
      <c r="AI5577">
        <v>123.500094860084</v>
      </c>
      <c r="AJ5577">
        <v>74.595246377413204</v>
      </c>
      <c r="AK5577">
        <v>0.45932266292452401</v>
      </c>
      <c r="AL5577">
        <v>84.298987364685303</v>
      </c>
      <c r="AM5577">
        <v>85.470349896273007</v>
      </c>
      <c r="AN5577">
        <v>1.0000000386408401</v>
      </c>
    </row>
    <row r="5578" spans="1:40" x14ac:dyDescent="0.25">
      <c r="A5578" t="str">
        <f>"20190312150804317"</f>
        <v>20190312150804317</v>
      </c>
      <c r="B5578" t="str">
        <f>"1552374484306063"</f>
        <v>1552374484306063</v>
      </c>
      <c r="C5578" t="s">
        <v>40</v>
      </c>
      <c r="D5578">
        <v>4.3112849999999998</v>
      </c>
      <c r="E5578">
        <v>0.53265830000000003</v>
      </c>
      <c r="F5578" t="s">
        <v>41</v>
      </c>
      <c r="G5578">
        <v>-286.30369999999999</v>
      </c>
      <c r="H5578">
        <v>0.86575440000000004</v>
      </c>
      <c r="I5578">
        <v>214.93960000000001</v>
      </c>
      <c r="J5578">
        <v>-286.75670000000002</v>
      </c>
      <c r="K5578">
        <v>1.1106929999999999</v>
      </c>
      <c r="L5578">
        <v>215.06010000000001</v>
      </c>
      <c r="M5578">
        <v>0.99985880000000005</v>
      </c>
      <c r="N5578">
        <v>0</v>
      </c>
      <c r="O5578">
        <v>8.853273E-3</v>
      </c>
      <c r="P5578">
        <v>0.99387389999999998</v>
      </c>
      <c r="Q5578">
        <v>8.5675810000000005E-2</v>
      </c>
      <c r="R5578">
        <v>-6.981714E-2</v>
      </c>
      <c r="S5578">
        <v>3.069458</v>
      </c>
      <c r="T5578">
        <v>-0.98314860000000004</v>
      </c>
      <c r="U5578">
        <v>-0.47172550000000002</v>
      </c>
      <c r="V5578">
        <v>7.8603300000000001E-2</v>
      </c>
      <c r="W5578">
        <v>9.9866830000000004E-2</v>
      </c>
      <c r="X5578">
        <v>0.99189119999999997</v>
      </c>
      <c r="Y5578">
        <v>0.1527385</v>
      </c>
      <c r="Z5578">
        <v>-2.6486639999999999E-2</v>
      </c>
      <c r="AA5578">
        <v>0.9879116</v>
      </c>
      <c r="AB5578">
        <v>33</v>
      </c>
      <c r="AC5578">
        <v>0.45300000000003099</v>
      </c>
      <c r="AD5578">
        <v>-0.24493859999999901</v>
      </c>
      <c r="AE5578">
        <v>-0.120499999999992</v>
      </c>
      <c r="AF5578">
        <v>9.7802267825141301E-2</v>
      </c>
      <c r="AG5578">
        <v>-0.24493859999999901</v>
      </c>
      <c r="AH5578">
        <v>0.354989037733069</v>
      </c>
      <c r="AI5578">
        <v>123.63204380737</v>
      </c>
      <c r="AJ5578">
        <v>74.596700210870495</v>
      </c>
      <c r="AK5578">
        <v>0.44224135748745902</v>
      </c>
      <c r="AL5578">
        <v>84.268498032606303</v>
      </c>
      <c r="AM5578">
        <v>85.469013910994093</v>
      </c>
      <c r="AN5578">
        <v>1.00000000757128</v>
      </c>
    </row>
    <row r="5579" spans="1:40" x14ac:dyDescent="0.25">
      <c r="A5579" t="str">
        <f>"20190312150804341"</f>
        <v>20190312150804341</v>
      </c>
      <c r="B5579" t="str">
        <f>"1552374484335343"</f>
        <v>1552374484335343</v>
      </c>
      <c r="C5579" t="s">
        <v>40</v>
      </c>
      <c r="D5579">
        <v>4.3697369999999998</v>
      </c>
      <c r="E5579">
        <v>0.53297589999999995</v>
      </c>
      <c r="F5579" t="s">
        <v>41</v>
      </c>
      <c r="G5579">
        <v>-286.01089999999999</v>
      </c>
      <c r="H5579">
        <v>0.87174200000000002</v>
      </c>
      <c r="I5579">
        <v>214.94470000000001</v>
      </c>
      <c r="J5579">
        <v>-286.42399999999998</v>
      </c>
      <c r="K5579">
        <v>1.110698</v>
      </c>
      <c r="L5579">
        <v>215.06309999999999</v>
      </c>
      <c r="M5579">
        <v>0.99985800000000002</v>
      </c>
      <c r="N5579">
        <v>0</v>
      </c>
      <c r="O5579">
        <v>8.9212419999999994E-3</v>
      </c>
      <c r="P5579">
        <v>0.99382709999999996</v>
      </c>
      <c r="Q5579">
        <v>8.6379780000000003E-2</v>
      </c>
      <c r="R5579">
        <v>-6.9619940000000005E-2</v>
      </c>
      <c r="S5579">
        <v>3.0699770000000002</v>
      </c>
      <c r="T5579">
        <v>-0.98351909999999998</v>
      </c>
      <c r="U5579">
        <v>-0.47430420000000001</v>
      </c>
      <c r="V5579">
        <v>7.8473020000000004E-2</v>
      </c>
      <c r="W5579">
        <v>0.10059079999999999</v>
      </c>
      <c r="X5579">
        <v>0.9918283</v>
      </c>
      <c r="Y5579">
        <v>0.15354619999999999</v>
      </c>
      <c r="Z5579">
        <v>-2.6637020000000001E-2</v>
      </c>
      <c r="AA5579">
        <v>0.98778239999999995</v>
      </c>
      <c r="AB5579">
        <v>33</v>
      </c>
      <c r="AC5579">
        <v>0.41310000000004199</v>
      </c>
      <c r="AD5579">
        <v>-0.238955999999999</v>
      </c>
      <c r="AE5579">
        <v>-0.11839999999997899</v>
      </c>
      <c r="AF5579">
        <v>9.3248588910122096E-2</v>
      </c>
      <c r="AG5579">
        <v>-0.238955999999999</v>
      </c>
      <c r="AH5579">
        <v>0.31471681465260098</v>
      </c>
      <c r="AI5579">
        <v>126.05424772679601</v>
      </c>
      <c r="AJ5579">
        <v>73.495778809784994</v>
      </c>
      <c r="AK5579">
        <v>0.40600731852370398</v>
      </c>
      <c r="AL5579">
        <v>84.226807339294893</v>
      </c>
      <c r="AM5579">
        <v>85.476206858576504</v>
      </c>
      <c r="AN5579">
        <v>0.99999995029672295</v>
      </c>
    </row>
    <row r="5580" spans="1:40" x14ac:dyDescent="0.25">
      <c r="A5580" t="str">
        <f>"20190312150804363"</f>
        <v>20190312150804363</v>
      </c>
      <c r="B5580" t="str">
        <f>"1552374484355839"</f>
        <v>1552374484355839</v>
      </c>
      <c r="C5580" t="s">
        <v>40</v>
      </c>
      <c r="D5580">
        <v>4.4722299999999997</v>
      </c>
      <c r="E5580">
        <v>0.51927959999999995</v>
      </c>
      <c r="F5580" t="s">
        <v>41</v>
      </c>
      <c r="G5580">
        <v>-285.71589999999998</v>
      </c>
      <c r="H5580">
        <v>0.8837564</v>
      </c>
      <c r="I5580">
        <v>214.953</v>
      </c>
      <c r="J5580">
        <v>-286.09190000000001</v>
      </c>
      <c r="K5580">
        <v>1.110706</v>
      </c>
      <c r="L5580">
        <v>215.06610000000001</v>
      </c>
      <c r="M5580">
        <v>0.99985710000000005</v>
      </c>
      <c r="N5580">
        <v>0</v>
      </c>
      <c r="O5580">
        <v>8.9894139999999994E-3</v>
      </c>
      <c r="P5580">
        <v>0.99378</v>
      </c>
      <c r="Q5580">
        <v>8.6578550000000004E-2</v>
      </c>
      <c r="R5580">
        <v>-7.0041129999999993E-2</v>
      </c>
      <c r="S5580">
        <v>3.0708310000000001</v>
      </c>
      <c r="T5580">
        <v>-0.98434410000000006</v>
      </c>
      <c r="U5580">
        <v>-0.47596739999999998</v>
      </c>
      <c r="V5580">
        <v>7.8961729999999994E-2</v>
      </c>
      <c r="W5580">
        <v>0.1008072</v>
      </c>
      <c r="X5580">
        <v>0.99176759999999997</v>
      </c>
      <c r="Y5580">
        <v>0.154058</v>
      </c>
      <c r="Z5580">
        <v>-2.6751110000000002E-2</v>
      </c>
      <c r="AA5580">
        <v>0.98769960000000001</v>
      </c>
      <c r="AB5580">
        <v>32</v>
      </c>
      <c r="AC5580">
        <v>0.37600000000003297</v>
      </c>
      <c r="AD5580">
        <v>-0.2269496</v>
      </c>
      <c r="AE5580">
        <v>-0.113100000000002</v>
      </c>
      <c r="AF5580">
        <v>8.73071874735004E-2</v>
      </c>
      <c r="AG5580">
        <v>-0.2269496</v>
      </c>
      <c r="AH5580">
        <v>0.28106613191779301</v>
      </c>
      <c r="AI5580">
        <v>127.636316395706</v>
      </c>
      <c r="AJ5580">
        <v>72.743709658087695</v>
      </c>
      <c r="AK5580">
        <v>0.37165418931571798</v>
      </c>
      <c r="AL5580">
        <v>84.214345529127698</v>
      </c>
      <c r="AM5580">
        <v>85.447874434840102</v>
      </c>
      <c r="AN5580">
        <v>1.0000000093930901</v>
      </c>
    </row>
    <row r="5581" spans="1:40" x14ac:dyDescent="0.25">
      <c r="A5581" t="str">
        <f>"20190312150804385"</f>
        <v>20190312150804385</v>
      </c>
      <c r="B5581" t="str">
        <f>"1552374484375364"</f>
        <v>1552374484375364</v>
      </c>
      <c r="C5581" t="s">
        <v>40</v>
      </c>
      <c r="D5581">
        <v>4.6539349999999997</v>
      </c>
      <c r="E5581">
        <v>0.51364489999999996</v>
      </c>
      <c r="F5581" t="s">
        <v>41</v>
      </c>
      <c r="G5581">
        <v>-285.39490000000001</v>
      </c>
      <c r="H5581">
        <v>0.95442210000000005</v>
      </c>
      <c r="I5581">
        <v>214.98240000000001</v>
      </c>
      <c r="J5581">
        <v>-285.78120000000001</v>
      </c>
      <c r="K5581">
        <v>1.110708</v>
      </c>
      <c r="L5581">
        <v>215.06899999999999</v>
      </c>
      <c r="M5581">
        <v>0.99985619999999997</v>
      </c>
      <c r="N5581">
        <v>0</v>
      </c>
      <c r="O5581">
        <v>9.0532640000000001E-3</v>
      </c>
      <c r="P5581">
        <v>0.99378069999999996</v>
      </c>
      <c r="Q5581">
        <v>8.6276480000000003E-2</v>
      </c>
      <c r="R5581">
        <v>-7.0402389999999995E-2</v>
      </c>
      <c r="S5581">
        <v>3.0525509999999998</v>
      </c>
      <c r="T5581">
        <v>-0.68448769999999903</v>
      </c>
      <c r="U5581">
        <v>-0.36640929999999999</v>
      </c>
      <c r="V5581">
        <v>7.9386399999999996E-2</v>
      </c>
      <c r="W5581">
        <v>0.1005187</v>
      </c>
      <c r="X5581">
        <v>0.99176299999999995</v>
      </c>
      <c r="Y5581">
        <v>0.12488290000000001</v>
      </c>
      <c r="Z5581">
        <v>-1.5780840000000001E-2</v>
      </c>
      <c r="AA5581">
        <v>0.99204599999999998</v>
      </c>
      <c r="AB5581">
        <v>32</v>
      </c>
      <c r="AC5581">
        <v>0.38630000000000497</v>
      </c>
      <c r="AD5581">
        <v>-0.15628590000000001</v>
      </c>
      <c r="AE5581">
        <v>-8.6600000000004201E-2</v>
      </c>
      <c r="AF5581">
        <v>7.79464581753367E-2</v>
      </c>
      <c r="AG5581">
        <v>-0.15628590000000001</v>
      </c>
      <c r="AH5581">
        <v>0.33352206206249801</v>
      </c>
      <c r="AI5581">
        <v>114.52706302257501</v>
      </c>
      <c r="AJ5581">
        <v>76.845672424867203</v>
      </c>
      <c r="AK5581">
        <v>0.37648094077032701</v>
      </c>
      <c r="AL5581">
        <v>84.230959864649293</v>
      </c>
      <c r="AM5581">
        <v>85.423474892456397</v>
      </c>
      <c r="AN5581">
        <v>1.00000002886182</v>
      </c>
    </row>
    <row r="5582" spans="1:40" x14ac:dyDescent="0.25">
      <c r="A5582" t="str">
        <f>"20190312150804406"</f>
        <v>20190312150804406</v>
      </c>
      <c r="B5582" t="str">
        <f>"1552374484395855"</f>
        <v>1552374484395855</v>
      </c>
      <c r="C5582" t="s">
        <v>40</v>
      </c>
      <c r="D5582">
        <v>4.4668510000000001</v>
      </c>
      <c r="E5582">
        <v>0.50950090000000003</v>
      </c>
      <c r="F5582" t="s">
        <v>41</v>
      </c>
      <c r="G5582">
        <v>-284.8066</v>
      </c>
      <c r="H5582">
        <v>0.97327889999999995</v>
      </c>
      <c r="I5582">
        <v>214.96539999999999</v>
      </c>
      <c r="J5582">
        <v>-285.46749999999997</v>
      </c>
      <c r="K5582">
        <v>1.1107089999999999</v>
      </c>
      <c r="L5582">
        <v>215.0719</v>
      </c>
      <c r="M5582">
        <v>0.99985550000000001</v>
      </c>
      <c r="N5582">
        <v>0</v>
      </c>
      <c r="O5582">
        <v>9.1177859999999993E-3</v>
      </c>
      <c r="P5582">
        <v>0.99380710000000005</v>
      </c>
      <c r="Q5582">
        <v>8.5717100000000004E-2</v>
      </c>
      <c r="R5582">
        <v>-7.0711280000000001E-2</v>
      </c>
      <c r="S5582">
        <v>3.0330810000000001</v>
      </c>
      <c r="T5582">
        <v>-0.42773309999999998</v>
      </c>
      <c r="U5582">
        <v>-0.322052</v>
      </c>
      <c r="V5582">
        <v>7.9759730000000001E-2</v>
      </c>
      <c r="W5582">
        <v>9.9971210000000005E-2</v>
      </c>
      <c r="X5582">
        <v>0.99178829999999996</v>
      </c>
      <c r="Y5582">
        <v>0.11345</v>
      </c>
      <c r="Z5582">
        <v>-9.2143669999999993E-3</v>
      </c>
      <c r="AA5582">
        <v>0.99350090000000002</v>
      </c>
      <c r="AB5582">
        <v>32</v>
      </c>
      <c r="AC5582">
        <v>0.66089999999996896</v>
      </c>
      <c r="AD5582">
        <v>-0.137430099999999</v>
      </c>
      <c r="AE5582">
        <v>-0.106500000000011</v>
      </c>
      <c r="AF5582">
        <v>0.10797154420657799</v>
      </c>
      <c r="AG5582">
        <v>-0.137430099999999</v>
      </c>
      <c r="AH5582">
        <v>0.63321380654360704</v>
      </c>
      <c r="AI5582">
        <v>102.076249430719</v>
      </c>
      <c r="AJ5582">
        <v>80.323358448747399</v>
      </c>
      <c r="AK5582">
        <v>0.65689010613785903</v>
      </c>
      <c r="AL5582">
        <v>84.262487057500394</v>
      </c>
      <c r="AM5582">
        <v>85.402161748081795</v>
      </c>
      <c r="AN5582">
        <v>0.99999994468771103</v>
      </c>
    </row>
    <row r="5583" spans="1:40" x14ac:dyDescent="0.25">
      <c r="A5583" t="str">
        <f>"20190312150804430"</f>
        <v>20190312150804430</v>
      </c>
      <c r="B5583" t="str">
        <f>"1552374484426111"</f>
        <v>1552374484426111</v>
      </c>
      <c r="C5583" t="s">
        <v>40</v>
      </c>
      <c r="D5583">
        <v>4.4827879999999896</v>
      </c>
      <c r="E5583">
        <v>0.5070308</v>
      </c>
      <c r="F5583" t="s">
        <v>41</v>
      </c>
      <c r="G5583">
        <v>-284.5009</v>
      </c>
      <c r="H5583">
        <v>1.0083500000000001</v>
      </c>
      <c r="I5583">
        <v>214.97890000000001</v>
      </c>
      <c r="J5583">
        <v>-285.14109999999999</v>
      </c>
      <c r="K5583">
        <v>1.110711</v>
      </c>
      <c r="L5583">
        <v>215.07499999999999</v>
      </c>
      <c r="M5583">
        <v>0.99985469999999999</v>
      </c>
      <c r="N5583">
        <v>0</v>
      </c>
      <c r="O5583">
        <v>9.1848220000000005E-3</v>
      </c>
      <c r="P5583">
        <v>0.99377499999999996</v>
      </c>
      <c r="Q5583">
        <v>8.5479929999999996E-2</v>
      </c>
      <c r="R5583">
        <v>-7.1446499999999996E-2</v>
      </c>
      <c r="S5583">
        <v>3.0256959999999999</v>
      </c>
      <c r="T5583">
        <v>-0.3205307</v>
      </c>
      <c r="U5583">
        <v>-0.290329</v>
      </c>
      <c r="V5583">
        <v>8.0561320000000006E-2</v>
      </c>
      <c r="W5583">
        <v>9.9743479999999995E-2</v>
      </c>
      <c r="X5583">
        <v>0.99174649999999998</v>
      </c>
      <c r="Y5583">
        <v>0.1040276</v>
      </c>
      <c r="Z5583">
        <v>-6.4505669999999999E-3</v>
      </c>
      <c r="AA5583">
        <v>0.99455349999999998</v>
      </c>
      <c r="AB5583">
        <v>32</v>
      </c>
      <c r="AC5583">
        <v>0.640199999999992</v>
      </c>
      <c r="AD5583">
        <v>-0.10236099999999899</v>
      </c>
      <c r="AE5583">
        <v>-9.6099999999978494E-2</v>
      </c>
      <c r="AF5583">
        <v>9.9489324794600403E-2</v>
      </c>
      <c r="AG5583">
        <v>-0.10236099999999899</v>
      </c>
      <c r="AH5583">
        <v>0.62369707678568498</v>
      </c>
      <c r="AI5583">
        <v>99.205921995888403</v>
      </c>
      <c r="AJ5583">
        <v>80.936794368166602</v>
      </c>
      <c r="AK5583">
        <v>0.63982336911064297</v>
      </c>
      <c r="AL5583">
        <v>84.275600912210393</v>
      </c>
      <c r="AM5583">
        <v>85.355959433403498</v>
      </c>
      <c r="AN5583">
        <v>1.0000000041724499</v>
      </c>
    </row>
    <row r="5584" spans="1:40" x14ac:dyDescent="0.25">
      <c r="A5584" t="str">
        <f>"20190312150804452"</f>
        <v>20190312150804452</v>
      </c>
      <c r="B5584" t="str">
        <f>"1552374484445631"</f>
        <v>1552374484445631</v>
      </c>
      <c r="C5584" t="s">
        <v>40</v>
      </c>
      <c r="D5584">
        <v>4.5034660000000004</v>
      </c>
      <c r="E5584">
        <v>0.50637189999999999</v>
      </c>
      <c r="F5584" t="s">
        <v>41</v>
      </c>
      <c r="G5584">
        <v>-284.20179999999999</v>
      </c>
      <c r="H5584">
        <v>1.0304489999999999</v>
      </c>
      <c r="I5584">
        <v>214.99019999999999</v>
      </c>
      <c r="J5584">
        <v>-284.81529999999998</v>
      </c>
      <c r="K5584">
        <v>1.1107129999999901</v>
      </c>
      <c r="L5584">
        <v>215.078</v>
      </c>
      <c r="M5584">
        <v>0.99985400000000002</v>
      </c>
      <c r="N5584">
        <v>0</v>
      </c>
      <c r="O5584">
        <v>9.2518719999999995E-3</v>
      </c>
      <c r="P5584">
        <v>0.99374010000000002</v>
      </c>
      <c r="Q5584">
        <v>8.5618020000000003E-2</v>
      </c>
      <c r="R5584">
        <v>-7.1767899999999996E-2</v>
      </c>
      <c r="S5584">
        <v>3.0213930000000002</v>
      </c>
      <c r="T5584">
        <v>-0.25818839999999998</v>
      </c>
      <c r="U5584">
        <v>-0.27256770000000002</v>
      </c>
      <c r="V5584">
        <v>8.0948820000000005E-2</v>
      </c>
      <c r="W5584">
        <v>9.9889140000000001E-2</v>
      </c>
      <c r="X5584">
        <v>0.99170029999999998</v>
      </c>
      <c r="Y5584">
        <v>9.8669080000000006E-2</v>
      </c>
      <c r="Z5584">
        <v>-4.9873870000000002E-3</v>
      </c>
      <c r="AA5584">
        <v>0.99510779999999999</v>
      </c>
      <c r="AB5584">
        <v>32</v>
      </c>
      <c r="AC5584">
        <v>0.61349999999998694</v>
      </c>
      <c r="AD5584">
        <v>-8.0263999999999794E-2</v>
      </c>
      <c r="AE5584">
        <v>-8.7800000000015602E-2</v>
      </c>
      <c r="AF5584">
        <v>9.1930905630237203E-2</v>
      </c>
      <c r="AG5584">
        <v>-8.0263999999999794E-2</v>
      </c>
      <c r="AH5584">
        <v>0.60255476648496498</v>
      </c>
      <c r="AI5584">
        <v>97.501682362392103</v>
      </c>
      <c r="AJ5584">
        <v>81.325360354774801</v>
      </c>
      <c r="AK5584">
        <v>0.61478927098620195</v>
      </c>
      <c r="AL5584">
        <v>84.267213402115402</v>
      </c>
      <c r="AM5584">
        <v>85.333503578434801</v>
      </c>
      <c r="AN5584">
        <v>1.00000001838471</v>
      </c>
    </row>
    <row r="5585" spans="1:40" x14ac:dyDescent="0.25">
      <c r="A5585" t="str">
        <f>"20190312150804475"</f>
        <v>20190312150804475</v>
      </c>
      <c r="B5585" t="str">
        <f>"1552374484466127"</f>
        <v>1552374484466127</v>
      </c>
      <c r="C5585" t="s">
        <v>40</v>
      </c>
      <c r="D5585">
        <v>4.7509160000000001</v>
      </c>
      <c r="E5585">
        <v>0.50600480000000003</v>
      </c>
      <c r="F5585" t="s">
        <v>41</v>
      </c>
      <c r="G5585">
        <v>-283.90899999999999</v>
      </c>
      <c r="H5585">
        <v>1.0401100000000001</v>
      </c>
      <c r="I5585">
        <v>214.9973</v>
      </c>
      <c r="J5585">
        <v>-284.48</v>
      </c>
      <c r="K5585">
        <v>1.1107199999999999</v>
      </c>
      <c r="L5585">
        <v>215.0812</v>
      </c>
      <c r="M5585">
        <v>0.99985329999999994</v>
      </c>
      <c r="N5585">
        <v>0</v>
      </c>
      <c r="O5585">
        <v>9.3207819999999997E-3</v>
      </c>
      <c r="P5585">
        <v>0.9937357</v>
      </c>
      <c r="Q5585">
        <v>8.5628129999999997E-2</v>
      </c>
      <c r="R5585">
        <v>-7.1813680000000005E-2</v>
      </c>
      <c r="S5585">
        <v>3.019806</v>
      </c>
      <c r="T5585">
        <v>-0.2353789</v>
      </c>
      <c r="U5585">
        <v>-0.26826480000000003</v>
      </c>
      <c r="V5585">
        <v>8.1063099999999999E-2</v>
      </c>
      <c r="W5585">
        <v>9.9905750000000001E-2</v>
      </c>
      <c r="X5585">
        <v>0.9916893</v>
      </c>
      <c r="Y5585">
        <v>9.7446599999999994E-2</v>
      </c>
      <c r="Z5585">
        <v>-4.5087010000000004E-3</v>
      </c>
      <c r="AA5585">
        <v>0.99523059999999997</v>
      </c>
      <c r="AB5585">
        <v>32</v>
      </c>
      <c r="AC5585">
        <v>0.57100000000002604</v>
      </c>
      <c r="AD5585">
        <v>-7.0610000000000006E-2</v>
      </c>
      <c r="AE5585">
        <v>-8.3899999999999794E-2</v>
      </c>
      <c r="AF5585">
        <v>8.7903274546285298E-2</v>
      </c>
      <c r="AG5585">
        <v>-7.0610000000000006E-2</v>
      </c>
      <c r="AH5585">
        <v>0.56178393097930901</v>
      </c>
      <c r="AI5585">
        <v>97.078635525955505</v>
      </c>
      <c r="AJ5585">
        <v>81.106942734034405</v>
      </c>
      <c r="AK5585">
        <v>0.57298686100339602</v>
      </c>
      <c r="AL5585">
        <v>84.266256980845</v>
      </c>
      <c r="AM5585">
        <v>85.326893174686504</v>
      </c>
      <c r="AN5585">
        <v>1.0000000263995801</v>
      </c>
    </row>
    <row r="5586" spans="1:40" x14ac:dyDescent="0.25">
      <c r="A5586" t="str">
        <f>"20190312150804498"</f>
        <v>20190312150804498</v>
      </c>
      <c r="B5586" t="str">
        <f>"1552374484485647"</f>
        <v>1552374484485647</v>
      </c>
      <c r="C5586" t="s">
        <v>40</v>
      </c>
      <c r="D5586">
        <v>4.5082420000000001</v>
      </c>
      <c r="E5586">
        <v>0.50568599999999997</v>
      </c>
      <c r="F5586" t="s">
        <v>41</v>
      </c>
      <c r="G5586">
        <v>-283.61509999999998</v>
      </c>
      <c r="H5586">
        <v>1.048352</v>
      </c>
      <c r="I5586">
        <v>215.0051</v>
      </c>
      <c r="J5586">
        <v>-284.16180000000003</v>
      </c>
      <c r="K5586">
        <v>1.110724</v>
      </c>
      <c r="L5586">
        <v>215.08420000000001</v>
      </c>
      <c r="M5586">
        <v>0.99985259999999998</v>
      </c>
      <c r="N5586">
        <v>0</v>
      </c>
      <c r="O5586">
        <v>9.386007E-3</v>
      </c>
      <c r="P5586">
        <v>0.99371419999999999</v>
      </c>
      <c r="Q5586">
        <v>8.5697049999999997E-2</v>
      </c>
      <c r="R5586">
        <v>-7.2030609999999995E-2</v>
      </c>
      <c r="S5586">
        <v>3.0184630000000001</v>
      </c>
      <c r="T5586">
        <v>-0.21769060000000001</v>
      </c>
      <c r="U5586">
        <v>-0.26536559999999998</v>
      </c>
      <c r="V5586">
        <v>8.1344669999999994E-2</v>
      </c>
      <c r="W5586">
        <v>9.9979280000000004E-2</v>
      </c>
      <c r="X5586">
        <v>0.99165879999999995</v>
      </c>
      <c r="Y5586">
        <v>9.6650079999999999E-2</v>
      </c>
      <c r="Z5586">
        <v>-4.1488660000000002E-3</v>
      </c>
      <c r="AA5586">
        <v>0.99530980000000002</v>
      </c>
      <c r="AB5586">
        <v>32</v>
      </c>
      <c r="AC5586">
        <v>0.54670000000004304</v>
      </c>
      <c r="AD5586">
        <v>-6.2372000000000101E-2</v>
      </c>
      <c r="AE5586">
        <v>-7.9100000000010995E-2</v>
      </c>
      <c r="AF5586">
        <v>8.3168047954780305E-2</v>
      </c>
      <c r="AG5586">
        <v>-6.2372000000000101E-2</v>
      </c>
      <c r="AH5586">
        <v>0.53906080077752605</v>
      </c>
      <c r="AI5586">
        <v>96.523548964573493</v>
      </c>
      <c r="AJ5586">
        <v>81.2293750778922</v>
      </c>
      <c r="AK5586">
        <v>0.54899338567920497</v>
      </c>
      <c r="AL5586">
        <v>84.262022634455903</v>
      </c>
      <c r="AM5586">
        <v>85.310589972641594</v>
      </c>
      <c r="AN5586">
        <v>0.99999999369208303</v>
      </c>
    </row>
    <row r="5587" spans="1:40" x14ac:dyDescent="0.25">
      <c r="A5587" t="str">
        <f>"20190312150804519"</f>
        <v>20190312150804519</v>
      </c>
      <c r="B5587" t="str">
        <f>"1552374484515903"</f>
        <v>1552374484515903</v>
      </c>
      <c r="C5587" t="s">
        <v>40</v>
      </c>
      <c r="D5587">
        <v>4.5466600000000001</v>
      </c>
      <c r="E5587">
        <v>0.50537790000000005</v>
      </c>
      <c r="F5587" t="s">
        <v>41</v>
      </c>
      <c r="G5587">
        <v>-283.31799999999998</v>
      </c>
      <c r="H5587">
        <v>1.0523750000000001</v>
      </c>
      <c r="I5587">
        <v>215.0104</v>
      </c>
      <c r="J5587">
        <v>-283.84160000000003</v>
      </c>
      <c r="K5587">
        <v>1.1107290000000001</v>
      </c>
      <c r="L5587">
        <v>215.0873</v>
      </c>
      <c r="M5587">
        <v>0.99985190000000002</v>
      </c>
      <c r="N5587">
        <v>0</v>
      </c>
      <c r="O5587">
        <v>9.4520769999999997E-3</v>
      </c>
      <c r="P5587">
        <v>0.99365760000000003</v>
      </c>
      <c r="Q5587">
        <v>8.5916709999999993E-2</v>
      </c>
      <c r="R5587">
        <v>-7.2545830000000006E-2</v>
      </c>
      <c r="S5587">
        <v>3.0178829999999999</v>
      </c>
      <c r="T5587">
        <v>-0.2087396</v>
      </c>
      <c r="U5587">
        <v>-0.26358029999999999</v>
      </c>
      <c r="V5587">
        <v>8.1925020000000001E-2</v>
      </c>
      <c r="W5587">
        <v>0.10020179999999999</v>
      </c>
      <c r="X5587">
        <v>0.99158860000000004</v>
      </c>
      <c r="Y5587">
        <v>9.6171069999999997E-2</v>
      </c>
      <c r="Z5587">
        <v>-3.9675889999999997E-3</v>
      </c>
      <c r="AA5587">
        <v>0.99535689999999999</v>
      </c>
      <c r="AB5587">
        <v>32</v>
      </c>
      <c r="AC5587">
        <v>0.52360000000004403</v>
      </c>
      <c r="AD5587">
        <v>-5.8354000000000003E-2</v>
      </c>
      <c r="AE5587">
        <v>-7.6899999999994806E-2</v>
      </c>
      <c r="AF5587">
        <v>8.08630244271272E-2</v>
      </c>
      <c r="AG5587">
        <v>-5.8354000000000003E-2</v>
      </c>
      <c r="AH5587">
        <v>0.51656905010690501</v>
      </c>
      <c r="AI5587">
        <v>96.368167512593004</v>
      </c>
      <c r="AJ5587">
        <v>81.1031969899405</v>
      </c>
      <c r="AK5587">
        <v>0.526106074441127</v>
      </c>
      <c r="AL5587">
        <v>84.249209044021796</v>
      </c>
      <c r="AM5587">
        <v>85.276951548552802</v>
      </c>
      <c r="AN5587">
        <v>1.00000003063759</v>
      </c>
    </row>
    <row r="5588" spans="1:40" x14ac:dyDescent="0.25">
      <c r="A5588" t="str">
        <f>"20190312150804542"</f>
        <v>20190312150804542</v>
      </c>
      <c r="B5588" t="str">
        <f>"1552374484535423"</f>
        <v>1552374484535423</v>
      </c>
      <c r="C5588" t="s">
        <v>40</v>
      </c>
      <c r="D5588">
        <v>4.527577</v>
      </c>
      <c r="E5588">
        <v>0.50525569999999997</v>
      </c>
      <c r="F5588" t="s">
        <v>67</v>
      </c>
      <c r="G5588">
        <v>-266.8295</v>
      </c>
      <c r="H5588" s="1">
        <v>2.141678E-6</v>
      </c>
      <c r="I5588">
        <v>213.60589999999999</v>
      </c>
      <c r="J5588">
        <v>-283.52879999999999</v>
      </c>
      <c r="K5588">
        <v>1.1107359999999999</v>
      </c>
      <c r="L5588">
        <v>215.09030000000001</v>
      </c>
      <c r="M5588">
        <v>0.99985109999999999</v>
      </c>
      <c r="N5588">
        <v>0</v>
      </c>
      <c r="O5588">
        <v>9.5193599999999993E-3</v>
      </c>
      <c r="P5588">
        <v>0.99361429999999995</v>
      </c>
      <c r="Q5588">
        <v>8.6090910000000007E-2</v>
      </c>
      <c r="R5588">
        <v>-7.2932060000000007E-2</v>
      </c>
      <c r="S5588">
        <v>3.0169679999999999</v>
      </c>
      <c r="T5588">
        <v>-0.19697809999999999</v>
      </c>
      <c r="U5588">
        <v>-0.26271060000000002</v>
      </c>
      <c r="V5588">
        <v>8.2377110000000003E-2</v>
      </c>
      <c r="W5588">
        <v>0.1003788</v>
      </c>
      <c r="X5588">
        <v>0.9915332</v>
      </c>
      <c r="Y5588">
        <v>9.6006910000000001E-2</v>
      </c>
      <c r="Z5588">
        <v>-3.7447349999999999E-3</v>
      </c>
      <c r="AA5588">
        <v>0.99537359999999997</v>
      </c>
      <c r="AB5588">
        <v>32</v>
      </c>
      <c r="AC5588">
        <v>16.699299999999901</v>
      </c>
      <c r="AD5588">
        <v>-1.1107338583219999</v>
      </c>
      <c r="AE5588">
        <v>-1.4844000000000199</v>
      </c>
      <c r="AF5588">
        <v>1.63613419255993</v>
      </c>
      <c r="AG5588">
        <v>-1.1107338583219999</v>
      </c>
      <c r="AH5588">
        <v>16.611496645216501</v>
      </c>
      <c r="AI5588">
        <v>93.8070420490819</v>
      </c>
      <c r="AJ5588">
        <v>84.374847726852707</v>
      </c>
      <c r="AK5588">
        <v>16.728792114020798</v>
      </c>
      <c r="AL5588">
        <v>84.2390160623615</v>
      </c>
      <c r="AM5588">
        <v>85.250742922817096</v>
      </c>
      <c r="AN5588">
        <v>0.99999998922181599</v>
      </c>
    </row>
    <row r="5589" spans="1:40" x14ac:dyDescent="0.25">
      <c r="A5589" t="str">
        <f>"20190312150804563"</f>
        <v>20190312150804563</v>
      </c>
      <c r="B5589" t="str">
        <f>"1552374484555919"</f>
        <v>1552374484555919</v>
      </c>
      <c r="C5589" t="s">
        <v>40</v>
      </c>
      <c r="D5589">
        <v>4.5253560000000004</v>
      </c>
      <c r="E5589">
        <v>0.50513640000000004</v>
      </c>
      <c r="F5589" t="s">
        <v>67</v>
      </c>
      <c r="G5589">
        <v>-266.11149999999998</v>
      </c>
      <c r="H5589" s="1">
        <v>1.7610350000000001E-6</v>
      </c>
      <c r="I5589">
        <v>213.5728</v>
      </c>
      <c r="J5589">
        <v>-283.20999999999998</v>
      </c>
      <c r="K5589">
        <v>1.1107419999999999</v>
      </c>
      <c r="L5589">
        <v>215.0934</v>
      </c>
      <c r="M5589">
        <v>0.99985049999999998</v>
      </c>
      <c r="N5589">
        <v>0</v>
      </c>
      <c r="O5589">
        <v>9.5947429999999993E-3</v>
      </c>
      <c r="P5589">
        <v>0.99351020000000001</v>
      </c>
      <c r="Q5589">
        <v>8.6644600000000002E-2</v>
      </c>
      <c r="R5589">
        <v>-7.3692499999999994E-2</v>
      </c>
      <c r="S5589">
        <v>3.0166629999999999</v>
      </c>
      <c r="T5589">
        <v>-0.1923773</v>
      </c>
      <c r="U5589">
        <v>-0.26283260000000003</v>
      </c>
      <c r="V5589">
        <v>8.321038E-2</v>
      </c>
      <c r="W5589">
        <v>0.1009338</v>
      </c>
      <c r="X5589">
        <v>0.99140729999999999</v>
      </c>
      <c r="Y5589">
        <v>9.6140439999999994E-2</v>
      </c>
      <c r="Z5589">
        <v>-3.6668489999999998E-3</v>
      </c>
      <c r="AA5589">
        <v>0.99536100000000005</v>
      </c>
      <c r="AB5589">
        <v>32</v>
      </c>
      <c r="AC5589">
        <v>17.098500000000001</v>
      </c>
      <c r="AD5589">
        <v>-1.1107402389650001</v>
      </c>
      <c r="AE5589">
        <v>-1.5206</v>
      </c>
      <c r="AF5589">
        <v>1.67757890386891</v>
      </c>
      <c r="AG5589">
        <v>-1.1107402389650001</v>
      </c>
      <c r="AH5589">
        <v>17.011895200980099</v>
      </c>
      <c r="AI5589">
        <v>93.717670924945097</v>
      </c>
      <c r="AJ5589">
        <v>84.368150467084206</v>
      </c>
      <c r="AK5589">
        <v>17.130458055355401</v>
      </c>
      <c r="AL5589">
        <v>84.207054740762899</v>
      </c>
      <c r="AM5589">
        <v>85.202319446452904</v>
      </c>
      <c r="AN5589">
        <v>1.0000000169077301</v>
      </c>
    </row>
    <row r="5590" spans="1:40" x14ac:dyDescent="0.25">
      <c r="A5590" t="str">
        <f>"20190312150804586"</f>
        <v>20190312150804586</v>
      </c>
      <c r="B5590" t="str">
        <f>"1552374484575439"</f>
        <v>1552374484575439</v>
      </c>
      <c r="C5590" t="s">
        <v>40</v>
      </c>
      <c r="D5590">
        <v>4.5239029999999998</v>
      </c>
      <c r="E5590">
        <v>0.50511930000000005</v>
      </c>
      <c r="F5590" t="s">
        <v>67</v>
      </c>
      <c r="G5590">
        <v>-265.43369999999999</v>
      </c>
      <c r="H5590" s="1">
        <v>1.401952E-6</v>
      </c>
      <c r="I5590">
        <v>213.53729999999999</v>
      </c>
      <c r="J5590">
        <v>-282.89800000000002</v>
      </c>
      <c r="K5590">
        <v>1.110757</v>
      </c>
      <c r="L5590">
        <v>215.09649999999999</v>
      </c>
      <c r="M5590">
        <v>0.99984960000000001</v>
      </c>
      <c r="N5590">
        <v>0</v>
      </c>
      <c r="O5590">
        <v>9.6844749999999997E-3</v>
      </c>
      <c r="P5590">
        <v>0.99339290000000002</v>
      </c>
      <c r="Q5590">
        <v>8.7391090000000005E-2</v>
      </c>
      <c r="R5590">
        <v>-7.4388709999999997E-2</v>
      </c>
      <c r="S5590">
        <v>3.0164179999999998</v>
      </c>
      <c r="T5590">
        <v>-0.18848000000000001</v>
      </c>
      <c r="U5590">
        <v>-0.26405329999999999</v>
      </c>
      <c r="V5590">
        <v>8.3992200000000003E-2</v>
      </c>
      <c r="W5590">
        <v>0.10168149999999999</v>
      </c>
      <c r="X5590">
        <v>0.9912649</v>
      </c>
      <c r="Y5590">
        <v>9.6643880000000001E-2</v>
      </c>
      <c r="Z5590">
        <v>-3.6142119999999999E-3</v>
      </c>
      <c r="AA5590">
        <v>0.99531250000000004</v>
      </c>
      <c r="AB5590">
        <v>32</v>
      </c>
      <c r="AC5590">
        <v>17.464299999999898</v>
      </c>
      <c r="AD5590">
        <v>-1.1107555980479999</v>
      </c>
      <c r="AE5590">
        <v>-1.5591999999999999</v>
      </c>
      <c r="AF5590">
        <v>1.72136881668766</v>
      </c>
      <c r="AG5590">
        <v>-1.1107555980479999</v>
      </c>
      <c r="AH5590">
        <v>17.378635950436401</v>
      </c>
      <c r="AI5590">
        <v>93.639324492313307</v>
      </c>
      <c r="AJ5590">
        <v>84.343255255080194</v>
      </c>
      <c r="AK5590">
        <v>17.498967858118402</v>
      </c>
      <c r="AL5590">
        <v>84.163992804459198</v>
      </c>
      <c r="AM5590">
        <v>85.156762893080597</v>
      </c>
      <c r="AN5590">
        <v>0.99999995953754905</v>
      </c>
    </row>
    <row r="5591" spans="1:40" x14ac:dyDescent="0.25">
      <c r="A5591" t="str">
        <f>"20190312150804607"</f>
        <v>20190312150804607</v>
      </c>
      <c r="B5591" t="str">
        <f>"1552374484605696"</f>
        <v>1552374484605696</v>
      </c>
      <c r="C5591" t="s">
        <v>40</v>
      </c>
      <c r="D5591">
        <v>4.5496019999999904</v>
      </c>
      <c r="E5591">
        <v>0.50501560000000001</v>
      </c>
      <c r="F5591" t="s">
        <v>41</v>
      </c>
      <c r="G5591">
        <v>-281.89260000000002</v>
      </c>
      <c r="H5591">
        <v>1.0507329999999999</v>
      </c>
      <c r="I5591">
        <v>215.0078</v>
      </c>
      <c r="J5591">
        <v>-282.58199999999999</v>
      </c>
      <c r="K5591">
        <v>1.110779</v>
      </c>
      <c r="L5591">
        <v>215.09960000000001</v>
      </c>
      <c r="M5591">
        <v>0.99984839999999997</v>
      </c>
      <c r="N5591">
        <v>0</v>
      </c>
      <c r="O5591">
        <v>9.7984639999999998E-3</v>
      </c>
      <c r="P5591">
        <v>0.99332310000000001</v>
      </c>
      <c r="Q5591">
        <v>8.7686840000000002E-2</v>
      </c>
      <c r="R5591">
        <v>-7.4967999999999896E-2</v>
      </c>
      <c r="S5591">
        <v>3.0158390000000002</v>
      </c>
      <c r="T5591">
        <v>-0.18004189999999901</v>
      </c>
      <c r="U5591">
        <v>-0.26606750000000001</v>
      </c>
      <c r="V5591">
        <v>8.4680169999999999E-2</v>
      </c>
      <c r="W5591">
        <v>0.1019803</v>
      </c>
      <c r="X5591">
        <v>0.99117569999999999</v>
      </c>
      <c r="Y5591">
        <v>9.7449869999999994E-2</v>
      </c>
      <c r="Z5591">
        <v>-3.4840359999999998E-3</v>
      </c>
      <c r="AA5591">
        <v>0.99523430000000002</v>
      </c>
      <c r="AB5591">
        <v>32</v>
      </c>
      <c r="AC5591">
        <v>0.68939999999997703</v>
      </c>
      <c r="AD5591">
        <v>-6.0046000000000203E-2</v>
      </c>
      <c r="AE5591">
        <v>-9.1800000000006293E-2</v>
      </c>
      <c r="AF5591">
        <v>9.7822181374303499E-2</v>
      </c>
      <c r="AG5591">
        <v>-6.0046000000000203E-2</v>
      </c>
      <c r="AH5591">
        <v>0.68337340445591999</v>
      </c>
      <c r="AI5591">
        <v>94.971099325594906</v>
      </c>
      <c r="AJ5591">
        <v>81.853678025337601</v>
      </c>
      <c r="AK5591">
        <v>0.69294582126058202</v>
      </c>
      <c r="AL5591">
        <v>84.1467835473496</v>
      </c>
      <c r="AM5591">
        <v>85.116846244856703</v>
      </c>
      <c r="AN5591">
        <v>0.99999999052490396</v>
      </c>
    </row>
    <row r="5592" spans="1:40" x14ac:dyDescent="0.25">
      <c r="A5592" t="str">
        <f>"20190312150804631"</f>
        <v>20190312150804631</v>
      </c>
      <c r="B5592" t="str">
        <f>"1552374484626191"</f>
        <v>1552374484626191</v>
      </c>
      <c r="C5592" t="s">
        <v>40</v>
      </c>
      <c r="D5592">
        <v>4.533893</v>
      </c>
      <c r="E5592">
        <v>0.50495380000000001</v>
      </c>
      <c r="F5592" t="s">
        <v>67</v>
      </c>
      <c r="G5592">
        <v>-263.27839999999998</v>
      </c>
      <c r="H5592" s="1">
        <v>2.6136130000000001E-7</v>
      </c>
      <c r="I5592">
        <v>213.39080000000001</v>
      </c>
      <c r="J5592">
        <v>-282.25720000000001</v>
      </c>
      <c r="K5592">
        <v>1.1107959999999999</v>
      </c>
      <c r="L5592">
        <v>215.10300000000001</v>
      </c>
      <c r="M5592">
        <v>0.99984709999999999</v>
      </c>
      <c r="N5592">
        <v>0</v>
      </c>
      <c r="O5592">
        <v>9.9388649999999999E-3</v>
      </c>
      <c r="P5592">
        <v>0.99323119999999998</v>
      </c>
      <c r="Q5592">
        <v>8.8117630000000002E-2</v>
      </c>
      <c r="R5592">
        <v>-7.5680029999999995E-2</v>
      </c>
      <c r="S5592">
        <v>3.01532</v>
      </c>
      <c r="T5592">
        <v>-0.17350860000000001</v>
      </c>
      <c r="U5592">
        <v>-0.26692199999999999</v>
      </c>
      <c r="V5592">
        <v>8.5525630000000005E-2</v>
      </c>
      <c r="W5592">
        <v>0.1024138</v>
      </c>
      <c r="X5592">
        <v>0.99105840000000001</v>
      </c>
      <c r="Y5592">
        <v>9.7896940000000002E-2</v>
      </c>
      <c r="Z5592">
        <v>-3.3792409999999998E-3</v>
      </c>
      <c r="AA5592">
        <v>0.99519080000000004</v>
      </c>
      <c r="AB5592">
        <v>32</v>
      </c>
      <c r="AC5592">
        <v>18.9788</v>
      </c>
      <c r="AD5592">
        <v>-1.1107957386387</v>
      </c>
      <c r="AE5592">
        <v>-1.71219999999996</v>
      </c>
      <c r="AF5592">
        <v>1.89432594198482</v>
      </c>
      <c r="AG5592">
        <v>-1.1107957386387</v>
      </c>
      <c r="AH5592">
        <v>18.896634464527001</v>
      </c>
      <c r="AI5592">
        <v>93.347391845248893</v>
      </c>
      <c r="AJ5592">
        <v>84.275410196248799</v>
      </c>
      <c r="AK5592">
        <v>19.0238043522689</v>
      </c>
      <c r="AL5592">
        <v>84.121815069427697</v>
      </c>
      <c r="AM5592">
        <v>85.0677505206923</v>
      </c>
      <c r="AN5592">
        <v>0.99999998601394802</v>
      </c>
    </row>
    <row r="5593" spans="1:40" x14ac:dyDescent="0.25">
      <c r="A5593" t="str">
        <f>"20190312150804653"</f>
        <v>20190312150804653</v>
      </c>
      <c r="B5593" t="str">
        <f>"1552374484645711"</f>
        <v>1552374484645711</v>
      </c>
      <c r="C5593" t="s">
        <v>40</v>
      </c>
      <c r="D5593">
        <v>4.542497</v>
      </c>
      <c r="E5593">
        <v>0.5049633</v>
      </c>
      <c r="F5593" t="s">
        <v>67</v>
      </c>
      <c r="G5593">
        <v>-262.48559999999998</v>
      </c>
      <c r="H5593" s="1">
        <v>-1.5841009999999999E-7</v>
      </c>
      <c r="I5593">
        <v>213.3432</v>
      </c>
      <c r="J5593">
        <v>-281.93020000000001</v>
      </c>
      <c r="K5593">
        <v>1.1108229999999999</v>
      </c>
      <c r="L5593">
        <v>215.10640000000001</v>
      </c>
      <c r="M5593">
        <v>0.9998454</v>
      </c>
      <c r="N5593">
        <v>0</v>
      </c>
      <c r="O5593">
        <v>1.011253E-2</v>
      </c>
      <c r="P5593">
        <v>0.99318830000000002</v>
      </c>
      <c r="Q5593">
        <v>8.796139E-2</v>
      </c>
      <c r="R5593">
        <v>-7.6421169999999997E-2</v>
      </c>
      <c r="S5593">
        <v>3.015015</v>
      </c>
      <c r="T5593">
        <v>-0.1693877</v>
      </c>
      <c r="U5593">
        <v>-0.26835629999999999</v>
      </c>
      <c r="V5593">
        <v>8.6432850000000006E-2</v>
      </c>
      <c r="W5593">
        <v>0.10226109999999999</v>
      </c>
      <c r="X5593">
        <v>0.99099550000000003</v>
      </c>
      <c r="Y5593">
        <v>9.8555309999999993E-2</v>
      </c>
      <c r="Z5593">
        <v>-3.3275480000000001E-3</v>
      </c>
      <c r="AA5593">
        <v>0.99512599999999996</v>
      </c>
      <c r="AB5593">
        <v>32</v>
      </c>
      <c r="AC5593">
        <v>19.444600000000001</v>
      </c>
      <c r="AD5593">
        <v>-1.1108231584100901</v>
      </c>
      <c r="AE5593">
        <v>-1.7632000000000101</v>
      </c>
      <c r="AF5593">
        <v>1.95344108786435</v>
      </c>
      <c r="AG5593">
        <v>-1.1108231584100901</v>
      </c>
      <c r="AH5593">
        <v>19.363095984519699</v>
      </c>
      <c r="AI5593">
        <v>93.266802610322003</v>
      </c>
      <c r="AJ5593">
        <v>84.239220764611403</v>
      </c>
      <c r="AK5593">
        <v>19.4930589256468</v>
      </c>
      <c r="AL5593">
        <v>84.130610545421803</v>
      </c>
      <c r="AM5593">
        <v>85.015378706157307</v>
      </c>
      <c r="AN5593">
        <v>1.00000002557629</v>
      </c>
    </row>
    <row r="5594" spans="1:40" x14ac:dyDescent="0.25">
      <c r="A5594" t="str">
        <f>"20190312150804676"</f>
        <v>20190312150804676</v>
      </c>
      <c r="B5594" t="str">
        <f>"1552374484665231"</f>
        <v>1552374484665231</v>
      </c>
      <c r="C5594" t="s">
        <v>40</v>
      </c>
      <c r="D5594">
        <v>4.5404220000000004</v>
      </c>
      <c r="E5594">
        <v>0.50492250000000005</v>
      </c>
      <c r="F5594" t="s">
        <v>67</v>
      </c>
      <c r="G5594">
        <v>-262.16910000000001</v>
      </c>
      <c r="H5594" s="1">
        <v>-3.2646329999999998E-7</v>
      </c>
      <c r="I5594">
        <v>213.33420000000001</v>
      </c>
      <c r="J5594">
        <v>-281.6114</v>
      </c>
      <c r="K5594">
        <v>1.1108530000000001</v>
      </c>
      <c r="L5594">
        <v>215.10980000000001</v>
      </c>
      <c r="M5594">
        <v>0.99984320000000004</v>
      </c>
      <c r="N5594">
        <v>0</v>
      </c>
      <c r="O5594">
        <v>1.0320279999999999E-2</v>
      </c>
      <c r="P5594">
        <v>0.99320299999999995</v>
      </c>
      <c r="Q5594">
        <v>8.7884859999999995E-2</v>
      </c>
      <c r="R5594">
        <v>-7.6315389999999997E-2</v>
      </c>
      <c r="S5594">
        <v>3.0147710000000001</v>
      </c>
      <c r="T5594">
        <v>-0.16946829999999999</v>
      </c>
      <c r="U5594">
        <v>-0.27037050000000001</v>
      </c>
      <c r="V5594">
        <v>8.6526870000000006E-2</v>
      </c>
      <c r="W5594">
        <v>0.1021895</v>
      </c>
      <c r="X5594">
        <v>0.99099459999999995</v>
      </c>
      <c r="Y5594">
        <v>9.9426879999999995E-2</v>
      </c>
      <c r="Z5594">
        <v>-3.3653759999999998E-3</v>
      </c>
      <c r="AA5594">
        <v>0.99503920000000001</v>
      </c>
      <c r="AB5594">
        <v>32</v>
      </c>
      <c r="AC5594">
        <v>19.4422999999999</v>
      </c>
      <c r="AD5594">
        <v>-1.1108533264633</v>
      </c>
      <c r="AE5594">
        <v>-1.7755999999999901</v>
      </c>
      <c r="AF5594">
        <v>1.96979893612071</v>
      </c>
      <c r="AG5594">
        <v>-1.1108533264633</v>
      </c>
      <c r="AH5594">
        <v>19.3602587858968</v>
      </c>
      <c r="AI5594">
        <v>93.267087781135402</v>
      </c>
      <c r="AJ5594">
        <v>84.190463869270502</v>
      </c>
      <c r="AK5594">
        <v>19.491888651912401</v>
      </c>
      <c r="AL5594">
        <v>84.134734054384893</v>
      </c>
      <c r="AM5594">
        <v>85.009979383579306</v>
      </c>
      <c r="AN5594">
        <v>0.99999994518570101</v>
      </c>
    </row>
    <row r="5595" spans="1:40" x14ac:dyDescent="0.25">
      <c r="A5595" t="str">
        <f>"20190312150804698"</f>
        <v>20190312150804698</v>
      </c>
      <c r="B5595" t="str">
        <f>"1552374484685727"</f>
        <v>1552374484685727</v>
      </c>
      <c r="C5595" t="s">
        <v>40</v>
      </c>
      <c r="D5595">
        <v>4.4755560000000001</v>
      </c>
      <c r="E5595">
        <v>0.50486699999999995</v>
      </c>
      <c r="F5595" t="s">
        <v>67</v>
      </c>
      <c r="G5595">
        <v>-261.59620000000001</v>
      </c>
      <c r="H5595" s="1">
        <v>-6.3056030000000003E-7</v>
      </c>
      <c r="I5595">
        <v>213.31620000000001</v>
      </c>
      <c r="J5595">
        <v>-281.30040000000002</v>
      </c>
      <c r="K5595">
        <v>1.110887</v>
      </c>
      <c r="L5595">
        <v>215.11330000000001</v>
      </c>
      <c r="M5595">
        <v>0.99984070000000003</v>
      </c>
      <c r="N5595">
        <v>0</v>
      </c>
      <c r="O5595">
        <v>1.056007E-2</v>
      </c>
      <c r="P5595">
        <v>0.99327390000000004</v>
      </c>
      <c r="Q5595">
        <v>8.7304149999999997E-2</v>
      </c>
      <c r="R5595">
        <v>-7.6060939999999994E-2</v>
      </c>
      <c r="S5595">
        <v>3.0145870000000001</v>
      </c>
      <c r="T5595">
        <v>-0.16731070000000001</v>
      </c>
      <c r="U5595">
        <v>-0.27014159999999998</v>
      </c>
      <c r="V5595">
        <v>8.6504269999999994E-2</v>
      </c>
      <c r="W5595">
        <v>0.1016146</v>
      </c>
      <c r="X5595">
        <v>0.99105569999999998</v>
      </c>
      <c r="Y5595">
        <v>9.9599629999999995E-2</v>
      </c>
      <c r="Z5595">
        <v>-3.3408629999999999E-3</v>
      </c>
      <c r="AA5595">
        <v>0.99502199999999996</v>
      </c>
      <c r="AB5595">
        <v>32</v>
      </c>
      <c r="AC5595">
        <v>19.7042</v>
      </c>
      <c r="AD5595">
        <v>-1.1108876305602999</v>
      </c>
      <c r="AE5595">
        <v>-1.7970999999999999</v>
      </c>
      <c r="AF5595">
        <v>1.9987982756298499</v>
      </c>
      <c r="AG5595">
        <v>-1.1108876305602999</v>
      </c>
      <c r="AH5595">
        <v>19.622266699126499</v>
      </c>
      <c r="AI5595">
        <v>93.223617004080197</v>
      </c>
      <c r="AJ5595">
        <v>84.183697005233697</v>
      </c>
      <c r="AK5595">
        <v>19.755065585465399</v>
      </c>
      <c r="AL5595">
        <v>84.167845840890394</v>
      </c>
      <c r="AM5595">
        <v>85.011582161679996</v>
      </c>
      <c r="AN5595">
        <v>0.99999995808193998</v>
      </c>
    </row>
    <row r="5596" spans="1:40" x14ac:dyDescent="0.25">
      <c r="A5596" t="str">
        <f>"20190312150804720"</f>
        <v>20190312150804720</v>
      </c>
      <c r="B5596" t="str">
        <f>"1552374484715984"</f>
        <v>1552374484715984</v>
      </c>
      <c r="C5596" t="s">
        <v>40</v>
      </c>
      <c r="D5596">
        <v>4.5331070000000002</v>
      </c>
      <c r="E5596">
        <v>0.50489379999999995</v>
      </c>
      <c r="F5596" t="s">
        <v>67</v>
      </c>
      <c r="G5596">
        <v>-261.36869999999999</v>
      </c>
      <c r="H5596" s="1">
        <v>-7.5240109999999995E-7</v>
      </c>
      <c r="I5596">
        <v>213.33459999999999</v>
      </c>
      <c r="J5596">
        <v>-280.97919999999999</v>
      </c>
      <c r="K5596">
        <v>1.11091299999999</v>
      </c>
      <c r="L5596">
        <v>215.11689999999999</v>
      </c>
      <c r="M5596">
        <v>0.9998378</v>
      </c>
      <c r="N5596">
        <v>0</v>
      </c>
      <c r="O5596">
        <v>1.084159E-2</v>
      </c>
      <c r="P5596">
        <v>0.99331069999999999</v>
      </c>
      <c r="Q5596">
        <v>8.7224919999999997E-2</v>
      </c>
      <c r="R5596">
        <v>-7.5670230000000005E-2</v>
      </c>
      <c r="S5596">
        <v>3.0144959999999998</v>
      </c>
      <c r="T5596">
        <v>-0.16801199999999999</v>
      </c>
      <c r="U5596">
        <v>-0.26901249999999999</v>
      </c>
      <c r="V5596">
        <v>8.6386309999999994E-2</v>
      </c>
      <c r="W5596">
        <v>0.10154059999999999</v>
      </c>
      <c r="X5596">
        <v>0.9910736</v>
      </c>
      <c r="Y5596">
        <v>9.9511000000000002E-2</v>
      </c>
      <c r="Z5596">
        <v>-3.3681919999999999E-3</v>
      </c>
      <c r="AA5596">
        <v>0.99503079999999999</v>
      </c>
      <c r="AB5596">
        <v>32</v>
      </c>
      <c r="AC5596">
        <v>19.610499999999998</v>
      </c>
      <c r="AD5596">
        <v>-1.1109137524010999</v>
      </c>
      <c r="AE5596">
        <v>-1.78229999999999</v>
      </c>
      <c r="AF5596">
        <v>1.98849721109626</v>
      </c>
      <c r="AG5596">
        <v>-1.1109137524010999</v>
      </c>
      <c r="AH5596">
        <v>19.527868748033899</v>
      </c>
      <c r="AI5596">
        <v>93.239254344312798</v>
      </c>
      <c r="AJ5596">
        <v>84.185687162601894</v>
      </c>
      <c r="AK5596">
        <v>19.660262164179102</v>
      </c>
      <c r="AL5596">
        <v>84.172107926478702</v>
      </c>
      <c r="AM5596">
        <v>85.018439796653098</v>
      </c>
      <c r="AN5596">
        <v>0.99999998431036696</v>
      </c>
    </row>
    <row r="5597" spans="1:40" x14ac:dyDescent="0.25">
      <c r="A5597" t="str">
        <f>"20190312150804743"</f>
        <v>20190312150804743</v>
      </c>
      <c r="B5597" t="str">
        <f>"1552374484735507"</f>
        <v>1552374484735507</v>
      </c>
      <c r="C5597" t="s">
        <v>40</v>
      </c>
      <c r="D5597">
        <v>4.497471</v>
      </c>
      <c r="E5597">
        <v>0.50491509999999995</v>
      </c>
      <c r="F5597" t="s">
        <v>67</v>
      </c>
      <c r="G5597">
        <v>-260.94760000000002</v>
      </c>
      <c r="H5597" s="1">
        <v>-9.7650229999999997E-7</v>
      </c>
      <c r="I5597">
        <v>213.3349</v>
      </c>
      <c r="J5597">
        <v>-280.66539999999998</v>
      </c>
      <c r="K5597">
        <v>1.1109340000000001</v>
      </c>
      <c r="L5597">
        <v>215.1207</v>
      </c>
      <c r="M5597">
        <v>0.99983440000000001</v>
      </c>
      <c r="N5597">
        <v>0</v>
      </c>
      <c r="O5597">
        <v>1.1143409999999999E-2</v>
      </c>
      <c r="P5597">
        <v>0.9933497</v>
      </c>
      <c r="Q5597">
        <v>8.7194629999999995E-2</v>
      </c>
      <c r="R5597">
        <v>-7.5193079999999995E-2</v>
      </c>
      <c r="S5597">
        <v>3.0144959999999998</v>
      </c>
      <c r="T5597">
        <v>-0.16717839999999901</v>
      </c>
      <c r="U5597">
        <v>-0.2681732</v>
      </c>
      <c r="V5597">
        <v>8.6203370000000001E-2</v>
      </c>
      <c r="W5597">
        <v>0.10151399999999999</v>
      </c>
      <c r="X5597">
        <v>0.99109230000000004</v>
      </c>
      <c r="Y5597">
        <v>9.9537719999999996E-2</v>
      </c>
      <c r="Z5597">
        <v>-3.3689829999999999E-3</v>
      </c>
      <c r="AA5597">
        <v>0.99502809999999997</v>
      </c>
      <c r="AB5597">
        <v>32</v>
      </c>
      <c r="AC5597">
        <v>19.717799999999901</v>
      </c>
      <c r="AD5597">
        <v>-1.1109349765023</v>
      </c>
      <c r="AE5597">
        <v>-1.7857999999999901</v>
      </c>
      <c r="AF5597">
        <v>1.9991409475548301</v>
      </c>
      <c r="AG5597">
        <v>-1.1109349765023</v>
      </c>
      <c r="AH5597">
        <v>19.634851917253801</v>
      </c>
      <c r="AI5597">
        <v>93.221707652702094</v>
      </c>
      <c r="AJ5597">
        <v>84.186409825753401</v>
      </c>
      <c r="AK5597">
        <v>19.767603569039299</v>
      </c>
      <c r="AL5597">
        <v>84.173640178421806</v>
      </c>
      <c r="AM5597">
        <v>85.029029637570304</v>
      </c>
      <c r="AN5597">
        <v>1.00000003015732</v>
      </c>
    </row>
    <row r="5598" spans="1:40" x14ac:dyDescent="0.25">
      <c r="A5598" t="str">
        <f>"20190312150804765"</f>
        <v>20190312150804765</v>
      </c>
      <c r="B5598" t="str">
        <f>"1552374484756003"</f>
        <v>1552374484756003</v>
      </c>
      <c r="C5598" t="s">
        <v>40</v>
      </c>
      <c r="D5598">
        <v>4.4324750000000002</v>
      </c>
      <c r="E5598">
        <v>0.5049226</v>
      </c>
      <c r="F5598" t="s">
        <v>67</v>
      </c>
      <c r="G5598">
        <v>-260.55079999999998</v>
      </c>
      <c r="H5598" s="1">
        <v>-1.1878230000000001E-6</v>
      </c>
      <c r="I5598">
        <v>213.33770000000001</v>
      </c>
      <c r="J5598">
        <v>-280.35239999999999</v>
      </c>
      <c r="K5598">
        <v>1.1109519999999999</v>
      </c>
      <c r="L5598">
        <v>215.12450000000001</v>
      </c>
      <c r="M5598">
        <v>0.99983080000000002</v>
      </c>
      <c r="N5598">
        <v>0</v>
      </c>
      <c r="O5598">
        <v>1.1463900000000001E-2</v>
      </c>
      <c r="P5598">
        <v>0.99339290000000002</v>
      </c>
      <c r="Q5598">
        <v>8.7144620000000006E-2</v>
      </c>
      <c r="R5598">
        <v>-7.4675989999999998E-2</v>
      </c>
      <c r="S5598">
        <v>3.014465</v>
      </c>
      <c r="T5598">
        <v>-0.1664889</v>
      </c>
      <c r="U5598">
        <v>-0.26719670000000001</v>
      </c>
      <c r="V5598">
        <v>8.6000690000000005E-2</v>
      </c>
      <c r="W5598">
        <v>0.1014656</v>
      </c>
      <c r="X5598">
        <v>0.99111490000000002</v>
      </c>
      <c r="Y5598">
        <v>9.9538619999999994E-2</v>
      </c>
      <c r="Z5598">
        <v>-3.3728740000000001E-3</v>
      </c>
      <c r="AA5598">
        <v>0.99502800000000002</v>
      </c>
      <c r="AB5598">
        <v>32</v>
      </c>
      <c r="AC5598">
        <v>19.801600000000001</v>
      </c>
      <c r="AD5598">
        <v>-1.1109531878229999</v>
      </c>
      <c r="AE5598">
        <v>-1.78679999999999</v>
      </c>
      <c r="AF5598">
        <v>2.0074418597895498</v>
      </c>
      <c r="AG5598">
        <v>-1.1109531878229999</v>
      </c>
      <c r="AH5598">
        <v>19.718247201714401</v>
      </c>
      <c r="AI5598">
        <v>93.208166047846206</v>
      </c>
      <c r="AJ5598">
        <v>84.1869564138903</v>
      </c>
      <c r="AK5598">
        <v>19.851279870927399</v>
      </c>
      <c r="AL5598">
        <v>84.176427895622695</v>
      </c>
      <c r="AM5598">
        <v>85.040771468987998</v>
      </c>
      <c r="AN5598">
        <v>1.00000006583292</v>
      </c>
    </row>
    <row r="5599" spans="1:40" x14ac:dyDescent="0.25">
      <c r="A5599" t="str">
        <f>"20190312150804787"</f>
        <v>20190312150804787</v>
      </c>
      <c r="B5599" t="str">
        <f>"1552374484775519"</f>
        <v>1552374484775519</v>
      </c>
      <c r="C5599" t="s">
        <v>40</v>
      </c>
      <c r="D5599">
        <v>4.4717120000000001</v>
      </c>
      <c r="E5599">
        <v>0.50492689999999996</v>
      </c>
      <c r="F5599" t="s">
        <v>67</v>
      </c>
      <c r="G5599">
        <v>-259.99779999999998</v>
      </c>
      <c r="H5599" s="1">
        <v>-1.4817999999999999E-6</v>
      </c>
      <c r="I5599">
        <v>213.33199999999999</v>
      </c>
      <c r="J5599">
        <v>-280.04480000000001</v>
      </c>
      <c r="K5599">
        <v>1.110965</v>
      </c>
      <c r="L5599">
        <v>215.1283</v>
      </c>
      <c r="M5599">
        <v>0.99982700000000002</v>
      </c>
      <c r="N5599">
        <v>0</v>
      </c>
      <c r="O5599">
        <v>1.179154E-2</v>
      </c>
      <c r="P5599">
        <v>0.99341400000000002</v>
      </c>
      <c r="Q5599">
        <v>8.7112960000000003E-2</v>
      </c>
      <c r="R5599">
        <v>-7.4431079999999997E-2</v>
      </c>
      <c r="S5599">
        <v>3.0144039999999999</v>
      </c>
      <c r="T5599">
        <v>-0.164526799999999</v>
      </c>
      <c r="U5599">
        <v>-0.2654572</v>
      </c>
      <c r="V5599">
        <v>8.6078630000000003E-2</v>
      </c>
      <c r="W5599">
        <v>0.10143480000000001</v>
      </c>
      <c r="X5599">
        <v>0.99111119999999997</v>
      </c>
      <c r="Y5599">
        <v>9.9300479999999997E-2</v>
      </c>
      <c r="Z5599">
        <v>-3.3446919999999998E-3</v>
      </c>
      <c r="AA5599">
        <v>0.99505189999999999</v>
      </c>
      <c r="AB5599">
        <v>32</v>
      </c>
      <c r="AC5599">
        <v>20.047000000000001</v>
      </c>
      <c r="AD5599">
        <v>-1.1109664818</v>
      </c>
      <c r="AE5599">
        <v>-1.7963</v>
      </c>
      <c r="AF5599">
        <v>2.02641068279206</v>
      </c>
      <c r="AG5599">
        <v>-1.1109664818</v>
      </c>
      <c r="AH5599">
        <v>19.963599497134901</v>
      </c>
      <c r="AI5599">
        <v>93.168952219518303</v>
      </c>
      <c r="AJ5599">
        <v>84.204027592295702</v>
      </c>
      <c r="AK5599">
        <v>20.096912490754001</v>
      </c>
      <c r="AL5599">
        <v>84.1782012559961</v>
      </c>
      <c r="AM5599">
        <v>85.036281066197802</v>
      </c>
      <c r="AN5599">
        <v>0.99999997997957801</v>
      </c>
    </row>
    <row r="5600" spans="1:40" x14ac:dyDescent="0.25">
      <c r="A5600" t="str">
        <f>"20190312150804809"</f>
        <v>20190312150804809</v>
      </c>
      <c r="B5600" t="str">
        <f>"1552374484805775"</f>
        <v>1552374484805775</v>
      </c>
      <c r="C5600" t="s">
        <v>40</v>
      </c>
      <c r="D5600">
        <v>4.4382929999999998</v>
      </c>
      <c r="E5600">
        <v>0.50491189999999997</v>
      </c>
      <c r="F5600" t="s">
        <v>67</v>
      </c>
      <c r="G5600">
        <v>-259.51190000000003</v>
      </c>
      <c r="H5600" s="1">
        <v>3.5814410000000002E-6</v>
      </c>
      <c r="I5600">
        <v>213.32490000000001</v>
      </c>
      <c r="J5600">
        <v>-279.7276</v>
      </c>
      <c r="K5600">
        <v>1.110975</v>
      </c>
      <c r="L5600">
        <v>215.13239999999999</v>
      </c>
      <c r="M5600">
        <v>0.99982300000000002</v>
      </c>
      <c r="N5600">
        <v>0</v>
      </c>
      <c r="O5600">
        <v>1.213533E-2</v>
      </c>
      <c r="P5600">
        <v>0.99340240000000002</v>
      </c>
      <c r="Q5600">
        <v>8.7147680000000005E-2</v>
      </c>
      <c r="R5600">
        <v>-7.4546609999999999E-2</v>
      </c>
      <c r="S5600">
        <v>3.0143740000000001</v>
      </c>
      <c r="T5600">
        <v>-0.1630972</v>
      </c>
      <c r="U5600">
        <v>-0.26475520000000002</v>
      </c>
      <c r="V5600">
        <v>8.6533700000000005E-2</v>
      </c>
      <c r="W5600">
        <v>0.1014685</v>
      </c>
      <c r="X5600">
        <v>0.99106810000000001</v>
      </c>
      <c r="Y5600">
        <v>9.9415729999999994E-2</v>
      </c>
      <c r="Z5600">
        <v>-3.3374059999999998E-3</v>
      </c>
      <c r="AA5600">
        <v>0.99504040000000005</v>
      </c>
      <c r="AB5600">
        <v>32</v>
      </c>
      <c r="AC5600">
        <v>20.215699999999899</v>
      </c>
      <c r="AD5600">
        <v>-1.1109714185590001</v>
      </c>
      <c r="AE5600">
        <v>-1.8074999999999699</v>
      </c>
      <c r="AF5600">
        <v>2.04658445786295</v>
      </c>
      <c r="AG5600">
        <v>-1.1109714185590001</v>
      </c>
      <c r="AH5600">
        <v>20.131954944463299</v>
      </c>
      <c r="AI5600">
        <v>93.142470502181993</v>
      </c>
      <c r="AJ5600">
        <v>84.195337858459595</v>
      </c>
      <c r="AK5600">
        <v>20.266187982003999</v>
      </c>
      <c r="AL5600">
        <v>84.176260247357604</v>
      </c>
      <c r="AM5600">
        <v>85.009955717485596</v>
      </c>
      <c r="AN5600">
        <v>0.99999995828277399</v>
      </c>
    </row>
    <row r="5601" spans="1:40" x14ac:dyDescent="0.25">
      <c r="A5601" t="str">
        <f>"20190312150804824"</f>
        <v>20190312150804824</v>
      </c>
      <c r="B5601" t="str">
        <f>"1552374484815535"</f>
        <v>1552374484815535</v>
      </c>
      <c r="C5601" t="s">
        <v>40</v>
      </c>
      <c r="D5601">
        <v>4.4289420000000002</v>
      </c>
      <c r="E5601">
        <v>0.50490769999999996</v>
      </c>
      <c r="F5601" t="s">
        <v>67</v>
      </c>
      <c r="G5601">
        <v>-259.04430000000002</v>
      </c>
      <c r="H5601" s="1">
        <v>3.332987E-6</v>
      </c>
      <c r="I5601">
        <v>213.31540000000001</v>
      </c>
      <c r="J5601">
        <v>-279.5111</v>
      </c>
      <c r="K5601">
        <v>1.110978</v>
      </c>
      <c r="L5601">
        <v>215.1353</v>
      </c>
      <c r="M5601">
        <v>0.99982009999999999</v>
      </c>
      <c r="N5601">
        <v>0</v>
      </c>
      <c r="O5601">
        <v>1.2370809999999999E-2</v>
      </c>
      <c r="P5601">
        <v>0.99337699999999995</v>
      </c>
      <c r="Q5601">
        <v>8.7214410000000006E-2</v>
      </c>
      <c r="R5601">
        <v>-7.4806510000000007E-2</v>
      </c>
      <c r="S5601">
        <v>3.0142519999999999</v>
      </c>
      <c r="T5601">
        <v>-0.16190579999999999</v>
      </c>
      <c r="U5601">
        <v>-0.26480100000000001</v>
      </c>
      <c r="V5601">
        <v>8.7026220000000001E-2</v>
      </c>
      <c r="W5601">
        <v>0.1015339</v>
      </c>
      <c r="X5601">
        <v>0.99101830000000002</v>
      </c>
      <c r="Y5601">
        <v>9.9670239999999993E-2</v>
      </c>
      <c r="Z5601">
        <v>-3.3326300000000001E-3</v>
      </c>
      <c r="AA5601">
        <v>0.99501499999999998</v>
      </c>
      <c r="AB5601">
        <v>32</v>
      </c>
      <c r="AC5601">
        <v>20.4667999999999</v>
      </c>
      <c r="AD5601">
        <v>-1.1109746670129901</v>
      </c>
      <c r="AE5601">
        <v>-1.8198999999999801</v>
      </c>
      <c r="AF5601">
        <v>2.0669353027111299</v>
      </c>
      <c r="AG5601">
        <v>-1.1109746670129901</v>
      </c>
      <c r="AH5601">
        <v>20.383129543514901</v>
      </c>
      <c r="AI5601">
        <v>93.103911278802201</v>
      </c>
      <c r="AJ5601">
        <v>84.209758839371403</v>
      </c>
      <c r="AK5601">
        <v>20.5177595327572</v>
      </c>
      <c r="AL5601">
        <v>84.172493797050905</v>
      </c>
      <c r="AM5601">
        <v>84.981447837989094</v>
      </c>
      <c r="AN5601">
        <v>0.99999998337579399</v>
      </c>
    </row>
    <row r="5602" spans="1:40" x14ac:dyDescent="0.25">
      <c r="A5602" t="str">
        <f>"20190312150804842"</f>
        <v>20190312150804842</v>
      </c>
      <c r="B5602" t="str">
        <f>"1552374484836034"</f>
        <v>1552374484836034</v>
      </c>
      <c r="C5602" t="s">
        <v>40</v>
      </c>
      <c r="D5602">
        <v>4.3992559999999896</v>
      </c>
      <c r="E5602">
        <v>0.50494499999999998</v>
      </c>
      <c r="F5602" t="s">
        <v>67</v>
      </c>
      <c r="G5602">
        <v>-258.75360000000001</v>
      </c>
      <c r="H5602" s="1">
        <v>3.1786349999999998E-6</v>
      </c>
      <c r="I5602">
        <v>213.3075</v>
      </c>
      <c r="J5602">
        <v>-279.24869999999999</v>
      </c>
      <c r="K5602">
        <v>1.110976</v>
      </c>
      <c r="L5602">
        <v>215.1388</v>
      </c>
      <c r="M5602">
        <v>0.9998165</v>
      </c>
      <c r="N5602">
        <v>0</v>
      </c>
      <c r="O5602">
        <v>1.265612E-2</v>
      </c>
      <c r="P5602">
        <v>0.99332830000000005</v>
      </c>
      <c r="Q5602">
        <v>8.7473499999999996E-2</v>
      </c>
      <c r="R5602">
        <v>-7.5149640000000004E-2</v>
      </c>
      <c r="S5602">
        <v>3.0141909999999998</v>
      </c>
      <c r="T5602">
        <v>-0.16132379999999999</v>
      </c>
      <c r="U5602">
        <v>-0.26541140000000002</v>
      </c>
      <c r="V5602">
        <v>8.7651160000000006E-2</v>
      </c>
      <c r="W5602">
        <v>0.10179100000000001</v>
      </c>
      <c r="X5602">
        <v>0.99093690000000001</v>
      </c>
      <c r="Y5602">
        <v>0.10015590000000001</v>
      </c>
      <c r="Z5602">
        <v>-3.348901E-3</v>
      </c>
      <c r="AA5602">
        <v>0.99496609999999996</v>
      </c>
      <c r="AB5602">
        <v>32</v>
      </c>
      <c r="AC5602">
        <v>20.495099999999901</v>
      </c>
      <c r="AD5602">
        <v>-1.1109728213650001</v>
      </c>
      <c r="AE5602">
        <v>-1.8312999999999899</v>
      </c>
      <c r="AF5602">
        <v>2.0844920672162002</v>
      </c>
      <c r="AG5602">
        <v>-1.1109728213650001</v>
      </c>
      <c r="AH5602">
        <v>20.410779198069999</v>
      </c>
      <c r="AI5602">
        <v>93.0994843832963</v>
      </c>
      <c r="AJ5602">
        <v>84.168769771087597</v>
      </c>
      <c r="AK5602">
        <v>20.547001612412199</v>
      </c>
      <c r="AL5602">
        <v>84.157686646025198</v>
      </c>
      <c r="AM5602">
        <v>84.945182320962203</v>
      </c>
      <c r="AN5602">
        <v>1.00000003665597</v>
      </c>
    </row>
    <row r="5603" spans="1:40" x14ac:dyDescent="0.25">
      <c r="A5603" t="str">
        <f>"20190312150804858"</f>
        <v>20190312150804858</v>
      </c>
      <c r="B5603" t="str">
        <f>"1552374484855552"</f>
        <v>1552374484855552</v>
      </c>
      <c r="C5603" t="s">
        <v>40</v>
      </c>
      <c r="D5603">
        <v>4.3986499999999999</v>
      </c>
      <c r="E5603">
        <v>0.50497259999999999</v>
      </c>
      <c r="F5603" t="s">
        <v>67</v>
      </c>
      <c r="G5603">
        <v>-258.31470000000002</v>
      </c>
      <c r="H5603" s="1">
        <v>2.9460310000000001E-6</v>
      </c>
      <c r="I5603">
        <v>213.28540000000001</v>
      </c>
      <c r="J5603">
        <v>-279.03410000000002</v>
      </c>
      <c r="K5603">
        <v>1.1109789999999999</v>
      </c>
      <c r="L5603">
        <v>215.14179999999999</v>
      </c>
      <c r="M5603">
        <v>0.99981370000000003</v>
      </c>
      <c r="N5603">
        <v>0</v>
      </c>
      <c r="O5603">
        <v>1.2887819999999999E-2</v>
      </c>
      <c r="P5603">
        <v>0.99332209999999999</v>
      </c>
      <c r="Q5603">
        <v>8.7452279999999993E-2</v>
      </c>
      <c r="R5603">
        <v>-7.5257950000000004E-2</v>
      </c>
      <c r="S5603">
        <v>3.0140380000000002</v>
      </c>
      <c r="T5603">
        <v>-0.15995509999999999</v>
      </c>
      <c r="U5603">
        <v>-0.26684570000000002</v>
      </c>
      <c r="V5603">
        <v>8.7988759999999999E-2</v>
      </c>
      <c r="W5603">
        <v>0.10176830000000001</v>
      </c>
      <c r="X5603">
        <v>0.99090929999999999</v>
      </c>
      <c r="Y5603">
        <v>0.1008621</v>
      </c>
      <c r="Z5603">
        <v>-3.3515849999999998E-3</v>
      </c>
      <c r="AA5603">
        <v>0.99489479999999997</v>
      </c>
      <c r="AB5603">
        <v>32</v>
      </c>
      <c r="AC5603">
        <v>20.7194</v>
      </c>
      <c r="AD5603">
        <v>-1.1109760539689999</v>
      </c>
      <c r="AE5603">
        <v>-1.8563999999999801</v>
      </c>
      <c r="AF5603">
        <v>2.1172623678506399</v>
      </c>
      <c r="AG5603">
        <v>-1.1109760539689999</v>
      </c>
      <c r="AH5603">
        <v>20.634896243480799</v>
      </c>
      <c r="AI5603">
        <v>93.065745693649305</v>
      </c>
      <c r="AJ5603">
        <v>84.1416158030422</v>
      </c>
      <c r="AK5603">
        <v>20.7729634550785</v>
      </c>
      <c r="AL5603">
        <v>84.158993980062505</v>
      </c>
      <c r="AM5603">
        <v>84.925673876446695</v>
      </c>
      <c r="AN5603">
        <v>1.0000000247988501</v>
      </c>
    </row>
    <row r="5604" spans="1:40" x14ac:dyDescent="0.25">
      <c r="A5604" t="str">
        <f>"20190312150804877"</f>
        <v>20190312150804877</v>
      </c>
      <c r="B5604" t="str">
        <f>"1552374484865312"</f>
        <v>1552374484865312</v>
      </c>
      <c r="C5604" t="s">
        <v>40</v>
      </c>
      <c r="D5604">
        <v>4.4337999999999997</v>
      </c>
      <c r="E5604">
        <v>0.50497939999999997</v>
      </c>
      <c r="F5604" t="s">
        <v>67</v>
      </c>
      <c r="G5604">
        <v>-257.77089999999998</v>
      </c>
      <c r="H5604" s="1">
        <v>2.6579899999999999E-6</v>
      </c>
      <c r="I5604">
        <v>213.25540000000001</v>
      </c>
      <c r="J5604">
        <v>-278.7792</v>
      </c>
      <c r="K5604">
        <v>1.1109880000000001</v>
      </c>
      <c r="L5604">
        <v>215.14529999999999</v>
      </c>
      <c r="M5604">
        <v>0.99981019999999998</v>
      </c>
      <c r="N5604">
        <v>0</v>
      </c>
      <c r="O5604">
        <v>1.3161839999999999E-2</v>
      </c>
      <c r="P5604">
        <v>0.99331420000000004</v>
      </c>
      <c r="Q5604">
        <v>8.7499259999999995E-2</v>
      </c>
      <c r="R5604">
        <v>-7.5305730000000001E-2</v>
      </c>
      <c r="S5604">
        <v>3.013763</v>
      </c>
      <c r="T5604">
        <v>-0.1574652</v>
      </c>
      <c r="U5604">
        <v>-0.2673645</v>
      </c>
      <c r="V5604">
        <v>8.830839E-2</v>
      </c>
      <c r="W5604">
        <v>0.1018133</v>
      </c>
      <c r="X5604">
        <v>0.99087619999999998</v>
      </c>
      <c r="Y5604">
        <v>0.1013165</v>
      </c>
      <c r="Z5604">
        <v>-3.3258839999999999E-3</v>
      </c>
      <c r="AA5604">
        <v>0.99484870000000003</v>
      </c>
      <c r="AB5604">
        <v>32</v>
      </c>
      <c r="AC5604">
        <v>21.008299999999998</v>
      </c>
      <c r="AD5604">
        <v>-1.11098534200999</v>
      </c>
      <c r="AE5604">
        <v>-1.8898999999999799</v>
      </c>
      <c r="AF5604">
        <v>2.1602796745538901</v>
      </c>
      <c r="AG5604">
        <v>-1.11098534200999</v>
      </c>
      <c r="AH5604">
        <v>20.923557066380098</v>
      </c>
      <c r="AI5604">
        <v>93.023358177552296</v>
      </c>
      <c r="AJ5604">
        <v>84.105309431532604</v>
      </c>
      <c r="AK5604">
        <v>21.0641006694451</v>
      </c>
      <c r="AL5604">
        <v>84.156401955580606</v>
      </c>
      <c r="AM5604">
        <v>84.907168295367896</v>
      </c>
      <c r="AN5604">
        <v>0.99999998176386096</v>
      </c>
    </row>
    <row r="5605" spans="1:40" x14ac:dyDescent="0.25">
      <c r="A5605" t="str">
        <f>"20190312150804899"</f>
        <v>20190312150804899</v>
      </c>
      <c r="B5605" t="str">
        <f>"1552374484895568"</f>
        <v>1552374484895568</v>
      </c>
      <c r="C5605" t="s">
        <v>40</v>
      </c>
      <c r="D5605">
        <v>4.4053909999999998</v>
      </c>
      <c r="E5605">
        <v>0.5049903</v>
      </c>
      <c r="F5605" t="s">
        <v>67</v>
      </c>
      <c r="G5605">
        <v>-257.28399999999999</v>
      </c>
      <c r="H5605" s="1">
        <v>2.3996560000000001E-6</v>
      </c>
      <c r="I5605">
        <v>213.2372</v>
      </c>
      <c r="J5605">
        <v>-278.4615</v>
      </c>
      <c r="K5605">
        <v>1.1109960000000001</v>
      </c>
      <c r="L5605">
        <v>215.1499</v>
      </c>
      <c r="M5605">
        <v>0.99980570000000002</v>
      </c>
      <c r="N5605">
        <v>0</v>
      </c>
      <c r="O5605">
        <v>1.350178E-2</v>
      </c>
      <c r="P5605">
        <v>0.99330459999999998</v>
      </c>
      <c r="Q5605">
        <v>8.7512399999999907E-2</v>
      </c>
      <c r="R5605">
        <v>-7.5420840000000003E-2</v>
      </c>
      <c r="S5605">
        <v>3.0136409999999998</v>
      </c>
      <c r="T5605">
        <v>-0.1557608</v>
      </c>
      <c r="U5605">
        <v>-0.26751710000000001</v>
      </c>
      <c r="V5605">
        <v>8.8760359999999996E-2</v>
      </c>
      <c r="W5605">
        <v>0.10182380000000001</v>
      </c>
      <c r="X5605">
        <v>0.99083480000000002</v>
      </c>
      <c r="Y5605">
        <v>0.1017106</v>
      </c>
      <c r="Z5605">
        <v>-3.3177430000000002E-3</v>
      </c>
      <c r="AA5605">
        <v>0.99480849999999998</v>
      </c>
      <c r="AB5605">
        <v>31</v>
      </c>
      <c r="AC5605">
        <v>21.177499999999998</v>
      </c>
      <c r="AD5605">
        <v>-1.110993600344</v>
      </c>
      <c r="AE5605">
        <v>-1.9127000000000001</v>
      </c>
      <c r="AF5605">
        <v>2.19250375654042</v>
      </c>
      <c r="AG5605">
        <v>-1.110993600344</v>
      </c>
      <c r="AH5605">
        <v>21.0921623633335</v>
      </c>
      <c r="AI5605">
        <v>92.999041246545204</v>
      </c>
      <c r="AJ5605">
        <v>84.065489323214905</v>
      </c>
      <c r="AK5605">
        <v>21.234893281193401</v>
      </c>
      <c r="AL5605">
        <v>84.155797573876399</v>
      </c>
      <c r="AM5605">
        <v>84.881028124267402</v>
      </c>
      <c r="AN5605">
        <v>1.0000000443224</v>
      </c>
    </row>
    <row r="5606" spans="1:40" x14ac:dyDescent="0.25">
      <c r="A5606" t="str">
        <f>"20190312150804921"</f>
        <v>20190312150804921</v>
      </c>
      <c r="B5606" t="str">
        <f>"1552374484916066"</f>
        <v>1552374484916066</v>
      </c>
      <c r="C5606" t="s">
        <v>40</v>
      </c>
      <c r="D5606">
        <v>4.4573900000000002</v>
      </c>
      <c r="E5606">
        <v>0.50512460000000003</v>
      </c>
      <c r="F5606" t="s">
        <v>67</v>
      </c>
      <c r="G5606">
        <v>-256.78089999999997</v>
      </c>
      <c r="H5606" s="1">
        <v>2.1325790000000002E-6</v>
      </c>
      <c r="I5606">
        <v>213.22239999999999</v>
      </c>
      <c r="J5606">
        <v>-278.15190000000001</v>
      </c>
      <c r="K5606">
        <v>1.110994</v>
      </c>
      <c r="L5606">
        <v>215.15440000000001</v>
      </c>
      <c r="M5606">
        <v>0.9998011</v>
      </c>
      <c r="N5606">
        <v>0</v>
      </c>
      <c r="O5606">
        <v>1.383211E-2</v>
      </c>
      <c r="P5606">
        <v>0.99322250000000001</v>
      </c>
      <c r="Q5606">
        <v>8.8192279999999998E-2</v>
      </c>
      <c r="R5606">
        <v>-7.5708369999999997E-2</v>
      </c>
      <c r="S5606">
        <v>3.0134889999999999</v>
      </c>
      <c r="T5606">
        <v>-0.15442229999999901</v>
      </c>
      <c r="U5606">
        <v>-0.26791379999999998</v>
      </c>
      <c r="V5606">
        <v>8.9374110000000007E-2</v>
      </c>
      <c r="W5606">
        <v>0.1024997</v>
      </c>
      <c r="X5606">
        <v>0.99070990000000003</v>
      </c>
      <c r="Y5606">
        <v>0.10217519999999999</v>
      </c>
      <c r="Z5606">
        <v>-3.3181790000000001E-3</v>
      </c>
      <c r="AA5606">
        <v>0.99476089999999995</v>
      </c>
      <c r="AB5606">
        <v>31</v>
      </c>
      <c r="AC5606">
        <v>21.370999999999999</v>
      </c>
      <c r="AD5606">
        <v>-1.110991867421</v>
      </c>
      <c r="AE5606">
        <v>-1.9320000000000099</v>
      </c>
      <c r="AF5606">
        <v>2.2214966555174498</v>
      </c>
      <c r="AG5606">
        <v>-1.110991867421</v>
      </c>
      <c r="AH5606">
        <v>21.285170953645999</v>
      </c>
      <c r="AI5606">
        <v>92.971762798941199</v>
      </c>
      <c r="AJ5606">
        <v>84.041709658201299</v>
      </c>
      <c r="AK5606">
        <v>21.429602255895599</v>
      </c>
      <c r="AL5606">
        <v>84.116867483501494</v>
      </c>
      <c r="AM5606">
        <v>84.845175749255901</v>
      </c>
      <c r="AN5606">
        <v>1.0000000129981901</v>
      </c>
    </row>
    <row r="5607" spans="1:40" x14ac:dyDescent="0.25">
      <c r="A5607" t="str">
        <f>"20190312150804943"</f>
        <v>20190312150804943</v>
      </c>
      <c r="B5607" t="str">
        <f>"1552374484935587"</f>
        <v>1552374484935587</v>
      </c>
      <c r="C5607" t="s">
        <v>40</v>
      </c>
      <c r="D5607">
        <v>4.3735970000000002</v>
      </c>
      <c r="E5607">
        <v>0.52073840000000005</v>
      </c>
      <c r="F5607" t="s">
        <v>67</v>
      </c>
      <c r="G5607">
        <v>-256.03809999999999</v>
      </c>
      <c r="H5607" s="1">
        <v>1.7394879999999999E-6</v>
      </c>
      <c r="I5607">
        <v>213.17320000000001</v>
      </c>
      <c r="J5607">
        <v>-277.84300000000002</v>
      </c>
      <c r="K5607">
        <v>1.111002</v>
      </c>
      <c r="L5607">
        <v>215.15899999999999</v>
      </c>
      <c r="M5607">
        <v>0.99979660000000004</v>
      </c>
      <c r="N5607">
        <v>0</v>
      </c>
      <c r="O5607">
        <v>1.4161190000000001E-2</v>
      </c>
      <c r="P5607">
        <v>0.99315070000000005</v>
      </c>
      <c r="Q5607">
        <v>8.8633459999999997E-2</v>
      </c>
      <c r="R5607">
        <v>-7.6131790000000005E-2</v>
      </c>
      <c r="S5607">
        <v>3.0133359999999998</v>
      </c>
      <c r="T5607">
        <v>-0.15138989999999999</v>
      </c>
      <c r="U5607">
        <v>-0.26997379999999999</v>
      </c>
      <c r="V5607">
        <v>9.0122910000000001E-2</v>
      </c>
      <c r="W5607">
        <v>0.102937</v>
      </c>
      <c r="X5607">
        <v>0.9905967</v>
      </c>
      <c r="Y5607">
        <v>0.1031859</v>
      </c>
      <c r="Z5607">
        <v>-3.2949849999999998E-3</v>
      </c>
      <c r="AA5607">
        <v>0.9946566</v>
      </c>
      <c r="AB5607">
        <v>31</v>
      </c>
      <c r="AC5607">
        <v>21.8049</v>
      </c>
      <c r="AD5607">
        <v>-1.111000260512</v>
      </c>
      <c r="AE5607">
        <v>-1.98580000000001</v>
      </c>
      <c r="AF5607">
        <v>2.2885236611925199</v>
      </c>
      <c r="AG5607">
        <v>-1.111000260512</v>
      </c>
      <c r="AH5607">
        <v>21.718669008040798</v>
      </c>
      <c r="AI5607">
        <v>92.912269962771006</v>
      </c>
      <c r="AJ5607">
        <v>83.984867823024999</v>
      </c>
      <c r="AK5607">
        <v>21.867149919628901</v>
      </c>
      <c r="AL5607">
        <v>84.091678687404098</v>
      </c>
      <c r="AM5607">
        <v>84.801632136264004</v>
      </c>
      <c r="AN5607">
        <v>0.99999999346337898</v>
      </c>
    </row>
    <row r="5608" spans="1:40" x14ac:dyDescent="0.25">
      <c r="A5608" t="str">
        <f>"20190312150804959"</f>
        <v>20190312150804959</v>
      </c>
      <c r="B5608" t="str">
        <f>"1552374484956080"</f>
        <v>1552374484956080</v>
      </c>
      <c r="C5608" t="s">
        <v>40</v>
      </c>
      <c r="D5608">
        <v>4.3630170000000001</v>
      </c>
      <c r="E5608">
        <v>0.52110820000000002</v>
      </c>
      <c r="F5608" t="s">
        <v>67</v>
      </c>
      <c r="G5608">
        <v>-246.0367</v>
      </c>
      <c r="H5608" s="1">
        <v>1.8350959999999999E-6</v>
      </c>
      <c r="I5608">
        <v>210.96780000000001</v>
      </c>
      <c r="J5608">
        <v>-277.62630000000001</v>
      </c>
      <c r="K5608">
        <v>1.111003</v>
      </c>
      <c r="L5608">
        <v>215.16229999999999</v>
      </c>
      <c r="M5608">
        <v>0.99979320000000005</v>
      </c>
      <c r="N5608">
        <v>0</v>
      </c>
      <c r="O5608">
        <v>1.439203E-2</v>
      </c>
      <c r="P5608">
        <v>0.99310929999999997</v>
      </c>
      <c r="Q5608">
        <v>8.8831010000000002E-2</v>
      </c>
      <c r="R5608">
        <v>-7.6438309999999995E-2</v>
      </c>
      <c r="S5608">
        <v>2.9997250000000002</v>
      </c>
      <c r="T5608">
        <v>-0.10478079999999999</v>
      </c>
      <c r="U5608">
        <v>-0.39527889999999999</v>
      </c>
      <c r="V5608">
        <v>9.06579E-2</v>
      </c>
      <c r="W5608">
        <v>0.1031315</v>
      </c>
      <c r="X5608">
        <v>0.99052759999999995</v>
      </c>
      <c r="Y5608">
        <v>0.1448035</v>
      </c>
      <c r="Z5608">
        <v>-3.0179199999999999E-3</v>
      </c>
      <c r="AA5608">
        <v>0.9894558</v>
      </c>
      <c r="AB5608">
        <v>31</v>
      </c>
      <c r="AC5608">
        <v>31.589600000000001</v>
      </c>
      <c r="AD5608">
        <v>-1.1110011649039999</v>
      </c>
      <c r="AE5608">
        <v>-4.1944999999999704</v>
      </c>
      <c r="AF5608">
        <v>4.6431072469700103</v>
      </c>
      <c r="AG5608">
        <v>-1.1110011649039999</v>
      </c>
      <c r="AH5608">
        <v>31.487681082575399</v>
      </c>
      <c r="AI5608">
        <v>91.999167401634693</v>
      </c>
      <c r="AJ5608">
        <v>81.611733936317805</v>
      </c>
      <c r="AK5608">
        <v>31.847556082896801</v>
      </c>
      <c r="AL5608">
        <v>84.080474734819504</v>
      </c>
      <c r="AM5608">
        <v>84.770581252661302</v>
      </c>
      <c r="AN5608">
        <v>0.999999943743208</v>
      </c>
    </row>
    <row r="5609" spans="1:40" x14ac:dyDescent="0.25">
      <c r="A5609" t="str">
        <f>"20190312150804976"</f>
        <v>20190312150804976</v>
      </c>
      <c r="B5609" t="str">
        <f>"1552374484965840"</f>
        <v>1552374484965840</v>
      </c>
      <c r="C5609" t="s">
        <v>40</v>
      </c>
      <c r="D5609">
        <v>4.3463849999999997</v>
      </c>
      <c r="E5609">
        <v>0.52112289999999994</v>
      </c>
      <c r="F5609" t="s">
        <v>67</v>
      </c>
      <c r="G5609">
        <v>-246.6155</v>
      </c>
      <c r="H5609" s="1">
        <v>2.1401929999999999E-6</v>
      </c>
      <c r="I5609">
        <v>211.03489999999999</v>
      </c>
      <c r="J5609">
        <v>-277.38060000000002</v>
      </c>
      <c r="K5609">
        <v>1.1110070000000001</v>
      </c>
      <c r="L5609">
        <v>215.1661</v>
      </c>
      <c r="M5609">
        <v>0.99978940000000005</v>
      </c>
      <c r="N5609">
        <v>0</v>
      </c>
      <c r="O5609">
        <v>1.465441E-2</v>
      </c>
      <c r="P5609">
        <v>0.99301550000000005</v>
      </c>
      <c r="Q5609">
        <v>8.9186650000000006E-2</v>
      </c>
      <c r="R5609">
        <v>-7.7239340000000004E-2</v>
      </c>
      <c r="S5609">
        <v>2.999695</v>
      </c>
      <c r="T5609">
        <v>-0.10746790000000001</v>
      </c>
      <c r="U5609">
        <v>-0.3992462</v>
      </c>
      <c r="V5609">
        <v>9.1717430000000003E-2</v>
      </c>
      <c r="W5609">
        <v>0.1034839</v>
      </c>
      <c r="X5609">
        <v>0.99039330000000003</v>
      </c>
      <c r="Y5609">
        <v>0.14634430000000001</v>
      </c>
      <c r="Z5609">
        <v>-3.131862E-3</v>
      </c>
      <c r="AA5609">
        <v>0.98922880000000002</v>
      </c>
      <c r="AB5609">
        <v>31</v>
      </c>
      <c r="AC5609">
        <v>30.7651</v>
      </c>
      <c r="AD5609">
        <v>-1.1110048598069999</v>
      </c>
      <c r="AE5609">
        <v>-4.1311999999999998</v>
      </c>
      <c r="AF5609">
        <v>4.5757855710959898</v>
      </c>
      <c r="AG5609">
        <v>-1.1110048598069999</v>
      </c>
      <c r="AH5609">
        <v>30.661970741638498</v>
      </c>
      <c r="AI5609">
        <v>92.052436742358594</v>
      </c>
      <c r="AJ5609">
        <v>81.512203998182798</v>
      </c>
      <c r="AK5609">
        <v>31.021421552731301</v>
      </c>
      <c r="AL5609">
        <v>84.060175103543401</v>
      </c>
      <c r="AM5609">
        <v>84.709095874161093</v>
      </c>
      <c r="AN5609">
        <v>0.99999994660495095</v>
      </c>
    </row>
    <row r="5610" spans="1:40" x14ac:dyDescent="0.25">
      <c r="A5610" t="str">
        <f>"20190312150804999"</f>
        <v>20190312150804999</v>
      </c>
      <c r="B5610" t="str">
        <f>"1552374484996096"</f>
        <v>1552374484996096</v>
      </c>
      <c r="C5610" t="s">
        <v>40</v>
      </c>
      <c r="D5610">
        <v>4.4145979999999998</v>
      </c>
      <c r="E5610">
        <v>0.52098029999999995</v>
      </c>
      <c r="F5610" t="s">
        <v>67</v>
      </c>
      <c r="G5610">
        <v>-246.19970000000001</v>
      </c>
      <c r="H5610" s="1">
        <v>1.9209760000000001E-6</v>
      </c>
      <c r="I5610">
        <v>210.98769999999999</v>
      </c>
      <c r="J5610">
        <v>-277.06299999999999</v>
      </c>
      <c r="K5610">
        <v>1.1110100000000001</v>
      </c>
      <c r="L5610">
        <v>215.1711</v>
      </c>
      <c r="M5610">
        <v>0.99978449999999996</v>
      </c>
      <c r="N5610">
        <v>0</v>
      </c>
      <c r="O5610">
        <v>1.4995609999999999E-2</v>
      </c>
      <c r="P5610">
        <v>0.99289329999999998</v>
      </c>
      <c r="Q5610">
        <v>8.974232E-2</v>
      </c>
      <c r="R5610">
        <v>-7.8161579999999994E-2</v>
      </c>
      <c r="S5610">
        <v>2.9994510000000001</v>
      </c>
      <c r="T5610">
        <v>-0.1068733</v>
      </c>
      <c r="U5610">
        <v>-0.401947</v>
      </c>
      <c r="V5610">
        <v>9.2975710000000003E-2</v>
      </c>
      <c r="W5610">
        <v>0.1040354</v>
      </c>
      <c r="X5610">
        <v>0.99021820000000005</v>
      </c>
      <c r="Y5610">
        <v>0.14756759999999999</v>
      </c>
      <c r="Z5610">
        <v>-3.1484070000000002E-3</v>
      </c>
      <c r="AA5610">
        <v>0.98904700000000001</v>
      </c>
      <c r="AB5610">
        <v>31</v>
      </c>
      <c r="AC5610">
        <v>30.863299999999899</v>
      </c>
      <c r="AD5610">
        <v>-1.111008079024</v>
      </c>
      <c r="AE5610">
        <v>-4.1833999999999998</v>
      </c>
      <c r="AF5610">
        <v>4.6398871719761701</v>
      </c>
      <c r="AG5610">
        <v>-1.111008079024</v>
      </c>
      <c r="AH5610">
        <v>30.757951744618602</v>
      </c>
      <c r="AI5610">
        <v>92.045558012405294</v>
      </c>
      <c r="AJ5610">
        <v>81.421519253052793</v>
      </c>
      <c r="AK5610">
        <v>31.1257849289719</v>
      </c>
      <c r="AL5610">
        <v>84.028405109092901</v>
      </c>
      <c r="AM5610">
        <v>84.635987047012506</v>
      </c>
      <c r="AN5610">
        <v>0.99999996535720104</v>
      </c>
    </row>
    <row r="5611" spans="1:40" x14ac:dyDescent="0.25">
      <c r="A5611" t="str">
        <f>"20190312150805022"</f>
        <v>20190312150805022</v>
      </c>
      <c r="B5611" t="str">
        <f>"1552374485015619"</f>
        <v>1552374485015619</v>
      </c>
      <c r="C5611" t="s">
        <v>40</v>
      </c>
      <c r="D5611">
        <v>4.3938410000000001</v>
      </c>
      <c r="E5611">
        <v>0.5206402</v>
      </c>
      <c r="F5611" t="s">
        <v>67</v>
      </c>
      <c r="G5611">
        <v>-245.69390000000001</v>
      </c>
      <c r="H5611" s="1">
        <v>1.6535379999999999E-6</v>
      </c>
      <c r="I5611">
        <v>210.94829999999999</v>
      </c>
      <c r="J5611">
        <v>-276.74630000000002</v>
      </c>
      <c r="K5611">
        <v>1.1110150000000001</v>
      </c>
      <c r="L5611">
        <v>215.1763</v>
      </c>
      <c r="M5611">
        <v>0.99977939999999998</v>
      </c>
      <c r="N5611">
        <v>0</v>
      </c>
      <c r="O5611">
        <v>1.534016E-2</v>
      </c>
      <c r="P5611">
        <v>0.99275369999999996</v>
      </c>
      <c r="Q5611">
        <v>9.03611E-2</v>
      </c>
      <c r="R5611">
        <v>-7.9216839999999997E-2</v>
      </c>
      <c r="S5611">
        <v>2.999298</v>
      </c>
      <c r="T5611">
        <v>-0.10622669999999999</v>
      </c>
      <c r="U5611">
        <v>-0.40376279999999998</v>
      </c>
      <c r="V5611">
        <v>9.4369419999999996E-2</v>
      </c>
      <c r="W5611">
        <v>0.10464909999999999</v>
      </c>
      <c r="X5611">
        <v>0.9900217</v>
      </c>
      <c r="Y5611">
        <v>0.14850360000000001</v>
      </c>
      <c r="Z5611">
        <v>-3.158049E-3</v>
      </c>
      <c r="AA5611">
        <v>0.98890679999999997</v>
      </c>
      <c r="AB5611">
        <v>31</v>
      </c>
      <c r="AC5611">
        <v>31.052399999999999</v>
      </c>
      <c r="AD5611">
        <v>-1.11101334646199</v>
      </c>
      <c r="AE5611">
        <v>-4.2279999999999998</v>
      </c>
      <c r="AF5611">
        <v>4.69799571420244</v>
      </c>
      <c r="AG5611">
        <v>-1.11101334646199</v>
      </c>
      <c r="AH5611">
        <v>30.944988462987101</v>
      </c>
      <c r="AI5611">
        <v>92.032924032234305</v>
      </c>
      <c r="AJ5611">
        <v>81.367409126616494</v>
      </c>
      <c r="AK5611">
        <v>31.319288391677802</v>
      </c>
      <c r="AL5611">
        <v>83.993049870891198</v>
      </c>
      <c r="AM5611">
        <v>84.554985757296194</v>
      </c>
      <c r="AN5611">
        <v>0.99999999401641804</v>
      </c>
    </row>
    <row r="5612" spans="1:40" x14ac:dyDescent="0.25">
      <c r="A5612" t="str">
        <f>"20190312150805043"</f>
        <v>20190312150805043</v>
      </c>
      <c r="B5612" t="str">
        <f>"1552374485036115"</f>
        <v>1552374485036115</v>
      </c>
      <c r="C5612" t="s">
        <v>40</v>
      </c>
      <c r="D5612">
        <v>4.3940939999999999</v>
      </c>
      <c r="E5612">
        <v>0.52032389999999995</v>
      </c>
      <c r="F5612" t="s">
        <v>67</v>
      </c>
      <c r="G5612">
        <v>-244.988</v>
      </c>
      <c r="H5612" s="1">
        <v>1.2802949999999999E-6</v>
      </c>
      <c r="I5612">
        <v>210.89400000000001</v>
      </c>
      <c r="J5612">
        <v>-276.43520000000001</v>
      </c>
      <c r="K5612">
        <v>1.111024</v>
      </c>
      <c r="L5612">
        <v>215.1814</v>
      </c>
      <c r="M5612">
        <v>0.99977400000000005</v>
      </c>
      <c r="N5612">
        <v>0</v>
      </c>
      <c r="O5612">
        <v>1.5684440000000001E-2</v>
      </c>
      <c r="P5612">
        <v>0.99257810000000002</v>
      </c>
      <c r="Q5612">
        <v>9.1473650000000004E-2</v>
      </c>
      <c r="R5612">
        <v>-8.0134410000000003E-2</v>
      </c>
      <c r="S5612">
        <v>2.9991759999999998</v>
      </c>
      <c r="T5612">
        <v>-0.1049215</v>
      </c>
      <c r="U5612">
        <v>-0.40440369999999998</v>
      </c>
      <c r="V5612">
        <v>9.5623959999999994E-2</v>
      </c>
      <c r="W5612">
        <v>0.1057573</v>
      </c>
      <c r="X5612">
        <v>0.98978350000000004</v>
      </c>
      <c r="Y5612">
        <v>0.14905879999999999</v>
      </c>
      <c r="Z5612">
        <v>-3.1410100000000001E-3</v>
      </c>
      <c r="AA5612">
        <v>0.98882340000000002</v>
      </c>
      <c r="AB5612">
        <v>31</v>
      </c>
      <c r="AC5612">
        <v>31.447199999999999</v>
      </c>
      <c r="AD5612">
        <v>-1.111022719705</v>
      </c>
      <c r="AE5612">
        <v>-4.2873999999999901</v>
      </c>
      <c r="AF5612">
        <v>4.7743045157037303</v>
      </c>
      <c r="AG5612">
        <v>-1.111022719705</v>
      </c>
      <c r="AH5612">
        <v>31.337676851935001</v>
      </c>
      <c r="AI5612">
        <v>92.007328814056706</v>
      </c>
      <c r="AJ5612">
        <v>81.337580889907002</v>
      </c>
      <c r="AK5612">
        <v>31.718738082853701</v>
      </c>
      <c r="AL5612">
        <v>83.929200175417094</v>
      </c>
      <c r="AM5612">
        <v>84.481724326179105</v>
      </c>
      <c r="AN5612">
        <v>0.99999996255081003</v>
      </c>
    </row>
    <row r="5613" spans="1:40" x14ac:dyDescent="0.25">
      <c r="A5613" t="str">
        <f>"20190312150805060"</f>
        <v>20190312150805060</v>
      </c>
      <c r="B5613" t="str">
        <f>"1552374485055632"</f>
        <v>1552374485055632</v>
      </c>
      <c r="C5613" t="s">
        <v>40</v>
      </c>
      <c r="D5613">
        <v>4.3967359999999998</v>
      </c>
      <c r="E5613">
        <v>0.52015920000000004</v>
      </c>
      <c r="F5613" t="s">
        <v>67</v>
      </c>
      <c r="G5613">
        <v>-244.12119999999999</v>
      </c>
      <c r="H5613" s="1">
        <v>8.2220159999999897E-7</v>
      </c>
      <c r="I5613">
        <v>210.8211</v>
      </c>
      <c r="J5613">
        <v>-276.20870000000002</v>
      </c>
      <c r="K5613">
        <v>1.1110340000000001</v>
      </c>
      <c r="L5613">
        <v>215.18520000000001</v>
      </c>
      <c r="M5613">
        <v>0.99977000000000005</v>
      </c>
      <c r="N5613">
        <v>0</v>
      </c>
      <c r="O5613">
        <v>1.5940380000000001E-2</v>
      </c>
      <c r="P5613">
        <v>0.99251239999999996</v>
      </c>
      <c r="Q5613">
        <v>9.1986899999999996E-2</v>
      </c>
      <c r="R5613">
        <v>-8.0360730000000005E-2</v>
      </c>
      <c r="S5613">
        <v>2.9992679999999998</v>
      </c>
      <c r="T5613">
        <v>-0.1031213</v>
      </c>
      <c r="U5613">
        <v>-0.40470889999999998</v>
      </c>
      <c r="V5613">
        <v>9.6101569999999997E-2</v>
      </c>
      <c r="W5613">
        <v>0.106268</v>
      </c>
      <c r="X5613">
        <v>0.98968259999999997</v>
      </c>
      <c r="Y5613">
        <v>0.14940980000000001</v>
      </c>
      <c r="Z5613">
        <v>-3.1018030000000002E-3</v>
      </c>
      <c r="AA5613">
        <v>0.9887705</v>
      </c>
      <c r="AB5613">
        <v>31</v>
      </c>
      <c r="AC5613">
        <v>32.087499999999999</v>
      </c>
      <c r="AD5613">
        <v>-1.1110331777983999</v>
      </c>
      <c r="AE5613">
        <v>-4.3640999999999996</v>
      </c>
      <c r="AF5613">
        <v>4.8693531647356201</v>
      </c>
      <c r="AG5613">
        <v>-1.1110331777983999</v>
      </c>
      <c r="AH5613">
        <v>31.976209713604501</v>
      </c>
      <c r="AI5613">
        <v>91.967315216250697</v>
      </c>
      <c r="AJ5613">
        <v>81.341489606373301</v>
      </c>
      <c r="AK5613">
        <v>32.363914822120996</v>
      </c>
      <c r="AL5613">
        <v>83.899773770287297</v>
      </c>
      <c r="AM5613">
        <v>84.4537718961287</v>
      </c>
      <c r="AN5613">
        <v>1.00000002416161</v>
      </c>
    </row>
    <row r="5614" spans="1:40" x14ac:dyDescent="0.25">
      <c r="A5614" t="str">
        <f>"20190312150805078"</f>
        <v>20190312150805078</v>
      </c>
      <c r="B5614" t="str">
        <f>"1552374485065391"</f>
        <v>1552374485065391</v>
      </c>
      <c r="C5614" t="s">
        <v>40</v>
      </c>
      <c r="D5614">
        <v>4.41486</v>
      </c>
      <c r="E5614">
        <v>0.51996529999999996</v>
      </c>
      <c r="F5614" t="s">
        <v>67</v>
      </c>
      <c r="G5614">
        <v>-243.68</v>
      </c>
      <c r="H5614" s="1">
        <v>5.8822790000000003E-7</v>
      </c>
      <c r="I5614">
        <v>210.8023</v>
      </c>
      <c r="J5614">
        <v>-275.97129999999999</v>
      </c>
      <c r="K5614">
        <v>1.1110450000000001</v>
      </c>
      <c r="L5614">
        <v>215.1893</v>
      </c>
      <c r="M5614">
        <v>0.99976560000000003</v>
      </c>
      <c r="N5614">
        <v>0</v>
      </c>
      <c r="O5614">
        <v>1.6212359999999999E-2</v>
      </c>
      <c r="P5614">
        <v>0.99226150000000002</v>
      </c>
      <c r="Q5614">
        <v>9.374064E-2</v>
      </c>
      <c r="R5614">
        <v>-8.142481E-2</v>
      </c>
      <c r="S5614">
        <v>2.9994510000000001</v>
      </c>
      <c r="T5614">
        <v>-0.1024475</v>
      </c>
      <c r="U5614">
        <v>-0.40414430000000001</v>
      </c>
      <c r="V5614">
        <v>9.7428909999999994E-2</v>
      </c>
      <c r="W5614">
        <v>0.1080164</v>
      </c>
      <c r="X5614">
        <v>0.98936349999999995</v>
      </c>
      <c r="Y5614">
        <v>0.14948910000000001</v>
      </c>
      <c r="Z5614">
        <v>-3.091997E-3</v>
      </c>
      <c r="AA5614">
        <v>0.98875860000000004</v>
      </c>
      <c r="AB5614">
        <v>31</v>
      </c>
      <c r="AC5614">
        <v>32.2912999999999</v>
      </c>
      <c r="AD5614">
        <v>-1.1110444117720999</v>
      </c>
      <c r="AE5614">
        <v>-4.3869999999999996</v>
      </c>
      <c r="AF5614">
        <v>4.90429472273805</v>
      </c>
      <c r="AG5614">
        <v>-1.1110444117720999</v>
      </c>
      <c r="AH5614">
        <v>32.178520421766301</v>
      </c>
      <c r="AI5614">
        <v>91.954938457782404</v>
      </c>
      <c r="AJ5614">
        <v>81.334296460797901</v>
      </c>
      <c r="AK5614">
        <v>32.569060516791701</v>
      </c>
      <c r="AL5614">
        <v>83.799017906234099</v>
      </c>
      <c r="AM5614">
        <v>84.3758539967681</v>
      </c>
      <c r="AN5614">
        <v>1.00000003515249</v>
      </c>
    </row>
    <row r="5615" spans="1:40" x14ac:dyDescent="0.25">
      <c r="A5615" t="str">
        <f>"20190312150805100"</f>
        <v>20190312150805100</v>
      </c>
      <c r="B5615" t="str">
        <f>"1552374485095648"</f>
        <v>1552374485095648</v>
      </c>
      <c r="C5615" t="s">
        <v>40</v>
      </c>
      <c r="D5615">
        <v>4.404344</v>
      </c>
      <c r="E5615">
        <v>0.51949509999999999</v>
      </c>
      <c r="F5615" t="s">
        <v>67</v>
      </c>
      <c r="G5615">
        <v>-242.07499999999999</v>
      </c>
      <c r="H5615" s="1">
        <v>-2.571094E-7</v>
      </c>
      <c r="I5615">
        <v>210.60239999999999</v>
      </c>
      <c r="J5615">
        <v>-275.65839999999997</v>
      </c>
      <c r="K5615">
        <v>1.1110530000000001</v>
      </c>
      <c r="L5615">
        <v>215.19470000000001</v>
      </c>
      <c r="M5615">
        <v>0.99975970000000003</v>
      </c>
      <c r="N5615">
        <v>0</v>
      </c>
      <c r="O5615">
        <v>1.65749E-2</v>
      </c>
      <c r="P5615">
        <v>0.99198649999999999</v>
      </c>
      <c r="Q5615">
        <v>9.5636319999999997E-2</v>
      </c>
      <c r="R5615">
        <v>-8.2563289999999998E-2</v>
      </c>
      <c r="S5615">
        <v>2.99939</v>
      </c>
      <c r="T5615">
        <v>-9.8313449999999997E-2</v>
      </c>
      <c r="U5615">
        <v>-0.40588380000000002</v>
      </c>
      <c r="V5615">
        <v>9.8919590000000002E-2</v>
      </c>
      <c r="W5615">
        <v>0.1099062</v>
      </c>
      <c r="X5615">
        <v>0.98900739999999998</v>
      </c>
      <c r="Y5615">
        <v>0.1504202</v>
      </c>
      <c r="Z5615">
        <v>-2.994259E-3</v>
      </c>
      <c r="AA5615">
        <v>0.98861759999999999</v>
      </c>
      <c r="AB5615">
        <v>31</v>
      </c>
      <c r="AC5615">
        <v>33.583399999999898</v>
      </c>
      <c r="AD5615">
        <v>-1.1110532571093901</v>
      </c>
      <c r="AE5615">
        <v>-4.5923000000000203</v>
      </c>
      <c r="AF5615">
        <v>5.1428422196113104</v>
      </c>
      <c r="AG5615">
        <v>-1.1110532571093901</v>
      </c>
      <c r="AH5615">
        <v>33.466703502226302</v>
      </c>
      <c r="AI5615">
        <v>91.879405692344804</v>
      </c>
      <c r="AJ5615">
        <v>81.263674273643105</v>
      </c>
      <c r="AK5615">
        <v>33.877773078257</v>
      </c>
      <c r="AL5615">
        <v>83.690091861404795</v>
      </c>
      <c r="AM5615">
        <v>84.288325647026596</v>
      </c>
      <c r="AN5615">
        <v>1.0000000476694799</v>
      </c>
    </row>
    <row r="5616" spans="1:40" x14ac:dyDescent="0.25">
      <c r="A5616" t="str">
        <f>"20190312150805122"</f>
        <v>20190312150805122</v>
      </c>
      <c r="B5616" t="str">
        <f>"1552374485116144"</f>
        <v>1552374485116144</v>
      </c>
      <c r="C5616" t="s">
        <v>40</v>
      </c>
      <c r="D5616">
        <v>4.447889</v>
      </c>
      <c r="E5616">
        <v>0.51923770000000002</v>
      </c>
      <c r="F5616" t="s">
        <v>67</v>
      </c>
      <c r="G5616">
        <v>-240.49959999999999</v>
      </c>
      <c r="H5616" s="1">
        <v>-1.088392E-6</v>
      </c>
      <c r="I5616">
        <v>210.44049999999999</v>
      </c>
      <c r="J5616">
        <v>-275.34399999999999</v>
      </c>
      <c r="K5616">
        <v>1.1110629999999999</v>
      </c>
      <c r="L5616">
        <v>215.2003</v>
      </c>
      <c r="M5616">
        <v>0.99975349999999996</v>
      </c>
      <c r="N5616">
        <v>0</v>
      </c>
      <c r="O5616">
        <v>1.694408E-2</v>
      </c>
      <c r="P5616">
        <v>0.99170919999999896</v>
      </c>
      <c r="Q5616">
        <v>9.7541450000000002E-2</v>
      </c>
      <c r="R5616">
        <v>-8.3658129999999997E-2</v>
      </c>
      <c r="S5616">
        <v>2.999603</v>
      </c>
      <c r="T5616">
        <v>-9.4790460000000007E-2</v>
      </c>
      <c r="U5616">
        <v>-0.4056091</v>
      </c>
      <c r="V5616">
        <v>0.10037310000000001</v>
      </c>
      <c r="W5616">
        <v>0.1118051</v>
      </c>
      <c r="X5616">
        <v>0.98864799999999997</v>
      </c>
      <c r="Y5616">
        <v>0.15069289999999999</v>
      </c>
      <c r="Z5616">
        <v>-2.902735E-3</v>
      </c>
      <c r="AA5616">
        <v>0.98857640000000002</v>
      </c>
      <c r="AB5616">
        <v>31</v>
      </c>
      <c r="AC5616">
        <v>34.8444</v>
      </c>
      <c r="AD5616">
        <v>-1.111064088392</v>
      </c>
      <c r="AE5616">
        <v>-4.75980000000001</v>
      </c>
      <c r="AF5616">
        <v>5.3442494058737404</v>
      </c>
      <c r="AG5616">
        <v>-1.111064088392</v>
      </c>
      <c r="AH5616">
        <v>34.7240791150384</v>
      </c>
      <c r="AI5616">
        <v>91.811351234077605</v>
      </c>
      <c r="AJ5616">
        <v>81.250479597619204</v>
      </c>
      <c r="AK5616">
        <v>35.150492678028598</v>
      </c>
      <c r="AL5616">
        <v>83.580617871426696</v>
      </c>
      <c r="AM5616">
        <v>84.202873939999094</v>
      </c>
      <c r="AN5616">
        <v>1.00000000374681</v>
      </c>
    </row>
    <row r="5617" spans="1:40" x14ac:dyDescent="0.25">
      <c r="A5617" t="str">
        <f>"20190312150805145"</f>
        <v>20190312150805145</v>
      </c>
      <c r="B5617" t="str">
        <f>"1552374485135668"</f>
        <v>1552374485135668</v>
      </c>
      <c r="C5617" t="s">
        <v>40</v>
      </c>
      <c r="D5617">
        <v>4.6552899999999999</v>
      </c>
      <c r="E5617">
        <v>0.51899430000000002</v>
      </c>
      <c r="F5617" t="s">
        <v>67</v>
      </c>
      <c r="G5617">
        <v>-238.6129</v>
      </c>
      <c r="H5617" s="1">
        <v>3.2390240000000001E-6</v>
      </c>
      <c r="I5617">
        <v>210.214</v>
      </c>
      <c r="J5617">
        <v>-275.0419</v>
      </c>
      <c r="K5617">
        <v>1.111078</v>
      </c>
      <c r="L5617">
        <v>215.20580000000001</v>
      </c>
      <c r="M5617">
        <v>0.99974739999999995</v>
      </c>
      <c r="N5617">
        <v>0</v>
      </c>
      <c r="O5617">
        <v>1.730162E-2</v>
      </c>
      <c r="P5617">
        <v>0.99141939999999995</v>
      </c>
      <c r="Q5617">
        <v>9.9519709999999997E-2</v>
      </c>
      <c r="R5617">
        <v>-8.4755540000000004E-2</v>
      </c>
      <c r="S5617">
        <v>2.9996640000000001</v>
      </c>
      <c r="T5617">
        <v>-9.0735440000000001E-2</v>
      </c>
      <c r="U5617">
        <v>-0.4072113</v>
      </c>
      <c r="V5617">
        <v>0.10181759999999999</v>
      </c>
      <c r="W5617">
        <v>0.11377660000000001</v>
      </c>
      <c r="X5617">
        <v>0.98827529999999997</v>
      </c>
      <c r="Y5617">
        <v>0.1515686</v>
      </c>
      <c r="Z5617">
        <v>-2.8024119999999998E-3</v>
      </c>
      <c r="AA5617">
        <v>0.98844279999999995</v>
      </c>
      <c r="AB5617">
        <v>31</v>
      </c>
      <c r="AC5617">
        <v>36.429000000000002</v>
      </c>
      <c r="AD5617">
        <v>-1.1110747609759899</v>
      </c>
      <c r="AE5617">
        <v>-4.99179999999998</v>
      </c>
      <c r="AF5617">
        <v>5.6162700765059199</v>
      </c>
      <c r="AG5617">
        <v>-1.1110747609759899</v>
      </c>
      <c r="AH5617">
        <v>36.304022117334704</v>
      </c>
      <c r="AI5617">
        <v>91.732379971181203</v>
      </c>
      <c r="AJ5617">
        <v>81.205994891768398</v>
      </c>
      <c r="AK5617">
        <v>36.752673353004703</v>
      </c>
      <c r="AL5617">
        <v>83.466933775162602</v>
      </c>
      <c r="AM5617">
        <v>84.117824241497203</v>
      </c>
      <c r="AN5617">
        <v>1.0000000034837</v>
      </c>
    </row>
    <row r="5618" spans="1:40" x14ac:dyDescent="0.25">
      <c r="A5618" t="str">
        <f>"20190312150805160"</f>
        <v>20190312150805160</v>
      </c>
      <c r="B5618" t="str">
        <f>"1552374485156160"</f>
        <v>1552374485156160</v>
      </c>
      <c r="C5618" t="s">
        <v>40</v>
      </c>
      <c r="D5618">
        <v>4.4674779999999998</v>
      </c>
      <c r="E5618">
        <v>0.51873959999999997</v>
      </c>
      <c r="F5618" t="s">
        <v>67</v>
      </c>
      <c r="G5618">
        <v>-234.63249999999999</v>
      </c>
      <c r="H5618" s="1">
        <v>1.143163E-6</v>
      </c>
      <c r="I5618">
        <v>209.70269999999999</v>
      </c>
      <c r="J5618">
        <v>-274.82709999999997</v>
      </c>
      <c r="K5618">
        <v>1.111084</v>
      </c>
      <c r="L5618">
        <v>215.2098</v>
      </c>
      <c r="M5618">
        <v>0.9997431</v>
      </c>
      <c r="N5618">
        <v>0</v>
      </c>
      <c r="O5618">
        <v>1.755727E-2</v>
      </c>
      <c r="P5618">
        <v>0.99126449999999999</v>
      </c>
      <c r="Q5618">
        <v>0.10031569999999999</v>
      </c>
      <c r="R5618">
        <v>-8.5626679999999997E-2</v>
      </c>
      <c r="S5618">
        <v>2.9993590000000001</v>
      </c>
      <c r="T5618">
        <v>-8.246887E-2</v>
      </c>
      <c r="U5618">
        <v>-0.40846250000000001</v>
      </c>
      <c r="V5618">
        <v>0.1029385</v>
      </c>
      <c r="W5618">
        <v>0.1145682</v>
      </c>
      <c r="X5618">
        <v>0.98806769999999999</v>
      </c>
      <c r="Y5618">
        <v>0.15225239999999901</v>
      </c>
      <c r="Z5618">
        <v>-2.5637360000000001E-3</v>
      </c>
      <c r="AA5618">
        <v>0.9883383</v>
      </c>
      <c r="AB5618">
        <v>31</v>
      </c>
      <c r="AC5618">
        <v>40.194599999999902</v>
      </c>
      <c r="AD5618">
        <v>-1.1110828568369999</v>
      </c>
      <c r="AE5618">
        <v>-5.5071000000000003</v>
      </c>
      <c r="AF5618">
        <v>6.2073751787190599</v>
      </c>
      <c r="AG5618">
        <v>-1.1110828568369999</v>
      </c>
      <c r="AH5618">
        <v>40.061655953232702</v>
      </c>
      <c r="AI5618">
        <v>91.569928145696394</v>
      </c>
      <c r="AJ5618">
        <v>81.192313791828795</v>
      </c>
      <c r="AK5618">
        <v>40.554929286577703</v>
      </c>
      <c r="AL5618">
        <v>83.421279836229303</v>
      </c>
      <c r="AM5618">
        <v>84.052289017182105</v>
      </c>
      <c r="AN5618">
        <v>0.99999999350838997</v>
      </c>
    </row>
    <row r="5619" spans="1:40" x14ac:dyDescent="0.25">
      <c r="A5619" t="str">
        <f>"20190312150805177"</f>
        <v>20190312150805177</v>
      </c>
      <c r="B5619" t="str">
        <f>"1552374485165920"</f>
        <v>1552374485165920</v>
      </c>
      <c r="C5619" t="s">
        <v>40</v>
      </c>
      <c r="D5619">
        <v>4.4579510000000004</v>
      </c>
      <c r="E5619">
        <v>0.51873959999999997</v>
      </c>
      <c r="F5619" t="s">
        <v>67</v>
      </c>
      <c r="G5619">
        <v>-233.8203</v>
      </c>
      <c r="H5619">
        <v>1.8434309999999999E-2</v>
      </c>
      <c r="I5619">
        <v>209.6163</v>
      </c>
      <c r="J5619">
        <v>-274.58679999999998</v>
      </c>
      <c r="K5619">
        <v>1.111089</v>
      </c>
      <c r="L5619">
        <v>215.21430000000001</v>
      </c>
      <c r="M5619">
        <v>0.99973809999999996</v>
      </c>
      <c r="N5619">
        <v>0</v>
      </c>
      <c r="O5619">
        <v>1.7843669999999999E-2</v>
      </c>
      <c r="P5619">
        <v>0.99094800000000005</v>
      </c>
      <c r="Q5619">
        <v>0.1019206</v>
      </c>
      <c r="R5619">
        <v>-8.7376129999999996E-2</v>
      </c>
      <c r="S5619">
        <v>2.9992070000000002</v>
      </c>
      <c r="T5619">
        <v>-7.9915520000000004E-2</v>
      </c>
      <c r="U5619">
        <v>-0.40910340000000001</v>
      </c>
      <c r="V5619">
        <v>0.10496419999999999</v>
      </c>
      <c r="W5619">
        <v>0.1161663</v>
      </c>
      <c r="X5619">
        <v>0.98766790000000004</v>
      </c>
      <c r="Y5619">
        <v>0.1527531</v>
      </c>
      <c r="Z5619">
        <v>-2.4987159999999998E-3</v>
      </c>
      <c r="AA5619">
        <v>0.98826119999999995</v>
      </c>
      <c r="AB5619">
        <v>31</v>
      </c>
      <c r="AC5619">
        <v>40.766499999999901</v>
      </c>
      <c r="AD5619">
        <v>-1.09265469</v>
      </c>
      <c r="AE5619">
        <v>-5.5980000000000096</v>
      </c>
      <c r="AF5619">
        <v>6.3201509309317299</v>
      </c>
      <c r="AG5619">
        <v>-1.09265469</v>
      </c>
      <c r="AH5619">
        <v>40.631460138202101</v>
      </c>
      <c r="AI5619">
        <v>91.522122388844394</v>
      </c>
      <c r="AJ5619">
        <v>81.158596315609699</v>
      </c>
      <c r="AK5619">
        <v>41.134581011888798</v>
      </c>
      <c r="AL5619">
        <v>83.329099900216306</v>
      </c>
      <c r="AM5619">
        <v>83.933672974663097</v>
      </c>
      <c r="AN5619">
        <v>0.99999998661386902</v>
      </c>
    </row>
    <row r="5620" spans="1:40" x14ac:dyDescent="0.25">
      <c r="A5620" t="str">
        <f>"20190312150805200"</f>
        <v>20190312150805200</v>
      </c>
      <c r="B5620" t="str">
        <f>"1552374485196175"</f>
        <v>1552374485196175</v>
      </c>
      <c r="C5620" t="s">
        <v>40</v>
      </c>
      <c r="D5620">
        <v>4.4678420000000001</v>
      </c>
      <c r="E5620">
        <v>0.50668349999999995</v>
      </c>
      <c r="F5620" t="s">
        <v>67</v>
      </c>
      <c r="G5620">
        <v>-233.4188</v>
      </c>
      <c r="H5620">
        <v>8.0000680000000005E-2</v>
      </c>
      <c r="I5620">
        <v>209.5299</v>
      </c>
      <c r="J5620">
        <v>-274.28030000000001</v>
      </c>
      <c r="K5620">
        <v>1.111102</v>
      </c>
      <c r="L5620">
        <v>215.22020000000001</v>
      </c>
      <c r="M5620">
        <v>0.99973140000000005</v>
      </c>
      <c r="N5620">
        <v>0</v>
      </c>
      <c r="O5620">
        <v>1.820834E-2</v>
      </c>
      <c r="P5620">
        <v>0.99055260000000001</v>
      </c>
      <c r="Q5620">
        <v>0.10392659999999999</v>
      </c>
      <c r="R5620">
        <v>-8.947012E-2</v>
      </c>
      <c r="S5620">
        <v>2.9986570000000001</v>
      </c>
      <c r="T5620">
        <v>-7.5103999999999893E-2</v>
      </c>
      <c r="U5620">
        <v>-0.4140472</v>
      </c>
      <c r="V5620">
        <v>0.1074103</v>
      </c>
      <c r="W5620">
        <v>0.1181642</v>
      </c>
      <c r="X5620">
        <v>0.98716780000000004</v>
      </c>
      <c r="Y5620">
        <v>0.15474289999999999</v>
      </c>
      <c r="Z5620">
        <v>-2.382379E-3</v>
      </c>
      <c r="AA5620">
        <v>0.98795189999999999</v>
      </c>
      <c r="AB5620">
        <v>31</v>
      </c>
      <c r="AC5620">
        <v>40.861499999999999</v>
      </c>
      <c r="AD5620">
        <v>-1.0311013200000001</v>
      </c>
      <c r="AE5620">
        <v>-5.6902999999999997</v>
      </c>
      <c r="AF5620">
        <v>6.4294369040695898</v>
      </c>
      <c r="AG5620">
        <v>-1.0311013200000001</v>
      </c>
      <c r="AH5620">
        <v>40.7256637542243</v>
      </c>
      <c r="AI5620">
        <v>91.432582222199898</v>
      </c>
      <c r="AJ5620">
        <v>81.028651405532003</v>
      </c>
      <c r="AK5620">
        <v>41.242945058005397</v>
      </c>
      <c r="AL5620">
        <v>83.213834890188807</v>
      </c>
      <c r="AM5620">
        <v>83.790273685534999</v>
      </c>
      <c r="AN5620">
        <v>1.00000000803228</v>
      </c>
    </row>
    <row r="5621" spans="1:40" x14ac:dyDescent="0.25">
      <c r="A5621" t="str">
        <f>"20190312150805234"</f>
        <v>20190312150805234</v>
      </c>
      <c r="B5621" t="str">
        <f>"1552374485225459"</f>
        <v>1552374485225459</v>
      </c>
      <c r="C5621" t="s">
        <v>40</v>
      </c>
      <c r="D5621">
        <v>4.504035</v>
      </c>
      <c r="E5621">
        <v>0.50607559999999996</v>
      </c>
      <c r="F5621" t="s">
        <v>67</v>
      </c>
      <c r="G5621">
        <v>-241.84110000000001</v>
      </c>
      <c r="H5621" s="1">
        <v>-4.3029129999999997E-7</v>
      </c>
      <c r="I5621">
        <v>211.7167</v>
      </c>
      <c r="J5621">
        <v>-273.81229999999999</v>
      </c>
      <c r="K5621">
        <v>1.1111139999999999</v>
      </c>
      <c r="L5621">
        <v>215.22929999999999</v>
      </c>
      <c r="M5621">
        <v>0.99972119999999998</v>
      </c>
      <c r="N5621">
        <v>0</v>
      </c>
      <c r="O5621">
        <v>1.8764510000000002E-2</v>
      </c>
      <c r="P5621">
        <v>0.99009979999999997</v>
      </c>
      <c r="Q5621">
        <v>0.1059746</v>
      </c>
      <c r="R5621">
        <v>-9.2041280000000003E-2</v>
      </c>
      <c r="S5621">
        <v>3.0100709999999999</v>
      </c>
      <c r="T5621">
        <v>-0.10310039999999999</v>
      </c>
      <c r="U5621">
        <v>-0.3250885</v>
      </c>
      <c r="V5621">
        <v>0.11052140000000001</v>
      </c>
      <c r="W5621">
        <v>0.1202009</v>
      </c>
      <c r="X5621">
        <v>0.98657830000000002</v>
      </c>
      <c r="Y5621">
        <v>0.12593099999999999</v>
      </c>
      <c r="Z5621">
        <v>-2.7906739999999999E-3</v>
      </c>
      <c r="AA5621">
        <v>0.99203509999999995</v>
      </c>
      <c r="AB5621">
        <v>31</v>
      </c>
      <c r="AC5621">
        <v>31.9711999999999</v>
      </c>
      <c r="AD5621">
        <v>-1.1111144302913001</v>
      </c>
      <c r="AE5621">
        <v>-3.5125999999999902</v>
      </c>
      <c r="AF5621">
        <v>4.1070655388200903</v>
      </c>
      <c r="AG5621">
        <v>-1.1111144302913001</v>
      </c>
      <c r="AH5621">
        <v>31.861626815605</v>
      </c>
      <c r="AI5621">
        <v>91.980897071142707</v>
      </c>
      <c r="AJ5621">
        <v>82.654894347943099</v>
      </c>
      <c r="AK5621">
        <v>32.144452491125797</v>
      </c>
      <c r="AL5621">
        <v>83.096302698069394</v>
      </c>
      <c r="AM5621">
        <v>83.608091993519594</v>
      </c>
      <c r="AN5621">
        <v>0.99999998912483001</v>
      </c>
    </row>
    <row r="5622" spans="1:40" x14ac:dyDescent="0.25">
      <c r="A5622" t="str">
        <f>"20190312150805255"</f>
        <v>20190312150805255</v>
      </c>
      <c r="B5622" t="str">
        <f>"1552374485245969"</f>
        <v>1552374485245969</v>
      </c>
      <c r="C5622" t="s">
        <v>40</v>
      </c>
      <c r="D5622">
        <v>4.509684</v>
      </c>
      <c r="E5622">
        <v>0.50554829999999995</v>
      </c>
      <c r="F5622" t="s">
        <v>67</v>
      </c>
      <c r="G5622">
        <v>-241.30449999999999</v>
      </c>
      <c r="H5622" s="1">
        <v>-7.1439499999999996E-7</v>
      </c>
      <c r="I5622">
        <v>211.6832</v>
      </c>
      <c r="J5622">
        <v>-273.5129</v>
      </c>
      <c r="K5622">
        <v>1.111116</v>
      </c>
      <c r="L5622">
        <v>215.2353</v>
      </c>
      <c r="M5622">
        <v>0.99971469999999996</v>
      </c>
      <c r="N5622">
        <v>0</v>
      </c>
      <c r="O5622">
        <v>1.9119690000000002E-2</v>
      </c>
      <c r="P5622">
        <v>0.98984729999999999</v>
      </c>
      <c r="Q5622">
        <v>0.10678840000000001</v>
      </c>
      <c r="R5622">
        <v>-9.3802239999999995E-2</v>
      </c>
      <c r="S5622">
        <v>3.0104679999999999</v>
      </c>
      <c r="T5622">
        <v>-0.1028975</v>
      </c>
      <c r="U5622">
        <v>-0.32839970000000002</v>
      </c>
      <c r="V5622">
        <v>0.1126277</v>
      </c>
      <c r="W5622">
        <v>0.121008</v>
      </c>
      <c r="X5622">
        <v>0.98624140000000005</v>
      </c>
      <c r="Y5622">
        <v>0.12734709999999999</v>
      </c>
      <c r="Z5622">
        <v>-2.8208869999999998E-3</v>
      </c>
      <c r="AA5622">
        <v>0.99185420000000002</v>
      </c>
      <c r="AB5622">
        <v>31</v>
      </c>
      <c r="AC5622">
        <v>32.208399999999997</v>
      </c>
      <c r="AD5622">
        <v>-1.111116714395</v>
      </c>
      <c r="AE5622">
        <v>-3.55209999999999</v>
      </c>
      <c r="AF5622">
        <v>4.1624341316828604</v>
      </c>
      <c r="AG5622">
        <v>-1.111116714395</v>
      </c>
      <c r="AH5622">
        <v>32.096849913619103</v>
      </c>
      <c r="AI5622">
        <v>91.966200483476698</v>
      </c>
      <c r="AJ5622">
        <v>82.610917302766197</v>
      </c>
      <c r="AK5622">
        <v>32.384691022626697</v>
      </c>
      <c r="AL5622">
        <v>83.0497194378231</v>
      </c>
      <c r="AM5622">
        <v>83.485107284401295</v>
      </c>
      <c r="AN5622">
        <v>1.00000001697262</v>
      </c>
    </row>
    <row r="5623" spans="1:40" x14ac:dyDescent="0.25">
      <c r="A5623" t="str">
        <f>"20190312150805278"</f>
        <v>20190312150805278</v>
      </c>
      <c r="B5623" t="str">
        <f>"1552374485275231"</f>
        <v>1552374485275231</v>
      </c>
      <c r="C5623" t="s">
        <v>40</v>
      </c>
      <c r="D5623">
        <v>4.512219</v>
      </c>
      <c r="E5623">
        <v>0.50513059999999999</v>
      </c>
      <c r="F5623" t="s">
        <v>67</v>
      </c>
      <c r="G5623">
        <v>-241.01920000000001</v>
      </c>
      <c r="H5623" s="1">
        <v>-8.6594609999999998E-7</v>
      </c>
      <c r="I5623">
        <v>211.67689999999999</v>
      </c>
      <c r="J5623">
        <v>-273.20870000000002</v>
      </c>
      <c r="K5623">
        <v>1.111119</v>
      </c>
      <c r="L5623">
        <v>215.2415</v>
      </c>
      <c r="M5623">
        <v>0.99970769999999998</v>
      </c>
      <c r="N5623">
        <v>0</v>
      </c>
      <c r="O5623">
        <v>1.9480649999999999E-2</v>
      </c>
      <c r="P5623">
        <v>0.98959520000000001</v>
      </c>
      <c r="Q5623">
        <v>0.1073872</v>
      </c>
      <c r="R5623">
        <v>-9.5757919999999996E-2</v>
      </c>
      <c r="S5623">
        <v>3.0105900000000001</v>
      </c>
      <c r="T5623">
        <v>-0.1029465</v>
      </c>
      <c r="U5623">
        <v>-0.32969670000000001</v>
      </c>
      <c r="V5623">
        <v>0.1149343</v>
      </c>
      <c r="W5623">
        <v>0.1216001</v>
      </c>
      <c r="X5623">
        <v>0.98590239999999996</v>
      </c>
      <c r="Y5623">
        <v>0.1281224</v>
      </c>
      <c r="Z5623">
        <v>-2.8475710000000001E-3</v>
      </c>
      <c r="AA5623">
        <v>0.99175429999999998</v>
      </c>
      <c r="AB5623">
        <v>31</v>
      </c>
      <c r="AC5623">
        <v>32.189500000000002</v>
      </c>
      <c r="AD5623">
        <v>-1.1111198659460999</v>
      </c>
      <c r="AE5623">
        <v>-3.5646000000000102</v>
      </c>
      <c r="AF5623">
        <v>4.1861327499683298</v>
      </c>
      <c r="AG5623">
        <v>-1.1111198659460999</v>
      </c>
      <c r="AH5623">
        <v>32.076186712721501</v>
      </c>
      <c r="AI5623">
        <v>91.967264860079595</v>
      </c>
      <c r="AJ5623">
        <v>82.5645835110967</v>
      </c>
      <c r="AK5623">
        <v>32.367268169961903</v>
      </c>
      <c r="AL5623">
        <v>83.015542172603105</v>
      </c>
      <c r="AM5623">
        <v>83.3506001984438</v>
      </c>
      <c r="AN5623">
        <v>1.0000000099811299</v>
      </c>
    </row>
    <row r="5624" spans="1:40" x14ac:dyDescent="0.25">
      <c r="A5624" t="str">
        <f>"20190312150805301"</f>
        <v>20190312150805301</v>
      </c>
      <c r="B5624" t="str">
        <f>"1552374485295728"</f>
        <v>1552374485295728</v>
      </c>
      <c r="C5624" t="s">
        <v>40</v>
      </c>
      <c r="D5624">
        <v>4.4966239999999997</v>
      </c>
      <c r="E5624">
        <v>0.50456849999999998</v>
      </c>
      <c r="F5624" t="s">
        <v>67</v>
      </c>
      <c r="G5624">
        <v>-237.8485</v>
      </c>
      <c r="H5624" s="1">
        <v>2.7832190000000002E-6</v>
      </c>
      <c r="I5624">
        <v>211.3349</v>
      </c>
      <c r="J5624">
        <v>-272.89190000000002</v>
      </c>
      <c r="K5624">
        <v>1.111124</v>
      </c>
      <c r="L5624">
        <v>215.24809999999999</v>
      </c>
      <c r="M5624">
        <v>0.99970040000000004</v>
      </c>
      <c r="N5624">
        <v>0</v>
      </c>
      <c r="O5624">
        <v>1.9856329999999998E-2</v>
      </c>
      <c r="P5624">
        <v>0.98939929999999998</v>
      </c>
      <c r="Q5624">
        <v>0.1080754</v>
      </c>
      <c r="R5624">
        <v>-9.6998680000000004E-2</v>
      </c>
      <c r="S5624">
        <v>3.0096129999999999</v>
      </c>
      <c r="T5624">
        <v>-9.4570399999999999E-2</v>
      </c>
      <c r="U5624">
        <v>-0.33250429999999997</v>
      </c>
      <c r="V5624">
        <v>0.1165417</v>
      </c>
      <c r="W5624">
        <v>0.1222821</v>
      </c>
      <c r="X5624">
        <v>0.98562930000000004</v>
      </c>
      <c r="Y5624">
        <v>0.1294563</v>
      </c>
      <c r="Z5624">
        <v>-2.6493739999999999E-3</v>
      </c>
      <c r="AA5624">
        <v>0.99158159999999895</v>
      </c>
      <c r="AB5624">
        <v>31</v>
      </c>
      <c r="AC5624">
        <v>35.043399999999998</v>
      </c>
      <c r="AD5624">
        <v>-1.1111212167810001</v>
      </c>
      <c r="AE5624">
        <v>-3.9131999999999798</v>
      </c>
      <c r="AF5624">
        <v>4.6037616052164001</v>
      </c>
      <c r="AG5624">
        <v>-1.1111212167810001</v>
      </c>
      <c r="AH5624">
        <v>34.924101834849999</v>
      </c>
      <c r="AI5624">
        <v>91.806649470764796</v>
      </c>
      <c r="AJ5624">
        <v>82.490459293945193</v>
      </c>
      <c r="AK5624">
        <v>35.243752641383402</v>
      </c>
      <c r="AL5624">
        <v>82.9761725675164</v>
      </c>
      <c r="AM5624">
        <v>83.256605156918496</v>
      </c>
      <c r="AN5624">
        <v>0.99999999841889498</v>
      </c>
    </row>
    <row r="5625" spans="1:40" x14ac:dyDescent="0.25">
      <c r="A5625" t="str">
        <f>"20190312150805324"</f>
        <v>20190312150805324</v>
      </c>
      <c r="B5625" t="str">
        <f>"1552374485315248"</f>
        <v>1552374485315248</v>
      </c>
      <c r="C5625" t="s">
        <v>40</v>
      </c>
      <c r="D5625">
        <v>4.5253360000000002</v>
      </c>
      <c r="E5625">
        <v>0.5041118</v>
      </c>
      <c r="F5625" t="s">
        <v>67</v>
      </c>
      <c r="G5625">
        <v>-237.55439999999999</v>
      </c>
      <c r="H5625" s="1">
        <v>2.626179E-6</v>
      </c>
      <c r="I5625">
        <v>211.34780000000001</v>
      </c>
      <c r="J5625">
        <v>-272.57799999999997</v>
      </c>
      <c r="K5625">
        <v>1.111124</v>
      </c>
      <c r="L5625">
        <v>215.25470000000001</v>
      </c>
      <c r="M5625">
        <v>0.9996929</v>
      </c>
      <c r="N5625">
        <v>0</v>
      </c>
      <c r="O5625">
        <v>2.0228969999999999E-2</v>
      </c>
      <c r="P5625">
        <v>0.98913110000000004</v>
      </c>
      <c r="Q5625">
        <v>0.1093838</v>
      </c>
      <c r="R5625">
        <v>-9.8260730000000004E-2</v>
      </c>
      <c r="S5625">
        <v>3.0099179999999999</v>
      </c>
      <c r="T5625">
        <v>-9.4641329999999996E-2</v>
      </c>
      <c r="U5625">
        <v>-0.33221440000000002</v>
      </c>
      <c r="V5625">
        <v>0.1181656</v>
      </c>
      <c r="W5625">
        <v>0.123583</v>
      </c>
      <c r="X5625">
        <v>0.98527370000000003</v>
      </c>
      <c r="Y5625">
        <v>0.12972020000000001</v>
      </c>
      <c r="Z5625">
        <v>-2.666926E-3</v>
      </c>
      <c r="AA5625">
        <v>0.99154699999999996</v>
      </c>
      <c r="AB5625">
        <v>31</v>
      </c>
      <c r="AC5625">
        <v>35.023599999999902</v>
      </c>
      <c r="AD5625">
        <v>-1.111121373821</v>
      </c>
      <c r="AE5625">
        <v>-3.9068999999999998</v>
      </c>
      <c r="AF5625">
        <v>4.61008144064294</v>
      </c>
      <c r="AG5625">
        <v>-1.111121373821</v>
      </c>
      <c r="AH5625">
        <v>34.902694298811703</v>
      </c>
      <c r="AI5625">
        <v>91.807695730134597</v>
      </c>
      <c r="AJ5625">
        <v>82.475709037843799</v>
      </c>
      <c r="AK5625">
        <v>35.2233659793187</v>
      </c>
      <c r="AL5625">
        <v>82.901067285198295</v>
      </c>
      <c r="AM5625">
        <v>83.161081491188199</v>
      </c>
      <c r="AN5625">
        <v>1.00000006541202</v>
      </c>
    </row>
    <row r="5626" spans="1:40" x14ac:dyDescent="0.25">
      <c r="A5626" t="str">
        <f>"20190312150805345"</f>
        <v>20190312150805345</v>
      </c>
      <c r="B5626" t="str">
        <f>"1552374485335744"</f>
        <v>1552374485335744</v>
      </c>
      <c r="C5626" t="s">
        <v>40</v>
      </c>
      <c r="D5626">
        <v>4.8013379999999897</v>
      </c>
      <c r="E5626">
        <v>0.50381030000000004</v>
      </c>
      <c r="F5626" t="s">
        <v>67</v>
      </c>
      <c r="G5626">
        <v>-235.36869999999999</v>
      </c>
      <c r="H5626" s="1">
        <v>1.4719949999999999E-6</v>
      </c>
      <c r="I5626">
        <v>211.14240000000001</v>
      </c>
      <c r="J5626">
        <v>-272.28910000000002</v>
      </c>
      <c r="K5626">
        <v>1.1111249999999999</v>
      </c>
      <c r="L5626">
        <v>215.261</v>
      </c>
      <c r="M5626">
        <v>0.99968590000000002</v>
      </c>
      <c r="N5626">
        <v>0</v>
      </c>
      <c r="O5626">
        <v>2.0572219999999999E-2</v>
      </c>
      <c r="P5626">
        <v>0.98893149999999996</v>
      </c>
      <c r="Q5626">
        <v>0.11017399999999999</v>
      </c>
      <c r="R5626">
        <v>-9.9379439999999999E-2</v>
      </c>
      <c r="S5626">
        <v>3.009827</v>
      </c>
      <c r="T5626">
        <v>-8.9877609999999997E-2</v>
      </c>
      <c r="U5626">
        <v>-0.33264159999999998</v>
      </c>
      <c r="V5626">
        <v>0.1196184</v>
      </c>
      <c r="W5626">
        <v>0.12436750000000001</v>
      </c>
      <c r="X5626">
        <v>0.98499959999999998</v>
      </c>
      <c r="Y5626">
        <v>0.13020979999999999</v>
      </c>
      <c r="Z5626">
        <v>-2.5503140000000001E-3</v>
      </c>
      <c r="AA5626">
        <v>0.99148320000000001</v>
      </c>
      <c r="AB5626">
        <v>31</v>
      </c>
      <c r="AC5626">
        <v>36.920400000000001</v>
      </c>
      <c r="AD5626">
        <v>-1.111123528005</v>
      </c>
      <c r="AE5626">
        <v>-4.1185999999999803</v>
      </c>
      <c r="AF5626">
        <v>4.8729813239719597</v>
      </c>
      <c r="AG5626">
        <v>-1.111123528005</v>
      </c>
      <c r="AH5626">
        <v>36.794931356713199</v>
      </c>
      <c r="AI5626">
        <v>91.714713973250795</v>
      </c>
      <c r="AJ5626">
        <v>82.455865990670503</v>
      </c>
      <c r="AK5626">
        <v>37.132836089147602</v>
      </c>
      <c r="AL5626">
        <v>82.8557689929698</v>
      </c>
      <c r="AM5626">
        <v>83.075903007439607</v>
      </c>
      <c r="AN5626">
        <v>1.00000002433748</v>
      </c>
    </row>
    <row r="5627" spans="1:40" x14ac:dyDescent="0.25">
      <c r="A5627" t="str">
        <f>"20190312150805367"</f>
        <v>20190312150805367</v>
      </c>
      <c r="B5627" t="str">
        <f>"1552374485355263"</f>
        <v>1552374485355263</v>
      </c>
      <c r="C5627" t="s">
        <v>40</v>
      </c>
      <c r="D5627">
        <v>4.5287379999999997</v>
      </c>
      <c r="E5627">
        <v>0.50361690000000003</v>
      </c>
      <c r="F5627" t="s">
        <v>67</v>
      </c>
      <c r="G5627">
        <v>-235.17869999999999</v>
      </c>
      <c r="H5627" s="1">
        <v>1.370661E-6</v>
      </c>
      <c r="I5627">
        <v>211.14779999999999</v>
      </c>
      <c r="J5627">
        <v>-271.9837</v>
      </c>
      <c r="K5627">
        <v>1.111127</v>
      </c>
      <c r="L5627">
        <v>215.26759999999999</v>
      </c>
      <c r="M5627">
        <v>0.99967859999999997</v>
      </c>
      <c r="N5627">
        <v>0</v>
      </c>
      <c r="O5627">
        <v>2.093455E-2</v>
      </c>
      <c r="P5627">
        <v>0.98886929999999995</v>
      </c>
      <c r="Q5627">
        <v>0.1106361</v>
      </c>
      <c r="R5627">
        <v>-9.9484939999999994E-2</v>
      </c>
      <c r="S5627">
        <v>3.010132</v>
      </c>
      <c r="T5627">
        <v>-9.0126510000000007E-2</v>
      </c>
      <c r="U5627">
        <v>-0.33363340000000002</v>
      </c>
      <c r="V5627">
        <v>0.1200803</v>
      </c>
      <c r="W5627">
        <v>0.1248245</v>
      </c>
      <c r="X5627">
        <v>0.98488560000000003</v>
      </c>
      <c r="Y5627">
        <v>0.1308801</v>
      </c>
      <c r="Z5627">
        <v>-2.5778910000000001E-3</v>
      </c>
      <c r="AA5627">
        <v>0.99139489999999997</v>
      </c>
      <c r="AB5627">
        <v>31</v>
      </c>
      <c r="AC5627">
        <v>36.805</v>
      </c>
      <c r="AD5627">
        <v>-1.1111256293389999</v>
      </c>
      <c r="AE5627">
        <v>-4.1197999999999899</v>
      </c>
      <c r="AF5627">
        <v>4.8850746403703402</v>
      </c>
      <c r="AG5627">
        <v>-1.1111256293389999</v>
      </c>
      <c r="AH5627">
        <v>36.677662853194001</v>
      </c>
      <c r="AI5627">
        <v>91.720027368547207</v>
      </c>
      <c r="AJ5627">
        <v>82.413461455205706</v>
      </c>
      <c r="AK5627">
        <v>37.018232086078001</v>
      </c>
      <c r="AL5627">
        <v>82.829379291546005</v>
      </c>
      <c r="AM5627">
        <v>83.048630371935005</v>
      </c>
      <c r="AN5627">
        <v>1.0000000396678399</v>
      </c>
    </row>
    <row r="5628" spans="1:40" x14ac:dyDescent="0.25">
      <c r="A5628" t="str">
        <f>"20190312150805390"</f>
        <v>20190312150805390</v>
      </c>
      <c r="B5628" t="str">
        <f>"1552374485385520"</f>
        <v>1552374485385520</v>
      </c>
      <c r="C5628" t="s">
        <v>40</v>
      </c>
      <c r="D5628">
        <v>4.5213989999999997</v>
      </c>
      <c r="E5628">
        <v>0.50304680000000002</v>
      </c>
      <c r="F5628" t="s">
        <v>67</v>
      </c>
      <c r="G5628">
        <v>-234.3391</v>
      </c>
      <c r="H5628" s="1">
        <v>9.255794E-7</v>
      </c>
      <c r="I5628">
        <v>211.1086</v>
      </c>
      <c r="J5628">
        <v>-271.67340000000002</v>
      </c>
      <c r="K5628">
        <v>1.111129</v>
      </c>
      <c r="L5628">
        <v>215.27449999999999</v>
      </c>
      <c r="M5628">
        <v>0.99967090000000003</v>
      </c>
      <c r="N5628">
        <v>0</v>
      </c>
      <c r="O5628">
        <v>2.1302959999999999E-2</v>
      </c>
      <c r="P5628">
        <v>0.98881300000000005</v>
      </c>
      <c r="Q5628">
        <v>0.11123</v>
      </c>
      <c r="R5628">
        <v>-9.9383440000000003E-2</v>
      </c>
      <c r="S5628">
        <v>3.0102540000000002</v>
      </c>
      <c r="T5628">
        <v>-8.8851330000000006E-2</v>
      </c>
      <c r="U5628">
        <v>-0.332580599999999</v>
      </c>
      <c r="V5628">
        <v>0.120341</v>
      </c>
      <c r="W5628">
        <v>0.125414</v>
      </c>
      <c r="X5628">
        <v>0.98477879999999995</v>
      </c>
      <c r="Y5628">
        <v>0.13090019999999999</v>
      </c>
      <c r="Z5628">
        <v>-2.5525180000000001E-3</v>
      </c>
      <c r="AA5628">
        <v>0.9913923</v>
      </c>
      <c r="AB5628">
        <v>31</v>
      </c>
      <c r="AC5628">
        <v>37.334299999999999</v>
      </c>
      <c r="AD5628">
        <v>-1.1111280744206</v>
      </c>
      <c r="AE5628">
        <v>-4.1658999999999899</v>
      </c>
      <c r="AF5628">
        <v>4.9560309386664096</v>
      </c>
      <c r="AG5628">
        <v>-1.1111280744206</v>
      </c>
      <c r="AH5628">
        <v>37.204522063622001</v>
      </c>
      <c r="AI5628">
        <v>91.695683161092305</v>
      </c>
      <c r="AJ5628">
        <v>82.412274741180696</v>
      </c>
      <c r="AK5628">
        <v>37.549611319497302</v>
      </c>
      <c r="AL5628">
        <v>82.7953353037895</v>
      </c>
      <c r="AM5628">
        <v>83.032938679688399</v>
      </c>
      <c r="AN5628">
        <v>0.99999995630321903</v>
      </c>
    </row>
    <row r="5629" spans="1:40" x14ac:dyDescent="0.25">
      <c r="A5629" t="str">
        <f>"20190312150805412"</f>
        <v>20190312150805412</v>
      </c>
      <c r="B5629" t="str">
        <f>"1552374485406016"</f>
        <v>1552374485406016</v>
      </c>
      <c r="C5629" t="s">
        <v>40</v>
      </c>
      <c r="D5629">
        <v>4.5329040000000003</v>
      </c>
      <c r="E5629">
        <v>0.50276889999999996</v>
      </c>
      <c r="F5629" t="s">
        <v>67</v>
      </c>
      <c r="G5629">
        <v>-234.94569999999999</v>
      </c>
      <c r="H5629" s="1">
        <v>1.2408959999999999E-6</v>
      </c>
      <c r="I5629">
        <v>211.28030000000001</v>
      </c>
      <c r="J5629">
        <v>-271.36799999999999</v>
      </c>
      <c r="K5629">
        <v>1.11113</v>
      </c>
      <c r="L5629">
        <v>215.28139999999999</v>
      </c>
      <c r="M5629">
        <v>0.99966290000000002</v>
      </c>
      <c r="N5629">
        <v>0</v>
      </c>
      <c r="O5629">
        <v>2.1666000000000001E-2</v>
      </c>
      <c r="P5629">
        <v>0.98887519999999995</v>
      </c>
      <c r="Q5629">
        <v>0.1112375</v>
      </c>
      <c r="R5629">
        <v>-9.8753199999999999E-2</v>
      </c>
      <c r="S5629">
        <v>3.0112920000000001</v>
      </c>
      <c r="T5629">
        <v>-9.1101050000000003E-2</v>
      </c>
      <c r="U5629">
        <v>-0.3274841</v>
      </c>
      <c r="V5629">
        <v>0.1200707</v>
      </c>
      <c r="W5629">
        <v>0.12541830000000001</v>
      </c>
      <c r="X5629">
        <v>0.98481129999999995</v>
      </c>
      <c r="Y5629">
        <v>0.12956199999999901</v>
      </c>
      <c r="Z5629">
        <v>-2.6072360000000002E-3</v>
      </c>
      <c r="AA5629">
        <v>0.99156789999999995</v>
      </c>
      <c r="AB5629">
        <v>31</v>
      </c>
      <c r="AC5629">
        <v>36.4223</v>
      </c>
      <c r="AD5629">
        <v>-1.111128759104</v>
      </c>
      <c r="AE5629">
        <v>-4.0010999999999797</v>
      </c>
      <c r="AF5629">
        <v>4.7849668190865602</v>
      </c>
      <c r="AG5629">
        <v>-1.111128759104</v>
      </c>
      <c r="AH5629">
        <v>36.293677390848799</v>
      </c>
      <c r="AI5629">
        <v>91.738524203620599</v>
      </c>
      <c r="AJ5629">
        <v>82.489427168859706</v>
      </c>
      <c r="AK5629">
        <v>36.624602839212798</v>
      </c>
      <c r="AL5629">
        <v>82.795087358563194</v>
      </c>
      <c r="AM5629">
        <v>83.048661392528103</v>
      </c>
      <c r="AN5629">
        <v>1.0000000097905299</v>
      </c>
    </row>
    <row r="5630" spans="1:40" x14ac:dyDescent="0.25">
      <c r="A5630" t="str">
        <f>"20190312150805434"</f>
        <v>20190312150805434</v>
      </c>
      <c r="B5630" t="str">
        <f>"1552374485425536"</f>
        <v>1552374485425536</v>
      </c>
      <c r="C5630" t="s">
        <v>40</v>
      </c>
      <c r="D5630">
        <v>4.5282619999999998</v>
      </c>
      <c r="E5630">
        <v>0.50247050000000004</v>
      </c>
      <c r="F5630" t="s">
        <v>67</v>
      </c>
      <c r="G5630">
        <v>-235.27199999999999</v>
      </c>
      <c r="H5630" s="1">
        <v>1.4090270000000001E-6</v>
      </c>
      <c r="I5630">
        <v>211.40629999999999</v>
      </c>
      <c r="J5630">
        <v>-271.06869999999998</v>
      </c>
      <c r="K5630">
        <v>1.111127</v>
      </c>
      <c r="L5630">
        <v>215.28829999999999</v>
      </c>
      <c r="M5630">
        <v>0.99965539999999997</v>
      </c>
      <c r="N5630">
        <v>0</v>
      </c>
      <c r="O5630">
        <v>2.2021120000000002E-2</v>
      </c>
      <c r="P5630">
        <v>0.98885999999999996</v>
      </c>
      <c r="Q5630">
        <v>0.1114962</v>
      </c>
      <c r="R5630">
        <v>-9.8615040000000001E-2</v>
      </c>
      <c r="S5630">
        <v>3.0119020000000001</v>
      </c>
      <c r="T5630">
        <v>-9.2714190000000002E-2</v>
      </c>
      <c r="U5630">
        <v>-0.323349</v>
      </c>
      <c r="V5630">
        <v>0.12028270000000001</v>
      </c>
      <c r="W5630">
        <v>0.1256728</v>
      </c>
      <c r="X5630">
        <v>0.98475299999999999</v>
      </c>
      <c r="Y5630">
        <v>0.12854479999999999</v>
      </c>
      <c r="Z5630">
        <v>-2.6483349999999999E-3</v>
      </c>
      <c r="AA5630">
        <v>0.99170020000000003</v>
      </c>
      <c r="AB5630">
        <v>30</v>
      </c>
      <c r="AC5630">
        <v>35.796699999999902</v>
      </c>
      <c r="AD5630">
        <v>-1.111125590973</v>
      </c>
      <c r="AE5630">
        <v>-3.8820000000000001</v>
      </c>
      <c r="AF5630">
        <v>4.6649800021834604</v>
      </c>
      <c r="AG5630">
        <v>-1.111125590973</v>
      </c>
      <c r="AH5630">
        <v>35.668556725449399</v>
      </c>
      <c r="AI5630">
        <v>91.7692094244575</v>
      </c>
      <c r="AJ5630">
        <v>82.548755518248896</v>
      </c>
      <c r="AK5630">
        <v>35.9894787038697</v>
      </c>
      <c r="AL5630">
        <v>82.780389405702607</v>
      </c>
      <c r="AM5630">
        <v>83.036100115746393</v>
      </c>
      <c r="AN5630">
        <v>1.00000002579406</v>
      </c>
    </row>
    <row r="5631" spans="1:40" x14ac:dyDescent="0.25">
      <c r="A5631" t="str">
        <f>"20190312150805456"</f>
        <v>20190312150805456</v>
      </c>
      <c r="B5631" t="str">
        <f>"1552374485446032"</f>
        <v>1552374485446032</v>
      </c>
      <c r="C5631" t="s">
        <v>40</v>
      </c>
      <c r="D5631">
        <v>4.8283839999999998</v>
      </c>
      <c r="E5631">
        <v>0.50225659999999905</v>
      </c>
      <c r="F5631" t="s">
        <v>67</v>
      </c>
      <c r="G5631">
        <v>-235.49870000000001</v>
      </c>
      <c r="H5631" s="1">
        <v>1.525167E-6</v>
      </c>
      <c r="I5631">
        <v>211.50909999999999</v>
      </c>
      <c r="J5631">
        <v>-270.77100000000002</v>
      </c>
      <c r="K5631">
        <v>1.1111310000000001</v>
      </c>
      <c r="L5631">
        <v>215.2953</v>
      </c>
      <c r="M5631">
        <v>0.99964759999999997</v>
      </c>
      <c r="N5631">
        <v>0</v>
      </c>
      <c r="O5631">
        <v>2.237486E-2</v>
      </c>
      <c r="P5631">
        <v>0.98885350000000005</v>
      </c>
      <c r="Q5631">
        <v>0.1114947</v>
      </c>
      <c r="R5631">
        <v>-9.8682290000000006E-2</v>
      </c>
      <c r="S5631">
        <v>3.0124819999999999</v>
      </c>
      <c r="T5631">
        <v>-9.4102980000000003E-2</v>
      </c>
      <c r="U5631">
        <v>-0.32006839999999998</v>
      </c>
      <c r="V5631">
        <v>0.1206989</v>
      </c>
      <c r="W5631">
        <v>0.125668</v>
      </c>
      <c r="X5631">
        <v>0.98470259999999998</v>
      </c>
      <c r="Y5631">
        <v>0.12780569999999999</v>
      </c>
      <c r="Z5631">
        <v>-2.6871389999999998E-3</v>
      </c>
      <c r="AA5631">
        <v>0.9917956</v>
      </c>
      <c r="AB5631">
        <v>30</v>
      </c>
      <c r="AC5631">
        <v>35.272299999999902</v>
      </c>
      <c r="AD5631">
        <v>-1.1111294748329901</v>
      </c>
      <c r="AE5631">
        <v>-3.7862</v>
      </c>
      <c r="AF5631">
        <v>4.5700618304492302</v>
      </c>
      <c r="AG5631">
        <v>-1.1111294748329901</v>
      </c>
      <c r="AH5631">
        <v>35.144265592373301</v>
      </c>
      <c r="AI5631">
        <v>91.795764578999595</v>
      </c>
      <c r="AJ5631">
        <v>82.590992001937806</v>
      </c>
      <c r="AK5631">
        <v>35.457572926967899</v>
      </c>
      <c r="AL5631">
        <v>82.780666004636899</v>
      </c>
      <c r="AM5631">
        <v>83.011887465617093</v>
      </c>
      <c r="AN5631">
        <v>0.99999994056598296</v>
      </c>
    </row>
    <row r="5632" spans="1:40" x14ac:dyDescent="0.25">
      <c r="A5632" t="str">
        <f>"20190312150805480"</f>
        <v>20190312150805480</v>
      </c>
      <c r="B5632" t="str">
        <f>"1552374485476175"</f>
        <v>1552374485476175</v>
      </c>
      <c r="C5632" t="s">
        <v>40</v>
      </c>
      <c r="D5632">
        <v>4.5641230000000004</v>
      </c>
      <c r="E5632">
        <v>0.50187559999999998</v>
      </c>
      <c r="F5632" t="s">
        <v>67</v>
      </c>
      <c r="G5632">
        <v>-236.4897</v>
      </c>
      <c r="H5632" s="1">
        <v>2.0454010000000002E-6</v>
      </c>
      <c r="I5632">
        <v>211.67230000000001</v>
      </c>
      <c r="J5632">
        <v>-270.45609999999999</v>
      </c>
      <c r="K5632">
        <v>1.1111340000000001</v>
      </c>
      <c r="L5632">
        <v>215.30269999999999</v>
      </c>
      <c r="M5632">
        <v>0.99963900000000006</v>
      </c>
      <c r="N5632">
        <v>0</v>
      </c>
      <c r="O5632">
        <v>2.274924E-2</v>
      </c>
      <c r="P5632">
        <v>0.98884309999999997</v>
      </c>
      <c r="Q5632">
        <v>0.1115945</v>
      </c>
      <c r="R5632">
        <v>-9.8671690000000006E-2</v>
      </c>
      <c r="S5632">
        <v>3.0130919999999999</v>
      </c>
      <c r="T5632">
        <v>-9.7660659999999996E-2</v>
      </c>
      <c r="U5632">
        <v>-0.31843569999999999</v>
      </c>
      <c r="V5632">
        <v>0.12105779999999999</v>
      </c>
      <c r="W5632">
        <v>0.1257636</v>
      </c>
      <c r="X5632">
        <v>0.98464640000000003</v>
      </c>
      <c r="Y5632">
        <v>0.12761889999999901</v>
      </c>
      <c r="Z5632">
        <v>-2.7972790000000002E-3</v>
      </c>
      <c r="AA5632">
        <v>0.99181929999999996</v>
      </c>
      <c r="AB5632">
        <v>30</v>
      </c>
      <c r="AC5632">
        <v>33.966399999999901</v>
      </c>
      <c r="AD5632">
        <v>-1.1111319545989999</v>
      </c>
      <c r="AE5632">
        <v>-3.6303999999999799</v>
      </c>
      <c r="AF5632">
        <v>4.3975962153434898</v>
      </c>
      <c r="AG5632">
        <v>-1.1111319545989999</v>
      </c>
      <c r="AH5632">
        <v>33.839207518369399</v>
      </c>
      <c r="AI5632">
        <v>91.864996429354605</v>
      </c>
      <c r="AJ5632">
        <v>82.595586711801801</v>
      </c>
      <c r="AK5632">
        <v>34.141842834929101</v>
      </c>
      <c r="AL5632">
        <v>82.775145180906193</v>
      </c>
      <c r="AM5632">
        <v>82.990918519944302</v>
      </c>
      <c r="AN5632">
        <v>1.0000000035293799</v>
      </c>
    </row>
    <row r="5633" spans="1:40" x14ac:dyDescent="0.25">
      <c r="A5633" t="str">
        <f>"20190312150805503"</f>
        <v>20190312150805503</v>
      </c>
      <c r="B5633" t="str">
        <f>"1552374485495695"</f>
        <v>1552374485495695</v>
      </c>
      <c r="C5633" t="s">
        <v>40</v>
      </c>
      <c r="D5633">
        <v>4.5636349999999997</v>
      </c>
      <c r="E5633">
        <v>0.49199900000000002</v>
      </c>
      <c r="F5633" t="s">
        <v>67</v>
      </c>
      <c r="G5633">
        <v>-236.91419999999999</v>
      </c>
      <c r="H5633" s="1">
        <v>2.2661519999999999E-6</v>
      </c>
      <c r="I5633">
        <v>211.7893</v>
      </c>
      <c r="J5633">
        <v>-270.14370000000002</v>
      </c>
      <c r="K5633">
        <v>1.1111310000000001</v>
      </c>
      <c r="L5633">
        <v>215.31020000000001</v>
      </c>
      <c r="M5633">
        <v>0.99963069999999998</v>
      </c>
      <c r="N5633">
        <v>0</v>
      </c>
      <c r="O5633">
        <v>2.3120330000000001E-2</v>
      </c>
      <c r="P5633">
        <v>0.98883940000000004</v>
      </c>
      <c r="Q5633">
        <v>0.1115809</v>
      </c>
      <c r="R5633">
        <v>-9.8725110000000005E-2</v>
      </c>
      <c r="S5633">
        <v>3.0136409999999998</v>
      </c>
      <c r="T5633">
        <v>-9.9831699999999995E-2</v>
      </c>
      <c r="U5633">
        <v>-0.3156738</v>
      </c>
      <c r="V5633">
        <v>0.1214774</v>
      </c>
      <c r="W5633">
        <v>0.12574560000000001</v>
      </c>
      <c r="X5633">
        <v>0.98459700000000006</v>
      </c>
      <c r="Y5633">
        <v>0.12706580000000001</v>
      </c>
      <c r="Z5633">
        <v>-2.8621749999999998E-3</v>
      </c>
      <c r="AA5633">
        <v>0.9918901</v>
      </c>
      <c r="AB5633">
        <v>30</v>
      </c>
      <c r="AC5633">
        <v>33.229500000000002</v>
      </c>
      <c r="AD5633">
        <v>-1.11112873384799</v>
      </c>
      <c r="AE5633">
        <v>-3.5209000000000099</v>
      </c>
      <c r="AF5633">
        <v>4.2835776834632702</v>
      </c>
      <c r="AG5633">
        <v>-1.11112873384799</v>
      </c>
      <c r="AH5633">
        <v>33.102601776964299</v>
      </c>
      <c r="AI5633">
        <v>91.906595154514804</v>
      </c>
      <c r="AJ5633">
        <v>82.626724644455805</v>
      </c>
      <c r="AK5633">
        <v>33.3970940238477</v>
      </c>
      <c r="AL5633">
        <v>82.776184612421702</v>
      </c>
      <c r="AM5633">
        <v>82.966517808870606</v>
      </c>
      <c r="AN5633">
        <v>0.99999998351955899</v>
      </c>
    </row>
    <row r="5634" spans="1:40" x14ac:dyDescent="0.25">
      <c r="A5634" t="str">
        <f>"20190312150805525"</f>
        <v>20190312150805525</v>
      </c>
      <c r="B5634" t="str">
        <f>"1552374485516192"</f>
        <v>1552374485516192</v>
      </c>
      <c r="C5634" t="s">
        <v>40</v>
      </c>
      <c r="D5634">
        <v>4.5639029999999998</v>
      </c>
      <c r="E5634">
        <v>0.4911123</v>
      </c>
      <c r="F5634" t="s">
        <v>67</v>
      </c>
      <c r="G5634">
        <v>-249.61320000000001</v>
      </c>
      <c r="H5634" s="1">
        <v>3.6192189999999999E-6</v>
      </c>
      <c r="I5634">
        <v>213.69390000000001</v>
      </c>
      <c r="J5634">
        <v>-269.8449</v>
      </c>
      <c r="K5634">
        <v>1.1111329999999999</v>
      </c>
      <c r="L5634">
        <v>215.3175</v>
      </c>
      <c r="M5634">
        <v>0.99962240000000002</v>
      </c>
      <c r="N5634">
        <v>0</v>
      </c>
      <c r="O5634">
        <v>2.3475510000000002E-2</v>
      </c>
      <c r="P5634">
        <v>0.98888030000000005</v>
      </c>
      <c r="Q5634">
        <v>0.1109443</v>
      </c>
      <c r="R5634">
        <v>-9.9033270000000007E-2</v>
      </c>
      <c r="S5634">
        <v>3.0285340000000001</v>
      </c>
      <c r="T5634">
        <v>-0.16390689999999999</v>
      </c>
      <c r="U5634">
        <v>-0.2384338</v>
      </c>
      <c r="V5634">
        <v>0.1221373</v>
      </c>
      <c r="W5634">
        <v>0.12510560000000001</v>
      </c>
      <c r="X5634">
        <v>0.9845969</v>
      </c>
      <c r="Y5634">
        <v>0.101688</v>
      </c>
      <c r="Z5634">
        <v>-4.0134350000000001E-3</v>
      </c>
      <c r="AA5634">
        <v>0.99480829999999998</v>
      </c>
      <c r="AB5634">
        <v>30</v>
      </c>
      <c r="AC5634">
        <v>20.231699999999901</v>
      </c>
      <c r="AD5634">
        <v>-1.1111293807810001</v>
      </c>
      <c r="AE5634">
        <v>-1.6235999999999799</v>
      </c>
      <c r="AF5634">
        <v>2.09188116130602</v>
      </c>
      <c r="AG5634">
        <v>-1.1111293807810001</v>
      </c>
      <c r="AH5634">
        <v>20.127683273814199</v>
      </c>
      <c r="AI5634">
        <v>93.142857117782796</v>
      </c>
      <c r="AJ5634">
        <v>84.066520631017099</v>
      </c>
      <c r="AK5634">
        <v>20.266578627505002</v>
      </c>
      <c r="AL5634">
        <v>82.813145864988201</v>
      </c>
      <c r="AM5634">
        <v>82.928694987086203</v>
      </c>
      <c r="AN5634">
        <v>0.99999999334612899</v>
      </c>
    </row>
    <row r="5635" spans="1:40" x14ac:dyDescent="0.25">
      <c r="A5635" t="str">
        <f>"20190312150805546"</f>
        <v>20190312150805546</v>
      </c>
      <c r="B5635" t="str">
        <f>"1552374485535712"</f>
        <v>1552374485535712</v>
      </c>
      <c r="C5635" t="s">
        <v>40</v>
      </c>
      <c r="D5635">
        <v>4.5635570000000003</v>
      </c>
      <c r="E5635">
        <v>0.49077470000000001</v>
      </c>
      <c r="F5635" t="s">
        <v>67</v>
      </c>
      <c r="G5635">
        <v>-249.67179999999999</v>
      </c>
      <c r="H5635" s="1">
        <v>3.6469429999999999E-6</v>
      </c>
      <c r="I5635">
        <v>213.77199999999999</v>
      </c>
      <c r="J5635">
        <v>-269.55840000000001</v>
      </c>
      <c r="K5635">
        <v>1.111132</v>
      </c>
      <c r="L5635">
        <v>215.3246</v>
      </c>
      <c r="M5635">
        <v>0.99961449999999996</v>
      </c>
      <c r="N5635">
        <v>0</v>
      </c>
      <c r="O5635">
        <v>2.3815969999999999E-2</v>
      </c>
      <c r="P5635">
        <v>0.98901919999999999</v>
      </c>
      <c r="Q5635">
        <v>0.1096723</v>
      </c>
      <c r="R5635">
        <v>-9.9060910000000002E-2</v>
      </c>
      <c r="S5635">
        <v>3.0292050000000001</v>
      </c>
      <c r="T5635">
        <v>-0.16684760000000001</v>
      </c>
      <c r="U5635">
        <v>-0.2320709</v>
      </c>
      <c r="V5635">
        <v>0.1225055</v>
      </c>
      <c r="W5635">
        <v>0.12383189999999999</v>
      </c>
      <c r="X5635">
        <v>0.98471220000000004</v>
      </c>
      <c r="Y5635">
        <v>9.9927890000000005E-2</v>
      </c>
      <c r="Z5635">
        <v>-4.0551069999999996E-3</v>
      </c>
      <c r="AA5635">
        <v>0.99498640000000005</v>
      </c>
      <c r="AB5635">
        <v>30</v>
      </c>
      <c r="AC5635">
        <v>19.886600000000001</v>
      </c>
      <c r="AD5635">
        <v>-1.111128353057</v>
      </c>
      <c r="AE5635">
        <v>-1.55259999999998</v>
      </c>
      <c r="AF5635">
        <v>2.0195599337294099</v>
      </c>
      <c r="AG5635">
        <v>-1.111128353057</v>
      </c>
      <c r="AH5635">
        <v>19.7825942886132</v>
      </c>
      <c r="AI5635">
        <v>93.198165022275703</v>
      </c>
      <c r="AJ5635">
        <v>84.1709983309851</v>
      </c>
      <c r="AK5635">
        <v>19.916432043183899</v>
      </c>
      <c r="AL5635">
        <v>82.8866957014164</v>
      </c>
      <c r="AM5635">
        <v>82.908416318272202</v>
      </c>
      <c r="AN5635">
        <v>1.00000002690834</v>
      </c>
    </row>
    <row r="5636" spans="1:40" x14ac:dyDescent="0.25">
      <c r="A5636" t="str">
        <f>"20190312150805568"</f>
        <v>20190312150805568</v>
      </c>
      <c r="B5636" t="str">
        <f>"1552374485565651"</f>
        <v>1552374485565651</v>
      </c>
      <c r="C5636" t="s">
        <v>40</v>
      </c>
      <c r="D5636">
        <v>4.5291370000000004</v>
      </c>
      <c r="E5636">
        <v>0.49074449999999997</v>
      </c>
      <c r="F5636" t="s">
        <v>67</v>
      </c>
      <c r="G5636">
        <v>-250.13640000000001</v>
      </c>
      <c r="H5636" s="1">
        <v>-1.430917E-6</v>
      </c>
      <c r="I5636">
        <v>213.8545</v>
      </c>
      <c r="J5636">
        <v>-269.2593</v>
      </c>
      <c r="K5636">
        <v>1.1111310000000001</v>
      </c>
      <c r="L5636">
        <v>215.3321</v>
      </c>
      <c r="M5636">
        <v>0.99960590000000005</v>
      </c>
      <c r="N5636">
        <v>0</v>
      </c>
      <c r="O5636">
        <v>2.417221E-2</v>
      </c>
      <c r="P5636">
        <v>0.98909429999999998</v>
      </c>
      <c r="Q5636">
        <v>0.1086738</v>
      </c>
      <c r="R5636">
        <v>-9.9411609999999997E-2</v>
      </c>
      <c r="S5636">
        <v>3.0296020000000001</v>
      </c>
      <c r="T5636">
        <v>-0.17332330000000001</v>
      </c>
      <c r="U5636">
        <v>-0.22932430000000001</v>
      </c>
      <c r="V5636">
        <v>0.12321029999999999</v>
      </c>
      <c r="W5636">
        <v>0.1228311</v>
      </c>
      <c r="X5636">
        <v>0.9847496</v>
      </c>
      <c r="Y5636">
        <v>9.9361350000000001E-2</v>
      </c>
      <c r="Z5636">
        <v>-4.2160059999999996E-3</v>
      </c>
      <c r="AA5636">
        <v>0.99504250000000005</v>
      </c>
      <c r="AB5636">
        <v>30</v>
      </c>
      <c r="AC5636">
        <v>19.122899999999898</v>
      </c>
      <c r="AD5636">
        <v>-1.1111324309170001</v>
      </c>
      <c r="AE5636">
        <v>-1.47759999999999</v>
      </c>
      <c r="AF5636">
        <v>1.9329707205823199</v>
      </c>
      <c r="AG5636">
        <v>-1.1111324309170001</v>
      </c>
      <c r="AH5636">
        <v>19.017764721572401</v>
      </c>
      <c r="AI5636">
        <v>93.326662937636797</v>
      </c>
      <c r="AJ5636">
        <v>84.196372066806205</v>
      </c>
      <c r="AK5636">
        <v>19.148012066288999</v>
      </c>
      <c r="AL5636">
        <v>82.944478381503103</v>
      </c>
      <c r="AM5636">
        <v>82.868303971117399</v>
      </c>
      <c r="AN5636">
        <v>1.0000000159267299</v>
      </c>
    </row>
    <row r="5637" spans="1:40" x14ac:dyDescent="0.25">
      <c r="A5637" t="str">
        <f>"20190312150805592"</f>
        <v>20190312150805592</v>
      </c>
      <c r="B5637" t="str">
        <f>"1552374485586151"</f>
        <v>1552374485586151</v>
      </c>
      <c r="C5637" t="s">
        <v>40</v>
      </c>
      <c r="D5637">
        <v>4.7188780000000001</v>
      </c>
      <c r="E5637">
        <v>0.48850959999999899</v>
      </c>
      <c r="F5637" t="s">
        <v>67</v>
      </c>
      <c r="G5637">
        <v>-250.34370000000001</v>
      </c>
      <c r="H5637" s="1">
        <v>-1.3223849999999901E-6</v>
      </c>
      <c r="I5637">
        <v>213.89570000000001</v>
      </c>
      <c r="J5637">
        <v>-268.95030000000003</v>
      </c>
      <c r="K5637">
        <v>1.1111219999999999</v>
      </c>
      <c r="L5637">
        <v>215.34</v>
      </c>
      <c r="M5637">
        <v>0.99959699999999996</v>
      </c>
      <c r="N5637">
        <v>0</v>
      </c>
      <c r="O5637">
        <v>2.4540090000000001E-2</v>
      </c>
      <c r="P5637">
        <v>0.98917239999999995</v>
      </c>
      <c r="Q5637">
        <v>0.1078249</v>
      </c>
      <c r="R5637">
        <v>-9.9558999999999995E-2</v>
      </c>
      <c r="S5637">
        <v>3.0295100000000001</v>
      </c>
      <c r="T5637">
        <v>-0.17795820000000001</v>
      </c>
      <c r="U5637">
        <v>-0.23005680000000001</v>
      </c>
      <c r="V5637">
        <v>0.12372320000000001</v>
      </c>
      <c r="W5637">
        <v>0.1219792</v>
      </c>
      <c r="X5637">
        <v>0.98479119999999998</v>
      </c>
      <c r="Y5637">
        <v>9.9956420000000004E-2</v>
      </c>
      <c r="Z5637">
        <v>-4.3676540000000003E-3</v>
      </c>
      <c r="AA5637">
        <v>0.99498220000000004</v>
      </c>
      <c r="AB5637">
        <v>30</v>
      </c>
      <c r="AC5637">
        <v>18.6066</v>
      </c>
      <c r="AD5637">
        <v>-1.1111233223849999</v>
      </c>
      <c r="AE5637">
        <v>-1.4442999999999899</v>
      </c>
      <c r="AF5637">
        <v>1.89380608226118</v>
      </c>
      <c r="AG5637">
        <v>-1.1111233223849999</v>
      </c>
      <c r="AH5637">
        <v>18.499971394321399</v>
      </c>
      <c r="AI5637">
        <v>93.419275928327806</v>
      </c>
      <c r="AJ5637">
        <v>84.155102423725495</v>
      </c>
      <c r="AK5637">
        <v>18.629815836595601</v>
      </c>
      <c r="AL5637">
        <v>82.993658590396294</v>
      </c>
      <c r="AM5637">
        <v>82.839223076756198</v>
      </c>
      <c r="AN5637">
        <v>1.00000003152415</v>
      </c>
    </row>
    <row r="5638" spans="1:40" x14ac:dyDescent="0.25">
      <c r="A5638" t="str">
        <f>"20190312150805613"</f>
        <v>20190312150805613</v>
      </c>
      <c r="B5638" t="str">
        <f>"1552374485605669"</f>
        <v>1552374485605669</v>
      </c>
      <c r="C5638" t="s">
        <v>40</v>
      </c>
      <c r="D5638">
        <v>5.0782109999999996</v>
      </c>
      <c r="E5638">
        <v>0.48912270000000002</v>
      </c>
      <c r="F5638" t="s">
        <v>41</v>
      </c>
      <c r="G5638">
        <v>-268.04219999999998</v>
      </c>
      <c r="H5638">
        <v>1.0419670000000001</v>
      </c>
      <c r="I5638">
        <v>215.27629999999999</v>
      </c>
      <c r="J5638">
        <v>-268.64920000000001</v>
      </c>
      <c r="K5638">
        <v>1.111116</v>
      </c>
      <c r="L5638">
        <v>215.3477</v>
      </c>
      <c r="M5638">
        <v>0.99958820000000004</v>
      </c>
      <c r="N5638">
        <v>0</v>
      </c>
      <c r="O5638">
        <v>2.4898190000000001E-2</v>
      </c>
      <c r="P5638">
        <v>0.98928300000000002</v>
      </c>
      <c r="Q5638">
        <v>0.1067497</v>
      </c>
      <c r="R5638">
        <v>-9.9620829999999994E-2</v>
      </c>
      <c r="S5638">
        <v>3.036591</v>
      </c>
      <c r="T5638">
        <v>-0.23126379999999999</v>
      </c>
      <c r="U5638">
        <v>-0.21282960000000001</v>
      </c>
      <c r="V5638">
        <v>0.124142</v>
      </c>
      <c r="W5638">
        <v>0.120902</v>
      </c>
      <c r="X5638">
        <v>0.98487130000000001</v>
      </c>
      <c r="Y5638">
        <v>9.4391009999999997E-2</v>
      </c>
      <c r="Z5638">
        <v>-5.4764159999999996E-3</v>
      </c>
      <c r="AA5638">
        <v>0.99552010000000002</v>
      </c>
      <c r="AB5638">
        <v>30</v>
      </c>
      <c r="AC5638">
        <v>0.60700000000002696</v>
      </c>
      <c r="AD5638">
        <v>-6.9148999999999905E-2</v>
      </c>
      <c r="AE5638">
        <v>-7.1400000000011205E-2</v>
      </c>
      <c r="AF5638">
        <v>8.5399445570234198E-2</v>
      </c>
      <c r="AG5638">
        <v>-6.9148999999999905E-2</v>
      </c>
      <c r="AH5638">
        <v>0.59738702835415503</v>
      </c>
      <c r="AI5638">
        <v>96.536868679334603</v>
      </c>
      <c r="AJ5638">
        <v>81.864404660112996</v>
      </c>
      <c r="AK5638">
        <v>0.60740917934330896</v>
      </c>
      <c r="AL5638">
        <v>83.055837617902597</v>
      </c>
      <c r="AM5638">
        <v>82.815815138031894</v>
      </c>
      <c r="AN5638">
        <v>1.0000000036658401</v>
      </c>
    </row>
    <row r="5639" spans="1:40" x14ac:dyDescent="0.25">
      <c r="A5639" t="str">
        <f>"20190312150805635"</f>
        <v>20190312150805635</v>
      </c>
      <c r="B5639" t="str">
        <f>"1552374485626181"</f>
        <v>1552374485626181</v>
      </c>
      <c r="C5639" t="s">
        <v>40</v>
      </c>
      <c r="D5639">
        <v>4.836849</v>
      </c>
      <c r="E5639">
        <v>0.49027929999999997</v>
      </c>
      <c r="F5639" t="s">
        <v>41</v>
      </c>
      <c r="G5639">
        <v>-267.77229999999997</v>
      </c>
      <c r="H5639">
        <v>1.043687</v>
      </c>
      <c r="I5639">
        <v>215.28489999999999</v>
      </c>
      <c r="J5639">
        <v>-268.35509999999999</v>
      </c>
      <c r="K5639">
        <v>1.1111150000000001</v>
      </c>
      <c r="L5639">
        <v>215.3554</v>
      </c>
      <c r="M5639">
        <v>0.99957949999999995</v>
      </c>
      <c r="N5639">
        <v>0</v>
      </c>
      <c r="O5639">
        <v>2.5248240000000002E-2</v>
      </c>
      <c r="P5639">
        <v>0.98945700000000003</v>
      </c>
      <c r="Q5639">
        <v>0.1052303</v>
      </c>
      <c r="R5639">
        <v>-9.9509390000000003E-2</v>
      </c>
      <c r="S5639">
        <v>3.0357970000000001</v>
      </c>
      <c r="T5639">
        <v>-0.23341729999999999</v>
      </c>
      <c r="U5639">
        <v>-0.2175446</v>
      </c>
      <c r="V5639">
        <v>0.12438159999999999</v>
      </c>
      <c r="W5639">
        <v>0.1193815</v>
      </c>
      <c r="X5639">
        <v>0.98502650000000003</v>
      </c>
      <c r="Y5639">
        <v>9.6282900000000005E-2</v>
      </c>
      <c r="Z5639">
        <v>-5.627791E-3</v>
      </c>
      <c r="AA5639">
        <v>0.9953381</v>
      </c>
      <c r="AB5639">
        <v>30</v>
      </c>
      <c r="AC5639">
        <v>0.58280000000001997</v>
      </c>
      <c r="AD5639">
        <v>-6.7427999999999794E-2</v>
      </c>
      <c r="AE5639">
        <v>-7.0500000000009694E-2</v>
      </c>
      <c r="AF5639">
        <v>8.4084394597122997E-2</v>
      </c>
      <c r="AG5639">
        <v>-6.7427999999999794E-2</v>
      </c>
      <c r="AH5639">
        <v>0.57327102060248203</v>
      </c>
      <c r="AI5639">
        <v>96.637915560040099</v>
      </c>
      <c r="AJ5639">
        <v>81.655653955373197</v>
      </c>
      <c r="AK5639">
        <v>0.58331499523103003</v>
      </c>
      <c r="AL5639">
        <v>83.143591218510906</v>
      </c>
      <c r="AM5639">
        <v>82.803216812903997</v>
      </c>
      <c r="AN5639">
        <v>0.99999996533152902</v>
      </c>
    </row>
    <row r="5640" spans="1:40" x14ac:dyDescent="0.25">
      <c r="A5640" t="str">
        <f>"20190312150805657"</f>
        <v>20190312150805657</v>
      </c>
      <c r="B5640" t="str">
        <f>"1552374485645683"</f>
        <v>1552374485645683</v>
      </c>
      <c r="C5640" t="s">
        <v>40</v>
      </c>
      <c r="D5640">
        <v>4.5810909999999998</v>
      </c>
      <c r="E5640">
        <v>0.48994510000000002</v>
      </c>
      <c r="F5640" t="s">
        <v>67</v>
      </c>
      <c r="G5640">
        <v>-250.02520000000001</v>
      </c>
      <c r="H5640" s="1">
        <v>-1.4960449999999999E-6</v>
      </c>
      <c r="I5640">
        <v>213.9907</v>
      </c>
      <c r="J5640">
        <v>-268.05880000000002</v>
      </c>
      <c r="K5640">
        <v>1.1111120000000001</v>
      </c>
      <c r="L5640">
        <v>215.36330000000001</v>
      </c>
      <c r="M5640">
        <v>0.99957050000000003</v>
      </c>
      <c r="N5640">
        <v>0</v>
      </c>
      <c r="O5640">
        <v>2.5601039999999999E-2</v>
      </c>
      <c r="P5640">
        <v>0.98959359999999996</v>
      </c>
      <c r="Q5640">
        <v>0.1042479</v>
      </c>
      <c r="R5640">
        <v>-9.9181610000000003E-2</v>
      </c>
      <c r="S5640">
        <v>3.0288089999999999</v>
      </c>
      <c r="T5640">
        <v>-0.18359909999999999</v>
      </c>
      <c r="U5640">
        <v>-0.2255096</v>
      </c>
      <c r="V5640">
        <v>0.12440660000000001</v>
      </c>
      <c r="W5640">
        <v>0.11839760000000001</v>
      </c>
      <c r="X5640">
        <v>0.98514210000000002</v>
      </c>
      <c r="Y5640">
        <v>9.9529489999999998E-2</v>
      </c>
      <c r="Z5640">
        <v>-4.5584120000000004E-3</v>
      </c>
      <c r="AA5640">
        <v>0.99502409999999997</v>
      </c>
      <c r="AB5640">
        <v>30</v>
      </c>
      <c r="AC5640">
        <v>18.0336</v>
      </c>
      <c r="AD5640">
        <v>-1.111113496045</v>
      </c>
      <c r="AE5640">
        <v>-1.3726</v>
      </c>
      <c r="AF5640">
        <v>1.82698021992055</v>
      </c>
      <c r="AG5640">
        <v>-1.111113496045</v>
      </c>
      <c r="AH5640">
        <v>17.924889560147601</v>
      </c>
      <c r="AI5640">
        <v>93.528830008850406</v>
      </c>
      <c r="AJ5640">
        <v>84.180270211753196</v>
      </c>
      <c r="AK5640">
        <v>18.051983150572799</v>
      </c>
      <c r="AL5640">
        <v>83.200367294481396</v>
      </c>
      <c r="AM5640">
        <v>82.802621276557304</v>
      </c>
      <c r="AN5640">
        <v>0.99999997550086395</v>
      </c>
    </row>
    <row r="5641" spans="1:40" x14ac:dyDescent="0.25">
      <c r="A5641" t="str">
        <f>"20190312150805680"</f>
        <v>20190312150805680</v>
      </c>
      <c r="B5641" t="str">
        <f>"1552374485675506"</f>
        <v>1552374485675506</v>
      </c>
      <c r="C5641" t="s">
        <v>40</v>
      </c>
      <c r="D5641">
        <v>4.7040629999999997</v>
      </c>
      <c r="E5641">
        <v>0.48961110000000002</v>
      </c>
      <c r="F5641" t="s">
        <v>67</v>
      </c>
      <c r="G5641">
        <v>-250.1695</v>
      </c>
      <c r="H5641" s="1">
        <v>-1.4220229999999999E-6</v>
      </c>
      <c r="I5641">
        <v>214.05430000000001</v>
      </c>
      <c r="J5641">
        <v>-267.75290000000001</v>
      </c>
      <c r="K5641">
        <v>1.111111</v>
      </c>
      <c r="L5641">
        <v>215.3716</v>
      </c>
      <c r="M5641">
        <v>0.99956120000000004</v>
      </c>
      <c r="N5641">
        <v>0</v>
      </c>
      <c r="O5641">
        <v>2.5965450000000001E-2</v>
      </c>
      <c r="P5641">
        <v>0.98968500000000004</v>
      </c>
      <c r="Q5641">
        <v>0.103574</v>
      </c>
      <c r="R5641">
        <v>-9.8976350000000005E-2</v>
      </c>
      <c r="S5641">
        <v>3.0291440000000001</v>
      </c>
      <c r="T5641">
        <v>-0.1881419</v>
      </c>
      <c r="U5641">
        <v>-0.22164919999999999</v>
      </c>
      <c r="V5641">
        <v>0.1245642</v>
      </c>
      <c r="W5641">
        <v>0.11772050000000001</v>
      </c>
      <c r="X5641">
        <v>0.9852033</v>
      </c>
      <c r="Y5641">
        <v>9.8612439999999996E-2</v>
      </c>
      <c r="Z5641">
        <v>-4.6648569999999997E-3</v>
      </c>
      <c r="AA5641">
        <v>0.99511499999999997</v>
      </c>
      <c r="AB5641">
        <v>30</v>
      </c>
      <c r="AC5641">
        <v>17.583400000000001</v>
      </c>
      <c r="AD5641">
        <v>-1.111112422023</v>
      </c>
      <c r="AE5641">
        <v>-1.3172999999999799</v>
      </c>
      <c r="AF5641">
        <v>1.7664488173934501</v>
      </c>
      <c r="AG5641">
        <v>-1.111112422023</v>
      </c>
      <c r="AH5641">
        <v>17.473877104766199</v>
      </c>
      <c r="AI5641">
        <v>93.619971151368006</v>
      </c>
      <c r="AJ5641">
        <v>84.227532173725393</v>
      </c>
      <c r="AK5641">
        <v>17.598047997187599</v>
      </c>
      <c r="AL5641">
        <v>83.239435310240594</v>
      </c>
      <c r="AM5641">
        <v>82.794042282560994</v>
      </c>
      <c r="AN5641">
        <v>0.99999994918638802</v>
      </c>
    </row>
    <row r="5642" spans="1:40" x14ac:dyDescent="0.25">
      <c r="A5642" t="str">
        <f>"20190312150805703"</f>
        <v>20190312150805703</v>
      </c>
      <c r="B5642" t="str">
        <f>"1552374485696002"</f>
        <v>1552374485696002</v>
      </c>
      <c r="C5642" t="s">
        <v>40</v>
      </c>
      <c r="D5642">
        <v>4.8326289999999998</v>
      </c>
      <c r="E5642">
        <v>0.4889578</v>
      </c>
      <c r="F5642" t="s">
        <v>41</v>
      </c>
      <c r="G5642">
        <v>-266.9649</v>
      </c>
      <c r="H5642">
        <v>1.0470889999999999</v>
      </c>
      <c r="I5642">
        <v>215.31469999999999</v>
      </c>
      <c r="J5642">
        <v>-267.4479</v>
      </c>
      <c r="K5642">
        <v>1.1111040000000001</v>
      </c>
      <c r="L5642">
        <v>215.37989999999999</v>
      </c>
      <c r="M5642">
        <v>0.99955159999999998</v>
      </c>
      <c r="N5642">
        <v>0</v>
      </c>
      <c r="O5642">
        <v>2.6329089999999999E-2</v>
      </c>
      <c r="P5642">
        <v>0.98978480000000002</v>
      </c>
      <c r="Q5642">
        <v>0.10331319999999999</v>
      </c>
      <c r="R5642">
        <v>-9.8247329999999994E-2</v>
      </c>
      <c r="S5642">
        <v>3.0351870000000001</v>
      </c>
      <c r="T5642">
        <v>-0.24665049999999999</v>
      </c>
      <c r="U5642">
        <v>-0.2189941</v>
      </c>
      <c r="V5642">
        <v>0.1241975</v>
      </c>
      <c r="W5642">
        <v>0.117457199999999</v>
      </c>
      <c r="X5642">
        <v>0.98528110000000002</v>
      </c>
      <c r="Y5642">
        <v>9.7795999999999994E-2</v>
      </c>
      <c r="Z5642">
        <v>-6.095825E-3</v>
      </c>
      <c r="AA5642">
        <v>0.99518779999999996</v>
      </c>
      <c r="AB5642">
        <v>30</v>
      </c>
      <c r="AC5642">
        <v>0.48300000000000398</v>
      </c>
      <c r="AD5642">
        <v>-6.40150000000001E-2</v>
      </c>
      <c r="AE5642">
        <v>-6.5200000000004296E-2</v>
      </c>
      <c r="AF5642">
        <v>7.6574610008148095E-2</v>
      </c>
      <c r="AG5642">
        <v>-6.40150000000001E-2</v>
      </c>
      <c r="AH5642">
        <v>0.47295648747376801</v>
      </c>
      <c r="AI5642">
        <v>97.610264660962898</v>
      </c>
      <c r="AJ5642">
        <v>80.803261177207503</v>
      </c>
      <c r="AK5642">
        <v>0.48337297210996899</v>
      </c>
      <c r="AL5642">
        <v>83.254627225761894</v>
      </c>
      <c r="AM5642">
        <v>82.815595033914306</v>
      </c>
      <c r="AN5642">
        <v>1.0000000294276401</v>
      </c>
    </row>
    <row r="5643" spans="1:40" x14ac:dyDescent="0.25">
      <c r="A5643" t="str">
        <f>"20190312150805726"</f>
        <v>20190312150805726</v>
      </c>
      <c r="B5643" t="str">
        <f>"1552374485715523"</f>
        <v>1552374485715523</v>
      </c>
      <c r="C5643" t="s">
        <v>40</v>
      </c>
      <c r="D5643">
        <v>4.6145519999999998</v>
      </c>
      <c r="E5643">
        <v>0.46605069999999998</v>
      </c>
      <c r="F5643" t="s">
        <v>41</v>
      </c>
      <c r="G5643">
        <v>-266.69459999999998</v>
      </c>
      <c r="H5643">
        <v>1.050422</v>
      </c>
      <c r="I5643">
        <v>215.3272</v>
      </c>
      <c r="J5643">
        <v>-267.14749999999998</v>
      </c>
      <c r="K5643">
        <v>1.1110990000000001</v>
      </c>
      <c r="L5643">
        <v>215.38820000000001</v>
      </c>
      <c r="M5643">
        <v>0.99954229999999999</v>
      </c>
      <c r="N5643">
        <v>0</v>
      </c>
      <c r="O5643">
        <v>2.6687180000000001E-2</v>
      </c>
      <c r="P5643">
        <v>0.98984709999999998</v>
      </c>
      <c r="Q5643">
        <v>0.1028375</v>
      </c>
      <c r="R5643">
        <v>-9.8119609999999996E-2</v>
      </c>
      <c r="S5643">
        <v>3.0354920000000001</v>
      </c>
      <c r="T5643">
        <v>-0.24471570000000001</v>
      </c>
      <c r="U5643">
        <v>-0.21159359999999999</v>
      </c>
      <c r="V5643">
        <v>0.1244257</v>
      </c>
      <c r="W5643">
        <v>0.1169785</v>
      </c>
      <c r="X5643">
        <v>0.9853092</v>
      </c>
      <c r="Y5643">
        <v>9.5742859999999999E-2</v>
      </c>
      <c r="Z5643">
        <v>-5.9943280000000002E-3</v>
      </c>
      <c r="AA5643">
        <v>0.99538800000000005</v>
      </c>
      <c r="AB5643">
        <v>30</v>
      </c>
      <c r="AC5643">
        <v>0.45289999999999903</v>
      </c>
      <c r="AD5643">
        <v>-6.0677000000000002E-2</v>
      </c>
      <c r="AE5643">
        <v>-6.1000000000007E-2</v>
      </c>
      <c r="AF5643">
        <v>7.1800328659149704E-2</v>
      </c>
      <c r="AG5643">
        <v>-6.0677000000000002E-2</v>
      </c>
      <c r="AH5643">
        <v>0.44329557354626797</v>
      </c>
      <c r="AI5643">
        <v>97.694987380716</v>
      </c>
      <c r="AJ5643">
        <v>80.799733921835895</v>
      </c>
      <c r="AK5643">
        <v>0.45315334165189203</v>
      </c>
      <c r="AL5643">
        <v>83.282244718364097</v>
      </c>
      <c r="AM5643">
        <v>82.802735858288301</v>
      </c>
      <c r="AN5643">
        <v>0.99999997194368895</v>
      </c>
    </row>
    <row r="5644" spans="1:40" x14ac:dyDescent="0.25">
      <c r="A5644" t="str">
        <f>"20190312150805747"</f>
        <v>20190312150805747</v>
      </c>
      <c r="B5644" t="str">
        <f>"1552374485736018"</f>
        <v>1552374485736018</v>
      </c>
      <c r="C5644" t="s">
        <v>40</v>
      </c>
      <c r="D5644">
        <v>4.5782319999999999</v>
      </c>
      <c r="E5644">
        <v>0.46600459999999999</v>
      </c>
      <c r="F5644" t="s">
        <v>41</v>
      </c>
      <c r="G5644">
        <v>-266.18549999999999</v>
      </c>
      <c r="H5644">
        <v>1.00654</v>
      </c>
      <c r="I5644">
        <v>215.37860000000001</v>
      </c>
      <c r="J5644">
        <v>-266.86430000000001</v>
      </c>
      <c r="K5644">
        <v>1.1110960000000001</v>
      </c>
      <c r="L5644">
        <v>215.39609999999999</v>
      </c>
      <c r="M5644">
        <v>0.99953329999999996</v>
      </c>
      <c r="N5644">
        <v>0</v>
      </c>
      <c r="O5644">
        <v>2.70228E-2</v>
      </c>
      <c r="P5644">
        <v>0.98998810000000004</v>
      </c>
      <c r="Q5644">
        <v>0.1018294</v>
      </c>
      <c r="R5644">
        <v>-9.7747909999999993E-2</v>
      </c>
      <c r="S5644">
        <v>3.062408</v>
      </c>
      <c r="T5644">
        <v>-0.33298810000000001</v>
      </c>
      <c r="U5644">
        <v>-3.0029299999999998E-2</v>
      </c>
      <c r="V5644">
        <v>0.1243903</v>
      </c>
      <c r="W5644">
        <v>0.1159683</v>
      </c>
      <c r="X5644">
        <v>0.98543309999999995</v>
      </c>
      <c r="Y5644">
        <v>3.6451860000000003E-2</v>
      </c>
      <c r="Z5644">
        <v>-4.9056300000000002E-3</v>
      </c>
      <c r="AA5644">
        <v>0.99932339999999997</v>
      </c>
      <c r="AB5644">
        <v>30</v>
      </c>
      <c r="AC5644">
        <v>0.67880000000002305</v>
      </c>
      <c r="AD5644">
        <v>-0.104555999999999</v>
      </c>
      <c r="AE5644">
        <v>-1.7499999999984001E-2</v>
      </c>
      <c r="AF5644">
        <v>3.5008505823754102E-2</v>
      </c>
      <c r="AG5644">
        <v>-0.104555999999999</v>
      </c>
      <c r="AH5644">
        <v>0.66237443087250703</v>
      </c>
      <c r="AI5644">
        <v>98.957842536294393</v>
      </c>
      <c r="AJ5644">
        <v>86.974558606518798</v>
      </c>
      <c r="AK5644">
        <v>0.671488971830283</v>
      </c>
      <c r="AL5644">
        <v>83.340521709523202</v>
      </c>
      <c r="AM5644">
        <v>82.805657256129706</v>
      </c>
      <c r="AN5644">
        <v>0.999999993957294</v>
      </c>
    </row>
    <row r="5645" spans="1:40" x14ac:dyDescent="0.25">
      <c r="A5645" t="str">
        <f>"20190312150805769"</f>
        <v>20190312150805769</v>
      </c>
      <c r="B5645" t="str">
        <f>"1552374485765911"</f>
        <v>1552374485765911</v>
      </c>
      <c r="C5645" t="s">
        <v>40</v>
      </c>
      <c r="D5645">
        <v>4.7251010000000004</v>
      </c>
      <c r="E5645">
        <v>0.46624389999999999</v>
      </c>
      <c r="F5645" t="s">
        <v>41</v>
      </c>
      <c r="G5645">
        <v>-265.90789999999998</v>
      </c>
      <c r="H5645">
        <v>1.028762</v>
      </c>
      <c r="I5645">
        <v>215.38720000000001</v>
      </c>
      <c r="J5645">
        <v>-266.55860000000001</v>
      </c>
      <c r="K5645">
        <v>1.111094</v>
      </c>
      <c r="L5645">
        <v>215.40479999999999</v>
      </c>
      <c r="M5645">
        <v>0.99952350000000001</v>
      </c>
      <c r="N5645">
        <v>0</v>
      </c>
      <c r="O5645">
        <v>2.7382409999999999E-2</v>
      </c>
      <c r="P5645">
        <v>0.99002780000000001</v>
      </c>
      <c r="Q5645">
        <v>0.1018003</v>
      </c>
      <c r="R5645">
        <v>-9.7376219999999999E-2</v>
      </c>
      <c r="S5645">
        <v>3.0546259999999998</v>
      </c>
      <c r="T5645">
        <v>-0.26300659999999998</v>
      </c>
      <c r="U5645">
        <v>-2.8289789999999999E-2</v>
      </c>
      <c r="V5645">
        <v>0.12437570000000001</v>
      </c>
      <c r="W5645">
        <v>0.1159356</v>
      </c>
      <c r="X5645">
        <v>0.98543879999999995</v>
      </c>
      <c r="Y5645">
        <v>3.6405439999999997E-2</v>
      </c>
      <c r="Z5645">
        <v>-3.9176899999999997E-3</v>
      </c>
      <c r="AA5645">
        <v>0.99932940000000003</v>
      </c>
      <c r="AB5645">
        <v>30</v>
      </c>
      <c r="AC5645">
        <v>0.65070000000002803</v>
      </c>
      <c r="AD5645">
        <v>-8.2331999999999794E-2</v>
      </c>
      <c r="AE5645">
        <v>-1.75999999999874E-2</v>
      </c>
      <c r="AF5645">
        <v>3.4855336036530397E-2</v>
      </c>
      <c r="AG5645">
        <v>-8.2331999999999794E-2</v>
      </c>
      <c r="AH5645">
        <v>0.63973960361247795</v>
      </c>
      <c r="AI5645">
        <v>97.322691851537002</v>
      </c>
      <c r="AJ5645">
        <v>86.881401311708899</v>
      </c>
      <c r="AK5645">
        <v>0.64595681984515796</v>
      </c>
      <c r="AL5645">
        <v>83.342408067545506</v>
      </c>
      <c r="AM5645">
        <v>82.806534000862598</v>
      </c>
      <c r="AN5645">
        <v>1.0000000033216401</v>
      </c>
    </row>
    <row r="5646" spans="1:40" x14ac:dyDescent="0.25">
      <c r="A5646" t="str">
        <f>"20190312150805786"</f>
        <v>20190312150805786</v>
      </c>
      <c r="B5646" t="str">
        <f>"1552374485775670"</f>
        <v>1552374485775670</v>
      </c>
      <c r="C5646" t="s">
        <v>40</v>
      </c>
      <c r="D5646">
        <v>4.5870709999999999</v>
      </c>
      <c r="E5646">
        <v>0.46620210000000001</v>
      </c>
      <c r="F5646" t="s">
        <v>41</v>
      </c>
      <c r="G5646">
        <v>-265.63979999999998</v>
      </c>
      <c r="H5646">
        <v>1.0324990000000001</v>
      </c>
      <c r="I5646">
        <v>215.39590000000001</v>
      </c>
      <c r="J5646">
        <v>-266.34309999999999</v>
      </c>
      <c r="K5646">
        <v>1.1110949999999999</v>
      </c>
      <c r="L5646">
        <v>215.411</v>
      </c>
      <c r="M5646">
        <v>0.99951670000000004</v>
      </c>
      <c r="N5646">
        <v>0</v>
      </c>
      <c r="O5646">
        <v>2.7632710000000001E-2</v>
      </c>
      <c r="P5646">
        <v>0.98999959999999998</v>
      </c>
      <c r="Q5646">
        <v>0.1020519</v>
      </c>
      <c r="R5646">
        <v>-9.7398559999999995E-2</v>
      </c>
      <c r="S5646">
        <v>3.0542600000000002</v>
      </c>
      <c r="T5646">
        <v>-0.261436</v>
      </c>
      <c r="U5646">
        <v>-2.8915409999999999E-2</v>
      </c>
      <c r="V5646">
        <v>0.12464500000000001</v>
      </c>
      <c r="W5646">
        <v>0.1161833</v>
      </c>
      <c r="X5646">
        <v>0.98537560000000002</v>
      </c>
      <c r="Y5646">
        <v>3.6861650000000003E-2</v>
      </c>
      <c r="Z5646">
        <v>-3.9357139999999999E-3</v>
      </c>
      <c r="AA5646">
        <v>0.9993126</v>
      </c>
      <c r="AB5646">
        <v>30</v>
      </c>
      <c r="AC5646">
        <v>0.70330000000001203</v>
      </c>
      <c r="AD5646">
        <v>-7.8596000000000096E-2</v>
      </c>
      <c r="AE5646">
        <v>-1.50999999999612E-2</v>
      </c>
      <c r="AF5646">
        <v>3.4104560902345302E-2</v>
      </c>
      <c r="AG5646">
        <v>-7.8596000000000096E-2</v>
      </c>
      <c r="AH5646">
        <v>0.69395148281383801</v>
      </c>
      <c r="AI5646">
        <v>96.453983095163295</v>
      </c>
      <c r="AJ5646">
        <v>87.186436604912302</v>
      </c>
      <c r="AK5646">
        <v>0.69922036068028404</v>
      </c>
      <c r="AL5646">
        <v>83.328119349160005</v>
      </c>
      <c r="AM5646">
        <v>82.790664791816496</v>
      </c>
      <c r="AN5646">
        <v>1.00000000414962</v>
      </c>
    </row>
    <row r="5647" spans="1:40" x14ac:dyDescent="0.25">
      <c r="A5647" t="str">
        <f>"20190312150805802"</f>
        <v>20190312150805802</v>
      </c>
      <c r="B5647" t="str">
        <f>"1552374485796170"</f>
        <v>1552374485796170</v>
      </c>
      <c r="C5647" t="s">
        <v>40</v>
      </c>
      <c r="D5647">
        <v>4.5939249999999996</v>
      </c>
      <c r="E5647">
        <v>0.46609430000000002</v>
      </c>
      <c r="F5647" t="s">
        <v>41</v>
      </c>
      <c r="G5647">
        <v>-265.37549999999999</v>
      </c>
      <c r="H5647">
        <v>1.0289969999999999</v>
      </c>
      <c r="I5647">
        <v>215.40190000000001</v>
      </c>
      <c r="J5647">
        <v>-266.1103</v>
      </c>
      <c r="K5647">
        <v>1.1110930000000001</v>
      </c>
      <c r="L5647">
        <v>215.4177</v>
      </c>
      <c r="M5647">
        <v>0.99950939999999999</v>
      </c>
      <c r="N5647">
        <v>0</v>
      </c>
      <c r="O5647">
        <v>2.7898650000000001E-2</v>
      </c>
      <c r="P5647">
        <v>0.99003479999999999</v>
      </c>
      <c r="Q5647">
        <v>0.102349</v>
      </c>
      <c r="R5647">
        <v>-9.6728670000000003E-2</v>
      </c>
      <c r="S5647">
        <v>3.0541990000000001</v>
      </c>
      <c r="T5647">
        <v>-0.25913969999999997</v>
      </c>
      <c r="U5647">
        <v>-2.870178E-2</v>
      </c>
      <c r="V5647">
        <v>0.1242398</v>
      </c>
      <c r="W5647">
        <v>0.116477</v>
      </c>
      <c r="X5647">
        <v>0.98539209999999999</v>
      </c>
      <c r="Y5647">
        <v>3.7060280000000001E-2</v>
      </c>
      <c r="Z5647">
        <v>-3.9322810000000001E-3</v>
      </c>
      <c r="AA5647">
        <v>0.99930529999999995</v>
      </c>
      <c r="AB5647">
        <v>30</v>
      </c>
      <c r="AC5647">
        <v>0.734800000000007</v>
      </c>
      <c r="AD5647">
        <v>-8.2096000000000099E-2</v>
      </c>
      <c r="AE5647">
        <v>-1.5799999999984399E-2</v>
      </c>
      <c r="AF5647">
        <v>3.58485766367529E-2</v>
      </c>
      <c r="AG5647">
        <v>-8.2096000000000099E-2</v>
      </c>
      <c r="AH5647">
        <v>0.72502702950752496</v>
      </c>
      <c r="AI5647">
        <v>96.4523635412244</v>
      </c>
      <c r="AJ5647">
        <v>87.169345844556602</v>
      </c>
      <c r="AK5647">
        <v>0.73054025705595904</v>
      </c>
      <c r="AL5647">
        <v>83.311176553570306</v>
      </c>
      <c r="AM5647">
        <v>82.813974803302401</v>
      </c>
      <c r="AN5647">
        <v>1.00000000508772</v>
      </c>
    </row>
    <row r="5648" spans="1:40" x14ac:dyDescent="0.25">
      <c r="A5648" t="str">
        <f>"20190312150805825"</f>
        <v>20190312150805825</v>
      </c>
      <c r="B5648" t="str">
        <f>"1552374485815686"</f>
        <v>1552374485815686</v>
      </c>
      <c r="C5648" t="s">
        <v>40</v>
      </c>
      <c r="D5648">
        <v>4.5914400000000004</v>
      </c>
      <c r="E5648">
        <v>0.46592050000000002</v>
      </c>
      <c r="F5648" t="s">
        <v>41</v>
      </c>
      <c r="G5648">
        <v>-265.36340000000001</v>
      </c>
      <c r="H5648">
        <v>1.0476510000000001</v>
      </c>
      <c r="I5648">
        <v>215.41130000000001</v>
      </c>
      <c r="J5648">
        <v>-265.82100000000003</v>
      </c>
      <c r="K5648">
        <v>1.111086</v>
      </c>
      <c r="L5648">
        <v>215.42609999999999</v>
      </c>
      <c r="M5648">
        <v>0.99950030000000001</v>
      </c>
      <c r="N5648">
        <v>0</v>
      </c>
      <c r="O5648">
        <v>2.8219919999999999E-2</v>
      </c>
      <c r="P5648">
        <v>0.99010500000000001</v>
      </c>
      <c r="Q5648">
        <v>0.1021179</v>
      </c>
      <c r="R5648">
        <v>-9.6251390000000006E-2</v>
      </c>
      <c r="S5648">
        <v>3.0544739999999999</v>
      </c>
      <c r="T5648">
        <v>-0.25949630000000001</v>
      </c>
      <c r="U5648">
        <v>-2.6229860000000001E-2</v>
      </c>
      <c r="V5648">
        <v>0.12408429999999999</v>
      </c>
      <c r="W5648">
        <v>0.1162411</v>
      </c>
      <c r="X5648">
        <v>0.98543950000000002</v>
      </c>
      <c r="Y5648">
        <v>3.6571979999999997E-2</v>
      </c>
      <c r="Z5648">
        <v>-3.9438629999999997E-3</v>
      </c>
      <c r="AA5648">
        <v>0.99932319999999997</v>
      </c>
      <c r="AB5648">
        <v>30</v>
      </c>
      <c r="AC5648">
        <v>0.45759999999995599</v>
      </c>
      <c r="AD5648">
        <v>-6.3434999999999894E-2</v>
      </c>
      <c r="AE5648">
        <v>-1.4799999999979699E-2</v>
      </c>
      <c r="AF5648">
        <v>2.71869435861537E-2</v>
      </c>
      <c r="AG5648">
        <v>-6.3434999999999894E-2</v>
      </c>
      <c r="AH5648">
        <v>0.44839226616190397</v>
      </c>
      <c r="AI5648">
        <v>98.0377505166379</v>
      </c>
      <c r="AJ5648">
        <v>86.530286946804097</v>
      </c>
      <c r="AK5648">
        <v>0.45367251788086599</v>
      </c>
      <c r="AL5648">
        <v>83.324784748517104</v>
      </c>
      <c r="AM5648">
        <v>82.823216691350794</v>
      </c>
      <c r="AN5648">
        <v>0.99999995749797399</v>
      </c>
    </row>
    <row r="5649" spans="1:40" x14ac:dyDescent="0.25">
      <c r="A5649" t="str">
        <f>"20190312150805847"</f>
        <v>20190312150805847</v>
      </c>
      <c r="B5649" t="str">
        <f>"1552374485845942"</f>
        <v>1552374485845942</v>
      </c>
      <c r="C5649" t="s">
        <v>40</v>
      </c>
      <c r="D5649">
        <v>4.5755619999999997</v>
      </c>
      <c r="E5649">
        <v>0.46592800000000001</v>
      </c>
      <c r="F5649" t="s">
        <v>41</v>
      </c>
      <c r="G5649">
        <v>-264.8449</v>
      </c>
      <c r="H5649">
        <v>1.028071</v>
      </c>
      <c r="I5649">
        <v>215.4186</v>
      </c>
      <c r="J5649">
        <v>-265.52440000000001</v>
      </c>
      <c r="K5649">
        <v>1.1110719999999901</v>
      </c>
      <c r="L5649">
        <v>215.4349</v>
      </c>
      <c r="M5649">
        <v>0.99949149999999998</v>
      </c>
      <c r="N5649">
        <v>0</v>
      </c>
      <c r="O5649">
        <v>2.8533800000000002E-2</v>
      </c>
      <c r="P5649">
        <v>0.99018170000000005</v>
      </c>
      <c r="Q5649">
        <v>0.102023</v>
      </c>
      <c r="R5649">
        <v>-9.5557630000000005E-2</v>
      </c>
      <c r="S5649">
        <v>3.0545040000000001</v>
      </c>
      <c r="T5649">
        <v>-0.25986160000000003</v>
      </c>
      <c r="U5649">
        <v>-2.3025509999999999E-2</v>
      </c>
      <c r="V5649">
        <v>0.1237065</v>
      </c>
      <c r="W5649">
        <v>0.1161398</v>
      </c>
      <c r="X5649">
        <v>0.98549900000000001</v>
      </c>
      <c r="Y5649">
        <v>3.5838290000000002E-2</v>
      </c>
      <c r="Z5649">
        <v>-3.9448620000000004E-3</v>
      </c>
      <c r="AA5649">
        <v>0.99934979999999995</v>
      </c>
      <c r="AB5649">
        <v>30</v>
      </c>
      <c r="AC5649">
        <v>0.67950000000001798</v>
      </c>
      <c r="AD5649">
        <v>-8.3000999999999797E-2</v>
      </c>
      <c r="AE5649">
        <v>-1.6300000000001001E-2</v>
      </c>
      <c r="AF5649">
        <v>3.5159738449118801E-2</v>
      </c>
      <c r="AG5649">
        <v>-8.3000999999999797E-2</v>
      </c>
      <c r="AH5649">
        <v>0.66878515263168103</v>
      </c>
      <c r="AI5649">
        <v>97.064981869289596</v>
      </c>
      <c r="AJ5649">
        <v>86.990585480311694</v>
      </c>
      <c r="AK5649">
        <v>0.67483253744124605</v>
      </c>
      <c r="AL5649">
        <v>83.330628776704998</v>
      </c>
      <c r="AM5649">
        <v>82.845268577412</v>
      </c>
      <c r="AN5649">
        <v>1.0000000151436399</v>
      </c>
    </row>
    <row r="5650" spans="1:40" x14ac:dyDescent="0.25">
      <c r="A5650" t="str">
        <f>"20190312150805870"</f>
        <v>20190312150805870</v>
      </c>
      <c r="B5650" t="str">
        <f>"1552374485865466"</f>
        <v>1552374485865466</v>
      </c>
      <c r="C5650" t="s">
        <v>40</v>
      </c>
      <c r="D5650">
        <v>4.614922</v>
      </c>
      <c r="E5650">
        <v>0.46592329999999998</v>
      </c>
      <c r="F5650" t="s">
        <v>41</v>
      </c>
      <c r="G5650">
        <v>-264.5788</v>
      </c>
      <c r="H5650">
        <v>1.030454</v>
      </c>
      <c r="I5650">
        <v>215.42840000000001</v>
      </c>
      <c r="J5650">
        <v>-265.22539999999998</v>
      </c>
      <c r="K5650">
        <v>1.111057</v>
      </c>
      <c r="L5650">
        <v>215.44370000000001</v>
      </c>
      <c r="M5650">
        <v>0.99948289999999995</v>
      </c>
      <c r="N5650">
        <v>0</v>
      </c>
      <c r="O5650">
        <v>2.88355E-2</v>
      </c>
      <c r="P5650">
        <v>0.99034299999999997</v>
      </c>
      <c r="Q5650">
        <v>0.10084609999999999</v>
      </c>
      <c r="R5650">
        <v>-9.5138429999999996E-2</v>
      </c>
      <c r="S5650">
        <v>3.0545650000000002</v>
      </c>
      <c r="T5650">
        <v>-0.26042369999999998</v>
      </c>
      <c r="U5650">
        <v>-2.088928E-2</v>
      </c>
      <c r="V5650">
        <v>0.123594</v>
      </c>
      <c r="W5650">
        <v>0.114958</v>
      </c>
      <c r="X5650">
        <v>0.98565170000000002</v>
      </c>
      <c r="Y5650">
        <v>3.5440279999999998E-2</v>
      </c>
      <c r="Z5650">
        <v>-3.9620230000000003E-3</v>
      </c>
      <c r="AA5650">
        <v>0.99936400000000003</v>
      </c>
      <c r="AB5650">
        <v>30</v>
      </c>
      <c r="AC5650">
        <v>0.64659999999997797</v>
      </c>
      <c r="AD5650">
        <v>-8.0602999999999897E-2</v>
      </c>
      <c r="AE5650">
        <v>-1.5299999999996299E-2</v>
      </c>
      <c r="AF5650">
        <v>3.3421502804833199E-2</v>
      </c>
      <c r="AG5650">
        <v>-8.0602999999999897E-2</v>
      </c>
      <c r="AH5650">
        <v>0.63601219852583601</v>
      </c>
      <c r="AI5650">
        <v>97.212849620786201</v>
      </c>
      <c r="AJ5650">
        <v>86.991958021588104</v>
      </c>
      <c r="AK5650">
        <v>0.64196990360327699</v>
      </c>
      <c r="AL5650">
        <v>83.398797746183007</v>
      </c>
      <c r="AM5650">
        <v>82.852803807952597</v>
      </c>
      <c r="AN5650">
        <v>1.00000004615644</v>
      </c>
    </row>
    <row r="5651" spans="1:40" x14ac:dyDescent="0.25">
      <c r="A5651" t="str">
        <f>"20190312150805892"</f>
        <v>20190312150805892</v>
      </c>
      <c r="B5651" t="str">
        <f>"1552374485885958"</f>
        <v>1552374485885958</v>
      </c>
      <c r="C5651" t="s">
        <v>40</v>
      </c>
      <c r="D5651">
        <v>4.5896650000000001</v>
      </c>
      <c r="E5651">
        <v>0.46596860000000001</v>
      </c>
      <c r="F5651" t="s">
        <v>41</v>
      </c>
      <c r="G5651">
        <v>-264.31319999999999</v>
      </c>
      <c r="H5651">
        <v>1.0322249999999999</v>
      </c>
      <c r="I5651">
        <v>215.43770000000001</v>
      </c>
      <c r="J5651">
        <v>-264.9273</v>
      </c>
      <c r="K5651">
        <v>1.11104</v>
      </c>
      <c r="L5651">
        <v>215.45259999999999</v>
      </c>
      <c r="M5651">
        <v>0.9994748</v>
      </c>
      <c r="N5651">
        <v>0</v>
      </c>
      <c r="O5651">
        <v>2.9118700000000001E-2</v>
      </c>
      <c r="P5651">
        <v>0.99040640000000002</v>
      </c>
      <c r="Q5651">
        <v>0.1001763</v>
      </c>
      <c r="R5651">
        <v>-9.5184649999999996E-2</v>
      </c>
      <c r="S5651">
        <v>3.05423</v>
      </c>
      <c r="T5651">
        <v>-0.26402890000000001</v>
      </c>
      <c r="U5651">
        <v>-1.954651E-2</v>
      </c>
      <c r="V5651">
        <v>0.12392590000000001</v>
      </c>
      <c r="W5651">
        <v>0.1142816</v>
      </c>
      <c r="X5651">
        <v>0.98568860000000003</v>
      </c>
      <c r="Y5651">
        <v>3.5277860000000001E-2</v>
      </c>
      <c r="Z5651">
        <v>-4.034536E-3</v>
      </c>
      <c r="AA5651">
        <v>0.99936939999999996</v>
      </c>
      <c r="AB5651">
        <v>30</v>
      </c>
      <c r="AC5651">
        <v>0.61410000000000697</v>
      </c>
      <c r="AD5651">
        <v>-7.8814999999999996E-2</v>
      </c>
      <c r="AE5651">
        <v>-1.4899999999983E-2</v>
      </c>
      <c r="AF5651">
        <v>3.2246439984399397E-2</v>
      </c>
      <c r="AG5651">
        <v>-7.8814999999999996E-2</v>
      </c>
      <c r="AH5651">
        <v>0.60347125705551696</v>
      </c>
      <c r="AI5651">
        <v>97.430388367508101</v>
      </c>
      <c r="AJ5651">
        <v>86.9413133830313</v>
      </c>
      <c r="AK5651">
        <v>0.60944991197704901</v>
      </c>
      <c r="AL5651">
        <v>83.4378091831163</v>
      </c>
      <c r="AM5651">
        <v>82.834075447046303</v>
      </c>
      <c r="AN5651">
        <v>0.99999996447966399</v>
      </c>
    </row>
    <row r="5652" spans="1:40" x14ac:dyDescent="0.25">
      <c r="A5652" t="str">
        <f>"20190312150805915"</f>
        <v>20190312150805915</v>
      </c>
      <c r="B5652" t="str">
        <f>"1552374485905479"</f>
        <v>1552374485905479</v>
      </c>
      <c r="C5652" t="s">
        <v>40</v>
      </c>
      <c r="D5652">
        <v>4.7468320000000004</v>
      </c>
      <c r="E5652">
        <v>0.46591559999999999</v>
      </c>
      <c r="F5652" t="s">
        <v>41</v>
      </c>
      <c r="G5652">
        <v>-264.04739999999998</v>
      </c>
      <c r="H5652">
        <v>1.034932</v>
      </c>
      <c r="I5652">
        <v>215.4468</v>
      </c>
      <c r="J5652">
        <v>-264.63069999999999</v>
      </c>
      <c r="K5652">
        <v>1.1110260000000001</v>
      </c>
      <c r="L5652">
        <v>215.4616</v>
      </c>
      <c r="M5652">
        <v>0.99946710000000005</v>
      </c>
      <c r="N5652">
        <v>0</v>
      </c>
      <c r="O5652">
        <v>2.9378390000000001E-2</v>
      </c>
      <c r="P5652">
        <v>0.99051560000000005</v>
      </c>
      <c r="Q5652">
        <v>9.8983680000000004E-2</v>
      </c>
      <c r="R5652">
        <v>-9.5296829999999999E-2</v>
      </c>
      <c r="S5652">
        <v>3.053833</v>
      </c>
      <c r="T5652">
        <v>-0.26423360000000001</v>
      </c>
      <c r="U5652">
        <v>-1.9943240000000001E-2</v>
      </c>
      <c r="V5652">
        <v>0.1243026</v>
      </c>
      <c r="W5652">
        <v>0.1130825</v>
      </c>
      <c r="X5652">
        <v>0.98577950000000003</v>
      </c>
      <c r="Y5652">
        <v>3.5665330000000002E-2</v>
      </c>
      <c r="Z5652">
        <v>-4.077331E-3</v>
      </c>
      <c r="AA5652">
        <v>0.99935549999999995</v>
      </c>
      <c r="AB5652">
        <v>30</v>
      </c>
      <c r="AC5652">
        <v>0.58330000000000803</v>
      </c>
      <c r="AD5652">
        <v>-7.6094000000000106E-2</v>
      </c>
      <c r="AE5652">
        <v>-1.48000000000081E-2</v>
      </c>
      <c r="AF5652">
        <v>3.1397766350867003E-2</v>
      </c>
      <c r="AG5652">
        <v>-7.6094000000000106E-2</v>
      </c>
      <c r="AH5652">
        <v>0.57287030825730201</v>
      </c>
      <c r="AI5652">
        <v>97.555063147408802</v>
      </c>
      <c r="AJ5652">
        <v>86.862882547693204</v>
      </c>
      <c r="AK5652">
        <v>0.57875427138867797</v>
      </c>
      <c r="AL5652">
        <v>83.5069611236501</v>
      </c>
      <c r="AM5652">
        <v>82.813176342978295</v>
      </c>
      <c r="AN5652">
        <v>1.00000000539663</v>
      </c>
    </row>
    <row r="5653" spans="1:40" x14ac:dyDescent="0.25">
      <c r="A5653" t="str">
        <f>"20190312150805938"</f>
        <v>20190312150805938</v>
      </c>
      <c r="B5653" t="str">
        <f>"1552374485935735"</f>
        <v>1552374485935735</v>
      </c>
      <c r="C5653" t="s">
        <v>40</v>
      </c>
      <c r="D5653">
        <v>4.584435</v>
      </c>
      <c r="E5653">
        <v>0.46594550000000001</v>
      </c>
      <c r="F5653" t="s">
        <v>41</v>
      </c>
      <c r="G5653">
        <v>-263.78210000000001</v>
      </c>
      <c r="H5653">
        <v>1.0373650000000001</v>
      </c>
      <c r="I5653">
        <v>215.45590000000001</v>
      </c>
      <c r="J5653">
        <v>-264.32490000000001</v>
      </c>
      <c r="K5653">
        <v>1.111002</v>
      </c>
      <c r="L5653">
        <v>215.4708</v>
      </c>
      <c r="M5653">
        <v>0.99946000000000002</v>
      </c>
      <c r="N5653">
        <v>0</v>
      </c>
      <c r="O5653">
        <v>2.9620259999999999E-2</v>
      </c>
      <c r="P5653">
        <v>0.99058740000000001</v>
      </c>
      <c r="Q5653">
        <v>9.7876989999999997E-2</v>
      </c>
      <c r="R5653">
        <v>-9.5692940000000004E-2</v>
      </c>
      <c r="S5653">
        <v>3.0532840000000001</v>
      </c>
      <c r="T5653">
        <v>-0.26511000000000001</v>
      </c>
      <c r="U5653">
        <v>-1.9805909999999999E-2</v>
      </c>
      <c r="V5653">
        <v>0.12494520000000001</v>
      </c>
      <c r="W5653">
        <v>0.1119677</v>
      </c>
      <c r="X5653">
        <v>0.98582550000000002</v>
      </c>
      <c r="Y5653">
        <v>3.5860059999999999E-2</v>
      </c>
      <c r="Z5653">
        <v>-4.1209319999999999E-3</v>
      </c>
      <c r="AA5653">
        <v>0.99934829999999997</v>
      </c>
      <c r="AB5653">
        <v>30</v>
      </c>
      <c r="AC5653">
        <v>0.54279999999999895</v>
      </c>
      <c r="AD5653">
        <v>-7.3637000000000105E-2</v>
      </c>
      <c r="AE5653">
        <v>-1.4899999999983E-2</v>
      </c>
      <c r="AF5653">
        <v>3.04136531826119E-2</v>
      </c>
      <c r="AG5653">
        <v>-7.3637000000000105E-2</v>
      </c>
      <c r="AH5653">
        <v>0.53233075291854104</v>
      </c>
      <c r="AI5653">
        <v>97.863049328717295</v>
      </c>
      <c r="AJ5653">
        <v>86.730074982040307</v>
      </c>
      <c r="AK5653">
        <v>0.53825962933489002</v>
      </c>
      <c r="AL5653">
        <v>83.571242639456202</v>
      </c>
      <c r="AM5653">
        <v>82.776747995778706</v>
      </c>
      <c r="AN5653">
        <v>0.99999999264828998</v>
      </c>
    </row>
    <row r="5654" spans="1:40" x14ac:dyDescent="0.25">
      <c r="A5654" t="str">
        <f>"20190312150805960"</f>
        <v>20190312150805960</v>
      </c>
      <c r="B5654" t="str">
        <f>"1552374485955254"</f>
        <v>1552374485955254</v>
      </c>
      <c r="C5654" t="s">
        <v>40</v>
      </c>
      <c r="D5654">
        <v>4.5993570000000004</v>
      </c>
      <c r="E5654">
        <v>0.46577780000000002</v>
      </c>
      <c r="F5654" t="s">
        <v>41</v>
      </c>
      <c r="G5654">
        <v>-263.51659999999998</v>
      </c>
      <c r="H5654">
        <v>1.0407420000000001</v>
      </c>
      <c r="I5654">
        <v>215.4649</v>
      </c>
      <c r="J5654">
        <v>-264.04700000000003</v>
      </c>
      <c r="K5654">
        <v>1.110981</v>
      </c>
      <c r="L5654">
        <v>215.47929999999999</v>
      </c>
      <c r="M5654">
        <v>0.99945430000000002</v>
      </c>
      <c r="N5654">
        <v>0</v>
      </c>
      <c r="O5654">
        <v>2.981586E-2</v>
      </c>
      <c r="P5654">
        <v>0.99064529999999995</v>
      </c>
      <c r="Q5654">
        <v>9.6949030000000005E-2</v>
      </c>
      <c r="R5654">
        <v>-9.6037220000000006E-2</v>
      </c>
      <c r="S5654">
        <v>3.0527340000000001</v>
      </c>
      <c r="T5654">
        <v>-0.26548759999999999</v>
      </c>
      <c r="U5654">
        <v>-2.114868E-2</v>
      </c>
      <c r="V5654">
        <v>0.12549009999999999</v>
      </c>
      <c r="W5654">
        <v>0.1110318</v>
      </c>
      <c r="X5654">
        <v>0.98586209999999996</v>
      </c>
      <c r="Y5654">
        <v>3.6492429999999999E-2</v>
      </c>
      <c r="Z5654">
        <v>-4.171938E-3</v>
      </c>
      <c r="AA5654">
        <v>0.99932520000000002</v>
      </c>
      <c r="AB5654">
        <v>30</v>
      </c>
      <c r="AC5654">
        <v>0.53040000000004195</v>
      </c>
      <c r="AD5654">
        <v>-7.0238999999999899E-2</v>
      </c>
      <c r="AE5654">
        <v>-1.4399999999994801E-2</v>
      </c>
      <c r="AF5654">
        <v>2.9689256952995499E-2</v>
      </c>
      <c r="AG5654">
        <v>-7.0238999999999899E-2</v>
      </c>
      <c r="AH5654">
        <v>0.52061162725916998</v>
      </c>
      <c r="AI5654">
        <v>97.671423086210794</v>
      </c>
      <c r="AJ5654">
        <v>86.736091597398101</v>
      </c>
      <c r="AK5654">
        <v>0.52616673739116404</v>
      </c>
      <c r="AL5654">
        <v>83.625201975318703</v>
      </c>
      <c r="AM5654">
        <v>82.745847907355397</v>
      </c>
      <c r="AN5654">
        <v>0.99999995301282896</v>
      </c>
    </row>
    <row r="5655" spans="1:40" x14ac:dyDescent="0.25">
      <c r="A5655" t="str">
        <f>"20190312150805976"</f>
        <v>20190312150805976</v>
      </c>
      <c r="B5655" t="str">
        <f>"1552374485965990"</f>
        <v>1552374485965990</v>
      </c>
      <c r="C5655" t="s">
        <v>40</v>
      </c>
      <c r="D5655">
        <v>4.7874059999999998</v>
      </c>
      <c r="E5655">
        <v>0.46586060000000001</v>
      </c>
      <c r="F5655" t="s">
        <v>41</v>
      </c>
      <c r="G5655">
        <v>-263.2525</v>
      </c>
      <c r="H5655">
        <v>1.0411950000000001</v>
      </c>
      <c r="I5655">
        <v>215.47389999999999</v>
      </c>
      <c r="J5655">
        <v>-263.8202</v>
      </c>
      <c r="K5655">
        <v>1.1109610000000001</v>
      </c>
      <c r="L5655">
        <v>215.4863</v>
      </c>
      <c r="M5655">
        <v>0.99945010000000001</v>
      </c>
      <c r="N5655">
        <v>0</v>
      </c>
      <c r="O5655">
        <v>2.9957749999999998E-2</v>
      </c>
      <c r="P5655">
        <v>0.99067050000000001</v>
      </c>
      <c r="Q5655">
        <v>9.6490599999999996E-2</v>
      </c>
      <c r="R5655">
        <v>-9.6238779999999996E-2</v>
      </c>
      <c r="S5655">
        <v>3.0526119999999999</v>
      </c>
      <c r="T5655">
        <v>-0.26818720000000001</v>
      </c>
      <c r="U5655">
        <v>-2.0523070000000001E-2</v>
      </c>
      <c r="V5655">
        <v>0.12583720000000001</v>
      </c>
      <c r="W5655">
        <v>0.110566</v>
      </c>
      <c r="X5655">
        <v>0.98587020000000003</v>
      </c>
      <c r="Y5655">
        <v>3.6424369999999998E-2</v>
      </c>
      <c r="Z5655">
        <v>-4.2238229999999998E-3</v>
      </c>
      <c r="AA5655">
        <v>0.99932750000000004</v>
      </c>
      <c r="AB5655">
        <v>30</v>
      </c>
      <c r="AC5655">
        <v>0.56770000000000198</v>
      </c>
      <c r="AD5655">
        <v>-6.9765999999999995E-2</v>
      </c>
      <c r="AE5655">
        <v>-1.24000000000137E-2</v>
      </c>
      <c r="AF5655">
        <v>2.8965916078845501E-2</v>
      </c>
      <c r="AG5655">
        <v>-6.9765999999999995E-2</v>
      </c>
      <c r="AH5655">
        <v>0.55864076319381195</v>
      </c>
      <c r="AI5655">
        <v>97.109091530323496</v>
      </c>
      <c r="AJ5655">
        <v>87.031831640210697</v>
      </c>
      <c r="AK5655">
        <v>0.56372495186221105</v>
      </c>
      <c r="AL5655">
        <v>83.652055650318701</v>
      </c>
      <c r="AM5655">
        <v>82.7260569825781</v>
      </c>
      <c r="AN5655">
        <v>0.99999994625393795</v>
      </c>
    </row>
    <row r="5656" spans="1:40" x14ac:dyDescent="0.25">
      <c r="A5656" t="str">
        <f>"20190312150805994"</f>
        <v>20190312150805994</v>
      </c>
      <c r="B5656" t="str">
        <f>"1552374485985512"</f>
        <v>1552374485985512</v>
      </c>
      <c r="C5656" t="s">
        <v>40</v>
      </c>
      <c r="D5656">
        <v>4.57376</v>
      </c>
      <c r="E5656">
        <v>0.46593909999999999</v>
      </c>
      <c r="F5656" t="s">
        <v>41</v>
      </c>
      <c r="G5656">
        <v>-262.99119999999999</v>
      </c>
      <c r="H5656">
        <v>1.0381389999999999</v>
      </c>
      <c r="I5656">
        <v>215.48009999999999</v>
      </c>
      <c r="J5656">
        <v>-263.59539999999998</v>
      </c>
      <c r="K5656">
        <v>1.110938</v>
      </c>
      <c r="L5656">
        <v>215.4931</v>
      </c>
      <c r="M5656">
        <v>0.99944630000000001</v>
      </c>
      <c r="N5656">
        <v>0</v>
      </c>
      <c r="O5656">
        <v>3.008535E-2</v>
      </c>
      <c r="P5656">
        <v>0.99082499999999996</v>
      </c>
      <c r="Q5656">
        <v>9.4754759999999993E-2</v>
      </c>
      <c r="R5656">
        <v>-9.637097E-2</v>
      </c>
      <c r="S5656">
        <v>3.052216</v>
      </c>
      <c r="T5656">
        <v>-0.26828459999999898</v>
      </c>
      <c r="U5656">
        <v>-2.1942139999999999E-2</v>
      </c>
      <c r="V5656">
        <v>0.12610479999999999</v>
      </c>
      <c r="W5656">
        <v>0.10882509999999999</v>
      </c>
      <c r="X5656">
        <v>0.98602970000000001</v>
      </c>
      <c r="Y5656">
        <v>3.7014390000000001E-2</v>
      </c>
      <c r="Z5656">
        <v>-4.2629679999999998E-3</v>
      </c>
      <c r="AA5656">
        <v>0.99930569999999996</v>
      </c>
      <c r="AB5656">
        <v>29</v>
      </c>
      <c r="AC5656">
        <v>0.60419999999999097</v>
      </c>
      <c r="AD5656">
        <v>-7.2799000000000003E-2</v>
      </c>
      <c r="AE5656">
        <v>-1.30000000000052E-2</v>
      </c>
      <c r="AF5656">
        <v>3.0727638943942301E-2</v>
      </c>
      <c r="AG5656">
        <v>-7.2799000000000003E-2</v>
      </c>
      <c r="AH5656">
        <v>0.59490283760537099</v>
      </c>
      <c r="AI5656">
        <v>96.967472687096006</v>
      </c>
      <c r="AJ5656">
        <v>87.0432131799719</v>
      </c>
      <c r="AK5656">
        <v>0.60012771006427601</v>
      </c>
      <c r="AL5656">
        <v>83.752407490604995</v>
      </c>
      <c r="AM5656">
        <v>82.711921149814998</v>
      </c>
      <c r="AN5656">
        <v>0.99999994612756804</v>
      </c>
    </row>
    <row r="5657" spans="1:40" x14ac:dyDescent="0.25">
      <c r="A5657" t="str">
        <f>"20190312150806015"</f>
        <v>20190312150806015</v>
      </c>
      <c r="B5657" t="str">
        <f>"1552374486006011"</f>
        <v>1552374486006011</v>
      </c>
      <c r="C5657" t="s">
        <v>40</v>
      </c>
      <c r="D5657">
        <v>4.5833659999999998</v>
      </c>
      <c r="E5657">
        <v>0.46600160000000002</v>
      </c>
      <c r="F5657" t="s">
        <v>41</v>
      </c>
      <c r="G5657">
        <v>-262.73020000000002</v>
      </c>
      <c r="H5657">
        <v>1.034138</v>
      </c>
      <c r="I5657">
        <v>215.48650000000001</v>
      </c>
      <c r="J5657">
        <v>-263.30939999999998</v>
      </c>
      <c r="K5657">
        <v>1.1109119999999999</v>
      </c>
      <c r="L5657">
        <v>215.50190000000001</v>
      </c>
      <c r="M5657">
        <v>0.99944189999999999</v>
      </c>
      <c r="N5657">
        <v>0</v>
      </c>
      <c r="O5657">
        <v>3.0229309999999999E-2</v>
      </c>
      <c r="P5657">
        <v>0.99101050000000002</v>
      </c>
      <c r="Q5657">
        <v>9.2642370000000002E-2</v>
      </c>
      <c r="R5657">
        <v>-9.6518370000000006E-2</v>
      </c>
      <c r="S5657">
        <v>3.0514830000000002</v>
      </c>
      <c r="T5657">
        <v>-0.27097490000000002</v>
      </c>
      <c r="U5657">
        <v>-2.2689819999999999E-2</v>
      </c>
      <c r="V5657">
        <v>0.1264052</v>
      </c>
      <c r="W5657">
        <v>0.1067065</v>
      </c>
      <c r="X5657">
        <v>0.98622279999999996</v>
      </c>
      <c r="Y5657">
        <v>3.73975E-2</v>
      </c>
      <c r="Z5657">
        <v>-4.3363109999999998E-3</v>
      </c>
      <c r="AA5657">
        <v>0.99929109999999999</v>
      </c>
      <c r="AB5657">
        <v>29</v>
      </c>
      <c r="AC5657">
        <v>0.57919999999995697</v>
      </c>
      <c r="AD5657">
        <v>-7.6774000000000106E-2</v>
      </c>
      <c r="AE5657">
        <v>-1.53999999999996E-2</v>
      </c>
      <c r="AF5657">
        <v>3.23358082134989E-2</v>
      </c>
      <c r="AG5657">
        <v>-7.6774000000000106E-2</v>
      </c>
      <c r="AH5657">
        <v>0.56848839516794702</v>
      </c>
      <c r="AI5657">
        <v>97.678962187024993</v>
      </c>
      <c r="AJ5657">
        <v>86.744504972224803</v>
      </c>
      <c r="AK5657">
        <v>0.57455975059992503</v>
      </c>
      <c r="AL5657">
        <v>83.874505637560304</v>
      </c>
      <c r="AM5657">
        <v>82.696162113276998</v>
      </c>
      <c r="AN5657">
        <v>0.99999998148456404</v>
      </c>
    </row>
    <row r="5658" spans="1:40" x14ac:dyDescent="0.25">
      <c r="A5658" t="str">
        <f>"20190312150806038"</f>
        <v>20190312150806038</v>
      </c>
      <c r="B5658" t="str">
        <f>"1552374486025526"</f>
        <v>1552374486025526</v>
      </c>
      <c r="C5658" t="s">
        <v>40</v>
      </c>
      <c r="D5658">
        <v>4.524858</v>
      </c>
      <c r="E5658">
        <v>0.4660667</v>
      </c>
      <c r="F5658" t="s">
        <v>41</v>
      </c>
      <c r="G5658">
        <v>-262.46710000000002</v>
      </c>
      <c r="H5658">
        <v>1.0353129999999999</v>
      </c>
      <c r="I5658">
        <v>215.49529999999999</v>
      </c>
      <c r="J5658">
        <v>-263.0213</v>
      </c>
      <c r="K5658">
        <v>1.1108880000000001</v>
      </c>
      <c r="L5658">
        <v>215.51079999999999</v>
      </c>
      <c r="M5658">
        <v>0.9994383</v>
      </c>
      <c r="N5658">
        <v>0</v>
      </c>
      <c r="O5658">
        <v>3.0356560000000001E-2</v>
      </c>
      <c r="P5658">
        <v>0.99121559999999997</v>
      </c>
      <c r="Q5658">
        <v>8.9720759999999997E-2</v>
      </c>
      <c r="R5658">
        <v>-9.7170060000000003E-2</v>
      </c>
      <c r="S5658">
        <v>3.0505979999999999</v>
      </c>
      <c r="T5658">
        <v>-0.27386739999999998</v>
      </c>
      <c r="U5658">
        <v>-2.293396E-2</v>
      </c>
      <c r="V5658">
        <v>0.12719330000000001</v>
      </c>
      <c r="W5658">
        <v>0.10377980000000001</v>
      </c>
      <c r="X5658">
        <v>0.98643380000000003</v>
      </c>
      <c r="Y5658">
        <v>3.759966E-2</v>
      </c>
      <c r="Z5658">
        <v>-4.4041339999999997E-3</v>
      </c>
      <c r="AA5658">
        <v>0.99928320000000004</v>
      </c>
      <c r="AB5658">
        <v>29</v>
      </c>
      <c r="AC5658">
        <v>0.55419999999998004</v>
      </c>
      <c r="AD5658">
        <v>-7.5574999999999906E-2</v>
      </c>
      <c r="AE5658">
        <v>-1.55000000000029E-2</v>
      </c>
      <c r="AF5658">
        <v>3.1728587737778903E-2</v>
      </c>
      <c r="AG5658">
        <v>-7.5574999999999906E-2</v>
      </c>
      <c r="AH5658">
        <v>0.54337713214051497</v>
      </c>
      <c r="AI5658">
        <v>97.904829259995594</v>
      </c>
      <c r="AJ5658">
        <v>86.658209964231901</v>
      </c>
      <c r="AK5658">
        <v>0.54952433216199303</v>
      </c>
      <c r="AL5658">
        <v>84.043129894862702</v>
      </c>
      <c r="AM5658">
        <v>82.652675821400194</v>
      </c>
      <c r="AN5658">
        <v>1.00000001211768</v>
      </c>
    </row>
    <row r="5659" spans="1:40" x14ac:dyDescent="0.25">
      <c r="A5659" t="str">
        <f>"20190312150806060"</f>
        <v>20190312150806060</v>
      </c>
      <c r="B5659" t="str">
        <f>"1552374486055782"</f>
        <v>1552374486055782</v>
      </c>
      <c r="C5659" t="s">
        <v>40</v>
      </c>
      <c r="D5659">
        <v>4.9233570000000002</v>
      </c>
      <c r="E5659">
        <v>0.46665499999999999</v>
      </c>
      <c r="F5659" t="s">
        <v>41</v>
      </c>
      <c r="G5659">
        <v>-262.20429999999999</v>
      </c>
      <c r="H5659">
        <v>1.036451</v>
      </c>
      <c r="I5659">
        <v>215.50389999999999</v>
      </c>
      <c r="J5659">
        <v>-262.72649999999999</v>
      </c>
      <c r="K5659">
        <v>1.11086</v>
      </c>
      <c r="L5659">
        <v>215.5198</v>
      </c>
      <c r="M5659">
        <v>0.99943479999999996</v>
      </c>
      <c r="N5659">
        <v>0</v>
      </c>
      <c r="O5659">
        <v>3.0471100000000001E-2</v>
      </c>
      <c r="P5659">
        <v>0.99143959999999998</v>
      </c>
      <c r="Q5659">
        <v>8.6827520000000005E-2</v>
      </c>
      <c r="R5659">
        <v>-9.751253E-2</v>
      </c>
      <c r="S5659">
        <v>3.049347</v>
      </c>
      <c r="T5659">
        <v>-0.27798600000000001</v>
      </c>
      <c r="U5659">
        <v>-2.4627690000000001E-2</v>
      </c>
      <c r="V5659">
        <v>0.12765950000000001</v>
      </c>
      <c r="W5659">
        <v>0.1008831</v>
      </c>
      <c r="X5659">
        <v>0.98667400000000005</v>
      </c>
      <c r="Y5659">
        <v>3.8260549999999997E-2</v>
      </c>
      <c r="Z5659">
        <v>-4.5123960000000001E-3</v>
      </c>
      <c r="AA5659">
        <v>0.99925759999999997</v>
      </c>
      <c r="AB5659">
        <v>29</v>
      </c>
      <c r="AC5659">
        <v>0.522199999999998</v>
      </c>
      <c r="AD5659">
        <v>-7.4408999999999906E-2</v>
      </c>
      <c r="AE5659">
        <v>-1.59000000000162E-2</v>
      </c>
      <c r="AF5659">
        <v>3.11738663419838E-2</v>
      </c>
      <c r="AG5659">
        <v>-7.4408999999999906E-2</v>
      </c>
      <c r="AH5659">
        <v>0.511105165038655</v>
      </c>
      <c r="AI5659">
        <v>98.268033481080195</v>
      </c>
      <c r="AJ5659">
        <v>86.509679158437805</v>
      </c>
      <c r="AK5659">
        <v>0.51743308644973496</v>
      </c>
      <c r="AL5659">
        <v>84.209974238885493</v>
      </c>
      <c r="AM5659">
        <v>82.627817021557703</v>
      </c>
      <c r="AN5659">
        <v>0.99999996504092903</v>
      </c>
    </row>
    <row r="5660" spans="1:40" x14ac:dyDescent="0.25">
      <c r="A5660" t="str">
        <f>"20190312150806076"</f>
        <v>20190312150806076</v>
      </c>
      <c r="B5660" t="str">
        <f>"1552374486065542"</f>
        <v>1552374486065542</v>
      </c>
      <c r="C5660" t="s">
        <v>40</v>
      </c>
      <c r="D5660">
        <v>4.5586929999999999</v>
      </c>
      <c r="E5660">
        <v>0.46674949999999998</v>
      </c>
      <c r="F5660" t="s">
        <v>67</v>
      </c>
      <c r="G5660">
        <v>-247.4205</v>
      </c>
      <c r="H5660" s="1">
        <v>2.379053E-6</v>
      </c>
      <c r="I5660">
        <v>215.37039999999999</v>
      </c>
      <c r="J5660">
        <v>-262.5129</v>
      </c>
      <c r="K5660">
        <v>1.110846</v>
      </c>
      <c r="L5660">
        <v>215.5264</v>
      </c>
      <c r="M5660">
        <v>0.99943249999999995</v>
      </c>
      <c r="N5660">
        <v>0</v>
      </c>
      <c r="O5660">
        <v>3.0545180000000002E-2</v>
      </c>
      <c r="P5660">
        <v>0.99156690000000003</v>
      </c>
      <c r="Q5660">
        <v>8.5123760000000007E-2</v>
      </c>
      <c r="R5660">
        <v>-9.7722470000000006E-2</v>
      </c>
      <c r="S5660">
        <v>3.0422669999999998</v>
      </c>
      <c r="T5660">
        <v>-0.22079660000000001</v>
      </c>
      <c r="U5660">
        <v>-2.9693600000000001E-2</v>
      </c>
      <c r="V5660">
        <v>0.12794849999999999</v>
      </c>
      <c r="W5660">
        <v>9.9176479999999997E-2</v>
      </c>
      <c r="X5660">
        <v>0.98680959999999995</v>
      </c>
      <c r="Y5660">
        <v>4.0116310000000002E-2</v>
      </c>
      <c r="Z5660">
        <v>-3.6677419999999999E-3</v>
      </c>
      <c r="AA5660">
        <v>0.99918830000000003</v>
      </c>
      <c r="AB5660">
        <v>29</v>
      </c>
      <c r="AC5660">
        <v>15.0923999999999</v>
      </c>
      <c r="AD5660">
        <v>-1.1108436209469901</v>
      </c>
      <c r="AE5660">
        <v>-0.156000000000005</v>
      </c>
      <c r="AF5660">
        <v>0.61364974207491196</v>
      </c>
      <c r="AG5660">
        <v>-1.1108436209469901</v>
      </c>
      <c r="AH5660">
        <v>14.999342297776</v>
      </c>
      <c r="AI5660">
        <v>94.2320363005947</v>
      </c>
      <c r="AJ5660">
        <v>87.657234368649895</v>
      </c>
      <c r="AK5660">
        <v>15.0529335653221</v>
      </c>
      <c r="AL5660">
        <v>84.308249423108606</v>
      </c>
      <c r="AM5660">
        <v>82.612315909631306</v>
      </c>
      <c r="AN5660">
        <v>0.99999998974479998</v>
      </c>
    </row>
    <row r="5661" spans="1:40" x14ac:dyDescent="0.25">
      <c r="A5661" t="str">
        <f>"20190312150806093"</f>
        <v>20190312150806093</v>
      </c>
      <c r="B5661" t="str">
        <f>"1552374486086041"</f>
        <v>1552374486086041</v>
      </c>
      <c r="C5661" t="s">
        <v>40</v>
      </c>
      <c r="D5661">
        <v>4.5357859999999999</v>
      </c>
      <c r="E5661">
        <v>0.46689160000000002</v>
      </c>
      <c r="F5661" t="s">
        <v>41</v>
      </c>
      <c r="G5661">
        <v>-261.67169999999999</v>
      </c>
      <c r="H5661">
        <v>1.0484439999999999</v>
      </c>
      <c r="I5661">
        <v>215.51769999999999</v>
      </c>
      <c r="J5661">
        <v>-262.28370000000001</v>
      </c>
      <c r="K5661">
        <v>1.110819</v>
      </c>
      <c r="L5661">
        <v>215.5335</v>
      </c>
      <c r="M5661">
        <v>0.99943040000000005</v>
      </c>
      <c r="N5661">
        <v>0</v>
      </c>
      <c r="O5661">
        <v>3.0618920000000001E-2</v>
      </c>
      <c r="P5661">
        <v>0.99183960000000004</v>
      </c>
      <c r="Q5661">
        <v>8.1036699999999906E-2</v>
      </c>
      <c r="R5661">
        <v>-9.8425159999999998E-2</v>
      </c>
      <c r="S5661">
        <v>3.0418400000000001</v>
      </c>
      <c r="T5661">
        <v>-0.22573009999999999</v>
      </c>
      <c r="U5661">
        <v>-3.1021119999999999E-2</v>
      </c>
      <c r="V5661">
        <v>0.12873479999999901</v>
      </c>
      <c r="W5661">
        <v>9.5087959999999999E-2</v>
      </c>
      <c r="X5661">
        <v>0.98710969999999998</v>
      </c>
      <c r="Y5661">
        <v>4.0617380000000002E-2</v>
      </c>
      <c r="Z5661">
        <v>-3.7740209999999998E-3</v>
      </c>
      <c r="AA5661">
        <v>0.99916760000000004</v>
      </c>
      <c r="AB5661">
        <v>29</v>
      </c>
      <c r="AC5661">
        <v>0.61200000000002297</v>
      </c>
      <c r="AD5661">
        <v>-6.2374999999999799E-2</v>
      </c>
      <c r="AE5661">
        <v>-1.5800000000012901E-2</v>
      </c>
      <c r="AF5661">
        <v>3.4178458126336402E-2</v>
      </c>
      <c r="AG5661">
        <v>-6.2374999999999799E-2</v>
      </c>
      <c r="AH5661">
        <v>0.60494933636777504</v>
      </c>
      <c r="AI5661">
        <v>95.877532235936101</v>
      </c>
      <c r="AJ5661">
        <v>86.766337883137197</v>
      </c>
      <c r="AK5661">
        <v>0.60911616888464304</v>
      </c>
      <c r="AL5661">
        <v>84.543617337447401</v>
      </c>
      <c r="AM5661">
        <v>82.5696558222687</v>
      </c>
      <c r="AN5661">
        <v>0.99999996435104499</v>
      </c>
    </row>
    <row r="5662" spans="1:40" x14ac:dyDescent="0.25">
      <c r="A5662" t="str">
        <f>"20190312150806112"</f>
        <v>20190312150806112</v>
      </c>
      <c r="B5662" t="str">
        <f>"1552374486105559"</f>
        <v>1552374486105559</v>
      </c>
      <c r="C5662" t="s">
        <v>40</v>
      </c>
      <c r="D5662">
        <v>4.5538990000000004</v>
      </c>
      <c r="E5662">
        <v>0.46667599999999998</v>
      </c>
      <c r="F5662" t="s">
        <v>41</v>
      </c>
      <c r="G5662">
        <v>-261.41520000000003</v>
      </c>
      <c r="H5662">
        <v>1.0430999999999999</v>
      </c>
      <c r="I5662">
        <v>215.52359999999999</v>
      </c>
      <c r="J5662">
        <v>-262.05669999999998</v>
      </c>
      <c r="K5662">
        <v>1.1108020000000001</v>
      </c>
      <c r="L5662">
        <v>215.54060000000001</v>
      </c>
      <c r="M5662">
        <v>0.99942819999999999</v>
      </c>
      <c r="N5662">
        <v>0</v>
      </c>
      <c r="O5662">
        <v>3.0686700000000001E-2</v>
      </c>
      <c r="P5662">
        <v>0.99198750000000002</v>
      </c>
      <c r="Q5662">
        <v>7.8599779999999994E-2</v>
      </c>
      <c r="R5662">
        <v>-9.8909780000000003E-2</v>
      </c>
      <c r="S5662">
        <v>3.0407099999999998</v>
      </c>
      <c r="T5662">
        <v>-0.23737559999999999</v>
      </c>
      <c r="U5662">
        <v>-3.381348E-2</v>
      </c>
      <c r="V5662">
        <v>0.12929280000000001</v>
      </c>
      <c r="W5662">
        <v>9.2648789999999995E-2</v>
      </c>
      <c r="X5662">
        <v>0.9872687</v>
      </c>
      <c r="Y5662">
        <v>4.158237E-2</v>
      </c>
      <c r="Z5662">
        <v>-4.0124979999999998E-3</v>
      </c>
      <c r="AA5662">
        <v>0.99912699999999999</v>
      </c>
      <c r="AB5662">
        <v>29</v>
      </c>
      <c r="AC5662">
        <v>0.64149999999995</v>
      </c>
      <c r="AD5662">
        <v>-6.7702000000000095E-2</v>
      </c>
      <c r="AE5662">
        <v>-1.7000000000024301E-2</v>
      </c>
      <c r="AF5662">
        <v>3.6275737018050203E-2</v>
      </c>
      <c r="AG5662">
        <v>-6.7702000000000095E-2</v>
      </c>
      <c r="AH5662">
        <v>0.63362371142238105</v>
      </c>
      <c r="AI5662">
        <v>96.088956353108998</v>
      </c>
      <c r="AJ5662">
        <v>86.723323000614997</v>
      </c>
      <c r="AK5662">
        <v>0.63826209160256098</v>
      </c>
      <c r="AL5662">
        <v>84.683991286512097</v>
      </c>
      <c r="AM5662">
        <v>82.538999499932402</v>
      </c>
      <c r="AN5662">
        <v>0.99999995620999604</v>
      </c>
    </row>
    <row r="5663" spans="1:40" x14ac:dyDescent="0.25">
      <c r="A5663" t="str">
        <f>"20190312150806128"</f>
        <v>20190312150806128</v>
      </c>
      <c r="B5663" t="str">
        <f>"1552374486115318"</f>
        <v>1552374486115318</v>
      </c>
      <c r="C5663" t="s">
        <v>40</v>
      </c>
      <c r="D5663">
        <v>4.8469639999999998</v>
      </c>
      <c r="E5663">
        <v>0.46667599999999998</v>
      </c>
      <c r="F5663" t="s">
        <v>41</v>
      </c>
      <c r="G5663">
        <v>-261.1583</v>
      </c>
      <c r="H5663">
        <v>1.035879</v>
      </c>
      <c r="I5663">
        <v>215.53059999999999</v>
      </c>
      <c r="J5663">
        <v>-261.8503</v>
      </c>
      <c r="K5663">
        <v>1.110762</v>
      </c>
      <c r="L5663">
        <v>215.54689999999999</v>
      </c>
      <c r="M5663">
        <v>0.99942640000000005</v>
      </c>
      <c r="N5663">
        <v>0</v>
      </c>
      <c r="O5663">
        <v>3.0744549999999999E-2</v>
      </c>
      <c r="P5663">
        <v>0.99237850000000005</v>
      </c>
      <c r="Q5663">
        <v>7.2386569999999997E-2</v>
      </c>
      <c r="R5663">
        <v>-9.9724900000000005E-2</v>
      </c>
      <c r="S5663">
        <v>3.0410460000000001</v>
      </c>
      <c r="T5663">
        <v>-0.25366709999999998</v>
      </c>
      <c r="U5663">
        <v>-3.3355709999999997E-2</v>
      </c>
      <c r="V5663">
        <v>0.13017899999999999</v>
      </c>
      <c r="W5663">
        <v>8.6437299999999995E-2</v>
      </c>
      <c r="X5663">
        <v>0.98771549999999997</v>
      </c>
      <c r="Y5663">
        <v>4.1457720000000003E-2</v>
      </c>
      <c r="Z5663">
        <v>-4.2861160000000004E-3</v>
      </c>
      <c r="AA5663">
        <v>0.99913110000000005</v>
      </c>
      <c r="AB5663">
        <v>29</v>
      </c>
      <c r="AC5663">
        <v>0.69200000000000705</v>
      </c>
      <c r="AD5663">
        <v>-7.4883000000000005E-2</v>
      </c>
      <c r="AE5663">
        <v>-1.6300000000001001E-2</v>
      </c>
      <c r="AF5663">
        <v>3.7135059162637901E-2</v>
      </c>
      <c r="AG5663">
        <v>-7.4883000000000005E-2</v>
      </c>
      <c r="AH5663">
        <v>0.68317611336786699</v>
      </c>
      <c r="AI5663">
        <v>96.246077260473797</v>
      </c>
      <c r="AJ5663">
        <v>86.888664102961201</v>
      </c>
      <c r="AK5663">
        <v>0.68827035253920199</v>
      </c>
      <c r="AL5663">
        <v>85.041319397279906</v>
      </c>
      <c r="AM5663">
        <v>82.491801377275294</v>
      </c>
      <c r="AN5663">
        <v>0.99999994390626801</v>
      </c>
    </row>
    <row r="5664" spans="1:40" x14ac:dyDescent="0.25">
      <c r="A5664" t="str">
        <f>"20190312150806150"</f>
        <v>20190312150806150</v>
      </c>
      <c r="B5664" t="str">
        <f>"1552374486145574"</f>
        <v>1552374486145574</v>
      </c>
      <c r="C5664" t="s">
        <v>40</v>
      </c>
      <c r="D5664">
        <v>4.5784599999999998</v>
      </c>
      <c r="E5664">
        <v>0.49544870000000002</v>
      </c>
      <c r="F5664" t="s">
        <v>41</v>
      </c>
      <c r="G5664">
        <v>-260.90249999999997</v>
      </c>
      <c r="H5664">
        <v>1.0258510000000001</v>
      </c>
      <c r="I5664">
        <v>215.53579999999999</v>
      </c>
      <c r="J5664">
        <v>-261.55680000000001</v>
      </c>
      <c r="K5664">
        <v>1.1107199999999999</v>
      </c>
      <c r="L5664">
        <v>215.55609999999999</v>
      </c>
      <c r="M5664">
        <v>0.99942419999999998</v>
      </c>
      <c r="N5664">
        <v>0</v>
      </c>
      <c r="O5664">
        <v>3.0819119999999998E-2</v>
      </c>
      <c r="P5664">
        <v>0.99291890000000005</v>
      </c>
      <c r="Q5664">
        <v>6.3575580000000007E-2</v>
      </c>
      <c r="R5664">
        <v>-0.100351</v>
      </c>
      <c r="S5664">
        <v>3.0393680000000001</v>
      </c>
      <c r="T5664">
        <v>-0.27237670000000003</v>
      </c>
      <c r="U5664">
        <v>-3.5186769999999999E-2</v>
      </c>
      <c r="V5664">
        <v>0.13089790000000001</v>
      </c>
      <c r="W5664">
        <v>7.7629420000000005E-2</v>
      </c>
      <c r="X5664">
        <v>0.98835189999999995</v>
      </c>
      <c r="Y5664">
        <v>4.2098700000000003E-2</v>
      </c>
      <c r="Z5664">
        <v>-4.6388799999999997E-3</v>
      </c>
      <c r="AA5664">
        <v>0.99910270000000001</v>
      </c>
      <c r="AB5664">
        <v>29</v>
      </c>
      <c r="AC5664">
        <v>0.65430000000003397</v>
      </c>
      <c r="AD5664">
        <v>-8.4869E-2</v>
      </c>
      <c r="AE5664">
        <v>-2.02999999999917E-2</v>
      </c>
      <c r="AF5664">
        <v>3.9788554639461599E-2</v>
      </c>
      <c r="AG5664">
        <v>-8.4869E-2</v>
      </c>
      <c r="AH5664">
        <v>0.64256298099314202</v>
      </c>
      <c r="AI5664">
        <v>97.509793520022697</v>
      </c>
      <c r="AJ5664">
        <v>86.456675363400606</v>
      </c>
      <c r="AK5664">
        <v>0.64936358135030203</v>
      </c>
      <c r="AL5664">
        <v>85.547682500818993</v>
      </c>
      <c r="AM5664">
        <v>82.455619964177899</v>
      </c>
      <c r="AN5664">
        <v>1.0000000326537699</v>
      </c>
    </row>
    <row r="5665" spans="1:40" x14ac:dyDescent="0.25">
      <c r="A5665" t="str">
        <f>"20190312150806171"</f>
        <v>20190312150806171</v>
      </c>
      <c r="B5665" t="str">
        <f>"1552374486166074"</f>
        <v>1552374486166074</v>
      </c>
      <c r="C5665" t="s">
        <v>40</v>
      </c>
      <c r="D5665">
        <v>4.5734380000000003</v>
      </c>
      <c r="E5665">
        <v>0.49563430000000003</v>
      </c>
      <c r="F5665" t="s">
        <v>41</v>
      </c>
      <c r="G5665">
        <v>-260.63159999999999</v>
      </c>
      <c r="H5665">
        <v>1.04088799999999</v>
      </c>
      <c r="I5665">
        <v>215.4744</v>
      </c>
      <c r="J5665">
        <v>-261.267</v>
      </c>
      <c r="K5665">
        <v>1.110665</v>
      </c>
      <c r="L5665">
        <v>215.565</v>
      </c>
      <c r="M5665">
        <v>0.99942220000000004</v>
      </c>
      <c r="N5665">
        <v>0</v>
      </c>
      <c r="O5665">
        <v>3.0886739999999999E-2</v>
      </c>
      <c r="P5665">
        <v>0.99349279999999995</v>
      </c>
      <c r="Q5665">
        <v>5.2868199999999997E-2</v>
      </c>
      <c r="R5665">
        <v>-0.1008831</v>
      </c>
      <c r="S5665">
        <v>3.0091549999999998</v>
      </c>
      <c r="T5665">
        <v>-0.22720319999999999</v>
      </c>
      <c r="U5665">
        <v>-0.2649994</v>
      </c>
      <c r="V5665">
        <v>0.13151669999999999</v>
      </c>
      <c r="W5665">
        <v>6.6925830000000006E-2</v>
      </c>
      <c r="X5665">
        <v>0.98905220000000005</v>
      </c>
      <c r="Y5665">
        <v>0.1180329</v>
      </c>
      <c r="Z5665">
        <v>-6.7661099999999997E-3</v>
      </c>
      <c r="AA5665">
        <v>0.99298660000000005</v>
      </c>
      <c r="AB5665">
        <v>29</v>
      </c>
      <c r="AC5665">
        <v>0.63540000000000396</v>
      </c>
      <c r="AD5665">
        <v>-6.97770000000002E-2</v>
      </c>
      <c r="AE5665">
        <v>-9.0599999999994907E-2</v>
      </c>
      <c r="AF5665">
        <v>0.108897095823332</v>
      </c>
      <c r="AG5665">
        <v>-6.97770000000002E-2</v>
      </c>
      <c r="AH5665">
        <v>0.62491218542915195</v>
      </c>
      <c r="AI5665">
        <v>96.277366624820203</v>
      </c>
      <c r="AJ5665">
        <v>80.114907692857102</v>
      </c>
      <c r="AK5665">
        <v>0.63815566024724402</v>
      </c>
      <c r="AL5665">
        <v>86.162563997830503</v>
      </c>
      <c r="AM5665">
        <v>82.425673181590497</v>
      </c>
      <c r="AN5665">
        <v>0.99999998171245896</v>
      </c>
    </row>
    <row r="5666" spans="1:40" x14ac:dyDescent="0.25">
      <c r="A5666" t="str">
        <f>"20190312150806194"</f>
        <v>20190312150806194</v>
      </c>
      <c r="B5666" t="str">
        <f>"1552374486185590"</f>
        <v>1552374486185590</v>
      </c>
      <c r="C5666" t="s">
        <v>40</v>
      </c>
      <c r="D5666">
        <v>4.5403909999999996</v>
      </c>
      <c r="E5666">
        <v>0.49621589999999999</v>
      </c>
      <c r="F5666" t="s">
        <v>41</v>
      </c>
      <c r="G5666">
        <v>-260.3741</v>
      </c>
      <c r="H5666">
        <v>1.0374650000000001</v>
      </c>
      <c r="I5666">
        <v>215.48519999999999</v>
      </c>
      <c r="J5666">
        <v>-260.97390000000001</v>
      </c>
      <c r="K5666">
        <v>1.110576</v>
      </c>
      <c r="L5666">
        <v>215.57419999999999</v>
      </c>
      <c r="M5666">
        <v>0.99942039999999999</v>
      </c>
      <c r="N5666">
        <v>0</v>
      </c>
      <c r="O5666">
        <v>3.0949730000000002E-2</v>
      </c>
      <c r="P5666">
        <v>0.99422639999999995</v>
      </c>
      <c r="Q5666">
        <v>3.3588149999999997E-2</v>
      </c>
      <c r="R5666">
        <v>-0.1019134</v>
      </c>
      <c r="S5666">
        <v>3.0056150000000001</v>
      </c>
      <c r="T5666">
        <v>-0.24658189999999999</v>
      </c>
      <c r="U5666">
        <v>-0.26747130000000002</v>
      </c>
      <c r="V5666">
        <v>0.13263420000000001</v>
      </c>
      <c r="W5666">
        <v>4.7652609999999998E-2</v>
      </c>
      <c r="X5666">
        <v>0.99001890000000003</v>
      </c>
      <c r="Y5666">
        <v>0.1189288</v>
      </c>
      <c r="Z5666">
        <v>-7.3914609999999898E-3</v>
      </c>
      <c r="AA5666">
        <v>0.99287530000000002</v>
      </c>
      <c r="AB5666">
        <v>29</v>
      </c>
      <c r="AC5666">
        <v>0.59980000000001599</v>
      </c>
      <c r="AD5666">
        <v>-7.3111000000000106E-2</v>
      </c>
      <c r="AE5666">
        <v>-8.8999999999998594E-2</v>
      </c>
      <c r="AF5666">
        <v>0.105982137836918</v>
      </c>
      <c r="AG5666">
        <v>-7.3111000000000106E-2</v>
      </c>
      <c r="AH5666">
        <v>0.58820665803860495</v>
      </c>
      <c r="AI5666">
        <v>96.974059534528095</v>
      </c>
      <c r="AJ5666">
        <v>79.786125491146706</v>
      </c>
      <c r="AK5666">
        <v>0.60213329456394304</v>
      </c>
      <c r="AL5666">
        <v>87.268672228562394</v>
      </c>
      <c r="AM5666">
        <v>82.369440714971901</v>
      </c>
      <c r="AN5666">
        <v>1.0000000123033299</v>
      </c>
    </row>
    <row r="5667" spans="1:40" x14ac:dyDescent="0.25">
      <c r="A5667" t="str">
        <f>"20190312150806227"</f>
        <v>20190312150806227</v>
      </c>
      <c r="B5667" t="str">
        <f>"1552374486215847"</f>
        <v>1552374486215847</v>
      </c>
      <c r="C5667" t="s">
        <v>40</v>
      </c>
      <c r="D5667">
        <v>4.525296</v>
      </c>
      <c r="E5667">
        <v>0.49711169999999999</v>
      </c>
      <c r="F5667" t="s">
        <v>41</v>
      </c>
      <c r="G5667">
        <v>-260.11970000000002</v>
      </c>
      <c r="H5667">
        <v>1.0267520000000001</v>
      </c>
      <c r="I5667">
        <v>215.4958</v>
      </c>
      <c r="J5667">
        <v>-260.5471</v>
      </c>
      <c r="K5667">
        <v>1.1104510000000001</v>
      </c>
      <c r="L5667">
        <v>215.58750000000001</v>
      </c>
      <c r="M5667">
        <v>0.99941780000000002</v>
      </c>
      <c r="N5667">
        <v>0</v>
      </c>
      <c r="O5667">
        <v>3.1033270000000002E-2</v>
      </c>
      <c r="P5667">
        <v>0.99450660000000002</v>
      </c>
      <c r="Q5667">
        <v>6.864406E-3</v>
      </c>
      <c r="R5667">
        <v>-0.1044506</v>
      </c>
      <c r="S5667">
        <v>2.9992679999999998</v>
      </c>
      <c r="T5667">
        <v>-0.2944388</v>
      </c>
      <c r="U5667">
        <v>-0.27421570000000001</v>
      </c>
      <c r="V5667">
        <v>0.13526450000000001</v>
      </c>
      <c r="W5667">
        <v>2.092811E-2</v>
      </c>
      <c r="X5667">
        <v>0.99058849999999998</v>
      </c>
      <c r="Y5667">
        <v>0.1211853</v>
      </c>
      <c r="Z5667">
        <v>-8.9558380000000007E-3</v>
      </c>
      <c r="AA5667">
        <v>0.99258950000000001</v>
      </c>
      <c r="AB5667">
        <v>29</v>
      </c>
      <c r="AC5667">
        <v>0.42739999999997702</v>
      </c>
      <c r="AD5667">
        <v>-8.3698999999999898E-2</v>
      </c>
      <c r="AE5667">
        <v>-9.1700000000003001E-2</v>
      </c>
      <c r="AF5667">
        <v>0.10121012613609499</v>
      </c>
      <c r="AG5667">
        <v>-8.3698999999999898E-2</v>
      </c>
      <c r="AH5667">
        <v>0.40934048090612801</v>
      </c>
      <c r="AI5667">
        <v>101.227020376791</v>
      </c>
      <c r="AJ5667">
        <v>76.112055866407999</v>
      </c>
      <c r="AK5667">
        <v>0.42989375610951103</v>
      </c>
      <c r="AL5667">
        <v>88.8008201038881</v>
      </c>
      <c r="AM5667">
        <v>82.2243717465809</v>
      </c>
      <c r="AN5667">
        <v>1.0000000235403299</v>
      </c>
    </row>
    <row r="5668" spans="1:40" x14ac:dyDescent="0.25">
      <c r="A5668" t="str">
        <f>"20190312150806250"</f>
        <v>20190312150806250</v>
      </c>
      <c r="B5668" t="str">
        <f>"1552374486246103"</f>
        <v>1552374486246103</v>
      </c>
      <c r="C5668" t="s">
        <v>40</v>
      </c>
      <c r="D5668">
        <v>4.6561779999999997</v>
      </c>
      <c r="E5668">
        <v>0.49648680000000001</v>
      </c>
      <c r="F5668" t="s">
        <v>41</v>
      </c>
      <c r="G5668">
        <v>-259.6123</v>
      </c>
      <c r="H5668">
        <v>1.0021279999999999</v>
      </c>
      <c r="I5668">
        <v>215.49709999999999</v>
      </c>
      <c r="J5668">
        <v>-260.25439999999998</v>
      </c>
      <c r="K5668">
        <v>1.110374</v>
      </c>
      <c r="L5668">
        <v>215.5966</v>
      </c>
      <c r="M5668">
        <v>0.99941619999999998</v>
      </c>
      <c r="N5668">
        <v>0</v>
      </c>
      <c r="O5668">
        <v>3.1084000000000001E-2</v>
      </c>
      <c r="P5668">
        <v>0.99431130000000001</v>
      </c>
      <c r="Q5668">
        <v>-8.640511E-3</v>
      </c>
      <c r="R5668">
        <v>-0.1061632</v>
      </c>
      <c r="S5668">
        <v>2.9886170000000001</v>
      </c>
      <c r="T5668">
        <v>-0.34637649999999998</v>
      </c>
      <c r="U5668">
        <v>-0.28854370000000001</v>
      </c>
      <c r="V5668">
        <v>0.1370217</v>
      </c>
      <c r="W5668">
        <v>5.4166689999999998E-3</v>
      </c>
      <c r="X5668">
        <v>0.99055329999999997</v>
      </c>
      <c r="Y5668">
        <v>0.12595519999999999</v>
      </c>
      <c r="Z5668">
        <v>-1.084156E-2</v>
      </c>
      <c r="AA5668">
        <v>0.99197670000000004</v>
      </c>
      <c r="AB5668">
        <v>29</v>
      </c>
      <c r="AC5668">
        <v>0.64209999999997003</v>
      </c>
      <c r="AD5668">
        <v>-0.108245999999999</v>
      </c>
      <c r="AE5668">
        <v>-9.9500000000006097E-2</v>
      </c>
      <c r="AF5668">
        <v>0.116188354133934</v>
      </c>
      <c r="AG5668">
        <v>-0.108245999999999</v>
      </c>
      <c r="AH5668">
        <v>0.62144928523212195</v>
      </c>
      <c r="AI5668">
        <v>99.715768509439897</v>
      </c>
      <c r="AJ5668">
        <v>79.410040977007199</v>
      </c>
      <c r="AK5668">
        <v>0.64141729339632503</v>
      </c>
      <c r="AL5668">
        <v>89.6896462292857</v>
      </c>
      <c r="AM5668">
        <v>82.124342933766997</v>
      </c>
      <c r="AN5668">
        <v>1.00000006335741</v>
      </c>
    </row>
    <row r="5669" spans="1:40" x14ac:dyDescent="0.25">
      <c r="A5669" t="str">
        <f>"20190312150806272"</f>
        <v>20190312150806272</v>
      </c>
      <c r="B5669" t="str">
        <f>"1552374486265627"</f>
        <v>1552374486265627</v>
      </c>
      <c r="C5669" t="s">
        <v>40</v>
      </c>
      <c r="D5669">
        <v>4.7579989999999999</v>
      </c>
      <c r="E5669">
        <v>0.4938206</v>
      </c>
      <c r="F5669" t="s">
        <v>41</v>
      </c>
      <c r="G5669">
        <v>-259.33850000000001</v>
      </c>
      <c r="H5669">
        <v>1.032751</v>
      </c>
      <c r="I5669">
        <v>215.5077</v>
      </c>
      <c r="J5669">
        <v>-259.9597</v>
      </c>
      <c r="K5669">
        <v>1.1103000000000001</v>
      </c>
      <c r="L5669">
        <v>215.60579999999999</v>
      </c>
      <c r="M5669">
        <v>0.99941480000000005</v>
      </c>
      <c r="N5669">
        <v>0</v>
      </c>
      <c r="O5669">
        <v>3.112991E-2</v>
      </c>
      <c r="P5669">
        <v>0.9939211</v>
      </c>
      <c r="Q5669">
        <v>-2.3125719999999999E-2</v>
      </c>
      <c r="R5669">
        <v>-0.1076387</v>
      </c>
      <c r="S5669">
        <v>2.9841000000000002</v>
      </c>
      <c r="T5669">
        <v>-0.25295529999999999</v>
      </c>
      <c r="U5669">
        <v>-0.28909299999999999</v>
      </c>
      <c r="V5669">
        <v>0.13853089999999901</v>
      </c>
      <c r="W5669">
        <v>-9.0775839999999997E-3</v>
      </c>
      <c r="X5669">
        <v>0.99031650000000004</v>
      </c>
      <c r="Y5669">
        <v>0.126806</v>
      </c>
      <c r="Z5669">
        <v>-7.9813450000000008E-3</v>
      </c>
      <c r="AA5669">
        <v>0.99189539999999998</v>
      </c>
      <c r="AB5669">
        <v>29</v>
      </c>
      <c r="AC5669">
        <v>0.62119999999998698</v>
      </c>
      <c r="AD5669">
        <v>-7.7549000000000007E-2</v>
      </c>
      <c r="AE5669">
        <v>-9.8099999999988002E-2</v>
      </c>
      <c r="AF5669">
        <v>0.11563405300952501</v>
      </c>
      <c r="AG5669">
        <v>-7.7549000000000007E-2</v>
      </c>
      <c r="AH5669">
        <v>0.60859098593065297</v>
      </c>
      <c r="AI5669">
        <v>97.135409256999296</v>
      </c>
      <c r="AJ5669">
        <v>79.241872473375494</v>
      </c>
      <c r="AK5669">
        <v>0.62431407942833805</v>
      </c>
      <c r="AL5669">
        <v>90.520114399097906</v>
      </c>
      <c r="AM5669">
        <v>82.0368250267516</v>
      </c>
      <c r="AN5669">
        <v>0.99999999147916796</v>
      </c>
    </row>
    <row r="5670" spans="1:40" x14ac:dyDescent="0.25">
      <c r="A5670" t="str">
        <f>"20190312150806294"</f>
        <v>20190312150806294</v>
      </c>
      <c r="B5670" t="str">
        <f>"1552374486286122"</f>
        <v>1552374486286122</v>
      </c>
      <c r="C5670" t="s">
        <v>40</v>
      </c>
      <c r="D5670">
        <v>4.5023460000000002</v>
      </c>
      <c r="E5670">
        <v>0.49509399999999998</v>
      </c>
      <c r="F5670" t="s">
        <v>41</v>
      </c>
      <c r="G5670">
        <v>-259.0804</v>
      </c>
      <c r="H5670">
        <v>1.0327200000000001</v>
      </c>
      <c r="I5670">
        <v>215.5256</v>
      </c>
      <c r="J5670">
        <v>-259.67720000000003</v>
      </c>
      <c r="K5670">
        <v>1.11022</v>
      </c>
      <c r="L5670">
        <v>215.6146</v>
      </c>
      <c r="M5670">
        <v>0.99941369999999896</v>
      </c>
      <c r="N5670">
        <v>0</v>
      </c>
      <c r="O5670">
        <v>3.1167150000000001E-2</v>
      </c>
      <c r="P5670">
        <v>0.99331000000000003</v>
      </c>
      <c r="Q5670">
        <v>-3.8474349999999997E-2</v>
      </c>
      <c r="R5670">
        <v>-0.10888050000000001</v>
      </c>
      <c r="S5670">
        <v>2.9826969999999999</v>
      </c>
      <c r="T5670">
        <v>-0.2631406</v>
      </c>
      <c r="U5670">
        <v>-0.2723083</v>
      </c>
      <c r="V5670">
        <v>0.13979040000000001</v>
      </c>
      <c r="W5670">
        <v>-2.4438709999999999E-2</v>
      </c>
      <c r="X5670">
        <v>0.98987950000000002</v>
      </c>
      <c r="Y5670">
        <v>0.12132709999999999</v>
      </c>
      <c r="Z5670">
        <v>-8.070051E-3</v>
      </c>
      <c r="AA5670">
        <v>0.99257980000000001</v>
      </c>
      <c r="AB5670">
        <v>29</v>
      </c>
      <c r="AC5670">
        <v>0.59680000000002997</v>
      </c>
      <c r="AD5670">
        <v>-7.7499999999999902E-2</v>
      </c>
      <c r="AE5670">
        <v>-8.8999999999998594E-2</v>
      </c>
      <c r="AF5670">
        <v>0.105813617576972</v>
      </c>
      <c r="AG5670">
        <v>-7.7499999999999902E-2</v>
      </c>
      <c r="AH5670">
        <v>0.58410021375310694</v>
      </c>
      <c r="AI5670">
        <v>97.438332808285907</v>
      </c>
      <c r="AJ5670">
        <v>79.731849822851999</v>
      </c>
      <c r="AK5670">
        <v>0.59864499611301403</v>
      </c>
      <c r="AL5670">
        <v>91.400374337355899</v>
      </c>
      <c r="AM5670">
        <v>81.961865724294199</v>
      </c>
      <c r="AN5670">
        <v>1.00000001549943</v>
      </c>
    </row>
    <row r="5671" spans="1:40" x14ac:dyDescent="0.25">
      <c r="A5671" t="str">
        <f>"20190312150806318"</f>
        <v>20190312150806318</v>
      </c>
      <c r="B5671" t="str">
        <f>"1552374486305640"</f>
        <v>1552374486305640</v>
      </c>
      <c r="C5671" t="s">
        <v>40</v>
      </c>
      <c r="D5671">
        <v>4.6071960000000001</v>
      </c>
      <c r="E5671">
        <v>0.49516700000000002</v>
      </c>
      <c r="F5671" t="s">
        <v>41</v>
      </c>
      <c r="G5671">
        <v>-258.82319999999999</v>
      </c>
      <c r="H5671">
        <v>1.030532</v>
      </c>
      <c r="I5671">
        <v>215.5325</v>
      </c>
      <c r="J5671">
        <v>-259.37950000000001</v>
      </c>
      <c r="K5671">
        <v>1.1101589999999999</v>
      </c>
      <c r="L5671">
        <v>215.62389999999999</v>
      </c>
      <c r="M5671">
        <v>0.99941290000000005</v>
      </c>
      <c r="N5671">
        <v>0</v>
      </c>
      <c r="O5671">
        <v>3.1197280000000001E-2</v>
      </c>
      <c r="P5671">
        <v>0.99265329999999996</v>
      </c>
      <c r="Q5671">
        <v>-5.0429340000000003E-2</v>
      </c>
      <c r="R5671">
        <v>-0.10998620000000001</v>
      </c>
      <c r="S5671">
        <v>2.978119</v>
      </c>
      <c r="T5671">
        <v>-0.27796349999999997</v>
      </c>
      <c r="U5671">
        <v>-0.28585820000000001</v>
      </c>
      <c r="V5671">
        <v>0.14090469999999999</v>
      </c>
      <c r="W5671">
        <v>-3.6407969999999998E-2</v>
      </c>
      <c r="X5671">
        <v>0.9893535</v>
      </c>
      <c r="Y5671">
        <v>0.1258812</v>
      </c>
      <c r="Z5671">
        <v>-8.7483769999999999E-3</v>
      </c>
      <c r="AA5671">
        <v>0.99200679999999997</v>
      </c>
      <c r="AB5671">
        <v>29</v>
      </c>
      <c r="AC5671">
        <v>0.556300000000021</v>
      </c>
      <c r="AD5671">
        <v>-7.96270000000001E-2</v>
      </c>
      <c r="AE5671">
        <v>-9.1399999999993001E-2</v>
      </c>
      <c r="AF5671">
        <v>0.106585941119658</v>
      </c>
      <c r="AG5671">
        <v>-7.96270000000001E-2</v>
      </c>
      <c r="AH5671">
        <v>0.54235762202425997</v>
      </c>
      <c r="AI5671">
        <v>98.197678801423095</v>
      </c>
      <c r="AJ5671">
        <v>78.881730447973993</v>
      </c>
      <c r="AK5671">
        <v>0.558437831939396</v>
      </c>
      <c r="AL5671">
        <v>92.086484124290095</v>
      </c>
      <c r="AM5671">
        <v>81.894389343240604</v>
      </c>
      <c r="AN5671">
        <v>1.0000000113619301</v>
      </c>
    </row>
    <row r="5672" spans="1:40" x14ac:dyDescent="0.25">
      <c r="A5672" t="str">
        <f>"20190312150806339"</f>
        <v>20190312150806339</v>
      </c>
      <c r="B5672" t="str">
        <f>"1552374486335895"</f>
        <v>1552374486335895</v>
      </c>
      <c r="C5672" t="s">
        <v>40</v>
      </c>
      <c r="D5672">
        <v>4.6787239999999999</v>
      </c>
      <c r="E5672">
        <v>0.49518010000000001</v>
      </c>
      <c r="F5672" t="s">
        <v>41</v>
      </c>
      <c r="G5672">
        <v>-258.56369999999998</v>
      </c>
      <c r="H5672">
        <v>1.033887</v>
      </c>
      <c r="I5672">
        <v>215.54429999999999</v>
      </c>
      <c r="J5672">
        <v>-259.0949</v>
      </c>
      <c r="K5672">
        <v>1.1101319999999999</v>
      </c>
      <c r="L5672">
        <v>215.6328</v>
      </c>
      <c r="M5672">
        <v>0.99941219999999997</v>
      </c>
      <c r="N5672">
        <v>0</v>
      </c>
      <c r="O5672">
        <v>3.1216600000000001E-2</v>
      </c>
      <c r="P5672">
        <v>0.99233629999999995</v>
      </c>
      <c r="Q5672">
        <v>-5.3826279999999997E-2</v>
      </c>
      <c r="R5672">
        <v>-0.1112274</v>
      </c>
      <c r="S5672">
        <v>2.9759829999999998</v>
      </c>
      <c r="T5672">
        <v>-0.2783717</v>
      </c>
      <c r="U5672">
        <v>-0.2900238</v>
      </c>
      <c r="V5672">
        <v>0.1421539</v>
      </c>
      <c r="W5672">
        <v>-3.9815400000000001E-2</v>
      </c>
      <c r="X5672">
        <v>0.98904349999999996</v>
      </c>
      <c r="Y5672">
        <v>0.12733439999999999</v>
      </c>
      <c r="Z5672">
        <v>-8.8362900000000001E-3</v>
      </c>
      <c r="AA5672">
        <v>0.99182049999999999</v>
      </c>
      <c r="AB5672">
        <v>29</v>
      </c>
      <c r="AC5672">
        <v>0.531200000000012</v>
      </c>
      <c r="AD5672">
        <v>-7.6244999999999896E-2</v>
      </c>
      <c r="AE5672">
        <v>-8.8500000000010404E-2</v>
      </c>
      <c r="AF5672">
        <v>0.10297656949230501</v>
      </c>
      <c r="AG5672">
        <v>-7.6244999999999896E-2</v>
      </c>
      <c r="AH5672">
        <v>0.51779860183081905</v>
      </c>
      <c r="AI5672">
        <v>98.217842897132201</v>
      </c>
      <c r="AJ5672">
        <v>78.752126308312299</v>
      </c>
      <c r="AK5672">
        <v>0.53341622205118</v>
      </c>
      <c r="AL5672">
        <v>92.281857494297697</v>
      </c>
      <c r="AM5672">
        <v>81.820967884912307</v>
      </c>
      <c r="AN5672">
        <v>1.0000000211272999</v>
      </c>
    </row>
    <row r="5673" spans="1:40" x14ac:dyDescent="0.25">
      <c r="A5673" t="str">
        <f>"20190312150806362"</f>
        <v>20190312150806362</v>
      </c>
      <c r="B5673" t="str">
        <f>"1552374486355414"</f>
        <v>1552374486355414</v>
      </c>
      <c r="C5673" t="s">
        <v>40</v>
      </c>
      <c r="D5673">
        <v>4.5247149999999996</v>
      </c>
      <c r="E5673">
        <v>0.49512390000000001</v>
      </c>
      <c r="F5673" t="s">
        <v>41</v>
      </c>
      <c r="G5673">
        <v>-258.30090000000001</v>
      </c>
      <c r="H5673">
        <v>1.0428850000000001</v>
      </c>
      <c r="I5673">
        <v>215.554</v>
      </c>
      <c r="J5673">
        <v>-258.8075</v>
      </c>
      <c r="K5673">
        <v>1.1101030000000001</v>
      </c>
      <c r="L5673">
        <v>215.64179999999999</v>
      </c>
      <c r="M5673">
        <v>0.99941210000000003</v>
      </c>
      <c r="N5673">
        <v>0</v>
      </c>
      <c r="O5673">
        <v>3.122757E-2</v>
      </c>
      <c r="P5673">
        <v>0.9921662</v>
      </c>
      <c r="Q5673">
        <v>-5.4920389999999999E-2</v>
      </c>
      <c r="R5673">
        <v>-0.1122059</v>
      </c>
      <c r="S5673">
        <v>2.9765009999999998</v>
      </c>
      <c r="T5673">
        <v>-0.25225520000000001</v>
      </c>
      <c r="U5673">
        <v>-0.2943115</v>
      </c>
      <c r="V5673">
        <v>0.14313679999999901</v>
      </c>
      <c r="W5673">
        <v>-4.0917990000000001E-2</v>
      </c>
      <c r="X5673">
        <v>0.98885670000000003</v>
      </c>
      <c r="Y5673">
        <v>0.1288609</v>
      </c>
      <c r="Z5673">
        <v>-8.073785E-3</v>
      </c>
      <c r="AA5673">
        <v>0.99162980000000001</v>
      </c>
      <c r="AB5673">
        <v>29</v>
      </c>
      <c r="AC5673">
        <v>0.50659999999999095</v>
      </c>
      <c r="AD5673">
        <v>-6.7218E-2</v>
      </c>
      <c r="AE5673">
        <v>-8.7799999999987194E-2</v>
      </c>
      <c r="AF5673">
        <v>0.101838046930064</v>
      </c>
      <c r="AG5673">
        <v>-6.7218E-2</v>
      </c>
      <c r="AH5673">
        <v>0.49514785633389402</v>
      </c>
      <c r="AI5673">
        <v>97.574196200488601</v>
      </c>
      <c r="AJ5673">
        <v>78.377929052649705</v>
      </c>
      <c r="AK5673">
        <v>0.50996141712739496</v>
      </c>
      <c r="AL5673">
        <v>92.345082833842298</v>
      </c>
      <c r="AM5673">
        <v>81.763654020546895</v>
      </c>
      <c r="AN5673">
        <v>0.99999999927738503</v>
      </c>
    </row>
    <row r="5674" spans="1:40" x14ac:dyDescent="0.25">
      <c r="A5674" t="str">
        <f>"20190312150806384"</f>
        <v>20190312150806384</v>
      </c>
      <c r="B5674" t="str">
        <f>"1552374486375915"</f>
        <v>1552374486375915</v>
      </c>
      <c r="C5674" t="s">
        <v>40</v>
      </c>
      <c r="D5674">
        <v>4.6173830000000002</v>
      </c>
      <c r="E5674">
        <v>0.49480930000000001</v>
      </c>
      <c r="F5674" t="s">
        <v>41</v>
      </c>
      <c r="G5674">
        <v>-258.03949999999998</v>
      </c>
      <c r="H5674">
        <v>1.047698</v>
      </c>
      <c r="I5674">
        <v>215.5652</v>
      </c>
      <c r="J5674">
        <v>-258.5224</v>
      </c>
      <c r="K5674">
        <v>1.110098</v>
      </c>
      <c r="L5674">
        <v>215.6507</v>
      </c>
      <c r="M5674">
        <v>0.99941190000000002</v>
      </c>
      <c r="N5674">
        <v>0</v>
      </c>
      <c r="O5674">
        <v>3.1232320000000001E-2</v>
      </c>
      <c r="P5674">
        <v>0.99210969999999998</v>
      </c>
      <c r="Q5674">
        <v>-5.5824409999999998E-2</v>
      </c>
      <c r="R5674">
        <v>-0.112259</v>
      </c>
      <c r="S5674">
        <v>2.9767459999999999</v>
      </c>
      <c r="T5674">
        <v>-0.24187400000000001</v>
      </c>
      <c r="U5674">
        <v>-0.2967224</v>
      </c>
      <c r="V5674">
        <v>0.14319219999999999</v>
      </c>
      <c r="W5674">
        <v>-4.1827610000000001E-2</v>
      </c>
      <c r="X5674">
        <v>0.98881059999999998</v>
      </c>
      <c r="Y5674">
        <v>0.12969600000000001</v>
      </c>
      <c r="Z5674">
        <v>-7.775873E-3</v>
      </c>
      <c r="AA5674">
        <v>0.9915233</v>
      </c>
      <c r="AB5674">
        <v>29</v>
      </c>
      <c r="AC5674">
        <v>0.48290000000002897</v>
      </c>
      <c r="AD5674">
        <v>-6.2399999999999997E-2</v>
      </c>
      <c r="AE5674">
        <v>-8.5499999999996107E-2</v>
      </c>
      <c r="AF5674">
        <v>9.8940031264546202E-2</v>
      </c>
      <c r="AG5674">
        <v>-6.2399999999999997E-2</v>
      </c>
      <c r="AH5674">
        <v>0.472346408615751</v>
      </c>
      <c r="AI5674">
        <v>97.367486199869504</v>
      </c>
      <c r="AJ5674">
        <v>78.1695836377001</v>
      </c>
      <c r="AK5674">
        <v>0.48661485747850602</v>
      </c>
      <c r="AL5674">
        <v>92.397244933797595</v>
      </c>
      <c r="AM5674">
        <v>81.760131101948403</v>
      </c>
      <c r="AN5674">
        <v>0.99999997888575498</v>
      </c>
    </row>
    <row r="5675" spans="1:40" x14ac:dyDescent="0.25">
      <c r="A5675" t="str">
        <f>"20190312150806407"</f>
        <v>20190312150806407</v>
      </c>
      <c r="B5675" t="str">
        <f>"1552374486395431"</f>
        <v>1552374486395431</v>
      </c>
      <c r="C5675" t="s">
        <v>40</v>
      </c>
      <c r="D5675">
        <v>4.7102519999999997</v>
      </c>
      <c r="E5675">
        <v>0.49447940000000001</v>
      </c>
      <c r="F5675" t="s">
        <v>41</v>
      </c>
      <c r="G5675">
        <v>-257.77760000000001</v>
      </c>
      <c r="H5675">
        <v>1.0509029999999999</v>
      </c>
      <c r="I5675">
        <v>215.57669999999999</v>
      </c>
      <c r="J5675">
        <v>-258.23759999999999</v>
      </c>
      <c r="K5675">
        <v>1.1100909999999999</v>
      </c>
      <c r="L5675">
        <v>215.65960000000001</v>
      </c>
      <c r="M5675">
        <v>0.99941190000000002</v>
      </c>
      <c r="N5675">
        <v>0</v>
      </c>
      <c r="O5675">
        <v>3.1232099999999902E-2</v>
      </c>
      <c r="P5675">
        <v>0.99210489999999996</v>
      </c>
      <c r="Q5675">
        <v>-5.616314E-2</v>
      </c>
      <c r="R5675">
        <v>-0.1121323</v>
      </c>
      <c r="S5675">
        <v>2.9771879999999999</v>
      </c>
      <c r="T5675">
        <v>-0.2368606</v>
      </c>
      <c r="U5675">
        <v>-0.29469299999999998</v>
      </c>
      <c r="V5675">
        <v>0.14306479999999999</v>
      </c>
      <c r="W5675">
        <v>-4.2170510000000001E-2</v>
      </c>
      <c r="X5675">
        <v>0.98881450000000004</v>
      </c>
      <c r="Y5675">
        <v>0.1290357</v>
      </c>
      <c r="Z5675">
        <v>-7.5881519999999999E-3</v>
      </c>
      <c r="AA5675">
        <v>0.99161089999999996</v>
      </c>
      <c r="AB5675">
        <v>29</v>
      </c>
      <c r="AC5675">
        <v>0.45999999999997898</v>
      </c>
      <c r="AD5675">
        <v>-5.9187999999999803E-2</v>
      </c>
      <c r="AE5675">
        <v>-8.2900000000023497E-2</v>
      </c>
      <c r="AF5675">
        <v>9.5693307284954607E-2</v>
      </c>
      <c r="AG5675">
        <v>-5.9187999999999803E-2</v>
      </c>
      <c r="AH5675">
        <v>0.44997083585710002</v>
      </c>
      <c r="AI5675">
        <v>97.331407444914205</v>
      </c>
      <c r="AJ5675">
        <v>77.994024035826897</v>
      </c>
      <c r="AK5675">
        <v>0.46382559386591599</v>
      </c>
      <c r="AL5675">
        <v>92.416908951407905</v>
      </c>
      <c r="AM5675">
        <v>81.767393715282793</v>
      </c>
      <c r="AN5675">
        <v>1.0000000021614699</v>
      </c>
    </row>
    <row r="5676" spans="1:40" x14ac:dyDescent="0.25">
      <c r="A5676" t="str">
        <f>"20190312150806428"</f>
        <v>20190312150806428</v>
      </c>
      <c r="B5676" t="str">
        <f>"1552374486425687"</f>
        <v>1552374486425687</v>
      </c>
      <c r="C5676" t="s">
        <v>40</v>
      </c>
      <c r="D5676">
        <v>4.537579</v>
      </c>
      <c r="E5676">
        <v>0.4939595</v>
      </c>
      <c r="F5676" t="s">
        <v>41</v>
      </c>
      <c r="G5676">
        <v>-257.27600000000001</v>
      </c>
      <c r="H5676">
        <v>1.0360370000000001</v>
      </c>
      <c r="I5676">
        <v>215.5652</v>
      </c>
      <c r="J5676">
        <v>-257.95569999999998</v>
      </c>
      <c r="K5676">
        <v>1.1100909999999999</v>
      </c>
      <c r="L5676">
        <v>215.66839999999999</v>
      </c>
      <c r="M5676">
        <v>0.99941219999999997</v>
      </c>
      <c r="N5676">
        <v>0</v>
      </c>
      <c r="O5676">
        <v>3.122629E-2</v>
      </c>
      <c r="P5676">
        <v>0.99218430000000002</v>
      </c>
      <c r="Q5676">
        <v>-5.5513529999999998E-2</v>
      </c>
      <c r="R5676">
        <v>-0.11175450000000001</v>
      </c>
      <c r="S5676">
        <v>2.9779209999999998</v>
      </c>
      <c r="T5676">
        <v>-0.22940949999999999</v>
      </c>
      <c r="U5676">
        <v>-0.29174800000000001</v>
      </c>
      <c r="V5676">
        <v>0.14268330000000001</v>
      </c>
      <c r="W5676">
        <v>-4.1523669999999999E-2</v>
      </c>
      <c r="X5676">
        <v>0.98889700000000003</v>
      </c>
      <c r="Y5676">
        <v>0.12806880000000001</v>
      </c>
      <c r="Z5676">
        <v>-7.311161E-3</v>
      </c>
      <c r="AA5676">
        <v>0.99173829999999996</v>
      </c>
      <c r="AB5676">
        <v>29</v>
      </c>
      <c r="AC5676">
        <v>0.679699999999968</v>
      </c>
      <c r="AD5676">
        <v>-7.4053999999999801E-2</v>
      </c>
      <c r="AE5676">
        <v>-0.103199999999986</v>
      </c>
      <c r="AF5676">
        <v>0.12294973091535299</v>
      </c>
      <c r="AG5676">
        <v>-7.4053999999999801E-2</v>
      </c>
      <c r="AH5676">
        <v>0.66839036702202304</v>
      </c>
      <c r="AI5676">
        <v>96.218774091544603</v>
      </c>
      <c r="AJ5676">
        <v>79.5770186161498</v>
      </c>
      <c r="AK5676">
        <v>0.68362732096954104</v>
      </c>
      <c r="AL5676">
        <v>92.379815241978804</v>
      </c>
      <c r="AM5676">
        <v>81.789722917078805</v>
      </c>
      <c r="AN5676">
        <v>1.0000000079390701</v>
      </c>
    </row>
    <row r="5677" spans="1:40" x14ac:dyDescent="0.25">
      <c r="A5677" t="str">
        <f>"20190312150806452"</f>
        <v>20190312150806452</v>
      </c>
      <c r="B5677" t="str">
        <f>"1552374486446187"</f>
        <v>1552374486446187</v>
      </c>
      <c r="C5677" t="s">
        <v>40</v>
      </c>
      <c r="D5677">
        <v>4.5515150000000002</v>
      </c>
      <c r="E5677">
        <v>0.49356539999999999</v>
      </c>
      <c r="F5677" t="s">
        <v>41</v>
      </c>
      <c r="G5677">
        <v>-257.0154</v>
      </c>
      <c r="H5677">
        <v>1.041974</v>
      </c>
      <c r="I5677">
        <v>215.5779</v>
      </c>
      <c r="J5677">
        <v>-257.66210000000001</v>
      </c>
      <c r="K5677">
        <v>1.1100890000000001</v>
      </c>
      <c r="L5677">
        <v>215.67750000000001</v>
      </c>
      <c r="M5677">
        <v>0.99941250000000004</v>
      </c>
      <c r="N5677">
        <v>0</v>
      </c>
      <c r="O5677">
        <v>3.1214619999999998E-2</v>
      </c>
      <c r="P5677">
        <v>0.9922571</v>
      </c>
      <c r="Q5677">
        <v>-5.5624659999999999E-2</v>
      </c>
      <c r="R5677">
        <v>-0.1110487</v>
      </c>
      <c r="S5677">
        <v>2.9793090000000002</v>
      </c>
      <c r="T5677">
        <v>-0.21584990000000001</v>
      </c>
      <c r="U5677">
        <v>-0.28654479999999999</v>
      </c>
      <c r="V5677">
        <v>0.14196839999999999</v>
      </c>
      <c r="W5677">
        <v>-4.1637840000000002E-2</v>
      </c>
      <c r="X5677">
        <v>0.98899510000000002</v>
      </c>
      <c r="Y5677">
        <v>0.12635469999999999</v>
      </c>
      <c r="Z5677">
        <v>-6.8148499999999999E-3</v>
      </c>
      <c r="AA5677">
        <v>0.99196169999999995</v>
      </c>
      <c r="AB5677">
        <v>29</v>
      </c>
      <c r="AC5677">
        <v>0.64670000000000905</v>
      </c>
      <c r="AD5677">
        <v>-6.8114999999999898E-2</v>
      </c>
      <c r="AE5677">
        <v>-9.9600000000009403E-2</v>
      </c>
      <c r="AF5677">
        <v>0.118456292415519</v>
      </c>
      <c r="AG5677">
        <v>-6.8114999999999898E-2</v>
      </c>
      <c r="AH5677">
        <v>0.63637923928857199</v>
      </c>
      <c r="AI5677">
        <v>96.007000285736495</v>
      </c>
      <c r="AJ5677">
        <v>79.455581568873001</v>
      </c>
      <c r="AK5677">
        <v>0.65088407772454604</v>
      </c>
      <c r="AL5677">
        <v>92.386362329634906</v>
      </c>
      <c r="AM5677">
        <v>81.831102410857994</v>
      </c>
      <c r="AN5677">
        <v>1.00000002207121</v>
      </c>
    </row>
    <row r="5678" spans="1:40" x14ac:dyDescent="0.25">
      <c r="A5678" t="str">
        <f>"20190312150806474"</f>
        <v>20190312150806474</v>
      </c>
      <c r="B5678" t="str">
        <f>"1552374486465703"</f>
        <v>1552374486465703</v>
      </c>
      <c r="C5678" t="s">
        <v>40</v>
      </c>
      <c r="D5678">
        <v>4.5728859999999996</v>
      </c>
      <c r="E5678">
        <v>0.49317660000000002</v>
      </c>
      <c r="F5678" t="s">
        <v>41</v>
      </c>
      <c r="G5678">
        <v>-256.7559</v>
      </c>
      <c r="H5678">
        <v>1.0471079999999999</v>
      </c>
      <c r="I5678">
        <v>215.5916</v>
      </c>
      <c r="J5678">
        <v>-257.37060000000002</v>
      </c>
      <c r="K5678">
        <v>1.110069</v>
      </c>
      <c r="L5678">
        <v>215.6866</v>
      </c>
      <c r="M5678">
        <v>0.99941340000000001</v>
      </c>
      <c r="N5678">
        <v>0</v>
      </c>
      <c r="O5678">
        <v>3.1190599999999999E-2</v>
      </c>
      <c r="P5678">
        <v>0.99221269999999995</v>
      </c>
      <c r="Q5678">
        <v>-5.7303340000000001E-2</v>
      </c>
      <c r="R5678">
        <v>-0.11059289999999899</v>
      </c>
      <c r="S5678">
        <v>2.98027</v>
      </c>
      <c r="T5678">
        <v>-0.2073207</v>
      </c>
      <c r="U5678">
        <v>-0.28163149999999998</v>
      </c>
      <c r="V5678">
        <v>0.1414868</v>
      </c>
      <c r="W5678">
        <v>-4.3322470000000002E-2</v>
      </c>
      <c r="X5678">
        <v>0.98899170000000003</v>
      </c>
      <c r="Y5678">
        <v>0.1247154</v>
      </c>
      <c r="Z5678">
        <v>-6.4861290000000002E-3</v>
      </c>
      <c r="AA5678">
        <v>0.99217129999999998</v>
      </c>
      <c r="AB5678">
        <v>29</v>
      </c>
      <c r="AC5678">
        <v>0.614700000000027</v>
      </c>
      <c r="AD5678">
        <v>-6.2961000000000003E-2</v>
      </c>
      <c r="AE5678">
        <v>-9.4999999999998794E-2</v>
      </c>
      <c r="AF5678">
        <v>0.112971017009293</v>
      </c>
      <c r="AG5678">
        <v>-6.2961000000000003E-2</v>
      </c>
      <c r="AH5678">
        <v>0.60523604647781604</v>
      </c>
      <c r="AI5678">
        <v>95.838828484451795</v>
      </c>
      <c r="AJ5678">
        <v>79.427060067928807</v>
      </c>
      <c r="AK5678">
        <v>0.61890000013024005</v>
      </c>
      <c r="AL5678">
        <v>92.482971873567607</v>
      </c>
      <c r="AM5678">
        <v>81.858414043054395</v>
      </c>
      <c r="AN5678">
        <v>0.99999996682501402</v>
      </c>
    </row>
    <row r="5679" spans="1:40" x14ac:dyDescent="0.25">
      <c r="A5679" t="str">
        <f>"20190312150806495"</f>
        <v>20190312150806495</v>
      </c>
      <c r="B5679" t="str">
        <f>"1552374486486200"</f>
        <v>1552374486486200</v>
      </c>
      <c r="C5679" t="s">
        <v>40</v>
      </c>
      <c r="D5679">
        <v>4.6653159999999998</v>
      </c>
      <c r="E5679">
        <v>0.49317349999999999</v>
      </c>
      <c r="F5679" t="s">
        <v>41</v>
      </c>
      <c r="G5679">
        <v>-256.49040000000002</v>
      </c>
      <c r="H5679">
        <v>1.049269</v>
      </c>
      <c r="I5679">
        <v>215.6045</v>
      </c>
      <c r="J5679">
        <v>-257.09280000000001</v>
      </c>
      <c r="K5679">
        <v>1.1100429999999999</v>
      </c>
      <c r="L5679">
        <v>215.6952</v>
      </c>
      <c r="M5679">
        <v>0.99941469999999999</v>
      </c>
      <c r="N5679">
        <v>0</v>
      </c>
      <c r="O5679">
        <v>3.1148909999999998E-2</v>
      </c>
      <c r="P5679">
        <v>0.99209930000000002</v>
      </c>
      <c r="Q5679">
        <v>-5.9129279999999999E-2</v>
      </c>
      <c r="R5679">
        <v>-0.11064880000000001</v>
      </c>
      <c r="S5679">
        <v>2.9807429999999999</v>
      </c>
      <c r="T5679">
        <v>-0.2060582</v>
      </c>
      <c r="U5679">
        <v>-0.2772522</v>
      </c>
      <c r="V5679">
        <v>0.14149629999999999</v>
      </c>
      <c r="W5679">
        <v>-4.515711E-2</v>
      </c>
      <c r="X5679">
        <v>0.98890829999999996</v>
      </c>
      <c r="Y5679">
        <v>0.12322230000000001</v>
      </c>
      <c r="Z5679">
        <v>-6.3918279999999996E-3</v>
      </c>
      <c r="AA5679">
        <v>0.99235850000000003</v>
      </c>
      <c r="AB5679">
        <v>29</v>
      </c>
      <c r="AC5679">
        <v>0.60239999999998795</v>
      </c>
      <c r="AD5679">
        <v>-6.0774000000000099E-2</v>
      </c>
      <c r="AE5679">
        <v>-9.0699999999998199E-2</v>
      </c>
      <c r="AF5679">
        <v>0.10834367371135301</v>
      </c>
      <c r="AG5679">
        <v>-6.0774000000000099E-2</v>
      </c>
      <c r="AH5679">
        <v>0.59337658566345597</v>
      </c>
      <c r="AI5679">
        <v>95.753413356523794</v>
      </c>
      <c r="AJ5679">
        <v>79.652441962072004</v>
      </c>
      <c r="AK5679">
        <v>0.60624054889366596</v>
      </c>
      <c r="AL5679">
        <v>92.588191960318596</v>
      </c>
      <c r="AM5679">
        <v>81.857197252402699</v>
      </c>
      <c r="AN5679">
        <v>0.99999999665306605</v>
      </c>
    </row>
    <row r="5680" spans="1:40" x14ac:dyDescent="0.25">
      <c r="A5680" t="str">
        <f>"20190312150806519"</f>
        <v>20190312150806519</v>
      </c>
      <c r="B5680" t="str">
        <f>"1552374486515479"</f>
        <v>1552374486515479</v>
      </c>
      <c r="C5680" t="s">
        <v>40</v>
      </c>
      <c r="D5680">
        <v>4.525709</v>
      </c>
      <c r="E5680">
        <v>0.50438509999999903</v>
      </c>
      <c r="F5680" t="s">
        <v>41</v>
      </c>
      <c r="G5680">
        <v>-256.2337</v>
      </c>
      <c r="H5680">
        <v>1.0500750000000001</v>
      </c>
      <c r="I5680">
        <v>215.61500000000001</v>
      </c>
      <c r="J5680">
        <v>-256.79930000000002</v>
      </c>
      <c r="K5680">
        <v>1.1100129999999999</v>
      </c>
      <c r="L5680">
        <v>215.70429999999999</v>
      </c>
      <c r="M5680">
        <v>0.99941679999999999</v>
      </c>
      <c r="N5680">
        <v>0</v>
      </c>
      <c r="O5680">
        <v>3.108023E-2</v>
      </c>
      <c r="P5680">
        <v>0.99197429999999998</v>
      </c>
      <c r="Q5680">
        <v>-6.105559E-2</v>
      </c>
      <c r="R5680">
        <v>-0.1107219</v>
      </c>
      <c r="S5680">
        <v>2.9805450000000002</v>
      </c>
      <c r="T5680">
        <v>-0.2082194</v>
      </c>
      <c r="U5680">
        <v>-0.27732849999999998</v>
      </c>
      <c r="V5680">
        <v>0.14149510000000001</v>
      </c>
      <c r="W5680">
        <v>-4.7094539999999997E-2</v>
      </c>
      <c r="X5680">
        <v>0.98881810000000003</v>
      </c>
      <c r="Y5680">
        <v>0.123178</v>
      </c>
      <c r="Z5680">
        <v>-6.4527990000000004E-3</v>
      </c>
      <c r="AA5680">
        <v>0.99236360000000001</v>
      </c>
      <c r="AB5680">
        <v>29</v>
      </c>
      <c r="AC5680">
        <v>0.56560000000001698</v>
      </c>
      <c r="AD5680">
        <v>-5.9937999999999797E-2</v>
      </c>
      <c r="AE5680">
        <v>-8.9299999999980104E-2</v>
      </c>
      <c r="AF5680">
        <v>0.10567965288270301</v>
      </c>
      <c r="AG5680">
        <v>-5.9937999999999797E-2</v>
      </c>
      <c r="AH5680">
        <v>0.55645388194644496</v>
      </c>
      <c r="AI5680">
        <v>96.040713027005495</v>
      </c>
      <c r="AJ5680">
        <v>79.246662492019297</v>
      </c>
      <c r="AK5680">
        <v>0.56956270560025002</v>
      </c>
      <c r="AL5680">
        <v>92.699316816596394</v>
      </c>
      <c r="AM5680">
        <v>81.856532565815897</v>
      </c>
      <c r="AN5680">
        <v>0.99999999695471498</v>
      </c>
    </row>
    <row r="5681" spans="1:40" x14ac:dyDescent="0.25">
      <c r="A5681" t="str">
        <f>"20190312150806540"</f>
        <v>20190312150806540</v>
      </c>
      <c r="B5681" t="str">
        <f>"1552374486535974"</f>
        <v>1552374486535974</v>
      </c>
      <c r="C5681" t="s">
        <v>40</v>
      </c>
      <c r="D5681">
        <v>4.6488969999999998</v>
      </c>
      <c r="E5681">
        <v>0.50467359999999895</v>
      </c>
      <c r="F5681" t="s">
        <v>67</v>
      </c>
      <c r="G5681">
        <v>-231.48269999999999</v>
      </c>
      <c r="H5681" s="1">
        <v>-6.5857399999999995E-7</v>
      </c>
      <c r="I5681">
        <v>212.57570000000001</v>
      </c>
      <c r="J5681">
        <v>-256.51929999999999</v>
      </c>
      <c r="K5681">
        <v>1.1099779999999999</v>
      </c>
      <c r="L5681">
        <v>215.71289999999999</v>
      </c>
      <c r="M5681">
        <v>0.99941959999999996</v>
      </c>
      <c r="N5681">
        <v>0</v>
      </c>
      <c r="O5681">
        <v>3.0986949999999999E-2</v>
      </c>
      <c r="P5681">
        <v>0.9918131</v>
      </c>
      <c r="Q5681">
        <v>-6.3131999999999994E-2</v>
      </c>
      <c r="R5681">
        <v>-0.1110003</v>
      </c>
      <c r="S5681">
        <v>2.9752040000000002</v>
      </c>
      <c r="T5681">
        <v>-0.1304486</v>
      </c>
      <c r="U5681">
        <v>-0.3676758</v>
      </c>
      <c r="V5681">
        <v>0.1416733</v>
      </c>
      <c r="W5681">
        <v>-4.9183369999999997E-2</v>
      </c>
      <c r="X5681">
        <v>0.98869090000000004</v>
      </c>
      <c r="Y5681">
        <v>0.15316979999999999</v>
      </c>
      <c r="Z5681">
        <v>-4.6970329999999998E-3</v>
      </c>
      <c r="AA5681">
        <v>0.98818870000000003</v>
      </c>
      <c r="AB5681">
        <v>29</v>
      </c>
      <c r="AC5681">
        <v>25.0366</v>
      </c>
      <c r="AD5681">
        <v>-1.1099786585739999</v>
      </c>
      <c r="AE5681">
        <v>-3.1371999999999698</v>
      </c>
      <c r="AF5681">
        <v>3.9040239149920599</v>
      </c>
      <c r="AG5681">
        <v>-1.1099786585739999</v>
      </c>
      <c r="AH5681">
        <v>24.8792079777818</v>
      </c>
      <c r="AI5681">
        <v>92.523698912499995</v>
      </c>
      <c r="AJ5681">
        <v>81.081919487973707</v>
      </c>
      <c r="AK5681">
        <v>25.208102763854399</v>
      </c>
      <c r="AL5681">
        <v>92.819136853807393</v>
      </c>
      <c r="AM5681">
        <v>81.845379549008399</v>
      </c>
      <c r="AN5681">
        <v>1.00000001178012</v>
      </c>
    </row>
    <row r="5682" spans="1:40" x14ac:dyDescent="0.25">
      <c r="A5682" t="str">
        <f>"20190312150806564"</f>
        <v>20190312150806564</v>
      </c>
      <c r="B5682" t="str">
        <f>"1552374486555496"</f>
        <v>1552374486555496</v>
      </c>
      <c r="C5682" t="s">
        <v>40</v>
      </c>
      <c r="D5682">
        <v>4.7502950000000004</v>
      </c>
      <c r="E5682">
        <v>0.50461999999999996</v>
      </c>
      <c r="F5682" t="s">
        <v>67</v>
      </c>
      <c r="G5682">
        <v>-232.34649999999999</v>
      </c>
      <c r="H5682" s="1">
        <v>-2.0433640000000001E-7</v>
      </c>
      <c r="I5682">
        <v>212.69980000000001</v>
      </c>
      <c r="J5682">
        <v>-256.22609999999997</v>
      </c>
      <c r="K5682">
        <v>1.1099479999999999</v>
      </c>
      <c r="L5682">
        <v>215.72190000000001</v>
      </c>
      <c r="M5682">
        <v>0.99942390000000003</v>
      </c>
      <c r="N5682">
        <v>0</v>
      </c>
      <c r="O5682">
        <v>3.08586E-2</v>
      </c>
      <c r="P5682">
        <v>0.99156529999999998</v>
      </c>
      <c r="Q5682">
        <v>-6.4970879999999995E-2</v>
      </c>
      <c r="R5682">
        <v>-0.1121481</v>
      </c>
      <c r="S5682">
        <v>2.9745789999999999</v>
      </c>
      <c r="T5682">
        <v>-0.13658819999999999</v>
      </c>
      <c r="U5682">
        <v>-0.37077329999999997</v>
      </c>
      <c r="V5682">
        <v>0.142683</v>
      </c>
      <c r="W5682">
        <v>-5.1037069999999997E-2</v>
      </c>
      <c r="X5682">
        <v>0.98845170000000004</v>
      </c>
      <c r="Y5682">
        <v>0.154063899999999</v>
      </c>
      <c r="Z5682">
        <v>-4.9331569999999996E-3</v>
      </c>
      <c r="AA5682">
        <v>0.98804860000000005</v>
      </c>
      <c r="AB5682">
        <v>29</v>
      </c>
      <c r="AC5682">
        <v>23.8795999999999</v>
      </c>
      <c r="AD5682">
        <v>-1.1099482043364</v>
      </c>
      <c r="AE5682">
        <v>-3.0220999999999898</v>
      </c>
      <c r="AF5682">
        <v>3.7496516870316698</v>
      </c>
      <c r="AG5682">
        <v>-1.1099482043364</v>
      </c>
      <c r="AH5682">
        <v>23.724509767773299</v>
      </c>
      <c r="AI5682">
        <v>92.645827996650098</v>
      </c>
      <c r="AJ5682">
        <v>81.018710742416701</v>
      </c>
      <c r="AK5682">
        <v>24.044630097207602</v>
      </c>
      <c r="AL5682">
        <v>92.925479711088997</v>
      </c>
      <c r="AM5682">
        <v>81.786091660065196</v>
      </c>
      <c r="AN5682">
        <v>0.99999999211803703</v>
      </c>
    </row>
    <row r="5683" spans="1:40" x14ac:dyDescent="0.25">
      <c r="A5683" t="str">
        <f>"20190312150806585"</f>
        <v>20190312150806585</v>
      </c>
      <c r="B5683" t="str">
        <f>"1552374486575991"</f>
        <v>1552374486575991</v>
      </c>
      <c r="C5683" t="s">
        <v>40</v>
      </c>
      <c r="D5683">
        <v>4.9136749999999996</v>
      </c>
      <c r="E5683">
        <v>0.50423370000000001</v>
      </c>
      <c r="F5683" t="s">
        <v>67</v>
      </c>
      <c r="G5683">
        <v>-233.17449999999999</v>
      </c>
      <c r="H5683" s="1">
        <v>2.3086450000000001E-7</v>
      </c>
      <c r="I5683">
        <v>212.8246</v>
      </c>
      <c r="J5683">
        <v>-255.95750000000001</v>
      </c>
      <c r="K5683">
        <v>1.1099270000000001</v>
      </c>
      <c r="L5683">
        <v>215.73</v>
      </c>
      <c r="M5683">
        <v>0.99942850000000005</v>
      </c>
      <c r="N5683">
        <v>0</v>
      </c>
      <c r="O5683">
        <v>3.071459E-2</v>
      </c>
      <c r="P5683">
        <v>0.99138519999999997</v>
      </c>
      <c r="Q5683">
        <v>-6.6580550000000002E-2</v>
      </c>
      <c r="R5683">
        <v>-0.1127966</v>
      </c>
      <c r="S5683">
        <v>2.973862</v>
      </c>
      <c r="T5683">
        <v>-0.14319309999999999</v>
      </c>
      <c r="U5683">
        <v>-0.37377929999999998</v>
      </c>
      <c r="V5683">
        <v>0.14318020000000001</v>
      </c>
      <c r="W5683">
        <v>-5.26586E-2</v>
      </c>
      <c r="X5683">
        <v>0.98829469999999997</v>
      </c>
      <c r="Y5683">
        <v>0.1549141</v>
      </c>
      <c r="Z5683">
        <v>-5.1858290000000003E-3</v>
      </c>
      <c r="AA5683">
        <v>0.98791430000000002</v>
      </c>
      <c r="AB5683">
        <v>28</v>
      </c>
      <c r="AC5683">
        <v>22.783000000000001</v>
      </c>
      <c r="AD5683">
        <v>-1.1099267691354999</v>
      </c>
      <c r="AE5683">
        <v>-2.9053999999999802</v>
      </c>
      <c r="AF5683">
        <v>3.5954723299685698</v>
      </c>
      <c r="AG5683">
        <v>-1.1099267691354999</v>
      </c>
      <c r="AH5683">
        <v>22.630151268008301</v>
      </c>
      <c r="AI5683">
        <v>92.7731721130681</v>
      </c>
      <c r="AJ5683">
        <v>80.972318555344501</v>
      </c>
      <c r="AK5683">
        <v>22.9408610370525</v>
      </c>
      <c r="AL5683">
        <v>93.018511785098994</v>
      </c>
      <c r="AM5683">
        <v>81.756570302651298</v>
      </c>
      <c r="AN5683">
        <v>0.99999995593704405</v>
      </c>
    </row>
    <row r="5684" spans="1:40" x14ac:dyDescent="0.25">
      <c r="A5684" t="str">
        <f>"20190312150806607"</f>
        <v>20190312150806607</v>
      </c>
      <c r="B5684" t="str">
        <f>"1552374486595511"</f>
        <v>1552374486595511</v>
      </c>
      <c r="C5684" t="s">
        <v>40</v>
      </c>
      <c r="D5684">
        <v>4.6242599999999996</v>
      </c>
      <c r="E5684">
        <v>0.50413969999999997</v>
      </c>
      <c r="F5684" t="s">
        <v>67</v>
      </c>
      <c r="G5684">
        <v>-233.58940000000001</v>
      </c>
      <c r="H5684" s="1">
        <v>4.4719210000000002E-7</v>
      </c>
      <c r="I5684">
        <v>212.92590000000001</v>
      </c>
      <c r="J5684">
        <v>-255.67580000000001</v>
      </c>
      <c r="K5684">
        <v>1.10991</v>
      </c>
      <c r="L5684">
        <v>215.73849999999999</v>
      </c>
      <c r="M5684">
        <v>0.99943360000000003</v>
      </c>
      <c r="N5684">
        <v>0</v>
      </c>
      <c r="O5684">
        <v>3.0543529999999999E-2</v>
      </c>
      <c r="P5684">
        <v>0.99121420000000005</v>
      </c>
      <c r="Q5684">
        <v>-6.7497020000000005E-2</v>
      </c>
      <c r="R5684">
        <v>-0.1137504</v>
      </c>
      <c r="S5684">
        <v>2.97377</v>
      </c>
      <c r="T5684">
        <v>-0.14756140000000001</v>
      </c>
      <c r="U5684">
        <v>-0.37280269999999999</v>
      </c>
      <c r="V5684">
        <v>0.143957</v>
      </c>
      <c r="W5684">
        <v>-5.3585920000000002E-2</v>
      </c>
      <c r="X5684">
        <v>0.98813209999999996</v>
      </c>
      <c r="Y5684">
        <v>0.1544171</v>
      </c>
      <c r="Z5684">
        <v>-5.3233780000000001E-3</v>
      </c>
      <c r="AA5684">
        <v>0.98799139999999996</v>
      </c>
      <c r="AB5684">
        <v>28</v>
      </c>
      <c r="AC5684">
        <v>22.086400000000001</v>
      </c>
      <c r="AD5684">
        <v>-1.1099095528078999</v>
      </c>
      <c r="AE5684">
        <v>-2.81259999999997</v>
      </c>
      <c r="AF5684">
        <v>3.4773100658941098</v>
      </c>
      <c r="AG5684">
        <v>-1.1099095528078999</v>
      </c>
      <c r="AH5684">
        <v>21.935666247734002</v>
      </c>
      <c r="AI5684">
        <v>92.860940722829497</v>
      </c>
      <c r="AJ5684">
        <v>80.992249329020694</v>
      </c>
      <c r="AK5684">
        <v>22.2372893636288</v>
      </c>
      <c r="AL5684">
        <v>93.071718125197606</v>
      </c>
      <c r="AM5684">
        <v>81.711121735693695</v>
      </c>
      <c r="AN5684">
        <v>1.0000000578608199</v>
      </c>
    </row>
    <row r="5685" spans="1:40" x14ac:dyDescent="0.25">
      <c r="A5685" t="str">
        <f>"20190312150806629"</f>
        <v>20190312150806629</v>
      </c>
      <c r="B5685" t="str">
        <f>"1552374486625767"</f>
        <v>1552374486625767</v>
      </c>
      <c r="C5685" t="s">
        <v>40</v>
      </c>
      <c r="D5685">
        <v>4.7510960000000004</v>
      </c>
      <c r="E5685">
        <v>0.50453899999999996</v>
      </c>
      <c r="F5685" t="s">
        <v>67</v>
      </c>
      <c r="G5685">
        <v>-233.88249999999999</v>
      </c>
      <c r="H5685" s="1">
        <v>6.0031819999999995E-7</v>
      </c>
      <c r="I5685">
        <v>212.99109999999999</v>
      </c>
      <c r="J5685">
        <v>-255.39510000000001</v>
      </c>
      <c r="K5685">
        <v>1.1098980000000001</v>
      </c>
      <c r="L5685">
        <v>215.74690000000001</v>
      </c>
      <c r="M5685">
        <v>0.99943930000000003</v>
      </c>
      <c r="N5685">
        <v>0</v>
      </c>
      <c r="O5685">
        <v>3.0360160000000001E-2</v>
      </c>
      <c r="P5685">
        <v>0.99110489999999996</v>
      </c>
      <c r="Q5685">
        <v>-6.7635689999999998E-2</v>
      </c>
      <c r="R5685">
        <v>-0.11461639999999999</v>
      </c>
      <c r="S5685">
        <v>2.9732669999999999</v>
      </c>
      <c r="T5685">
        <v>-0.15142510000000001</v>
      </c>
      <c r="U5685">
        <v>-0.3748322</v>
      </c>
      <c r="V5685">
        <v>0.14463689999999901</v>
      </c>
      <c r="W5685">
        <v>-5.3732839999999997E-2</v>
      </c>
      <c r="X5685">
        <v>0.98802480000000004</v>
      </c>
      <c r="Y5685">
        <v>0.15490789999999999</v>
      </c>
      <c r="Z5685">
        <v>-5.4664170000000003E-3</v>
      </c>
      <c r="AA5685">
        <v>0.98791379999999995</v>
      </c>
      <c r="AB5685">
        <v>28</v>
      </c>
      <c r="AC5685">
        <v>21.512599999999999</v>
      </c>
      <c r="AD5685">
        <v>-1.1098973996818</v>
      </c>
      <c r="AE5685">
        <v>-2.7558000000000198</v>
      </c>
      <c r="AF5685">
        <v>3.3988194717195102</v>
      </c>
      <c r="AG5685">
        <v>-1.1098973996818</v>
      </c>
      <c r="AH5685">
        <v>21.363059675783099</v>
      </c>
      <c r="AI5685">
        <v>92.937198419020902</v>
      </c>
      <c r="AJ5685">
        <v>80.960122507498497</v>
      </c>
      <c r="AK5685">
        <v>21.660197708013399</v>
      </c>
      <c r="AL5685">
        <v>93.0801482573454</v>
      </c>
      <c r="AM5685">
        <v>81.671629919941395</v>
      </c>
      <c r="AN5685">
        <v>1.0000000281755499</v>
      </c>
    </row>
    <row r="5686" spans="1:40" x14ac:dyDescent="0.25">
      <c r="A5686" t="str">
        <f>"20190312150806652"</f>
        <v>20190312150806652</v>
      </c>
      <c r="B5686" t="str">
        <f>"1552374486646263"</f>
        <v>1552374486646263</v>
      </c>
      <c r="C5686" t="s">
        <v>40</v>
      </c>
      <c r="D5686">
        <v>4.6181850000000004</v>
      </c>
      <c r="E5686">
        <v>0.50476940000000003</v>
      </c>
      <c r="F5686" t="s">
        <v>67</v>
      </c>
      <c r="G5686">
        <v>-232.5488</v>
      </c>
      <c r="H5686" s="1">
        <v>-1.019583E-7</v>
      </c>
      <c r="I5686">
        <v>212.821</v>
      </c>
      <c r="J5686">
        <v>-255.10769999999999</v>
      </c>
      <c r="K5686">
        <v>1.1099030000000001</v>
      </c>
      <c r="L5686">
        <v>215.75540000000001</v>
      </c>
      <c r="M5686">
        <v>0.99944520000000003</v>
      </c>
      <c r="N5686">
        <v>0</v>
      </c>
      <c r="O5686">
        <v>3.0165359999999999E-2</v>
      </c>
      <c r="P5686">
        <v>0.9910525</v>
      </c>
      <c r="Q5686">
        <v>-6.7037349999999996E-2</v>
      </c>
      <c r="R5686">
        <v>-0.1154172</v>
      </c>
      <c r="S5686">
        <v>2.9730379999999998</v>
      </c>
      <c r="T5686">
        <v>-0.14443329999999999</v>
      </c>
      <c r="U5686">
        <v>-0.3807526</v>
      </c>
      <c r="V5686">
        <v>0.14524300000000001</v>
      </c>
      <c r="W5686">
        <v>-5.3140510000000002E-2</v>
      </c>
      <c r="X5686">
        <v>0.98796790000000001</v>
      </c>
      <c r="Y5686">
        <v>0.15668019999999999</v>
      </c>
      <c r="Z5686">
        <v>-5.2474929999999998E-3</v>
      </c>
      <c r="AA5686">
        <v>0.98763540000000005</v>
      </c>
      <c r="AB5686">
        <v>28</v>
      </c>
      <c r="AC5686">
        <v>22.558899999999898</v>
      </c>
      <c r="AD5686">
        <v>-1.1099031019583001</v>
      </c>
      <c r="AE5686">
        <v>-2.9344000000000099</v>
      </c>
      <c r="AF5686">
        <v>3.6050481212977501</v>
      </c>
      <c r="AG5686">
        <v>-1.1099031019583001</v>
      </c>
      <c r="AH5686">
        <v>22.406769068075899</v>
      </c>
      <c r="AI5686">
        <v>92.799838903272203</v>
      </c>
      <c r="AJ5686">
        <v>80.859952149449398</v>
      </c>
      <c r="AK5686">
        <v>22.722050015847898</v>
      </c>
      <c r="AL5686">
        <v>93.046161754216996</v>
      </c>
      <c r="AM5686">
        <v>81.636747665826107</v>
      </c>
      <c r="AN5686">
        <v>1.0000000071412301</v>
      </c>
    </row>
    <row r="5687" spans="1:40" x14ac:dyDescent="0.25">
      <c r="A5687" t="str">
        <f>"20190312150806674"</f>
        <v>20190312150806674</v>
      </c>
      <c r="B5687" t="str">
        <f>"1552374486665783"</f>
        <v>1552374486665783</v>
      </c>
      <c r="C5687" t="s">
        <v>40</v>
      </c>
      <c r="D5687">
        <v>4.598922</v>
      </c>
      <c r="E5687">
        <v>0.50593319999999997</v>
      </c>
      <c r="F5687" t="s">
        <v>67</v>
      </c>
      <c r="G5687">
        <v>-231.01400000000001</v>
      </c>
      <c r="H5687" s="1">
        <v>-9.1059969999999999E-7</v>
      </c>
      <c r="I5687">
        <v>212.63579999999999</v>
      </c>
      <c r="J5687">
        <v>-254.82320000000001</v>
      </c>
      <c r="K5687">
        <v>1.10991</v>
      </c>
      <c r="L5687">
        <v>215.7637</v>
      </c>
      <c r="M5687">
        <v>0.99945099999999998</v>
      </c>
      <c r="N5687">
        <v>0</v>
      </c>
      <c r="O5687">
        <v>2.9970739999999999E-2</v>
      </c>
      <c r="P5687">
        <v>0.99107780000000001</v>
      </c>
      <c r="Q5687">
        <v>-6.5702129999999997E-2</v>
      </c>
      <c r="R5687">
        <v>-0.1159661</v>
      </c>
      <c r="S5687">
        <v>2.9729770000000002</v>
      </c>
      <c r="T5687">
        <v>-0.13695389999999999</v>
      </c>
      <c r="U5687">
        <v>-0.38493349999999998</v>
      </c>
      <c r="V5687">
        <v>0.14560029999999999</v>
      </c>
      <c r="W5687">
        <v>-5.1808989999999999E-2</v>
      </c>
      <c r="X5687">
        <v>0.98798600000000003</v>
      </c>
      <c r="Y5687">
        <v>0.1578774</v>
      </c>
      <c r="Z5687">
        <v>-4.9942320000000004E-3</v>
      </c>
      <c r="AA5687">
        <v>0.98744609999999999</v>
      </c>
      <c r="AB5687">
        <v>28</v>
      </c>
      <c r="AC5687">
        <v>23.809200000000001</v>
      </c>
      <c r="AD5687">
        <v>-1.10991091059969</v>
      </c>
      <c r="AE5687">
        <v>-3.1279000000000101</v>
      </c>
      <c r="AF5687">
        <v>3.8319590304798998</v>
      </c>
      <c r="AG5687">
        <v>-1.10991091059969</v>
      </c>
      <c r="AH5687">
        <v>23.654215716443499</v>
      </c>
      <c r="AI5687">
        <v>92.651958132318796</v>
      </c>
      <c r="AJ5687">
        <v>80.798083279516007</v>
      </c>
      <c r="AK5687">
        <v>23.988283252471199</v>
      </c>
      <c r="AL5687">
        <v>92.969766106700703</v>
      </c>
      <c r="AM5687">
        <v>81.616617386693704</v>
      </c>
      <c r="AN5687">
        <v>0.999999977500454</v>
      </c>
    </row>
    <row r="5688" spans="1:40" x14ac:dyDescent="0.25">
      <c r="A5688" t="str">
        <f>"20190312150806696"</f>
        <v>20190312150806696</v>
      </c>
      <c r="B5688" t="str">
        <f>"1552374486685303"</f>
        <v>1552374486685303</v>
      </c>
      <c r="C5688" t="s">
        <v>40</v>
      </c>
      <c r="D5688">
        <v>4.6558510000000002</v>
      </c>
      <c r="E5688">
        <v>0.50717400000000001</v>
      </c>
      <c r="F5688" t="s">
        <v>67</v>
      </c>
      <c r="G5688">
        <v>-213.70230000000001</v>
      </c>
      <c r="H5688" s="1">
        <v>6.2277730000000002E-7</v>
      </c>
      <c r="I5688">
        <v>210.28309999999999</v>
      </c>
      <c r="J5688">
        <v>-254.54920000000001</v>
      </c>
      <c r="K5688">
        <v>1.1099270000000001</v>
      </c>
      <c r="L5688">
        <v>215.77180000000001</v>
      </c>
      <c r="M5688">
        <v>0.99945660000000003</v>
      </c>
      <c r="N5688">
        <v>0</v>
      </c>
      <c r="O5688">
        <v>2.9784789999999998E-2</v>
      </c>
      <c r="P5688">
        <v>0.99117060000000001</v>
      </c>
      <c r="Q5688">
        <v>-6.3326499999999994E-2</v>
      </c>
      <c r="R5688">
        <v>-0.11649370000000001</v>
      </c>
      <c r="S5688">
        <v>2.975266</v>
      </c>
      <c r="T5688">
        <v>-8.0306290000000002E-2</v>
      </c>
      <c r="U5688">
        <v>-0.39654539999999999</v>
      </c>
      <c r="V5688">
        <v>0.14594749999999901</v>
      </c>
      <c r="W5688">
        <v>-4.9435430000000002E-2</v>
      </c>
      <c r="X5688">
        <v>0.98805639999999995</v>
      </c>
      <c r="Y5688">
        <v>0.16151199999999999</v>
      </c>
      <c r="Z5688">
        <v>-2.9703580000000002E-3</v>
      </c>
      <c r="AA5688">
        <v>0.98686629999999997</v>
      </c>
      <c r="AB5688">
        <v>28</v>
      </c>
      <c r="AC5688">
        <v>40.846899999999998</v>
      </c>
      <c r="AD5688">
        <v>-1.1099263772226999</v>
      </c>
      <c r="AE5688">
        <v>-5.4887000000000201</v>
      </c>
      <c r="AF5688">
        <v>6.6981440552790596</v>
      </c>
      <c r="AG5688">
        <v>-1.1099263772226999</v>
      </c>
      <c r="AH5688">
        <v>40.635806110518097</v>
      </c>
      <c r="AI5688">
        <v>91.543766557910601</v>
      </c>
      <c r="AJ5688">
        <v>80.639899442813302</v>
      </c>
      <c r="AK5688">
        <v>41.199099609090297</v>
      </c>
      <c r="AL5688">
        <v>92.833596473157598</v>
      </c>
      <c r="AM5688">
        <v>81.597501570041501</v>
      </c>
      <c r="AN5688">
        <v>0.99999999203824697</v>
      </c>
    </row>
    <row r="5689" spans="1:40" x14ac:dyDescent="0.25">
      <c r="A5689" t="str">
        <f>"20190312150806719"</f>
        <v>20190312150806719</v>
      </c>
      <c r="B5689" t="str">
        <f>"1552374486715559"</f>
        <v>1552374486715559</v>
      </c>
      <c r="C5689" t="s">
        <v>40</v>
      </c>
      <c r="D5689">
        <v>4.5136370000000001</v>
      </c>
      <c r="E5689">
        <v>0.50659019999999999</v>
      </c>
      <c r="F5689" t="s">
        <v>67</v>
      </c>
      <c r="G5689">
        <v>-214.31790000000001</v>
      </c>
      <c r="H5689" s="1">
        <v>9.5163050000000002E-7</v>
      </c>
      <c r="I5689">
        <v>210.2543</v>
      </c>
      <c r="J5689">
        <v>-254.25909999999999</v>
      </c>
      <c r="K5689">
        <v>1.1099410000000001</v>
      </c>
      <c r="L5689">
        <v>215.78020000000001</v>
      </c>
      <c r="M5689">
        <v>0.99946239999999997</v>
      </c>
      <c r="N5689">
        <v>0</v>
      </c>
      <c r="O5689">
        <v>2.959051E-2</v>
      </c>
      <c r="P5689">
        <v>0.99126599999999998</v>
      </c>
      <c r="Q5689">
        <v>-6.140338E-2</v>
      </c>
      <c r="R5689">
        <v>-0.1167116</v>
      </c>
      <c r="S5689">
        <v>2.9735719999999999</v>
      </c>
      <c r="T5689">
        <v>-8.2036609999999996E-2</v>
      </c>
      <c r="U5689">
        <v>-0.40780640000000001</v>
      </c>
      <c r="V5689">
        <v>0.14597679999999999</v>
      </c>
      <c r="W5689">
        <v>-4.7513720000000002E-2</v>
      </c>
      <c r="X5689">
        <v>0.98814639999999998</v>
      </c>
      <c r="Y5689">
        <v>0.1650586</v>
      </c>
      <c r="Z5689">
        <v>-3.078641E-3</v>
      </c>
      <c r="AA5689">
        <v>0.98627900000000002</v>
      </c>
      <c r="AB5689">
        <v>28</v>
      </c>
      <c r="AC5689">
        <v>39.941199999999903</v>
      </c>
      <c r="AD5689">
        <v>-1.1099400483695001</v>
      </c>
      <c r="AE5689">
        <v>-5.5259</v>
      </c>
      <c r="AF5689">
        <v>6.7004008417025398</v>
      </c>
      <c r="AG5689">
        <v>-1.1099400483695001</v>
      </c>
      <c r="AH5689">
        <v>39.730070736266903</v>
      </c>
      <c r="AI5689">
        <v>91.577985654246305</v>
      </c>
      <c r="AJ5689">
        <v>80.427254101450103</v>
      </c>
      <c r="AK5689">
        <v>40.306399728321502</v>
      </c>
      <c r="AL5689">
        <v>92.7233608507306</v>
      </c>
      <c r="AM5689">
        <v>81.596593315022105</v>
      </c>
      <c r="AN5689">
        <v>1.0000000437797101</v>
      </c>
    </row>
    <row r="5690" spans="1:40" x14ac:dyDescent="0.25">
      <c r="A5690" t="str">
        <f>"20190312150806742"</f>
        <v>20190312150806742</v>
      </c>
      <c r="B5690" t="str">
        <f>"1552374486736055"</f>
        <v>1552374486736055</v>
      </c>
      <c r="C5690" t="s">
        <v>40</v>
      </c>
      <c r="D5690">
        <v>4.7170189999999996</v>
      </c>
      <c r="E5690">
        <v>0.50644160000000005</v>
      </c>
      <c r="F5690" t="s">
        <v>67</v>
      </c>
      <c r="G5690">
        <v>-214.66540000000001</v>
      </c>
      <c r="H5690" s="1">
        <v>1.1299500000000001E-6</v>
      </c>
      <c r="I5690">
        <v>210.40600000000001</v>
      </c>
      <c r="J5690">
        <v>-253.96960000000001</v>
      </c>
      <c r="K5690">
        <v>1.10995</v>
      </c>
      <c r="L5690">
        <v>215.7886</v>
      </c>
      <c r="M5690">
        <v>0.99946820000000003</v>
      </c>
      <c r="N5690">
        <v>0</v>
      </c>
      <c r="O5690">
        <v>2.9399580000000002E-2</v>
      </c>
      <c r="P5690">
        <v>0.99130130000000005</v>
      </c>
      <c r="Q5690">
        <v>-5.886036E-2</v>
      </c>
      <c r="R5690">
        <v>-0.1177183</v>
      </c>
      <c r="S5690">
        <v>2.9737550000000001</v>
      </c>
      <c r="T5690">
        <v>-8.3364010000000002E-2</v>
      </c>
      <c r="U5690">
        <v>-0.40364070000000002</v>
      </c>
      <c r="V5690">
        <v>0.1467966</v>
      </c>
      <c r="W5690">
        <v>-4.4973560000000003E-2</v>
      </c>
      <c r="X5690">
        <v>0.98814380000000002</v>
      </c>
      <c r="Y5690">
        <v>0.1635037</v>
      </c>
      <c r="Z5690">
        <v>-3.1015140000000001E-3</v>
      </c>
      <c r="AA5690">
        <v>0.98653789999999997</v>
      </c>
      <c r="AB5690">
        <v>28</v>
      </c>
      <c r="AC5690">
        <v>39.304200000000002</v>
      </c>
      <c r="AD5690">
        <v>-1.10994887005</v>
      </c>
      <c r="AE5690">
        <v>-5.3826000000000196</v>
      </c>
      <c r="AF5690">
        <v>6.5308024000236404</v>
      </c>
      <c r="AG5690">
        <v>-1.10994887005</v>
      </c>
      <c r="AH5690">
        <v>39.098338297871102</v>
      </c>
      <c r="AI5690">
        <v>91.603903529945796</v>
      </c>
      <c r="AJ5690">
        <v>80.517129109260097</v>
      </c>
      <c r="AK5690">
        <v>39.655559813688903</v>
      </c>
      <c r="AL5690">
        <v>92.577664574251003</v>
      </c>
      <c r="AM5690">
        <v>81.5500576723731</v>
      </c>
      <c r="AN5690">
        <v>1.0000000161745299</v>
      </c>
    </row>
    <row r="5691" spans="1:40" x14ac:dyDescent="0.25">
      <c r="A5691" t="str">
        <f>"20190312150806765"</f>
        <v>20190312150806765</v>
      </c>
      <c r="B5691" t="str">
        <f>"1552374486755574"</f>
        <v>1552374486755574</v>
      </c>
      <c r="C5691" t="s">
        <v>40</v>
      </c>
      <c r="D5691">
        <v>4.5786989999999896</v>
      </c>
      <c r="E5691">
        <v>0.50630129999999995</v>
      </c>
      <c r="F5691" t="s">
        <v>67</v>
      </c>
      <c r="G5691">
        <v>-213.25200000000001</v>
      </c>
      <c r="H5691" s="1">
        <v>3.8514210000000001E-7</v>
      </c>
      <c r="I5691">
        <v>210.23820000000001</v>
      </c>
      <c r="J5691">
        <v>-253.69110000000001</v>
      </c>
      <c r="K5691">
        <v>1.109972</v>
      </c>
      <c r="L5691">
        <v>215.79660000000001</v>
      </c>
      <c r="M5691">
        <v>0.99947350000000001</v>
      </c>
      <c r="N5691">
        <v>0</v>
      </c>
      <c r="O5691">
        <v>2.9217949999999999E-2</v>
      </c>
      <c r="P5691">
        <v>0.9913322</v>
      </c>
      <c r="Q5691">
        <v>-5.5866449999999998E-2</v>
      </c>
      <c r="R5691">
        <v>-0.1189096</v>
      </c>
      <c r="S5691">
        <v>2.9733890000000001</v>
      </c>
      <c r="T5691">
        <v>-8.1053730000000004E-2</v>
      </c>
      <c r="U5691">
        <v>-0.40531919999999999</v>
      </c>
      <c r="V5691">
        <v>0.14781040000000001</v>
      </c>
      <c r="W5691">
        <v>-4.1982489999999997E-2</v>
      </c>
      <c r="X5691">
        <v>0.98812429999999996</v>
      </c>
      <c r="Y5691">
        <v>0.16389139999999999</v>
      </c>
      <c r="Z5691">
        <v>-3.0161760000000002E-3</v>
      </c>
      <c r="AA5691">
        <v>0.98647379999999996</v>
      </c>
      <c r="AB5691">
        <v>28</v>
      </c>
      <c r="AC5691">
        <v>40.439100000000003</v>
      </c>
      <c r="AD5691">
        <v>-1.10997161485789</v>
      </c>
      <c r="AE5691">
        <v>-5.5583999999999998</v>
      </c>
      <c r="AF5691">
        <v>6.7327133377366897</v>
      </c>
      <c r="AG5691">
        <v>-1.10997161485789</v>
      </c>
      <c r="AH5691">
        <v>40.2296637669712</v>
      </c>
      <c r="AI5691">
        <v>91.558772072181597</v>
      </c>
      <c r="AJ5691">
        <v>80.499201389361005</v>
      </c>
      <c r="AK5691">
        <v>40.804256060826297</v>
      </c>
      <c r="AL5691">
        <v>92.406126563696702</v>
      </c>
      <c r="AM5691">
        <v>81.492386731024695</v>
      </c>
      <c r="AN5691">
        <v>1.0000000380326199</v>
      </c>
    </row>
    <row r="5692" spans="1:40" x14ac:dyDescent="0.25">
      <c r="A5692" t="str">
        <f>"20190312150806848"</f>
        <v>20190312150806848</v>
      </c>
      <c r="B5692" t="str">
        <f>"1552374486845367"</f>
        <v>1552374486845367</v>
      </c>
      <c r="C5692" t="s">
        <v>40</v>
      </c>
      <c r="D5692">
        <v>3.875648</v>
      </c>
      <c r="E5692">
        <v>0.50550479999999998</v>
      </c>
      <c r="F5692" t="s">
        <v>67</v>
      </c>
      <c r="G5692">
        <v>-211.63329999999999</v>
      </c>
      <c r="H5692" s="1">
        <v>-4.671134E-7</v>
      </c>
      <c r="I5692">
        <v>210.02969999999999</v>
      </c>
      <c r="J5692">
        <v>-252.64580000000001</v>
      </c>
      <c r="K5692">
        <v>1.1100369999999999</v>
      </c>
      <c r="L5692">
        <v>215.8261</v>
      </c>
      <c r="M5692">
        <v>0.99949319999999997</v>
      </c>
      <c r="N5692">
        <v>0</v>
      </c>
      <c r="O5692">
        <v>2.854143E-2</v>
      </c>
      <c r="P5692">
        <v>0.99082519999999996</v>
      </c>
      <c r="Q5692">
        <v>-4.5870139999999997E-2</v>
      </c>
      <c r="R5692">
        <v>-0.1271275</v>
      </c>
      <c r="S5692">
        <v>2.9729000000000001</v>
      </c>
      <c r="T5692">
        <v>-7.845974E-2</v>
      </c>
      <c r="U5692">
        <v>-0.40763850000000001</v>
      </c>
      <c r="V5692">
        <v>0.15534600000000001</v>
      </c>
      <c r="W5692">
        <v>-3.2008700000000001E-2</v>
      </c>
      <c r="X5692">
        <v>0.98734140000000004</v>
      </c>
      <c r="Y5692">
        <v>0.1640055</v>
      </c>
      <c r="Z5692">
        <v>-2.9037220000000001E-3</v>
      </c>
      <c r="AA5692">
        <v>0.98645510000000003</v>
      </c>
      <c r="AB5692">
        <v>28</v>
      </c>
      <c r="AC5692">
        <v>41.012500000000003</v>
      </c>
      <c r="AD5692">
        <v>-1.1100374671133999</v>
      </c>
      <c r="AE5692">
        <v>-5.7964000000000002</v>
      </c>
      <c r="AF5692">
        <v>6.9597113091659297</v>
      </c>
      <c r="AG5692">
        <v>-1.1100374671133999</v>
      </c>
      <c r="AH5692">
        <v>40.801030792326898</v>
      </c>
      <c r="AI5692">
        <v>91.536232694139002</v>
      </c>
      <c r="AJ5692">
        <v>80.319835025089603</v>
      </c>
      <c r="AK5692">
        <v>41.405239745734299</v>
      </c>
      <c r="AL5692">
        <v>91.834276750147097</v>
      </c>
      <c r="AM5692">
        <v>81.058516998011797</v>
      </c>
      <c r="AN5692">
        <v>0.999999988372825</v>
      </c>
    </row>
    <row r="5693" spans="1:40" x14ac:dyDescent="0.25">
      <c r="A5693" t="str">
        <f>"20190312150806863"</f>
        <v>20190312150806863</v>
      </c>
      <c r="B5693" t="str">
        <f>"1552374486856103"</f>
        <v>1552374486856103</v>
      </c>
      <c r="C5693" t="s">
        <v>40</v>
      </c>
      <c r="D5693">
        <v>4.4639870000000004</v>
      </c>
      <c r="E5693">
        <v>0.50588239999999995</v>
      </c>
      <c r="F5693" t="s">
        <v>61</v>
      </c>
      <c r="G5693">
        <v>-185.19</v>
      </c>
      <c r="H5693" s="1">
        <v>4.711098E-6</v>
      </c>
      <c r="I5693">
        <v>206.15880000000001</v>
      </c>
      <c r="J5693">
        <v>-252.44159999999999</v>
      </c>
      <c r="K5693">
        <v>1.110052</v>
      </c>
      <c r="L5693">
        <v>215.83179999999999</v>
      </c>
      <c r="M5693">
        <v>0.99949699999999997</v>
      </c>
      <c r="N5693">
        <v>0</v>
      </c>
      <c r="O5693">
        <v>2.840956E-2</v>
      </c>
      <c r="P5693">
        <v>0.99051509999999998</v>
      </c>
      <c r="Q5693">
        <v>-4.305163E-2</v>
      </c>
      <c r="R5693">
        <v>-0.13048479999999901</v>
      </c>
      <c r="S5693">
        <v>2.9708709999999998</v>
      </c>
      <c r="T5693">
        <v>-4.8887729999999997E-2</v>
      </c>
      <c r="U5693">
        <v>-0.42576599999999998</v>
      </c>
      <c r="V5693">
        <v>0.15856410000000001</v>
      </c>
      <c r="W5693">
        <v>-2.9198979999999999E-2</v>
      </c>
      <c r="X5693">
        <v>0.98691680000000004</v>
      </c>
      <c r="Y5693">
        <v>0.16990549999999999</v>
      </c>
      <c r="Z5693">
        <v>-1.8560849999999999E-3</v>
      </c>
      <c r="AA5693">
        <v>0.98545859999999996</v>
      </c>
      <c r="AB5693">
        <v>28</v>
      </c>
      <c r="AC5693">
        <v>67.251599999999996</v>
      </c>
      <c r="AD5693">
        <v>-1.1100472889020001</v>
      </c>
      <c r="AE5693">
        <v>-9.6729999999999698</v>
      </c>
      <c r="AF5693">
        <v>11.576782938272601</v>
      </c>
      <c r="AG5693">
        <v>-1.1100472889020001</v>
      </c>
      <c r="AH5693">
        <v>66.931751095803193</v>
      </c>
      <c r="AI5693">
        <v>90.936250906985904</v>
      </c>
      <c r="AJ5693">
        <v>80.186981700632799</v>
      </c>
      <c r="AK5693">
        <v>67.934626023361901</v>
      </c>
      <c r="AL5693">
        <v>91.673216199397999</v>
      </c>
      <c r="AM5693">
        <v>80.872513349504104</v>
      </c>
      <c r="AN5693">
        <v>0.99999996218204401</v>
      </c>
    </row>
    <row r="5694" spans="1:40" x14ac:dyDescent="0.25">
      <c r="A5694" t="str">
        <f>"20190312150806882"</f>
        <v>20190312150806882</v>
      </c>
      <c r="B5694" t="str">
        <f>"1552374486875623"</f>
        <v>1552374486875623</v>
      </c>
      <c r="C5694" t="s">
        <v>40</v>
      </c>
      <c r="D5694">
        <v>4.4226269999999896</v>
      </c>
      <c r="E5694">
        <v>0.50478599999999996</v>
      </c>
      <c r="F5694" t="s">
        <v>57</v>
      </c>
      <c r="G5694">
        <v>-168.41159999999999</v>
      </c>
      <c r="H5694">
        <v>0.26463890000000001</v>
      </c>
      <c r="I5694">
        <v>203.41489999999999</v>
      </c>
      <c r="J5694">
        <v>-252.21780000000001</v>
      </c>
      <c r="K5694">
        <v>1.110058</v>
      </c>
      <c r="L5694">
        <v>215.83799999999999</v>
      </c>
      <c r="M5694">
        <v>0.99950119999999998</v>
      </c>
      <c r="N5694">
        <v>0</v>
      </c>
      <c r="O5694">
        <v>2.8264810000000001E-2</v>
      </c>
      <c r="P5694">
        <v>0.99034990000000001</v>
      </c>
      <c r="Q5694">
        <v>-4.1460759999999999E-2</v>
      </c>
      <c r="R5694">
        <v>-0.13224250000000001</v>
      </c>
      <c r="S5694">
        <v>2.9696349999999998</v>
      </c>
      <c r="T5694">
        <v>-2.9875869999999999E-2</v>
      </c>
      <c r="U5694">
        <v>-0.43881229999999899</v>
      </c>
      <c r="V5694">
        <v>0.16017410000000001</v>
      </c>
      <c r="W5694">
        <v>-2.7613769999999999E-2</v>
      </c>
      <c r="X5694">
        <v>0.98670239999999998</v>
      </c>
      <c r="Y5694">
        <v>0.1740746</v>
      </c>
      <c r="Z5694">
        <v>-1.153846E-3</v>
      </c>
      <c r="AA5694">
        <v>0.98473180000000005</v>
      </c>
      <c r="AB5694">
        <v>28</v>
      </c>
      <c r="AC5694">
        <v>83.806200000000004</v>
      </c>
      <c r="AD5694">
        <v>-0.84541909999999898</v>
      </c>
      <c r="AE5694">
        <v>-12.4231</v>
      </c>
      <c r="AF5694">
        <v>14.785664728422599</v>
      </c>
      <c r="AG5694">
        <v>-0.84541909999999898</v>
      </c>
      <c r="AH5694">
        <v>83.413232985903505</v>
      </c>
      <c r="AI5694">
        <v>90.571778020075797</v>
      </c>
      <c r="AJ5694">
        <v>79.948272027002901</v>
      </c>
      <c r="AK5694">
        <v>84.717755235113401</v>
      </c>
      <c r="AL5694">
        <v>91.582353705057201</v>
      </c>
      <c r="AM5694">
        <v>80.779450982297703</v>
      </c>
      <c r="AN5694">
        <v>0.99999994438508899</v>
      </c>
    </row>
    <row r="5695" spans="1:40" x14ac:dyDescent="0.25">
      <c r="A5695" t="str">
        <f>"20190312150806898"</f>
        <v>20190312150806898</v>
      </c>
      <c r="B5695" t="str">
        <f>"1552374486885383"</f>
        <v>1552374486885383</v>
      </c>
      <c r="C5695" t="s">
        <v>40</v>
      </c>
      <c r="D5695">
        <v>4.3479279999999996</v>
      </c>
      <c r="E5695">
        <v>0.50413269999999999</v>
      </c>
      <c r="F5695" t="s">
        <v>57</v>
      </c>
      <c r="G5695">
        <v>-168.41159999999999</v>
      </c>
      <c r="H5695">
        <v>0.42945480000000003</v>
      </c>
      <c r="I5695">
        <v>203.5556</v>
      </c>
      <c r="J5695">
        <v>-252.0284</v>
      </c>
      <c r="K5695">
        <v>1.1100650000000001</v>
      </c>
      <c r="L5695">
        <v>215.8432</v>
      </c>
      <c r="M5695">
        <v>0.99950459999999997</v>
      </c>
      <c r="N5695">
        <v>0</v>
      </c>
      <c r="O5695">
        <v>2.8142520000000001E-2</v>
      </c>
      <c r="P5695">
        <v>0.99001989999999995</v>
      </c>
      <c r="Q5695">
        <v>-3.8794120000000001E-2</v>
      </c>
      <c r="R5695">
        <v>-0.13548399999999999</v>
      </c>
      <c r="S5695">
        <v>2.9701080000000002</v>
      </c>
      <c r="T5695">
        <v>-2.4119620000000001E-2</v>
      </c>
      <c r="U5695">
        <v>-0.43528749999999999</v>
      </c>
      <c r="V5695">
        <v>0.16328519999999999</v>
      </c>
      <c r="W5695">
        <v>-2.4956119999999998E-2</v>
      </c>
      <c r="X5695">
        <v>0.98626320000000001</v>
      </c>
      <c r="Y5695">
        <v>0.172791</v>
      </c>
      <c r="Z5695">
        <v>-9.2529950000000004E-4</v>
      </c>
      <c r="AA5695">
        <v>0.98495809999999995</v>
      </c>
      <c r="AB5695">
        <v>28</v>
      </c>
      <c r="AC5695">
        <v>83.616799999999998</v>
      </c>
      <c r="AD5695">
        <v>-0.68061019999999905</v>
      </c>
      <c r="AE5695">
        <v>-12.2875999999999</v>
      </c>
      <c r="AF5695">
        <v>14.6352041492304</v>
      </c>
      <c r="AG5695">
        <v>-0.68061019999999905</v>
      </c>
      <c r="AH5695">
        <v>83.232438298656803</v>
      </c>
      <c r="AI5695">
        <v>90.461431250126196</v>
      </c>
      <c r="AJ5695">
        <v>80.027321793885406</v>
      </c>
      <c r="AK5695">
        <v>84.512077337346895</v>
      </c>
      <c r="AL5695">
        <v>91.430028839750705</v>
      </c>
      <c r="AM5695">
        <v>80.5994127325026</v>
      </c>
      <c r="AN5695">
        <v>0.99999998206936702</v>
      </c>
    </row>
    <row r="5696" spans="1:40" x14ac:dyDescent="0.25">
      <c r="A5696" t="str">
        <f>"20190312150806920"</f>
        <v>20190312150806920</v>
      </c>
      <c r="B5696" t="str">
        <f>"1552374486915639"</f>
        <v>1552374486915639</v>
      </c>
      <c r="C5696" t="s">
        <v>40</v>
      </c>
      <c r="D5696">
        <v>4.4011170000000002</v>
      </c>
      <c r="E5696">
        <v>0.50292579999999998</v>
      </c>
      <c r="F5696" t="s">
        <v>57</v>
      </c>
      <c r="G5696">
        <v>-168.4117</v>
      </c>
      <c r="H5696">
        <v>0.693388</v>
      </c>
      <c r="I5696">
        <v>203.4597</v>
      </c>
      <c r="J5696">
        <v>-251.7456</v>
      </c>
      <c r="K5696">
        <v>1.11008</v>
      </c>
      <c r="L5696">
        <v>215.8509</v>
      </c>
      <c r="M5696">
        <v>0.9995098</v>
      </c>
      <c r="N5696">
        <v>0</v>
      </c>
      <c r="O5696">
        <v>2.7959580000000001E-2</v>
      </c>
      <c r="P5696">
        <v>0.9895775</v>
      </c>
      <c r="Q5696">
        <v>-3.5860199999999898E-2</v>
      </c>
      <c r="R5696">
        <v>-0.1394668</v>
      </c>
      <c r="S5696">
        <v>2.9694820000000002</v>
      </c>
      <c r="T5696">
        <v>-1.479626E-2</v>
      </c>
      <c r="U5696">
        <v>-0.43977359999999999</v>
      </c>
      <c r="V5696">
        <v>0.1670748</v>
      </c>
      <c r="W5696">
        <v>-2.2034080000000001E-2</v>
      </c>
      <c r="X5696">
        <v>0.98569799999999996</v>
      </c>
      <c r="Y5696">
        <v>0.174100799999999</v>
      </c>
      <c r="Z5696">
        <v>-5.7002840000000001E-4</v>
      </c>
      <c r="AA5696">
        <v>0.98472769999999998</v>
      </c>
      <c r="AB5696">
        <v>28</v>
      </c>
      <c r="AC5696">
        <v>83.3339</v>
      </c>
      <c r="AD5696">
        <v>-0.41669200000000001</v>
      </c>
      <c r="AE5696">
        <v>-12.3911999999999</v>
      </c>
      <c r="AF5696">
        <v>14.716206806527699</v>
      </c>
      <c r="AG5696">
        <v>-0.41669200000000001</v>
      </c>
      <c r="AH5696">
        <v>82.952798217862707</v>
      </c>
      <c r="AI5696">
        <v>90.283383402232005</v>
      </c>
      <c r="AJ5696">
        <v>79.940130588246902</v>
      </c>
      <c r="AK5696">
        <v>84.249077782304596</v>
      </c>
      <c r="AL5696">
        <v>91.262561942800104</v>
      </c>
      <c r="AM5696">
        <v>80.379857328074095</v>
      </c>
      <c r="AN5696">
        <v>1.00000001834024</v>
      </c>
    </row>
    <row r="5697" spans="1:40" x14ac:dyDescent="0.25">
      <c r="A5697" t="str">
        <f>"20190312150806943"</f>
        <v>20190312150806943</v>
      </c>
      <c r="B5697" t="str">
        <f>"1552374486936135"</f>
        <v>1552374486936135</v>
      </c>
      <c r="C5697" t="s">
        <v>40</v>
      </c>
      <c r="D5697">
        <v>4.3141049999999996</v>
      </c>
      <c r="E5697">
        <v>0.50215469999999995</v>
      </c>
      <c r="F5697" t="s">
        <v>57</v>
      </c>
      <c r="G5697">
        <v>-168.4118</v>
      </c>
      <c r="H5697">
        <v>0.99996949999999996</v>
      </c>
      <c r="I5697">
        <v>203.446</v>
      </c>
      <c r="J5697">
        <v>-251.45910000000001</v>
      </c>
      <c r="K5697">
        <v>1.1100969999999999</v>
      </c>
      <c r="L5697">
        <v>215.8587</v>
      </c>
      <c r="M5697">
        <v>0.99951489999999998</v>
      </c>
      <c r="N5697">
        <v>0</v>
      </c>
      <c r="O5697">
        <v>2.777394E-2</v>
      </c>
      <c r="P5697">
        <v>0.9891993</v>
      </c>
      <c r="Q5697">
        <v>-3.2949350000000002E-2</v>
      </c>
      <c r="R5697">
        <v>-0.14282529999999999</v>
      </c>
      <c r="S5697">
        <v>2.9691770000000002</v>
      </c>
      <c r="T5697">
        <v>-3.9221050000000004E-3</v>
      </c>
      <c r="U5697">
        <v>-0.44198609999999999</v>
      </c>
      <c r="V5697">
        <v>0.1702398</v>
      </c>
      <c r="W5697">
        <v>-1.9133730000000002E-2</v>
      </c>
      <c r="X5697">
        <v>0.98521689999999995</v>
      </c>
      <c r="Y5697">
        <v>0.174652799999999</v>
      </c>
      <c r="Z5697">
        <v>-1.5122639999999999E-4</v>
      </c>
      <c r="AA5697">
        <v>0.98463009999999995</v>
      </c>
      <c r="AB5697">
        <v>28</v>
      </c>
      <c r="AC5697">
        <v>83.047300000000007</v>
      </c>
      <c r="AD5697">
        <v>-0.110127499999999</v>
      </c>
      <c r="AE5697">
        <v>-12.412699999999999</v>
      </c>
      <c r="AF5697">
        <v>14.7146650585517</v>
      </c>
      <c r="AG5697">
        <v>-0.110127499999999</v>
      </c>
      <c r="AH5697">
        <v>82.670330437979402</v>
      </c>
      <c r="AI5697">
        <v>90.075144246712995</v>
      </c>
      <c r="AJ5697">
        <v>79.907499350297101</v>
      </c>
      <c r="AK5697">
        <v>83.969738778778606</v>
      </c>
      <c r="AL5697">
        <v>91.096348861774302</v>
      </c>
      <c r="AM5697">
        <v>80.196425897516804</v>
      </c>
      <c r="AN5697">
        <v>1.0000000145866801</v>
      </c>
    </row>
    <row r="5698" spans="1:40" x14ac:dyDescent="0.25">
      <c r="A5698" t="str">
        <f>"20190312150806966"</f>
        <v>20190312150806966</v>
      </c>
      <c r="B5698" t="str">
        <f>"1552374486955656"</f>
        <v>1552374486955656</v>
      </c>
      <c r="C5698" t="s">
        <v>40</v>
      </c>
      <c r="D5698">
        <v>4.2854349999999997</v>
      </c>
      <c r="E5698">
        <v>0.50161219999999995</v>
      </c>
      <c r="F5698" t="s">
        <v>57</v>
      </c>
      <c r="G5698">
        <v>-168.4119</v>
      </c>
      <c r="H5698">
        <v>1.0938950000000001</v>
      </c>
      <c r="I5698">
        <v>203.38290000000001</v>
      </c>
      <c r="J5698">
        <v>-251.18440000000001</v>
      </c>
      <c r="K5698">
        <v>1.1101099999999999</v>
      </c>
      <c r="L5698">
        <v>215.86609999999999</v>
      </c>
      <c r="M5698">
        <v>0.99951990000000002</v>
      </c>
      <c r="N5698">
        <v>0</v>
      </c>
      <c r="O5698">
        <v>2.7595939999999999E-2</v>
      </c>
      <c r="P5698">
        <v>0.98883560000000004</v>
      </c>
      <c r="Q5698">
        <v>-3.0065680000000001E-2</v>
      </c>
      <c r="R5698">
        <v>-0.14594570000000001</v>
      </c>
      <c r="S5698">
        <v>2.968353</v>
      </c>
      <c r="T5698">
        <v>-5.7792659999999997E-4</v>
      </c>
      <c r="U5698">
        <v>-0.44592290000000001</v>
      </c>
      <c r="V5698">
        <v>0.17317460000000001</v>
      </c>
      <c r="W5698">
        <v>-1.626008E-2</v>
      </c>
      <c r="X5698">
        <v>0.98475690000000005</v>
      </c>
      <c r="Y5698">
        <v>0.17579449999999999</v>
      </c>
      <c r="Z5698" s="1">
        <v>-2.2363389999999999E-5</v>
      </c>
      <c r="AA5698">
        <v>0.98442689999999999</v>
      </c>
      <c r="AB5698">
        <v>28</v>
      </c>
      <c r="AC5698">
        <v>82.772499999999994</v>
      </c>
      <c r="AD5698">
        <v>-1.6214999999999799E-2</v>
      </c>
      <c r="AE5698">
        <v>-12.483199999999901</v>
      </c>
      <c r="AF5698">
        <v>14.7628560014396</v>
      </c>
      <c r="AG5698">
        <v>-1.6214999999999799E-2</v>
      </c>
      <c r="AH5698">
        <v>82.396447710555606</v>
      </c>
      <c r="AI5698">
        <v>90.011098643727607</v>
      </c>
      <c r="AJ5698">
        <v>79.842173829535795</v>
      </c>
      <c r="AK5698">
        <v>83.708522717605007</v>
      </c>
      <c r="AL5698">
        <v>90.931675023186699</v>
      </c>
      <c r="AM5698">
        <v>80.026219290277496</v>
      </c>
      <c r="AN5698">
        <v>0.99999999219218805</v>
      </c>
    </row>
    <row r="5699" spans="1:40" x14ac:dyDescent="0.25">
      <c r="A5699" t="str">
        <f>"20190312150806987"</f>
        <v>20190312150806987</v>
      </c>
      <c r="B5699" t="str">
        <f>"1552374486976151"</f>
        <v>1552374486976151</v>
      </c>
      <c r="C5699" t="s">
        <v>40</v>
      </c>
      <c r="D5699">
        <v>4.2816580000000002</v>
      </c>
      <c r="E5699">
        <v>0.50095489999999998</v>
      </c>
      <c r="F5699" t="s">
        <v>57</v>
      </c>
      <c r="G5699">
        <v>-168.41200000000001</v>
      </c>
      <c r="H5699">
        <v>1.3849659999999999</v>
      </c>
      <c r="I5699">
        <v>203.2851</v>
      </c>
      <c r="J5699">
        <v>-250.90729999999999</v>
      </c>
      <c r="K5699">
        <v>1.110125</v>
      </c>
      <c r="L5699">
        <v>215.87360000000001</v>
      </c>
      <c r="M5699">
        <v>0.99952490000000005</v>
      </c>
      <c r="N5699">
        <v>0</v>
      </c>
      <c r="O5699">
        <v>2.741627E-2</v>
      </c>
      <c r="P5699">
        <v>0.98837949999999997</v>
      </c>
      <c r="Q5699">
        <v>-2.755784E-2</v>
      </c>
      <c r="R5699">
        <v>-0.1494885</v>
      </c>
      <c r="S5699">
        <v>2.9676209999999998</v>
      </c>
      <c r="T5699">
        <v>9.8555090000000001E-3</v>
      </c>
      <c r="U5699">
        <v>-0.4510651</v>
      </c>
      <c r="V5699">
        <v>0.17652760000000001</v>
      </c>
      <c r="W5699">
        <v>-1.37637E-2</v>
      </c>
      <c r="X5699">
        <v>0.9841995</v>
      </c>
      <c r="Y5699">
        <v>0.1773197</v>
      </c>
      <c r="Z5699">
        <v>3.8333550000000001E-4</v>
      </c>
      <c r="AA5699">
        <v>0.98415319999999995</v>
      </c>
      <c r="AB5699">
        <v>28</v>
      </c>
      <c r="AC5699">
        <v>82.495299999999901</v>
      </c>
      <c r="AD5699">
        <v>0.274840999999999</v>
      </c>
      <c r="AE5699">
        <v>-12.5885</v>
      </c>
      <c r="AF5699">
        <v>14.8455437843237</v>
      </c>
      <c r="AG5699">
        <v>0.274840999999999</v>
      </c>
      <c r="AH5699">
        <v>82.118229470655194</v>
      </c>
      <c r="AI5699">
        <v>89.811296640847004</v>
      </c>
      <c r="AJ5699">
        <v>79.752601940492596</v>
      </c>
      <c r="AK5699">
        <v>83.449801193428399</v>
      </c>
      <c r="AL5699">
        <v>90.788626786307205</v>
      </c>
      <c r="AM5699">
        <v>79.831459753980795</v>
      </c>
      <c r="AN5699">
        <v>1.00000004439984</v>
      </c>
    </row>
    <row r="5700" spans="1:40" x14ac:dyDescent="0.25">
      <c r="A5700" t="str">
        <f>"20190312150807009"</f>
        <v>20190312150807009</v>
      </c>
      <c r="B5700" t="str">
        <f>"1552374487005431"</f>
        <v>1552374487005431</v>
      </c>
      <c r="C5700" t="s">
        <v>40</v>
      </c>
      <c r="D5700">
        <v>4.2644440000000001</v>
      </c>
      <c r="E5700">
        <v>0.49991819999999998</v>
      </c>
      <c r="F5700" t="s">
        <v>57</v>
      </c>
      <c r="G5700">
        <v>-168.41210000000001</v>
      </c>
      <c r="H5700">
        <v>1.5794029999999999</v>
      </c>
      <c r="I5700">
        <v>203.1807</v>
      </c>
      <c r="J5700">
        <v>-250.64</v>
      </c>
      <c r="K5700">
        <v>1.110142</v>
      </c>
      <c r="L5700">
        <v>215.88069999999999</v>
      </c>
      <c r="M5700">
        <v>0.99952960000000002</v>
      </c>
      <c r="N5700">
        <v>0</v>
      </c>
      <c r="O5700">
        <v>2.7242909999999999E-2</v>
      </c>
      <c r="P5700">
        <v>0.98792709999999995</v>
      </c>
      <c r="Q5700">
        <v>-2.496692E-2</v>
      </c>
      <c r="R5700">
        <v>-0.15289440000000001</v>
      </c>
      <c r="S5700">
        <v>2.966736</v>
      </c>
      <c r="T5700">
        <v>1.6877530000000002E-2</v>
      </c>
      <c r="U5700">
        <v>-0.4564667</v>
      </c>
      <c r="V5700">
        <v>0.1797501</v>
      </c>
      <c r="W5700">
        <v>-1.118416E-2</v>
      </c>
      <c r="X5700">
        <v>0.98364870000000004</v>
      </c>
      <c r="Y5700">
        <v>0.17894109999999999</v>
      </c>
      <c r="Z5700">
        <v>6.6016610000000004E-4</v>
      </c>
      <c r="AA5700">
        <v>0.98385959999999995</v>
      </c>
      <c r="AB5700">
        <v>28</v>
      </c>
      <c r="AC5700">
        <v>82.227899999999906</v>
      </c>
      <c r="AD5700">
        <v>0.46926099999999998</v>
      </c>
      <c r="AE5700">
        <v>-12.6999999999999</v>
      </c>
      <c r="AF5700">
        <v>14.935159831915101</v>
      </c>
      <c r="AG5700">
        <v>0.46926099999999998</v>
      </c>
      <c r="AH5700">
        <v>81.848751660887899</v>
      </c>
      <c r="AI5700">
        <v>89.676847144772495</v>
      </c>
      <c r="AJ5700">
        <v>79.658858571922707</v>
      </c>
      <c r="AK5700">
        <v>83.201546581398802</v>
      </c>
      <c r="AL5700">
        <v>90.640818541757895</v>
      </c>
      <c r="AM5700">
        <v>79.644140702645799</v>
      </c>
      <c r="AN5700">
        <v>0.99999997444830202</v>
      </c>
    </row>
    <row r="5701" spans="1:40" x14ac:dyDescent="0.25">
      <c r="A5701" t="str">
        <f>"20190312150807032"</f>
        <v>20190312150807032</v>
      </c>
      <c r="B5701" t="str">
        <f>"1552374487025939"</f>
        <v>1552374487025939</v>
      </c>
      <c r="C5701" t="s">
        <v>40</v>
      </c>
      <c r="D5701">
        <v>4.2373059999999896</v>
      </c>
      <c r="E5701">
        <v>0.49930999999999998</v>
      </c>
      <c r="F5701" t="s">
        <v>57</v>
      </c>
      <c r="G5701">
        <v>-168.41220000000001</v>
      </c>
      <c r="H5701">
        <v>1.7396659999999999</v>
      </c>
      <c r="I5701">
        <v>203.1703</v>
      </c>
      <c r="J5701">
        <v>-250.35079999999999</v>
      </c>
      <c r="K5701">
        <v>1.1101589999999999</v>
      </c>
      <c r="L5701">
        <v>215.88839999999999</v>
      </c>
      <c r="M5701">
        <v>0.9995349</v>
      </c>
      <c r="N5701">
        <v>0</v>
      </c>
      <c r="O5701">
        <v>2.705519E-2</v>
      </c>
      <c r="P5701">
        <v>0.98752220000000002</v>
      </c>
      <c r="Q5701">
        <v>-2.228018E-2</v>
      </c>
      <c r="R5701">
        <v>-0.1558956</v>
      </c>
      <c r="S5701">
        <v>2.966278</v>
      </c>
      <c r="T5701">
        <v>2.2710560000000001E-2</v>
      </c>
      <c r="U5701">
        <v>-0.45851140000000001</v>
      </c>
      <c r="V5701">
        <v>0.18255569999999999</v>
      </c>
      <c r="W5701">
        <v>-8.5082330000000005E-3</v>
      </c>
      <c r="X5701">
        <v>0.98315870000000005</v>
      </c>
      <c r="Y5701">
        <v>0.17943889999999901</v>
      </c>
      <c r="Z5701">
        <v>8.8887380000000004E-4</v>
      </c>
      <c r="AA5701">
        <v>0.98376870000000005</v>
      </c>
      <c r="AB5701">
        <v>28</v>
      </c>
      <c r="AC5701">
        <v>81.938599999999894</v>
      </c>
      <c r="AD5701">
        <v>0.62950699999999904</v>
      </c>
      <c r="AE5701">
        <v>-12.7180999999999</v>
      </c>
      <c r="AF5701">
        <v>14.9296669320319</v>
      </c>
      <c r="AG5701">
        <v>0.62950699999999904</v>
      </c>
      <c r="AH5701">
        <v>81.559774357557401</v>
      </c>
      <c r="AI5701">
        <v>89.565007348989397</v>
      </c>
      <c r="AJ5701">
        <v>79.626746765545604</v>
      </c>
      <c r="AK5701">
        <v>82.917356608976206</v>
      </c>
      <c r="AL5701">
        <v>90.487491722989105</v>
      </c>
      <c r="AM5701">
        <v>79.480957310648293</v>
      </c>
      <c r="AN5701">
        <v>1.00000000150848</v>
      </c>
    </row>
    <row r="5702" spans="1:40" x14ac:dyDescent="0.25">
      <c r="A5702" t="str">
        <f>"20190312150807049"</f>
        <v>20190312150807049</v>
      </c>
      <c r="B5702" t="str">
        <f>"1552374487045448"</f>
        <v>1552374487045448</v>
      </c>
      <c r="C5702" t="s">
        <v>40</v>
      </c>
      <c r="D5702">
        <v>4.245762</v>
      </c>
      <c r="E5702">
        <v>0.49872519999999998</v>
      </c>
      <c r="F5702" t="s">
        <v>57</v>
      </c>
      <c r="G5702">
        <v>-168.41220000000001</v>
      </c>
      <c r="H5702">
        <v>1.9507680000000001</v>
      </c>
      <c r="I5702">
        <v>203.1044</v>
      </c>
      <c r="J5702">
        <v>-250.1491</v>
      </c>
      <c r="K5702">
        <v>1.110168</v>
      </c>
      <c r="L5702">
        <v>215.8937</v>
      </c>
      <c r="M5702">
        <v>0.99953840000000005</v>
      </c>
      <c r="N5702">
        <v>0</v>
      </c>
      <c r="O5702">
        <v>2.6924389999999999E-2</v>
      </c>
      <c r="P5702">
        <v>0.98728570000000004</v>
      </c>
      <c r="Q5702">
        <v>-2.0884469999999999E-2</v>
      </c>
      <c r="R5702">
        <v>-0.15757869999999999</v>
      </c>
      <c r="S5702">
        <v>2.9655300000000002</v>
      </c>
      <c r="T5702">
        <v>3.0424590000000001E-2</v>
      </c>
      <c r="U5702">
        <v>-0.462677</v>
      </c>
      <c r="V5702">
        <v>0.1841035</v>
      </c>
      <c r="W5702">
        <v>-7.1190589999999996E-3</v>
      </c>
      <c r="X5702">
        <v>0.98288109999999995</v>
      </c>
      <c r="Y5702">
        <v>0.18069199999999999</v>
      </c>
      <c r="Z5702">
        <v>1.196007E-3</v>
      </c>
      <c r="AA5702">
        <v>0.98353900000000005</v>
      </c>
      <c r="AB5702">
        <v>28</v>
      </c>
      <c r="AC5702">
        <v>81.736899999999906</v>
      </c>
      <c r="AD5702">
        <v>0.84060000000000001</v>
      </c>
      <c r="AE5702">
        <v>-12.7892999999999</v>
      </c>
      <c r="AF5702">
        <v>14.9840498431057</v>
      </c>
      <c r="AG5702">
        <v>0.84060000000000001</v>
      </c>
      <c r="AH5702">
        <v>81.354485238951796</v>
      </c>
      <c r="AI5702">
        <v>89.417801004618894</v>
      </c>
      <c r="AJ5702">
        <v>79.564093162303607</v>
      </c>
      <c r="AK5702">
        <v>82.727145644918195</v>
      </c>
      <c r="AL5702">
        <v>90.407895472845198</v>
      </c>
      <c r="AM5702">
        <v>79.390859245852496</v>
      </c>
      <c r="AN5702">
        <v>1.00000001822525</v>
      </c>
    </row>
    <row r="5703" spans="1:40" x14ac:dyDescent="0.25">
      <c r="A5703" t="str">
        <f>"20190312150807065"</f>
        <v>20190312150807065</v>
      </c>
      <c r="B5703" t="str">
        <f>"1552374487056183"</f>
        <v>1552374487056183</v>
      </c>
      <c r="C5703" t="s">
        <v>40</v>
      </c>
      <c r="D5703">
        <v>4.2760930000000004</v>
      </c>
      <c r="E5703">
        <v>0.49847160000000001</v>
      </c>
      <c r="F5703" t="s">
        <v>57</v>
      </c>
      <c r="G5703">
        <v>-168.41229999999999</v>
      </c>
      <c r="H5703">
        <v>2.00589</v>
      </c>
      <c r="I5703">
        <v>203.12889999999999</v>
      </c>
      <c r="J5703">
        <v>-249.95140000000001</v>
      </c>
      <c r="K5703">
        <v>1.1101829999999999</v>
      </c>
      <c r="L5703">
        <v>215.8989</v>
      </c>
      <c r="M5703">
        <v>0.99954189999999998</v>
      </c>
      <c r="N5703">
        <v>0</v>
      </c>
      <c r="O5703">
        <v>2.6796029999999998E-2</v>
      </c>
      <c r="P5703">
        <v>0.98691059999999997</v>
      </c>
      <c r="Q5703">
        <v>-1.7636209999999999E-2</v>
      </c>
      <c r="R5703">
        <v>-0.16030269999999999</v>
      </c>
      <c r="S5703">
        <v>2.965408</v>
      </c>
      <c r="T5703">
        <v>3.249788E-2</v>
      </c>
      <c r="U5703">
        <v>-0.46310420000000002</v>
      </c>
      <c r="V5703">
        <v>0.18669160000000001</v>
      </c>
      <c r="W5703">
        <v>-3.8800979999999998E-3</v>
      </c>
      <c r="X5703">
        <v>0.98241089999999998</v>
      </c>
      <c r="Y5703">
        <v>0.1807087</v>
      </c>
      <c r="Z5703">
        <v>1.2762330000000001E-3</v>
      </c>
      <c r="AA5703">
        <v>0.98353579999999996</v>
      </c>
      <c r="AB5703">
        <v>28</v>
      </c>
      <c r="AC5703">
        <v>81.539100000000005</v>
      </c>
      <c r="AD5703">
        <v>0.89570699999999903</v>
      </c>
      <c r="AE5703">
        <v>-12.77</v>
      </c>
      <c r="AF5703">
        <v>14.94879344446</v>
      </c>
      <c r="AG5703">
        <v>0.89570699999999903</v>
      </c>
      <c r="AH5703">
        <v>81.158037215949506</v>
      </c>
      <c r="AI5703">
        <v>89.378136578773393</v>
      </c>
      <c r="AJ5703">
        <v>79.563460990048199</v>
      </c>
      <c r="AK5703">
        <v>82.528151083254201</v>
      </c>
      <c r="AL5703">
        <v>90.222313798982995</v>
      </c>
      <c r="AM5703">
        <v>79.240145591059203</v>
      </c>
      <c r="AN5703">
        <v>0.999999992554929</v>
      </c>
    </row>
    <row r="5704" spans="1:40" x14ac:dyDescent="0.25">
      <c r="A5704" t="str">
        <f>"20190312150807082"</f>
        <v>20190312150807082</v>
      </c>
      <c r="B5704" t="str">
        <f>"1552374487076344"</f>
        <v>1552374487076344</v>
      </c>
      <c r="C5704" t="s">
        <v>40</v>
      </c>
      <c r="D5704">
        <v>4.2575459999999996</v>
      </c>
      <c r="E5704">
        <v>0.49810539999999998</v>
      </c>
      <c r="F5704" t="s">
        <v>57</v>
      </c>
      <c r="G5704">
        <v>-168.41239999999999</v>
      </c>
      <c r="H5704">
        <v>2.2253039999999999</v>
      </c>
      <c r="I5704">
        <v>202.99549999999999</v>
      </c>
      <c r="J5704">
        <v>-249.7415</v>
      </c>
      <c r="K5704">
        <v>1.1101920000000001</v>
      </c>
      <c r="L5704">
        <v>215.90430000000001</v>
      </c>
      <c r="M5704">
        <v>0.99954560000000003</v>
      </c>
      <c r="N5704">
        <v>0</v>
      </c>
      <c r="O5704">
        <v>2.6659499999999999E-2</v>
      </c>
      <c r="P5704">
        <v>0.98672579999999999</v>
      </c>
      <c r="Q5704">
        <v>-1.571492E-2</v>
      </c>
      <c r="R5704">
        <v>-0.16163339999999901</v>
      </c>
      <c r="S5704">
        <v>2.96434</v>
      </c>
      <c r="T5704">
        <v>4.0541290000000001E-2</v>
      </c>
      <c r="U5704">
        <v>-0.46910099999999999</v>
      </c>
      <c r="V5704">
        <v>0.18788340000000001</v>
      </c>
      <c r="W5704">
        <v>-1.9643429999999999E-3</v>
      </c>
      <c r="X5704">
        <v>0.98218939999999999</v>
      </c>
      <c r="Y5704">
        <v>0.1825628</v>
      </c>
      <c r="Z5704">
        <v>1.603145E-3</v>
      </c>
      <c r="AA5704">
        <v>0.98319290000000004</v>
      </c>
      <c r="AB5704">
        <v>28</v>
      </c>
      <c r="AC5704">
        <v>81.329099999999997</v>
      </c>
      <c r="AD5704">
        <v>1.1151120000000001</v>
      </c>
      <c r="AE5704">
        <v>-12.908799999999999</v>
      </c>
      <c r="AF5704">
        <v>15.0698551950079</v>
      </c>
      <c r="AG5704">
        <v>1.1151120000000001</v>
      </c>
      <c r="AH5704">
        <v>80.941168900656606</v>
      </c>
      <c r="AI5704">
        <v>89.224029130629503</v>
      </c>
      <c r="AJ5704">
        <v>79.453267765741302</v>
      </c>
      <c r="AK5704">
        <v>82.339643145787804</v>
      </c>
      <c r="AL5704">
        <v>90.112548633089503</v>
      </c>
      <c r="AM5704">
        <v>79.170691576061202</v>
      </c>
      <c r="AN5704">
        <v>1.0000000240556699</v>
      </c>
    </row>
    <row r="5705" spans="1:40" x14ac:dyDescent="0.25">
      <c r="A5705" t="str">
        <f>"20190312150807099"</f>
        <v>20190312150807099</v>
      </c>
      <c r="B5705" t="str">
        <f>"1552374487095864"</f>
        <v>1552374487095864</v>
      </c>
      <c r="C5705" t="s">
        <v>40</v>
      </c>
      <c r="D5705">
        <v>4.2827440000000001</v>
      </c>
      <c r="E5705">
        <v>0.4975214</v>
      </c>
      <c r="F5705" t="s">
        <v>57</v>
      </c>
      <c r="G5705">
        <v>-168.41239999999999</v>
      </c>
      <c r="H5705">
        <v>2.2993429999999999</v>
      </c>
      <c r="I5705">
        <v>203.0086</v>
      </c>
      <c r="J5705">
        <v>-249.53290000000001</v>
      </c>
      <c r="K5705">
        <v>1.110206</v>
      </c>
      <c r="L5705">
        <v>215.90969999999999</v>
      </c>
      <c r="M5705">
        <v>0.99954929999999997</v>
      </c>
      <c r="N5705">
        <v>0</v>
      </c>
      <c r="O5705">
        <v>2.6523809999999998E-2</v>
      </c>
      <c r="P5705">
        <v>0.9862843</v>
      </c>
      <c r="Q5705">
        <v>-1.2471350000000001E-2</v>
      </c>
      <c r="R5705">
        <v>-0.1645846</v>
      </c>
      <c r="S5705">
        <v>2.9640499999999999</v>
      </c>
      <c r="T5705">
        <v>4.3339969999999998E-2</v>
      </c>
      <c r="U5705">
        <v>-0.46998600000000001</v>
      </c>
      <c r="V5705">
        <v>0.19068969999999999</v>
      </c>
      <c r="W5705">
        <v>1.2686889999999999E-3</v>
      </c>
      <c r="X5705">
        <v>0.98164949999999995</v>
      </c>
      <c r="Y5705">
        <v>0.1827278</v>
      </c>
      <c r="Z5705">
        <v>1.7131550000000001E-3</v>
      </c>
      <c r="AA5705">
        <v>0.98316199999999998</v>
      </c>
      <c r="AB5705">
        <v>28</v>
      </c>
      <c r="AC5705">
        <v>81.120500000000007</v>
      </c>
      <c r="AD5705">
        <v>1.1891370000000001</v>
      </c>
      <c r="AE5705">
        <v>-12.9010999999999</v>
      </c>
      <c r="AF5705">
        <v>15.045244475332</v>
      </c>
      <c r="AG5705">
        <v>1.1891370000000001</v>
      </c>
      <c r="AH5705">
        <v>80.732814365395598</v>
      </c>
      <c r="AI5705">
        <v>89.170415420863094</v>
      </c>
      <c r="AJ5705">
        <v>79.443540831657302</v>
      </c>
      <c r="AK5705">
        <v>82.131362727551902</v>
      </c>
      <c r="AL5705">
        <v>89.927309452090697</v>
      </c>
      <c r="AM5705">
        <v>79.006953523902098</v>
      </c>
      <c r="AN5705">
        <v>0.999999956054058</v>
      </c>
    </row>
    <row r="5706" spans="1:40" x14ac:dyDescent="0.25">
      <c r="A5706" t="str">
        <f>"20190312150807122"</f>
        <v>20190312150807122</v>
      </c>
      <c r="B5706" t="str">
        <f>"1552374487116360"</f>
        <v>1552374487116360</v>
      </c>
      <c r="C5706" t="s">
        <v>40</v>
      </c>
      <c r="D5706">
        <v>4.2639290000000001</v>
      </c>
      <c r="E5706">
        <v>0.496998</v>
      </c>
      <c r="F5706" t="s">
        <v>57</v>
      </c>
      <c r="G5706">
        <v>-168.41249999999999</v>
      </c>
      <c r="H5706">
        <v>2.5018039999999999</v>
      </c>
      <c r="I5706">
        <v>202.92509999999999</v>
      </c>
      <c r="J5706">
        <v>-249.25550000000001</v>
      </c>
      <c r="K5706">
        <v>1.110215</v>
      </c>
      <c r="L5706">
        <v>215.9169</v>
      </c>
      <c r="M5706">
        <v>0.99955400000000005</v>
      </c>
      <c r="N5706">
        <v>0</v>
      </c>
      <c r="O5706">
        <v>2.6343729999999999E-2</v>
      </c>
      <c r="P5706">
        <v>0.9858652</v>
      </c>
      <c r="Q5706">
        <v>-1.002602E-2</v>
      </c>
      <c r="R5706">
        <v>-0.1672408</v>
      </c>
      <c r="S5706">
        <v>2.9631810000000001</v>
      </c>
      <c r="T5706">
        <v>5.0833820000000002E-2</v>
      </c>
      <c r="U5706">
        <v>-0.47430420000000001</v>
      </c>
      <c r="V5706">
        <v>0.19315789999999999</v>
      </c>
      <c r="W5706">
        <v>3.7038879999999998E-3</v>
      </c>
      <c r="X5706">
        <v>0.9811607</v>
      </c>
      <c r="Y5706">
        <v>0.18398410000000001</v>
      </c>
      <c r="Z5706">
        <v>2.0173249999999999E-3</v>
      </c>
      <c r="AA5706">
        <v>0.98292710000000005</v>
      </c>
      <c r="AB5706">
        <v>28</v>
      </c>
      <c r="AC5706">
        <v>80.843000000000004</v>
      </c>
      <c r="AD5706">
        <v>1.391589</v>
      </c>
      <c r="AE5706">
        <v>-12.9918</v>
      </c>
      <c r="AF5706">
        <v>15.1128417998301</v>
      </c>
      <c r="AG5706">
        <v>1.391589</v>
      </c>
      <c r="AH5706">
        <v>80.449413711316495</v>
      </c>
      <c r="AI5706">
        <v>89.026047041887495</v>
      </c>
      <c r="AJ5706">
        <v>79.360684955456193</v>
      </c>
      <c r="AK5706">
        <v>81.868447363475596</v>
      </c>
      <c r="AL5706">
        <v>89.787782365890607</v>
      </c>
      <c r="AM5706">
        <v>78.862789409737701</v>
      </c>
      <c r="AN5706">
        <v>1.0000000061715999</v>
      </c>
    </row>
    <row r="5707" spans="1:40" x14ac:dyDescent="0.25">
      <c r="A5707" t="str">
        <f>"20190312150807144"</f>
        <v>20190312150807144</v>
      </c>
      <c r="B5707" t="str">
        <f>"1552374487135880"</f>
        <v>1552374487135880</v>
      </c>
      <c r="C5707" t="s">
        <v>40</v>
      </c>
      <c r="D5707">
        <v>4.314908</v>
      </c>
      <c r="E5707">
        <v>0.49646950000000001</v>
      </c>
      <c r="F5707" t="s">
        <v>57</v>
      </c>
      <c r="G5707">
        <v>-168.4126</v>
      </c>
      <c r="H5707">
        <v>2.6475939999999998</v>
      </c>
      <c r="I5707">
        <v>202.8674</v>
      </c>
      <c r="J5707">
        <v>-248.9802</v>
      </c>
      <c r="K5707">
        <v>1.1102259999999999</v>
      </c>
      <c r="L5707">
        <v>215.9239</v>
      </c>
      <c r="M5707">
        <v>0.99955890000000003</v>
      </c>
      <c r="N5707">
        <v>0</v>
      </c>
      <c r="O5707">
        <v>2.616489E-2</v>
      </c>
      <c r="P5707">
        <v>0.98560320000000001</v>
      </c>
      <c r="Q5707">
        <v>-8.0811930000000004E-3</v>
      </c>
      <c r="R5707">
        <v>-0.16888259999999999</v>
      </c>
      <c r="S5707">
        <v>2.9624630000000001</v>
      </c>
      <c r="T5707">
        <v>5.6337949999999998E-2</v>
      </c>
      <c r="U5707">
        <v>-0.47819519999999999</v>
      </c>
      <c r="V5707">
        <v>0.1946175</v>
      </c>
      <c r="W5707">
        <v>5.6412559999999999E-3</v>
      </c>
      <c r="X5707">
        <v>0.98086300000000004</v>
      </c>
      <c r="Y5707">
        <v>0.1850967</v>
      </c>
      <c r="Z5707">
        <v>2.2431510000000001E-3</v>
      </c>
      <c r="AA5707">
        <v>0.98271779999999997</v>
      </c>
      <c r="AB5707">
        <v>28</v>
      </c>
      <c r="AC5707">
        <v>80.567599999999999</v>
      </c>
      <c r="AD5707">
        <v>1.5373679999999901</v>
      </c>
      <c r="AE5707">
        <v>-13.0565</v>
      </c>
      <c r="AF5707">
        <v>15.154902722109201</v>
      </c>
      <c r="AG5707">
        <v>1.5373679999999901</v>
      </c>
      <c r="AH5707">
        <v>80.169912057063598</v>
      </c>
      <c r="AI5707">
        <v>88.920522676820895</v>
      </c>
      <c r="AJ5707">
        <v>79.295417785359803</v>
      </c>
      <c r="AK5707">
        <v>81.604224009062904</v>
      </c>
      <c r="AL5707">
        <v>89.676778128882404</v>
      </c>
      <c r="AM5707">
        <v>78.777439341213494</v>
      </c>
      <c r="AN5707">
        <v>1.0000000099222499</v>
      </c>
    </row>
    <row r="5708" spans="1:40" x14ac:dyDescent="0.25">
      <c r="A5708" t="str">
        <f>"20190312150807168"</f>
        <v>20190312150807168</v>
      </c>
      <c r="B5708" t="str">
        <f>"1552374487155400"</f>
        <v>1552374487155400</v>
      </c>
      <c r="C5708" t="s">
        <v>40</v>
      </c>
      <c r="D5708">
        <v>4.3118359999999996</v>
      </c>
      <c r="E5708">
        <v>0.49594769999999999</v>
      </c>
      <c r="F5708" t="s">
        <v>57</v>
      </c>
      <c r="G5708">
        <v>-168.4126</v>
      </c>
      <c r="H5708">
        <v>2.7543090000000001</v>
      </c>
      <c r="I5708">
        <v>202.89580000000001</v>
      </c>
      <c r="J5708">
        <v>-248.70670000000001</v>
      </c>
      <c r="K5708">
        <v>1.1102369999999999</v>
      </c>
      <c r="L5708">
        <v>215.93090000000001</v>
      </c>
      <c r="M5708">
        <v>0.99956350000000005</v>
      </c>
      <c r="N5708">
        <v>0</v>
      </c>
      <c r="O5708">
        <v>2.5987420000000001E-2</v>
      </c>
      <c r="P5708">
        <v>0.9853286</v>
      </c>
      <c r="Q5708">
        <v>-5.8489689999999999E-3</v>
      </c>
      <c r="R5708">
        <v>-0.17056939999999901</v>
      </c>
      <c r="S5708">
        <v>2.9622190000000002</v>
      </c>
      <c r="T5708">
        <v>6.0449000000000003E-2</v>
      </c>
      <c r="U5708">
        <v>-0.47900389999999998</v>
      </c>
      <c r="V5708">
        <v>0.1961233</v>
      </c>
      <c r="W5708">
        <v>7.8656500000000001E-3</v>
      </c>
      <c r="X5708">
        <v>0.98054770000000002</v>
      </c>
      <c r="Y5708">
        <v>0.18519070000000001</v>
      </c>
      <c r="Z5708">
        <v>2.4043010000000002E-3</v>
      </c>
      <c r="AA5708">
        <v>0.98269960000000001</v>
      </c>
      <c r="AB5708">
        <v>28</v>
      </c>
      <c r="AC5708">
        <v>80.2941</v>
      </c>
      <c r="AD5708">
        <v>1.644072</v>
      </c>
      <c r="AE5708">
        <v>-13.0351</v>
      </c>
      <c r="AF5708">
        <v>15.1113665568292</v>
      </c>
      <c r="AG5708">
        <v>1.644072</v>
      </c>
      <c r="AH5708">
        <v>79.895558654386903</v>
      </c>
      <c r="AI5708">
        <v>88.841678161875294</v>
      </c>
      <c r="AJ5708">
        <v>79.289652923758098</v>
      </c>
      <c r="AK5708">
        <v>81.328695210562799</v>
      </c>
      <c r="AL5708">
        <v>89.549326806795605</v>
      </c>
      <c r="AM5708">
        <v>78.689294422141103</v>
      </c>
      <c r="AN5708">
        <v>1.00000000461405</v>
      </c>
    </row>
    <row r="5709" spans="1:40" x14ac:dyDescent="0.25">
      <c r="A5709" t="str">
        <f>"20190312150807189"</f>
        <v>20190312150807189</v>
      </c>
      <c r="B5709" t="str">
        <f>"1552374487186286"</f>
        <v>1552374487186286</v>
      </c>
      <c r="C5709" t="s">
        <v>40</v>
      </c>
      <c r="D5709">
        <v>4.2547430000000004</v>
      </c>
      <c r="E5709">
        <v>0.49541980000000002</v>
      </c>
      <c r="F5709" t="s">
        <v>57</v>
      </c>
      <c r="G5709">
        <v>-168.4126</v>
      </c>
      <c r="H5709">
        <v>2.8605290000000001</v>
      </c>
      <c r="I5709">
        <v>202.9211</v>
      </c>
      <c r="J5709">
        <v>-248.43379999999999</v>
      </c>
      <c r="K5709">
        <v>1.1102529999999999</v>
      </c>
      <c r="L5709">
        <v>215.93770000000001</v>
      </c>
      <c r="M5709">
        <v>0.99956809999999996</v>
      </c>
      <c r="N5709">
        <v>0</v>
      </c>
      <c r="O5709">
        <v>2.5810429999999999E-2</v>
      </c>
      <c r="P5709">
        <v>0.98499199999999998</v>
      </c>
      <c r="Q5709">
        <v>-3.2737899999999999E-3</v>
      </c>
      <c r="R5709">
        <v>-0.17256920000000001</v>
      </c>
      <c r="S5709">
        <v>2.9619749999999998</v>
      </c>
      <c r="T5709">
        <v>6.4567799999999995E-2</v>
      </c>
      <c r="U5709">
        <v>-0.4799194</v>
      </c>
      <c r="V5709">
        <v>0.19794120000000001</v>
      </c>
      <c r="W5709">
        <v>1.0431879999999999E-2</v>
      </c>
      <c r="X5709">
        <v>0.98015839999999999</v>
      </c>
      <c r="Y5709">
        <v>0.1853195</v>
      </c>
      <c r="Z5709">
        <v>2.5657900000000001E-3</v>
      </c>
      <c r="AA5709">
        <v>0.98267499999999997</v>
      </c>
      <c r="AB5709">
        <v>27</v>
      </c>
      <c r="AC5709">
        <v>80.021199999999993</v>
      </c>
      <c r="AD5709">
        <v>1.7502759999999999</v>
      </c>
      <c r="AE5709">
        <v>-13.0166</v>
      </c>
      <c r="AF5709">
        <v>15.070824014691199</v>
      </c>
      <c r="AG5709">
        <v>1.7502759999999999</v>
      </c>
      <c r="AH5709">
        <v>79.621428881752905</v>
      </c>
      <c r="AI5709">
        <v>88.762662983854597</v>
      </c>
      <c r="AJ5709">
        <v>79.281798233914699</v>
      </c>
      <c r="AK5709">
        <v>81.054087742260194</v>
      </c>
      <c r="AL5709">
        <v>89.402286471861501</v>
      </c>
      <c r="AM5709">
        <v>78.582778808637201</v>
      </c>
      <c r="AN5709">
        <v>1.00000001593416</v>
      </c>
    </row>
    <row r="5710" spans="1:40" x14ac:dyDescent="0.25">
      <c r="A5710" t="str">
        <f>"20190312150807222"</f>
        <v>20190312150807222</v>
      </c>
      <c r="B5710" t="str">
        <f>"1552374487215566"</f>
        <v>1552374487215566</v>
      </c>
      <c r="C5710" t="s">
        <v>40</v>
      </c>
      <c r="D5710">
        <v>4.7984</v>
      </c>
      <c r="E5710">
        <v>0.47459230000000002</v>
      </c>
      <c r="F5710" t="s">
        <v>57</v>
      </c>
      <c r="G5710">
        <v>-168.4127</v>
      </c>
      <c r="H5710">
        <v>2.9703309999999998</v>
      </c>
      <c r="I5710">
        <v>202.91849999999999</v>
      </c>
      <c r="J5710">
        <v>-248.0257</v>
      </c>
      <c r="K5710">
        <v>1.110255</v>
      </c>
      <c r="L5710">
        <v>215.94800000000001</v>
      </c>
      <c r="M5710">
        <v>0.99957490000000004</v>
      </c>
      <c r="N5710">
        <v>0</v>
      </c>
      <c r="O5710">
        <v>2.5545430000000001E-2</v>
      </c>
      <c r="P5710">
        <v>0.98499049999999999</v>
      </c>
      <c r="Q5710">
        <v>-3.2768989999999998E-3</v>
      </c>
      <c r="R5710">
        <v>-0.172577799999999</v>
      </c>
      <c r="S5710">
        <v>2.961487</v>
      </c>
      <c r="T5710">
        <v>6.8840499999999999E-2</v>
      </c>
      <c r="U5710">
        <v>-0.4818268</v>
      </c>
      <c r="V5710">
        <v>0.19768959999999999</v>
      </c>
      <c r="W5710">
        <v>1.042568E-2</v>
      </c>
      <c r="X5710">
        <v>0.9802092</v>
      </c>
      <c r="Y5710">
        <v>0.18569440000000001</v>
      </c>
      <c r="Z5710">
        <v>2.7340440000000001E-3</v>
      </c>
      <c r="AA5710">
        <v>0.98260369999999997</v>
      </c>
      <c r="AB5710">
        <v>27</v>
      </c>
      <c r="AC5710">
        <v>79.613</v>
      </c>
      <c r="AD5710">
        <v>1.8600760000000001</v>
      </c>
      <c r="AE5710">
        <v>-13.029499999999899</v>
      </c>
      <c r="AF5710">
        <v>15.051194523251599</v>
      </c>
      <c r="AG5710">
        <v>1.8600760000000001</v>
      </c>
      <c r="AH5710">
        <v>79.212025169808697</v>
      </c>
      <c r="AI5710">
        <v>88.678450523269305</v>
      </c>
      <c r="AJ5710">
        <v>79.241397804917199</v>
      </c>
      <c r="AK5710">
        <v>80.650748730591104</v>
      </c>
      <c r="AL5710">
        <v>89.402641700111502</v>
      </c>
      <c r="AM5710">
        <v>78.597486130424102</v>
      </c>
      <c r="AN5710">
        <v>0.99999997425813003</v>
      </c>
    </row>
    <row r="5711" spans="1:40" x14ac:dyDescent="0.25">
      <c r="A5711" t="str">
        <f>"20190312150807243"</f>
        <v>20190312150807243</v>
      </c>
      <c r="B5711" t="str">
        <f>"1552374487236065"</f>
        <v>1552374487236065</v>
      </c>
      <c r="C5711" t="s">
        <v>40</v>
      </c>
      <c r="D5711">
        <v>4.3253120000000003</v>
      </c>
      <c r="E5711">
        <v>0.47332000000000002</v>
      </c>
      <c r="F5711" t="s">
        <v>57</v>
      </c>
      <c r="G5711">
        <v>-168.4102</v>
      </c>
      <c r="H5711">
        <v>8.1773760000000001E-2</v>
      </c>
      <c r="I5711">
        <v>207.47280000000001</v>
      </c>
      <c r="J5711">
        <v>-247.7559</v>
      </c>
      <c r="K5711">
        <v>1.1102510000000001</v>
      </c>
      <c r="L5711">
        <v>215.9546</v>
      </c>
      <c r="M5711">
        <v>0.99957949999999995</v>
      </c>
      <c r="N5711">
        <v>0</v>
      </c>
      <c r="O5711">
        <v>2.5369869999999999E-2</v>
      </c>
      <c r="P5711">
        <v>0.98507960000000006</v>
      </c>
      <c r="Q5711">
        <v>-3.8656580000000001E-3</v>
      </c>
      <c r="R5711">
        <v>-0.172057399999999</v>
      </c>
      <c r="S5711">
        <v>2.9898069999999999</v>
      </c>
      <c r="T5711">
        <v>-3.8621309999999999E-2</v>
      </c>
      <c r="U5711">
        <v>-0.31826779999999999</v>
      </c>
      <c r="V5711">
        <v>0.19699920000000001</v>
      </c>
      <c r="W5711">
        <v>9.8363410000000002E-3</v>
      </c>
      <c r="X5711">
        <v>0.98035430000000001</v>
      </c>
      <c r="Y5711">
        <v>0.1310357</v>
      </c>
      <c r="Z5711">
        <v>-1.170817E-3</v>
      </c>
      <c r="AA5711">
        <v>0.99137690000000001</v>
      </c>
      <c r="AB5711">
        <v>27</v>
      </c>
      <c r="AC5711">
        <v>79.345699999999994</v>
      </c>
      <c r="AD5711">
        <v>-1.02847724</v>
      </c>
      <c r="AE5711">
        <v>-8.4817999999999891</v>
      </c>
      <c r="AF5711">
        <v>10.4905154185985</v>
      </c>
      <c r="AG5711">
        <v>-1.02847724</v>
      </c>
      <c r="AH5711">
        <v>79.091814507761697</v>
      </c>
      <c r="AI5711">
        <v>90.738541237801002</v>
      </c>
      <c r="AJ5711">
        <v>82.444550008596394</v>
      </c>
      <c r="AK5711">
        <v>79.791126081233102</v>
      </c>
      <c r="AL5711">
        <v>89.436410084100203</v>
      </c>
      <c r="AM5711">
        <v>78.637907944397199</v>
      </c>
      <c r="AN5711">
        <v>0.99999999596669897</v>
      </c>
    </row>
    <row r="5712" spans="1:40" x14ac:dyDescent="0.25">
      <c r="A5712" t="str">
        <f>"20190312150807266"</f>
        <v>20190312150807266</v>
      </c>
      <c r="B5712" t="str">
        <f>"1552374487255582"</f>
        <v>1552374487255582</v>
      </c>
      <c r="C5712" t="s">
        <v>40</v>
      </c>
      <c r="D5712">
        <v>4.4109870000000004</v>
      </c>
      <c r="E5712">
        <v>0.47294779999999997</v>
      </c>
      <c r="F5712" t="s">
        <v>61</v>
      </c>
      <c r="G5712">
        <v>-179.9426</v>
      </c>
      <c r="H5712">
        <v>6.5198800000000001E-2</v>
      </c>
      <c r="I5712">
        <v>209.00540000000001</v>
      </c>
      <c r="J5712">
        <v>-247.4897</v>
      </c>
      <c r="K5712">
        <v>1.1102399999999999</v>
      </c>
      <c r="L5712">
        <v>215.96119999999999</v>
      </c>
      <c r="M5712">
        <v>0.99958380000000002</v>
      </c>
      <c r="N5712">
        <v>0</v>
      </c>
      <c r="O5712">
        <v>2.5196630000000001E-2</v>
      </c>
      <c r="P5712">
        <v>0.98508879999999999</v>
      </c>
      <c r="Q5712">
        <v>-4.8856719999999998E-3</v>
      </c>
      <c r="R5712">
        <v>-0.17197760000000001</v>
      </c>
      <c r="S5712">
        <v>2.991714</v>
      </c>
      <c r="T5712">
        <v>-4.6104430000000002E-2</v>
      </c>
      <c r="U5712">
        <v>-0.30657960000000001</v>
      </c>
      <c r="V5712">
        <v>0.19674949999999999</v>
      </c>
      <c r="W5712">
        <v>8.8145240000000007E-3</v>
      </c>
      <c r="X5712">
        <v>0.98041420000000001</v>
      </c>
      <c r="Y5712">
        <v>0.12695989999999999</v>
      </c>
      <c r="Z5712">
        <v>-1.363052E-3</v>
      </c>
      <c r="AA5712">
        <v>0.99190690000000004</v>
      </c>
      <c r="AB5712">
        <v>27</v>
      </c>
      <c r="AC5712">
        <v>67.5471</v>
      </c>
      <c r="AD5712">
        <v>-1.0450412</v>
      </c>
      <c r="AE5712">
        <v>-6.9557999999999804</v>
      </c>
      <c r="AF5712">
        <v>8.6536688398725907</v>
      </c>
      <c r="AG5712">
        <v>-1.0450412</v>
      </c>
      <c r="AH5712">
        <v>67.334422409292202</v>
      </c>
      <c r="AI5712">
        <v>90.881916204403794</v>
      </c>
      <c r="AJ5712">
        <v>82.676618588602395</v>
      </c>
      <c r="AK5712">
        <v>67.8962630539625</v>
      </c>
      <c r="AL5712">
        <v>89.494958452752599</v>
      </c>
      <c r="AM5712">
        <v>78.652611021157995</v>
      </c>
      <c r="AN5712">
        <v>1.0000000325726099</v>
      </c>
    </row>
    <row r="5713" spans="1:40" x14ac:dyDescent="0.25">
      <c r="A5713" t="str">
        <f>"20190312150807288"</f>
        <v>20190312150807288</v>
      </c>
      <c r="B5713" t="str">
        <f>"1552374487285984"</f>
        <v>1552374487285984</v>
      </c>
      <c r="C5713" t="s">
        <v>40</v>
      </c>
      <c r="D5713">
        <v>4.3586460000000002</v>
      </c>
      <c r="E5713">
        <v>0.47252630000000001</v>
      </c>
      <c r="F5713" t="s">
        <v>61</v>
      </c>
      <c r="G5713">
        <v>-189.5478</v>
      </c>
      <c r="H5713" s="1">
        <v>4.295253E-6</v>
      </c>
      <c r="I5713">
        <v>210.08799999999999</v>
      </c>
      <c r="J5713">
        <v>-247.21260000000001</v>
      </c>
      <c r="K5713">
        <v>1.1102350000000001</v>
      </c>
      <c r="L5713">
        <v>215.96799999999999</v>
      </c>
      <c r="M5713">
        <v>0.99958849999999999</v>
      </c>
      <c r="N5713">
        <v>0</v>
      </c>
      <c r="O5713">
        <v>2.5015039999999999E-2</v>
      </c>
      <c r="P5713">
        <v>0.98511309999999996</v>
      </c>
      <c r="Q5713">
        <v>-5.7087880000000002E-3</v>
      </c>
      <c r="R5713">
        <v>-0.17181299999999999</v>
      </c>
      <c r="S5713">
        <v>2.9921720000000001</v>
      </c>
      <c r="T5713">
        <v>-5.7333589999999997E-2</v>
      </c>
      <c r="U5713">
        <v>-0.30329899999999999</v>
      </c>
      <c r="V5713">
        <v>0.19640730000000001</v>
      </c>
      <c r="W5713">
        <v>7.9896229999999995E-3</v>
      </c>
      <c r="X5713">
        <v>0.98048990000000003</v>
      </c>
      <c r="Y5713">
        <v>0.1256784</v>
      </c>
      <c r="Z5713">
        <v>-1.679098E-3</v>
      </c>
      <c r="AA5713">
        <v>0.9920696</v>
      </c>
      <c r="AB5713">
        <v>27</v>
      </c>
      <c r="AC5713">
        <v>57.6648</v>
      </c>
      <c r="AD5713">
        <v>-1.1102307047469999</v>
      </c>
      <c r="AE5713">
        <v>-5.8799999999999901</v>
      </c>
      <c r="AF5713">
        <v>7.3181042837049999</v>
      </c>
      <c r="AG5713">
        <v>-1.1102307047469999</v>
      </c>
      <c r="AH5713">
        <v>57.478561570906699</v>
      </c>
      <c r="AI5713">
        <v>91.097703587825805</v>
      </c>
      <c r="AJ5713">
        <v>82.744204962430899</v>
      </c>
      <c r="AK5713">
        <v>57.953190617820702</v>
      </c>
      <c r="AL5713">
        <v>89.542223475985196</v>
      </c>
      <c r="AM5713">
        <v>78.672688404864303</v>
      </c>
      <c r="AN5713">
        <v>1.00000005278548</v>
      </c>
    </row>
    <row r="5714" spans="1:40" x14ac:dyDescent="0.25">
      <c r="A5714" t="str">
        <f>"20190312150807311"</f>
        <v>20190312150807311</v>
      </c>
      <c r="B5714" t="str">
        <f>"1552374487305496"</f>
        <v>1552374487305496</v>
      </c>
      <c r="C5714" t="s">
        <v>40</v>
      </c>
      <c r="D5714">
        <v>4.3760469999999998</v>
      </c>
      <c r="E5714">
        <v>0.47209810000000002</v>
      </c>
      <c r="F5714" t="s">
        <v>61</v>
      </c>
      <c r="G5714">
        <v>-200.46100000000001</v>
      </c>
      <c r="H5714" s="1">
        <v>2.7123459999999998E-6</v>
      </c>
      <c r="I5714">
        <v>211.2885</v>
      </c>
      <c r="J5714">
        <v>-246.94069999999999</v>
      </c>
      <c r="K5714">
        <v>1.1102299999999901</v>
      </c>
      <c r="L5714">
        <v>215.97460000000001</v>
      </c>
      <c r="M5714">
        <v>0.99959310000000001</v>
      </c>
      <c r="N5714">
        <v>0</v>
      </c>
      <c r="O5714">
        <v>2.4835650000000001E-2</v>
      </c>
      <c r="P5714">
        <v>0.9851626</v>
      </c>
      <c r="Q5714">
        <v>-6.8582629999999999E-3</v>
      </c>
      <c r="R5714">
        <v>-0.17148820000000001</v>
      </c>
      <c r="S5714">
        <v>2.992661</v>
      </c>
      <c r="T5714">
        <v>-7.1068049999999994E-2</v>
      </c>
      <c r="U5714">
        <v>-0.29954530000000001</v>
      </c>
      <c r="V5714">
        <v>0.19590730000000001</v>
      </c>
      <c r="W5714">
        <v>6.8385709999999999E-3</v>
      </c>
      <c r="X5714">
        <v>0.98059859999999999</v>
      </c>
      <c r="Y5714">
        <v>0.124237899999999</v>
      </c>
      <c r="Z5714">
        <v>-2.0597100000000002E-3</v>
      </c>
      <c r="AA5714">
        <v>0.99225030000000003</v>
      </c>
      <c r="AB5714">
        <v>27</v>
      </c>
      <c r="AC5714">
        <v>46.479700000000001</v>
      </c>
      <c r="AD5714">
        <v>-1.11022728765399</v>
      </c>
      <c r="AE5714">
        <v>-4.6860999999999997</v>
      </c>
      <c r="AF5714">
        <v>5.8358253057504497</v>
      </c>
      <c r="AG5714">
        <v>-1.11022728765399</v>
      </c>
      <c r="AH5714">
        <v>46.322802873349097</v>
      </c>
      <c r="AI5714">
        <v>91.362192543066897</v>
      </c>
      <c r="AJ5714">
        <v>82.819608616263096</v>
      </c>
      <c r="AK5714">
        <v>46.702157634017802</v>
      </c>
      <c r="AL5714">
        <v>89.608175699653302</v>
      </c>
      <c r="AM5714">
        <v>78.702002226201401</v>
      </c>
      <c r="AN5714">
        <v>1.00000002528428</v>
      </c>
    </row>
    <row r="5715" spans="1:40" x14ac:dyDescent="0.25">
      <c r="A5715" t="str">
        <f>"20190312150807333"</f>
        <v>20190312150807333</v>
      </c>
      <c r="B5715" t="str">
        <f>"1552374487325992"</f>
        <v>1552374487325992</v>
      </c>
      <c r="C5715" t="s">
        <v>40</v>
      </c>
      <c r="D5715">
        <v>4.3715190000000002</v>
      </c>
      <c r="E5715">
        <v>0.47184300000000001</v>
      </c>
      <c r="F5715" t="s">
        <v>61</v>
      </c>
      <c r="G5715">
        <v>-205.09979999999999</v>
      </c>
      <c r="H5715" s="1">
        <v>4.7204609999999999E-6</v>
      </c>
      <c r="I5715">
        <v>211.84899999999999</v>
      </c>
      <c r="J5715">
        <v>-246.66290000000001</v>
      </c>
      <c r="K5715">
        <v>1.110228</v>
      </c>
      <c r="L5715">
        <v>215.9813</v>
      </c>
      <c r="M5715">
        <v>0.99959770000000003</v>
      </c>
      <c r="N5715">
        <v>0</v>
      </c>
      <c r="O5715">
        <v>2.4649339999999999E-2</v>
      </c>
      <c r="P5715">
        <v>0.98516769999999998</v>
      </c>
      <c r="Q5715">
        <v>-7.4447769999999996E-3</v>
      </c>
      <c r="R5715">
        <v>-0.17143369999999999</v>
      </c>
      <c r="S5715">
        <v>2.9932400000000001</v>
      </c>
      <c r="T5715">
        <v>-7.9424019999999998E-2</v>
      </c>
      <c r="U5715">
        <v>-0.2951355</v>
      </c>
      <c r="V5715">
        <v>0.19567010000000001</v>
      </c>
      <c r="W5715">
        <v>6.2492119999999996E-3</v>
      </c>
      <c r="X5715">
        <v>0.98064989999999996</v>
      </c>
      <c r="Y5715">
        <v>0.1225765</v>
      </c>
      <c r="Z5715">
        <v>-2.2746070000000001E-3</v>
      </c>
      <c r="AA5715">
        <v>0.99245649999999996</v>
      </c>
      <c r="AB5715">
        <v>27</v>
      </c>
      <c r="AC5715">
        <v>41.563099999999999</v>
      </c>
      <c r="AD5715">
        <v>-1.1102232795389999</v>
      </c>
      <c r="AE5715">
        <v>-4.1322999999999803</v>
      </c>
      <c r="AF5715">
        <v>5.1520079561349501</v>
      </c>
      <c r="AG5715">
        <v>-1.1102232795389999</v>
      </c>
      <c r="AH5715">
        <v>41.419336276813603</v>
      </c>
      <c r="AI5715">
        <v>91.523678899452406</v>
      </c>
      <c r="AJ5715">
        <v>82.909594142676497</v>
      </c>
      <c r="AK5715">
        <v>41.753289682637899</v>
      </c>
      <c r="AL5715">
        <v>89.641944208591795</v>
      </c>
      <c r="AM5715">
        <v>78.715905530266298</v>
      </c>
      <c r="AN5715">
        <v>1.00000003352731</v>
      </c>
    </row>
    <row r="5716" spans="1:40" x14ac:dyDescent="0.25">
      <c r="A5716" t="str">
        <f>"20190312150807356"</f>
        <v>20190312150807356</v>
      </c>
      <c r="B5716" t="str">
        <f>"1552374487345508"</f>
        <v>1552374487345508</v>
      </c>
      <c r="C5716" t="s">
        <v>40</v>
      </c>
      <c r="D5716">
        <v>4.4024409999999996</v>
      </c>
      <c r="E5716">
        <v>0.4717558</v>
      </c>
      <c r="F5716" t="s">
        <v>61</v>
      </c>
      <c r="G5716">
        <v>-206.31450000000001</v>
      </c>
      <c r="H5716" s="1">
        <v>5.2430140000000004E-6</v>
      </c>
      <c r="I5716">
        <v>212.03360000000001</v>
      </c>
      <c r="J5716">
        <v>-246.3912</v>
      </c>
      <c r="K5716">
        <v>1.1102240000000001</v>
      </c>
      <c r="L5716">
        <v>215.98769999999999</v>
      </c>
      <c r="M5716">
        <v>0.9996024</v>
      </c>
      <c r="N5716">
        <v>0</v>
      </c>
      <c r="O5716">
        <v>2.446102E-2</v>
      </c>
      <c r="P5716">
        <v>0.98511179999999998</v>
      </c>
      <c r="Q5716">
        <v>-7.790646E-3</v>
      </c>
      <c r="R5716">
        <v>-0.171739</v>
      </c>
      <c r="S5716">
        <v>2.9935909999999999</v>
      </c>
      <c r="T5716">
        <v>-8.2371470000000002E-2</v>
      </c>
      <c r="U5716">
        <v>-0.2928925</v>
      </c>
      <c r="V5716">
        <v>0.19578899999999999</v>
      </c>
      <c r="W5716">
        <v>5.898744E-3</v>
      </c>
      <c r="X5716">
        <v>0.98062830000000001</v>
      </c>
      <c r="Y5716">
        <v>0.1216381</v>
      </c>
      <c r="Z5716">
        <v>-2.3407480000000001E-3</v>
      </c>
      <c r="AA5716">
        <v>0.9925718</v>
      </c>
      <c r="AB5716">
        <v>27</v>
      </c>
      <c r="AC5716">
        <v>40.076699999999903</v>
      </c>
      <c r="AD5716">
        <v>-1.11021875698599</v>
      </c>
      <c r="AE5716">
        <v>-3.95409999999998</v>
      </c>
      <c r="AF5716">
        <v>4.9295834371707201</v>
      </c>
      <c r="AG5716">
        <v>-1.11021875698599</v>
      </c>
      <c r="AH5716">
        <v>39.937621774336201</v>
      </c>
      <c r="AI5716">
        <v>91.580357875332595</v>
      </c>
      <c r="AJ5716">
        <v>82.963454179884295</v>
      </c>
      <c r="AK5716">
        <v>40.256018326982201</v>
      </c>
      <c r="AL5716">
        <v>89.662024902756698</v>
      </c>
      <c r="AM5716">
        <v>78.708982469446994</v>
      </c>
      <c r="AN5716">
        <v>0.99999999523133298</v>
      </c>
    </row>
    <row r="5717" spans="1:40" x14ac:dyDescent="0.25">
      <c r="A5717" t="str">
        <f>"20190312150807378"</f>
        <v>20190312150807378</v>
      </c>
      <c r="B5717" t="str">
        <f>"1552374487366004"</f>
        <v>1552374487366004</v>
      </c>
      <c r="C5717" t="s">
        <v>40</v>
      </c>
      <c r="D5717">
        <v>4.465662</v>
      </c>
      <c r="E5717">
        <v>0.47169519999999998</v>
      </c>
      <c r="F5717" t="s">
        <v>61</v>
      </c>
      <c r="G5717">
        <v>-207.17869999999999</v>
      </c>
      <c r="H5717" s="1">
        <v>5.6163389999999999E-6</v>
      </c>
      <c r="I5717">
        <v>212.14680000000001</v>
      </c>
      <c r="J5717">
        <v>-246.12459999999999</v>
      </c>
      <c r="K5717">
        <v>1.1102190000000001</v>
      </c>
      <c r="L5717">
        <v>215.994</v>
      </c>
      <c r="M5717">
        <v>0.99960720000000003</v>
      </c>
      <c r="N5717">
        <v>0</v>
      </c>
      <c r="O5717">
        <v>2.426507E-2</v>
      </c>
      <c r="P5717">
        <v>0.98509440000000004</v>
      </c>
      <c r="Q5717">
        <v>-7.8842640000000002E-3</v>
      </c>
      <c r="R5717">
        <v>-0.17183499999999999</v>
      </c>
      <c r="S5717">
        <v>2.993576</v>
      </c>
      <c r="T5717">
        <v>-8.4756609999999996E-2</v>
      </c>
      <c r="U5717">
        <v>-0.29322809999999999</v>
      </c>
      <c r="V5717">
        <v>0.19569239999999999</v>
      </c>
      <c r="W5717">
        <v>5.8000400000000002E-3</v>
      </c>
      <c r="X5717">
        <v>0.98064819999999997</v>
      </c>
      <c r="Y5717">
        <v>0.1215512</v>
      </c>
      <c r="Z5717">
        <v>-2.4017370000000001E-3</v>
      </c>
      <c r="AA5717">
        <v>0.99258230000000003</v>
      </c>
      <c r="AB5717">
        <v>27</v>
      </c>
      <c r="AC5717">
        <v>38.945900000000002</v>
      </c>
      <c r="AD5717">
        <v>-1.110213383661</v>
      </c>
      <c r="AE5717">
        <v>-3.8472000000000102</v>
      </c>
      <c r="AF5717">
        <v>4.7873322269849403</v>
      </c>
      <c r="AG5717">
        <v>-1.110213383661</v>
      </c>
      <c r="AH5717">
        <v>38.809835736720203</v>
      </c>
      <c r="AI5717">
        <v>91.626265269966794</v>
      </c>
      <c r="AJ5717">
        <v>82.967883964150502</v>
      </c>
      <c r="AK5717">
        <v>39.119745315121797</v>
      </c>
      <c r="AL5717">
        <v>89.667680331726999</v>
      </c>
      <c r="AM5717">
        <v>78.714633452943204</v>
      </c>
      <c r="AN5717">
        <v>1.0000000240225</v>
      </c>
    </row>
    <row r="5718" spans="1:40" x14ac:dyDescent="0.25">
      <c r="A5718" t="str">
        <f>"20190312150807400"</f>
        <v>20190312150807400</v>
      </c>
      <c r="B5718" t="str">
        <f>"1552374487396261"</f>
        <v>1552374487396261</v>
      </c>
      <c r="C5718" t="s">
        <v>40</v>
      </c>
      <c r="D5718">
        <v>4.448245</v>
      </c>
      <c r="E5718">
        <v>0.4717768</v>
      </c>
      <c r="F5718" t="s">
        <v>61</v>
      </c>
      <c r="G5718">
        <v>-206.94640000000001</v>
      </c>
      <c r="H5718" s="1">
        <v>5.5124940000000004E-6</v>
      </c>
      <c r="I5718">
        <v>212.15629999999999</v>
      </c>
      <c r="J5718">
        <v>-245.85849999999999</v>
      </c>
      <c r="K5718">
        <v>1.1102099999999999</v>
      </c>
      <c r="L5718">
        <v>216.00030000000001</v>
      </c>
      <c r="M5718">
        <v>0.99961230000000001</v>
      </c>
      <c r="N5718">
        <v>0</v>
      </c>
      <c r="O5718">
        <v>2.4051759999999998E-2</v>
      </c>
      <c r="P5718">
        <v>0.98511669999999996</v>
      </c>
      <c r="Q5718">
        <v>-7.864177E-3</v>
      </c>
      <c r="R5718">
        <v>-0.1717079</v>
      </c>
      <c r="S5718">
        <v>2.9935909999999999</v>
      </c>
      <c r="T5718">
        <v>-8.4830879999999997E-2</v>
      </c>
      <c r="U5718">
        <v>-0.29324339999999999</v>
      </c>
      <c r="V5718">
        <v>0.19535659999999999</v>
      </c>
      <c r="W5718">
        <v>5.8124369999999898E-3</v>
      </c>
      <c r="X5718">
        <v>0.980715</v>
      </c>
      <c r="Y5718">
        <v>0.1213439</v>
      </c>
      <c r="Z5718">
        <v>-2.3948659999999998E-3</v>
      </c>
      <c r="AA5718">
        <v>0.99260769999999998</v>
      </c>
      <c r="AB5718">
        <v>27</v>
      </c>
      <c r="AC5718">
        <v>38.912099999999903</v>
      </c>
      <c r="AD5718">
        <v>-1.110204487506</v>
      </c>
      <c r="AE5718">
        <v>-3.8440000000000198</v>
      </c>
      <c r="AF5718">
        <v>4.77503492539888</v>
      </c>
      <c r="AG5718">
        <v>-1.110204487506</v>
      </c>
      <c r="AH5718">
        <v>38.777116622484101</v>
      </c>
      <c r="AI5718">
        <v>91.627665772186205</v>
      </c>
      <c r="AJ5718">
        <v>82.979907917598894</v>
      </c>
      <c r="AK5718">
        <v>39.085781124298798</v>
      </c>
      <c r="AL5718">
        <v>89.666969998809506</v>
      </c>
      <c r="AM5718">
        <v>78.734250695722395</v>
      </c>
      <c r="AN5718">
        <v>0.99999994840621798</v>
      </c>
    </row>
    <row r="5719" spans="1:40" x14ac:dyDescent="0.25">
      <c r="A5719" t="str">
        <f>"20190312150807423"</f>
        <v>20190312150807423</v>
      </c>
      <c r="B5719" t="str">
        <f>"1552374487415780"</f>
        <v>1552374487415780</v>
      </c>
      <c r="C5719" t="s">
        <v>40</v>
      </c>
      <c r="D5719">
        <v>4.4758509999999996</v>
      </c>
      <c r="E5719">
        <v>0.4717712</v>
      </c>
      <c r="F5719" t="s">
        <v>61</v>
      </c>
      <c r="G5719">
        <v>-206.11789999999999</v>
      </c>
      <c r="H5719" s="1">
        <v>5.1494339999999999E-6</v>
      </c>
      <c r="I5719">
        <v>212.10650000000001</v>
      </c>
      <c r="J5719">
        <v>-245.58349999999999</v>
      </c>
      <c r="K5719">
        <v>1.110198</v>
      </c>
      <c r="L5719">
        <v>216.00659999999999</v>
      </c>
      <c r="M5719">
        <v>0.99961829999999996</v>
      </c>
      <c r="N5719">
        <v>0</v>
      </c>
      <c r="O5719">
        <v>2.3805659999999999E-2</v>
      </c>
      <c r="P5719">
        <v>0.98514780000000002</v>
      </c>
      <c r="Q5719">
        <v>-7.1556299999999996E-3</v>
      </c>
      <c r="R5719">
        <v>-0.1715602</v>
      </c>
      <c r="S5719">
        <v>2.9935299999999998</v>
      </c>
      <c r="T5719">
        <v>-8.3628060000000004E-2</v>
      </c>
      <c r="U5719">
        <v>-0.29330440000000002</v>
      </c>
      <c r="V5719">
        <v>0.1949689</v>
      </c>
      <c r="W5719">
        <v>6.5114680000000003E-3</v>
      </c>
      <c r="X5719">
        <v>0.98078779999999999</v>
      </c>
      <c r="Y5719">
        <v>0.12112340000000001</v>
      </c>
      <c r="Z5719">
        <v>-2.351035E-3</v>
      </c>
      <c r="AA5719">
        <v>0.99263469999999998</v>
      </c>
      <c r="AB5719">
        <v>27</v>
      </c>
      <c r="AC5719">
        <v>39.465600000000002</v>
      </c>
      <c r="AD5719">
        <v>-1.1101928505659999</v>
      </c>
      <c r="AE5719">
        <v>-3.9000999999999801</v>
      </c>
      <c r="AF5719">
        <v>4.8348025729725004</v>
      </c>
      <c r="AG5719">
        <v>-1.1101928505659999</v>
      </c>
      <c r="AH5719">
        <v>39.330737163410603</v>
      </c>
      <c r="AI5719">
        <v>91.6047915022057</v>
      </c>
      <c r="AJ5719">
        <v>82.991970170143404</v>
      </c>
      <c r="AK5719">
        <v>39.642335071263901</v>
      </c>
      <c r="AL5719">
        <v>89.626917724968493</v>
      </c>
      <c r="AM5719">
        <v>78.756851601872597</v>
      </c>
      <c r="AN5719">
        <v>0.99999998990578198</v>
      </c>
    </row>
    <row r="5720" spans="1:40" x14ac:dyDescent="0.25">
      <c r="A5720" t="str">
        <f>"20190312150807445"</f>
        <v>20190312150807445</v>
      </c>
      <c r="B5720" t="str">
        <f>"1552374487436277"</f>
        <v>1552374487436277</v>
      </c>
      <c r="C5720" t="s">
        <v>40</v>
      </c>
      <c r="D5720">
        <v>4.4734040000000004</v>
      </c>
      <c r="E5720">
        <v>0.4717306</v>
      </c>
      <c r="F5720" t="s">
        <v>61</v>
      </c>
      <c r="G5720">
        <v>-205.20740000000001</v>
      </c>
      <c r="H5720" s="1">
        <v>4.75003499999999E-6</v>
      </c>
      <c r="I5720">
        <v>212.05670000000001</v>
      </c>
      <c r="J5720">
        <v>-245.31909999999999</v>
      </c>
      <c r="K5720">
        <v>1.1101780000000001</v>
      </c>
      <c r="L5720">
        <v>216.01259999999999</v>
      </c>
      <c r="M5720">
        <v>0.99962479999999998</v>
      </c>
      <c r="N5720">
        <v>0</v>
      </c>
      <c r="O5720">
        <v>2.3536600000000001E-2</v>
      </c>
      <c r="P5720">
        <v>0.98516550000000003</v>
      </c>
      <c r="Q5720">
        <v>-6.9282270000000003E-3</v>
      </c>
      <c r="R5720">
        <v>-0.17146879999999901</v>
      </c>
      <c r="S5720">
        <v>2.9936370000000001</v>
      </c>
      <c r="T5720">
        <v>-8.2314010000000007E-2</v>
      </c>
      <c r="U5720">
        <v>-0.29286190000000001</v>
      </c>
      <c r="V5720">
        <v>0.19461439999999999</v>
      </c>
      <c r="W5720">
        <v>6.7265170000000004E-3</v>
      </c>
      <c r="X5720">
        <v>0.98085679999999997</v>
      </c>
      <c r="Y5720">
        <v>0.12070939999999999</v>
      </c>
      <c r="Z5720">
        <v>-2.300982E-3</v>
      </c>
      <c r="AA5720">
        <v>0.99268520000000005</v>
      </c>
      <c r="AB5720">
        <v>27</v>
      </c>
      <c r="AC5720">
        <v>40.1116999999999</v>
      </c>
      <c r="AD5720">
        <v>-1.1101732499650001</v>
      </c>
      <c r="AE5720">
        <v>-3.9558999999999802</v>
      </c>
      <c r="AF5720">
        <v>4.8952758620080701</v>
      </c>
      <c r="AG5720">
        <v>-1.1101732499650001</v>
      </c>
      <c r="AH5720">
        <v>39.977140078381503</v>
      </c>
      <c r="AI5720">
        <v>91.578919098011397</v>
      </c>
      <c r="AJ5720">
        <v>83.018779004785799</v>
      </c>
      <c r="AK5720">
        <v>40.291040434029902</v>
      </c>
      <c r="AL5720">
        <v>89.614596072740198</v>
      </c>
      <c r="AM5720">
        <v>78.777544428399295</v>
      </c>
      <c r="AN5720">
        <v>1.0000000364122701</v>
      </c>
    </row>
    <row r="5721" spans="1:40" x14ac:dyDescent="0.25">
      <c r="A5721" t="str">
        <f>"20190312150807467"</f>
        <v>20190312150807467</v>
      </c>
      <c r="B5721" t="str">
        <f>"1552374487455797"</f>
        <v>1552374487455797</v>
      </c>
      <c r="C5721" t="s">
        <v>40</v>
      </c>
      <c r="D5721">
        <v>4.5107900000000001</v>
      </c>
      <c r="E5721">
        <v>0.47181269999999997</v>
      </c>
      <c r="F5721" t="s">
        <v>61</v>
      </c>
      <c r="G5721">
        <v>-204.81309999999999</v>
      </c>
      <c r="H5721" s="1">
        <v>4.5749250000000001E-6</v>
      </c>
      <c r="I5721">
        <v>212.05959999999999</v>
      </c>
      <c r="J5721">
        <v>-245.04910000000001</v>
      </c>
      <c r="K5721">
        <v>1.110155</v>
      </c>
      <c r="L5721">
        <v>216.01859999999999</v>
      </c>
      <c r="M5721">
        <v>0.99963210000000002</v>
      </c>
      <c r="N5721">
        <v>0</v>
      </c>
      <c r="O5721">
        <v>2.3223420000000002E-2</v>
      </c>
      <c r="P5721">
        <v>0.98514820000000003</v>
      </c>
      <c r="Q5721">
        <v>-6.3591560000000004E-3</v>
      </c>
      <c r="R5721">
        <v>-0.17158899999999999</v>
      </c>
      <c r="S5721">
        <v>2.9937589999999998</v>
      </c>
      <c r="T5721">
        <v>-8.2051869999999999E-2</v>
      </c>
      <c r="U5721">
        <v>-0.29215999999999998</v>
      </c>
      <c r="V5721">
        <v>0.19442780000000001</v>
      </c>
      <c r="W5721">
        <v>7.2810649999999998E-3</v>
      </c>
      <c r="X5721">
        <v>0.98088980000000003</v>
      </c>
      <c r="Y5721">
        <v>0.1201646</v>
      </c>
      <c r="Z5721">
        <v>-2.2775769999999998E-3</v>
      </c>
      <c r="AA5721">
        <v>0.99275139999999995</v>
      </c>
      <c r="AB5721">
        <v>27</v>
      </c>
      <c r="AC5721">
        <v>40.235999999999997</v>
      </c>
      <c r="AD5721">
        <v>-1.1101504250749901</v>
      </c>
      <c r="AE5721">
        <v>-3.9590000000000001</v>
      </c>
      <c r="AF5721">
        <v>4.8887553816199603</v>
      </c>
      <c r="AG5721">
        <v>-1.1101504250749901</v>
      </c>
      <c r="AH5721">
        <v>40.102959550548</v>
      </c>
      <c r="AI5721">
        <v>91.574039081576203</v>
      </c>
      <c r="AJ5721">
        <v>83.049646153795393</v>
      </c>
      <c r="AK5721">
        <v>40.415092822614</v>
      </c>
      <c r="AL5721">
        <v>89.582822015512406</v>
      </c>
      <c r="AM5721">
        <v>78.788399655734807</v>
      </c>
      <c r="AN5721">
        <v>0.99999999153220698</v>
      </c>
    </row>
    <row r="5722" spans="1:40" x14ac:dyDescent="0.25">
      <c r="A5722" t="str">
        <f>"20190312150807489"</f>
        <v>20190312150807489</v>
      </c>
      <c r="B5722" t="str">
        <f>"1552374487486054"</f>
        <v>1552374487486054</v>
      </c>
      <c r="C5722" t="s">
        <v>40</v>
      </c>
      <c r="D5722">
        <v>4.5067240000000002</v>
      </c>
      <c r="E5722">
        <v>0.47189059999999999</v>
      </c>
      <c r="F5722" t="s">
        <v>61</v>
      </c>
      <c r="G5722">
        <v>-203.66659999999999</v>
      </c>
      <c r="H5722" s="1">
        <v>4.0748380000000001E-6</v>
      </c>
      <c r="I5722">
        <v>211.96430000000001</v>
      </c>
      <c r="J5722">
        <v>-244.77869999999999</v>
      </c>
      <c r="K5722">
        <v>1.1101289999999999</v>
      </c>
      <c r="L5722">
        <v>216.02449999999999</v>
      </c>
      <c r="M5722">
        <v>0.99963999999999997</v>
      </c>
      <c r="N5722">
        <v>0</v>
      </c>
      <c r="O5722">
        <v>2.2876580000000001E-2</v>
      </c>
      <c r="P5722">
        <v>0.98509219999999997</v>
      </c>
      <c r="Q5722">
        <v>-5.8423069999999997E-3</v>
      </c>
      <c r="R5722">
        <v>-0.17192869999999999</v>
      </c>
      <c r="S5722">
        <v>2.9936219999999998</v>
      </c>
      <c r="T5722">
        <v>-8.0308679999999993E-2</v>
      </c>
      <c r="U5722">
        <v>-0.29328920000000003</v>
      </c>
      <c r="V5722">
        <v>0.1944264</v>
      </c>
      <c r="W5722">
        <v>7.7831599999999999E-3</v>
      </c>
      <c r="X5722">
        <v>0.98088620000000004</v>
      </c>
      <c r="Y5722">
        <v>0.12019779999999999</v>
      </c>
      <c r="Z5722">
        <v>-2.220428E-3</v>
      </c>
      <c r="AA5722">
        <v>0.9927475</v>
      </c>
      <c r="AB5722">
        <v>27</v>
      </c>
      <c r="AC5722">
        <v>41.112099999999998</v>
      </c>
      <c r="AD5722">
        <v>-1.110124925162</v>
      </c>
      <c r="AE5722">
        <v>-4.0601999999999796</v>
      </c>
      <c r="AF5722">
        <v>4.9961262678238203</v>
      </c>
      <c r="AG5722">
        <v>-1.110124925162</v>
      </c>
      <c r="AH5722">
        <v>40.978855830137803</v>
      </c>
      <c r="AI5722">
        <v>91.540373361324697</v>
      </c>
      <c r="AJ5722">
        <v>83.048826888013906</v>
      </c>
      <c r="AK5722">
        <v>41.297218794741099</v>
      </c>
      <c r="AL5722">
        <v>89.554053264861594</v>
      </c>
      <c r="AM5722">
        <v>78.788438235499001</v>
      </c>
      <c r="AN5722">
        <v>0.99999996997349205</v>
      </c>
    </row>
    <row r="5723" spans="1:40" x14ac:dyDescent="0.25">
      <c r="A5723" t="str">
        <f>"20190312150807513"</f>
        <v>20190312150807513</v>
      </c>
      <c r="B5723" t="str">
        <f>"1552374487505573"</f>
        <v>1552374487505573</v>
      </c>
      <c r="C5723" t="s">
        <v>40</v>
      </c>
      <c r="D5723">
        <v>4.5057479999999996</v>
      </c>
      <c r="E5723">
        <v>0.47201270000000001</v>
      </c>
      <c r="F5723" t="s">
        <v>61</v>
      </c>
      <c r="G5723">
        <v>-202.10050000000001</v>
      </c>
      <c r="H5723" s="1">
        <v>3.3929059999999999E-6</v>
      </c>
      <c r="I5723">
        <v>211.8202</v>
      </c>
      <c r="J5723">
        <v>-244.49529999999999</v>
      </c>
      <c r="K5723">
        <v>1.110109</v>
      </c>
      <c r="L5723">
        <v>216.03059999999999</v>
      </c>
      <c r="M5723">
        <v>0.99964920000000002</v>
      </c>
      <c r="N5723">
        <v>0</v>
      </c>
      <c r="O5723">
        <v>2.2474029999999999E-2</v>
      </c>
      <c r="P5723">
        <v>0.98500589999999999</v>
      </c>
      <c r="Q5723">
        <v>-5.4925909999999998E-3</v>
      </c>
      <c r="R5723">
        <v>-0.172434</v>
      </c>
      <c r="S5723">
        <v>2.9934690000000002</v>
      </c>
      <c r="T5723">
        <v>-7.7864649999999994E-2</v>
      </c>
      <c r="U5723">
        <v>-0.29489140000000003</v>
      </c>
      <c r="V5723">
        <v>0.19453519999999999</v>
      </c>
      <c r="W5723">
        <v>8.1183660000000001E-3</v>
      </c>
      <c r="X5723">
        <v>0.98086200000000001</v>
      </c>
      <c r="Y5723">
        <v>0.1203323</v>
      </c>
      <c r="Z5723">
        <v>-2.1442280000000002E-3</v>
      </c>
      <c r="AA5723">
        <v>0.99273129999999998</v>
      </c>
      <c r="AB5723">
        <v>27</v>
      </c>
      <c r="AC5723">
        <v>42.394799999999897</v>
      </c>
      <c r="AD5723">
        <v>-1.1101056070940001</v>
      </c>
      <c r="AE5723">
        <v>-4.2103999999999902</v>
      </c>
      <c r="AF5723">
        <v>5.1587094094670096</v>
      </c>
      <c r="AG5723">
        <v>-1.1101056070940001</v>
      </c>
      <c r="AH5723">
        <v>42.260763023618701</v>
      </c>
      <c r="AI5723">
        <v>91.493617589853599</v>
      </c>
      <c r="AJ5723">
        <v>83.040419471316497</v>
      </c>
      <c r="AK5723">
        <v>42.5889270652441</v>
      </c>
      <c r="AL5723">
        <v>89.534846808754494</v>
      </c>
      <c r="AM5723">
        <v>78.782053618855102</v>
      </c>
      <c r="AN5723">
        <v>1.0000000574747701</v>
      </c>
    </row>
    <row r="5724" spans="1:40" x14ac:dyDescent="0.25">
      <c r="A5724" t="str">
        <f>"20190312150807535"</f>
        <v>20190312150807535</v>
      </c>
      <c r="B5724" t="str">
        <f>"1552374487526069"</f>
        <v>1552374487526069</v>
      </c>
      <c r="C5724" t="s">
        <v>40</v>
      </c>
      <c r="D5724">
        <v>4.5145850000000003</v>
      </c>
      <c r="E5724">
        <v>0.47218690000000002</v>
      </c>
      <c r="F5724" t="s">
        <v>61</v>
      </c>
      <c r="G5724">
        <v>-201.19</v>
      </c>
      <c r="H5724" s="1">
        <v>2.9971699999999999E-6</v>
      </c>
      <c r="I5724">
        <v>211.72829999999999</v>
      </c>
      <c r="J5724">
        <v>-244.2362</v>
      </c>
      <c r="K5724">
        <v>1.1100909999999999</v>
      </c>
      <c r="L5724">
        <v>216.0359</v>
      </c>
      <c r="M5724">
        <v>0.9996583</v>
      </c>
      <c r="N5724">
        <v>0</v>
      </c>
      <c r="O5724">
        <v>2.2069479999999999E-2</v>
      </c>
      <c r="P5724">
        <v>0.98486300000000004</v>
      </c>
      <c r="Q5724">
        <v>-4.7093480000000004E-3</v>
      </c>
      <c r="R5724">
        <v>-0.1732707</v>
      </c>
      <c r="S5724">
        <v>2.993179</v>
      </c>
      <c r="T5724">
        <v>-7.6728340000000006E-2</v>
      </c>
      <c r="U5724">
        <v>-0.2973633</v>
      </c>
      <c r="V5724">
        <v>0.1949728</v>
      </c>
      <c r="W5724">
        <v>8.8865239999999998E-3</v>
      </c>
      <c r="X5724">
        <v>0.98076839999999998</v>
      </c>
      <c r="Y5724">
        <v>0.12075329999999999</v>
      </c>
      <c r="Z5724">
        <v>-2.1080980000000001E-3</v>
      </c>
      <c r="AA5724">
        <v>0.99268029999999996</v>
      </c>
      <c r="AB5724">
        <v>27</v>
      </c>
      <c r="AC5724">
        <v>43.046199999999999</v>
      </c>
      <c r="AD5724">
        <v>-1.11008800283</v>
      </c>
      <c r="AE5724">
        <v>-4.3075999999999999</v>
      </c>
      <c r="AF5724">
        <v>5.2531921768450296</v>
      </c>
      <c r="AG5724">
        <v>-1.11008800283</v>
      </c>
      <c r="AH5724">
        <v>42.912382425783797</v>
      </c>
      <c r="AI5724">
        <v>91.470862256897504</v>
      </c>
      <c r="AJ5724">
        <v>83.0207648541559</v>
      </c>
      <c r="AK5724">
        <v>43.246975488207397</v>
      </c>
      <c r="AL5724">
        <v>89.490832983047497</v>
      </c>
      <c r="AM5724">
        <v>78.756415699548199</v>
      </c>
      <c r="AN5724">
        <v>1.0000000087436001</v>
      </c>
    </row>
    <row r="5725" spans="1:40" x14ac:dyDescent="0.25">
      <c r="A5725" t="str">
        <f>"20190312150807557"</f>
        <v>20190312150807557</v>
      </c>
      <c r="B5725" t="str">
        <f>"1552374487545589"</f>
        <v>1552374487545589</v>
      </c>
      <c r="C5725" t="s">
        <v>40</v>
      </c>
      <c r="D5725">
        <v>4.6019300000000003</v>
      </c>
      <c r="E5725">
        <v>0.49428420000000001</v>
      </c>
      <c r="F5725" t="s">
        <v>61</v>
      </c>
      <c r="G5725">
        <v>-199.7586</v>
      </c>
      <c r="H5725" s="1">
        <v>2.5009979999999998E-6</v>
      </c>
      <c r="I5725">
        <v>211.55760000000001</v>
      </c>
      <c r="J5725">
        <v>-243.97210000000001</v>
      </c>
      <c r="K5725">
        <v>1.1100680000000001</v>
      </c>
      <c r="L5725">
        <v>216.04130000000001</v>
      </c>
      <c r="M5725">
        <v>0.99966809999999995</v>
      </c>
      <c r="N5725">
        <v>0</v>
      </c>
      <c r="O5725">
        <v>2.1620839999999999E-2</v>
      </c>
      <c r="P5725">
        <v>0.98476240000000004</v>
      </c>
      <c r="Q5725">
        <v>-4.5204199999999998E-3</v>
      </c>
      <c r="R5725">
        <v>-0.173848</v>
      </c>
      <c r="S5725">
        <v>2.9927220000000001</v>
      </c>
      <c r="T5725">
        <v>-7.4693319999999994E-2</v>
      </c>
      <c r="U5725">
        <v>-0.301330599999999</v>
      </c>
      <c r="V5725">
        <v>0.19510820000000001</v>
      </c>
      <c r="W5725">
        <v>9.060561E-3</v>
      </c>
      <c r="X5725">
        <v>0.9807399</v>
      </c>
      <c r="Y5725">
        <v>0.12162779999999999</v>
      </c>
      <c r="Z5725">
        <v>-2.0520949999999999E-3</v>
      </c>
      <c r="AA5725">
        <v>0.9925737</v>
      </c>
      <c r="AB5725">
        <v>27</v>
      </c>
      <c r="AC5725">
        <v>44.213500000000003</v>
      </c>
      <c r="AD5725">
        <v>-1.110065499002</v>
      </c>
      <c r="AE5725">
        <v>-4.48369999999999</v>
      </c>
      <c r="AF5725">
        <v>5.43528720733054</v>
      </c>
      <c r="AG5725">
        <v>-1.110065499002</v>
      </c>
      <c r="AH5725">
        <v>44.078709313224699</v>
      </c>
      <c r="AI5725">
        <v>91.4317759881623</v>
      </c>
      <c r="AJ5725">
        <v>82.970418398174004</v>
      </c>
      <c r="AK5725">
        <v>44.426424649728602</v>
      </c>
      <c r="AL5725">
        <v>89.480861005758399</v>
      </c>
      <c r="AM5725">
        <v>78.748488031793798</v>
      </c>
      <c r="AN5725">
        <v>1.0000000274624401</v>
      </c>
    </row>
    <row r="5726" spans="1:40" x14ac:dyDescent="0.25">
      <c r="A5726" t="str">
        <f>"20190312150807579"</f>
        <v>20190312150807579</v>
      </c>
      <c r="B5726" t="str">
        <f>"1552374487575845"</f>
        <v>1552374487575845</v>
      </c>
      <c r="C5726" t="s">
        <v>40</v>
      </c>
      <c r="D5726">
        <v>4.5711360000000001</v>
      </c>
      <c r="E5726">
        <v>0.49718230000000002</v>
      </c>
      <c r="F5726" t="s">
        <v>46</v>
      </c>
      <c r="G5726">
        <v>-177.82910000000001</v>
      </c>
      <c r="H5726">
        <v>0.270250299999999</v>
      </c>
      <c r="I5726">
        <v>205.3939</v>
      </c>
      <c r="J5726">
        <v>-243.70240000000001</v>
      </c>
      <c r="K5726">
        <v>1.110042</v>
      </c>
      <c r="L5726">
        <v>216.04660000000001</v>
      </c>
      <c r="M5726">
        <v>0.99967870000000003</v>
      </c>
      <c r="N5726">
        <v>0</v>
      </c>
      <c r="O5726">
        <v>2.1127770000000001E-2</v>
      </c>
      <c r="P5726">
        <v>0.98454969999999997</v>
      </c>
      <c r="Q5726">
        <v>-4.0498180000000002E-3</v>
      </c>
      <c r="R5726">
        <v>-0.175058299999999</v>
      </c>
      <c r="S5726">
        <v>2.9620820000000001</v>
      </c>
      <c r="T5726">
        <v>-3.7609579999999997E-2</v>
      </c>
      <c r="U5726">
        <v>-0.47682190000000002</v>
      </c>
      <c r="V5726">
        <v>0.19583110000000001</v>
      </c>
      <c r="W5726">
        <v>9.5125839999999993E-3</v>
      </c>
      <c r="X5726">
        <v>0.98059149999999995</v>
      </c>
      <c r="Y5726">
        <v>0.17973929999999999</v>
      </c>
      <c r="Z5726">
        <v>-1.4003900000000001E-3</v>
      </c>
      <c r="AA5726">
        <v>0.98371330000000001</v>
      </c>
      <c r="AB5726">
        <v>27</v>
      </c>
      <c r="AC5726">
        <v>65.8733</v>
      </c>
      <c r="AD5726">
        <v>-0.83979169999999903</v>
      </c>
      <c r="AE5726">
        <v>-10.652699999999999</v>
      </c>
      <c r="AF5726">
        <v>12.0403071026782</v>
      </c>
      <c r="AG5726">
        <v>-0.83979169999999903</v>
      </c>
      <c r="AH5726">
        <v>65.623109571901196</v>
      </c>
      <c r="AI5726">
        <v>90.721148730556195</v>
      </c>
      <c r="AJ5726">
        <v>79.603198984268403</v>
      </c>
      <c r="AK5726">
        <v>66.723809506891499</v>
      </c>
      <c r="AL5726">
        <v>89.454960863982294</v>
      </c>
      <c r="AM5726">
        <v>78.706204052449095</v>
      </c>
      <c r="AN5726">
        <v>0.99999999942690798</v>
      </c>
    </row>
    <row r="5727" spans="1:40" x14ac:dyDescent="0.25">
      <c r="A5727" t="str">
        <f>"20190312150807602"</f>
        <v>20190312150807602</v>
      </c>
      <c r="B5727" t="str">
        <f>"1552374487596360"</f>
        <v>1552374487596360</v>
      </c>
      <c r="C5727" t="s">
        <v>40</v>
      </c>
      <c r="D5727">
        <v>4.5776879999999904</v>
      </c>
      <c r="E5727">
        <v>0.49771530000000003</v>
      </c>
      <c r="F5727" t="s">
        <v>61</v>
      </c>
      <c r="G5727">
        <v>-179.95779999999999</v>
      </c>
      <c r="H5727">
        <v>3.646112E-3</v>
      </c>
      <c r="I5727">
        <v>205.2055</v>
      </c>
      <c r="J5727">
        <v>-243.43610000000001</v>
      </c>
      <c r="K5727">
        <v>1.1100190000000001</v>
      </c>
      <c r="L5727">
        <v>216.05170000000001</v>
      </c>
      <c r="M5727">
        <v>0.99968959999999996</v>
      </c>
      <c r="N5727">
        <v>0</v>
      </c>
      <c r="O5727">
        <v>2.0606860000000001E-2</v>
      </c>
      <c r="P5727">
        <v>0.98437629999999998</v>
      </c>
      <c r="Q5727">
        <v>-3.861354E-3</v>
      </c>
      <c r="R5727">
        <v>-0.17603659999999999</v>
      </c>
      <c r="S5727">
        <v>2.957443</v>
      </c>
      <c r="T5727">
        <v>-5.1331399999999999E-2</v>
      </c>
      <c r="U5727">
        <v>-0.50297550000000002</v>
      </c>
      <c r="V5727">
        <v>0.1962952</v>
      </c>
      <c r="W5727">
        <v>9.6842379999999995E-3</v>
      </c>
      <c r="X5727">
        <v>0.98049699999999995</v>
      </c>
      <c r="Y5727">
        <v>0.18791450000000001</v>
      </c>
      <c r="Z5727">
        <v>-1.9743040000000001E-3</v>
      </c>
      <c r="AA5727">
        <v>0.98218340000000004</v>
      </c>
      <c r="AB5727">
        <v>27</v>
      </c>
      <c r="AC5727">
        <v>63.478299999999997</v>
      </c>
      <c r="AD5727">
        <v>-1.1063728879999899</v>
      </c>
      <c r="AE5727">
        <v>-10.8462</v>
      </c>
      <c r="AF5727">
        <v>12.1485273786243</v>
      </c>
      <c r="AG5727">
        <v>-1.1063728879999899</v>
      </c>
      <c r="AH5727">
        <v>63.222629408898101</v>
      </c>
      <c r="AI5727">
        <v>90.984544858700303</v>
      </c>
      <c r="AJ5727">
        <v>79.122924640076306</v>
      </c>
      <c r="AK5727">
        <v>64.388754047670105</v>
      </c>
      <c r="AL5727">
        <v>89.445125349540405</v>
      </c>
      <c r="AM5727">
        <v>78.679066352119804</v>
      </c>
      <c r="AN5727">
        <v>0.99999997850884004</v>
      </c>
    </row>
    <row r="5728" spans="1:40" x14ac:dyDescent="0.25">
      <c r="A5728" t="str">
        <f>"20190312150807623"</f>
        <v>20190312150807623</v>
      </c>
      <c r="B5728" t="str">
        <f>"1552374487615861"</f>
        <v>1552374487615861</v>
      </c>
      <c r="C5728" t="s">
        <v>40</v>
      </c>
      <c r="D5728">
        <v>4.5853900000000003</v>
      </c>
      <c r="E5728">
        <v>0.49821470000000001</v>
      </c>
      <c r="F5728" t="s">
        <v>61</v>
      </c>
      <c r="G5728">
        <v>-186.21039999999999</v>
      </c>
      <c r="H5728" s="1">
        <v>4.9324810000000003E-6</v>
      </c>
      <c r="I5728">
        <v>206.1771</v>
      </c>
      <c r="J5728">
        <v>-243.17099999999999</v>
      </c>
      <c r="K5728">
        <v>1.109985</v>
      </c>
      <c r="L5728">
        <v>216.0565</v>
      </c>
      <c r="M5728">
        <v>0.99970099999999995</v>
      </c>
      <c r="N5728">
        <v>0</v>
      </c>
      <c r="O5728">
        <v>2.0050599999999998E-2</v>
      </c>
      <c r="P5728">
        <v>0.98414690000000005</v>
      </c>
      <c r="Q5728">
        <v>-4.0614309999999999E-3</v>
      </c>
      <c r="R5728">
        <v>-0.17730989999999999</v>
      </c>
      <c r="S5728">
        <v>2.9561769999999998</v>
      </c>
      <c r="T5728">
        <v>-5.7341339999999998E-2</v>
      </c>
      <c r="U5728">
        <v>-0.51010129999999998</v>
      </c>
      <c r="V5728">
        <v>0.19701859999999999</v>
      </c>
      <c r="W5728">
        <v>9.4658559999999999E-3</v>
      </c>
      <c r="X5728">
        <v>0.98035410000000001</v>
      </c>
      <c r="Y5728">
        <v>0.1897295</v>
      </c>
      <c r="Z5728">
        <v>-2.2126580000000002E-3</v>
      </c>
      <c r="AA5728">
        <v>0.98183390000000004</v>
      </c>
      <c r="AB5728">
        <v>27</v>
      </c>
      <c r="AC5728">
        <v>56.960599999999999</v>
      </c>
      <c r="AD5728">
        <v>-1.1099800675189999</v>
      </c>
      <c r="AE5728">
        <v>-9.8794000000000004</v>
      </c>
      <c r="AF5728">
        <v>11.015558762891899</v>
      </c>
      <c r="AG5728">
        <v>-1.1099800675189999</v>
      </c>
      <c r="AH5728">
        <v>56.730126143591498</v>
      </c>
      <c r="AI5728">
        <v>91.100357869656904</v>
      </c>
      <c r="AJ5728">
        <v>79.011348622805599</v>
      </c>
      <c r="AK5728">
        <v>57.800361615450299</v>
      </c>
      <c r="AL5728">
        <v>89.457638327129999</v>
      </c>
      <c r="AM5728">
        <v>78.636815884064603</v>
      </c>
      <c r="AN5728">
        <v>1.0000000462812899</v>
      </c>
    </row>
    <row r="5729" spans="1:40" x14ac:dyDescent="0.25">
      <c r="A5729" t="str">
        <f>"20190312150807646"</f>
        <v>20190312150807646</v>
      </c>
      <c r="B5729" t="str">
        <f>"1552374487635381"</f>
        <v>1552374487635381</v>
      </c>
      <c r="C5729" t="s">
        <v>40</v>
      </c>
      <c r="D5729">
        <v>4.5775009999999998</v>
      </c>
      <c r="E5729">
        <v>0.49820740000000002</v>
      </c>
      <c r="F5729" t="s">
        <v>61</v>
      </c>
      <c r="G5729">
        <v>-183.25370000000001</v>
      </c>
      <c r="H5729" s="1">
        <v>4.4418670000000003E-6</v>
      </c>
      <c r="I5729">
        <v>205.55420000000001</v>
      </c>
      <c r="J5729">
        <v>-242.9118</v>
      </c>
      <c r="K5729">
        <v>1.1099559999999999</v>
      </c>
      <c r="L5729">
        <v>216.06110000000001</v>
      </c>
      <c r="M5729">
        <v>0.99971270000000001</v>
      </c>
      <c r="N5729">
        <v>0</v>
      </c>
      <c r="O5729">
        <v>1.94626E-2</v>
      </c>
      <c r="P5729">
        <v>0.98400730000000003</v>
      </c>
      <c r="Q5729">
        <v>-3.8984480000000001E-3</v>
      </c>
      <c r="R5729">
        <v>-0.1780862</v>
      </c>
      <c r="S5729">
        <v>2.954758</v>
      </c>
      <c r="T5729">
        <v>-5.4737569999999999E-2</v>
      </c>
      <c r="U5729">
        <v>-0.51791379999999998</v>
      </c>
      <c r="V5729">
        <v>0.19721630000000001</v>
      </c>
      <c r="W5729">
        <v>9.6122369999999992E-3</v>
      </c>
      <c r="X5729">
        <v>0.98031290000000004</v>
      </c>
      <c r="Y5729">
        <v>0.19175349999999999</v>
      </c>
      <c r="Z5729">
        <v>-2.1205159999999998E-3</v>
      </c>
      <c r="AA5729">
        <v>0.9814408</v>
      </c>
      <c r="AB5729">
        <v>27</v>
      </c>
      <c r="AC5729">
        <v>59.658099999999898</v>
      </c>
      <c r="AD5729">
        <v>-1.1099515581329999</v>
      </c>
      <c r="AE5729">
        <v>-10.5069</v>
      </c>
      <c r="AF5729">
        <v>11.662209364685101</v>
      </c>
      <c r="AG5729">
        <v>-1.1099515581329999</v>
      </c>
      <c r="AH5729">
        <v>59.422335626964298</v>
      </c>
      <c r="AI5729">
        <v>91.050077430779893</v>
      </c>
      <c r="AJ5729">
        <v>78.896276295328803</v>
      </c>
      <c r="AK5729">
        <v>60.566105133900898</v>
      </c>
      <c r="AL5729">
        <v>89.449250919577693</v>
      </c>
      <c r="AM5729">
        <v>78.625244913350599</v>
      </c>
      <c r="AN5729">
        <v>1.0000000229961199</v>
      </c>
    </row>
    <row r="5730" spans="1:40" x14ac:dyDescent="0.25">
      <c r="A5730" t="str">
        <f>"20190312150807668"</f>
        <v>20190312150807668</v>
      </c>
      <c r="B5730" t="str">
        <f>"1552374487665636"</f>
        <v>1552374487665636</v>
      </c>
      <c r="C5730" t="s">
        <v>40</v>
      </c>
      <c r="D5730">
        <v>4.5579809999999998</v>
      </c>
      <c r="E5730">
        <v>0.49795260000000002</v>
      </c>
      <c r="F5730" t="s">
        <v>61</v>
      </c>
      <c r="G5730">
        <v>-186.02809999999999</v>
      </c>
      <c r="H5730" s="1">
        <v>4.9267720000000001E-6</v>
      </c>
      <c r="I5730">
        <v>206.0461</v>
      </c>
      <c r="J5730">
        <v>-242.64179999999999</v>
      </c>
      <c r="K5730">
        <v>1.1099209999999999</v>
      </c>
      <c r="L5730">
        <v>216.06559999999999</v>
      </c>
      <c r="M5730">
        <v>0.99972539999999999</v>
      </c>
      <c r="N5730">
        <v>0</v>
      </c>
      <c r="O5730">
        <v>1.8801749999999999E-2</v>
      </c>
      <c r="P5730">
        <v>0.98384819999999995</v>
      </c>
      <c r="Q5730">
        <v>-4.0287179999999997E-3</v>
      </c>
      <c r="R5730">
        <v>-0.1789606</v>
      </c>
      <c r="S5730">
        <v>2.9544069999999998</v>
      </c>
      <c r="T5730">
        <v>-5.76483E-2</v>
      </c>
      <c r="U5730">
        <v>-0.52015690000000003</v>
      </c>
      <c r="V5730">
        <v>0.1974399</v>
      </c>
      <c r="W5730">
        <v>9.4625200000000003E-3</v>
      </c>
      <c r="X5730">
        <v>0.98026930000000001</v>
      </c>
      <c r="Y5730">
        <v>0.1918436</v>
      </c>
      <c r="Z5730">
        <v>-2.221439E-3</v>
      </c>
      <c r="AA5730">
        <v>0.98142300000000005</v>
      </c>
      <c r="AB5730">
        <v>27</v>
      </c>
      <c r="AC5730">
        <v>56.613700000000001</v>
      </c>
      <c r="AD5730">
        <v>-1.109916073228</v>
      </c>
      <c r="AE5730">
        <v>-10.019499999999899</v>
      </c>
      <c r="AF5730">
        <v>11.0781406158082</v>
      </c>
      <c r="AG5730">
        <v>-1.109916073228</v>
      </c>
      <c r="AH5730">
        <v>56.394270610794699</v>
      </c>
      <c r="AI5730">
        <v>91.106373950530795</v>
      </c>
      <c r="AJ5730">
        <v>78.886279976397404</v>
      </c>
      <c r="AK5730">
        <v>57.482787605654401</v>
      </c>
      <c r="AL5730">
        <v>89.457829436817093</v>
      </c>
      <c r="AM5730">
        <v>78.6121919423571</v>
      </c>
      <c r="AN5730">
        <v>0.99999997695962495</v>
      </c>
    </row>
    <row r="5731" spans="1:40" x14ac:dyDescent="0.25">
      <c r="A5731" t="str">
        <f>"20190312150807691"</f>
        <v>20190312150807691</v>
      </c>
      <c r="B5731" t="str">
        <f>"1552374487686134"</f>
        <v>1552374487686134</v>
      </c>
      <c r="C5731" t="s">
        <v>40</v>
      </c>
      <c r="D5731">
        <v>4.5526299999999997</v>
      </c>
      <c r="E5731">
        <v>0.49790489999999998</v>
      </c>
      <c r="F5731" t="s">
        <v>61</v>
      </c>
      <c r="G5731">
        <v>-188.79239999999999</v>
      </c>
      <c r="H5731" s="1">
        <v>5.2788080000000004E-6</v>
      </c>
      <c r="I5731">
        <v>206.57149999999999</v>
      </c>
      <c r="J5731">
        <v>-242.37309999999999</v>
      </c>
      <c r="K5731">
        <v>1.1098920000000001</v>
      </c>
      <c r="L5731">
        <v>216.06989999999999</v>
      </c>
      <c r="M5731">
        <v>0.99973820000000002</v>
      </c>
      <c r="N5731">
        <v>0</v>
      </c>
      <c r="O5731">
        <v>1.8103729999999998E-2</v>
      </c>
      <c r="P5731">
        <v>0.98370049999999998</v>
      </c>
      <c r="Q5731">
        <v>-4.6934469999999999E-3</v>
      </c>
      <c r="R5731">
        <v>-0.1797542</v>
      </c>
      <c r="S5731">
        <v>2.9542540000000002</v>
      </c>
      <c r="T5731">
        <v>-6.0891510000000003E-2</v>
      </c>
      <c r="U5731">
        <v>-0.52085879999999996</v>
      </c>
      <c r="V5731">
        <v>0.19754630000000001</v>
      </c>
      <c r="W5731">
        <v>8.7801919999999992E-3</v>
      </c>
      <c r="X5731">
        <v>0.98025419999999996</v>
      </c>
      <c r="Y5731">
        <v>0.1913889</v>
      </c>
      <c r="Z5731">
        <v>-2.3275240000000001E-3</v>
      </c>
      <c r="AA5731">
        <v>0.98151149999999998</v>
      </c>
      <c r="AB5731">
        <v>27</v>
      </c>
      <c r="AC5731">
        <v>53.5807</v>
      </c>
      <c r="AD5731">
        <v>-1.109886721192</v>
      </c>
      <c r="AE5731">
        <v>-9.4984000000000002</v>
      </c>
      <c r="AF5731">
        <v>10.4625960051972</v>
      </c>
      <c r="AG5731">
        <v>-1.109886721192</v>
      </c>
      <c r="AH5731">
        <v>53.377738237413404</v>
      </c>
      <c r="AI5731">
        <v>91.168945633611997</v>
      </c>
      <c r="AJ5731">
        <v>78.910026310494203</v>
      </c>
      <c r="AK5731">
        <v>54.404785663061602</v>
      </c>
      <c r="AL5731">
        <v>89.496925573276698</v>
      </c>
      <c r="AM5731">
        <v>78.606044624229298</v>
      </c>
      <c r="AN5731">
        <v>0.99999996451644202</v>
      </c>
    </row>
    <row r="5732" spans="1:40" x14ac:dyDescent="0.25">
      <c r="A5732" t="str">
        <f>"20190312150807713"</f>
        <v>20190312150807713</v>
      </c>
      <c r="B5732" t="str">
        <f>"1552374487705658"</f>
        <v>1552374487705658</v>
      </c>
      <c r="C5732" t="s">
        <v>40</v>
      </c>
      <c r="D5732">
        <v>4.5665399999999998</v>
      </c>
      <c r="E5732">
        <v>0.49796560000000001</v>
      </c>
      <c r="F5732" t="s">
        <v>61</v>
      </c>
      <c r="G5732">
        <v>-192.24289999999999</v>
      </c>
      <c r="H5732" s="1">
        <v>4.7579380000000004E-6</v>
      </c>
      <c r="I5732">
        <v>207.19640000000001</v>
      </c>
      <c r="J5732">
        <v>-242.10810000000001</v>
      </c>
      <c r="K5732">
        <v>1.1098570000000001</v>
      </c>
      <c r="L5732">
        <v>216.07390000000001</v>
      </c>
      <c r="M5732">
        <v>0.99975119999999895</v>
      </c>
      <c r="N5732">
        <v>0</v>
      </c>
      <c r="O5732">
        <v>1.737242E-2</v>
      </c>
      <c r="P5732">
        <v>0.98356350000000003</v>
      </c>
      <c r="Q5732">
        <v>-4.4446939999999999E-3</v>
      </c>
      <c r="R5732">
        <v>-0.18050849999999999</v>
      </c>
      <c r="S5732">
        <v>2.9538570000000002</v>
      </c>
      <c r="T5732">
        <v>-6.5398689999999995E-2</v>
      </c>
      <c r="U5732">
        <v>-0.52285769999999998</v>
      </c>
      <c r="V5732">
        <v>0.1975817</v>
      </c>
      <c r="W5732">
        <v>9.011926E-3</v>
      </c>
      <c r="X5732">
        <v>0.98024500000000003</v>
      </c>
      <c r="Y5732">
        <v>0.19133120000000001</v>
      </c>
      <c r="Z5732">
        <v>-2.4832420000000001E-3</v>
      </c>
      <c r="AA5732">
        <v>0.98152240000000002</v>
      </c>
      <c r="AB5732">
        <v>27</v>
      </c>
      <c r="AC5732">
        <v>49.865200000000002</v>
      </c>
      <c r="AD5732">
        <v>-1.1098522420619901</v>
      </c>
      <c r="AE5732">
        <v>-8.8774999999999906</v>
      </c>
      <c r="AF5732">
        <v>9.7378483051966302</v>
      </c>
      <c r="AG5732">
        <v>-1.1098522420619901</v>
      </c>
      <c r="AH5732">
        <v>49.679580482087196</v>
      </c>
      <c r="AI5732">
        <v>91.255895646788403</v>
      </c>
      <c r="AJ5732">
        <v>78.909881960537405</v>
      </c>
      <c r="AK5732">
        <v>50.637122533674898</v>
      </c>
      <c r="AL5732">
        <v>89.483647686289501</v>
      </c>
      <c r="AM5732">
        <v>78.603952106921795</v>
      </c>
      <c r="AN5732">
        <v>1.0000000015050501</v>
      </c>
    </row>
    <row r="5733" spans="1:40" x14ac:dyDescent="0.25">
      <c r="A5733" t="str">
        <f>"20190312150807735"</f>
        <v>20190312150807735</v>
      </c>
      <c r="B5733" t="str">
        <f>"1552374487726149"</f>
        <v>1552374487726149</v>
      </c>
      <c r="C5733" t="s">
        <v>40</v>
      </c>
      <c r="D5733">
        <v>4.5347559999999998</v>
      </c>
      <c r="E5733">
        <v>0.49783230000000001</v>
      </c>
      <c r="F5733" t="s">
        <v>61</v>
      </c>
      <c r="G5733">
        <v>-188.5849</v>
      </c>
      <c r="H5733" s="1">
        <v>5.250755E-6</v>
      </c>
      <c r="I5733">
        <v>206.54679999999999</v>
      </c>
      <c r="J5733">
        <v>-241.8417</v>
      </c>
      <c r="K5733">
        <v>1.109823</v>
      </c>
      <c r="L5733">
        <v>216.07769999999999</v>
      </c>
      <c r="M5733">
        <v>0.9997646</v>
      </c>
      <c r="N5733">
        <v>0</v>
      </c>
      <c r="O5733">
        <v>1.658832E-2</v>
      </c>
      <c r="P5733">
        <v>0.9834387</v>
      </c>
      <c r="Q5733">
        <v>-4.3951040000000004E-3</v>
      </c>
      <c r="R5733">
        <v>-0.18118909999999999</v>
      </c>
      <c r="S5733">
        <v>2.953354</v>
      </c>
      <c r="T5733">
        <v>-6.1240429999999998E-2</v>
      </c>
      <c r="U5733">
        <v>-0.52569580000000005</v>
      </c>
      <c r="V5733">
        <v>0.197492</v>
      </c>
      <c r="W5733">
        <v>9.0443490000000001E-3</v>
      </c>
      <c r="X5733">
        <v>0.98026279999999999</v>
      </c>
      <c r="Y5733">
        <v>0.19151080000000001</v>
      </c>
      <c r="Z5733">
        <v>-2.3112860000000001E-3</v>
      </c>
      <c r="AA5733">
        <v>0.98148780000000002</v>
      </c>
      <c r="AB5733">
        <v>27</v>
      </c>
      <c r="AC5733">
        <v>53.256799999999998</v>
      </c>
      <c r="AD5733">
        <v>-1.1098177492450001</v>
      </c>
      <c r="AE5733">
        <v>-9.5309000000000008</v>
      </c>
      <c r="AF5733">
        <v>10.4087357161592</v>
      </c>
      <c r="AG5733">
        <v>-1.1098177492450001</v>
      </c>
      <c r="AH5733">
        <v>53.069022837618498</v>
      </c>
      <c r="AI5733">
        <v>91.175642913932506</v>
      </c>
      <c r="AJ5733">
        <v>78.903111252249502</v>
      </c>
      <c r="AK5733">
        <v>54.091539630380801</v>
      </c>
      <c r="AL5733">
        <v>89.481789921016301</v>
      </c>
      <c r="AM5733">
        <v>78.609191942473501</v>
      </c>
      <c r="AN5733">
        <v>1.00000002368833</v>
      </c>
    </row>
    <row r="5734" spans="1:40" x14ac:dyDescent="0.25">
      <c r="A5734" t="str">
        <f>"20190312150807758"</f>
        <v>20190312150807758</v>
      </c>
      <c r="B5734" t="str">
        <f>"1552374487745669"</f>
        <v>1552374487745669</v>
      </c>
      <c r="C5734" t="s">
        <v>40</v>
      </c>
      <c r="D5734">
        <v>4.9149229999999999</v>
      </c>
      <c r="E5734">
        <v>0.49787710000000002</v>
      </c>
      <c r="F5734" t="s">
        <v>61</v>
      </c>
      <c r="G5734">
        <v>-188.9307</v>
      </c>
      <c r="H5734" s="1">
        <v>5.277189E-6</v>
      </c>
      <c r="I5734">
        <v>206.6455</v>
      </c>
      <c r="J5734">
        <v>-241.5788</v>
      </c>
      <c r="K5734">
        <v>1.109796</v>
      </c>
      <c r="L5734">
        <v>216.08109999999999</v>
      </c>
      <c r="M5734">
        <v>0.99977800000000006</v>
      </c>
      <c r="N5734">
        <v>0</v>
      </c>
      <c r="O5734">
        <v>1.576408E-2</v>
      </c>
      <c r="P5734">
        <v>0.98333020000000004</v>
      </c>
      <c r="Q5734">
        <v>-4.0778419999999999E-3</v>
      </c>
      <c r="R5734">
        <v>-0.1817838</v>
      </c>
      <c r="S5734">
        <v>2.9532470000000002</v>
      </c>
      <c r="T5734">
        <v>-6.1944840000000001E-2</v>
      </c>
      <c r="U5734">
        <v>-0.52645869999999995</v>
      </c>
      <c r="V5734">
        <v>0.19727790000000001</v>
      </c>
      <c r="W5734">
        <v>9.3442679999999993E-3</v>
      </c>
      <c r="X5734">
        <v>0.98030300000000004</v>
      </c>
      <c r="Y5734">
        <v>0.1909527</v>
      </c>
      <c r="Z5734">
        <v>-2.3149260000000001E-3</v>
      </c>
      <c r="AA5734">
        <v>0.98159649999999998</v>
      </c>
      <c r="AB5734">
        <v>27</v>
      </c>
      <c r="AC5734">
        <v>52.648099999999999</v>
      </c>
      <c r="AD5734">
        <v>-1.109790722811</v>
      </c>
      <c r="AE5734">
        <v>-9.4355999999999902</v>
      </c>
      <c r="AF5734">
        <v>10.2600401874683</v>
      </c>
      <c r="AG5734">
        <v>-1.109790722811</v>
      </c>
      <c r="AH5734">
        <v>52.470209407040002</v>
      </c>
      <c r="AI5734">
        <v>91.189160614001295</v>
      </c>
      <c r="AJ5734">
        <v>78.935971448634106</v>
      </c>
      <c r="AK5734">
        <v>53.4754423573618</v>
      </c>
      <c r="AL5734">
        <v>89.464605051116195</v>
      </c>
      <c r="AM5734">
        <v>78.621672789577602</v>
      </c>
      <c r="AN5734">
        <v>0.99999992849093</v>
      </c>
    </row>
    <row r="5735" spans="1:40" x14ac:dyDescent="0.25">
      <c r="A5735" t="str">
        <f>"20190312150807780"</f>
        <v>20190312150807780</v>
      </c>
      <c r="B5735" t="str">
        <f>"1552374487775924"</f>
        <v>1552374487775924</v>
      </c>
      <c r="C5735" t="s">
        <v>40</v>
      </c>
      <c r="D5735">
        <v>4.48712</v>
      </c>
      <c r="E5735">
        <v>0.49818259999999998</v>
      </c>
      <c r="F5735" t="s">
        <v>61</v>
      </c>
      <c r="G5735">
        <v>-187.6918</v>
      </c>
      <c r="H5735" s="1">
        <v>5.1323019999999996E-6</v>
      </c>
      <c r="I5735">
        <v>206.43369999999999</v>
      </c>
      <c r="J5735">
        <v>-241.3142</v>
      </c>
      <c r="K5735">
        <v>1.1097619999999999</v>
      </c>
      <c r="L5735">
        <v>216.08430000000001</v>
      </c>
      <c r="M5735">
        <v>0.9997914</v>
      </c>
      <c r="N5735">
        <v>0</v>
      </c>
      <c r="O5735">
        <v>1.488332E-2</v>
      </c>
      <c r="P5735">
        <v>0.98314060000000003</v>
      </c>
      <c r="Q5735">
        <v>-3.7647599999999998E-3</v>
      </c>
      <c r="R5735">
        <v>-0.1828128</v>
      </c>
      <c r="S5735">
        <v>2.9528810000000001</v>
      </c>
      <c r="T5735">
        <v>-6.0813899999999997E-2</v>
      </c>
      <c r="U5735">
        <v>-0.52865600000000001</v>
      </c>
      <c r="V5735">
        <v>0.1974417</v>
      </c>
      <c r="W5735">
        <v>9.6370320000000002E-3</v>
      </c>
      <c r="X5735">
        <v>0.98026729999999995</v>
      </c>
      <c r="Y5735">
        <v>0.19081870000000001</v>
      </c>
      <c r="Z5735">
        <v>-2.2534249999999999E-3</v>
      </c>
      <c r="AA5735">
        <v>0.98162269999999896</v>
      </c>
      <c r="AB5735">
        <v>26</v>
      </c>
      <c r="AC5735">
        <v>53.622399999999999</v>
      </c>
      <c r="AD5735">
        <v>-1.1097568676980001</v>
      </c>
      <c r="AE5735">
        <v>-9.6506000000000203</v>
      </c>
      <c r="AF5735">
        <v>10.4433555763678</v>
      </c>
      <c r="AG5735">
        <v>-1.1097568676980001</v>
      </c>
      <c r="AH5735">
        <v>53.450637019636702</v>
      </c>
      <c r="AI5735">
        <v>91.167353238698098</v>
      </c>
      <c r="AJ5735">
        <v>78.944642018425796</v>
      </c>
      <c r="AK5735">
        <v>54.472615448542697</v>
      </c>
      <c r="AL5735">
        <v>89.447830213440398</v>
      </c>
      <c r="AM5735">
        <v>78.612068208599197</v>
      </c>
      <c r="AN5735">
        <v>1.00000003836697</v>
      </c>
    </row>
    <row r="5736" spans="1:40" x14ac:dyDescent="0.25">
      <c r="A5736" t="str">
        <f>"20190312150807803"</f>
        <v>20190312150807803</v>
      </c>
      <c r="B5736" t="str">
        <f>"1552374487795449"</f>
        <v>1552374487795449</v>
      </c>
      <c r="C5736" t="s">
        <v>40</v>
      </c>
      <c r="D5736">
        <v>4.4679250000000001</v>
      </c>
      <c r="E5736">
        <v>0.49826039999999999</v>
      </c>
      <c r="F5736" t="s">
        <v>61</v>
      </c>
      <c r="G5736">
        <v>-182.9153</v>
      </c>
      <c r="H5736" s="1">
        <v>4.3764670000000001E-6</v>
      </c>
      <c r="I5736">
        <v>205.51779999999999</v>
      </c>
      <c r="J5736">
        <v>-241.042</v>
      </c>
      <c r="K5736">
        <v>1.1097300000000001</v>
      </c>
      <c r="L5736">
        <v>216.0873</v>
      </c>
      <c r="M5736">
        <v>0.99980530000000001</v>
      </c>
      <c r="N5736">
        <v>0</v>
      </c>
      <c r="O5736">
        <v>1.392385E-2</v>
      </c>
      <c r="P5736">
        <v>0.98297829999999997</v>
      </c>
      <c r="Q5736">
        <v>-3.7826050000000001E-3</v>
      </c>
      <c r="R5736">
        <v>-0.1836835</v>
      </c>
      <c r="S5736">
        <v>2.9519500000000001</v>
      </c>
      <c r="T5736">
        <v>-5.609608E-2</v>
      </c>
      <c r="U5736">
        <v>-0.53411869999999995</v>
      </c>
      <c r="V5736">
        <v>0.19736980000000001</v>
      </c>
      <c r="W5736">
        <v>9.5988879999999999E-3</v>
      </c>
      <c r="X5736">
        <v>0.98028210000000005</v>
      </c>
      <c r="Y5736">
        <v>0.19169600000000001</v>
      </c>
      <c r="Z5736">
        <v>-2.0691210000000002E-3</v>
      </c>
      <c r="AA5736">
        <v>0.9814522</v>
      </c>
      <c r="AB5736">
        <v>26</v>
      </c>
      <c r="AC5736">
        <v>58.1267</v>
      </c>
      <c r="AD5736">
        <v>-1.109725623533</v>
      </c>
      <c r="AE5736">
        <v>-10.5695</v>
      </c>
      <c r="AF5736">
        <v>11.373888819023501</v>
      </c>
      <c r="AG5736">
        <v>-1.109725623533</v>
      </c>
      <c r="AH5736">
        <v>57.953434386778497</v>
      </c>
      <c r="AI5736">
        <v>91.076467758863899</v>
      </c>
      <c r="AJ5736">
        <v>78.896309080497204</v>
      </c>
      <c r="AK5736">
        <v>59.069428599315799</v>
      </c>
      <c r="AL5736">
        <v>89.450015775910501</v>
      </c>
      <c r="AM5736">
        <v>78.616274300089401</v>
      </c>
      <c r="AN5736">
        <v>0.99999998609164298</v>
      </c>
    </row>
    <row r="5737" spans="1:40" x14ac:dyDescent="0.25">
      <c r="A5737" t="str">
        <f>"20190312150807825"</f>
        <v>20190312150807825</v>
      </c>
      <c r="B5737" t="str">
        <f>"1552374487815941"</f>
        <v>1552374487815941</v>
      </c>
      <c r="C5737" t="s">
        <v>40</v>
      </c>
      <c r="D5737">
        <v>4.5088140000000001</v>
      </c>
      <c r="E5737">
        <v>0.49817119999999998</v>
      </c>
      <c r="F5737" t="s">
        <v>61</v>
      </c>
      <c r="G5737">
        <v>-182.10239999999999</v>
      </c>
      <c r="H5737" s="1">
        <v>4.2396169999999999E-6</v>
      </c>
      <c r="I5737">
        <v>205.35390000000001</v>
      </c>
      <c r="J5737">
        <v>-240.786</v>
      </c>
      <c r="K5737">
        <v>1.109699</v>
      </c>
      <c r="L5737">
        <v>216.0898</v>
      </c>
      <c r="M5737">
        <v>0.99981830000000005</v>
      </c>
      <c r="N5737">
        <v>0</v>
      </c>
      <c r="O5737">
        <v>1.2969970000000001E-2</v>
      </c>
      <c r="P5737">
        <v>0.98280900000000004</v>
      </c>
      <c r="Q5737">
        <v>-3.4417089999999998E-3</v>
      </c>
      <c r="R5737">
        <v>-0.18459490000000001</v>
      </c>
      <c r="S5737">
        <v>2.9513090000000002</v>
      </c>
      <c r="T5737">
        <v>-5.5567739999999997E-2</v>
      </c>
      <c r="U5737">
        <v>-0.5374603</v>
      </c>
      <c r="V5737">
        <v>0.19734489999999999</v>
      </c>
      <c r="W5737">
        <v>9.9207370000000007E-3</v>
      </c>
      <c r="X5737">
        <v>0.98028389999999999</v>
      </c>
      <c r="Y5737">
        <v>0.19187360000000001</v>
      </c>
      <c r="Z5737">
        <v>-2.0337039999999999E-3</v>
      </c>
      <c r="AA5737">
        <v>0.98141750000000005</v>
      </c>
      <c r="AB5737">
        <v>26</v>
      </c>
      <c r="AC5737">
        <v>58.683599999999899</v>
      </c>
      <c r="AD5737">
        <v>-1.1096947603829901</v>
      </c>
      <c r="AE5737">
        <v>-10.7358999999999</v>
      </c>
      <c r="AF5737">
        <v>11.492219288577701</v>
      </c>
      <c r="AG5737">
        <v>-1.1096947603829901</v>
      </c>
      <c r="AH5737">
        <v>58.519157429835602</v>
      </c>
      <c r="AI5737">
        <v>91.066008838967903</v>
      </c>
      <c r="AJ5737">
        <v>78.889424893234207</v>
      </c>
      <c r="AK5737">
        <v>59.647248997215797</v>
      </c>
      <c r="AL5737">
        <v>89.431574303068302</v>
      </c>
      <c r="AM5737">
        <v>78.617693324641095</v>
      </c>
      <c r="AN5737">
        <v>0.99999997758892101</v>
      </c>
    </row>
    <row r="5738" spans="1:40" x14ac:dyDescent="0.25">
      <c r="A5738" t="str">
        <f>"20190312150807847"</f>
        <v>20190312150807847</v>
      </c>
      <c r="B5738" t="str">
        <f>"1552374487835461"</f>
        <v>1552374487835461</v>
      </c>
      <c r="C5738" t="s">
        <v>40</v>
      </c>
      <c r="D5738">
        <v>4.4826930000000003</v>
      </c>
      <c r="E5738">
        <v>0.49823269999999997</v>
      </c>
      <c r="F5738" t="s">
        <v>61</v>
      </c>
      <c r="G5738">
        <v>-183.33330000000001</v>
      </c>
      <c r="H5738" s="1">
        <v>4.4507380000000002E-6</v>
      </c>
      <c r="I5738">
        <v>205.5873</v>
      </c>
      <c r="J5738">
        <v>-240.5299</v>
      </c>
      <c r="K5738">
        <v>1.109675</v>
      </c>
      <c r="L5738">
        <v>216.09200000000001</v>
      </c>
      <c r="M5738">
        <v>0.99983069999999996</v>
      </c>
      <c r="N5738">
        <v>0</v>
      </c>
      <c r="O5738">
        <v>1.196962E-2</v>
      </c>
      <c r="P5738">
        <v>0.98258990000000002</v>
      </c>
      <c r="Q5738">
        <v>-3.0583799999999999E-3</v>
      </c>
      <c r="R5738">
        <v>-0.18576300000000001</v>
      </c>
      <c r="S5738">
        <v>2.950958</v>
      </c>
      <c r="T5738">
        <v>-5.6997539999999999E-2</v>
      </c>
      <c r="U5738">
        <v>-0.53944399999999904</v>
      </c>
      <c r="V5738">
        <v>0.19753109999999999</v>
      </c>
      <c r="W5738">
        <v>1.028598E-2</v>
      </c>
      <c r="X5738">
        <v>0.98024270000000002</v>
      </c>
      <c r="Y5738">
        <v>0.1915492</v>
      </c>
      <c r="Z5738">
        <v>-2.063863E-3</v>
      </c>
      <c r="AA5738">
        <v>0.98148080000000004</v>
      </c>
      <c r="AB5738">
        <v>26</v>
      </c>
      <c r="AC5738">
        <v>57.196599999999897</v>
      </c>
      <c r="AD5738">
        <v>-1.109670549262</v>
      </c>
      <c r="AE5738">
        <v>-10.5047</v>
      </c>
      <c r="AF5738">
        <v>11.1845632598016</v>
      </c>
      <c r="AG5738">
        <v>-1.109670549262</v>
      </c>
      <c r="AH5738">
        <v>57.045980798944797</v>
      </c>
      <c r="AI5738">
        <v>91.093573834934602</v>
      </c>
      <c r="AJ5738">
        <v>78.907169876471499</v>
      </c>
      <c r="AK5738">
        <v>58.1426672019265</v>
      </c>
      <c r="AL5738">
        <v>89.410646390987594</v>
      </c>
      <c r="AM5738">
        <v>78.606768226161194</v>
      </c>
      <c r="AN5738">
        <v>1.0000000438775201</v>
      </c>
    </row>
    <row r="5739" spans="1:40" x14ac:dyDescent="0.25">
      <c r="A5739" t="str">
        <f>"20190312150807869"</f>
        <v>20190312150807869</v>
      </c>
      <c r="B5739" t="str">
        <f>"1552374487865717"</f>
        <v>1552374487865717</v>
      </c>
      <c r="C5739" t="s">
        <v>40</v>
      </c>
      <c r="D5739">
        <v>4.4758190000000004</v>
      </c>
      <c r="E5739">
        <v>0.49842439999999999</v>
      </c>
      <c r="F5739" t="s">
        <v>61</v>
      </c>
      <c r="G5739">
        <v>-181.828</v>
      </c>
      <c r="H5739" s="1">
        <v>4.1977529999999996E-6</v>
      </c>
      <c r="I5739">
        <v>205.28219999999999</v>
      </c>
      <c r="J5739">
        <v>-240.2662</v>
      </c>
      <c r="K5739">
        <v>1.109653</v>
      </c>
      <c r="L5739">
        <v>216.09399999999999</v>
      </c>
      <c r="M5739">
        <v>0.99984289999999998</v>
      </c>
      <c r="N5739">
        <v>0</v>
      </c>
      <c r="O5739">
        <v>1.0903639999999999E-2</v>
      </c>
      <c r="P5739">
        <v>0.98231210000000002</v>
      </c>
      <c r="Q5739">
        <v>-2.2664439999999998E-3</v>
      </c>
      <c r="R5739">
        <v>-0.18723809999999999</v>
      </c>
      <c r="S5739">
        <v>2.9502869999999999</v>
      </c>
      <c r="T5739">
        <v>-5.5770640000000003E-2</v>
      </c>
      <c r="U5739">
        <v>-0.54328920000000003</v>
      </c>
      <c r="V5739">
        <v>0.19795989999999999</v>
      </c>
      <c r="W5739">
        <v>1.106175E-2</v>
      </c>
      <c r="X5739">
        <v>0.98014769999999896</v>
      </c>
      <c r="Y5739">
        <v>0.19178149999999999</v>
      </c>
      <c r="Z5739">
        <v>-2.0018470000000002E-3</v>
      </c>
      <c r="AA5739">
        <v>0.98143559999999996</v>
      </c>
      <c r="AB5739">
        <v>26</v>
      </c>
      <c r="AC5739">
        <v>58.438200000000002</v>
      </c>
      <c r="AD5739">
        <v>-1.1096488022469999</v>
      </c>
      <c r="AE5739">
        <v>-10.8118</v>
      </c>
      <c r="AF5739">
        <v>11.444418644366699</v>
      </c>
      <c r="AG5739">
        <v>-1.1096488022469999</v>
      </c>
      <c r="AH5739">
        <v>58.296502182021698</v>
      </c>
      <c r="AI5739">
        <v>91.070049193953096</v>
      </c>
      <c r="AJ5739">
        <v>78.893281023223693</v>
      </c>
      <c r="AK5739">
        <v>59.419594455283203</v>
      </c>
      <c r="AL5739">
        <v>89.366195484301301</v>
      </c>
      <c r="AM5739">
        <v>78.581607150258606</v>
      </c>
      <c r="AN5739">
        <v>0.99999999906818104</v>
      </c>
    </row>
    <row r="5740" spans="1:40" x14ac:dyDescent="0.25">
      <c r="A5740" t="str">
        <f>"20190312150807892"</f>
        <v>20190312150807892</v>
      </c>
      <c r="B5740" t="str">
        <f>"1552374487886218"</f>
        <v>1552374487886218</v>
      </c>
      <c r="C5740" t="s">
        <v>40</v>
      </c>
      <c r="D5740">
        <v>4.451225</v>
      </c>
      <c r="E5740">
        <v>0.49864809999999998</v>
      </c>
      <c r="F5740" t="s">
        <v>61</v>
      </c>
      <c r="G5740">
        <v>-179.9537</v>
      </c>
      <c r="H5740">
        <v>5.4097190000000003E-2</v>
      </c>
      <c r="I5740">
        <v>204.8622</v>
      </c>
      <c r="J5740">
        <v>-240.00069999999999</v>
      </c>
      <c r="K5740">
        <v>1.109637</v>
      </c>
      <c r="L5740">
        <v>216.09569999999999</v>
      </c>
      <c r="M5740">
        <v>0.99985440000000003</v>
      </c>
      <c r="N5740">
        <v>0</v>
      </c>
      <c r="O5740">
        <v>9.8010259999999991E-3</v>
      </c>
      <c r="P5740">
        <v>0.98202900000000004</v>
      </c>
      <c r="Q5740">
        <v>-1.769655E-3</v>
      </c>
      <c r="R5740">
        <v>-0.18872340000000001</v>
      </c>
      <c r="S5740">
        <v>2.9492340000000001</v>
      </c>
      <c r="T5740">
        <v>-5.1615830000000001E-2</v>
      </c>
      <c r="U5740">
        <v>-0.54922490000000002</v>
      </c>
      <c r="V5740">
        <v>0.1983625</v>
      </c>
      <c r="W5740">
        <v>1.1544749999999999E-2</v>
      </c>
      <c r="X5740">
        <v>0.98006079999999995</v>
      </c>
      <c r="Y5740">
        <v>0.19267619999999999</v>
      </c>
      <c r="Z5740">
        <v>-1.841671E-3</v>
      </c>
      <c r="AA5740">
        <v>0.98126069999999999</v>
      </c>
      <c r="AB5740">
        <v>26</v>
      </c>
      <c r="AC5740">
        <v>60.046999999999997</v>
      </c>
      <c r="AD5740">
        <v>-1.05553981</v>
      </c>
      <c r="AE5740">
        <v>-11.2334999999999</v>
      </c>
      <c r="AF5740">
        <v>11.818011620996399</v>
      </c>
      <c r="AG5740">
        <v>-1.05553981</v>
      </c>
      <c r="AH5740">
        <v>59.916116375494703</v>
      </c>
      <c r="AI5740">
        <v>90.990199057103794</v>
      </c>
      <c r="AJ5740">
        <v>78.842057748482901</v>
      </c>
      <c r="AK5740">
        <v>61.079624789992998</v>
      </c>
      <c r="AL5740">
        <v>89.338519899532997</v>
      </c>
      <c r="AM5740">
        <v>78.558009149579803</v>
      </c>
      <c r="AN5740">
        <v>1.0000000671777201</v>
      </c>
    </row>
    <row r="5741" spans="1:40" x14ac:dyDescent="0.25">
      <c r="A5741" t="str">
        <f>"20190312150807909"</f>
        <v>20190312150807909</v>
      </c>
      <c r="B5741" t="str">
        <f>"1552374487905735"</f>
        <v>1552374487905735</v>
      </c>
      <c r="C5741" t="s">
        <v>40</v>
      </c>
      <c r="D5741">
        <v>4.4904489999999999</v>
      </c>
      <c r="E5741">
        <v>0.49886459999999999</v>
      </c>
      <c r="F5741" t="s">
        <v>61</v>
      </c>
      <c r="G5741">
        <v>-177.82239999999999</v>
      </c>
      <c r="H5741">
        <v>8.0001559999999999E-2</v>
      </c>
      <c r="I5741">
        <v>204.37549999999999</v>
      </c>
      <c r="J5741">
        <v>-239.7944</v>
      </c>
      <c r="K5741">
        <v>1.109629</v>
      </c>
      <c r="L5741">
        <v>216.0967</v>
      </c>
      <c r="M5741">
        <v>0.99986249999999999</v>
      </c>
      <c r="N5741">
        <v>0</v>
      </c>
      <c r="O5741">
        <v>8.928676E-3</v>
      </c>
      <c r="P5741">
        <v>0.98181719999999895</v>
      </c>
      <c r="Q5741">
        <v>-1.5759260000000001E-3</v>
      </c>
      <c r="R5741">
        <v>-0.18982170000000001</v>
      </c>
      <c r="S5741">
        <v>2.948013</v>
      </c>
      <c r="T5741">
        <v>-4.8817399999999997E-2</v>
      </c>
      <c r="U5741">
        <v>-0.55567929999999999</v>
      </c>
      <c r="V5741">
        <v>0.1986048</v>
      </c>
      <c r="W5741">
        <v>1.1729750000000001E-2</v>
      </c>
      <c r="X5741">
        <v>0.98000940000000003</v>
      </c>
      <c r="Y5741">
        <v>0.1939717</v>
      </c>
      <c r="Z5741">
        <v>-1.738503E-3</v>
      </c>
      <c r="AA5741">
        <v>0.98100560000000003</v>
      </c>
      <c r="AB5741">
        <v>26</v>
      </c>
      <c r="AC5741">
        <v>61.972000000000001</v>
      </c>
      <c r="AD5741">
        <v>-1.0296274400000001</v>
      </c>
      <c r="AE5741">
        <v>-11.7212</v>
      </c>
      <c r="AF5741">
        <v>12.270844387117201</v>
      </c>
      <c r="AG5741">
        <v>-1.0296274400000001</v>
      </c>
      <c r="AH5741">
        <v>61.848381332305799</v>
      </c>
      <c r="AI5741">
        <v>90.935517904031499</v>
      </c>
      <c r="AJ5741">
        <v>78.778130053675895</v>
      </c>
      <c r="AK5741">
        <v>63.062318606790498</v>
      </c>
      <c r="AL5741">
        <v>89.327919376962299</v>
      </c>
      <c r="AM5741">
        <v>78.543817093159603</v>
      </c>
      <c r="AN5741">
        <v>0.99999993885322902</v>
      </c>
    </row>
    <row r="5742" spans="1:40" x14ac:dyDescent="0.25">
      <c r="A5742" t="str">
        <f>"20190312150807925"</f>
        <v>20190312150807925</v>
      </c>
      <c r="B5742" t="str">
        <f>"1552374487915493"</f>
        <v>1552374487915493</v>
      </c>
      <c r="C5742" t="s">
        <v>40</v>
      </c>
      <c r="D5742">
        <v>4.4494550000000004</v>
      </c>
      <c r="E5742">
        <v>0.4989632</v>
      </c>
      <c r="F5742" t="s">
        <v>61</v>
      </c>
      <c r="G5742">
        <v>-174.959</v>
      </c>
      <c r="H5742">
        <v>8.0001199999999995E-2</v>
      </c>
      <c r="I5742">
        <v>203.76560000000001</v>
      </c>
      <c r="J5742">
        <v>-239.60640000000001</v>
      </c>
      <c r="K5742">
        <v>1.1096170000000001</v>
      </c>
      <c r="L5742">
        <v>216.0975</v>
      </c>
      <c r="M5742">
        <v>0.99986949999999997</v>
      </c>
      <c r="N5742">
        <v>0</v>
      </c>
      <c r="O5742">
        <v>8.1238579999999994E-3</v>
      </c>
      <c r="P5742">
        <v>0.98155879999999995</v>
      </c>
      <c r="Q5742">
        <v>-1.4115200000000001E-3</v>
      </c>
      <c r="R5742">
        <v>-0.19115589999999999</v>
      </c>
      <c r="S5742">
        <v>2.9471129999999999</v>
      </c>
      <c r="T5742">
        <v>-4.6802040000000003E-2</v>
      </c>
      <c r="U5742">
        <v>-0.56051640000000003</v>
      </c>
      <c r="V5742">
        <v>0.1991483</v>
      </c>
      <c r="W5742">
        <v>1.1886620000000001E-2</v>
      </c>
      <c r="X5742">
        <v>0.97989729999999997</v>
      </c>
      <c r="Y5742">
        <v>0.1947931</v>
      </c>
      <c r="Z5742">
        <v>-1.660779E-3</v>
      </c>
      <c r="AA5742">
        <v>0.98084289999999996</v>
      </c>
      <c r="AB5742">
        <v>26</v>
      </c>
      <c r="AC5742">
        <v>64.647400000000005</v>
      </c>
      <c r="AD5742">
        <v>-1.0296158</v>
      </c>
      <c r="AE5742">
        <v>-12.3318999999999</v>
      </c>
      <c r="AF5742">
        <v>12.8535845483737</v>
      </c>
      <c r="AG5742">
        <v>-1.0296158</v>
      </c>
      <c r="AH5742">
        <v>64.529280248373993</v>
      </c>
      <c r="AI5742">
        <v>90.896512649914499</v>
      </c>
      <c r="AJ5742">
        <v>78.734701444524902</v>
      </c>
      <c r="AK5742">
        <v>65.805035930474205</v>
      </c>
      <c r="AL5742">
        <v>89.318930821400897</v>
      </c>
      <c r="AM5742">
        <v>78.512019302636801</v>
      </c>
      <c r="AN5742">
        <v>1.0000000278376</v>
      </c>
    </row>
    <row r="5743" spans="1:40" x14ac:dyDescent="0.25">
      <c r="A5743" t="str">
        <f>"20190312150807948"</f>
        <v>20190312150807948</v>
      </c>
      <c r="B5743" t="str">
        <f>"1552374487935989"</f>
        <v>1552374487935989</v>
      </c>
      <c r="C5743" t="s">
        <v>40</v>
      </c>
      <c r="D5743">
        <v>4.4703099999999996</v>
      </c>
      <c r="E5743">
        <v>0.49911480000000003</v>
      </c>
      <c r="F5743" t="s">
        <v>57</v>
      </c>
      <c r="G5743">
        <v>-168.4118</v>
      </c>
      <c r="H5743">
        <v>1.450539E-2</v>
      </c>
      <c r="I5743">
        <v>202.4393</v>
      </c>
      <c r="J5743">
        <v>-239.34270000000001</v>
      </c>
      <c r="K5743">
        <v>1.1096109999999999</v>
      </c>
      <c r="L5743">
        <v>216.0984</v>
      </c>
      <c r="M5743">
        <v>0.99987820000000005</v>
      </c>
      <c r="N5743">
        <v>0</v>
      </c>
      <c r="O5743">
        <v>6.9856409999999999E-3</v>
      </c>
      <c r="P5743">
        <v>0.98125320000000005</v>
      </c>
      <c r="Q5743">
        <v>-1.6372559999999999E-3</v>
      </c>
      <c r="R5743">
        <v>-0.19271769999999999</v>
      </c>
      <c r="S5743">
        <v>2.9462280000000001</v>
      </c>
      <c r="T5743">
        <v>-4.5317410000000002E-2</v>
      </c>
      <c r="U5743">
        <v>-0.5652161</v>
      </c>
      <c r="V5743">
        <v>0.19959170000000001</v>
      </c>
      <c r="W5743">
        <v>1.165251E-2</v>
      </c>
      <c r="X5743">
        <v>0.97980990000000001</v>
      </c>
      <c r="Y5743">
        <v>0.19524169999999999</v>
      </c>
      <c r="Z5743">
        <v>-1.594402E-3</v>
      </c>
      <c r="AA5743">
        <v>0.98075380000000001</v>
      </c>
      <c r="AB5743">
        <v>26</v>
      </c>
      <c r="AC5743">
        <v>70.930899999999994</v>
      </c>
      <c r="AD5743">
        <v>-1.0951056100000001</v>
      </c>
      <c r="AE5743">
        <v>-13.659099999999899</v>
      </c>
      <c r="AF5743">
        <v>14.1510602281954</v>
      </c>
      <c r="AG5743">
        <v>-1.0951056100000001</v>
      </c>
      <c r="AH5743">
        <v>70.817465332399095</v>
      </c>
      <c r="AI5743">
        <v>90.868766287334196</v>
      </c>
      <c r="AJ5743">
        <v>78.699739917284703</v>
      </c>
      <c r="AK5743">
        <v>72.225792885814798</v>
      </c>
      <c r="AL5743">
        <v>89.332345269194093</v>
      </c>
      <c r="AM5743">
        <v>78.486124210157897</v>
      </c>
      <c r="AN5743">
        <v>1.0000000339180899</v>
      </c>
    </row>
    <row r="5744" spans="1:40" x14ac:dyDescent="0.25">
      <c r="A5744" t="str">
        <f>"20190312150807971"</f>
        <v>20190312150807971</v>
      </c>
      <c r="B5744" t="str">
        <f>"1552374487966245"</f>
        <v>1552374487966245</v>
      </c>
      <c r="C5744" t="s">
        <v>40</v>
      </c>
      <c r="D5744">
        <v>4.4038309999999896</v>
      </c>
      <c r="E5744">
        <v>0.49951820000000002</v>
      </c>
      <c r="F5744" t="s">
        <v>57</v>
      </c>
      <c r="G5744">
        <v>-168.4119</v>
      </c>
      <c r="H5744">
        <v>4.7130579999999998E-2</v>
      </c>
      <c r="I5744">
        <v>202.3398</v>
      </c>
      <c r="J5744">
        <v>-239.0779</v>
      </c>
      <c r="K5744">
        <v>1.10961</v>
      </c>
      <c r="L5744">
        <v>216.09899999999999</v>
      </c>
      <c r="M5744">
        <v>0.99988560000000004</v>
      </c>
      <c r="N5744">
        <v>0</v>
      </c>
      <c r="O5744">
        <v>5.8384350000000003E-3</v>
      </c>
      <c r="P5744">
        <v>0.98090929999999998</v>
      </c>
      <c r="Q5744">
        <v>-1.271655E-3</v>
      </c>
      <c r="R5744">
        <v>-0.19446260000000001</v>
      </c>
      <c r="S5744">
        <v>2.9450530000000001</v>
      </c>
      <c r="T5744">
        <v>-4.411292E-2</v>
      </c>
      <c r="U5744">
        <v>-0.5712585</v>
      </c>
      <c r="V5744">
        <v>0.20021120000000001</v>
      </c>
      <c r="W5744">
        <v>1.201107E-2</v>
      </c>
      <c r="X5744">
        <v>0.97967910000000002</v>
      </c>
      <c r="Y5744">
        <v>0.19613</v>
      </c>
      <c r="Z5744">
        <v>-1.5418999999999999E-3</v>
      </c>
      <c r="AA5744">
        <v>0.98057669999999997</v>
      </c>
      <c r="AB5744">
        <v>26</v>
      </c>
      <c r="AC5744">
        <v>70.665999999999997</v>
      </c>
      <c r="AD5744">
        <v>-1.0624794200000001</v>
      </c>
      <c r="AE5744">
        <v>-13.7592</v>
      </c>
      <c r="AF5744">
        <v>14.168498549740001</v>
      </c>
      <c r="AG5744">
        <v>-1.0624794200000001</v>
      </c>
      <c r="AH5744">
        <v>70.569085312466996</v>
      </c>
      <c r="AI5744">
        <v>90.845698634580202</v>
      </c>
      <c r="AJ5744">
        <v>78.647384978495793</v>
      </c>
      <c r="AK5744">
        <v>71.985213867225298</v>
      </c>
      <c r="AL5744">
        <v>89.311799809295906</v>
      </c>
      <c r="AM5744">
        <v>78.449845236952996</v>
      </c>
      <c r="AN5744">
        <v>0.99999996469239605</v>
      </c>
    </row>
    <row r="5745" spans="1:40" x14ac:dyDescent="0.25">
      <c r="A5745" t="str">
        <f>"20190312150807993"</f>
        <v>20190312150807993</v>
      </c>
      <c r="B5745" t="str">
        <f>"1552374487985765"</f>
        <v>1552374487985765</v>
      </c>
      <c r="C5745" t="s">
        <v>40</v>
      </c>
      <c r="D5745">
        <v>4.5274229999999998</v>
      </c>
      <c r="E5745">
        <v>0.49977250000000001</v>
      </c>
      <c r="F5745" t="s">
        <v>57</v>
      </c>
      <c r="G5745">
        <v>-168.41200000000001</v>
      </c>
      <c r="H5745">
        <v>0.1229706</v>
      </c>
      <c r="I5745">
        <v>202.18719999999999</v>
      </c>
      <c r="J5745">
        <v>-238.8109</v>
      </c>
      <c r="K5745">
        <v>1.1096109999999999</v>
      </c>
      <c r="L5745">
        <v>216.0992</v>
      </c>
      <c r="M5745">
        <v>0.99989159999999999</v>
      </c>
      <c r="N5745">
        <v>0</v>
      </c>
      <c r="O5745">
        <v>4.6815809999999998E-3</v>
      </c>
      <c r="P5745">
        <v>0.98062769999999999</v>
      </c>
      <c r="Q5745">
        <v>-1.269238E-3</v>
      </c>
      <c r="R5745">
        <v>-0.195877</v>
      </c>
      <c r="S5745">
        <v>2.9434659999999999</v>
      </c>
      <c r="T5745">
        <v>-4.1095380000000001E-2</v>
      </c>
      <c r="U5745">
        <v>-0.57946779999999998</v>
      </c>
      <c r="V5745">
        <v>0.20049049999999999</v>
      </c>
      <c r="W5745">
        <v>1.200963E-2</v>
      </c>
      <c r="X5745">
        <v>0.97962199999999999</v>
      </c>
      <c r="Y5745">
        <v>0.19773109999999999</v>
      </c>
      <c r="Z5745">
        <v>-1.431882E-3</v>
      </c>
      <c r="AA5745">
        <v>0.98025519999999999</v>
      </c>
      <c r="AB5745">
        <v>26</v>
      </c>
      <c r="AC5745">
        <v>70.398899999999998</v>
      </c>
      <c r="AD5745">
        <v>-0.98664039999999997</v>
      </c>
      <c r="AE5745">
        <v>-13.912000000000001</v>
      </c>
      <c r="AF5745">
        <v>14.238766118657701</v>
      </c>
      <c r="AG5745">
        <v>-0.98664039999999997</v>
      </c>
      <c r="AH5745">
        <v>70.319698790544905</v>
      </c>
      <c r="AI5745">
        <v>90.787864716033198</v>
      </c>
      <c r="AJ5745">
        <v>78.55316521124</v>
      </c>
      <c r="AK5745">
        <v>71.753578014296295</v>
      </c>
      <c r="AL5745">
        <v>89.311882322996993</v>
      </c>
      <c r="AM5745">
        <v>78.433510348853105</v>
      </c>
      <c r="AN5745">
        <v>0.99999996734349195</v>
      </c>
    </row>
    <row r="5746" spans="1:40" x14ac:dyDescent="0.25">
      <c r="A5746" t="str">
        <f>"20190312150808015"</f>
        <v>20190312150808015</v>
      </c>
      <c r="B5746" t="str">
        <f>"1552374488006261"</f>
        <v>1552374488006261</v>
      </c>
      <c r="C5746" t="s">
        <v>40</v>
      </c>
      <c r="D5746">
        <v>4.41927</v>
      </c>
      <c r="E5746">
        <v>0.4999691</v>
      </c>
      <c r="F5746" t="s">
        <v>57</v>
      </c>
      <c r="G5746">
        <v>-168.41200000000001</v>
      </c>
      <c r="H5746">
        <v>0.14290620000000001</v>
      </c>
      <c r="I5746">
        <v>202.08500000000001</v>
      </c>
      <c r="J5746">
        <v>-238.5626</v>
      </c>
      <c r="K5746">
        <v>1.109613</v>
      </c>
      <c r="L5746">
        <v>216.09909999999999</v>
      </c>
      <c r="M5746">
        <v>0.99989600000000001</v>
      </c>
      <c r="N5746">
        <v>0</v>
      </c>
      <c r="O5746">
        <v>3.606008E-3</v>
      </c>
      <c r="P5746">
        <v>0.98043009999999997</v>
      </c>
      <c r="Q5746">
        <v>-8.7229579999999998E-4</v>
      </c>
      <c r="R5746">
        <v>-0.1968656</v>
      </c>
      <c r="S5746">
        <v>2.9422450000000002</v>
      </c>
      <c r="T5746">
        <v>-4.0400980000000003E-2</v>
      </c>
      <c r="U5746">
        <v>-0.58570859999999902</v>
      </c>
      <c r="V5746">
        <v>0.2004254</v>
      </c>
      <c r="W5746">
        <v>1.2405380000000001E-2</v>
      </c>
      <c r="X5746">
        <v>0.97963040000000001</v>
      </c>
      <c r="Y5746">
        <v>0.19875509999999999</v>
      </c>
      <c r="Z5746">
        <v>-1.400309E-3</v>
      </c>
      <c r="AA5746">
        <v>0.98004820000000004</v>
      </c>
      <c r="AB5746">
        <v>26</v>
      </c>
      <c r="AC5746">
        <v>70.150599999999997</v>
      </c>
      <c r="AD5746">
        <v>-0.96670679999999998</v>
      </c>
      <c r="AE5746">
        <v>-14.0140999999999</v>
      </c>
      <c r="AF5746">
        <v>14.264392295143301</v>
      </c>
      <c r="AG5746">
        <v>-0.96670679999999998</v>
      </c>
      <c r="AH5746">
        <v>70.086805173218906</v>
      </c>
      <c r="AI5746">
        <v>90.774357066758895</v>
      </c>
      <c r="AJ5746">
        <v>78.496019597424194</v>
      </c>
      <c r="AK5746">
        <v>71.530187116878594</v>
      </c>
      <c r="AL5746">
        <v>89.289205834868895</v>
      </c>
      <c r="AM5746">
        <v>78.437261347393203</v>
      </c>
      <c r="AN5746">
        <v>0.99999997751113201</v>
      </c>
    </row>
    <row r="5747" spans="1:40" x14ac:dyDescent="0.25">
      <c r="A5747" t="str">
        <f>"20190312150808036"</f>
        <v>20190312150808036</v>
      </c>
      <c r="B5747" t="str">
        <f>"1552374488025782"</f>
        <v>1552374488025782</v>
      </c>
      <c r="C5747" t="s">
        <v>40</v>
      </c>
      <c r="D5747">
        <v>4.4686269999999997</v>
      </c>
      <c r="E5747">
        <v>0.50013059999999998</v>
      </c>
      <c r="F5747" t="s">
        <v>57</v>
      </c>
      <c r="G5747">
        <v>-168.41200000000001</v>
      </c>
      <c r="H5747">
        <v>0.2046509</v>
      </c>
      <c r="I5747">
        <v>202.02010000000001</v>
      </c>
      <c r="J5747">
        <v>-238.30410000000001</v>
      </c>
      <c r="K5747">
        <v>1.1096220000000001</v>
      </c>
      <c r="L5747">
        <v>216.09880000000001</v>
      </c>
      <c r="M5747">
        <v>0.9998996</v>
      </c>
      <c r="N5747">
        <v>0</v>
      </c>
      <c r="O5747">
        <v>2.4877879999999999E-3</v>
      </c>
      <c r="P5747">
        <v>0.98020229999999997</v>
      </c>
      <c r="Q5747">
        <v>-1.028742E-3</v>
      </c>
      <c r="R5747">
        <v>-0.19799629999999999</v>
      </c>
      <c r="S5747">
        <v>2.9413299999999998</v>
      </c>
      <c r="T5747">
        <v>-3.7942650000000001E-2</v>
      </c>
      <c r="U5747">
        <v>-0.59031679999999997</v>
      </c>
      <c r="V5747">
        <v>0.2004592</v>
      </c>
      <c r="W5747">
        <v>1.224804E-2</v>
      </c>
      <c r="X5747">
        <v>0.97962550000000004</v>
      </c>
      <c r="Y5747">
        <v>0.19919609999999999</v>
      </c>
      <c r="Z5747">
        <v>-1.3038419999999999E-3</v>
      </c>
      <c r="AA5747">
        <v>0.97995880000000002</v>
      </c>
      <c r="AB5747">
        <v>26</v>
      </c>
      <c r="AC5747">
        <v>69.892099999999999</v>
      </c>
      <c r="AD5747">
        <v>-0.90497110000000003</v>
      </c>
      <c r="AE5747">
        <v>-14.0786999999999</v>
      </c>
      <c r="AF5747">
        <v>14.250254124659101</v>
      </c>
      <c r="AG5747">
        <v>-0.90497110000000003</v>
      </c>
      <c r="AH5747">
        <v>69.845602179832795</v>
      </c>
      <c r="AI5747">
        <v>90.727342546828694</v>
      </c>
      <c r="AJ5747">
        <v>78.468490404452496</v>
      </c>
      <c r="AK5747">
        <v>71.290229759572696</v>
      </c>
      <c r="AL5747">
        <v>89.298221462771807</v>
      </c>
      <c r="AM5747">
        <v>78.435307631570097</v>
      </c>
      <c r="AN5747">
        <v>1.00000001279936</v>
      </c>
    </row>
    <row r="5748" spans="1:40" x14ac:dyDescent="0.25">
      <c r="A5748" t="str">
        <f>"20190312150808058"</f>
        <v>20190312150808058</v>
      </c>
      <c r="B5748" t="str">
        <f>"1552374488056038"</f>
        <v>1552374488056038</v>
      </c>
      <c r="C5748" t="s">
        <v>40</v>
      </c>
      <c r="D5748">
        <v>4.4651630000000004</v>
      </c>
      <c r="E5748">
        <v>0.50042330000000002</v>
      </c>
      <c r="F5748" t="s">
        <v>57</v>
      </c>
      <c r="G5748">
        <v>-168.41200000000001</v>
      </c>
      <c r="H5748">
        <v>0.19904330000000001</v>
      </c>
      <c r="I5748">
        <v>201.95599999999999</v>
      </c>
      <c r="J5748">
        <v>-238.04669999999999</v>
      </c>
      <c r="K5748">
        <v>1.1096280000000001</v>
      </c>
      <c r="L5748">
        <v>216.09809999999999</v>
      </c>
      <c r="M5748">
        <v>0.9999017</v>
      </c>
      <c r="N5748">
        <v>0</v>
      </c>
      <c r="O5748">
        <v>1.3767320000000001E-3</v>
      </c>
      <c r="P5748">
        <v>0.98001110000000002</v>
      </c>
      <c r="Q5748">
        <v>-8.2228779999999897E-4</v>
      </c>
      <c r="R5748">
        <v>-0.1989416</v>
      </c>
      <c r="S5748">
        <v>2.940353</v>
      </c>
      <c r="T5748">
        <v>-3.8306590000000001E-2</v>
      </c>
      <c r="U5748">
        <v>-0.59498600000000001</v>
      </c>
      <c r="V5748">
        <v>0.20031579999999999</v>
      </c>
      <c r="W5748">
        <v>1.2454969999999999E-2</v>
      </c>
      <c r="X5748">
        <v>0.97965219999999997</v>
      </c>
      <c r="Y5748">
        <v>0.19966500000000001</v>
      </c>
      <c r="Z5748">
        <v>-1.3052630000000001E-3</v>
      </c>
      <c r="AA5748">
        <v>0.97986329999999999</v>
      </c>
      <c r="AB5748">
        <v>26</v>
      </c>
      <c r="AC5748">
        <v>69.634699999999896</v>
      </c>
      <c r="AD5748">
        <v>-0.91058470000000002</v>
      </c>
      <c r="AE5748">
        <v>-14.142099999999999</v>
      </c>
      <c r="AF5748">
        <v>14.235626419732601</v>
      </c>
      <c r="AG5748">
        <v>-0.91058470000000002</v>
      </c>
      <c r="AH5748">
        <v>69.603731626704501</v>
      </c>
      <c r="AI5748">
        <v>90.734324879867103</v>
      </c>
      <c r="AJ5748">
        <v>78.441054779418494</v>
      </c>
      <c r="AK5748">
        <v>71.050416469014294</v>
      </c>
      <c r="AL5748">
        <v>89.286364326116001</v>
      </c>
      <c r="AM5748">
        <v>78.443664382032907</v>
      </c>
      <c r="AN5748">
        <v>0.99999998948609004</v>
      </c>
    </row>
    <row r="5749" spans="1:40" x14ac:dyDescent="0.25">
      <c r="A5749" t="str">
        <f>"20190312150808081"</f>
        <v>20190312150808081</v>
      </c>
      <c r="B5749" t="str">
        <f>"1552374488075557"</f>
        <v>1552374488075557</v>
      </c>
      <c r="C5749" t="s">
        <v>40</v>
      </c>
      <c r="D5749">
        <v>4.4826769999999998</v>
      </c>
      <c r="E5749">
        <v>0.50057669999999999</v>
      </c>
      <c r="F5749" t="s">
        <v>57</v>
      </c>
      <c r="G5749">
        <v>-168.41210000000001</v>
      </c>
      <c r="H5749">
        <v>0.1904602</v>
      </c>
      <c r="I5749">
        <v>201.87780000000001</v>
      </c>
      <c r="J5749">
        <v>-237.78319999999999</v>
      </c>
      <c r="K5749">
        <v>1.109634</v>
      </c>
      <c r="L5749">
        <v>216.09719999999999</v>
      </c>
      <c r="M5749">
        <v>0.99990259999999997</v>
      </c>
      <c r="N5749">
        <v>0</v>
      </c>
      <c r="O5749">
        <v>2.4124429999999999E-4</v>
      </c>
      <c r="P5749">
        <v>0.97978500000000002</v>
      </c>
      <c r="Q5749">
        <v>-1.4324840000000001E-4</v>
      </c>
      <c r="R5749">
        <v>-0.2000536</v>
      </c>
      <c r="S5749">
        <v>2.9393310000000001</v>
      </c>
      <c r="T5749">
        <v>-3.8797379999999999E-2</v>
      </c>
      <c r="U5749">
        <v>-0.60025019999999996</v>
      </c>
      <c r="V5749">
        <v>0.2003162</v>
      </c>
      <c r="W5749">
        <v>1.313345E-2</v>
      </c>
      <c r="X5749">
        <v>0.97964329999999999</v>
      </c>
      <c r="Y5749">
        <v>0.20030339999999999</v>
      </c>
      <c r="Z5749">
        <v>-1.3115360000000001E-3</v>
      </c>
      <c r="AA5749">
        <v>0.97973299999999997</v>
      </c>
      <c r="AB5749">
        <v>26</v>
      </c>
      <c r="AC5749">
        <v>69.371099999999899</v>
      </c>
      <c r="AD5749">
        <v>-0.91917380000000004</v>
      </c>
      <c r="AE5749">
        <v>-14.219399999999901</v>
      </c>
      <c r="AF5749">
        <v>14.233738411104801</v>
      </c>
      <c r="AG5749">
        <v>-0.91917380000000004</v>
      </c>
      <c r="AH5749">
        <v>69.355981778221306</v>
      </c>
      <c r="AI5749">
        <v>90.743795337204205</v>
      </c>
      <c r="AJ5749">
        <v>78.402378192600395</v>
      </c>
      <c r="AK5749">
        <v>70.807460045191206</v>
      </c>
      <c r="AL5749">
        <v>89.247487133920103</v>
      </c>
      <c r="AM5749">
        <v>78.443539762123095</v>
      </c>
      <c r="AN5749">
        <v>1.0000000313631101</v>
      </c>
    </row>
    <row r="5750" spans="1:40" x14ac:dyDescent="0.25">
      <c r="A5750" t="str">
        <f>"20190312150808098"</f>
        <v>20190312150808098</v>
      </c>
      <c r="B5750" t="str">
        <f>"1552374488096053"</f>
        <v>1552374488096053</v>
      </c>
      <c r="C5750" t="s">
        <v>40</v>
      </c>
      <c r="D5750">
        <v>4.3969940000000003</v>
      </c>
      <c r="E5750">
        <v>0.50061750000000005</v>
      </c>
      <c r="F5750" t="s">
        <v>57</v>
      </c>
      <c r="G5750">
        <v>-168.41210000000001</v>
      </c>
      <c r="H5750">
        <v>0.2257652</v>
      </c>
      <c r="I5750">
        <v>201.8229</v>
      </c>
      <c r="J5750">
        <v>-237.58029999999999</v>
      </c>
      <c r="K5750">
        <v>1.10964</v>
      </c>
      <c r="L5750">
        <v>216.09630000000001</v>
      </c>
      <c r="M5750">
        <v>0.99990259999999997</v>
      </c>
      <c r="N5750">
        <v>0</v>
      </c>
      <c r="O5750">
        <v>-6.3143040000000002E-4</v>
      </c>
      <c r="P5750">
        <v>0.97958120000000004</v>
      </c>
      <c r="Q5750" s="1">
        <v>-7.4393580000000004E-5</v>
      </c>
      <c r="R5750">
        <v>-0.20104900000000001</v>
      </c>
      <c r="S5750">
        <v>2.9384000000000001</v>
      </c>
      <c r="T5750">
        <v>-3.7437320000000003E-2</v>
      </c>
      <c r="U5750">
        <v>-0.60462950000000004</v>
      </c>
      <c r="V5750">
        <v>0.20045669999999999</v>
      </c>
      <c r="W5750">
        <v>1.320116E-2</v>
      </c>
      <c r="X5750">
        <v>0.97961359999999997</v>
      </c>
      <c r="Y5750">
        <v>0.20091149999999999</v>
      </c>
      <c r="Z5750">
        <v>-1.2585980000000001E-3</v>
      </c>
      <c r="AA5750">
        <v>0.97960860000000005</v>
      </c>
      <c r="AB5750">
        <v>26</v>
      </c>
      <c r="AC5750">
        <v>69.168199999999899</v>
      </c>
      <c r="AD5750">
        <v>-0.88387479999999996</v>
      </c>
      <c r="AE5750">
        <v>-14.273400000000001</v>
      </c>
      <c r="AF5750">
        <v>14.227489641053101</v>
      </c>
      <c r="AG5750">
        <v>-0.88387479999999996</v>
      </c>
      <c r="AH5750">
        <v>69.166366645882803</v>
      </c>
      <c r="AI5750">
        <v>90.717128217408103</v>
      </c>
      <c r="AJ5750">
        <v>78.376414971733496</v>
      </c>
      <c r="AK5750">
        <v>70.620032364344297</v>
      </c>
      <c r="AL5750">
        <v>89.243607263307894</v>
      </c>
      <c r="AM5750">
        <v>78.435311276130804</v>
      </c>
      <c r="AN5750">
        <v>0.99999998225259701</v>
      </c>
    </row>
    <row r="5751" spans="1:40" x14ac:dyDescent="0.25">
      <c r="A5751" t="str">
        <f>"20190312150808114"</f>
        <v>20190312150808114</v>
      </c>
      <c r="B5751" t="str">
        <f>"1552374488105813"</f>
        <v>1552374488105813</v>
      </c>
      <c r="C5751" t="s">
        <v>40</v>
      </c>
      <c r="D5751">
        <v>4.4466289999999997</v>
      </c>
      <c r="E5751">
        <v>0.50064770000000003</v>
      </c>
      <c r="F5751" t="s">
        <v>57</v>
      </c>
      <c r="G5751">
        <v>-168.41210000000001</v>
      </c>
      <c r="H5751">
        <v>0.25451089999999998</v>
      </c>
      <c r="I5751">
        <v>201.7809</v>
      </c>
      <c r="J5751">
        <v>-237.39830000000001</v>
      </c>
      <c r="K5751">
        <v>1.1096429999999999</v>
      </c>
      <c r="L5751">
        <v>216.09530000000001</v>
      </c>
      <c r="M5751">
        <v>0.99990190000000001</v>
      </c>
      <c r="N5751">
        <v>0</v>
      </c>
      <c r="O5751">
        <v>-1.4141780000000001E-3</v>
      </c>
      <c r="P5751">
        <v>0.97933110000000001</v>
      </c>
      <c r="Q5751" s="1">
        <v>7.5403599999999997E-5</v>
      </c>
      <c r="R5751">
        <v>-0.20226450000000001</v>
      </c>
      <c r="S5751">
        <v>2.9377140000000002</v>
      </c>
      <c r="T5751">
        <v>-3.6317710000000003E-2</v>
      </c>
      <c r="U5751">
        <v>-0.60800169999999998</v>
      </c>
      <c r="V5751">
        <v>0.20090569999999999</v>
      </c>
      <c r="W5751">
        <v>1.334801E-2</v>
      </c>
      <c r="X5751">
        <v>0.97951960000000005</v>
      </c>
      <c r="Y5751">
        <v>0.20126930000000001</v>
      </c>
      <c r="Z5751">
        <v>-1.2137129999999999E-3</v>
      </c>
      <c r="AA5751">
        <v>0.97953520000000005</v>
      </c>
      <c r="AB5751">
        <v>26</v>
      </c>
      <c r="AC5751">
        <v>68.986199999999997</v>
      </c>
      <c r="AD5751">
        <v>-0.85513209999999995</v>
      </c>
      <c r="AE5751">
        <v>-14.314399999999999</v>
      </c>
      <c r="AF5751">
        <v>14.214723459842199</v>
      </c>
      <c r="AG5751">
        <v>-0.85513209999999995</v>
      </c>
      <c r="AH5751">
        <v>68.996212186202598</v>
      </c>
      <c r="AI5751">
        <v>90.695476870352707</v>
      </c>
      <c r="AJ5751">
        <v>78.358701670875703</v>
      </c>
      <c r="AK5751">
        <v>70.450457131176407</v>
      </c>
      <c r="AL5751">
        <v>89.235192618128295</v>
      </c>
      <c r="AM5751">
        <v>78.409025672793803</v>
      </c>
      <c r="AN5751">
        <v>0.99999995822380405</v>
      </c>
    </row>
    <row r="5752" spans="1:40" x14ac:dyDescent="0.25">
      <c r="A5752" t="str">
        <f>"20190312150808138"</f>
        <v>20190312150808138</v>
      </c>
      <c r="B5752" t="str">
        <f>"1552374488126310"</f>
        <v>1552374488126310</v>
      </c>
      <c r="C5752" t="s">
        <v>40</v>
      </c>
      <c r="D5752">
        <v>4.6366300000000003</v>
      </c>
      <c r="E5752">
        <v>0.50064200000000003</v>
      </c>
      <c r="F5752" t="s">
        <v>57</v>
      </c>
      <c r="G5752">
        <v>-168.41220000000001</v>
      </c>
      <c r="H5752">
        <v>0.26796530000000002</v>
      </c>
      <c r="I5752">
        <v>201.72559999999999</v>
      </c>
      <c r="J5752">
        <v>-237.1371</v>
      </c>
      <c r="K5752">
        <v>1.1096469999999901</v>
      </c>
      <c r="L5752">
        <v>216.09360000000001</v>
      </c>
      <c r="M5752">
        <v>0.99989939999999999</v>
      </c>
      <c r="N5752">
        <v>0</v>
      </c>
      <c r="O5752">
        <v>-2.5361590000000001E-3</v>
      </c>
      <c r="P5752">
        <v>0.97908479999999998</v>
      </c>
      <c r="Q5752">
        <v>1.025953E-4</v>
      </c>
      <c r="R5752">
        <v>-0.20345340000000001</v>
      </c>
      <c r="S5752">
        <v>2.9369960000000002</v>
      </c>
      <c r="T5752">
        <v>-3.5831929999999998E-2</v>
      </c>
      <c r="U5752">
        <v>-0.61177060000000005</v>
      </c>
      <c r="V5752">
        <v>0.2009956</v>
      </c>
      <c r="W5752">
        <v>1.337328E-2</v>
      </c>
      <c r="X5752">
        <v>0.97950079999999995</v>
      </c>
      <c r="Y5752">
        <v>0.2014232</v>
      </c>
      <c r="Z5752">
        <v>-1.184998E-3</v>
      </c>
      <c r="AA5752">
        <v>0.97950360000000003</v>
      </c>
      <c r="AB5752">
        <v>26</v>
      </c>
      <c r="AC5752">
        <v>68.724899999999906</v>
      </c>
      <c r="AD5752">
        <v>-0.84168169999999898</v>
      </c>
      <c r="AE5752">
        <v>-14.368</v>
      </c>
      <c r="AF5752">
        <v>14.191600052319099</v>
      </c>
      <c r="AG5752">
        <v>-0.84168169999999898</v>
      </c>
      <c r="AH5752">
        <v>68.751241742704806</v>
      </c>
      <c r="AI5752">
        <v>90.686923574261002</v>
      </c>
      <c r="AJ5752">
        <v>78.336841875171402</v>
      </c>
      <c r="AK5752">
        <v>70.205720431407499</v>
      </c>
      <c r="AL5752">
        <v>89.233744615505799</v>
      </c>
      <c r="AM5752">
        <v>78.403762926853901</v>
      </c>
      <c r="AN5752">
        <v>0.99999994651897695</v>
      </c>
    </row>
    <row r="5753" spans="1:40" x14ac:dyDescent="0.25">
      <c r="A5753" t="str">
        <f>"20190312150808160"</f>
        <v>20190312150808160</v>
      </c>
      <c r="B5753" t="str">
        <f>"1552374488155589"</f>
        <v>1552374488155589</v>
      </c>
      <c r="C5753" t="s">
        <v>40</v>
      </c>
      <c r="D5753">
        <v>4.4576469999999997</v>
      </c>
      <c r="E5753">
        <v>0.50029429999999997</v>
      </c>
      <c r="F5753" t="s">
        <v>57</v>
      </c>
      <c r="G5753">
        <v>-168.41220000000001</v>
      </c>
      <c r="H5753">
        <v>0.2384357</v>
      </c>
      <c r="I5753">
        <v>201.69110000000001</v>
      </c>
      <c r="J5753">
        <v>-236.8708</v>
      </c>
      <c r="K5753">
        <v>1.109645</v>
      </c>
      <c r="L5753">
        <v>216.0916</v>
      </c>
      <c r="M5753">
        <v>0.99989609999999995</v>
      </c>
      <c r="N5753">
        <v>0</v>
      </c>
      <c r="O5753">
        <v>-3.6801970000000001E-3</v>
      </c>
      <c r="P5753">
        <v>0.97882199999999997</v>
      </c>
      <c r="Q5753">
        <v>-2.0975799999999999E-4</v>
      </c>
      <c r="R5753">
        <v>-0.2047148</v>
      </c>
      <c r="S5753">
        <v>2.9362490000000001</v>
      </c>
      <c r="T5753">
        <v>-3.7220839999999998E-2</v>
      </c>
      <c r="U5753">
        <v>-0.61534119999999903</v>
      </c>
      <c r="V5753">
        <v>0.20113639999999999</v>
      </c>
      <c r="W5753">
        <v>1.3059070000000001E-2</v>
      </c>
      <c r="X5753">
        <v>0.97947620000000002</v>
      </c>
      <c r="Y5753">
        <v>0.20149249999999999</v>
      </c>
      <c r="Z5753">
        <v>-1.2171720000000001E-3</v>
      </c>
      <c r="AA5753">
        <v>0.97948930000000001</v>
      </c>
      <c r="AB5753">
        <v>26</v>
      </c>
      <c r="AC5753">
        <v>68.458599999999905</v>
      </c>
      <c r="AD5753">
        <v>-0.87120929999999996</v>
      </c>
      <c r="AE5753">
        <v>-14.4004999999999</v>
      </c>
      <c r="AF5753">
        <v>14.146242907137101</v>
      </c>
      <c r="AG5753">
        <v>-0.87120929999999996</v>
      </c>
      <c r="AH5753">
        <v>68.500514360142205</v>
      </c>
      <c r="AI5753">
        <v>90.713608595275105</v>
      </c>
      <c r="AJ5753">
        <v>78.331709293623504</v>
      </c>
      <c r="AK5753">
        <v>69.951380698569395</v>
      </c>
      <c r="AL5753">
        <v>89.251749142299403</v>
      </c>
      <c r="AM5753">
        <v>78.395576324143406</v>
      </c>
      <c r="AN5753">
        <v>1.00000000854033</v>
      </c>
    </row>
    <row r="5754" spans="1:40" x14ac:dyDescent="0.25">
      <c r="A5754" t="str">
        <f>"20190312150808182"</f>
        <v>20190312150808182</v>
      </c>
      <c r="B5754" t="str">
        <f>"1552374488176085"</f>
        <v>1552374488176085</v>
      </c>
      <c r="C5754" t="s">
        <v>40</v>
      </c>
      <c r="D5754">
        <v>4.4531869999999998</v>
      </c>
      <c r="E5754">
        <v>0.4890292</v>
      </c>
      <c r="F5754" t="s">
        <v>57</v>
      </c>
      <c r="G5754">
        <v>-168.41210000000001</v>
      </c>
      <c r="H5754">
        <v>0.18458749999999999</v>
      </c>
      <c r="I5754">
        <v>201.71789999999999</v>
      </c>
      <c r="J5754">
        <v>-236.61269999999999</v>
      </c>
      <c r="K5754">
        <v>1.1096469999999901</v>
      </c>
      <c r="L5754">
        <v>216.08940000000001</v>
      </c>
      <c r="M5754">
        <v>0.99989150000000004</v>
      </c>
      <c r="N5754">
        <v>0</v>
      </c>
      <c r="O5754">
        <v>-4.7893170000000004E-3</v>
      </c>
      <c r="P5754">
        <v>0.97855380000000003</v>
      </c>
      <c r="Q5754" s="1">
        <v>-8.4626430000000002E-5</v>
      </c>
      <c r="R5754">
        <v>-0.2059935</v>
      </c>
      <c r="S5754">
        <v>2.935959</v>
      </c>
      <c r="T5754">
        <v>-3.967118E-2</v>
      </c>
      <c r="U5754">
        <v>-0.61643979999999998</v>
      </c>
      <c r="V5754">
        <v>0.2013298</v>
      </c>
      <c r="W5754">
        <v>1.3182080000000001E-2</v>
      </c>
      <c r="X5754">
        <v>0.97943480000000005</v>
      </c>
      <c r="Y5754">
        <v>0.2007746</v>
      </c>
      <c r="Z5754">
        <v>-1.2777509999999999E-3</v>
      </c>
      <c r="AA5754">
        <v>0.97963659999999997</v>
      </c>
      <c r="AB5754">
        <v>26</v>
      </c>
      <c r="AC5754">
        <v>68.200599999999895</v>
      </c>
      <c r="AD5754">
        <v>-0.92505949999999904</v>
      </c>
      <c r="AE5754">
        <v>-14.371499999999999</v>
      </c>
      <c r="AF5754">
        <v>14.0421955557043</v>
      </c>
      <c r="AG5754">
        <v>-0.92505949999999904</v>
      </c>
      <c r="AH5754">
        <v>68.256630290011302</v>
      </c>
      <c r="AI5754">
        <v>90.760537631847001</v>
      </c>
      <c r="AJ5754">
        <v>78.374934551086</v>
      </c>
      <c r="AK5754">
        <v>69.692227469427806</v>
      </c>
      <c r="AL5754">
        <v>89.244700568936494</v>
      </c>
      <c r="AM5754">
        <v>78.384243689020593</v>
      </c>
      <c r="AN5754">
        <v>0.99999999152610297</v>
      </c>
    </row>
    <row r="5755" spans="1:40" x14ac:dyDescent="0.25">
      <c r="A5755" t="str">
        <f>"20190312150808204"</f>
        <v>20190312150808204</v>
      </c>
      <c r="B5755" t="str">
        <f>"1552374488195605"</f>
        <v>1552374488195605</v>
      </c>
      <c r="C5755" t="s">
        <v>40</v>
      </c>
      <c r="D5755">
        <v>4.4331550000000002</v>
      </c>
      <c r="E5755">
        <v>0.48980439999999997</v>
      </c>
      <c r="F5755" t="s">
        <v>61</v>
      </c>
      <c r="G5755">
        <v>-203.56469999999999</v>
      </c>
      <c r="H5755" s="1">
        <v>4.18969E-6</v>
      </c>
      <c r="I5755">
        <v>210.13319999999999</v>
      </c>
      <c r="J5755">
        <v>-236.3622</v>
      </c>
      <c r="K5755">
        <v>1.1096509999999999</v>
      </c>
      <c r="L5755">
        <v>216.08699999999999</v>
      </c>
      <c r="M5755">
        <v>0.99988569999999999</v>
      </c>
      <c r="N5755">
        <v>0</v>
      </c>
      <c r="O5755">
        <v>-5.8666109999999999E-3</v>
      </c>
      <c r="P5755">
        <v>0.97834549999999998</v>
      </c>
      <c r="Q5755">
        <v>3.0473829999999998E-4</v>
      </c>
      <c r="R5755">
        <v>-0.2069791</v>
      </c>
      <c r="S5755">
        <v>2.953659</v>
      </c>
      <c r="T5755">
        <v>-9.9173899999999995E-2</v>
      </c>
      <c r="U5755">
        <v>-0.53233339999999996</v>
      </c>
      <c r="V5755">
        <v>0.20126189999999999</v>
      </c>
      <c r="W5755">
        <v>1.357067E-2</v>
      </c>
      <c r="X5755">
        <v>0.97944339999999996</v>
      </c>
      <c r="Y5755">
        <v>0.17150319999999999</v>
      </c>
      <c r="Z5755">
        <v>-2.6601089999999999E-3</v>
      </c>
      <c r="AA5755">
        <v>0.98517999999999994</v>
      </c>
      <c r="AB5755">
        <v>26</v>
      </c>
      <c r="AC5755">
        <v>32.797499999999999</v>
      </c>
      <c r="AD5755">
        <v>-1.1096468103099999</v>
      </c>
      <c r="AE5755">
        <v>-5.9538000000000197</v>
      </c>
      <c r="AF5755">
        <v>5.7548912573137097</v>
      </c>
      <c r="AG5755">
        <v>-1.1096468103099999</v>
      </c>
      <c r="AH5755">
        <v>32.7955244310632</v>
      </c>
      <c r="AI5755">
        <v>91.908738756032506</v>
      </c>
      <c r="AJ5755">
        <v>80.047186099627993</v>
      </c>
      <c r="AK5755">
        <v>33.3151093670064</v>
      </c>
      <c r="AL5755">
        <v>89.222433973049107</v>
      </c>
      <c r="AM5755">
        <v>78.388153969984302</v>
      </c>
      <c r="AN5755">
        <v>0.99999994463970698</v>
      </c>
    </row>
    <row r="5756" spans="1:40" x14ac:dyDescent="0.25">
      <c r="A5756" t="str">
        <f>"20190312150808237"</f>
        <v>20190312150808237</v>
      </c>
      <c r="B5756" t="str">
        <f>"1552374488225861"</f>
        <v>1552374488225861</v>
      </c>
      <c r="C5756" t="s">
        <v>40</v>
      </c>
      <c r="D5756">
        <v>4.50373</v>
      </c>
      <c r="E5756">
        <v>0.49035780000000001</v>
      </c>
      <c r="F5756" t="s">
        <v>61</v>
      </c>
      <c r="G5756">
        <v>-200.80250000000001</v>
      </c>
      <c r="H5756" s="1">
        <v>3.018525E-6</v>
      </c>
      <c r="I5756">
        <v>209.5677</v>
      </c>
      <c r="J5756">
        <v>-235.9812</v>
      </c>
      <c r="K5756">
        <v>1.109648</v>
      </c>
      <c r="L5756">
        <v>216.08269999999999</v>
      </c>
      <c r="M5756">
        <v>0.99987470000000001</v>
      </c>
      <c r="N5756">
        <v>0</v>
      </c>
      <c r="O5756">
        <v>-7.5047389999999999E-3</v>
      </c>
      <c r="P5756">
        <v>0.97794729999999996</v>
      </c>
      <c r="Q5756">
        <v>5.1548290000000003E-4</v>
      </c>
      <c r="R5756">
        <v>-0.20885119999999999</v>
      </c>
      <c r="S5756">
        <v>2.9519199999999999</v>
      </c>
      <c r="T5756">
        <v>-9.21154E-2</v>
      </c>
      <c r="U5756">
        <v>-0.54118350000000004</v>
      </c>
      <c r="V5756">
        <v>0.20153209999999999</v>
      </c>
      <c r="W5756">
        <v>1.377808E-2</v>
      </c>
      <c r="X5756">
        <v>0.97938499999999995</v>
      </c>
      <c r="Y5756">
        <v>0.17286199999999999</v>
      </c>
      <c r="Z5756">
        <v>-2.4419979999999999E-3</v>
      </c>
      <c r="AA5756">
        <v>0.98494300000000001</v>
      </c>
      <c r="AB5756">
        <v>26</v>
      </c>
      <c r="AC5756">
        <v>35.1786999999999</v>
      </c>
      <c r="AD5756">
        <v>-1.109644981475</v>
      </c>
      <c r="AE5756">
        <v>-6.5149999999999801</v>
      </c>
      <c r="AF5756">
        <v>6.2447765809684803</v>
      </c>
      <c r="AG5756">
        <v>-1.109644981475</v>
      </c>
      <c r="AH5756">
        <v>35.1927527921289</v>
      </c>
      <c r="AI5756">
        <v>91.778206355416501</v>
      </c>
      <c r="AJ5756">
        <v>79.937887961977694</v>
      </c>
      <c r="AK5756">
        <v>35.759731481360703</v>
      </c>
      <c r="AL5756">
        <v>89.210549187644702</v>
      </c>
      <c r="AM5756">
        <v>78.372314493498806</v>
      </c>
      <c r="AN5756">
        <v>1.00000000052194</v>
      </c>
    </row>
    <row r="5757" spans="1:40" x14ac:dyDescent="0.25">
      <c r="A5757" t="str">
        <f>"20190312150808260"</f>
        <v>20190312150808260</v>
      </c>
      <c r="B5757" t="str">
        <f>"1552374488256117"</f>
        <v>1552374488256117</v>
      </c>
      <c r="C5757" t="s">
        <v>40</v>
      </c>
      <c r="D5757">
        <v>4.4382869999999999</v>
      </c>
      <c r="E5757">
        <v>0.49080800000000002</v>
      </c>
      <c r="F5757" t="s">
        <v>61</v>
      </c>
      <c r="G5757">
        <v>-200.58340000000001</v>
      </c>
      <c r="H5757" s="1">
        <v>2.9391360000000001E-6</v>
      </c>
      <c r="I5757">
        <v>209.46690000000001</v>
      </c>
      <c r="J5757">
        <v>-235.7157</v>
      </c>
      <c r="K5757">
        <v>1.10965</v>
      </c>
      <c r="L5757">
        <v>216.0795</v>
      </c>
      <c r="M5757">
        <v>0.99986549999999996</v>
      </c>
      <c r="N5757">
        <v>0</v>
      </c>
      <c r="O5757">
        <v>-8.647241E-3</v>
      </c>
      <c r="P5757">
        <v>0.9777226</v>
      </c>
      <c r="Q5757">
        <v>6.0749649999999997E-4</v>
      </c>
      <c r="R5757">
        <v>-0.2099009</v>
      </c>
      <c r="S5757">
        <v>2.949951</v>
      </c>
      <c r="T5757">
        <v>-9.2474580000000001E-2</v>
      </c>
      <c r="U5757">
        <v>-0.5513458</v>
      </c>
      <c r="V5757">
        <v>0.20146430000000001</v>
      </c>
      <c r="W5757">
        <v>1.386867E-2</v>
      </c>
      <c r="X5757">
        <v>0.97939770000000004</v>
      </c>
      <c r="Y5757">
        <v>0.17513199999999901</v>
      </c>
      <c r="Z5757">
        <v>-2.4521399999999998E-3</v>
      </c>
      <c r="AA5757">
        <v>0.98454189999999997</v>
      </c>
      <c r="AB5757">
        <v>26</v>
      </c>
      <c r="AC5757">
        <v>35.132299999999901</v>
      </c>
      <c r="AD5757">
        <v>-1.1096470608639999</v>
      </c>
      <c r="AE5757">
        <v>-6.61259999999998</v>
      </c>
      <c r="AF5757">
        <v>6.30245353960371</v>
      </c>
      <c r="AG5757">
        <v>-1.1096470608639999</v>
      </c>
      <c r="AH5757">
        <v>35.1543024773189</v>
      </c>
      <c r="AI5757">
        <v>91.779589221752602</v>
      </c>
      <c r="AJ5757">
        <v>79.836005088920899</v>
      </c>
      <c r="AK5757">
        <v>35.732019532701699</v>
      </c>
      <c r="AL5757">
        <v>89.205358290008306</v>
      </c>
      <c r="AM5757">
        <v>78.376266466391201</v>
      </c>
      <c r="AN5757">
        <v>1.0000000294736699</v>
      </c>
    </row>
    <row r="5758" spans="1:40" x14ac:dyDescent="0.25">
      <c r="A5758" t="str">
        <f>"20190312150808283"</f>
        <v>20190312150808283</v>
      </c>
      <c r="B5758" t="str">
        <f>"1552374488275637"</f>
        <v>1552374488275637</v>
      </c>
      <c r="C5758" t="s">
        <v>40</v>
      </c>
      <c r="D5758">
        <v>4.4508660000000004</v>
      </c>
      <c r="E5758">
        <v>0.49110130000000002</v>
      </c>
      <c r="F5758" t="s">
        <v>61</v>
      </c>
      <c r="G5758">
        <v>-197.67580000000001</v>
      </c>
      <c r="H5758" s="1">
        <v>3.2350949999999998E-6</v>
      </c>
      <c r="I5758">
        <v>208.8801</v>
      </c>
      <c r="J5758">
        <v>-235.45930000000001</v>
      </c>
      <c r="K5758">
        <v>1.1096539999999999</v>
      </c>
      <c r="L5758">
        <v>216.07599999999999</v>
      </c>
      <c r="M5758">
        <v>0.99985550000000001</v>
      </c>
      <c r="N5758">
        <v>0</v>
      </c>
      <c r="O5758">
        <v>-9.7510059999999996E-3</v>
      </c>
      <c r="P5758">
        <v>0.97740629999999995</v>
      </c>
      <c r="Q5758">
        <v>8.0946649999999996E-4</v>
      </c>
      <c r="R5758">
        <v>-0.21136930000000001</v>
      </c>
      <c r="S5758">
        <v>2.9486080000000001</v>
      </c>
      <c r="T5758">
        <v>-8.6012720000000001E-2</v>
      </c>
      <c r="U5758">
        <v>-0.5580444</v>
      </c>
      <c r="V5758">
        <v>0.2018546</v>
      </c>
      <c r="W5758">
        <v>1.406749E-2</v>
      </c>
      <c r="X5758">
        <v>0.97931449999999998</v>
      </c>
      <c r="Y5758">
        <v>0.176296799999999</v>
      </c>
      <c r="Z5758">
        <v>-2.2663520000000001E-3</v>
      </c>
      <c r="AA5758">
        <v>0.9843345</v>
      </c>
      <c r="AB5758">
        <v>26</v>
      </c>
      <c r="AC5758">
        <v>37.783499999999997</v>
      </c>
      <c r="AD5758">
        <v>-1.109650764905</v>
      </c>
      <c r="AE5758">
        <v>-7.1958999999999902</v>
      </c>
      <c r="AF5758">
        <v>6.8214173068303099</v>
      </c>
      <c r="AG5758">
        <v>-1.109650764905</v>
      </c>
      <c r="AH5758">
        <v>37.820398418540499</v>
      </c>
      <c r="AI5758">
        <v>91.653905368440206</v>
      </c>
      <c r="AJ5758">
        <v>79.775857275159098</v>
      </c>
      <c r="AK5758">
        <v>38.446659093230899</v>
      </c>
      <c r="AL5758">
        <v>89.193965633919305</v>
      </c>
      <c r="AM5758">
        <v>78.353399800476495</v>
      </c>
      <c r="AN5758">
        <v>1.0000000318631499</v>
      </c>
    </row>
    <row r="5759" spans="1:40" x14ac:dyDescent="0.25">
      <c r="A5759" t="str">
        <f>"20190312150808305"</f>
        <v>20190312150808305</v>
      </c>
      <c r="B5759" t="str">
        <f>"1552374488296138"</f>
        <v>1552374488296138</v>
      </c>
      <c r="C5759" t="s">
        <v>40</v>
      </c>
      <c r="D5759">
        <v>4.5440759999999996</v>
      </c>
      <c r="E5759">
        <v>0.49116359999999998</v>
      </c>
      <c r="F5759" t="s">
        <v>61</v>
      </c>
      <c r="G5759">
        <v>-195.4889</v>
      </c>
      <c r="H5759" s="1">
        <v>3.7460889999999999E-6</v>
      </c>
      <c r="I5759">
        <v>208.41540000000001</v>
      </c>
      <c r="J5759">
        <v>-235.20419999999999</v>
      </c>
      <c r="K5759">
        <v>1.1096619999999999</v>
      </c>
      <c r="L5759">
        <v>216.07230000000001</v>
      </c>
      <c r="M5759">
        <v>0.99984430000000002</v>
      </c>
      <c r="N5759">
        <v>0</v>
      </c>
      <c r="O5759">
        <v>-1.084941E-2</v>
      </c>
      <c r="P5759">
        <v>0.97708519999999999</v>
      </c>
      <c r="Q5759">
        <v>7.5402899999999905E-4</v>
      </c>
      <c r="R5759">
        <v>-0.21284819999999999</v>
      </c>
      <c r="S5759">
        <v>2.9472809999999998</v>
      </c>
      <c r="T5759">
        <v>-8.18218E-2</v>
      </c>
      <c r="U5759">
        <v>-0.56486510000000001</v>
      </c>
      <c r="V5759">
        <v>0.20226069999999999</v>
      </c>
      <c r="W5759">
        <v>1.4008369999999999E-2</v>
      </c>
      <c r="X5759">
        <v>0.97923150000000003</v>
      </c>
      <c r="Y5759">
        <v>0.17750099999999999</v>
      </c>
      <c r="Z5759">
        <v>-2.142821E-3</v>
      </c>
      <c r="AA5759">
        <v>0.9841183</v>
      </c>
      <c r="AB5759">
        <v>26</v>
      </c>
      <c r="AC5759">
        <v>39.7152999999999</v>
      </c>
      <c r="AD5759">
        <v>-1.109658253911</v>
      </c>
      <c r="AE5759">
        <v>-7.6569000000000003</v>
      </c>
      <c r="AF5759">
        <v>7.2200855045639099</v>
      </c>
      <c r="AG5759">
        <v>-1.109658253911</v>
      </c>
      <c r="AH5759">
        <v>39.766111599862199</v>
      </c>
      <c r="AI5759">
        <v>91.572703212919393</v>
      </c>
      <c r="AJ5759">
        <v>79.709263923002297</v>
      </c>
      <c r="AK5759">
        <v>40.4314804070588</v>
      </c>
      <c r="AL5759">
        <v>89.197353250783607</v>
      </c>
      <c r="AM5759">
        <v>78.329648680295506</v>
      </c>
      <c r="AN5759">
        <v>0.99999997789339801</v>
      </c>
    </row>
    <row r="5760" spans="1:40" x14ac:dyDescent="0.25">
      <c r="A5760" t="str">
        <f>"20190312150808327"</f>
        <v>20190312150808327</v>
      </c>
      <c r="B5760" t="str">
        <f>"1552374488315654"</f>
        <v>1552374488315654</v>
      </c>
      <c r="C5760" t="s">
        <v>40</v>
      </c>
      <c r="D5760">
        <v>4.4367910000000004</v>
      </c>
      <c r="E5760">
        <v>0.49135610000000002</v>
      </c>
      <c r="F5760" t="s">
        <v>61</v>
      </c>
      <c r="G5760">
        <v>-194.27690000000001</v>
      </c>
      <c r="H5760" s="1">
        <v>4.0290919999999999E-6</v>
      </c>
      <c r="I5760">
        <v>208.1585</v>
      </c>
      <c r="J5760">
        <v>-234.94900000000001</v>
      </c>
      <c r="K5760">
        <v>1.109661</v>
      </c>
      <c r="L5760">
        <v>216.06819999999999</v>
      </c>
      <c r="M5760">
        <v>0.99983169999999999</v>
      </c>
      <c r="N5760">
        <v>0</v>
      </c>
      <c r="O5760">
        <v>-1.1947930000000001E-2</v>
      </c>
      <c r="P5760">
        <v>0.97681519999999999</v>
      </c>
      <c r="Q5760">
        <v>4.9300009999999998E-4</v>
      </c>
      <c r="R5760">
        <v>-0.21408379999999999</v>
      </c>
      <c r="S5760">
        <v>2.9463200000000001</v>
      </c>
      <c r="T5760">
        <v>-7.9883339999999997E-2</v>
      </c>
      <c r="U5760">
        <v>-0.56970209999999999</v>
      </c>
      <c r="V5760">
        <v>0.20242299999999999</v>
      </c>
      <c r="W5760">
        <v>1.3745179999999999E-2</v>
      </c>
      <c r="X5760">
        <v>0.97920169999999995</v>
      </c>
      <c r="Y5760">
        <v>0.17804010000000001</v>
      </c>
      <c r="Z5760">
        <v>-2.070171E-3</v>
      </c>
      <c r="AA5760">
        <v>0.98402109999999998</v>
      </c>
      <c r="AB5760">
        <v>26</v>
      </c>
      <c r="AC5760">
        <v>40.6721</v>
      </c>
      <c r="AD5760">
        <v>-1.109656970908</v>
      </c>
      <c r="AE5760">
        <v>-7.9096999999999804</v>
      </c>
      <c r="AF5760">
        <v>7.4178204723869898</v>
      </c>
      <c r="AG5760">
        <v>-1.109656970908</v>
      </c>
      <c r="AH5760">
        <v>40.734493757782602</v>
      </c>
      <c r="AI5760">
        <v>91.535186348080103</v>
      </c>
      <c r="AJ5760">
        <v>79.6794298635551</v>
      </c>
      <c r="AK5760">
        <v>41.419251331433799</v>
      </c>
      <c r="AL5760">
        <v>89.212434385158602</v>
      </c>
      <c r="AM5760">
        <v>78.320195540046399</v>
      </c>
      <c r="AN5760">
        <v>0.99999998509256105</v>
      </c>
    </row>
    <row r="5761" spans="1:40" x14ac:dyDescent="0.25">
      <c r="A5761" t="str">
        <f>"20190312150808349"</f>
        <v>20190312150808349</v>
      </c>
      <c r="B5761" t="str">
        <f>"1552374488345910"</f>
        <v>1552374488345910</v>
      </c>
      <c r="C5761" t="s">
        <v>40</v>
      </c>
      <c r="D5761">
        <v>4.469392</v>
      </c>
      <c r="E5761">
        <v>0.49142720000000001</v>
      </c>
      <c r="F5761" t="s">
        <v>61</v>
      </c>
      <c r="G5761">
        <v>-192.89670000000001</v>
      </c>
      <c r="H5761" s="1">
        <v>4.3788999999999997E-6</v>
      </c>
      <c r="I5761">
        <v>207.8586</v>
      </c>
      <c r="J5761">
        <v>-234.69450000000001</v>
      </c>
      <c r="K5761">
        <v>1.109666</v>
      </c>
      <c r="L5761">
        <v>216.06389999999999</v>
      </c>
      <c r="M5761">
        <v>0.99981799999999998</v>
      </c>
      <c r="N5761">
        <v>0</v>
      </c>
      <c r="O5761">
        <v>-1.3043219999999999E-2</v>
      </c>
      <c r="P5761">
        <v>0.97657620000000001</v>
      </c>
      <c r="Q5761">
        <v>6.5087339999999997E-4</v>
      </c>
      <c r="R5761">
        <v>-0.21517140000000001</v>
      </c>
      <c r="S5761">
        <v>2.9451900000000002</v>
      </c>
      <c r="T5761">
        <v>-7.7716229999999997E-2</v>
      </c>
      <c r="U5761">
        <v>-0.57496639999999999</v>
      </c>
      <c r="V5761">
        <v>0.2024408</v>
      </c>
      <c r="W5761">
        <v>1.390109E-2</v>
      </c>
      <c r="X5761">
        <v>0.97919579999999995</v>
      </c>
      <c r="Y5761">
        <v>0.17873049999999999</v>
      </c>
      <c r="Z5761">
        <v>-1.9948600000000002E-3</v>
      </c>
      <c r="AA5761">
        <v>0.98389610000000005</v>
      </c>
      <c r="AB5761">
        <v>26</v>
      </c>
      <c r="AC5761">
        <v>41.797800000000002</v>
      </c>
      <c r="AD5761">
        <v>-1.1096616210999899</v>
      </c>
      <c r="AE5761">
        <v>-8.2052999999999905</v>
      </c>
      <c r="AF5761">
        <v>7.6541765393571497</v>
      </c>
      <c r="AG5761">
        <v>-1.1096616210999899</v>
      </c>
      <c r="AH5761">
        <v>41.872860200161298</v>
      </c>
      <c r="AI5761">
        <v>91.493292892081001</v>
      </c>
      <c r="AJ5761">
        <v>79.640950434049103</v>
      </c>
      <c r="AK5761">
        <v>42.581148278918498</v>
      </c>
      <c r="AL5761">
        <v>89.203500531466005</v>
      </c>
      <c r="AM5761">
        <v>78.319128254529204</v>
      </c>
      <c r="AN5761">
        <v>0.99999996627273302</v>
      </c>
    </row>
    <row r="5762" spans="1:40" x14ac:dyDescent="0.25">
      <c r="A5762" t="str">
        <f>"20190312150808373"</f>
        <v>20190312150808373</v>
      </c>
      <c r="B5762" t="str">
        <f>"1552374488365429"</f>
        <v>1552374488365429</v>
      </c>
      <c r="C5762" t="s">
        <v>40</v>
      </c>
      <c r="D5762">
        <v>4.7203299999999997</v>
      </c>
      <c r="E5762">
        <v>0.49155929999999998</v>
      </c>
      <c r="F5762" t="s">
        <v>61</v>
      </c>
      <c r="G5762">
        <v>-192.43430000000001</v>
      </c>
      <c r="H5762" s="1">
        <v>4.5181370000000004E-6</v>
      </c>
      <c r="I5762">
        <v>207.75470000000001</v>
      </c>
      <c r="J5762">
        <v>-234.43049999999999</v>
      </c>
      <c r="K5762">
        <v>1.1096699999999999</v>
      </c>
      <c r="L5762">
        <v>216.0591</v>
      </c>
      <c r="M5762">
        <v>0.99980279999999999</v>
      </c>
      <c r="N5762">
        <v>0</v>
      </c>
      <c r="O5762">
        <v>-1.4178319999999999E-2</v>
      </c>
      <c r="P5762">
        <v>0.97635139999999998</v>
      </c>
      <c r="Q5762">
        <v>1.509521E-3</v>
      </c>
      <c r="R5762">
        <v>-0.2161854</v>
      </c>
      <c r="S5762">
        <v>2.9444430000000001</v>
      </c>
      <c r="T5762">
        <v>-7.7314729999999998E-2</v>
      </c>
      <c r="U5762">
        <v>-0.5789337</v>
      </c>
      <c r="V5762">
        <v>0.20234750000000001</v>
      </c>
      <c r="W5762">
        <v>1.4759309999999999E-2</v>
      </c>
      <c r="X5762">
        <v>0.97920260000000003</v>
      </c>
      <c r="Y5762">
        <v>0.17893800000000001</v>
      </c>
      <c r="Z5762">
        <v>-1.9579969999999999E-3</v>
      </c>
      <c r="AA5762">
        <v>0.98385840000000002</v>
      </c>
      <c r="AB5762">
        <v>26</v>
      </c>
      <c r="AC5762">
        <v>41.996199999999902</v>
      </c>
      <c r="AD5762">
        <v>-1.1096654818629901</v>
      </c>
      <c r="AE5762">
        <v>-8.3043999999999798</v>
      </c>
      <c r="AF5762">
        <v>7.7028963780674298</v>
      </c>
      <c r="AG5762">
        <v>-1.1096654818629901</v>
      </c>
      <c r="AH5762">
        <v>42.081457033463202</v>
      </c>
      <c r="AI5762">
        <v>91.485833017072594</v>
      </c>
      <c r="AJ5762">
        <v>79.626999505710501</v>
      </c>
      <c r="AK5762">
        <v>42.7950347137619</v>
      </c>
      <c r="AL5762">
        <v>89.154323157020798</v>
      </c>
      <c r="AM5762">
        <v>78.324442703348097</v>
      </c>
      <c r="AN5762">
        <v>1.0000000399173401</v>
      </c>
    </row>
    <row r="5763" spans="1:40" x14ac:dyDescent="0.25">
      <c r="A5763" t="str">
        <f>"20190312150808394"</f>
        <v>20190312150808394</v>
      </c>
      <c r="B5763" t="str">
        <f>"1552374488385926"</f>
        <v>1552374488385926</v>
      </c>
      <c r="C5763" t="s">
        <v>40</v>
      </c>
      <c r="D5763">
        <v>4.5803609999999999</v>
      </c>
      <c r="E5763">
        <v>0.49159849999999999</v>
      </c>
      <c r="F5763" t="s">
        <v>61</v>
      </c>
      <c r="G5763">
        <v>-190.49930000000001</v>
      </c>
      <c r="H5763" s="1">
        <v>5.0868829999999997E-6</v>
      </c>
      <c r="I5763">
        <v>207.3596</v>
      </c>
      <c r="J5763">
        <v>-234.18039999999999</v>
      </c>
      <c r="K5763">
        <v>1.109675</v>
      </c>
      <c r="L5763">
        <v>216.05439999999999</v>
      </c>
      <c r="M5763">
        <v>0.99978699999999998</v>
      </c>
      <c r="N5763">
        <v>0</v>
      </c>
      <c r="O5763">
        <v>-1.524903E-2</v>
      </c>
      <c r="P5763">
        <v>0.97616599999999998</v>
      </c>
      <c r="Q5763">
        <v>1.9655530000000001E-3</v>
      </c>
      <c r="R5763">
        <v>-0.21701670000000001</v>
      </c>
      <c r="S5763">
        <v>2.9437099999999998</v>
      </c>
      <c r="T5763">
        <v>-7.4355599999999994E-2</v>
      </c>
      <c r="U5763">
        <v>-0.58293149999999905</v>
      </c>
      <c r="V5763">
        <v>0.20213339999999999</v>
      </c>
      <c r="W5763">
        <v>1.5215589999999999E-2</v>
      </c>
      <c r="X5763">
        <v>0.97923979999999999</v>
      </c>
      <c r="Y5763">
        <v>0.17922109999999999</v>
      </c>
      <c r="Z5763">
        <v>-1.8600750000000001E-3</v>
      </c>
      <c r="AA5763">
        <v>0.98380710000000005</v>
      </c>
      <c r="AB5763">
        <v>25</v>
      </c>
      <c r="AC5763">
        <v>43.681100000000001</v>
      </c>
      <c r="AD5763">
        <v>-1.109669913117</v>
      </c>
      <c r="AE5763">
        <v>-8.6947999999999794</v>
      </c>
      <c r="AF5763">
        <v>8.0226498428367208</v>
      </c>
      <c r="AG5763">
        <v>-1.109669913117</v>
      </c>
      <c r="AH5763">
        <v>43.781442305833401</v>
      </c>
      <c r="AI5763">
        <v>91.428120281716303</v>
      </c>
      <c r="AJ5763">
        <v>79.616140802462994</v>
      </c>
      <c r="AK5763">
        <v>44.524251461376203</v>
      </c>
      <c r="AL5763">
        <v>89.128177273108307</v>
      </c>
      <c r="AM5763">
        <v>78.336888687395401</v>
      </c>
      <c r="AN5763">
        <v>1.0000000057393199</v>
      </c>
    </row>
    <row r="5764" spans="1:40" x14ac:dyDescent="0.25">
      <c r="A5764" t="str">
        <f>"20190312150808416"</f>
        <v>20190312150808416</v>
      </c>
      <c r="B5764" t="str">
        <f>"1552374488405446"</f>
        <v>1552374488405446</v>
      </c>
      <c r="C5764" t="s">
        <v>40</v>
      </c>
      <c r="D5764">
        <v>4.5296820000000002</v>
      </c>
      <c r="E5764">
        <v>0.49174240000000002</v>
      </c>
      <c r="F5764" t="s">
        <v>61</v>
      </c>
      <c r="G5764">
        <v>-188.4504</v>
      </c>
      <c r="H5764" s="1">
        <v>5.0838029999999901E-6</v>
      </c>
      <c r="I5764">
        <v>206.95160000000001</v>
      </c>
      <c r="J5764">
        <v>-233.93450000000001</v>
      </c>
      <c r="K5764">
        <v>1.109683</v>
      </c>
      <c r="L5764">
        <v>216.04939999999999</v>
      </c>
      <c r="M5764">
        <v>0.99977050000000001</v>
      </c>
      <c r="N5764">
        <v>0</v>
      </c>
      <c r="O5764">
        <v>-1.6294289999999999E-2</v>
      </c>
      <c r="P5764">
        <v>0.97586459999999997</v>
      </c>
      <c r="Q5764">
        <v>2.0292650000000001E-3</v>
      </c>
      <c r="R5764">
        <v>-0.21836820000000001</v>
      </c>
      <c r="S5764">
        <v>2.94313</v>
      </c>
      <c r="T5764">
        <v>-7.1416969999999996E-2</v>
      </c>
      <c r="U5764">
        <v>-0.58584590000000003</v>
      </c>
      <c r="V5764">
        <v>0.20246539999999999</v>
      </c>
      <c r="W5764">
        <v>1.527853E-2</v>
      </c>
      <c r="X5764">
        <v>0.97917019999999999</v>
      </c>
      <c r="Y5764">
        <v>0.17917089999999999</v>
      </c>
      <c r="Z5764">
        <v>-1.7610620000000001E-3</v>
      </c>
      <c r="AA5764">
        <v>0.98381640000000004</v>
      </c>
      <c r="AB5764">
        <v>25</v>
      </c>
      <c r="AC5764">
        <v>45.484099999999998</v>
      </c>
      <c r="AD5764">
        <v>-1.1096779161970001</v>
      </c>
      <c r="AE5764">
        <v>-9.0977999999999692</v>
      </c>
      <c r="AF5764">
        <v>8.3506099178041193</v>
      </c>
      <c r="AG5764">
        <v>-1.1096779161970001</v>
      </c>
      <c r="AH5764">
        <v>45.600219013906397</v>
      </c>
      <c r="AI5764">
        <v>91.371219745587197</v>
      </c>
      <c r="AJ5764">
        <v>79.622606205270898</v>
      </c>
      <c r="AK5764">
        <v>46.371802263803097</v>
      </c>
      <c r="AL5764">
        <v>89.124570631591595</v>
      </c>
      <c r="AM5764">
        <v>78.317450808931099</v>
      </c>
      <c r="AN5764">
        <v>0.99999997612208003</v>
      </c>
    </row>
    <row r="5765" spans="1:40" x14ac:dyDescent="0.25">
      <c r="A5765" t="str">
        <f>"20190312150808439"</f>
        <v>20190312150808439</v>
      </c>
      <c r="B5765" t="str">
        <f>"1552374488435702"</f>
        <v>1552374488435702</v>
      </c>
      <c r="C5765" t="s">
        <v>40</v>
      </c>
      <c r="D5765">
        <v>4.4512539999999996</v>
      </c>
      <c r="E5765">
        <v>0.51583659999999998</v>
      </c>
      <c r="F5765" t="s">
        <v>61</v>
      </c>
      <c r="G5765">
        <v>-188.34979999999999</v>
      </c>
      <c r="H5765" s="1">
        <v>5.0874879999999997E-6</v>
      </c>
      <c r="I5765">
        <v>206.89070000000001</v>
      </c>
      <c r="J5765">
        <v>-233.67859999999999</v>
      </c>
      <c r="K5765">
        <v>1.109686</v>
      </c>
      <c r="L5765">
        <v>216.04400000000001</v>
      </c>
      <c r="M5765">
        <v>0.99975250000000004</v>
      </c>
      <c r="N5765">
        <v>0</v>
      </c>
      <c r="O5765">
        <v>-1.7368560000000002E-2</v>
      </c>
      <c r="P5765">
        <v>0.97547660000000003</v>
      </c>
      <c r="Q5765">
        <v>9.6380870000000005E-4</v>
      </c>
      <c r="R5765">
        <v>-0.22010109999999999</v>
      </c>
      <c r="S5765">
        <v>2.942062</v>
      </c>
      <c r="T5765">
        <v>-7.1619150000000006E-2</v>
      </c>
      <c r="U5765">
        <v>-0.59111020000000003</v>
      </c>
      <c r="V5765">
        <v>0.20315030000000001</v>
      </c>
      <c r="W5765">
        <v>1.421243E-2</v>
      </c>
      <c r="X5765">
        <v>0.97904440000000004</v>
      </c>
      <c r="Y5765">
        <v>0.1798746</v>
      </c>
      <c r="Z5765">
        <v>-1.7489820000000001E-3</v>
      </c>
      <c r="AA5765">
        <v>0.98368800000000001</v>
      </c>
      <c r="AB5765">
        <v>25</v>
      </c>
      <c r="AC5765">
        <v>45.328800000000001</v>
      </c>
      <c r="AD5765">
        <v>-1.109680912512</v>
      </c>
      <c r="AE5765">
        <v>-9.1532999999999998</v>
      </c>
      <c r="AF5765">
        <v>8.3597331882054</v>
      </c>
      <c r="AG5765">
        <v>-1.109680912512</v>
      </c>
      <c r="AH5765">
        <v>45.454782074747598</v>
      </c>
      <c r="AI5765">
        <v>91.375417093372505</v>
      </c>
      <c r="AJ5765">
        <v>79.579003470768697</v>
      </c>
      <c r="AK5765">
        <v>46.230441747493302</v>
      </c>
      <c r="AL5765">
        <v>89.185660317340094</v>
      </c>
      <c r="AM5765">
        <v>78.277558308284</v>
      </c>
      <c r="AN5765">
        <v>0.99999998736397699</v>
      </c>
    </row>
    <row r="5766" spans="1:40" x14ac:dyDescent="0.25">
      <c r="A5766" t="str">
        <f>"20190312150808462"</f>
        <v>20190312150808462</v>
      </c>
      <c r="B5766" t="str">
        <f>"1552374488456201"</f>
        <v>1552374488456201</v>
      </c>
      <c r="C5766" t="s">
        <v>40</v>
      </c>
      <c r="D5766">
        <v>4.4727329999999998</v>
      </c>
      <c r="E5766">
        <v>0.51664520000000003</v>
      </c>
      <c r="F5766" t="s">
        <v>61</v>
      </c>
      <c r="G5766">
        <v>-179.9742</v>
      </c>
      <c r="H5766" s="1">
        <v>4.7822599999999997E-6</v>
      </c>
      <c r="I5766">
        <v>201.52549999999999</v>
      </c>
      <c r="J5766">
        <v>-233.42240000000001</v>
      </c>
      <c r="K5766">
        <v>1.1097109999999999</v>
      </c>
      <c r="L5766">
        <v>216.03829999999999</v>
      </c>
      <c r="M5766">
        <v>0.99973369999999995</v>
      </c>
      <c r="N5766">
        <v>0</v>
      </c>
      <c r="O5766">
        <v>-1.8422810000000001E-2</v>
      </c>
      <c r="P5766">
        <v>0.97523839999999995</v>
      </c>
      <c r="Q5766">
        <v>1.044272E-3</v>
      </c>
      <c r="R5766">
        <v>-0.22115460000000001</v>
      </c>
      <c r="S5766">
        <v>2.898666</v>
      </c>
      <c r="T5766">
        <v>-5.989444E-2</v>
      </c>
      <c r="U5766">
        <v>-0.78363039999999995</v>
      </c>
      <c r="V5766">
        <v>0.20317460000000001</v>
      </c>
      <c r="W5766">
        <v>1.4298730000000001E-2</v>
      </c>
      <c r="X5766">
        <v>0.97903810000000002</v>
      </c>
      <c r="Y5766">
        <v>0.24309819999999999</v>
      </c>
      <c r="Z5766">
        <v>-2.0932979999999999E-3</v>
      </c>
      <c r="AA5766">
        <v>0.96999939999999996</v>
      </c>
      <c r="AB5766">
        <v>25</v>
      </c>
      <c r="AC5766">
        <v>53.4482</v>
      </c>
      <c r="AD5766">
        <v>-1.1097062177399999</v>
      </c>
      <c r="AE5766">
        <v>-14.5128</v>
      </c>
      <c r="AF5766">
        <v>13.5201474009679</v>
      </c>
      <c r="AG5766">
        <v>-1.1097062177399999</v>
      </c>
      <c r="AH5766">
        <v>53.684966684715</v>
      </c>
      <c r="AI5766">
        <v>91.148329349310401</v>
      </c>
      <c r="AJ5766">
        <v>75.864450918105703</v>
      </c>
      <c r="AK5766">
        <v>55.372389162583097</v>
      </c>
      <c r="AL5766">
        <v>89.180715188299104</v>
      </c>
      <c r="AM5766">
        <v>78.276121575219804</v>
      </c>
      <c r="AN5766">
        <v>0.999999986508191</v>
      </c>
    </row>
    <row r="5767" spans="1:40" x14ac:dyDescent="0.25">
      <c r="A5767" t="str">
        <f>"20190312150808484"</f>
        <v>20190312150808484</v>
      </c>
      <c r="B5767" t="str">
        <f>"1552374488475718"</f>
        <v>1552374488475718</v>
      </c>
      <c r="C5767" t="s">
        <v>40</v>
      </c>
      <c r="D5767">
        <v>4.5029589999999997</v>
      </c>
      <c r="E5767">
        <v>0.51718809999999904</v>
      </c>
      <c r="F5767" t="s">
        <v>61</v>
      </c>
      <c r="G5767">
        <v>-179.95779999999999</v>
      </c>
      <c r="H5767">
        <v>1.1928900000000001E-3</v>
      </c>
      <c r="I5767">
        <v>201.39830000000001</v>
      </c>
      <c r="J5767">
        <v>-233.16069999999999</v>
      </c>
      <c r="K5767">
        <v>1.109731</v>
      </c>
      <c r="L5767">
        <v>216.03229999999999</v>
      </c>
      <c r="M5767">
        <v>0.99971379999999999</v>
      </c>
      <c r="N5767">
        <v>0</v>
      </c>
      <c r="O5767">
        <v>-1.9468590000000001E-2</v>
      </c>
      <c r="P5767">
        <v>0.97485599999999994</v>
      </c>
      <c r="Q5767">
        <v>1.574207E-3</v>
      </c>
      <c r="R5767">
        <v>-0.22283049999999999</v>
      </c>
      <c r="S5767">
        <v>2.8963779999999999</v>
      </c>
      <c r="T5767">
        <v>-6.0052510000000003E-2</v>
      </c>
      <c r="U5767">
        <v>-0.79310609999999904</v>
      </c>
      <c r="V5767">
        <v>0.2038335</v>
      </c>
      <c r="W5767">
        <v>1.483369E-2</v>
      </c>
      <c r="X5767">
        <v>0.97889320000000002</v>
      </c>
      <c r="Y5767">
        <v>0.24523020000000001</v>
      </c>
      <c r="Z5767">
        <v>-2.0999780000000002E-3</v>
      </c>
      <c r="AA5767">
        <v>0.96946259999999995</v>
      </c>
      <c r="AB5767">
        <v>25</v>
      </c>
      <c r="AC5767">
        <v>53.2029</v>
      </c>
      <c r="AD5767">
        <v>-1.10853811</v>
      </c>
      <c r="AE5767">
        <v>-14.633999999999901</v>
      </c>
      <c r="AF5767">
        <v>13.589855369981899</v>
      </c>
      <c r="AG5767">
        <v>-1.10853811</v>
      </c>
      <c r="AH5767">
        <v>53.456170168350802</v>
      </c>
      <c r="AI5767">
        <v>91.151377160320095</v>
      </c>
      <c r="AJ5767">
        <v>75.736188775161295</v>
      </c>
      <c r="AK5767">
        <v>55.167700285457201</v>
      </c>
      <c r="AL5767">
        <v>89.150061009799302</v>
      </c>
      <c r="AM5767">
        <v>78.237465748590196</v>
      </c>
      <c r="AN5767">
        <v>1.0000000155437501</v>
      </c>
    </row>
    <row r="5768" spans="1:40" x14ac:dyDescent="0.25">
      <c r="A5768" t="str">
        <f>"20190312150808505"</f>
        <v>20190312150808505</v>
      </c>
      <c r="B5768" t="str">
        <f>"1552374488496214"</f>
        <v>1552374488496214</v>
      </c>
      <c r="C5768" t="s">
        <v>40</v>
      </c>
      <c r="D5768">
        <v>4.5037859999999998</v>
      </c>
      <c r="E5768">
        <v>0.51707139999999996</v>
      </c>
      <c r="F5768" t="s">
        <v>61</v>
      </c>
      <c r="G5768">
        <v>-180.46090000000001</v>
      </c>
      <c r="H5768" s="1">
        <v>4.9393250000000004E-6</v>
      </c>
      <c r="I5768">
        <v>201.4213</v>
      </c>
      <c r="J5768">
        <v>-232.9194</v>
      </c>
      <c r="K5768">
        <v>1.1097619999999999</v>
      </c>
      <c r="L5768">
        <v>216.0265</v>
      </c>
      <c r="M5768">
        <v>0.99969549999999996</v>
      </c>
      <c r="N5768">
        <v>0</v>
      </c>
      <c r="O5768">
        <v>-2.0393649999999999E-2</v>
      </c>
      <c r="P5768">
        <v>0.97452550000000004</v>
      </c>
      <c r="Q5768">
        <v>1.6781470000000001E-3</v>
      </c>
      <c r="R5768">
        <v>-0.22427159999999999</v>
      </c>
      <c r="S5768">
        <v>2.8940890000000001</v>
      </c>
      <c r="T5768">
        <v>-6.0942290000000003E-2</v>
      </c>
      <c r="U5768">
        <v>-0.80238339999999997</v>
      </c>
      <c r="V5768">
        <v>0.2043741</v>
      </c>
      <c r="W5768">
        <v>1.494621E-2</v>
      </c>
      <c r="X5768">
        <v>0.9787787</v>
      </c>
      <c r="Y5768">
        <v>0.24741440000000001</v>
      </c>
      <c r="Z5768">
        <v>-2.1353019999999999E-3</v>
      </c>
      <c r="AA5768">
        <v>0.96890739999999997</v>
      </c>
      <c r="AB5768">
        <v>25</v>
      </c>
      <c r="AC5768">
        <v>52.458500000000001</v>
      </c>
      <c r="AD5768">
        <v>-1.109757060675</v>
      </c>
      <c r="AE5768">
        <v>-14.6051999999999</v>
      </c>
      <c r="AF5768">
        <v>13.5266202847143</v>
      </c>
      <c r="AG5768">
        <v>-1.109757060675</v>
      </c>
      <c r="AH5768">
        <v>52.723572007079802</v>
      </c>
      <c r="AI5768">
        <v>91.168001185292496</v>
      </c>
      <c r="AJ5768">
        <v>75.610697387879199</v>
      </c>
      <c r="AK5768">
        <v>54.4424105109821</v>
      </c>
      <c r="AL5768">
        <v>89.143613320219004</v>
      </c>
      <c r="AM5768">
        <v>78.205801168679997</v>
      </c>
      <c r="AN5768">
        <v>0.99999995275893006</v>
      </c>
    </row>
    <row r="5769" spans="1:40" x14ac:dyDescent="0.25">
      <c r="A5769" t="str">
        <f>"20190312150808529"</f>
        <v>20190312150808529</v>
      </c>
      <c r="B5769" t="str">
        <f>"1552374488525495"</f>
        <v>1552374488525495</v>
      </c>
      <c r="C5769" t="s">
        <v>40</v>
      </c>
      <c r="D5769">
        <v>4.5131119999999996</v>
      </c>
      <c r="E5769">
        <v>0.51735810000000004</v>
      </c>
      <c r="F5769" t="s">
        <v>61</v>
      </c>
      <c r="G5769">
        <v>-179.95099999999999</v>
      </c>
      <c r="H5769">
        <v>5.6776529999999999E-2</v>
      </c>
      <c r="I5769">
        <v>201.27680000000001</v>
      </c>
      <c r="J5769">
        <v>-232.6618</v>
      </c>
      <c r="K5769">
        <v>1.1097939999999999</v>
      </c>
      <c r="L5769">
        <v>216.02010000000001</v>
      </c>
      <c r="M5769">
        <v>0.9996756</v>
      </c>
      <c r="N5769">
        <v>0</v>
      </c>
      <c r="O5769">
        <v>-2.1343939999999999E-2</v>
      </c>
      <c r="P5769">
        <v>0.97434180000000004</v>
      </c>
      <c r="Q5769">
        <v>1.74806299999999E-3</v>
      </c>
      <c r="R5769">
        <v>-0.2250672</v>
      </c>
      <c r="S5769">
        <v>2.8931429999999998</v>
      </c>
      <c r="T5769">
        <v>-5.751419E-2</v>
      </c>
      <c r="U5769">
        <v>-0.8056335</v>
      </c>
      <c r="V5769">
        <v>0.2042416</v>
      </c>
      <c r="W5769">
        <v>1.5028690000000001E-2</v>
      </c>
      <c r="X5769">
        <v>0.97880509999999998</v>
      </c>
      <c r="Y5769">
        <v>0.24759059999999999</v>
      </c>
      <c r="Z5769">
        <v>-1.9987590000000001E-3</v>
      </c>
      <c r="AA5769">
        <v>0.96886269999999997</v>
      </c>
      <c r="AB5769">
        <v>25</v>
      </c>
      <c r="AC5769">
        <v>52.710799999999999</v>
      </c>
      <c r="AD5769">
        <v>-1.0530174699999999</v>
      </c>
      <c r="AE5769">
        <v>-14.7433</v>
      </c>
      <c r="AF5769">
        <v>13.6097384713071</v>
      </c>
      <c r="AG5769">
        <v>-1.0530174699999999</v>
      </c>
      <c r="AH5769">
        <v>52.993885395831299</v>
      </c>
      <c r="AI5769">
        <v>91.102578165806307</v>
      </c>
      <c r="AJ5769">
        <v>75.596732615266802</v>
      </c>
      <c r="AK5769">
        <v>54.723721697231099</v>
      </c>
      <c r="AL5769">
        <v>89.138887037972395</v>
      </c>
      <c r="AM5769">
        <v>78.213542631576303</v>
      </c>
      <c r="AN5769">
        <v>0.999999958239842</v>
      </c>
    </row>
    <row r="5770" spans="1:40" x14ac:dyDescent="0.25">
      <c r="A5770" t="str">
        <f>"20190312150808551"</f>
        <v>20190312150808551</v>
      </c>
      <c r="B5770" t="str">
        <f>"1552374488545993"</f>
        <v>1552374488545993</v>
      </c>
      <c r="C5770" t="s">
        <v>40</v>
      </c>
      <c r="D5770">
        <v>4.5159750000000001</v>
      </c>
      <c r="E5770">
        <v>0.51756659999999999</v>
      </c>
      <c r="F5770" t="s">
        <v>61</v>
      </c>
      <c r="G5770">
        <v>-181.74170000000001</v>
      </c>
      <c r="H5770" s="1">
        <v>5.1918449999999998E-6</v>
      </c>
      <c r="I5770">
        <v>201.75460000000001</v>
      </c>
      <c r="J5770">
        <v>-232.40860000000001</v>
      </c>
      <c r="K5770">
        <v>1.1098269999999999</v>
      </c>
      <c r="L5770">
        <v>216.0137</v>
      </c>
      <c r="M5770">
        <v>0.99965630000000005</v>
      </c>
      <c r="N5770">
        <v>0</v>
      </c>
      <c r="O5770">
        <v>-2.2235350000000001E-2</v>
      </c>
      <c r="P5770">
        <v>0.97415850000000004</v>
      </c>
      <c r="Q5770">
        <v>1.7890779999999999E-3</v>
      </c>
      <c r="R5770">
        <v>-0.22585920000000001</v>
      </c>
      <c r="S5770">
        <v>2.8919679999999999</v>
      </c>
      <c r="T5770">
        <v>-6.302953E-2</v>
      </c>
      <c r="U5770">
        <v>-0.81019589999999997</v>
      </c>
      <c r="V5770">
        <v>0.2041636</v>
      </c>
      <c r="W5770">
        <v>1.5082089999999999E-2</v>
      </c>
      <c r="X5770">
        <v>0.97882060000000004</v>
      </c>
      <c r="Y5770">
        <v>0.24823790000000001</v>
      </c>
      <c r="Z5770">
        <v>-2.1786829999999998E-3</v>
      </c>
      <c r="AA5770">
        <v>0.96869669999999997</v>
      </c>
      <c r="AB5770">
        <v>25</v>
      </c>
      <c r="AC5770">
        <v>50.666899999999998</v>
      </c>
      <c r="AD5770">
        <v>-1.109821808155</v>
      </c>
      <c r="AE5770">
        <v>-14.259099999999901</v>
      </c>
      <c r="AF5770">
        <v>13.123034734109099</v>
      </c>
      <c r="AG5770">
        <v>-1.109821808155</v>
      </c>
      <c r="AH5770">
        <v>50.948806469981299</v>
      </c>
      <c r="AI5770">
        <v>91.208450420877995</v>
      </c>
      <c r="AJ5770">
        <v>75.556114757499898</v>
      </c>
      <c r="AK5770">
        <v>52.623441789701502</v>
      </c>
      <c r="AL5770">
        <v>89.1358271376792</v>
      </c>
      <c r="AM5770">
        <v>78.218099397714994</v>
      </c>
      <c r="AN5770">
        <v>1.0000000059940399</v>
      </c>
    </row>
    <row r="5771" spans="1:40" x14ac:dyDescent="0.25">
      <c r="A5771" t="str">
        <f>"20190312150808574"</f>
        <v>20190312150808574</v>
      </c>
      <c r="B5771" t="str">
        <f>"1552374488565510"</f>
        <v>1552374488565510</v>
      </c>
      <c r="C5771" t="s">
        <v>40</v>
      </c>
      <c r="D5771">
        <v>4.5246209999999998</v>
      </c>
      <c r="E5771">
        <v>0.51770490000000002</v>
      </c>
      <c r="F5771" t="s">
        <v>61</v>
      </c>
      <c r="G5771">
        <v>-183.63200000000001</v>
      </c>
      <c r="H5771" s="1">
        <v>5.5568620000000003E-6</v>
      </c>
      <c r="I5771">
        <v>202.2756</v>
      </c>
      <c r="J5771">
        <v>-232.15469999999999</v>
      </c>
      <c r="K5771">
        <v>1.1098589999999999</v>
      </c>
      <c r="L5771">
        <v>216.00700000000001</v>
      </c>
      <c r="M5771">
        <v>0.999637</v>
      </c>
      <c r="N5771">
        <v>0</v>
      </c>
      <c r="O5771">
        <v>-2.3078769999999998E-2</v>
      </c>
      <c r="P5771">
        <v>0.97396890000000003</v>
      </c>
      <c r="Q5771">
        <v>2.4313809999999998E-3</v>
      </c>
      <c r="R5771">
        <v>-0.22666849999999999</v>
      </c>
      <c r="S5771">
        <v>2.89093</v>
      </c>
      <c r="T5771">
        <v>-6.5777660000000002E-2</v>
      </c>
      <c r="U5771">
        <v>-0.8142395</v>
      </c>
      <c r="V5771">
        <v>0.20415079999999999</v>
      </c>
      <c r="W5771">
        <v>1.5738140000000001E-2</v>
      </c>
      <c r="X5771">
        <v>0.97881289999999999</v>
      </c>
      <c r="Y5771">
        <v>0.24876229999999999</v>
      </c>
      <c r="Z5771">
        <v>-2.261079E-3</v>
      </c>
      <c r="AA5771">
        <v>0.96856189999999998</v>
      </c>
      <c r="AB5771">
        <v>25</v>
      </c>
      <c r="AC5771">
        <v>48.522699999999901</v>
      </c>
      <c r="AD5771">
        <v>-1.1098534431379901</v>
      </c>
      <c r="AE5771">
        <v>-13.731400000000001</v>
      </c>
      <c r="AF5771">
        <v>12.6016855062221</v>
      </c>
      <c r="AG5771">
        <v>-1.1098534431379901</v>
      </c>
      <c r="AH5771">
        <v>48.803068787726097</v>
      </c>
      <c r="AI5771">
        <v>91.261406029165499</v>
      </c>
      <c r="AJ5771">
        <v>75.521621248726007</v>
      </c>
      <c r="AK5771">
        <v>50.416007134267304</v>
      </c>
      <c r="AL5771">
        <v>89.0982337407968</v>
      </c>
      <c r="AM5771">
        <v>78.218727327831601</v>
      </c>
      <c r="AN5771">
        <v>0.99999996569885397</v>
      </c>
    </row>
    <row r="5772" spans="1:40" x14ac:dyDescent="0.25">
      <c r="A5772" t="str">
        <f>"20190312150808595"</f>
        <v>20190312150808595</v>
      </c>
      <c r="B5772" t="str">
        <f>"1552374488586005"</f>
        <v>1552374488586005</v>
      </c>
      <c r="C5772" t="s">
        <v>40</v>
      </c>
      <c r="D5772">
        <v>4.5312789999999996</v>
      </c>
      <c r="E5772">
        <v>0.51777259999999903</v>
      </c>
      <c r="F5772" t="s">
        <v>61</v>
      </c>
      <c r="G5772">
        <v>-183.72300000000001</v>
      </c>
      <c r="H5772" s="1">
        <v>5.5736369999999998E-6</v>
      </c>
      <c r="I5772">
        <v>202.30369999999999</v>
      </c>
      <c r="J5772">
        <v>-231.9049</v>
      </c>
      <c r="K5772">
        <v>1.1098920000000001</v>
      </c>
      <c r="L5772">
        <v>216.00030000000001</v>
      </c>
      <c r="M5772">
        <v>0.99961900000000004</v>
      </c>
      <c r="N5772">
        <v>0</v>
      </c>
      <c r="O5772">
        <v>-2.385671E-2</v>
      </c>
      <c r="P5772">
        <v>0.97378589999999998</v>
      </c>
      <c r="Q5772">
        <v>2.9317850000000001E-3</v>
      </c>
      <c r="R5772">
        <v>-0.2274485</v>
      </c>
      <c r="S5772">
        <v>2.8900600000000001</v>
      </c>
      <c r="T5772">
        <v>-6.622815E-2</v>
      </c>
      <c r="U5772">
        <v>-0.81771850000000001</v>
      </c>
      <c r="V5772">
        <v>0.2041723</v>
      </c>
      <c r="W5772">
        <v>1.625306E-2</v>
      </c>
      <c r="X5772">
        <v>0.97880009999999995</v>
      </c>
      <c r="Y5772">
        <v>0.24916379999999999</v>
      </c>
      <c r="Z5772">
        <v>-2.2639169999999998E-3</v>
      </c>
      <c r="AA5772">
        <v>0.96845870000000001</v>
      </c>
      <c r="AB5772">
        <v>25</v>
      </c>
      <c r="AC5772">
        <v>48.181899999999999</v>
      </c>
      <c r="AD5772">
        <v>-1.1098864263629999</v>
      </c>
      <c r="AE5772">
        <v>-13.6966</v>
      </c>
      <c r="AF5772">
        <v>12.5369735730893</v>
      </c>
      <c r="AG5772">
        <v>-1.1098864263629999</v>
      </c>
      <c r="AH5772">
        <v>48.471174425551702</v>
      </c>
      <c r="AI5772">
        <v>91.269944931061602</v>
      </c>
      <c r="AJ5772">
        <v>75.498365188150999</v>
      </c>
      <c r="AK5772">
        <v>50.078561325621401</v>
      </c>
      <c r="AL5772">
        <v>89.068727312204302</v>
      </c>
      <c r="AM5772">
        <v>78.217371499810994</v>
      </c>
      <c r="AN5772">
        <v>1.0000000629033201</v>
      </c>
    </row>
    <row r="5773" spans="1:40" x14ac:dyDescent="0.25">
      <c r="A5773" t="str">
        <f>"20190312150808617"</f>
        <v>20190312150808617</v>
      </c>
      <c r="B5773" t="str">
        <f>"1552374488605526"</f>
        <v>1552374488605526</v>
      </c>
      <c r="C5773" t="s">
        <v>40</v>
      </c>
      <c r="D5773">
        <v>4.592238</v>
      </c>
      <c r="E5773">
        <v>0.51800749999999995</v>
      </c>
      <c r="F5773" t="s">
        <v>61</v>
      </c>
      <c r="G5773">
        <v>-181.43289999999999</v>
      </c>
      <c r="H5773" s="1">
        <v>5.1329520000000002E-6</v>
      </c>
      <c r="I5773">
        <v>201.66679999999999</v>
      </c>
      <c r="J5773">
        <v>-231.6635</v>
      </c>
      <c r="K5773">
        <v>1.109931</v>
      </c>
      <c r="L5773">
        <v>215.99369999999999</v>
      </c>
      <c r="M5773">
        <v>0.99960199999999999</v>
      </c>
      <c r="N5773">
        <v>0</v>
      </c>
      <c r="O5773">
        <v>-2.4561340000000001E-2</v>
      </c>
      <c r="P5773">
        <v>0.97374850000000002</v>
      </c>
      <c r="Q5773">
        <v>2.9117560000000002E-3</v>
      </c>
      <c r="R5773">
        <v>-0.22760939999999999</v>
      </c>
      <c r="S5773">
        <v>2.8892820000000001</v>
      </c>
      <c r="T5773">
        <v>-6.3535690000000006E-2</v>
      </c>
      <c r="U5773">
        <v>-0.82052610000000004</v>
      </c>
      <c r="V5773">
        <v>0.2036424</v>
      </c>
      <c r="W5773">
        <v>1.6250669999999998E-2</v>
      </c>
      <c r="X5773">
        <v>0.97891039999999996</v>
      </c>
      <c r="Y5773">
        <v>0.24942500000000001</v>
      </c>
      <c r="Z5773">
        <v>-2.159832E-3</v>
      </c>
      <c r="AA5773">
        <v>0.96839169999999997</v>
      </c>
      <c r="AB5773">
        <v>25</v>
      </c>
      <c r="AC5773">
        <v>50.230600000000003</v>
      </c>
      <c r="AD5773">
        <v>-1.1099258670479999</v>
      </c>
      <c r="AE5773">
        <v>-14.326899999999901</v>
      </c>
      <c r="AF5773">
        <v>13.0828201847432</v>
      </c>
      <c r="AG5773">
        <v>-1.1099258670479999</v>
      </c>
      <c r="AH5773">
        <v>50.544543255201297</v>
      </c>
      <c r="AI5773">
        <v>91.217854358390099</v>
      </c>
      <c r="AJ5773">
        <v>75.488193521381305</v>
      </c>
      <c r="AK5773">
        <v>52.222054462588702</v>
      </c>
      <c r="AL5773">
        <v>89.068864153948596</v>
      </c>
      <c r="AM5773">
        <v>78.248387388579602</v>
      </c>
      <c r="AN5773">
        <v>0.99999994129068204</v>
      </c>
    </row>
    <row r="5774" spans="1:40" x14ac:dyDescent="0.25">
      <c r="A5774" t="str">
        <f>"20190312150808640"</f>
        <v>20190312150808640</v>
      </c>
      <c r="B5774" t="str">
        <f>"1552374488635782"</f>
        <v>1552374488635782</v>
      </c>
      <c r="C5774" t="s">
        <v>40</v>
      </c>
      <c r="D5774">
        <v>4.5692019999999998</v>
      </c>
      <c r="E5774">
        <v>0.51816770000000001</v>
      </c>
      <c r="F5774" t="s">
        <v>61</v>
      </c>
      <c r="G5774">
        <v>-182.66139999999999</v>
      </c>
      <c r="H5774" s="1">
        <v>5.362267E-6</v>
      </c>
      <c r="I5774">
        <v>202.0352</v>
      </c>
      <c r="J5774">
        <v>-231.40790000000001</v>
      </c>
      <c r="K5774">
        <v>1.109969</v>
      </c>
      <c r="L5774">
        <v>215.98660000000001</v>
      </c>
      <c r="M5774">
        <v>0.99958449999999999</v>
      </c>
      <c r="N5774">
        <v>0</v>
      </c>
      <c r="O5774">
        <v>-2.5262489999999999E-2</v>
      </c>
      <c r="P5774">
        <v>0.97369280000000002</v>
      </c>
      <c r="Q5774">
        <v>2.7245759999999998E-3</v>
      </c>
      <c r="R5774">
        <v>-0.22784869999999999</v>
      </c>
      <c r="S5774">
        <v>2.8887480000000001</v>
      </c>
      <c r="T5774">
        <v>-6.5431710000000004E-2</v>
      </c>
      <c r="U5774">
        <v>-0.82287600000000005</v>
      </c>
      <c r="V5774">
        <v>0.2031946</v>
      </c>
      <c r="W5774">
        <v>1.6080469999999999E-2</v>
      </c>
      <c r="X5774">
        <v>0.97900640000000005</v>
      </c>
      <c r="Y5774">
        <v>0.24951860000000001</v>
      </c>
      <c r="Z5774">
        <v>-2.2099239999999998E-3</v>
      </c>
      <c r="AA5774">
        <v>0.96836750000000005</v>
      </c>
      <c r="AB5774">
        <v>25</v>
      </c>
      <c r="AC5774">
        <v>48.746499999999997</v>
      </c>
      <c r="AD5774">
        <v>-1.109963637733</v>
      </c>
      <c r="AE5774">
        <v>-13.9514</v>
      </c>
      <c r="AF5774">
        <v>12.709279397270899</v>
      </c>
      <c r="AG5774">
        <v>-1.109963637733</v>
      </c>
      <c r="AH5774">
        <v>49.059910038305397</v>
      </c>
      <c r="AI5774">
        <v>91.254673078732097</v>
      </c>
      <c r="AJ5774">
        <v>75.476441082782202</v>
      </c>
      <c r="AK5774">
        <v>50.691543427297603</v>
      </c>
      <c r="AL5774">
        <v>89.078617297644001</v>
      </c>
      <c r="AM5774">
        <v>78.274630313848903</v>
      </c>
      <c r="AN5774">
        <v>1.0000000791127599</v>
      </c>
    </row>
    <row r="5775" spans="1:40" x14ac:dyDescent="0.25">
      <c r="A5775" t="str">
        <f>"20190312150808662"</f>
        <v>20190312150808662</v>
      </c>
      <c r="B5775" t="str">
        <f>"1552374488656279"</f>
        <v>1552374488656279</v>
      </c>
      <c r="C5775" t="s">
        <v>40</v>
      </c>
      <c r="D5775">
        <v>4.721584</v>
      </c>
      <c r="E5775">
        <v>0.51881069999999996</v>
      </c>
      <c r="F5775" t="s">
        <v>61</v>
      </c>
      <c r="G5775">
        <v>-183.88399999999999</v>
      </c>
      <c r="H5775" s="1">
        <v>5.5872319999999997E-6</v>
      </c>
      <c r="I5775">
        <v>202.41409999999999</v>
      </c>
      <c r="J5775">
        <v>-231.16040000000001</v>
      </c>
      <c r="K5775">
        <v>1.109998</v>
      </c>
      <c r="L5775">
        <v>215.9796</v>
      </c>
      <c r="M5775">
        <v>0.99956829999999997</v>
      </c>
      <c r="N5775">
        <v>0</v>
      </c>
      <c r="O5775">
        <v>-2.590431E-2</v>
      </c>
      <c r="P5775">
        <v>0.97376249999999998</v>
      </c>
      <c r="Q5775">
        <v>2.401687E-3</v>
      </c>
      <c r="R5775">
        <v>-0.22755500000000001</v>
      </c>
      <c r="S5775">
        <v>2.8882289999999999</v>
      </c>
      <c r="T5775">
        <v>-6.7457080000000003E-2</v>
      </c>
      <c r="U5775">
        <v>-0.82485959999999903</v>
      </c>
      <c r="V5775">
        <v>0.202269</v>
      </c>
      <c r="W5775">
        <v>1.57739E-2</v>
      </c>
      <c r="X5775">
        <v>0.97920289999999999</v>
      </c>
      <c r="Y5775">
        <v>0.24955459999999999</v>
      </c>
      <c r="Z5775">
        <v>-2.2642420000000001E-3</v>
      </c>
      <c r="AA5775">
        <v>0.9683581</v>
      </c>
      <c r="AB5775">
        <v>25</v>
      </c>
      <c r="AC5775">
        <v>47.276400000000002</v>
      </c>
      <c r="AD5775">
        <v>-1.1099924127680001</v>
      </c>
      <c r="AE5775">
        <v>-13.5655</v>
      </c>
      <c r="AF5775">
        <v>12.329886851469499</v>
      </c>
      <c r="AG5775">
        <v>-1.1099924127680001</v>
      </c>
      <c r="AH5775">
        <v>47.587733633979802</v>
      </c>
      <c r="AI5775">
        <v>91.293495148827901</v>
      </c>
      <c r="AJ5775">
        <v>75.474202539409006</v>
      </c>
      <c r="AK5775">
        <v>49.1716441187912</v>
      </c>
      <c r="AL5775">
        <v>89.096184567703006</v>
      </c>
      <c r="AM5775">
        <v>78.328851388031097</v>
      </c>
      <c r="AN5775">
        <v>0.99999994182530805</v>
      </c>
    </row>
    <row r="5776" spans="1:40" x14ac:dyDescent="0.25">
      <c r="A5776" t="str">
        <f>"20190312150808684"</f>
        <v>20190312150808684</v>
      </c>
      <c r="B5776" t="str">
        <f>"1552374488675798"</f>
        <v>1552374488675798</v>
      </c>
      <c r="C5776" t="s">
        <v>40</v>
      </c>
      <c r="D5776">
        <v>4.6410140000000002</v>
      </c>
      <c r="E5776">
        <v>0.54562189999999999</v>
      </c>
      <c r="F5776" t="s">
        <v>61</v>
      </c>
      <c r="G5776">
        <v>-188.4913</v>
      </c>
      <c r="H5776" s="1">
        <v>6.1658250000000004E-6</v>
      </c>
      <c r="I5776">
        <v>203.72720000000001</v>
      </c>
      <c r="J5776">
        <v>-230.91069999999999</v>
      </c>
      <c r="K5776">
        <v>1.1100190000000001</v>
      </c>
      <c r="L5776">
        <v>215.97239999999999</v>
      </c>
      <c r="M5776">
        <v>0.99955190000000005</v>
      </c>
      <c r="N5776">
        <v>0</v>
      </c>
      <c r="O5776">
        <v>-2.6524229999999999E-2</v>
      </c>
      <c r="P5776">
        <v>0.97368750000000004</v>
      </c>
      <c r="Q5776">
        <v>2.844545E-3</v>
      </c>
      <c r="R5776">
        <v>-0.22787060000000001</v>
      </c>
      <c r="S5776">
        <v>2.8872529999999998</v>
      </c>
      <c r="T5776">
        <v>-7.5108889999999998E-2</v>
      </c>
      <c r="U5776">
        <v>-0.829070999999999</v>
      </c>
      <c r="V5776">
        <v>0.20197850000000001</v>
      </c>
      <c r="W5776">
        <v>1.6225409999999999E-2</v>
      </c>
      <c r="X5776">
        <v>0.9792556</v>
      </c>
      <c r="Y5776">
        <v>0.2503322</v>
      </c>
      <c r="Z5776">
        <v>-2.5154679999999999E-3</v>
      </c>
      <c r="AA5776">
        <v>0.96815680000000004</v>
      </c>
      <c r="AB5776">
        <v>25</v>
      </c>
      <c r="AC5776">
        <v>42.419400000000003</v>
      </c>
      <c r="AD5776">
        <v>-1.110012834175</v>
      </c>
      <c r="AE5776">
        <v>-12.245199999999899</v>
      </c>
      <c r="AF5776">
        <v>11.108619298358001</v>
      </c>
      <c r="AG5776">
        <v>-1.110012834175</v>
      </c>
      <c r="AH5776">
        <v>42.702307597035897</v>
      </c>
      <c r="AI5776">
        <v>91.441081360161206</v>
      </c>
      <c r="AJ5776">
        <v>75.418219036471896</v>
      </c>
      <c r="AK5776">
        <v>44.137519474022902</v>
      </c>
      <c r="AL5776">
        <v>89.070311741305304</v>
      </c>
      <c r="AM5776">
        <v>78.345764735768199</v>
      </c>
      <c r="AN5776">
        <v>1.0000000542616301</v>
      </c>
    </row>
    <row r="5777" spans="1:40" x14ac:dyDescent="0.25">
      <c r="A5777" t="str">
        <f>"20190312150808707"</f>
        <v>20190312150808707</v>
      </c>
      <c r="B5777" t="str">
        <f>"1552374488696294"</f>
        <v>1552374488696294</v>
      </c>
      <c r="C5777" t="s">
        <v>40</v>
      </c>
      <c r="D5777">
        <v>4.6167749999999996</v>
      </c>
      <c r="E5777">
        <v>0.54694419999999899</v>
      </c>
      <c r="F5777" t="s">
        <v>61</v>
      </c>
      <c r="G5777">
        <v>-204.2079</v>
      </c>
      <c r="H5777">
        <v>8.0001329999999996E-2</v>
      </c>
      <c r="I5777">
        <v>206.2011</v>
      </c>
      <c r="J5777">
        <v>-230.6652</v>
      </c>
      <c r="K5777">
        <v>1.110033</v>
      </c>
      <c r="L5777">
        <v>215.96520000000001</v>
      </c>
      <c r="M5777">
        <v>0.99953599999999998</v>
      </c>
      <c r="N5777">
        <v>0</v>
      </c>
      <c r="O5777">
        <v>-2.7117519999999999E-2</v>
      </c>
      <c r="P5777">
        <v>0.97361140000000002</v>
      </c>
      <c r="Q5777">
        <v>3.5691070000000002E-3</v>
      </c>
      <c r="R5777">
        <v>-0.2281849</v>
      </c>
      <c r="S5777">
        <v>2.8383479999999999</v>
      </c>
      <c r="T5777">
        <v>-0.1094849</v>
      </c>
      <c r="U5777">
        <v>-1.038635</v>
      </c>
      <c r="V5777">
        <v>0.2017137</v>
      </c>
      <c r="W5777">
        <v>1.695344E-2</v>
      </c>
      <c r="X5777">
        <v>0.9792978</v>
      </c>
      <c r="Y5777">
        <v>0.31785920000000001</v>
      </c>
      <c r="Z5777">
        <v>-4.924309E-3</v>
      </c>
      <c r="AA5777">
        <v>0.94812510000000005</v>
      </c>
      <c r="AB5777">
        <v>25</v>
      </c>
      <c r="AC5777">
        <v>26.4573</v>
      </c>
      <c r="AD5777">
        <v>-1.0300316700000001</v>
      </c>
      <c r="AE5777">
        <v>-9.7641000000000098</v>
      </c>
      <c r="AF5777">
        <v>9.0309359178030899</v>
      </c>
      <c r="AG5777">
        <v>-1.0300316700000001</v>
      </c>
      <c r="AH5777">
        <v>26.676785348104598</v>
      </c>
      <c r="AI5777">
        <v>92.094526993206898</v>
      </c>
      <c r="AJ5777">
        <v>71.2974135298563</v>
      </c>
      <c r="AK5777">
        <v>28.182789877893899</v>
      </c>
      <c r="AL5777">
        <v>89.028592910733096</v>
      </c>
      <c r="AM5777">
        <v>78.361114511566598</v>
      </c>
      <c r="AN5777">
        <v>1.0000000084901799</v>
      </c>
    </row>
    <row r="5778" spans="1:40" x14ac:dyDescent="0.25">
      <c r="A5778" t="str">
        <f>"20190312150808728"</f>
        <v>20190312150808728</v>
      </c>
      <c r="B5778" t="str">
        <f>"1552374488725574"</f>
        <v>1552374488725574</v>
      </c>
      <c r="C5778" t="s">
        <v>40</v>
      </c>
      <c r="D5778">
        <v>4.6702070000000004</v>
      </c>
      <c r="E5778">
        <v>0.54838219999999904</v>
      </c>
      <c r="F5778" t="s">
        <v>61</v>
      </c>
      <c r="G5778">
        <v>-208.1223</v>
      </c>
      <c r="H5778">
        <v>8.0000650000000006E-2</v>
      </c>
      <c r="I5778">
        <v>207.61850000000001</v>
      </c>
      <c r="J5778">
        <v>-230.41659999999999</v>
      </c>
      <c r="K5778">
        <v>1.1100399999999999</v>
      </c>
      <c r="L5778">
        <v>215.95769999999999</v>
      </c>
      <c r="M5778">
        <v>0.99951979999999996</v>
      </c>
      <c r="N5778">
        <v>0</v>
      </c>
      <c r="O5778">
        <v>-2.7711889999999999E-2</v>
      </c>
      <c r="P5778">
        <v>0.97343489999999999</v>
      </c>
      <c r="Q5778">
        <v>3.5869119999999998E-3</v>
      </c>
      <c r="R5778">
        <v>-0.22893730000000001</v>
      </c>
      <c r="S5778">
        <v>2.835709</v>
      </c>
      <c r="T5778">
        <v>-0.1295695</v>
      </c>
      <c r="U5778">
        <v>-1.0499419999999999</v>
      </c>
      <c r="V5778">
        <v>0.20188809999999999</v>
      </c>
      <c r="W5778">
        <v>1.6969649999999999E-2</v>
      </c>
      <c r="X5778">
        <v>0.97926159999999995</v>
      </c>
      <c r="Y5778">
        <v>0.32082929999999998</v>
      </c>
      <c r="Z5778">
        <v>-5.8675289999999998E-3</v>
      </c>
      <c r="AA5778">
        <v>0.94711889999999999</v>
      </c>
      <c r="AB5778">
        <v>25</v>
      </c>
      <c r="AC5778">
        <v>22.2943</v>
      </c>
      <c r="AD5778">
        <v>-1.03003935</v>
      </c>
      <c r="AE5778">
        <v>-8.3391999999999697</v>
      </c>
      <c r="AF5778">
        <v>7.7036941208894802</v>
      </c>
      <c r="AG5778">
        <v>-1.03003935</v>
      </c>
      <c r="AH5778">
        <v>22.4747669502474</v>
      </c>
      <c r="AI5778">
        <v>92.4824881834097</v>
      </c>
      <c r="AJ5778">
        <v>71.079781793465799</v>
      </c>
      <c r="AK5778">
        <v>23.780728198242901</v>
      </c>
      <c r="AL5778">
        <v>89.027664031098098</v>
      </c>
      <c r="AM5778">
        <v>78.350907679978505</v>
      </c>
      <c r="AN5778">
        <v>1.00000002758864</v>
      </c>
    </row>
    <row r="5779" spans="1:40" x14ac:dyDescent="0.25">
      <c r="A5779" t="str">
        <f>"20190312150808752"</f>
        <v>20190312150808752</v>
      </c>
      <c r="B5779" t="str">
        <f>"1552374488746073"</f>
        <v>1552374488746073</v>
      </c>
      <c r="C5779" t="s">
        <v>40</v>
      </c>
      <c r="D5779">
        <v>4.5615550000000002</v>
      </c>
      <c r="E5779">
        <v>0.54826149999999996</v>
      </c>
      <c r="F5779" t="s">
        <v>61</v>
      </c>
      <c r="G5779">
        <v>-209.5609</v>
      </c>
      <c r="H5779">
        <v>8.0000450000000001E-2</v>
      </c>
      <c r="I5779">
        <v>208.12809999999999</v>
      </c>
      <c r="J5779">
        <v>-230.1583</v>
      </c>
      <c r="K5779">
        <v>1.1100399999999999</v>
      </c>
      <c r="L5779">
        <v>215.94980000000001</v>
      </c>
      <c r="M5779">
        <v>0.99950249999999996</v>
      </c>
      <c r="N5779">
        <v>0</v>
      </c>
      <c r="O5779">
        <v>-2.833078E-2</v>
      </c>
      <c r="P5779">
        <v>0.97325740000000005</v>
      </c>
      <c r="Q5779">
        <v>4.0021149999999997E-3</v>
      </c>
      <c r="R5779">
        <v>-0.2296839</v>
      </c>
      <c r="S5779">
        <v>2.8323209999999999</v>
      </c>
      <c r="T5779">
        <v>-0.13988490000000001</v>
      </c>
      <c r="U5779">
        <v>-1.0633090000000001</v>
      </c>
      <c r="V5779">
        <v>0.2020333</v>
      </c>
      <c r="W5779">
        <v>1.7380619999999999E-2</v>
      </c>
      <c r="X5779">
        <v>0.97922439999999999</v>
      </c>
      <c r="Y5779">
        <v>0.32448529999999998</v>
      </c>
      <c r="Z5779">
        <v>-6.3940289999999999E-3</v>
      </c>
      <c r="AA5779">
        <v>0.94586910000000002</v>
      </c>
      <c r="AB5779">
        <v>25</v>
      </c>
      <c r="AC5779">
        <v>20.5974</v>
      </c>
      <c r="AD5779">
        <v>-1.0300395499999999</v>
      </c>
      <c r="AE5779">
        <v>-7.8217000000000203</v>
      </c>
      <c r="AF5779">
        <v>7.21918474720324</v>
      </c>
      <c r="AG5779">
        <v>-1.0300395499999999</v>
      </c>
      <c r="AH5779">
        <v>20.765361129852</v>
      </c>
      <c r="AI5779">
        <v>92.682520669361494</v>
      </c>
      <c r="AJ5779">
        <v>70.829729360412699</v>
      </c>
      <c r="AK5779">
        <v>22.008585432553001</v>
      </c>
      <c r="AL5779">
        <v>89.004113666819293</v>
      </c>
      <c r="AM5779">
        <v>78.342328026665598</v>
      </c>
      <c r="AN5779">
        <v>0.99999998290791703</v>
      </c>
    </row>
    <row r="5780" spans="1:40" x14ac:dyDescent="0.25">
      <c r="A5780" t="str">
        <f>"20190312150808775"</f>
        <v>20190312150808775</v>
      </c>
      <c r="B5780" t="str">
        <f>"1552374488765590"</f>
        <v>1552374488765590</v>
      </c>
      <c r="C5780" t="s">
        <v>40</v>
      </c>
      <c r="D5780">
        <v>4.5804850000000004</v>
      </c>
      <c r="E5780">
        <v>0.54840889999999998</v>
      </c>
      <c r="F5780" t="s">
        <v>61</v>
      </c>
      <c r="G5780">
        <v>-209.5908</v>
      </c>
      <c r="H5780">
        <v>8.0000450000000001E-2</v>
      </c>
      <c r="I5780">
        <v>208.21639999999999</v>
      </c>
      <c r="J5780">
        <v>-229.9084</v>
      </c>
      <c r="K5780">
        <v>1.110036</v>
      </c>
      <c r="L5780">
        <v>215.94210000000001</v>
      </c>
      <c r="M5780">
        <v>0.99948530000000002</v>
      </c>
      <c r="N5780">
        <v>0</v>
      </c>
      <c r="O5780">
        <v>-2.89354E-2</v>
      </c>
      <c r="P5780">
        <v>0.97309679999999998</v>
      </c>
      <c r="Q5780">
        <v>3.8895650000000002E-3</v>
      </c>
      <c r="R5780">
        <v>-0.23036480000000001</v>
      </c>
      <c r="S5780">
        <v>2.8317410000000001</v>
      </c>
      <c r="T5780">
        <v>-0.14181629999999901</v>
      </c>
      <c r="U5780">
        <v>-1.064743</v>
      </c>
      <c r="V5780">
        <v>0.20212640000000001</v>
      </c>
      <c r="W5780">
        <v>1.7263339999999999E-2</v>
      </c>
      <c r="X5780">
        <v>0.9792073</v>
      </c>
      <c r="Y5780">
        <v>0.32438869999999997</v>
      </c>
      <c r="Z5780">
        <v>-6.4513749999999996E-3</v>
      </c>
      <c r="AA5780">
        <v>0.94590189999999996</v>
      </c>
      <c r="AB5780">
        <v>25</v>
      </c>
      <c r="AC5780">
        <v>20.317599999999999</v>
      </c>
      <c r="AD5780">
        <v>-1.03003555</v>
      </c>
      <c r="AE5780">
        <v>-7.7257000000000096</v>
      </c>
      <c r="AF5780">
        <v>7.1185256498428497</v>
      </c>
      <c r="AG5780">
        <v>-1.03003555</v>
      </c>
      <c r="AH5780">
        <v>20.4866561991225</v>
      </c>
      <c r="AI5780">
        <v>92.719104086754996</v>
      </c>
      <c r="AJ5780">
        <v>70.839126405212198</v>
      </c>
      <c r="AK5780">
        <v>21.7126106878647</v>
      </c>
      <c r="AL5780">
        <v>89.010834361423306</v>
      </c>
      <c r="AM5780">
        <v>78.336905040680094</v>
      </c>
      <c r="AN5780">
        <v>1.0000000204291</v>
      </c>
    </row>
    <row r="5781" spans="1:40" x14ac:dyDescent="0.25">
      <c r="A5781" t="str">
        <f>"20190312150808796"</f>
        <v>20190312150808796</v>
      </c>
      <c r="B5781" t="str">
        <f>"1552374488786085"</f>
        <v>1552374488786085</v>
      </c>
      <c r="C5781" t="s">
        <v>40</v>
      </c>
      <c r="D5781">
        <v>4.6295640000000002</v>
      </c>
      <c r="E5781">
        <v>0.54878530000000003</v>
      </c>
      <c r="F5781" t="s">
        <v>61</v>
      </c>
      <c r="G5781">
        <v>-209.5788</v>
      </c>
      <c r="H5781">
        <v>8.0000440000000006E-2</v>
      </c>
      <c r="I5781">
        <v>208.27180000000001</v>
      </c>
      <c r="J5781">
        <v>-229.6636</v>
      </c>
      <c r="K5781">
        <v>1.1100350000000001</v>
      </c>
      <c r="L5781">
        <v>215.93430000000001</v>
      </c>
      <c r="M5781">
        <v>0.99946769999999996</v>
      </c>
      <c r="N5781">
        <v>0</v>
      </c>
      <c r="O5781">
        <v>-2.953501E-2</v>
      </c>
      <c r="P5781">
        <v>0.97294159999999996</v>
      </c>
      <c r="Q5781">
        <v>3.6351109999999999E-3</v>
      </c>
      <c r="R5781">
        <v>-0.23102249999999999</v>
      </c>
      <c r="S5781">
        <v>2.8307039999999999</v>
      </c>
      <c r="T5781">
        <v>-0.14342260000000001</v>
      </c>
      <c r="U5781">
        <v>-1.0680080000000001</v>
      </c>
      <c r="V5781">
        <v>0.20220050000000001</v>
      </c>
      <c r="W5781">
        <v>1.7004450000000001E-2</v>
      </c>
      <c r="X5781">
        <v>0.97919650000000003</v>
      </c>
      <c r="Y5781">
        <v>0.32488359999999999</v>
      </c>
      <c r="Z5781">
        <v>-6.5081729999999999E-3</v>
      </c>
      <c r="AA5781">
        <v>0.94573160000000001</v>
      </c>
      <c r="AB5781">
        <v>25</v>
      </c>
      <c r="AC5781">
        <v>20.084800000000001</v>
      </c>
      <c r="AD5781">
        <v>-1.03003456</v>
      </c>
      <c r="AE5781">
        <v>-7.6624999999999899</v>
      </c>
      <c r="AF5781">
        <v>7.0497093251825698</v>
      </c>
      <c r="AG5781">
        <v>-1.03003456</v>
      </c>
      <c r="AH5781">
        <v>20.2558643043253</v>
      </c>
      <c r="AI5781">
        <v>92.749556746889098</v>
      </c>
      <c r="AJ5781">
        <v>70.8104166340799</v>
      </c>
      <c r="AK5781">
        <v>21.472294043245601</v>
      </c>
      <c r="AL5781">
        <v>89.025669813234899</v>
      </c>
      <c r="AM5781">
        <v>78.332621368983993</v>
      </c>
      <c r="AN5781">
        <v>0.99999998956615099</v>
      </c>
    </row>
    <row r="5782" spans="1:40" x14ac:dyDescent="0.25">
      <c r="A5782" t="str">
        <f>"20190312150808818"</f>
        <v>20190312150808818</v>
      </c>
      <c r="B5782" t="str">
        <f>"1552374488815366"</f>
        <v>1552374488815366</v>
      </c>
      <c r="C5782" t="s">
        <v>40</v>
      </c>
      <c r="D5782">
        <v>4.5727359999999999</v>
      </c>
      <c r="E5782">
        <v>0.54945540000000004</v>
      </c>
      <c r="F5782" t="s">
        <v>67</v>
      </c>
      <c r="G5782">
        <v>-210.18049999999999</v>
      </c>
      <c r="H5782">
        <v>8.0001669999999997E-2</v>
      </c>
      <c r="I5782">
        <v>208.54689999999999</v>
      </c>
      <c r="J5782">
        <v>-229.42080000000001</v>
      </c>
      <c r="K5782">
        <v>1.110034</v>
      </c>
      <c r="L5782">
        <v>215.9264</v>
      </c>
      <c r="M5782">
        <v>0.9994497</v>
      </c>
      <c r="N5782">
        <v>0</v>
      </c>
      <c r="O5782">
        <v>-3.013629E-2</v>
      </c>
      <c r="P5782">
        <v>0.97281839999999997</v>
      </c>
      <c r="Q5782">
        <v>3.5902320000000001E-3</v>
      </c>
      <c r="R5782">
        <v>-0.23154159999999999</v>
      </c>
      <c r="S5782">
        <v>2.829269</v>
      </c>
      <c r="T5782">
        <v>-0.14957799999999999</v>
      </c>
      <c r="U5782">
        <v>-1.0727690000000001</v>
      </c>
      <c r="V5782">
        <v>0.2021338</v>
      </c>
      <c r="W5782">
        <v>1.6956300000000001E-2</v>
      </c>
      <c r="X5782">
        <v>0.9792111</v>
      </c>
      <c r="Y5782">
        <v>0.3258356</v>
      </c>
      <c r="Z5782">
        <v>-6.7821110000000004E-3</v>
      </c>
      <c r="AA5782">
        <v>0.94540210000000002</v>
      </c>
      <c r="AB5782">
        <v>25</v>
      </c>
      <c r="AC5782">
        <v>19.240300000000001</v>
      </c>
      <c r="AD5782">
        <v>-1.0300323300000001</v>
      </c>
      <c r="AE5782">
        <v>-7.3795000000000002</v>
      </c>
      <c r="AF5782">
        <v>6.7793226682558299</v>
      </c>
      <c r="AG5782">
        <v>-1.0300323300000001</v>
      </c>
      <c r="AH5782">
        <v>19.4054874011224</v>
      </c>
      <c r="AI5782">
        <v>92.868669392447202</v>
      </c>
      <c r="AJ5782">
        <v>70.743097292226196</v>
      </c>
      <c r="AK5782">
        <v>20.581378081078402</v>
      </c>
      <c r="AL5782">
        <v>89.028428997244404</v>
      </c>
      <c r="AM5782">
        <v>78.336533766847595</v>
      </c>
      <c r="AN5782">
        <v>0.99999998378766897</v>
      </c>
    </row>
    <row r="5783" spans="1:40" x14ac:dyDescent="0.25">
      <c r="A5783" t="str">
        <f>"20190312150808841"</f>
        <v>20190312150808841</v>
      </c>
      <c r="B5783" t="str">
        <f>"1552374488835862"</f>
        <v>1552374488835862</v>
      </c>
      <c r="C5783" t="s">
        <v>40</v>
      </c>
      <c r="D5783">
        <v>4.6297629999999996</v>
      </c>
      <c r="E5783">
        <v>0.54954449999999999</v>
      </c>
      <c r="F5783" t="s">
        <v>67</v>
      </c>
      <c r="G5783">
        <v>-210.57140000000001</v>
      </c>
      <c r="H5783">
        <v>8.0001559999999999E-2</v>
      </c>
      <c r="I5783">
        <v>208.72989999999999</v>
      </c>
      <c r="J5783">
        <v>-229.16970000000001</v>
      </c>
      <c r="K5783">
        <v>1.110036</v>
      </c>
      <c r="L5783">
        <v>215.91820000000001</v>
      </c>
      <c r="M5783">
        <v>0.99943079999999995</v>
      </c>
      <c r="N5783">
        <v>0</v>
      </c>
      <c r="O5783">
        <v>-3.0762959999999999E-2</v>
      </c>
      <c r="P5783">
        <v>0.97268310000000002</v>
      </c>
      <c r="Q5783">
        <v>3.4640650000000001E-3</v>
      </c>
      <c r="R5783">
        <v>-0.2321115</v>
      </c>
      <c r="S5783">
        <v>2.8274689999999998</v>
      </c>
      <c r="T5783">
        <v>-0.1545078</v>
      </c>
      <c r="U5783">
        <v>-1.0794979999999901</v>
      </c>
      <c r="V5783">
        <v>0.20209379999999999</v>
      </c>
      <c r="W5783">
        <v>1.682614E-2</v>
      </c>
      <c r="X5783">
        <v>0.97922160000000003</v>
      </c>
      <c r="Y5783">
        <v>0.3273819</v>
      </c>
      <c r="Z5783">
        <v>-7.0144910000000003E-3</v>
      </c>
      <c r="AA5783">
        <v>0.94486610000000004</v>
      </c>
      <c r="AB5783">
        <v>25</v>
      </c>
      <c r="AC5783">
        <v>18.598299999999899</v>
      </c>
      <c r="AD5783">
        <v>-1.0300344400000001</v>
      </c>
      <c r="AE5783">
        <v>-7.1883000000000203</v>
      </c>
      <c r="AF5783">
        <v>6.5951035497734898</v>
      </c>
      <c r="AG5783">
        <v>-1.0300344400000001</v>
      </c>
      <c r="AH5783">
        <v>18.7605850391102</v>
      </c>
      <c r="AI5783">
        <v>92.965090369346498</v>
      </c>
      <c r="AJ5783">
        <v>70.631364974832493</v>
      </c>
      <c r="AK5783">
        <v>19.912707319435601</v>
      </c>
      <c r="AL5783">
        <v>89.035887678845199</v>
      </c>
      <c r="AM5783">
        <v>78.3389002334971</v>
      </c>
      <c r="AN5783">
        <v>0.99999998244614896</v>
      </c>
    </row>
    <row r="5784" spans="1:40" x14ac:dyDescent="0.25">
      <c r="A5784" t="str">
        <f>"20190312150808860"</f>
        <v>20190312150808860</v>
      </c>
      <c r="B5784" t="str">
        <f>"1552374488856359"</f>
        <v>1552374488856359</v>
      </c>
      <c r="C5784" t="s">
        <v>40</v>
      </c>
      <c r="D5784">
        <v>4.6150909999999996</v>
      </c>
      <c r="E5784">
        <v>0.54998219999999898</v>
      </c>
      <c r="F5784" t="s">
        <v>67</v>
      </c>
      <c r="G5784">
        <v>-210.1019</v>
      </c>
      <c r="H5784">
        <v>8.000169E-2</v>
      </c>
      <c r="I5784">
        <v>208.61799999999999</v>
      </c>
      <c r="J5784">
        <v>-228.96469999999999</v>
      </c>
      <c r="K5784">
        <v>1.1100350000000001</v>
      </c>
      <c r="L5784">
        <v>215.91130000000001</v>
      </c>
      <c r="M5784">
        <v>0.99941489999999999</v>
      </c>
      <c r="N5784">
        <v>0</v>
      </c>
      <c r="O5784">
        <v>-3.1276739999999997E-2</v>
      </c>
      <c r="P5784">
        <v>0.97265409999999997</v>
      </c>
      <c r="Q5784">
        <v>3.556652E-3</v>
      </c>
      <c r="R5784">
        <v>-0.23223269999999999</v>
      </c>
      <c r="S5784">
        <v>2.8265690000000001</v>
      </c>
      <c r="T5784">
        <v>-0.15268989999999999</v>
      </c>
      <c r="U5784">
        <v>-1.0821529999999999</v>
      </c>
      <c r="V5784">
        <v>0.20171220000000001</v>
      </c>
      <c r="W5784">
        <v>1.69172E-2</v>
      </c>
      <c r="X5784">
        <v>0.97929869999999997</v>
      </c>
      <c r="Y5784">
        <v>0.32777990000000001</v>
      </c>
      <c r="Z5784">
        <v>-6.9166849999999997E-3</v>
      </c>
      <c r="AA5784">
        <v>0.94472880000000004</v>
      </c>
      <c r="AB5784">
        <v>25</v>
      </c>
      <c r="AC5784">
        <v>18.8628</v>
      </c>
      <c r="AD5784">
        <v>-1.0300333100000001</v>
      </c>
      <c r="AE5784">
        <v>-7.2933000000000101</v>
      </c>
      <c r="AF5784">
        <v>6.68237318560519</v>
      </c>
      <c r="AG5784">
        <v>-1.0300333100000001</v>
      </c>
      <c r="AH5784">
        <v>19.032331132013798</v>
      </c>
      <c r="AI5784">
        <v>92.923221198003404</v>
      </c>
      <c r="AJ5784">
        <v>70.653499506847496</v>
      </c>
      <c r="AK5784">
        <v>20.1976411575715</v>
      </c>
      <c r="AL5784">
        <v>89.030669573721298</v>
      </c>
      <c r="AM5784">
        <v>78.361209104753698</v>
      </c>
      <c r="AN5784">
        <v>0.99999997355318404</v>
      </c>
    </row>
    <row r="5785" spans="1:40" x14ac:dyDescent="0.25">
      <c r="A5785" t="str">
        <f>"20190312150808874"</f>
        <v>20190312150808874</v>
      </c>
      <c r="B5785" t="str">
        <f>"1552374488866118"</f>
        <v>1552374488866118</v>
      </c>
      <c r="C5785" t="s">
        <v>40</v>
      </c>
      <c r="D5785">
        <v>4.6361210000000002</v>
      </c>
      <c r="E5785">
        <v>0.55021180000000003</v>
      </c>
      <c r="F5785" t="s">
        <v>67</v>
      </c>
      <c r="G5785">
        <v>-210.304</v>
      </c>
      <c r="H5785">
        <v>8.0001619999999996E-2</v>
      </c>
      <c r="I5785">
        <v>208.74080000000001</v>
      </c>
      <c r="J5785">
        <v>-228.80009999999999</v>
      </c>
      <c r="K5785">
        <v>1.110036</v>
      </c>
      <c r="L5785">
        <v>215.90559999999999</v>
      </c>
      <c r="M5785">
        <v>0.99940189999999995</v>
      </c>
      <c r="N5785">
        <v>0</v>
      </c>
      <c r="O5785">
        <v>-3.1689429999999998E-2</v>
      </c>
      <c r="P5785">
        <v>0.97271669999999999</v>
      </c>
      <c r="Q5785">
        <v>3.7927350000000002E-3</v>
      </c>
      <c r="R5785">
        <v>-0.23196629999999999</v>
      </c>
      <c r="S5785">
        <v>2.8256839999999999</v>
      </c>
      <c r="T5785">
        <v>-0.1559719</v>
      </c>
      <c r="U5785">
        <v>-1.085785</v>
      </c>
      <c r="V5785">
        <v>0.20103960000000001</v>
      </c>
      <c r="W5785">
        <v>1.7153680000000001E-2</v>
      </c>
      <c r="X5785">
        <v>0.97943290000000005</v>
      </c>
      <c r="Y5785">
        <v>0.3285303</v>
      </c>
      <c r="Z5785">
        <v>-7.063733E-3</v>
      </c>
      <c r="AA5785">
        <v>0.94446699999999995</v>
      </c>
      <c r="AB5785">
        <v>25</v>
      </c>
      <c r="AC5785">
        <v>18.496099999999899</v>
      </c>
      <c r="AD5785">
        <v>-1.03003438</v>
      </c>
      <c r="AE5785">
        <v>-7.1647999999999801</v>
      </c>
      <c r="AF5785">
        <v>6.5573310192371403</v>
      </c>
      <c r="AG5785">
        <v>-1.03003438</v>
      </c>
      <c r="AH5785">
        <v>18.663549902277701</v>
      </c>
      <c r="AI5785">
        <v>92.980661052484805</v>
      </c>
      <c r="AJ5785">
        <v>70.641367784668802</v>
      </c>
      <c r="AK5785">
        <v>19.808777243299001</v>
      </c>
      <c r="AL5785">
        <v>89.017118314680104</v>
      </c>
      <c r="AM5785">
        <v>78.400510871895804</v>
      </c>
      <c r="AN5785">
        <v>0.99999998755405595</v>
      </c>
    </row>
    <row r="5786" spans="1:40" x14ac:dyDescent="0.25">
      <c r="A5786" t="str">
        <f>"20190312150808897"</f>
        <v>20190312150808897</v>
      </c>
      <c r="B5786" t="str">
        <f>"1552374488886276"</f>
        <v>1552374488886276</v>
      </c>
      <c r="C5786" t="s">
        <v>40</v>
      </c>
      <c r="D5786">
        <v>4.6812230000000001</v>
      </c>
      <c r="E5786">
        <v>0.55063139999999999</v>
      </c>
      <c r="F5786" t="s">
        <v>67</v>
      </c>
      <c r="G5786">
        <v>-210.24510000000001</v>
      </c>
      <c r="H5786">
        <v>8.0001639999999999E-2</v>
      </c>
      <c r="I5786">
        <v>208.76759999999999</v>
      </c>
      <c r="J5786">
        <v>-228.55799999999999</v>
      </c>
      <c r="K5786">
        <v>1.1100380000000001</v>
      </c>
      <c r="L5786">
        <v>215.8973</v>
      </c>
      <c r="M5786">
        <v>0.99938229999999995</v>
      </c>
      <c r="N5786">
        <v>0</v>
      </c>
      <c r="O5786">
        <v>-3.2296770000000002E-2</v>
      </c>
      <c r="P5786">
        <v>0.97271050000000003</v>
      </c>
      <c r="Q5786">
        <v>3.9851560000000001E-3</v>
      </c>
      <c r="R5786">
        <v>-0.23198840000000001</v>
      </c>
      <c r="S5786">
        <v>2.8255460000000001</v>
      </c>
      <c r="T5786">
        <v>-0.1568533</v>
      </c>
      <c r="U5786">
        <v>-1.086975</v>
      </c>
      <c r="V5786">
        <v>0.20046700000000001</v>
      </c>
      <c r="W5786">
        <v>1.734486E-2</v>
      </c>
      <c r="X5786">
        <v>0.9795469</v>
      </c>
      <c r="Y5786">
        <v>0.32831500000000002</v>
      </c>
      <c r="Z5786">
        <v>-7.0652070000000004E-3</v>
      </c>
      <c r="AA5786">
        <v>0.94454190000000005</v>
      </c>
      <c r="AB5786">
        <v>25</v>
      </c>
      <c r="AC5786">
        <v>18.3128999999999</v>
      </c>
      <c r="AD5786">
        <v>-1.03003635999999</v>
      </c>
      <c r="AE5786">
        <v>-7.1297000000000104</v>
      </c>
      <c r="AF5786">
        <v>6.5165729292772099</v>
      </c>
      <c r="AG5786">
        <v>-1.03003635999999</v>
      </c>
      <c r="AH5786">
        <v>18.482856065230202</v>
      </c>
      <c r="AI5786">
        <v>93.008596663041203</v>
      </c>
      <c r="AJ5786">
        <v>70.5786789788324</v>
      </c>
      <c r="AK5786">
        <v>19.625051999256598</v>
      </c>
      <c r="AL5786">
        <v>89.006162885627404</v>
      </c>
      <c r="AM5786">
        <v>78.433966770098905</v>
      </c>
      <c r="AN5786">
        <v>0.99999999577851395</v>
      </c>
    </row>
    <row r="5787" spans="1:40" x14ac:dyDescent="0.25">
      <c r="A5787" t="str">
        <f>"20190312150808919"</f>
        <v>20190312150808919</v>
      </c>
      <c r="B5787" t="str">
        <f>"1552374488915557"</f>
        <v>1552374488915557</v>
      </c>
      <c r="C5787" t="s">
        <v>40</v>
      </c>
      <c r="D5787">
        <v>4.6775710000000004</v>
      </c>
      <c r="E5787">
        <v>0.55086859999999904</v>
      </c>
      <c r="F5787" t="s">
        <v>67</v>
      </c>
      <c r="G5787">
        <v>-210.29859999999999</v>
      </c>
      <c r="H5787">
        <v>8.0001630000000004E-2</v>
      </c>
      <c r="I5787">
        <v>208.8493</v>
      </c>
      <c r="J5787">
        <v>-228.30959999999999</v>
      </c>
      <c r="K5787">
        <v>1.110042</v>
      </c>
      <c r="L5787">
        <v>215.8886</v>
      </c>
      <c r="M5787">
        <v>0.99936219999999998</v>
      </c>
      <c r="N5787">
        <v>0</v>
      </c>
      <c r="O5787">
        <v>-3.2919589999999999E-2</v>
      </c>
      <c r="P5787">
        <v>0.97275690000000004</v>
      </c>
      <c r="Q5787">
        <v>4.1889819999999999E-3</v>
      </c>
      <c r="R5787">
        <v>-0.23179060000000001</v>
      </c>
      <c r="S5787">
        <v>2.8247680000000002</v>
      </c>
      <c r="T5787">
        <v>-0.15934889999999999</v>
      </c>
      <c r="U5787">
        <v>-1.090347</v>
      </c>
      <c r="V5787">
        <v>0.19965740000000001</v>
      </c>
      <c r="W5787">
        <v>1.7549390000000002E-2</v>
      </c>
      <c r="X5787">
        <v>0.97970860000000004</v>
      </c>
      <c r="Y5787">
        <v>0.32878289999999999</v>
      </c>
      <c r="Z5787">
        <v>-7.1567799999999997E-3</v>
      </c>
      <c r="AA5787">
        <v>0.94437839999999995</v>
      </c>
      <c r="AB5787">
        <v>25</v>
      </c>
      <c r="AC5787">
        <v>18.0109999999999</v>
      </c>
      <c r="AD5787">
        <v>-1.03004037</v>
      </c>
      <c r="AE5787">
        <v>-7.0392999999999901</v>
      </c>
      <c r="AF5787">
        <v>6.4242851831561696</v>
      </c>
      <c r="AG5787">
        <v>-1.03004037</v>
      </c>
      <c r="AH5787">
        <v>18.181404121378598</v>
      </c>
      <c r="AI5787">
        <v>93.057660395683598</v>
      </c>
      <c r="AJ5787">
        <v>70.539457899321505</v>
      </c>
      <c r="AK5787">
        <v>19.310512139848399</v>
      </c>
      <c r="AL5787">
        <v>88.994442399699196</v>
      </c>
      <c r="AM5787">
        <v>78.481276361497095</v>
      </c>
      <c r="AN5787">
        <v>0.99999999968904596</v>
      </c>
    </row>
    <row r="5788" spans="1:40" x14ac:dyDescent="0.25">
      <c r="A5788" t="str">
        <f>"20190312150808941"</f>
        <v>20190312150808941</v>
      </c>
      <c r="B5788" t="str">
        <f>"1552374488936056"</f>
        <v>1552374488936056</v>
      </c>
      <c r="C5788" t="s">
        <v>40</v>
      </c>
      <c r="D5788">
        <v>4.4972539999999999</v>
      </c>
      <c r="E5788">
        <v>0.52967959999999903</v>
      </c>
      <c r="F5788" t="s">
        <v>67</v>
      </c>
      <c r="G5788">
        <v>-210.23840000000001</v>
      </c>
      <c r="H5788">
        <v>8.0001639999999999E-2</v>
      </c>
      <c r="I5788">
        <v>208.90309999999999</v>
      </c>
      <c r="J5788">
        <v>-228.0616</v>
      </c>
      <c r="K5788">
        <v>1.110039</v>
      </c>
      <c r="L5788">
        <v>215.87970000000001</v>
      </c>
      <c r="M5788">
        <v>0.99934149999999999</v>
      </c>
      <c r="N5788">
        <v>0</v>
      </c>
      <c r="O5788">
        <v>-3.3541099999999997E-2</v>
      </c>
      <c r="P5788">
        <v>0.97278480000000001</v>
      </c>
      <c r="Q5788">
        <v>4.3247989999999998E-3</v>
      </c>
      <c r="R5788">
        <v>-0.23167109999999999</v>
      </c>
      <c r="S5788">
        <v>2.824554</v>
      </c>
      <c r="T5788">
        <v>-0.1609961</v>
      </c>
      <c r="U5788">
        <v>-1.0918270000000001</v>
      </c>
      <c r="V5788">
        <v>0.19892779999999999</v>
      </c>
      <c r="W5788">
        <v>1.7685269999999999E-2</v>
      </c>
      <c r="X5788">
        <v>0.97985460000000002</v>
      </c>
      <c r="Y5788">
        <v>0.32864290000000002</v>
      </c>
      <c r="Z5788">
        <v>-7.1926100000000003E-3</v>
      </c>
      <c r="AA5788">
        <v>0.94442689999999996</v>
      </c>
      <c r="AB5788">
        <v>25</v>
      </c>
      <c r="AC5788">
        <v>17.8231999999999</v>
      </c>
      <c r="AD5788">
        <v>-1.0300373599999999</v>
      </c>
      <c r="AE5788">
        <v>-6.9766000000000101</v>
      </c>
      <c r="AF5788">
        <v>6.3563976520436301</v>
      </c>
      <c r="AG5788">
        <v>-1.0300373599999999</v>
      </c>
      <c r="AH5788">
        <v>17.995078315109399</v>
      </c>
      <c r="AI5788">
        <v>93.089360549427994</v>
      </c>
      <c r="AJ5788">
        <v>70.545262116964906</v>
      </c>
      <c r="AK5788">
        <v>19.112498832984201</v>
      </c>
      <c r="AL5788">
        <v>88.986655879305999</v>
      </c>
      <c r="AM5788">
        <v>78.523914527825994</v>
      </c>
      <c r="AN5788">
        <v>1.00000003776448</v>
      </c>
    </row>
    <row r="5789" spans="1:40" x14ac:dyDescent="0.25">
      <c r="A5789" t="str">
        <f>"20190312150808965"</f>
        <v>20190312150808965</v>
      </c>
      <c r="B5789" t="str">
        <f>"1552374488955573"</f>
        <v>1552374488955573</v>
      </c>
      <c r="C5789" t="s">
        <v>40</v>
      </c>
      <c r="D5789">
        <v>4.5843499999999997</v>
      </c>
      <c r="E5789">
        <v>0.52125109999999997</v>
      </c>
      <c r="F5789" t="s">
        <v>61</v>
      </c>
      <c r="G5789">
        <v>-204.16079999999999</v>
      </c>
      <c r="H5789">
        <v>8.0001409999999995E-2</v>
      </c>
      <c r="I5789">
        <v>208.14519999999999</v>
      </c>
      <c r="J5789">
        <v>-227.8074</v>
      </c>
      <c r="K5789">
        <v>1.1100399999999999</v>
      </c>
      <c r="L5789">
        <v>215.87039999999999</v>
      </c>
      <c r="M5789">
        <v>0.99931999999999999</v>
      </c>
      <c r="N5789">
        <v>0</v>
      </c>
      <c r="O5789">
        <v>-3.4177730000000003E-2</v>
      </c>
      <c r="P5789">
        <v>0.97280089999999997</v>
      </c>
      <c r="Q5789">
        <v>4.3151700000000001E-3</v>
      </c>
      <c r="R5789">
        <v>-0.2316028</v>
      </c>
      <c r="S5789">
        <v>2.863785</v>
      </c>
      <c r="T5789">
        <v>-0.12341870000000001</v>
      </c>
      <c r="U5789">
        <v>-0.92674259999999997</v>
      </c>
      <c r="V5789">
        <v>0.19823460000000001</v>
      </c>
      <c r="W5789">
        <v>1.7675739999999999E-2</v>
      </c>
      <c r="X5789">
        <v>0.97999519999999996</v>
      </c>
      <c r="Y5789">
        <v>0.27498529999999999</v>
      </c>
      <c r="Z5789">
        <v>-4.3417940000000004E-3</v>
      </c>
      <c r="AA5789">
        <v>0.96143860000000003</v>
      </c>
      <c r="AB5789">
        <v>25</v>
      </c>
      <c r="AC5789">
        <v>23.646599999999999</v>
      </c>
      <c r="AD5789">
        <v>-1.03003859</v>
      </c>
      <c r="AE5789">
        <v>-7.7252000000000001</v>
      </c>
      <c r="AF5789">
        <v>6.9005905616214998</v>
      </c>
      <c r="AG5789">
        <v>-1.03003859</v>
      </c>
      <c r="AH5789">
        <v>23.8559372503404</v>
      </c>
      <c r="AI5789">
        <v>92.375099897738593</v>
      </c>
      <c r="AJ5789">
        <v>73.8669093718716</v>
      </c>
      <c r="AK5789">
        <v>24.855278547789499</v>
      </c>
      <c r="AL5789">
        <v>88.987201945272901</v>
      </c>
      <c r="AM5789">
        <v>78.564447031205006</v>
      </c>
      <c r="AN5789">
        <v>0.99999999022237296</v>
      </c>
    </row>
    <row r="5790" spans="1:40" x14ac:dyDescent="0.25">
      <c r="A5790" t="str">
        <f>"20190312150808987"</f>
        <v>20190312150808987</v>
      </c>
      <c r="B5790" t="str">
        <f>"1552374488975643"</f>
        <v>1552374488975643</v>
      </c>
      <c r="C5790" t="s">
        <v>40</v>
      </c>
      <c r="D5790">
        <v>4.5904030000000002</v>
      </c>
      <c r="E5790">
        <v>0.51778059999999904</v>
      </c>
      <c r="F5790" t="s">
        <v>61</v>
      </c>
      <c r="G5790">
        <v>-195.42089999999999</v>
      </c>
      <c r="H5790" s="1">
        <v>4.4098139999999997E-6</v>
      </c>
      <c r="I5790">
        <v>206.18790000000001</v>
      </c>
      <c r="J5790">
        <v>-227.5616</v>
      </c>
      <c r="K5790">
        <v>1.110044</v>
      </c>
      <c r="L5790">
        <v>215.8613</v>
      </c>
      <c r="M5790">
        <v>0.99929880000000004</v>
      </c>
      <c r="N5790">
        <v>0</v>
      </c>
      <c r="O5790">
        <v>-3.4792419999999998E-2</v>
      </c>
      <c r="P5790">
        <v>0.97277610000000003</v>
      </c>
      <c r="Q5790">
        <v>4.3578749999999998E-3</v>
      </c>
      <c r="R5790">
        <v>-0.231707</v>
      </c>
      <c r="S5790">
        <v>2.8793639999999998</v>
      </c>
      <c r="T5790">
        <v>-9.8689079999999998E-2</v>
      </c>
      <c r="U5790">
        <v>-0.86083980000000004</v>
      </c>
      <c r="V5790">
        <v>0.19773660000000001</v>
      </c>
      <c r="W5790">
        <v>1.7718640000000001E-2</v>
      </c>
      <c r="X5790">
        <v>0.98009500000000005</v>
      </c>
      <c r="Y5790">
        <v>0.25281290000000001</v>
      </c>
      <c r="Z5790">
        <v>-3.07354E-3</v>
      </c>
      <c r="AA5790">
        <v>0.96751030000000005</v>
      </c>
      <c r="AB5790">
        <v>25</v>
      </c>
      <c r="AC5790">
        <v>32.140700000000002</v>
      </c>
      <c r="AD5790">
        <v>-1.1100395901860001</v>
      </c>
      <c r="AE5790">
        <v>-9.6733999999999796</v>
      </c>
      <c r="AF5790">
        <v>8.5398422318775999</v>
      </c>
      <c r="AG5790">
        <v>-1.1100395901860001</v>
      </c>
      <c r="AH5790">
        <v>32.422369130757701</v>
      </c>
      <c r="AI5790">
        <v>91.896236508202804</v>
      </c>
      <c r="AJ5790">
        <v>75.243811441254095</v>
      </c>
      <c r="AK5790">
        <v>33.546551436597099</v>
      </c>
      <c r="AL5790">
        <v>88.984743541742006</v>
      </c>
      <c r="AM5790">
        <v>78.593552173607407</v>
      </c>
      <c r="AN5790">
        <v>0.99999996110400402</v>
      </c>
    </row>
    <row r="5791" spans="1:40" x14ac:dyDescent="0.25">
      <c r="A5791" t="str">
        <f>"20190312150809008"</f>
        <v>20190312150809008</v>
      </c>
      <c r="B5791" t="str">
        <f>"1552374489005899"</f>
        <v>1552374489005899</v>
      </c>
      <c r="C5791" t="s">
        <v>40</v>
      </c>
      <c r="D5791">
        <v>4.5620849999999997</v>
      </c>
      <c r="E5791">
        <v>0.51572419999999997</v>
      </c>
      <c r="F5791" t="s">
        <v>61</v>
      </c>
      <c r="G5791">
        <v>-191.4289</v>
      </c>
      <c r="H5791" s="1">
        <v>5.5679020000000001E-6</v>
      </c>
      <c r="I5791">
        <v>205.41579999999999</v>
      </c>
      <c r="J5791">
        <v>-227.328</v>
      </c>
      <c r="K5791">
        <v>1.1100490000000001</v>
      </c>
      <c r="L5791">
        <v>215.85249999999999</v>
      </c>
      <c r="M5791">
        <v>0.99927840000000001</v>
      </c>
      <c r="N5791">
        <v>0</v>
      </c>
      <c r="O5791">
        <v>-3.5374919999999997E-2</v>
      </c>
      <c r="P5791">
        <v>0.9725587</v>
      </c>
      <c r="Q5791">
        <v>4.3649429999999996E-3</v>
      </c>
      <c r="R5791">
        <v>-0.23261670000000001</v>
      </c>
      <c r="S5791">
        <v>2.8856809999999999</v>
      </c>
      <c r="T5791">
        <v>-8.8651300000000002E-2</v>
      </c>
      <c r="U5791">
        <v>-0.83421329999999905</v>
      </c>
      <c r="V5791">
        <v>0.19808200000000001</v>
      </c>
      <c r="W5791">
        <v>1.772294E-2</v>
      </c>
      <c r="X5791">
        <v>0.98002520000000004</v>
      </c>
      <c r="Y5791">
        <v>0.2434645</v>
      </c>
      <c r="Z5791">
        <v>-2.600584E-3</v>
      </c>
      <c r="AA5791">
        <v>0.9699063</v>
      </c>
      <c r="AB5791">
        <v>25</v>
      </c>
      <c r="AC5791">
        <v>35.899099999999997</v>
      </c>
      <c r="AD5791">
        <v>-1.1100434320979999</v>
      </c>
      <c r="AE5791">
        <v>-10.4367</v>
      </c>
      <c r="AF5791">
        <v>9.1520487531016403</v>
      </c>
      <c r="AG5791">
        <v>-1.1100434320979999</v>
      </c>
      <c r="AH5791">
        <v>36.213933141717099</v>
      </c>
      <c r="AI5791">
        <v>91.7022179866089</v>
      </c>
      <c r="AJ5791">
        <v>75.817078931292997</v>
      </c>
      <c r="AK5791">
        <v>37.368986424481101</v>
      </c>
      <c r="AL5791">
        <v>88.984497157468297</v>
      </c>
      <c r="AM5791">
        <v>78.573358990713302</v>
      </c>
      <c r="AN5791">
        <v>0.99999998698064096</v>
      </c>
    </row>
    <row r="5792" spans="1:40" x14ac:dyDescent="0.25">
      <c r="A5792" t="str">
        <f>"20190312150809031"</f>
        <v>20190312150809031</v>
      </c>
      <c r="B5792" t="str">
        <f>"1552374489025422"</f>
        <v>1552374489025422</v>
      </c>
      <c r="C5792" t="s">
        <v>40</v>
      </c>
      <c r="D5792">
        <v>4.566325</v>
      </c>
      <c r="E5792">
        <v>0.51519799999999905</v>
      </c>
      <c r="F5792" t="s">
        <v>61</v>
      </c>
      <c r="G5792">
        <v>-188.3252</v>
      </c>
      <c r="H5792" s="1">
        <v>5.7737519999999899E-6</v>
      </c>
      <c r="I5792">
        <v>204.77099999999999</v>
      </c>
      <c r="J5792">
        <v>-227.0804</v>
      </c>
      <c r="K5792">
        <v>1.110055</v>
      </c>
      <c r="L5792">
        <v>215.84299999999999</v>
      </c>
      <c r="M5792">
        <v>0.9992567</v>
      </c>
      <c r="N5792">
        <v>0</v>
      </c>
      <c r="O5792">
        <v>-3.59861E-2</v>
      </c>
      <c r="P5792">
        <v>0.97238610000000003</v>
      </c>
      <c r="Q5792">
        <v>4.3732490000000001E-3</v>
      </c>
      <c r="R5792">
        <v>-0.2333382</v>
      </c>
      <c r="S5792">
        <v>2.8887019999999999</v>
      </c>
      <c r="T5792">
        <v>-8.2214239999999994E-2</v>
      </c>
      <c r="U5792">
        <v>-0.82073969999999896</v>
      </c>
      <c r="V5792">
        <v>0.19820940000000001</v>
      </c>
      <c r="W5792">
        <v>1.773009E-2</v>
      </c>
      <c r="X5792">
        <v>0.97999930000000002</v>
      </c>
      <c r="Y5792">
        <v>0.23843139999999999</v>
      </c>
      <c r="Z5792">
        <v>-2.3236770000000001E-3</v>
      </c>
      <c r="AA5792">
        <v>0.97115649999999998</v>
      </c>
      <c r="AB5792">
        <v>25</v>
      </c>
      <c r="AC5792">
        <v>38.755200000000002</v>
      </c>
      <c r="AD5792">
        <v>-1.110049226248</v>
      </c>
      <c r="AE5792">
        <v>-11.071999999999999</v>
      </c>
      <c r="AF5792">
        <v>9.66271636737698</v>
      </c>
      <c r="AG5792">
        <v>-1.110049226248</v>
      </c>
      <c r="AH5792">
        <v>39.098913103798203</v>
      </c>
      <c r="AI5792">
        <v>91.5787634012664</v>
      </c>
      <c r="AJ5792">
        <v>76.118347814399399</v>
      </c>
      <c r="AK5792">
        <v>40.290511324373</v>
      </c>
      <c r="AL5792">
        <v>88.984087416260195</v>
      </c>
      <c r="AM5792">
        <v>78.565909026901096</v>
      </c>
      <c r="AN5792">
        <v>0.99999997517012795</v>
      </c>
    </row>
    <row r="5793" spans="1:40" x14ac:dyDescent="0.25">
      <c r="A5793" t="str">
        <f>"20190312150809053"</f>
        <v>20190312150809053</v>
      </c>
      <c r="B5793" t="str">
        <f>"1552374489045915"</f>
        <v>1552374489045915</v>
      </c>
      <c r="C5793" t="s">
        <v>40</v>
      </c>
      <c r="D5793">
        <v>4.5720210000000003</v>
      </c>
      <c r="E5793">
        <v>0.51482779999999995</v>
      </c>
      <c r="F5793" t="s">
        <v>61</v>
      </c>
      <c r="G5793">
        <v>-188.2347</v>
      </c>
      <c r="H5793" s="1">
        <v>5.7372769999999997E-6</v>
      </c>
      <c r="I5793">
        <v>204.833</v>
      </c>
      <c r="J5793">
        <v>-226.83430000000001</v>
      </c>
      <c r="K5793">
        <v>1.1100669999999999</v>
      </c>
      <c r="L5793">
        <v>215.83340000000001</v>
      </c>
      <c r="M5793">
        <v>0.99923510000000004</v>
      </c>
      <c r="N5793">
        <v>0</v>
      </c>
      <c r="O5793">
        <v>-3.6581589999999997E-2</v>
      </c>
      <c r="P5793">
        <v>0.97208649999999996</v>
      </c>
      <c r="Q5793">
        <v>4.2685960000000004E-3</v>
      </c>
      <c r="R5793">
        <v>-0.2345854</v>
      </c>
      <c r="S5793">
        <v>2.8890690000000001</v>
      </c>
      <c r="T5793">
        <v>-8.2557679999999994E-2</v>
      </c>
      <c r="U5793">
        <v>-0.81884769999999996</v>
      </c>
      <c r="V5793">
        <v>0.19888220000000001</v>
      </c>
      <c r="W5793">
        <v>1.7624250000000001E-2</v>
      </c>
      <c r="X5793">
        <v>0.97986499999999999</v>
      </c>
      <c r="Y5793">
        <v>0.23723150000000001</v>
      </c>
      <c r="Z5793">
        <v>-2.2998519999999998E-3</v>
      </c>
      <c r="AA5793">
        <v>0.97145040000000005</v>
      </c>
      <c r="AB5793">
        <v>24</v>
      </c>
      <c r="AC5793">
        <v>38.599600000000002</v>
      </c>
      <c r="AD5793">
        <v>-1.110061262723</v>
      </c>
      <c r="AE5793">
        <v>-11.000400000000001</v>
      </c>
      <c r="AF5793">
        <v>9.5735431006491396</v>
      </c>
      <c r="AG5793">
        <v>-1.110061262723</v>
      </c>
      <c r="AH5793">
        <v>38.946418906039597</v>
      </c>
      <c r="AI5793">
        <v>91.585445744172503</v>
      </c>
      <c r="AJ5793">
        <v>76.189754080488498</v>
      </c>
      <c r="AK5793">
        <v>40.121172828217503</v>
      </c>
      <c r="AL5793">
        <v>88.990152656242401</v>
      </c>
      <c r="AM5793">
        <v>78.526593952895993</v>
      </c>
      <c r="AN5793">
        <v>1.0000000809449401</v>
      </c>
    </row>
    <row r="5794" spans="1:40" x14ac:dyDescent="0.25">
      <c r="A5794" t="str">
        <f>"20190312150809075"</f>
        <v>20190312150809075</v>
      </c>
      <c r="B5794" t="str">
        <f>"1552374489065435"</f>
        <v>1552374489065435</v>
      </c>
      <c r="C5794" t="s">
        <v>40</v>
      </c>
      <c r="D5794">
        <v>4.5750380000000002</v>
      </c>
      <c r="E5794">
        <v>0.51455680000000004</v>
      </c>
      <c r="F5794" t="s">
        <v>61</v>
      </c>
      <c r="G5794">
        <v>-187.50040000000001</v>
      </c>
      <c r="H5794" s="1">
        <v>5.6164610000000003E-6</v>
      </c>
      <c r="I5794">
        <v>204.67439999999999</v>
      </c>
      <c r="J5794">
        <v>-226.59569999999999</v>
      </c>
      <c r="K5794">
        <v>1.1100829999999999</v>
      </c>
      <c r="L5794">
        <v>215.82400000000001</v>
      </c>
      <c r="M5794">
        <v>0.99921450000000001</v>
      </c>
      <c r="N5794">
        <v>0</v>
      </c>
      <c r="O5794">
        <v>-3.713967E-2</v>
      </c>
      <c r="P5794">
        <v>0.97183410000000003</v>
      </c>
      <c r="Q5794">
        <v>4.5696259999999898E-3</v>
      </c>
      <c r="R5794">
        <v>-0.2356222</v>
      </c>
      <c r="S5794">
        <v>2.8887330000000002</v>
      </c>
      <c r="T5794">
        <v>-8.1524369999999999E-2</v>
      </c>
      <c r="U5794">
        <v>-0.81953430000000005</v>
      </c>
      <c r="V5794">
        <v>0.1993799</v>
      </c>
      <c r="W5794">
        <v>1.7927470000000001E-2</v>
      </c>
      <c r="X5794">
        <v>0.97975829999999997</v>
      </c>
      <c r="Y5794">
        <v>0.2369346</v>
      </c>
      <c r="Z5794">
        <v>-2.2517549999999998E-3</v>
      </c>
      <c r="AA5794">
        <v>0.97152300000000003</v>
      </c>
      <c r="AB5794">
        <v>24</v>
      </c>
      <c r="AC5794">
        <v>39.095299999999902</v>
      </c>
      <c r="AD5794">
        <v>-1.1100773835390001</v>
      </c>
      <c r="AE5794">
        <v>-11.1496</v>
      </c>
      <c r="AF5794">
        <v>9.6825618194902194</v>
      </c>
      <c r="AG5794">
        <v>-1.1100773835390001</v>
      </c>
      <c r="AH5794">
        <v>39.453038778060801</v>
      </c>
      <c r="AI5794">
        <v>91.565262317611698</v>
      </c>
      <c r="AJ5794">
        <v>76.2110040042501</v>
      </c>
      <c r="AK5794">
        <v>40.638978136868403</v>
      </c>
      <c r="AL5794">
        <v>88.972776636155899</v>
      </c>
      <c r="AM5794">
        <v>78.497426942140194</v>
      </c>
      <c r="AN5794">
        <v>1.00000003256175</v>
      </c>
    </row>
    <row r="5795" spans="1:40" x14ac:dyDescent="0.25">
      <c r="A5795" t="str">
        <f>"20190312150809098"</f>
        <v>20190312150809098</v>
      </c>
      <c r="B5795" t="str">
        <f>"1552374489085486"</f>
        <v>1552374489085486</v>
      </c>
      <c r="C5795" t="s">
        <v>40</v>
      </c>
      <c r="D5795">
        <v>4.8687909999999999</v>
      </c>
      <c r="E5795">
        <v>0.51447180000000003</v>
      </c>
      <c r="F5795" t="s">
        <v>61</v>
      </c>
      <c r="G5795">
        <v>-186.47370000000001</v>
      </c>
      <c r="H5795" s="1">
        <v>5.4719899999999996E-6</v>
      </c>
      <c r="I5795">
        <v>204.42449999999999</v>
      </c>
      <c r="J5795">
        <v>-226.3553</v>
      </c>
      <c r="K5795">
        <v>1.110106</v>
      </c>
      <c r="L5795">
        <v>215.81450000000001</v>
      </c>
      <c r="M5795">
        <v>0.99919449999999999</v>
      </c>
      <c r="N5795">
        <v>0</v>
      </c>
      <c r="O5795">
        <v>-3.7672589999999999E-2</v>
      </c>
      <c r="P5795">
        <v>0.97147169999999905</v>
      </c>
      <c r="Q5795">
        <v>4.9517299999999997E-3</v>
      </c>
      <c r="R5795">
        <v>-0.23710429999999999</v>
      </c>
      <c r="S5795">
        <v>2.8883670000000001</v>
      </c>
      <c r="T5795">
        <v>-7.9913970000000001E-2</v>
      </c>
      <c r="U5795">
        <v>-0.82064820000000005</v>
      </c>
      <c r="V5795">
        <v>0.20035140000000001</v>
      </c>
      <c r="W5795">
        <v>1.8313639999999999E-2</v>
      </c>
      <c r="X5795">
        <v>0.97955289999999995</v>
      </c>
      <c r="Y5795">
        <v>0.2367985</v>
      </c>
      <c r="Z5795">
        <v>-2.1911909999999999E-3</v>
      </c>
      <c r="AA5795">
        <v>0.97155630000000004</v>
      </c>
      <c r="AB5795">
        <v>24</v>
      </c>
      <c r="AC5795">
        <v>39.881599999999899</v>
      </c>
      <c r="AD5795">
        <v>-1.11010052801</v>
      </c>
      <c r="AE5795">
        <v>-11.39</v>
      </c>
      <c r="AF5795">
        <v>9.8722543213986302</v>
      </c>
      <c r="AG5795">
        <v>-1.11010052801</v>
      </c>
      <c r="AH5795">
        <v>40.253580121726699</v>
      </c>
      <c r="AI5795">
        <v>91.534239965604996</v>
      </c>
      <c r="AJ5795">
        <v>76.220101604459202</v>
      </c>
      <c r="AK5795">
        <v>41.461360821672699</v>
      </c>
      <c r="AL5795">
        <v>88.950647035252103</v>
      </c>
      <c r="AM5795">
        <v>78.440525695476595</v>
      </c>
      <c r="AN5795">
        <v>0.99999997839520904</v>
      </c>
    </row>
    <row r="5796" spans="1:40" x14ac:dyDescent="0.25">
      <c r="A5796" t="str">
        <f>"20190312150809120"</f>
        <v>20190312150809120</v>
      </c>
      <c r="B5796" t="str">
        <f>"1552374489115742"</f>
        <v>1552374489115742</v>
      </c>
      <c r="C5796" t="s">
        <v>40</v>
      </c>
      <c r="D5796">
        <v>4.5551000000000004</v>
      </c>
      <c r="E5796">
        <v>0.51428779999999996</v>
      </c>
      <c r="F5796" t="s">
        <v>61</v>
      </c>
      <c r="G5796">
        <v>-186.23660000000001</v>
      </c>
      <c r="H5796" s="1">
        <v>5.4426939999999998E-6</v>
      </c>
      <c r="I5796">
        <v>204.3586</v>
      </c>
      <c r="J5796">
        <v>-226.10640000000001</v>
      </c>
      <c r="K5796">
        <v>1.1101399999999999</v>
      </c>
      <c r="L5796">
        <v>215.80439999999999</v>
      </c>
      <c r="M5796">
        <v>0.99917529999999999</v>
      </c>
      <c r="N5796">
        <v>0</v>
      </c>
      <c r="O5796">
        <v>-3.8181260000000002E-2</v>
      </c>
      <c r="P5796">
        <v>0.97117290000000001</v>
      </c>
      <c r="Q5796">
        <v>5.6409999999999898E-3</v>
      </c>
      <c r="R5796">
        <v>-0.2383102</v>
      </c>
      <c r="S5796">
        <v>2.8872990000000001</v>
      </c>
      <c r="T5796">
        <v>-7.9892749999999998E-2</v>
      </c>
      <c r="U5796">
        <v>-0.8244629</v>
      </c>
      <c r="V5796">
        <v>0.20106830000000001</v>
      </c>
      <c r="W5796">
        <v>1.9012089999999999E-2</v>
      </c>
      <c r="X5796">
        <v>0.9793927</v>
      </c>
      <c r="Y5796">
        <v>0.23758550000000001</v>
      </c>
      <c r="Z5796">
        <v>-2.1879249999999999E-3</v>
      </c>
      <c r="AA5796">
        <v>0.97136409999999995</v>
      </c>
      <c r="AB5796">
        <v>24</v>
      </c>
      <c r="AC5796">
        <v>39.869799999999998</v>
      </c>
      <c r="AD5796">
        <v>-1.110134557306</v>
      </c>
      <c r="AE5796">
        <v>-11.445799999999901</v>
      </c>
      <c r="AF5796">
        <v>9.9079313041246806</v>
      </c>
      <c r="AG5796">
        <v>-1.110134557306</v>
      </c>
      <c r="AH5796">
        <v>40.248950732928499</v>
      </c>
      <c r="AI5796">
        <v>91.534138346215897</v>
      </c>
      <c r="AJ5796">
        <v>76.170681579693493</v>
      </c>
      <c r="AK5796">
        <v>41.465377564472803</v>
      </c>
      <c r="AL5796">
        <v>88.910621838862994</v>
      </c>
      <c r="AM5796">
        <v>78.398436570651498</v>
      </c>
      <c r="AN5796">
        <v>0.99999999082217395</v>
      </c>
    </row>
    <row r="5797" spans="1:40" x14ac:dyDescent="0.25">
      <c r="A5797" t="str">
        <f>"20190312150809143"</f>
        <v>20190312150809143</v>
      </c>
      <c r="B5797" t="str">
        <f>"1552374489136241"</f>
        <v>1552374489136241</v>
      </c>
      <c r="C5797" t="s">
        <v>40</v>
      </c>
      <c r="D5797">
        <v>4.5735760000000001</v>
      </c>
      <c r="E5797">
        <v>0.51407760000000002</v>
      </c>
      <c r="F5797" t="s">
        <v>61</v>
      </c>
      <c r="G5797">
        <v>-185.65639999999999</v>
      </c>
      <c r="H5797" s="1">
        <v>5.3625340000000004E-6</v>
      </c>
      <c r="I5797">
        <v>204.22149999999999</v>
      </c>
      <c r="J5797">
        <v>-225.86490000000001</v>
      </c>
      <c r="K5797">
        <v>1.110182</v>
      </c>
      <c r="L5797">
        <v>215.7946</v>
      </c>
      <c r="M5797">
        <v>0.9991584</v>
      </c>
      <c r="N5797">
        <v>0</v>
      </c>
      <c r="O5797">
        <v>-3.8621500000000003E-2</v>
      </c>
      <c r="P5797">
        <v>0.97092120000000004</v>
      </c>
      <c r="Q5797">
        <v>6.004601E-3</v>
      </c>
      <c r="R5797">
        <v>-0.23932490000000001</v>
      </c>
      <c r="S5797">
        <v>2.8867029999999998</v>
      </c>
      <c r="T5797">
        <v>-7.9224589999999998E-2</v>
      </c>
      <c r="U5797">
        <v>-0.82661439999999997</v>
      </c>
      <c r="V5797">
        <v>0.2016588</v>
      </c>
      <c r="W5797">
        <v>1.9389670000000001E-2</v>
      </c>
      <c r="X5797">
        <v>0.97926389999999996</v>
      </c>
      <c r="Y5797">
        <v>0.23788090000000001</v>
      </c>
      <c r="Z5797">
        <v>-2.1620160000000001E-3</v>
      </c>
      <c r="AA5797">
        <v>0.97129200000000004</v>
      </c>
      <c r="AB5797">
        <v>24</v>
      </c>
      <c r="AC5797">
        <v>40.208500000000001</v>
      </c>
      <c r="AD5797">
        <v>-1.110176637466</v>
      </c>
      <c r="AE5797">
        <v>-11.5731</v>
      </c>
      <c r="AF5797">
        <v>10.0043597612658</v>
      </c>
      <c r="AG5797">
        <v>-1.110176637466</v>
      </c>
      <c r="AH5797">
        <v>40.5969274445062</v>
      </c>
      <c r="AI5797">
        <v>91.5209586630601</v>
      </c>
      <c r="AJ5797">
        <v>76.156353062757603</v>
      </c>
      <c r="AK5797">
        <v>41.8261906505208</v>
      </c>
      <c r="AL5797">
        <v>88.888984128618901</v>
      </c>
      <c r="AM5797">
        <v>78.363804028390206</v>
      </c>
      <c r="AN5797">
        <v>1.00000000838167</v>
      </c>
    </row>
    <row r="5798" spans="1:40" x14ac:dyDescent="0.25">
      <c r="A5798" t="str">
        <f>"20190312150809165"</f>
        <v>20190312150809165</v>
      </c>
      <c r="B5798" t="str">
        <f>"1552374489155758"</f>
        <v>1552374489155758</v>
      </c>
      <c r="C5798" t="s">
        <v>40</v>
      </c>
      <c r="D5798">
        <v>4.5633109999999997</v>
      </c>
      <c r="E5798">
        <v>0.51391690000000001</v>
      </c>
      <c r="F5798" t="s">
        <v>61</v>
      </c>
      <c r="G5798">
        <v>-187.0309</v>
      </c>
      <c r="H5798" s="1">
        <v>5.5176469999999997E-6</v>
      </c>
      <c r="I5798">
        <v>204.65440000000001</v>
      </c>
      <c r="J5798">
        <v>-225.6198</v>
      </c>
      <c r="K5798">
        <v>1.110225</v>
      </c>
      <c r="L5798">
        <v>215.78469999999999</v>
      </c>
      <c r="M5798">
        <v>0.99914360000000002</v>
      </c>
      <c r="N5798">
        <v>0</v>
      </c>
      <c r="O5798">
        <v>-3.9005239999999997E-2</v>
      </c>
      <c r="P5798">
        <v>0.97069430000000001</v>
      </c>
      <c r="Q5798">
        <v>5.9823649999999999E-3</v>
      </c>
      <c r="R5798">
        <v>-0.24024429999999999</v>
      </c>
      <c r="S5798">
        <v>2.8862459999999999</v>
      </c>
      <c r="T5798">
        <v>-8.2511429999999997E-2</v>
      </c>
      <c r="U5798">
        <v>-0.82797240000000005</v>
      </c>
      <c r="V5798">
        <v>0.202208</v>
      </c>
      <c r="W5798">
        <v>1.9384430000000001E-2</v>
      </c>
      <c r="X5798">
        <v>0.97915070000000004</v>
      </c>
      <c r="Y5798">
        <v>0.23796519999999999</v>
      </c>
      <c r="Z5798">
        <v>-2.242347E-3</v>
      </c>
      <c r="AA5798">
        <v>0.97127110000000005</v>
      </c>
      <c r="AB5798">
        <v>24</v>
      </c>
      <c r="AC5798">
        <v>38.588900000000002</v>
      </c>
      <c r="AD5798">
        <v>-1.1102194823530001</v>
      </c>
      <c r="AE5798">
        <v>-11.130299999999901</v>
      </c>
      <c r="AF5798">
        <v>9.6091724920774304</v>
      </c>
      <c r="AG5798">
        <v>-1.1102194823530001</v>
      </c>
      <c r="AH5798">
        <v>38.963935036668197</v>
      </c>
      <c r="AI5798">
        <v>91.584663524629903</v>
      </c>
      <c r="AJ5798">
        <v>76.146325842167201</v>
      </c>
      <c r="AK5798">
        <v>40.146693722188303</v>
      </c>
      <c r="AL5798">
        <v>88.889284363804705</v>
      </c>
      <c r="AM5798">
        <v>78.331669670065594</v>
      </c>
      <c r="AN5798">
        <v>0.99999996235045596</v>
      </c>
    </row>
    <row r="5799" spans="1:40" x14ac:dyDescent="0.25">
      <c r="A5799" t="str">
        <f>"20190312150809187"</f>
        <v>20190312150809187</v>
      </c>
      <c r="B5799" t="str">
        <f>"1552374489175939"</f>
        <v>1552374489175939</v>
      </c>
      <c r="C5799" t="s">
        <v>40</v>
      </c>
      <c r="D5799">
        <v>5.1137180000000004</v>
      </c>
      <c r="E5799">
        <v>0.51389259999999903</v>
      </c>
      <c r="F5799" t="s">
        <v>61</v>
      </c>
      <c r="G5799">
        <v>-188.9624</v>
      </c>
      <c r="H5799" s="1">
        <v>5.7762349999999998E-6</v>
      </c>
      <c r="I5799">
        <v>205.24969999999999</v>
      </c>
      <c r="J5799">
        <v>-225.381</v>
      </c>
      <c r="K5799">
        <v>1.110271</v>
      </c>
      <c r="L5799">
        <v>215.77500000000001</v>
      </c>
      <c r="M5799">
        <v>0.9991314</v>
      </c>
      <c r="N5799">
        <v>0</v>
      </c>
      <c r="O5799">
        <v>-3.9313899999999999E-2</v>
      </c>
      <c r="P5799">
        <v>0.970638</v>
      </c>
      <c r="Q5799">
        <v>5.433953E-3</v>
      </c>
      <c r="R5799">
        <v>-0.2404838</v>
      </c>
      <c r="S5799">
        <v>2.885834</v>
      </c>
      <c r="T5799">
        <v>-8.7401510000000002E-2</v>
      </c>
      <c r="U5799">
        <v>-0.82936100000000001</v>
      </c>
      <c r="V5799">
        <v>0.20214470000000001</v>
      </c>
      <c r="W5799">
        <v>1.8855710000000001E-2</v>
      </c>
      <c r="X5799">
        <v>0.97917410000000005</v>
      </c>
      <c r="Y5799">
        <v>0.23812449999999999</v>
      </c>
      <c r="Z5799">
        <v>-2.3685920000000001E-3</v>
      </c>
      <c r="AA5799">
        <v>0.97123179999999998</v>
      </c>
      <c r="AB5799">
        <v>24</v>
      </c>
      <c r="AC5799">
        <v>36.418599999999898</v>
      </c>
      <c r="AD5799">
        <v>-1.1102652237649999</v>
      </c>
      <c r="AE5799">
        <v>-10.5253</v>
      </c>
      <c r="AF5799">
        <v>9.0774812546028691</v>
      </c>
      <c r="AG5799">
        <v>-1.1102652237649999</v>
      </c>
      <c r="AH5799">
        <v>36.7727275413569</v>
      </c>
      <c r="AI5799">
        <v>91.679014493884694</v>
      </c>
      <c r="AJ5799">
        <v>76.133551158546595</v>
      </c>
      <c r="AK5799">
        <v>37.892833697489998</v>
      </c>
      <c r="AL5799">
        <v>88.919583334567704</v>
      </c>
      <c r="AM5799">
        <v>78.335493379149497</v>
      </c>
      <c r="AN5799">
        <v>0.99999996782425105</v>
      </c>
    </row>
    <row r="5800" spans="1:40" x14ac:dyDescent="0.25">
      <c r="A5800" t="str">
        <f>"20190312150809209"</f>
        <v>20190312150809209</v>
      </c>
      <c r="B5800" t="str">
        <f>"1552374489206194"</f>
        <v>1552374489206194</v>
      </c>
      <c r="C5800" t="s">
        <v>40</v>
      </c>
      <c r="D5800">
        <v>4.5582830000000003</v>
      </c>
      <c r="E5800">
        <v>0.51397680000000001</v>
      </c>
      <c r="F5800" t="s">
        <v>61</v>
      </c>
      <c r="G5800">
        <v>-190.0624</v>
      </c>
      <c r="H5800" s="1">
        <v>5.8002019999999996E-6</v>
      </c>
      <c r="I5800">
        <v>205.61580000000001</v>
      </c>
      <c r="J5800">
        <v>-225.1448</v>
      </c>
      <c r="K5800">
        <v>1.110306</v>
      </c>
      <c r="L5800">
        <v>215.7653</v>
      </c>
      <c r="M5800">
        <v>0.99912140000000005</v>
      </c>
      <c r="N5800">
        <v>0</v>
      </c>
      <c r="O5800">
        <v>-3.95707E-2</v>
      </c>
      <c r="P5800">
        <v>0.97058160000000004</v>
      </c>
      <c r="Q5800">
        <v>5.484086E-3</v>
      </c>
      <c r="R5800">
        <v>-0.24071049999999999</v>
      </c>
      <c r="S5800">
        <v>2.8856199999999999</v>
      </c>
      <c r="T5800">
        <v>-9.0711360000000005E-2</v>
      </c>
      <c r="U5800">
        <v>-0.83003229999999995</v>
      </c>
      <c r="V5800">
        <v>0.20211989999999999</v>
      </c>
      <c r="W5800">
        <v>1.8921980000000001E-2</v>
      </c>
      <c r="X5800">
        <v>0.97917799999999999</v>
      </c>
      <c r="Y5800">
        <v>0.23809630000000001</v>
      </c>
      <c r="Z5800">
        <v>-2.4500279999999999E-3</v>
      </c>
      <c r="AA5800">
        <v>0.97123839999999995</v>
      </c>
      <c r="AB5800">
        <v>24</v>
      </c>
      <c r="AC5800">
        <v>35.0824</v>
      </c>
      <c r="AD5800">
        <v>-1.110300199798</v>
      </c>
      <c r="AE5800">
        <v>-10.1494999999999</v>
      </c>
      <c r="AF5800">
        <v>8.74509894005174</v>
      </c>
      <c r="AG5800">
        <v>-1.110300199798</v>
      </c>
      <c r="AH5800">
        <v>35.423837531461899</v>
      </c>
      <c r="AI5800">
        <v>91.742958349697304</v>
      </c>
      <c r="AJ5800">
        <v>76.132642417000696</v>
      </c>
      <c r="AK5800">
        <v>36.504216023089398</v>
      </c>
      <c r="AL5800">
        <v>88.915785728127105</v>
      </c>
      <c r="AM5800">
        <v>78.336930404898695</v>
      </c>
      <c r="AN5800">
        <v>1.0000000254935599</v>
      </c>
    </row>
    <row r="5801" spans="1:40" x14ac:dyDescent="0.25">
      <c r="A5801" t="str">
        <f>"20190312150809232"</f>
        <v>20190312150809232</v>
      </c>
      <c r="B5801" t="str">
        <f>"1552374489225714"</f>
        <v>1552374489225714</v>
      </c>
      <c r="C5801" t="s">
        <v>40</v>
      </c>
      <c r="D5801">
        <v>4.5617140000000003</v>
      </c>
      <c r="E5801">
        <v>0.51395879999999905</v>
      </c>
      <c r="F5801" t="s">
        <v>61</v>
      </c>
      <c r="G5801">
        <v>-190.11070000000001</v>
      </c>
      <c r="H5801" s="1">
        <v>5.7701860000000003E-6</v>
      </c>
      <c r="I5801">
        <v>205.6704</v>
      </c>
      <c r="J5801">
        <v>-224.8931</v>
      </c>
      <c r="K5801">
        <v>1.1103379999999901</v>
      </c>
      <c r="L5801">
        <v>215.7551</v>
      </c>
      <c r="M5801">
        <v>0.99911240000000001</v>
      </c>
      <c r="N5801">
        <v>0</v>
      </c>
      <c r="O5801">
        <v>-3.9797939999999997E-2</v>
      </c>
      <c r="P5801">
        <v>0.97067119999999996</v>
      </c>
      <c r="Q5801">
        <v>5.8104699999999999E-3</v>
      </c>
      <c r="R5801">
        <v>-0.24034140000000001</v>
      </c>
      <c r="S5801">
        <v>2.8852540000000002</v>
      </c>
      <c r="T5801">
        <v>-9.1439370000000006E-2</v>
      </c>
      <c r="U5801">
        <v>-0.83137510000000003</v>
      </c>
      <c r="V5801">
        <v>0.20152349999999999</v>
      </c>
      <c r="W5801">
        <v>1.9262379999999999E-2</v>
      </c>
      <c r="X5801">
        <v>0.9792942</v>
      </c>
      <c r="Y5801">
        <v>0.23832410000000001</v>
      </c>
      <c r="Z5801">
        <v>-2.4663340000000001E-3</v>
      </c>
      <c r="AA5801">
        <v>0.97118249999999995</v>
      </c>
      <c r="AB5801">
        <v>24</v>
      </c>
      <c r="AC5801">
        <v>34.782400000000003</v>
      </c>
      <c r="AD5801">
        <v>-1.1103322298139999</v>
      </c>
      <c r="AE5801">
        <v>-10.0846999999999</v>
      </c>
      <c r="AF5801">
        <v>8.6841459135110597</v>
      </c>
      <c r="AG5801">
        <v>-1.1103322298139999</v>
      </c>
      <c r="AH5801">
        <v>35.123210709811403</v>
      </c>
      <c r="AI5801">
        <v>91.757763588153907</v>
      </c>
      <c r="AJ5801">
        <v>76.112251612496195</v>
      </c>
      <c r="AK5801">
        <v>36.197888867633203</v>
      </c>
      <c r="AL5801">
        <v>88.896278601008007</v>
      </c>
      <c r="AM5801">
        <v>78.371748458480795</v>
      </c>
      <c r="AN5801">
        <v>0.99999994524457503</v>
      </c>
    </row>
    <row r="5802" spans="1:40" x14ac:dyDescent="0.25">
      <c r="A5802" t="str">
        <f>"20190312150809265"</f>
        <v>20190312150809265</v>
      </c>
      <c r="B5802" t="str">
        <f>"1552374489255973"</f>
        <v>1552374489255973</v>
      </c>
      <c r="C5802" t="s">
        <v>40</v>
      </c>
      <c r="D5802">
        <v>4.5575619999999999</v>
      </c>
      <c r="E5802">
        <v>0.51403580000000004</v>
      </c>
      <c r="F5802" t="s">
        <v>61</v>
      </c>
      <c r="G5802">
        <v>-189.35980000000001</v>
      </c>
      <c r="H5802" s="1">
        <v>5.7463000000000004E-6</v>
      </c>
      <c r="I5802">
        <v>205.53380000000001</v>
      </c>
      <c r="J5802">
        <v>-224.54060000000001</v>
      </c>
      <c r="K5802">
        <v>1.110371</v>
      </c>
      <c r="L5802">
        <v>215.7406</v>
      </c>
      <c r="M5802">
        <v>0.99910180000000004</v>
      </c>
      <c r="N5802">
        <v>0</v>
      </c>
      <c r="O5802">
        <v>-4.006266E-2</v>
      </c>
      <c r="P5802">
        <v>0.97092769999999995</v>
      </c>
      <c r="Q5802">
        <v>6.6374919999999896E-3</v>
      </c>
      <c r="R5802">
        <v>-0.23928179999999999</v>
      </c>
      <c r="S5802">
        <v>2.8856809999999999</v>
      </c>
      <c r="T5802">
        <v>-9.0170739999999999E-2</v>
      </c>
      <c r="U5802">
        <v>-0.83007809999999904</v>
      </c>
      <c r="V5802">
        <v>0.20019380000000001</v>
      </c>
      <c r="W5802">
        <v>2.0103360000000001E-2</v>
      </c>
      <c r="X5802">
        <v>0.97955009999999998</v>
      </c>
      <c r="Y5802">
        <v>0.23762839999999999</v>
      </c>
      <c r="Z5802">
        <v>-2.4131999999999999E-3</v>
      </c>
      <c r="AA5802">
        <v>0.97135320000000003</v>
      </c>
      <c r="AB5802">
        <v>24</v>
      </c>
      <c r="AC5802">
        <v>35.180799999999998</v>
      </c>
      <c r="AD5802">
        <v>-1.1103652536999999</v>
      </c>
      <c r="AE5802">
        <v>-10.2067999999999</v>
      </c>
      <c r="AF5802">
        <v>8.7809653830736405</v>
      </c>
      <c r="AG5802">
        <v>-1.1103652536999999</v>
      </c>
      <c r="AH5802">
        <v>35.5288569204547</v>
      </c>
      <c r="AI5802">
        <v>91.7377981538272</v>
      </c>
      <c r="AJ5802">
        <v>76.117534036458906</v>
      </c>
      <c r="AK5802">
        <v>36.614722969449097</v>
      </c>
      <c r="AL5802">
        <v>88.848084777141096</v>
      </c>
      <c r="AM5802">
        <v>78.449341994553194</v>
      </c>
      <c r="AN5802">
        <v>1.0000000505258599</v>
      </c>
    </row>
    <row r="5803" spans="1:40" x14ac:dyDescent="0.25">
      <c r="A5803" t="str">
        <f>"20190312150809287"</f>
        <v>20190312150809287</v>
      </c>
      <c r="B5803" t="str">
        <f>"1552374489276050"</f>
        <v>1552374489276050</v>
      </c>
      <c r="C5803" t="s">
        <v>40</v>
      </c>
      <c r="D5803">
        <v>4.5651679999999999</v>
      </c>
      <c r="E5803">
        <v>0.51407449999999999</v>
      </c>
      <c r="F5803" t="s">
        <v>61</v>
      </c>
      <c r="G5803">
        <v>-187.7739</v>
      </c>
      <c r="H5803" s="1">
        <v>5.5380710000000002E-6</v>
      </c>
      <c r="I5803">
        <v>205.1994</v>
      </c>
      <c r="J5803">
        <v>-224.29990000000001</v>
      </c>
      <c r="K5803">
        <v>1.1103809999999901</v>
      </c>
      <c r="L5803">
        <v>215.73079999999999</v>
      </c>
      <c r="M5803">
        <v>0.99909530000000002</v>
      </c>
      <c r="N5803">
        <v>0</v>
      </c>
      <c r="O5803">
        <v>-4.0225700000000003E-2</v>
      </c>
      <c r="P5803">
        <v>0.97095949999999998</v>
      </c>
      <c r="Q5803">
        <v>6.0686380000000003E-3</v>
      </c>
      <c r="R5803">
        <v>-0.23916689999999999</v>
      </c>
      <c r="S5803">
        <v>2.8864899999999998</v>
      </c>
      <c r="T5803">
        <v>-8.7172749999999993E-2</v>
      </c>
      <c r="U5803">
        <v>-0.82757569999999903</v>
      </c>
      <c r="V5803">
        <v>0.1999174</v>
      </c>
      <c r="W5803">
        <v>1.953746E-2</v>
      </c>
      <c r="X5803">
        <v>0.97961799999999999</v>
      </c>
      <c r="Y5803">
        <v>0.2366258</v>
      </c>
      <c r="Z5803">
        <v>-2.312995E-3</v>
      </c>
      <c r="AA5803">
        <v>0.97159810000000002</v>
      </c>
      <c r="AB5803">
        <v>24</v>
      </c>
      <c r="AC5803">
        <v>36.526000000000003</v>
      </c>
      <c r="AD5803">
        <v>-1.1103754619289901</v>
      </c>
      <c r="AE5803">
        <v>-10.5313999999999</v>
      </c>
      <c r="AF5803">
        <v>9.0457327141599801</v>
      </c>
      <c r="AG5803">
        <v>-1.1103754619289901</v>
      </c>
      <c r="AH5803">
        <v>36.888630586476502</v>
      </c>
      <c r="AI5803">
        <v>91.674543349736993</v>
      </c>
      <c r="AJ5803">
        <v>76.221951146188502</v>
      </c>
      <c r="AK5803">
        <v>37.997753625023797</v>
      </c>
      <c r="AL5803">
        <v>88.880514830499393</v>
      </c>
      <c r="AM5803">
        <v>78.465639925184007</v>
      </c>
      <c r="AN5803">
        <v>1.0000000525449999</v>
      </c>
    </row>
    <row r="5804" spans="1:40" x14ac:dyDescent="0.25">
      <c r="A5804" t="str">
        <f>"20190312150809310"</f>
        <v>20190312150809310</v>
      </c>
      <c r="B5804" t="str">
        <f>"1552374489306308"</f>
        <v>1552374489306308</v>
      </c>
      <c r="C5804" t="s">
        <v>40</v>
      </c>
      <c r="D5804">
        <v>4.5841589999999997</v>
      </c>
      <c r="E5804">
        <v>0.51410940000000005</v>
      </c>
      <c r="F5804" t="s">
        <v>61</v>
      </c>
      <c r="G5804">
        <v>-188.0163</v>
      </c>
      <c r="H5804" s="1">
        <v>5.5578119999999999E-6</v>
      </c>
      <c r="I5804">
        <v>205.3278</v>
      </c>
      <c r="J5804">
        <v>-224.05950000000001</v>
      </c>
      <c r="K5804">
        <v>1.110385</v>
      </c>
      <c r="L5804">
        <v>215.7209</v>
      </c>
      <c r="M5804">
        <v>0.9990888</v>
      </c>
      <c r="N5804">
        <v>0</v>
      </c>
      <c r="O5804">
        <v>-4.0387300000000001E-2</v>
      </c>
      <c r="P5804">
        <v>0.97089510000000001</v>
      </c>
      <c r="Q5804">
        <v>5.1250159999999996E-3</v>
      </c>
      <c r="R5804">
        <v>-0.23945089999999999</v>
      </c>
      <c r="S5804">
        <v>2.8864290000000001</v>
      </c>
      <c r="T5804">
        <v>-8.8332649999999999E-2</v>
      </c>
      <c r="U5804">
        <v>-0.82757569999999903</v>
      </c>
      <c r="V5804">
        <v>0.200045</v>
      </c>
      <c r="W5804">
        <v>1.8591590000000002E-2</v>
      </c>
      <c r="X5804">
        <v>0.97961030000000004</v>
      </c>
      <c r="Y5804">
        <v>0.23647199999999999</v>
      </c>
      <c r="Z5804">
        <v>-2.336669E-3</v>
      </c>
      <c r="AA5804">
        <v>0.97163549999999999</v>
      </c>
      <c r="AB5804">
        <v>24</v>
      </c>
      <c r="AC5804">
        <v>36.043199999999999</v>
      </c>
      <c r="AD5804">
        <v>-1.110379442188</v>
      </c>
      <c r="AE5804">
        <v>-10.3931</v>
      </c>
      <c r="AF5804">
        <v>8.92097583479406</v>
      </c>
      <c r="AG5804">
        <v>-1.110379442188</v>
      </c>
      <c r="AH5804">
        <v>36.401680403065797</v>
      </c>
      <c r="AI5804">
        <v>91.696994631792506</v>
      </c>
      <c r="AJ5804">
        <v>76.229891997127098</v>
      </c>
      <c r="AK5804">
        <v>37.495320888313003</v>
      </c>
      <c r="AL5804">
        <v>88.934718978180001</v>
      </c>
      <c r="AM5804">
        <v>78.4583871589045</v>
      </c>
      <c r="AN5804">
        <v>0.99999999455490896</v>
      </c>
    </row>
    <row r="5805" spans="1:40" x14ac:dyDescent="0.25">
      <c r="A5805" t="str">
        <f>"20190312150809332"</f>
        <v>20190312150809332</v>
      </c>
      <c r="B5805" t="str">
        <f>"1552374489325826"</f>
        <v>1552374489325826</v>
      </c>
      <c r="C5805" t="s">
        <v>40</v>
      </c>
      <c r="D5805">
        <v>4.6014290000000004</v>
      </c>
      <c r="E5805">
        <v>0.51411130000000005</v>
      </c>
      <c r="F5805" t="s">
        <v>61</v>
      </c>
      <c r="G5805">
        <v>-190.1514</v>
      </c>
      <c r="H5805" s="1">
        <v>5.6501590000000001E-6</v>
      </c>
      <c r="I5805">
        <v>205.98429999999999</v>
      </c>
      <c r="J5805">
        <v>-223.8151</v>
      </c>
      <c r="K5805">
        <v>1.1103829999999999</v>
      </c>
      <c r="L5805">
        <v>215.71080000000001</v>
      </c>
      <c r="M5805">
        <v>0.99908189999999997</v>
      </c>
      <c r="N5805">
        <v>0</v>
      </c>
      <c r="O5805">
        <v>-4.0556349999999998E-2</v>
      </c>
      <c r="P5805">
        <v>0.97082259999999998</v>
      </c>
      <c r="Q5805">
        <v>4.7274029999999998E-3</v>
      </c>
      <c r="R5805">
        <v>-0.23975289999999999</v>
      </c>
      <c r="S5805">
        <v>2.886063</v>
      </c>
      <c r="T5805">
        <v>-9.4509239999999994E-2</v>
      </c>
      <c r="U5805">
        <v>-0.82872009999999996</v>
      </c>
      <c r="V5805">
        <v>0.2001838</v>
      </c>
      <c r="W5805">
        <v>1.819016E-2</v>
      </c>
      <c r="X5805">
        <v>0.9795895</v>
      </c>
      <c r="Y5805">
        <v>0.23668400000000001</v>
      </c>
      <c r="Z5805">
        <v>-2.498147E-3</v>
      </c>
      <c r="AA5805">
        <v>0.97158350000000004</v>
      </c>
      <c r="AB5805">
        <v>24</v>
      </c>
      <c r="AC5805">
        <v>33.663699999999999</v>
      </c>
      <c r="AD5805">
        <v>-1.1103773498409999</v>
      </c>
      <c r="AE5805">
        <v>-9.7265000000000104</v>
      </c>
      <c r="AF5805">
        <v>8.3447098444134404</v>
      </c>
      <c r="AG5805">
        <v>-1.1103773498409999</v>
      </c>
      <c r="AH5805">
        <v>33.996369673979999</v>
      </c>
      <c r="AI5805">
        <v>91.816815974688197</v>
      </c>
      <c r="AJ5805">
        <v>76.208900421626893</v>
      </c>
      <c r="AK5805">
        <v>35.023139083417298</v>
      </c>
      <c r="AL5805">
        <v>88.957723132133395</v>
      </c>
      <c r="AM5805">
        <v>78.450355536083293</v>
      </c>
      <c r="AN5805">
        <v>1.00000001210675</v>
      </c>
    </row>
    <row r="5806" spans="1:40" x14ac:dyDescent="0.25">
      <c r="A5806" t="str">
        <f>"20190312150809355"</f>
        <v>20190312150809355</v>
      </c>
      <c r="B5806" t="str">
        <f>"1552374489346325"</f>
        <v>1552374489346325</v>
      </c>
      <c r="C5806" t="s">
        <v>40</v>
      </c>
      <c r="D5806">
        <v>4.5962379999999996</v>
      </c>
      <c r="E5806">
        <v>0.51415010000000005</v>
      </c>
      <c r="F5806" t="s">
        <v>61</v>
      </c>
      <c r="G5806">
        <v>-191.0051</v>
      </c>
      <c r="H5806" s="1">
        <v>5.3570469999999999E-6</v>
      </c>
      <c r="I5806">
        <v>206.27809999999999</v>
      </c>
      <c r="J5806">
        <v>-223.5779</v>
      </c>
      <c r="K5806">
        <v>1.110379</v>
      </c>
      <c r="L5806">
        <v>215.70099999999999</v>
      </c>
      <c r="M5806">
        <v>0.99907520000000005</v>
      </c>
      <c r="N5806">
        <v>0</v>
      </c>
      <c r="O5806">
        <v>-4.072829E-2</v>
      </c>
      <c r="P5806">
        <v>0.97061509999999995</v>
      </c>
      <c r="Q5806">
        <v>4.6663130000000001E-3</v>
      </c>
      <c r="R5806">
        <v>-0.2405939</v>
      </c>
      <c r="S5806">
        <v>2.885742</v>
      </c>
      <c r="T5806">
        <v>-9.7661139999999994E-2</v>
      </c>
      <c r="U5806">
        <v>-0.82963560000000003</v>
      </c>
      <c r="V5806">
        <v>0.20086399999999999</v>
      </c>
      <c r="W5806">
        <v>1.812246E-2</v>
      </c>
      <c r="X5806">
        <v>0.97945150000000003</v>
      </c>
      <c r="Y5806">
        <v>0.2368236</v>
      </c>
      <c r="Z5806">
        <v>-2.578215E-3</v>
      </c>
      <c r="AA5806">
        <v>0.97154929999999995</v>
      </c>
      <c r="AB5806">
        <v>24</v>
      </c>
      <c r="AC5806">
        <v>32.572800000000001</v>
      </c>
      <c r="AD5806">
        <v>-1.110373642953</v>
      </c>
      <c r="AE5806">
        <v>-9.4228999999999896</v>
      </c>
      <c r="AF5806">
        <v>8.0796555154256495</v>
      </c>
      <c r="AG5806">
        <v>-1.110373642953</v>
      </c>
      <c r="AH5806">
        <v>32.894309726272802</v>
      </c>
      <c r="AI5806">
        <v>91.877563666726004</v>
      </c>
      <c r="AJ5806">
        <v>76.199937400983302</v>
      </c>
      <c r="AK5806">
        <v>33.890254871317701</v>
      </c>
      <c r="AL5806">
        <v>88.9616026889544</v>
      </c>
      <c r="AM5806">
        <v>78.410582466307005</v>
      </c>
      <c r="AN5806">
        <v>1.0000000054523499</v>
      </c>
    </row>
    <row r="5807" spans="1:40" x14ac:dyDescent="0.25">
      <c r="A5807" t="str">
        <f>"20190312150809378"</f>
        <v>20190312150809378</v>
      </c>
      <c r="B5807" t="str">
        <f>"1552374489365842"</f>
        <v>1552374489365842</v>
      </c>
      <c r="C5807" t="s">
        <v>40</v>
      </c>
      <c r="D5807">
        <v>4.5884559999999999</v>
      </c>
      <c r="E5807">
        <v>0.51423999999999903</v>
      </c>
      <c r="F5807" t="s">
        <v>61</v>
      </c>
      <c r="G5807">
        <v>-191.48390000000001</v>
      </c>
      <c r="H5807" s="1">
        <v>5.1940319999999998E-6</v>
      </c>
      <c r="I5807">
        <v>206.43889999999999</v>
      </c>
      <c r="J5807">
        <v>-223.3373</v>
      </c>
      <c r="K5807">
        <v>1.110368</v>
      </c>
      <c r="L5807">
        <v>215.6909</v>
      </c>
      <c r="M5807">
        <v>0.99906779999999995</v>
      </c>
      <c r="N5807">
        <v>0</v>
      </c>
      <c r="O5807">
        <v>-4.0910019999999998E-2</v>
      </c>
      <c r="P5807">
        <v>0.97048310000000004</v>
      </c>
      <c r="Q5807">
        <v>4.9745199999999996E-3</v>
      </c>
      <c r="R5807">
        <v>-0.24111850000000001</v>
      </c>
      <c r="S5807">
        <v>2.8849179999999999</v>
      </c>
      <c r="T5807">
        <v>-9.9811200000000003E-2</v>
      </c>
      <c r="U5807">
        <v>-0.83256529999999995</v>
      </c>
      <c r="V5807">
        <v>0.2012158</v>
      </c>
      <c r="W5807">
        <v>1.842425E-2</v>
      </c>
      <c r="X5807">
        <v>0.97937359999999896</v>
      </c>
      <c r="Y5807">
        <v>0.23762649999999999</v>
      </c>
      <c r="Z5807">
        <v>-2.6427820000000002E-3</v>
      </c>
      <c r="AA5807">
        <v>0.97135300000000002</v>
      </c>
      <c r="AB5807">
        <v>24</v>
      </c>
      <c r="AC5807">
        <v>31.853399999999901</v>
      </c>
      <c r="AD5807">
        <v>-1.110362805968</v>
      </c>
      <c r="AE5807">
        <v>-9.2520000000000095</v>
      </c>
      <c r="AF5807">
        <v>7.9321175202302401</v>
      </c>
      <c r="AG5807">
        <v>-1.110362805968</v>
      </c>
      <c r="AH5807">
        <v>32.169215635575</v>
      </c>
      <c r="AI5807">
        <v>91.9194110219142</v>
      </c>
      <c r="AJ5807">
        <v>76.148610942736099</v>
      </c>
      <c r="AK5807">
        <v>33.151317146136797</v>
      </c>
      <c r="AL5807">
        <v>88.944308449252205</v>
      </c>
      <c r="AM5807">
        <v>78.389936579709499</v>
      </c>
      <c r="AN5807">
        <v>0.99999994976732898</v>
      </c>
    </row>
    <row r="5808" spans="1:40" x14ac:dyDescent="0.25">
      <c r="A5808" t="str">
        <f>"20190312150809399"</f>
        <v>20190312150809399</v>
      </c>
      <c r="B5808" t="str">
        <f>"1552374489395670"</f>
        <v>1552374489395670</v>
      </c>
      <c r="C5808" t="s">
        <v>40</v>
      </c>
      <c r="D5808">
        <v>4.6064249999999998</v>
      </c>
      <c r="E5808">
        <v>0.51438989999999996</v>
      </c>
      <c r="F5808" t="s">
        <v>61</v>
      </c>
      <c r="G5808">
        <v>-191.5889</v>
      </c>
      <c r="H5808" s="1">
        <v>5.1479250000000004E-6</v>
      </c>
      <c r="I5808">
        <v>206.5034</v>
      </c>
      <c r="J5808">
        <v>-223.10169999999999</v>
      </c>
      <c r="K5808">
        <v>1.1103639999999999</v>
      </c>
      <c r="L5808">
        <v>215.68109999999999</v>
      </c>
      <c r="M5808">
        <v>0.99906019999999895</v>
      </c>
      <c r="N5808">
        <v>0</v>
      </c>
      <c r="O5808">
        <v>-4.1093890000000001E-2</v>
      </c>
      <c r="P5808">
        <v>0.97052539999999998</v>
      </c>
      <c r="Q5808">
        <v>4.6152989999999998E-3</v>
      </c>
      <c r="R5808">
        <v>-0.24095539999999999</v>
      </c>
      <c r="S5808">
        <v>2.8843990000000002</v>
      </c>
      <c r="T5808">
        <v>-0.1008786</v>
      </c>
      <c r="U5808">
        <v>-0.83470149999999999</v>
      </c>
      <c r="V5808">
        <v>0.20087089999999999</v>
      </c>
      <c r="W5808">
        <v>1.806191E-2</v>
      </c>
      <c r="X5808">
        <v>0.97945119999999997</v>
      </c>
      <c r="Y5808">
        <v>0.2381556</v>
      </c>
      <c r="Z5808">
        <v>-2.6740100000000001E-3</v>
      </c>
      <c r="AA5808">
        <v>0.97122339999999996</v>
      </c>
      <c r="AB5808">
        <v>24</v>
      </c>
      <c r="AC5808">
        <v>31.512799999999999</v>
      </c>
      <c r="AD5808">
        <v>-1.1103588520749901</v>
      </c>
      <c r="AE5808">
        <v>-9.1776999999999802</v>
      </c>
      <c r="AF5808">
        <v>7.8658374131986699</v>
      </c>
      <c r="AG5808">
        <v>-1.1103588520749901</v>
      </c>
      <c r="AH5808">
        <v>31.826934754398302</v>
      </c>
      <c r="AI5808">
        <v>91.939773867538406</v>
      </c>
      <c r="AJ5808">
        <v>76.1178683202467</v>
      </c>
      <c r="AK5808">
        <v>32.8033240823546</v>
      </c>
      <c r="AL5808">
        <v>88.965072512867806</v>
      </c>
      <c r="AM5808">
        <v>78.410191668576402</v>
      </c>
      <c r="AN5808">
        <v>1.00000000212054</v>
      </c>
    </row>
    <row r="5809" spans="1:40" x14ac:dyDescent="0.25">
      <c r="A5809" t="str">
        <f>"20190312150809422"</f>
        <v>20190312150809422</v>
      </c>
      <c r="B5809" t="str">
        <f>"1552374489416166"</f>
        <v>1552374489416166</v>
      </c>
      <c r="C5809" t="s">
        <v>40</v>
      </c>
      <c r="D5809">
        <v>4.6078359999999998</v>
      </c>
      <c r="E5809">
        <v>0.51446999999999998</v>
      </c>
      <c r="F5809" t="s">
        <v>61</v>
      </c>
      <c r="G5809">
        <v>-192.3134</v>
      </c>
      <c r="H5809" s="1">
        <v>4.895231E-6</v>
      </c>
      <c r="I5809">
        <v>206.7638</v>
      </c>
      <c r="J5809">
        <v>-222.8612</v>
      </c>
      <c r="K5809">
        <v>1.1103559999999999</v>
      </c>
      <c r="L5809">
        <v>215.67099999999999</v>
      </c>
      <c r="M5809">
        <v>0.9990523</v>
      </c>
      <c r="N5809">
        <v>0</v>
      </c>
      <c r="O5809">
        <v>-4.1286099999999999E-2</v>
      </c>
      <c r="P5809">
        <v>0.97049269999999999</v>
      </c>
      <c r="Q5809">
        <v>4.9514989999999998E-3</v>
      </c>
      <c r="R5809">
        <v>-0.2410803</v>
      </c>
      <c r="S5809">
        <v>2.884201</v>
      </c>
      <c r="T5809">
        <v>-0.104017</v>
      </c>
      <c r="U5809">
        <v>-0.83535769999999998</v>
      </c>
      <c r="V5809">
        <v>0.20080899999999999</v>
      </c>
      <c r="W5809">
        <v>1.8393260000000002E-2</v>
      </c>
      <c r="X5809">
        <v>0.97945769999999999</v>
      </c>
      <c r="Y5809">
        <v>0.2381836</v>
      </c>
      <c r="Z5809">
        <v>-2.7509769999999999E-3</v>
      </c>
      <c r="AA5809">
        <v>0.97121630000000003</v>
      </c>
      <c r="AB5809">
        <v>24</v>
      </c>
      <c r="AC5809">
        <v>30.547799999999899</v>
      </c>
      <c r="AD5809">
        <v>-1.110351104769</v>
      </c>
      <c r="AE5809">
        <v>-8.90719999999998</v>
      </c>
      <c r="AF5809">
        <v>7.6289951833341103</v>
      </c>
      <c r="AG5809">
        <v>-1.110351104769</v>
      </c>
      <c r="AH5809">
        <v>30.851960494794302</v>
      </c>
      <c r="AI5809">
        <v>92.0009488334249</v>
      </c>
      <c r="AJ5809">
        <v>76.110663162039302</v>
      </c>
      <c r="AK5809">
        <v>31.800596117927501</v>
      </c>
      <c r="AL5809">
        <v>88.946084374441995</v>
      </c>
      <c r="AM5809">
        <v>78.413741387182696</v>
      </c>
      <c r="AN5809">
        <v>0.99999997629185799</v>
      </c>
    </row>
    <row r="5810" spans="1:40" x14ac:dyDescent="0.25">
      <c r="A5810" t="str">
        <f>"20190312150809444"</f>
        <v>20190312150809444</v>
      </c>
      <c r="B5810" t="str">
        <f>"1552374489435686"</f>
        <v>1552374489435686</v>
      </c>
      <c r="C5810" t="s">
        <v>40</v>
      </c>
      <c r="D5810">
        <v>4.5909259999999996</v>
      </c>
      <c r="E5810">
        <v>0.51460050000000002</v>
      </c>
      <c r="F5810" t="s">
        <v>61</v>
      </c>
      <c r="G5810">
        <v>-191.95679999999999</v>
      </c>
      <c r="H5810" s="1">
        <v>4.9943980000000004E-6</v>
      </c>
      <c r="I5810">
        <v>206.70699999999999</v>
      </c>
      <c r="J5810">
        <v>-222.62450000000001</v>
      </c>
      <c r="K5810">
        <v>1.110355</v>
      </c>
      <c r="L5810">
        <v>215.661</v>
      </c>
      <c r="M5810">
        <v>0.99904440000000005</v>
      </c>
      <c r="N5810">
        <v>0</v>
      </c>
      <c r="O5810">
        <v>-4.1477229999999997E-2</v>
      </c>
      <c r="P5810">
        <v>0.97052720000000003</v>
      </c>
      <c r="Q5810">
        <v>4.5681879999999999E-3</v>
      </c>
      <c r="R5810">
        <v>-0.24094860000000001</v>
      </c>
      <c r="S5810">
        <v>2.8839260000000002</v>
      </c>
      <c r="T5810">
        <v>-0.1036155</v>
      </c>
      <c r="U5810">
        <v>-0.83650210000000003</v>
      </c>
      <c r="V5810">
        <v>0.20048840000000001</v>
      </c>
      <c r="W5810">
        <v>1.8007559999999999E-2</v>
      </c>
      <c r="X5810">
        <v>0.97953060000000003</v>
      </c>
      <c r="Y5810">
        <v>0.2383789</v>
      </c>
      <c r="Z5810">
        <v>-2.7372049999999999E-3</v>
      </c>
      <c r="AA5810">
        <v>0.97116829999999998</v>
      </c>
      <c r="AB5810">
        <v>24</v>
      </c>
      <c r="AC5810">
        <v>30.6677</v>
      </c>
      <c r="AD5810">
        <v>-1.1103500056019999</v>
      </c>
      <c r="AE5810">
        <v>-8.9539999999999793</v>
      </c>
      <c r="AF5810">
        <v>7.6649027063524899</v>
      </c>
      <c r="AG5810">
        <v>-1.1103500056019999</v>
      </c>
      <c r="AH5810">
        <v>30.975311328512401</v>
      </c>
      <c r="AI5810">
        <v>91.992904054284395</v>
      </c>
      <c r="AJ5810">
        <v>76.101240770788905</v>
      </c>
      <c r="AK5810">
        <v>31.928882262476002</v>
      </c>
      <c r="AL5810">
        <v>88.9681870774494</v>
      </c>
      <c r="AM5810">
        <v>78.432578064176994</v>
      </c>
      <c r="AN5810">
        <v>1.00000003354403</v>
      </c>
    </row>
    <row r="5811" spans="1:40" x14ac:dyDescent="0.25">
      <c r="A5811" t="str">
        <f>"20190312150809466"</f>
        <v>20190312150809466</v>
      </c>
      <c r="B5811" t="str">
        <f>"1552374489456182"</f>
        <v>1552374489456182</v>
      </c>
      <c r="C5811" t="s">
        <v>40</v>
      </c>
      <c r="D5811">
        <v>4.6456559999999998</v>
      </c>
      <c r="E5811">
        <v>0.51472439999999997</v>
      </c>
      <c r="F5811" t="s">
        <v>61</v>
      </c>
      <c r="G5811">
        <v>-192.39060000000001</v>
      </c>
      <c r="H5811" s="1">
        <v>4.8350089999999999E-6</v>
      </c>
      <c r="I5811">
        <v>206.88579999999999</v>
      </c>
      <c r="J5811">
        <v>-222.3903</v>
      </c>
      <c r="K5811">
        <v>1.110357</v>
      </c>
      <c r="L5811">
        <v>215.65110000000001</v>
      </c>
      <c r="M5811">
        <v>0.99903660000000005</v>
      </c>
      <c r="N5811">
        <v>0</v>
      </c>
      <c r="O5811">
        <v>-4.1666910000000001E-2</v>
      </c>
      <c r="P5811">
        <v>0.97065400000000002</v>
      </c>
      <c r="Q5811">
        <v>4.2722569999999998E-3</v>
      </c>
      <c r="R5811">
        <v>-0.2404432</v>
      </c>
      <c r="S5811">
        <v>2.883804</v>
      </c>
      <c r="T5811">
        <v>-0.1059088</v>
      </c>
      <c r="U5811">
        <v>-0.83700560000000002</v>
      </c>
      <c r="V5811">
        <v>0.19979230000000001</v>
      </c>
      <c r="W5811">
        <v>1.7709590000000001E-2</v>
      </c>
      <c r="X5811">
        <v>0.97967820000000005</v>
      </c>
      <c r="Y5811">
        <v>0.23835680000000001</v>
      </c>
      <c r="Z5811">
        <v>-2.7905989999999999E-3</v>
      </c>
      <c r="AA5811">
        <v>0.97117359999999997</v>
      </c>
      <c r="AB5811">
        <v>24</v>
      </c>
      <c r="AC5811">
        <v>29.999699999999901</v>
      </c>
      <c r="AD5811">
        <v>-1.110352164991</v>
      </c>
      <c r="AE5811">
        <v>-8.7653000000000194</v>
      </c>
      <c r="AF5811">
        <v>7.4981092653940502</v>
      </c>
      <c r="AG5811">
        <v>-1.110352164991</v>
      </c>
      <c r="AH5811">
        <v>30.300655738092299</v>
      </c>
      <c r="AI5811">
        <v>92.037241422082801</v>
      </c>
      <c r="AJ5811">
        <v>76.100970946212598</v>
      </c>
      <c r="AK5811">
        <v>31.234344280686901</v>
      </c>
      <c r="AL5811">
        <v>88.985262173314297</v>
      </c>
      <c r="AM5811">
        <v>78.473353773005201</v>
      </c>
      <c r="AN5811">
        <v>0.99999998413624902</v>
      </c>
    </row>
    <row r="5812" spans="1:40" x14ac:dyDescent="0.25">
      <c r="A5812" t="str">
        <f>"20190312150809489"</f>
        <v>20190312150809489</v>
      </c>
      <c r="B5812" t="str">
        <f>"1552374489486439"</f>
        <v>1552374489486439</v>
      </c>
      <c r="C5812" t="s">
        <v>40</v>
      </c>
      <c r="D5812">
        <v>4.654147</v>
      </c>
      <c r="E5812">
        <v>0.51976899999999904</v>
      </c>
      <c r="F5812" t="s">
        <v>61</v>
      </c>
      <c r="G5812">
        <v>-192.7997</v>
      </c>
      <c r="H5812" s="1">
        <v>4.6801259999999998E-6</v>
      </c>
      <c r="I5812">
        <v>207.06729999999999</v>
      </c>
      <c r="J5812">
        <v>-222.1507</v>
      </c>
      <c r="K5812">
        <v>1.110352</v>
      </c>
      <c r="L5812">
        <v>215.64080000000001</v>
      </c>
      <c r="M5812">
        <v>0.99902849999999999</v>
      </c>
      <c r="N5812">
        <v>0</v>
      </c>
      <c r="O5812">
        <v>-4.1861339999999997E-2</v>
      </c>
      <c r="P5812">
        <v>0.9706726</v>
      </c>
      <c r="Q5812">
        <v>4.2841110000000002E-3</v>
      </c>
      <c r="R5812">
        <v>-0.24036879999999999</v>
      </c>
      <c r="S5812">
        <v>2.8839260000000002</v>
      </c>
      <c r="T5812">
        <v>-0.10821600000000001</v>
      </c>
      <c r="U5812">
        <v>-0.83657839999999895</v>
      </c>
      <c r="V5812">
        <v>0.19952629999999999</v>
      </c>
      <c r="W5812">
        <v>1.7719120000000001E-2</v>
      </c>
      <c r="X5812">
        <v>0.9797323</v>
      </c>
      <c r="Y5812">
        <v>0.23801910000000001</v>
      </c>
      <c r="Z5812">
        <v>-2.8379669999999998E-3</v>
      </c>
      <c r="AA5812">
        <v>0.97125629999999996</v>
      </c>
      <c r="AB5812">
        <v>24</v>
      </c>
      <c r="AC5812">
        <v>29.350999999999999</v>
      </c>
      <c r="AD5812">
        <v>-1.1103473198739999</v>
      </c>
      <c r="AE5812">
        <v>-8.5735000000000205</v>
      </c>
      <c r="AF5812">
        <v>7.32753249054345</v>
      </c>
      <c r="AG5812">
        <v>-1.1103473198739999</v>
      </c>
      <c r="AH5812">
        <v>29.645109157061299</v>
      </c>
      <c r="AI5812">
        <v>92.082379621140007</v>
      </c>
      <c r="AJ5812">
        <v>76.116192068456797</v>
      </c>
      <c r="AK5812">
        <v>30.5574557269547</v>
      </c>
      <c r="AL5812">
        <v>88.984716121279703</v>
      </c>
      <c r="AM5812">
        <v>78.488908909789899</v>
      </c>
      <c r="AN5812">
        <v>1.0000000456342699</v>
      </c>
    </row>
    <row r="5813" spans="1:40" x14ac:dyDescent="0.25">
      <c r="A5813" t="str">
        <f>"20190312150809511"</f>
        <v>20190312150809511</v>
      </c>
      <c r="B5813" t="str">
        <f>"1552374489505958"</f>
        <v>1552374489505958</v>
      </c>
      <c r="C5813" t="s">
        <v>40</v>
      </c>
      <c r="D5813">
        <v>4.6054599999999999</v>
      </c>
      <c r="E5813">
        <v>0.51972159999999901</v>
      </c>
      <c r="F5813" t="s">
        <v>61</v>
      </c>
      <c r="G5813">
        <v>-197.5376</v>
      </c>
      <c r="H5813" s="1">
        <v>3.454719E-6</v>
      </c>
      <c r="I5813">
        <v>208.14330000000001</v>
      </c>
      <c r="J5813">
        <v>-221.911</v>
      </c>
      <c r="K5813">
        <v>1.110355</v>
      </c>
      <c r="L5813">
        <v>215.63059999999999</v>
      </c>
      <c r="M5813">
        <v>0.99902029999999997</v>
      </c>
      <c r="N5813">
        <v>0</v>
      </c>
      <c r="O5813">
        <v>-4.2054929999999997E-2</v>
      </c>
      <c r="P5813">
        <v>0.97072219999999998</v>
      </c>
      <c r="Q5813">
        <v>5.2504459999999998E-3</v>
      </c>
      <c r="R5813">
        <v>-0.24014779999999999</v>
      </c>
      <c r="S5813">
        <v>2.87439</v>
      </c>
      <c r="T5813">
        <v>-0.1296698</v>
      </c>
      <c r="U5813">
        <v>-0.87557980000000002</v>
      </c>
      <c r="V5813">
        <v>0.19911419999999999</v>
      </c>
      <c r="W5813">
        <v>1.8684079999999999E-2</v>
      </c>
      <c r="X5813">
        <v>0.97979810000000001</v>
      </c>
      <c r="Y5813">
        <v>0.25070969999999998</v>
      </c>
      <c r="Z5813">
        <v>-3.6758680000000001E-3</v>
      </c>
      <c r="AA5813">
        <v>0.96805529999999995</v>
      </c>
      <c r="AB5813">
        <v>24</v>
      </c>
      <c r="AC5813">
        <v>24.373399999999901</v>
      </c>
      <c r="AD5813">
        <v>-1.110351545281</v>
      </c>
      <c r="AE5813">
        <v>-7.4872999999999701</v>
      </c>
      <c r="AF5813">
        <v>6.4433367657456904</v>
      </c>
      <c r="AG5813">
        <v>-1.110351545281</v>
      </c>
      <c r="AH5813">
        <v>24.6200514908336</v>
      </c>
      <c r="AI5813">
        <v>92.498233741839499</v>
      </c>
      <c r="AJ5813">
        <v>75.333999795973398</v>
      </c>
      <c r="AK5813">
        <v>25.4734450878207</v>
      </c>
      <c r="AL5813">
        <v>88.929418710438995</v>
      </c>
      <c r="AM5813">
        <v>78.512802096886503</v>
      </c>
      <c r="AN5813">
        <v>0.99999993812534604</v>
      </c>
    </row>
    <row r="5814" spans="1:40" x14ac:dyDescent="0.25">
      <c r="A5814" t="str">
        <f>"20190312150809534"</f>
        <v>20190312150809534</v>
      </c>
      <c r="B5814" t="str">
        <f>"1552374489525479"</f>
        <v>1552374489525479</v>
      </c>
      <c r="C5814" t="s">
        <v>40</v>
      </c>
      <c r="D5814">
        <v>4.6256120000000003</v>
      </c>
      <c r="E5814">
        <v>0.51971469999999997</v>
      </c>
      <c r="F5814" t="s">
        <v>61</v>
      </c>
      <c r="G5814">
        <v>-195.53110000000001</v>
      </c>
      <c r="H5814" s="1">
        <v>3.9533769999999997E-6</v>
      </c>
      <c r="I5814">
        <v>207.6044</v>
      </c>
      <c r="J5814">
        <v>-221.67320000000001</v>
      </c>
      <c r="K5814">
        <v>1.1103639999999999</v>
      </c>
      <c r="L5814">
        <v>215.62029999999999</v>
      </c>
      <c r="M5814">
        <v>0.99901240000000002</v>
      </c>
      <c r="N5814">
        <v>0</v>
      </c>
      <c r="O5814">
        <v>-4.2246470000000001E-2</v>
      </c>
      <c r="P5814">
        <v>0.97074680000000002</v>
      </c>
      <c r="Q5814">
        <v>5.648274E-3</v>
      </c>
      <c r="R5814">
        <v>-0.24003940000000001</v>
      </c>
      <c r="S5814">
        <v>2.874771</v>
      </c>
      <c r="T5814">
        <v>-0.1210014</v>
      </c>
      <c r="U5814">
        <v>-0.87466429999999995</v>
      </c>
      <c r="V5814">
        <v>0.19881699999999999</v>
      </c>
      <c r="W5814">
        <v>1.9080260000000002E-2</v>
      </c>
      <c r="X5814">
        <v>0.97985089999999997</v>
      </c>
      <c r="Y5814">
        <v>0.2502317</v>
      </c>
      <c r="Z5814">
        <v>-3.4123790000000001E-3</v>
      </c>
      <c r="AA5814">
        <v>0.96818000000000004</v>
      </c>
      <c r="AB5814">
        <v>24</v>
      </c>
      <c r="AC5814">
        <v>26.142099999999999</v>
      </c>
      <c r="AD5814">
        <v>-1.1103600466229999</v>
      </c>
      <c r="AE5814">
        <v>-8.0158999999999807</v>
      </c>
      <c r="AF5814">
        <v>6.8928597846410797</v>
      </c>
      <c r="AG5814">
        <v>-1.1103600466229999</v>
      </c>
      <c r="AH5814">
        <v>26.413875446838301</v>
      </c>
      <c r="AI5814">
        <v>92.329214255773707</v>
      </c>
      <c r="AJ5814">
        <v>75.374488286262903</v>
      </c>
      <c r="AK5814">
        <v>27.321003487517501</v>
      </c>
      <c r="AL5814">
        <v>88.906715309926398</v>
      </c>
      <c r="AM5814">
        <v>78.530094929294904</v>
      </c>
      <c r="AN5814">
        <v>1.00000002102073</v>
      </c>
    </row>
    <row r="5815" spans="1:40" x14ac:dyDescent="0.25">
      <c r="A5815" t="str">
        <f>"20190312150809555"</f>
        <v>20190312150809555</v>
      </c>
      <c r="B5815" t="str">
        <f>"1552374489545975"</f>
        <v>1552374489545975</v>
      </c>
      <c r="C5815" t="s">
        <v>40</v>
      </c>
      <c r="D5815">
        <v>4.6354540000000002</v>
      </c>
      <c r="E5815">
        <v>0.51994439999999997</v>
      </c>
      <c r="F5815" t="s">
        <v>61</v>
      </c>
      <c r="G5815">
        <v>-195.68049999999999</v>
      </c>
      <c r="H5815" s="1">
        <v>3.8977479999999996E-6</v>
      </c>
      <c r="I5815">
        <v>207.71440000000001</v>
      </c>
      <c r="J5815">
        <v>-221.44229999999999</v>
      </c>
      <c r="K5815">
        <v>1.110368</v>
      </c>
      <c r="L5815">
        <v>215.6104</v>
      </c>
      <c r="M5815">
        <v>0.99900449999999996</v>
      </c>
      <c r="N5815">
        <v>0</v>
      </c>
      <c r="O5815">
        <v>-4.2431459999999997E-2</v>
      </c>
      <c r="P5815">
        <v>0.97064839999999997</v>
      </c>
      <c r="Q5815">
        <v>5.9344640000000004E-3</v>
      </c>
      <c r="R5815">
        <v>-0.24043</v>
      </c>
      <c r="S5815">
        <v>2.874908</v>
      </c>
      <c r="T5815">
        <v>-0.12281060000000001</v>
      </c>
      <c r="U5815">
        <v>-0.87443539999999997</v>
      </c>
      <c r="V5815">
        <v>0.19903000000000001</v>
      </c>
      <c r="W5815">
        <v>1.9363930000000001E-2</v>
      </c>
      <c r="X5815">
        <v>0.97980210000000001</v>
      </c>
      <c r="Y5815">
        <v>0.2499643</v>
      </c>
      <c r="Z5815">
        <v>-3.449962E-3</v>
      </c>
      <c r="AA5815">
        <v>0.96824889999999997</v>
      </c>
      <c r="AB5815">
        <v>24</v>
      </c>
      <c r="AC5815">
        <v>25.761799999999901</v>
      </c>
      <c r="AD5815">
        <v>-1.1103641022519899</v>
      </c>
      <c r="AE5815">
        <v>-7.8959999999999804</v>
      </c>
      <c r="AF5815">
        <v>6.7841522212843604</v>
      </c>
      <c r="AG5815">
        <v>-1.1103641022519899</v>
      </c>
      <c r="AH5815">
        <v>26.029461844457099</v>
      </c>
      <c r="AI5815">
        <v>92.363768812045095</v>
      </c>
      <c r="AJ5815">
        <v>75.391785370799198</v>
      </c>
      <c r="AK5815">
        <v>26.921933691939302</v>
      </c>
      <c r="AL5815">
        <v>88.890459221708596</v>
      </c>
      <c r="AM5815">
        <v>78.517576303576107</v>
      </c>
      <c r="AN5815">
        <v>1.00000002892472</v>
      </c>
    </row>
    <row r="5816" spans="1:40" x14ac:dyDescent="0.25">
      <c r="A5816" t="str">
        <f>"20190312150809578"</f>
        <v>20190312150809578</v>
      </c>
      <c r="B5816" t="str">
        <f>"1552374489565495"</f>
        <v>1552374489565495</v>
      </c>
      <c r="C5816" t="s">
        <v>40</v>
      </c>
      <c r="D5816">
        <v>4.6368470000000004</v>
      </c>
      <c r="E5816">
        <v>0.52046020000000004</v>
      </c>
      <c r="F5816" t="s">
        <v>61</v>
      </c>
      <c r="G5816">
        <v>-195.75479999999999</v>
      </c>
      <c r="H5816" s="1">
        <v>3.869939E-6</v>
      </c>
      <c r="I5816">
        <v>207.7696</v>
      </c>
      <c r="J5816">
        <v>-221.20490000000001</v>
      </c>
      <c r="K5816">
        <v>1.110366</v>
      </c>
      <c r="L5816">
        <v>215.6001</v>
      </c>
      <c r="M5816">
        <v>0.99899660000000001</v>
      </c>
      <c r="N5816">
        <v>0</v>
      </c>
      <c r="O5816">
        <v>-4.2621079999999999E-2</v>
      </c>
      <c r="P5816">
        <v>0.97045740000000003</v>
      </c>
      <c r="Q5816">
        <v>6.1995080000000003E-3</v>
      </c>
      <c r="R5816">
        <v>-0.2411932</v>
      </c>
      <c r="S5816">
        <v>2.8741759999999998</v>
      </c>
      <c r="T5816">
        <v>-0.12423869999999999</v>
      </c>
      <c r="U5816">
        <v>-0.87730409999999903</v>
      </c>
      <c r="V5816">
        <v>0.19961480000000001</v>
      </c>
      <c r="W5816">
        <v>1.962471E-2</v>
      </c>
      <c r="X5816">
        <v>0.97967789999999999</v>
      </c>
      <c r="Y5816">
        <v>0.25072889999999998</v>
      </c>
      <c r="Z5816">
        <v>-3.4985770000000001E-3</v>
      </c>
      <c r="AA5816">
        <v>0.96805099999999999</v>
      </c>
      <c r="AB5816">
        <v>24</v>
      </c>
      <c r="AC5816">
        <v>25.450099999999999</v>
      </c>
      <c r="AD5816">
        <v>-1.110362130061</v>
      </c>
      <c r="AE5816">
        <v>-7.8304999999999998</v>
      </c>
      <c r="AF5816">
        <v>6.7268725660114903</v>
      </c>
      <c r="AG5816">
        <v>-1.110362130061</v>
      </c>
      <c r="AH5816">
        <v>25.716028354638599</v>
      </c>
      <c r="AI5816">
        <v>92.391987038805098</v>
      </c>
      <c r="AJ5816">
        <v>75.340867260577099</v>
      </c>
      <c r="AK5816">
        <v>26.6044701679212</v>
      </c>
      <c r="AL5816">
        <v>88.875514748035698</v>
      </c>
      <c r="AM5816">
        <v>78.483317148254201</v>
      </c>
      <c r="AN5816">
        <v>0.99999999268501605</v>
      </c>
    </row>
    <row r="5817" spans="1:40" x14ac:dyDescent="0.25">
      <c r="A5817" t="str">
        <f>"20190312150809601"</f>
        <v>20190312150809601</v>
      </c>
      <c r="B5817" t="str">
        <f>"1552374489595751"</f>
        <v>1552374489595751</v>
      </c>
      <c r="C5817" t="s">
        <v>40</v>
      </c>
      <c r="D5817">
        <v>4.6341390000000002</v>
      </c>
      <c r="E5817">
        <v>0.52112289999999994</v>
      </c>
      <c r="F5817" t="s">
        <v>61</v>
      </c>
      <c r="G5817">
        <v>-196.40799999999999</v>
      </c>
      <c r="H5817" s="1">
        <v>3.7001540000000002E-6</v>
      </c>
      <c r="I5817">
        <v>207.97319999999999</v>
      </c>
      <c r="J5817">
        <v>-220.9631</v>
      </c>
      <c r="K5817">
        <v>1.1103639999999999</v>
      </c>
      <c r="L5817">
        <v>215.58949999999999</v>
      </c>
      <c r="M5817">
        <v>0.99898830000000005</v>
      </c>
      <c r="N5817">
        <v>0</v>
      </c>
      <c r="O5817">
        <v>-4.2813570000000002E-2</v>
      </c>
      <c r="P5817">
        <v>0.97034549999999997</v>
      </c>
      <c r="Q5817">
        <v>5.8976119999999896E-3</v>
      </c>
      <c r="R5817">
        <v>-0.241651</v>
      </c>
      <c r="S5817">
        <v>2.8725740000000002</v>
      </c>
      <c r="T5817">
        <v>-0.1286291</v>
      </c>
      <c r="U5817">
        <v>-0.88352969999999897</v>
      </c>
      <c r="V5817">
        <v>0.19988800000000001</v>
      </c>
      <c r="W5817">
        <v>1.9319590000000001E-2</v>
      </c>
      <c r="X5817">
        <v>0.97962830000000001</v>
      </c>
      <c r="Y5817">
        <v>0.25259619999999999</v>
      </c>
      <c r="Z5817">
        <v>-3.655382E-3</v>
      </c>
      <c r="AA5817">
        <v>0.96756489999999995</v>
      </c>
      <c r="AB5817">
        <v>24</v>
      </c>
      <c r="AC5817">
        <v>24.555099999999999</v>
      </c>
      <c r="AD5817">
        <v>-1.1103602998459901</v>
      </c>
      <c r="AE5817">
        <v>-7.6162999999999901</v>
      </c>
      <c r="AF5817">
        <v>6.54571426336177</v>
      </c>
      <c r="AG5817">
        <v>-1.1103602998459901</v>
      </c>
      <c r="AH5817">
        <v>24.8124095688169</v>
      </c>
      <c r="AI5817">
        <v>92.477634123072406</v>
      </c>
      <c r="AJ5817">
        <v>75.221602330193306</v>
      </c>
      <c r="AK5817">
        <v>25.685305990463998</v>
      </c>
      <c r="AL5817">
        <v>88.893000195940203</v>
      </c>
      <c r="AM5817">
        <v>78.467408735804895</v>
      </c>
      <c r="AN5817">
        <v>1.0000000326313201</v>
      </c>
    </row>
    <row r="5818" spans="1:40" x14ac:dyDescent="0.25">
      <c r="A5818" t="str">
        <f>"20190312150809623"</f>
        <v>20190312150809623</v>
      </c>
      <c r="B5818" t="str">
        <f>"1552374489616247"</f>
        <v>1552374489616247</v>
      </c>
      <c r="C5818" t="s">
        <v>40</v>
      </c>
      <c r="D5818">
        <v>4.6362500000000004</v>
      </c>
      <c r="E5818">
        <v>0.52171940000000006</v>
      </c>
      <c r="F5818" t="s">
        <v>61</v>
      </c>
      <c r="G5818">
        <v>-196.4888</v>
      </c>
      <c r="H5818" s="1">
        <v>3.6784589999999999E-6</v>
      </c>
      <c r="I5818">
        <v>208.001</v>
      </c>
      <c r="J5818">
        <v>-220.7304</v>
      </c>
      <c r="K5818">
        <v>1.1103689999999999</v>
      </c>
      <c r="L5818">
        <v>215.57929999999999</v>
      </c>
      <c r="M5818">
        <v>0.99898050000000005</v>
      </c>
      <c r="N5818">
        <v>0</v>
      </c>
      <c r="O5818">
        <v>-4.2999030000000001E-2</v>
      </c>
      <c r="P5818">
        <v>0.97017770000000003</v>
      </c>
      <c r="Q5818">
        <v>5.9735769999999999E-3</v>
      </c>
      <c r="R5818">
        <v>-0.2423215</v>
      </c>
      <c r="S5818">
        <v>2.8708040000000001</v>
      </c>
      <c r="T5818">
        <v>-0.13024349999999901</v>
      </c>
      <c r="U5818">
        <v>-0.89012150000000001</v>
      </c>
      <c r="V5818">
        <v>0.20038329999999999</v>
      </c>
      <c r="W5818">
        <v>1.9392050000000001E-2</v>
      </c>
      <c r="X5818">
        <v>0.9795256</v>
      </c>
      <c r="Y5818">
        <v>0.25460509999999997</v>
      </c>
      <c r="Z5818">
        <v>-3.7385159999999999E-3</v>
      </c>
      <c r="AA5818">
        <v>0.96703790000000001</v>
      </c>
      <c r="AB5818">
        <v>24</v>
      </c>
      <c r="AC5818">
        <v>24.241599999999998</v>
      </c>
      <c r="AD5818">
        <v>-1.1103653215410001</v>
      </c>
      <c r="AE5818">
        <v>-7.5783000000000103</v>
      </c>
      <c r="AF5818">
        <v>6.5163714613430104</v>
      </c>
      <c r="AG5818">
        <v>-1.1103653215410001</v>
      </c>
      <c r="AH5818">
        <v>24.498243474051598</v>
      </c>
      <c r="AI5818">
        <v>92.508023028357897</v>
      </c>
      <c r="AJ5818">
        <v>75.104602332597096</v>
      </c>
      <c r="AK5818">
        <v>25.3743953914847</v>
      </c>
      <c r="AL5818">
        <v>88.888847685019797</v>
      </c>
      <c r="AM5818">
        <v>78.438421198647106</v>
      </c>
      <c r="AN5818">
        <v>0.99999995978872502</v>
      </c>
    </row>
    <row r="5819" spans="1:40" x14ac:dyDescent="0.25">
      <c r="A5819" t="str">
        <f>"20190312150809645"</f>
        <v>20190312150809645</v>
      </c>
      <c r="B5819" t="str">
        <f>"1552374489635768"</f>
        <v>1552374489635768</v>
      </c>
      <c r="C5819" t="s">
        <v>40</v>
      </c>
      <c r="D5819">
        <v>4.7166399999999999</v>
      </c>
      <c r="E5819">
        <v>0.52219340000000003</v>
      </c>
      <c r="F5819" t="s">
        <v>61</v>
      </c>
      <c r="G5819">
        <v>-196.5505</v>
      </c>
      <c r="H5819" s="1">
        <v>3.661831E-6</v>
      </c>
      <c r="I5819">
        <v>208.0224</v>
      </c>
      <c r="J5819">
        <v>-220.49969999999999</v>
      </c>
      <c r="K5819">
        <v>1.110374</v>
      </c>
      <c r="L5819">
        <v>215.5692</v>
      </c>
      <c r="M5819">
        <v>0.99897239999999998</v>
      </c>
      <c r="N5819">
        <v>0</v>
      </c>
      <c r="O5819">
        <v>-4.3182930000000001E-2</v>
      </c>
      <c r="P5819">
        <v>0.96999579999999996</v>
      </c>
      <c r="Q5819">
        <v>6.1930140000000002E-3</v>
      </c>
      <c r="R5819">
        <v>-0.24304310000000001</v>
      </c>
      <c r="S5819">
        <v>2.8690799999999999</v>
      </c>
      <c r="T5819">
        <v>-0.13175120000000001</v>
      </c>
      <c r="U5819">
        <v>-0.89666749999999995</v>
      </c>
      <c r="V5819">
        <v>0.20093150000000001</v>
      </c>
      <c r="W5819">
        <v>1.960754E-2</v>
      </c>
      <c r="X5819">
        <v>0.97940899999999997</v>
      </c>
      <c r="Y5819">
        <v>0.25659589999999999</v>
      </c>
      <c r="Z5819">
        <v>-3.8190989999999998E-3</v>
      </c>
      <c r="AA5819">
        <v>0.96651120000000001</v>
      </c>
      <c r="AB5819">
        <v>24</v>
      </c>
      <c r="AC5819">
        <v>23.949199999999902</v>
      </c>
      <c r="AD5819">
        <v>-1.110370338169</v>
      </c>
      <c r="AE5819">
        <v>-7.5467999999999904</v>
      </c>
      <c r="AF5819">
        <v>6.4927682804424496</v>
      </c>
      <c r="AG5819">
        <v>-1.110370338169</v>
      </c>
      <c r="AH5819">
        <v>24.205447737184301</v>
      </c>
      <c r="AI5819">
        <v>92.536915869932201</v>
      </c>
      <c r="AJ5819">
        <v>74.984678301192503</v>
      </c>
      <c r="AK5819">
        <v>25.0857063362578</v>
      </c>
      <c r="AL5819">
        <v>88.876498665020193</v>
      </c>
      <c r="AM5819">
        <v>78.406303828524699</v>
      </c>
      <c r="AN5819">
        <v>0.99999995629904903</v>
      </c>
    </row>
    <row r="5820" spans="1:40" x14ac:dyDescent="0.25">
      <c r="A5820" t="str">
        <f>"20190312150809666"</f>
        <v>20190312150809666</v>
      </c>
      <c r="B5820" t="str">
        <f>"1552374489656263"</f>
        <v>1552374489656263</v>
      </c>
      <c r="C5820" t="s">
        <v>40</v>
      </c>
      <c r="D5820">
        <v>4.7145869999999999</v>
      </c>
      <c r="E5820">
        <v>0.52207139999999996</v>
      </c>
      <c r="F5820" t="s">
        <v>61</v>
      </c>
      <c r="G5820">
        <v>-196.5564</v>
      </c>
      <c r="H5820" s="1">
        <v>3.6583129999999999E-6</v>
      </c>
      <c r="I5820">
        <v>208.0318</v>
      </c>
      <c r="J5820">
        <v>-220.26830000000001</v>
      </c>
      <c r="K5820">
        <v>1.1103749999999999</v>
      </c>
      <c r="L5820">
        <v>215.559</v>
      </c>
      <c r="M5820">
        <v>0.99896450000000003</v>
      </c>
      <c r="N5820">
        <v>0</v>
      </c>
      <c r="O5820">
        <v>-4.336719E-2</v>
      </c>
      <c r="P5820">
        <v>0.96982630000000003</v>
      </c>
      <c r="Q5820">
        <v>6.60774E-3</v>
      </c>
      <c r="R5820">
        <v>-0.2437086</v>
      </c>
      <c r="S5820">
        <v>2.8674620000000002</v>
      </c>
      <c r="T5820">
        <v>-0.13297829999999999</v>
      </c>
      <c r="U5820">
        <v>-0.90267940000000002</v>
      </c>
      <c r="V5820">
        <v>0.2014233</v>
      </c>
      <c r="W5820">
        <v>2.0018020000000001E-2</v>
      </c>
      <c r="X5820">
        <v>0.9792997</v>
      </c>
      <c r="Y5820">
        <v>0.25841170000000002</v>
      </c>
      <c r="Z5820">
        <v>-3.8883329999999999E-3</v>
      </c>
      <c r="AA5820">
        <v>0.96602699999999997</v>
      </c>
      <c r="AB5820">
        <v>24</v>
      </c>
      <c r="AC5820">
        <v>23.7119</v>
      </c>
      <c r="AD5820">
        <v>-1.11037134168699</v>
      </c>
      <c r="AE5820">
        <v>-7.5272000000000201</v>
      </c>
      <c r="AF5820">
        <v>6.4787950207095903</v>
      </c>
      <c r="AG5820">
        <v>-1.11037134168699</v>
      </c>
      <c r="AH5820">
        <v>23.968305243171301</v>
      </c>
      <c r="AI5820">
        <v>92.560655186827304</v>
      </c>
      <c r="AJ5820">
        <v>74.874044128453605</v>
      </c>
      <c r="AK5820">
        <v>24.853316995255199</v>
      </c>
      <c r="AL5820">
        <v>88.852975307329103</v>
      </c>
      <c r="AM5820">
        <v>78.377436323518097</v>
      </c>
      <c r="AN5820">
        <v>0.99999998466384998</v>
      </c>
    </row>
    <row r="5821" spans="1:40" x14ac:dyDescent="0.25">
      <c r="A5821" t="str">
        <f>"20190312150809690"</f>
        <v>20190312150809690</v>
      </c>
      <c r="B5821" t="str">
        <f>"1552374489685543"</f>
        <v>1552374489685543</v>
      </c>
      <c r="C5821" t="s">
        <v>40</v>
      </c>
      <c r="D5821">
        <v>4.6986019999999904</v>
      </c>
      <c r="E5821">
        <v>0.52245980000000003</v>
      </c>
      <c r="F5821" t="s">
        <v>61</v>
      </c>
      <c r="G5821">
        <v>-196.423</v>
      </c>
      <c r="H5821" s="1">
        <v>3.678661E-6</v>
      </c>
      <c r="I5821">
        <v>208.04429999999999</v>
      </c>
      <c r="J5821">
        <v>-220.03059999999999</v>
      </c>
      <c r="K5821">
        <v>1.1103769999999999</v>
      </c>
      <c r="L5821">
        <v>215.54839999999999</v>
      </c>
      <c r="M5821">
        <v>0.99895619999999996</v>
      </c>
      <c r="N5821">
        <v>0</v>
      </c>
      <c r="O5821">
        <v>-4.3556589999999999E-2</v>
      </c>
      <c r="P5821">
        <v>0.9697926</v>
      </c>
      <c r="Q5821">
        <v>6.5205489999999996E-3</v>
      </c>
      <c r="R5821">
        <v>-0.24384400000000001</v>
      </c>
      <c r="S5821">
        <v>2.8671720000000001</v>
      </c>
      <c r="T5821">
        <v>-0.13351150000000001</v>
      </c>
      <c r="U5821">
        <v>-0.90356449999999999</v>
      </c>
      <c r="V5821">
        <v>0.20137430000000001</v>
      </c>
      <c r="W5821">
        <v>1.9928870000000001E-2</v>
      </c>
      <c r="X5821">
        <v>0.97931159999999995</v>
      </c>
      <c r="Y5821">
        <v>0.25852629999999999</v>
      </c>
      <c r="Z5821">
        <v>-3.8981409999999999E-3</v>
      </c>
      <c r="AA5821">
        <v>0.96599639999999998</v>
      </c>
      <c r="AB5821">
        <v>24</v>
      </c>
      <c r="AC5821">
        <v>23.607599999999898</v>
      </c>
      <c r="AD5821">
        <v>-1.1103733213389999</v>
      </c>
      <c r="AE5821">
        <v>-7.5040999999999896</v>
      </c>
      <c r="AF5821">
        <v>6.4556421419811096</v>
      </c>
      <c r="AG5821">
        <v>-1.1103733213389999</v>
      </c>
      <c r="AH5821">
        <v>23.8641264906149</v>
      </c>
      <c r="AI5821">
        <v>92.571687524656397</v>
      </c>
      <c r="AJ5821">
        <v>74.862841108355198</v>
      </c>
      <c r="AK5821">
        <v>24.746813482509801</v>
      </c>
      <c r="AL5821">
        <v>88.858084250542106</v>
      </c>
      <c r="AM5821">
        <v>78.380324187314599</v>
      </c>
      <c r="AN5821">
        <v>0.99999998922726296</v>
      </c>
    </row>
    <row r="5822" spans="1:40" x14ac:dyDescent="0.25">
      <c r="A5822" t="str">
        <f>"20190312150809712"</f>
        <v>20190312150809712</v>
      </c>
      <c r="B5822" t="str">
        <f>"1552374489706042"</f>
        <v>1552374489706042</v>
      </c>
      <c r="C5822" t="s">
        <v>40</v>
      </c>
      <c r="D5822">
        <v>4.703341</v>
      </c>
      <c r="E5822">
        <v>0.52277770000000001</v>
      </c>
      <c r="F5822" t="s">
        <v>61</v>
      </c>
      <c r="G5822">
        <v>-197.27330000000001</v>
      </c>
      <c r="H5822" s="1">
        <v>3.4474740000000002E-6</v>
      </c>
      <c r="I5822">
        <v>208.3477</v>
      </c>
      <c r="J5822">
        <v>-219.79239999999999</v>
      </c>
      <c r="K5822">
        <v>1.110376</v>
      </c>
      <c r="L5822">
        <v>215.5378</v>
      </c>
      <c r="M5822">
        <v>0.99894810000000001</v>
      </c>
      <c r="N5822">
        <v>0</v>
      </c>
      <c r="O5822">
        <v>-4.3746449999999999E-2</v>
      </c>
      <c r="P5822">
        <v>0.96976200000000001</v>
      </c>
      <c r="Q5822">
        <v>6.5408890000000003E-3</v>
      </c>
      <c r="R5822">
        <v>-0.2439664</v>
      </c>
      <c r="S5822">
        <v>2.8663639999999999</v>
      </c>
      <c r="T5822">
        <v>-0.13985590000000001</v>
      </c>
      <c r="U5822">
        <v>-0.90695190000000003</v>
      </c>
      <c r="V5822">
        <v>0.2013115</v>
      </c>
      <c r="W5822">
        <v>1.9946990000000001E-2</v>
      </c>
      <c r="X5822">
        <v>0.97932419999999998</v>
      </c>
      <c r="Y5822">
        <v>0.25943739999999998</v>
      </c>
      <c r="Z5822">
        <v>-4.0962630000000002E-3</v>
      </c>
      <c r="AA5822">
        <v>0.96575120000000003</v>
      </c>
      <c r="AB5822">
        <v>23</v>
      </c>
      <c r="AC5822">
        <v>22.519099999999899</v>
      </c>
      <c r="AD5822">
        <v>-1.110372552526</v>
      </c>
      <c r="AE5822">
        <v>-7.1901000000000002</v>
      </c>
      <c r="AF5822">
        <v>6.1843467475315999</v>
      </c>
      <c r="AG5822">
        <v>-1.110372552526</v>
      </c>
      <c r="AH5822">
        <v>22.761887896158299</v>
      </c>
      <c r="AI5822">
        <v>92.695236758467601</v>
      </c>
      <c r="AJ5822">
        <v>74.799815564085705</v>
      </c>
      <c r="AK5822">
        <v>23.6131872583179</v>
      </c>
      <c r="AL5822">
        <v>88.857045909001798</v>
      </c>
      <c r="AM5822">
        <v>78.383994758298002</v>
      </c>
      <c r="AN5822">
        <v>1.0000000455739699</v>
      </c>
    </row>
    <row r="5823" spans="1:40" x14ac:dyDescent="0.25">
      <c r="A5823" t="str">
        <f>"20190312150809735"</f>
        <v>20190312150809735</v>
      </c>
      <c r="B5823" t="str">
        <f>"1552374489725563"</f>
        <v>1552374489725563</v>
      </c>
      <c r="C5823" t="s">
        <v>40</v>
      </c>
      <c r="D5823">
        <v>4.713133</v>
      </c>
      <c r="E5823">
        <v>0.52315879999999904</v>
      </c>
      <c r="F5823" t="s">
        <v>61</v>
      </c>
      <c r="G5823">
        <v>-197.1199</v>
      </c>
      <c r="H5823" s="1">
        <v>3.4771659999999998E-6</v>
      </c>
      <c r="I5823">
        <v>208.3383</v>
      </c>
      <c r="J5823">
        <v>-219.56030000000001</v>
      </c>
      <c r="K5823">
        <v>1.1103730000000001</v>
      </c>
      <c r="L5823">
        <v>215.5274</v>
      </c>
      <c r="M5823">
        <v>0.99893989999999999</v>
      </c>
      <c r="N5823">
        <v>0</v>
      </c>
      <c r="O5823">
        <v>-4.3931909999999998E-2</v>
      </c>
      <c r="P5823">
        <v>0.96978980000000004</v>
      </c>
      <c r="Q5823">
        <v>6.2172859999999998E-3</v>
      </c>
      <c r="R5823">
        <v>-0.24386340000000001</v>
      </c>
      <c r="S5823">
        <v>2.8655849999999998</v>
      </c>
      <c r="T5823">
        <v>-0.1403404</v>
      </c>
      <c r="U5823">
        <v>-0.90994260000000005</v>
      </c>
      <c r="V5823">
        <v>0.2010256</v>
      </c>
      <c r="W5823">
        <v>1.9621369999999999E-2</v>
      </c>
      <c r="X5823">
        <v>0.97938950000000002</v>
      </c>
      <c r="Y5823">
        <v>0.26024700000000001</v>
      </c>
      <c r="Z5823">
        <v>-4.1213969999999997E-3</v>
      </c>
      <c r="AA5823">
        <v>0.96553330000000004</v>
      </c>
      <c r="AB5823">
        <v>23</v>
      </c>
      <c r="AC5823">
        <v>22.4404</v>
      </c>
      <c r="AD5823">
        <v>-1.110369522834</v>
      </c>
      <c r="AE5823">
        <v>-7.1890999999999901</v>
      </c>
      <c r="AF5823">
        <v>6.1824870079039798</v>
      </c>
      <c r="AG5823">
        <v>-1.110369522834</v>
      </c>
      <c r="AH5823">
        <v>22.684221677494801</v>
      </c>
      <c r="AI5823">
        <v>92.703863365481993</v>
      </c>
      <c r="AJ5823">
        <v>74.754565022356104</v>
      </c>
      <c r="AK5823">
        <v>23.537841430213302</v>
      </c>
      <c r="AL5823">
        <v>88.875706207531294</v>
      </c>
      <c r="AM5823">
        <v>78.400796699688598</v>
      </c>
      <c r="AN5823">
        <v>1.00000004136314</v>
      </c>
    </row>
    <row r="5824" spans="1:40" x14ac:dyDescent="0.25">
      <c r="A5824" t="str">
        <f>"20190312150809756"</f>
        <v>20190312150809756</v>
      </c>
      <c r="B5824" t="str">
        <f>"1552374489746055"</f>
        <v>1552374489746055</v>
      </c>
      <c r="C5824" t="s">
        <v>40</v>
      </c>
      <c r="D5824">
        <v>4.7711100000000002</v>
      </c>
      <c r="E5824">
        <v>0.52321279999999903</v>
      </c>
      <c r="F5824" t="s">
        <v>61</v>
      </c>
      <c r="G5824">
        <v>-197.41480000000001</v>
      </c>
      <c r="H5824" s="1">
        <v>3.3891549999999999E-6</v>
      </c>
      <c r="I5824">
        <v>208.47319999999999</v>
      </c>
      <c r="J5824">
        <v>-219.32990000000001</v>
      </c>
      <c r="K5824">
        <v>1.1103799999999999</v>
      </c>
      <c r="L5824">
        <v>215.5171</v>
      </c>
      <c r="M5824">
        <v>0.99893180000000004</v>
      </c>
      <c r="N5824">
        <v>0</v>
      </c>
      <c r="O5824">
        <v>-4.4117379999999998E-2</v>
      </c>
      <c r="P5824">
        <v>0.96976980000000002</v>
      </c>
      <c r="Q5824">
        <v>6.3155549999999996E-3</v>
      </c>
      <c r="R5824">
        <v>-0.2439403</v>
      </c>
      <c r="S5824">
        <v>2.8648989999999999</v>
      </c>
      <c r="T5824">
        <v>-0.1436452</v>
      </c>
      <c r="U5824">
        <v>-0.91258240000000002</v>
      </c>
      <c r="V5824">
        <v>0.2009214</v>
      </c>
      <c r="W5824">
        <v>1.9717200000000001E-2</v>
      </c>
      <c r="X5824">
        <v>0.97940890000000003</v>
      </c>
      <c r="Y5824">
        <v>0.26093060000000001</v>
      </c>
      <c r="Z5824">
        <v>-4.2264160000000002E-3</v>
      </c>
      <c r="AA5824">
        <v>0.96534830000000005</v>
      </c>
      <c r="AB5824">
        <v>23</v>
      </c>
      <c r="AC5824">
        <v>21.915099999999899</v>
      </c>
      <c r="AD5824">
        <v>-1.1103766108449999</v>
      </c>
      <c r="AE5824">
        <v>-7.0438999999999998</v>
      </c>
      <c r="AF5824">
        <v>6.0560212439456</v>
      </c>
      <c r="AG5824">
        <v>-1.1103766108449999</v>
      </c>
      <c r="AH5824">
        <v>22.153000907100999</v>
      </c>
      <c r="AI5824">
        <v>92.768038412594507</v>
      </c>
      <c r="AJ5824">
        <v>74.710477506548301</v>
      </c>
      <c r="AK5824">
        <v>22.992689679875401</v>
      </c>
      <c r="AL5824">
        <v>88.870214427296006</v>
      </c>
      <c r="AM5824">
        <v>78.406869667686607</v>
      </c>
      <c r="AN5824">
        <v>0.99999998517650401</v>
      </c>
    </row>
    <row r="5825" spans="1:40" x14ac:dyDescent="0.25">
      <c r="A5825" t="str">
        <f>"20190312150809779"</f>
        <v>20190312150809779</v>
      </c>
      <c r="B5825" t="str">
        <f>"1552374489776311"</f>
        <v>1552374489776311</v>
      </c>
      <c r="C5825" t="s">
        <v>40</v>
      </c>
      <c r="D5825">
        <v>4.7677209999999999</v>
      </c>
      <c r="E5825">
        <v>0.52363800000000005</v>
      </c>
      <c r="F5825" t="s">
        <v>61</v>
      </c>
      <c r="G5825">
        <v>-197.96979999999999</v>
      </c>
      <c r="H5825" s="1">
        <v>3.228595E-6</v>
      </c>
      <c r="I5825">
        <v>208.70769999999999</v>
      </c>
      <c r="J5825">
        <v>-219.09479999999999</v>
      </c>
      <c r="K5825">
        <v>1.110382</v>
      </c>
      <c r="L5825">
        <v>215.50640000000001</v>
      </c>
      <c r="M5825">
        <v>0.99892309999999995</v>
      </c>
      <c r="N5825">
        <v>0</v>
      </c>
      <c r="O5825">
        <v>-4.4312659999999997E-2</v>
      </c>
      <c r="P5825">
        <v>0.96972510000000001</v>
      </c>
      <c r="Q5825">
        <v>6.2936440000000001E-3</v>
      </c>
      <c r="R5825">
        <v>-0.24411859999999999</v>
      </c>
      <c r="S5825">
        <v>2.8647309999999999</v>
      </c>
      <c r="T5825">
        <v>-0.1489193</v>
      </c>
      <c r="U5825">
        <v>-0.91323849999999995</v>
      </c>
      <c r="V5825">
        <v>0.20091029999999999</v>
      </c>
      <c r="W5825">
        <v>1.969193E-2</v>
      </c>
      <c r="X5825">
        <v>0.9794117</v>
      </c>
      <c r="Y5825">
        <v>0.26094079999999997</v>
      </c>
      <c r="Z5825">
        <v>-4.3718999999999997E-3</v>
      </c>
      <c r="AA5825">
        <v>0.96534489999999995</v>
      </c>
      <c r="AB5825">
        <v>23</v>
      </c>
      <c r="AC5825">
        <v>21.125</v>
      </c>
      <c r="AD5825">
        <v>-1.110378771405</v>
      </c>
      <c r="AE5825">
        <v>-6.7987000000000197</v>
      </c>
      <c r="AF5825">
        <v>5.8412035997145502</v>
      </c>
      <c r="AG5825">
        <v>-1.110378771405</v>
      </c>
      <c r="AH5825">
        <v>21.352087353129299</v>
      </c>
      <c r="AI5825">
        <v>92.871560935303705</v>
      </c>
      <c r="AJ5825">
        <v>74.7001660332228</v>
      </c>
      <c r="AK5825">
        <v>22.164481380013601</v>
      </c>
      <c r="AL5825">
        <v>88.871662588907995</v>
      </c>
      <c r="AM5825">
        <v>78.407525043174402</v>
      </c>
      <c r="AN5825">
        <v>0.99999999942505202</v>
      </c>
    </row>
    <row r="5826" spans="1:40" x14ac:dyDescent="0.25">
      <c r="A5826" t="str">
        <f>"20190312150809802"</f>
        <v>20190312150809802</v>
      </c>
      <c r="B5826" t="str">
        <f>"1552374489795830"</f>
        <v>1552374489795830</v>
      </c>
      <c r="C5826" t="s">
        <v>40</v>
      </c>
      <c r="D5826">
        <v>5.2750000000000004</v>
      </c>
      <c r="E5826">
        <v>0.52380009999999999</v>
      </c>
      <c r="F5826" t="s">
        <v>61</v>
      </c>
      <c r="G5826">
        <v>-198.4923</v>
      </c>
      <c r="H5826" s="1">
        <v>3.0823250000000002E-6</v>
      </c>
      <c r="I5826">
        <v>208.9101</v>
      </c>
      <c r="J5826">
        <v>-218.86019999999999</v>
      </c>
      <c r="K5826">
        <v>1.1103809999999901</v>
      </c>
      <c r="L5826">
        <v>215.4958</v>
      </c>
      <c r="M5826">
        <v>0.99891410000000003</v>
      </c>
      <c r="N5826">
        <v>0</v>
      </c>
      <c r="O5826">
        <v>-4.4520299999999999E-2</v>
      </c>
      <c r="P5826">
        <v>0.96956410000000004</v>
      </c>
      <c r="Q5826">
        <v>6.575694E-3</v>
      </c>
      <c r="R5826">
        <v>-0.24474979999999999</v>
      </c>
      <c r="S5826">
        <v>2.8638460000000001</v>
      </c>
      <c r="T5826">
        <v>-0.1543475</v>
      </c>
      <c r="U5826">
        <v>-0.91691590000000001</v>
      </c>
      <c r="V5826">
        <v>0.20134479999999999</v>
      </c>
      <c r="W5826">
        <v>1.9966049999999999E-2</v>
      </c>
      <c r="X5826">
        <v>0.97931690000000005</v>
      </c>
      <c r="Y5826">
        <v>0.26193040000000001</v>
      </c>
      <c r="Z5826">
        <v>-4.5466730000000002E-3</v>
      </c>
      <c r="AA5826">
        <v>0.96507600000000004</v>
      </c>
      <c r="AB5826">
        <v>23</v>
      </c>
      <c r="AC5826">
        <v>20.367899999999899</v>
      </c>
      <c r="AD5826">
        <v>-1.1103779176749999</v>
      </c>
      <c r="AE5826">
        <v>-6.5857000000000001</v>
      </c>
      <c r="AF5826">
        <v>5.6570769049766296</v>
      </c>
      <c r="AG5826">
        <v>-1.1103779176749999</v>
      </c>
      <c r="AH5826">
        <v>20.585536533346101</v>
      </c>
      <c r="AI5826">
        <v>92.977357128579797</v>
      </c>
      <c r="AJ5826">
        <v>74.633959050544306</v>
      </c>
      <c r="AK5826">
        <v>21.377553007643499</v>
      </c>
      <c r="AL5826">
        <v>88.855953560232507</v>
      </c>
      <c r="AM5826">
        <v>78.382041278890298</v>
      </c>
      <c r="AN5826">
        <v>0.999999981132626</v>
      </c>
    </row>
    <row r="5827" spans="1:40" x14ac:dyDescent="0.25">
      <c r="A5827" t="str">
        <f>"20190312150809825"</f>
        <v>20190312150809825</v>
      </c>
      <c r="B5827" t="str">
        <f>"1552374489816327"</f>
        <v>1552374489816327</v>
      </c>
      <c r="C5827" t="s">
        <v>40</v>
      </c>
      <c r="D5827">
        <v>4.7751440000000001</v>
      </c>
      <c r="E5827">
        <v>0.52405089999999999</v>
      </c>
      <c r="F5827" t="s">
        <v>61</v>
      </c>
      <c r="G5827">
        <v>-198.56049999999999</v>
      </c>
      <c r="H5827" s="1">
        <v>3.0544660000000001E-6</v>
      </c>
      <c r="I5827">
        <v>208.96960000000001</v>
      </c>
      <c r="J5827">
        <v>-218.62219999999999</v>
      </c>
      <c r="K5827">
        <v>1.1103639999999999</v>
      </c>
      <c r="L5827">
        <v>215.48490000000001</v>
      </c>
      <c r="M5827">
        <v>0.99890350000000006</v>
      </c>
      <c r="N5827">
        <v>0</v>
      </c>
      <c r="O5827">
        <v>-4.4753330000000001E-2</v>
      </c>
      <c r="P5827">
        <v>0.96940599999999999</v>
      </c>
      <c r="Q5827">
        <v>7.1132599999999997E-3</v>
      </c>
      <c r="R5827">
        <v>-0.24535989999999999</v>
      </c>
      <c r="S5827">
        <v>2.8628999999999998</v>
      </c>
      <c r="T5827">
        <v>-0.1565984</v>
      </c>
      <c r="U5827">
        <v>-0.92039490000000002</v>
      </c>
      <c r="V5827">
        <v>0.20173379999999999</v>
      </c>
      <c r="W5827">
        <v>2.049285E-2</v>
      </c>
      <c r="X5827">
        <v>0.97922600000000004</v>
      </c>
      <c r="Y5827">
        <v>0.26285160000000002</v>
      </c>
      <c r="Z5827">
        <v>-4.6257019999999998E-3</v>
      </c>
      <c r="AA5827">
        <v>0.96482520000000005</v>
      </c>
      <c r="AB5827">
        <v>23</v>
      </c>
      <c r="AC5827">
        <v>20.061699999999998</v>
      </c>
      <c r="AD5827">
        <v>-1.110360945534</v>
      </c>
      <c r="AE5827">
        <v>-6.5152999999999901</v>
      </c>
      <c r="AF5827">
        <v>5.5953531236608596</v>
      </c>
      <c r="AG5827">
        <v>-1.110360945534</v>
      </c>
      <c r="AH5827">
        <v>20.277015883174499</v>
      </c>
      <c r="AI5827">
        <v>93.0216508871397</v>
      </c>
      <c r="AJ5827">
        <v>74.573391756531393</v>
      </c>
      <c r="AK5827">
        <v>21.064146105036901</v>
      </c>
      <c r="AL5827">
        <v>88.825764011623207</v>
      </c>
      <c r="AM5827">
        <v>78.359156198131899</v>
      </c>
      <c r="AN5827">
        <v>1.0000000210197799</v>
      </c>
    </row>
    <row r="5828" spans="1:40" x14ac:dyDescent="0.25">
      <c r="A5828" t="str">
        <f>"20190312150809846"</f>
        <v>20190312150809846</v>
      </c>
      <c r="B5828" t="str">
        <f>"1552374489835847"</f>
        <v>1552374489835847</v>
      </c>
      <c r="C5828" t="s">
        <v>40</v>
      </c>
      <c r="D5828">
        <v>4.7692969999999999</v>
      </c>
      <c r="E5828">
        <v>0.52429239999999999</v>
      </c>
      <c r="F5828" t="s">
        <v>61</v>
      </c>
      <c r="G5828">
        <v>-198.6217</v>
      </c>
      <c r="H5828" s="1">
        <v>3.0287060000000001E-6</v>
      </c>
      <c r="I5828">
        <v>209.02590000000001</v>
      </c>
      <c r="J5828">
        <v>-218.3991</v>
      </c>
      <c r="K5828">
        <v>1.1103449999999999</v>
      </c>
      <c r="L5828">
        <v>215.47470000000001</v>
      </c>
      <c r="M5828">
        <v>0.99889209999999995</v>
      </c>
      <c r="N5828">
        <v>0</v>
      </c>
      <c r="O5828">
        <v>-4.5008579999999999E-2</v>
      </c>
      <c r="P5828">
        <v>0.96909190000000001</v>
      </c>
      <c r="Q5828">
        <v>7.4027619999999898E-3</v>
      </c>
      <c r="R5828">
        <v>-0.24658920000000001</v>
      </c>
      <c r="S5828">
        <v>2.861923</v>
      </c>
      <c r="T5828">
        <v>-0.1588849</v>
      </c>
      <c r="U5828">
        <v>-0.92424010000000001</v>
      </c>
      <c r="V5828">
        <v>0.20272680000000001</v>
      </c>
      <c r="W5828">
        <v>2.0765539999999999E-2</v>
      </c>
      <c r="X5828">
        <v>0.97901510000000003</v>
      </c>
      <c r="Y5828">
        <v>0.26386549999999998</v>
      </c>
      <c r="Z5828">
        <v>-4.7074179999999997E-3</v>
      </c>
      <c r="AA5828">
        <v>0.96454799999999996</v>
      </c>
      <c r="AB5828">
        <v>23</v>
      </c>
      <c r="AC5828">
        <v>19.7774</v>
      </c>
      <c r="AD5828">
        <v>-1.1103419712939999</v>
      </c>
      <c r="AE5828">
        <v>-6.4488000000000003</v>
      </c>
      <c r="AF5828">
        <v>5.53625397998987</v>
      </c>
      <c r="AG5828">
        <v>-1.1103419712939999</v>
      </c>
      <c r="AH5828">
        <v>19.990678899955899</v>
      </c>
      <c r="AI5828">
        <v>93.064014880837405</v>
      </c>
      <c r="AJ5828">
        <v>74.520367136871997</v>
      </c>
      <c r="AK5828">
        <v>20.7728238404246</v>
      </c>
      <c r="AL5828">
        <v>88.810136633035498</v>
      </c>
      <c r="AM5828">
        <v>78.300980963917198</v>
      </c>
      <c r="AN5828">
        <v>0.99999996455886997</v>
      </c>
    </row>
    <row r="5829" spans="1:40" x14ac:dyDescent="0.25">
      <c r="A5829" t="str">
        <f>"20190312150809868"</f>
        <v>20190312150809868</v>
      </c>
      <c r="B5829" t="str">
        <f>"1552374489856343"</f>
        <v>1552374489856343</v>
      </c>
      <c r="C5829" t="s">
        <v>40</v>
      </c>
      <c r="D5829">
        <v>4.7083329999999997</v>
      </c>
      <c r="E5829">
        <v>0.5320918</v>
      </c>
      <c r="F5829" t="s">
        <v>61</v>
      </c>
      <c r="G5829">
        <v>-198.56630000000001</v>
      </c>
      <c r="H5829" s="1">
        <v>3.038278E-6</v>
      </c>
      <c r="I5829">
        <v>209.02690000000001</v>
      </c>
      <c r="J5829">
        <v>-218.1711</v>
      </c>
      <c r="K5829">
        <v>1.110322</v>
      </c>
      <c r="L5829">
        <v>215.4641</v>
      </c>
      <c r="M5829">
        <v>0.99887870000000001</v>
      </c>
      <c r="N5829">
        <v>0</v>
      </c>
      <c r="O5829">
        <v>-4.5307060000000003E-2</v>
      </c>
      <c r="P5829">
        <v>0.96892909999999999</v>
      </c>
      <c r="Q5829">
        <v>7.8618750000000008E-3</v>
      </c>
      <c r="R5829">
        <v>-0.2472145</v>
      </c>
      <c r="S5829">
        <v>2.8602910000000001</v>
      </c>
      <c r="T5829">
        <v>-0.16013359999999999</v>
      </c>
      <c r="U5829">
        <v>-0.92990110000000004</v>
      </c>
      <c r="V5829">
        <v>0.2030679</v>
      </c>
      <c r="W5829">
        <v>2.1207E-2</v>
      </c>
      <c r="X5829">
        <v>0.978935</v>
      </c>
      <c r="Y5829">
        <v>0.26545879999999999</v>
      </c>
      <c r="Z5829">
        <v>-4.772793E-3</v>
      </c>
      <c r="AA5829">
        <v>0.96411040000000003</v>
      </c>
      <c r="AB5829">
        <v>23</v>
      </c>
      <c r="AC5829">
        <v>19.604799999999901</v>
      </c>
      <c r="AD5829">
        <v>-1.110318961722</v>
      </c>
      <c r="AE5829">
        <v>-6.43719999999999</v>
      </c>
      <c r="AF5829">
        <v>5.5262682105096896</v>
      </c>
      <c r="AG5829">
        <v>-1.110318961722</v>
      </c>
      <c r="AH5829">
        <v>19.8189590361795</v>
      </c>
      <c r="AI5829">
        <v>93.088939620121394</v>
      </c>
      <c r="AJ5829">
        <v>74.419538301400195</v>
      </c>
      <c r="AK5829">
        <v>20.604940810616501</v>
      </c>
      <c r="AL5829">
        <v>88.784837334531503</v>
      </c>
      <c r="AM5829">
        <v>78.280908258913698</v>
      </c>
      <c r="AN5829">
        <v>1.0000000215422</v>
      </c>
    </row>
    <row r="5830" spans="1:40" x14ac:dyDescent="0.25">
      <c r="A5830" t="str">
        <f>"20190312150809891"</f>
        <v>20190312150809891</v>
      </c>
      <c r="B5830" t="str">
        <f>"1552374489885627"</f>
        <v>1552374489885627</v>
      </c>
      <c r="C5830" t="s">
        <v>40</v>
      </c>
      <c r="D5830">
        <v>4.835731</v>
      </c>
      <c r="E5830">
        <v>0.52901160000000003</v>
      </c>
      <c r="F5830" t="s">
        <v>61</v>
      </c>
      <c r="G5830">
        <v>-205.29519999999999</v>
      </c>
      <c r="H5830" s="1">
        <v>4.8840570000000003E-6</v>
      </c>
      <c r="I5830">
        <v>210.9691</v>
      </c>
      <c r="J5830">
        <v>-217.93600000000001</v>
      </c>
      <c r="K5830">
        <v>1.1102890000000001</v>
      </c>
      <c r="L5830">
        <v>215.453</v>
      </c>
      <c r="M5830">
        <v>0.99886220000000003</v>
      </c>
      <c r="N5830">
        <v>0</v>
      </c>
      <c r="O5830">
        <v>-4.5669460000000002E-2</v>
      </c>
      <c r="P5830">
        <v>0.96886059999999996</v>
      </c>
      <c r="Q5830">
        <v>7.7633829999999996E-3</v>
      </c>
      <c r="R5830">
        <v>-0.24748590000000001</v>
      </c>
      <c r="S5830">
        <v>2.8448180000000001</v>
      </c>
      <c r="T5830">
        <v>-0.24531629999999999</v>
      </c>
      <c r="U5830">
        <v>-0.9931335</v>
      </c>
      <c r="V5830">
        <v>0.2029889</v>
      </c>
      <c r="W5830">
        <v>2.108925E-2</v>
      </c>
      <c r="X5830">
        <v>0.97895390000000004</v>
      </c>
      <c r="Y5830">
        <v>0.28534009999999999</v>
      </c>
      <c r="Z5830">
        <v>-8.1183939999999993E-3</v>
      </c>
      <c r="AA5830">
        <v>0.95839200000000002</v>
      </c>
      <c r="AB5830">
        <v>23</v>
      </c>
      <c r="AC5830">
        <v>12.640799999999899</v>
      </c>
      <c r="AD5830">
        <v>-1.1102841159429999</v>
      </c>
      <c r="AE5830">
        <v>-4.4839000000000002</v>
      </c>
      <c r="AF5830">
        <v>3.87531212713463</v>
      </c>
      <c r="AG5830">
        <v>-1.1102841159429999</v>
      </c>
      <c r="AH5830">
        <v>12.7450692584635</v>
      </c>
      <c r="AI5830">
        <v>94.764421914860804</v>
      </c>
      <c r="AJ5830">
        <v>73.087390511749703</v>
      </c>
      <c r="AK5830">
        <v>13.367406827947701</v>
      </c>
      <c r="AL5830">
        <v>88.791585388516793</v>
      </c>
      <c r="AM5830">
        <v>78.285561258799504</v>
      </c>
      <c r="AN5830">
        <v>0.99999999415699103</v>
      </c>
    </row>
    <row r="5831" spans="1:40" x14ac:dyDescent="0.25">
      <c r="A5831" t="str">
        <f>"20190312150809913"</f>
        <v>20190312150809913</v>
      </c>
      <c r="B5831" t="str">
        <f>"1552374489906123"</f>
        <v>1552374489906123</v>
      </c>
      <c r="C5831" t="s">
        <v>40</v>
      </c>
      <c r="D5831">
        <v>4.812729</v>
      </c>
      <c r="E5831">
        <v>0.52926770000000001</v>
      </c>
      <c r="F5831" t="s">
        <v>61</v>
      </c>
      <c r="G5831">
        <v>-204.80779999999999</v>
      </c>
      <c r="H5831" s="1">
        <v>4.6663130000000003E-6</v>
      </c>
      <c r="I5831">
        <v>210.98699999999999</v>
      </c>
      <c r="J5831">
        <v>-217.70060000000001</v>
      </c>
      <c r="K5831">
        <v>1.110239</v>
      </c>
      <c r="L5831">
        <v>215.4418</v>
      </c>
      <c r="M5831">
        <v>0.99884200000000001</v>
      </c>
      <c r="N5831">
        <v>0</v>
      </c>
      <c r="O5831">
        <v>-4.6112159999999999E-2</v>
      </c>
      <c r="P5831">
        <v>0.96885679999999996</v>
      </c>
      <c r="Q5831">
        <v>8.0517139999999997E-3</v>
      </c>
      <c r="R5831">
        <v>-0.24749289999999999</v>
      </c>
      <c r="S5831">
        <v>2.8506469999999999</v>
      </c>
      <c r="T5831">
        <v>-0.24108489999999999</v>
      </c>
      <c r="U5831">
        <v>-0.96974179999999999</v>
      </c>
      <c r="V5831">
        <v>0.2025643</v>
      </c>
      <c r="W5831">
        <v>2.135335E-2</v>
      </c>
      <c r="X5831">
        <v>0.97903620000000002</v>
      </c>
      <c r="Y5831">
        <v>0.27731889999999998</v>
      </c>
      <c r="Z5831">
        <v>-7.6080369999999998E-3</v>
      </c>
      <c r="AA5831">
        <v>0.96074780000000004</v>
      </c>
      <c r="AB5831">
        <v>23</v>
      </c>
      <c r="AC5831">
        <v>12.892799999999999</v>
      </c>
      <c r="AD5831">
        <v>-1.110234333687</v>
      </c>
      <c r="AE5831">
        <v>-4.4547999999999996</v>
      </c>
      <c r="AF5831">
        <v>3.8301168863608002</v>
      </c>
      <c r="AG5831">
        <v>-1.110234333687</v>
      </c>
      <c r="AH5831">
        <v>12.9984145534892</v>
      </c>
      <c r="AI5831">
        <v>94.683798714347006</v>
      </c>
      <c r="AJ5831">
        <v>73.581846977123007</v>
      </c>
      <c r="AK5831">
        <v>13.596367034735501</v>
      </c>
      <c r="AL5831">
        <v>88.776450258703093</v>
      </c>
      <c r="AM5831">
        <v>78.310345385200506</v>
      </c>
      <c r="AN5831">
        <v>1.0000000710505701</v>
      </c>
    </row>
    <row r="5832" spans="1:40" x14ac:dyDescent="0.25">
      <c r="A5832" t="str">
        <f>"20190312150809935"</f>
        <v>20190312150809935</v>
      </c>
      <c r="B5832" t="str">
        <f>"1552374489925639"</f>
        <v>1552374489925639</v>
      </c>
      <c r="C5832" t="s">
        <v>40</v>
      </c>
      <c r="D5832">
        <v>4.973859</v>
      </c>
      <c r="E5832">
        <v>0.52936070000000002</v>
      </c>
      <c r="F5832" t="s">
        <v>61</v>
      </c>
      <c r="G5832">
        <v>-204.947</v>
      </c>
      <c r="H5832" s="1">
        <v>4.7188039999999997E-6</v>
      </c>
      <c r="I5832">
        <v>211.09270000000001</v>
      </c>
      <c r="J5832">
        <v>-217.47579999999999</v>
      </c>
      <c r="K5832">
        <v>1.1101829999999999</v>
      </c>
      <c r="L5832">
        <v>215.4308</v>
      </c>
      <c r="M5832">
        <v>0.99881790000000004</v>
      </c>
      <c r="N5832">
        <v>0</v>
      </c>
      <c r="O5832">
        <v>-4.662985E-2</v>
      </c>
      <c r="P5832">
        <v>0.96884539999999997</v>
      </c>
      <c r="Q5832">
        <v>7.7863580000000002E-3</v>
      </c>
      <c r="R5832">
        <v>-0.24754429999999999</v>
      </c>
      <c r="S5832">
        <v>2.8502350000000001</v>
      </c>
      <c r="T5832">
        <v>-0.24812049999999999</v>
      </c>
      <c r="U5832">
        <v>-0.97193909999999994</v>
      </c>
      <c r="V5832">
        <v>0.20211190000000001</v>
      </c>
      <c r="W5832">
        <v>2.1057780000000002E-2</v>
      </c>
      <c r="X5832">
        <v>0.97913600000000001</v>
      </c>
      <c r="Y5832">
        <v>0.27748469999999997</v>
      </c>
      <c r="Z5832">
        <v>-7.7929000000000002E-3</v>
      </c>
      <c r="AA5832">
        <v>0.96069839999999995</v>
      </c>
      <c r="AB5832">
        <v>23</v>
      </c>
      <c r="AC5832">
        <v>12.528799999999899</v>
      </c>
      <c r="AD5832">
        <v>-1.1101782811959999</v>
      </c>
      <c r="AE5832">
        <v>-4.3380999999999901</v>
      </c>
      <c r="AF5832">
        <v>3.7230064744696301</v>
      </c>
      <c r="AG5832">
        <v>-1.1101782811959999</v>
      </c>
      <c r="AH5832">
        <v>12.628929318919299</v>
      </c>
      <c r="AI5832">
        <v>94.819772567146401</v>
      </c>
      <c r="AJ5832">
        <v>73.574490990584493</v>
      </c>
      <c r="AK5832">
        <v>13.212990909224199</v>
      </c>
      <c r="AL5832">
        <v>88.793388868147801</v>
      </c>
      <c r="AM5832">
        <v>78.336892826050502</v>
      </c>
      <c r="AN5832">
        <v>0.99999997835806798</v>
      </c>
    </row>
    <row r="5833" spans="1:40" x14ac:dyDescent="0.25">
      <c r="A5833" t="str">
        <f>"20190312150809957"</f>
        <v>20190312150809957</v>
      </c>
      <c r="B5833" t="str">
        <f>"1552374489946134"</f>
        <v>1552374489946134</v>
      </c>
      <c r="C5833" t="s">
        <v>40</v>
      </c>
      <c r="D5833">
        <v>5.1789339999999999</v>
      </c>
      <c r="E5833">
        <v>0.52998579999999995</v>
      </c>
      <c r="F5833" t="s">
        <v>61</v>
      </c>
      <c r="G5833">
        <v>-204.9554</v>
      </c>
      <c r="H5833" s="1">
        <v>4.7168609999999997E-6</v>
      </c>
      <c r="I5833">
        <v>211.1575</v>
      </c>
      <c r="J5833">
        <v>-217.2473</v>
      </c>
      <c r="K5833">
        <v>1.110107</v>
      </c>
      <c r="L5833">
        <v>215.4195</v>
      </c>
      <c r="M5833">
        <v>0.9987878</v>
      </c>
      <c r="N5833">
        <v>0</v>
      </c>
      <c r="O5833">
        <v>-4.7270769999999997E-2</v>
      </c>
      <c r="P5833">
        <v>0.96878089999999994</v>
      </c>
      <c r="Q5833">
        <v>8.0598200000000005E-3</v>
      </c>
      <c r="R5833">
        <v>-0.2477876</v>
      </c>
      <c r="S5833">
        <v>2.8499599999999998</v>
      </c>
      <c r="T5833">
        <v>-0.25270320000000002</v>
      </c>
      <c r="U5833">
        <v>-0.97270199999999996</v>
      </c>
      <c r="V5833">
        <v>0.20173379999999999</v>
      </c>
      <c r="W5833">
        <v>2.1292330000000002E-2</v>
      </c>
      <c r="X5833">
        <v>0.97920890000000005</v>
      </c>
      <c r="Y5833">
        <v>0.277101599999999</v>
      </c>
      <c r="Z5833">
        <v>-7.8653149999999995E-3</v>
      </c>
      <c r="AA5833">
        <v>0.96080849999999995</v>
      </c>
      <c r="AB5833">
        <v>23</v>
      </c>
      <c r="AC5833">
        <v>12.291899999999901</v>
      </c>
      <c r="AD5833">
        <v>-1.1101022831389999</v>
      </c>
      <c r="AE5833">
        <v>-4.2619999999999996</v>
      </c>
      <c r="AF5833">
        <v>3.6495603648900299</v>
      </c>
      <c r="AG5833">
        <v>-1.1101022831389999</v>
      </c>
      <c r="AH5833">
        <v>12.3894375533241</v>
      </c>
      <c r="AI5833">
        <v>94.912458268719703</v>
      </c>
      <c r="AJ5833">
        <v>73.586592266469694</v>
      </c>
      <c r="AK5833">
        <v>12.963401591546999</v>
      </c>
      <c r="AL5833">
        <v>88.779947130406597</v>
      </c>
      <c r="AM5833">
        <v>78.358958461518199</v>
      </c>
      <c r="AN5833">
        <v>0.99999997960923903</v>
      </c>
    </row>
    <row r="5834" spans="1:40" x14ac:dyDescent="0.25">
      <c r="A5834" t="str">
        <f>"20190312150809980"</f>
        <v>20190312150809980</v>
      </c>
      <c r="B5834" t="str">
        <f>"1552374489976391"</f>
        <v>1552374489976391</v>
      </c>
      <c r="C5834" t="s">
        <v>40</v>
      </c>
      <c r="D5834">
        <v>4.8054610000000002</v>
      </c>
      <c r="E5834">
        <v>0.53092859999999997</v>
      </c>
      <c r="F5834" t="s">
        <v>61</v>
      </c>
      <c r="G5834">
        <v>-204.79769999999999</v>
      </c>
      <c r="H5834" s="1">
        <v>4.648183E-6</v>
      </c>
      <c r="I5834">
        <v>211.1431</v>
      </c>
      <c r="J5834">
        <v>-217.0129</v>
      </c>
      <c r="K5834">
        <v>1.1100129999999999</v>
      </c>
      <c r="L5834">
        <v>215.4075</v>
      </c>
      <c r="M5834">
        <v>0.99875000000000003</v>
      </c>
      <c r="N5834">
        <v>0</v>
      </c>
      <c r="O5834">
        <v>-4.8060650000000003E-2</v>
      </c>
      <c r="P5834">
        <v>0.96864170000000005</v>
      </c>
      <c r="Q5834">
        <v>8.6640009999999993E-3</v>
      </c>
      <c r="R5834">
        <v>-0.2483107</v>
      </c>
      <c r="S5834">
        <v>2.848541</v>
      </c>
      <c r="T5834">
        <v>-0.2539978</v>
      </c>
      <c r="U5834">
        <v>-0.97845459999999995</v>
      </c>
      <c r="V5834">
        <v>0.2014939</v>
      </c>
      <c r="W5834">
        <v>2.1850580000000001E-2</v>
      </c>
      <c r="X5834">
        <v>0.97924599999999995</v>
      </c>
      <c r="Y5834">
        <v>0.2782153</v>
      </c>
      <c r="Z5834">
        <v>-7.8868789999999994E-3</v>
      </c>
      <c r="AA5834">
        <v>0.96048639999999996</v>
      </c>
      <c r="AB5834">
        <v>23</v>
      </c>
      <c r="AC5834">
        <v>12.215199999999999</v>
      </c>
      <c r="AD5834">
        <v>-1.1100083518170001</v>
      </c>
      <c r="AE5834">
        <v>-4.2643999999999904</v>
      </c>
      <c r="AF5834">
        <v>3.6455126207914499</v>
      </c>
      <c r="AG5834">
        <v>-1.1100083518170001</v>
      </c>
      <c r="AH5834">
        <v>12.3154034230196</v>
      </c>
      <c r="AI5834">
        <v>94.939502068037996</v>
      </c>
      <c r="AJ5834">
        <v>73.510590938263505</v>
      </c>
      <c r="AK5834">
        <v>12.891510473221301</v>
      </c>
      <c r="AL5834">
        <v>88.747954321548406</v>
      </c>
      <c r="AM5834">
        <v>78.372853227520395</v>
      </c>
      <c r="AN5834">
        <v>0.99999998404977297</v>
      </c>
    </row>
    <row r="5835" spans="1:40" x14ac:dyDescent="0.25">
      <c r="A5835" t="str">
        <f>"20190312150810003"</f>
        <v>20190312150810003</v>
      </c>
      <c r="B5835" t="str">
        <f>"1552374489995911"</f>
        <v>1552374489995911</v>
      </c>
      <c r="C5835" t="s">
        <v>40</v>
      </c>
      <c r="D5835">
        <v>4.8256050000000004</v>
      </c>
      <c r="E5835">
        <v>0.53097519999999998</v>
      </c>
      <c r="F5835" t="s">
        <v>61</v>
      </c>
      <c r="G5835">
        <v>-204.76140000000001</v>
      </c>
      <c r="H5835" s="1">
        <v>4.6308099999999996E-6</v>
      </c>
      <c r="I5835">
        <v>211.15780000000001</v>
      </c>
      <c r="J5835">
        <v>-216.78059999999999</v>
      </c>
      <c r="K5835">
        <v>1.1099079999999999</v>
      </c>
      <c r="L5835">
        <v>215.3954</v>
      </c>
      <c r="M5835">
        <v>0.99870510000000001</v>
      </c>
      <c r="N5835">
        <v>0</v>
      </c>
      <c r="O5835">
        <v>-4.898885E-2</v>
      </c>
      <c r="P5835">
        <v>0.96833809999999998</v>
      </c>
      <c r="Q5835">
        <v>8.6966560000000005E-3</v>
      </c>
      <c r="R5835">
        <v>-0.24949099999999999</v>
      </c>
      <c r="S5835">
        <v>2.8463590000000001</v>
      </c>
      <c r="T5835">
        <v>-0.2578838</v>
      </c>
      <c r="U5835">
        <v>-0.98733519999999997</v>
      </c>
      <c r="V5835">
        <v>0.20178299999999999</v>
      </c>
      <c r="W5835">
        <v>2.1831509999999998E-2</v>
      </c>
      <c r="X5835">
        <v>0.97918689999999997</v>
      </c>
      <c r="Y5835">
        <v>0.28019690000000003</v>
      </c>
      <c r="Z5835">
        <v>-8.0149109999999996E-3</v>
      </c>
      <c r="AA5835">
        <v>0.95990909999999996</v>
      </c>
      <c r="AB5835">
        <v>23</v>
      </c>
      <c r="AC5835">
        <v>12.0191999999999</v>
      </c>
      <c r="AD5835">
        <v>-1.10990336919</v>
      </c>
      <c r="AE5835">
        <v>-4.23759999999998</v>
      </c>
      <c r="AF5835">
        <v>3.6162211177729602</v>
      </c>
      <c r="AG5835">
        <v>-1.10990336919</v>
      </c>
      <c r="AH5835">
        <v>12.1204515458823</v>
      </c>
      <c r="AI5835">
        <v>95.014881682036702</v>
      </c>
      <c r="AJ5835">
        <v>73.387160888729198</v>
      </c>
      <c r="AK5835">
        <v>12.6970187972471</v>
      </c>
      <c r="AL5835">
        <v>88.749047219633994</v>
      </c>
      <c r="AM5835">
        <v>78.355942428872297</v>
      </c>
      <c r="AN5835">
        <v>0.999999989524744</v>
      </c>
    </row>
    <row r="5836" spans="1:40" x14ac:dyDescent="0.25">
      <c r="A5836" t="str">
        <f>"20190312150810026"</f>
        <v>20190312150810026</v>
      </c>
      <c r="B5836" t="str">
        <f>"1552374490016407"</f>
        <v>1552374490016407</v>
      </c>
      <c r="C5836" t="s">
        <v>40</v>
      </c>
      <c r="D5836">
        <v>4.8645550000000002</v>
      </c>
      <c r="E5836">
        <v>0.53158850000000002</v>
      </c>
      <c r="F5836" t="s">
        <v>61</v>
      </c>
      <c r="G5836">
        <v>-204.3663</v>
      </c>
      <c r="H5836" s="1">
        <v>4.463257E-6</v>
      </c>
      <c r="I5836">
        <v>211.07060000000001</v>
      </c>
      <c r="J5836">
        <v>-216.55009999999999</v>
      </c>
      <c r="K5836">
        <v>1.1098209999999999</v>
      </c>
      <c r="L5836">
        <v>215.38290000000001</v>
      </c>
      <c r="M5836">
        <v>0.99865170000000003</v>
      </c>
      <c r="N5836">
        <v>0</v>
      </c>
      <c r="O5836">
        <v>-5.006451E-2</v>
      </c>
      <c r="P5836">
        <v>0.96790120000000002</v>
      </c>
      <c r="Q5836">
        <v>9.0223270000000001E-3</v>
      </c>
      <c r="R5836">
        <v>-0.2511697</v>
      </c>
      <c r="S5836">
        <v>2.8450160000000002</v>
      </c>
      <c r="T5836">
        <v>-0.25435980000000002</v>
      </c>
      <c r="U5836">
        <v>-0.99111939999999998</v>
      </c>
      <c r="V5836">
        <v>0.2024321</v>
      </c>
      <c r="W5836">
        <v>2.210467E-2</v>
      </c>
      <c r="X5836">
        <v>0.97904679999999999</v>
      </c>
      <c r="Y5836">
        <v>0.28046789999999999</v>
      </c>
      <c r="Z5836">
        <v>-7.8266340000000007E-3</v>
      </c>
      <c r="AA5836">
        <v>0.95983149999999995</v>
      </c>
      <c r="AB5836">
        <v>23</v>
      </c>
      <c r="AC5836">
        <v>12.1837999999999</v>
      </c>
      <c r="AD5836">
        <v>-1.109816536743</v>
      </c>
      <c r="AE5836">
        <v>-4.3122999999999898</v>
      </c>
      <c r="AF5836">
        <v>3.66979825289777</v>
      </c>
      <c r="AG5836">
        <v>-1.109816536743</v>
      </c>
      <c r="AH5836">
        <v>12.2937825597882</v>
      </c>
      <c r="AI5836">
        <v>94.943940316932299</v>
      </c>
      <c r="AJ5836">
        <v>73.379189962970401</v>
      </c>
      <c r="AK5836">
        <v>12.8777405467556</v>
      </c>
      <c r="AL5836">
        <v>88.733392544803607</v>
      </c>
      <c r="AM5836">
        <v>78.317887682963899</v>
      </c>
      <c r="AN5836">
        <v>1.00000000406822</v>
      </c>
    </row>
    <row r="5837" spans="1:40" x14ac:dyDescent="0.25">
      <c r="A5837" t="str">
        <f>"20190312150810046"</f>
        <v>20190312150810046</v>
      </c>
      <c r="B5837" t="str">
        <f>"1552374490035927"</f>
        <v>1552374490035927</v>
      </c>
      <c r="C5837" t="s">
        <v>40</v>
      </c>
      <c r="D5837">
        <v>4.829853</v>
      </c>
      <c r="E5837">
        <v>0.53212340000000002</v>
      </c>
      <c r="F5837" t="s">
        <v>61</v>
      </c>
      <c r="G5837">
        <v>-204.3058</v>
      </c>
      <c r="H5837" s="1">
        <v>4.4363229999999998E-6</v>
      </c>
      <c r="I5837">
        <v>211.0718</v>
      </c>
      <c r="J5837">
        <v>-216.32769999999999</v>
      </c>
      <c r="K5837">
        <v>1.109737</v>
      </c>
      <c r="L5837">
        <v>215.37039999999999</v>
      </c>
      <c r="M5837">
        <v>0.99859200000000004</v>
      </c>
      <c r="N5837">
        <v>0</v>
      </c>
      <c r="O5837">
        <v>-5.1242360000000001E-2</v>
      </c>
      <c r="P5837">
        <v>0.96744520000000001</v>
      </c>
      <c r="Q5837">
        <v>9.4035420000000008E-3</v>
      </c>
      <c r="R5837">
        <v>-0.25290649999999998</v>
      </c>
      <c r="S5837">
        <v>2.842209</v>
      </c>
      <c r="T5837">
        <v>-0.2576175</v>
      </c>
      <c r="U5837">
        <v>-1.000702</v>
      </c>
      <c r="V5837">
        <v>0.20304040000000001</v>
      </c>
      <c r="W5837">
        <v>2.243933E-2</v>
      </c>
      <c r="X5837">
        <v>0.97891320000000004</v>
      </c>
      <c r="Y5837">
        <v>0.28248780000000001</v>
      </c>
      <c r="Z5837">
        <v>-7.9154800000000008E-3</v>
      </c>
      <c r="AA5837">
        <v>0.95923820000000004</v>
      </c>
      <c r="AB5837">
        <v>23</v>
      </c>
      <c r="AC5837">
        <v>12.021899999999899</v>
      </c>
      <c r="AD5837">
        <v>-1.1097325636769999</v>
      </c>
      <c r="AE5837">
        <v>-4.2985999999999898</v>
      </c>
      <c r="AF5837">
        <v>3.6492924755404101</v>
      </c>
      <c r="AG5837">
        <v>-1.1097325636769999</v>
      </c>
      <c r="AH5837">
        <v>12.1347157802761</v>
      </c>
      <c r="AI5837">
        <v>95.004998409424999</v>
      </c>
      <c r="AJ5837">
        <v>73.262307078956695</v>
      </c>
      <c r="AK5837">
        <v>12.720069536091501</v>
      </c>
      <c r="AL5837">
        <v>88.714213164102006</v>
      </c>
      <c r="AM5837">
        <v>78.282197675128401</v>
      </c>
      <c r="AN5837">
        <v>0.99999999034862397</v>
      </c>
    </row>
    <row r="5838" spans="1:40" x14ac:dyDescent="0.25">
      <c r="A5838" t="str">
        <f>"20190312150810070"</f>
        <v>20190312150810070</v>
      </c>
      <c r="B5838" t="str">
        <f>"1552374490066183"</f>
        <v>1552374490066183</v>
      </c>
      <c r="C5838" t="s">
        <v>40</v>
      </c>
      <c r="D5838">
        <v>4.8324949999999998</v>
      </c>
      <c r="E5838">
        <v>0.53274080000000001</v>
      </c>
      <c r="F5838" t="s">
        <v>61</v>
      </c>
      <c r="G5838">
        <v>-204.23859999999999</v>
      </c>
      <c r="H5838" s="1">
        <v>4.406528E-6</v>
      </c>
      <c r="I5838">
        <v>211.07130000000001</v>
      </c>
      <c r="J5838">
        <v>-216.09479999999999</v>
      </c>
      <c r="K5838">
        <v>1.109664</v>
      </c>
      <c r="L5838">
        <v>215.3569</v>
      </c>
      <c r="M5838">
        <v>0.99852220000000003</v>
      </c>
      <c r="N5838">
        <v>0</v>
      </c>
      <c r="O5838">
        <v>-5.2585590000000001E-2</v>
      </c>
      <c r="P5838">
        <v>0.96694210000000003</v>
      </c>
      <c r="Q5838">
        <v>9.4899479999999998E-3</v>
      </c>
      <c r="R5838">
        <v>-0.25481999999999999</v>
      </c>
      <c r="S5838">
        <v>2.8395079999999999</v>
      </c>
      <c r="T5838">
        <v>-0.26065579999999999</v>
      </c>
      <c r="U5838">
        <v>-1.009781</v>
      </c>
      <c r="V5838">
        <v>0.2036644</v>
      </c>
      <c r="W5838">
        <v>2.2487960000000001E-2</v>
      </c>
      <c r="X5838">
        <v>0.9787825</v>
      </c>
      <c r="Y5838">
        <v>0.28418719999999997</v>
      </c>
      <c r="Z5838">
        <v>-7.9683669999999901E-3</v>
      </c>
      <c r="AA5838">
        <v>0.95873569999999997</v>
      </c>
      <c r="AB5838">
        <v>23</v>
      </c>
      <c r="AC5838">
        <v>11.856199999999999</v>
      </c>
      <c r="AD5838">
        <v>-1.1096595934719999</v>
      </c>
      <c r="AE5838">
        <v>-4.2855999999999801</v>
      </c>
      <c r="AF5838">
        <v>3.62803750783273</v>
      </c>
      <c r="AG5838">
        <v>-1.1096595934719999</v>
      </c>
      <c r="AH5838">
        <v>11.9724194414877</v>
      </c>
      <c r="AI5838">
        <v>95.068950368782296</v>
      </c>
      <c r="AJ5838">
        <v>73.141462652492606</v>
      </c>
      <c r="AK5838">
        <v>12.5591730561585</v>
      </c>
      <c r="AL5838">
        <v>88.711426230057498</v>
      </c>
      <c r="AM5838">
        <v>78.245660097202105</v>
      </c>
      <c r="AN5838">
        <v>1.00000003923928</v>
      </c>
    </row>
    <row r="5839" spans="1:40" x14ac:dyDescent="0.25">
      <c r="A5839" t="str">
        <f>"20190312150810092"</f>
        <v>20190312150810092</v>
      </c>
      <c r="B5839" t="str">
        <f>"1552374490085703"</f>
        <v>1552374490085703</v>
      </c>
      <c r="C5839" t="s">
        <v>40</v>
      </c>
      <c r="D5839">
        <v>4.8248559999999996</v>
      </c>
      <c r="E5839">
        <v>0.53321130000000005</v>
      </c>
      <c r="F5839" t="s">
        <v>61</v>
      </c>
      <c r="G5839">
        <v>-204.22370000000001</v>
      </c>
      <c r="H5839" s="1">
        <v>4.3986069999999997E-6</v>
      </c>
      <c r="I5839">
        <v>211.0865</v>
      </c>
      <c r="J5839">
        <v>-215.8665</v>
      </c>
      <c r="K5839">
        <v>1.1096220000000001</v>
      </c>
      <c r="L5839">
        <v>215.3433</v>
      </c>
      <c r="M5839">
        <v>0.99844739999999998</v>
      </c>
      <c r="N5839">
        <v>0</v>
      </c>
      <c r="O5839">
        <v>-5.3985239999999997E-2</v>
      </c>
      <c r="P5839">
        <v>0.9664005</v>
      </c>
      <c r="Q5839">
        <v>9.7592709999999999E-3</v>
      </c>
      <c r="R5839">
        <v>-0.25685570000000002</v>
      </c>
      <c r="S5839">
        <v>2.8363040000000002</v>
      </c>
      <c r="T5839">
        <v>-0.265125</v>
      </c>
      <c r="U5839">
        <v>-1.0203089999999999</v>
      </c>
      <c r="V5839">
        <v>0.20435700000000001</v>
      </c>
      <c r="W5839">
        <v>2.272917E-2</v>
      </c>
      <c r="X5839">
        <v>0.97863250000000002</v>
      </c>
      <c r="Y5839">
        <v>0.28630670000000003</v>
      </c>
      <c r="Z5839">
        <v>-8.0782400000000004E-3</v>
      </c>
      <c r="AA5839">
        <v>0.95810399999999996</v>
      </c>
      <c r="AB5839">
        <v>23</v>
      </c>
      <c r="AC5839">
        <v>11.6427999999999</v>
      </c>
      <c r="AD5839">
        <v>-1.1096176013929999</v>
      </c>
      <c r="AE5839">
        <v>-4.2567999999999904</v>
      </c>
      <c r="AF5839">
        <v>3.5932038278677201</v>
      </c>
      <c r="AG5839">
        <v>-1.1096176013929999</v>
      </c>
      <c r="AH5839">
        <v>11.7614116233584</v>
      </c>
      <c r="AI5839">
        <v>95.155674586281805</v>
      </c>
      <c r="AJ5839">
        <v>73.011675551727393</v>
      </c>
      <c r="AK5839">
        <v>12.3480026054417</v>
      </c>
      <c r="AL5839">
        <v>88.697602310611003</v>
      </c>
      <c r="AM5839">
        <v>78.205047887136601</v>
      </c>
      <c r="AN5839">
        <v>0.99999998433706905</v>
      </c>
    </row>
    <row r="5840" spans="1:40" x14ac:dyDescent="0.25">
      <c r="A5840" t="str">
        <f>"20190312150810114"</f>
        <v>20190312150810114</v>
      </c>
      <c r="B5840" t="str">
        <f>"1552374490106200"</f>
        <v>1552374490106200</v>
      </c>
      <c r="C5840" t="s">
        <v>40</v>
      </c>
      <c r="D5840">
        <v>4.8526680000000004</v>
      </c>
      <c r="E5840">
        <v>0.53364409999999995</v>
      </c>
      <c r="F5840" t="s">
        <v>61</v>
      </c>
      <c r="G5840">
        <v>-204.08770000000001</v>
      </c>
      <c r="H5840" s="1">
        <v>4.3404129999999997E-6</v>
      </c>
      <c r="I5840">
        <v>211.0625</v>
      </c>
      <c r="J5840">
        <v>-215.63929999999999</v>
      </c>
      <c r="K5840">
        <v>1.1095930000000001</v>
      </c>
      <c r="L5840">
        <v>215.32939999999999</v>
      </c>
      <c r="M5840">
        <v>0.99836800000000003</v>
      </c>
      <c r="N5840">
        <v>0</v>
      </c>
      <c r="O5840">
        <v>-5.5435529999999997E-2</v>
      </c>
      <c r="P5840">
        <v>0.96580259999999996</v>
      </c>
      <c r="Q5840">
        <v>9.3446970000000008E-3</v>
      </c>
      <c r="R5840">
        <v>-0.25911139999999999</v>
      </c>
      <c r="S5840">
        <v>2.8333279999999998</v>
      </c>
      <c r="T5840">
        <v>-0.2669126</v>
      </c>
      <c r="U5840">
        <v>-1.029739</v>
      </c>
      <c r="V5840">
        <v>0.20522070000000001</v>
      </c>
      <c r="W5840">
        <v>2.229536E-2</v>
      </c>
      <c r="X5840">
        <v>0.97846169999999999</v>
      </c>
      <c r="Y5840">
        <v>0.2880414</v>
      </c>
      <c r="Z5840">
        <v>-8.0838219999999992E-3</v>
      </c>
      <c r="AA5840">
        <v>0.95758379999999998</v>
      </c>
      <c r="AB5840">
        <v>23</v>
      </c>
      <c r="AC5840">
        <v>11.551599999999899</v>
      </c>
      <c r="AD5840">
        <v>-1.1095886595869999</v>
      </c>
      <c r="AE5840">
        <v>-4.2668999999999899</v>
      </c>
      <c r="AF5840">
        <v>3.59075534435615</v>
      </c>
      <c r="AG5840">
        <v>-1.1095886595869999</v>
      </c>
      <c r="AH5840">
        <v>11.6756013238303</v>
      </c>
      <c r="AI5840">
        <v>95.190280159132499</v>
      </c>
      <c r="AJ5840">
        <v>72.905059803094304</v>
      </c>
      <c r="AK5840">
        <v>12.265576921186099</v>
      </c>
      <c r="AL5840">
        <v>88.722464061191005</v>
      </c>
      <c r="AM5840">
        <v>78.154593478147902</v>
      </c>
      <c r="AN5840">
        <v>0.99999995857645396</v>
      </c>
    </row>
    <row r="5841" spans="1:40" x14ac:dyDescent="0.25">
      <c r="A5841" t="str">
        <f>"20190312150810136"</f>
        <v>20190312150810136</v>
      </c>
      <c r="B5841" t="str">
        <f>"1552374490125719"</f>
        <v>1552374490125719</v>
      </c>
      <c r="C5841" t="s">
        <v>40</v>
      </c>
      <c r="D5841">
        <v>4.8520450000000004</v>
      </c>
      <c r="E5841">
        <v>0.53399810000000003</v>
      </c>
      <c r="F5841" t="s">
        <v>61</v>
      </c>
      <c r="G5841">
        <v>-204.05869999999999</v>
      </c>
      <c r="H5841" s="1">
        <v>4.3263520000000001E-6</v>
      </c>
      <c r="I5841">
        <v>211.0761</v>
      </c>
      <c r="J5841">
        <v>-215.4119</v>
      </c>
      <c r="K5841">
        <v>1.1095820000000001</v>
      </c>
      <c r="L5841">
        <v>215.3151</v>
      </c>
      <c r="M5841">
        <v>0.99828479999999997</v>
      </c>
      <c r="N5841">
        <v>0</v>
      </c>
      <c r="O5841">
        <v>-5.6915680000000003E-2</v>
      </c>
      <c r="P5841">
        <v>0.96534759999999997</v>
      </c>
      <c r="Q5841">
        <v>9.0020759999999995E-3</v>
      </c>
      <c r="R5841">
        <v>-0.26081330000000003</v>
      </c>
      <c r="S5841">
        <v>2.829971</v>
      </c>
      <c r="T5841">
        <v>-0.27115209999999901</v>
      </c>
      <c r="U5841">
        <v>-1.039398</v>
      </c>
      <c r="V5841">
        <v>0.20549439999999999</v>
      </c>
      <c r="W5841">
        <v>2.1944020000000002E-2</v>
      </c>
      <c r="X5841">
        <v>0.97841230000000001</v>
      </c>
      <c r="Y5841">
        <v>0.2898384</v>
      </c>
      <c r="Z5841">
        <v>-8.1632709999999997E-3</v>
      </c>
      <c r="AA5841">
        <v>0.95704080000000002</v>
      </c>
      <c r="AB5841">
        <v>23</v>
      </c>
      <c r="AC5841">
        <v>11.353199999999999</v>
      </c>
      <c r="AD5841">
        <v>-1.1095776736480001</v>
      </c>
      <c r="AE5841">
        <v>-4.2389999999999999</v>
      </c>
      <c r="AF5841">
        <v>3.5560807612733898</v>
      </c>
      <c r="AG5841">
        <v>-1.1095776736480001</v>
      </c>
      <c r="AH5841">
        <v>11.479845627801501</v>
      </c>
      <c r="AI5841">
        <v>95.274949642294203</v>
      </c>
      <c r="AJ5841">
        <v>72.788728503104807</v>
      </c>
      <c r="AK5841">
        <v>12.069122943806301</v>
      </c>
      <c r="AL5841">
        <v>88.742599413607294</v>
      </c>
      <c r="AM5841">
        <v>78.138660728748604</v>
      </c>
      <c r="AN5841">
        <v>1.0000000586182001</v>
      </c>
    </row>
    <row r="5842" spans="1:40" x14ac:dyDescent="0.25">
      <c r="A5842" t="str">
        <f>"20190312150810158"</f>
        <v>20190312150810158</v>
      </c>
      <c r="B5842" t="str">
        <f>"1552374490146216"</f>
        <v>1552374490146216</v>
      </c>
      <c r="C5842" t="s">
        <v>40</v>
      </c>
      <c r="D5842">
        <v>4.7638660000000002</v>
      </c>
      <c r="E5842">
        <v>0.53430829999999996</v>
      </c>
      <c r="F5842" t="s">
        <v>61</v>
      </c>
      <c r="G5842">
        <v>-203.98330000000001</v>
      </c>
      <c r="H5842" s="1">
        <v>4.2924169999999996E-6</v>
      </c>
      <c r="I5842">
        <v>211.08179999999999</v>
      </c>
      <c r="J5842">
        <v>-215.1866</v>
      </c>
      <c r="K5842">
        <v>1.109586</v>
      </c>
      <c r="L5842">
        <v>215.3006</v>
      </c>
      <c r="M5842">
        <v>0.99819959999999996</v>
      </c>
      <c r="N5842">
        <v>0</v>
      </c>
      <c r="O5842">
        <v>-5.8387719999999997E-2</v>
      </c>
      <c r="P5842">
        <v>0.96497279999999996</v>
      </c>
      <c r="Q5842">
        <v>8.9038260000000001E-3</v>
      </c>
      <c r="R5842">
        <v>-0.26219880000000001</v>
      </c>
      <c r="S5842">
        <v>2.827286</v>
      </c>
      <c r="T5842">
        <v>-0.27449459999999998</v>
      </c>
      <c r="U5842">
        <v>-1.047256</v>
      </c>
      <c r="V5842">
        <v>0.205456</v>
      </c>
      <c r="W5842">
        <v>2.184438E-2</v>
      </c>
      <c r="X5842">
        <v>0.97842249999999997</v>
      </c>
      <c r="Y5842">
        <v>0.29104010000000002</v>
      </c>
      <c r="Z5842">
        <v>-8.1862700000000007E-3</v>
      </c>
      <c r="AA5842">
        <v>0.95667579999999997</v>
      </c>
      <c r="AB5842">
        <v>23</v>
      </c>
      <c r="AC5842">
        <v>11.203299999999899</v>
      </c>
      <c r="AD5842">
        <v>-1.1095817075829999</v>
      </c>
      <c r="AE5842">
        <v>-4.2188000000000097</v>
      </c>
      <c r="AF5842">
        <v>3.52710374260786</v>
      </c>
      <c r="AG5842">
        <v>-1.1095817075829999</v>
      </c>
      <c r="AH5842">
        <v>11.333171276102901</v>
      </c>
      <c r="AI5842">
        <v>95.340660917826099</v>
      </c>
      <c r="AJ5842">
        <v>72.712840335803804</v>
      </c>
      <c r="AK5842">
        <v>11.921090703052499</v>
      </c>
      <c r="AL5842">
        <v>88.748309618463594</v>
      </c>
      <c r="AM5842">
        <v>78.140934574673494</v>
      </c>
      <c r="AN5842">
        <v>0.99999996668991598</v>
      </c>
    </row>
    <row r="5843" spans="1:40" x14ac:dyDescent="0.25">
      <c r="A5843" t="str">
        <f>"20190312150810176"</f>
        <v>20190312150810176</v>
      </c>
      <c r="B5843" t="str">
        <f>"1552374490165736"</f>
        <v>1552374490165736</v>
      </c>
      <c r="C5843" t="s">
        <v>40</v>
      </c>
      <c r="D5843">
        <v>4.8642390000000004</v>
      </c>
      <c r="E5843">
        <v>0.53473149999999903</v>
      </c>
      <c r="F5843" t="s">
        <v>61</v>
      </c>
      <c r="G5843">
        <v>-203.90360000000001</v>
      </c>
      <c r="H5843" s="1">
        <v>4.2562379999999998E-6</v>
      </c>
      <c r="I5843">
        <v>211.09139999999999</v>
      </c>
      <c r="J5843">
        <v>-215.00810000000001</v>
      </c>
      <c r="K5843">
        <v>1.1095919999999999</v>
      </c>
      <c r="L5843">
        <v>215.28880000000001</v>
      </c>
      <c r="M5843">
        <v>0.9981312</v>
      </c>
      <c r="N5843">
        <v>0</v>
      </c>
      <c r="O5843">
        <v>-5.9547320000000001E-2</v>
      </c>
      <c r="P5843">
        <v>0.96466810000000003</v>
      </c>
      <c r="Q5843">
        <v>9.0910020000000008E-3</v>
      </c>
      <c r="R5843">
        <v>-0.26331149999999998</v>
      </c>
      <c r="S5843">
        <v>2.8251040000000001</v>
      </c>
      <c r="T5843">
        <v>-0.27782420000000002</v>
      </c>
      <c r="U5843">
        <v>-1.0539400000000001</v>
      </c>
      <c r="V5843">
        <v>0.20544789999999999</v>
      </c>
      <c r="W5843">
        <v>2.2032690000000001E-2</v>
      </c>
      <c r="X5843">
        <v>0.97841999999999996</v>
      </c>
      <c r="Y5843">
        <v>0.29213440000000002</v>
      </c>
      <c r="Z5843">
        <v>-8.2304939999999997E-3</v>
      </c>
      <c r="AA5843">
        <v>0.95634189999999997</v>
      </c>
      <c r="AB5843">
        <v>23</v>
      </c>
      <c r="AC5843">
        <v>11.1045</v>
      </c>
      <c r="AD5843">
        <v>-1.1095877437620001</v>
      </c>
      <c r="AE5843">
        <v>-4.1974000000000098</v>
      </c>
      <c r="AF5843">
        <v>3.49808459761769</v>
      </c>
      <c r="AG5843">
        <v>-1.1095877437620001</v>
      </c>
      <c r="AH5843">
        <v>11.2365927798614</v>
      </c>
      <c r="AI5843">
        <v>95.386183827820403</v>
      </c>
      <c r="AJ5843">
        <v>72.708015205140299</v>
      </c>
      <c r="AK5843">
        <v>11.820693639276399</v>
      </c>
      <c r="AL5843">
        <v>88.737517679008803</v>
      </c>
      <c r="AM5843">
        <v>78.141359431562407</v>
      </c>
      <c r="AN5843">
        <v>0.99999998772152299</v>
      </c>
    </row>
    <row r="5844" spans="1:40" x14ac:dyDescent="0.25">
      <c r="A5844" t="str">
        <f>"20190312150810193"</f>
        <v>20190312150810193</v>
      </c>
      <c r="B5844" t="str">
        <f>"1552374490186235"</f>
        <v>1552374490186235</v>
      </c>
      <c r="C5844" t="s">
        <v>40</v>
      </c>
      <c r="D5844">
        <v>4.8174979999999996</v>
      </c>
      <c r="E5844">
        <v>0.53511540000000002</v>
      </c>
      <c r="F5844" t="s">
        <v>61</v>
      </c>
      <c r="G5844">
        <v>-203.78380000000001</v>
      </c>
      <c r="H5844" s="1">
        <v>4.2047809999999996E-6</v>
      </c>
      <c r="I5844">
        <v>211.07230000000001</v>
      </c>
      <c r="J5844">
        <v>-214.8409</v>
      </c>
      <c r="K5844">
        <v>1.10959599999999</v>
      </c>
      <c r="L5844">
        <v>215.27760000000001</v>
      </c>
      <c r="M5844">
        <v>0.99806640000000002</v>
      </c>
      <c r="N5844">
        <v>0</v>
      </c>
      <c r="O5844">
        <v>-6.062497E-2</v>
      </c>
      <c r="P5844">
        <v>0.96433630000000004</v>
      </c>
      <c r="Q5844">
        <v>9.3086760000000001E-3</v>
      </c>
      <c r="R5844">
        <v>-0.2645169</v>
      </c>
      <c r="S5844">
        <v>2.823029</v>
      </c>
      <c r="T5844">
        <v>-0.2790744</v>
      </c>
      <c r="U5844">
        <v>-1.0605009999999999</v>
      </c>
      <c r="V5844">
        <v>0.2056143</v>
      </c>
      <c r="W5844">
        <v>2.2252460000000002E-2</v>
      </c>
      <c r="X5844">
        <v>0.97838009999999997</v>
      </c>
      <c r="Y5844">
        <v>0.29327209999999998</v>
      </c>
      <c r="Z5844">
        <v>-8.2220509999999993E-3</v>
      </c>
      <c r="AA5844">
        <v>0.95599369999999995</v>
      </c>
      <c r="AB5844">
        <v>23</v>
      </c>
      <c r="AC5844">
        <v>11.057099999999901</v>
      </c>
      <c r="AD5844">
        <v>-1.10959179521899</v>
      </c>
      <c r="AE5844">
        <v>-4.2052999999999896</v>
      </c>
      <c r="AF5844">
        <v>3.4964034537656099</v>
      </c>
      <c r="AG5844">
        <v>-1.10959179521899</v>
      </c>
      <c r="AH5844">
        <v>11.1932525077695</v>
      </c>
      <c r="AI5844">
        <v>95.405323744295202</v>
      </c>
      <c r="AJ5844">
        <v>72.652914512254796</v>
      </c>
      <c r="AK5844">
        <v>11.779003895330399</v>
      </c>
      <c r="AL5844">
        <v>88.724922733695706</v>
      </c>
      <c r="AM5844">
        <v>78.131556676824303</v>
      </c>
      <c r="AN5844">
        <v>1.0000000162082701</v>
      </c>
    </row>
    <row r="5845" spans="1:40" x14ac:dyDescent="0.25">
      <c r="A5845" t="str">
        <f>"20190312150810215"</f>
        <v>20190312150810215</v>
      </c>
      <c r="B5845" t="str">
        <f>"1552374490205751"</f>
        <v>1552374490205751</v>
      </c>
      <c r="C5845" t="s">
        <v>40</v>
      </c>
      <c r="D5845">
        <v>4.8958690000000002</v>
      </c>
      <c r="E5845">
        <v>0.53545050000000005</v>
      </c>
      <c r="F5845" t="s">
        <v>61</v>
      </c>
      <c r="G5845">
        <v>-203.70179999999999</v>
      </c>
      <c r="H5845" s="1">
        <v>4.1691189999999999E-6</v>
      </c>
      <c r="I5845">
        <v>211.06389999999999</v>
      </c>
      <c r="J5845">
        <v>-214.61349999999999</v>
      </c>
      <c r="K5845">
        <v>1.1096079999999999</v>
      </c>
      <c r="L5845">
        <v>215.2621</v>
      </c>
      <c r="M5845">
        <v>0.99797729999999996</v>
      </c>
      <c r="N5845">
        <v>0</v>
      </c>
      <c r="O5845">
        <v>-6.2076920000000001E-2</v>
      </c>
      <c r="P5845">
        <v>0.96386490000000002</v>
      </c>
      <c r="Q5845">
        <v>9.0603379999999994E-3</v>
      </c>
      <c r="R5845">
        <v>-0.26623930000000001</v>
      </c>
      <c r="S5845">
        <v>2.8209529999999998</v>
      </c>
      <c r="T5845">
        <v>-0.28099940000000001</v>
      </c>
      <c r="U5845">
        <v>-1.0670930000000001</v>
      </c>
      <c r="V5845">
        <v>0.20593719999999999</v>
      </c>
      <c r="W5845">
        <v>2.2008380000000001E-2</v>
      </c>
      <c r="X5845">
        <v>0.97831769999999996</v>
      </c>
      <c r="Y5845">
        <v>0.29405789999999998</v>
      </c>
      <c r="Z5845">
        <v>-8.1802330000000003E-3</v>
      </c>
      <c r="AA5845">
        <v>0.95575259999999995</v>
      </c>
      <c r="AB5845">
        <v>23</v>
      </c>
      <c r="AC5845">
        <v>10.9116999999999</v>
      </c>
      <c r="AD5845">
        <v>-1.1096038308809999</v>
      </c>
      <c r="AE5845">
        <v>-4.1982000000000097</v>
      </c>
      <c r="AF5845">
        <v>3.4813158023196999</v>
      </c>
      <c r="AG5845">
        <v>-1.1096038308809999</v>
      </c>
      <c r="AH5845">
        <v>11.0517398729856</v>
      </c>
      <c r="AI5845">
        <v>95.470085617719405</v>
      </c>
      <c r="AJ5845">
        <v>72.515488997907696</v>
      </c>
      <c r="AK5845">
        <v>11.6400916919553</v>
      </c>
      <c r="AL5845">
        <v>88.738910906149499</v>
      </c>
      <c r="AM5845">
        <v>78.112711501686803</v>
      </c>
      <c r="AN5845">
        <v>1.0000000106336699</v>
      </c>
    </row>
    <row r="5846" spans="1:40" x14ac:dyDescent="0.25">
      <c r="A5846" t="str">
        <f>"20190312150810237"</f>
        <v>20190312150810237</v>
      </c>
      <c r="B5846" t="str">
        <f>"1552374490226248"</f>
        <v>1552374490226248</v>
      </c>
      <c r="C5846" t="s">
        <v>40</v>
      </c>
      <c r="D5846">
        <v>4.9048189999999998</v>
      </c>
      <c r="E5846">
        <v>0.53582529999999995</v>
      </c>
      <c r="F5846" t="s">
        <v>61</v>
      </c>
      <c r="G5846">
        <v>-203.60400000000001</v>
      </c>
      <c r="H5846" s="1">
        <v>4.125993E-6</v>
      </c>
      <c r="I5846">
        <v>211.0616</v>
      </c>
      <c r="J5846">
        <v>-214.3843</v>
      </c>
      <c r="K5846">
        <v>1.1096109999999999</v>
      </c>
      <c r="L5846">
        <v>215.24610000000001</v>
      </c>
      <c r="M5846">
        <v>0.9978861</v>
      </c>
      <c r="N5846">
        <v>0</v>
      </c>
      <c r="O5846">
        <v>-6.3525639999999994E-2</v>
      </c>
      <c r="P5846">
        <v>0.96357729999999997</v>
      </c>
      <c r="Q5846">
        <v>8.4749719999999903E-3</v>
      </c>
      <c r="R5846">
        <v>-0.2672969</v>
      </c>
      <c r="S5846">
        <v>2.81813</v>
      </c>
      <c r="T5846">
        <v>-0.28402919999999998</v>
      </c>
      <c r="U5846">
        <v>-1.0752109999999999</v>
      </c>
      <c r="V5846">
        <v>0.2055881</v>
      </c>
      <c r="W5846">
        <v>2.1430580000000001E-2</v>
      </c>
      <c r="X5846">
        <v>0.97840389999999999</v>
      </c>
      <c r="Y5846">
        <v>0.29537140000000001</v>
      </c>
      <c r="Z5846">
        <v>-8.195885E-3</v>
      </c>
      <c r="AA5846">
        <v>0.95534739999999996</v>
      </c>
      <c r="AB5846">
        <v>23</v>
      </c>
      <c r="AC5846">
        <v>10.780299999999899</v>
      </c>
      <c r="AD5846">
        <v>-1.109606874007</v>
      </c>
      <c r="AE5846">
        <v>-4.1845000000000097</v>
      </c>
      <c r="AF5846">
        <v>3.4593063984485801</v>
      </c>
      <c r="AG5846">
        <v>-1.109606874007</v>
      </c>
      <c r="AH5846">
        <v>10.923792764217399</v>
      </c>
      <c r="AI5846">
        <v>95.531130385757095</v>
      </c>
      <c r="AJ5846">
        <v>72.428238986941494</v>
      </c>
      <c r="AK5846">
        <v>11.512049188948</v>
      </c>
      <c r="AL5846">
        <v>88.772024161772293</v>
      </c>
      <c r="AM5846">
        <v>78.133306590469502</v>
      </c>
      <c r="AN5846">
        <v>0.99999996407797698</v>
      </c>
    </row>
    <row r="5847" spans="1:40" x14ac:dyDescent="0.25">
      <c r="A5847" t="str">
        <f>"20190312150810259"</f>
        <v>20190312150810259</v>
      </c>
      <c r="B5847" t="str">
        <f>"1552374490255527"</f>
        <v>1552374490255527</v>
      </c>
      <c r="C5847" t="s">
        <v>40</v>
      </c>
      <c r="D5847">
        <v>5.2036850000000001</v>
      </c>
      <c r="E5847">
        <v>0.52711019999999997</v>
      </c>
      <c r="F5847" t="s">
        <v>61</v>
      </c>
      <c r="G5847">
        <v>-203.54769999999999</v>
      </c>
      <c r="H5847" s="1">
        <v>4.0990159999999997E-6</v>
      </c>
      <c r="I5847">
        <v>211.08430000000001</v>
      </c>
      <c r="J5847">
        <v>-214.1627</v>
      </c>
      <c r="K5847">
        <v>1.1096239999999999</v>
      </c>
      <c r="L5847">
        <v>215.2304</v>
      </c>
      <c r="M5847">
        <v>0.99779629999999997</v>
      </c>
      <c r="N5847">
        <v>0</v>
      </c>
      <c r="O5847">
        <v>-6.4919729999999995E-2</v>
      </c>
      <c r="P5847">
        <v>0.96319790000000005</v>
      </c>
      <c r="Q5847">
        <v>8.0533329999999993E-3</v>
      </c>
      <c r="R5847">
        <v>-0.26867269999999999</v>
      </c>
      <c r="S5847">
        <v>2.8159480000000001</v>
      </c>
      <c r="T5847">
        <v>-0.28833740000000002</v>
      </c>
      <c r="U5847">
        <v>-1.081467</v>
      </c>
      <c r="V5847">
        <v>0.20561679999999999</v>
      </c>
      <c r="W5847">
        <v>2.1012490000000002E-2</v>
      </c>
      <c r="X5847">
        <v>0.97840700000000003</v>
      </c>
      <c r="Y5847">
        <v>0.29610609999999998</v>
      </c>
      <c r="Z5847">
        <v>-8.222287E-3</v>
      </c>
      <c r="AA5847">
        <v>0.95511970000000002</v>
      </c>
      <c r="AB5847">
        <v>23</v>
      </c>
      <c r="AC5847">
        <v>10.615</v>
      </c>
      <c r="AD5847">
        <v>-1.109619900984</v>
      </c>
      <c r="AE5847">
        <v>-4.1460999999999899</v>
      </c>
      <c r="AF5847">
        <v>3.41578006549689</v>
      </c>
      <c r="AG5847">
        <v>-1.109619900984</v>
      </c>
      <c r="AH5847">
        <v>10.7597809687776</v>
      </c>
      <c r="AI5847">
        <v>95.613715836234306</v>
      </c>
      <c r="AJ5847">
        <v>72.3875354345045</v>
      </c>
      <c r="AK5847">
        <v>11.343354718802299</v>
      </c>
      <c r="AL5847">
        <v>88.795984425010303</v>
      </c>
      <c r="AM5847">
        <v>78.131733521385598</v>
      </c>
      <c r="AN5847">
        <v>1.0000000254136101</v>
      </c>
    </row>
    <row r="5848" spans="1:40" x14ac:dyDescent="0.25">
      <c r="A5848" t="str">
        <f>"20190312150810293"</f>
        <v>20190312150810293</v>
      </c>
      <c r="B5848" t="str">
        <f>"1552374490285783"</f>
        <v>1552374490285783</v>
      </c>
      <c r="C5848" t="s">
        <v>40</v>
      </c>
      <c r="D5848">
        <v>4.9279679999999999</v>
      </c>
      <c r="E5848">
        <v>0.52749840000000003</v>
      </c>
      <c r="F5848" t="s">
        <v>61</v>
      </c>
      <c r="G5848">
        <v>-198.8904</v>
      </c>
      <c r="H5848" s="1">
        <v>2.8134320000000001E-6</v>
      </c>
      <c r="I5848">
        <v>209.74529999999999</v>
      </c>
      <c r="J5848">
        <v>-213.8227</v>
      </c>
      <c r="K5848">
        <v>1.1096170000000001</v>
      </c>
      <c r="L5848">
        <v>215.2056</v>
      </c>
      <c r="M5848">
        <v>0.9976526</v>
      </c>
      <c r="N5848">
        <v>0</v>
      </c>
      <c r="O5848">
        <v>-6.7091059999999994E-2</v>
      </c>
      <c r="P5848">
        <v>0.96252230000000005</v>
      </c>
      <c r="Q5848">
        <v>6.7870379999999996E-3</v>
      </c>
      <c r="R5848">
        <v>-0.27111750000000001</v>
      </c>
      <c r="S5848">
        <v>2.8325499999999999</v>
      </c>
      <c r="T5848">
        <v>-0.20580080000000001</v>
      </c>
      <c r="U5848">
        <v>-1.0173190000000001</v>
      </c>
      <c r="V5848">
        <v>0.2059686</v>
      </c>
      <c r="W5848">
        <v>1.9739610000000001E-2</v>
      </c>
      <c r="X5848">
        <v>0.97835950000000005</v>
      </c>
      <c r="Y5848">
        <v>0.27362429999999999</v>
      </c>
      <c r="Z5848">
        <v>-4.9220459999999898E-3</v>
      </c>
      <c r="AA5848">
        <v>0.96182409999999996</v>
      </c>
      <c r="AB5848">
        <v>23</v>
      </c>
      <c r="AC5848">
        <v>14.9322999999999</v>
      </c>
      <c r="AD5848">
        <v>-1.109614186568</v>
      </c>
      <c r="AE5848">
        <v>-5.4603000000000099</v>
      </c>
      <c r="AF5848">
        <v>4.4245264721944801</v>
      </c>
      <c r="AG5848">
        <v>-1.109614186568</v>
      </c>
      <c r="AH5848">
        <v>15.191030653826401</v>
      </c>
      <c r="AI5848">
        <v>94.011582252760604</v>
      </c>
      <c r="AJ5848">
        <v>73.761316780807903</v>
      </c>
      <c r="AK5848">
        <v>15.861118827865701</v>
      </c>
      <c r="AL5848">
        <v>88.868930211308495</v>
      </c>
      <c r="AM5848">
        <v>78.111444080812305</v>
      </c>
      <c r="AN5848">
        <v>1.0000000138145799</v>
      </c>
    </row>
    <row r="5849" spans="1:40" x14ac:dyDescent="0.25">
      <c r="A5849" t="str">
        <f>"20190312150810315"</f>
        <v>20190312150810315</v>
      </c>
      <c r="B5849" t="str">
        <f>"1552374490306279"</f>
        <v>1552374490306279</v>
      </c>
      <c r="C5849" t="s">
        <v>40</v>
      </c>
      <c r="D5849">
        <v>4.8938189999999997</v>
      </c>
      <c r="E5849">
        <v>0.52808129999999998</v>
      </c>
      <c r="F5849" t="s">
        <v>61</v>
      </c>
      <c r="G5849">
        <v>-198.86240000000001</v>
      </c>
      <c r="H5849" s="1">
        <v>2.8160420000000001E-6</v>
      </c>
      <c r="I5849">
        <v>209.7723</v>
      </c>
      <c r="J5849">
        <v>-213.60159999999999</v>
      </c>
      <c r="K5849">
        <v>1.1095980000000001</v>
      </c>
      <c r="L5849">
        <v>215.18899999999999</v>
      </c>
      <c r="M5849">
        <v>0.99755360000000004</v>
      </c>
      <c r="N5849">
        <v>0</v>
      </c>
      <c r="O5849">
        <v>-6.8550029999999998E-2</v>
      </c>
      <c r="P5849">
        <v>0.96215079999999997</v>
      </c>
      <c r="Q5849">
        <v>5.8594540000000001E-3</v>
      </c>
      <c r="R5849">
        <v>-0.27245550000000002</v>
      </c>
      <c r="S5849">
        <v>2.8289029999999999</v>
      </c>
      <c r="T5849">
        <v>-0.2098209</v>
      </c>
      <c r="U5849">
        <v>-1.02739</v>
      </c>
      <c r="V5849">
        <v>0.20589640000000001</v>
      </c>
      <c r="W5849">
        <v>1.8800879999999999E-2</v>
      </c>
      <c r="X5849">
        <v>0.97839319999999996</v>
      </c>
      <c r="Y5849">
        <v>0.27561950000000002</v>
      </c>
      <c r="Z5849">
        <v>-4.9889130000000002E-3</v>
      </c>
      <c r="AA5849">
        <v>0.96125389999999999</v>
      </c>
      <c r="AB5849">
        <v>23</v>
      </c>
      <c r="AC5849">
        <v>14.739199999999901</v>
      </c>
      <c r="AD5849">
        <v>-1.1095951839579901</v>
      </c>
      <c r="AE5849">
        <v>-5.4167000000000103</v>
      </c>
      <c r="AF5849">
        <v>4.3716605726346396</v>
      </c>
      <c r="AG5849">
        <v>-1.1095951839579901</v>
      </c>
      <c r="AH5849">
        <v>15.0009718564973</v>
      </c>
      <c r="AI5849">
        <v>94.061989131073403</v>
      </c>
      <c r="AJ5849">
        <v>73.752548765632199</v>
      </c>
      <c r="AK5849">
        <v>15.664347234213601</v>
      </c>
      <c r="AL5849">
        <v>88.922725483237699</v>
      </c>
      <c r="AM5849">
        <v>78.115890664779002</v>
      </c>
      <c r="AN5849">
        <v>1.00000002721398</v>
      </c>
    </row>
    <row r="5850" spans="1:40" x14ac:dyDescent="0.25">
      <c r="A5850" t="str">
        <f>"20190312150810337"</f>
        <v>20190312150810337</v>
      </c>
      <c r="B5850" t="str">
        <f>"1552374490325799"</f>
        <v>1552374490325799</v>
      </c>
      <c r="C5850" t="s">
        <v>40</v>
      </c>
      <c r="D5850">
        <v>4.8614110000000004</v>
      </c>
      <c r="E5850">
        <v>0.52830390000000005</v>
      </c>
      <c r="F5850" t="s">
        <v>61</v>
      </c>
      <c r="G5850">
        <v>-199.73159999999999</v>
      </c>
      <c r="H5850" s="1">
        <v>2.632915E-6</v>
      </c>
      <c r="I5850">
        <v>210.10329999999999</v>
      </c>
      <c r="J5850">
        <v>-213.37819999999999</v>
      </c>
      <c r="K5850">
        <v>1.1095710000000001</v>
      </c>
      <c r="L5850">
        <v>215.17189999999999</v>
      </c>
      <c r="M5850">
        <v>0.99744679999999997</v>
      </c>
      <c r="N5850">
        <v>0</v>
      </c>
      <c r="O5850">
        <v>-7.0087159999999996E-2</v>
      </c>
      <c r="P5850">
        <v>0.96185960000000004</v>
      </c>
      <c r="Q5850">
        <v>5.8027159999999899E-3</v>
      </c>
      <c r="R5850">
        <v>-0.27348240000000001</v>
      </c>
      <c r="S5850">
        <v>2.825958</v>
      </c>
      <c r="T5850">
        <v>-0.2260761</v>
      </c>
      <c r="U5850">
        <v>-1.0361940000000001</v>
      </c>
      <c r="V5850">
        <v>0.20543449999999999</v>
      </c>
      <c r="W5850">
        <v>1.8726989999999999E-2</v>
      </c>
      <c r="X5850">
        <v>0.97849169999999996</v>
      </c>
      <c r="Y5850">
        <v>0.27702189999999999</v>
      </c>
      <c r="Z5850">
        <v>-5.3132090000000002E-3</v>
      </c>
      <c r="AA5850">
        <v>0.96084890000000001</v>
      </c>
      <c r="AB5850">
        <v>23</v>
      </c>
      <c r="AC5850">
        <v>13.646599999999999</v>
      </c>
      <c r="AD5850">
        <v>-1.1095683670849901</v>
      </c>
      <c r="AE5850">
        <v>-5.0686</v>
      </c>
      <c r="AF5850">
        <v>4.0759132846888297</v>
      </c>
      <c r="AG5850">
        <v>-1.1095683670849901</v>
      </c>
      <c r="AH5850">
        <v>13.8876324936745</v>
      </c>
      <c r="AI5850">
        <v>94.383867177336199</v>
      </c>
      <c r="AJ5850">
        <v>73.643441992383799</v>
      </c>
      <c r="AK5850">
        <v>14.5158722557379</v>
      </c>
      <c r="AL5850">
        <v>88.926959806508407</v>
      </c>
      <c r="AM5850">
        <v>78.1429552958827</v>
      </c>
      <c r="AN5850">
        <v>1.00000002045679</v>
      </c>
    </row>
    <row r="5851" spans="1:40" x14ac:dyDescent="0.25">
      <c r="A5851" t="str">
        <f>"20190312150810359"</f>
        <v>20190312150810359</v>
      </c>
      <c r="B5851" t="str">
        <f>"1552374490356055"</f>
        <v>1552374490356055</v>
      </c>
      <c r="C5851" t="s">
        <v>40</v>
      </c>
      <c r="D5851">
        <v>5.2722230000000003</v>
      </c>
      <c r="E5851">
        <v>0.52858169999999904</v>
      </c>
      <c r="F5851" t="s">
        <v>61</v>
      </c>
      <c r="G5851">
        <v>-199.9633</v>
      </c>
      <c r="H5851" s="1">
        <v>2.5845570000000001E-6</v>
      </c>
      <c r="I5851">
        <v>210.2259</v>
      </c>
      <c r="J5851">
        <v>-213.14959999999999</v>
      </c>
      <c r="K5851">
        <v>1.109518</v>
      </c>
      <c r="L5851">
        <v>215.15389999999999</v>
      </c>
      <c r="M5851">
        <v>0.99732699999999996</v>
      </c>
      <c r="N5851">
        <v>0</v>
      </c>
      <c r="O5851">
        <v>-7.1772310000000006E-2</v>
      </c>
      <c r="P5851">
        <v>0.9615051</v>
      </c>
      <c r="Q5851">
        <v>6.9487539999999997E-3</v>
      </c>
      <c r="R5851">
        <v>-0.27470020000000001</v>
      </c>
      <c r="S5851">
        <v>2.8243100000000001</v>
      </c>
      <c r="T5851">
        <v>-0.23360339999999999</v>
      </c>
      <c r="U5851">
        <v>-1.0413059999999901</v>
      </c>
      <c r="V5851">
        <v>0.20502670000000001</v>
      </c>
      <c r="W5851">
        <v>1.9841629999999999E-2</v>
      </c>
      <c r="X5851">
        <v>0.97855530000000002</v>
      </c>
      <c r="Y5851">
        <v>0.27707739999999997</v>
      </c>
      <c r="Z5851">
        <v>-5.3595769999999999E-3</v>
      </c>
      <c r="AA5851">
        <v>0.96083269999999998</v>
      </c>
      <c r="AB5851">
        <v>23</v>
      </c>
      <c r="AC5851">
        <v>13.1862999999999</v>
      </c>
      <c r="AD5851">
        <v>-1.109515415443</v>
      </c>
      <c r="AE5851">
        <v>-4.9279999999999902</v>
      </c>
      <c r="AF5851">
        <v>3.9442859822128802</v>
      </c>
      <c r="AG5851">
        <v>-1.109515415443</v>
      </c>
      <c r="AH5851">
        <v>13.422630303567701</v>
      </c>
      <c r="AI5851">
        <v>94.534458734927099</v>
      </c>
      <c r="AJ5851">
        <v>73.624393778720204</v>
      </c>
      <c r="AK5851">
        <v>14.034080683566</v>
      </c>
      <c r="AL5851">
        <v>88.863083799533598</v>
      </c>
      <c r="AM5851">
        <v>78.166575364458396</v>
      </c>
      <c r="AN5851">
        <v>1.0000000565760101</v>
      </c>
    </row>
    <row r="5852" spans="1:40" x14ac:dyDescent="0.25">
      <c r="A5852" t="str">
        <f>"20190312150810382"</f>
        <v>20190312150810382</v>
      </c>
      <c r="B5852" t="str">
        <f>"1552374490375575"</f>
        <v>1552374490375575</v>
      </c>
      <c r="C5852" t="s">
        <v>40</v>
      </c>
      <c r="D5852">
        <v>4.8662460000000003</v>
      </c>
      <c r="E5852">
        <v>0.52872680000000005</v>
      </c>
      <c r="F5852" t="s">
        <v>61</v>
      </c>
      <c r="G5852">
        <v>-199.74860000000001</v>
      </c>
      <c r="H5852" s="1">
        <v>2.6230729999999998E-6</v>
      </c>
      <c r="I5852">
        <v>210.1814</v>
      </c>
      <c r="J5852">
        <v>-212.9255</v>
      </c>
      <c r="K5852">
        <v>1.109429</v>
      </c>
      <c r="L5852">
        <v>215.13570000000001</v>
      </c>
      <c r="M5852">
        <v>0.99719539999999995</v>
      </c>
      <c r="N5852">
        <v>0</v>
      </c>
      <c r="O5852">
        <v>-7.3578959999999999E-2</v>
      </c>
      <c r="P5852">
        <v>0.96123139999999996</v>
      </c>
      <c r="Q5852">
        <v>7.2601849999999997E-3</v>
      </c>
      <c r="R5852">
        <v>-0.27564749999999999</v>
      </c>
      <c r="S5852">
        <v>2.8225709999999999</v>
      </c>
      <c r="T5852">
        <v>-0.2336906</v>
      </c>
      <c r="U5852">
        <v>-1.0473330000000001</v>
      </c>
      <c r="V5852">
        <v>0.20422380000000001</v>
      </c>
      <c r="W5852">
        <v>2.0110989999999999E-2</v>
      </c>
      <c r="X5852">
        <v>0.97871759999999997</v>
      </c>
      <c r="Y5852">
        <v>0.27733799999999997</v>
      </c>
      <c r="Z5852">
        <v>-5.2299579999999998E-3</v>
      </c>
      <c r="AA5852">
        <v>0.96075820000000001</v>
      </c>
      <c r="AB5852">
        <v>23</v>
      </c>
      <c r="AC5852">
        <v>13.1768999999999</v>
      </c>
      <c r="AD5852">
        <v>-1.1094263769270001</v>
      </c>
      <c r="AE5852">
        <v>-4.9543000000000097</v>
      </c>
      <c r="AF5852">
        <v>3.9467225953186098</v>
      </c>
      <c r="AG5852">
        <v>-1.1094263769270001</v>
      </c>
      <c r="AH5852">
        <v>13.4223788441048</v>
      </c>
      <c r="AI5852">
        <v>94.533952453591098</v>
      </c>
      <c r="AJ5852">
        <v>73.614529561954399</v>
      </c>
      <c r="AK5852">
        <v>14.034518159341699</v>
      </c>
      <c r="AL5852">
        <v>88.847647436624499</v>
      </c>
      <c r="AM5852">
        <v>78.213516931519095</v>
      </c>
      <c r="AN5852">
        <v>0.99999997647748895</v>
      </c>
    </row>
    <row r="5853" spans="1:40" x14ac:dyDescent="0.25">
      <c r="A5853" t="str">
        <f>"20190312150810405"</f>
        <v>20190312150810405</v>
      </c>
      <c r="B5853" t="str">
        <f>"1552374490396071"</f>
        <v>1552374490396071</v>
      </c>
      <c r="C5853" t="s">
        <v>40</v>
      </c>
      <c r="D5853">
        <v>4.9749829999999999</v>
      </c>
      <c r="E5853">
        <v>0.52912559999999997</v>
      </c>
      <c r="F5853" t="s">
        <v>61</v>
      </c>
      <c r="G5853">
        <v>-199.62289999999999</v>
      </c>
      <c r="H5853" s="1">
        <v>2.6455579999999998E-6</v>
      </c>
      <c r="I5853">
        <v>210.17930000000001</v>
      </c>
      <c r="J5853">
        <v>-212.69319999999999</v>
      </c>
      <c r="K5853">
        <v>1.109305</v>
      </c>
      <c r="L5853">
        <v>215.11619999999999</v>
      </c>
      <c r="M5853">
        <v>0.99703989999999998</v>
      </c>
      <c r="N5853">
        <v>0</v>
      </c>
      <c r="O5853">
        <v>-7.5655059999999996E-2</v>
      </c>
      <c r="P5853">
        <v>0.96091590000000005</v>
      </c>
      <c r="Q5853">
        <v>7.37537E-3</v>
      </c>
      <c r="R5853">
        <v>-0.27674290000000001</v>
      </c>
      <c r="S5853">
        <v>2.8213200000000001</v>
      </c>
      <c r="T5853">
        <v>-0.2352958</v>
      </c>
      <c r="U5853">
        <v>-1.051193</v>
      </c>
      <c r="V5853">
        <v>0.20330799999999999</v>
      </c>
      <c r="W5853">
        <v>2.016915E-2</v>
      </c>
      <c r="X5853">
        <v>0.97890710000000003</v>
      </c>
      <c r="Y5853">
        <v>0.27663169999999998</v>
      </c>
      <c r="Z5853">
        <v>-5.0725579999999996E-3</v>
      </c>
      <c r="AA5853">
        <v>0.96096269999999995</v>
      </c>
      <c r="AB5853">
        <v>22</v>
      </c>
      <c r="AC5853">
        <v>13.0703</v>
      </c>
      <c r="AD5853">
        <v>-1.109302354442</v>
      </c>
      <c r="AE5853">
        <v>-4.9368999999999801</v>
      </c>
      <c r="AF5853">
        <v>3.9091782998393199</v>
      </c>
      <c r="AG5853">
        <v>-1.109302354442</v>
      </c>
      <c r="AH5853">
        <v>13.3223880343633</v>
      </c>
      <c r="AI5853">
        <v>94.5680816977722</v>
      </c>
      <c r="AJ5853">
        <v>73.646768483089801</v>
      </c>
      <c r="AK5853">
        <v>13.928325442480601</v>
      </c>
      <c r="AL5853">
        <v>88.844314492845299</v>
      </c>
      <c r="AM5853">
        <v>78.267110804355298</v>
      </c>
      <c r="AN5853">
        <v>1.00000002395306</v>
      </c>
    </row>
    <row r="5854" spans="1:40" x14ac:dyDescent="0.25">
      <c r="A5854" t="str">
        <f>"20190312150810427"</f>
        <v>20190312150810427</v>
      </c>
      <c r="B5854" t="str">
        <f>"1552374490415591"</f>
        <v>1552374490415591</v>
      </c>
      <c r="C5854" t="s">
        <v>40</v>
      </c>
      <c r="D5854">
        <v>4.834905</v>
      </c>
      <c r="E5854">
        <v>0.52938180000000001</v>
      </c>
      <c r="F5854" t="s">
        <v>61</v>
      </c>
      <c r="G5854">
        <v>-199.46960000000001</v>
      </c>
      <c r="H5854" s="1">
        <v>2.674783E-6</v>
      </c>
      <c r="I5854">
        <v>210.15600000000001</v>
      </c>
      <c r="J5854">
        <v>-212.47669999999999</v>
      </c>
      <c r="K5854">
        <v>1.1091719999999901</v>
      </c>
      <c r="L5854">
        <v>215.09739999999999</v>
      </c>
      <c r="M5854">
        <v>0.9968747</v>
      </c>
      <c r="N5854">
        <v>0</v>
      </c>
      <c r="O5854">
        <v>-7.7802339999999998E-2</v>
      </c>
      <c r="P5854">
        <v>0.96030859999999996</v>
      </c>
      <c r="Q5854">
        <v>7.8688349999999994E-3</v>
      </c>
      <c r="R5854">
        <v>-0.27882960000000001</v>
      </c>
      <c r="S5854">
        <v>2.8192599999999999</v>
      </c>
      <c r="T5854">
        <v>-0.2365025</v>
      </c>
      <c r="U5854">
        <v>-1.05751</v>
      </c>
      <c r="V5854">
        <v>0.2033346</v>
      </c>
      <c r="W5854">
        <v>2.0597259999999999E-2</v>
      </c>
      <c r="X5854">
        <v>0.9788926</v>
      </c>
      <c r="Y5854">
        <v>0.27668110000000001</v>
      </c>
      <c r="Z5854">
        <v>-4.9298099999999997E-3</v>
      </c>
      <c r="AA5854">
        <v>0.96094919999999995</v>
      </c>
      <c r="AB5854">
        <v>22</v>
      </c>
      <c r="AC5854">
        <v>13.0070999999999</v>
      </c>
      <c r="AD5854">
        <v>-1.1091693252169901</v>
      </c>
      <c r="AE5854">
        <v>-4.9414000000000096</v>
      </c>
      <c r="AF5854">
        <v>3.8896242029115902</v>
      </c>
      <c r="AG5854">
        <v>-1.1091693252169901</v>
      </c>
      <c r="AH5854">
        <v>13.267842734497201</v>
      </c>
      <c r="AI5854">
        <v>94.586563712108003</v>
      </c>
      <c r="AJ5854">
        <v>73.660880160897605</v>
      </c>
      <c r="AK5854">
        <v>13.8706554949371</v>
      </c>
      <c r="AL5854">
        <v>88.819780429746899</v>
      </c>
      <c r="AM5854">
        <v>78.265449287204106</v>
      </c>
      <c r="AN5854">
        <v>0.99999996450571305</v>
      </c>
    </row>
    <row r="5855" spans="1:40" x14ac:dyDescent="0.25">
      <c r="A5855" t="str">
        <f>"20190312150810449"</f>
        <v>20190312150810449</v>
      </c>
      <c r="B5855" t="str">
        <f>"1552374490445848"</f>
        <v>1552374490445848</v>
      </c>
      <c r="C5855" t="s">
        <v>40</v>
      </c>
      <c r="D5855">
        <v>4.8192539999999999</v>
      </c>
      <c r="E5855">
        <v>0.54321160000000002</v>
      </c>
      <c r="F5855" t="s">
        <v>61</v>
      </c>
      <c r="G5855">
        <v>-199.0162</v>
      </c>
      <c r="H5855" s="1">
        <v>2.7683580000000002E-6</v>
      </c>
      <c r="I5855">
        <v>210.00559999999999</v>
      </c>
      <c r="J5855">
        <v>-212.25710000000001</v>
      </c>
      <c r="K5855">
        <v>1.109043</v>
      </c>
      <c r="L5855">
        <v>215.07749999999999</v>
      </c>
      <c r="M5855">
        <v>0.99668769999999995</v>
      </c>
      <c r="N5855">
        <v>0</v>
      </c>
      <c r="O5855">
        <v>-8.0160629999999997E-2</v>
      </c>
      <c r="P5855">
        <v>0.95924909999999997</v>
      </c>
      <c r="Q5855">
        <v>8.7303080000000009E-3</v>
      </c>
      <c r="R5855">
        <v>-0.28242699999999998</v>
      </c>
      <c r="S5855">
        <v>2.816513</v>
      </c>
      <c r="T5855">
        <v>-0.23208529999999999</v>
      </c>
      <c r="U5855">
        <v>-1.0654140000000001</v>
      </c>
      <c r="V5855">
        <v>0.2046982</v>
      </c>
      <c r="W5855">
        <v>2.1387679999999999E-2</v>
      </c>
      <c r="X5855">
        <v>0.9785914</v>
      </c>
      <c r="Y5855">
        <v>0.2771053</v>
      </c>
      <c r="Z5855">
        <v>-4.6713750000000002E-3</v>
      </c>
      <c r="AA5855">
        <v>0.96082820000000002</v>
      </c>
      <c r="AB5855">
        <v>22</v>
      </c>
      <c r="AC5855">
        <v>13.2409</v>
      </c>
      <c r="AD5855">
        <v>-1.1090402316419901</v>
      </c>
      <c r="AE5855">
        <v>-5.0718999999999896</v>
      </c>
      <c r="AF5855">
        <v>3.96979007783106</v>
      </c>
      <c r="AG5855">
        <v>-1.1090402316419901</v>
      </c>
      <c r="AH5855">
        <v>13.5221603423745</v>
      </c>
      <c r="AI5855">
        <v>94.499635980425694</v>
      </c>
      <c r="AJ5855">
        <v>73.638994568304696</v>
      </c>
      <c r="AK5855">
        <v>14.1364077410894</v>
      </c>
      <c r="AL5855">
        <v>88.774482705687802</v>
      </c>
      <c r="AM5855">
        <v>78.185425497726698</v>
      </c>
      <c r="AN5855">
        <v>0.99999995704649003</v>
      </c>
    </row>
    <row r="5856" spans="1:40" x14ac:dyDescent="0.25">
      <c r="A5856" t="str">
        <f>"20190312150810472"</f>
        <v>20190312150810472</v>
      </c>
      <c r="B5856" t="str">
        <f>"1552374490466343"</f>
        <v>1552374490466343</v>
      </c>
      <c r="C5856" t="s">
        <v>40</v>
      </c>
      <c r="D5856">
        <v>4.8035399999999999</v>
      </c>
      <c r="E5856">
        <v>0.53489960000000003</v>
      </c>
      <c r="F5856" t="s">
        <v>61</v>
      </c>
      <c r="G5856">
        <v>-200.73580000000001</v>
      </c>
      <c r="H5856" s="1">
        <v>2.9310189999999999E-6</v>
      </c>
      <c r="I5856">
        <v>210.18100000000001</v>
      </c>
      <c r="J5856">
        <v>-212.02869999999999</v>
      </c>
      <c r="K5856">
        <v>1.108927</v>
      </c>
      <c r="L5856">
        <v>215.05609999999999</v>
      </c>
      <c r="M5856">
        <v>0.99647129999999995</v>
      </c>
      <c r="N5856">
        <v>0</v>
      </c>
      <c r="O5856">
        <v>-8.2804790000000003E-2</v>
      </c>
      <c r="P5856">
        <v>0.95801539999999996</v>
      </c>
      <c r="Q5856">
        <v>9.1683679999999997E-3</v>
      </c>
      <c r="R5856">
        <v>-0.2865704</v>
      </c>
      <c r="S5856">
        <v>2.7817989999999999</v>
      </c>
      <c r="T5856">
        <v>-0.26777390000000001</v>
      </c>
      <c r="U5856">
        <v>-1.182266</v>
      </c>
      <c r="V5856">
        <v>0.20633960000000001</v>
      </c>
      <c r="W5856">
        <v>2.1759529999999999E-2</v>
      </c>
      <c r="X5856">
        <v>0.97823850000000001</v>
      </c>
      <c r="Y5856">
        <v>0.31268950000000001</v>
      </c>
      <c r="Z5856">
        <v>-6.809084E-3</v>
      </c>
      <c r="AA5856">
        <v>0.94983099999999998</v>
      </c>
      <c r="AB5856">
        <v>22</v>
      </c>
      <c r="AC5856">
        <v>11.2928999999999</v>
      </c>
      <c r="AD5856">
        <v>-1.108924068981</v>
      </c>
      <c r="AE5856">
        <v>-4.8750999999999998</v>
      </c>
      <c r="AF5856">
        <v>3.8915306604609201</v>
      </c>
      <c r="AG5856">
        <v>-1.108924068981</v>
      </c>
      <c r="AH5856">
        <v>11.5638409463598</v>
      </c>
      <c r="AI5856">
        <v>95.193193270525299</v>
      </c>
      <c r="AJ5856">
        <v>71.400586499456693</v>
      </c>
      <c r="AK5856">
        <v>12.251373021207799</v>
      </c>
      <c r="AL5856">
        <v>88.753172406869993</v>
      </c>
      <c r="AM5856">
        <v>78.089209821051895</v>
      </c>
      <c r="AN5856">
        <v>1.00000003527811</v>
      </c>
    </row>
    <row r="5857" spans="1:40" x14ac:dyDescent="0.25">
      <c r="A5857" t="str">
        <f>"20190312150810494"</f>
        <v>20190312150810494</v>
      </c>
      <c r="B5857" t="str">
        <f>"1552374490485864"</f>
        <v>1552374490485864</v>
      </c>
      <c r="C5857" t="s">
        <v>40</v>
      </c>
      <c r="D5857">
        <v>5.009741</v>
      </c>
      <c r="E5857">
        <v>0.53467299999999995</v>
      </c>
      <c r="F5857" t="s">
        <v>61</v>
      </c>
      <c r="G5857">
        <v>-199.8895</v>
      </c>
      <c r="H5857" s="1">
        <v>2.600971E-6</v>
      </c>
      <c r="I5857">
        <v>210.14840000000001</v>
      </c>
      <c r="J5857">
        <v>-211.8038</v>
      </c>
      <c r="K5857">
        <v>1.1088290000000001</v>
      </c>
      <c r="L5857">
        <v>215.0343</v>
      </c>
      <c r="M5857">
        <v>0.99623629999999996</v>
      </c>
      <c r="N5857">
        <v>0</v>
      </c>
      <c r="O5857">
        <v>-8.5587170000000004E-2</v>
      </c>
      <c r="P5857">
        <v>0.95653480000000002</v>
      </c>
      <c r="Q5857">
        <v>8.2949630000000007E-3</v>
      </c>
      <c r="R5857">
        <v>-0.29150029999999999</v>
      </c>
      <c r="S5857">
        <v>2.7958069999999999</v>
      </c>
      <c r="T5857">
        <v>-0.25539729999999999</v>
      </c>
      <c r="U5857">
        <v>-1.130295</v>
      </c>
      <c r="V5857">
        <v>0.20864640000000001</v>
      </c>
      <c r="W5857">
        <v>2.0823709999999999E-2</v>
      </c>
      <c r="X5857">
        <v>0.97776940000000001</v>
      </c>
      <c r="Y5857">
        <v>0.29334169999999998</v>
      </c>
      <c r="Z5857">
        <v>-5.39611E-3</v>
      </c>
      <c r="AA5857">
        <v>0.95599250000000002</v>
      </c>
      <c r="AB5857">
        <v>22</v>
      </c>
      <c r="AC5857">
        <v>11.9142999999999</v>
      </c>
      <c r="AD5857">
        <v>-1.1088263990289999</v>
      </c>
      <c r="AE5857">
        <v>-4.8858999999999897</v>
      </c>
      <c r="AF5857">
        <v>3.8198392951179798</v>
      </c>
      <c r="AG5857">
        <v>-1.1088263990289999</v>
      </c>
      <c r="AH5857">
        <v>12.1983392150531</v>
      </c>
      <c r="AI5857">
        <v>94.957774665096096</v>
      </c>
      <c r="AJ5857">
        <v>72.6123548804498</v>
      </c>
      <c r="AK5857">
        <v>12.830438333479201</v>
      </c>
      <c r="AL5857">
        <v>88.806803027084896</v>
      </c>
      <c r="AM5857">
        <v>77.954308941914604</v>
      </c>
      <c r="AN5857">
        <v>0.99999997335374102</v>
      </c>
    </row>
    <row r="5858" spans="1:40" x14ac:dyDescent="0.25">
      <c r="A5858" t="str">
        <f>"20190312150810516"</f>
        <v>20190312150810516</v>
      </c>
      <c r="B5858" t="str">
        <f>"1552374490506361"</f>
        <v>1552374490506361</v>
      </c>
      <c r="C5858" t="s">
        <v>40</v>
      </c>
      <c r="D5858">
        <v>4.7763869999999997</v>
      </c>
      <c r="E5858">
        <v>0.53513219999999995</v>
      </c>
      <c r="F5858" t="s">
        <v>61</v>
      </c>
      <c r="G5858">
        <v>-199.38570000000001</v>
      </c>
      <c r="H5858" s="1">
        <v>2.7078999999999999E-6</v>
      </c>
      <c r="I5858">
        <v>209.94739999999999</v>
      </c>
      <c r="J5858">
        <v>-211.5856</v>
      </c>
      <c r="K5858">
        <v>1.1087480000000001</v>
      </c>
      <c r="L5858">
        <v>215.01230000000001</v>
      </c>
      <c r="M5858">
        <v>0.99598750000000003</v>
      </c>
      <c r="N5858">
        <v>0</v>
      </c>
      <c r="O5858">
        <v>-8.8435459999999994E-2</v>
      </c>
      <c r="P5858">
        <v>0.95528599999999997</v>
      </c>
      <c r="Q5858">
        <v>7.7506959999999996E-3</v>
      </c>
      <c r="R5858">
        <v>-0.29558220000000002</v>
      </c>
      <c r="S5858">
        <v>2.7901760000000002</v>
      </c>
      <c r="T5858">
        <v>-0.24913769999999999</v>
      </c>
      <c r="U5858">
        <v>-1.142944</v>
      </c>
      <c r="V5858">
        <v>0.2100273</v>
      </c>
      <c r="W5858">
        <v>2.0231599999999999E-2</v>
      </c>
      <c r="X5858">
        <v>0.97748619999999997</v>
      </c>
      <c r="Y5858">
        <v>0.29503430000000003</v>
      </c>
      <c r="Z5858">
        <v>-5.1014049999999998E-3</v>
      </c>
      <c r="AA5858">
        <v>0.95547309999999996</v>
      </c>
      <c r="AB5858">
        <v>22</v>
      </c>
      <c r="AC5858">
        <v>12.1998999999999</v>
      </c>
      <c r="AD5858">
        <v>-1.1087452920999901</v>
      </c>
      <c r="AE5858">
        <v>-5.0649000000000202</v>
      </c>
      <c r="AF5858">
        <v>3.9383003115555399</v>
      </c>
      <c r="AG5858">
        <v>-1.1087452920999901</v>
      </c>
      <c r="AH5858">
        <v>12.511901162417301</v>
      </c>
      <c r="AI5858">
        <v>94.831544818895694</v>
      </c>
      <c r="AJ5858">
        <v>72.527856999818994</v>
      </c>
      <c r="AK5858">
        <v>13.163859470719499</v>
      </c>
      <c r="AL5858">
        <v>88.840735645686294</v>
      </c>
      <c r="AM5858">
        <v>77.873528475065896</v>
      </c>
      <c r="AN5858">
        <v>1.0000000277871399</v>
      </c>
    </row>
    <row r="5859" spans="1:40" x14ac:dyDescent="0.25">
      <c r="A5859" t="str">
        <f>"20190312150810538"</f>
        <v>20190312150810538</v>
      </c>
      <c r="B5859" t="str">
        <f>"1552374490525880"</f>
        <v>1552374490525880</v>
      </c>
      <c r="C5859" t="s">
        <v>40</v>
      </c>
      <c r="D5859">
        <v>4.7414389999999997</v>
      </c>
      <c r="E5859">
        <v>0.53524309999999997</v>
      </c>
      <c r="F5859" t="s">
        <v>61</v>
      </c>
      <c r="G5859">
        <v>-199.52109999999999</v>
      </c>
      <c r="H5859" s="1">
        <v>2.679934E-6</v>
      </c>
      <c r="I5859">
        <v>209.99260000000001</v>
      </c>
      <c r="J5859">
        <v>-211.36590000000001</v>
      </c>
      <c r="K5859">
        <v>1.1086720000000001</v>
      </c>
      <c r="L5859">
        <v>214.98939999999999</v>
      </c>
      <c r="M5859">
        <v>0.99571799999999999</v>
      </c>
      <c r="N5859">
        <v>0</v>
      </c>
      <c r="O5859">
        <v>-9.141821E-2</v>
      </c>
      <c r="P5859">
        <v>0.95413919999999997</v>
      </c>
      <c r="Q5859">
        <v>7.782186E-3</v>
      </c>
      <c r="R5859">
        <v>-0.2992629</v>
      </c>
      <c r="S5859">
        <v>2.784103</v>
      </c>
      <c r="T5859">
        <v>-0.25586439999999999</v>
      </c>
      <c r="U5859">
        <v>-1.158401</v>
      </c>
      <c r="V5859">
        <v>0.21087120000000001</v>
      </c>
      <c r="W5859">
        <v>2.0225400000000001E-2</v>
      </c>
      <c r="X5859">
        <v>0.97730459999999997</v>
      </c>
      <c r="Y5859">
        <v>0.29739700000000002</v>
      </c>
      <c r="Z5859">
        <v>-5.088792E-3</v>
      </c>
      <c r="AA5859">
        <v>0.95474029999999999</v>
      </c>
      <c r="AB5859">
        <v>22</v>
      </c>
      <c r="AC5859">
        <v>11.844799999999999</v>
      </c>
      <c r="AD5859">
        <v>-1.1086693200659901</v>
      </c>
      <c r="AE5859">
        <v>-4.9967999999999702</v>
      </c>
      <c r="AF5859">
        <v>3.8642006320996098</v>
      </c>
      <c r="AG5859">
        <v>-1.1086693200659901</v>
      </c>
      <c r="AH5859">
        <v>12.1615833968284</v>
      </c>
      <c r="AI5859">
        <v>94.965466529356704</v>
      </c>
      <c r="AJ5859">
        <v>72.372955157509395</v>
      </c>
      <c r="AK5859">
        <v>12.8087979492374</v>
      </c>
      <c r="AL5859">
        <v>88.841090926364799</v>
      </c>
      <c r="AM5859">
        <v>77.824059589246104</v>
      </c>
      <c r="AN5859">
        <v>1.0000000054878799</v>
      </c>
    </row>
    <row r="5860" spans="1:40" x14ac:dyDescent="0.25">
      <c r="A5860" t="str">
        <f>"20190312150810561"</f>
        <v>20190312150810561</v>
      </c>
      <c r="B5860" t="str">
        <f>"1552374490556139"</f>
        <v>1552374490556139</v>
      </c>
      <c r="C5860" t="s">
        <v>40</v>
      </c>
      <c r="D5860">
        <v>4.7790429999999997</v>
      </c>
      <c r="E5860">
        <v>0.53529399999999905</v>
      </c>
      <c r="F5860" t="s">
        <v>61</v>
      </c>
      <c r="G5860">
        <v>-199.4315</v>
      </c>
      <c r="H5860" s="1">
        <v>2.6981629999999999E-6</v>
      </c>
      <c r="I5860">
        <v>209.9659</v>
      </c>
      <c r="J5860">
        <v>-211.1421</v>
      </c>
      <c r="K5860">
        <v>1.1086210000000001</v>
      </c>
      <c r="L5860">
        <v>214.96530000000001</v>
      </c>
      <c r="M5860">
        <v>0.99542609999999998</v>
      </c>
      <c r="N5860">
        <v>0</v>
      </c>
      <c r="O5860">
        <v>-9.4542899999999999E-2</v>
      </c>
      <c r="P5860">
        <v>0.95296309999999995</v>
      </c>
      <c r="Q5860">
        <v>8.4850859999999993E-3</v>
      </c>
      <c r="R5860">
        <v>-0.3029676</v>
      </c>
      <c r="S5860">
        <v>2.7793580000000002</v>
      </c>
      <c r="T5860">
        <v>-0.25819360000000002</v>
      </c>
      <c r="U5860">
        <v>-1.1699219999999999</v>
      </c>
      <c r="V5860">
        <v>0.21160780000000001</v>
      </c>
      <c r="W5860">
        <v>2.089713E-2</v>
      </c>
      <c r="X5860">
        <v>0.97713119999999998</v>
      </c>
      <c r="Y5860">
        <v>0.29833969999999999</v>
      </c>
      <c r="Z5860">
        <v>-4.9069259999999998E-3</v>
      </c>
      <c r="AA5860">
        <v>0.95444720000000005</v>
      </c>
      <c r="AB5860">
        <v>22</v>
      </c>
      <c r="AC5860">
        <v>11.710599999999999</v>
      </c>
      <c r="AD5860">
        <v>-1.1086183018369999</v>
      </c>
      <c r="AE5860">
        <v>-4.9993999999999996</v>
      </c>
      <c r="AF5860">
        <v>3.8406302356827502</v>
      </c>
      <c r="AG5860">
        <v>-1.1086183018369999</v>
      </c>
      <c r="AH5860">
        <v>12.039572795224499</v>
      </c>
      <c r="AI5860">
        <v>95.013481871107302</v>
      </c>
      <c r="AJ5860">
        <v>72.307288990287603</v>
      </c>
      <c r="AK5860">
        <v>12.685849921779701</v>
      </c>
      <c r="AL5860">
        <v>88.802595447100799</v>
      </c>
      <c r="AM5860">
        <v>77.780699991177599</v>
      </c>
      <c r="AN5860">
        <v>0.99999996653825696</v>
      </c>
    </row>
    <row r="5861" spans="1:40" x14ac:dyDescent="0.25">
      <c r="A5861" t="str">
        <f>"20190312150810583"</f>
        <v>20190312150810583</v>
      </c>
      <c r="B5861" t="str">
        <f>"1552374490575660"</f>
        <v>1552374490575660</v>
      </c>
      <c r="C5861" t="s">
        <v>40</v>
      </c>
      <c r="D5861">
        <v>4.7911830000000002</v>
      </c>
      <c r="E5861">
        <v>0.53533549999999996</v>
      </c>
      <c r="F5861" t="s">
        <v>61</v>
      </c>
      <c r="G5861">
        <v>-199.25700000000001</v>
      </c>
      <c r="H5861" s="1">
        <v>2.7342980000000002E-6</v>
      </c>
      <c r="I5861">
        <v>209.9067</v>
      </c>
      <c r="J5861">
        <v>-210.92359999999999</v>
      </c>
      <c r="K5861">
        <v>1.1085910000000001</v>
      </c>
      <c r="L5861">
        <v>214.941</v>
      </c>
      <c r="M5861">
        <v>0.99512639999999997</v>
      </c>
      <c r="N5861">
        <v>0</v>
      </c>
      <c r="O5861">
        <v>-9.7647940000000003E-2</v>
      </c>
      <c r="P5861">
        <v>0.95176669999999997</v>
      </c>
      <c r="Q5861">
        <v>8.7148750000000004E-3</v>
      </c>
      <c r="R5861">
        <v>-0.30669930000000001</v>
      </c>
      <c r="S5861">
        <v>2.7748719999999998</v>
      </c>
      <c r="T5861">
        <v>-0.25883479999999998</v>
      </c>
      <c r="U5861">
        <v>-1.1810609999999999</v>
      </c>
      <c r="V5861">
        <v>0.21239130000000001</v>
      </c>
      <c r="W5861">
        <v>2.1103549999999999E-2</v>
      </c>
      <c r="X5861">
        <v>0.97695679999999996</v>
      </c>
      <c r="Y5861">
        <v>0.29916670000000001</v>
      </c>
      <c r="Z5861">
        <v>-4.6865530000000004E-3</v>
      </c>
      <c r="AA5861">
        <v>0.95418939999999997</v>
      </c>
      <c r="AB5861">
        <v>22</v>
      </c>
      <c r="AC5861">
        <v>11.666599999999899</v>
      </c>
      <c r="AD5861">
        <v>-1.1085882657020001</v>
      </c>
      <c r="AE5861">
        <v>-5.0342999999999698</v>
      </c>
      <c r="AF5861">
        <v>3.8416675476459901</v>
      </c>
      <c r="AG5861">
        <v>-1.1085882657020001</v>
      </c>
      <c r="AH5861">
        <v>12.0110436173288</v>
      </c>
      <c r="AI5861">
        <v>95.023970777406205</v>
      </c>
      <c r="AJ5861">
        <v>72.2634049884322</v>
      </c>
      <c r="AK5861">
        <v>12.659089472267</v>
      </c>
      <c r="AL5861">
        <v>88.790765891530896</v>
      </c>
      <c r="AM5861">
        <v>77.734700597354106</v>
      </c>
      <c r="AN5861">
        <v>1.0000000066022601</v>
      </c>
    </row>
    <row r="5862" spans="1:40" x14ac:dyDescent="0.25">
      <c r="A5862" t="str">
        <f>"20190312150810606"</f>
        <v>20190312150810606</v>
      </c>
      <c r="B5862" t="str">
        <f>"1552374490596152"</f>
        <v>1552374490596152</v>
      </c>
      <c r="C5862" t="s">
        <v>40</v>
      </c>
      <c r="D5862">
        <v>4.784192</v>
      </c>
      <c r="E5862">
        <v>0.53535880000000002</v>
      </c>
      <c r="F5862" t="s">
        <v>61</v>
      </c>
      <c r="G5862">
        <v>-199.0693</v>
      </c>
      <c r="H5862" s="1">
        <v>2.7734450000000002E-6</v>
      </c>
      <c r="I5862">
        <v>209.83959999999999</v>
      </c>
      <c r="J5862">
        <v>-210.7003</v>
      </c>
      <c r="K5862">
        <v>1.1085739999999999</v>
      </c>
      <c r="L5862">
        <v>214.9153</v>
      </c>
      <c r="M5862">
        <v>0.99480630000000003</v>
      </c>
      <c r="N5862">
        <v>0</v>
      </c>
      <c r="O5862">
        <v>-0.1008569</v>
      </c>
      <c r="P5862">
        <v>0.95049969999999995</v>
      </c>
      <c r="Q5862">
        <v>9.4249480000000007E-3</v>
      </c>
      <c r="R5862">
        <v>-0.31058350000000001</v>
      </c>
      <c r="S5862">
        <v>2.7702640000000001</v>
      </c>
      <c r="T5862">
        <v>-0.25906980000000002</v>
      </c>
      <c r="U5862">
        <v>-1.1921539999999999</v>
      </c>
      <c r="V5862">
        <v>0.21323510000000001</v>
      </c>
      <c r="W5862">
        <v>2.1799570000000001E-2</v>
      </c>
      <c r="X5862">
        <v>0.97675769999999995</v>
      </c>
      <c r="Y5862">
        <v>0.29989729999999998</v>
      </c>
      <c r="Z5862">
        <v>-4.4446219999999996E-3</v>
      </c>
      <c r="AA5862">
        <v>0.95396110000000001</v>
      </c>
      <c r="AB5862">
        <v>22</v>
      </c>
      <c r="AC5862">
        <v>11.630999999999901</v>
      </c>
      <c r="AD5862">
        <v>-1.1085712265549901</v>
      </c>
      <c r="AE5862">
        <v>-5.0757000000000101</v>
      </c>
      <c r="AF5862">
        <v>3.84727789631566</v>
      </c>
      <c r="AG5862">
        <v>-1.1085712265549901</v>
      </c>
      <c r="AH5862">
        <v>11.9921363637515</v>
      </c>
      <c r="AI5862">
        <v>95.0303606069848</v>
      </c>
      <c r="AJ5862">
        <v>72.212890320374697</v>
      </c>
      <c r="AK5862">
        <v>12.6428561623802</v>
      </c>
      <c r="AL5862">
        <v>88.750877716574095</v>
      </c>
      <c r="AM5862">
        <v>77.685022725142602</v>
      </c>
      <c r="AN5862">
        <v>1.00000001681674</v>
      </c>
    </row>
    <row r="5863" spans="1:40" x14ac:dyDescent="0.25">
      <c r="A5863" t="str">
        <f>"20190312150810628"</f>
        <v>20190312150810628</v>
      </c>
      <c r="B5863" t="str">
        <f>"1552374490615672"</f>
        <v>1552374490615672</v>
      </c>
      <c r="C5863" t="s">
        <v>40</v>
      </c>
      <c r="D5863">
        <v>4.752224</v>
      </c>
      <c r="E5863">
        <v>0.53553660000000003</v>
      </c>
      <c r="F5863" t="s">
        <v>61</v>
      </c>
      <c r="G5863">
        <v>-198.80619999999999</v>
      </c>
      <c r="H5863" s="1">
        <v>2.8289269999999998E-6</v>
      </c>
      <c r="I5863">
        <v>209.7388</v>
      </c>
      <c r="J5863">
        <v>-210.48009999999999</v>
      </c>
      <c r="K5863">
        <v>1.1085799999999999</v>
      </c>
      <c r="L5863">
        <v>214.88919999999999</v>
      </c>
      <c r="M5863">
        <v>0.9944788</v>
      </c>
      <c r="N5863">
        <v>0</v>
      </c>
      <c r="O5863">
        <v>-0.104035</v>
      </c>
      <c r="P5863">
        <v>0.9490866</v>
      </c>
      <c r="Q5863">
        <v>9.7269999999999995E-3</v>
      </c>
      <c r="R5863">
        <v>-0.31486540000000002</v>
      </c>
      <c r="S5863">
        <v>2.7655029999999998</v>
      </c>
      <c r="T5863">
        <v>-0.2577546</v>
      </c>
      <c r="U5863">
        <v>-1.2035830000000001</v>
      </c>
      <c r="V5863">
        <v>0.2145194</v>
      </c>
      <c r="W5863">
        <v>2.2093229999999998E-2</v>
      </c>
      <c r="X5863">
        <v>0.97646980000000005</v>
      </c>
      <c r="Y5863">
        <v>0.30078059999999901</v>
      </c>
      <c r="Z5863">
        <v>-4.1866450000000001E-3</v>
      </c>
      <c r="AA5863">
        <v>0.95368419999999998</v>
      </c>
      <c r="AB5863">
        <v>22</v>
      </c>
      <c r="AC5863">
        <v>11.6739</v>
      </c>
      <c r="AD5863">
        <v>-1.1085771710729999</v>
      </c>
      <c r="AE5863">
        <v>-5.1503999999999897</v>
      </c>
      <c r="AF5863">
        <v>3.8785607515993399</v>
      </c>
      <c r="AG5863">
        <v>-1.1085771710729999</v>
      </c>
      <c r="AH5863">
        <v>12.055413459907101</v>
      </c>
      <c r="AI5863">
        <v>95.002797432520694</v>
      </c>
      <c r="AJ5863">
        <v>72.165577219703906</v>
      </c>
      <c r="AK5863">
        <v>12.7124022331493</v>
      </c>
      <c r="AL5863">
        <v>88.734048134420306</v>
      </c>
      <c r="AM5863">
        <v>77.609594275910595</v>
      </c>
      <c r="AN5863">
        <v>0.99999997705011601</v>
      </c>
    </row>
    <row r="5864" spans="1:40" x14ac:dyDescent="0.25">
      <c r="A5864" t="str">
        <f>"20190312150810650"</f>
        <v>20190312150810650</v>
      </c>
      <c r="B5864" t="str">
        <f>"1552374490645928"</f>
        <v>1552374490645928</v>
      </c>
      <c r="C5864" t="s">
        <v>40</v>
      </c>
      <c r="D5864">
        <v>4.7668290000000004</v>
      </c>
      <c r="E5864">
        <v>0.53547159999999905</v>
      </c>
      <c r="F5864" t="s">
        <v>61</v>
      </c>
      <c r="G5864">
        <v>-198.63579999999999</v>
      </c>
      <c r="H5864" s="1">
        <v>2.8657669999999999E-6</v>
      </c>
      <c r="I5864">
        <v>209.66309999999999</v>
      </c>
      <c r="J5864">
        <v>-210.25790000000001</v>
      </c>
      <c r="K5864">
        <v>1.1086049999999901</v>
      </c>
      <c r="L5864">
        <v>214.8622</v>
      </c>
      <c r="M5864">
        <v>0.99413859999999998</v>
      </c>
      <c r="N5864">
        <v>0</v>
      </c>
      <c r="O5864">
        <v>-0.10723779999999999</v>
      </c>
      <c r="P5864">
        <v>0.94766850000000002</v>
      </c>
      <c r="Q5864">
        <v>1.0257540000000001E-2</v>
      </c>
      <c r="R5864">
        <v>-0.31909179999999998</v>
      </c>
      <c r="S5864">
        <v>2.7596129999999999</v>
      </c>
      <c r="T5864">
        <v>-0.25829020000000003</v>
      </c>
      <c r="U5864">
        <v>-1.2176359999999999</v>
      </c>
      <c r="V5864">
        <v>0.21572759999999999</v>
      </c>
      <c r="W5864">
        <v>2.2623339999999999E-2</v>
      </c>
      <c r="X5864">
        <v>0.97619149999999999</v>
      </c>
      <c r="Y5864">
        <v>0.30252770000000001</v>
      </c>
      <c r="Z5864">
        <v>-3.9964140000000002E-3</v>
      </c>
      <c r="AA5864">
        <v>0.95313219999999998</v>
      </c>
      <c r="AB5864">
        <v>22</v>
      </c>
      <c r="AC5864">
        <v>11.6221</v>
      </c>
      <c r="AD5864">
        <v>-1.1086021342329999</v>
      </c>
      <c r="AE5864">
        <v>-5.1991000000000103</v>
      </c>
      <c r="AF5864">
        <v>3.8931511589771799</v>
      </c>
      <c r="AG5864">
        <v>-1.1086021342329999</v>
      </c>
      <c r="AH5864">
        <v>12.0215181704696</v>
      </c>
      <c r="AI5864">
        <v>95.013850010462505</v>
      </c>
      <c r="AJ5864">
        <v>72.055529401102405</v>
      </c>
      <c r="AK5864">
        <v>12.6847358569898</v>
      </c>
      <c r="AL5864">
        <v>88.703667540289004</v>
      </c>
      <c r="AM5864">
        <v>77.538542245427607</v>
      </c>
      <c r="AN5864">
        <v>1.0000000287933799</v>
      </c>
    </row>
    <row r="5865" spans="1:40" x14ac:dyDescent="0.25">
      <c r="A5865" t="str">
        <f>"20190312150810673"</f>
        <v>20190312150810673</v>
      </c>
      <c r="B5865" t="str">
        <f>"1552374490666428"</f>
        <v>1552374490666428</v>
      </c>
      <c r="C5865" t="s">
        <v>40</v>
      </c>
      <c r="D5865">
        <v>4.7610070000000002</v>
      </c>
      <c r="E5865">
        <v>0.53543030000000003</v>
      </c>
      <c r="F5865" t="s">
        <v>61</v>
      </c>
      <c r="G5865">
        <v>-198.48609999999999</v>
      </c>
      <c r="H5865" s="1">
        <v>2.898497E-6</v>
      </c>
      <c r="I5865">
        <v>209.60849999999999</v>
      </c>
      <c r="J5865">
        <v>-210.03579999999999</v>
      </c>
      <c r="K5865">
        <v>1.108636</v>
      </c>
      <c r="L5865">
        <v>214.83439999999999</v>
      </c>
      <c r="M5865">
        <v>0.99378940000000004</v>
      </c>
      <c r="N5865">
        <v>0</v>
      </c>
      <c r="O5865">
        <v>-0.1104276</v>
      </c>
      <c r="P5865">
        <v>0.94628860000000004</v>
      </c>
      <c r="Q5865">
        <v>1.0239069999999999E-2</v>
      </c>
      <c r="R5865">
        <v>-0.32316119999999998</v>
      </c>
      <c r="S5865">
        <v>2.7545320000000002</v>
      </c>
      <c r="T5865">
        <v>-0.259405</v>
      </c>
      <c r="U5865">
        <v>-1.2293240000000001</v>
      </c>
      <c r="V5865">
        <v>0.2167886</v>
      </c>
      <c r="W5865">
        <v>2.2608570000000001E-2</v>
      </c>
      <c r="X5865">
        <v>0.97595670000000001</v>
      </c>
      <c r="Y5865">
        <v>0.30349799999999999</v>
      </c>
      <c r="Z5865">
        <v>-3.7794460000000001E-3</v>
      </c>
      <c r="AA5865">
        <v>0.95282460000000002</v>
      </c>
      <c r="AB5865">
        <v>22</v>
      </c>
      <c r="AC5865">
        <v>11.5497</v>
      </c>
      <c r="AD5865">
        <v>-1.108633101503</v>
      </c>
      <c r="AE5865">
        <v>-5.2258999999999904</v>
      </c>
      <c r="AF5865">
        <v>3.8886671468135998</v>
      </c>
      <c r="AG5865">
        <v>-1.108633101503</v>
      </c>
      <c r="AH5865">
        <v>11.964683392931899</v>
      </c>
      <c r="AI5865">
        <v>95.035973108442406</v>
      </c>
      <c r="AJ5865">
        <v>71.995210173558903</v>
      </c>
      <c r="AK5865">
        <v>12.6295070460235</v>
      </c>
      <c r="AL5865">
        <v>88.704513929409003</v>
      </c>
      <c r="AM5865">
        <v>77.476264701056095</v>
      </c>
      <c r="AN5865">
        <v>0.99999996240114597</v>
      </c>
    </row>
    <row r="5866" spans="1:40" x14ac:dyDescent="0.25">
      <c r="A5866" t="str">
        <f>"20190312150810694"</f>
        <v>20190312150810694</v>
      </c>
      <c r="B5866" t="str">
        <f>"1552374490685534"</f>
        <v>1552374490685534</v>
      </c>
      <c r="C5866" t="s">
        <v>40</v>
      </c>
      <c r="D5866">
        <v>4.7775889999999999</v>
      </c>
      <c r="E5866">
        <v>0.53545399999999999</v>
      </c>
      <c r="F5866" t="s">
        <v>61</v>
      </c>
      <c r="G5866">
        <v>-198.40180000000001</v>
      </c>
      <c r="H5866" s="1">
        <v>2.9199409999999998E-6</v>
      </c>
      <c r="I5866">
        <v>209.584</v>
      </c>
      <c r="J5866">
        <v>-209.8229</v>
      </c>
      <c r="K5866">
        <v>1.1086609999999999</v>
      </c>
      <c r="L5866">
        <v>214.80709999999999</v>
      </c>
      <c r="M5866">
        <v>0.99344690000000002</v>
      </c>
      <c r="N5866">
        <v>0</v>
      </c>
      <c r="O5866">
        <v>-0.11346680000000001</v>
      </c>
      <c r="P5866">
        <v>0.9449765</v>
      </c>
      <c r="Q5866">
        <v>1.103648E-2</v>
      </c>
      <c r="R5866">
        <v>-0.32695220000000003</v>
      </c>
      <c r="S5866">
        <v>2.7494049999999999</v>
      </c>
      <c r="T5866">
        <v>-0.2619976</v>
      </c>
      <c r="U5866">
        <v>-1.240799</v>
      </c>
      <c r="V5866">
        <v>0.21771960000000001</v>
      </c>
      <c r="W5866">
        <v>2.340944E-2</v>
      </c>
      <c r="X5866">
        <v>0.9757306</v>
      </c>
      <c r="Y5866">
        <v>0.3045467</v>
      </c>
      <c r="Z5866">
        <v>-3.5974800000000001E-3</v>
      </c>
      <c r="AA5866">
        <v>0.95249059999999997</v>
      </c>
      <c r="AB5866">
        <v>22</v>
      </c>
      <c r="AC5866">
        <v>11.4210999999999</v>
      </c>
      <c r="AD5866">
        <v>-1.108658080059</v>
      </c>
      <c r="AE5866">
        <v>-5.2230999999999801</v>
      </c>
      <c r="AF5866">
        <v>3.8632179960439399</v>
      </c>
      <c r="AG5866">
        <v>-1.108658080059</v>
      </c>
      <c r="AH5866">
        <v>11.847701880707</v>
      </c>
      <c r="AI5866">
        <v>95.083971896943098</v>
      </c>
      <c r="AJ5866">
        <v>71.940240803074403</v>
      </c>
      <c r="AK5866">
        <v>12.5108599175894</v>
      </c>
      <c r="AL5866">
        <v>88.6586153747011</v>
      </c>
      <c r="AM5866">
        <v>77.421367370728206</v>
      </c>
      <c r="AN5866">
        <v>1.0000000149408099</v>
      </c>
    </row>
    <row r="5867" spans="1:40" x14ac:dyDescent="0.25">
      <c r="A5867" t="str">
        <f>"20190312150810717"</f>
        <v>20190312150810717</v>
      </c>
      <c r="B5867" t="str">
        <f>"1552374490706029"</f>
        <v>1552374490706029</v>
      </c>
      <c r="C5867" t="s">
        <v>40</v>
      </c>
      <c r="D5867">
        <v>4.7773669999999999</v>
      </c>
      <c r="E5867">
        <v>0.53543169999999995</v>
      </c>
      <c r="F5867" t="s">
        <v>61</v>
      </c>
      <c r="G5867">
        <v>-198.17599999999999</v>
      </c>
      <c r="H5867" s="1">
        <v>2.9837360000000001E-6</v>
      </c>
      <c r="I5867">
        <v>209.49430000000001</v>
      </c>
      <c r="J5867">
        <v>-209.6028</v>
      </c>
      <c r="K5867">
        <v>1.1086830000000001</v>
      </c>
      <c r="L5867">
        <v>214.7782</v>
      </c>
      <c r="M5867">
        <v>0.99308549999999995</v>
      </c>
      <c r="N5867">
        <v>0</v>
      </c>
      <c r="O5867">
        <v>-0.1165891</v>
      </c>
      <c r="P5867">
        <v>0.943832</v>
      </c>
      <c r="Q5867">
        <v>1.115435E-2</v>
      </c>
      <c r="R5867">
        <v>-0.33023829999999998</v>
      </c>
      <c r="S5867">
        <v>2.7445369999999998</v>
      </c>
      <c r="T5867">
        <v>-0.2612505</v>
      </c>
      <c r="U5867">
        <v>-1.251938</v>
      </c>
      <c r="V5867">
        <v>0.21804680000000001</v>
      </c>
      <c r="W5867">
        <v>2.353481E-2</v>
      </c>
      <c r="X5867">
        <v>0.97565449999999998</v>
      </c>
      <c r="Y5867">
        <v>0.30540289999999998</v>
      </c>
      <c r="Z5867">
        <v>-3.3517640000000001E-3</v>
      </c>
      <c r="AA5867">
        <v>0.95221730000000004</v>
      </c>
      <c r="AB5867">
        <v>22</v>
      </c>
      <c r="AC5867">
        <v>11.4268</v>
      </c>
      <c r="AD5867">
        <v>-1.108680016264</v>
      </c>
      <c r="AE5867">
        <v>-5.2838999999999796</v>
      </c>
      <c r="AF5867">
        <v>3.8853598510904002</v>
      </c>
      <c r="AG5867">
        <v>-1.108680016264</v>
      </c>
      <c r="AH5867">
        <v>11.8728808197099</v>
      </c>
      <c r="AI5867">
        <v>95.071598780768895</v>
      </c>
      <c r="AJ5867">
        <v>71.879492046987195</v>
      </c>
      <c r="AK5867">
        <v>12.5415506022965</v>
      </c>
      <c r="AL5867">
        <v>88.651430201615</v>
      </c>
      <c r="AM5867">
        <v>77.402115264597796</v>
      </c>
      <c r="AN5867">
        <v>0.99999999882111301</v>
      </c>
    </row>
    <row r="5868" spans="1:40" x14ac:dyDescent="0.25">
      <c r="A5868" t="str">
        <f>"20190312150810739"</f>
        <v>20190312150810739</v>
      </c>
      <c r="B5868" t="str">
        <f>"1552374490736286"</f>
        <v>1552374490736286</v>
      </c>
      <c r="C5868" t="s">
        <v>40</v>
      </c>
      <c r="D5868">
        <v>4.9055960000000001</v>
      </c>
      <c r="E5868">
        <v>0.53538949999999996</v>
      </c>
      <c r="F5868" t="s">
        <v>61</v>
      </c>
      <c r="G5868">
        <v>-198.0607</v>
      </c>
      <c r="H5868" s="1">
        <v>3.0114789999999999E-6</v>
      </c>
      <c r="I5868">
        <v>209.46680000000001</v>
      </c>
      <c r="J5868">
        <v>-209.38659999999999</v>
      </c>
      <c r="K5868">
        <v>1.1087039999999999</v>
      </c>
      <c r="L5868">
        <v>214.7492</v>
      </c>
      <c r="M5868">
        <v>0.9927224</v>
      </c>
      <c r="N5868">
        <v>0</v>
      </c>
      <c r="O5868">
        <v>-0.1196415</v>
      </c>
      <c r="P5868">
        <v>0.94293159999999998</v>
      </c>
      <c r="Q5868">
        <v>1.1430269999999999E-2</v>
      </c>
      <c r="R5868">
        <v>-0.33279049999999999</v>
      </c>
      <c r="S5868">
        <v>2.7404329999999999</v>
      </c>
      <c r="T5868">
        <v>-0.26323410000000003</v>
      </c>
      <c r="U5868">
        <v>-1.2611079999999999</v>
      </c>
      <c r="V5868">
        <v>0.21768750000000001</v>
      </c>
      <c r="W5868">
        <v>2.3821789999999999E-2</v>
      </c>
      <c r="X5868">
        <v>0.97572769999999998</v>
      </c>
      <c r="Y5868">
        <v>0.30564709999999901</v>
      </c>
      <c r="Z5868">
        <v>-3.117538E-3</v>
      </c>
      <c r="AA5868">
        <v>0.95213979999999998</v>
      </c>
      <c r="AB5868">
        <v>22</v>
      </c>
      <c r="AC5868">
        <v>11.325899999999899</v>
      </c>
      <c r="AD5868">
        <v>-1.108700988521</v>
      </c>
      <c r="AE5868">
        <v>-5.2823999999999902</v>
      </c>
      <c r="AF5868">
        <v>3.8589034130722299</v>
      </c>
      <c r="AG5868">
        <v>-1.108700988521</v>
      </c>
      <c r="AH5868">
        <v>11.7838411158674</v>
      </c>
      <c r="AI5868">
        <v>95.109472274340604</v>
      </c>
      <c r="AJ5868">
        <v>71.867715943326104</v>
      </c>
      <c r="AK5868">
        <v>12.449066827572899</v>
      </c>
      <c r="AL5868">
        <v>88.634982760171795</v>
      </c>
      <c r="AM5868">
        <v>77.4231267346577</v>
      </c>
      <c r="AN5868">
        <v>0.99999993494116901</v>
      </c>
    </row>
    <row r="5869" spans="1:40" x14ac:dyDescent="0.25">
      <c r="A5869" t="str">
        <f>"20190312150810762"</f>
        <v>20190312150810762</v>
      </c>
      <c r="B5869" t="str">
        <f>"1552374490755805"</f>
        <v>1552374490755805</v>
      </c>
      <c r="C5869" t="s">
        <v>40</v>
      </c>
      <c r="D5869">
        <v>4.7841649999999998</v>
      </c>
      <c r="E5869">
        <v>0.53719059999999996</v>
      </c>
      <c r="F5869" t="s">
        <v>61</v>
      </c>
      <c r="G5869">
        <v>-195.49119999999999</v>
      </c>
      <c r="H5869" s="1">
        <v>3.7728530000000001E-6</v>
      </c>
      <c r="I5869">
        <v>208.31280000000001</v>
      </c>
      <c r="J5869">
        <v>-209.1643</v>
      </c>
      <c r="K5869">
        <v>1.108714</v>
      </c>
      <c r="L5869">
        <v>214.71870000000001</v>
      </c>
      <c r="M5869">
        <v>0.99234040000000001</v>
      </c>
      <c r="N5869">
        <v>0</v>
      </c>
      <c r="O5869">
        <v>-0.1227685</v>
      </c>
      <c r="P5869">
        <v>0.94167210000000001</v>
      </c>
      <c r="Q5869">
        <v>1.1366090000000001E-2</v>
      </c>
      <c r="R5869">
        <v>-0.33633970000000002</v>
      </c>
      <c r="S5869">
        <v>2.7367859999999999</v>
      </c>
      <c r="T5869">
        <v>-0.21836610000000001</v>
      </c>
      <c r="U5869">
        <v>-1.2677</v>
      </c>
      <c r="V5869">
        <v>0.21828719999999999</v>
      </c>
      <c r="W5869">
        <v>2.3759809999999999E-2</v>
      </c>
      <c r="X5869">
        <v>0.97559530000000005</v>
      </c>
      <c r="Y5869">
        <v>0.30524570000000001</v>
      </c>
      <c r="Z5869">
        <v>-2.3421359999999999E-3</v>
      </c>
      <c r="AA5869">
        <v>0.95227070000000003</v>
      </c>
      <c r="AB5869">
        <v>22</v>
      </c>
      <c r="AC5869">
        <v>13.6731</v>
      </c>
      <c r="AD5869">
        <v>-1.108710227147</v>
      </c>
      <c r="AE5869">
        <v>-6.4058999999999999</v>
      </c>
      <c r="AF5869">
        <v>4.6535578398924198</v>
      </c>
      <c r="AG5869">
        <v>-1.108710227147</v>
      </c>
      <c r="AH5869">
        <v>14.279176517255401</v>
      </c>
      <c r="AI5869">
        <v>94.222130980398802</v>
      </c>
      <c r="AJ5869">
        <v>71.949304411360799</v>
      </c>
      <c r="AK5869">
        <v>15.059207181918399</v>
      </c>
      <c r="AL5869">
        <v>88.638535060198194</v>
      </c>
      <c r="AM5869">
        <v>77.387929163660502</v>
      </c>
      <c r="AN5869">
        <v>1.0000000098185799</v>
      </c>
    </row>
    <row r="5870" spans="1:40" x14ac:dyDescent="0.25">
      <c r="A5870" t="str">
        <f>"20190312150810784"</f>
        <v>20190312150810784</v>
      </c>
      <c r="B5870" t="str">
        <f>"1552374490776302"</f>
        <v>1552374490776302</v>
      </c>
      <c r="C5870" t="s">
        <v>40</v>
      </c>
      <c r="D5870">
        <v>4.9501860000000004</v>
      </c>
      <c r="E5870">
        <v>0.55048809999999904</v>
      </c>
      <c r="F5870" t="s">
        <v>61</v>
      </c>
      <c r="G5870">
        <v>-199.49950000000001</v>
      </c>
      <c r="H5870" s="1">
        <v>2.6708910000000001E-6</v>
      </c>
      <c r="I5870">
        <v>210.13990000000001</v>
      </c>
      <c r="J5870">
        <v>-208.94820000000001</v>
      </c>
      <c r="K5870">
        <v>1.108722</v>
      </c>
      <c r="L5870">
        <v>214.6884</v>
      </c>
      <c r="M5870">
        <v>0.99196010000000001</v>
      </c>
      <c r="N5870">
        <v>0</v>
      </c>
      <c r="O5870">
        <v>-0.1258058</v>
      </c>
      <c r="P5870">
        <v>0.94060750000000004</v>
      </c>
      <c r="Q5870">
        <v>1.027146E-2</v>
      </c>
      <c r="R5870">
        <v>-0.33934130000000001</v>
      </c>
      <c r="S5870">
        <v>2.7280120000000001</v>
      </c>
      <c r="T5870">
        <v>-0.31294820000000001</v>
      </c>
      <c r="U5870">
        <v>-1.292435</v>
      </c>
      <c r="V5870">
        <v>0.21840480000000001</v>
      </c>
      <c r="W5870">
        <v>2.2668629999999999E-2</v>
      </c>
      <c r="X5870">
        <v>0.97559490000000004</v>
      </c>
      <c r="Y5870">
        <v>0.31006470000000003</v>
      </c>
      <c r="Z5870">
        <v>-3.2953470000000001E-3</v>
      </c>
      <c r="AA5870">
        <v>0.95070980000000005</v>
      </c>
      <c r="AB5870">
        <v>22</v>
      </c>
      <c r="AC5870">
        <v>9.4487000000000005</v>
      </c>
      <c r="AD5870">
        <v>-1.1087193291090001</v>
      </c>
      <c r="AE5870">
        <v>-4.54849999999999</v>
      </c>
      <c r="AF5870">
        <v>3.2868004359339</v>
      </c>
      <c r="AG5870">
        <v>-1.1087193291090001</v>
      </c>
      <c r="AH5870">
        <v>9.8359456795124895</v>
      </c>
      <c r="AI5870">
        <v>96.102317590476503</v>
      </c>
      <c r="AJ5870">
        <v>71.522324556676395</v>
      </c>
      <c r="AK5870">
        <v>10.429676076787599</v>
      </c>
      <c r="AL5870">
        <v>88.701071867514301</v>
      </c>
      <c r="AM5870">
        <v>77.381347066459696</v>
      </c>
      <c r="AN5870">
        <v>0.99999996617756204</v>
      </c>
    </row>
    <row r="5871" spans="1:40" x14ac:dyDescent="0.25">
      <c r="A5871" t="str">
        <f>"20190312150810808"</f>
        <v>20190312150810808</v>
      </c>
      <c r="B5871" t="str">
        <f>"1552374490796419"</f>
        <v>1552374490796419</v>
      </c>
      <c r="C5871" t="s">
        <v>40</v>
      </c>
      <c r="D5871">
        <v>4.8283180000000003</v>
      </c>
      <c r="E5871">
        <v>0.58287440000000001</v>
      </c>
      <c r="F5871" t="s">
        <v>61</v>
      </c>
      <c r="G5871">
        <v>-195.48869999999999</v>
      </c>
      <c r="H5871" s="1">
        <v>3.9417519999999996E-6</v>
      </c>
      <c r="I5871">
        <v>207.67660000000001</v>
      </c>
      <c r="J5871">
        <v>-208.72909999999999</v>
      </c>
      <c r="K5871">
        <v>1.1087180000000001</v>
      </c>
      <c r="L5871">
        <v>214.6568</v>
      </c>
      <c r="M5871">
        <v>0.99156299999999997</v>
      </c>
      <c r="N5871">
        <v>0</v>
      </c>
      <c r="O5871">
        <v>-0.12889809999999999</v>
      </c>
      <c r="P5871">
        <v>0.93956600000000001</v>
      </c>
      <c r="Q5871">
        <v>9.1529030000000004E-3</v>
      </c>
      <c r="R5871">
        <v>-0.34224579999999999</v>
      </c>
      <c r="S5871">
        <v>2.68689</v>
      </c>
      <c r="T5871">
        <v>-0.22133050000000001</v>
      </c>
      <c r="U5871">
        <v>-1.399734</v>
      </c>
      <c r="V5871">
        <v>0.21837019999999999</v>
      </c>
      <c r="W5871">
        <v>2.1551190000000001E-2</v>
      </c>
      <c r="X5871">
        <v>0.97562800000000005</v>
      </c>
      <c r="Y5871">
        <v>0.34327049999999998</v>
      </c>
      <c r="Z5871">
        <v>-3.4019979999999998E-3</v>
      </c>
      <c r="AA5871">
        <v>0.93923040000000002</v>
      </c>
      <c r="AB5871">
        <v>22</v>
      </c>
      <c r="AC5871">
        <v>13.2403999999999</v>
      </c>
      <c r="AD5871">
        <v>-1.108714058248</v>
      </c>
      <c r="AE5871">
        <v>-6.9801999999999902</v>
      </c>
      <c r="AF5871">
        <v>5.1866771590801797</v>
      </c>
      <c r="AG5871">
        <v>-1.108714058248</v>
      </c>
      <c r="AH5871">
        <v>13.9531845078412</v>
      </c>
      <c r="AI5871">
        <v>94.259543493366294</v>
      </c>
      <c r="AJ5871">
        <v>69.608894987506403</v>
      </c>
      <c r="AK5871">
        <v>14.927230979834899</v>
      </c>
      <c r="AL5871">
        <v>88.765112160864405</v>
      </c>
      <c r="AM5871">
        <v>77.383696470841699</v>
      </c>
      <c r="AN5871">
        <v>0.99999999621122804</v>
      </c>
    </row>
    <row r="5872" spans="1:40" x14ac:dyDescent="0.25">
      <c r="A5872" t="str">
        <f>"20190312150810830"</f>
        <v>20190312150810830</v>
      </c>
      <c r="B5872" t="str">
        <f>"1552374490825699"</f>
        <v>1552374490825699</v>
      </c>
      <c r="C5872" t="s">
        <v>40</v>
      </c>
      <c r="D5872">
        <v>4.7165920000000003</v>
      </c>
      <c r="E5872">
        <v>0.58611650000000004</v>
      </c>
      <c r="F5872" t="s">
        <v>61</v>
      </c>
      <c r="G5872">
        <v>-200.7878</v>
      </c>
      <c r="H5872" s="1">
        <v>3.006642E-6</v>
      </c>
      <c r="I5872">
        <v>209.59829999999999</v>
      </c>
      <c r="J5872">
        <v>-208.50749999999999</v>
      </c>
      <c r="K5872">
        <v>1.1087119999999999</v>
      </c>
      <c r="L5872">
        <v>214.6242</v>
      </c>
      <c r="M5872">
        <v>0.99114880000000005</v>
      </c>
      <c r="N5872">
        <v>0</v>
      </c>
      <c r="O5872">
        <v>-0.132045</v>
      </c>
      <c r="P5872">
        <v>0.93822119999999998</v>
      </c>
      <c r="Q5872">
        <v>8.5730049999999999E-3</v>
      </c>
      <c r="R5872">
        <v>-0.34592970000000001</v>
      </c>
      <c r="S5872">
        <v>2.5944820000000002</v>
      </c>
      <c r="T5872">
        <v>-0.36222739999999998</v>
      </c>
      <c r="U5872">
        <v>-1.652679</v>
      </c>
      <c r="V5872">
        <v>0.2190983</v>
      </c>
      <c r="W5872">
        <v>2.0962910000000001E-2</v>
      </c>
      <c r="X5872">
        <v>0.97547759999999994</v>
      </c>
      <c r="Y5872">
        <v>0.41922300000000001</v>
      </c>
      <c r="Z5872">
        <v>-1.0066149999999999E-2</v>
      </c>
      <c r="AA5872">
        <v>0.90782750000000001</v>
      </c>
      <c r="AB5872">
        <v>22</v>
      </c>
      <c r="AC5872">
        <v>7.71969999999998</v>
      </c>
      <c r="AD5872">
        <v>-1.1087089933580001</v>
      </c>
      <c r="AE5872">
        <v>-5.0259</v>
      </c>
      <c r="AF5872">
        <v>3.9058573081007899</v>
      </c>
      <c r="AG5872">
        <v>-1.1087089933580001</v>
      </c>
      <c r="AH5872">
        <v>8.1970516075268396</v>
      </c>
      <c r="AI5872">
        <v>96.961570948862501</v>
      </c>
      <c r="AJ5872">
        <v>64.522415573805404</v>
      </c>
      <c r="AK5872">
        <v>9.1474921153098396</v>
      </c>
      <c r="AL5872">
        <v>88.798825779103495</v>
      </c>
      <c r="AM5872">
        <v>77.341095127090995</v>
      </c>
      <c r="AN5872">
        <v>1.00000002838015</v>
      </c>
    </row>
    <row r="5873" spans="1:40" x14ac:dyDescent="0.25">
      <c r="A5873" t="str">
        <f>"20190312150810852"</f>
        <v>20190312150810852</v>
      </c>
      <c r="B5873" t="str">
        <f>"1552374490846195"</f>
        <v>1552374490846195</v>
      </c>
      <c r="C5873" t="s">
        <v>40</v>
      </c>
      <c r="D5873">
        <v>4.8058420000000002</v>
      </c>
      <c r="E5873">
        <v>0.58763639999999995</v>
      </c>
      <c r="F5873" t="s">
        <v>61</v>
      </c>
      <c r="G5873">
        <v>-200.5668</v>
      </c>
      <c r="H5873" s="1">
        <v>2.9385790000000002E-6</v>
      </c>
      <c r="I5873">
        <v>209.42840000000001</v>
      </c>
      <c r="J5873">
        <v>-208.29310000000001</v>
      </c>
      <c r="K5873">
        <v>1.1087009999999999</v>
      </c>
      <c r="L5873">
        <v>214.59190000000001</v>
      </c>
      <c r="M5873">
        <v>0.99073460000000002</v>
      </c>
      <c r="N5873">
        <v>0</v>
      </c>
      <c r="O5873">
        <v>-0.1351184</v>
      </c>
      <c r="P5873">
        <v>0.93678649999999997</v>
      </c>
      <c r="Q5873">
        <v>8.510765E-3</v>
      </c>
      <c r="R5873">
        <v>-0.34979870000000002</v>
      </c>
      <c r="S5873">
        <v>2.5787200000000001</v>
      </c>
      <c r="T5873">
        <v>-0.36005090000000001</v>
      </c>
      <c r="U5873">
        <v>-1.6873469999999999</v>
      </c>
      <c r="V5873">
        <v>0.2200985</v>
      </c>
      <c r="W5873">
        <v>2.0886640000000001E-2</v>
      </c>
      <c r="X5873">
        <v>0.97525399999999995</v>
      </c>
      <c r="Y5873">
        <v>0.42748779999999997</v>
      </c>
      <c r="Z5873">
        <v>-1.017202E-2</v>
      </c>
      <c r="AA5873">
        <v>0.90396390000000004</v>
      </c>
      <c r="AB5873">
        <v>22</v>
      </c>
      <c r="AC5873">
        <v>7.7263000000000002</v>
      </c>
      <c r="AD5873">
        <v>-1.108698061421</v>
      </c>
      <c r="AE5873">
        <v>-5.1634999999999902</v>
      </c>
      <c r="AF5873">
        <v>4.0149270952622897</v>
      </c>
      <c r="AG5873">
        <v>-1.108698061421</v>
      </c>
      <c r="AH5873">
        <v>8.2359512251667599</v>
      </c>
      <c r="AI5873">
        <v>96.899503884978898</v>
      </c>
      <c r="AJ5873">
        <v>64.011323605607402</v>
      </c>
      <c r="AK5873">
        <v>9.2292872723193504</v>
      </c>
      <c r="AL5873">
        <v>88.803196630731307</v>
      </c>
      <c r="AM5873">
        <v>77.282360531026498</v>
      </c>
      <c r="AN5873">
        <v>0.99999998297436898</v>
      </c>
    </row>
    <row r="5874" spans="1:40" x14ac:dyDescent="0.25">
      <c r="A5874" t="str">
        <f>"20190312150810874"</f>
        <v>20190312150810874</v>
      </c>
      <c r="B5874" t="str">
        <f>"1552374490865715"</f>
        <v>1552374490865715</v>
      </c>
      <c r="C5874" t="s">
        <v>40</v>
      </c>
      <c r="D5874">
        <v>4.7797419999999997</v>
      </c>
      <c r="E5874">
        <v>0.58854619999999902</v>
      </c>
      <c r="F5874" t="s">
        <v>61</v>
      </c>
      <c r="G5874">
        <v>-200.2431</v>
      </c>
      <c r="H5874" s="1">
        <v>2.8383020000000001E-6</v>
      </c>
      <c r="I5874">
        <v>209.23230000000001</v>
      </c>
      <c r="J5874">
        <v>-208.0744</v>
      </c>
      <c r="K5874">
        <v>1.1086780000000001</v>
      </c>
      <c r="L5874">
        <v>214.5583</v>
      </c>
      <c r="M5874">
        <v>0.99029619999999996</v>
      </c>
      <c r="N5874">
        <v>0</v>
      </c>
      <c r="O5874">
        <v>-0.1382948</v>
      </c>
      <c r="P5874">
        <v>0.93529859999999998</v>
      </c>
      <c r="Q5874">
        <v>7.6686200000000001E-3</v>
      </c>
      <c r="R5874">
        <v>-0.35377649999999999</v>
      </c>
      <c r="S5874">
        <v>2.567383</v>
      </c>
      <c r="T5874">
        <v>-0.35359819999999997</v>
      </c>
      <c r="U5874">
        <v>-1.7093659999999999</v>
      </c>
      <c r="V5874">
        <v>0.221112</v>
      </c>
      <c r="W5874">
        <v>2.0025169999999998E-2</v>
      </c>
      <c r="X5874">
        <v>0.97504279999999999</v>
      </c>
      <c r="Y5874">
        <v>0.4318651</v>
      </c>
      <c r="Z5874">
        <v>-9.8962630000000006E-3</v>
      </c>
      <c r="AA5874">
        <v>0.90188400000000002</v>
      </c>
      <c r="AB5874">
        <v>22</v>
      </c>
      <c r="AC5874">
        <v>7.8312999999999899</v>
      </c>
      <c r="AD5874">
        <v>-1.108675161698</v>
      </c>
      <c r="AE5874">
        <v>-5.3259999999999899</v>
      </c>
      <c r="AF5874">
        <v>4.1350184505529102</v>
      </c>
      <c r="AG5874">
        <v>-1.108675161698</v>
      </c>
      <c r="AH5874">
        <v>8.3778554101268892</v>
      </c>
      <c r="AI5874">
        <v>96.767470065517898</v>
      </c>
      <c r="AJ5874">
        <v>63.730653706720503</v>
      </c>
      <c r="AK5874">
        <v>9.4082941851098294</v>
      </c>
      <c r="AL5874">
        <v>88.852565569821707</v>
      </c>
      <c r="AM5874">
        <v>77.223040012315906</v>
      </c>
      <c r="AN5874">
        <v>0.999999992904684</v>
      </c>
    </row>
    <row r="5875" spans="1:40" x14ac:dyDescent="0.25">
      <c r="A5875" t="str">
        <f>"20190312150810895"</f>
        <v>20190312150810895</v>
      </c>
      <c r="B5875" t="str">
        <f>"1552374490885794"</f>
        <v>1552374490885794</v>
      </c>
      <c r="C5875" t="s">
        <v>40</v>
      </c>
      <c r="D5875">
        <v>4.8219940000000001</v>
      </c>
      <c r="E5875">
        <v>0.58879239999999999</v>
      </c>
      <c r="F5875" t="s">
        <v>61</v>
      </c>
      <c r="G5875">
        <v>-199.6738</v>
      </c>
      <c r="H5875" s="1">
        <v>2.8796470000000002E-6</v>
      </c>
      <c r="I5875">
        <v>208.88399999999999</v>
      </c>
      <c r="J5875">
        <v>-207.86879999999999</v>
      </c>
      <c r="K5875">
        <v>1.1086419999999999</v>
      </c>
      <c r="L5875">
        <v>214.52600000000001</v>
      </c>
      <c r="M5875">
        <v>0.98986589999999997</v>
      </c>
      <c r="N5875">
        <v>0</v>
      </c>
      <c r="O5875">
        <v>-0.1413421</v>
      </c>
      <c r="P5875">
        <v>0.9339982</v>
      </c>
      <c r="Q5875">
        <v>6.4441180000000004E-3</v>
      </c>
      <c r="R5875">
        <v>-0.35721999999999998</v>
      </c>
      <c r="S5875">
        <v>2.557007</v>
      </c>
      <c r="T5875">
        <v>-0.3374624</v>
      </c>
      <c r="U5875">
        <v>-1.727158</v>
      </c>
      <c r="V5875">
        <v>0.2216977</v>
      </c>
      <c r="W5875">
        <v>1.8778469999999998E-2</v>
      </c>
      <c r="X5875">
        <v>0.97493459999999998</v>
      </c>
      <c r="Y5875">
        <v>0.4352607</v>
      </c>
      <c r="Z5875">
        <v>-9.3141539999999998E-3</v>
      </c>
      <c r="AA5875">
        <v>0.90025630000000001</v>
      </c>
      <c r="AB5875">
        <v>22</v>
      </c>
      <c r="AC5875">
        <v>8.1949999999999896</v>
      </c>
      <c r="AD5875">
        <v>-1.1086391203529999</v>
      </c>
      <c r="AE5875">
        <v>-5.6419999999999604</v>
      </c>
      <c r="AF5875">
        <v>4.3726492223154096</v>
      </c>
      <c r="AG5875">
        <v>-1.1086391203529999</v>
      </c>
      <c r="AH5875">
        <v>8.8009659440973298</v>
      </c>
      <c r="AI5875">
        <v>96.436408182092407</v>
      </c>
      <c r="AJ5875">
        <v>63.580094067630903</v>
      </c>
      <c r="AK5875">
        <v>9.8896988563734194</v>
      </c>
      <c r="AL5875">
        <v>88.924009665818005</v>
      </c>
      <c r="AM5875">
        <v>77.188935775130801</v>
      </c>
      <c r="AN5875">
        <v>0.99999998769899501</v>
      </c>
    </row>
    <row r="5876" spans="1:40" x14ac:dyDescent="0.25">
      <c r="A5876" t="str">
        <f>"20190312150810918"</f>
        <v>20190312150810918</v>
      </c>
      <c r="B5876" t="str">
        <f>"1552374490906290"</f>
        <v>1552374490906290</v>
      </c>
      <c r="C5876" t="s">
        <v>40</v>
      </c>
      <c r="D5876">
        <v>4.7808869999999999</v>
      </c>
      <c r="E5876">
        <v>0.58905509999999905</v>
      </c>
      <c r="F5876" t="s">
        <v>61</v>
      </c>
      <c r="G5876">
        <v>-199.2988</v>
      </c>
      <c r="H5876" s="1">
        <v>2.999697E-6</v>
      </c>
      <c r="I5876">
        <v>208.68190000000001</v>
      </c>
      <c r="J5876">
        <v>-207.65379999999999</v>
      </c>
      <c r="K5876">
        <v>1.1085940000000001</v>
      </c>
      <c r="L5876">
        <v>214.4915</v>
      </c>
      <c r="M5876">
        <v>0.98939379999999999</v>
      </c>
      <c r="N5876">
        <v>0</v>
      </c>
      <c r="O5876">
        <v>-0.14460870000000001</v>
      </c>
      <c r="P5876">
        <v>0.93271170000000003</v>
      </c>
      <c r="Q5876">
        <v>5.8737839999999999E-3</v>
      </c>
      <c r="R5876">
        <v>-0.36057499999999998</v>
      </c>
      <c r="S5876">
        <v>2.5493619999999999</v>
      </c>
      <c r="T5876">
        <v>-0.32979320000000001</v>
      </c>
      <c r="U5876">
        <v>-1.73848</v>
      </c>
      <c r="V5876">
        <v>0.22198319999999999</v>
      </c>
      <c r="W5876">
        <v>1.818063E-2</v>
      </c>
      <c r="X5876">
        <v>0.974881</v>
      </c>
      <c r="Y5876">
        <v>0.43636350000000002</v>
      </c>
      <c r="Z5876">
        <v>-8.8116600000000007E-3</v>
      </c>
      <c r="AA5876">
        <v>0.89972730000000001</v>
      </c>
      <c r="AB5876">
        <v>22</v>
      </c>
      <c r="AC5876">
        <v>8.3549999999999898</v>
      </c>
      <c r="AD5876">
        <v>-1.108591000303</v>
      </c>
      <c r="AE5876">
        <v>-5.8095999999999801</v>
      </c>
      <c r="AF5876">
        <v>4.4869546795579902</v>
      </c>
      <c r="AG5876">
        <v>-1.108591000303</v>
      </c>
      <c r="AH5876">
        <v>9.0005466154529294</v>
      </c>
      <c r="AI5876">
        <v>96.290383025804601</v>
      </c>
      <c r="AJ5876">
        <v>63.502816058806999</v>
      </c>
      <c r="AK5876">
        <v>10.1178839526504</v>
      </c>
      <c r="AL5876">
        <v>88.958269259726407</v>
      </c>
      <c r="AM5876">
        <v>77.172301320804806</v>
      </c>
      <c r="AN5876">
        <v>1.00000002027521</v>
      </c>
    </row>
    <row r="5877" spans="1:40" x14ac:dyDescent="0.25">
      <c r="A5877" t="str">
        <f>"20190312150810941"</f>
        <v>20190312150810941</v>
      </c>
      <c r="B5877" t="str">
        <f>"1552374490935573"</f>
        <v>1552374490935573</v>
      </c>
      <c r="C5877" t="s">
        <v>40</v>
      </c>
      <c r="D5877">
        <v>4.9729700000000001</v>
      </c>
      <c r="E5877">
        <v>0.58921349999999995</v>
      </c>
      <c r="F5877" t="s">
        <v>61</v>
      </c>
      <c r="G5877">
        <v>-199.1225</v>
      </c>
      <c r="H5877" s="1">
        <v>3.0475699999999999E-6</v>
      </c>
      <c r="I5877">
        <v>208.61920000000001</v>
      </c>
      <c r="J5877">
        <v>-207.43719999999999</v>
      </c>
      <c r="K5877">
        <v>1.108528</v>
      </c>
      <c r="L5877">
        <v>214.45580000000001</v>
      </c>
      <c r="M5877">
        <v>0.9888924</v>
      </c>
      <c r="N5877">
        <v>0</v>
      </c>
      <c r="O5877">
        <v>-0.1479992</v>
      </c>
      <c r="P5877">
        <v>0.9313747</v>
      </c>
      <c r="Q5877">
        <v>5.3837950000000002E-3</v>
      </c>
      <c r="R5877">
        <v>-0.36402259999999997</v>
      </c>
      <c r="S5877">
        <v>2.5420989999999999</v>
      </c>
      <c r="T5877">
        <v>-0.33032869999999998</v>
      </c>
      <c r="U5877">
        <v>-1.7497560000000001</v>
      </c>
      <c r="V5877">
        <v>0.22224749999999999</v>
      </c>
      <c r="W5877">
        <v>1.7656189999999999E-2</v>
      </c>
      <c r="X5877">
        <v>0.97483039999999999</v>
      </c>
      <c r="Y5877">
        <v>0.43719809999999998</v>
      </c>
      <c r="Z5877">
        <v>-8.5020310000000002E-3</v>
      </c>
      <c r="AA5877">
        <v>0.89932500000000004</v>
      </c>
      <c r="AB5877">
        <v>22</v>
      </c>
      <c r="AC5877">
        <v>8.3146999999999807</v>
      </c>
      <c r="AD5877">
        <v>-1.1085249524299901</v>
      </c>
      <c r="AE5877">
        <v>-5.8365999999999998</v>
      </c>
      <c r="AF5877">
        <v>4.4881856475068602</v>
      </c>
      <c r="AG5877">
        <v>-1.1085249524299901</v>
      </c>
      <c r="AH5877">
        <v>8.9800823614184893</v>
      </c>
      <c r="AI5877">
        <v>96.301049390687197</v>
      </c>
      <c r="AJ5877">
        <v>63.444420718942901</v>
      </c>
      <c r="AK5877">
        <v>10.1002236210148</v>
      </c>
      <c r="AL5877">
        <v>88.9883222630353</v>
      </c>
      <c r="AM5877">
        <v>77.156889914891394</v>
      </c>
      <c r="AN5877">
        <v>1.00000000053286</v>
      </c>
    </row>
    <row r="5878" spans="1:40" x14ac:dyDescent="0.25">
      <c r="A5878" t="str">
        <f>"20190312150810962"</f>
        <v>20190312150810962</v>
      </c>
      <c r="B5878" t="str">
        <f>"1552374490956068"</f>
        <v>1552374490956068</v>
      </c>
      <c r="C5878" t="s">
        <v>40</v>
      </c>
      <c r="D5878">
        <v>4.9973320000000001</v>
      </c>
      <c r="E5878">
        <v>0.58942640000000002</v>
      </c>
      <c r="F5878" t="s">
        <v>61</v>
      </c>
      <c r="G5878">
        <v>-199.2116</v>
      </c>
      <c r="H5878" s="1">
        <v>2.998763E-6</v>
      </c>
      <c r="I5878">
        <v>208.7439</v>
      </c>
      <c r="J5878">
        <v>-207.22280000000001</v>
      </c>
      <c r="K5878">
        <v>1.1084529999999999</v>
      </c>
      <c r="L5878">
        <v>214.4196</v>
      </c>
      <c r="M5878">
        <v>0.98836760000000001</v>
      </c>
      <c r="N5878">
        <v>0</v>
      </c>
      <c r="O5878">
        <v>-0.15146409999999999</v>
      </c>
      <c r="P5878">
        <v>0.92998239999999999</v>
      </c>
      <c r="Q5878">
        <v>4.5676179999999999E-3</v>
      </c>
      <c r="R5878">
        <v>-0.36757640000000003</v>
      </c>
      <c r="S5878">
        <v>2.5349879999999998</v>
      </c>
      <c r="T5878">
        <v>-0.3416283</v>
      </c>
      <c r="U5878">
        <v>-1.7603150000000001</v>
      </c>
      <c r="V5878">
        <v>0.22255130000000001</v>
      </c>
      <c r="W5878">
        <v>1.6802299999999999E-2</v>
      </c>
      <c r="X5878">
        <v>0.97477610000000003</v>
      </c>
      <c r="Y5878">
        <v>0.43766189999999999</v>
      </c>
      <c r="Z5878">
        <v>-8.4245819999999999E-3</v>
      </c>
      <c r="AA5878">
        <v>0.89910020000000002</v>
      </c>
      <c r="AB5878">
        <v>22</v>
      </c>
      <c r="AC5878">
        <v>8.0112000000000005</v>
      </c>
      <c r="AD5878">
        <v>-1.108450001237</v>
      </c>
      <c r="AE5878">
        <v>-5.6757</v>
      </c>
      <c r="AF5878">
        <v>4.3413458612086897</v>
      </c>
      <c r="AG5878">
        <v>-1.108450001237</v>
      </c>
      <c r="AH5878">
        <v>8.6680151285947495</v>
      </c>
      <c r="AI5878">
        <v>96.522814051453807</v>
      </c>
      <c r="AJ5878">
        <v>63.396156916070197</v>
      </c>
      <c r="AK5878">
        <v>9.7575832848827595</v>
      </c>
      <c r="AL5878">
        <v>89.037253744963095</v>
      </c>
      <c r="AM5878">
        <v>77.1392248742535</v>
      </c>
      <c r="AN5878">
        <v>0.99999992177409103</v>
      </c>
    </row>
    <row r="5879" spans="1:40" x14ac:dyDescent="0.25">
      <c r="A5879" t="str">
        <f>"20190312150810986"</f>
        <v>20190312150810986</v>
      </c>
      <c r="B5879" t="str">
        <f>"1552374490975585"</f>
        <v>1552374490975585</v>
      </c>
      <c r="C5879" t="s">
        <v>40</v>
      </c>
      <c r="D5879">
        <v>4.9448829999999999</v>
      </c>
      <c r="E5879">
        <v>0.58948690000000004</v>
      </c>
      <c r="F5879" t="s">
        <v>61</v>
      </c>
      <c r="G5879">
        <v>-199.17240000000001</v>
      </c>
      <c r="H5879" s="1">
        <v>2.9970650000000002E-6</v>
      </c>
      <c r="I5879">
        <v>208.7765</v>
      </c>
      <c r="J5879">
        <v>-207.00299999999999</v>
      </c>
      <c r="K5879">
        <v>1.108376</v>
      </c>
      <c r="L5879">
        <v>214.38159999999999</v>
      </c>
      <c r="M5879">
        <v>0.98779760000000005</v>
      </c>
      <c r="N5879">
        <v>0</v>
      </c>
      <c r="O5879">
        <v>-0.15513859999999999</v>
      </c>
      <c r="P5879">
        <v>0.92858180000000001</v>
      </c>
      <c r="Q5879">
        <v>3.7738009999999998E-3</v>
      </c>
      <c r="R5879">
        <v>-0.37110880000000002</v>
      </c>
      <c r="S5879">
        <v>2.5273439999999998</v>
      </c>
      <c r="T5879">
        <v>-0.34798839999999998</v>
      </c>
      <c r="U5879">
        <v>-1.771606</v>
      </c>
      <c r="V5879">
        <v>0.2226302</v>
      </c>
      <c r="W5879">
        <v>1.5970330000000001E-2</v>
      </c>
      <c r="X5879">
        <v>0.97477219999999998</v>
      </c>
      <c r="Y5879">
        <v>0.43824590000000002</v>
      </c>
      <c r="Z5879">
        <v>-8.1900210000000005E-3</v>
      </c>
      <c r="AA5879">
        <v>0.8988178</v>
      </c>
      <c r="AB5879">
        <v>22</v>
      </c>
      <c r="AC5879">
        <v>7.8305999999999703</v>
      </c>
      <c r="AD5879">
        <v>-1.1083730029350001</v>
      </c>
      <c r="AE5879">
        <v>-5.6050999999999904</v>
      </c>
      <c r="AF5879">
        <v>4.2657723348522198</v>
      </c>
      <c r="AG5879">
        <v>-1.1083730029350001</v>
      </c>
      <c r="AH5879">
        <v>8.4929159568745405</v>
      </c>
      <c r="AI5879">
        <v>96.651870114844201</v>
      </c>
      <c r="AJ5879">
        <v>63.330803284083203</v>
      </c>
      <c r="AK5879">
        <v>9.5684338204828396</v>
      </c>
      <c r="AL5879">
        <v>89.084928637807707</v>
      </c>
      <c r="AM5879">
        <v>77.1347673376671</v>
      </c>
      <c r="AN5879">
        <v>1.00000004964259</v>
      </c>
    </row>
    <row r="5880" spans="1:40" x14ac:dyDescent="0.25">
      <c r="A5880" t="str">
        <f>"20190312150811008"</f>
        <v>20190312150811008</v>
      </c>
      <c r="B5880" t="str">
        <f>"1552374490996353"</f>
        <v>1552374490996353</v>
      </c>
      <c r="C5880" t="s">
        <v>40</v>
      </c>
      <c r="D5880">
        <v>4.9740029999999997</v>
      </c>
      <c r="E5880">
        <v>0.58949609999999997</v>
      </c>
      <c r="F5880" t="s">
        <v>61</v>
      </c>
      <c r="G5880">
        <v>-199.166</v>
      </c>
      <c r="H5880" s="1">
        <v>2.9812599999999999E-6</v>
      </c>
      <c r="I5880">
        <v>208.84049999999999</v>
      </c>
      <c r="J5880">
        <v>-206.7944</v>
      </c>
      <c r="K5880">
        <v>1.108301</v>
      </c>
      <c r="L5880">
        <v>214.34450000000001</v>
      </c>
      <c r="M5880">
        <v>0.98722509999999997</v>
      </c>
      <c r="N5880">
        <v>0</v>
      </c>
      <c r="O5880">
        <v>-0.15874070000000001</v>
      </c>
      <c r="P5880">
        <v>0.9273129</v>
      </c>
      <c r="Q5880">
        <v>3.382763E-3</v>
      </c>
      <c r="R5880">
        <v>-0.3742723</v>
      </c>
      <c r="S5880">
        <v>2.5200809999999998</v>
      </c>
      <c r="T5880">
        <v>-0.35640719999999998</v>
      </c>
      <c r="U5880">
        <v>-1.7817689999999999</v>
      </c>
      <c r="V5880">
        <v>0.22239780000000001</v>
      </c>
      <c r="W5880">
        <v>1.5548859999999999E-2</v>
      </c>
      <c r="X5880">
        <v>0.97483200000000003</v>
      </c>
      <c r="Y5880">
        <v>0.43854120000000002</v>
      </c>
      <c r="Z5880">
        <v>-7.9768900000000004E-3</v>
      </c>
      <c r="AA5880">
        <v>0.89867569999999997</v>
      </c>
      <c r="AB5880">
        <v>22</v>
      </c>
      <c r="AC5880">
        <v>7.6283999999999903</v>
      </c>
      <c r="AD5880">
        <v>-1.10829801874</v>
      </c>
      <c r="AE5880">
        <v>-5.5040000000000102</v>
      </c>
      <c r="AF5880">
        <v>4.1653254487758096</v>
      </c>
      <c r="AG5880">
        <v>-1.10829801874</v>
      </c>
      <c r="AH5880">
        <v>8.2903642729964506</v>
      </c>
      <c r="AI5880">
        <v>96.812002546269895</v>
      </c>
      <c r="AJ5880">
        <v>63.323686668827897</v>
      </c>
      <c r="AK5880">
        <v>9.3438964234166502</v>
      </c>
      <c r="AL5880">
        <v>89.109080033746693</v>
      </c>
      <c r="AM5880">
        <v>77.148513164364303</v>
      </c>
      <c r="AN5880">
        <v>0.99999998835806903</v>
      </c>
    </row>
    <row r="5881" spans="1:40" x14ac:dyDescent="0.25">
      <c r="A5881" t="str">
        <f>"20190312150811031"</f>
        <v>20190312150811031</v>
      </c>
      <c r="B5881" t="str">
        <f>"1552374491025634"</f>
        <v>1552374491025634</v>
      </c>
      <c r="C5881" t="s">
        <v>40</v>
      </c>
      <c r="D5881">
        <v>5.0272969999999999</v>
      </c>
      <c r="E5881">
        <v>0.5897848</v>
      </c>
      <c r="F5881" t="s">
        <v>61</v>
      </c>
      <c r="G5881">
        <v>-199.11340000000001</v>
      </c>
      <c r="H5881" s="1">
        <v>2.9820419999999999E-6</v>
      </c>
      <c r="I5881">
        <v>208.87270000000001</v>
      </c>
      <c r="J5881">
        <v>-206.57149999999999</v>
      </c>
      <c r="K5881">
        <v>1.108236</v>
      </c>
      <c r="L5881">
        <v>214.3039</v>
      </c>
      <c r="M5881">
        <v>0.98658219999999996</v>
      </c>
      <c r="N5881">
        <v>0</v>
      </c>
      <c r="O5881">
        <v>-0.16268740000000001</v>
      </c>
      <c r="P5881">
        <v>0.92564440000000003</v>
      </c>
      <c r="Q5881">
        <v>2.327857E-3</v>
      </c>
      <c r="R5881">
        <v>-0.37838769999999999</v>
      </c>
      <c r="S5881">
        <v>2.5137179999999999</v>
      </c>
      <c r="T5881">
        <v>-0.3627087</v>
      </c>
      <c r="U5881">
        <v>-1.79072599999999</v>
      </c>
      <c r="V5881">
        <v>0.2228251</v>
      </c>
      <c r="W5881">
        <v>1.446418E-2</v>
      </c>
      <c r="X5881">
        <v>0.97475109999999998</v>
      </c>
      <c r="Y5881">
        <v>0.43811250000000002</v>
      </c>
      <c r="Z5881">
        <v>-7.6081309999999997E-3</v>
      </c>
      <c r="AA5881">
        <v>0.89888799999999902</v>
      </c>
      <c r="AB5881">
        <v>22</v>
      </c>
      <c r="AC5881">
        <v>7.4580999999999698</v>
      </c>
      <c r="AD5881">
        <v>-1.108233017958</v>
      </c>
      <c r="AE5881">
        <v>-5.4311999999999898</v>
      </c>
      <c r="AF5881">
        <v>4.08641550781247</v>
      </c>
      <c r="AG5881">
        <v>-1.108233017958</v>
      </c>
      <c r="AH5881">
        <v>8.1251581332116096</v>
      </c>
      <c r="AI5881">
        <v>96.947372822801199</v>
      </c>
      <c r="AJ5881">
        <v>63.300637666803802</v>
      </c>
      <c r="AK5881">
        <v>9.1621595060486296</v>
      </c>
      <c r="AL5881">
        <v>89.171234609216398</v>
      </c>
      <c r="AM5881">
        <v>77.123610371274395</v>
      </c>
      <c r="AN5881">
        <v>0.99999997232214499</v>
      </c>
    </row>
    <row r="5882" spans="1:40" x14ac:dyDescent="0.25">
      <c r="A5882" t="str">
        <f>"20190312150811053"</f>
        <v>20190312150811053</v>
      </c>
      <c r="B5882" t="str">
        <f>"1552374491046130"</f>
        <v>1552374491046130</v>
      </c>
      <c r="C5882" t="s">
        <v>40</v>
      </c>
      <c r="D5882">
        <v>4.9412789999999998</v>
      </c>
      <c r="E5882">
        <v>0.5900415</v>
      </c>
      <c r="F5882" t="s">
        <v>61</v>
      </c>
      <c r="G5882">
        <v>-199.11660000000001</v>
      </c>
      <c r="H5882" s="1">
        <v>2.9653849999999998E-6</v>
      </c>
      <c r="I5882">
        <v>208.93350000000001</v>
      </c>
      <c r="J5882">
        <v>-206.36259999999999</v>
      </c>
      <c r="K5882">
        <v>1.108195</v>
      </c>
      <c r="L5882">
        <v>214.26499999999999</v>
      </c>
      <c r="M5882">
        <v>0.98595239999999995</v>
      </c>
      <c r="N5882">
        <v>0</v>
      </c>
      <c r="O5882">
        <v>-0.16646140000000001</v>
      </c>
      <c r="P5882">
        <v>0.92353569999999996</v>
      </c>
      <c r="Q5882">
        <v>3.7077440000000001E-4</v>
      </c>
      <c r="R5882">
        <v>-0.38351259999999998</v>
      </c>
      <c r="S5882">
        <v>2.50441</v>
      </c>
      <c r="T5882">
        <v>-0.37230459999999999</v>
      </c>
      <c r="U5882">
        <v>-1.8041529999999999</v>
      </c>
      <c r="V5882">
        <v>0.22448779999999999</v>
      </c>
      <c r="W5882">
        <v>1.2474519999999999E-2</v>
      </c>
      <c r="X5882">
        <v>0.97439710000000002</v>
      </c>
      <c r="Y5882">
        <v>0.4393494</v>
      </c>
      <c r="Z5882">
        <v>-7.4221399999999998E-3</v>
      </c>
      <c r="AA5882">
        <v>0.89828560000000002</v>
      </c>
      <c r="AB5882">
        <v>22</v>
      </c>
      <c r="AC5882">
        <v>7.24599999999998</v>
      </c>
      <c r="AD5882">
        <v>-1.108192034615</v>
      </c>
      <c r="AE5882">
        <v>-5.3314999999999699</v>
      </c>
      <c r="AF5882">
        <v>3.9902562177388199</v>
      </c>
      <c r="AG5882">
        <v>-1.108192034615</v>
      </c>
      <c r="AH5882">
        <v>7.9123879079972097</v>
      </c>
      <c r="AI5882">
        <v>97.128145437407696</v>
      </c>
      <c r="AJ5882">
        <v>63.2379654155461</v>
      </c>
      <c r="AK5882">
        <v>8.9306280112547398</v>
      </c>
      <c r="AL5882">
        <v>89.285244147871595</v>
      </c>
      <c r="AM5882">
        <v>77.026212725009202</v>
      </c>
      <c r="AN5882">
        <v>1.00000004724323</v>
      </c>
    </row>
    <row r="5883" spans="1:40" x14ac:dyDescent="0.25">
      <c r="A5883" t="str">
        <f>"20190312150811074"</f>
        <v>20190312150811074</v>
      </c>
      <c r="B5883" t="str">
        <f>"1552374491065650"</f>
        <v>1552374491065650</v>
      </c>
      <c r="C5883" t="s">
        <v>40</v>
      </c>
      <c r="D5883">
        <v>4.9734939999999996</v>
      </c>
      <c r="E5883">
        <v>0.59039600000000003</v>
      </c>
      <c r="F5883" t="s">
        <v>61</v>
      </c>
      <c r="G5883">
        <v>-199.16069999999999</v>
      </c>
      <c r="H5883" s="1">
        <v>2.9380460000000001E-6</v>
      </c>
      <c r="I5883">
        <v>209.00720000000001</v>
      </c>
      <c r="J5883">
        <v>-206.15620000000001</v>
      </c>
      <c r="K5883">
        <v>1.108171</v>
      </c>
      <c r="L5883">
        <v>214.22559999999999</v>
      </c>
      <c r="M5883">
        <v>0.98530450000000003</v>
      </c>
      <c r="N5883">
        <v>0</v>
      </c>
      <c r="O5883">
        <v>-0.1702544</v>
      </c>
      <c r="P5883">
        <v>0.9212418</v>
      </c>
      <c r="Q5883">
        <v>-7.3257140000000003E-4</v>
      </c>
      <c r="R5883">
        <v>-0.38899040000000001</v>
      </c>
      <c r="S5883">
        <v>2.4928129999999999</v>
      </c>
      <c r="T5883">
        <v>-0.38358209999999998</v>
      </c>
      <c r="U5883">
        <v>-1.819885</v>
      </c>
      <c r="V5883">
        <v>0.22651859999999999</v>
      </c>
      <c r="W5883">
        <v>1.1339719999999999E-2</v>
      </c>
      <c r="X5883">
        <v>0.97394080000000005</v>
      </c>
      <c r="Y5883">
        <v>0.44147209999999998</v>
      </c>
      <c r="Z5883">
        <v>-7.3094479999999996E-3</v>
      </c>
      <c r="AA5883">
        <v>0.89724519999999997</v>
      </c>
      <c r="AB5883">
        <v>22</v>
      </c>
      <c r="AC5883">
        <v>6.9955000000000203</v>
      </c>
      <c r="AD5883">
        <v>-1.108168061954</v>
      </c>
      <c r="AE5883">
        <v>-5.2183999999999697</v>
      </c>
      <c r="AF5883">
        <v>3.8883799899243701</v>
      </c>
      <c r="AG5883">
        <v>-1.108168061954</v>
      </c>
      <c r="AH5883">
        <v>7.6584131976751602</v>
      </c>
      <c r="AI5883">
        <v>97.351795174212796</v>
      </c>
      <c r="AJ5883">
        <v>63.081883868831902</v>
      </c>
      <c r="AK5883">
        <v>8.6601863782429191</v>
      </c>
      <c r="AL5883">
        <v>89.350267960752603</v>
      </c>
      <c r="AM5883">
        <v>76.906949459327606</v>
      </c>
      <c r="AN5883">
        <v>0.99999997365013804</v>
      </c>
    </row>
    <row r="5884" spans="1:40" x14ac:dyDescent="0.25">
      <c r="A5884" t="str">
        <f>"20190312150811096"</f>
        <v>20190312150811096</v>
      </c>
      <c r="B5884" t="str">
        <f>"1552374491086146"</f>
        <v>1552374491086146</v>
      </c>
      <c r="C5884" t="s">
        <v>40</v>
      </c>
      <c r="D5884">
        <v>4.9689909999999999</v>
      </c>
      <c r="E5884">
        <v>0.59076830000000002</v>
      </c>
      <c r="F5884" t="s">
        <v>61</v>
      </c>
      <c r="G5884">
        <v>-199.1266</v>
      </c>
      <c r="H5884" s="1">
        <v>2.9407570000000002E-6</v>
      </c>
      <c r="I5884">
        <v>209.0198</v>
      </c>
      <c r="J5884">
        <v>-205.946</v>
      </c>
      <c r="K5884">
        <v>1.1081510000000001</v>
      </c>
      <c r="L5884">
        <v>214.18459999999999</v>
      </c>
      <c r="M5884">
        <v>0.98462070000000002</v>
      </c>
      <c r="N5884">
        <v>0</v>
      </c>
      <c r="O5884">
        <v>-0.174165299999999</v>
      </c>
      <c r="P5884">
        <v>0.91886679999999998</v>
      </c>
      <c r="Q5884">
        <v>-7.1324080000000002E-4</v>
      </c>
      <c r="R5884">
        <v>-0.39456730000000001</v>
      </c>
      <c r="S5884">
        <v>2.480515</v>
      </c>
      <c r="T5884">
        <v>-0.39103929999999998</v>
      </c>
      <c r="U5884">
        <v>-1.8369599999999999</v>
      </c>
      <c r="V5884">
        <v>0.22855549999999999</v>
      </c>
      <c r="W5884">
        <v>1.133114E-2</v>
      </c>
      <c r="X5884">
        <v>0.97346489999999997</v>
      </c>
      <c r="Y5884">
        <v>0.44395489999999999</v>
      </c>
      <c r="Z5884">
        <v>-7.1176939999999999E-3</v>
      </c>
      <c r="AA5884">
        <v>0.89602079999999995</v>
      </c>
      <c r="AB5884">
        <v>21</v>
      </c>
      <c r="AC5884">
        <v>6.8193999999999999</v>
      </c>
      <c r="AD5884">
        <v>-1.108148059243</v>
      </c>
      <c r="AE5884">
        <v>-5.1647999999999801</v>
      </c>
      <c r="AF5884">
        <v>3.8337018727542298</v>
      </c>
      <c r="AG5884">
        <v>-1.108148059243</v>
      </c>
      <c r="AH5884">
        <v>7.4890977858309498</v>
      </c>
      <c r="AI5884">
        <v>97.503442302653994</v>
      </c>
      <c r="AJ5884">
        <v>62.891894989038597</v>
      </c>
      <c r="AK5884">
        <v>8.4859794847796692</v>
      </c>
      <c r="AL5884">
        <v>89.350759582201306</v>
      </c>
      <c r="AM5884">
        <v>76.787092952747003</v>
      </c>
      <c r="AN5884">
        <v>0.99999996142297898</v>
      </c>
    </row>
    <row r="5885" spans="1:40" x14ac:dyDescent="0.25">
      <c r="A5885" t="str">
        <f>"20190312150811119"</f>
        <v>20190312150811119</v>
      </c>
      <c r="B5885" t="str">
        <f>"1552374491116402"</f>
        <v>1552374491116402</v>
      </c>
      <c r="C5885" t="s">
        <v>40</v>
      </c>
      <c r="D5885">
        <v>4.9840280000000003</v>
      </c>
      <c r="E5885">
        <v>0.59128340000000001</v>
      </c>
      <c r="F5885" t="s">
        <v>61</v>
      </c>
      <c r="G5885">
        <v>-199.01400000000001</v>
      </c>
      <c r="H5885" s="1">
        <v>2.9728129999999999E-6</v>
      </c>
      <c r="I5885">
        <v>208.9742</v>
      </c>
      <c r="J5885">
        <v>-205.7347</v>
      </c>
      <c r="K5885">
        <v>1.108139</v>
      </c>
      <c r="L5885">
        <v>214.14250000000001</v>
      </c>
      <c r="M5885">
        <v>0.98391050000000002</v>
      </c>
      <c r="N5885">
        <v>0</v>
      </c>
      <c r="O5885">
        <v>-0.17813319999999999</v>
      </c>
      <c r="P5885">
        <v>0.91662030000000005</v>
      </c>
      <c r="Q5885">
        <v>8.9209390000000003E-4</v>
      </c>
      <c r="R5885">
        <v>-0.3997578</v>
      </c>
      <c r="S5885">
        <v>2.4680019999999998</v>
      </c>
      <c r="T5885">
        <v>-0.3945342</v>
      </c>
      <c r="U5885">
        <v>-1.855057</v>
      </c>
      <c r="V5885">
        <v>0.23014660000000001</v>
      </c>
      <c r="W5885">
        <v>1.29146E-2</v>
      </c>
      <c r="X5885">
        <v>0.97307030000000005</v>
      </c>
      <c r="Y5885">
        <v>0.44669409999999998</v>
      </c>
      <c r="Z5885">
        <v>-6.8548059999999997E-3</v>
      </c>
      <c r="AA5885">
        <v>0.89466049999999997</v>
      </c>
      <c r="AB5885">
        <v>21</v>
      </c>
      <c r="AC5885">
        <v>6.7206999999999901</v>
      </c>
      <c r="AD5885">
        <v>-1.108136027187</v>
      </c>
      <c r="AE5885">
        <v>-5.1683000000000101</v>
      </c>
      <c r="AF5885">
        <v>3.8230201666549202</v>
      </c>
      <c r="AG5885">
        <v>-1.108136027187</v>
      </c>
      <c r="AH5885">
        <v>7.4073781126777796</v>
      </c>
      <c r="AI5885">
        <v>97.572373755941499</v>
      </c>
      <c r="AJ5885">
        <v>62.701299575381697</v>
      </c>
      <c r="AK5885">
        <v>8.4090843231339907</v>
      </c>
      <c r="AL5885">
        <v>89.260027374962405</v>
      </c>
      <c r="AM5885">
        <v>76.693167368096795</v>
      </c>
      <c r="AN5885">
        <v>1.0000000265633999</v>
      </c>
    </row>
    <row r="5886" spans="1:40" x14ac:dyDescent="0.25">
      <c r="A5886" t="str">
        <f>"20190312150811141"</f>
        <v>20190312150811141</v>
      </c>
      <c r="B5886" t="str">
        <f>"1552374491135922"</f>
        <v>1552374491135922</v>
      </c>
      <c r="C5886" t="s">
        <v>40</v>
      </c>
      <c r="D5886">
        <v>4.98203</v>
      </c>
      <c r="E5886">
        <v>0.59160230000000003</v>
      </c>
      <c r="F5886" t="s">
        <v>61</v>
      </c>
      <c r="G5886">
        <v>-198.83879999999999</v>
      </c>
      <c r="H5886" s="1">
        <v>3.0276239999999998E-6</v>
      </c>
      <c r="I5886">
        <v>208.88460000000001</v>
      </c>
      <c r="J5886">
        <v>-205.52170000000001</v>
      </c>
      <c r="K5886">
        <v>1.1081350000000001</v>
      </c>
      <c r="L5886">
        <v>214.09909999999999</v>
      </c>
      <c r="M5886">
        <v>0.98317319999999997</v>
      </c>
      <c r="N5886">
        <v>0</v>
      </c>
      <c r="O5886">
        <v>-0.1821593</v>
      </c>
      <c r="P5886">
        <v>0.91462759999999999</v>
      </c>
      <c r="Q5886">
        <v>2.0588469999999999E-3</v>
      </c>
      <c r="R5886">
        <v>-0.40429300000000001</v>
      </c>
      <c r="S5886">
        <v>2.4564509999999999</v>
      </c>
      <c r="T5886">
        <v>-0.39473940000000002</v>
      </c>
      <c r="U5886">
        <v>-1.8729709999999999</v>
      </c>
      <c r="V5886">
        <v>0.23099020000000001</v>
      </c>
      <c r="W5886">
        <v>1.4067970000000001E-2</v>
      </c>
      <c r="X5886">
        <v>0.97285440000000001</v>
      </c>
      <c r="Y5886">
        <v>0.44919809999999999</v>
      </c>
      <c r="Z5886">
        <v>-6.5051190000000002E-3</v>
      </c>
      <c r="AA5886">
        <v>0.89340849999999905</v>
      </c>
      <c r="AB5886">
        <v>21</v>
      </c>
      <c r="AC5886">
        <v>6.6829000000000098</v>
      </c>
      <c r="AD5886">
        <v>-1.1081319723759999</v>
      </c>
      <c r="AE5886">
        <v>-5.2144999999999797</v>
      </c>
      <c r="AF5886">
        <v>3.84407723672718</v>
      </c>
      <c r="AG5886">
        <v>-1.1081319723759999</v>
      </c>
      <c r="AH5886">
        <v>7.3946516374842499</v>
      </c>
      <c r="AI5886">
        <v>97.573797211689296</v>
      </c>
      <c r="AJ5886">
        <v>62.532531615065899</v>
      </c>
      <c r="AK5886">
        <v>8.4074823288469993</v>
      </c>
      <c r="AL5886">
        <v>89.193938129284305</v>
      </c>
      <c r="AM5886">
        <v>76.643278237468806</v>
      </c>
      <c r="AN5886">
        <v>1.0000000319376601</v>
      </c>
    </row>
    <row r="5887" spans="1:40" x14ac:dyDescent="0.25">
      <c r="A5887" t="str">
        <f>"20190312150811164"</f>
        <v>20190312150811164</v>
      </c>
      <c r="B5887" t="str">
        <f>"1552374491156423"</f>
        <v>1552374491156423</v>
      </c>
      <c r="C5887" t="s">
        <v>40</v>
      </c>
      <c r="D5887">
        <v>4.9654989999999897</v>
      </c>
      <c r="E5887">
        <v>0.59186179999999999</v>
      </c>
      <c r="F5887" t="s">
        <v>61</v>
      </c>
      <c r="G5887">
        <v>-198.64709999999999</v>
      </c>
      <c r="H5887" s="1">
        <v>3.0848800000000002E-6</v>
      </c>
      <c r="I5887">
        <v>208.79679999999999</v>
      </c>
      <c r="J5887">
        <v>-205.3133</v>
      </c>
      <c r="K5887">
        <v>1.1081399999999999</v>
      </c>
      <c r="L5887">
        <v>214.0557</v>
      </c>
      <c r="M5887">
        <v>0.98243179999999997</v>
      </c>
      <c r="N5887">
        <v>0</v>
      </c>
      <c r="O5887">
        <v>-0.18611610000000001</v>
      </c>
      <c r="P5887">
        <v>0.91314269999999997</v>
      </c>
      <c r="Q5887">
        <v>2.3054360000000001E-3</v>
      </c>
      <c r="R5887">
        <v>-0.40763329999999998</v>
      </c>
      <c r="S5887">
        <v>2.4467469999999998</v>
      </c>
      <c r="T5887">
        <v>-0.39439669999999999</v>
      </c>
      <c r="U5887">
        <v>-1.8871610000000001</v>
      </c>
      <c r="V5887">
        <v>0.23063149999999999</v>
      </c>
      <c r="W5887">
        <v>1.431637E-2</v>
      </c>
      <c r="X5887">
        <v>0.97293589999999996</v>
      </c>
      <c r="Y5887">
        <v>0.45058959999999998</v>
      </c>
      <c r="Z5887">
        <v>-6.0747580000000004E-3</v>
      </c>
      <c r="AA5887">
        <v>0.89271060000000002</v>
      </c>
      <c r="AB5887">
        <v>21</v>
      </c>
      <c r="AC5887">
        <v>6.6661999999999999</v>
      </c>
      <c r="AD5887">
        <v>-1.10813691512</v>
      </c>
      <c r="AE5887">
        <v>-5.2589000000000103</v>
      </c>
      <c r="AF5887">
        <v>3.8604394995114202</v>
      </c>
      <c r="AG5887">
        <v>-1.10813691512</v>
      </c>
      <c r="AH5887">
        <v>7.4024776653881004</v>
      </c>
      <c r="AI5887">
        <v>97.560830427570593</v>
      </c>
      <c r="AJ5887">
        <v>62.457670625544999</v>
      </c>
      <c r="AK5887">
        <v>8.4218546733251891</v>
      </c>
      <c r="AL5887">
        <v>89.179704444586704</v>
      </c>
      <c r="AM5887">
        <v>76.664355214760604</v>
      </c>
      <c r="AN5887">
        <v>1.00000005637551</v>
      </c>
    </row>
    <row r="5888" spans="1:40" x14ac:dyDescent="0.25">
      <c r="A5888" t="str">
        <f>"20190312150811186"</f>
        <v>20190312150811186</v>
      </c>
      <c r="B5888" t="str">
        <f>"1552374491175938"</f>
        <v>1552374491175938</v>
      </c>
      <c r="C5888" t="s">
        <v>40</v>
      </c>
      <c r="D5888">
        <v>4.9857259999999997</v>
      </c>
      <c r="E5888">
        <v>0.59213369999999999</v>
      </c>
      <c r="F5888" t="s">
        <v>61</v>
      </c>
      <c r="G5888">
        <v>-198.5187</v>
      </c>
      <c r="H5888" s="1">
        <v>3.1153040000000002E-6</v>
      </c>
      <c r="I5888">
        <v>208.7679</v>
      </c>
      <c r="J5888">
        <v>-205.10069999999999</v>
      </c>
      <c r="K5888">
        <v>1.108147</v>
      </c>
      <c r="L5888">
        <v>214.01050000000001</v>
      </c>
      <c r="M5888">
        <v>0.98165579999999997</v>
      </c>
      <c r="N5888">
        <v>0</v>
      </c>
      <c r="O5888">
        <v>-0.19016649999999999</v>
      </c>
      <c r="P5888">
        <v>0.91161080000000005</v>
      </c>
      <c r="Q5888">
        <v>2.6721739999999998E-3</v>
      </c>
      <c r="R5888">
        <v>-0.41104600000000002</v>
      </c>
      <c r="S5888">
        <v>2.4390109999999998</v>
      </c>
      <c r="T5888">
        <v>-0.39778039999999998</v>
      </c>
      <c r="U5888">
        <v>-1.8981319999999999</v>
      </c>
      <c r="V5888">
        <v>0.23025960000000001</v>
      </c>
      <c r="W5888">
        <v>1.468683E-2</v>
      </c>
      <c r="X5888">
        <v>0.97301839999999995</v>
      </c>
      <c r="Y5888">
        <v>0.45077830000000002</v>
      </c>
      <c r="Z5888">
        <v>-5.5961869999999999E-3</v>
      </c>
      <c r="AA5888">
        <v>0.89261840000000003</v>
      </c>
      <c r="AB5888">
        <v>21</v>
      </c>
      <c r="AC5888">
        <v>6.5819999999999901</v>
      </c>
      <c r="AD5888">
        <v>-1.1081438846959999</v>
      </c>
      <c r="AE5888">
        <v>-5.2426000000000004</v>
      </c>
      <c r="AF5888">
        <v>3.82872039178543</v>
      </c>
      <c r="AG5888">
        <v>-1.1081438846959999</v>
      </c>
      <c r="AH5888">
        <v>7.3317771536903198</v>
      </c>
      <c r="AI5888">
        <v>97.630758057107499</v>
      </c>
      <c r="AJ5888">
        <v>62.426028978711997</v>
      </c>
      <c r="AK5888">
        <v>8.3451805815715101</v>
      </c>
      <c r="AL5888">
        <v>89.158476368632094</v>
      </c>
      <c r="AM5888">
        <v>76.686181587772793</v>
      </c>
      <c r="AN5888">
        <v>0.99999999655308403</v>
      </c>
    </row>
    <row r="5889" spans="1:40" x14ac:dyDescent="0.25">
      <c r="A5889" t="str">
        <f>"20190312150811209"</f>
        <v>20190312150811209</v>
      </c>
      <c r="B5889" t="str">
        <f>"1552374491195458"</f>
        <v>1552374491195458</v>
      </c>
      <c r="C5889" t="s">
        <v>40</v>
      </c>
      <c r="D5889">
        <v>4.9993249999999998</v>
      </c>
      <c r="E5889">
        <v>0.59230539999999998</v>
      </c>
      <c r="F5889" t="s">
        <v>61</v>
      </c>
      <c r="G5889">
        <v>-198.35489999999999</v>
      </c>
      <c r="H5889" s="1">
        <v>3.159047E-6</v>
      </c>
      <c r="I5889">
        <v>208.7124</v>
      </c>
      <c r="J5889">
        <v>-204.8963</v>
      </c>
      <c r="K5889">
        <v>1.10815</v>
      </c>
      <c r="L5889">
        <v>213.96610000000001</v>
      </c>
      <c r="M5889">
        <v>0.98089190000000004</v>
      </c>
      <c r="N5889">
        <v>0</v>
      </c>
      <c r="O5889">
        <v>-0.19406870000000001</v>
      </c>
      <c r="P5889">
        <v>0.90992969999999895</v>
      </c>
      <c r="Q5889">
        <v>2.7471420000000002E-3</v>
      </c>
      <c r="R5889">
        <v>-0.4147535</v>
      </c>
      <c r="S5889">
        <v>2.4311069999999999</v>
      </c>
      <c r="T5889">
        <v>-0.39936339999999998</v>
      </c>
      <c r="U5889">
        <v>-1.9093629999999999</v>
      </c>
      <c r="V5889">
        <v>0.23035159999999999</v>
      </c>
      <c r="W5889">
        <v>1.4764080000000001E-2</v>
      </c>
      <c r="X5889">
        <v>0.97299550000000001</v>
      </c>
      <c r="Y5889">
        <v>0.4512024</v>
      </c>
      <c r="Z5889">
        <v>-5.1229989999999996E-3</v>
      </c>
      <c r="AA5889">
        <v>0.8924069</v>
      </c>
      <c r="AB5889">
        <v>21</v>
      </c>
      <c r="AC5889">
        <v>6.5414000000000003</v>
      </c>
      <c r="AD5889">
        <v>-1.108146840953</v>
      </c>
      <c r="AE5889">
        <v>-5.2537000000000003</v>
      </c>
      <c r="AF5889">
        <v>3.8175979949848799</v>
      </c>
      <c r="AG5889">
        <v>-1.108146840953</v>
      </c>
      <c r="AH5889">
        <v>7.30917566784992</v>
      </c>
      <c r="AI5889">
        <v>97.6538059596583</v>
      </c>
      <c r="AJ5889">
        <v>62.421838982418699</v>
      </c>
      <c r="AK5889">
        <v>8.32022192107374</v>
      </c>
      <c r="AL5889">
        <v>89.154049826747894</v>
      </c>
      <c r="AM5889">
        <v>76.6807493065524</v>
      </c>
      <c r="AN5889">
        <v>1.00000004035052</v>
      </c>
    </row>
    <row r="5890" spans="1:40" x14ac:dyDescent="0.25">
      <c r="A5890" t="str">
        <f>"20190312150811232"</f>
        <v>20190312150811232</v>
      </c>
      <c r="B5890" t="str">
        <f>"1552374491225714"</f>
        <v>1552374491225714</v>
      </c>
      <c r="C5890" t="s">
        <v>40</v>
      </c>
      <c r="D5890">
        <v>4.952064</v>
      </c>
      <c r="E5890">
        <v>0.59266619999999903</v>
      </c>
      <c r="F5890" t="s">
        <v>61</v>
      </c>
      <c r="G5890">
        <v>-198.1891</v>
      </c>
      <c r="H5890" s="1">
        <v>3.205006E-6</v>
      </c>
      <c r="I5890">
        <v>208.6499</v>
      </c>
      <c r="J5890">
        <v>-204.67850000000001</v>
      </c>
      <c r="K5890">
        <v>1.1081589999999999</v>
      </c>
      <c r="L5890">
        <v>213.9179</v>
      </c>
      <c r="M5890">
        <v>0.98005850000000005</v>
      </c>
      <c r="N5890">
        <v>0</v>
      </c>
      <c r="O5890">
        <v>-0.19823399999999999</v>
      </c>
      <c r="P5890">
        <v>0.90811719999999896</v>
      </c>
      <c r="Q5890">
        <v>1.645816E-3</v>
      </c>
      <c r="R5890">
        <v>-0.41871269999999999</v>
      </c>
      <c r="S5890">
        <v>2.4228360000000002</v>
      </c>
      <c r="T5890">
        <v>-0.40029490000000001</v>
      </c>
      <c r="U5890">
        <v>-1.920364</v>
      </c>
      <c r="V5890">
        <v>0.2304485</v>
      </c>
      <c r="W5890">
        <v>1.366698E-2</v>
      </c>
      <c r="X5890">
        <v>0.97298850000000003</v>
      </c>
      <c r="Y5890">
        <v>0.4514068</v>
      </c>
      <c r="Z5890">
        <v>-4.5866259999999999E-3</v>
      </c>
      <c r="AA5890">
        <v>0.89230640000000006</v>
      </c>
      <c r="AB5890">
        <v>21</v>
      </c>
      <c r="AC5890">
        <v>6.4894000000000096</v>
      </c>
      <c r="AD5890">
        <v>-1.108155794994</v>
      </c>
      <c r="AE5890">
        <v>-5.2679999999999998</v>
      </c>
      <c r="AF5890">
        <v>3.8099266207506202</v>
      </c>
      <c r="AG5890">
        <v>-1.108155794994</v>
      </c>
      <c r="AH5890">
        <v>7.2770767877096203</v>
      </c>
      <c r="AI5890">
        <v>97.683328485343296</v>
      </c>
      <c r="AJ5890">
        <v>62.365613275503399</v>
      </c>
      <c r="AK5890">
        <v>8.2885099201065806</v>
      </c>
      <c r="AL5890">
        <v>89.216915315903904</v>
      </c>
      <c r="AM5890">
        <v>76.675253774018998</v>
      </c>
      <c r="AN5890">
        <v>0.99999995931340901</v>
      </c>
    </row>
    <row r="5891" spans="1:40" x14ac:dyDescent="0.25">
      <c r="A5891" t="str">
        <f>"20190312150811254"</f>
        <v>20190312150811254</v>
      </c>
      <c r="B5891" t="str">
        <f>"1552374491246209"</f>
        <v>1552374491246209</v>
      </c>
      <c r="C5891" t="s">
        <v>40</v>
      </c>
      <c r="D5891">
        <v>6.5622399999999903</v>
      </c>
      <c r="E5891">
        <v>0.59266619999999903</v>
      </c>
      <c r="F5891" t="s">
        <v>61</v>
      </c>
      <c r="G5891">
        <v>-198.07400000000001</v>
      </c>
      <c r="H5891" s="1">
        <v>3.231796E-6</v>
      </c>
      <c r="I5891">
        <v>208.6259</v>
      </c>
      <c r="J5891">
        <v>-204.47120000000001</v>
      </c>
      <c r="K5891">
        <v>1.108168</v>
      </c>
      <c r="L5891">
        <v>213.87110000000001</v>
      </c>
      <c r="M5891">
        <v>0.97924770000000005</v>
      </c>
      <c r="N5891">
        <v>0</v>
      </c>
      <c r="O5891">
        <v>-0.2022012</v>
      </c>
      <c r="P5891">
        <v>0.90640350000000003</v>
      </c>
      <c r="Q5891">
        <v>4.92156E-4</v>
      </c>
      <c r="R5891">
        <v>-0.42241260000000003</v>
      </c>
      <c r="S5891">
        <v>2.4128569999999998</v>
      </c>
      <c r="T5891">
        <v>-0.40484740000000002</v>
      </c>
      <c r="U5891">
        <v>-1.9333499999999999</v>
      </c>
      <c r="V5891">
        <v>0.23046900000000001</v>
      </c>
      <c r="W5891">
        <v>1.2518380000000001E-2</v>
      </c>
      <c r="X5891">
        <v>0.97299919999999995</v>
      </c>
      <c r="Y5891">
        <v>0.45249600000000001</v>
      </c>
      <c r="Z5891">
        <v>-4.1776360000000002E-3</v>
      </c>
      <c r="AA5891">
        <v>0.89175669999999996</v>
      </c>
      <c r="AB5891">
        <v>21</v>
      </c>
      <c r="AC5891">
        <v>6.39719999999999</v>
      </c>
      <c r="AD5891">
        <v>-1.1081647682039999</v>
      </c>
      <c r="AE5891">
        <v>-5.2452000000000103</v>
      </c>
      <c r="AF5891">
        <v>3.7754439546486398</v>
      </c>
      <c r="AG5891">
        <v>-1.1081647682039999</v>
      </c>
      <c r="AH5891">
        <v>7.1965836548997197</v>
      </c>
      <c r="AI5891">
        <v>97.764927089703406</v>
      </c>
      <c r="AJ5891">
        <v>62.3177712108169</v>
      </c>
      <c r="AK5891">
        <v>8.2020011283924692</v>
      </c>
      <c r="AL5891">
        <v>89.282730965501301</v>
      </c>
      <c r="AM5891">
        <v>76.674252045104097</v>
      </c>
      <c r="AN5891">
        <v>1.00000005649973</v>
      </c>
    </row>
    <row r="5892" spans="1:40" x14ac:dyDescent="0.25">
      <c r="A5892" t="str">
        <f>"20190312150811275"</f>
        <v>20190312150811275</v>
      </c>
      <c r="B5892" t="str">
        <f>"1552374491265730"</f>
        <v>1552374491265730</v>
      </c>
      <c r="C5892" t="s">
        <v>40</v>
      </c>
      <c r="D5892">
        <v>4.8371300000000002</v>
      </c>
      <c r="E5892">
        <v>0.59078280000000005</v>
      </c>
      <c r="F5892" t="s">
        <v>61</v>
      </c>
      <c r="G5892">
        <v>-197.9425</v>
      </c>
      <c r="H5892" s="1">
        <v>3.2631670000000001E-6</v>
      </c>
      <c r="I5892">
        <v>208.59549999999999</v>
      </c>
      <c r="J5892">
        <v>-204.27109999999999</v>
      </c>
      <c r="K5892">
        <v>1.108174</v>
      </c>
      <c r="L5892">
        <v>213.82509999999999</v>
      </c>
      <c r="M5892">
        <v>0.9784467</v>
      </c>
      <c r="N5892">
        <v>0</v>
      </c>
      <c r="O5892">
        <v>-0.2060428</v>
      </c>
      <c r="P5892">
        <v>0.90452239999999995</v>
      </c>
      <c r="Q5892" s="1">
        <v>-8.6526390000000005E-5</v>
      </c>
      <c r="R5892">
        <v>-0.42642639999999998</v>
      </c>
      <c r="S5892">
        <v>2.4044949999999998</v>
      </c>
      <c r="T5892">
        <v>-0.40813050000000001</v>
      </c>
      <c r="U5892">
        <v>-1.9429780000000001</v>
      </c>
      <c r="V5892">
        <v>0.23096</v>
      </c>
      <c r="W5892">
        <v>1.193716E-2</v>
      </c>
      <c r="X5892">
        <v>0.97289000000000003</v>
      </c>
      <c r="Y5892">
        <v>0.45266909999999999</v>
      </c>
      <c r="Z5892">
        <v>-3.6946570000000001E-3</v>
      </c>
      <c r="AA5892">
        <v>0.89167090000000004</v>
      </c>
      <c r="AB5892">
        <v>21</v>
      </c>
      <c r="AC5892">
        <v>6.32859999999999</v>
      </c>
      <c r="AD5892">
        <v>-1.108170736833</v>
      </c>
      <c r="AE5892">
        <v>-5.2295999999999996</v>
      </c>
      <c r="AF5892">
        <v>3.7450460193088402</v>
      </c>
      <c r="AG5892">
        <v>-1.108170736833</v>
      </c>
      <c r="AH5892">
        <v>7.1403060840768804</v>
      </c>
      <c r="AI5892">
        <v>97.825803082481897</v>
      </c>
      <c r="AJ5892">
        <v>62.323269916279202</v>
      </c>
      <c r="AK5892">
        <v>8.1386352076388899</v>
      </c>
      <c r="AL5892">
        <v>89.316034857845096</v>
      </c>
      <c r="AM5892">
        <v>76.645433123408907</v>
      </c>
      <c r="AN5892">
        <v>0.99999998474443197</v>
      </c>
    </row>
    <row r="5893" spans="1:40" x14ac:dyDescent="0.25">
      <c r="A5893" t="str">
        <f>"20190312150811297"</f>
        <v>20190312150811297</v>
      </c>
      <c r="B5893" t="str">
        <f>"1552374491286226"</f>
        <v>1552374491286226</v>
      </c>
      <c r="C5893" t="s">
        <v>40</v>
      </c>
      <c r="D5893">
        <v>4.8346519999999904</v>
      </c>
      <c r="E5893">
        <v>0.58878750000000002</v>
      </c>
      <c r="F5893" t="s">
        <v>61</v>
      </c>
      <c r="G5893">
        <v>-197.69880000000001</v>
      </c>
      <c r="H5893" s="1">
        <v>3.3270519999999998E-6</v>
      </c>
      <c r="I5893">
        <v>208.51750000000001</v>
      </c>
      <c r="J5893">
        <v>-204.0626</v>
      </c>
      <c r="K5893">
        <v>1.1081810000000001</v>
      </c>
      <c r="L5893">
        <v>213.77619999999999</v>
      </c>
      <c r="M5893">
        <v>0.97759110000000005</v>
      </c>
      <c r="N5893">
        <v>0</v>
      </c>
      <c r="O5893">
        <v>-0.21006520000000001</v>
      </c>
      <c r="P5893">
        <v>0.90204419999999996</v>
      </c>
      <c r="Q5893">
        <v>-1.3702739999999999E-4</v>
      </c>
      <c r="R5893">
        <v>-0.43164419999999998</v>
      </c>
      <c r="S5893">
        <v>2.4020999999999999</v>
      </c>
      <c r="T5893">
        <v>-0.40502450000000001</v>
      </c>
      <c r="U5893">
        <v>-1.939865</v>
      </c>
      <c r="V5893">
        <v>0.2325778</v>
      </c>
      <c r="W5893">
        <v>1.187041E-2</v>
      </c>
      <c r="X5893">
        <v>0.97250530000000002</v>
      </c>
      <c r="Y5893">
        <v>0.44882899999999998</v>
      </c>
      <c r="Z5893">
        <v>-2.828438E-3</v>
      </c>
      <c r="AA5893">
        <v>0.8936132</v>
      </c>
      <c r="AB5893">
        <v>21</v>
      </c>
      <c r="AC5893">
        <v>6.3637999999999897</v>
      </c>
      <c r="AD5893">
        <v>-1.108177672948</v>
      </c>
      <c r="AE5893">
        <v>-5.25869999999997</v>
      </c>
      <c r="AF5893">
        <v>3.7370637622091798</v>
      </c>
      <c r="AG5893">
        <v>-1.108177672948</v>
      </c>
      <c r="AH5893">
        <v>7.1968702860232998</v>
      </c>
      <c r="AI5893">
        <v>97.781572709381393</v>
      </c>
      <c r="AJ5893">
        <v>62.558846957348301</v>
      </c>
      <c r="AK5893">
        <v>8.1846591396027399</v>
      </c>
      <c r="AL5893">
        <v>89.319859597941601</v>
      </c>
      <c r="AM5893">
        <v>76.5501486215488</v>
      </c>
      <c r="AN5893">
        <v>0.99999994910724699</v>
      </c>
    </row>
    <row r="5894" spans="1:40" x14ac:dyDescent="0.25">
      <c r="A5894" t="str">
        <f>"20190312150811332"</f>
        <v>20190312150811332</v>
      </c>
      <c r="B5894" t="str">
        <f>"1552374491326245"</f>
        <v>1552374491326245</v>
      </c>
      <c r="C5894" t="s">
        <v>40</v>
      </c>
      <c r="D5894">
        <v>4.981471</v>
      </c>
      <c r="E5894">
        <v>0.58555690000000005</v>
      </c>
      <c r="F5894" t="s">
        <v>61</v>
      </c>
      <c r="G5894">
        <v>-197.43170000000001</v>
      </c>
      <c r="H5894" s="1">
        <v>3.4016670000000001E-6</v>
      </c>
      <c r="I5894">
        <v>208.41470000000001</v>
      </c>
      <c r="J5894">
        <v>-203.75149999999999</v>
      </c>
      <c r="K5894">
        <v>1.108155</v>
      </c>
      <c r="L5894">
        <v>213.70160000000001</v>
      </c>
      <c r="M5894">
        <v>0.97626380000000001</v>
      </c>
      <c r="N5894">
        <v>0</v>
      </c>
      <c r="O5894">
        <v>-0.2161497</v>
      </c>
      <c r="P5894">
        <v>0.8985552</v>
      </c>
      <c r="Q5894">
        <v>4.4968070000000001E-4</v>
      </c>
      <c r="R5894">
        <v>-0.4388608</v>
      </c>
      <c r="S5894">
        <v>2.3979029999999999</v>
      </c>
      <c r="T5894">
        <v>-0.40074549999999998</v>
      </c>
      <c r="U5894">
        <v>-1.9388890000000001</v>
      </c>
      <c r="V5894">
        <v>0.23432020000000001</v>
      </c>
      <c r="W5894">
        <v>1.242445E-2</v>
      </c>
      <c r="X5894">
        <v>0.9720801</v>
      </c>
      <c r="Y5894">
        <v>0.44393139999999998</v>
      </c>
      <c r="Z5894">
        <v>-1.6087089999999901E-3</v>
      </c>
      <c r="AA5894">
        <v>0.8960593</v>
      </c>
      <c r="AB5894">
        <v>21</v>
      </c>
      <c r="AC5894">
        <v>6.3197999999999803</v>
      </c>
      <c r="AD5894">
        <v>-1.1081515983329999</v>
      </c>
      <c r="AE5894">
        <v>-5.2869000000000002</v>
      </c>
      <c r="AF5894">
        <v>3.72830684772961</v>
      </c>
      <c r="AG5894">
        <v>-1.1081515983329999</v>
      </c>
      <c r="AH5894">
        <v>7.1833123014786002</v>
      </c>
      <c r="AI5894">
        <v>97.796650817327802</v>
      </c>
      <c r="AJ5894">
        <v>62.569633257263497</v>
      </c>
      <c r="AK5894">
        <v>8.1687359815511993</v>
      </c>
      <c r="AL5894">
        <v>89.288113151753294</v>
      </c>
      <c r="AM5894">
        <v>76.447379981436995</v>
      </c>
      <c r="AN5894">
        <v>1.00000002195092</v>
      </c>
    </row>
    <row r="5895" spans="1:40" x14ac:dyDescent="0.25">
      <c r="A5895" t="str">
        <f>"20190312150811354"</f>
        <v>20190312150811354</v>
      </c>
      <c r="B5895" t="str">
        <f>"1552374491345762"</f>
        <v>1552374491345762</v>
      </c>
      <c r="C5895" t="s">
        <v>40</v>
      </c>
      <c r="D5895">
        <v>4.8162409999999998</v>
      </c>
      <c r="E5895">
        <v>0.5840938</v>
      </c>
      <c r="F5895" t="s">
        <v>61</v>
      </c>
      <c r="G5895">
        <v>-196.93700000000001</v>
      </c>
      <c r="H5895" s="1">
        <v>3.548399E-6</v>
      </c>
      <c r="I5895">
        <v>208.1919</v>
      </c>
      <c r="J5895">
        <v>-203.54390000000001</v>
      </c>
      <c r="K5895">
        <v>1.1081129999999999</v>
      </c>
      <c r="L5895">
        <v>213.65049999999999</v>
      </c>
      <c r="M5895">
        <v>0.97533669999999995</v>
      </c>
      <c r="N5895">
        <v>0</v>
      </c>
      <c r="O5895">
        <v>-0.2202954</v>
      </c>
      <c r="P5895">
        <v>0.89593449999999997</v>
      </c>
      <c r="Q5895">
        <v>5.3790769999999895E-4</v>
      </c>
      <c r="R5895">
        <v>-0.44418669999999999</v>
      </c>
      <c r="S5895">
        <v>2.3936459999999999</v>
      </c>
      <c r="T5895">
        <v>-0.38924350000000002</v>
      </c>
      <c r="U5895">
        <v>-1.935303</v>
      </c>
      <c r="V5895">
        <v>0.2359619</v>
      </c>
      <c r="W5895">
        <v>1.247595E-2</v>
      </c>
      <c r="X5895">
        <v>0.97168220000000005</v>
      </c>
      <c r="Y5895">
        <v>0.44025029999999998</v>
      </c>
      <c r="Z5895">
        <v>-7.5010579999999999E-4</v>
      </c>
      <c r="AA5895">
        <v>0.89787479999999997</v>
      </c>
      <c r="AB5895">
        <v>21</v>
      </c>
      <c r="AC5895">
        <v>6.6068999999999898</v>
      </c>
      <c r="AD5895">
        <v>-1.1081094516009999</v>
      </c>
      <c r="AE5895">
        <v>-5.4585999999999899</v>
      </c>
      <c r="AF5895">
        <v>3.8052506095996499</v>
      </c>
      <c r="AG5895">
        <v>-1.1081094516009999</v>
      </c>
      <c r="AH5895">
        <v>7.521431820588</v>
      </c>
      <c r="AI5895">
        <v>97.489180135619407</v>
      </c>
      <c r="AJ5895">
        <v>63.164191623108998</v>
      </c>
      <c r="AK5895">
        <v>8.50175131313188</v>
      </c>
      <c r="AL5895">
        <v>89.285162162385703</v>
      </c>
      <c r="AM5895">
        <v>76.350586636206003</v>
      </c>
      <c r="AN5895">
        <v>0.99999998268842605</v>
      </c>
    </row>
    <row r="5896" spans="1:40" x14ac:dyDescent="0.25">
      <c r="A5896" t="str">
        <f>"20190312150811376"</f>
        <v>20190312150811376</v>
      </c>
      <c r="B5896" t="str">
        <f>"1552374491366258"</f>
        <v>1552374491366258</v>
      </c>
      <c r="C5896" t="s">
        <v>40</v>
      </c>
      <c r="D5896">
        <v>4.8160339999999904</v>
      </c>
      <c r="E5896">
        <v>0.58275809999999995</v>
      </c>
      <c r="F5896" t="s">
        <v>61</v>
      </c>
      <c r="G5896">
        <v>-196.66890000000001</v>
      </c>
      <c r="H5896" s="1">
        <v>3.629381E-6</v>
      </c>
      <c r="I5896">
        <v>208.06569999999999</v>
      </c>
      <c r="J5896">
        <v>-203.34190000000001</v>
      </c>
      <c r="K5896">
        <v>1.1080669999999999</v>
      </c>
      <c r="L5896">
        <v>213.59989999999999</v>
      </c>
      <c r="M5896">
        <v>0.97439880000000001</v>
      </c>
      <c r="N5896">
        <v>0</v>
      </c>
      <c r="O5896">
        <v>-0.22440689999999999</v>
      </c>
      <c r="P5896">
        <v>0.89304680000000003</v>
      </c>
      <c r="Q5896">
        <v>1.3195859999999999E-4</v>
      </c>
      <c r="R5896">
        <v>-0.44996399999999998</v>
      </c>
      <c r="S5896">
        <v>2.387222</v>
      </c>
      <c r="T5896">
        <v>-0.38477210000000001</v>
      </c>
      <c r="U5896">
        <v>-1.9392400000000001</v>
      </c>
      <c r="V5896">
        <v>0.2381384</v>
      </c>
      <c r="W5896">
        <v>1.202346E-2</v>
      </c>
      <c r="X5896">
        <v>0.97115680000000004</v>
      </c>
      <c r="Y5896">
        <v>0.43861620000000001</v>
      </c>
      <c r="Z5896" s="1">
        <v>-8.6097050000000003E-5</v>
      </c>
      <c r="AA5896">
        <v>0.89867450000000004</v>
      </c>
      <c r="AB5896">
        <v>21</v>
      </c>
      <c r="AC5896">
        <v>6.673</v>
      </c>
      <c r="AD5896">
        <v>-1.108063370619</v>
      </c>
      <c r="AE5896">
        <v>-5.5341999999999896</v>
      </c>
      <c r="AF5896">
        <v>3.8328025280782998</v>
      </c>
      <c r="AG5896">
        <v>-1.108063370619</v>
      </c>
      <c r="AH5896">
        <v>7.62031526978092</v>
      </c>
      <c r="AI5896">
        <v>97.4014522269824</v>
      </c>
      <c r="AJ5896">
        <v>63.298900491806997</v>
      </c>
      <c r="AK5896">
        <v>8.6015919726180492</v>
      </c>
      <c r="AL5896">
        <v>89.311089884636303</v>
      </c>
      <c r="AM5896">
        <v>76.222291145679407</v>
      </c>
      <c r="AN5896">
        <v>0.99999999566558495</v>
      </c>
    </row>
    <row r="5897" spans="1:40" x14ac:dyDescent="0.25">
      <c r="A5897" t="str">
        <f>"20190312150811398"</f>
        <v>20190312150811398</v>
      </c>
      <c r="B5897" t="str">
        <f>"1552374491385778"</f>
        <v>1552374491385778</v>
      </c>
      <c r="C5897" t="s">
        <v>40</v>
      </c>
      <c r="D5897">
        <v>4.7956919999999998</v>
      </c>
      <c r="E5897">
        <v>0.58147169999999904</v>
      </c>
      <c r="F5897" t="s">
        <v>61</v>
      </c>
      <c r="G5897">
        <v>-196.45249999999999</v>
      </c>
      <c r="H5897" s="1">
        <v>3.693658E-6</v>
      </c>
      <c r="I5897">
        <v>207.96789999999999</v>
      </c>
      <c r="J5897">
        <v>-203.1379</v>
      </c>
      <c r="K5897">
        <v>1.1079939999999999</v>
      </c>
      <c r="L5897">
        <v>213.54769999999999</v>
      </c>
      <c r="M5897">
        <v>0.97340579999999999</v>
      </c>
      <c r="N5897">
        <v>0</v>
      </c>
      <c r="O5897">
        <v>-0.22867589999999999</v>
      </c>
      <c r="P5897">
        <v>0.89007619999999898</v>
      </c>
      <c r="Q5897">
        <v>3.3961419999999998E-4</v>
      </c>
      <c r="R5897">
        <v>-0.45581159999999998</v>
      </c>
      <c r="S5897">
        <v>2.379318</v>
      </c>
      <c r="T5897">
        <v>-0.38268449999999998</v>
      </c>
      <c r="U5897">
        <v>-1.945084</v>
      </c>
      <c r="V5897">
        <v>0.240254</v>
      </c>
      <c r="W5897">
        <v>1.217509E-2</v>
      </c>
      <c r="X5897">
        <v>0.97063370000000004</v>
      </c>
      <c r="Y5897">
        <v>0.43751640000000003</v>
      </c>
      <c r="Z5897">
        <v>5.5027570000000005E-4</v>
      </c>
      <c r="AA5897">
        <v>0.89921030000000002</v>
      </c>
      <c r="AB5897">
        <v>21</v>
      </c>
      <c r="AC5897">
        <v>6.6854000000000102</v>
      </c>
      <c r="AD5897">
        <v>-1.107990306342</v>
      </c>
      <c r="AE5897">
        <v>-5.5797999999999996</v>
      </c>
      <c r="AF5897">
        <v>3.84080626121114</v>
      </c>
      <c r="AG5897">
        <v>-1.107990306342</v>
      </c>
      <c r="AH5897">
        <v>7.6602889815800097</v>
      </c>
      <c r="AI5897">
        <v>97.367389076374906</v>
      </c>
      <c r="AJ5897">
        <v>63.371187855765903</v>
      </c>
      <c r="AK5897">
        <v>8.6405707297853098</v>
      </c>
      <c r="AL5897">
        <v>89.302401491507098</v>
      </c>
      <c r="AM5897">
        <v>76.097416694100403</v>
      </c>
      <c r="AN5897">
        <v>0.99999999845409904</v>
      </c>
    </row>
    <row r="5898" spans="1:40" x14ac:dyDescent="0.25">
      <c r="A5898" t="str">
        <f>"20190312150811422"</f>
        <v>20190312150811422</v>
      </c>
      <c r="B5898" t="str">
        <f>"1552374491416034"</f>
        <v>1552374491416034</v>
      </c>
      <c r="C5898" t="s">
        <v>40</v>
      </c>
      <c r="D5898">
        <v>4.9752929999999997</v>
      </c>
      <c r="E5898">
        <v>0.57973129999999995</v>
      </c>
      <c r="F5898" t="s">
        <v>61</v>
      </c>
      <c r="G5898">
        <v>-196.20519999999999</v>
      </c>
      <c r="H5898" s="1">
        <v>3.77097E-6</v>
      </c>
      <c r="I5898">
        <v>207.8416</v>
      </c>
      <c r="J5898">
        <v>-202.9211</v>
      </c>
      <c r="K5898">
        <v>1.1079079999999999</v>
      </c>
      <c r="L5898">
        <v>213.49100000000001</v>
      </c>
      <c r="M5898">
        <v>0.97228999999999999</v>
      </c>
      <c r="N5898">
        <v>0</v>
      </c>
      <c r="O5898">
        <v>-0.2333742</v>
      </c>
      <c r="P5898">
        <v>0.88692950000000004</v>
      </c>
      <c r="Q5898">
        <v>4.6142749999999999E-4</v>
      </c>
      <c r="R5898">
        <v>-0.46190500000000001</v>
      </c>
      <c r="S5898">
        <v>2.3711850000000001</v>
      </c>
      <c r="T5898">
        <v>-0.37896669999999999</v>
      </c>
      <c r="U5898">
        <v>-1.9516450000000001</v>
      </c>
      <c r="V5898">
        <v>0.242226</v>
      </c>
      <c r="W5898">
        <v>1.2228960000000001E-2</v>
      </c>
      <c r="X5898">
        <v>0.97014279999999997</v>
      </c>
      <c r="Y5898">
        <v>0.43624049999999998</v>
      </c>
      <c r="Z5898">
        <v>1.2439489999999901E-3</v>
      </c>
      <c r="AA5898">
        <v>0.89982929999999905</v>
      </c>
      <c r="AB5898">
        <v>21</v>
      </c>
      <c r="AC5898">
        <v>6.7159000000000004</v>
      </c>
      <c r="AD5898">
        <v>-1.1079042290300001</v>
      </c>
      <c r="AE5898">
        <v>-5.6493999999999804</v>
      </c>
      <c r="AF5898">
        <v>3.8643219710799501</v>
      </c>
      <c r="AG5898">
        <v>-1.1079042290300001</v>
      </c>
      <c r="AH5898">
        <v>7.7258402991733899</v>
      </c>
      <c r="AI5898">
        <v>97.308498476210104</v>
      </c>
      <c r="AJ5898">
        <v>63.426632562418099</v>
      </c>
      <c r="AK5898">
        <v>8.7091356864619698</v>
      </c>
      <c r="AL5898">
        <v>89.299314751380095</v>
      </c>
      <c r="AM5898">
        <v>75.980972515805306</v>
      </c>
      <c r="AN5898">
        <v>1.0000000174652599</v>
      </c>
    </row>
    <row r="5899" spans="1:40" x14ac:dyDescent="0.25">
      <c r="A5899" t="str">
        <f>"20190312150811444"</f>
        <v>20190312150811444</v>
      </c>
      <c r="B5899" t="str">
        <f>"1552374491436530"</f>
        <v>1552374491436530</v>
      </c>
      <c r="C5899" t="s">
        <v>40</v>
      </c>
      <c r="D5899">
        <v>4.8082079999999996</v>
      </c>
      <c r="E5899">
        <v>0.57861169999999995</v>
      </c>
      <c r="F5899" t="s">
        <v>61</v>
      </c>
      <c r="G5899">
        <v>-195.93340000000001</v>
      </c>
      <c r="H5899" s="1">
        <v>3.853668E-6</v>
      </c>
      <c r="I5899">
        <v>207.71129999999999</v>
      </c>
      <c r="J5899">
        <v>-202.7225</v>
      </c>
      <c r="K5899">
        <v>1.1078170000000001</v>
      </c>
      <c r="L5899">
        <v>213.43790000000001</v>
      </c>
      <c r="M5899">
        <v>0.97120359999999994</v>
      </c>
      <c r="N5899">
        <v>0</v>
      </c>
      <c r="O5899">
        <v>-0.23785419999999999</v>
      </c>
      <c r="P5899">
        <v>0.88420299999999996</v>
      </c>
      <c r="Q5899">
        <v>2.6327510000000002E-4</v>
      </c>
      <c r="R5899">
        <v>-0.4671033</v>
      </c>
      <c r="S5899">
        <v>2.3642270000000001</v>
      </c>
      <c r="T5899">
        <v>-0.37485299999999999</v>
      </c>
      <c r="U5899">
        <v>-1.955505</v>
      </c>
      <c r="V5899">
        <v>0.24344959999999999</v>
      </c>
      <c r="W5899">
        <v>1.196434E-2</v>
      </c>
      <c r="X5899">
        <v>0.96983980000000003</v>
      </c>
      <c r="Y5899">
        <v>0.43433840000000001</v>
      </c>
      <c r="Z5899">
        <v>1.938967E-3</v>
      </c>
      <c r="AA5899">
        <v>0.90074770000000004</v>
      </c>
      <c r="AB5899">
        <v>21</v>
      </c>
      <c r="AC5899">
        <v>6.7890999999999897</v>
      </c>
      <c r="AD5899">
        <v>-1.107813146332</v>
      </c>
      <c r="AE5899">
        <v>-5.7266000000000101</v>
      </c>
      <c r="AF5899">
        <v>3.8867836794736901</v>
      </c>
      <c r="AG5899">
        <v>-1.107813146332</v>
      </c>
      <c r="AH5899">
        <v>7.83456135901202</v>
      </c>
      <c r="AI5899">
        <v>97.2191707016122</v>
      </c>
      <c r="AJ5899">
        <v>63.613651224966098</v>
      </c>
      <c r="AK5899">
        <v>8.8155935152622202</v>
      </c>
      <c r="AL5899">
        <v>89.3144774889102</v>
      </c>
      <c r="AM5899">
        <v>75.908742823196306</v>
      </c>
      <c r="AN5899">
        <v>1.0000000454179101</v>
      </c>
    </row>
    <row r="5900" spans="1:40" x14ac:dyDescent="0.25">
      <c r="A5900" t="str">
        <f>"20190312150811466"</f>
        <v>20190312150811466</v>
      </c>
      <c r="B5900" t="str">
        <f>"1552374491456050"</f>
        <v>1552374491456050</v>
      </c>
      <c r="C5900" t="s">
        <v>40</v>
      </c>
      <c r="D5900">
        <v>4.7815789999999998</v>
      </c>
      <c r="E5900">
        <v>0.57752130000000002</v>
      </c>
      <c r="F5900" t="s">
        <v>61</v>
      </c>
      <c r="G5900">
        <v>-195.714</v>
      </c>
      <c r="H5900" s="1">
        <v>3.9207509999999999E-6</v>
      </c>
      <c r="I5900">
        <v>207.60499999999999</v>
      </c>
      <c r="J5900">
        <v>-202.52070000000001</v>
      </c>
      <c r="K5900">
        <v>1.1076979999999901</v>
      </c>
      <c r="L5900">
        <v>213.3827</v>
      </c>
      <c r="M5900">
        <v>0.97002639999999996</v>
      </c>
      <c r="N5900">
        <v>0</v>
      </c>
      <c r="O5900">
        <v>-0.24260970000000001</v>
      </c>
      <c r="P5900">
        <v>0.88141099999999994</v>
      </c>
      <c r="Q5900">
        <v>4.1877290000000002E-4</v>
      </c>
      <c r="R5900">
        <v>-0.47234989999999999</v>
      </c>
      <c r="S5900">
        <v>2.3567960000000001</v>
      </c>
      <c r="T5900">
        <v>-0.37253609999999998</v>
      </c>
      <c r="U5900">
        <v>-1.961487</v>
      </c>
      <c r="V5900">
        <v>0.24446660000000001</v>
      </c>
      <c r="W5900">
        <v>1.2044920000000001E-2</v>
      </c>
      <c r="X5900">
        <v>0.96958290000000003</v>
      </c>
      <c r="Y5900">
        <v>0.43273129999999999</v>
      </c>
      <c r="Z5900">
        <v>2.646748E-3</v>
      </c>
      <c r="AA5900">
        <v>0.90151910000000002</v>
      </c>
      <c r="AB5900">
        <v>21</v>
      </c>
      <c r="AC5900">
        <v>6.80669999999997</v>
      </c>
      <c r="AD5900">
        <v>-1.10769407924899</v>
      </c>
      <c r="AE5900">
        <v>-5.7777000000000003</v>
      </c>
      <c r="AF5900">
        <v>3.8935920229960201</v>
      </c>
      <c r="AG5900">
        <v>-1.10769407924899</v>
      </c>
      <c r="AH5900">
        <v>7.8838105926394197</v>
      </c>
      <c r="AI5900">
        <v>97.180094042373597</v>
      </c>
      <c r="AJ5900">
        <v>63.716531077333102</v>
      </c>
      <c r="AK5900">
        <v>8.8623650610519906</v>
      </c>
      <c r="AL5900">
        <v>89.309860230662395</v>
      </c>
      <c r="AM5900">
        <v>75.848638370104197</v>
      </c>
      <c r="AN5900">
        <v>0.99999999929288796</v>
      </c>
    </row>
    <row r="5901" spans="1:40" x14ac:dyDescent="0.25">
      <c r="A5901" t="str">
        <f>"20190312150811488"</f>
        <v>20190312150811488</v>
      </c>
      <c r="B5901" t="str">
        <f>"1552374491476550"</f>
        <v>1552374491476550</v>
      </c>
      <c r="C5901" t="s">
        <v>40</v>
      </c>
      <c r="D5901">
        <v>4.7502240000000002</v>
      </c>
      <c r="E5901">
        <v>0.57655159999999905</v>
      </c>
      <c r="F5901" t="s">
        <v>61</v>
      </c>
      <c r="G5901">
        <v>-195.47130000000001</v>
      </c>
      <c r="H5901" s="1">
        <v>3.998065E-6</v>
      </c>
      <c r="I5901">
        <v>207.47559999999999</v>
      </c>
      <c r="J5901">
        <v>-202.3193</v>
      </c>
      <c r="K5901">
        <v>1.1075710000000001</v>
      </c>
      <c r="L5901">
        <v>213.3262</v>
      </c>
      <c r="M5901">
        <v>0.96877100000000005</v>
      </c>
      <c r="N5901">
        <v>0</v>
      </c>
      <c r="O5901">
        <v>-0.24757489999999999</v>
      </c>
      <c r="P5901">
        <v>0.87862180000000001</v>
      </c>
      <c r="Q5901">
        <v>5.0557309999999997E-4</v>
      </c>
      <c r="R5901">
        <v>-0.47751850000000001</v>
      </c>
      <c r="S5901">
        <v>2.3489689999999999</v>
      </c>
      <c r="T5901">
        <v>-0.36910090000000001</v>
      </c>
      <c r="U5901">
        <v>-1.968323</v>
      </c>
      <c r="V5901">
        <v>0.2451998</v>
      </c>
      <c r="W5901">
        <v>1.2055410000000001E-2</v>
      </c>
      <c r="X5901">
        <v>0.96939759999999997</v>
      </c>
      <c r="Y5901">
        <v>0.431201</v>
      </c>
      <c r="Z5901">
        <v>3.3578480000000001E-3</v>
      </c>
      <c r="AA5901">
        <v>0.90224970000000004</v>
      </c>
      <c r="AB5901">
        <v>21</v>
      </c>
      <c r="AC5901">
        <v>6.8479999999999803</v>
      </c>
      <c r="AD5901">
        <v>-1.1075670019349999</v>
      </c>
      <c r="AE5901">
        <v>-5.8506000000000098</v>
      </c>
      <c r="AF5901">
        <v>3.9136950727593298</v>
      </c>
      <c r="AG5901">
        <v>-1.1075670019349999</v>
      </c>
      <c r="AH5901">
        <v>7.9629612997287298</v>
      </c>
      <c r="AI5901">
        <v>97.115305748870199</v>
      </c>
      <c r="AJ5901">
        <v>63.826465140866702</v>
      </c>
      <c r="AK5901">
        <v>8.9416143087975701</v>
      </c>
      <c r="AL5901">
        <v>89.309259148466595</v>
      </c>
      <c r="AM5901">
        <v>75.805305128382699</v>
      </c>
      <c r="AN5901">
        <v>0.99999999085803304</v>
      </c>
    </row>
    <row r="5902" spans="1:40" x14ac:dyDescent="0.25">
      <c r="A5902" t="str">
        <f>"20190312150811511"</f>
        <v>20190312150811511</v>
      </c>
      <c r="B5902" t="str">
        <f>"1552374491505826"</f>
        <v>1552374491505826</v>
      </c>
      <c r="C5902" t="s">
        <v>40</v>
      </c>
      <c r="D5902">
        <v>4.7414449999999997</v>
      </c>
      <c r="E5902">
        <v>0.57507159999999902</v>
      </c>
      <c r="F5902" t="s">
        <v>61</v>
      </c>
      <c r="G5902">
        <v>-195.24600000000001</v>
      </c>
      <c r="H5902" s="1">
        <v>4.0692400000000002E-6</v>
      </c>
      <c r="I5902">
        <v>207.35769999999999</v>
      </c>
      <c r="J5902">
        <v>-202.1131</v>
      </c>
      <c r="K5902">
        <v>1.10745</v>
      </c>
      <c r="L5902">
        <v>213.26689999999999</v>
      </c>
      <c r="M5902">
        <v>0.96740760000000003</v>
      </c>
      <c r="N5902">
        <v>0</v>
      </c>
      <c r="O5902">
        <v>-0.25284899999999999</v>
      </c>
      <c r="P5902">
        <v>0.87573159999999906</v>
      </c>
      <c r="Q5902">
        <v>2.6118570000000001E-4</v>
      </c>
      <c r="R5902">
        <v>-0.48279870000000003</v>
      </c>
      <c r="S5902">
        <v>2.3410340000000001</v>
      </c>
      <c r="T5902">
        <v>-0.36657299999999998</v>
      </c>
      <c r="U5902">
        <v>-1.9753879999999999</v>
      </c>
      <c r="V5902">
        <v>0.24575549999999999</v>
      </c>
      <c r="W5902">
        <v>1.174215E-2</v>
      </c>
      <c r="X5902">
        <v>0.96926069999999998</v>
      </c>
      <c r="Y5902">
        <v>0.42944569999999999</v>
      </c>
      <c r="Z5902">
        <v>4.1204320000000003E-3</v>
      </c>
      <c r="AA5902">
        <v>0.90308330000000003</v>
      </c>
      <c r="AB5902">
        <v>21</v>
      </c>
      <c r="AC5902">
        <v>6.8671000000000202</v>
      </c>
      <c r="AD5902">
        <v>-1.10744593076</v>
      </c>
      <c r="AE5902">
        <v>-5.9091999999999896</v>
      </c>
      <c r="AF5902">
        <v>3.9220376249775999</v>
      </c>
      <c r="AG5902">
        <v>-1.10744593076</v>
      </c>
      <c r="AH5902">
        <v>8.01837630974752</v>
      </c>
      <c r="AI5902">
        <v>97.072383486592003</v>
      </c>
      <c r="AJ5902">
        <v>63.935302857279503</v>
      </c>
      <c r="AK5902">
        <v>8.9946191840464902</v>
      </c>
      <c r="AL5902">
        <v>89.327208884113205</v>
      </c>
      <c r="AM5902">
        <v>75.772512278754704</v>
      </c>
      <c r="AN5902">
        <v>0.99999997421567999</v>
      </c>
    </row>
    <row r="5903" spans="1:40" x14ac:dyDescent="0.25">
      <c r="A5903" t="str">
        <f>"20190312150811534"</f>
        <v>20190312150811534</v>
      </c>
      <c r="B5903" t="str">
        <f>"1552374491526322"</f>
        <v>1552374491526322</v>
      </c>
      <c r="C5903" t="s">
        <v>40</v>
      </c>
      <c r="D5903">
        <v>4.7810829999999997</v>
      </c>
      <c r="E5903">
        <v>0.57418059999999904</v>
      </c>
      <c r="F5903" t="s">
        <v>61</v>
      </c>
      <c r="G5903">
        <v>-195.02979999999999</v>
      </c>
      <c r="H5903" s="1">
        <v>4.1324709999999997E-6</v>
      </c>
      <c r="I5903">
        <v>207.2638</v>
      </c>
      <c r="J5903">
        <v>-201.9117</v>
      </c>
      <c r="K5903">
        <v>1.1073329999999999</v>
      </c>
      <c r="L5903">
        <v>213.20769999999999</v>
      </c>
      <c r="M5903">
        <v>0.96599480000000004</v>
      </c>
      <c r="N5903">
        <v>0</v>
      </c>
      <c r="O5903">
        <v>-0.25819310000000001</v>
      </c>
      <c r="P5903">
        <v>0.87252779999999996</v>
      </c>
      <c r="Q5903">
        <v>-1.3340779999999999E-4</v>
      </c>
      <c r="R5903">
        <v>-0.48856460000000002</v>
      </c>
      <c r="S5903">
        <v>2.3348689999999999</v>
      </c>
      <c r="T5903">
        <v>-0.36504239999999999</v>
      </c>
      <c r="U5903">
        <v>-1.978775</v>
      </c>
      <c r="V5903">
        <v>0.2467906</v>
      </c>
      <c r="W5903">
        <v>1.128203E-2</v>
      </c>
      <c r="X5903">
        <v>0.96900310000000001</v>
      </c>
      <c r="Y5903">
        <v>0.42645359999999999</v>
      </c>
      <c r="Z5903">
        <v>4.9794409999999898E-3</v>
      </c>
      <c r="AA5903">
        <v>0.90449579999999996</v>
      </c>
      <c r="AB5903">
        <v>21</v>
      </c>
      <c r="AC5903">
        <v>6.8818999999999999</v>
      </c>
      <c r="AD5903">
        <v>-1.1073288675289901</v>
      </c>
      <c r="AE5903">
        <v>-5.9438999999999798</v>
      </c>
      <c r="AF5903">
        <v>3.9073545853223202</v>
      </c>
      <c r="AG5903">
        <v>-1.1073288675289901</v>
      </c>
      <c r="AH5903">
        <v>8.0637589778663994</v>
      </c>
      <c r="AI5903">
        <v>97.044786448099202</v>
      </c>
      <c r="AJ5903">
        <v>64.147145413247003</v>
      </c>
      <c r="AK5903">
        <v>9.02872116799624</v>
      </c>
      <c r="AL5903">
        <v>89.353573548028905</v>
      </c>
      <c r="AM5903">
        <v>75.711393147123104</v>
      </c>
      <c r="AN5903">
        <v>0.99999994612944398</v>
      </c>
    </row>
    <row r="5904" spans="1:40" x14ac:dyDescent="0.25">
      <c r="A5904" t="str">
        <f>"20190312150811554"</f>
        <v>20190312150811554</v>
      </c>
      <c r="B5904" t="str">
        <f>"1552374491545842"</f>
        <v>1552374491545842</v>
      </c>
      <c r="C5904" t="s">
        <v>40</v>
      </c>
      <c r="D5904">
        <v>4.8242450000000003</v>
      </c>
      <c r="E5904">
        <v>0.57375359999999997</v>
      </c>
      <c r="F5904" t="s">
        <v>61</v>
      </c>
      <c r="G5904">
        <v>-194.8604</v>
      </c>
      <c r="H5904" s="1">
        <v>4.1846569999999998E-6</v>
      </c>
      <c r="I5904">
        <v>207.18020000000001</v>
      </c>
      <c r="J5904">
        <v>-201.71610000000001</v>
      </c>
      <c r="K5904">
        <v>1.107226</v>
      </c>
      <c r="L5904">
        <v>213.14879999999999</v>
      </c>
      <c r="M5904">
        <v>0.96453940000000005</v>
      </c>
      <c r="N5904">
        <v>0</v>
      </c>
      <c r="O5904">
        <v>-0.26357819999999998</v>
      </c>
      <c r="P5904">
        <v>0.86903739999999996</v>
      </c>
      <c r="Q5904">
        <v>5.9795520000000002E-4</v>
      </c>
      <c r="R5904">
        <v>-0.49474669999999998</v>
      </c>
      <c r="S5904">
        <v>2.3252869999999999</v>
      </c>
      <c r="T5904">
        <v>-0.36515880000000001</v>
      </c>
      <c r="U5904">
        <v>-1.9876560000000001</v>
      </c>
      <c r="V5904">
        <v>0.24827270000000001</v>
      </c>
      <c r="W5904">
        <v>1.194622E-2</v>
      </c>
      <c r="X5904">
        <v>0.96861649999999999</v>
      </c>
      <c r="Y5904">
        <v>0.42528470000000002</v>
      </c>
      <c r="Z5904">
        <v>5.7406430000000001E-3</v>
      </c>
      <c r="AA5904">
        <v>0.9050414</v>
      </c>
      <c r="AB5904">
        <v>21</v>
      </c>
      <c r="AC5904">
        <v>6.8557000000000103</v>
      </c>
      <c r="AD5904">
        <v>-1.107221815343</v>
      </c>
      <c r="AE5904">
        <v>-5.9685999999999799</v>
      </c>
      <c r="AF5904">
        <v>3.8925570852930802</v>
      </c>
      <c r="AG5904">
        <v>-1.107221815343</v>
      </c>
      <c r="AH5904">
        <v>8.06687281548062</v>
      </c>
      <c r="AI5904">
        <v>97.046944863491902</v>
      </c>
      <c r="AJ5904">
        <v>64.241014542988694</v>
      </c>
      <c r="AK5904">
        <v>9.0250971092713002</v>
      </c>
      <c r="AL5904">
        <v>89.315515721167799</v>
      </c>
      <c r="AM5904">
        <v>75.623628833865396</v>
      </c>
      <c r="AN5904">
        <v>0.99999998490491404</v>
      </c>
    </row>
    <row r="5905" spans="1:40" x14ac:dyDescent="0.25">
      <c r="A5905" t="str">
        <f>"20190312150811577"</f>
        <v>20190312150811577</v>
      </c>
      <c r="B5905" t="str">
        <f>"1552374491566338"</f>
        <v>1552374491566338</v>
      </c>
      <c r="C5905" t="s">
        <v>40</v>
      </c>
      <c r="D5905">
        <v>4.9216860000000002</v>
      </c>
      <c r="E5905">
        <v>0.57442629999999995</v>
      </c>
      <c r="F5905" t="s">
        <v>61</v>
      </c>
      <c r="G5905">
        <v>-194.63200000000001</v>
      </c>
      <c r="H5905" s="1">
        <v>4.2908749999999998E-6</v>
      </c>
      <c r="I5905">
        <v>207.01920000000001</v>
      </c>
      <c r="J5905">
        <v>-201.5181</v>
      </c>
      <c r="K5905">
        <v>1.107121</v>
      </c>
      <c r="L5905">
        <v>213.08770000000001</v>
      </c>
      <c r="M5905">
        <v>0.96297770000000005</v>
      </c>
      <c r="N5905">
        <v>0</v>
      </c>
      <c r="O5905">
        <v>-0.26922689999999999</v>
      </c>
      <c r="P5905">
        <v>0.86514089999999999</v>
      </c>
      <c r="Q5905">
        <v>6.4753179999999997E-4</v>
      </c>
      <c r="R5905">
        <v>-0.50152890000000006</v>
      </c>
      <c r="S5905">
        <v>2.3130039999999998</v>
      </c>
      <c r="T5905">
        <v>-0.3615159</v>
      </c>
      <c r="U5905">
        <v>-2.0013580000000002</v>
      </c>
      <c r="V5905">
        <v>0.25017509999999998</v>
      </c>
      <c r="W5905">
        <v>1.192286E-2</v>
      </c>
      <c r="X5905">
        <v>0.96812719999999997</v>
      </c>
      <c r="Y5905">
        <v>0.4254809</v>
      </c>
      <c r="Z5905">
        <v>6.3779409999999998E-3</v>
      </c>
      <c r="AA5905">
        <v>0.90494490000000005</v>
      </c>
      <c r="AB5905">
        <v>21</v>
      </c>
      <c r="AC5905">
        <v>6.8860999999999901</v>
      </c>
      <c r="AD5905">
        <v>-1.107116709125</v>
      </c>
      <c r="AE5905">
        <v>-6.0685000000000002</v>
      </c>
      <c r="AF5905">
        <v>3.9330641965629498</v>
      </c>
      <c r="AG5905">
        <v>-1.107116709125</v>
      </c>
      <c r="AH5905">
        <v>8.1472165162478003</v>
      </c>
      <c r="AI5905">
        <v>96.976907091514704</v>
      </c>
      <c r="AJ5905">
        <v>64.231099052693096</v>
      </c>
      <c r="AK5905">
        <v>9.1143753677654793</v>
      </c>
      <c r="AL5905">
        <v>89.316854259869999</v>
      </c>
      <c r="AM5905">
        <v>75.511073741681699</v>
      </c>
      <c r="AN5905">
        <v>1.00000000531521</v>
      </c>
    </row>
    <row r="5906" spans="1:40" x14ac:dyDescent="0.25">
      <c r="A5906" t="str">
        <f>"20190312150811599"</f>
        <v>20190312150811599</v>
      </c>
      <c r="B5906" t="str">
        <f>"1552374491596595"</f>
        <v>1552374491596595</v>
      </c>
      <c r="C5906" t="s">
        <v>40</v>
      </c>
      <c r="D5906">
        <v>4.8496309999999996</v>
      </c>
      <c r="E5906">
        <v>0.57553779999999999</v>
      </c>
      <c r="F5906" t="s">
        <v>61</v>
      </c>
      <c r="G5906">
        <v>-194.43879999999999</v>
      </c>
      <c r="H5906" s="1">
        <v>4.3956849999999999E-6</v>
      </c>
      <c r="I5906">
        <v>206.84389999999999</v>
      </c>
      <c r="J5906">
        <v>-201.31630000000001</v>
      </c>
      <c r="K5906">
        <v>1.1070070000000001</v>
      </c>
      <c r="L5906">
        <v>213.0239</v>
      </c>
      <c r="M5906">
        <v>0.96129149999999997</v>
      </c>
      <c r="N5906">
        <v>0</v>
      </c>
      <c r="O5906">
        <v>-0.27518629999999999</v>
      </c>
      <c r="P5906">
        <v>0.86083469999999995</v>
      </c>
      <c r="Q5906">
        <v>4.356769E-4</v>
      </c>
      <c r="R5906">
        <v>-0.50888549999999999</v>
      </c>
      <c r="S5906">
        <v>2.2946780000000002</v>
      </c>
      <c r="T5906">
        <v>-0.35886089999999998</v>
      </c>
      <c r="U5906">
        <v>-2.0238649999999998</v>
      </c>
      <c r="V5906">
        <v>0.25243199999999999</v>
      </c>
      <c r="W5906">
        <v>1.1627719999999999E-2</v>
      </c>
      <c r="X5906">
        <v>0.96754470000000004</v>
      </c>
      <c r="Y5906">
        <v>0.42848750000000002</v>
      </c>
      <c r="Z5906">
        <v>6.8737470000000004E-3</v>
      </c>
      <c r="AA5906">
        <v>0.90352149999999998</v>
      </c>
      <c r="AB5906">
        <v>21</v>
      </c>
      <c r="AC5906">
        <v>6.8775000000000199</v>
      </c>
      <c r="AD5906">
        <v>-1.1070026043150001</v>
      </c>
      <c r="AE5906">
        <v>-6.18</v>
      </c>
      <c r="AF5906">
        <v>3.99136216339034</v>
      </c>
      <c r="AG5906">
        <v>-1.1070026043150001</v>
      </c>
      <c r="AH5906">
        <v>8.1952567179742601</v>
      </c>
      <c r="AI5906">
        <v>96.924159412533896</v>
      </c>
      <c r="AJ5906">
        <v>64.032379988627596</v>
      </c>
      <c r="AK5906">
        <v>9.1825192272494807</v>
      </c>
      <c r="AL5906">
        <v>89.333765660180802</v>
      </c>
      <c r="AM5906">
        <v>75.377516202877402</v>
      </c>
      <c r="AN5906">
        <v>0.99999993249724195</v>
      </c>
    </row>
    <row r="5907" spans="1:40" x14ac:dyDescent="0.25">
      <c r="A5907" t="str">
        <f>"20190312150811622"</f>
        <v>20190312150811622</v>
      </c>
      <c r="B5907" t="str">
        <f>"1552374491616117"</f>
        <v>1552374491616117</v>
      </c>
      <c r="C5907" t="s">
        <v>40</v>
      </c>
      <c r="D5907">
        <v>4.9060889999999997</v>
      </c>
      <c r="E5907">
        <v>0.57622269999999998</v>
      </c>
      <c r="F5907" t="s">
        <v>61</v>
      </c>
      <c r="G5907">
        <v>-194.2517</v>
      </c>
      <c r="H5907" s="1">
        <v>4.5057699999999997E-6</v>
      </c>
      <c r="I5907">
        <v>206.6498</v>
      </c>
      <c r="J5907">
        <v>-201.11250000000001</v>
      </c>
      <c r="K5907">
        <v>1.1068830000000001</v>
      </c>
      <c r="L5907">
        <v>212.95779999999999</v>
      </c>
      <c r="M5907">
        <v>0.95948739999999999</v>
      </c>
      <c r="N5907">
        <v>0</v>
      </c>
      <c r="O5907">
        <v>-0.28141100000000002</v>
      </c>
      <c r="P5907">
        <v>0.85631460000000004</v>
      </c>
      <c r="Q5907">
        <v>-4.2639160000000002E-4</v>
      </c>
      <c r="R5907">
        <v>-0.51645439999999998</v>
      </c>
      <c r="S5907">
        <v>2.2728730000000001</v>
      </c>
      <c r="T5907">
        <v>-0.35615629999999998</v>
      </c>
      <c r="U5907">
        <v>-2.050735</v>
      </c>
      <c r="V5907">
        <v>0.25468619999999997</v>
      </c>
      <c r="W5907">
        <v>1.0676959999999999E-2</v>
      </c>
      <c r="X5907">
        <v>0.96696479999999996</v>
      </c>
      <c r="Y5907">
        <v>0.43285699999999999</v>
      </c>
      <c r="Z5907">
        <v>7.3044360000000001E-3</v>
      </c>
      <c r="AA5907">
        <v>0.90143300000000004</v>
      </c>
      <c r="AB5907">
        <v>21</v>
      </c>
      <c r="AC5907">
        <v>6.86080000000001</v>
      </c>
      <c r="AD5907">
        <v>-1.1068784942299901</v>
      </c>
      <c r="AE5907">
        <v>-6.3079999999999901</v>
      </c>
      <c r="AF5907">
        <v>4.0648031975057801</v>
      </c>
      <c r="AG5907">
        <v>-1.1068784942299901</v>
      </c>
      <c r="AH5907">
        <v>8.24253243676187</v>
      </c>
      <c r="AI5907">
        <v>96.867602610944999</v>
      </c>
      <c r="AJ5907">
        <v>63.749798555316602</v>
      </c>
      <c r="AK5907">
        <v>9.2567351699459195</v>
      </c>
      <c r="AL5907">
        <v>89.3882436250925</v>
      </c>
      <c r="AM5907">
        <v>75.244147848940599</v>
      </c>
      <c r="AN5907">
        <v>0.99999999119215999</v>
      </c>
    </row>
    <row r="5908" spans="1:40" x14ac:dyDescent="0.25">
      <c r="A5908" t="str">
        <f>"20190312150811645"</f>
        <v>20190312150811645</v>
      </c>
      <c r="B5908" t="str">
        <f>"1552374491635634"</f>
        <v>1552374491635634</v>
      </c>
      <c r="C5908" t="s">
        <v>40</v>
      </c>
      <c r="D5908">
        <v>4.9874289999999997</v>
      </c>
      <c r="E5908">
        <v>0.57682339999999999</v>
      </c>
      <c r="F5908" t="s">
        <v>61</v>
      </c>
      <c r="G5908">
        <v>-194.161</v>
      </c>
      <c r="H5908" s="1">
        <v>4.5600359999999997E-6</v>
      </c>
      <c r="I5908">
        <v>206.5532</v>
      </c>
      <c r="J5908">
        <v>-200.91540000000001</v>
      </c>
      <c r="K5908">
        <v>1.106757</v>
      </c>
      <c r="L5908">
        <v>212.8922</v>
      </c>
      <c r="M5908">
        <v>0.95763690000000001</v>
      </c>
      <c r="N5908">
        <v>0</v>
      </c>
      <c r="O5908">
        <v>-0.28764390000000001</v>
      </c>
      <c r="P5908">
        <v>0.85165040000000003</v>
      </c>
      <c r="Q5908">
        <v>-1.2813169999999999E-3</v>
      </c>
      <c r="R5908">
        <v>-0.52410859999999904</v>
      </c>
      <c r="S5908">
        <v>2.2519230000000001</v>
      </c>
      <c r="T5908">
        <v>-0.35857529999999999</v>
      </c>
      <c r="U5908">
        <v>-2.074783</v>
      </c>
      <c r="V5908">
        <v>0.25706030000000002</v>
      </c>
      <c r="W5908">
        <v>9.7300089999999995E-3</v>
      </c>
      <c r="X5908">
        <v>0.96634640000000005</v>
      </c>
      <c r="Y5908">
        <v>0.4363822</v>
      </c>
      <c r="Z5908">
        <v>7.8983749999999991E-3</v>
      </c>
      <c r="AA5908">
        <v>0.89972669999999999</v>
      </c>
      <c r="AB5908">
        <v>21</v>
      </c>
      <c r="AC5908">
        <v>6.7544000000000297</v>
      </c>
      <c r="AD5908">
        <v>-1.1067524399640001</v>
      </c>
      <c r="AE5908">
        <v>-6.3389999999999898</v>
      </c>
      <c r="AF5908">
        <v>4.0698962841205404</v>
      </c>
      <c r="AG5908">
        <v>-1.1067524399640001</v>
      </c>
      <c r="AH5908">
        <v>8.1757238009498607</v>
      </c>
      <c r="AI5908">
        <v>96.909721399940693</v>
      </c>
      <c r="AJ5908">
        <v>63.535760301047297</v>
      </c>
      <c r="AK5908">
        <v>9.1995334879700597</v>
      </c>
      <c r="AL5908">
        <v>89.442502762729404</v>
      </c>
      <c r="AM5908">
        <v>75.103576808090907</v>
      </c>
      <c r="AN5908">
        <v>1.00000001785209</v>
      </c>
    </row>
    <row r="5909" spans="1:40" x14ac:dyDescent="0.25">
      <c r="A5909" t="str">
        <f>"20190312150811667"</f>
        <v>20190312150811667</v>
      </c>
      <c r="B5909" t="str">
        <f>"1552374491656130"</f>
        <v>1552374491656130</v>
      </c>
      <c r="C5909" t="s">
        <v>40</v>
      </c>
      <c r="D5909">
        <v>4.9204319999999999</v>
      </c>
      <c r="E5909">
        <v>0.57742839999999995</v>
      </c>
      <c r="F5909" t="s">
        <v>61</v>
      </c>
      <c r="G5909">
        <v>-194.05789999999999</v>
      </c>
      <c r="H5909" s="1">
        <v>4.6228229999999996E-6</v>
      </c>
      <c r="I5909">
        <v>206.4402</v>
      </c>
      <c r="J5909">
        <v>-200.71619999999999</v>
      </c>
      <c r="K5909">
        <v>1.10663</v>
      </c>
      <c r="L5909">
        <v>212.82400000000001</v>
      </c>
      <c r="M5909">
        <v>0.95565100000000003</v>
      </c>
      <c r="N5909">
        <v>0</v>
      </c>
      <c r="O5909">
        <v>-0.29417369999999998</v>
      </c>
      <c r="P5909">
        <v>0.84655740000000002</v>
      </c>
      <c r="Q5909">
        <v>-1.0643989999999999E-3</v>
      </c>
      <c r="R5909">
        <v>-0.53229680000000001</v>
      </c>
      <c r="S5909">
        <v>2.2305299999999999</v>
      </c>
      <c r="T5909">
        <v>-0.35999389999999998</v>
      </c>
      <c r="U5909">
        <v>-2.098633</v>
      </c>
      <c r="V5909">
        <v>0.25978689999999999</v>
      </c>
      <c r="W5909">
        <v>9.8511209999999991E-3</v>
      </c>
      <c r="X5909">
        <v>0.96561569999999997</v>
      </c>
      <c r="Y5909">
        <v>0.43966050000000001</v>
      </c>
      <c r="Z5909">
        <v>8.5311919999999999E-3</v>
      </c>
      <c r="AA5909">
        <v>0.89812349999999996</v>
      </c>
      <c r="AB5909">
        <v>21</v>
      </c>
      <c r="AC5909">
        <v>6.6582999999999899</v>
      </c>
      <c r="AD5909">
        <v>-1.106625377177</v>
      </c>
      <c r="AE5909">
        <v>-6.3837999999999999</v>
      </c>
      <c r="AF5909">
        <v>4.0836134311356602</v>
      </c>
      <c r="AG5909">
        <v>-1.106625377177</v>
      </c>
      <c r="AH5909">
        <v>8.1248140525624706</v>
      </c>
      <c r="AI5909">
        <v>96.938576146911799</v>
      </c>
      <c r="AJ5909">
        <v>63.315436571767499</v>
      </c>
      <c r="AK5909">
        <v>9.1604105677136705</v>
      </c>
      <c r="AL5909">
        <v>89.435563201890503</v>
      </c>
      <c r="AM5909">
        <v>74.941833777970302</v>
      </c>
      <c r="AN5909">
        <v>0.99999997904152804</v>
      </c>
    </row>
    <row r="5910" spans="1:40" x14ac:dyDescent="0.25">
      <c r="A5910" t="str">
        <f>"20190312150811689"</f>
        <v>20190312150811689</v>
      </c>
      <c r="B5910" t="str">
        <f>"1552374491686386"</f>
        <v>1552374491686386</v>
      </c>
      <c r="C5910" t="s">
        <v>40</v>
      </c>
      <c r="D5910">
        <v>4.9102860000000002</v>
      </c>
      <c r="E5910">
        <v>0.57823910000000001</v>
      </c>
      <c r="F5910" t="s">
        <v>61</v>
      </c>
      <c r="G5910">
        <v>-193.9221</v>
      </c>
      <c r="H5910" s="1">
        <v>4.7069529999999998E-6</v>
      </c>
      <c r="I5910">
        <v>206.28739999999999</v>
      </c>
      <c r="J5910">
        <v>-200.52529999999999</v>
      </c>
      <c r="K5910">
        <v>1.106528</v>
      </c>
      <c r="L5910">
        <v>212.75700000000001</v>
      </c>
      <c r="M5910">
        <v>0.95364789999999999</v>
      </c>
      <c r="N5910">
        <v>0</v>
      </c>
      <c r="O5910">
        <v>-0.30060350000000002</v>
      </c>
      <c r="P5910">
        <v>0.84139959999999903</v>
      </c>
      <c r="Q5910">
        <v>-1.831687E-3</v>
      </c>
      <c r="R5910">
        <v>-0.54041070000000002</v>
      </c>
      <c r="S5910">
        <v>2.207748</v>
      </c>
      <c r="T5910">
        <v>-0.35959989999999997</v>
      </c>
      <c r="U5910">
        <v>-2.1240839999999999</v>
      </c>
      <c r="V5910">
        <v>0.26256099999999999</v>
      </c>
      <c r="W5910">
        <v>9.0004839999999996E-3</v>
      </c>
      <c r="X5910">
        <v>0.96487339999999999</v>
      </c>
      <c r="Y5910">
        <v>0.44363370000000002</v>
      </c>
      <c r="Z5910">
        <v>9.0649849999999994E-3</v>
      </c>
      <c r="AA5910">
        <v>0.89616229999999997</v>
      </c>
      <c r="AB5910">
        <v>21</v>
      </c>
      <c r="AC5910">
        <v>6.6031999999999798</v>
      </c>
      <c r="AD5910">
        <v>-1.1065232930469999</v>
      </c>
      <c r="AE5910">
        <v>-6.4696000000000096</v>
      </c>
      <c r="AF5910">
        <v>4.1260638470693998</v>
      </c>
      <c r="AG5910">
        <v>-1.1065232930469999</v>
      </c>
      <c r="AH5910">
        <v>8.12627981057455</v>
      </c>
      <c r="AI5910">
        <v>96.922526233358695</v>
      </c>
      <c r="AJ5910">
        <v>63.081124093778499</v>
      </c>
      <c r="AK5910">
        <v>9.1806982429388402</v>
      </c>
      <c r="AL5910">
        <v>89.484303281504594</v>
      </c>
      <c r="AM5910">
        <v>74.777290953118097</v>
      </c>
      <c r="AN5910">
        <v>0.99999998273039703</v>
      </c>
    </row>
    <row r="5911" spans="1:40" x14ac:dyDescent="0.25">
      <c r="A5911" t="str">
        <f>"20190312150811711"</f>
        <v>20190312150811711</v>
      </c>
      <c r="B5911" t="str">
        <f>"1552374491705906"</f>
        <v>1552374491705906</v>
      </c>
      <c r="C5911" t="s">
        <v>40</v>
      </c>
      <c r="D5911">
        <v>4.957344</v>
      </c>
      <c r="E5911">
        <v>0.57872299999999999</v>
      </c>
      <c r="F5911" t="s">
        <v>61</v>
      </c>
      <c r="G5911">
        <v>-193.85560000000001</v>
      </c>
      <c r="H5911" s="1">
        <v>4.7563940000000002E-6</v>
      </c>
      <c r="I5911">
        <v>206.1893</v>
      </c>
      <c r="J5911">
        <v>-200.32490000000001</v>
      </c>
      <c r="K5911">
        <v>1.106441</v>
      </c>
      <c r="L5911">
        <v>212.6849</v>
      </c>
      <c r="M5911">
        <v>0.95143509999999998</v>
      </c>
      <c r="N5911">
        <v>0</v>
      </c>
      <c r="O5911">
        <v>-0.30753390000000003</v>
      </c>
      <c r="P5911">
        <v>0.83619249999999901</v>
      </c>
      <c r="Q5911">
        <v>-2.4241340000000001E-3</v>
      </c>
      <c r="R5911">
        <v>-0.548431</v>
      </c>
      <c r="S5911">
        <v>2.18364</v>
      </c>
      <c r="T5911">
        <v>-0.36227140000000002</v>
      </c>
      <c r="U5911">
        <v>-2.1502690000000002</v>
      </c>
      <c r="V5911">
        <v>0.2647622</v>
      </c>
      <c r="W5911">
        <v>8.3400880000000007E-3</v>
      </c>
      <c r="X5911">
        <v>0.96427770000000002</v>
      </c>
      <c r="Y5911">
        <v>0.44751809999999997</v>
      </c>
      <c r="Z5911">
        <v>9.7496509999999998E-3</v>
      </c>
      <c r="AA5911">
        <v>0.89422179999999996</v>
      </c>
      <c r="AB5911">
        <v>21</v>
      </c>
      <c r="AC5911">
        <v>6.4692999999999996</v>
      </c>
      <c r="AD5911">
        <v>-1.106436243606</v>
      </c>
      <c r="AE5911">
        <v>-6.4955999999999898</v>
      </c>
      <c r="AF5911">
        <v>4.1308493639798201</v>
      </c>
      <c r="AG5911">
        <v>-1.106436243606</v>
      </c>
      <c r="AH5911">
        <v>8.0364680130539199</v>
      </c>
      <c r="AI5911">
        <v>96.981001606334502</v>
      </c>
      <c r="AJ5911">
        <v>62.796245006577301</v>
      </c>
      <c r="AK5911">
        <v>9.1034573516821808</v>
      </c>
      <c r="AL5911">
        <v>89.522142631890404</v>
      </c>
      <c r="AM5911">
        <v>74.646630188816999</v>
      </c>
      <c r="AN5911">
        <v>1.0000000311669801</v>
      </c>
    </row>
    <row r="5912" spans="1:40" x14ac:dyDescent="0.25">
      <c r="A5912" t="str">
        <f>"20190312150811734"</f>
        <v>20190312150811734</v>
      </c>
      <c r="B5912" t="str">
        <f>"1552374491726406"</f>
        <v>1552374491726406</v>
      </c>
      <c r="C5912" t="s">
        <v>40</v>
      </c>
      <c r="D5912">
        <v>4.9562200000000001</v>
      </c>
      <c r="E5912">
        <v>0.57911829999999997</v>
      </c>
      <c r="F5912" t="s">
        <v>61</v>
      </c>
      <c r="G5912">
        <v>-193.7482</v>
      </c>
      <c r="H5912" s="1">
        <v>4.8237500000000002E-6</v>
      </c>
      <c r="I5912">
        <v>206.06610000000001</v>
      </c>
      <c r="J5912">
        <v>-200.1302</v>
      </c>
      <c r="K5912">
        <v>1.1063730000000001</v>
      </c>
      <c r="L5912">
        <v>212.6131</v>
      </c>
      <c r="M5912">
        <v>0.94917370000000001</v>
      </c>
      <c r="N5912">
        <v>0</v>
      </c>
      <c r="O5912">
        <v>-0.3144438</v>
      </c>
      <c r="P5912">
        <v>0.83100909999999995</v>
      </c>
      <c r="Q5912">
        <v>-2.4231370000000001E-3</v>
      </c>
      <c r="R5912">
        <v>-0.55625409999999997</v>
      </c>
      <c r="S5912">
        <v>2.1605219999999998</v>
      </c>
      <c r="T5912">
        <v>-0.36347620000000003</v>
      </c>
      <c r="U5912">
        <v>-2.174347</v>
      </c>
      <c r="V5912">
        <v>0.26680100000000001</v>
      </c>
      <c r="W5912">
        <v>8.2809619999999994E-3</v>
      </c>
      <c r="X5912">
        <v>0.96371600000000002</v>
      </c>
      <c r="Y5912">
        <v>0.45076509999999997</v>
      </c>
      <c r="Z5912">
        <v>1.0444159999999999E-2</v>
      </c>
      <c r="AA5912">
        <v>0.89258150000000003</v>
      </c>
      <c r="AB5912">
        <v>21</v>
      </c>
      <c r="AC5912">
        <v>6.3819999999999997</v>
      </c>
      <c r="AD5912">
        <v>-1.1063681762499999</v>
      </c>
      <c r="AE5912">
        <v>-6.5469999999999899</v>
      </c>
      <c r="AF5912">
        <v>4.1471424500123399</v>
      </c>
      <c r="AG5912">
        <v>-1.1063681762499999</v>
      </c>
      <c r="AH5912">
        <v>7.9999363515477802</v>
      </c>
      <c r="AI5912">
        <v>96.999742391610397</v>
      </c>
      <c r="AJ5912">
        <v>62.597915167954703</v>
      </c>
      <c r="AK5912">
        <v>9.0786465219728001</v>
      </c>
      <c r="AL5912">
        <v>89.525530374968994</v>
      </c>
      <c r="AM5912">
        <v>74.525459125907801</v>
      </c>
      <c r="AN5912">
        <v>0.99999993829431999</v>
      </c>
    </row>
    <row r="5913" spans="1:40" x14ac:dyDescent="0.25">
      <c r="A5913" t="str">
        <f>"20190312150811755"</f>
        <v>20190312150811755</v>
      </c>
      <c r="B5913" t="str">
        <f>"1552374491745922"</f>
        <v>1552374491745922</v>
      </c>
      <c r="C5913" t="s">
        <v>40</v>
      </c>
      <c r="D5913">
        <v>4.9697380000000004</v>
      </c>
      <c r="E5913">
        <v>0.5795304</v>
      </c>
      <c r="F5913" t="s">
        <v>61</v>
      </c>
      <c r="G5913">
        <v>-193.59549999999999</v>
      </c>
      <c r="H5913" s="1">
        <v>4.9177170000000002E-6</v>
      </c>
      <c r="I5913">
        <v>205.89609999999999</v>
      </c>
      <c r="J5913">
        <v>-199.94130000000001</v>
      </c>
      <c r="K5913">
        <v>1.1063050000000001</v>
      </c>
      <c r="L5913">
        <v>212.54169999999999</v>
      </c>
      <c r="M5913">
        <v>0.94686910000000002</v>
      </c>
      <c r="N5913">
        <v>0</v>
      </c>
      <c r="O5913">
        <v>-0.32131589999999999</v>
      </c>
      <c r="P5913">
        <v>0.82524500000000001</v>
      </c>
      <c r="Q5913">
        <v>-2.7271499999999998E-3</v>
      </c>
      <c r="R5913">
        <v>-0.56476839999999995</v>
      </c>
      <c r="S5913">
        <v>2.137985</v>
      </c>
      <c r="T5913">
        <v>-0.3619753</v>
      </c>
      <c r="U5913">
        <v>-2.197632</v>
      </c>
      <c r="V5913">
        <v>0.26972109999999999</v>
      </c>
      <c r="W5913">
        <v>7.9028420000000002E-3</v>
      </c>
      <c r="X5913">
        <v>0.96290609999999999</v>
      </c>
      <c r="Y5913">
        <v>0.45375480000000001</v>
      </c>
      <c r="Z5913">
        <v>1.107417E-2</v>
      </c>
      <c r="AA5913">
        <v>0.89105769999999995</v>
      </c>
      <c r="AB5913">
        <v>21</v>
      </c>
      <c r="AC5913">
        <v>6.3458000000000201</v>
      </c>
      <c r="AD5913">
        <v>-1.10630008228299</v>
      </c>
      <c r="AE5913">
        <v>-6.6456</v>
      </c>
      <c r="AF5913">
        <v>4.1931400305723203</v>
      </c>
      <c r="AG5913">
        <v>-1.10630008228299</v>
      </c>
      <c r="AH5913">
        <v>8.0283975155961294</v>
      </c>
      <c r="AI5913">
        <v>96.963751307486802</v>
      </c>
      <c r="AJ5913">
        <v>62.422450517716698</v>
      </c>
      <c r="AK5913">
        <v>9.1247734139800691</v>
      </c>
      <c r="AL5913">
        <v>89.547195812894003</v>
      </c>
      <c r="AM5913">
        <v>74.351828136037796</v>
      </c>
      <c r="AN5913">
        <v>1.0000000420570401</v>
      </c>
    </row>
    <row r="5914" spans="1:40" x14ac:dyDescent="0.25">
      <c r="A5914" t="str">
        <f>"20190312150811779"</f>
        <v>20190312150811779</v>
      </c>
      <c r="B5914" t="str">
        <f>"1552374491776178"</f>
        <v>1552374491776178</v>
      </c>
      <c r="C5914" t="s">
        <v>40</v>
      </c>
      <c r="D5914">
        <v>4.6989150000000004</v>
      </c>
      <c r="E5914">
        <v>0.64320869999999997</v>
      </c>
      <c r="F5914" t="s">
        <v>61</v>
      </c>
      <c r="G5914">
        <v>-193.48410000000001</v>
      </c>
      <c r="H5914" s="1">
        <v>4.9933990000000001E-6</v>
      </c>
      <c r="I5914">
        <v>205.7518</v>
      </c>
      <c r="J5914">
        <v>-199.74510000000001</v>
      </c>
      <c r="K5914">
        <v>1.1062149999999999</v>
      </c>
      <c r="L5914">
        <v>212.46559999999999</v>
      </c>
      <c r="M5914">
        <v>0.94435279999999999</v>
      </c>
      <c r="N5914">
        <v>0</v>
      </c>
      <c r="O5914">
        <v>-0.32863710000000002</v>
      </c>
      <c r="P5914">
        <v>0.81882509999999997</v>
      </c>
      <c r="Q5914">
        <v>-2.6594850000000001E-3</v>
      </c>
      <c r="R5914">
        <v>-0.57403729999999997</v>
      </c>
      <c r="S5914">
        <v>2.113327</v>
      </c>
      <c r="T5914">
        <v>-0.36207070000000002</v>
      </c>
      <c r="U5914">
        <v>-2.2221829999999998</v>
      </c>
      <c r="V5914">
        <v>0.27312370000000002</v>
      </c>
      <c r="W5914">
        <v>7.8809080000000007E-3</v>
      </c>
      <c r="X5914">
        <v>0.96194659999999999</v>
      </c>
      <c r="Y5914">
        <v>0.45698610000000001</v>
      </c>
      <c r="Z5914">
        <v>1.179381E-2</v>
      </c>
      <c r="AA5914">
        <v>0.88939570000000001</v>
      </c>
      <c r="AB5914">
        <v>20</v>
      </c>
      <c r="AC5914">
        <v>6.2609999999999904</v>
      </c>
      <c r="AD5914">
        <v>-1.1062100066010001</v>
      </c>
      <c r="AE5914">
        <v>-6.7137999999999902</v>
      </c>
      <c r="AF5914">
        <v>4.2217169709197204</v>
      </c>
      <c r="AG5914">
        <v>-1.1062100066010001</v>
      </c>
      <c r="AH5914">
        <v>8.0035759475821404</v>
      </c>
      <c r="AI5914">
        <v>96.969816502362093</v>
      </c>
      <c r="AJ5914">
        <v>62.189301521853203</v>
      </c>
      <c r="AK5914">
        <v>9.1161298098464592</v>
      </c>
      <c r="AL5914">
        <v>89.548452541786702</v>
      </c>
      <c r="AM5914">
        <v>74.149264108277293</v>
      </c>
      <c r="AN5914">
        <v>0.99999996273207603</v>
      </c>
    </row>
    <row r="5915" spans="1:40" x14ac:dyDescent="0.25">
      <c r="A5915" t="str">
        <f>"20190312150811801"</f>
        <v>20190312150811801</v>
      </c>
      <c r="B5915" t="str">
        <f>"1552374491795699"</f>
        <v>1552374491795699</v>
      </c>
      <c r="C5915" t="s">
        <v>40</v>
      </c>
      <c r="D5915">
        <v>4.841259</v>
      </c>
      <c r="E5915">
        <v>0.65116189999999996</v>
      </c>
      <c r="F5915" t="s">
        <v>61</v>
      </c>
      <c r="G5915">
        <v>-193.48050000000001</v>
      </c>
      <c r="H5915" s="1">
        <v>5.7736049999999996E-6</v>
      </c>
      <c r="I5915">
        <v>203.18889999999999</v>
      </c>
      <c r="J5915">
        <v>-199.55109999999999</v>
      </c>
      <c r="K5915">
        <v>1.106117</v>
      </c>
      <c r="L5915">
        <v>212.38849999999999</v>
      </c>
      <c r="M5915">
        <v>0.94173640000000003</v>
      </c>
      <c r="N5915">
        <v>0</v>
      </c>
      <c r="O5915">
        <v>-0.33606000000000003</v>
      </c>
      <c r="P5915">
        <v>0.81221599999999905</v>
      </c>
      <c r="Q5915">
        <v>-2.8808309999999999E-3</v>
      </c>
      <c r="R5915">
        <v>-0.58334980000000003</v>
      </c>
      <c r="S5915">
        <v>1.7971189999999999</v>
      </c>
      <c r="T5915">
        <v>-0.3173356</v>
      </c>
      <c r="U5915">
        <v>-2.6611940000000001</v>
      </c>
      <c r="V5915">
        <v>0.27653480000000003</v>
      </c>
      <c r="W5915">
        <v>7.5614369999999998E-3</v>
      </c>
      <c r="X5915">
        <v>0.9609742</v>
      </c>
      <c r="Y5915">
        <v>0.59125689999999997</v>
      </c>
      <c r="Z5915">
        <v>2.7445479999999999E-3</v>
      </c>
      <c r="AA5915">
        <v>0.80647860000000005</v>
      </c>
      <c r="AB5915">
        <v>20</v>
      </c>
      <c r="AC5915">
        <v>6.0705999999999802</v>
      </c>
      <c r="AD5915">
        <v>-1.1061112263949999</v>
      </c>
      <c r="AE5915">
        <v>-9.1996000000000002</v>
      </c>
      <c r="AF5915">
        <v>6.5581150795390402</v>
      </c>
      <c r="AG5915">
        <v>-1.1061112263949999</v>
      </c>
      <c r="AH5915">
        <v>8.72155159073254</v>
      </c>
      <c r="AI5915">
        <v>95.788039419901295</v>
      </c>
      <c r="AJ5915">
        <v>53.058897619289397</v>
      </c>
      <c r="AK5915">
        <v>10.968036177522499</v>
      </c>
      <c r="AL5915">
        <v>89.566757462512598</v>
      </c>
      <c r="AM5915">
        <v>73.946030219524303</v>
      </c>
      <c r="AN5915">
        <v>1.0000000420030899</v>
      </c>
    </row>
    <row r="5916" spans="1:40" x14ac:dyDescent="0.25">
      <c r="A5916" t="str">
        <f>"20190312150811824"</f>
        <v>20190312150811824</v>
      </c>
      <c r="B5916" t="str">
        <f>"1552374491816198"</f>
        <v>1552374491816198</v>
      </c>
      <c r="C5916" t="s">
        <v>40</v>
      </c>
      <c r="D5916">
        <v>4.9536829999999998</v>
      </c>
      <c r="E5916">
        <v>0.65480609999999995</v>
      </c>
      <c r="F5916" t="s">
        <v>61</v>
      </c>
      <c r="G5916">
        <v>-193.64340000000001</v>
      </c>
      <c r="H5916" s="1">
        <v>5.7744890000000003E-6</v>
      </c>
      <c r="I5916">
        <v>203.04910000000001</v>
      </c>
      <c r="J5916">
        <v>-199.35599999999999</v>
      </c>
      <c r="K5916">
        <v>1.105996</v>
      </c>
      <c r="L5916">
        <v>212.30889999999999</v>
      </c>
      <c r="M5916">
        <v>0.93896420000000003</v>
      </c>
      <c r="N5916">
        <v>0</v>
      </c>
      <c r="O5916">
        <v>-0.34372849999999999</v>
      </c>
      <c r="P5916">
        <v>0.80618339999999999</v>
      </c>
      <c r="Q5916">
        <v>-2.856623E-3</v>
      </c>
      <c r="R5916">
        <v>-0.59165939999999995</v>
      </c>
      <c r="S5916">
        <v>1.7291559999999999</v>
      </c>
      <c r="T5916">
        <v>-0.32375219999999999</v>
      </c>
      <c r="U5916">
        <v>-2.7335820000000002</v>
      </c>
      <c r="V5916">
        <v>0.27856760000000003</v>
      </c>
      <c r="W5916">
        <v>7.4989729999999999E-3</v>
      </c>
      <c r="X5916">
        <v>0.96038730000000005</v>
      </c>
      <c r="Y5916">
        <v>0.60859770000000002</v>
      </c>
      <c r="Z5916">
        <v>2.5069300000000001E-3</v>
      </c>
      <c r="AA5916">
        <v>0.79347500000000004</v>
      </c>
      <c r="AB5916">
        <v>20</v>
      </c>
      <c r="AC5916">
        <v>5.7125999999999797</v>
      </c>
      <c r="AD5916">
        <v>-1.1059902255109999</v>
      </c>
      <c r="AE5916">
        <v>-9.2597999999999807</v>
      </c>
      <c r="AF5916">
        <v>6.6628519616552504</v>
      </c>
      <c r="AG5916">
        <v>-1.1059902255109999</v>
      </c>
      <c r="AH5916">
        <v>8.4602052566458301</v>
      </c>
      <c r="AI5916">
        <v>95.863859667826603</v>
      </c>
      <c r="AJ5916">
        <v>51.7777274093201</v>
      </c>
      <c r="AK5916">
        <v>10.825520016444299</v>
      </c>
      <c r="AL5916">
        <v>89.570336449674699</v>
      </c>
      <c r="AM5916">
        <v>73.824798755970903</v>
      </c>
      <c r="AN5916">
        <v>0.99999995418355103</v>
      </c>
    </row>
    <row r="5917" spans="1:40" x14ac:dyDescent="0.25">
      <c r="A5917" t="str">
        <f>"20190312150811847"</f>
        <v>20190312150811847</v>
      </c>
      <c r="B5917" t="str">
        <f>"1552374491835715"</f>
        <v>1552374491835715</v>
      </c>
      <c r="C5917" t="s">
        <v>40</v>
      </c>
      <c r="D5917">
        <v>4.9421949999999999</v>
      </c>
      <c r="E5917">
        <v>0.65517740000000002</v>
      </c>
      <c r="F5917" t="s">
        <v>61</v>
      </c>
      <c r="G5917">
        <v>-193.51769999999999</v>
      </c>
      <c r="H5917" s="1">
        <v>5.91139E-6</v>
      </c>
      <c r="I5917">
        <v>202.68729999999999</v>
      </c>
      <c r="J5917">
        <v>-199.1644</v>
      </c>
      <c r="K5917">
        <v>1.105877</v>
      </c>
      <c r="L5917">
        <v>212.22839999999999</v>
      </c>
      <c r="M5917">
        <v>0.93608530000000001</v>
      </c>
      <c r="N5917">
        <v>0</v>
      </c>
      <c r="O5917">
        <v>-0.35149229999999998</v>
      </c>
      <c r="P5917">
        <v>0.79912190000000005</v>
      </c>
      <c r="Q5917">
        <v>-2.9390369999999998E-3</v>
      </c>
      <c r="R5917">
        <v>-0.60116230000000004</v>
      </c>
      <c r="S5917">
        <v>1.6837009999999999</v>
      </c>
      <c r="T5917">
        <v>-0.3189594</v>
      </c>
      <c r="U5917">
        <v>-2.7747959999999998</v>
      </c>
      <c r="V5917">
        <v>0.28198440000000002</v>
      </c>
      <c r="W5917">
        <v>7.3049059999999999E-3</v>
      </c>
      <c r="X5917">
        <v>0.9593912</v>
      </c>
      <c r="Y5917">
        <v>0.61680789999999996</v>
      </c>
      <c r="Z5917">
        <v>2.7860509999999999E-3</v>
      </c>
      <c r="AA5917">
        <v>0.78710880000000005</v>
      </c>
      <c r="AB5917">
        <v>20</v>
      </c>
      <c r="AC5917">
        <v>5.6467000000000098</v>
      </c>
      <c r="AD5917">
        <v>-1.1058710886100001</v>
      </c>
      <c r="AE5917">
        <v>-9.5411000000000001</v>
      </c>
      <c r="AF5917">
        <v>6.8787587678934301</v>
      </c>
      <c r="AG5917">
        <v>-1.1058710886100001</v>
      </c>
      <c r="AH5917">
        <v>8.5551511122855501</v>
      </c>
      <c r="AI5917">
        <v>95.752499928752997</v>
      </c>
      <c r="AJ5917">
        <v>51.199021032754402</v>
      </c>
      <c r="AK5917">
        <v>11.0331719648311</v>
      </c>
      <c r="AL5917">
        <v>89.581456002017504</v>
      </c>
      <c r="AM5917">
        <v>73.620875332820304</v>
      </c>
      <c r="AN5917">
        <v>1.0000000190662299</v>
      </c>
    </row>
    <row r="5918" spans="1:40" x14ac:dyDescent="0.25">
      <c r="A5918" t="str">
        <f>"20190312150811868"</f>
        <v>20190312150811868</v>
      </c>
      <c r="B5918" t="str">
        <f>"1552374491856212"</f>
        <v>1552374491856212</v>
      </c>
      <c r="C5918" t="s">
        <v>40</v>
      </c>
      <c r="D5918">
        <v>4.9217709999999997</v>
      </c>
      <c r="E5918">
        <v>0.65525119999999903</v>
      </c>
      <c r="F5918" t="s">
        <v>61</v>
      </c>
      <c r="G5918">
        <v>-193.97819999999999</v>
      </c>
      <c r="H5918" s="1">
        <v>5.6004779999999998E-6</v>
      </c>
      <c r="I5918">
        <v>203.42590000000001</v>
      </c>
      <c r="J5918">
        <v>-198.9804</v>
      </c>
      <c r="K5918">
        <v>1.105764</v>
      </c>
      <c r="L5918">
        <v>212.149</v>
      </c>
      <c r="M5918">
        <v>0.93316540000000003</v>
      </c>
      <c r="N5918">
        <v>0</v>
      </c>
      <c r="O5918">
        <v>-0.35917149999999998</v>
      </c>
      <c r="P5918">
        <v>0.7918655</v>
      </c>
      <c r="Q5918">
        <v>-2.4726090000000002E-3</v>
      </c>
      <c r="R5918">
        <v>-0.61069110000000004</v>
      </c>
      <c r="S5918">
        <v>1.6482699999999999</v>
      </c>
      <c r="T5918">
        <v>-0.35146709999999998</v>
      </c>
      <c r="U5918">
        <v>-2.7976070000000002</v>
      </c>
      <c r="V5918">
        <v>0.28559859999999998</v>
      </c>
      <c r="W5918">
        <v>7.6577549999999996E-3</v>
      </c>
      <c r="X5918">
        <v>0.95831869999999997</v>
      </c>
      <c r="Y5918">
        <v>0.62030959999999902</v>
      </c>
      <c r="Z5918">
        <v>3.7536359999999999E-3</v>
      </c>
      <c r="AA5918">
        <v>0.78434809999999999</v>
      </c>
      <c r="AB5918">
        <v>20</v>
      </c>
      <c r="AC5918">
        <v>5.00220000000001</v>
      </c>
      <c r="AD5918">
        <v>-1.1057583995219999</v>
      </c>
      <c r="AE5918">
        <v>-8.7230999999999792</v>
      </c>
      <c r="AF5918">
        <v>6.268278461265</v>
      </c>
      <c r="AG5918">
        <v>-1.1057583995219999</v>
      </c>
      <c r="AH5918">
        <v>7.7085284885937098</v>
      </c>
      <c r="AI5918">
        <v>96.350570385494294</v>
      </c>
      <c r="AJ5918">
        <v>50.883319199208103</v>
      </c>
      <c r="AK5918">
        <v>9.9967708769148604</v>
      </c>
      <c r="AL5918">
        <v>89.5612386547825</v>
      </c>
      <c r="AM5918">
        <v>73.404865656946399</v>
      </c>
      <c r="AN5918">
        <v>0.99999996615164399</v>
      </c>
    </row>
    <row r="5919" spans="1:40" x14ac:dyDescent="0.25">
      <c r="A5919" t="str">
        <f>"20190312150811891"</f>
        <v>20190312150811891</v>
      </c>
      <c r="B5919" t="str">
        <f>"1552374491886467"</f>
        <v>1552374491886467</v>
      </c>
      <c r="C5919" t="s">
        <v>40</v>
      </c>
      <c r="D5919">
        <v>4.9413019999999896</v>
      </c>
      <c r="E5919">
        <v>0.65467249999999999</v>
      </c>
      <c r="F5919" t="s">
        <v>61</v>
      </c>
      <c r="G5919">
        <v>-194.13820000000001</v>
      </c>
      <c r="H5919" s="1">
        <v>5.4935960000000001E-6</v>
      </c>
      <c r="I5919">
        <v>203.69560000000001</v>
      </c>
      <c r="J5919">
        <v>-198.78700000000001</v>
      </c>
      <c r="K5919">
        <v>1.1056600000000001</v>
      </c>
      <c r="L5919">
        <v>212.0635</v>
      </c>
      <c r="M5919">
        <v>0.92993930000000002</v>
      </c>
      <c r="N5919">
        <v>0</v>
      </c>
      <c r="O5919">
        <v>-0.3674422</v>
      </c>
      <c r="P5919">
        <v>0.78417769999999898</v>
      </c>
      <c r="Q5919">
        <v>-3.2852250000000001E-3</v>
      </c>
      <c r="R5919">
        <v>-0.62052779999999996</v>
      </c>
      <c r="S5919">
        <v>1.6141509999999999</v>
      </c>
      <c r="T5919">
        <v>-0.3686044</v>
      </c>
      <c r="U5919">
        <v>-2.8179470000000002</v>
      </c>
      <c r="V5919">
        <v>0.28904439999999998</v>
      </c>
      <c r="W5919">
        <v>6.739391E-3</v>
      </c>
      <c r="X5919">
        <v>0.95729200000000003</v>
      </c>
      <c r="Y5919">
        <v>0.6228243</v>
      </c>
      <c r="Z5919">
        <v>4.8084859999999998E-3</v>
      </c>
      <c r="AA5919">
        <v>0.78234700000000001</v>
      </c>
      <c r="AB5919">
        <v>20</v>
      </c>
      <c r="AC5919">
        <v>4.6487999999999898</v>
      </c>
      <c r="AD5919">
        <v>-1.105654506404</v>
      </c>
      <c r="AE5919">
        <v>-8.3678999999999899</v>
      </c>
      <c r="AF5919">
        <v>5.9941114573028802</v>
      </c>
      <c r="AG5919">
        <v>-1.105654506404</v>
      </c>
      <c r="AH5919">
        <v>7.3011537907110302</v>
      </c>
      <c r="AI5919">
        <v>96.675748916462695</v>
      </c>
      <c r="AJ5919">
        <v>50.614641178866897</v>
      </c>
      <c r="AK5919">
        <v>9.5109773801494892</v>
      </c>
      <c r="AL5919">
        <v>89.613858427286104</v>
      </c>
      <c r="AM5919">
        <v>73.198853324334607</v>
      </c>
      <c r="AN5919">
        <v>1.0000000289132001</v>
      </c>
    </row>
    <row r="5920" spans="1:40" x14ac:dyDescent="0.25">
      <c r="A5920" t="str">
        <f>"20190312150811913"</f>
        <v>20190312150811913</v>
      </c>
      <c r="B5920" t="str">
        <f>"1552374491905990"</f>
        <v>1552374491905990</v>
      </c>
      <c r="C5920" t="s">
        <v>40</v>
      </c>
      <c r="D5920">
        <v>5.0097329999999998</v>
      </c>
      <c r="E5920">
        <v>0.6541846</v>
      </c>
      <c r="F5920" t="s">
        <v>61</v>
      </c>
      <c r="G5920">
        <v>-194.31880000000001</v>
      </c>
      <c r="H5920" s="1">
        <v>5.3584180000000003E-6</v>
      </c>
      <c r="I5920">
        <v>204.0548</v>
      </c>
      <c r="J5920">
        <v>-198.5985</v>
      </c>
      <c r="K5920">
        <v>1.1055729999999999</v>
      </c>
      <c r="L5920">
        <v>211.9778</v>
      </c>
      <c r="M5920">
        <v>0.92663039999999997</v>
      </c>
      <c r="N5920">
        <v>0</v>
      </c>
      <c r="O5920">
        <v>-0.37570769999999998</v>
      </c>
      <c r="P5920">
        <v>0.77715089999999998</v>
      </c>
      <c r="Q5920">
        <v>-4.0394480000000002E-3</v>
      </c>
      <c r="R5920">
        <v>-0.62930120000000001</v>
      </c>
      <c r="S5920">
        <v>1.5812679999999999</v>
      </c>
      <c r="T5920">
        <v>-0.39128299999999999</v>
      </c>
      <c r="U5920">
        <v>-2.8342130000000001</v>
      </c>
      <c r="V5920">
        <v>0.29127180000000003</v>
      </c>
      <c r="W5920">
        <v>5.9063719999999896E-3</v>
      </c>
      <c r="X5920">
        <v>0.95662210000000003</v>
      </c>
      <c r="Y5920">
        <v>0.62452669999999999</v>
      </c>
      <c r="Z5920">
        <v>6.101441E-3</v>
      </c>
      <c r="AA5920">
        <v>0.780979599999999</v>
      </c>
      <c r="AB5920">
        <v>20</v>
      </c>
      <c r="AC5920">
        <v>4.2796999999999903</v>
      </c>
      <c r="AD5920">
        <v>-1.1055676415819999</v>
      </c>
      <c r="AE5920">
        <v>-7.923</v>
      </c>
      <c r="AF5920">
        <v>5.6491980535376998</v>
      </c>
      <c r="AG5920">
        <v>-1.1055676415819999</v>
      </c>
      <c r="AH5920">
        <v>6.84002510707107</v>
      </c>
      <c r="AI5920">
        <v>97.103770743203199</v>
      </c>
      <c r="AJ5920">
        <v>50.446593371650401</v>
      </c>
      <c r="AK5920">
        <v>8.9398916058065296</v>
      </c>
      <c r="AL5920">
        <v>89.661587842672702</v>
      </c>
      <c r="AM5920">
        <v>73.065583428188404</v>
      </c>
      <c r="AN5920">
        <v>0.999999994456926</v>
      </c>
    </row>
    <row r="5921" spans="1:40" x14ac:dyDescent="0.25">
      <c r="A5921" t="str">
        <f>"20190312150811936"</f>
        <v>20190312150811936</v>
      </c>
      <c r="B5921" t="str">
        <f>"1552374491926482"</f>
        <v>1552374491926482</v>
      </c>
      <c r="C5921" t="s">
        <v>40</v>
      </c>
      <c r="D5921">
        <v>4.9725849999999996</v>
      </c>
      <c r="E5921">
        <v>0.6537229</v>
      </c>
      <c r="F5921" t="s">
        <v>61</v>
      </c>
      <c r="G5921">
        <v>-194.31030000000001</v>
      </c>
      <c r="H5921" s="1">
        <v>5.3480700000000001E-6</v>
      </c>
      <c r="I5921">
        <v>204.101</v>
      </c>
      <c r="J5921">
        <v>-198.41579999999999</v>
      </c>
      <c r="K5921">
        <v>1.105488</v>
      </c>
      <c r="L5921">
        <v>211.89250000000001</v>
      </c>
      <c r="M5921">
        <v>0.92325670000000004</v>
      </c>
      <c r="N5921">
        <v>0</v>
      </c>
      <c r="O5921">
        <v>-0.3839226</v>
      </c>
      <c r="P5921">
        <v>0.77032769999999995</v>
      </c>
      <c r="Q5921">
        <v>-3.3067259999999998E-3</v>
      </c>
      <c r="R5921">
        <v>-0.63763999999999998</v>
      </c>
      <c r="S5921">
        <v>1.551102</v>
      </c>
      <c r="T5921">
        <v>-0.39989940000000002</v>
      </c>
      <c r="U5921">
        <v>-2.8491520000000001</v>
      </c>
      <c r="V5921">
        <v>0.29309359999999901</v>
      </c>
      <c r="W5921">
        <v>6.5677340000000004E-3</v>
      </c>
      <c r="X5921">
        <v>0.95606120000000006</v>
      </c>
      <c r="Y5921">
        <v>0.62565219999999999</v>
      </c>
      <c r="Z5921">
        <v>7.30005699999999E-3</v>
      </c>
      <c r="AA5921">
        <v>0.78006799999999998</v>
      </c>
      <c r="AB5921">
        <v>20</v>
      </c>
      <c r="AC5921">
        <v>4.10549999999997</v>
      </c>
      <c r="AD5921">
        <v>-1.1054826519299901</v>
      </c>
      <c r="AE5921">
        <v>-7.7915000000000099</v>
      </c>
      <c r="AF5921">
        <v>5.5307795083259004</v>
      </c>
      <c r="AG5921">
        <v>-1.1054826519299901</v>
      </c>
      <c r="AH5921">
        <v>6.67723544581255</v>
      </c>
      <c r="AI5921">
        <v>97.266091909766402</v>
      </c>
      <c r="AJ5921">
        <v>50.364918192126702</v>
      </c>
      <c r="AK5921">
        <v>8.7405427212645908</v>
      </c>
      <c r="AL5921">
        <v>89.623693857655994</v>
      </c>
      <c r="AM5921">
        <v>72.956364837584502</v>
      </c>
      <c r="AN5921">
        <v>1.00000000581814</v>
      </c>
    </row>
    <row r="5922" spans="1:40" x14ac:dyDescent="0.25">
      <c r="A5922" t="str">
        <f>"20190312150811956"</f>
        <v>20190312150811956</v>
      </c>
      <c r="B5922" t="str">
        <f>"1552374491946002"</f>
        <v>1552374491946002</v>
      </c>
      <c r="C5922" t="s">
        <v>40</v>
      </c>
      <c r="D5922">
        <v>4.9754490000000002</v>
      </c>
      <c r="E5922">
        <v>0.65313520000000003</v>
      </c>
      <c r="F5922" t="s">
        <v>61</v>
      </c>
      <c r="G5922">
        <v>-194.23419999999999</v>
      </c>
      <c r="H5922" s="1">
        <v>5.3847369999999998E-6</v>
      </c>
      <c r="I5922">
        <v>204.02619999999999</v>
      </c>
      <c r="J5922">
        <v>-198.23650000000001</v>
      </c>
      <c r="K5922">
        <v>1.105402</v>
      </c>
      <c r="L5922">
        <v>211.80680000000001</v>
      </c>
      <c r="M5922">
        <v>0.91977379999999997</v>
      </c>
      <c r="N5922">
        <v>0</v>
      </c>
      <c r="O5922">
        <v>-0.3921926</v>
      </c>
      <c r="P5922">
        <v>0.76329639999999999</v>
      </c>
      <c r="Q5922">
        <v>-2.4568400000000001E-3</v>
      </c>
      <c r="R5922">
        <v>-0.64604410000000001</v>
      </c>
      <c r="S5922">
        <v>1.522278</v>
      </c>
      <c r="T5922">
        <v>-0.40244570000000002</v>
      </c>
      <c r="U5922">
        <v>-2.863693</v>
      </c>
      <c r="V5922">
        <v>0.2950026</v>
      </c>
      <c r="W5922">
        <v>7.3397139999999998E-3</v>
      </c>
      <c r="X5922">
        <v>0.95546819999999999</v>
      </c>
      <c r="Y5922">
        <v>0.62643780000000004</v>
      </c>
      <c r="Z5922">
        <v>8.4573289999999995E-3</v>
      </c>
      <c r="AA5922">
        <v>0.77942549999999999</v>
      </c>
      <c r="AB5922">
        <v>20</v>
      </c>
      <c r="AC5922">
        <v>4.0023000000000204</v>
      </c>
      <c r="AD5922">
        <v>-1.1053966152629999</v>
      </c>
      <c r="AE5922">
        <v>-7.7806000000000202</v>
      </c>
      <c r="AF5922">
        <v>5.4995046633896996</v>
      </c>
      <c r="AG5922">
        <v>-1.1053966152629999</v>
      </c>
      <c r="AH5922">
        <v>6.6275994002971901</v>
      </c>
      <c r="AI5922">
        <v>97.314079206990201</v>
      </c>
      <c r="AJ5922">
        <v>50.314508353383303</v>
      </c>
      <c r="AK5922">
        <v>8.6828294369116605</v>
      </c>
      <c r="AL5922">
        <v>89.579461565236102</v>
      </c>
      <c r="AM5922">
        <v>72.841829214833894</v>
      </c>
      <c r="AN5922">
        <v>0.99999994330979902</v>
      </c>
    </row>
    <row r="5923" spans="1:40" x14ac:dyDescent="0.25">
      <c r="A5923" t="str">
        <f>"20190312150811981"</f>
        <v>20190312150811981</v>
      </c>
      <c r="B5923" t="str">
        <f>"1552374491976259"</f>
        <v>1552374491976259</v>
      </c>
      <c r="C5923" t="s">
        <v>40</v>
      </c>
      <c r="D5923">
        <v>4.9328459999999996</v>
      </c>
      <c r="E5923">
        <v>0.65226450000000002</v>
      </c>
      <c r="F5923" t="s">
        <v>61</v>
      </c>
      <c r="G5923">
        <v>-194.15260000000001</v>
      </c>
      <c r="H5923" s="1">
        <v>5.4258800000000003E-6</v>
      </c>
      <c r="I5923">
        <v>203.9392</v>
      </c>
      <c r="J5923">
        <v>-198.0444</v>
      </c>
      <c r="K5923">
        <v>1.105286</v>
      </c>
      <c r="L5923">
        <v>211.7124</v>
      </c>
      <c r="M5923">
        <v>0.91583680000000001</v>
      </c>
      <c r="N5923">
        <v>0</v>
      </c>
      <c r="O5923">
        <v>-0.40129890000000001</v>
      </c>
      <c r="P5923">
        <v>0.75626719999999903</v>
      </c>
      <c r="Q5923">
        <v>-1.180536E-3</v>
      </c>
      <c r="R5923">
        <v>-0.65426209999999996</v>
      </c>
      <c r="S5923">
        <v>1.493622</v>
      </c>
      <c r="T5923">
        <v>-0.40427740000000001</v>
      </c>
      <c r="U5923">
        <v>-2.8774109999999999</v>
      </c>
      <c r="V5923">
        <v>0.29587479999999999</v>
      </c>
      <c r="W5923">
        <v>8.5408280000000003E-3</v>
      </c>
      <c r="X5923">
        <v>0.95518860000000005</v>
      </c>
      <c r="Y5923">
        <v>0.62637869999999995</v>
      </c>
      <c r="Z5923">
        <v>9.8066070000000002E-3</v>
      </c>
      <c r="AA5923">
        <v>0.77945719999999996</v>
      </c>
      <c r="AB5923">
        <v>20</v>
      </c>
      <c r="AC5923">
        <v>3.8917999999999799</v>
      </c>
      <c r="AD5923">
        <v>-1.10528057412</v>
      </c>
      <c r="AE5923">
        <v>-7.7732000000000001</v>
      </c>
      <c r="AF5923">
        <v>5.46935173225455</v>
      </c>
      <c r="AG5923">
        <v>-1.10528057412</v>
      </c>
      <c r="AH5923">
        <v>6.5779664377162996</v>
      </c>
      <c r="AI5923">
        <v>97.361892714023796</v>
      </c>
      <c r="AJ5923">
        <v>50.257647855402297</v>
      </c>
      <c r="AK5923">
        <v>8.6258388562715993</v>
      </c>
      <c r="AL5923">
        <v>89.510640678074097</v>
      </c>
      <c r="AM5923">
        <v>72.789351993243898</v>
      </c>
      <c r="AN5923">
        <v>1.0000000522939601</v>
      </c>
    </row>
    <row r="5924" spans="1:40" x14ac:dyDescent="0.25">
      <c r="A5924" t="str">
        <f>"20190312150812003"</f>
        <v>20190312150812003</v>
      </c>
      <c r="B5924" t="str">
        <f>"1552374491995779"</f>
        <v>1552374491995779</v>
      </c>
      <c r="C5924" t="s">
        <v>40</v>
      </c>
      <c r="D5924">
        <v>4.9978590000000001</v>
      </c>
      <c r="E5924">
        <v>0.65174929999999998</v>
      </c>
      <c r="F5924" t="s">
        <v>61</v>
      </c>
      <c r="G5924">
        <v>-194.05950000000001</v>
      </c>
      <c r="H5924" s="1">
        <v>5.4658049999999998E-6</v>
      </c>
      <c r="I5924">
        <v>203.8664</v>
      </c>
      <c r="J5924">
        <v>-197.85730000000001</v>
      </c>
      <c r="K5924">
        <v>1.1051519999999999</v>
      </c>
      <c r="L5924">
        <v>211.61779999999999</v>
      </c>
      <c r="M5924">
        <v>0.91178239999999999</v>
      </c>
      <c r="N5924">
        <v>0</v>
      </c>
      <c r="O5924">
        <v>-0.41042630000000002</v>
      </c>
      <c r="P5924">
        <v>0.74918809999999902</v>
      </c>
      <c r="Q5924">
        <v>-5.7824790000000003E-4</v>
      </c>
      <c r="R5924">
        <v>-0.66235719999999898</v>
      </c>
      <c r="S5924">
        <v>1.467133</v>
      </c>
      <c r="T5924">
        <v>-0.40693469999999998</v>
      </c>
      <c r="U5924">
        <v>-2.888687</v>
      </c>
      <c r="V5924">
        <v>0.29661769999999998</v>
      </c>
      <c r="W5924">
        <v>9.0610380000000004E-3</v>
      </c>
      <c r="X5924">
        <v>0.9549533</v>
      </c>
      <c r="Y5924">
        <v>0.62554109999999996</v>
      </c>
      <c r="Z5924">
        <v>1.126576E-2</v>
      </c>
      <c r="AA5924">
        <v>0.78010990000000002</v>
      </c>
      <c r="AB5924">
        <v>20</v>
      </c>
      <c r="AC5924">
        <v>3.7977999999999899</v>
      </c>
      <c r="AD5924">
        <v>-1.105146534195</v>
      </c>
      <c r="AE5924">
        <v>-7.7513999999999896</v>
      </c>
      <c r="AF5924">
        <v>5.4205769172323501</v>
      </c>
      <c r="AG5924">
        <v>-1.105146534195</v>
      </c>
      <c r="AH5924">
        <v>6.5376533051296501</v>
      </c>
      <c r="AI5924">
        <v>97.414301566318201</v>
      </c>
      <c r="AJ5924">
        <v>50.336789573952203</v>
      </c>
      <c r="AK5924">
        <v>8.5641645077466908</v>
      </c>
      <c r="AL5924">
        <v>89.480833651867101</v>
      </c>
      <c r="AM5924">
        <v>72.744701998696797</v>
      </c>
      <c r="AN5924">
        <v>0.99999998377190802</v>
      </c>
    </row>
    <row r="5925" spans="1:40" x14ac:dyDescent="0.25">
      <c r="A5925" t="str">
        <f>"20190312150812025"</f>
        <v>20190312150812025</v>
      </c>
      <c r="B5925" t="str">
        <f>"1552374492016278"</f>
        <v>1552374492016278</v>
      </c>
      <c r="C5925" t="s">
        <v>40</v>
      </c>
      <c r="D5925">
        <v>4.9842930000000001</v>
      </c>
      <c r="E5925">
        <v>0.65131569999999905</v>
      </c>
      <c r="F5925" t="s">
        <v>61</v>
      </c>
      <c r="G5925">
        <v>-193.96420000000001</v>
      </c>
      <c r="H5925" s="1">
        <v>5.5137280000000002E-6</v>
      </c>
      <c r="I5925">
        <v>203.76519999999999</v>
      </c>
      <c r="J5925">
        <v>-197.68260000000001</v>
      </c>
      <c r="K5925">
        <v>1.105005</v>
      </c>
      <c r="L5925">
        <v>211.52690000000001</v>
      </c>
      <c r="M5925">
        <v>0.90777810000000003</v>
      </c>
      <c r="N5925">
        <v>0</v>
      </c>
      <c r="O5925">
        <v>-0.41920679999999999</v>
      </c>
      <c r="P5925">
        <v>0.74245419999999995</v>
      </c>
      <c r="Q5925">
        <v>-8.0769969999999996E-4</v>
      </c>
      <c r="R5925">
        <v>-0.669896099999999</v>
      </c>
      <c r="S5925">
        <v>1.438599</v>
      </c>
      <c r="T5925">
        <v>-0.40838530000000001</v>
      </c>
      <c r="U5925">
        <v>-2.901764</v>
      </c>
      <c r="V5925">
        <v>0.2970546</v>
      </c>
      <c r="W5925">
        <v>8.7506289999999994E-3</v>
      </c>
      <c r="X5925">
        <v>0.95482040000000001</v>
      </c>
      <c r="Y5925">
        <v>0.62560909999999903</v>
      </c>
      <c r="Z5925">
        <v>1.2582869999999999E-2</v>
      </c>
      <c r="AA5925">
        <v>0.78003520000000004</v>
      </c>
      <c r="AB5925">
        <v>20</v>
      </c>
      <c r="AC5925">
        <v>3.7183999999999999</v>
      </c>
      <c r="AD5925">
        <v>-1.1049994862720001</v>
      </c>
      <c r="AE5925">
        <v>-7.76170000000001</v>
      </c>
      <c r="AF5925">
        <v>5.3986887408732303</v>
      </c>
      <c r="AG5925">
        <v>-1.1049994862720001</v>
      </c>
      <c r="AH5925">
        <v>6.5223984504306101</v>
      </c>
      <c r="AI5925">
        <v>97.435586275572703</v>
      </c>
      <c r="AJ5925">
        <v>50.384923466005397</v>
      </c>
      <c r="AK5925">
        <v>8.5386501000844603</v>
      </c>
      <c r="AL5925">
        <v>89.498619492622197</v>
      </c>
      <c r="AM5925">
        <v>72.718536400290802</v>
      </c>
      <c r="AN5925">
        <v>1.0000000025725999</v>
      </c>
    </row>
    <row r="5926" spans="1:40" x14ac:dyDescent="0.25">
      <c r="A5926" t="str">
        <f>"20190312150812047"</f>
        <v>20190312150812047</v>
      </c>
      <c r="B5926" t="str">
        <f>"1552374492035795"</f>
        <v>1552374492035795</v>
      </c>
      <c r="C5926" t="s">
        <v>40</v>
      </c>
      <c r="D5926">
        <v>4.9705620000000001</v>
      </c>
      <c r="E5926">
        <v>0.65078719999999901</v>
      </c>
      <c r="F5926" t="s">
        <v>61</v>
      </c>
      <c r="G5926">
        <v>-193.90379999999999</v>
      </c>
      <c r="H5926" s="1">
        <v>5.5377590000000001E-6</v>
      </c>
      <c r="I5926">
        <v>203.72499999999999</v>
      </c>
      <c r="J5926">
        <v>-197.50200000000001</v>
      </c>
      <c r="K5926">
        <v>1.104838</v>
      </c>
      <c r="L5926">
        <v>211.43010000000001</v>
      </c>
      <c r="M5926">
        <v>0.90338810000000003</v>
      </c>
      <c r="N5926">
        <v>0</v>
      </c>
      <c r="O5926">
        <v>-0.42858449999999998</v>
      </c>
      <c r="P5926">
        <v>0.73476779999999997</v>
      </c>
      <c r="Q5926">
        <v>-1.104896E-3</v>
      </c>
      <c r="R5926">
        <v>-0.67831830000000004</v>
      </c>
      <c r="S5926">
        <v>1.41124</v>
      </c>
      <c r="T5926">
        <v>-0.41267880000000001</v>
      </c>
      <c r="U5926">
        <v>-2.9137420000000001</v>
      </c>
      <c r="V5926">
        <v>0.29805369999999998</v>
      </c>
      <c r="W5926">
        <v>8.3572530000000003E-3</v>
      </c>
      <c r="X5926">
        <v>0.95451249999999999</v>
      </c>
      <c r="Y5926">
        <v>0.62475179999999997</v>
      </c>
      <c r="Z5926">
        <v>1.4175480000000001E-2</v>
      </c>
      <c r="AA5926">
        <v>0.78069469999999996</v>
      </c>
      <c r="AB5926">
        <v>20</v>
      </c>
      <c r="AC5926">
        <v>3.5982000000000198</v>
      </c>
      <c r="AD5926">
        <v>-1.104832462241</v>
      </c>
      <c r="AE5926">
        <v>-7.7051000000000096</v>
      </c>
      <c r="AF5926">
        <v>5.3291652154888602</v>
      </c>
      <c r="AG5926">
        <v>-1.104832462241</v>
      </c>
      <c r="AH5926">
        <v>6.44474574638725</v>
      </c>
      <c r="AI5926">
        <v>97.526008456316802</v>
      </c>
      <c r="AJ5926">
        <v>50.4126282368684</v>
      </c>
      <c r="AK5926">
        <v>8.4353662871967003</v>
      </c>
      <c r="AL5926">
        <v>89.521159092145695</v>
      </c>
      <c r="AM5926">
        <v>72.658633610154993</v>
      </c>
      <c r="AN5926">
        <v>0.99999998220882202</v>
      </c>
    </row>
    <row r="5927" spans="1:40" x14ac:dyDescent="0.25">
      <c r="A5927" t="str">
        <f>"20190312150812069"</f>
        <v>20190312150812069</v>
      </c>
      <c r="B5927" t="str">
        <f>"1552374492066051"</f>
        <v>1552374492066051</v>
      </c>
      <c r="C5927" t="s">
        <v>40</v>
      </c>
      <c r="D5927">
        <v>4.9821939999999998</v>
      </c>
      <c r="E5927">
        <v>0.65009150000000004</v>
      </c>
      <c r="F5927" t="s">
        <v>61</v>
      </c>
      <c r="G5927">
        <v>-193.84059999999999</v>
      </c>
      <c r="H5927" s="1">
        <v>5.5671709999999997E-6</v>
      </c>
      <c r="I5927">
        <v>203.6669</v>
      </c>
      <c r="J5927">
        <v>-197.32329999999999</v>
      </c>
      <c r="K5927">
        <v>1.1046899999999999</v>
      </c>
      <c r="L5927">
        <v>211.33160000000001</v>
      </c>
      <c r="M5927">
        <v>0.89880729999999998</v>
      </c>
      <c r="N5927">
        <v>0</v>
      </c>
      <c r="O5927">
        <v>-0.43810759999999999</v>
      </c>
      <c r="P5927">
        <v>0.72678310000000002</v>
      </c>
      <c r="Q5927">
        <v>-1.4631889999999999E-3</v>
      </c>
      <c r="R5927">
        <v>-0.68686539999999996</v>
      </c>
      <c r="S5927">
        <v>1.3803559999999999</v>
      </c>
      <c r="T5927">
        <v>-0.41652860000000003</v>
      </c>
      <c r="U5927">
        <v>-2.9267880000000002</v>
      </c>
      <c r="V5927">
        <v>0.29912820000000001</v>
      </c>
      <c r="W5927">
        <v>7.9147609999999993E-3</v>
      </c>
      <c r="X5927">
        <v>0.95418009999999998</v>
      </c>
      <c r="Y5927">
        <v>0.62461080000000002</v>
      </c>
      <c r="Z5927">
        <v>1.5750899999999901E-2</v>
      </c>
      <c r="AA5927">
        <v>0.78077730000000001</v>
      </c>
      <c r="AB5927">
        <v>20</v>
      </c>
      <c r="AC5927">
        <v>3.4826999999999901</v>
      </c>
      <c r="AD5927">
        <v>-1.104684432829</v>
      </c>
      <c r="AE5927">
        <v>-7.6647000000000096</v>
      </c>
      <c r="AF5927">
        <v>5.2730573048370202</v>
      </c>
      <c r="AG5927">
        <v>-1.104684432829</v>
      </c>
      <c r="AH5927">
        <v>6.3790793538585504</v>
      </c>
      <c r="AI5927">
        <v>97.602618946912798</v>
      </c>
      <c r="AJ5927">
        <v>50.422275829649898</v>
      </c>
      <c r="AK5927">
        <v>8.3497373874304692</v>
      </c>
      <c r="AL5927">
        <v>89.546512861082505</v>
      </c>
      <c r="AM5927">
        <v>72.594188950022897</v>
      </c>
      <c r="AN5927">
        <v>0.99999999335646805</v>
      </c>
    </row>
    <row r="5928" spans="1:40" x14ac:dyDescent="0.25">
      <c r="A5928" t="str">
        <f>"20190312150812093"</f>
        <v>20190312150812093</v>
      </c>
      <c r="B5928" t="str">
        <f>"1552374492085571"</f>
        <v>1552374492085571</v>
      </c>
      <c r="C5928" t="s">
        <v>40</v>
      </c>
      <c r="D5928">
        <v>4.9553719999999997</v>
      </c>
      <c r="E5928">
        <v>0.64968190000000003</v>
      </c>
      <c r="F5928" t="s">
        <v>61</v>
      </c>
      <c r="G5928">
        <v>-193.77709999999999</v>
      </c>
      <c r="H5928" s="1">
        <v>5.5972509999999999E-6</v>
      </c>
      <c r="I5928">
        <v>203.60650000000001</v>
      </c>
      <c r="J5928">
        <v>-197.142</v>
      </c>
      <c r="K5928">
        <v>1.1045590000000001</v>
      </c>
      <c r="L5928">
        <v>211.22880000000001</v>
      </c>
      <c r="M5928">
        <v>0.89389759999999996</v>
      </c>
      <c r="N5928">
        <v>0</v>
      </c>
      <c r="O5928">
        <v>-0.44803920000000003</v>
      </c>
      <c r="P5928">
        <v>0.7181284</v>
      </c>
      <c r="Q5928">
        <v>-2.5276360000000002E-3</v>
      </c>
      <c r="R5928">
        <v>-0.69590629999999998</v>
      </c>
      <c r="S5928">
        <v>1.3492280000000001</v>
      </c>
      <c r="T5928">
        <v>-0.42029499999999997</v>
      </c>
      <c r="U5928">
        <v>-2.9391630000000002</v>
      </c>
      <c r="V5928">
        <v>0.30048429999999998</v>
      </c>
      <c r="W5928">
        <v>6.7708619999999999E-3</v>
      </c>
      <c r="X5928">
        <v>0.95376269999999996</v>
      </c>
      <c r="Y5928">
        <v>0.62407000000000001</v>
      </c>
      <c r="Z5928">
        <v>1.745325E-2</v>
      </c>
      <c r="AA5928">
        <v>0.78117349999999997</v>
      </c>
      <c r="AB5928">
        <v>20</v>
      </c>
      <c r="AC5928">
        <v>3.3649</v>
      </c>
      <c r="AD5928">
        <v>-1.104553402749</v>
      </c>
      <c r="AE5928">
        <v>-7.6222999999999903</v>
      </c>
      <c r="AF5928">
        <v>5.2148533387712002</v>
      </c>
      <c r="AG5928">
        <v>-1.104553402749</v>
      </c>
      <c r="AH5928">
        <v>6.3126924826153497</v>
      </c>
      <c r="AI5928">
        <v>97.682685691387704</v>
      </c>
      <c r="AJ5928">
        <v>50.440221878693997</v>
      </c>
      <c r="AK5928">
        <v>8.2622527160869303</v>
      </c>
      <c r="AL5928">
        <v>89.612055209227293</v>
      </c>
      <c r="AM5928">
        <v>72.512892126946397</v>
      </c>
      <c r="AN5928">
        <v>0.99999997351500103</v>
      </c>
    </row>
    <row r="5929" spans="1:40" x14ac:dyDescent="0.25">
      <c r="A5929" t="str">
        <f>"20190312150812113"</f>
        <v>20190312150812113</v>
      </c>
      <c r="B5929" t="str">
        <f>"1552374492106066"</f>
        <v>1552374492106066</v>
      </c>
      <c r="C5929" t="s">
        <v>40</v>
      </c>
      <c r="D5929">
        <v>4.9964440000000003</v>
      </c>
      <c r="E5929">
        <v>0.64927690000000005</v>
      </c>
      <c r="F5929" t="s">
        <v>61</v>
      </c>
      <c r="G5929">
        <v>-193.71690000000001</v>
      </c>
      <c r="H5929" s="1">
        <v>5.6307669999999899E-6</v>
      </c>
      <c r="I5929">
        <v>203.53030000000001</v>
      </c>
      <c r="J5929">
        <v>-196.9709</v>
      </c>
      <c r="K5929">
        <v>1.1044339999999999</v>
      </c>
      <c r="L5929">
        <v>211.12899999999999</v>
      </c>
      <c r="M5929">
        <v>0.88900759999999901</v>
      </c>
      <c r="N5929">
        <v>0</v>
      </c>
      <c r="O5929">
        <v>-0.45766400000000002</v>
      </c>
      <c r="P5929">
        <v>0.7090436</v>
      </c>
      <c r="Q5929">
        <v>-3.8846530000000001E-3</v>
      </c>
      <c r="R5929">
        <v>-0.70515439999999996</v>
      </c>
      <c r="S5929">
        <v>1.313995</v>
      </c>
      <c r="T5929">
        <v>-0.4237553</v>
      </c>
      <c r="U5929">
        <v>-2.9534760000000002</v>
      </c>
      <c r="V5929">
        <v>0.30253069999999999</v>
      </c>
      <c r="W5929">
        <v>5.3265480000000004E-3</v>
      </c>
      <c r="X5929">
        <v>0.95312479999999999</v>
      </c>
      <c r="Y5929">
        <v>0.62484580000000001</v>
      </c>
      <c r="Z5929">
        <v>1.901744E-2</v>
      </c>
      <c r="AA5929">
        <v>0.7805166</v>
      </c>
      <c r="AB5929">
        <v>20</v>
      </c>
      <c r="AC5929">
        <v>3.2539999999999898</v>
      </c>
      <c r="AD5929">
        <v>-1.1044283692329999</v>
      </c>
      <c r="AE5929">
        <v>-7.5987</v>
      </c>
      <c r="AF5929">
        <v>5.1742467793832096</v>
      </c>
      <c r="AG5929">
        <v>-1.1044283692329999</v>
      </c>
      <c r="AH5929">
        <v>6.2594094240411202</v>
      </c>
      <c r="AI5929">
        <v>97.744380229084797</v>
      </c>
      <c r="AJ5929">
        <v>50.421673819607001</v>
      </c>
      <c r="AK5929">
        <v>8.1959012984844399</v>
      </c>
      <c r="AL5929">
        <v>89.694809849416004</v>
      </c>
      <c r="AM5929">
        <v>72.390076327200603</v>
      </c>
      <c r="AN5929">
        <v>1.00000004046556</v>
      </c>
    </row>
    <row r="5930" spans="1:40" x14ac:dyDescent="0.25">
      <c r="A5930" t="str">
        <f>"20190312150812137"</f>
        <v>20190312150812137</v>
      </c>
      <c r="B5930" t="str">
        <f>"1552374492126563"</f>
        <v>1552374492126563</v>
      </c>
      <c r="C5930" t="s">
        <v>40</v>
      </c>
      <c r="D5930">
        <v>5.0007970000000004</v>
      </c>
      <c r="E5930">
        <v>0.64930030000000005</v>
      </c>
      <c r="F5930" t="s">
        <v>61</v>
      </c>
      <c r="G5930">
        <v>-193.6875</v>
      </c>
      <c r="H5930" s="1">
        <v>5.6457169999999998E-6</v>
      </c>
      <c r="I5930">
        <v>203.49850000000001</v>
      </c>
      <c r="J5930">
        <v>-196.7962</v>
      </c>
      <c r="K5930">
        <v>1.1042989999999999</v>
      </c>
      <c r="L5930">
        <v>211.0241</v>
      </c>
      <c r="M5930">
        <v>0.88373749999999995</v>
      </c>
      <c r="N5930">
        <v>0</v>
      </c>
      <c r="O5930">
        <v>-0.4677577</v>
      </c>
      <c r="P5930">
        <v>0.69935080000000005</v>
      </c>
      <c r="Q5930">
        <v>-5.873021E-3</v>
      </c>
      <c r="R5930">
        <v>-0.71475449999999996</v>
      </c>
      <c r="S5930">
        <v>1.277069</v>
      </c>
      <c r="T5930">
        <v>-0.42957279999999998</v>
      </c>
      <c r="U5930">
        <v>-2.9679259999999998</v>
      </c>
      <c r="V5930">
        <v>0.30464740000000001</v>
      </c>
      <c r="W5930">
        <v>3.2451730000000001E-3</v>
      </c>
      <c r="X5930">
        <v>0.95245970000000002</v>
      </c>
      <c r="Y5930">
        <v>0.62554409999999905</v>
      </c>
      <c r="Z5930">
        <v>2.0805710000000002E-2</v>
      </c>
      <c r="AA5930">
        <v>0.77991140000000003</v>
      </c>
      <c r="AB5930">
        <v>20</v>
      </c>
      <c r="AC5930">
        <v>3.10869999999999</v>
      </c>
      <c r="AD5930">
        <v>-1.104293354283</v>
      </c>
      <c r="AE5930">
        <v>-7.5255999999999901</v>
      </c>
      <c r="AF5930">
        <v>5.1032182944743996</v>
      </c>
      <c r="AG5930">
        <v>-1.104293354283</v>
      </c>
      <c r="AH5930">
        <v>6.15488293053125</v>
      </c>
      <c r="AI5930">
        <v>97.863778520706205</v>
      </c>
      <c r="AJ5930">
        <v>50.336742650949603</v>
      </c>
      <c r="AK5930">
        <v>8.07123811208149</v>
      </c>
      <c r="AL5930">
        <v>89.814064961568704</v>
      </c>
      <c r="AM5930">
        <v>72.2629520459856</v>
      </c>
      <c r="AN5930">
        <v>1.0000000247993199</v>
      </c>
    </row>
    <row r="5931" spans="1:40" x14ac:dyDescent="0.25">
      <c r="A5931" t="str">
        <f>"20190312150812158"</f>
        <v>20190312150812158</v>
      </c>
      <c r="B5931" t="str">
        <f>"1552374492155843"</f>
        <v>1552374492155843</v>
      </c>
      <c r="C5931" t="s">
        <v>40</v>
      </c>
      <c r="D5931">
        <v>4.9129399999999999</v>
      </c>
      <c r="E5931">
        <v>0.6829267</v>
      </c>
      <c r="F5931" t="s">
        <v>61</v>
      </c>
      <c r="G5931">
        <v>-193.65989999999999</v>
      </c>
      <c r="H5931" s="1">
        <v>5.6653499999999999E-6</v>
      </c>
      <c r="I5931">
        <v>203.44739999999999</v>
      </c>
      <c r="J5931">
        <v>-196.62819999999999</v>
      </c>
      <c r="K5931">
        <v>1.104168</v>
      </c>
      <c r="L5931">
        <v>210.9204</v>
      </c>
      <c r="M5931">
        <v>0.87839140000000004</v>
      </c>
      <c r="N5931">
        <v>0</v>
      </c>
      <c r="O5931">
        <v>-0.47772039999999999</v>
      </c>
      <c r="P5931">
        <v>0.68998090000000001</v>
      </c>
      <c r="Q5931">
        <v>-7.263065E-3</v>
      </c>
      <c r="R5931">
        <v>-0.72379150000000003</v>
      </c>
      <c r="S5931">
        <v>1.2355039999999999</v>
      </c>
      <c r="T5931">
        <v>-0.43502619999999997</v>
      </c>
      <c r="U5931">
        <v>-2.984772</v>
      </c>
      <c r="V5931">
        <v>0.30625269999999999</v>
      </c>
      <c r="W5931">
        <v>1.770321E-3</v>
      </c>
      <c r="X5931">
        <v>0.95194860000000003</v>
      </c>
      <c r="Y5931">
        <v>0.62755899999999998</v>
      </c>
      <c r="Z5931">
        <v>2.2485950000000001E-2</v>
      </c>
      <c r="AA5931">
        <v>0.7782443</v>
      </c>
      <c r="AB5931">
        <v>20</v>
      </c>
      <c r="AC5931">
        <v>2.9683000000000002</v>
      </c>
      <c r="AD5931">
        <v>-1.10416233465</v>
      </c>
      <c r="AE5931">
        <v>-7.4730000000000096</v>
      </c>
      <c r="AF5931">
        <v>5.0514946244266099</v>
      </c>
      <c r="AG5931">
        <v>-1.10416233465</v>
      </c>
      <c r="AH5931">
        <v>6.0636507099058701</v>
      </c>
      <c r="AI5931">
        <v>97.964387029265595</v>
      </c>
      <c r="AJ5931">
        <v>50.203060359545702</v>
      </c>
      <c r="AK5931">
        <v>7.9689793784155798</v>
      </c>
      <c r="AL5931">
        <v>89.898568024692395</v>
      </c>
      <c r="AM5931">
        <v>72.166425782112</v>
      </c>
      <c r="AN5931">
        <v>0.99999999366784598</v>
      </c>
    </row>
    <row r="5932" spans="1:40" x14ac:dyDescent="0.25">
      <c r="A5932" t="str">
        <f>"20190312150812176"</f>
        <v>20190312150812176</v>
      </c>
      <c r="B5932" t="str">
        <f>"1552374492166579"</f>
        <v>1552374492166579</v>
      </c>
      <c r="C5932" t="s">
        <v>40</v>
      </c>
      <c r="D5932">
        <v>4.9263919999999999</v>
      </c>
      <c r="E5932">
        <v>0.68317069999999902</v>
      </c>
      <c r="F5932" t="s">
        <v>42</v>
      </c>
      <c r="G5932">
        <v>-191.0274</v>
      </c>
      <c r="H5932" s="1">
        <v>-1.839472E-6</v>
      </c>
      <c r="I5932">
        <v>193.2397</v>
      </c>
      <c r="J5932">
        <v>-196.4905</v>
      </c>
      <c r="K5932">
        <v>1.1040559999999999</v>
      </c>
      <c r="L5932">
        <v>210.8331</v>
      </c>
      <c r="M5932">
        <v>0.87378860000000003</v>
      </c>
      <c r="N5932">
        <v>0</v>
      </c>
      <c r="O5932">
        <v>-0.48608649999999998</v>
      </c>
      <c r="P5932">
        <v>0.68263189999999996</v>
      </c>
      <c r="Q5932">
        <v>-7.7171949999999996E-3</v>
      </c>
      <c r="R5932">
        <v>-0.73072190000000004</v>
      </c>
      <c r="S5932">
        <v>1.007965</v>
      </c>
      <c r="T5932">
        <v>-0.19871440000000001</v>
      </c>
      <c r="U5932">
        <v>-3.1819459999999999</v>
      </c>
      <c r="V5932">
        <v>0.30677070000000001</v>
      </c>
      <c r="W5932">
        <v>1.2591519999999999E-3</v>
      </c>
      <c r="X5932">
        <v>0.95178260000000003</v>
      </c>
      <c r="Y5932">
        <v>0.68593110000000002</v>
      </c>
      <c r="Z5932">
        <v>8.2785429999999993E-3</v>
      </c>
      <c r="AA5932">
        <v>0.72761929999999997</v>
      </c>
      <c r="AB5932">
        <v>20</v>
      </c>
      <c r="AC5932">
        <v>5.4630999999999901</v>
      </c>
      <c r="AD5932">
        <v>-1.104057839472</v>
      </c>
      <c r="AE5932">
        <v>-17.593399999999999</v>
      </c>
      <c r="AF5932">
        <v>12.6732113295262</v>
      </c>
      <c r="AG5932">
        <v>-1.104057839472</v>
      </c>
      <c r="AH5932">
        <v>13.279235073822999</v>
      </c>
      <c r="AI5932">
        <v>93.4419923191724</v>
      </c>
      <c r="AJ5932">
        <v>46.337688676126199</v>
      </c>
      <c r="AK5932">
        <v>18.389326068716699</v>
      </c>
      <c r="AL5932">
        <v>89.927855884326505</v>
      </c>
      <c r="AM5932">
        <v>72.135259820410994</v>
      </c>
      <c r="AN5932">
        <v>0.99999998275250401</v>
      </c>
    </row>
    <row r="5933" spans="1:40" x14ac:dyDescent="0.25">
      <c r="A5933" t="str">
        <f>"20190312150812192"</f>
        <v>20190312150812192</v>
      </c>
      <c r="B5933" t="str">
        <f>"1552374492186099"</f>
        <v>1552374492186099</v>
      </c>
      <c r="C5933" t="s">
        <v>40</v>
      </c>
      <c r="D5933">
        <v>4.9724810000000002</v>
      </c>
      <c r="E5933">
        <v>0.68226759999999997</v>
      </c>
      <c r="F5933" t="s">
        <v>42</v>
      </c>
      <c r="G5933">
        <v>-190.81139999999999</v>
      </c>
      <c r="H5933" s="1">
        <v>-1.345268E-6</v>
      </c>
      <c r="I5933">
        <v>192.2217</v>
      </c>
      <c r="J5933">
        <v>-196.36619999999999</v>
      </c>
      <c r="K5933">
        <v>1.103953</v>
      </c>
      <c r="L5933">
        <v>210.75239999999999</v>
      </c>
      <c r="M5933">
        <v>0.86945810000000001</v>
      </c>
      <c r="N5933">
        <v>0</v>
      </c>
      <c r="O5933">
        <v>-0.49378949999999999</v>
      </c>
      <c r="P5933">
        <v>0.67507740000000005</v>
      </c>
      <c r="Q5933">
        <v>-8.0204370000000001E-3</v>
      </c>
      <c r="R5933">
        <v>-0.73770389999999997</v>
      </c>
      <c r="S5933">
        <v>0.97439580000000003</v>
      </c>
      <c r="T5933">
        <v>-0.1894296</v>
      </c>
      <c r="U5933">
        <v>-3.1932680000000002</v>
      </c>
      <c r="V5933">
        <v>0.3081448</v>
      </c>
      <c r="W5933">
        <v>8.8388080000000003E-4</v>
      </c>
      <c r="X5933">
        <v>0.95133909999999999</v>
      </c>
      <c r="Y5933">
        <v>0.68725740000000002</v>
      </c>
      <c r="Z5933">
        <v>8.3724739999999995E-3</v>
      </c>
      <c r="AA5933">
        <v>0.726365699999999</v>
      </c>
      <c r="AB5933">
        <v>20</v>
      </c>
      <c r="AC5933">
        <v>5.5548000000000002</v>
      </c>
      <c r="AD5933">
        <v>-1.1039543452680001</v>
      </c>
      <c r="AE5933">
        <v>-18.5307</v>
      </c>
      <c r="AF5933">
        <v>13.3268010960485</v>
      </c>
      <c r="AG5933">
        <v>-1.1039543452680001</v>
      </c>
      <c r="AH5933">
        <v>13.936048305614699</v>
      </c>
      <c r="AI5933">
        <v>93.276689251488605</v>
      </c>
      <c r="AJ5933">
        <v>46.280184773290699</v>
      </c>
      <c r="AK5933">
        <v>19.3141343328274</v>
      </c>
      <c r="AL5933">
        <v>89.949357356054705</v>
      </c>
      <c r="AM5933">
        <v>72.052530475768293</v>
      </c>
      <c r="AN5933">
        <v>1.0000000411005501</v>
      </c>
    </row>
    <row r="5934" spans="1:40" x14ac:dyDescent="0.25">
      <c r="A5934" t="str">
        <f>"20190312150812215"</f>
        <v>20190312150812215</v>
      </c>
      <c r="B5934" t="str">
        <f>"1552374492205622"</f>
        <v>1552374492205622</v>
      </c>
      <c r="C5934" t="s">
        <v>40</v>
      </c>
      <c r="D5934">
        <v>4.8925879999999999</v>
      </c>
      <c r="E5934">
        <v>0.6819963</v>
      </c>
      <c r="F5934" t="s">
        <v>42</v>
      </c>
      <c r="G5934">
        <v>-190.5583</v>
      </c>
      <c r="H5934" s="1">
        <v>-8.0900929999999996E-7</v>
      </c>
      <c r="I5934">
        <v>191.12870000000001</v>
      </c>
      <c r="J5934">
        <v>-196.19900000000001</v>
      </c>
      <c r="K5934">
        <v>1.103815</v>
      </c>
      <c r="L5934">
        <v>210.64099999999999</v>
      </c>
      <c r="M5934">
        <v>0.86335769999999901</v>
      </c>
      <c r="N5934">
        <v>0</v>
      </c>
      <c r="O5934">
        <v>-0.50437829999999995</v>
      </c>
      <c r="P5934">
        <v>0.66521350000000001</v>
      </c>
      <c r="Q5934">
        <v>-7.4924029999999999E-3</v>
      </c>
      <c r="R5934">
        <v>-0.7466159</v>
      </c>
      <c r="S5934">
        <v>0.94662480000000004</v>
      </c>
      <c r="T5934">
        <v>-0.17993239999999999</v>
      </c>
      <c r="U5934">
        <v>-3.1984560000000002</v>
      </c>
      <c r="V5934">
        <v>0.3091758</v>
      </c>
      <c r="W5934">
        <v>1.331631E-3</v>
      </c>
      <c r="X5934">
        <v>0.95100399999999996</v>
      </c>
      <c r="Y5934">
        <v>0.68453229999999998</v>
      </c>
      <c r="Z5934">
        <v>8.7630339999999994E-3</v>
      </c>
      <c r="AA5934">
        <v>0.72892990000000002</v>
      </c>
      <c r="AB5934">
        <v>20</v>
      </c>
      <c r="AC5934">
        <v>5.6407000000000096</v>
      </c>
      <c r="AD5934">
        <v>-1.1038158090093</v>
      </c>
      <c r="AE5934">
        <v>-19.5122999999999</v>
      </c>
      <c r="AF5934">
        <v>13.961327104631099</v>
      </c>
      <c r="AG5934">
        <v>-1.1038158090093</v>
      </c>
      <c r="AH5934">
        <v>14.669786211902499</v>
      </c>
      <c r="AI5934">
        <v>93.119848943812002</v>
      </c>
      <c r="AJ5934">
        <v>46.417459210934901</v>
      </c>
      <c r="AK5934">
        <v>20.281511072049099</v>
      </c>
      <c r="AL5934">
        <v>89.923703143440093</v>
      </c>
      <c r="AM5934">
        <v>71.990416610712799</v>
      </c>
      <c r="AN5934">
        <v>1.0000000282813699</v>
      </c>
    </row>
    <row r="5935" spans="1:40" x14ac:dyDescent="0.25">
      <c r="A5935" t="str">
        <f>"20190312150812237"</f>
        <v>20190312150812237</v>
      </c>
      <c r="B5935" t="str">
        <f>"1552374492226115"</f>
        <v>1552374492226115</v>
      </c>
      <c r="C5935" t="s">
        <v>40</v>
      </c>
      <c r="D5935">
        <v>4.8632780000000002</v>
      </c>
      <c r="E5935">
        <v>0.67465189999999997</v>
      </c>
      <c r="F5935" t="s">
        <v>42</v>
      </c>
      <c r="G5935">
        <v>-190.3895</v>
      </c>
      <c r="H5935" s="1">
        <v>-3.01692599999999E-7</v>
      </c>
      <c r="I5935">
        <v>190.05080000000001</v>
      </c>
      <c r="J5935">
        <v>-196.03039999999999</v>
      </c>
      <c r="K5935">
        <v>1.1036809999999999</v>
      </c>
      <c r="L5935">
        <v>210.52529999999999</v>
      </c>
      <c r="M5935">
        <v>0.85687359999999901</v>
      </c>
      <c r="N5935">
        <v>0</v>
      </c>
      <c r="O5935">
        <v>-0.51531530000000003</v>
      </c>
      <c r="P5935">
        <v>0.65463519999999997</v>
      </c>
      <c r="Q5935">
        <v>-6.8042220000000004E-3</v>
      </c>
      <c r="R5935">
        <v>-0.75591430000000004</v>
      </c>
      <c r="S5935">
        <v>0.90557860000000001</v>
      </c>
      <c r="T5935">
        <v>-0.17206260000000001</v>
      </c>
      <c r="U5935">
        <v>-3.2096100000000001</v>
      </c>
      <c r="V5935">
        <v>0.31049120000000002</v>
      </c>
      <c r="W5935">
        <v>1.940074E-3</v>
      </c>
      <c r="X5935">
        <v>0.95057429999999998</v>
      </c>
      <c r="Y5935">
        <v>0.68458980000000003</v>
      </c>
      <c r="Z5935">
        <v>9.0762099999999995E-3</v>
      </c>
      <c r="AA5935">
        <v>0.72887209999999902</v>
      </c>
      <c r="AB5935">
        <v>20</v>
      </c>
      <c r="AC5935">
        <v>5.6408999999999798</v>
      </c>
      <c r="AD5935">
        <v>-1.1036813016925999</v>
      </c>
      <c r="AE5935">
        <v>-20.4744999999999</v>
      </c>
      <c r="AF5935">
        <v>14.599381017317</v>
      </c>
      <c r="AG5935">
        <v>-1.1036813016925999</v>
      </c>
      <c r="AH5935">
        <v>15.3445946908474</v>
      </c>
      <c r="AI5935">
        <v>92.982941759326806</v>
      </c>
      <c r="AJ5935">
        <v>46.4256218668732</v>
      </c>
      <c r="AK5935">
        <v>21.2088807986392</v>
      </c>
      <c r="AL5935">
        <v>89.888841880848304</v>
      </c>
      <c r="AM5935">
        <v>71.911130269693899</v>
      </c>
      <c r="AN5935">
        <v>1.00000002449252</v>
      </c>
    </row>
    <row r="5936" spans="1:40" x14ac:dyDescent="0.25">
      <c r="A5936" t="str">
        <f>"20190312150812259"</f>
        <v>20190312150812259</v>
      </c>
      <c r="B5936" t="str">
        <f>"1552374492256371"</f>
        <v>1552374492256371</v>
      </c>
      <c r="C5936" t="s">
        <v>40</v>
      </c>
      <c r="D5936">
        <v>4.9167129999999997</v>
      </c>
      <c r="E5936">
        <v>0.67328779999999999</v>
      </c>
      <c r="F5936" t="s">
        <v>61</v>
      </c>
      <c r="G5936">
        <v>-193.13409999999999</v>
      </c>
      <c r="H5936" s="1">
        <v>6.8730010000000003E-6</v>
      </c>
      <c r="I5936">
        <v>200.25569999999999</v>
      </c>
      <c r="J5936">
        <v>-195.86959999999999</v>
      </c>
      <c r="K5936">
        <v>1.1035600000000001</v>
      </c>
      <c r="L5936">
        <v>210.41159999999999</v>
      </c>
      <c r="M5936">
        <v>0.85036299999999898</v>
      </c>
      <c r="N5936">
        <v>0</v>
      </c>
      <c r="O5936">
        <v>-0.52598849999999997</v>
      </c>
      <c r="P5936">
        <v>0.64444440000000003</v>
      </c>
      <c r="Q5936">
        <v>-7.3827279999999999E-3</v>
      </c>
      <c r="R5936">
        <v>-0.76461630000000003</v>
      </c>
      <c r="S5936">
        <v>0.89886469999999896</v>
      </c>
      <c r="T5936">
        <v>-0.34252630000000001</v>
      </c>
      <c r="U5936">
        <v>-3.1871800000000001</v>
      </c>
      <c r="V5936">
        <v>0.311334</v>
      </c>
      <c r="W5936">
        <v>1.3034979999999999E-3</v>
      </c>
      <c r="X5936">
        <v>0.95029969999999997</v>
      </c>
      <c r="Y5936">
        <v>0.67488479999999995</v>
      </c>
      <c r="Z5936">
        <v>2.0190030000000001E-2</v>
      </c>
      <c r="AA5936">
        <v>0.73764689999999999</v>
      </c>
      <c r="AB5936">
        <v>20</v>
      </c>
      <c r="AC5936">
        <v>2.7355</v>
      </c>
      <c r="AD5936">
        <v>-1.103553126999</v>
      </c>
      <c r="AE5936">
        <v>-10.155900000000001</v>
      </c>
      <c r="AF5936">
        <v>7.1197691045650098</v>
      </c>
      <c r="AG5936">
        <v>-1.103553126999</v>
      </c>
      <c r="AH5936">
        <v>7.5853893384653404</v>
      </c>
      <c r="AI5936">
        <v>96.055116671278299</v>
      </c>
      <c r="AJ5936">
        <v>46.813592419226303</v>
      </c>
      <c r="AK5936">
        <v>10.4616955137554</v>
      </c>
      <c r="AL5936">
        <v>89.925315047777303</v>
      </c>
      <c r="AM5936">
        <v>71.860342867640696</v>
      </c>
      <c r="AN5936">
        <v>1.00000003924156</v>
      </c>
    </row>
    <row r="5937" spans="1:40" x14ac:dyDescent="0.25">
      <c r="A5937" t="str">
        <f>"20190312150812282"</f>
        <v>20190312150812282</v>
      </c>
      <c r="B5937" t="str">
        <f>"1552374492275891"</f>
        <v>1552374492275891</v>
      </c>
      <c r="C5937" t="s">
        <v>40</v>
      </c>
      <c r="D5937">
        <v>4.8952669999999996</v>
      </c>
      <c r="E5937">
        <v>0.66744459999999906</v>
      </c>
      <c r="F5937" t="s">
        <v>61</v>
      </c>
      <c r="G5937">
        <v>-193.1122</v>
      </c>
      <c r="H5937" s="1">
        <v>6.8895899999999901E-6</v>
      </c>
      <c r="I5937">
        <v>200.2253</v>
      </c>
      <c r="J5937">
        <v>-195.70480000000001</v>
      </c>
      <c r="K5937">
        <v>1.1034520000000001</v>
      </c>
      <c r="L5937">
        <v>210.29159999999999</v>
      </c>
      <c r="M5937">
        <v>0.84333749999999996</v>
      </c>
      <c r="N5937">
        <v>0</v>
      </c>
      <c r="O5937">
        <v>-0.53717859999999995</v>
      </c>
      <c r="P5937">
        <v>0.63442119999999902</v>
      </c>
      <c r="Q5937">
        <v>-7.9158790000000007E-3</v>
      </c>
      <c r="R5937">
        <v>-0.77294719999999995</v>
      </c>
      <c r="S5937">
        <v>0.86405940000000003</v>
      </c>
      <c r="T5937">
        <v>-0.345806</v>
      </c>
      <c r="U5937">
        <v>-3.1919559999999998</v>
      </c>
      <c r="V5937">
        <v>0.31115330000000002</v>
      </c>
      <c r="W5937">
        <v>7.413074E-4</v>
      </c>
      <c r="X5937">
        <v>0.95035950000000002</v>
      </c>
      <c r="Y5937">
        <v>0.67292280000000004</v>
      </c>
      <c r="Z5937">
        <v>2.1994739999999999E-2</v>
      </c>
      <c r="AA5937">
        <v>0.73938559999999998</v>
      </c>
      <c r="AB5937">
        <v>20</v>
      </c>
      <c r="AC5937">
        <v>2.5926</v>
      </c>
      <c r="AD5937">
        <v>-1.10344511041</v>
      </c>
      <c r="AE5937">
        <v>-10.066299999999901</v>
      </c>
      <c r="AF5937">
        <v>7.0182972192657198</v>
      </c>
      <c r="AG5937">
        <v>-1.10344511041</v>
      </c>
      <c r="AH5937">
        <v>7.5100495371753002</v>
      </c>
      <c r="AI5937">
        <v>96.127220914592201</v>
      </c>
      <c r="AJ5937">
        <v>46.9385949650434</v>
      </c>
      <c r="AK5937">
        <v>10.3380332278662</v>
      </c>
      <c r="AL5937">
        <v>89.957526212995305</v>
      </c>
      <c r="AM5937">
        <v>71.871248381684595</v>
      </c>
      <c r="AN5937">
        <v>1.0000000524388899</v>
      </c>
    </row>
    <row r="5938" spans="1:40" x14ac:dyDescent="0.25">
      <c r="A5938" t="str">
        <f>"20190312150812305"</f>
        <v>20190312150812305</v>
      </c>
      <c r="B5938" t="str">
        <f>"1552374492296387"</f>
        <v>1552374492296387</v>
      </c>
      <c r="C5938" t="s">
        <v>40</v>
      </c>
      <c r="D5938">
        <v>4.8767909999999999</v>
      </c>
      <c r="E5938">
        <v>0.66608919999999905</v>
      </c>
      <c r="F5938" t="s">
        <v>61</v>
      </c>
      <c r="G5938">
        <v>-193.13480000000001</v>
      </c>
      <c r="H5938" s="1">
        <v>6.6906799999999996E-6</v>
      </c>
      <c r="I5938">
        <v>200.77099999999999</v>
      </c>
      <c r="J5938">
        <v>-195.54079999999999</v>
      </c>
      <c r="K5938">
        <v>1.1033470000000001</v>
      </c>
      <c r="L5938">
        <v>210.16839999999999</v>
      </c>
      <c r="M5938">
        <v>0.83597919999999903</v>
      </c>
      <c r="N5938">
        <v>0</v>
      </c>
      <c r="O5938">
        <v>-0.54855849999999995</v>
      </c>
      <c r="P5938">
        <v>0.62385579999999996</v>
      </c>
      <c r="Q5938">
        <v>-8.0877209999999904E-3</v>
      </c>
      <c r="R5938">
        <v>-0.78149809999999997</v>
      </c>
      <c r="S5938">
        <v>0.85684199999999999</v>
      </c>
      <c r="T5938">
        <v>-0.36789110000000003</v>
      </c>
      <c r="U5938">
        <v>-3.1741790000000001</v>
      </c>
      <c r="V5938">
        <v>0.31118829999999997</v>
      </c>
      <c r="W5938">
        <v>5.4246649999999997E-4</v>
      </c>
      <c r="X5938">
        <v>0.95034810000000003</v>
      </c>
      <c r="Y5938">
        <v>0.66333779999999998</v>
      </c>
      <c r="Z5938">
        <v>2.5796570000000001E-2</v>
      </c>
      <c r="AA5938">
        <v>0.74787530000000002</v>
      </c>
      <c r="AB5938">
        <v>20</v>
      </c>
      <c r="AC5938">
        <v>2.4059999999999699</v>
      </c>
      <c r="AD5938">
        <v>-1.1033403093199901</v>
      </c>
      <c r="AE5938">
        <v>-9.3973999999999993</v>
      </c>
      <c r="AF5938">
        <v>6.45343860892691</v>
      </c>
      <c r="AG5938">
        <v>-1.1033403093199901</v>
      </c>
      <c r="AH5938">
        <v>7.0756496330432697</v>
      </c>
      <c r="AI5938">
        <v>96.572175673314007</v>
      </c>
      <c r="AJ5938">
        <v>47.633212375159701</v>
      </c>
      <c r="AK5938">
        <v>9.6399713405665306</v>
      </c>
      <c r="AL5938">
        <v>89.968918956931105</v>
      </c>
      <c r="AM5938">
        <v>71.8691393386855</v>
      </c>
      <c r="AN5938">
        <v>0.99999998175020099</v>
      </c>
    </row>
    <row r="5939" spans="1:40" x14ac:dyDescent="0.25">
      <c r="A5939" t="str">
        <f>"20190312150812325"</f>
        <v>20190312150812325</v>
      </c>
      <c r="B5939" t="str">
        <f>"1552374492315906"</f>
        <v>1552374492315906</v>
      </c>
      <c r="C5939" t="s">
        <v>40</v>
      </c>
      <c r="D5939">
        <v>4.810365</v>
      </c>
      <c r="E5939">
        <v>0.66566059999999905</v>
      </c>
      <c r="F5939" t="s">
        <v>61</v>
      </c>
      <c r="G5939">
        <v>-193.03219999999999</v>
      </c>
      <c r="H5939" s="1">
        <v>6.8234669999999997E-6</v>
      </c>
      <c r="I5939">
        <v>200.4726</v>
      </c>
      <c r="J5939">
        <v>-195.39019999999999</v>
      </c>
      <c r="K5939">
        <v>1.1032599999999999</v>
      </c>
      <c r="L5939">
        <v>210.05160000000001</v>
      </c>
      <c r="M5939">
        <v>0.828870199999999</v>
      </c>
      <c r="N5939">
        <v>0</v>
      </c>
      <c r="O5939">
        <v>-0.55924069999999904</v>
      </c>
      <c r="P5939">
        <v>0.61394069999999901</v>
      </c>
      <c r="Q5939">
        <v>-8.4026320000000002E-3</v>
      </c>
      <c r="R5939">
        <v>-0.78930769999999995</v>
      </c>
      <c r="S5939">
        <v>0.82238770000000005</v>
      </c>
      <c r="T5939">
        <v>-0.36170600000000003</v>
      </c>
      <c r="U5939">
        <v>-3.1785429999999999</v>
      </c>
      <c r="V5939">
        <v>0.31098209999999998</v>
      </c>
      <c r="W5939">
        <v>2.110642E-4</v>
      </c>
      <c r="X5939">
        <v>0.95041569999999997</v>
      </c>
      <c r="Y5939">
        <v>0.6616436</v>
      </c>
      <c r="Z5939">
        <v>2.6985889999999998E-2</v>
      </c>
      <c r="AA5939">
        <v>0.74933269999999996</v>
      </c>
      <c r="AB5939">
        <v>20</v>
      </c>
      <c r="AC5939">
        <v>2.3580000000000001</v>
      </c>
      <c r="AD5939">
        <v>-1.103253176533</v>
      </c>
      <c r="AE5939">
        <v>-9.5790000000000006</v>
      </c>
      <c r="AF5939">
        <v>6.5400027836542201</v>
      </c>
      <c r="AG5939">
        <v>-1.103253176533</v>
      </c>
      <c r="AH5939">
        <v>7.2219355869053699</v>
      </c>
      <c r="AI5939">
        <v>96.460330454127998</v>
      </c>
      <c r="AJ5939">
        <v>47.836805279024198</v>
      </c>
      <c r="AK5939">
        <v>9.8053637160048996</v>
      </c>
      <c r="AL5939">
        <v>89.987906911523098</v>
      </c>
      <c r="AM5939">
        <v>71.881572417362307</v>
      </c>
      <c r="AN5939">
        <v>0.99999995693749699</v>
      </c>
    </row>
    <row r="5940" spans="1:40" x14ac:dyDescent="0.25">
      <c r="A5940" t="str">
        <f>"20190312150812359"</f>
        <v>20190312150812359</v>
      </c>
      <c r="B5940" t="str">
        <f>"1552374492355923"</f>
        <v>1552374492355923</v>
      </c>
      <c r="C5940" t="s">
        <v>40</v>
      </c>
      <c r="D5940">
        <v>4.9384199999999998</v>
      </c>
      <c r="E5940">
        <v>0.66447609999999901</v>
      </c>
      <c r="F5940" t="s">
        <v>61</v>
      </c>
      <c r="G5940">
        <v>-192.99770000000001</v>
      </c>
      <c r="H5940" s="1">
        <v>6.8817289999999999E-6</v>
      </c>
      <c r="I5940">
        <v>200.33369999999999</v>
      </c>
      <c r="J5940">
        <v>-195.1525</v>
      </c>
      <c r="K5940">
        <v>1.103156</v>
      </c>
      <c r="L5940">
        <v>209.86009999999999</v>
      </c>
      <c r="M5940">
        <v>0.81698859999999995</v>
      </c>
      <c r="N5940">
        <v>0</v>
      </c>
      <c r="O5940">
        <v>-0.57645740000000001</v>
      </c>
      <c r="P5940">
        <v>0.59837980000000002</v>
      </c>
      <c r="Q5940">
        <v>-7.8200300000000004E-3</v>
      </c>
      <c r="R5940">
        <v>-0.80117469999999902</v>
      </c>
      <c r="S5940">
        <v>0.78454590000000002</v>
      </c>
      <c r="T5940">
        <v>-0.3617765</v>
      </c>
      <c r="U5940">
        <v>-3.186661</v>
      </c>
      <c r="V5940">
        <v>0.30971189999999998</v>
      </c>
      <c r="W5940">
        <v>8.0758659999999999E-4</v>
      </c>
      <c r="X5940">
        <v>0.95083010000000001</v>
      </c>
      <c r="Y5940">
        <v>0.65485079999999996</v>
      </c>
      <c r="Z5940">
        <v>2.9845630000000001E-2</v>
      </c>
      <c r="AA5940">
        <v>0.75516870000000003</v>
      </c>
      <c r="AB5940">
        <v>19</v>
      </c>
      <c r="AC5940">
        <v>2.1547999999999901</v>
      </c>
      <c r="AD5940">
        <v>-1.103149118271</v>
      </c>
      <c r="AE5940">
        <v>-9.52639999999999</v>
      </c>
      <c r="AF5940">
        <v>6.4591527167125298</v>
      </c>
      <c r="AG5940">
        <v>-1.103149118271</v>
      </c>
      <c r="AH5940">
        <v>7.1614749255635397</v>
      </c>
      <c r="AI5940">
        <v>96.525513040456403</v>
      </c>
      <c r="AJ5940">
        <v>47.9517356608388</v>
      </c>
      <c r="AK5940">
        <v>9.7069209796120397</v>
      </c>
      <c r="AL5940">
        <v>89.953728691020004</v>
      </c>
      <c r="AM5940">
        <v>71.958124731404496</v>
      </c>
      <c r="AN5940">
        <v>0.99999999613186796</v>
      </c>
    </row>
    <row r="5941" spans="1:40" x14ac:dyDescent="0.25">
      <c r="A5941" t="str">
        <f>"20190312150812382"</f>
        <v>20190312150812382</v>
      </c>
      <c r="B5941" t="str">
        <f>"1552374492376434"</f>
        <v>1552374492376434</v>
      </c>
      <c r="C5941" t="s">
        <v>40</v>
      </c>
      <c r="D5941">
        <v>4.9453269999999998</v>
      </c>
      <c r="E5941">
        <v>0.66330009999999995</v>
      </c>
      <c r="F5941" t="s">
        <v>42</v>
      </c>
      <c r="G5941">
        <v>-192.46119999999999</v>
      </c>
      <c r="H5941" s="1">
        <v>-4.2223269999999999E-6</v>
      </c>
      <c r="I5941">
        <v>198.1114</v>
      </c>
      <c r="J5941">
        <v>-194.99930000000001</v>
      </c>
      <c r="K5941">
        <v>1.103097</v>
      </c>
      <c r="L5941">
        <v>209.732</v>
      </c>
      <c r="M5941">
        <v>0.80889</v>
      </c>
      <c r="N5941">
        <v>0</v>
      </c>
      <c r="O5941">
        <v>-0.58776649999999997</v>
      </c>
      <c r="P5941">
        <v>0.58721950000000001</v>
      </c>
      <c r="Q5941">
        <v>-7.127001E-3</v>
      </c>
      <c r="R5941">
        <v>-0.80939669999999997</v>
      </c>
      <c r="S5941">
        <v>0.73188779999999998</v>
      </c>
      <c r="T5941">
        <v>-0.29999540000000002</v>
      </c>
      <c r="U5941">
        <v>-3.1949619999999999</v>
      </c>
      <c r="V5941">
        <v>0.30968059999999997</v>
      </c>
      <c r="W5941">
        <v>1.498047E-3</v>
      </c>
      <c r="X5941">
        <v>0.95083949999999995</v>
      </c>
      <c r="Y5941">
        <v>0.65681919999999905</v>
      </c>
      <c r="Z5941">
        <v>2.6006390000000001E-2</v>
      </c>
      <c r="AA5941">
        <v>0.75359960000000004</v>
      </c>
      <c r="AB5941">
        <v>19</v>
      </c>
      <c r="AC5941">
        <v>2.5381000000000098</v>
      </c>
      <c r="AD5941">
        <v>-1.103101222327</v>
      </c>
      <c r="AE5941">
        <v>-11.6205999999999</v>
      </c>
      <c r="AF5941">
        <v>7.8414347246597904</v>
      </c>
      <c r="AG5941">
        <v>-1.103101222327</v>
      </c>
      <c r="AH5941">
        <v>8.8084943945077203</v>
      </c>
      <c r="AI5941">
        <v>95.343766554833493</v>
      </c>
      <c r="AJ5941">
        <v>48.324113640197801</v>
      </c>
      <c r="AK5941">
        <v>11.8445981082463</v>
      </c>
      <c r="AL5941">
        <v>89.914168200413997</v>
      </c>
      <c r="AM5941">
        <v>71.959996717461493</v>
      </c>
      <c r="AN5941">
        <v>1.00000003646071</v>
      </c>
    </row>
    <row r="5942" spans="1:40" x14ac:dyDescent="0.25">
      <c r="A5942" t="str">
        <f>"20190312150812405"</f>
        <v>20190312150812405</v>
      </c>
      <c r="B5942" t="str">
        <f>"1552374492396487"</f>
        <v>1552374492396487</v>
      </c>
      <c r="C5942" t="s">
        <v>40</v>
      </c>
      <c r="D5942">
        <v>4.9403059999999996</v>
      </c>
      <c r="E5942">
        <v>0.66222329999999996</v>
      </c>
      <c r="F5942" t="s">
        <v>42</v>
      </c>
      <c r="G5942">
        <v>-192.51609999999999</v>
      </c>
      <c r="H5942" s="1">
        <v>-4.2944870000000004E-6</v>
      </c>
      <c r="I5942">
        <v>198.29480000000001</v>
      </c>
      <c r="J5942">
        <v>-194.84710000000001</v>
      </c>
      <c r="K5942">
        <v>1.10303</v>
      </c>
      <c r="L5942">
        <v>209.60079999999999</v>
      </c>
      <c r="M5942">
        <v>0.80046930000000005</v>
      </c>
      <c r="N5942">
        <v>0</v>
      </c>
      <c r="O5942">
        <v>-0.59918280000000002</v>
      </c>
      <c r="P5942">
        <v>0.57540819999999904</v>
      </c>
      <c r="Q5942">
        <v>-7.0616610000000003E-3</v>
      </c>
      <c r="R5942">
        <v>-0.81783629999999996</v>
      </c>
      <c r="S5942">
        <v>0.69470209999999999</v>
      </c>
      <c r="T5942">
        <v>-0.30861420000000001</v>
      </c>
      <c r="U5942">
        <v>-3.199783</v>
      </c>
      <c r="V5942">
        <v>0.309996299999999</v>
      </c>
      <c r="W5942">
        <v>1.5504990000000001E-3</v>
      </c>
      <c r="X5942">
        <v>0.95073649999999998</v>
      </c>
      <c r="Y5942">
        <v>0.65471389999999996</v>
      </c>
      <c r="Z5942">
        <v>2.826449E-2</v>
      </c>
      <c r="AA5942">
        <v>0.75534809999999997</v>
      </c>
      <c r="AB5942">
        <v>19</v>
      </c>
      <c r="AC5942">
        <v>2.3310000000000102</v>
      </c>
      <c r="AD5942">
        <v>-1.103034294487</v>
      </c>
      <c r="AE5942">
        <v>-11.3059999999999</v>
      </c>
      <c r="AF5942">
        <v>7.5850338118187297</v>
      </c>
      <c r="AG5942">
        <v>-1.103034294487</v>
      </c>
      <c r="AH5942">
        <v>8.5630610422638895</v>
      </c>
      <c r="AI5942">
        <v>95.507692349111096</v>
      </c>
      <c r="AJ5942">
        <v>48.465948421459203</v>
      </c>
      <c r="AK5942">
        <v>11.4924077979675</v>
      </c>
      <c r="AL5942">
        <v>89.911162915676698</v>
      </c>
      <c r="AM5942">
        <v>71.940970055475901</v>
      </c>
      <c r="AN5942">
        <v>1.00000000124654</v>
      </c>
    </row>
    <row r="5943" spans="1:40" x14ac:dyDescent="0.25">
      <c r="A5943" t="str">
        <f>"20190312150812426"</f>
        <v>20190312150812426</v>
      </c>
      <c r="B5943" t="str">
        <f>"1552374492416004"</f>
        <v>1552374492416004</v>
      </c>
      <c r="C5943" t="s">
        <v>40</v>
      </c>
      <c r="D5943">
        <v>4.9146330000000003</v>
      </c>
      <c r="E5943">
        <v>0.66109989999999996</v>
      </c>
      <c r="F5943" t="s">
        <v>42</v>
      </c>
      <c r="G5943">
        <v>-192.5771</v>
      </c>
      <c r="H5943" s="1">
        <v>-4.3739230000000002E-6</v>
      </c>
      <c r="I5943">
        <v>198.4965</v>
      </c>
      <c r="J5943">
        <v>-194.70179999999999</v>
      </c>
      <c r="K5943">
        <v>1.1029719999999901</v>
      </c>
      <c r="L5943">
        <v>209.47149999999999</v>
      </c>
      <c r="M5943">
        <v>0.79203210000000002</v>
      </c>
      <c r="N5943">
        <v>0</v>
      </c>
      <c r="O5943">
        <v>-0.61029089999999997</v>
      </c>
      <c r="P5943">
        <v>0.56299350000000004</v>
      </c>
      <c r="Q5943">
        <v>-8.1204290000000002E-3</v>
      </c>
      <c r="R5943">
        <v>-0.82642199999999999</v>
      </c>
      <c r="S5943">
        <v>0.65509030000000001</v>
      </c>
      <c r="T5943">
        <v>-0.31831749999999998</v>
      </c>
      <c r="U5943">
        <v>-3.2045439999999998</v>
      </c>
      <c r="V5943">
        <v>0.31106220000000001</v>
      </c>
      <c r="W5943">
        <v>4.6140329999999998E-4</v>
      </c>
      <c r="X5943">
        <v>0.95038940000000005</v>
      </c>
      <c r="Y5943">
        <v>0.65334119999999996</v>
      </c>
      <c r="Z5943">
        <v>3.0639779999999998E-2</v>
      </c>
      <c r="AA5943">
        <v>0.75644330000000004</v>
      </c>
      <c r="AB5943">
        <v>19</v>
      </c>
      <c r="AC5943">
        <v>2.12469999999999</v>
      </c>
      <c r="AD5943">
        <v>-1.1029763739230001</v>
      </c>
      <c r="AE5943">
        <v>-10.9749999999999</v>
      </c>
      <c r="AF5943">
        <v>7.3254043714603201</v>
      </c>
      <c r="AG5943">
        <v>-1.1029763739230001</v>
      </c>
      <c r="AH5943">
        <v>8.3009268572464805</v>
      </c>
      <c r="AI5943">
        <v>95.689465065412605</v>
      </c>
      <c r="AJ5943">
        <v>48.572231978093299</v>
      </c>
      <c r="AK5943">
        <v>11.1258030171398</v>
      </c>
      <c r="AL5943">
        <v>89.973563536218705</v>
      </c>
      <c r="AM5943">
        <v>71.8767419737773</v>
      </c>
      <c r="AN5943">
        <v>0.99999995839710099</v>
      </c>
    </row>
    <row r="5944" spans="1:40" x14ac:dyDescent="0.25">
      <c r="A5944" t="str">
        <f>"20190312150812450"</f>
        <v>20190312150812450</v>
      </c>
      <c r="B5944" t="str">
        <f>"1552374492446260"</f>
        <v>1552374492446260</v>
      </c>
      <c r="C5944" t="s">
        <v>40</v>
      </c>
      <c r="D5944">
        <v>4.932156</v>
      </c>
      <c r="E5944">
        <v>0.66083549999999902</v>
      </c>
      <c r="F5944" t="s">
        <v>42</v>
      </c>
      <c r="G5944">
        <v>-192.63509999999999</v>
      </c>
      <c r="H5944" s="1">
        <v>-4.4431599999999998E-6</v>
      </c>
      <c r="I5944">
        <v>198.66970000000001</v>
      </c>
      <c r="J5944">
        <v>-194.5521</v>
      </c>
      <c r="K5944">
        <v>1.102911</v>
      </c>
      <c r="L5944">
        <v>209.334</v>
      </c>
      <c r="M5944">
        <v>0.78295760000000003</v>
      </c>
      <c r="N5944">
        <v>0</v>
      </c>
      <c r="O5944">
        <v>-0.62188880000000002</v>
      </c>
      <c r="P5944">
        <v>0.54959460000000004</v>
      </c>
      <c r="Q5944">
        <v>-8.1632830000000003E-3</v>
      </c>
      <c r="R5944">
        <v>-0.83539159999999901</v>
      </c>
      <c r="S5944">
        <v>0.61390690000000003</v>
      </c>
      <c r="T5944">
        <v>-0.32764450000000001</v>
      </c>
      <c r="U5944">
        <v>-3.2087249999999998</v>
      </c>
      <c r="V5944">
        <v>0.31238909999999998</v>
      </c>
      <c r="W5944">
        <v>3.8749379999999999E-4</v>
      </c>
      <c r="X5944">
        <v>0.94995419999999997</v>
      </c>
      <c r="Y5944">
        <v>0.65173110000000001</v>
      </c>
      <c r="Z5944">
        <v>3.3158420000000001E-2</v>
      </c>
      <c r="AA5944">
        <v>0.75772490000000003</v>
      </c>
      <c r="AB5944">
        <v>19</v>
      </c>
      <c r="AC5944">
        <v>1.917</v>
      </c>
      <c r="AD5944">
        <v>-1.1029154431599999</v>
      </c>
      <c r="AE5944">
        <v>-10.6642999999999</v>
      </c>
      <c r="AF5944">
        <v>7.0849549774619502</v>
      </c>
      <c r="AG5944">
        <v>-1.1029154431599999</v>
      </c>
      <c r="AH5944">
        <v>8.0504687114470705</v>
      </c>
      <c r="AI5944">
        <v>95.871907470276398</v>
      </c>
      <c r="AJ5944">
        <v>48.650046853501998</v>
      </c>
      <c r="AK5944">
        <v>10.780679755071599</v>
      </c>
      <c r="AL5944">
        <v>89.977798241027699</v>
      </c>
      <c r="AM5944">
        <v>71.796731473130606</v>
      </c>
      <c r="AN5944">
        <v>1.00000004102394</v>
      </c>
    </row>
    <row r="5945" spans="1:40" x14ac:dyDescent="0.25">
      <c r="A5945" t="str">
        <f>"20190312150812473"</f>
        <v>20190312150812473</v>
      </c>
      <c r="B5945" t="str">
        <f>"1552374492465780"</f>
        <v>1552374492465780</v>
      </c>
      <c r="C5945" t="s">
        <v>40</v>
      </c>
      <c r="D5945">
        <v>4.9450129999999897</v>
      </c>
      <c r="E5945">
        <v>0.68129969999999995</v>
      </c>
      <c r="F5945" t="s">
        <v>42</v>
      </c>
      <c r="G5945">
        <v>-192.67070000000001</v>
      </c>
      <c r="H5945" s="1">
        <v>-4.4243159999999997E-6</v>
      </c>
      <c r="I5945">
        <v>198.59569999999999</v>
      </c>
      <c r="J5945">
        <v>-194.39869999999999</v>
      </c>
      <c r="K5945">
        <v>1.102865</v>
      </c>
      <c r="L5945">
        <v>209.18860000000001</v>
      </c>
      <c r="M5945">
        <v>0.77324919999999997</v>
      </c>
      <c r="N5945">
        <v>0</v>
      </c>
      <c r="O5945">
        <v>-0.6339188</v>
      </c>
      <c r="P5945">
        <v>0.53407230000000006</v>
      </c>
      <c r="Q5945">
        <v>-7.6922750000000002E-3</v>
      </c>
      <c r="R5945">
        <v>-0.84540439999999994</v>
      </c>
      <c r="S5945">
        <v>0.56364440000000005</v>
      </c>
      <c r="T5945">
        <v>-0.33042280000000002</v>
      </c>
      <c r="U5945">
        <v>-3.2170719999999999</v>
      </c>
      <c r="V5945">
        <v>0.3152585</v>
      </c>
      <c r="W5945">
        <v>7.9566610000000003E-4</v>
      </c>
      <c r="X5945">
        <v>0.94900549999999995</v>
      </c>
      <c r="Y5945">
        <v>0.65184370000000003</v>
      </c>
      <c r="Z5945">
        <v>3.5013410000000002E-2</v>
      </c>
      <c r="AA5945">
        <v>0.75754469999999996</v>
      </c>
      <c r="AB5945">
        <v>19</v>
      </c>
      <c r="AC5945">
        <v>1.72799999999998</v>
      </c>
      <c r="AD5945">
        <v>-1.102869424316</v>
      </c>
      <c r="AE5945">
        <v>-10.5929</v>
      </c>
      <c r="AF5945">
        <v>7.0222193463689697</v>
      </c>
      <c r="AG5945">
        <v>-1.102869424316</v>
      </c>
      <c r="AH5945">
        <v>7.9680173868437203</v>
      </c>
      <c r="AI5945">
        <v>95.928390102034001</v>
      </c>
      <c r="AJ5945">
        <v>48.610249779436799</v>
      </c>
      <c r="AK5945">
        <v>10.6778830576408</v>
      </c>
      <c r="AL5945">
        <v>89.954411685619903</v>
      </c>
      <c r="AM5945">
        <v>71.623574013791497</v>
      </c>
      <c r="AN5945">
        <v>0.99999999696852104</v>
      </c>
    </row>
    <row r="5946" spans="1:40" x14ac:dyDescent="0.25">
      <c r="A5946" t="str">
        <f>"20190312150812494"</f>
        <v>20190312150812494</v>
      </c>
      <c r="B5946" t="str">
        <f>"1552374492486276"</f>
        <v>1552374492486276</v>
      </c>
      <c r="C5946" t="s">
        <v>40</v>
      </c>
      <c r="D5946">
        <v>4.9191649999999996</v>
      </c>
      <c r="E5946">
        <v>0.68057570000000001</v>
      </c>
      <c r="F5946" t="s">
        <v>42</v>
      </c>
      <c r="G5946">
        <v>-193.31720000000001</v>
      </c>
      <c r="H5946" s="1">
        <v>-4.7967010000000004E-6</v>
      </c>
      <c r="I5946">
        <v>199.35300000000001</v>
      </c>
      <c r="J5946">
        <v>-194.2627</v>
      </c>
      <c r="K5946">
        <v>1.1028290000000001</v>
      </c>
      <c r="L5946">
        <v>209.0557</v>
      </c>
      <c r="M5946">
        <v>0.76428969999999996</v>
      </c>
      <c r="N5946">
        <v>0</v>
      </c>
      <c r="O5946">
        <v>-0.64469160000000003</v>
      </c>
      <c r="P5946">
        <v>0.52027000000000001</v>
      </c>
      <c r="Q5946">
        <v>-8.6110579999999996E-3</v>
      </c>
      <c r="R5946">
        <v>-0.85395880000000002</v>
      </c>
      <c r="S5946">
        <v>0.36450199999999999</v>
      </c>
      <c r="T5946">
        <v>-0.3717086</v>
      </c>
      <c r="U5946">
        <v>-3.3149570000000002</v>
      </c>
      <c r="V5946">
        <v>0.31735000000000002</v>
      </c>
      <c r="W5946">
        <v>-1.6107010000000001E-4</v>
      </c>
      <c r="X5946">
        <v>0.9483085</v>
      </c>
      <c r="Y5946">
        <v>0.68860180000000004</v>
      </c>
      <c r="Z5946">
        <v>3.7697050000000003E-2</v>
      </c>
      <c r="AA5946">
        <v>0.7241592</v>
      </c>
      <c r="AB5946">
        <v>19</v>
      </c>
      <c r="AC5946">
        <v>0.94549999999998102</v>
      </c>
      <c r="AD5946">
        <v>-1.102833796701</v>
      </c>
      <c r="AE5946">
        <v>-9.7027000000000196</v>
      </c>
      <c r="AF5946">
        <v>6.7209024230788499</v>
      </c>
      <c r="AG5946">
        <v>-1.102833796701</v>
      </c>
      <c r="AH5946">
        <v>6.89051916100955</v>
      </c>
      <c r="AI5946">
        <v>96.536132471294593</v>
      </c>
      <c r="AJ5946">
        <v>45.7139460171256</v>
      </c>
      <c r="AK5946">
        <v>9.6884480734497895</v>
      </c>
      <c r="AL5946">
        <v>90.009228636700499</v>
      </c>
      <c r="AM5946">
        <v>71.497260733450801</v>
      </c>
      <c r="AN5946">
        <v>1.0000000298079099</v>
      </c>
    </row>
    <row r="5947" spans="1:40" x14ac:dyDescent="0.25">
      <c r="A5947" t="str">
        <f>"20190312150812517"</f>
        <v>20190312150812517</v>
      </c>
      <c r="B5947" t="str">
        <f>"1552374492506329"</f>
        <v>1552374492506329</v>
      </c>
      <c r="C5947" t="s">
        <v>40</v>
      </c>
      <c r="D5947">
        <v>4.9173289999999996</v>
      </c>
      <c r="E5947">
        <v>0.67917939999999999</v>
      </c>
      <c r="F5947" t="s">
        <v>42</v>
      </c>
      <c r="G5947">
        <v>-193.27789999999999</v>
      </c>
      <c r="H5947" s="1">
        <v>-4.5790300000000001E-6</v>
      </c>
      <c r="I5947">
        <v>198.73390000000001</v>
      </c>
      <c r="J5947">
        <v>-194.12520000000001</v>
      </c>
      <c r="K5947">
        <v>1.1028119999999999</v>
      </c>
      <c r="L5947">
        <v>208.91730000000001</v>
      </c>
      <c r="M5947">
        <v>0.75487199999999999</v>
      </c>
      <c r="N5947">
        <v>0</v>
      </c>
      <c r="O5947">
        <v>-0.65569309999999903</v>
      </c>
      <c r="P5947">
        <v>0.50744599999999995</v>
      </c>
      <c r="Q5947">
        <v>-1.0473619999999999E-2</v>
      </c>
      <c r="R5947">
        <v>-0.861620099999999</v>
      </c>
      <c r="S5947">
        <v>0.31645200000000001</v>
      </c>
      <c r="T5947">
        <v>-0.35436519999999999</v>
      </c>
      <c r="U5947">
        <v>-3.3166500000000001</v>
      </c>
      <c r="V5947">
        <v>0.31774089999999999</v>
      </c>
      <c r="W5947">
        <v>-2.0111059999999999E-3</v>
      </c>
      <c r="X5947">
        <v>0.9481754</v>
      </c>
      <c r="Y5947">
        <v>0.68861430000000001</v>
      </c>
      <c r="Z5947">
        <v>3.7547280000000002E-2</v>
      </c>
      <c r="AA5947">
        <v>0.72415509999999905</v>
      </c>
      <c r="AB5947">
        <v>19</v>
      </c>
      <c r="AC5947">
        <v>0.84730000000001804</v>
      </c>
      <c r="AD5947">
        <v>-1.10281657903</v>
      </c>
      <c r="AE5947">
        <v>-10.183400000000001</v>
      </c>
      <c r="AF5947">
        <v>7.0503151989023296</v>
      </c>
      <c r="AG5947">
        <v>-1.10281657903</v>
      </c>
      <c r="AH5947">
        <v>7.2333979285329999</v>
      </c>
      <c r="AI5947">
        <v>96.230850778384806</v>
      </c>
      <c r="AJ5947">
        <v>45.734353400313303</v>
      </c>
      <c r="AK5947">
        <v>10.1609642457476</v>
      </c>
      <c r="AL5947">
        <v>90.115227968625902</v>
      </c>
      <c r="AM5947">
        <v>71.473601361733998</v>
      </c>
      <c r="AN5947">
        <v>0.99999995662265495</v>
      </c>
    </row>
    <row r="5948" spans="1:40" x14ac:dyDescent="0.25">
      <c r="A5948" t="str">
        <f>"20190312150812539"</f>
        <v>20190312150812539</v>
      </c>
      <c r="B5948" t="str">
        <f>"1552374492536584"</f>
        <v>1552374492536584</v>
      </c>
      <c r="C5948" t="s">
        <v>40</v>
      </c>
      <c r="D5948">
        <v>4.9399600000000001</v>
      </c>
      <c r="E5948">
        <v>0.67689309999999903</v>
      </c>
      <c r="F5948" t="s">
        <v>42</v>
      </c>
      <c r="G5948">
        <v>-193.26079999999999</v>
      </c>
      <c r="H5948" s="1">
        <v>-4.5107369999999901E-6</v>
      </c>
      <c r="I5948">
        <v>198.5421</v>
      </c>
      <c r="J5948">
        <v>-193.98740000000001</v>
      </c>
      <c r="K5948">
        <v>1.102824</v>
      </c>
      <c r="L5948">
        <v>208.77440000000001</v>
      </c>
      <c r="M5948">
        <v>0.74509389999999998</v>
      </c>
      <c r="N5948">
        <v>0</v>
      </c>
      <c r="O5948">
        <v>-0.66678280000000001</v>
      </c>
      <c r="P5948">
        <v>0.4955736</v>
      </c>
      <c r="Q5948">
        <v>-1.224247E-2</v>
      </c>
      <c r="R5948">
        <v>-0.86847999999999903</v>
      </c>
      <c r="S5948">
        <v>0.27616879999999999</v>
      </c>
      <c r="T5948">
        <v>-0.35235549999999999</v>
      </c>
      <c r="U5948">
        <v>-3.3149109999999999</v>
      </c>
      <c r="V5948">
        <v>0.3166831</v>
      </c>
      <c r="W5948">
        <v>-3.7205580000000001E-3</v>
      </c>
      <c r="X5948">
        <v>0.94852409999999998</v>
      </c>
      <c r="Y5948">
        <v>0.68662179999999995</v>
      </c>
      <c r="Z5948">
        <v>3.9099589999999997E-2</v>
      </c>
      <c r="AA5948">
        <v>0.72596260000000001</v>
      </c>
      <c r="AB5948">
        <v>19</v>
      </c>
      <c r="AC5948">
        <v>0.72660000000001901</v>
      </c>
      <c r="AD5948">
        <v>-1.1028285107369999</v>
      </c>
      <c r="AE5948">
        <v>-10.2323</v>
      </c>
      <c r="AF5948">
        <v>7.0587957525092904</v>
      </c>
      <c r="AG5948">
        <v>-1.1028285107369999</v>
      </c>
      <c r="AH5948">
        <v>7.2808229684908001</v>
      </c>
      <c r="AI5948">
        <v>96.206583009688998</v>
      </c>
      <c r="AJ5948">
        <v>45.887067237900197</v>
      </c>
      <c r="AK5948">
        <v>10.2006475921012</v>
      </c>
      <c r="AL5948">
        <v>90.213172763000898</v>
      </c>
      <c r="AM5948">
        <v>71.537416623544701</v>
      </c>
      <c r="AN5948">
        <v>0.99999999832912501</v>
      </c>
    </row>
    <row r="5949" spans="1:40" x14ac:dyDescent="0.25">
      <c r="A5949" t="str">
        <f>"20190312150812561"</f>
        <v>20190312150812561</v>
      </c>
      <c r="B5949" t="str">
        <f>"1552374492556107"</f>
        <v>1552374492556107</v>
      </c>
      <c r="C5949" t="s">
        <v>40</v>
      </c>
      <c r="D5949">
        <v>4.8838010000000001</v>
      </c>
      <c r="E5949">
        <v>0.67507039999999996</v>
      </c>
      <c r="F5949" t="s">
        <v>42</v>
      </c>
      <c r="G5949">
        <v>-193.21619999999999</v>
      </c>
      <c r="H5949" s="1">
        <v>-4.4551669999999999E-6</v>
      </c>
      <c r="I5949">
        <v>198.40199999999999</v>
      </c>
      <c r="J5949">
        <v>-193.852</v>
      </c>
      <c r="K5949">
        <v>1.1028530000000001</v>
      </c>
      <c r="L5949">
        <v>208.62970000000001</v>
      </c>
      <c r="M5949">
        <v>0.73513689999999998</v>
      </c>
      <c r="N5949">
        <v>0</v>
      </c>
      <c r="O5949">
        <v>-0.67774440000000002</v>
      </c>
      <c r="P5949">
        <v>0.48410950000000003</v>
      </c>
      <c r="Q5949">
        <v>-1.307962E-2</v>
      </c>
      <c r="R5949">
        <v>-0.87490970000000001</v>
      </c>
      <c r="S5949">
        <v>0.2460175</v>
      </c>
      <c r="T5949">
        <v>-0.35182089999999999</v>
      </c>
      <c r="U5949">
        <v>-3.3089750000000002</v>
      </c>
      <c r="V5949">
        <v>0.315085</v>
      </c>
      <c r="W5949">
        <v>-4.4761159999999996E-3</v>
      </c>
      <c r="X5949">
        <v>0.94905289999999998</v>
      </c>
      <c r="Y5949">
        <v>0.68234589999999995</v>
      </c>
      <c r="Z5949">
        <v>4.0973790000000003E-2</v>
      </c>
      <c r="AA5949">
        <v>0.72988030000000004</v>
      </c>
      <c r="AB5949">
        <v>19</v>
      </c>
      <c r="AC5949">
        <v>0.63580000000001702</v>
      </c>
      <c r="AD5949">
        <v>-1.1028574551670001</v>
      </c>
      <c r="AE5949">
        <v>-10.2277</v>
      </c>
      <c r="AF5949">
        <v>7.0075216077306699</v>
      </c>
      <c r="AG5949">
        <v>-1.1028574551670001</v>
      </c>
      <c r="AH5949">
        <v>7.3153100452292099</v>
      </c>
      <c r="AI5949">
        <v>96.213278124953206</v>
      </c>
      <c r="AJ5949">
        <v>46.231059965241698</v>
      </c>
      <c r="AK5949">
        <v>10.1899663741869</v>
      </c>
      <c r="AL5949">
        <v>90.256463411836904</v>
      </c>
      <c r="AM5949">
        <v>71.633864196260006</v>
      </c>
      <c r="AN5949">
        <v>0.99999999991892696</v>
      </c>
    </row>
    <row r="5950" spans="1:40" x14ac:dyDescent="0.25">
      <c r="A5950" t="str">
        <f>"20190312150812583"</f>
        <v>20190312150812583</v>
      </c>
      <c r="B5950" t="str">
        <f>"1552374492576600"</f>
        <v>1552374492576600</v>
      </c>
      <c r="C5950" t="s">
        <v>40</v>
      </c>
      <c r="D5950">
        <v>4.9504970000000004</v>
      </c>
      <c r="E5950">
        <v>0.67350750000000004</v>
      </c>
      <c r="F5950" t="s">
        <v>42</v>
      </c>
      <c r="G5950">
        <v>-193.16900000000001</v>
      </c>
      <c r="H5950" s="1">
        <v>-4.3560960000000004E-6</v>
      </c>
      <c r="I5950">
        <v>198.13550000000001</v>
      </c>
      <c r="J5950">
        <v>-193.71969999999999</v>
      </c>
      <c r="K5950">
        <v>1.102903</v>
      </c>
      <c r="L5950">
        <v>208.48410000000001</v>
      </c>
      <c r="M5950">
        <v>0.72508379999999995</v>
      </c>
      <c r="N5950">
        <v>0</v>
      </c>
      <c r="O5950">
        <v>-0.68848909999999997</v>
      </c>
      <c r="P5950">
        <v>0.47263230000000001</v>
      </c>
      <c r="Q5950">
        <v>-1.1994950000000001E-2</v>
      </c>
      <c r="R5950">
        <v>-0.88117860000000003</v>
      </c>
      <c r="S5950">
        <v>0.2150726</v>
      </c>
      <c r="T5950">
        <v>-0.3473039</v>
      </c>
      <c r="U5950">
        <v>-3.304764</v>
      </c>
      <c r="V5950">
        <v>0.31355640000000001</v>
      </c>
      <c r="W5950">
        <v>-3.3071559999999999E-3</v>
      </c>
      <c r="X5950">
        <v>0.94956379999999996</v>
      </c>
      <c r="Y5950">
        <v>0.67835780000000001</v>
      </c>
      <c r="Z5950">
        <v>4.2300270000000001E-2</v>
      </c>
      <c r="AA5950">
        <v>0.73351299999999997</v>
      </c>
      <c r="AB5950">
        <v>19</v>
      </c>
      <c r="AC5950">
        <v>0.55069999999997699</v>
      </c>
      <c r="AD5950">
        <v>-1.1029073560960001</v>
      </c>
      <c r="AE5950">
        <v>-10.348599999999999</v>
      </c>
      <c r="AF5950">
        <v>7.0454938253300003</v>
      </c>
      <c r="AG5950">
        <v>-1.1029073560960001</v>
      </c>
      <c r="AH5950">
        <v>7.4408142322165096</v>
      </c>
      <c r="AI5950">
        <v>96.143115188802497</v>
      </c>
      <c r="AJ5950">
        <v>46.563170597838997</v>
      </c>
      <c r="AK5950">
        <v>10.306362322238099</v>
      </c>
      <c r="AL5950">
        <v>90.189486429858505</v>
      </c>
      <c r="AM5950">
        <v>71.726209229427795</v>
      </c>
      <c r="AN5950">
        <v>0.99999998176610405</v>
      </c>
    </row>
    <row r="5951" spans="1:40" x14ac:dyDescent="0.25">
      <c r="A5951" t="str">
        <f>"20190312150812606"</f>
        <v>20190312150812606</v>
      </c>
      <c r="B5951" t="str">
        <f>"1552374492595757"</f>
        <v>1552374492595757</v>
      </c>
      <c r="C5951" t="s">
        <v>40</v>
      </c>
      <c r="D5951">
        <v>4.9263870000000001</v>
      </c>
      <c r="E5951">
        <v>0.6646531</v>
      </c>
      <c r="F5951" t="s">
        <v>42</v>
      </c>
      <c r="G5951">
        <v>-193.1242</v>
      </c>
      <c r="H5951" s="1">
        <v>-4.2203260000000004E-6</v>
      </c>
      <c r="I5951">
        <v>197.75989999999999</v>
      </c>
      <c r="J5951">
        <v>-193.59180000000001</v>
      </c>
      <c r="K5951">
        <v>1.102962</v>
      </c>
      <c r="L5951">
        <v>208.339</v>
      </c>
      <c r="M5951">
        <v>0.71504829999999997</v>
      </c>
      <c r="N5951">
        <v>0</v>
      </c>
      <c r="O5951">
        <v>-0.69890600000000003</v>
      </c>
      <c r="P5951">
        <v>0.46068759999999997</v>
      </c>
      <c r="Q5951">
        <v>-1.110246E-2</v>
      </c>
      <c r="R5951">
        <v>-0.88749310000000003</v>
      </c>
      <c r="S5951">
        <v>0.18333440000000001</v>
      </c>
      <c r="T5951">
        <v>-0.3395475</v>
      </c>
      <c r="U5951">
        <v>-3.3016200000000002</v>
      </c>
      <c r="V5951">
        <v>0.31267099999999998</v>
      </c>
      <c r="W5951">
        <v>-2.3466329999999999E-3</v>
      </c>
      <c r="X5951">
        <v>0.9498586</v>
      </c>
      <c r="Y5951">
        <v>0.67475490000000005</v>
      </c>
      <c r="Z5951">
        <v>4.3096099999999998E-2</v>
      </c>
      <c r="AA5951">
        <v>0.73678259999999995</v>
      </c>
      <c r="AB5951">
        <v>19</v>
      </c>
      <c r="AC5951">
        <v>0.46760000000000401</v>
      </c>
      <c r="AD5951">
        <v>-1.102966220326</v>
      </c>
      <c r="AE5951">
        <v>-10.5791</v>
      </c>
      <c r="AF5951">
        <v>7.1609273870000596</v>
      </c>
      <c r="AG5951">
        <v>-1.102966220326</v>
      </c>
      <c r="AH5951">
        <v>7.6461156877099503</v>
      </c>
      <c r="AI5951">
        <v>96.010372040073094</v>
      </c>
      <c r="AJ5951">
        <v>46.876762213259703</v>
      </c>
      <c r="AK5951">
        <v>10.533684096027899</v>
      </c>
      <c r="AL5951">
        <v>90.134452288957604</v>
      </c>
      <c r="AM5951">
        <v>71.779676965073094</v>
      </c>
      <c r="AN5951">
        <v>1.0000000104606901</v>
      </c>
    </row>
    <row r="5952" spans="1:40" x14ac:dyDescent="0.25">
      <c r="A5952" t="str">
        <f>"20190312150812627"</f>
        <v>20190312150812627</v>
      </c>
      <c r="B5952" t="str">
        <f>"1552374492616253"</f>
        <v>1552374492616253</v>
      </c>
      <c r="C5952" t="s">
        <v>40</v>
      </c>
      <c r="D5952">
        <v>5.0290299999999997</v>
      </c>
      <c r="E5952">
        <v>0.66290550000000004</v>
      </c>
      <c r="F5952" t="s">
        <v>42</v>
      </c>
      <c r="G5952">
        <v>-192.2552</v>
      </c>
      <c r="H5952" s="1">
        <v>-3.9561199999999998E-6</v>
      </c>
      <c r="I5952">
        <v>187.4365</v>
      </c>
      <c r="J5952">
        <v>-193.46379999999999</v>
      </c>
      <c r="K5952">
        <v>1.1030249999999999</v>
      </c>
      <c r="L5952">
        <v>208.1893</v>
      </c>
      <c r="M5952">
        <v>0.70469130000000002</v>
      </c>
      <c r="N5952">
        <v>0</v>
      </c>
      <c r="O5952">
        <v>-0.70934710000000001</v>
      </c>
      <c r="P5952">
        <v>0.4486231</v>
      </c>
      <c r="Q5952">
        <v>-1.0598389999999999E-2</v>
      </c>
      <c r="R5952">
        <v>-0.89365819999999996</v>
      </c>
      <c r="S5952">
        <v>0.20907590000000001</v>
      </c>
      <c r="T5952">
        <v>-0.17252870000000001</v>
      </c>
      <c r="U5952">
        <v>-3.2696230000000002</v>
      </c>
      <c r="V5952">
        <v>0.31158150000000001</v>
      </c>
      <c r="W5952">
        <v>-1.771742E-3</v>
      </c>
      <c r="X5952">
        <v>0.9502178</v>
      </c>
      <c r="Y5952">
        <v>0.65794490000000005</v>
      </c>
      <c r="Z5952">
        <v>2.3404560000000001E-2</v>
      </c>
      <c r="AA5952">
        <v>0.75270230000000005</v>
      </c>
      <c r="AB5952">
        <v>19</v>
      </c>
      <c r="AC5952">
        <v>1.2085999999999899</v>
      </c>
      <c r="AD5952">
        <v>-1.10302895612</v>
      </c>
      <c r="AE5952">
        <v>-20.752800000000001</v>
      </c>
      <c r="AF5952">
        <v>13.729975197269701</v>
      </c>
      <c r="AG5952">
        <v>-1.10302895612</v>
      </c>
      <c r="AH5952">
        <v>15.5307467682427</v>
      </c>
      <c r="AI5952">
        <v>93.045855167684707</v>
      </c>
      <c r="AJ5952">
        <v>48.521671385424199</v>
      </c>
      <c r="AK5952">
        <v>20.7589254773691</v>
      </c>
      <c r="AL5952">
        <v>90.101513390184707</v>
      </c>
      <c r="AM5952">
        <v>71.845405969716197</v>
      </c>
      <c r="AN5952">
        <v>1.0000000188244</v>
      </c>
    </row>
    <row r="5953" spans="1:40" x14ac:dyDescent="0.25">
      <c r="A5953" t="str">
        <f>"20190312150812651"</f>
        <v>20190312150812651</v>
      </c>
      <c r="B5953" t="str">
        <f>"1552374492646509"</f>
        <v>1552374492646509</v>
      </c>
      <c r="C5953" t="s">
        <v>40</v>
      </c>
      <c r="D5953">
        <v>4.9575639999999996</v>
      </c>
      <c r="E5953">
        <v>0.6605588</v>
      </c>
      <c r="F5953" t="s">
        <v>42</v>
      </c>
      <c r="G5953">
        <v>-192.3929</v>
      </c>
      <c r="H5953" s="1">
        <v>-4.3023840000000001E-6</v>
      </c>
      <c r="I5953">
        <v>188.38220000000001</v>
      </c>
      <c r="J5953">
        <v>-193.3348</v>
      </c>
      <c r="K5953">
        <v>1.1030770000000001</v>
      </c>
      <c r="L5953">
        <v>208.03389999999999</v>
      </c>
      <c r="M5953">
        <v>0.69392299999999996</v>
      </c>
      <c r="N5953">
        <v>0</v>
      </c>
      <c r="O5953">
        <v>-0.71988479999999999</v>
      </c>
      <c r="P5953">
        <v>0.43630029999999997</v>
      </c>
      <c r="Q5953">
        <v>-1.0446749999999999E-2</v>
      </c>
      <c r="R5953">
        <v>-0.89974050000000005</v>
      </c>
      <c r="S5953">
        <v>0.17659</v>
      </c>
      <c r="T5953">
        <v>-0.18188770000000001</v>
      </c>
      <c r="U5953">
        <v>-3.266159</v>
      </c>
      <c r="V5953">
        <v>0.31032569999999998</v>
      </c>
      <c r="W5953">
        <v>-1.549113E-3</v>
      </c>
      <c r="X5953">
        <v>0.9506291</v>
      </c>
      <c r="Y5953">
        <v>0.65399189999999996</v>
      </c>
      <c r="Z5953">
        <v>2.5636099999999998E-2</v>
      </c>
      <c r="AA5953">
        <v>0.75606700000000004</v>
      </c>
      <c r="AB5953">
        <v>19</v>
      </c>
      <c r="AC5953">
        <v>0.94190000000000396</v>
      </c>
      <c r="AD5953">
        <v>-1.103081302384</v>
      </c>
      <c r="AE5953">
        <v>-19.651699999999899</v>
      </c>
      <c r="AF5953">
        <v>12.9196280530177</v>
      </c>
      <c r="AG5953">
        <v>-1.103081302384</v>
      </c>
      <c r="AH5953">
        <v>14.755932701577899</v>
      </c>
      <c r="AI5953">
        <v>93.219122662301402</v>
      </c>
      <c r="AJ5953">
        <v>48.796075367133099</v>
      </c>
      <c r="AK5953">
        <v>19.643602706262602</v>
      </c>
      <c r="AL5953">
        <v>90.088757666814303</v>
      </c>
      <c r="AM5953">
        <v>71.921118957338095</v>
      </c>
      <c r="AN5953">
        <v>1.0000000627991901</v>
      </c>
    </row>
    <row r="5954" spans="1:40" x14ac:dyDescent="0.25">
      <c r="A5954" t="str">
        <f>"20190312150812674"</f>
        <v>20190312150812674</v>
      </c>
      <c r="B5954" t="str">
        <f>"1552374492666029"</f>
        <v>1552374492666029</v>
      </c>
      <c r="C5954" t="s">
        <v>40</v>
      </c>
      <c r="D5954">
        <v>4.9215619999999998</v>
      </c>
      <c r="E5954">
        <v>0.65912559999999998</v>
      </c>
      <c r="F5954" t="s">
        <v>42</v>
      </c>
      <c r="G5954">
        <v>-192.44489999999999</v>
      </c>
      <c r="H5954" s="1">
        <v>-4.3428729999999998E-6</v>
      </c>
      <c r="I5954">
        <v>188.47409999999999</v>
      </c>
      <c r="J5954">
        <v>-193.209</v>
      </c>
      <c r="K5954">
        <v>1.1031329999999999</v>
      </c>
      <c r="L5954">
        <v>207.8776</v>
      </c>
      <c r="M5954">
        <v>0.683091</v>
      </c>
      <c r="N5954">
        <v>0</v>
      </c>
      <c r="O5954">
        <v>-0.73017119999999902</v>
      </c>
      <c r="P5954">
        <v>0.4241086</v>
      </c>
      <c r="Q5954">
        <v>-1.080566E-2</v>
      </c>
      <c r="R5954">
        <v>-0.90554710000000005</v>
      </c>
      <c r="S5954">
        <v>0.14833070000000001</v>
      </c>
      <c r="T5954">
        <v>-0.18386189999999999</v>
      </c>
      <c r="U5954">
        <v>-3.2602229999999999</v>
      </c>
      <c r="V5954">
        <v>0.3089539</v>
      </c>
      <c r="W5954">
        <v>-1.8406659999999999E-3</v>
      </c>
      <c r="X5954">
        <v>0.95107529999999996</v>
      </c>
      <c r="Y5954">
        <v>0.64914479999999997</v>
      </c>
      <c r="Z5954">
        <v>2.691675E-2</v>
      </c>
      <c r="AA5954">
        <v>0.76018850000000004</v>
      </c>
      <c r="AB5954">
        <v>19</v>
      </c>
      <c r="AC5954">
        <v>0.76410000000001299</v>
      </c>
      <c r="AD5954">
        <v>-1.103137342873</v>
      </c>
      <c r="AE5954">
        <v>-19.403500000000001</v>
      </c>
      <c r="AF5954">
        <v>12.6570883493537</v>
      </c>
      <c r="AG5954">
        <v>-1.103137342873</v>
      </c>
      <c r="AH5954">
        <v>14.644305471764399</v>
      </c>
      <c r="AI5954">
        <v>93.261860764034594</v>
      </c>
      <c r="AJ5954">
        <v>49.163110212446199</v>
      </c>
      <c r="AK5954">
        <v>19.3874825655869</v>
      </c>
      <c r="AL5954">
        <v>90.105462446166996</v>
      </c>
      <c r="AM5954">
        <v>72.003770687263696</v>
      </c>
      <c r="AN5954">
        <v>1.0000000633232999</v>
      </c>
    </row>
    <row r="5955" spans="1:40" x14ac:dyDescent="0.25">
      <c r="A5955" t="str">
        <f>"20190312150812695"</f>
        <v>20190312150812695</v>
      </c>
      <c r="B5955" t="str">
        <f>"1552374492686525"</f>
        <v>1552374492686525</v>
      </c>
      <c r="C5955" t="s">
        <v>40</v>
      </c>
      <c r="D5955">
        <v>4.9275270000000004</v>
      </c>
      <c r="E5955">
        <v>0.65751150000000003</v>
      </c>
      <c r="F5955" t="s">
        <v>42</v>
      </c>
      <c r="G5955">
        <v>-192.53720000000001</v>
      </c>
      <c r="H5955" s="1">
        <v>-4.4646340000000001E-6</v>
      </c>
      <c r="I5955">
        <v>188.78380000000001</v>
      </c>
      <c r="J5955">
        <v>-193.09469999999999</v>
      </c>
      <c r="K5955">
        <v>1.1031709999999999</v>
      </c>
      <c r="L5955">
        <v>207.73140000000001</v>
      </c>
      <c r="M5955">
        <v>0.67294589999999999</v>
      </c>
      <c r="N5955">
        <v>0</v>
      </c>
      <c r="O5955">
        <v>-0.73953190000000002</v>
      </c>
      <c r="P5955">
        <v>0.41246149999999998</v>
      </c>
      <c r="Q5955">
        <v>-1.159904E-2</v>
      </c>
      <c r="R5955">
        <v>-0.91090139999999997</v>
      </c>
      <c r="S5955">
        <v>0.1146088</v>
      </c>
      <c r="T5955">
        <v>-0.18817159999999999</v>
      </c>
      <c r="U5955">
        <v>-3.2569889999999999</v>
      </c>
      <c r="V5955">
        <v>0.30799919999999997</v>
      </c>
      <c r="W5955">
        <v>-2.5847169999999998E-3</v>
      </c>
      <c r="X5955">
        <v>0.95138310000000004</v>
      </c>
      <c r="Y5955">
        <v>0.64646300000000001</v>
      </c>
      <c r="Z5955">
        <v>2.8417370000000001E-2</v>
      </c>
      <c r="AA5955">
        <v>0.76241590000000004</v>
      </c>
      <c r="AB5955">
        <v>19</v>
      </c>
      <c r="AC5955">
        <v>0.55749999999997601</v>
      </c>
      <c r="AD5955">
        <v>-1.103175464634</v>
      </c>
      <c r="AE5955">
        <v>-18.947599999999898</v>
      </c>
      <c r="AF5955">
        <v>12.2982261555474</v>
      </c>
      <c r="AG5955">
        <v>-1.103175464634</v>
      </c>
      <c r="AH5955">
        <v>14.340652119934299</v>
      </c>
      <c r="AI5955">
        <v>93.341955319561507</v>
      </c>
      <c r="AJ5955">
        <v>49.384339669429501</v>
      </c>
      <c r="AK5955">
        <v>18.923997091094101</v>
      </c>
      <c r="AL5955">
        <v>90.148093540904</v>
      </c>
      <c r="AM5955">
        <v>72.061243668789103</v>
      </c>
      <c r="AN5955">
        <v>0.99999999546411</v>
      </c>
    </row>
    <row r="5956" spans="1:40" x14ac:dyDescent="0.25">
      <c r="A5956" t="str">
        <f>"20190312150812717"</f>
        <v>20190312150812717</v>
      </c>
      <c r="B5956" t="str">
        <f>"1552374492706175"</f>
        <v>1552374492706175</v>
      </c>
      <c r="C5956" t="s">
        <v>40</v>
      </c>
      <c r="D5956">
        <v>4.8965579999999997</v>
      </c>
      <c r="E5956">
        <v>0.64653190000000005</v>
      </c>
      <c r="F5956" t="s">
        <v>42</v>
      </c>
      <c r="G5956">
        <v>-192.60640000000001</v>
      </c>
      <c r="H5956" s="1">
        <v>-4.5314399999999998E-6</v>
      </c>
      <c r="I5956">
        <v>188.94399999999999</v>
      </c>
      <c r="J5956">
        <v>-192.9777</v>
      </c>
      <c r="K5956">
        <v>1.1032040000000001</v>
      </c>
      <c r="L5956">
        <v>207.57740000000001</v>
      </c>
      <c r="M5956">
        <v>0.66224430000000001</v>
      </c>
      <c r="N5956">
        <v>0</v>
      </c>
      <c r="O5956">
        <v>-0.74913050000000003</v>
      </c>
      <c r="P5956">
        <v>0.40017249999999999</v>
      </c>
      <c r="Q5956">
        <v>-1.213006E-2</v>
      </c>
      <c r="R5956">
        <v>-0.91635960000000005</v>
      </c>
      <c r="S5956">
        <v>8.4533689999999995E-2</v>
      </c>
      <c r="T5956">
        <v>-0.19099569999999999</v>
      </c>
      <c r="U5956">
        <v>-3.2527159999999999</v>
      </c>
      <c r="V5956">
        <v>0.30710359999999998</v>
      </c>
      <c r="W5956">
        <v>-3.0714729999999999E-3</v>
      </c>
      <c r="X5956">
        <v>0.95167109999999999</v>
      </c>
      <c r="Y5956">
        <v>0.6424955</v>
      </c>
      <c r="Z5956">
        <v>2.979499E-2</v>
      </c>
      <c r="AA5956">
        <v>0.76571009999999995</v>
      </c>
      <c r="AB5956">
        <v>19</v>
      </c>
      <c r="AC5956">
        <v>0.37129999999999003</v>
      </c>
      <c r="AD5956">
        <v>-1.10320853144</v>
      </c>
      <c r="AE5956">
        <v>-18.633399999999899</v>
      </c>
      <c r="AF5956">
        <v>12.021013108079201</v>
      </c>
      <c r="AG5956">
        <v>-1.10320853144</v>
      </c>
      <c r="AH5956">
        <v>14.1568110510509</v>
      </c>
      <c r="AI5956">
        <v>93.3994682507536</v>
      </c>
      <c r="AJ5956">
        <v>49.664320400713699</v>
      </c>
      <c r="AK5956">
        <v>18.6047607978069</v>
      </c>
      <c r="AL5956">
        <v>90.175982721976894</v>
      </c>
      <c r="AM5956">
        <v>72.115145832255905</v>
      </c>
      <c r="AN5956">
        <v>0.99999996882727904</v>
      </c>
    </row>
    <row r="5957" spans="1:40" x14ac:dyDescent="0.25">
      <c r="A5957" t="str">
        <f>"20190312150812740"</f>
        <v>20190312150812740</v>
      </c>
      <c r="B5957" t="str">
        <f>"1552374492736431"</f>
        <v>1552374492736431</v>
      </c>
      <c r="C5957" t="s">
        <v>40</v>
      </c>
      <c r="D5957">
        <v>4.8844059999999896</v>
      </c>
      <c r="E5957">
        <v>0.64510749999999994</v>
      </c>
      <c r="F5957" t="s">
        <v>42</v>
      </c>
      <c r="G5957">
        <v>-192.46209999999999</v>
      </c>
      <c r="H5957" s="1">
        <v>-2.355335E-6</v>
      </c>
      <c r="I5957">
        <v>193.55240000000001</v>
      </c>
      <c r="J5957">
        <v>-192.86279999999999</v>
      </c>
      <c r="K5957">
        <v>1.10324</v>
      </c>
      <c r="L5957">
        <v>207.42169999999999</v>
      </c>
      <c r="M5957">
        <v>0.65140739999999997</v>
      </c>
      <c r="N5957">
        <v>0</v>
      </c>
      <c r="O5957">
        <v>-0.75857269999999999</v>
      </c>
      <c r="P5957">
        <v>0.3878453</v>
      </c>
      <c r="Q5957">
        <v>-1.294502E-2</v>
      </c>
      <c r="R5957">
        <v>-0.92163379999999995</v>
      </c>
      <c r="S5957">
        <v>0.1183319</v>
      </c>
      <c r="T5957">
        <v>-0.2531891</v>
      </c>
      <c r="U5957">
        <v>-3.2187809999999999</v>
      </c>
      <c r="V5957">
        <v>0.30616670000000001</v>
      </c>
      <c r="W5957">
        <v>-3.8454309999999998E-3</v>
      </c>
      <c r="X5957">
        <v>0.95197019999999999</v>
      </c>
      <c r="Y5957">
        <v>0.6229616</v>
      </c>
      <c r="Z5957">
        <v>4.1630680000000003E-2</v>
      </c>
      <c r="AA5957">
        <v>0.78114380000000005</v>
      </c>
      <c r="AB5957">
        <v>19</v>
      </c>
      <c r="AC5957">
        <v>0.4007</v>
      </c>
      <c r="AD5957">
        <v>-1.1032423553349999</v>
      </c>
      <c r="AE5957">
        <v>-13.8692999999999</v>
      </c>
      <c r="AF5957">
        <v>8.6767777454965103</v>
      </c>
      <c r="AG5957">
        <v>-1.1032423553349999</v>
      </c>
      <c r="AH5957">
        <v>10.7154176617691</v>
      </c>
      <c r="AI5957">
        <v>94.574784307125597</v>
      </c>
      <c r="AJ5957">
        <v>51.001280102966703</v>
      </c>
      <c r="AK5957">
        <v>13.831984362538201</v>
      </c>
      <c r="AL5957">
        <v>90.220327499010807</v>
      </c>
      <c r="AM5957">
        <v>72.171495509045599</v>
      </c>
      <c r="AN5957">
        <v>1.0000000486082501</v>
      </c>
    </row>
    <row r="5958" spans="1:40" x14ac:dyDescent="0.25">
      <c r="A5958" t="str">
        <f>"20190312150812762"</f>
        <v>20190312150812762</v>
      </c>
      <c r="B5958" t="str">
        <f>"1552374492755951"</f>
        <v>1552374492755951</v>
      </c>
      <c r="C5958" t="s">
        <v>40</v>
      </c>
      <c r="D5958">
        <v>4.9074470000000003</v>
      </c>
      <c r="E5958">
        <v>0.64359900000000003</v>
      </c>
      <c r="F5958" t="s">
        <v>42</v>
      </c>
      <c r="G5958">
        <v>-192.5521</v>
      </c>
      <c r="H5958" s="1">
        <v>-3.1594740000000001E-6</v>
      </c>
      <c r="I5958">
        <v>195.37100000000001</v>
      </c>
      <c r="J5958">
        <v>-192.7465</v>
      </c>
      <c r="K5958">
        <v>1.103275</v>
      </c>
      <c r="L5958">
        <v>207.2593</v>
      </c>
      <c r="M5958">
        <v>0.64007780000000003</v>
      </c>
      <c r="N5958">
        <v>0</v>
      </c>
      <c r="O5958">
        <v>-0.76815679999999997</v>
      </c>
      <c r="P5958">
        <v>0.37491590000000002</v>
      </c>
      <c r="Q5958">
        <v>-1.330541E-2</v>
      </c>
      <c r="R5958">
        <v>-0.92696330000000005</v>
      </c>
      <c r="S5958">
        <v>8.2916260000000006E-2</v>
      </c>
      <c r="T5958">
        <v>-0.29443009999999997</v>
      </c>
      <c r="U5958">
        <v>-3.2160489999999999</v>
      </c>
      <c r="V5958">
        <v>0.30534480000000003</v>
      </c>
      <c r="W5958">
        <v>-4.1696850000000002E-3</v>
      </c>
      <c r="X5958">
        <v>0.95223270000000004</v>
      </c>
      <c r="Y5958">
        <v>0.61985269999999904</v>
      </c>
      <c r="Z5958">
        <v>4.9789519999999997E-2</v>
      </c>
      <c r="AA5958">
        <v>0.78313710000000003</v>
      </c>
      <c r="AB5958">
        <v>19</v>
      </c>
      <c r="AC5958">
        <v>0.19440000000000099</v>
      </c>
      <c r="AD5958">
        <v>-1.103278159474</v>
      </c>
      <c r="AE5958">
        <v>-11.888299999999999</v>
      </c>
      <c r="AF5958">
        <v>7.3972936117588999</v>
      </c>
      <c r="AG5958">
        <v>-1.103278159474</v>
      </c>
      <c r="AH5958">
        <v>9.1785704028642794</v>
      </c>
      <c r="AI5958">
        <v>95.346751252061594</v>
      </c>
      <c r="AJ5958">
        <v>51.133585381324103</v>
      </c>
      <c r="AK5958">
        <v>11.8399041430274</v>
      </c>
      <c r="AL5958">
        <v>90.238906050881894</v>
      </c>
      <c r="AM5958">
        <v>72.220930710595695</v>
      </c>
      <c r="AN5958">
        <v>0.99999997405466401</v>
      </c>
    </row>
    <row r="5959" spans="1:40" x14ac:dyDescent="0.25">
      <c r="A5959" t="str">
        <f>"20190312150812785"</f>
        <v>20190312150812785</v>
      </c>
      <c r="B5959" t="str">
        <f>"1552374492776447"</f>
        <v>1552374492776447</v>
      </c>
      <c r="C5959" t="s">
        <v>40</v>
      </c>
      <c r="D5959">
        <v>4.918393</v>
      </c>
      <c r="E5959">
        <v>0.64263780000000004</v>
      </c>
      <c r="F5959" t="s">
        <v>42</v>
      </c>
      <c r="G5959">
        <v>-192.57329999999999</v>
      </c>
      <c r="H5959" s="1">
        <v>-3.3335910000000001E-6</v>
      </c>
      <c r="I5959">
        <v>195.7638</v>
      </c>
      <c r="J5959">
        <v>-192.63659999999999</v>
      </c>
      <c r="K5959">
        <v>1.103308</v>
      </c>
      <c r="L5959">
        <v>207.10069999999999</v>
      </c>
      <c r="M5959">
        <v>0.62900089999999997</v>
      </c>
      <c r="N5959">
        <v>0</v>
      </c>
      <c r="O5959">
        <v>-0.77725339999999998</v>
      </c>
      <c r="P5959">
        <v>0.36283209999999999</v>
      </c>
      <c r="Q5959">
        <v>-1.3660810000000001E-2</v>
      </c>
      <c r="R5959">
        <v>-0.93175459999999999</v>
      </c>
      <c r="S5959">
        <v>4.8416140000000003E-2</v>
      </c>
      <c r="T5959">
        <v>-0.30830419999999997</v>
      </c>
      <c r="U5959">
        <v>-3.2123409999999999</v>
      </c>
      <c r="V5959">
        <v>0.30406620000000001</v>
      </c>
      <c r="W5959">
        <v>-4.4811269999999997E-3</v>
      </c>
      <c r="X5959">
        <v>0.95264040000000005</v>
      </c>
      <c r="Y5959">
        <v>0.61696819999999997</v>
      </c>
      <c r="Z5959">
        <v>5.354826E-2</v>
      </c>
      <c r="AA5959">
        <v>0.78516419999999998</v>
      </c>
      <c r="AB5959">
        <v>19</v>
      </c>
      <c r="AC5959">
        <v>6.3299999999998094E-2</v>
      </c>
      <c r="AD5959">
        <v>-1.1033113335910001</v>
      </c>
      <c r="AE5959">
        <v>-11.336899999999901</v>
      </c>
      <c r="AF5959">
        <v>7.01610325156995</v>
      </c>
      <c r="AG5959">
        <v>-1.1033113335910001</v>
      </c>
      <c r="AH5959">
        <v>8.7694450849568408</v>
      </c>
      <c r="AI5959">
        <v>95.610765392015907</v>
      </c>
      <c r="AJ5959">
        <v>51.338011896317703</v>
      </c>
      <c r="AK5959">
        <v>11.284775931917901</v>
      </c>
      <c r="AL5959">
        <v>90.256750515349097</v>
      </c>
      <c r="AM5959">
        <v>72.297823900682005</v>
      </c>
      <c r="AN5959">
        <v>1.0000000330968899</v>
      </c>
    </row>
    <row r="5960" spans="1:40" x14ac:dyDescent="0.25">
      <c r="A5960" t="str">
        <f>"20190312150812806"</f>
        <v>20190312150812806</v>
      </c>
      <c r="B5960" t="str">
        <f>"1552374492795967"</f>
        <v>1552374492795967</v>
      </c>
      <c r="C5960" t="s">
        <v>40</v>
      </c>
      <c r="D5960">
        <v>4.9551889999999998</v>
      </c>
      <c r="E5960">
        <v>0.64339199999999996</v>
      </c>
      <c r="F5960" t="s">
        <v>42</v>
      </c>
      <c r="G5960">
        <v>-192.5891</v>
      </c>
      <c r="H5960" s="1">
        <v>-3.3094040000000001E-6</v>
      </c>
      <c r="I5960">
        <v>195.69759999999999</v>
      </c>
      <c r="J5960">
        <v>-192.5308</v>
      </c>
      <c r="K5960">
        <v>1.1033249999999999</v>
      </c>
      <c r="L5960">
        <v>206.9434</v>
      </c>
      <c r="M5960">
        <v>0.61798819999999999</v>
      </c>
      <c r="N5960">
        <v>0</v>
      </c>
      <c r="O5960">
        <v>-0.78603780000000001</v>
      </c>
      <c r="P5960">
        <v>0.35151850000000001</v>
      </c>
      <c r="Q5960">
        <v>-1.329084E-2</v>
      </c>
      <c r="R5960">
        <v>-0.93608650000000004</v>
      </c>
      <c r="S5960">
        <v>1.3351439999999999E-2</v>
      </c>
      <c r="T5960">
        <v>-0.31058200000000002</v>
      </c>
      <c r="U5960">
        <v>-3.209991</v>
      </c>
      <c r="V5960">
        <v>0.30219499999999999</v>
      </c>
      <c r="W5960">
        <v>-4.0551490000000001E-3</v>
      </c>
      <c r="X5960">
        <v>0.95323749999999996</v>
      </c>
      <c r="Y5960">
        <v>0.61445269999999996</v>
      </c>
      <c r="Z5960">
        <v>5.5302879999999999E-2</v>
      </c>
      <c r="AA5960">
        <v>0.78701309999999902</v>
      </c>
      <c r="AB5960">
        <v>19</v>
      </c>
      <c r="AC5960">
        <v>-5.83000000000026E-2</v>
      </c>
      <c r="AD5960">
        <v>-1.1033283094039901</v>
      </c>
      <c r="AE5960">
        <v>-11.245799999999999</v>
      </c>
      <c r="AF5960">
        <v>6.9297193288922401</v>
      </c>
      <c r="AG5960">
        <v>-1.1033283094039901</v>
      </c>
      <c r="AH5960">
        <v>8.7206906778141207</v>
      </c>
      <c r="AI5960">
        <v>95.656881616677595</v>
      </c>
      <c r="AJ5960">
        <v>51.528305047760298</v>
      </c>
      <c r="AK5960">
        <v>11.193247483803299</v>
      </c>
      <c r="AL5960">
        <v>90.232343560520903</v>
      </c>
      <c r="AM5960">
        <v>72.410362879611398</v>
      </c>
      <c r="AN5960">
        <v>0.99999999683233098</v>
      </c>
    </row>
    <row r="5961" spans="1:40" x14ac:dyDescent="0.25">
      <c r="A5961" t="str">
        <f>"20190312150812830"</f>
        <v>20190312150812830</v>
      </c>
      <c r="B5961" t="str">
        <f>"1552374492826223"</f>
        <v>1552374492826223</v>
      </c>
      <c r="C5961" t="s">
        <v>40</v>
      </c>
      <c r="D5961">
        <v>4.9449680000000003</v>
      </c>
      <c r="E5961">
        <v>0.64581149999999998</v>
      </c>
      <c r="F5961" t="s">
        <v>42</v>
      </c>
      <c r="G5961">
        <v>-192.6437</v>
      </c>
      <c r="H5961" s="1">
        <v>-3.1645430000000001E-6</v>
      </c>
      <c r="I5961">
        <v>195.32599999999999</v>
      </c>
      <c r="J5961">
        <v>-192.42410000000001</v>
      </c>
      <c r="K5961">
        <v>1.1033599999999999</v>
      </c>
      <c r="L5961">
        <v>206.77950000000001</v>
      </c>
      <c r="M5961">
        <v>0.60649619999999904</v>
      </c>
      <c r="N5961">
        <v>0</v>
      </c>
      <c r="O5961">
        <v>-0.79493859999999905</v>
      </c>
      <c r="P5961">
        <v>0.33954099999999998</v>
      </c>
      <c r="Q5961">
        <v>-1.3060520000000001E-2</v>
      </c>
      <c r="R5961">
        <v>-0.94050069999999997</v>
      </c>
      <c r="S5961">
        <v>-3.1204220000000001E-2</v>
      </c>
      <c r="T5961">
        <v>-0.30507329999999999</v>
      </c>
      <c r="U5961">
        <v>-3.2122190000000002</v>
      </c>
      <c r="V5961">
        <v>0.30051149999999999</v>
      </c>
      <c r="W5961">
        <v>-3.7736739999999999E-3</v>
      </c>
      <c r="X5961">
        <v>0.95377069999999997</v>
      </c>
      <c r="Y5961">
        <v>0.61392419999999903</v>
      </c>
      <c r="Z5961">
        <v>5.5524900000000002E-2</v>
      </c>
      <c r="AA5961">
        <v>0.78740969999999999</v>
      </c>
      <c r="AB5961">
        <v>19</v>
      </c>
      <c r="AC5961">
        <v>-0.219599999999985</v>
      </c>
      <c r="AD5961">
        <v>-1.103363164543</v>
      </c>
      <c r="AE5961">
        <v>-11.4535</v>
      </c>
      <c r="AF5961">
        <v>7.0564478876644099</v>
      </c>
      <c r="AG5961">
        <v>-1.103363164543</v>
      </c>
      <c r="AH5961">
        <v>8.8902236205474701</v>
      </c>
      <c r="AI5961">
        <v>95.552275046239203</v>
      </c>
      <c r="AJ5961">
        <v>51.559871968886199</v>
      </c>
      <c r="AK5961">
        <v>11.403812655753899</v>
      </c>
      <c r="AL5961">
        <v>90.216216111994697</v>
      </c>
      <c r="AM5961">
        <v>72.511543431311907</v>
      </c>
      <c r="AN5961">
        <v>0.99999997521309802</v>
      </c>
    </row>
    <row r="5962" spans="1:40" x14ac:dyDescent="0.25">
      <c r="A5962" t="str">
        <f>"20190312150812852"</f>
        <v>20190312150812852</v>
      </c>
      <c r="B5962" t="str">
        <f>"1552374492845743"</f>
        <v>1552374492845743</v>
      </c>
      <c r="C5962" t="s">
        <v>40</v>
      </c>
      <c r="D5962">
        <v>4.9762329999999997</v>
      </c>
      <c r="E5962">
        <v>0.64645549999999996</v>
      </c>
      <c r="F5962" t="s">
        <v>42</v>
      </c>
      <c r="G5962">
        <v>-192.7518</v>
      </c>
      <c r="H5962" s="1">
        <v>-3.1203150000000002E-6</v>
      </c>
      <c r="I5962">
        <v>195.1559</v>
      </c>
      <c r="J5962">
        <v>-192.3203</v>
      </c>
      <c r="K5962">
        <v>1.1033869999999999</v>
      </c>
      <c r="L5962">
        <v>206.6148</v>
      </c>
      <c r="M5962">
        <v>0.59492480000000003</v>
      </c>
      <c r="N5962">
        <v>0</v>
      </c>
      <c r="O5962">
        <v>-0.80363549999999995</v>
      </c>
      <c r="P5962">
        <v>0.32693689999999997</v>
      </c>
      <c r="Q5962">
        <v>-1.305602E-2</v>
      </c>
      <c r="R5962">
        <v>-0.94495589999999996</v>
      </c>
      <c r="S5962">
        <v>-9.0713500000000002E-2</v>
      </c>
      <c r="T5962">
        <v>-0.30549470000000001</v>
      </c>
      <c r="U5962">
        <v>-3.2182919999999999</v>
      </c>
      <c r="V5962">
        <v>0.29945559999999899</v>
      </c>
      <c r="W5962">
        <v>-3.7329939999999999E-3</v>
      </c>
      <c r="X5962">
        <v>0.95410289999999998</v>
      </c>
      <c r="Y5962">
        <v>0.61703619999999904</v>
      </c>
      <c r="Z5962">
        <v>5.6548599999999997E-2</v>
      </c>
      <c r="AA5962">
        <v>0.7849003</v>
      </c>
      <c r="AB5962">
        <v>19</v>
      </c>
      <c r="AC5962">
        <v>-0.431499999999999</v>
      </c>
      <c r="AD5962">
        <v>-1.1033901203150001</v>
      </c>
      <c r="AE5962">
        <v>-11.4589</v>
      </c>
      <c r="AF5962">
        <v>7.0990633615089402</v>
      </c>
      <c r="AG5962">
        <v>-1.1033901203150001</v>
      </c>
      <c r="AH5962">
        <v>8.8709833579240698</v>
      </c>
      <c r="AI5962">
        <v>95.546818046982196</v>
      </c>
      <c r="AJ5962">
        <v>51.331226675172303</v>
      </c>
      <c r="AK5962">
        <v>11.415275559744201</v>
      </c>
      <c r="AL5962">
        <v>90.213885304814994</v>
      </c>
      <c r="AM5962">
        <v>72.574965979509599</v>
      </c>
      <c r="AN5962">
        <v>0.99999996770198596</v>
      </c>
    </row>
    <row r="5963" spans="1:40" x14ac:dyDescent="0.25">
      <c r="A5963" t="str">
        <f>"20190312150812875"</f>
        <v>20190312150812875</v>
      </c>
      <c r="B5963" t="str">
        <f>"1552374492866239"</f>
        <v>1552374492866239</v>
      </c>
      <c r="C5963" t="s">
        <v>40</v>
      </c>
      <c r="D5963">
        <v>4.9563980000000001</v>
      </c>
      <c r="E5963">
        <v>0.64673139999999996</v>
      </c>
      <c r="F5963" t="s">
        <v>42</v>
      </c>
      <c r="G5963">
        <v>-192.82669999999999</v>
      </c>
      <c r="H5963" s="1">
        <v>-3.0046899999999999E-6</v>
      </c>
      <c r="I5963">
        <v>194.8399</v>
      </c>
      <c r="J5963">
        <v>-192.2139</v>
      </c>
      <c r="K5963">
        <v>1.103415</v>
      </c>
      <c r="L5963">
        <v>206.44069999999999</v>
      </c>
      <c r="M5963">
        <v>0.58266379999999995</v>
      </c>
      <c r="N5963">
        <v>0</v>
      </c>
      <c r="O5963">
        <v>-0.81256919999999899</v>
      </c>
      <c r="P5963">
        <v>0.31522810000000001</v>
      </c>
      <c r="Q5963">
        <v>-1.3335420000000001E-2</v>
      </c>
      <c r="R5963">
        <v>-0.9489225</v>
      </c>
      <c r="S5963">
        <v>-0.13841249999999999</v>
      </c>
      <c r="T5963">
        <v>-0.30159380000000002</v>
      </c>
      <c r="U5963">
        <v>-3.2184750000000002</v>
      </c>
      <c r="V5963">
        <v>0.29676950000000002</v>
      </c>
      <c r="W5963">
        <v>-3.9392960000000001E-3</v>
      </c>
      <c r="X5963">
        <v>0.95494100000000004</v>
      </c>
      <c r="Y5963">
        <v>0.61673109999999998</v>
      </c>
      <c r="Z5963">
        <v>5.7037440000000002E-2</v>
      </c>
      <c r="AA5963">
        <v>0.78510480000000005</v>
      </c>
      <c r="AB5963">
        <v>19</v>
      </c>
      <c r="AC5963">
        <v>-0.61279999999999202</v>
      </c>
      <c r="AD5963">
        <v>-1.10341800469</v>
      </c>
      <c r="AE5963">
        <v>-11.6007999999999</v>
      </c>
      <c r="AF5963">
        <v>7.19326225717173</v>
      </c>
      <c r="AG5963">
        <v>-1.10341800469</v>
      </c>
      <c r="AH5963">
        <v>8.9893582118336095</v>
      </c>
      <c r="AI5963">
        <v>95.474516742223997</v>
      </c>
      <c r="AJ5963">
        <v>51.333291336833597</v>
      </c>
      <c r="AK5963">
        <v>11.565859857969301</v>
      </c>
      <c r="AL5963">
        <v>90.225705622456402</v>
      </c>
      <c r="AM5963">
        <v>72.736186839280194</v>
      </c>
      <c r="AN5963">
        <v>0.99999998383211197</v>
      </c>
    </row>
    <row r="5964" spans="1:40" x14ac:dyDescent="0.25">
      <c r="A5964" t="str">
        <f>"20190312150812896"</f>
        <v>20190312150812896</v>
      </c>
      <c r="B5964" t="str">
        <f>"1552374492885760"</f>
        <v>1552374492885760</v>
      </c>
      <c r="C5964" t="s">
        <v>40</v>
      </c>
      <c r="D5964">
        <v>4.9677009999999999</v>
      </c>
      <c r="E5964">
        <v>0.64657549999999997</v>
      </c>
      <c r="F5964" t="s">
        <v>42</v>
      </c>
      <c r="G5964">
        <v>-192.88079999999999</v>
      </c>
      <c r="H5964" s="1">
        <v>-2.902855E-6</v>
      </c>
      <c r="I5964">
        <v>194.56899999999999</v>
      </c>
      <c r="J5964">
        <v>-192.12219999999999</v>
      </c>
      <c r="K5964">
        <v>1.1034469999999901</v>
      </c>
      <c r="L5964">
        <v>206.28550000000001</v>
      </c>
      <c r="M5964">
        <v>0.5717257</v>
      </c>
      <c r="N5964">
        <v>0</v>
      </c>
      <c r="O5964">
        <v>-0.82030230000000004</v>
      </c>
      <c r="P5964">
        <v>0.30608950000000001</v>
      </c>
      <c r="Q5964">
        <v>-1.2974619999999999E-2</v>
      </c>
      <c r="R5964">
        <v>-0.9519147</v>
      </c>
      <c r="S5964">
        <v>-0.1807251</v>
      </c>
      <c r="T5964">
        <v>-0.29903610000000003</v>
      </c>
      <c r="U5964">
        <v>-3.2173310000000002</v>
      </c>
      <c r="V5964">
        <v>0.29316619999999999</v>
      </c>
      <c r="W5964">
        <v>-3.4864459999999998E-3</v>
      </c>
      <c r="X5964">
        <v>0.95605510000000005</v>
      </c>
      <c r="Y5964">
        <v>0.61651</v>
      </c>
      <c r="Z5964">
        <v>5.761115E-2</v>
      </c>
      <c r="AA5964">
        <v>0.7852365</v>
      </c>
      <c r="AB5964">
        <v>19</v>
      </c>
      <c r="AC5964">
        <v>-0.75860000000000105</v>
      </c>
      <c r="AD5964">
        <v>-1.10344990285499</v>
      </c>
      <c r="AE5964">
        <v>-11.7164999999999</v>
      </c>
      <c r="AF5964">
        <v>7.2576570886410696</v>
      </c>
      <c r="AG5964">
        <v>-1.10344990285499</v>
      </c>
      <c r="AH5964">
        <v>9.0980736789480794</v>
      </c>
      <c r="AI5964">
        <v>95.416163864029798</v>
      </c>
      <c r="AJ5964">
        <v>51.420159657503497</v>
      </c>
      <c r="AK5964">
        <v>11.6904291098308</v>
      </c>
      <c r="AL5964">
        <v>90.199759052945595</v>
      </c>
      <c r="AM5964">
        <v>72.952285384698001</v>
      </c>
      <c r="AN5964">
        <v>0.99999996518207901</v>
      </c>
    </row>
    <row r="5965" spans="1:40" x14ac:dyDescent="0.25">
      <c r="A5965" t="str">
        <f>"20190312150812912"</f>
        <v>20190312150812912</v>
      </c>
      <c r="B5965" t="str">
        <f>"1552374492906255"</f>
        <v>1552374492906255</v>
      </c>
      <c r="C5965" t="s">
        <v>40</v>
      </c>
      <c r="D5965">
        <v>4.9820250000000001</v>
      </c>
      <c r="E5965">
        <v>0.64636329999999997</v>
      </c>
      <c r="F5965" t="s">
        <v>42</v>
      </c>
      <c r="G5965">
        <v>-192.89940000000001</v>
      </c>
      <c r="H5965" s="1">
        <v>-2.838631E-6</v>
      </c>
      <c r="I5965">
        <v>194.40770000000001</v>
      </c>
      <c r="J5965">
        <v>-192.05510000000001</v>
      </c>
      <c r="K5965">
        <v>1.103467</v>
      </c>
      <c r="L5965">
        <v>206.16900000000001</v>
      </c>
      <c r="M5965">
        <v>0.56349950000000004</v>
      </c>
      <c r="N5965">
        <v>0</v>
      </c>
      <c r="O5965">
        <v>-0.82597489999999996</v>
      </c>
      <c r="P5965">
        <v>0.29815819999999998</v>
      </c>
      <c r="Q5965">
        <v>-1.3036519999999999E-2</v>
      </c>
      <c r="R5965">
        <v>-0.95442749999999998</v>
      </c>
      <c r="S5965">
        <v>-0.2103729</v>
      </c>
      <c r="T5965">
        <v>-0.29868719999999999</v>
      </c>
      <c r="U5965">
        <v>-3.2151339999999999</v>
      </c>
      <c r="V5965">
        <v>0.29156559999999998</v>
      </c>
      <c r="W5965">
        <v>-3.5043610000000001E-3</v>
      </c>
      <c r="X5965">
        <v>0.95654439999999996</v>
      </c>
      <c r="Y5965">
        <v>0.61589119999999997</v>
      </c>
      <c r="Z5965">
        <v>5.835887E-2</v>
      </c>
      <c r="AA5965">
        <v>0.7856668</v>
      </c>
      <c r="AB5965">
        <v>19</v>
      </c>
      <c r="AC5965">
        <v>-0.84430000000000405</v>
      </c>
      <c r="AD5965">
        <v>-1.103469838631</v>
      </c>
      <c r="AE5965">
        <v>-11.7613</v>
      </c>
      <c r="AF5965">
        <v>7.2621159585233501</v>
      </c>
      <c r="AG5965">
        <v>-1.103469838631</v>
      </c>
      <c r="AH5965">
        <v>9.1596409077792096</v>
      </c>
      <c r="AI5965">
        <v>95.392786978644196</v>
      </c>
      <c r="AJ5965">
        <v>51.5912646369123</v>
      </c>
      <c r="AK5965">
        <v>11.7411666983852</v>
      </c>
      <c r="AL5965">
        <v>90.200785509281104</v>
      </c>
      <c r="AM5965">
        <v>73.048183011356301</v>
      </c>
      <c r="AN5965">
        <v>0.99999998441036897</v>
      </c>
    </row>
    <row r="5966" spans="1:40" x14ac:dyDescent="0.25">
      <c r="A5966" t="str">
        <f>"20190312150812924"</f>
        <v>20190312150812924</v>
      </c>
      <c r="B5966" t="str">
        <f>"1552374492916015"</f>
        <v>1552374492916015</v>
      </c>
      <c r="C5966" t="s">
        <v>40</v>
      </c>
      <c r="D5966">
        <v>4.9911379999999896</v>
      </c>
      <c r="E5966">
        <v>0.646240699999999</v>
      </c>
      <c r="F5966" t="s">
        <v>42</v>
      </c>
      <c r="G5966">
        <v>-192.92359999999999</v>
      </c>
      <c r="H5966" s="1">
        <v>-2.8074130000000002E-6</v>
      </c>
      <c r="I5966">
        <v>194.32</v>
      </c>
      <c r="J5966">
        <v>-192.0009</v>
      </c>
      <c r="K5966">
        <v>1.1034839999999999</v>
      </c>
      <c r="L5966">
        <v>206.07329999999999</v>
      </c>
      <c r="M5966">
        <v>0.55673689999999998</v>
      </c>
      <c r="N5966">
        <v>0</v>
      </c>
      <c r="O5966">
        <v>-0.83054830000000002</v>
      </c>
      <c r="P5966">
        <v>0.29190749999999999</v>
      </c>
      <c r="Q5966">
        <v>-1.2978969999999999E-2</v>
      </c>
      <c r="R5966">
        <v>-0.95635870000000001</v>
      </c>
      <c r="S5966">
        <v>-0.23547360000000001</v>
      </c>
      <c r="T5966">
        <v>-0.29919089999999998</v>
      </c>
      <c r="U5966">
        <v>-3.2126920000000001</v>
      </c>
      <c r="V5966">
        <v>0.29001549999999998</v>
      </c>
      <c r="W5966">
        <v>-3.4056300000000002E-3</v>
      </c>
      <c r="X5966">
        <v>0.95701590000000003</v>
      </c>
      <c r="Y5966">
        <v>0.6156083</v>
      </c>
      <c r="Z5966">
        <v>5.9117089999999997E-2</v>
      </c>
      <c r="AA5966">
        <v>0.78583179999999997</v>
      </c>
      <c r="AB5966">
        <v>19</v>
      </c>
      <c r="AC5966">
        <v>-0.92269999999999197</v>
      </c>
      <c r="AD5966">
        <v>-1.103486807413</v>
      </c>
      <c r="AE5966">
        <v>-11.7532999999999</v>
      </c>
      <c r="AF5966">
        <v>7.2472047887070303</v>
      </c>
      <c r="AG5966">
        <v>-1.103486807413</v>
      </c>
      <c r="AH5966">
        <v>9.1687363737259595</v>
      </c>
      <c r="AI5966">
        <v>95.393843628533801</v>
      </c>
      <c r="AJ5966">
        <v>51.676249791569902</v>
      </c>
      <c r="AK5966">
        <v>11.739053925869699</v>
      </c>
      <c r="AL5966">
        <v>90.1951286006895</v>
      </c>
      <c r="AM5966">
        <v>73.141015507829096</v>
      </c>
      <c r="AN5966">
        <v>1.0000000107043701</v>
      </c>
    </row>
    <row r="5967" spans="1:40" x14ac:dyDescent="0.25">
      <c r="A5967" t="str">
        <f>"20190312150812941"</f>
        <v>20190312150812941</v>
      </c>
      <c r="B5967" t="str">
        <f>"1552374492936511"</f>
        <v>1552374492936511</v>
      </c>
      <c r="C5967" t="s">
        <v>40</v>
      </c>
      <c r="D5967">
        <v>5.0605149999999997</v>
      </c>
      <c r="E5967">
        <v>0.64583880000000005</v>
      </c>
      <c r="F5967" t="s">
        <v>42</v>
      </c>
      <c r="G5967">
        <v>-192.94229999999999</v>
      </c>
      <c r="H5967" s="1">
        <v>-2.781548E-6</v>
      </c>
      <c r="I5967">
        <v>194.24809999999999</v>
      </c>
      <c r="J5967">
        <v>-191.93379999999999</v>
      </c>
      <c r="K5967">
        <v>1.1035079999999999</v>
      </c>
      <c r="L5967">
        <v>205.9513</v>
      </c>
      <c r="M5967">
        <v>0.54811919999999903</v>
      </c>
      <c r="N5967">
        <v>0</v>
      </c>
      <c r="O5967">
        <v>-0.83626060000000002</v>
      </c>
      <c r="P5967">
        <v>0.2854894</v>
      </c>
      <c r="Q5967">
        <v>-1.2990349999999999E-2</v>
      </c>
      <c r="R5967">
        <v>-0.95829399999999998</v>
      </c>
      <c r="S5967">
        <v>-0.25559999999999999</v>
      </c>
      <c r="T5967">
        <v>-0.29962309999999998</v>
      </c>
      <c r="U5967">
        <v>-3.2108460000000001</v>
      </c>
      <c r="V5967">
        <v>0.28653459999999997</v>
      </c>
      <c r="W5967">
        <v>-3.3322429999999999E-3</v>
      </c>
      <c r="X5967">
        <v>0.95806409999999997</v>
      </c>
      <c r="Y5967">
        <v>0.61238999999999999</v>
      </c>
      <c r="Z5967">
        <v>6.0126119999999998E-2</v>
      </c>
      <c r="AA5967">
        <v>0.78826609999999997</v>
      </c>
      <c r="AB5967">
        <v>19</v>
      </c>
      <c r="AC5967">
        <v>-1.00849999999999</v>
      </c>
      <c r="AD5967">
        <v>-1.1035107815480001</v>
      </c>
      <c r="AE5967">
        <v>-11.703200000000001</v>
      </c>
      <c r="AF5967">
        <v>7.1954628390692497</v>
      </c>
      <c r="AG5967">
        <v>-1.1035107815480001</v>
      </c>
      <c r="AH5967">
        <v>9.1544344692476898</v>
      </c>
      <c r="AI5967">
        <v>95.413882396396303</v>
      </c>
      <c r="AJ5967">
        <v>51.832353935779601</v>
      </c>
      <c r="AK5967">
        <v>11.695986147613599</v>
      </c>
      <c r="AL5967">
        <v>90.190923813492006</v>
      </c>
      <c r="AM5967">
        <v>73.349304008189804</v>
      </c>
      <c r="AN5967">
        <v>1.00000000027469</v>
      </c>
    </row>
    <row r="5968" spans="1:40" x14ac:dyDescent="0.25">
      <c r="A5968" t="str">
        <f>"20190312150812956"</f>
        <v>20190312150812956</v>
      </c>
      <c r="B5968" t="str">
        <f>"1552374492946271"</f>
        <v>1552374492946271</v>
      </c>
      <c r="C5968" t="s">
        <v>40</v>
      </c>
      <c r="D5968">
        <v>5.0048380000000003</v>
      </c>
      <c r="E5968">
        <v>0.64554849999999997</v>
      </c>
      <c r="F5968" t="s">
        <v>42</v>
      </c>
      <c r="G5968">
        <v>-192.9332</v>
      </c>
      <c r="H5968" s="1">
        <v>-2.7804690000000001E-6</v>
      </c>
      <c r="I5968">
        <v>194.25120000000001</v>
      </c>
      <c r="J5968">
        <v>-191.87260000000001</v>
      </c>
      <c r="K5968">
        <v>1.1035269999999999</v>
      </c>
      <c r="L5968">
        <v>205.8374</v>
      </c>
      <c r="M5968">
        <v>0.5400625</v>
      </c>
      <c r="N5968">
        <v>0</v>
      </c>
      <c r="O5968">
        <v>-0.84148630000000002</v>
      </c>
      <c r="P5968">
        <v>0.27745769999999997</v>
      </c>
      <c r="Q5968">
        <v>-1.253073E-2</v>
      </c>
      <c r="R5968">
        <v>-0.96065630000000002</v>
      </c>
      <c r="S5968">
        <v>-0.27401730000000002</v>
      </c>
      <c r="T5968">
        <v>-0.30257779999999901</v>
      </c>
      <c r="U5968">
        <v>-3.2081149999999998</v>
      </c>
      <c r="V5968">
        <v>0.28536460000000002</v>
      </c>
      <c r="W5968">
        <v>-2.83972E-3</v>
      </c>
      <c r="X5968">
        <v>0.95841489999999996</v>
      </c>
      <c r="Y5968">
        <v>0.60933749999999998</v>
      </c>
      <c r="Z5968">
        <v>6.1591590000000002E-2</v>
      </c>
      <c r="AA5968">
        <v>0.79051519999999897</v>
      </c>
      <c r="AB5968">
        <v>19</v>
      </c>
      <c r="AC5968">
        <v>-1.06059999999999</v>
      </c>
      <c r="AD5968">
        <v>-1.1035297804690001</v>
      </c>
      <c r="AE5968">
        <v>-11.5861999999999</v>
      </c>
      <c r="AF5968">
        <v>7.08683169603826</v>
      </c>
      <c r="AG5968">
        <v>-1.1035297804690001</v>
      </c>
      <c r="AH5968">
        <v>9.0960782680179904</v>
      </c>
      <c r="AI5968">
        <v>95.466666272459605</v>
      </c>
      <c r="AJ5968">
        <v>52.077541402431599</v>
      </c>
      <c r="AK5968">
        <v>11.583591900712999</v>
      </c>
      <c r="AL5968">
        <v>90.162704178326607</v>
      </c>
      <c r="AM5968">
        <v>73.4192886977781</v>
      </c>
      <c r="AN5968">
        <v>1.0000000697424201</v>
      </c>
    </row>
    <row r="5969" spans="1:40" x14ac:dyDescent="0.25">
      <c r="A5969" t="str">
        <f>"20190312150812975"</f>
        <v>20190312150812975</v>
      </c>
      <c r="B5969" t="str">
        <f>"1552374492965791"</f>
        <v>1552374492965791</v>
      </c>
      <c r="C5969" t="s">
        <v>40</v>
      </c>
      <c r="D5969">
        <v>4.9963540000000002</v>
      </c>
      <c r="E5969">
        <v>0.64507169999999903</v>
      </c>
      <c r="F5969" t="s">
        <v>42</v>
      </c>
      <c r="G5969">
        <v>-192.96270000000001</v>
      </c>
      <c r="H5969" s="1">
        <v>-2.7369840000000002E-6</v>
      </c>
      <c r="I5969">
        <v>194.13149999999999</v>
      </c>
      <c r="J5969">
        <v>-191.798</v>
      </c>
      <c r="K5969">
        <v>1.103556</v>
      </c>
      <c r="L5969">
        <v>205.6952</v>
      </c>
      <c r="M5969">
        <v>0.52999359999999995</v>
      </c>
      <c r="N5969">
        <v>0</v>
      </c>
      <c r="O5969">
        <v>-0.84786410000000001</v>
      </c>
      <c r="P5969">
        <v>0.26821899999999999</v>
      </c>
      <c r="Q5969">
        <v>-1.2721410000000001E-2</v>
      </c>
      <c r="R5969">
        <v>-0.96327410000000002</v>
      </c>
      <c r="S5969">
        <v>-0.2984772</v>
      </c>
      <c r="T5969">
        <v>-0.30215389999999998</v>
      </c>
      <c r="U5969">
        <v>-3.205139</v>
      </c>
      <c r="V5969">
        <v>0.283139799999999</v>
      </c>
      <c r="W5969">
        <v>-2.9735870000000002E-3</v>
      </c>
      <c r="X5969">
        <v>0.95907399999999998</v>
      </c>
      <c r="Y5969">
        <v>0.605935</v>
      </c>
      <c r="Z5969">
        <v>6.2553940000000002E-2</v>
      </c>
      <c r="AA5969">
        <v>0.7930509</v>
      </c>
      <c r="AB5969">
        <v>19</v>
      </c>
      <c r="AC5969">
        <v>-1.1647000000000101</v>
      </c>
      <c r="AD5969">
        <v>-1.1035587369840001</v>
      </c>
      <c r="AE5969">
        <v>-11.563700000000001</v>
      </c>
      <c r="AF5969">
        <v>7.0534306816786696</v>
      </c>
      <c r="AG5969">
        <v>-1.1035587369840001</v>
      </c>
      <c r="AH5969">
        <v>9.1061333304255605</v>
      </c>
      <c r="AI5969">
        <v>95.472729281159303</v>
      </c>
      <c r="AJ5969">
        <v>52.239345444557301</v>
      </c>
      <c r="AK5969">
        <v>11.571101524863799</v>
      </c>
      <c r="AL5969">
        <v>90.170374242497104</v>
      </c>
      <c r="AM5969">
        <v>73.552237073875105</v>
      </c>
      <c r="AN5969">
        <v>0.99999996301984195</v>
      </c>
    </row>
    <row r="5970" spans="1:40" x14ac:dyDescent="0.25">
      <c r="A5970" t="str">
        <f>"20190312150812992"</f>
        <v>20190312150812992</v>
      </c>
      <c r="B5970" t="str">
        <f>"1552374492986288"</f>
        <v>1552374492986288</v>
      </c>
      <c r="C5970" t="s">
        <v>40</v>
      </c>
      <c r="D5970">
        <v>5.006723</v>
      </c>
      <c r="E5970">
        <v>0.64447129999999997</v>
      </c>
      <c r="F5970" t="s">
        <v>42</v>
      </c>
      <c r="G5970">
        <v>-192.97489999999999</v>
      </c>
      <c r="H5970" s="1">
        <v>-2.7361270000000001E-6</v>
      </c>
      <c r="I5970">
        <v>194.12200000000001</v>
      </c>
      <c r="J5970">
        <v>-191.73480000000001</v>
      </c>
      <c r="K5970">
        <v>1.103575</v>
      </c>
      <c r="L5970">
        <v>205.57149999999999</v>
      </c>
      <c r="M5970">
        <v>0.52122349999999995</v>
      </c>
      <c r="N5970">
        <v>0</v>
      </c>
      <c r="O5970">
        <v>-0.85328369999999998</v>
      </c>
      <c r="P5970">
        <v>0.25931070000000001</v>
      </c>
      <c r="Q5970">
        <v>-1.2605420000000001E-2</v>
      </c>
      <c r="R5970">
        <v>-0.96571209999999996</v>
      </c>
      <c r="S5970">
        <v>-0.32550050000000003</v>
      </c>
      <c r="T5970">
        <v>-0.30523030000000001</v>
      </c>
      <c r="U5970">
        <v>-3.2010040000000002</v>
      </c>
      <c r="V5970">
        <v>0.28211199999999997</v>
      </c>
      <c r="W5970">
        <v>-2.8287009999999999E-3</v>
      </c>
      <c r="X5970">
        <v>0.95937729999999999</v>
      </c>
      <c r="Y5970">
        <v>0.60445199999999999</v>
      </c>
      <c r="Z5970">
        <v>6.4056180000000004E-2</v>
      </c>
      <c r="AA5970">
        <v>0.79406199999999905</v>
      </c>
      <c r="AB5970">
        <v>18</v>
      </c>
      <c r="AC5970">
        <v>-1.24009999999998</v>
      </c>
      <c r="AD5970">
        <v>-1.1035777361270001</v>
      </c>
      <c r="AE5970">
        <v>-11.449499999999899</v>
      </c>
      <c r="AF5970">
        <v>6.9627874159267797</v>
      </c>
      <c r="AG5970">
        <v>-1.1035777361270001</v>
      </c>
      <c r="AH5970">
        <v>9.0413420513385194</v>
      </c>
      <c r="AI5970">
        <v>95.523671724490399</v>
      </c>
      <c r="AJ5970">
        <v>52.399933571133097</v>
      </c>
      <c r="AK5970">
        <v>11.4649098778998</v>
      </c>
      <c r="AL5970">
        <v>90.162072846090695</v>
      </c>
      <c r="AM5970">
        <v>73.613636482307896</v>
      </c>
      <c r="AN5970">
        <v>0.99999999292431796</v>
      </c>
    </row>
    <row r="5971" spans="1:40" x14ac:dyDescent="0.25">
      <c r="A5971" t="str">
        <f>"20190312150813007"</f>
        <v>20190312150813007</v>
      </c>
      <c r="B5971" t="str">
        <f>"1552374492996047"</f>
        <v>1552374492996047</v>
      </c>
      <c r="C5971" t="s">
        <v>40</v>
      </c>
      <c r="D5971">
        <v>5.0255589999999897</v>
      </c>
      <c r="E5971">
        <v>0.64447129999999997</v>
      </c>
      <c r="F5971" t="s">
        <v>42</v>
      </c>
      <c r="G5971">
        <v>-192.99879999999999</v>
      </c>
      <c r="H5971" s="1">
        <v>-2.708378E-6</v>
      </c>
      <c r="I5971">
        <v>194.04249999999999</v>
      </c>
      <c r="J5971">
        <v>-191.67250000000001</v>
      </c>
      <c r="K5971">
        <v>1.103599</v>
      </c>
      <c r="L5971">
        <v>205.44649999999999</v>
      </c>
      <c r="M5971">
        <v>0.51235120000000001</v>
      </c>
      <c r="N5971">
        <v>0</v>
      </c>
      <c r="O5971">
        <v>-0.85864069999999904</v>
      </c>
      <c r="P5971">
        <v>0.25201889999999999</v>
      </c>
      <c r="Q5971">
        <v>-1.296158E-2</v>
      </c>
      <c r="R5971">
        <v>-0.96763589999999999</v>
      </c>
      <c r="S5971">
        <v>-0.3504486</v>
      </c>
      <c r="T5971">
        <v>-0.30598579999999997</v>
      </c>
      <c r="U5971">
        <v>-3.196625</v>
      </c>
      <c r="V5971">
        <v>0.27939580000000003</v>
      </c>
      <c r="W5971">
        <v>-3.1201060000000001E-3</v>
      </c>
      <c r="X5971">
        <v>0.960171</v>
      </c>
      <c r="Y5971">
        <v>0.60243210000000003</v>
      </c>
      <c r="Z5971">
        <v>6.5105270000000007E-2</v>
      </c>
      <c r="AA5971">
        <v>0.79551050000000001</v>
      </c>
      <c r="AB5971">
        <v>18</v>
      </c>
      <c r="AC5971">
        <v>-1.3262999999999701</v>
      </c>
      <c r="AD5971">
        <v>-1.1036017083779901</v>
      </c>
      <c r="AE5971">
        <v>-11.4039999999999</v>
      </c>
      <c r="AF5971">
        <v>6.9185517175236804</v>
      </c>
      <c r="AG5971">
        <v>-1.1036017083779901</v>
      </c>
      <c r="AH5971">
        <v>9.0300280532017503</v>
      </c>
      <c r="AI5971">
        <v>95.541124169923705</v>
      </c>
      <c r="AJ5971">
        <v>52.541686742877303</v>
      </c>
      <c r="AK5971">
        <v>11.429160128390601</v>
      </c>
      <c r="AL5971">
        <v>90.178769186786496</v>
      </c>
      <c r="AM5971">
        <v>73.775772174925393</v>
      </c>
      <c r="AN5971">
        <v>1.00000004868004</v>
      </c>
    </row>
    <row r="5972" spans="1:40" x14ac:dyDescent="0.25">
      <c r="A5972" t="str">
        <f>"20190312150813023"</f>
        <v>20190312150813023</v>
      </c>
      <c r="B5972" t="str">
        <f>"1552374493016544"</f>
        <v>1552374493016544</v>
      </c>
      <c r="C5972" t="s">
        <v>40</v>
      </c>
      <c r="D5972">
        <v>5.0579910000000003</v>
      </c>
      <c r="E5972">
        <v>0.632463</v>
      </c>
      <c r="F5972" t="s">
        <v>42</v>
      </c>
      <c r="G5972">
        <v>-193.02449999999999</v>
      </c>
      <c r="H5972" s="1">
        <v>-2.6669170000000001E-6</v>
      </c>
      <c r="I5972">
        <v>193.9299</v>
      </c>
      <c r="J5972">
        <v>-191.6147</v>
      </c>
      <c r="K5972">
        <v>1.103618</v>
      </c>
      <c r="L5972">
        <v>205.32740000000001</v>
      </c>
      <c r="M5972">
        <v>0.503888</v>
      </c>
      <c r="N5972">
        <v>0</v>
      </c>
      <c r="O5972">
        <v>-0.86363429999999997</v>
      </c>
      <c r="P5972">
        <v>0.24400859999999999</v>
      </c>
      <c r="Q5972">
        <v>-1.285004E-2</v>
      </c>
      <c r="R5972">
        <v>-0.96968799999999999</v>
      </c>
      <c r="S5972">
        <v>-0.37493900000000002</v>
      </c>
      <c r="T5972">
        <v>-0.306060099999999</v>
      </c>
      <c r="U5972">
        <v>-3.1938930000000001</v>
      </c>
      <c r="V5972">
        <v>0.27790219999999999</v>
      </c>
      <c r="W5972">
        <v>-2.9709879999999999E-3</v>
      </c>
      <c r="X5972">
        <v>0.96060480000000004</v>
      </c>
      <c r="Y5972">
        <v>0.60068580000000005</v>
      </c>
      <c r="Z5972">
        <v>6.5918749999999998E-2</v>
      </c>
      <c r="AA5972">
        <v>0.796763</v>
      </c>
      <c r="AB5972">
        <v>18</v>
      </c>
      <c r="AC5972">
        <v>-1.40979999999999</v>
      </c>
      <c r="AD5972">
        <v>-1.1036206669169999</v>
      </c>
      <c r="AE5972">
        <v>-11.397500000000001</v>
      </c>
      <c r="AF5972">
        <v>6.8977261514532202</v>
      </c>
      <c r="AG5972">
        <v>-1.1036206669169999</v>
      </c>
      <c r="AH5972">
        <v>9.0503752180753292</v>
      </c>
      <c r="AI5972">
        <v>95.539514162821902</v>
      </c>
      <c r="AJ5972">
        <v>52.687231837522397</v>
      </c>
      <c r="AK5972">
        <v>11.4326679399359</v>
      </c>
      <c r="AL5972">
        <v>90.170225320291195</v>
      </c>
      <c r="AM5972">
        <v>73.864885919850707</v>
      </c>
      <c r="AN5972">
        <v>1.00000002065878</v>
      </c>
    </row>
    <row r="5973" spans="1:40" x14ac:dyDescent="0.25">
      <c r="A5973" t="str">
        <f>"20190312150813036"</f>
        <v>20190312150813036</v>
      </c>
      <c r="B5973" t="str">
        <f>"1552374493026303"</f>
        <v>1552374493026303</v>
      </c>
      <c r="C5973" t="s">
        <v>40</v>
      </c>
      <c r="D5973">
        <v>4.9869500000000002</v>
      </c>
      <c r="E5973">
        <v>0.63136440000000005</v>
      </c>
      <c r="F5973" t="s">
        <v>42</v>
      </c>
      <c r="G5973">
        <v>-192.70660000000001</v>
      </c>
      <c r="H5973" s="1">
        <v>-2.6631270000000001E-6</v>
      </c>
      <c r="I5973">
        <v>194.1182</v>
      </c>
      <c r="J5973">
        <v>-191.56800000000001</v>
      </c>
      <c r="K5973">
        <v>1.1036349999999999</v>
      </c>
      <c r="L5973">
        <v>205.2285</v>
      </c>
      <c r="M5973">
        <v>0.49685810000000002</v>
      </c>
      <c r="N5973">
        <v>0</v>
      </c>
      <c r="O5973">
        <v>-0.86769810000000003</v>
      </c>
      <c r="P5973">
        <v>0.2375738</v>
      </c>
      <c r="Q5973">
        <v>-1.2337600000000001E-2</v>
      </c>
      <c r="R5973">
        <v>-0.97129140000000003</v>
      </c>
      <c r="S5973">
        <v>-0.30853269999999999</v>
      </c>
      <c r="T5973">
        <v>-0.31184479999999998</v>
      </c>
      <c r="U5973">
        <v>-3.1673279999999999</v>
      </c>
      <c r="V5973">
        <v>0.27648270000000003</v>
      </c>
      <c r="W5973">
        <v>-2.4237490000000002E-3</v>
      </c>
      <c r="X5973">
        <v>0.96101579999999998</v>
      </c>
      <c r="Y5973">
        <v>0.57821509999999998</v>
      </c>
      <c r="Z5973">
        <v>6.9225880000000004E-2</v>
      </c>
      <c r="AA5973">
        <v>0.81294230000000001</v>
      </c>
      <c r="AB5973">
        <v>18</v>
      </c>
      <c r="AC5973">
        <v>-1.13860000000002</v>
      </c>
      <c r="AD5973">
        <v>-1.103637663127</v>
      </c>
      <c r="AE5973">
        <v>-11.110299999999899</v>
      </c>
      <c r="AF5973">
        <v>6.4460146548246602</v>
      </c>
      <c r="AG5973">
        <v>-1.103637663127</v>
      </c>
      <c r="AH5973">
        <v>8.98795088397355</v>
      </c>
      <c r="AI5973">
        <v>95.698226978644101</v>
      </c>
      <c r="AJ5973">
        <v>54.352514153989297</v>
      </c>
      <c r="AK5973">
        <v>11.115411918341399</v>
      </c>
      <c r="AL5973">
        <v>90.138870729418201</v>
      </c>
      <c r="AM5973">
        <v>73.949558066448205</v>
      </c>
      <c r="AN5973">
        <v>0.999999962904071</v>
      </c>
    </row>
    <row r="5974" spans="1:40" x14ac:dyDescent="0.25">
      <c r="A5974" t="str">
        <f>"20190312150813048"</f>
        <v>20190312150813048</v>
      </c>
      <c r="B5974" t="str">
        <f>"1552374493045823"</f>
        <v>1552374493045823</v>
      </c>
      <c r="C5974" t="s">
        <v>40</v>
      </c>
      <c r="D5974">
        <v>4.9412779999999996</v>
      </c>
      <c r="E5974">
        <v>0.62914769999999998</v>
      </c>
      <c r="F5974" t="s">
        <v>42</v>
      </c>
      <c r="G5974">
        <v>-192.71799999999999</v>
      </c>
      <c r="H5974" s="1">
        <v>-2.5687480000000001E-6</v>
      </c>
      <c r="I5974">
        <v>193.8912</v>
      </c>
      <c r="J5974">
        <v>-191.52250000000001</v>
      </c>
      <c r="K5974">
        <v>1.1036520000000001</v>
      </c>
      <c r="L5974">
        <v>205.13050000000001</v>
      </c>
      <c r="M5974">
        <v>0.48988110000000001</v>
      </c>
      <c r="N5974">
        <v>0</v>
      </c>
      <c r="O5974">
        <v>-0.87165599999999999</v>
      </c>
      <c r="P5974">
        <v>0.2310876</v>
      </c>
      <c r="Q5974">
        <v>-1.24566E-2</v>
      </c>
      <c r="R5974">
        <v>-0.97285310000000003</v>
      </c>
      <c r="S5974">
        <v>-0.32084659999999998</v>
      </c>
      <c r="T5974">
        <v>-0.30792920000000001</v>
      </c>
      <c r="U5974">
        <v>-3.1632539999999998</v>
      </c>
      <c r="V5974">
        <v>0.27518280000000001</v>
      </c>
      <c r="W5974">
        <v>-2.51082E-3</v>
      </c>
      <c r="X5974">
        <v>0.96138860000000004</v>
      </c>
      <c r="Y5974">
        <v>0.57491569999999903</v>
      </c>
      <c r="Z5974">
        <v>6.9124519999999995E-2</v>
      </c>
      <c r="AA5974">
        <v>0.81528750000000005</v>
      </c>
      <c r="AB5974">
        <v>18</v>
      </c>
      <c r="AC5974">
        <v>-1.19549999999998</v>
      </c>
      <c r="AD5974">
        <v>-1.1036545687479999</v>
      </c>
      <c r="AE5974">
        <v>-11.2393</v>
      </c>
      <c r="AF5974">
        <v>6.4868963042607799</v>
      </c>
      <c r="AG5974">
        <v>-1.1036545687479999</v>
      </c>
      <c r="AH5974">
        <v>9.1252154744137499</v>
      </c>
      <c r="AI5974">
        <v>95.6298117190548</v>
      </c>
      <c r="AJ5974">
        <v>54.591893976435699</v>
      </c>
      <c r="AK5974">
        <v>11.2502193100326</v>
      </c>
      <c r="AL5974">
        <v>90.143859546180494</v>
      </c>
      <c r="AM5974">
        <v>74.027039489510997</v>
      </c>
      <c r="AN5974">
        <v>0.99999995892143501</v>
      </c>
    </row>
    <row r="5975" spans="1:40" x14ac:dyDescent="0.25">
      <c r="A5975" t="str">
        <f>"20190312150813065"</f>
        <v>20190312150813065</v>
      </c>
      <c r="B5975" t="str">
        <f>"1552374493056558"</f>
        <v>1552374493056558</v>
      </c>
      <c r="C5975" t="s">
        <v>40</v>
      </c>
      <c r="D5975">
        <v>5.0292209999999997</v>
      </c>
      <c r="E5975">
        <v>0.62852750000000002</v>
      </c>
      <c r="F5975" t="s">
        <v>42</v>
      </c>
      <c r="G5975">
        <v>-192.721</v>
      </c>
      <c r="H5975" s="1">
        <v>-2.379216E-6</v>
      </c>
      <c r="I5975">
        <v>193.44749999999999</v>
      </c>
      <c r="J5975">
        <v>-191.46629999999999</v>
      </c>
      <c r="K5975">
        <v>1.103664</v>
      </c>
      <c r="L5975">
        <v>205.0068</v>
      </c>
      <c r="M5975">
        <v>0.48106959999999999</v>
      </c>
      <c r="N5975">
        <v>0</v>
      </c>
      <c r="O5975">
        <v>-0.8765501</v>
      </c>
      <c r="P5975">
        <v>0.22389139999999999</v>
      </c>
      <c r="Q5975">
        <v>-1.2466700000000001E-2</v>
      </c>
      <c r="R5975">
        <v>-0.97453449999999997</v>
      </c>
      <c r="S5975">
        <v>-0.32385249999999999</v>
      </c>
      <c r="T5975">
        <v>-0.29821690000000001</v>
      </c>
      <c r="U5975">
        <v>-3.1568450000000001</v>
      </c>
      <c r="V5975">
        <v>0.27259620000000001</v>
      </c>
      <c r="W5975">
        <v>-2.4604890000000002E-3</v>
      </c>
      <c r="X5975">
        <v>0.96212540000000002</v>
      </c>
      <c r="Y5975">
        <v>0.56761499999999998</v>
      </c>
      <c r="Z5975">
        <v>6.8027009999999999E-2</v>
      </c>
      <c r="AA5975">
        <v>0.82047890000000001</v>
      </c>
      <c r="AB5975">
        <v>18</v>
      </c>
      <c r="AC5975">
        <v>-1.2546999999999799</v>
      </c>
      <c r="AD5975">
        <v>-1.103666379216</v>
      </c>
      <c r="AE5975">
        <v>-11.5593</v>
      </c>
      <c r="AF5975">
        <v>6.6019244253489902</v>
      </c>
      <c r="AG5975">
        <v>-1.103666379216</v>
      </c>
      <c r="AH5975">
        <v>9.4447158311490398</v>
      </c>
      <c r="AI5975">
        <v>95.470893145617495</v>
      </c>
      <c r="AJ5975">
        <v>55.046174054088397</v>
      </c>
      <c r="AK5975">
        <v>11.576102225092299</v>
      </c>
      <c r="AL5975">
        <v>90.140975775538806</v>
      </c>
      <c r="AM5975">
        <v>74.181136624547904</v>
      </c>
      <c r="AN5975">
        <v>1.00000001379285</v>
      </c>
    </row>
    <row r="5976" spans="1:40" x14ac:dyDescent="0.25">
      <c r="A5976" t="str">
        <f>"20190312150813087"</f>
        <v>20190312150813087</v>
      </c>
      <c r="B5976" t="str">
        <f>"1552374493076080"</f>
        <v>1552374493076080</v>
      </c>
      <c r="C5976" t="s">
        <v>40</v>
      </c>
      <c r="D5976">
        <v>5.0570729999999999</v>
      </c>
      <c r="E5976">
        <v>0.60719199999999995</v>
      </c>
      <c r="F5976" t="s">
        <v>42</v>
      </c>
      <c r="G5976">
        <v>-192.72040000000001</v>
      </c>
      <c r="H5976" s="1">
        <v>-2.3769230000000001E-6</v>
      </c>
      <c r="I5976">
        <v>193.4425</v>
      </c>
      <c r="J5976">
        <v>-191.39070000000001</v>
      </c>
      <c r="K5976">
        <v>1.103688</v>
      </c>
      <c r="L5976">
        <v>204.83430000000001</v>
      </c>
      <c r="M5976">
        <v>0.46876469999999998</v>
      </c>
      <c r="N5976">
        <v>0</v>
      </c>
      <c r="O5976">
        <v>-0.88319190000000003</v>
      </c>
      <c r="P5976">
        <v>0.21272650000000001</v>
      </c>
      <c r="Q5976">
        <v>-1.26538E-2</v>
      </c>
      <c r="R5976">
        <v>-0.97702990000000001</v>
      </c>
      <c r="S5976">
        <v>-0.34194950000000002</v>
      </c>
      <c r="T5976">
        <v>-0.3009212</v>
      </c>
      <c r="U5976">
        <v>-3.1530909999999999</v>
      </c>
      <c r="V5976">
        <v>0.27014510000000003</v>
      </c>
      <c r="W5976">
        <v>-2.5882560000000002E-3</v>
      </c>
      <c r="X5976">
        <v>0.96281609999999995</v>
      </c>
      <c r="Y5976">
        <v>0.56083609999999995</v>
      </c>
      <c r="Z5976">
        <v>6.9865239999999995E-2</v>
      </c>
      <c r="AA5976">
        <v>0.82497379999999998</v>
      </c>
      <c r="AB5976">
        <v>18</v>
      </c>
      <c r="AC5976">
        <v>-1.3297000000000001</v>
      </c>
      <c r="AD5976">
        <v>-1.103690376923</v>
      </c>
      <c r="AE5976">
        <v>-11.3918</v>
      </c>
      <c r="AF5976">
        <v>6.45542863178229</v>
      </c>
      <c r="AG5976">
        <v>-1.103690376923</v>
      </c>
      <c r="AH5976">
        <v>9.3523159676003598</v>
      </c>
      <c r="AI5976">
        <v>95.547307620454504</v>
      </c>
      <c r="AJ5976">
        <v>55.3846526448242</v>
      </c>
      <c r="AK5976">
        <v>11.4173773357098</v>
      </c>
      <c r="AL5976">
        <v>90.148296316862499</v>
      </c>
      <c r="AM5976">
        <v>74.327044155874006</v>
      </c>
      <c r="AN5976">
        <v>0.99999995827116905</v>
      </c>
    </row>
    <row r="5977" spans="1:40" x14ac:dyDescent="0.25">
      <c r="A5977" t="str">
        <f>"20190312150813109"</f>
        <v>20190312150813109</v>
      </c>
      <c r="B5977" t="str">
        <f>"1552374493106335"</f>
        <v>1552374493106335</v>
      </c>
      <c r="C5977" t="s">
        <v>40</v>
      </c>
      <c r="D5977">
        <v>4.9075680000000004</v>
      </c>
      <c r="E5977">
        <v>0.59472950000000002</v>
      </c>
      <c r="F5977" t="s">
        <v>42</v>
      </c>
      <c r="G5977">
        <v>-192.21039999999999</v>
      </c>
      <c r="H5977" s="1">
        <v>-1.9144179999999999E-6</v>
      </c>
      <c r="I5977">
        <v>192.6807</v>
      </c>
      <c r="J5977">
        <v>-191.31880000000001</v>
      </c>
      <c r="K5977">
        <v>1.1037170000000001</v>
      </c>
      <c r="L5977">
        <v>204.66380000000001</v>
      </c>
      <c r="M5977">
        <v>0.45657959999999898</v>
      </c>
      <c r="N5977">
        <v>0</v>
      </c>
      <c r="O5977">
        <v>-0.88955260000000003</v>
      </c>
      <c r="P5977">
        <v>0.20228840000000001</v>
      </c>
      <c r="Q5977">
        <v>-1.3066970000000001E-2</v>
      </c>
      <c r="R5977">
        <v>-0.97923919999999998</v>
      </c>
      <c r="S5977">
        <v>-0.2099152</v>
      </c>
      <c r="T5977">
        <v>-0.28266160000000001</v>
      </c>
      <c r="U5977">
        <v>-3.1126100000000001</v>
      </c>
      <c r="V5977">
        <v>0.26717390000000002</v>
      </c>
      <c r="W5977">
        <v>-2.9315560000000001E-3</v>
      </c>
      <c r="X5977">
        <v>0.96364380000000005</v>
      </c>
      <c r="Y5977">
        <v>0.51514199999999999</v>
      </c>
      <c r="Z5977">
        <v>6.8866360000000001E-2</v>
      </c>
      <c r="AA5977">
        <v>0.85433379999999903</v>
      </c>
      <c r="AB5977">
        <v>18</v>
      </c>
      <c r="AC5977">
        <v>-0.89159999999998196</v>
      </c>
      <c r="AD5977">
        <v>-1.103718914418</v>
      </c>
      <c r="AE5977">
        <v>-11.9831</v>
      </c>
      <c r="AF5977">
        <v>6.2126730510158099</v>
      </c>
      <c r="AG5977">
        <v>-1.103718914418</v>
      </c>
      <c r="AH5977">
        <v>10.167911725682</v>
      </c>
      <c r="AI5977">
        <v>95.292055081749695</v>
      </c>
      <c r="AJ5977">
        <v>58.5747456846033</v>
      </c>
      <c r="AK5977">
        <v>11.9667009130388</v>
      </c>
      <c r="AL5977">
        <v>90.167966038536605</v>
      </c>
      <c r="AM5977">
        <v>74.503764228109802</v>
      </c>
      <c r="AN5977">
        <v>0.99999993007011301</v>
      </c>
    </row>
    <row r="5978" spans="1:40" x14ac:dyDescent="0.25">
      <c r="A5978" t="str">
        <f>"20190312150813124"</f>
        <v>20190312150813124</v>
      </c>
      <c r="B5978" t="str">
        <f>"1552374493116095"</f>
        <v>1552374493116095</v>
      </c>
      <c r="C5978" t="s">
        <v>40</v>
      </c>
      <c r="D5978">
        <v>4.8982599999999996</v>
      </c>
      <c r="E5978">
        <v>0.59351390000000004</v>
      </c>
      <c r="F5978" t="s">
        <v>42</v>
      </c>
      <c r="G5978">
        <v>-192.08779999999999</v>
      </c>
      <c r="H5978" s="1">
        <v>-4.0827340000000004E-6</v>
      </c>
      <c r="I5978">
        <v>187.89580000000001</v>
      </c>
      <c r="J5978">
        <v>-191.26830000000001</v>
      </c>
      <c r="K5978">
        <v>1.1037360000000001</v>
      </c>
      <c r="L5978">
        <v>204.54040000000001</v>
      </c>
      <c r="M5978">
        <v>0.44774370000000002</v>
      </c>
      <c r="N5978">
        <v>0</v>
      </c>
      <c r="O5978">
        <v>-0.89403259999999996</v>
      </c>
      <c r="P5978">
        <v>0.1940539</v>
      </c>
      <c r="Q5978">
        <v>-1.3071920000000001E-2</v>
      </c>
      <c r="R5978">
        <v>-0.98090409999999995</v>
      </c>
      <c r="S5978">
        <v>-0.14170839999999901</v>
      </c>
      <c r="T5978">
        <v>-0.20340449999999999</v>
      </c>
      <c r="U5978">
        <v>-3.0901640000000001</v>
      </c>
      <c r="V5978">
        <v>0.26572259999999998</v>
      </c>
      <c r="W5978">
        <v>-2.9006610000000001E-3</v>
      </c>
      <c r="X5978">
        <v>0.96404520000000005</v>
      </c>
      <c r="Y5978">
        <v>0.4881548</v>
      </c>
      <c r="Z5978">
        <v>5.1014440000000001E-2</v>
      </c>
      <c r="AA5978">
        <v>0.87126489999999901</v>
      </c>
      <c r="AB5978">
        <v>18</v>
      </c>
      <c r="AC5978">
        <v>-0.81949999999997603</v>
      </c>
      <c r="AD5978">
        <v>-1.103740082734</v>
      </c>
      <c r="AE5978">
        <v>-16.644599999999901</v>
      </c>
      <c r="AF5978">
        <v>8.1503682285311392</v>
      </c>
      <c r="AG5978">
        <v>-1.103740082734</v>
      </c>
      <c r="AH5978">
        <v>14.452170828133699</v>
      </c>
      <c r="AI5978">
        <v>93.805851872586004</v>
      </c>
      <c r="AJ5978">
        <v>60.578975200811797</v>
      </c>
      <c r="AK5978">
        <v>16.628649556606899</v>
      </c>
      <c r="AL5978">
        <v>90.166195861034893</v>
      </c>
      <c r="AM5978">
        <v>74.590039828073202</v>
      </c>
      <c r="AN5978">
        <v>1.00000003081401</v>
      </c>
    </row>
    <row r="5979" spans="1:40" x14ac:dyDescent="0.25">
      <c r="A5979" t="str">
        <f>"20190312150813137"</f>
        <v>20190312150813137</v>
      </c>
      <c r="B5979" t="str">
        <f>"1552374493125855"</f>
        <v>1552374493125855</v>
      </c>
      <c r="C5979" t="s">
        <v>40</v>
      </c>
      <c r="D5979">
        <v>4.9363510000000002</v>
      </c>
      <c r="E5979">
        <v>0.59138819999999903</v>
      </c>
      <c r="F5979" t="s">
        <v>42</v>
      </c>
      <c r="G5979">
        <v>-192.2131</v>
      </c>
      <c r="H5979" s="1">
        <v>-3.3419550000000002E-6</v>
      </c>
      <c r="I5979">
        <v>186.0067</v>
      </c>
      <c r="J5979">
        <v>-191.22919999999999</v>
      </c>
      <c r="K5979">
        <v>1.1037520000000001</v>
      </c>
      <c r="L5979">
        <v>204.44159999999999</v>
      </c>
      <c r="M5979">
        <v>0.44067410000000001</v>
      </c>
      <c r="N5979">
        <v>0</v>
      </c>
      <c r="O5979">
        <v>-0.89753839999999996</v>
      </c>
      <c r="P5979">
        <v>0.1880793</v>
      </c>
      <c r="Q5979">
        <v>-1.258627E-2</v>
      </c>
      <c r="R5979">
        <v>-0.98207330000000004</v>
      </c>
      <c r="S5979">
        <v>-0.1573639</v>
      </c>
      <c r="T5979">
        <v>-0.18384529999999999</v>
      </c>
      <c r="U5979">
        <v>-3.0870820000000001</v>
      </c>
      <c r="V5979">
        <v>0.2639939</v>
      </c>
      <c r="W5979">
        <v>-2.3743430000000001E-3</v>
      </c>
      <c r="X5979">
        <v>0.96452139999999997</v>
      </c>
      <c r="Y5979">
        <v>0.48573919999999998</v>
      </c>
      <c r="Z5979">
        <v>4.651657E-2</v>
      </c>
      <c r="AA5979">
        <v>0.87286520000000001</v>
      </c>
      <c r="AB5979">
        <v>18</v>
      </c>
      <c r="AC5979">
        <v>-0.98390000000000499</v>
      </c>
      <c r="AD5979">
        <v>-1.1037553419549999</v>
      </c>
      <c r="AE5979">
        <v>-18.434899999999999</v>
      </c>
      <c r="AF5979">
        <v>8.9758270984472794</v>
      </c>
      <c r="AG5979">
        <v>-1.1037553419549999</v>
      </c>
      <c r="AH5979">
        <v>16.0569167651574</v>
      </c>
      <c r="AI5979">
        <v>93.433731140308794</v>
      </c>
      <c r="AJ5979">
        <v>60.794780737900801</v>
      </c>
      <c r="AK5979">
        <v>18.428465046207901</v>
      </c>
      <c r="AL5979">
        <v>90.136039964388203</v>
      </c>
      <c r="AM5979">
        <v>74.692776637612596</v>
      </c>
      <c r="AN5979">
        <v>0.99999997389992501</v>
      </c>
    </row>
    <row r="5980" spans="1:40" x14ac:dyDescent="0.25">
      <c r="A5980" t="str">
        <f>"20190312150813150"</f>
        <v>20190312150813150</v>
      </c>
      <c r="B5980" t="str">
        <f>"1552374493146351"</f>
        <v>1552374493146351</v>
      </c>
      <c r="C5980" t="s">
        <v>40</v>
      </c>
      <c r="D5980">
        <v>5.0009819999999996</v>
      </c>
      <c r="E5980">
        <v>0.58918149999999903</v>
      </c>
      <c r="F5980" t="s">
        <v>42</v>
      </c>
      <c r="G5980">
        <v>-192.2353</v>
      </c>
      <c r="H5980" s="1">
        <v>-2.8961300000000001E-6</v>
      </c>
      <c r="I5980">
        <v>184.95359999999999</v>
      </c>
      <c r="J5980">
        <v>-191.19220000000001</v>
      </c>
      <c r="K5980">
        <v>1.1037709999999901</v>
      </c>
      <c r="L5980">
        <v>204.34639999999999</v>
      </c>
      <c r="M5980">
        <v>0.43384790000000001</v>
      </c>
      <c r="N5980">
        <v>0</v>
      </c>
      <c r="O5980">
        <v>-0.90085800000000005</v>
      </c>
      <c r="P5980">
        <v>0.1826207</v>
      </c>
      <c r="Q5980">
        <v>-1.227316E-2</v>
      </c>
      <c r="R5980">
        <v>-0.98310719999999996</v>
      </c>
      <c r="S5980">
        <v>-0.15916440000000001</v>
      </c>
      <c r="T5980">
        <v>-0.1746154</v>
      </c>
      <c r="U5980">
        <v>-3.0830229999999998</v>
      </c>
      <c r="V5980">
        <v>0.26203710000000002</v>
      </c>
      <c r="W5980">
        <v>-2.0161290000000002E-3</v>
      </c>
      <c r="X5980">
        <v>0.96505569999999896</v>
      </c>
      <c r="Y5980">
        <v>0.47967109999999902</v>
      </c>
      <c r="Z5980">
        <v>4.4622750000000003E-2</v>
      </c>
      <c r="AA5980">
        <v>0.87631299999999901</v>
      </c>
      <c r="AB5980">
        <v>18</v>
      </c>
      <c r="AC5980">
        <v>-1.0430999999999799</v>
      </c>
      <c r="AD5980">
        <v>-1.1037738961300001</v>
      </c>
      <c r="AE5980">
        <v>-19.392799999999902</v>
      </c>
      <c r="AF5980">
        <v>9.3241717778938398</v>
      </c>
      <c r="AG5980">
        <v>-1.1037738961300001</v>
      </c>
      <c r="AH5980">
        <v>16.964777980396999</v>
      </c>
      <c r="AI5980">
        <v>93.263363890339406</v>
      </c>
      <c r="AJ5980">
        <v>61.205949420347999</v>
      </c>
      <c r="AK5980">
        <v>19.389744404752001</v>
      </c>
      <c r="AL5980">
        <v>90.115515760296205</v>
      </c>
      <c r="AM5980">
        <v>74.808997613532497</v>
      </c>
      <c r="AN5980">
        <v>1.00000000532752</v>
      </c>
    </row>
    <row r="5981" spans="1:40" x14ac:dyDescent="0.25">
      <c r="A5981" t="str">
        <f>"20190312150813164"</f>
        <v>20190312150813164</v>
      </c>
      <c r="B5981" t="str">
        <f>"1552374493156111"</f>
        <v>1552374493156111</v>
      </c>
      <c r="C5981" t="s">
        <v>40</v>
      </c>
      <c r="D5981">
        <v>4.9099389999999996</v>
      </c>
      <c r="E5981">
        <v>0.58809389999999995</v>
      </c>
      <c r="F5981" t="s">
        <v>42</v>
      </c>
      <c r="G5981">
        <v>-192.3931</v>
      </c>
      <c r="H5981" s="1">
        <v>-1.2053699999999999E-6</v>
      </c>
      <c r="I5981">
        <v>180.91460000000001</v>
      </c>
      <c r="J5981">
        <v>-191.14519999999999</v>
      </c>
      <c r="K5981">
        <v>1.1037969999999999</v>
      </c>
      <c r="L5981">
        <v>204.22280000000001</v>
      </c>
      <c r="M5981">
        <v>0.42497479999999999</v>
      </c>
      <c r="N5981">
        <v>0</v>
      </c>
      <c r="O5981">
        <v>-0.90507749999999998</v>
      </c>
      <c r="P5981">
        <v>0.17639009999999999</v>
      </c>
      <c r="Q5981">
        <v>-1.114135E-2</v>
      </c>
      <c r="R5981">
        <v>-0.98425739999999995</v>
      </c>
      <c r="S5981">
        <v>-0.15780640000000001</v>
      </c>
      <c r="T5981">
        <v>-0.14504010000000001</v>
      </c>
      <c r="U5981">
        <v>-3.0790410000000001</v>
      </c>
      <c r="V5981">
        <v>0.2586907</v>
      </c>
      <c r="W5981">
        <v>-8.0905110000000001E-4</v>
      </c>
      <c r="X5981">
        <v>0.96595989999999998</v>
      </c>
      <c r="Y5981">
        <v>0.47072969999999997</v>
      </c>
      <c r="Z5981">
        <v>3.7543470000000002E-2</v>
      </c>
      <c r="AA5981">
        <v>0.88147830000000005</v>
      </c>
      <c r="AB5981">
        <v>18</v>
      </c>
      <c r="AC5981">
        <v>-1.24790000000001</v>
      </c>
      <c r="AD5981">
        <v>-1.10379820537</v>
      </c>
      <c r="AE5981">
        <v>-23.308199999999999</v>
      </c>
      <c r="AF5981">
        <v>11.0114949870452</v>
      </c>
      <c r="AG5981">
        <v>-1.10379820537</v>
      </c>
      <c r="AH5981">
        <v>20.521886566647598</v>
      </c>
      <c r="AI5981">
        <v>92.7134840472458</v>
      </c>
      <c r="AJ5981">
        <v>61.783183977901501</v>
      </c>
      <c r="AK5981">
        <v>23.315643259027802</v>
      </c>
      <c r="AL5981">
        <v>90.046355217078101</v>
      </c>
      <c r="AM5981">
        <v>75.007608353218203</v>
      </c>
      <c r="AN5981">
        <v>1.0000000306190899</v>
      </c>
    </row>
    <row r="5982" spans="1:40" x14ac:dyDescent="0.25">
      <c r="A5982" t="str">
        <f>"20190312150813179"</f>
        <v>20190312150813179</v>
      </c>
      <c r="B5982" t="str">
        <f>"1552374493176609"</f>
        <v>1552374493176609</v>
      </c>
      <c r="C5982" t="s">
        <v>40</v>
      </c>
      <c r="D5982">
        <v>4.8634309999999896</v>
      </c>
      <c r="E5982">
        <v>0.58622929999999995</v>
      </c>
      <c r="F5982" t="s">
        <v>42</v>
      </c>
      <c r="G5982">
        <v>-192.58090000000001</v>
      </c>
      <c r="H5982" s="1">
        <v>-4.1869910000000003E-6</v>
      </c>
      <c r="I5982">
        <v>177.9452</v>
      </c>
      <c r="J5982">
        <v>-191.1035</v>
      </c>
      <c r="K5982">
        <v>1.1038159999999999</v>
      </c>
      <c r="L5982">
        <v>204.10900000000001</v>
      </c>
      <c r="M5982">
        <v>0.41679880000000002</v>
      </c>
      <c r="N5982">
        <v>0</v>
      </c>
      <c r="O5982">
        <v>-0.90887180000000001</v>
      </c>
      <c r="P5982">
        <v>0.16956879999999999</v>
      </c>
      <c r="Q5982">
        <v>-1.109045E-2</v>
      </c>
      <c r="R5982">
        <v>-0.985456</v>
      </c>
      <c r="S5982">
        <v>-0.16809079999999901</v>
      </c>
      <c r="T5982">
        <v>-0.1292354</v>
      </c>
      <c r="U5982">
        <v>-3.0766450000000001</v>
      </c>
      <c r="V5982">
        <v>0.25667430000000002</v>
      </c>
      <c r="W5982">
        <v>-7.1168199999999896E-4</v>
      </c>
      <c r="X5982">
        <v>0.96649770000000002</v>
      </c>
      <c r="Y5982">
        <v>0.46575759999999999</v>
      </c>
      <c r="Z5982">
        <v>3.3776540000000001E-2</v>
      </c>
      <c r="AA5982">
        <v>0.88426749999999898</v>
      </c>
      <c r="AB5982">
        <v>18</v>
      </c>
      <c r="AC5982">
        <v>-1.47740000000001</v>
      </c>
      <c r="AD5982">
        <v>-1.10382018699099</v>
      </c>
      <c r="AE5982">
        <v>-26.163799999999998</v>
      </c>
      <c r="AF5982">
        <v>12.2275267813857</v>
      </c>
      <c r="AG5982">
        <v>-1.10382018699099</v>
      </c>
      <c r="AH5982">
        <v>23.125405120700901</v>
      </c>
      <c r="AI5982">
        <v>92.416246052496604</v>
      </c>
      <c r="AJ5982">
        <v>62.132413162500299</v>
      </c>
      <c r="AK5982">
        <v>26.182345047593699</v>
      </c>
      <c r="AL5982">
        <v>90.040776378257306</v>
      </c>
      <c r="AM5982">
        <v>75.127178231143802</v>
      </c>
      <c r="AN5982">
        <v>1.0000000034385199</v>
      </c>
    </row>
    <row r="5983" spans="1:40" x14ac:dyDescent="0.25">
      <c r="A5983" t="str">
        <f>"20190312150813193"</f>
        <v>20190312150813193</v>
      </c>
      <c r="B5983" t="str">
        <f>"1552374493186367"</f>
        <v>1552374493186367</v>
      </c>
      <c r="C5983" t="s">
        <v>40</v>
      </c>
      <c r="D5983">
        <v>4.8577309999999896</v>
      </c>
      <c r="E5983">
        <v>0.58523019999999903</v>
      </c>
      <c r="F5983" t="s">
        <v>42</v>
      </c>
      <c r="G5983">
        <v>-192.79750000000001</v>
      </c>
      <c r="H5983" s="1">
        <v>-2.6992419999999998E-6</v>
      </c>
      <c r="I5983">
        <v>174.14599999999999</v>
      </c>
      <c r="J5983">
        <v>-191.06540000000001</v>
      </c>
      <c r="K5983">
        <v>1.1038319999999999</v>
      </c>
      <c r="L5983">
        <v>204.0026</v>
      </c>
      <c r="M5983">
        <v>0.40915040000000003</v>
      </c>
      <c r="N5983">
        <v>0</v>
      </c>
      <c r="O5983">
        <v>-0.91234079999999995</v>
      </c>
      <c r="P5983">
        <v>0.16333639999999999</v>
      </c>
      <c r="Q5983">
        <v>-1.074103E-2</v>
      </c>
      <c r="R5983">
        <v>-0.98651230000000001</v>
      </c>
      <c r="S5983">
        <v>-0.17373659999999999</v>
      </c>
      <c r="T5983">
        <v>-0.1132041</v>
      </c>
      <c r="U5983">
        <v>-3.0729060000000001</v>
      </c>
      <c r="V5983">
        <v>0.25467299999999998</v>
      </c>
      <c r="W5983">
        <v>-3.1662360000000002E-4</v>
      </c>
      <c r="X5983">
        <v>0.96702719999999998</v>
      </c>
      <c r="Y5983">
        <v>0.46000730000000001</v>
      </c>
      <c r="Z5983">
        <v>2.987391E-2</v>
      </c>
      <c r="AA5983">
        <v>0.88741239999999999</v>
      </c>
      <c r="AB5983">
        <v>18</v>
      </c>
      <c r="AC5983">
        <v>-1.7321</v>
      </c>
      <c r="AD5983">
        <v>-1.1038346992419901</v>
      </c>
      <c r="AE5983">
        <v>-29.8566</v>
      </c>
      <c r="AF5983">
        <v>13.778922812396299</v>
      </c>
      <c r="AG5983">
        <v>-1.1038346992419901</v>
      </c>
      <c r="AH5983">
        <v>26.497661946272601</v>
      </c>
      <c r="AI5983">
        <v>92.116656161908395</v>
      </c>
      <c r="AJ5983">
        <v>62.525332468290998</v>
      </c>
      <c r="AK5983">
        <v>29.886506211535799</v>
      </c>
      <c r="AL5983">
        <v>90.018141195889797</v>
      </c>
      <c r="AM5983">
        <v>75.245789830750198</v>
      </c>
      <c r="AN5983">
        <v>1.00000002135967</v>
      </c>
    </row>
    <row r="5984" spans="1:40" x14ac:dyDescent="0.25">
      <c r="A5984" t="str">
        <f>"20190312150813206"</f>
        <v>20190312150813206</v>
      </c>
      <c r="B5984" t="str">
        <f>"1552374493196127"</f>
        <v>1552374493196127</v>
      </c>
      <c r="C5984" t="s">
        <v>40</v>
      </c>
      <c r="D5984">
        <v>4.8764139999999996</v>
      </c>
      <c r="E5984">
        <v>0.58375259999999995</v>
      </c>
      <c r="F5984" t="s">
        <v>42</v>
      </c>
      <c r="G5984">
        <v>-192.90280000000001</v>
      </c>
      <c r="H5984" s="1">
        <v>-2.46716E-6</v>
      </c>
      <c r="I5984">
        <v>173.53970000000001</v>
      </c>
      <c r="J5984">
        <v>-191.029</v>
      </c>
      <c r="K5984">
        <v>1.10385</v>
      </c>
      <c r="L5984">
        <v>203.89879999999999</v>
      </c>
      <c r="M5984">
        <v>0.40167150000000001</v>
      </c>
      <c r="N5984">
        <v>0</v>
      </c>
      <c r="O5984">
        <v>-0.91565799999999997</v>
      </c>
      <c r="P5984">
        <v>0.15721889999999999</v>
      </c>
      <c r="Q5984">
        <v>-1.0815770000000001E-2</v>
      </c>
      <c r="R5984">
        <v>-0.98750470000000001</v>
      </c>
      <c r="S5984">
        <v>-0.1851959</v>
      </c>
      <c r="T5984">
        <v>-0.11125939999999999</v>
      </c>
      <c r="U5984">
        <v>-3.070465</v>
      </c>
      <c r="V5984">
        <v>0.25275219999999998</v>
      </c>
      <c r="W5984">
        <v>-3.4781690000000001E-4</v>
      </c>
      <c r="X5984">
        <v>0.96753100000000003</v>
      </c>
      <c r="Y5984">
        <v>0.45607979999999998</v>
      </c>
      <c r="Z5984">
        <v>2.959794E-2</v>
      </c>
      <c r="AA5984">
        <v>0.88944659999999998</v>
      </c>
      <c r="AB5984">
        <v>18</v>
      </c>
      <c r="AC5984">
        <v>-1.8737999999999799</v>
      </c>
      <c r="AD5984">
        <v>-1.1038524671600001</v>
      </c>
      <c r="AE5984">
        <v>-30.359099999999899</v>
      </c>
      <c r="AF5984">
        <v>13.893450174925</v>
      </c>
      <c r="AG5984">
        <v>-1.1038524671600001</v>
      </c>
      <c r="AH5984">
        <v>27.013440114932099</v>
      </c>
      <c r="AI5984">
        <v>92.081132194105507</v>
      </c>
      <c r="AJ5984">
        <v>62.782506596586003</v>
      </c>
      <c r="AK5984">
        <v>30.396914232786902</v>
      </c>
      <c r="AL5984">
        <v>90.019928440500806</v>
      </c>
      <c r="AM5984">
        <v>75.3595661598806</v>
      </c>
      <c r="AN5984">
        <v>1.0000000157712099</v>
      </c>
    </row>
    <row r="5985" spans="1:40" x14ac:dyDescent="0.25">
      <c r="A5985" t="str">
        <f>"20190312150813221"</f>
        <v>20190312150813221</v>
      </c>
      <c r="B5985" t="str">
        <f>"1552374493216623"</f>
        <v>1552374493216623</v>
      </c>
      <c r="C5985" t="s">
        <v>40</v>
      </c>
      <c r="D5985">
        <v>4.8140409999999996</v>
      </c>
      <c r="E5985">
        <v>0.58177919999999905</v>
      </c>
      <c r="F5985" t="s">
        <v>42</v>
      </c>
      <c r="G5985">
        <v>-192.90600000000001</v>
      </c>
      <c r="H5985" s="1">
        <v>-2.6645480000000001E-6</v>
      </c>
      <c r="I5985">
        <v>173.99780000000001</v>
      </c>
      <c r="J5985">
        <v>-190.98859999999999</v>
      </c>
      <c r="K5985">
        <v>1.1038680000000001</v>
      </c>
      <c r="L5985">
        <v>203.77950000000001</v>
      </c>
      <c r="M5985">
        <v>0.39307959999999997</v>
      </c>
      <c r="N5985">
        <v>0</v>
      </c>
      <c r="O5985">
        <v>-0.91937919999999995</v>
      </c>
      <c r="P5985">
        <v>0.1520908</v>
      </c>
      <c r="Q5985">
        <v>-1.012705E-2</v>
      </c>
      <c r="R5985">
        <v>-0.98831460000000004</v>
      </c>
      <c r="S5985">
        <v>-0.19255069999999999</v>
      </c>
      <c r="T5985">
        <v>-0.11323800000000001</v>
      </c>
      <c r="U5985">
        <v>-3.0673680000000001</v>
      </c>
      <c r="V5985">
        <v>0.24872749999999999</v>
      </c>
      <c r="W5985">
        <v>4.2850169999999999E-4</v>
      </c>
      <c r="X5985">
        <v>0.96857340000000003</v>
      </c>
      <c r="Y5985">
        <v>0.4499128</v>
      </c>
      <c r="Z5985">
        <v>3.041572E-2</v>
      </c>
      <c r="AA5985">
        <v>0.89255450000000003</v>
      </c>
      <c r="AB5985">
        <v>18</v>
      </c>
      <c r="AC5985">
        <v>-1.91739999999998</v>
      </c>
      <c r="AD5985">
        <v>-1.1038706645479901</v>
      </c>
      <c r="AE5985">
        <v>-29.781700000000001</v>
      </c>
      <c r="AF5985">
        <v>13.452542365576599</v>
      </c>
      <c r="AG5985">
        <v>-1.1038706645479901</v>
      </c>
      <c r="AH5985">
        <v>26.593666784347398</v>
      </c>
      <c r="AI5985">
        <v>92.12123320629</v>
      </c>
      <c r="AJ5985">
        <v>63.167199162802099</v>
      </c>
      <c r="AK5985">
        <v>29.823020296049599</v>
      </c>
      <c r="AL5985">
        <v>89.975448660128706</v>
      </c>
      <c r="AM5985">
        <v>75.597773562977594</v>
      </c>
      <c r="AN5985">
        <v>0.999999992028758</v>
      </c>
    </row>
    <row r="5986" spans="1:40" x14ac:dyDescent="0.25">
      <c r="A5986" t="str">
        <f>"20190312150813237"</f>
        <v>20190312150813237</v>
      </c>
      <c r="B5986" t="str">
        <f>"1552374493226384"</f>
        <v>1552374493226384</v>
      </c>
      <c r="C5986" t="s">
        <v>40</v>
      </c>
      <c r="D5986">
        <v>4.7909100000000002</v>
      </c>
      <c r="E5986">
        <v>0.58081380000000005</v>
      </c>
      <c r="F5986" t="s">
        <v>42</v>
      </c>
      <c r="G5986">
        <v>-192.87639999999999</v>
      </c>
      <c r="H5986" s="1">
        <v>-2.5745289999999998E-6</v>
      </c>
      <c r="I5986">
        <v>173.8064</v>
      </c>
      <c r="J5986">
        <v>-190.94739999999999</v>
      </c>
      <c r="K5986">
        <v>1.1038829999999999</v>
      </c>
      <c r="L5986">
        <v>203.6534</v>
      </c>
      <c r="M5986">
        <v>0.3839843</v>
      </c>
      <c r="N5986">
        <v>0</v>
      </c>
      <c r="O5986">
        <v>-0.92321520000000001</v>
      </c>
      <c r="P5986">
        <v>0.1442031</v>
      </c>
      <c r="Q5986">
        <v>-9.5868910000000002E-3</v>
      </c>
      <c r="R5986">
        <v>-0.98950179999999999</v>
      </c>
      <c r="S5986">
        <v>-0.19297790000000001</v>
      </c>
      <c r="T5986">
        <v>-0.11284329999999999</v>
      </c>
      <c r="U5986">
        <v>-3.0640109999999998</v>
      </c>
      <c r="V5986">
        <v>0.24690190000000001</v>
      </c>
      <c r="W5986">
        <v>1.009289E-3</v>
      </c>
      <c r="X5986">
        <v>0.96903989999999995</v>
      </c>
      <c r="Y5986">
        <v>0.44126120000000002</v>
      </c>
      <c r="Z5986">
        <v>3.0634809999999998E-2</v>
      </c>
      <c r="AA5986">
        <v>0.89685569999999903</v>
      </c>
      <c r="AB5986">
        <v>18</v>
      </c>
      <c r="AC5986">
        <v>-1.929</v>
      </c>
      <c r="AD5986">
        <v>-1.1038855745289999</v>
      </c>
      <c r="AE5986">
        <v>-29.847000000000001</v>
      </c>
      <c r="AF5986">
        <v>13.2251677918824</v>
      </c>
      <c r="AG5986">
        <v>-1.1038855745289999</v>
      </c>
      <c r="AH5986">
        <v>26.781098387759101</v>
      </c>
      <c r="AI5986">
        <v>92.116578805090896</v>
      </c>
      <c r="AJ5986">
        <v>63.7187024621634</v>
      </c>
      <c r="AK5986">
        <v>29.888975515061201</v>
      </c>
      <c r="AL5986">
        <v>89.942171987127907</v>
      </c>
      <c r="AM5986">
        <v>75.705733785243794</v>
      </c>
      <c r="AN5986">
        <v>0.99999994733995101</v>
      </c>
    </row>
    <row r="5987" spans="1:40" x14ac:dyDescent="0.25">
      <c r="A5987" t="str">
        <f>"20190312150813250"</f>
        <v>20190312150813250</v>
      </c>
      <c r="B5987" t="str">
        <f>"1552374493245904"</f>
        <v>1552374493245904</v>
      </c>
      <c r="C5987" t="s">
        <v>40</v>
      </c>
      <c r="D5987">
        <v>4.8536780000000004</v>
      </c>
      <c r="E5987">
        <v>0.57897089999999996</v>
      </c>
      <c r="F5987" t="s">
        <v>42</v>
      </c>
      <c r="G5987">
        <v>-193.03389999999999</v>
      </c>
      <c r="H5987" s="1">
        <v>-2.3488209999999998E-6</v>
      </c>
      <c r="I5987">
        <v>173.18260000000001</v>
      </c>
      <c r="J5987">
        <v>-190.9144</v>
      </c>
      <c r="K5987">
        <v>1.1038950000000001</v>
      </c>
      <c r="L5987">
        <v>203.55</v>
      </c>
      <c r="M5987">
        <v>0.37650919999999999</v>
      </c>
      <c r="N5987">
        <v>0</v>
      </c>
      <c r="O5987">
        <v>-0.92628880000000002</v>
      </c>
      <c r="P5987">
        <v>0.1383636</v>
      </c>
      <c r="Q5987">
        <v>-9.1643499999999999E-3</v>
      </c>
      <c r="R5987">
        <v>-0.99033930000000003</v>
      </c>
      <c r="S5987">
        <v>-0.20962520000000001</v>
      </c>
      <c r="T5987">
        <v>-0.1109049</v>
      </c>
      <c r="U5987">
        <v>-3.06134</v>
      </c>
      <c r="V5987">
        <v>0.2447935</v>
      </c>
      <c r="W5987">
        <v>1.47802E-3</v>
      </c>
      <c r="X5987">
        <v>0.96957409999999999</v>
      </c>
      <c r="Y5987">
        <v>0.43891289999999999</v>
      </c>
      <c r="Z5987">
        <v>3.0317199999999999E-2</v>
      </c>
      <c r="AA5987">
        <v>0.89801799999999998</v>
      </c>
      <c r="AB5987">
        <v>18</v>
      </c>
      <c r="AC5987">
        <v>-2.11949999999998</v>
      </c>
      <c r="AD5987">
        <v>-1.103897348821</v>
      </c>
      <c r="AE5987">
        <v>-30.3674</v>
      </c>
      <c r="AF5987">
        <v>13.3808186858244</v>
      </c>
      <c r="AG5987">
        <v>-1.103897348821</v>
      </c>
      <c r="AH5987">
        <v>27.298215593313898</v>
      </c>
      <c r="AI5987">
        <v>92.079545583643807</v>
      </c>
      <c r="AJ5987">
        <v>63.887203496997998</v>
      </c>
      <c r="AK5987">
        <v>30.421332525691401</v>
      </c>
      <c r="AL5987">
        <v>89.915315660181804</v>
      </c>
      <c r="AM5987">
        <v>75.830353484077705</v>
      </c>
      <c r="AN5987">
        <v>0.99999998878809004</v>
      </c>
    </row>
    <row r="5988" spans="1:40" x14ac:dyDescent="0.25">
      <c r="A5988" t="str">
        <f>"20190312150813266"</f>
        <v>20190312150813266</v>
      </c>
      <c r="B5988" t="str">
        <f>"1552374493256387"</f>
        <v>1552374493256387</v>
      </c>
      <c r="C5988" t="s">
        <v>40</v>
      </c>
      <c r="D5988">
        <v>4.8393990000000002</v>
      </c>
      <c r="E5988">
        <v>0.57816669999999903</v>
      </c>
      <c r="F5988" t="s">
        <v>42</v>
      </c>
      <c r="G5988">
        <v>-193.0479</v>
      </c>
      <c r="H5988" s="1">
        <v>-2.2472790000000001E-6</v>
      </c>
      <c r="I5988">
        <v>172.93719999999999</v>
      </c>
      <c r="J5988">
        <v>-190.87430000000001</v>
      </c>
      <c r="K5988">
        <v>1.103904</v>
      </c>
      <c r="L5988">
        <v>203.42009999999999</v>
      </c>
      <c r="M5988">
        <v>0.36711139999999998</v>
      </c>
      <c r="N5988">
        <v>0</v>
      </c>
      <c r="O5988">
        <v>-0.93005349999999998</v>
      </c>
      <c r="P5988">
        <v>0.1321012</v>
      </c>
      <c r="Q5988">
        <v>-9.0597850000000008E-3</v>
      </c>
      <c r="R5988">
        <v>-0.99119500000000005</v>
      </c>
      <c r="S5988">
        <v>-0.21311949999999999</v>
      </c>
      <c r="T5988">
        <v>-0.11027190000000001</v>
      </c>
      <c r="U5988">
        <v>-3.058014</v>
      </c>
      <c r="V5988">
        <v>0.24110619999999999</v>
      </c>
      <c r="W5988">
        <v>1.6606489999999999E-3</v>
      </c>
      <c r="X5988">
        <v>0.97049730000000001</v>
      </c>
      <c r="Y5988">
        <v>0.43088670000000001</v>
      </c>
      <c r="Z5988">
        <v>3.0449919999999998E-2</v>
      </c>
      <c r="AA5988">
        <v>0.90189209999999997</v>
      </c>
      <c r="AB5988">
        <v>18</v>
      </c>
      <c r="AC5988">
        <v>-2.1735999999999902</v>
      </c>
      <c r="AD5988">
        <v>-1.103906247279</v>
      </c>
      <c r="AE5988">
        <v>-30.482900000000001</v>
      </c>
      <c r="AF5988">
        <v>13.1964831291286</v>
      </c>
      <c r="AG5988">
        <v>-1.103906247279</v>
      </c>
      <c r="AH5988">
        <v>27.520031000763101</v>
      </c>
      <c r="AI5988">
        <v>92.071449193932096</v>
      </c>
      <c r="AJ5988">
        <v>64.3812186178574</v>
      </c>
      <c r="AK5988">
        <v>30.540430289423298</v>
      </c>
      <c r="AL5988">
        <v>89.904851775732496</v>
      </c>
      <c r="AM5988">
        <v>76.048141765925806</v>
      </c>
      <c r="AN5988">
        <v>0.99999998337041496</v>
      </c>
    </row>
    <row r="5989" spans="1:40" x14ac:dyDescent="0.25">
      <c r="A5989" t="str">
        <f>"20190312150813289"</f>
        <v>20190312150813289</v>
      </c>
      <c r="B5989" t="str">
        <f>"1552374493286173"</f>
        <v>1552374493286173</v>
      </c>
      <c r="C5989" t="s">
        <v>40</v>
      </c>
      <c r="D5989">
        <v>4.8473769999999998</v>
      </c>
      <c r="E5989">
        <v>0.57648690000000002</v>
      </c>
      <c r="F5989" t="s">
        <v>42</v>
      </c>
      <c r="G5989">
        <v>-193.13669999999999</v>
      </c>
      <c r="H5989" s="1">
        <v>-2.2252150000000001E-6</v>
      </c>
      <c r="I5989">
        <v>172.8306</v>
      </c>
      <c r="J5989">
        <v>-190.82210000000001</v>
      </c>
      <c r="K5989">
        <v>1.1039190000000001</v>
      </c>
      <c r="L5989">
        <v>203.24299999999999</v>
      </c>
      <c r="M5989">
        <v>0.3542671</v>
      </c>
      <c r="N5989">
        <v>0</v>
      </c>
      <c r="O5989">
        <v>-0.93502149999999995</v>
      </c>
      <c r="P5989">
        <v>0.121967699999999</v>
      </c>
      <c r="Q5989">
        <v>-9.2206960000000004E-3</v>
      </c>
      <c r="R5989">
        <v>-0.99249120000000002</v>
      </c>
      <c r="S5989">
        <v>-0.2260132</v>
      </c>
      <c r="T5989">
        <v>-0.1102765</v>
      </c>
      <c r="U5989">
        <v>-3.0557859999999999</v>
      </c>
      <c r="V5989">
        <v>0.23765040000000001</v>
      </c>
      <c r="W5989">
        <v>1.5719569999999999E-3</v>
      </c>
      <c r="X5989">
        <v>0.97134949999999998</v>
      </c>
      <c r="Y5989">
        <v>0.42227019999999998</v>
      </c>
      <c r="Z5989">
        <v>3.0811089999999999E-2</v>
      </c>
      <c r="AA5989">
        <v>0.90594629999999998</v>
      </c>
      <c r="AB5989">
        <v>18</v>
      </c>
      <c r="AC5989">
        <v>-2.31459999999998</v>
      </c>
      <c r="AD5989">
        <v>-1.1039212252149999</v>
      </c>
      <c r="AE5989">
        <v>-30.412399999999899</v>
      </c>
      <c r="AF5989">
        <v>12.922870423866099</v>
      </c>
      <c r="AG5989">
        <v>-1.1039212252149999</v>
      </c>
      <c r="AH5989">
        <v>27.583298636018998</v>
      </c>
      <c r="AI5989">
        <v>92.075555681074405</v>
      </c>
      <c r="AJ5989">
        <v>64.896747975016595</v>
      </c>
      <c r="AK5989">
        <v>30.480445956503399</v>
      </c>
      <c r="AL5989">
        <v>89.909933462798804</v>
      </c>
      <c r="AM5989">
        <v>76.252076472633703</v>
      </c>
      <c r="AN5989">
        <v>1.0000000174096</v>
      </c>
    </row>
    <row r="5990" spans="1:40" x14ac:dyDescent="0.25">
      <c r="A5990" t="str">
        <f>"20190312150813311"</f>
        <v>20190312150813311</v>
      </c>
      <c r="B5990" t="str">
        <f>"1552374493305693"</f>
        <v>1552374493305693</v>
      </c>
      <c r="C5990" t="s">
        <v>40</v>
      </c>
      <c r="D5990">
        <v>4.962059</v>
      </c>
      <c r="E5990">
        <v>0.55707819999999997</v>
      </c>
      <c r="F5990" t="s">
        <v>42</v>
      </c>
      <c r="G5990">
        <v>-193.1737</v>
      </c>
      <c r="H5990" s="1">
        <v>-2.6764520000000001E-6</v>
      </c>
      <c r="I5990">
        <v>173.8595</v>
      </c>
      <c r="J5990">
        <v>-190.77119999999999</v>
      </c>
      <c r="K5990">
        <v>1.103934</v>
      </c>
      <c r="L5990">
        <v>203.0607</v>
      </c>
      <c r="M5990">
        <v>0.34100710000000001</v>
      </c>
      <c r="N5990">
        <v>0</v>
      </c>
      <c r="O5990">
        <v>-0.93993879999999996</v>
      </c>
      <c r="P5990">
        <v>0.1109542</v>
      </c>
      <c r="Q5990">
        <v>-8.9488199999999997E-3</v>
      </c>
      <c r="R5990">
        <v>-0.99378540000000004</v>
      </c>
      <c r="S5990">
        <v>-0.24423220000000001</v>
      </c>
      <c r="T5990">
        <v>-0.1146496</v>
      </c>
      <c r="U5990">
        <v>-3.051666</v>
      </c>
      <c r="V5990">
        <v>0.23468820000000001</v>
      </c>
      <c r="W5990">
        <v>1.904789E-3</v>
      </c>
      <c r="X5990">
        <v>0.97206879999999996</v>
      </c>
      <c r="Y5990">
        <v>0.41489799999999899</v>
      </c>
      <c r="Z5990">
        <v>3.2407819999999997E-2</v>
      </c>
      <c r="AA5990">
        <v>0.90929059999999995</v>
      </c>
      <c r="AB5990">
        <v>18</v>
      </c>
      <c r="AC5990">
        <v>-2.4024999999999999</v>
      </c>
      <c r="AD5990">
        <v>-1.103936676452</v>
      </c>
      <c r="AE5990">
        <v>-29.2012</v>
      </c>
      <c r="AF5990">
        <v>12.200100845102501</v>
      </c>
      <c r="AG5990">
        <v>-1.103936676452</v>
      </c>
      <c r="AH5990">
        <v>26.593372386250898</v>
      </c>
      <c r="AI5990">
        <v>92.1607836725629</v>
      </c>
      <c r="AJ5990">
        <v>65.356013093456397</v>
      </c>
      <c r="AK5990">
        <v>29.279149435905701</v>
      </c>
      <c r="AL5990">
        <v>89.890863559696996</v>
      </c>
      <c r="AM5990">
        <v>76.4267304805592</v>
      </c>
      <c r="AN5990">
        <v>0.99999996568690597</v>
      </c>
    </row>
    <row r="5991" spans="1:40" x14ac:dyDescent="0.25">
      <c r="A5991" t="str">
        <f>"20190312150813333"</f>
        <v>20190312150813333</v>
      </c>
      <c r="B5991" t="str">
        <f>"1552374493326192"</f>
        <v>1552374493326192</v>
      </c>
      <c r="C5991" t="s">
        <v>40</v>
      </c>
      <c r="D5991">
        <v>4.9310390000000002</v>
      </c>
      <c r="E5991">
        <v>0.55708760000000002</v>
      </c>
      <c r="F5991" t="s">
        <v>42</v>
      </c>
      <c r="G5991">
        <v>-191.7448</v>
      </c>
      <c r="H5991" s="1">
        <v>-4.5662490000000003E-6</v>
      </c>
      <c r="I5991">
        <v>179.49549999999999</v>
      </c>
      <c r="J5991">
        <v>-190.72579999999999</v>
      </c>
      <c r="K5991">
        <v>1.103944</v>
      </c>
      <c r="L5991">
        <v>202.88910000000001</v>
      </c>
      <c r="M5991">
        <v>0.32849279999999997</v>
      </c>
      <c r="N5991">
        <v>0</v>
      </c>
      <c r="O5991">
        <v>-0.94438509999999998</v>
      </c>
      <c r="P5991">
        <v>0.1004284</v>
      </c>
      <c r="Q5991">
        <v>-8.7222649999999999E-3</v>
      </c>
      <c r="R5991">
        <v>-0.99490610000000002</v>
      </c>
      <c r="S5991">
        <v>-0.1252441</v>
      </c>
      <c r="T5991">
        <v>-0.14201369999999999</v>
      </c>
      <c r="U5991">
        <v>-3.0314939999999999</v>
      </c>
      <c r="V5991">
        <v>0.23207069999999999</v>
      </c>
      <c r="W5991">
        <v>2.1842150000000002E-3</v>
      </c>
      <c r="X5991">
        <v>0.97269649999999996</v>
      </c>
      <c r="Y5991">
        <v>0.36718840000000003</v>
      </c>
      <c r="Z5991">
        <v>4.1238869999999997E-2</v>
      </c>
      <c r="AA5991">
        <v>0.9292319</v>
      </c>
      <c r="AB5991">
        <v>18</v>
      </c>
      <c r="AC5991">
        <v>-1.0189999999999999</v>
      </c>
      <c r="AD5991">
        <v>-1.1039485662490001</v>
      </c>
      <c r="AE5991">
        <v>-23.393599999999999</v>
      </c>
      <c r="AF5991">
        <v>8.6287698249591998</v>
      </c>
      <c r="AG5991">
        <v>-1.1039485662490001</v>
      </c>
      <c r="AH5991">
        <v>21.712068321491898</v>
      </c>
      <c r="AI5991">
        <v>92.705229644538704</v>
      </c>
      <c r="AJ5991">
        <v>68.326229487662303</v>
      </c>
      <c r="AK5991">
        <v>23.3899183822043</v>
      </c>
      <c r="AL5991">
        <v>89.874853603303805</v>
      </c>
      <c r="AM5991">
        <v>76.580954586278196</v>
      </c>
      <c r="AN5991">
        <v>1.00000003085295</v>
      </c>
    </row>
    <row r="5992" spans="1:40" x14ac:dyDescent="0.25">
      <c r="A5992" t="str">
        <f>"20190312150813347"</f>
        <v>20190312150813347</v>
      </c>
      <c r="B5992" t="str">
        <f>"1552374493335949"</f>
        <v>1552374493335949</v>
      </c>
      <c r="C5992" t="s">
        <v>40</v>
      </c>
      <c r="D5992">
        <v>4.9699140000000002</v>
      </c>
      <c r="E5992">
        <v>0.55676949999999903</v>
      </c>
      <c r="F5992" t="s">
        <v>42</v>
      </c>
      <c r="G5992">
        <v>-191.88210000000001</v>
      </c>
      <c r="H5992" s="1">
        <v>-9.7597089999999995E-7</v>
      </c>
      <c r="I5992">
        <v>180.6968</v>
      </c>
      <c r="J5992">
        <v>-190.69540000000001</v>
      </c>
      <c r="K5992">
        <v>1.103947</v>
      </c>
      <c r="L5992">
        <v>202.76900000000001</v>
      </c>
      <c r="M5992">
        <v>0.31970369999999998</v>
      </c>
      <c r="N5992">
        <v>0</v>
      </c>
      <c r="O5992">
        <v>-0.94739660000000003</v>
      </c>
      <c r="P5992">
        <v>9.2563740000000005E-2</v>
      </c>
      <c r="Q5992">
        <v>-8.3191540000000005E-3</v>
      </c>
      <c r="R5992">
        <v>-0.99567240000000001</v>
      </c>
      <c r="S5992">
        <v>-0.15786739999999999</v>
      </c>
      <c r="T5992">
        <v>-0.1507232</v>
      </c>
      <c r="U5992">
        <v>-3.0299529999999999</v>
      </c>
      <c r="V5992">
        <v>0.2307265</v>
      </c>
      <c r="W5992">
        <v>2.6147980000000002E-3</v>
      </c>
      <c r="X5992">
        <v>0.97301510000000002</v>
      </c>
      <c r="Y5992">
        <v>0.36854029999999999</v>
      </c>
      <c r="Z5992">
        <v>4.3982680000000003E-2</v>
      </c>
      <c r="AA5992">
        <v>0.92857069999999997</v>
      </c>
      <c r="AB5992">
        <v>18</v>
      </c>
      <c r="AC5992">
        <v>-1.1867000000000001</v>
      </c>
      <c r="AD5992">
        <v>-1.1039479759708899</v>
      </c>
      <c r="AE5992">
        <v>-22.072199999999999</v>
      </c>
      <c r="AF5992">
        <v>8.1614201418773895</v>
      </c>
      <c r="AG5992">
        <v>-1.1039479759708899</v>
      </c>
      <c r="AH5992">
        <v>20.4829972902448</v>
      </c>
      <c r="AI5992">
        <v>92.866277630653101</v>
      </c>
      <c r="AJ5992">
        <v>68.275263154715603</v>
      </c>
      <c r="AK5992">
        <v>22.076699433068999</v>
      </c>
      <c r="AL5992">
        <v>89.850182935090004</v>
      </c>
      <c r="AM5992">
        <v>76.660105543896606</v>
      </c>
      <c r="AN5992">
        <v>0.99999996989941997</v>
      </c>
    </row>
    <row r="5993" spans="1:40" x14ac:dyDescent="0.25">
      <c r="A5993" t="str">
        <f>"20190312150813361"</f>
        <v>20190312150813361</v>
      </c>
      <c r="B5993" t="str">
        <f>"1552374493356446"</f>
        <v>1552374493356446</v>
      </c>
      <c r="C5993" t="s">
        <v>40</v>
      </c>
      <c r="D5993">
        <v>4.8996690000000003</v>
      </c>
      <c r="E5993">
        <v>0.55592779999999997</v>
      </c>
      <c r="F5993" t="s">
        <v>42</v>
      </c>
      <c r="G5993">
        <v>-191.9759</v>
      </c>
      <c r="H5993" s="1">
        <v>-1.1980959999999999E-6</v>
      </c>
      <c r="I5993">
        <v>181.15639999999999</v>
      </c>
      <c r="J5993">
        <v>-190.66929999999999</v>
      </c>
      <c r="K5993">
        <v>1.1039509999999999</v>
      </c>
      <c r="L5993">
        <v>202.6618</v>
      </c>
      <c r="M5993">
        <v>0.31184220000000001</v>
      </c>
      <c r="N5993">
        <v>0</v>
      </c>
      <c r="O5993">
        <v>-0.9500132</v>
      </c>
      <c r="P5993">
        <v>8.5370290000000001E-2</v>
      </c>
      <c r="Q5993">
        <v>-8.330123E-3</v>
      </c>
      <c r="R5993">
        <v>-0.99631449999999999</v>
      </c>
      <c r="S5993">
        <v>-0.17942810000000001</v>
      </c>
      <c r="T5993">
        <v>-0.1546894</v>
      </c>
      <c r="U5993">
        <v>-3.0284420000000001</v>
      </c>
      <c r="V5993">
        <v>0.22969100000000001</v>
      </c>
      <c r="W5993">
        <v>2.6243339999999999E-3</v>
      </c>
      <c r="X5993">
        <v>0.97326000000000001</v>
      </c>
      <c r="Y5993">
        <v>0.36744759999999999</v>
      </c>
      <c r="Z5993">
        <v>4.5361060000000002E-2</v>
      </c>
      <c r="AA5993">
        <v>0.92893740000000002</v>
      </c>
      <c r="AB5993">
        <v>18</v>
      </c>
      <c r="AC5993">
        <v>-1.3066</v>
      </c>
      <c r="AD5993">
        <v>-1.1039521980959901</v>
      </c>
      <c r="AE5993">
        <v>-21.505400000000002</v>
      </c>
      <c r="AF5993">
        <v>7.9276762972272703</v>
      </c>
      <c r="AG5993">
        <v>-1.1039521980959901</v>
      </c>
      <c r="AH5993">
        <v>19.972819677414801</v>
      </c>
      <c r="AI5993">
        <v>92.940914294197697</v>
      </c>
      <c r="AJ5993">
        <v>68.350721703158698</v>
      </c>
      <c r="AK5993">
        <v>21.5169767345654</v>
      </c>
      <c r="AL5993">
        <v>89.849636555413696</v>
      </c>
      <c r="AM5993">
        <v>76.7210722444986</v>
      </c>
      <c r="AN5993">
        <v>0.99999993510496898</v>
      </c>
    </row>
    <row r="5994" spans="1:40" x14ac:dyDescent="0.25">
      <c r="A5994" t="str">
        <f>"20190312150813376"</f>
        <v>20190312150813376</v>
      </c>
      <c r="B5994" t="str">
        <f>"1552374493366205"</f>
        <v>1552374493366205</v>
      </c>
      <c r="C5994" t="s">
        <v>40</v>
      </c>
      <c r="D5994">
        <v>4.9002049999999997</v>
      </c>
      <c r="E5994">
        <v>0.55558350000000001</v>
      </c>
      <c r="F5994" t="s">
        <v>42</v>
      </c>
      <c r="G5994">
        <v>-192.0224</v>
      </c>
      <c r="H5994" s="1">
        <v>-1.4158529999999901E-6</v>
      </c>
      <c r="I5994">
        <v>181.63509999999999</v>
      </c>
      <c r="J5994">
        <v>-190.64</v>
      </c>
      <c r="K5994">
        <v>1.103953</v>
      </c>
      <c r="L5994">
        <v>202.53569999999999</v>
      </c>
      <c r="M5994">
        <v>0.30256850000000002</v>
      </c>
      <c r="N5994">
        <v>0</v>
      </c>
      <c r="O5994">
        <v>-0.95300739999999995</v>
      </c>
      <c r="P5994">
        <v>7.7946689999999999E-2</v>
      </c>
      <c r="Q5994">
        <v>-8.1954419999999903E-3</v>
      </c>
      <c r="R5994">
        <v>-0.99692400000000003</v>
      </c>
      <c r="S5994">
        <v>-0.1947632</v>
      </c>
      <c r="T5994">
        <v>-0.15889449999999999</v>
      </c>
      <c r="U5994">
        <v>-3.0264280000000001</v>
      </c>
      <c r="V5994">
        <v>0.2274573</v>
      </c>
      <c r="W5994">
        <v>2.8036239999999998E-3</v>
      </c>
      <c r="X5994">
        <v>0.97378399999999998</v>
      </c>
      <c r="Y5994">
        <v>0.36310049999999999</v>
      </c>
      <c r="Z5994">
        <v>4.6894459999999999E-2</v>
      </c>
      <c r="AA5994">
        <v>0.93056919999999999</v>
      </c>
      <c r="AB5994">
        <v>18</v>
      </c>
      <c r="AC5994">
        <v>-1.3824000000000101</v>
      </c>
      <c r="AD5994">
        <v>-1.1039544158529999</v>
      </c>
      <c r="AE5994">
        <v>-20.900600000000001</v>
      </c>
      <c r="AF5994">
        <v>7.6210074072999499</v>
      </c>
      <c r="AG5994">
        <v>-1.1039544158529999</v>
      </c>
      <c r="AH5994">
        <v>19.4483686666225</v>
      </c>
      <c r="AI5994">
        <v>93.025296509975306</v>
      </c>
      <c r="AJ5994">
        <v>68.601851367025503</v>
      </c>
      <c r="AK5994">
        <v>20.9173973774767</v>
      </c>
      <c r="AL5994">
        <v>89.839363963987395</v>
      </c>
      <c r="AM5994">
        <v>76.852528705582699</v>
      </c>
      <c r="AN5994">
        <v>0.99999998114341104</v>
      </c>
    </row>
    <row r="5995" spans="1:40" x14ac:dyDescent="0.25">
      <c r="A5995" t="str">
        <f>"20190312150813392"</f>
        <v>20190312150813392</v>
      </c>
      <c r="B5995" t="str">
        <f>"1552374493385726"</f>
        <v>1552374493385726</v>
      </c>
      <c r="C5995" t="s">
        <v>40</v>
      </c>
      <c r="D5995">
        <v>4.9274899999999997</v>
      </c>
      <c r="E5995">
        <v>0.5544249</v>
      </c>
      <c r="F5995" t="s">
        <v>42</v>
      </c>
      <c r="G5995">
        <v>-192.14240000000001</v>
      </c>
      <c r="H5995" s="1">
        <v>-1.3055010000000001E-6</v>
      </c>
      <c r="I5995">
        <v>181.30350000000001</v>
      </c>
      <c r="J5995">
        <v>-190.61269999999999</v>
      </c>
      <c r="K5995">
        <v>1.103955</v>
      </c>
      <c r="L5995">
        <v>202.4135</v>
      </c>
      <c r="M5995">
        <v>0.2935584</v>
      </c>
      <c r="N5995">
        <v>0</v>
      </c>
      <c r="O5995">
        <v>-0.95582120000000004</v>
      </c>
      <c r="P5995">
        <v>6.9814909999999994E-2</v>
      </c>
      <c r="Q5995">
        <v>-8.0744379999999998E-3</v>
      </c>
      <c r="R5995">
        <v>-0.99752739999999995</v>
      </c>
      <c r="S5995">
        <v>-0.214035</v>
      </c>
      <c r="T5995">
        <v>-0.1572664</v>
      </c>
      <c r="U5995">
        <v>-3.024689</v>
      </c>
      <c r="V5995">
        <v>0.2262074</v>
      </c>
      <c r="W5995">
        <v>2.949536E-3</v>
      </c>
      <c r="X5995">
        <v>0.97407469999999996</v>
      </c>
      <c r="Y5995">
        <v>0.36024139999999999</v>
      </c>
      <c r="Z5995">
        <v>4.6679390000000001E-2</v>
      </c>
      <c r="AA5995">
        <v>0.93169049999999998</v>
      </c>
      <c r="AB5995">
        <v>18</v>
      </c>
      <c r="AC5995">
        <v>-1.5297000000000101</v>
      </c>
      <c r="AD5995">
        <v>-1.103956305501</v>
      </c>
      <c r="AE5995">
        <v>-21.1099999999999</v>
      </c>
      <c r="AF5995">
        <v>7.6392330533714201</v>
      </c>
      <c r="AG5995">
        <v>-1.103956305501</v>
      </c>
      <c r="AH5995">
        <v>19.677059539282698</v>
      </c>
      <c r="AI5995">
        <v>92.993873412704801</v>
      </c>
      <c r="AJ5995">
        <v>68.782273201513107</v>
      </c>
      <c r="AK5995">
        <v>21.1367753756493</v>
      </c>
      <c r="AL5995">
        <v>89.831003791379601</v>
      </c>
      <c r="AM5995">
        <v>76.926054400147805</v>
      </c>
      <c r="AN5995">
        <v>1.00000000437873</v>
      </c>
    </row>
    <row r="5996" spans="1:40" x14ac:dyDescent="0.25">
      <c r="A5996" t="str">
        <f>"20190312150813404"</f>
        <v>20190312150813404</v>
      </c>
      <c r="B5996" t="str">
        <f>"1552374493396461"</f>
        <v>1552374493396461</v>
      </c>
      <c r="C5996" t="s">
        <v>40</v>
      </c>
      <c r="D5996">
        <v>4.8443620000000003</v>
      </c>
      <c r="E5996">
        <v>0.55392200000000003</v>
      </c>
      <c r="F5996" t="s">
        <v>42</v>
      </c>
      <c r="G5996">
        <v>-192.2422</v>
      </c>
      <c r="H5996" s="1">
        <v>-1.181444E-6</v>
      </c>
      <c r="I5996">
        <v>180.95240000000001</v>
      </c>
      <c r="J5996">
        <v>-190.59010000000001</v>
      </c>
      <c r="K5996">
        <v>1.103958</v>
      </c>
      <c r="L5996">
        <v>202.30879999999999</v>
      </c>
      <c r="M5996">
        <v>0.28581849999999998</v>
      </c>
      <c r="N5996">
        <v>0</v>
      </c>
      <c r="O5996">
        <v>-0.95816409999999996</v>
      </c>
      <c r="P5996">
        <v>6.2988420000000003E-2</v>
      </c>
      <c r="Q5996">
        <v>-7.9342100000000006E-3</v>
      </c>
      <c r="R5996">
        <v>-0.99798299999999995</v>
      </c>
      <c r="S5996">
        <v>-0.22946169999999999</v>
      </c>
      <c r="T5996">
        <v>-0.1554615</v>
      </c>
      <c r="U5996">
        <v>-3.0222020000000001</v>
      </c>
      <c r="V5996">
        <v>0.22499640000000001</v>
      </c>
      <c r="W5996">
        <v>3.1145209999999999E-3</v>
      </c>
      <c r="X5996">
        <v>0.97435459999999996</v>
      </c>
      <c r="Y5996">
        <v>0.35748180000000002</v>
      </c>
      <c r="Z5996">
        <v>4.6381840000000001E-2</v>
      </c>
      <c r="AA5996">
        <v>0.93276760000000003</v>
      </c>
      <c r="AB5996">
        <v>18</v>
      </c>
      <c r="AC5996">
        <v>-1.6520999999999899</v>
      </c>
      <c r="AD5996">
        <v>-1.103959181444</v>
      </c>
      <c r="AE5996">
        <v>-21.356399999999901</v>
      </c>
      <c r="AF5996">
        <v>7.6675523009128597</v>
      </c>
      <c r="AG5996">
        <v>-1.103959181444</v>
      </c>
      <c r="AH5996">
        <v>19.940063253334401</v>
      </c>
      <c r="AI5996">
        <v>92.958134438568806</v>
      </c>
      <c r="AJ5996">
        <v>68.966751394722806</v>
      </c>
      <c r="AK5996">
        <v>21.391965938372898</v>
      </c>
      <c r="AL5996">
        <v>89.821550800031602</v>
      </c>
      <c r="AM5996">
        <v>76.9972691398156</v>
      </c>
      <c r="AN5996">
        <v>0.999999983397589</v>
      </c>
    </row>
    <row r="5997" spans="1:40" x14ac:dyDescent="0.25">
      <c r="A5997" t="str">
        <f>"20190312150813416"</f>
        <v>20190312150813416</v>
      </c>
      <c r="B5997" t="str">
        <f>"1552374493406221"</f>
        <v>1552374493406221</v>
      </c>
      <c r="C5997" t="s">
        <v>40</v>
      </c>
      <c r="D5997">
        <v>4.8485670000000001</v>
      </c>
      <c r="E5997">
        <v>0.55392200000000003</v>
      </c>
      <c r="F5997" t="s">
        <v>42</v>
      </c>
      <c r="G5997">
        <v>-192.3484</v>
      </c>
      <c r="H5997" s="1">
        <v>-1.110324E-6</v>
      </c>
      <c r="I5997">
        <v>180.72069999999999</v>
      </c>
      <c r="J5997">
        <v>-190.56960000000001</v>
      </c>
      <c r="K5997">
        <v>1.1039600000000001</v>
      </c>
      <c r="L5997">
        <v>202.20760000000001</v>
      </c>
      <c r="M5997">
        <v>0.27831280000000003</v>
      </c>
      <c r="N5997">
        <v>0</v>
      </c>
      <c r="O5997">
        <v>-0.96037110000000003</v>
      </c>
      <c r="P5997">
        <v>5.6007519999999998E-2</v>
      </c>
      <c r="Q5997">
        <v>-7.8584910000000004E-3</v>
      </c>
      <c r="R5997">
        <v>-0.99839960000000005</v>
      </c>
      <c r="S5997">
        <v>-0.2460022</v>
      </c>
      <c r="T5997">
        <v>-0.154453799999999</v>
      </c>
      <c r="U5997">
        <v>-3.0203700000000002</v>
      </c>
      <c r="V5997">
        <v>0.22418840000000001</v>
      </c>
      <c r="W5997">
        <v>3.2070269999999999E-3</v>
      </c>
      <c r="X5997">
        <v>0.97454050000000003</v>
      </c>
      <c r="Y5997">
        <v>0.35529440000000001</v>
      </c>
      <c r="Z5997">
        <v>4.628997E-2</v>
      </c>
      <c r="AA5997">
        <v>0.93360759999999998</v>
      </c>
      <c r="AB5997">
        <v>18</v>
      </c>
      <c r="AC5997">
        <v>-1.77879999999998</v>
      </c>
      <c r="AD5997">
        <v>-1.1039611103239999</v>
      </c>
      <c r="AE5997">
        <v>-21.486899999999999</v>
      </c>
      <c r="AF5997">
        <v>7.6691624348468599</v>
      </c>
      <c r="AG5997">
        <v>-1.1039611103239999</v>
      </c>
      <c r="AH5997">
        <v>20.089973633757701</v>
      </c>
      <c r="AI5997">
        <v>92.938837364101701</v>
      </c>
      <c r="AJ5997">
        <v>69.106104560758595</v>
      </c>
      <c r="AK5997">
        <v>21.532343652985301</v>
      </c>
      <c r="AL5997">
        <v>89.816250564854798</v>
      </c>
      <c r="AM5997">
        <v>77.044773860072098</v>
      </c>
      <c r="AN5997">
        <v>0.99999995492849303</v>
      </c>
    </row>
    <row r="5998" spans="1:40" x14ac:dyDescent="0.25">
      <c r="A5998" t="str">
        <f>"20190312150813429"</f>
        <v>20190312150813429</v>
      </c>
      <c r="B5998" t="str">
        <f>"1552374493425741"</f>
        <v>1552374493425741</v>
      </c>
      <c r="C5998" t="s">
        <v>40</v>
      </c>
      <c r="D5998">
        <v>4.8618940000000004</v>
      </c>
      <c r="E5998">
        <v>0.544965699999999</v>
      </c>
      <c r="F5998" t="s">
        <v>42</v>
      </c>
      <c r="G5998">
        <v>-192.477</v>
      </c>
      <c r="H5998" s="1">
        <v>-1.113422E-6</v>
      </c>
      <c r="I5998">
        <v>180.6482</v>
      </c>
      <c r="J5998">
        <v>-190.5506</v>
      </c>
      <c r="K5998">
        <v>1.1039650000000001</v>
      </c>
      <c r="L5998">
        <v>202.11150000000001</v>
      </c>
      <c r="M5998">
        <v>0.27117940000000001</v>
      </c>
      <c r="N5998">
        <v>0</v>
      </c>
      <c r="O5998">
        <v>-0.96240959999999998</v>
      </c>
      <c r="P5998">
        <v>5.0540410000000001E-2</v>
      </c>
      <c r="Q5998">
        <v>-7.4134750000000001E-3</v>
      </c>
      <c r="R5998">
        <v>-0.99869450000000004</v>
      </c>
      <c r="S5998">
        <v>-0.2670593</v>
      </c>
      <c r="T5998">
        <v>-0.15456800000000001</v>
      </c>
      <c r="U5998">
        <v>-3.01857</v>
      </c>
      <c r="V5998">
        <v>0.22230130000000001</v>
      </c>
      <c r="W5998">
        <v>3.6905359999999999E-3</v>
      </c>
      <c r="X5998">
        <v>0.97497100000000003</v>
      </c>
      <c r="Y5998">
        <v>0.35486960000000001</v>
      </c>
      <c r="Z5998">
        <v>4.6498039999999997E-2</v>
      </c>
      <c r="AA5998">
        <v>0.9337588</v>
      </c>
      <c r="AB5998">
        <v>18</v>
      </c>
      <c r="AC5998">
        <v>-1.9263999999999999</v>
      </c>
      <c r="AD5998">
        <v>-1.10396611342199</v>
      </c>
      <c r="AE5998">
        <v>-21.4633</v>
      </c>
      <c r="AF5998">
        <v>7.6551809973271201</v>
      </c>
      <c r="AG5998">
        <v>-1.10396611342199</v>
      </c>
      <c r="AH5998">
        <v>20.0836885905595</v>
      </c>
      <c r="AI5998">
        <v>92.940332352531698</v>
      </c>
      <c r="AJ5998">
        <v>69.134949664730001</v>
      </c>
      <c r="AK5998">
        <v>21.521502844457501</v>
      </c>
      <c r="AL5998">
        <v>89.788547376595403</v>
      </c>
      <c r="AM5998">
        <v>77.155675168337794</v>
      </c>
      <c r="AN5998">
        <v>0.99999996943932801</v>
      </c>
    </row>
    <row r="5999" spans="1:40" x14ac:dyDescent="0.25">
      <c r="A5999" t="str">
        <f>"20190312150813455"</f>
        <v>20190312150813455</v>
      </c>
      <c r="B5999" t="str">
        <f>"1552374493446240"</f>
        <v>1552374493446240</v>
      </c>
      <c r="C5999" t="s">
        <v>40</v>
      </c>
      <c r="D5999">
        <v>4.8458959999999998</v>
      </c>
      <c r="E5999">
        <v>0.54362769999999905</v>
      </c>
      <c r="F5999" t="s">
        <v>42</v>
      </c>
      <c r="G5999">
        <v>-192.244</v>
      </c>
      <c r="H5999" s="1">
        <v>-4.1388920000000001E-6</v>
      </c>
      <c r="I5999">
        <v>177.9794</v>
      </c>
      <c r="J5999">
        <v>-190.51179999999999</v>
      </c>
      <c r="K5999">
        <v>1.1039600000000001</v>
      </c>
      <c r="L5999">
        <v>201.90049999999999</v>
      </c>
      <c r="M5999">
        <v>0.25546059999999998</v>
      </c>
      <c r="N5999">
        <v>0</v>
      </c>
      <c r="O5999">
        <v>-0.96670100000000003</v>
      </c>
      <c r="P5999">
        <v>3.5929389999999999E-2</v>
      </c>
      <c r="Q5999">
        <v>-6.7400759999999898E-3</v>
      </c>
      <c r="R5999">
        <v>-0.99933179999999999</v>
      </c>
      <c r="S5999">
        <v>-0.21147160000000001</v>
      </c>
      <c r="T5999">
        <v>-0.13786199999999901</v>
      </c>
      <c r="U5999">
        <v>-3.0135800000000001</v>
      </c>
      <c r="V5999">
        <v>0.22068470000000001</v>
      </c>
      <c r="W5999">
        <v>4.3995869999999999E-3</v>
      </c>
      <c r="X5999">
        <v>0.97533530000000002</v>
      </c>
      <c r="Y5999">
        <v>0.32246920000000001</v>
      </c>
      <c r="Z5999">
        <v>4.2145410000000001E-2</v>
      </c>
      <c r="AA5999">
        <v>0.94564130000000002</v>
      </c>
      <c r="AB5999">
        <v>18</v>
      </c>
      <c r="AC5999">
        <v>-1.7322000000000299</v>
      </c>
      <c r="AD5999">
        <v>-1.1039641388920001</v>
      </c>
      <c r="AE5999">
        <v>-23.921099999999999</v>
      </c>
      <c r="AF5999">
        <v>7.7698476068012798</v>
      </c>
      <c r="AG5999">
        <v>-1.1039641388920001</v>
      </c>
      <c r="AH5999">
        <v>22.636679555230099</v>
      </c>
      <c r="AI5999">
        <v>92.641023269511606</v>
      </c>
      <c r="AJ5999">
        <v>71.055652823021902</v>
      </c>
      <c r="AK5999">
        <v>23.958475117149</v>
      </c>
      <c r="AL5999">
        <v>89.747921425192004</v>
      </c>
      <c r="AM5999">
        <v>77.250622902652097</v>
      </c>
      <c r="AN5999">
        <v>1.00000002030297</v>
      </c>
    </row>
    <row r="6000" spans="1:40" x14ac:dyDescent="0.25">
      <c r="A6000" t="str">
        <f>"20190312150813479"</f>
        <v>20190312150813479</v>
      </c>
      <c r="B6000" t="str">
        <f>"1552374493465757"</f>
        <v>1552374493465757</v>
      </c>
      <c r="C6000" t="s">
        <v>40</v>
      </c>
      <c r="D6000">
        <v>4.7957190000000001</v>
      </c>
      <c r="E6000">
        <v>0.54285810000000001</v>
      </c>
      <c r="F6000" t="s">
        <v>42</v>
      </c>
      <c r="G6000">
        <v>-192.57390000000001</v>
      </c>
      <c r="H6000" s="1">
        <v>-3.631695E-6</v>
      </c>
      <c r="I6000">
        <v>176.45830000000001</v>
      </c>
      <c r="J6000">
        <v>-190.47989999999999</v>
      </c>
      <c r="K6000">
        <v>1.1039760000000001</v>
      </c>
      <c r="L6000">
        <v>201.7116</v>
      </c>
      <c r="M6000">
        <v>0.24133299999999999</v>
      </c>
      <c r="N6000">
        <v>0</v>
      </c>
      <c r="O6000">
        <v>-0.97032430000000003</v>
      </c>
      <c r="P6000">
        <v>2.2863140000000001E-2</v>
      </c>
      <c r="Q6000">
        <v>-7.4333050000000003E-3</v>
      </c>
      <c r="R6000">
        <v>-0.99971129999999997</v>
      </c>
      <c r="S6000">
        <v>-0.24395749999999999</v>
      </c>
      <c r="T6000">
        <v>-0.13060189999999999</v>
      </c>
      <c r="U6000">
        <v>-3.0098880000000001</v>
      </c>
      <c r="V6000">
        <v>0.2191949</v>
      </c>
      <c r="W6000">
        <v>3.7410809999999998E-3</v>
      </c>
      <c r="X6000">
        <v>0.97567389999999998</v>
      </c>
      <c r="Y6000">
        <v>0.31889709999999899</v>
      </c>
      <c r="Z6000">
        <v>4.0224240000000001E-2</v>
      </c>
      <c r="AA6000">
        <v>0.94693539999999998</v>
      </c>
      <c r="AB6000">
        <v>18</v>
      </c>
      <c r="AC6000">
        <v>-2.0940000000000198</v>
      </c>
      <c r="AD6000">
        <v>-1.1039796316949999</v>
      </c>
      <c r="AE6000">
        <v>-25.253299999999999</v>
      </c>
      <c r="AF6000">
        <v>8.1118481322354405</v>
      </c>
      <c r="AG6000">
        <v>-1.1039796316949999</v>
      </c>
      <c r="AH6000">
        <v>23.955819691589799</v>
      </c>
      <c r="AI6000">
        <v>92.4993413338849</v>
      </c>
      <c r="AJ6000">
        <v>71.293025070994901</v>
      </c>
      <c r="AK6000">
        <v>25.316045272585701</v>
      </c>
      <c r="AL6000">
        <v>89.785651343495999</v>
      </c>
      <c r="AM6000">
        <v>77.338159649083806</v>
      </c>
      <c r="AN6000">
        <v>0.99999997950713404</v>
      </c>
    </row>
    <row r="6001" spans="1:40" x14ac:dyDescent="0.25">
      <c r="A6001" t="str">
        <f>"20190312150813501"</f>
        <v>20190312150813501</v>
      </c>
      <c r="B6001" t="str">
        <f>"1552374493496013"</f>
        <v>1552374493496013</v>
      </c>
      <c r="C6001" t="s">
        <v>40</v>
      </c>
      <c r="D6001">
        <v>5.1689590000000001</v>
      </c>
      <c r="E6001">
        <v>0.54206980000000005</v>
      </c>
      <c r="F6001" t="s">
        <v>42</v>
      </c>
      <c r="G6001">
        <v>-192.80240000000001</v>
      </c>
      <c r="H6001" s="1">
        <v>-3.7153810000000001E-6</v>
      </c>
      <c r="I6001">
        <v>176.51159999999999</v>
      </c>
      <c r="J6001">
        <v>-190.45169999999999</v>
      </c>
      <c r="K6001">
        <v>1.1040000000000001</v>
      </c>
      <c r="L6001">
        <v>201.52860000000001</v>
      </c>
      <c r="M6001">
        <v>0.22761129999999999</v>
      </c>
      <c r="N6001">
        <v>0</v>
      </c>
      <c r="O6001">
        <v>-0.97363449999999996</v>
      </c>
      <c r="P6001">
        <v>1.062422E-2</v>
      </c>
      <c r="Q6001">
        <v>-6.9779780000000001E-3</v>
      </c>
      <c r="R6001">
        <v>-0.99991949999999996</v>
      </c>
      <c r="S6001">
        <v>-0.27706910000000001</v>
      </c>
      <c r="T6001">
        <v>-0.13169900000000001</v>
      </c>
      <c r="U6001">
        <v>-3.0062259999999998</v>
      </c>
      <c r="V6001">
        <v>0.2173726</v>
      </c>
      <c r="W6001">
        <v>4.2403249999999997E-3</v>
      </c>
      <c r="X6001">
        <v>0.97607949999999999</v>
      </c>
      <c r="Y6001">
        <v>0.3159592</v>
      </c>
      <c r="Z6001">
        <v>4.0830030000000003E-2</v>
      </c>
      <c r="AA6001">
        <v>0.94789389999999996</v>
      </c>
      <c r="AB6001">
        <v>18</v>
      </c>
      <c r="AC6001">
        <v>-2.35070000000001</v>
      </c>
      <c r="AD6001">
        <v>-1.1040037153810001</v>
      </c>
      <c r="AE6001">
        <v>-25.016999999999999</v>
      </c>
      <c r="AF6001">
        <v>7.9684061229629002</v>
      </c>
      <c r="AG6001">
        <v>-1.1040037153810001</v>
      </c>
      <c r="AH6001">
        <v>23.779192067109101</v>
      </c>
      <c r="AI6001">
        <v>92.520614137556706</v>
      </c>
      <c r="AJ6001">
        <v>71.474001688630594</v>
      </c>
      <c r="AK6001">
        <v>25.103073431524599</v>
      </c>
      <c r="AL6001">
        <v>89.757046547842805</v>
      </c>
      <c r="AM6001">
        <v>77.445125538266197</v>
      </c>
      <c r="AN6001">
        <v>1.0000000089535499</v>
      </c>
    </row>
    <row r="6002" spans="1:40" x14ac:dyDescent="0.25">
      <c r="A6002" t="str">
        <f>"20190312150813523"</f>
        <v>20190312150813523</v>
      </c>
      <c r="B6002" t="str">
        <f>"1552374493516509"</f>
        <v>1552374493516509</v>
      </c>
      <c r="C6002" t="s">
        <v>40</v>
      </c>
      <c r="D6002">
        <v>4.7983989999999999</v>
      </c>
      <c r="E6002">
        <v>0.54146319999999903</v>
      </c>
      <c r="F6002" t="s">
        <v>42</v>
      </c>
      <c r="G6002">
        <v>-192.9631</v>
      </c>
      <c r="H6002" s="1">
        <v>-3.9372110000000003E-6</v>
      </c>
      <c r="I6002">
        <v>177.0119</v>
      </c>
      <c r="J6002">
        <v>-190.4265</v>
      </c>
      <c r="K6002">
        <v>1.1040219999999901</v>
      </c>
      <c r="L6002">
        <v>201.34800000000001</v>
      </c>
      <c r="M6002">
        <v>0.21404139999999999</v>
      </c>
      <c r="N6002">
        <v>0</v>
      </c>
      <c r="O6002">
        <v>-0.97670729999999994</v>
      </c>
      <c r="P6002">
        <v>-1.6268299999999999E-3</v>
      </c>
      <c r="Q6002">
        <v>-6.5254369999999898E-3</v>
      </c>
      <c r="R6002">
        <v>-0.99997780000000003</v>
      </c>
      <c r="S6002">
        <v>-0.30757139999999999</v>
      </c>
      <c r="T6002">
        <v>-0.13520869999999999</v>
      </c>
      <c r="U6002">
        <v>-3.0025789999999999</v>
      </c>
      <c r="V6002">
        <v>0.21575649999999999</v>
      </c>
      <c r="W6002">
        <v>4.7333710000000001E-3</v>
      </c>
      <c r="X6002">
        <v>0.97643570000000002</v>
      </c>
      <c r="Y6002">
        <v>0.3123937</v>
      </c>
      <c r="Z6002">
        <v>4.217974E-2</v>
      </c>
      <c r="AA6002">
        <v>0.94901590000000002</v>
      </c>
      <c r="AB6002">
        <v>18</v>
      </c>
      <c r="AC6002">
        <v>-2.5365999999999902</v>
      </c>
      <c r="AD6002">
        <v>-1.10402593721099</v>
      </c>
      <c r="AE6002">
        <v>-24.336099999999899</v>
      </c>
      <c r="AF6002">
        <v>7.6717103010001901</v>
      </c>
      <c r="AG6002">
        <v>-1.10402593721099</v>
      </c>
      <c r="AH6002">
        <v>23.1817739132896</v>
      </c>
      <c r="AI6002">
        <v>92.588761979496695</v>
      </c>
      <c r="AJ6002">
        <v>71.688701699502801</v>
      </c>
      <c r="AK6002">
        <v>24.443171929587599</v>
      </c>
      <c r="AL6002">
        <v>89.728796799108096</v>
      </c>
      <c r="AM6002">
        <v>77.539944575893401</v>
      </c>
      <c r="AN6002">
        <v>0.99999997416388098</v>
      </c>
    </row>
    <row r="6003" spans="1:40" x14ac:dyDescent="0.25">
      <c r="A6003" t="str">
        <f>"20190312150813544"</f>
        <v>20190312150813544</v>
      </c>
      <c r="B6003" t="str">
        <f>"1552374493536032"</f>
        <v>1552374493536032</v>
      </c>
      <c r="C6003" t="s">
        <v>40</v>
      </c>
      <c r="D6003">
        <v>5.3172370000000004</v>
      </c>
      <c r="E6003">
        <v>0.53953229999999996</v>
      </c>
      <c r="F6003" t="s">
        <v>42</v>
      </c>
      <c r="G6003">
        <v>-193.07550000000001</v>
      </c>
      <c r="H6003" s="1">
        <v>-4.2818960000000003E-6</v>
      </c>
      <c r="I6003">
        <v>177.96619999999999</v>
      </c>
      <c r="J6003">
        <v>-190.405</v>
      </c>
      <c r="K6003">
        <v>1.104047</v>
      </c>
      <c r="L6003">
        <v>201.17660000000001</v>
      </c>
      <c r="M6003">
        <v>0.2011462</v>
      </c>
      <c r="N6003">
        <v>0</v>
      </c>
      <c r="O6003">
        <v>-0.97944439999999999</v>
      </c>
      <c r="P6003">
        <v>-1.271868E-2</v>
      </c>
      <c r="Q6003">
        <v>-6.3597209999999996E-3</v>
      </c>
      <c r="R6003">
        <v>-0.99989910000000004</v>
      </c>
      <c r="S6003">
        <v>-0.33972170000000002</v>
      </c>
      <c r="T6003">
        <v>-0.14158679999999901</v>
      </c>
      <c r="U6003">
        <v>-2.9986109999999999</v>
      </c>
      <c r="V6003">
        <v>0.21371660000000001</v>
      </c>
      <c r="W6003">
        <v>4.9493749999999998E-3</v>
      </c>
      <c r="X6003">
        <v>0.97688319999999995</v>
      </c>
      <c r="Y6003">
        <v>0.31004320000000002</v>
      </c>
      <c r="Z6003">
        <v>4.440947E-2</v>
      </c>
      <c r="AA6003">
        <v>0.94968470000000005</v>
      </c>
      <c r="AB6003">
        <v>18</v>
      </c>
      <c r="AC6003">
        <v>-2.6705000000000001</v>
      </c>
      <c r="AD6003">
        <v>-1.104051281896</v>
      </c>
      <c r="AE6003">
        <v>-23.2104</v>
      </c>
      <c r="AF6003">
        <v>7.2688918399545397</v>
      </c>
      <c r="AG6003">
        <v>-1.104051281896</v>
      </c>
      <c r="AH6003">
        <v>22.149215177299901</v>
      </c>
      <c r="AI6003">
        <v>92.711551536152001</v>
      </c>
      <c r="AJ6003">
        <v>71.831286354873995</v>
      </c>
      <c r="AK6003">
        <v>23.337597365289099</v>
      </c>
      <c r="AL6003">
        <v>89.716420553112599</v>
      </c>
      <c r="AM6003">
        <v>77.659602955072501</v>
      </c>
      <c r="AN6003">
        <v>1.0000000339353401</v>
      </c>
    </row>
    <row r="6004" spans="1:40" x14ac:dyDescent="0.25">
      <c r="A6004" t="str">
        <f>"20190312150813566"</f>
        <v>20190312150813566</v>
      </c>
      <c r="B6004" t="str">
        <f>"1552374493556137"</f>
        <v>1552374493556137</v>
      </c>
      <c r="C6004" t="s">
        <v>40</v>
      </c>
      <c r="D6004">
        <v>4.7624740000000001</v>
      </c>
      <c r="E6004">
        <v>0.53789750000000003</v>
      </c>
      <c r="F6004" t="s">
        <v>42</v>
      </c>
      <c r="G6004">
        <v>-193.14879999999999</v>
      </c>
      <c r="H6004" s="1">
        <v>-4.3694930000000003E-6</v>
      </c>
      <c r="I6004">
        <v>178.18539999999999</v>
      </c>
      <c r="J6004">
        <v>-190.3852</v>
      </c>
      <c r="K6004">
        <v>1.1040779999999999</v>
      </c>
      <c r="L6004">
        <v>200.9982</v>
      </c>
      <c r="M6004">
        <v>0.1877008</v>
      </c>
      <c r="N6004">
        <v>0</v>
      </c>
      <c r="O6004">
        <v>-0.98210969999999997</v>
      </c>
      <c r="P6004">
        <v>-2.3627499999999999E-2</v>
      </c>
      <c r="Q6004">
        <v>-6.023675E-3</v>
      </c>
      <c r="R6004">
        <v>-0.99970289999999995</v>
      </c>
      <c r="S6004">
        <v>-0.35740660000000002</v>
      </c>
      <c r="T6004">
        <v>-0.1438141</v>
      </c>
      <c r="U6004">
        <v>-2.9948429999999999</v>
      </c>
      <c r="V6004">
        <v>0.2109886</v>
      </c>
      <c r="W6004">
        <v>5.3480050000000003E-3</v>
      </c>
      <c r="X6004">
        <v>0.97747390000000001</v>
      </c>
      <c r="Y6004">
        <v>0.30266340000000003</v>
      </c>
      <c r="Z6004">
        <v>4.5396069999999997E-2</v>
      </c>
      <c r="AA6004">
        <v>0.95201579999999997</v>
      </c>
      <c r="AB6004">
        <v>18</v>
      </c>
      <c r="AC6004">
        <v>-2.7635999999999901</v>
      </c>
      <c r="AD6004">
        <v>-1.104082369493</v>
      </c>
      <c r="AE6004">
        <v>-22.812799999999999</v>
      </c>
      <c r="AF6004">
        <v>6.98082537038424</v>
      </c>
      <c r="AG6004">
        <v>-1.104082369493</v>
      </c>
      <c r="AH6004">
        <v>21.838036226555602</v>
      </c>
      <c r="AI6004">
        <v>92.757070833234295</v>
      </c>
      <c r="AJ6004">
        <v>72.272813804151795</v>
      </c>
      <c r="AK6004">
        <v>22.953229554090601</v>
      </c>
      <c r="AL6004">
        <v>89.693580426414798</v>
      </c>
      <c r="AM6004">
        <v>77.819530222331906</v>
      </c>
      <c r="AN6004">
        <v>1.0000000078343201</v>
      </c>
    </row>
    <row r="6005" spans="1:40" x14ac:dyDescent="0.25">
      <c r="A6005" t="str">
        <f>"20190312150813589"</f>
        <v>20190312150813589</v>
      </c>
      <c r="B6005" t="str">
        <f>"1552374493585923"</f>
        <v>1552374493585923</v>
      </c>
      <c r="C6005" t="s">
        <v>40</v>
      </c>
      <c r="D6005">
        <v>4.6811949999999998</v>
      </c>
      <c r="E6005">
        <v>0.53564909999999999</v>
      </c>
      <c r="F6005" t="s">
        <v>42</v>
      </c>
      <c r="G6005">
        <v>-193.26419999999999</v>
      </c>
      <c r="H6005" s="1">
        <v>-4.3796049999999999E-6</v>
      </c>
      <c r="I6005">
        <v>178.155</v>
      </c>
      <c r="J6005">
        <v>-190.36760000000001</v>
      </c>
      <c r="K6005">
        <v>1.104106</v>
      </c>
      <c r="L6005">
        <v>200.8169</v>
      </c>
      <c r="M6005">
        <v>0.17402860000000001</v>
      </c>
      <c r="N6005">
        <v>0</v>
      </c>
      <c r="O6005">
        <v>-0.98462430000000001</v>
      </c>
      <c r="P6005">
        <v>-3.4640459999999998E-2</v>
      </c>
      <c r="Q6005">
        <v>-6.0503029999999999E-3</v>
      </c>
      <c r="R6005">
        <v>-0.99938150000000003</v>
      </c>
      <c r="S6005">
        <v>-0.37698359999999997</v>
      </c>
      <c r="T6005">
        <v>-0.14457</v>
      </c>
      <c r="U6005">
        <v>-2.9911189999999999</v>
      </c>
      <c r="V6005">
        <v>0.20816680000000001</v>
      </c>
      <c r="W6005">
        <v>5.3861530000000003E-3</v>
      </c>
      <c r="X6005">
        <v>0.97807849999999996</v>
      </c>
      <c r="Y6005">
        <v>0.29568070000000002</v>
      </c>
      <c r="Z6005">
        <v>4.5907040000000003E-2</v>
      </c>
      <c r="AA6005">
        <v>0.95418320000000001</v>
      </c>
      <c r="AB6005">
        <v>18</v>
      </c>
      <c r="AC6005">
        <v>-2.8965999999999701</v>
      </c>
      <c r="AD6005">
        <v>-1.104110379605</v>
      </c>
      <c r="AE6005">
        <v>-22.661899999999999</v>
      </c>
      <c r="AF6005">
        <v>6.7808227143315003</v>
      </c>
      <c r="AG6005">
        <v>-1.104110379605</v>
      </c>
      <c r="AH6005">
        <v>21.761039546218498</v>
      </c>
      <c r="AI6005">
        <v>92.773279496923294</v>
      </c>
      <c r="AJ6005">
        <v>72.692767160377898</v>
      </c>
      <c r="AK6005">
        <v>22.8197602648588</v>
      </c>
      <c r="AL6005">
        <v>89.691394669961795</v>
      </c>
      <c r="AM6005">
        <v>77.984879350502496</v>
      </c>
      <c r="AN6005">
        <v>0.99999998971431403</v>
      </c>
    </row>
    <row r="6006" spans="1:40" x14ac:dyDescent="0.25">
      <c r="A6006" t="str">
        <f>"20190312150813612"</f>
        <v>20190312150813612</v>
      </c>
      <c r="B6006" t="str">
        <f>"1552374493606419"</f>
        <v>1552374493606419</v>
      </c>
      <c r="C6006" t="s">
        <v>40</v>
      </c>
      <c r="D6006">
        <v>4.707446</v>
      </c>
      <c r="E6006">
        <v>0.53415690000000005</v>
      </c>
      <c r="F6006" t="s">
        <v>42</v>
      </c>
      <c r="G6006">
        <v>-193.42150000000001</v>
      </c>
      <c r="H6006" s="1">
        <v>-4.1974989999999998E-6</v>
      </c>
      <c r="I6006">
        <v>177.5378</v>
      </c>
      <c r="J6006">
        <v>-190.35210000000001</v>
      </c>
      <c r="K6006">
        <v>1.1041369999999999</v>
      </c>
      <c r="L6006">
        <v>200.63140000000001</v>
      </c>
      <c r="M6006">
        <v>0.16002069999999999</v>
      </c>
      <c r="N6006">
        <v>0</v>
      </c>
      <c r="O6006">
        <v>-0.98699809999999999</v>
      </c>
      <c r="P6006">
        <v>-4.5381209999999998E-2</v>
      </c>
      <c r="Q6006">
        <v>-6.0029599999999999E-3</v>
      </c>
      <c r="R6006">
        <v>-0.99895230000000002</v>
      </c>
      <c r="S6006">
        <v>-0.39192199999999999</v>
      </c>
      <c r="T6006">
        <v>-0.1416917</v>
      </c>
      <c r="U6006">
        <v>-2.9874269999999998</v>
      </c>
      <c r="V6006">
        <v>0.20478250000000001</v>
      </c>
      <c r="W6006">
        <v>5.5077440000000002E-3</v>
      </c>
      <c r="X6006">
        <v>0.978792</v>
      </c>
      <c r="Y6006">
        <v>0.28693980000000002</v>
      </c>
      <c r="Z6006">
        <v>4.5267340000000003E-2</v>
      </c>
      <c r="AA6006">
        <v>0.95687849999999997</v>
      </c>
      <c r="AB6006">
        <v>18</v>
      </c>
      <c r="AC6006">
        <v>-3.0693999999999999</v>
      </c>
      <c r="AD6006">
        <v>-1.1041411974990001</v>
      </c>
      <c r="AE6006">
        <v>-23.093599999999999</v>
      </c>
      <c r="AF6006">
        <v>6.7106393325712803</v>
      </c>
      <c r="AG6006">
        <v>-1.1041411974990001</v>
      </c>
      <c r="AH6006">
        <v>22.2547260691926</v>
      </c>
      <c r="AI6006">
        <v>92.719576150124794</v>
      </c>
      <c r="AJ6006">
        <v>73.219959922440907</v>
      </c>
      <c r="AK6006">
        <v>23.2706819936733</v>
      </c>
      <c r="AL6006">
        <v>89.684427916574506</v>
      </c>
      <c r="AM6006">
        <v>78.183050994100597</v>
      </c>
      <c r="AN6006">
        <v>0.99999999340710899</v>
      </c>
    </row>
    <row r="6007" spans="1:40" x14ac:dyDescent="0.25">
      <c r="A6007" t="str">
        <f>"20190312150813634"</f>
        <v>20190312150813634</v>
      </c>
      <c r="B6007" t="str">
        <f>"1552374493625943"</f>
        <v>1552374493625943</v>
      </c>
      <c r="C6007" t="s">
        <v>40</v>
      </c>
      <c r="D6007">
        <v>4.7046729999999997</v>
      </c>
      <c r="E6007">
        <v>0.53300360000000002</v>
      </c>
      <c r="F6007" t="s">
        <v>42</v>
      </c>
      <c r="G6007">
        <v>-193.59229999999999</v>
      </c>
      <c r="H6007" s="1">
        <v>-4.1077880000000004E-6</v>
      </c>
      <c r="I6007">
        <v>177.18520000000001</v>
      </c>
      <c r="J6007">
        <v>-190.33959999999999</v>
      </c>
      <c r="K6007">
        <v>1.1041620000000001</v>
      </c>
      <c r="L6007">
        <v>200.4513</v>
      </c>
      <c r="M6007">
        <v>0.1464182</v>
      </c>
      <c r="N6007">
        <v>0</v>
      </c>
      <c r="O6007">
        <v>-0.98910750000000003</v>
      </c>
      <c r="P6007">
        <v>-5.6024570000000003E-2</v>
      </c>
      <c r="Q6007">
        <v>-5.4528110000000001E-3</v>
      </c>
      <c r="R6007">
        <v>-0.99841489999999999</v>
      </c>
      <c r="S6007">
        <v>-0.412323</v>
      </c>
      <c r="T6007">
        <v>-0.14050560000000001</v>
      </c>
      <c r="U6007">
        <v>-2.9835970000000001</v>
      </c>
      <c r="V6007">
        <v>0.20174710000000001</v>
      </c>
      <c r="W6007">
        <v>6.1247609999999899E-3</v>
      </c>
      <c r="X6007">
        <v>0.97941849999999997</v>
      </c>
      <c r="Y6007">
        <v>0.28033200000000003</v>
      </c>
      <c r="Z6007">
        <v>4.512033E-2</v>
      </c>
      <c r="AA6007">
        <v>0.95884210000000003</v>
      </c>
      <c r="AB6007">
        <v>18</v>
      </c>
      <c r="AC6007">
        <v>-3.2526999999999999</v>
      </c>
      <c r="AD6007">
        <v>-1.1041661077880001</v>
      </c>
      <c r="AE6007">
        <v>-23.266099999999899</v>
      </c>
      <c r="AF6007">
        <v>6.6100037573375099</v>
      </c>
      <c r="AG6007">
        <v>-1.1041661077880001</v>
      </c>
      <c r="AH6007">
        <v>22.489308735334301</v>
      </c>
      <c r="AI6007">
        <v>92.696917371921501</v>
      </c>
      <c r="AJ6007">
        <v>73.621009267762901</v>
      </c>
      <c r="AK6007">
        <v>23.4665792108433</v>
      </c>
      <c r="AL6007">
        <v>89.649074850686603</v>
      </c>
      <c r="AM6007">
        <v>78.360635343431696</v>
      </c>
      <c r="AN6007">
        <v>1.0000000015989801</v>
      </c>
    </row>
    <row r="6008" spans="1:40" x14ac:dyDescent="0.25">
      <c r="A6008" t="str">
        <f>"20190312150813657"</f>
        <v>20190312150813657</v>
      </c>
      <c r="B6008" t="str">
        <f>"1552374493646440"</f>
        <v>1552374493646440</v>
      </c>
      <c r="C6008" t="s">
        <v>40</v>
      </c>
      <c r="D6008">
        <v>5.0243520000000004</v>
      </c>
      <c r="E6008">
        <v>0.53316609999999998</v>
      </c>
      <c r="F6008" t="s">
        <v>42</v>
      </c>
      <c r="G6008">
        <v>-193.79679999999999</v>
      </c>
      <c r="H6008" s="1">
        <v>-3.9991969999999999E-6</v>
      </c>
      <c r="I6008">
        <v>176.75960000000001</v>
      </c>
      <c r="J6008">
        <v>-190.32939999999999</v>
      </c>
      <c r="K6008">
        <v>1.1041939999999999</v>
      </c>
      <c r="L6008">
        <v>200.26759999999999</v>
      </c>
      <c r="M6008">
        <v>0.13254189999999999</v>
      </c>
      <c r="N6008">
        <v>0</v>
      </c>
      <c r="O6008">
        <v>-0.99106249999999996</v>
      </c>
      <c r="P6008">
        <v>-6.6277660000000002E-2</v>
      </c>
      <c r="Q6008">
        <v>-5.9746180000000001E-3</v>
      </c>
      <c r="R6008">
        <v>-0.99778389999999995</v>
      </c>
      <c r="S6008">
        <v>-0.4347839</v>
      </c>
      <c r="T6008">
        <v>-0.13886509999999999</v>
      </c>
      <c r="U6008">
        <v>-2.979584</v>
      </c>
      <c r="V6008">
        <v>0.19807150000000001</v>
      </c>
      <c r="W6008">
        <v>5.6813100000000002E-3</v>
      </c>
      <c r="X6008">
        <v>0.98017109999999996</v>
      </c>
      <c r="Y6008">
        <v>0.27413660000000001</v>
      </c>
      <c r="Z6008">
        <v>4.4808250000000001E-2</v>
      </c>
      <c r="AA6008">
        <v>0.96064629999999995</v>
      </c>
      <c r="AB6008">
        <v>18</v>
      </c>
      <c r="AC6008">
        <v>-3.4673999999999898</v>
      </c>
      <c r="AD6008">
        <v>-1.1041979991969999</v>
      </c>
      <c r="AE6008">
        <v>-23.5079999999999</v>
      </c>
      <c r="AF6008">
        <v>6.5388320307540404</v>
      </c>
      <c r="AG6008">
        <v>-1.1041979991969999</v>
      </c>
      <c r="AH6008">
        <v>22.7917083948679</v>
      </c>
      <c r="AI6008">
        <v>92.666265860038393</v>
      </c>
      <c r="AJ6008">
        <v>73.992068068415094</v>
      </c>
      <c r="AK6008">
        <v>23.736839492749201</v>
      </c>
      <c r="AL6008">
        <v>89.674483160761994</v>
      </c>
      <c r="AM6008">
        <v>78.5756048258867</v>
      </c>
      <c r="AN6008">
        <v>0.99999999083538804</v>
      </c>
    </row>
    <row r="6009" spans="1:40" x14ac:dyDescent="0.25">
      <c r="A6009" t="str">
        <f>"20190312150813679"</f>
        <v>20190312150813679</v>
      </c>
      <c r="B6009" t="str">
        <f>"1552374493675715"</f>
        <v>1552374493675715</v>
      </c>
      <c r="C6009" t="s">
        <v>40</v>
      </c>
      <c r="D6009">
        <v>4.7491760000000003</v>
      </c>
      <c r="E6009">
        <v>0.55511369999999904</v>
      </c>
      <c r="F6009" t="s">
        <v>42</v>
      </c>
      <c r="G6009">
        <v>-194.08359999999999</v>
      </c>
      <c r="H6009" s="1">
        <v>-3.9073760000000002E-6</v>
      </c>
      <c r="I6009">
        <v>176.34020000000001</v>
      </c>
      <c r="J6009">
        <v>-190.3219</v>
      </c>
      <c r="K6009">
        <v>1.104231</v>
      </c>
      <c r="L6009">
        <v>200.08930000000001</v>
      </c>
      <c r="M6009">
        <v>0.1190881</v>
      </c>
      <c r="N6009">
        <v>0</v>
      </c>
      <c r="O6009">
        <v>-0.99276889999999995</v>
      </c>
      <c r="P6009">
        <v>-7.5119340000000007E-2</v>
      </c>
      <c r="Q6009">
        <v>-6.8522289999999996E-3</v>
      </c>
      <c r="R6009">
        <v>-0.99715129999999996</v>
      </c>
      <c r="S6009">
        <v>-0.46675109999999997</v>
      </c>
      <c r="T6009">
        <v>-0.137283399999999</v>
      </c>
      <c r="U6009">
        <v>-2.9748540000000001</v>
      </c>
      <c r="V6009">
        <v>0.1934488</v>
      </c>
      <c r="W6009">
        <v>4.8997839999999999E-3</v>
      </c>
      <c r="X6009">
        <v>0.98109820000000003</v>
      </c>
      <c r="Y6009">
        <v>0.2714048</v>
      </c>
      <c r="Z6009">
        <v>4.4468519999999997E-2</v>
      </c>
      <c r="AA6009">
        <v>0.96143749999999994</v>
      </c>
      <c r="AB6009">
        <v>17</v>
      </c>
      <c r="AC6009">
        <v>-3.7616999999999901</v>
      </c>
      <c r="AD6009">
        <v>-1.1042349073760001</v>
      </c>
      <c r="AE6009">
        <v>-23.749099999999999</v>
      </c>
      <c r="AF6009">
        <v>6.5496690786453398</v>
      </c>
      <c r="AG6009">
        <v>-1.1042349073760001</v>
      </c>
      <c r="AH6009">
        <v>23.083348893278501</v>
      </c>
      <c r="AI6009">
        <v>92.634904678093093</v>
      </c>
      <c r="AJ6009">
        <v>74.159240337213603</v>
      </c>
      <c r="AK6009">
        <v>24.019960364231501</v>
      </c>
      <c r="AL6009">
        <v>89.719261950372101</v>
      </c>
      <c r="AM6009">
        <v>78.845744052139594</v>
      </c>
      <c r="AN6009">
        <v>1.00000006207396</v>
      </c>
    </row>
    <row r="6010" spans="1:40" x14ac:dyDescent="0.25">
      <c r="A6010" t="str">
        <f>"20190312150813702"</f>
        <v>20190312150813702</v>
      </c>
      <c r="B6010" t="str">
        <f>"1552374493696211"</f>
        <v>1552374493696211</v>
      </c>
      <c r="C6010" t="s">
        <v>40</v>
      </c>
      <c r="D6010">
        <v>4.878946</v>
      </c>
      <c r="E6010">
        <v>0.55589650000000002</v>
      </c>
      <c r="F6010" t="s">
        <v>42</v>
      </c>
      <c r="G6010">
        <v>-196.0232</v>
      </c>
      <c r="H6010" s="1">
        <v>-3.7385669999999998E-6</v>
      </c>
      <c r="I6010">
        <v>174.8331</v>
      </c>
      <c r="J6010">
        <v>-190.3168</v>
      </c>
      <c r="K6010">
        <v>1.104285</v>
      </c>
      <c r="L6010">
        <v>199.90799999999999</v>
      </c>
      <c r="M6010">
        <v>0.1054397</v>
      </c>
      <c r="N6010">
        <v>0</v>
      </c>
      <c r="O6010">
        <v>-0.99431139999999996</v>
      </c>
      <c r="P6010">
        <v>-8.3663699999999994E-2</v>
      </c>
      <c r="Q6010">
        <v>-7.9777530000000006E-3</v>
      </c>
      <c r="R6010">
        <v>-0.99646230000000002</v>
      </c>
      <c r="S6010">
        <v>-0.66760249999999999</v>
      </c>
      <c r="T6010">
        <v>-0.129302</v>
      </c>
      <c r="U6010">
        <v>-2.9574129999999998</v>
      </c>
      <c r="V6010">
        <v>0.1883599</v>
      </c>
      <c r="W6010">
        <v>3.880793E-3</v>
      </c>
      <c r="X6010">
        <v>0.98209239999999998</v>
      </c>
      <c r="Y6010">
        <v>0.32163920000000001</v>
      </c>
      <c r="Z6010">
        <v>4.1629439999999997E-2</v>
      </c>
      <c r="AA6010">
        <v>0.94594679999999998</v>
      </c>
      <c r="AB6010">
        <v>17</v>
      </c>
      <c r="AC6010">
        <v>-5.7064000000000004</v>
      </c>
      <c r="AD6010">
        <v>-1.1042887385669999</v>
      </c>
      <c r="AE6010">
        <v>-25.0748999999999</v>
      </c>
      <c r="AF6010">
        <v>8.3034625524277494</v>
      </c>
      <c r="AG6010">
        <v>-1.1042887385669999</v>
      </c>
      <c r="AH6010">
        <v>24.288555798889</v>
      </c>
      <c r="AI6010">
        <v>92.463394263313603</v>
      </c>
      <c r="AJ6010">
        <v>71.126120217851593</v>
      </c>
      <c r="AK6010">
        <v>25.692428588466299</v>
      </c>
      <c r="AL6010">
        <v>89.777646381207404</v>
      </c>
      <c r="AM6010">
        <v>79.142831930279002</v>
      </c>
      <c r="AN6010">
        <v>0.99999999731003897</v>
      </c>
    </row>
    <row r="6011" spans="1:40" x14ac:dyDescent="0.25">
      <c r="A6011" t="str">
        <f>"20190312150813724"</f>
        <v>20190312150813724</v>
      </c>
      <c r="B6011" t="str">
        <f>"1552374493715731"</f>
        <v>1552374493715731</v>
      </c>
      <c r="C6011" t="s">
        <v>40</v>
      </c>
      <c r="D6011">
        <v>4.7504439999999999</v>
      </c>
      <c r="E6011">
        <v>0.55556240000000001</v>
      </c>
      <c r="F6011" t="s">
        <v>42</v>
      </c>
      <c r="G6011">
        <v>-195.6857</v>
      </c>
      <c r="H6011" s="1">
        <v>-4.5057860000000002E-6</v>
      </c>
      <c r="I6011">
        <v>177.2636</v>
      </c>
      <c r="J6011">
        <v>-190.31389999999999</v>
      </c>
      <c r="K6011">
        <v>1.104357</v>
      </c>
      <c r="L6011">
        <v>199.72669999999999</v>
      </c>
      <c r="M6011">
        <v>9.1857030000000006E-2</v>
      </c>
      <c r="N6011">
        <v>0</v>
      </c>
      <c r="O6011">
        <v>-0.9956585</v>
      </c>
      <c r="P6011">
        <v>-9.3101900000000001E-2</v>
      </c>
      <c r="Q6011">
        <v>-7.8428109999999999E-3</v>
      </c>
      <c r="R6011">
        <v>-0.99562589999999995</v>
      </c>
      <c r="S6011">
        <v>-0.69961549999999995</v>
      </c>
      <c r="T6011">
        <v>-0.1438981</v>
      </c>
      <c r="U6011">
        <v>-2.9507599999999998</v>
      </c>
      <c r="V6011">
        <v>0.1842596</v>
      </c>
      <c r="W6011">
        <v>4.1077650000000002E-3</v>
      </c>
      <c r="X6011">
        <v>0.98286899999999999</v>
      </c>
      <c r="Y6011">
        <v>0.31886160000000002</v>
      </c>
      <c r="Z6011">
        <v>4.648422E-2</v>
      </c>
      <c r="AA6011">
        <v>0.94666070000000002</v>
      </c>
      <c r="AB6011">
        <v>17</v>
      </c>
      <c r="AC6011">
        <v>-5.3718000000000004</v>
      </c>
      <c r="AD6011">
        <v>-1.1043615057859999</v>
      </c>
      <c r="AE6011">
        <v>-22.463100000000001</v>
      </c>
      <c r="AF6011">
        <v>7.3958023429972002</v>
      </c>
      <c r="AG6011">
        <v>-1.1043615057859999</v>
      </c>
      <c r="AH6011">
        <v>21.8247179965295</v>
      </c>
      <c r="AI6011">
        <v>92.7437708965262</v>
      </c>
      <c r="AJ6011">
        <v>71.279880438848295</v>
      </c>
      <c r="AK6011">
        <v>23.0702367187722</v>
      </c>
      <c r="AL6011">
        <v>89.764641733907595</v>
      </c>
      <c r="AM6011">
        <v>79.381940547459294</v>
      </c>
      <c r="AN6011">
        <v>0.99999997254322703</v>
      </c>
    </row>
    <row r="6012" spans="1:40" x14ac:dyDescent="0.25">
      <c r="A6012" t="str">
        <f>"20190312150813745"</f>
        <v>20190312150813745</v>
      </c>
      <c r="B6012" t="str">
        <f>"1552374493736232"</f>
        <v>1552374493736232</v>
      </c>
      <c r="C6012" t="s">
        <v>40</v>
      </c>
      <c r="D6012">
        <v>4.6854490000000002</v>
      </c>
      <c r="E6012">
        <v>0.55414799999999997</v>
      </c>
      <c r="F6012" t="s">
        <v>42</v>
      </c>
      <c r="G6012">
        <v>-196.02670000000001</v>
      </c>
      <c r="H6012" s="1">
        <v>-4.3134949999999999E-6</v>
      </c>
      <c r="I6012">
        <v>176.52080000000001</v>
      </c>
      <c r="J6012">
        <v>-190.31360000000001</v>
      </c>
      <c r="K6012">
        <v>1.104452</v>
      </c>
      <c r="L6012">
        <v>199.55199999999999</v>
      </c>
      <c r="M6012">
        <v>7.8880160000000005E-2</v>
      </c>
      <c r="N6012">
        <v>0</v>
      </c>
      <c r="O6012">
        <v>-0.99677070000000001</v>
      </c>
      <c r="P6012">
        <v>-0.1033506</v>
      </c>
      <c r="Q6012">
        <v>-7.190704E-3</v>
      </c>
      <c r="R6012">
        <v>-0.99461900000000003</v>
      </c>
      <c r="S6012">
        <v>-0.724823</v>
      </c>
      <c r="T6012">
        <v>-0.14011799999999999</v>
      </c>
      <c r="U6012">
        <v>-2.9443049999999999</v>
      </c>
      <c r="V6012">
        <v>0.18158779999999999</v>
      </c>
      <c r="W6012">
        <v>4.8292129999999997E-3</v>
      </c>
      <c r="X6012">
        <v>0.98336290000000004</v>
      </c>
      <c r="Y6012">
        <v>0.3146485</v>
      </c>
      <c r="Z6012">
        <v>4.542873E-2</v>
      </c>
      <c r="AA6012">
        <v>0.94812050000000003</v>
      </c>
      <c r="AB6012">
        <v>17</v>
      </c>
      <c r="AC6012">
        <v>-5.7130999999999901</v>
      </c>
      <c r="AD6012">
        <v>-1.1044563134950001</v>
      </c>
      <c r="AE6012">
        <v>-23.031199999999998</v>
      </c>
      <c r="AF6012">
        <v>7.4959657513034603</v>
      </c>
      <c r="AG6012">
        <v>-1.1044563134950001</v>
      </c>
      <c r="AH6012">
        <v>22.460063221138899</v>
      </c>
      <c r="AI6012">
        <v>92.670625129899094</v>
      </c>
      <c r="AJ6012">
        <v>71.543752373442302</v>
      </c>
      <c r="AK6012">
        <v>23.703665669906201</v>
      </c>
      <c r="AL6012">
        <v>89.723305407262202</v>
      </c>
      <c r="AM6012">
        <v>79.537618518994094</v>
      </c>
      <c r="AN6012">
        <v>1.00000002175172</v>
      </c>
    </row>
    <row r="6013" spans="1:40" x14ac:dyDescent="0.25">
      <c r="A6013" t="str">
        <f>"20190312150813768"</f>
        <v>20190312150813768</v>
      </c>
      <c r="B6013" t="str">
        <f>"1552374493755747"</f>
        <v>1552374493755747</v>
      </c>
      <c r="C6013" t="s">
        <v>40</v>
      </c>
      <c r="D6013">
        <v>4.6818519999999904</v>
      </c>
      <c r="E6013">
        <v>0.55311909999999997</v>
      </c>
      <c r="F6013" t="s">
        <v>42</v>
      </c>
      <c r="G6013">
        <v>-196.36969999999999</v>
      </c>
      <c r="H6013" s="1">
        <v>-4.0685150000000003E-6</v>
      </c>
      <c r="I6013">
        <v>175.62209999999999</v>
      </c>
      <c r="J6013">
        <v>-190.31530000000001</v>
      </c>
      <c r="K6013">
        <v>1.1045830000000001</v>
      </c>
      <c r="L6013">
        <v>199.37690000000001</v>
      </c>
      <c r="M6013">
        <v>6.6026489999999993E-2</v>
      </c>
      <c r="N6013">
        <v>0</v>
      </c>
      <c r="O6013">
        <v>-0.99770510000000001</v>
      </c>
      <c r="P6013">
        <v>-0.113072699999999</v>
      </c>
      <c r="Q6013">
        <v>-7.8401570000000004E-3</v>
      </c>
      <c r="R6013">
        <v>-0.99355610000000005</v>
      </c>
      <c r="S6013">
        <v>-0.74354549999999997</v>
      </c>
      <c r="T6013">
        <v>-0.1356001</v>
      </c>
      <c r="U6013">
        <v>-2.9380039999999998</v>
      </c>
      <c r="V6013">
        <v>0.1785177</v>
      </c>
      <c r="W6013">
        <v>4.2598760000000001E-3</v>
      </c>
      <c r="X6013">
        <v>0.98392749999999995</v>
      </c>
      <c r="Y6013">
        <v>0.30858249999999998</v>
      </c>
      <c r="Z6013">
        <v>4.4133970000000002E-2</v>
      </c>
      <c r="AA6013">
        <v>0.95017309999999999</v>
      </c>
      <c r="AB6013">
        <v>17</v>
      </c>
      <c r="AC6013">
        <v>-6.0543999999999798</v>
      </c>
      <c r="AD6013">
        <v>-1.1045870685150001</v>
      </c>
      <c r="AE6013">
        <v>-23.754799999999999</v>
      </c>
      <c r="AF6013">
        <v>7.5943890792143796</v>
      </c>
      <c r="AG6013">
        <v>-1.1045870685150001</v>
      </c>
      <c r="AH6013">
        <v>23.255939527685399</v>
      </c>
      <c r="AI6013">
        <v>92.585179895629494</v>
      </c>
      <c r="AJ6013">
        <v>71.915190095120906</v>
      </c>
      <c r="AK6013">
        <v>24.489458576983299</v>
      </c>
      <c r="AL6013">
        <v>89.755926350769997</v>
      </c>
      <c r="AM6013">
        <v>79.716473973843307</v>
      </c>
      <c r="AN6013">
        <v>1.00000002050653</v>
      </c>
    </row>
    <row r="6014" spans="1:40" x14ac:dyDescent="0.25">
      <c r="A6014" t="str">
        <f>"20190312150813791"</f>
        <v>20190312150813791</v>
      </c>
      <c r="B6014" t="str">
        <f>"1552374493786004"</f>
        <v>1552374493786004</v>
      </c>
      <c r="C6014" t="s">
        <v>40</v>
      </c>
      <c r="D6014">
        <v>4.68485</v>
      </c>
      <c r="E6014">
        <v>0.55193440000000005</v>
      </c>
      <c r="F6014" t="s">
        <v>42</v>
      </c>
      <c r="G6014">
        <v>-196.44669999999999</v>
      </c>
      <c r="H6014" s="1">
        <v>-4.1608229999999996E-6</v>
      </c>
      <c r="I6014">
        <v>175.85319999999999</v>
      </c>
      <c r="J6014">
        <v>-190.31950000000001</v>
      </c>
      <c r="K6014">
        <v>1.1047279999999999</v>
      </c>
      <c r="L6014">
        <v>199.18969999999999</v>
      </c>
      <c r="M6014">
        <v>5.2457950000000003E-2</v>
      </c>
      <c r="N6014">
        <v>0</v>
      </c>
      <c r="O6014">
        <v>-0.99851129999999999</v>
      </c>
      <c r="P6014">
        <v>-0.1225754</v>
      </c>
      <c r="Q6014">
        <v>-8.9053069999999995E-3</v>
      </c>
      <c r="R6014">
        <v>-0.99241959999999996</v>
      </c>
      <c r="S6014">
        <v>-0.76406859999999999</v>
      </c>
      <c r="T6014">
        <v>-0.13764870000000001</v>
      </c>
      <c r="U6014">
        <v>-2.9314119999999999</v>
      </c>
      <c r="V6014">
        <v>0.174539</v>
      </c>
      <c r="W6014">
        <v>3.2885660000000001E-3</v>
      </c>
      <c r="X6014">
        <v>0.98464479999999999</v>
      </c>
      <c r="Y6014">
        <v>0.30238540000000003</v>
      </c>
      <c r="Z6014">
        <v>4.4960170000000001E-2</v>
      </c>
      <c r="AA6014">
        <v>0.95212479999999999</v>
      </c>
      <c r="AB6014">
        <v>17</v>
      </c>
      <c r="AC6014">
        <v>-6.1271999999999798</v>
      </c>
      <c r="AD6014">
        <v>-1.1047321608230001</v>
      </c>
      <c r="AE6014">
        <v>-23.336500000000001</v>
      </c>
      <c r="AF6014">
        <v>7.3277210520807303</v>
      </c>
      <c r="AG6014">
        <v>-1.1047321608230001</v>
      </c>
      <c r="AH6014">
        <v>22.9348229645252</v>
      </c>
      <c r="AI6014">
        <v>92.627077516332804</v>
      </c>
      <c r="AJ6014">
        <v>72.281216716346805</v>
      </c>
      <c r="AK6014">
        <v>24.102324231873901</v>
      </c>
      <c r="AL6014">
        <v>89.811578713521598</v>
      </c>
      <c r="AM6014">
        <v>79.948113501994698</v>
      </c>
      <c r="AN6014">
        <v>1.00000002967718</v>
      </c>
    </row>
    <row r="6015" spans="1:40" x14ac:dyDescent="0.25">
      <c r="A6015" t="str">
        <f>"20190312150813813"</f>
        <v>20190312150813813</v>
      </c>
      <c r="B6015" t="str">
        <f>"1552374493806500"</f>
        <v>1552374493806500</v>
      </c>
      <c r="C6015" t="s">
        <v>40</v>
      </c>
      <c r="D6015">
        <v>4.8405630000000004</v>
      </c>
      <c r="E6015">
        <v>0.55155240000000005</v>
      </c>
      <c r="F6015" t="s">
        <v>42</v>
      </c>
      <c r="G6015">
        <v>-196.56270000000001</v>
      </c>
      <c r="H6015" s="1">
        <v>-4.18475E-6</v>
      </c>
      <c r="I6015">
        <v>175.8631</v>
      </c>
      <c r="J6015">
        <v>-190.3254</v>
      </c>
      <c r="K6015">
        <v>1.1048830000000001</v>
      </c>
      <c r="L6015">
        <v>199.012</v>
      </c>
      <c r="M6015">
        <v>3.977526E-2</v>
      </c>
      <c r="N6015">
        <v>0</v>
      </c>
      <c r="O6015">
        <v>-0.99909740000000002</v>
      </c>
      <c r="P6015">
        <v>-0.13087489999999999</v>
      </c>
      <c r="Q6015">
        <v>-8.4595269999999997E-3</v>
      </c>
      <c r="R6015">
        <v>-0.99136299999999999</v>
      </c>
      <c r="S6015">
        <v>-0.7828522</v>
      </c>
      <c r="T6015">
        <v>-0.1385255</v>
      </c>
      <c r="U6015">
        <v>-2.9249879999999999</v>
      </c>
      <c r="V6015">
        <v>0.17027870000000001</v>
      </c>
      <c r="W6015">
        <v>3.8288179999999999E-3</v>
      </c>
      <c r="X6015">
        <v>0.9853885</v>
      </c>
      <c r="Y6015">
        <v>0.29649799999999998</v>
      </c>
      <c r="Z6015">
        <v>4.5389319999999997E-2</v>
      </c>
      <c r="AA6015">
        <v>0.95395430000000003</v>
      </c>
      <c r="AB6015">
        <v>17</v>
      </c>
      <c r="AC6015">
        <v>-6.2373000000000003</v>
      </c>
      <c r="AD6015">
        <v>-1.1048871847499999</v>
      </c>
      <c r="AE6015">
        <v>-23.148900000000001</v>
      </c>
      <c r="AF6015">
        <v>7.1380582571390496</v>
      </c>
      <c r="AG6015">
        <v>-1.1048871847499999</v>
      </c>
      <c r="AH6015">
        <v>22.833961810133498</v>
      </c>
      <c r="AI6015">
        <v>92.644261415415997</v>
      </c>
      <c r="AJ6015">
        <v>72.640385842143004</v>
      </c>
      <c r="AK6015">
        <v>23.949164146582898</v>
      </c>
      <c r="AL6015">
        <v>89.780624351134307</v>
      </c>
      <c r="AM6015">
        <v>80.195903731123494</v>
      </c>
      <c r="AN6015">
        <v>0.99999999572660803</v>
      </c>
    </row>
    <row r="6016" spans="1:40" x14ac:dyDescent="0.25">
      <c r="A6016" t="str">
        <f>"20190312150813834"</f>
        <v>20190312150813834</v>
      </c>
      <c r="B6016" t="str">
        <f>"1552374493826023"</f>
        <v>1552374493826023</v>
      </c>
      <c r="C6016" t="s">
        <v>40</v>
      </c>
      <c r="D6016">
        <v>4.6011829999999998</v>
      </c>
      <c r="E6016">
        <v>0.54216309999999901</v>
      </c>
      <c r="F6016" t="s">
        <v>42</v>
      </c>
      <c r="G6016">
        <v>-196.8443</v>
      </c>
      <c r="H6016" s="1">
        <v>-4.062544E-6</v>
      </c>
      <c r="I6016">
        <v>175.35720000000001</v>
      </c>
      <c r="J6016">
        <v>-190.3331</v>
      </c>
      <c r="K6016">
        <v>1.1050610000000001</v>
      </c>
      <c r="L6016">
        <v>198.83940000000001</v>
      </c>
      <c r="M6016">
        <v>2.7703180000000001E-2</v>
      </c>
      <c r="N6016">
        <v>0</v>
      </c>
      <c r="O6016">
        <v>-0.9995058</v>
      </c>
      <c r="P6016">
        <v>-0.13856399999999999</v>
      </c>
      <c r="Q6016">
        <v>-6.6558959999999997E-3</v>
      </c>
      <c r="R6016">
        <v>-0.99033139999999997</v>
      </c>
      <c r="S6016">
        <v>-0.804367099999999</v>
      </c>
      <c r="T6016">
        <v>-0.13633229999999999</v>
      </c>
      <c r="U6016">
        <v>-2.918777</v>
      </c>
      <c r="V6016">
        <v>0.16604349999999901</v>
      </c>
      <c r="W6016">
        <v>5.7232709999999899E-3</v>
      </c>
      <c r="X6016">
        <v>0.98610180000000003</v>
      </c>
      <c r="Y6016">
        <v>0.29202080000000002</v>
      </c>
      <c r="Z6016">
        <v>4.4781090000000003E-2</v>
      </c>
      <c r="AA6016">
        <v>0.95536299999999996</v>
      </c>
      <c r="AB6016">
        <v>17</v>
      </c>
      <c r="AC6016">
        <v>-6.5111999999999997</v>
      </c>
      <c r="AD6016">
        <v>-1.1050650625439999</v>
      </c>
      <c r="AE6016">
        <v>-23.482199999999999</v>
      </c>
      <c r="AF6016">
        <v>7.1446109253870702</v>
      </c>
      <c r="AG6016">
        <v>-1.1050650625439999</v>
      </c>
      <c r="AH6016">
        <v>23.244981239259801</v>
      </c>
      <c r="AI6016">
        <v>92.601839324205699</v>
      </c>
      <c r="AJ6016">
        <v>72.914590368678205</v>
      </c>
      <c r="AK6016">
        <v>24.3432903873152</v>
      </c>
      <c r="AL6016">
        <v>89.672078929842698</v>
      </c>
      <c r="AM6016">
        <v>80.441982933565995</v>
      </c>
      <c r="AN6016">
        <v>0.99999997984321398</v>
      </c>
    </row>
    <row r="6017" spans="1:40" x14ac:dyDescent="0.25">
      <c r="A6017" t="str">
        <f>"20190312150813857"</f>
        <v>20190312150813857</v>
      </c>
      <c r="B6017" t="str">
        <f>"1552374493846515"</f>
        <v>1552374493846515</v>
      </c>
      <c r="C6017" t="s">
        <v>40</v>
      </c>
      <c r="D6017">
        <v>4.9216430000000004</v>
      </c>
      <c r="E6017">
        <v>0.54227139999999996</v>
      </c>
      <c r="F6017" t="s">
        <v>77</v>
      </c>
      <c r="G6017">
        <v>-205.4589</v>
      </c>
      <c r="H6017" s="1">
        <v>-7.4526600000000004E-6</v>
      </c>
      <c r="I6017">
        <v>139.88390000000001</v>
      </c>
      <c r="J6017">
        <v>-190.3426</v>
      </c>
      <c r="K6017">
        <v>1.105245</v>
      </c>
      <c r="L6017">
        <v>198.6661</v>
      </c>
      <c r="M6017">
        <v>1.587736E-2</v>
      </c>
      <c r="N6017">
        <v>0</v>
      </c>
      <c r="O6017">
        <v>-0.99976430000000005</v>
      </c>
      <c r="P6017">
        <v>-0.1458285</v>
      </c>
      <c r="Q6017">
        <v>-4.2136220000000002E-3</v>
      </c>
      <c r="R6017">
        <v>-0.98930119999999999</v>
      </c>
      <c r="S6017">
        <v>-0.75018309999999999</v>
      </c>
      <c r="T6017">
        <v>-5.4807420000000003E-2</v>
      </c>
      <c r="U6017">
        <v>-2.9239809999999999</v>
      </c>
      <c r="V6017">
        <v>0.16164310000000001</v>
      </c>
      <c r="W6017">
        <v>8.2556890000000001E-3</v>
      </c>
      <c r="X6017">
        <v>0.98681470000000004</v>
      </c>
      <c r="Y6017">
        <v>0.26382230000000001</v>
      </c>
      <c r="Z6017">
        <v>1.8112090000000001E-2</v>
      </c>
      <c r="AA6017">
        <v>0.96440119999999896</v>
      </c>
      <c r="AB6017">
        <v>17</v>
      </c>
      <c r="AC6017">
        <v>-15.116299999999899</v>
      </c>
      <c r="AD6017">
        <v>-1.1052524526600001</v>
      </c>
      <c r="AE6017">
        <v>-58.782199999999897</v>
      </c>
      <c r="AF6017">
        <v>16.042482839318101</v>
      </c>
      <c r="AG6017">
        <v>-1.1052524526600001</v>
      </c>
      <c r="AH6017">
        <v>58.515351452623001</v>
      </c>
      <c r="AI6017">
        <v>91.043588145411107</v>
      </c>
      <c r="AJ6017">
        <v>74.668581238015406</v>
      </c>
      <c r="AK6017">
        <v>60.684670175077301</v>
      </c>
      <c r="AL6017">
        <v>89.526978466405794</v>
      </c>
      <c r="AM6017">
        <v>80.697399197836106</v>
      </c>
      <c r="AN6017">
        <v>0.99999995015728105</v>
      </c>
    </row>
    <row r="6018" spans="1:40" x14ac:dyDescent="0.25">
      <c r="A6018" t="str">
        <f>"20190312150813880"</f>
        <v>20190312150813880</v>
      </c>
      <c r="B6018" t="str">
        <f>"1552374493875796"</f>
        <v>1552374493875796</v>
      </c>
      <c r="C6018" t="s">
        <v>40</v>
      </c>
      <c r="D6018">
        <v>4.6207250000000002</v>
      </c>
      <c r="E6018">
        <v>0.53324819999999995</v>
      </c>
      <c r="F6018" t="s">
        <v>77</v>
      </c>
      <c r="G6018">
        <v>-207.6523</v>
      </c>
      <c r="H6018" s="1">
        <v>-4.2735529999999998E-6</v>
      </c>
      <c r="I6018">
        <v>133.2807</v>
      </c>
      <c r="J6018">
        <v>-190.3545</v>
      </c>
      <c r="K6018">
        <v>1.1054630000000001</v>
      </c>
      <c r="L6018">
        <v>198.48220000000001</v>
      </c>
      <c r="M6018">
        <v>3.6685530000000002E-3</v>
      </c>
      <c r="N6018">
        <v>0</v>
      </c>
      <c r="O6018">
        <v>-0.99988480000000002</v>
      </c>
      <c r="P6018">
        <v>-0.15351409999999999</v>
      </c>
      <c r="Q6018">
        <v>-3.8615889999999999E-3</v>
      </c>
      <c r="R6018">
        <v>-0.98813910000000005</v>
      </c>
      <c r="S6018">
        <v>-0.77258300000000002</v>
      </c>
      <c r="T6018">
        <v>-4.933071E-2</v>
      </c>
      <c r="U6018">
        <v>-2.9183500000000002</v>
      </c>
      <c r="V6018">
        <v>0.15726189999999901</v>
      </c>
      <c r="W6018">
        <v>8.6948419999999995E-3</v>
      </c>
      <c r="X6018">
        <v>0.98751869999999997</v>
      </c>
      <c r="Y6018">
        <v>0.25942779999999999</v>
      </c>
      <c r="Z6018">
        <v>1.6330520000000001E-2</v>
      </c>
      <c r="AA6018">
        <v>0.9656245</v>
      </c>
      <c r="AB6018">
        <v>17</v>
      </c>
      <c r="AC6018">
        <v>-17.297799999999899</v>
      </c>
      <c r="AD6018">
        <v>-1.10546727355299</v>
      </c>
      <c r="AE6018">
        <v>-65.201499999999996</v>
      </c>
      <c r="AF6018">
        <v>17.5321962768543</v>
      </c>
      <c r="AG6018">
        <v>-1.10546727355299</v>
      </c>
      <c r="AH6018">
        <v>65.120107871843302</v>
      </c>
      <c r="AI6018">
        <v>90.939115691337093</v>
      </c>
      <c r="AJ6018">
        <v>74.931627069703893</v>
      </c>
      <c r="AK6018">
        <v>67.447968193441895</v>
      </c>
      <c r="AL6018">
        <v>89.5018159945907</v>
      </c>
      <c r="AM6018">
        <v>80.951652820976904</v>
      </c>
      <c r="AN6018">
        <v>1.00000004415935</v>
      </c>
    </row>
    <row r="6019" spans="1:40" x14ac:dyDescent="0.25">
      <c r="A6019" t="str">
        <f>"20190312150813904"</f>
        <v>20190312150813904</v>
      </c>
      <c r="B6019" t="str">
        <f>"1552374493896291"</f>
        <v>1552374493896291</v>
      </c>
      <c r="C6019" t="s">
        <v>40</v>
      </c>
      <c r="D6019">
        <v>4.6020519999999996</v>
      </c>
      <c r="E6019">
        <v>0.53460920000000001</v>
      </c>
      <c r="F6019" t="s">
        <v>42</v>
      </c>
      <c r="G6019">
        <v>-198.6276</v>
      </c>
      <c r="H6019" s="1">
        <v>-4.5479899999999996E-6</v>
      </c>
      <c r="I6019">
        <v>165.14410000000001</v>
      </c>
      <c r="J6019">
        <v>-190.3682</v>
      </c>
      <c r="K6019">
        <v>1.1057090000000001</v>
      </c>
      <c r="L6019">
        <v>198.29759999999999</v>
      </c>
      <c r="M6019">
        <v>-8.2095039999999994E-3</v>
      </c>
      <c r="N6019">
        <v>0</v>
      </c>
      <c r="O6019">
        <v>-0.99985889999999999</v>
      </c>
      <c r="P6019">
        <v>-0.15921009999999999</v>
      </c>
      <c r="Q6019">
        <v>-5.6977410000000001E-3</v>
      </c>
      <c r="R6019">
        <v>-0.98722849999999995</v>
      </c>
      <c r="S6019">
        <v>-0.72535709999999998</v>
      </c>
      <c r="T6019">
        <v>-9.6923110000000007E-2</v>
      </c>
      <c r="U6019">
        <v>-2.9229579999999999</v>
      </c>
      <c r="V6019">
        <v>0.15119479999999999</v>
      </c>
      <c r="W6019">
        <v>6.9663599999999996E-3</v>
      </c>
      <c r="X6019">
        <v>0.98847940000000001</v>
      </c>
      <c r="Y6019">
        <v>0.2327515</v>
      </c>
      <c r="Z6019">
        <v>3.2196530000000001E-2</v>
      </c>
      <c r="AA6019">
        <v>0.97200319999999996</v>
      </c>
      <c r="AB6019">
        <v>17</v>
      </c>
      <c r="AC6019">
        <v>-8.2593999999999994</v>
      </c>
      <c r="AD6019">
        <v>-1.10571354799</v>
      </c>
      <c r="AE6019">
        <v>-33.153499999999902</v>
      </c>
      <c r="AF6019">
        <v>7.9785625447900097</v>
      </c>
      <c r="AG6019">
        <v>-1.10571354799</v>
      </c>
      <c r="AH6019">
        <v>33.185439900781702</v>
      </c>
      <c r="AI6019">
        <v>91.855510095410494</v>
      </c>
      <c r="AJ6019">
        <v>76.481320902576797</v>
      </c>
      <c r="AK6019">
        <v>34.148989503933002</v>
      </c>
      <c r="AL6019">
        <v>89.600853729369106</v>
      </c>
      <c r="AM6019">
        <v>81.303613693925499</v>
      </c>
      <c r="AN6019">
        <v>0.99999996097152399</v>
      </c>
    </row>
    <row r="6020" spans="1:40" x14ac:dyDescent="0.25">
      <c r="A6020" t="str">
        <f>"20190312150813925"</f>
        <v>20190312150813925</v>
      </c>
      <c r="B6020" t="str">
        <f>"1552374493915811"</f>
        <v>1552374493915811</v>
      </c>
      <c r="C6020" t="s">
        <v>40</v>
      </c>
      <c r="D6020">
        <v>4.574039</v>
      </c>
      <c r="E6020">
        <v>0.53434369999999998</v>
      </c>
      <c r="F6020" t="s">
        <v>42</v>
      </c>
      <c r="G6020">
        <v>-197.4837</v>
      </c>
      <c r="H6020" s="1">
        <v>-2.4841559999999999E-6</v>
      </c>
      <c r="I6020">
        <v>170.73820000000001</v>
      </c>
      <c r="J6020">
        <v>-190.38239999999999</v>
      </c>
      <c r="K6020">
        <v>1.1059380000000001</v>
      </c>
      <c r="L6020">
        <v>198.12729999999999</v>
      </c>
      <c r="M6020">
        <v>-1.876866E-2</v>
      </c>
      <c r="N6020">
        <v>0</v>
      </c>
      <c r="O6020">
        <v>-0.99971739999999998</v>
      </c>
      <c r="P6020">
        <v>-0.1626379</v>
      </c>
      <c r="Q6020">
        <v>-6.0347439999999999E-3</v>
      </c>
      <c r="R6020">
        <v>-0.98666750000000003</v>
      </c>
      <c r="S6020">
        <v>-0.75305180000000005</v>
      </c>
      <c r="T6020">
        <v>-0.11702079999999999</v>
      </c>
      <c r="U6020">
        <v>-2.9167019999999999</v>
      </c>
      <c r="V6020">
        <v>0.1441761</v>
      </c>
      <c r="W6020">
        <v>6.7427279999999999E-3</v>
      </c>
      <c r="X6020">
        <v>0.98952910000000005</v>
      </c>
      <c r="Y6020">
        <v>0.2315806</v>
      </c>
      <c r="Z6020">
        <v>3.8896510000000002E-2</v>
      </c>
      <c r="AA6020">
        <v>0.97203779999999995</v>
      </c>
      <c r="AB6020">
        <v>17</v>
      </c>
      <c r="AC6020">
        <v>-7.1013000000000002</v>
      </c>
      <c r="AD6020">
        <v>-1.1059404841560001</v>
      </c>
      <c r="AE6020">
        <v>-27.3890999999999</v>
      </c>
      <c r="AF6020">
        <v>6.5758911112142204</v>
      </c>
      <c r="AG6020">
        <v>-1.1059404841560001</v>
      </c>
      <c r="AH6020">
        <v>27.4755946666324</v>
      </c>
      <c r="AI6020">
        <v>92.241765906678793</v>
      </c>
      <c r="AJ6020">
        <v>76.540259935498597</v>
      </c>
      <c r="AK6020">
        <v>28.273198449169499</v>
      </c>
      <c r="AL6020">
        <v>89.613667225793805</v>
      </c>
      <c r="AM6020">
        <v>81.710238560824095</v>
      </c>
      <c r="AN6020">
        <v>1.0000000259694499</v>
      </c>
    </row>
    <row r="6021" spans="1:40" x14ac:dyDescent="0.25">
      <c r="A6021" t="str">
        <f>"20190312150813946"</f>
        <v>20190312150813946</v>
      </c>
      <c r="B6021" t="str">
        <f>"1552374493936307"</f>
        <v>1552374493936307</v>
      </c>
      <c r="C6021" t="s">
        <v>40</v>
      </c>
      <c r="D6021">
        <v>4.795833</v>
      </c>
      <c r="E6021">
        <v>0.53347409999999995</v>
      </c>
      <c r="F6021" t="s">
        <v>42</v>
      </c>
      <c r="G6021">
        <v>-196.8107</v>
      </c>
      <c r="H6021" s="1">
        <v>-3.4335950000000001E-6</v>
      </c>
      <c r="I6021">
        <v>173.5265</v>
      </c>
      <c r="J6021">
        <v>-190.39769999999999</v>
      </c>
      <c r="K6021">
        <v>1.106182</v>
      </c>
      <c r="L6021">
        <v>197.9605</v>
      </c>
      <c r="M6021">
        <v>-2.8725179999999999E-2</v>
      </c>
      <c r="N6021">
        <v>0</v>
      </c>
      <c r="O6021">
        <v>-0.99948199999999998</v>
      </c>
      <c r="P6021">
        <v>-0.16886300000000001</v>
      </c>
      <c r="Q6021">
        <v>-5.7828740000000003E-3</v>
      </c>
      <c r="R6021">
        <v>-0.98562269999999996</v>
      </c>
      <c r="S6021">
        <v>-0.76148990000000005</v>
      </c>
      <c r="T6021">
        <v>-0.13100909999999999</v>
      </c>
      <c r="U6021">
        <v>-2.9142000000000001</v>
      </c>
      <c r="V6021">
        <v>0.14056350000000001</v>
      </c>
      <c r="W6021">
        <v>7.0540949999999998E-3</v>
      </c>
      <c r="X6021">
        <v>0.9900466</v>
      </c>
      <c r="Y6021">
        <v>0.2246755</v>
      </c>
      <c r="Z6021">
        <v>4.3578159999999998E-2</v>
      </c>
      <c r="AA6021">
        <v>0.97345870000000001</v>
      </c>
      <c r="AB6021">
        <v>17</v>
      </c>
      <c r="AC6021">
        <v>-6.41300000000001</v>
      </c>
      <c r="AD6021">
        <v>-1.1061854335950001</v>
      </c>
      <c r="AE6021">
        <v>-24.434000000000001</v>
      </c>
      <c r="AF6021">
        <v>5.6974832131998498</v>
      </c>
      <c r="AG6021">
        <v>-1.1061854335950001</v>
      </c>
      <c r="AH6021">
        <v>24.561053289238199</v>
      </c>
      <c r="AI6021">
        <v>92.512139598973803</v>
      </c>
      <c r="AJ6021">
        <v>76.9399567485153</v>
      </c>
      <c r="AK6021">
        <v>25.237478080327101</v>
      </c>
      <c r="AL6021">
        <v>89.595826802067293</v>
      </c>
      <c r="AM6021">
        <v>81.919343260781602</v>
      </c>
      <c r="AN6021">
        <v>1.0000000639800299</v>
      </c>
    </row>
    <row r="6022" spans="1:40" x14ac:dyDescent="0.25">
      <c r="A6022" t="str">
        <f>"20190312150813969"</f>
        <v>20190312150813969</v>
      </c>
      <c r="B6022" t="str">
        <f>"1552374493966563"</f>
        <v>1552374493966563</v>
      </c>
      <c r="C6022" t="s">
        <v>40</v>
      </c>
      <c r="D6022">
        <v>4.5951969999999998</v>
      </c>
      <c r="E6022">
        <v>0.53272739999999996</v>
      </c>
      <c r="F6022" t="s">
        <v>42</v>
      </c>
      <c r="G6022">
        <v>-197.43860000000001</v>
      </c>
      <c r="H6022" s="1">
        <v>-2.779883E-6</v>
      </c>
      <c r="I6022">
        <v>171.4555</v>
      </c>
      <c r="J6022">
        <v>-190.4151</v>
      </c>
      <c r="K6022">
        <v>1.106409</v>
      </c>
      <c r="L6022">
        <v>197.78399999999999</v>
      </c>
      <c r="M6022">
        <v>-3.8894900000000003E-2</v>
      </c>
      <c r="N6022">
        <v>0</v>
      </c>
      <c r="O6022">
        <v>-0.99913920000000001</v>
      </c>
      <c r="P6022">
        <v>-0.17185880000000001</v>
      </c>
      <c r="Q6022">
        <v>-5.0815219999999998E-3</v>
      </c>
      <c r="R6022">
        <v>-0.9851086</v>
      </c>
      <c r="S6022">
        <v>-0.77317809999999998</v>
      </c>
      <c r="T6022">
        <v>-0.1214731</v>
      </c>
      <c r="U6022">
        <v>-2.9105829999999999</v>
      </c>
      <c r="V6022">
        <v>0.13349739999999999</v>
      </c>
      <c r="W6022">
        <v>7.8437170000000001E-3</v>
      </c>
      <c r="X6022">
        <v>0.99101810000000001</v>
      </c>
      <c r="Y6022">
        <v>0.2187402</v>
      </c>
      <c r="Z6022">
        <v>4.0446419999999997E-2</v>
      </c>
      <c r="AA6022">
        <v>0.97494449999999999</v>
      </c>
      <c r="AB6022">
        <v>17</v>
      </c>
      <c r="AC6022">
        <v>-7.0235000000000101</v>
      </c>
      <c r="AD6022">
        <v>-1.106411779883</v>
      </c>
      <c r="AE6022">
        <v>-26.328499999999998</v>
      </c>
      <c r="AF6022">
        <v>5.9841676096807097</v>
      </c>
      <c r="AG6022">
        <v>-1.106411779883</v>
      </c>
      <c r="AH6022">
        <v>26.538028369045499</v>
      </c>
      <c r="AI6022">
        <v>92.328957838009799</v>
      </c>
      <c r="AJ6022">
        <v>77.292676135950103</v>
      </c>
      <c r="AK6022">
        <v>27.226849959620399</v>
      </c>
      <c r="AL6022">
        <v>89.550583501530795</v>
      </c>
      <c r="AM6022">
        <v>82.328021610762505</v>
      </c>
      <c r="AN6022">
        <v>0.99999997711537203</v>
      </c>
    </row>
    <row r="6023" spans="1:40" x14ac:dyDescent="0.25">
      <c r="A6023" t="str">
        <f>"20190312150813980"</f>
        <v>20190312150813980</v>
      </c>
      <c r="B6023" t="str">
        <f>"1552374493976324"</f>
        <v>1552374493976324</v>
      </c>
      <c r="C6023" t="s">
        <v>40</v>
      </c>
      <c r="D6023">
        <v>4.6090410000000004</v>
      </c>
      <c r="E6023">
        <v>0.53244709999999995</v>
      </c>
      <c r="F6023" t="s">
        <v>42</v>
      </c>
      <c r="G6023">
        <v>-198.05340000000001</v>
      </c>
      <c r="H6023" s="1">
        <v>-5.98554099999999E-6</v>
      </c>
      <c r="I6023">
        <v>169.15280000000001</v>
      </c>
      <c r="J6023">
        <v>-190.42429999999999</v>
      </c>
      <c r="K6023">
        <v>1.1065020000000001</v>
      </c>
      <c r="L6023">
        <v>197.6969</v>
      </c>
      <c r="M6023">
        <v>-4.3798740000000003E-2</v>
      </c>
      <c r="N6023">
        <v>0</v>
      </c>
      <c r="O6023">
        <v>-0.99893670000000001</v>
      </c>
      <c r="P6023">
        <v>-0.1730739</v>
      </c>
      <c r="Q6023">
        <v>-4.7819960000000002E-3</v>
      </c>
      <c r="R6023">
        <v>-0.98489729999999998</v>
      </c>
      <c r="S6023">
        <v>-0.77616879999999999</v>
      </c>
      <c r="T6023">
        <v>-0.1124295</v>
      </c>
      <c r="U6023">
        <v>-2.9093930000000001</v>
      </c>
      <c r="V6023">
        <v>0.12985559999999999</v>
      </c>
      <c r="W6023">
        <v>8.1817829999999998E-3</v>
      </c>
      <c r="X6023">
        <v>0.99149920000000002</v>
      </c>
      <c r="Y6023">
        <v>0.21501400000000001</v>
      </c>
      <c r="Z6023">
        <v>3.745383E-2</v>
      </c>
      <c r="AA6023">
        <v>0.97589250000000005</v>
      </c>
      <c r="AB6023">
        <v>17</v>
      </c>
      <c r="AC6023">
        <v>-7.6291000000000198</v>
      </c>
      <c r="AD6023">
        <v>-1.106507985541</v>
      </c>
      <c r="AE6023">
        <v>-28.544099999999901</v>
      </c>
      <c r="AF6023">
        <v>6.3625286875509497</v>
      </c>
      <c r="AG6023">
        <v>-1.106507985541</v>
      </c>
      <c r="AH6023">
        <v>28.810474873604701</v>
      </c>
      <c r="AI6023">
        <v>92.147746503058499</v>
      </c>
      <c r="AJ6023">
        <v>77.546638593312395</v>
      </c>
      <c r="AK6023">
        <v>29.525405901775201</v>
      </c>
      <c r="AL6023">
        <v>89.531213154113701</v>
      </c>
      <c r="AM6023">
        <v>82.538501064404201</v>
      </c>
      <c r="AN6023">
        <v>1.00000004101252</v>
      </c>
    </row>
    <row r="6024" spans="1:40" x14ac:dyDescent="0.25">
      <c r="A6024" t="str">
        <f>"20190312150814003"</f>
        <v>20190312150814003</v>
      </c>
      <c r="B6024" t="str">
        <f>"1552374493995843"</f>
        <v>1552374493995843</v>
      </c>
      <c r="C6024" t="s">
        <v>40</v>
      </c>
      <c r="D6024">
        <v>4.6490830000000001</v>
      </c>
      <c r="E6024">
        <v>0.53162989999999999</v>
      </c>
      <c r="F6024" t="s">
        <v>42</v>
      </c>
      <c r="G6024">
        <v>-197.90960000000001</v>
      </c>
      <c r="H6024" s="1">
        <v>-2.1503469999999998E-6</v>
      </c>
      <c r="I6024">
        <v>169.69589999999999</v>
      </c>
      <c r="J6024">
        <v>-190.4442</v>
      </c>
      <c r="K6024">
        <v>1.1066720000000001</v>
      </c>
      <c r="L6024">
        <v>197.5155</v>
      </c>
      <c r="M6024">
        <v>-5.3742129999999999E-2</v>
      </c>
      <c r="N6024">
        <v>0</v>
      </c>
      <c r="O6024">
        <v>-0.99845209999999995</v>
      </c>
      <c r="P6024">
        <v>-0.176513</v>
      </c>
      <c r="Q6024">
        <v>-3.80227E-3</v>
      </c>
      <c r="R6024">
        <v>-0.98429089999999997</v>
      </c>
      <c r="S6024">
        <v>-0.7775879</v>
      </c>
      <c r="T6024">
        <v>-0.11494509999999999</v>
      </c>
      <c r="U6024">
        <v>-2.9087830000000001</v>
      </c>
      <c r="V6024">
        <v>0.12344960000000001</v>
      </c>
      <c r="W6024">
        <v>9.2188640000000002E-3</v>
      </c>
      <c r="X6024">
        <v>0.99230799999999997</v>
      </c>
      <c r="Y6024">
        <v>0.2057686</v>
      </c>
      <c r="Z6024">
        <v>3.8306439999999997E-2</v>
      </c>
      <c r="AA6024">
        <v>0.97785069999999996</v>
      </c>
      <c r="AB6024">
        <v>17</v>
      </c>
      <c r="AC6024">
        <v>-7.4654000000000096</v>
      </c>
      <c r="AD6024">
        <v>-1.1066741503469999</v>
      </c>
      <c r="AE6024">
        <v>-27.819600000000001</v>
      </c>
      <c r="AF6024">
        <v>5.9505870590208199</v>
      </c>
      <c r="AG6024">
        <v>-1.1066741503469999</v>
      </c>
      <c r="AH6024">
        <v>28.139097581627599</v>
      </c>
      <c r="AI6024">
        <v>92.203525797832896</v>
      </c>
      <c r="AJ6024">
        <v>78.059553840242202</v>
      </c>
      <c r="AK6024">
        <v>28.782686232010899</v>
      </c>
      <c r="AL6024">
        <v>89.471790507774102</v>
      </c>
      <c r="AM6024">
        <v>82.9084660051778</v>
      </c>
      <c r="AN6024">
        <v>0.999999979028805</v>
      </c>
    </row>
    <row r="6025" spans="1:40" x14ac:dyDescent="0.25">
      <c r="A6025" t="str">
        <f>"20190312150814014"</f>
        <v>20190312150814014</v>
      </c>
      <c r="B6025" t="str">
        <f>"1552374494006580"</f>
        <v>1552374494006580</v>
      </c>
      <c r="C6025" t="s">
        <v>40</v>
      </c>
      <c r="D6025">
        <v>4.5996739999999896</v>
      </c>
      <c r="E6025">
        <v>0.53138439999999998</v>
      </c>
      <c r="F6025" t="s">
        <v>42</v>
      </c>
      <c r="G6025">
        <v>-198.4734</v>
      </c>
      <c r="H6025" s="1">
        <v>-5.4758320000000002E-6</v>
      </c>
      <c r="I6025">
        <v>167.63149999999999</v>
      </c>
      <c r="J6025">
        <v>-190.4545</v>
      </c>
      <c r="K6025">
        <v>1.1067530000000001</v>
      </c>
      <c r="L6025">
        <v>197.42850000000001</v>
      </c>
      <c r="M6025">
        <v>-5.832412E-2</v>
      </c>
      <c r="N6025">
        <v>0</v>
      </c>
      <c r="O6025">
        <v>-0.99819539999999995</v>
      </c>
      <c r="P6025">
        <v>-0.17802370000000001</v>
      </c>
      <c r="Q6025">
        <v>-3.41829E-3</v>
      </c>
      <c r="R6025">
        <v>-0.98402040000000002</v>
      </c>
      <c r="S6025">
        <v>-0.78114319999999904</v>
      </c>
      <c r="T6025">
        <v>-0.1076666</v>
      </c>
      <c r="U6025">
        <v>-2.9073639999999998</v>
      </c>
      <c r="V6025">
        <v>0.1204192</v>
      </c>
      <c r="W6025">
        <v>9.6279729999999997E-3</v>
      </c>
      <c r="X6025">
        <v>0.99267640000000001</v>
      </c>
      <c r="Y6025">
        <v>0.20253399999999999</v>
      </c>
      <c r="Z6025">
        <v>3.5893759999999997E-2</v>
      </c>
      <c r="AA6025">
        <v>0.97861719999999996</v>
      </c>
      <c r="AB6025">
        <v>17</v>
      </c>
      <c r="AC6025">
        <v>-8.0189000000000004</v>
      </c>
      <c r="AD6025">
        <v>-1.1067584758319999</v>
      </c>
      <c r="AE6025">
        <v>-29.797000000000001</v>
      </c>
      <c r="AF6025">
        <v>6.2591332468454102</v>
      </c>
      <c r="AG6025">
        <v>-1.1067584758319999</v>
      </c>
      <c r="AH6025">
        <v>30.175190270311301</v>
      </c>
      <c r="AI6025">
        <v>92.056796620726004</v>
      </c>
      <c r="AJ6025">
        <v>78.281518054734406</v>
      </c>
      <c r="AK6025">
        <v>30.837376204454898</v>
      </c>
      <c r="AL6025">
        <v>89.448349235828303</v>
      </c>
      <c r="AM6025">
        <v>83.083381147865396</v>
      </c>
      <c r="AN6025">
        <v>0.99999995835484301</v>
      </c>
    </row>
    <row r="6026" spans="1:40" x14ac:dyDescent="0.25">
      <c r="A6026" t="str">
        <f>"20190312150814026"</f>
        <v>20190312150814026</v>
      </c>
      <c r="B6026" t="str">
        <f>"1552374494016340"</f>
        <v>1552374494016340</v>
      </c>
      <c r="C6026" t="s">
        <v>40</v>
      </c>
      <c r="D6026">
        <v>4.7485290000000004</v>
      </c>
      <c r="E6026">
        <v>0.53106009999999904</v>
      </c>
      <c r="F6026" t="s">
        <v>42</v>
      </c>
      <c r="G6026">
        <v>-198.7362</v>
      </c>
      <c r="H6026" s="1">
        <v>-5.1683479999999998E-6</v>
      </c>
      <c r="I6026">
        <v>166.70939999999999</v>
      </c>
      <c r="J6026">
        <v>-190.46520000000001</v>
      </c>
      <c r="K6026">
        <v>1.1068359999999999</v>
      </c>
      <c r="L6026">
        <v>197.3383</v>
      </c>
      <c r="M6026">
        <v>-6.3026970000000002E-2</v>
      </c>
      <c r="N6026">
        <v>0</v>
      </c>
      <c r="O6026">
        <v>-0.99790999999999996</v>
      </c>
      <c r="P6026">
        <v>-0.17933270000000001</v>
      </c>
      <c r="Q6026">
        <v>-3.632171E-3</v>
      </c>
      <c r="R6026">
        <v>-0.98378180000000004</v>
      </c>
      <c r="S6026">
        <v>-0.78359990000000002</v>
      </c>
      <c r="T6026">
        <v>-0.1047188</v>
      </c>
      <c r="U6026">
        <v>-2.9065699999999999</v>
      </c>
      <c r="V6026">
        <v>0.11705739999999901</v>
      </c>
      <c r="W6026">
        <v>9.4420159999999993E-3</v>
      </c>
      <c r="X6026">
        <v>0.99308030000000003</v>
      </c>
      <c r="Y6026">
        <v>0.19876550000000001</v>
      </c>
      <c r="Z6026">
        <v>3.4916240000000001E-2</v>
      </c>
      <c r="AA6026">
        <v>0.97942490000000004</v>
      </c>
      <c r="AB6026">
        <v>17</v>
      </c>
      <c r="AC6026">
        <v>-8.2709999999999795</v>
      </c>
      <c r="AD6026">
        <v>-1.1068411683479999</v>
      </c>
      <c r="AE6026">
        <v>-30.628900000000002</v>
      </c>
      <c r="AF6026">
        <v>6.3162217775645297</v>
      </c>
      <c r="AG6026">
        <v>-1.1068411683479999</v>
      </c>
      <c r="AH6026">
        <v>31.051546982621002</v>
      </c>
      <c r="AI6026">
        <v>92.000526842002799</v>
      </c>
      <c r="AJ6026">
        <v>78.502280124245402</v>
      </c>
      <c r="AK6026">
        <v>31.706755193952802</v>
      </c>
      <c r="AL6026">
        <v>89.459004313070395</v>
      </c>
      <c r="AM6026">
        <v>83.277392175325105</v>
      </c>
      <c r="AN6026">
        <v>1.0000000344044899</v>
      </c>
    </row>
    <row r="6027" spans="1:40" x14ac:dyDescent="0.25">
      <c r="A6027" t="str">
        <f>"20190312150814036"</f>
        <v>20190312150814036</v>
      </c>
      <c r="B6027" t="str">
        <f>"1552374494026101"</f>
        <v>1552374494026101</v>
      </c>
      <c r="C6027" t="s">
        <v>40</v>
      </c>
      <c r="D6027">
        <v>4.6018489999999996</v>
      </c>
      <c r="E6027">
        <v>0.53066530000000001</v>
      </c>
      <c r="F6027" t="s">
        <v>42</v>
      </c>
      <c r="G6027">
        <v>-198.75700000000001</v>
      </c>
      <c r="H6027" s="1">
        <v>-5.1407840000000004E-6</v>
      </c>
      <c r="I6027">
        <v>166.62799999999999</v>
      </c>
      <c r="J6027">
        <v>-190.4761</v>
      </c>
      <c r="K6027">
        <v>1.1069310000000001</v>
      </c>
      <c r="L6027">
        <v>197.25040000000001</v>
      </c>
      <c r="M6027">
        <v>-6.7458580000000004E-2</v>
      </c>
      <c r="N6027">
        <v>0</v>
      </c>
      <c r="O6027">
        <v>-0.99762070000000003</v>
      </c>
      <c r="P6027">
        <v>-0.18010409999999999</v>
      </c>
      <c r="Q6027">
        <v>-3.9103660000000002E-3</v>
      </c>
      <c r="R6027">
        <v>-0.98363979999999995</v>
      </c>
      <c r="S6027">
        <v>-0.78463749999999999</v>
      </c>
      <c r="T6027">
        <v>-0.10473739999999999</v>
      </c>
      <c r="U6027">
        <v>-2.9060359999999998</v>
      </c>
      <c r="V6027">
        <v>0.1134196</v>
      </c>
      <c r="W6027">
        <v>9.1940700000000004E-3</v>
      </c>
      <c r="X6027">
        <v>0.99350459999999996</v>
      </c>
      <c r="Y6027">
        <v>0.19478229999999999</v>
      </c>
      <c r="Z6027">
        <v>3.4925860000000003E-2</v>
      </c>
      <c r="AA6027">
        <v>0.98022450000000005</v>
      </c>
      <c r="AB6027">
        <v>17</v>
      </c>
      <c r="AC6027">
        <v>-8.2809000000000008</v>
      </c>
      <c r="AD6027">
        <v>-1.1069361407839999</v>
      </c>
      <c r="AE6027">
        <v>-30.622399999999999</v>
      </c>
      <c r="AF6027">
        <v>6.18854497113281</v>
      </c>
      <c r="AG6027">
        <v>-1.1069361407839999</v>
      </c>
      <c r="AH6027">
        <v>31.073468604777801</v>
      </c>
      <c r="AI6027">
        <v>92.000932020964797</v>
      </c>
      <c r="AJ6027">
        <v>78.736435773398796</v>
      </c>
      <c r="AK6027">
        <v>31.703057385867702</v>
      </c>
      <c r="AL6027">
        <v>89.473211151337907</v>
      </c>
      <c r="AM6027">
        <v>83.487244913938596</v>
      </c>
      <c r="AN6027">
        <v>0.99999996340424102</v>
      </c>
    </row>
    <row r="6028" spans="1:40" x14ac:dyDescent="0.25">
      <c r="A6028" t="str">
        <f>"20190312150814049"</f>
        <v>20190312150814049</v>
      </c>
      <c r="B6028" t="str">
        <f>"1552374494046596"</f>
        <v>1552374494046596</v>
      </c>
      <c r="C6028" t="s">
        <v>40</v>
      </c>
      <c r="D6028">
        <v>4.6251429999999996</v>
      </c>
      <c r="E6028">
        <v>0.49246489999999998</v>
      </c>
      <c r="F6028" t="s">
        <v>42</v>
      </c>
      <c r="G6028">
        <v>-198.79409999999999</v>
      </c>
      <c r="H6028" s="1">
        <v>-5.0636780000000001E-6</v>
      </c>
      <c r="I6028">
        <v>166.4101</v>
      </c>
      <c r="J6028">
        <v>-190.48769999999999</v>
      </c>
      <c r="K6028">
        <v>1.1070329999999999</v>
      </c>
      <c r="L6028">
        <v>197.15880000000001</v>
      </c>
      <c r="M6028">
        <v>-7.2000519999999998E-2</v>
      </c>
      <c r="N6028">
        <v>0</v>
      </c>
      <c r="O6028">
        <v>-0.99730379999999996</v>
      </c>
      <c r="P6028">
        <v>-0.17990780000000001</v>
      </c>
      <c r="Q6028">
        <v>-4.6703420000000001E-3</v>
      </c>
      <c r="R6028">
        <v>-0.98367260000000001</v>
      </c>
      <c r="S6028">
        <v>-0.78378300000000001</v>
      </c>
      <c r="T6028">
        <v>-0.1043034</v>
      </c>
      <c r="U6028">
        <v>-2.9059910000000002</v>
      </c>
      <c r="V6028">
        <v>0.10868709999999999</v>
      </c>
      <c r="W6028">
        <v>8.4740730000000004E-3</v>
      </c>
      <c r="X6028">
        <v>0.99403989999999998</v>
      </c>
      <c r="Y6028">
        <v>0.19005040000000001</v>
      </c>
      <c r="Z6028">
        <v>3.4782790000000001E-2</v>
      </c>
      <c r="AA6028">
        <v>0.98115799999999997</v>
      </c>
      <c r="AB6028">
        <v>17</v>
      </c>
      <c r="AC6028">
        <v>-8.3063999999999893</v>
      </c>
      <c r="AD6028">
        <v>-1.107038063678</v>
      </c>
      <c r="AE6028">
        <v>-30.748699999999999</v>
      </c>
      <c r="AF6028">
        <v>6.0633673951935902</v>
      </c>
      <c r="AG6028">
        <v>-1.107038063678</v>
      </c>
      <c r="AH6028">
        <v>31.2292775497077</v>
      </c>
      <c r="AI6028">
        <v>91.993025281195301</v>
      </c>
      <c r="AJ6028">
        <v>79.012356666376903</v>
      </c>
      <c r="AK6028">
        <v>31.831709563267399</v>
      </c>
      <c r="AL6028">
        <v>89.514465575134906</v>
      </c>
      <c r="AM6028">
        <v>83.760136947213695</v>
      </c>
      <c r="AN6028">
        <v>1.0000000092058099</v>
      </c>
    </row>
    <row r="6029" spans="1:40" x14ac:dyDescent="0.25">
      <c r="A6029" t="str">
        <f>"20190312150814062"</f>
        <v>20190312150814062</v>
      </c>
      <c r="B6029" t="str">
        <f>"1552374494056356"</f>
        <v>1552374494056356</v>
      </c>
      <c r="C6029" t="s">
        <v>40</v>
      </c>
      <c r="D6029">
        <v>4.5470819999999996</v>
      </c>
      <c r="E6029">
        <v>0.48085309999999998</v>
      </c>
      <c r="F6029" t="s">
        <v>77</v>
      </c>
      <c r="G6029">
        <v>-201.54859999999999</v>
      </c>
      <c r="H6029">
        <v>5.5068489999999998E-2</v>
      </c>
      <c r="I6029">
        <v>129.11519999999999</v>
      </c>
      <c r="J6029">
        <v>-190.50040000000001</v>
      </c>
      <c r="K6029">
        <v>1.1071530000000001</v>
      </c>
      <c r="L6029">
        <v>197.06110000000001</v>
      </c>
      <c r="M6029">
        <v>-7.6739909999999995E-2</v>
      </c>
      <c r="N6029">
        <v>0</v>
      </c>
      <c r="O6029">
        <v>-0.99695100000000003</v>
      </c>
      <c r="P6029">
        <v>-0.17971899999999999</v>
      </c>
      <c r="Q6029">
        <v>-5.3332279999999998E-3</v>
      </c>
      <c r="R6029">
        <v>-0.98370369999999996</v>
      </c>
      <c r="S6029">
        <v>-0.48141479999999998</v>
      </c>
      <c r="T6029">
        <v>-4.5785779999999998E-2</v>
      </c>
      <c r="U6029">
        <v>-2.9615330000000002</v>
      </c>
      <c r="V6029">
        <v>0.1037623</v>
      </c>
      <c r="W6029">
        <v>7.8508689999999999E-3</v>
      </c>
      <c r="X6029">
        <v>0.99457110000000004</v>
      </c>
      <c r="Y6029">
        <v>8.4204689999999999E-2</v>
      </c>
      <c r="Z6029">
        <v>1.526248E-2</v>
      </c>
      <c r="AA6029">
        <v>0.99633159999999998</v>
      </c>
      <c r="AB6029">
        <v>17</v>
      </c>
      <c r="AC6029">
        <v>-11.0481999999999</v>
      </c>
      <c r="AD6029">
        <v>-1.05208451</v>
      </c>
      <c r="AE6029">
        <v>-67.945899999999995</v>
      </c>
      <c r="AF6029">
        <v>5.7995763270107297</v>
      </c>
      <c r="AG6029">
        <v>-1.05208451</v>
      </c>
      <c r="AH6029">
        <v>68.577401352411698</v>
      </c>
      <c r="AI6029">
        <v>90.875811992037697</v>
      </c>
      <c r="AJ6029">
        <v>85.166010458541507</v>
      </c>
      <c r="AK6029">
        <v>68.830240037637296</v>
      </c>
      <c r="AL6029">
        <v>89.550173702689307</v>
      </c>
      <c r="AM6029">
        <v>84.043953493307498</v>
      </c>
      <c r="AN6029">
        <v>0.99999996200027597</v>
      </c>
    </row>
    <row r="6030" spans="1:40" x14ac:dyDescent="0.25">
      <c r="A6030" t="str">
        <f>"20190312150814073"</f>
        <v>20190312150814073</v>
      </c>
      <c r="B6030" t="str">
        <f>"1552374494066116"</f>
        <v>1552374494066116</v>
      </c>
      <c r="C6030" t="s">
        <v>40</v>
      </c>
      <c r="D6030">
        <v>4.5460279999999997</v>
      </c>
      <c r="E6030">
        <v>0.48085309999999998</v>
      </c>
      <c r="F6030" t="s">
        <v>77</v>
      </c>
      <c r="G6030">
        <v>-196.77199999999999</v>
      </c>
      <c r="H6030" s="1">
        <v>-1.179241E-5</v>
      </c>
      <c r="I6030">
        <v>149.2225</v>
      </c>
      <c r="J6030">
        <v>-190.5128</v>
      </c>
      <c r="K6030">
        <v>1.107267</v>
      </c>
      <c r="L6030">
        <v>196.9683</v>
      </c>
      <c r="M6030">
        <v>-8.1108990000000006E-2</v>
      </c>
      <c r="N6030">
        <v>0</v>
      </c>
      <c r="O6030">
        <v>-0.99660550000000003</v>
      </c>
      <c r="P6030">
        <v>-0.179232</v>
      </c>
      <c r="Q6030">
        <v>-5.8214460000000001E-3</v>
      </c>
      <c r="R6030">
        <v>-0.98379000000000005</v>
      </c>
      <c r="S6030">
        <v>-0.39041140000000002</v>
      </c>
      <c r="T6030">
        <v>-6.8921689999999994E-2</v>
      </c>
      <c r="U6030">
        <v>-2.9779819999999999</v>
      </c>
      <c r="V6030">
        <v>9.8903160000000004E-2</v>
      </c>
      <c r="W6030">
        <v>7.4007469999999896E-3</v>
      </c>
      <c r="X6030">
        <v>0.9950696</v>
      </c>
      <c r="Y6030">
        <v>4.9095640000000003E-2</v>
      </c>
      <c r="Z6030">
        <v>2.2911500000000001E-2</v>
      </c>
      <c r="AA6030">
        <v>0.99853130000000001</v>
      </c>
      <c r="AB6030">
        <v>17</v>
      </c>
      <c r="AC6030">
        <v>-6.2592000000000203</v>
      </c>
      <c r="AD6030">
        <v>-1.10727879241</v>
      </c>
      <c r="AE6030">
        <v>-47.745800000000003</v>
      </c>
      <c r="AF6030">
        <v>2.3643245750148898</v>
      </c>
      <c r="AG6030">
        <v>-1.10727879241</v>
      </c>
      <c r="AH6030">
        <v>48.070768481290898</v>
      </c>
      <c r="AI6030">
        <v>91.317944974515697</v>
      </c>
      <c r="AJ6030">
        <v>87.184219278774407</v>
      </c>
      <c r="AK6030">
        <v>48.141612762785698</v>
      </c>
      <c r="AL6030">
        <v>89.575964585157905</v>
      </c>
      <c r="AM6030">
        <v>84.323831307651204</v>
      </c>
      <c r="AN6030">
        <v>1.0000000574791501</v>
      </c>
    </row>
    <row r="6031" spans="1:40" x14ac:dyDescent="0.25">
      <c r="A6031" t="str">
        <f>"20190312150814087"</f>
        <v>20190312150814087</v>
      </c>
      <c r="B6031" t="str">
        <f>"1552374494075876"</f>
        <v>1552374494075876</v>
      </c>
      <c r="C6031" t="s">
        <v>40</v>
      </c>
      <c r="D6031">
        <v>4.596317</v>
      </c>
      <c r="E6031">
        <v>0.43029390000000001</v>
      </c>
      <c r="F6031" t="s">
        <v>77</v>
      </c>
      <c r="G6031">
        <v>-196.62819999999999</v>
      </c>
      <c r="H6031" s="1">
        <v>-1.2095080000000001E-5</v>
      </c>
      <c r="I6031">
        <v>150.13919999999999</v>
      </c>
      <c r="J6031">
        <v>-190.52610000000001</v>
      </c>
      <c r="K6031">
        <v>1.107386</v>
      </c>
      <c r="L6031">
        <v>196.87029999999999</v>
      </c>
      <c r="M6031">
        <v>-8.5650030000000002E-2</v>
      </c>
      <c r="N6031">
        <v>0</v>
      </c>
      <c r="O6031">
        <v>-0.99622619999999895</v>
      </c>
      <c r="P6031">
        <v>-0.17845069999999999</v>
      </c>
      <c r="Q6031">
        <v>-5.0655029999999998E-3</v>
      </c>
      <c r="R6031">
        <v>-0.98393600000000003</v>
      </c>
      <c r="S6031">
        <v>-0.38891599999999998</v>
      </c>
      <c r="T6031">
        <v>-7.0418720000000004E-2</v>
      </c>
      <c r="U6031">
        <v>-2.9781490000000002</v>
      </c>
      <c r="V6031">
        <v>9.3579889999999999E-2</v>
      </c>
      <c r="W6031">
        <v>8.1965649999999994E-3</v>
      </c>
      <c r="X6031">
        <v>0.99557810000000002</v>
      </c>
      <c r="Y6031">
        <v>4.4041570000000002E-2</v>
      </c>
      <c r="Z6031">
        <v>2.339772E-2</v>
      </c>
      <c r="AA6031">
        <v>0.99875570000000002</v>
      </c>
      <c r="AB6031">
        <v>17</v>
      </c>
      <c r="AC6031">
        <v>-6.1020999999999699</v>
      </c>
      <c r="AD6031">
        <v>-1.10739809507999</v>
      </c>
      <c r="AE6031">
        <v>-46.731099999999998</v>
      </c>
      <c r="AF6031">
        <v>2.0756107587274801</v>
      </c>
      <c r="AG6031">
        <v>-1.10739809507999</v>
      </c>
      <c r="AH6031">
        <v>47.056057424707298</v>
      </c>
      <c r="AI6031">
        <v>91.346817618206501</v>
      </c>
      <c r="AJ6031">
        <v>87.474359189478903</v>
      </c>
      <c r="AK6031">
        <v>47.1148281427417</v>
      </c>
      <c r="AL6031">
        <v>89.530366191432293</v>
      </c>
      <c r="AM6031">
        <v>84.630230075202903</v>
      </c>
      <c r="AN6031">
        <v>1.0000000663449</v>
      </c>
    </row>
    <row r="6032" spans="1:40" x14ac:dyDescent="0.25">
      <c r="A6032" t="str">
        <f>"20190312150814105"</f>
        <v>20190312150814105</v>
      </c>
      <c r="B6032" t="str">
        <f>"1552374494096372"</f>
        <v>1552374494096372</v>
      </c>
      <c r="C6032" t="s">
        <v>40</v>
      </c>
      <c r="D6032">
        <v>4.6411819999999997</v>
      </c>
      <c r="E6032">
        <v>0.42995840000000002</v>
      </c>
      <c r="F6032" t="s">
        <v>42</v>
      </c>
      <c r="G6032">
        <v>-190.49639999999999</v>
      </c>
      <c r="H6032" s="1">
        <v>-9.3217309999999998E-7</v>
      </c>
      <c r="I6032">
        <v>181.45410000000001</v>
      </c>
      <c r="J6032">
        <v>-190.5453</v>
      </c>
      <c r="K6032">
        <v>1.1075660000000001</v>
      </c>
      <c r="L6032">
        <v>196.73269999999999</v>
      </c>
      <c r="M6032">
        <v>-9.17993E-2</v>
      </c>
      <c r="N6032">
        <v>0</v>
      </c>
      <c r="O6032">
        <v>-0.99567910000000004</v>
      </c>
      <c r="P6032">
        <v>-0.1758605</v>
      </c>
      <c r="Q6032">
        <v>-3.1829900000000001E-3</v>
      </c>
      <c r="R6032">
        <v>-0.98441009999999995</v>
      </c>
      <c r="S6032">
        <v>5.8746340000000001E-3</v>
      </c>
      <c r="T6032">
        <v>-0.21901209999999999</v>
      </c>
      <c r="U6032">
        <v>-3.0489039999999998</v>
      </c>
      <c r="V6032">
        <v>8.4818690000000002E-2</v>
      </c>
      <c r="W6032">
        <v>1.0143889999999999E-2</v>
      </c>
      <c r="X6032">
        <v>0.99634469999999997</v>
      </c>
      <c r="Y6032">
        <v>-9.3721369999999998E-2</v>
      </c>
      <c r="Z6032">
        <v>7.1037180000000005E-2</v>
      </c>
      <c r="AA6032">
        <v>0.99306090000000002</v>
      </c>
      <c r="AB6032">
        <v>17</v>
      </c>
      <c r="AC6032">
        <v>4.8900000000003198E-2</v>
      </c>
      <c r="AD6032">
        <v>-1.1075669321731001</v>
      </c>
      <c r="AE6032">
        <v>-15.2785999999999</v>
      </c>
      <c r="AF6032">
        <v>-1.44380861141908</v>
      </c>
      <c r="AG6032">
        <v>-1.1075669321731001</v>
      </c>
      <c r="AH6032">
        <v>15.130076702851699</v>
      </c>
      <c r="AI6032">
        <v>94.167888216592701</v>
      </c>
      <c r="AJ6032">
        <v>95.451023402994096</v>
      </c>
      <c r="AK6032">
        <v>15.239111156817099</v>
      </c>
      <c r="AL6032">
        <v>89.418787909412202</v>
      </c>
      <c r="AM6032">
        <v>85.134149807948305</v>
      </c>
      <c r="AN6032">
        <v>0.99999993494786699</v>
      </c>
    </row>
    <row r="6033" spans="1:40" x14ac:dyDescent="0.25">
      <c r="A6033" t="str">
        <f>"20190312150814118"</f>
        <v>20190312150814118</v>
      </c>
      <c r="B6033" t="str">
        <f>"1552374494106132"</f>
        <v>1552374494106132</v>
      </c>
      <c r="C6033" t="s">
        <v>40</v>
      </c>
      <c r="D6033">
        <v>4.6107570000000004</v>
      </c>
      <c r="E6033">
        <v>0.42978129999999998</v>
      </c>
      <c r="F6033" t="s">
        <v>42</v>
      </c>
      <c r="G6033">
        <v>-190.4785</v>
      </c>
      <c r="H6033" s="1">
        <v>-1.9542409999999999E-6</v>
      </c>
      <c r="I6033">
        <v>183.8477</v>
      </c>
      <c r="J6033">
        <v>-190.56039999999999</v>
      </c>
      <c r="K6033">
        <v>1.1076950000000001</v>
      </c>
      <c r="L6033">
        <v>196.6275</v>
      </c>
      <c r="M6033">
        <v>-9.6300259999999999E-2</v>
      </c>
      <c r="N6033">
        <v>0</v>
      </c>
      <c r="O6033">
        <v>-0.99525430000000004</v>
      </c>
      <c r="P6033">
        <v>-0.1760544</v>
      </c>
      <c r="Q6033">
        <v>-2.908735E-3</v>
      </c>
      <c r="R6033">
        <v>-0.98437600000000003</v>
      </c>
      <c r="S6033">
        <v>1.580811E-2</v>
      </c>
      <c r="T6033">
        <v>-0.26212619999999998</v>
      </c>
      <c r="U6033">
        <v>-3.0494690000000002</v>
      </c>
      <c r="V6033">
        <v>8.0507599999999999E-2</v>
      </c>
      <c r="W6033">
        <v>1.0441890000000001E-2</v>
      </c>
      <c r="X6033">
        <v>0.99669929999999995</v>
      </c>
      <c r="Y6033">
        <v>-0.10144839999999999</v>
      </c>
      <c r="Z6033">
        <v>8.4824140000000006E-2</v>
      </c>
      <c r="AA6033">
        <v>0.99121800000000004</v>
      </c>
      <c r="AB6033">
        <v>17</v>
      </c>
      <c r="AC6033">
        <v>8.18999999999903E-2</v>
      </c>
      <c r="AD6033">
        <v>-1.107696954241</v>
      </c>
      <c r="AE6033">
        <v>-12.7797999999999</v>
      </c>
      <c r="AF6033">
        <v>-1.30255220811811</v>
      </c>
      <c r="AG6033">
        <v>-1.107696954241</v>
      </c>
      <c r="AH6033">
        <v>12.6177155898738</v>
      </c>
      <c r="AI6033">
        <v>94.990691257521306</v>
      </c>
      <c r="AJ6033">
        <v>95.893881218819701</v>
      </c>
      <c r="AK6033">
        <v>12.733042900432499</v>
      </c>
      <c r="AL6033">
        <v>89.401712900747</v>
      </c>
      <c r="AM6033">
        <v>85.382004505824597</v>
      </c>
      <c r="AN6033">
        <v>1.00000000067251</v>
      </c>
    </row>
    <row r="6034" spans="1:40" x14ac:dyDescent="0.25">
      <c r="A6034" t="str">
        <f>"20190312150814132"</f>
        <v>20190312150814132</v>
      </c>
      <c r="B6034" t="str">
        <f>"1552374494126628"</f>
        <v>1552374494126628</v>
      </c>
      <c r="C6034" t="s">
        <v>40</v>
      </c>
      <c r="D6034">
        <v>4.5505599999999999</v>
      </c>
      <c r="E6034">
        <v>0.43061840000000001</v>
      </c>
      <c r="F6034" t="s">
        <v>42</v>
      </c>
      <c r="G6034">
        <v>-190.48990000000001</v>
      </c>
      <c r="H6034" s="1">
        <v>-1.9507830000000002E-6</v>
      </c>
      <c r="I6034">
        <v>183.83260000000001</v>
      </c>
      <c r="J6034">
        <v>-190.57550000000001</v>
      </c>
      <c r="K6034">
        <v>1.107807</v>
      </c>
      <c r="L6034">
        <v>196.52449999999999</v>
      </c>
      <c r="M6034">
        <v>-0.1005987</v>
      </c>
      <c r="N6034">
        <v>0</v>
      </c>
      <c r="O6034">
        <v>-0.99482969999999904</v>
      </c>
      <c r="P6034">
        <v>-0.17589260000000001</v>
      </c>
      <c r="Q6034">
        <v>-3.1121230000000001E-3</v>
      </c>
      <c r="R6034">
        <v>-0.98440479999999997</v>
      </c>
      <c r="S6034">
        <v>1.6799930000000001E-2</v>
      </c>
      <c r="T6034">
        <v>-0.26403330000000003</v>
      </c>
      <c r="U6034">
        <v>-3.0498349999999999</v>
      </c>
      <c r="V6034">
        <v>7.6032829999999996E-2</v>
      </c>
      <c r="W6034">
        <v>1.0260699999999999E-2</v>
      </c>
      <c r="X6034">
        <v>0.99705250000000001</v>
      </c>
      <c r="Y6034">
        <v>-0.1060661</v>
      </c>
      <c r="Z6034">
        <v>8.5350709999999996E-2</v>
      </c>
      <c r="AA6034">
        <v>0.99068929999999999</v>
      </c>
      <c r="AB6034">
        <v>17</v>
      </c>
      <c r="AC6034">
        <v>8.5599999999999399E-2</v>
      </c>
      <c r="AD6034">
        <v>-1.107808950783</v>
      </c>
      <c r="AE6034">
        <v>-12.691899999999899</v>
      </c>
      <c r="AF6034">
        <v>-1.35177980226484</v>
      </c>
      <c r="AG6034">
        <v>-1.107808950783</v>
      </c>
      <c r="AH6034">
        <v>12.5234831077164</v>
      </c>
      <c r="AI6034">
        <v>95.026098881669</v>
      </c>
      <c r="AJ6034">
        <v>96.160631859056707</v>
      </c>
      <c r="AK6034">
        <v>12.6448479015963</v>
      </c>
      <c r="AL6034">
        <v>89.412094867397897</v>
      </c>
      <c r="AM6034">
        <v>85.6392013405939</v>
      </c>
      <c r="AN6034">
        <v>0.99999998047927396</v>
      </c>
    </row>
    <row r="6035" spans="1:40" x14ac:dyDescent="0.25">
      <c r="A6035" t="str">
        <f>"20190312150814147"</f>
        <v>20190312150814147</v>
      </c>
      <c r="B6035" t="str">
        <f>"1552374494136388"</f>
        <v>1552374494136388</v>
      </c>
      <c r="C6035" t="s">
        <v>40</v>
      </c>
      <c r="D6035">
        <v>4.5347540000000004</v>
      </c>
      <c r="E6035">
        <v>0.43136639999999998</v>
      </c>
      <c r="F6035" t="s">
        <v>42</v>
      </c>
      <c r="G6035">
        <v>-190.5198</v>
      </c>
      <c r="H6035" s="1">
        <v>-1.2173490000000001E-6</v>
      </c>
      <c r="I6035">
        <v>182.1044</v>
      </c>
      <c r="J6035">
        <v>-190.59299999999999</v>
      </c>
      <c r="K6035">
        <v>1.107928</v>
      </c>
      <c r="L6035">
        <v>196.40719999999999</v>
      </c>
      <c r="M6035">
        <v>-0.1053496</v>
      </c>
      <c r="N6035">
        <v>0</v>
      </c>
      <c r="O6035">
        <v>-0.99433830000000001</v>
      </c>
      <c r="P6035">
        <v>-0.17107749999999999</v>
      </c>
      <c r="Q6035">
        <v>-4.3724590000000004E-3</v>
      </c>
      <c r="R6035">
        <v>-0.98524800000000001</v>
      </c>
      <c r="S6035">
        <v>1.177979E-2</v>
      </c>
      <c r="T6035">
        <v>-0.2342283</v>
      </c>
      <c r="U6035">
        <v>-3.0489039999999998</v>
      </c>
      <c r="V6035">
        <v>6.6380670000000003E-2</v>
      </c>
      <c r="W6035">
        <v>9.0553170000000002E-3</v>
      </c>
      <c r="X6035">
        <v>0.99775329999999995</v>
      </c>
      <c r="Y6035">
        <v>-0.10918899999999999</v>
      </c>
      <c r="Z6035">
        <v>7.5729870000000005E-2</v>
      </c>
      <c r="AA6035">
        <v>0.99113209999999996</v>
      </c>
      <c r="AB6035">
        <v>17</v>
      </c>
      <c r="AC6035">
        <v>7.3199999999985693E-2</v>
      </c>
      <c r="AD6035">
        <v>-1.1079292173490001</v>
      </c>
      <c r="AE6035">
        <v>-14.3027999999999</v>
      </c>
      <c r="AF6035">
        <v>-1.57030984422788</v>
      </c>
      <c r="AG6035">
        <v>-1.1079292173490001</v>
      </c>
      <c r="AH6035">
        <v>14.130692814606901</v>
      </c>
      <c r="AI6035">
        <v>94.455836143014295</v>
      </c>
      <c r="AJ6035">
        <v>96.341124427605806</v>
      </c>
      <c r="AK6035">
        <v>14.260780468765301</v>
      </c>
      <c r="AL6035">
        <v>89.481161473214598</v>
      </c>
      <c r="AM6035">
        <v>86.193712838928604</v>
      </c>
      <c r="AN6035">
        <v>1.0000000198882499</v>
      </c>
    </row>
    <row r="6036" spans="1:40" x14ac:dyDescent="0.25">
      <c r="A6036" t="str">
        <f>"20190312150814158"</f>
        <v>20190312150814158</v>
      </c>
      <c r="B6036" t="str">
        <f>"1552374494146148"</f>
        <v>1552374494146148</v>
      </c>
      <c r="C6036" t="s">
        <v>40</v>
      </c>
      <c r="D6036">
        <v>4.5251950000000001</v>
      </c>
      <c r="E6036">
        <v>0.43184790000000001</v>
      </c>
      <c r="F6036" t="s">
        <v>42</v>
      </c>
      <c r="G6036">
        <v>-190.4932</v>
      </c>
      <c r="H6036" s="1">
        <v>-9.7347749999999999E-7</v>
      </c>
      <c r="I6036">
        <v>181.55240000000001</v>
      </c>
      <c r="J6036">
        <v>-190.60650000000001</v>
      </c>
      <c r="K6036">
        <v>1.108012</v>
      </c>
      <c r="L6036">
        <v>196.31899999999999</v>
      </c>
      <c r="M6036">
        <v>-0.10878210000000001</v>
      </c>
      <c r="N6036">
        <v>0</v>
      </c>
      <c r="O6036">
        <v>-0.99396899999999999</v>
      </c>
      <c r="P6036">
        <v>-0.1698955</v>
      </c>
      <c r="Q6036">
        <v>-3.9127010000000002E-3</v>
      </c>
      <c r="R6036">
        <v>-0.98545459999999996</v>
      </c>
      <c r="S6036">
        <v>2.0477289999999999E-2</v>
      </c>
      <c r="T6036">
        <v>-0.22729099999999999</v>
      </c>
      <c r="U6036">
        <v>-3.0474549999999998</v>
      </c>
      <c r="V6036">
        <v>6.173874E-2</v>
      </c>
      <c r="W6036">
        <v>9.5330859999999996E-3</v>
      </c>
      <c r="X6036">
        <v>0.99804680000000001</v>
      </c>
      <c r="Y6036">
        <v>-0.1154502</v>
      </c>
      <c r="Z6036">
        <v>7.3466080000000003E-2</v>
      </c>
      <c r="AA6036">
        <v>0.99059269999999999</v>
      </c>
      <c r="AB6036">
        <v>17</v>
      </c>
      <c r="AC6036">
        <v>0.113300000000009</v>
      </c>
      <c r="AD6036">
        <v>-1.1080129734774999</v>
      </c>
      <c r="AE6036">
        <v>-14.7666</v>
      </c>
      <c r="AF6036">
        <v>-1.70949919642657</v>
      </c>
      <c r="AG6036">
        <v>-1.1080129734774999</v>
      </c>
      <c r="AH6036">
        <v>14.5845164596607</v>
      </c>
      <c r="AI6036">
        <v>94.315093222633294</v>
      </c>
      <c r="AJ6036">
        <v>96.685321895838001</v>
      </c>
      <c r="AK6036">
        <v>14.7261060913634</v>
      </c>
      <c r="AL6036">
        <v>89.453786123872007</v>
      </c>
      <c r="AM6036">
        <v>86.460218572271998</v>
      </c>
      <c r="AN6036">
        <v>0.99999998336785501</v>
      </c>
    </row>
    <row r="6037" spans="1:40" x14ac:dyDescent="0.25">
      <c r="A6037" t="str">
        <f>"20190312150814170"</f>
        <v>20190312150814170</v>
      </c>
      <c r="B6037" t="str">
        <f>"1552374494166644"</f>
        <v>1552374494166644</v>
      </c>
      <c r="C6037" t="s">
        <v>40</v>
      </c>
      <c r="D6037">
        <v>4.5855459999999999</v>
      </c>
      <c r="E6037">
        <v>0.43223339999999999</v>
      </c>
      <c r="F6037" t="s">
        <v>42</v>
      </c>
      <c r="G6037">
        <v>-190.50219999999999</v>
      </c>
      <c r="H6037" s="1">
        <v>-6.2800499999999999E-7</v>
      </c>
      <c r="I6037">
        <v>180.7415</v>
      </c>
      <c r="J6037">
        <v>-190.61959999999999</v>
      </c>
      <c r="K6037">
        <v>1.108096</v>
      </c>
      <c r="L6037">
        <v>196.23390000000001</v>
      </c>
      <c r="M6037">
        <v>-0.11200110000000001</v>
      </c>
      <c r="N6037">
        <v>0</v>
      </c>
      <c r="O6037">
        <v>-0.99361180000000004</v>
      </c>
      <c r="P6037">
        <v>-0.16873070000000001</v>
      </c>
      <c r="Q6037">
        <v>-3.2446649999999999E-3</v>
      </c>
      <c r="R6037">
        <v>-0.98565700000000001</v>
      </c>
      <c r="S6037">
        <v>2.0400999999999999E-2</v>
      </c>
      <c r="T6037">
        <v>-0.216727</v>
      </c>
      <c r="U6037">
        <v>-3.0469360000000001</v>
      </c>
      <c r="V6037">
        <v>5.732744E-2</v>
      </c>
      <c r="W6037">
        <v>1.0216360000000001E-2</v>
      </c>
      <c r="X6037">
        <v>0.99830319999999995</v>
      </c>
      <c r="Y6037">
        <v>-0.1186451</v>
      </c>
      <c r="Z6037">
        <v>7.0029590000000003E-2</v>
      </c>
      <c r="AA6037">
        <v>0.99046420000000002</v>
      </c>
      <c r="AB6037">
        <v>17</v>
      </c>
      <c r="AC6037">
        <v>0.117400000000003</v>
      </c>
      <c r="AD6037">
        <v>-1.108096628005</v>
      </c>
      <c r="AE6037">
        <v>-15.4924</v>
      </c>
      <c r="AF6037">
        <v>-1.84256730178962</v>
      </c>
      <c r="AG6037">
        <v>-1.108096628005</v>
      </c>
      <c r="AH6037">
        <v>15.3034684341133</v>
      </c>
      <c r="AI6037">
        <v>94.111862762742902</v>
      </c>
      <c r="AJ6037">
        <v>96.865474931111095</v>
      </c>
      <c r="AK6037">
        <v>15.4537723068681</v>
      </c>
      <c r="AL6037">
        <v>89.4146355328146</v>
      </c>
      <c r="AM6037">
        <v>86.713406291674801</v>
      </c>
      <c r="AN6037">
        <v>1.0000000442594199</v>
      </c>
    </row>
    <row r="6038" spans="1:40" x14ac:dyDescent="0.25">
      <c r="A6038" t="str">
        <f>"20190312150814181"</f>
        <v>20190312150814181</v>
      </c>
      <c r="B6038" t="str">
        <f>"1552374494176405"</f>
        <v>1552374494176405</v>
      </c>
      <c r="C6038" t="s">
        <v>40</v>
      </c>
      <c r="D6038">
        <v>4.5244280000000003</v>
      </c>
      <c r="E6038">
        <v>0.43245810000000001</v>
      </c>
      <c r="F6038" t="s">
        <v>42</v>
      </c>
      <c r="G6038">
        <v>-190.5102</v>
      </c>
      <c r="H6038" s="1">
        <v>-4.1153339999999998E-7</v>
      </c>
      <c r="I6038">
        <v>180.232</v>
      </c>
      <c r="J6038">
        <v>-190.63310000000001</v>
      </c>
      <c r="K6038">
        <v>1.1081829999999999</v>
      </c>
      <c r="L6038">
        <v>196.14760000000001</v>
      </c>
      <c r="M6038">
        <v>-0.1151832</v>
      </c>
      <c r="N6038">
        <v>0</v>
      </c>
      <c r="O6038">
        <v>-0.99324829999999997</v>
      </c>
      <c r="P6038">
        <v>-0.16775119999999999</v>
      </c>
      <c r="Q6038">
        <v>-2.2507009999999999E-3</v>
      </c>
      <c r="R6038">
        <v>-0.98582669999999994</v>
      </c>
      <c r="S6038">
        <v>2.082825E-2</v>
      </c>
      <c r="T6038">
        <v>-0.2109644</v>
      </c>
      <c r="U6038">
        <v>-3.0465239999999998</v>
      </c>
      <c r="V6038">
        <v>5.3140600000000003E-2</v>
      </c>
      <c r="W6038">
        <v>1.122195E-2</v>
      </c>
      <c r="X6038">
        <v>0.99852399999999997</v>
      </c>
      <c r="Y6038">
        <v>-0.1219655</v>
      </c>
      <c r="Z6038">
        <v>6.8134070000000005E-2</v>
      </c>
      <c r="AA6038">
        <v>0.99019299999999999</v>
      </c>
      <c r="AB6038">
        <v>17</v>
      </c>
      <c r="AC6038">
        <v>0.122900000000015</v>
      </c>
      <c r="AD6038">
        <v>-1.1081834115333999</v>
      </c>
      <c r="AE6038">
        <v>-15.9156</v>
      </c>
      <c r="AF6038">
        <v>-1.9460322428421599</v>
      </c>
      <c r="AG6038">
        <v>-1.1081834115333999</v>
      </c>
      <c r="AH6038">
        <v>15.719287234943</v>
      </c>
      <c r="AI6038">
        <v>94.002132914273204</v>
      </c>
      <c r="AJ6038">
        <v>97.057253509265095</v>
      </c>
      <c r="AK6038">
        <v>15.878006900691901</v>
      </c>
      <c r="AL6038">
        <v>89.3570161421855</v>
      </c>
      <c r="AM6038">
        <v>86.953641107829398</v>
      </c>
      <c r="AN6038">
        <v>1.0000000170530801</v>
      </c>
    </row>
    <row r="6039" spans="1:40" x14ac:dyDescent="0.25">
      <c r="A6039" t="str">
        <f>"20190312150814192"</f>
        <v>20190312150814192</v>
      </c>
      <c r="B6039" t="str">
        <f>"1552374494186164"</f>
        <v>1552374494186164</v>
      </c>
      <c r="C6039" t="s">
        <v>40</v>
      </c>
      <c r="D6039">
        <v>4.6222539999999999</v>
      </c>
      <c r="E6039">
        <v>0.43279830000000002</v>
      </c>
      <c r="F6039" t="s">
        <v>42</v>
      </c>
      <c r="G6039">
        <v>-190.51329999999999</v>
      </c>
      <c r="H6039" s="1">
        <v>-4.3824039999999999E-6</v>
      </c>
      <c r="I6039">
        <v>179.59710000000001</v>
      </c>
      <c r="J6039">
        <v>-190.64689999999999</v>
      </c>
      <c r="K6039">
        <v>1.108271</v>
      </c>
      <c r="L6039">
        <v>196.0607</v>
      </c>
      <c r="M6039">
        <v>-0.11825860000000001</v>
      </c>
      <c r="N6039">
        <v>0</v>
      </c>
      <c r="O6039">
        <v>-0.99288730000000003</v>
      </c>
      <c r="P6039">
        <v>-0.1667315</v>
      </c>
      <c r="Q6039">
        <v>-1.389817E-3</v>
      </c>
      <c r="R6039">
        <v>-0.98600169999999998</v>
      </c>
      <c r="S6039">
        <v>2.2048950000000001E-2</v>
      </c>
      <c r="T6039">
        <v>-0.20398369999999999</v>
      </c>
      <c r="U6039">
        <v>-3.0464479999999998</v>
      </c>
      <c r="V6039">
        <v>4.9017140000000001E-2</v>
      </c>
      <c r="W6039">
        <v>1.20926E-2</v>
      </c>
      <c r="X6039">
        <v>0.99872479999999997</v>
      </c>
      <c r="Y6039">
        <v>-0.12543650000000001</v>
      </c>
      <c r="Z6039">
        <v>6.5840659999999995E-2</v>
      </c>
      <c r="AA6039">
        <v>0.98991450000000003</v>
      </c>
      <c r="AB6039">
        <v>17</v>
      </c>
      <c r="AC6039">
        <v>0.133600000000001</v>
      </c>
      <c r="AD6039">
        <v>-1.1082753824039999</v>
      </c>
      <c r="AE6039">
        <v>-16.4635999999999</v>
      </c>
      <c r="AF6039">
        <v>-2.0704277160558999</v>
      </c>
      <c r="AG6039">
        <v>-1.1082753824039999</v>
      </c>
      <c r="AH6039">
        <v>16.2585777624905</v>
      </c>
      <c r="AI6039">
        <v>93.868423807607002</v>
      </c>
      <c r="AJ6039">
        <v>97.257197121332894</v>
      </c>
      <c r="AK6039">
        <v>16.4273033730313</v>
      </c>
      <c r="AL6039">
        <v>89.307128216913398</v>
      </c>
      <c r="AM6039">
        <v>87.190193472017597</v>
      </c>
      <c r="AN6039">
        <v>1.00000006856178</v>
      </c>
    </row>
    <row r="6040" spans="1:40" x14ac:dyDescent="0.25">
      <c r="A6040" t="str">
        <f>"20190312150814204"</f>
        <v>20190312150814204</v>
      </c>
      <c r="B6040" t="str">
        <f>"1552374494196701"</f>
        <v>1552374494196701</v>
      </c>
      <c r="C6040" t="s">
        <v>40</v>
      </c>
      <c r="D6040">
        <v>4.5016679999999996</v>
      </c>
      <c r="E6040">
        <v>0.43299369999999998</v>
      </c>
      <c r="F6040" t="s">
        <v>42</v>
      </c>
      <c r="G6040">
        <v>-190.51830000000001</v>
      </c>
      <c r="H6040" s="1">
        <v>-4.1170149999999999E-6</v>
      </c>
      <c r="I6040">
        <v>178.86449999999999</v>
      </c>
      <c r="J6040">
        <v>-190.661</v>
      </c>
      <c r="K6040">
        <v>1.1083639999999999</v>
      </c>
      <c r="L6040">
        <v>195.9726</v>
      </c>
      <c r="M6040">
        <v>-0.12132560000000001</v>
      </c>
      <c r="N6040">
        <v>0</v>
      </c>
      <c r="O6040">
        <v>-0.99251750000000005</v>
      </c>
      <c r="P6040">
        <v>-0.16539709999999999</v>
      </c>
      <c r="Q6040">
        <v>-4.1368790000000002E-4</v>
      </c>
      <c r="R6040">
        <v>-0.98622690000000002</v>
      </c>
      <c r="S6040">
        <v>2.2781369999999999E-2</v>
      </c>
      <c r="T6040">
        <v>-0.19632150000000001</v>
      </c>
      <c r="U6040">
        <v>-3.0461580000000001</v>
      </c>
      <c r="V6040">
        <v>4.4581900000000001E-2</v>
      </c>
      <c r="W6040">
        <v>1.307957E-2</v>
      </c>
      <c r="X6040">
        <v>0.99892009999999998</v>
      </c>
      <c r="Y6040">
        <v>-0.12874079999999999</v>
      </c>
      <c r="Z6040">
        <v>6.3334520000000005E-2</v>
      </c>
      <c r="AA6040">
        <v>0.98965380000000003</v>
      </c>
      <c r="AB6040">
        <v>17</v>
      </c>
      <c r="AC6040">
        <v>0.142699999999962</v>
      </c>
      <c r="AD6040">
        <v>-1.1083681170149999</v>
      </c>
      <c r="AE6040">
        <v>-17.1081</v>
      </c>
      <c r="AF6040">
        <v>-2.2082246120962599</v>
      </c>
      <c r="AG6040">
        <v>-1.1083681170149999</v>
      </c>
      <c r="AH6040">
        <v>16.8934784670247</v>
      </c>
      <c r="AI6040">
        <v>93.722177746490104</v>
      </c>
      <c r="AJ6040">
        <v>97.447172667354295</v>
      </c>
      <c r="AK6040">
        <v>17.073205631518299</v>
      </c>
      <c r="AL6040">
        <v>89.250574467286</v>
      </c>
      <c r="AM6040">
        <v>87.444579624844295</v>
      </c>
      <c r="AN6040">
        <v>0.99999999357150204</v>
      </c>
    </row>
    <row r="6041" spans="1:40" x14ac:dyDescent="0.25">
      <c r="A6041" t="str">
        <f>"20190312150814216"</f>
        <v>20190312150814216</v>
      </c>
      <c r="B6041" t="str">
        <f>"1552374494206461"</f>
        <v>1552374494206461</v>
      </c>
      <c r="C6041" t="s">
        <v>40</v>
      </c>
      <c r="D6041">
        <v>4.5318069999999997</v>
      </c>
      <c r="E6041">
        <v>0.43296299999999999</v>
      </c>
      <c r="F6041" t="s">
        <v>42</v>
      </c>
      <c r="G6041">
        <v>-190.51230000000001</v>
      </c>
      <c r="H6041" s="1">
        <v>-3.8251029999999999E-6</v>
      </c>
      <c r="I6041">
        <v>178.18770000000001</v>
      </c>
      <c r="J6041">
        <v>-190.67580000000001</v>
      </c>
      <c r="K6041">
        <v>1.1084700000000001</v>
      </c>
      <c r="L6041">
        <v>195.88200000000001</v>
      </c>
      <c r="M6041">
        <v>-0.124295699999999</v>
      </c>
      <c r="N6041">
        <v>0</v>
      </c>
      <c r="O6041">
        <v>-0.99215030000000004</v>
      </c>
      <c r="P6041">
        <v>-0.16418170000000001</v>
      </c>
      <c r="Q6041">
        <v>1.2784609999999999E-4</v>
      </c>
      <c r="R6041">
        <v>-0.98643020000000003</v>
      </c>
      <c r="S6041">
        <v>2.5466920000000001E-2</v>
      </c>
      <c r="T6041">
        <v>-0.1898358</v>
      </c>
      <c r="U6041">
        <v>-3.0460970000000001</v>
      </c>
      <c r="V6041">
        <v>4.0359859999999997E-2</v>
      </c>
      <c r="W6041">
        <v>1.362932E-2</v>
      </c>
      <c r="X6041">
        <v>0.99909219999999999</v>
      </c>
      <c r="Y6041">
        <v>-0.1325817</v>
      </c>
      <c r="Z6041">
        <v>6.120138E-2</v>
      </c>
      <c r="AA6041">
        <v>0.98928079999999996</v>
      </c>
      <c r="AB6041">
        <v>17</v>
      </c>
      <c r="AC6041">
        <v>0.16349999999999901</v>
      </c>
      <c r="AD6041">
        <v>-1.108473825103</v>
      </c>
      <c r="AE6041">
        <v>-17.694299999999998</v>
      </c>
      <c r="AF6041">
        <v>-2.3525326997424401</v>
      </c>
      <c r="AG6041">
        <v>-1.108473825103</v>
      </c>
      <c r="AH6041">
        <v>17.4681863942589</v>
      </c>
      <c r="AI6041">
        <v>93.598532975775697</v>
      </c>
      <c r="AJ6041">
        <v>97.670174281932404</v>
      </c>
      <c r="AK6041">
        <v>17.660709505251099</v>
      </c>
      <c r="AL6041">
        <v>89.2190732690662</v>
      </c>
      <c r="AM6041">
        <v>87.686707002634805</v>
      </c>
      <c r="AN6041">
        <v>0.99999995038185896</v>
      </c>
    </row>
    <row r="6042" spans="1:40" x14ac:dyDescent="0.25">
      <c r="A6042" t="str">
        <f>"20190312150814227"</f>
        <v>20190312150814227</v>
      </c>
      <c r="B6042" t="str">
        <f>"1552374494216221"</f>
        <v>1552374494216221</v>
      </c>
      <c r="C6042" t="s">
        <v>40</v>
      </c>
      <c r="D6042">
        <v>4.6018350000000003</v>
      </c>
      <c r="E6042">
        <v>0.43318950000000001</v>
      </c>
      <c r="F6042" t="s">
        <v>42</v>
      </c>
      <c r="G6042">
        <v>-190.50360000000001</v>
      </c>
      <c r="H6042" s="1">
        <v>-3.6747210000000001E-6</v>
      </c>
      <c r="I6042">
        <v>177.8426</v>
      </c>
      <c r="J6042">
        <v>-190.69</v>
      </c>
      <c r="K6042">
        <v>1.1085719999999999</v>
      </c>
      <c r="L6042">
        <v>195.7953</v>
      </c>
      <c r="M6042">
        <v>-0.12708349999999999</v>
      </c>
      <c r="N6042">
        <v>0</v>
      </c>
      <c r="O6042">
        <v>-0.9917975</v>
      </c>
      <c r="P6042">
        <v>-0.16294629999999999</v>
      </c>
      <c r="Q6042">
        <v>5.7678150000000001E-4</v>
      </c>
      <c r="R6042">
        <v>-0.98663469999999998</v>
      </c>
      <c r="S6042">
        <v>2.9083250000000001E-2</v>
      </c>
      <c r="T6042">
        <v>-0.18717829999999999</v>
      </c>
      <c r="U6042">
        <v>-3.0461429999999998</v>
      </c>
      <c r="V6042">
        <v>3.6299190000000002E-2</v>
      </c>
      <c r="W6042">
        <v>1.4084650000000001E-2</v>
      </c>
      <c r="X6042">
        <v>0.99924170000000001</v>
      </c>
      <c r="Y6042">
        <v>-0.13654069999999999</v>
      </c>
      <c r="Z6042">
        <v>6.0297610000000001E-2</v>
      </c>
      <c r="AA6042">
        <v>0.9887977</v>
      </c>
      <c r="AB6042">
        <v>17</v>
      </c>
      <c r="AC6042">
        <v>0.18639999999999099</v>
      </c>
      <c r="AD6042">
        <v>-1.1085756747209901</v>
      </c>
      <c r="AE6042">
        <v>-17.952699999999901</v>
      </c>
      <c r="AF6042">
        <v>-2.4572257767330399</v>
      </c>
      <c r="AG6042">
        <v>-1.1085756747209901</v>
      </c>
      <c r="AH6042">
        <v>17.715877879232899</v>
      </c>
      <c r="AI6042">
        <v>93.546763436541099</v>
      </c>
      <c r="AJ6042">
        <v>97.896651056999403</v>
      </c>
      <c r="AK6042">
        <v>17.919799875453901</v>
      </c>
      <c r="AL6042">
        <v>89.192982308614404</v>
      </c>
      <c r="AM6042">
        <v>87.919546133914096</v>
      </c>
      <c r="AN6042">
        <v>0.99999999178958399</v>
      </c>
    </row>
    <row r="6043" spans="1:40" x14ac:dyDescent="0.25">
      <c r="A6043" t="str">
        <f>"20190312150814239"</f>
        <v>20190312150814239</v>
      </c>
      <c r="B6043" t="str">
        <f>"1552374494236717"</f>
        <v>1552374494236717</v>
      </c>
      <c r="C6043" t="s">
        <v>40</v>
      </c>
      <c r="D6043">
        <v>4.6140499999999998</v>
      </c>
      <c r="E6043">
        <v>0.4333033</v>
      </c>
      <c r="F6043" t="s">
        <v>42</v>
      </c>
      <c r="G6043">
        <v>-190.4984</v>
      </c>
      <c r="H6043" s="1">
        <v>-3.4220800000000001E-6</v>
      </c>
      <c r="I6043">
        <v>177.2569</v>
      </c>
      <c r="J6043">
        <v>-190.70490000000001</v>
      </c>
      <c r="K6043">
        <v>1.1086769999999999</v>
      </c>
      <c r="L6043">
        <v>195.7056</v>
      </c>
      <c r="M6043">
        <v>-0.12985079999999999</v>
      </c>
      <c r="N6043">
        <v>0</v>
      </c>
      <c r="O6043">
        <v>-0.99143930000000002</v>
      </c>
      <c r="P6043">
        <v>-0.161881</v>
      </c>
      <c r="Q6043">
        <v>1.4486150000000001E-3</v>
      </c>
      <c r="R6043">
        <v>-0.98680950000000001</v>
      </c>
      <c r="S6043">
        <v>3.1478880000000001E-2</v>
      </c>
      <c r="T6043">
        <v>-0.18214540000000001</v>
      </c>
      <c r="U6043">
        <v>-3.0459589999999999</v>
      </c>
      <c r="V6043">
        <v>3.2431769999999999E-2</v>
      </c>
      <c r="W6043">
        <v>1.4960029999999999E-2</v>
      </c>
      <c r="X6043">
        <v>0.99936199999999997</v>
      </c>
      <c r="Y6043">
        <v>-0.1400835</v>
      </c>
      <c r="Z6043">
        <v>5.8638549999999998E-2</v>
      </c>
      <c r="AA6043">
        <v>0.9884018</v>
      </c>
      <c r="AB6043">
        <v>17</v>
      </c>
      <c r="AC6043">
        <v>0.20650000000000501</v>
      </c>
      <c r="AD6043">
        <v>-1.1086804220799999</v>
      </c>
      <c r="AE6043">
        <v>-18.448699999999999</v>
      </c>
      <c r="AF6043">
        <v>-2.5911968845439199</v>
      </c>
      <c r="AG6043">
        <v>-1.1086804220799999</v>
      </c>
      <c r="AH6043">
        <v>18.1999390073013</v>
      </c>
      <c r="AI6043">
        <v>93.451244672394793</v>
      </c>
      <c r="AJ6043">
        <v>98.102968314952705</v>
      </c>
      <c r="AK6043">
        <v>18.416874149601501</v>
      </c>
      <c r="AL6043">
        <v>89.1428214570021</v>
      </c>
      <c r="AM6043">
        <v>88.141262500916</v>
      </c>
      <c r="AN6043">
        <v>1.00000001462346</v>
      </c>
    </row>
    <row r="6044" spans="1:40" x14ac:dyDescent="0.25">
      <c r="A6044" t="str">
        <f>"20190312150814251"</f>
        <v>20190312150814251</v>
      </c>
      <c r="B6044" t="str">
        <f>"1552374494246477"</f>
        <v>1552374494246477</v>
      </c>
      <c r="C6044" t="s">
        <v>40</v>
      </c>
      <c r="D6044">
        <v>4.5074079999999999</v>
      </c>
      <c r="E6044">
        <v>0.43345250000000002</v>
      </c>
      <c r="F6044" t="s">
        <v>42</v>
      </c>
      <c r="G6044">
        <v>-190.49789999999999</v>
      </c>
      <c r="H6044" s="1">
        <v>-3.3400939999999998E-6</v>
      </c>
      <c r="I6044">
        <v>177.06610000000001</v>
      </c>
      <c r="J6044">
        <v>-190.71860000000001</v>
      </c>
      <c r="K6044">
        <v>1.1087739999999999</v>
      </c>
      <c r="L6044">
        <v>195.6232</v>
      </c>
      <c r="M6044">
        <v>-0.1322991</v>
      </c>
      <c r="N6044">
        <v>0</v>
      </c>
      <c r="O6044">
        <v>-0.991116</v>
      </c>
      <c r="P6044">
        <v>-0.16121949999999999</v>
      </c>
      <c r="Q6044">
        <v>2.025509E-3</v>
      </c>
      <c r="R6044">
        <v>-0.98691649999999997</v>
      </c>
      <c r="S6044">
        <v>3.381348E-2</v>
      </c>
      <c r="T6044">
        <v>-0.1811711</v>
      </c>
      <c r="U6044">
        <v>-3.0459139999999998</v>
      </c>
      <c r="V6044">
        <v>2.929238E-2</v>
      </c>
      <c r="W6044">
        <v>1.553742E-2</v>
      </c>
      <c r="X6044">
        <v>0.99945010000000001</v>
      </c>
      <c r="Y6044">
        <v>-0.14328589999999999</v>
      </c>
      <c r="Z6044">
        <v>5.8284200000000001E-2</v>
      </c>
      <c r="AA6044">
        <v>0.98796360000000005</v>
      </c>
      <c r="AB6044">
        <v>17</v>
      </c>
      <c r="AC6044">
        <v>0.22070000000002199</v>
      </c>
      <c r="AD6044">
        <v>-1.108777340094</v>
      </c>
      <c r="AE6044">
        <v>-18.557099999999899</v>
      </c>
      <c r="AF6044">
        <v>-2.6645645052512599</v>
      </c>
      <c r="AG6044">
        <v>-1.108777340094</v>
      </c>
      <c r="AH6044">
        <v>18.2994287621834</v>
      </c>
      <c r="AI6044">
        <v>93.4312628056649</v>
      </c>
      <c r="AJ6044">
        <v>98.284568022776696</v>
      </c>
      <c r="AK6044">
        <v>18.525614273615201</v>
      </c>
      <c r="AL6044">
        <v>89.109735568035504</v>
      </c>
      <c r="AM6044">
        <v>88.321227404560403</v>
      </c>
      <c r="AN6044">
        <v>0.99999997866816503</v>
      </c>
    </row>
    <row r="6045" spans="1:40" x14ac:dyDescent="0.25">
      <c r="A6045" t="str">
        <f>"20190312150814263"</f>
        <v>20190312150814263</v>
      </c>
      <c r="B6045" t="str">
        <f>"1552374494256236"</f>
        <v>1552374494256236</v>
      </c>
      <c r="C6045" t="s">
        <v>40</v>
      </c>
      <c r="D6045">
        <v>4.6135060000000001</v>
      </c>
      <c r="E6045">
        <v>0.43370019999999998</v>
      </c>
      <c r="F6045" t="s">
        <v>42</v>
      </c>
      <c r="G6045">
        <v>-190.50370000000001</v>
      </c>
      <c r="H6045" s="1">
        <v>-3.188061E-6</v>
      </c>
      <c r="I6045">
        <v>176.7081</v>
      </c>
      <c r="J6045">
        <v>-190.7336</v>
      </c>
      <c r="K6045">
        <v>1.108873</v>
      </c>
      <c r="L6045">
        <v>195.53440000000001</v>
      </c>
      <c r="M6045">
        <v>-0.13486890000000001</v>
      </c>
      <c r="N6045">
        <v>0</v>
      </c>
      <c r="O6045">
        <v>-0.99076969999999998</v>
      </c>
      <c r="P6045">
        <v>-0.16095580000000001</v>
      </c>
      <c r="Q6045">
        <v>2.856557E-3</v>
      </c>
      <c r="R6045">
        <v>-0.98695739999999998</v>
      </c>
      <c r="S6045">
        <v>3.4606930000000001E-2</v>
      </c>
      <c r="T6045">
        <v>-0.17853829999999901</v>
      </c>
      <c r="U6045">
        <v>-3.0457610000000002</v>
      </c>
      <c r="V6045">
        <v>2.6432870000000001E-2</v>
      </c>
      <c r="W6045">
        <v>1.63651E-2</v>
      </c>
      <c r="X6045">
        <v>0.99951659999999998</v>
      </c>
      <c r="Y6045">
        <v>-0.146110299999999</v>
      </c>
      <c r="Z6045">
        <v>5.7400409999999999E-2</v>
      </c>
      <c r="AA6045">
        <v>0.98760159999999997</v>
      </c>
      <c r="AB6045">
        <v>17</v>
      </c>
      <c r="AC6045">
        <v>0.229899999999986</v>
      </c>
      <c r="AD6045">
        <v>-1.1088761880609901</v>
      </c>
      <c r="AE6045">
        <v>-18.8263</v>
      </c>
      <c r="AF6045">
        <v>-2.7575521535543901</v>
      </c>
      <c r="AG6045">
        <v>-1.1088761880609901</v>
      </c>
      <c r="AH6045">
        <v>18.5588753872781</v>
      </c>
      <c r="AI6045">
        <v>93.382262457921001</v>
      </c>
      <c r="AJ6045">
        <v>98.451404269604495</v>
      </c>
      <c r="AK6045">
        <v>18.795359957195299</v>
      </c>
      <c r="AL6045">
        <v>89.062306955620997</v>
      </c>
      <c r="AM6045">
        <v>88.485128736446697</v>
      </c>
      <c r="AN6045">
        <v>0.99999997339500302</v>
      </c>
    </row>
    <row r="6046" spans="1:40" x14ac:dyDescent="0.25">
      <c r="A6046" t="str">
        <f>"20190312150814273"</f>
        <v>20190312150814273</v>
      </c>
      <c r="B6046" t="str">
        <f>"1552374494265998"</f>
        <v>1552374494265998</v>
      </c>
      <c r="C6046" t="s">
        <v>40</v>
      </c>
      <c r="D6046">
        <v>4.6079949999999998</v>
      </c>
      <c r="E6046">
        <v>0.43385509999999999</v>
      </c>
      <c r="F6046" t="s">
        <v>42</v>
      </c>
      <c r="G6046">
        <v>-190.51939999999999</v>
      </c>
      <c r="H6046" s="1">
        <v>-2.918153E-6</v>
      </c>
      <c r="I6046">
        <v>176.0692</v>
      </c>
      <c r="J6046">
        <v>-190.7474</v>
      </c>
      <c r="K6046">
        <v>1.108967</v>
      </c>
      <c r="L6046">
        <v>195.4529</v>
      </c>
      <c r="M6046">
        <v>-0.137079799999999</v>
      </c>
      <c r="N6046">
        <v>0</v>
      </c>
      <c r="O6046">
        <v>-0.99046659999999997</v>
      </c>
      <c r="P6046">
        <v>-0.1641714</v>
      </c>
      <c r="Q6046">
        <v>2.7736140000000002E-3</v>
      </c>
      <c r="R6046">
        <v>-0.98642799999999997</v>
      </c>
      <c r="S6046">
        <v>3.3508299999999998E-2</v>
      </c>
      <c r="T6046">
        <v>-0.17350160000000001</v>
      </c>
      <c r="U6046">
        <v>-3.045639</v>
      </c>
      <c r="V6046">
        <v>2.7455400000000001E-2</v>
      </c>
      <c r="W6046">
        <v>1.6262599999999999E-2</v>
      </c>
      <c r="X6046">
        <v>0.99949069999999995</v>
      </c>
      <c r="Y6046">
        <v>-0.14796329999999999</v>
      </c>
      <c r="Z6046">
        <v>5.5755020000000002E-2</v>
      </c>
      <c r="AA6046">
        <v>0.98741999999999996</v>
      </c>
      <c r="AB6046">
        <v>17</v>
      </c>
      <c r="AC6046">
        <v>0.228000000000008</v>
      </c>
      <c r="AD6046">
        <v>-1.1089699181529999</v>
      </c>
      <c r="AE6046">
        <v>-19.383700000000001</v>
      </c>
      <c r="AF6046">
        <v>-2.87380178583643</v>
      </c>
      <c r="AG6046">
        <v>-1.1089699181529999</v>
      </c>
      <c r="AH6046">
        <v>19.106895781112001</v>
      </c>
      <c r="AI6046">
        <v>93.284872164400994</v>
      </c>
      <c r="AJ6046">
        <v>98.553543839929603</v>
      </c>
      <c r="AK6046">
        <v>19.353604764330601</v>
      </c>
      <c r="AL6046">
        <v>89.0681805472625</v>
      </c>
      <c r="AM6046">
        <v>88.426515565090597</v>
      </c>
      <c r="AN6046">
        <v>0.99999996526720403</v>
      </c>
    </row>
    <row r="6047" spans="1:40" x14ac:dyDescent="0.25">
      <c r="A6047" t="str">
        <f>"20190312150814285"</f>
        <v>20190312150814285</v>
      </c>
      <c r="B6047" t="str">
        <f>"1552374494275757"</f>
        <v>1552374494275757</v>
      </c>
      <c r="C6047" t="s">
        <v>40</v>
      </c>
      <c r="D6047">
        <v>4.6016579999999996</v>
      </c>
      <c r="E6047">
        <v>0.4339865</v>
      </c>
      <c r="F6047" t="s">
        <v>42</v>
      </c>
      <c r="G6047">
        <v>-190.6018</v>
      </c>
      <c r="H6047" s="1">
        <v>-2.8250329999999999E-6</v>
      </c>
      <c r="I6047">
        <v>175.80109999999999</v>
      </c>
      <c r="J6047">
        <v>-190.76249999999999</v>
      </c>
      <c r="K6047">
        <v>1.1090709999999999</v>
      </c>
      <c r="L6047">
        <v>195.36410000000001</v>
      </c>
      <c r="M6047">
        <v>-0.13944019999999999</v>
      </c>
      <c r="N6047">
        <v>0</v>
      </c>
      <c r="O6047">
        <v>-0.9901373</v>
      </c>
      <c r="P6047">
        <v>-0.16322229999999999</v>
      </c>
      <c r="Q6047">
        <v>2.9626510000000002E-3</v>
      </c>
      <c r="R6047">
        <v>-0.98658469999999998</v>
      </c>
      <c r="S6047">
        <v>2.2567750000000001E-2</v>
      </c>
      <c r="T6047">
        <v>-0.17186219999999999</v>
      </c>
      <c r="U6047">
        <v>-3.0455320000000001</v>
      </c>
      <c r="V6047">
        <v>2.4107529999999999E-2</v>
      </c>
      <c r="W6047">
        <v>1.6449970000000001E-2</v>
      </c>
      <c r="X6047">
        <v>0.99957399999999996</v>
      </c>
      <c r="Y6047">
        <v>-0.14677419999999999</v>
      </c>
      <c r="Z6047">
        <v>5.5209920000000003E-2</v>
      </c>
      <c r="AA6047">
        <v>0.98762799999999995</v>
      </c>
      <c r="AB6047">
        <v>17</v>
      </c>
      <c r="AC6047">
        <v>0.16069999999999099</v>
      </c>
      <c r="AD6047">
        <v>-1.1090738250329999</v>
      </c>
      <c r="AE6047">
        <v>-19.562999999999999</v>
      </c>
      <c r="AF6047">
        <v>-2.8780007828948899</v>
      </c>
      <c r="AG6047">
        <v>-1.1090738250329999</v>
      </c>
      <c r="AH6047">
        <v>19.2874473239388</v>
      </c>
      <c r="AI6047">
        <v>93.255059242535197</v>
      </c>
      <c r="AJ6047">
        <v>98.486843786041405</v>
      </c>
      <c r="AK6047">
        <v>19.532500032751301</v>
      </c>
      <c r="AL6047">
        <v>89.057443612351605</v>
      </c>
      <c r="AM6047">
        <v>88.618419441516593</v>
      </c>
      <c r="AN6047">
        <v>0.99999997799585005</v>
      </c>
    </row>
    <row r="6048" spans="1:40" x14ac:dyDescent="0.25">
      <c r="A6048" t="str">
        <f>"20190312150814298"</f>
        <v>20190312150814298</v>
      </c>
      <c r="B6048" t="str">
        <f>"1552374494286492"</f>
        <v>1552374494286492</v>
      </c>
      <c r="C6048" t="s">
        <v>40</v>
      </c>
      <c r="D6048">
        <v>4.5732200000000001</v>
      </c>
      <c r="E6048">
        <v>0.4338863</v>
      </c>
      <c r="F6048" t="s">
        <v>42</v>
      </c>
      <c r="G6048">
        <v>-190.6026</v>
      </c>
      <c r="H6048" s="1">
        <v>-2.7368580000000001E-6</v>
      </c>
      <c r="I6048">
        <v>175.595</v>
      </c>
      <c r="J6048">
        <v>-190.77879999999999</v>
      </c>
      <c r="K6048">
        <v>1.1091869999999999</v>
      </c>
      <c r="L6048">
        <v>195.26900000000001</v>
      </c>
      <c r="M6048">
        <v>-0.14177139999999999</v>
      </c>
      <c r="N6048">
        <v>0</v>
      </c>
      <c r="O6048">
        <v>-0.98980670000000004</v>
      </c>
      <c r="P6048">
        <v>-0.16276849999999901</v>
      </c>
      <c r="Q6048">
        <v>3.0911559999999999E-3</v>
      </c>
      <c r="R6048">
        <v>-0.98665959999999997</v>
      </c>
      <c r="S6048">
        <v>2.4627690000000001E-2</v>
      </c>
      <c r="T6048">
        <v>-0.170849</v>
      </c>
      <c r="U6048">
        <v>-3.0453640000000002</v>
      </c>
      <c r="V6048">
        <v>2.1289410000000002E-2</v>
      </c>
      <c r="W6048">
        <v>1.6572980000000001E-2</v>
      </c>
      <c r="X6048">
        <v>0.99963599999999997</v>
      </c>
      <c r="Y6048">
        <v>-0.14977119999999999</v>
      </c>
      <c r="Z6048">
        <v>5.484791E-2</v>
      </c>
      <c r="AA6048">
        <v>0.98719820000000003</v>
      </c>
      <c r="AB6048">
        <v>17</v>
      </c>
      <c r="AC6048">
        <v>0.176199999999994</v>
      </c>
      <c r="AD6048">
        <v>-1.1091897368579999</v>
      </c>
      <c r="AE6048">
        <v>-19.673999999999999</v>
      </c>
      <c r="AF6048">
        <v>-2.95449630942367</v>
      </c>
      <c r="AG6048">
        <v>-1.1091897368579999</v>
      </c>
      <c r="AH6048">
        <v>19.3886397525117</v>
      </c>
      <c r="AI6048">
        <v>93.236936043379501</v>
      </c>
      <c r="AJ6048">
        <v>98.664242056127094</v>
      </c>
      <c r="AK6048">
        <v>19.643795503095301</v>
      </c>
      <c r="AL6048">
        <v>89.050394735003394</v>
      </c>
      <c r="AM6048">
        <v>88.779946929382504</v>
      </c>
      <c r="AN6048">
        <v>1.00000001757011</v>
      </c>
    </row>
    <row r="6049" spans="1:40" x14ac:dyDescent="0.25">
      <c r="A6049" t="str">
        <f>"20190312150814310"</f>
        <v>20190312150814310</v>
      </c>
      <c r="B6049" t="str">
        <f>"1552374494305860"</f>
        <v>1552374494305860</v>
      </c>
      <c r="C6049" t="s">
        <v>40</v>
      </c>
      <c r="D6049">
        <v>4.5121260000000003</v>
      </c>
      <c r="E6049">
        <v>0.4337666</v>
      </c>
      <c r="F6049" t="s">
        <v>42</v>
      </c>
      <c r="G6049">
        <v>-190.60910000000001</v>
      </c>
      <c r="H6049" s="1">
        <v>-2.8483879999999998E-6</v>
      </c>
      <c r="I6049">
        <v>175.851</v>
      </c>
      <c r="J6049">
        <v>-190.79519999999999</v>
      </c>
      <c r="K6049">
        <v>1.1092979999999999</v>
      </c>
      <c r="L6049">
        <v>195.17429999999999</v>
      </c>
      <c r="M6049">
        <v>-0.1439927</v>
      </c>
      <c r="N6049">
        <v>0</v>
      </c>
      <c r="O6049">
        <v>-0.98948630000000004</v>
      </c>
      <c r="P6049">
        <v>-0.1624082</v>
      </c>
      <c r="Q6049">
        <v>2.7204410000000001E-3</v>
      </c>
      <c r="R6049">
        <v>-0.98672040000000005</v>
      </c>
      <c r="S6049">
        <v>2.6626589999999999E-2</v>
      </c>
      <c r="T6049">
        <v>-0.17396429999999999</v>
      </c>
      <c r="U6049">
        <v>-3.0455019999999999</v>
      </c>
      <c r="V6049">
        <v>1.8674349999999999E-2</v>
      </c>
      <c r="W6049">
        <v>1.619489E-2</v>
      </c>
      <c r="X6049">
        <v>0.99969450000000004</v>
      </c>
      <c r="Y6049">
        <v>-0.15263669999999999</v>
      </c>
      <c r="Z6049">
        <v>5.5802190000000002E-2</v>
      </c>
      <c r="AA6049">
        <v>0.98670570000000002</v>
      </c>
      <c r="AB6049">
        <v>17</v>
      </c>
      <c r="AC6049">
        <v>0.186099999999981</v>
      </c>
      <c r="AD6049">
        <v>-1.10930084838799</v>
      </c>
      <c r="AE6049">
        <v>-19.3232999999999</v>
      </c>
      <c r="AF6049">
        <v>-2.9570844651832799</v>
      </c>
      <c r="AG6049">
        <v>-1.10930084838799</v>
      </c>
      <c r="AH6049">
        <v>19.0323730178999</v>
      </c>
      <c r="AI6049">
        <v>93.296247524039998</v>
      </c>
      <c r="AJ6049">
        <v>98.831506412058005</v>
      </c>
      <c r="AK6049">
        <v>19.2926441837024</v>
      </c>
      <c r="AL6049">
        <v>89.072060633840394</v>
      </c>
      <c r="AM6049">
        <v>88.9298360511076</v>
      </c>
      <c r="AN6049">
        <v>1.00000004957014</v>
      </c>
    </row>
    <row r="6050" spans="1:40" x14ac:dyDescent="0.25">
      <c r="A6050" t="str">
        <f>"20190312150814327"</f>
        <v>20190312150814327</v>
      </c>
      <c r="B6050" t="str">
        <f>"1552374494316596"</f>
        <v>1552374494316596</v>
      </c>
      <c r="C6050" t="s">
        <v>40</v>
      </c>
      <c r="D6050">
        <v>4.6018840000000001</v>
      </c>
      <c r="E6050">
        <v>0.4338899</v>
      </c>
      <c r="F6050" t="s">
        <v>42</v>
      </c>
      <c r="G6050">
        <v>-190.61779999999999</v>
      </c>
      <c r="H6050" s="1">
        <v>-2.9645620000000002E-6</v>
      </c>
      <c r="I6050">
        <v>176.1164</v>
      </c>
      <c r="J6050">
        <v>-190.81649999999999</v>
      </c>
      <c r="K6050">
        <v>1.109442</v>
      </c>
      <c r="L6050">
        <v>195.05109999999999</v>
      </c>
      <c r="M6050">
        <v>-0.14670459999999999</v>
      </c>
      <c r="N6050">
        <v>0</v>
      </c>
      <c r="O6050">
        <v>-0.98908830000000003</v>
      </c>
      <c r="P6050">
        <v>-0.15952639999999901</v>
      </c>
      <c r="Q6050">
        <v>2.0384230000000001E-3</v>
      </c>
      <c r="R6050">
        <v>-0.98719219999999996</v>
      </c>
      <c r="S6050">
        <v>2.8335570000000001E-2</v>
      </c>
      <c r="T6050">
        <v>-0.17727089999999901</v>
      </c>
      <c r="U6050">
        <v>-3.0455320000000001</v>
      </c>
      <c r="V6050">
        <v>1.3006210000000001E-2</v>
      </c>
      <c r="W6050">
        <v>1.5509759999999999E-2</v>
      </c>
      <c r="X6050">
        <v>0.99979510000000005</v>
      </c>
      <c r="Y6050">
        <v>-0.155897799999999</v>
      </c>
      <c r="Z6050">
        <v>5.6809110000000003E-2</v>
      </c>
      <c r="AA6050">
        <v>0.98613819999999996</v>
      </c>
      <c r="AB6050">
        <v>17</v>
      </c>
      <c r="AC6050">
        <v>0.19870000000000199</v>
      </c>
      <c r="AD6050">
        <v>-1.1094449645619999</v>
      </c>
      <c r="AE6050">
        <v>-18.9346999999999</v>
      </c>
      <c r="AF6050">
        <v>-2.9644340079231699</v>
      </c>
      <c r="AG6050">
        <v>-1.1094449645619999</v>
      </c>
      <c r="AH6050">
        <v>18.6366670487918</v>
      </c>
      <c r="AI6050">
        <v>93.364609960844703</v>
      </c>
      <c r="AJ6050">
        <v>99.038012663250399</v>
      </c>
      <c r="AK6050">
        <v>18.9035471751797</v>
      </c>
      <c r="AL6050">
        <v>89.111320559786805</v>
      </c>
      <c r="AM6050">
        <v>89.254688377914206</v>
      </c>
      <c r="AN6050">
        <v>0.99999997806891505</v>
      </c>
    </row>
    <row r="6051" spans="1:40" x14ac:dyDescent="0.25">
      <c r="A6051" t="str">
        <f>"20190312150814340"</f>
        <v>20190312150814340</v>
      </c>
      <c r="B6051" t="str">
        <f>"1552374494336116"</f>
        <v>1552374494336116</v>
      </c>
      <c r="C6051" t="s">
        <v>40</v>
      </c>
      <c r="D6051">
        <v>4.6415119999999996</v>
      </c>
      <c r="E6051">
        <v>0.4340022</v>
      </c>
      <c r="F6051" t="s">
        <v>42</v>
      </c>
      <c r="G6051">
        <v>-190.58879999999999</v>
      </c>
      <c r="H6051" s="1">
        <v>-2.928224E-6</v>
      </c>
      <c r="I6051">
        <v>176.0497</v>
      </c>
      <c r="J6051">
        <v>-190.83359999999999</v>
      </c>
      <c r="K6051">
        <v>1.1095520000000001</v>
      </c>
      <c r="L6051">
        <v>194.95240000000001</v>
      </c>
      <c r="M6051">
        <v>-0.14870610000000001</v>
      </c>
      <c r="N6051">
        <v>0</v>
      </c>
      <c r="O6051">
        <v>-0.98878940000000004</v>
      </c>
      <c r="P6051">
        <v>-0.15931529999999999</v>
      </c>
      <c r="Q6051">
        <v>1.9561859999999999E-3</v>
      </c>
      <c r="R6051">
        <v>-0.98722600000000005</v>
      </c>
      <c r="S6051">
        <v>3.6483759999999997E-2</v>
      </c>
      <c r="T6051">
        <v>-0.1778004</v>
      </c>
      <c r="U6051">
        <v>-3.0451809999999999</v>
      </c>
      <c r="V6051">
        <v>1.0764309999999999E-2</v>
      </c>
      <c r="W6051">
        <v>1.5416310000000001E-2</v>
      </c>
      <c r="X6051">
        <v>0.99982320000000002</v>
      </c>
      <c r="Y6051">
        <v>-0.16053429999999999</v>
      </c>
      <c r="Z6051">
        <v>5.693608E-2</v>
      </c>
      <c r="AA6051">
        <v>0.98538669999999995</v>
      </c>
      <c r="AB6051">
        <v>17</v>
      </c>
      <c r="AC6051">
        <v>0.24479999999999699</v>
      </c>
      <c r="AD6051">
        <v>-1.109554928224</v>
      </c>
      <c r="AE6051">
        <v>-18.902699999999999</v>
      </c>
      <c r="AF6051">
        <v>-3.0427981836344</v>
      </c>
      <c r="AG6051">
        <v>-1.109554928224</v>
      </c>
      <c r="AH6051">
        <v>18.5920363130349</v>
      </c>
      <c r="AI6051">
        <v>93.370569785077393</v>
      </c>
      <c r="AJ6051">
        <v>99.294704137369294</v>
      </c>
      <c r="AK6051">
        <v>18.872030817860601</v>
      </c>
      <c r="AL6051">
        <v>89.116675494316198</v>
      </c>
      <c r="AM6051">
        <v>89.383165239010793</v>
      </c>
      <c r="AN6051">
        <v>0.99999998212101604</v>
      </c>
    </row>
    <row r="6052" spans="1:40" x14ac:dyDescent="0.25">
      <c r="A6052" t="str">
        <f>"20190312150814352"</f>
        <v>20190312150814352</v>
      </c>
      <c r="B6052" t="str">
        <f>"1552374494345876"</f>
        <v>1552374494345876</v>
      </c>
      <c r="C6052" t="s">
        <v>40</v>
      </c>
      <c r="D6052">
        <v>4.5363020000000001</v>
      </c>
      <c r="E6052">
        <v>0.43398969999999998</v>
      </c>
      <c r="F6052" t="s">
        <v>42</v>
      </c>
      <c r="G6052">
        <v>-190.61089999999999</v>
      </c>
      <c r="H6052" s="1">
        <v>-3.0259600000000001E-6</v>
      </c>
      <c r="I6052">
        <v>176.2638</v>
      </c>
      <c r="J6052">
        <v>-190.8492</v>
      </c>
      <c r="K6052">
        <v>1.109645</v>
      </c>
      <c r="L6052">
        <v>194.86269999999999</v>
      </c>
      <c r="M6052">
        <v>-0.15040719999999999</v>
      </c>
      <c r="N6052">
        <v>0</v>
      </c>
      <c r="O6052">
        <v>-0.98853250000000004</v>
      </c>
      <c r="P6052">
        <v>-0.15867919999999999</v>
      </c>
      <c r="Q6052">
        <v>2.2250600000000001E-3</v>
      </c>
      <c r="R6052">
        <v>-0.98732790000000004</v>
      </c>
      <c r="S6052">
        <v>3.6285400000000002E-2</v>
      </c>
      <c r="T6052">
        <v>-0.18078540000000001</v>
      </c>
      <c r="U6052">
        <v>-3.045029</v>
      </c>
      <c r="V6052">
        <v>8.3966379999999997E-3</v>
      </c>
      <c r="W6052">
        <v>1.5675680000000001E-2</v>
      </c>
      <c r="X6052">
        <v>0.99984189999999995</v>
      </c>
      <c r="Y6052">
        <v>-0.16216810000000001</v>
      </c>
      <c r="Z6052">
        <v>5.7860750000000002E-2</v>
      </c>
      <c r="AA6052">
        <v>0.98506530000000003</v>
      </c>
      <c r="AB6052">
        <v>17</v>
      </c>
      <c r="AC6052">
        <v>0.238300000000009</v>
      </c>
      <c r="AD6052">
        <v>-1.1096480259599999</v>
      </c>
      <c r="AE6052">
        <v>-18.598899999999901</v>
      </c>
      <c r="AF6052">
        <v>-3.02249357448797</v>
      </c>
      <c r="AG6052">
        <v>-1.1096480259599999</v>
      </c>
      <c r="AH6052">
        <v>18.2863568758425</v>
      </c>
      <c r="AI6052">
        <v>93.426176942895793</v>
      </c>
      <c r="AJ6052">
        <v>99.385381769350403</v>
      </c>
      <c r="AK6052">
        <v>18.567650199742801</v>
      </c>
      <c r="AL6052">
        <v>89.101812932558801</v>
      </c>
      <c r="AM6052">
        <v>89.518843318953003</v>
      </c>
      <c r="AN6052">
        <v>1.0000000277343799</v>
      </c>
    </row>
    <row r="6053" spans="1:40" x14ac:dyDescent="0.25">
      <c r="A6053" t="str">
        <f>"20190312150814364"</f>
        <v>20190312150814364</v>
      </c>
      <c r="B6053" t="str">
        <f>"1552374494356612"</f>
        <v>1552374494356612</v>
      </c>
      <c r="C6053" t="s">
        <v>40</v>
      </c>
      <c r="D6053">
        <v>4.628463</v>
      </c>
      <c r="E6053">
        <v>0.4340888</v>
      </c>
      <c r="F6053" t="s">
        <v>42</v>
      </c>
      <c r="G6053">
        <v>-190.60980000000001</v>
      </c>
      <c r="H6053" s="1">
        <v>-2.9160320000000002E-6</v>
      </c>
      <c r="I6053">
        <v>176.00819999999999</v>
      </c>
      <c r="J6053">
        <v>-190.86439999999999</v>
      </c>
      <c r="K6053">
        <v>1.109729</v>
      </c>
      <c r="L6053">
        <v>194.7756</v>
      </c>
      <c r="M6053">
        <v>-0.15200549999999999</v>
      </c>
      <c r="N6053">
        <v>0</v>
      </c>
      <c r="O6053">
        <v>-0.9882881</v>
      </c>
      <c r="P6053">
        <v>-0.15845600000000001</v>
      </c>
      <c r="Q6053">
        <v>2.516669E-3</v>
      </c>
      <c r="R6053">
        <v>-0.98736290000000004</v>
      </c>
      <c r="S6053">
        <v>3.8665770000000002E-2</v>
      </c>
      <c r="T6053">
        <v>-0.17921509999999999</v>
      </c>
      <c r="U6053">
        <v>-3.0451199999999998</v>
      </c>
      <c r="V6053">
        <v>6.5509050000000001E-3</v>
      </c>
      <c r="W6053">
        <v>1.5956499999999998E-2</v>
      </c>
      <c r="X6053">
        <v>0.99985119999999905</v>
      </c>
      <c r="Y6053">
        <v>-0.16453309999999999</v>
      </c>
      <c r="Z6053">
        <v>5.7324840000000002E-2</v>
      </c>
      <c r="AA6053">
        <v>0.98470440000000004</v>
      </c>
      <c r="AB6053">
        <v>17</v>
      </c>
      <c r="AC6053">
        <v>0.25459999999998201</v>
      </c>
      <c r="AD6053">
        <v>-1.1097319160320001</v>
      </c>
      <c r="AE6053">
        <v>-18.767399999999999</v>
      </c>
      <c r="AF6053">
        <v>-3.0938316387857201</v>
      </c>
      <c r="AG6053">
        <v>-1.1097319160320001</v>
      </c>
      <c r="AH6053">
        <v>18.446088345497699</v>
      </c>
      <c r="AI6053">
        <v>93.395497098103505</v>
      </c>
      <c r="AJ6053">
        <v>99.521194829842898</v>
      </c>
      <c r="AK6053">
        <v>18.736634553316001</v>
      </c>
      <c r="AL6053">
        <v>89.085721069482005</v>
      </c>
      <c r="AM6053">
        <v>89.624610304128794</v>
      </c>
      <c r="AN6053">
        <v>0.999999973195004</v>
      </c>
    </row>
    <row r="6054" spans="1:40" x14ac:dyDescent="0.25">
      <c r="A6054" t="str">
        <f>"20190312150814376"</f>
        <v>20190312150814376</v>
      </c>
      <c r="B6054" t="str">
        <f>"1552374494366373"</f>
        <v>1552374494366373</v>
      </c>
      <c r="C6054" t="s">
        <v>40</v>
      </c>
      <c r="D6054">
        <v>4.5660270000000001</v>
      </c>
      <c r="E6054">
        <v>0.43415900000000002</v>
      </c>
      <c r="F6054" t="s">
        <v>42</v>
      </c>
      <c r="G6054">
        <v>-190.62129999999999</v>
      </c>
      <c r="H6054" s="1">
        <v>-2.7608220000000001E-6</v>
      </c>
      <c r="I6054">
        <v>175.63929999999999</v>
      </c>
      <c r="J6054">
        <v>-190.8793</v>
      </c>
      <c r="K6054">
        <v>1.1098170000000001</v>
      </c>
      <c r="L6054">
        <v>194.69049999999999</v>
      </c>
      <c r="M6054">
        <v>-0.15339050000000001</v>
      </c>
      <c r="N6054">
        <v>0</v>
      </c>
      <c r="O6054">
        <v>-0.98807420000000001</v>
      </c>
      <c r="P6054">
        <v>-0.1583582</v>
      </c>
      <c r="Q6054">
        <v>2.7563539999999999E-3</v>
      </c>
      <c r="R6054">
        <v>-0.98737790000000003</v>
      </c>
      <c r="S6054">
        <v>3.8681029999999998E-2</v>
      </c>
      <c r="T6054">
        <v>-0.17658380000000001</v>
      </c>
      <c r="U6054">
        <v>-3.045029</v>
      </c>
      <c r="V6054">
        <v>5.047485E-3</v>
      </c>
      <c r="W6054">
        <v>1.6185359999999999E-2</v>
      </c>
      <c r="X6054">
        <v>0.99985630000000003</v>
      </c>
      <c r="Y6054">
        <v>-0.16592129999999999</v>
      </c>
      <c r="Z6054">
        <v>5.6462400000000003E-2</v>
      </c>
      <c r="AA6054">
        <v>0.98452130000000004</v>
      </c>
      <c r="AB6054">
        <v>17</v>
      </c>
      <c r="AC6054">
        <v>0.258000000000009</v>
      </c>
      <c r="AD6054">
        <v>-1.109819760822</v>
      </c>
      <c r="AE6054">
        <v>-19.051199999999898</v>
      </c>
      <c r="AF6054">
        <v>-3.16673871950093</v>
      </c>
      <c r="AG6054">
        <v>-1.109819760822</v>
      </c>
      <c r="AH6054">
        <v>18.7225968396288</v>
      </c>
      <c r="AI6054">
        <v>93.344954333149602</v>
      </c>
      <c r="AJ6054">
        <v>99.600144284526607</v>
      </c>
      <c r="AK6054">
        <v>19.020924437008201</v>
      </c>
      <c r="AL6054">
        <v>89.072606717702698</v>
      </c>
      <c r="AM6054">
        <v>89.710761305401803</v>
      </c>
      <c r="AN6054">
        <v>1.0000000318164199</v>
      </c>
    </row>
    <row r="6055" spans="1:40" x14ac:dyDescent="0.25">
      <c r="A6055" t="str">
        <f>"20190312150814386"</f>
        <v>20190312150814386</v>
      </c>
      <c r="B6055" t="str">
        <f>"1552374494376133"</f>
        <v>1552374494376133</v>
      </c>
      <c r="C6055" t="s">
        <v>40</v>
      </c>
      <c r="D6055">
        <v>4.5108699999999997</v>
      </c>
      <c r="E6055">
        <v>0.43423149999999999</v>
      </c>
      <c r="F6055" t="s">
        <v>42</v>
      </c>
      <c r="G6055">
        <v>-190.6353</v>
      </c>
      <c r="H6055" s="1">
        <v>-2.644361E-6</v>
      </c>
      <c r="I6055">
        <v>175.35919999999999</v>
      </c>
      <c r="J6055">
        <v>-190.8937</v>
      </c>
      <c r="K6055">
        <v>1.1099000000000001</v>
      </c>
      <c r="L6055">
        <v>194.6079</v>
      </c>
      <c r="M6055">
        <v>-0.15468950000000001</v>
      </c>
      <c r="N6055">
        <v>0</v>
      </c>
      <c r="O6055">
        <v>-0.98787199999999997</v>
      </c>
      <c r="P6055">
        <v>-0.1584091</v>
      </c>
      <c r="Q6055">
        <v>3.0687779999999999E-3</v>
      </c>
      <c r="R6055">
        <v>-0.9873691</v>
      </c>
      <c r="S6055">
        <v>3.8436890000000001E-2</v>
      </c>
      <c r="T6055">
        <v>-0.17481459999999999</v>
      </c>
      <c r="U6055">
        <v>-3.0449980000000001</v>
      </c>
      <c r="V6055">
        <v>3.7814020000000001E-3</v>
      </c>
      <c r="W6055">
        <v>1.648763E-2</v>
      </c>
      <c r="X6055">
        <v>0.99985690000000005</v>
      </c>
      <c r="Y6055">
        <v>-0.16713939999999999</v>
      </c>
      <c r="Z6055">
        <v>5.587582E-2</v>
      </c>
      <c r="AA6055">
        <v>0.98434869999999997</v>
      </c>
      <c r="AB6055">
        <v>17</v>
      </c>
      <c r="AC6055">
        <v>0.25839999999999402</v>
      </c>
      <c r="AD6055">
        <v>-1.1099026443610001</v>
      </c>
      <c r="AE6055">
        <v>-19.248699999999999</v>
      </c>
      <c r="AF6055">
        <v>-3.2224170145031099</v>
      </c>
      <c r="AG6055">
        <v>-1.1099026443610001</v>
      </c>
      <c r="AH6055">
        <v>18.914114147331102</v>
      </c>
      <c r="AI6055">
        <v>93.310735958130607</v>
      </c>
      <c r="AJ6055">
        <v>99.668705111359898</v>
      </c>
      <c r="AK6055">
        <v>19.218729647757399</v>
      </c>
      <c r="AL6055">
        <v>89.0552855631379</v>
      </c>
      <c r="AM6055">
        <v>89.783311649607597</v>
      </c>
      <c r="AN6055">
        <v>0.99999998071085605</v>
      </c>
    </row>
    <row r="6056" spans="1:40" x14ac:dyDescent="0.25">
      <c r="A6056" t="str">
        <f>"20190312150814398"</f>
        <v>20190312150814398</v>
      </c>
      <c r="B6056" t="str">
        <f>"1552374494385892"</f>
        <v>1552374494385892</v>
      </c>
      <c r="C6056" t="s">
        <v>40</v>
      </c>
      <c r="D6056">
        <v>4.5932690000000003</v>
      </c>
      <c r="E6056">
        <v>0.43410710000000002</v>
      </c>
      <c r="F6056" t="s">
        <v>42</v>
      </c>
      <c r="G6056">
        <v>-190.65090000000001</v>
      </c>
      <c r="H6056" s="1">
        <v>-2.512489E-6</v>
      </c>
      <c r="I6056">
        <v>175.0421</v>
      </c>
      <c r="J6056">
        <v>-190.90819999999999</v>
      </c>
      <c r="K6056">
        <v>1.10999</v>
      </c>
      <c r="L6056">
        <v>194.52520000000001</v>
      </c>
      <c r="M6056">
        <v>-0.15584909999999999</v>
      </c>
      <c r="N6056">
        <v>0</v>
      </c>
      <c r="O6056">
        <v>-0.98768999999999996</v>
      </c>
      <c r="P6056">
        <v>-0.15849750000000001</v>
      </c>
      <c r="Q6056">
        <v>2.4619580000000002E-3</v>
      </c>
      <c r="R6056">
        <v>-0.98735669999999998</v>
      </c>
      <c r="S6056">
        <v>3.779602E-2</v>
      </c>
      <c r="T6056">
        <v>-0.17273129999999901</v>
      </c>
      <c r="U6056">
        <v>-3.0449830000000002</v>
      </c>
      <c r="V6056">
        <v>2.6921499999999999E-3</v>
      </c>
      <c r="W6056">
        <v>1.5869729999999999E-2</v>
      </c>
      <c r="X6056">
        <v>0.99987040000000005</v>
      </c>
      <c r="Y6056">
        <v>-0.16808999999999999</v>
      </c>
      <c r="Z6056">
        <v>5.5192379999999999E-2</v>
      </c>
      <c r="AA6056">
        <v>0.98422529999999997</v>
      </c>
      <c r="AB6056">
        <v>17</v>
      </c>
      <c r="AC6056">
        <v>0.25729999999998598</v>
      </c>
      <c r="AD6056">
        <v>-1.109992512489</v>
      </c>
      <c r="AE6056">
        <v>-19.4831</v>
      </c>
      <c r="AF6056">
        <v>-3.2802065481427101</v>
      </c>
      <c r="AG6056">
        <v>-1.109992512489</v>
      </c>
      <c r="AH6056">
        <v>19.1427639255737</v>
      </c>
      <c r="AI6056">
        <v>93.271008566140196</v>
      </c>
      <c r="AJ6056">
        <v>99.723478381317406</v>
      </c>
      <c r="AK6056">
        <v>19.453463678391699</v>
      </c>
      <c r="AL6056">
        <v>89.090693238717293</v>
      </c>
      <c r="AM6056">
        <v>89.845731546735493</v>
      </c>
      <c r="AN6056">
        <v>0.99999995639902595</v>
      </c>
    </row>
    <row r="6057" spans="1:40" x14ac:dyDescent="0.25">
      <c r="A6057" t="str">
        <f>"20190312150814409"</f>
        <v>20190312150814409</v>
      </c>
      <c r="B6057" t="str">
        <f>"1552374494405940"</f>
        <v>1552374494405940</v>
      </c>
      <c r="C6057" t="s">
        <v>40</v>
      </c>
      <c r="D6057">
        <v>4.5188350000000002</v>
      </c>
      <c r="E6057">
        <v>0.43403609999999998</v>
      </c>
      <c r="F6057" t="s">
        <v>42</v>
      </c>
      <c r="G6057">
        <v>-190.66749999999999</v>
      </c>
      <c r="H6057" s="1">
        <v>-2.7340969999999999E-6</v>
      </c>
      <c r="I6057">
        <v>175.54839999999999</v>
      </c>
      <c r="J6057">
        <v>-190.92259999999999</v>
      </c>
      <c r="K6057">
        <v>1.11008</v>
      </c>
      <c r="L6057">
        <v>194.4427</v>
      </c>
      <c r="M6057">
        <v>-0.1569304</v>
      </c>
      <c r="N6057">
        <v>0</v>
      </c>
      <c r="O6057">
        <v>-0.98751880000000003</v>
      </c>
      <c r="P6057">
        <v>-0.15827829999999901</v>
      </c>
      <c r="Q6057">
        <v>2.2896320000000002E-3</v>
      </c>
      <c r="R6057">
        <v>-0.98739180000000004</v>
      </c>
      <c r="S6057">
        <v>3.8620000000000002E-2</v>
      </c>
      <c r="T6057">
        <v>-0.178111299999999</v>
      </c>
      <c r="U6057">
        <v>-3.0450590000000002</v>
      </c>
      <c r="V6057">
        <v>1.371431E-3</v>
      </c>
      <c r="W6057">
        <v>1.5687119999999999E-2</v>
      </c>
      <c r="X6057">
        <v>0.99987599999999999</v>
      </c>
      <c r="Y6057">
        <v>-0.1694338</v>
      </c>
      <c r="Z6057">
        <v>5.6882460000000003E-2</v>
      </c>
      <c r="AA6057">
        <v>0.98389859999999896</v>
      </c>
      <c r="AB6057">
        <v>17</v>
      </c>
      <c r="AC6057">
        <v>0.255099999999998</v>
      </c>
      <c r="AD6057">
        <v>-1.1100827340970001</v>
      </c>
      <c r="AE6057">
        <v>-18.894300000000001</v>
      </c>
      <c r="AF6057">
        <v>-3.2062294842552101</v>
      </c>
      <c r="AG6057">
        <v>-1.1100827340970001</v>
      </c>
      <c r="AH6057">
        <v>18.5560737697901</v>
      </c>
      <c r="AI6057">
        <v>93.373661763497694</v>
      </c>
      <c r="AJ6057">
        <v>99.803115147375806</v>
      </c>
      <c r="AK6057">
        <v>18.8637235171676</v>
      </c>
      <c r="AL6057">
        <v>89.101157355201906</v>
      </c>
      <c r="AM6057">
        <v>89.921413096305898</v>
      </c>
      <c r="AN6057">
        <v>0.99999999096644099</v>
      </c>
    </row>
    <row r="6058" spans="1:40" x14ac:dyDescent="0.25">
      <c r="A6058" t="str">
        <f>"20190312150814421"</f>
        <v>20190312150814421</v>
      </c>
      <c r="B6058" t="str">
        <f>"1552374494416677"</f>
        <v>1552374494416677</v>
      </c>
      <c r="C6058" t="s">
        <v>40</v>
      </c>
      <c r="D6058">
        <v>4.5567919999999997</v>
      </c>
      <c r="E6058">
        <v>0.43396990000000002</v>
      </c>
      <c r="F6058" t="s">
        <v>42</v>
      </c>
      <c r="G6058">
        <v>-190.68109999999999</v>
      </c>
      <c r="H6058" s="1">
        <v>-2.879218E-6</v>
      </c>
      <c r="I6058">
        <v>175.87819999999999</v>
      </c>
      <c r="J6058">
        <v>-190.93809999999999</v>
      </c>
      <c r="K6058">
        <v>1.110177</v>
      </c>
      <c r="L6058">
        <v>194.35390000000001</v>
      </c>
      <c r="M6058">
        <v>-0.15798960000000001</v>
      </c>
      <c r="N6058">
        <v>0</v>
      </c>
      <c r="O6058">
        <v>-0.98735019999999996</v>
      </c>
      <c r="P6058">
        <v>-0.15757260000000001</v>
      </c>
      <c r="Q6058">
        <v>2.0970400000000001E-3</v>
      </c>
      <c r="R6058">
        <v>-0.98750539999999998</v>
      </c>
      <c r="S6058">
        <v>3.9611819999999999E-2</v>
      </c>
      <c r="T6058">
        <v>-0.18208540000000001</v>
      </c>
      <c r="U6058">
        <v>-3.045105</v>
      </c>
      <c r="V6058">
        <v>-4.2034519999999999E-4</v>
      </c>
      <c r="W6058">
        <v>1.548354E-2</v>
      </c>
      <c r="X6058">
        <v>0.99987999999999999</v>
      </c>
      <c r="Y6058">
        <v>-0.17080989999999999</v>
      </c>
      <c r="Z6058">
        <v>5.8123979999999999E-2</v>
      </c>
      <c r="AA6058">
        <v>0.98358809999999997</v>
      </c>
      <c r="AB6058">
        <v>17</v>
      </c>
      <c r="AC6058">
        <v>0.257000000000005</v>
      </c>
      <c r="AD6058">
        <v>-1.110179879218</v>
      </c>
      <c r="AE6058">
        <v>-18.4757</v>
      </c>
      <c r="AF6058">
        <v>-3.1615880756533299</v>
      </c>
      <c r="AG6058">
        <v>-1.110179879218</v>
      </c>
      <c r="AH6058">
        <v>18.137535263023899</v>
      </c>
      <c r="AI6058">
        <v>93.450741935900794</v>
      </c>
      <c r="AJ6058">
        <v>99.887986853706806</v>
      </c>
      <c r="AK6058">
        <v>18.444465943522701</v>
      </c>
      <c r="AL6058">
        <v>89.112823024469506</v>
      </c>
      <c r="AM6058">
        <v>90.0240868949071</v>
      </c>
      <c r="AN6058">
        <v>0.99999996555050796</v>
      </c>
    </row>
    <row r="6059" spans="1:40" x14ac:dyDescent="0.25">
      <c r="A6059" t="str">
        <f>"20190312150814433"</f>
        <v>20190312150814433</v>
      </c>
      <c r="B6059" t="str">
        <f>"1552374494426437"</f>
        <v>1552374494426437</v>
      </c>
      <c r="C6059" t="s">
        <v>40</v>
      </c>
      <c r="D6059">
        <v>4.5330440000000003</v>
      </c>
      <c r="E6059">
        <v>0.4339654</v>
      </c>
      <c r="F6059" t="s">
        <v>42</v>
      </c>
      <c r="G6059">
        <v>-190.6848</v>
      </c>
      <c r="H6059" s="1">
        <v>-2.988435E-6</v>
      </c>
      <c r="I6059">
        <v>176.13050000000001</v>
      </c>
      <c r="J6059">
        <v>-190.9529</v>
      </c>
      <c r="K6059">
        <v>1.110268</v>
      </c>
      <c r="L6059">
        <v>194.2687</v>
      </c>
      <c r="M6059">
        <v>-0.158884</v>
      </c>
      <c r="N6059">
        <v>0</v>
      </c>
      <c r="O6059">
        <v>-0.98720699999999995</v>
      </c>
      <c r="P6059">
        <v>-0.15698509999999999</v>
      </c>
      <c r="Q6059">
        <v>1.8240540000000001E-3</v>
      </c>
      <c r="R6059">
        <v>-0.98759969999999997</v>
      </c>
      <c r="S6059">
        <v>4.2327879999999998E-2</v>
      </c>
      <c r="T6059">
        <v>-0.18550849999999999</v>
      </c>
      <c r="U6059">
        <v>-3.0450900000000001</v>
      </c>
      <c r="V6059">
        <v>-1.9245930000000001E-3</v>
      </c>
      <c r="W6059">
        <v>1.520033E-2</v>
      </c>
      <c r="X6059">
        <v>0.99988259999999995</v>
      </c>
      <c r="Y6059">
        <v>-0.17257839999999999</v>
      </c>
      <c r="Z6059">
        <v>5.9190149999999997E-2</v>
      </c>
      <c r="AA6059">
        <v>0.98321570000000003</v>
      </c>
      <c r="AB6059">
        <v>17</v>
      </c>
      <c r="AC6059">
        <v>0.268100000000004</v>
      </c>
      <c r="AD6059">
        <v>-1.1102709884349999</v>
      </c>
      <c r="AE6059">
        <v>-18.138199999999902</v>
      </c>
      <c r="AF6059">
        <v>-3.1350761974564798</v>
      </c>
      <c r="AG6059">
        <v>-1.1102709884349999</v>
      </c>
      <c r="AH6059">
        <v>17.798479013748398</v>
      </c>
      <c r="AI6059">
        <v>93.515510328450006</v>
      </c>
      <c r="AJ6059">
        <v>99.989772187680302</v>
      </c>
      <c r="AK6059">
        <v>18.106552947329899</v>
      </c>
      <c r="AL6059">
        <v>89.129051688834494</v>
      </c>
      <c r="AM6059">
        <v>90.110283867324597</v>
      </c>
      <c r="AN6059">
        <v>0.99999998393654199</v>
      </c>
    </row>
    <row r="6060" spans="1:40" x14ac:dyDescent="0.25">
      <c r="A6060" t="str">
        <f>"20190312150814450"</f>
        <v>20190312150814450</v>
      </c>
      <c r="B6060" t="str">
        <f>"1552374494445957"</f>
        <v>1552374494445957</v>
      </c>
      <c r="C6060" t="s">
        <v>40</v>
      </c>
      <c r="D6060">
        <v>4.6041160000000003</v>
      </c>
      <c r="E6060">
        <v>0.43388330000000003</v>
      </c>
      <c r="F6060" t="s">
        <v>42</v>
      </c>
      <c r="G6060">
        <v>-190.6918</v>
      </c>
      <c r="H6060" s="1">
        <v>-3.011288E-6</v>
      </c>
      <c r="I6060">
        <v>176.17939999999999</v>
      </c>
      <c r="J6060">
        <v>-190.97479999999999</v>
      </c>
      <c r="K6060">
        <v>1.1104039999999999</v>
      </c>
      <c r="L6060">
        <v>194.14240000000001</v>
      </c>
      <c r="M6060">
        <v>-0.16006389999999901</v>
      </c>
      <c r="N6060">
        <v>0</v>
      </c>
      <c r="O6060">
        <v>-0.98701629999999996</v>
      </c>
      <c r="P6060">
        <v>-0.15505529999999901</v>
      </c>
      <c r="Q6060">
        <v>2.7816479999999998E-3</v>
      </c>
      <c r="R6060">
        <v>-0.98790180000000005</v>
      </c>
      <c r="S6060">
        <v>4.3945310000000001E-2</v>
      </c>
      <c r="T6060">
        <v>-0.18689420000000001</v>
      </c>
      <c r="U6060">
        <v>-3.045013</v>
      </c>
      <c r="V6060">
        <v>-5.0779340000000001E-3</v>
      </c>
      <c r="W6060">
        <v>1.614293E-2</v>
      </c>
      <c r="X6060">
        <v>0.99985679999999999</v>
      </c>
      <c r="Y6060">
        <v>-0.1742775</v>
      </c>
      <c r="Z6060">
        <v>5.9605190000000002E-2</v>
      </c>
      <c r="AA6060">
        <v>0.98289090000000001</v>
      </c>
      <c r="AB6060">
        <v>17</v>
      </c>
      <c r="AC6060">
        <v>0.28299999999998698</v>
      </c>
      <c r="AD6060">
        <v>-1.110407011288</v>
      </c>
      <c r="AE6060">
        <v>-17.963000000000001</v>
      </c>
      <c r="AF6060">
        <v>-3.1428282419283602</v>
      </c>
      <c r="AG6060">
        <v>-1.110407011288</v>
      </c>
      <c r="AH6060">
        <v>17.618744022171398</v>
      </c>
      <c r="AI6060">
        <v>93.550354287712295</v>
      </c>
      <c r="AJ6060">
        <v>100.114031739284</v>
      </c>
      <c r="AK6060">
        <v>17.931271957331401</v>
      </c>
      <c r="AL6060">
        <v>89.075038065824501</v>
      </c>
      <c r="AM6060">
        <v>90.290983354279206</v>
      </c>
      <c r="AN6060">
        <v>1.00000000005446</v>
      </c>
    </row>
    <row r="6061" spans="1:40" x14ac:dyDescent="0.25">
      <c r="A6061" t="str">
        <f>"20190312150814461"</f>
        <v>20190312150814461</v>
      </c>
      <c r="B6061" t="str">
        <f>"1552374494456693"</f>
        <v>1552374494456693</v>
      </c>
      <c r="C6061" t="s">
        <v>40</v>
      </c>
      <c r="D6061">
        <v>4.5571330000000003</v>
      </c>
      <c r="E6061">
        <v>0.43383919999999998</v>
      </c>
      <c r="F6061" t="s">
        <v>42</v>
      </c>
      <c r="G6061">
        <v>-190.67320000000001</v>
      </c>
      <c r="H6061" s="1">
        <v>-2.9152289999999998E-6</v>
      </c>
      <c r="I6061">
        <v>175.96700000000001</v>
      </c>
      <c r="J6061">
        <v>-190.99019999999999</v>
      </c>
      <c r="K6061">
        <v>1.1104969999999901</v>
      </c>
      <c r="L6061">
        <v>194.0532</v>
      </c>
      <c r="M6061">
        <v>-0.16078190000000001</v>
      </c>
      <c r="N6061">
        <v>0</v>
      </c>
      <c r="O6061">
        <v>-0.98689990000000005</v>
      </c>
      <c r="P6061">
        <v>-0.15468289999999901</v>
      </c>
      <c r="Q6061">
        <v>2.0890769999999999E-3</v>
      </c>
      <c r="R6061">
        <v>-0.98796209999999995</v>
      </c>
      <c r="S6061">
        <v>5.052185E-2</v>
      </c>
      <c r="T6061">
        <v>-0.18604309999999999</v>
      </c>
      <c r="U6061">
        <v>-3.0451969999999999</v>
      </c>
      <c r="V6061">
        <v>-6.1864880000000004E-3</v>
      </c>
      <c r="W6061">
        <v>1.54392E-2</v>
      </c>
      <c r="X6061">
        <v>0.99986169999999996</v>
      </c>
      <c r="Y6061">
        <v>-0.17711459999999901</v>
      </c>
      <c r="Z6061">
        <v>5.9304019999999999E-2</v>
      </c>
      <c r="AA6061">
        <v>0.98240179999999999</v>
      </c>
      <c r="AB6061">
        <v>17</v>
      </c>
      <c r="AC6061">
        <v>0.31699999999997802</v>
      </c>
      <c r="AD6061">
        <v>-1.1104999152289901</v>
      </c>
      <c r="AE6061">
        <v>-18.086199999999899</v>
      </c>
      <c r="AF6061">
        <v>-3.2089730398605498</v>
      </c>
      <c r="AG6061">
        <v>-1.1104999152289901</v>
      </c>
      <c r="AH6061">
        <v>17.733050075029102</v>
      </c>
      <c r="AI6061">
        <v>93.526241359711705</v>
      </c>
      <c r="AJ6061">
        <v>100.257243472862</v>
      </c>
      <c r="AK6061">
        <v>18.055242534947102</v>
      </c>
      <c r="AL6061">
        <v>89.115363880442601</v>
      </c>
      <c r="AM6061">
        <v>90.354504157151197</v>
      </c>
      <c r="AN6061">
        <v>1.00000003032865</v>
      </c>
    </row>
    <row r="6062" spans="1:40" x14ac:dyDescent="0.25">
      <c r="A6062" t="str">
        <f>"20190312150814474"</f>
        <v>20190312150814474</v>
      </c>
      <c r="B6062" t="str">
        <f>"1552374494466453"</f>
        <v>1552374494466453</v>
      </c>
      <c r="C6062" t="s">
        <v>40</v>
      </c>
      <c r="D6062">
        <v>4.5445250000000001</v>
      </c>
      <c r="E6062">
        <v>0.4337355</v>
      </c>
      <c r="F6062" t="s">
        <v>42</v>
      </c>
      <c r="G6062">
        <v>-190.68260000000001</v>
      </c>
      <c r="H6062" s="1">
        <v>-2.965835E-6</v>
      </c>
      <c r="I6062">
        <v>176.07919999999999</v>
      </c>
      <c r="J6062">
        <v>-191.00470000000001</v>
      </c>
      <c r="K6062">
        <v>1.110576</v>
      </c>
      <c r="L6062">
        <v>193.96850000000001</v>
      </c>
      <c r="M6062">
        <v>-0.1613424</v>
      </c>
      <c r="N6062">
        <v>0</v>
      </c>
      <c r="O6062">
        <v>-0.98680840000000003</v>
      </c>
      <c r="P6062">
        <v>-0.15403729999999999</v>
      </c>
      <c r="Q6062">
        <v>1.8076329999999999E-3</v>
      </c>
      <c r="R6062">
        <v>-0.98806349999999998</v>
      </c>
      <c r="S6062">
        <v>5.2108759999999997E-2</v>
      </c>
      <c r="T6062">
        <v>-0.18813830000000001</v>
      </c>
      <c r="U6062">
        <v>-3.0451199999999998</v>
      </c>
      <c r="V6062">
        <v>-7.4108639999999996E-3</v>
      </c>
      <c r="W6062">
        <v>1.5147890000000001E-2</v>
      </c>
      <c r="X6062">
        <v>0.99985780000000002</v>
      </c>
      <c r="Y6062">
        <v>-0.17818499999999901</v>
      </c>
      <c r="Z6062">
        <v>5.9956189999999999E-2</v>
      </c>
      <c r="AA6062">
        <v>0.98216870000000001</v>
      </c>
      <c r="AB6062">
        <v>17</v>
      </c>
      <c r="AC6062">
        <v>0.32210000000000599</v>
      </c>
      <c r="AD6062">
        <v>-1.110578965835</v>
      </c>
      <c r="AE6062">
        <v>-17.889299999999999</v>
      </c>
      <c r="AF6062">
        <v>-3.1921399538319899</v>
      </c>
      <c r="AG6062">
        <v>-1.110578965835</v>
      </c>
      <c r="AH6062">
        <v>17.535348786221501</v>
      </c>
      <c r="AI6062">
        <v>93.565473832948001</v>
      </c>
      <c r="AJ6062">
        <v>100.317164543527</v>
      </c>
      <c r="AK6062">
        <v>17.858096208124898</v>
      </c>
      <c r="AL6062">
        <v>89.1320566393414</v>
      </c>
      <c r="AM6062">
        <v>90.424663841644403</v>
      </c>
      <c r="AN6062">
        <v>0.99999999984875898</v>
      </c>
    </row>
    <row r="6063" spans="1:40" x14ac:dyDescent="0.25">
      <c r="A6063" t="str">
        <f>"20190312150814487"</f>
        <v>20190312150814487</v>
      </c>
      <c r="B6063" t="str">
        <f>"1552374494476213"</f>
        <v>1552374494476213</v>
      </c>
      <c r="C6063" t="s">
        <v>40</v>
      </c>
      <c r="D6063">
        <v>4.5338620000000001</v>
      </c>
      <c r="E6063">
        <v>0.4337434</v>
      </c>
      <c r="F6063" t="s">
        <v>42</v>
      </c>
      <c r="G6063">
        <v>-190.68879999999999</v>
      </c>
      <c r="H6063" s="1">
        <v>-3.0819999999999999E-6</v>
      </c>
      <c r="I6063">
        <v>176.34610000000001</v>
      </c>
      <c r="J6063">
        <v>-191.02189999999999</v>
      </c>
      <c r="K6063">
        <v>1.110668</v>
      </c>
      <c r="L6063">
        <v>193.86869999999999</v>
      </c>
      <c r="M6063">
        <v>-0.16193080000000001</v>
      </c>
      <c r="N6063">
        <v>0</v>
      </c>
      <c r="O6063">
        <v>-0.98671220000000004</v>
      </c>
      <c r="P6063">
        <v>-0.1533197</v>
      </c>
      <c r="Q6063">
        <v>2.4523100000000001E-3</v>
      </c>
      <c r="R6063">
        <v>-0.98817379999999999</v>
      </c>
      <c r="S6063">
        <v>5.4595949999999997E-2</v>
      </c>
      <c r="T6063">
        <v>-0.19190599999999999</v>
      </c>
      <c r="U6063">
        <v>-3.0451199999999998</v>
      </c>
      <c r="V6063">
        <v>-8.7361899999999996E-3</v>
      </c>
      <c r="W6063">
        <v>1.5781050000000001E-2</v>
      </c>
      <c r="X6063">
        <v>0.99983730000000004</v>
      </c>
      <c r="Y6063">
        <v>-0.17957200000000001</v>
      </c>
      <c r="Z6063">
        <v>6.1134719999999997E-2</v>
      </c>
      <c r="AA6063">
        <v>0.98184340000000003</v>
      </c>
      <c r="AB6063">
        <v>17</v>
      </c>
      <c r="AC6063">
        <v>0.33310000000000101</v>
      </c>
      <c r="AD6063">
        <v>-1.1106710820000001</v>
      </c>
      <c r="AE6063">
        <v>-17.522599999999901</v>
      </c>
      <c r="AF6063">
        <v>-3.15373733584675</v>
      </c>
      <c r="AG6063">
        <v>-1.1106710820000001</v>
      </c>
      <c r="AH6063">
        <v>17.168401514938601</v>
      </c>
      <c r="AI6063">
        <v>93.640715641460801</v>
      </c>
      <c r="AJ6063">
        <v>100.408865339546</v>
      </c>
      <c r="AK6063">
        <v>17.4909593794637</v>
      </c>
      <c r="AL6063">
        <v>89.095774899502999</v>
      </c>
      <c r="AM6063">
        <v>90.500615528529195</v>
      </c>
      <c r="AN6063">
        <v>0.99999999451305399</v>
      </c>
    </row>
    <row r="6064" spans="1:40" x14ac:dyDescent="0.25">
      <c r="A6064" t="str">
        <f>"20190312150814501"</f>
        <v>20190312150814501</v>
      </c>
      <c r="B6064" t="str">
        <f>"1552374494496709"</f>
        <v>1552374494496709</v>
      </c>
      <c r="C6064" t="s">
        <v>40</v>
      </c>
      <c r="D6064">
        <v>5.947444</v>
      </c>
      <c r="E6064">
        <v>0.43410660000000001</v>
      </c>
      <c r="F6064" t="s">
        <v>42</v>
      </c>
      <c r="G6064">
        <v>-190.68889999999999</v>
      </c>
      <c r="H6064" s="1">
        <v>-2.943734E-6</v>
      </c>
      <c r="I6064">
        <v>176.02379999999999</v>
      </c>
      <c r="J6064">
        <v>-191.03970000000001</v>
      </c>
      <c r="K6064">
        <v>1.110752</v>
      </c>
      <c r="L6064">
        <v>193.7637</v>
      </c>
      <c r="M6064">
        <v>-0.16240270000000001</v>
      </c>
      <c r="N6064">
        <v>0</v>
      </c>
      <c r="O6064">
        <v>-0.98663480000000003</v>
      </c>
      <c r="P6064">
        <v>-0.15288099999999999</v>
      </c>
      <c r="Q6064">
        <v>3.1221259999999998E-3</v>
      </c>
      <c r="R6064">
        <v>-0.98823989999999995</v>
      </c>
      <c r="S6064">
        <v>5.6823730000000003E-2</v>
      </c>
      <c r="T6064">
        <v>-0.18953500000000001</v>
      </c>
      <c r="U6064">
        <v>-3.0452270000000001</v>
      </c>
      <c r="V6064">
        <v>-9.6614730000000003E-3</v>
      </c>
      <c r="W6064">
        <v>1.6439949999999998E-2</v>
      </c>
      <c r="X6064">
        <v>0.99981810000000004</v>
      </c>
      <c r="Y6064">
        <v>-0.1807607</v>
      </c>
      <c r="Z6064">
        <v>6.0365790000000003E-2</v>
      </c>
      <c r="AA6064">
        <v>0.98167280000000001</v>
      </c>
      <c r="AB6064">
        <v>17</v>
      </c>
      <c r="AC6064">
        <v>0.35080000000001998</v>
      </c>
      <c r="AD6064">
        <v>-1.1107549437340001</v>
      </c>
      <c r="AE6064">
        <v>-17.739899999999999</v>
      </c>
      <c r="AF6064">
        <v>-3.2148064895472599</v>
      </c>
      <c r="AG6064">
        <v>-1.1107549437340001</v>
      </c>
      <c r="AH6064">
        <v>17.379269504768001</v>
      </c>
      <c r="AI6064">
        <v>93.596107428398696</v>
      </c>
      <c r="AJ6064">
        <v>100.48007577115899</v>
      </c>
      <c r="AK6064">
        <v>17.708974160849198</v>
      </c>
      <c r="AL6064">
        <v>89.058017743372403</v>
      </c>
      <c r="AM6064">
        <v>90.553645105625094</v>
      </c>
      <c r="AN6064">
        <v>0.99999992455206799</v>
      </c>
    </row>
    <row r="6065" spans="1:40" x14ac:dyDescent="0.25">
      <c r="A6065" t="str">
        <f>"20190312150814519"</f>
        <v>20190312150814519</v>
      </c>
      <c r="B6065" t="str">
        <f>"1552374494506437"</f>
        <v>1552374494506437</v>
      </c>
      <c r="C6065" t="s">
        <v>40</v>
      </c>
      <c r="D6065">
        <v>4.6888550000000002</v>
      </c>
      <c r="E6065">
        <v>0.49723590000000001</v>
      </c>
      <c r="F6065" t="s">
        <v>42</v>
      </c>
      <c r="G6065">
        <v>-190.71260000000001</v>
      </c>
      <c r="H6065" s="1">
        <v>-2.8318460000000001E-6</v>
      </c>
      <c r="I6065">
        <v>175.7483</v>
      </c>
      <c r="J6065">
        <v>-191.06030000000001</v>
      </c>
      <c r="K6065">
        <v>1.11084</v>
      </c>
      <c r="L6065">
        <v>193.64250000000001</v>
      </c>
      <c r="M6065">
        <v>-0.16278409999999999</v>
      </c>
      <c r="N6065">
        <v>0</v>
      </c>
      <c r="O6065">
        <v>-0.98657209999999995</v>
      </c>
      <c r="P6065">
        <v>-0.15212989999999901</v>
      </c>
      <c r="Q6065">
        <v>3.7137799999999999E-3</v>
      </c>
      <c r="R6065">
        <v>-0.98835379999999995</v>
      </c>
      <c r="S6065">
        <v>5.5297850000000003E-2</v>
      </c>
      <c r="T6065">
        <v>-0.18773319999999999</v>
      </c>
      <c r="U6065">
        <v>-3.044861</v>
      </c>
      <c r="V6065">
        <v>-1.0811289999999999E-2</v>
      </c>
      <c r="W6065">
        <v>1.7020190000000001E-2</v>
      </c>
      <c r="X6065">
        <v>0.99979669999999998</v>
      </c>
      <c r="Y6065">
        <v>-0.18065200000000001</v>
      </c>
      <c r="Z6065">
        <v>5.979636E-2</v>
      </c>
      <c r="AA6065">
        <v>0.98172769999999998</v>
      </c>
      <c r="AB6065">
        <v>17</v>
      </c>
      <c r="AC6065">
        <v>0.34770000000000301</v>
      </c>
      <c r="AD6065">
        <v>-1.110842831846</v>
      </c>
      <c r="AE6065">
        <v>-17.894200000000001</v>
      </c>
      <c r="AF6065">
        <v>-3.24371460469452</v>
      </c>
      <c r="AG6065">
        <v>-1.110842831846</v>
      </c>
      <c r="AH6065">
        <v>17.531339046957601</v>
      </c>
      <c r="AI6065">
        <v>93.565248142349304</v>
      </c>
      <c r="AJ6065">
        <v>100.482535498979</v>
      </c>
      <c r="AK6065">
        <v>17.8634684485727</v>
      </c>
      <c r="AL6065">
        <v>89.024767863244406</v>
      </c>
      <c r="AM6065">
        <v>90.619543098825005</v>
      </c>
      <c r="AN6065">
        <v>1.0000000060949901</v>
      </c>
    </row>
    <row r="6066" spans="1:40" x14ac:dyDescent="0.25">
      <c r="A6066" t="str">
        <f>"20190312150814536"</f>
        <v>20190312150814536</v>
      </c>
      <c r="B6066" t="str">
        <f>"1552374494525957"</f>
        <v>1552374494525957</v>
      </c>
      <c r="C6066" t="s">
        <v>40</v>
      </c>
      <c r="D6066">
        <v>4.6189169999999997</v>
      </c>
      <c r="E6066">
        <v>0.50856060000000003</v>
      </c>
      <c r="F6066" t="s">
        <v>42</v>
      </c>
      <c r="G6066">
        <v>-194.91480000000001</v>
      </c>
      <c r="H6066" s="1">
        <v>-4.8175349999999999E-6</v>
      </c>
      <c r="I6066">
        <v>167.56099999999901</v>
      </c>
      <c r="J6066">
        <v>-191.0813</v>
      </c>
      <c r="K6066">
        <v>1.1109230000000001</v>
      </c>
      <c r="L6066">
        <v>193.51740000000001</v>
      </c>
      <c r="M6066">
        <v>-0.1630228</v>
      </c>
      <c r="N6066">
        <v>0</v>
      </c>
      <c r="O6066">
        <v>-0.98653259999999998</v>
      </c>
      <c r="P6066">
        <v>-0.1520003</v>
      </c>
      <c r="Q6066">
        <v>3.502827E-3</v>
      </c>
      <c r="R6066">
        <v>-0.98837459999999999</v>
      </c>
      <c r="S6066">
        <v>-0.43867489999999998</v>
      </c>
      <c r="T6066">
        <v>-0.12642349999999999</v>
      </c>
      <c r="U6066">
        <v>-2.9682919999999999</v>
      </c>
      <c r="V6066">
        <v>-1.118795E-2</v>
      </c>
      <c r="W6066">
        <v>1.6798489999999999E-2</v>
      </c>
      <c r="X6066">
        <v>0.99979629999999997</v>
      </c>
      <c r="Y6066">
        <v>-1.7170029999999999E-2</v>
      </c>
      <c r="Z6066">
        <v>4.1474629999999998E-2</v>
      </c>
      <c r="AA6066">
        <v>0.99899199999999999</v>
      </c>
      <c r="AB6066">
        <v>17</v>
      </c>
      <c r="AC6066">
        <v>-3.8335000000000101</v>
      </c>
      <c r="AD6066">
        <v>-1.1109278175349999</v>
      </c>
      <c r="AE6066">
        <v>-25.956399999999999</v>
      </c>
      <c r="AF6066">
        <v>-0.44884742264490701</v>
      </c>
      <c r="AG6066">
        <v>-1.1109278175349999</v>
      </c>
      <c r="AH6066">
        <v>26.1871582963878</v>
      </c>
      <c r="AI6066">
        <v>92.428824112922698</v>
      </c>
      <c r="AJ6066">
        <v>90.981952479841794</v>
      </c>
      <c r="AK6066">
        <v>26.2145548172129</v>
      </c>
      <c r="AL6066">
        <v>89.037472148490096</v>
      </c>
      <c r="AM6066">
        <v>90.641126159276695</v>
      </c>
      <c r="AN6066">
        <v>1.00000000049258</v>
      </c>
    </row>
    <row r="6067" spans="1:40" x14ac:dyDescent="0.25">
      <c r="A6067" t="str">
        <f>"20190312150814551"</f>
        <v>20190312150814551</v>
      </c>
      <c r="B6067" t="str">
        <f>"1552374494546454"</f>
        <v>1552374494546454</v>
      </c>
      <c r="C6067" t="s">
        <v>40</v>
      </c>
      <c r="D6067">
        <v>4.6116089999999996</v>
      </c>
      <c r="E6067">
        <v>0.51242109999999996</v>
      </c>
      <c r="F6067" t="s">
        <v>42</v>
      </c>
      <c r="G6067">
        <v>-195.7218</v>
      </c>
      <c r="H6067" s="1">
        <v>-4.9531059999999998E-6</v>
      </c>
      <c r="I6067">
        <v>167.54130000000001</v>
      </c>
      <c r="J6067">
        <v>-191.10059999999999</v>
      </c>
      <c r="K6067">
        <v>1.1109990000000001</v>
      </c>
      <c r="L6067">
        <v>193.40209999999999</v>
      </c>
      <c r="M6067">
        <v>-0.1631157</v>
      </c>
      <c r="N6067">
        <v>0</v>
      </c>
      <c r="O6067">
        <v>-0.98651739999999999</v>
      </c>
      <c r="P6067">
        <v>-0.15055089999999999</v>
      </c>
      <c r="Q6067">
        <v>5.0008650000000002E-3</v>
      </c>
      <c r="R6067">
        <v>-0.98858950000000001</v>
      </c>
      <c r="S6067">
        <v>-0.52781679999999997</v>
      </c>
      <c r="T6067">
        <v>-0.12635919999999901</v>
      </c>
      <c r="U6067">
        <v>-2.9545750000000002</v>
      </c>
      <c r="V6067">
        <v>-1.2750829999999999E-2</v>
      </c>
      <c r="W6067">
        <v>1.8286460000000001E-2</v>
      </c>
      <c r="X6067">
        <v>0.99975150000000002</v>
      </c>
      <c r="Y6067">
        <v>1.276237E-2</v>
      </c>
      <c r="Z6067">
        <v>4.1544350000000001E-2</v>
      </c>
      <c r="AA6067">
        <v>0.99905509999999997</v>
      </c>
      <c r="AB6067">
        <v>17</v>
      </c>
      <c r="AC6067">
        <v>-4.6212000000000097</v>
      </c>
      <c r="AD6067">
        <v>-1.1110039531060001</v>
      </c>
      <c r="AE6067">
        <v>-25.860799999999902</v>
      </c>
      <c r="AF6067">
        <v>0.340013682849935</v>
      </c>
      <c r="AG6067">
        <v>-1.1110039531060001</v>
      </c>
      <c r="AH6067">
        <v>26.2213425353657</v>
      </c>
      <c r="AI6067">
        <v>92.425979699458395</v>
      </c>
      <c r="AJ6067">
        <v>89.257083911958901</v>
      </c>
      <c r="AK6067">
        <v>26.247071140325701</v>
      </c>
      <c r="AL6067">
        <v>88.952204639019598</v>
      </c>
      <c r="AM6067">
        <v>90.730710717234501</v>
      </c>
      <c r="AN6067">
        <v>1.0000000200186301</v>
      </c>
    </row>
    <row r="6068" spans="1:40" x14ac:dyDescent="0.25">
      <c r="A6068" t="str">
        <f>"20190312150814565"</f>
        <v>20190312150814565</v>
      </c>
      <c r="B6068" t="str">
        <f>"1552374494556213"</f>
        <v>1552374494556213</v>
      </c>
      <c r="C6068" t="s">
        <v>40</v>
      </c>
      <c r="D6068">
        <v>4.6404829999999997</v>
      </c>
      <c r="E6068">
        <v>0.51335310000000001</v>
      </c>
      <c r="F6068" t="s">
        <v>42</v>
      </c>
      <c r="G6068">
        <v>-196.02099999999999</v>
      </c>
      <c r="H6068" s="1">
        <v>-4.8774820000000002E-6</v>
      </c>
      <c r="I6068">
        <v>167.20609999999999</v>
      </c>
      <c r="J6068">
        <v>-191.11789999999999</v>
      </c>
      <c r="K6068">
        <v>1.1110549999999999</v>
      </c>
      <c r="L6068">
        <v>193.29810000000001</v>
      </c>
      <c r="M6068">
        <v>-0.1631147</v>
      </c>
      <c r="N6068">
        <v>0</v>
      </c>
      <c r="O6068">
        <v>-0.98651759999999999</v>
      </c>
      <c r="P6068">
        <v>-0.14990510000000001</v>
      </c>
      <c r="Q6068">
        <v>6.0816239999999999E-3</v>
      </c>
      <c r="R6068">
        <v>-0.98868180000000006</v>
      </c>
      <c r="S6068">
        <v>-0.55426030000000004</v>
      </c>
      <c r="T6068">
        <v>-0.1251495</v>
      </c>
      <c r="U6068">
        <v>-2.9508510000000001</v>
      </c>
      <c r="V6068">
        <v>-1.340557E-2</v>
      </c>
      <c r="W6068">
        <v>1.9359629999999999E-2</v>
      </c>
      <c r="X6068">
        <v>0.99972269999999996</v>
      </c>
      <c r="Y6068">
        <v>2.1645609999999999E-2</v>
      </c>
      <c r="Z6068">
        <v>4.116243E-2</v>
      </c>
      <c r="AA6068">
        <v>0.99891799999999997</v>
      </c>
      <c r="AB6068">
        <v>17</v>
      </c>
      <c r="AC6068">
        <v>-4.9030999999999896</v>
      </c>
      <c r="AD6068">
        <v>-1.111059877482</v>
      </c>
      <c r="AE6068">
        <v>-26.091999999999999</v>
      </c>
      <c r="AF6068">
        <v>0.58004111536751002</v>
      </c>
      <c r="AG6068">
        <v>-1.111059877482</v>
      </c>
      <c r="AH6068">
        <v>26.495923626442799</v>
      </c>
      <c r="AI6068">
        <v>92.400616313867502</v>
      </c>
      <c r="AJ6068">
        <v>88.745897642018406</v>
      </c>
      <c r="AK6068">
        <v>26.525551277309098</v>
      </c>
      <c r="AL6068">
        <v>88.890705597380503</v>
      </c>
      <c r="AM6068">
        <v>90.768249587486096</v>
      </c>
      <c r="AN6068">
        <v>0.99999999073802504</v>
      </c>
    </row>
    <row r="6069" spans="1:40" x14ac:dyDescent="0.25">
      <c r="A6069" t="str">
        <f>"20190312150814578"</f>
        <v>20190312150814578</v>
      </c>
      <c r="B6069" t="str">
        <f>"1552374494565974"</f>
        <v>1552374494565974</v>
      </c>
      <c r="C6069" t="s">
        <v>40</v>
      </c>
      <c r="D6069">
        <v>4.6201650000000001</v>
      </c>
      <c r="E6069">
        <v>0.51427149999999999</v>
      </c>
      <c r="F6069" t="s">
        <v>42</v>
      </c>
      <c r="G6069">
        <v>-195.9641</v>
      </c>
      <c r="H6069" s="1">
        <v>-5.0799579999999998E-6</v>
      </c>
      <c r="I6069">
        <v>167.75970000000001</v>
      </c>
      <c r="J6069">
        <v>-191.1337</v>
      </c>
      <c r="K6069">
        <v>1.111102</v>
      </c>
      <c r="L6069">
        <v>193.202</v>
      </c>
      <c r="M6069">
        <v>-0.16301760000000001</v>
      </c>
      <c r="N6069">
        <v>0</v>
      </c>
      <c r="O6069">
        <v>-0.98653380000000002</v>
      </c>
      <c r="P6069">
        <v>-0.1494916</v>
      </c>
      <c r="Q6069">
        <v>7.0126759999999998E-3</v>
      </c>
      <c r="R6069">
        <v>-0.98873820000000001</v>
      </c>
      <c r="S6069">
        <v>-0.55984500000000004</v>
      </c>
      <c r="T6069">
        <v>-0.12835160000000001</v>
      </c>
      <c r="U6069">
        <v>-2.9502410000000001</v>
      </c>
      <c r="V6069">
        <v>-1.372757E-2</v>
      </c>
      <c r="W6069">
        <v>2.028452E-2</v>
      </c>
      <c r="X6069">
        <v>0.99970000000000003</v>
      </c>
      <c r="Y6069">
        <v>2.359907E-2</v>
      </c>
      <c r="Z6069">
        <v>4.2215059999999999E-2</v>
      </c>
      <c r="AA6069">
        <v>0.99882979999999999</v>
      </c>
      <c r="AB6069">
        <v>17</v>
      </c>
      <c r="AC6069">
        <v>-4.8303999999999903</v>
      </c>
      <c r="AD6069">
        <v>-1.1111070799580001</v>
      </c>
      <c r="AE6069">
        <v>-25.4422999999999</v>
      </c>
      <c r="AF6069">
        <v>0.61672934662175305</v>
      </c>
      <c r="AG6069">
        <v>-1.1111070799580001</v>
      </c>
      <c r="AH6069">
        <v>25.841840525049399</v>
      </c>
      <c r="AI6069">
        <v>92.461298016657906</v>
      </c>
      <c r="AJ6069">
        <v>88.632865092513001</v>
      </c>
      <c r="AK6069">
        <v>25.873067768477</v>
      </c>
      <c r="AL6069">
        <v>88.837702897253493</v>
      </c>
      <c r="AM6069">
        <v>90.786718409122798</v>
      </c>
      <c r="AN6069">
        <v>0.99999999896486702</v>
      </c>
    </row>
    <row r="6070" spans="1:40" x14ac:dyDescent="0.25">
      <c r="A6070" t="str">
        <f>"20190312150814595"</f>
        <v>20190312150814595</v>
      </c>
      <c r="B6070" t="str">
        <f>"1552374494586469"</f>
        <v>1552374494586469</v>
      </c>
      <c r="C6070" t="s">
        <v>40</v>
      </c>
      <c r="D6070">
        <v>4.6465889999999996</v>
      </c>
      <c r="E6070">
        <v>0.51498440000000001</v>
      </c>
      <c r="F6070" t="s">
        <v>42</v>
      </c>
      <c r="G6070">
        <v>-196.07220000000001</v>
      </c>
      <c r="H6070" s="1">
        <v>-4.9866480000000003E-6</v>
      </c>
      <c r="I6070">
        <v>167.46680000000001</v>
      </c>
      <c r="J6070">
        <v>-191.15369999999999</v>
      </c>
      <c r="K6070">
        <v>1.1111549999999999</v>
      </c>
      <c r="L6070">
        <v>193.07980000000001</v>
      </c>
      <c r="M6070">
        <v>-0.162815299999999</v>
      </c>
      <c r="N6070">
        <v>0</v>
      </c>
      <c r="O6070">
        <v>-0.98656710000000003</v>
      </c>
      <c r="P6070">
        <v>-0.14936469999999999</v>
      </c>
      <c r="Q6070">
        <v>8.2140640000000001E-3</v>
      </c>
      <c r="R6070">
        <v>-0.98874810000000002</v>
      </c>
      <c r="S6070">
        <v>-0.56599429999999995</v>
      </c>
      <c r="T6070">
        <v>-0.12734329999999999</v>
      </c>
      <c r="U6070">
        <v>-2.9494929999999999</v>
      </c>
      <c r="V6070">
        <v>-1.365334E-2</v>
      </c>
      <c r="W6070">
        <v>2.148017E-2</v>
      </c>
      <c r="X6070">
        <v>0.99967600000000001</v>
      </c>
      <c r="Y6070">
        <v>2.586223E-2</v>
      </c>
      <c r="Z6070">
        <v>4.188733E-2</v>
      </c>
      <c r="AA6070">
        <v>0.9987876</v>
      </c>
      <c r="AB6070">
        <v>17</v>
      </c>
      <c r="AC6070">
        <v>-4.9185000000000203</v>
      </c>
      <c r="AD6070">
        <v>-1.111159986648</v>
      </c>
      <c r="AE6070">
        <v>-25.613</v>
      </c>
      <c r="AF6070">
        <v>0.68106601348588003</v>
      </c>
      <c r="AG6070">
        <v>-1.111159986648</v>
      </c>
      <c r="AH6070">
        <v>26.024813435038698</v>
      </c>
      <c r="AI6070">
        <v>92.443989996704204</v>
      </c>
      <c r="AJ6070">
        <v>88.500918993296395</v>
      </c>
      <c r="AK6070">
        <v>26.057425846756701</v>
      </c>
      <c r="AL6070">
        <v>88.769182202513406</v>
      </c>
      <c r="AM6070">
        <v>90.782483647730601</v>
      </c>
      <c r="AN6070">
        <v>0.99999995818619103</v>
      </c>
    </row>
    <row r="6071" spans="1:40" x14ac:dyDescent="0.25">
      <c r="A6071" t="str">
        <f>"20190312150814606"</f>
        <v>20190312150814606</v>
      </c>
      <c r="B6071" t="str">
        <f>"1552374494596230"</f>
        <v>1552374494596230</v>
      </c>
      <c r="C6071" t="s">
        <v>40</v>
      </c>
      <c r="D6071">
        <v>4.6778769999999996</v>
      </c>
      <c r="E6071">
        <v>0.51522380000000001</v>
      </c>
      <c r="F6071" t="s">
        <v>42</v>
      </c>
      <c r="G6071">
        <v>-195.8648</v>
      </c>
      <c r="H6071" s="1">
        <v>-5.4535460000000004E-6</v>
      </c>
      <c r="I6071">
        <v>168.7784</v>
      </c>
      <c r="J6071">
        <v>-191.16759999999999</v>
      </c>
      <c r="K6071">
        <v>1.111186</v>
      </c>
      <c r="L6071">
        <v>192.99510000000001</v>
      </c>
      <c r="M6071">
        <v>-0.16262489999999999</v>
      </c>
      <c r="N6071">
        <v>0</v>
      </c>
      <c r="O6071">
        <v>-0.98659859999999999</v>
      </c>
      <c r="P6071">
        <v>-0.14954879999999901</v>
      </c>
      <c r="Q6071">
        <v>8.9603289999999995E-3</v>
      </c>
      <c r="R6071">
        <v>-0.98871390000000003</v>
      </c>
      <c r="S6071">
        <v>-0.57167049999999997</v>
      </c>
      <c r="T6071">
        <v>-0.13483580000000001</v>
      </c>
      <c r="U6071">
        <v>-2.9488979999999998</v>
      </c>
      <c r="V6071">
        <v>-1.327559E-2</v>
      </c>
      <c r="W6071">
        <v>2.22229E-2</v>
      </c>
      <c r="X6071">
        <v>0.99966489999999997</v>
      </c>
      <c r="Y6071">
        <v>2.7925490000000001E-2</v>
      </c>
      <c r="Z6071">
        <v>4.4348699999999998E-2</v>
      </c>
      <c r="AA6071">
        <v>0.99862580000000001</v>
      </c>
      <c r="AB6071">
        <v>16</v>
      </c>
      <c r="AC6071">
        <v>-4.6971999999999996</v>
      </c>
      <c r="AD6071">
        <v>-1.1111914535459999</v>
      </c>
      <c r="AE6071">
        <v>-24.216699999999999</v>
      </c>
      <c r="AF6071">
        <v>0.69466434546894495</v>
      </c>
      <c r="AG6071">
        <v>-1.1111914535459999</v>
      </c>
      <c r="AH6071">
        <v>24.608285014583899</v>
      </c>
      <c r="AI6071">
        <v>92.584416639987197</v>
      </c>
      <c r="AJ6071">
        <v>88.383033679820002</v>
      </c>
      <c r="AK6071">
        <v>24.6431531334424</v>
      </c>
      <c r="AL6071">
        <v>88.726616802113398</v>
      </c>
      <c r="AM6071">
        <v>90.760845526535803</v>
      </c>
      <c r="AN6071">
        <v>1.0000000054331299</v>
      </c>
    </row>
    <row r="6072" spans="1:40" x14ac:dyDescent="0.25">
      <c r="A6072" t="str">
        <f>"20190312150814619"</f>
        <v>20190312150814619</v>
      </c>
      <c r="B6072" t="str">
        <f>"1552374494616725"</f>
        <v>1552374494616725</v>
      </c>
      <c r="C6072" t="s">
        <v>40</v>
      </c>
      <c r="D6072">
        <v>4.7118510000000002</v>
      </c>
      <c r="E6072">
        <v>0.51544639999999997</v>
      </c>
      <c r="F6072" t="s">
        <v>42</v>
      </c>
      <c r="G6072">
        <v>-195.8212</v>
      </c>
      <c r="H6072" s="1">
        <v>-5.571557E-6</v>
      </c>
      <c r="I6072">
        <v>169.10589999999999</v>
      </c>
      <c r="J6072">
        <v>-191.18209999999999</v>
      </c>
      <c r="K6072">
        <v>1.1112150000000001</v>
      </c>
      <c r="L6072">
        <v>192.90520000000001</v>
      </c>
      <c r="M6072">
        <v>-0.1623484</v>
      </c>
      <c r="N6072">
        <v>0</v>
      </c>
      <c r="O6072">
        <v>-0.98664439999999998</v>
      </c>
      <c r="P6072">
        <v>-0.1495533</v>
      </c>
      <c r="Q6072">
        <v>9.659885E-3</v>
      </c>
      <c r="R6072">
        <v>-0.98870709999999995</v>
      </c>
      <c r="S6072">
        <v>-0.57438659999999997</v>
      </c>
      <c r="T6072">
        <v>-0.13715179999999999</v>
      </c>
      <c r="U6072">
        <v>-2.9485929999999998</v>
      </c>
      <c r="V6072">
        <v>-1.299177E-2</v>
      </c>
      <c r="W6072">
        <v>2.291938E-2</v>
      </c>
      <c r="X6072">
        <v>0.99965289999999996</v>
      </c>
      <c r="Y6072">
        <v>2.9104749999999999E-2</v>
      </c>
      <c r="Z6072">
        <v>4.5111909999999998E-2</v>
      </c>
      <c r="AA6072">
        <v>0.9985579</v>
      </c>
      <c r="AB6072">
        <v>16</v>
      </c>
      <c r="AC6072">
        <v>-4.6391000000000098</v>
      </c>
      <c r="AD6072">
        <v>-1.111220571557</v>
      </c>
      <c r="AE6072">
        <v>-23.799299999999999</v>
      </c>
      <c r="AF6072">
        <v>0.71193122940643006</v>
      </c>
      <c r="AG6072">
        <v>-1.111220571557</v>
      </c>
      <c r="AH6072">
        <v>24.185930197343499</v>
      </c>
      <c r="AI6072">
        <v>92.6294625831014</v>
      </c>
      <c r="AJ6072">
        <v>88.313942059444301</v>
      </c>
      <c r="AK6072">
        <v>24.221909023543699</v>
      </c>
      <c r="AL6072">
        <v>88.686701263949104</v>
      </c>
      <c r="AM6072">
        <v>90.744590131829199</v>
      </c>
      <c r="AN6072">
        <v>1.0000000022728599</v>
      </c>
    </row>
    <row r="6073" spans="1:40" x14ac:dyDescent="0.25">
      <c r="A6073" t="str">
        <f>"20190312150814631"</f>
        <v>20190312150814631</v>
      </c>
      <c r="B6073" t="str">
        <f>"1552374494626485"</f>
        <v>1552374494626485</v>
      </c>
      <c r="C6073" t="s">
        <v>40</v>
      </c>
      <c r="D6073">
        <v>4.7013119999999997</v>
      </c>
      <c r="E6073">
        <v>0.51547779999999999</v>
      </c>
      <c r="F6073" t="s">
        <v>42</v>
      </c>
      <c r="G6073">
        <v>-195.66980000000001</v>
      </c>
      <c r="H6073" s="1">
        <v>-1.665845E-6</v>
      </c>
      <c r="I6073">
        <v>169.9556</v>
      </c>
      <c r="J6073">
        <v>-191.19499999999999</v>
      </c>
      <c r="K6073">
        <v>1.1112489999999999</v>
      </c>
      <c r="L6073">
        <v>192.82480000000001</v>
      </c>
      <c r="M6073">
        <v>-0.16205629999999999</v>
      </c>
      <c r="N6073">
        <v>0</v>
      </c>
      <c r="O6073">
        <v>-0.98669229999999997</v>
      </c>
      <c r="P6073">
        <v>-0.1498787</v>
      </c>
      <c r="Q6073">
        <v>1.0066479999999999E-2</v>
      </c>
      <c r="R6073">
        <v>-0.98865360000000002</v>
      </c>
      <c r="S6073">
        <v>-0.57656859999999999</v>
      </c>
      <c r="T6073">
        <v>-0.14276520000000001</v>
      </c>
      <c r="U6073">
        <v>-2.9484710000000001</v>
      </c>
      <c r="V6073">
        <v>-1.2369109999999999E-2</v>
      </c>
      <c r="W6073">
        <v>2.3324109999999999E-2</v>
      </c>
      <c r="X6073">
        <v>0.99965139999999997</v>
      </c>
      <c r="Y6073">
        <v>3.0103769999999998E-2</v>
      </c>
      <c r="Z6073">
        <v>4.6955520000000001E-2</v>
      </c>
      <c r="AA6073">
        <v>0.99844319999999998</v>
      </c>
      <c r="AB6073">
        <v>16</v>
      </c>
      <c r="AC6073">
        <v>-4.4748000000000099</v>
      </c>
      <c r="AD6073">
        <v>-1.1112506658450001</v>
      </c>
      <c r="AE6073">
        <v>-22.869199999999999</v>
      </c>
      <c r="AF6073">
        <v>0.707606053534791</v>
      </c>
      <c r="AG6073">
        <v>-1.1112506658450001</v>
      </c>
      <c r="AH6073">
        <v>23.2392357967104</v>
      </c>
      <c r="AI6073">
        <v>92.736410296732799</v>
      </c>
      <c r="AJ6073">
        <v>88.255953066337696</v>
      </c>
      <c r="AK6073">
        <v>23.276547527166599</v>
      </c>
      <c r="AL6073">
        <v>88.663505692351706</v>
      </c>
      <c r="AM6073">
        <v>90.708908760658602</v>
      </c>
      <c r="AN6073">
        <v>0.99999996525572099</v>
      </c>
    </row>
    <row r="6074" spans="1:40" x14ac:dyDescent="0.25">
      <c r="A6074" t="str">
        <f>"20190312150814643"</f>
        <v>20190312150814643</v>
      </c>
      <c r="B6074" t="str">
        <f>"1552374494636245"</f>
        <v>1552374494636245</v>
      </c>
      <c r="C6074" t="s">
        <v>40</v>
      </c>
      <c r="D6074">
        <v>4.7171029999999998</v>
      </c>
      <c r="E6074">
        <v>0.51558609999999905</v>
      </c>
      <c r="F6074" t="s">
        <v>42</v>
      </c>
      <c r="G6074">
        <v>-195.59229999999999</v>
      </c>
      <c r="H6074" s="1">
        <v>-1.832953E-6</v>
      </c>
      <c r="I6074">
        <v>170.39330000000001</v>
      </c>
      <c r="J6074">
        <v>-191.20959999999999</v>
      </c>
      <c r="K6074">
        <v>1.111289</v>
      </c>
      <c r="L6074">
        <v>192.73349999999999</v>
      </c>
      <c r="M6074">
        <v>-0.16168479999999999</v>
      </c>
      <c r="N6074">
        <v>0</v>
      </c>
      <c r="O6074">
        <v>-0.98675349999999995</v>
      </c>
      <c r="P6074">
        <v>-0.15015020000000001</v>
      </c>
      <c r="Q6074">
        <v>1.0580579999999999E-2</v>
      </c>
      <c r="R6074">
        <v>-0.98860680000000001</v>
      </c>
      <c r="S6074">
        <v>-0.57795719999999995</v>
      </c>
      <c r="T6074">
        <v>-0.1460571</v>
      </c>
      <c r="U6074">
        <v>-2.9482879999999998</v>
      </c>
      <c r="V6074">
        <v>-1.1719739999999999E-2</v>
      </c>
      <c r="W6074">
        <v>2.3836090000000001E-2</v>
      </c>
      <c r="X6074">
        <v>0.99964719999999996</v>
      </c>
      <c r="Y6074">
        <v>3.0934679999999999E-2</v>
      </c>
      <c r="Z6074">
        <v>4.8040289999999999E-2</v>
      </c>
      <c r="AA6074">
        <v>0.99836619999999998</v>
      </c>
      <c r="AB6074">
        <v>16</v>
      </c>
      <c r="AC6074">
        <v>-4.3826999999999998</v>
      </c>
      <c r="AD6074">
        <v>-1.111290832953</v>
      </c>
      <c r="AE6074">
        <v>-22.3401999999999</v>
      </c>
      <c r="AF6074">
        <v>0.71094234631404496</v>
      </c>
      <c r="AG6074">
        <v>-1.111290832953</v>
      </c>
      <c r="AH6074">
        <v>22.700793413705501</v>
      </c>
      <c r="AI6074">
        <v>92.801239388821401</v>
      </c>
      <c r="AJ6074">
        <v>88.206199866311906</v>
      </c>
      <c r="AK6074">
        <v>22.739094703767801</v>
      </c>
      <c r="AL6074">
        <v>88.634163311196104</v>
      </c>
      <c r="AM6074">
        <v>90.671697851183694</v>
      </c>
      <c r="AN6074">
        <v>1.0000000179799899</v>
      </c>
    </row>
    <row r="6075" spans="1:40" x14ac:dyDescent="0.25">
      <c r="A6075" t="str">
        <f>"20190312150814654"</f>
        <v>20190312150814654</v>
      </c>
      <c r="B6075" t="str">
        <f>"1552374494646006"</f>
        <v>1552374494646006</v>
      </c>
      <c r="C6075" t="s">
        <v>40</v>
      </c>
      <c r="D6075">
        <v>4.7461260000000003</v>
      </c>
      <c r="E6075">
        <v>0.51557600000000003</v>
      </c>
      <c r="F6075" t="s">
        <v>42</v>
      </c>
      <c r="G6075">
        <v>-195.571</v>
      </c>
      <c r="H6075" s="1">
        <v>-1.901317E-6</v>
      </c>
      <c r="I6075">
        <v>170.5658</v>
      </c>
      <c r="J6075">
        <v>-191.22280000000001</v>
      </c>
      <c r="K6075">
        <v>1.1113309999999901</v>
      </c>
      <c r="L6075">
        <v>192.65</v>
      </c>
      <c r="M6075">
        <v>-0.16126699999999999</v>
      </c>
      <c r="N6075">
        <v>0</v>
      </c>
      <c r="O6075">
        <v>-0.98682139999999996</v>
      </c>
      <c r="P6075">
        <v>-0.15019370000000001</v>
      </c>
      <c r="Q6075">
        <v>1.0913310000000001E-2</v>
      </c>
      <c r="R6075">
        <v>-0.98859629999999998</v>
      </c>
      <c r="S6075">
        <v>-0.58001709999999995</v>
      </c>
      <c r="T6075">
        <v>-0.1477889</v>
      </c>
      <c r="U6075">
        <v>-2.9480439999999999</v>
      </c>
      <c r="V6075">
        <v>-1.12549E-2</v>
      </c>
      <c r="W6075">
        <v>2.416739E-2</v>
      </c>
      <c r="X6075">
        <v>0.99964459999999999</v>
      </c>
      <c r="Y6075">
        <v>3.2039570000000003E-2</v>
      </c>
      <c r="Z6075">
        <v>4.8613429999999999E-2</v>
      </c>
      <c r="AA6075">
        <v>0.99830370000000002</v>
      </c>
      <c r="AB6075">
        <v>16</v>
      </c>
      <c r="AC6075">
        <v>-4.3481999999999896</v>
      </c>
      <c r="AD6075">
        <v>-1.1113329013169999</v>
      </c>
      <c r="AE6075">
        <v>-22.084199999999999</v>
      </c>
      <c r="AF6075">
        <v>0.72773439667692996</v>
      </c>
      <c r="AG6075">
        <v>-1.1113329013169999</v>
      </c>
      <c r="AH6075">
        <v>22.441658078294701</v>
      </c>
      <c r="AI6075">
        <v>92.833540189957503</v>
      </c>
      <c r="AJ6075">
        <v>88.142672737367107</v>
      </c>
      <c r="AK6075">
        <v>22.480940271099499</v>
      </c>
      <c r="AL6075">
        <v>88.615175767610395</v>
      </c>
      <c r="AM6075">
        <v>90.645060277310193</v>
      </c>
      <c r="AN6075">
        <v>1.00000003091129</v>
      </c>
    </row>
    <row r="6076" spans="1:40" x14ac:dyDescent="0.25">
      <c r="A6076" t="str">
        <f>"20190312150814666"</f>
        <v>20190312150814666</v>
      </c>
      <c r="B6076" t="str">
        <f>"1552374494655766"</f>
        <v>1552374494655766</v>
      </c>
      <c r="C6076" t="s">
        <v>40</v>
      </c>
      <c r="D6076">
        <v>4.7258459999999998</v>
      </c>
      <c r="E6076">
        <v>0.51553899999999997</v>
      </c>
      <c r="F6076" t="s">
        <v>42</v>
      </c>
      <c r="G6076">
        <v>-195.524</v>
      </c>
      <c r="H6076" s="1">
        <v>-1.9881519999999998E-6</v>
      </c>
      <c r="I6076">
        <v>170.79740000000001</v>
      </c>
      <c r="J6076">
        <v>-191.23609999999999</v>
      </c>
      <c r="K6076">
        <v>1.111375</v>
      </c>
      <c r="L6076">
        <v>192.56530000000001</v>
      </c>
      <c r="M6076">
        <v>-0.1608183</v>
      </c>
      <c r="N6076">
        <v>0</v>
      </c>
      <c r="O6076">
        <v>-0.98689490000000002</v>
      </c>
      <c r="P6076">
        <v>-0.15018679999999901</v>
      </c>
      <c r="Q6076">
        <v>1.0823599999999999E-2</v>
      </c>
      <c r="R6076">
        <v>-0.98859889999999995</v>
      </c>
      <c r="S6076">
        <v>-0.58026119999999903</v>
      </c>
      <c r="T6076">
        <v>-0.14992839999999999</v>
      </c>
      <c r="U6076">
        <v>-2.948105</v>
      </c>
      <c r="V6076">
        <v>-1.080972E-2</v>
      </c>
      <c r="W6076">
        <v>2.407635E-2</v>
      </c>
      <c r="X6076">
        <v>0.99965170000000003</v>
      </c>
      <c r="Y6076">
        <v>3.2563040000000001E-2</v>
      </c>
      <c r="Z6076">
        <v>4.9319130000000003E-2</v>
      </c>
      <c r="AA6076">
        <v>0.99825209999999998</v>
      </c>
      <c r="AB6076">
        <v>16</v>
      </c>
      <c r="AC6076">
        <v>-4.2878999999999996</v>
      </c>
      <c r="AD6076">
        <v>-1.1113769881519999</v>
      </c>
      <c r="AE6076">
        <v>-21.767900000000001</v>
      </c>
      <c r="AF6076">
        <v>0.72926432190744594</v>
      </c>
      <c r="AG6076">
        <v>-1.1113769881519999</v>
      </c>
      <c r="AH6076">
        <v>22.118650048784499</v>
      </c>
      <c r="AI6076">
        <v>92.874913635543095</v>
      </c>
      <c r="AJ6076">
        <v>88.111610016386805</v>
      </c>
      <c r="AK6076">
        <v>22.158557381779101</v>
      </c>
      <c r="AL6076">
        <v>88.6203934797595</v>
      </c>
      <c r="AM6076">
        <v>90.619542981674698</v>
      </c>
      <c r="AN6076">
        <v>1.00000002099434</v>
      </c>
    </row>
    <row r="6077" spans="1:40" x14ac:dyDescent="0.25">
      <c r="A6077" t="str">
        <f>"20190312150814678"</f>
        <v>20190312150814678</v>
      </c>
      <c r="B6077" t="str">
        <f>"1552374494666502"</f>
        <v>1552374494666502</v>
      </c>
      <c r="C6077" t="s">
        <v>40</v>
      </c>
      <c r="D6077">
        <v>4.7363629999999999</v>
      </c>
      <c r="E6077">
        <v>0.51550129999999905</v>
      </c>
      <c r="F6077" t="s">
        <v>42</v>
      </c>
      <c r="G6077">
        <v>-195.44749999999999</v>
      </c>
      <c r="H6077" s="1">
        <v>-2.1242189999999998E-6</v>
      </c>
      <c r="I6077">
        <v>171.16200000000001</v>
      </c>
      <c r="J6077">
        <v>-191.24930000000001</v>
      </c>
      <c r="K6077">
        <v>1.111416</v>
      </c>
      <c r="L6077">
        <v>192.48060000000001</v>
      </c>
      <c r="M6077">
        <v>-0.16029679999999999</v>
      </c>
      <c r="N6077">
        <v>0</v>
      </c>
      <c r="O6077">
        <v>-0.98697970000000002</v>
      </c>
      <c r="P6077">
        <v>-0.14995700000000001</v>
      </c>
      <c r="Q6077">
        <v>1.041925E-2</v>
      </c>
      <c r="R6077">
        <v>-0.98863780000000001</v>
      </c>
      <c r="S6077">
        <v>-0.58007810000000004</v>
      </c>
      <c r="T6077">
        <v>-0.15308339999999901</v>
      </c>
      <c r="U6077">
        <v>-2.9481350000000002</v>
      </c>
      <c r="V6077">
        <v>-1.0515709999999999E-2</v>
      </c>
      <c r="W6077">
        <v>2.3671149999999998E-2</v>
      </c>
      <c r="X6077">
        <v>0.99966449999999996</v>
      </c>
      <c r="Y6077">
        <v>3.3019319999999998E-2</v>
      </c>
      <c r="Z6077">
        <v>5.0360200000000001E-2</v>
      </c>
      <c r="AA6077">
        <v>0.99818519999999999</v>
      </c>
      <c r="AB6077">
        <v>16</v>
      </c>
      <c r="AC6077">
        <v>-4.1981999999999804</v>
      </c>
      <c r="AD6077">
        <v>-1.111418124219</v>
      </c>
      <c r="AE6077">
        <v>-21.3186</v>
      </c>
      <c r="AF6077">
        <v>0.72440336410775197</v>
      </c>
      <c r="AG6077">
        <v>-1.111418124219</v>
      </c>
      <c r="AH6077">
        <v>21.659224148221501</v>
      </c>
      <c r="AI6077">
        <v>92.935851762395203</v>
      </c>
      <c r="AJ6077">
        <v>88.084428620999205</v>
      </c>
      <c r="AK6077">
        <v>21.699815694693701</v>
      </c>
      <c r="AL6077">
        <v>88.643616330650502</v>
      </c>
      <c r="AM6077">
        <v>90.602685780833596</v>
      </c>
      <c r="AN6077">
        <v>1.00000000802968</v>
      </c>
    </row>
    <row r="6078" spans="1:40" x14ac:dyDescent="0.25">
      <c r="A6078" t="str">
        <f>"20190312150814691"</f>
        <v>20190312150814691</v>
      </c>
      <c r="B6078" t="str">
        <f>"1552374494686022"</f>
        <v>1552374494686022</v>
      </c>
      <c r="C6078" t="s">
        <v>40</v>
      </c>
      <c r="D6078">
        <v>4.6891850000000002</v>
      </c>
      <c r="E6078">
        <v>0.51529459999999905</v>
      </c>
      <c r="F6078" t="s">
        <v>42</v>
      </c>
      <c r="G6078">
        <v>-195.33690000000001</v>
      </c>
      <c r="H6078" s="1">
        <v>-2.3172870000000001E-6</v>
      </c>
      <c r="I6078">
        <v>171.6806</v>
      </c>
      <c r="J6078">
        <v>-191.26300000000001</v>
      </c>
      <c r="K6078">
        <v>1.1114539999999999</v>
      </c>
      <c r="L6078">
        <v>192.3922</v>
      </c>
      <c r="M6078">
        <v>-0.1597095</v>
      </c>
      <c r="N6078">
        <v>0</v>
      </c>
      <c r="O6078">
        <v>-0.98707509999999998</v>
      </c>
      <c r="P6078">
        <v>-0.1490909</v>
      </c>
      <c r="Q6078">
        <v>9.9975250000000002E-3</v>
      </c>
      <c r="R6078">
        <v>-0.98877329999999997</v>
      </c>
      <c r="S6078">
        <v>-0.57939149999999995</v>
      </c>
      <c r="T6078">
        <v>-0.15753529999999999</v>
      </c>
      <c r="U6078">
        <v>-2.948242</v>
      </c>
      <c r="V6078">
        <v>-1.079944E-2</v>
      </c>
      <c r="W6078">
        <v>2.3247839999999999E-2</v>
      </c>
      <c r="X6078">
        <v>0.99967139999999999</v>
      </c>
      <c r="Y6078">
        <v>3.3368729999999999E-2</v>
      </c>
      <c r="Z6078">
        <v>5.182722E-2</v>
      </c>
      <c r="AA6078">
        <v>0.99809840000000005</v>
      </c>
      <c r="AB6078">
        <v>16</v>
      </c>
      <c r="AC6078">
        <v>-4.0739000000000001</v>
      </c>
      <c r="AD6078">
        <v>-1.111456317287</v>
      </c>
      <c r="AE6078">
        <v>-20.711600000000001</v>
      </c>
      <c r="AF6078">
        <v>0.71149599951880205</v>
      </c>
      <c r="AG6078">
        <v>-1.111456317287</v>
      </c>
      <c r="AH6078">
        <v>21.038069682721101</v>
      </c>
      <c r="AI6078">
        <v>93.022440902064304</v>
      </c>
      <c r="AJ6078">
        <v>88.063026352629606</v>
      </c>
      <c r="AK6078">
        <v>21.079419766150998</v>
      </c>
      <c r="AL6078">
        <v>88.667876871787698</v>
      </c>
      <c r="AM6078">
        <v>90.618941648214204</v>
      </c>
      <c r="AN6078">
        <v>0.99999999897346903</v>
      </c>
    </row>
    <row r="6079" spans="1:40" x14ac:dyDescent="0.25">
      <c r="A6079" t="str">
        <f>"20190312150814707"</f>
        <v>20190312150814707</v>
      </c>
      <c r="B6079" t="str">
        <f>"1552374494695781"</f>
        <v>1552374494695781</v>
      </c>
      <c r="C6079" t="s">
        <v>40</v>
      </c>
      <c r="D6079">
        <v>4.7081039999999996</v>
      </c>
      <c r="E6079">
        <v>0.5150496</v>
      </c>
      <c r="F6079" t="s">
        <v>42</v>
      </c>
      <c r="G6079">
        <v>-195.15960000000001</v>
      </c>
      <c r="H6079" s="1">
        <v>-2.58981E-6</v>
      </c>
      <c r="I6079">
        <v>172.42590000000001</v>
      </c>
      <c r="J6079">
        <v>-191.2816</v>
      </c>
      <c r="K6079">
        <v>1.1114980000000001</v>
      </c>
      <c r="L6079">
        <v>192.27029999999999</v>
      </c>
      <c r="M6079">
        <v>-0.15881960000000001</v>
      </c>
      <c r="N6079">
        <v>0</v>
      </c>
      <c r="O6079">
        <v>-0.9872187</v>
      </c>
      <c r="P6079">
        <v>-0.14693619999999999</v>
      </c>
      <c r="Q6079">
        <v>9.4629280000000007E-3</v>
      </c>
      <c r="R6079">
        <v>-0.98910109999999996</v>
      </c>
      <c r="S6079">
        <v>-0.57551569999999996</v>
      </c>
      <c r="T6079">
        <v>-0.16415829999999901</v>
      </c>
      <c r="U6079">
        <v>-2.9489589999999999</v>
      </c>
      <c r="V6079">
        <v>-1.207899E-2</v>
      </c>
      <c r="W6079">
        <v>2.2709150000000001E-2</v>
      </c>
      <c r="X6079">
        <v>0.99966909999999998</v>
      </c>
      <c r="Y6079">
        <v>3.2938080000000002E-2</v>
      </c>
      <c r="Z6079">
        <v>5.4005749999999998E-2</v>
      </c>
      <c r="AA6079">
        <v>0.99799720000000003</v>
      </c>
      <c r="AB6079">
        <v>16</v>
      </c>
      <c r="AC6079">
        <v>-3.8780000000000099</v>
      </c>
      <c r="AD6079">
        <v>-1.1115005898100001</v>
      </c>
      <c r="AE6079">
        <v>-19.844399999999901</v>
      </c>
      <c r="AF6079">
        <v>0.67477482561615698</v>
      </c>
      <c r="AG6079">
        <v>-1.1115005898100001</v>
      </c>
      <c r="AH6079">
        <v>20.147557220406</v>
      </c>
      <c r="AI6079">
        <v>93.155927195656005</v>
      </c>
      <c r="AJ6079">
        <v>88.081787115676406</v>
      </c>
      <c r="AK6079">
        <v>20.189472914763499</v>
      </c>
      <c r="AL6079">
        <v>88.698749634649204</v>
      </c>
      <c r="AM6079">
        <v>90.692270542384506</v>
      </c>
      <c r="AN6079">
        <v>0.99999995849397505</v>
      </c>
    </row>
    <row r="6080" spans="1:40" x14ac:dyDescent="0.25">
      <c r="A6080" t="str">
        <f>"20190312150814722"</f>
        <v>20190312150814722</v>
      </c>
      <c r="B6080" t="str">
        <f>"1552374494716277"</f>
        <v>1552374494716277</v>
      </c>
      <c r="C6080" t="s">
        <v>40</v>
      </c>
      <c r="D6080">
        <v>4.7415729999999998</v>
      </c>
      <c r="E6080">
        <v>0.51496009999999903</v>
      </c>
      <c r="F6080" t="s">
        <v>42</v>
      </c>
      <c r="G6080">
        <v>-195.0932</v>
      </c>
      <c r="H6080" s="1">
        <v>-2.5856150000000001E-6</v>
      </c>
      <c r="I6080">
        <v>172.4573</v>
      </c>
      <c r="J6080">
        <v>-191.29769999999999</v>
      </c>
      <c r="K6080">
        <v>1.111532</v>
      </c>
      <c r="L6080">
        <v>192.1643</v>
      </c>
      <c r="M6080">
        <v>-0.1579662</v>
      </c>
      <c r="N6080">
        <v>0</v>
      </c>
      <c r="O6080">
        <v>-0.98735539999999999</v>
      </c>
      <c r="P6080">
        <v>-0.1453304</v>
      </c>
      <c r="Q6080">
        <v>9.4981839999999998E-3</v>
      </c>
      <c r="R6080">
        <v>-0.98933769999999999</v>
      </c>
      <c r="S6080">
        <v>-0.56758120000000001</v>
      </c>
      <c r="T6080">
        <v>-0.1655114</v>
      </c>
      <c r="U6080">
        <v>-2.9503170000000001</v>
      </c>
      <c r="V6080">
        <v>-1.283928E-2</v>
      </c>
      <c r="W6080">
        <v>2.2741569999999999E-2</v>
      </c>
      <c r="X6080">
        <v>0.99965890000000002</v>
      </c>
      <c r="Y6080">
        <v>3.112403E-2</v>
      </c>
      <c r="Z6080">
        <v>5.4451600000000003E-2</v>
      </c>
      <c r="AA6080">
        <v>0.99803120000000001</v>
      </c>
      <c r="AB6080">
        <v>16</v>
      </c>
      <c r="AC6080">
        <v>-3.7955000000000001</v>
      </c>
      <c r="AD6080">
        <v>-1.1115345856150001</v>
      </c>
      <c r="AE6080">
        <v>-19.706999999999901</v>
      </c>
      <c r="AF6080">
        <v>0.63258289673689405</v>
      </c>
      <c r="AG6080">
        <v>-1.1115345856150001</v>
      </c>
      <c r="AH6080">
        <v>19.997795212749601</v>
      </c>
      <c r="AI6080">
        <v>93.1798023165167</v>
      </c>
      <c r="AJ6080">
        <v>88.188187844340007</v>
      </c>
      <c r="AK6080">
        <v>20.0386497456124</v>
      </c>
      <c r="AL6080">
        <v>88.696891642164502</v>
      </c>
      <c r="AM6080">
        <v>90.735847107327402</v>
      </c>
      <c r="AN6080">
        <v>0.99999997123309603</v>
      </c>
    </row>
    <row r="6081" spans="1:40" x14ac:dyDescent="0.25">
      <c r="A6081" t="str">
        <f>"20190312150814736"</f>
        <v>20190312150814736</v>
      </c>
      <c r="B6081" t="str">
        <f>"1552374494726037"</f>
        <v>1552374494726037</v>
      </c>
      <c r="C6081" t="s">
        <v>40</v>
      </c>
      <c r="D6081">
        <v>4.6604130000000001</v>
      </c>
      <c r="E6081">
        <v>0.51488129999999999</v>
      </c>
      <c r="F6081" t="s">
        <v>42</v>
      </c>
      <c r="G6081">
        <v>-195.04509999999999</v>
      </c>
      <c r="H6081" s="1">
        <v>-2.5864579999999998E-6</v>
      </c>
      <c r="I6081">
        <v>172.48910000000001</v>
      </c>
      <c r="J6081">
        <v>-191.31299999999999</v>
      </c>
      <c r="K6081">
        <v>1.1115520000000001</v>
      </c>
      <c r="L6081">
        <v>192.06139999999999</v>
      </c>
      <c r="M6081">
        <v>-0.15706800000000001</v>
      </c>
      <c r="N6081">
        <v>0</v>
      </c>
      <c r="O6081">
        <v>-0.98749869999999995</v>
      </c>
      <c r="P6081">
        <v>-0.1437899</v>
      </c>
      <c r="Q6081">
        <v>9.4457350000000002E-3</v>
      </c>
      <c r="R6081">
        <v>-0.98956319999999998</v>
      </c>
      <c r="S6081">
        <v>-0.56213380000000002</v>
      </c>
      <c r="T6081">
        <v>-0.16673560000000001</v>
      </c>
      <c r="U6081">
        <v>-2.9513699999999998</v>
      </c>
      <c r="V6081">
        <v>-1.3487570000000001E-2</v>
      </c>
      <c r="W6081">
        <v>2.2686749999999999E-2</v>
      </c>
      <c r="X6081">
        <v>0.99965159999999997</v>
      </c>
      <c r="Y6081">
        <v>3.0186020000000001E-2</v>
      </c>
      <c r="Z6081">
        <v>5.4856019999999998E-2</v>
      </c>
      <c r="AA6081">
        <v>0.99803790000000003</v>
      </c>
      <c r="AB6081">
        <v>16</v>
      </c>
      <c r="AC6081">
        <v>-3.7321</v>
      </c>
      <c r="AD6081">
        <v>-1.1115545864579901</v>
      </c>
      <c r="AE6081">
        <v>-19.572299999999899</v>
      </c>
      <c r="AF6081">
        <v>0.60941903518894502</v>
      </c>
      <c r="AG6081">
        <v>-1.1115545864579901</v>
      </c>
      <c r="AH6081">
        <v>19.853777653682201</v>
      </c>
      <c r="AI6081">
        <v>93.202971254344803</v>
      </c>
      <c r="AJ6081">
        <v>88.241836939048099</v>
      </c>
      <c r="AK6081">
        <v>19.894205997751602</v>
      </c>
      <c r="AL6081">
        <v>88.700033395817599</v>
      </c>
      <c r="AM6081">
        <v>90.773003263651702</v>
      </c>
      <c r="AN6081">
        <v>0.99999996227631205</v>
      </c>
    </row>
    <row r="6082" spans="1:40" x14ac:dyDescent="0.25">
      <c r="A6082" t="str">
        <f>"20190312150814750"</f>
        <v>20190312150814750</v>
      </c>
      <c r="B6082" t="str">
        <f>"1552374494746534"</f>
        <v>1552374494746534</v>
      </c>
      <c r="C6082" t="s">
        <v>40</v>
      </c>
      <c r="D6082">
        <v>4.7292360000000002</v>
      </c>
      <c r="E6082">
        <v>0.51469969999999998</v>
      </c>
      <c r="F6082" t="s">
        <v>42</v>
      </c>
      <c r="G6082">
        <v>-195.0376</v>
      </c>
      <c r="H6082" s="1">
        <v>-2.510311E-6</v>
      </c>
      <c r="I6082">
        <v>172.31630000000001</v>
      </c>
      <c r="J6082">
        <v>-191.32769999999999</v>
      </c>
      <c r="K6082">
        <v>1.111564</v>
      </c>
      <c r="L6082">
        <v>191.9623</v>
      </c>
      <c r="M6082">
        <v>-0.15615889999999999</v>
      </c>
      <c r="N6082">
        <v>0</v>
      </c>
      <c r="O6082">
        <v>-0.98764280000000004</v>
      </c>
      <c r="P6082">
        <v>-0.14162949999999999</v>
      </c>
      <c r="Q6082">
        <v>1.0044539999999999E-2</v>
      </c>
      <c r="R6082">
        <v>-0.98986890000000005</v>
      </c>
      <c r="S6082">
        <v>-0.55689999999999995</v>
      </c>
      <c r="T6082">
        <v>-0.16620199999999999</v>
      </c>
      <c r="U6082">
        <v>-2.9523320000000002</v>
      </c>
      <c r="V6082">
        <v>-1.4751490000000001E-2</v>
      </c>
      <c r="W6082">
        <v>2.328121E-2</v>
      </c>
      <c r="X6082">
        <v>0.99962010000000001</v>
      </c>
      <c r="Y6082">
        <v>2.93403E-2</v>
      </c>
      <c r="Z6082">
        <v>5.4685089999999999E-2</v>
      </c>
      <c r="AA6082">
        <v>0.99807250000000003</v>
      </c>
      <c r="AB6082">
        <v>16</v>
      </c>
      <c r="AC6082">
        <v>-3.7099000000000002</v>
      </c>
      <c r="AD6082">
        <v>-1.111566510311</v>
      </c>
      <c r="AE6082">
        <v>-19.645999999999901</v>
      </c>
      <c r="AF6082">
        <v>0.59437353574505902</v>
      </c>
      <c r="AG6082">
        <v>-1.111566510311</v>
      </c>
      <c r="AH6082">
        <v>19.922741893744998</v>
      </c>
      <c r="AI6082">
        <v>93.192024007067104</v>
      </c>
      <c r="AJ6082">
        <v>88.291149034579306</v>
      </c>
      <c r="AK6082">
        <v>19.962577603396301</v>
      </c>
      <c r="AL6082">
        <v>88.665964372367299</v>
      </c>
      <c r="AM6082">
        <v>90.845457962561198</v>
      </c>
      <c r="AN6082">
        <v>0.99999998276014601</v>
      </c>
    </row>
    <row r="6083" spans="1:40" x14ac:dyDescent="0.25">
      <c r="A6083" t="str">
        <f>"20190312150814773"</f>
        <v>20190312150814773</v>
      </c>
      <c r="B6083" t="str">
        <f>"1552374494766053"</f>
        <v>1552374494766053</v>
      </c>
      <c r="C6083" t="s">
        <v>40</v>
      </c>
      <c r="D6083">
        <v>4.704529</v>
      </c>
      <c r="E6083">
        <v>0.51466469999999997</v>
      </c>
      <c r="F6083" t="s">
        <v>42</v>
      </c>
      <c r="G6083">
        <v>-195.0241</v>
      </c>
      <c r="H6083" s="1">
        <v>-2.4060790000000002E-6</v>
      </c>
      <c r="I6083">
        <v>172.08170000000001</v>
      </c>
      <c r="J6083">
        <v>-191.35230000000001</v>
      </c>
      <c r="K6083">
        <v>1.111577</v>
      </c>
      <c r="L6083">
        <v>191.79390000000001</v>
      </c>
      <c r="M6083">
        <v>-0.1545021</v>
      </c>
      <c r="N6083">
        <v>0</v>
      </c>
      <c r="O6083">
        <v>-0.98790370000000005</v>
      </c>
      <c r="P6083">
        <v>-0.13895589999999999</v>
      </c>
      <c r="Q6083">
        <v>9.4923579999999994E-3</v>
      </c>
      <c r="R6083">
        <v>-0.9902533</v>
      </c>
      <c r="S6083">
        <v>-0.54919430000000002</v>
      </c>
      <c r="T6083">
        <v>-0.16515260000000001</v>
      </c>
      <c r="U6083">
        <v>-2.9537960000000001</v>
      </c>
      <c r="V6083">
        <v>-1.5775069999999999E-2</v>
      </c>
      <c r="W6083">
        <v>2.272679E-2</v>
      </c>
      <c r="X6083">
        <v>0.99961719999999998</v>
      </c>
      <c r="Y6083">
        <v>2.8414599999999901E-2</v>
      </c>
      <c r="Z6083">
        <v>5.4349460000000002E-2</v>
      </c>
      <c r="AA6083">
        <v>0.99811760000000005</v>
      </c>
      <c r="AB6083">
        <v>16</v>
      </c>
      <c r="AC6083">
        <v>-3.67179999999999</v>
      </c>
      <c r="AD6083">
        <v>-1.1115794060789901</v>
      </c>
      <c r="AE6083">
        <v>-19.712199999999999</v>
      </c>
      <c r="AF6083">
        <v>0.58007681527510102</v>
      </c>
      <c r="AG6083">
        <v>-1.1115794060789901</v>
      </c>
      <c r="AH6083">
        <v>19.9814059293738</v>
      </c>
      <c r="AI6083">
        <v>93.182783596273097</v>
      </c>
      <c r="AJ6083">
        <v>88.337122964325303</v>
      </c>
      <c r="AK6083">
        <v>20.020706301278501</v>
      </c>
      <c r="AL6083">
        <v>88.697738669215994</v>
      </c>
      <c r="AM6083">
        <v>90.904116007116201</v>
      </c>
      <c r="AN6083">
        <v>0.99999995317652302</v>
      </c>
    </row>
    <row r="6084" spans="1:40" x14ac:dyDescent="0.25">
      <c r="A6084" t="str">
        <f>"20190312150814785"</f>
        <v>20190312150814785</v>
      </c>
      <c r="B6084" t="str">
        <f>"1552374494775814"</f>
        <v>1552374494775814</v>
      </c>
      <c r="C6084" t="s">
        <v>40</v>
      </c>
      <c r="D6084">
        <v>4.6967400000000001</v>
      </c>
      <c r="E6084">
        <v>0.51466489999999998</v>
      </c>
      <c r="F6084" t="s">
        <v>42</v>
      </c>
      <c r="G6084">
        <v>-194.941</v>
      </c>
      <c r="H6084" s="1">
        <v>-2.4251350000000002E-6</v>
      </c>
      <c r="I6084">
        <v>172.17760000000001</v>
      </c>
      <c r="J6084">
        <v>-191.36420000000001</v>
      </c>
      <c r="K6084">
        <v>1.111577</v>
      </c>
      <c r="L6084">
        <v>191.7116</v>
      </c>
      <c r="M6084">
        <v>-0.15365999999999999</v>
      </c>
      <c r="N6084">
        <v>0</v>
      </c>
      <c r="O6084">
        <v>-0.98803470000000004</v>
      </c>
      <c r="P6084">
        <v>-0.1374283</v>
      </c>
      <c r="Q6084">
        <v>8.9731180000000004E-3</v>
      </c>
      <c r="R6084">
        <v>-0.99047110000000005</v>
      </c>
      <c r="S6084">
        <v>-0.54064939999999995</v>
      </c>
      <c r="T6084">
        <v>-0.1674621</v>
      </c>
      <c r="U6084">
        <v>-2.9552459999999998</v>
      </c>
      <c r="V6084">
        <v>-1.6464980000000001E-2</v>
      </c>
      <c r="W6084">
        <v>2.2205260000000001E-2</v>
      </c>
      <c r="X6084">
        <v>0.9996178</v>
      </c>
      <c r="Y6084">
        <v>2.6379940000000001E-2</v>
      </c>
      <c r="Z6084">
        <v>5.5107370000000003E-2</v>
      </c>
      <c r="AA6084">
        <v>0.99813189999999996</v>
      </c>
      <c r="AB6084">
        <v>16</v>
      </c>
      <c r="AC6084">
        <v>-3.57679999999996</v>
      </c>
      <c r="AD6084">
        <v>-1.111579425135</v>
      </c>
      <c r="AE6084">
        <v>-19.533999999999899</v>
      </c>
      <c r="AF6084">
        <v>0.53079191026747696</v>
      </c>
      <c r="AG6084">
        <v>-1.111579425135</v>
      </c>
      <c r="AH6084">
        <v>19.789625113656001</v>
      </c>
      <c r="AI6084">
        <v>93.213761287267005</v>
      </c>
      <c r="AJ6084">
        <v>88.463596639720805</v>
      </c>
      <c r="AK6084">
        <v>19.827925030356401</v>
      </c>
      <c r="AL6084">
        <v>88.727627688260895</v>
      </c>
      <c r="AM6084">
        <v>90.943649227028203</v>
      </c>
      <c r="AN6084">
        <v>0.99999995760745297</v>
      </c>
    </row>
    <row r="6085" spans="1:40" x14ac:dyDescent="0.25">
      <c r="A6085" t="str">
        <f>"20190312150814796"</f>
        <v>20190312150814796</v>
      </c>
      <c r="B6085" t="str">
        <f>"1552374494786549"</f>
        <v>1552374494786549</v>
      </c>
      <c r="C6085" t="s">
        <v>40</v>
      </c>
      <c r="D6085">
        <v>4.6729669999999999</v>
      </c>
      <c r="E6085">
        <v>0.51470769999999999</v>
      </c>
      <c r="F6085" t="s">
        <v>42</v>
      </c>
      <c r="G6085">
        <v>-194.86519999999999</v>
      </c>
      <c r="H6085" s="1">
        <v>-2.503934E-6</v>
      </c>
      <c r="I6085">
        <v>172.4083</v>
      </c>
      <c r="J6085">
        <v>-191.37620000000001</v>
      </c>
      <c r="K6085">
        <v>1.111572</v>
      </c>
      <c r="L6085">
        <v>191.6276</v>
      </c>
      <c r="M6085">
        <v>-0.15277019999999999</v>
      </c>
      <c r="N6085">
        <v>0</v>
      </c>
      <c r="O6085">
        <v>-0.98817270000000001</v>
      </c>
      <c r="P6085">
        <v>-0.13598089999999999</v>
      </c>
      <c r="Q6085">
        <v>8.0528289999999992E-3</v>
      </c>
      <c r="R6085">
        <v>-0.99067859999999996</v>
      </c>
      <c r="S6085">
        <v>-0.53613279999999996</v>
      </c>
      <c r="T6085">
        <v>-0.1702216</v>
      </c>
      <c r="U6085">
        <v>-2.9560089999999999</v>
      </c>
      <c r="V6085">
        <v>-1.7024910000000001E-2</v>
      </c>
      <c r="W6085">
        <v>2.1283280000000002E-2</v>
      </c>
      <c r="X6085">
        <v>0.99962850000000003</v>
      </c>
      <c r="Y6085">
        <v>2.5749270000000001E-2</v>
      </c>
      <c r="Z6085">
        <v>5.6018079999999998E-2</v>
      </c>
      <c r="AA6085">
        <v>0.99809769999999998</v>
      </c>
      <c r="AB6085">
        <v>16</v>
      </c>
      <c r="AC6085">
        <v>-3.4889999999999701</v>
      </c>
      <c r="AD6085">
        <v>-1.1115745039339999</v>
      </c>
      <c r="AE6085">
        <v>-19.2193</v>
      </c>
      <c r="AF6085">
        <v>0.50999174808602199</v>
      </c>
      <c r="AG6085">
        <v>-1.1115745039339999</v>
      </c>
      <c r="AH6085">
        <v>19.4636912823206</v>
      </c>
      <c r="AI6085">
        <v>93.267501514365406</v>
      </c>
      <c r="AJ6085">
        <v>88.499067317628501</v>
      </c>
      <c r="AK6085">
        <v>19.502075986786501</v>
      </c>
      <c r="AL6085">
        <v>88.780465777412402</v>
      </c>
      <c r="AM6085">
        <v>90.975723672818006</v>
      </c>
      <c r="AN6085">
        <v>0.99999998179015803</v>
      </c>
    </row>
    <row r="6086" spans="1:40" x14ac:dyDescent="0.25">
      <c r="A6086" t="str">
        <f>"20190312150814808"</f>
        <v>20190312150814808</v>
      </c>
      <c r="B6086" t="str">
        <f>"1552374494796310"</f>
        <v>1552374494796310</v>
      </c>
      <c r="C6086" t="s">
        <v>40</v>
      </c>
      <c r="D6086">
        <v>4.7274609999999999</v>
      </c>
      <c r="E6086">
        <v>0.51480159999999997</v>
      </c>
      <c r="F6086" t="s">
        <v>42</v>
      </c>
      <c r="G6086">
        <v>-194.77979999999999</v>
      </c>
      <c r="H6086" s="1">
        <v>-2.6147550000000002E-6</v>
      </c>
      <c r="I6086">
        <v>172.71960000000001</v>
      </c>
      <c r="J6086">
        <v>-191.38730000000001</v>
      </c>
      <c r="K6086">
        <v>1.1115660000000001</v>
      </c>
      <c r="L6086">
        <v>191.54990000000001</v>
      </c>
      <c r="M6086">
        <v>-0.15194059999999901</v>
      </c>
      <c r="N6086">
        <v>0</v>
      </c>
      <c r="O6086">
        <v>-0.98830059999999997</v>
      </c>
      <c r="P6086">
        <v>-0.13495079999999901</v>
      </c>
      <c r="Q6086">
        <v>6.4876980000000001E-3</v>
      </c>
      <c r="R6086">
        <v>-0.99083120000000002</v>
      </c>
      <c r="S6086">
        <v>-0.53221130000000005</v>
      </c>
      <c r="T6086">
        <v>-0.17381460000000001</v>
      </c>
      <c r="U6086">
        <v>-2.956604</v>
      </c>
      <c r="V6086">
        <v>-1.7222799999999899E-2</v>
      </c>
      <c r="W6086">
        <v>1.9718630000000001E-2</v>
      </c>
      <c r="X6086">
        <v>0.99965720000000002</v>
      </c>
      <c r="Y6086">
        <v>2.5259170000000001E-2</v>
      </c>
      <c r="Z6086">
        <v>5.7203379999999998E-2</v>
      </c>
      <c r="AA6086">
        <v>0.99804289999999996</v>
      </c>
      <c r="AB6086">
        <v>16</v>
      </c>
      <c r="AC6086">
        <v>-3.3924999999999801</v>
      </c>
      <c r="AD6086">
        <v>-1.1115686147549999</v>
      </c>
      <c r="AE6086">
        <v>-18.830299999999902</v>
      </c>
      <c r="AF6086">
        <v>0.490111804987378</v>
      </c>
      <c r="AG6086">
        <v>-1.1115686147549999</v>
      </c>
      <c r="AH6086">
        <v>19.062799630716299</v>
      </c>
      <c r="AI6086">
        <v>93.336088459504495</v>
      </c>
      <c r="AJ6086">
        <v>88.527228243676603</v>
      </c>
      <c r="AK6086">
        <v>19.101469161494801</v>
      </c>
      <c r="AL6086">
        <v>88.870132476345603</v>
      </c>
      <c r="AM6086">
        <v>90.987034488098104</v>
      </c>
      <c r="AN6086">
        <v>0.99999998336037799</v>
      </c>
    </row>
    <row r="6087" spans="1:40" x14ac:dyDescent="0.25">
      <c r="A6087" t="str">
        <f>"20190312150814819"</f>
        <v>20190312150814819</v>
      </c>
      <c r="B6087" t="str">
        <f>"1552374494815830"</f>
        <v>1552374494815830</v>
      </c>
      <c r="C6087" t="s">
        <v>40</v>
      </c>
      <c r="D6087">
        <v>4.7392019999999997</v>
      </c>
      <c r="E6087">
        <v>0.51487159999999998</v>
      </c>
      <c r="F6087" t="s">
        <v>42</v>
      </c>
      <c r="G6087">
        <v>-194.6772</v>
      </c>
      <c r="H6087" s="1">
        <v>-2.789388E-6</v>
      </c>
      <c r="I6087">
        <v>173.19030000000001</v>
      </c>
      <c r="J6087">
        <v>-191.3991</v>
      </c>
      <c r="K6087">
        <v>1.1115549999999901</v>
      </c>
      <c r="L6087">
        <v>191.4657</v>
      </c>
      <c r="M6087">
        <v>-0.1510263</v>
      </c>
      <c r="N6087">
        <v>0</v>
      </c>
      <c r="O6087">
        <v>-0.98844089999999996</v>
      </c>
      <c r="P6087">
        <v>-0.13390569999999999</v>
      </c>
      <c r="Q6087">
        <v>5.3044679999999997E-3</v>
      </c>
      <c r="R6087">
        <v>-0.99098019999999998</v>
      </c>
      <c r="S6087">
        <v>-0.52984619999999905</v>
      </c>
      <c r="T6087">
        <v>-0.17901600000000001</v>
      </c>
      <c r="U6087">
        <v>-2.9567869999999998</v>
      </c>
      <c r="V6087">
        <v>-1.735047E-2</v>
      </c>
      <c r="W6087">
        <v>1.8535329999999999E-2</v>
      </c>
      <c r="X6087">
        <v>0.9996777</v>
      </c>
      <c r="Y6087">
        <v>2.538199E-2</v>
      </c>
      <c r="Z6087">
        <v>5.8922130000000003E-2</v>
      </c>
      <c r="AA6087">
        <v>0.99793980000000004</v>
      </c>
      <c r="AB6087">
        <v>16</v>
      </c>
      <c r="AC6087">
        <v>-3.27809999999999</v>
      </c>
      <c r="AD6087">
        <v>-1.11155778938799</v>
      </c>
      <c r="AE6087">
        <v>-18.275399999999902</v>
      </c>
      <c r="AF6087">
        <v>0.478469373199295</v>
      </c>
      <c r="AG6087">
        <v>-1.11155778938799</v>
      </c>
      <c r="AH6087">
        <v>18.494576291946998</v>
      </c>
      <c r="AI6087">
        <v>93.438295878802904</v>
      </c>
      <c r="AJ6087">
        <v>88.518043256228495</v>
      </c>
      <c r="AK6087">
        <v>18.534126520526598</v>
      </c>
      <c r="AL6087">
        <v>88.937943053802996</v>
      </c>
      <c r="AM6087">
        <v>90.994329374529798</v>
      </c>
      <c r="AN6087">
        <v>1.0000000505723501</v>
      </c>
    </row>
    <row r="6088" spans="1:40" x14ac:dyDescent="0.25">
      <c r="A6088" t="str">
        <f>"20190312150814830"</f>
        <v>20190312150814830</v>
      </c>
      <c r="B6088" t="str">
        <f>"1552374494826566"</f>
        <v>1552374494826566</v>
      </c>
      <c r="C6088" t="s">
        <v>40</v>
      </c>
      <c r="D6088">
        <v>4.6762169999999896</v>
      </c>
      <c r="E6088">
        <v>0.51493670000000002</v>
      </c>
      <c r="F6088" t="s">
        <v>42</v>
      </c>
      <c r="G6088">
        <v>-194.57499999999999</v>
      </c>
      <c r="H6088" s="1">
        <v>-2.9573449999999998E-6</v>
      </c>
      <c r="I6088">
        <v>173.64519999999999</v>
      </c>
      <c r="J6088">
        <v>-191.40950000000001</v>
      </c>
      <c r="K6088">
        <v>1.1115429999999999</v>
      </c>
      <c r="L6088">
        <v>191.39169999999999</v>
      </c>
      <c r="M6088">
        <v>-0.150216299999999</v>
      </c>
      <c r="N6088">
        <v>0</v>
      </c>
      <c r="O6088">
        <v>-0.988564</v>
      </c>
      <c r="P6088">
        <v>-0.13324759999999999</v>
      </c>
      <c r="Q6088">
        <v>4.4718090000000002E-3</v>
      </c>
      <c r="R6088">
        <v>-0.99107259999999997</v>
      </c>
      <c r="S6088">
        <v>-0.52699280000000004</v>
      </c>
      <c r="T6088">
        <v>-0.1844488</v>
      </c>
      <c r="U6088">
        <v>-2.957077</v>
      </c>
      <c r="V6088">
        <v>-1.7193409999999999E-2</v>
      </c>
      <c r="W6088">
        <v>1.7702909999999999E-2</v>
      </c>
      <c r="X6088">
        <v>0.99969549999999996</v>
      </c>
      <c r="Y6088">
        <v>2.5232000000000001E-2</v>
      </c>
      <c r="Z6088">
        <v>6.0714379999999998E-2</v>
      </c>
      <c r="AA6088">
        <v>0.99783619999999995</v>
      </c>
      <c r="AB6088">
        <v>16</v>
      </c>
      <c r="AC6088">
        <v>-3.16549999999997</v>
      </c>
      <c r="AD6088">
        <v>-1.1115459573449999</v>
      </c>
      <c r="AE6088">
        <v>-17.746499999999902</v>
      </c>
      <c r="AF6088">
        <v>0.461770919171967</v>
      </c>
      <c r="AG6088">
        <v>-1.1115459573449999</v>
      </c>
      <c r="AH6088">
        <v>17.952391850710899</v>
      </c>
      <c r="AI6088">
        <v>93.541852132913903</v>
      </c>
      <c r="AJ6088">
        <v>88.526564462021895</v>
      </c>
      <c r="AK6088">
        <v>17.9926968506267</v>
      </c>
      <c r="AL6088">
        <v>88.985645035492297</v>
      </c>
      <c r="AM6088">
        <v>90.985312743722005</v>
      </c>
      <c r="AN6088">
        <v>1.00000004954507</v>
      </c>
    </row>
    <row r="6089" spans="1:40" x14ac:dyDescent="0.25">
      <c r="A6089" t="str">
        <f>"20190312150814841"</f>
        <v>20190312150814841</v>
      </c>
      <c r="B6089" t="str">
        <f>"1552374494836326"</f>
        <v>1552374494836326</v>
      </c>
      <c r="C6089" t="s">
        <v>40</v>
      </c>
      <c r="D6089">
        <v>4.6905890000000001</v>
      </c>
      <c r="E6089">
        <v>0.51497230000000005</v>
      </c>
      <c r="F6089" t="s">
        <v>42</v>
      </c>
      <c r="G6089">
        <v>-194.51920000000001</v>
      </c>
      <c r="H6089" s="1">
        <v>-3.052785E-6</v>
      </c>
      <c r="I6089">
        <v>173.9023</v>
      </c>
      <c r="J6089">
        <v>-191.42060000000001</v>
      </c>
      <c r="K6089">
        <v>1.1115349999999999</v>
      </c>
      <c r="L6089">
        <v>191.31190000000001</v>
      </c>
      <c r="M6089">
        <v>-0.14933740000000001</v>
      </c>
      <c r="N6089">
        <v>0</v>
      </c>
      <c r="O6089">
        <v>-0.98869739999999995</v>
      </c>
      <c r="P6089">
        <v>-0.13275919999999999</v>
      </c>
      <c r="Q6089">
        <v>3.3924699999999999E-3</v>
      </c>
      <c r="R6089">
        <v>-0.99114279999999999</v>
      </c>
      <c r="S6089">
        <v>-0.52580260000000001</v>
      </c>
      <c r="T6089">
        <v>-0.187945</v>
      </c>
      <c r="U6089">
        <v>-2.9571839999999998</v>
      </c>
      <c r="V6089">
        <v>-1.6795689999999999E-2</v>
      </c>
      <c r="W6089">
        <v>1.6624460000000001E-2</v>
      </c>
      <c r="X6089">
        <v>0.99972079999999997</v>
      </c>
      <c r="Y6089">
        <v>2.571269E-2</v>
      </c>
      <c r="Z6089">
        <v>6.1872780000000002E-2</v>
      </c>
      <c r="AA6089">
        <v>0.9977528</v>
      </c>
      <c r="AB6089">
        <v>16</v>
      </c>
      <c r="AC6089">
        <v>-3.0985999999999998</v>
      </c>
      <c r="AD6089">
        <v>-1.1115380527849901</v>
      </c>
      <c r="AE6089">
        <v>-17.409600000000001</v>
      </c>
      <c r="AF6089">
        <v>0.461889117036409</v>
      </c>
      <c r="AG6089">
        <v>-1.1115380527849901</v>
      </c>
      <c r="AH6089">
        <v>17.607546318514402</v>
      </c>
      <c r="AI6089">
        <v>93.610964531399404</v>
      </c>
      <c r="AJ6089">
        <v>88.497335821719304</v>
      </c>
      <c r="AK6089">
        <v>17.648641470602101</v>
      </c>
      <c r="AL6089">
        <v>89.047444794632</v>
      </c>
      <c r="AM6089">
        <v>90.962500357068805</v>
      </c>
      <c r="AN6089">
        <v>1.0000000729127501</v>
      </c>
    </row>
    <row r="6090" spans="1:40" x14ac:dyDescent="0.25">
      <c r="A6090" t="str">
        <f>"20190312150814853"</f>
        <v>20190312150814853</v>
      </c>
      <c r="B6090" t="str">
        <f>"1552374494846086"</f>
        <v>1552374494846086</v>
      </c>
      <c r="C6090" t="s">
        <v>40</v>
      </c>
      <c r="D6090">
        <v>4.7095310000000001</v>
      </c>
      <c r="E6090">
        <v>0.51512530000000001</v>
      </c>
      <c r="F6090" t="s">
        <v>42</v>
      </c>
      <c r="G6090">
        <v>-194.4606</v>
      </c>
      <c r="H6090" s="1">
        <v>-3.1497370000000001E-6</v>
      </c>
      <c r="I6090">
        <v>174.16460000000001</v>
      </c>
      <c r="J6090">
        <v>-191.43270000000001</v>
      </c>
      <c r="K6090">
        <v>1.111521</v>
      </c>
      <c r="L6090">
        <v>191.2242</v>
      </c>
      <c r="M6090">
        <v>-0.14836350000000001</v>
      </c>
      <c r="N6090">
        <v>0</v>
      </c>
      <c r="O6090">
        <v>-0.98884399999999995</v>
      </c>
      <c r="P6090">
        <v>-0.1323693</v>
      </c>
      <c r="Q6090">
        <v>3.0480099999999999E-3</v>
      </c>
      <c r="R6090">
        <v>-0.99119599999999997</v>
      </c>
      <c r="S6090">
        <v>-0.52429199999999998</v>
      </c>
      <c r="T6090">
        <v>-0.19169800000000001</v>
      </c>
      <c r="U6090">
        <v>-2.9572600000000002</v>
      </c>
      <c r="V6090">
        <v>-1.6203240000000001E-2</v>
      </c>
      <c r="W6090">
        <v>1.6281190000000001E-2</v>
      </c>
      <c r="X6090">
        <v>0.99973610000000002</v>
      </c>
      <c r="Y6090">
        <v>2.6185099999999999E-2</v>
      </c>
      <c r="Z6090">
        <v>6.3118090000000002E-2</v>
      </c>
      <c r="AA6090">
        <v>0.99766250000000001</v>
      </c>
      <c r="AB6090">
        <v>16</v>
      </c>
      <c r="AC6090">
        <v>-3.0278999999999798</v>
      </c>
      <c r="AD6090">
        <v>-1.1115241497370001</v>
      </c>
      <c r="AE6090">
        <v>-17.0595999999999</v>
      </c>
      <c r="AF6090">
        <v>0.461241228530197</v>
      </c>
      <c r="AG6090">
        <v>-1.1115241497370001</v>
      </c>
      <c r="AH6090">
        <v>17.249045948431899</v>
      </c>
      <c r="AI6090">
        <v>93.685713879058696</v>
      </c>
      <c r="AJ6090">
        <v>88.468270086091593</v>
      </c>
      <c r="AK6090">
        <v>17.290974973594199</v>
      </c>
      <c r="AL6090">
        <v>89.067115259567402</v>
      </c>
      <c r="AM6090">
        <v>90.928541031394005</v>
      </c>
      <c r="AN6090">
        <v>0.99999994588875996</v>
      </c>
    </row>
    <row r="6091" spans="1:40" x14ac:dyDescent="0.25">
      <c r="A6091" t="str">
        <f>"20190312150814864"</f>
        <v>20190312150814864</v>
      </c>
      <c r="B6091" t="str">
        <f>"1552374494855845"</f>
        <v>1552374494855845</v>
      </c>
      <c r="C6091" t="s">
        <v>40</v>
      </c>
      <c r="D6091">
        <v>4.6541620000000004</v>
      </c>
      <c r="E6091">
        <v>0.5152118</v>
      </c>
      <c r="F6091" t="s">
        <v>42</v>
      </c>
      <c r="G6091">
        <v>-194.458</v>
      </c>
      <c r="H6091" s="1">
        <v>-3.148238E-6</v>
      </c>
      <c r="I6091">
        <v>174.1628</v>
      </c>
      <c r="J6091">
        <v>-191.44380000000001</v>
      </c>
      <c r="K6091">
        <v>1.1115060000000001</v>
      </c>
      <c r="L6091">
        <v>191.1429</v>
      </c>
      <c r="M6091">
        <v>-0.14745839999999999</v>
      </c>
      <c r="N6091">
        <v>0</v>
      </c>
      <c r="O6091">
        <v>-0.98897930000000001</v>
      </c>
      <c r="P6091">
        <v>-0.132037299999999</v>
      </c>
      <c r="Q6091">
        <v>2.2907549999999998E-3</v>
      </c>
      <c r="R6091">
        <v>-0.99124199999999996</v>
      </c>
      <c r="S6091">
        <v>-0.52436830000000001</v>
      </c>
      <c r="T6091">
        <v>-0.1926572</v>
      </c>
      <c r="U6091">
        <v>-2.957214</v>
      </c>
      <c r="V6091">
        <v>-1.5621350000000001E-2</v>
      </c>
      <c r="W6091">
        <v>1.552502E-2</v>
      </c>
      <c r="X6091">
        <v>0.99975749999999997</v>
      </c>
      <c r="Y6091">
        <v>2.7123959999999999E-2</v>
      </c>
      <c r="Z6091">
        <v>6.3445660000000001E-2</v>
      </c>
      <c r="AA6091">
        <v>0.99761659999999996</v>
      </c>
      <c r="AB6091">
        <v>16</v>
      </c>
      <c r="AC6091">
        <v>-3.0141999999999798</v>
      </c>
      <c r="AD6091">
        <v>-1.111509148238</v>
      </c>
      <c r="AE6091">
        <v>-16.980099999999901</v>
      </c>
      <c r="AF6091">
        <v>0.47519104488947</v>
      </c>
      <c r="AG6091">
        <v>-1.111509148238</v>
      </c>
      <c r="AH6091">
        <v>17.167638087577199</v>
      </c>
      <c r="AI6091">
        <v>93.702998629160106</v>
      </c>
      <c r="AJ6091">
        <v>88.414488283973895</v>
      </c>
      <c r="AK6091">
        <v>17.210144003517001</v>
      </c>
      <c r="AL6091">
        <v>89.110446190052201</v>
      </c>
      <c r="AM6091">
        <v>90.895181677892793</v>
      </c>
      <c r="AN6091">
        <v>1.0000000558140301</v>
      </c>
    </row>
    <row r="6092" spans="1:40" x14ac:dyDescent="0.25">
      <c r="A6092" t="str">
        <f>"20190312150814875"</f>
        <v>20190312150814875</v>
      </c>
      <c r="B6092" t="str">
        <f>"1552374494866582"</f>
        <v>1552374494866582</v>
      </c>
      <c r="C6092" t="s">
        <v>40</v>
      </c>
      <c r="D6092">
        <v>4.6949540000000001</v>
      </c>
      <c r="E6092">
        <v>0.51530350000000003</v>
      </c>
      <c r="F6092" t="s">
        <v>42</v>
      </c>
      <c r="G6092">
        <v>-194.43469999999999</v>
      </c>
      <c r="H6092" s="1">
        <v>-3.1866199999999998E-6</v>
      </c>
      <c r="I6092">
        <v>174.26669999999999</v>
      </c>
      <c r="J6092">
        <v>-191.4546</v>
      </c>
      <c r="K6092">
        <v>1.1114930000000001</v>
      </c>
      <c r="L6092">
        <v>191.0634</v>
      </c>
      <c r="M6092">
        <v>-0.14656820000000001</v>
      </c>
      <c r="N6092">
        <v>0</v>
      </c>
      <c r="O6092">
        <v>-0.98911159999999998</v>
      </c>
      <c r="P6092">
        <v>-0.13222130000000001</v>
      </c>
      <c r="Q6092">
        <v>1.322E-3</v>
      </c>
      <c r="R6092">
        <v>-0.99121939999999997</v>
      </c>
      <c r="S6092">
        <v>-0.52407840000000006</v>
      </c>
      <c r="T6092">
        <v>-0.1947663</v>
      </c>
      <c r="U6092">
        <v>-2.9571689999999999</v>
      </c>
      <c r="V6092">
        <v>-1.453368E-2</v>
      </c>
      <c r="W6092">
        <v>1.455906E-2</v>
      </c>
      <c r="X6092">
        <v>0.99978840000000002</v>
      </c>
      <c r="Y6092">
        <v>2.7923549999999998E-2</v>
      </c>
      <c r="Z6092">
        <v>6.4150940000000004E-2</v>
      </c>
      <c r="AA6092">
        <v>0.99754949999999998</v>
      </c>
      <c r="AB6092">
        <v>16</v>
      </c>
      <c r="AC6092">
        <v>-2.98009999999999</v>
      </c>
      <c r="AD6092">
        <v>-1.1114961866199999</v>
      </c>
      <c r="AE6092">
        <v>-16.796700000000001</v>
      </c>
      <c r="AF6092">
        <v>0.48377836888085901</v>
      </c>
      <c r="AG6092">
        <v>-1.1114961866199999</v>
      </c>
      <c r="AH6092">
        <v>16.9800142363524</v>
      </c>
      <c r="AI6092">
        <v>93.743671319375693</v>
      </c>
      <c r="AJ6092">
        <v>88.368024787039005</v>
      </c>
      <c r="AK6092">
        <v>17.023229680345501</v>
      </c>
      <c r="AL6092">
        <v>89.165797852312906</v>
      </c>
      <c r="AM6092">
        <v>90.832836104412905</v>
      </c>
      <c r="AN6092">
        <v>1.0000000194284899</v>
      </c>
    </row>
    <row r="6093" spans="1:40" x14ac:dyDescent="0.25">
      <c r="A6093" t="str">
        <f>"20190312150814888"</f>
        <v>20190312150814888</v>
      </c>
      <c r="B6093" t="str">
        <f>"1552374494876342"</f>
        <v>1552374494876342</v>
      </c>
      <c r="C6093" t="s">
        <v>40</v>
      </c>
      <c r="D6093">
        <v>4.6882650000000003</v>
      </c>
      <c r="E6093">
        <v>0.51544000000000001</v>
      </c>
      <c r="F6093" t="s">
        <v>42</v>
      </c>
      <c r="G6093">
        <v>-194.40950000000001</v>
      </c>
      <c r="H6093" s="1">
        <v>-3.2486379999999999E-6</v>
      </c>
      <c r="I6093">
        <v>174.42689999999999</v>
      </c>
      <c r="J6093">
        <v>-191.4657</v>
      </c>
      <c r="K6093">
        <v>1.1114790000000001</v>
      </c>
      <c r="L6093">
        <v>190.98070000000001</v>
      </c>
      <c r="M6093">
        <v>-0.14564199999999999</v>
      </c>
      <c r="N6093">
        <v>0</v>
      </c>
      <c r="O6093">
        <v>-0.98924849999999998</v>
      </c>
      <c r="P6093">
        <v>-0.1319505</v>
      </c>
      <c r="Q6093">
        <v>4.4040030000000002E-4</v>
      </c>
      <c r="R6093">
        <v>-0.99125629999999998</v>
      </c>
      <c r="S6093">
        <v>-0.525177</v>
      </c>
      <c r="T6093">
        <v>-0.19754550000000001</v>
      </c>
      <c r="U6093">
        <v>-2.9568020000000002</v>
      </c>
      <c r="V6093">
        <v>-1.3867849999999999E-2</v>
      </c>
      <c r="W6093">
        <v>1.3678900000000001E-2</v>
      </c>
      <c r="X6093">
        <v>0.99981030000000004</v>
      </c>
      <c r="Y6093">
        <v>2.9229519999999998E-2</v>
      </c>
      <c r="Z6093">
        <v>6.5080490000000005E-2</v>
      </c>
      <c r="AA6093">
        <v>0.9974518</v>
      </c>
      <c r="AB6093">
        <v>16</v>
      </c>
      <c r="AC6093">
        <v>-2.9438</v>
      </c>
      <c r="AD6093">
        <v>-1.111482248638</v>
      </c>
      <c r="AE6093">
        <v>-16.553799999999999</v>
      </c>
      <c r="AF6093">
        <v>0.49908422967485</v>
      </c>
      <c r="AG6093">
        <v>-1.111482248638</v>
      </c>
      <c r="AH6093">
        <v>16.732916201970198</v>
      </c>
      <c r="AI6093">
        <v>93.798599241342998</v>
      </c>
      <c r="AJ6093">
        <v>88.291574255400207</v>
      </c>
      <c r="AK6093">
        <v>16.777215575878699</v>
      </c>
      <c r="AL6093">
        <v>89.216232343917795</v>
      </c>
      <c r="AM6093">
        <v>90.794669074731402</v>
      </c>
      <c r="AN6093">
        <v>1.0000000327774601</v>
      </c>
    </row>
    <row r="6094" spans="1:40" x14ac:dyDescent="0.25">
      <c r="A6094" t="str">
        <f>"20190312150814900"</f>
        <v>20190312150814900</v>
      </c>
      <c r="B6094" t="str">
        <f>"1552374494895863"</f>
        <v>1552374494895863</v>
      </c>
      <c r="C6094" t="s">
        <v>40</v>
      </c>
      <c r="D6094">
        <v>4.6888480000000001</v>
      </c>
      <c r="E6094">
        <v>0.51576069999999996</v>
      </c>
      <c r="F6094" t="s">
        <v>42</v>
      </c>
      <c r="G6094">
        <v>-194.3854</v>
      </c>
      <c r="H6094" s="1">
        <v>-3.2978419999999999E-6</v>
      </c>
      <c r="I6094">
        <v>174.5565</v>
      </c>
      <c r="J6094">
        <v>-191.4778</v>
      </c>
      <c r="K6094">
        <v>1.1114649999999999</v>
      </c>
      <c r="L6094">
        <v>190.8905</v>
      </c>
      <c r="M6094">
        <v>-0.14462990000000001</v>
      </c>
      <c r="N6094">
        <v>0</v>
      </c>
      <c r="O6094">
        <v>-0.98939710000000003</v>
      </c>
      <c r="P6094">
        <v>-0.13170119999999999</v>
      </c>
      <c r="Q6094" s="1">
        <v>4.9907480000000001E-5</v>
      </c>
      <c r="R6094">
        <v>-0.99129009999999995</v>
      </c>
      <c r="S6094">
        <v>-0.52557369999999903</v>
      </c>
      <c r="T6094">
        <v>-0.2000826</v>
      </c>
      <c r="U6094">
        <v>-2.9565890000000001</v>
      </c>
      <c r="V6094">
        <v>-1.3095580000000001E-2</v>
      </c>
      <c r="W6094">
        <v>1.3289840000000001E-2</v>
      </c>
      <c r="X6094">
        <v>0.99982599999999999</v>
      </c>
      <c r="Y6094">
        <v>3.0384419999999999E-2</v>
      </c>
      <c r="Z6094">
        <v>6.5930210000000003E-2</v>
      </c>
      <c r="AA6094">
        <v>0.99736150000000001</v>
      </c>
      <c r="AB6094">
        <v>16</v>
      </c>
      <c r="AC6094">
        <v>-2.9076</v>
      </c>
      <c r="AD6094">
        <v>-1.1114682978420001</v>
      </c>
      <c r="AE6094">
        <v>-16.334</v>
      </c>
      <c r="AF6094">
        <v>0.51213288727679696</v>
      </c>
      <c r="AG6094">
        <v>-1.1114682978420001</v>
      </c>
      <c r="AH6094">
        <v>16.508701473926301</v>
      </c>
      <c r="AI6094">
        <v>93.849848548486705</v>
      </c>
      <c r="AJ6094">
        <v>88.223140350171903</v>
      </c>
      <c r="AK6094">
        <v>16.553998496633799</v>
      </c>
      <c r="AL6094">
        <v>89.238525896190794</v>
      </c>
      <c r="AM6094">
        <v>90.750409133020398</v>
      </c>
      <c r="AN6094">
        <v>1.00000007216937</v>
      </c>
    </row>
    <row r="6095" spans="1:40" x14ac:dyDescent="0.25">
      <c r="A6095" t="str">
        <f>"20190312150814914"</f>
        <v>20190312150814914</v>
      </c>
      <c r="B6095" t="str">
        <f>"1552374494906598"</f>
        <v>1552374494906598</v>
      </c>
      <c r="C6095" t="s">
        <v>40</v>
      </c>
      <c r="D6095">
        <v>4.6932359999999997</v>
      </c>
      <c r="E6095">
        <v>0.51590630000000004</v>
      </c>
      <c r="F6095" t="s">
        <v>42</v>
      </c>
      <c r="G6095">
        <v>-194.4068</v>
      </c>
      <c r="H6095" s="1">
        <v>-3.2661290000000001E-6</v>
      </c>
      <c r="I6095">
        <v>174.4693</v>
      </c>
      <c r="J6095">
        <v>-191.4906</v>
      </c>
      <c r="K6095">
        <v>1.1114489999999999</v>
      </c>
      <c r="L6095">
        <v>190.7944</v>
      </c>
      <c r="M6095">
        <v>-0.14355209999999999</v>
      </c>
      <c r="N6095">
        <v>0</v>
      </c>
      <c r="O6095">
        <v>-0.98955369999999998</v>
      </c>
      <c r="P6095">
        <v>-0.1313801</v>
      </c>
      <c r="Q6095" s="1">
        <v>-8.6189709999999898E-5</v>
      </c>
      <c r="R6095">
        <v>-0.9913322</v>
      </c>
      <c r="S6095">
        <v>-0.52731319999999904</v>
      </c>
      <c r="T6095">
        <v>-0.2001009</v>
      </c>
      <c r="U6095">
        <v>-2.9563449999999998</v>
      </c>
      <c r="V6095">
        <v>-1.232898E-2</v>
      </c>
      <c r="W6095">
        <v>1.315443E-2</v>
      </c>
      <c r="X6095">
        <v>0.99983750000000005</v>
      </c>
      <c r="Y6095">
        <v>3.2055889999999997E-2</v>
      </c>
      <c r="Z6095">
        <v>6.5952109999999994E-2</v>
      </c>
      <c r="AA6095">
        <v>0.99730770000000002</v>
      </c>
      <c r="AB6095">
        <v>16</v>
      </c>
      <c r="AC6095">
        <v>-2.9161999999999999</v>
      </c>
      <c r="AD6095">
        <v>-1.1114522661289901</v>
      </c>
      <c r="AE6095">
        <v>-16.3250999999999</v>
      </c>
      <c r="AF6095">
        <v>0.53985693514851596</v>
      </c>
      <c r="AG6095">
        <v>-1.1114522661289901</v>
      </c>
      <c r="AH6095">
        <v>16.5005321832212</v>
      </c>
      <c r="AI6095">
        <v>93.851486163407003</v>
      </c>
      <c r="AJ6095">
        <v>88.126091091706002</v>
      </c>
      <c r="AK6095">
        <v>16.546731821717199</v>
      </c>
      <c r="AL6095">
        <v>89.246284967087107</v>
      </c>
      <c r="AM6095">
        <v>90.706477522188607</v>
      </c>
      <c r="AN6095">
        <v>1.00000003459135</v>
      </c>
    </row>
    <row r="6096" spans="1:40" x14ac:dyDescent="0.25">
      <c r="A6096" t="str">
        <f>"20190312150814930"</f>
        <v>20190312150814930</v>
      </c>
      <c r="B6096" t="str">
        <f>"1552374494926118"</f>
        <v>1552374494926118</v>
      </c>
      <c r="C6096" t="s">
        <v>40</v>
      </c>
      <c r="D6096">
        <v>4.6435969999999998</v>
      </c>
      <c r="E6096">
        <v>0.51610489999999998</v>
      </c>
      <c r="F6096" t="s">
        <v>42</v>
      </c>
      <c r="G6096">
        <v>-194.42230000000001</v>
      </c>
      <c r="H6096" s="1">
        <v>-3.224621E-6</v>
      </c>
      <c r="I6096">
        <v>174.3629</v>
      </c>
      <c r="J6096">
        <v>-191.5061</v>
      </c>
      <c r="K6096">
        <v>1.111437</v>
      </c>
      <c r="L6096">
        <v>190.67609999999999</v>
      </c>
      <c r="M6096">
        <v>-0.14222509999999999</v>
      </c>
      <c r="N6096">
        <v>0</v>
      </c>
      <c r="O6096">
        <v>-0.98974530000000005</v>
      </c>
      <c r="P6096">
        <v>-0.1312007</v>
      </c>
      <c r="Q6096">
        <v>4.244249E-4</v>
      </c>
      <c r="R6096">
        <v>-0.99135589999999996</v>
      </c>
      <c r="S6096">
        <v>-0.52748109999999904</v>
      </c>
      <c r="T6096">
        <v>-0.19997129999999999</v>
      </c>
      <c r="U6096">
        <v>-2.9563290000000002</v>
      </c>
      <c r="V6096">
        <v>-1.1170370000000001E-2</v>
      </c>
      <c r="W6096">
        <v>1.3667459999999999E-2</v>
      </c>
      <c r="X6096">
        <v>0.99984419999999996</v>
      </c>
      <c r="Y6096">
        <v>3.345215E-2</v>
      </c>
      <c r="Z6096">
        <v>6.5927169999999993E-2</v>
      </c>
      <c r="AA6096">
        <v>0.99726360000000003</v>
      </c>
      <c r="AB6096">
        <v>16</v>
      </c>
      <c r="AC6096">
        <v>-2.9161999999999999</v>
      </c>
      <c r="AD6096">
        <v>-1.111440224621</v>
      </c>
      <c r="AE6096">
        <v>-16.313199999999899</v>
      </c>
      <c r="AF6096">
        <v>0.56366321052984403</v>
      </c>
      <c r="AG6096">
        <v>-1.111440224621</v>
      </c>
      <c r="AH6096">
        <v>16.487964457033801</v>
      </c>
      <c r="AI6096">
        <v>93.854182832956099</v>
      </c>
      <c r="AJ6096">
        <v>88.042029347844206</v>
      </c>
      <c r="AK6096">
        <v>16.5349928189951</v>
      </c>
      <c r="AL6096">
        <v>89.216887843577297</v>
      </c>
      <c r="AM6096">
        <v>90.640088156276605</v>
      </c>
      <c r="AN6096">
        <v>1.00000000045121</v>
      </c>
    </row>
    <row r="6097" spans="1:40" x14ac:dyDescent="0.25">
      <c r="A6097" t="str">
        <f>"20190312150814953"</f>
        <v>20190312150814953</v>
      </c>
      <c r="B6097" t="str">
        <f>"1552374494946613"</f>
        <v>1552374494946613</v>
      </c>
      <c r="C6097" t="s">
        <v>40</v>
      </c>
      <c r="D6097">
        <v>4.9564510000000004</v>
      </c>
      <c r="E6097">
        <v>0.51609369999999999</v>
      </c>
      <c r="F6097" t="s">
        <v>42</v>
      </c>
      <c r="G6097">
        <v>-194.48249999999999</v>
      </c>
      <c r="H6097" s="1">
        <v>-3.0986939999999999E-6</v>
      </c>
      <c r="I6097">
        <v>174.03210000000001</v>
      </c>
      <c r="J6097">
        <v>-191.52670000000001</v>
      </c>
      <c r="K6097">
        <v>1.1114170000000001</v>
      </c>
      <c r="L6097">
        <v>190.51740000000001</v>
      </c>
      <c r="M6097">
        <v>-0.1404455</v>
      </c>
      <c r="N6097">
        <v>0</v>
      </c>
      <c r="O6097">
        <v>-0.98999950000000003</v>
      </c>
      <c r="P6097">
        <v>-0.131135</v>
      </c>
      <c r="Q6097">
        <v>1.374087E-3</v>
      </c>
      <c r="R6097">
        <v>-0.99136360000000001</v>
      </c>
      <c r="S6097">
        <v>-0.52867129999999996</v>
      </c>
      <c r="T6097">
        <v>-0.19741310000000001</v>
      </c>
      <c r="U6097">
        <v>-2.956299</v>
      </c>
      <c r="V6097">
        <v>-9.4395750000000004E-3</v>
      </c>
      <c r="W6097">
        <v>1.461961E-2</v>
      </c>
      <c r="X6097">
        <v>0.99984850000000003</v>
      </c>
      <c r="Y6097">
        <v>3.5649420000000001E-2</v>
      </c>
      <c r="Z6097">
        <v>6.5108360000000004E-2</v>
      </c>
      <c r="AA6097">
        <v>0.99724120000000005</v>
      </c>
      <c r="AB6097">
        <v>16</v>
      </c>
      <c r="AC6097">
        <v>-2.95579999999998</v>
      </c>
      <c r="AD6097">
        <v>-1.1114200986939999</v>
      </c>
      <c r="AE6097">
        <v>-16.485299999999899</v>
      </c>
      <c r="AF6097">
        <v>0.60832918997249397</v>
      </c>
      <c r="AG6097">
        <v>-1.1114200986939999</v>
      </c>
      <c r="AH6097">
        <v>16.663658660235999</v>
      </c>
      <c r="AI6097">
        <v>93.813286340491402</v>
      </c>
      <c r="AJ6097">
        <v>87.909269239547896</v>
      </c>
      <c r="AK6097">
        <v>16.711757507336301</v>
      </c>
      <c r="AL6097">
        <v>89.162328149379306</v>
      </c>
      <c r="AM6097">
        <v>90.540913688126494</v>
      </c>
      <c r="AN6097">
        <v>0.99999993076248805</v>
      </c>
    </row>
    <row r="6098" spans="1:40" x14ac:dyDescent="0.25">
      <c r="A6098" t="str">
        <f>"20190312150814965"</f>
        <v>20190312150814965</v>
      </c>
      <c r="B6098" t="str">
        <f>"1552374494956374"</f>
        <v>1552374494956374</v>
      </c>
      <c r="C6098" t="s">
        <v>40</v>
      </c>
      <c r="D6098">
        <v>4.8745719999999997</v>
      </c>
      <c r="E6098">
        <v>0.51609369999999999</v>
      </c>
      <c r="F6098" t="s">
        <v>42</v>
      </c>
      <c r="G6098">
        <v>-194.5643</v>
      </c>
      <c r="H6098" s="1">
        <v>-2.898805E-6</v>
      </c>
      <c r="I6098">
        <v>173.5154</v>
      </c>
      <c r="J6098">
        <v>-191.53729999999999</v>
      </c>
      <c r="K6098">
        <v>1.111407</v>
      </c>
      <c r="L6098">
        <v>190.435</v>
      </c>
      <c r="M6098">
        <v>-0.13952110000000001</v>
      </c>
      <c r="N6098">
        <v>0</v>
      </c>
      <c r="O6098">
        <v>-0.99013039999999997</v>
      </c>
      <c r="P6098">
        <v>-0.13081199999999901</v>
      </c>
      <c r="Q6098">
        <v>1.6239659999999999E-3</v>
      </c>
      <c r="R6098">
        <v>-0.99140640000000002</v>
      </c>
      <c r="S6098">
        <v>-0.52822880000000005</v>
      </c>
      <c r="T6098">
        <v>-0.19326940000000001</v>
      </c>
      <c r="U6098">
        <v>-2.9565579999999998</v>
      </c>
      <c r="V6098">
        <v>-8.8321430000000006E-3</v>
      </c>
      <c r="W6098">
        <v>1.486992E-2</v>
      </c>
      <c r="X6098">
        <v>0.99985049999999998</v>
      </c>
      <c r="Y6098">
        <v>3.6438289999999998E-2</v>
      </c>
      <c r="Z6098">
        <v>6.3754450000000004E-2</v>
      </c>
      <c r="AA6098">
        <v>0.99730010000000002</v>
      </c>
      <c r="AB6098">
        <v>16</v>
      </c>
      <c r="AC6098">
        <v>-3.0270000000000099</v>
      </c>
      <c r="AD6098">
        <v>-1.1114098988050001</v>
      </c>
      <c r="AE6098">
        <v>-16.919599999999999</v>
      </c>
      <c r="AF6098">
        <v>0.63388910081221805</v>
      </c>
      <c r="AG6098">
        <v>-1.1114098988050001</v>
      </c>
      <c r="AH6098">
        <v>17.1049326695363</v>
      </c>
      <c r="AI6098">
        <v>93.715080925392897</v>
      </c>
      <c r="AJ6098">
        <v>87.877655636888903</v>
      </c>
      <c r="AK6098">
        <v>17.152718996843099</v>
      </c>
      <c r="AL6098">
        <v>89.147985002706704</v>
      </c>
      <c r="AM6098">
        <v>90.506107019340305</v>
      </c>
      <c r="AN6098">
        <v>1.00000007181051</v>
      </c>
    </row>
    <row r="6099" spans="1:40" x14ac:dyDescent="0.25">
      <c r="A6099" t="str">
        <f>"20190312150814975"</f>
        <v>20190312150814975</v>
      </c>
      <c r="B6099" t="str">
        <f>"1552374494966134"</f>
        <v>1552374494966134</v>
      </c>
      <c r="C6099" t="s">
        <v>40</v>
      </c>
      <c r="D6099">
        <v>4.7335560000000001</v>
      </c>
      <c r="E6099">
        <v>0.50508429999999904</v>
      </c>
      <c r="F6099" t="s">
        <v>42</v>
      </c>
      <c r="G6099">
        <v>-194.57910000000001</v>
      </c>
      <c r="H6099" s="1">
        <v>-2.8420710000000001E-6</v>
      </c>
      <c r="I6099">
        <v>173.374</v>
      </c>
      <c r="J6099">
        <v>-191.54810000000001</v>
      </c>
      <c r="K6099">
        <v>1.1113959999999901</v>
      </c>
      <c r="L6099">
        <v>190.34979999999999</v>
      </c>
      <c r="M6099">
        <v>-0.13856559999999901</v>
      </c>
      <c r="N6099">
        <v>0</v>
      </c>
      <c r="O6099">
        <v>-0.99026460000000005</v>
      </c>
      <c r="P6099">
        <v>-0.13056989999999999</v>
      </c>
      <c r="Q6099">
        <v>1.4278369999999999E-3</v>
      </c>
      <c r="R6099">
        <v>-0.99143820000000005</v>
      </c>
      <c r="S6099">
        <v>-0.52716059999999998</v>
      </c>
      <c r="T6099">
        <v>-0.19261349999999999</v>
      </c>
      <c r="U6099">
        <v>-2.956772</v>
      </c>
      <c r="V6099">
        <v>-8.1103389999999994E-3</v>
      </c>
      <c r="W6099">
        <v>1.467444E-2</v>
      </c>
      <c r="X6099">
        <v>0.99985950000000001</v>
      </c>
      <c r="Y6099">
        <v>3.7043350000000003E-2</v>
      </c>
      <c r="Z6099">
        <v>6.354862E-2</v>
      </c>
      <c r="AA6099">
        <v>0.99729100000000004</v>
      </c>
      <c r="AB6099">
        <v>16</v>
      </c>
      <c r="AC6099">
        <v>-3.0310000000000001</v>
      </c>
      <c r="AD6099">
        <v>-1.1113988420709999</v>
      </c>
      <c r="AE6099">
        <v>-16.9757999999999</v>
      </c>
      <c r="AF6099">
        <v>0.646601216960212</v>
      </c>
      <c r="AG6099">
        <v>-1.1113988420709999</v>
      </c>
      <c r="AH6099">
        <v>17.1607560004562</v>
      </c>
      <c r="AI6099">
        <v>93.702907377397096</v>
      </c>
      <c r="AJ6099">
        <v>87.842169458600594</v>
      </c>
      <c r="AK6099">
        <v>17.208859550450399</v>
      </c>
      <c r="AL6099">
        <v>89.159186400153601</v>
      </c>
      <c r="AM6099">
        <v>90.464743300401494</v>
      </c>
      <c r="AN6099">
        <v>1.0000000682641199</v>
      </c>
    </row>
    <row r="6100" spans="1:40" x14ac:dyDescent="0.25">
      <c r="A6100" t="str">
        <f>"20190312150814988"</f>
        <v>20190312150814988</v>
      </c>
      <c r="B6100" t="str">
        <f>"1552374494975894"</f>
        <v>1552374494975894</v>
      </c>
      <c r="C6100" t="s">
        <v>40</v>
      </c>
      <c r="D6100">
        <v>4.7452100000000002</v>
      </c>
      <c r="E6100">
        <v>0.50477799999999995</v>
      </c>
      <c r="F6100" t="s">
        <v>42</v>
      </c>
      <c r="G6100">
        <v>-195.32669999999999</v>
      </c>
      <c r="H6100" s="1">
        <v>-3.7807519999999998E-6</v>
      </c>
      <c r="I6100">
        <v>164.67089999999999</v>
      </c>
      <c r="J6100">
        <v>-191.55869999999999</v>
      </c>
      <c r="K6100">
        <v>1.1113869999999999</v>
      </c>
      <c r="L6100">
        <v>190.26660000000001</v>
      </c>
      <c r="M6100">
        <v>-0.13763210000000001</v>
      </c>
      <c r="N6100">
        <v>0</v>
      </c>
      <c r="O6100">
        <v>-0.99039480000000002</v>
      </c>
      <c r="P6100">
        <v>-0.13033689999999901</v>
      </c>
      <c r="Q6100">
        <v>1.3991029999999901E-3</v>
      </c>
      <c r="R6100">
        <v>-0.99146900000000004</v>
      </c>
      <c r="S6100">
        <v>-0.43681340000000002</v>
      </c>
      <c r="T6100">
        <v>-0.12848019999999999</v>
      </c>
      <c r="U6100">
        <v>-2.9685359999999998</v>
      </c>
      <c r="V6100">
        <v>-7.4023369999999897E-3</v>
      </c>
      <c r="W6100">
        <v>1.464679E-2</v>
      </c>
      <c r="X6100">
        <v>0.99986540000000002</v>
      </c>
      <c r="Y6100">
        <v>7.8844090000000002E-3</v>
      </c>
      <c r="Z6100">
        <v>4.2396759999999999E-2</v>
      </c>
      <c r="AA6100">
        <v>0.99906980000000001</v>
      </c>
      <c r="AB6100">
        <v>16</v>
      </c>
      <c r="AC6100">
        <v>-3.7679999999999998</v>
      </c>
      <c r="AD6100">
        <v>-1.111390780752</v>
      </c>
      <c r="AE6100">
        <v>-25.595700000000001</v>
      </c>
      <c r="AF6100">
        <v>0.208650970328456</v>
      </c>
      <c r="AG6100">
        <v>-1.111390780752</v>
      </c>
      <c r="AH6100">
        <v>25.823063136695001</v>
      </c>
      <c r="AI6100">
        <v>92.464334001651807</v>
      </c>
      <c r="AJ6100">
        <v>89.537058799953101</v>
      </c>
      <c r="AK6100">
        <v>25.847810631786601</v>
      </c>
      <c r="AL6100">
        <v>89.160770800575307</v>
      </c>
      <c r="AM6100">
        <v>90.424172013812594</v>
      </c>
      <c r="AN6100">
        <v>1.0000000705837599</v>
      </c>
    </row>
    <row r="6101" spans="1:40" x14ac:dyDescent="0.25">
      <c r="A6101" t="str">
        <f>"20190312150815008"</f>
        <v>20190312150815008</v>
      </c>
      <c r="B6101" t="str">
        <f>"1552374494996389"</f>
        <v>1552374494996389</v>
      </c>
      <c r="C6101" t="s">
        <v>40</v>
      </c>
      <c r="D6101">
        <v>4.7414139999999998</v>
      </c>
      <c r="E6101">
        <v>0.5044324</v>
      </c>
      <c r="F6101" t="s">
        <v>42</v>
      </c>
      <c r="G6101">
        <v>-195.071</v>
      </c>
      <c r="H6101" s="1">
        <v>-4.3352679999999998E-6</v>
      </c>
      <c r="I6101">
        <v>166.233</v>
      </c>
      <c r="J6101">
        <v>-191.57550000000001</v>
      </c>
      <c r="K6101">
        <v>1.1113740000000001</v>
      </c>
      <c r="L6101">
        <v>190.13220000000001</v>
      </c>
      <c r="M6101">
        <v>-0.1361233</v>
      </c>
      <c r="N6101">
        <v>0</v>
      </c>
      <c r="O6101">
        <v>-0.99060309999999996</v>
      </c>
      <c r="P6101">
        <v>-0.13019559999999999</v>
      </c>
      <c r="Q6101">
        <v>1.1338190000000001E-3</v>
      </c>
      <c r="R6101">
        <v>-0.99148769999999997</v>
      </c>
      <c r="S6101">
        <v>-0.43388369999999998</v>
      </c>
      <c r="T6101">
        <v>-0.1372939</v>
      </c>
      <c r="U6101">
        <v>-2.9689480000000001</v>
      </c>
      <c r="V6101">
        <v>-6.020666E-3</v>
      </c>
      <c r="W6101">
        <v>1.438265E-2</v>
      </c>
      <c r="X6101">
        <v>0.9998785</v>
      </c>
      <c r="Y6101">
        <v>8.4039530000000005E-3</v>
      </c>
      <c r="Z6101">
        <v>4.5310490000000002E-2</v>
      </c>
      <c r="AA6101">
        <v>0.99893759999999998</v>
      </c>
      <c r="AB6101">
        <v>16</v>
      </c>
      <c r="AC6101">
        <v>-3.4954999999999901</v>
      </c>
      <c r="AD6101">
        <v>-1.111378335268</v>
      </c>
      <c r="AE6101">
        <v>-23.8992</v>
      </c>
      <c r="AF6101">
        <v>0.20899111113487501</v>
      </c>
      <c r="AG6101">
        <v>-1.111378335268</v>
      </c>
      <c r="AH6101">
        <v>24.101537362017201</v>
      </c>
      <c r="AI6101">
        <v>92.640073222914296</v>
      </c>
      <c r="AJ6101">
        <v>89.503184865878495</v>
      </c>
      <c r="AK6101">
        <v>24.1280530151388</v>
      </c>
      <c r="AL6101">
        <v>89.175906494052398</v>
      </c>
      <c r="AM6101">
        <v>90.344996499740503</v>
      </c>
      <c r="AN6101">
        <v>1.00000006190117</v>
      </c>
    </row>
    <row r="6102" spans="1:40" x14ac:dyDescent="0.25">
      <c r="A6102" t="str">
        <f>"20190312150815018"</f>
        <v>20190312150815018</v>
      </c>
      <c r="B6102" t="str">
        <f>"1552374495015909"</f>
        <v>1552374495015909</v>
      </c>
      <c r="C6102" t="s">
        <v>40</v>
      </c>
      <c r="D6102">
        <v>4.8313959999999998</v>
      </c>
      <c r="E6102">
        <v>0.50486070000000005</v>
      </c>
      <c r="F6102" t="s">
        <v>42</v>
      </c>
      <c r="G6102">
        <v>-194.92619999999999</v>
      </c>
      <c r="H6102" s="1">
        <v>-4.6186199999999998E-6</v>
      </c>
      <c r="I6102">
        <v>167.0377</v>
      </c>
      <c r="J6102">
        <v>-191.5856</v>
      </c>
      <c r="K6102">
        <v>1.111367</v>
      </c>
      <c r="L6102">
        <v>190.05119999999999</v>
      </c>
      <c r="M6102">
        <v>-0.13521329999999901</v>
      </c>
      <c r="N6102">
        <v>0</v>
      </c>
      <c r="O6102">
        <v>-0.9907281</v>
      </c>
      <c r="P6102">
        <v>-0.12993080000000001</v>
      </c>
      <c r="Q6102">
        <v>8.8597449999999896E-4</v>
      </c>
      <c r="R6102">
        <v>-0.99152309999999999</v>
      </c>
      <c r="S6102">
        <v>-0.4308167</v>
      </c>
      <c r="T6102">
        <v>-0.14289460000000001</v>
      </c>
      <c r="U6102">
        <v>-2.9693450000000001</v>
      </c>
      <c r="V6102">
        <v>-5.3689269999999999E-3</v>
      </c>
      <c r="W6102">
        <v>1.4135669999999999E-2</v>
      </c>
      <c r="X6102">
        <v>0.99988569999999999</v>
      </c>
      <c r="Y6102">
        <v>8.280641E-3</v>
      </c>
      <c r="Z6102">
        <v>4.716091E-2</v>
      </c>
      <c r="AA6102">
        <v>0.99885299999999999</v>
      </c>
      <c r="AB6102">
        <v>16</v>
      </c>
      <c r="AC6102">
        <v>-3.34059999999999</v>
      </c>
      <c r="AD6102">
        <v>-1.11137161862</v>
      </c>
      <c r="AE6102">
        <v>-23.013500000000001</v>
      </c>
      <c r="AF6102">
        <v>0.19746134572382601</v>
      </c>
      <c r="AG6102">
        <v>-1.11137161862</v>
      </c>
      <c r="AH6102">
        <v>23.200860833774801</v>
      </c>
      <c r="AI6102">
        <v>92.742396717155103</v>
      </c>
      <c r="AJ6102">
        <v>89.512370310489004</v>
      </c>
      <c r="AK6102">
        <v>23.228303452596698</v>
      </c>
      <c r="AL6102">
        <v>89.190058816044697</v>
      </c>
      <c r="AM6102">
        <v>90.307649065553406</v>
      </c>
      <c r="AN6102">
        <v>1.00000002780398</v>
      </c>
    </row>
    <row r="6103" spans="1:40" x14ac:dyDescent="0.25">
      <c r="A6103" t="str">
        <f>"20190312150815031"</f>
        <v>20190312150815031</v>
      </c>
      <c r="B6103" t="str">
        <f>"1552374495026646"</f>
        <v>1552374495026646</v>
      </c>
      <c r="C6103" t="s">
        <v>40</v>
      </c>
      <c r="D6103">
        <v>4.7272169999999996</v>
      </c>
      <c r="E6103">
        <v>0.50484149999999905</v>
      </c>
      <c r="F6103" t="s">
        <v>42</v>
      </c>
      <c r="G6103">
        <v>-195.09389999999999</v>
      </c>
      <c r="H6103" s="1">
        <v>-4.2525829999999999E-6</v>
      </c>
      <c r="I6103">
        <v>166.00710000000001</v>
      </c>
      <c r="J6103">
        <v>-191.59610000000001</v>
      </c>
      <c r="K6103">
        <v>1.1113550000000001</v>
      </c>
      <c r="L6103">
        <v>189.96520000000001</v>
      </c>
      <c r="M6103">
        <v>-0.13424639999999999</v>
      </c>
      <c r="N6103">
        <v>0</v>
      </c>
      <c r="O6103">
        <v>-0.99085939999999995</v>
      </c>
      <c r="P6103">
        <v>-0.12989389999999901</v>
      </c>
      <c r="Q6103">
        <v>2.609426E-4</v>
      </c>
      <c r="R6103">
        <v>-0.99152799999999996</v>
      </c>
      <c r="S6103">
        <v>-0.43321229999999999</v>
      </c>
      <c r="T6103">
        <v>-0.13723289999999999</v>
      </c>
      <c r="U6103">
        <v>-2.968979</v>
      </c>
      <c r="V6103">
        <v>-4.4282699999999998E-3</v>
      </c>
      <c r="W6103">
        <v>1.3511550000000001E-2</v>
      </c>
      <c r="X6103">
        <v>0.99989890000000003</v>
      </c>
      <c r="Y6103">
        <v>1.007571E-2</v>
      </c>
      <c r="Z6103">
        <v>4.5307849999999997E-2</v>
      </c>
      <c r="AA6103">
        <v>0.99892219999999998</v>
      </c>
      <c r="AB6103">
        <v>16</v>
      </c>
      <c r="AC6103">
        <v>-3.4977999999999798</v>
      </c>
      <c r="AD6103">
        <v>-1.1113592525829901</v>
      </c>
      <c r="AE6103">
        <v>-23.958100000000002</v>
      </c>
      <c r="AF6103">
        <v>0.24903654434436101</v>
      </c>
      <c r="AG6103">
        <v>-1.1113592525829901</v>
      </c>
      <c r="AH6103">
        <v>24.1598983323364</v>
      </c>
      <c r="AI6103">
        <v>92.633618819735702</v>
      </c>
      <c r="AJ6103">
        <v>89.409424766117795</v>
      </c>
      <c r="AK6103">
        <v>24.186728303297901</v>
      </c>
      <c r="AL6103">
        <v>89.225821646125695</v>
      </c>
      <c r="AM6103">
        <v>90.253745176411002</v>
      </c>
      <c r="AN6103">
        <v>0.99999999088990199</v>
      </c>
    </row>
    <row r="6104" spans="1:40" x14ac:dyDescent="0.25">
      <c r="A6104" t="str">
        <f>"20190312150815042"</f>
        <v>20190312150815042</v>
      </c>
      <c r="B6104" t="str">
        <f>"1552374495036406"</f>
        <v>1552374495036406</v>
      </c>
      <c r="C6104" t="s">
        <v>40</v>
      </c>
      <c r="D6104">
        <v>4.7276809999999996</v>
      </c>
      <c r="E6104">
        <v>0.50480499999999995</v>
      </c>
      <c r="F6104" t="s">
        <v>42</v>
      </c>
      <c r="G6104">
        <v>-195.00120000000001</v>
      </c>
      <c r="H6104" s="1">
        <v>-4.4696689999999999E-6</v>
      </c>
      <c r="I6104">
        <v>166.61519999999999</v>
      </c>
      <c r="J6104">
        <v>-191.60589999999999</v>
      </c>
      <c r="K6104">
        <v>1.1113470000000001</v>
      </c>
      <c r="L6104">
        <v>189.8854</v>
      </c>
      <c r="M6104">
        <v>-0.1333482</v>
      </c>
      <c r="N6104">
        <v>0</v>
      </c>
      <c r="O6104">
        <v>-0.99098070000000005</v>
      </c>
      <c r="P6104">
        <v>-0.1295704</v>
      </c>
      <c r="Q6104">
        <v>-3.4184660000000002E-4</v>
      </c>
      <c r="R6104">
        <v>-0.99157039999999996</v>
      </c>
      <c r="S6104">
        <v>-0.43295289999999997</v>
      </c>
      <c r="T6104">
        <v>-0.14130870000000001</v>
      </c>
      <c r="U6104">
        <v>-2.9689329999999998</v>
      </c>
      <c r="V6104">
        <v>-3.8470940000000001E-3</v>
      </c>
      <c r="W6104">
        <v>1.2908879999999999E-2</v>
      </c>
      <c r="X6104">
        <v>0.9999093</v>
      </c>
      <c r="Y6104">
        <v>1.0889879999999999E-2</v>
      </c>
      <c r="Z6104">
        <v>4.6659920000000001E-2</v>
      </c>
      <c r="AA6104">
        <v>0.9988515</v>
      </c>
      <c r="AB6104">
        <v>16</v>
      </c>
      <c r="AC6104">
        <v>-3.3953000000000202</v>
      </c>
      <c r="AD6104">
        <v>-1.1113514696689999</v>
      </c>
      <c r="AE6104">
        <v>-23.270199999999999</v>
      </c>
      <c r="AF6104">
        <v>0.26107737671011899</v>
      </c>
      <c r="AG6104">
        <v>-1.1113514696689999</v>
      </c>
      <c r="AH6104">
        <v>23.462739720112001</v>
      </c>
      <c r="AI6104">
        <v>92.711714815669296</v>
      </c>
      <c r="AJ6104">
        <v>89.362477926387996</v>
      </c>
      <c r="AK6104">
        <v>23.4904963476612</v>
      </c>
      <c r="AL6104">
        <v>89.260355132068895</v>
      </c>
      <c r="AM6104">
        <v>90.220441155989107</v>
      </c>
      <c r="AN6104">
        <v>1.00000002377079</v>
      </c>
    </row>
    <row r="6105" spans="1:40" x14ac:dyDescent="0.25">
      <c r="A6105" t="str">
        <f>"20190312150815053"</f>
        <v>20190312150815053</v>
      </c>
      <c r="B6105" t="str">
        <f>"1552374495046166"</f>
        <v>1552374495046166</v>
      </c>
      <c r="C6105" t="s">
        <v>40</v>
      </c>
      <c r="D6105">
        <v>4.7276360000000004</v>
      </c>
      <c r="E6105">
        <v>0.50480429999999998</v>
      </c>
      <c r="F6105" t="s">
        <v>42</v>
      </c>
      <c r="G6105">
        <v>-194.88579999999999</v>
      </c>
      <c r="H6105" s="1">
        <v>-4.7212870000000003E-6</v>
      </c>
      <c r="I6105">
        <v>167.32380000000001</v>
      </c>
      <c r="J6105">
        <v>-191.61510000000001</v>
      </c>
      <c r="K6105">
        <v>1.1113420000000001</v>
      </c>
      <c r="L6105">
        <v>189.80940000000001</v>
      </c>
      <c r="M6105">
        <v>-0.13249159999999999</v>
      </c>
      <c r="N6105">
        <v>0</v>
      </c>
      <c r="O6105">
        <v>-0.99109570000000002</v>
      </c>
      <c r="P6105">
        <v>-0.12941810000000001</v>
      </c>
      <c r="Q6105">
        <v>-5.8925150000000001E-4</v>
      </c>
      <c r="R6105">
        <v>-0.99159030000000004</v>
      </c>
      <c r="S6105">
        <v>-0.43162539999999999</v>
      </c>
      <c r="T6105">
        <v>-0.146251399999999</v>
      </c>
      <c r="U6105">
        <v>-2.969055</v>
      </c>
      <c r="V6105">
        <v>-3.135727E-3</v>
      </c>
      <c r="W6105">
        <v>1.2662369999999999E-2</v>
      </c>
      <c r="X6105">
        <v>0.99991490000000005</v>
      </c>
      <c r="Y6105">
        <v>1.1299729999999999E-2</v>
      </c>
      <c r="Z6105">
        <v>4.8296029999999997E-2</v>
      </c>
      <c r="AA6105">
        <v>0.99876920000000002</v>
      </c>
      <c r="AB6105">
        <v>16</v>
      </c>
      <c r="AC6105">
        <v>-3.27069999999997</v>
      </c>
      <c r="AD6105">
        <v>-1.1113467212870001</v>
      </c>
      <c r="AE6105">
        <v>-22.485600000000002</v>
      </c>
      <c r="AF6105">
        <v>0.26182026194697</v>
      </c>
      <c r="AG6105">
        <v>-1.1113467212870001</v>
      </c>
      <c r="AH6105">
        <v>22.666490431844</v>
      </c>
      <c r="AI6105">
        <v>92.806799235001193</v>
      </c>
      <c r="AJ6105">
        <v>89.338206815926497</v>
      </c>
      <c r="AK6105">
        <v>22.6952292317429</v>
      </c>
      <c r="AL6105">
        <v>89.274480242872997</v>
      </c>
      <c r="AM6105">
        <v>90.179678624493803</v>
      </c>
      <c r="AN6105">
        <v>0.99999998781992205</v>
      </c>
    </row>
    <row r="6106" spans="1:40" x14ac:dyDescent="0.25">
      <c r="A6106" t="str">
        <f>"20190312150815064"</f>
        <v>20190312150815064</v>
      </c>
      <c r="B6106" t="str">
        <f>"1552374495055926"</f>
        <v>1552374495055926</v>
      </c>
      <c r="C6106" t="s">
        <v>40</v>
      </c>
      <c r="D6106">
        <v>4.7174189999999996</v>
      </c>
      <c r="E6106">
        <v>0.50486600000000004</v>
      </c>
      <c r="F6106" t="s">
        <v>42</v>
      </c>
      <c r="G6106">
        <v>-194.8357</v>
      </c>
      <c r="H6106" s="1">
        <v>-4.8363279999999997E-6</v>
      </c>
      <c r="I6106">
        <v>167.6465</v>
      </c>
      <c r="J6106">
        <v>-191.6249</v>
      </c>
      <c r="K6106">
        <v>1.111334</v>
      </c>
      <c r="L6106">
        <v>189.7286</v>
      </c>
      <c r="M6106">
        <v>-0.13157940000000001</v>
      </c>
      <c r="N6106">
        <v>0</v>
      </c>
      <c r="O6106">
        <v>-0.99121700000000001</v>
      </c>
      <c r="P6106">
        <v>-0.1291737</v>
      </c>
      <c r="Q6106">
        <v>-7.4600359999999995E-4</v>
      </c>
      <c r="R6106">
        <v>-0.991622</v>
      </c>
      <c r="S6106">
        <v>-0.4314423</v>
      </c>
      <c r="T6106">
        <v>-0.1488815</v>
      </c>
      <c r="U6106">
        <v>-2.969055</v>
      </c>
      <c r="V6106">
        <v>-2.4615409999999998E-3</v>
      </c>
      <c r="W6106">
        <v>1.250599E-2</v>
      </c>
      <c r="X6106">
        <v>0.9999188</v>
      </c>
      <c r="Y6106">
        <v>1.215339E-2</v>
      </c>
      <c r="Z6106">
        <v>4.9171430000000002E-2</v>
      </c>
      <c r="AA6106">
        <v>0.99871639999999995</v>
      </c>
      <c r="AB6106">
        <v>16</v>
      </c>
      <c r="AC6106">
        <v>-3.2107999999999999</v>
      </c>
      <c r="AD6106">
        <v>-1.1113388363279999</v>
      </c>
      <c r="AE6106">
        <v>-22.082100000000001</v>
      </c>
      <c r="AF6106">
        <v>0.27638885790347401</v>
      </c>
      <c r="AG6106">
        <v>-1.1113388363279999</v>
      </c>
      <c r="AH6106">
        <v>22.257380763584202</v>
      </c>
      <c r="AI6106">
        <v>92.858255931254405</v>
      </c>
      <c r="AJ6106">
        <v>89.288546063721398</v>
      </c>
      <c r="AK6106">
        <v>22.286822637268699</v>
      </c>
      <c r="AL6106">
        <v>89.283440898748395</v>
      </c>
      <c r="AM6106">
        <v>90.141047078521794</v>
      </c>
      <c r="AN6106">
        <v>1.0000000327817</v>
      </c>
    </row>
    <row r="6107" spans="1:40" x14ac:dyDescent="0.25">
      <c r="A6107" t="str">
        <f>"20190312150815076"</f>
        <v>20190312150815076</v>
      </c>
      <c r="B6107" t="str">
        <f>"1552374495066662"</f>
        <v>1552374495066662</v>
      </c>
      <c r="C6107" t="s">
        <v>40</v>
      </c>
      <c r="D6107">
        <v>4.7187729999999997</v>
      </c>
      <c r="E6107">
        <v>0.50489819999999996</v>
      </c>
      <c r="F6107" t="s">
        <v>42</v>
      </c>
      <c r="G6107">
        <v>-194.8168</v>
      </c>
      <c r="H6107" s="1">
        <v>-4.866288E-6</v>
      </c>
      <c r="I6107">
        <v>167.73320000000001</v>
      </c>
      <c r="J6107">
        <v>-191.63480000000001</v>
      </c>
      <c r="K6107">
        <v>1.1113360000000001</v>
      </c>
      <c r="L6107">
        <v>189.6456</v>
      </c>
      <c r="M6107">
        <v>-0.1306389</v>
      </c>
      <c r="N6107">
        <v>0</v>
      </c>
      <c r="O6107">
        <v>-0.99134140000000004</v>
      </c>
      <c r="P6107">
        <v>-0.12891330000000001</v>
      </c>
      <c r="Q6107">
        <v>-9.7723030000000004E-4</v>
      </c>
      <c r="R6107">
        <v>-0.99165519999999996</v>
      </c>
      <c r="S6107">
        <v>-0.43087769999999997</v>
      </c>
      <c r="T6107">
        <v>-0.1500185</v>
      </c>
      <c r="U6107">
        <v>-2.969131</v>
      </c>
      <c r="V6107">
        <v>-1.774479E-3</v>
      </c>
      <c r="W6107">
        <v>1.227521E-2</v>
      </c>
      <c r="X6107">
        <v>0.99992309999999995</v>
      </c>
      <c r="Y6107">
        <v>1.2909779999999999E-2</v>
      </c>
      <c r="Z6107">
        <v>4.9554510000000003E-2</v>
      </c>
      <c r="AA6107">
        <v>0.99868800000000002</v>
      </c>
      <c r="AB6107">
        <v>16</v>
      </c>
      <c r="AC6107">
        <v>-3.18199999999998</v>
      </c>
      <c r="AD6107">
        <v>-1.111340866288</v>
      </c>
      <c r="AE6107">
        <v>-21.912399999999899</v>
      </c>
      <c r="AF6107">
        <v>0.29112875134723698</v>
      </c>
      <c r="AG6107">
        <v>-1.111340866288</v>
      </c>
      <c r="AH6107">
        <v>22.0846731357164</v>
      </c>
      <c r="AI6107">
        <v>92.880547816913506</v>
      </c>
      <c r="AJ6107">
        <v>89.244748494657699</v>
      </c>
      <c r="AK6107">
        <v>22.1145341796379</v>
      </c>
      <c r="AL6107">
        <v>89.296664622895705</v>
      </c>
      <c r="AM6107">
        <v>90.101677869834404</v>
      </c>
      <c r="AN6107">
        <v>1.00000001773493</v>
      </c>
    </row>
    <row r="6108" spans="1:40" x14ac:dyDescent="0.25">
      <c r="A6108" t="str">
        <f>"20190312150815087"</f>
        <v>20190312150815087</v>
      </c>
      <c r="B6108" t="str">
        <f>"1552374495076422"</f>
        <v>1552374495076422</v>
      </c>
      <c r="C6108" t="s">
        <v>40</v>
      </c>
      <c r="D6108">
        <v>4.918247</v>
      </c>
      <c r="E6108">
        <v>0.50493809999999995</v>
      </c>
      <c r="F6108" t="s">
        <v>42</v>
      </c>
      <c r="G6108">
        <v>-194.8098</v>
      </c>
      <c r="H6108" s="1">
        <v>-4.8704430000000001E-6</v>
      </c>
      <c r="I6108">
        <v>167.7473</v>
      </c>
      <c r="J6108">
        <v>-191.6437</v>
      </c>
      <c r="K6108">
        <v>1.1113329999999999</v>
      </c>
      <c r="L6108">
        <v>189.5701</v>
      </c>
      <c r="M6108">
        <v>-0.12978110000000001</v>
      </c>
      <c r="N6108">
        <v>0</v>
      </c>
      <c r="O6108">
        <v>-0.99145419999999995</v>
      </c>
      <c r="P6108">
        <v>-0.12862100000000001</v>
      </c>
      <c r="Q6108">
        <v>-9.0506929999999998E-4</v>
      </c>
      <c r="R6108">
        <v>-0.99169339999999995</v>
      </c>
      <c r="S6108">
        <v>-0.4304962</v>
      </c>
      <c r="T6108">
        <v>-0.1506826</v>
      </c>
      <c r="U6108">
        <v>-2.9691160000000001</v>
      </c>
      <c r="V6108">
        <v>-1.2047E-3</v>
      </c>
      <c r="W6108">
        <v>1.234769E-2</v>
      </c>
      <c r="X6108">
        <v>0.99992309999999995</v>
      </c>
      <c r="Y6108">
        <v>1.364839E-2</v>
      </c>
      <c r="Z6108">
        <v>4.978225E-2</v>
      </c>
      <c r="AA6108">
        <v>0.99866679999999997</v>
      </c>
      <c r="AB6108">
        <v>16</v>
      </c>
      <c r="AC6108">
        <v>-3.1661000000000001</v>
      </c>
      <c r="AD6108">
        <v>-1.1113378704429999</v>
      </c>
      <c r="AE6108">
        <v>-21.822800000000001</v>
      </c>
      <c r="AF6108">
        <v>0.30610558164704899</v>
      </c>
      <c r="AG6108">
        <v>-1.1113378704429999</v>
      </c>
      <c r="AH6108">
        <v>21.993279063871601</v>
      </c>
      <c r="AI6108">
        <v>92.892461211753798</v>
      </c>
      <c r="AJ6108">
        <v>89.202600689855203</v>
      </c>
      <c r="AK6108">
        <v>22.023466949386702</v>
      </c>
      <c r="AL6108">
        <v>89.292511540955999</v>
      </c>
      <c r="AM6108">
        <v>90.069029500551196</v>
      </c>
      <c r="AN6108">
        <v>1.0000000613320099</v>
      </c>
    </row>
    <row r="6109" spans="1:40" x14ac:dyDescent="0.25">
      <c r="A6109" t="str">
        <f>"20190312150815098"</f>
        <v>20190312150815098</v>
      </c>
      <c r="B6109" t="str">
        <f>"1552374495086181"</f>
        <v>1552374495086181</v>
      </c>
      <c r="C6109" t="s">
        <v>40</v>
      </c>
      <c r="D6109">
        <v>4.7345290000000002</v>
      </c>
      <c r="E6109">
        <v>0.50502250000000004</v>
      </c>
      <c r="F6109" t="s">
        <v>42</v>
      </c>
      <c r="G6109">
        <v>-194.87700000000001</v>
      </c>
      <c r="H6109" s="1">
        <v>-4.6826010000000001E-6</v>
      </c>
      <c r="I6109">
        <v>167.22710000000001</v>
      </c>
      <c r="J6109">
        <v>-191.6532</v>
      </c>
      <c r="K6109">
        <v>1.1113309999999901</v>
      </c>
      <c r="L6109">
        <v>189.4896</v>
      </c>
      <c r="M6109">
        <v>-0.1288627</v>
      </c>
      <c r="N6109">
        <v>0</v>
      </c>
      <c r="O6109">
        <v>-0.99157399999999996</v>
      </c>
      <c r="P6109">
        <v>-0.12842300000000001</v>
      </c>
      <c r="Q6109">
        <v>-1.0969300000000001E-3</v>
      </c>
      <c r="R6109">
        <v>-0.99171920000000002</v>
      </c>
      <c r="S6109">
        <v>-0.4296875</v>
      </c>
      <c r="T6109">
        <v>-0.14769109999999999</v>
      </c>
      <c r="U6109">
        <v>-2.9692690000000002</v>
      </c>
      <c r="V6109">
        <v>-4.7758069999999999E-4</v>
      </c>
      <c r="W6109">
        <v>1.2156490000000001E-2</v>
      </c>
      <c r="X6109">
        <v>0.99992599999999998</v>
      </c>
      <c r="Y6109">
        <v>1.430785E-2</v>
      </c>
      <c r="Z6109">
        <v>4.880342E-2</v>
      </c>
      <c r="AA6109">
        <v>0.99870590000000004</v>
      </c>
      <c r="AB6109">
        <v>16</v>
      </c>
      <c r="AC6109">
        <v>-3.22380000000001</v>
      </c>
      <c r="AD6109">
        <v>-1.1113356826009999</v>
      </c>
      <c r="AE6109">
        <v>-22.2624999999999</v>
      </c>
      <c r="AF6109">
        <v>0.32706087219747199</v>
      </c>
      <c r="AG6109">
        <v>-1.1113356826009999</v>
      </c>
      <c r="AH6109">
        <v>22.437551206439402</v>
      </c>
      <c r="AI6109">
        <v>92.835251642052896</v>
      </c>
      <c r="AJ6109">
        <v>89.164887450596694</v>
      </c>
      <c r="AK6109">
        <v>22.4674373250519</v>
      </c>
      <c r="AL6109">
        <v>89.303467277767894</v>
      </c>
      <c r="AM6109">
        <v>90.027365381444397</v>
      </c>
      <c r="AN6109">
        <v>1.0000000069042201</v>
      </c>
    </row>
    <row r="6110" spans="1:40" x14ac:dyDescent="0.25">
      <c r="A6110" t="str">
        <f>"20190312150815111"</f>
        <v>20190312150815111</v>
      </c>
      <c r="B6110" t="str">
        <f>"1552374495106678"</f>
        <v>1552374495106678</v>
      </c>
      <c r="C6110" t="s">
        <v>40</v>
      </c>
      <c r="D6110">
        <v>4.7044169999999896</v>
      </c>
      <c r="E6110">
        <v>0.50509870000000001</v>
      </c>
      <c r="F6110" t="s">
        <v>42</v>
      </c>
      <c r="G6110">
        <v>-194.92689999999999</v>
      </c>
      <c r="H6110" s="1">
        <v>-4.55501999999999E-6</v>
      </c>
      <c r="I6110">
        <v>166.87180000000001</v>
      </c>
      <c r="J6110">
        <v>-191.66290000000001</v>
      </c>
      <c r="K6110">
        <v>1.111332</v>
      </c>
      <c r="L6110">
        <v>189.4057</v>
      </c>
      <c r="M6110">
        <v>-0.12790309999999999</v>
      </c>
      <c r="N6110">
        <v>0</v>
      </c>
      <c r="O6110">
        <v>-0.99169810000000003</v>
      </c>
      <c r="P6110">
        <v>-0.12806719999999999</v>
      </c>
      <c r="Q6110">
        <v>-1.357345E-3</v>
      </c>
      <c r="R6110">
        <v>-0.99176470000000005</v>
      </c>
      <c r="S6110">
        <v>-0.42977910000000002</v>
      </c>
      <c r="T6110">
        <v>-0.14589579999999999</v>
      </c>
      <c r="U6110">
        <v>-2.9692539999999998</v>
      </c>
      <c r="V6110">
        <v>1.318774E-4</v>
      </c>
      <c r="W6110">
        <v>1.1896149999999999E-2</v>
      </c>
      <c r="X6110">
        <v>0.99992919999999996</v>
      </c>
      <c r="Y6110">
        <v>1.531045E-2</v>
      </c>
      <c r="Z6110">
        <v>4.8220430000000002E-2</v>
      </c>
      <c r="AA6110">
        <v>0.99871940000000003</v>
      </c>
      <c r="AB6110">
        <v>16</v>
      </c>
      <c r="AC6110">
        <v>-3.2639999999999798</v>
      </c>
      <c r="AD6110">
        <v>-1.1113365550200001</v>
      </c>
      <c r="AE6110">
        <v>-22.5338999999999</v>
      </c>
      <c r="AF6110">
        <v>0.35393491003073302</v>
      </c>
      <c r="AG6110">
        <v>-1.1113365550200001</v>
      </c>
      <c r="AH6110">
        <v>22.712193563361399</v>
      </c>
      <c r="AI6110">
        <v>92.800981637925503</v>
      </c>
      <c r="AJ6110">
        <v>89.1072048940446</v>
      </c>
      <c r="AK6110">
        <v>22.742121170169199</v>
      </c>
      <c r="AL6110">
        <v>89.318384714871698</v>
      </c>
      <c r="AM6110">
        <v>89.9924434466066</v>
      </c>
      <c r="AN6110">
        <v>0.99999997039455502</v>
      </c>
    </row>
    <row r="6111" spans="1:40" x14ac:dyDescent="0.25">
      <c r="A6111" t="str">
        <f>"20190312150815132"</f>
        <v>20190312150815132</v>
      </c>
      <c r="B6111" t="str">
        <f>"1552374495126197"</f>
        <v>1552374495126197</v>
      </c>
      <c r="C6111" t="s">
        <v>40</v>
      </c>
      <c r="D6111">
        <v>4.6726159999999997</v>
      </c>
      <c r="E6111">
        <v>0.50511589999999995</v>
      </c>
      <c r="F6111" t="s">
        <v>42</v>
      </c>
      <c r="G6111">
        <v>-194.99870000000001</v>
      </c>
      <c r="H6111" s="1">
        <v>-4.3555089999999997E-6</v>
      </c>
      <c r="I6111">
        <v>166.31909999999999</v>
      </c>
      <c r="J6111">
        <v>-191.6799</v>
      </c>
      <c r="K6111">
        <v>1.1113360000000001</v>
      </c>
      <c r="L6111">
        <v>189.2587</v>
      </c>
      <c r="M6111">
        <v>-0.12620919999999999</v>
      </c>
      <c r="N6111">
        <v>0</v>
      </c>
      <c r="O6111">
        <v>-0.9919152</v>
      </c>
      <c r="P6111">
        <v>-0.12756809999999999</v>
      </c>
      <c r="Q6111">
        <v>-1.880152E-3</v>
      </c>
      <c r="R6111">
        <v>-0.99182809999999999</v>
      </c>
      <c r="S6111">
        <v>-0.42903140000000001</v>
      </c>
      <c r="T6111">
        <v>-0.1429359</v>
      </c>
      <c r="U6111">
        <v>-2.9693149999999999</v>
      </c>
      <c r="V6111">
        <v>1.337464E-3</v>
      </c>
      <c r="W6111">
        <v>1.137405E-2</v>
      </c>
      <c r="X6111">
        <v>0.9999344</v>
      </c>
      <c r="Y6111">
        <v>1.677553E-2</v>
      </c>
      <c r="Z6111">
        <v>4.7259179999999998E-2</v>
      </c>
      <c r="AA6111">
        <v>0.99874180000000001</v>
      </c>
      <c r="AB6111">
        <v>16</v>
      </c>
      <c r="AC6111">
        <v>-3.3188</v>
      </c>
      <c r="AD6111">
        <v>-1.111340355509</v>
      </c>
      <c r="AE6111">
        <v>-22.939599999999999</v>
      </c>
      <c r="AF6111">
        <v>0.39590426134880902</v>
      </c>
      <c r="AG6111">
        <v>-1.111340355509</v>
      </c>
      <c r="AH6111">
        <v>23.121878787960799</v>
      </c>
      <c r="AI6111">
        <v>92.751369641912007</v>
      </c>
      <c r="AJ6111">
        <v>89.019049140914404</v>
      </c>
      <c r="AK6111">
        <v>23.1519566398844</v>
      </c>
      <c r="AL6111">
        <v>89.348300874560707</v>
      </c>
      <c r="AM6111">
        <v>89.923363975924801</v>
      </c>
      <c r="AN6111">
        <v>0.99999998106335597</v>
      </c>
    </row>
    <row r="6112" spans="1:40" x14ac:dyDescent="0.25">
      <c r="A6112" t="str">
        <f>"20190312150815145"</f>
        <v>20190312150815145</v>
      </c>
      <c r="B6112" t="str">
        <f>"1552374495135958"</f>
        <v>1552374495135958</v>
      </c>
      <c r="C6112" t="s">
        <v>40</v>
      </c>
      <c r="D6112">
        <v>4.8766470000000002</v>
      </c>
      <c r="E6112">
        <v>0.5052141</v>
      </c>
      <c r="F6112" t="s">
        <v>42</v>
      </c>
      <c r="G6112">
        <v>-194.94880000000001</v>
      </c>
      <c r="H6112" s="1">
        <v>-4.4381209999999999E-6</v>
      </c>
      <c r="I6112">
        <v>166.5573</v>
      </c>
      <c r="J6112">
        <v>-191.69040000000001</v>
      </c>
      <c r="K6112">
        <v>1.1113360000000001</v>
      </c>
      <c r="L6112">
        <v>189.1661</v>
      </c>
      <c r="M6112">
        <v>-0.1251353</v>
      </c>
      <c r="N6112">
        <v>0</v>
      </c>
      <c r="O6112">
        <v>-0.99205149999999998</v>
      </c>
      <c r="P6112">
        <v>-0.12718080000000001</v>
      </c>
      <c r="Q6112">
        <v>-1.95144E-3</v>
      </c>
      <c r="R6112">
        <v>-0.99187820000000004</v>
      </c>
      <c r="S6112">
        <v>-0.427597</v>
      </c>
      <c r="T6112">
        <v>-0.14536830000000001</v>
      </c>
      <c r="U6112">
        <v>-2.969452</v>
      </c>
      <c r="V6112">
        <v>2.0296619999999998E-3</v>
      </c>
      <c r="W6112">
        <v>1.1303489999999999E-2</v>
      </c>
      <c r="X6112">
        <v>0.99993410000000005</v>
      </c>
      <c r="Y6112">
        <v>1.7373340000000001E-2</v>
      </c>
      <c r="Z6112">
        <v>4.8070620000000001E-2</v>
      </c>
      <c r="AA6112">
        <v>0.99869280000000005</v>
      </c>
      <c r="AB6112">
        <v>16</v>
      </c>
      <c r="AC6112">
        <v>-3.2583999999999902</v>
      </c>
      <c r="AD6112">
        <v>-1.1113404381209999</v>
      </c>
      <c r="AE6112">
        <v>-22.608799999999999</v>
      </c>
      <c r="AF6112">
        <v>0.40242436322661401</v>
      </c>
      <c r="AG6112">
        <v>-1.1113404381209999</v>
      </c>
      <c r="AH6112">
        <v>22.784899614359901</v>
      </c>
      <c r="AI6112">
        <v>92.791971398977196</v>
      </c>
      <c r="AJ6112">
        <v>88.988153517562907</v>
      </c>
      <c r="AK6112">
        <v>22.815535789763501</v>
      </c>
      <c r="AL6112">
        <v>89.352343967055205</v>
      </c>
      <c r="AM6112">
        <v>89.883701429194801</v>
      </c>
      <c r="AN6112">
        <v>1.00000004637841</v>
      </c>
    </row>
    <row r="6113" spans="1:40" x14ac:dyDescent="0.25">
      <c r="A6113" t="str">
        <f>"20190312150815157"</f>
        <v>20190312150815157</v>
      </c>
      <c r="B6113" t="str">
        <f>"1552374495146695"</f>
        <v>1552374495146695</v>
      </c>
      <c r="C6113" t="s">
        <v>40</v>
      </c>
      <c r="D6113">
        <v>4.7045669999999999</v>
      </c>
      <c r="E6113">
        <v>0.50527409999999995</v>
      </c>
      <c r="F6113" t="s">
        <v>42</v>
      </c>
      <c r="G6113">
        <v>-194.96700000000001</v>
      </c>
      <c r="H6113" s="1">
        <v>-4.3738719999999998E-6</v>
      </c>
      <c r="I6113">
        <v>166.38159999999999</v>
      </c>
      <c r="J6113">
        <v>-191.70070000000001</v>
      </c>
      <c r="K6113">
        <v>1.11134</v>
      </c>
      <c r="L6113">
        <v>189.07429999999999</v>
      </c>
      <c r="M6113">
        <v>-0.12406159999999999</v>
      </c>
      <c r="N6113">
        <v>0</v>
      </c>
      <c r="O6113">
        <v>-0.99218620000000002</v>
      </c>
      <c r="P6113">
        <v>-0.126693</v>
      </c>
      <c r="Q6113">
        <v>-2.4049200000000001E-3</v>
      </c>
      <c r="R6113">
        <v>-0.99193940000000003</v>
      </c>
      <c r="S6113">
        <v>-0.42704769999999997</v>
      </c>
      <c r="T6113">
        <v>-0.14484349999999999</v>
      </c>
      <c r="U6113">
        <v>-2.9695589999999998</v>
      </c>
      <c r="V6113">
        <v>2.6209879999999999E-3</v>
      </c>
      <c r="W6113">
        <v>1.085004E-2</v>
      </c>
      <c r="X6113">
        <v>0.99993770000000004</v>
      </c>
      <c r="Y6113">
        <v>1.827051E-2</v>
      </c>
      <c r="Z6113">
        <v>4.7905780000000002E-2</v>
      </c>
      <c r="AA6113">
        <v>0.99868480000000004</v>
      </c>
      <c r="AB6113">
        <v>16</v>
      </c>
      <c r="AC6113">
        <v>-3.2663000000000002</v>
      </c>
      <c r="AD6113">
        <v>-1.1113443738719999</v>
      </c>
      <c r="AE6113">
        <v>-22.692699999999999</v>
      </c>
      <c r="AF6113">
        <v>0.42452488368105901</v>
      </c>
      <c r="AG6113">
        <v>-1.1113443738719999</v>
      </c>
      <c r="AH6113">
        <v>22.8688791626845</v>
      </c>
      <c r="AI6113">
        <v>92.7816992985057</v>
      </c>
      <c r="AJ6113">
        <v>88.936515840062995</v>
      </c>
      <c r="AK6113">
        <v>22.899802222981499</v>
      </c>
      <c r="AL6113">
        <v>89.378326301471901</v>
      </c>
      <c r="AM6113">
        <v>89.849819437109602</v>
      </c>
      <c r="AN6113">
        <v>0.99999999841369303</v>
      </c>
    </row>
    <row r="6114" spans="1:40" x14ac:dyDescent="0.25">
      <c r="A6114" t="str">
        <f>"20190312150815169"</f>
        <v>20190312150815169</v>
      </c>
      <c r="B6114" t="str">
        <f>"1552374495156454"</f>
        <v>1552374495156454</v>
      </c>
      <c r="C6114" t="s">
        <v>40</v>
      </c>
      <c r="D6114">
        <v>4.7002009999999999</v>
      </c>
      <c r="E6114">
        <v>0.50531329999999997</v>
      </c>
      <c r="F6114" t="s">
        <v>42</v>
      </c>
      <c r="G6114">
        <v>-194.95660000000001</v>
      </c>
      <c r="H6114" s="1">
        <v>-4.3700980000000003E-6</v>
      </c>
      <c r="I6114">
        <v>166.37649999999999</v>
      </c>
      <c r="J6114">
        <v>-191.70910000000001</v>
      </c>
      <c r="K6114">
        <v>1.111345</v>
      </c>
      <c r="L6114">
        <v>188.99959999999999</v>
      </c>
      <c r="M6114">
        <v>-0.1231839</v>
      </c>
      <c r="N6114">
        <v>0</v>
      </c>
      <c r="O6114">
        <v>-0.99229540000000005</v>
      </c>
      <c r="P6114">
        <v>-0.12642219999999901</v>
      </c>
      <c r="Q6114">
        <v>-3.3265069999999998E-3</v>
      </c>
      <c r="R6114">
        <v>-0.99197120000000005</v>
      </c>
      <c r="S6114">
        <v>-0.42597960000000001</v>
      </c>
      <c r="T6114">
        <v>-0.14540059999999999</v>
      </c>
      <c r="U6114">
        <v>-2.9696199999999999</v>
      </c>
      <c r="V6114">
        <v>3.2344850000000001E-3</v>
      </c>
      <c r="W6114">
        <v>9.9293200000000002E-3</v>
      </c>
      <c r="X6114">
        <v>0.99994550000000004</v>
      </c>
      <c r="Y6114">
        <v>1.8798740000000001E-2</v>
      </c>
      <c r="Z6114">
        <v>4.8097550000000003E-2</v>
      </c>
      <c r="AA6114">
        <v>0.99866580000000005</v>
      </c>
      <c r="AB6114">
        <v>16</v>
      </c>
      <c r="AC6114">
        <v>-3.2475000000000001</v>
      </c>
      <c r="AD6114">
        <v>-1.1113493700979999</v>
      </c>
      <c r="AE6114">
        <v>-22.623099999999901</v>
      </c>
      <c r="AF6114">
        <v>0.43468805469772698</v>
      </c>
      <c r="AG6114">
        <v>-1.1113493700979999</v>
      </c>
      <c r="AH6114">
        <v>22.7969404729016</v>
      </c>
      <c r="AI6114">
        <v>92.790449551102299</v>
      </c>
      <c r="AJ6114">
        <v>88.907626521416304</v>
      </c>
      <c r="AK6114">
        <v>22.828152488809401</v>
      </c>
      <c r="AL6114">
        <v>89.431082537913198</v>
      </c>
      <c r="AM6114">
        <v>89.8146682063594</v>
      </c>
      <c r="AN6114">
        <v>1.00000002812956</v>
      </c>
    </row>
    <row r="6115" spans="1:40" x14ac:dyDescent="0.25">
      <c r="A6115" t="str">
        <f>"20190312150815179"</f>
        <v>20190312150815179</v>
      </c>
      <c r="B6115" t="str">
        <f>"1552374495175974"</f>
        <v>1552374495175974</v>
      </c>
      <c r="C6115" t="s">
        <v>40</v>
      </c>
      <c r="D6115">
        <v>4.709409</v>
      </c>
      <c r="E6115">
        <v>0.50541069999999999</v>
      </c>
      <c r="F6115" t="s">
        <v>42</v>
      </c>
      <c r="G6115">
        <v>-194.8827</v>
      </c>
      <c r="H6115" s="1">
        <v>-4.536459E-6</v>
      </c>
      <c r="I6115">
        <v>166.84389999999999</v>
      </c>
      <c r="J6115">
        <v>-191.71789999999999</v>
      </c>
      <c r="K6115">
        <v>1.1113440000000001</v>
      </c>
      <c r="L6115">
        <v>188.9194</v>
      </c>
      <c r="M6115">
        <v>-0.1222348</v>
      </c>
      <c r="N6115">
        <v>0</v>
      </c>
      <c r="O6115">
        <v>-0.99241290000000004</v>
      </c>
      <c r="P6115">
        <v>-0.12625069999999999</v>
      </c>
      <c r="Q6115">
        <v>-4.04325E-3</v>
      </c>
      <c r="R6115">
        <v>-0.99199040000000005</v>
      </c>
      <c r="S6115">
        <v>-0.42536930000000001</v>
      </c>
      <c r="T6115">
        <v>-0.14895620000000001</v>
      </c>
      <c r="U6115">
        <v>-2.9695740000000002</v>
      </c>
      <c r="V6115">
        <v>4.0196420000000004E-3</v>
      </c>
      <c r="W6115">
        <v>9.213621E-3</v>
      </c>
      <c r="X6115">
        <v>0.99994950000000005</v>
      </c>
      <c r="Y6115">
        <v>1.9547780000000001E-2</v>
      </c>
      <c r="Z6115">
        <v>4.928068E-2</v>
      </c>
      <c r="AA6115">
        <v>0.99859370000000003</v>
      </c>
      <c r="AB6115">
        <v>16</v>
      </c>
      <c r="AC6115">
        <v>-3.1648000000000098</v>
      </c>
      <c r="AD6115">
        <v>-1.1113485364589999</v>
      </c>
      <c r="AE6115">
        <v>-22.075500000000002</v>
      </c>
      <c r="AF6115">
        <v>0.44133678817966099</v>
      </c>
      <c r="AG6115">
        <v>-1.1113485364589999</v>
      </c>
      <c r="AH6115">
        <v>22.241579558750701</v>
      </c>
      <c r="AI6115">
        <v>92.859966199442695</v>
      </c>
      <c r="AJ6115">
        <v>88.863236433908497</v>
      </c>
      <c r="AK6115">
        <v>22.273700523225301</v>
      </c>
      <c r="AL6115">
        <v>89.472090946813793</v>
      </c>
      <c r="AM6115">
        <v>89.769681087659606</v>
      </c>
      <c r="AN6115">
        <v>1.0000000254419901</v>
      </c>
    </row>
    <row r="6116" spans="1:40" x14ac:dyDescent="0.25">
      <c r="A6116" t="str">
        <f>"20190312150815191"</f>
        <v>20190312150815191</v>
      </c>
      <c r="B6116" t="str">
        <f>"1552374495186711"</f>
        <v>1552374495186711</v>
      </c>
      <c r="C6116" t="s">
        <v>40</v>
      </c>
      <c r="D6116">
        <v>4.6663259999999998</v>
      </c>
      <c r="E6116">
        <v>0.50549350000000004</v>
      </c>
      <c r="F6116" t="s">
        <v>42</v>
      </c>
      <c r="G6116">
        <v>-194.82990000000001</v>
      </c>
      <c r="H6116" s="1">
        <v>-4.6667020000000002E-6</v>
      </c>
      <c r="I6116">
        <v>167.20750000000001</v>
      </c>
      <c r="J6116">
        <v>-191.72630000000001</v>
      </c>
      <c r="K6116">
        <v>1.1113519999999999</v>
      </c>
      <c r="L6116">
        <v>188.84209999999999</v>
      </c>
      <c r="M6116">
        <v>-0.12131450000000001</v>
      </c>
      <c r="N6116">
        <v>0</v>
      </c>
      <c r="O6116">
        <v>-0.99252589999999996</v>
      </c>
      <c r="P6116">
        <v>-0.1262047</v>
      </c>
      <c r="Q6116">
        <v>-5.1071700000000003E-3</v>
      </c>
      <c r="R6116">
        <v>-0.99199119999999996</v>
      </c>
      <c r="S6116">
        <v>-0.42561339999999998</v>
      </c>
      <c r="T6116">
        <v>-0.15199480000000001</v>
      </c>
      <c r="U6116">
        <v>-2.969452</v>
      </c>
      <c r="V6116">
        <v>4.9029920000000001E-3</v>
      </c>
      <c r="W6116">
        <v>8.1507899999999998E-3</v>
      </c>
      <c r="X6116">
        <v>0.99995480000000003</v>
      </c>
      <c r="Y6116">
        <v>2.0553979999999999E-2</v>
      </c>
      <c r="Z6116">
        <v>5.0293230000000001E-2</v>
      </c>
      <c r="AA6116">
        <v>0.99852300000000005</v>
      </c>
      <c r="AB6116">
        <v>16</v>
      </c>
      <c r="AC6116">
        <v>-3.1036000000000001</v>
      </c>
      <c r="AD6116">
        <v>-1.1113566667020001</v>
      </c>
      <c r="AE6116">
        <v>-21.634599999999899</v>
      </c>
      <c r="AF6116">
        <v>0.45467700438011899</v>
      </c>
      <c r="AG6116">
        <v>-1.1113566667020001</v>
      </c>
      <c r="AH6116">
        <v>21.794972798563801</v>
      </c>
      <c r="AI6116">
        <v>92.918431185256296</v>
      </c>
      <c r="AJ6116">
        <v>88.804894347014894</v>
      </c>
      <c r="AK6116">
        <v>21.828025199478599</v>
      </c>
      <c r="AL6116">
        <v>89.532988980118304</v>
      </c>
      <c r="AM6116">
        <v>89.719068804543497</v>
      </c>
      <c r="AN6116">
        <v>1.0000000383756</v>
      </c>
    </row>
    <row r="6117" spans="1:40" x14ac:dyDescent="0.25">
      <c r="A6117" t="str">
        <f>"20190312150815202"</f>
        <v>20190312150815202</v>
      </c>
      <c r="B6117" t="str">
        <f>"1552374495196470"</f>
        <v>1552374495196470</v>
      </c>
      <c r="C6117" t="s">
        <v>40</v>
      </c>
      <c r="D6117">
        <v>4.6589419999999997</v>
      </c>
      <c r="E6117">
        <v>0.50557640000000004</v>
      </c>
      <c r="F6117" t="s">
        <v>42</v>
      </c>
      <c r="G6117">
        <v>-194.7876</v>
      </c>
      <c r="H6117" s="1">
        <v>-4.7775030000000003E-6</v>
      </c>
      <c r="I6117">
        <v>167.5155</v>
      </c>
      <c r="J6117">
        <v>-191.7347</v>
      </c>
      <c r="K6117">
        <v>1.1113580000000001</v>
      </c>
      <c r="L6117">
        <v>188.7653</v>
      </c>
      <c r="M6117">
        <v>-0.1203953</v>
      </c>
      <c r="N6117">
        <v>0</v>
      </c>
      <c r="O6117">
        <v>-0.99263780000000001</v>
      </c>
      <c r="P6117">
        <v>-0.12617349999999999</v>
      </c>
      <c r="Q6117">
        <v>-5.6609299999999998E-3</v>
      </c>
      <c r="R6117">
        <v>-0.9919924</v>
      </c>
      <c r="S6117">
        <v>-0.42620849999999999</v>
      </c>
      <c r="T6117">
        <v>-0.15472939999999999</v>
      </c>
      <c r="U6117">
        <v>-2.9692080000000001</v>
      </c>
      <c r="V6117">
        <v>5.7987550000000001E-3</v>
      </c>
      <c r="W6117">
        <v>7.5991069999999999E-3</v>
      </c>
      <c r="X6117">
        <v>0.99995429999999996</v>
      </c>
      <c r="Y6117">
        <v>2.1680720000000001E-2</v>
      </c>
      <c r="Z6117">
        <v>5.1207160000000002E-2</v>
      </c>
      <c r="AA6117">
        <v>0.99845269999999997</v>
      </c>
      <c r="AB6117">
        <v>16</v>
      </c>
      <c r="AC6117">
        <v>-3.05289999999999</v>
      </c>
      <c r="AD6117">
        <v>-1.1113627775029999</v>
      </c>
      <c r="AE6117">
        <v>-21.2498</v>
      </c>
      <c r="AF6117">
        <v>0.47082744179017899</v>
      </c>
      <c r="AG6117">
        <v>-1.1113627775029999</v>
      </c>
      <c r="AH6117">
        <v>21.405423622425999</v>
      </c>
      <c r="AI6117">
        <v>92.971392528612597</v>
      </c>
      <c r="AJ6117">
        <v>88.739941963624901</v>
      </c>
      <c r="AK6117">
        <v>21.439425509063302</v>
      </c>
      <c r="AL6117">
        <v>89.564599044644297</v>
      </c>
      <c r="AM6117">
        <v>89.667744352217298</v>
      </c>
      <c r="AN6117">
        <v>0.99999998703761805</v>
      </c>
    </row>
    <row r="6118" spans="1:40" x14ac:dyDescent="0.25">
      <c r="A6118" t="str">
        <f>"20190312150815213"</f>
        <v>20190312150815213</v>
      </c>
      <c r="B6118" t="str">
        <f>"1552374495206229"</f>
        <v>1552374495206229</v>
      </c>
      <c r="C6118" t="s">
        <v>40</v>
      </c>
      <c r="D6118">
        <v>4.6646570000000001</v>
      </c>
      <c r="E6118">
        <v>0.50567700000000004</v>
      </c>
      <c r="F6118" t="s">
        <v>42</v>
      </c>
      <c r="G6118">
        <v>-194.76509999999999</v>
      </c>
      <c r="H6118" s="1">
        <v>-4.832865E-6</v>
      </c>
      <c r="I6118">
        <v>167.67009999999999</v>
      </c>
      <c r="J6118">
        <v>-191.74279999999999</v>
      </c>
      <c r="K6118">
        <v>1.1113440000000001</v>
      </c>
      <c r="L6118">
        <v>188.69030000000001</v>
      </c>
      <c r="M6118">
        <v>-0.1194803</v>
      </c>
      <c r="N6118">
        <v>0</v>
      </c>
      <c r="O6118">
        <v>-0.99274969999999996</v>
      </c>
      <c r="P6118">
        <v>-0.1262519</v>
      </c>
      <c r="Q6118">
        <v>-5.6965999999999996E-3</v>
      </c>
      <c r="R6118">
        <v>-0.99198200000000003</v>
      </c>
      <c r="S6118">
        <v>-0.4265137</v>
      </c>
      <c r="T6118">
        <v>-0.15642049999999999</v>
      </c>
      <c r="U6118">
        <v>-2.9690699999999999</v>
      </c>
      <c r="V6118">
        <v>6.7996929999999999E-3</v>
      </c>
      <c r="W6118">
        <v>7.4579659999999999E-3</v>
      </c>
      <c r="X6118">
        <v>0.99994910000000004</v>
      </c>
      <c r="Y6118">
        <v>2.2705280000000001E-2</v>
      </c>
      <c r="Z6118">
        <v>5.1775349999999998E-2</v>
      </c>
      <c r="AA6118">
        <v>0.99840059999999997</v>
      </c>
      <c r="AB6118">
        <v>16</v>
      </c>
      <c r="AC6118">
        <v>-3.0223</v>
      </c>
      <c r="AD6118">
        <v>-1.1113488328650001</v>
      </c>
      <c r="AE6118">
        <v>-21.020199999999999</v>
      </c>
      <c r="AF6118">
        <v>0.48759442334199599</v>
      </c>
      <c r="AG6118">
        <v>-1.1113488328650001</v>
      </c>
      <c r="AH6118">
        <v>21.172748409350302</v>
      </c>
      <c r="AI6118">
        <v>93.003879424280399</v>
      </c>
      <c r="AJ6118">
        <v>88.680749197801106</v>
      </c>
      <c r="AK6118">
        <v>21.2075014972446</v>
      </c>
      <c r="AL6118">
        <v>89.572686075845496</v>
      </c>
      <c r="AM6118">
        <v>89.610392462931898</v>
      </c>
      <c r="AN6118">
        <v>1.0000000298362799</v>
      </c>
    </row>
    <row r="6119" spans="1:40" x14ac:dyDescent="0.25">
      <c r="A6119" t="str">
        <f>"20190312150815224"</f>
        <v>20190312150815224</v>
      </c>
      <c r="B6119" t="str">
        <f>"1552374495215991"</f>
        <v>1552374495215991</v>
      </c>
      <c r="C6119" t="s">
        <v>40</v>
      </c>
      <c r="D6119">
        <v>4.7048730000000001</v>
      </c>
      <c r="E6119">
        <v>0.50568059999999904</v>
      </c>
      <c r="F6119" t="s">
        <v>42</v>
      </c>
      <c r="G6119">
        <v>-194.7833</v>
      </c>
      <c r="H6119" s="1">
        <v>-4.802485E-6</v>
      </c>
      <c r="I6119">
        <v>167.58260000000001</v>
      </c>
      <c r="J6119">
        <v>-191.75139999999999</v>
      </c>
      <c r="K6119">
        <v>1.111327</v>
      </c>
      <c r="L6119">
        <v>188.60910000000001</v>
      </c>
      <c r="M6119">
        <v>-0.1184854</v>
      </c>
      <c r="N6119">
        <v>0</v>
      </c>
      <c r="O6119">
        <v>-0.99287069999999999</v>
      </c>
      <c r="P6119">
        <v>-0.12616279999999999</v>
      </c>
      <c r="Q6119">
        <v>-5.6491700000000002E-3</v>
      </c>
      <c r="R6119">
        <v>-0.99199349999999997</v>
      </c>
      <c r="S6119">
        <v>-0.42767329999999998</v>
      </c>
      <c r="T6119">
        <v>-0.1563175</v>
      </c>
      <c r="U6119">
        <v>-2.9689179999999999</v>
      </c>
      <c r="V6119">
        <v>7.7119859999999997E-3</v>
      </c>
      <c r="W6119">
        <v>7.36403199999999E-3</v>
      </c>
      <c r="X6119">
        <v>0.99994309999999997</v>
      </c>
      <c r="Y6119">
        <v>2.4096860000000001E-2</v>
      </c>
      <c r="Z6119">
        <v>5.1750989999999997E-2</v>
      </c>
      <c r="AA6119">
        <v>0.99836930000000002</v>
      </c>
      <c r="AB6119">
        <v>16</v>
      </c>
      <c r="AC6119">
        <v>-3.0318999999999998</v>
      </c>
      <c r="AD6119">
        <v>-1.1113318024850001</v>
      </c>
      <c r="AE6119">
        <v>-21.026499999999999</v>
      </c>
      <c r="AF6119">
        <v>0.51757884241821295</v>
      </c>
      <c r="AG6119">
        <v>-1.1113318024850001</v>
      </c>
      <c r="AH6119">
        <v>21.179665202193998</v>
      </c>
      <c r="AI6119">
        <v>93.002754171853198</v>
      </c>
      <c r="AJ6119">
        <v>88.600110917909305</v>
      </c>
      <c r="AK6119">
        <v>21.2151164104834</v>
      </c>
      <c r="AL6119">
        <v>89.578068213020401</v>
      </c>
      <c r="AM6119">
        <v>89.558119368131003</v>
      </c>
      <c r="AN6119">
        <v>0.99999995346648396</v>
      </c>
    </row>
    <row r="6120" spans="1:40" x14ac:dyDescent="0.25">
      <c r="A6120" t="str">
        <f>"20190312150815236"</f>
        <v>20190312150815236</v>
      </c>
      <c r="B6120" t="str">
        <f>"1552374495226726"</f>
        <v>1552374495226726</v>
      </c>
      <c r="C6120" t="s">
        <v>40</v>
      </c>
      <c r="D6120">
        <v>4.8172709999999999</v>
      </c>
      <c r="E6120">
        <v>0.50569549999999996</v>
      </c>
      <c r="F6120" t="s">
        <v>42</v>
      </c>
      <c r="G6120">
        <v>-194.79429999999999</v>
      </c>
      <c r="H6120" s="1">
        <v>-4.7631409999999998E-6</v>
      </c>
      <c r="I6120">
        <v>167.47499999999999</v>
      </c>
      <c r="J6120">
        <v>-191.76009999999999</v>
      </c>
      <c r="K6120">
        <v>1.111307</v>
      </c>
      <c r="L6120">
        <v>188.5265</v>
      </c>
      <c r="M6120">
        <v>-0.1174608</v>
      </c>
      <c r="N6120">
        <v>0</v>
      </c>
      <c r="O6120">
        <v>-0.99299479999999996</v>
      </c>
      <c r="P6120">
        <v>-0.12621499999999999</v>
      </c>
      <c r="Q6120">
        <v>-5.0801969999999998E-3</v>
      </c>
      <c r="R6120">
        <v>-0.99198989999999998</v>
      </c>
      <c r="S6120">
        <v>-0.42747499999999999</v>
      </c>
      <c r="T6120">
        <v>-0.1561227</v>
      </c>
      <c r="U6120">
        <v>-2.9689640000000002</v>
      </c>
      <c r="V6120">
        <v>8.7951990000000001E-3</v>
      </c>
      <c r="W6120">
        <v>7.7593189999999998E-3</v>
      </c>
      <c r="X6120">
        <v>0.99993120000000002</v>
      </c>
      <c r="Y6120">
        <v>2.5061569999999998E-2</v>
      </c>
      <c r="Z6120">
        <v>5.169501E-2</v>
      </c>
      <c r="AA6120">
        <v>0.99834840000000002</v>
      </c>
      <c r="AB6120">
        <v>16</v>
      </c>
      <c r="AC6120">
        <v>-3.03419999999999</v>
      </c>
      <c r="AD6120">
        <v>-1.1113117631409899</v>
      </c>
      <c r="AE6120">
        <v>-21.051500000000001</v>
      </c>
      <c r="AF6120">
        <v>0.53879222377606995</v>
      </c>
      <c r="AG6120">
        <v>-1.1113117631409899</v>
      </c>
      <c r="AH6120">
        <v>21.204286725597001</v>
      </c>
      <c r="AI6120">
        <v>92.999147402830005</v>
      </c>
      <c r="AJ6120">
        <v>88.544450959061095</v>
      </c>
      <c r="AK6120">
        <v>21.240223314189201</v>
      </c>
      <c r="AL6120">
        <v>89.555419300909705</v>
      </c>
      <c r="AM6120">
        <v>89.496050540650501</v>
      </c>
      <c r="AN6120">
        <v>0.999999983645116</v>
      </c>
    </row>
    <row r="6121" spans="1:40" x14ac:dyDescent="0.25">
      <c r="A6121" t="str">
        <f>"20190312150815248"</f>
        <v>20190312150815248</v>
      </c>
      <c r="B6121" t="str">
        <f>"1552374495236487"</f>
        <v>1552374495236487</v>
      </c>
      <c r="C6121" t="s">
        <v>40</v>
      </c>
      <c r="D6121">
        <v>4.6813469999999997</v>
      </c>
      <c r="E6121">
        <v>0.50575909999999902</v>
      </c>
      <c r="F6121" t="s">
        <v>42</v>
      </c>
      <c r="G6121">
        <v>-194.8545</v>
      </c>
      <c r="H6121" s="1">
        <v>-4.6045289999999999E-6</v>
      </c>
      <c r="I6121">
        <v>167.0342</v>
      </c>
      <c r="J6121">
        <v>-191.76849999999999</v>
      </c>
      <c r="K6121">
        <v>1.111291</v>
      </c>
      <c r="L6121">
        <v>188.44630000000001</v>
      </c>
      <c r="M6121">
        <v>-0.1164646</v>
      </c>
      <c r="N6121">
        <v>0</v>
      </c>
      <c r="O6121">
        <v>-0.99311419999999995</v>
      </c>
      <c r="P6121">
        <v>-0.12631300000000001</v>
      </c>
      <c r="Q6121">
        <v>-4.7221959999999997E-3</v>
      </c>
      <c r="R6121">
        <v>-0.99197959999999996</v>
      </c>
      <c r="S6121">
        <v>-0.42747499999999999</v>
      </c>
      <c r="T6121">
        <v>-0.1535223</v>
      </c>
      <c r="U6121">
        <v>-2.969055</v>
      </c>
      <c r="V6121">
        <v>9.8962519999999995E-3</v>
      </c>
      <c r="W6121">
        <v>7.9757960000000003E-3</v>
      </c>
      <c r="X6121">
        <v>0.99991920000000001</v>
      </c>
      <c r="Y6121">
        <v>2.606667E-2</v>
      </c>
      <c r="Z6121">
        <v>5.0843029999999997E-2</v>
      </c>
      <c r="AA6121">
        <v>0.99836639999999999</v>
      </c>
      <c r="AB6121">
        <v>16</v>
      </c>
      <c r="AC6121">
        <v>-3.0860000000000101</v>
      </c>
      <c r="AD6121">
        <v>-1.1112956045289999</v>
      </c>
      <c r="AE6121">
        <v>-21.412099999999999</v>
      </c>
      <c r="AF6121">
        <v>0.56954157161055097</v>
      </c>
      <c r="AG6121">
        <v>-1.1112956045289999</v>
      </c>
      <c r="AH6121">
        <v>21.568885724238498</v>
      </c>
      <c r="AI6121">
        <v>92.948421541984402</v>
      </c>
      <c r="AJ6121">
        <v>88.487416203076293</v>
      </c>
      <c r="AK6121">
        <v>21.605003746995699</v>
      </c>
      <c r="AL6121">
        <v>89.5430156956742</v>
      </c>
      <c r="AM6121">
        <v>89.432959222717599</v>
      </c>
      <c r="AN6121">
        <v>0.99999997782705996</v>
      </c>
    </row>
    <row r="6122" spans="1:40" x14ac:dyDescent="0.25">
      <c r="A6122" t="str">
        <f>"20190312150815258"</f>
        <v>20190312150815258</v>
      </c>
      <c r="B6122" t="str">
        <f>"1552374495256006"</f>
        <v>1552374495256006</v>
      </c>
      <c r="C6122" t="s">
        <v>40</v>
      </c>
      <c r="D6122">
        <v>4.6851719999999997</v>
      </c>
      <c r="E6122">
        <v>0.50580379999999903</v>
      </c>
      <c r="F6122" t="s">
        <v>42</v>
      </c>
      <c r="G6122">
        <v>-194.91159999999999</v>
      </c>
      <c r="H6122" s="1">
        <v>-4.471237E-6</v>
      </c>
      <c r="I6122">
        <v>166.66069999999999</v>
      </c>
      <c r="J6122">
        <v>-191.77680000000001</v>
      </c>
      <c r="K6122">
        <v>1.1112949999999999</v>
      </c>
      <c r="L6122">
        <v>188.3655</v>
      </c>
      <c r="M6122">
        <v>-0.11545569999999999</v>
      </c>
      <c r="N6122">
        <v>0</v>
      </c>
      <c r="O6122">
        <v>-0.99323269999999997</v>
      </c>
      <c r="P6122">
        <v>-0.12633639999999999</v>
      </c>
      <c r="Q6122">
        <v>-4.3991400000000002E-3</v>
      </c>
      <c r="R6122">
        <v>-0.99197769999999996</v>
      </c>
      <c r="S6122">
        <v>-0.42834470000000002</v>
      </c>
      <c r="T6122">
        <v>-0.15144939999999901</v>
      </c>
      <c r="U6122">
        <v>-2.968979</v>
      </c>
      <c r="V6122">
        <v>1.093482E-2</v>
      </c>
      <c r="W6122">
        <v>8.2194529999999998E-3</v>
      </c>
      <c r="X6122">
        <v>0.99990639999999997</v>
      </c>
      <c r="Y6122">
        <v>2.73773E-2</v>
      </c>
      <c r="Z6122">
        <v>5.0166559999999999E-2</v>
      </c>
      <c r="AA6122">
        <v>0.99836559999999996</v>
      </c>
      <c r="AB6122">
        <v>16</v>
      </c>
      <c r="AC6122">
        <v>-3.1347999999999798</v>
      </c>
      <c r="AD6122">
        <v>-1.1112994712369999</v>
      </c>
      <c r="AE6122">
        <v>-21.704799999999999</v>
      </c>
      <c r="AF6122">
        <v>0.60613472209414498</v>
      </c>
      <c r="AG6122">
        <v>-1.1112994712369999</v>
      </c>
      <c r="AH6122">
        <v>21.865439016521499</v>
      </c>
      <c r="AI6122">
        <v>92.908409080044706</v>
      </c>
      <c r="AJ6122">
        <v>88.412102793230403</v>
      </c>
      <c r="AK6122">
        <v>21.902050342406799</v>
      </c>
      <c r="AL6122">
        <v>89.529054715802999</v>
      </c>
      <c r="AM6122">
        <v>89.373447292835195</v>
      </c>
      <c r="AN6122">
        <v>0.99999996922850498</v>
      </c>
    </row>
    <row r="6123" spans="1:40" x14ac:dyDescent="0.25">
      <c r="A6123" t="str">
        <f>"20190312150815276"</f>
        <v>20190312150815276</v>
      </c>
      <c r="B6123" t="str">
        <f>"1552374495265766"</f>
        <v>1552374495265766</v>
      </c>
      <c r="C6123" t="s">
        <v>40</v>
      </c>
      <c r="D6123">
        <v>4.678903</v>
      </c>
      <c r="E6123">
        <v>0.50580379999999903</v>
      </c>
      <c r="F6123" t="s">
        <v>42</v>
      </c>
      <c r="G6123">
        <v>-194.95429999999999</v>
      </c>
      <c r="H6123" s="1">
        <v>-4.361296E-6</v>
      </c>
      <c r="I6123">
        <v>166.35470000000001</v>
      </c>
      <c r="J6123">
        <v>-191.7886</v>
      </c>
      <c r="K6123">
        <v>1.111316</v>
      </c>
      <c r="L6123">
        <v>188.2492</v>
      </c>
      <c r="M6123">
        <v>-0.11399430000000001</v>
      </c>
      <c r="N6123">
        <v>0</v>
      </c>
      <c r="O6123">
        <v>-0.99340209999999995</v>
      </c>
      <c r="P6123">
        <v>-0.12700719999999999</v>
      </c>
      <c r="Q6123">
        <v>-4.1418380000000001E-3</v>
      </c>
      <c r="R6123">
        <v>-0.99189309999999997</v>
      </c>
      <c r="S6123">
        <v>-0.42860409999999999</v>
      </c>
      <c r="T6123">
        <v>-0.1499017</v>
      </c>
      <c r="U6123">
        <v>-2.9690089999999998</v>
      </c>
      <c r="V6123">
        <v>1.308132E-2</v>
      </c>
      <c r="W6123">
        <v>8.4478490000000003E-3</v>
      </c>
      <c r="X6123">
        <v>0.99987879999999996</v>
      </c>
      <c r="Y6123">
        <v>2.893561E-2</v>
      </c>
      <c r="Z6123">
        <v>4.9665939999999999E-2</v>
      </c>
      <c r="AA6123">
        <v>0.99834659999999997</v>
      </c>
      <c r="AB6123">
        <v>16</v>
      </c>
      <c r="AC6123">
        <v>-3.1656999999999802</v>
      </c>
      <c r="AD6123">
        <v>-1.1113203612960001</v>
      </c>
      <c r="AE6123">
        <v>-21.894499999999901</v>
      </c>
      <c r="AF6123">
        <v>0.64738221830106302</v>
      </c>
      <c r="AG6123">
        <v>-1.1113203612960001</v>
      </c>
      <c r="AH6123">
        <v>22.056992904410599</v>
      </c>
      <c r="AI6123">
        <v>92.883114207272499</v>
      </c>
      <c r="AJ6123">
        <v>88.318826891491796</v>
      </c>
      <c r="AK6123">
        <v>22.094457962738598</v>
      </c>
      <c r="AL6123">
        <v>89.515968173603</v>
      </c>
      <c r="AM6123">
        <v>89.250447485714602</v>
      </c>
      <c r="AN6123">
        <v>1.00000005088755</v>
      </c>
    </row>
    <row r="6124" spans="1:40" x14ac:dyDescent="0.25">
      <c r="A6124" t="str">
        <f>"20190312150815287"</f>
        <v>20190312150815287</v>
      </c>
      <c r="B6124" t="str">
        <f>"1552374495276502"</f>
        <v>1552374495276502</v>
      </c>
      <c r="C6124" t="s">
        <v>40</v>
      </c>
      <c r="D6124">
        <v>5.0622530000000001</v>
      </c>
      <c r="E6124">
        <v>0.48095250000000001</v>
      </c>
      <c r="F6124" t="s">
        <v>42</v>
      </c>
      <c r="G6124">
        <v>-194.99799999999999</v>
      </c>
      <c r="H6124" s="1">
        <v>-4.2827170000000004E-6</v>
      </c>
      <c r="I6124">
        <v>166.12989999999999</v>
      </c>
      <c r="J6124">
        <v>-191.79650000000001</v>
      </c>
      <c r="K6124">
        <v>1.111335</v>
      </c>
      <c r="L6124">
        <v>188.1711</v>
      </c>
      <c r="M6124">
        <v>-0.1130038</v>
      </c>
      <c r="N6124">
        <v>0</v>
      </c>
      <c r="O6124">
        <v>-0.99351509999999998</v>
      </c>
      <c r="P6124">
        <v>-0.12717999999999999</v>
      </c>
      <c r="Q6124">
        <v>-4.060218E-3</v>
      </c>
      <c r="R6124">
        <v>-0.99187139999999996</v>
      </c>
      <c r="S6124">
        <v>-0.43074040000000002</v>
      </c>
      <c r="T6124">
        <v>-0.14915439999999999</v>
      </c>
      <c r="U6124">
        <v>-2.9687190000000001</v>
      </c>
      <c r="V6124">
        <v>1.425188E-2</v>
      </c>
      <c r="W6124">
        <v>8.5346290000000002E-3</v>
      </c>
      <c r="X6124">
        <v>0.99986200000000003</v>
      </c>
      <c r="Y6124">
        <v>3.065126E-2</v>
      </c>
      <c r="Z6124">
        <v>4.9428359999999998E-2</v>
      </c>
      <c r="AA6124">
        <v>0.99830719999999995</v>
      </c>
      <c r="AB6124">
        <v>16</v>
      </c>
      <c r="AC6124">
        <v>-3.2014999999999798</v>
      </c>
      <c r="AD6124">
        <v>-1.1113392827170001</v>
      </c>
      <c r="AE6124">
        <v>-22.0412</v>
      </c>
      <c r="AF6124">
        <v>0.688339920088476</v>
      </c>
      <c r="AG6124">
        <v>-1.1113392827170001</v>
      </c>
      <c r="AH6124">
        <v>22.206515539187599</v>
      </c>
      <c r="AI6124">
        <v>92.863640569497093</v>
      </c>
      <c r="AJ6124">
        <v>88.224559447016702</v>
      </c>
      <c r="AK6124">
        <v>22.244959411944901</v>
      </c>
      <c r="AL6124">
        <v>89.510995835857898</v>
      </c>
      <c r="AM6124">
        <v>89.183370025799405</v>
      </c>
      <c r="AN6124">
        <v>0.99999998750985097</v>
      </c>
    </row>
    <row r="6125" spans="1:40" x14ac:dyDescent="0.25">
      <c r="A6125" t="str">
        <f>"20190312150815298"</f>
        <v>20190312150815298</v>
      </c>
      <c r="B6125" t="str">
        <f>"1552374495296022"</f>
        <v>1552374495296022</v>
      </c>
      <c r="C6125" t="s">
        <v>40</v>
      </c>
      <c r="D6125">
        <v>4.5660530000000001</v>
      </c>
      <c r="E6125">
        <v>0.46904309999999999</v>
      </c>
      <c r="F6125" t="s">
        <v>42</v>
      </c>
      <c r="G6125">
        <v>-193.39019999999999</v>
      </c>
      <c r="H6125" s="1">
        <v>-4.6600180000000003E-6</v>
      </c>
      <c r="I6125">
        <v>167.85509999999999</v>
      </c>
      <c r="J6125">
        <v>-191.8049</v>
      </c>
      <c r="K6125">
        <v>1.111356</v>
      </c>
      <c r="L6125">
        <v>188.0866</v>
      </c>
      <c r="M6125">
        <v>-0.1119188</v>
      </c>
      <c r="N6125">
        <v>0</v>
      </c>
      <c r="O6125">
        <v>-0.99363800000000002</v>
      </c>
      <c r="P6125">
        <v>-0.12706039999999999</v>
      </c>
      <c r="Q6125">
        <v>-3.9909330000000003E-3</v>
      </c>
      <c r="R6125">
        <v>-0.99188719999999997</v>
      </c>
      <c r="S6125">
        <v>-0.234848</v>
      </c>
      <c r="T6125">
        <v>-0.16376859999999999</v>
      </c>
      <c r="U6125">
        <v>-2.9937900000000002</v>
      </c>
      <c r="V6125">
        <v>1.5222889999999999E-2</v>
      </c>
      <c r="W6125">
        <v>8.6133059999999994E-3</v>
      </c>
      <c r="X6125">
        <v>0.99984709999999999</v>
      </c>
      <c r="Y6125">
        <v>-3.3986280000000001E-2</v>
      </c>
      <c r="Z6125">
        <v>5.4008970000000003E-2</v>
      </c>
      <c r="AA6125">
        <v>0.99796189999999996</v>
      </c>
      <c r="AB6125">
        <v>16</v>
      </c>
      <c r="AC6125">
        <v>-1.5852999999999799</v>
      </c>
      <c r="AD6125">
        <v>-1.1113606600179999</v>
      </c>
      <c r="AE6125">
        <v>-20.2315</v>
      </c>
      <c r="AF6125">
        <v>-0.68706462596705797</v>
      </c>
      <c r="AG6125">
        <v>-1.1113606600179999</v>
      </c>
      <c r="AH6125">
        <v>20.221165498489398</v>
      </c>
      <c r="AI6125">
        <v>93.144015771637299</v>
      </c>
      <c r="AJ6125">
        <v>91.9460186350111</v>
      </c>
      <c r="AK6125">
        <v>20.2633342378343</v>
      </c>
      <c r="AL6125">
        <v>89.506487852935606</v>
      </c>
      <c r="AM6125">
        <v>89.127726665708806</v>
      </c>
      <c r="AN6125">
        <v>1.0000000743993001</v>
      </c>
    </row>
    <row r="6126" spans="1:40" x14ac:dyDescent="0.25">
      <c r="A6126" t="str">
        <f>"20190312150815312"</f>
        <v>20190312150815312</v>
      </c>
      <c r="B6126" t="str">
        <f>"1552374495305784"</f>
        <v>1552374495305784</v>
      </c>
      <c r="C6126" t="s">
        <v>40</v>
      </c>
      <c r="D6126">
        <v>4.5719560000000001</v>
      </c>
      <c r="E6126">
        <v>0.4657288</v>
      </c>
      <c r="F6126" t="s">
        <v>42</v>
      </c>
      <c r="G6126">
        <v>-192.76439999999999</v>
      </c>
      <c r="H6126" s="1">
        <v>-4.4171630000000003E-6</v>
      </c>
      <c r="I6126">
        <v>167.51169999999999</v>
      </c>
      <c r="J6126">
        <v>-191.81399999999999</v>
      </c>
      <c r="K6126">
        <v>1.1113679999999999</v>
      </c>
      <c r="L6126">
        <v>187.99260000000001</v>
      </c>
      <c r="M6126">
        <v>-0.1106951</v>
      </c>
      <c r="N6126">
        <v>0</v>
      </c>
      <c r="O6126">
        <v>-0.99377519999999997</v>
      </c>
      <c r="P6126">
        <v>-0.1269391</v>
      </c>
      <c r="Q6126">
        <v>-3.957599E-3</v>
      </c>
      <c r="R6126">
        <v>-0.99190279999999997</v>
      </c>
      <c r="S6126">
        <v>-0.14018249999999999</v>
      </c>
      <c r="T6126">
        <v>-0.16236510000000001</v>
      </c>
      <c r="U6126">
        <v>-3.0059049999999998</v>
      </c>
      <c r="V6126">
        <v>1.6331640000000001E-2</v>
      </c>
      <c r="W6126">
        <v>8.6285649999999995E-3</v>
      </c>
      <c r="X6126">
        <v>0.99982939999999998</v>
      </c>
      <c r="Y6126">
        <v>-6.4351510000000001E-2</v>
      </c>
      <c r="Z6126">
        <v>5.3355409999999999E-2</v>
      </c>
      <c r="AA6126">
        <v>0.99649989999999999</v>
      </c>
      <c r="AB6126">
        <v>16</v>
      </c>
      <c r="AC6126">
        <v>-0.95039999999997304</v>
      </c>
      <c r="AD6126">
        <v>-1.1113724171629999</v>
      </c>
      <c r="AE6126">
        <v>-20.480899999999998</v>
      </c>
      <c r="AF6126">
        <v>-1.31888027521156</v>
      </c>
      <c r="AG6126">
        <v>-1.1113724171629999</v>
      </c>
      <c r="AH6126">
        <v>20.4002849851476</v>
      </c>
      <c r="AI6126">
        <v>93.111809465862507</v>
      </c>
      <c r="AJ6126">
        <v>93.699029545231895</v>
      </c>
      <c r="AK6126">
        <v>20.473060868009199</v>
      </c>
      <c r="AL6126">
        <v>89.505613508343501</v>
      </c>
      <c r="AM6126">
        <v>89.064189515040496</v>
      </c>
      <c r="AN6126">
        <v>1.0000000018516999</v>
      </c>
    </row>
    <row r="6127" spans="1:40" x14ac:dyDescent="0.25">
      <c r="A6127" t="str">
        <f>"20190312150815326"</f>
        <v>20190312150815326</v>
      </c>
      <c r="B6127" t="str">
        <f>"1552374495316518"</f>
        <v>1552374495316518</v>
      </c>
      <c r="C6127" t="s">
        <v>40</v>
      </c>
      <c r="D6127">
        <v>4.6932239999999998</v>
      </c>
      <c r="E6127">
        <v>0.46262249999999999</v>
      </c>
      <c r="F6127" t="s">
        <v>42</v>
      </c>
      <c r="G6127">
        <v>-192.60419999999999</v>
      </c>
      <c r="H6127" s="1">
        <v>-4.2037250000000001E-6</v>
      </c>
      <c r="I6127">
        <v>167.0299</v>
      </c>
      <c r="J6127">
        <v>-191.82320000000001</v>
      </c>
      <c r="K6127">
        <v>1.111378</v>
      </c>
      <c r="L6127">
        <v>187.89760000000001</v>
      </c>
      <c r="M6127">
        <v>-0.109447699999999</v>
      </c>
      <c r="N6127">
        <v>0</v>
      </c>
      <c r="O6127">
        <v>-0.99391399999999996</v>
      </c>
      <c r="P6127">
        <v>-0.12672249999999999</v>
      </c>
      <c r="Q6127">
        <v>-4.1551979999999997E-3</v>
      </c>
      <c r="R6127">
        <v>-0.99192979999999997</v>
      </c>
      <c r="S6127">
        <v>-0.1134338</v>
      </c>
      <c r="T6127">
        <v>-0.1595444</v>
      </c>
      <c r="U6127">
        <v>-3.0093230000000002</v>
      </c>
      <c r="V6127">
        <v>1.736876E-2</v>
      </c>
      <c r="W6127">
        <v>8.3925370000000003E-3</v>
      </c>
      <c r="X6127">
        <v>0.99981390000000003</v>
      </c>
      <c r="Y6127">
        <v>-7.1989280000000003E-2</v>
      </c>
      <c r="Z6127">
        <v>5.2378609999999999E-2</v>
      </c>
      <c r="AA6127">
        <v>0.9960291</v>
      </c>
      <c r="AB6127">
        <v>16</v>
      </c>
      <c r="AC6127">
        <v>-0.78099999999997705</v>
      </c>
      <c r="AD6127">
        <v>-1.1113822037250001</v>
      </c>
      <c r="AE6127">
        <v>-20.867699999999999</v>
      </c>
      <c r="AF6127">
        <v>-1.5035339108229799</v>
      </c>
      <c r="AG6127">
        <v>-1.1113822037250001</v>
      </c>
      <c r="AH6127">
        <v>20.768976036911202</v>
      </c>
      <c r="AI6127">
        <v>93.055090438011703</v>
      </c>
      <c r="AJ6127">
        <v>94.140605084107307</v>
      </c>
      <c r="AK6127">
        <v>20.852965022882099</v>
      </c>
      <c r="AL6127">
        <v>89.519137391807106</v>
      </c>
      <c r="AM6127">
        <v>89.004758232168598</v>
      </c>
      <c r="AN6127">
        <v>0.99999997156722098</v>
      </c>
    </row>
    <row r="6128" spans="1:40" x14ac:dyDescent="0.25">
      <c r="A6128" t="str">
        <f>"20190312150815339"</f>
        <v>20190312150815339</v>
      </c>
      <c r="B6128" t="str">
        <f>"1552374495336038"</f>
        <v>1552374495336038</v>
      </c>
      <c r="C6128" t="s">
        <v>40</v>
      </c>
      <c r="D6128">
        <v>4.5453599999999996</v>
      </c>
      <c r="E6128">
        <v>0.45982800000000001</v>
      </c>
      <c r="F6128" t="s">
        <v>42</v>
      </c>
      <c r="G6128">
        <v>-192.35599999999999</v>
      </c>
      <c r="H6128" s="1">
        <v>-7.0656880000000005E-7</v>
      </c>
      <c r="I6128">
        <v>169.7749</v>
      </c>
      <c r="J6128">
        <v>-191.83240000000001</v>
      </c>
      <c r="K6128">
        <v>1.111386</v>
      </c>
      <c r="L6128">
        <v>187.80199999999999</v>
      </c>
      <c r="M6128">
        <v>-0.1081886</v>
      </c>
      <c r="N6128">
        <v>0</v>
      </c>
      <c r="O6128">
        <v>-0.99405239999999995</v>
      </c>
      <c r="P6128">
        <v>-0.12633169999999999</v>
      </c>
      <c r="Q6128">
        <v>-4.2468360000000004E-3</v>
      </c>
      <c r="R6128">
        <v>-0.99197919999999995</v>
      </c>
      <c r="S6128">
        <v>-8.8546749999999994E-2</v>
      </c>
      <c r="T6128">
        <v>-0.18473039999999999</v>
      </c>
      <c r="U6128">
        <v>-3.0122990000000001</v>
      </c>
      <c r="V6128">
        <v>1.824141E-2</v>
      </c>
      <c r="W6128">
        <v>8.2423400000000008E-3</v>
      </c>
      <c r="X6128">
        <v>0.99979960000000001</v>
      </c>
      <c r="Y6128">
        <v>-7.8994339999999996E-2</v>
      </c>
      <c r="Z6128">
        <v>6.0563449999999998E-2</v>
      </c>
      <c r="AA6128">
        <v>0.99503359999999996</v>
      </c>
      <c r="AB6128">
        <v>16</v>
      </c>
      <c r="AC6128">
        <v>-0.52359999999998696</v>
      </c>
      <c r="AD6128">
        <v>-1.1113867065687999</v>
      </c>
      <c r="AE6128">
        <v>-18.027100000000001</v>
      </c>
      <c r="AF6128">
        <v>-1.42454185757415</v>
      </c>
      <c r="AG6128">
        <v>-1.1113867065687999</v>
      </c>
      <c r="AH6128">
        <v>17.909908218420799</v>
      </c>
      <c r="AI6128">
        <v>93.539745062195706</v>
      </c>
      <c r="AJ6128">
        <v>94.547692933923798</v>
      </c>
      <c r="AK6128">
        <v>18.000814212356499</v>
      </c>
      <c r="AL6128">
        <v>89.527743339744106</v>
      </c>
      <c r="AM6128">
        <v>88.954750674849905</v>
      </c>
      <c r="AN6128">
        <v>0.99999996268381097</v>
      </c>
    </row>
    <row r="6129" spans="1:40" x14ac:dyDescent="0.25">
      <c r="A6129" t="str">
        <f>"20190312150815356"</f>
        <v>20190312150815356</v>
      </c>
      <c r="B6129" t="str">
        <f>"1552374495345798"</f>
        <v>1552374495345798</v>
      </c>
      <c r="C6129" t="s">
        <v>40</v>
      </c>
      <c r="D6129">
        <v>4.551336</v>
      </c>
      <c r="E6129">
        <v>0.45871980000000001</v>
      </c>
      <c r="F6129" t="s">
        <v>42</v>
      </c>
      <c r="G6129">
        <v>-192.2218</v>
      </c>
      <c r="H6129" s="1">
        <v>-6.828893E-7</v>
      </c>
      <c r="I6129">
        <v>169.80289999999999</v>
      </c>
      <c r="J6129">
        <v>-191.84299999999999</v>
      </c>
      <c r="K6129">
        <v>1.1113999999999999</v>
      </c>
      <c r="L6129">
        <v>187.68860000000001</v>
      </c>
      <c r="M6129">
        <v>-0.10670259999999999</v>
      </c>
      <c r="N6129">
        <v>0</v>
      </c>
      <c r="O6129">
        <v>-0.99421389999999998</v>
      </c>
      <c r="P6129">
        <v>-0.12631709999999999</v>
      </c>
      <c r="Q6129">
        <v>-3.9926340000000001E-3</v>
      </c>
      <c r="R6129">
        <v>-0.99198229999999998</v>
      </c>
      <c r="S6129">
        <v>-6.5246579999999998E-2</v>
      </c>
      <c r="T6129">
        <v>-0.18617529999999999</v>
      </c>
      <c r="U6129">
        <v>-3.0151370000000002</v>
      </c>
      <c r="V6129">
        <v>1.9720310000000001E-2</v>
      </c>
      <c r="W6129">
        <v>8.444511E-3</v>
      </c>
      <c r="X6129">
        <v>0.99976989999999999</v>
      </c>
      <c r="Y6129">
        <v>-8.5214860000000003E-2</v>
      </c>
      <c r="Z6129">
        <v>6.0983089999999997E-2</v>
      </c>
      <c r="AA6129">
        <v>0.99449460000000001</v>
      </c>
      <c r="AB6129">
        <v>16</v>
      </c>
      <c r="AC6129">
        <v>-0.37880000000001202</v>
      </c>
      <c r="AD6129">
        <v>-1.1114006828892999</v>
      </c>
      <c r="AE6129">
        <v>-17.8857</v>
      </c>
      <c r="AF6129">
        <v>-1.52606996222391</v>
      </c>
      <c r="AG6129">
        <v>-1.1114006828892999</v>
      </c>
      <c r="AH6129">
        <v>17.7554687410633</v>
      </c>
      <c r="AI6129">
        <v>93.5686242231574</v>
      </c>
      <c r="AJ6129">
        <v>94.912458833878205</v>
      </c>
      <c r="AK6129">
        <v>17.8555529520204</v>
      </c>
      <c r="AL6129">
        <v>89.516159422009395</v>
      </c>
      <c r="AM6129">
        <v>88.869995953554906</v>
      </c>
      <c r="AN6129">
        <v>1.0000000266692599</v>
      </c>
    </row>
    <row r="6130" spans="1:40" x14ac:dyDescent="0.25">
      <c r="A6130" t="str">
        <f>"20190312150815369"</f>
        <v>20190312150815369</v>
      </c>
      <c r="B6130" t="str">
        <f>"1552374495366294"</f>
        <v>1552374495366294</v>
      </c>
      <c r="C6130" t="s">
        <v>40</v>
      </c>
      <c r="D6130">
        <v>4.5936890000000004</v>
      </c>
      <c r="E6130">
        <v>0.45739289999999999</v>
      </c>
      <c r="F6130" t="s">
        <v>42</v>
      </c>
      <c r="G6130">
        <v>-192.1712</v>
      </c>
      <c r="H6130" s="1">
        <v>-8.4012400000000004E-7</v>
      </c>
      <c r="I6130">
        <v>170.20079999999999</v>
      </c>
      <c r="J6130">
        <v>-191.85140000000001</v>
      </c>
      <c r="K6130">
        <v>1.111416</v>
      </c>
      <c r="L6130">
        <v>187.5968</v>
      </c>
      <c r="M6130">
        <v>-0.1054981</v>
      </c>
      <c r="N6130">
        <v>0</v>
      </c>
      <c r="O6130">
        <v>-0.99434290000000003</v>
      </c>
      <c r="P6130">
        <v>-0.12561710000000001</v>
      </c>
      <c r="Q6130">
        <v>-3.8491810000000001E-3</v>
      </c>
      <c r="R6130">
        <v>-0.9920715</v>
      </c>
      <c r="S6130">
        <v>-5.6610109999999998E-2</v>
      </c>
      <c r="T6130">
        <v>-0.19169149999999999</v>
      </c>
      <c r="U6130">
        <v>-3.016251</v>
      </c>
      <c r="V6130">
        <v>2.0225389999999999E-2</v>
      </c>
      <c r="W6130">
        <v>8.5589489999999997E-3</v>
      </c>
      <c r="X6130">
        <v>0.99975879999999995</v>
      </c>
      <c r="Y6130">
        <v>-8.68641E-2</v>
      </c>
      <c r="Z6130">
        <v>6.2769179999999994E-2</v>
      </c>
      <c r="AA6130">
        <v>0.99424080000000004</v>
      </c>
      <c r="AB6130">
        <v>16</v>
      </c>
      <c r="AC6130">
        <v>-0.31979999999998598</v>
      </c>
      <c r="AD6130">
        <v>-1.1114168401240001</v>
      </c>
      <c r="AE6130">
        <v>-17.396000000000001</v>
      </c>
      <c r="AF6130">
        <v>-1.5112032825223101</v>
      </c>
      <c r="AG6130">
        <v>-1.1114168401240001</v>
      </c>
      <c r="AH6130">
        <v>17.2622100888326</v>
      </c>
      <c r="AI6130">
        <v>93.669871584585593</v>
      </c>
      <c r="AJ6130">
        <v>95.003147641492404</v>
      </c>
      <c r="AK6130">
        <v>17.3638382826094</v>
      </c>
      <c r="AL6130">
        <v>89.509602352853193</v>
      </c>
      <c r="AM6130">
        <v>88.8410490251986</v>
      </c>
      <c r="AN6130">
        <v>0.99999999009303797</v>
      </c>
    </row>
    <row r="6131" spans="1:40" x14ac:dyDescent="0.25">
      <c r="A6131" t="str">
        <f>"20190312150815380"</f>
        <v>20190312150815380</v>
      </c>
      <c r="B6131" t="str">
        <f>"1552374495376055"</f>
        <v>1552374495376055</v>
      </c>
      <c r="C6131" t="s">
        <v>40</v>
      </c>
      <c r="D6131">
        <v>4.5852779999999997</v>
      </c>
      <c r="E6131">
        <v>0.45693620000000001</v>
      </c>
      <c r="F6131" t="s">
        <v>42</v>
      </c>
      <c r="G6131">
        <v>-192.1037</v>
      </c>
      <c r="H6131" s="1">
        <v>-8.9245450000000005E-7</v>
      </c>
      <c r="I6131">
        <v>170.3647</v>
      </c>
      <c r="J6131">
        <v>-191.85910000000001</v>
      </c>
      <c r="K6131">
        <v>1.1114310000000001</v>
      </c>
      <c r="L6131">
        <v>187.51259999999999</v>
      </c>
      <c r="M6131">
        <v>-0.10439180000000001</v>
      </c>
      <c r="N6131">
        <v>0</v>
      </c>
      <c r="O6131">
        <v>-0.99445989999999995</v>
      </c>
      <c r="P6131">
        <v>-0.12500269999999999</v>
      </c>
      <c r="Q6131">
        <v>-3.9765999999999899E-3</v>
      </c>
      <c r="R6131">
        <v>-0.9921489</v>
      </c>
      <c r="S6131">
        <v>-4.4174190000000002E-2</v>
      </c>
      <c r="T6131">
        <v>-0.19462950000000001</v>
      </c>
      <c r="U6131">
        <v>-3.0176539999999998</v>
      </c>
      <c r="V6131">
        <v>2.0718719999999999E-2</v>
      </c>
      <c r="W6131">
        <v>8.4201950000000001E-3</v>
      </c>
      <c r="X6131">
        <v>0.99974989999999997</v>
      </c>
      <c r="Y6131">
        <v>-8.9860999999999996E-2</v>
      </c>
      <c r="Z6131">
        <v>6.3702579999999995E-2</v>
      </c>
      <c r="AA6131">
        <v>0.99391499999999999</v>
      </c>
      <c r="AB6131">
        <v>16</v>
      </c>
      <c r="AC6131">
        <v>-0.24459999999999099</v>
      </c>
      <c r="AD6131">
        <v>-1.1114318924544999</v>
      </c>
      <c r="AE6131">
        <v>-17.1478999999999</v>
      </c>
      <c r="AF6131">
        <v>-1.54050251866095</v>
      </c>
      <c r="AG6131">
        <v>-1.1114318924544999</v>
      </c>
      <c r="AH6131">
        <v>17.008294209252401</v>
      </c>
      <c r="AI6131">
        <v>93.723562034405404</v>
      </c>
      <c r="AJ6131">
        <v>95.175363952586096</v>
      </c>
      <c r="AK6131">
        <v>17.1140439630747</v>
      </c>
      <c r="AL6131">
        <v>89.517552669470405</v>
      </c>
      <c r="AM6131">
        <v>88.812777763639104</v>
      </c>
      <c r="AN6131">
        <v>1.00000001379614</v>
      </c>
    </row>
    <row r="6132" spans="1:40" x14ac:dyDescent="0.25">
      <c r="A6132" t="str">
        <f>"20190312150815393"</f>
        <v>20190312150815393</v>
      </c>
      <c r="B6132" t="str">
        <f>"1552374495385814"</f>
        <v>1552374495385814</v>
      </c>
      <c r="C6132" t="s">
        <v>40</v>
      </c>
      <c r="D6132">
        <v>4.6072129999999998</v>
      </c>
      <c r="E6132">
        <v>0.45647149999999997</v>
      </c>
      <c r="F6132" t="s">
        <v>42</v>
      </c>
      <c r="G6132">
        <v>-192.07830000000001</v>
      </c>
      <c r="H6132" s="1">
        <v>-8.6925519999999904E-7</v>
      </c>
      <c r="I6132">
        <v>170.3263</v>
      </c>
      <c r="J6132">
        <v>-191.8664</v>
      </c>
      <c r="K6132">
        <v>1.11144</v>
      </c>
      <c r="L6132">
        <v>187.43029999999999</v>
      </c>
      <c r="M6132">
        <v>-0.10330159999999999</v>
      </c>
      <c r="N6132">
        <v>0</v>
      </c>
      <c r="O6132">
        <v>-0.99457359999999995</v>
      </c>
      <c r="P6132">
        <v>-0.12407020000000001</v>
      </c>
      <c r="Q6132">
        <v>-4.2145050000000003E-3</v>
      </c>
      <c r="R6132">
        <v>-0.99226490000000001</v>
      </c>
      <c r="S6132">
        <v>-3.8497919999999998E-2</v>
      </c>
      <c r="T6132">
        <v>-0.1951792</v>
      </c>
      <c r="U6132">
        <v>-3.0180820000000002</v>
      </c>
      <c r="V6132">
        <v>2.0875729999999999E-2</v>
      </c>
      <c r="W6132">
        <v>8.1770139999999998E-3</v>
      </c>
      <c r="X6132">
        <v>0.99974859999999999</v>
      </c>
      <c r="Y6132">
        <v>-9.0640299999999993E-2</v>
      </c>
      <c r="Z6132">
        <v>6.3882309999999998E-2</v>
      </c>
      <c r="AA6132">
        <v>0.99383259999999995</v>
      </c>
      <c r="AB6132">
        <v>16</v>
      </c>
      <c r="AC6132">
        <v>-0.21190000000001399</v>
      </c>
      <c r="AD6132">
        <v>-1.11144086925519</v>
      </c>
      <c r="AE6132">
        <v>-17.1039999999999</v>
      </c>
      <c r="AF6132">
        <v>-1.5496960997324101</v>
      </c>
      <c r="AG6132">
        <v>-1.11144086925519</v>
      </c>
      <c r="AH6132">
        <v>16.9627567462536</v>
      </c>
      <c r="AI6132">
        <v>93.733296270132499</v>
      </c>
      <c r="AJ6132">
        <v>95.219979748401897</v>
      </c>
      <c r="AK6132">
        <v>17.0696214146638</v>
      </c>
      <c r="AL6132">
        <v>89.531486369530199</v>
      </c>
      <c r="AM6132">
        <v>88.803781840062598</v>
      </c>
      <c r="AN6132">
        <v>0.99999996143147296</v>
      </c>
    </row>
    <row r="6133" spans="1:40" x14ac:dyDescent="0.25">
      <c r="A6133" t="str">
        <f>"20190312150815410"</f>
        <v>20190312150815410</v>
      </c>
      <c r="B6133" t="str">
        <f>"1552374495406310"</f>
        <v>1552374495406310</v>
      </c>
      <c r="C6133" t="s">
        <v>40</v>
      </c>
      <c r="D6133">
        <v>4.7206659999999996</v>
      </c>
      <c r="E6133">
        <v>0.45579389999999997</v>
      </c>
      <c r="F6133" t="s">
        <v>42</v>
      </c>
      <c r="G6133">
        <v>-192.04859999999999</v>
      </c>
      <c r="H6133" s="1">
        <v>-8.7628389999999896E-7</v>
      </c>
      <c r="I6133">
        <v>170.3612</v>
      </c>
      <c r="J6133">
        <v>-191.87700000000001</v>
      </c>
      <c r="K6133">
        <v>1.1114459999999999</v>
      </c>
      <c r="L6133">
        <v>187.31030000000001</v>
      </c>
      <c r="M6133">
        <v>-0.10170029999999999</v>
      </c>
      <c r="N6133">
        <v>0</v>
      </c>
      <c r="O6133">
        <v>-0.99473880000000003</v>
      </c>
      <c r="P6133">
        <v>-0.122735999999999</v>
      </c>
      <c r="Q6133">
        <v>-5.0946819999999997E-3</v>
      </c>
      <c r="R6133">
        <v>-0.99242649999999999</v>
      </c>
      <c r="S6133">
        <v>-3.2211299999999998E-2</v>
      </c>
      <c r="T6133">
        <v>-0.19654830000000001</v>
      </c>
      <c r="U6133">
        <v>-3.0185240000000002</v>
      </c>
      <c r="V6133">
        <v>2.1143619999999998E-2</v>
      </c>
      <c r="W6133">
        <v>7.2901249999999997E-3</v>
      </c>
      <c r="X6133">
        <v>0.99974989999999997</v>
      </c>
      <c r="Y6133">
        <v>-9.1108720000000004E-2</v>
      </c>
      <c r="Z6133">
        <v>6.4334580000000002E-2</v>
      </c>
      <c r="AA6133">
        <v>0.99376059999999999</v>
      </c>
      <c r="AB6133">
        <v>16</v>
      </c>
      <c r="AC6133">
        <v>-0.17159999999998299</v>
      </c>
      <c r="AD6133">
        <v>-1.1114468762838901</v>
      </c>
      <c r="AE6133">
        <v>-16.949100000000001</v>
      </c>
      <c r="AF6133">
        <v>-1.54649973354217</v>
      </c>
      <c r="AG6133">
        <v>-1.1114468762838901</v>
      </c>
      <c r="AH6133">
        <v>16.8063973313124</v>
      </c>
      <c r="AI6133">
        <v>93.767724566972404</v>
      </c>
      <c r="AJ6133">
        <v>95.257466896631499</v>
      </c>
      <c r="AK6133">
        <v>16.913957752181801</v>
      </c>
      <c r="AL6133">
        <v>89.582302918274294</v>
      </c>
      <c r="AM6133">
        <v>88.788437366289799</v>
      </c>
      <c r="AN6133">
        <v>1.00000003056961</v>
      </c>
    </row>
    <row r="6134" spans="1:40" x14ac:dyDescent="0.25">
      <c r="A6134" t="str">
        <f>"20190312150815420"</f>
        <v>20190312150815420</v>
      </c>
      <c r="B6134" t="str">
        <f>"1552374495416071"</f>
        <v>1552374495416071</v>
      </c>
      <c r="C6134" t="s">
        <v>40</v>
      </c>
      <c r="D6134">
        <v>4.6264500000000002</v>
      </c>
      <c r="E6134">
        <v>0.4556907</v>
      </c>
      <c r="F6134" t="s">
        <v>42</v>
      </c>
      <c r="G6134">
        <v>-192.0042</v>
      </c>
      <c r="H6134" s="1">
        <v>-8.2147649999999998E-7</v>
      </c>
      <c r="I6134">
        <v>170.26089999999999</v>
      </c>
      <c r="J6134">
        <v>-191.88390000000001</v>
      </c>
      <c r="K6134">
        <v>1.1114470000000001</v>
      </c>
      <c r="L6134">
        <v>187.23070000000001</v>
      </c>
      <c r="M6134">
        <v>-0.10063</v>
      </c>
      <c r="N6134">
        <v>0</v>
      </c>
      <c r="O6134">
        <v>-0.9948477</v>
      </c>
      <c r="P6134">
        <v>-0.1217246</v>
      </c>
      <c r="Q6134">
        <v>-5.2053430000000003E-3</v>
      </c>
      <c r="R6134">
        <v>-0.99255040000000005</v>
      </c>
      <c r="S6134">
        <v>-2.2521969999999999E-2</v>
      </c>
      <c r="T6134">
        <v>-0.1968154</v>
      </c>
      <c r="U6134">
        <v>-3.019104</v>
      </c>
      <c r="V6134">
        <v>2.1200790000000001E-2</v>
      </c>
      <c r="W6134">
        <v>7.1713949999999997E-3</v>
      </c>
      <c r="X6134">
        <v>0.99974949999999996</v>
      </c>
      <c r="Y6134">
        <v>-9.3228240000000004E-2</v>
      </c>
      <c r="Z6134">
        <v>6.4414429999999995E-2</v>
      </c>
      <c r="AA6134">
        <v>0.99355890000000002</v>
      </c>
      <c r="AB6134">
        <v>16</v>
      </c>
      <c r="AC6134">
        <v>-0.120299999999986</v>
      </c>
      <c r="AD6134">
        <v>-1.11144782147649</v>
      </c>
      <c r="AE6134">
        <v>-16.969799999999999</v>
      </c>
      <c r="AF6134">
        <v>-1.5813281762077001</v>
      </c>
      <c r="AG6134">
        <v>-1.11144782147649</v>
      </c>
      <c r="AH6134">
        <v>16.823589358585298</v>
      </c>
      <c r="AI6134">
        <v>93.763204765752604</v>
      </c>
      <c r="AJ6134">
        <v>95.369722654881301</v>
      </c>
      <c r="AK6134">
        <v>16.934257408195901</v>
      </c>
      <c r="AL6134">
        <v>89.589105804094999</v>
      </c>
      <c r="AM6134">
        <v>88.785161930003696</v>
      </c>
      <c r="AN6134">
        <v>0.99999998257655898</v>
      </c>
    </row>
    <row r="6135" spans="1:40" x14ac:dyDescent="0.25">
      <c r="A6135" t="str">
        <f>"20190312150815433"</f>
        <v>20190312150815433</v>
      </c>
      <c r="B6135" t="str">
        <f>"1552374495425830"</f>
        <v>1552374495425830</v>
      </c>
      <c r="C6135" t="s">
        <v>40</v>
      </c>
      <c r="D6135">
        <v>4.6216239999999997</v>
      </c>
      <c r="E6135">
        <v>0.45555699999999999</v>
      </c>
      <c r="F6135" t="s">
        <v>42</v>
      </c>
      <c r="G6135">
        <v>-191.98929999999999</v>
      </c>
      <c r="H6135" s="1">
        <v>-7.4816719999999896E-7</v>
      </c>
      <c r="I6135">
        <v>170.0993</v>
      </c>
      <c r="J6135">
        <v>-191.8912</v>
      </c>
      <c r="K6135">
        <v>1.1114470000000001</v>
      </c>
      <c r="L6135">
        <v>187.14500000000001</v>
      </c>
      <c r="M6135">
        <v>-9.9472080000000004E-2</v>
      </c>
      <c r="N6135">
        <v>0</v>
      </c>
      <c r="O6135">
        <v>-0.99496410000000002</v>
      </c>
      <c r="P6135">
        <v>-0.12030920000000001</v>
      </c>
      <c r="Q6135">
        <v>-5.214359E-3</v>
      </c>
      <c r="R6135">
        <v>-0.99272269999999896</v>
      </c>
      <c r="S6135">
        <v>-1.8585210000000001E-2</v>
      </c>
      <c r="T6135">
        <v>-0.1958802</v>
      </c>
      <c r="U6135">
        <v>-3.0192260000000002</v>
      </c>
      <c r="V6135">
        <v>2.0938910000000002E-2</v>
      </c>
      <c r="W6135">
        <v>7.1489830000000002E-3</v>
      </c>
      <c r="X6135">
        <v>0.99975519999999996</v>
      </c>
      <c r="Y6135">
        <v>-9.3365039999999996E-2</v>
      </c>
      <c r="Z6135">
        <v>6.41182E-2</v>
      </c>
      <c r="AA6135">
        <v>0.99356520000000004</v>
      </c>
      <c r="AB6135">
        <v>16</v>
      </c>
      <c r="AC6135">
        <v>-9.8099999999988002E-2</v>
      </c>
      <c r="AD6135">
        <v>-1.1114477481671901</v>
      </c>
      <c r="AE6135">
        <v>-17.0457</v>
      </c>
      <c r="AF6135">
        <v>-1.5913211363991799</v>
      </c>
      <c r="AG6135">
        <v>-1.1114477481671901</v>
      </c>
      <c r="AH6135">
        <v>16.8990604369457</v>
      </c>
      <c r="AI6135">
        <v>93.746386280410206</v>
      </c>
      <c r="AJ6135">
        <v>95.379465662628604</v>
      </c>
      <c r="AK6135">
        <v>17.010169390914399</v>
      </c>
      <c r="AL6135">
        <v>89.590389958378694</v>
      </c>
      <c r="AM6135">
        <v>88.800170483819898</v>
      </c>
      <c r="AN6135">
        <v>1.0000000029184799</v>
      </c>
    </row>
    <row r="6136" spans="1:40" x14ac:dyDescent="0.25">
      <c r="A6136" t="str">
        <f>"20190312150815445"</f>
        <v>20190312150815445</v>
      </c>
      <c r="B6136" t="str">
        <f>"1552374495436566"</f>
        <v>1552374495436566</v>
      </c>
      <c r="C6136" t="s">
        <v>40</v>
      </c>
      <c r="D6136">
        <v>4.5989529999999998</v>
      </c>
      <c r="E6136">
        <v>0.45544050000000003</v>
      </c>
      <c r="F6136" t="s">
        <v>42</v>
      </c>
      <c r="G6136">
        <v>-191.96559999999999</v>
      </c>
      <c r="H6136" s="1">
        <v>-6.9685840000000003E-7</v>
      </c>
      <c r="I6136">
        <v>169.99440000000001</v>
      </c>
      <c r="J6136">
        <v>-191.89830000000001</v>
      </c>
      <c r="K6136">
        <v>1.111448</v>
      </c>
      <c r="L6136">
        <v>187.0609</v>
      </c>
      <c r="M6136">
        <v>-9.8333429999999999E-2</v>
      </c>
      <c r="N6136">
        <v>0</v>
      </c>
      <c r="O6136">
        <v>-0.99507780000000001</v>
      </c>
      <c r="P6136">
        <v>-0.1189255</v>
      </c>
      <c r="Q6136">
        <v>-4.9706180000000004E-3</v>
      </c>
      <c r="R6136">
        <v>-0.99289110000000003</v>
      </c>
      <c r="S6136">
        <v>-1.31072999999999E-2</v>
      </c>
      <c r="T6136">
        <v>-0.1956716</v>
      </c>
      <c r="U6136">
        <v>-3.0193940000000001</v>
      </c>
      <c r="V6136">
        <v>2.068886E-2</v>
      </c>
      <c r="W6136">
        <v>7.3783379999999999E-3</v>
      </c>
      <c r="X6136">
        <v>0.9997587</v>
      </c>
      <c r="Y6136">
        <v>-9.402845E-2</v>
      </c>
      <c r="Z6136">
        <v>6.4055870000000001E-2</v>
      </c>
      <c r="AA6136">
        <v>0.99350669999999996</v>
      </c>
      <c r="AB6136">
        <v>16</v>
      </c>
      <c r="AC6136">
        <v>-6.7299999999988799E-2</v>
      </c>
      <c r="AD6136">
        <v>-1.1114486968583901</v>
      </c>
      <c r="AE6136">
        <v>-17.066499999999898</v>
      </c>
      <c r="AF6136">
        <v>-1.6045550234557899</v>
      </c>
      <c r="AG6136">
        <v>-1.1114486968583901</v>
      </c>
      <c r="AH6136">
        <v>16.918639052419199</v>
      </c>
      <c r="AI6136">
        <v>93.741831095990506</v>
      </c>
      <c r="AJ6136">
        <v>95.417697817491003</v>
      </c>
      <c r="AK6136">
        <v>17.030862057309001</v>
      </c>
      <c r="AL6136">
        <v>89.577248521538607</v>
      </c>
      <c r="AM6136">
        <v>88.8144987420619</v>
      </c>
      <c r="AN6136">
        <v>0.99999996351271503</v>
      </c>
    </row>
    <row r="6137" spans="1:40" x14ac:dyDescent="0.25">
      <c r="A6137" t="str">
        <f>"20190312150815457"</f>
        <v>20190312150815457</v>
      </c>
      <c r="B6137" t="str">
        <f>"1552374495446338"</f>
        <v>1552374495446338</v>
      </c>
      <c r="C6137" t="s">
        <v>40</v>
      </c>
      <c r="D6137">
        <v>4.6103909999999999</v>
      </c>
      <c r="E6137">
        <v>0.45535809999999999</v>
      </c>
      <c r="F6137" t="s">
        <v>42</v>
      </c>
      <c r="G6137">
        <v>-191.9451</v>
      </c>
      <c r="H6137" s="1">
        <v>-6.1626369999999996E-7</v>
      </c>
      <c r="I6137">
        <v>169.8193</v>
      </c>
      <c r="J6137">
        <v>-191.905</v>
      </c>
      <c r="K6137">
        <v>1.1114470000000001</v>
      </c>
      <c r="L6137">
        <v>186.97929999999999</v>
      </c>
      <c r="M6137">
        <v>-9.7225549999999994E-2</v>
      </c>
      <c r="N6137">
        <v>0</v>
      </c>
      <c r="O6137">
        <v>-0.99518660000000003</v>
      </c>
      <c r="P6137">
        <v>-0.1176827</v>
      </c>
      <c r="Q6137">
        <v>-4.7482760000000001E-3</v>
      </c>
      <c r="R6137">
        <v>-0.99304029999999999</v>
      </c>
      <c r="S6137">
        <v>-8.1939700000000001E-3</v>
      </c>
      <c r="T6137">
        <v>-0.1946476</v>
      </c>
      <c r="U6137">
        <v>-3.0195310000000002</v>
      </c>
      <c r="V6137">
        <v>2.0549939999999999E-2</v>
      </c>
      <c r="W6137">
        <v>7.5886159999999899E-3</v>
      </c>
      <c r="X6137">
        <v>0.99975999999999998</v>
      </c>
      <c r="Y6137">
        <v>-9.4536830000000002E-2</v>
      </c>
      <c r="Z6137">
        <v>6.3728270000000004E-2</v>
      </c>
      <c r="AA6137">
        <v>0.99347949999999996</v>
      </c>
      <c r="AB6137">
        <v>16</v>
      </c>
      <c r="AC6137">
        <v>-4.0099999999995299E-2</v>
      </c>
      <c r="AD6137">
        <v>-1.1114476162636999</v>
      </c>
      <c r="AE6137">
        <v>-17.159999999999901</v>
      </c>
      <c r="AF6137">
        <v>-1.6218026714418601</v>
      </c>
      <c r="AG6137">
        <v>-1.1114476162636999</v>
      </c>
      <c r="AH6137">
        <v>17.011225492774901</v>
      </c>
      <c r="AI6137">
        <v>93.721345277293807</v>
      </c>
      <c r="AJ6137">
        <v>95.445959437105202</v>
      </c>
      <c r="AK6137">
        <v>17.1244664873049</v>
      </c>
      <c r="AL6137">
        <v>89.565200145626605</v>
      </c>
      <c r="AM6137">
        <v>88.822458338497697</v>
      </c>
      <c r="AN6137">
        <v>0.99999997236339899</v>
      </c>
    </row>
    <row r="6138" spans="1:40" x14ac:dyDescent="0.25">
      <c r="A6138" t="str">
        <f>"20190312150815469"</f>
        <v>20190312150815469</v>
      </c>
      <c r="B6138" t="str">
        <f>"1552374495465846"</f>
        <v>1552374495465846</v>
      </c>
      <c r="C6138" t="s">
        <v>40</v>
      </c>
      <c r="D6138">
        <v>4.7060139999999997</v>
      </c>
      <c r="E6138">
        <v>0.45443729999999899</v>
      </c>
      <c r="F6138" t="s">
        <v>42</v>
      </c>
      <c r="G6138">
        <v>-191.92590000000001</v>
      </c>
      <c r="H6138" s="1">
        <v>-5.2784489999999998E-7</v>
      </c>
      <c r="I6138">
        <v>169.625</v>
      </c>
      <c r="J6138">
        <v>-191.9118</v>
      </c>
      <c r="K6138">
        <v>1.1114440000000001</v>
      </c>
      <c r="L6138">
        <v>186.89599999999999</v>
      </c>
      <c r="M6138">
        <v>-9.6093949999999997E-2</v>
      </c>
      <c r="N6138">
        <v>0</v>
      </c>
      <c r="O6138">
        <v>-0.99529659999999998</v>
      </c>
      <c r="P6138">
        <v>-0.1163698</v>
      </c>
      <c r="Q6138">
        <v>-4.7723069999999999E-3</v>
      </c>
      <c r="R6138">
        <v>-0.99319480000000004</v>
      </c>
      <c r="S6138">
        <v>-3.6315919999999999E-3</v>
      </c>
      <c r="T6138">
        <v>-0.19339139999999999</v>
      </c>
      <c r="U6138">
        <v>-3.019638</v>
      </c>
      <c r="V6138">
        <v>2.036518E-2</v>
      </c>
      <c r="W6138">
        <v>7.5538080000000004E-3</v>
      </c>
      <c r="X6138">
        <v>0.99976410000000004</v>
      </c>
      <c r="Y6138">
        <v>-9.4906019999999994E-2</v>
      </c>
      <c r="Z6138">
        <v>6.3325939999999997E-2</v>
      </c>
      <c r="AA6138">
        <v>0.99346999999999996</v>
      </c>
      <c r="AB6138">
        <v>16</v>
      </c>
      <c r="AC6138">
        <v>-1.41000000000133E-2</v>
      </c>
      <c r="AD6138">
        <v>-1.1114445278448899</v>
      </c>
      <c r="AE6138">
        <v>-17.270999999999901</v>
      </c>
      <c r="AF6138">
        <v>-1.63894147666152</v>
      </c>
      <c r="AG6138">
        <v>-1.1114445278448899</v>
      </c>
      <c r="AH6138">
        <v>17.1215114970427</v>
      </c>
      <c r="AI6138">
        <v>93.697296126616195</v>
      </c>
      <c r="AJ6138">
        <v>95.467927139940201</v>
      </c>
      <c r="AK6138">
        <v>17.235648930219099</v>
      </c>
      <c r="AL6138">
        <v>89.567194578466996</v>
      </c>
      <c r="AM6138">
        <v>88.833047200576402</v>
      </c>
      <c r="AN6138">
        <v>1.0000000281102699</v>
      </c>
    </row>
    <row r="6139" spans="1:40" x14ac:dyDescent="0.25">
      <c r="A6139" t="str">
        <f>"20190312150815483"</f>
        <v>20190312150815483</v>
      </c>
      <c r="B6139" t="str">
        <f>"1552374495476583"</f>
        <v>1552374495476583</v>
      </c>
      <c r="C6139" t="s">
        <v>40</v>
      </c>
      <c r="D6139">
        <v>4.6116830000000002</v>
      </c>
      <c r="E6139">
        <v>0.45428940000000001</v>
      </c>
      <c r="F6139" t="s">
        <v>42</v>
      </c>
      <c r="G6139">
        <v>-191.87219999999999</v>
      </c>
      <c r="H6139" s="1">
        <v>-9.2729560000000003E-7</v>
      </c>
      <c r="I6139">
        <v>170.58949999999999</v>
      </c>
      <c r="J6139">
        <v>-191.91970000000001</v>
      </c>
      <c r="K6139">
        <v>1.1114440000000001</v>
      </c>
      <c r="L6139">
        <v>186.7989</v>
      </c>
      <c r="M6139">
        <v>-9.4774810000000001E-2</v>
      </c>
      <c r="N6139">
        <v>0</v>
      </c>
      <c r="O6139">
        <v>-0.99542330000000001</v>
      </c>
      <c r="P6139">
        <v>-0.11485769999999999</v>
      </c>
      <c r="Q6139">
        <v>-4.949256E-3</v>
      </c>
      <c r="R6139">
        <v>-0.99336979999999997</v>
      </c>
      <c r="S6139">
        <v>7.339478E-3</v>
      </c>
      <c r="T6139">
        <v>-0.20587230000000001</v>
      </c>
      <c r="U6139">
        <v>-3.0204469999999999</v>
      </c>
      <c r="V6139">
        <v>2.016882E-2</v>
      </c>
      <c r="W6139">
        <v>7.3668930000000002E-3</v>
      </c>
      <c r="X6139">
        <v>0.99976940000000003</v>
      </c>
      <c r="Y6139">
        <v>-9.7194559999999999E-2</v>
      </c>
      <c r="Z6139">
        <v>6.738181E-2</v>
      </c>
      <c r="AA6139">
        <v>0.99298189999999997</v>
      </c>
      <c r="AB6139">
        <v>16</v>
      </c>
      <c r="AC6139">
        <v>4.7500000000013601E-2</v>
      </c>
      <c r="AD6139">
        <v>-1.1114449272956</v>
      </c>
      <c r="AE6139">
        <v>-16.209399999999999</v>
      </c>
      <c r="AF6139">
        <v>-1.5762336455670201</v>
      </c>
      <c r="AG6139">
        <v>-1.1114449272956</v>
      </c>
      <c r="AH6139">
        <v>16.056434453795099</v>
      </c>
      <c r="AI6139">
        <v>93.940880035981294</v>
      </c>
      <c r="AJ6139">
        <v>95.606667545492002</v>
      </c>
      <c r="AK6139">
        <v>16.171855481077198</v>
      </c>
      <c r="AL6139">
        <v>89.5779042850574</v>
      </c>
      <c r="AM6139">
        <v>88.844301956860903</v>
      </c>
      <c r="AN6139">
        <v>0.99999995279451104</v>
      </c>
    </row>
    <row r="6140" spans="1:40" x14ac:dyDescent="0.25">
      <c r="A6140" t="str">
        <f>"20190312150815495"</f>
        <v>20190312150815495</v>
      </c>
      <c r="B6140" t="str">
        <f>"1552374495486342"</f>
        <v>1552374495486342</v>
      </c>
      <c r="C6140" t="s">
        <v>40</v>
      </c>
      <c r="D6140">
        <v>4.6921019999999896</v>
      </c>
      <c r="E6140">
        <v>0.45393090000000003</v>
      </c>
      <c r="F6140" t="s">
        <v>42</v>
      </c>
      <c r="G6140">
        <v>-191.8485</v>
      </c>
      <c r="H6140" s="1">
        <v>-9.0704710000000003E-7</v>
      </c>
      <c r="I6140">
        <v>170.55690000000001</v>
      </c>
      <c r="J6140">
        <v>-191.9265</v>
      </c>
      <c r="K6140">
        <v>1.1114329999999999</v>
      </c>
      <c r="L6140">
        <v>186.7122</v>
      </c>
      <c r="M6140">
        <v>-9.3593369999999995E-2</v>
      </c>
      <c r="N6140">
        <v>0</v>
      </c>
      <c r="O6140">
        <v>-0.99553510000000001</v>
      </c>
      <c r="P6140">
        <v>-0.11374430000000001</v>
      </c>
      <c r="Q6140">
        <v>-4.96175E-3</v>
      </c>
      <c r="R6140">
        <v>-0.99349799999999999</v>
      </c>
      <c r="S6140">
        <v>1.3229370000000001E-2</v>
      </c>
      <c r="T6140">
        <v>-0.2066944</v>
      </c>
      <c r="U6140">
        <v>-3.020508</v>
      </c>
      <c r="V6140">
        <v>2.0235079999999999E-2</v>
      </c>
      <c r="W6140">
        <v>7.3478190000000002E-3</v>
      </c>
      <c r="X6140">
        <v>0.99976830000000005</v>
      </c>
      <c r="Y6140">
        <v>-9.7949480000000005E-2</v>
      </c>
      <c r="Z6140">
        <v>6.7656960000000002E-2</v>
      </c>
      <c r="AA6140">
        <v>0.99288889999999996</v>
      </c>
      <c r="AB6140">
        <v>16</v>
      </c>
      <c r="AC6140">
        <v>7.80000000000029E-2</v>
      </c>
      <c r="AD6140">
        <v>-1.1114339070471</v>
      </c>
      <c r="AE6140">
        <v>-16.155299999999901</v>
      </c>
      <c r="AF6140">
        <v>-1.5823111469245399</v>
      </c>
      <c r="AG6140">
        <v>-1.1114339070471</v>
      </c>
      <c r="AH6140">
        <v>16.001342202128999</v>
      </c>
      <c r="AI6140">
        <v>93.954090248961904</v>
      </c>
      <c r="AJ6140">
        <v>95.647399237309898</v>
      </c>
      <c r="AK6140">
        <v>16.1177525159388</v>
      </c>
      <c r="AL6140">
        <v>89.578997215857299</v>
      </c>
      <c r="AM6140">
        <v>88.840504937294497</v>
      </c>
      <c r="AN6140">
        <v>1.0000000512957701</v>
      </c>
    </row>
    <row r="6141" spans="1:40" x14ac:dyDescent="0.25">
      <c r="A6141" t="str">
        <f>"20190312150815510"</f>
        <v>20190312150815510</v>
      </c>
      <c r="B6141" t="str">
        <f>"1552374495505862"</f>
        <v>1552374495505862</v>
      </c>
      <c r="C6141" t="s">
        <v>40</v>
      </c>
      <c r="D6141">
        <v>4.6913539999999996</v>
      </c>
      <c r="E6141">
        <v>0.45360270000000003</v>
      </c>
      <c r="F6141" t="s">
        <v>42</v>
      </c>
      <c r="G6141">
        <v>-191.82470000000001</v>
      </c>
      <c r="H6141" s="1">
        <v>-1.0292790000000001E-6</v>
      </c>
      <c r="I6141">
        <v>170.85659999999999</v>
      </c>
      <c r="J6141">
        <v>-191.93469999999999</v>
      </c>
      <c r="K6141">
        <v>1.1114660000000001</v>
      </c>
      <c r="L6141">
        <v>186.60669999999999</v>
      </c>
      <c r="M6141">
        <v>-9.2208990000000005E-2</v>
      </c>
      <c r="N6141">
        <v>0</v>
      </c>
      <c r="O6141">
        <v>-0.99566060000000001</v>
      </c>
      <c r="P6141">
        <v>-0.112545699999999</v>
      </c>
      <c r="Q6141">
        <v>-5.7652989999999998E-3</v>
      </c>
      <c r="R6141">
        <v>-0.99363029999999997</v>
      </c>
      <c r="S6141">
        <v>1.9393919999999999E-2</v>
      </c>
      <c r="T6141">
        <v>-0.21174879999999999</v>
      </c>
      <c r="U6141">
        <v>-3.0207820000000001</v>
      </c>
      <c r="V6141">
        <v>2.0421100000000001E-2</v>
      </c>
      <c r="W6141">
        <v>6.8433390000000004E-3</v>
      </c>
      <c r="X6141">
        <v>0.99976799999999999</v>
      </c>
      <c r="Y6141">
        <v>-9.8590979999999995E-2</v>
      </c>
      <c r="Z6141">
        <v>6.9308069999999999E-2</v>
      </c>
      <c r="AA6141">
        <v>0.99271149999999997</v>
      </c>
      <c r="AB6141">
        <v>16</v>
      </c>
      <c r="AC6141">
        <v>0.109999999999985</v>
      </c>
      <c r="AD6141">
        <v>-1.1114670292790001</v>
      </c>
      <c r="AE6141">
        <v>-15.7501</v>
      </c>
      <c r="AF6141">
        <v>-1.55420694241582</v>
      </c>
      <c r="AG6141">
        <v>-1.1114670292790001</v>
      </c>
      <c r="AH6141">
        <v>15.595185357710999</v>
      </c>
      <c r="AI6141">
        <v>94.056543196855202</v>
      </c>
      <c r="AJ6141">
        <v>95.691271222570904</v>
      </c>
      <c r="AK6141">
        <v>15.711802077368199</v>
      </c>
      <c r="AL6141">
        <v>89.607902478733806</v>
      </c>
      <c r="AM6141">
        <v>88.829848360849297</v>
      </c>
      <c r="AN6141">
        <v>0.99999995321893798</v>
      </c>
    </row>
    <row r="6142" spans="1:40" x14ac:dyDescent="0.25">
      <c r="A6142" t="str">
        <f>"20190312150815527"</f>
        <v>20190312150815527</v>
      </c>
      <c r="B6142" t="str">
        <f>"1552374495516598"</f>
        <v>1552374495516598</v>
      </c>
      <c r="C6142" t="s">
        <v>40</v>
      </c>
      <c r="D6142">
        <v>4.6067809999999998</v>
      </c>
      <c r="E6142">
        <v>0.45357249999999999</v>
      </c>
      <c r="F6142" t="s">
        <v>42</v>
      </c>
      <c r="G6142">
        <v>-191.80600000000001</v>
      </c>
      <c r="H6142" s="1">
        <v>-1.2324250000000001E-6</v>
      </c>
      <c r="I6142">
        <v>171.34180000000001</v>
      </c>
      <c r="J6142">
        <v>-191.94300000000001</v>
      </c>
      <c r="K6142">
        <v>1.1115919999999999</v>
      </c>
      <c r="L6142">
        <v>186.49860000000001</v>
      </c>
      <c r="M6142">
        <v>-9.0879429999999997E-2</v>
      </c>
      <c r="N6142">
        <v>0</v>
      </c>
      <c r="O6142">
        <v>-0.9957722</v>
      </c>
      <c r="P6142">
        <v>-0.1114516</v>
      </c>
      <c r="Q6142">
        <v>-6.8735439999999997E-3</v>
      </c>
      <c r="R6142">
        <v>-0.99374629999999997</v>
      </c>
      <c r="S6142">
        <v>2.5466920000000001E-2</v>
      </c>
      <c r="T6142">
        <v>-0.2199526</v>
      </c>
      <c r="U6142">
        <v>-3.0208439999999999</v>
      </c>
      <c r="V6142">
        <v>2.0657149999999999E-2</v>
      </c>
      <c r="W6142">
        <v>6.5467529999999998E-3</v>
      </c>
      <c r="X6142">
        <v>0.99976520000000002</v>
      </c>
      <c r="Y6142">
        <v>-9.9256960000000005E-2</v>
      </c>
      <c r="Z6142">
        <v>7.1988280000000002E-2</v>
      </c>
      <c r="AA6142">
        <v>0.99245439999999996</v>
      </c>
      <c r="AB6142">
        <v>16</v>
      </c>
      <c r="AC6142">
        <v>0.13700000000000001</v>
      </c>
      <c r="AD6142">
        <v>-1.111593232425</v>
      </c>
      <c r="AE6142">
        <v>-15.1568</v>
      </c>
      <c r="AF6142">
        <v>-1.50589828091819</v>
      </c>
      <c r="AG6142">
        <v>-1.111593232425</v>
      </c>
      <c r="AH6142">
        <v>15.0009380144984</v>
      </c>
      <c r="AI6142">
        <v>94.216844843872096</v>
      </c>
      <c r="AJ6142">
        <v>95.732542881643695</v>
      </c>
      <c r="AK6142">
        <v>15.1172586953346</v>
      </c>
      <c r="AL6142">
        <v>89.624896010241798</v>
      </c>
      <c r="AM6142">
        <v>88.816322946607102</v>
      </c>
      <c r="AN6142">
        <v>1.0000000164759999</v>
      </c>
    </row>
    <row r="6143" spans="1:40" x14ac:dyDescent="0.25">
      <c r="A6143" t="str">
        <f>"20190312150815541"</f>
        <v>20190312150815541</v>
      </c>
      <c r="B6143" t="str">
        <f>"1552374495536118"</f>
        <v>1552374495536118</v>
      </c>
      <c r="C6143" t="s">
        <v>40</v>
      </c>
      <c r="D6143">
        <v>4.6010369999999998</v>
      </c>
      <c r="E6143">
        <v>0.45347399999999999</v>
      </c>
      <c r="F6143" t="s">
        <v>42</v>
      </c>
      <c r="G6143">
        <v>-191.79929999999999</v>
      </c>
      <c r="H6143" s="1">
        <v>-1.296791E-6</v>
      </c>
      <c r="I6143">
        <v>171.49599999999899</v>
      </c>
      <c r="J6143">
        <v>-191.95060000000001</v>
      </c>
      <c r="K6143">
        <v>1.1117330000000001</v>
      </c>
      <c r="L6143">
        <v>186.39869999999999</v>
      </c>
      <c r="M6143">
        <v>-8.9714370000000002E-2</v>
      </c>
      <c r="N6143">
        <v>0</v>
      </c>
      <c r="O6143">
        <v>-0.99586300000000005</v>
      </c>
      <c r="P6143">
        <v>-0.11066810000000001</v>
      </c>
      <c r="Q6143">
        <v>-8.1278300000000008E-3</v>
      </c>
      <c r="R6143">
        <v>-0.99382479999999995</v>
      </c>
      <c r="S6143">
        <v>2.894592E-2</v>
      </c>
      <c r="T6143">
        <v>-0.2238058</v>
      </c>
      <c r="U6143">
        <v>-3.0205839999999999</v>
      </c>
      <c r="V6143">
        <v>2.1040369999999999E-2</v>
      </c>
      <c r="W6143">
        <v>6.353638E-3</v>
      </c>
      <c r="X6143">
        <v>0.99975840000000005</v>
      </c>
      <c r="Y6143">
        <v>-9.9236939999999996E-2</v>
      </c>
      <c r="Z6143">
        <v>7.3260220000000001E-2</v>
      </c>
      <c r="AA6143">
        <v>0.99236329999999995</v>
      </c>
      <c r="AB6143">
        <v>15</v>
      </c>
      <c r="AC6143">
        <v>0.15130000000002</v>
      </c>
      <c r="AD6143">
        <v>-1.111734296791</v>
      </c>
      <c r="AE6143">
        <v>-14.902699999999999</v>
      </c>
      <c r="AF6143">
        <v>-1.47958215870969</v>
      </c>
      <c r="AG6143">
        <v>-1.111734296791</v>
      </c>
      <c r="AH6143">
        <v>14.746957982600801</v>
      </c>
      <c r="AI6143">
        <v>94.289766751013303</v>
      </c>
      <c r="AJ6143">
        <v>95.729389337301498</v>
      </c>
      <c r="AK6143">
        <v>14.862633893480201</v>
      </c>
      <c r="AL6143">
        <v>89.635960894932495</v>
      </c>
      <c r="AM6143">
        <v>88.794362250312901</v>
      </c>
      <c r="AN6143">
        <v>0.99999996212806497</v>
      </c>
    </row>
    <row r="6144" spans="1:40" x14ac:dyDescent="0.25">
      <c r="A6144" t="str">
        <f>"20190312150815557"</f>
        <v>20190312150815557</v>
      </c>
      <c r="B6144" t="str">
        <f>"1552374495545879"</f>
        <v>1552374495545879</v>
      </c>
      <c r="C6144" t="s">
        <v>40</v>
      </c>
      <c r="D6144">
        <v>4.6046329999999998</v>
      </c>
      <c r="E6144">
        <v>0.45342189999999999</v>
      </c>
      <c r="F6144" t="s">
        <v>42</v>
      </c>
      <c r="G6144">
        <v>-191.7953</v>
      </c>
      <c r="H6144" s="1">
        <v>-1.397027E-6</v>
      </c>
      <c r="I6144">
        <v>171.7321</v>
      </c>
      <c r="J6144">
        <v>-191.95849999999999</v>
      </c>
      <c r="K6144">
        <v>1.1118709999999901</v>
      </c>
      <c r="L6144">
        <v>186.2953</v>
      </c>
      <c r="M6144">
        <v>-8.8576899999999903E-2</v>
      </c>
      <c r="N6144">
        <v>0</v>
      </c>
      <c r="O6144">
        <v>-0.995946</v>
      </c>
      <c r="P6144">
        <v>-0.11031009999999999</v>
      </c>
      <c r="Q6144">
        <v>-9.6156920000000003E-3</v>
      </c>
      <c r="R6144">
        <v>-0.99385109999999999</v>
      </c>
      <c r="S6144">
        <v>3.1982419999999998E-2</v>
      </c>
      <c r="T6144">
        <v>-0.22894229999999999</v>
      </c>
      <c r="U6144">
        <v>-3.0203250000000001</v>
      </c>
      <c r="V6144">
        <v>2.1823849999999999E-2</v>
      </c>
      <c r="W6144">
        <v>6.0918600000000002E-3</v>
      </c>
      <c r="X6144">
        <v>0.9997433</v>
      </c>
      <c r="Y6144">
        <v>-9.9099140000000002E-2</v>
      </c>
      <c r="Z6144">
        <v>7.4950169999999997E-2</v>
      </c>
      <c r="AA6144">
        <v>0.99225090000000005</v>
      </c>
      <c r="AB6144">
        <v>15</v>
      </c>
      <c r="AC6144">
        <v>0.16319999999998899</v>
      </c>
      <c r="AD6144">
        <v>-1.1118723970269999</v>
      </c>
      <c r="AE6144">
        <v>-14.563199999999901</v>
      </c>
      <c r="AF6144">
        <v>-1.4442623772035601</v>
      </c>
      <c r="AG6144">
        <v>-1.1118723970269999</v>
      </c>
      <c r="AH6144">
        <v>14.407514127233499</v>
      </c>
      <c r="AI6144">
        <v>94.391025164920805</v>
      </c>
      <c r="AJ6144">
        <v>95.724416960150606</v>
      </c>
      <c r="AK6144">
        <v>14.5223488929274</v>
      </c>
      <c r="AL6144">
        <v>89.650959983698101</v>
      </c>
      <c r="AM6144">
        <v>88.749463050611695</v>
      </c>
      <c r="AN6144">
        <v>1.00000002854098</v>
      </c>
    </row>
    <row r="6145" spans="1:40" x14ac:dyDescent="0.25">
      <c r="A6145" t="str">
        <f>"20190312150815572"</f>
        <v>20190312150815572</v>
      </c>
      <c r="B6145" t="str">
        <f>"1552374495566374"</f>
        <v>1552374495566374</v>
      </c>
      <c r="C6145" t="s">
        <v>40</v>
      </c>
      <c r="D6145">
        <v>4.5620570000000003</v>
      </c>
      <c r="E6145">
        <v>0.45351150000000001</v>
      </c>
      <c r="F6145" t="s">
        <v>42</v>
      </c>
      <c r="G6145">
        <v>-191.79920000000001</v>
      </c>
      <c r="H6145" s="1">
        <v>-1.483281E-6</v>
      </c>
      <c r="I6145">
        <v>171.9308</v>
      </c>
      <c r="J6145">
        <v>-191.96520000000001</v>
      </c>
      <c r="K6145">
        <v>1.1120000000000001</v>
      </c>
      <c r="L6145">
        <v>186.2062</v>
      </c>
      <c r="M6145">
        <v>-8.7658609999999998E-2</v>
      </c>
      <c r="N6145">
        <v>0</v>
      </c>
      <c r="O6145">
        <v>-0.99600949999999999</v>
      </c>
      <c r="P6145">
        <v>-0.11002480000000001</v>
      </c>
      <c r="Q6145">
        <v>-1.1170289999999999E-2</v>
      </c>
      <c r="R6145">
        <v>-0.99386660000000004</v>
      </c>
      <c r="S6145">
        <v>3.3493040000000002E-2</v>
      </c>
      <c r="T6145">
        <v>-0.23376240000000001</v>
      </c>
      <c r="U6145">
        <v>-3.0200200000000001</v>
      </c>
      <c r="V6145">
        <v>2.2460250000000001E-2</v>
      </c>
      <c r="W6145">
        <v>5.6426870000000004E-3</v>
      </c>
      <c r="X6145">
        <v>0.99973179999999995</v>
      </c>
      <c r="Y6145">
        <v>-9.867919E-2</v>
      </c>
      <c r="Z6145">
        <v>7.6537330000000001E-2</v>
      </c>
      <c r="AA6145">
        <v>0.99217160000000004</v>
      </c>
      <c r="AB6145">
        <v>15</v>
      </c>
      <c r="AC6145">
        <v>0.16599999999999601</v>
      </c>
      <c r="AD6145">
        <v>-1.1120014832809999</v>
      </c>
      <c r="AE6145">
        <v>-14.2753999999999</v>
      </c>
      <c r="AF6145">
        <v>-1.40835390601406</v>
      </c>
      <c r="AG6145">
        <v>-1.1120014832809999</v>
      </c>
      <c r="AH6145">
        <v>14.1202114579709</v>
      </c>
      <c r="AI6145">
        <v>94.480749252206707</v>
      </c>
      <c r="AJ6145">
        <v>95.695859481574502</v>
      </c>
      <c r="AK6145">
        <v>14.233776014860499</v>
      </c>
      <c r="AL6145">
        <v>89.676696130016396</v>
      </c>
      <c r="AM6145">
        <v>88.712993737648404</v>
      </c>
      <c r="AN6145">
        <v>0.99999998733894102</v>
      </c>
    </row>
    <row r="6146" spans="1:40" x14ac:dyDescent="0.25">
      <c r="A6146" t="str">
        <f>"20190312150815585"</f>
        <v>20190312150815585</v>
      </c>
      <c r="B6146" t="str">
        <f>"1552374495576134"</f>
        <v>1552374495576134</v>
      </c>
      <c r="C6146" t="s">
        <v>40</v>
      </c>
      <c r="D6146">
        <v>4.5435699999999999</v>
      </c>
      <c r="E6146">
        <v>0.45348959999999999</v>
      </c>
      <c r="F6146" t="s">
        <v>42</v>
      </c>
      <c r="G6146">
        <v>-191.80779999999999</v>
      </c>
      <c r="H6146" s="1">
        <v>-1.54924E-6</v>
      </c>
      <c r="I6146">
        <v>172.07919999999999</v>
      </c>
      <c r="J6146">
        <v>-191.97219999999999</v>
      </c>
      <c r="K6146">
        <v>1.112144</v>
      </c>
      <c r="L6146">
        <v>186.113</v>
      </c>
      <c r="M6146">
        <v>-8.6754460000000005E-2</v>
      </c>
      <c r="N6146">
        <v>0</v>
      </c>
      <c r="O6146">
        <v>-0.99606749999999999</v>
      </c>
      <c r="P6146">
        <v>-0.10939980000000001</v>
      </c>
      <c r="Q6146">
        <v>-1.300713E-2</v>
      </c>
      <c r="R6146">
        <v>-0.99391320000000005</v>
      </c>
      <c r="S6146">
        <v>3.3645630000000003E-2</v>
      </c>
      <c r="T6146">
        <v>-0.23768549999999999</v>
      </c>
      <c r="U6146">
        <v>-3.0195919999999998</v>
      </c>
      <c r="V6146">
        <v>2.2740980000000001E-2</v>
      </c>
      <c r="W6146">
        <v>4.9941969999999997E-3</v>
      </c>
      <c r="X6146">
        <v>0.99972890000000003</v>
      </c>
      <c r="Y6146">
        <v>-9.782826E-2</v>
      </c>
      <c r="Z6146">
        <v>7.7837509999999999E-2</v>
      </c>
      <c r="AA6146">
        <v>0.99215469999999895</v>
      </c>
      <c r="AB6146">
        <v>15</v>
      </c>
      <c r="AC6146">
        <v>0.16439999999999999</v>
      </c>
      <c r="AD6146">
        <v>-1.1121455492399901</v>
      </c>
      <c r="AE6146">
        <v>-14.033799999999999</v>
      </c>
      <c r="AF6146">
        <v>-1.3728509211970901</v>
      </c>
      <c r="AG6146">
        <v>-1.1121455492399901</v>
      </c>
      <c r="AH6146">
        <v>13.879453203727101</v>
      </c>
      <c r="AI6146">
        <v>94.559106943010207</v>
      </c>
      <c r="AJ6146">
        <v>95.648892261412698</v>
      </c>
      <c r="AK6146">
        <v>13.991454842473599</v>
      </c>
      <c r="AL6146">
        <v>89.713852395693294</v>
      </c>
      <c r="AM6146">
        <v>88.696909218092401</v>
      </c>
      <c r="AN6146">
        <v>0.99999998383512201</v>
      </c>
    </row>
    <row r="6147" spans="1:40" x14ac:dyDescent="0.25">
      <c r="A6147" t="str">
        <f>"20190312150815599"</f>
        <v>20190312150815599</v>
      </c>
      <c r="B6147" t="str">
        <f>"1552374495596631"</f>
        <v>1552374495596631</v>
      </c>
      <c r="C6147" t="s">
        <v>40</v>
      </c>
      <c r="D6147">
        <v>4.6295060000000001</v>
      </c>
      <c r="E6147">
        <v>0.45353529999999997</v>
      </c>
      <c r="F6147" t="s">
        <v>42</v>
      </c>
      <c r="G6147">
        <v>-191.80869999999999</v>
      </c>
      <c r="H6147" s="1">
        <v>-1.6557840000000001E-6</v>
      </c>
      <c r="I6147">
        <v>172.327</v>
      </c>
      <c r="J6147">
        <v>-191.9786</v>
      </c>
      <c r="K6147">
        <v>1.112269</v>
      </c>
      <c r="L6147">
        <v>186.0264</v>
      </c>
      <c r="M6147">
        <v>-8.5953180000000004E-2</v>
      </c>
      <c r="N6147">
        <v>0</v>
      </c>
      <c r="O6147">
        <v>-0.996116</v>
      </c>
      <c r="P6147">
        <v>-0.1093454</v>
      </c>
      <c r="Q6147">
        <v>-1.4178369999999999E-2</v>
      </c>
      <c r="R6147">
        <v>-0.99390290000000003</v>
      </c>
      <c r="S6147">
        <v>3.5812379999999998E-2</v>
      </c>
      <c r="T6147">
        <v>-0.24356149999999999</v>
      </c>
      <c r="U6147">
        <v>-3.0191499999999998</v>
      </c>
      <c r="V6147">
        <v>2.349064E-2</v>
      </c>
      <c r="W6147">
        <v>4.9450839999999998E-3</v>
      </c>
      <c r="X6147">
        <v>0.99971180000000004</v>
      </c>
      <c r="Y6147">
        <v>-9.7741220000000004E-2</v>
      </c>
      <c r="Z6147">
        <v>7.9769499999999993E-2</v>
      </c>
      <c r="AA6147">
        <v>0.99200980000000005</v>
      </c>
      <c r="AB6147">
        <v>14</v>
      </c>
      <c r="AC6147">
        <v>0.16990000000001201</v>
      </c>
      <c r="AD6147">
        <v>-1.1122706557840001</v>
      </c>
      <c r="AE6147">
        <v>-13.699399999999899</v>
      </c>
      <c r="AF6147">
        <v>-1.33817303420726</v>
      </c>
      <c r="AG6147">
        <v>-1.1122706557840001</v>
      </c>
      <c r="AH6147">
        <v>13.5448025506586</v>
      </c>
      <c r="AI6147">
        <v>94.6718321725523</v>
      </c>
      <c r="AJ6147">
        <v>95.642286941545095</v>
      </c>
      <c r="AK6147">
        <v>13.656116915782601</v>
      </c>
      <c r="AL6147">
        <v>89.716666395191098</v>
      </c>
      <c r="AM6147">
        <v>88.653945160771798</v>
      </c>
      <c r="AN6147">
        <v>0.99999997354130798</v>
      </c>
    </row>
    <row r="6148" spans="1:40" x14ac:dyDescent="0.25">
      <c r="A6148" t="str">
        <f>"20190312150815612"</f>
        <v>20190312150815612</v>
      </c>
      <c r="B6148" t="str">
        <f>"1552374495606391"</f>
        <v>1552374495606391</v>
      </c>
      <c r="C6148" t="s">
        <v>40</v>
      </c>
      <c r="D6148">
        <v>4.564019</v>
      </c>
      <c r="E6148">
        <v>0.45363100000000001</v>
      </c>
      <c r="F6148" t="s">
        <v>42</v>
      </c>
      <c r="G6148">
        <v>-191.8177</v>
      </c>
      <c r="H6148" s="1">
        <v>-1.682077E-6</v>
      </c>
      <c r="I6148">
        <v>172.3827</v>
      </c>
      <c r="J6148">
        <v>-191.98390000000001</v>
      </c>
      <c r="K6148">
        <v>1.112371</v>
      </c>
      <c r="L6148">
        <v>185.95419999999999</v>
      </c>
      <c r="M6148">
        <v>-8.5263370000000005E-2</v>
      </c>
      <c r="N6148">
        <v>0</v>
      </c>
      <c r="O6148">
        <v>-0.99615719999999996</v>
      </c>
      <c r="P6148">
        <v>-0.1089454</v>
      </c>
      <c r="Q6148">
        <v>-1.4655E-2</v>
      </c>
      <c r="R6148">
        <v>-0.99394009999999999</v>
      </c>
      <c r="S6148">
        <v>3.5598749999999998E-2</v>
      </c>
      <c r="T6148">
        <v>-0.2460986</v>
      </c>
      <c r="U6148">
        <v>-3.0187840000000001</v>
      </c>
      <c r="V6148">
        <v>2.377955E-2</v>
      </c>
      <c r="W6148">
        <v>5.3928279999999997E-3</v>
      </c>
      <c r="X6148">
        <v>0.99970270000000006</v>
      </c>
      <c r="Y6148">
        <v>-9.6984000000000001E-2</v>
      </c>
      <c r="Z6148">
        <v>8.0614920000000007E-2</v>
      </c>
      <c r="AA6148">
        <v>0.9920158</v>
      </c>
      <c r="AB6148">
        <v>14</v>
      </c>
      <c r="AC6148">
        <v>0.16620000000000301</v>
      </c>
      <c r="AD6148">
        <v>-1.1123726820769999</v>
      </c>
      <c r="AE6148">
        <v>-13.571499999999901</v>
      </c>
      <c r="AF6148">
        <v>-1.31415118614406</v>
      </c>
      <c r="AG6148">
        <v>-1.1123726820769999</v>
      </c>
      <c r="AH6148">
        <v>13.4177572076998</v>
      </c>
      <c r="AI6148">
        <v>94.716690261735195</v>
      </c>
      <c r="AJ6148">
        <v>95.593776625475698</v>
      </c>
      <c r="AK6148">
        <v>13.527770503991301</v>
      </c>
      <c r="AL6148">
        <v>89.691012224120897</v>
      </c>
      <c r="AM6148">
        <v>88.637383916288798</v>
      </c>
      <c r="AN6148">
        <v>1.0000000189896601</v>
      </c>
    </row>
    <row r="6149" spans="1:40" x14ac:dyDescent="0.25">
      <c r="A6149" t="str">
        <f>"20190312150815624"</f>
        <v>20190312150815624</v>
      </c>
      <c r="B6149" t="str">
        <f>"1552374495616150"</f>
        <v>1552374495616150</v>
      </c>
      <c r="C6149" t="s">
        <v>40</v>
      </c>
      <c r="D6149">
        <v>4.5142860000000002</v>
      </c>
      <c r="E6149">
        <v>0.45372800000000002</v>
      </c>
      <c r="F6149" t="s">
        <v>42</v>
      </c>
      <c r="G6149">
        <v>-191.821</v>
      </c>
      <c r="H6149" s="1">
        <v>-1.67067E-6</v>
      </c>
      <c r="I6149">
        <v>172.35400000000001</v>
      </c>
      <c r="J6149">
        <v>-191.9897</v>
      </c>
      <c r="K6149">
        <v>1.1124799999999999</v>
      </c>
      <c r="L6149">
        <v>185.8751</v>
      </c>
      <c r="M6149">
        <v>-8.4484959999999998E-2</v>
      </c>
      <c r="N6149">
        <v>0</v>
      </c>
      <c r="O6149">
        <v>-0.99620310000000001</v>
      </c>
      <c r="P6149">
        <v>-0.10866149999999999</v>
      </c>
      <c r="Q6149">
        <v>-1.5615530000000001E-2</v>
      </c>
      <c r="R6149">
        <v>-0.99395659999999997</v>
      </c>
      <c r="S6149">
        <v>3.616333E-2</v>
      </c>
      <c r="T6149">
        <v>-0.2468969</v>
      </c>
      <c r="U6149">
        <v>-3.0186310000000001</v>
      </c>
      <c r="V6149">
        <v>2.4274850000000001E-2</v>
      </c>
      <c r="W6149">
        <v>5.4266829999999999E-3</v>
      </c>
      <c r="X6149">
        <v>0.99969059999999998</v>
      </c>
      <c r="Y6149">
        <v>-9.6393850000000003E-2</v>
      </c>
      <c r="Z6149">
        <v>8.0889080000000002E-2</v>
      </c>
      <c r="AA6149">
        <v>0.99205100000000002</v>
      </c>
      <c r="AB6149">
        <v>14</v>
      </c>
      <c r="AC6149">
        <v>0.16870000000000099</v>
      </c>
      <c r="AD6149">
        <v>-1.11248167066999</v>
      </c>
      <c r="AE6149">
        <v>-13.521099999999899</v>
      </c>
      <c r="AF6149">
        <v>-1.30186681571829</v>
      </c>
      <c r="AG6149">
        <v>-1.11248167066999</v>
      </c>
      <c r="AH6149">
        <v>13.367999938777499</v>
      </c>
      <c r="AI6149">
        <v>94.734881207648201</v>
      </c>
      <c r="AJ6149">
        <v>95.562312537942205</v>
      </c>
      <c r="AK6149">
        <v>13.4772361794472</v>
      </c>
      <c r="AL6149">
        <v>89.689072443268003</v>
      </c>
      <c r="AM6149">
        <v>88.608996436573605</v>
      </c>
      <c r="AN6149">
        <v>1.0000000064796299</v>
      </c>
    </row>
    <row r="6150" spans="1:40" x14ac:dyDescent="0.25">
      <c r="A6150" t="str">
        <f>"20190312150815635"</f>
        <v>20190312150815635</v>
      </c>
      <c r="B6150" t="str">
        <f>"1552374495625911"</f>
        <v>1552374495625911</v>
      </c>
      <c r="C6150" t="s">
        <v>40</v>
      </c>
      <c r="D6150">
        <v>4.5318420000000001</v>
      </c>
      <c r="E6150">
        <v>0.45383950000000001</v>
      </c>
      <c r="F6150" t="s">
        <v>42</v>
      </c>
      <c r="G6150">
        <v>-191.82820000000001</v>
      </c>
      <c r="H6150" s="1">
        <v>-1.67884E-6</v>
      </c>
      <c r="I6150">
        <v>172.36859999999999</v>
      </c>
      <c r="J6150">
        <v>-191.99440000000001</v>
      </c>
      <c r="K6150">
        <v>1.112555</v>
      </c>
      <c r="L6150">
        <v>185.80930000000001</v>
      </c>
      <c r="M6150">
        <v>-8.368652E-2</v>
      </c>
      <c r="N6150">
        <v>0</v>
      </c>
      <c r="O6150">
        <v>-0.99625660000000005</v>
      </c>
      <c r="P6150">
        <v>-0.10818079999999999</v>
      </c>
      <c r="Q6150">
        <v>-1.6329059999999999E-2</v>
      </c>
      <c r="R6150">
        <v>-0.99399760000000004</v>
      </c>
      <c r="S6150">
        <v>3.6087040000000001E-2</v>
      </c>
      <c r="T6150">
        <v>-0.2486042</v>
      </c>
      <c r="U6150">
        <v>-3.0182799999999999</v>
      </c>
      <c r="V6150">
        <v>2.4592019999999999E-2</v>
      </c>
      <c r="W6150">
        <v>5.3632640000000004E-3</v>
      </c>
      <c r="X6150">
        <v>0.99968319999999999</v>
      </c>
      <c r="Y6150">
        <v>-9.5573019999999995E-2</v>
      </c>
      <c r="Z6150">
        <v>8.1465629999999997E-2</v>
      </c>
      <c r="AA6150">
        <v>0.9920833</v>
      </c>
      <c r="AB6150">
        <v>13</v>
      </c>
      <c r="AC6150">
        <v>0.16620000000000301</v>
      </c>
      <c r="AD6150">
        <v>-1.1125566788400001</v>
      </c>
      <c r="AE6150">
        <v>-13.4407</v>
      </c>
      <c r="AF6150">
        <v>-1.2819042611185001</v>
      </c>
      <c r="AG6150">
        <v>-1.1125566788400001</v>
      </c>
      <c r="AH6150">
        <v>13.2885817246885</v>
      </c>
      <c r="AI6150">
        <v>94.763787715136601</v>
      </c>
      <c r="AJ6150">
        <v>95.510079188327694</v>
      </c>
      <c r="AK6150">
        <v>13.3965467622082</v>
      </c>
      <c r="AL6150">
        <v>89.692706140155806</v>
      </c>
      <c r="AM6150">
        <v>88.590818735507696</v>
      </c>
      <c r="AN6150">
        <v>1.00000001620532</v>
      </c>
    </row>
    <row r="6151" spans="1:40" x14ac:dyDescent="0.25">
      <c r="A6151" t="str">
        <f>"20190312150815647"</f>
        <v>20190312150815647</v>
      </c>
      <c r="B6151" t="str">
        <f>"1552374495636647"</f>
        <v>1552374495636647</v>
      </c>
      <c r="C6151" t="s">
        <v>40</v>
      </c>
      <c r="D6151">
        <v>4.7063360000000003</v>
      </c>
      <c r="E6151">
        <v>0.4539221</v>
      </c>
      <c r="F6151" t="s">
        <v>42</v>
      </c>
      <c r="G6151">
        <v>-191.8312</v>
      </c>
      <c r="H6151" s="1">
        <v>-1.676462E-6</v>
      </c>
      <c r="I6151">
        <v>172.3612</v>
      </c>
      <c r="J6151">
        <v>-191.9992</v>
      </c>
      <c r="K6151">
        <v>1.1125989999999999</v>
      </c>
      <c r="L6151">
        <v>185.74289999999999</v>
      </c>
      <c r="M6151">
        <v>-8.2822110000000004E-2</v>
      </c>
      <c r="N6151">
        <v>0</v>
      </c>
      <c r="O6151">
        <v>-0.99631800000000004</v>
      </c>
      <c r="P6151">
        <v>-0.1077776</v>
      </c>
      <c r="Q6151">
        <v>-1.6780099999999999E-2</v>
      </c>
      <c r="R6151">
        <v>-0.99403359999999996</v>
      </c>
      <c r="S6151">
        <v>3.6636349999999998E-2</v>
      </c>
      <c r="T6151">
        <v>-0.24967839999999999</v>
      </c>
      <c r="U6151">
        <v>-3.0179900000000002</v>
      </c>
      <c r="V6151">
        <v>2.5052930000000001E-2</v>
      </c>
      <c r="W6151">
        <v>5.3971180000000002E-3</v>
      </c>
      <c r="X6151">
        <v>0.99967159999999999</v>
      </c>
      <c r="Y6151">
        <v>-9.4891550000000005E-2</v>
      </c>
      <c r="Z6151">
        <v>8.1834580000000004E-2</v>
      </c>
      <c r="AA6151">
        <v>0.99211830000000001</v>
      </c>
      <c r="AB6151">
        <v>13</v>
      </c>
      <c r="AC6151">
        <v>0.16800000000000601</v>
      </c>
      <c r="AD6151">
        <v>-1.112600676462</v>
      </c>
      <c r="AE6151">
        <v>-13.381699999999899</v>
      </c>
      <c r="AF6151">
        <v>-1.2672364973608501</v>
      </c>
      <c r="AG6151">
        <v>-1.112600676462</v>
      </c>
      <c r="AH6151">
        <v>13.230340253893599</v>
      </c>
      <c r="AI6151">
        <v>94.785159921927402</v>
      </c>
      <c r="AJ6151">
        <v>95.471248301661802</v>
      </c>
      <c r="AK6151">
        <v>13.3373787469392</v>
      </c>
      <c r="AL6151">
        <v>89.690766429083993</v>
      </c>
      <c r="AM6151">
        <v>88.564401795213598</v>
      </c>
      <c r="AN6151">
        <v>1.0000000430154199</v>
      </c>
    </row>
    <row r="6152" spans="1:40" x14ac:dyDescent="0.25">
      <c r="A6152" t="str">
        <f>"20190312150815660"</f>
        <v>20190312150815660</v>
      </c>
      <c r="B6152" t="str">
        <f>"1552374495656167"</f>
        <v>1552374495656167</v>
      </c>
      <c r="C6152" t="s">
        <v>40</v>
      </c>
      <c r="D6152">
        <v>4.5078389999999997</v>
      </c>
      <c r="E6152">
        <v>0.45409490000000002</v>
      </c>
      <c r="F6152" t="s">
        <v>42</v>
      </c>
      <c r="G6152">
        <v>-191.83279999999999</v>
      </c>
      <c r="H6152" s="1">
        <v>-1.6593660000000001E-6</v>
      </c>
      <c r="I6152">
        <v>172.32040000000001</v>
      </c>
      <c r="J6152">
        <v>-192.0044</v>
      </c>
      <c r="K6152">
        <v>1.112573</v>
      </c>
      <c r="L6152">
        <v>185.66560000000001</v>
      </c>
      <c r="M6152">
        <v>-8.1629729999999998E-2</v>
      </c>
      <c r="N6152">
        <v>0</v>
      </c>
      <c r="O6152">
        <v>-0.99641630000000003</v>
      </c>
      <c r="P6152">
        <v>-0.1069586</v>
      </c>
      <c r="Q6152">
        <v>-1.708088E-2</v>
      </c>
      <c r="R6152">
        <v>-0.99411700000000003</v>
      </c>
      <c r="S6152">
        <v>3.7399290000000002E-2</v>
      </c>
      <c r="T6152">
        <v>-0.25014960000000003</v>
      </c>
      <c r="U6152">
        <v>-3.0178219999999998</v>
      </c>
      <c r="V6152">
        <v>2.5424849999999999E-2</v>
      </c>
      <c r="W6152">
        <v>5.1172199999999996E-3</v>
      </c>
      <c r="X6152">
        <v>0.99966370000000004</v>
      </c>
      <c r="Y6152">
        <v>-9.3951510000000002E-2</v>
      </c>
      <c r="Z6152">
        <v>8.2008239999999996E-2</v>
      </c>
      <c r="AA6152">
        <v>0.9921934</v>
      </c>
      <c r="AB6152">
        <v>13</v>
      </c>
      <c r="AC6152">
        <v>0.17160000000001199</v>
      </c>
      <c r="AD6152">
        <v>-1.112574659366</v>
      </c>
      <c r="AE6152">
        <v>-13.3452</v>
      </c>
      <c r="AF6152">
        <v>-1.25195958238173</v>
      </c>
      <c r="AG6152">
        <v>-1.112574659366</v>
      </c>
      <c r="AH6152">
        <v>13.1949357986159</v>
      </c>
      <c r="AI6152">
        <v>94.798234268309997</v>
      </c>
      <c r="AJ6152">
        <v>95.420102026361803</v>
      </c>
      <c r="AK6152">
        <v>13.300810347425299</v>
      </c>
      <c r="AL6152">
        <v>89.706803629437005</v>
      </c>
      <c r="AM6152">
        <v>88.543087419270094</v>
      </c>
      <c r="AN6152">
        <v>1.0000000610178601</v>
      </c>
    </row>
    <row r="6153" spans="1:40" x14ac:dyDescent="0.25">
      <c r="A6153" t="str">
        <f>"20190312150815673"</f>
        <v>20190312150815673</v>
      </c>
      <c r="B6153" t="str">
        <f>"1552374495665927"</f>
        <v>1552374495665927</v>
      </c>
      <c r="C6153" t="s">
        <v>40</v>
      </c>
      <c r="D6153">
        <v>4.7034719999999997</v>
      </c>
      <c r="E6153">
        <v>0.45414719999999997</v>
      </c>
      <c r="F6153" t="s">
        <v>42</v>
      </c>
      <c r="G6153">
        <v>-191.83179999999999</v>
      </c>
      <c r="H6153" s="1">
        <v>-1.613089E-6</v>
      </c>
      <c r="I6153">
        <v>172.2131</v>
      </c>
      <c r="J6153">
        <v>-192.0094</v>
      </c>
      <c r="K6153">
        <v>1.1124909999999999</v>
      </c>
      <c r="L6153">
        <v>185.58969999999999</v>
      </c>
      <c r="M6153">
        <v>-8.0447409999999997E-2</v>
      </c>
      <c r="N6153">
        <v>0</v>
      </c>
      <c r="O6153">
        <v>-0.9965212</v>
      </c>
      <c r="P6153">
        <v>-0.10592650000000001</v>
      </c>
      <c r="Q6153">
        <v>-1.68051E-2</v>
      </c>
      <c r="R6153">
        <v>-0.99423189999999995</v>
      </c>
      <c r="S6153">
        <v>3.872681E-2</v>
      </c>
      <c r="T6153">
        <v>-0.24956890000000001</v>
      </c>
      <c r="U6153">
        <v>-3.0176240000000001</v>
      </c>
      <c r="V6153">
        <v>2.557195E-2</v>
      </c>
      <c r="W6153">
        <v>4.9994419999999998E-3</v>
      </c>
      <c r="X6153">
        <v>0.99966049999999995</v>
      </c>
      <c r="Y6153">
        <v>-9.3206949999999997E-2</v>
      </c>
      <c r="Z6153">
        <v>8.1839049999999997E-2</v>
      </c>
      <c r="AA6153">
        <v>0.99227759999999998</v>
      </c>
      <c r="AB6153">
        <v>13</v>
      </c>
      <c r="AC6153">
        <v>0.177600000000012</v>
      </c>
      <c r="AD6153">
        <v>-1.1124926130889901</v>
      </c>
      <c r="AE6153">
        <v>-13.3765999999999</v>
      </c>
      <c r="AF6153">
        <v>-1.2447835451423199</v>
      </c>
      <c r="AG6153">
        <v>-1.1124926130889901</v>
      </c>
      <c r="AH6153">
        <v>13.227458022593799</v>
      </c>
      <c r="AI6153">
        <v>94.786486591343305</v>
      </c>
      <c r="AJ6153">
        <v>95.376045592948699</v>
      </c>
      <c r="AK6153">
        <v>13.332395569736001</v>
      </c>
      <c r="AL6153">
        <v>89.713551885117298</v>
      </c>
      <c r="AM6153">
        <v>88.534657167850298</v>
      </c>
      <c r="AN6153">
        <v>1.00000001715368</v>
      </c>
    </row>
    <row r="6154" spans="1:40" x14ac:dyDescent="0.25">
      <c r="A6154" t="str">
        <f>"20190312150815685"</f>
        <v>20190312150815685</v>
      </c>
      <c r="B6154" t="str">
        <f>"1552374495676662"</f>
        <v>1552374495676662</v>
      </c>
      <c r="C6154" t="s">
        <v>40</v>
      </c>
      <c r="D6154">
        <v>4.5773109999999999</v>
      </c>
      <c r="E6154">
        <v>0.4541734</v>
      </c>
      <c r="F6154" t="s">
        <v>42</v>
      </c>
      <c r="G6154">
        <v>-191.8236</v>
      </c>
      <c r="H6154" s="1">
        <v>-1.534374E-6</v>
      </c>
      <c r="I6154">
        <v>172.03469999999999</v>
      </c>
      <c r="J6154">
        <v>-192.01410000000001</v>
      </c>
      <c r="K6154">
        <v>1.112385</v>
      </c>
      <c r="L6154">
        <v>185.51669999999999</v>
      </c>
      <c r="M6154">
        <v>-7.9308899999999904E-2</v>
      </c>
      <c r="N6154">
        <v>0</v>
      </c>
      <c r="O6154">
        <v>-0.99662499999999998</v>
      </c>
      <c r="P6154">
        <v>-0.1053313</v>
      </c>
      <c r="Q6154">
        <v>-1.635112E-2</v>
      </c>
      <c r="R6154">
        <v>-0.99430280000000004</v>
      </c>
      <c r="S6154">
        <v>4.136658E-2</v>
      </c>
      <c r="T6154">
        <v>-0.24766659999999999</v>
      </c>
      <c r="U6154">
        <v>-3.0176539999999998</v>
      </c>
      <c r="V6154">
        <v>2.6114410000000001E-2</v>
      </c>
      <c r="W6154">
        <v>4.8902470000000003E-3</v>
      </c>
      <c r="X6154">
        <v>0.99964699999999995</v>
      </c>
      <c r="Y6154">
        <v>-9.2936950000000004E-2</v>
      </c>
      <c r="Z6154">
        <v>8.1230360000000001E-2</v>
      </c>
      <c r="AA6154">
        <v>0.99235300000000004</v>
      </c>
      <c r="AB6154">
        <v>13</v>
      </c>
      <c r="AC6154">
        <v>0.19050000000001399</v>
      </c>
      <c r="AD6154">
        <v>-1.112386534374</v>
      </c>
      <c r="AE6154">
        <v>-13.481999999999999</v>
      </c>
      <c r="AF6154">
        <v>-1.2508683477939899</v>
      </c>
      <c r="AG6154">
        <v>-1.112386534374</v>
      </c>
      <c r="AH6154">
        <v>13.3336482019798</v>
      </c>
      <c r="AI6154">
        <v>94.748219981659204</v>
      </c>
      <c r="AJ6154">
        <v>95.359398134032901</v>
      </c>
      <c r="AK6154">
        <v>13.438312758658601</v>
      </c>
      <c r="AL6154">
        <v>89.719808369556304</v>
      </c>
      <c r="AM6154">
        <v>88.503566510183603</v>
      </c>
      <c r="AN6154">
        <v>1.0000000007671801</v>
      </c>
    </row>
    <row r="6155" spans="1:40" x14ac:dyDescent="0.25">
      <c r="A6155" t="str">
        <f>"20190312150815700"</f>
        <v>20190312150815700</v>
      </c>
      <c r="B6155" t="str">
        <f>"1552374495696183"</f>
        <v>1552374495696183</v>
      </c>
      <c r="C6155" t="s">
        <v>40</v>
      </c>
      <c r="D6155">
        <v>4.5398759999999996</v>
      </c>
      <c r="E6155">
        <v>0.45428980000000002</v>
      </c>
      <c r="F6155" t="s">
        <v>42</v>
      </c>
      <c r="G6155">
        <v>-191.81950000000001</v>
      </c>
      <c r="H6155" s="1">
        <v>-1.4486330000000001E-6</v>
      </c>
      <c r="I6155">
        <v>171.8374</v>
      </c>
      <c r="J6155">
        <v>-192.0196</v>
      </c>
      <c r="K6155">
        <v>1.112225</v>
      </c>
      <c r="L6155">
        <v>185.42500000000001</v>
      </c>
      <c r="M6155">
        <v>-7.7928579999999997E-2</v>
      </c>
      <c r="N6155">
        <v>0</v>
      </c>
      <c r="O6155">
        <v>-0.99675029999999998</v>
      </c>
      <c r="P6155">
        <v>-0.1045922</v>
      </c>
      <c r="Q6155">
        <v>-1.507261E-2</v>
      </c>
      <c r="R6155">
        <v>-0.99440070000000003</v>
      </c>
      <c r="S6155">
        <v>4.2938230000000001E-2</v>
      </c>
      <c r="T6155">
        <v>-0.24539710000000001</v>
      </c>
      <c r="U6155">
        <v>-3.0177</v>
      </c>
      <c r="V6155">
        <v>2.675284E-2</v>
      </c>
      <c r="W6155">
        <v>5.3809069999999999E-3</v>
      </c>
      <c r="X6155">
        <v>0.99962759999999995</v>
      </c>
      <c r="Y6155">
        <v>-9.2074100000000006E-2</v>
      </c>
      <c r="Z6155">
        <v>8.0505880000000002E-2</v>
      </c>
      <c r="AA6155">
        <v>0.99249240000000005</v>
      </c>
      <c r="AB6155">
        <v>14</v>
      </c>
      <c r="AC6155">
        <v>0.20009999999999101</v>
      </c>
      <c r="AD6155">
        <v>-1.112226448633</v>
      </c>
      <c r="AE6155">
        <v>-13.5876</v>
      </c>
      <c r="AF6155">
        <v>-1.25019888392218</v>
      </c>
      <c r="AG6155">
        <v>-1.112226448633</v>
      </c>
      <c r="AH6155">
        <v>13.4406272817504</v>
      </c>
      <c r="AI6155">
        <v>94.710268837204595</v>
      </c>
      <c r="AJ6155">
        <v>95.314156739422003</v>
      </c>
      <c r="AK6155">
        <v>13.544390228036599</v>
      </c>
      <c r="AL6155">
        <v>89.691695252274997</v>
      </c>
      <c r="AM6155">
        <v>88.466970081285993</v>
      </c>
      <c r="AN6155">
        <v>1.0000000036449801</v>
      </c>
    </row>
    <row r="6156" spans="1:40" x14ac:dyDescent="0.25">
      <c r="A6156" t="str">
        <f>"20190312150815712"</f>
        <v>20190312150815712</v>
      </c>
      <c r="B6156" t="str">
        <f>"1552374495705942"</f>
        <v>1552374495705942</v>
      </c>
      <c r="C6156" t="s">
        <v>40</v>
      </c>
      <c r="D6156">
        <v>4.5592410000000001</v>
      </c>
      <c r="E6156">
        <v>0.45434989999999997</v>
      </c>
      <c r="F6156" t="s">
        <v>42</v>
      </c>
      <c r="G6156">
        <v>-191.81270000000001</v>
      </c>
      <c r="H6156" s="1">
        <v>-1.2742729999999999E-6</v>
      </c>
      <c r="I6156">
        <v>171.43520000000001</v>
      </c>
      <c r="J6156">
        <v>-192.024</v>
      </c>
      <c r="K6156">
        <v>1.1121080000000001</v>
      </c>
      <c r="L6156">
        <v>185.3511</v>
      </c>
      <c r="M6156">
        <v>-7.6841469999999995E-2</v>
      </c>
      <c r="N6156">
        <v>0</v>
      </c>
      <c r="O6156">
        <v>-0.99684510000000004</v>
      </c>
      <c r="P6156">
        <v>-0.1040493</v>
      </c>
      <c r="Q6156">
        <v>-1.4237049999999999E-2</v>
      </c>
      <c r="R6156">
        <v>-0.99447019999999997</v>
      </c>
      <c r="S6156">
        <v>4.4647220000000001E-2</v>
      </c>
      <c r="T6156">
        <v>-0.23993410000000001</v>
      </c>
      <c r="U6156">
        <v>-3.017944</v>
      </c>
      <c r="V6156">
        <v>2.7295690000000001E-2</v>
      </c>
      <c r="W6156">
        <v>5.7065819999999904E-3</v>
      </c>
      <c r="X6156">
        <v>0.99961109999999997</v>
      </c>
      <c r="Y6156">
        <v>-9.1550229999999996E-2</v>
      </c>
      <c r="Z6156">
        <v>7.8730350000000004E-2</v>
      </c>
      <c r="AA6156">
        <v>0.99268330000000005</v>
      </c>
      <c r="AB6156">
        <v>14</v>
      </c>
      <c r="AC6156">
        <v>0.21129999999999399</v>
      </c>
      <c r="AD6156">
        <v>-1.1121092742730001</v>
      </c>
      <c r="AE6156">
        <v>-13.915899999999899</v>
      </c>
      <c r="AF6156">
        <v>-1.27208214194848</v>
      </c>
      <c r="AG6156">
        <v>-1.1121092742730001</v>
      </c>
      <c r="AH6156">
        <v>13.7705716882581</v>
      </c>
      <c r="AI6156">
        <v>94.597686844021297</v>
      </c>
      <c r="AJ6156">
        <v>95.277825338928494</v>
      </c>
      <c r="AK6156">
        <v>13.873846785777999</v>
      </c>
      <c r="AL6156">
        <v>89.673035156593599</v>
      </c>
      <c r="AM6156">
        <v>88.435852399494806</v>
      </c>
      <c r="AN6156">
        <v>0.99999998550695401</v>
      </c>
    </row>
    <row r="6157" spans="1:40" x14ac:dyDescent="0.25">
      <c r="A6157" t="str">
        <f>"20190312150815724"</f>
        <v>20190312150815724</v>
      </c>
      <c r="B6157" t="str">
        <f>"1552374495715702"</f>
        <v>1552374495715702</v>
      </c>
      <c r="C6157" t="s">
        <v>40</v>
      </c>
      <c r="D6157">
        <v>4.703303</v>
      </c>
      <c r="E6157">
        <v>0.45439099999999999</v>
      </c>
      <c r="F6157" t="s">
        <v>42</v>
      </c>
      <c r="G6157">
        <v>-191.80889999999999</v>
      </c>
      <c r="H6157" s="1">
        <v>-1.1602910000000001E-6</v>
      </c>
      <c r="I6157">
        <v>171.17179999999999</v>
      </c>
      <c r="J6157">
        <v>-192.02799999999999</v>
      </c>
      <c r="K6157">
        <v>1.1120030000000001</v>
      </c>
      <c r="L6157">
        <v>185.27940000000001</v>
      </c>
      <c r="M6157">
        <v>-7.5798379999999999E-2</v>
      </c>
      <c r="N6157">
        <v>0</v>
      </c>
      <c r="O6157">
        <v>-0.99693359999999998</v>
      </c>
      <c r="P6157">
        <v>-0.103309</v>
      </c>
      <c r="Q6157">
        <v>-1.3552130000000001E-2</v>
      </c>
      <c r="R6157">
        <v>-0.99455700000000002</v>
      </c>
      <c r="S6157">
        <v>4.5776369999999997E-2</v>
      </c>
      <c r="T6157">
        <v>-0.23671310000000001</v>
      </c>
      <c r="U6157">
        <v>-3.0180660000000001</v>
      </c>
      <c r="V6157">
        <v>2.7596510000000001E-2</v>
      </c>
      <c r="W6157">
        <v>5.9592999999999998E-3</v>
      </c>
      <c r="X6157">
        <v>0.99960139999999997</v>
      </c>
      <c r="Y6157">
        <v>-9.0879600000000005E-2</v>
      </c>
      <c r="Z6157">
        <v>7.7688339999999995E-2</v>
      </c>
      <c r="AA6157">
        <v>0.99282700000000002</v>
      </c>
      <c r="AB6157">
        <v>14</v>
      </c>
      <c r="AC6157">
        <v>0.21909999999999699</v>
      </c>
      <c r="AD6157">
        <v>-1.112004160291</v>
      </c>
      <c r="AE6157">
        <v>-14.1076</v>
      </c>
      <c r="AF6157">
        <v>-1.28005368429739</v>
      </c>
      <c r="AG6157">
        <v>-1.112004160291</v>
      </c>
      <c r="AH6157">
        <v>13.963652534058401</v>
      </c>
      <c r="AI6157">
        <v>94.534244081343999</v>
      </c>
      <c r="AJ6157">
        <v>95.237688477631096</v>
      </c>
      <c r="AK6157">
        <v>14.0662248943738</v>
      </c>
      <c r="AL6157">
        <v>89.658555246902097</v>
      </c>
      <c r="AM6157">
        <v>88.418607628804395</v>
      </c>
      <c r="AN6157">
        <v>1.0000000197513099</v>
      </c>
    </row>
    <row r="6158" spans="1:40" x14ac:dyDescent="0.25">
      <c r="A6158" t="str">
        <f>"20190312150815737"</f>
        <v>20190312150815737</v>
      </c>
      <c r="B6158" t="str">
        <f>"1552374495726440"</f>
        <v>1552374495726440</v>
      </c>
      <c r="C6158" t="s">
        <v>40</v>
      </c>
      <c r="D6158">
        <v>4.6985950000000001</v>
      </c>
      <c r="E6158">
        <v>0.45441819999999999</v>
      </c>
      <c r="F6158" t="s">
        <v>42</v>
      </c>
      <c r="G6158">
        <v>-191.80240000000001</v>
      </c>
      <c r="H6158" s="1">
        <v>-1.0670839999999999E-6</v>
      </c>
      <c r="I6158">
        <v>170.95859999999999</v>
      </c>
      <c r="J6158">
        <v>-192.0324</v>
      </c>
      <c r="K6158">
        <v>1.1118859999999999</v>
      </c>
      <c r="L6158">
        <v>185.2003</v>
      </c>
      <c r="M6158">
        <v>-7.4628840000000002E-2</v>
      </c>
      <c r="N6158">
        <v>0</v>
      </c>
      <c r="O6158">
        <v>-0.99702789999999997</v>
      </c>
      <c r="P6158">
        <v>-0.1026986</v>
      </c>
      <c r="Q6158">
        <v>-1.313871E-2</v>
      </c>
      <c r="R6158">
        <v>-0.99462620000000002</v>
      </c>
      <c r="S6158">
        <v>4.7561649999999997E-2</v>
      </c>
      <c r="T6158">
        <v>-0.2343587</v>
      </c>
      <c r="U6158">
        <v>-3.0181429999999998</v>
      </c>
      <c r="V6158">
        <v>2.8156199999999999E-2</v>
      </c>
      <c r="W6158">
        <v>6.0618190000000004E-3</v>
      </c>
      <c r="X6158">
        <v>0.99958519999999895</v>
      </c>
      <c r="Y6158">
        <v>-9.0298619999999996E-2</v>
      </c>
      <c r="Z6158">
        <v>7.6930280000000004E-2</v>
      </c>
      <c r="AA6158">
        <v>0.99293900000000002</v>
      </c>
      <c r="AB6158">
        <v>14</v>
      </c>
      <c r="AC6158">
        <v>0.22999999999998899</v>
      </c>
      <c r="AD6158">
        <v>-1.111887067084</v>
      </c>
      <c r="AE6158">
        <v>-14.2417</v>
      </c>
      <c r="AF6158">
        <v>-1.28456661044832</v>
      </c>
      <c r="AG6158">
        <v>-1.111887067084</v>
      </c>
      <c r="AH6158">
        <v>14.098887918472</v>
      </c>
      <c r="AI6158">
        <v>94.490686458903596</v>
      </c>
      <c r="AJ6158">
        <v>95.205913832722004</v>
      </c>
      <c r="AK6158">
        <v>14.200881830515399</v>
      </c>
      <c r="AL6158">
        <v>89.652681243539107</v>
      </c>
      <c r="AM6158">
        <v>88.386525762663695</v>
      </c>
      <c r="AN6158">
        <v>1.00000004465353</v>
      </c>
    </row>
    <row r="6159" spans="1:40" x14ac:dyDescent="0.25">
      <c r="A6159" t="str">
        <f>"20190312150815757"</f>
        <v>20190312150815757</v>
      </c>
      <c r="B6159" t="str">
        <f>"1552374495745958"</f>
        <v>1552374495745958</v>
      </c>
      <c r="C6159" t="s">
        <v>40</v>
      </c>
      <c r="D6159">
        <v>4.5672769999999998</v>
      </c>
      <c r="E6159">
        <v>0.45447690000000002</v>
      </c>
      <c r="F6159" t="s">
        <v>42</v>
      </c>
      <c r="G6159">
        <v>-191.798</v>
      </c>
      <c r="H6159" s="1">
        <v>-9.9237709999999996E-7</v>
      </c>
      <c r="I6159">
        <v>170.78720000000001</v>
      </c>
      <c r="J6159">
        <v>-192.03890000000001</v>
      </c>
      <c r="K6159">
        <v>1.1116969999999999</v>
      </c>
      <c r="L6159">
        <v>185.08260000000001</v>
      </c>
      <c r="M6159">
        <v>-7.2811550000000003E-2</v>
      </c>
      <c r="N6159">
        <v>0</v>
      </c>
      <c r="O6159">
        <v>-0.99717049999999996</v>
      </c>
      <c r="P6159">
        <v>-0.10191409999999999</v>
      </c>
      <c r="Q6159">
        <v>-1.195681E-2</v>
      </c>
      <c r="R6159">
        <v>-0.99472139999999998</v>
      </c>
      <c r="S6159">
        <v>4.9087520000000003E-2</v>
      </c>
      <c r="T6159">
        <v>-0.23283770000000001</v>
      </c>
      <c r="U6159">
        <v>-3.0182190000000002</v>
      </c>
      <c r="V6159">
        <v>2.918931E-2</v>
      </c>
      <c r="W6159">
        <v>6.7923180000000003E-3</v>
      </c>
      <c r="X6159">
        <v>0.99955079999999996</v>
      </c>
      <c r="Y6159">
        <v>-8.898491E-2</v>
      </c>
      <c r="Z6159">
        <v>7.6451809999999995E-2</v>
      </c>
      <c r="AA6159">
        <v>0.99309460000000005</v>
      </c>
      <c r="AB6159">
        <v>14</v>
      </c>
      <c r="AC6159">
        <v>0.24090000000001</v>
      </c>
      <c r="AD6159">
        <v>-1.1116979923771</v>
      </c>
      <c r="AE6159">
        <v>-14.295400000000001</v>
      </c>
      <c r="AF6159">
        <v>-1.2736124405890401</v>
      </c>
      <c r="AG6159">
        <v>-1.1116979923771</v>
      </c>
      <c r="AH6159">
        <v>14.1543243160401</v>
      </c>
      <c r="AI6159">
        <v>94.472864687619804</v>
      </c>
      <c r="AJ6159">
        <v>95.141653299895296</v>
      </c>
      <c r="AK6159">
        <v>14.2549239885284</v>
      </c>
      <c r="AL6159">
        <v>89.610825843877194</v>
      </c>
      <c r="AM6159">
        <v>88.327299514259394</v>
      </c>
      <c r="AN6159">
        <v>0.99999997659136397</v>
      </c>
    </row>
    <row r="6160" spans="1:40" x14ac:dyDescent="0.25">
      <c r="A6160" t="str">
        <f>"20190312150815772"</f>
        <v>20190312150815772</v>
      </c>
      <c r="B6160" t="str">
        <f>"1552374495766455"</f>
        <v>1552374495766455</v>
      </c>
      <c r="C6160" t="s">
        <v>40</v>
      </c>
      <c r="D6160">
        <v>4.5626449999999998</v>
      </c>
      <c r="E6160">
        <v>0.4544164</v>
      </c>
      <c r="F6160" t="s">
        <v>42</v>
      </c>
      <c r="G6160">
        <v>-191.7902</v>
      </c>
      <c r="H6160" s="1">
        <v>-8.1826490000000001E-7</v>
      </c>
      <c r="I6160">
        <v>170.3862</v>
      </c>
      <c r="J6160">
        <v>-192.0436</v>
      </c>
      <c r="K6160">
        <v>1.111542</v>
      </c>
      <c r="L6160">
        <v>184.99639999999999</v>
      </c>
      <c r="M6160">
        <v>-7.1428140000000001E-2</v>
      </c>
      <c r="N6160">
        <v>0</v>
      </c>
      <c r="O6160">
        <v>-0.99727710000000003</v>
      </c>
      <c r="P6160">
        <v>-0.1009294</v>
      </c>
      <c r="Q6160">
        <v>-1.1390829999999999E-2</v>
      </c>
      <c r="R6160">
        <v>-0.9948285</v>
      </c>
      <c r="S6160">
        <v>5.1086430000000002E-2</v>
      </c>
      <c r="T6160">
        <v>-0.22832830000000001</v>
      </c>
      <c r="U6160">
        <v>-3.0184479999999998</v>
      </c>
      <c r="V6160">
        <v>2.9587869999999999E-2</v>
      </c>
      <c r="W6160">
        <v>6.9997380000000001E-3</v>
      </c>
      <c r="X6160">
        <v>0.99953760000000003</v>
      </c>
      <c r="Y6160">
        <v>-8.8260829999999998E-2</v>
      </c>
      <c r="Z6160">
        <v>7.4987310000000001E-2</v>
      </c>
      <c r="AA6160">
        <v>0.99327080000000001</v>
      </c>
      <c r="AB6160">
        <v>13</v>
      </c>
      <c r="AC6160">
        <v>0.25339999999999901</v>
      </c>
      <c r="AD6160">
        <v>-1.1115428182648901</v>
      </c>
      <c r="AE6160">
        <v>-14.610199999999899</v>
      </c>
      <c r="AF6160">
        <v>-1.2890485556943501</v>
      </c>
      <c r="AG6160">
        <v>-1.1115428182648901</v>
      </c>
      <c r="AH6160">
        <v>14.471030995701099</v>
      </c>
      <c r="AI6160">
        <v>94.375098870622395</v>
      </c>
      <c r="AJ6160">
        <v>95.090350374481602</v>
      </c>
      <c r="AK6160">
        <v>14.570789672983301</v>
      </c>
      <c r="AL6160">
        <v>89.598941250150105</v>
      </c>
      <c r="AM6160">
        <v>88.304450800570294</v>
      </c>
      <c r="AN6160">
        <v>0.99999992609847999</v>
      </c>
    </row>
    <row r="6161" spans="1:40" x14ac:dyDescent="0.25">
      <c r="A6161" t="str">
        <f>"20190312150815785"</f>
        <v>20190312150815785</v>
      </c>
      <c r="B6161" t="str">
        <f>"1552374495776215"</f>
        <v>1552374495776215</v>
      </c>
      <c r="C6161" t="s">
        <v>40</v>
      </c>
      <c r="D6161">
        <v>4.5107080000000002</v>
      </c>
      <c r="E6161">
        <v>0.45442359999999998</v>
      </c>
      <c r="F6161" t="s">
        <v>42</v>
      </c>
      <c r="G6161">
        <v>-191.77619999999999</v>
      </c>
      <c r="H6161" s="1">
        <v>-7.4914780000000002E-7</v>
      </c>
      <c r="I6161">
        <v>170.2338</v>
      </c>
      <c r="J6161">
        <v>-192.04810000000001</v>
      </c>
      <c r="K6161">
        <v>1.111397</v>
      </c>
      <c r="L6161">
        <v>184.91380000000001</v>
      </c>
      <c r="M6161">
        <v>-7.0086170000000003E-2</v>
      </c>
      <c r="N6161">
        <v>0</v>
      </c>
      <c r="O6161">
        <v>-0.99737909999999996</v>
      </c>
      <c r="P6161">
        <v>-0.1001782</v>
      </c>
      <c r="Q6161">
        <v>-1.099527E-2</v>
      </c>
      <c r="R6161">
        <v>-0.99490889999999998</v>
      </c>
      <c r="S6161">
        <v>5.46875E-2</v>
      </c>
      <c r="T6161">
        <v>-0.22727849999999999</v>
      </c>
      <c r="U6161">
        <v>-3.0185240000000002</v>
      </c>
      <c r="V6161">
        <v>3.0179790000000001E-2</v>
      </c>
      <c r="W6161">
        <v>7.0231030000000002E-3</v>
      </c>
      <c r="X6161">
        <v>0.99951979999999996</v>
      </c>
      <c r="Y6161">
        <v>-8.8104699999999994E-2</v>
      </c>
      <c r="Z6161">
        <v>7.4653070000000002E-2</v>
      </c>
      <c r="AA6161">
        <v>0.99330989999999997</v>
      </c>
      <c r="AB6161">
        <v>13</v>
      </c>
      <c r="AC6161">
        <v>0.27190000000001602</v>
      </c>
      <c r="AD6161">
        <v>-1.1113977491478</v>
      </c>
      <c r="AE6161">
        <v>-14.68</v>
      </c>
      <c r="AF6161">
        <v>-1.29285449900998</v>
      </c>
      <c r="AG6161">
        <v>-1.1113977491478</v>
      </c>
      <c r="AH6161">
        <v>14.541510177552</v>
      </c>
      <c r="AI6161">
        <v>94.353474600551806</v>
      </c>
      <c r="AJ6161">
        <v>95.080686098319205</v>
      </c>
      <c r="AK6161">
        <v>14.6411132075491</v>
      </c>
      <c r="AL6161">
        <v>89.597602525821799</v>
      </c>
      <c r="AM6161">
        <v>88.270520116240107</v>
      </c>
      <c r="AN6161">
        <v>0.99999998714611604</v>
      </c>
    </row>
    <row r="6162" spans="1:40" x14ac:dyDescent="0.25">
      <c r="A6162" t="str">
        <f>"20190312150815800"</f>
        <v>20190312150815800</v>
      </c>
      <c r="B6162" t="str">
        <f>"1552374495795734"</f>
        <v>1552374495795734</v>
      </c>
      <c r="C6162" t="s">
        <v>40</v>
      </c>
      <c r="D6162">
        <v>4.5425550000000001</v>
      </c>
      <c r="E6162">
        <v>0.45432519999999998</v>
      </c>
      <c r="F6162" t="s">
        <v>42</v>
      </c>
      <c r="G6162">
        <v>-191.76949999999999</v>
      </c>
      <c r="H6162" s="1">
        <v>-6.875749E-7</v>
      </c>
      <c r="I6162">
        <v>170.09440000000001</v>
      </c>
      <c r="J6162">
        <v>-192.05289999999999</v>
      </c>
      <c r="K6162">
        <v>1.1112799999999901</v>
      </c>
      <c r="L6162">
        <v>184.82400000000001</v>
      </c>
      <c r="M6162">
        <v>-6.8656529999999993E-2</v>
      </c>
      <c r="N6162">
        <v>0</v>
      </c>
      <c r="O6162">
        <v>-0.99748590000000004</v>
      </c>
      <c r="P6162">
        <v>-9.9646890000000002E-2</v>
      </c>
      <c r="Q6162">
        <v>-1.061699E-2</v>
      </c>
      <c r="R6162">
        <v>-0.99496629999999997</v>
      </c>
      <c r="S6162">
        <v>5.6747440000000003E-2</v>
      </c>
      <c r="T6162">
        <v>-0.22638050000000001</v>
      </c>
      <c r="U6162">
        <v>-3.01857</v>
      </c>
      <c r="V6162">
        <v>3.1080110000000001E-2</v>
      </c>
      <c r="W6162">
        <v>6.979234E-3</v>
      </c>
      <c r="X6162">
        <v>0.99949250000000001</v>
      </c>
      <c r="Y6162">
        <v>-8.7354189999999998E-2</v>
      </c>
      <c r="Z6162">
        <v>7.4371779999999998E-2</v>
      </c>
      <c r="AA6162">
        <v>0.99339719999999998</v>
      </c>
      <c r="AB6162">
        <v>13</v>
      </c>
      <c r="AC6162">
        <v>0.28339999999999999</v>
      </c>
      <c r="AD6162">
        <v>-1.11128068757489</v>
      </c>
      <c r="AE6162">
        <v>-14.7296</v>
      </c>
      <c r="AF6162">
        <v>-1.2868481082268901</v>
      </c>
      <c r="AG6162">
        <v>-1.11128068757489</v>
      </c>
      <c r="AH6162">
        <v>14.592343385715299</v>
      </c>
      <c r="AI6162">
        <v>94.338185703953997</v>
      </c>
      <c r="AJ6162">
        <v>95.039678587501101</v>
      </c>
      <c r="AK6162">
        <v>14.691065594668499</v>
      </c>
      <c r="AL6162">
        <v>89.600116089253106</v>
      </c>
      <c r="AM6162">
        <v>88.218910605544195</v>
      </c>
      <c r="AN6162">
        <v>0.99999997025054299</v>
      </c>
    </row>
    <row r="6163" spans="1:40" x14ac:dyDescent="0.25">
      <c r="A6163" t="str">
        <f>"20190312150815812"</f>
        <v>20190312150815812</v>
      </c>
      <c r="B6163" t="str">
        <f>"1552374495806470"</f>
        <v>1552374495806470</v>
      </c>
      <c r="C6163" t="s">
        <v>40</v>
      </c>
      <c r="D6163">
        <v>4.5158230000000001</v>
      </c>
      <c r="E6163">
        <v>0.45429839999999999</v>
      </c>
      <c r="F6163" t="s">
        <v>42</v>
      </c>
      <c r="G6163">
        <v>-191.762</v>
      </c>
      <c r="H6163" s="1">
        <v>-6.2365969999999998E-7</v>
      </c>
      <c r="I6163">
        <v>169.95</v>
      </c>
      <c r="J6163">
        <v>-192.0565</v>
      </c>
      <c r="K6163">
        <v>1.111226</v>
      </c>
      <c r="L6163">
        <v>184.7569</v>
      </c>
      <c r="M6163">
        <v>-6.7633100000000002E-2</v>
      </c>
      <c r="N6163">
        <v>0</v>
      </c>
      <c r="O6163">
        <v>-0.99756080000000003</v>
      </c>
      <c r="P6163">
        <v>-9.9835499999999994E-2</v>
      </c>
      <c r="Q6163">
        <v>-1.008031E-2</v>
      </c>
      <c r="R6163">
        <v>-0.99495290000000003</v>
      </c>
      <c r="S6163">
        <v>5.9036249999999998E-2</v>
      </c>
      <c r="T6163">
        <v>-0.2255375</v>
      </c>
      <c r="U6163">
        <v>-3.018723</v>
      </c>
      <c r="V6163">
        <v>3.2295030000000002E-2</v>
      </c>
      <c r="W6163">
        <v>7.2290899999999996E-3</v>
      </c>
      <c r="X6163">
        <v>0.99945220000000001</v>
      </c>
      <c r="Y6163">
        <v>-8.70842E-2</v>
      </c>
      <c r="Z6163">
        <v>7.4100830000000006E-2</v>
      </c>
      <c r="AA6163">
        <v>0.99344120000000002</v>
      </c>
      <c r="AB6163">
        <v>13</v>
      </c>
      <c r="AC6163">
        <v>0.29449999999999898</v>
      </c>
      <c r="AD6163">
        <v>-1.1112266236596999</v>
      </c>
      <c r="AE6163">
        <v>-14.806900000000001</v>
      </c>
      <c r="AF6163">
        <v>-1.2881590906565701</v>
      </c>
      <c r="AG6163">
        <v>-1.1112266236596999</v>
      </c>
      <c r="AH6163">
        <v>14.6704708639631</v>
      </c>
      <c r="AI6163">
        <v>94.315103827703197</v>
      </c>
      <c r="AJ6163">
        <v>95.018057870413401</v>
      </c>
      <c r="AK6163">
        <v>14.7687810540464</v>
      </c>
      <c r="AL6163">
        <v>89.585800030814596</v>
      </c>
      <c r="AM6163">
        <v>88.149260841518696</v>
      </c>
      <c r="AN6163">
        <v>0.99999996439488303</v>
      </c>
    </row>
    <row r="6164" spans="1:40" x14ac:dyDescent="0.25">
      <c r="A6164" t="str">
        <f>"20190312150815824"</f>
        <v>20190312150815824</v>
      </c>
      <c r="B6164" t="str">
        <f>"1552374495816231"</f>
        <v>1552374495816231</v>
      </c>
      <c r="C6164" t="s">
        <v>40</v>
      </c>
      <c r="D6164">
        <v>4.5684019999999999</v>
      </c>
      <c r="E6164">
        <v>0.45441900000000002</v>
      </c>
      <c r="F6164" t="s">
        <v>42</v>
      </c>
      <c r="G6164">
        <v>-191.76419999999999</v>
      </c>
      <c r="H6164" s="1">
        <v>-5.4415119999999897E-7</v>
      </c>
      <c r="I6164">
        <v>169.76339999999999</v>
      </c>
      <c r="J6164">
        <v>-192.06010000000001</v>
      </c>
      <c r="K6164">
        <v>1.1111850000000001</v>
      </c>
      <c r="L6164">
        <v>184.6874</v>
      </c>
      <c r="M6164">
        <v>-6.6594619999999993E-2</v>
      </c>
      <c r="N6164">
        <v>0</v>
      </c>
      <c r="O6164">
        <v>-0.99763550000000001</v>
      </c>
      <c r="P6164">
        <v>-9.9628270000000005E-2</v>
      </c>
      <c r="Q6164">
        <v>-9.9031150000000005E-3</v>
      </c>
      <c r="R6164">
        <v>-0.99497559999999996</v>
      </c>
      <c r="S6164">
        <v>5.885315E-2</v>
      </c>
      <c r="T6164">
        <v>-0.2237402</v>
      </c>
      <c r="U6164">
        <v>-3.018875</v>
      </c>
      <c r="V6164">
        <v>3.3127829999999997E-2</v>
      </c>
      <c r="W6164">
        <v>7.1218059999999996E-3</v>
      </c>
      <c r="X6164">
        <v>0.99942580000000003</v>
      </c>
      <c r="Y6164">
        <v>-8.5986450000000006E-2</v>
      </c>
      <c r="Z6164">
        <v>7.3521169999999997E-2</v>
      </c>
      <c r="AA6164">
        <v>0.99357989999999996</v>
      </c>
      <c r="AB6164">
        <v>13</v>
      </c>
      <c r="AC6164">
        <v>0.29590000000001698</v>
      </c>
      <c r="AD6164">
        <v>-1.1111855441512</v>
      </c>
      <c r="AE6164">
        <v>-14.923999999999999</v>
      </c>
      <c r="AF6164">
        <v>-1.2821394308526</v>
      </c>
      <c r="AG6164">
        <v>-1.1111855441512</v>
      </c>
      <c r="AH6164">
        <v>14.789197445475301</v>
      </c>
      <c r="AI6164">
        <v>94.280844739003797</v>
      </c>
      <c r="AJ6164">
        <v>94.9548301389313</v>
      </c>
      <c r="AK6164">
        <v>14.886200855656</v>
      </c>
      <c r="AL6164">
        <v>89.591947145228502</v>
      </c>
      <c r="AM6164">
        <v>88.101519742432103</v>
      </c>
      <c r="AN6164">
        <v>1.00000005147342</v>
      </c>
    </row>
    <row r="6165" spans="1:40" x14ac:dyDescent="0.25">
      <c r="A6165" t="str">
        <f>"20190312150815836"</f>
        <v>20190312150815836</v>
      </c>
      <c r="B6165" t="str">
        <f>"1552374495825990"</f>
        <v>1552374495825990</v>
      </c>
      <c r="C6165" t="s">
        <v>40</v>
      </c>
      <c r="D6165">
        <v>5.1184200000000004</v>
      </c>
      <c r="E6165">
        <v>0.45441900000000002</v>
      </c>
      <c r="F6165" t="s">
        <v>42</v>
      </c>
      <c r="G6165">
        <v>-191.76849999999999</v>
      </c>
      <c r="H6165" s="1">
        <v>-4.9433799999999996E-7</v>
      </c>
      <c r="I6165">
        <v>169.64449999999999</v>
      </c>
      <c r="J6165">
        <v>-192.06379999999999</v>
      </c>
      <c r="K6165">
        <v>1.111192</v>
      </c>
      <c r="L6165">
        <v>184.6156</v>
      </c>
      <c r="M6165">
        <v>-6.5592170000000005E-2</v>
      </c>
      <c r="N6165">
        <v>0</v>
      </c>
      <c r="O6165">
        <v>-0.99770590000000003</v>
      </c>
      <c r="P6165">
        <v>-9.9777770000000002E-2</v>
      </c>
      <c r="Q6165">
        <v>-9.3372230000000004E-3</v>
      </c>
      <c r="R6165">
        <v>-0.99496600000000002</v>
      </c>
      <c r="S6165">
        <v>5.851746E-2</v>
      </c>
      <c r="T6165">
        <v>-0.222993</v>
      </c>
      <c r="U6165">
        <v>-3.018799</v>
      </c>
      <c r="V6165">
        <v>3.428138E-2</v>
      </c>
      <c r="W6165">
        <v>7.4570130000000002E-3</v>
      </c>
      <c r="X6165">
        <v>0.99938439999999995</v>
      </c>
      <c r="Y6165">
        <v>-8.4875469999999995E-2</v>
      </c>
      <c r="Z6165">
        <v>7.3289740000000006E-2</v>
      </c>
      <c r="AA6165">
        <v>0.99369249999999998</v>
      </c>
      <c r="AB6165">
        <v>13</v>
      </c>
      <c r="AC6165">
        <v>0.29529999999999701</v>
      </c>
      <c r="AD6165">
        <v>-1.111192494338</v>
      </c>
      <c r="AE6165">
        <v>-14.9711</v>
      </c>
      <c r="AF6165">
        <v>-1.26979607701041</v>
      </c>
      <c r="AG6165">
        <v>-1.111192494338</v>
      </c>
      <c r="AH6165">
        <v>14.837769631355201</v>
      </c>
      <c r="AI6165">
        <v>94.267315158364696</v>
      </c>
      <c r="AJ6165">
        <v>94.891376858011895</v>
      </c>
      <c r="AK6165">
        <v>14.933403445625901</v>
      </c>
      <c r="AL6165">
        <v>89.572740667282901</v>
      </c>
      <c r="AM6165">
        <v>88.035382038744402</v>
      </c>
      <c r="AN6165">
        <v>0.99999999951047303</v>
      </c>
    </row>
    <row r="6166" spans="1:40" x14ac:dyDescent="0.25">
      <c r="A6166" t="str">
        <f>"20190312150815848"</f>
        <v>20190312150815848</v>
      </c>
      <c r="B6166" t="str">
        <f>"1552374495836727"</f>
        <v>1552374495836727</v>
      </c>
      <c r="C6166" t="s">
        <v>40</v>
      </c>
      <c r="D6166">
        <v>4.754988</v>
      </c>
      <c r="E6166">
        <v>0.50148700000000002</v>
      </c>
      <c r="F6166" t="s">
        <v>42</v>
      </c>
      <c r="G6166">
        <v>-191.7714</v>
      </c>
      <c r="H6166" s="1">
        <v>-4.9838630000000003E-6</v>
      </c>
      <c r="I6166">
        <v>169.4462</v>
      </c>
      <c r="J6166">
        <v>-192.06739999999999</v>
      </c>
      <c r="K6166">
        <v>1.1112089999999999</v>
      </c>
      <c r="L6166">
        <v>184.54400000000001</v>
      </c>
      <c r="M6166">
        <v>-6.4606720000000006E-2</v>
      </c>
      <c r="N6166">
        <v>0</v>
      </c>
      <c r="O6166">
        <v>-0.99777400000000005</v>
      </c>
      <c r="P6166">
        <v>-0.10014339999999999</v>
      </c>
      <c r="Q6166">
        <v>-8.9536679999999997E-3</v>
      </c>
      <c r="R6166">
        <v>-0.99493310000000001</v>
      </c>
      <c r="S6166">
        <v>5.8197020000000002E-2</v>
      </c>
      <c r="T6166">
        <v>-0.22114410000000001</v>
      </c>
      <c r="U6166">
        <v>-3.0189360000000001</v>
      </c>
      <c r="V6166">
        <v>3.5635130000000001E-2</v>
      </c>
      <c r="W6166">
        <v>7.626285E-3</v>
      </c>
      <c r="X6166">
        <v>0.9993358</v>
      </c>
      <c r="Y6166">
        <v>-8.3785620000000005E-2</v>
      </c>
      <c r="Z6166">
        <v>7.2692530000000005E-2</v>
      </c>
      <c r="AA6166">
        <v>0.99382879999999996</v>
      </c>
      <c r="AB6166">
        <v>13</v>
      </c>
      <c r="AC6166">
        <v>0.29599999999999199</v>
      </c>
      <c r="AD6166">
        <v>-1.111213983863</v>
      </c>
      <c r="AE6166">
        <v>-15.097799999999999</v>
      </c>
      <c r="AF6166">
        <v>-1.2640888623975901</v>
      </c>
      <c r="AG6166">
        <v>-1.111213983863</v>
      </c>
      <c r="AH6166">
        <v>14.9660810732288</v>
      </c>
      <c r="AI6166">
        <v>94.231341148098707</v>
      </c>
      <c r="AJ6166">
        <v>94.827947693469397</v>
      </c>
      <c r="AK6166">
        <v>15.0604216362101</v>
      </c>
      <c r="AL6166">
        <v>89.563041834424297</v>
      </c>
      <c r="AM6166">
        <v>87.957765730262196</v>
      </c>
      <c r="AN6166">
        <v>1.0000000319373199</v>
      </c>
    </row>
    <row r="6167" spans="1:40" x14ac:dyDescent="0.25">
      <c r="A6167" t="str">
        <f>"20190312150815860"</f>
        <v>20190312150815860</v>
      </c>
      <c r="B6167" t="str">
        <f>"1552374495856247"</f>
        <v>1552374495856247</v>
      </c>
      <c r="C6167" t="s">
        <v>40</v>
      </c>
      <c r="D6167">
        <v>4.7098240000000002</v>
      </c>
      <c r="E6167">
        <v>0.51861820000000003</v>
      </c>
      <c r="F6167" t="s">
        <v>42</v>
      </c>
      <c r="G6167">
        <v>-193.91239999999999</v>
      </c>
      <c r="H6167" s="1">
        <v>-4.4735579999999999E-6</v>
      </c>
      <c r="I6167">
        <v>167.1283</v>
      </c>
      <c r="J6167">
        <v>-192.07079999999999</v>
      </c>
      <c r="K6167">
        <v>1.1112390000000001</v>
      </c>
      <c r="L6167">
        <v>184.4736</v>
      </c>
      <c r="M6167">
        <v>-6.3661129999999996E-2</v>
      </c>
      <c r="N6167">
        <v>0</v>
      </c>
      <c r="O6167">
        <v>-0.99783750000000004</v>
      </c>
      <c r="P6167">
        <v>-0.10032199999999999</v>
      </c>
      <c r="Q6167">
        <v>-8.6342929999999995E-3</v>
      </c>
      <c r="R6167">
        <v>-0.99491750000000001</v>
      </c>
      <c r="S6167">
        <v>-0.31588749999999999</v>
      </c>
      <c r="T6167">
        <v>-0.19025310000000001</v>
      </c>
      <c r="U6167">
        <v>-2.9817809999999998</v>
      </c>
      <c r="V6167">
        <v>3.6760889999999997E-2</v>
      </c>
      <c r="W6167">
        <v>7.7626569999999897E-3</v>
      </c>
      <c r="X6167">
        <v>0.99929389999999996</v>
      </c>
      <c r="Y6167">
        <v>4.1609060000000003E-2</v>
      </c>
      <c r="Z6167">
        <v>6.3278559999999998E-2</v>
      </c>
      <c r="AA6167">
        <v>0.99712809999999996</v>
      </c>
      <c r="AB6167">
        <v>13</v>
      </c>
      <c r="AC6167">
        <v>-1.8415999999999999</v>
      </c>
      <c r="AD6167">
        <v>-1.1112434735579999</v>
      </c>
      <c r="AE6167">
        <v>-17.345300000000002</v>
      </c>
      <c r="AF6167">
        <v>0.73052928765914305</v>
      </c>
      <c r="AG6167">
        <v>-1.1112434735579999</v>
      </c>
      <c r="AH6167">
        <v>17.356914481778499</v>
      </c>
      <c r="AI6167">
        <v>93.660022184474599</v>
      </c>
      <c r="AJ6167">
        <v>87.589919810709304</v>
      </c>
      <c r="AK6167">
        <v>17.407786057549799</v>
      </c>
      <c r="AL6167">
        <v>89.555228031418594</v>
      </c>
      <c r="AM6167">
        <v>87.893217890259805</v>
      </c>
      <c r="AN6167">
        <v>0.99999996022725002</v>
      </c>
    </row>
    <row r="6168" spans="1:40" x14ac:dyDescent="0.25">
      <c r="A6168" t="str">
        <f>"20190312150815872"</f>
        <v>20190312150815872</v>
      </c>
      <c r="B6168" t="str">
        <f>"1552374495866007"</f>
        <v>1552374495866007</v>
      </c>
      <c r="C6168" t="s">
        <v>40</v>
      </c>
      <c r="D6168">
        <v>4.7110729999999998</v>
      </c>
      <c r="E6168">
        <v>0.52168519999999996</v>
      </c>
      <c r="F6168" t="s">
        <v>42</v>
      </c>
      <c r="G6168">
        <v>-194.50970000000001</v>
      </c>
      <c r="H6168" s="1">
        <v>-5.1013069999999997E-6</v>
      </c>
      <c r="I6168">
        <v>168.4871</v>
      </c>
      <c r="J6168">
        <v>-192.07400000000001</v>
      </c>
      <c r="K6168">
        <v>1.1112660000000001</v>
      </c>
      <c r="L6168">
        <v>184.4066</v>
      </c>
      <c r="M6168">
        <v>-6.2761600000000001E-2</v>
      </c>
      <c r="N6168">
        <v>0</v>
      </c>
      <c r="O6168">
        <v>-0.99789740000000005</v>
      </c>
      <c r="P6168">
        <v>-0.1008288</v>
      </c>
      <c r="Q6168">
        <v>-8.3074629999999993E-3</v>
      </c>
      <c r="R6168">
        <v>-0.99486929999999996</v>
      </c>
      <c r="S6168">
        <v>-0.45277400000000001</v>
      </c>
      <c r="T6168">
        <v>-0.2063007</v>
      </c>
      <c r="U6168">
        <v>-2.9678650000000002</v>
      </c>
      <c r="V6168">
        <v>3.8170019999999999E-2</v>
      </c>
      <c r="W6168">
        <v>7.9228690000000008E-3</v>
      </c>
      <c r="X6168">
        <v>0.99923989999999996</v>
      </c>
      <c r="Y6168">
        <v>8.8108850000000002E-2</v>
      </c>
      <c r="Z6168">
        <v>6.8610069999999995E-2</v>
      </c>
      <c r="AA6168">
        <v>0.9937452</v>
      </c>
      <c r="AB6168">
        <v>13</v>
      </c>
      <c r="AC6168">
        <v>-2.43569999999999</v>
      </c>
      <c r="AD6168">
        <v>-1.111271101307</v>
      </c>
      <c r="AE6168">
        <v>-15.919499999999999</v>
      </c>
      <c r="AF6168">
        <v>1.42484856121601</v>
      </c>
      <c r="AG6168">
        <v>-1.111271101307</v>
      </c>
      <c r="AH6168">
        <v>15.9649805152245</v>
      </c>
      <c r="AI6168">
        <v>93.966039748097302</v>
      </c>
      <c r="AJ6168">
        <v>84.899957241758798</v>
      </c>
      <c r="AK6168">
        <v>16.066913821095099</v>
      </c>
      <c r="AL6168">
        <v>89.546048318054204</v>
      </c>
      <c r="AM6168">
        <v>87.812418963519406</v>
      </c>
      <c r="AN6168">
        <v>1.00000005001599</v>
      </c>
    </row>
    <row r="6169" spans="1:40" x14ac:dyDescent="0.25">
      <c r="A6169" t="str">
        <f>"20190312150815884"</f>
        <v>20190312150815884</v>
      </c>
      <c r="B6169" t="str">
        <f>"1552374495876742"</f>
        <v>1552374495876742</v>
      </c>
      <c r="C6169" t="s">
        <v>40</v>
      </c>
      <c r="D6169">
        <v>4.6030360000000003</v>
      </c>
      <c r="E6169">
        <v>0.52461559999999996</v>
      </c>
      <c r="F6169" t="s">
        <v>42</v>
      </c>
      <c r="G6169">
        <v>-194.72630000000001</v>
      </c>
      <c r="H6169" s="1">
        <v>-4.9404600000000001E-6</v>
      </c>
      <c r="I6169">
        <v>167.9682</v>
      </c>
      <c r="J6169">
        <v>-192.0778</v>
      </c>
      <c r="K6169">
        <v>1.1112979999999999</v>
      </c>
      <c r="L6169">
        <v>184.3254</v>
      </c>
      <c r="M6169">
        <v>-6.1667239999999998E-2</v>
      </c>
      <c r="N6169">
        <v>0</v>
      </c>
      <c r="O6169">
        <v>-0.99796870000000004</v>
      </c>
      <c r="P6169">
        <v>-0.1011802</v>
      </c>
      <c r="Q6169">
        <v>-8.1005599999999997E-3</v>
      </c>
      <c r="R6169">
        <v>-0.99483529999999998</v>
      </c>
      <c r="S6169">
        <v>-0.47843930000000001</v>
      </c>
      <c r="T6169">
        <v>-0.20046230000000001</v>
      </c>
      <c r="U6169">
        <v>-2.9653320000000001</v>
      </c>
      <c r="V6169">
        <v>3.9618269999999997E-2</v>
      </c>
      <c r="W6169">
        <v>7.9324059999999995E-3</v>
      </c>
      <c r="X6169">
        <v>0.99918340000000005</v>
      </c>
      <c r="Y6169">
        <v>9.7738720000000001E-2</v>
      </c>
      <c r="Z6169">
        <v>6.666569E-2</v>
      </c>
      <c r="AA6169">
        <v>0.99297670000000005</v>
      </c>
      <c r="AB6169">
        <v>13</v>
      </c>
      <c r="AC6169">
        <v>-2.6485000000000101</v>
      </c>
      <c r="AD6169">
        <v>-1.1113029404600001</v>
      </c>
      <c r="AE6169">
        <v>-16.357199999999999</v>
      </c>
      <c r="AF6169">
        <v>1.6273062356327901</v>
      </c>
      <c r="AG6169">
        <v>-1.1113029404600001</v>
      </c>
      <c r="AH6169">
        <v>16.415571730490001</v>
      </c>
      <c r="AI6169">
        <v>93.854072228646899</v>
      </c>
      <c r="AJ6169">
        <v>84.338659092885393</v>
      </c>
      <c r="AK6169">
        <v>16.533424177975501</v>
      </c>
      <c r="AL6169">
        <v>89.545501847695803</v>
      </c>
      <c r="AM6169">
        <v>87.729374614291402</v>
      </c>
      <c r="AN6169">
        <v>0.99999999860915001</v>
      </c>
    </row>
    <row r="6170" spans="1:40" x14ac:dyDescent="0.25">
      <c r="A6170" t="str">
        <f>"20190312150815896"</f>
        <v>20190312150815896</v>
      </c>
      <c r="B6170" t="str">
        <f>"1552374495886503"</f>
        <v>1552374495886503</v>
      </c>
      <c r="C6170" t="s">
        <v>40</v>
      </c>
      <c r="D6170">
        <v>4.6353960000000001</v>
      </c>
      <c r="E6170">
        <v>0.52615310000000004</v>
      </c>
      <c r="F6170" t="s">
        <v>42</v>
      </c>
      <c r="G6170">
        <v>-194.93129999999999</v>
      </c>
      <c r="H6170" s="1">
        <v>-4.8004209999999998E-6</v>
      </c>
      <c r="I6170">
        <v>167.50880000000001</v>
      </c>
      <c r="J6170">
        <v>-192.08090000000001</v>
      </c>
      <c r="K6170">
        <v>1.1113109999999999</v>
      </c>
      <c r="L6170">
        <v>184.25579999999999</v>
      </c>
      <c r="M6170">
        <v>-6.0705809999999999E-2</v>
      </c>
      <c r="N6170">
        <v>0</v>
      </c>
      <c r="O6170">
        <v>-0.99803050000000004</v>
      </c>
      <c r="P6170">
        <v>-0.1016891</v>
      </c>
      <c r="Q6170">
        <v>-7.9089499999999997E-3</v>
      </c>
      <c r="R6170">
        <v>-0.99478469999999997</v>
      </c>
      <c r="S6170">
        <v>-0.50274659999999904</v>
      </c>
      <c r="T6170">
        <v>-0.19579559999999999</v>
      </c>
      <c r="U6170">
        <v>-2.9628450000000002</v>
      </c>
      <c r="V6170">
        <v>4.109177E-2</v>
      </c>
      <c r="W6170">
        <v>7.9557699999999992E-3</v>
      </c>
      <c r="X6170">
        <v>0.99912369999999995</v>
      </c>
      <c r="Y6170">
        <v>0.1067708</v>
      </c>
      <c r="Z6170">
        <v>6.5106380000000005E-2</v>
      </c>
      <c r="AA6170">
        <v>0.99214979999999997</v>
      </c>
      <c r="AB6170">
        <v>13</v>
      </c>
      <c r="AC6170">
        <v>-2.8503999999999698</v>
      </c>
      <c r="AD6170">
        <v>-1.111315800421</v>
      </c>
      <c r="AE6170">
        <v>-16.7469999999999</v>
      </c>
      <c r="AF6170">
        <v>1.82058314602321</v>
      </c>
      <c r="AG6170">
        <v>-1.111315800421</v>
      </c>
      <c r="AH6170">
        <v>16.8171931843236</v>
      </c>
      <c r="AI6170">
        <v>93.758831366194201</v>
      </c>
      <c r="AJ6170">
        <v>83.821378356557304</v>
      </c>
      <c r="AK6170">
        <v>16.951918251298601</v>
      </c>
      <c r="AL6170">
        <v>89.544163146521996</v>
      </c>
      <c r="AM6170">
        <v>87.6448773448775</v>
      </c>
      <c r="AN6170">
        <v>0.99999999786985705</v>
      </c>
    </row>
    <row r="6171" spans="1:40" x14ac:dyDescent="0.25">
      <c r="A6171" t="str">
        <f>"20190312150815913"</f>
        <v>20190312150815913</v>
      </c>
      <c r="B6171" t="str">
        <f>"1552374495906118"</f>
        <v>1552374495906118</v>
      </c>
      <c r="C6171" t="s">
        <v>40</v>
      </c>
      <c r="D6171">
        <v>4.6302690000000002</v>
      </c>
      <c r="E6171">
        <v>0.52832919999999906</v>
      </c>
      <c r="F6171" t="s">
        <v>42</v>
      </c>
      <c r="G6171">
        <v>-195.0856</v>
      </c>
      <c r="H6171" s="1">
        <v>-4.6433190000000004E-6</v>
      </c>
      <c r="I6171">
        <v>167.02850000000001</v>
      </c>
      <c r="J6171">
        <v>-192.08529999999999</v>
      </c>
      <c r="K6171">
        <v>1.111318</v>
      </c>
      <c r="L6171">
        <v>184.1574</v>
      </c>
      <c r="M6171">
        <v>-5.932929E-2</v>
      </c>
      <c r="N6171">
        <v>0</v>
      </c>
      <c r="O6171">
        <v>-0.99811709999999998</v>
      </c>
      <c r="P6171">
        <v>-0.1035692</v>
      </c>
      <c r="Q6171">
        <v>-7.2154009999999998E-3</v>
      </c>
      <c r="R6171">
        <v>-0.99459640000000005</v>
      </c>
      <c r="S6171">
        <v>-0.51651000000000002</v>
      </c>
      <c r="T6171">
        <v>-0.1910384</v>
      </c>
      <c r="U6171">
        <v>-2.9614259999999999</v>
      </c>
      <c r="V6171">
        <v>4.4357010000000002E-2</v>
      </c>
      <c r="W6171">
        <v>8.4201940000000006E-3</v>
      </c>
      <c r="X6171">
        <v>0.99898030000000004</v>
      </c>
      <c r="Y6171">
        <v>0.1127148</v>
      </c>
      <c r="Z6171">
        <v>6.3523099999999999E-2</v>
      </c>
      <c r="AA6171">
        <v>0.9915948</v>
      </c>
      <c r="AB6171">
        <v>13</v>
      </c>
      <c r="AC6171">
        <v>-3.0003000000000002</v>
      </c>
      <c r="AD6171">
        <v>-1.111322643319</v>
      </c>
      <c r="AE6171">
        <v>-17.128899999999899</v>
      </c>
      <c r="AF6171">
        <v>1.9705968493241099</v>
      </c>
      <c r="AG6171">
        <v>-1.111322643319</v>
      </c>
      <c r="AH6171">
        <v>17.2064737067404</v>
      </c>
      <c r="AI6171">
        <v>93.671522995988397</v>
      </c>
      <c r="AJ6171">
        <v>83.466581671507299</v>
      </c>
      <c r="AK6171">
        <v>17.354567911096801</v>
      </c>
      <c r="AL6171">
        <v>89.517552740325002</v>
      </c>
      <c r="AM6171">
        <v>87.457606305804504</v>
      </c>
      <c r="AN6171">
        <v>1.0000000418956101</v>
      </c>
    </row>
    <row r="6172" spans="1:40" x14ac:dyDescent="0.25">
      <c r="A6172" t="str">
        <f>"20190312150815925"</f>
        <v>20190312150815925</v>
      </c>
      <c r="B6172" t="str">
        <f>"1552374495916760"</f>
        <v>1552374495916760</v>
      </c>
      <c r="C6172" t="s">
        <v>40</v>
      </c>
      <c r="D6172">
        <v>4.6671459999999998</v>
      </c>
      <c r="E6172">
        <v>0.52916509999999894</v>
      </c>
      <c r="F6172" t="s">
        <v>42</v>
      </c>
      <c r="G6172">
        <v>-195.27619999999999</v>
      </c>
      <c r="H6172" s="1">
        <v>-4.5276329999999999E-6</v>
      </c>
      <c r="I6172">
        <v>166.63919999999999</v>
      </c>
      <c r="J6172">
        <v>-192.0882</v>
      </c>
      <c r="K6172">
        <v>1.111318</v>
      </c>
      <c r="L6172">
        <v>184.08850000000001</v>
      </c>
      <c r="M6172">
        <v>-5.8352540000000001E-2</v>
      </c>
      <c r="N6172">
        <v>0</v>
      </c>
      <c r="O6172">
        <v>-0.99817699999999998</v>
      </c>
      <c r="P6172">
        <v>-0.1041904</v>
      </c>
      <c r="Q6172">
        <v>-6.8201540000000001E-3</v>
      </c>
      <c r="R6172">
        <v>-0.99453449999999999</v>
      </c>
      <c r="S6172">
        <v>-0.53894039999999999</v>
      </c>
      <c r="T6172">
        <v>-0.18770029999999999</v>
      </c>
      <c r="U6172">
        <v>-2.9588009999999998</v>
      </c>
      <c r="V6172">
        <v>4.595809E-2</v>
      </c>
      <c r="W6172">
        <v>8.6600319999999998E-3</v>
      </c>
      <c r="X6172">
        <v>0.99890579999999995</v>
      </c>
      <c r="Y6172">
        <v>0.1211301</v>
      </c>
      <c r="Z6172">
        <v>6.2405099999999901E-2</v>
      </c>
      <c r="AA6172">
        <v>0.99067309999999997</v>
      </c>
      <c r="AB6172">
        <v>13</v>
      </c>
      <c r="AC6172">
        <v>-3.1879999999999802</v>
      </c>
      <c r="AD6172">
        <v>-1.1113225276330001</v>
      </c>
      <c r="AE6172">
        <v>-17.449300000000001</v>
      </c>
      <c r="AF6172">
        <v>2.1557726001145099</v>
      </c>
      <c r="AG6172">
        <v>-1.1113225276330001</v>
      </c>
      <c r="AH6172">
        <v>17.536774250673002</v>
      </c>
      <c r="AI6172">
        <v>93.599021564586707</v>
      </c>
      <c r="AJ6172">
        <v>82.991865076388507</v>
      </c>
      <c r="AK6172">
        <v>17.7036957831662</v>
      </c>
      <c r="AL6172">
        <v>89.503810498750397</v>
      </c>
      <c r="AM6172">
        <v>87.365768644355498</v>
      </c>
      <c r="AN6172">
        <v>0.99999996973216398</v>
      </c>
    </row>
    <row r="6173" spans="1:40" x14ac:dyDescent="0.25">
      <c r="A6173" t="str">
        <f>"20190312150815938"</f>
        <v>20190312150815938</v>
      </c>
      <c r="B6173" t="str">
        <f>"1552374495926519"</f>
        <v>1552374495926519</v>
      </c>
      <c r="C6173" t="s">
        <v>40</v>
      </c>
      <c r="D6173">
        <v>4.6448029999999996</v>
      </c>
      <c r="E6173">
        <v>0.52974779999999999</v>
      </c>
      <c r="F6173" t="s">
        <v>42</v>
      </c>
      <c r="G6173">
        <v>-195.2466</v>
      </c>
      <c r="H6173" s="1">
        <v>-4.6734629999999998E-6</v>
      </c>
      <c r="I6173">
        <v>167.0326</v>
      </c>
      <c r="J6173">
        <v>-192.09129999999999</v>
      </c>
      <c r="K6173">
        <v>1.1113150000000001</v>
      </c>
      <c r="L6173">
        <v>184.01410000000001</v>
      </c>
      <c r="M6173">
        <v>-5.7288930000000002E-2</v>
      </c>
      <c r="N6173">
        <v>0</v>
      </c>
      <c r="O6173">
        <v>-0.99824109999999999</v>
      </c>
      <c r="P6173">
        <v>-0.10480780000000001</v>
      </c>
      <c r="Q6173">
        <v>-6.8024929999999997E-3</v>
      </c>
      <c r="R6173">
        <v>-0.99446959999999995</v>
      </c>
      <c r="S6173">
        <v>-0.54771419999999904</v>
      </c>
      <c r="T6173">
        <v>-0.19272400000000001</v>
      </c>
      <c r="U6173">
        <v>-2.9578090000000001</v>
      </c>
      <c r="V6173">
        <v>4.764297E-2</v>
      </c>
      <c r="W6173">
        <v>8.5293850000000004E-3</v>
      </c>
      <c r="X6173">
        <v>0.99882800000000005</v>
      </c>
      <c r="Y6173">
        <v>0.12506909999999999</v>
      </c>
      <c r="Z6173">
        <v>6.4062809999999998E-2</v>
      </c>
      <c r="AA6173">
        <v>0.9900776</v>
      </c>
      <c r="AB6173">
        <v>13</v>
      </c>
      <c r="AC6173">
        <v>-3.1553000000000102</v>
      </c>
      <c r="AD6173">
        <v>-1.111319673463</v>
      </c>
      <c r="AE6173">
        <v>-16.9815</v>
      </c>
      <c r="AF6173">
        <v>2.1681755566841399</v>
      </c>
      <c r="AG6173">
        <v>-1.111319673463</v>
      </c>
      <c r="AH6173">
        <v>17.063747143665701</v>
      </c>
      <c r="AI6173">
        <v>93.696631690592895</v>
      </c>
      <c r="AJ6173">
        <v>82.758615264177905</v>
      </c>
      <c r="AK6173">
        <v>17.2368060627307</v>
      </c>
      <c r="AL6173">
        <v>89.511296306247999</v>
      </c>
      <c r="AM6173">
        <v>87.269125709094496</v>
      </c>
      <c r="AN6173">
        <v>0.99999998829144898</v>
      </c>
    </row>
    <row r="6174" spans="1:40" x14ac:dyDescent="0.25">
      <c r="A6174" t="str">
        <f>"20190312150815950"</f>
        <v>20190312150815950</v>
      </c>
      <c r="B6174" t="str">
        <f>"1552374495946038"</f>
        <v>1552374495946038</v>
      </c>
      <c r="C6174" t="s">
        <v>40</v>
      </c>
      <c r="D6174">
        <v>4.6361889999999999</v>
      </c>
      <c r="E6174">
        <v>0.53072269999999999</v>
      </c>
      <c r="F6174" t="s">
        <v>42</v>
      </c>
      <c r="G6174">
        <v>-195.208</v>
      </c>
      <c r="H6174" s="1">
        <v>-4.8021350000000001E-6</v>
      </c>
      <c r="I6174">
        <v>167.38550000000001</v>
      </c>
      <c r="J6174">
        <v>-192.0942</v>
      </c>
      <c r="K6174">
        <v>1.1113109999999999</v>
      </c>
      <c r="L6174">
        <v>183.94409999999999</v>
      </c>
      <c r="M6174">
        <v>-5.6285969999999998E-2</v>
      </c>
      <c r="N6174">
        <v>0</v>
      </c>
      <c r="O6174">
        <v>-0.99830010000000002</v>
      </c>
      <c r="P6174">
        <v>-0.10537390000000001</v>
      </c>
      <c r="Q6174">
        <v>-6.3150669999999997E-3</v>
      </c>
      <c r="R6174">
        <v>-0.99441299999999999</v>
      </c>
      <c r="S6174">
        <v>-0.55421450000000005</v>
      </c>
      <c r="T6174">
        <v>-0.19761590000000001</v>
      </c>
      <c r="U6174">
        <v>-2.9569239999999999</v>
      </c>
      <c r="V6174">
        <v>4.9214569999999999E-2</v>
      </c>
      <c r="W6174">
        <v>8.8874769999999995E-3</v>
      </c>
      <c r="X6174">
        <v>0.99874870000000004</v>
      </c>
      <c r="Y6174">
        <v>0.1282025</v>
      </c>
      <c r="Z6174">
        <v>6.5680509999999998E-2</v>
      </c>
      <c r="AA6174">
        <v>0.98957070000000003</v>
      </c>
      <c r="AB6174">
        <v>13</v>
      </c>
      <c r="AC6174">
        <v>-3.1137999999999901</v>
      </c>
      <c r="AD6174">
        <v>-1.111315802135</v>
      </c>
      <c r="AE6174">
        <v>-16.558599999999899</v>
      </c>
      <c r="AF6174">
        <v>2.1673102157450401</v>
      </c>
      <c r="AG6174">
        <v>-1.111315802135</v>
      </c>
      <c r="AH6174">
        <v>16.6352556631936</v>
      </c>
      <c r="AI6174">
        <v>93.790021247200997</v>
      </c>
      <c r="AJ6174">
        <v>82.577078184566204</v>
      </c>
      <c r="AK6174">
        <v>16.8126139360648</v>
      </c>
      <c r="AL6174">
        <v>89.490778380410305</v>
      </c>
      <c r="AM6174">
        <v>87.178961849828795</v>
      </c>
      <c r="AN6174">
        <v>1.0000000134497</v>
      </c>
    </row>
    <row r="6175" spans="1:40" x14ac:dyDescent="0.25">
      <c r="A6175" t="str">
        <f>"20190312150815969"</f>
        <v>20190312150815969</v>
      </c>
      <c r="B6175" t="str">
        <f>"1552374495955799"</f>
        <v>1552374495955799</v>
      </c>
      <c r="C6175" t="s">
        <v>40</v>
      </c>
      <c r="D6175">
        <v>4.6493250000000002</v>
      </c>
      <c r="E6175">
        <v>0.531167099999999</v>
      </c>
      <c r="F6175" t="s">
        <v>42</v>
      </c>
      <c r="G6175">
        <v>-195.137</v>
      </c>
      <c r="H6175" s="1">
        <v>-5.0205770000000003E-6</v>
      </c>
      <c r="I6175">
        <v>167.9871</v>
      </c>
      <c r="J6175">
        <v>-192.0986</v>
      </c>
      <c r="K6175">
        <v>1.1113120000000001</v>
      </c>
      <c r="L6175">
        <v>183.8322</v>
      </c>
      <c r="M6175">
        <v>-5.4684770000000001E-2</v>
      </c>
      <c r="N6175">
        <v>0</v>
      </c>
      <c r="O6175">
        <v>-0.99839160000000005</v>
      </c>
      <c r="P6175">
        <v>-0.1070555</v>
      </c>
      <c r="Q6175">
        <v>-6.010268E-3</v>
      </c>
      <c r="R6175">
        <v>-0.99423510000000004</v>
      </c>
      <c r="S6175">
        <v>-0.56364440000000005</v>
      </c>
      <c r="T6175">
        <v>-0.20585700000000001</v>
      </c>
      <c r="U6175">
        <v>-2.9558260000000001</v>
      </c>
      <c r="V6175">
        <v>5.2505509999999998E-2</v>
      </c>
      <c r="W6175">
        <v>9.011926E-3</v>
      </c>
      <c r="X6175">
        <v>0.99858000000000002</v>
      </c>
      <c r="Y6175">
        <v>0.13287209999999999</v>
      </c>
      <c r="Z6175">
        <v>6.8399760000000004E-2</v>
      </c>
      <c r="AA6175">
        <v>0.98877020000000004</v>
      </c>
      <c r="AB6175">
        <v>13</v>
      </c>
      <c r="AC6175">
        <v>-3.03839999999999</v>
      </c>
      <c r="AD6175">
        <v>-1.111317020577</v>
      </c>
      <c r="AE6175">
        <v>-15.8451</v>
      </c>
      <c r="AF6175">
        <v>2.1570355490724098</v>
      </c>
      <c r="AG6175">
        <v>-1.111317020577</v>
      </c>
      <c r="AH6175">
        <v>15.912060956152001</v>
      </c>
      <c r="AI6175">
        <v>93.959023085962698</v>
      </c>
      <c r="AJ6175">
        <v>82.2800553728529</v>
      </c>
      <c r="AK6175">
        <v>16.0960091871396</v>
      </c>
      <c r="AL6175">
        <v>89.483647700949305</v>
      </c>
      <c r="AM6175">
        <v>86.990149662868205</v>
      </c>
      <c r="AN6175">
        <v>1.00000002989529</v>
      </c>
    </row>
    <row r="6176" spans="1:40" x14ac:dyDescent="0.25">
      <c r="A6176" t="str">
        <f>"20190312150815982"</f>
        <v>20190312150815982</v>
      </c>
      <c r="B6176" t="str">
        <f>"1552374495976295"</f>
        <v>1552374495976295</v>
      </c>
      <c r="C6176" t="s">
        <v>40</v>
      </c>
      <c r="D6176">
        <v>4.6412909999999998</v>
      </c>
      <c r="E6176">
        <v>0.53173169999999903</v>
      </c>
      <c r="F6176" t="s">
        <v>42</v>
      </c>
      <c r="G6176">
        <v>-195.1584</v>
      </c>
      <c r="H6176" s="1">
        <v>-5.0391489999999996E-6</v>
      </c>
      <c r="I6176">
        <v>168.0256</v>
      </c>
      <c r="J6176">
        <v>-192.10149999999999</v>
      </c>
      <c r="K6176">
        <v>1.1113109999999999</v>
      </c>
      <c r="L6176">
        <v>183.7568</v>
      </c>
      <c r="M6176">
        <v>-5.3607729999999999E-2</v>
      </c>
      <c r="N6176">
        <v>0</v>
      </c>
      <c r="O6176">
        <v>-0.99845159999999999</v>
      </c>
      <c r="P6176">
        <v>-0.1073785</v>
      </c>
      <c r="Q6176">
        <v>-5.4846309999999898E-3</v>
      </c>
      <c r="R6176">
        <v>-0.99420310000000001</v>
      </c>
      <c r="S6176">
        <v>-0.57192989999999999</v>
      </c>
      <c r="T6176">
        <v>-0.2077271</v>
      </c>
      <c r="U6176">
        <v>-2.9545590000000002</v>
      </c>
      <c r="V6176">
        <v>5.3906549999999998E-2</v>
      </c>
      <c r="W6176">
        <v>9.4296180000000007E-3</v>
      </c>
      <c r="X6176">
        <v>0.99850150000000004</v>
      </c>
      <c r="Y6176">
        <v>0.13668429999999901</v>
      </c>
      <c r="Z6176">
        <v>6.9017099999999998E-2</v>
      </c>
      <c r="AA6176">
        <v>0.98820750000000002</v>
      </c>
      <c r="AB6176">
        <v>13</v>
      </c>
      <c r="AC6176">
        <v>-3.0569000000000099</v>
      </c>
      <c r="AD6176">
        <v>-1.111316039149</v>
      </c>
      <c r="AE6176">
        <v>-15.731199999999999</v>
      </c>
      <c r="AF6176">
        <v>2.1985237769294499</v>
      </c>
      <c r="AG6176">
        <v>-1.111316039149</v>
      </c>
      <c r="AH6176">
        <v>15.796500931289</v>
      </c>
      <c r="AI6176">
        <v>93.985950296237405</v>
      </c>
      <c r="AJ6176">
        <v>82.076592380585296</v>
      </c>
      <c r="AK6176">
        <v>15.987431682694</v>
      </c>
      <c r="AL6176">
        <v>89.459714700587895</v>
      </c>
      <c r="AM6176">
        <v>86.909746957198607</v>
      </c>
      <c r="AN6176">
        <v>1.0000000396653801</v>
      </c>
    </row>
    <row r="6177" spans="1:40" x14ac:dyDescent="0.25">
      <c r="A6177" t="str">
        <f>"20190312150815995"</f>
        <v>20190312150815995</v>
      </c>
      <c r="B6177" t="str">
        <f>"1552374495986055"</f>
        <v>1552374495986055</v>
      </c>
      <c r="C6177" t="s">
        <v>40</v>
      </c>
      <c r="D6177">
        <v>4.6507019999999999</v>
      </c>
      <c r="E6177">
        <v>0.53157270000000001</v>
      </c>
      <c r="F6177" t="s">
        <v>42</v>
      </c>
      <c r="G6177">
        <v>-195.11699999999999</v>
      </c>
      <c r="H6177" s="1">
        <v>-5.1489729999999996E-6</v>
      </c>
      <c r="I6177">
        <v>168.33070000000001</v>
      </c>
      <c r="J6177">
        <v>-192.10429999999999</v>
      </c>
      <c r="K6177">
        <v>1.1113090000000001</v>
      </c>
      <c r="L6177">
        <v>183.6806</v>
      </c>
      <c r="M6177">
        <v>-5.2518809999999999E-2</v>
      </c>
      <c r="N6177">
        <v>0</v>
      </c>
      <c r="O6177">
        <v>-0.99851100000000004</v>
      </c>
      <c r="P6177">
        <v>-0.1078543</v>
      </c>
      <c r="Q6177">
        <v>-5.3544380000000004E-3</v>
      </c>
      <c r="R6177">
        <v>-0.99415249999999999</v>
      </c>
      <c r="S6177">
        <v>-0.57745360000000001</v>
      </c>
      <c r="T6177">
        <v>-0.2128071</v>
      </c>
      <c r="U6177">
        <v>-2.953964</v>
      </c>
      <c r="V6177">
        <v>5.5473460000000002E-2</v>
      </c>
      <c r="W6177">
        <v>9.4610879999999994E-3</v>
      </c>
      <c r="X6177">
        <v>0.99841539999999995</v>
      </c>
      <c r="Y6177">
        <v>0.1395593</v>
      </c>
      <c r="Z6177">
        <v>7.0689840000000004E-2</v>
      </c>
      <c r="AA6177">
        <v>0.98768730000000005</v>
      </c>
      <c r="AB6177">
        <v>13</v>
      </c>
      <c r="AC6177">
        <v>-3.0127000000000201</v>
      </c>
      <c r="AD6177">
        <v>-1.1113141489730001</v>
      </c>
      <c r="AE6177">
        <v>-15.3498999999999</v>
      </c>
      <c r="AF6177">
        <v>2.1912356640733099</v>
      </c>
      <c r="AG6177">
        <v>-1.1113141489730001</v>
      </c>
      <c r="AH6177">
        <v>15.409179545260001</v>
      </c>
      <c r="AI6177">
        <v>94.084098873377798</v>
      </c>
      <c r="AJ6177">
        <v>81.906616075508694</v>
      </c>
      <c r="AK6177">
        <v>15.603824759695099</v>
      </c>
      <c r="AL6177">
        <v>89.457911535208197</v>
      </c>
      <c r="AM6177">
        <v>86.819830179149704</v>
      </c>
      <c r="AN6177">
        <v>1.00000006395383</v>
      </c>
    </row>
    <row r="6178" spans="1:40" x14ac:dyDescent="0.25">
      <c r="A6178" t="str">
        <f>"20190312150816007"</f>
        <v>20190312150816007</v>
      </c>
      <c r="B6178" t="str">
        <f>"1552374495995816"</f>
        <v>1552374495995816</v>
      </c>
      <c r="C6178" t="s">
        <v>40</v>
      </c>
      <c r="D6178">
        <v>4.6249640000000003</v>
      </c>
      <c r="E6178">
        <v>0.53171380000000001</v>
      </c>
      <c r="F6178" t="s">
        <v>42</v>
      </c>
      <c r="G6178">
        <v>-195.14330000000001</v>
      </c>
      <c r="H6178" s="1">
        <v>-5.080405E-6</v>
      </c>
      <c r="I6178">
        <v>168.14</v>
      </c>
      <c r="J6178">
        <v>-192.1069</v>
      </c>
      <c r="K6178">
        <v>1.1113109999999999</v>
      </c>
      <c r="L6178">
        <v>183.60769999999999</v>
      </c>
      <c r="M6178">
        <v>-5.1476349999999997E-2</v>
      </c>
      <c r="N6178">
        <v>0</v>
      </c>
      <c r="O6178">
        <v>-0.99856659999999997</v>
      </c>
      <c r="P6178">
        <v>-0.1080969</v>
      </c>
      <c r="Q6178">
        <v>-5.2179610000000001E-3</v>
      </c>
      <c r="R6178">
        <v>-0.99412659999999997</v>
      </c>
      <c r="S6178">
        <v>-0.577636699999999</v>
      </c>
      <c r="T6178">
        <v>-0.21123059999999999</v>
      </c>
      <c r="U6178">
        <v>-2.9538419999999999</v>
      </c>
      <c r="V6178">
        <v>5.6759469999999999E-2</v>
      </c>
      <c r="W6178">
        <v>9.5068630000000008E-3</v>
      </c>
      <c r="X6178">
        <v>0.99834259999999997</v>
      </c>
      <c r="Y6178">
        <v>0.14066670000000001</v>
      </c>
      <c r="Z6178">
        <v>7.0171399999999995E-2</v>
      </c>
      <c r="AA6178">
        <v>0.98756710000000003</v>
      </c>
      <c r="AB6178">
        <v>13</v>
      </c>
      <c r="AC6178">
        <v>-3.0364000000000102</v>
      </c>
      <c r="AD6178">
        <v>-1.111316080405</v>
      </c>
      <c r="AE6178">
        <v>-15.467700000000001</v>
      </c>
      <c r="AF6178">
        <v>2.2250077438934501</v>
      </c>
      <c r="AG6178">
        <v>-1.111316080405</v>
      </c>
      <c r="AH6178">
        <v>15.526334299256</v>
      </c>
      <c r="AI6178">
        <v>94.052769346850297</v>
      </c>
      <c r="AJ6178">
        <v>81.844728938413894</v>
      </c>
      <c r="AK6178">
        <v>15.724272309496699</v>
      </c>
      <c r="AL6178">
        <v>89.455288658699402</v>
      </c>
      <c r="AM6178">
        <v>86.746025949163894</v>
      </c>
      <c r="AN6178">
        <v>0.99999998242677002</v>
      </c>
    </row>
    <row r="6179" spans="1:40" x14ac:dyDescent="0.25">
      <c r="A6179" t="str">
        <f>"20190312150816025"</f>
        <v>20190312150816025</v>
      </c>
      <c r="B6179" t="str">
        <f>"1552374496016314"</f>
        <v>1552374496016314</v>
      </c>
      <c r="C6179" t="s">
        <v>40</v>
      </c>
      <c r="D6179">
        <v>4.7568950000000001</v>
      </c>
      <c r="E6179">
        <v>0.531945</v>
      </c>
      <c r="F6179" t="s">
        <v>42</v>
      </c>
      <c r="G6179">
        <v>-195.17320000000001</v>
      </c>
      <c r="H6179" s="1">
        <v>-5.0243210000000003E-6</v>
      </c>
      <c r="I6179">
        <v>167.98009999999999</v>
      </c>
      <c r="J6179">
        <v>-192.1104</v>
      </c>
      <c r="K6179">
        <v>1.1113150000000001</v>
      </c>
      <c r="L6179">
        <v>183.50790000000001</v>
      </c>
      <c r="M6179">
        <v>-5.0048950000000002E-2</v>
      </c>
      <c r="N6179">
        <v>0</v>
      </c>
      <c r="O6179">
        <v>-0.99864090000000005</v>
      </c>
      <c r="P6179">
        <v>-0.1091857</v>
      </c>
      <c r="Q6179">
        <v>-4.9209509999999998E-3</v>
      </c>
      <c r="R6179">
        <v>-0.99400929999999998</v>
      </c>
      <c r="S6179">
        <v>-0.57952879999999996</v>
      </c>
      <c r="T6179">
        <v>-0.21004200000000001</v>
      </c>
      <c r="U6179">
        <v>-2.9536440000000002</v>
      </c>
      <c r="V6179">
        <v>5.9279680000000001E-2</v>
      </c>
      <c r="W6179">
        <v>9.6894819999999993E-3</v>
      </c>
      <c r="X6179">
        <v>0.99819440000000004</v>
      </c>
      <c r="Y6179">
        <v>0.14270869999999999</v>
      </c>
      <c r="Z6179">
        <v>6.9776179999999993E-2</v>
      </c>
      <c r="AA6179">
        <v>0.98730209999999996</v>
      </c>
      <c r="AB6179">
        <v>13</v>
      </c>
      <c r="AC6179">
        <v>-3.0628000000000002</v>
      </c>
      <c r="AD6179">
        <v>-1.111320024321</v>
      </c>
      <c r="AE6179">
        <v>-15.527799999999999</v>
      </c>
      <c r="AF6179">
        <v>2.2705338776725799</v>
      </c>
      <c r="AG6179">
        <v>-1.111320024321</v>
      </c>
      <c r="AH6179">
        <v>15.5848027402282</v>
      </c>
      <c r="AI6179">
        <v>94.0362720564667</v>
      </c>
      <c r="AJ6179">
        <v>81.710954291324995</v>
      </c>
      <c r="AK6179">
        <v>15.7884905148636</v>
      </c>
      <c r="AL6179">
        <v>89.444824895715698</v>
      </c>
      <c r="AM6179">
        <v>86.601372437285903</v>
      </c>
      <c r="AN6179">
        <v>1.0000000133568401</v>
      </c>
    </row>
    <row r="6180" spans="1:40" x14ac:dyDescent="0.25">
      <c r="A6180" t="str">
        <f>"20190312150816035"</f>
        <v>20190312150816035</v>
      </c>
      <c r="B6180" t="str">
        <f>"1552374496026071"</f>
        <v>1552374496026071</v>
      </c>
      <c r="C6180" t="s">
        <v>40</v>
      </c>
      <c r="D6180">
        <v>4.6308959999999999</v>
      </c>
      <c r="E6180">
        <v>0.5319895</v>
      </c>
      <c r="F6180" t="s">
        <v>42</v>
      </c>
      <c r="G6180">
        <v>-195.2355</v>
      </c>
      <c r="H6180" s="1">
        <v>-4.9350829999999997E-6</v>
      </c>
      <c r="I6180">
        <v>167.71899999999999</v>
      </c>
      <c r="J6180">
        <v>-192.11269999999999</v>
      </c>
      <c r="K6180">
        <v>1.111318</v>
      </c>
      <c r="L6180">
        <v>183.4401</v>
      </c>
      <c r="M6180">
        <v>-4.9077049999999997E-2</v>
      </c>
      <c r="N6180">
        <v>0</v>
      </c>
      <c r="O6180">
        <v>-0.99869019999999997</v>
      </c>
      <c r="P6180">
        <v>-0.1094572</v>
      </c>
      <c r="Q6180">
        <v>-4.5440360000000004E-3</v>
      </c>
      <c r="R6180">
        <v>-0.99398120000000001</v>
      </c>
      <c r="S6180">
        <v>-0.58445740000000002</v>
      </c>
      <c r="T6180">
        <v>-0.20783979999999999</v>
      </c>
      <c r="U6180">
        <v>-2.9528660000000002</v>
      </c>
      <c r="V6180">
        <v>6.052329E-2</v>
      </c>
      <c r="W6180">
        <v>9.9970279999999998E-3</v>
      </c>
      <c r="X6180">
        <v>0.99811669999999997</v>
      </c>
      <c r="Y6180">
        <v>0.14531669999999999</v>
      </c>
      <c r="Z6180">
        <v>6.9046769999999993E-2</v>
      </c>
      <c r="AA6180">
        <v>0.98697290000000004</v>
      </c>
      <c r="AB6180">
        <v>13</v>
      </c>
      <c r="AC6180">
        <v>-3.12280000000001</v>
      </c>
      <c r="AD6180">
        <v>-1.1113229350830001</v>
      </c>
      <c r="AE6180">
        <v>-15.7210999999999</v>
      </c>
      <c r="AF6180">
        <v>2.3361793514918401</v>
      </c>
      <c r="AG6180">
        <v>-1.1113229350830001</v>
      </c>
      <c r="AH6180">
        <v>15.7795675529359</v>
      </c>
      <c r="AI6180">
        <v>93.985275849019203</v>
      </c>
      <c r="AJ6180">
        <v>81.578482681606403</v>
      </c>
      <c r="AK6180">
        <v>15.9902321679845</v>
      </c>
      <c r="AL6180">
        <v>89.427202934115599</v>
      </c>
      <c r="AM6180">
        <v>86.5299766439949</v>
      </c>
      <c r="AN6180">
        <v>0.99999997801007301</v>
      </c>
    </row>
    <row r="6181" spans="1:40" x14ac:dyDescent="0.25">
      <c r="A6181" t="str">
        <f>"20190312150816047"</f>
        <v>20190312150816047</v>
      </c>
      <c r="B6181" t="str">
        <f>"1552374496035831"</f>
        <v>1552374496035831</v>
      </c>
      <c r="C6181" t="s">
        <v>40</v>
      </c>
      <c r="D6181">
        <v>4.5948229999999999</v>
      </c>
      <c r="E6181">
        <v>0.53201999999999905</v>
      </c>
      <c r="F6181" t="s">
        <v>42</v>
      </c>
      <c r="G6181">
        <v>-195.22130000000001</v>
      </c>
      <c r="H6181" s="1">
        <v>-4.9520810000000001E-6</v>
      </c>
      <c r="I6181">
        <v>167.7698</v>
      </c>
      <c r="J6181">
        <v>-192.1148</v>
      </c>
      <c r="K6181">
        <v>1.111321</v>
      </c>
      <c r="L6181">
        <v>183.37700000000001</v>
      </c>
      <c r="M6181">
        <v>-4.8171749999999999E-2</v>
      </c>
      <c r="N6181">
        <v>0</v>
      </c>
      <c r="O6181">
        <v>-0.99873529999999999</v>
      </c>
      <c r="P6181">
        <v>-0.1096819</v>
      </c>
      <c r="Q6181">
        <v>-4.1782080000000001E-3</v>
      </c>
      <c r="R6181">
        <v>-0.99395820000000001</v>
      </c>
      <c r="S6181">
        <v>-0.58573909999999996</v>
      </c>
      <c r="T6181">
        <v>-0.20940210000000001</v>
      </c>
      <c r="U6181">
        <v>-2.9526979999999998</v>
      </c>
      <c r="V6181">
        <v>6.1653180000000002E-2</v>
      </c>
      <c r="W6181">
        <v>1.02998E-2</v>
      </c>
      <c r="X6181">
        <v>0.9980445</v>
      </c>
      <c r="Y6181">
        <v>0.14662939999999999</v>
      </c>
      <c r="Z6181">
        <v>6.956205E-2</v>
      </c>
      <c r="AA6181">
        <v>0.98674260000000003</v>
      </c>
      <c r="AB6181">
        <v>13</v>
      </c>
      <c r="AC6181">
        <v>-3.1065000000000098</v>
      </c>
      <c r="AD6181">
        <v>-1.1113259520809999</v>
      </c>
      <c r="AE6181">
        <v>-15.607200000000001</v>
      </c>
      <c r="AF6181">
        <v>2.3395784540808902</v>
      </c>
      <c r="AG6181">
        <v>-1.1113259520809999</v>
      </c>
      <c r="AH6181">
        <v>15.662351976103899</v>
      </c>
      <c r="AI6181">
        <v>94.014243532607196</v>
      </c>
      <c r="AJ6181">
        <v>81.504207124428106</v>
      </c>
      <c r="AK6181">
        <v>15.875072980554499</v>
      </c>
      <c r="AL6181">
        <v>89.409854502725693</v>
      </c>
      <c r="AM6181">
        <v>86.465103569304105</v>
      </c>
      <c r="AN6181">
        <v>1.0000000122321999</v>
      </c>
    </row>
    <row r="6182" spans="1:40" x14ac:dyDescent="0.25">
      <c r="A6182" t="str">
        <f>"20190312150816058"</f>
        <v>20190312150816058</v>
      </c>
      <c r="B6182" t="str">
        <f>"1552374496046568"</f>
        <v>1552374496046568</v>
      </c>
      <c r="C6182" t="s">
        <v>40</v>
      </c>
      <c r="D6182">
        <v>4.5951500000000003</v>
      </c>
      <c r="E6182">
        <v>0.5319642</v>
      </c>
      <c r="F6182" t="s">
        <v>42</v>
      </c>
      <c r="G6182">
        <v>-195.2139</v>
      </c>
      <c r="H6182" s="1">
        <v>-4.9545230000000002E-6</v>
      </c>
      <c r="I6182">
        <v>167.77959999999999</v>
      </c>
      <c r="J6182">
        <v>-192.11680000000001</v>
      </c>
      <c r="K6182">
        <v>1.1113230000000001</v>
      </c>
      <c r="L6182">
        <v>183.31280000000001</v>
      </c>
      <c r="M6182">
        <v>-4.7250300000000002E-2</v>
      </c>
      <c r="N6182">
        <v>0</v>
      </c>
      <c r="O6182">
        <v>-0.99878009999999995</v>
      </c>
      <c r="P6182">
        <v>-0.1098848</v>
      </c>
      <c r="Q6182">
        <v>-3.705767E-3</v>
      </c>
      <c r="R6182">
        <v>-0.99393759999999998</v>
      </c>
      <c r="S6182">
        <v>-0.58666989999999997</v>
      </c>
      <c r="T6182">
        <v>-0.2103775</v>
      </c>
      <c r="U6182">
        <v>-2.9526370000000002</v>
      </c>
      <c r="V6182">
        <v>6.2777009999999994E-2</v>
      </c>
      <c r="W6182">
        <v>1.071415E-2</v>
      </c>
      <c r="X6182">
        <v>0.99797000000000002</v>
      </c>
      <c r="Y6182">
        <v>0.14784069999999999</v>
      </c>
      <c r="Z6182">
        <v>6.9882020000000003E-2</v>
      </c>
      <c r="AA6182">
        <v>0.98653919999999995</v>
      </c>
      <c r="AB6182">
        <v>13</v>
      </c>
      <c r="AC6182">
        <v>-3.0970999999999802</v>
      </c>
      <c r="AD6182">
        <v>-1.1113279545229999</v>
      </c>
      <c r="AE6182">
        <v>-15.533200000000001</v>
      </c>
      <c r="AF6182">
        <v>2.3480566785336099</v>
      </c>
      <c r="AG6182">
        <v>-1.1113279545229999</v>
      </c>
      <c r="AH6182">
        <v>15.5854734406812</v>
      </c>
      <c r="AI6182">
        <v>94.033231175422998</v>
      </c>
      <c r="AJ6182">
        <v>81.432437308811998</v>
      </c>
      <c r="AK6182">
        <v>15.800487408883599</v>
      </c>
      <c r="AL6182">
        <v>89.386112637694893</v>
      </c>
      <c r="AM6182">
        <v>86.400568456294394</v>
      </c>
      <c r="AN6182">
        <v>0.99999993344737903</v>
      </c>
    </row>
    <row r="6183" spans="1:40" x14ac:dyDescent="0.25">
      <c r="A6183" t="str">
        <f>"20190312150816070"</f>
        <v>20190312150816070</v>
      </c>
      <c r="B6183" t="str">
        <f>"1552374496066087"</f>
        <v>1552374496066087</v>
      </c>
      <c r="C6183" t="s">
        <v>40</v>
      </c>
      <c r="D6183">
        <v>4.9867540000000004</v>
      </c>
      <c r="E6183">
        <v>0.53198389999999995</v>
      </c>
      <c r="F6183" t="s">
        <v>42</v>
      </c>
      <c r="G6183">
        <v>-195.2159</v>
      </c>
      <c r="H6183" s="1">
        <v>-4.9332410000000001E-6</v>
      </c>
      <c r="I6183">
        <v>167.72329999999999</v>
      </c>
      <c r="J6183">
        <v>-192.1189</v>
      </c>
      <c r="K6183">
        <v>1.1113280000000001</v>
      </c>
      <c r="L6183">
        <v>183.24299999999999</v>
      </c>
      <c r="M6183">
        <v>-4.6250079999999999E-2</v>
      </c>
      <c r="N6183">
        <v>0</v>
      </c>
      <c r="O6183">
        <v>-0.99882760000000004</v>
      </c>
      <c r="P6183">
        <v>-0.1100371</v>
      </c>
      <c r="Q6183">
        <v>-3.5533499999999998E-3</v>
      </c>
      <c r="R6183">
        <v>-0.99392130000000001</v>
      </c>
      <c r="S6183">
        <v>-0.58695980000000003</v>
      </c>
      <c r="T6183">
        <v>-0.21048439999999999</v>
      </c>
      <c r="U6183">
        <v>-2.9526370000000002</v>
      </c>
      <c r="V6183">
        <v>6.3929189999999997E-2</v>
      </c>
      <c r="W6183">
        <v>1.0808079999999999E-2</v>
      </c>
      <c r="X6183">
        <v>0.99789589999999995</v>
      </c>
      <c r="Y6183">
        <v>0.14892369999999999</v>
      </c>
      <c r="Z6183">
        <v>6.9915930000000001E-2</v>
      </c>
      <c r="AA6183">
        <v>0.98637390000000003</v>
      </c>
      <c r="AB6183">
        <v>13</v>
      </c>
      <c r="AC6183">
        <v>-3.097</v>
      </c>
      <c r="AD6183">
        <v>-1.111332933241</v>
      </c>
      <c r="AE6183">
        <v>-15.5197</v>
      </c>
      <c r="AF6183">
        <v>2.3641660252199199</v>
      </c>
      <c r="AG6183">
        <v>-1.111332933241</v>
      </c>
      <c r="AH6183">
        <v>15.569561533701901</v>
      </c>
      <c r="AI6183">
        <v>94.036650287748202</v>
      </c>
      <c r="AJ6183">
        <v>81.365856498763705</v>
      </c>
      <c r="AK6183">
        <v>15.7871969720733</v>
      </c>
      <c r="AL6183">
        <v>89.380730569130293</v>
      </c>
      <c r="AM6183">
        <v>86.334413207765195</v>
      </c>
      <c r="AN6183">
        <v>0.99999999158207598</v>
      </c>
    </row>
    <row r="6184" spans="1:40" x14ac:dyDescent="0.25">
      <c r="A6184" t="str">
        <f>"20190312150816081"</f>
        <v>20190312150816081</v>
      </c>
      <c r="B6184" t="str">
        <f>"1552374496076824"</f>
        <v>1552374496076824</v>
      </c>
      <c r="C6184" t="s">
        <v>40</v>
      </c>
      <c r="D6184">
        <v>4.5742539999999998</v>
      </c>
      <c r="E6184">
        <v>0.53198029999999996</v>
      </c>
      <c r="F6184" t="s">
        <v>42</v>
      </c>
      <c r="G6184">
        <v>-195.2002</v>
      </c>
      <c r="H6184" s="1">
        <v>-4.9399940000000004E-6</v>
      </c>
      <c r="I6184">
        <v>167.74809999999999</v>
      </c>
      <c r="J6184">
        <v>-192.12100000000001</v>
      </c>
      <c r="K6184">
        <v>1.1113299999999999</v>
      </c>
      <c r="L6184">
        <v>183.17400000000001</v>
      </c>
      <c r="M6184">
        <v>-4.526198E-2</v>
      </c>
      <c r="N6184">
        <v>0</v>
      </c>
      <c r="O6184">
        <v>-0.99887369999999998</v>
      </c>
      <c r="P6184">
        <v>-0.1103041</v>
      </c>
      <c r="Q6184">
        <v>-2.7898110000000001E-3</v>
      </c>
      <c r="R6184">
        <v>-0.9938939</v>
      </c>
      <c r="S6184">
        <v>-0.58714290000000002</v>
      </c>
      <c r="T6184">
        <v>-0.21176610000000001</v>
      </c>
      <c r="U6184">
        <v>-2.9525760000000001</v>
      </c>
      <c r="V6184">
        <v>6.5183210000000005E-2</v>
      </c>
      <c r="W6184">
        <v>1.151757E-2</v>
      </c>
      <c r="X6184">
        <v>0.99780679999999999</v>
      </c>
      <c r="Y6184">
        <v>0.1499588</v>
      </c>
      <c r="Z6184">
        <v>7.0339780000000005E-2</v>
      </c>
      <c r="AA6184">
        <v>0.98618689999999998</v>
      </c>
      <c r="AB6184">
        <v>13</v>
      </c>
      <c r="AC6184">
        <v>-3.0792000000000099</v>
      </c>
      <c r="AD6184">
        <v>-1.111334939994</v>
      </c>
      <c r="AE6184">
        <v>-15.4259</v>
      </c>
      <c r="AF6184">
        <v>2.36595672112712</v>
      </c>
      <c r="AG6184">
        <v>-1.111334939994</v>
      </c>
      <c r="AH6184">
        <v>15.472244609444299</v>
      </c>
      <c r="AI6184">
        <v>94.061316960300601</v>
      </c>
      <c r="AJ6184">
        <v>81.305895936099802</v>
      </c>
      <c r="AK6184">
        <v>15.6914999222374</v>
      </c>
      <c r="AL6184">
        <v>89.3400772300147</v>
      </c>
      <c r="AM6184">
        <v>86.262378964287905</v>
      </c>
      <c r="AN6184">
        <v>0.99999995770542305</v>
      </c>
    </row>
    <row r="6185" spans="1:40" x14ac:dyDescent="0.25">
      <c r="A6185" t="str">
        <f>"20190312150816093"</f>
        <v>20190312150816093</v>
      </c>
      <c r="B6185" t="str">
        <f>"1552374496086583"</f>
        <v>1552374496086583</v>
      </c>
      <c r="C6185" t="s">
        <v>40</v>
      </c>
      <c r="D6185">
        <v>4.6152860000000002</v>
      </c>
      <c r="E6185">
        <v>0.53199770000000002</v>
      </c>
      <c r="F6185" t="s">
        <v>42</v>
      </c>
      <c r="G6185">
        <v>-195.25450000000001</v>
      </c>
      <c r="H6185" s="1">
        <v>-4.833056E-6</v>
      </c>
      <c r="I6185">
        <v>167.44450000000001</v>
      </c>
      <c r="J6185">
        <v>-192.12289999999999</v>
      </c>
      <c r="K6185">
        <v>1.1113309999999901</v>
      </c>
      <c r="L6185">
        <v>183.11019999999999</v>
      </c>
      <c r="M6185">
        <v>-4.434859E-2</v>
      </c>
      <c r="N6185">
        <v>0</v>
      </c>
      <c r="O6185">
        <v>-0.99891560000000001</v>
      </c>
      <c r="P6185">
        <v>-0.1105179</v>
      </c>
      <c r="Q6185">
        <v>-2.8747669999999999E-3</v>
      </c>
      <c r="R6185">
        <v>-0.99387060000000005</v>
      </c>
      <c r="S6185">
        <v>-0.58818049999999999</v>
      </c>
      <c r="T6185">
        <v>-0.2086076</v>
      </c>
      <c r="U6185">
        <v>-2.9525600000000001</v>
      </c>
      <c r="V6185">
        <v>6.6310460000000002E-2</v>
      </c>
      <c r="W6185">
        <v>1.1387400000000001E-2</v>
      </c>
      <c r="X6185">
        <v>0.99773409999999996</v>
      </c>
      <c r="Y6185">
        <v>0.1512114</v>
      </c>
      <c r="Z6185">
        <v>6.929138E-2</v>
      </c>
      <c r="AA6185">
        <v>0.98606990000000005</v>
      </c>
      <c r="AB6185">
        <v>13</v>
      </c>
      <c r="AC6185">
        <v>-3.1316000000000201</v>
      </c>
      <c r="AD6185">
        <v>-1.1113358330559999</v>
      </c>
      <c r="AE6185">
        <v>-15.6656999999999</v>
      </c>
      <c r="AF6185">
        <v>2.42197633227011</v>
      </c>
      <c r="AG6185">
        <v>-1.1113358330559999</v>
      </c>
      <c r="AH6185">
        <v>15.7131405603283</v>
      </c>
      <c r="AI6185">
        <v>93.998530422382203</v>
      </c>
      <c r="AJ6185">
        <v>81.2375595439118</v>
      </c>
      <c r="AK6185">
        <v>15.937497386871801</v>
      </c>
      <c r="AL6185">
        <v>89.347535966204006</v>
      </c>
      <c r="AM6185">
        <v>86.197653930615303</v>
      </c>
      <c r="AN6185">
        <v>1.00000004214349</v>
      </c>
    </row>
    <row r="6186" spans="1:40" x14ac:dyDescent="0.25">
      <c r="A6186" t="str">
        <f>"20190312150816105"</f>
        <v>20190312150816105</v>
      </c>
      <c r="B6186" t="str">
        <f>"1552374496096343"</f>
        <v>1552374496096343</v>
      </c>
      <c r="C6186" t="s">
        <v>40</v>
      </c>
      <c r="D6186">
        <v>4.8121260000000001</v>
      </c>
      <c r="E6186">
        <v>0.53191109999999997</v>
      </c>
      <c r="F6186" t="s">
        <v>42</v>
      </c>
      <c r="G6186">
        <v>-195.25569999999999</v>
      </c>
      <c r="H6186" s="1">
        <v>-4.8152869999999997E-6</v>
      </c>
      <c r="I6186">
        <v>167.39769999999999</v>
      </c>
      <c r="J6186">
        <v>-192.12479999999999</v>
      </c>
      <c r="K6186">
        <v>1.111332</v>
      </c>
      <c r="L6186">
        <v>183.04040000000001</v>
      </c>
      <c r="M6186">
        <v>-4.33505E-2</v>
      </c>
      <c r="N6186">
        <v>0</v>
      </c>
      <c r="O6186">
        <v>-0.99895999999999996</v>
      </c>
      <c r="P6186">
        <v>-0.1106741</v>
      </c>
      <c r="Q6186">
        <v>-2.4716059999999999E-3</v>
      </c>
      <c r="R6186">
        <v>-0.99385409999999996</v>
      </c>
      <c r="S6186">
        <v>-0.58866879999999999</v>
      </c>
      <c r="T6186">
        <v>-0.20882609999999999</v>
      </c>
      <c r="U6186">
        <v>-2.9524539999999999</v>
      </c>
      <c r="V6186">
        <v>6.7463699999999904E-2</v>
      </c>
      <c r="W6186">
        <v>1.174262E-2</v>
      </c>
      <c r="X6186">
        <v>0.9976526</v>
      </c>
      <c r="Y6186">
        <v>0.15236160000000001</v>
      </c>
      <c r="Z6186">
        <v>6.9363359999999999E-2</v>
      </c>
      <c r="AA6186">
        <v>0.98588779999999998</v>
      </c>
      <c r="AB6186">
        <v>13</v>
      </c>
      <c r="AC6186">
        <v>-3.1308999999999898</v>
      </c>
      <c r="AD6186">
        <v>-1.111336815287</v>
      </c>
      <c r="AE6186">
        <v>-15.6427</v>
      </c>
      <c r="AF6186">
        <v>2.4379382704958399</v>
      </c>
      <c r="AG6186">
        <v>-1.111336815287</v>
      </c>
      <c r="AH6186">
        <v>15.687599617118201</v>
      </c>
      <c r="AI6186">
        <v>94.004257489076295</v>
      </c>
      <c r="AJ6186">
        <v>81.166583593654394</v>
      </c>
      <c r="AK6186">
        <v>15.9147539809689</v>
      </c>
      <c r="AL6186">
        <v>89.327181953844203</v>
      </c>
      <c r="AM6186">
        <v>86.131409347365405</v>
      </c>
      <c r="AN6186">
        <v>0.99999997511445604</v>
      </c>
    </row>
    <row r="6187" spans="1:40" x14ac:dyDescent="0.25">
      <c r="A6187" t="str">
        <f>"20190312150816116"</f>
        <v>20190312150816116</v>
      </c>
      <c r="B6187" t="str">
        <f>"1552374496106718"</f>
        <v>1552374496106718</v>
      </c>
      <c r="C6187" t="s">
        <v>40</v>
      </c>
      <c r="D6187">
        <v>4.5430000000000001</v>
      </c>
      <c r="E6187">
        <v>0.53185559999999998</v>
      </c>
      <c r="F6187" t="s">
        <v>42</v>
      </c>
      <c r="G6187">
        <v>-195.279</v>
      </c>
      <c r="H6187" s="1">
        <v>-4.7508810000000002E-6</v>
      </c>
      <c r="I6187">
        <v>167.2192</v>
      </c>
      <c r="J6187">
        <v>-192.1266</v>
      </c>
      <c r="K6187">
        <v>1.1113299999999999</v>
      </c>
      <c r="L6187">
        <v>182.97399999999999</v>
      </c>
      <c r="M6187">
        <v>-4.2401029999999999E-2</v>
      </c>
      <c r="N6187">
        <v>0</v>
      </c>
      <c r="O6187">
        <v>-0.99900109999999998</v>
      </c>
      <c r="P6187">
        <v>-0.1109977</v>
      </c>
      <c r="Q6187">
        <v>-2.0395579999999999E-3</v>
      </c>
      <c r="R6187">
        <v>-0.9938188</v>
      </c>
      <c r="S6187">
        <v>-0.58862300000000001</v>
      </c>
      <c r="T6187">
        <v>-0.20739270000000001</v>
      </c>
      <c r="U6187">
        <v>-2.9524840000000001</v>
      </c>
      <c r="V6187">
        <v>6.8736080000000005E-2</v>
      </c>
      <c r="W6187">
        <v>1.213408E-2</v>
      </c>
      <c r="X6187">
        <v>0.99756109999999998</v>
      </c>
      <c r="Y6187">
        <v>0.1532906</v>
      </c>
      <c r="Z6187">
        <v>6.8888190000000002E-2</v>
      </c>
      <c r="AA6187">
        <v>0.98577709999999996</v>
      </c>
      <c r="AB6187">
        <v>13</v>
      </c>
      <c r="AC6187">
        <v>-3.1524000000000201</v>
      </c>
      <c r="AD6187">
        <v>-1.1113347508810001</v>
      </c>
      <c r="AE6187">
        <v>-15.754799999999999</v>
      </c>
      <c r="AF6187">
        <v>2.46966265846542</v>
      </c>
      <c r="AG6187">
        <v>-1.1113347508810001</v>
      </c>
      <c r="AH6187">
        <v>15.7987214523997</v>
      </c>
      <c r="AI6187">
        <v>93.975624668809701</v>
      </c>
      <c r="AJ6187">
        <v>81.115402685616303</v>
      </c>
      <c r="AK6187">
        <v>16.029157747855901</v>
      </c>
      <c r="AL6187">
        <v>89.304751377499102</v>
      </c>
      <c r="AM6187">
        <v>86.058314349788304</v>
      </c>
      <c r="AN6187">
        <v>1.00000001641221</v>
      </c>
    </row>
    <row r="6188" spans="1:40" x14ac:dyDescent="0.25">
      <c r="A6188" t="str">
        <f>"20190312150816128"</f>
        <v>20190312150816128</v>
      </c>
      <c r="B6188" t="str">
        <f>"1552374496116464"</f>
        <v>1552374496116464</v>
      </c>
      <c r="C6188" t="s">
        <v>40</v>
      </c>
      <c r="D6188">
        <v>4.9186040000000002</v>
      </c>
      <c r="E6188">
        <v>0.53184039999999999</v>
      </c>
      <c r="F6188" t="s">
        <v>42</v>
      </c>
      <c r="G6188">
        <v>-195.3081</v>
      </c>
      <c r="H6188" s="1">
        <v>-4.6819860000000003E-6</v>
      </c>
      <c r="I6188">
        <v>167.0264</v>
      </c>
      <c r="J6188">
        <v>-192.12819999999999</v>
      </c>
      <c r="K6188">
        <v>1.1113280000000001</v>
      </c>
      <c r="L6188">
        <v>182.91329999999999</v>
      </c>
      <c r="M6188">
        <v>-4.1531859999999997E-2</v>
      </c>
      <c r="N6188">
        <v>0</v>
      </c>
      <c r="O6188">
        <v>-0.99903810000000004</v>
      </c>
      <c r="P6188">
        <v>-0.1112447</v>
      </c>
      <c r="Q6188">
        <v>-1.849687E-3</v>
      </c>
      <c r="R6188">
        <v>-0.99379119999999999</v>
      </c>
      <c r="S6188">
        <v>-0.58900450000000004</v>
      </c>
      <c r="T6188">
        <v>-0.20574439999999999</v>
      </c>
      <c r="U6188">
        <v>-2.9524379999999999</v>
      </c>
      <c r="V6188">
        <v>6.9851789999999997E-2</v>
      </c>
      <c r="W6188">
        <v>1.228809E-2</v>
      </c>
      <c r="X6188">
        <v>0.99748170000000003</v>
      </c>
      <c r="Y6188">
        <v>0.15428310000000001</v>
      </c>
      <c r="Z6188">
        <v>6.8341910000000006E-2</v>
      </c>
      <c r="AA6188">
        <v>0.98566030000000004</v>
      </c>
      <c r="AB6188">
        <v>13</v>
      </c>
      <c r="AC6188">
        <v>-3.1798999999999999</v>
      </c>
      <c r="AD6188">
        <v>-1.1113326819859899</v>
      </c>
      <c r="AE6188">
        <v>-15.886899999999899</v>
      </c>
      <c r="AF6188">
        <v>2.5054898757708699</v>
      </c>
      <c r="AG6188">
        <v>-1.1113326819859899</v>
      </c>
      <c r="AH6188">
        <v>15.9303194950606</v>
      </c>
      <c r="AI6188">
        <v>93.942303324972201</v>
      </c>
      <c r="AJ6188">
        <v>81.061849728086699</v>
      </c>
      <c r="AK6188">
        <v>16.164393556899899</v>
      </c>
      <c r="AL6188">
        <v>89.295926589186394</v>
      </c>
      <c r="AM6188">
        <v>85.994222514362207</v>
      </c>
      <c r="AN6188">
        <v>1.0000000057784699</v>
      </c>
    </row>
    <row r="6189" spans="1:40" x14ac:dyDescent="0.25">
      <c r="A6189" t="str">
        <f>"20190312150816147"</f>
        <v>20190312150816147</v>
      </c>
      <c r="B6189" t="str">
        <f>"1552374496135983"</f>
        <v>1552374496135983</v>
      </c>
      <c r="C6189" t="s">
        <v>40</v>
      </c>
      <c r="D6189">
        <v>4.5584290000000003</v>
      </c>
      <c r="E6189">
        <v>0.53171459999999904</v>
      </c>
      <c r="F6189" t="s">
        <v>42</v>
      </c>
      <c r="G6189">
        <v>-195.32210000000001</v>
      </c>
      <c r="H6189" s="1">
        <v>-4.6422719999999997E-6</v>
      </c>
      <c r="I6189">
        <v>166.91650000000001</v>
      </c>
      <c r="J6189">
        <v>-192.1311</v>
      </c>
      <c r="K6189">
        <v>1.1113230000000001</v>
      </c>
      <c r="L6189">
        <v>182.79650000000001</v>
      </c>
      <c r="M6189">
        <v>-3.9859310000000002E-2</v>
      </c>
      <c r="N6189">
        <v>0</v>
      </c>
      <c r="O6189">
        <v>-0.99910719999999997</v>
      </c>
      <c r="P6189">
        <v>-0.1119059</v>
      </c>
      <c r="Q6189">
        <v>-1.7968680000000001E-3</v>
      </c>
      <c r="R6189">
        <v>-0.99371719999999997</v>
      </c>
      <c r="S6189">
        <v>-0.58947749999999999</v>
      </c>
      <c r="T6189">
        <v>-0.2051065</v>
      </c>
      <c r="U6189">
        <v>-2.9523619999999999</v>
      </c>
      <c r="V6189">
        <v>7.2185540000000006E-2</v>
      </c>
      <c r="W6189">
        <v>1.2278549999999999E-2</v>
      </c>
      <c r="X6189">
        <v>0.99731559999999997</v>
      </c>
      <c r="Y6189">
        <v>0.1560964</v>
      </c>
      <c r="Z6189">
        <v>6.8128880000000003E-2</v>
      </c>
      <c r="AA6189">
        <v>0.98538950000000003</v>
      </c>
      <c r="AB6189">
        <v>13</v>
      </c>
      <c r="AC6189">
        <v>-3.1909999999999998</v>
      </c>
      <c r="AD6189">
        <v>-1.111327642272</v>
      </c>
      <c r="AE6189">
        <v>-15.8799999999999</v>
      </c>
      <c r="AF6189">
        <v>2.5434623375231702</v>
      </c>
      <c r="AG6189">
        <v>-1.111327642272</v>
      </c>
      <c r="AH6189">
        <v>15.919639294983501</v>
      </c>
      <c r="AI6189">
        <v>93.943407599253007</v>
      </c>
      <c r="AJ6189">
        <v>80.922637321488196</v>
      </c>
      <c r="AK6189">
        <v>16.1598008983174</v>
      </c>
      <c r="AL6189">
        <v>89.296473200296305</v>
      </c>
      <c r="AM6189">
        <v>85.860160099249697</v>
      </c>
      <c r="AN6189">
        <v>0.99999996048927597</v>
      </c>
    </row>
    <row r="6190" spans="1:40" x14ac:dyDescent="0.25">
      <c r="A6190" t="str">
        <f>"20190312150816161"</f>
        <v>20190312150816161</v>
      </c>
      <c r="B6190" t="str">
        <f>"1552374496156480"</f>
        <v>1552374496156480</v>
      </c>
      <c r="C6190" t="s">
        <v>40</v>
      </c>
      <c r="D6190">
        <v>4.5485819999999997</v>
      </c>
      <c r="E6190">
        <v>0.53149740000000001</v>
      </c>
      <c r="F6190" t="s">
        <v>42</v>
      </c>
      <c r="G6190">
        <v>-195.31809999999999</v>
      </c>
      <c r="H6190" s="1">
        <v>-4.6194119999999997E-6</v>
      </c>
      <c r="I6190">
        <v>166.8588</v>
      </c>
      <c r="J6190">
        <v>-192.13290000000001</v>
      </c>
      <c r="K6190">
        <v>1.1113219999999999</v>
      </c>
      <c r="L6190">
        <v>182.71770000000001</v>
      </c>
      <c r="M6190">
        <v>-3.873157E-2</v>
      </c>
      <c r="N6190">
        <v>0</v>
      </c>
      <c r="O6190">
        <v>-0.99915220000000005</v>
      </c>
      <c r="P6190">
        <v>-0.11179559999999999</v>
      </c>
      <c r="Q6190">
        <v>-1.7286370000000001E-3</v>
      </c>
      <c r="R6190">
        <v>-0.99372990000000005</v>
      </c>
      <c r="S6190">
        <v>-0.59031679999999997</v>
      </c>
      <c r="T6190">
        <v>-0.205848</v>
      </c>
      <c r="U6190">
        <v>-2.9520870000000001</v>
      </c>
      <c r="V6190">
        <v>7.3200609999999999E-2</v>
      </c>
      <c r="W6190">
        <v>1.2308110000000001E-2</v>
      </c>
      <c r="X6190">
        <v>0.9972413</v>
      </c>
      <c r="Y6190">
        <v>0.15749469999999999</v>
      </c>
      <c r="Z6190">
        <v>6.8375290000000005E-2</v>
      </c>
      <c r="AA6190">
        <v>0.98514990000000002</v>
      </c>
      <c r="AB6190">
        <v>13</v>
      </c>
      <c r="AC6190">
        <v>-3.18519999999998</v>
      </c>
      <c r="AD6190">
        <v>-1.1113266194119999</v>
      </c>
      <c r="AE6190">
        <v>-15.8589</v>
      </c>
      <c r="AF6190">
        <v>2.5564426338876598</v>
      </c>
      <c r="AG6190">
        <v>-1.1113266194119999</v>
      </c>
      <c r="AH6190">
        <v>15.895348227031199</v>
      </c>
      <c r="AI6190">
        <v>93.948758576302296</v>
      </c>
      <c r="AJ6190">
        <v>80.863382488460701</v>
      </c>
      <c r="AK6190">
        <v>16.137922451603099</v>
      </c>
      <c r="AL6190">
        <v>89.294779447191999</v>
      </c>
      <c r="AM6190">
        <v>85.8018408705273</v>
      </c>
      <c r="AN6190">
        <v>1.00000001465091</v>
      </c>
    </row>
    <row r="6191" spans="1:40" x14ac:dyDescent="0.25">
      <c r="A6191" t="str">
        <f>"20190312150816175"</f>
        <v>20190312150816175</v>
      </c>
      <c r="B6191" t="str">
        <f>"1552374496166239"</f>
        <v>1552374496166239</v>
      </c>
      <c r="C6191" t="s">
        <v>40</v>
      </c>
      <c r="D6191">
        <v>4.6183009999999998</v>
      </c>
      <c r="E6191">
        <v>0.53150959999999903</v>
      </c>
      <c r="F6191" t="s">
        <v>42</v>
      </c>
      <c r="G6191">
        <v>-195.29050000000001</v>
      </c>
      <c r="H6191" s="1">
        <v>-4.6187219999999997E-6</v>
      </c>
      <c r="I6191">
        <v>166.8698</v>
      </c>
      <c r="J6191">
        <v>-192.1345</v>
      </c>
      <c r="K6191">
        <v>1.111318</v>
      </c>
      <c r="L6191">
        <v>182.64250000000001</v>
      </c>
      <c r="M6191">
        <v>-3.765541E-2</v>
      </c>
      <c r="N6191">
        <v>0</v>
      </c>
      <c r="O6191">
        <v>-0.99919369999999996</v>
      </c>
      <c r="P6191">
        <v>-0.11175549999999999</v>
      </c>
      <c r="Q6191">
        <v>-1.436342E-3</v>
      </c>
      <c r="R6191">
        <v>-0.99373480000000003</v>
      </c>
      <c r="S6191">
        <v>-0.58824160000000003</v>
      </c>
      <c r="T6191">
        <v>-0.2070321</v>
      </c>
      <c r="U6191">
        <v>-2.9523619999999999</v>
      </c>
      <c r="V6191">
        <v>7.4234220000000004E-2</v>
      </c>
      <c r="W6191">
        <v>1.256702E-2</v>
      </c>
      <c r="X6191">
        <v>0.99716159999999998</v>
      </c>
      <c r="Y6191">
        <v>0.1578695</v>
      </c>
      <c r="Z6191">
        <v>6.8767330000000002E-2</v>
      </c>
      <c r="AA6191">
        <v>0.98506260000000001</v>
      </c>
      <c r="AB6191">
        <v>13</v>
      </c>
      <c r="AC6191">
        <v>-3.1560000000000001</v>
      </c>
      <c r="AD6191">
        <v>-1.111322618722</v>
      </c>
      <c r="AE6191">
        <v>-15.7727</v>
      </c>
      <c r="AF6191">
        <v>2.5476156149621199</v>
      </c>
      <c r="AG6191">
        <v>-1.111322618722</v>
      </c>
      <c r="AH6191">
        <v>15.804921822007399</v>
      </c>
      <c r="AI6191">
        <v>93.971040011961406</v>
      </c>
      <c r="AJ6191">
        <v>80.843183752025794</v>
      </c>
      <c r="AK6191">
        <v>16.047458898038901</v>
      </c>
      <c r="AL6191">
        <v>89.279943805146701</v>
      </c>
      <c r="AM6191">
        <v>85.742439282965506</v>
      </c>
      <c r="AN6191">
        <v>0.99999995296262301</v>
      </c>
    </row>
    <row r="6192" spans="1:40" x14ac:dyDescent="0.25">
      <c r="A6192" t="str">
        <f>"20190312150816187"</f>
        <v>20190312150816187</v>
      </c>
      <c r="B6192" t="str">
        <f>"1552374496176000"</f>
        <v>1552374496176000</v>
      </c>
      <c r="C6192" t="s">
        <v>40</v>
      </c>
      <c r="D6192">
        <v>4.5200680000000002</v>
      </c>
      <c r="E6192">
        <v>0.53140619999999905</v>
      </c>
      <c r="F6192" t="s">
        <v>42</v>
      </c>
      <c r="G6192">
        <v>-195.28039999999999</v>
      </c>
      <c r="H6192" s="1">
        <v>-4.6095319999999997E-6</v>
      </c>
      <c r="I6192">
        <v>166.85050000000001</v>
      </c>
      <c r="J6192">
        <v>-192.1361</v>
      </c>
      <c r="K6192">
        <v>1.111313</v>
      </c>
      <c r="L6192">
        <v>182.56870000000001</v>
      </c>
      <c r="M6192">
        <v>-3.6598400000000003E-2</v>
      </c>
      <c r="N6192">
        <v>0</v>
      </c>
      <c r="O6192">
        <v>-0.9992335</v>
      </c>
      <c r="P6192">
        <v>-0.11194229999999999</v>
      </c>
      <c r="Q6192">
        <v>-9.9210839999999993E-4</v>
      </c>
      <c r="R6192">
        <v>-0.99371430000000005</v>
      </c>
      <c r="S6192">
        <v>-0.58814999999999995</v>
      </c>
      <c r="T6192">
        <v>-0.2077707</v>
      </c>
      <c r="U6192">
        <v>-2.9524539999999999</v>
      </c>
      <c r="V6192">
        <v>7.5475970000000003E-2</v>
      </c>
      <c r="W6192">
        <v>1.298088E-2</v>
      </c>
      <c r="X6192">
        <v>0.99706309999999998</v>
      </c>
      <c r="Y6192">
        <v>0.1588755</v>
      </c>
      <c r="Z6192">
        <v>6.9008040000000007E-2</v>
      </c>
      <c r="AA6192">
        <v>0.98488399999999998</v>
      </c>
      <c r="AB6192">
        <v>13</v>
      </c>
      <c r="AC6192">
        <v>-3.1442999999999799</v>
      </c>
      <c r="AD6192">
        <v>-1.1113176095319901</v>
      </c>
      <c r="AE6192">
        <v>-15.7181999999999</v>
      </c>
      <c r="AF6192">
        <v>2.5545978833787699</v>
      </c>
      <c r="AG6192">
        <v>-1.1113176095319901</v>
      </c>
      <c r="AH6192">
        <v>15.7470665461175</v>
      </c>
      <c r="AI6192">
        <v>93.984916608648703</v>
      </c>
      <c r="AJ6192">
        <v>80.785358999892907</v>
      </c>
      <c r="AK6192">
        <v>15.9915947291967</v>
      </c>
      <c r="AL6192">
        <v>89.256229454334502</v>
      </c>
      <c r="AM6192">
        <v>85.671063568428707</v>
      </c>
      <c r="AN6192">
        <v>0.999999975337312</v>
      </c>
    </row>
    <row r="6193" spans="1:40" x14ac:dyDescent="0.25">
      <c r="A6193" t="str">
        <f>"20190312150816203"</f>
        <v>20190312150816203</v>
      </c>
      <c r="B6193" t="str">
        <f>"1552374496196499"</f>
        <v>1552374496196499</v>
      </c>
      <c r="C6193" t="s">
        <v>40</v>
      </c>
      <c r="D6193">
        <v>4.5339510000000001</v>
      </c>
      <c r="E6193">
        <v>0.53126909999999905</v>
      </c>
      <c r="F6193" t="s">
        <v>42</v>
      </c>
      <c r="G6193">
        <v>-195.28639999999999</v>
      </c>
      <c r="H6193" s="1">
        <v>-4.5715750000000004E-6</v>
      </c>
      <c r="I6193">
        <v>166.74889999999999</v>
      </c>
      <c r="J6193">
        <v>-192.13800000000001</v>
      </c>
      <c r="K6193">
        <v>1.111308</v>
      </c>
      <c r="L6193">
        <v>182.47649999999999</v>
      </c>
      <c r="M6193">
        <v>-3.5281300000000002E-2</v>
      </c>
      <c r="N6193">
        <v>0</v>
      </c>
      <c r="O6193">
        <v>-0.99928130000000004</v>
      </c>
      <c r="P6193">
        <v>-0.11285199999999999</v>
      </c>
      <c r="Q6193" s="1">
        <v>-3.9477310000000003E-5</v>
      </c>
      <c r="R6193">
        <v>-0.99361169999999999</v>
      </c>
      <c r="S6193">
        <v>-0.58795169999999997</v>
      </c>
      <c r="T6193">
        <v>-0.20741109999999999</v>
      </c>
      <c r="U6193">
        <v>-2.9525299999999999</v>
      </c>
      <c r="V6193">
        <v>7.7701690000000004E-2</v>
      </c>
      <c r="W6193">
        <v>1.3899180000000001E-2</v>
      </c>
      <c r="X6193">
        <v>0.99687979999999998</v>
      </c>
      <c r="Y6193">
        <v>0.16010969999999999</v>
      </c>
      <c r="Z6193">
        <v>6.8885879999999997E-2</v>
      </c>
      <c r="AA6193">
        <v>0.98469260000000003</v>
      </c>
      <c r="AB6193">
        <v>13</v>
      </c>
      <c r="AC6193">
        <v>-3.1483999999999801</v>
      </c>
      <c r="AD6193">
        <v>-1.1113125715750001</v>
      </c>
      <c r="AE6193">
        <v>-15.727599999999899</v>
      </c>
      <c r="AF6193">
        <v>2.5791150534634699</v>
      </c>
      <c r="AG6193">
        <v>-1.1113125715750001</v>
      </c>
      <c r="AH6193">
        <v>15.7532736723378</v>
      </c>
      <c r="AI6193">
        <v>93.982392906300603</v>
      </c>
      <c r="AJ6193">
        <v>80.702063073200506</v>
      </c>
      <c r="AK6193">
        <v>16.0016399624012</v>
      </c>
      <c r="AL6193">
        <v>89.203610033902393</v>
      </c>
      <c r="AM6193">
        <v>85.543097813135603</v>
      </c>
      <c r="AN6193">
        <v>1.0000000377407801</v>
      </c>
    </row>
    <row r="6194" spans="1:40" x14ac:dyDescent="0.25">
      <c r="A6194" t="str">
        <f>"20190312150816215"</f>
        <v>20190312150816215</v>
      </c>
      <c r="B6194" t="str">
        <f>"1552374496206255"</f>
        <v>1552374496206255</v>
      </c>
      <c r="C6194" t="s">
        <v>40</v>
      </c>
      <c r="D6194">
        <v>4.5020089999999904</v>
      </c>
      <c r="E6194">
        <v>0.53120429999999996</v>
      </c>
      <c r="F6194" t="s">
        <v>42</v>
      </c>
      <c r="G6194">
        <v>-195.30609999999999</v>
      </c>
      <c r="H6194" s="1">
        <v>-4.5212580000000003E-6</v>
      </c>
      <c r="I6194">
        <v>166.6087</v>
      </c>
      <c r="J6194">
        <v>-192.13919999999999</v>
      </c>
      <c r="K6194">
        <v>1.111305</v>
      </c>
      <c r="L6194">
        <v>182.41069999999999</v>
      </c>
      <c r="M6194">
        <v>-3.4341610000000002E-2</v>
      </c>
      <c r="N6194">
        <v>0</v>
      </c>
      <c r="O6194">
        <v>-0.99931460000000005</v>
      </c>
      <c r="P6194">
        <v>-0.1131325</v>
      </c>
      <c r="Q6194">
        <v>4.7350760000000001E-4</v>
      </c>
      <c r="R6194">
        <v>-0.99358009999999997</v>
      </c>
      <c r="S6194">
        <v>-0.58946229999999999</v>
      </c>
      <c r="T6194">
        <v>-0.20676729999999999</v>
      </c>
      <c r="U6194">
        <v>-2.9523160000000002</v>
      </c>
      <c r="V6194">
        <v>7.8919950000000003E-2</v>
      </c>
      <c r="W6194">
        <v>1.439027E-2</v>
      </c>
      <c r="X6194">
        <v>0.99677709999999997</v>
      </c>
      <c r="Y6194">
        <v>0.16153879999999901</v>
      </c>
      <c r="Z6194">
        <v>6.8669859999999999E-2</v>
      </c>
      <c r="AA6194">
        <v>0.98447430000000002</v>
      </c>
      <c r="AB6194">
        <v>13</v>
      </c>
      <c r="AC6194">
        <v>-3.1668999999999898</v>
      </c>
      <c r="AD6194">
        <v>-1.111309521258</v>
      </c>
      <c r="AE6194">
        <v>-15.8019999999999</v>
      </c>
      <c r="AF6194">
        <v>2.6099038057800699</v>
      </c>
      <c r="AG6194">
        <v>-1.111309521258</v>
      </c>
      <c r="AH6194">
        <v>15.826191902350701</v>
      </c>
      <c r="AI6194">
        <v>93.963339096622903</v>
      </c>
      <c r="AJ6194">
        <v>80.635612021963993</v>
      </c>
      <c r="AK6194">
        <v>16.078400320227601</v>
      </c>
      <c r="AL6194">
        <v>89.175469814506897</v>
      </c>
      <c r="AM6194">
        <v>85.473043197926103</v>
      </c>
      <c r="AN6194">
        <v>1.00000001273154</v>
      </c>
    </row>
    <row r="6195" spans="1:40" x14ac:dyDescent="0.25">
      <c r="A6195" t="str">
        <f>"20190312150816226"</f>
        <v>20190312150816226</v>
      </c>
      <c r="B6195" t="str">
        <f>"1552374496216761"</f>
        <v>1552374496216761</v>
      </c>
      <c r="C6195" t="s">
        <v>40</v>
      </c>
      <c r="D6195">
        <v>4.5420879999999997</v>
      </c>
      <c r="E6195">
        <v>0.53114729999999999</v>
      </c>
      <c r="F6195" t="s">
        <v>42</v>
      </c>
      <c r="G6195">
        <v>-195.31710000000001</v>
      </c>
      <c r="H6195" s="1">
        <v>-4.4828919999999997E-6</v>
      </c>
      <c r="I6195">
        <v>166.50380000000001</v>
      </c>
      <c r="J6195">
        <v>-192.1404</v>
      </c>
      <c r="K6195">
        <v>1.1113109999999999</v>
      </c>
      <c r="L6195">
        <v>182.34569999999999</v>
      </c>
      <c r="M6195">
        <v>-3.3412409999999997E-2</v>
      </c>
      <c r="N6195">
        <v>0</v>
      </c>
      <c r="O6195">
        <v>-0.99934610000000001</v>
      </c>
      <c r="P6195">
        <v>-0.1135963</v>
      </c>
      <c r="Q6195">
        <v>7.3469899999999903E-4</v>
      </c>
      <c r="R6195">
        <v>-0.99352680000000004</v>
      </c>
      <c r="S6195">
        <v>-0.58981319999999904</v>
      </c>
      <c r="T6195">
        <v>-0.20625789999999999</v>
      </c>
      <c r="U6195">
        <v>-2.9523160000000002</v>
      </c>
      <c r="V6195">
        <v>8.0311949999999993E-2</v>
      </c>
      <c r="W6195">
        <v>1.4630570000000001E-2</v>
      </c>
      <c r="X6195">
        <v>0.99666239999999995</v>
      </c>
      <c r="Y6195">
        <v>0.1625712</v>
      </c>
      <c r="Z6195">
        <v>6.8498119999999996E-2</v>
      </c>
      <c r="AA6195">
        <v>0.98431630000000003</v>
      </c>
      <c r="AB6195">
        <v>13</v>
      </c>
      <c r="AC6195">
        <v>-3.1767000000000101</v>
      </c>
      <c r="AD6195">
        <v>-1.111315482892</v>
      </c>
      <c r="AE6195">
        <v>-15.8418999999999</v>
      </c>
      <c r="AF6195">
        <v>2.6331025300743498</v>
      </c>
      <c r="AG6195">
        <v>-1.111315482892</v>
      </c>
      <c r="AH6195">
        <v>15.864153414354201</v>
      </c>
      <c r="AI6195">
        <v>93.953228809872002</v>
      </c>
      <c r="AJ6195">
        <v>80.576066051335999</v>
      </c>
      <c r="AK6195">
        <v>16.119541388965299</v>
      </c>
      <c r="AL6195">
        <v>89.161700179502404</v>
      </c>
      <c r="AM6195">
        <v>85.393008991952698</v>
      </c>
      <c r="AN6195">
        <v>1.0000000012325401</v>
      </c>
    </row>
    <row r="6196" spans="1:40" x14ac:dyDescent="0.25">
      <c r="A6196" t="str">
        <f>"20190312150816238"</f>
        <v>20190312150816238</v>
      </c>
      <c r="B6196" t="str">
        <f>"1552374496226521"</f>
        <v>1552374496226521</v>
      </c>
      <c r="C6196" t="s">
        <v>40</v>
      </c>
      <c r="D6196">
        <v>4.4943839999999904</v>
      </c>
      <c r="E6196">
        <v>0.53108339999999998</v>
      </c>
      <c r="F6196" t="s">
        <v>42</v>
      </c>
      <c r="G6196">
        <v>-195.32329999999999</v>
      </c>
      <c r="H6196" s="1">
        <v>-4.4591610000000004E-6</v>
      </c>
      <c r="I6196">
        <v>166.4391</v>
      </c>
      <c r="J6196">
        <v>-192.14150000000001</v>
      </c>
      <c r="K6196">
        <v>1.111307</v>
      </c>
      <c r="L6196">
        <v>182.27889999999999</v>
      </c>
      <c r="M6196">
        <v>-3.24604E-2</v>
      </c>
      <c r="N6196">
        <v>0</v>
      </c>
      <c r="O6196">
        <v>-0.99937799999999999</v>
      </c>
      <c r="P6196">
        <v>-0.11380410000000001</v>
      </c>
      <c r="Q6196">
        <v>1.216555E-3</v>
      </c>
      <c r="R6196">
        <v>-0.99350280000000002</v>
      </c>
      <c r="S6196">
        <v>-0.59072880000000005</v>
      </c>
      <c r="T6196">
        <v>-0.20625250000000001</v>
      </c>
      <c r="U6196">
        <v>-2.9521480000000002</v>
      </c>
      <c r="V6196">
        <v>8.1469330000000006E-2</v>
      </c>
      <c r="W6196">
        <v>1.5092100000000001E-2</v>
      </c>
      <c r="X6196">
        <v>0.99656160000000005</v>
      </c>
      <c r="Y6196">
        <v>0.163815299999999</v>
      </c>
      <c r="Z6196">
        <v>6.8494189999999996E-2</v>
      </c>
      <c r="AA6196">
        <v>0.98411029999999999</v>
      </c>
      <c r="AB6196">
        <v>13</v>
      </c>
      <c r="AC6196">
        <v>-3.18179999999998</v>
      </c>
      <c r="AD6196">
        <v>-1.111311459161</v>
      </c>
      <c r="AE6196">
        <v>-15.839799999999901</v>
      </c>
      <c r="AF6196">
        <v>2.65335370083542</v>
      </c>
      <c r="AG6196">
        <v>-1.111311459161</v>
      </c>
      <c r="AH6196">
        <v>15.8597043888832</v>
      </c>
      <c r="AI6196">
        <v>93.953474252444494</v>
      </c>
      <c r="AJ6196">
        <v>80.502286425940497</v>
      </c>
      <c r="AK6196">
        <v>16.1184838717468</v>
      </c>
      <c r="AL6196">
        <v>89.135253556268694</v>
      </c>
      <c r="AM6196">
        <v>85.326438774522003</v>
      </c>
      <c r="AN6196">
        <v>1.0000000229038</v>
      </c>
    </row>
    <row r="6197" spans="1:40" x14ac:dyDescent="0.25">
      <c r="A6197" t="str">
        <f>"20190312150816249"</f>
        <v>20190312150816249</v>
      </c>
      <c r="B6197" t="str">
        <f>"1552374496246043"</f>
        <v>1552374496246043</v>
      </c>
      <c r="C6197" t="s">
        <v>40</v>
      </c>
      <c r="D6197">
        <v>4.4946929999999998</v>
      </c>
      <c r="E6197">
        <v>0.53096259999999995</v>
      </c>
      <c r="F6197" t="s">
        <v>42</v>
      </c>
      <c r="G6197">
        <v>-195.33260000000001</v>
      </c>
      <c r="H6197" s="1">
        <v>-4.4200169999999999E-6</v>
      </c>
      <c r="I6197">
        <v>166.33279999999999</v>
      </c>
      <c r="J6197">
        <v>-192.14250000000001</v>
      </c>
      <c r="K6197">
        <v>1.111302</v>
      </c>
      <c r="L6197">
        <v>182.21510000000001</v>
      </c>
      <c r="M6197">
        <v>-3.1551280000000001E-2</v>
      </c>
      <c r="N6197">
        <v>0</v>
      </c>
      <c r="O6197">
        <v>-0.99940709999999999</v>
      </c>
      <c r="P6197">
        <v>-0.1142522</v>
      </c>
      <c r="Q6197">
        <v>1.757268E-3</v>
      </c>
      <c r="R6197">
        <v>-0.99345019999999995</v>
      </c>
      <c r="S6197">
        <v>-0.59080509999999997</v>
      </c>
      <c r="T6197">
        <v>-0.20574580000000001</v>
      </c>
      <c r="U6197">
        <v>-2.9522089999999999</v>
      </c>
      <c r="V6197">
        <v>8.2824709999999996E-2</v>
      </c>
      <c r="W6197">
        <v>1.561513E-2</v>
      </c>
      <c r="X6197">
        <v>0.99644180000000004</v>
      </c>
      <c r="Y6197">
        <v>0.1647354</v>
      </c>
      <c r="Z6197">
        <v>6.8322899999999895E-2</v>
      </c>
      <c r="AA6197">
        <v>0.98396859999999997</v>
      </c>
      <c r="AB6197">
        <v>13</v>
      </c>
      <c r="AC6197">
        <v>-3.1901000000000002</v>
      </c>
      <c r="AD6197">
        <v>-1.111306420017</v>
      </c>
      <c r="AE6197">
        <v>-15.882300000000001</v>
      </c>
      <c r="AF6197">
        <v>2.6747691523688299</v>
      </c>
      <c r="AG6197">
        <v>-1.111306420017</v>
      </c>
      <c r="AH6197">
        <v>15.9002240495949</v>
      </c>
      <c r="AI6197">
        <v>93.942822947376797</v>
      </c>
      <c r="AJ6197">
        <v>80.450988347683904</v>
      </c>
      <c r="AK6197">
        <v>16.161884692230402</v>
      </c>
      <c r="AL6197">
        <v>89.105282603254096</v>
      </c>
      <c r="AM6197">
        <v>85.248470624024606</v>
      </c>
      <c r="AN6197">
        <v>1.00000001282937</v>
      </c>
    </row>
    <row r="6198" spans="1:40" x14ac:dyDescent="0.25">
      <c r="A6198" t="str">
        <f>"20190312150816260"</f>
        <v>20190312150816260</v>
      </c>
      <c r="B6198" t="str">
        <f>"1552374496256777"</f>
        <v>1552374496256777</v>
      </c>
      <c r="C6198" t="s">
        <v>40</v>
      </c>
      <c r="D6198">
        <v>4.5760079999999999</v>
      </c>
      <c r="E6198">
        <v>0.53096030000000005</v>
      </c>
      <c r="F6198" t="s">
        <v>42</v>
      </c>
      <c r="G6198">
        <v>-195.3314</v>
      </c>
      <c r="H6198" s="1">
        <v>-4.4055849999999996E-6</v>
      </c>
      <c r="I6198">
        <v>166.29589999999999</v>
      </c>
      <c r="J6198">
        <v>-192.14340000000001</v>
      </c>
      <c r="K6198">
        <v>1.1113010000000001</v>
      </c>
      <c r="L6198">
        <v>182.1516</v>
      </c>
      <c r="M6198">
        <v>-3.064677E-2</v>
      </c>
      <c r="N6198">
        <v>0</v>
      </c>
      <c r="O6198">
        <v>-0.99943570000000004</v>
      </c>
      <c r="P6198">
        <v>-0.114606</v>
      </c>
      <c r="Q6198">
        <v>2.0853970000000001E-3</v>
      </c>
      <c r="R6198">
        <v>-0.99340890000000004</v>
      </c>
      <c r="S6198">
        <v>-0.59135439999999995</v>
      </c>
      <c r="T6198">
        <v>-0.20608499999999999</v>
      </c>
      <c r="U6198">
        <v>-2.952118</v>
      </c>
      <c r="V6198">
        <v>8.4081230000000007E-2</v>
      </c>
      <c r="W6198">
        <v>1.5926470000000002E-2</v>
      </c>
      <c r="X6198">
        <v>0.99633159999999998</v>
      </c>
      <c r="Y6198">
        <v>0.16580829999999999</v>
      </c>
      <c r="Z6198">
        <v>6.8432530000000005E-2</v>
      </c>
      <c r="AA6198">
        <v>0.98378069999999895</v>
      </c>
      <c r="AB6198">
        <v>13</v>
      </c>
      <c r="AC6198">
        <v>-3.1879999999999802</v>
      </c>
      <c r="AD6198">
        <v>-1.111305405585</v>
      </c>
      <c r="AE6198">
        <v>-15.855700000000001</v>
      </c>
      <c r="AF6198">
        <v>2.6878395401019701</v>
      </c>
      <c r="AG6198">
        <v>-1.111305405585</v>
      </c>
      <c r="AH6198">
        <v>15.871026102497501</v>
      </c>
      <c r="AI6198">
        <v>93.949317937848505</v>
      </c>
      <c r="AJ6198">
        <v>80.387869543183399</v>
      </c>
      <c r="AK6198">
        <v>16.135332368562299</v>
      </c>
      <c r="AL6198">
        <v>89.087441887964502</v>
      </c>
      <c r="AM6198">
        <v>85.1761925446867</v>
      </c>
      <c r="AN6198">
        <v>0.99999998142176605</v>
      </c>
    </row>
    <row r="6199" spans="1:40" x14ac:dyDescent="0.25">
      <c r="A6199" t="str">
        <f>"20190312150816272"</f>
        <v>20190312150816272</v>
      </c>
      <c r="B6199" t="str">
        <f>"1552374496266538"</f>
        <v>1552374496266538</v>
      </c>
      <c r="C6199" t="s">
        <v>40</v>
      </c>
      <c r="D6199">
        <v>4.5182669999999998</v>
      </c>
      <c r="E6199">
        <v>0.53090890000000002</v>
      </c>
      <c r="F6199" t="s">
        <v>42</v>
      </c>
      <c r="G6199">
        <v>-195.33750000000001</v>
      </c>
      <c r="H6199" s="1">
        <v>-4.3821349999999998E-6</v>
      </c>
      <c r="I6199">
        <v>166.2319</v>
      </c>
      <c r="J6199">
        <v>-192.14429999999999</v>
      </c>
      <c r="K6199">
        <v>1.1112959999999901</v>
      </c>
      <c r="L6199">
        <v>182.08959999999999</v>
      </c>
      <c r="M6199">
        <v>-2.976533E-2</v>
      </c>
      <c r="N6199">
        <v>0</v>
      </c>
      <c r="O6199">
        <v>-0.99946230000000003</v>
      </c>
      <c r="P6199">
        <v>-0.1147218</v>
      </c>
      <c r="Q6199">
        <v>2.358452E-3</v>
      </c>
      <c r="R6199">
        <v>-0.99339489999999997</v>
      </c>
      <c r="S6199">
        <v>-0.59228519999999996</v>
      </c>
      <c r="T6199">
        <v>-0.20607039999999999</v>
      </c>
      <c r="U6199">
        <v>-2.9519959999999998</v>
      </c>
      <c r="V6199">
        <v>8.5075830000000005E-2</v>
      </c>
      <c r="W6199">
        <v>1.6183920000000001E-2</v>
      </c>
      <c r="X6199">
        <v>0.99624310000000005</v>
      </c>
      <c r="Y6199">
        <v>0.16698399999999999</v>
      </c>
      <c r="Z6199">
        <v>6.8424310000000002E-2</v>
      </c>
      <c r="AA6199">
        <v>0.98358239999999997</v>
      </c>
      <c r="AB6199">
        <v>13</v>
      </c>
      <c r="AC6199">
        <v>-3.1932000000000098</v>
      </c>
      <c r="AD6199">
        <v>-1.1113003821349901</v>
      </c>
      <c r="AE6199">
        <v>-15.8576999999999</v>
      </c>
      <c r="AF6199">
        <v>2.7069543676294301</v>
      </c>
      <c r="AG6199">
        <v>-1.1113003821349901</v>
      </c>
      <c r="AH6199">
        <v>15.8708214554254</v>
      </c>
      <c r="AI6199">
        <v>93.948566321587407</v>
      </c>
      <c r="AJ6199">
        <v>80.320678235612306</v>
      </c>
      <c r="AK6199">
        <v>16.138325940374099</v>
      </c>
      <c r="AL6199">
        <v>89.072689265396903</v>
      </c>
      <c r="AM6199">
        <v>85.118974105566906</v>
      </c>
      <c r="AN6199">
        <v>1.0000000652071801</v>
      </c>
    </row>
    <row r="6200" spans="1:40" x14ac:dyDescent="0.25">
      <c r="A6200" t="str">
        <f>"20190312150816284"</f>
        <v>20190312150816284</v>
      </c>
      <c r="B6200" t="str">
        <f>"1552374496276297"</f>
        <v>1552374496276297</v>
      </c>
      <c r="C6200" t="s">
        <v>40</v>
      </c>
      <c r="D6200">
        <v>4.9506750000000004</v>
      </c>
      <c r="E6200">
        <v>0.53087130000000005</v>
      </c>
      <c r="F6200" t="s">
        <v>42</v>
      </c>
      <c r="G6200">
        <v>-195.34209999999999</v>
      </c>
      <c r="H6200" s="1">
        <v>-4.3524390000000001E-6</v>
      </c>
      <c r="I6200">
        <v>166.1525</v>
      </c>
      <c r="J6200">
        <v>-192.14529999999999</v>
      </c>
      <c r="K6200">
        <v>1.111291</v>
      </c>
      <c r="L6200">
        <v>182.0187</v>
      </c>
      <c r="M6200">
        <v>-2.8757230000000002E-2</v>
      </c>
      <c r="N6200">
        <v>0</v>
      </c>
      <c r="O6200">
        <v>-0.9994923</v>
      </c>
      <c r="P6200">
        <v>-0.1148371</v>
      </c>
      <c r="Q6200">
        <v>2.6810900000000001E-3</v>
      </c>
      <c r="R6200">
        <v>-0.99338110000000002</v>
      </c>
      <c r="S6200">
        <v>-0.592315699999999</v>
      </c>
      <c r="T6200">
        <v>-0.20584569999999999</v>
      </c>
      <c r="U6200">
        <v>-2.952026</v>
      </c>
      <c r="V6200">
        <v>8.6196090000000003E-2</v>
      </c>
      <c r="W6200">
        <v>1.648954E-2</v>
      </c>
      <c r="X6200">
        <v>0.99614170000000002</v>
      </c>
      <c r="Y6200">
        <v>0.1679872</v>
      </c>
      <c r="Z6200">
        <v>6.8346450000000003E-2</v>
      </c>
      <c r="AA6200">
        <v>0.98341699999999999</v>
      </c>
      <c r="AB6200">
        <v>13</v>
      </c>
      <c r="AC6200">
        <v>-3.1967999999999899</v>
      </c>
      <c r="AD6200">
        <v>-1.1112953524389999</v>
      </c>
      <c r="AE6200">
        <v>-15.8661999999999</v>
      </c>
      <c r="AF6200">
        <v>2.72631367415062</v>
      </c>
      <c r="AG6200">
        <v>-1.1112953524389999</v>
      </c>
      <c r="AH6200">
        <v>15.876726654787801</v>
      </c>
      <c r="AI6200">
        <v>93.946328391156797</v>
      </c>
      <c r="AJ6200">
        <v>80.256333905537403</v>
      </c>
      <c r="AK6200">
        <v>16.1473902808182</v>
      </c>
      <c r="AL6200">
        <v>89.055176111389102</v>
      </c>
      <c r="AM6200">
        <v>85.054517588762394</v>
      </c>
      <c r="AN6200">
        <v>0.99999997866979395</v>
      </c>
    </row>
    <row r="6201" spans="1:40" x14ac:dyDescent="0.25">
      <c r="A6201" t="str">
        <f>"20190312150816295"</f>
        <v>20190312150816295</v>
      </c>
      <c r="B6201" t="str">
        <f>"1552374496286058"</f>
        <v>1552374496286058</v>
      </c>
      <c r="C6201" t="s">
        <v>40</v>
      </c>
      <c r="D6201">
        <v>4.5332679999999996</v>
      </c>
      <c r="E6201">
        <v>0.53083429999999998</v>
      </c>
      <c r="F6201" t="s">
        <v>42</v>
      </c>
      <c r="G6201">
        <v>-195.36099999999999</v>
      </c>
      <c r="H6201" s="1">
        <v>-4.2963029999999997E-6</v>
      </c>
      <c r="I6201">
        <v>165.99760000000001</v>
      </c>
      <c r="J6201">
        <v>-192.14599999999999</v>
      </c>
      <c r="K6201">
        <v>1.1112850000000001</v>
      </c>
      <c r="L6201">
        <v>181.95519999999999</v>
      </c>
      <c r="M6201">
        <v>-2.785615E-2</v>
      </c>
      <c r="N6201">
        <v>0</v>
      </c>
      <c r="O6201">
        <v>-0.99951789999999996</v>
      </c>
      <c r="P6201">
        <v>-0.1150287</v>
      </c>
      <c r="Q6201">
        <v>2.650974E-3</v>
      </c>
      <c r="R6201">
        <v>-0.99335870000000004</v>
      </c>
      <c r="S6201">
        <v>-0.59252930000000004</v>
      </c>
      <c r="T6201">
        <v>-0.20476639999999999</v>
      </c>
      <c r="U6201">
        <v>-2.9520420000000001</v>
      </c>
      <c r="V6201">
        <v>8.7286530000000001E-2</v>
      </c>
      <c r="W6201">
        <v>1.644615E-2</v>
      </c>
      <c r="X6201">
        <v>0.99604749999999997</v>
      </c>
      <c r="Y6201">
        <v>0.16894799999999999</v>
      </c>
      <c r="Z6201">
        <v>6.798593E-2</v>
      </c>
      <c r="AA6201">
        <v>0.98327739999999997</v>
      </c>
      <c r="AB6201">
        <v>13</v>
      </c>
      <c r="AC6201">
        <v>-3.2149999999999999</v>
      </c>
      <c r="AD6201">
        <v>-1.1112892963030001</v>
      </c>
      <c r="AE6201">
        <v>-15.9575999999999</v>
      </c>
      <c r="AF6201">
        <v>2.7563469175608399</v>
      </c>
      <c r="AG6201">
        <v>-1.1112892963030001</v>
      </c>
      <c r="AH6201">
        <v>15.966559017692401</v>
      </c>
      <c r="AI6201">
        <v>93.923575067115095</v>
      </c>
      <c r="AJ6201">
        <v>80.205424466727194</v>
      </c>
      <c r="AK6201">
        <v>16.2407949034362</v>
      </c>
      <c r="AL6201">
        <v>89.057662549747903</v>
      </c>
      <c r="AM6201">
        <v>84.991798791941207</v>
      </c>
      <c r="AN6201">
        <v>1.00000001821275</v>
      </c>
    </row>
    <row r="6202" spans="1:40" x14ac:dyDescent="0.25">
      <c r="A6202" t="str">
        <f>"20190312150816307"</f>
        <v>20190312150816307</v>
      </c>
      <c r="B6202" t="str">
        <f>"1552374496296793"</f>
        <v>1552374496296793</v>
      </c>
      <c r="C6202" t="s">
        <v>40</v>
      </c>
      <c r="D6202">
        <v>4.4963389999999999</v>
      </c>
      <c r="E6202">
        <v>0.53081429999999996</v>
      </c>
      <c r="F6202" t="s">
        <v>42</v>
      </c>
      <c r="G6202">
        <v>-195.36250000000001</v>
      </c>
      <c r="H6202" s="1">
        <v>-4.270928E-6</v>
      </c>
      <c r="I6202">
        <v>165.9308</v>
      </c>
      <c r="J6202">
        <v>-192.14680000000001</v>
      </c>
      <c r="K6202">
        <v>1.1112789999999999</v>
      </c>
      <c r="L6202">
        <v>181.88749999999999</v>
      </c>
      <c r="M6202">
        <v>-2.6896719999999999E-2</v>
      </c>
      <c r="N6202">
        <v>0</v>
      </c>
      <c r="O6202">
        <v>-0.99954430000000005</v>
      </c>
      <c r="P6202">
        <v>-0.1152054</v>
      </c>
      <c r="Q6202">
        <v>2.4393819999999999E-3</v>
      </c>
      <c r="R6202">
        <v>-0.99333890000000002</v>
      </c>
      <c r="S6202">
        <v>-0.59254459999999998</v>
      </c>
      <c r="T6202">
        <v>-0.20472119999999999</v>
      </c>
      <c r="U6202">
        <v>-2.9520110000000002</v>
      </c>
      <c r="V6202">
        <v>8.842034E-2</v>
      </c>
      <c r="W6202">
        <v>1.6220160000000001E-2</v>
      </c>
      <c r="X6202">
        <v>0.99595120000000004</v>
      </c>
      <c r="Y6202">
        <v>0.169901</v>
      </c>
      <c r="Z6202">
        <v>6.7968730000000005E-2</v>
      </c>
      <c r="AA6202">
        <v>0.98311440000000005</v>
      </c>
      <c r="AB6202">
        <v>13</v>
      </c>
      <c r="AC6202">
        <v>-3.2156999999999898</v>
      </c>
      <c r="AD6202">
        <v>-1.1112832709280001</v>
      </c>
      <c r="AE6202">
        <v>-15.9566999999999</v>
      </c>
      <c r="AF6202">
        <v>2.77239124098335</v>
      </c>
      <c r="AG6202">
        <v>-1.1112832709280001</v>
      </c>
      <c r="AH6202">
        <v>15.9630231658657</v>
      </c>
      <c r="AI6202">
        <v>93.923734096110394</v>
      </c>
      <c r="AJ6202">
        <v>80.147386101965594</v>
      </c>
      <c r="AK6202">
        <v>16.240049639557501</v>
      </c>
      <c r="AL6202">
        <v>89.070612553223199</v>
      </c>
      <c r="AM6202">
        <v>84.926594010714297</v>
      </c>
      <c r="AN6202">
        <v>1.0000000214487901</v>
      </c>
    </row>
    <row r="6203" spans="1:40" x14ac:dyDescent="0.25">
      <c r="A6203" t="str">
        <f>"20190312150816319"</f>
        <v>20190312150816319</v>
      </c>
      <c r="B6203" t="str">
        <f>"1552374496316541"</f>
        <v>1552374496316541</v>
      </c>
      <c r="C6203" t="s">
        <v>40</v>
      </c>
      <c r="D6203">
        <v>4.4689809999999897</v>
      </c>
      <c r="E6203">
        <v>0.53070839999999997</v>
      </c>
      <c r="F6203" t="s">
        <v>42</v>
      </c>
      <c r="G6203">
        <v>-195.35560000000001</v>
      </c>
      <c r="H6203" s="1">
        <v>-4.2639069999999999E-6</v>
      </c>
      <c r="I6203">
        <v>165.91569999999999</v>
      </c>
      <c r="J6203">
        <v>-192.14760000000001</v>
      </c>
      <c r="K6203">
        <v>1.111273</v>
      </c>
      <c r="L6203">
        <v>181.8192</v>
      </c>
      <c r="M6203">
        <v>-2.5931010000000001E-2</v>
      </c>
      <c r="N6203">
        <v>0</v>
      </c>
      <c r="O6203">
        <v>-0.99956999999999996</v>
      </c>
      <c r="P6203">
        <v>-0.11546919999999999</v>
      </c>
      <c r="Q6203">
        <v>2.3773840000000002E-3</v>
      </c>
      <c r="R6203">
        <v>-0.99330839999999998</v>
      </c>
      <c r="S6203">
        <v>-0.59303280000000003</v>
      </c>
      <c r="T6203">
        <v>-0.20538310000000001</v>
      </c>
      <c r="U6203">
        <v>-2.9518430000000002</v>
      </c>
      <c r="V6203">
        <v>8.9647470000000007E-2</v>
      </c>
      <c r="W6203">
        <v>1.6144829999999999E-2</v>
      </c>
      <c r="X6203">
        <v>0.99584269999999997</v>
      </c>
      <c r="Y6203">
        <v>0.17101710000000001</v>
      </c>
      <c r="Z6203">
        <v>6.8186099999999999E-2</v>
      </c>
      <c r="AA6203">
        <v>0.98290580000000005</v>
      </c>
      <c r="AB6203">
        <v>13</v>
      </c>
      <c r="AC6203">
        <v>-3.20799999999999</v>
      </c>
      <c r="AD6203">
        <v>-1.1112772639070001</v>
      </c>
      <c r="AE6203">
        <v>-15.903499999999999</v>
      </c>
      <c r="AF6203">
        <v>2.78143867939957</v>
      </c>
      <c r="AG6203">
        <v>-1.1112772639070001</v>
      </c>
      <c r="AH6203">
        <v>15.9067147735799</v>
      </c>
      <c r="AI6203">
        <v>93.936773278485006</v>
      </c>
      <c r="AJ6203">
        <v>80.081570815944104</v>
      </c>
      <c r="AK6203">
        <v>16.186256922851602</v>
      </c>
      <c r="AL6203">
        <v>89.074929193099607</v>
      </c>
      <c r="AM6203">
        <v>84.8560011336386</v>
      </c>
      <c r="AN6203">
        <v>1.00000000377821</v>
      </c>
    </row>
    <row r="6204" spans="1:40" x14ac:dyDescent="0.25">
      <c r="A6204" t="str">
        <f>"20190312150816331"</f>
        <v>20190312150816331</v>
      </c>
      <c r="B6204" t="str">
        <f>"1552374496326300"</f>
        <v>1552374496326300</v>
      </c>
      <c r="C6204" t="s">
        <v>40</v>
      </c>
      <c r="D6204">
        <v>4.48414</v>
      </c>
      <c r="E6204">
        <v>0.53066309999999906</v>
      </c>
      <c r="F6204" t="s">
        <v>42</v>
      </c>
      <c r="G6204">
        <v>-195.33750000000001</v>
      </c>
      <c r="H6204" s="1">
        <v>-4.2673690000000002E-6</v>
      </c>
      <c r="I6204">
        <v>165.9331</v>
      </c>
      <c r="J6204">
        <v>-192.1481</v>
      </c>
      <c r="K6204">
        <v>1.1112599999999999</v>
      </c>
      <c r="L6204">
        <v>181.7561</v>
      </c>
      <c r="M6204">
        <v>-2.5041310000000001E-2</v>
      </c>
      <c r="N6204">
        <v>0</v>
      </c>
      <c r="O6204">
        <v>-0.99959279999999995</v>
      </c>
      <c r="P6204">
        <v>-0.1156416</v>
      </c>
      <c r="Q6204">
        <v>2.3334499999999999E-3</v>
      </c>
      <c r="R6204">
        <v>-0.99328859999999997</v>
      </c>
      <c r="S6204">
        <v>-0.59272769999999997</v>
      </c>
      <c r="T6204">
        <v>-0.2064878</v>
      </c>
      <c r="U6204">
        <v>-2.951813</v>
      </c>
      <c r="V6204">
        <v>9.0706999999999996E-2</v>
      </c>
      <c r="W6204">
        <v>1.6089050000000001E-2</v>
      </c>
      <c r="X6204">
        <v>0.99574759999999995</v>
      </c>
      <c r="Y6204">
        <v>0.17179330000000001</v>
      </c>
      <c r="Z6204">
        <v>6.8550169999999994E-2</v>
      </c>
      <c r="AA6204">
        <v>0.98274510000000004</v>
      </c>
      <c r="AB6204">
        <v>13</v>
      </c>
      <c r="AC6204">
        <v>-3.1894</v>
      </c>
      <c r="AD6204">
        <v>-1.1112642673690001</v>
      </c>
      <c r="AE6204">
        <v>-15.823</v>
      </c>
      <c r="AF6204">
        <v>2.7789621846234498</v>
      </c>
      <c r="AG6204">
        <v>-1.1112642673690001</v>
      </c>
      <c r="AH6204">
        <v>15.8229138709077</v>
      </c>
      <c r="AI6204">
        <v>93.956994756770001</v>
      </c>
      <c r="AJ6204">
        <v>80.038791335340903</v>
      </c>
      <c r="AK6204">
        <v>16.103482308546202</v>
      </c>
      <c r="AL6204">
        <v>89.078125517384507</v>
      </c>
      <c r="AM6204">
        <v>84.795042589520406</v>
      </c>
      <c r="AN6204">
        <v>0.99999995014233001</v>
      </c>
    </row>
    <row r="6205" spans="1:40" x14ac:dyDescent="0.25">
      <c r="A6205" t="str">
        <f>"20190312150816343"</f>
        <v>20190312150816343</v>
      </c>
      <c r="B6205" t="str">
        <f>"1552374496336061"</f>
        <v>1552374496336061</v>
      </c>
      <c r="C6205" t="s">
        <v>40</v>
      </c>
      <c r="D6205">
        <v>4.5155979999999998</v>
      </c>
      <c r="E6205">
        <v>0.53055769999999902</v>
      </c>
      <c r="F6205" t="s">
        <v>42</v>
      </c>
      <c r="G6205">
        <v>-195.32380000000001</v>
      </c>
      <c r="H6205" s="1">
        <v>-4.271204E-6</v>
      </c>
      <c r="I6205">
        <v>165.9494</v>
      </c>
      <c r="J6205">
        <v>-192.14879999999999</v>
      </c>
      <c r="K6205">
        <v>1.111251</v>
      </c>
      <c r="L6205">
        <v>181.68369999999999</v>
      </c>
      <c r="M6205">
        <v>-2.4023180000000002E-2</v>
      </c>
      <c r="N6205">
        <v>0</v>
      </c>
      <c r="O6205">
        <v>-0.99961789999999995</v>
      </c>
      <c r="P6205">
        <v>-0.11542860000000001</v>
      </c>
      <c r="Q6205">
        <v>2.131328E-3</v>
      </c>
      <c r="R6205">
        <v>-0.99331329999999995</v>
      </c>
      <c r="S6205">
        <v>-0.59301759999999903</v>
      </c>
      <c r="T6205">
        <v>-0.20751620000000001</v>
      </c>
      <c r="U6205">
        <v>-2.951721</v>
      </c>
      <c r="V6205">
        <v>9.1508279999999997E-2</v>
      </c>
      <c r="W6205">
        <v>1.5874019999999999E-2</v>
      </c>
      <c r="X6205">
        <v>0.99567779999999995</v>
      </c>
      <c r="Y6205">
        <v>0.17289060000000001</v>
      </c>
      <c r="Z6205">
        <v>6.8887299999999999E-2</v>
      </c>
      <c r="AA6205">
        <v>0.98252899999999999</v>
      </c>
      <c r="AB6205">
        <v>13</v>
      </c>
      <c r="AC6205">
        <v>-3.17500000000001</v>
      </c>
      <c r="AD6205">
        <v>-1.111255271204</v>
      </c>
      <c r="AE6205">
        <v>-15.7342999999999</v>
      </c>
      <c r="AF6205">
        <v>2.7827229248311101</v>
      </c>
      <c r="AG6205">
        <v>-1.111255271204</v>
      </c>
      <c r="AH6205">
        <v>15.7306433878978</v>
      </c>
      <c r="AI6205">
        <v>93.979237876004703</v>
      </c>
      <c r="AJ6205">
        <v>79.968260032831495</v>
      </c>
      <c r="AK6205">
        <v>16.013481087863799</v>
      </c>
      <c r="AL6205">
        <v>89.090447462711893</v>
      </c>
      <c r="AM6205">
        <v>84.748953316565206</v>
      </c>
      <c r="AN6205">
        <v>1.0000000156161699</v>
      </c>
    </row>
    <row r="6206" spans="1:40" x14ac:dyDescent="0.25">
      <c r="A6206" t="str">
        <f>"20190312150816360"</f>
        <v>20190312150816360</v>
      </c>
      <c r="B6206" t="str">
        <f>"1552374496356556"</f>
        <v>1552374496356556</v>
      </c>
      <c r="C6206" t="s">
        <v>40</v>
      </c>
      <c r="D6206">
        <v>4.507657</v>
      </c>
      <c r="E6206">
        <v>0.53050850000000005</v>
      </c>
      <c r="F6206" t="s">
        <v>42</v>
      </c>
      <c r="G6206">
        <v>-195.30179999999999</v>
      </c>
      <c r="H6206" s="1">
        <v>-4.2655720000000004E-6</v>
      </c>
      <c r="I6206">
        <v>165.94489999999999</v>
      </c>
      <c r="J6206">
        <v>-192.14940000000001</v>
      </c>
      <c r="K6206">
        <v>1.1112390000000001</v>
      </c>
      <c r="L6206">
        <v>181.59610000000001</v>
      </c>
      <c r="M6206">
        <v>-2.279693E-2</v>
      </c>
      <c r="N6206">
        <v>0</v>
      </c>
      <c r="O6206">
        <v>-0.9996469</v>
      </c>
      <c r="P6206">
        <v>-0.1160788</v>
      </c>
      <c r="Q6206">
        <v>2.2615030000000002E-3</v>
      </c>
      <c r="R6206">
        <v>-0.99323760000000005</v>
      </c>
      <c r="S6206">
        <v>-0.59136959999999905</v>
      </c>
      <c r="T6206">
        <v>-0.2084222</v>
      </c>
      <c r="U6206">
        <v>-2.9519039999999999</v>
      </c>
      <c r="V6206">
        <v>9.338159E-2</v>
      </c>
      <c r="W6206">
        <v>1.5989400000000001E-2</v>
      </c>
      <c r="X6206">
        <v>0.995502</v>
      </c>
      <c r="Y6206">
        <v>0.1735556</v>
      </c>
      <c r="Z6206">
        <v>6.9185060000000007E-2</v>
      </c>
      <c r="AA6206">
        <v>0.98239089999999996</v>
      </c>
      <c r="AB6206">
        <v>13</v>
      </c>
      <c r="AC6206">
        <v>-3.1523999999999699</v>
      </c>
      <c r="AD6206">
        <v>-1.1112432655719999</v>
      </c>
      <c r="AE6206">
        <v>-15.651199999999999</v>
      </c>
      <c r="AF6206">
        <v>2.7812740364336599</v>
      </c>
      <c r="AG6206">
        <v>-1.1112432655719999</v>
      </c>
      <c r="AH6206">
        <v>15.643219314378999</v>
      </c>
      <c r="AI6206">
        <v>94.000746826945402</v>
      </c>
      <c r="AJ6206">
        <v>79.918488593451002</v>
      </c>
      <c r="AK6206">
        <v>15.927355630448499</v>
      </c>
      <c r="AL6206">
        <v>89.083835828866498</v>
      </c>
      <c r="AM6206">
        <v>84.641135319545199</v>
      </c>
      <c r="AN6206">
        <v>1.0000000071336399</v>
      </c>
    </row>
    <row r="6207" spans="1:40" x14ac:dyDescent="0.25">
      <c r="A6207" t="str">
        <f>"20190312150816375"</f>
        <v>20190312150816375</v>
      </c>
      <c r="B6207" t="str">
        <f>"1552374496366317"</f>
        <v>1552374496366317</v>
      </c>
      <c r="C6207" t="s">
        <v>40</v>
      </c>
      <c r="D6207">
        <v>4.5109760000000003</v>
      </c>
      <c r="E6207">
        <v>0.53047900000000003</v>
      </c>
      <c r="F6207" t="s">
        <v>42</v>
      </c>
      <c r="G6207">
        <v>-195.28819999999999</v>
      </c>
      <c r="H6207" s="1">
        <v>-4.2747069999999999E-6</v>
      </c>
      <c r="I6207">
        <v>165.97499999999999</v>
      </c>
      <c r="J6207">
        <v>-192.15</v>
      </c>
      <c r="K6207">
        <v>1.1112280000000001</v>
      </c>
      <c r="L6207">
        <v>181.5111</v>
      </c>
      <c r="M6207">
        <v>-2.1612949999999999E-2</v>
      </c>
      <c r="N6207">
        <v>0</v>
      </c>
      <c r="O6207">
        <v>-0.99967349999999999</v>
      </c>
      <c r="P6207">
        <v>-0.11566170000000001</v>
      </c>
      <c r="Q6207">
        <v>2.1447630000000001E-3</v>
      </c>
      <c r="R6207">
        <v>-0.99328700000000003</v>
      </c>
      <c r="S6207">
        <v>-0.59307860000000001</v>
      </c>
      <c r="T6207">
        <v>-0.2099705</v>
      </c>
      <c r="U6207">
        <v>-2.9516300000000002</v>
      </c>
      <c r="V6207">
        <v>9.4143019999999994E-2</v>
      </c>
      <c r="W6207">
        <v>1.5859720000000001E-2</v>
      </c>
      <c r="X6207">
        <v>0.9954324</v>
      </c>
      <c r="Y6207">
        <v>0.17527909999999999</v>
      </c>
      <c r="Z6207">
        <v>6.9690940000000007E-2</v>
      </c>
      <c r="AA6207">
        <v>0.98204910000000001</v>
      </c>
      <c r="AB6207">
        <v>13</v>
      </c>
      <c r="AC6207">
        <v>-3.1381999999999799</v>
      </c>
      <c r="AD6207">
        <v>-1.111232274707</v>
      </c>
      <c r="AE6207">
        <v>-15.536099999999999</v>
      </c>
      <c r="AF6207">
        <v>2.78795081682612</v>
      </c>
      <c r="AG6207">
        <v>-1.111232274707</v>
      </c>
      <c r="AH6207">
        <v>15.523995904840501</v>
      </c>
      <c r="AI6207">
        <v>94.030082571045398</v>
      </c>
      <c r="AJ6207">
        <v>79.818794841791203</v>
      </c>
      <c r="AK6207">
        <v>15.81145014788</v>
      </c>
      <c r="AL6207">
        <v>89.091266927614896</v>
      </c>
      <c r="AM6207">
        <v>84.597321328571397</v>
      </c>
      <c r="AN6207">
        <v>1.0000000509514699</v>
      </c>
    </row>
    <row r="6208" spans="1:40" x14ac:dyDescent="0.25">
      <c r="A6208" t="str">
        <f>"20190312150816388"</f>
        <v>20190312150816388</v>
      </c>
      <c r="B6208" t="str">
        <f>"1552374496376077"</f>
        <v>1552374496376077</v>
      </c>
      <c r="C6208" t="s">
        <v>40</v>
      </c>
      <c r="D6208">
        <v>4.520575</v>
      </c>
      <c r="E6208">
        <v>0.53046569999999904</v>
      </c>
      <c r="F6208" t="s">
        <v>42</v>
      </c>
      <c r="G6208">
        <v>-195.26</v>
      </c>
      <c r="H6208" s="1">
        <v>-4.2768149999999996E-6</v>
      </c>
      <c r="I6208">
        <v>165.99350000000001</v>
      </c>
      <c r="J6208">
        <v>-192.15039999999999</v>
      </c>
      <c r="K6208">
        <v>1.1112169999999999</v>
      </c>
      <c r="L6208">
        <v>181.434</v>
      </c>
      <c r="M6208">
        <v>-2.0542990000000001E-2</v>
      </c>
      <c r="N6208">
        <v>0</v>
      </c>
      <c r="O6208">
        <v>-0.99969620000000003</v>
      </c>
      <c r="P6208">
        <v>-0.1155916</v>
      </c>
      <c r="Q6208">
        <v>2.3489190000000001E-3</v>
      </c>
      <c r="R6208">
        <v>-0.99329449999999997</v>
      </c>
      <c r="S6208">
        <v>-0.59159849999999903</v>
      </c>
      <c r="T6208">
        <v>-0.21138409999999999</v>
      </c>
      <c r="U6208">
        <v>-2.9518430000000002</v>
      </c>
      <c r="V6208">
        <v>9.5138260000000002E-2</v>
      </c>
      <c r="W6208">
        <v>1.6051860000000001E-2</v>
      </c>
      <c r="X6208">
        <v>0.99533459999999996</v>
      </c>
      <c r="Y6208">
        <v>0.1758392</v>
      </c>
      <c r="Z6208">
        <v>7.0155079999999995E-2</v>
      </c>
      <c r="AA6208">
        <v>0.98191589999999995</v>
      </c>
      <c r="AB6208">
        <v>13</v>
      </c>
      <c r="AC6208">
        <v>-3.1095999999999999</v>
      </c>
      <c r="AD6208">
        <v>-1.1112212768149901</v>
      </c>
      <c r="AE6208">
        <v>-15.4405</v>
      </c>
      <c r="AF6208">
        <v>2.77789322374867</v>
      </c>
      <c r="AG6208">
        <v>-1.1112212768149901</v>
      </c>
      <c r="AH6208">
        <v>15.4243526100447</v>
      </c>
      <c r="AI6208">
        <v>94.055632981978206</v>
      </c>
      <c r="AJ6208">
        <v>79.790594194598697</v>
      </c>
      <c r="AK6208">
        <v>15.7118476611628</v>
      </c>
      <c r="AL6208">
        <v>89.080256630279393</v>
      </c>
      <c r="AM6208">
        <v>84.540016603883203</v>
      </c>
      <c r="AN6208">
        <v>0.99999995834122202</v>
      </c>
    </row>
    <row r="6209" spans="1:40" x14ac:dyDescent="0.25">
      <c r="A6209" t="str">
        <f>"20190312150816405"</f>
        <v>20190312150816405</v>
      </c>
      <c r="B6209" t="str">
        <f>"1552374496396583"</f>
        <v>1552374496396583</v>
      </c>
      <c r="C6209" t="s">
        <v>40</v>
      </c>
      <c r="D6209">
        <v>4.5269779999999997</v>
      </c>
      <c r="E6209">
        <v>0.53044089999999999</v>
      </c>
      <c r="F6209" t="s">
        <v>42</v>
      </c>
      <c r="G6209">
        <v>-195.25489999999999</v>
      </c>
      <c r="H6209" s="1">
        <v>-4.2536460000000002E-6</v>
      </c>
      <c r="I6209">
        <v>165.93549999999999</v>
      </c>
      <c r="J6209">
        <v>-192.1508</v>
      </c>
      <c r="K6209">
        <v>1.1112059999999999</v>
      </c>
      <c r="L6209">
        <v>181.3382</v>
      </c>
      <c r="M6209">
        <v>-1.922076E-2</v>
      </c>
      <c r="N6209">
        <v>0</v>
      </c>
      <c r="O6209">
        <v>-0.99972260000000002</v>
      </c>
      <c r="P6209">
        <v>-0.11571679999999999</v>
      </c>
      <c r="Q6209">
        <v>2.44546E-3</v>
      </c>
      <c r="R6209">
        <v>-0.99327949999999998</v>
      </c>
      <c r="S6209">
        <v>-0.59130859999999996</v>
      </c>
      <c r="T6209">
        <v>-0.2116508</v>
      </c>
      <c r="U6209">
        <v>-2.9519500000000001</v>
      </c>
      <c r="V6209">
        <v>9.6580540000000006E-2</v>
      </c>
      <c r="W6209">
        <v>1.6134820000000001E-2</v>
      </c>
      <c r="X6209">
        <v>0.99519440000000003</v>
      </c>
      <c r="Y6209">
        <v>0.17704039999999999</v>
      </c>
      <c r="Z6209">
        <v>7.023654E-2</v>
      </c>
      <c r="AA6209">
        <v>0.98169419999999996</v>
      </c>
      <c r="AB6209">
        <v>13</v>
      </c>
      <c r="AC6209">
        <v>-3.1040999999999799</v>
      </c>
      <c r="AD6209">
        <v>-1.111210253646</v>
      </c>
      <c r="AE6209">
        <v>-15.402699999999999</v>
      </c>
      <c r="AF6209">
        <v>2.79347557450048</v>
      </c>
      <c r="AG6209">
        <v>-1.111210253646</v>
      </c>
      <c r="AH6209">
        <v>15.382585180081</v>
      </c>
      <c r="AI6209">
        <v>94.065501996342704</v>
      </c>
      <c r="AJ6209">
        <v>79.707261694498598</v>
      </c>
      <c r="AK6209">
        <v>15.6736154359991</v>
      </c>
      <c r="AL6209">
        <v>89.075502807514596</v>
      </c>
      <c r="AM6209">
        <v>84.456979808778797</v>
      </c>
      <c r="AN6209">
        <v>1.00000001345724</v>
      </c>
    </row>
    <row r="6210" spans="1:40" x14ac:dyDescent="0.25">
      <c r="A6210" t="str">
        <f>"20190312150816417"</f>
        <v>20190312150816417</v>
      </c>
      <c r="B6210" t="str">
        <f>"1552374496406333"</f>
        <v>1552374496406333</v>
      </c>
      <c r="C6210" t="s">
        <v>40</v>
      </c>
      <c r="D6210">
        <v>4.522977</v>
      </c>
      <c r="E6210">
        <v>0.53042460000000002</v>
      </c>
      <c r="F6210" t="s">
        <v>42</v>
      </c>
      <c r="G6210">
        <v>-195.26329999999999</v>
      </c>
      <c r="H6210" s="1">
        <v>-4.2065749999999996E-6</v>
      </c>
      <c r="I6210">
        <v>165.8091</v>
      </c>
      <c r="J6210">
        <v>-192.15100000000001</v>
      </c>
      <c r="K6210">
        <v>1.1111979999999999</v>
      </c>
      <c r="L6210">
        <v>181.2747</v>
      </c>
      <c r="M6210">
        <v>-1.8350970000000001E-2</v>
      </c>
      <c r="N6210">
        <v>0</v>
      </c>
      <c r="O6210">
        <v>-0.99973909999999999</v>
      </c>
      <c r="P6210">
        <v>-0.1155907</v>
      </c>
      <c r="Q6210">
        <v>2.3760819999999998E-3</v>
      </c>
      <c r="R6210">
        <v>-0.99329440000000002</v>
      </c>
      <c r="S6210">
        <v>-0.59164430000000001</v>
      </c>
      <c r="T6210">
        <v>-0.2112272</v>
      </c>
      <c r="U6210">
        <v>-2.951889</v>
      </c>
      <c r="V6210">
        <v>9.7320420000000005E-2</v>
      </c>
      <c r="W6210">
        <v>1.6057109999999999E-2</v>
      </c>
      <c r="X6210">
        <v>0.9951236</v>
      </c>
      <c r="Y6210">
        <v>0.17800969999999999</v>
      </c>
      <c r="Z6210">
        <v>7.0092840000000003E-2</v>
      </c>
      <c r="AA6210">
        <v>0.98152919999999999</v>
      </c>
      <c r="AB6210">
        <v>13</v>
      </c>
      <c r="AC6210">
        <v>-3.1122999999999998</v>
      </c>
      <c r="AD6210">
        <v>-1.111202206575</v>
      </c>
      <c r="AE6210">
        <v>-15.465599999999901</v>
      </c>
      <c r="AF6210">
        <v>2.8139792869109899</v>
      </c>
      <c r="AG6210">
        <v>-1.111202206575</v>
      </c>
      <c r="AH6210">
        <v>15.443491592931201</v>
      </c>
      <c r="AI6210">
        <v>94.049058072726197</v>
      </c>
      <c r="AJ6210">
        <v>79.673349616034201</v>
      </c>
      <c r="AK6210">
        <v>15.7370480825344</v>
      </c>
      <c r="AL6210">
        <v>89.079955861122698</v>
      </c>
      <c r="AM6210">
        <v>84.414388707156903</v>
      </c>
      <c r="AN6210">
        <v>1.0000000371037401</v>
      </c>
    </row>
    <row r="6211" spans="1:40" x14ac:dyDescent="0.25">
      <c r="A6211" t="str">
        <f>"20190312150816428"</f>
        <v>20190312150816428</v>
      </c>
      <c r="B6211" t="str">
        <f>"1552374496416093"</f>
        <v>1552374496416093</v>
      </c>
      <c r="C6211" t="s">
        <v>40</v>
      </c>
      <c r="D6211">
        <v>4.6725019999999997</v>
      </c>
      <c r="E6211">
        <v>0.530412199999999</v>
      </c>
      <c r="F6211" t="s">
        <v>42</v>
      </c>
      <c r="G6211">
        <v>-195.24780000000001</v>
      </c>
      <c r="H6211" s="1">
        <v>-4.2044849999999999E-6</v>
      </c>
      <c r="I6211">
        <v>165.8108</v>
      </c>
      <c r="J6211">
        <v>-192.15119999999999</v>
      </c>
      <c r="K6211">
        <v>1.111194</v>
      </c>
      <c r="L6211">
        <v>181.20910000000001</v>
      </c>
      <c r="M6211">
        <v>-1.745505E-2</v>
      </c>
      <c r="N6211">
        <v>0</v>
      </c>
      <c r="O6211">
        <v>-0.99975519999999996</v>
      </c>
      <c r="P6211">
        <v>-0.1153983</v>
      </c>
      <c r="Q6211">
        <v>2.3227289999999999E-3</v>
      </c>
      <c r="R6211">
        <v>-0.99331689999999995</v>
      </c>
      <c r="S6211">
        <v>-0.59115600000000001</v>
      </c>
      <c r="T6211">
        <v>-0.2121207</v>
      </c>
      <c r="U6211">
        <v>-2.9519500000000001</v>
      </c>
      <c r="V6211">
        <v>9.8019800000000004E-2</v>
      </c>
      <c r="W6211">
        <v>1.5995599999999999E-2</v>
      </c>
      <c r="X6211">
        <v>0.99505589999999999</v>
      </c>
      <c r="Y6211">
        <v>0.17872729999999901</v>
      </c>
      <c r="Z6211">
        <v>7.0384619999999995E-2</v>
      </c>
      <c r="AA6211">
        <v>0.98137790000000003</v>
      </c>
      <c r="AB6211">
        <v>13</v>
      </c>
      <c r="AC6211">
        <v>-3.09660000000002</v>
      </c>
      <c r="AD6211">
        <v>-1.111198204485</v>
      </c>
      <c r="AE6211">
        <v>-15.398300000000001</v>
      </c>
      <c r="AF6211">
        <v>2.81324439704311</v>
      </c>
      <c r="AG6211">
        <v>-1.111198204485</v>
      </c>
      <c r="AH6211">
        <v>15.373064924429899</v>
      </c>
      <c r="AI6211">
        <v>94.066967086583205</v>
      </c>
      <c r="AJ6211">
        <v>79.629716327377693</v>
      </c>
      <c r="AK6211">
        <v>15.667808738233999</v>
      </c>
      <c r="AL6211">
        <v>89.083480535974303</v>
      </c>
      <c r="AM6211">
        <v>84.374124747385594</v>
      </c>
      <c r="AN6211">
        <v>0.99999999226810499</v>
      </c>
    </row>
    <row r="6212" spans="1:40" x14ac:dyDescent="0.25">
      <c r="A6212" t="str">
        <f>"20190312150816440"</f>
        <v>20190312150816440</v>
      </c>
      <c r="B6212" t="str">
        <f>"1552374496436589"</f>
        <v>1552374496436589</v>
      </c>
      <c r="C6212" t="s">
        <v>40</v>
      </c>
      <c r="D6212">
        <v>5.0288750000000002</v>
      </c>
      <c r="E6212">
        <v>0.53039769999999997</v>
      </c>
      <c r="F6212" t="s">
        <v>42</v>
      </c>
      <c r="G6212">
        <v>-195.24189999999999</v>
      </c>
      <c r="H6212" s="1">
        <v>-4.1824309999999998E-6</v>
      </c>
      <c r="I6212">
        <v>165.7561</v>
      </c>
      <c r="J6212">
        <v>-192.15129999999999</v>
      </c>
      <c r="K6212">
        <v>1.1111869999999999</v>
      </c>
      <c r="L6212">
        <v>181.14</v>
      </c>
      <c r="M6212">
        <v>-1.6515780000000001E-2</v>
      </c>
      <c r="N6212">
        <v>0</v>
      </c>
      <c r="O6212">
        <v>-0.99977119999999997</v>
      </c>
      <c r="P6212">
        <v>-0.11491179999999999</v>
      </c>
      <c r="Q6212">
        <v>2.5082170000000001E-3</v>
      </c>
      <c r="R6212">
        <v>-0.99337260000000005</v>
      </c>
      <c r="S6212">
        <v>-0.59043880000000004</v>
      </c>
      <c r="T6212">
        <v>-0.21227940000000001</v>
      </c>
      <c r="U6212">
        <v>-2.9520870000000001</v>
      </c>
      <c r="V6212">
        <v>9.8467310000000002E-2</v>
      </c>
      <c r="W6212">
        <v>1.6172010000000001E-2</v>
      </c>
      <c r="X6212">
        <v>0.99500889999999997</v>
      </c>
      <c r="Y6212">
        <v>0.17941289999999999</v>
      </c>
      <c r="Z6212">
        <v>7.0432729999999999E-2</v>
      </c>
      <c r="AA6212">
        <v>0.98124929999999999</v>
      </c>
      <c r="AB6212">
        <v>13</v>
      </c>
      <c r="AC6212">
        <v>-3.09059999999999</v>
      </c>
      <c r="AD6212">
        <v>-1.1111911824309999</v>
      </c>
      <c r="AE6212">
        <v>-15.383899999999899</v>
      </c>
      <c r="AF6212">
        <v>2.8219261604541002</v>
      </c>
      <c r="AG6212">
        <v>-1.1111911824309999</v>
      </c>
      <c r="AH6212">
        <v>15.355841934428501</v>
      </c>
      <c r="AI6212">
        <v>94.070932839646801</v>
      </c>
      <c r="AJ6212">
        <v>79.586999520119306</v>
      </c>
      <c r="AK6212">
        <v>15.6524724760697</v>
      </c>
      <c r="AL6212">
        <v>89.073371712981896</v>
      </c>
      <c r="AM6212">
        <v>84.348340453632801</v>
      </c>
      <c r="AN6212">
        <v>1.00000002806264</v>
      </c>
    </row>
    <row r="6213" spans="1:40" x14ac:dyDescent="0.25">
      <c r="A6213" t="str">
        <f>"20190312150816453"</f>
        <v>20190312150816453</v>
      </c>
      <c r="B6213" t="str">
        <f>"1552374496446348"</f>
        <v>1552374496446348</v>
      </c>
      <c r="C6213" t="s">
        <v>40</v>
      </c>
      <c r="D6213">
        <v>4.5286520000000001</v>
      </c>
      <c r="E6213">
        <v>0.53037519999999905</v>
      </c>
      <c r="F6213" t="s">
        <v>42</v>
      </c>
      <c r="G6213">
        <v>-195.23910000000001</v>
      </c>
      <c r="H6213" s="1">
        <v>-4.146093E-6</v>
      </c>
      <c r="I6213">
        <v>165.6627</v>
      </c>
      <c r="J6213">
        <v>-192.1514</v>
      </c>
      <c r="K6213">
        <v>1.1111839999999999</v>
      </c>
      <c r="L6213">
        <v>181.07550000000001</v>
      </c>
      <c r="M6213">
        <v>-1.5644559999999998E-2</v>
      </c>
      <c r="N6213">
        <v>0</v>
      </c>
      <c r="O6213">
        <v>-0.99978520000000004</v>
      </c>
      <c r="P6213">
        <v>-0.114617899999999</v>
      </c>
      <c r="Q6213">
        <v>2.6414120000000001E-3</v>
      </c>
      <c r="R6213">
        <v>-0.99340620000000002</v>
      </c>
      <c r="S6213">
        <v>-0.58901979999999998</v>
      </c>
      <c r="T6213">
        <v>-0.2119683</v>
      </c>
      <c r="U6213">
        <v>-2.9524080000000001</v>
      </c>
      <c r="V6213">
        <v>9.9040080000000003E-2</v>
      </c>
      <c r="W6213">
        <v>1.6297869999999999E-2</v>
      </c>
      <c r="X6213">
        <v>0.99495</v>
      </c>
      <c r="Y6213">
        <v>0.1797975</v>
      </c>
      <c r="Z6213">
        <v>7.0324819999999996E-2</v>
      </c>
      <c r="AA6213">
        <v>0.98118669999999997</v>
      </c>
      <c r="AB6213">
        <v>13</v>
      </c>
      <c r="AC6213">
        <v>-3.0877000000000101</v>
      </c>
      <c r="AD6213">
        <v>-1.111188146093</v>
      </c>
      <c r="AE6213">
        <v>-15.412800000000001</v>
      </c>
      <c r="AF6213">
        <v>2.83202123273067</v>
      </c>
      <c r="AG6213">
        <v>-1.111188146093</v>
      </c>
      <c r="AH6213">
        <v>15.3823554979175</v>
      </c>
      <c r="AI6213">
        <v>94.063683836889993</v>
      </c>
      <c r="AJ6213">
        <v>79.568182769962903</v>
      </c>
      <c r="AK6213">
        <v>15.6803043345136</v>
      </c>
      <c r="AL6213">
        <v>89.066159517884998</v>
      </c>
      <c r="AM6213">
        <v>84.315345948206101</v>
      </c>
      <c r="AN6213">
        <v>1.00000003025647</v>
      </c>
    </row>
    <row r="6214" spans="1:40" x14ac:dyDescent="0.25">
      <c r="A6214" t="str">
        <f>"20190312150816464"</f>
        <v>20190312150816464</v>
      </c>
      <c r="B6214" t="str">
        <f>"1552374496456108"</f>
        <v>1552374496456108</v>
      </c>
      <c r="C6214" t="s">
        <v>40</v>
      </c>
      <c r="D6214">
        <v>4.5137409999999996</v>
      </c>
      <c r="E6214">
        <v>0.53038339999999995</v>
      </c>
      <c r="F6214" t="s">
        <v>42</v>
      </c>
      <c r="G6214">
        <v>-195.24299999999999</v>
      </c>
      <c r="H6214" s="1">
        <v>-4.1020800000000004E-6</v>
      </c>
      <c r="I6214">
        <v>165.5463</v>
      </c>
      <c r="J6214">
        <v>-192.1514</v>
      </c>
      <c r="K6214">
        <v>1.1111740000000001</v>
      </c>
      <c r="L6214">
        <v>181.0068</v>
      </c>
      <c r="M6214">
        <v>-1.4719589999999999E-2</v>
      </c>
      <c r="N6214">
        <v>0</v>
      </c>
      <c r="O6214">
        <v>-0.99979929999999995</v>
      </c>
      <c r="P6214">
        <v>-0.1144372</v>
      </c>
      <c r="Q6214">
        <v>2.9371459999999999E-3</v>
      </c>
      <c r="R6214">
        <v>-0.99342609999999998</v>
      </c>
      <c r="S6214">
        <v>-0.58782959999999995</v>
      </c>
      <c r="T6214">
        <v>-0.2112752</v>
      </c>
      <c r="U6214">
        <v>-2.9526370000000002</v>
      </c>
      <c r="V6214">
        <v>9.9779530000000005E-2</v>
      </c>
      <c r="W6214">
        <v>1.6585840000000001E-2</v>
      </c>
      <c r="X6214">
        <v>0.99487130000000001</v>
      </c>
      <c r="Y6214">
        <v>0.1803157</v>
      </c>
      <c r="Z6214">
        <v>7.0091589999999995E-2</v>
      </c>
      <c r="AA6214">
        <v>0.98110819999999999</v>
      </c>
      <c r="AB6214">
        <v>13</v>
      </c>
      <c r="AC6214">
        <v>-3.0916000000000001</v>
      </c>
      <c r="AD6214">
        <v>-1.11117810207999</v>
      </c>
      <c r="AE6214">
        <v>-15.4604999999999</v>
      </c>
      <c r="AF6214">
        <v>2.8495182596190798</v>
      </c>
      <c r="AG6214">
        <v>-1.11117810207999</v>
      </c>
      <c r="AH6214">
        <v>15.427706903244101</v>
      </c>
      <c r="AI6214">
        <v>94.051314552228206</v>
      </c>
      <c r="AJ6214">
        <v>79.535327984735801</v>
      </c>
      <c r="AK6214">
        <v>15.7279563637127</v>
      </c>
      <c r="AL6214">
        <v>89.049657768715903</v>
      </c>
      <c r="AM6214">
        <v>84.272734425906705</v>
      </c>
      <c r="AN6214">
        <v>0.99999997412960795</v>
      </c>
    </row>
    <row r="6215" spans="1:40" x14ac:dyDescent="0.25">
      <c r="A6215" t="str">
        <f>"20190312150816477"</f>
        <v>20190312150816477</v>
      </c>
      <c r="B6215" t="str">
        <f>"1552374496465868"</f>
        <v>1552374496465868</v>
      </c>
      <c r="C6215" t="s">
        <v>40</v>
      </c>
      <c r="D6215">
        <v>4.5568030000000004</v>
      </c>
      <c r="E6215">
        <v>0.53030440000000001</v>
      </c>
      <c r="F6215" t="s">
        <v>42</v>
      </c>
      <c r="G6215">
        <v>-195.25380000000001</v>
      </c>
      <c r="H6215" s="1">
        <v>-4.0518410000000004E-6</v>
      </c>
      <c r="I6215">
        <v>165.41050000000001</v>
      </c>
      <c r="J6215">
        <v>-192.15129999999999</v>
      </c>
      <c r="K6215">
        <v>1.1111679999999999</v>
      </c>
      <c r="L6215">
        <v>180.93639999999999</v>
      </c>
      <c r="M6215">
        <v>-1.378076E-2</v>
      </c>
      <c r="N6215">
        <v>0</v>
      </c>
      <c r="O6215">
        <v>-0.99981279999999995</v>
      </c>
      <c r="P6215">
        <v>-0.1140994</v>
      </c>
      <c r="Q6215">
        <v>3.3489499999999998E-3</v>
      </c>
      <c r="R6215">
        <v>-0.99346380000000001</v>
      </c>
      <c r="S6215">
        <v>-0.5873718</v>
      </c>
      <c r="T6215">
        <v>-0.21037500000000001</v>
      </c>
      <c r="U6215">
        <v>-2.9527890000000001</v>
      </c>
      <c r="V6215">
        <v>0.1003753</v>
      </c>
      <c r="W6215">
        <v>1.6990149999999999E-2</v>
      </c>
      <c r="X6215">
        <v>0.99480460000000004</v>
      </c>
      <c r="Y6215">
        <v>0.18108730000000001</v>
      </c>
      <c r="Z6215">
        <v>6.9788340000000004E-2</v>
      </c>
      <c r="AA6215">
        <v>0.98098779999999997</v>
      </c>
      <c r="AB6215">
        <v>12</v>
      </c>
      <c r="AC6215">
        <v>-3.10250000000002</v>
      </c>
      <c r="AD6215">
        <v>-1.111172051841</v>
      </c>
      <c r="AE6215">
        <v>-15.525899999999901</v>
      </c>
      <c r="AF6215">
        <v>2.8740708502315799</v>
      </c>
      <c r="AG6215">
        <v>-1.111172051841</v>
      </c>
      <c r="AH6215">
        <v>15.4908848171727</v>
      </c>
      <c r="AI6215">
        <v>94.0342258979409</v>
      </c>
      <c r="AJ6215">
        <v>79.489254770422804</v>
      </c>
      <c r="AK6215">
        <v>15.794381880904901</v>
      </c>
      <c r="AL6215">
        <v>89.026489299775804</v>
      </c>
      <c r="AM6215">
        <v>84.238383383034602</v>
      </c>
      <c r="AN6215">
        <v>1.00000002911413</v>
      </c>
    </row>
    <row r="6216" spans="1:40" x14ac:dyDescent="0.25">
      <c r="A6216" t="str">
        <f>"20190312150816495"</f>
        <v>20190312150816495</v>
      </c>
      <c r="B6216" t="str">
        <f>"1552374496486365"</f>
        <v>1552374496486365</v>
      </c>
      <c r="C6216" t="s">
        <v>40</v>
      </c>
      <c r="D6216">
        <v>4.5717809999999997</v>
      </c>
      <c r="E6216">
        <v>0.5302289</v>
      </c>
      <c r="F6216" t="s">
        <v>42</v>
      </c>
      <c r="G6216">
        <v>-195.27170000000001</v>
      </c>
      <c r="H6216" s="1">
        <v>-3.9752620000000001E-6</v>
      </c>
      <c r="I6216">
        <v>165.2028</v>
      </c>
      <c r="J6216">
        <v>-192.15110000000001</v>
      </c>
      <c r="K6216">
        <v>1.1111679999999999</v>
      </c>
      <c r="L6216">
        <v>180.8442</v>
      </c>
      <c r="M6216">
        <v>-1.2557179999999999E-2</v>
      </c>
      <c r="N6216">
        <v>0</v>
      </c>
      <c r="O6216">
        <v>-0.99982899999999997</v>
      </c>
      <c r="P6216">
        <v>-0.1142248</v>
      </c>
      <c r="Q6216">
        <v>4.0466640000000002E-3</v>
      </c>
      <c r="R6216">
        <v>-0.99344679999999996</v>
      </c>
      <c r="S6216">
        <v>-0.58569340000000003</v>
      </c>
      <c r="T6216">
        <v>-0.20856250000000001</v>
      </c>
      <c r="U6216">
        <v>-2.9531399999999999</v>
      </c>
      <c r="V6216">
        <v>0.1017179</v>
      </c>
      <c r="W6216">
        <v>1.7677640000000001E-2</v>
      </c>
      <c r="X6216">
        <v>0.99465619999999999</v>
      </c>
      <c r="Y6216">
        <v>0.18174019999999999</v>
      </c>
      <c r="Z6216">
        <v>6.9183239999999993E-2</v>
      </c>
      <c r="AA6216">
        <v>0.9809099</v>
      </c>
      <c r="AB6216">
        <v>12</v>
      </c>
      <c r="AC6216">
        <v>-3.1205999999999898</v>
      </c>
      <c r="AD6216">
        <v>-1.111171975262</v>
      </c>
      <c r="AE6216">
        <v>-15.641400000000001</v>
      </c>
      <c r="AF6216">
        <v>2.9098010589926</v>
      </c>
      <c r="AG6216">
        <v>-1.111171975262</v>
      </c>
      <c r="AH6216">
        <v>15.603623048982801</v>
      </c>
      <c r="AI6216">
        <v>94.004491677858994</v>
      </c>
      <c r="AJ6216">
        <v>79.436679188686099</v>
      </c>
      <c r="AK6216">
        <v>15.9114643454419</v>
      </c>
      <c r="AL6216">
        <v>88.987093069262301</v>
      </c>
      <c r="AM6216">
        <v>84.160980979213306</v>
      </c>
      <c r="AN6216">
        <v>0.99999999316740895</v>
      </c>
    </row>
    <row r="6217" spans="1:40" x14ac:dyDescent="0.25">
      <c r="A6217" t="str">
        <f>"20190312150816508"</f>
        <v>20190312150816508</v>
      </c>
      <c r="B6217" t="str">
        <f>"1552374496496125"</f>
        <v>1552374496496125</v>
      </c>
      <c r="C6217" t="s">
        <v>40</v>
      </c>
      <c r="D6217">
        <v>4.5466730000000002</v>
      </c>
      <c r="E6217">
        <v>0.53022060000000004</v>
      </c>
      <c r="F6217" t="s">
        <v>42</v>
      </c>
      <c r="G6217">
        <v>-195.30940000000001</v>
      </c>
      <c r="H6217" s="1">
        <v>-3.8720850000000004E-6</v>
      </c>
      <c r="I6217">
        <v>164.91669999999999</v>
      </c>
      <c r="J6217">
        <v>-192.15090000000001</v>
      </c>
      <c r="K6217">
        <v>1.111162</v>
      </c>
      <c r="L6217">
        <v>180.76599999999999</v>
      </c>
      <c r="M6217">
        <v>-1.152741E-2</v>
      </c>
      <c r="N6217">
        <v>0</v>
      </c>
      <c r="O6217">
        <v>-0.9998416</v>
      </c>
      <c r="P6217">
        <v>-0.1138492</v>
      </c>
      <c r="Q6217">
        <v>4.2497819999999997E-3</v>
      </c>
      <c r="R6217">
        <v>-0.99348910000000001</v>
      </c>
      <c r="S6217">
        <v>-0.585617099999999</v>
      </c>
      <c r="T6217">
        <v>-0.20603540000000001</v>
      </c>
      <c r="U6217">
        <v>-2.9532929999999999</v>
      </c>
      <c r="V6217">
        <v>0.1023664</v>
      </c>
      <c r="W6217">
        <v>1.7872639999999999E-2</v>
      </c>
      <c r="X6217">
        <v>0.99458619999999998</v>
      </c>
      <c r="Y6217">
        <v>0.18273</v>
      </c>
      <c r="Z6217">
        <v>6.8340639999999994E-2</v>
      </c>
      <c r="AA6217">
        <v>0.98078500000000002</v>
      </c>
      <c r="AB6217">
        <v>12</v>
      </c>
      <c r="AC6217">
        <v>-3.1585000000000001</v>
      </c>
      <c r="AD6217">
        <v>-1.111165872085</v>
      </c>
      <c r="AE6217">
        <v>-15.849299999999999</v>
      </c>
      <c r="AF6217">
        <v>2.9615713422108199</v>
      </c>
      <c r="AG6217">
        <v>-1.111165872085</v>
      </c>
      <c r="AH6217">
        <v>15.8099193445961</v>
      </c>
      <c r="AI6217">
        <v>93.951785485143304</v>
      </c>
      <c r="AJ6217">
        <v>79.390107583015705</v>
      </c>
      <c r="AK6217">
        <v>16.123248558926502</v>
      </c>
      <c r="AL6217">
        <v>88.975918644123794</v>
      </c>
      <c r="AM6217">
        <v>84.123603449137406</v>
      </c>
      <c r="AN6217">
        <v>1.00000001016998</v>
      </c>
    </row>
    <row r="6218" spans="1:40" x14ac:dyDescent="0.25">
      <c r="A6218" t="str">
        <f>"20190312150816533"</f>
        <v>20190312150816533</v>
      </c>
      <c r="B6218" t="str">
        <f>"1552374496526380"</f>
        <v>1552374496526380</v>
      </c>
      <c r="C6218" t="s">
        <v>40</v>
      </c>
      <c r="D6218">
        <v>4.5544549999999999</v>
      </c>
      <c r="E6218">
        <v>0.53025559999999905</v>
      </c>
      <c r="F6218" t="s">
        <v>42</v>
      </c>
      <c r="G6218">
        <v>-195.3081</v>
      </c>
      <c r="H6218" s="1">
        <v>-3.830599E-6</v>
      </c>
      <c r="I6218">
        <v>164.80930000000001</v>
      </c>
      <c r="J6218">
        <v>-192.1506</v>
      </c>
      <c r="K6218">
        <v>1.111156</v>
      </c>
      <c r="L6218">
        <v>180.69399999999999</v>
      </c>
      <c r="M6218">
        <v>-1.0585529999999999E-2</v>
      </c>
      <c r="N6218">
        <v>0</v>
      </c>
      <c r="O6218">
        <v>-0.99985210000000002</v>
      </c>
      <c r="P6218">
        <v>-0.11369020000000001</v>
      </c>
      <c r="Q6218">
        <v>4.613916E-3</v>
      </c>
      <c r="R6218">
        <v>-0.99350579999999999</v>
      </c>
      <c r="S6218">
        <v>-0.58439640000000004</v>
      </c>
      <c r="T6218">
        <v>-0.20567460000000001</v>
      </c>
      <c r="U6218">
        <v>-2.9535520000000002</v>
      </c>
      <c r="V6218">
        <v>0.1031441</v>
      </c>
      <c r="W6218">
        <v>1.823021E-2</v>
      </c>
      <c r="X6218">
        <v>0.99449929999999997</v>
      </c>
      <c r="Y6218">
        <v>0.1832512</v>
      </c>
      <c r="Z6218">
        <v>6.8216120000000005E-2</v>
      </c>
      <c r="AA6218">
        <v>0.98069640000000002</v>
      </c>
      <c r="AB6218">
        <v>12</v>
      </c>
      <c r="AC6218">
        <v>-3.15749999999999</v>
      </c>
      <c r="AD6218">
        <v>-1.111159830599</v>
      </c>
      <c r="AE6218">
        <v>-15.8847</v>
      </c>
      <c r="AF6218">
        <v>2.9751548989710699</v>
      </c>
      <c r="AG6218">
        <v>-1.111159830599</v>
      </c>
      <c r="AH6218">
        <v>15.842661653145299</v>
      </c>
      <c r="AI6218">
        <v>93.943287745812498</v>
      </c>
      <c r="AJ6218">
        <v>79.364079374252199</v>
      </c>
      <c r="AK6218">
        <v>16.1578510668358</v>
      </c>
      <c r="AL6218">
        <v>88.955427992633602</v>
      </c>
      <c r="AM6218">
        <v>84.078761452238794</v>
      </c>
      <c r="AN6218">
        <v>0.99999995181097001</v>
      </c>
    </row>
    <row r="6219" spans="1:40" x14ac:dyDescent="0.25">
      <c r="A6219" t="str">
        <f>"20190312150816547"</f>
        <v>20190312150816547</v>
      </c>
      <c r="B6219" t="str">
        <f>"1552374496536141"</f>
        <v>1552374496536141</v>
      </c>
      <c r="C6219" t="s">
        <v>40</v>
      </c>
      <c r="D6219">
        <v>4.5676639999999997</v>
      </c>
      <c r="E6219">
        <v>0.53025319999999898</v>
      </c>
      <c r="F6219" t="s">
        <v>42</v>
      </c>
      <c r="G6219">
        <v>-195.31700000000001</v>
      </c>
      <c r="H6219" s="1">
        <v>-3.785415E-6</v>
      </c>
      <c r="I6219">
        <v>164.6875</v>
      </c>
      <c r="J6219">
        <v>-192.15</v>
      </c>
      <c r="K6219">
        <v>1.111145</v>
      </c>
      <c r="L6219">
        <v>180.55699999999999</v>
      </c>
      <c r="M6219">
        <v>-8.8110140000000007E-3</v>
      </c>
      <c r="N6219">
        <v>0</v>
      </c>
      <c r="O6219">
        <v>-0.99986960000000003</v>
      </c>
      <c r="P6219">
        <v>-0.11321920000000001</v>
      </c>
      <c r="Q6219">
        <v>5.2057639999999999E-3</v>
      </c>
      <c r="R6219">
        <v>-0.99355689999999997</v>
      </c>
      <c r="S6219">
        <v>-0.58428959999999996</v>
      </c>
      <c r="T6219">
        <v>-0.2050449</v>
      </c>
      <c r="U6219">
        <v>-2.9537049999999998</v>
      </c>
      <c r="V6219">
        <v>0.10443760000000001</v>
      </c>
      <c r="W6219">
        <v>1.8808990000000001E-2</v>
      </c>
      <c r="X6219">
        <v>0.9943535</v>
      </c>
      <c r="Y6219">
        <v>0.1849547</v>
      </c>
      <c r="Z6219">
        <v>6.7995860000000005E-2</v>
      </c>
      <c r="AA6219">
        <v>0.98039189999999998</v>
      </c>
      <c r="AB6219">
        <v>12</v>
      </c>
      <c r="AC6219">
        <v>-3.1669999999999998</v>
      </c>
      <c r="AD6219">
        <v>-1.111148785415</v>
      </c>
      <c r="AE6219">
        <v>-15.8695</v>
      </c>
      <c r="AF6219">
        <v>3.0128331430725801</v>
      </c>
      <c r="AG6219">
        <v>-1.111148785415</v>
      </c>
      <c r="AH6219">
        <v>15.8221934787914</v>
      </c>
      <c r="AI6219">
        <v>93.946448330238397</v>
      </c>
      <c r="AJ6219">
        <v>79.218910053182796</v>
      </c>
      <c r="AK6219">
        <v>16.1447707215567</v>
      </c>
      <c r="AL6219">
        <v>88.922260634714206</v>
      </c>
      <c r="AM6219">
        <v>84.004169773648997</v>
      </c>
      <c r="AN6219">
        <v>0.99999993668041298</v>
      </c>
    </row>
    <row r="6220" spans="1:40" x14ac:dyDescent="0.25">
      <c r="A6220" t="str">
        <f>"20190312150816561"</f>
        <v>20190312150816561</v>
      </c>
      <c r="B6220" t="str">
        <f>"1552374496556638"</f>
        <v>1552374496556638</v>
      </c>
      <c r="C6220" t="s">
        <v>40</v>
      </c>
      <c r="D6220">
        <v>5.4310320000000001</v>
      </c>
      <c r="E6220">
        <v>0.53027829999999998</v>
      </c>
      <c r="F6220" t="s">
        <v>42</v>
      </c>
      <c r="G6220">
        <v>-195.33869999999999</v>
      </c>
      <c r="H6220" s="1">
        <v>-3.6761190000000001E-6</v>
      </c>
      <c r="I6220">
        <v>164.3929</v>
      </c>
      <c r="J6220">
        <v>-192.14949999999999</v>
      </c>
      <c r="K6220">
        <v>1.1111340000000001</v>
      </c>
      <c r="L6220">
        <v>180.4759</v>
      </c>
      <c r="M6220">
        <v>-7.7708129999999997E-3</v>
      </c>
      <c r="N6220">
        <v>0</v>
      </c>
      <c r="O6220">
        <v>-0.99987789999999999</v>
      </c>
      <c r="P6220">
        <v>-0.114024</v>
      </c>
      <c r="Q6220">
        <v>5.7465160000000001E-3</v>
      </c>
      <c r="R6220">
        <v>-0.99346140000000005</v>
      </c>
      <c r="S6220">
        <v>-0.5827637</v>
      </c>
      <c r="T6220">
        <v>-0.20307059999999999</v>
      </c>
      <c r="U6220">
        <v>-2.9541170000000001</v>
      </c>
      <c r="V6220">
        <v>0.1062775</v>
      </c>
      <c r="W6220">
        <v>1.934199E-2</v>
      </c>
      <c r="X6220">
        <v>0.99414840000000004</v>
      </c>
      <c r="Y6220">
        <v>0.1854722</v>
      </c>
      <c r="Z6220">
        <v>6.7335899999999893E-2</v>
      </c>
      <c r="AA6220">
        <v>0.98033970000000004</v>
      </c>
      <c r="AB6220">
        <v>12</v>
      </c>
      <c r="AC6220">
        <v>-3.1892</v>
      </c>
      <c r="AD6220">
        <v>-1.1111376761189999</v>
      </c>
      <c r="AE6220">
        <v>-16.082999999999998</v>
      </c>
      <c r="AF6220">
        <v>3.05010652036496</v>
      </c>
      <c r="AG6220">
        <v>-1.1111376761189999</v>
      </c>
      <c r="AH6220">
        <v>16.033664228501301</v>
      </c>
      <c r="AI6220">
        <v>93.894653555866299</v>
      </c>
      <c r="AJ6220">
        <v>79.229236719600095</v>
      </c>
      <c r="AK6220">
        <v>16.358978125579402</v>
      </c>
      <c r="AL6220">
        <v>88.891716528188994</v>
      </c>
      <c r="AM6220">
        <v>83.898080555445105</v>
      </c>
      <c r="AN6220">
        <v>1.0000000304029799</v>
      </c>
    </row>
    <row r="6221" spans="1:40" x14ac:dyDescent="0.25">
      <c r="A6221" t="str">
        <f>"20190312150816575"</f>
        <v>20190312150816575</v>
      </c>
      <c r="B6221" t="str">
        <f>"1552374496566396"</f>
        <v>1552374496566396</v>
      </c>
      <c r="C6221" t="s">
        <v>40</v>
      </c>
      <c r="D6221">
        <v>4.5414760000000003</v>
      </c>
      <c r="E6221">
        <v>0.53028560000000002</v>
      </c>
      <c r="F6221" t="s">
        <v>42</v>
      </c>
      <c r="G6221">
        <v>-195.37379999999999</v>
      </c>
      <c r="H6221" s="1">
        <v>-3.6097890000000001E-6</v>
      </c>
      <c r="I6221">
        <v>164.2039</v>
      </c>
      <c r="J6221">
        <v>-192.1489</v>
      </c>
      <c r="K6221">
        <v>1.1111260000000001</v>
      </c>
      <c r="L6221">
        <v>180.40110000000001</v>
      </c>
      <c r="M6221">
        <v>-6.8212029999999996E-3</v>
      </c>
      <c r="N6221">
        <v>0</v>
      </c>
      <c r="O6221">
        <v>-0.99988509999999997</v>
      </c>
      <c r="P6221">
        <v>-0.1138306</v>
      </c>
      <c r="Q6221">
        <v>5.791526E-3</v>
      </c>
      <c r="R6221">
        <v>-0.99348369999999997</v>
      </c>
      <c r="S6221">
        <v>-0.58529659999999994</v>
      </c>
      <c r="T6221">
        <v>-0.2016965</v>
      </c>
      <c r="U6221">
        <v>-2.9537200000000001</v>
      </c>
      <c r="V6221">
        <v>0.1070285</v>
      </c>
      <c r="W6221">
        <v>1.938061E-2</v>
      </c>
      <c r="X6221">
        <v>0.99406709999999998</v>
      </c>
      <c r="Y6221">
        <v>0.1872451</v>
      </c>
      <c r="Z6221">
        <v>6.6874970000000006E-2</v>
      </c>
      <c r="AA6221">
        <v>0.98003419999999997</v>
      </c>
      <c r="AB6221">
        <v>12</v>
      </c>
      <c r="AC6221">
        <v>-3.2248999999999901</v>
      </c>
      <c r="AD6221">
        <v>-1.111129609789</v>
      </c>
      <c r="AE6221">
        <v>-16.197199999999999</v>
      </c>
      <c r="AF6221">
        <v>3.1002968447275401</v>
      </c>
      <c r="AG6221">
        <v>-1.111129609789</v>
      </c>
      <c r="AH6221">
        <v>16.145738576779401</v>
      </c>
      <c r="AI6221">
        <v>93.866402350735896</v>
      </c>
      <c r="AJ6221">
        <v>79.130396447552897</v>
      </c>
      <c r="AK6221">
        <v>16.478207539804799</v>
      </c>
      <c r="AL6221">
        <v>88.8895033761371</v>
      </c>
      <c r="AM6221">
        <v>83.854791930417093</v>
      </c>
      <c r="AN6221">
        <v>1.0000000535793101</v>
      </c>
    </row>
    <row r="6222" spans="1:40" x14ac:dyDescent="0.25">
      <c r="A6222" t="str">
        <f>"20190312150816594"</f>
        <v>20190312150816594</v>
      </c>
      <c r="B6222" t="str">
        <f>"1552374496585917"</f>
        <v>1552374496585917</v>
      </c>
      <c r="C6222" t="s">
        <v>40</v>
      </c>
      <c r="D6222">
        <v>4.5279259999999999</v>
      </c>
      <c r="E6222">
        <v>0.53022519999999995</v>
      </c>
      <c r="F6222" t="s">
        <v>42</v>
      </c>
      <c r="G6222">
        <v>-195.36969999999999</v>
      </c>
      <c r="H6222" s="1">
        <v>-3.5760390000000002E-6</v>
      </c>
      <c r="I6222">
        <v>164.13419999999999</v>
      </c>
      <c r="J6222">
        <v>-192.1481</v>
      </c>
      <c r="K6222">
        <v>1.111113</v>
      </c>
      <c r="L6222">
        <v>180.29339999999999</v>
      </c>
      <c r="M6222">
        <v>-5.4652090000000004E-3</v>
      </c>
      <c r="N6222">
        <v>0</v>
      </c>
      <c r="O6222">
        <v>-0.99989340000000004</v>
      </c>
      <c r="P6222">
        <v>-0.114382</v>
      </c>
      <c r="Q6222">
        <v>5.364588E-3</v>
      </c>
      <c r="R6222">
        <v>-0.99342249999999999</v>
      </c>
      <c r="S6222">
        <v>-0.58483890000000005</v>
      </c>
      <c r="T6222">
        <v>-0.2017641</v>
      </c>
      <c r="U6222">
        <v>-2.953827</v>
      </c>
      <c r="V6222">
        <v>0.108929399999999</v>
      </c>
      <c r="W6222">
        <v>1.8944869999999999E-2</v>
      </c>
      <c r="X6222">
        <v>0.99386890000000006</v>
      </c>
      <c r="Y6222">
        <v>0.18842390000000001</v>
      </c>
      <c r="Z6222">
        <v>6.6889160000000003E-2</v>
      </c>
      <c r="AA6222">
        <v>0.97980730000000005</v>
      </c>
      <c r="AB6222">
        <v>12</v>
      </c>
      <c r="AC6222">
        <v>-3.2215999999999898</v>
      </c>
      <c r="AD6222">
        <v>-1.111116576039</v>
      </c>
      <c r="AE6222">
        <v>-16.159199999999998</v>
      </c>
      <c r="AF6222">
        <v>3.1190471899900598</v>
      </c>
      <c r="AG6222">
        <v>-1.111116576039</v>
      </c>
      <c r="AH6222">
        <v>16.103340527683098</v>
      </c>
      <c r="AI6222">
        <v>93.875305939916601</v>
      </c>
      <c r="AJ6222">
        <v>79.038147022645504</v>
      </c>
      <c r="AK6222">
        <v>16.440213245863099</v>
      </c>
      <c r="AL6222">
        <v>88.914473917552499</v>
      </c>
      <c r="AM6222">
        <v>83.745268849336199</v>
      </c>
      <c r="AN6222">
        <v>0.99999995633544203</v>
      </c>
    </row>
    <row r="6223" spans="1:40" x14ac:dyDescent="0.25">
      <c r="A6223" t="str">
        <f>"20190312150816607"</f>
        <v>20190312150816607</v>
      </c>
      <c r="B6223" t="str">
        <f>"1552374496596653"</f>
        <v>1552374496596653</v>
      </c>
      <c r="C6223" t="s">
        <v>40</v>
      </c>
      <c r="D6223">
        <v>4.4918300000000002</v>
      </c>
      <c r="E6223">
        <v>0.53022519999999995</v>
      </c>
      <c r="F6223" t="s">
        <v>42</v>
      </c>
      <c r="G6223">
        <v>-195.32900000000001</v>
      </c>
      <c r="H6223" s="1">
        <v>-3.6246610000000002E-6</v>
      </c>
      <c r="I6223">
        <v>164.26339999999999</v>
      </c>
      <c r="J6223">
        <v>-192.14750000000001</v>
      </c>
      <c r="K6223">
        <v>1.111105</v>
      </c>
      <c r="L6223">
        <v>180.22450000000001</v>
      </c>
      <c r="M6223">
        <v>-4.605891E-3</v>
      </c>
      <c r="N6223">
        <v>0</v>
      </c>
      <c r="O6223">
        <v>-0.99989790000000001</v>
      </c>
      <c r="P6223">
        <v>-0.11454549999999999</v>
      </c>
      <c r="Q6223">
        <v>5.1200170000000001E-3</v>
      </c>
      <c r="R6223">
        <v>-0.99340519999999999</v>
      </c>
      <c r="S6223">
        <v>-0.58609009999999995</v>
      </c>
      <c r="T6223">
        <v>-0.20472109999999999</v>
      </c>
      <c r="U6223">
        <v>-2.953506</v>
      </c>
      <c r="V6223">
        <v>0.1099478</v>
      </c>
      <c r="W6223">
        <v>1.8693620000000001E-2</v>
      </c>
      <c r="X6223">
        <v>0.99376149999999996</v>
      </c>
      <c r="Y6223">
        <v>0.1896745</v>
      </c>
      <c r="Z6223">
        <v>6.786151E-2</v>
      </c>
      <c r="AA6223">
        <v>0.97949900000000001</v>
      </c>
      <c r="AB6223">
        <v>12</v>
      </c>
      <c r="AC6223">
        <v>-3.1815000000000002</v>
      </c>
      <c r="AD6223">
        <v>-1.111108624661</v>
      </c>
      <c r="AE6223">
        <v>-15.9611</v>
      </c>
      <c r="AF6223">
        <v>3.0935259417635099</v>
      </c>
      <c r="AG6223">
        <v>-1.111108624661</v>
      </c>
      <c r="AH6223">
        <v>15.901471116495699</v>
      </c>
      <c r="AI6223">
        <v>93.9236973768908</v>
      </c>
      <c r="AJ6223">
        <v>78.990997160264797</v>
      </c>
      <c r="AK6223">
        <v>16.237649115463402</v>
      </c>
      <c r="AL6223">
        <v>88.928872020035001</v>
      </c>
      <c r="AM6223">
        <v>83.686585472428504</v>
      </c>
      <c r="AN6223">
        <v>0.99999994451789498</v>
      </c>
    </row>
    <row r="6224" spans="1:40" x14ac:dyDescent="0.25">
      <c r="A6224" t="str">
        <f>"20190312150816619"</f>
        <v>20190312150816619</v>
      </c>
      <c r="B6224" t="str">
        <f>"1552374496606413"</f>
        <v>1552374496606413</v>
      </c>
      <c r="C6224" t="s">
        <v>40</v>
      </c>
      <c r="D6224">
        <v>4.5110960000000002</v>
      </c>
      <c r="E6224">
        <v>0.51790479999999905</v>
      </c>
      <c r="F6224" t="s">
        <v>42</v>
      </c>
      <c r="G6224">
        <v>-195.32</v>
      </c>
      <c r="H6224" s="1">
        <v>-3.61768E-6</v>
      </c>
      <c r="I6224">
        <v>164.25020000000001</v>
      </c>
      <c r="J6224">
        <v>-192.14680000000001</v>
      </c>
      <c r="K6224">
        <v>1.1110960000000001</v>
      </c>
      <c r="L6224">
        <v>180.1585</v>
      </c>
      <c r="M6224">
        <v>-3.7931610000000002E-3</v>
      </c>
      <c r="N6224">
        <v>0</v>
      </c>
      <c r="O6224">
        <v>-0.99990140000000005</v>
      </c>
      <c r="P6224">
        <v>-0.11440839999999899</v>
      </c>
      <c r="Q6224">
        <v>5.2101170000000002E-3</v>
      </c>
      <c r="R6224">
        <v>-0.99342039999999998</v>
      </c>
      <c r="S6224">
        <v>-0.58654790000000001</v>
      </c>
      <c r="T6224">
        <v>-0.20542340000000001</v>
      </c>
      <c r="U6224">
        <v>-2.9533390000000002</v>
      </c>
      <c r="V6224">
        <v>0.1106186</v>
      </c>
      <c r="W6224">
        <v>1.877848E-2</v>
      </c>
      <c r="X6224">
        <v>0.9936855</v>
      </c>
      <c r="Y6224">
        <v>0.19062609999999999</v>
      </c>
      <c r="Z6224">
        <v>6.8089979999999994E-2</v>
      </c>
      <c r="AA6224">
        <v>0.97929849999999996</v>
      </c>
      <c r="AB6224">
        <v>12</v>
      </c>
      <c r="AC6224">
        <v>-3.1731999999999698</v>
      </c>
      <c r="AD6224">
        <v>-1.1110996176800001</v>
      </c>
      <c r="AE6224">
        <v>-15.908299999999899</v>
      </c>
      <c r="AF6224">
        <v>3.0982931951267498</v>
      </c>
      <c r="AG6224">
        <v>-1.1110996176800001</v>
      </c>
      <c r="AH6224">
        <v>15.845881776663299</v>
      </c>
      <c r="AI6224">
        <v>93.936662057173507</v>
      </c>
      <c r="AJ6224">
        <v>78.936720883681403</v>
      </c>
      <c r="AK6224">
        <v>16.184125937577502</v>
      </c>
      <c r="AL6224">
        <v>88.924009094636602</v>
      </c>
      <c r="AM6224">
        <v>83.647898882595797</v>
      </c>
      <c r="AN6224">
        <v>0.99999998944365998</v>
      </c>
    </row>
    <row r="6225" spans="1:40" x14ac:dyDescent="0.25">
      <c r="A6225" t="str">
        <f>"20190312150816630"</f>
        <v>20190312150816630</v>
      </c>
      <c r="B6225" t="str">
        <f>"1552374496625933"</f>
        <v>1552374496625933</v>
      </c>
      <c r="C6225" t="s">
        <v>40</v>
      </c>
      <c r="D6225">
        <v>4.5200469999999999</v>
      </c>
      <c r="E6225">
        <v>0.51784799999999997</v>
      </c>
      <c r="F6225" t="s">
        <v>41</v>
      </c>
      <c r="G6225">
        <v>-192.267</v>
      </c>
      <c r="H6225">
        <v>0.96840020000000004</v>
      </c>
      <c r="I6225">
        <v>179.43879999999999</v>
      </c>
      <c r="J6225">
        <v>-192.14619999999999</v>
      </c>
      <c r="K6225">
        <v>1.1110869999999999</v>
      </c>
      <c r="L6225">
        <v>180.0992</v>
      </c>
      <c r="M6225">
        <v>-3.068978E-3</v>
      </c>
      <c r="N6225">
        <v>0</v>
      </c>
      <c r="O6225">
        <v>-0.99990400000000002</v>
      </c>
      <c r="P6225">
        <v>-0.11462890000000001</v>
      </c>
      <c r="Q6225">
        <v>5.3770709999999998E-3</v>
      </c>
      <c r="R6225">
        <v>-0.99339429999999995</v>
      </c>
      <c r="S6225">
        <v>-0.49429319999999999</v>
      </c>
      <c r="T6225">
        <v>-0.58837340000000005</v>
      </c>
      <c r="U6225">
        <v>-2.9660190000000002</v>
      </c>
      <c r="V6225">
        <v>0.11155909999999999</v>
      </c>
      <c r="W6225">
        <v>1.8939620000000001E-2</v>
      </c>
      <c r="X6225">
        <v>0.9935773</v>
      </c>
      <c r="Y6225">
        <v>0.1582962</v>
      </c>
      <c r="Z6225">
        <v>0.19207769999999999</v>
      </c>
      <c r="AA6225">
        <v>0.96852899999999997</v>
      </c>
      <c r="AB6225">
        <v>12</v>
      </c>
      <c r="AC6225">
        <v>-0.120800000000002</v>
      </c>
      <c r="AD6225">
        <v>-0.1426868</v>
      </c>
      <c r="AE6225">
        <v>-0.66040000000000898</v>
      </c>
      <c r="AF6225">
        <v>0.113639289131171</v>
      </c>
      <c r="AG6225">
        <v>-0.1426868</v>
      </c>
      <c r="AH6225">
        <v>0.63221007534220097</v>
      </c>
      <c r="AI6225">
        <v>102.524055647629</v>
      </c>
      <c r="AJ6225">
        <v>79.809942726344005</v>
      </c>
      <c r="AK6225">
        <v>0.65799923274474204</v>
      </c>
      <c r="AL6225">
        <v>88.914774818020902</v>
      </c>
      <c r="AM6225">
        <v>83.593647395584995</v>
      </c>
      <c r="AN6225">
        <v>0.99999999653692195</v>
      </c>
    </row>
    <row r="6226" spans="1:40" x14ac:dyDescent="0.25">
      <c r="A6226" t="str">
        <f>"20190312150816650"</f>
        <v>20190312150816650</v>
      </c>
      <c r="B6226" t="str">
        <f>"1552374496636669"</f>
        <v>1552374496636669</v>
      </c>
      <c r="C6226" t="s">
        <v>40</v>
      </c>
      <c r="D6226">
        <v>4.5219170000000002</v>
      </c>
      <c r="E6226">
        <v>0.51777799999999996</v>
      </c>
      <c r="F6226" t="s">
        <v>41</v>
      </c>
      <c r="G6226">
        <v>-192.27199999999999</v>
      </c>
      <c r="H6226">
        <v>0.93226089999999995</v>
      </c>
      <c r="I6226">
        <v>179.3467</v>
      </c>
      <c r="J6226">
        <v>-192.14500000000001</v>
      </c>
      <c r="K6226">
        <v>1.111067</v>
      </c>
      <c r="L6226">
        <v>179.99529999999999</v>
      </c>
      <c r="M6226">
        <v>-1.815185E-3</v>
      </c>
      <c r="N6226">
        <v>0</v>
      </c>
      <c r="O6226">
        <v>-0.99990710000000005</v>
      </c>
      <c r="P6226">
        <v>-0.1151649</v>
      </c>
      <c r="Q6226">
        <v>5.1116999999999899E-3</v>
      </c>
      <c r="R6226">
        <v>-0.99333360000000004</v>
      </c>
      <c r="S6226">
        <v>-0.49630740000000001</v>
      </c>
      <c r="T6226">
        <v>-0.70491029999999999</v>
      </c>
      <c r="U6226">
        <v>-2.966507</v>
      </c>
      <c r="V6226">
        <v>0.1133421</v>
      </c>
      <c r="W6226">
        <v>1.8664529999999999E-2</v>
      </c>
      <c r="X6226">
        <v>0.99338070000000001</v>
      </c>
      <c r="Y6226">
        <v>0.15886529999999999</v>
      </c>
      <c r="Z6226">
        <v>0.2282159</v>
      </c>
      <c r="AA6226">
        <v>0.96056200000000003</v>
      </c>
      <c r="AB6226">
        <v>12</v>
      </c>
      <c r="AC6226">
        <v>-0.12700000000000899</v>
      </c>
      <c r="AD6226">
        <v>-0.178806099999999</v>
      </c>
      <c r="AE6226">
        <v>-0.64859999999998696</v>
      </c>
      <c r="AF6226">
        <v>0.11724109545151599</v>
      </c>
      <c r="AG6226">
        <v>-0.178806099999999</v>
      </c>
      <c r="AH6226">
        <v>0.604578411469198</v>
      </c>
      <c r="AI6226">
        <v>106.190361093704</v>
      </c>
      <c r="AJ6226">
        <v>79.025301582599695</v>
      </c>
      <c r="AK6226">
        <v>0.64127385060869302</v>
      </c>
      <c r="AL6226">
        <v>88.930539110661599</v>
      </c>
      <c r="AM6226">
        <v>83.490852115705493</v>
      </c>
      <c r="AN6226">
        <v>1.00000000572251</v>
      </c>
    </row>
    <row r="6227" spans="1:40" x14ac:dyDescent="0.25">
      <c r="A6227" t="str">
        <f>"20190312150816662"</f>
        <v>20190312150816662</v>
      </c>
      <c r="B6227" t="str">
        <f>"1552374496656189"</f>
        <v>1552374496656189</v>
      </c>
      <c r="C6227" t="s">
        <v>40</v>
      </c>
      <c r="D6227">
        <v>4.7836230000000004</v>
      </c>
      <c r="E6227">
        <v>0.51774010000000004</v>
      </c>
      <c r="F6227" t="s">
        <v>41</v>
      </c>
      <c r="G6227">
        <v>-192.27170000000001</v>
      </c>
      <c r="H6227">
        <v>0.924091</v>
      </c>
      <c r="I6227">
        <v>179.2415</v>
      </c>
      <c r="J6227">
        <v>-192.14420000000001</v>
      </c>
      <c r="K6227">
        <v>1.111059</v>
      </c>
      <c r="L6227">
        <v>179.92619999999999</v>
      </c>
      <c r="M6227">
        <v>-9.9378469999999997E-4</v>
      </c>
      <c r="N6227">
        <v>0</v>
      </c>
      <c r="O6227">
        <v>-0.99990800000000002</v>
      </c>
      <c r="P6227">
        <v>-0.1153257</v>
      </c>
      <c r="Q6227">
        <v>4.6123190000000001E-3</v>
      </c>
      <c r="R6227">
        <v>-0.99331709999999995</v>
      </c>
      <c r="S6227">
        <v>-0.49774170000000001</v>
      </c>
      <c r="T6227">
        <v>-0.73605229999999999</v>
      </c>
      <c r="U6227">
        <v>-2.966202</v>
      </c>
      <c r="V6227">
        <v>0.11432</v>
      </c>
      <c r="W6227">
        <v>1.8158690000000002E-2</v>
      </c>
      <c r="X6227">
        <v>0.99327799999999999</v>
      </c>
      <c r="Y6227">
        <v>0.1597662</v>
      </c>
      <c r="Z6227">
        <v>0.2377292</v>
      </c>
      <c r="AA6227">
        <v>0.95810200000000001</v>
      </c>
      <c r="AB6227">
        <v>12</v>
      </c>
      <c r="AC6227">
        <v>-0.127499999999997</v>
      </c>
      <c r="AD6227">
        <v>-0.186968</v>
      </c>
      <c r="AE6227">
        <v>-0.68469999999999198</v>
      </c>
      <c r="AF6227">
        <v>0.118294434872358</v>
      </c>
      <c r="AG6227">
        <v>-0.186968</v>
      </c>
      <c r="AH6227">
        <v>0.63879130732854705</v>
      </c>
      <c r="AI6227">
        <v>106.055664800896</v>
      </c>
      <c r="AJ6227">
        <v>79.508544812516803</v>
      </c>
      <c r="AK6227">
        <v>0.67602140547787704</v>
      </c>
      <c r="AL6227">
        <v>88.959526508122195</v>
      </c>
      <c r="AM6227">
        <v>83.434507400097203</v>
      </c>
      <c r="AN6227">
        <v>0.99999999285325802</v>
      </c>
    </row>
    <row r="6228" spans="1:40" x14ac:dyDescent="0.25">
      <c r="A6228" t="str">
        <f>"20190312150816673"</f>
        <v>20190312150816673</v>
      </c>
      <c r="B6228" t="str">
        <f>"1552374496665949"</f>
        <v>1552374496665949</v>
      </c>
      <c r="C6228" t="s">
        <v>40</v>
      </c>
      <c r="D6228">
        <v>4.5340699999999998</v>
      </c>
      <c r="E6228">
        <v>0.51756219999999997</v>
      </c>
      <c r="F6228" t="s">
        <v>41</v>
      </c>
      <c r="G6228">
        <v>-192.26009999999999</v>
      </c>
      <c r="H6228">
        <v>0.93403340000000001</v>
      </c>
      <c r="I6228">
        <v>179.23769999999999</v>
      </c>
      <c r="J6228">
        <v>-192.14340000000001</v>
      </c>
      <c r="K6228">
        <v>1.1110469999999999</v>
      </c>
      <c r="L6228">
        <v>179.86349999999999</v>
      </c>
      <c r="M6228">
        <v>-2.5966109999999999E-4</v>
      </c>
      <c r="N6228">
        <v>0</v>
      </c>
      <c r="O6228">
        <v>-0.99990869999999998</v>
      </c>
      <c r="P6228">
        <v>-0.11542760000000001</v>
      </c>
      <c r="Q6228">
        <v>4.2697589999999997E-3</v>
      </c>
      <c r="R6228">
        <v>-0.99330689999999999</v>
      </c>
      <c r="S6228">
        <v>-0.4985657</v>
      </c>
      <c r="T6228">
        <v>-0.76277720000000004</v>
      </c>
      <c r="U6228">
        <v>-2.9658359999999999</v>
      </c>
      <c r="V6228">
        <v>0.11515209999999999</v>
      </c>
      <c r="W6228">
        <v>1.7810179999999998E-2</v>
      </c>
      <c r="X6228">
        <v>0.99318819999999997</v>
      </c>
      <c r="Y6228">
        <v>0.16043279999999999</v>
      </c>
      <c r="Z6228">
        <v>0.2458504</v>
      </c>
      <c r="AA6228">
        <v>0.95593879999999998</v>
      </c>
      <c r="AB6228">
        <v>12</v>
      </c>
      <c r="AC6228">
        <v>-0.11669999999998</v>
      </c>
      <c r="AD6228">
        <v>-0.17701359999999899</v>
      </c>
      <c r="AE6228">
        <v>-0.62579999999999802</v>
      </c>
      <c r="AF6228">
        <v>0.108173433360612</v>
      </c>
      <c r="AG6228">
        <v>-0.17701359999999899</v>
      </c>
      <c r="AH6228">
        <v>0.58091360346153798</v>
      </c>
      <c r="AI6228">
        <v>106.67644870028801</v>
      </c>
      <c r="AJ6228">
        <v>79.451618665203895</v>
      </c>
      <c r="AK6228">
        <v>0.61684351415626604</v>
      </c>
      <c r="AL6228">
        <v>88.979497902538498</v>
      </c>
      <c r="AM6228">
        <v>83.386548344959806</v>
      </c>
      <c r="AN6228">
        <v>1.00000000463264</v>
      </c>
    </row>
    <row r="6229" spans="1:40" x14ac:dyDescent="0.25">
      <c r="A6229" t="str">
        <f>"20190312150816686"</f>
        <v>20190312150816686</v>
      </c>
      <c r="B6229" t="str">
        <f>"1552374496676685"</f>
        <v>1552374496676685</v>
      </c>
      <c r="C6229" t="s">
        <v>40</v>
      </c>
      <c r="D6229">
        <v>4.5558709999999998</v>
      </c>
      <c r="E6229">
        <v>0.51747520000000002</v>
      </c>
      <c r="F6229" t="s">
        <v>41</v>
      </c>
      <c r="G6229">
        <v>-192.26570000000001</v>
      </c>
      <c r="H6229">
        <v>0.92240800000000001</v>
      </c>
      <c r="I6229">
        <v>179.13399999999999</v>
      </c>
      <c r="J6229">
        <v>-192.14250000000001</v>
      </c>
      <c r="K6229">
        <v>1.1110359999999999</v>
      </c>
      <c r="L6229">
        <v>179.79470000000001</v>
      </c>
      <c r="M6229">
        <v>5.3936749999999997E-4</v>
      </c>
      <c r="N6229">
        <v>0</v>
      </c>
      <c r="O6229">
        <v>-0.99990869999999998</v>
      </c>
      <c r="P6229">
        <v>-0.11554</v>
      </c>
      <c r="Q6229">
        <v>4.1240519999999996E-3</v>
      </c>
      <c r="R6229">
        <v>-0.99329449999999997</v>
      </c>
      <c r="S6229">
        <v>-0.49732969999999999</v>
      </c>
      <c r="T6229">
        <v>-0.76697309999999996</v>
      </c>
      <c r="U6229">
        <v>-2.9657140000000002</v>
      </c>
      <c r="V6229">
        <v>0.1160587</v>
      </c>
      <c r="W6229">
        <v>1.7657619999999999E-2</v>
      </c>
      <c r="X6229">
        <v>0.99308540000000001</v>
      </c>
      <c r="Y6229">
        <v>0.16078589999999901</v>
      </c>
      <c r="Z6229">
        <v>0.2471293</v>
      </c>
      <c r="AA6229">
        <v>0.9555496</v>
      </c>
      <c r="AB6229">
        <v>12</v>
      </c>
      <c r="AC6229">
        <v>-0.12319999999999701</v>
      </c>
      <c r="AD6229">
        <v>-0.18862799999999999</v>
      </c>
      <c r="AE6229">
        <v>-0.66069999999999096</v>
      </c>
      <c r="AF6229">
        <v>0.11453451657616701</v>
      </c>
      <c r="AG6229">
        <v>-0.18862799999999999</v>
      </c>
      <c r="AH6229">
        <v>0.61239521451926704</v>
      </c>
      <c r="AI6229">
        <v>106.844581680639</v>
      </c>
      <c r="AJ6229">
        <v>79.406520519205898</v>
      </c>
      <c r="AK6229">
        <v>0.650942836689548</v>
      </c>
      <c r="AL6229">
        <v>88.988240329446697</v>
      </c>
      <c r="AM6229">
        <v>83.334263129324995</v>
      </c>
      <c r="AN6229">
        <v>1.0000000125414501</v>
      </c>
    </row>
    <row r="6230" spans="1:40" x14ac:dyDescent="0.25">
      <c r="A6230" t="str">
        <f>"20190312150816698"</f>
        <v>20190312150816698</v>
      </c>
      <c r="B6230" t="str">
        <f>"1552374496686445"</f>
        <v>1552374496686445</v>
      </c>
      <c r="C6230" t="s">
        <v>40</v>
      </c>
      <c r="D6230">
        <v>4.5415590000000003</v>
      </c>
      <c r="E6230">
        <v>0.51731939999999998</v>
      </c>
      <c r="F6230" t="s">
        <v>41</v>
      </c>
      <c r="G6230">
        <v>-192.2706</v>
      </c>
      <c r="H6230">
        <v>0.91198999999999997</v>
      </c>
      <c r="I6230">
        <v>179.03</v>
      </c>
      <c r="J6230">
        <v>-192.14160000000001</v>
      </c>
      <c r="K6230">
        <v>1.1110169999999999</v>
      </c>
      <c r="L6230">
        <v>179.73159999999999</v>
      </c>
      <c r="M6230">
        <v>1.256758E-3</v>
      </c>
      <c r="N6230">
        <v>0</v>
      </c>
      <c r="O6230">
        <v>-0.99990789999999996</v>
      </c>
      <c r="P6230">
        <v>-0.11581610000000001</v>
      </c>
      <c r="Q6230">
        <v>4.1822889999999996E-3</v>
      </c>
      <c r="R6230">
        <v>-0.99326190000000003</v>
      </c>
      <c r="S6230">
        <v>-0.49690250000000002</v>
      </c>
      <c r="T6230">
        <v>-0.77198269999999902</v>
      </c>
      <c r="U6230">
        <v>-2.9656370000000001</v>
      </c>
      <c r="V6230">
        <v>0.1170477</v>
      </c>
      <c r="W6230">
        <v>1.770911E-2</v>
      </c>
      <c r="X6230">
        <v>0.99296839999999997</v>
      </c>
      <c r="Y6230">
        <v>0.16129949999999901</v>
      </c>
      <c r="Z6230">
        <v>0.24864030000000001</v>
      </c>
      <c r="AA6230">
        <v>0.95507089999999994</v>
      </c>
      <c r="AB6230">
        <v>12</v>
      </c>
      <c r="AC6230">
        <v>-0.12899999999999001</v>
      </c>
      <c r="AD6230">
        <v>-0.19902699999999901</v>
      </c>
      <c r="AE6230">
        <v>-0.70159999999998401</v>
      </c>
      <c r="AF6230">
        <v>0.120501800583887</v>
      </c>
      <c r="AG6230">
        <v>-0.19902699999999901</v>
      </c>
      <c r="AH6230">
        <v>0.65078025402557504</v>
      </c>
      <c r="AI6230">
        <v>106.736900431018</v>
      </c>
      <c r="AJ6230">
        <v>79.509634800047607</v>
      </c>
      <c r="AK6230">
        <v>0.691120372802417</v>
      </c>
      <c r="AL6230">
        <v>88.985289705875203</v>
      </c>
      <c r="AM6230">
        <v>83.277193557092303</v>
      </c>
      <c r="AN6230">
        <v>1.00000001002542</v>
      </c>
    </row>
    <row r="6231" spans="1:40" x14ac:dyDescent="0.25">
      <c r="A6231" t="str">
        <f>"20190312150816709"</f>
        <v>20190312150816709</v>
      </c>
      <c r="B6231" t="str">
        <f>"1552374496705965"</f>
        <v>1552374496705965</v>
      </c>
      <c r="C6231" t="s">
        <v>40</v>
      </c>
      <c r="D6231">
        <v>4.5208769999999996</v>
      </c>
      <c r="E6231">
        <v>0.51710529999999999</v>
      </c>
      <c r="F6231" t="s">
        <v>41</v>
      </c>
      <c r="G6231">
        <v>-192.26009999999999</v>
      </c>
      <c r="H6231">
        <v>0.92624130000000005</v>
      </c>
      <c r="I6231">
        <v>179.02420000000001</v>
      </c>
      <c r="J6231">
        <v>-192.14070000000001</v>
      </c>
      <c r="K6231">
        <v>1.1110059999999999</v>
      </c>
      <c r="L6231">
        <v>179.6703</v>
      </c>
      <c r="M6231">
        <v>1.9469400000000001E-3</v>
      </c>
      <c r="N6231">
        <v>0</v>
      </c>
      <c r="O6231">
        <v>-0.99990699999999999</v>
      </c>
      <c r="P6231">
        <v>-0.1159056</v>
      </c>
      <c r="Q6231">
        <v>4.2237159999999998E-3</v>
      </c>
      <c r="R6231">
        <v>-0.99325140000000001</v>
      </c>
      <c r="S6231">
        <v>-0.4966583</v>
      </c>
      <c r="T6231">
        <v>-0.77462790000000004</v>
      </c>
      <c r="U6231">
        <v>-2.9656980000000002</v>
      </c>
      <c r="V6231">
        <v>0.1178231</v>
      </c>
      <c r="W6231">
        <v>1.7744389999999999E-2</v>
      </c>
      <c r="X6231">
        <v>0.99287610000000004</v>
      </c>
      <c r="Y6231">
        <v>0.16186700000000001</v>
      </c>
      <c r="Z6231">
        <v>0.24942320000000001</v>
      </c>
      <c r="AA6231">
        <v>0.95477069999999997</v>
      </c>
      <c r="AB6231">
        <v>12</v>
      </c>
      <c r="AC6231">
        <v>-0.11939999999998401</v>
      </c>
      <c r="AD6231">
        <v>-0.184764699999999</v>
      </c>
      <c r="AE6231">
        <v>-0.64609999999998902</v>
      </c>
      <c r="AF6231">
        <v>0.111815672941995</v>
      </c>
      <c r="AG6231">
        <v>-0.184764699999999</v>
      </c>
      <c r="AH6231">
        <v>0.59853544541547199</v>
      </c>
      <c r="AI6231">
        <v>106.880156252734</v>
      </c>
      <c r="AJ6231">
        <v>79.418238777033807</v>
      </c>
      <c r="AK6231">
        <v>0.63630607297137998</v>
      </c>
      <c r="AL6231">
        <v>88.983268031846606</v>
      </c>
      <c r="AM6231">
        <v>83.232445745070393</v>
      </c>
      <c r="AN6231">
        <v>1.0000000481106399</v>
      </c>
    </row>
    <row r="6232" spans="1:40" x14ac:dyDescent="0.25">
      <c r="A6232" t="str">
        <f>"20190312150816722"</f>
        <v>20190312150816722</v>
      </c>
      <c r="B6232" t="str">
        <f>"1552374496716702"</f>
        <v>1552374496716702</v>
      </c>
      <c r="C6232" t="s">
        <v>40</v>
      </c>
      <c r="D6232">
        <v>4.5283490000000004</v>
      </c>
      <c r="E6232">
        <v>0.5170804</v>
      </c>
      <c r="F6232" t="s">
        <v>41</v>
      </c>
      <c r="G6232">
        <v>-192.26599999999999</v>
      </c>
      <c r="H6232">
        <v>0.91489050000000005</v>
      </c>
      <c r="I6232">
        <v>178.92080000000001</v>
      </c>
      <c r="J6232">
        <v>-192.13980000000001</v>
      </c>
      <c r="K6232">
        <v>1.110994</v>
      </c>
      <c r="L6232">
        <v>179.602</v>
      </c>
      <c r="M6232">
        <v>2.7044899999999999E-3</v>
      </c>
      <c r="N6232">
        <v>0</v>
      </c>
      <c r="O6232">
        <v>-0.9999055</v>
      </c>
      <c r="P6232">
        <v>-0.1159809</v>
      </c>
      <c r="Q6232">
        <v>4.19221E-3</v>
      </c>
      <c r="R6232">
        <v>-0.99324330000000005</v>
      </c>
      <c r="S6232">
        <v>-0.49513239999999997</v>
      </c>
      <c r="T6232">
        <v>-0.77628039999999998</v>
      </c>
      <c r="U6232">
        <v>-2.9659119999999999</v>
      </c>
      <c r="V6232">
        <v>0.1186511</v>
      </c>
      <c r="W6232">
        <v>1.7705769999999999E-2</v>
      </c>
      <c r="X6232">
        <v>0.9927781</v>
      </c>
      <c r="Y6232">
        <v>0.1621041</v>
      </c>
      <c r="Z6232">
        <v>0.2499091</v>
      </c>
      <c r="AA6232">
        <v>0.95460339999999999</v>
      </c>
      <c r="AB6232">
        <v>12</v>
      </c>
      <c r="AC6232">
        <v>-0.12619999999998299</v>
      </c>
      <c r="AD6232">
        <v>-0.19610349999999999</v>
      </c>
      <c r="AE6232">
        <v>-0.68119999999998904</v>
      </c>
      <c r="AF6232">
        <v>0.118543737442269</v>
      </c>
      <c r="AG6232">
        <v>-0.19610349999999999</v>
      </c>
      <c r="AH6232">
        <v>0.63034966956194305</v>
      </c>
      <c r="AI6232">
        <v>107.0006529387</v>
      </c>
      <c r="AJ6232">
        <v>79.349336256927899</v>
      </c>
      <c r="AK6232">
        <v>0.67070851069289605</v>
      </c>
      <c r="AL6232">
        <v>88.985481059959895</v>
      </c>
      <c r="AM6232">
        <v>83.184666212656794</v>
      </c>
      <c r="AN6232">
        <v>0.99999996683105496</v>
      </c>
    </row>
    <row r="6233" spans="1:40" x14ac:dyDescent="0.25">
      <c r="A6233" t="str">
        <f>"20190312150816734"</f>
        <v>20190312150816734</v>
      </c>
      <c r="B6233" t="str">
        <f>"1552374496726461"</f>
        <v>1552374496726461</v>
      </c>
      <c r="C6233" t="s">
        <v>40</v>
      </c>
      <c r="D6233">
        <v>4.52006</v>
      </c>
      <c r="E6233">
        <v>0.51705749999999995</v>
      </c>
      <c r="F6233" t="s">
        <v>41</v>
      </c>
      <c r="G6233">
        <v>-192.25460000000001</v>
      </c>
      <c r="H6233">
        <v>0.93117439999999996</v>
      </c>
      <c r="I6233">
        <v>178.91419999999999</v>
      </c>
      <c r="J6233">
        <v>-192.1388</v>
      </c>
      <c r="K6233">
        <v>1.110984</v>
      </c>
      <c r="L6233">
        <v>179.5384</v>
      </c>
      <c r="M6233">
        <v>3.3947309999999998E-3</v>
      </c>
      <c r="N6233">
        <v>0</v>
      </c>
      <c r="O6233">
        <v>-0.99990310000000004</v>
      </c>
      <c r="P6233">
        <v>-0.11615590000000001</v>
      </c>
      <c r="Q6233">
        <v>4.2572219999999997E-3</v>
      </c>
      <c r="R6233">
        <v>-0.9932223</v>
      </c>
      <c r="S6233">
        <v>-0.49482730000000003</v>
      </c>
      <c r="T6233">
        <v>-0.77557799999999999</v>
      </c>
      <c r="U6233">
        <v>-2.965897</v>
      </c>
      <c r="V6233">
        <v>0.1195119</v>
      </c>
      <c r="W6233">
        <v>1.7764410000000001E-2</v>
      </c>
      <c r="X6233">
        <v>0.99267380000000005</v>
      </c>
      <c r="Y6233">
        <v>0.16269910000000001</v>
      </c>
      <c r="Z6233">
        <v>0.2496871</v>
      </c>
      <c r="AA6233">
        <v>0.95456030000000003</v>
      </c>
      <c r="AB6233">
        <v>12</v>
      </c>
      <c r="AC6233">
        <v>-0.11580000000000699</v>
      </c>
      <c r="AD6233">
        <v>-0.17980959999999899</v>
      </c>
      <c r="AE6233">
        <v>-0.62420000000000098</v>
      </c>
      <c r="AF6233">
        <v>0.10916157475900801</v>
      </c>
      <c r="AG6233">
        <v>-0.17980959999999899</v>
      </c>
      <c r="AH6233">
        <v>0.57747797111340904</v>
      </c>
      <c r="AI6233">
        <v>107.011605627465</v>
      </c>
      <c r="AJ6233">
        <v>79.295595379336504</v>
      </c>
      <c r="AK6233">
        <v>0.61459624858705897</v>
      </c>
      <c r="AL6233">
        <v>88.982120710920697</v>
      </c>
      <c r="AM6233">
        <v>83.134977500111205</v>
      </c>
      <c r="AN6233">
        <v>0.99999997085534797</v>
      </c>
    </row>
    <row r="6234" spans="1:40" x14ac:dyDescent="0.25">
      <c r="A6234" t="str">
        <f>"20190312150816750"</f>
        <v>20190312150816750</v>
      </c>
      <c r="B6234" t="str">
        <f>"1552374496745981"</f>
        <v>1552374496745981</v>
      </c>
      <c r="C6234" t="s">
        <v>40</v>
      </c>
      <c r="D6234">
        <v>4.5441890000000003</v>
      </c>
      <c r="E6234">
        <v>0.51703100000000002</v>
      </c>
      <c r="F6234" t="s">
        <v>41</v>
      </c>
      <c r="G6234">
        <v>-192.26050000000001</v>
      </c>
      <c r="H6234">
        <v>0.92106509999999997</v>
      </c>
      <c r="I6234">
        <v>178.81049999999999</v>
      </c>
      <c r="J6234">
        <v>-192.13730000000001</v>
      </c>
      <c r="K6234">
        <v>1.110968</v>
      </c>
      <c r="L6234">
        <v>179.44909999999999</v>
      </c>
      <c r="M6234">
        <v>4.3483050000000002E-3</v>
      </c>
      <c r="N6234">
        <v>0</v>
      </c>
      <c r="O6234">
        <v>-0.99989939999999999</v>
      </c>
      <c r="P6234">
        <v>-0.1170428</v>
      </c>
      <c r="Q6234">
        <v>3.9235559999999999E-3</v>
      </c>
      <c r="R6234">
        <v>-0.99311939999999999</v>
      </c>
      <c r="S6234">
        <v>-0.49523929999999999</v>
      </c>
      <c r="T6234">
        <v>-0.77404930000000005</v>
      </c>
      <c r="U6234">
        <v>-2.9658660000000001</v>
      </c>
      <c r="V6234">
        <v>0.1213461</v>
      </c>
      <c r="W6234">
        <v>1.7420669999999999E-2</v>
      </c>
      <c r="X6234">
        <v>0.99245740000000005</v>
      </c>
      <c r="Y6234">
        <v>0.16379009999999999</v>
      </c>
      <c r="Z6234">
        <v>0.24920129999999999</v>
      </c>
      <c r="AA6234">
        <v>0.95450069999999998</v>
      </c>
      <c r="AB6234">
        <v>12</v>
      </c>
      <c r="AC6234">
        <v>-0.12319999999999701</v>
      </c>
      <c r="AD6234">
        <v>-0.18990290000000001</v>
      </c>
      <c r="AE6234">
        <v>-0.63859999999999595</v>
      </c>
      <c r="AF6234">
        <v>0.116079236725709</v>
      </c>
      <c r="AG6234">
        <v>-0.18990290000000001</v>
      </c>
      <c r="AH6234">
        <v>0.58793229313965401</v>
      </c>
      <c r="AI6234">
        <v>107.582580773667</v>
      </c>
      <c r="AJ6234">
        <v>78.831370874522605</v>
      </c>
      <c r="AK6234">
        <v>0.62865084263340199</v>
      </c>
      <c r="AL6234">
        <v>89.001818663628995</v>
      </c>
      <c r="AM6234">
        <v>83.029140880714095</v>
      </c>
      <c r="AN6234">
        <v>1.0000000232716</v>
      </c>
    </row>
    <row r="6235" spans="1:40" x14ac:dyDescent="0.25">
      <c r="A6235" t="str">
        <f>"20190312150816764"</f>
        <v>20190312150816764</v>
      </c>
      <c r="B6235" t="str">
        <f>"1552374496756717"</f>
        <v>1552374496756717</v>
      </c>
      <c r="C6235" t="s">
        <v>40</v>
      </c>
      <c r="D6235">
        <v>4.5380830000000003</v>
      </c>
      <c r="E6235">
        <v>0.51722129999999999</v>
      </c>
      <c r="F6235" t="s">
        <v>41</v>
      </c>
      <c r="G6235">
        <v>-192.2621</v>
      </c>
      <c r="H6235">
        <v>0.91658119999999998</v>
      </c>
      <c r="I6235">
        <v>178.70480000000001</v>
      </c>
      <c r="J6235">
        <v>-192.1361</v>
      </c>
      <c r="K6235">
        <v>1.1109579999999999</v>
      </c>
      <c r="L6235">
        <v>179.37440000000001</v>
      </c>
      <c r="M6235">
        <v>5.1307740000000003E-3</v>
      </c>
      <c r="N6235">
        <v>0</v>
      </c>
      <c r="O6235">
        <v>-0.99989589999999995</v>
      </c>
      <c r="P6235">
        <v>-0.11683490000000001</v>
      </c>
      <c r="Q6235">
        <v>3.8085559999999998E-3</v>
      </c>
      <c r="R6235">
        <v>-0.99314440000000004</v>
      </c>
      <c r="S6235">
        <v>-0.4971313</v>
      </c>
      <c r="T6235">
        <v>-0.77446409999999999</v>
      </c>
      <c r="U6235">
        <v>-2.965271</v>
      </c>
      <c r="V6235">
        <v>0.1219156</v>
      </c>
      <c r="W6235">
        <v>1.7297659999999999E-2</v>
      </c>
      <c r="X6235">
        <v>0.99238970000000004</v>
      </c>
      <c r="Y6235">
        <v>0.1651791</v>
      </c>
      <c r="Z6235">
        <v>0.24932979999999999</v>
      </c>
      <c r="AA6235">
        <v>0.95422770000000001</v>
      </c>
      <c r="AB6235">
        <v>12</v>
      </c>
      <c r="AC6235">
        <v>-0.126000000000004</v>
      </c>
      <c r="AD6235">
        <v>-0.19437679999999899</v>
      </c>
      <c r="AE6235">
        <v>-0.66960000000000197</v>
      </c>
      <c r="AF6235">
        <v>0.119692967802478</v>
      </c>
      <c r="AG6235">
        <v>-0.19437679999999899</v>
      </c>
      <c r="AH6235">
        <v>0.61859970499362205</v>
      </c>
      <c r="AI6235">
        <v>107.14493420504201</v>
      </c>
      <c r="AJ6235">
        <v>79.049152031954407</v>
      </c>
      <c r="AK6235">
        <v>0.65937420478647901</v>
      </c>
      <c r="AL6235">
        <v>89.008867626279098</v>
      </c>
      <c r="AM6235">
        <v>82.996276451035698</v>
      </c>
      <c r="AN6235">
        <v>0.999999969615462</v>
      </c>
    </row>
    <row r="6236" spans="1:40" x14ac:dyDescent="0.25">
      <c r="A6236" t="str">
        <f>"20190312150816778"</f>
        <v>20190312150816778</v>
      </c>
      <c r="B6236" t="str">
        <f>"1552374496766476"</f>
        <v>1552374496766476</v>
      </c>
      <c r="C6236" t="s">
        <v>40</v>
      </c>
      <c r="D6236">
        <v>4.5308199999999896</v>
      </c>
      <c r="E6236">
        <v>0.517594</v>
      </c>
      <c r="F6236" t="s">
        <v>41</v>
      </c>
      <c r="G6236">
        <v>-192.2664</v>
      </c>
      <c r="H6236">
        <v>0.90878550000000002</v>
      </c>
      <c r="I6236">
        <v>178.60050000000001</v>
      </c>
      <c r="J6236">
        <v>-192.13489999999999</v>
      </c>
      <c r="K6236">
        <v>1.110943</v>
      </c>
      <c r="L6236">
        <v>179.3022</v>
      </c>
      <c r="M6236">
        <v>5.8668449999999999E-3</v>
      </c>
      <c r="N6236">
        <v>0</v>
      </c>
      <c r="O6236">
        <v>-0.99989209999999995</v>
      </c>
      <c r="P6236">
        <v>-0.116894</v>
      </c>
      <c r="Q6236">
        <v>3.9808780000000002E-3</v>
      </c>
      <c r="R6236">
        <v>-0.99313680000000004</v>
      </c>
      <c r="S6236">
        <v>-0.49815369999999998</v>
      </c>
      <c r="T6236">
        <v>-0.77478369999999996</v>
      </c>
      <c r="U6236">
        <v>-2.9650880000000002</v>
      </c>
      <c r="V6236">
        <v>0.1227056</v>
      </c>
      <c r="W6236">
        <v>1.7461190000000001E-2</v>
      </c>
      <c r="X6236">
        <v>0.99228950000000005</v>
      </c>
      <c r="Y6236">
        <v>0.166230399999999</v>
      </c>
      <c r="Z6236">
        <v>0.24940989999999999</v>
      </c>
      <c r="AA6236">
        <v>0.95402419999999999</v>
      </c>
      <c r="AB6236">
        <v>12</v>
      </c>
      <c r="AC6236">
        <v>-0.13150000000001599</v>
      </c>
      <c r="AD6236">
        <v>-0.20215749999999999</v>
      </c>
      <c r="AE6236">
        <v>-0.701699999999988</v>
      </c>
      <c r="AF6236">
        <v>0.12554797018837399</v>
      </c>
      <c r="AG6236">
        <v>-0.20215749999999999</v>
      </c>
      <c r="AH6236">
        <v>0.64888624099249603</v>
      </c>
      <c r="AI6236">
        <v>107.007442986548</v>
      </c>
      <c r="AJ6236">
        <v>79.049589925703899</v>
      </c>
      <c r="AK6236">
        <v>0.69114636754745595</v>
      </c>
      <c r="AL6236">
        <v>88.999496666849595</v>
      </c>
      <c r="AM6236">
        <v>82.950643543844194</v>
      </c>
      <c r="AN6236">
        <v>1.0000000046189099</v>
      </c>
    </row>
    <row r="6237" spans="1:40" x14ac:dyDescent="0.25">
      <c r="A6237" t="str">
        <f>"20190312150816792"</f>
        <v>20190312150816792</v>
      </c>
      <c r="B6237" t="str">
        <f>"1552374496785997"</f>
        <v>1552374496785997</v>
      </c>
      <c r="C6237" t="s">
        <v>40</v>
      </c>
      <c r="D6237">
        <v>4.5330779999999997</v>
      </c>
      <c r="E6237">
        <v>0.5182679</v>
      </c>
      <c r="F6237" t="s">
        <v>41</v>
      </c>
      <c r="G6237">
        <v>-192.25489999999999</v>
      </c>
      <c r="H6237">
        <v>0.92528860000000002</v>
      </c>
      <c r="I6237">
        <v>178.59379999999999</v>
      </c>
      <c r="J6237">
        <v>-192.1336</v>
      </c>
      <c r="K6237">
        <v>1.1109329999999999</v>
      </c>
      <c r="L6237">
        <v>179.22839999999999</v>
      </c>
      <c r="M6237">
        <v>6.6087869999999996E-3</v>
      </c>
      <c r="N6237">
        <v>0</v>
      </c>
      <c r="O6237">
        <v>-0.99988750000000004</v>
      </c>
      <c r="P6237">
        <v>-0.1166691</v>
      </c>
      <c r="Q6237">
        <v>3.8935480000000001E-3</v>
      </c>
      <c r="R6237">
        <v>-0.99316340000000003</v>
      </c>
      <c r="S6237">
        <v>-0.50131229999999904</v>
      </c>
      <c r="T6237">
        <v>-0.7772462</v>
      </c>
      <c r="U6237">
        <v>-2.9648279999999998</v>
      </c>
      <c r="V6237">
        <v>0.1232178</v>
      </c>
      <c r="W6237">
        <v>1.7363460000000001E-2</v>
      </c>
      <c r="X6237">
        <v>0.99222770000000005</v>
      </c>
      <c r="Y6237">
        <v>0.16793259999999999</v>
      </c>
      <c r="Z6237">
        <v>0.25011359999999999</v>
      </c>
      <c r="AA6237">
        <v>0.95354179999999999</v>
      </c>
      <c r="AB6237">
        <v>12</v>
      </c>
      <c r="AC6237">
        <v>-0.12129999999999</v>
      </c>
      <c r="AD6237">
        <v>-0.18564439999999999</v>
      </c>
      <c r="AE6237">
        <v>-0.63460000000000505</v>
      </c>
      <c r="AF6237">
        <v>0.115921018803082</v>
      </c>
      <c r="AG6237">
        <v>-0.18564439999999999</v>
      </c>
      <c r="AH6237">
        <v>0.58544871905802398</v>
      </c>
      <c r="AI6237">
        <v>107.27875772607401</v>
      </c>
      <c r="AJ6237">
        <v>78.800089389050399</v>
      </c>
      <c r="AK6237">
        <v>0.62502138243294203</v>
      </c>
      <c r="AL6237">
        <v>89.005096990313007</v>
      </c>
      <c r="AM6237">
        <v>82.921079473270495</v>
      </c>
      <c r="AN6237">
        <v>0.99999996231364996</v>
      </c>
    </row>
    <row r="6238" spans="1:40" x14ac:dyDescent="0.25">
      <c r="A6238" t="str">
        <f>"20190312150816807"</f>
        <v>20190312150816807</v>
      </c>
      <c r="B6238" t="str">
        <f>"1552374496796733"</f>
        <v>1552374496796733</v>
      </c>
      <c r="C6238" t="s">
        <v>40</v>
      </c>
      <c r="D6238">
        <v>4.5090890000000003</v>
      </c>
      <c r="E6238">
        <v>0.5182679</v>
      </c>
      <c r="F6238" t="s">
        <v>41</v>
      </c>
      <c r="G6238">
        <v>-192.2595</v>
      </c>
      <c r="H6238">
        <v>0.9157923</v>
      </c>
      <c r="I6238">
        <v>178.4905</v>
      </c>
      <c r="J6238">
        <v>-192.13210000000001</v>
      </c>
      <c r="K6238">
        <v>1.1109169999999999</v>
      </c>
      <c r="L6238">
        <v>179.1465</v>
      </c>
      <c r="M6238">
        <v>7.4169600000000002E-3</v>
      </c>
      <c r="N6238">
        <v>0</v>
      </c>
      <c r="O6238">
        <v>-0.99988200000000005</v>
      </c>
      <c r="P6238">
        <v>-0.1169336</v>
      </c>
      <c r="Q6238">
        <v>4.0098979999999996E-3</v>
      </c>
      <c r="R6238">
        <v>-0.99313209999999996</v>
      </c>
      <c r="S6238">
        <v>-0.50585939999999996</v>
      </c>
      <c r="T6238">
        <v>-0.78406750000000003</v>
      </c>
      <c r="U6238">
        <v>-2.9642789999999999</v>
      </c>
      <c r="V6238">
        <v>0.1242844</v>
      </c>
      <c r="W6238">
        <v>1.746644E-2</v>
      </c>
      <c r="X6238">
        <v>0.99209290000000006</v>
      </c>
      <c r="Y6238">
        <v>0.17009050000000001</v>
      </c>
      <c r="Z6238">
        <v>0.2521311</v>
      </c>
      <c r="AA6238">
        <v>0.95262749999999996</v>
      </c>
      <c r="AB6238">
        <v>12</v>
      </c>
      <c r="AC6238">
        <v>-0.12739999999999399</v>
      </c>
      <c r="AD6238">
        <v>-0.19512469999999901</v>
      </c>
      <c r="AE6238">
        <v>-0.65600000000000502</v>
      </c>
      <c r="AF6238">
        <v>0.121871840894085</v>
      </c>
      <c r="AG6238">
        <v>-0.19512469999999901</v>
      </c>
      <c r="AH6238">
        <v>0.603576841191379</v>
      </c>
      <c r="AI6238">
        <v>107.58265026747399</v>
      </c>
      <c r="AJ6238">
        <v>78.584548297098806</v>
      </c>
      <c r="AK6238">
        <v>0.64593451477341401</v>
      </c>
      <c r="AL6238">
        <v>88.999195818929707</v>
      </c>
      <c r="AM6238">
        <v>82.859472405785397</v>
      </c>
      <c r="AN6238">
        <v>1.00000000542002</v>
      </c>
    </row>
    <row r="6239" spans="1:40" x14ac:dyDescent="0.25">
      <c r="A6239" t="str">
        <f>"20190312150816820"</f>
        <v>20190312150816820</v>
      </c>
      <c r="B6239" t="str">
        <f>"1552374496806493"</f>
        <v>1552374496806493</v>
      </c>
      <c r="C6239" t="s">
        <v>40</v>
      </c>
      <c r="D6239">
        <v>4.533042</v>
      </c>
      <c r="E6239">
        <v>0.52525509999999997</v>
      </c>
      <c r="F6239" t="s">
        <v>41</v>
      </c>
      <c r="G6239">
        <v>-192.26220000000001</v>
      </c>
      <c r="H6239">
        <v>0.9098657</v>
      </c>
      <c r="I6239">
        <v>178.386</v>
      </c>
      <c r="J6239">
        <v>-192.13079999999999</v>
      </c>
      <c r="K6239">
        <v>1.1109070000000001</v>
      </c>
      <c r="L6239">
        <v>179.07730000000001</v>
      </c>
      <c r="M6239">
        <v>8.0835509999999996E-3</v>
      </c>
      <c r="N6239">
        <v>0</v>
      </c>
      <c r="O6239">
        <v>-0.99987669999999995</v>
      </c>
      <c r="P6239">
        <v>-0.11670709999999999</v>
      </c>
      <c r="Q6239">
        <v>4.282653E-3</v>
      </c>
      <c r="R6239">
        <v>-0.99315719999999996</v>
      </c>
      <c r="S6239">
        <v>-0.50668329999999995</v>
      </c>
      <c r="T6239">
        <v>-0.78370109999999904</v>
      </c>
      <c r="U6239">
        <v>-2.9642490000000001</v>
      </c>
      <c r="V6239">
        <v>0.12471980000000001</v>
      </c>
      <c r="W6239">
        <v>1.7725799999999899E-2</v>
      </c>
      <c r="X6239">
        <v>0.99203370000000002</v>
      </c>
      <c r="Y6239">
        <v>0.17101140000000001</v>
      </c>
      <c r="Z6239">
        <v>0.25199539999999998</v>
      </c>
      <c r="AA6239">
        <v>0.95249850000000003</v>
      </c>
      <c r="AB6239">
        <v>12</v>
      </c>
      <c r="AC6239">
        <v>-0.13140000000001301</v>
      </c>
      <c r="AD6239">
        <v>-0.20104130000000001</v>
      </c>
      <c r="AE6239">
        <v>-0.69130000000001202</v>
      </c>
      <c r="AF6239">
        <v>0.12664681611947601</v>
      </c>
      <c r="AG6239">
        <v>-0.20104130000000001</v>
      </c>
      <c r="AH6239">
        <v>0.63812790011529896</v>
      </c>
      <c r="AI6239">
        <v>107.172267237228</v>
      </c>
      <c r="AJ6239">
        <v>78.774592940397895</v>
      </c>
      <c r="AK6239">
        <v>0.68092895168618905</v>
      </c>
      <c r="AL6239">
        <v>88.984333326977307</v>
      </c>
      <c r="AM6239">
        <v>82.834293721170098</v>
      </c>
      <c r="AN6239">
        <v>1.0000000472166799</v>
      </c>
    </row>
    <row r="6240" spans="1:40" x14ac:dyDescent="0.25">
      <c r="A6240" t="str">
        <f>"20190312150816832"</f>
        <v>20190312150816832</v>
      </c>
      <c r="B6240" t="str">
        <f>"1552374496826014"</f>
        <v>1552374496826014</v>
      </c>
      <c r="C6240" t="s">
        <v>40</v>
      </c>
      <c r="D6240">
        <v>4.5337149999999999</v>
      </c>
      <c r="E6240">
        <v>0.52508069999999996</v>
      </c>
      <c r="F6240" t="s">
        <v>41</v>
      </c>
      <c r="G6240">
        <v>-192.26159999999999</v>
      </c>
      <c r="H6240">
        <v>0.89775569999999905</v>
      </c>
      <c r="I6240">
        <v>178.3914</v>
      </c>
      <c r="J6240">
        <v>-192.12960000000001</v>
      </c>
      <c r="K6240">
        <v>1.1109020000000001</v>
      </c>
      <c r="L6240">
        <v>179.0137</v>
      </c>
      <c r="M6240">
        <v>8.6848450000000001E-3</v>
      </c>
      <c r="N6240">
        <v>0</v>
      </c>
      <c r="O6240">
        <v>-0.99987190000000004</v>
      </c>
      <c r="P6240">
        <v>-0.1165979</v>
      </c>
      <c r="Q6240">
        <v>4.459317E-3</v>
      </c>
      <c r="R6240">
        <v>-0.99316919999999997</v>
      </c>
      <c r="S6240">
        <v>-0.56355290000000002</v>
      </c>
      <c r="T6240">
        <v>-0.9194002</v>
      </c>
      <c r="U6240">
        <v>-2.958405</v>
      </c>
      <c r="V6240">
        <v>0.1252075</v>
      </c>
      <c r="W6240">
        <v>1.788932E-2</v>
      </c>
      <c r="X6240">
        <v>0.99196930000000005</v>
      </c>
      <c r="Y6240">
        <v>0.1875086</v>
      </c>
      <c r="Z6240">
        <v>0.29172690000000001</v>
      </c>
      <c r="AA6240">
        <v>0.93794239999999995</v>
      </c>
      <c r="AB6240">
        <v>12</v>
      </c>
      <c r="AC6240">
        <v>-0.131999999999976</v>
      </c>
      <c r="AD6240">
        <v>-0.21314630000000001</v>
      </c>
      <c r="AE6240">
        <v>-0.62229999999999497</v>
      </c>
      <c r="AF6240">
        <v>0.123531846653865</v>
      </c>
      <c r="AG6240">
        <v>-0.21314630000000001</v>
      </c>
      <c r="AH6240">
        <v>0.55843733186111999</v>
      </c>
      <c r="AI6240">
        <v>110.439125984112</v>
      </c>
      <c r="AJ6240">
        <v>77.526478345290897</v>
      </c>
      <c r="AK6240">
        <v>0.61036359324387202</v>
      </c>
      <c r="AL6240">
        <v>88.974962806748906</v>
      </c>
      <c r="AM6240">
        <v>82.806104037233894</v>
      </c>
      <c r="AN6240">
        <v>1.0000000189844001</v>
      </c>
    </row>
    <row r="6241" spans="1:40" x14ac:dyDescent="0.25">
      <c r="A6241" t="str">
        <f>"20190312150816843"</f>
        <v>20190312150816843</v>
      </c>
      <c r="B6241" t="str">
        <f>"1552374496836750"</f>
        <v>1552374496836750</v>
      </c>
      <c r="C6241" t="s">
        <v>40</v>
      </c>
      <c r="D6241">
        <v>4.5125449999999896</v>
      </c>
      <c r="E6241">
        <v>0.52478539999999996</v>
      </c>
      <c r="F6241" t="s">
        <v>41</v>
      </c>
      <c r="G6241">
        <v>-192.2672</v>
      </c>
      <c r="H6241">
        <v>0.88701339999999995</v>
      </c>
      <c r="I6241">
        <v>178.28899999999999</v>
      </c>
      <c r="J6241">
        <v>-192.1283</v>
      </c>
      <c r="K6241">
        <v>1.110894</v>
      </c>
      <c r="L6241">
        <v>178.94820000000001</v>
      </c>
      <c r="M6241">
        <v>9.2962649999999997E-3</v>
      </c>
      <c r="N6241">
        <v>0</v>
      </c>
      <c r="O6241">
        <v>-0.99986640000000004</v>
      </c>
      <c r="P6241">
        <v>-0.1164283</v>
      </c>
      <c r="Q6241">
        <v>4.6316450000000002E-3</v>
      </c>
      <c r="R6241">
        <v>-0.99318830000000002</v>
      </c>
      <c r="S6241">
        <v>-0.56205749999999999</v>
      </c>
      <c r="T6241">
        <v>-0.91404490000000005</v>
      </c>
      <c r="U6241">
        <v>-2.958755</v>
      </c>
      <c r="V6241">
        <v>0.12564500000000001</v>
      </c>
      <c r="W6241">
        <v>1.8047130000000002E-2</v>
      </c>
      <c r="X6241">
        <v>0.99191110000000005</v>
      </c>
      <c r="Y6241">
        <v>0.18771979999999999</v>
      </c>
      <c r="Z6241">
        <v>0.29014659999999998</v>
      </c>
      <c r="AA6241">
        <v>0.93839019999999995</v>
      </c>
      <c r="AB6241">
        <v>12</v>
      </c>
      <c r="AC6241">
        <v>-0.13890000000000599</v>
      </c>
      <c r="AD6241">
        <v>-0.22388060000000001</v>
      </c>
      <c r="AE6241">
        <v>-0.65919999999999801</v>
      </c>
      <c r="AF6241">
        <v>0.13059909192851901</v>
      </c>
      <c r="AG6241">
        <v>-0.22388060000000001</v>
      </c>
      <c r="AH6241">
        <v>0.59244917896090199</v>
      </c>
      <c r="AI6241">
        <v>110.255578307007</v>
      </c>
      <c r="AJ6241">
        <v>77.568574752057003</v>
      </c>
      <c r="AK6241">
        <v>0.64666426800957599</v>
      </c>
      <c r="AL6241">
        <v>88.965919477880107</v>
      </c>
      <c r="AM6241">
        <v>82.780812753721193</v>
      </c>
      <c r="AN6241">
        <v>0.99999999761472302</v>
      </c>
    </row>
    <row r="6242" spans="1:40" x14ac:dyDescent="0.25">
      <c r="A6242" t="str">
        <f>"20190312150816855"</f>
        <v>20190312150816855</v>
      </c>
      <c r="B6242" t="str">
        <f>"1552374496846509"</f>
        <v>1552374496846509</v>
      </c>
      <c r="C6242" t="s">
        <v>40</v>
      </c>
      <c r="D6242">
        <v>4.515746</v>
      </c>
      <c r="E6242">
        <v>0.52452359999999998</v>
      </c>
      <c r="F6242" t="s">
        <v>41</v>
      </c>
      <c r="G6242">
        <v>-192.2542</v>
      </c>
      <c r="H6242">
        <v>0.90490409999999999</v>
      </c>
      <c r="I6242">
        <v>178.2818</v>
      </c>
      <c r="J6242">
        <v>-192.12710000000001</v>
      </c>
      <c r="K6242">
        <v>1.110886</v>
      </c>
      <c r="L6242">
        <v>178.8896</v>
      </c>
      <c r="M6242">
        <v>9.8253109999999998E-3</v>
      </c>
      <c r="N6242">
        <v>0</v>
      </c>
      <c r="O6242">
        <v>-0.99986189999999997</v>
      </c>
      <c r="P6242">
        <v>-0.11624230000000001</v>
      </c>
      <c r="Q6242">
        <v>4.917945E-3</v>
      </c>
      <c r="R6242">
        <v>-0.99320909999999996</v>
      </c>
      <c r="S6242">
        <v>-0.55931090000000006</v>
      </c>
      <c r="T6242">
        <v>-0.91469610000000001</v>
      </c>
      <c r="U6242">
        <v>-2.959244</v>
      </c>
      <c r="V6242">
        <v>0.12598419999999999</v>
      </c>
      <c r="W6242">
        <v>1.8318890000000001E-2</v>
      </c>
      <c r="X6242">
        <v>0.9918631</v>
      </c>
      <c r="Y6242">
        <v>0.18735940000000001</v>
      </c>
      <c r="Z6242">
        <v>0.290323</v>
      </c>
      <c r="AA6242">
        <v>0.93840769999999996</v>
      </c>
      <c r="AB6242">
        <v>12</v>
      </c>
      <c r="AC6242">
        <v>-0.127099999999984</v>
      </c>
      <c r="AD6242">
        <v>-0.2059819</v>
      </c>
      <c r="AE6242">
        <v>-0.60779999999999701</v>
      </c>
      <c r="AF6242">
        <v>0.119875205641181</v>
      </c>
      <c r="AG6242">
        <v>-0.2059819</v>
      </c>
      <c r="AH6242">
        <v>0.54639649951278702</v>
      </c>
      <c r="AI6242">
        <v>110.214954757841</v>
      </c>
      <c r="AJ6242">
        <v>77.625794835573203</v>
      </c>
      <c r="AK6242">
        <v>0.59611051218289401</v>
      </c>
      <c r="AL6242">
        <v>88.950346209610998</v>
      </c>
      <c r="AM6242">
        <v>82.761183191668493</v>
      </c>
      <c r="AN6242">
        <v>1.00000000476104</v>
      </c>
    </row>
    <row r="6243" spans="1:40" x14ac:dyDescent="0.25">
      <c r="A6243" t="str">
        <f>"20190312150816867"</f>
        <v>20190312150816867</v>
      </c>
      <c r="B6243" t="str">
        <f>"1552374496856269"</f>
        <v>1552374496856269</v>
      </c>
      <c r="C6243" t="s">
        <v>40</v>
      </c>
      <c r="D6243">
        <v>4.5275850000000002</v>
      </c>
      <c r="E6243">
        <v>0.52429989999999904</v>
      </c>
      <c r="F6243" t="s">
        <v>41</v>
      </c>
      <c r="G6243">
        <v>-192.26070000000001</v>
      </c>
      <c r="H6243">
        <v>0.89227469999999998</v>
      </c>
      <c r="I6243">
        <v>178.18029999999999</v>
      </c>
      <c r="J6243">
        <v>-192.1259</v>
      </c>
      <c r="K6243">
        <v>1.110876</v>
      </c>
      <c r="L6243">
        <v>178.82759999999999</v>
      </c>
      <c r="M6243">
        <v>1.037976E-2</v>
      </c>
      <c r="N6243">
        <v>0</v>
      </c>
      <c r="O6243">
        <v>-0.99985619999999997</v>
      </c>
      <c r="P6243">
        <v>-0.1159636</v>
      </c>
      <c r="Q6243">
        <v>5.0468919999999999E-3</v>
      </c>
      <c r="R6243">
        <v>-0.99324080000000003</v>
      </c>
      <c r="S6243">
        <v>-0.55673219999999901</v>
      </c>
      <c r="T6243">
        <v>-0.91247009999999995</v>
      </c>
      <c r="U6243">
        <v>-2.9598849999999999</v>
      </c>
      <c r="V6243">
        <v>0.12625629999999999</v>
      </c>
      <c r="W6243">
        <v>1.8431400000000001E-2</v>
      </c>
      <c r="X6243">
        <v>0.9918264</v>
      </c>
      <c r="Y6243">
        <v>0.18711430000000001</v>
      </c>
      <c r="Z6243">
        <v>0.28964580000000001</v>
      </c>
      <c r="AA6243">
        <v>0.93866590000000005</v>
      </c>
      <c r="AB6243">
        <v>12</v>
      </c>
      <c r="AC6243">
        <v>-0.13480000000001199</v>
      </c>
      <c r="AD6243">
        <v>-0.2186013</v>
      </c>
      <c r="AE6243">
        <v>-0.64730000000000099</v>
      </c>
      <c r="AF6243">
        <v>0.127567820972422</v>
      </c>
      <c r="AG6243">
        <v>-0.2186013</v>
      </c>
      <c r="AH6243">
        <v>0.58222341874167804</v>
      </c>
      <c r="AI6243">
        <v>110.140976704165</v>
      </c>
      <c r="AJ6243">
        <v>77.641525660902801</v>
      </c>
      <c r="AK6243">
        <v>0.63485761131185103</v>
      </c>
      <c r="AL6243">
        <v>88.943898756023998</v>
      </c>
      <c r="AM6243">
        <v>82.745449639171994</v>
      </c>
      <c r="AN6243">
        <v>0.99999998876630403</v>
      </c>
    </row>
    <row r="6244" spans="1:40" x14ac:dyDescent="0.25">
      <c r="A6244" t="str">
        <f>"20190312150816878"</f>
        <v>20190312150816878</v>
      </c>
      <c r="B6244" t="str">
        <f>"1552374496866029"</f>
        <v>1552374496866029</v>
      </c>
      <c r="C6244" t="s">
        <v>40</v>
      </c>
      <c r="D6244">
        <v>4.5295829999999997</v>
      </c>
      <c r="E6244">
        <v>0.52409529999999904</v>
      </c>
      <c r="F6244" t="s">
        <v>41</v>
      </c>
      <c r="G6244">
        <v>-192.26609999999999</v>
      </c>
      <c r="H6244">
        <v>0.87994189999999906</v>
      </c>
      <c r="I6244">
        <v>178.07900000000001</v>
      </c>
      <c r="J6244">
        <v>-192.12459999999999</v>
      </c>
      <c r="K6244">
        <v>1.110867</v>
      </c>
      <c r="L6244">
        <v>178.76519999999999</v>
      </c>
      <c r="M6244">
        <v>1.0921419999999999E-2</v>
      </c>
      <c r="N6244">
        <v>0</v>
      </c>
      <c r="O6244">
        <v>-0.99985060000000003</v>
      </c>
      <c r="P6244">
        <v>-0.1156272</v>
      </c>
      <c r="Q6244">
        <v>5.0964160000000003E-3</v>
      </c>
      <c r="R6244">
        <v>-0.99327960000000004</v>
      </c>
      <c r="S6244">
        <v>-0.55430599999999997</v>
      </c>
      <c r="T6244">
        <v>-0.91318549999999998</v>
      </c>
      <c r="U6244">
        <v>-2.9603269999999999</v>
      </c>
      <c r="V6244">
        <v>0.12645809999999999</v>
      </c>
      <c r="W6244">
        <v>1.8460959999999998E-2</v>
      </c>
      <c r="X6244">
        <v>0.99180009999999996</v>
      </c>
      <c r="Y6244">
        <v>0.186866</v>
      </c>
      <c r="Z6244">
        <v>0.2898386</v>
      </c>
      <c r="AA6244">
        <v>0.93865580000000004</v>
      </c>
      <c r="AB6244">
        <v>12</v>
      </c>
      <c r="AC6244">
        <v>-0.14150000000000701</v>
      </c>
      <c r="AD6244">
        <v>-0.23092509999999999</v>
      </c>
      <c r="AE6244">
        <v>-0.68619999999998504</v>
      </c>
      <c r="AF6244">
        <v>0.13438776771268099</v>
      </c>
      <c r="AG6244">
        <v>-0.23092509999999999</v>
      </c>
      <c r="AH6244">
        <v>0.61753031288404803</v>
      </c>
      <c r="AI6244">
        <v>110.07215564832801</v>
      </c>
      <c r="AJ6244">
        <v>77.722642142786597</v>
      </c>
      <c r="AK6244">
        <v>0.67285225811575999</v>
      </c>
      <c r="AL6244">
        <v>88.942204761660605</v>
      </c>
      <c r="AM6244">
        <v>82.733787634468996</v>
      </c>
      <c r="AN6244">
        <v>0.99999994822986904</v>
      </c>
    </row>
    <row r="6245" spans="1:40" x14ac:dyDescent="0.25">
      <c r="A6245" t="str">
        <f>"20190312150816891"</f>
        <v>20190312150816891</v>
      </c>
      <c r="B6245" t="str">
        <f>"1552374496886525"</f>
        <v>1552374496886525</v>
      </c>
      <c r="C6245" t="s">
        <v>40</v>
      </c>
      <c r="D6245">
        <v>4.5285440000000001</v>
      </c>
      <c r="E6245">
        <v>0.52366999999999997</v>
      </c>
      <c r="F6245" t="s">
        <v>41</v>
      </c>
      <c r="G6245">
        <v>-192.25380000000001</v>
      </c>
      <c r="H6245">
        <v>0.89698829999999996</v>
      </c>
      <c r="I6245">
        <v>178.07220000000001</v>
      </c>
      <c r="J6245">
        <v>-192.1232</v>
      </c>
      <c r="K6245">
        <v>1.110854</v>
      </c>
      <c r="L6245">
        <v>178.70269999999999</v>
      </c>
      <c r="M6245">
        <v>1.1453700000000001E-2</v>
      </c>
      <c r="N6245">
        <v>0</v>
      </c>
      <c r="O6245">
        <v>-0.99984490000000004</v>
      </c>
      <c r="P6245">
        <v>-0.1152763</v>
      </c>
      <c r="Q6245">
        <v>5.136954E-3</v>
      </c>
      <c r="R6245">
        <v>-0.99332019999999999</v>
      </c>
      <c r="S6245">
        <v>-0.55181880000000005</v>
      </c>
      <c r="T6245">
        <v>-0.91376809999999997</v>
      </c>
      <c r="U6245">
        <v>-2.9607700000000001</v>
      </c>
      <c r="V6245">
        <v>0.1266362</v>
      </c>
      <c r="W6245">
        <v>1.8480509999999999E-2</v>
      </c>
      <c r="X6245">
        <v>0.99177709999999997</v>
      </c>
      <c r="Y6245">
        <v>0.1865919</v>
      </c>
      <c r="Z6245">
        <v>0.28999370000000002</v>
      </c>
      <c r="AA6245">
        <v>0.93866240000000001</v>
      </c>
      <c r="AB6245">
        <v>12</v>
      </c>
      <c r="AC6245">
        <v>-0.13060000000001501</v>
      </c>
      <c r="AD6245">
        <v>-0.21386569999999999</v>
      </c>
      <c r="AE6245">
        <v>-0.63049999999998296</v>
      </c>
      <c r="AF6245">
        <v>0.12412028412128601</v>
      </c>
      <c r="AG6245">
        <v>-0.21386569999999999</v>
      </c>
      <c r="AH6245">
        <v>0.56646805659280497</v>
      </c>
      <c r="AI6245">
        <v>110.243632488427</v>
      </c>
      <c r="AJ6245">
        <v>77.641087954204906</v>
      </c>
      <c r="AK6245">
        <v>0.61808611188641704</v>
      </c>
      <c r="AL6245">
        <v>88.941084531195798</v>
      </c>
      <c r="AM6245">
        <v>82.723496773035805</v>
      </c>
      <c r="AN6245">
        <v>1.00000003624235</v>
      </c>
    </row>
    <row r="6246" spans="1:40" x14ac:dyDescent="0.25">
      <c r="A6246" t="str">
        <f>"20190312150816907"</f>
        <v>20190312150816907</v>
      </c>
      <c r="B6246" t="str">
        <f>"1552374496896286"</f>
        <v>1552374496896286</v>
      </c>
      <c r="C6246" t="s">
        <v>40</v>
      </c>
      <c r="D6246">
        <v>4.558935</v>
      </c>
      <c r="E6246">
        <v>0.52332780000000001</v>
      </c>
      <c r="F6246" t="s">
        <v>41</v>
      </c>
      <c r="G6246">
        <v>-192.2587</v>
      </c>
      <c r="H6246">
        <v>0.88462870000000005</v>
      </c>
      <c r="I6246">
        <v>177.97099999999901</v>
      </c>
      <c r="J6246">
        <v>-192.1215</v>
      </c>
      <c r="K6246">
        <v>1.110833</v>
      </c>
      <c r="L6246">
        <v>178.6182</v>
      </c>
      <c r="M6246">
        <v>1.215478E-2</v>
      </c>
      <c r="N6246">
        <v>0</v>
      </c>
      <c r="O6246">
        <v>-0.99983730000000004</v>
      </c>
      <c r="P6246">
        <v>-0.1152928</v>
      </c>
      <c r="Q6246">
        <v>5.3182019999999898E-3</v>
      </c>
      <c r="R6246">
        <v>-0.99331749999999996</v>
      </c>
      <c r="S6246">
        <v>-0.54751590000000006</v>
      </c>
      <c r="T6246">
        <v>-0.91577319999999995</v>
      </c>
      <c r="U6246">
        <v>-2.9613649999999998</v>
      </c>
      <c r="V6246">
        <v>0.12734870000000001</v>
      </c>
      <c r="W6246">
        <v>1.8628780000000001E-2</v>
      </c>
      <c r="X6246">
        <v>0.99168310000000004</v>
      </c>
      <c r="Y6246">
        <v>0.185895</v>
      </c>
      <c r="Z6246">
        <v>0.29057329999999998</v>
      </c>
      <c r="AA6246">
        <v>0.9386215</v>
      </c>
      <c r="AB6246">
        <v>12</v>
      </c>
      <c r="AC6246">
        <v>-0.13720000000000701</v>
      </c>
      <c r="AD6246">
        <v>-0.226204299999999</v>
      </c>
      <c r="AE6246">
        <v>-0.64720000000002598</v>
      </c>
      <c r="AF6246">
        <v>0.12987418234537701</v>
      </c>
      <c r="AG6246">
        <v>-0.226204299999999</v>
      </c>
      <c r="AH6246">
        <v>0.57792233485689104</v>
      </c>
      <c r="AI6246">
        <v>110.901123456596</v>
      </c>
      <c r="AJ6246">
        <v>77.334559231612005</v>
      </c>
      <c r="AK6246">
        <v>0.63405828888581695</v>
      </c>
      <c r="AL6246">
        <v>88.932587834843901</v>
      </c>
      <c r="AM6246">
        <v>82.682312999028198</v>
      </c>
      <c r="AN6246">
        <v>1.0000000468307899</v>
      </c>
    </row>
    <row r="6247" spans="1:40" x14ac:dyDescent="0.25">
      <c r="A6247" t="str">
        <f>"20190312150816916"</f>
        <v>20190312150816916</v>
      </c>
      <c r="B6247" t="str">
        <f>"1552374496906045"</f>
        <v>1552374496906045</v>
      </c>
      <c r="C6247" t="s">
        <v>40</v>
      </c>
      <c r="D6247">
        <v>4.5324939999999998</v>
      </c>
      <c r="E6247">
        <v>0.52309939999999999</v>
      </c>
      <c r="F6247" t="s">
        <v>41</v>
      </c>
      <c r="G6247">
        <v>-192.25960000000001</v>
      </c>
      <c r="H6247">
        <v>0.87881309999999901</v>
      </c>
      <c r="I6247">
        <v>177.8674</v>
      </c>
      <c r="J6247">
        <v>-192.12020000000001</v>
      </c>
      <c r="K6247">
        <v>1.1108199999999999</v>
      </c>
      <c r="L6247">
        <v>178.56020000000001</v>
      </c>
      <c r="M6247">
        <v>1.261923E-2</v>
      </c>
      <c r="N6247">
        <v>0</v>
      </c>
      <c r="O6247">
        <v>-0.99983160000000004</v>
      </c>
      <c r="P6247">
        <v>-0.1152142</v>
      </c>
      <c r="Q6247">
        <v>5.3742039999999996E-3</v>
      </c>
      <c r="R6247">
        <v>-0.99332609999999999</v>
      </c>
      <c r="S6247">
        <v>-0.54479979999999995</v>
      </c>
      <c r="T6247">
        <v>-0.91528529999999997</v>
      </c>
      <c r="U6247">
        <v>-2.9618530000000001</v>
      </c>
      <c r="V6247">
        <v>0.12773139999999999</v>
      </c>
      <c r="W6247">
        <v>1.8661190000000001E-2</v>
      </c>
      <c r="X6247">
        <v>0.99163319999999999</v>
      </c>
      <c r="Y6247">
        <v>0.18549879999999999</v>
      </c>
      <c r="Z6247">
        <v>0.29041889999999998</v>
      </c>
      <c r="AA6247">
        <v>0.93874760000000002</v>
      </c>
      <c r="AB6247">
        <v>12</v>
      </c>
      <c r="AC6247">
        <v>-0.139399999999994</v>
      </c>
      <c r="AD6247">
        <v>-0.23200689999999999</v>
      </c>
      <c r="AE6247">
        <v>-0.69280000000000497</v>
      </c>
      <c r="AF6247">
        <v>0.13371959908744799</v>
      </c>
      <c r="AG6247">
        <v>-0.23200689999999999</v>
      </c>
      <c r="AH6247">
        <v>0.62375541978346005</v>
      </c>
      <c r="AI6247">
        <v>109.985739281606</v>
      </c>
      <c r="AJ6247">
        <v>77.900173549066693</v>
      </c>
      <c r="AK6247">
        <v>0.67880700978772901</v>
      </c>
      <c r="AL6247">
        <v>88.930730481130794</v>
      </c>
      <c r="AM6247">
        <v>82.660196483651902</v>
      </c>
      <c r="AN6247">
        <v>0.99999997695020704</v>
      </c>
    </row>
    <row r="6248" spans="1:40" x14ac:dyDescent="0.25">
      <c r="A6248" t="str">
        <f>"20190312150816928"</f>
        <v>20190312150816928</v>
      </c>
      <c r="B6248" t="str">
        <f>"1552374496916781"</f>
        <v>1552374496916781</v>
      </c>
      <c r="C6248" t="s">
        <v>40</v>
      </c>
      <c r="D6248">
        <v>4.5516139999999998</v>
      </c>
      <c r="E6248">
        <v>0.52284019999999998</v>
      </c>
      <c r="F6248" t="s">
        <v>41</v>
      </c>
      <c r="G6248">
        <v>-192.2484</v>
      </c>
      <c r="H6248">
        <v>0.89469030000000005</v>
      </c>
      <c r="I6248">
        <v>177.86109999999999</v>
      </c>
      <c r="J6248">
        <v>-192.1189</v>
      </c>
      <c r="K6248">
        <v>1.1108</v>
      </c>
      <c r="L6248">
        <v>178.50059999999999</v>
      </c>
      <c r="M6248">
        <v>1.308838E-2</v>
      </c>
      <c r="N6248">
        <v>0</v>
      </c>
      <c r="O6248">
        <v>-0.99982599999999999</v>
      </c>
      <c r="P6248">
        <v>-0.1150481</v>
      </c>
      <c r="Q6248">
        <v>5.2437769999999998E-3</v>
      </c>
      <c r="R6248">
        <v>-0.99334650000000002</v>
      </c>
      <c r="S6248">
        <v>-0.54296880000000003</v>
      </c>
      <c r="T6248">
        <v>-0.91579580000000005</v>
      </c>
      <c r="U6248">
        <v>-2.9621279999999999</v>
      </c>
      <c r="V6248">
        <v>0.12803139999999999</v>
      </c>
      <c r="W6248">
        <v>1.8506729999999999E-2</v>
      </c>
      <c r="X6248">
        <v>0.99159739999999996</v>
      </c>
      <c r="Y6248">
        <v>0.1853745</v>
      </c>
      <c r="Z6248">
        <v>0.29055799999999998</v>
      </c>
      <c r="AA6248">
        <v>0.93872909999999998</v>
      </c>
      <c r="AB6248">
        <v>12</v>
      </c>
      <c r="AC6248">
        <v>-0.129500000000007</v>
      </c>
      <c r="AD6248">
        <v>-0.21610969999999999</v>
      </c>
      <c r="AE6248">
        <v>-0.63949999999999796</v>
      </c>
      <c r="AF6248">
        <v>0.12423126996049</v>
      </c>
      <c r="AG6248">
        <v>-0.21610969999999999</v>
      </c>
      <c r="AH6248">
        <v>0.57470404902362904</v>
      </c>
      <c r="AI6248">
        <v>110.18076475981</v>
      </c>
      <c r="AJ6248">
        <v>77.8022995522185</v>
      </c>
      <c r="AK6248">
        <v>0.62643559512071101</v>
      </c>
      <c r="AL6248">
        <v>88.939581909818301</v>
      </c>
      <c r="AM6248">
        <v>82.642883582753697</v>
      </c>
      <c r="AN6248">
        <v>0.99999997106400595</v>
      </c>
    </row>
    <row r="6249" spans="1:40" x14ac:dyDescent="0.25">
      <c r="A6249" t="str">
        <f>"20190312150816940"</f>
        <v>20190312150816940</v>
      </c>
      <c r="B6249" t="str">
        <f>"1552374496926541"</f>
        <v>1552374496926541</v>
      </c>
      <c r="C6249" t="s">
        <v>40</v>
      </c>
      <c r="D6249">
        <v>4.5503109999999998</v>
      </c>
      <c r="E6249">
        <v>0.52266950000000001</v>
      </c>
      <c r="F6249" t="s">
        <v>41</v>
      </c>
      <c r="G6249">
        <v>-192.25409999999999</v>
      </c>
      <c r="H6249">
        <v>0.88167150000000005</v>
      </c>
      <c r="I6249">
        <v>177.7604</v>
      </c>
      <c r="J6249">
        <v>-192.11760000000001</v>
      </c>
      <c r="K6249">
        <v>1.1107899999999999</v>
      </c>
      <c r="L6249">
        <v>178.4408</v>
      </c>
      <c r="M6249">
        <v>1.3546829999999999E-2</v>
      </c>
      <c r="N6249">
        <v>0</v>
      </c>
      <c r="O6249">
        <v>-0.99982009999999999</v>
      </c>
      <c r="P6249">
        <v>-0.1151214</v>
      </c>
      <c r="Q6249">
        <v>5.3325569999999999E-3</v>
      </c>
      <c r="R6249">
        <v>-0.99333740000000004</v>
      </c>
      <c r="S6249">
        <v>-0.54043580000000002</v>
      </c>
      <c r="T6249">
        <v>-0.9170722</v>
      </c>
      <c r="U6249">
        <v>-2.962326</v>
      </c>
      <c r="V6249">
        <v>0.1285597</v>
      </c>
      <c r="W6249">
        <v>1.8570610000000001E-2</v>
      </c>
      <c r="X6249">
        <v>0.99152790000000002</v>
      </c>
      <c r="Y6249">
        <v>0.1850156</v>
      </c>
      <c r="Z6249">
        <v>0.29093799999999997</v>
      </c>
      <c r="AA6249">
        <v>0.93868229999999997</v>
      </c>
      <c r="AB6249">
        <v>12</v>
      </c>
      <c r="AC6249">
        <v>-0.136499999999983</v>
      </c>
      <c r="AD6249">
        <v>-0.229118499999999</v>
      </c>
      <c r="AE6249">
        <v>-0.68039999999999101</v>
      </c>
      <c r="AF6249">
        <v>0.13138377296312401</v>
      </c>
      <c r="AG6249">
        <v>-0.229118499999999</v>
      </c>
      <c r="AH6249">
        <v>0.61179788547643399</v>
      </c>
      <c r="AI6249">
        <v>110.11032697592999</v>
      </c>
      <c r="AJ6249">
        <v>77.8797957568013</v>
      </c>
      <c r="AK6249">
        <v>0.66637349550662095</v>
      </c>
      <c r="AL6249">
        <v>88.935921278549202</v>
      </c>
      <c r="AM6249">
        <v>82.612348239274795</v>
      </c>
      <c r="AN6249">
        <v>1.0000000202491299</v>
      </c>
    </row>
    <row r="6250" spans="1:40" x14ac:dyDescent="0.25">
      <c r="A6250" t="str">
        <f>"20190312150816951"</f>
        <v>20190312150816951</v>
      </c>
      <c r="B6250" t="str">
        <f>"1552374496946062"</f>
        <v>1552374496946062</v>
      </c>
      <c r="C6250" t="s">
        <v>40</v>
      </c>
      <c r="D6250">
        <v>4.5819190000000001</v>
      </c>
      <c r="E6250">
        <v>0.52241610000000005</v>
      </c>
      <c r="F6250" t="s">
        <v>41</v>
      </c>
      <c r="G6250">
        <v>-192.24270000000001</v>
      </c>
      <c r="H6250">
        <v>0.89782830000000002</v>
      </c>
      <c r="I6250">
        <v>177.75399999999999</v>
      </c>
      <c r="J6250">
        <v>-192.11619999999999</v>
      </c>
      <c r="K6250">
        <v>1.1107769999999999</v>
      </c>
      <c r="L6250">
        <v>178.37870000000001</v>
      </c>
      <c r="M6250">
        <v>1.4008619999999999E-2</v>
      </c>
      <c r="N6250">
        <v>0</v>
      </c>
      <c r="O6250">
        <v>-0.99981410000000004</v>
      </c>
      <c r="P6250">
        <v>-0.1151146</v>
      </c>
      <c r="Q6250">
        <v>5.6096619999999996E-3</v>
      </c>
      <c r="R6250">
        <v>-0.99333689999999997</v>
      </c>
      <c r="S6250">
        <v>-0.53918459999999901</v>
      </c>
      <c r="T6250">
        <v>-0.91875280000000004</v>
      </c>
      <c r="U6250">
        <v>-2.962555</v>
      </c>
      <c r="V6250">
        <v>0.12901119999999999</v>
      </c>
      <c r="W6250">
        <v>1.8819949999999998E-2</v>
      </c>
      <c r="X6250">
        <v>0.99146460000000003</v>
      </c>
      <c r="Y6250">
        <v>0.1850463</v>
      </c>
      <c r="Z6250">
        <v>0.29141089999999997</v>
      </c>
      <c r="AA6250">
        <v>0.93852950000000002</v>
      </c>
      <c r="AB6250">
        <v>12</v>
      </c>
      <c r="AC6250">
        <v>-0.12650000000002101</v>
      </c>
      <c r="AD6250">
        <v>-0.21294869999999999</v>
      </c>
      <c r="AE6250">
        <v>-0.62469999999999004</v>
      </c>
      <c r="AF6250">
        <v>0.12165952380966701</v>
      </c>
      <c r="AG6250">
        <v>-0.21294869999999999</v>
      </c>
      <c r="AH6250">
        <v>0.56032160518387597</v>
      </c>
      <c r="AI6250">
        <v>110.374683267411</v>
      </c>
      <c r="AJ6250">
        <v>77.749826405315503</v>
      </c>
      <c r="AK6250">
        <v>0.61164408752240895</v>
      </c>
      <c r="AL6250">
        <v>88.921632701926796</v>
      </c>
      <c r="AM6250">
        <v>82.586222966522996</v>
      </c>
      <c r="AN6250">
        <v>1.00000006664829</v>
      </c>
    </row>
    <row r="6251" spans="1:40" x14ac:dyDescent="0.25">
      <c r="A6251" t="str">
        <f>"20190312150816963"</f>
        <v>20190312150816963</v>
      </c>
      <c r="B6251" t="str">
        <f>"1552374496956797"</f>
        <v>1552374496956797</v>
      </c>
      <c r="C6251" t="s">
        <v>40</v>
      </c>
      <c r="D6251">
        <v>4.5660239999999996</v>
      </c>
      <c r="E6251">
        <v>0.52225010000000005</v>
      </c>
      <c r="F6251" t="s">
        <v>41</v>
      </c>
      <c r="G6251">
        <v>-192.24780000000001</v>
      </c>
      <c r="H6251">
        <v>0.88558419999999904</v>
      </c>
      <c r="I6251">
        <v>177.6532</v>
      </c>
      <c r="J6251">
        <v>-192.1148</v>
      </c>
      <c r="K6251">
        <v>1.110765</v>
      </c>
      <c r="L6251">
        <v>178.31540000000001</v>
      </c>
      <c r="M6251">
        <v>1.447181E-2</v>
      </c>
      <c r="N6251">
        <v>0</v>
      </c>
      <c r="O6251">
        <v>-0.99980789999999997</v>
      </c>
      <c r="P6251">
        <v>-0.11523220000000001</v>
      </c>
      <c r="Q6251">
        <v>5.9418029999999998E-3</v>
      </c>
      <c r="R6251">
        <v>-0.99332120000000002</v>
      </c>
      <c r="S6251">
        <v>-0.53717040000000005</v>
      </c>
      <c r="T6251">
        <v>-0.91973459999999996</v>
      </c>
      <c r="U6251">
        <v>-2.9630580000000002</v>
      </c>
      <c r="V6251">
        <v>0.12958829999999999</v>
      </c>
      <c r="W6251">
        <v>1.9123169999999998E-2</v>
      </c>
      <c r="X6251">
        <v>0.99138349999999997</v>
      </c>
      <c r="Y6251">
        <v>0.1848408</v>
      </c>
      <c r="Z6251">
        <v>0.29166950000000003</v>
      </c>
      <c r="AA6251">
        <v>0.93848960000000003</v>
      </c>
      <c r="AB6251">
        <v>12</v>
      </c>
      <c r="AC6251">
        <v>-0.133000000000009</v>
      </c>
      <c r="AD6251">
        <v>-0.22518079999999999</v>
      </c>
      <c r="AE6251">
        <v>-0.662200000000012</v>
      </c>
      <c r="AF6251">
        <v>0.12830863400371101</v>
      </c>
      <c r="AG6251">
        <v>-0.22518079999999999</v>
      </c>
      <c r="AH6251">
        <v>0.59416435078051499</v>
      </c>
      <c r="AI6251">
        <v>110.327055953857</v>
      </c>
      <c r="AJ6251">
        <v>77.8142105635158</v>
      </c>
      <c r="AK6251">
        <v>0.64822895182718399</v>
      </c>
      <c r="AL6251">
        <v>88.9042563132071</v>
      </c>
      <c r="AM6251">
        <v>82.552828305054405</v>
      </c>
      <c r="AN6251">
        <v>1.0000000335999899</v>
      </c>
    </row>
    <row r="6252" spans="1:40" x14ac:dyDescent="0.25">
      <c r="A6252" t="str">
        <f>"20190312150816977"</f>
        <v>20190312150816977</v>
      </c>
      <c r="B6252" t="str">
        <f>"1552374496966558"</f>
        <v>1552374496966558</v>
      </c>
      <c r="C6252" t="s">
        <v>40</v>
      </c>
      <c r="D6252">
        <v>4.5744410000000002</v>
      </c>
      <c r="E6252">
        <v>0.52215800000000001</v>
      </c>
      <c r="F6252" t="s">
        <v>41</v>
      </c>
      <c r="G6252">
        <v>-192.23589999999999</v>
      </c>
      <c r="H6252">
        <v>0.90315369999999995</v>
      </c>
      <c r="I6252">
        <v>177.6463</v>
      </c>
      <c r="J6252">
        <v>-192.11320000000001</v>
      </c>
      <c r="K6252">
        <v>1.110752</v>
      </c>
      <c r="L6252">
        <v>178.24780000000001</v>
      </c>
      <c r="M6252">
        <v>1.49412999999999E-2</v>
      </c>
      <c r="N6252">
        <v>0</v>
      </c>
      <c r="O6252">
        <v>-0.99980150000000001</v>
      </c>
      <c r="P6252">
        <v>-0.1155755</v>
      </c>
      <c r="Q6252">
        <v>6.1249769999999898E-3</v>
      </c>
      <c r="R6252">
        <v>-0.99328039999999995</v>
      </c>
      <c r="S6252">
        <v>-0.53631589999999996</v>
      </c>
      <c r="T6252">
        <v>-0.91946530000000004</v>
      </c>
      <c r="U6252">
        <v>-2.9634399999999999</v>
      </c>
      <c r="V6252">
        <v>0.13039690000000001</v>
      </c>
      <c r="W6252">
        <v>1.9270010000000001E-2</v>
      </c>
      <c r="X6252">
        <v>0.99127460000000001</v>
      </c>
      <c r="Y6252">
        <v>0.1850243</v>
      </c>
      <c r="Z6252">
        <v>0.29155609999999998</v>
      </c>
      <c r="AA6252">
        <v>0.93848869999999895</v>
      </c>
      <c r="AB6252">
        <v>12</v>
      </c>
      <c r="AC6252">
        <v>-0.12269999999998001</v>
      </c>
      <c r="AD6252">
        <v>-0.20759829999999899</v>
      </c>
      <c r="AE6252">
        <v>-0.60150000000001502</v>
      </c>
      <c r="AF6252">
        <v>0.118161447739438</v>
      </c>
      <c r="AG6252">
        <v>-0.20759829999999899</v>
      </c>
      <c r="AH6252">
        <v>0.53806662281199102</v>
      </c>
      <c r="AI6252">
        <v>110.648560565</v>
      </c>
      <c r="AJ6252">
        <v>77.614238645407994</v>
      </c>
      <c r="AK6252">
        <v>0.58870610025637704</v>
      </c>
      <c r="AL6252">
        <v>88.895841423113296</v>
      </c>
      <c r="AM6252">
        <v>82.506072333728596</v>
      </c>
      <c r="AN6252">
        <v>1.00000000871008</v>
      </c>
    </row>
    <row r="6253" spans="1:40" x14ac:dyDescent="0.25">
      <c r="A6253" t="str">
        <f>"20190312150816997"</f>
        <v>20190312150816997</v>
      </c>
      <c r="B6253" t="str">
        <f>"1552374496986078"</f>
        <v>1552374496986078</v>
      </c>
      <c r="C6253" t="s">
        <v>40</v>
      </c>
      <c r="D6253">
        <v>4.5585579999999997</v>
      </c>
      <c r="E6253">
        <v>0.51777340000000005</v>
      </c>
      <c r="F6253" t="s">
        <v>41</v>
      </c>
      <c r="G6253">
        <v>-192.24090000000001</v>
      </c>
      <c r="H6253">
        <v>0.89308430000000005</v>
      </c>
      <c r="I6253">
        <v>177.5446</v>
      </c>
      <c r="J6253">
        <v>-192.11070000000001</v>
      </c>
      <c r="K6253">
        <v>1.1107290000000001</v>
      </c>
      <c r="L6253">
        <v>178.13820000000001</v>
      </c>
      <c r="M6253">
        <v>1.567203E-2</v>
      </c>
      <c r="N6253">
        <v>0</v>
      </c>
      <c r="O6253">
        <v>-0.99979099999999999</v>
      </c>
      <c r="P6253">
        <v>-0.1158235</v>
      </c>
      <c r="Q6253">
        <v>6.8895909999999996E-3</v>
      </c>
      <c r="R6253">
        <v>-0.99324639999999997</v>
      </c>
      <c r="S6253">
        <v>-0.53685000000000005</v>
      </c>
      <c r="T6253">
        <v>-0.91743399999999997</v>
      </c>
      <c r="U6253">
        <v>-2.9635009999999999</v>
      </c>
      <c r="V6253">
        <v>0.1313695</v>
      </c>
      <c r="W6253">
        <v>1.9969870000000001E-2</v>
      </c>
      <c r="X6253">
        <v>0.99113229999999997</v>
      </c>
      <c r="Y6253">
        <v>0.1859354</v>
      </c>
      <c r="Z6253">
        <v>0.29092750000000001</v>
      </c>
      <c r="AA6253">
        <v>0.93850370000000005</v>
      </c>
      <c r="AB6253">
        <v>12</v>
      </c>
      <c r="AC6253">
        <v>-0.13020000000000201</v>
      </c>
      <c r="AD6253">
        <v>-0.2176447</v>
      </c>
      <c r="AE6253">
        <v>-0.59360000000000901</v>
      </c>
      <c r="AF6253">
        <v>0.123630499487591</v>
      </c>
      <c r="AG6253">
        <v>-0.2176447</v>
      </c>
      <c r="AH6253">
        <v>0.52424512688813596</v>
      </c>
      <c r="AI6253">
        <v>112.002365044401</v>
      </c>
      <c r="AJ6253">
        <v>76.730621211720205</v>
      </c>
      <c r="AK6253">
        <v>0.58093602824028601</v>
      </c>
      <c r="AL6253">
        <v>88.855734655330394</v>
      </c>
      <c r="AM6253">
        <v>82.449747840715403</v>
      </c>
      <c r="AN6253">
        <v>0.99999998867067796</v>
      </c>
    </row>
    <row r="6254" spans="1:40" x14ac:dyDescent="0.25">
      <c r="A6254" t="str">
        <f>"20190312150817019"</f>
        <v>20190312150817019</v>
      </c>
      <c r="B6254" t="str">
        <f>"1552374497006573"</f>
        <v>1552374497006573</v>
      </c>
      <c r="C6254" t="s">
        <v>40</v>
      </c>
      <c r="D6254">
        <v>4.6427719999999999</v>
      </c>
      <c r="E6254">
        <v>0.52114119999999997</v>
      </c>
      <c r="F6254" t="s">
        <v>41</v>
      </c>
      <c r="G6254">
        <v>-192.23439999999999</v>
      </c>
      <c r="H6254">
        <v>0.9770124</v>
      </c>
      <c r="I6254">
        <v>177.40090000000001</v>
      </c>
      <c r="J6254">
        <v>-192.10810000000001</v>
      </c>
      <c r="K6254">
        <v>1.1107020000000001</v>
      </c>
      <c r="L6254">
        <v>178.0248</v>
      </c>
      <c r="M6254">
        <v>1.6382750000000001E-2</v>
      </c>
      <c r="N6254">
        <v>0</v>
      </c>
      <c r="O6254">
        <v>-0.99978040000000001</v>
      </c>
      <c r="P6254">
        <v>-0.11681660000000001</v>
      </c>
      <c r="Q6254">
        <v>7.2870469999999996E-3</v>
      </c>
      <c r="R6254">
        <v>-0.99312699999999998</v>
      </c>
      <c r="S6254">
        <v>-0.4974365</v>
      </c>
      <c r="T6254">
        <v>-0.53800509999999901</v>
      </c>
      <c r="U6254">
        <v>-2.9661409999999999</v>
      </c>
      <c r="V6254">
        <v>0.13306589999999999</v>
      </c>
      <c r="W6254">
        <v>2.0293100000000001E-2</v>
      </c>
      <c r="X6254">
        <v>0.99089939999999999</v>
      </c>
      <c r="Y6254">
        <v>0.1789531</v>
      </c>
      <c r="Z6254">
        <v>0.1758033</v>
      </c>
      <c r="AA6254">
        <v>0.96802319999999997</v>
      </c>
      <c r="AB6254">
        <v>12</v>
      </c>
      <c r="AC6254">
        <v>-0.12629999999998601</v>
      </c>
      <c r="AD6254">
        <v>-0.13368959999999999</v>
      </c>
      <c r="AE6254">
        <v>-0.62389999999999102</v>
      </c>
      <c r="AF6254">
        <v>0.130738435581993</v>
      </c>
      <c r="AG6254">
        <v>-0.13368959999999999</v>
      </c>
      <c r="AH6254">
        <v>0.59548113187124296</v>
      </c>
      <c r="AI6254">
        <v>102.368284296559</v>
      </c>
      <c r="AJ6254">
        <v>77.617125833599403</v>
      </c>
      <c r="AK6254">
        <v>0.62415000288491795</v>
      </c>
      <c r="AL6254">
        <v>88.837211178856506</v>
      </c>
      <c r="AM6254">
        <v>82.351620348956104</v>
      </c>
      <c r="AN6254">
        <v>0.999999982285389</v>
      </c>
    </row>
    <row r="6255" spans="1:40" x14ac:dyDescent="0.25">
      <c r="A6255" t="str">
        <f>"20190312150817031"</f>
        <v>20190312150817031</v>
      </c>
      <c r="B6255" t="str">
        <f>"1552374497026093"</f>
        <v>1552374497026093</v>
      </c>
      <c r="C6255" t="s">
        <v>40</v>
      </c>
      <c r="D6255">
        <v>4.6785680000000003</v>
      </c>
      <c r="E6255">
        <v>0.52273610000000004</v>
      </c>
      <c r="F6255" t="s">
        <v>41</v>
      </c>
      <c r="G6255">
        <v>-192.2406</v>
      </c>
      <c r="H6255">
        <v>1.0138529999999999</v>
      </c>
      <c r="I6255">
        <v>177.2773</v>
      </c>
      <c r="J6255">
        <v>-192.10650000000001</v>
      </c>
      <c r="K6255">
        <v>1.1106879999999999</v>
      </c>
      <c r="L6255">
        <v>177.9572</v>
      </c>
      <c r="M6255">
        <v>1.678661E-2</v>
      </c>
      <c r="N6255">
        <v>0</v>
      </c>
      <c r="O6255">
        <v>-0.99977400000000005</v>
      </c>
      <c r="P6255">
        <v>-0.1173308</v>
      </c>
      <c r="Q6255">
        <v>7.119579E-3</v>
      </c>
      <c r="R6255">
        <v>-0.99306729999999999</v>
      </c>
      <c r="S6255">
        <v>-0.52436830000000001</v>
      </c>
      <c r="T6255">
        <v>-0.3838992</v>
      </c>
      <c r="U6255">
        <v>-2.9618989999999998</v>
      </c>
      <c r="V6255">
        <v>0.13397999999999999</v>
      </c>
      <c r="W6255">
        <v>2.007952E-2</v>
      </c>
      <c r="X6255">
        <v>0.99078060000000001</v>
      </c>
      <c r="Y6255">
        <v>0.1894343</v>
      </c>
      <c r="Z6255">
        <v>0.1263793</v>
      </c>
      <c r="AA6255">
        <v>0.97372630000000004</v>
      </c>
      <c r="AB6255">
        <v>12</v>
      </c>
      <c r="AC6255">
        <v>-0.13409999999998901</v>
      </c>
      <c r="AD6255">
        <v>-9.6834999999999699E-2</v>
      </c>
      <c r="AE6255">
        <v>-0.67990000000000295</v>
      </c>
      <c r="AF6255">
        <v>0.142708839753972</v>
      </c>
      <c r="AG6255">
        <v>-9.6834999999999699E-2</v>
      </c>
      <c r="AH6255">
        <v>0.66457677085765399</v>
      </c>
      <c r="AI6255">
        <v>98.107897815807505</v>
      </c>
      <c r="AJ6255">
        <v>77.880555124279596</v>
      </c>
      <c r="AK6255">
        <v>0.68658948035380796</v>
      </c>
      <c r="AL6255">
        <v>88.849450940392003</v>
      </c>
      <c r="AM6255">
        <v>82.298795633831304</v>
      </c>
      <c r="AN6255">
        <v>1.00000001242989</v>
      </c>
    </row>
    <row r="6256" spans="1:40" x14ac:dyDescent="0.25">
      <c r="A6256" t="str">
        <f>"20190312150817044"</f>
        <v>20190312150817044</v>
      </c>
      <c r="B6256" t="str">
        <f>"1552374497036830"</f>
        <v>1552374497036830</v>
      </c>
      <c r="C6256" t="s">
        <v>40</v>
      </c>
      <c r="D6256">
        <v>4.6974070000000001</v>
      </c>
      <c r="E6256">
        <v>0.5233778</v>
      </c>
      <c r="F6256" t="s">
        <v>41</v>
      </c>
      <c r="G6256">
        <v>-192.25</v>
      </c>
      <c r="H6256">
        <v>1.021733</v>
      </c>
      <c r="I6256">
        <v>177.16749999999999</v>
      </c>
      <c r="J6256">
        <v>-192.10489999999999</v>
      </c>
      <c r="K6256">
        <v>1.1106750000000001</v>
      </c>
      <c r="L6256">
        <v>177.8912</v>
      </c>
      <c r="M6256">
        <v>1.7171539999999999E-2</v>
      </c>
      <c r="N6256">
        <v>0</v>
      </c>
      <c r="O6256">
        <v>-0.99976799999999999</v>
      </c>
      <c r="P6256">
        <v>-0.1178488</v>
      </c>
      <c r="Q6256">
        <v>7.0247979999999996E-3</v>
      </c>
      <c r="R6256">
        <v>-0.99300670000000002</v>
      </c>
      <c r="S6256">
        <v>-0.53764339999999999</v>
      </c>
      <c r="T6256">
        <v>-0.33352949999999998</v>
      </c>
      <c r="U6256">
        <v>-2.9598080000000002</v>
      </c>
      <c r="V6256">
        <v>0.13487879999999899</v>
      </c>
      <c r="W6256">
        <v>1.993936E-2</v>
      </c>
      <c r="X6256">
        <v>0.99066140000000003</v>
      </c>
      <c r="Y6256">
        <v>0.19450790000000001</v>
      </c>
      <c r="Z6256">
        <v>0.1099941</v>
      </c>
      <c r="AA6256">
        <v>0.97471430000000003</v>
      </c>
      <c r="AB6256">
        <v>12</v>
      </c>
      <c r="AC6256">
        <v>-0.145100000000013</v>
      </c>
      <c r="AD6256">
        <v>-8.8941999999999993E-2</v>
      </c>
      <c r="AE6256">
        <v>-0.723700000000007</v>
      </c>
      <c r="AF6256">
        <v>0.155252362473211</v>
      </c>
      <c r="AG6256">
        <v>-8.8941999999999993E-2</v>
      </c>
      <c r="AH6256">
        <v>0.71078062190605995</v>
      </c>
      <c r="AI6256">
        <v>96.969856544232201</v>
      </c>
      <c r="AJ6256">
        <v>77.678676607297106</v>
      </c>
      <c r="AK6256">
        <v>0.732955024469223</v>
      </c>
      <c r="AL6256">
        <v>88.857483041087804</v>
      </c>
      <c r="AM6256">
        <v>82.2468371124057</v>
      </c>
      <c r="AN6256">
        <v>0.99999993910830198</v>
      </c>
    </row>
    <row r="6257" spans="1:40" x14ac:dyDescent="0.25">
      <c r="A6257" t="str">
        <f>"20190312150817056"</f>
        <v>20190312150817056</v>
      </c>
      <c r="B6257" t="str">
        <f>"1552374497046589"</f>
        <v>1552374497046589</v>
      </c>
      <c r="C6257" t="s">
        <v>40</v>
      </c>
      <c r="D6257">
        <v>5.0996430000000004</v>
      </c>
      <c r="E6257">
        <v>0.52375660000000002</v>
      </c>
      <c r="F6257" t="s">
        <v>41</v>
      </c>
      <c r="G6257">
        <v>-192.23910000000001</v>
      </c>
      <c r="H6257">
        <v>1.0314680000000001</v>
      </c>
      <c r="I6257">
        <v>177.1618</v>
      </c>
      <c r="J6257">
        <v>-192.10339999999999</v>
      </c>
      <c r="K6257">
        <v>1.110663</v>
      </c>
      <c r="L6257">
        <v>177.8304</v>
      </c>
      <c r="M6257">
        <v>1.750825E-2</v>
      </c>
      <c r="N6257">
        <v>0</v>
      </c>
      <c r="O6257">
        <v>-0.99976299999999996</v>
      </c>
      <c r="P6257">
        <v>-0.1184114</v>
      </c>
      <c r="Q6257">
        <v>7.2945290000000001E-3</v>
      </c>
      <c r="R6257">
        <v>-0.99293819999999999</v>
      </c>
      <c r="S6257">
        <v>-0.54389949999999998</v>
      </c>
      <c r="T6257">
        <v>-0.32142739999999997</v>
      </c>
      <c r="U6257">
        <v>-2.958847</v>
      </c>
      <c r="V6257">
        <v>0.13577400000000001</v>
      </c>
      <c r="W6257">
        <v>2.0168189999999999E-2</v>
      </c>
      <c r="X6257">
        <v>0.99053449999999998</v>
      </c>
      <c r="Y6257">
        <v>0.19696540000000001</v>
      </c>
      <c r="Z6257">
        <v>0.10603609999999999</v>
      </c>
      <c r="AA6257">
        <v>0.97465939999999995</v>
      </c>
      <c r="AB6257">
        <v>12</v>
      </c>
      <c r="AC6257">
        <v>-0.135700000000014</v>
      </c>
      <c r="AD6257">
        <v>-7.9194999999999904E-2</v>
      </c>
      <c r="AE6257">
        <v>-0.66859999999999697</v>
      </c>
      <c r="AF6257">
        <v>0.14542655743762201</v>
      </c>
      <c r="AG6257">
        <v>-7.9194999999999904E-2</v>
      </c>
      <c r="AH6257">
        <v>0.65726473473504599</v>
      </c>
      <c r="AI6257">
        <v>96.709801628595699</v>
      </c>
      <c r="AJ6257">
        <v>77.523726360858603</v>
      </c>
      <c r="AK6257">
        <v>0.67780355794248304</v>
      </c>
      <c r="AL6257">
        <v>88.844369440223701</v>
      </c>
      <c r="AM6257">
        <v>82.195023387213595</v>
      </c>
      <c r="AN6257">
        <v>0.99999996532706203</v>
      </c>
    </row>
    <row r="6258" spans="1:40" x14ac:dyDescent="0.25">
      <c r="A6258" t="str">
        <f>"20190312150817068"</f>
        <v>20190312150817068</v>
      </c>
      <c r="B6258" t="str">
        <f>"1552374497056350"</f>
        <v>1552374497056350</v>
      </c>
      <c r="C6258" t="s">
        <v>40</v>
      </c>
      <c r="D6258">
        <v>5.0566300000000002</v>
      </c>
      <c r="E6258">
        <v>0.52408750000000004</v>
      </c>
      <c r="F6258" t="s">
        <v>41</v>
      </c>
      <c r="G6258">
        <v>-192.2474</v>
      </c>
      <c r="H6258">
        <v>1.030764</v>
      </c>
      <c r="I6258">
        <v>177.0548</v>
      </c>
      <c r="J6258">
        <v>-192.102</v>
      </c>
      <c r="K6258">
        <v>1.1106549999999999</v>
      </c>
      <c r="L6258">
        <v>177.7681</v>
      </c>
      <c r="M6258">
        <v>1.7848180000000002E-2</v>
      </c>
      <c r="N6258">
        <v>0</v>
      </c>
      <c r="O6258">
        <v>-0.99975729999999996</v>
      </c>
      <c r="P6258">
        <v>-0.119114899999999</v>
      </c>
      <c r="Q6258">
        <v>7.4366809999999997E-3</v>
      </c>
      <c r="R6258">
        <v>-0.99285270000000003</v>
      </c>
      <c r="S6258">
        <v>-0.5484772</v>
      </c>
      <c r="T6258">
        <v>-0.30493389999999998</v>
      </c>
      <c r="U6258">
        <v>-2.9581759999999999</v>
      </c>
      <c r="V6258">
        <v>0.13681309999999999</v>
      </c>
      <c r="W6258">
        <v>2.0267830000000001E-2</v>
      </c>
      <c r="X6258">
        <v>0.99038950000000003</v>
      </c>
      <c r="Y6258">
        <v>0.1988984</v>
      </c>
      <c r="Z6258">
        <v>0.10064049999999999</v>
      </c>
      <c r="AA6258">
        <v>0.97483889999999995</v>
      </c>
      <c r="AB6258">
        <v>12</v>
      </c>
      <c r="AC6258">
        <v>-0.14539999999999501</v>
      </c>
      <c r="AD6258">
        <v>-7.9890999999999907E-2</v>
      </c>
      <c r="AE6258">
        <v>-0.71330000000000304</v>
      </c>
      <c r="AF6258">
        <v>0.156227401519345</v>
      </c>
      <c r="AG6258">
        <v>-7.9890999999999907E-2</v>
      </c>
      <c r="AH6258">
        <v>0.70213451122898296</v>
      </c>
      <c r="AI6258">
        <v>96.337690210895602</v>
      </c>
      <c r="AJ6258">
        <v>77.455834388159005</v>
      </c>
      <c r="AK6258">
        <v>0.72372815664809498</v>
      </c>
      <c r="AL6258">
        <v>88.838659344792802</v>
      </c>
      <c r="AM6258">
        <v>82.1348982946148</v>
      </c>
      <c r="AN6258">
        <v>0.999999985487384</v>
      </c>
    </row>
    <row r="6259" spans="1:40" x14ac:dyDescent="0.25">
      <c r="A6259" t="str">
        <f>"20190312150817078"</f>
        <v>20190312150817078</v>
      </c>
      <c r="B6259" t="str">
        <f>"1552374497066109"</f>
        <v>1552374497066109</v>
      </c>
      <c r="C6259" t="s">
        <v>40</v>
      </c>
      <c r="D6259">
        <v>4.7849969999999997</v>
      </c>
      <c r="E6259">
        <v>0.52446590000000004</v>
      </c>
      <c r="F6259" t="s">
        <v>42</v>
      </c>
      <c r="G6259">
        <v>-194.20609999999999</v>
      </c>
      <c r="H6259" s="1">
        <v>-4.2905769999999996E-6</v>
      </c>
      <c r="I6259">
        <v>166.51609999999999</v>
      </c>
      <c r="J6259">
        <v>-192.10050000000001</v>
      </c>
      <c r="K6259">
        <v>1.110644</v>
      </c>
      <c r="L6259">
        <v>177.70820000000001</v>
      </c>
      <c r="M6259">
        <v>1.8161940000000001E-2</v>
      </c>
      <c r="N6259">
        <v>0</v>
      </c>
      <c r="O6259">
        <v>-0.99975199999999997</v>
      </c>
      <c r="P6259">
        <v>-0.1196657</v>
      </c>
      <c r="Q6259">
        <v>7.7620659999999998E-3</v>
      </c>
      <c r="R6259">
        <v>-0.99278409999999995</v>
      </c>
      <c r="S6259">
        <v>-0.55305479999999996</v>
      </c>
      <c r="T6259">
        <v>-0.29192259999999998</v>
      </c>
      <c r="U6259">
        <v>-2.9574280000000002</v>
      </c>
      <c r="V6259">
        <v>0.13767360000000001</v>
      </c>
      <c r="W6259">
        <v>2.0552919999999999E-2</v>
      </c>
      <c r="X6259">
        <v>0.99026440000000004</v>
      </c>
      <c r="Y6259">
        <v>0.20078570000000001</v>
      </c>
      <c r="Z6259">
        <v>9.637859E-2</v>
      </c>
      <c r="AA6259">
        <v>0.97488269999999999</v>
      </c>
      <c r="AB6259">
        <v>12</v>
      </c>
      <c r="AC6259">
        <v>-2.1055999999999799</v>
      </c>
      <c r="AD6259">
        <v>-1.1106482905770001</v>
      </c>
      <c r="AE6259">
        <v>-11.1921</v>
      </c>
      <c r="AF6259">
        <v>2.2867902027087701</v>
      </c>
      <c r="AG6259">
        <v>-1.1106482905770001</v>
      </c>
      <c r="AH6259">
        <v>11.046941677905901</v>
      </c>
      <c r="AI6259">
        <v>95.622746823336001</v>
      </c>
      <c r="AJ6259">
        <v>78.304582663244005</v>
      </c>
      <c r="AK6259">
        <v>11.335690075669</v>
      </c>
      <c r="AL6259">
        <v>88.822321518884607</v>
      </c>
      <c r="AM6259">
        <v>82.085067701466002</v>
      </c>
      <c r="AN6259">
        <v>1.00000001228242</v>
      </c>
    </row>
    <row r="6260" spans="1:40" x14ac:dyDescent="0.25">
      <c r="A6260" t="str">
        <f>"20190312150817090"</f>
        <v>20190312150817090</v>
      </c>
      <c r="B6260" t="str">
        <f>"1552374497086606"</f>
        <v>1552374497086606</v>
      </c>
      <c r="C6260" t="s">
        <v>40</v>
      </c>
      <c r="D6260">
        <v>5.2733650000000001</v>
      </c>
      <c r="E6260">
        <v>0.52464669999999902</v>
      </c>
      <c r="F6260" t="s">
        <v>42</v>
      </c>
      <c r="G6260">
        <v>-194.2971</v>
      </c>
      <c r="H6260" s="1">
        <v>-4.1320560000000003E-6</v>
      </c>
      <c r="I6260">
        <v>166.06129999999999</v>
      </c>
      <c r="J6260">
        <v>-192.09909999999999</v>
      </c>
      <c r="K6260">
        <v>1.1106370000000001</v>
      </c>
      <c r="L6260">
        <v>177.64920000000001</v>
      </c>
      <c r="M6260">
        <v>1.846329E-2</v>
      </c>
      <c r="N6260">
        <v>0</v>
      </c>
      <c r="O6260">
        <v>-0.99974730000000001</v>
      </c>
      <c r="P6260">
        <v>-0.1203679</v>
      </c>
      <c r="Q6260">
        <v>7.9855159999999998E-3</v>
      </c>
      <c r="R6260">
        <v>-0.99269770000000002</v>
      </c>
      <c r="S6260">
        <v>-0.55763240000000003</v>
      </c>
      <c r="T6260">
        <v>-0.2819604</v>
      </c>
      <c r="U6260">
        <v>-2.9567869999999998</v>
      </c>
      <c r="V6260">
        <v>0.13867279999999901</v>
      </c>
      <c r="W6260">
        <v>2.0736939999999999E-2</v>
      </c>
      <c r="X6260">
        <v>0.99012109999999998</v>
      </c>
      <c r="Y6260">
        <v>0.20263429999999999</v>
      </c>
      <c r="Z6260">
        <v>9.3107099999999998E-2</v>
      </c>
      <c r="AA6260">
        <v>0.97481810000000002</v>
      </c>
      <c r="AB6260">
        <v>12</v>
      </c>
      <c r="AC6260">
        <v>-2.198</v>
      </c>
      <c r="AD6260">
        <v>-1.1106411320559999</v>
      </c>
      <c r="AE6260">
        <v>-11.587899999999999</v>
      </c>
      <c r="AF6260">
        <v>2.3903974510143202</v>
      </c>
      <c r="AG6260">
        <v>-1.1106411320559999</v>
      </c>
      <c r="AH6260">
        <v>11.4438635540396</v>
      </c>
      <c r="AI6260">
        <v>95.426862149507997</v>
      </c>
      <c r="AJ6260">
        <v>78.201680048838995</v>
      </c>
      <c r="AK6260">
        <v>11.7434891212751</v>
      </c>
      <c r="AL6260">
        <v>88.811775662956904</v>
      </c>
      <c r="AM6260">
        <v>82.027220087857103</v>
      </c>
      <c r="AN6260">
        <v>0.99999997940280605</v>
      </c>
    </row>
    <row r="6261" spans="1:40" x14ac:dyDescent="0.25">
      <c r="A6261" t="str">
        <f>"20190312150817101"</f>
        <v>20190312150817101</v>
      </c>
      <c r="B6261" t="str">
        <f>"1552374497096365"</f>
        <v>1552374497096365</v>
      </c>
      <c r="C6261" t="s">
        <v>40</v>
      </c>
      <c r="D6261">
        <v>4.623634</v>
      </c>
      <c r="E6261">
        <v>0.52517630000000004</v>
      </c>
      <c r="F6261" t="s">
        <v>42</v>
      </c>
      <c r="G6261">
        <v>-194.41650000000001</v>
      </c>
      <c r="H6261" s="1">
        <v>-3.9124440000000004E-6</v>
      </c>
      <c r="I6261">
        <v>165.43430000000001</v>
      </c>
      <c r="J6261">
        <v>-192.0976</v>
      </c>
      <c r="K6261">
        <v>1.1106259999999999</v>
      </c>
      <c r="L6261">
        <v>177.5889</v>
      </c>
      <c r="M6261">
        <v>1.876514E-2</v>
      </c>
      <c r="N6261">
        <v>0</v>
      </c>
      <c r="O6261">
        <v>-0.99974200000000002</v>
      </c>
      <c r="P6261">
        <v>-0.1209954</v>
      </c>
      <c r="Q6261">
        <v>8.2711190000000004E-3</v>
      </c>
      <c r="R6261">
        <v>-0.99261889999999997</v>
      </c>
      <c r="S6261">
        <v>-0.56085209999999996</v>
      </c>
      <c r="T6261">
        <v>-0.26879320000000001</v>
      </c>
      <c r="U6261">
        <v>-2.956223</v>
      </c>
      <c r="V6261">
        <v>0.13959769999999999</v>
      </c>
      <c r="W6261">
        <v>2.0982460000000001E-2</v>
      </c>
      <c r="X6261">
        <v>0.98998589999999997</v>
      </c>
      <c r="Y6261">
        <v>0.2040622</v>
      </c>
      <c r="Z6261">
        <v>8.8788640000000002E-2</v>
      </c>
      <c r="AA6261">
        <v>0.97492319999999999</v>
      </c>
      <c r="AB6261">
        <v>12</v>
      </c>
      <c r="AC6261">
        <v>-2.31890000000001</v>
      </c>
      <c r="AD6261">
        <v>-1.110629912444</v>
      </c>
      <c r="AE6261">
        <v>-12.154599999999901</v>
      </c>
      <c r="AF6261">
        <v>2.5262411499023698</v>
      </c>
      <c r="AG6261">
        <v>-1.110629912444</v>
      </c>
      <c r="AH6261">
        <v>12.0121688861705</v>
      </c>
      <c r="AI6261">
        <v>95.170014516939403</v>
      </c>
      <c r="AJ6261">
        <v>78.123384435117401</v>
      </c>
      <c r="AK6261">
        <v>12.325079898311399</v>
      </c>
      <c r="AL6261">
        <v>88.797705284125698</v>
      </c>
      <c r="AM6261">
        <v>81.973653197339701</v>
      </c>
      <c r="AN6261">
        <v>0.99999993183587299</v>
      </c>
    </row>
    <row r="6262" spans="1:40" x14ac:dyDescent="0.25">
      <c r="A6262" t="str">
        <f>"20190312150817113"</f>
        <v>20190312150817113</v>
      </c>
      <c r="B6262" t="str">
        <f>"1552374497106126"</f>
        <v>1552374497106126</v>
      </c>
      <c r="C6262" t="s">
        <v>40</v>
      </c>
      <c r="D6262">
        <v>4.6069319999999996</v>
      </c>
      <c r="E6262">
        <v>0.52558099999999996</v>
      </c>
      <c r="F6262" t="s">
        <v>42</v>
      </c>
      <c r="G6262">
        <v>-194.51329999999999</v>
      </c>
      <c r="H6262" s="1">
        <v>-3.751663E-6</v>
      </c>
      <c r="I6262">
        <v>164.98779999999999</v>
      </c>
      <c r="J6262">
        <v>-192.09610000000001</v>
      </c>
      <c r="K6262">
        <v>1.1106229999999999</v>
      </c>
      <c r="L6262">
        <v>177.52760000000001</v>
      </c>
      <c r="M6262">
        <v>1.9061979999999999E-2</v>
      </c>
      <c r="N6262">
        <v>0</v>
      </c>
      <c r="O6262">
        <v>-0.99973699999999999</v>
      </c>
      <c r="P6262">
        <v>-0.1217028</v>
      </c>
      <c r="Q6262">
        <v>8.2361250000000004E-3</v>
      </c>
      <c r="R6262">
        <v>-0.99253270000000005</v>
      </c>
      <c r="S6262">
        <v>-0.56655880000000003</v>
      </c>
      <c r="T6262">
        <v>-0.2604843</v>
      </c>
      <c r="U6262">
        <v>-2.9554290000000001</v>
      </c>
      <c r="V6262">
        <v>0.14059749999999999</v>
      </c>
      <c r="W6262">
        <v>2.0908090000000001E-2</v>
      </c>
      <c r="X6262">
        <v>0.98984609999999995</v>
      </c>
      <c r="Y6262">
        <v>0.206262</v>
      </c>
      <c r="Z6262">
        <v>8.6051580000000003E-2</v>
      </c>
      <c r="AA6262">
        <v>0.97470559999999995</v>
      </c>
      <c r="AB6262">
        <v>12</v>
      </c>
      <c r="AC6262">
        <v>-2.4171999999999798</v>
      </c>
      <c r="AD6262">
        <v>-1.110626751663</v>
      </c>
      <c r="AE6262">
        <v>-12.5398</v>
      </c>
      <c r="AF6262">
        <v>2.63587769006002</v>
      </c>
      <c r="AG6262">
        <v>-1.110626751663</v>
      </c>
      <c r="AH6262">
        <v>12.397673704044101</v>
      </c>
      <c r="AI6262">
        <v>95.007746475869993</v>
      </c>
      <c r="AJ6262">
        <v>77.997033965894104</v>
      </c>
      <c r="AK6262">
        <v>12.723350826351201</v>
      </c>
      <c r="AL6262">
        <v>88.801967452256704</v>
      </c>
      <c r="AM6262">
        <v>81.915798965629193</v>
      </c>
      <c r="AN6262">
        <v>1.00000005345945</v>
      </c>
    </row>
    <row r="6263" spans="1:40" x14ac:dyDescent="0.25">
      <c r="A6263" t="str">
        <f>"20190312150817125"</f>
        <v>20190312150817125</v>
      </c>
      <c r="B6263" t="str">
        <f>"1552374497115886"</f>
        <v>1552374497115886</v>
      </c>
      <c r="C6263" t="s">
        <v>40</v>
      </c>
      <c r="D6263">
        <v>4.9389500000000002</v>
      </c>
      <c r="E6263">
        <v>0.52558309999999997</v>
      </c>
      <c r="F6263" t="s">
        <v>42</v>
      </c>
      <c r="G6263">
        <v>-194.60059999999999</v>
      </c>
      <c r="H6263" s="1">
        <v>-3.5873899999999999E-6</v>
      </c>
      <c r="I6263">
        <v>164.59110000000001</v>
      </c>
      <c r="J6263">
        <v>-192.09460000000001</v>
      </c>
      <c r="K6263">
        <v>1.1106180000000001</v>
      </c>
      <c r="L6263">
        <v>177.4648</v>
      </c>
      <c r="M6263">
        <v>1.9362219999999999E-2</v>
      </c>
      <c r="N6263">
        <v>0</v>
      </c>
      <c r="O6263">
        <v>-0.99973179999999995</v>
      </c>
      <c r="P6263">
        <v>-0.1221822</v>
      </c>
      <c r="Q6263">
        <v>8.3990709999999993E-3</v>
      </c>
      <c r="R6263">
        <v>-0.99247260000000004</v>
      </c>
      <c r="S6263">
        <v>-0.57200620000000002</v>
      </c>
      <c r="T6263">
        <v>-0.25365510000000002</v>
      </c>
      <c r="U6263">
        <v>-2.9545590000000002</v>
      </c>
      <c r="V6263">
        <v>0.1413729</v>
      </c>
      <c r="W6263">
        <v>2.1032039999999998E-2</v>
      </c>
      <c r="X6263">
        <v>0.98973299999999997</v>
      </c>
      <c r="Y6263">
        <v>0.2083776</v>
      </c>
      <c r="Z6263">
        <v>8.3801899999999901E-2</v>
      </c>
      <c r="AA6263">
        <v>0.97445170000000003</v>
      </c>
      <c r="AB6263">
        <v>12</v>
      </c>
      <c r="AC6263">
        <v>-2.50599999999997</v>
      </c>
      <c r="AD6263">
        <v>-1.1106215873899901</v>
      </c>
      <c r="AE6263">
        <v>-12.8736999999999</v>
      </c>
      <c r="AF6263">
        <v>2.73519985497982</v>
      </c>
      <c r="AG6263">
        <v>-1.1106215873899901</v>
      </c>
      <c r="AH6263">
        <v>12.731464676864199</v>
      </c>
      <c r="AI6263">
        <v>94.874864722894699</v>
      </c>
      <c r="AJ6263">
        <v>77.875002924814893</v>
      </c>
      <c r="AK6263">
        <v>13.0692383624793</v>
      </c>
      <c r="AL6263">
        <v>88.794864047378297</v>
      </c>
      <c r="AM6263">
        <v>81.870892085092507</v>
      </c>
      <c r="AN6263">
        <v>1.0000000274249801</v>
      </c>
    </row>
    <row r="6264" spans="1:40" x14ac:dyDescent="0.25">
      <c r="A6264" t="str">
        <f>"20190312150817141"</f>
        <v>20190312150817141</v>
      </c>
      <c r="B6264" t="str">
        <f>"1552374497136381"</f>
        <v>1552374497136381</v>
      </c>
      <c r="C6264" t="s">
        <v>40</v>
      </c>
      <c r="D6264">
        <v>4.6779830000000002</v>
      </c>
      <c r="E6264">
        <v>0.52597819999999995</v>
      </c>
      <c r="F6264" t="s">
        <v>42</v>
      </c>
      <c r="G6264">
        <v>-194.6404</v>
      </c>
      <c r="H6264" s="1">
        <v>-3.4825090000000002E-6</v>
      </c>
      <c r="I6264">
        <v>164.3468</v>
      </c>
      <c r="J6264">
        <v>-192.0925</v>
      </c>
      <c r="K6264">
        <v>1.1106149999999999</v>
      </c>
      <c r="L6264">
        <v>177.3801</v>
      </c>
      <c r="M6264">
        <v>1.975553E-2</v>
      </c>
      <c r="N6264">
        <v>0</v>
      </c>
      <c r="O6264">
        <v>-0.99972459999999996</v>
      </c>
      <c r="P6264">
        <v>-0.1237115</v>
      </c>
      <c r="Q6264">
        <v>8.3594210000000006E-3</v>
      </c>
      <c r="R6264">
        <v>-0.99228329999999998</v>
      </c>
      <c r="S6264">
        <v>-0.57333369999999995</v>
      </c>
      <c r="T6264">
        <v>-0.25012269999999998</v>
      </c>
      <c r="U6264">
        <v>-2.9542999999999999</v>
      </c>
      <c r="V6264">
        <v>0.14328769999999999</v>
      </c>
      <c r="W6264">
        <v>2.0942889999999999E-2</v>
      </c>
      <c r="X6264">
        <v>0.98945950000000005</v>
      </c>
      <c r="Y6264">
        <v>0.20921870000000001</v>
      </c>
      <c r="Z6264">
        <v>8.2638219999999998E-2</v>
      </c>
      <c r="AA6264">
        <v>0.97437079999999998</v>
      </c>
      <c r="AB6264">
        <v>12</v>
      </c>
      <c r="AC6264">
        <v>-2.5478999999999901</v>
      </c>
      <c r="AD6264">
        <v>-1.110618482509</v>
      </c>
      <c r="AE6264">
        <v>-13.033299999999899</v>
      </c>
      <c r="AF6264">
        <v>2.7854215161948499</v>
      </c>
      <c r="AG6264">
        <v>-1.110618482509</v>
      </c>
      <c r="AH6264">
        <v>12.890260872455199</v>
      </c>
      <c r="AI6264">
        <v>94.813848751517796</v>
      </c>
      <c r="AJ6264">
        <v>77.806588575141802</v>
      </c>
      <c r="AK6264">
        <v>13.2344577447103</v>
      </c>
      <c r="AL6264">
        <v>88.799973101450703</v>
      </c>
      <c r="AM6264">
        <v>81.760044261470497</v>
      </c>
      <c r="AN6264">
        <v>1.00000003587654</v>
      </c>
    </row>
    <row r="6265" spans="1:40" x14ac:dyDescent="0.25">
      <c r="A6265" t="str">
        <f>"20190312150817152"</f>
        <v>20190312150817152</v>
      </c>
      <c r="B6265" t="str">
        <f>"1552374497146142"</f>
        <v>1552374497146142</v>
      </c>
      <c r="C6265" t="s">
        <v>40</v>
      </c>
      <c r="D6265">
        <v>4.7839029999999996</v>
      </c>
      <c r="E6265">
        <v>0.52619340000000003</v>
      </c>
      <c r="F6265" t="s">
        <v>42</v>
      </c>
      <c r="G6265">
        <v>-194.75749999999999</v>
      </c>
      <c r="H6265" s="1">
        <v>-3.2685799999999998E-6</v>
      </c>
      <c r="I6265">
        <v>163.82839999999999</v>
      </c>
      <c r="J6265">
        <v>-192.09100000000001</v>
      </c>
      <c r="K6265">
        <v>1.1106149999999999</v>
      </c>
      <c r="L6265">
        <v>177.32060000000001</v>
      </c>
      <c r="M6265">
        <v>2.0026760000000001E-2</v>
      </c>
      <c r="N6265">
        <v>0</v>
      </c>
      <c r="O6265">
        <v>-0.99971940000000004</v>
      </c>
      <c r="P6265">
        <v>-0.124448</v>
      </c>
      <c r="Q6265">
        <v>8.4992829999999998E-3</v>
      </c>
      <c r="R6265">
        <v>-0.99218989999999996</v>
      </c>
      <c r="S6265">
        <v>-0.58070369999999905</v>
      </c>
      <c r="T6265">
        <v>-0.2420062</v>
      </c>
      <c r="U6265">
        <v>-2.9529570000000001</v>
      </c>
      <c r="V6265">
        <v>0.14429059999999999</v>
      </c>
      <c r="W6265">
        <v>2.1050630000000001E-2</v>
      </c>
      <c r="X6265">
        <v>0.98931150000000001</v>
      </c>
      <c r="Y6265">
        <v>0.21195049999999999</v>
      </c>
      <c r="Z6265">
        <v>7.9966599999999999E-2</v>
      </c>
      <c r="AA6265">
        <v>0.97400330000000002</v>
      </c>
      <c r="AB6265">
        <v>12</v>
      </c>
      <c r="AC6265">
        <v>-2.6665000000000099</v>
      </c>
      <c r="AD6265">
        <v>-1.1106182685799999</v>
      </c>
      <c r="AE6265">
        <v>-13.4922</v>
      </c>
      <c r="AF6265">
        <v>2.9171685241983698</v>
      </c>
      <c r="AG6265">
        <v>-1.1106182685799999</v>
      </c>
      <c r="AH6265">
        <v>13.3490369642135</v>
      </c>
      <c r="AI6265">
        <v>94.6467989434353</v>
      </c>
      <c r="AJ6265">
        <v>77.672928476710098</v>
      </c>
      <c r="AK6265">
        <v>13.7091259024424</v>
      </c>
      <c r="AL6265">
        <v>88.793798740578595</v>
      </c>
      <c r="AM6265">
        <v>81.701947337730104</v>
      </c>
      <c r="AN6265">
        <v>1.000000075152</v>
      </c>
    </row>
    <row r="6266" spans="1:40" x14ac:dyDescent="0.25">
      <c r="A6266" t="str">
        <f>"20190312150817164"</f>
        <v>20190312150817164</v>
      </c>
      <c r="B6266" t="str">
        <f>"1552374497155902"</f>
        <v>1552374497155902</v>
      </c>
      <c r="C6266" t="s">
        <v>40</v>
      </c>
      <c r="D6266">
        <v>4.8625080000000001</v>
      </c>
      <c r="E6266">
        <v>0.52646159999999997</v>
      </c>
      <c r="F6266" t="s">
        <v>42</v>
      </c>
      <c r="G6266">
        <v>-194.76849999999999</v>
      </c>
      <c r="H6266" s="1">
        <v>-3.2545389999999999E-6</v>
      </c>
      <c r="I6266">
        <v>163.79249999999999</v>
      </c>
      <c r="J6266">
        <v>-192.08940000000001</v>
      </c>
      <c r="K6266">
        <v>1.110609</v>
      </c>
      <c r="L6266">
        <v>177.25829999999999</v>
      </c>
      <c r="M6266">
        <v>2.0308349999999999E-2</v>
      </c>
      <c r="N6266">
        <v>0</v>
      </c>
      <c r="O6266">
        <v>-0.99971410000000005</v>
      </c>
      <c r="P6266">
        <v>-0.1250194</v>
      </c>
      <c r="Q6266">
        <v>8.8242779999999996E-3</v>
      </c>
      <c r="R6266">
        <v>-0.99211499999999997</v>
      </c>
      <c r="S6266">
        <v>-0.5843353</v>
      </c>
      <c r="T6266">
        <v>-0.2423825</v>
      </c>
      <c r="U6266">
        <v>-2.9523929999999998</v>
      </c>
      <c r="V6266">
        <v>0.14513889999999999</v>
      </c>
      <c r="W6266">
        <v>2.1343819999999999E-2</v>
      </c>
      <c r="X6266">
        <v>0.98918099999999998</v>
      </c>
      <c r="Y6266">
        <v>0.21341209999999999</v>
      </c>
      <c r="Z6266">
        <v>8.0082089999999995E-2</v>
      </c>
      <c r="AA6266">
        <v>0.9736745</v>
      </c>
      <c r="AB6266">
        <v>12</v>
      </c>
      <c r="AC6266">
        <v>-2.6790999999999698</v>
      </c>
      <c r="AD6266">
        <v>-1.110612254539</v>
      </c>
      <c r="AE6266">
        <v>-13.4658</v>
      </c>
      <c r="AF6266">
        <v>2.9328466571741099</v>
      </c>
      <c r="AG6266">
        <v>-1.110612254539</v>
      </c>
      <c r="AH6266">
        <v>13.3214429090477</v>
      </c>
      <c r="AI6266">
        <v>94.654776230366494</v>
      </c>
      <c r="AJ6266">
        <v>77.583846737364496</v>
      </c>
      <c r="AK6266">
        <v>13.6856088747796</v>
      </c>
      <c r="AL6266">
        <v>88.776996269783794</v>
      </c>
      <c r="AM6266">
        <v>81.652761851034995</v>
      </c>
      <c r="AN6266">
        <v>0.99999995485320003</v>
      </c>
    </row>
    <row r="6267" spans="1:40" x14ac:dyDescent="0.25">
      <c r="A6267" t="str">
        <f>"20190312150817188"</f>
        <v>20190312150817188</v>
      </c>
      <c r="B6267" t="str">
        <f>"1552374497176397"</f>
        <v>1552374497176397</v>
      </c>
      <c r="C6267" t="s">
        <v>40</v>
      </c>
      <c r="D6267">
        <v>4.628673</v>
      </c>
      <c r="E6267">
        <v>0.52691129999999997</v>
      </c>
      <c r="F6267" t="s">
        <v>42</v>
      </c>
      <c r="G6267">
        <v>-194.77680000000001</v>
      </c>
      <c r="H6267" s="1">
        <v>-3.2491689999999999E-6</v>
      </c>
      <c r="I6267">
        <v>163.7764</v>
      </c>
      <c r="J6267">
        <v>-192.08629999999999</v>
      </c>
      <c r="K6267">
        <v>1.110611</v>
      </c>
      <c r="L6267">
        <v>177.13890000000001</v>
      </c>
      <c r="M6267">
        <v>2.083409E-2</v>
      </c>
      <c r="N6267">
        <v>0</v>
      </c>
      <c r="O6267">
        <v>-0.99970409999999998</v>
      </c>
      <c r="P6267">
        <v>-0.1263378</v>
      </c>
      <c r="Q6267">
        <v>9.3887469999999994E-3</v>
      </c>
      <c r="R6267">
        <v>-0.99194309999999997</v>
      </c>
      <c r="S6267">
        <v>-0.58840939999999997</v>
      </c>
      <c r="T6267">
        <v>-0.24316599999999999</v>
      </c>
      <c r="U6267">
        <v>-2.9518430000000002</v>
      </c>
      <c r="V6267">
        <v>0.1469734</v>
      </c>
      <c r="W6267">
        <v>2.1849150000000001E-2</v>
      </c>
      <c r="X6267">
        <v>0.98889910000000003</v>
      </c>
      <c r="Y6267">
        <v>0.21524889999999999</v>
      </c>
      <c r="Z6267">
        <v>8.0325480000000005E-2</v>
      </c>
      <c r="AA6267">
        <v>0.97325010000000001</v>
      </c>
      <c r="AB6267">
        <v>12</v>
      </c>
      <c r="AC6267">
        <v>-2.6905000000000099</v>
      </c>
      <c r="AD6267">
        <v>-1.1106142491689901</v>
      </c>
      <c r="AE6267">
        <v>-13.362500000000001</v>
      </c>
      <c r="AF6267">
        <v>2.9487570840305701</v>
      </c>
      <c r="AG6267">
        <v>-1.1106142491689901</v>
      </c>
      <c r="AH6267">
        <v>13.2158030695251</v>
      </c>
      <c r="AI6267">
        <v>94.688903217602899</v>
      </c>
      <c r="AJ6267">
        <v>77.421988868922</v>
      </c>
      <c r="AK6267">
        <v>13.5862461012432</v>
      </c>
      <c r="AL6267">
        <v>88.748036291324695</v>
      </c>
      <c r="AM6267">
        <v>81.546395999049295</v>
      </c>
      <c r="AN6267">
        <v>0.99999999782204596</v>
      </c>
    </row>
    <row r="6268" spans="1:40" x14ac:dyDescent="0.25">
      <c r="A6268" t="str">
        <f>"20190312150817201"</f>
        <v>20190312150817201</v>
      </c>
      <c r="B6268" t="str">
        <f>"1552374497195918"</f>
        <v>1552374497195918</v>
      </c>
      <c r="C6268" t="s">
        <v>40</v>
      </c>
      <c r="D6268">
        <v>5.0827530000000003</v>
      </c>
      <c r="E6268">
        <v>0.52678130000000001</v>
      </c>
      <c r="F6268" t="s">
        <v>42</v>
      </c>
      <c r="G6268">
        <v>-194.90350000000001</v>
      </c>
      <c r="H6268" s="1">
        <v>-3.0026439999999998E-6</v>
      </c>
      <c r="I6268">
        <v>163.18360000000001</v>
      </c>
      <c r="J6268">
        <v>-192.08449999999999</v>
      </c>
      <c r="K6268">
        <v>1.110616</v>
      </c>
      <c r="L6268">
        <v>177.06610000000001</v>
      </c>
      <c r="M6268">
        <v>2.1150990000000001E-2</v>
      </c>
      <c r="N6268">
        <v>0</v>
      </c>
      <c r="O6268">
        <v>-0.99969790000000003</v>
      </c>
      <c r="P6268">
        <v>-0.126635199999999</v>
      </c>
      <c r="Q6268">
        <v>1.0020340000000001E-2</v>
      </c>
      <c r="R6268">
        <v>-0.99189910000000003</v>
      </c>
      <c r="S6268">
        <v>-0.59565729999999995</v>
      </c>
      <c r="T6268">
        <v>-0.2348267</v>
      </c>
      <c r="U6268">
        <v>-2.9506990000000002</v>
      </c>
      <c r="V6268">
        <v>0.14758299999999999</v>
      </c>
      <c r="W6268">
        <v>2.2443620000000001E-2</v>
      </c>
      <c r="X6268">
        <v>0.98879499999999998</v>
      </c>
      <c r="Y6268">
        <v>0.2179712</v>
      </c>
      <c r="Z6268">
        <v>7.7574389999999993E-2</v>
      </c>
      <c r="AA6268">
        <v>0.97286729999999999</v>
      </c>
      <c r="AB6268">
        <v>12</v>
      </c>
      <c r="AC6268">
        <v>-2.8190000000000102</v>
      </c>
      <c r="AD6268">
        <v>-1.1106190026439999</v>
      </c>
      <c r="AE6268">
        <v>-13.882499999999901</v>
      </c>
      <c r="AF6268">
        <v>3.09300890914191</v>
      </c>
      <c r="AG6268">
        <v>-1.1106190026439999</v>
      </c>
      <c r="AH6268">
        <v>13.7353367136019</v>
      </c>
      <c r="AI6268">
        <v>94.510335412974499</v>
      </c>
      <c r="AJ6268">
        <v>77.309460009178196</v>
      </c>
      <c r="AK6268">
        <v>14.123018562513</v>
      </c>
      <c r="AL6268">
        <v>88.713967322128099</v>
      </c>
      <c r="AM6268">
        <v>81.510962212923005</v>
      </c>
      <c r="AN6268">
        <v>1.00000000499635</v>
      </c>
    </row>
    <row r="6269" spans="1:40" x14ac:dyDescent="0.25">
      <c r="A6269" t="str">
        <f>"20190312150817214"</f>
        <v>20190312150817214</v>
      </c>
      <c r="B6269" t="str">
        <f>"1552374497206654"</f>
        <v>1552374497206654</v>
      </c>
      <c r="C6269" t="s">
        <v>40</v>
      </c>
      <c r="D6269">
        <v>4.6951479999999997</v>
      </c>
      <c r="E6269">
        <v>0.52672479999999999</v>
      </c>
      <c r="F6269" t="s">
        <v>42</v>
      </c>
      <c r="G6269">
        <v>-194.9306</v>
      </c>
      <c r="H6269" s="1">
        <v>-2.9073460000000001E-6</v>
      </c>
      <c r="I6269">
        <v>162.9667</v>
      </c>
      <c r="J6269">
        <v>-192.08260000000001</v>
      </c>
      <c r="K6269">
        <v>1.1106149999999999</v>
      </c>
      <c r="L6269">
        <v>176.99549999999999</v>
      </c>
      <c r="M6269">
        <v>2.1454910000000001E-2</v>
      </c>
      <c r="N6269">
        <v>0</v>
      </c>
      <c r="O6269">
        <v>-0.99969220000000003</v>
      </c>
      <c r="P6269">
        <v>-0.1272353</v>
      </c>
      <c r="Q6269">
        <v>1.0047459999999999E-2</v>
      </c>
      <c r="R6269">
        <v>-0.99182239999999999</v>
      </c>
      <c r="S6269">
        <v>-0.59565729999999995</v>
      </c>
      <c r="T6269">
        <v>-0.23243900000000001</v>
      </c>
      <c r="U6269">
        <v>-2.9508209999999999</v>
      </c>
      <c r="V6269">
        <v>0.1484819</v>
      </c>
      <c r="W6269">
        <v>2.243123E-2</v>
      </c>
      <c r="X6269">
        <v>0.98866069999999995</v>
      </c>
      <c r="Y6269">
        <v>0.2182721</v>
      </c>
      <c r="Z6269">
        <v>7.6783959999999998E-2</v>
      </c>
      <c r="AA6269">
        <v>0.97286249999999996</v>
      </c>
      <c r="AB6269">
        <v>12</v>
      </c>
      <c r="AC6269">
        <v>-2.8479999999999799</v>
      </c>
      <c r="AD6269">
        <v>-1.1106179073460001</v>
      </c>
      <c r="AE6269">
        <v>-14.028799999999899</v>
      </c>
      <c r="AF6269">
        <v>3.12951672617515</v>
      </c>
      <c r="AG6269">
        <v>-1.1106179073460001</v>
      </c>
      <c r="AH6269">
        <v>13.880908141900701</v>
      </c>
      <c r="AI6269">
        <v>94.462966569705102</v>
      </c>
      <c r="AJ6269">
        <v>77.294818955811905</v>
      </c>
      <c r="AK6269">
        <v>14.272594645663199</v>
      </c>
      <c r="AL6269">
        <v>88.714677398447293</v>
      </c>
      <c r="AM6269">
        <v>81.458874275130896</v>
      </c>
      <c r="AN6269">
        <v>1.0000000072157</v>
      </c>
    </row>
    <row r="6270" spans="1:40" x14ac:dyDescent="0.25">
      <c r="A6270" t="str">
        <f>"20190312150817226"</f>
        <v>20190312150817226</v>
      </c>
      <c r="B6270" t="str">
        <f>"1552374497216413"</f>
        <v>1552374497216413</v>
      </c>
      <c r="C6270" t="s">
        <v>40</v>
      </c>
      <c r="D6270">
        <v>4.6749280000000004</v>
      </c>
      <c r="E6270">
        <v>0.526692099999999</v>
      </c>
      <c r="F6270" t="s">
        <v>42</v>
      </c>
      <c r="G6270">
        <v>-194.94569999999999</v>
      </c>
      <c r="H6270" s="1">
        <v>-2.8529229999999998E-6</v>
      </c>
      <c r="I6270">
        <v>162.84309999999999</v>
      </c>
      <c r="J6270">
        <v>-192.08099999999999</v>
      </c>
      <c r="K6270">
        <v>1.1106119999999999</v>
      </c>
      <c r="L6270">
        <v>176.9342</v>
      </c>
      <c r="M6270">
        <v>2.171619E-2</v>
      </c>
      <c r="N6270">
        <v>0</v>
      </c>
      <c r="O6270">
        <v>-0.99968670000000004</v>
      </c>
      <c r="P6270">
        <v>-0.12777830000000001</v>
      </c>
      <c r="Q6270">
        <v>1.0315100000000001E-2</v>
      </c>
      <c r="R6270">
        <v>-0.99174910000000005</v>
      </c>
      <c r="S6270">
        <v>-0.59690859999999901</v>
      </c>
      <c r="T6270">
        <v>-0.2315432</v>
      </c>
      <c r="U6270">
        <v>-2.9505159999999999</v>
      </c>
      <c r="V6270">
        <v>0.14928159999999999</v>
      </c>
      <c r="W6270">
        <v>2.2661000000000001E-2</v>
      </c>
      <c r="X6270">
        <v>0.98853500000000005</v>
      </c>
      <c r="Y6270">
        <v>0.21894749999999999</v>
      </c>
      <c r="Z6270">
        <v>7.6487819999999998E-2</v>
      </c>
      <c r="AA6270">
        <v>0.97273410000000005</v>
      </c>
      <c r="AB6270">
        <v>12</v>
      </c>
      <c r="AC6270">
        <v>-2.8646999999999898</v>
      </c>
      <c r="AD6270">
        <v>-1.110614852923</v>
      </c>
      <c r="AE6270">
        <v>-14.091100000000001</v>
      </c>
      <c r="AF6270">
        <v>3.1512541537918901</v>
      </c>
      <c r="AG6270">
        <v>-1.110614852923</v>
      </c>
      <c r="AH6270">
        <v>13.9423876138898</v>
      </c>
      <c r="AI6270">
        <v>94.442816782545194</v>
      </c>
      <c r="AJ6270">
        <v>77.264019818348501</v>
      </c>
      <c r="AK6270">
        <v>14.337155940746101</v>
      </c>
      <c r="AL6270">
        <v>88.701509166713294</v>
      </c>
      <c r="AM6270">
        <v>81.412481433180602</v>
      </c>
      <c r="AN6270">
        <v>0.99999998162227899</v>
      </c>
    </row>
    <row r="6271" spans="1:40" x14ac:dyDescent="0.25">
      <c r="A6271" t="str">
        <f>"20190312150817241"</f>
        <v>20190312150817241</v>
      </c>
      <c r="B6271" t="str">
        <f>"1552374497235937"</f>
        <v>1552374497235937</v>
      </c>
      <c r="C6271" t="s">
        <v>40</v>
      </c>
      <c r="D6271">
        <v>4.7373539999999998</v>
      </c>
      <c r="E6271">
        <v>0.52647089999999996</v>
      </c>
      <c r="F6271" t="s">
        <v>42</v>
      </c>
      <c r="G6271">
        <v>-194.97630000000001</v>
      </c>
      <c r="H6271" s="1">
        <v>-2.7725670000000001E-6</v>
      </c>
      <c r="I6271">
        <v>162.6559</v>
      </c>
      <c r="J6271">
        <v>-192.0788</v>
      </c>
      <c r="K6271">
        <v>1.1106020000000001</v>
      </c>
      <c r="L6271">
        <v>176.852</v>
      </c>
      <c r="M6271">
        <v>2.2054589999999999E-2</v>
      </c>
      <c r="N6271">
        <v>0</v>
      </c>
      <c r="O6271">
        <v>-0.99968000000000001</v>
      </c>
      <c r="P6271">
        <v>-0.1287798</v>
      </c>
      <c r="Q6271">
        <v>1.096222E-2</v>
      </c>
      <c r="R6271">
        <v>-0.99161279999999996</v>
      </c>
      <c r="S6271">
        <v>-0.59825130000000004</v>
      </c>
      <c r="T6271">
        <v>-0.22948099999999999</v>
      </c>
      <c r="U6271">
        <v>-2.950256</v>
      </c>
      <c r="V6271">
        <v>0.15061469999999999</v>
      </c>
      <c r="W6271">
        <v>2.3247839999999999E-2</v>
      </c>
      <c r="X6271">
        <v>0.98831919999999995</v>
      </c>
      <c r="Y6271">
        <v>0.21972990000000001</v>
      </c>
      <c r="Z6271">
        <v>7.5806170000000006E-2</v>
      </c>
      <c r="AA6271">
        <v>0.972611</v>
      </c>
      <c r="AB6271">
        <v>12</v>
      </c>
      <c r="AC6271">
        <v>-2.8975</v>
      </c>
      <c r="AD6271">
        <v>-1.1106047725669901</v>
      </c>
      <c r="AE6271">
        <v>-14.196099999999999</v>
      </c>
      <c r="AF6271">
        <v>3.1911582167124402</v>
      </c>
      <c r="AG6271">
        <v>-1.1106047725669901</v>
      </c>
      <c r="AH6271">
        <v>14.046207940171699</v>
      </c>
      <c r="AI6271">
        <v>94.408960655555404</v>
      </c>
      <c r="AJ6271">
        <v>77.200240222482805</v>
      </c>
      <c r="AK6271">
        <v>14.446899017556699</v>
      </c>
      <c r="AL6271">
        <v>88.6678769337842</v>
      </c>
      <c r="AM6271">
        <v>81.335089549648799</v>
      </c>
      <c r="AN6271">
        <v>1.00000004550469</v>
      </c>
    </row>
    <row r="6272" spans="1:40" x14ac:dyDescent="0.25">
      <c r="A6272" t="str">
        <f>"20190312150817253"</f>
        <v>20190312150817253</v>
      </c>
      <c r="B6272" t="str">
        <f>"1552374497246670"</f>
        <v>1552374497246670</v>
      </c>
      <c r="C6272" t="s">
        <v>40</v>
      </c>
      <c r="D6272">
        <v>4.6008750000000003</v>
      </c>
      <c r="E6272">
        <v>0.526578199999999</v>
      </c>
      <c r="F6272" t="s">
        <v>42</v>
      </c>
      <c r="G6272">
        <v>-195.0367</v>
      </c>
      <c r="H6272" s="1">
        <v>-2.6202759999999999E-6</v>
      </c>
      <c r="I6272">
        <v>162.2997</v>
      </c>
      <c r="J6272">
        <v>-192.0772</v>
      </c>
      <c r="K6272">
        <v>1.11059</v>
      </c>
      <c r="L6272">
        <v>176.7919</v>
      </c>
      <c r="M6272">
        <v>2.229128E-2</v>
      </c>
      <c r="N6272">
        <v>0</v>
      </c>
      <c r="O6272">
        <v>-0.99967550000000005</v>
      </c>
      <c r="P6272">
        <v>-0.12930530000000001</v>
      </c>
      <c r="Q6272">
        <v>1.135746E-2</v>
      </c>
      <c r="R6272">
        <v>-0.99154010000000004</v>
      </c>
      <c r="S6272">
        <v>-0.59960939999999996</v>
      </c>
      <c r="T6272">
        <v>-0.22513939999999999</v>
      </c>
      <c r="U6272">
        <v>-2.9499970000000002</v>
      </c>
      <c r="V6272">
        <v>0.1513727</v>
      </c>
      <c r="W6272">
        <v>2.358963E-2</v>
      </c>
      <c r="X6272">
        <v>0.98819520000000005</v>
      </c>
      <c r="Y6272">
        <v>0.22042890000000001</v>
      </c>
      <c r="Z6272">
        <v>7.4376670000000006E-2</v>
      </c>
      <c r="AA6272">
        <v>0.97256319999999996</v>
      </c>
      <c r="AB6272">
        <v>12</v>
      </c>
      <c r="AC6272">
        <v>-2.95949999999999</v>
      </c>
      <c r="AD6272">
        <v>-1.1105926202759999</v>
      </c>
      <c r="AE6272">
        <v>-14.492199999999899</v>
      </c>
      <c r="AF6272">
        <v>3.2634406603608501</v>
      </c>
      <c r="AG6272">
        <v>-1.1105926202759999</v>
      </c>
      <c r="AH6272">
        <v>14.3417686897279</v>
      </c>
      <c r="AI6272">
        <v>94.318066388955998</v>
      </c>
      <c r="AJ6272">
        <v>77.180737977494402</v>
      </c>
      <c r="AK6272">
        <v>14.750247118660999</v>
      </c>
      <c r="AL6272">
        <v>88.648288321053599</v>
      </c>
      <c r="AM6272">
        <v>81.291072433492303</v>
      </c>
      <c r="AN6272">
        <v>0.99999995912593198</v>
      </c>
    </row>
    <row r="6273" spans="1:40" x14ac:dyDescent="0.25">
      <c r="A6273" t="str">
        <f>"20190312150817265"</f>
        <v>20190312150817265</v>
      </c>
      <c r="B6273" t="str">
        <f>"1552374497256430"</f>
        <v>1552374497256430</v>
      </c>
      <c r="C6273" t="s">
        <v>40</v>
      </c>
      <c r="D6273">
        <v>4.8251730000000004</v>
      </c>
      <c r="E6273">
        <v>0.52666029999999997</v>
      </c>
      <c r="F6273" t="s">
        <v>42</v>
      </c>
      <c r="G6273">
        <v>-195.09360000000001</v>
      </c>
      <c r="H6273" s="1">
        <v>-2.5029479999999998E-6</v>
      </c>
      <c r="I6273">
        <v>162.01949999999999</v>
      </c>
      <c r="J6273">
        <v>-192.07560000000001</v>
      </c>
      <c r="K6273">
        <v>1.1105689999999999</v>
      </c>
      <c r="L6273">
        <v>176.73259999999999</v>
      </c>
      <c r="M6273">
        <v>2.2521320000000001E-2</v>
      </c>
      <c r="N6273">
        <v>0</v>
      </c>
      <c r="O6273">
        <v>-0.99967099999999998</v>
      </c>
      <c r="P6273">
        <v>-0.12957260000000001</v>
      </c>
      <c r="Q6273">
        <v>1.1652030000000001E-2</v>
      </c>
      <c r="R6273">
        <v>-0.99150179999999999</v>
      </c>
      <c r="S6273">
        <v>-0.60227969999999997</v>
      </c>
      <c r="T6273">
        <v>-0.22175320000000001</v>
      </c>
      <c r="U6273">
        <v>-2.9496150000000001</v>
      </c>
      <c r="V6273">
        <v>0.1518668</v>
      </c>
      <c r="W6273">
        <v>2.382894E-2</v>
      </c>
      <c r="X6273">
        <v>0.98811369999999998</v>
      </c>
      <c r="Y6273">
        <v>0.22153970000000001</v>
      </c>
      <c r="Z6273">
        <v>7.3257050000000004E-2</v>
      </c>
      <c r="AA6273">
        <v>0.97239580000000003</v>
      </c>
      <c r="AB6273">
        <v>12</v>
      </c>
      <c r="AC6273">
        <v>-3.0179999999999998</v>
      </c>
      <c r="AD6273">
        <v>-1.1105715029479999</v>
      </c>
      <c r="AE6273">
        <v>-14.713099999999899</v>
      </c>
      <c r="AF6273">
        <v>3.3304089377138499</v>
      </c>
      <c r="AG6273">
        <v>-1.1105715029479999</v>
      </c>
      <c r="AH6273">
        <v>14.561777278084501</v>
      </c>
      <c r="AI6273">
        <v>94.2519203171599</v>
      </c>
      <c r="AJ6273">
        <v>77.117509938716495</v>
      </c>
      <c r="AK6273">
        <v>14.978996970829</v>
      </c>
      <c r="AL6273">
        <v>88.634573086594301</v>
      </c>
      <c r="AM6273">
        <v>81.2623737952554</v>
      </c>
      <c r="AN6273">
        <v>1.0000000137257199</v>
      </c>
    </row>
    <row r="6274" spans="1:40" x14ac:dyDescent="0.25">
      <c r="A6274" t="str">
        <f>"20190312150817276"</f>
        <v>20190312150817276</v>
      </c>
      <c r="B6274" t="str">
        <f>"1552374497266190"</f>
        <v>1552374497266190</v>
      </c>
      <c r="C6274" t="s">
        <v>40</v>
      </c>
      <c r="D6274">
        <v>4.6895759999999997</v>
      </c>
      <c r="E6274">
        <v>0.52653809999999901</v>
      </c>
      <c r="F6274" t="s">
        <v>42</v>
      </c>
      <c r="G6274">
        <v>-195.16149999999999</v>
      </c>
      <c r="H6274" s="1">
        <v>-2.3487749999999998E-6</v>
      </c>
      <c r="I6274">
        <v>161.6551</v>
      </c>
      <c r="J6274">
        <v>-192.07390000000001</v>
      </c>
      <c r="K6274">
        <v>1.110547</v>
      </c>
      <c r="L6274">
        <v>176.66659999999999</v>
      </c>
      <c r="M6274">
        <v>2.2759919999999999E-2</v>
      </c>
      <c r="N6274">
        <v>0</v>
      </c>
      <c r="O6274">
        <v>-0.99966650000000001</v>
      </c>
      <c r="P6274">
        <v>-0.12981719999999999</v>
      </c>
      <c r="Q6274">
        <v>1.197383E-2</v>
      </c>
      <c r="R6274">
        <v>-0.99146610000000002</v>
      </c>
      <c r="S6274">
        <v>-0.60363769999999894</v>
      </c>
      <c r="T6274">
        <v>-0.21724360000000001</v>
      </c>
      <c r="U6274">
        <v>-2.9493710000000002</v>
      </c>
      <c r="V6274">
        <v>0.15234690000000001</v>
      </c>
      <c r="W6274">
        <v>2.4073959999999998E-2</v>
      </c>
      <c r="X6274">
        <v>0.98803379999999996</v>
      </c>
      <c r="Y6274">
        <v>0.22223960000000001</v>
      </c>
      <c r="Z6274">
        <v>7.1771360000000006E-2</v>
      </c>
      <c r="AA6274">
        <v>0.97234690000000001</v>
      </c>
      <c r="AB6274">
        <v>12</v>
      </c>
      <c r="AC6274">
        <v>-3.0875999999999801</v>
      </c>
      <c r="AD6274">
        <v>-1.110549348775</v>
      </c>
      <c r="AE6274">
        <v>-15.0114999999999</v>
      </c>
      <c r="AF6274">
        <v>3.4105774862496898</v>
      </c>
      <c r="AG6274">
        <v>-1.110549348775</v>
      </c>
      <c r="AH6274">
        <v>14.859307535808201</v>
      </c>
      <c r="AI6274">
        <v>94.166266306918303</v>
      </c>
      <c r="AJ6274">
        <v>77.073104889031796</v>
      </c>
      <c r="AK6274">
        <v>15.286084491769101</v>
      </c>
      <c r="AL6274">
        <v>88.620530374583694</v>
      </c>
      <c r="AM6274">
        <v>81.2344818172771</v>
      </c>
      <c r="AN6274">
        <v>0.99999996171606498</v>
      </c>
    </row>
    <row r="6275" spans="1:40" x14ac:dyDescent="0.25">
      <c r="A6275" t="str">
        <f>"20190312150817290"</f>
        <v>20190312150817290</v>
      </c>
      <c r="B6275" t="str">
        <f>"1552374497286686"</f>
        <v>1552374497286686</v>
      </c>
      <c r="C6275" t="s">
        <v>40</v>
      </c>
      <c r="D6275">
        <v>4.5458129999999999</v>
      </c>
      <c r="E6275">
        <v>0.52650459999999999</v>
      </c>
      <c r="F6275" t="s">
        <v>42</v>
      </c>
      <c r="G6275">
        <v>-195.19980000000001</v>
      </c>
      <c r="H6275" s="1">
        <v>-2.2336539999999999E-6</v>
      </c>
      <c r="I6275">
        <v>161.38999999999999</v>
      </c>
      <c r="J6275">
        <v>-192.07210000000001</v>
      </c>
      <c r="K6275">
        <v>1.110522</v>
      </c>
      <c r="L6275">
        <v>176.60059999999999</v>
      </c>
      <c r="M6275">
        <v>2.2989349999999999E-2</v>
      </c>
      <c r="N6275">
        <v>0</v>
      </c>
      <c r="O6275">
        <v>-0.99966219999999995</v>
      </c>
      <c r="P6275">
        <v>-0.13005719999999901</v>
      </c>
      <c r="Q6275">
        <v>1.240584E-2</v>
      </c>
      <c r="R6275">
        <v>-0.99142909999999995</v>
      </c>
      <c r="S6275">
        <v>-0.60351560000000004</v>
      </c>
      <c r="T6275">
        <v>-0.2144074</v>
      </c>
      <c r="U6275">
        <v>-2.9493710000000002</v>
      </c>
      <c r="V6275">
        <v>0.15281330000000001</v>
      </c>
      <c r="W6275">
        <v>2.4422429999999998E-2</v>
      </c>
      <c r="X6275">
        <v>0.98795319999999998</v>
      </c>
      <c r="Y6275">
        <v>0.2224381</v>
      </c>
      <c r="Z6275">
        <v>7.0837349999999993E-2</v>
      </c>
      <c r="AA6275">
        <v>0.97236999999999996</v>
      </c>
      <c r="AB6275">
        <v>12</v>
      </c>
      <c r="AC6275">
        <v>-3.1276999999999999</v>
      </c>
      <c r="AD6275">
        <v>-1.110524233654</v>
      </c>
      <c r="AE6275">
        <v>-15.210599999999999</v>
      </c>
      <c r="AF6275">
        <v>3.45889128920706</v>
      </c>
      <c r="AG6275">
        <v>-1.110524233654</v>
      </c>
      <c r="AH6275">
        <v>15.0576623630919</v>
      </c>
      <c r="AI6275">
        <v>94.111315437346406</v>
      </c>
      <c r="AJ6275">
        <v>77.063033107359502</v>
      </c>
      <c r="AK6275">
        <v>15.4896865321723</v>
      </c>
      <c r="AL6275">
        <v>88.600558614324598</v>
      </c>
      <c r="AM6275">
        <v>81.207359339679499</v>
      </c>
      <c r="AN6275">
        <v>0.999999942567115</v>
      </c>
    </row>
    <row r="6276" spans="1:40" x14ac:dyDescent="0.25">
      <c r="A6276" t="str">
        <f>"20190312150817301"</f>
        <v>20190312150817301</v>
      </c>
      <c r="B6276" t="str">
        <f>"1552374497296446"</f>
        <v>1552374497296446</v>
      </c>
      <c r="C6276" t="s">
        <v>40</v>
      </c>
      <c r="D6276">
        <v>4.5699519999999998</v>
      </c>
      <c r="E6276">
        <v>0.52656700000000001</v>
      </c>
      <c r="F6276" t="s">
        <v>42</v>
      </c>
      <c r="G6276">
        <v>-195.25729999999999</v>
      </c>
      <c r="H6276" s="1">
        <v>-2.0838010000000001E-6</v>
      </c>
      <c r="I6276">
        <v>161.04060000000001</v>
      </c>
      <c r="J6276">
        <v>-192.07040000000001</v>
      </c>
      <c r="K6276">
        <v>1.1105</v>
      </c>
      <c r="L6276">
        <v>176.53880000000001</v>
      </c>
      <c r="M6276">
        <v>2.319328E-2</v>
      </c>
      <c r="N6276">
        <v>0</v>
      </c>
      <c r="O6276">
        <v>-0.9996583</v>
      </c>
      <c r="P6276">
        <v>-0.13060539999999901</v>
      </c>
      <c r="Q6276">
        <v>1.2505830000000001E-2</v>
      </c>
      <c r="R6276">
        <v>-0.99135569999999895</v>
      </c>
      <c r="S6276">
        <v>-0.60375979999999996</v>
      </c>
      <c r="T6276">
        <v>-0.21049880000000001</v>
      </c>
      <c r="U6276">
        <v>-2.9493710000000002</v>
      </c>
      <c r="V6276">
        <v>0.1535618</v>
      </c>
      <c r="W6276">
        <v>2.443673E-2</v>
      </c>
      <c r="X6276">
        <v>0.98783679999999996</v>
      </c>
      <c r="Y6276">
        <v>0.2227324</v>
      </c>
      <c r="Z6276">
        <v>6.9549050000000001E-2</v>
      </c>
      <c r="AA6276">
        <v>0.97239560000000003</v>
      </c>
      <c r="AB6276">
        <v>12</v>
      </c>
      <c r="AC6276">
        <v>-3.1868999999999699</v>
      </c>
      <c r="AD6276">
        <v>-1.110502083801</v>
      </c>
      <c r="AE6276">
        <v>-15.498199999999899</v>
      </c>
      <c r="AF6276">
        <v>3.52814335041989</v>
      </c>
      <c r="AG6276">
        <v>-1.110502083801</v>
      </c>
      <c r="AH6276">
        <v>15.3445239386465</v>
      </c>
      <c r="AI6276">
        <v>94.034439534218095</v>
      </c>
      <c r="AJ6276">
        <v>77.051126449100394</v>
      </c>
      <c r="AK6276">
        <v>15.784024369055301</v>
      </c>
      <c r="AL6276">
        <v>88.599739066986302</v>
      </c>
      <c r="AM6276">
        <v>81.163945021453202</v>
      </c>
      <c r="AN6276">
        <v>0.99999996181328499</v>
      </c>
    </row>
    <row r="6277" spans="1:40" x14ac:dyDescent="0.25">
      <c r="A6277" t="str">
        <f>"20190312150817319"</f>
        <v>20190312150817319</v>
      </c>
      <c r="B6277" t="str">
        <f>"1552374497315966"</f>
        <v>1552374497315966</v>
      </c>
      <c r="C6277" t="s">
        <v>40</v>
      </c>
      <c r="D6277">
        <v>4.4917550000000004</v>
      </c>
      <c r="E6277">
        <v>0.52669279999999996</v>
      </c>
      <c r="F6277" t="s">
        <v>42</v>
      </c>
      <c r="G6277">
        <v>-195.29329999999999</v>
      </c>
      <c r="H6277" s="1">
        <v>-2.0053769999999999E-6</v>
      </c>
      <c r="I6277">
        <v>160.8545</v>
      </c>
      <c r="J6277">
        <v>-192.06790000000001</v>
      </c>
      <c r="K6277">
        <v>1.1104560000000001</v>
      </c>
      <c r="L6277">
        <v>176.44450000000001</v>
      </c>
      <c r="M6277">
        <v>2.3473609999999999E-2</v>
      </c>
      <c r="N6277">
        <v>0</v>
      </c>
      <c r="O6277">
        <v>-0.99965360000000003</v>
      </c>
      <c r="P6277">
        <v>-0.13108819999999999</v>
      </c>
      <c r="Q6277">
        <v>1.280151E-2</v>
      </c>
      <c r="R6277">
        <v>-0.99128830000000001</v>
      </c>
      <c r="S6277">
        <v>-0.60595699999999997</v>
      </c>
      <c r="T6277">
        <v>-0.2087966</v>
      </c>
      <c r="U6277">
        <v>-2.9489589999999999</v>
      </c>
      <c r="V6277">
        <v>0.15432109999999999</v>
      </c>
      <c r="W6277">
        <v>2.45907E-2</v>
      </c>
      <c r="X6277">
        <v>0.98771469999999995</v>
      </c>
      <c r="Y6277">
        <v>0.2237354</v>
      </c>
      <c r="Z6277">
        <v>6.8984970000000007E-2</v>
      </c>
      <c r="AA6277">
        <v>0.97220549999999994</v>
      </c>
      <c r="AB6277">
        <v>12</v>
      </c>
      <c r="AC6277">
        <v>-3.2253999999999698</v>
      </c>
      <c r="AD6277">
        <v>-1.1104580053769999</v>
      </c>
      <c r="AE6277">
        <v>-15.59</v>
      </c>
      <c r="AF6277">
        <v>3.5731064026391999</v>
      </c>
      <c r="AG6277">
        <v>-1.1104580053769999</v>
      </c>
      <c r="AH6277">
        <v>15.4348911313927</v>
      </c>
      <c r="AI6277">
        <v>94.0093656988454</v>
      </c>
      <c r="AJ6277">
        <v>76.965886388027698</v>
      </c>
      <c r="AK6277">
        <v>15.881941650322</v>
      </c>
      <c r="AL6277">
        <v>88.590914660749704</v>
      </c>
      <c r="AM6277">
        <v>81.1198687103673</v>
      </c>
      <c r="AN6277">
        <v>1.00000001651389</v>
      </c>
    </row>
    <row r="6278" spans="1:40" x14ac:dyDescent="0.25">
      <c r="A6278" t="str">
        <f>"20190312150817331"</f>
        <v>20190312150817331</v>
      </c>
      <c r="B6278" t="str">
        <f>"1552374497326702"</f>
        <v>1552374497326702</v>
      </c>
      <c r="C6278" t="s">
        <v>40</v>
      </c>
      <c r="D6278">
        <v>4.5341969999999998</v>
      </c>
      <c r="E6278">
        <v>0.52670669999999897</v>
      </c>
      <c r="F6278" t="s">
        <v>42</v>
      </c>
      <c r="G6278">
        <v>-195.3623</v>
      </c>
      <c r="H6278" s="1">
        <v>-1.846062E-6</v>
      </c>
      <c r="I6278">
        <v>160.4786</v>
      </c>
      <c r="J6278">
        <v>-192.06620000000001</v>
      </c>
      <c r="K6278">
        <v>1.110428</v>
      </c>
      <c r="L6278">
        <v>176.38079999999999</v>
      </c>
      <c r="M6278">
        <v>2.3640890000000001E-2</v>
      </c>
      <c r="N6278">
        <v>0</v>
      </c>
      <c r="O6278">
        <v>-0.9996505</v>
      </c>
      <c r="P6278">
        <v>-0.13131180000000001</v>
      </c>
      <c r="Q6278">
        <v>1.2867490000000001E-2</v>
      </c>
      <c r="R6278">
        <v>-0.99125770000000002</v>
      </c>
      <c r="S6278">
        <v>-0.60839840000000001</v>
      </c>
      <c r="T6278">
        <v>-0.20508019999999999</v>
      </c>
      <c r="U6278">
        <v>-2.9485779999999999</v>
      </c>
      <c r="V6278">
        <v>0.15471009999999999</v>
      </c>
      <c r="W6278">
        <v>2.455543E-2</v>
      </c>
      <c r="X6278">
        <v>0.9876547</v>
      </c>
      <c r="Y6278">
        <v>0.22471240000000001</v>
      </c>
      <c r="Z6278">
        <v>6.7757799999999896E-2</v>
      </c>
      <c r="AA6278">
        <v>0.97206649999999994</v>
      </c>
      <c r="AB6278">
        <v>12</v>
      </c>
      <c r="AC6278">
        <v>-3.2960999999999898</v>
      </c>
      <c r="AD6278">
        <v>-1.1104298460619999</v>
      </c>
      <c r="AE6278">
        <v>-15.902199999999899</v>
      </c>
      <c r="AF6278">
        <v>3.6540636957346799</v>
      </c>
      <c r="AG6278">
        <v>-1.1104298460619999</v>
      </c>
      <c r="AH6278">
        <v>15.74621023561</v>
      </c>
      <c r="AI6278">
        <v>93.929761478197804</v>
      </c>
      <c r="AJ6278">
        <v>76.935193188648199</v>
      </c>
      <c r="AK6278">
        <v>16.202727323495299</v>
      </c>
      <c r="AL6278">
        <v>88.592936063414697</v>
      </c>
      <c r="AM6278">
        <v>81.097310328880496</v>
      </c>
      <c r="AN6278">
        <v>0.99999999530829198</v>
      </c>
    </row>
    <row r="6279" spans="1:40" x14ac:dyDescent="0.25">
      <c r="A6279" t="str">
        <f>"20190312150817342"</f>
        <v>20190312150817342</v>
      </c>
      <c r="B6279" t="str">
        <f>"1552374497336461"</f>
        <v>1552374497336461</v>
      </c>
      <c r="C6279" t="s">
        <v>40</v>
      </c>
      <c r="D6279">
        <v>4.5125089999999997</v>
      </c>
      <c r="E6279">
        <v>0.52667529999999996</v>
      </c>
      <c r="F6279" t="s">
        <v>42</v>
      </c>
      <c r="G6279">
        <v>-195.3784</v>
      </c>
      <c r="H6279" s="1">
        <v>-1.7900020000000001E-6</v>
      </c>
      <c r="I6279">
        <v>160.3509</v>
      </c>
      <c r="J6279">
        <v>-192.06469999999999</v>
      </c>
      <c r="K6279">
        <v>1.1104000000000001</v>
      </c>
      <c r="L6279">
        <v>176.3212</v>
      </c>
      <c r="M6279">
        <v>2.378632E-2</v>
      </c>
      <c r="N6279">
        <v>0</v>
      </c>
      <c r="O6279">
        <v>-0.99964810000000004</v>
      </c>
      <c r="P6279">
        <v>-0.1314775</v>
      </c>
      <c r="Q6279">
        <v>1.287491E-2</v>
      </c>
      <c r="R6279">
        <v>-0.99123559999999999</v>
      </c>
      <c r="S6279">
        <v>-0.60922240000000005</v>
      </c>
      <c r="T6279">
        <v>-0.2042445</v>
      </c>
      <c r="U6279">
        <v>-2.94841</v>
      </c>
      <c r="V6279">
        <v>0.15501970000000001</v>
      </c>
      <c r="W6279">
        <v>2.4466760000000001E-2</v>
      </c>
      <c r="X6279">
        <v>0.98760840000000005</v>
      </c>
      <c r="Y6279">
        <v>0.22512940000000001</v>
      </c>
      <c r="Z6279">
        <v>6.7481200000000005E-2</v>
      </c>
      <c r="AA6279">
        <v>0.9719892</v>
      </c>
      <c r="AB6279">
        <v>12</v>
      </c>
      <c r="AC6279">
        <v>-3.3137000000000101</v>
      </c>
      <c r="AD6279">
        <v>-1.110401790002</v>
      </c>
      <c r="AE6279">
        <v>-15.9703</v>
      </c>
      <c r="AF6279">
        <v>3.67562749216534</v>
      </c>
      <c r="AG6279">
        <v>-1.110401790002</v>
      </c>
      <c r="AH6279">
        <v>15.813662023985801</v>
      </c>
      <c r="AI6279">
        <v>93.912631762050395</v>
      </c>
      <c r="AJ6279">
        <v>76.914872819018996</v>
      </c>
      <c r="AK6279">
        <v>16.273141559184399</v>
      </c>
      <c r="AL6279">
        <v>88.598018070748694</v>
      </c>
      <c r="AM6279">
        <v>81.079369353397198</v>
      </c>
      <c r="AN6279">
        <v>1.00000004074177</v>
      </c>
    </row>
    <row r="6280" spans="1:40" x14ac:dyDescent="0.25">
      <c r="A6280" t="str">
        <f>"20190312150817355"</f>
        <v>20190312150817355</v>
      </c>
      <c r="B6280" t="str">
        <f>"1552374497346221"</f>
        <v>1552374497346221</v>
      </c>
      <c r="C6280" t="s">
        <v>40</v>
      </c>
      <c r="D6280">
        <v>4.7905179999999996</v>
      </c>
      <c r="E6280">
        <v>0.52658119999999997</v>
      </c>
      <c r="F6280" t="s">
        <v>42</v>
      </c>
      <c r="G6280">
        <v>-195.3877</v>
      </c>
      <c r="H6280" s="1">
        <v>-1.7406910000000001E-6</v>
      </c>
      <c r="I6280">
        <v>160.2414</v>
      </c>
      <c r="J6280">
        <v>-192.06299999999999</v>
      </c>
      <c r="K6280">
        <v>1.1103700000000001</v>
      </c>
      <c r="L6280">
        <v>176.25980000000001</v>
      </c>
      <c r="M6280">
        <v>2.3907560000000001E-2</v>
      </c>
      <c r="N6280">
        <v>0</v>
      </c>
      <c r="O6280">
        <v>-0.9996467</v>
      </c>
      <c r="P6280">
        <v>-0.1319292</v>
      </c>
      <c r="Q6280">
        <v>1.264498E-2</v>
      </c>
      <c r="R6280">
        <v>-0.99117889999999997</v>
      </c>
      <c r="S6280">
        <v>-0.60929869999999997</v>
      </c>
      <c r="T6280">
        <v>-0.20360120000000001</v>
      </c>
      <c r="U6280">
        <v>-2.9483489999999999</v>
      </c>
      <c r="V6280">
        <v>0.1555906</v>
      </c>
      <c r="W6280">
        <v>2.4131639999999999E-2</v>
      </c>
      <c r="X6280">
        <v>0.98752680000000004</v>
      </c>
      <c r="Y6280">
        <v>0.22527849999999999</v>
      </c>
      <c r="Z6280">
        <v>6.7269380000000004E-2</v>
      </c>
      <c r="AA6280">
        <v>0.97196939999999998</v>
      </c>
      <c r="AB6280">
        <v>12</v>
      </c>
      <c r="AC6280">
        <v>-3.3247</v>
      </c>
      <c r="AD6280">
        <v>-1.1103717406910001</v>
      </c>
      <c r="AE6280">
        <v>-16.0184</v>
      </c>
      <c r="AF6280">
        <v>3.6897390945667201</v>
      </c>
      <c r="AG6280">
        <v>-1.1103717406910001</v>
      </c>
      <c r="AH6280">
        <v>15.8612634432651</v>
      </c>
      <c r="AI6280">
        <v>93.900655766422105</v>
      </c>
      <c r="AJ6280">
        <v>76.904429246552496</v>
      </c>
      <c r="AK6280">
        <v>16.322584905742001</v>
      </c>
      <c r="AL6280">
        <v>88.617224612978305</v>
      </c>
      <c r="AM6280">
        <v>81.046320238873903</v>
      </c>
      <c r="AN6280">
        <v>0.99999997578784405</v>
      </c>
    </row>
    <row r="6281" spans="1:40" x14ac:dyDescent="0.25">
      <c r="A6281" t="str">
        <f>"20190312150817366"</f>
        <v>20190312150817366</v>
      </c>
      <c r="B6281" t="str">
        <f>"1552374497355982"</f>
        <v>1552374497355982</v>
      </c>
      <c r="C6281" t="s">
        <v>40</v>
      </c>
      <c r="D6281">
        <v>4.4869110000000001</v>
      </c>
      <c r="E6281">
        <v>0.526636199999999</v>
      </c>
      <c r="F6281" t="s">
        <v>42</v>
      </c>
      <c r="G6281">
        <v>-195.39490000000001</v>
      </c>
      <c r="H6281" s="1">
        <v>-1.70247E-6</v>
      </c>
      <c r="I6281">
        <v>160.15649999999999</v>
      </c>
      <c r="J6281">
        <v>-192.06139999999999</v>
      </c>
      <c r="K6281">
        <v>1.110333</v>
      </c>
      <c r="L6281">
        <v>176.1943</v>
      </c>
      <c r="M6281">
        <v>2.4025319999999999E-2</v>
      </c>
      <c r="N6281">
        <v>0</v>
      </c>
      <c r="O6281">
        <v>-0.99964520000000001</v>
      </c>
      <c r="P6281">
        <v>-0.13207289999999999</v>
      </c>
      <c r="Q6281">
        <v>1.2734540000000001E-2</v>
      </c>
      <c r="R6281">
        <v>-0.99115889999999995</v>
      </c>
      <c r="S6281">
        <v>-0.60998540000000001</v>
      </c>
      <c r="T6281">
        <v>-0.2032812</v>
      </c>
      <c r="U6281">
        <v>-2.9481199999999999</v>
      </c>
      <c r="V6281">
        <v>0.15585109999999999</v>
      </c>
      <c r="W6281">
        <v>2.410781E-2</v>
      </c>
      <c r="X6281">
        <v>0.98748630000000004</v>
      </c>
      <c r="Y6281">
        <v>0.22562670000000001</v>
      </c>
      <c r="Z6281">
        <v>6.7164630000000003E-2</v>
      </c>
      <c r="AA6281">
        <v>0.97189579999999998</v>
      </c>
      <c r="AB6281">
        <v>12</v>
      </c>
      <c r="AC6281">
        <v>-3.3335000000000101</v>
      </c>
      <c r="AD6281">
        <v>-1.1103347024700001</v>
      </c>
      <c r="AE6281">
        <v>-16.037800000000001</v>
      </c>
      <c r="AF6281">
        <v>3.7008723202062601</v>
      </c>
      <c r="AG6281">
        <v>-1.1103347024700001</v>
      </c>
      <c r="AH6281">
        <v>15.8801133082095</v>
      </c>
      <c r="AI6281">
        <v>93.895545842363703</v>
      </c>
      <c r="AJ6281">
        <v>76.881333487277502</v>
      </c>
      <c r="AK6281">
        <v>16.343417566823401</v>
      </c>
      <c r="AL6281">
        <v>88.618590363921399</v>
      </c>
      <c r="AM6281">
        <v>81.031211022040296</v>
      </c>
      <c r="AN6281">
        <v>0.99999997228094695</v>
      </c>
    </row>
    <row r="6282" spans="1:40" x14ac:dyDescent="0.25">
      <c r="A6282" t="str">
        <f>"20190312150817380"</f>
        <v>20190312150817380</v>
      </c>
      <c r="B6282" t="str">
        <f>"1552374497376478"</f>
        <v>1552374497376478</v>
      </c>
      <c r="C6282" t="s">
        <v>40</v>
      </c>
      <c r="D6282">
        <v>4.5647469999999997</v>
      </c>
      <c r="E6282">
        <v>0.52656930000000002</v>
      </c>
      <c r="F6282" t="s">
        <v>42</v>
      </c>
      <c r="G6282">
        <v>-195.44210000000001</v>
      </c>
      <c r="H6282" s="1">
        <v>-1.5839289999999999E-6</v>
      </c>
      <c r="I6282">
        <v>159.8792</v>
      </c>
      <c r="J6282">
        <v>-192.05950000000001</v>
      </c>
      <c r="K6282">
        <v>1.1102939999999999</v>
      </c>
      <c r="L6282">
        <v>176.12190000000001</v>
      </c>
      <c r="M6282">
        <v>2.4122149999999998E-2</v>
      </c>
      <c r="N6282">
        <v>0</v>
      </c>
      <c r="O6282">
        <v>-0.99964430000000004</v>
      </c>
      <c r="P6282">
        <v>-0.13245000000000001</v>
      </c>
      <c r="Q6282">
        <v>1.242826E-2</v>
      </c>
      <c r="R6282">
        <v>-0.9911124</v>
      </c>
      <c r="S6282">
        <v>-0.61085509999999998</v>
      </c>
      <c r="T6282">
        <v>-0.20062340000000001</v>
      </c>
      <c r="U6282">
        <v>-2.947937</v>
      </c>
      <c r="V6282">
        <v>0.15632370000000001</v>
      </c>
      <c r="W6282">
        <v>2.3672579999999999E-2</v>
      </c>
      <c r="X6282">
        <v>0.98742220000000003</v>
      </c>
      <c r="Y6282">
        <v>0.22601979999999999</v>
      </c>
      <c r="Z6282">
        <v>6.6289230000000005E-2</v>
      </c>
      <c r="AA6282">
        <v>0.97186459999999997</v>
      </c>
      <c r="AB6282">
        <v>12</v>
      </c>
      <c r="AC6282">
        <v>-3.3825999999999898</v>
      </c>
      <c r="AD6282">
        <v>-1.1102955839290001</v>
      </c>
      <c r="AE6282">
        <v>-16.242699999999999</v>
      </c>
      <c r="AF6282">
        <v>3.75662613182029</v>
      </c>
      <c r="AG6282">
        <v>-1.1102955839290001</v>
      </c>
      <c r="AH6282">
        <v>16.084340134415399</v>
      </c>
      <c r="AI6282">
        <v>93.845667114751706</v>
      </c>
      <c r="AJ6282">
        <v>76.853771108419593</v>
      </c>
      <c r="AK6282">
        <v>16.55448560776</v>
      </c>
      <c r="AL6282">
        <v>88.643534425746495</v>
      </c>
      <c r="AM6282">
        <v>81.0038838958464</v>
      </c>
      <c r="AN6282">
        <v>1.00000004563919</v>
      </c>
    </row>
    <row r="6283" spans="1:40" x14ac:dyDescent="0.25">
      <c r="A6283" t="str">
        <f>"20190312150817395"</f>
        <v>20190312150817395</v>
      </c>
      <c r="B6283" t="str">
        <f>"1552374497386238"</f>
        <v>1552374497386238</v>
      </c>
      <c r="C6283" t="s">
        <v>40</v>
      </c>
      <c r="D6283">
        <v>4.4982220000000002</v>
      </c>
      <c r="E6283">
        <v>0.52658209999999905</v>
      </c>
      <c r="F6283" t="s">
        <v>42</v>
      </c>
      <c r="G6283">
        <v>-195.46520000000001</v>
      </c>
      <c r="H6283" s="1">
        <v>-1.5069079999999999E-6</v>
      </c>
      <c r="I6283">
        <v>159.70320000000001</v>
      </c>
      <c r="J6283">
        <v>-192.05760000000001</v>
      </c>
      <c r="K6283">
        <v>1.110252</v>
      </c>
      <c r="L6283">
        <v>176.04599999999999</v>
      </c>
      <c r="M6283">
        <v>2.4192890000000002E-2</v>
      </c>
      <c r="N6283">
        <v>0</v>
      </c>
      <c r="O6283">
        <v>-0.99964390000000003</v>
      </c>
      <c r="P6283">
        <v>-0.13265060000000001</v>
      </c>
      <c r="Q6283">
        <v>1.2603049999999999E-2</v>
      </c>
      <c r="R6283">
        <v>-0.99108309999999999</v>
      </c>
      <c r="S6283">
        <v>-0.6114349</v>
      </c>
      <c r="T6283">
        <v>-0.19933400000000001</v>
      </c>
      <c r="U6283">
        <v>-2.9476779999999998</v>
      </c>
      <c r="V6283">
        <v>0.1565947</v>
      </c>
      <c r="W6283">
        <v>2.3711670000000001E-2</v>
      </c>
      <c r="X6283">
        <v>0.98737830000000004</v>
      </c>
      <c r="Y6283">
        <v>0.22629469999999999</v>
      </c>
      <c r="Z6283">
        <v>6.5867159999999994E-2</v>
      </c>
      <c r="AA6283">
        <v>0.97182930000000001</v>
      </c>
      <c r="AB6283">
        <v>12</v>
      </c>
      <c r="AC6283">
        <v>-3.4076</v>
      </c>
      <c r="AD6283">
        <v>-1.110253506908</v>
      </c>
      <c r="AE6283">
        <v>-16.342799999999901</v>
      </c>
      <c r="AF6283">
        <v>3.7852652010266801</v>
      </c>
      <c r="AG6283">
        <v>-1.110253506908</v>
      </c>
      <c r="AH6283">
        <v>16.183990584646001</v>
      </c>
      <c r="AI6283">
        <v>93.821634056431705</v>
      </c>
      <c r="AJ6283">
        <v>76.8357616482796</v>
      </c>
      <c r="AK6283">
        <v>16.6578043791976</v>
      </c>
      <c r="AL6283">
        <v>88.641294077383904</v>
      </c>
      <c r="AM6283">
        <v>80.988150007667599</v>
      </c>
      <c r="AN6283">
        <v>1.0000000253365799</v>
      </c>
    </row>
    <row r="6284" spans="1:40" x14ac:dyDescent="0.25">
      <c r="A6284" t="str">
        <f>"20190312150817409"</f>
        <v>20190312150817409</v>
      </c>
      <c r="B6284" t="str">
        <f>"1552374497406734"</f>
        <v>1552374497406734</v>
      </c>
      <c r="C6284" t="s">
        <v>40</v>
      </c>
      <c r="D6284">
        <v>4.4722390000000001</v>
      </c>
      <c r="E6284">
        <v>0.52656409999999998</v>
      </c>
      <c r="F6284" t="s">
        <v>77</v>
      </c>
      <c r="G6284">
        <v>-195.4982</v>
      </c>
      <c r="H6284" s="1">
        <v>-1.4942859999999999E-5</v>
      </c>
      <c r="I6284">
        <v>159.4787</v>
      </c>
      <c r="J6284">
        <v>-192.0556</v>
      </c>
      <c r="K6284">
        <v>1.1102080000000001</v>
      </c>
      <c r="L6284">
        <v>175.96639999999999</v>
      </c>
      <c r="M6284">
        <v>2.4241200000000001E-2</v>
      </c>
      <c r="N6284">
        <v>0</v>
      </c>
      <c r="O6284">
        <v>-0.99964410000000004</v>
      </c>
      <c r="P6284">
        <v>-0.13339409999999999</v>
      </c>
      <c r="Q6284">
        <v>1.245216E-2</v>
      </c>
      <c r="R6284">
        <v>-0.99098520000000001</v>
      </c>
      <c r="S6284">
        <v>-0.61213680000000004</v>
      </c>
      <c r="T6284">
        <v>-0.19753270000000001</v>
      </c>
      <c r="U6284">
        <v>-2.9475709999999999</v>
      </c>
      <c r="V6284">
        <v>0.15738450000000001</v>
      </c>
      <c r="W6284">
        <v>2.3418970000000001E-2</v>
      </c>
      <c r="X6284">
        <v>0.98725969999999996</v>
      </c>
      <c r="Y6284">
        <v>0.22657849999999999</v>
      </c>
      <c r="Z6284">
        <v>6.5272990000000003E-2</v>
      </c>
      <c r="AA6284">
        <v>0.97180319999999998</v>
      </c>
      <c r="AB6284">
        <v>12</v>
      </c>
      <c r="AC6284">
        <v>-3.4425999999999899</v>
      </c>
      <c r="AD6284">
        <v>-1.1102229428599999</v>
      </c>
      <c r="AE6284">
        <v>-16.487699999999901</v>
      </c>
      <c r="AF6284">
        <v>3.8246772787121301</v>
      </c>
      <c r="AG6284">
        <v>-1.1102229428599999</v>
      </c>
      <c r="AH6284">
        <v>16.328452874770299</v>
      </c>
      <c r="AI6284">
        <v>93.7875292674034</v>
      </c>
      <c r="AJ6284">
        <v>76.817052726559496</v>
      </c>
      <c r="AK6284">
        <v>16.807115295396301</v>
      </c>
      <c r="AL6284">
        <v>88.658069205831495</v>
      </c>
      <c r="AM6284">
        <v>80.942379434851702</v>
      </c>
      <c r="AN6284">
        <v>1.0000000221201</v>
      </c>
    </row>
    <row r="6285" spans="1:40" x14ac:dyDescent="0.25">
      <c r="A6285" t="str">
        <f>"20190312150817422"</f>
        <v>20190312150817422</v>
      </c>
      <c r="B6285" t="str">
        <f>"1552374497415945"</f>
        <v>1552374497415945</v>
      </c>
      <c r="C6285" t="s">
        <v>40</v>
      </c>
      <c r="D6285">
        <v>4.5371489999999897</v>
      </c>
      <c r="E6285">
        <v>0.52651829999999999</v>
      </c>
      <c r="F6285" t="s">
        <v>77</v>
      </c>
      <c r="G6285">
        <v>-195.5438</v>
      </c>
      <c r="H6285" s="1">
        <v>-1.488027E-5</v>
      </c>
      <c r="I6285">
        <v>159.22989999999999</v>
      </c>
      <c r="J6285">
        <v>-192.0538</v>
      </c>
      <c r="K6285">
        <v>1.1101749999999999</v>
      </c>
      <c r="L6285">
        <v>175.89519999999999</v>
      </c>
      <c r="M6285">
        <v>2.4261319999999999E-2</v>
      </c>
      <c r="N6285">
        <v>0</v>
      </c>
      <c r="O6285">
        <v>-0.9996448</v>
      </c>
      <c r="P6285">
        <v>-0.1339004</v>
      </c>
      <c r="Q6285">
        <v>1.264672E-2</v>
      </c>
      <c r="R6285">
        <v>-0.99091430000000003</v>
      </c>
      <c r="S6285">
        <v>-0.61422730000000003</v>
      </c>
      <c r="T6285">
        <v>-0.1954958</v>
      </c>
      <c r="U6285">
        <v>-2.9470830000000001</v>
      </c>
      <c r="V6285">
        <v>0.15790989999999999</v>
      </c>
      <c r="W6285">
        <v>2.348857E-2</v>
      </c>
      <c r="X6285">
        <v>0.9871742</v>
      </c>
      <c r="Y6285">
        <v>0.22729969999999999</v>
      </c>
      <c r="Z6285">
        <v>6.4603129999999995E-2</v>
      </c>
      <c r="AA6285">
        <v>0.97167959999999998</v>
      </c>
      <c r="AB6285">
        <v>12</v>
      </c>
      <c r="AC6285">
        <v>-3.49</v>
      </c>
      <c r="AD6285">
        <v>-1.1101898802700001</v>
      </c>
      <c r="AE6285">
        <v>-16.665299999999998</v>
      </c>
      <c r="AF6285">
        <v>3.8768375394040699</v>
      </c>
      <c r="AG6285">
        <v>-1.1101898802700001</v>
      </c>
      <c r="AH6285">
        <v>16.5055458160159</v>
      </c>
      <c r="AI6285">
        <v>93.746359458986205</v>
      </c>
      <c r="AJ6285">
        <v>76.781915504147804</v>
      </c>
      <c r="AK6285">
        <v>16.9910398022542</v>
      </c>
      <c r="AL6285">
        <v>88.654080393991194</v>
      </c>
      <c r="AM6285">
        <v>80.911871982621605</v>
      </c>
      <c r="AN6285">
        <v>1.0000000752921401</v>
      </c>
    </row>
    <row r="6286" spans="1:40" x14ac:dyDescent="0.25">
      <c r="A6286" t="str">
        <f>"20190312150817434"</f>
        <v>20190312150817434</v>
      </c>
      <c r="B6286" t="str">
        <f>"1552374497426659"</f>
        <v>1552374497426659</v>
      </c>
      <c r="C6286" t="s">
        <v>40</v>
      </c>
      <c r="D6286">
        <v>4.9937620000000003</v>
      </c>
      <c r="E6286">
        <v>0.52649029999999997</v>
      </c>
      <c r="F6286" t="s">
        <v>77</v>
      </c>
      <c r="G6286">
        <v>-195.5558</v>
      </c>
      <c r="H6286" s="1">
        <v>-1.48535299999999E-5</v>
      </c>
      <c r="I6286">
        <v>159.12360000000001</v>
      </c>
      <c r="J6286">
        <v>-192.05240000000001</v>
      </c>
      <c r="K6286">
        <v>1.1101490000000001</v>
      </c>
      <c r="L6286">
        <v>175.83539999999999</v>
      </c>
      <c r="M6286">
        <v>2.4255369999999998E-2</v>
      </c>
      <c r="N6286">
        <v>0</v>
      </c>
      <c r="O6286">
        <v>-0.99964609999999998</v>
      </c>
      <c r="P6286">
        <v>-0.13418740000000001</v>
      </c>
      <c r="Q6286">
        <v>1.232984E-2</v>
      </c>
      <c r="R6286">
        <v>-0.99087939999999997</v>
      </c>
      <c r="S6286">
        <v>-0.61531069999999999</v>
      </c>
      <c r="T6286">
        <v>-0.19506519999999999</v>
      </c>
      <c r="U6286">
        <v>-2.9468380000000001</v>
      </c>
      <c r="V6286">
        <v>0.15819069999999999</v>
      </c>
      <c r="W6286">
        <v>2.307145E-2</v>
      </c>
      <c r="X6286">
        <v>0.98713899999999999</v>
      </c>
      <c r="Y6286">
        <v>0.2276542</v>
      </c>
      <c r="Z6286">
        <v>6.4461569999999996E-2</v>
      </c>
      <c r="AA6286">
        <v>0.97160599999999997</v>
      </c>
      <c r="AB6286">
        <v>12</v>
      </c>
      <c r="AC6286">
        <v>-3.5033999999999899</v>
      </c>
      <c r="AD6286">
        <v>-1.11016385352999</v>
      </c>
      <c r="AE6286">
        <v>-16.711799999999901</v>
      </c>
      <c r="AF6286">
        <v>3.8912951016033399</v>
      </c>
      <c r="AG6286">
        <v>-1.11016385352999</v>
      </c>
      <c r="AH6286">
        <v>16.551933648985599</v>
      </c>
      <c r="AI6286">
        <v>93.7356239733232</v>
      </c>
      <c r="AJ6286">
        <v>76.770230782301596</v>
      </c>
      <c r="AK6286">
        <v>17.039399897586399</v>
      </c>
      <c r="AL6286">
        <v>88.677985983680202</v>
      </c>
      <c r="AM6286">
        <v>80.895662418450001</v>
      </c>
      <c r="AN6286">
        <v>0.99999999734629597</v>
      </c>
    </row>
    <row r="6287" spans="1:40" x14ac:dyDescent="0.25">
      <c r="A6287" t="str">
        <f>"20190312150817446"</f>
        <v>20190312150817446</v>
      </c>
      <c r="B6287" t="str">
        <f>"1552374497436419"</f>
        <v>1552374497436419</v>
      </c>
      <c r="C6287" t="s">
        <v>40</v>
      </c>
      <c r="D6287">
        <v>4.5304869999999999</v>
      </c>
      <c r="E6287">
        <v>0.52644499999999905</v>
      </c>
      <c r="F6287" t="s">
        <v>77</v>
      </c>
      <c r="G6287">
        <v>-195.5437</v>
      </c>
      <c r="H6287" s="1">
        <v>-1.485535E-5</v>
      </c>
      <c r="I6287">
        <v>159.1309</v>
      </c>
      <c r="J6287">
        <v>-192.05080000000001</v>
      </c>
      <c r="K6287">
        <v>1.110123</v>
      </c>
      <c r="L6287">
        <v>175.7697</v>
      </c>
      <c r="M6287">
        <v>2.424022E-2</v>
      </c>
      <c r="N6287">
        <v>0</v>
      </c>
      <c r="O6287">
        <v>-0.99964770000000003</v>
      </c>
      <c r="P6287">
        <v>-0.134711</v>
      </c>
      <c r="Q6287">
        <v>1.2627040000000001E-2</v>
      </c>
      <c r="R6287">
        <v>-0.99080489999999999</v>
      </c>
      <c r="S6287">
        <v>-0.61585999999999996</v>
      </c>
      <c r="T6287">
        <v>-0.195829</v>
      </c>
      <c r="U6287">
        <v>-2.946625</v>
      </c>
      <c r="V6287">
        <v>0.15869800000000001</v>
      </c>
      <c r="W6287">
        <v>2.326071E-2</v>
      </c>
      <c r="X6287">
        <v>0.98705319999999996</v>
      </c>
      <c r="Y6287">
        <v>0.22782369999999999</v>
      </c>
      <c r="Z6287">
        <v>6.471499E-2</v>
      </c>
      <c r="AA6287">
        <v>0.97154949999999995</v>
      </c>
      <c r="AB6287">
        <v>12</v>
      </c>
      <c r="AC6287">
        <v>-3.4928999999999899</v>
      </c>
      <c r="AD6287">
        <v>-1.1101378553500001</v>
      </c>
      <c r="AE6287">
        <v>-16.6388</v>
      </c>
      <c r="AF6287">
        <v>3.87868794188359</v>
      </c>
      <c r="AG6287">
        <v>-1.1101378553500001</v>
      </c>
      <c r="AH6287">
        <v>16.478976244388502</v>
      </c>
      <c r="AI6287">
        <v>93.751797961394303</v>
      </c>
      <c r="AJ6287">
        <v>76.755257368831195</v>
      </c>
      <c r="AK6287">
        <v>16.965650128171099</v>
      </c>
      <c r="AL6287">
        <v>88.667139367307996</v>
      </c>
      <c r="AM6287">
        <v>80.866176603544503</v>
      </c>
      <c r="AN6287">
        <v>1.00000006773196</v>
      </c>
    </row>
    <row r="6288" spans="1:40" x14ac:dyDescent="0.25">
      <c r="A6288" t="str">
        <f>"20190312150817457"</f>
        <v>20190312150817457</v>
      </c>
      <c r="B6288" t="str">
        <f>"1552374497446180"</f>
        <v>1552374497446180</v>
      </c>
      <c r="C6288" t="s">
        <v>40</v>
      </c>
      <c r="D6288">
        <v>4.5178079999999996</v>
      </c>
      <c r="E6288">
        <v>0.52637679999999998</v>
      </c>
      <c r="F6288" t="s">
        <v>77</v>
      </c>
      <c r="G6288">
        <v>-195.56229999999999</v>
      </c>
      <c r="H6288" s="1">
        <v>-1.4824870000000001E-5</v>
      </c>
      <c r="I6288">
        <v>159.00970000000001</v>
      </c>
      <c r="J6288">
        <v>-192.04929999999999</v>
      </c>
      <c r="K6288">
        <v>1.110101</v>
      </c>
      <c r="L6288">
        <v>175.70400000000001</v>
      </c>
      <c r="M6288">
        <v>2.4197949999999999E-2</v>
      </c>
      <c r="N6288">
        <v>0</v>
      </c>
      <c r="O6288">
        <v>-0.99964989999999998</v>
      </c>
      <c r="P6288">
        <v>-0.13546989999999901</v>
      </c>
      <c r="Q6288">
        <v>1.293415E-2</v>
      </c>
      <c r="R6288">
        <v>-0.99069739999999995</v>
      </c>
      <c r="S6288">
        <v>-0.61730959999999901</v>
      </c>
      <c r="T6288">
        <v>-0.19516040000000001</v>
      </c>
      <c r="U6288">
        <v>-2.9463810000000001</v>
      </c>
      <c r="V6288">
        <v>0.159413</v>
      </c>
      <c r="W6288">
        <v>2.346235E-2</v>
      </c>
      <c r="X6288">
        <v>0.98693310000000001</v>
      </c>
      <c r="Y6288">
        <v>0.2282595</v>
      </c>
      <c r="Z6288">
        <v>6.4493750000000002E-2</v>
      </c>
      <c r="AA6288">
        <v>0.97146189999999999</v>
      </c>
      <c r="AB6288">
        <v>12</v>
      </c>
      <c r="AC6288">
        <v>-3.5129999999999999</v>
      </c>
      <c r="AD6288">
        <v>-1.11011582487</v>
      </c>
      <c r="AE6288">
        <v>-16.694299999999998</v>
      </c>
      <c r="AF6288">
        <v>3.8994507181020102</v>
      </c>
      <c r="AG6288">
        <v>-1.11011582487</v>
      </c>
      <c r="AH6288">
        <v>16.534387134976001</v>
      </c>
      <c r="AI6288">
        <v>93.738797874649293</v>
      </c>
      <c r="AJ6288">
        <v>76.7299105294844</v>
      </c>
      <c r="AK6288">
        <v>17.024218953502402</v>
      </c>
      <c r="AL6288">
        <v>88.655582955247496</v>
      </c>
      <c r="AM6288">
        <v>80.824625790186502</v>
      </c>
      <c r="AN6288">
        <v>0.99999996515606504</v>
      </c>
    </row>
    <row r="6289" spans="1:40" x14ac:dyDescent="0.25">
      <c r="A6289" t="str">
        <f>"20190312150817469"</f>
        <v>20190312150817469</v>
      </c>
      <c r="B6289" t="str">
        <f>"1552374497466676"</f>
        <v>1552374497466676</v>
      </c>
      <c r="C6289" t="s">
        <v>40</v>
      </c>
      <c r="D6289">
        <v>4.4588359999999998</v>
      </c>
      <c r="E6289">
        <v>0.52645129999999996</v>
      </c>
      <c r="F6289" t="s">
        <v>77</v>
      </c>
      <c r="G6289">
        <v>-195.58420000000001</v>
      </c>
      <c r="H6289" s="1">
        <v>-1.4791529999999899E-5</v>
      </c>
      <c r="I6289">
        <v>158.87719999999999</v>
      </c>
      <c r="J6289">
        <v>-192.0479</v>
      </c>
      <c r="K6289">
        <v>1.110085</v>
      </c>
      <c r="L6289">
        <v>175.6454</v>
      </c>
      <c r="M6289">
        <v>2.414852E-2</v>
      </c>
      <c r="N6289">
        <v>0</v>
      </c>
      <c r="O6289">
        <v>-0.99965199999999999</v>
      </c>
      <c r="P6289">
        <v>-0.1360874</v>
      </c>
      <c r="Q6289">
        <v>1.3279310000000001E-2</v>
      </c>
      <c r="R6289">
        <v>-0.99060800000000004</v>
      </c>
      <c r="S6289">
        <v>-0.61889649999999996</v>
      </c>
      <c r="T6289">
        <v>-0.19435949999999999</v>
      </c>
      <c r="U6289">
        <v>-2.9460449999999998</v>
      </c>
      <c r="V6289">
        <v>0.15997999999999901</v>
      </c>
      <c r="W6289">
        <v>2.3714530000000001E-2</v>
      </c>
      <c r="X6289">
        <v>0.98683540000000003</v>
      </c>
      <c r="Y6289">
        <v>0.2287382</v>
      </c>
      <c r="Z6289">
        <v>6.4230319999999994E-2</v>
      </c>
      <c r="AA6289">
        <v>0.97136670000000003</v>
      </c>
      <c r="AB6289">
        <v>12</v>
      </c>
      <c r="AC6289">
        <v>-3.53630000000001</v>
      </c>
      <c r="AD6289">
        <v>-1.1100997915299999</v>
      </c>
      <c r="AE6289">
        <v>-16.7682</v>
      </c>
      <c r="AF6289">
        <v>3.92375394861411</v>
      </c>
      <c r="AG6289">
        <v>-1.1100997915299999</v>
      </c>
      <c r="AH6289">
        <v>16.6082174698047</v>
      </c>
      <c r="AI6289">
        <v>93.721826276695296</v>
      </c>
      <c r="AJ6289">
        <v>76.707391758205603</v>
      </c>
      <c r="AK6289">
        <v>17.1014927453935</v>
      </c>
      <c r="AL6289">
        <v>88.641130189392001</v>
      </c>
      <c r="AM6289">
        <v>80.791652873352405</v>
      </c>
      <c r="AN6289">
        <v>1.0000000430131299</v>
      </c>
    </row>
    <row r="6290" spans="1:40" x14ac:dyDescent="0.25">
      <c r="A6290" t="str">
        <f>"20190312150817488"</f>
        <v>20190312150817488</v>
      </c>
      <c r="B6290" t="str">
        <f>"1552374497476436"</f>
        <v>1552374497476436</v>
      </c>
      <c r="C6290" t="s">
        <v>40</v>
      </c>
      <c r="D6290">
        <v>4.4778510000000002</v>
      </c>
      <c r="E6290">
        <v>0.5264856</v>
      </c>
      <c r="F6290" t="s">
        <v>77</v>
      </c>
      <c r="G6290">
        <v>-195.61959999999999</v>
      </c>
      <c r="H6290" s="1">
        <v>-1.4749630000000001E-5</v>
      </c>
      <c r="I6290">
        <v>158.7107</v>
      </c>
      <c r="J6290">
        <v>-192.04560000000001</v>
      </c>
      <c r="K6290">
        <v>1.1100540000000001</v>
      </c>
      <c r="L6290">
        <v>175.54429999999999</v>
      </c>
      <c r="M6290">
        <v>2.402965E-2</v>
      </c>
      <c r="N6290">
        <v>0</v>
      </c>
      <c r="O6290">
        <v>-0.9996564</v>
      </c>
      <c r="P6290">
        <v>-0.13755300000000001</v>
      </c>
      <c r="Q6290">
        <v>1.3560259999999999E-2</v>
      </c>
      <c r="R6290">
        <v>-0.9904018</v>
      </c>
      <c r="S6290">
        <v>-0.62126159999999997</v>
      </c>
      <c r="T6290">
        <v>-0.19309409999999999</v>
      </c>
      <c r="U6290">
        <v>-2.9456630000000001</v>
      </c>
      <c r="V6290">
        <v>0.16132360000000001</v>
      </c>
      <c r="W6290">
        <v>2.3837520000000001E-2</v>
      </c>
      <c r="X6290">
        <v>0.98661359999999998</v>
      </c>
      <c r="Y6290">
        <v>0.2294001</v>
      </c>
      <c r="Z6290">
        <v>6.3811969999999996E-2</v>
      </c>
      <c r="AA6290">
        <v>0.97123820000000005</v>
      </c>
      <c r="AB6290">
        <v>12</v>
      </c>
      <c r="AC6290">
        <v>-3.5739999999999799</v>
      </c>
      <c r="AD6290">
        <v>-1.1100687496299999</v>
      </c>
      <c r="AE6290">
        <v>-16.833599999999901</v>
      </c>
      <c r="AF6290">
        <v>3.96101380914866</v>
      </c>
      <c r="AG6290">
        <v>-1.1100687496299999</v>
      </c>
      <c r="AH6290">
        <v>16.673473741469302</v>
      </c>
      <c r="AI6290">
        <v>93.706110979309798</v>
      </c>
      <c r="AJ6290">
        <v>76.636321225220996</v>
      </c>
      <c r="AK6290">
        <v>17.173427428228699</v>
      </c>
      <c r="AL6290">
        <v>88.634081280504205</v>
      </c>
      <c r="AM6290">
        <v>80.713606507327299</v>
      </c>
      <c r="AN6290">
        <v>0.99999996349083398</v>
      </c>
    </row>
    <row r="6291" spans="1:40" x14ac:dyDescent="0.25">
      <c r="A6291" t="str">
        <f>"20190312150817502"</f>
        <v>20190312150817502</v>
      </c>
      <c r="B6291" t="str">
        <f>"1552374497495956"</f>
        <v>1552374497495956</v>
      </c>
      <c r="C6291" t="s">
        <v>40</v>
      </c>
      <c r="D6291">
        <v>4.4606469999999998</v>
      </c>
      <c r="E6291">
        <v>0.52651359999999903</v>
      </c>
      <c r="F6291" t="s">
        <v>77</v>
      </c>
      <c r="G6291">
        <v>-195.65860000000001</v>
      </c>
      <c r="H6291" s="1">
        <v>-1.470812E-5</v>
      </c>
      <c r="I6291">
        <v>158.54570000000001</v>
      </c>
      <c r="J6291">
        <v>-192.0438</v>
      </c>
      <c r="K6291">
        <v>1.110031</v>
      </c>
      <c r="L6291">
        <v>175.46360000000001</v>
      </c>
      <c r="M6291">
        <v>2.3906730000000001E-2</v>
      </c>
      <c r="N6291">
        <v>0</v>
      </c>
      <c r="O6291">
        <v>-0.99966069999999996</v>
      </c>
      <c r="P6291">
        <v>-0.13836479999999901</v>
      </c>
      <c r="Q6291">
        <v>1.362525E-2</v>
      </c>
      <c r="R6291">
        <v>-0.99028799999999995</v>
      </c>
      <c r="S6291">
        <v>-0.62590029999999997</v>
      </c>
      <c r="T6291">
        <v>-0.19230459999999999</v>
      </c>
      <c r="U6291">
        <v>-2.944763</v>
      </c>
      <c r="V6291">
        <v>0.16201179999999901</v>
      </c>
      <c r="W6291">
        <v>2.3780309999999999E-2</v>
      </c>
      <c r="X6291">
        <v>0.9865022</v>
      </c>
      <c r="Y6291">
        <v>0.23080780000000001</v>
      </c>
      <c r="Z6291">
        <v>6.355044E-2</v>
      </c>
      <c r="AA6291">
        <v>0.97092179999999995</v>
      </c>
      <c r="AB6291">
        <v>12</v>
      </c>
      <c r="AC6291">
        <v>-3.6147999999999998</v>
      </c>
      <c r="AD6291">
        <v>-1.1100457081199999</v>
      </c>
      <c r="AE6291">
        <v>-16.917899999999999</v>
      </c>
      <c r="AF6291">
        <v>4.0017640287513396</v>
      </c>
      <c r="AG6291">
        <v>-1.1100457081199999</v>
      </c>
      <c r="AH6291">
        <v>16.7576471398188</v>
      </c>
      <c r="AI6291">
        <v>93.6864440521869</v>
      </c>
      <c r="AJ6291">
        <v>76.569172173575595</v>
      </c>
      <c r="AK6291">
        <v>17.264560651189498</v>
      </c>
      <c r="AL6291">
        <v>88.637360094883405</v>
      </c>
      <c r="AM6291">
        <v>80.673651046512703</v>
      </c>
      <c r="AN6291">
        <v>0.99999995854388701</v>
      </c>
    </row>
    <row r="6292" spans="1:40" x14ac:dyDescent="0.25">
      <c r="A6292" t="str">
        <f>"20190312150817515"</f>
        <v>20190312150817515</v>
      </c>
      <c r="B6292" t="str">
        <f>"1552374497506691"</f>
        <v>1552374497506691</v>
      </c>
      <c r="C6292" t="s">
        <v>40</v>
      </c>
      <c r="D6292">
        <v>4.4415490000000002</v>
      </c>
      <c r="E6292">
        <v>0.52648030000000001</v>
      </c>
      <c r="F6292" t="s">
        <v>77</v>
      </c>
      <c r="G6292">
        <v>-195.70169999999999</v>
      </c>
      <c r="H6292" s="1">
        <v>-1.465411E-5</v>
      </c>
      <c r="I6292">
        <v>158.33109999999999</v>
      </c>
      <c r="J6292">
        <v>-192.04230000000001</v>
      </c>
      <c r="K6292">
        <v>1.1100110000000001</v>
      </c>
      <c r="L6292">
        <v>175.39490000000001</v>
      </c>
      <c r="M6292">
        <v>2.378108E-2</v>
      </c>
      <c r="N6292">
        <v>0</v>
      </c>
      <c r="O6292">
        <v>-0.99966469999999996</v>
      </c>
      <c r="P6292">
        <v>-0.1392283</v>
      </c>
      <c r="Q6292">
        <v>1.366409E-2</v>
      </c>
      <c r="R6292">
        <v>-0.9901664</v>
      </c>
      <c r="S6292">
        <v>-0.62861630000000002</v>
      </c>
      <c r="T6292">
        <v>-0.19076109999999999</v>
      </c>
      <c r="U6292">
        <v>-2.944229</v>
      </c>
      <c r="V6292">
        <v>0.16274859999999999</v>
      </c>
      <c r="W6292">
        <v>2.3718820000000002E-2</v>
      </c>
      <c r="X6292">
        <v>0.98638239999999999</v>
      </c>
      <c r="Y6292">
        <v>0.23158480000000001</v>
      </c>
      <c r="Z6292">
        <v>6.3042020000000004E-2</v>
      </c>
      <c r="AA6292">
        <v>0.97076989999999996</v>
      </c>
      <c r="AB6292">
        <v>12</v>
      </c>
      <c r="AC6292">
        <v>-3.65939999999997</v>
      </c>
      <c r="AD6292">
        <v>-1.11002565411</v>
      </c>
      <c r="AE6292">
        <v>-17.063800000000001</v>
      </c>
      <c r="AF6292">
        <v>4.0478059167209599</v>
      </c>
      <c r="AG6292">
        <v>-1.11002565411</v>
      </c>
      <c r="AH6292">
        <v>16.9035589882144</v>
      </c>
      <c r="AI6292">
        <v>93.654097260319205</v>
      </c>
      <c r="AJ6292">
        <v>76.533269516721603</v>
      </c>
      <c r="AK6292">
        <v>17.4168652793856</v>
      </c>
      <c r="AL6292">
        <v>88.640884214115204</v>
      </c>
      <c r="AM6292">
        <v>80.630869140279898</v>
      </c>
      <c r="AN6292">
        <v>0.99999996412695502</v>
      </c>
    </row>
    <row r="6293" spans="1:40" x14ac:dyDescent="0.25">
      <c r="A6293" t="str">
        <f>"20190312150817534"</f>
        <v>20190312150817534</v>
      </c>
      <c r="B6293" t="str">
        <f>"1552374497526211"</f>
        <v>1552374497526211</v>
      </c>
      <c r="C6293" t="s">
        <v>40</v>
      </c>
      <c r="D6293">
        <v>4.4488200000000004</v>
      </c>
      <c r="E6293">
        <v>0.5264143</v>
      </c>
      <c r="F6293" t="s">
        <v>77</v>
      </c>
      <c r="G6293">
        <v>-195.73140000000001</v>
      </c>
      <c r="H6293" s="1">
        <v>-1.4615379999999899E-5</v>
      </c>
      <c r="I6293">
        <v>158.1771</v>
      </c>
      <c r="J6293">
        <v>-192.0402</v>
      </c>
      <c r="K6293">
        <v>1.1099870000000001</v>
      </c>
      <c r="L6293">
        <v>175.29589999999999</v>
      </c>
      <c r="M6293">
        <v>2.3578109999999999E-2</v>
      </c>
      <c r="N6293">
        <v>0</v>
      </c>
      <c r="O6293">
        <v>-0.99967090000000003</v>
      </c>
      <c r="P6293">
        <v>-0.14085780000000001</v>
      </c>
      <c r="Q6293">
        <v>1.3696389999999999E-2</v>
      </c>
      <c r="R6293">
        <v>-0.98993549999999997</v>
      </c>
      <c r="S6293">
        <v>-0.630722</v>
      </c>
      <c r="T6293">
        <v>-0.18978120000000001</v>
      </c>
      <c r="U6293">
        <v>-2.9437259999999998</v>
      </c>
      <c r="V6293">
        <v>0.16417229999999999</v>
      </c>
      <c r="W6293">
        <v>2.3611090000000001E-2</v>
      </c>
      <c r="X6293">
        <v>0.9861491</v>
      </c>
      <c r="Y6293">
        <v>0.2320894</v>
      </c>
      <c r="Z6293">
        <v>6.2721940000000004E-2</v>
      </c>
      <c r="AA6293">
        <v>0.97067009999999998</v>
      </c>
      <c r="AB6293">
        <v>12</v>
      </c>
      <c r="AC6293">
        <v>-3.6911999999999998</v>
      </c>
      <c r="AD6293">
        <v>-1.1100016153799901</v>
      </c>
      <c r="AE6293">
        <v>-17.118799999999901</v>
      </c>
      <c r="AF6293">
        <v>4.0774418655293703</v>
      </c>
      <c r="AG6293">
        <v>-1.1100016153799901</v>
      </c>
      <c r="AH6293">
        <v>16.958870911786999</v>
      </c>
      <c r="AI6293">
        <v>93.641336345935002</v>
      </c>
      <c r="AJ6293">
        <v>76.480908044120099</v>
      </c>
      <c r="AK6293">
        <v>17.477440841140702</v>
      </c>
      <c r="AL6293">
        <v>88.647058517126894</v>
      </c>
      <c r="AM6293">
        <v>80.548186142437402</v>
      </c>
      <c r="AN6293">
        <v>1.0000000375445399</v>
      </c>
    </row>
    <row r="6294" spans="1:40" x14ac:dyDescent="0.25">
      <c r="A6294" t="str">
        <f>"20190312150817547"</f>
        <v>20190312150817547</v>
      </c>
      <c r="B6294" t="str">
        <f>"1552374497535973"</f>
        <v>1552374497535973</v>
      </c>
      <c r="C6294" t="s">
        <v>40</v>
      </c>
      <c r="D6294">
        <v>4.4556180000000003</v>
      </c>
      <c r="E6294">
        <v>0.52645310000000001</v>
      </c>
      <c r="F6294" t="s">
        <v>77</v>
      </c>
      <c r="G6294">
        <v>-195.75899999999999</v>
      </c>
      <c r="H6294" s="1">
        <v>-1.4585640000000001E-5</v>
      </c>
      <c r="I6294">
        <v>158.059</v>
      </c>
      <c r="J6294">
        <v>-192.0386</v>
      </c>
      <c r="K6294">
        <v>1.1099680000000001</v>
      </c>
      <c r="L6294">
        <v>175.21979999999999</v>
      </c>
      <c r="M6294">
        <v>2.3403630000000002E-2</v>
      </c>
      <c r="N6294">
        <v>0</v>
      </c>
      <c r="O6294">
        <v>-0.99967569999999994</v>
      </c>
      <c r="P6294">
        <v>-0.1418565</v>
      </c>
      <c r="Q6294">
        <v>1.386389E-2</v>
      </c>
      <c r="R6294">
        <v>-0.98979039999999996</v>
      </c>
      <c r="S6294">
        <v>-0.634903</v>
      </c>
      <c r="T6294">
        <v>-0.1895059</v>
      </c>
      <c r="U6294">
        <v>-2.9427949999999998</v>
      </c>
      <c r="V6294">
        <v>0.1649958</v>
      </c>
      <c r="W6294">
        <v>2.367592E-2</v>
      </c>
      <c r="X6294">
        <v>0.9860101</v>
      </c>
      <c r="Y6294">
        <v>0.2333016</v>
      </c>
      <c r="Z6294">
        <v>6.2632599999999997E-2</v>
      </c>
      <c r="AA6294">
        <v>0.97038530000000001</v>
      </c>
      <c r="AB6294">
        <v>12</v>
      </c>
      <c r="AC6294">
        <v>-3.7204000000000099</v>
      </c>
      <c r="AD6294">
        <v>-1.1099825856399901</v>
      </c>
      <c r="AE6294">
        <v>-17.160799999999899</v>
      </c>
      <c r="AF6294">
        <v>4.1046246138496496</v>
      </c>
      <c r="AG6294">
        <v>-1.1099825856399901</v>
      </c>
      <c r="AH6294">
        <v>17.0010899073011</v>
      </c>
      <c r="AI6294">
        <v>93.631429602863506</v>
      </c>
      <c r="AJ6294">
        <v>76.426657312816502</v>
      </c>
      <c r="AK6294">
        <v>17.5247557072041</v>
      </c>
      <c r="AL6294">
        <v>88.643342996893495</v>
      </c>
      <c r="AM6294">
        <v>80.500322350763696</v>
      </c>
      <c r="AN6294">
        <v>1.0000000402537399</v>
      </c>
    </row>
    <row r="6295" spans="1:40" x14ac:dyDescent="0.25">
      <c r="A6295" t="str">
        <f>"20190312150817559"</f>
        <v>20190312150817559</v>
      </c>
      <c r="B6295" t="str">
        <f>"1552374497556468"</f>
        <v>1552374497556468</v>
      </c>
      <c r="C6295" t="s">
        <v>40</v>
      </c>
      <c r="D6295">
        <v>4.4327420000000002</v>
      </c>
      <c r="E6295">
        <v>0.52650659999999905</v>
      </c>
      <c r="F6295" t="s">
        <v>77</v>
      </c>
      <c r="G6295">
        <v>-195.792</v>
      </c>
      <c r="H6295" s="1">
        <v>-1.4550239999999999E-5</v>
      </c>
      <c r="I6295">
        <v>157.91820000000001</v>
      </c>
      <c r="J6295">
        <v>-192.03710000000001</v>
      </c>
      <c r="K6295">
        <v>1.1099540000000001</v>
      </c>
      <c r="L6295">
        <v>175.1474</v>
      </c>
      <c r="M6295">
        <v>2.3219070000000001E-2</v>
      </c>
      <c r="N6295">
        <v>0</v>
      </c>
      <c r="O6295">
        <v>-0.99968100000000004</v>
      </c>
      <c r="P6295">
        <v>-0.1427948</v>
      </c>
      <c r="Q6295">
        <v>1.4054870000000001E-2</v>
      </c>
      <c r="R6295">
        <v>-0.98965270000000005</v>
      </c>
      <c r="S6295">
        <v>-0.63827509999999998</v>
      </c>
      <c r="T6295">
        <v>-0.18875130000000001</v>
      </c>
      <c r="U6295">
        <v>-2.9421080000000002</v>
      </c>
      <c r="V6295">
        <v>0.16574900000000001</v>
      </c>
      <c r="W6295">
        <v>2.3776019999999998E-2</v>
      </c>
      <c r="X6295">
        <v>0.98588129999999996</v>
      </c>
      <c r="Y6295">
        <v>0.23423450000000001</v>
      </c>
      <c r="Z6295">
        <v>6.2384240000000001E-2</v>
      </c>
      <c r="AA6295">
        <v>0.9701765</v>
      </c>
      <c r="AB6295">
        <v>12</v>
      </c>
      <c r="AC6295">
        <v>-3.7548999999999899</v>
      </c>
      <c r="AD6295">
        <v>-1.1099685502399901</v>
      </c>
      <c r="AE6295">
        <v>-17.229199999999899</v>
      </c>
      <c r="AF6295">
        <v>4.1375594314239796</v>
      </c>
      <c r="AG6295">
        <v>-1.1099685502399901</v>
      </c>
      <c r="AH6295">
        <v>17.0697309869036</v>
      </c>
      <c r="AI6295">
        <v>93.616029918183401</v>
      </c>
      <c r="AJ6295">
        <v>76.374771530271602</v>
      </c>
      <c r="AK6295">
        <v>17.5990665717345</v>
      </c>
      <c r="AL6295">
        <v>88.637605997868306</v>
      </c>
      <c r="AM6295">
        <v>80.456528631645199</v>
      </c>
      <c r="AN6295">
        <v>0.99999998390886502</v>
      </c>
    </row>
    <row r="6296" spans="1:40" x14ac:dyDescent="0.25">
      <c r="A6296" t="str">
        <f>"20190312150817577"</f>
        <v>20190312150817577</v>
      </c>
      <c r="B6296" t="str">
        <f>"1552374497566228"</f>
        <v>1552374497566228</v>
      </c>
      <c r="C6296" t="s">
        <v>40</v>
      </c>
      <c r="D6296">
        <v>4.4479319999999998</v>
      </c>
      <c r="E6296">
        <v>0.52646819999999905</v>
      </c>
      <c r="F6296" t="s">
        <v>77</v>
      </c>
      <c r="G6296">
        <v>-195.82740000000001</v>
      </c>
      <c r="H6296" s="1">
        <v>-1.451365E-5</v>
      </c>
      <c r="I6296">
        <v>157.77289999999999</v>
      </c>
      <c r="J6296">
        <v>-192.0352</v>
      </c>
      <c r="K6296">
        <v>1.109937</v>
      </c>
      <c r="L6296">
        <v>175.053</v>
      </c>
      <c r="M6296">
        <v>2.2958490000000002E-2</v>
      </c>
      <c r="N6296">
        <v>0</v>
      </c>
      <c r="O6296">
        <v>-0.99968809999999997</v>
      </c>
      <c r="P6296">
        <v>-0.14442650000000001</v>
      </c>
      <c r="Q6296">
        <v>1.3776439999999999E-2</v>
      </c>
      <c r="R6296">
        <v>-0.98942010000000002</v>
      </c>
      <c r="S6296">
        <v>-0.64167790000000002</v>
      </c>
      <c r="T6296">
        <v>-0.18791189999999999</v>
      </c>
      <c r="U6296">
        <v>-2.9414220000000002</v>
      </c>
      <c r="V6296">
        <v>0.16711819999999999</v>
      </c>
      <c r="W6296">
        <v>2.338703E-2</v>
      </c>
      <c r="X6296">
        <v>0.98565939999999996</v>
      </c>
      <c r="Y6296">
        <v>0.23510320000000001</v>
      </c>
      <c r="Z6296">
        <v>6.2108459999999997E-2</v>
      </c>
      <c r="AA6296">
        <v>0.96998410000000002</v>
      </c>
      <c r="AB6296">
        <v>12</v>
      </c>
      <c r="AC6296">
        <v>-3.7921999999999998</v>
      </c>
      <c r="AD6296">
        <v>-1.10995151365</v>
      </c>
      <c r="AE6296">
        <v>-17.280100000000001</v>
      </c>
      <c r="AF6296">
        <v>4.1715241656664999</v>
      </c>
      <c r="AG6296">
        <v>-1.10995151365</v>
      </c>
      <c r="AH6296">
        <v>17.121083807351901</v>
      </c>
      <c r="AI6296">
        <v>93.604120696445406</v>
      </c>
      <c r="AJ6296">
        <v>76.306779517020402</v>
      </c>
      <c r="AK6296">
        <v>17.656871664192401</v>
      </c>
      <c r="AL6296">
        <v>88.659899636845694</v>
      </c>
      <c r="AM6296">
        <v>80.377035292736096</v>
      </c>
      <c r="AN6296">
        <v>0.99999994937590897</v>
      </c>
    </row>
    <row r="6297" spans="1:40" x14ac:dyDescent="0.25">
      <c r="A6297" t="str">
        <f>"20190312150817591"</f>
        <v>20190312150817591</v>
      </c>
      <c r="B6297" t="str">
        <f>"1552374497586724"</f>
        <v>1552374497586724</v>
      </c>
      <c r="C6297" t="s">
        <v>40</v>
      </c>
      <c r="D6297">
        <v>4.4258179999999996</v>
      </c>
      <c r="E6297">
        <v>0.52651349999999997</v>
      </c>
      <c r="F6297" t="s">
        <v>77</v>
      </c>
      <c r="G6297">
        <v>-195.8492</v>
      </c>
      <c r="H6297" s="1">
        <v>-1.449637E-5</v>
      </c>
      <c r="I6297">
        <v>157.70410000000001</v>
      </c>
      <c r="J6297">
        <v>-192.03370000000001</v>
      </c>
      <c r="K6297">
        <v>1.1099250000000001</v>
      </c>
      <c r="L6297">
        <v>174.97720000000001</v>
      </c>
      <c r="M6297">
        <v>2.273375E-2</v>
      </c>
      <c r="N6297">
        <v>0</v>
      </c>
      <c r="O6297">
        <v>-0.99969410000000003</v>
      </c>
      <c r="P6297">
        <v>-0.1453527</v>
      </c>
      <c r="Q6297">
        <v>1.3759260000000001E-2</v>
      </c>
      <c r="R6297">
        <v>-0.98928479999999996</v>
      </c>
      <c r="S6297">
        <v>-0.64640810000000004</v>
      </c>
      <c r="T6297">
        <v>-0.1881195</v>
      </c>
      <c r="U6297">
        <v>-2.940369</v>
      </c>
      <c r="V6297">
        <v>0.16781969999999999</v>
      </c>
      <c r="W6297">
        <v>2.328788E-2</v>
      </c>
      <c r="X6297">
        <v>0.98554260000000005</v>
      </c>
      <c r="Y6297">
        <v>0.23644490000000001</v>
      </c>
      <c r="Z6297">
        <v>6.2178150000000001E-2</v>
      </c>
      <c r="AA6297">
        <v>0.9696534</v>
      </c>
      <c r="AB6297">
        <v>12</v>
      </c>
      <c r="AC6297">
        <v>-3.8154999999999801</v>
      </c>
      <c r="AD6297">
        <v>-1.10993949637</v>
      </c>
      <c r="AE6297">
        <v>-17.273099999999999</v>
      </c>
      <c r="AF6297">
        <v>4.1907158293979903</v>
      </c>
      <c r="AG6297">
        <v>-1.10993949637</v>
      </c>
      <c r="AH6297">
        <v>17.114510456099399</v>
      </c>
      <c r="AI6297">
        <v>93.604455478205594</v>
      </c>
      <c r="AJ6297">
        <v>76.241087352549897</v>
      </c>
      <c r="AK6297">
        <v>17.6550427074053</v>
      </c>
      <c r="AL6297">
        <v>88.665582124527404</v>
      </c>
      <c r="AM6297">
        <v>80.336278111829102</v>
      </c>
      <c r="AN6297">
        <v>0.99999999673887197</v>
      </c>
    </row>
    <row r="6298" spans="1:40" x14ac:dyDescent="0.25">
      <c r="A6298" t="str">
        <f>"20190312150817605"</f>
        <v>20190312150817605</v>
      </c>
      <c r="B6298" t="str">
        <f>"1552374497596483"</f>
        <v>1552374497596483</v>
      </c>
      <c r="C6298" t="s">
        <v>40</v>
      </c>
      <c r="D6298">
        <v>4.4309710000000004</v>
      </c>
      <c r="E6298">
        <v>0.52653839999999996</v>
      </c>
      <c r="F6298" t="s">
        <v>77</v>
      </c>
      <c r="G6298">
        <v>-195.87190000000001</v>
      </c>
      <c r="H6298" s="1">
        <v>-1.4472769999999999E-5</v>
      </c>
      <c r="I6298">
        <v>157.6104</v>
      </c>
      <c r="J6298">
        <v>-192.03219999999999</v>
      </c>
      <c r="K6298">
        <v>1.1099110000000001</v>
      </c>
      <c r="L6298">
        <v>174.8974</v>
      </c>
      <c r="M6298">
        <v>2.2484250000000001E-2</v>
      </c>
      <c r="N6298">
        <v>0</v>
      </c>
      <c r="O6298">
        <v>-0.99970049999999999</v>
      </c>
      <c r="P6298">
        <v>-0.14598169999999999</v>
      </c>
      <c r="Q6298">
        <v>1.3999930000000001E-2</v>
      </c>
      <c r="R6298">
        <v>-0.98918879999999998</v>
      </c>
      <c r="S6298">
        <v>-0.64968870000000001</v>
      </c>
      <c r="T6298">
        <v>-0.18787719999999999</v>
      </c>
      <c r="U6298">
        <v>-2.939651</v>
      </c>
      <c r="V6298">
        <v>0.16820079999999901</v>
      </c>
      <c r="W6298">
        <v>2.3448529999999999E-2</v>
      </c>
      <c r="X6298">
        <v>0.98547379999999996</v>
      </c>
      <c r="Y6298">
        <v>0.23728489999999999</v>
      </c>
      <c r="Z6298">
        <v>6.209986E-2</v>
      </c>
      <c r="AA6298">
        <v>0.96945320000000001</v>
      </c>
      <c r="AB6298">
        <v>12</v>
      </c>
      <c r="AC6298">
        <v>-3.8397000000000201</v>
      </c>
      <c r="AD6298">
        <v>-1.1099254727700001</v>
      </c>
      <c r="AE6298">
        <v>-17.286999999999999</v>
      </c>
      <c r="AF6298">
        <v>4.2108898349517396</v>
      </c>
      <c r="AG6298">
        <v>-1.1099254727700001</v>
      </c>
      <c r="AH6298">
        <v>17.129000155004999</v>
      </c>
      <c r="AI6298">
        <v>93.600562326557096</v>
      </c>
      <c r="AJ6298">
        <v>76.188631677060997</v>
      </c>
      <c r="AK6298">
        <v>17.673883955355301</v>
      </c>
      <c r="AL6298">
        <v>88.656375016209395</v>
      </c>
      <c r="AM6298">
        <v>80.314084716371795</v>
      </c>
      <c r="AN6298">
        <v>0.99999997658312001</v>
      </c>
    </row>
    <row r="6299" spans="1:40" x14ac:dyDescent="0.25">
      <c r="A6299" t="str">
        <f>"20190312150817618"</f>
        <v>20190312150817618</v>
      </c>
      <c r="B6299" t="str">
        <f>"1552374497606244"</f>
        <v>1552374497606244</v>
      </c>
      <c r="C6299" t="s">
        <v>40</v>
      </c>
      <c r="D6299">
        <v>4.4362899999999996</v>
      </c>
      <c r="E6299">
        <v>0.52655799999999997</v>
      </c>
      <c r="F6299" t="s">
        <v>77</v>
      </c>
      <c r="G6299">
        <v>-195.89660000000001</v>
      </c>
      <c r="H6299" s="1">
        <v>-1.443668E-5</v>
      </c>
      <c r="I6299">
        <v>157.46690000000001</v>
      </c>
      <c r="J6299">
        <v>-192.0307</v>
      </c>
      <c r="K6299">
        <v>1.109901</v>
      </c>
      <c r="L6299">
        <v>174.8201</v>
      </c>
      <c r="M6299">
        <v>2.222433E-2</v>
      </c>
      <c r="N6299">
        <v>0</v>
      </c>
      <c r="O6299">
        <v>-0.99970700000000001</v>
      </c>
      <c r="P6299">
        <v>-0.1468718</v>
      </c>
      <c r="Q6299">
        <v>1.4056239999999999E-2</v>
      </c>
      <c r="R6299">
        <v>-0.9890563</v>
      </c>
      <c r="S6299">
        <v>-0.65165709999999999</v>
      </c>
      <c r="T6299">
        <v>-0.18716550000000001</v>
      </c>
      <c r="U6299">
        <v>-2.93927</v>
      </c>
      <c r="V6299">
        <v>0.1688317</v>
      </c>
      <c r="W6299">
        <v>2.343518E-2</v>
      </c>
      <c r="X6299">
        <v>0.98536619999999997</v>
      </c>
      <c r="Y6299">
        <v>0.2376809</v>
      </c>
      <c r="Z6299">
        <v>6.1866459999999998E-2</v>
      </c>
      <c r="AA6299">
        <v>0.96937110000000004</v>
      </c>
      <c r="AB6299">
        <v>12</v>
      </c>
      <c r="AC6299">
        <v>-3.8659000000000101</v>
      </c>
      <c r="AD6299">
        <v>-1.1099154366799999</v>
      </c>
      <c r="AE6299">
        <v>-17.353199999999902</v>
      </c>
      <c r="AF6299">
        <v>4.2341236183501998</v>
      </c>
      <c r="AG6299">
        <v>-1.1099154366799999</v>
      </c>
      <c r="AH6299">
        <v>17.1959714838125</v>
      </c>
      <c r="AI6299">
        <v>93.586217228261006</v>
      </c>
      <c r="AJ6299">
        <v>76.167362123190898</v>
      </c>
      <c r="AK6299">
        <v>17.744327272797399</v>
      </c>
      <c r="AL6299">
        <v>88.657140088549895</v>
      </c>
      <c r="AM6299">
        <v>80.277404776919894</v>
      </c>
      <c r="AN6299">
        <v>0.999999949344479</v>
      </c>
    </row>
    <row r="6300" spans="1:40" x14ac:dyDescent="0.25">
      <c r="A6300" t="str">
        <f>"20190312150817633"</f>
        <v>20190312150817633</v>
      </c>
      <c r="B6300" t="str">
        <f>"1552374497626031"</f>
        <v>1552374497626031</v>
      </c>
      <c r="C6300" t="s">
        <v>40</v>
      </c>
      <c r="D6300">
        <v>4.452242</v>
      </c>
      <c r="E6300">
        <v>0.52659899999999904</v>
      </c>
      <c r="F6300" t="s">
        <v>77</v>
      </c>
      <c r="G6300">
        <v>-195.91159999999999</v>
      </c>
      <c r="H6300" s="1">
        <v>-1.4420580000000001E-5</v>
      </c>
      <c r="I6300">
        <v>157.40289999999999</v>
      </c>
      <c r="J6300">
        <v>-192.02930000000001</v>
      </c>
      <c r="K6300">
        <v>1.1098969999999999</v>
      </c>
      <c r="L6300">
        <v>174.73990000000001</v>
      </c>
      <c r="M6300">
        <v>2.1944539999999998E-2</v>
      </c>
      <c r="N6300">
        <v>0</v>
      </c>
      <c r="O6300">
        <v>-0.99971370000000004</v>
      </c>
      <c r="P6300">
        <v>-0.14833150000000001</v>
      </c>
      <c r="Q6300">
        <v>1.463015E-2</v>
      </c>
      <c r="R6300">
        <v>-0.98882990000000004</v>
      </c>
      <c r="S6300">
        <v>-0.65478519999999996</v>
      </c>
      <c r="T6300">
        <v>-0.18726580000000001</v>
      </c>
      <c r="U6300">
        <v>-2.9386290000000002</v>
      </c>
      <c r="V6300">
        <v>0.17001079999999999</v>
      </c>
      <c r="W6300">
        <v>2.3940489999999998E-2</v>
      </c>
      <c r="X6300">
        <v>0.98515140000000001</v>
      </c>
      <c r="Y6300">
        <v>0.2384365</v>
      </c>
      <c r="Z6300">
        <v>6.1900320000000002E-2</v>
      </c>
      <c r="AA6300">
        <v>0.96918340000000003</v>
      </c>
      <c r="AB6300">
        <v>12</v>
      </c>
      <c r="AC6300">
        <v>-3.8822999999999799</v>
      </c>
      <c r="AD6300">
        <v>-1.10991142057999</v>
      </c>
      <c r="AE6300">
        <v>-17.337</v>
      </c>
      <c r="AF6300">
        <v>4.2452662683523998</v>
      </c>
      <c r="AG6300">
        <v>-1.10991142057999</v>
      </c>
      <c r="AH6300">
        <v>17.180572717552</v>
      </c>
      <c r="AI6300">
        <v>93.588686660343001</v>
      </c>
      <c r="AJ6300">
        <v>76.120414065271504</v>
      </c>
      <c r="AK6300">
        <v>17.732068913520401</v>
      </c>
      <c r="AL6300">
        <v>88.628179968467904</v>
      </c>
      <c r="AM6300">
        <v>80.208719550217594</v>
      </c>
      <c r="AN6300">
        <v>1.0000000500500099</v>
      </c>
    </row>
    <row r="6301" spans="1:40" x14ac:dyDescent="0.25">
      <c r="A6301" t="str">
        <f>"20190312150817646"</f>
        <v>20190312150817646</v>
      </c>
      <c r="B6301" t="str">
        <f>"1552374497636764"</f>
        <v>1552374497636764</v>
      </c>
      <c r="C6301" t="s">
        <v>40</v>
      </c>
      <c r="D6301">
        <v>4.436966</v>
      </c>
      <c r="E6301">
        <v>0.52659650000000002</v>
      </c>
      <c r="F6301" t="s">
        <v>77</v>
      </c>
      <c r="G6301">
        <v>-195.9675</v>
      </c>
      <c r="H6301" s="1">
        <v>-1.43678E-5</v>
      </c>
      <c r="I6301">
        <v>157.19319999999999</v>
      </c>
      <c r="J6301">
        <v>-192.02799999999999</v>
      </c>
      <c r="K6301">
        <v>1.1098920000000001</v>
      </c>
      <c r="L6301">
        <v>174.66720000000001</v>
      </c>
      <c r="M6301">
        <v>2.1682949999999999E-2</v>
      </c>
      <c r="N6301">
        <v>0</v>
      </c>
      <c r="O6301">
        <v>-0.99971960000000004</v>
      </c>
      <c r="P6301">
        <v>-0.14932989999999999</v>
      </c>
      <c r="Q6301">
        <v>1.513435E-2</v>
      </c>
      <c r="R6301">
        <v>-0.98867139999999998</v>
      </c>
      <c r="S6301">
        <v>-0.65934749999999998</v>
      </c>
      <c r="T6301">
        <v>-0.1858244</v>
      </c>
      <c r="U6301">
        <v>-2.937729</v>
      </c>
      <c r="V6301">
        <v>0.17074819999999999</v>
      </c>
      <c r="W6301">
        <v>2.438763E-2</v>
      </c>
      <c r="X6301">
        <v>0.98501280000000002</v>
      </c>
      <c r="Y6301">
        <v>0.23968510000000001</v>
      </c>
      <c r="Z6301">
        <v>6.1424739999999999E-2</v>
      </c>
      <c r="AA6301">
        <v>0.96890560000000003</v>
      </c>
      <c r="AB6301">
        <v>12</v>
      </c>
      <c r="AC6301">
        <v>-3.9394999999999998</v>
      </c>
      <c r="AD6301">
        <v>-1.1099063678000001</v>
      </c>
      <c r="AE6301">
        <v>-17.474</v>
      </c>
      <c r="AF6301">
        <v>4.3009658829031601</v>
      </c>
      <c r="AG6301">
        <v>-1.1099063678000001</v>
      </c>
      <c r="AH6301">
        <v>17.317977973956499</v>
      </c>
      <c r="AI6301">
        <v>93.559229803432203</v>
      </c>
      <c r="AJ6301">
        <v>76.052624480182999</v>
      </c>
      <c r="AK6301">
        <v>17.878550298545498</v>
      </c>
      <c r="AL6301">
        <v>88.602553126309303</v>
      </c>
      <c r="AM6301">
        <v>80.165721793253297</v>
      </c>
      <c r="AN6301">
        <v>0.99999996023204696</v>
      </c>
    </row>
    <row r="6302" spans="1:40" x14ac:dyDescent="0.25">
      <c r="A6302" t="str">
        <f>"20190312150817658"</f>
        <v>20190312150817658</v>
      </c>
      <c r="B6302" t="str">
        <f>"1552374497646523"</f>
        <v>1552374497646523</v>
      </c>
      <c r="C6302" t="s">
        <v>40</v>
      </c>
      <c r="D6302">
        <v>4.4457430000000002</v>
      </c>
      <c r="E6302">
        <v>0.52657200000000004</v>
      </c>
      <c r="F6302" t="s">
        <v>77</v>
      </c>
      <c r="G6302">
        <v>-196.02099999999999</v>
      </c>
      <c r="H6302" s="1">
        <v>-1.4307759999999999E-5</v>
      </c>
      <c r="I6302">
        <v>156.9545</v>
      </c>
      <c r="J6302">
        <v>-192.02680000000001</v>
      </c>
      <c r="K6302">
        <v>1.1098870000000001</v>
      </c>
      <c r="L6302">
        <v>174.59809999999999</v>
      </c>
      <c r="M6302">
        <v>2.1424060000000002E-2</v>
      </c>
      <c r="N6302">
        <v>0</v>
      </c>
      <c r="O6302">
        <v>-0.99972609999999995</v>
      </c>
      <c r="P6302">
        <v>-0.15020649999999999</v>
      </c>
      <c r="Q6302">
        <v>1.5821020000000002E-2</v>
      </c>
      <c r="R6302">
        <v>-0.98852850000000003</v>
      </c>
      <c r="S6302">
        <v>-0.6621399</v>
      </c>
      <c r="T6302">
        <v>-0.18404899999999999</v>
      </c>
      <c r="U6302">
        <v>-2.9371800000000001</v>
      </c>
      <c r="V6302">
        <v>0.17136680000000001</v>
      </c>
      <c r="W6302">
        <v>2.5025439999999999E-2</v>
      </c>
      <c r="X6302">
        <v>0.98488940000000003</v>
      </c>
      <c r="Y6302">
        <v>0.24035709999999999</v>
      </c>
      <c r="Z6302">
        <v>6.0840320000000003E-2</v>
      </c>
      <c r="AA6302">
        <v>0.96877599999999997</v>
      </c>
      <c r="AB6302">
        <v>13</v>
      </c>
      <c r="AC6302">
        <v>-3.99419999999997</v>
      </c>
      <c r="AD6302">
        <v>-1.10990130776</v>
      </c>
      <c r="AE6302">
        <v>-17.6435999999999</v>
      </c>
      <c r="AF6302">
        <v>4.35490414493714</v>
      </c>
      <c r="AG6302">
        <v>-1.10990130776</v>
      </c>
      <c r="AH6302">
        <v>17.488142977960699</v>
      </c>
      <c r="AI6302">
        <v>93.524119343575805</v>
      </c>
      <c r="AJ6302">
        <v>76.016594718728498</v>
      </c>
      <c r="AK6302">
        <v>18.0563621984649</v>
      </c>
      <c r="AL6302">
        <v>88.565998189447498</v>
      </c>
      <c r="AM6302">
        <v>80.129580508126594</v>
      </c>
      <c r="AN6302">
        <v>0.99999999151089602</v>
      </c>
    </row>
    <row r="6303" spans="1:40" x14ac:dyDescent="0.25">
      <c r="A6303" t="str">
        <f>"20190312150817670"</f>
        <v>20190312150817670</v>
      </c>
      <c r="B6303" t="str">
        <f>"1552374497666044"</f>
        <v>1552374497666044</v>
      </c>
      <c r="C6303" t="s">
        <v>40</v>
      </c>
      <c r="D6303">
        <v>4.4280150000000003</v>
      </c>
      <c r="E6303">
        <v>0.5266246</v>
      </c>
      <c r="F6303" t="s">
        <v>77</v>
      </c>
      <c r="G6303">
        <v>-196.09030000000001</v>
      </c>
      <c r="H6303" s="1">
        <v>-1.4230479999999901E-5</v>
      </c>
      <c r="I6303">
        <v>156.6474</v>
      </c>
      <c r="J6303">
        <v>-192.0257</v>
      </c>
      <c r="K6303">
        <v>1.109885</v>
      </c>
      <c r="L6303">
        <v>174.53110000000001</v>
      </c>
      <c r="M6303">
        <v>2.1168869999999999E-2</v>
      </c>
      <c r="N6303">
        <v>0</v>
      </c>
      <c r="O6303">
        <v>-0.9997315</v>
      </c>
      <c r="P6303">
        <v>-0.15072289999999999</v>
      </c>
      <c r="Q6303">
        <v>1.6160750000000002E-2</v>
      </c>
      <c r="R6303">
        <v>-0.98844390000000004</v>
      </c>
      <c r="S6303">
        <v>-0.66477969999999997</v>
      </c>
      <c r="T6303">
        <v>-0.1815795</v>
      </c>
      <c r="U6303">
        <v>-2.9367220000000001</v>
      </c>
      <c r="V6303">
        <v>0.17163010000000001</v>
      </c>
      <c r="W6303">
        <v>2.5321940000000001E-2</v>
      </c>
      <c r="X6303">
        <v>0.98483600000000004</v>
      </c>
      <c r="Y6303">
        <v>0.2409811</v>
      </c>
      <c r="Z6303">
        <v>6.0026080000000002E-2</v>
      </c>
      <c r="AA6303">
        <v>0.96867170000000002</v>
      </c>
      <c r="AB6303">
        <v>13</v>
      </c>
      <c r="AC6303">
        <v>-4.0646000000000102</v>
      </c>
      <c r="AD6303">
        <v>-1.1098992304799999</v>
      </c>
      <c r="AE6303">
        <v>-17.883700000000001</v>
      </c>
      <c r="AF6303">
        <v>4.4260731020053399</v>
      </c>
      <c r="AG6303">
        <v>-1.1098992304799999</v>
      </c>
      <c r="AH6303">
        <v>17.728713789166299</v>
      </c>
      <c r="AI6303">
        <v>93.475893108954395</v>
      </c>
      <c r="AJ6303">
        <v>75.982328668796796</v>
      </c>
      <c r="AK6303">
        <v>18.3065368659474</v>
      </c>
      <c r="AL6303">
        <v>88.549004645671999</v>
      </c>
      <c r="AM6303">
        <v>80.114188420082897</v>
      </c>
      <c r="AN6303">
        <v>1.00000001938368</v>
      </c>
    </row>
    <row r="6304" spans="1:40" x14ac:dyDescent="0.25">
      <c r="A6304" t="str">
        <f>"20190312150817682"</f>
        <v>20190312150817682</v>
      </c>
      <c r="B6304" t="str">
        <f>"1552374497676780"</f>
        <v>1552374497676780</v>
      </c>
      <c r="C6304" t="s">
        <v>40</v>
      </c>
      <c r="D6304">
        <v>4.4212689999999997</v>
      </c>
      <c r="E6304">
        <v>0.52664230000000001</v>
      </c>
      <c r="F6304" t="s">
        <v>77</v>
      </c>
      <c r="G6304">
        <v>-196.12039999999999</v>
      </c>
      <c r="H6304" s="1">
        <v>-1.4184540000000001E-5</v>
      </c>
      <c r="I6304">
        <v>156.4939</v>
      </c>
      <c r="J6304">
        <v>-192.02449999999999</v>
      </c>
      <c r="K6304">
        <v>1.1098859999999999</v>
      </c>
      <c r="L6304">
        <v>174.4615</v>
      </c>
      <c r="M6304">
        <v>2.089937E-2</v>
      </c>
      <c r="N6304">
        <v>0</v>
      </c>
      <c r="O6304">
        <v>-0.99973800000000002</v>
      </c>
      <c r="P6304">
        <v>-0.1514954</v>
      </c>
      <c r="Q6304">
        <v>1.6778060000000001E-2</v>
      </c>
      <c r="R6304">
        <v>-0.98831590000000002</v>
      </c>
      <c r="S6304">
        <v>-0.66659550000000001</v>
      </c>
      <c r="T6304">
        <v>-0.18068600000000001</v>
      </c>
      <c r="U6304">
        <v>-2.9363709999999998</v>
      </c>
      <c r="V6304">
        <v>0.1721345</v>
      </c>
      <c r="W6304">
        <v>2.5896349999999999E-2</v>
      </c>
      <c r="X6304">
        <v>0.98473299999999997</v>
      </c>
      <c r="Y6304">
        <v>0.241318</v>
      </c>
      <c r="Z6304">
        <v>5.9732710000000001E-2</v>
      </c>
      <c r="AA6304">
        <v>0.96860599999999997</v>
      </c>
      <c r="AB6304">
        <v>13</v>
      </c>
      <c r="AC6304">
        <v>-4.0959000000000003</v>
      </c>
      <c r="AD6304">
        <v>-1.1099001845400001</v>
      </c>
      <c r="AE6304">
        <v>-17.967600000000001</v>
      </c>
      <c r="AF6304">
        <v>4.4543757446776704</v>
      </c>
      <c r="AG6304">
        <v>-1.1099001845400001</v>
      </c>
      <c r="AH6304">
        <v>17.813454666963299</v>
      </c>
      <c r="AI6304">
        <v>93.459075473724397</v>
      </c>
      <c r="AJ6304">
        <v>75.960692779479004</v>
      </c>
      <c r="AK6304">
        <v>18.395448047448401</v>
      </c>
      <c r="AL6304">
        <v>88.516082542328306</v>
      </c>
      <c r="AM6304">
        <v>80.084694452968094</v>
      </c>
      <c r="AN6304">
        <v>0.99999999416128604</v>
      </c>
    </row>
    <row r="6305" spans="1:40" x14ac:dyDescent="0.25">
      <c r="A6305" t="str">
        <f>"20190312150817694"</f>
        <v>20190312150817694</v>
      </c>
      <c r="B6305" t="str">
        <f>"1552374497686541"</f>
        <v>1552374497686541</v>
      </c>
      <c r="C6305" t="s">
        <v>40</v>
      </c>
      <c r="D6305">
        <v>4.4265730000000003</v>
      </c>
      <c r="E6305">
        <v>0.52665519999999999</v>
      </c>
      <c r="F6305" t="s">
        <v>77</v>
      </c>
      <c r="G6305">
        <v>-196.16929999999999</v>
      </c>
      <c r="H6305" s="1">
        <v>-1.409536E-5</v>
      </c>
      <c r="I6305">
        <v>156.2758</v>
      </c>
      <c r="J6305">
        <v>-192.02350000000001</v>
      </c>
      <c r="K6305">
        <v>1.10989</v>
      </c>
      <c r="L6305">
        <v>174.39750000000001</v>
      </c>
      <c r="M6305">
        <v>2.0646600000000001E-2</v>
      </c>
      <c r="N6305">
        <v>0</v>
      </c>
      <c r="O6305">
        <v>-0.99974350000000001</v>
      </c>
      <c r="P6305">
        <v>-0.15205239999999901</v>
      </c>
      <c r="Q6305">
        <v>1.79092E-2</v>
      </c>
      <c r="R6305">
        <v>-0.98821040000000004</v>
      </c>
      <c r="S6305">
        <v>-0.66914370000000001</v>
      </c>
      <c r="T6305">
        <v>-0.17918519999999999</v>
      </c>
      <c r="U6305">
        <v>-2.9359440000000001</v>
      </c>
      <c r="V6305">
        <v>0.17244079999999901</v>
      </c>
      <c r="W6305">
        <v>2.6992680000000002E-2</v>
      </c>
      <c r="X6305">
        <v>0.98465000000000003</v>
      </c>
      <c r="Y6305">
        <v>0.24190900000000001</v>
      </c>
      <c r="Z6305">
        <v>5.9237159999999997E-2</v>
      </c>
      <c r="AA6305">
        <v>0.96848909999999999</v>
      </c>
      <c r="AB6305">
        <v>13</v>
      </c>
      <c r="AC6305">
        <v>-4.1457999999999799</v>
      </c>
      <c r="AD6305">
        <v>-1.1099040953599999</v>
      </c>
      <c r="AE6305">
        <v>-18.121700000000001</v>
      </c>
      <c r="AF6305">
        <v>4.50303212870715</v>
      </c>
      <c r="AG6305">
        <v>-1.1099040953599999</v>
      </c>
      <c r="AH6305">
        <v>17.968185979780898</v>
      </c>
      <c r="AI6305">
        <v>93.428924504998093</v>
      </c>
      <c r="AJ6305">
        <v>75.930791609793005</v>
      </c>
      <c r="AK6305">
        <v>18.5570712359753</v>
      </c>
      <c r="AL6305">
        <v>88.453245534598395</v>
      </c>
      <c r="AM6305">
        <v>80.066581420750794</v>
      </c>
      <c r="AN6305">
        <v>1.00000002838911</v>
      </c>
    </row>
    <row r="6306" spans="1:40" x14ac:dyDescent="0.25">
      <c r="A6306" t="str">
        <f>"20190312150817706"</f>
        <v>20190312150817706</v>
      </c>
      <c r="B6306" t="str">
        <f>"1552374497696300"</f>
        <v>1552374497696300</v>
      </c>
      <c r="C6306" t="s">
        <v>40</v>
      </c>
      <c r="D6306">
        <v>4.4564159999999999</v>
      </c>
      <c r="E6306">
        <v>0.52666000000000002</v>
      </c>
      <c r="F6306" t="s">
        <v>77</v>
      </c>
      <c r="G6306">
        <v>-196.25370000000001</v>
      </c>
      <c r="H6306" s="1">
        <v>-1.393636E-5</v>
      </c>
      <c r="I6306">
        <v>155.8878</v>
      </c>
      <c r="J6306">
        <v>-192.0224</v>
      </c>
      <c r="K6306">
        <v>1.109891</v>
      </c>
      <c r="L6306">
        <v>174.32919999999999</v>
      </c>
      <c r="M6306">
        <v>2.0376169999999999E-2</v>
      </c>
      <c r="N6306">
        <v>0</v>
      </c>
      <c r="O6306">
        <v>-0.99974940000000001</v>
      </c>
      <c r="P6306">
        <v>-0.1528204</v>
      </c>
      <c r="Q6306">
        <v>1.8669649999999999E-2</v>
      </c>
      <c r="R6306">
        <v>-0.98807809999999996</v>
      </c>
      <c r="S6306">
        <v>-0.67094419999999899</v>
      </c>
      <c r="T6306">
        <v>-0.17603769999999999</v>
      </c>
      <c r="U6306">
        <v>-2.9357600000000001</v>
      </c>
      <c r="V6306">
        <v>0.1729397</v>
      </c>
      <c r="W6306">
        <v>2.7717680000000001E-2</v>
      </c>
      <c r="X6306">
        <v>0.98454229999999998</v>
      </c>
      <c r="Y6306">
        <v>0.2422378</v>
      </c>
      <c r="Z6306">
        <v>5.8197989999999998E-2</v>
      </c>
      <c r="AA6306">
        <v>0.96846989999999999</v>
      </c>
      <c r="AB6306">
        <v>13</v>
      </c>
      <c r="AC6306">
        <v>-4.2313000000000001</v>
      </c>
      <c r="AD6306">
        <v>-1.10990493636</v>
      </c>
      <c r="AE6306">
        <v>-18.441399999999899</v>
      </c>
      <c r="AF6306">
        <v>4.5904064821302004</v>
      </c>
      <c r="AG6306">
        <v>-1.10990493636</v>
      </c>
      <c r="AH6306">
        <v>18.288416640952899</v>
      </c>
      <c r="AI6306">
        <v>93.368717212316199</v>
      </c>
      <c r="AJ6306">
        <v>75.909802811942598</v>
      </c>
      <c r="AK6306">
        <v>18.888353657003101</v>
      </c>
      <c r="AL6306">
        <v>88.411690459154698</v>
      </c>
      <c r="AM6306">
        <v>80.037349364480207</v>
      </c>
      <c r="AN6306">
        <v>0.99999997505497995</v>
      </c>
    </row>
    <row r="6307" spans="1:40" x14ac:dyDescent="0.25">
      <c r="A6307" t="str">
        <f>"20190312150817716"</f>
        <v>20190312150817716</v>
      </c>
      <c r="B6307" t="str">
        <f>"1552374497706060"</f>
        <v>1552374497706060</v>
      </c>
      <c r="C6307" t="s">
        <v>40</v>
      </c>
      <c r="D6307">
        <v>4.4500640000000002</v>
      </c>
      <c r="E6307">
        <v>0.52665249999999997</v>
      </c>
      <c r="F6307" t="s">
        <v>77</v>
      </c>
      <c r="G6307">
        <v>-196.30719999999999</v>
      </c>
      <c r="H6307" s="1">
        <v>-1.3835299999999999E-5</v>
      </c>
      <c r="I6307">
        <v>155.64109999999999</v>
      </c>
      <c r="J6307">
        <v>-192.0213</v>
      </c>
      <c r="K6307">
        <v>1.109899</v>
      </c>
      <c r="L6307">
        <v>174.2638</v>
      </c>
      <c r="M6307">
        <v>2.0114549999999998E-2</v>
      </c>
      <c r="N6307">
        <v>0</v>
      </c>
      <c r="O6307">
        <v>-0.9997547</v>
      </c>
      <c r="P6307">
        <v>-0.15360460000000001</v>
      </c>
      <c r="Q6307">
        <v>1.9291909999999999E-2</v>
      </c>
      <c r="R6307">
        <v>-0.98794389999999999</v>
      </c>
      <c r="S6307">
        <v>-0.67303469999999999</v>
      </c>
      <c r="T6307">
        <v>-0.17433580000000001</v>
      </c>
      <c r="U6307">
        <v>-2.9353940000000001</v>
      </c>
      <c r="V6307">
        <v>0.17346349999999999</v>
      </c>
      <c r="W6307">
        <v>2.83092E-2</v>
      </c>
      <c r="X6307">
        <v>0.98443340000000001</v>
      </c>
      <c r="Y6307">
        <v>0.24267279999999999</v>
      </c>
      <c r="Z6307">
        <v>5.7637069999999999E-2</v>
      </c>
      <c r="AA6307">
        <v>0.96839450000000005</v>
      </c>
      <c r="AB6307">
        <v>13</v>
      </c>
      <c r="AC6307">
        <v>-4.2858999999999901</v>
      </c>
      <c r="AD6307">
        <v>-1.1099128353000001</v>
      </c>
      <c r="AE6307">
        <v>-18.622699999999998</v>
      </c>
      <c r="AF6307">
        <v>4.6439698037430999</v>
      </c>
      <c r="AG6307">
        <v>-1.1099128353000001</v>
      </c>
      <c r="AH6307">
        <v>18.470409772062101</v>
      </c>
      <c r="AI6307">
        <v>93.335287861646293</v>
      </c>
      <c r="AJ6307">
        <v>75.886801378234495</v>
      </c>
      <c r="AK6307">
        <v>19.077588924912</v>
      </c>
      <c r="AL6307">
        <v>88.377785686543504</v>
      </c>
      <c r="AM6307">
        <v>80.006698628943894</v>
      </c>
      <c r="AN6307">
        <v>1.00000005783622</v>
      </c>
    </row>
    <row r="6308" spans="1:40" x14ac:dyDescent="0.25">
      <c r="A6308" t="str">
        <f>"20190312150817734"</f>
        <v>20190312150817734</v>
      </c>
      <c r="B6308" t="str">
        <f>"1552374497726555"</f>
        <v>1552374497726555</v>
      </c>
      <c r="C6308" t="s">
        <v>40</v>
      </c>
      <c r="D6308">
        <v>4.5302619999999996</v>
      </c>
      <c r="E6308">
        <v>0.52664299999999997</v>
      </c>
      <c r="F6308" t="s">
        <v>77</v>
      </c>
      <c r="G6308">
        <v>-196.3477</v>
      </c>
      <c r="H6308" s="1">
        <v>-1.376251E-5</v>
      </c>
      <c r="I6308">
        <v>155.4631</v>
      </c>
      <c r="J6308">
        <v>-192.01990000000001</v>
      </c>
      <c r="K6308">
        <v>1.1099079999999999</v>
      </c>
      <c r="L6308">
        <v>174.16890000000001</v>
      </c>
      <c r="M6308">
        <v>1.9734560000000002E-2</v>
      </c>
      <c r="N6308">
        <v>0</v>
      </c>
      <c r="O6308">
        <v>-0.99976279999999995</v>
      </c>
      <c r="P6308">
        <v>-0.15508159999999999</v>
      </c>
      <c r="Q6308">
        <v>1.9970310000000002E-2</v>
      </c>
      <c r="R6308">
        <v>-0.98770000000000002</v>
      </c>
      <c r="S6308">
        <v>-0.67538450000000005</v>
      </c>
      <c r="T6308">
        <v>-0.1732696</v>
      </c>
      <c r="U6308">
        <v>-2.9349980000000002</v>
      </c>
      <c r="V6308">
        <v>0.1745611</v>
      </c>
      <c r="W6308">
        <v>2.894648E-2</v>
      </c>
      <c r="X6308">
        <v>0.98422080000000001</v>
      </c>
      <c r="Y6308">
        <v>0.2430736</v>
      </c>
      <c r="Z6308">
        <v>5.7285990000000002E-2</v>
      </c>
      <c r="AA6308">
        <v>0.96831480000000003</v>
      </c>
      <c r="AB6308">
        <v>13</v>
      </c>
      <c r="AC6308">
        <v>-4.3277999999999901</v>
      </c>
      <c r="AD6308">
        <v>-1.10992176251</v>
      </c>
      <c r="AE6308">
        <v>-18.7058</v>
      </c>
      <c r="AF6308">
        <v>4.6804820754387801</v>
      </c>
      <c r="AG6308">
        <v>-1.10992176251</v>
      </c>
      <c r="AH6308">
        <v>18.554738944361301</v>
      </c>
      <c r="AI6308">
        <v>93.319542737013904</v>
      </c>
      <c r="AJ6308">
        <v>75.8423459050628</v>
      </c>
      <c r="AK6308">
        <v>19.1681291750341</v>
      </c>
      <c r="AL6308">
        <v>88.341257215498004</v>
      </c>
      <c r="AM6308">
        <v>79.942624231447596</v>
      </c>
      <c r="AN6308">
        <v>1.0000000297451199</v>
      </c>
    </row>
    <row r="6309" spans="1:40" x14ac:dyDescent="0.25">
      <c r="A6309" t="str">
        <f>"20190312150817746"</f>
        <v>20190312150817746</v>
      </c>
      <c r="B6309" t="str">
        <f>"1552374497736316"</f>
        <v>1552374497736316</v>
      </c>
      <c r="C6309" t="s">
        <v>40</v>
      </c>
      <c r="D6309">
        <v>4.4709960000000004</v>
      </c>
      <c r="E6309">
        <v>0.52663709999999997</v>
      </c>
      <c r="F6309" t="s">
        <v>77</v>
      </c>
      <c r="G6309">
        <v>-196.4126</v>
      </c>
      <c r="H6309" s="1">
        <v>-1.365342E-5</v>
      </c>
      <c r="I6309">
        <v>155.19540000000001</v>
      </c>
      <c r="J6309">
        <v>-192.0189</v>
      </c>
      <c r="K6309">
        <v>1.109909</v>
      </c>
      <c r="L6309">
        <v>174.10249999999999</v>
      </c>
      <c r="M6309">
        <v>1.946823E-2</v>
      </c>
      <c r="N6309">
        <v>0</v>
      </c>
      <c r="O6309">
        <v>-0.99976849999999995</v>
      </c>
      <c r="P6309">
        <v>-0.15574279999999999</v>
      </c>
      <c r="Q6309">
        <v>2.000335E-2</v>
      </c>
      <c r="R6309">
        <v>-0.98759569999999997</v>
      </c>
      <c r="S6309">
        <v>-0.67930599999999997</v>
      </c>
      <c r="T6309">
        <v>-0.1716442</v>
      </c>
      <c r="U6309">
        <v>-2.9341740000000001</v>
      </c>
      <c r="V6309">
        <v>0.17495759999999999</v>
      </c>
      <c r="W6309">
        <v>2.8953619999999999E-2</v>
      </c>
      <c r="X6309">
        <v>0.98415019999999998</v>
      </c>
      <c r="Y6309">
        <v>0.2441101</v>
      </c>
      <c r="Z6309">
        <v>5.6750420000000003E-2</v>
      </c>
      <c r="AA6309">
        <v>0.96808550000000004</v>
      </c>
      <c r="AB6309">
        <v>13</v>
      </c>
      <c r="AC6309">
        <v>-4.3936999999999902</v>
      </c>
      <c r="AD6309">
        <v>-1.10992265342</v>
      </c>
      <c r="AE6309">
        <v>-18.9070999999999</v>
      </c>
      <c r="AF6309">
        <v>4.74545471886809</v>
      </c>
      <c r="AG6309">
        <v>-1.10992265342</v>
      </c>
      <c r="AH6309">
        <v>18.7566485353201</v>
      </c>
      <c r="AI6309">
        <v>93.28330771489</v>
      </c>
      <c r="AJ6309">
        <v>75.8020297608156</v>
      </c>
      <c r="AK6309">
        <v>19.379451309645699</v>
      </c>
      <c r="AL6309">
        <v>88.340847977479996</v>
      </c>
      <c r="AM6309">
        <v>79.919539462874198</v>
      </c>
      <c r="AN6309">
        <v>1.0000000450344499</v>
      </c>
    </row>
    <row r="6310" spans="1:40" x14ac:dyDescent="0.25">
      <c r="A6310" t="str">
        <f>"20190312150817758"</f>
        <v>20190312150817758</v>
      </c>
      <c r="B6310" t="str">
        <f>"1552374497746076"</f>
        <v>1552374497746076</v>
      </c>
      <c r="C6310" t="s">
        <v>40</v>
      </c>
      <c r="D6310">
        <v>4.7614989999999997</v>
      </c>
      <c r="E6310">
        <v>0.5266324</v>
      </c>
      <c r="F6310" t="s">
        <v>77</v>
      </c>
      <c r="G6310">
        <v>-196.4127</v>
      </c>
      <c r="H6310" s="1">
        <v>-1.36479E-5</v>
      </c>
      <c r="I6310">
        <v>155.1825</v>
      </c>
      <c r="J6310">
        <v>-192.01779999999999</v>
      </c>
      <c r="K6310">
        <v>1.1099049999999999</v>
      </c>
      <c r="L6310">
        <v>174.0273</v>
      </c>
      <c r="M6310">
        <v>1.916781E-2</v>
      </c>
      <c r="N6310">
        <v>0</v>
      </c>
      <c r="O6310">
        <v>-0.99977450000000001</v>
      </c>
      <c r="P6310">
        <v>-0.15673280000000001</v>
      </c>
      <c r="Q6310">
        <v>1.9915820000000001E-2</v>
      </c>
      <c r="R6310">
        <v>-0.98744069999999995</v>
      </c>
      <c r="S6310">
        <v>-0.68130489999999999</v>
      </c>
      <c r="T6310">
        <v>-0.17210510000000001</v>
      </c>
      <c r="U6310">
        <v>-2.9337460000000002</v>
      </c>
      <c r="V6310">
        <v>0.1756481</v>
      </c>
      <c r="W6310">
        <v>2.8839710000000001E-2</v>
      </c>
      <c r="X6310">
        <v>0.98403050000000003</v>
      </c>
      <c r="Y6310">
        <v>0.24447369999999999</v>
      </c>
      <c r="Z6310">
        <v>5.6903889999999999E-2</v>
      </c>
      <c r="AA6310">
        <v>0.96798479999999998</v>
      </c>
      <c r="AB6310">
        <v>13</v>
      </c>
      <c r="AC6310">
        <v>-4.3948999999999998</v>
      </c>
      <c r="AD6310">
        <v>-1.1099186478999901</v>
      </c>
      <c r="AE6310">
        <v>-18.8447999999999</v>
      </c>
      <c r="AF6310">
        <v>4.7397273554406398</v>
      </c>
      <c r="AG6310">
        <v>-1.1099186478999901</v>
      </c>
      <c r="AH6310">
        <v>18.695584634465099</v>
      </c>
      <c r="AI6310">
        <v>93.293589541507401</v>
      </c>
      <c r="AJ6310">
        <v>75.774031282360397</v>
      </c>
      <c r="AK6310">
        <v>19.318949754925001</v>
      </c>
      <c r="AL6310">
        <v>88.3473771988956</v>
      </c>
      <c r="AM6310">
        <v>79.879370332671897</v>
      </c>
      <c r="AN6310">
        <v>1.0000000044183699</v>
      </c>
    </row>
    <row r="6311" spans="1:40" x14ac:dyDescent="0.25">
      <c r="A6311" t="str">
        <f>"20190312150817771"</f>
        <v>20190312150817771</v>
      </c>
      <c r="B6311" t="str">
        <f>"1552374497766572"</f>
        <v>1552374497766572</v>
      </c>
      <c r="C6311" t="s">
        <v>40</v>
      </c>
      <c r="D6311">
        <v>4.4885229999999998</v>
      </c>
      <c r="E6311">
        <v>0.52660119999999999</v>
      </c>
      <c r="F6311" t="s">
        <v>77</v>
      </c>
      <c r="G6311">
        <v>-196.42830000000001</v>
      </c>
      <c r="H6311" s="1">
        <v>-1.362271E-5</v>
      </c>
      <c r="I6311">
        <v>155.12049999999999</v>
      </c>
      <c r="J6311">
        <v>-192.01669999999999</v>
      </c>
      <c r="K6311">
        <v>1.1099049999999999</v>
      </c>
      <c r="L6311">
        <v>173.95480000000001</v>
      </c>
      <c r="M6311">
        <v>1.887925E-2</v>
      </c>
      <c r="N6311">
        <v>0</v>
      </c>
      <c r="O6311">
        <v>-0.99978009999999995</v>
      </c>
      <c r="P6311">
        <v>-0.15733759999999999</v>
      </c>
      <c r="Q6311">
        <v>1.9533330000000002E-2</v>
      </c>
      <c r="R6311">
        <v>-0.98735209999999995</v>
      </c>
      <c r="S6311">
        <v>-0.68420409999999998</v>
      </c>
      <c r="T6311">
        <v>-0.1721821</v>
      </c>
      <c r="U6311">
        <v>-2.933014</v>
      </c>
      <c r="V6311">
        <v>0.1759664</v>
      </c>
      <c r="W6311">
        <v>2.8434560000000001E-2</v>
      </c>
      <c r="X6311">
        <v>0.98398540000000001</v>
      </c>
      <c r="Y6311">
        <v>0.24515429999999999</v>
      </c>
      <c r="Z6311">
        <v>5.6932290000000003E-2</v>
      </c>
      <c r="AA6311">
        <v>0.96781099999999998</v>
      </c>
      <c r="AB6311">
        <v>13</v>
      </c>
      <c r="AC6311">
        <v>-4.4116000000000204</v>
      </c>
      <c r="AD6311">
        <v>-1.10991862271</v>
      </c>
      <c r="AE6311">
        <v>-18.834299999999999</v>
      </c>
      <c r="AF6311">
        <v>4.7507654515951003</v>
      </c>
      <c r="AG6311">
        <v>-1.10991862271</v>
      </c>
      <c r="AH6311">
        <v>18.686133200033801</v>
      </c>
      <c r="AI6311">
        <v>93.294687938824595</v>
      </c>
      <c r="AJ6311">
        <v>75.735333270009704</v>
      </c>
      <c r="AK6311">
        <v>19.312515778492202</v>
      </c>
      <c r="AL6311">
        <v>88.370600073081107</v>
      </c>
      <c r="AM6311">
        <v>79.860955340929493</v>
      </c>
      <c r="AN6311">
        <v>0.99999998277225599</v>
      </c>
    </row>
    <row r="6312" spans="1:40" x14ac:dyDescent="0.25">
      <c r="A6312" t="str">
        <f>"20190312150817785"</f>
        <v>20190312150817785</v>
      </c>
      <c r="B6312" t="str">
        <f>"1552374497776332"</f>
        <v>1552374497776332</v>
      </c>
      <c r="C6312" t="s">
        <v>40</v>
      </c>
      <c r="D6312">
        <v>4.475168</v>
      </c>
      <c r="E6312">
        <v>0.52665839999999997</v>
      </c>
      <c r="F6312" t="s">
        <v>77</v>
      </c>
      <c r="G6312">
        <v>-196.39429999999999</v>
      </c>
      <c r="H6312" s="1">
        <v>-1.366858E-5</v>
      </c>
      <c r="I6312">
        <v>155.2345</v>
      </c>
      <c r="J6312">
        <v>-192.01560000000001</v>
      </c>
      <c r="K6312">
        <v>1.1099060000000001</v>
      </c>
      <c r="L6312">
        <v>173.87860000000001</v>
      </c>
      <c r="M6312">
        <v>1.8577179999999999E-2</v>
      </c>
      <c r="N6312">
        <v>0</v>
      </c>
      <c r="O6312">
        <v>-0.99978610000000001</v>
      </c>
      <c r="P6312">
        <v>-0.1581215</v>
      </c>
      <c r="Q6312">
        <v>1.9073260000000002E-2</v>
      </c>
      <c r="R6312">
        <v>-0.98723570000000005</v>
      </c>
      <c r="S6312">
        <v>-0.6857605</v>
      </c>
      <c r="T6312">
        <v>-0.173871</v>
      </c>
      <c r="U6312">
        <v>-2.9325709999999998</v>
      </c>
      <c r="V6312">
        <v>0.17645</v>
      </c>
      <c r="W6312">
        <v>2.7951719999999999E-2</v>
      </c>
      <c r="X6312">
        <v>0.98391260000000003</v>
      </c>
      <c r="Y6312">
        <v>0.24537349999999999</v>
      </c>
      <c r="Z6312">
        <v>5.7492719999999997E-2</v>
      </c>
      <c r="AA6312">
        <v>0.96772230000000004</v>
      </c>
      <c r="AB6312">
        <v>13</v>
      </c>
      <c r="AC6312">
        <v>-4.3786999999999798</v>
      </c>
      <c r="AD6312">
        <v>-1.1099196685799999</v>
      </c>
      <c r="AE6312">
        <v>-18.644100000000002</v>
      </c>
      <c r="AF6312">
        <v>4.7084985604853298</v>
      </c>
      <c r="AG6312">
        <v>-1.1099196685799999</v>
      </c>
      <c r="AH6312">
        <v>18.497406153366398</v>
      </c>
      <c r="AI6312">
        <v>93.327986091618797</v>
      </c>
      <c r="AJ6312">
        <v>75.718706732362307</v>
      </c>
      <c r="AK6312">
        <v>19.119516593454701</v>
      </c>
      <c r="AL6312">
        <v>88.3982757212233</v>
      </c>
      <c r="AM6312">
        <v>79.832934582161698</v>
      </c>
      <c r="AN6312">
        <v>0.99999995279485798</v>
      </c>
    </row>
    <row r="6313" spans="1:40" x14ac:dyDescent="0.25">
      <c r="A6313" t="str">
        <f>"20190312150817800"</f>
        <v>20190312150817800</v>
      </c>
      <c r="B6313" t="str">
        <f>"1552374497796828"</f>
        <v>1552374497796828</v>
      </c>
      <c r="C6313" t="s">
        <v>40</v>
      </c>
      <c r="D6313">
        <v>4.5057140000000002</v>
      </c>
      <c r="E6313">
        <v>0.54338560000000002</v>
      </c>
      <c r="F6313" t="s">
        <v>77</v>
      </c>
      <c r="G6313">
        <v>-196.36369999999999</v>
      </c>
      <c r="H6313" s="1">
        <v>-1.372043E-5</v>
      </c>
      <c r="I6313">
        <v>155.36170000000001</v>
      </c>
      <c r="J6313">
        <v>-192.01439999999999</v>
      </c>
      <c r="K6313">
        <v>1.109904</v>
      </c>
      <c r="L6313">
        <v>173.7859</v>
      </c>
      <c r="M6313">
        <v>1.8213130000000001E-2</v>
      </c>
      <c r="N6313">
        <v>0</v>
      </c>
      <c r="O6313">
        <v>-0.99979300000000004</v>
      </c>
      <c r="P6313">
        <v>-0.15932379999999999</v>
      </c>
      <c r="Q6313">
        <v>1.7968939999999999E-2</v>
      </c>
      <c r="R6313">
        <v>-0.98706320000000003</v>
      </c>
      <c r="S6313">
        <v>-0.68846130000000005</v>
      </c>
      <c r="T6313">
        <v>-0.17574049999999999</v>
      </c>
      <c r="U6313">
        <v>-2.9319000000000002</v>
      </c>
      <c r="V6313">
        <v>0.17728949999999999</v>
      </c>
      <c r="W6313">
        <v>2.6821560000000001E-2</v>
      </c>
      <c r="X6313">
        <v>0.98379320000000003</v>
      </c>
      <c r="Y6313">
        <v>0.2459064</v>
      </c>
      <c r="Z6313">
        <v>5.8112249999999997E-2</v>
      </c>
      <c r="AA6313">
        <v>0.96755000000000002</v>
      </c>
      <c r="AB6313">
        <v>13</v>
      </c>
      <c r="AC6313">
        <v>-4.3493000000000004</v>
      </c>
      <c r="AD6313">
        <v>-1.1099177204299999</v>
      </c>
      <c r="AE6313">
        <v>-18.4241999999999</v>
      </c>
      <c r="AF6313">
        <v>4.66810766263582</v>
      </c>
      <c r="AG6313">
        <v>-1.1099177204299999</v>
      </c>
      <c r="AH6313">
        <v>18.279090205813901</v>
      </c>
      <c r="AI6313">
        <v>93.3669690102939</v>
      </c>
      <c r="AJ6313">
        <v>75.674025744693296</v>
      </c>
      <c r="AK6313">
        <v>18.8983672640884</v>
      </c>
      <c r="AL6313">
        <v>88.463053513462796</v>
      </c>
      <c r="AM6313">
        <v>79.784365009547997</v>
      </c>
      <c r="AN6313">
        <v>1.00000001162866</v>
      </c>
    </row>
    <row r="6314" spans="1:40" x14ac:dyDescent="0.25">
      <c r="A6314" t="str">
        <f>"20190312150817815"</f>
        <v>20190312150817815</v>
      </c>
      <c r="B6314" t="str">
        <f>"1552374497806588"</f>
        <v>1552374497806588</v>
      </c>
      <c r="C6314" t="s">
        <v>40</v>
      </c>
      <c r="D6314">
        <v>4.5728749999999998</v>
      </c>
      <c r="E6314">
        <v>0.54631580000000002</v>
      </c>
      <c r="F6314" t="s">
        <v>42</v>
      </c>
      <c r="G6314">
        <v>-195.55260000000001</v>
      </c>
      <c r="H6314" s="1">
        <v>-2.2879120000000001E-6</v>
      </c>
      <c r="I6314">
        <v>161.30619999999999</v>
      </c>
      <c r="J6314">
        <v>-192.01320000000001</v>
      </c>
      <c r="K6314">
        <v>1.109901</v>
      </c>
      <c r="L6314">
        <v>173.70230000000001</v>
      </c>
      <c r="M6314">
        <v>1.7886949999999999E-2</v>
      </c>
      <c r="N6314">
        <v>0</v>
      </c>
      <c r="O6314">
        <v>-0.99979899999999999</v>
      </c>
      <c r="P6314">
        <v>-0.1601215</v>
      </c>
      <c r="Q6314">
        <v>1.740034E-2</v>
      </c>
      <c r="R6314">
        <v>-0.98694400000000004</v>
      </c>
      <c r="S6314">
        <v>-0.82527159999999999</v>
      </c>
      <c r="T6314">
        <v>-0.25887969999999999</v>
      </c>
      <c r="U6314">
        <v>-2.910828</v>
      </c>
      <c r="V6314">
        <v>0.17776339999999999</v>
      </c>
      <c r="W6314">
        <v>2.6232869999999998E-2</v>
      </c>
      <c r="X6314">
        <v>0.98372360000000003</v>
      </c>
      <c r="Y6314">
        <v>0.28894360000000002</v>
      </c>
      <c r="Z6314">
        <v>8.501367E-2</v>
      </c>
      <c r="AA6314">
        <v>0.95356399999999997</v>
      </c>
      <c r="AB6314">
        <v>13</v>
      </c>
      <c r="AC6314">
        <v>-3.5394000000000001</v>
      </c>
      <c r="AD6314">
        <v>-1.1099032879119901</v>
      </c>
      <c r="AE6314">
        <v>-12.396100000000001</v>
      </c>
      <c r="AF6314">
        <v>3.7329011539098902</v>
      </c>
      <c r="AG6314">
        <v>-1.1099032879119901</v>
      </c>
      <c r="AH6314">
        <v>12.2400756393544</v>
      </c>
      <c r="AI6314">
        <v>94.957084339843405</v>
      </c>
      <c r="AJ6314">
        <v>73.0396727643746</v>
      </c>
      <c r="AK6314">
        <v>12.8446832576945</v>
      </c>
      <c r="AL6314">
        <v>88.496794905855893</v>
      </c>
      <c r="AM6314">
        <v>79.756926291631402</v>
      </c>
      <c r="AN6314">
        <v>1.00000005552247</v>
      </c>
    </row>
    <row r="6315" spans="1:40" x14ac:dyDescent="0.25">
      <c r="A6315" t="str">
        <f>"20190312150817829"</f>
        <v>20190312150817829</v>
      </c>
      <c r="B6315" t="str">
        <f>"1552374497816348"</f>
        <v>1552374497816348</v>
      </c>
      <c r="C6315" t="s">
        <v>40</v>
      </c>
      <c r="D6315">
        <v>4.692609</v>
      </c>
      <c r="E6315">
        <v>0.54855830000000005</v>
      </c>
      <c r="F6315" t="s">
        <v>42</v>
      </c>
      <c r="G6315">
        <v>-195.71459999999999</v>
      </c>
      <c r="H6315" s="1">
        <v>-2.2113089999999999E-6</v>
      </c>
      <c r="I6315">
        <v>161.053</v>
      </c>
      <c r="J6315">
        <v>-192.0121</v>
      </c>
      <c r="K6315">
        <v>1.1099079999999999</v>
      </c>
      <c r="L6315">
        <v>173.62090000000001</v>
      </c>
      <c r="M6315">
        <v>1.7570619999999999E-2</v>
      </c>
      <c r="N6315">
        <v>0</v>
      </c>
      <c r="O6315">
        <v>-0.9998049</v>
      </c>
      <c r="P6315">
        <v>-0.1607614</v>
      </c>
      <c r="Q6315">
        <v>1.7097210000000002E-2</v>
      </c>
      <c r="R6315">
        <v>-0.98684530000000004</v>
      </c>
      <c r="S6315">
        <v>-0.85040280000000001</v>
      </c>
      <c r="T6315">
        <v>-0.25500139999999999</v>
      </c>
      <c r="U6315">
        <v>-2.9062039999999998</v>
      </c>
      <c r="V6315">
        <v>0.17808979999999999</v>
      </c>
      <c r="W6315">
        <v>2.5912069999999999E-2</v>
      </c>
      <c r="X6315">
        <v>0.98367300000000002</v>
      </c>
      <c r="Y6315">
        <v>0.2966743</v>
      </c>
      <c r="Z6315">
        <v>8.3678420000000003E-2</v>
      </c>
      <c r="AA6315">
        <v>0.95130559999999997</v>
      </c>
      <c r="AB6315">
        <v>13</v>
      </c>
      <c r="AC6315">
        <v>-3.7024999999999801</v>
      </c>
      <c r="AD6315">
        <v>-1.10991021130899</v>
      </c>
      <c r="AE6315">
        <v>-12.5679</v>
      </c>
      <c r="AF6315">
        <v>3.8948125372443498</v>
      </c>
      <c r="AG6315">
        <v>-1.10991021130899</v>
      </c>
      <c r="AH6315">
        <v>12.4118298742306</v>
      </c>
      <c r="AI6315">
        <v>94.876745966977197</v>
      </c>
      <c r="AJ6315">
        <v>72.578225415537602</v>
      </c>
      <c r="AK6315">
        <v>13.055841076096501</v>
      </c>
      <c r="AL6315">
        <v>88.515181546492798</v>
      </c>
      <c r="AM6315">
        <v>79.738001109263095</v>
      </c>
      <c r="AN6315">
        <v>0.99999999158236197</v>
      </c>
    </row>
    <row r="6316" spans="1:40" x14ac:dyDescent="0.25">
      <c r="A6316" t="str">
        <f>"20190312150817845"</f>
        <v>20190312150817845</v>
      </c>
      <c r="B6316" t="str">
        <f>"1552374497835868"</f>
        <v>1552374497835868</v>
      </c>
      <c r="C6316" t="s">
        <v>40</v>
      </c>
      <c r="D6316">
        <v>4.5651339999999996</v>
      </c>
      <c r="E6316">
        <v>0.54895950000000004</v>
      </c>
      <c r="F6316" t="s">
        <v>42</v>
      </c>
      <c r="G6316">
        <v>-195.83510000000001</v>
      </c>
      <c r="H6316" s="1">
        <v>-2.1549549999999999E-6</v>
      </c>
      <c r="I6316">
        <v>160.86600000000001</v>
      </c>
      <c r="J6316">
        <v>-192.01089999999999</v>
      </c>
      <c r="K6316">
        <v>1.109904</v>
      </c>
      <c r="L6316">
        <v>173.5256</v>
      </c>
      <c r="M6316">
        <v>1.720172E-2</v>
      </c>
      <c r="N6316">
        <v>0</v>
      </c>
      <c r="O6316">
        <v>-0.99981160000000002</v>
      </c>
      <c r="P6316">
        <v>-0.16208229999999901</v>
      </c>
      <c r="Q6316">
        <v>1.722367E-2</v>
      </c>
      <c r="R6316">
        <v>-0.98662709999999998</v>
      </c>
      <c r="S6316">
        <v>-0.86999509999999902</v>
      </c>
      <c r="T6316">
        <v>-0.25258229999999998</v>
      </c>
      <c r="U6316">
        <v>-2.9026489999999998</v>
      </c>
      <c r="V6316">
        <v>0.1790436</v>
      </c>
      <c r="W6316">
        <v>2.6016939999999999E-2</v>
      </c>
      <c r="X6316">
        <v>0.98349710000000001</v>
      </c>
      <c r="Y6316">
        <v>0.30255339999999997</v>
      </c>
      <c r="Z6316">
        <v>8.2832240000000001E-2</v>
      </c>
      <c r="AA6316">
        <v>0.94952639999999999</v>
      </c>
      <c r="AB6316">
        <v>13</v>
      </c>
      <c r="AC6316">
        <v>-3.82420000000001</v>
      </c>
      <c r="AD6316">
        <v>-1.109906154955</v>
      </c>
      <c r="AE6316">
        <v>-12.6595999999999</v>
      </c>
      <c r="AF6316">
        <v>4.0131420159847098</v>
      </c>
      <c r="AG6316">
        <v>-1.109906154955</v>
      </c>
      <c r="AH6316">
        <v>12.5038663978999</v>
      </c>
      <c r="AI6316">
        <v>94.831076009848601</v>
      </c>
      <c r="AJ6316">
        <v>72.205858598575304</v>
      </c>
      <c r="AK6316">
        <v>13.178917839101899</v>
      </c>
      <c r="AL6316">
        <v>88.509170952217303</v>
      </c>
      <c r="AM6316">
        <v>79.682412313190198</v>
      </c>
      <c r="AN6316">
        <v>1.0000000187881599</v>
      </c>
    </row>
    <row r="6317" spans="1:40" x14ac:dyDescent="0.25">
      <c r="A6317" t="str">
        <f>"20190312150817857"</f>
        <v>20190312150817857</v>
      </c>
      <c r="B6317" t="str">
        <f>"1552374497846604"</f>
        <v>1552374497846604</v>
      </c>
      <c r="C6317" t="s">
        <v>40</v>
      </c>
      <c r="D6317">
        <v>4.5810870000000001</v>
      </c>
      <c r="E6317">
        <v>0.54837219999999998</v>
      </c>
      <c r="F6317" t="s">
        <v>42</v>
      </c>
      <c r="G6317">
        <v>-195.89850000000001</v>
      </c>
      <c r="H6317" s="1">
        <v>-2.0772070000000002E-6</v>
      </c>
      <c r="I6317">
        <v>160.66579999999999</v>
      </c>
      <c r="J6317">
        <v>-192.01</v>
      </c>
      <c r="K6317">
        <v>1.1099000000000001</v>
      </c>
      <c r="L6317">
        <v>173.4572</v>
      </c>
      <c r="M6317">
        <v>1.6936409999999999E-2</v>
      </c>
      <c r="N6317">
        <v>0</v>
      </c>
      <c r="O6317">
        <v>-0.99981589999999998</v>
      </c>
      <c r="P6317">
        <v>-0.16291949999999999</v>
      </c>
      <c r="Q6317">
        <v>1.7310559999999999E-2</v>
      </c>
      <c r="R6317">
        <v>-0.98648740000000001</v>
      </c>
      <c r="S6317">
        <v>-0.87698359999999997</v>
      </c>
      <c r="T6317">
        <v>-0.25037920000000002</v>
      </c>
      <c r="U6317">
        <v>-2.9009860000000001</v>
      </c>
      <c r="V6317">
        <v>0.1796172</v>
      </c>
      <c r="W6317">
        <v>2.6088920000000002E-2</v>
      </c>
      <c r="X6317">
        <v>0.9833906</v>
      </c>
      <c r="Y6317">
        <v>0.30456430000000001</v>
      </c>
      <c r="Z6317">
        <v>8.2105579999999997E-2</v>
      </c>
      <c r="AA6317">
        <v>0.94894639999999997</v>
      </c>
      <c r="AB6317">
        <v>13</v>
      </c>
      <c r="AC6317">
        <v>-3.8885000000000201</v>
      </c>
      <c r="AD6317">
        <v>-1.1099020772069901</v>
      </c>
      <c r="AE6317">
        <v>-12.791399999999999</v>
      </c>
      <c r="AF6317">
        <v>4.0764961205444896</v>
      </c>
      <c r="AG6317">
        <v>-1.1099020772069901</v>
      </c>
      <c r="AH6317">
        <v>12.636613422133101</v>
      </c>
      <c r="AI6317">
        <v>94.778267143097807</v>
      </c>
      <c r="AJ6317">
        <v>72.120608500301998</v>
      </c>
      <c r="AK6317">
        <v>13.324177348798599</v>
      </c>
      <c r="AL6317">
        <v>88.505045405372101</v>
      </c>
      <c r="AM6317">
        <v>79.648974598781805</v>
      </c>
      <c r="AN6317">
        <v>1.00000002122548</v>
      </c>
    </row>
    <row r="6318" spans="1:40" x14ac:dyDescent="0.25">
      <c r="A6318" t="str">
        <f>"20190312150817869"</f>
        <v>20190312150817869</v>
      </c>
      <c r="B6318" t="str">
        <f>"1552374497856364"</f>
        <v>1552374497856364</v>
      </c>
      <c r="C6318" t="s">
        <v>40</v>
      </c>
      <c r="D6318">
        <v>4.5968080000000002</v>
      </c>
      <c r="E6318">
        <v>0.5479541</v>
      </c>
      <c r="F6318" t="s">
        <v>42</v>
      </c>
      <c r="G6318">
        <v>-195.86689999999999</v>
      </c>
      <c r="H6318" s="1">
        <v>-2.0705159999999999E-6</v>
      </c>
      <c r="I6318">
        <v>160.6694</v>
      </c>
      <c r="J6318">
        <v>-192.00919999999999</v>
      </c>
      <c r="K6318">
        <v>1.1098969999999999</v>
      </c>
      <c r="L6318">
        <v>173.38890000000001</v>
      </c>
      <c r="M6318">
        <v>1.6669639999999999E-2</v>
      </c>
      <c r="N6318">
        <v>0</v>
      </c>
      <c r="O6318">
        <v>-0.99982040000000005</v>
      </c>
      <c r="P6318">
        <v>-0.16379549999999901</v>
      </c>
      <c r="Q6318">
        <v>1.7459039999999999E-2</v>
      </c>
      <c r="R6318">
        <v>-0.98633970000000004</v>
      </c>
      <c r="S6318">
        <v>-0.87495419999999902</v>
      </c>
      <c r="T6318">
        <v>-0.25178909999999999</v>
      </c>
      <c r="U6318">
        <v>-2.9010009999999999</v>
      </c>
      <c r="V6318">
        <v>0.18022840000000001</v>
      </c>
      <c r="W6318">
        <v>2.6223340000000001E-2</v>
      </c>
      <c r="X6318">
        <v>0.98327520000000002</v>
      </c>
      <c r="Y6318">
        <v>0.30368889999999998</v>
      </c>
      <c r="Z6318">
        <v>8.2584710000000006E-2</v>
      </c>
      <c r="AA6318">
        <v>0.94918539999999996</v>
      </c>
      <c r="AB6318">
        <v>13</v>
      </c>
      <c r="AC6318">
        <v>-3.8576999999999901</v>
      </c>
      <c r="AD6318">
        <v>-1.1098990705159999</v>
      </c>
      <c r="AE6318">
        <v>-12.7195</v>
      </c>
      <c r="AF6318">
        <v>4.0410245879739497</v>
      </c>
      <c r="AG6318">
        <v>-1.1098990705159999</v>
      </c>
      <c r="AH6318">
        <v>12.5658039723738</v>
      </c>
      <c r="AI6318">
        <v>94.806457271015205</v>
      </c>
      <c r="AJ6318">
        <v>72.172779286511499</v>
      </c>
      <c r="AK6318">
        <v>13.2461762459764</v>
      </c>
      <c r="AL6318">
        <v>88.497341083145997</v>
      </c>
      <c r="AM6318">
        <v>79.613325058989403</v>
      </c>
      <c r="AN6318">
        <v>1.0000000293311699</v>
      </c>
    </row>
    <row r="6319" spans="1:40" x14ac:dyDescent="0.25">
      <c r="A6319" t="str">
        <f>"20190312150817880"</f>
        <v>20190312150817880</v>
      </c>
      <c r="B6319" t="str">
        <f>"1552374497876860"</f>
        <v>1552374497876860</v>
      </c>
      <c r="C6319" t="s">
        <v>40</v>
      </c>
      <c r="D6319">
        <v>4.61517</v>
      </c>
      <c r="E6319">
        <v>0.54737199999999997</v>
      </c>
      <c r="F6319" t="s">
        <v>42</v>
      </c>
      <c r="G6319">
        <v>-195.84989999999999</v>
      </c>
      <c r="H6319" s="1">
        <v>-2.0537540000000001E-6</v>
      </c>
      <c r="I6319">
        <v>160.64349999999999</v>
      </c>
      <c r="J6319">
        <v>-192.00829999999999</v>
      </c>
      <c r="K6319">
        <v>1.1098920000000001</v>
      </c>
      <c r="L6319">
        <v>173.3177</v>
      </c>
      <c r="M6319">
        <v>1.6389379999999999E-2</v>
      </c>
      <c r="N6319">
        <v>0</v>
      </c>
      <c r="O6319">
        <v>-0.99982539999999998</v>
      </c>
      <c r="P6319">
        <v>-0.1647371</v>
      </c>
      <c r="Q6319">
        <v>1.7621250000000001E-2</v>
      </c>
      <c r="R6319">
        <v>-0.98618019999999995</v>
      </c>
      <c r="S6319">
        <v>-0.87414550000000002</v>
      </c>
      <c r="T6319">
        <v>-0.25261400000000001</v>
      </c>
      <c r="U6319">
        <v>-2.9008479999999999</v>
      </c>
      <c r="V6319">
        <v>0.18089179999999999</v>
      </c>
      <c r="W6319">
        <v>2.6370640000000001E-2</v>
      </c>
      <c r="X6319">
        <v>0.98314939999999995</v>
      </c>
      <c r="Y6319">
        <v>0.30318640000000002</v>
      </c>
      <c r="Z6319">
        <v>8.2868079999999997E-2</v>
      </c>
      <c r="AA6319">
        <v>0.94932130000000003</v>
      </c>
      <c r="AB6319">
        <v>13</v>
      </c>
      <c r="AC6319">
        <v>-3.8416000000000001</v>
      </c>
      <c r="AD6319">
        <v>-1.1098940537540001</v>
      </c>
      <c r="AE6319">
        <v>-12.674200000000001</v>
      </c>
      <c r="AF6319">
        <v>4.0205763234799896</v>
      </c>
      <c r="AG6319">
        <v>-1.1098940537540001</v>
      </c>
      <c r="AH6319">
        <v>12.5215888553347</v>
      </c>
      <c r="AI6319">
        <v>94.824023408885395</v>
      </c>
      <c r="AJ6319">
        <v>72.198614707808204</v>
      </c>
      <c r="AK6319">
        <v>13.1979955389266</v>
      </c>
      <c r="AL6319">
        <v>88.488898448559993</v>
      </c>
      <c r="AM6319">
        <v>79.574624932506694</v>
      </c>
      <c r="AN6319">
        <v>0.999999998340804</v>
      </c>
    </row>
    <row r="6320" spans="1:40" x14ac:dyDescent="0.25">
      <c r="A6320" t="str">
        <f>"20190312150817892"</f>
        <v>20190312150817892</v>
      </c>
      <c r="B6320" t="str">
        <f>"1552374497886619"</f>
        <v>1552374497886619</v>
      </c>
      <c r="C6320" t="s">
        <v>40</v>
      </c>
      <c r="D6320">
        <v>4.5684630000000004</v>
      </c>
      <c r="E6320">
        <v>0.54756549999999904</v>
      </c>
      <c r="F6320" t="s">
        <v>42</v>
      </c>
      <c r="G6320">
        <v>-195.84790000000001</v>
      </c>
      <c r="H6320" s="1">
        <v>-2.0082730000000002E-6</v>
      </c>
      <c r="I6320">
        <v>160.54849999999999</v>
      </c>
      <c r="J6320">
        <v>-192.00749999999999</v>
      </c>
      <c r="K6320">
        <v>1.109891</v>
      </c>
      <c r="L6320">
        <v>173.25</v>
      </c>
      <c r="M6320">
        <v>1.6117090000000001E-2</v>
      </c>
      <c r="N6320">
        <v>0</v>
      </c>
      <c r="O6320">
        <v>-0.99982990000000005</v>
      </c>
      <c r="P6320">
        <v>-0.16564229999999899</v>
      </c>
      <c r="Q6320">
        <v>1.7812080000000001E-2</v>
      </c>
      <c r="R6320">
        <v>-0.9860255</v>
      </c>
      <c r="S6320">
        <v>-0.87225339999999996</v>
      </c>
      <c r="T6320">
        <v>-0.2521408</v>
      </c>
      <c r="U6320">
        <v>-2.9008479999999999</v>
      </c>
      <c r="V6320">
        <v>0.18152699999999999</v>
      </c>
      <c r="W6320">
        <v>2.6547479999999998E-2</v>
      </c>
      <c r="X6320">
        <v>0.9830276</v>
      </c>
      <c r="Y6320">
        <v>0.30236229999999997</v>
      </c>
      <c r="Z6320">
        <v>8.2733180000000003E-2</v>
      </c>
      <c r="AA6320">
        <v>0.94959590000000005</v>
      </c>
      <c r="AB6320">
        <v>13</v>
      </c>
      <c r="AC6320">
        <v>-3.84040000000001</v>
      </c>
      <c r="AD6320">
        <v>-1.1098930082730001</v>
      </c>
      <c r="AE6320">
        <v>-12.701499999999999</v>
      </c>
      <c r="AF6320">
        <v>4.0165203384073198</v>
      </c>
      <c r="AG6320">
        <v>-1.1098930082730001</v>
      </c>
      <c r="AH6320">
        <v>12.5501485911103</v>
      </c>
      <c r="AI6320">
        <v>94.814560543016498</v>
      </c>
      <c r="AJ6320">
        <v>72.253370443838193</v>
      </c>
      <c r="AK6320">
        <v>13.223862059837099</v>
      </c>
      <c r="AL6320">
        <v>88.478762779845198</v>
      </c>
      <c r="AM6320">
        <v>79.537555589615494</v>
      </c>
      <c r="AN6320">
        <v>1.0000000413925501</v>
      </c>
    </row>
    <row r="6321" spans="1:40" x14ac:dyDescent="0.25">
      <c r="A6321" t="str">
        <f>"20190312150817903"</f>
        <v>20190312150817903</v>
      </c>
      <c r="B6321" t="str">
        <f>"1552374497896380"</f>
        <v>1552374497896380</v>
      </c>
      <c r="C6321" t="s">
        <v>40</v>
      </c>
      <c r="D6321">
        <v>4.5846410000000004</v>
      </c>
      <c r="E6321">
        <v>0.54778090000000002</v>
      </c>
      <c r="F6321" t="s">
        <v>42</v>
      </c>
      <c r="G6321">
        <v>-195.87180000000001</v>
      </c>
      <c r="H6321" s="1">
        <v>-1.9741880000000002E-6</v>
      </c>
      <c r="I6321">
        <v>160.46289999999999</v>
      </c>
      <c r="J6321">
        <v>-192.0068</v>
      </c>
      <c r="K6321">
        <v>1.109883</v>
      </c>
      <c r="L6321">
        <v>173.1831</v>
      </c>
      <c r="M6321">
        <v>1.5844670000000002E-2</v>
      </c>
      <c r="N6321">
        <v>0</v>
      </c>
      <c r="O6321">
        <v>-0.99983449999999996</v>
      </c>
      <c r="P6321">
        <v>-0.16639019999999999</v>
      </c>
      <c r="Q6321">
        <v>1.8068979999999998E-2</v>
      </c>
      <c r="R6321">
        <v>-0.98589490000000002</v>
      </c>
      <c r="S6321">
        <v>-0.87634279999999998</v>
      </c>
      <c r="T6321">
        <v>-0.25170290000000001</v>
      </c>
      <c r="U6321">
        <v>-2.8998870000000001</v>
      </c>
      <c r="V6321">
        <v>0.18200530000000001</v>
      </c>
      <c r="W6321">
        <v>2.679105E-2</v>
      </c>
      <c r="X6321">
        <v>0.98293249999999999</v>
      </c>
      <c r="Y6321">
        <v>0.30342039999999998</v>
      </c>
      <c r="Z6321">
        <v>8.2586569999999998E-2</v>
      </c>
      <c r="AA6321">
        <v>0.94927099999999998</v>
      </c>
      <c r="AB6321">
        <v>13</v>
      </c>
      <c r="AC6321">
        <v>-3.8650000000000002</v>
      </c>
      <c r="AD6321">
        <v>-1.1098849741879999</v>
      </c>
      <c r="AE6321">
        <v>-12.7202</v>
      </c>
      <c r="AF6321">
        <v>4.0379268749898003</v>
      </c>
      <c r="AG6321">
        <v>-1.1098849741879999</v>
      </c>
      <c r="AH6321">
        <v>12.5697529776258</v>
      </c>
      <c r="AI6321">
        <v>94.805377698609107</v>
      </c>
      <c r="AJ6321">
        <v>72.190823958585995</v>
      </c>
      <c r="AK6321">
        <v>13.2489768669972</v>
      </c>
      <c r="AL6321">
        <v>88.464802209893904</v>
      </c>
      <c r="AM6321">
        <v>79.509607151270203</v>
      </c>
      <c r="AN6321">
        <v>0.999999994572221</v>
      </c>
    </row>
    <row r="6322" spans="1:40" x14ac:dyDescent="0.25">
      <c r="A6322" t="str">
        <f>"20190312150817914"</f>
        <v>20190312150817914</v>
      </c>
      <c r="B6322" t="str">
        <f>"1552374497906140"</f>
        <v>1552374497906140</v>
      </c>
      <c r="C6322" t="s">
        <v>40</v>
      </c>
      <c r="D6322">
        <v>4.607532</v>
      </c>
      <c r="E6322">
        <v>0.54805429999999999</v>
      </c>
      <c r="F6322" t="s">
        <v>42</v>
      </c>
      <c r="G6322">
        <v>-195.9102</v>
      </c>
      <c r="H6322" s="1">
        <v>-1.9223740000000001E-6</v>
      </c>
      <c r="I6322">
        <v>160.33160000000001</v>
      </c>
      <c r="J6322">
        <v>-192.006</v>
      </c>
      <c r="K6322">
        <v>1.1098730000000001</v>
      </c>
      <c r="L6322">
        <v>173.11789999999999</v>
      </c>
      <c r="M6322">
        <v>1.5566129999999999E-2</v>
      </c>
      <c r="N6322">
        <v>0</v>
      </c>
      <c r="O6322">
        <v>-0.99983880000000003</v>
      </c>
      <c r="P6322">
        <v>-0.16738510000000001</v>
      </c>
      <c r="Q6322">
        <v>1.8101820000000001E-2</v>
      </c>
      <c r="R6322">
        <v>-0.98572579999999999</v>
      </c>
      <c r="S6322">
        <v>-0.88050839999999997</v>
      </c>
      <c r="T6322">
        <v>-0.25035770000000002</v>
      </c>
      <c r="U6322">
        <v>-2.898911</v>
      </c>
      <c r="V6322">
        <v>0.1827242</v>
      </c>
      <c r="W6322">
        <v>2.6809650000000001E-2</v>
      </c>
      <c r="X6322">
        <v>0.98279859999999997</v>
      </c>
      <c r="Y6322">
        <v>0.30450339999999998</v>
      </c>
      <c r="Z6322">
        <v>8.2144040000000002E-2</v>
      </c>
      <c r="AA6322">
        <v>0.94896259999999999</v>
      </c>
      <c r="AB6322">
        <v>13</v>
      </c>
      <c r="AC6322">
        <v>-3.9042000000000301</v>
      </c>
      <c r="AD6322">
        <v>-1.1098749223740001</v>
      </c>
      <c r="AE6322">
        <v>-12.786299999999899</v>
      </c>
      <c r="AF6322">
        <v>4.0746853827784904</v>
      </c>
      <c r="AG6322">
        <v>-1.1098749223740001</v>
      </c>
      <c r="AH6322">
        <v>12.6368816083223</v>
      </c>
      <c r="AI6322">
        <v>94.778258442048099</v>
      </c>
      <c r="AJ6322">
        <v>72.128400189591403</v>
      </c>
      <c r="AK6322">
        <v>13.3238755658667</v>
      </c>
      <c r="AL6322">
        <v>88.463736117480096</v>
      </c>
      <c r="AM6322">
        <v>79.467693788208507</v>
      </c>
      <c r="AN6322">
        <v>0.99999998938036105</v>
      </c>
    </row>
    <row r="6323" spans="1:40" x14ac:dyDescent="0.25">
      <c r="A6323" t="str">
        <f>"20190312150817926"</f>
        <v>20190312150817926</v>
      </c>
      <c r="B6323" t="str">
        <f>"1552374497915900"</f>
        <v>1552374497915900</v>
      </c>
      <c r="C6323" t="s">
        <v>40</v>
      </c>
      <c r="D6323">
        <v>4.6206120000000004</v>
      </c>
      <c r="E6323">
        <v>0.54829289999999997</v>
      </c>
      <c r="F6323" t="s">
        <v>42</v>
      </c>
      <c r="G6323">
        <v>-195.95</v>
      </c>
      <c r="H6323" s="1">
        <v>-1.8762060000000001E-6</v>
      </c>
      <c r="I6323">
        <v>160.2116</v>
      </c>
      <c r="J6323">
        <v>-192.0052</v>
      </c>
      <c r="K6323">
        <v>1.1098570000000001</v>
      </c>
      <c r="L6323">
        <v>173.0462</v>
      </c>
      <c r="M6323">
        <v>1.5254770000000001E-2</v>
      </c>
      <c r="N6323">
        <v>0</v>
      </c>
      <c r="O6323">
        <v>-0.99984379999999995</v>
      </c>
      <c r="P6323">
        <v>-0.16832639999999999</v>
      </c>
      <c r="Q6323">
        <v>1.81545E-2</v>
      </c>
      <c r="R6323">
        <v>-0.98556449999999995</v>
      </c>
      <c r="S6323">
        <v>-0.88548280000000001</v>
      </c>
      <c r="T6323">
        <v>-0.24918409999999999</v>
      </c>
      <c r="U6323">
        <v>-2.897659</v>
      </c>
      <c r="V6323">
        <v>0.18335760000000001</v>
      </c>
      <c r="W6323">
        <v>2.684682E-2</v>
      </c>
      <c r="X6323">
        <v>0.98267959999999999</v>
      </c>
      <c r="Y6323">
        <v>0.3058205</v>
      </c>
      <c r="Z6323">
        <v>8.1758280000000003E-2</v>
      </c>
      <c r="AA6323">
        <v>0.94857230000000003</v>
      </c>
      <c r="AB6323">
        <v>13</v>
      </c>
      <c r="AC6323">
        <v>-3.9447999999999799</v>
      </c>
      <c r="AD6323">
        <v>-1.10985887620599</v>
      </c>
      <c r="AE6323">
        <v>-12.834599999999901</v>
      </c>
      <c r="AF6323">
        <v>4.1120428520188099</v>
      </c>
      <c r="AG6323">
        <v>-1.10985887620599</v>
      </c>
      <c r="AH6323">
        <v>12.6862505940611</v>
      </c>
      <c r="AI6323">
        <v>94.757337867055696</v>
      </c>
      <c r="AJ6323">
        <v>72.040737119304296</v>
      </c>
      <c r="AK6323">
        <v>13.382138740771101</v>
      </c>
      <c r="AL6323">
        <v>88.461605650119793</v>
      </c>
      <c r="AM6323">
        <v>79.430754459280493</v>
      </c>
      <c r="AN6323">
        <v>0.99999997873901503</v>
      </c>
    </row>
    <row r="6324" spans="1:40" x14ac:dyDescent="0.25">
      <c r="A6324" t="str">
        <f>"20190312150817939"</f>
        <v>20190312150817939</v>
      </c>
      <c r="B6324" t="str">
        <f>"1552374497926637"</f>
        <v>1552374497926637</v>
      </c>
      <c r="C6324" t="s">
        <v>40</v>
      </c>
      <c r="D6324">
        <v>4.5849159999999998</v>
      </c>
      <c r="E6324">
        <v>0.5483903</v>
      </c>
      <c r="F6324" t="s">
        <v>42</v>
      </c>
      <c r="G6324">
        <v>-195.98599999999999</v>
      </c>
      <c r="H6324" s="1">
        <v>-1.8305910000000001E-6</v>
      </c>
      <c r="I6324">
        <v>160.09479999999999</v>
      </c>
      <c r="J6324">
        <v>-192.00450000000001</v>
      </c>
      <c r="K6324">
        <v>1.109839</v>
      </c>
      <c r="L6324">
        <v>172.97299999999899</v>
      </c>
      <c r="M6324">
        <v>1.491898E-2</v>
      </c>
      <c r="N6324">
        <v>0</v>
      </c>
      <c r="O6324">
        <v>-0.99984879999999998</v>
      </c>
      <c r="P6324">
        <v>-0.1693616</v>
      </c>
      <c r="Q6324">
        <v>1.8188599999999999E-2</v>
      </c>
      <c r="R6324">
        <v>-0.9853864</v>
      </c>
      <c r="S6324">
        <v>-0.89025880000000002</v>
      </c>
      <c r="T6324">
        <v>-0.2482094</v>
      </c>
      <c r="U6324">
        <v>-2.8964539999999999</v>
      </c>
      <c r="V6324">
        <v>0.184061</v>
      </c>
      <c r="W6324">
        <v>2.6863979999999999E-2</v>
      </c>
      <c r="X6324">
        <v>0.98254759999999997</v>
      </c>
      <c r="Y6324">
        <v>0.3070484</v>
      </c>
      <c r="Z6324">
        <v>8.1437919999999997E-2</v>
      </c>
      <c r="AA6324">
        <v>0.94820309999999997</v>
      </c>
      <c r="AB6324">
        <v>13</v>
      </c>
      <c r="AC6324">
        <v>-3.9814999999999801</v>
      </c>
      <c r="AD6324">
        <v>-1.1098408305909999</v>
      </c>
      <c r="AE6324">
        <v>-12.8781999999999</v>
      </c>
      <c r="AF6324">
        <v>4.1450945301628099</v>
      </c>
      <c r="AG6324">
        <v>-1.1098408305909999</v>
      </c>
      <c r="AH6324">
        <v>12.731060482143</v>
      </c>
      <c r="AI6324">
        <v>94.7385754713236</v>
      </c>
      <c r="AJ6324">
        <v>71.9653152759862</v>
      </c>
      <c r="AK6324">
        <v>13.4347853102763</v>
      </c>
      <c r="AL6324">
        <v>88.460622064316098</v>
      </c>
      <c r="AM6324">
        <v>79.389734320331101</v>
      </c>
      <c r="AN6324">
        <v>0.99999995570409905</v>
      </c>
    </row>
    <row r="6325" spans="1:40" x14ac:dyDescent="0.25">
      <c r="A6325" t="str">
        <f>"20190312150817952"</f>
        <v>20190312150817952</v>
      </c>
      <c r="B6325" t="str">
        <f>"1552374497946155"</f>
        <v>1552374497946155</v>
      </c>
      <c r="C6325" t="s">
        <v>40</v>
      </c>
      <c r="D6325">
        <v>4.6002359999999998</v>
      </c>
      <c r="E6325">
        <v>0.54871259999999999</v>
      </c>
      <c r="F6325" t="s">
        <v>42</v>
      </c>
      <c r="G6325">
        <v>-196.00550000000001</v>
      </c>
      <c r="H6325" s="1">
        <v>-1.7993700000000001E-6</v>
      </c>
      <c r="I6325">
        <v>160.01779999999999</v>
      </c>
      <c r="J6325">
        <v>-192.00380000000001</v>
      </c>
      <c r="K6325">
        <v>1.109818</v>
      </c>
      <c r="L6325">
        <v>172.8947</v>
      </c>
      <c r="M6325">
        <v>1.454536E-2</v>
      </c>
      <c r="N6325">
        <v>0</v>
      </c>
      <c r="O6325">
        <v>-0.99985429999999997</v>
      </c>
      <c r="P6325">
        <v>-0.17037859999999999</v>
      </c>
      <c r="Q6325">
        <v>1.8190990000000001E-2</v>
      </c>
      <c r="R6325">
        <v>-0.98521099999999995</v>
      </c>
      <c r="S6325">
        <v>-0.89418030000000004</v>
      </c>
      <c r="T6325">
        <v>-0.2480414</v>
      </c>
      <c r="U6325">
        <v>-2.8953859999999998</v>
      </c>
      <c r="V6325">
        <v>0.18470929999999999</v>
      </c>
      <c r="W6325">
        <v>2.6849689999999999E-2</v>
      </c>
      <c r="X6325">
        <v>0.98242629999999997</v>
      </c>
      <c r="Y6325">
        <v>0.30796519999999999</v>
      </c>
      <c r="Z6325">
        <v>8.138426E-2</v>
      </c>
      <c r="AA6325">
        <v>0.94791040000000004</v>
      </c>
      <c r="AB6325">
        <v>13</v>
      </c>
      <c r="AC6325">
        <v>-4.0016999999999996</v>
      </c>
      <c r="AD6325">
        <v>-1.1098197993700001</v>
      </c>
      <c r="AE6325">
        <v>-12.876899999999999</v>
      </c>
      <c r="AF6325">
        <v>4.1604007852591902</v>
      </c>
      <c r="AG6325">
        <v>-1.1098197993700001</v>
      </c>
      <c r="AH6325">
        <v>12.7310890415032</v>
      </c>
      <c r="AI6325">
        <v>94.736804881169604</v>
      </c>
      <c r="AJ6325">
        <v>71.903092414789199</v>
      </c>
      <c r="AK6325">
        <v>13.439541021319901</v>
      </c>
      <c r="AL6325">
        <v>88.461441081765997</v>
      </c>
      <c r="AM6325">
        <v>79.351931239496395</v>
      </c>
      <c r="AN6325">
        <v>0.99999993314563496</v>
      </c>
    </row>
    <row r="6326" spans="1:40" x14ac:dyDescent="0.25">
      <c r="A6326" t="str">
        <f>"20190312150817967"</f>
        <v>20190312150817967</v>
      </c>
      <c r="B6326" t="str">
        <f>"1552374497955916"</f>
        <v>1552374497955916</v>
      </c>
      <c r="C6326" t="s">
        <v>40</v>
      </c>
      <c r="D6326">
        <v>4.6071070000000001</v>
      </c>
      <c r="E6326">
        <v>0.54874409999999996</v>
      </c>
      <c r="F6326" t="s">
        <v>42</v>
      </c>
      <c r="G6326">
        <v>-196.0352</v>
      </c>
      <c r="H6326" s="1">
        <v>-1.7658699999999999E-6</v>
      </c>
      <c r="I6326">
        <v>159.93020000000001</v>
      </c>
      <c r="J6326">
        <v>-192.00299999999999</v>
      </c>
      <c r="K6326">
        <v>1.1097950000000001</v>
      </c>
      <c r="L6326">
        <v>172.80350000000001</v>
      </c>
      <c r="M6326">
        <v>1.409143E-2</v>
      </c>
      <c r="N6326">
        <v>0</v>
      </c>
      <c r="O6326">
        <v>-0.99986109999999995</v>
      </c>
      <c r="P6326">
        <v>-0.1721789</v>
      </c>
      <c r="Q6326">
        <v>1.8384930000000001E-2</v>
      </c>
      <c r="R6326">
        <v>-0.98489450000000001</v>
      </c>
      <c r="S6326">
        <v>-0.89990230000000004</v>
      </c>
      <c r="T6326">
        <v>-0.24773419999999999</v>
      </c>
      <c r="U6326">
        <v>-2.8939509999999999</v>
      </c>
      <c r="V6326">
        <v>0.18606049999999999</v>
      </c>
      <c r="W6326">
        <v>2.7024619999999999E-2</v>
      </c>
      <c r="X6326">
        <v>0.9821666</v>
      </c>
      <c r="Y6326">
        <v>0.30937789999999998</v>
      </c>
      <c r="Z6326">
        <v>8.1281019999999995E-2</v>
      </c>
      <c r="AA6326">
        <v>0.9474591</v>
      </c>
      <c r="AB6326">
        <v>13</v>
      </c>
      <c r="AC6326">
        <v>-4.0322000000000102</v>
      </c>
      <c r="AD6326">
        <v>-1.1097967658700001</v>
      </c>
      <c r="AE6326">
        <v>-12.8733</v>
      </c>
      <c r="AF6326">
        <v>4.1848865803666202</v>
      </c>
      <c r="AG6326">
        <v>-1.1097967658700001</v>
      </c>
      <c r="AH6326">
        <v>12.7290494554672</v>
      </c>
      <c r="AI6326">
        <v>94.734705245883404</v>
      </c>
      <c r="AJ6326">
        <v>71.800860909144703</v>
      </c>
      <c r="AK6326">
        <v>13.4452082390642</v>
      </c>
      <c r="AL6326">
        <v>88.451414849778999</v>
      </c>
      <c r="AM6326">
        <v>79.273068030423602</v>
      </c>
      <c r="AN6326">
        <v>1.0000000349509699</v>
      </c>
    </row>
    <row r="6327" spans="1:40" x14ac:dyDescent="0.25">
      <c r="A6327" t="str">
        <f>"20190312150817980"</f>
        <v>20190312150817980</v>
      </c>
      <c r="B6327" t="str">
        <f>"1552374497976412"</f>
        <v>1552374497976412</v>
      </c>
      <c r="C6327" t="s">
        <v>40</v>
      </c>
      <c r="D6327">
        <v>4.625356</v>
      </c>
      <c r="E6327">
        <v>0.54945109999999997</v>
      </c>
      <c r="F6327" t="s">
        <v>42</v>
      </c>
      <c r="G6327">
        <v>-196.07980000000001</v>
      </c>
      <c r="H6327" s="1">
        <v>-1.708324E-6</v>
      </c>
      <c r="I6327">
        <v>159.7834</v>
      </c>
      <c r="J6327">
        <v>-192.00239999999999</v>
      </c>
      <c r="K6327">
        <v>1.1097729999999999</v>
      </c>
      <c r="L6327">
        <v>172.73150000000001</v>
      </c>
      <c r="M6327">
        <v>1.3711849999999999E-2</v>
      </c>
      <c r="N6327">
        <v>0</v>
      </c>
      <c r="O6327">
        <v>-0.99986609999999998</v>
      </c>
      <c r="P6327">
        <v>-0.17324539999999999</v>
      </c>
      <c r="Q6327">
        <v>1.8553960000000001E-2</v>
      </c>
      <c r="R6327">
        <v>-0.98470420000000003</v>
      </c>
      <c r="S6327">
        <v>-0.9056244</v>
      </c>
      <c r="T6327">
        <v>-0.24653079999999999</v>
      </c>
      <c r="U6327">
        <v>-2.8923030000000001</v>
      </c>
      <c r="V6327">
        <v>0.18675269999999999</v>
      </c>
      <c r="W6327">
        <v>2.7180969999999999E-2</v>
      </c>
      <c r="X6327">
        <v>0.98203090000000004</v>
      </c>
      <c r="Y6327">
        <v>0.31088729999999998</v>
      </c>
      <c r="Z6327">
        <v>8.088969E-2</v>
      </c>
      <c r="AA6327">
        <v>0.94699840000000002</v>
      </c>
      <c r="AB6327">
        <v>13</v>
      </c>
      <c r="AC6327">
        <v>-4.0774000000000097</v>
      </c>
      <c r="AD6327">
        <v>-1.1097747083239999</v>
      </c>
      <c r="AE6327">
        <v>-12.9481</v>
      </c>
      <c r="AF6327">
        <v>4.2263201029207096</v>
      </c>
      <c r="AG6327">
        <v>-1.1097747083239999</v>
      </c>
      <c r="AH6327">
        <v>12.805388647417001</v>
      </c>
      <c r="AI6327">
        <v>94.704737585529898</v>
      </c>
      <c r="AJ6327">
        <v>71.734923753998501</v>
      </c>
      <c r="AK6327">
        <v>13.530386540191</v>
      </c>
      <c r="AL6327">
        <v>88.442453358872896</v>
      </c>
      <c r="AM6327">
        <v>79.232638841030095</v>
      </c>
      <c r="AN6327">
        <v>1.00000003232112</v>
      </c>
    </row>
    <row r="6328" spans="1:40" x14ac:dyDescent="0.25">
      <c r="A6328" t="str">
        <f>"20190312150817997"</f>
        <v>20190312150817997</v>
      </c>
      <c r="B6328" t="str">
        <f>"1552374497986173"</f>
        <v>1552374497986173</v>
      </c>
      <c r="C6328" t="s">
        <v>40</v>
      </c>
      <c r="D6328">
        <v>4.608015</v>
      </c>
      <c r="E6328">
        <v>0.54928529999999998</v>
      </c>
      <c r="F6328" t="s">
        <v>77</v>
      </c>
      <c r="G6328">
        <v>-197.7876</v>
      </c>
      <c r="H6328" s="1">
        <v>-1.347787E-5</v>
      </c>
      <c r="I6328">
        <v>154.4213</v>
      </c>
      <c r="J6328">
        <v>-192.0016</v>
      </c>
      <c r="K6328">
        <v>1.109745</v>
      </c>
      <c r="L6328">
        <v>172.6251</v>
      </c>
      <c r="M6328">
        <v>1.3120740000000001E-2</v>
      </c>
      <c r="N6328">
        <v>0</v>
      </c>
      <c r="O6328">
        <v>-0.99987409999999999</v>
      </c>
      <c r="P6328">
        <v>-0.17457049999999999</v>
      </c>
      <c r="Q6328">
        <v>1.850891E-2</v>
      </c>
      <c r="R6328">
        <v>-0.98447099999999998</v>
      </c>
      <c r="S6328">
        <v>-0.91287229999999997</v>
      </c>
      <c r="T6328">
        <v>-0.17511889999999999</v>
      </c>
      <c r="U6328">
        <v>-2.8892669999999998</v>
      </c>
      <c r="V6328">
        <v>0.18749589999999999</v>
      </c>
      <c r="W6328">
        <v>2.7124240000000001E-2</v>
      </c>
      <c r="X6328">
        <v>0.98189079999999995</v>
      </c>
      <c r="Y6328">
        <v>0.3132585</v>
      </c>
      <c r="Z6328">
        <v>5.75711E-2</v>
      </c>
      <c r="AA6328">
        <v>0.94792120000000002</v>
      </c>
      <c r="AB6328">
        <v>13</v>
      </c>
      <c r="AC6328">
        <v>-5.7859999999999996</v>
      </c>
      <c r="AD6328">
        <v>-1.10975847787</v>
      </c>
      <c r="AE6328">
        <v>-18.203800000000001</v>
      </c>
      <c r="AF6328">
        <v>6.00409205376892</v>
      </c>
      <c r="AG6328">
        <v>-1.10975847787</v>
      </c>
      <c r="AH6328">
        <v>18.065334116728199</v>
      </c>
      <c r="AI6328">
        <v>93.3362802986898</v>
      </c>
      <c r="AJ6328">
        <v>71.615549372441095</v>
      </c>
      <c r="AK6328">
        <v>19.069267999017701</v>
      </c>
      <c r="AL6328">
        <v>88.445704881433599</v>
      </c>
      <c r="AM6328">
        <v>79.189290729899099</v>
      </c>
      <c r="AN6328">
        <v>0.99999999001851303</v>
      </c>
    </row>
    <row r="6329" spans="1:40" x14ac:dyDescent="0.25">
      <c r="A6329" t="str">
        <f>"20190312150818014"</f>
        <v>20190312150818014</v>
      </c>
      <c r="B6329" t="str">
        <f>"1552374498006668"</f>
        <v>1552374498006668</v>
      </c>
      <c r="C6329" t="s">
        <v>40</v>
      </c>
      <c r="D6329">
        <v>4.629397</v>
      </c>
      <c r="E6329">
        <v>0.54978229999999995</v>
      </c>
      <c r="F6329" t="s">
        <v>77</v>
      </c>
      <c r="G6329">
        <v>-197.9059</v>
      </c>
      <c r="H6329" s="1">
        <v>-1.3381770000000001E-5</v>
      </c>
      <c r="I6329">
        <v>153.99760000000001</v>
      </c>
      <c r="J6329">
        <v>-192.001</v>
      </c>
      <c r="K6329">
        <v>1.10972</v>
      </c>
      <c r="L6329">
        <v>172.52510000000001</v>
      </c>
      <c r="M6329">
        <v>1.2527999999999999E-2</v>
      </c>
      <c r="N6329">
        <v>0</v>
      </c>
      <c r="O6329">
        <v>-0.99988169999999998</v>
      </c>
      <c r="P6329">
        <v>-0.1765118</v>
      </c>
      <c r="Q6329">
        <v>1.857116E-2</v>
      </c>
      <c r="R6329">
        <v>-0.98412350000000004</v>
      </c>
      <c r="S6329">
        <v>-0.91546629999999996</v>
      </c>
      <c r="T6329">
        <v>-0.17206869999999999</v>
      </c>
      <c r="U6329">
        <v>-2.8882140000000001</v>
      </c>
      <c r="V6329">
        <v>0.1888523</v>
      </c>
      <c r="W6329">
        <v>2.7177630000000001E-2</v>
      </c>
      <c r="X6329">
        <v>0.98162939999999999</v>
      </c>
      <c r="Y6329">
        <v>0.31358580000000003</v>
      </c>
      <c r="Z6329">
        <v>5.6581409999999999E-2</v>
      </c>
      <c r="AA6329">
        <v>0.94787259999999995</v>
      </c>
      <c r="AB6329">
        <v>13</v>
      </c>
      <c r="AC6329">
        <v>-5.90490000000002</v>
      </c>
      <c r="AD6329">
        <v>-1.1097333817699999</v>
      </c>
      <c r="AE6329">
        <v>-18.5275</v>
      </c>
      <c r="AF6329">
        <v>6.1166377410143902</v>
      </c>
      <c r="AG6329">
        <v>-1.1097333817699999</v>
      </c>
      <c r="AH6329">
        <v>18.3921669980774</v>
      </c>
      <c r="AI6329">
        <v>93.276841586763894</v>
      </c>
      <c r="AJ6329">
        <v>71.604549278242402</v>
      </c>
      <c r="AK6329">
        <v>19.4143393479815</v>
      </c>
      <c r="AL6329">
        <v>88.442644820149795</v>
      </c>
      <c r="AM6329">
        <v>79.110115572957696</v>
      </c>
      <c r="AN6329">
        <v>1.0000000468660299</v>
      </c>
    </row>
    <row r="6330" spans="1:40" x14ac:dyDescent="0.25">
      <c r="A6330" t="str">
        <f>"20190312150818028"</f>
        <v>20190312150818028</v>
      </c>
      <c r="B6330" t="str">
        <f>"1552374498016428"</f>
        <v>1552374498016428</v>
      </c>
      <c r="C6330" t="s">
        <v>40</v>
      </c>
      <c r="D6330">
        <v>4.6037879999999998</v>
      </c>
      <c r="E6330">
        <v>0.54923639999999996</v>
      </c>
      <c r="F6330" t="s">
        <v>77</v>
      </c>
      <c r="G6330">
        <v>-196.2852</v>
      </c>
      <c r="H6330" s="1">
        <v>-1.4867490000000001E-5</v>
      </c>
      <c r="I6330">
        <v>159.17910000000001</v>
      </c>
      <c r="J6330">
        <v>-192.00049999999999</v>
      </c>
      <c r="K6330">
        <v>1.1096980000000001</v>
      </c>
      <c r="L6330">
        <v>172.4402</v>
      </c>
      <c r="M6330">
        <v>1.199749E-2</v>
      </c>
      <c r="N6330">
        <v>0</v>
      </c>
      <c r="O6330">
        <v>-0.999888</v>
      </c>
      <c r="P6330">
        <v>-0.1778602</v>
      </c>
      <c r="Q6330">
        <v>1.8692629999999998E-2</v>
      </c>
      <c r="R6330">
        <v>-0.98387840000000004</v>
      </c>
      <c r="S6330">
        <v>-0.92666630000000005</v>
      </c>
      <c r="T6330">
        <v>-0.240036</v>
      </c>
      <c r="U6330">
        <v>-2.886749</v>
      </c>
      <c r="V6330">
        <v>0.1896785</v>
      </c>
      <c r="W6330">
        <v>2.7293930000000001E-2</v>
      </c>
      <c r="X6330">
        <v>0.98146679999999997</v>
      </c>
      <c r="Y6330">
        <v>0.3160965</v>
      </c>
      <c r="Z6330">
        <v>7.8765329999999995E-2</v>
      </c>
      <c r="AA6330">
        <v>0.94545179999999995</v>
      </c>
      <c r="AB6330">
        <v>13</v>
      </c>
      <c r="AC6330">
        <v>-4.2847000000000097</v>
      </c>
      <c r="AD6330">
        <v>-1.1097128674900001</v>
      </c>
      <c r="AE6330">
        <v>-13.261100000000001</v>
      </c>
      <c r="AF6330">
        <v>4.41550049349111</v>
      </c>
      <c r="AG6330">
        <v>-1.1097128674900001</v>
      </c>
      <c r="AH6330">
        <v>13.1255127874777</v>
      </c>
      <c r="AI6330">
        <v>94.581518236375004</v>
      </c>
      <c r="AJ6330">
        <v>71.406754737341601</v>
      </c>
      <c r="AK6330">
        <v>13.892702875629899</v>
      </c>
      <c r="AL6330">
        <v>88.435978752847902</v>
      </c>
      <c r="AM6330">
        <v>79.061852214255694</v>
      </c>
      <c r="AN6330">
        <v>0.99999998573966697</v>
      </c>
    </row>
    <row r="6331" spans="1:40" x14ac:dyDescent="0.25">
      <c r="A6331" t="str">
        <f>"20190312150818042"</f>
        <v>20190312150818042</v>
      </c>
      <c r="B6331" t="str">
        <f>"1552374498035949"</f>
        <v>1552374498035949</v>
      </c>
      <c r="C6331" t="s">
        <v>40</v>
      </c>
      <c r="D6331">
        <v>4.6490030000000004</v>
      </c>
      <c r="E6331">
        <v>0.54910049999999999</v>
      </c>
      <c r="F6331" t="s">
        <v>77</v>
      </c>
      <c r="G6331">
        <v>-196.19220000000001</v>
      </c>
      <c r="H6331" s="1">
        <v>-1.4917989999999999E-5</v>
      </c>
      <c r="I6331">
        <v>159.37979999999999</v>
      </c>
      <c r="J6331">
        <v>-192.0001</v>
      </c>
      <c r="K6331">
        <v>1.109677</v>
      </c>
      <c r="L6331">
        <v>172.35419999999999</v>
      </c>
      <c r="M6331">
        <v>1.1430350000000001E-2</v>
      </c>
      <c r="N6331">
        <v>0</v>
      </c>
      <c r="O6331">
        <v>-0.99989470000000003</v>
      </c>
      <c r="P6331">
        <v>-0.178816899999999</v>
      </c>
      <c r="Q6331">
        <v>1.9020700000000001E-2</v>
      </c>
      <c r="R6331">
        <v>-0.98369890000000004</v>
      </c>
      <c r="S6331">
        <v>-0.92636110000000005</v>
      </c>
      <c r="T6331">
        <v>-0.24524770000000001</v>
      </c>
      <c r="U6331">
        <v>-2.8863530000000002</v>
      </c>
      <c r="V6331">
        <v>0.1900781</v>
      </c>
      <c r="W6331">
        <v>2.762044E-2</v>
      </c>
      <c r="X6331">
        <v>0.98138029999999998</v>
      </c>
      <c r="Y6331">
        <v>0.31546370000000001</v>
      </c>
      <c r="Z6331">
        <v>8.0485189999999998E-2</v>
      </c>
      <c r="AA6331">
        <v>0.94551830000000003</v>
      </c>
      <c r="AB6331">
        <v>13</v>
      </c>
      <c r="AC6331">
        <v>-4.1921000000000097</v>
      </c>
      <c r="AD6331">
        <v>-1.10969191799</v>
      </c>
      <c r="AE6331">
        <v>-12.974399999999999</v>
      </c>
      <c r="AF6331">
        <v>4.3115751092385803</v>
      </c>
      <c r="AG6331">
        <v>-1.10969191799</v>
      </c>
      <c r="AH6331">
        <v>12.8405802456559</v>
      </c>
      <c r="AI6331">
        <v>94.683531999215603</v>
      </c>
      <c r="AJ6331">
        <v>71.4391186623712</v>
      </c>
      <c r="AK6331">
        <v>13.5904965737307</v>
      </c>
      <c r="AL6331">
        <v>88.4172639682523</v>
      </c>
      <c r="AM6331">
        <v>79.038423416832501</v>
      </c>
      <c r="AN6331">
        <v>0.99999993301674395</v>
      </c>
    </row>
    <row r="6332" spans="1:40" x14ac:dyDescent="0.25">
      <c r="A6332" t="str">
        <f>"20190312150818057"</f>
        <v>20190312150818057</v>
      </c>
      <c r="B6332" t="str">
        <f>"1552374498046684"</f>
        <v>1552374498046684</v>
      </c>
      <c r="C6332" t="s">
        <v>40</v>
      </c>
      <c r="D6332">
        <v>4.6590020000000001</v>
      </c>
      <c r="E6332">
        <v>0.54912109999999903</v>
      </c>
      <c r="F6332" t="s">
        <v>77</v>
      </c>
      <c r="G6332">
        <v>-196.1919</v>
      </c>
      <c r="H6332" s="1">
        <v>-1.490414E-5</v>
      </c>
      <c r="I6332">
        <v>159.32480000000001</v>
      </c>
      <c r="J6332">
        <v>-191.99979999999999</v>
      </c>
      <c r="K6332">
        <v>1.1096569999999999</v>
      </c>
      <c r="L6332">
        <v>172.2637</v>
      </c>
      <c r="M6332">
        <v>1.079835E-2</v>
      </c>
      <c r="N6332">
        <v>0</v>
      </c>
      <c r="O6332">
        <v>-0.9999017</v>
      </c>
      <c r="P6332">
        <v>-0.1802868</v>
      </c>
      <c r="Q6332">
        <v>1.9294909999999998E-2</v>
      </c>
      <c r="R6332">
        <v>-0.98342540000000001</v>
      </c>
      <c r="S6332">
        <v>-0.92837519999999996</v>
      </c>
      <c r="T6332">
        <v>-0.24577070000000001</v>
      </c>
      <c r="U6332">
        <v>-2.8857119999999998</v>
      </c>
      <c r="V6332">
        <v>0.19092629999999999</v>
      </c>
      <c r="W6332">
        <v>2.7892610000000002E-2</v>
      </c>
      <c r="X6332">
        <v>0.98120799999999997</v>
      </c>
      <c r="Y6332">
        <v>0.31551899999999999</v>
      </c>
      <c r="Z6332">
        <v>8.0664369999999999E-2</v>
      </c>
      <c r="AA6332">
        <v>0.94548460000000001</v>
      </c>
      <c r="AB6332">
        <v>13</v>
      </c>
      <c r="AC6332">
        <v>-4.1921000000000097</v>
      </c>
      <c r="AD6332">
        <v>-1.1096719041399901</v>
      </c>
      <c r="AE6332">
        <v>-12.938899999999901</v>
      </c>
      <c r="AF6332">
        <v>4.3029375697545298</v>
      </c>
      <c r="AG6332">
        <v>-1.1096719041399901</v>
      </c>
      <c r="AH6332">
        <v>12.807622485481399</v>
      </c>
      <c r="AI6332">
        <v>94.695178410453906</v>
      </c>
      <c r="AJ6332">
        <v>71.429354215791804</v>
      </c>
      <c r="AK6332">
        <v>13.556615993478999</v>
      </c>
      <c r="AL6332">
        <v>88.401663862586702</v>
      </c>
      <c r="AM6332">
        <v>78.988815329100404</v>
      </c>
      <c r="AN6332">
        <v>0.999999994494151</v>
      </c>
    </row>
    <row r="6333" spans="1:40" x14ac:dyDescent="0.25">
      <c r="A6333" t="str">
        <f>"20190312150818079"</f>
        <v>20190312150818079</v>
      </c>
      <c r="B6333" t="str">
        <f>"1552374498075964"</f>
        <v>1552374498075964</v>
      </c>
      <c r="C6333" t="s">
        <v>40</v>
      </c>
      <c r="D6333">
        <v>4.5745820000000004</v>
      </c>
      <c r="E6333">
        <v>0.5491007</v>
      </c>
      <c r="F6333" t="s">
        <v>77</v>
      </c>
      <c r="G6333">
        <v>-196.18899999999999</v>
      </c>
      <c r="H6333" s="1">
        <v>-1.4901349999999999E-5</v>
      </c>
      <c r="I6333">
        <v>159.31370000000001</v>
      </c>
      <c r="J6333">
        <v>-191.99950000000001</v>
      </c>
      <c r="K6333">
        <v>1.1096250000000001</v>
      </c>
      <c r="L6333">
        <v>172.13069999999999</v>
      </c>
      <c r="M6333">
        <v>9.8222350000000003E-3</v>
      </c>
      <c r="N6333">
        <v>0</v>
      </c>
      <c r="O6333">
        <v>-0.99991149999999995</v>
      </c>
      <c r="P6333">
        <v>-0.18181929999999999</v>
      </c>
      <c r="Q6333">
        <v>1.9785850000000001E-2</v>
      </c>
      <c r="R6333">
        <v>-0.98313309999999998</v>
      </c>
      <c r="S6333">
        <v>-0.93305970000000005</v>
      </c>
      <c r="T6333">
        <v>-0.2471566</v>
      </c>
      <c r="U6333">
        <v>-2.8843380000000001</v>
      </c>
      <c r="V6333">
        <v>0.19150059999999999</v>
      </c>
      <c r="W6333">
        <v>2.8384989999999999E-2</v>
      </c>
      <c r="X6333">
        <v>0.98108200000000001</v>
      </c>
      <c r="Y6333">
        <v>0.31610349999999998</v>
      </c>
      <c r="Z6333">
        <v>8.1126160000000003E-2</v>
      </c>
      <c r="AA6333">
        <v>0.94524980000000003</v>
      </c>
      <c r="AB6333">
        <v>13</v>
      </c>
      <c r="AC6333">
        <v>-4.1894999999999998</v>
      </c>
      <c r="AD6333">
        <v>-1.10963990135</v>
      </c>
      <c r="AE6333">
        <v>-12.816999999999901</v>
      </c>
      <c r="AF6333">
        <v>4.2861694120745604</v>
      </c>
      <c r="AG6333">
        <v>-1.10963990135</v>
      </c>
      <c r="AH6333">
        <v>12.6893002188701</v>
      </c>
      <c r="AI6333">
        <v>94.736040220433594</v>
      </c>
      <c r="AJ6333">
        <v>71.336151010935893</v>
      </c>
      <c r="AK6333">
        <v>13.439527111631801</v>
      </c>
      <c r="AL6333">
        <v>88.373441463410202</v>
      </c>
      <c r="AM6333">
        <v>78.955123685250598</v>
      </c>
      <c r="AN6333">
        <v>1.0000000390908199</v>
      </c>
    </row>
    <row r="6334" spans="1:40" x14ac:dyDescent="0.25">
      <c r="A6334" t="str">
        <f>"20190312150818091"</f>
        <v>20190312150818091</v>
      </c>
      <c r="B6334" t="str">
        <f>"1552374498086701"</f>
        <v>1552374498086701</v>
      </c>
      <c r="C6334" t="s">
        <v>40</v>
      </c>
      <c r="D6334">
        <v>4.6309139999999998</v>
      </c>
      <c r="E6334">
        <v>0.54903459999999904</v>
      </c>
      <c r="F6334" t="s">
        <v>77</v>
      </c>
      <c r="G6334">
        <v>-196.21629999999999</v>
      </c>
      <c r="H6334" s="1">
        <v>-1.486348E-5</v>
      </c>
      <c r="I6334">
        <v>159.16319999999999</v>
      </c>
      <c r="J6334">
        <v>-191.99940000000001</v>
      </c>
      <c r="K6334">
        <v>1.109612</v>
      </c>
      <c r="L6334">
        <v>172.05459999999999</v>
      </c>
      <c r="M6334">
        <v>9.2358739999999998E-3</v>
      </c>
      <c r="N6334">
        <v>0</v>
      </c>
      <c r="O6334">
        <v>-0.9999169</v>
      </c>
      <c r="P6334">
        <v>-0.1825512</v>
      </c>
      <c r="Q6334">
        <v>1.9925720000000001E-2</v>
      </c>
      <c r="R6334">
        <v>-0.9829947</v>
      </c>
      <c r="S6334">
        <v>-0.93751530000000005</v>
      </c>
      <c r="T6334">
        <v>-0.24670700000000001</v>
      </c>
      <c r="U6334">
        <v>-2.8830719999999999</v>
      </c>
      <c r="V6334">
        <v>0.1916571</v>
      </c>
      <c r="W6334">
        <v>2.8528939999999999E-2</v>
      </c>
      <c r="X6334">
        <v>0.98104720000000001</v>
      </c>
      <c r="Y6334">
        <v>0.3169941</v>
      </c>
      <c r="Z6334">
        <v>8.0982890000000002E-2</v>
      </c>
      <c r="AA6334">
        <v>0.94496380000000002</v>
      </c>
      <c r="AB6334">
        <v>14</v>
      </c>
      <c r="AC6334">
        <v>-4.2168999999999803</v>
      </c>
      <c r="AD6334">
        <v>-1.1096268634799999</v>
      </c>
      <c r="AE6334">
        <v>-12.891400000000001</v>
      </c>
      <c r="AF6334">
        <v>4.3069627801205597</v>
      </c>
      <c r="AG6334">
        <v>-1.1096268634799999</v>
      </c>
      <c r="AH6334">
        <v>12.7664588161387</v>
      </c>
      <c r="AI6334">
        <v>94.708076435780896</v>
      </c>
      <c r="AJ6334">
        <v>71.357379704166107</v>
      </c>
      <c r="AK6334">
        <v>13.519011460519801</v>
      </c>
      <c r="AL6334">
        <v>88.365190292404407</v>
      </c>
      <c r="AM6334">
        <v>78.945937258648797</v>
      </c>
      <c r="AN6334">
        <v>0.99999997651288597</v>
      </c>
    </row>
    <row r="6335" spans="1:40" x14ac:dyDescent="0.25">
      <c r="A6335" t="str">
        <f>"20190312150818103"</f>
        <v>20190312150818103</v>
      </c>
      <c r="B6335" t="str">
        <f>"1552374498096460"</f>
        <v>1552374498096460</v>
      </c>
      <c r="C6335" t="s">
        <v>40</v>
      </c>
      <c r="D6335">
        <v>4.9445309999999996</v>
      </c>
      <c r="E6335">
        <v>0.54903459999999904</v>
      </c>
      <c r="F6335" t="s">
        <v>77</v>
      </c>
      <c r="G6335">
        <v>-196.2089</v>
      </c>
      <c r="H6335" s="1">
        <v>-1.485578E-5</v>
      </c>
      <c r="I6335">
        <v>159.1326</v>
      </c>
      <c r="J6335">
        <v>-191.99940000000001</v>
      </c>
      <c r="K6335">
        <v>1.1095980000000001</v>
      </c>
      <c r="L6335">
        <v>171.982</v>
      </c>
      <c r="M6335">
        <v>8.6644500000000006E-3</v>
      </c>
      <c r="N6335">
        <v>0</v>
      </c>
      <c r="O6335">
        <v>-0.99992190000000003</v>
      </c>
      <c r="P6335">
        <v>-0.18327979999999999</v>
      </c>
      <c r="Q6335">
        <v>2.0153770000000001E-2</v>
      </c>
      <c r="R6335">
        <v>-0.98285429999999996</v>
      </c>
      <c r="S6335">
        <v>-0.93901060000000003</v>
      </c>
      <c r="T6335">
        <v>-0.24752660000000001</v>
      </c>
      <c r="U6335">
        <v>-2.8825379999999998</v>
      </c>
      <c r="V6335">
        <v>0.191825</v>
      </c>
      <c r="W6335">
        <v>2.8762019999999999E-2</v>
      </c>
      <c r="X6335">
        <v>0.98100759999999998</v>
      </c>
      <c r="Y6335">
        <v>0.3169401</v>
      </c>
      <c r="Z6335">
        <v>8.1259349999999994E-2</v>
      </c>
      <c r="AA6335">
        <v>0.94495819999999997</v>
      </c>
      <c r="AB6335">
        <v>14</v>
      </c>
      <c r="AC6335">
        <v>-4.2094999999999896</v>
      </c>
      <c r="AD6335">
        <v>-1.10961285577999</v>
      </c>
      <c r="AE6335">
        <v>-12.849399999999999</v>
      </c>
      <c r="AF6335">
        <v>4.2917766818251897</v>
      </c>
      <c r="AG6335">
        <v>-1.10961285577999</v>
      </c>
      <c r="AH6335">
        <v>12.7267354756223</v>
      </c>
      <c r="AI6335">
        <v>94.722845481391005</v>
      </c>
      <c r="AJ6335">
        <v>71.364594161647403</v>
      </c>
      <c r="AK6335">
        <v>13.4766607007386</v>
      </c>
      <c r="AL6335">
        <v>88.351830344446995</v>
      </c>
      <c r="AM6335">
        <v>78.936056661117306</v>
      </c>
      <c r="AN6335">
        <v>0.99999999783862004</v>
      </c>
    </row>
    <row r="6336" spans="1:40" x14ac:dyDescent="0.25">
      <c r="A6336" t="str">
        <f>"20190312150818115"</f>
        <v>20190312150818115</v>
      </c>
      <c r="B6336" t="str">
        <f>"1552374498106220"</f>
        <v>1552374498106220</v>
      </c>
      <c r="C6336" t="s">
        <v>40</v>
      </c>
      <c r="D6336">
        <v>4.6485669999999999</v>
      </c>
      <c r="E6336">
        <v>0.54913819999999902</v>
      </c>
      <c r="F6336" t="s">
        <v>77</v>
      </c>
      <c r="G6336">
        <v>-196.22790000000001</v>
      </c>
      <c r="H6336" s="1">
        <v>-1.483017E-5</v>
      </c>
      <c r="I6336">
        <v>159.0308</v>
      </c>
      <c r="J6336">
        <v>-191.99940000000001</v>
      </c>
      <c r="K6336">
        <v>1.109583</v>
      </c>
      <c r="L6336">
        <v>171.9085</v>
      </c>
      <c r="M6336">
        <v>8.0630249999999997E-3</v>
      </c>
      <c r="N6336">
        <v>0</v>
      </c>
      <c r="O6336">
        <v>-0.99992669999999995</v>
      </c>
      <c r="P6336">
        <v>-0.1842531</v>
      </c>
      <c r="Q6336">
        <v>2.0379390000000001E-2</v>
      </c>
      <c r="R6336">
        <v>-0.98266770000000003</v>
      </c>
      <c r="S6336">
        <v>-0.94094849999999997</v>
      </c>
      <c r="T6336">
        <v>-0.2469133</v>
      </c>
      <c r="U6336">
        <v>-2.8819270000000001</v>
      </c>
      <c r="V6336">
        <v>0.19220780000000001</v>
      </c>
      <c r="W6336">
        <v>2.8994619999999999E-2</v>
      </c>
      <c r="X6336">
        <v>0.98092579999999996</v>
      </c>
      <c r="Y6336">
        <v>0.31700810000000001</v>
      </c>
      <c r="Z6336">
        <v>8.1067139999999996E-2</v>
      </c>
      <c r="AA6336">
        <v>0.94495180000000001</v>
      </c>
      <c r="AB6336">
        <v>14</v>
      </c>
      <c r="AC6336">
        <v>-4.2284999999999897</v>
      </c>
      <c r="AD6336">
        <v>-1.10959783017</v>
      </c>
      <c r="AE6336">
        <v>-12.877700000000001</v>
      </c>
      <c r="AF6336">
        <v>4.3033601103851096</v>
      </c>
      <c r="AG6336">
        <v>-1.10959783017</v>
      </c>
      <c r="AH6336">
        <v>12.757687127711501</v>
      </c>
      <c r="AI6336">
        <v>94.711247881526205</v>
      </c>
      <c r="AJ6336">
        <v>71.359974052448905</v>
      </c>
      <c r="AK6336">
        <v>13.509577951695899</v>
      </c>
      <c r="AL6336">
        <v>88.338497748789905</v>
      </c>
      <c r="AM6336">
        <v>78.913622638800504</v>
      </c>
      <c r="AN6336">
        <v>0.99999997573771104</v>
      </c>
    </row>
    <row r="6337" spans="1:40" x14ac:dyDescent="0.25">
      <c r="A6337" t="str">
        <f>"20190312150818128"</f>
        <v>20190312150818128</v>
      </c>
      <c r="B6337" t="str">
        <f>"1552374498115980"</f>
        <v>1552374498115980</v>
      </c>
      <c r="C6337" t="s">
        <v>40</v>
      </c>
      <c r="D6337">
        <v>4.614884</v>
      </c>
      <c r="E6337">
        <v>0.54915029999999998</v>
      </c>
      <c r="F6337" t="s">
        <v>77</v>
      </c>
      <c r="G6337">
        <v>-196.2381</v>
      </c>
      <c r="H6337" s="1">
        <v>-1.4817560000000001E-5</v>
      </c>
      <c r="I6337">
        <v>158.98070000000001</v>
      </c>
      <c r="J6337">
        <v>-191.99950000000001</v>
      </c>
      <c r="K6337">
        <v>1.109569</v>
      </c>
      <c r="L6337">
        <v>171.82939999999999</v>
      </c>
      <c r="M6337">
        <v>7.40807599999999E-3</v>
      </c>
      <c r="N6337">
        <v>0</v>
      </c>
      <c r="O6337">
        <v>-0.99993180000000004</v>
      </c>
      <c r="P6337">
        <v>-0.18507580000000001</v>
      </c>
      <c r="Q6337">
        <v>2.024277E-2</v>
      </c>
      <c r="R6337">
        <v>-0.98251580000000005</v>
      </c>
      <c r="S6337">
        <v>-0.94458010000000003</v>
      </c>
      <c r="T6337">
        <v>-0.2472705</v>
      </c>
      <c r="U6337">
        <v>-2.8809200000000001</v>
      </c>
      <c r="V6337">
        <v>0.19238720000000001</v>
      </c>
      <c r="W6337">
        <v>2.8866880000000001E-2</v>
      </c>
      <c r="X6337">
        <v>0.98089440000000006</v>
      </c>
      <c r="Y6337">
        <v>0.31755739999999999</v>
      </c>
      <c r="Z6337">
        <v>8.1187960000000003E-2</v>
      </c>
      <c r="AA6337">
        <v>0.94475699999999996</v>
      </c>
      <c r="AB6337">
        <v>14</v>
      </c>
      <c r="AC6337">
        <v>-4.2385999999999902</v>
      </c>
      <c r="AD6337">
        <v>-1.1095838175599999</v>
      </c>
      <c r="AE6337">
        <v>-12.8486999999999</v>
      </c>
      <c r="AF6337">
        <v>4.3047193532204897</v>
      </c>
      <c r="AG6337">
        <v>-1.1095838175599999</v>
      </c>
      <c r="AH6337">
        <v>12.7313189099327</v>
      </c>
      <c r="AI6337">
        <v>94.719754831196994</v>
      </c>
      <c r="AJ6337">
        <v>71.3185529813247</v>
      </c>
      <c r="AK6337">
        <v>13.4851127598026</v>
      </c>
      <c r="AL6337">
        <v>88.345819779991601</v>
      </c>
      <c r="AM6337">
        <v>78.903185301880697</v>
      </c>
      <c r="AN6337">
        <v>0.99999997771806604</v>
      </c>
    </row>
    <row r="6338" spans="1:40" x14ac:dyDescent="0.25">
      <c r="A6338" t="str">
        <f>"20190312150818140"</f>
        <v>20190312150818140</v>
      </c>
      <c r="B6338" t="str">
        <f>"1552374498136477"</f>
        <v>1552374498136477</v>
      </c>
      <c r="C6338" t="s">
        <v>40</v>
      </c>
      <c r="D6338">
        <v>4.6265289999999997</v>
      </c>
      <c r="E6338">
        <v>0.54906980000000005</v>
      </c>
      <c r="F6338" t="s">
        <v>77</v>
      </c>
      <c r="G6338">
        <v>-196.2458</v>
      </c>
      <c r="H6338" s="1">
        <v>-1.480098E-5</v>
      </c>
      <c r="I6338">
        <v>158.91480000000001</v>
      </c>
      <c r="J6338">
        <v>-191.99969999999999</v>
      </c>
      <c r="K6338">
        <v>1.1095619999999999</v>
      </c>
      <c r="L6338">
        <v>171.75579999999999</v>
      </c>
      <c r="M6338">
        <v>6.7842780000000004E-3</v>
      </c>
      <c r="N6338">
        <v>0</v>
      </c>
      <c r="O6338">
        <v>-0.99993600000000005</v>
      </c>
      <c r="P6338">
        <v>-0.1861081</v>
      </c>
      <c r="Q6338">
        <v>2.0173139999999999E-2</v>
      </c>
      <c r="R6338">
        <v>-0.98232220000000003</v>
      </c>
      <c r="S6338">
        <v>-0.94697569999999998</v>
      </c>
      <c r="T6338">
        <v>-0.2474499</v>
      </c>
      <c r="U6338">
        <v>-2.880112</v>
      </c>
      <c r="V6338">
        <v>0.19280649999999999</v>
      </c>
      <c r="W6338">
        <v>2.880539E-2</v>
      </c>
      <c r="X6338">
        <v>0.98081390000000002</v>
      </c>
      <c r="Y6338">
        <v>0.31775229999999999</v>
      </c>
      <c r="Z6338">
        <v>8.1255610000000006E-2</v>
      </c>
      <c r="AA6338">
        <v>0.94468569999999996</v>
      </c>
      <c r="AB6338">
        <v>14</v>
      </c>
      <c r="AC6338">
        <v>-4.24610000000001</v>
      </c>
      <c r="AD6338">
        <v>-1.10957680098</v>
      </c>
      <c r="AE6338">
        <v>-12.8409999999999</v>
      </c>
      <c r="AF6338">
        <v>4.3041533426684104</v>
      </c>
      <c r="AG6338">
        <v>-1.10957680098</v>
      </c>
      <c r="AH6338">
        <v>12.7262416635675</v>
      </c>
      <c r="AI6338">
        <v>94.721470615096493</v>
      </c>
      <c r="AJ6338">
        <v>71.313903928237806</v>
      </c>
      <c r="AK6338">
        <v>13.480138113313201</v>
      </c>
      <c r="AL6338">
        <v>88.349344402814097</v>
      </c>
      <c r="AM6338">
        <v>78.878712476329596</v>
      </c>
      <c r="AN6338">
        <v>1.0000000016842501</v>
      </c>
    </row>
    <row r="6339" spans="1:40" x14ac:dyDescent="0.25">
      <c r="A6339" t="str">
        <f>"20190312150818151"</f>
        <v>20190312150818151</v>
      </c>
      <c r="B6339" t="str">
        <f>"1552374498146237"</f>
        <v>1552374498146237</v>
      </c>
      <c r="C6339" t="s">
        <v>40</v>
      </c>
      <c r="D6339">
        <v>4.5432350000000001</v>
      </c>
      <c r="E6339">
        <v>0.54900090000000001</v>
      </c>
      <c r="F6339" t="s">
        <v>77</v>
      </c>
      <c r="G6339">
        <v>-196.208</v>
      </c>
      <c r="H6339" s="1">
        <v>-1.482063E-5</v>
      </c>
      <c r="I6339">
        <v>158.99289999999999</v>
      </c>
      <c r="J6339">
        <v>-191.9999</v>
      </c>
      <c r="K6339">
        <v>1.109559</v>
      </c>
      <c r="L6339">
        <v>171.68960000000001</v>
      </c>
      <c r="M6339">
        <v>6.2158229999999997E-3</v>
      </c>
      <c r="N6339">
        <v>0</v>
      </c>
      <c r="O6339">
        <v>-0.99993960000000004</v>
      </c>
      <c r="P6339">
        <v>-0.18694810000000001</v>
      </c>
      <c r="Q6339">
        <v>2.0357589999999998E-2</v>
      </c>
      <c r="R6339">
        <v>-0.982159</v>
      </c>
      <c r="S6339">
        <v>-0.94938659999999997</v>
      </c>
      <c r="T6339">
        <v>-0.25031569999999997</v>
      </c>
      <c r="U6339">
        <v>-2.879257</v>
      </c>
      <c r="V6339">
        <v>0.19308839999999999</v>
      </c>
      <c r="W6339">
        <v>2.8998900000000001E-2</v>
      </c>
      <c r="X6339">
        <v>0.98075270000000003</v>
      </c>
      <c r="Y6339">
        <v>0.31798599999999999</v>
      </c>
      <c r="Z6339">
        <v>8.2199770000000005E-2</v>
      </c>
      <c r="AA6339">
        <v>0.94452530000000001</v>
      </c>
      <c r="AB6339">
        <v>14</v>
      </c>
      <c r="AC6339">
        <v>-4.2081</v>
      </c>
      <c r="AD6339">
        <v>-1.1095738206300001</v>
      </c>
      <c r="AE6339">
        <v>-12.6967</v>
      </c>
      <c r="AF6339">
        <v>4.2576444642198004</v>
      </c>
      <c r="AG6339">
        <v>-1.1095738206300001</v>
      </c>
      <c r="AH6339">
        <v>12.5837051947452</v>
      </c>
      <c r="AI6339">
        <v>94.774497663445999</v>
      </c>
      <c r="AJ6339">
        <v>71.306964440784</v>
      </c>
      <c r="AK6339">
        <v>13.3307286700835</v>
      </c>
      <c r="AL6339">
        <v>88.338252397661805</v>
      </c>
      <c r="AM6339">
        <v>78.862180797066003</v>
      </c>
      <c r="AN6339">
        <v>0.999999962486529</v>
      </c>
    </row>
    <row r="6340" spans="1:40" x14ac:dyDescent="0.25">
      <c r="A6340" t="str">
        <f>"20190312150818162"</f>
        <v>20190312150818162</v>
      </c>
      <c r="B6340" t="str">
        <f>"1552374498155996"</f>
        <v>1552374498155996</v>
      </c>
      <c r="C6340" t="s">
        <v>40</v>
      </c>
      <c r="D6340">
        <v>4.6362290000000002</v>
      </c>
      <c r="E6340">
        <v>0.54908599999999996</v>
      </c>
      <c r="F6340" t="s">
        <v>77</v>
      </c>
      <c r="G6340">
        <v>-196.19720000000001</v>
      </c>
      <c r="H6340" s="1">
        <v>-1.4819159999999999E-5</v>
      </c>
      <c r="I6340">
        <v>158.98699999999999</v>
      </c>
      <c r="J6340">
        <v>-192.00020000000001</v>
      </c>
      <c r="K6340">
        <v>1.109556</v>
      </c>
      <c r="L6340">
        <v>171.61490000000001</v>
      </c>
      <c r="M6340">
        <v>5.5697630000000001E-3</v>
      </c>
      <c r="N6340">
        <v>0</v>
      </c>
      <c r="O6340">
        <v>-0.99994329999999998</v>
      </c>
      <c r="P6340">
        <v>-0.18794540000000001</v>
      </c>
      <c r="Q6340">
        <v>2.0731619999999999E-2</v>
      </c>
      <c r="R6340">
        <v>-0.98196070000000002</v>
      </c>
      <c r="S6340">
        <v>-0.95118709999999995</v>
      </c>
      <c r="T6340">
        <v>-0.2514498</v>
      </c>
      <c r="U6340">
        <v>-2.8786320000000001</v>
      </c>
      <c r="V6340">
        <v>0.1934514</v>
      </c>
      <c r="W6340">
        <v>2.938259E-2</v>
      </c>
      <c r="X6340">
        <v>0.98066980000000004</v>
      </c>
      <c r="Y6340">
        <v>0.31795770000000001</v>
      </c>
      <c r="Z6340">
        <v>8.2579490000000005E-2</v>
      </c>
      <c r="AA6340">
        <v>0.94450179999999995</v>
      </c>
      <c r="AB6340">
        <v>14</v>
      </c>
      <c r="AC6340">
        <v>-4.1970000000000001</v>
      </c>
      <c r="AD6340">
        <v>-1.10957081916</v>
      </c>
      <c r="AE6340">
        <v>-12.6279</v>
      </c>
      <c r="AF6340">
        <v>4.2378086458796398</v>
      </c>
      <c r="AG6340">
        <v>-1.10957081916</v>
      </c>
      <c r="AH6340">
        <v>12.517299761370101</v>
      </c>
      <c r="AI6340">
        <v>94.7993908214181</v>
      </c>
      <c r="AJ6340">
        <v>71.296154355180505</v>
      </c>
      <c r="AK6340">
        <v>13.2617104039343</v>
      </c>
      <c r="AL6340">
        <v>88.316259301535297</v>
      </c>
      <c r="AM6340">
        <v>78.840847426525997</v>
      </c>
      <c r="AN6340">
        <v>1.0000000186945499</v>
      </c>
    </row>
    <row r="6341" spans="1:40" x14ac:dyDescent="0.25">
      <c r="A6341" t="str">
        <f>"20190312150818174"</f>
        <v>20190312150818174</v>
      </c>
      <c r="B6341" t="str">
        <f>"1552374498166732"</f>
        <v>1552374498166732</v>
      </c>
      <c r="C6341" t="s">
        <v>40</v>
      </c>
      <c r="D6341">
        <v>4.602754</v>
      </c>
      <c r="E6341">
        <v>0.54913409999999996</v>
      </c>
      <c r="F6341" t="s">
        <v>77</v>
      </c>
      <c r="G6341">
        <v>-196.22139999999999</v>
      </c>
      <c r="H6341" s="1">
        <v>-1.4794890000000001E-5</v>
      </c>
      <c r="I6341">
        <v>158.89060000000001</v>
      </c>
      <c r="J6341">
        <v>-192.00049999999999</v>
      </c>
      <c r="K6341">
        <v>1.1095569999999999</v>
      </c>
      <c r="L6341">
        <v>171.54150000000001</v>
      </c>
      <c r="M6341">
        <v>4.9282739999999998E-3</v>
      </c>
      <c r="N6341">
        <v>0</v>
      </c>
      <c r="O6341">
        <v>-0.99994649999999996</v>
      </c>
      <c r="P6341">
        <v>-0.18898429999999999</v>
      </c>
      <c r="Q6341">
        <v>2.1064929999999999E-2</v>
      </c>
      <c r="R6341">
        <v>-0.98175420000000002</v>
      </c>
      <c r="S6341">
        <v>-0.95466609999999996</v>
      </c>
      <c r="T6341">
        <v>-0.25093660000000001</v>
      </c>
      <c r="U6341">
        <v>-2.8776860000000002</v>
      </c>
      <c r="V6341">
        <v>0.19386039999999999</v>
      </c>
      <c r="W6341">
        <v>2.9726240000000001E-2</v>
      </c>
      <c r="X6341">
        <v>0.98057870000000003</v>
      </c>
      <c r="Y6341">
        <v>0.31847560000000003</v>
      </c>
      <c r="Z6341">
        <v>8.2415660000000002E-2</v>
      </c>
      <c r="AA6341">
        <v>0.94434149999999994</v>
      </c>
      <c r="AB6341">
        <v>14</v>
      </c>
      <c r="AC6341">
        <v>-4.2209000000000003</v>
      </c>
      <c r="AD6341">
        <v>-1.1095717948899999</v>
      </c>
      <c r="AE6341">
        <v>-12.6509</v>
      </c>
      <c r="AF6341">
        <v>4.2537540779239897</v>
      </c>
      <c r="AG6341">
        <v>-1.1095717948899999</v>
      </c>
      <c r="AH6341">
        <v>12.543120693141899</v>
      </c>
      <c r="AI6341">
        <v>94.788729029994698</v>
      </c>
      <c r="AJ6341">
        <v>71.266637932136206</v>
      </c>
      <c r="AK6341">
        <v>13.2911794076446</v>
      </c>
      <c r="AL6341">
        <v>88.296561048037503</v>
      </c>
      <c r="AM6341">
        <v>78.816835715149793</v>
      </c>
      <c r="AN6341">
        <v>1.0000000454631901</v>
      </c>
    </row>
    <row r="6342" spans="1:40" x14ac:dyDescent="0.25">
      <c r="A6342" t="str">
        <f>"20190312150818187"</f>
        <v>20190312150818187</v>
      </c>
      <c r="B6342" t="str">
        <f>"1552374498176493"</f>
        <v>1552374498176493</v>
      </c>
      <c r="C6342" t="s">
        <v>40</v>
      </c>
      <c r="D6342">
        <v>4.5955490000000001</v>
      </c>
      <c r="E6342">
        <v>0.54919079999999998</v>
      </c>
      <c r="F6342" t="s">
        <v>77</v>
      </c>
      <c r="G6342">
        <v>-196.2372</v>
      </c>
      <c r="H6342" s="1">
        <v>-1.4776970000000001E-5</v>
      </c>
      <c r="I6342">
        <v>158.8194</v>
      </c>
      <c r="J6342">
        <v>-192.0009</v>
      </c>
      <c r="K6342">
        <v>1.1095569999999999</v>
      </c>
      <c r="L6342">
        <v>171.46850000000001</v>
      </c>
      <c r="M6342">
        <v>4.2894760000000004E-3</v>
      </c>
      <c r="N6342">
        <v>0</v>
      </c>
      <c r="O6342">
        <v>-0.99994939999999999</v>
      </c>
      <c r="P6342">
        <v>-0.19004789999999999</v>
      </c>
      <c r="Q6342">
        <v>2.1584450000000002E-2</v>
      </c>
      <c r="R6342">
        <v>-0.98153749999999995</v>
      </c>
      <c r="S6342">
        <v>-0.95800779999999996</v>
      </c>
      <c r="T6342">
        <v>-0.2508976</v>
      </c>
      <c r="U6342">
        <v>-2.8767399999999999</v>
      </c>
      <c r="V6342">
        <v>0.194297</v>
      </c>
      <c r="W6342">
        <v>3.0256249999999998E-2</v>
      </c>
      <c r="X6342">
        <v>0.98047600000000001</v>
      </c>
      <c r="Y6342">
        <v>0.31895099999999998</v>
      </c>
      <c r="Z6342">
        <v>8.2407499999999995E-2</v>
      </c>
      <c r="AA6342">
        <v>0.94418179999999996</v>
      </c>
      <c r="AB6342">
        <v>14</v>
      </c>
      <c r="AC6342">
        <v>-4.2363</v>
      </c>
      <c r="AD6342">
        <v>-1.10957177697</v>
      </c>
      <c r="AE6342">
        <v>-12.649100000000001</v>
      </c>
      <c r="AF6342">
        <v>4.26104054505804</v>
      </c>
      <c r="AG6342">
        <v>-1.10957177697</v>
      </c>
      <c r="AH6342">
        <v>12.544023396102601</v>
      </c>
      <c r="AI6342">
        <v>94.787578823635698</v>
      </c>
      <c r="AJ6342">
        <v>71.238048216330796</v>
      </c>
      <c r="AK6342">
        <v>13.294364934694901</v>
      </c>
      <c r="AL6342">
        <v>88.266179925465494</v>
      </c>
      <c r="AM6342">
        <v>78.791142367336604</v>
      </c>
      <c r="AN6342">
        <v>0.99999997572453003</v>
      </c>
    </row>
    <row r="6343" spans="1:40" x14ac:dyDescent="0.25">
      <c r="A6343" t="str">
        <f>"20190312150818203"</f>
        <v>20190312150818203</v>
      </c>
      <c r="B6343" t="str">
        <f>"1552374498196012"</f>
        <v>1552374498196012</v>
      </c>
      <c r="C6343" t="s">
        <v>40</v>
      </c>
      <c r="D6343">
        <v>4.6796689999999996</v>
      </c>
      <c r="E6343">
        <v>0.54921350000000002</v>
      </c>
      <c r="F6343" t="s">
        <v>77</v>
      </c>
      <c r="G6343">
        <v>-196.27420000000001</v>
      </c>
      <c r="H6343" s="1">
        <v>-1.474424E-5</v>
      </c>
      <c r="I6343">
        <v>158.6893</v>
      </c>
      <c r="J6343">
        <v>-192.00149999999999</v>
      </c>
      <c r="K6343">
        <v>1.109564</v>
      </c>
      <c r="L6343">
        <v>171.36369999999999</v>
      </c>
      <c r="M6343">
        <v>3.3699490000000001E-3</v>
      </c>
      <c r="N6343">
        <v>0</v>
      </c>
      <c r="O6343">
        <v>-0.99995299999999998</v>
      </c>
      <c r="P6343">
        <v>-0.19211909999999999</v>
      </c>
      <c r="Q6343">
        <v>2.2338750000000001E-2</v>
      </c>
      <c r="R6343">
        <v>-0.98111760000000003</v>
      </c>
      <c r="S6343">
        <v>-0.96163940000000003</v>
      </c>
      <c r="T6343">
        <v>-0.24968899999999999</v>
      </c>
      <c r="U6343">
        <v>-2.8757320000000002</v>
      </c>
      <c r="V6343">
        <v>0.19546530000000001</v>
      </c>
      <c r="W6343">
        <v>3.1024070000000001E-2</v>
      </c>
      <c r="X6343">
        <v>0.98021979999999997</v>
      </c>
      <c r="Y6343">
        <v>0.31926189999999999</v>
      </c>
      <c r="Z6343">
        <v>8.2020599999999999E-2</v>
      </c>
      <c r="AA6343">
        <v>0.94411040000000002</v>
      </c>
      <c r="AB6343">
        <v>14</v>
      </c>
      <c r="AC6343">
        <v>-4.2727000000000102</v>
      </c>
      <c r="AD6343">
        <v>-1.10957874424</v>
      </c>
      <c r="AE6343">
        <v>-12.674399999999901</v>
      </c>
      <c r="AF6343">
        <v>4.2858940576977904</v>
      </c>
      <c r="AG6343">
        <v>-1.10957874424</v>
      </c>
      <c r="AH6343">
        <v>12.573398513523101</v>
      </c>
      <c r="AI6343">
        <v>94.774760257383804</v>
      </c>
      <c r="AJ6343">
        <v>71.177297749771</v>
      </c>
      <c r="AK6343">
        <v>13.3300563781007</v>
      </c>
      <c r="AL6343">
        <v>88.222166484944793</v>
      </c>
      <c r="AM6343">
        <v>78.722594116698303</v>
      </c>
      <c r="AN6343">
        <v>1.0000000163677401</v>
      </c>
    </row>
    <row r="6344" spans="1:40" x14ac:dyDescent="0.25">
      <c r="A6344" t="str">
        <f>"20190312150818217"</f>
        <v>20190312150818217</v>
      </c>
      <c r="B6344" t="str">
        <f>"1552374498206748"</f>
        <v>1552374498206748</v>
      </c>
      <c r="C6344" t="s">
        <v>40</v>
      </c>
      <c r="D6344">
        <v>4.6211699999999896</v>
      </c>
      <c r="E6344">
        <v>0.54859019999999903</v>
      </c>
      <c r="F6344" t="s">
        <v>77</v>
      </c>
      <c r="G6344">
        <v>-196.32579999999999</v>
      </c>
      <c r="H6344" s="1">
        <v>-1.470184E-5</v>
      </c>
      <c r="I6344">
        <v>158.52080000000001</v>
      </c>
      <c r="J6344">
        <v>-192.00200000000001</v>
      </c>
      <c r="K6344">
        <v>1.1095729999999999</v>
      </c>
      <c r="L6344">
        <v>171.28200000000001</v>
      </c>
      <c r="M6344">
        <v>2.6543869999999998E-3</v>
      </c>
      <c r="N6344">
        <v>0</v>
      </c>
      <c r="O6344">
        <v>-0.99995509999999999</v>
      </c>
      <c r="P6344">
        <v>-0.19321479999999999</v>
      </c>
      <c r="Q6344">
        <v>2.2318060000000001E-2</v>
      </c>
      <c r="R6344">
        <v>-0.98090310000000003</v>
      </c>
      <c r="S6344">
        <v>-0.96766660000000004</v>
      </c>
      <c r="T6344">
        <v>-0.2482934</v>
      </c>
      <c r="U6344">
        <v>-2.873901</v>
      </c>
      <c r="V6344">
        <v>0.195858</v>
      </c>
      <c r="W6344">
        <v>3.1016439999999999E-2</v>
      </c>
      <c r="X6344">
        <v>0.98014159999999995</v>
      </c>
      <c r="Y6344">
        <v>0.32055600000000001</v>
      </c>
      <c r="Z6344">
        <v>8.1569989999999995E-2</v>
      </c>
      <c r="AA6344">
        <v>0.94371090000000002</v>
      </c>
      <c r="AB6344">
        <v>14</v>
      </c>
      <c r="AC6344">
        <v>-4.3237999999999701</v>
      </c>
      <c r="AD6344">
        <v>-1.10958770184</v>
      </c>
      <c r="AE6344">
        <v>-12.761200000000001</v>
      </c>
      <c r="AF6344">
        <v>4.3283057858302101</v>
      </c>
      <c r="AG6344">
        <v>-1.10958770184</v>
      </c>
      <c r="AH6344">
        <v>12.663794667711</v>
      </c>
      <c r="AI6344">
        <v>94.739550101697702</v>
      </c>
      <c r="AJ6344">
        <v>71.130297949716294</v>
      </c>
      <c r="AK6344">
        <v>13.428965381952199</v>
      </c>
      <c r="AL6344">
        <v>88.222603772459294</v>
      </c>
      <c r="AM6344">
        <v>78.699641243926195</v>
      </c>
      <c r="AN6344">
        <v>0.99999996588241602</v>
      </c>
    </row>
    <row r="6345" spans="1:40" x14ac:dyDescent="0.25">
      <c r="A6345" t="str">
        <f>"20190312150818232"</f>
        <v>20190312150818232</v>
      </c>
      <c r="B6345" t="str">
        <f>"1552374498226268"</f>
        <v>1552374498226268</v>
      </c>
      <c r="C6345" t="s">
        <v>40</v>
      </c>
      <c r="D6345">
        <v>4.7864019999999998</v>
      </c>
      <c r="E6345">
        <v>0.5170863</v>
      </c>
      <c r="F6345" t="s">
        <v>77</v>
      </c>
      <c r="G6345">
        <v>-196.36760000000001</v>
      </c>
      <c r="H6345" s="1">
        <v>-1.46455399999999E-5</v>
      </c>
      <c r="I6345">
        <v>158.297</v>
      </c>
      <c r="J6345">
        <v>-192.0027</v>
      </c>
      <c r="K6345">
        <v>1.1095870000000001</v>
      </c>
      <c r="L6345">
        <v>171.19120000000001</v>
      </c>
      <c r="M6345">
        <v>1.861857E-3</v>
      </c>
      <c r="N6345">
        <v>0</v>
      </c>
      <c r="O6345">
        <v>-0.99995670000000003</v>
      </c>
      <c r="P6345">
        <v>-0.19457669999999999</v>
      </c>
      <c r="Q6345">
        <v>2.2363350000000001E-2</v>
      </c>
      <c r="R6345">
        <v>-0.98063259999999997</v>
      </c>
      <c r="S6345">
        <v>-0.96612549999999997</v>
      </c>
      <c r="T6345">
        <v>-0.24555949999999999</v>
      </c>
      <c r="U6345">
        <v>-2.873672</v>
      </c>
      <c r="V6345">
        <v>0.1964418</v>
      </c>
      <c r="W6345">
        <v>3.107507E-2</v>
      </c>
      <c r="X6345">
        <v>0.98002299999999998</v>
      </c>
      <c r="Y6345">
        <v>0.31939590000000001</v>
      </c>
      <c r="Z6345">
        <v>8.0707269999999998E-2</v>
      </c>
      <c r="AA6345">
        <v>0.94417830000000003</v>
      </c>
      <c r="AB6345">
        <v>14</v>
      </c>
      <c r="AC6345">
        <v>-4.3648999999999996</v>
      </c>
      <c r="AD6345">
        <v>-1.10960164554</v>
      </c>
      <c r="AE6345">
        <v>-12.8942</v>
      </c>
      <c r="AF6345">
        <v>4.3599332406035103</v>
      </c>
      <c r="AG6345">
        <v>-1.10960164554</v>
      </c>
      <c r="AH6345">
        <v>12.8010007855318</v>
      </c>
      <c r="AI6345">
        <v>94.6907380029796</v>
      </c>
      <c r="AJ6345">
        <v>71.191508625906806</v>
      </c>
      <c r="AK6345">
        <v>13.568561264389499</v>
      </c>
      <c r="AL6345">
        <v>88.219243069536304</v>
      </c>
      <c r="AM6345">
        <v>78.665492391972606</v>
      </c>
      <c r="AN6345">
        <v>1.0000000606458701</v>
      </c>
    </row>
    <row r="6346" spans="1:40" x14ac:dyDescent="0.25">
      <c r="A6346" t="str">
        <f>"20190312150818246"</f>
        <v>20190312150818246</v>
      </c>
      <c r="B6346" t="str">
        <f>"1552374498236028"</f>
        <v>1552374498236028</v>
      </c>
      <c r="C6346" t="s">
        <v>40</v>
      </c>
      <c r="D6346">
        <v>4.6333859999999998</v>
      </c>
      <c r="E6346">
        <v>0.51158400000000004</v>
      </c>
      <c r="F6346" t="s">
        <v>77</v>
      </c>
      <c r="G6346">
        <v>-199.2543</v>
      </c>
      <c r="H6346" s="1">
        <v>-1.004476E-5</v>
      </c>
      <c r="I6346">
        <v>141.83260000000001</v>
      </c>
      <c r="J6346">
        <v>-192.0035</v>
      </c>
      <c r="K6346">
        <v>1.1095969999999999</v>
      </c>
      <c r="L6346">
        <v>171.09360000000001</v>
      </c>
      <c r="M6346">
        <v>1.0136430000000001E-3</v>
      </c>
      <c r="N6346">
        <v>0</v>
      </c>
      <c r="O6346">
        <v>-0.99995789999999996</v>
      </c>
      <c r="P6346">
        <v>-0.1961135</v>
      </c>
      <c r="Q6346">
        <v>2.2279050000000002E-2</v>
      </c>
      <c r="R6346">
        <v>-0.98032850000000005</v>
      </c>
      <c r="S6346">
        <v>-0.72093200000000002</v>
      </c>
      <c r="T6346">
        <v>-0.1103117</v>
      </c>
      <c r="U6346">
        <v>-2.9187159999999999</v>
      </c>
      <c r="V6346">
        <v>0.19714570000000001</v>
      </c>
      <c r="W6346">
        <v>3.100501E-2</v>
      </c>
      <c r="X6346">
        <v>0.97988379999999997</v>
      </c>
      <c r="Y6346">
        <v>0.2406191</v>
      </c>
      <c r="Z6346">
        <v>3.6662649999999998E-2</v>
      </c>
      <c r="AA6346">
        <v>0.96992699999999998</v>
      </c>
      <c r="AB6346">
        <v>14</v>
      </c>
      <c r="AC6346">
        <v>-7.2507999999999901</v>
      </c>
      <c r="AD6346">
        <v>-1.1096070447599999</v>
      </c>
      <c r="AE6346">
        <v>-29.260999999999999</v>
      </c>
      <c r="AF6346">
        <v>7.2706073983183899</v>
      </c>
      <c r="AG6346">
        <v>-1.1096070447599999</v>
      </c>
      <c r="AH6346">
        <v>29.2140553388246</v>
      </c>
      <c r="AI6346">
        <v>92.110832871935798</v>
      </c>
      <c r="AJ6346">
        <v>76.024513718447196</v>
      </c>
      <c r="AK6346">
        <v>30.125636741389702</v>
      </c>
      <c r="AL6346">
        <v>88.223259038266903</v>
      </c>
      <c r="AM6346">
        <v>78.624361208993705</v>
      </c>
      <c r="AN6346">
        <v>0.999999999588014</v>
      </c>
    </row>
    <row r="6347" spans="1:40" x14ac:dyDescent="0.25">
      <c r="A6347" t="str">
        <f>"20190312150818258"</f>
        <v>20190312150818258</v>
      </c>
      <c r="B6347" t="str">
        <f>"1552374498256635"</f>
        <v>1552374498256635</v>
      </c>
      <c r="C6347" t="s">
        <v>40</v>
      </c>
      <c r="D6347">
        <v>4.6609420000000004</v>
      </c>
      <c r="E6347">
        <v>0.50745039999999997</v>
      </c>
      <c r="F6347" t="s">
        <v>77</v>
      </c>
      <c r="G6347">
        <v>-199.79159999999999</v>
      </c>
      <c r="H6347" s="1">
        <v>-8.8714149999999903E-6</v>
      </c>
      <c r="I6347">
        <v>137.6994</v>
      </c>
      <c r="J6347">
        <v>-192.0042</v>
      </c>
      <c r="K6347">
        <v>1.109604</v>
      </c>
      <c r="L6347">
        <v>171.01769999999999</v>
      </c>
      <c r="M6347">
        <v>3.5878560000000002E-4</v>
      </c>
      <c r="N6347">
        <v>0</v>
      </c>
      <c r="O6347">
        <v>-0.99995809999999996</v>
      </c>
      <c r="P6347">
        <v>-0.19717509999999999</v>
      </c>
      <c r="Q6347">
        <v>2.243533E-2</v>
      </c>
      <c r="R6347">
        <v>-0.98011179999999998</v>
      </c>
      <c r="S6347">
        <v>-0.68237300000000001</v>
      </c>
      <c r="T6347">
        <v>-9.7220780000000007E-2</v>
      </c>
      <c r="U6347">
        <v>-2.9259189999999999</v>
      </c>
      <c r="V6347">
        <v>0.19756489999999999</v>
      </c>
      <c r="W6347">
        <v>3.1170860000000002E-2</v>
      </c>
      <c r="X6347">
        <v>0.9797941</v>
      </c>
      <c r="Y6347">
        <v>0.22735250000000001</v>
      </c>
      <c r="Z6347">
        <v>3.2340819999999999E-2</v>
      </c>
      <c r="AA6347">
        <v>0.97327540000000001</v>
      </c>
      <c r="AB6347">
        <v>14</v>
      </c>
      <c r="AC6347">
        <v>-7.7873999999999901</v>
      </c>
      <c r="AD6347">
        <v>-1.109612871415</v>
      </c>
      <c r="AE6347">
        <v>-33.318299999999901</v>
      </c>
      <c r="AF6347">
        <v>7.7911604272557096</v>
      </c>
      <c r="AG6347">
        <v>-1.109612871415</v>
      </c>
      <c r="AH6347">
        <v>33.280503760006198</v>
      </c>
      <c r="AI6347">
        <v>91.859368757945802</v>
      </c>
      <c r="AJ6347">
        <v>76.824008637710506</v>
      </c>
      <c r="AK6347">
        <v>34.198323819266797</v>
      </c>
      <c r="AL6347">
        <v>88.213751930350497</v>
      </c>
      <c r="AM6347">
        <v>78.599789011082706</v>
      </c>
      <c r="AN6347">
        <v>0.99999999530997896</v>
      </c>
    </row>
    <row r="6348" spans="1:40" x14ac:dyDescent="0.25">
      <c r="A6348" t="str">
        <f>"20190312150818338"</f>
        <v>20190312150818338</v>
      </c>
      <c r="B6348" t="str">
        <f>"1552374498336661"</f>
        <v>1552374498336661</v>
      </c>
      <c r="C6348" t="s">
        <v>40</v>
      </c>
      <c r="D6348">
        <v>4.7523739999999997</v>
      </c>
      <c r="E6348">
        <v>0.51319119999999996</v>
      </c>
      <c r="F6348" t="s">
        <v>77</v>
      </c>
      <c r="G6348">
        <v>-199.9417</v>
      </c>
      <c r="H6348" s="1">
        <v>-8.1886759999999994E-6</v>
      </c>
      <c r="I6348">
        <v>135.40129999999999</v>
      </c>
      <c r="J6348">
        <v>-192.00980000000001</v>
      </c>
      <c r="K6348">
        <v>1.1096140000000001</v>
      </c>
      <c r="L6348">
        <v>170.51349999999999</v>
      </c>
      <c r="M6348">
        <v>-3.9066689999999998E-3</v>
      </c>
      <c r="N6348">
        <v>0</v>
      </c>
      <c r="O6348">
        <v>-0.99995009999999995</v>
      </c>
      <c r="P6348">
        <v>-0.20467959999999999</v>
      </c>
      <c r="Q6348">
        <v>2.2062459999999999E-2</v>
      </c>
      <c r="R6348">
        <v>-0.97858049999999996</v>
      </c>
      <c r="S6348">
        <v>-0.65332029999999996</v>
      </c>
      <c r="T6348">
        <v>-9.1329690000000005E-2</v>
      </c>
      <c r="U6348">
        <v>-2.9315030000000002</v>
      </c>
      <c r="V6348">
        <v>0.20089080000000001</v>
      </c>
      <c r="W6348">
        <v>3.08382E-2</v>
      </c>
      <c r="X6348">
        <v>0.97912809999999995</v>
      </c>
      <c r="Y6348">
        <v>0.21360989999999999</v>
      </c>
      <c r="Z6348">
        <v>3.0407110000000001E-2</v>
      </c>
      <c r="AA6348">
        <v>0.97644569999999997</v>
      </c>
      <c r="AB6348">
        <v>14</v>
      </c>
      <c r="AC6348">
        <v>-7.9318999999999802</v>
      </c>
      <c r="AD6348">
        <v>-1.1096221886759901</v>
      </c>
      <c r="AE6348">
        <v>-35.112200000000001</v>
      </c>
      <c r="AF6348">
        <v>7.7872624094710297</v>
      </c>
      <c r="AG6348">
        <v>-1.1096221886759901</v>
      </c>
      <c r="AH6348">
        <v>35.109559285651997</v>
      </c>
      <c r="AI6348">
        <v>91.767284908145996</v>
      </c>
      <c r="AJ6348">
        <v>77.494306332741104</v>
      </c>
      <c r="AK6348">
        <v>35.9799092615348</v>
      </c>
      <c r="AL6348">
        <v>88.232821071235705</v>
      </c>
      <c r="AM6348">
        <v>78.405353246164793</v>
      </c>
      <c r="AN6348">
        <v>0.99999997215674397</v>
      </c>
    </row>
    <row r="6349" spans="1:40" x14ac:dyDescent="0.25">
      <c r="A6349" t="str">
        <f>"20190312150818351"</f>
        <v>20190312150818351</v>
      </c>
      <c r="B6349" t="str">
        <f>"1552374498346421"</f>
        <v>1552374498346421</v>
      </c>
      <c r="C6349" t="s">
        <v>40</v>
      </c>
      <c r="D6349">
        <v>4.5276550000000002</v>
      </c>
      <c r="E6349">
        <v>0.51659009999999905</v>
      </c>
      <c r="F6349" t="s">
        <v>77</v>
      </c>
      <c r="G6349">
        <v>-203.07419999999999</v>
      </c>
      <c r="H6349">
        <v>7.9988180000000006E-2</v>
      </c>
      <c r="I6349">
        <v>125.71980000000001</v>
      </c>
      <c r="J6349">
        <v>-192.01079999999999</v>
      </c>
      <c r="K6349">
        <v>1.109615</v>
      </c>
      <c r="L6349">
        <v>170.4408</v>
      </c>
      <c r="M6349">
        <v>-4.5145410000000004E-3</v>
      </c>
      <c r="N6349">
        <v>0</v>
      </c>
      <c r="O6349">
        <v>-0.99994769999999999</v>
      </c>
      <c r="P6349">
        <v>-0.20584169999999999</v>
      </c>
      <c r="Q6349">
        <v>2.129725E-2</v>
      </c>
      <c r="R6349">
        <v>-0.9783539</v>
      </c>
      <c r="S6349">
        <v>-0.72039790000000004</v>
      </c>
      <c r="T6349">
        <v>-6.7038299999999995E-2</v>
      </c>
      <c r="U6349">
        <v>-2.9164889999999999</v>
      </c>
      <c r="V6349">
        <v>0.20145759999999999</v>
      </c>
      <c r="W6349">
        <v>3.007466E-2</v>
      </c>
      <c r="X6349">
        <v>0.9790354</v>
      </c>
      <c r="Y6349">
        <v>0.23535629999999999</v>
      </c>
      <c r="Z6349">
        <v>2.2321520000000001E-2</v>
      </c>
      <c r="AA6349">
        <v>0.97165279999999998</v>
      </c>
      <c r="AB6349">
        <v>14</v>
      </c>
      <c r="AC6349">
        <v>-11.0634</v>
      </c>
      <c r="AD6349">
        <v>-1.0296268200000001</v>
      </c>
      <c r="AE6349">
        <v>-44.720999999999897</v>
      </c>
      <c r="AF6349">
        <v>10.855961357936</v>
      </c>
      <c r="AG6349">
        <v>-1.0296268200000001</v>
      </c>
      <c r="AH6349">
        <v>44.748140613230298</v>
      </c>
      <c r="AI6349">
        <v>91.280963580133005</v>
      </c>
      <c r="AJ6349">
        <v>76.363418813203495</v>
      </c>
      <c r="AK6349">
        <v>46.057660782272698</v>
      </c>
      <c r="AL6349">
        <v>88.2765890143192</v>
      </c>
      <c r="AM6349">
        <v>78.372458302116996</v>
      </c>
      <c r="AN6349">
        <v>0.99999998211251695</v>
      </c>
    </row>
    <row r="6350" spans="1:40" x14ac:dyDescent="0.25">
      <c r="A6350" t="str">
        <f>"20190312150818363"</f>
        <v>20190312150818363</v>
      </c>
      <c r="B6350" t="str">
        <f>"1552374498356181"</f>
        <v>1552374498356181</v>
      </c>
      <c r="C6350" t="s">
        <v>40</v>
      </c>
      <c r="D6350">
        <v>4.4918709999999997</v>
      </c>
      <c r="E6350">
        <v>0.5184938</v>
      </c>
      <c r="F6350" t="s">
        <v>43</v>
      </c>
      <c r="G6350">
        <v>-209.01079999999999</v>
      </c>
      <c r="H6350">
        <v>-0.05</v>
      </c>
      <c r="I6350">
        <v>104.47150000000001</v>
      </c>
      <c r="J6350">
        <v>-192.0119</v>
      </c>
      <c r="K6350">
        <v>1.109605</v>
      </c>
      <c r="L6350">
        <v>170.35759999999999</v>
      </c>
      <c r="M6350">
        <v>-5.2092609999999998E-3</v>
      </c>
      <c r="N6350">
        <v>0</v>
      </c>
      <c r="O6350">
        <v>-0.9999439</v>
      </c>
      <c r="P6350">
        <v>-0.20699989999999999</v>
      </c>
      <c r="Q6350">
        <v>2.1121810000000001E-2</v>
      </c>
      <c r="R6350">
        <v>-0.9781126</v>
      </c>
      <c r="S6350">
        <v>-0.74983219999999995</v>
      </c>
      <c r="T6350">
        <v>-5.1148060000000002E-2</v>
      </c>
      <c r="U6350">
        <v>-2.9097599999999999</v>
      </c>
      <c r="V6350">
        <v>0.20193659999999999</v>
      </c>
      <c r="W6350">
        <v>2.9900690000000001E-2</v>
      </c>
      <c r="X6350">
        <v>0.97894199999999998</v>
      </c>
      <c r="Y6350">
        <v>0.2444588</v>
      </c>
      <c r="Z6350">
        <v>1.703031E-2</v>
      </c>
      <c r="AA6350">
        <v>0.96951010000000004</v>
      </c>
      <c r="AB6350">
        <v>14</v>
      </c>
      <c r="AC6350">
        <v>-16.9988999999999</v>
      </c>
      <c r="AD6350">
        <v>-1.159605</v>
      </c>
      <c r="AE6350">
        <v>-65.8860999999999</v>
      </c>
      <c r="AF6350">
        <v>16.6506009748915</v>
      </c>
      <c r="AG6350">
        <v>-1.159605</v>
      </c>
      <c r="AH6350">
        <v>65.954606095765698</v>
      </c>
      <c r="AI6350">
        <v>90.976627716173994</v>
      </c>
      <c r="AJ6350">
        <v>75.831421012714301</v>
      </c>
      <c r="AK6350">
        <v>68.033794997991293</v>
      </c>
      <c r="AL6350">
        <v>88.2865611748162</v>
      </c>
      <c r="AM6350">
        <v>78.344485746930602</v>
      </c>
      <c r="AN6350">
        <v>0.999999940523016</v>
      </c>
    </row>
    <row r="6351" spans="1:40" x14ac:dyDescent="0.25">
      <c r="A6351" t="str">
        <f>"20190312150818374"</f>
        <v>20190312150818374</v>
      </c>
      <c r="B6351" t="str">
        <f>"1552374498365941"</f>
        <v>1552374498365941</v>
      </c>
      <c r="C6351" t="s">
        <v>40</v>
      </c>
      <c r="D6351">
        <v>4.5884900000000002</v>
      </c>
      <c r="E6351">
        <v>0.51959889999999997</v>
      </c>
      <c r="F6351" t="s">
        <v>63</v>
      </c>
      <c r="G6351">
        <v>-211.3588</v>
      </c>
      <c r="H6351">
        <v>0.53428379999999998</v>
      </c>
      <c r="I6351">
        <v>97.125460000000004</v>
      </c>
      <c r="J6351">
        <v>-192.01300000000001</v>
      </c>
      <c r="K6351">
        <v>1.1096010000000001</v>
      </c>
      <c r="L6351">
        <v>170.28630000000001</v>
      </c>
      <c r="M6351">
        <v>-5.8042379999999998E-3</v>
      </c>
      <c r="N6351">
        <v>0</v>
      </c>
      <c r="O6351">
        <v>-0.99994110000000003</v>
      </c>
      <c r="P6351">
        <v>-0.20821229999999999</v>
      </c>
      <c r="Q6351">
        <v>2.0847790000000001E-2</v>
      </c>
      <c r="R6351">
        <v>-0.9778616</v>
      </c>
      <c r="S6351">
        <v>-0.76751709999999995</v>
      </c>
      <c r="T6351">
        <v>-2.2822619999999998E-2</v>
      </c>
      <c r="U6351">
        <v>-2.9052120000000001</v>
      </c>
      <c r="V6351">
        <v>0.20256740000000001</v>
      </c>
      <c r="W6351">
        <v>2.962186E-2</v>
      </c>
      <c r="X6351">
        <v>0.97882020000000003</v>
      </c>
      <c r="Y6351">
        <v>0.24979950000000001</v>
      </c>
      <c r="Z6351">
        <v>7.6004180000000003E-3</v>
      </c>
      <c r="AA6351">
        <v>0.96826780000000001</v>
      </c>
      <c r="AB6351">
        <v>14</v>
      </c>
      <c r="AC6351">
        <v>-19.345800000000001</v>
      </c>
      <c r="AD6351">
        <v>-0.57531719999999997</v>
      </c>
      <c r="AE6351">
        <v>-73.160839999999993</v>
      </c>
      <c r="AF6351">
        <v>18.919719808699501</v>
      </c>
      <c r="AG6351">
        <v>-0.57531719999999997</v>
      </c>
      <c r="AH6351">
        <v>73.267665222326301</v>
      </c>
      <c r="AI6351">
        <v>90.435604050821397</v>
      </c>
      <c r="AJ6351">
        <v>75.520955585408103</v>
      </c>
      <c r="AK6351">
        <v>75.673228784367296</v>
      </c>
      <c r="AL6351">
        <v>88.302544130418198</v>
      </c>
      <c r="AM6351">
        <v>78.307662790247505</v>
      </c>
      <c r="AN6351">
        <v>0.99999999503032899</v>
      </c>
    </row>
    <row r="6352" spans="1:40" x14ac:dyDescent="0.25">
      <c r="A6352" t="str">
        <f>"20190312150818386"</f>
        <v>20190312150818386</v>
      </c>
      <c r="B6352" t="str">
        <f>"1552374498376676"</f>
        <v>1552374498376676</v>
      </c>
      <c r="C6352" t="s">
        <v>40</v>
      </c>
      <c r="D6352">
        <v>4.6146050000000001</v>
      </c>
      <c r="E6352">
        <v>0.52088100000000004</v>
      </c>
      <c r="F6352" t="s">
        <v>63</v>
      </c>
      <c r="G6352">
        <v>-211.35910000000001</v>
      </c>
      <c r="H6352">
        <v>1.224024</v>
      </c>
      <c r="I6352">
        <v>98.203720000000004</v>
      </c>
      <c r="J6352">
        <v>-192.01419999999999</v>
      </c>
      <c r="K6352">
        <v>1.109599</v>
      </c>
      <c r="L6352">
        <v>170.21279999999999</v>
      </c>
      <c r="M6352">
        <v>-6.4180269999999998E-3</v>
      </c>
      <c r="N6352">
        <v>0</v>
      </c>
      <c r="O6352">
        <v>-0.99993719999999997</v>
      </c>
      <c r="P6352">
        <v>-0.20947750000000001</v>
      </c>
      <c r="Q6352">
        <v>2.0923609999999999E-2</v>
      </c>
      <c r="R6352">
        <v>-0.97758970000000001</v>
      </c>
      <c r="S6352">
        <v>-0.77885439999999995</v>
      </c>
      <c r="T6352">
        <v>4.6076770000000001E-3</v>
      </c>
      <c r="U6352">
        <v>-2.9019780000000002</v>
      </c>
      <c r="V6352">
        <v>0.20323350000000001</v>
      </c>
      <c r="W6352">
        <v>2.9691450000000001E-2</v>
      </c>
      <c r="X6352">
        <v>0.97867999999999999</v>
      </c>
      <c r="Y6352">
        <v>0.2530094</v>
      </c>
      <c r="Z6352">
        <v>-1.5347339999999901E-3</v>
      </c>
      <c r="AA6352">
        <v>0.96746259999999995</v>
      </c>
      <c r="AB6352">
        <v>14</v>
      </c>
      <c r="AC6352">
        <v>-19.344899999999999</v>
      </c>
      <c r="AD6352">
        <v>0.114425</v>
      </c>
      <c r="AE6352">
        <v>-72.009079999999997</v>
      </c>
      <c r="AF6352">
        <v>18.882281349563499</v>
      </c>
      <c r="AG6352">
        <v>0.114425</v>
      </c>
      <c r="AH6352">
        <v>72.131588249695298</v>
      </c>
      <c r="AI6352">
        <v>89.912072426438996</v>
      </c>
      <c r="AJ6352">
        <v>75.330538749489193</v>
      </c>
      <c r="AK6352">
        <v>74.562186565767206</v>
      </c>
      <c r="AL6352">
        <v>88.298555154077803</v>
      </c>
      <c r="AM6352">
        <v>78.268644874810803</v>
      </c>
      <c r="AN6352">
        <v>0.99999999006267604</v>
      </c>
    </row>
    <row r="6353" spans="1:40" x14ac:dyDescent="0.25">
      <c r="A6353" t="str">
        <f>"20190312150818399"</f>
        <v>20190312150818399</v>
      </c>
      <c r="B6353" t="str">
        <f>"1552374498396196"</f>
        <v>1552374498396196</v>
      </c>
      <c r="C6353" t="s">
        <v>40</v>
      </c>
      <c r="D6353">
        <v>4.5373859999999997</v>
      </c>
      <c r="E6353">
        <v>0.5235784</v>
      </c>
      <c r="F6353" t="s">
        <v>63</v>
      </c>
      <c r="G6353">
        <v>-211.66480000000001</v>
      </c>
      <c r="H6353">
        <v>1.2356819999999999</v>
      </c>
      <c r="I6353">
        <v>98.375470000000007</v>
      </c>
      <c r="J6353">
        <v>-192.0155</v>
      </c>
      <c r="K6353">
        <v>1.109594</v>
      </c>
      <c r="L6353">
        <v>170.13140000000001</v>
      </c>
      <c r="M6353">
        <v>-7.0992090000000004E-3</v>
      </c>
      <c r="N6353">
        <v>0</v>
      </c>
      <c r="O6353">
        <v>-0.99993270000000001</v>
      </c>
      <c r="P6353">
        <v>-0.21066940000000001</v>
      </c>
      <c r="Q6353">
        <v>2.114943E-2</v>
      </c>
      <c r="R6353">
        <v>-0.977329</v>
      </c>
      <c r="S6353">
        <v>-0.79293819999999904</v>
      </c>
      <c r="T6353">
        <v>5.0888060000000004E-3</v>
      </c>
      <c r="U6353">
        <v>-2.8987579999999999</v>
      </c>
      <c r="V6353">
        <v>0.20376059999999999</v>
      </c>
      <c r="W6353">
        <v>2.9907360000000001E-2</v>
      </c>
      <c r="X6353">
        <v>0.97856379999999998</v>
      </c>
      <c r="Y6353">
        <v>0.2569958</v>
      </c>
      <c r="Z6353">
        <v>-1.69483E-3</v>
      </c>
      <c r="AA6353">
        <v>0.96641109999999997</v>
      </c>
      <c r="AB6353">
        <v>14</v>
      </c>
      <c r="AC6353">
        <v>-19.6493</v>
      </c>
      <c r="AD6353">
        <v>0.12608799999999901</v>
      </c>
      <c r="AE6353">
        <v>-71.755930000000006</v>
      </c>
      <c r="AF6353">
        <v>19.1393180372669</v>
      </c>
      <c r="AG6353">
        <v>0.12608799999999901</v>
      </c>
      <c r="AH6353">
        <v>71.893415480784796</v>
      </c>
      <c r="AI6353">
        <v>89.902895786564002</v>
      </c>
      <c r="AJ6353">
        <v>75.092587953805193</v>
      </c>
      <c r="AK6353">
        <v>74.397530756122194</v>
      </c>
      <c r="AL6353">
        <v>88.286178894029504</v>
      </c>
      <c r="AM6353">
        <v>78.237707589019394</v>
      </c>
      <c r="AN6353">
        <v>0.99999997148248398</v>
      </c>
    </row>
    <row r="6354" spans="1:40" x14ac:dyDescent="0.25">
      <c r="A6354" t="str">
        <f>"20190312150818415"</f>
        <v>20190312150818415</v>
      </c>
      <c r="B6354" t="str">
        <f>"1552374498406933"</f>
        <v>1552374498406933</v>
      </c>
      <c r="C6354" t="s">
        <v>40</v>
      </c>
      <c r="D6354">
        <v>4.5189700000000004</v>
      </c>
      <c r="E6354">
        <v>0.52476909999999999</v>
      </c>
      <c r="F6354" t="s">
        <v>63</v>
      </c>
      <c r="G6354">
        <v>-212.29169999999999</v>
      </c>
      <c r="H6354">
        <v>0.85742090000000004</v>
      </c>
      <c r="I6354">
        <v>98.375470000000007</v>
      </c>
      <c r="J6354">
        <v>-192.01730000000001</v>
      </c>
      <c r="K6354">
        <v>1.1095870000000001</v>
      </c>
      <c r="L6354">
        <v>170.024</v>
      </c>
      <c r="M6354">
        <v>-7.9982219999999993E-3</v>
      </c>
      <c r="N6354">
        <v>0</v>
      </c>
      <c r="O6354">
        <v>-0.99992579999999998</v>
      </c>
      <c r="P6354">
        <v>-0.2128138</v>
      </c>
      <c r="Q6354">
        <v>2.1952449999999998E-2</v>
      </c>
      <c r="R6354">
        <v>-0.97684629999999995</v>
      </c>
      <c r="S6354">
        <v>-0.81764219999999999</v>
      </c>
      <c r="T6354">
        <v>-1.016772E-2</v>
      </c>
      <c r="U6354">
        <v>-2.8935550000000001</v>
      </c>
      <c r="V6354">
        <v>0.20502980000000001</v>
      </c>
      <c r="W6354">
        <v>3.0692339999999999E-2</v>
      </c>
      <c r="X6354">
        <v>0.97827439999999999</v>
      </c>
      <c r="Y6354">
        <v>0.26421830000000002</v>
      </c>
      <c r="Z6354">
        <v>3.385019E-3</v>
      </c>
      <c r="AA6354">
        <v>0.96445700000000001</v>
      </c>
      <c r="AB6354">
        <v>14</v>
      </c>
      <c r="AC6354">
        <v>-20.274399999999901</v>
      </c>
      <c r="AD6354">
        <v>-0.2521661</v>
      </c>
      <c r="AE6354">
        <v>-71.648529999999994</v>
      </c>
      <c r="AF6354">
        <v>19.7004404680237</v>
      </c>
      <c r="AG6354">
        <v>-0.2521661</v>
      </c>
      <c r="AH6354">
        <v>71.807580509236601</v>
      </c>
      <c r="AI6354">
        <v>90.194034514153401</v>
      </c>
      <c r="AJ6354">
        <v>74.658355509249404</v>
      </c>
      <c r="AK6354">
        <v>74.461396447868495</v>
      </c>
      <c r="AL6354">
        <v>88.241182276174399</v>
      </c>
      <c r="AM6354">
        <v>78.163099456679305</v>
      </c>
      <c r="AN6354">
        <v>1.00000002015903</v>
      </c>
    </row>
    <row r="6355" spans="1:40" x14ac:dyDescent="0.25">
      <c r="A6355" t="str">
        <f>"20190312150818429"</f>
        <v>20190312150818429</v>
      </c>
      <c r="B6355" t="str">
        <f>"1552374498416692"</f>
        <v>1552374498416692</v>
      </c>
      <c r="C6355" t="s">
        <v>40</v>
      </c>
      <c r="D6355">
        <v>4.7569400000000002</v>
      </c>
      <c r="E6355">
        <v>0.52543450000000003</v>
      </c>
      <c r="F6355" t="s">
        <v>63</v>
      </c>
      <c r="G6355">
        <v>-212.68279999999999</v>
      </c>
      <c r="H6355">
        <v>0.75439669999999903</v>
      </c>
      <c r="I6355">
        <v>98.375470000000007</v>
      </c>
      <c r="J6355">
        <v>-192.0187</v>
      </c>
      <c r="K6355">
        <v>1.109591</v>
      </c>
      <c r="L6355">
        <v>169.94309999999999</v>
      </c>
      <c r="M6355">
        <v>-8.676698E-3</v>
      </c>
      <c r="N6355">
        <v>0</v>
      </c>
      <c r="O6355">
        <v>-0.99992029999999998</v>
      </c>
      <c r="P6355">
        <v>-0.2141026</v>
      </c>
      <c r="Q6355">
        <v>2.2429689999999999E-2</v>
      </c>
      <c r="R6355">
        <v>-0.97655380000000003</v>
      </c>
      <c r="S6355">
        <v>-0.83351139999999901</v>
      </c>
      <c r="T6355">
        <v>-1.43249E-2</v>
      </c>
      <c r="U6355">
        <v>-2.8898320000000002</v>
      </c>
      <c r="V6355">
        <v>0.2056579</v>
      </c>
      <c r="W6355">
        <v>3.1156090000000001E-2</v>
      </c>
      <c r="X6355">
        <v>0.97812790000000005</v>
      </c>
      <c r="Y6355">
        <v>0.2687811</v>
      </c>
      <c r="Z6355">
        <v>4.7682710000000001E-3</v>
      </c>
      <c r="AA6355">
        <v>0.96318950000000003</v>
      </c>
      <c r="AB6355">
        <v>14</v>
      </c>
      <c r="AC6355">
        <v>-20.664099999999902</v>
      </c>
      <c r="AD6355">
        <v>-0.35519430000000002</v>
      </c>
      <c r="AE6355">
        <v>-71.567629999999994</v>
      </c>
      <c r="AF6355">
        <v>20.0418695614378</v>
      </c>
      <c r="AG6355">
        <v>-0.35519430000000002</v>
      </c>
      <c r="AH6355">
        <v>71.742608258502401</v>
      </c>
      <c r="AI6355">
        <v>90.2732062011777</v>
      </c>
      <c r="AJ6355">
        <v>74.391870395191205</v>
      </c>
      <c r="AK6355">
        <v>74.490298282671503</v>
      </c>
      <c r="AL6355">
        <v>88.214598664463907</v>
      </c>
      <c r="AM6355">
        <v>78.126137491869002</v>
      </c>
      <c r="AN6355">
        <v>1.00000003126745</v>
      </c>
    </row>
    <row r="6356" spans="1:40" x14ac:dyDescent="0.25">
      <c r="A6356" t="str">
        <f>"20190312150818442"</f>
        <v>20190312150818442</v>
      </c>
      <c r="B6356" t="str">
        <f>"1552374498436213"</f>
        <v>1552374498436213</v>
      </c>
      <c r="C6356" t="s">
        <v>40</v>
      </c>
      <c r="D6356">
        <v>4.5150379999999997</v>
      </c>
      <c r="E6356">
        <v>0.52684889999999995</v>
      </c>
      <c r="F6356" t="s">
        <v>63</v>
      </c>
      <c r="G6356">
        <v>-212.904</v>
      </c>
      <c r="H6356">
        <v>0.5204512</v>
      </c>
      <c r="I6356">
        <v>98.375470000000007</v>
      </c>
      <c r="J6356">
        <v>-192.0204</v>
      </c>
      <c r="K6356">
        <v>1.1095889999999999</v>
      </c>
      <c r="L6356">
        <v>169.85290000000001</v>
      </c>
      <c r="M6356">
        <v>-9.4337580000000004E-3</v>
      </c>
      <c r="N6356">
        <v>0</v>
      </c>
      <c r="O6356">
        <v>-0.99991390000000002</v>
      </c>
      <c r="P6356">
        <v>-0.2152771</v>
      </c>
      <c r="Q6356">
        <v>2.2718789999999999E-2</v>
      </c>
      <c r="R6356">
        <v>-0.97628910000000002</v>
      </c>
      <c r="S6356">
        <v>-0.84274289999999996</v>
      </c>
      <c r="T6356">
        <v>-2.3771170000000001E-2</v>
      </c>
      <c r="U6356">
        <v>-2.8878170000000001</v>
      </c>
      <c r="V6356">
        <v>0.20609440000000001</v>
      </c>
      <c r="W6356">
        <v>3.1431569999999999E-2</v>
      </c>
      <c r="X6356">
        <v>0.97802719999999999</v>
      </c>
      <c r="Y6356">
        <v>0.27106419999999998</v>
      </c>
      <c r="Z6356">
        <v>7.9116310000000006E-3</v>
      </c>
      <c r="AA6356">
        <v>0.96252879999999996</v>
      </c>
      <c r="AB6356">
        <v>14</v>
      </c>
      <c r="AC6356">
        <v>-20.883600000000001</v>
      </c>
      <c r="AD6356">
        <v>-0.58913779999999905</v>
      </c>
      <c r="AE6356">
        <v>-71.477429999999998</v>
      </c>
      <c r="AF6356">
        <v>20.207076990414599</v>
      </c>
      <c r="AG6356">
        <v>-0.58913779999999905</v>
      </c>
      <c r="AH6356">
        <v>71.666782307721405</v>
      </c>
      <c r="AI6356">
        <v>90.453316033971305</v>
      </c>
      <c r="AJ6356">
        <v>74.2537369961601</v>
      </c>
      <c r="AK6356">
        <v>74.463418738238602</v>
      </c>
      <c r="AL6356">
        <v>88.198807077325</v>
      </c>
      <c r="AM6356">
        <v>78.100463172583403</v>
      </c>
      <c r="AN6356">
        <v>1.0000000246219301</v>
      </c>
    </row>
    <row r="6357" spans="1:40" x14ac:dyDescent="0.25">
      <c r="A6357" t="str">
        <f>"20190312150818459"</f>
        <v>20190312150818459</v>
      </c>
      <c r="B6357" t="str">
        <f>"1552374498456709"</f>
        <v>1552374498456709</v>
      </c>
      <c r="C6357" t="s">
        <v>40</v>
      </c>
      <c r="D6357">
        <v>4.5516610000000002</v>
      </c>
      <c r="E6357">
        <v>0.52793219999999996</v>
      </c>
      <c r="F6357" t="s">
        <v>63</v>
      </c>
      <c r="G6357">
        <v>-213.26519999999999</v>
      </c>
      <c r="H6357">
        <v>0.31331189999999998</v>
      </c>
      <c r="I6357">
        <v>98.375470000000007</v>
      </c>
      <c r="J6357">
        <v>-192.0224</v>
      </c>
      <c r="K6357">
        <v>1.109591</v>
      </c>
      <c r="L6357">
        <v>169.74599999999899</v>
      </c>
      <c r="M6357">
        <v>-1.033209E-2</v>
      </c>
      <c r="N6357">
        <v>0</v>
      </c>
      <c r="O6357">
        <v>-0.99990500000000004</v>
      </c>
      <c r="P6357">
        <v>-0.21703030000000001</v>
      </c>
      <c r="Q6357">
        <v>2.3811909999999999E-2</v>
      </c>
      <c r="R6357">
        <v>-0.97587469999999998</v>
      </c>
      <c r="S6357">
        <v>-0.85736080000000003</v>
      </c>
      <c r="T6357">
        <v>-3.2133460000000003E-2</v>
      </c>
      <c r="U6357">
        <v>-2.8845519999999998</v>
      </c>
      <c r="V6357">
        <v>0.2069743</v>
      </c>
      <c r="W6357">
        <v>3.2507719999999997E-2</v>
      </c>
      <c r="X6357">
        <v>0.97780619999999996</v>
      </c>
      <c r="Y6357">
        <v>0.27497080000000002</v>
      </c>
      <c r="Z6357">
        <v>1.0692439999999999E-2</v>
      </c>
      <c r="AA6357">
        <v>0.9613931</v>
      </c>
      <c r="AB6357">
        <v>14</v>
      </c>
      <c r="AC6357">
        <v>-21.2427999999999</v>
      </c>
      <c r="AD6357">
        <v>-0.79627910000000002</v>
      </c>
      <c r="AE6357">
        <v>-71.370529999999903</v>
      </c>
      <c r="AF6357">
        <v>20.501884238713401</v>
      </c>
      <c r="AG6357">
        <v>-0.79627910000000002</v>
      </c>
      <c r="AH6357">
        <v>71.578026961145298</v>
      </c>
      <c r="AI6357">
        <v>90.6127310926164</v>
      </c>
      <c r="AJ6357">
        <v>74.016854131788904</v>
      </c>
      <c r="AK6357">
        <v>74.460561785371695</v>
      </c>
      <c r="AL6357">
        <v>88.137116715399401</v>
      </c>
      <c r="AM6357">
        <v>78.048493587324998</v>
      </c>
      <c r="AN6357">
        <v>1.00000003873926</v>
      </c>
    </row>
    <row r="6358" spans="1:40" x14ac:dyDescent="0.25">
      <c r="A6358" t="str">
        <f>"20190312150818470"</f>
        <v>20190312150818470</v>
      </c>
      <c r="B6358" t="str">
        <f>"1552374498466468"</f>
        <v>1552374498466468</v>
      </c>
      <c r="C6358" t="s">
        <v>40</v>
      </c>
      <c r="D6358">
        <v>4.5568679999999997</v>
      </c>
      <c r="E6358">
        <v>0.52834320000000001</v>
      </c>
      <c r="F6358" t="s">
        <v>78</v>
      </c>
      <c r="G6358">
        <v>-209.94640000000001</v>
      </c>
      <c r="H6358">
        <v>0.31504090000000001</v>
      </c>
      <c r="I6358">
        <v>110.4772</v>
      </c>
      <c r="J6358">
        <v>-192.0239</v>
      </c>
      <c r="K6358">
        <v>1.1095870000000001</v>
      </c>
      <c r="L6358">
        <v>169.67230000000001</v>
      </c>
      <c r="M6358">
        <v>-1.0952470000000001E-2</v>
      </c>
      <c r="N6358">
        <v>0</v>
      </c>
      <c r="O6358">
        <v>-0.99989839999999997</v>
      </c>
      <c r="P6358">
        <v>-0.21786249999999999</v>
      </c>
      <c r="Q6358">
        <v>2.4439570000000001E-2</v>
      </c>
      <c r="R6358">
        <v>-0.97567369999999998</v>
      </c>
      <c r="S6358">
        <v>-0.87136840000000004</v>
      </c>
      <c r="T6358">
        <v>-3.8625479999999997E-2</v>
      </c>
      <c r="U6358">
        <v>-2.881332</v>
      </c>
      <c r="V6358">
        <v>0.20720269999999999</v>
      </c>
      <c r="W6358">
        <v>3.312441E-2</v>
      </c>
      <c r="X6358">
        <v>0.97773710000000003</v>
      </c>
      <c r="Y6358">
        <v>0.27894580000000002</v>
      </c>
      <c r="Z6358">
        <v>1.2849670000000001E-2</v>
      </c>
      <c r="AA6358">
        <v>0.96022090000000004</v>
      </c>
      <c r="AB6358">
        <v>14</v>
      </c>
      <c r="AC6358">
        <v>-17.922499999999999</v>
      </c>
      <c r="AD6358">
        <v>-0.79454609999999903</v>
      </c>
      <c r="AE6358">
        <v>-59.195099999999996</v>
      </c>
      <c r="AF6358">
        <v>17.270215191354499</v>
      </c>
      <c r="AG6358">
        <v>-0.79454609999999903</v>
      </c>
      <c r="AH6358">
        <v>59.378053546630902</v>
      </c>
      <c r="AI6358">
        <v>90.736136111168804</v>
      </c>
      <c r="AJ6358">
        <v>73.782831480730394</v>
      </c>
      <c r="AK6358">
        <v>61.843713336500798</v>
      </c>
      <c r="AL6358">
        <v>88.101763888674</v>
      </c>
      <c r="AM6358">
        <v>78.034863548504404</v>
      </c>
      <c r="AN6358">
        <v>1.0000000110707701</v>
      </c>
    </row>
    <row r="6359" spans="1:40" x14ac:dyDescent="0.25">
      <c r="A6359" t="str">
        <f>"20190312150818483"</f>
        <v>20190312150818483</v>
      </c>
      <c r="B6359" t="str">
        <f>"1552374498476228"</f>
        <v>1552374498476228</v>
      </c>
      <c r="C6359" t="s">
        <v>40</v>
      </c>
      <c r="D6359">
        <v>4.5066490000000003</v>
      </c>
      <c r="E6359">
        <v>0.52840220000000004</v>
      </c>
      <c r="F6359" t="s">
        <v>78</v>
      </c>
      <c r="G6359">
        <v>-209.9418</v>
      </c>
      <c r="H6359">
        <v>0.26708369999999998</v>
      </c>
      <c r="I6359">
        <v>110.83969999999999</v>
      </c>
      <c r="J6359">
        <v>-192.0256</v>
      </c>
      <c r="K6359">
        <v>1.1095870000000001</v>
      </c>
      <c r="L6359">
        <v>169.59</v>
      </c>
      <c r="M6359">
        <v>-1.164518E-2</v>
      </c>
      <c r="N6359">
        <v>0</v>
      </c>
      <c r="O6359">
        <v>-0.99989050000000002</v>
      </c>
      <c r="P6359">
        <v>-0.21858169999999999</v>
      </c>
      <c r="Q6359">
        <v>2.471303E-2</v>
      </c>
      <c r="R6359">
        <v>-0.97550579999999998</v>
      </c>
      <c r="S6359">
        <v>-0.87712099999999904</v>
      </c>
      <c r="T6359">
        <v>-4.1240930000000002E-2</v>
      </c>
      <c r="U6359">
        <v>-2.8799739999999998</v>
      </c>
      <c r="V6359">
        <v>0.20724670000000001</v>
      </c>
      <c r="W6359">
        <v>3.3385579999999998E-2</v>
      </c>
      <c r="X6359">
        <v>0.97771889999999995</v>
      </c>
      <c r="Y6359">
        <v>0.28015859999999998</v>
      </c>
      <c r="Z6359">
        <v>1.3719250000000001E-2</v>
      </c>
      <c r="AA6359">
        <v>0.95985569999999998</v>
      </c>
      <c r="AB6359">
        <v>14</v>
      </c>
      <c r="AC6359">
        <v>-17.9162</v>
      </c>
      <c r="AD6359">
        <v>-0.84250329999999996</v>
      </c>
      <c r="AE6359">
        <v>-58.750300000000003</v>
      </c>
      <c r="AF6359">
        <v>17.227557343400701</v>
      </c>
      <c r="AG6359">
        <v>-0.84250329999999996</v>
      </c>
      <c r="AH6359">
        <v>58.943871754757097</v>
      </c>
      <c r="AI6359">
        <v>90.7860117066828</v>
      </c>
      <c r="AJ6359">
        <v>73.707913565284301</v>
      </c>
      <c r="AK6359">
        <v>61.415621475907301</v>
      </c>
      <c r="AL6359">
        <v>88.086791685083995</v>
      </c>
      <c r="AM6359">
        <v>78.032179623700202</v>
      </c>
      <c r="AN6359">
        <v>1.0000000195150101</v>
      </c>
    </row>
    <row r="6360" spans="1:40" x14ac:dyDescent="0.25">
      <c r="A6360" t="str">
        <f>"20190312150818495"</f>
        <v>20190312150818495</v>
      </c>
      <c r="B6360" t="str">
        <f>"1552374498485988"</f>
        <v>1552374498485988</v>
      </c>
      <c r="C6360" t="s">
        <v>40</v>
      </c>
      <c r="D6360">
        <v>4.5152219999999996</v>
      </c>
      <c r="E6360">
        <v>0.52855039999999998</v>
      </c>
      <c r="F6360" t="s">
        <v>78</v>
      </c>
      <c r="G6360">
        <v>-209.93170000000001</v>
      </c>
      <c r="H6360">
        <v>0.18479370000000001</v>
      </c>
      <c r="I6360">
        <v>111.00279999999999</v>
      </c>
      <c r="J6360">
        <v>-192.0273</v>
      </c>
      <c r="K6360">
        <v>1.109585</v>
      </c>
      <c r="L6360">
        <v>169.50799999999899</v>
      </c>
      <c r="M6360">
        <v>-1.2336150000000001E-2</v>
      </c>
      <c r="N6360">
        <v>0</v>
      </c>
      <c r="O6360">
        <v>-0.99988239999999995</v>
      </c>
      <c r="P6360">
        <v>-0.2195529</v>
      </c>
      <c r="Q6360">
        <v>2.501635E-2</v>
      </c>
      <c r="R6360">
        <v>-0.97527989999999998</v>
      </c>
      <c r="S6360">
        <v>-0.88000489999999998</v>
      </c>
      <c r="T6360">
        <v>-4.5447950000000001E-2</v>
      </c>
      <c r="U6360">
        <v>-2.8792879999999998</v>
      </c>
      <c r="V6360">
        <v>0.20754529999999999</v>
      </c>
      <c r="W6360">
        <v>3.3674379999999997E-2</v>
      </c>
      <c r="X6360">
        <v>0.9776456</v>
      </c>
      <c r="Y6360">
        <v>0.28043259999999998</v>
      </c>
      <c r="Z6360">
        <v>1.5118929999999999E-2</v>
      </c>
      <c r="AA6360">
        <v>0.95975460000000001</v>
      </c>
      <c r="AB6360">
        <v>14</v>
      </c>
      <c r="AC6360">
        <v>-17.904399999999999</v>
      </c>
      <c r="AD6360">
        <v>-0.92479129999999998</v>
      </c>
      <c r="AE6360">
        <v>-58.505199999999903</v>
      </c>
      <c r="AF6360">
        <v>17.177354194239001</v>
      </c>
      <c r="AG6360">
        <v>-0.92479129999999998</v>
      </c>
      <c r="AH6360">
        <v>58.708215586786203</v>
      </c>
      <c r="AI6360">
        <v>90.8661594891053</v>
      </c>
      <c r="AJ6360">
        <v>73.691126161063707</v>
      </c>
      <c r="AK6360">
        <v>61.1765585289616</v>
      </c>
      <c r="AL6360">
        <v>88.070235254020801</v>
      </c>
      <c r="AM6360">
        <v>78.014562102354901</v>
      </c>
      <c r="AN6360">
        <v>0.99999996730991603</v>
      </c>
    </row>
    <row r="6361" spans="1:40" x14ac:dyDescent="0.25">
      <c r="A6361" t="str">
        <f>"20190312150818510"</f>
        <v>20190312150818510</v>
      </c>
      <c r="B6361" t="str">
        <f>"1552374498506484"</f>
        <v>1552374498506484</v>
      </c>
      <c r="C6361" t="s">
        <v>40</v>
      </c>
      <c r="D6361">
        <v>4.4872329999999998</v>
      </c>
      <c r="E6361">
        <v>0.52867849999999905</v>
      </c>
      <c r="F6361" t="s">
        <v>43</v>
      </c>
      <c r="G6361">
        <v>-212.82839999999999</v>
      </c>
      <c r="H6361">
        <v>-0.05</v>
      </c>
      <c r="I6361">
        <v>101.7957</v>
      </c>
      <c r="J6361">
        <v>-192.02940000000001</v>
      </c>
      <c r="K6361">
        <v>1.1095790000000001</v>
      </c>
      <c r="L6361">
        <v>169.41669999999999</v>
      </c>
      <c r="M6361">
        <v>-1.3105759999999999E-2</v>
      </c>
      <c r="N6361">
        <v>0</v>
      </c>
      <c r="O6361">
        <v>-0.99987309999999996</v>
      </c>
      <c r="P6361">
        <v>-0.22023609999999999</v>
      </c>
      <c r="Q6361">
        <v>2.5310929999999999E-2</v>
      </c>
      <c r="R6361">
        <v>-0.97511859999999995</v>
      </c>
      <c r="S6361">
        <v>-0.88420100000000001</v>
      </c>
      <c r="T6361">
        <v>-4.9291010000000003E-2</v>
      </c>
      <c r="U6361">
        <v>-2.8782809999999999</v>
      </c>
      <c r="V6361">
        <v>0.2074782</v>
      </c>
      <c r="W6361">
        <v>3.3952690000000001E-2</v>
      </c>
      <c r="X6361">
        <v>0.97765029999999997</v>
      </c>
      <c r="Y6361">
        <v>0.2810608</v>
      </c>
      <c r="Z6361">
        <v>1.6397309999999998E-2</v>
      </c>
      <c r="AA6361">
        <v>0.95954980000000001</v>
      </c>
      <c r="AB6361">
        <v>14</v>
      </c>
      <c r="AC6361">
        <v>-20.7989999999999</v>
      </c>
      <c r="AD6361">
        <v>-1.1595789999999999</v>
      </c>
      <c r="AE6361">
        <v>-67.620999999999995</v>
      </c>
      <c r="AF6361">
        <v>19.9056050548919</v>
      </c>
      <c r="AG6361">
        <v>-1.1595789999999999</v>
      </c>
      <c r="AH6361">
        <v>67.869556988217298</v>
      </c>
      <c r="AI6361">
        <v>90.939269218238493</v>
      </c>
      <c r="AJ6361">
        <v>73.6540036743298</v>
      </c>
      <c r="AK6361">
        <v>70.737928311730002</v>
      </c>
      <c r="AL6361">
        <v>88.054280300000201</v>
      </c>
      <c r="AM6361">
        <v>78.018380962859993</v>
      </c>
      <c r="AN6361">
        <v>1.00000004886178</v>
      </c>
    </row>
    <row r="6362" spans="1:40" x14ac:dyDescent="0.25">
      <c r="A6362" t="str">
        <f>"20190312150818525"</f>
        <v>20190312150818525</v>
      </c>
      <c r="B6362" t="str">
        <f>"1552374498516244"</f>
        <v>1552374498516244</v>
      </c>
      <c r="C6362" t="s">
        <v>40</v>
      </c>
      <c r="D6362">
        <v>4.5606140000000002</v>
      </c>
      <c r="E6362">
        <v>0.52857460000000001</v>
      </c>
      <c r="F6362" t="s">
        <v>43</v>
      </c>
      <c r="G6362">
        <v>-210.57599999999999</v>
      </c>
      <c r="H6362">
        <v>-0.05</v>
      </c>
      <c r="I6362">
        <v>109.2803</v>
      </c>
      <c r="J6362">
        <v>-192.0316</v>
      </c>
      <c r="K6362">
        <v>1.1095740000000001</v>
      </c>
      <c r="L6362">
        <v>169.3159</v>
      </c>
      <c r="M6362">
        <v>-1.3955759999999999E-2</v>
      </c>
      <c r="N6362">
        <v>0</v>
      </c>
      <c r="O6362">
        <v>-0.99986169999999996</v>
      </c>
      <c r="P6362">
        <v>-0.22150610000000001</v>
      </c>
      <c r="Q6362">
        <v>2.51218E-2</v>
      </c>
      <c r="R6362">
        <v>-0.97483549999999997</v>
      </c>
      <c r="S6362">
        <v>-0.88746639999999999</v>
      </c>
      <c r="T6362">
        <v>-5.5486559999999997E-2</v>
      </c>
      <c r="U6362">
        <v>-2.8775629999999999</v>
      </c>
      <c r="V6362">
        <v>0.20792060000000001</v>
      </c>
      <c r="W6362">
        <v>3.3743479999999999E-2</v>
      </c>
      <c r="X6362">
        <v>0.97756350000000003</v>
      </c>
      <c r="Y6362">
        <v>0.28129599999999999</v>
      </c>
      <c r="Z6362">
        <v>1.8458059999999998E-2</v>
      </c>
      <c r="AA6362">
        <v>0.9594435</v>
      </c>
      <c r="AB6362">
        <v>14</v>
      </c>
      <c r="AC6362">
        <v>-18.5444</v>
      </c>
      <c r="AD6362">
        <v>-1.1595739999999899</v>
      </c>
      <c r="AE6362">
        <v>-60.035600000000002</v>
      </c>
      <c r="AF6362">
        <v>17.698689606074801</v>
      </c>
      <c r="AG6362">
        <v>-1.1595739999999899</v>
      </c>
      <c r="AH6362">
        <v>60.268039410525198</v>
      </c>
      <c r="AI6362">
        <v>91.057600968084401</v>
      </c>
      <c r="AJ6362">
        <v>73.634266134353197</v>
      </c>
      <c r="AK6362">
        <v>62.823759836723198</v>
      </c>
      <c r="AL6362">
        <v>88.066273922523393</v>
      </c>
      <c r="AM6362">
        <v>77.992538368935598</v>
      </c>
      <c r="AN6362">
        <v>0.99999999743956003</v>
      </c>
    </row>
    <row r="6363" spans="1:40" x14ac:dyDescent="0.25">
      <c r="A6363" t="str">
        <f>"20190312150818537"</f>
        <v>20190312150818537</v>
      </c>
      <c r="B6363" t="str">
        <f>"1552374498526981"</f>
        <v>1552374498526981</v>
      </c>
      <c r="C6363" t="s">
        <v>40</v>
      </c>
      <c r="D6363">
        <v>4.5967729999999998</v>
      </c>
      <c r="E6363">
        <v>0.52906739999999997</v>
      </c>
      <c r="F6363" t="s">
        <v>43</v>
      </c>
      <c r="G6363">
        <v>-208.3296</v>
      </c>
      <c r="H6363">
        <v>-0.05</v>
      </c>
      <c r="I6363">
        <v>116.6756</v>
      </c>
      <c r="J6363">
        <v>-192.03360000000001</v>
      </c>
      <c r="K6363">
        <v>1.1095710000000001</v>
      </c>
      <c r="L6363">
        <v>169.2313</v>
      </c>
      <c r="M6363">
        <v>-1.4669079999999999E-2</v>
      </c>
      <c r="N6363">
        <v>0</v>
      </c>
      <c r="O6363">
        <v>-0.99985159999999995</v>
      </c>
      <c r="P6363">
        <v>-0.22284109999999999</v>
      </c>
      <c r="Q6363">
        <v>2.461926E-2</v>
      </c>
      <c r="R6363">
        <v>-0.97454450000000004</v>
      </c>
      <c r="S6363">
        <v>-0.89065550000000004</v>
      </c>
      <c r="T6363">
        <v>-6.3368560000000004E-2</v>
      </c>
      <c r="U6363">
        <v>-2.8766940000000001</v>
      </c>
      <c r="V6363">
        <v>0.20856160000000001</v>
      </c>
      <c r="W6363">
        <v>3.322402E-2</v>
      </c>
      <c r="X6363">
        <v>0.97744470000000006</v>
      </c>
      <c r="Y6363">
        <v>0.28164869999999997</v>
      </c>
      <c r="Z6363">
        <v>2.1080209999999999E-2</v>
      </c>
      <c r="AA6363">
        <v>0.95928599999999997</v>
      </c>
      <c r="AB6363">
        <v>15</v>
      </c>
      <c r="AC6363">
        <v>-16.2959999999999</v>
      </c>
      <c r="AD6363">
        <v>-1.1595709999999999</v>
      </c>
      <c r="AE6363">
        <v>-52.555700000000002</v>
      </c>
      <c r="AF6363">
        <v>15.516380307875799</v>
      </c>
      <c r="AG6363">
        <v>-1.1595709999999999</v>
      </c>
      <c r="AH6363">
        <v>52.765668205828398</v>
      </c>
      <c r="AI6363">
        <v>91.207799466413405</v>
      </c>
      <c r="AJ6363">
        <v>73.613391820350799</v>
      </c>
      <c r="AK6363">
        <v>55.011984184996003</v>
      </c>
      <c r="AL6363">
        <v>88.096053413935294</v>
      </c>
      <c r="AM6363">
        <v>77.955178636242806</v>
      </c>
      <c r="AN6363">
        <v>0.99999995902880401</v>
      </c>
    </row>
    <row r="6364" spans="1:40" x14ac:dyDescent="0.25">
      <c r="A6364" t="str">
        <f>"20190312150818552"</f>
        <v>20190312150818552</v>
      </c>
      <c r="B6364" t="str">
        <f>"1552374498546501"</f>
        <v>1552374498546501</v>
      </c>
      <c r="C6364" t="s">
        <v>40</v>
      </c>
      <c r="D6364">
        <v>4.5748819999999997</v>
      </c>
      <c r="E6364">
        <v>0.55807819999999997</v>
      </c>
      <c r="F6364" t="s">
        <v>77</v>
      </c>
      <c r="G6364">
        <v>-205.52430000000001</v>
      </c>
      <c r="H6364">
        <v>7.9987970000000005E-2</v>
      </c>
      <c r="I6364">
        <v>126.0646</v>
      </c>
      <c r="J6364">
        <v>-192.03579999999999</v>
      </c>
      <c r="K6364">
        <v>1.1095660000000001</v>
      </c>
      <c r="L6364">
        <v>169.14080000000001</v>
      </c>
      <c r="M6364">
        <v>-1.543194E-2</v>
      </c>
      <c r="N6364">
        <v>0</v>
      </c>
      <c r="O6364">
        <v>-0.99984019999999996</v>
      </c>
      <c r="P6364">
        <v>-0.22407730000000001</v>
      </c>
      <c r="Q6364">
        <v>2.438914E-2</v>
      </c>
      <c r="R6364">
        <v>-0.97426679999999999</v>
      </c>
      <c r="S6364">
        <v>-0.89840699999999996</v>
      </c>
      <c r="T6364">
        <v>-6.8564890000000003E-2</v>
      </c>
      <c r="U6364">
        <v>-2.8746800000000001</v>
      </c>
      <c r="V6364">
        <v>0.20905580000000001</v>
      </c>
      <c r="W6364">
        <v>3.297667E-2</v>
      </c>
      <c r="X6364">
        <v>0.97734759999999998</v>
      </c>
      <c r="Y6364">
        <v>0.28345310000000001</v>
      </c>
      <c r="Z6364">
        <v>2.2807669999999999E-2</v>
      </c>
      <c r="AA6364">
        <v>0.95871479999999998</v>
      </c>
      <c r="AB6364">
        <v>15</v>
      </c>
      <c r="AC6364">
        <v>-13.4885</v>
      </c>
      <c r="AD6364">
        <v>-1.0295780299999999</v>
      </c>
      <c r="AE6364">
        <v>-43.0762</v>
      </c>
      <c r="AF6364">
        <v>12.815449887257399</v>
      </c>
      <c r="AG6364">
        <v>-1.0295780299999999</v>
      </c>
      <c r="AH6364">
        <v>43.256727504152799</v>
      </c>
      <c r="AI6364">
        <v>91.307325541815203</v>
      </c>
      <c r="AJ6364">
        <v>73.497292523459294</v>
      </c>
      <c r="AK6364">
        <v>45.126934984565402</v>
      </c>
      <c r="AL6364">
        <v>88.110233486128394</v>
      </c>
      <c r="AM6364">
        <v>77.926309781676906</v>
      </c>
      <c r="AN6364">
        <v>1.0000000597518399</v>
      </c>
    </row>
    <row r="6365" spans="1:40" x14ac:dyDescent="0.25">
      <c r="A6365" t="str">
        <f>"20190312150818566"</f>
        <v>20190312150818566</v>
      </c>
      <c r="B6365" t="str">
        <f>"1552374498556261"</f>
        <v>1552374498556261</v>
      </c>
      <c r="C6365" t="s">
        <v>40</v>
      </c>
      <c r="D6365">
        <v>4.5543649999999998</v>
      </c>
      <c r="E6365">
        <v>0.560751</v>
      </c>
      <c r="F6365" t="s">
        <v>77</v>
      </c>
      <c r="G6365">
        <v>-197.08850000000001</v>
      </c>
      <c r="H6365" s="1">
        <v>-1.4202340000000001E-5</v>
      </c>
      <c r="I6365">
        <v>156.53559999999999</v>
      </c>
      <c r="J6365">
        <v>-192.03809999999999</v>
      </c>
      <c r="K6365">
        <v>1.1095619999999999</v>
      </c>
      <c r="L6365">
        <v>169.04939999999999</v>
      </c>
      <c r="M6365">
        <v>-1.6202879999999999E-2</v>
      </c>
      <c r="N6365">
        <v>0</v>
      </c>
      <c r="O6365">
        <v>-0.99982800000000005</v>
      </c>
      <c r="P6365">
        <v>-0.22534960000000001</v>
      </c>
      <c r="Q6365">
        <v>2.4232679999999999E-2</v>
      </c>
      <c r="R6365">
        <v>-0.97397690000000003</v>
      </c>
      <c r="S6365">
        <v>-1.1323700000000001</v>
      </c>
      <c r="T6365">
        <v>-0.24867349999999999</v>
      </c>
      <c r="U6365">
        <v>-2.825027</v>
      </c>
      <c r="V6365">
        <v>0.20957880000000001</v>
      </c>
      <c r="W6365">
        <v>3.2803680000000002E-2</v>
      </c>
      <c r="X6365">
        <v>0.97724129999999998</v>
      </c>
      <c r="Y6365">
        <v>0.3557284</v>
      </c>
      <c r="Z6365">
        <v>8.1666820000000001E-2</v>
      </c>
      <c r="AA6365">
        <v>0.93101440000000002</v>
      </c>
      <c r="AB6365">
        <v>15</v>
      </c>
      <c r="AC6365">
        <v>-5.0504000000000202</v>
      </c>
      <c r="AD6365">
        <v>-1.10957620234</v>
      </c>
      <c r="AE6365">
        <v>-12.5138</v>
      </c>
      <c r="AF6365">
        <v>4.8144196111134097</v>
      </c>
      <c r="AG6365">
        <v>-1.10957620234</v>
      </c>
      <c r="AH6365">
        <v>12.5094173919257</v>
      </c>
      <c r="AI6365">
        <v>94.732165931714206</v>
      </c>
      <c r="AJ6365">
        <v>68.950100206704093</v>
      </c>
      <c r="AK6365">
        <v>13.4497330466476</v>
      </c>
      <c r="AL6365">
        <v>88.120150253875195</v>
      </c>
      <c r="AM6365">
        <v>77.8957165249995</v>
      </c>
      <c r="AN6365">
        <v>0.99999995662833496</v>
      </c>
    </row>
    <row r="6366" spans="1:40" x14ac:dyDescent="0.25">
      <c r="A6366" t="str">
        <f>"20190312150818577"</f>
        <v>20190312150818577</v>
      </c>
      <c r="B6366" t="str">
        <f>"1552374498566021"</f>
        <v>1552374498566021</v>
      </c>
      <c r="C6366" t="s">
        <v>40</v>
      </c>
      <c r="D6366">
        <v>4.5961720000000001</v>
      </c>
      <c r="E6366">
        <v>0.56267180000000006</v>
      </c>
      <c r="F6366" t="s">
        <v>77</v>
      </c>
      <c r="G6366">
        <v>-196.952</v>
      </c>
      <c r="H6366" s="1">
        <v>-1.433964E-5</v>
      </c>
      <c r="I6366">
        <v>157.0812</v>
      </c>
      <c r="J6366">
        <v>-192.0403</v>
      </c>
      <c r="K6366">
        <v>1.1095569999999999</v>
      </c>
      <c r="L6366">
        <v>168.9682</v>
      </c>
      <c r="M6366">
        <v>-1.6887599999999999E-2</v>
      </c>
      <c r="N6366">
        <v>0</v>
      </c>
      <c r="O6366">
        <v>-0.99981679999999995</v>
      </c>
      <c r="P6366">
        <v>-0.22673979999999999</v>
      </c>
      <c r="Q6366">
        <v>2.4398349999999999E-2</v>
      </c>
      <c r="R6366">
        <v>-0.97365000000000002</v>
      </c>
      <c r="S6366">
        <v>-1.1573639999999901</v>
      </c>
      <c r="T6366">
        <v>-0.26134089999999999</v>
      </c>
      <c r="U6366">
        <v>-2.8188930000000001</v>
      </c>
      <c r="V6366">
        <v>0.2103052</v>
      </c>
      <c r="W6366">
        <v>3.2953330000000003E-2</v>
      </c>
      <c r="X6366">
        <v>0.97708019999999995</v>
      </c>
      <c r="Y6366">
        <v>0.36273499999999997</v>
      </c>
      <c r="Z6366">
        <v>8.5708939999999997E-2</v>
      </c>
      <c r="AA6366">
        <v>0.9279425</v>
      </c>
      <c r="AB6366">
        <v>15</v>
      </c>
      <c r="AC6366">
        <v>-4.91169999999999</v>
      </c>
      <c r="AD6366">
        <v>-1.10957133964</v>
      </c>
      <c r="AE6366">
        <v>-11.887</v>
      </c>
      <c r="AF6366">
        <v>4.6754522860360801</v>
      </c>
      <c r="AG6366">
        <v>-1.10957133964</v>
      </c>
      <c r="AH6366">
        <v>11.879841422323899</v>
      </c>
      <c r="AI6366">
        <v>94.967144755076404</v>
      </c>
      <c r="AJ6366">
        <v>68.517294098648904</v>
      </c>
      <c r="AK6366">
        <v>12.814898940542401</v>
      </c>
      <c r="AL6366">
        <v>88.111571304839899</v>
      </c>
      <c r="AM6366">
        <v>77.853063478707696</v>
      </c>
      <c r="AN6366">
        <v>0.999999958168583</v>
      </c>
    </row>
    <row r="6367" spans="1:40" x14ac:dyDescent="0.25">
      <c r="A6367" t="str">
        <f>"20190312150818594"</f>
        <v>20190312150818594</v>
      </c>
      <c r="B6367" t="str">
        <f>"1552374498586516"</f>
        <v>1552374498586516</v>
      </c>
      <c r="C6367" t="s">
        <v>40</v>
      </c>
      <c r="D6367">
        <v>4.5756319999999997</v>
      </c>
      <c r="E6367">
        <v>0.56459519999999996</v>
      </c>
      <c r="F6367" t="s">
        <v>77</v>
      </c>
      <c r="G6367">
        <v>-196.9297</v>
      </c>
      <c r="H6367" s="1">
        <v>-1.4388229999999999E-5</v>
      </c>
      <c r="I6367">
        <v>157.27440000000001</v>
      </c>
      <c r="J6367">
        <v>-192.04300000000001</v>
      </c>
      <c r="K6367">
        <v>1.109548</v>
      </c>
      <c r="L6367">
        <v>168.8646</v>
      </c>
      <c r="M6367">
        <v>-1.7760649999999999E-2</v>
      </c>
      <c r="N6367">
        <v>0</v>
      </c>
      <c r="O6367">
        <v>-0.99980179999999996</v>
      </c>
      <c r="P6367">
        <v>-0.22875290000000001</v>
      </c>
      <c r="Q6367">
        <v>2.427292E-2</v>
      </c>
      <c r="R6367">
        <v>-0.97318210000000005</v>
      </c>
      <c r="S6367">
        <v>-1.1765589999999999</v>
      </c>
      <c r="T6367">
        <v>-0.26699689999999998</v>
      </c>
      <c r="U6367">
        <v>-2.8138890000000001</v>
      </c>
      <c r="V6367">
        <v>0.21147279999999999</v>
      </c>
      <c r="W6367">
        <v>3.2806059999999998E-2</v>
      </c>
      <c r="X6367">
        <v>0.97683319999999996</v>
      </c>
      <c r="Y6367">
        <v>0.36783749999999998</v>
      </c>
      <c r="Z6367">
        <v>8.7489720000000007E-2</v>
      </c>
      <c r="AA6367">
        <v>0.92576519999999995</v>
      </c>
      <c r="AB6367">
        <v>15</v>
      </c>
      <c r="AC6367">
        <v>-4.8866999999999896</v>
      </c>
      <c r="AD6367">
        <v>-1.1095623882300001</v>
      </c>
      <c r="AE6367">
        <v>-11.5901999999999</v>
      </c>
      <c r="AF6367">
        <v>4.6439346244377102</v>
      </c>
      <c r="AG6367">
        <v>-1.1095623882300001</v>
      </c>
      <c r="AH6367">
        <v>11.5850175425317</v>
      </c>
      <c r="AI6367">
        <v>95.080191128459902</v>
      </c>
      <c r="AJ6367">
        <v>68.1562765069135</v>
      </c>
      <c r="AK6367">
        <v>12.530358692000499</v>
      </c>
      <c r="AL6367">
        <v>88.120013976409695</v>
      </c>
      <c r="AM6367">
        <v>77.784647997848197</v>
      </c>
      <c r="AN6367">
        <v>1.0000000416674</v>
      </c>
    </row>
    <row r="6368" spans="1:40" x14ac:dyDescent="0.25">
      <c r="A6368" t="str">
        <f>"20190312150818607"</f>
        <v>20190312150818607</v>
      </c>
      <c r="B6368" t="str">
        <f>"1552374498596277"</f>
        <v>1552374498596277</v>
      </c>
      <c r="C6368" t="s">
        <v>40</v>
      </c>
      <c r="D6368">
        <v>4.54129</v>
      </c>
      <c r="E6368">
        <v>0.56529050000000003</v>
      </c>
      <c r="F6368" t="s">
        <v>77</v>
      </c>
      <c r="G6368">
        <v>-196.9074</v>
      </c>
      <c r="H6368" s="1">
        <v>-1.443422E-5</v>
      </c>
      <c r="I6368">
        <v>157.4572</v>
      </c>
      <c r="J6368">
        <v>-192.0454</v>
      </c>
      <c r="K6368">
        <v>1.1095429999999999</v>
      </c>
      <c r="L6368">
        <v>168.77610000000001</v>
      </c>
      <c r="M6368">
        <v>-1.8506959999999999E-2</v>
      </c>
      <c r="N6368">
        <v>0</v>
      </c>
      <c r="O6368">
        <v>-0.99978820000000002</v>
      </c>
      <c r="P6368">
        <v>-0.2301086</v>
      </c>
      <c r="Q6368">
        <v>2.4452870000000002E-2</v>
      </c>
      <c r="R6368">
        <v>-0.97285770000000005</v>
      </c>
      <c r="S6368">
        <v>-1.197403</v>
      </c>
      <c r="T6368">
        <v>-0.27312890000000001</v>
      </c>
      <c r="U6368">
        <v>-2.8080440000000002</v>
      </c>
      <c r="V6368">
        <v>0.21210519999999999</v>
      </c>
      <c r="W6368">
        <v>3.2966670000000003E-2</v>
      </c>
      <c r="X6368">
        <v>0.97669059999999996</v>
      </c>
      <c r="Y6368">
        <v>0.3735851</v>
      </c>
      <c r="Z6368">
        <v>8.942087E-2</v>
      </c>
      <c r="AA6368">
        <v>0.92327579999999998</v>
      </c>
      <c r="AB6368">
        <v>15</v>
      </c>
      <c r="AC6368">
        <v>-4.8619999999999903</v>
      </c>
      <c r="AD6368">
        <v>-1.1095574342200001</v>
      </c>
      <c r="AE6368">
        <v>-11.318899999999999</v>
      </c>
      <c r="AF6368">
        <v>4.61424744414178</v>
      </c>
      <c r="AG6368">
        <v>-1.1095574342200001</v>
      </c>
      <c r="AH6368">
        <v>11.3151521267467</v>
      </c>
      <c r="AI6368">
        <v>95.188220226984996</v>
      </c>
      <c r="AJ6368">
        <v>67.814675829475803</v>
      </c>
      <c r="AK6368">
        <v>12.270088215943</v>
      </c>
      <c r="AL6368">
        <v>88.110806590996503</v>
      </c>
      <c r="AM6368">
        <v>77.747485562548903</v>
      </c>
      <c r="AN6368">
        <v>0.999999972663144</v>
      </c>
    </row>
    <row r="6369" spans="1:40" x14ac:dyDescent="0.25">
      <c r="A6369" t="str">
        <f>"20190312150818627"</f>
        <v>20190312150818627</v>
      </c>
      <c r="B6369" t="str">
        <f>"1552374498616772"</f>
        <v>1552374498616772</v>
      </c>
      <c r="C6369" t="s">
        <v>40</v>
      </c>
      <c r="D6369">
        <v>4.5967969999999996</v>
      </c>
      <c r="E6369">
        <v>0.56606800000000002</v>
      </c>
      <c r="F6369" t="s">
        <v>77</v>
      </c>
      <c r="G6369">
        <v>-196.94470000000001</v>
      </c>
      <c r="H6369" s="1">
        <v>-1.4416900000000001E-5</v>
      </c>
      <c r="I6369">
        <v>157.38829999999999</v>
      </c>
      <c r="J6369">
        <v>-192.04920000000001</v>
      </c>
      <c r="K6369">
        <v>1.109531</v>
      </c>
      <c r="L6369">
        <v>168.64259999999999</v>
      </c>
      <c r="M6369">
        <v>-1.9631969999999999E-2</v>
      </c>
      <c r="N6369">
        <v>0</v>
      </c>
      <c r="O6369">
        <v>-0.99976710000000002</v>
      </c>
      <c r="P6369">
        <v>-0.23228260000000001</v>
      </c>
      <c r="Q6369">
        <v>2.441629E-2</v>
      </c>
      <c r="R6369">
        <v>-0.97234200000000004</v>
      </c>
      <c r="S6369">
        <v>-1.206833</v>
      </c>
      <c r="T6369">
        <v>-0.27331519999999998</v>
      </c>
      <c r="U6369">
        <v>-2.8051300000000001</v>
      </c>
      <c r="V6369">
        <v>0.21318970000000001</v>
      </c>
      <c r="W6369">
        <v>3.2899949999999997E-2</v>
      </c>
      <c r="X6369">
        <v>0.97645680000000001</v>
      </c>
      <c r="Y6369">
        <v>0.3755078</v>
      </c>
      <c r="Z6369">
        <v>8.9470800000000003E-2</v>
      </c>
      <c r="AA6369">
        <v>0.92249060000000005</v>
      </c>
      <c r="AB6369">
        <v>15</v>
      </c>
      <c r="AC6369">
        <v>-4.8954999999999904</v>
      </c>
      <c r="AD6369">
        <v>-1.1095454169000001</v>
      </c>
      <c r="AE6369">
        <v>-11.254300000000001</v>
      </c>
      <c r="AF6369">
        <v>4.6357148181640397</v>
      </c>
      <c r="AG6369">
        <v>-1.1095454169000001</v>
      </c>
      <c r="AH6369">
        <v>11.256243381537899</v>
      </c>
      <c r="AI6369">
        <v>95.207817546440396</v>
      </c>
      <c r="AJ6369">
        <v>67.616422114543994</v>
      </c>
      <c r="AK6369">
        <v>12.2239092753475</v>
      </c>
      <c r="AL6369">
        <v>88.114631621201099</v>
      </c>
      <c r="AM6369">
        <v>77.683886372933102</v>
      </c>
      <c r="AN6369">
        <v>1.0000000685811601</v>
      </c>
    </row>
    <row r="6370" spans="1:40" x14ac:dyDescent="0.25">
      <c r="A6370" t="str">
        <f>"20190312150818641"</f>
        <v>20190312150818641</v>
      </c>
      <c r="B6370" t="str">
        <f>"1552374498636292"</f>
        <v>1552374498636292</v>
      </c>
      <c r="C6370" t="s">
        <v>40</v>
      </c>
      <c r="D6370">
        <v>4.5895260000000002</v>
      </c>
      <c r="E6370">
        <v>0.56688309999999997</v>
      </c>
      <c r="F6370" t="s">
        <v>77</v>
      </c>
      <c r="G6370">
        <v>-196.92850000000001</v>
      </c>
      <c r="H6370" s="1">
        <v>-1.442808E-5</v>
      </c>
      <c r="I6370">
        <v>157.43279999999999</v>
      </c>
      <c r="J6370">
        <v>-192.05189999999999</v>
      </c>
      <c r="K6370">
        <v>1.109526</v>
      </c>
      <c r="L6370">
        <v>168.5521</v>
      </c>
      <c r="M6370">
        <v>-2.0394349999999999E-2</v>
      </c>
      <c r="N6370">
        <v>0</v>
      </c>
      <c r="O6370">
        <v>-0.99975199999999997</v>
      </c>
      <c r="P6370">
        <v>-0.23355100000000001</v>
      </c>
      <c r="Q6370">
        <v>2.459834E-2</v>
      </c>
      <c r="R6370">
        <v>-0.97203340000000005</v>
      </c>
      <c r="S6370">
        <v>-1.2192080000000001</v>
      </c>
      <c r="T6370">
        <v>-0.27724670000000001</v>
      </c>
      <c r="U6370">
        <v>-2.8010410000000001</v>
      </c>
      <c r="V6370">
        <v>0.21371960000000001</v>
      </c>
      <c r="W6370">
        <v>3.3063410000000001E-2</v>
      </c>
      <c r="X6370">
        <v>0.97633530000000002</v>
      </c>
      <c r="Y6370">
        <v>0.37867479999999998</v>
      </c>
      <c r="Z6370">
        <v>9.0728530000000002E-2</v>
      </c>
      <c r="AA6370">
        <v>0.92107209999999995</v>
      </c>
      <c r="AB6370">
        <v>15</v>
      </c>
      <c r="AC6370">
        <v>-4.8766000000000203</v>
      </c>
      <c r="AD6370">
        <v>-1.1095404280800001</v>
      </c>
      <c r="AE6370">
        <v>-11.119300000000001</v>
      </c>
      <c r="AF6370">
        <v>4.6103058009101101</v>
      </c>
      <c r="AG6370">
        <v>-1.1095404280800001</v>
      </c>
      <c r="AH6370">
        <v>11.1235552911302</v>
      </c>
      <c r="AI6370">
        <v>95.264709952590593</v>
      </c>
      <c r="AJ6370">
        <v>67.487786043932303</v>
      </c>
      <c r="AK6370">
        <v>12.092124786582399</v>
      </c>
      <c r="AL6370">
        <v>88.105260706764199</v>
      </c>
      <c r="AM6370">
        <v>77.652722126789399</v>
      </c>
      <c r="AN6370">
        <v>0.99999993726553704</v>
      </c>
    </row>
    <row r="6371" spans="1:40" x14ac:dyDescent="0.25">
      <c r="A6371" t="str">
        <f>"20190312150818653"</f>
        <v>20190312150818653</v>
      </c>
      <c r="B6371" t="str">
        <f>"1552374498646052"</f>
        <v>1552374498646052</v>
      </c>
      <c r="C6371" t="s">
        <v>40</v>
      </c>
      <c r="D6371">
        <v>4.5906719999999996</v>
      </c>
      <c r="E6371">
        <v>0.56706889999999999</v>
      </c>
      <c r="F6371" t="s">
        <v>77</v>
      </c>
      <c r="G6371">
        <v>-196.95269999999999</v>
      </c>
      <c r="H6371" s="1">
        <v>-1.441904E-5</v>
      </c>
      <c r="I6371">
        <v>157.39680000000001</v>
      </c>
      <c r="J6371">
        <v>-192.05449999999999</v>
      </c>
      <c r="K6371">
        <v>1.109523</v>
      </c>
      <c r="L6371">
        <v>168.46449999999999</v>
      </c>
      <c r="M6371">
        <v>-2.1131980000000002E-2</v>
      </c>
      <c r="N6371">
        <v>0</v>
      </c>
      <c r="O6371">
        <v>-0.99973679999999998</v>
      </c>
      <c r="P6371">
        <v>-0.23468559999999999</v>
      </c>
      <c r="Q6371">
        <v>2.462891E-2</v>
      </c>
      <c r="R6371">
        <v>-0.97175929999999999</v>
      </c>
      <c r="S6371">
        <v>-1.2292479999999999</v>
      </c>
      <c r="T6371">
        <v>-0.27829890000000002</v>
      </c>
      <c r="U6371">
        <v>-2.7980040000000002</v>
      </c>
      <c r="V6371">
        <v>0.21413940000000001</v>
      </c>
      <c r="W6371">
        <v>3.3077229999999999E-2</v>
      </c>
      <c r="X6371">
        <v>0.97624290000000002</v>
      </c>
      <c r="Y6371">
        <v>0.38111929999999999</v>
      </c>
      <c r="Z6371">
        <v>9.1047820000000002E-2</v>
      </c>
      <c r="AA6371">
        <v>0.92003170000000001</v>
      </c>
      <c r="AB6371">
        <v>15</v>
      </c>
      <c r="AC6371">
        <v>-4.8982000000000001</v>
      </c>
      <c r="AD6371">
        <v>-1.10953741904</v>
      </c>
      <c r="AE6371">
        <v>-11.067699999999901</v>
      </c>
      <c r="AF6371">
        <v>4.6243512630356998</v>
      </c>
      <c r="AG6371">
        <v>-1.10953741904</v>
      </c>
      <c r="AH6371">
        <v>11.075661111424701</v>
      </c>
      <c r="AI6371">
        <v>95.281630256660605</v>
      </c>
      <c r="AJ6371">
        <v>67.338306229885802</v>
      </c>
      <c r="AK6371">
        <v>12.053462861074999</v>
      </c>
      <c r="AL6371">
        <v>88.104468550980698</v>
      </c>
      <c r="AM6371">
        <v>77.628080148656593</v>
      </c>
      <c r="AN6371">
        <v>0.99999999278862095</v>
      </c>
    </row>
    <row r="6372" spans="1:40" x14ac:dyDescent="0.25">
      <c r="A6372" t="str">
        <f>"20190312150818666"</f>
        <v>20190312150818666</v>
      </c>
      <c r="B6372" t="str">
        <f>"1552374498656789"</f>
        <v>1552374498656789</v>
      </c>
      <c r="C6372" t="s">
        <v>40</v>
      </c>
      <c r="D6372">
        <v>4.5902669999999999</v>
      </c>
      <c r="E6372">
        <v>0.56721499999999903</v>
      </c>
      <c r="F6372" t="s">
        <v>77</v>
      </c>
      <c r="G6372">
        <v>-196.93219999999999</v>
      </c>
      <c r="H6372" s="1">
        <v>-1.4423170000000001E-5</v>
      </c>
      <c r="I6372">
        <v>157.41319999999999</v>
      </c>
      <c r="J6372">
        <v>-192.05699999999999</v>
      </c>
      <c r="K6372">
        <v>1.1095250000000001</v>
      </c>
      <c r="L6372">
        <v>168.3819</v>
      </c>
      <c r="M6372">
        <v>-2.1827280000000001E-2</v>
      </c>
      <c r="N6372">
        <v>0</v>
      </c>
      <c r="O6372">
        <v>-0.999722</v>
      </c>
      <c r="P6372">
        <v>-0.23579240000000001</v>
      </c>
      <c r="Q6372">
        <v>2.4694870000000001E-2</v>
      </c>
      <c r="R6372">
        <v>-0.97148979999999996</v>
      </c>
      <c r="S6372">
        <v>-1.2341770000000001</v>
      </c>
      <c r="T6372">
        <v>-0.28073979999999998</v>
      </c>
      <c r="U6372">
        <v>-2.7962340000000001</v>
      </c>
      <c r="V6372">
        <v>0.21457290000000001</v>
      </c>
      <c r="W6372">
        <v>3.3127749999999997E-2</v>
      </c>
      <c r="X6372">
        <v>0.97614599999999996</v>
      </c>
      <c r="Y6372">
        <v>0.38201990000000002</v>
      </c>
      <c r="Z6372">
        <v>9.1841080000000005E-2</v>
      </c>
      <c r="AA6372">
        <v>0.91957929999999999</v>
      </c>
      <c r="AB6372">
        <v>15</v>
      </c>
      <c r="AC6372">
        <v>-4.8751999999999702</v>
      </c>
      <c r="AD6372">
        <v>-1.10953942317</v>
      </c>
      <c r="AE6372">
        <v>-10.9687</v>
      </c>
      <c r="AF6372">
        <v>4.5953475024985204</v>
      </c>
      <c r="AG6372">
        <v>-1.10953942317</v>
      </c>
      <c r="AH6372">
        <v>10.9786967066574</v>
      </c>
      <c r="AI6372">
        <v>95.326049144828602</v>
      </c>
      <c r="AJ6372">
        <v>67.287301780614499</v>
      </c>
      <c r="AK6372">
        <v>11.953245491374201</v>
      </c>
      <c r="AL6372">
        <v>88.101572385690801</v>
      </c>
      <c r="AM6372">
        <v>77.602615702383403</v>
      </c>
      <c r="AN6372">
        <v>0.99999999527523598</v>
      </c>
    </row>
    <row r="6373" spans="1:40" x14ac:dyDescent="0.25">
      <c r="A6373" t="str">
        <f>"20190312150818678"</f>
        <v>20190312150818678</v>
      </c>
      <c r="B6373" t="str">
        <f>"1552374498666549"</f>
        <v>1552374498666549</v>
      </c>
      <c r="C6373" t="s">
        <v>40</v>
      </c>
      <c r="D6373">
        <v>4.5560349999999996</v>
      </c>
      <c r="E6373">
        <v>0.56759729999999997</v>
      </c>
      <c r="F6373" t="s">
        <v>77</v>
      </c>
      <c r="G6373">
        <v>-196.9228</v>
      </c>
      <c r="H6373" s="1">
        <v>-1.44205399999999E-5</v>
      </c>
      <c r="I6373">
        <v>157.40280000000001</v>
      </c>
      <c r="J6373">
        <v>-192.05950000000001</v>
      </c>
      <c r="K6373">
        <v>1.109523</v>
      </c>
      <c r="L6373">
        <v>168.30260000000001</v>
      </c>
      <c r="M6373">
        <v>-2.24952E-2</v>
      </c>
      <c r="N6373">
        <v>0</v>
      </c>
      <c r="O6373">
        <v>-0.99970720000000002</v>
      </c>
      <c r="P6373">
        <v>-0.23698520000000001</v>
      </c>
      <c r="Q6373">
        <v>2.501039E-2</v>
      </c>
      <c r="R6373">
        <v>-0.97119129999999998</v>
      </c>
      <c r="S6373">
        <v>-1.2385250000000001</v>
      </c>
      <c r="T6373">
        <v>-0.28242220000000001</v>
      </c>
      <c r="U6373">
        <v>-2.794632</v>
      </c>
      <c r="V6373">
        <v>0.21512010000000001</v>
      </c>
      <c r="W6373">
        <v>3.3429899999999999E-2</v>
      </c>
      <c r="X6373">
        <v>0.97601530000000003</v>
      </c>
      <c r="Y6373">
        <v>0.3827738</v>
      </c>
      <c r="Z6373">
        <v>9.2389799999999994E-2</v>
      </c>
      <c r="AA6373">
        <v>0.91921070000000005</v>
      </c>
      <c r="AB6373">
        <v>15</v>
      </c>
      <c r="AC6373">
        <v>-4.8632999999999802</v>
      </c>
      <c r="AD6373">
        <v>-1.1095374205399999</v>
      </c>
      <c r="AE6373">
        <v>-10.899800000000001</v>
      </c>
      <c r="AF6373">
        <v>4.5773105846511104</v>
      </c>
      <c r="AG6373">
        <v>-1.1095374205399999</v>
      </c>
      <c r="AH6373">
        <v>10.912147362002599</v>
      </c>
      <c r="AI6373">
        <v>95.356624495408994</v>
      </c>
      <c r="AJ6373">
        <v>67.243447586988694</v>
      </c>
      <c r="AK6373">
        <v>11.885192700415001</v>
      </c>
      <c r="AL6373">
        <v>88.084250958612799</v>
      </c>
      <c r="AM6373">
        <v>77.570368772616604</v>
      </c>
      <c r="AN6373">
        <v>1.0000000407360501</v>
      </c>
    </row>
    <row r="6374" spans="1:40" x14ac:dyDescent="0.25">
      <c r="A6374" t="str">
        <f>"20190312150818694"</f>
        <v>20190312150818694</v>
      </c>
      <c r="B6374" t="str">
        <f>"1552374498686072"</f>
        <v>1552374498686072</v>
      </c>
      <c r="C6374" t="s">
        <v>40</v>
      </c>
      <c r="D6374">
        <v>4.5305169999999997</v>
      </c>
      <c r="E6374">
        <v>0.56786040000000004</v>
      </c>
      <c r="F6374" t="s">
        <v>77</v>
      </c>
      <c r="G6374">
        <v>-196.9639</v>
      </c>
      <c r="H6374" s="1">
        <v>-1.439575E-5</v>
      </c>
      <c r="I6374">
        <v>157.30430000000001</v>
      </c>
      <c r="J6374">
        <v>-192.06299999999999</v>
      </c>
      <c r="K6374">
        <v>1.109524</v>
      </c>
      <c r="L6374">
        <v>168.19460000000001</v>
      </c>
      <c r="M6374">
        <v>-2.3404100000000001E-2</v>
      </c>
      <c r="N6374">
        <v>0</v>
      </c>
      <c r="O6374">
        <v>-0.99968650000000003</v>
      </c>
      <c r="P6374">
        <v>-0.23874899999999999</v>
      </c>
      <c r="Q6374">
        <v>2.5633929999999999E-2</v>
      </c>
      <c r="R6374">
        <v>-0.97074289999999996</v>
      </c>
      <c r="S6374">
        <v>-1.245193</v>
      </c>
      <c r="T6374">
        <v>-0.28170800000000001</v>
      </c>
      <c r="U6374">
        <v>-2.7924349999999998</v>
      </c>
      <c r="V6374">
        <v>0.21600739999999999</v>
      </c>
      <c r="W6374">
        <v>3.4035139999999998E-2</v>
      </c>
      <c r="X6374">
        <v>0.97579839999999995</v>
      </c>
      <c r="Y6374">
        <v>0.38404359999999998</v>
      </c>
      <c r="Z6374">
        <v>9.215342E-2</v>
      </c>
      <c r="AA6374">
        <v>0.91870469999999904</v>
      </c>
      <c r="AB6374">
        <v>15</v>
      </c>
      <c r="AC6374">
        <v>-4.9009</v>
      </c>
      <c r="AD6374">
        <v>-1.10953839575</v>
      </c>
      <c r="AE6374">
        <v>-10.8902999999999</v>
      </c>
      <c r="AF6374">
        <v>4.6049199932173703</v>
      </c>
      <c r="AG6374">
        <v>-1.10953839575</v>
      </c>
      <c r="AH6374">
        <v>10.9078656401873</v>
      </c>
      <c r="AI6374">
        <v>95.353587536488305</v>
      </c>
      <c r="AJ6374">
        <v>67.112226953099807</v>
      </c>
      <c r="AK6374">
        <v>11.891925681737</v>
      </c>
      <c r="AL6374">
        <v>88.049553538474996</v>
      </c>
      <c r="AM6374">
        <v>77.518016601597907</v>
      </c>
      <c r="AN6374">
        <v>1.0000000525260599</v>
      </c>
    </row>
    <row r="6375" spans="1:40" x14ac:dyDescent="0.25">
      <c r="A6375" t="str">
        <f>"20190312150818706"</f>
        <v>20190312150818706</v>
      </c>
      <c r="B6375" t="str">
        <f>"1552374498696806"</f>
        <v>1552374498696806</v>
      </c>
      <c r="C6375" t="s">
        <v>40</v>
      </c>
      <c r="D6375">
        <v>4.5552390000000003</v>
      </c>
      <c r="E6375">
        <v>0.56804119999999902</v>
      </c>
      <c r="F6375" t="s">
        <v>77</v>
      </c>
      <c r="G6375">
        <v>-197.04499999999999</v>
      </c>
      <c r="H6375" s="1">
        <v>-1.43437E-5</v>
      </c>
      <c r="I6375">
        <v>157.09739999999999</v>
      </c>
      <c r="J6375">
        <v>-192.06569999999999</v>
      </c>
      <c r="K6375">
        <v>1.109523</v>
      </c>
      <c r="L6375">
        <v>168.11369999999999</v>
      </c>
      <c r="M6375">
        <v>-2.4084769999999998E-2</v>
      </c>
      <c r="N6375">
        <v>0</v>
      </c>
      <c r="O6375">
        <v>-0.99967050000000002</v>
      </c>
      <c r="P6375">
        <v>-0.23981659999999999</v>
      </c>
      <c r="Q6375">
        <v>2.5796349999999999E-2</v>
      </c>
      <c r="R6375">
        <v>-0.9704758</v>
      </c>
      <c r="S6375">
        <v>-1.252426</v>
      </c>
      <c r="T6375">
        <v>-0.2789297</v>
      </c>
      <c r="U6375">
        <v>-2.789749</v>
      </c>
      <c r="V6375">
        <v>0.21641669999999999</v>
      </c>
      <c r="W6375">
        <v>3.418525E-2</v>
      </c>
      <c r="X6375">
        <v>0.97570239999999997</v>
      </c>
      <c r="Y6375">
        <v>0.3857621</v>
      </c>
      <c r="Z6375">
        <v>9.1250250000000005E-2</v>
      </c>
      <c r="AA6375">
        <v>0.91807459999999996</v>
      </c>
      <c r="AB6375">
        <v>15</v>
      </c>
      <c r="AC6375">
        <v>-4.9792999999999896</v>
      </c>
      <c r="AD6375">
        <v>-1.1095373437</v>
      </c>
      <c r="AE6375">
        <v>-11.016299999999999</v>
      </c>
      <c r="AF6375">
        <v>4.6731569467363103</v>
      </c>
      <c r="AG6375">
        <v>-1.1095373437</v>
      </c>
      <c r="AH6375">
        <v>11.040041447430299</v>
      </c>
      <c r="AI6375">
        <v>95.2877283924024</v>
      </c>
      <c r="AJ6375">
        <v>67.057467065493498</v>
      </c>
      <c r="AK6375">
        <v>12.039600663098099</v>
      </c>
      <c r="AL6375">
        <v>88.040947751550604</v>
      </c>
      <c r="AM6375">
        <v>77.493916828828503</v>
      </c>
      <c r="AN6375">
        <v>0.99999999636110604</v>
      </c>
    </row>
    <row r="6376" spans="1:40" x14ac:dyDescent="0.25">
      <c r="A6376" t="str">
        <f>"20190312150818727"</f>
        <v>20190312150818727</v>
      </c>
      <c r="B6376" t="str">
        <f>"1552374498716324"</f>
        <v>1552374498716324</v>
      </c>
      <c r="C6376" t="s">
        <v>40</v>
      </c>
      <c r="D6376">
        <v>4.6530969999999998</v>
      </c>
      <c r="E6376">
        <v>0.56825890000000001</v>
      </c>
      <c r="F6376" t="s">
        <v>77</v>
      </c>
      <c r="G6376">
        <v>-197.0813</v>
      </c>
      <c r="H6376" s="1">
        <v>-1.431608E-5</v>
      </c>
      <c r="I6376">
        <v>156.98759999999999</v>
      </c>
      <c r="J6376">
        <v>-192.0703</v>
      </c>
      <c r="K6376">
        <v>1.109524</v>
      </c>
      <c r="L6376">
        <v>167.97640000000001</v>
      </c>
      <c r="M6376">
        <v>-2.5239729999999998E-2</v>
      </c>
      <c r="N6376">
        <v>0</v>
      </c>
      <c r="O6376">
        <v>-0.99964209999999998</v>
      </c>
      <c r="P6376">
        <v>-0.24173749999999999</v>
      </c>
      <c r="Q6376">
        <v>2.5671800000000002E-2</v>
      </c>
      <c r="R6376">
        <v>-0.97000209999999998</v>
      </c>
      <c r="S6376">
        <v>-1.2568509999999999</v>
      </c>
      <c r="T6376">
        <v>-0.27803559999999999</v>
      </c>
      <c r="U6376">
        <v>-2.7880549999999999</v>
      </c>
      <c r="V6376">
        <v>0.21722130000000001</v>
      </c>
      <c r="W6376">
        <v>3.4045609999999997E-2</v>
      </c>
      <c r="X6376">
        <v>0.97552850000000002</v>
      </c>
      <c r="Y6376">
        <v>0.38612770000000002</v>
      </c>
      <c r="Z6376">
        <v>9.0971109999999994E-2</v>
      </c>
      <c r="AA6376">
        <v>0.9179486</v>
      </c>
      <c r="AB6376">
        <v>15</v>
      </c>
      <c r="AC6376">
        <v>-5.0109999999999904</v>
      </c>
      <c r="AD6376">
        <v>-1.1095383160800001</v>
      </c>
      <c r="AE6376">
        <v>-10.988799999999999</v>
      </c>
      <c r="AF6376">
        <v>4.6924346103260302</v>
      </c>
      <c r="AG6376">
        <v>-1.1095383160800001</v>
      </c>
      <c r="AH6376">
        <v>11.0187829022075</v>
      </c>
      <c r="AI6376">
        <v>95.293016043555696</v>
      </c>
      <c r="AJ6376">
        <v>66.932891934821996</v>
      </c>
      <c r="AK6376">
        <v>12.0276179891538</v>
      </c>
      <c r="AL6376">
        <v>88.048953251129703</v>
      </c>
      <c r="AM6376">
        <v>77.446725520866593</v>
      </c>
      <c r="AN6376">
        <v>1.0000000255231001</v>
      </c>
    </row>
    <row r="6377" spans="1:40" x14ac:dyDescent="0.25">
      <c r="A6377" t="str">
        <f>"20190312150818737"</f>
        <v>20190312150818737</v>
      </c>
      <c r="B6377" t="str">
        <f>"1552374498726084"</f>
        <v>1552374498726084</v>
      </c>
      <c r="C6377" t="s">
        <v>40</v>
      </c>
      <c r="D6377">
        <v>4.6087360000000004</v>
      </c>
      <c r="E6377">
        <v>0.56824469999999905</v>
      </c>
      <c r="F6377" t="s">
        <v>77</v>
      </c>
      <c r="G6377">
        <v>-197.0505</v>
      </c>
      <c r="H6377" s="1">
        <v>-1.431981E-5</v>
      </c>
      <c r="I6377">
        <v>157.00239999999999</v>
      </c>
      <c r="J6377">
        <v>-192.07310000000001</v>
      </c>
      <c r="K6377">
        <v>1.109523</v>
      </c>
      <c r="L6377">
        <v>167.89869999999999</v>
      </c>
      <c r="M6377">
        <v>-2.5893030000000001E-2</v>
      </c>
      <c r="N6377">
        <v>0</v>
      </c>
      <c r="O6377">
        <v>-0.99962569999999995</v>
      </c>
      <c r="P6377">
        <v>-0.24273639999999999</v>
      </c>
      <c r="Q6377">
        <v>2.585279E-2</v>
      </c>
      <c r="R6377">
        <v>-0.96974839999999995</v>
      </c>
      <c r="S6377">
        <v>-1.2639769999999999</v>
      </c>
      <c r="T6377">
        <v>-0.28160459999999998</v>
      </c>
      <c r="U6377">
        <v>-2.7852329999999998</v>
      </c>
      <c r="V6377">
        <v>0.21758910000000001</v>
      </c>
      <c r="W6377">
        <v>3.4223379999999998E-2</v>
      </c>
      <c r="X6377">
        <v>0.97544030000000004</v>
      </c>
      <c r="Y6377">
        <v>0.38777859999999997</v>
      </c>
      <c r="Z6377">
        <v>9.2131000000000005E-2</v>
      </c>
      <c r="AA6377">
        <v>0.91713670000000003</v>
      </c>
      <c r="AB6377">
        <v>15</v>
      </c>
      <c r="AC6377">
        <v>-4.9773999999999798</v>
      </c>
      <c r="AD6377">
        <v>-1.10953731981</v>
      </c>
      <c r="AE6377">
        <v>-10.896299999999901</v>
      </c>
      <c r="AF6377">
        <v>4.6536595805119401</v>
      </c>
      <c r="AG6377">
        <v>-1.10953731981</v>
      </c>
      <c r="AH6377">
        <v>10.927785466817699</v>
      </c>
      <c r="AI6377">
        <v>95.336837662670007</v>
      </c>
      <c r="AJ6377">
        <v>66.932994291484604</v>
      </c>
      <c r="AK6377">
        <v>11.9291288770024</v>
      </c>
      <c r="AL6377">
        <v>88.038761825890901</v>
      </c>
      <c r="AM6377">
        <v>77.425044844095694</v>
      </c>
      <c r="AN6377">
        <v>1.00000001752076</v>
      </c>
    </row>
    <row r="6378" spans="1:40" x14ac:dyDescent="0.25">
      <c r="A6378" t="str">
        <f>"20190312150818749"</f>
        <v>20190312150818749</v>
      </c>
      <c r="B6378" t="str">
        <f>"1552374498746580"</f>
        <v>1552374498746580</v>
      </c>
      <c r="C6378" t="s">
        <v>40</v>
      </c>
      <c r="D6378">
        <v>4.6019310000000004</v>
      </c>
      <c r="E6378">
        <v>0.56812959999999901</v>
      </c>
      <c r="F6378" t="s">
        <v>77</v>
      </c>
      <c r="G6378">
        <v>-197.05340000000001</v>
      </c>
      <c r="H6378" s="1">
        <v>-1.430864E-5</v>
      </c>
      <c r="I6378">
        <v>156.958</v>
      </c>
      <c r="J6378">
        <v>-192.07570000000001</v>
      </c>
      <c r="K6378">
        <v>1.1095219999999999</v>
      </c>
      <c r="L6378">
        <v>167.8227</v>
      </c>
      <c r="M6378">
        <v>-2.6531639999999999E-2</v>
      </c>
      <c r="N6378">
        <v>0</v>
      </c>
      <c r="O6378">
        <v>-0.99960899999999997</v>
      </c>
      <c r="P6378">
        <v>-0.24363599999999999</v>
      </c>
      <c r="Q6378">
        <v>2.617734E-2</v>
      </c>
      <c r="R6378">
        <v>-0.96951410000000005</v>
      </c>
      <c r="S6378">
        <v>-1.2672730000000001</v>
      </c>
      <c r="T6378">
        <v>-0.28232580000000002</v>
      </c>
      <c r="U6378">
        <v>-2.78389</v>
      </c>
      <c r="V6378">
        <v>0.2178717</v>
      </c>
      <c r="W6378">
        <v>3.4547920000000003E-2</v>
      </c>
      <c r="X6378">
        <v>0.97536579999999995</v>
      </c>
      <c r="Y6378">
        <v>0.38824730000000002</v>
      </c>
      <c r="Z6378">
        <v>9.2371720000000004E-2</v>
      </c>
      <c r="AA6378">
        <v>0.91691409999999995</v>
      </c>
      <c r="AB6378">
        <v>15</v>
      </c>
      <c r="AC6378">
        <v>-4.9776999999999898</v>
      </c>
      <c r="AD6378">
        <v>-1.1095363086400001</v>
      </c>
      <c r="AE6378">
        <v>-10.864699999999999</v>
      </c>
      <c r="AF6378">
        <v>4.6476165882747997</v>
      </c>
      <c r="AG6378">
        <v>-1.1095363086400001</v>
      </c>
      <c r="AH6378">
        <v>10.898999702239101</v>
      </c>
      <c r="AI6378">
        <v>95.349752400724896</v>
      </c>
      <c r="AJ6378">
        <v>66.905340843909599</v>
      </c>
      <c r="AK6378">
        <v>11.9004035764005</v>
      </c>
      <c r="AL6378">
        <v>88.020156095884005</v>
      </c>
      <c r="AM6378">
        <v>77.408302139594596</v>
      </c>
      <c r="AN6378">
        <v>1.0000000401234199</v>
      </c>
    </row>
    <row r="6379" spans="1:40" x14ac:dyDescent="0.25">
      <c r="A6379" t="str">
        <f>"20190312150818761"</f>
        <v>20190312150818761</v>
      </c>
      <c r="B6379" t="str">
        <f>"1552374498756341"</f>
        <v>1552374498756341</v>
      </c>
      <c r="C6379" t="s">
        <v>40</v>
      </c>
      <c r="D6379">
        <v>4.6162979999999996</v>
      </c>
      <c r="E6379">
        <v>0.56814739999999997</v>
      </c>
      <c r="F6379" t="s">
        <v>77</v>
      </c>
      <c r="G6379">
        <v>-197.05170000000001</v>
      </c>
      <c r="H6379" s="1">
        <v>-1.4296789999999999E-5</v>
      </c>
      <c r="I6379">
        <v>156.9109</v>
      </c>
      <c r="J6379">
        <v>-192.0787</v>
      </c>
      <c r="K6379">
        <v>1.109523</v>
      </c>
      <c r="L6379">
        <v>167.7396</v>
      </c>
      <c r="M6379">
        <v>-2.7229980000000001E-2</v>
      </c>
      <c r="N6379">
        <v>0</v>
      </c>
      <c r="O6379">
        <v>-0.99958990000000003</v>
      </c>
      <c r="P6379">
        <v>-0.24441789999999999</v>
      </c>
      <c r="Q6379">
        <v>2.6117250000000002E-2</v>
      </c>
      <c r="R6379">
        <v>-0.96931849999999997</v>
      </c>
      <c r="S6379">
        <v>-1.2691349999999999</v>
      </c>
      <c r="T6379">
        <v>-0.2829875</v>
      </c>
      <c r="U6379">
        <v>-2.7830509999999999</v>
      </c>
      <c r="V6379">
        <v>0.21797710000000001</v>
      </c>
      <c r="W6379">
        <v>3.4490720000000002E-2</v>
      </c>
      <c r="X6379">
        <v>0.97534419999999999</v>
      </c>
      <c r="Y6379">
        <v>0.38820749999999998</v>
      </c>
      <c r="Z6379">
        <v>9.2597380000000007E-2</v>
      </c>
      <c r="AA6379">
        <v>0.91690819999999995</v>
      </c>
      <c r="AB6379">
        <v>15</v>
      </c>
      <c r="AC6379">
        <v>-4.9730000000000096</v>
      </c>
      <c r="AD6379">
        <v>-1.1095372967899999</v>
      </c>
      <c r="AE6379">
        <v>-10.8286999999999</v>
      </c>
      <c r="AF6379">
        <v>4.63608390195773</v>
      </c>
      <c r="AG6379">
        <v>-1.1095372967899999</v>
      </c>
      <c r="AH6379">
        <v>10.865896507894201</v>
      </c>
      <c r="AI6379">
        <v>95.365502603759893</v>
      </c>
      <c r="AJ6379">
        <v>66.893815629571606</v>
      </c>
      <c r="AK6379">
        <v>11.8655827450331</v>
      </c>
      <c r="AL6379">
        <v>88.023435224456406</v>
      </c>
      <c r="AM6379">
        <v>77.402134945473506</v>
      </c>
      <c r="AN6379">
        <v>0.99999996718208295</v>
      </c>
    </row>
    <row r="6380" spans="1:40" x14ac:dyDescent="0.25">
      <c r="A6380" t="str">
        <f>"20190312150818772"</f>
        <v>20190312150818772</v>
      </c>
      <c r="B6380" t="str">
        <f>"1552374498766101"</f>
        <v>1552374498766101</v>
      </c>
      <c r="C6380" t="s">
        <v>40</v>
      </c>
      <c r="D6380">
        <v>4.5460479999999999</v>
      </c>
      <c r="E6380">
        <v>0.56819770000000003</v>
      </c>
      <c r="F6380" t="s">
        <v>77</v>
      </c>
      <c r="G6380">
        <v>-197.05080000000001</v>
      </c>
      <c r="H6380" s="1">
        <v>-1.428483E-5</v>
      </c>
      <c r="I6380">
        <v>156.86340000000001</v>
      </c>
      <c r="J6380">
        <v>-192.08150000000001</v>
      </c>
      <c r="K6380">
        <v>1.109524</v>
      </c>
      <c r="L6380">
        <v>167.66470000000001</v>
      </c>
      <c r="M6380">
        <v>-2.7859740000000001E-2</v>
      </c>
      <c r="N6380">
        <v>0</v>
      </c>
      <c r="O6380">
        <v>-0.99957249999999997</v>
      </c>
      <c r="P6380">
        <v>-0.2452088</v>
      </c>
      <c r="Q6380">
        <v>2.595714E-2</v>
      </c>
      <c r="R6380">
        <v>-0.96912310000000002</v>
      </c>
      <c r="S6380">
        <v>-1.2717590000000001</v>
      </c>
      <c r="T6380">
        <v>-0.2838</v>
      </c>
      <c r="U6380">
        <v>-2.781952</v>
      </c>
      <c r="V6380">
        <v>0.2181584</v>
      </c>
      <c r="W6380">
        <v>3.4336789999999999E-2</v>
      </c>
      <c r="X6380">
        <v>0.97530910000000004</v>
      </c>
      <c r="Y6380">
        <v>0.38846930000000002</v>
      </c>
      <c r="Z6380">
        <v>9.2868829999999999E-2</v>
      </c>
      <c r="AA6380">
        <v>0.91676990000000003</v>
      </c>
      <c r="AB6380">
        <v>15</v>
      </c>
      <c r="AC6380">
        <v>-4.9692999999999996</v>
      </c>
      <c r="AD6380">
        <v>-1.1095382848299999</v>
      </c>
      <c r="AE6380">
        <v>-10.8012999999999</v>
      </c>
      <c r="AF6380">
        <v>4.6261501165421697</v>
      </c>
      <c r="AG6380">
        <v>-1.1095382848299999</v>
      </c>
      <c r="AH6380">
        <v>10.8411439668896</v>
      </c>
      <c r="AI6380">
        <v>95.377574511521203</v>
      </c>
      <c r="AJ6380">
        <v>66.891011296409602</v>
      </c>
      <c r="AK6380">
        <v>11.839034699548501</v>
      </c>
      <c r="AL6380">
        <v>88.032259999935803</v>
      </c>
      <c r="AM6380">
        <v>77.391552434814201</v>
      </c>
      <c r="AN6380">
        <v>0.99999997159043597</v>
      </c>
    </row>
    <row r="6381" spans="1:40" x14ac:dyDescent="0.25">
      <c r="A6381" t="str">
        <f>"20190312150818784"</f>
        <v>20190312150818784</v>
      </c>
      <c r="B6381" t="str">
        <f>"1552374498776837"</f>
        <v>1552374498776837</v>
      </c>
      <c r="C6381" t="s">
        <v>40</v>
      </c>
      <c r="D6381">
        <v>4.5570649999999997</v>
      </c>
      <c r="E6381">
        <v>0.56818489999999999</v>
      </c>
      <c r="F6381" t="s">
        <v>77</v>
      </c>
      <c r="G6381">
        <v>-197.06460000000001</v>
      </c>
      <c r="H6381" s="1">
        <v>-1.4266900000000001E-5</v>
      </c>
      <c r="I6381">
        <v>156.79220000000001</v>
      </c>
      <c r="J6381">
        <v>-192.08449999999999</v>
      </c>
      <c r="K6381">
        <v>1.109523</v>
      </c>
      <c r="L6381">
        <v>167.5838</v>
      </c>
      <c r="M6381">
        <v>-2.853899E-2</v>
      </c>
      <c r="N6381">
        <v>0</v>
      </c>
      <c r="O6381">
        <v>-0.99955340000000004</v>
      </c>
      <c r="P6381">
        <v>-0.24590290000000001</v>
      </c>
      <c r="Q6381">
        <v>2.596242E-2</v>
      </c>
      <c r="R6381">
        <v>-0.96894720000000001</v>
      </c>
      <c r="S6381">
        <v>-1.2744599999999999</v>
      </c>
      <c r="T6381">
        <v>-0.28376960000000001</v>
      </c>
      <c r="U6381">
        <v>-2.7807010000000001</v>
      </c>
      <c r="V6381">
        <v>0.21819440000000001</v>
      </c>
      <c r="W6381">
        <v>3.4350609999999997E-2</v>
      </c>
      <c r="X6381">
        <v>0.97530059999999996</v>
      </c>
      <c r="Y6381">
        <v>0.38873580000000002</v>
      </c>
      <c r="Z6381">
        <v>9.2870739999999993E-2</v>
      </c>
      <c r="AA6381">
        <v>0.91665669999999999</v>
      </c>
      <c r="AB6381">
        <v>15</v>
      </c>
      <c r="AC6381">
        <v>-4.9801000000000197</v>
      </c>
      <c r="AD6381">
        <v>-1.1095372668999901</v>
      </c>
      <c r="AE6381">
        <v>-10.791599999999899</v>
      </c>
      <c r="AF6381">
        <v>4.6297300599055999</v>
      </c>
      <c r="AG6381">
        <v>-1.1095372668999901</v>
      </c>
      <c r="AH6381">
        <v>10.8349110041739</v>
      </c>
      <c r="AI6381">
        <v>95.379532576982598</v>
      </c>
      <c r="AJ6381">
        <v>66.8631039539585</v>
      </c>
      <c r="AK6381">
        <v>11.8347272821389</v>
      </c>
      <c r="AL6381">
        <v>88.031467781435197</v>
      </c>
      <c r="AM6381">
        <v>77.389431968059</v>
      </c>
      <c r="AN6381">
        <v>1.0000000104795399</v>
      </c>
    </row>
    <row r="6382" spans="1:40" x14ac:dyDescent="0.25">
      <c r="A6382" t="str">
        <f>"20190312150818796"</f>
        <v>20190312150818796</v>
      </c>
      <c r="B6382" t="str">
        <f>"1552374498786597"</f>
        <v>1552374498786597</v>
      </c>
      <c r="C6382" t="s">
        <v>40</v>
      </c>
      <c r="D6382">
        <v>4.6185280000000004</v>
      </c>
      <c r="E6382">
        <v>0.56815569999999904</v>
      </c>
      <c r="F6382" t="s">
        <v>77</v>
      </c>
      <c r="G6382">
        <v>-197.05189999999999</v>
      </c>
      <c r="H6382" s="1">
        <v>-1.426009E-5</v>
      </c>
      <c r="I6382">
        <v>156.76509999999999</v>
      </c>
      <c r="J6382">
        <v>-192.08760000000001</v>
      </c>
      <c r="K6382">
        <v>1.1095200000000001</v>
      </c>
      <c r="L6382">
        <v>167.5027</v>
      </c>
      <c r="M6382">
        <v>-2.9220200000000002E-2</v>
      </c>
      <c r="N6382">
        <v>0</v>
      </c>
      <c r="O6382">
        <v>-0.99953369999999997</v>
      </c>
      <c r="P6382">
        <v>-0.24662690000000001</v>
      </c>
      <c r="Q6382">
        <v>2.592827E-2</v>
      </c>
      <c r="R6382">
        <v>-0.96876410000000002</v>
      </c>
      <c r="S6382">
        <v>-1.276367</v>
      </c>
      <c r="T6382">
        <v>-0.28509440000000003</v>
      </c>
      <c r="U6382">
        <v>-2.7798609999999999</v>
      </c>
      <c r="V6382">
        <v>0.21825849999999999</v>
      </c>
      <c r="W6382">
        <v>3.433013E-2</v>
      </c>
      <c r="X6382">
        <v>0.97528700000000002</v>
      </c>
      <c r="Y6382">
        <v>0.3887157</v>
      </c>
      <c r="Z6382">
        <v>9.3310569999999995E-2</v>
      </c>
      <c r="AA6382">
        <v>0.91662060000000001</v>
      </c>
      <c r="AB6382">
        <v>15</v>
      </c>
      <c r="AC6382">
        <v>-4.9642999999999802</v>
      </c>
      <c r="AD6382">
        <v>-1.10953426009</v>
      </c>
      <c r="AE6382">
        <v>-10.7376</v>
      </c>
      <c r="AF6382">
        <v>4.6078770628616104</v>
      </c>
      <c r="AG6382">
        <v>-1.10953426009</v>
      </c>
      <c r="AH6382">
        <v>10.7832173819034</v>
      </c>
      <c r="AI6382">
        <v>95.4051121488652</v>
      </c>
      <c r="AJ6382">
        <v>66.862045589806797</v>
      </c>
      <c r="AK6382">
        <v>11.778852847630899</v>
      </c>
      <c r="AL6382">
        <v>88.032641932870504</v>
      </c>
      <c r="AM6382">
        <v>77.385675569449702</v>
      </c>
      <c r="AN6382">
        <v>1.00000003150853</v>
      </c>
    </row>
    <row r="6383" spans="1:40" x14ac:dyDescent="0.25">
      <c r="A6383" t="str">
        <f>"20190312150818809"</f>
        <v>20190312150818809</v>
      </c>
      <c r="B6383" t="str">
        <f>"1552374498796357"</f>
        <v>1552374498796357</v>
      </c>
      <c r="C6383" t="s">
        <v>40</v>
      </c>
      <c r="D6383">
        <v>4.5936979999999998</v>
      </c>
      <c r="E6383">
        <v>0.56813100000000005</v>
      </c>
      <c r="F6383" t="s">
        <v>77</v>
      </c>
      <c r="G6383">
        <v>-197.0462</v>
      </c>
      <c r="H6383" s="1">
        <v>-1.424956E-5</v>
      </c>
      <c r="I6383">
        <v>156.72319999999999</v>
      </c>
      <c r="J6383">
        <v>-192.09100000000001</v>
      </c>
      <c r="K6383">
        <v>1.1095219999999999</v>
      </c>
      <c r="L6383">
        <v>167.41640000000001</v>
      </c>
      <c r="M6383">
        <v>-2.9945759999999998E-2</v>
      </c>
      <c r="N6383">
        <v>0</v>
      </c>
      <c r="O6383">
        <v>-0.9995117</v>
      </c>
      <c r="P6383">
        <v>-0.24706259999999999</v>
      </c>
      <c r="Q6383">
        <v>2.5910720000000002E-2</v>
      </c>
      <c r="R6383">
        <v>-0.96865330000000005</v>
      </c>
      <c r="S6383">
        <v>-1.2783359999999999</v>
      </c>
      <c r="T6383">
        <v>-0.28603849999999997</v>
      </c>
      <c r="U6383">
        <v>-2.7789609999999998</v>
      </c>
      <c r="V6383">
        <v>0.2179894</v>
      </c>
      <c r="W6383">
        <v>3.4330119999999999E-2</v>
      </c>
      <c r="X6383">
        <v>0.97534719999999997</v>
      </c>
      <c r="Y6383">
        <v>0.38868370000000002</v>
      </c>
      <c r="Z6383">
        <v>9.3628470000000005E-2</v>
      </c>
      <c r="AA6383">
        <v>0.91660169999999996</v>
      </c>
      <c r="AB6383">
        <v>15</v>
      </c>
      <c r="AC6383">
        <v>-4.9552000000000103</v>
      </c>
      <c r="AD6383">
        <v>-1.1095362495600001</v>
      </c>
      <c r="AE6383">
        <v>-10.693199999999999</v>
      </c>
      <c r="AF6383">
        <v>4.59204903225947</v>
      </c>
      <c r="AG6383">
        <v>-1.1095362495600001</v>
      </c>
      <c r="AH6383">
        <v>10.741593377488799</v>
      </c>
      <c r="AI6383">
        <v>95.425586614338499</v>
      </c>
      <c r="AJ6383">
        <v>66.853211597622902</v>
      </c>
      <c r="AK6383">
        <v>11.734556373850401</v>
      </c>
      <c r="AL6383">
        <v>88.0326425388198</v>
      </c>
      <c r="AM6383">
        <v>77.401484280338494</v>
      </c>
      <c r="AN6383">
        <v>1.0000000480997</v>
      </c>
    </row>
    <row r="6384" spans="1:40" x14ac:dyDescent="0.25">
      <c r="A6384" t="str">
        <f>"20190312150818828"</f>
        <v>20190312150818828</v>
      </c>
      <c r="B6384" t="str">
        <f>"1552374498816852"</f>
        <v>1552374498816852</v>
      </c>
      <c r="C6384" t="s">
        <v>40</v>
      </c>
      <c r="D6384">
        <v>4.5871519999999997</v>
      </c>
      <c r="E6384">
        <v>0.56791829999999999</v>
      </c>
      <c r="F6384" t="s">
        <v>77</v>
      </c>
      <c r="G6384">
        <v>-197.03720000000001</v>
      </c>
      <c r="H6384" s="1">
        <v>-1.4237509999999999E-5</v>
      </c>
      <c r="I6384">
        <v>156.67529999999999</v>
      </c>
      <c r="J6384">
        <v>-192.09620000000001</v>
      </c>
      <c r="K6384">
        <v>1.109529</v>
      </c>
      <c r="L6384">
        <v>167.28460000000001</v>
      </c>
      <c r="M6384">
        <v>-3.1052070000000001E-2</v>
      </c>
      <c r="N6384">
        <v>0</v>
      </c>
      <c r="O6384">
        <v>-0.99947790000000003</v>
      </c>
      <c r="P6384">
        <v>-0.24807850000000001</v>
      </c>
      <c r="Q6384">
        <v>2.5711080000000001E-2</v>
      </c>
      <c r="R6384">
        <v>-0.96839900000000001</v>
      </c>
      <c r="S6384">
        <v>-1.2794650000000001</v>
      </c>
      <c r="T6384">
        <v>-0.28700550000000002</v>
      </c>
      <c r="U6384">
        <v>-2.778397</v>
      </c>
      <c r="V6384">
        <v>0.21793270000000001</v>
      </c>
      <c r="W6384">
        <v>3.4160469999999998E-2</v>
      </c>
      <c r="X6384">
        <v>0.97536579999999995</v>
      </c>
      <c r="Y6384">
        <v>0.38802979999999998</v>
      </c>
      <c r="Z6384">
        <v>9.3960260000000004E-2</v>
      </c>
      <c r="AA6384">
        <v>0.91684480000000002</v>
      </c>
      <c r="AB6384">
        <v>15</v>
      </c>
      <c r="AC6384">
        <v>-4.9409999999999998</v>
      </c>
      <c r="AD6384">
        <v>-1.1095432375100001</v>
      </c>
      <c r="AE6384">
        <v>-10.609299999999999</v>
      </c>
      <c r="AF6384">
        <v>4.5681053408167598</v>
      </c>
      <c r="AG6384">
        <v>-1.1095432375100001</v>
      </c>
      <c r="AH6384">
        <v>10.661790193856101</v>
      </c>
      <c r="AI6384">
        <v>95.464111484570097</v>
      </c>
      <c r="AJ6384">
        <v>66.807009026057898</v>
      </c>
      <c r="AK6384">
        <v>11.652143268022</v>
      </c>
      <c r="AL6384">
        <v>88.042368420179102</v>
      </c>
      <c r="AM6384">
        <v>77.404889166674593</v>
      </c>
      <c r="AN6384">
        <v>1.00000002162477</v>
      </c>
    </row>
    <row r="6385" spans="1:40" x14ac:dyDescent="0.25">
      <c r="A6385" t="str">
        <f>"20190312150818841"</f>
        <v>20190312150818841</v>
      </c>
      <c r="B6385" t="str">
        <f>"1552374498836372"</f>
        <v>1552374498836372</v>
      </c>
      <c r="C6385" t="s">
        <v>40</v>
      </c>
      <c r="D6385">
        <v>4.582897</v>
      </c>
      <c r="E6385">
        <v>0.56784669999999904</v>
      </c>
      <c r="F6385" t="s">
        <v>77</v>
      </c>
      <c r="G6385">
        <v>-197.0016</v>
      </c>
      <c r="H6385" s="1">
        <v>-1.423079E-5</v>
      </c>
      <c r="I6385">
        <v>156.64859999999999</v>
      </c>
      <c r="J6385">
        <v>-192.09989999999999</v>
      </c>
      <c r="K6385">
        <v>1.109532</v>
      </c>
      <c r="L6385">
        <v>167.19309999999999</v>
      </c>
      <c r="M6385">
        <v>-3.1820519999999998E-2</v>
      </c>
      <c r="N6385">
        <v>0</v>
      </c>
      <c r="O6385">
        <v>-0.99945349999999999</v>
      </c>
      <c r="P6385">
        <v>-0.24865090000000001</v>
      </c>
      <c r="Q6385">
        <v>2.5631600000000001E-2</v>
      </c>
      <c r="R6385">
        <v>-0.96825439999999996</v>
      </c>
      <c r="S6385">
        <v>-1.280975</v>
      </c>
      <c r="T6385">
        <v>-0.28973929999999998</v>
      </c>
      <c r="U6385">
        <v>-2.7774200000000002</v>
      </c>
      <c r="V6385">
        <v>0.21775929999999999</v>
      </c>
      <c r="W6385">
        <v>3.4105669999999998E-2</v>
      </c>
      <c r="X6385">
        <v>0.97540640000000001</v>
      </c>
      <c r="Y6385">
        <v>0.38781959999999999</v>
      </c>
      <c r="Z6385">
        <v>9.4867199999999999E-2</v>
      </c>
      <c r="AA6385">
        <v>0.91684030000000005</v>
      </c>
      <c r="AB6385">
        <v>15</v>
      </c>
      <c r="AC6385">
        <v>-4.9016999999999999</v>
      </c>
      <c r="AD6385">
        <v>-1.1095462307899999</v>
      </c>
      <c r="AE6385">
        <v>-10.544499999999999</v>
      </c>
      <c r="AF6385">
        <v>4.5224960906875502</v>
      </c>
      <c r="AG6385">
        <v>-1.1095462307899999</v>
      </c>
      <c r="AH6385">
        <v>10.5986418764827</v>
      </c>
      <c r="AI6385">
        <v>95.499941344531194</v>
      </c>
      <c r="AJ6385">
        <v>66.891803152485394</v>
      </c>
      <c r="AK6385">
        <v>11.5764965924271</v>
      </c>
      <c r="AL6385">
        <v>88.045509972828597</v>
      </c>
      <c r="AM6385">
        <v>77.4150983632898</v>
      </c>
      <c r="AN6385">
        <v>0.99999997731179902</v>
      </c>
    </row>
    <row r="6386" spans="1:40" x14ac:dyDescent="0.25">
      <c r="A6386" t="str">
        <f>"20190312150818854"</f>
        <v>20190312150818854</v>
      </c>
      <c r="B6386" t="str">
        <f>"1552374498846134"</f>
        <v>1552374498846134</v>
      </c>
      <c r="C6386" t="s">
        <v>40</v>
      </c>
      <c r="D6386">
        <v>4.5420400000000001</v>
      </c>
      <c r="E6386">
        <v>0.56765650000000001</v>
      </c>
      <c r="F6386" t="s">
        <v>77</v>
      </c>
      <c r="G6386">
        <v>-196.97219999999999</v>
      </c>
      <c r="H6386" s="1">
        <v>-1.42285299999999E-5</v>
      </c>
      <c r="I6386">
        <v>156.6396</v>
      </c>
      <c r="J6386">
        <v>-192.1036</v>
      </c>
      <c r="K6386">
        <v>1.1095360000000001</v>
      </c>
      <c r="L6386">
        <v>167.10509999999999</v>
      </c>
      <c r="M6386">
        <v>-3.2560270000000002E-2</v>
      </c>
      <c r="N6386">
        <v>0</v>
      </c>
      <c r="O6386">
        <v>-0.99942949999999997</v>
      </c>
      <c r="P6386">
        <v>-0.24950130000000001</v>
      </c>
      <c r="Q6386">
        <v>2.555112E-2</v>
      </c>
      <c r="R6386">
        <v>-0.96803779999999995</v>
      </c>
      <c r="S6386">
        <v>-1.2820129999999901</v>
      </c>
      <c r="T6386">
        <v>-0.29194740000000002</v>
      </c>
      <c r="U6386">
        <v>-2.7768709999999999</v>
      </c>
      <c r="V6386">
        <v>0.21789410000000001</v>
      </c>
      <c r="W6386">
        <v>3.405039E-2</v>
      </c>
      <c r="X6386">
        <v>0.97537830000000003</v>
      </c>
      <c r="Y6386">
        <v>0.38746019999999998</v>
      </c>
      <c r="Z6386">
        <v>9.559703E-2</v>
      </c>
      <c r="AA6386">
        <v>0.91691639999999996</v>
      </c>
      <c r="AB6386">
        <v>15</v>
      </c>
      <c r="AC6386">
        <v>-4.8685999999999803</v>
      </c>
      <c r="AD6386">
        <v>-1.1095502285299901</v>
      </c>
      <c r="AE6386">
        <v>-10.465499999999899</v>
      </c>
      <c r="AF6386">
        <v>4.4838127649904198</v>
      </c>
      <c r="AG6386">
        <v>-1.1095502285299901</v>
      </c>
      <c r="AH6386">
        <v>10.5212588565659</v>
      </c>
      <c r="AI6386">
        <v>95.541231525111797</v>
      </c>
      <c r="AJ6386">
        <v>66.917899806383602</v>
      </c>
      <c r="AK6386">
        <v>11.4905424827546</v>
      </c>
      <c r="AL6386">
        <v>88.048679262287905</v>
      </c>
      <c r="AM6386">
        <v>77.407205078815096</v>
      </c>
      <c r="AN6386">
        <v>1.00000004799242</v>
      </c>
    </row>
    <row r="6387" spans="1:40" x14ac:dyDescent="0.25">
      <c r="A6387" t="str">
        <f>"20190312150818866"</f>
        <v>20190312150818866</v>
      </c>
      <c r="B6387" t="str">
        <f>"1552374498856870"</f>
        <v>1552374498856870</v>
      </c>
      <c r="C6387" t="s">
        <v>40</v>
      </c>
      <c r="D6387">
        <v>4.5893899999999999</v>
      </c>
      <c r="E6387">
        <v>0.56761039999999996</v>
      </c>
      <c r="F6387" t="s">
        <v>77</v>
      </c>
      <c r="G6387">
        <v>-196.9753</v>
      </c>
      <c r="H6387" s="1">
        <v>-1.4209580000000001E-5</v>
      </c>
      <c r="I6387">
        <v>156.56440000000001</v>
      </c>
      <c r="J6387">
        <v>-192.10730000000001</v>
      </c>
      <c r="K6387">
        <v>1.109537</v>
      </c>
      <c r="L6387">
        <v>167.01730000000001</v>
      </c>
      <c r="M6387">
        <v>-3.329725E-2</v>
      </c>
      <c r="N6387">
        <v>0</v>
      </c>
      <c r="O6387">
        <v>-0.99940469999999904</v>
      </c>
      <c r="P6387">
        <v>-0.25015920000000003</v>
      </c>
      <c r="Q6387">
        <v>2.5600950000000001E-2</v>
      </c>
      <c r="R6387">
        <v>-0.96786640000000002</v>
      </c>
      <c r="S6387">
        <v>-1.2830509999999999</v>
      </c>
      <c r="T6387">
        <v>-0.29221930000000002</v>
      </c>
      <c r="U6387">
        <v>-2.7760769999999999</v>
      </c>
      <c r="V6387">
        <v>0.21783810000000001</v>
      </c>
      <c r="W6387">
        <v>3.4126160000000003E-2</v>
      </c>
      <c r="X6387">
        <v>0.97538809999999998</v>
      </c>
      <c r="Y6387">
        <v>0.38715889999999997</v>
      </c>
      <c r="Z6387">
        <v>9.5705460000000006E-2</v>
      </c>
      <c r="AA6387">
        <v>0.91703239999999997</v>
      </c>
      <c r="AB6387">
        <v>15</v>
      </c>
      <c r="AC6387">
        <v>-4.8679999999999897</v>
      </c>
      <c r="AD6387">
        <v>-1.10955120958</v>
      </c>
      <c r="AE6387">
        <v>-10.4529</v>
      </c>
      <c r="AF6387">
        <v>4.4757913236368898</v>
      </c>
      <c r="AG6387">
        <v>-1.10955120958</v>
      </c>
      <c r="AH6387">
        <v>10.5118697816148</v>
      </c>
      <c r="AI6387">
        <v>95.5469149471311</v>
      </c>
      <c r="AJ6387">
        <v>66.936446445910704</v>
      </c>
      <c r="AK6387">
        <v>11.478816061121</v>
      </c>
      <c r="AL6387">
        <v>88.044335321573101</v>
      </c>
      <c r="AM6387">
        <v>77.410460772452595</v>
      </c>
      <c r="AN6387">
        <v>0.99999998911478205</v>
      </c>
    </row>
    <row r="6388" spans="1:40" x14ac:dyDescent="0.25">
      <c r="A6388" t="str">
        <f>"20190312150818878"</f>
        <v>20190312150818878</v>
      </c>
      <c r="B6388" t="str">
        <f>"1552374498866629"</f>
        <v>1552374498866629</v>
      </c>
      <c r="C6388" t="s">
        <v>40</v>
      </c>
      <c r="D6388">
        <v>4.6152519999999999</v>
      </c>
      <c r="E6388">
        <v>0.56757060000000004</v>
      </c>
      <c r="F6388" t="s">
        <v>77</v>
      </c>
      <c r="G6388">
        <v>-196.97409999999999</v>
      </c>
      <c r="H6388" s="1">
        <v>-1.419426E-5</v>
      </c>
      <c r="I6388">
        <v>156.5034</v>
      </c>
      <c r="J6388">
        <v>-192.11070000000001</v>
      </c>
      <c r="K6388">
        <v>1.1095379999999999</v>
      </c>
      <c r="L6388">
        <v>166.93620000000001</v>
      </c>
      <c r="M6388">
        <v>-3.3978059999999997E-2</v>
      </c>
      <c r="N6388">
        <v>0</v>
      </c>
      <c r="O6388">
        <v>-0.99938150000000003</v>
      </c>
      <c r="P6388">
        <v>-0.25091419999999998</v>
      </c>
      <c r="Q6388">
        <v>2.572965E-2</v>
      </c>
      <c r="R6388">
        <v>-0.96766750000000001</v>
      </c>
      <c r="S6388">
        <v>-1.284683</v>
      </c>
      <c r="T6388">
        <v>-0.29288389999999997</v>
      </c>
      <c r="U6388">
        <v>-2.775299</v>
      </c>
      <c r="V6388">
        <v>0.21793499999999999</v>
      </c>
      <c r="W6388">
        <v>3.4278650000000001E-2</v>
      </c>
      <c r="X6388">
        <v>0.97536109999999998</v>
      </c>
      <c r="Y6388">
        <v>0.38706449999999998</v>
      </c>
      <c r="Z6388">
        <v>9.593256E-2</v>
      </c>
      <c r="AA6388">
        <v>0.91704850000000004</v>
      </c>
      <c r="AB6388">
        <v>15</v>
      </c>
      <c r="AC6388">
        <v>-4.86339999999998</v>
      </c>
      <c r="AD6388">
        <v>-1.10955219426</v>
      </c>
      <c r="AE6388">
        <v>-10.4328</v>
      </c>
      <c r="AF6388">
        <v>4.4646071201731399</v>
      </c>
      <c r="AG6388">
        <v>-1.10955219426</v>
      </c>
      <c r="AH6388">
        <v>10.4945196778741</v>
      </c>
      <c r="AI6388">
        <v>95.556752794429897</v>
      </c>
      <c r="AJ6388">
        <v>66.953996431288402</v>
      </c>
      <c r="AK6388">
        <v>11.4585673658872</v>
      </c>
      <c r="AL6388">
        <v>88.035593160709695</v>
      </c>
      <c r="AM6388">
        <v>77.404701726062598</v>
      </c>
      <c r="AN6388">
        <v>0.99999998273201596</v>
      </c>
    </row>
    <row r="6389" spans="1:40" x14ac:dyDescent="0.25">
      <c r="A6389" t="str">
        <f>"20190312150818895"</f>
        <v>20190312150818895</v>
      </c>
      <c r="B6389" t="str">
        <f>"1552374498886614"</f>
        <v>1552374498886614</v>
      </c>
      <c r="C6389" t="s">
        <v>40</v>
      </c>
      <c r="D6389">
        <v>4.6147479999999996</v>
      </c>
      <c r="E6389">
        <v>0.56761530000000004</v>
      </c>
      <c r="F6389" t="s">
        <v>77</v>
      </c>
      <c r="G6389">
        <v>-196.97710000000001</v>
      </c>
      <c r="H6389" s="1">
        <v>-1.417932E-5</v>
      </c>
      <c r="I6389">
        <v>156.44409999999999</v>
      </c>
      <c r="J6389">
        <v>-192.1156</v>
      </c>
      <c r="K6389">
        <v>1.109542</v>
      </c>
      <c r="L6389">
        <v>166.8245</v>
      </c>
      <c r="M6389">
        <v>-3.491694E-2</v>
      </c>
      <c r="N6389">
        <v>0</v>
      </c>
      <c r="O6389">
        <v>-0.99934889999999998</v>
      </c>
      <c r="P6389">
        <v>-0.25221700000000002</v>
      </c>
      <c r="Q6389">
        <v>2.558757E-2</v>
      </c>
      <c r="R6389">
        <v>-0.96733279999999999</v>
      </c>
      <c r="S6389">
        <v>-1.2867740000000001</v>
      </c>
      <c r="T6389">
        <v>-0.29339330000000002</v>
      </c>
      <c r="U6389">
        <v>-2.774384</v>
      </c>
      <c r="V6389">
        <v>0.218332</v>
      </c>
      <c r="W6389">
        <v>3.4167620000000003E-2</v>
      </c>
      <c r="X6389">
        <v>0.97527620000000004</v>
      </c>
      <c r="Y6389">
        <v>0.3868761</v>
      </c>
      <c r="Z6389">
        <v>9.6111070000000007E-2</v>
      </c>
      <c r="AA6389">
        <v>0.91710939999999996</v>
      </c>
      <c r="AB6389">
        <v>15</v>
      </c>
      <c r="AC6389">
        <v>-4.8615000000000004</v>
      </c>
      <c r="AD6389">
        <v>-1.1095561793199999</v>
      </c>
      <c r="AE6389">
        <v>-10.3804</v>
      </c>
      <c r="AF6389">
        <v>4.4543307771617</v>
      </c>
      <c r="AG6389">
        <v>-1.1095561793199999</v>
      </c>
      <c r="AH6389">
        <v>10.445945325613099</v>
      </c>
      <c r="AI6389">
        <v>95.580460672669901</v>
      </c>
      <c r="AJ6389">
        <v>66.905766226822706</v>
      </c>
      <c r="AK6389">
        <v>11.4100811273687</v>
      </c>
      <c r="AL6389">
        <v>88.041958429418202</v>
      </c>
      <c r="AM6389">
        <v>77.381428362977303</v>
      </c>
      <c r="AN6389">
        <v>0.99999997738345203</v>
      </c>
    </row>
    <row r="6390" spans="1:40" x14ac:dyDescent="0.25">
      <c r="A6390" t="str">
        <f>"20190312150818907"</f>
        <v>20190312150818907</v>
      </c>
      <c r="B6390" t="str">
        <f>"1552374498896371"</f>
        <v>1552374498896371</v>
      </c>
      <c r="C6390" t="s">
        <v>40</v>
      </c>
      <c r="D6390">
        <v>4.5630329999999999</v>
      </c>
      <c r="E6390">
        <v>0.56762170000000001</v>
      </c>
      <c r="F6390" t="s">
        <v>77</v>
      </c>
      <c r="G6390">
        <v>-196.95169999999999</v>
      </c>
      <c r="H6390" s="1">
        <v>-1.417771E-5</v>
      </c>
      <c r="I6390">
        <v>156.43770000000001</v>
      </c>
      <c r="J6390">
        <v>-192.11930000000001</v>
      </c>
      <c r="K6390">
        <v>1.109542</v>
      </c>
      <c r="L6390">
        <v>166.7422</v>
      </c>
      <c r="M6390">
        <v>-3.5608210000000001E-2</v>
      </c>
      <c r="N6390">
        <v>0</v>
      </c>
      <c r="O6390">
        <v>-0.99932430000000005</v>
      </c>
      <c r="P6390">
        <v>-0.25297619999999998</v>
      </c>
      <c r="Q6390">
        <v>2.576049E-2</v>
      </c>
      <c r="R6390">
        <v>-0.96712969999999998</v>
      </c>
      <c r="S6390">
        <v>-1.290894</v>
      </c>
      <c r="T6390">
        <v>-0.2961742</v>
      </c>
      <c r="U6390">
        <v>-2.7725520000000001</v>
      </c>
      <c r="V6390">
        <v>0.21842349999999999</v>
      </c>
      <c r="W6390">
        <v>3.4363009999999999E-2</v>
      </c>
      <c r="X6390">
        <v>0.97524889999999997</v>
      </c>
      <c r="Y6390">
        <v>0.38755329999999999</v>
      </c>
      <c r="Z6390">
        <v>9.7023719999999994E-2</v>
      </c>
      <c r="AA6390">
        <v>0.91672719999999996</v>
      </c>
      <c r="AB6390">
        <v>15</v>
      </c>
      <c r="AC6390">
        <v>-4.8323999999999696</v>
      </c>
      <c r="AD6390">
        <v>-1.10955617771</v>
      </c>
      <c r="AE6390">
        <v>-10.3044999999999</v>
      </c>
      <c r="AF6390">
        <v>4.4203832667597096</v>
      </c>
      <c r="AG6390">
        <v>-1.10955617771</v>
      </c>
      <c r="AH6390">
        <v>10.371473105358801</v>
      </c>
      <c r="AI6390">
        <v>95.620701086966093</v>
      </c>
      <c r="AJ6390">
        <v>66.916009918308703</v>
      </c>
      <c r="AK6390">
        <v>11.328652060670001</v>
      </c>
      <c r="AL6390">
        <v>88.030756931324504</v>
      </c>
      <c r="AM6390">
        <v>77.375967494148995</v>
      </c>
      <c r="AN6390">
        <v>1.0000000293798501</v>
      </c>
    </row>
    <row r="6391" spans="1:40" x14ac:dyDescent="0.25">
      <c r="A6391" t="str">
        <f>"20190312150818918"</f>
        <v>20190312150818918</v>
      </c>
      <c r="B6391" t="str">
        <f>"1552374498906131"</f>
        <v>1552374498906131</v>
      </c>
      <c r="C6391" t="s">
        <v>40</v>
      </c>
      <c r="D6391">
        <v>4.6088490000000002</v>
      </c>
      <c r="E6391">
        <v>0.56768759999999996</v>
      </c>
      <c r="F6391" t="s">
        <v>77</v>
      </c>
      <c r="G6391">
        <v>-196.95779999999999</v>
      </c>
      <c r="H6391" s="1">
        <v>-1.41614E-5</v>
      </c>
      <c r="I6391">
        <v>156.37289999999999</v>
      </c>
      <c r="J6391">
        <v>-192.12309999999999</v>
      </c>
      <c r="K6391">
        <v>1.109542</v>
      </c>
      <c r="L6391">
        <v>166.65790000000001</v>
      </c>
      <c r="M6391">
        <v>-3.6316359999999999E-2</v>
      </c>
      <c r="N6391">
        <v>0</v>
      </c>
      <c r="O6391">
        <v>-0.99929849999999998</v>
      </c>
      <c r="P6391">
        <v>-0.25403750000000003</v>
      </c>
      <c r="Q6391">
        <v>2.575349E-2</v>
      </c>
      <c r="R6391">
        <v>-0.96685169999999998</v>
      </c>
      <c r="S6391">
        <v>-1.2932589999999999</v>
      </c>
      <c r="T6391">
        <v>-0.29656919999999998</v>
      </c>
      <c r="U6391">
        <v>-2.771576</v>
      </c>
      <c r="V6391">
        <v>0.218803</v>
      </c>
      <c r="W6391">
        <v>3.437635E-2</v>
      </c>
      <c r="X6391">
        <v>0.97516329999999996</v>
      </c>
      <c r="Y6391">
        <v>0.38766119999999998</v>
      </c>
      <c r="Z6391">
        <v>9.7159930000000005E-2</v>
      </c>
      <c r="AA6391">
        <v>0.91666720000000002</v>
      </c>
      <c r="AB6391">
        <v>15</v>
      </c>
      <c r="AC6391">
        <v>-4.83469999999999</v>
      </c>
      <c r="AD6391">
        <v>-1.1095561614</v>
      </c>
      <c r="AE6391">
        <v>-10.285</v>
      </c>
      <c r="AF6391">
        <v>4.4158887152942201</v>
      </c>
      <c r="AG6391">
        <v>-1.1095561614</v>
      </c>
      <c r="AH6391">
        <v>10.355095804016001</v>
      </c>
      <c r="AI6391">
        <v>95.629049148907399</v>
      </c>
      <c r="AJ6391">
        <v>66.904372296391998</v>
      </c>
      <c r="AK6391">
        <v>11.311905106192899</v>
      </c>
      <c r="AL6391">
        <v>88.029992044583295</v>
      </c>
      <c r="AM6391">
        <v>77.353664318696303</v>
      </c>
      <c r="AN6391">
        <v>0.99999997395760498</v>
      </c>
    </row>
    <row r="6392" spans="1:40" x14ac:dyDescent="0.25">
      <c r="A6392" t="str">
        <f>"20190312150818931"</f>
        <v>20190312150818931</v>
      </c>
      <c r="B6392" t="str">
        <f>"1552374498926627"</f>
        <v>1552374498926627</v>
      </c>
      <c r="C6392" t="s">
        <v>40</v>
      </c>
      <c r="D6392">
        <v>4.4861979999999999</v>
      </c>
      <c r="E6392">
        <v>0.58058169999999898</v>
      </c>
      <c r="F6392" t="s">
        <v>77</v>
      </c>
      <c r="G6392">
        <v>-196.95580000000001</v>
      </c>
      <c r="H6392" s="1">
        <v>-1.4152550000000001E-5</v>
      </c>
      <c r="I6392">
        <v>156.33770000000001</v>
      </c>
      <c r="J6392">
        <v>-192.12690000000001</v>
      </c>
      <c r="K6392">
        <v>1.109537</v>
      </c>
      <c r="L6392">
        <v>166.57419999999999</v>
      </c>
      <c r="M6392">
        <v>-3.7019419999999997E-2</v>
      </c>
      <c r="N6392">
        <v>0</v>
      </c>
      <c r="O6392">
        <v>-0.99927250000000001</v>
      </c>
      <c r="P6392">
        <v>-0.25482729999999998</v>
      </c>
      <c r="Q6392">
        <v>2.54256E-2</v>
      </c>
      <c r="R6392">
        <v>-0.96665230000000002</v>
      </c>
      <c r="S6392">
        <v>-1.2971189999999999</v>
      </c>
      <c r="T6392">
        <v>-0.29781000000000002</v>
      </c>
      <c r="U6392">
        <v>-2.7699889999999998</v>
      </c>
      <c r="V6392">
        <v>0.2189131</v>
      </c>
      <c r="W6392">
        <v>3.4070400000000001E-2</v>
      </c>
      <c r="X6392">
        <v>0.9751493</v>
      </c>
      <c r="Y6392">
        <v>0.38824589999999998</v>
      </c>
      <c r="Z6392">
        <v>9.7568849999999999E-2</v>
      </c>
      <c r="AA6392">
        <v>0.91637619999999997</v>
      </c>
      <c r="AB6392">
        <v>15</v>
      </c>
      <c r="AC6392">
        <v>-4.8289</v>
      </c>
      <c r="AD6392">
        <v>-1.1095511525499999</v>
      </c>
      <c r="AE6392">
        <v>-10.2364999999999</v>
      </c>
      <c r="AF6392">
        <v>4.4042984429487504</v>
      </c>
      <c r="AG6392">
        <v>-1.1095511525499999</v>
      </c>
      <c r="AH6392">
        <v>10.309180332826999</v>
      </c>
      <c r="AI6392">
        <v>95.652360894517599</v>
      </c>
      <c r="AJ6392">
        <v>66.866808478072798</v>
      </c>
      <c r="AK6392">
        <v>11.2653516442866</v>
      </c>
      <c r="AL6392">
        <v>88.047531911707793</v>
      </c>
      <c r="AM6392">
        <v>77.347329799128602</v>
      </c>
      <c r="AN6392">
        <v>0.99999994739912801</v>
      </c>
    </row>
    <row r="6393" spans="1:40" x14ac:dyDescent="0.25">
      <c r="A6393" t="str">
        <f>"20190312150818943"</f>
        <v>20190312150818943</v>
      </c>
      <c r="B6393" t="str">
        <f>"1552374498936387"</f>
        <v>1552374498936387</v>
      </c>
      <c r="C6393" t="s">
        <v>40</v>
      </c>
      <c r="D6393">
        <v>4.5233970000000001</v>
      </c>
      <c r="E6393">
        <v>0.58156450000000004</v>
      </c>
      <c r="F6393" t="s">
        <v>77</v>
      </c>
      <c r="G6393">
        <v>-197.45750000000001</v>
      </c>
      <c r="H6393" s="1">
        <v>-1.409854E-5</v>
      </c>
      <c r="I6393">
        <v>156.12299999999999</v>
      </c>
      <c r="J6393">
        <v>-192.13079999999999</v>
      </c>
      <c r="K6393">
        <v>1.1095379999999999</v>
      </c>
      <c r="L6393">
        <v>166.49100000000001</v>
      </c>
      <c r="M6393">
        <v>-3.7718149999999999E-2</v>
      </c>
      <c r="N6393">
        <v>0</v>
      </c>
      <c r="O6393">
        <v>-0.99924619999999997</v>
      </c>
      <c r="P6393">
        <v>-0.25586720000000002</v>
      </c>
      <c r="Q6393">
        <v>2.5314759999999999E-2</v>
      </c>
      <c r="R6393">
        <v>-0.96638049999999998</v>
      </c>
      <c r="S6393">
        <v>-1.3987579999999999</v>
      </c>
      <c r="T6393">
        <v>-0.29115079999999999</v>
      </c>
      <c r="U6393">
        <v>-2.742432</v>
      </c>
      <c r="V6393">
        <v>0.21928039999999999</v>
      </c>
      <c r="W6393">
        <v>3.3979849999999999E-2</v>
      </c>
      <c r="X6393">
        <v>0.97506999999999999</v>
      </c>
      <c r="Y6393">
        <v>0.41838829999999999</v>
      </c>
      <c r="Z6393">
        <v>9.4867969999999996E-2</v>
      </c>
      <c r="AA6393">
        <v>0.9033002</v>
      </c>
      <c r="AB6393">
        <v>15</v>
      </c>
      <c r="AC6393">
        <v>-5.3267000000000104</v>
      </c>
      <c r="AD6393">
        <v>-1.10955209853999</v>
      </c>
      <c r="AE6393">
        <v>-10.367999999999901</v>
      </c>
      <c r="AF6393">
        <v>4.8875451332699598</v>
      </c>
      <c r="AG6393">
        <v>-1.10955209853999</v>
      </c>
      <c r="AH6393">
        <v>10.466704973252201</v>
      </c>
      <c r="AI6393">
        <v>95.486520671980102</v>
      </c>
      <c r="AJ6393">
        <v>64.969250368570499</v>
      </c>
      <c r="AK6393">
        <v>11.6047885067427</v>
      </c>
      <c r="AL6393">
        <v>88.052723181248695</v>
      </c>
      <c r="AM6393">
        <v>77.325788452063193</v>
      </c>
      <c r="AN6393">
        <v>1.00000001446509</v>
      </c>
    </row>
    <row r="6394" spans="1:40" x14ac:dyDescent="0.25">
      <c r="A6394" t="str">
        <f>"20190312150818954"</f>
        <v>20190312150818954</v>
      </c>
      <c r="B6394" t="str">
        <f>"1552374498946146"</f>
        <v>1552374498946146</v>
      </c>
      <c r="C6394" t="s">
        <v>40</v>
      </c>
      <c r="D6394">
        <v>4.5232089999999996</v>
      </c>
      <c r="E6394">
        <v>0.58203260000000001</v>
      </c>
      <c r="F6394" t="s">
        <v>77</v>
      </c>
      <c r="G6394">
        <v>-197.5239</v>
      </c>
      <c r="H6394" s="1">
        <v>-1.40702E-5</v>
      </c>
      <c r="I6394">
        <v>156.0104</v>
      </c>
      <c r="J6394">
        <v>-192.13460000000001</v>
      </c>
      <c r="K6394">
        <v>1.1095379999999999</v>
      </c>
      <c r="L6394">
        <v>166.41149999999999</v>
      </c>
      <c r="M6394">
        <v>-3.838631E-2</v>
      </c>
      <c r="N6394">
        <v>0</v>
      </c>
      <c r="O6394">
        <v>-0.99922069999999996</v>
      </c>
      <c r="P6394">
        <v>-0.2567739</v>
      </c>
      <c r="Q6394">
        <v>2.5276549999999998E-2</v>
      </c>
      <c r="R6394">
        <v>-0.96614120000000003</v>
      </c>
      <c r="S6394">
        <v>-1.409332</v>
      </c>
      <c r="T6394">
        <v>-0.28994829999999999</v>
      </c>
      <c r="U6394">
        <v>-2.7387999999999999</v>
      </c>
      <c r="V6394">
        <v>0.2195434</v>
      </c>
      <c r="W6394">
        <v>3.3962220000000001E-2</v>
      </c>
      <c r="X6394">
        <v>0.97501139999999997</v>
      </c>
      <c r="Y6394">
        <v>0.42104469999999999</v>
      </c>
      <c r="Z6394">
        <v>9.4448199999999996E-2</v>
      </c>
      <c r="AA6394">
        <v>0.9021091</v>
      </c>
      <c r="AB6394">
        <v>15</v>
      </c>
      <c r="AC6394">
        <v>-5.3892999999999898</v>
      </c>
      <c r="AD6394">
        <v>-1.1095520701999999</v>
      </c>
      <c r="AE6394">
        <v>-10.4010999999999</v>
      </c>
      <c r="AF6394">
        <v>4.9417173626815503</v>
      </c>
      <c r="AG6394">
        <v>-1.1095520701999999</v>
      </c>
      <c r="AH6394">
        <v>10.506064699051899</v>
      </c>
      <c r="AI6394">
        <v>95.4589827449404</v>
      </c>
      <c r="AJ6394">
        <v>64.809204775371498</v>
      </c>
      <c r="AK6394">
        <v>11.663150164075599</v>
      </c>
      <c r="AL6394">
        <v>88.053733828900903</v>
      </c>
      <c r="AM6394">
        <v>77.310341259114793</v>
      </c>
      <c r="AN6394">
        <v>0.99999998350042396</v>
      </c>
    </row>
    <row r="6395" spans="1:40" x14ac:dyDescent="0.25">
      <c r="A6395" t="str">
        <f>"20190312150818965"</f>
        <v>20190312150818965</v>
      </c>
      <c r="B6395" t="str">
        <f>"1552374498956883"</f>
        <v>1552374498956883</v>
      </c>
      <c r="C6395" t="s">
        <v>40</v>
      </c>
      <c r="D6395">
        <v>4.4925639999999998</v>
      </c>
      <c r="E6395">
        <v>0.58245190000000002</v>
      </c>
      <c r="F6395" t="s">
        <v>77</v>
      </c>
      <c r="G6395">
        <v>-197.60050000000001</v>
      </c>
      <c r="H6395" s="1">
        <v>-1.4028710000000001E-5</v>
      </c>
      <c r="I6395">
        <v>155.84549999999999</v>
      </c>
      <c r="J6395">
        <v>-192.13829999999999</v>
      </c>
      <c r="K6395">
        <v>1.109537</v>
      </c>
      <c r="L6395">
        <v>166.33410000000001</v>
      </c>
      <c r="M6395">
        <v>-3.903657E-2</v>
      </c>
      <c r="N6395">
        <v>0</v>
      </c>
      <c r="O6395">
        <v>-0.99919519999999995</v>
      </c>
      <c r="P6395">
        <v>-0.25774399999999997</v>
      </c>
      <c r="Q6395">
        <v>2.4916219999999999E-2</v>
      </c>
      <c r="R6395">
        <v>-0.96589230000000004</v>
      </c>
      <c r="S6395">
        <v>-1.4156040000000001</v>
      </c>
      <c r="T6395">
        <v>-0.28735699999999997</v>
      </c>
      <c r="U6395">
        <v>-2.7364350000000002</v>
      </c>
      <c r="V6395">
        <v>0.21988730000000001</v>
      </c>
      <c r="W6395">
        <v>3.3621949999999998E-2</v>
      </c>
      <c r="X6395">
        <v>0.97494570000000003</v>
      </c>
      <c r="Y6395">
        <v>0.42244090000000001</v>
      </c>
      <c r="Z6395">
        <v>9.3602069999999996E-2</v>
      </c>
      <c r="AA6395">
        <v>0.90154440000000002</v>
      </c>
      <c r="AB6395">
        <v>15</v>
      </c>
      <c r="AC6395">
        <v>-5.4622000000000197</v>
      </c>
      <c r="AD6395">
        <v>-1.1095510287100001</v>
      </c>
      <c r="AE6395">
        <v>-10.4886</v>
      </c>
      <c r="AF6395">
        <v>5.00452376063906</v>
      </c>
      <c r="AG6395">
        <v>-1.1095510287100001</v>
      </c>
      <c r="AH6395">
        <v>10.6005202441935</v>
      </c>
      <c r="AI6395">
        <v>95.407031206413606</v>
      </c>
      <c r="AJ6395">
        <v>64.727923761825906</v>
      </c>
      <c r="AK6395">
        <v>11.7748626745142</v>
      </c>
      <c r="AL6395">
        <v>88.073241015830405</v>
      </c>
      <c r="AM6395">
        <v>77.290280272693806</v>
      </c>
      <c r="AN6395">
        <v>0.99999998908579102</v>
      </c>
    </row>
    <row r="6396" spans="1:40" x14ac:dyDescent="0.25">
      <c r="A6396" t="str">
        <f>"20190312150818977"</f>
        <v>20190312150818977</v>
      </c>
      <c r="B6396" t="str">
        <f>"1552374498966643"</f>
        <v>1552374498966643</v>
      </c>
      <c r="C6396" t="s">
        <v>40</v>
      </c>
      <c r="D6396">
        <v>4.4800440000000004</v>
      </c>
      <c r="E6396">
        <v>0.58244490000000004</v>
      </c>
      <c r="F6396" t="s">
        <v>77</v>
      </c>
      <c r="G6396">
        <v>-197.67910000000001</v>
      </c>
      <c r="H6396" s="1">
        <v>-1.3972260000000001E-5</v>
      </c>
      <c r="I6396">
        <v>155.67679999999999</v>
      </c>
      <c r="J6396">
        <v>-192.14240000000001</v>
      </c>
      <c r="K6396">
        <v>1.109537</v>
      </c>
      <c r="L6396">
        <v>166.2492</v>
      </c>
      <c r="M6396">
        <v>-3.9749569999999998E-2</v>
      </c>
      <c r="N6396">
        <v>0</v>
      </c>
      <c r="O6396">
        <v>-0.99916680000000002</v>
      </c>
      <c r="P6396">
        <v>-0.25875169999999997</v>
      </c>
      <c r="Q6396">
        <v>2.492662E-2</v>
      </c>
      <c r="R6396">
        <v>-0.96562219999999999</v>
      </c>
      <c r="S6396">
        <v>-1.4214169999999999</v>
      </c>
      <c r="T6396">
        <v>-0.28463889999999997</v>
      </c>
      <c r="U6396">
        <v>-2.733978</v>
      </c>
      <c r="V6396">
        <v>0.2202093</v>
      </c>
      <c r="W6396">
        <v>3.3654360000000001E-2</v>
      </c>
      <c r="X6396">
        <v>0.97487190000000001</v>
      </c>
      <c r="Y6396">
        <v>0.42367339999999998</v>
      </c>
      <c r="Z6396">
        <v>9.2723970000000003E-2</v>
      </c>
      <c r="AA6396">
        <v>0.90105670000000004</v>
      </c>
      <c r="AB6396">
        <v>16</v>
      </c>
      <c r="AC6396">
        <v>-5.53669999999999</v>
      </c>
      <c r="AD6396">
        <v>-1.1095509722600001</v>
      </c>
      <c r="AE6396">
        <v>-10.5724</v>
      </c>
      <c r="AF6396">
        <v>5.0682499165288499</v>
      </c>
      <c r="AG6396">
        <v>-1.1095509722600001</v>
      </c>
      <c r="AH6396">
        <v>10.6917203463146</v>
      </c>
      <c r="AI6396">
        <v>95.357197172298001</v>
      </c>
      <c r="AJ6396">
        <v>64.6374096387691</v>
      </c>
      <c r="AK6396">
        <v>11.884071042375799</v>
      </c>
      <c r="AL6396">
        <v>88.0713830032755</v>
      </c>
      <c r="AM6396">
        <v>77.271342056893303</v>
      </c>
      <c r="AN6396">
        <v>0.99999998658155398</v>
      </c>
    </row>
    <row r="6397" spans="1:40" x14ac:dyDescent="0.25">
      <c r="A6397" t="str">
        <f>"20190312150818991"</f>
        <v>20190312150818991</v>
      </c>
      <c r="B6397" t="str">
        <f>"1552374498986163"</f>
        <v>1552374498986163</v>
      </c>
      <c r="C6397" t="s">
        <v>40</v>
      </c>
      <c r="D6397">
        <v>4.4933379999999996</v>
      </c>
      <c r="E6397">
        <v>0.58360959999999995</v>
      </c>
      <c r="F6397" t="s">
        <v>77</v>
      </c>
      <c r="G6397">
        <v>-197.6748</v>
      </c>
      <c r="H6397" s="1">
        <v>-1.395479E-5</v>
      </c>
      <c r="I6397">
        <v>155.6369</v>
      </c>
      <c r="J6397">
        <v>-192.14699999999999</v>
      </c>
      <c r="K6397">
        <v>1.109537</v>
      </c>
      <c r="L6397">
        <v>166.15710000000001</v>
      </c>
      <c r="M6397">
        <v>-4.0523259999999998E-2</v>
      </c>
      <c r="N6397">
        <v>0</v>
      </c>
      <c r="O6397">
        <v>-0.99913560000000001</v>
      </c>
      <c r="P6397">
        <v>-0.25975920000000002</v>
      </c>
      <c r="Q6397">
        <v>2.4726959999999999E-2</v>
      </c>
      <c r="R6397">
        <v>-0.96535709999999997</v>
      </c>
      <c r="S6397">
        <v>-1.4245000000000001</v>
      </c>
      <c r="T6397">
        <v>-0.28569050000000001</v>
      </c>
      <c r="U6397">
        <v>-2.7324830000000002</v>
      </c>
      <c r="V6397">
        <v>0.22047120000000001</v>
      </c>
      <c r="W6397">
        <v>3.3478029999999999E-2</v>
      </c>
      <c r="X6397">
        <v>0.97481879999999999</v>
      </c>
      <c r="Y6397">
        <v>0.42395899999999997</v>
      </c>
      <c r="Z6397">
        <v>9.307443E-2</v>
      </c>
      <c r="AA6397">
        <v>0.90088619999999997</v>
      </c>
      <c r="AB6397">
        <v>16</v>
      </c>
      <c r="AC6397">
        <v>-5.5277999999999796</v>
      </c>
      <c r="AD6397">
        <v>-1.10955095479</v>
      </c>
      <c r="AE6397">
        <v>-10.520200000000001</v>
      </c>
      <c r="AF6397">
        <v>5.0528822769803297</v>
      </c>
      <c r="AG6397">
        <v>-1.10955095479</v>
      </c>
      <c r="AH6397">
        <v>10.642799403188899</v>
      </c>
      <c r="AI6397">
        <v>95.380155256366905</v>
      </c>
      <c r="AJ6397">
        <v>64.603033162283694</v>
      </c>
      <c r="AK6397">
        <v>11.8335075849393</v>
      </c>
      <c r="AL6397">
        <v>88.081491710737893</v>
      </c>
      <c r="AM6397">
        <v>77.256026135891801</v>
      </c>
      <c r="AN6397">
        <v>1.00000001067778</v>
      </c>
    </row>
    <row r="6398" spans="1:40" x14ac:dyDescent="0.25">
      <c r="A6398" t="str">
        <f>"20190312150819007"</f>
        <v>20190312150819007</v>
      </c>
      <c r="B6398" t="str">
        <f>"1552374498996900"</f>
        <v>1552374498996900</v>
      </c>
      <c r="C6398" t="s">
        <v>40</v>
      </c>
      <c r="D6398">
        <v>4.4800610000000001</v>
      </c>
      <c r="E6398">
        <v>0.58387219999999995</v>
      </c>
      <c r="F6398" t="s">
        <v>77</v>
      </c>
      <c r="G6398">
        <v>-197.69929999999999</v>
      </c>
      <c r="H6398" s="1">
        <v>-1.3944680000000001E-5</v>
      </c>
      <c r="I6398">
        <v>155.60830000000001</v>
      </c>
      <c r="J6398">
        <v>-192.1525</v>
      </c>
      <c r="K6398">
        <v>1.10954</v>
      </c>
      <c r="L6398">
        <v>166.0463</v>
      </c>
      <c r="M6398">
        <v>-4.1453280000000002E-2</v>
      </c>
      <c r="N6398">
        <v>0</v>
      </c>
      <c r="O6398">
        <v>-0.99909720000000002</v>
      </c>
      <c r="P6398">
        <v>-0.26131650000000001</v>
      </c>
      <c r="Q6398">
        <v>2.4507439999999998E-2</v>
      </c>
      <c r="R6398">
        <v>-0.96494250000000004</v>
      </c>
      <c r="S6398">
        <v>-1.436172</v>
      </c>
      <c r="T6398">
        <v>-0.28699580000000002</v>
      </c>
      <c r="U6398">
        <v>-2.7285460000000001</v>
      </c>
      <c r="V6398">
        <v>0.22113659999999999</v>
      </c>
      <c r="W6398">
        <v>3.3284540000000001E-2</v>
      </c>
      <c r="X6398">
        <v>0.9746747</v>
      </c>
      <c r="Y6398">
        <v>0.42665419999999998</v>
      </c>
      <c r="Z6398">
        <v>9.3459780000000006E-2</v>
      </c>
      <c r="AA6398">
        <v>0.89957289999999901</v>
      </c>
      <c r="AB6398">
        <v>16</v>
      </c>
      <c r="AC6398">
        <v>-5.5467999999999904</v>
      </c>
      <c r="AD6398">
        <v>-1.10955394468</v>
      </c>
      <c r="AE6398">
        <v>-10.437999999999899</v>
      </c>
      <c r="AF6398">
        <v>5.0646970065843302</v>
      </c>
      <c r="AG6398">
        <v>-1.10955394468</v>
      </c>
      <c r="AH6398">
        <v>10.5658706964554</v>
      </c>
      <c r="AI6398">
        <v>95.409540782006204</v>
      </c>
      <c r="AJ6398">
        <v>64.389504462007807</v>
      </c>
      <c r="AK6398">
        <v>11.769447280942</v>
      </c>
      <c r="AL6398">
        <v>88.092584058547104</v>
      </c>
      <c r="AM6398">
        <v>77.216997774362</v>
      </c>
      <c r="AN6398">
        <v>1.0000000136413301</v>
      </c>
    </row>
    <row r="6399" spans="1:40" x14ac:dyDescent="0.25">
      <c r="A6399" t="str">
        <f>"20190312150819020"</f>
        <v>20190312150819020</v>
      </c>
      <c r="B6399" t="str">
        <f>"1552374499016419"</f>
        <v>1552374499016419</v>
      </c>
      <c r="C6399" t="s">
        <v>40</v>
      </c>
      <c r="D6399">
        <v>4.4783339999999896</v>
      </c>
      <c r="E6399">
        <v>0.58432589999999995</v>
      </c>
      <c r="F6399" t="s">
        <v>77</v>
      </c>
      <c r="G6399">
        <v>-197.73480000000001</v>
      </c>
      <c r="H6399" s="1">
        <v>-1.390192E-5</v>
      </c>
      <c r="I6399">
        <v>155.50129999999999</v>
      </c>
      <c r="J6399">
        <v>-192.1574</v>
      </c>
      <c r="K6399">
        <v>1.10954</v>
      </c>
      <c r="L6399">
        <v>165.95169999999999</v>
      </c>
      <c r="M6399">
        <v>-4.2247720000000002E-2</v>
      </c>
      <c r="N6399">
        <v>0</v>
      </c>
      <c r="O6399">
        <v>-0.99906360000000005</v>
      </c>
      <c r="P6399">
        <v>-0.26222610000000002</v>
      </c>
      <c r="Q6399">
        <v>2.4409090000000001E-2</v>
      </c>
      <c r="R6399">
        <v>-0.9646979</v>
      </c>
      <c r="S6399">
        <v>-1.442825</v>
      </c>
      <c r="T6399">
        <v>-0.28678239999999999</v>
      </c>
      <c r="U6399">
        <v>-2.7255400000000001</v>
      </c>
      <c r="V6399">
        <v>0.22128049999999999</v>
      </c>
      <c r="W6399">
        <v>3.3207809999999997E-2</v>
      </c>
      <c r="X6399">
        <v>0.97464470000000003</v>
      </c>
      <c r="Y6399">
        <v>0.4280641</v>
      </c>
      <c r="Z6399">
        <v>9.3394119999999997E-2</v>
      </c>
      <c r="AA6399">
        <v>0.89890969999999903</v>
      </c>
      <c r="AB6399">
        <v>16</v>
      </c>
      <c r="AC6399">
        <v>-5.5774000000000097</v>
      </c>
      <c r="AD6399">
        <v>-1.10955390192</v>
      </c>
      <c r="AE6399">
        <v>-10.4504</v>
      </c>
      <c r="AF6399">
        <v>5.0862696943544901</v>
      </c>
      <c r="AG6399">
        <v>-1.10955390192</v>
      </c>
      <c r="AH6399">
        <v>10.5838518976446</v>
      </c>
      <c r="AI6399">
        <v>95.397842043230995</v>
      </c>
      <c r="AJ6399">
        <v>64.3325098350589</v>
      </c>
      <c r="AK6399">
        <v>11.7948789843834</v>
      </c>
      <c r="AL6399">
        <v>88.096982873621599</v>
      </c>
      <c r="AM6399">
        <v>77.208572297279702</v>
      </c>
      <c r="AN6399">
        <v>1.0000000547816601</v>
      </c>
    </row>
    <row r="6400" spans="1:40" x14ac:dyDescent="0.25">
      <c r="A6400" t="str">
        <f>"20190312150819041"</f>
        <v>20190312150819041</v>
      </c>
      <c r="B6400" t="str">
        <f>"1552374499036914"</f>
        <v>1552374499036914</v>
      </c>
      <c r="C6400" t="s">
        <v>40</v>
      </c>
      <c r="D6400">
        <v>4.4803600000000001</v>
      </c>
      <c r="E6400">
        <v>0.58478280000000005</v>
      </c>
      <c r="F6400" t="s">
        <v>77</v>
      </c>
      <c r="G6400">
        <v>-197.7176</v>
      </c>
      <c r="H6400" s="1">
        <v>-1.390019E-5</v>
      </c>
      <c r="I6400">
        <v>155.5008</v>
      </c>
      <c r="J6400">
        <v>-192.16480000000001</v>
      </c>
      <c r="K6400">
        <v>1.109542</v>
      </c>
      <c r="L6400">
        <v>165.80879999999999</v>
      </c>
      <c r="M6400">
        <v>-4.3447270000000003E-2</v>
      </c>
      <c r="N6400">
        <v>0</v>
      </c>
      <c r="O6400">
        <v>-0.99901189999999995</v>
      </c>
      <c r="P6400">
        <v>-0.26407180000000002</v>
      </c>
      <c r="Q6400">
        <v>2.438131E-2</v>
      </c>
      <c r="R6400">
        <v>-0.96419509999999997</v>
      </c>
      <c r="S6400">
        <v>-1.4488829999999999</v>
      </c>
      <c r="T6400">
        <v>-0.28912480000000002</v>
      </c>
      <c r="U6400">
        <v>-2.7232669999999999</v>
      </c>
      <c r="V6400">
        <v>0.2219756</v>
      </c>
      <c r="W6400">
        <v>3.3207809999999997E-2</v>
      </c>
      <c r="X6400">
        <v>0.97448659999999998</v>
      </c>
      <c r="Y6400">
        <v>0.428817</v>
      </c>
      <c r="Z6400">
        <v>9.4147449999999994E-2</v>
      </c>
      <c r="AA6400">
        <v>0.89847219999999905</v>
      </c>
      <c r="AB6400">
        <v>16</v>
      </c>
      <c r="AC6400">
        <v>-5.5527999999999897</v>
      </c>
      <c r="AD6400">
        <v>-1.1095559001899999</v>
      </c>
      <c r="AE6400">
        <v>-10.3079999999999</v>
      </c>
      <c r="AF6400">
        <v>5.05429232686192</v>
      </c>
      <c r="AG6400">
        <v>-1.1095559001899999</v>
      </c>
      <c r="AH6400">
        <v>10.4457229247499</v>
      </c>
      <c r="AI6400">
        <v>95.461800558407603</v>
      </c>
      <c r="AJ6400">
        <v>64.179406847624193</v>
      </c>
      <c r="AK6400">
        <v>11.657191455992599</v>
      </c>
      <c r="AL6400">
        <v>88.096982825701801</v>
      </c>
      <c r="AM6400">
        <v>77.167706282103296</v>
      </c>
      <c r="AN6400">
        <v>1.00000002960995</v>
      </c>
    </row>
    <row r="6401" spans="1:40" x14ac:dyDescent="0.25">
      <c r="A6401" t="str">
        <f>"20190312150819054"</f>
        <v>20190312150819054</v>
      </c>
      <c r="B6401" t="str">
        <f>"1552374499046675"</f>
        <v>1552374499046675</v>
      </c>
      <c r="C6401" t="s">
        <v>40</v>
      </c>
      <c r="D6401">
        <v>4.4833660000000002</v>
      </c>
      <c r="E6401">
        <v>0.58504290000000003</v>
      </c>
      <c r="F6401" t="s">
        <v>77</v>
      </c>
      <c r="G6401">
        <v>-197.8603</v>
      </c>
      <c r="H6401" s="1">
        <v>-1.377619E-5</v>
      </c>
      <c r="I6401">
        <v>155.1823</v>
      </c>
      <c r="J6401">
        <v>-192.16980000000001</v>
      </c>
      <c r="K6401">
        <v>1.109542</v>
      </c>
      <c r="L6401">
        <v>165.71610000000001</v>
      </c>
      <c r="M6401">
        <v>-4.4226330000000001E-2</v>
      </c>
      <c r="N6401">
        <v>0</v>
      </c>
      <c r="O6401">
        <v>-0.99897749999999996</v>
      </c>
      <c r="P6401">
        <v>-0.26519150000000002</v>
      </c>
      <c r="Q6401">
        <v>2.4201739999999999E-2</v>
      </c>
      <c r="R6401">
        <v>-0.96389230000000004</v>
      </c>
      <c r="S6401">
        <v>-1.4575039999999999</v>
      </c>
      <c r="T6401">
        <v>-0.28394200000000003</v>
      </c>
      <c r="U6401">
        <v>-2.7194060000000002</v>
      </c>
      <c r="V6401">
        <v>0.2223473</v>
      </c>
      <c r="W6401">
        <v>3.3044820000000003E-2</v>
      </c>
      <c r="X6401">
        <v>0.97440740000000003</v>
      </c>
      <c r="Y6401">
        <v>0.4309307</v>
      </c>
      <c r="Z6401">
        <v>9.2472520000000002E-2</v>
      </c>
      <c r="AA6401">
        <v>0.89763440000000005</v>
      </c>
      <c r="AB6401">
        <v>16</v>
      </c>
      <c r="AC6401">
        <v>-5.6904999999999797</v>
      </c>
      <c r="AD6401">
        <v>-1.1095557761899999</v>
      </c>
      <c r="AE6401">
        <v>-10.533799999999999</v>
      </c>
      <c r="AF6401">
        <v>5.1745971876369596</v>
      </c>
      <c r="AG6401">
        <v>-1.1095557761899999</v>
      </c>
      <c r="AH6401">
        <v>10.683417517829801</v>
      </c>
      <c r="AI6401">
        <v>95.3399596401227</v>
      </c>
      <c r="AJ6401">
        <v>64.156408133362405</v>
      </c>
      <c r="AK6401">
        <v>11.922373083201601</v>
      </c>
      <c r="AL6401">
        <v>88.106326596344502</v>
      </c>
      <c r="AM6401">
        <v>77.145921604284197</v>
      </c>
      <c r="AN6401">
        <v>1.00000003156044</v>
      </c>
    </row>
    <row r="6402" spans="1:40" x14ac:dyDescent="0.25">
      <c r="A6402" t="str">
        <f>"20190312150819067"</f>
        <v>20190312150819067</v>
      </c>
      <c r="B6402" t="str">
        <f>"1552374499056436"</f>
        <v>1552374499056436</v>
      </c>
      <c r="C6402" t="s">
        <v>40</v>
      </c>
      <c r="D6402">
        <v>4.4799020000000001</v>
      </c>
      <c r="E6402">
        <v>0.58504250000000002</v>
      </c>
      <c r="F6402" t="s">
        <v>77</v>
      </c>
      <c r="G6402">
        <v>-197.9247</v>
      </c>
      <c r="H6402" s="1">
        <v>-1.3714869999999999E-5</v>
      </c>
      <c r="I6402">
        <v>155.02600000000001</v>
      </c>
      <c r="J6402">
        <v>-192.1746</v>
      </c>
      <c r="K6402">
        <v>1.10954</v>
      </c>
      <c r="L6402">
        <v>165.6266</v>
      </c>
      <c r="M6402">
        <v>-4.4977009999999998E-2</v>
      </c>
      <c r="N6402">
        <v>0</v>
      </c>
      <c r="O6402">
        <v>-0.99894369999999999</v>
      </c>
      <c r="P6402">
        <v>-0.2662332</v>
      </c>
      <c r="Q6402">
        <v>2.4100179999999999E-2</v>
      </c>
      <c r="R6402">
        <v>-0.96360760000000001</v>
      </c>
      <c r="S6402">
        <v>-1.4626920000000001</v>
      </c>
      <c r="T6402">
        <v>-0.2820066</v>
      </c>
      <c r="U6402">
        <v>-2.7170100000000001</v>
      </c>
      <c r="V6402">
        <v>0.22266830000000001</v>
      </c>
      <c r="W6402">
        <v>3.2959040000000002E-2</v>
      </c>
      <c r="X6402">
        <v>0.97433700000000001</v>
      </c>
      <c r="Y6402">
        <v>0.43193959999999998</v>
      </c>
      <c r="Z6402">
        <v>9.1852139999999999E-2</v>
      </c>
      <c r="AA6402">
        <v>0.89721309999999999</v>
      </c>
      <c r="AB6402">
        <v>16</v>
      </c>
      <c r="AC6402">
        <v>-5.7500999999999998</v>
      </c>
      <c r="AD6402">
        <v>-1.1095537148700001</v>
      </c>
      <c r="AE6402">
        <v>-10.600599999999901</v>
      </c>
      <c r="AF6402">
        <v>5.22326153693799</v>
      </c>
      <c r="AG6402">
        <v>-1.1095537148700001</v>
      </c>
      <c r="AH6402">
        <v>10.7574441673768</v>
      </c>
      <c r="AI6402">
        <v>95.300948909393597</v>
      </c>
      <c r="AJ6402">
        <v>64.101175305250294</v>
      </c>
      <c r="AK6402">
        <v>12.009836616027201</v>
      </c>
      <c r="AL6402">
        <v>88.111244103563806</v>
      </c>
      <c r="AM6402">
        <v>77.127082974717595</v>
      </c>
      <c r="AN6402">
        <v>1.0000000298558001</v>
      </c>
    </row>
    <row r="6403" spans="1:40" x14ac:dyDescent="0.25">
      <c r="A6403" t="str">
        <f>"20190312150819077"</f>
        <v>20190312150819077</v>
      </c>
      <c r="B6403" t="str">
        <f>"1552374499066194"</f>
        <v>1552374499066194</v>
      </c>
      <c r="C6403" t="s">
        <v>40</v>
      </c>
      <c r="D6403">
        <v>4.4674259999999997</v>
      </c>
      <c r="E6403">
        <v>0.58528480000000005</v>
      </c>
      <c r="F6403" t="s">
        <v>77</v>
      </c>
      <c r="G6403">
        <v>-197.87280000000001</v>
      </c>
      <c r="H6403" s="1">
        <v>-1.3729349999999999E-5</v>
      </c>
      <c r="I6403">
        <v>155.07050000000001</v>
      </c>
      <c r="J6403">
        <v>-192.17920000000001</v>
      </c>
      <c r="K6403">
        <v>1.1095379999999999</v>
      </c>
      <c r="L6403">
        <v>165.5411</v>
      </c>
      <c r="M6403">
        <v>-4.5695729999999997E-2</v>
      </c>
      <c r="N6403">
        <v>0</v>
      </c>
      <c r="O6403">
        <v>-0.99891099999999999</v>
      </c>
      <c r="P6403">
        <v>-0.26718140000000001</v>
      </c>
      <c r="Q6403">
        <v>2.4300579999999999E-2</v>
      </c>
      <c r="R6403">
        <v>-0.96333999999999997</v>
      </c>
      <c r="S6403">
        <v>-1.4657899999999999</v>
      </c>
      <c r="T6403">
        <v>-0.28541870000000003</v>
      </c>
      <c r="U6403">
        <v>-2.7154389999999999</v>
      </c>
      <c r="V6403">
        <v>0.22292680000000001</v>
      </c>
      <c r="W6403">
        <v>3.3173019999999998E-2</v>
      </c>
      <c r="X6403">
        <v>0.97427059999999999</v>
      </c>
      <c r="Y6403">
        <v>0.43225229999999998</v>
      </c>
      <c r="Z6403">
        <v>9.2964489999999997E-2</v>
      </c>
      <c r="AA6403">
        <v>0.89694789999999902</v>
      </c>
      <c r="AB6403">
        <v>16</v>
      </c>
      <c r="AC6403">
        <v>-5.6936</v>
      </c>
      <c r="AD6403">
        <v>-1.1095517293499999</v>
      </c>
      <c r="AE6403">
        <v>-10.4705999999999</v>
      </c>
      <c r="AF6403">
        <v>5.1644107899181604</v>
      </c>
      <c r="AG6403">
        <v>-1.1095517293499999</v>
      </c>
      <c r="AH6403">
        <v>10.6277391414582</v>
      </c>
      <c r="AI6403">
        <v>95.364444858225397</v>
      </c>
      <c r="AJ6403">
        <v>64.083171982389004</v>
      </c>
      <c r="AK6403">
        <v>11.8680698980925</v>
      </c>
      <c r="AL6403">
        <v>88.098977197309196</v>
      </c>
      <c r="AM6403">
        <v>77.111788258726094</v>
      </c>
      <c r="AN6403">
        <v>1.0000000047192601</v>
      </c>
    </row>
    <row r="6404" spans="1:40" x14ac:dyDescent="0.25">
      <c r="A6404" t="str">
        <f>"20190312150819090"</f>
        <v>20190312150819090</v>
      </c>
      <c r="B6404" t="str">
        <f>"1552374499086692"</f>
        <v>1552374499086692</v>
      </c>
      <c r="C6404" t="s">
        <v>40</v>
      </c>
      <c r="D6404">
        <v>4.4374330000000004</v>
      </c>
      <c r="E6404">
        <v>0.58554359999999905</v>
      </c>
      <c r="F6404" t="s">
        <v>77</v>
      </c>
      <c r="G6404">
        <v>-197.90549999999999</v>
      </c>
      <c r="H6404" s="1">
        <v>-1.3690699999999999E-5</v>
      </c>
      <c r="I6404">
        <v>154.9736</v>
      </c>
      <c r="J6404">
        <v>-192.18360000000001</v>
      </c>
      <c r="K6404">
        <v>1.1095360000000001</v>
      </c>
      <c r="L6404">
        <v>165.4615</v>
      </c>
      <c r="M6404">
        <v>-4.6363880000000003E-2</v>
      </c>
      <c r="N6404">
        <v>0</v>
      </c>
      <c r="O6404">
        <v>-0.99888030000000005</v>
      </c>
      <c r="P6404">
        <v>-0.26821139999999999</v>
      </c>
      <c r="Q6404">
        <v>2.4312259999999999E-2</v>
      </c>
      <c r="R6404">
        <v>-0.96305370000000001</v>
      </c>
      <c r="S6404">
        <v>-1.470413</v>
      </c>
      <c r="T6404">
        <v>-0.28491499999999997</v>
      </c>
      <c r="U6404">
        <v>-2.7135470000000002</v>
      </c>
      <c r="V6404">
        <v>0.22331719999999999</v>
      </c>
      <c r="W6404">
        <v>3.31959E-2</v>
      </c>
      <c r="X6404">
        <v>0.97418039999999995</v>
      </c>
      <c r="Y6404">
        <v>0.4331006</v>
      </c>
      <c r="Z6404">
        <v>9.2799099999999995E-2</v>
      </c>
      <c r="AA6404">
        <v>0.89655580000000001</v>
      </c>
      <c r="AB6404">
        <v>16</v>
      </c>
      <c r="AC6404">
        <v>-5.7218999999999696</v>
      </c>
      <c r="AD6404">
        <v>-1.1095496907</v>
      </c>
      <c r="AE6404">
        <v>-10.4878999999999</v>
      </c>
      <c r="AF6404">
        <v>5.1847464854052099</v>
      </c>
      <c r="AG6404">
        <v>-1.1095496907</v>
      </c>
      <c r="AH6404">
        <v>10.650064844797599</v>
      </c>
      <c r="AI6404">
        <v>95.351390600224605</v>
      </c>
      <c r="AJ6404">
        <v>64.041898343817806</v>
      </c>
      <c r="AK6404">
        <v>11.896914634998801</v>
      </c>
      <c r="AL6404">
        <v>88.097665530257203</v>
      </c>
      <c r="AM6404">
        <v>77.088818109717494</v>
      </c>
      <c r="AN6404">
        <v>0.99999999566840403</v>
      </c>
    </row>
    <row r="6405" spans="1:40" x14ac:dyDescent="0.25">
      <c r="A6405" t="str">
        <f>"20190312150819101"</f>
        <v>20190312150819101</v>
      </c>
      <c r="B6405" t="str">
        <f>"1552374499096451"</f>
        <v>1552374499096451</v>
      </c>
      <c r="C6405" t="s">
        <v>40</v>
      </c>
      <c r="D6405">
        <v>4.4412960000000004</v>
      </c>
      <c r="E6405">
        <v>0.58580889999999997</v>
      </c>
      <c r="F6405" t="s">
        <v>77</v>
      </c>
      <c r="G6405">
        <v>-197.9502</v>
      </c>
      <c r="H6405" s="1">
        <v>-1.36467799999999E-5</v>
      </c>
      <c r="I6405">
        <v>154.86199999999999</v>
      </c>
      <c r="J6405">
        <v>-192.18799999999999</v>
      </c>
      <c r="K6405">
        <v>1.1095330000000001</v>
      </c>
      <c r="L6405">
        <v>165.3828</v>
      </c>
      <c r="M6405">
        <v>-4.7024860000000002E-2</v>
      </c>
      <c r="N6405">
        <v>0</v>
      </c>
      <c r="O6405">
        <v>-0.99884930000000005</v>
      </c>
      <c r="P6405">
        <v>-0.26922089999999999</v>
      </c>
      <c r="Q6405">
        <v>2.4083520000000001E-2</v>
      </c>
      <c r="R6405">
        <v>-0.96277780000000002</v>
      </c>
      <c r="S6405">
        <v>-1.475128</v>
      </c>
      <c r="T6405">
        <v>-0.2838328</v>
      </c>
      <c r="U6405">
        <v>-2.7114410000000002</v>
      </c>
      <c r="V6405">
        <v>0.22369349999999999</v>
      </c>
      <c r="W6405">
        <v>3.297858E-2</v>
      </c>
      <c r="X6405">
        <v>0.97410140000000001</v>
      </c>
      <c r="Y6405">
        <v>0.4340155</v>
      </c>
      <c r="Z6405">
        <v>9.2451019999999995E-2</v>
      </c>
      <c r="AA6405">
        <v>0.89614919999999998</v>
      </c>
      <c r="AB6405">
        <v>16</v>
      </c>
      <c r="AC6405">
        <v>-5.7622</v>
      </c>
      <c r="AD6405">
        <v>-1.1095466467799999</v>
      </c>
      <c r="AE6405">
        <v>-10.520799999999999</v>
      </c>
      <c r="AF6405">
        <v>5.2164330332645701</v>
      </c>
      <c r="AG6405">
        <v>-1.1095466467799999</v>
      </c>
      <c r="AH6405">
        <v>10.688688536929901</v>
      </c>
      <c r="AI6405">
        <v>95.329634265348901</v>
      </c>
      <c r="AJ6405">
        <v>63.986095713944103</v>
      </c>
      <c r="AK6405">
        <v>11.945305772202399</v>
      </c>
      <c r="AL6405">
        <v>88.110123789974097</v>
      </c>
      <c r="AM6405">
        <v>77.066779444223897</v>
      </c>
      <c r="AN6405">
        <v>0.99999995308151202</v>
      </c>
    </row>
    <row r="6406" spans="1:40" x14ac:dyDescent="0.25">
      <c r="A6406" t="str">
        <f>"20190312150819113"</f>
        <v>20190312150819113</v>
      </c>
      <c r="B6406" t="str">
        <f>"1552374499106211"</f>
        <v>1552374499106211</v>
      </c>
      <c r="C6406" t="s">
        <v>40</v>
      </c>
      <c r="D6406">
        <v>4.4050240000000001</v>
      </c>
      <c r="E6406">
        <v>0.58600129999999995</v>
      </c>
      <c r="F6406" t="s">
        <v>77</v>
      </c>
      <c r="G6406">
        <v>-197.98410000000001</v>
      </c>
      <c r="H6406" s="1">
        <v>-1.3611870000000001E-5</v>
      </c>
      <c r="I6406">
        <v>154.77359999999999</v>
      </c>
      <c r="J6406">
        <v>-192.1926</v>
      </c>
      <c r="K6406">
        <v>1.1095330000000001</v>
      </c>
      <c r="L6406">
        <v>165.30250000000001</v>
      </c>
      <c r="M6406">
        <v>-4.769905E-2</v>
      </c>
      <c r="N6406">
        <v>0</v>
      </c>
      <c r="O6406">
        <v>-0.99881679999999995</v>
      </c>
      <c r="P6406">
        <v>-0.27013359999999997</v>
      </c>
      <c r="Q6406">
        <v>2.375408E-2</v>
      </c>
      <c r="R6406">
        <v>-0.96252979999999999</v>
      </c>
      <c r="S6406">
        <v>-1.4801029999999999</v>
      </c>
      <c r="T6406">
        <v>-0.28333970000000003</v>
      </c>
      <c r="U6406">
        <v>-2.7092130000000001</v>
      </c>
      <c r="V6406">
        <v>0.22395899999999999</v>
      </c>
      <c r="W6406">
        <v>3.2660700000000001E-2</v>
      </c>
      <c r="X6406">
        <v>0.97405120000000001</v>
      </c>
      <c r="Y6406">
        <v>0.4349924</v>
      </c>
      <c r="Z6406">
        <v>9.2292849999999996E-2</v>
      </c>
      <c r="AA6406">
        <v>0.89569169999999998</v>
      </c>
      <c r="AB6406">
        <v>16</v>
      </c>
      <c r="AC6406">
        <v>-5.7915000000000099</v>
      </c>
      <c r="AD6406">
        <v>-1.1095466118699999</v>
      </c>
      <c r="AE6406">
        <v>-10.5289</v>
      </c>
      <c r="AF6406">
        <v>5.23800886222506</v>
      </c>
      <c r="AG6406">
        <v>-1.1095466118699999</v>
      </c>
      <c r="AH6406">
        <v>10.701935181398399</v>
      </c>
      <c r="AI6406">
        <v>95.3201277885195</v>
      </c>
      <c r="AJ6406">
        <v>63.920793175301199</v>
      </c>
      <c r="AK6406">
        <v>11.966588785093</v>
      </c>
      <c r="AL6406">
        <v>88.128346967195398</v>
      </c>
      <c r="AM6406">
        <v>77.051301314509999</v>
      </c>
      <c r="AN6406">
        <v>1.0000000476134601</v>
      </c>
    </row>
    <row r="6407" spans="1:40" x14ac:dyDescent="0.25">
      <c r="A6407" t="str">
        <f>"20190312150819123"</f>
        <v>20190312150819123</v>
      </c>
      <c r="B6407" t="str">
        <f>"1552374499116947"</f>
        <v>1552374499116947</v>
      </c>
      <c r="C6407" t="s">
        <v>40</v>
      </c>
      <c r="D6407">
        <v>4.412032</v>
      </c>
      <c r="E6407">
        <v>0.58626319999999998</v>
      </c>
      <c r="F6407" t="s">
        <v>77</v>
      </c>
      <c r="G6407">
        <v>-198.0128</v>
      </c>
      <c r="H6407" s="1">
        <v>-1.35758299999999E-5</v>
      </c>
      <c r="I6407">
        <v>154.68369999999999</v>
      </c>
      <c r="J6407">
        <v>-192.19730000000001</v>
      </c>
      <c r="K6407">
        <v>1.109532</v>
      </c>
      <c r="L6407">
        <v>165.21960000000001</v>
      </c>
      <c r="M6407">
        <v>-4.8395109999999998E-2</v>
      </c>
      <c r="N6407">
        <v>0</v>
      </c>
      <c r="O6407">
        <v>-0.99878330000000004</v>
      </c>
      <c r="P6407">
        <v>-0.27109830000000001</v>
      </c>
      <c r="Q6407">
        <v>2.342027E-2</v>
      </c>
      <c r="R6407">
        <v>-0.96226690000000004</v>
      </c>
      <c r="S6407">
        <v>-1.4839020000000001</v>
      </c>
      <c r="T6407">
        <v>-0.28288489999999999</v>
      </c>
      <c r="U6407">
        <v>-2.7073209999999999</v>
      </c>
      <c r="V6407">
        <v>0.22425590000000001</v>
      </c>
      <c r="W6407">
        <v>3.2339479999999997E-2</v>
      </c>
      <c r="X6407">
        <v>0.97399349999999996</v>
      </c>
      <c r="Y6407">
        <v>0.4356023</v>
      </c>
      <c r="Z6407">
        <v>9.2154180000000002E-2</v>
      </c>
      <c r="AA6407">
        <v>0.89540959999999903</v>
      </c>
      <c r="AB6407">
        <v>16</v>
      </c>
      <c r="AC6407">
        <v>-5.8154999999999797</v>
      </c>
      <c r="AD6407">
        <v>-1.1095455758299999</v>
      </c>
      <c r="AE6407">
        <v>-10.5359</v>
      </c>
      <c r="AF6407">
        <v>5.2541134935260203</v>
      </c>
      <c r="AG6407">
        <v>-1.1095455758299999</v>
      </c>
      <c r="AH6407">
        <v>10.713933936359</v>
      </c>
      <c r="AI6407">
        <v>95.312205584963095</v>
      </c>
      <c r="AJ6407">
        <v>63.876666637831903</v>
      </c>
      <c r="AK6407">
        <v>11.9843723398583</v>
      </c>
      <c r="AL6407">
        <v>88.1467610529117</v>
      </c>
      <c r="AM6407">
        <v>77.033972910618203</v>
      </c>
      <c r="AN6407">
        <v>0.99999994434686301</v>
      </c>
    </row>
    <row r="6408" spans="1:40" x14ac:dyDescent="0.25">
      <c r="A6408" t="str">
        <f>"20190312150819140"</f>
        <v>20190312150819140</v>
      </c>
      <c r="B6408" t="str">
        <f>"1552374499136467"</f>
        <v>1552374499136467</v>
      </c>
      <c r="C6408" t="s">
        <v>40</v>
      </c>
      <c r="D6408">
        <v>4.4266800000000002</v>
      </c>
      <c r="E6408">
        <v>0.58679780000000004</v>
      </c>
      <c r="F6408" t="s">
        <v>77</v>
      </c>
      <c r="G6408">
        <v>-198.0249</v>
      </c>
      <c r="H6408" s="1">
        <v>-1.3554090000000001E-5</v>
      </c>
      <c r="I6408">
        <v>154.63050000000001</v>
      </c>
      <c r="J6408">
        <v>-192.20400000000001</v>
      </c>
      <c r="K6408">
        <v>1.109537</v>
      </c>
      <c r="L6408">
        <v>165.1053</v>
      </c>
      <c r="M6408">
        <v>-4.9354660000000002E-2</v>
      </c>
      <c r="N6408">
        <v>0</v>
      </c>
      <c r="O6408">
        <v>-0.99873610000000002</v>
      </c>
      <c r="P6408">
        <v>-0.27250390000000002</v>
      </c>
      <c r="Q6408">
        <v>2.3512769999999999E-2</v>
      </c>
      <c r="R6408">
        <v>-0.96186719999999903</v>
      </c>
      <c r="S6408">
        <v>-1.4887239999999999</v>
      </c>
      <c r="T6408">
        <v>-0.2834486</v>
      </c>
      <c r="U6408">
        <v>-2.7051240000000001</v>
      </c>
      <c r="V6408">
        <v>0.22474359999999999</v>
      </c>
      <c r="W6408">
        <v>3.2450529999999998E-2</v>
      </c>
      <c r="X6408">
        <v>0.9738774</v>
      </c>
      <c r="Y6408">
        <v>0.4362625</v>
      </c>
      <c r="Z6408">
        <v>9.2342209999999994E-2</v>
      </c>
      <c r="AA6408">
        <v>0.89506869999999905</v>
      </c>
      <c r="AB6408">
        <v>16</v>
      </c>
      <c r="AC6408">
        <v>-5.8208999999999902</v>
      </c>
      <c r="AD6408">
        <v>-1.1095505540899999</v>
      </c>
      <c r="AE6408">
        <v>-10.474799999999901</v>
      </c>
      <c r="AF6408">
        <v>5.2517791127173101</v>
      </c>
      <c r="AG6408">
        <v>-1.1095505540899999</v>
      </c>
      <c r="AH6408">
        <v>10.6579654408193</v>
      </c>
      <c r="AI6408">
        <v>95.335014406374299</v>
      </c>
      <c r="AJ6408">
        <v>63.767938838373901</v>
      </c>
      <c r="AK6408">
        <v>11.9333362316895</v>
      </c>
      <c r="AL6408">
        <v>88.140395037472501</v>
      </c>
      <c r="AM6408">
        <v>77.005234540071598</v>
      </c>
      <c r="AN6408">
        <v>0.99999995643449902</v>
      </c>
    </row>
    <row r="6409" spans="1:40" x14ac:dyDescent="0.25">
      <c r="A6409" t="str">
        <f>"20190312150819152"</f>
        <v>20190312150819152</v>
      </c>
      <c r="B6409" t="str">
        <f>"1552374499146227"</f>
        <v>1552374499146227</v>
      </c>
      <c r="C6409" t="s">
        <v>40</v>
      </c>
      <c r="D6409">
        <v>4.4088479999999999</v>
      </c>
      <c r="E6409">
        <v>0.58707739999999997</v>
      </c>
      <c r="F6409" t="s">
        <v>77</v>
      </c>
      <c r="G6409">
        <v>-198.11019999999999</v>
      </c>
      <c r="H6409" s="1">
        <v>-1.351282E-5</v>
      </c>
      <c r="I6409">
        <v>154.44640000000001</v>
      </c>
      <c r="J6409">
        <v>-192.2089</v>
      </c>
      <c r="K6409">
        <v>1.1095389999999901</v>
      </c>
      <c r="L6409">
        <v>165.0223</v>
      </c>
      <c r="M6409">
        <v>-5.0050869999999997E-2</v>
      </c>
      <c r="N6409">
        <v>0</v>
      </c>
      <c r="O6409">
        <v>-0.99870159999999997</v>
      </c>
      <c r="P6409">
        <v>-0.27336250000000001</v>
      </c>
      <c r="Q6409">
        <v>2.359998E-2</v>
      </c>
      <c r="R6409">
        <v>-0.96162159999999997</v>
      </c>
      <c r="S6409">
        <v>-1.497055</v>
      </c>
      <c r="T6409">
        <v>-0.28123900000000002</v>
      </c>
      <c r="U6409">
        <v>-2.7017060000000002</v>
      </c>
      <c r="V6409">
        <v>0.22493460000000001</v>
      </c>
      <c r="W6409">
        <v>3.2552039999999997E-2</v>
      </c>
      <c r="X6409">
        <v>0.97382999999999997</v>
      </c>
      <c r="Y6409">
        <v>0.43826019999999999</v>
      </c>
      <c r="Z6409">
        <v>9.1614509999999996E-2</v>
      </c>
      <c r="AA6409">
        <v>0.89416709999999999</v>
      </c>
      <c r="AB6409">
        <v>16</v>
      </c>
      <c r="AC6409">
        <v>-5.9012999999999902</v>
      </c>
      <c r="AD6409">
        <v>-1.1095525128199999</v>
      </c>
      <c r="AE6409">
        <v>-10.575899999999899</v>
      </c>
      <c r="AF6409">
        <v>5.3198940586161099</v>
      </c>
      <c r="AG6409">
        <v>-1.1095525128199999</v>
      </c>
      <c r="AH6409">
        <v>10.7676447035949</v>
      </c>
      <c r="AI6409">
        <v>95.278268024206994</v>
      </c>
      <c r="AJ6409">
        <v>63.7077299581548</v>
      </c>
      <c r="AK6409">
        <v>12.0612831836608</v>
      </c>
      <c r="AL6409">
        <v>88.134576022861097</v>
      </c>
      <c r="AM6409">
        <v>76.993954640058504</v>
      </c>
      <c r="AN6409">
        <v>1.00000003924266</v>
      </c>
    </row>
    <row r="6410" spans="1:40" x14ac:dyDescent="0.25">
      <c r="A6410" t="str">
        <f>"20190312150819162"</f>
        <v>20190312150819162</v>
      </c>
      <c r="B6410" t="str">
        <f>"1552374499156963"</f>
        <v>1552374499156963</v>
      </c>
      <c r="C6410" t="s">
        <v>40</v>
      </c>
      <c r="D6410">
        <v>4.3918189999999999</v>
      </c>
      <c r="E6410">
        <v>0.58729690000000001</v>
      </c>
      <c r="F6410" t="s">
        <v>77</v>
      </c>
      <c r="G6410">
        <v>-198.14279999999999</v>
      </c>
      <c r="H6410" s="1">
        <v>-1.34925E-5</v>
      </c>
      <c r="I6410">
        <v>154.35419999999999</v>
      </c>
      <c r="J6410">
        <v>-192.21379999999999</v>
      </c>
      <c r="K6410">
        <v>1.1095440000000001</v>
      </c>
      <c r="L6410">
        <v>164.94</v>
      </c>
      <c r="M6410">
        <v>-5.0741469999999997E-2</v>
      </c>
      <c r="N6410">
        <v>0</v>
      </c>
      <c r="O6410">
        <v>-0.99866630000000001</v>
      </c>
      <c r="P6410">
        <v>-0.27424920000000003</v>
      </c>
      <c r="Q6410">
        <v>2.3584379999999999E-2</v>
      </c>
      <c r="R6410">
        <v>-0.96136960000000005</v>
      </c>
      <c r="S6410">
        <v>-1.501663</v>
      </c>
      <c r="T6410">
        <v>-0.28078799999999998</v>
      </c>
      <c r="U6410">
        <v>-2.699722</v>
      </c>
      <c r="V6410">
        <v>0.22515940000000001</v>
      </c>
      <c r="W6410">
        <v>3.2551089999999998E-2</v>
      </c>
      <c r="X6410">
        <v>0.97377800000000003</v>
      </c>
      <c r="Y6410">
        <v>0.4390907</v>
      </c>
      <c r="Z6410">
        <v>9.1467619999999999E-2</v>
      </c>
      <c r="AA6410">
        <v>0.89377459999999898</v>
      </c>
      <c r="AB6410">
        <v>16</v>
      </c>
      <c r="AC6410">
        <v>-5.9290000000000003</v>
      </c>
      <c r="AD6410">
        <v>-1.1095574925</v>
      </c>
      <c r="AE6410">
        <v>-10.585800000000001</v>
      </c>
      <c r="AF6410">
        <v>5.3395442605682399</v>
      </c>
      <c r="AG6410">
        <v>-1.1095574925</v>
      </c>
      <c r="AH6410">
        <v>10.782846576729799</v>
      </c>
      <c r="AI6410">
        <v>95.2685476821554</v>
      </c>
      <c r="AJ6410">
        <v>63.655904658170002</v>
      </c>
      <c r="AK6410">
        <v>12.083527259746001</v>
      </c>
      <c r="AL6410">
        <v>88.134630336849398</v>
      </c>
      <c r="AM6410">
        <v>76.980727439329797</v>
      </c>
      <c r="AN6410">
        <v>0.99999996107627298</v>
      </c>
    </row>
    <row r="6411" spans="1:40" x14ac:dyDescent="0.25">
      <c r="A6411" t="str">
        <f>"20190312150819174"</f>
        <v>20190312150819174</v>
      </c>
      <c r="B6411" t="str">
        <f>"1552374499166723"</f>
        <v>1552374499166723</v>
      </c>
      <c r="C6411" t="s">
        <v>40</v>
      </c>
      <c r="D6411">
        <v>4.4963199999999999</v>
      </c>
      <c r="E6411">
        <v>0.58735649999999995</v>
      </c>
      <c r="F6411" t="s">
        <v>77</v>
      </c>
      <c r="G6411">
        <v>-198.1746</v>
      </c>
      <c r="H6411" s="1">
        <v>-1.34717E-5</v>
      </c>
      <c r="I6411">
        <v>154.2603</v>
      </c>
      <c r="J6411">
        <v>-192.21860000000001</v>
      </c>
      <c r="K6411">
        <v>1.1095440000000001</v>
      </c>
      <c r="L6411">
        <v>164.86099999999999</v>
      </c>
      <c r="M6411">
        <v>-5.1404640000000001E-2</v>
      </c>
      <c r="N6411">
        <v>0</v>
      </c>
      <c r="O6411">
        <v>-0.99863239999999998</v>
      </c>
      <c r="P6411">
        <v>-0.2750784</v>
      </c>
      <c r="Q6411">
        <v>2.369164E-2</v>
      </c>
      <c r="R6411">
        <v>-0.96113029999999999</v>
      </c>
      <c r="S6411">
        <v>-1.505798</v>
      </c>
      <c r="T6411">
        <v>-0.28029389999999998</v>
      </c>
      <c r="U6411">
        <v>-2.6978909999999998</v>
      </c>
      <c r="V6411">
        <v>0.2253531</v>
      </c>
      <c r="W6411">
        <v>3.2671659999999998E-2</v>
      </c>
      <c r="X6411">
        <v>0.97372919999999996</v>
      </c>
      <c r="Y6411">
        <v>0.43980459999999899</v>
      </c>
      <c r="Z6411">
        <v>9.1308650000000005E-2</v>
      </c>
      <c r="AA6411">
        <v>0.89343980000000001</v>
      </c>
      <c r="AB6411">
        <v>16</v>
      </c>
      <c r="AC6411">
        <v>-5.95599999999998</v>
      </c>
      <c r="AD6411">
        <v>-1.1095574717000001</v>
      </c>
      <c r="AE6411">
        <v>-10.6006999999999</v>
      </c>
      <c r="AF6411">
        <v>5.3585549678373896</v>
      </c>
      <c r="AG6411">
        <v>-1.1095574717000001</v>
      </c>
      <c r="AH6411">
        <v>10.8029091328064</v>
      </c>
      <c r="AI6411">
        <v>95.257070301046795</v>
      </c>
      <c r="AJ6411">
        <v>63.617260321426997</v>
      </c>
      <c r="AK6411">
        <v>12.109833808026099</v>
      </c>
      <c r="AL6411">
        <v>88.127718592211806</v>
      </c>
      <c r="AM6411">
        <v>76.969278533868504</v>
      </c>
      <c r="AN6411">
        <v>1.0000000059897001</v>
      </c>
    </row>
    <row r="6412" spans="1:40" x14ac:dyDescent="0.25">
      <c r="A6412" t="str">
        <f>"20190312150819186"</f>
        <v>20190312150819186</v>
      </c>
      <c r="B6412" t="str">
        <f>"1552374499176484"</f>
        <v>1552374499176484</v>
      </c>
      <c r="C6412" t="s">
        <v>40</v>
      </c>
      <c r="D6412">
        <v>4.4036559999999998</v>
      </c>
      <c r="E6412">
        <v>0.58746659999999995</v>
      </c>
      <c r="F6412" t="s">
        <v>77</v>
      </c>
      <c r="G6412">
        <v>-198.15799999999999</v>
      </c>
      <c r="H6412" s="1">
        <v>-1.3465970000000001E-5</v>
      </c>
      <c r="I6412">
        <v>154.24340000000001</v>
      </c>
      <c r="J6412">
        <v>-192.2234</v>
      </c>
      <c r="K6412">
        <v>1.1095440000000001</v>
      </c>
      <c r="L6412">
        <v>164.78139999999999</v>
      </c>
      <c r="M6412">
        <v>-5.2072920000000002E-2</v>
      </c>
      <c r="N6412">
        <v>0</v>
      </c>
      <c r="O6412">
        <v>-0.99859739999999997</v>
      </c>
      <c r="P6412">
        <v>-0.27578160000000002</v>
      </c>
      <c r="Q6412">
        <v>2.4035319999999999E-2</v>
      </c>
      <c r="R6412">
        <v>-0.96092</v>
      </c>
      <c r="S6412">
        <v>-1.5084379999999999</v>
      </c>
      <c r="T6412">
        <v>-0.28179690000000002</v>
      </c>
      <c r="U6412">
        <v>-2.6965789999999998</v>
      </c>
      <c r="V6412">
        <v>0.22541510000000001</v>
      </c>
      <c r="W6412">
        <v>3.3029099999999999E-2</v>
      </c>
      <c r="X6412">
        <v>0.97370279999999998</v>
      </c>
      <c r="Y6412">
        <v>0.44003370000000003</v>
      </c>
      <c r="Z6412">
        <v>9.18017E-2</v>
      </c>
      <c r="AA6412">
        <v>0.89327649999999903</v>
      </c>
      <c r="AB6412">
        <v>16</v>
      </c>
      <c r="AC6412">
        <v>-5.9345999999999801</v>
      </c>
      <c r="AD6412">
        <v>-1.10955746597</v>
      </c>
      <c r="AE6412">
        <v>-10.537999999999901</v>
      </c>
      <c r="AF6412">
        <v>5.3328921823666198</v>
      </c>
      <c r="AG6412">
        <v>-1.10955746597</v>
      </c>
      <c r="AH6412">
        <v>10.742331572611899</v>
      </c>
      <c r="AI6412">
        <v>95.285693744207407</v>
      </c>
      <c r="AJ6412">
        <v>63.598491695505302</v>
      </c>
      <c r="AK6412">
        <v>12.044440394429699</v>
      </c>
      <c r="AL6412">
        <v>88.107227747944506</v>
      </c>
      <c r="AM6412">
        <v>76.965474542166206</v>
      </c>
      <c r="AN6412">
        <v>1.00000001574132</v>
      </c>
    </row>
    <row r="6413" spans="1:40" x14ac:dyDescent="0.25">
      <c r="A6413" t="str">
        <f>"20190312150819196"</f>
        <v>20190312150819196</v>
      </c>
      <c r="B6413" t="str">
        <f>"1552374499186245"</f>
        <v>1552374499186245</v>
      </c>
      <c r="C6413" t="s">
        <v>40</v>
      </c>
      <c r="D6413">
        <v>4.479889</v>
      </c>
      <c r="E6413">
        <v>0.58746659999999995</v>
      </c>
      <c r="F6413" t="s">
        <v>77</v>
      </c>
      <c r="G6413">
        <v>-198.22200000000001</v>
      </c>
      <c r="H6413" s="1">
        <v>-1.343182E-5</v>
      </c>
      <c r="I6413">
        <v>154.08510000000001</v>
      </c>
      <c r="J6413">
        <v>-192.22839999999999</v>
      </c>
      <c r="K6413">
        <v>1.109542</v>
      </c>
      <c r="L6413">
        <v>164.70050000000001</v>
      </c>
      <c r="M6413">
        <v>-5.27515E-2</v>
      </c>
      <c r="N6413">
        <v>0</v>
      </c>
      <c r="O6413">
        <v>-0.9985619</v>
      </c>
      <c r="P6413">
        <v>-0.27661829999999998</v>
      </c>
      <c r="Q6413">
        <v>2.4007130000000002E-2</v>
      </c>
      <c r="R6413">
        <v>-0.96068019999999998</v>
      </c>
      <c r="S6413">
        <v>-1.5115050000000001</v>
      </c>
      <c r="T6413">
        <v>-0.27958230000000001</v>
      </c>
      <c r="U6413">
        <v>-2.6952210000000001</v>
      </c>
      <c r="V6413">
        <v>0.22560150000000001</v>
      </c>
      <c r="W6413">
        <v>3.3015269999999999E-2</v>
      </c>
      <c r="X6413">
        <v>0.97366010000000003</v>
      </c>
      <c r="Y6413">
        <v>0.44042160000000002</v>
      </c>
      <c r="Z6413">
        <v>9.1089000000000003E-2</v>
      </c>
      <c r="AA6413">
        <v>0.89315829999999996</v>
      </c>
      <c r="AB6413">
        <v>16</v>
      </c>
      <c r="AC6413">
        <v>-5.9936000000000096</v>
      </c>
      <c r="AD6413">
        <v>-1.10955543182</v>
      </c>
      <c r="AE6413">
        <v>-10.6153999999999</v>
      </c>
      <c r="AF6413">
        <v>5.3806757556018399</v>
      </c>
      <c r="AG6413">
        <v>-1.10955543182</v>
      </c>
      <c r="AH6413">
        <v>10.827110503857201</v>
      </c>
      <c r="AI6413">
        <v>95.243434573886105</v>
      </c>
      <c r="AJ6413">
        <v>63.5743133393321</v>
      </c>
      <c r="AK6413">
        <v>12.141215207133801</v>
      </c>
      <c r="AL6413">
        <v>88.108020584464796</v>
      </c>
      <c r="AM6413">
        <v>76.954512022508197</v>
      </c>
      <c r="AN6413">
        <v>1.00000001759371</v>
      </c>
    </row>
    <row r="6414" spans="1:40" x14ac:dyDescent="0.25">
      <c r="A6414" t="str">
        <f>"20190312150819207"</f>
        <v>20190312150819207</v>
      </c>
      <c r="B6414" t="str">
        <f>"1552374499196002"</f>
        <v>1552374499196002</v>
      </c>
      <c r="C6414" t="s">
        <v>40</v>
      </c>
      <c r="D6414">
        <v>4.5148199999999896</v>
      </c>
      <c r="E6414">
        <v>0.57248319999999997</v>
      </c>
      <c r="F6414" t="s">
        <v>77</v>
      </c>
      <c r="G6414">
        <v>-198.23480000000001</v>
      </c>
      <c r="H6414" s="1">
        <v>-1.341445E-5</v>
      </c>
      <c r="I6414">
        <v>154.01159999999999</v>
      </c>
      <c r="J6414">
        <v>-192.23320000000001</v>
      </c>
      <c r="K6414">
        <v>1.1095429999999999</v>
      </c>
      <c r="L6414">
        <v>164.62479999999999</v>
      </c>
      <c r="M6414">
        <v>-5.3386780000000002E-2</v>
      </c>
      <c r="N6414">
        <v>0</v>
      </c>
      <c r="O6414">
        <v>-0.99852779999999997</v>
      </c>
      <c r="P6414">
        <v>-0.27749040000000003</v>
      </c>
      <c r="Q6414">
        <v>2.4122190000000002E-2</v>
      </c>
      <c r="R6414">
        <v>-0.96042570000000005</v>
      </c>
      <c r="S6414">
        <v>-1.513763</v>
      </c>
      <c r="T6414">
        <v>-0.27963749999999998</v>
      </c>
      <c r="U6414">
        <v>-2.6938930000000001</v>
      </c>
      <c r="V6414">
        <v>0.2258665</v>
      </c>
      <c r="W6414">
        <v>3.3143480000000003E-2</v>
      </c>
      <c r="X6414">
        <v>0.97359430000000002</v>
      </c>
      <c r="Y6414">
        <v>0.44060680000000002</v>
      </c>
      <c r="Z6414">
        <v>9.1119179999999994E-2</v>
      </c>
      <c r="AA6414">
        <v>0.89306379999999996</v>
      </c>
      <c r="AB6414">
        <v>16</v>
      </c>
      <c r="AC6414">
        <v>-6.0015999999999901</v>
      </c>
      <c r="AD6414">
        <v>-1.1095564144500001</v>
      </c>
      <c r="AE6414">
        <v>-10.613200000000001</v>
      </c>
      <c r="AF6414">
        <v>5.3818402230337199</v>
      </c>
      <c r="AG6414">
        <v>-1.1095564144500001</v>
      </c>
      <c r="AH6414">
        <v>10.828805740761499</v>
      </c>
      <c r="AI6414">
        <v>95.242561129173495</v>
      </c>
      <c r="AJ6414">
        <v>63.572947083796798</v>
      </c>
      <c r="AK6414">
        <v>12.1432431168226</v>
      </c>
      <c r="AL6414">
        <v>88.100670662592506</v>
      </c>
      <c r="AM6414">
        <v>76.938860912059496</v>
      </c>
      <c r="AN6414">
        <v>1.00000001354062</v>
      </c>
    </row>
    <row r="6415" spans="1:40" x14ac:dyDescent="0.25">
      <c r="A6415" t="str">
        <f>"20190312150819220"</f>
        <v>20190312150819220</v>
      </c>
      <c r="B6415" t="str">
        <f>"1552374499216499"</f>
        <v>1552374499216499</v>
      </c>
      <c r="C6415" t="s">
        <v>40</v>
      </c>
      <c r="D6415">
        <v>4.5146559999999996</v>
      </c>
      <c r="E6415">
        <v>0.56692679999999995</v>
      </c>
      <c r="F6415" t="s">
        <v>77</v>
      </c>
      <c r="G6415">
        <v>-199.8792</v>
      </c>
      <c r="H6415" s="1">
        <v>-1.248258E-5</v>
      </c>
      <c r="I6415">
        <v>149.72829999999999</v>
      </c>
      <c r="J6415">
        <v>-192.239</v>
      </c>
      <c r="K6415">
        <v>1.1095459999999999</v>
      </c>
      <c r="L6415">
        <v>164.5316</v>
      </c>
      <c r="M6415">
        <v>-5.4168399999999998E-2</v>
      </c>
      <c r="N6415">
        <v>0</v>
      </c>
      <c r="O6415">
        <v>-0.99848579999999998</v>
      </c>
      <c r="P6415">
        <v>-0.2784065</v>
      </c>
      <c r="Q6415">
        <v>2.380142E-2</v>
      </c>
      <c r="R6415">
        <v>-0.96016880000000004</v>
      </c>
      <c r="S6415">
        <v>-1.3984989999999999</v>
      </c>
      <c r="T6415">
        <v>-0.2029446</v>
      </c>
      <c r="U6415">
        <v>-2.7246549999999998</v>
      </c>
      <c r="V6415">
        <v>0.2260325</v>
      </c>
      <c r="W6415">
        <v>3.2840849999999998E-2</v>
      </c>
      <c r="X6415">
        <v>0.97356609999999999</v>
      </c>
      <c r="Y6415">
        <v>0.40675719999999999</v>
      </c>
      <c r="Z6415">
        <v>6.6785860000000002E-2</v>
      </c>
      <c r="AA6415">
        <v>0.91109180000000001</v>
      </c>
      <c r="AB6415">
        <v>16</v>
      </c>
      <c r="AC6415">
        <v>-7.6401999999999903</v>
      </c>
      <c r="AD6415">
        <v>-1.10955848257999</v>
      </c>
      <c r="AE6415">
        <v>-14.8033</v>
      </c>
      <c r="AF6415">
        <v>6.7969206158115902</v>
      </c>
      <c r="AG6415">
        <v>-1.10955848257999</v>
      </c>
      <c r="AH6415">
        <v>15.1283265929096</v>
      </c>
      <c r="AI6415">
        <v>93.827445037310994</v>
      </c>
      <c r="AJ6415">
        <v>65.806361800491999</v>
      </c>
      <c r="AK6415">
        <v>16.622139314349599</v>
      </c>
      <c r="AL6415">
        <v>88.118019657187105</v>
      </c>
      <c r="AM6415">
        <v>76.929225530840995</v>
      </c>
      <c r="AN6415">
        <v>1.00000008177708</v>
      </c>
    </row>
    <row r="6416" spans="1:40" x14ac:dyDescent="0.25">
      <c r="A6416" t="str">
        <f>"20190312150819233"</f>
        <v>20190312150819233</v>
      </c>
      <c r="B6416" t="str">
        <f>"1552374499226826"</f>
        <v>1552374499226826</v>
      </c>
      <c r="C6416" t="s">
        <v>40</v>
      </c>
      <c r="D6416">
        <v>4.5045510000000002</v>
      </c>
      <c r="E6416">
        <v>0.56593439999999995</v>
      </c>
      <c r="F6416" t="s">
        <v>77</v>
      </c>
      <c r="G6416">
        <v>-199.9487</v>
      </c>
      <c r="H6416" s="1">
        <v>-1.227781E-5</v>
      </c>
      <c r="I6416">
        <v>149.00360000000001</v>
      </c>
      <c r="J6416">
        <v>-192.245</v>
      </c>
      <c r="K6416">
        <v>1.1095440000000001</v>
      </c>
      <c r="L6416">
        <v>164.4391</v>
      </c>
      <c r="M6416">
        <v>-5.4944439999999997E-2</v>
      </c>
      <c r="N6416">
        <v>0</v>
      </c>
      <c r="O6416">
        <v>-0.99844299999999997</v>
      </c>
      <c r="P6416">
        <v>-0.27944989999999997</v>
      </c>
      <c r="Q6416">
        <v>2.363268E-2</v>
      </c>
      <c r="R6416">
        <v>-0.95986939999999998</v>
      </c>
      <c r="S6416">
        <v>-1.358185</v>
      </c>
      <c r="T6416">
        <v>-0.19546620000000001</v>
      </c>
      <c r="U6416">
        <v>-2.7354889999999998</v>
      </c>
      <c r="V6416">
        <v>0.2263336</v>
      </c>
      <c r="W6416">
        <v>3.2690249999999997E-2</v>
      </c>
      <c r="X6416">
        <v>0.97350110000000001</v>
      </c>
      <c r="Y6416">
        <v>0.39389829999999998</v>
      </c>
      <c r="Z6416">
        <v>6.4495299999999894E-2</v>
      </c>
      <c r="AA6416">
        <v>0.9168885</v>
      </c>
      <c r="AB6416">
        <v>16</v>
      </c>
      <c r="AC6416">
        <v>-7.7036999999999898</v>
      </c>
      <c r="AD6416">
        <v>-1.1095562778100001</v>
      </c>
      <c r="AE6416">
        <v>-15.4354999999999</v>
      </c>
      <c r="AF6416">
        <v>6.81573236099673</v>
      </c>
      <c r="AG6416">
        <v>-1.1095562778100001</v>
      </c>
      <c r="AH6416">
        <v>15.7702381341067</v>
      </c>
      <c r="AI6416">
        <v>93.695255209527303</v>
      </c>
      <c r="AJ6416">
        <v>66.626503061464504</v>
      </c>
      <c r="AK6416">
        <v>17.215857038114599</v>
      </c>
      <c r="AL6416">
        <v>88.126652829442506</v>
      </c>
      <c r="AM6416">
        <v>76.911569051761802</v>
      </c>
      <c r="AN6416">
        <v>0.99999997131761498</v>
      </c>
    </row>
    <row r="6417" spans="1:40" x14ac:dyDescent="0.25">
      <c r="A6417" t="str">
        <f>"20190312150819246"</f>
        <v>20190312150819246</v>
      </c>
      <c r="B6417" t="str">
        <f>"1552374499236576"</f>
        <v>1552374499236576</v>
      </c>
      <c r="C6417" t="s">
        <v>40</v>
      </c>
      <c r="D6417">
        <v>4.4910449999999997</v>
      </c>
      <c r="E6417">
        <v>0.56530729999999996</v>
      </c>
      <c r="F6417" t="s">
        <v>77</v>
      </c>
      <c r="G6417">
        <v>-200.0489</v>
      </c>
      <c r="H6417" s="1">
        <v>-1.2136830000000001E-5</v>
      </c>
      <c r="I6417">
        <v>148.66130000000001</v>
      </c>
      <c r="J6417">
        <v>-192.2509</v>
      </c>
      <c r="K6417">
        <v>1.1095459999999999</v>
      </c>
      <c r="L6417">
        <v>164.34700000000001</v>
      </c>
      <c r="M6417">
        <v>-5.5716719999999997E-2</v>
      </c>
      <c r="N6417">
        <v>0</v>
      </c>
      <c r="O6417">
        <v>-0.99840010000000001</v>
      </c>
      <c r="P6417">
        <v>-0.2806285</v>
      </c>
      <c r="Q6417">
        <v>2.349708E-2</v>
      </c>
      <c r="R6417">
        <v>-0.95952919999999997</v>
      </c>
      <c r="S6417">
        <v>-1.3533329999999999</v>
      </c>
      <c r="T6417">
        <v>-0.19241610000000001</v>
      </c>
      <c r="U6417">
        <v>-2.736145</v>
      </c>
      <c r="V6417">
        <v>0.22677600000000001</v>
      </c>
      <c r="W6417">
        <v>3.2572049999999998E-2</v>
      </c>
      <c r="X6417">
        <v>0.97340210000000005</v>
      </c>
      <c r="Y6417">
        <v>0.39182099999999997</v>
      </c>
      <c r="Z6417">
        <v>6.3528520000000005E-2</v>
      </c>
      <c r="AA6417">
        <v>0.91784549999999998</v>
      </c>
      <c r="AB6417">
        <v>16</v>
      </c>
      <c r="AC6417">
        <v>-7.798</v>
      </c>
      <c r="AD6417">
        <v>-1.10955813682999</v>
      </c>
      <c r="AE6417">
        <v>-15.685699999999899</v>
      </c>
      <c r="AF6417">
        <v>6.8842687275729402</v>
      </c>
      <c r="AG6417">
        <v>-1.10955813682999</v>
      </c>
      <c r="AH6417">
        <v>16.031510639435599</v>
      </c>
      <c r="AI6417">
        <v>93.638849843332807</v>
      </c>
      <c r="AJ6417">
        <v>66.760294371151403</v>
      </c>
      <c r="AK6417">
        <v>17.482379945384501</v>
      </c>
      <c r="AL6417">
        <v>88.133428797620695</v>
      </c>
      <c r="AM6417">
        <v>76.885581582036394</v>
      </c>
      <c r="AN6417">
        <v>0.99999997045080502</v>
      </c>
    </row>
    <row r="6418" spans="1:40" x14ac:dyDescent="0.25">
      <c r="A6418" t="str">
        <f>"20190312150819259"</f>
        <v>20190312150819259</v>
      </c>
      <c r="B6418" t="str">
        <f>"1552374499246336"</f>
        <v>1552374499246336</v>
      </c>
      <c r="C6418" t="s">
        <v>40</v>
      </c>
      <c r="D6418">
        <v>4.7051379999999998</v>
      </c>
      <c r="E6418">
        <v>0.56483380000000005</v>
      </c>
      <c r="F6418" t="s">
        <v>77</v>
      </c>
      <c r="G6418">
        <v>-200.04859999999999</v>
      </c>
      <c r="H6418" s="1">
        <v>-1.210895E-5</v>
      </c>
      <c r="I6418">
        <v>148.56710000000001</v>
      </c>
      <c r="J6418">
        <v>-192.2569</v>
      </c>
      <c r="K6418">
        <v>1.109548</v>
      </c>
      <c r="L6418">
        <v>164.2552</v>
      </c>
      <c r="M6418">
        <v>-5.6487040000000002E-2</v>
      </c>
      <c r="N6418">
        <v>0</v>
      </c>
      <c r="O6418">
        <v>-0.99835669999999999</v>
      </c>
      <c r="P6418">
        <v>-0.28160809999999997</v>
      </c>
      <c r="Q6418">
        <v>2.3353789999999999E-2</v>
      </c>
      <c r="R6418">
        <v>-0.95924569999999998</v>
      </c>
      <c r="S6418">
        <v>-1.351944</v>
      </c>
      <c r="T6418">
        <v>-0.19237180000000001</v>
      </c>
      <c r="U6418">
        <v>-2.7358699999999998</v>
      </c>
      <c r="V6418">
        <v>0.22701869999999999</v>
      </c>
      <c r="W6418">
        <v>3.2446240000000001E-2</v>
      </c>
      <c r="X6418">
        <v>0.97334980000000004</v>
      </c>
      <c r="Y6418">
        <v>0.39077309999999998</v>
      </c>
      <c r="Z6418">
        <v>6.3536889999999999E-2</v>
      </c>
      <c r="AA6418">
        <v>0.91829159999999999</v>
      </c>
      <c r="AB6418">
        <v>16</v>
      </c>
      <c r="AC6418">
        <v>-7.7916999999999899</v>
      </c>
      <c r="AD6418">
        <v>-1.10956010895</v>
      </c>
      <c r="AE6418">
        <v>-15.688099999999899</v>
      </c>
      <c r="AF6418">
        <v>6.8654951415176102</v>
      </c>
      <c r="AG6418">
        <v>-1.10956010895</v>
      </c>
      <c r="AH6418">
        <v>16.038844728172499</v>
      </c>
      <c r="AI6418">
        <v>93.638992960207801</v>
      </c>
      <c r="AJ6418">
        <v>66.826449768761194</v>
      </c>
      <c r="AK6418">
        <v>17.481724382566</v>
      </c>
      <c r="AL6418">
        <v>88.140641122986906</v>
      </c>
      <c r="AM6418">
        <v>76.871351169018595</v>
      </c>
      <c r="AN6418">
        <v>1.0000000408999301</v>
      </c>
    </row>
    <row r="6419" spans="1:40" x14ac:dyDescent="0.25">
      <c r="A6419" t="str">
        <f>"20190312150819275"</f>
        <v>20190312150819275</v>
      </c>
      <c r="B6419" t="str">
        <f>"1552374499266831"</f>
        <v>1552374499266831</v>
      </c>
      <c r="C6419" t="s">
        <v>40</v>
      </c>
      <c r="D6419">
        <v>4.4483129999999997</v>
      </c>
      <c r="E6419">
        <v>0.56431500000000001</v>
      </c>
      <c r="F6419" t="s">
        <v>77</v>
      </c>
      <c r="G6419">
        <v>-200.45750000000001</v>
      </c>
      <c r="H6419" s="1">
        <v>-1.1654460000000001E-5</v>
      </c>
      <c r="I6419">
        <v>147.64879999999999</v>
      </c>
      <c r="J6419">
        <v>-192.2645</v>
      </c>
      <c r="K6419">
        <v>1.1095539999999999</v>
      </c>
      <c r="L6419">
        <v>164.14150000000001</v>
      </c>
      <c r="M6419">
        <v>-5.7440640000000001E-2</v>
      </c>
      <c r="N6419">
        <v>0</v>
      </c>
      <c r="O6419">
        <v>-0.99830209999999997</v>
      </c>
      <c r="P6419">
        <v>-0.28327529999999901</v>
      </c>
      <c r="Q6419">
        <v>2.3503820000000002E-2</v>
      </c>
      <c r="R6419">
        <v>-0.95875109999999997</v>
      </c>
      <c r="S6419">
        <v>-1.3507690000000001</v>
      </c>
      <c r="T6419">
        <v>-0.18276339999999999</v>
      </c>
      <c r="U6419">
        <v>-2.7353519999999998</v>
      </c>
      <c r="V6419">
        <v>0.2277817</v>
      </c>
      <c r="W6419">
        <v>3.2614949999999997E-2</v>
      </c>
      <c r="X6419">
        <v>0.97316579999999997</v>
      </c>
      <c r="Y6419">
        <v>0.38973200000000002</v>
      </c>
      <c r="Z6419">
        <v>6.040073E-2</v>
      </c>
      <c r="AA6419">
        <v>0.91894540000000002</v>
      </c>
      <c r="AB6419">
        <v>16</v>
      </c>
      <c r="AC6419">
        <v>-8.1930000000000103</v>
      </c>
      <c r="AD6419">
        <v>-1.1095656544600001</v>
      </c>
      <c r="AE6419">
        <v>-16.492699999999999</v>
      </c>
      <c r="AF6419">
        <v>7.2059167966917999</v>
      </c>
      <c r="AG6419">
        <v>-1.1095656544600001</v>
      </c>
      <c r="AH6419">
        <v>16.874840350099699</v>
      </c>
      <c r="AI6419">
        <v>93.460468757997205</v>
      </c>
      <c r="AJ6419">
        <v>66.876484108180605</v>
      </c>
      <c r="AK6419">
        <v>18.382508252786199</v>
      </c>
      <c r="AL6419">
        <v>88.130969475042505</v>
      </c>
      <c r="AM6419">
        <v>76.826358602253805</v>
      </c>
      <c r="AN6419">
        <v>0.99999995605401504</v>
      </c>
    </row>
    <row r="6420" spans="1:40" x14ac:dyDescent="0.25">
      <c r="A6420" t="str">
        <f>"20190312150819286"</f>
        <v>20190312150819286</v>
      </c>
      <c r="B6420" t="str">
        <f>"1552374499276592"</f>
        <v>1552374499276592</v>
      </c>
      <c r="C6420" t="s">
        <v>40</v>
      </c>
      <c r="D6420">
        <v>4.4453329999999998</v>
      </c>
      <c r="E6420">
        <v>0.56392159999999902</v>
      </c>
      <c r="F6420" t="s">
        <v>77</v>
      </c>
      <c r="G6420">
        <v>-200.21850000000001</v>
      </c>
      <c r="H6420" s="1">
        <v>-1.188107E-5</v>
      </c>
      <c r="I6420">
        <v>148.05439999999999</v>
      </c>
      <c r="J6420">
        <v>-192.27</v>
      </c>
      <c r="K6420">
        <v>1.1095569999999999</v>
      </c>
      <c r="L6420">
        <v>164.05930000000001</v>
      </c>
      <c r="M6420">
        <v>-5.8130920000000003E-2</v>
      </c>
      <c r="N6420">
        <v>0</v>
      </c>
      <c r="O6420">
        <v>-0.99826179999999998</v>
      </c>
      <c r="P6420">
        <v>-0.28435640000000001</v>
      </c>
      <c r="Q6420">
        <v>2.3498450000000001E-2</v>
      </c>
      <c r="R6420">
        <v>-0.95843089999999997</v>
      </c>
      <c r="S6420">
        <v>-1.3519129999999999</v>
      </c>
      <c r="T6420">
        <v>-0.18858810000000001</v>
      </c>
      <c r="U6420">
        <v>-2.7342680000000001</v>
      </c>
      <c r="V6420">
        <v>0.22820670000000001</v>
      </c>
      <c r="W6420">
        <v>3.2622100000000001E-2</v>
      </c>
      <c r="X6420">
        <v>0.97306599999999999</v>
      </c>
      <c r="Y6420">
        <v>0.38949660000000003</v>
      </c>
      <c r="Z6420">
        <v>6.2333710000000001E-2</v>
      </c>
      <c r="AA6420">
        <v>0.91891619999999996</v>
      </c>
      <c r="AB6420">
        <v>16</v>
      </c>
      <c r="AC6420">
        <v>-7.9484999999999904</v>
      </c>
      <c r="AD6420">
        <v>-1.10956888107</v>
      </c>
      <c r="AE6420">
        <v>-16.004899999999999</v>
      </c>
      <c r="AF6420">
        <v>6.9777327429925204</v>
      </c>
      <c r="AG6420">
        <v>-1.10956888107</v>
      </c>
      <c r="AH6420">
        <v>16.376770205407201</v>
      </c>
      <c r="AI6420">
        <v>93.566670268352496</v>
      </c>
      <c r="AJ6420">
        <v>66.922357274181607</v>
      </c>
      <c r="AK6420">
        <v>17.8358767571203</v>
      </c>
      <c r="AL6420">
        <v>88.130559617881701</v>
      </c>
      <c r="AM6420">
        <v>76.801332214934206</v>
      </c>
      <c r="AN6420">
        <v>0.99999996984464901</v>
      </c>
    </row>
    <row r="6421" spans="1:40" x14ac:dyDescent="0.25">
      <c r="A6421" t="str">
        <f>"20190312150819298"</f>
        <v>20190312150819298</v>
      </c>
      <c r="B6421" t="str">
        <f>"1552374499286352"</f>
        <v>1552374499286352</v>
      </c>
      <c r="C6421" t="s">
        <v>40</v>
      </c>
      <c r="D6421">
        <v>4.7032660000000002</v>
      </c>
      <c r="E6421">
        <v>0.56378539999999999</v>
      </c>
      <c r="F6421" t="s">
        <v>77</v>
      </c>
      <c r="G6421">
        <v>-200.16239999999999</v>
      </c>
      <c r="H6421" s="1">
        <v>-1.192049E-5</v>
      </c>
      <c r="I6421">
        <v>148.10319999999999</v>
      </c>
      <c r="J6421">
        <v>-192.27600000000001</v>
      </c>
      <c r="K6421">
        <v>1.1095539999999999</v>
      </c>
      <c r="L6421">
        <v>163.97069999999999</v>
      </c>
      <c r="M6421">
        <v>-5.8874070000000001E-2</v>
      </c>
      <c r="N6421">
        <v>0</v>
      </c>
      <c r="O6421">
        <v>-0.99821819999999895</v>
      </c>
      <c r="P6421">
        <v>-0.28551520000000002</v>
      </c>
      <c r="Q6421">
        <v>2.3721510000000001E-2</v>
      </c>
      <c r="R6421">
        <v>-0.95808110000000002</v>
      </c>
      <c r="S6421">
        <v>-1.352142</v>
      </c>
      <c r="T6421">
        <v>-0.19009290000000001</v>
      </c>
      <c r="U6421">
        <v>-2.7336119999999999</v>
      </c>
      <c r="V6421">
        <v>0.22865969999999999</v>
      </c>
      <c r="W6421">
        <v>3.2857999999999998E-2</v>
      </c>
      <c r="X6421">
        <v>0.97295169999999997</v>
      </c>
      <c r="Y6421">
        <v>0.38894640000000003</v>
      </c>
      <c r="Z6421">
        <v>6.2844730000000001E-2</v>
      </c>
      <c r="AA6421">
        <v>0.9191144</v>
      </c>
      <c r="AB6421">
        <v>16</v>
      </c>
      <c r="AC6421">
        <v>-7.8864000000000001</v>
      </c>
      <c r="AD6421">
        <v>-1.1095659204899999</v>
      </c>
      <c r="AE6421">
        <v>-15.8675</v>
      </c>
      <c r="AF6421">
        <v>6.9113901189732596</v>
      </c>
      <c r="AG6421">
        <v>-1.1095659204899999</v>
      </c>
      <c r="AH6421">
        <v>16.2406182719903</v>
      </c>
      <c r="AI6421">
        <v>93.597146819605399</v>
      </c>
      <c r="AJ6421">
        <v>66.947239251081697</v>
      </c>
      <c r="AK6421">
        <v>17.6849125461524</v>
      </c>
      <c r="AL6421">
        <v>88.117036271938204</v>
      </c>
      <c r="AM6421">
        <v>76.774553085768602</v>
      </c>
      <c r="AN6421">
        <v>0.99999995855048895</v>
      </c>
    </row>
    <row r="6422" spans="1:40" x14ac:dyDescent="0.25">
      <c r="A6422" t="str">
        <f>"20190312150819310"</f>
        <v>20190312150819310</v>
      </c>
      <c r="B6422" t="str">
        <f>"1552374499306848"</f>
        <v>1552374499306848</v>
      </c>
      <c r="C6422" t="s">
        <v>40</v>
      </c>
      <c r="D6422">
        <v>4.427638</v>
      </c>
      <c r="E6422">
        <v>0.56342029999999999</v>
      </c>
      <c r="F6422" t="s">
        <v>77</v>
      </c>
      <c r="G6422">
        <v>-200.38990000000001</v>
      </c>
      <c r="H6422" s="1">
        <v>-1.167036E-5</v>
      </c>
      <c r="I6422">
        <v>147.60149999999999</v>
      </c>
      <c r="J6422">
        <v>-192.2816</v>
      </c>
      <c r="K6422">
        <v>1.1095539999999999</v>
      </c>
      <c r="L6422">
        <v>163.89</v>
      </c>
      <c r="M6422">
        <v>-5.9551699999999902E-2</v>
      </c>
      <c r="N6422">
        <v>0</v>
      </c>
      <c r="O6422">
        <v>-0.9981776</v>
      </c>
      <c r="P6422">
        <v>-0.28678350000000002</v>
      </c>
      <c r="Q6422">
        <v>2.396334E-2</v>
      </c>
      <c r="R6422">
        <v>-0.95769579999999999</v>
      </c>
      <c r="S6422">
        <v>-1.354309</v>
      </c>
      <c r="T6422">
        <v>-0.18520049999999999</v>
      </c>
      <c r="U6422">
        <v>-2.732224</v>
      </c>
      <c r="V6422">
        <v>0.22928860000000001</v>
      </c>
      <c r="W6422">
        <v>3.3111069999999999E-2</v>
      </c>
      <c r="X6422">
        <v>0.97279510000000002</v>
      </c>
      <c r="Y6422">
        <v>0.38913619999999999</v>
      </c>
      <c r="Z6422">
        <v>6.12452E-2</v>
      </c>
      <c r="AA6422">
        <v>0.91914200000000001</v>
      </c>
      <c r="AB6422">
        <v>16</v>
      </c>
      <c r="AC6422">
        <v>-8.1083000000000105</v>
      </c>
      <c r="AD6422">
        <v>-1.1095656703600001</v>
      </c>
      <c r="AE6422">
        <v>-16.288499999999999</v>
      </c>
      <c r="AF6422">
        <v>7.0974603815580304</v>
      </c>
      <c r="AG6422">
        <v>-1.1095656703600001</v>
      </c>
      <c r="AH6422">
        <v>16.680444013129701</v>
      </c>
      <c r="AI6422">
        <v>93.502619905884799</v>
      </c>
      <c r="AJ6422">
        <v>66.950446695271395</v>
      </c>
      <c r="AK6422">
        <v>18.161560844811302</v>
      </c>
      <c r="AL6422">
        <v>88.102528528975597</v>
      </c>
      <c r="AM6422">
        <v>76.737402330808195</v>
      </c>
      <c r="AN6422">
        <v>0.99999995581525603</v>
      </c>
    </row>
    <row r="6423" spans="1:40" x14ac:dyDescent="0.25">
      <c r="A6423" t="str">
        <f>"20190312150819321"</f>
        <v>20190312150819321</v>
      </c>
      <c r="B6423" t="str">
        <f>"1552374499316608"</f>
        <v>1552374499316608</v>
      </c>
      <c r="C6423" t="s">
        <v>40</v>
      </c>
      <c r="D6423">
        <v>4.4569859999999997</v>
      </c>
      <c r="E6423">
        <v>0.5634093</v>
      </c>
      <c r="F6423" t="s">
        <v>77</v>
      </c>
      <c r="G6423">
        <v>-200.548</v>
      </c>
      <c r="H6423" s="1">
        <v>-1.1488920000000001E-5</v>
      </c>
      <c r="I6423">
        <v>147.22739999999999</v>
      </c>
      <c r="J6423">
        <v>-192.28739999999999</v>
      </c>
      <c r="K6423">
        <v>1.1095549999999901</v>
      </c>
      <c r="L6423">
        <v>163.8048</v>
      </c>
      <c r="M6423">
        <v>-6.0266300000000002E-2</v>
      </c>
      <c r="N6423">
        <v>0</v>
      </c>
      <c r="O6423">
        <v>-0.99813459999999998</v>
      </c>
      <c r="P6423">
        <v>-0.28799750000000002</v>
      </c>
      <c r="Q6423">
        <v>2.386023E-2</v>
      </c>
      <c r="R6423">
        <v>-0.95733400000000002</v>
      </c>
      <c r="S6423">
        <v>-1.3550260000000001</v>
      </c>
      <c r="T6423">
        <v>-0.18187829999999999</v>
      </c>
      <c r="U6423">
        <v>-2.7313079999999998</v>
      </c>
      <c r="V6423">
        <v>0.22982540000000001</v>
      </c>
      <c r="W6423">
        <v>3.3020519999999998E-2</v>
      </c>
      <c r="X6423">
        <v>0.97267159999999997</v>
      </c>
      <c r="Y6423">
        <v>0.38882240000000001</v>
      </c>
      <c r="Z6423">
        <v>6.016577E-2</v>
      </c>
      <c r="AA6423">
        <v>0.91934610000000005</v>
      </c>
      <c r="AB6423">
        <v>16</v>
      </c>
      <c r="AC6423">
        <v>-8.2606000000000002</v>
      </c>
      <c r="AD6423">
        <v>-1.1095664889200001</v>
      </c>
      <c r="AE6423">
        <v>-16.577400000000001</v>
      </c>
      <c r="AF6423">
        <v>7.2205640611589903</v>
      </c>
      <c r="AG6423">
        <v>-1.1095664889200001</v>
      </c>
      <c r="AH6423">
        <v>16.984171279135101</v>
      </c>
      <c r="AI6423">
        <v>93.440583237376799</v>
      </c>
      <c r="AJ6423">
        <v>66.967961313116703</v>
      </c>
      <c r="AK6423">
        <v>18.488638597626199</v>
      </c>
      <c r="AL6423">
        <v>88.107719688974299</v>
      </c>
      <c r="AM6423">
        <v>76.7058257022112</v>
      </c>
      <c r="AN6423">
        <v>1.0000000553363899</v>
      </c>
    </row>
    <row r="6424" spans="1:40" x14ac:dyDescent="0.25">
      <c r="A6424" t="str">
        <f>"20190312150819333"</f>
        <v>20190312150819333</v>
      </c>
      <c r="B6424" t="str">
        <f>"1552374499326369"</f>
        <v>1552374499326369</v>
      </c>
      <c r="C6424" t="s">
        <v>40</v>
      </c>
      <c r="D6424">
        <v>4.4684670000000004</v>
      </c>
      <c r="E6424">
        <v>0.56343069999999995</v>
      </c>
      <c r="F6424" t="s">
        <v>77</v>
      </c>
      <c r="G6424">
        <v>-200.48400000000001</v>
      </c>
      <c r="H6424" s="1">
        <v>-1.155022E-5</v>
      </c>
      <c r="I6424">
        <v>147.33799999999999</v>
      </c>
      <c r="J6424">
        <v>-192.29310000000001</v>
      </c>
      <c r="K6424">
        <v>1.1095520000000001</v>
      </c>
      <c r="L6424">
        <v>163.7243</v>
      </c>
      <c r="M6424">
        <v>-6.0941120000000001E-2</v>
      </c>
      <c r="N6424">
        <v>0</v>
      </c>
      <c r="O6424">
        <v>-0.99809340000000002</v>
      </c>
      <c r="P6424">
        <v>-0.28924030000000001</v>
      </c>
      <c r="Q6424">
        <v>2.3867699999999999E-2</v>
      </c>
      <c r="R6424">
        <v>-0.95695889999999995</v>
      </c>
      <c r="S6424">
        <v>-1.358673</v>
      </c>
      <c r="T6424">
        <v>-0.18392359999999999</v>
      </c>
      <c r="U6424">
        <v>-2.729568</v>
      </c>
      <c r="V6424">
        <v>0.230431</v>
      </c>
      <c r="W6424">
        <v>3.304054E-2</v>
      </c>
      <c r="X6424">
        <v>0.97252760000000005</v>
      </c>
      <c r="Y6424">
        <v>0.38939950000000001</v>
      </c>
      <c r="Z6424">
        <v>6.0845620000000003E-2</v>
      </c>
      <c r="AA6424">
        <v>0.91905709999999996</v>
      </c>
      <c r="AB6424">
        <v>16</v>
      </c>
      <c r="AC6424">
        <v>-8.1908999999999992</v>
      </c>
      <c r="AD6424">
        <v>-1.1095635502200001</v>
      </c>
      <c r="AE6424">
        <v>-16.386299999999999</v>
      </c>
      <c r="AF6424">
        <v>7.1507951528165199</v>
      </c>
      <c r="AG6424">
        <v>-1.1095635502200001</v>
      </c>
      <c r="AH6424">
        <v>16.7934219153491</v>
      </c>
      <c r="AI6424">
        <v>93.478715501012303</v>
      </c>
      <c r="AJ6424">
        <v>66.935244298339896</v>
      </c>
      <c r="AK6424">
        <v>18.286170244653398</v>
      </c>
      <c r="AL6424">
        <v>88.106571949326593</v>
      </c>
      <c r="AM6424">
        <v>76.670140499692096</v>
      </c>
      <c r="AN6424">
        <v>1.00000002790312</v>
      </c>
    </row>
    <row r="6425" spans="1:40" x14ac:dyDescent="0.25">
      <c r="A6425" t="str">
        <f>"20190312150819345"</f>
        <v>20190312150819345</v>
      </c>
      <c r="B6425" t="str">
        <f>"1552374499336662"</f>
        <v>1552374499336662</v>
      </c>
      <c r="C6425" t="s">
        <v>40</v>
      </c>
      <c r="D6425">
        <v>4.4961520000000004</v>
      </c>
      <c r="E6425">
        <v>0.56344749999999999</v>
      </c>
      <c r="F6425" t="s">
        <v>77</v>
      </c>
      <c r="G6425">
        <v>-200.4573</v>
      </c>
      <c r="H6425" s="1">
        <v>-1.1574359999999999E-5</v>
      </c>
      <c r="I6425">
        <v>147.3794</v>
      </c>
      <c r="J6425">
        <v>-192.29929999999999</v>
      </c>
      <c r="K6425">
        <v>1.1095539999999999</v>
      </c>
      <c r="L6425">
        <v>163.63669999999999</v>
      </c>
      <c r="M6425">
        <v>-6.1676250000000002E-2</v>
      </c>
      <c r="N6425">
        <v>0</v>
      </c>
      <c r="O6425">
        <v>-0.9980483</v>
      </c>
      <c r="P6425">
        <v>-0.29026299999999999</v>
      </c>
      <c r="Q6425">
        <v>2.3935890000000001E-2</v>
      </c>
      <c r="R6425">
        <v>-0.95664780000000005</v>
      </c>
      <c r="S6425">
        <v>-1.362503</v>
      </c>
      <c r="T6425">
        <v>-0.18517140000000001</v>
      </c>
      <c r="U6425">
        <v>-2.7277529999999999</v>
      </c>
      <c r="V6425">
        <v>0.2307546</v>
      </c>
      <c r="W6425">
        <v>3.312441E-2</v>
      </c>
      <c r="X6425">
        <v>0.97244799999999998</v>
      </c>
      <c r="Y6425">
        <v>0.38998719999999998</v>
      </c>
      <c r="Z6425">
        <v>6.1262770000000001E-2</v>
      </c>
      <c r="AA6425">
        <v>0.91878009999999999</v>
      </c>
      <c r="AB6425">
        <v>16</v>
      </c>
      <c r="AC6425">
        <v>-8.1580000000000101</v>
      </c>
      <c r="AD6425">
        <v>-1.1095655743599999</v>
      </c>
      <c r="AE6425">
        <v>-16.257299999999901</v>
      </c>
      <c r="AF6425">
        <v>7.1132609850152502</v>
      </c>
      <c r="AG6425">
        <v>-1.1095655743599999</v>
      </c>
      <c r="AH6425">
        <v>16.6675039997534</v>
      </c>
      <c r="AI6425">
        <v>93.503720487536</v>
      </c>
      <c r="AJ6425">
        <v>66.888460142685304</v>
      </c>
      <c r="AK6425">
        <v>18.155861510447199</v>
      </c>
      <c r="AL6425">
        <v>88.101763891068003</v>
      </c>
      <c r="AM6425">
        <v>76.651037104710099</v>
      </c>
      <c r="AN6425">
        <v>1.0000000123315</v>
      </c>
    </row>
    <row r="6426" spans="1:40" x14ac:dyDescent="0.25">
      <c r="A6426" t="str">
        <f>"20190312150819357"</f>
        <v>20190312150819357</v>
      </c>
      <c r="B6426" t="str">
        <f>"1552374499346422"</f>
        <v>1552374499346422</v>
      </c>
      <c r="C6426" t="s">
        <v>40</v>
      </c>
      <c r="D6426">
        <v>4.5242849999999999</v>
      </c>
      <c r="E6426">
        <v>0.56355449999999996</v>
      </c>
      <c r="F6426" t="s">
        <v>77</v>
      </c>
      <c r="G6426">
        <v>-200.42019999999999</v>
      </c>
      <c r="H6426" s="1">
        <v>-1.160442E-5</v>
      </c>
      <c r="I6426">
        <v>147.42500000000001</v>
      </c>
      <c r="J6426">
        <v>-192.30590000000001</v>
      </c>
      <c r="K6426">
        <v>1.1095549999999901</v>
      </c>
      <c r="L6426">
        <v>163.5437</v>
      </c>
      <c r="M6426">
        <v>-6.2456749999999998E-2</v>
      </c>
      <c r="N6426">
        <v>0</v>
      </c>
      <c r="O6426">
        <v>-0.99799939999999998</v>
      </c>
      <c r="P6426">
        <v>-0.29147499999999998</v>
      </c>
      <c r="Q6426">
        <v>2.379771E-2</v>
      </c>
      <c r="R6426">
        <v>-0.95628259999999998</v>
      </c>
      <c r="S6426">
        <v>-1.3656619999999999</v>
      </c>
      <c r="T6426">
        <v>-0.18659149999999999</v>
      </c>
      <c r="U6426">
        <v>-2.7262569999999999</v>
      </c>
      <c r="V6426">
        <v>0.23122609999999999</v>
      </c>
      <c r="W6426">
        <v>3.3002879999999998E-2</v>
      </c>
      <c r="X6426">
        <v>0.97234010000000004</v>
      </c>
      <c r="Y6426">
        <v>0.39030710000000002</v>
      </c>
      <c r="Z6426">
        <v>6.173679E-2</v>
      </c>
      <c r="AA6426">
        <v>0.91861250000000005</v>
      </c>
      <c r="AB6426">
        <v>16</v>
      </c>
      <c r="AC6426">
        <v>-8.1142999999999805</v>
      </c>
      <c r="AD6426">
        <v>-1.1095666044200001</v>
      </c>
      <c r="AE6426">
        <v>-16.118699999999901</v>
      </c>
      <c r="AF6426">
        <v>7.06497738716872</v>
      </c>
      <c r="AG6426">
        <v>-1.1095666044200001</v>
      </c>
      <c r="AH6426">
        <v>16.531547583938099</v>
      </c>
      <c r="AI6426">
        <v>93.531716217581803</v>
      </c>
      <c r="AJ6426">
        <v>66.859912660612494</v>
      </c>
      <c r="AK6426">
        <v>18.012137825667899</v>
      </c>
      <c r="AL6426">
        <v>88.108730804066894</v>
      </c>
      <c r="AM6426">
        <v>76.623309573258993</v>
      </c>
      <c r="AN6426">
        <v>0.99999998473875695</v>
      </c>
    </row>
    <row r="6427" spans="1:40" x14ac:dyDescent="0.25">
      <c r="A6427" t="str">
        <f>"20190312150819369"</f>
        <v>20190312150819369</v>
      </c>
      <c r="B6427" t="str">
        <f>"1552374499365941"</f>
        <v>1552374499365941</v>
      </c>
      <c r="C6427" t="s">
        <v>40</v>
      </c>
      <c r="D6427">
        <v>4.8747610000000003</v>
      </c>
      <c r="E6427">
        <v>0.56333120000000003</v>
      </c>
      <c r="F6427" t="s">
        <v>77</v>
      </c>
      <c r="G6427">
        <v>-200.35659999999999</v>
      </c>
      <c r="H6427" s="1">
        <v>-1.166504E-5</v>
      </c>
      <c r="I6427">
        <v>147.5341</v>
      </c>
      <c r="J6427">
        <v>-192.31200000000001</v>
      </c>
      <c r="K6427">
        <v>1.1095630000000001</v>
      </c>
      <c r="L6427">
        <v>163.45869999999999</v>
      </c>
      <c r="M6427">
        <v>-6.3168940000000007E-2</v>
      </c>
      <c r="N6427">
        <v>0</v>
      </c>
      <c r="O6427">
        <v>-0.99795460000000002</v>
      </c>
      <c r="P6427">
        <v>-0.29268260000000001</v>
      </c>
      <c r="Q6427">
        <v>2.3661250000000002E-2</v>
      </c>
      <c r="R6427">
        <v>-0.95591740000000003</v>
      </c>
      <c r="S6427">
        <v>-1.3699490000000001</v>
      </c>
      <c r="T6427">
        <v>-0.18880949999999999</v>
      </c>
      <c r="U6427">
        <v>-2.7242739999999999</v>
      </c>
      <c r="V6427">
        <v>0.2317601</v>
      </c>
      <c r="W6427">
        <v>3.2881840000000002E-2</v>
      </c>
      <c r="X6427">
        <v>0.97221709999999995</v>
      </c>
      <c r="Y6427">
        <v>0.39105220000000002</v>
      </c>
      <c r="Z6427">
        <v>6.2472659999999999E-2</v>
      </c>
      <c r="AA6427">
        <v>0.9182458</v>
      </c>
      <c r="AB6427">
        <v>16</v>
      </c>
      <c r="AC6427">
        <v>-8.0445999999999707</v>
      </c>
      <c r="AD6427">
        <v>-1.10957466503999</v>
      </c>
      <c r="AE6427">
        <v>-15.9245999999999</v>
      </c>
      <c r="AF6427">
        <v>6.9954864260310803</v>
      </c>
      <c r="AG6427">
        <v>-1.10957466503999</v>
      </c>
      <c r="AH6427">
        <v>16.337794967926001</v>
      </c>
      <c r="AI6427">
        <v>93.572467444009206</v>
      </c>
      <c r="AJ6427">
        <v>66.8204500484118</v>
      </c>
      <c r="AK6427">
        <v>17.8070640670514</v>
      </c>
      <c r="AL6427">
        <v>88.115669726209902</v>
      </c>
      <c r="AM6427">
        <v>76.591896278339107</v>
      </c>
      <c r="AN6427">
        <v>1.0000000244431</v>
      </c>
    </row>
    <row r="6428" spans="1:40" x14ac:dyDescent="0.25">
      <c r="A6428" t="str">
        <f>"20190312150819381"</f>
        <v>20190312150819381</v>
      </c>
      <c r="B6428" t="str">
        <f>"1552374499376678"</f>
        <v>1552374499376678</v>
      </c>
      <c r="C6428" t="s">
        <v>40</v>
      </c>
      <c r="D6428">
        <v>4.4828760000000001</v>
      </c>
      <c r="E6428">
        <v>0.56324739999999995</v>
      </c>
      <c r="F6428" t="s">
        <v>77</v>
      </c>
      <c r="G6428">
        <v>-200.4453</v>
      </c>
      <c r="H6428" s="1">
        <v>-1.1559850000000001E-5</v>
      </c>
      <c r="I6428">
        <v>147.3126</v>
      </c>
      <c r="J6428">
        <v>-192.3186</v>
      </c>
      <c r="K6428">
        <v>1.1095649999999999</v>
      </c>
      <c r="L6428">
        <v>163.3691</v>
      </c>
      <c r="M6428">
        <v>-6.3920699999999997E-2</v>
      </c>
      <c r="N6428">
        <v>0</v>
      </c>
      <c r="O6428">
        <v>-0.99790659999999998</v>
      </c>
      <c r="P6428">
        <v>-0.29381350000000001</v>
      </c>
      <c r="Q6428">
        <v>2.3688629999999999E-2</v>
      </c>
      <c r="R6428">
        <v>-0.95556960000000002</v>
      </c>
      <c r="S6428">
        <v>-1.371658</v>
      </c>
      <c r="T6428">
        <v>-0.18712809999999999</v>
      </c>
      <c r="U6428">
        <v>-2.7230219999999998</v>
      </c>
      <c r="V6428">
        <v>0.23217840000000001</v>
      </c>
      <c r="W6428">
        <v>3.2926629999999998E-2</v>
      </c>
      <c r="X6428">
        <v>0.97211579999999997</v>
      </c>
      <c r="Y6428">
        <v>0.3910034</v>
      </c>
      <c r="Z6428">
        <v>6.1931800000000002E-2</v>
      </c>
      <c r="AA6428">
        <v>0.91830330000000004</v>
      </c>
      <c r="AB6428">
        <v>16</v>
      </c>
      <c r="AC6428">
        <v>-8.1266999999999996</v>
      </c>
      <c r="AD6428">
        <v>-1.10957655984999</v>
      </c>
      <c r="AE6428">
        <v>-16.0565</v>
      </c>
      <c r="AF6428">
        <v>7.0568596112937003</v>
      </c>
      <c r="AG6428">
        <v>-1.10957655984999</v>
      </c>
      <c r="AH6428">
        <v>16.480498400436801</v>
      </c>
      <c r="AI6428">
        <v>93.541597823307001</v>
      </c>
      <c r="AJ6428">
        <v>66.819654759535993</v>
      </c>
      <c r="AK6428">
        <v>17.9621060915049</v>
      </c>
      <c r="AL6428">
        <v>88.113102107122799</v>
      </c>
      <c r="AM6428">
        <v>76.567223459655295</v>
      </c>
      <c r="AN6428">
        <v>1.00000005049967</v>
      </c>
    </row>
    <row r="6429" spans="1:40" x14ac:dyDescent="0.25">
      <c r="A6429" t="str">
        <f>"20190312150819393"</f>
        <v>20190312150819393</v>
      </c>
      <c r="B6429" t="str">
        <f>"1552374499386438"</f>
        <v>1552374499386438</v>
      </c>
      <c r="C6429" t="s">
        <v>40</v>
      </c>
      <c r="D6429">
        <v>4.4589879999999997</v>
      </c>
      <c r="E6429">
        <v>0.56303559999999997</v>
      </c>
      <c r="F6429" t="s">
        <v>77</v>
      </c>
      <c r="G6429">
        <v>-200.5805</v>
      </c>
      <c r="H6429" s="1">
        <v>-1.140929E-5</v>
      </c>
      <c r="I6429">
        <v>147.00810000000001</v>
      </c>
      <c r="J6429">
        <v>-192.32480000000001</v>
      </c>
      <c r="K6429">
        <v>1.1095680000000001</v>
      </c>
      <c r="L6429">
        <v>163.28469999999999</v>
      </c>
      <c r="M6429">
        <v>-6.4628389999999994E-2</v>
      </c>
      <c r="N6429">
        <v>0</v>
      </c>
      <c r="O6429">
        <v>-0.99786059999999999</v>
      </c>
      <c r="P6429">
        <v>-0.29494680000000001</v>
      </c>
      <c r="Q6429">
        <v>2.3782790000000002E-2</v>
      </c>
      <c r="R6429">
        <v>-0.95521769999999995</v>
      </c>
      <c r="S6429">
        <v>-1.3743129999999999</v>
      </c>
      <c r="T6429">
        <v>-0.1845695</v>
      </c>
      <c r="U6429">
        <v>-2.7215120000000002</v>
      </c>
      <c r="V6429">
        <v>0.23264270000000001</v>
      </c>
      <c r="W6429">
        <v>3.303768E-2</v>
      </c>
      <c r="X6429">
        <v>0.972001</v>
      </c>
      <c r="Y6429">
        <v>0.3912929</v>
      </c>
      <c r="Z6429">
        <v>6.1097760000000001E-2</v>
      </c>
      <c r="AA6429">
        <v>0.91823580000000005</v>
      </c>
      <c r="AB6429">
        <v>16</v>
      </c>
      <c r="AC6429">
        <v>-8.2556999999999903</v>
      </c>
      <c r="AD6429">
        <v>-1.10957940929</v>
      </c>
      <c r="AE6429">
        <v>-16.276599999999899</v>
      </c>
      <c r="AF6429">
        <v>7.1599920714653296</v>
      </c>
      <c r="AG6429">
        <v>-1.10957940929</v>
      </c>
      <c r="AH6429">
        <v>16.714366749004601</v>
      </c>
      <c r="AI6429">
        <v>93.491950421605793</v>
      </c>
      <c r="AJ6429">
        <v>66.810990085294705</v>
      </c>
      <c r="AK6429">
        <v>18.217209137219601</v>
      </c>
      <c r="AL6429">
        <v>88.106735906994103</v>
      </c>
      <c r="AM6429">
        <v>76.539805825940604</v>
      </c>
      <c r="AN6429">
        <v>1.0000000290820299</v>
      </c>
    </row>
    <row r="6430" spans="1:40" x14ac:dyDescent="0.25">
      <c r="A6430" t="str">
        <f>"20190312150819408"</f>
        <v>20190312150819408</v>
      </c>
      <c r="B6430" t="str">
        <f>"1552374499396198"</f>
        <v>1552374499396198</v>
      </c>
      <c r="C6430" t="s">
        <v>40</v>
      </c>
      <c r="D6430">
        <v>4.7561220000000004</v>
      </c>
      <c r="E6430">
        <v>0.56292759999999997</v>
      </c>
      <c r="F6430" t="s">
        <v>77</v>
      </c>
      <c r="G6430">
        <v>-200.7552</v>
      </c>
      <c r="H6430" s="1">
        <v>-1.1215080000000001E-5</v>
      </c>
      <c r="I6430">
        <v>146.6157</v>
      </c>
      <c r="J6430">
        <v>-192.3329</v>
      </c>
      <c r="K6430">
        <v>1.109567</v>
      </c>
      <c r="L6430">
        <v>163.17619999999999</v>
      </c>
      <c r="M6430">
        <v>-6.5537419999999999E-2</v>
      </c>
      <c r="N6430">
        <v>0</v>
      </c>
      <c r="O6430">
        <v>-0.99780119999999894</v>
      </c>
      <c r="P6430">
        <v>-0.29649619999999999</v>
      </c>
      <c r="Q6430">
        <v>2.3830270000000001E-2</v>
      </c>
      <c r="R6430">
        <v>-0.95473719999999995</v>
      </c>
      <c r="S6430">
        <v>-1.3758090000000001</v>
      </c>
      <c r="T6430">
        <v>-0.1810793</v>
      </c>
      <c r="U6430">
        <v>-2.7203219999999999</v>
      </c>
      <c r="V6430">
        <v>0.2333345</v>
      </c>
      <c r="W6430">
        <v>3.3107739999999997E-2</v>
      </c>
      <c r="X6430">
        <v>0.97183280000000005</v>
      </c>
      <c r="Y6430">
        <v>0.39104949999999999</v>
      </c>
      <c r="Z6430">
        <v>5.9961010000000002E-2</v>
      </c>
      <c r="AA6430">
        <v>0.91841439999999996</v>
      </c>
      <c r="AB6430">
        <v>16</v>
      </c>
      <c r="AC6430">
        <v>-8.4222999999999999</v>
      </c>
      <c r="AD6430">
        <v>-1.10957821507999</v>
      </c>
      <c r="AE6430">
        <v>-16.560499999999902</v>
      </c>
      <c r="AF6430">
        <v>7.2927947829173601</v>
      </c>
      <c r="AG6430">
        <v>-1.10957821507999</v>
      </c>
      <c r="AH6430">
        <v>17.016204784801399</v>
      </c>
      <c r="AI6430">
        <v>93.429899772586893</v>
      </c>
      <c r="AJ6430">
        <v>66.801023783721305</v>
      </c>
      <c r="AK6430">
        <v>18.546353950019999</v>
      </c>
      <c r="AL6430">
        <v>88.102719609720694</v>
      </c>
      <c r="AM6430">
        <v>76.498991752758798</v>
      </c>
      <c r="AN6430">
        <v>1.00000005124699</v>
      </c>
    </row>
    <row r="6431" spans="1:40" x14ac:dyDescent="0.25">
      <c r="A6431" t="str">
        <f>"20190312150819419"</f>
        <v>20190312150819419</v>
      </c>
      <c r="B6431" t="str">
        <f>"1552374499416694"</f>
        <v>1552374499416694</v>
      </c>
      <c r="C6431" t="s">
        <v>40</v>
      </c>
      <c r="D6431">
        <v>4.5135129999999997</v>
      </c>
      <c r="E6431">
        <v>0.56273790000000001</v>
      </c>
      <c r="F6431" t="s">
        <v>77</v>
      </c>
      <c r="G6431">
        <v>-200.84639999999999</v>
      </c>
      <c r="H6431" s="1">
        <v>-1.1110320000000001E-5</v>
      </c>
      <c r="I6431">
        <v>146.39949999999999</v>
      </c>
      <c r="J6431">
        <v>-192.339</v>
      </c>
      <c r="K6431">
        <v>1.1095699999999999</v>
      </c>
      <c r="L6431">
        <v>163.09530000000001</v>
      </c>
      <c r="M6431">
        <v>-6.6215800000000005E-2</v>
      </c>
      <c r="N6431">
        <v>0</v>
      </c>
      <c r="O6431">
        <v>-0.99775610000000003</v>
      </c>
      <c r="P6431">
        <v>-0.29736570000000001</v>
      </c>
      <c r="Q6431">
        <v>2.3919869999999999E-2</v>
      </c>
      <c r="R6431">
        <v>-0.95446430000000004</v>
      </c>
      <c r="S6431">
        <v>-1.37944</v>
      </c>
      <c r="T6431">
        <v>-0.1797841</v>
      </c>
      <c r="U6431">
        <v>-2.7183229999999998</v>
      </c>
      <c r="V6431">
        <v>0.2335595</v>
      </c>
      <c r="W6431">
        <v>3.3216389999999998E-2</v>
      </c>
      <c r="X6431">
        <v>0.97177500000000006</v>
      </c>
      <c r="Y6431">
        <v>0.39168330000000001</v>
      </c>
      <c r="Z6431">
        <v>5.9543279999999997E-2</v>
      </c>
      <c r="AA6431">
        <v>0.91817139999999997</v>
      </c>
      <c r="AB6431">
        <v>16</v>
      </c>
      <c r="AC6431">
        <v>-8.5073999999999597</v>
      </c>
      <c r="AD6431">
        <v>-1.10958111032</v>
      </c>
      <c r="AE6431">
        <v>-16.695799999999998</v>
      </c>
      <c r="AF6431">
        <v>7.3573496694290998</v>
      </c>
      <c r="AG6431">
        <v>-1.10958111032</v>
      </c>
      <c r="AH6431">
        <v>17.162329335808401</v>
      </c>
      <c r="AI6431">
        <v>93.400636318997101</v>
      </c>
      <c r="AJ6431">
        <v>66.795583678462094</v>
      </c>
      <c r="AK6431">
        <v>18.705809595667802</v>
      </c>
      <c r="AL6431">
        <v>88.096490918502099</v>
      </c>
      <c r="AM6431">
        <v>76.485675945260596</v>
      </c>
      <c r="AN6431">
        <v>1.00000000961494</v>
      </c>
    </row>
    <row r="6432" spans="1:40" x14ac:dyDescent="0.25">
      <c r="A6432" t="str">
        <f>"20190312150819432"</f>
        <v>20190312150819432</v>
      </c>
      <c r="B6432" t="str">
        <f>"1552374499426455"</f>
        <v>1552374499426455</v>
      </c>
      <c r="C6432" t="s">
        <v>40</v>
      </c>
      <c r="D6432">
        <v>4.3999439999999996</v>
      </c>
      <c r="E6432">
        <v>0.56261380000000005</v>
      </c>
      <c r="F6432" t="s">
        <v>77</v>
      </c>
      <c r="G6432">
        <v>-201.06460000000001</v>
      </c>
      <c r="H6432" s="1">
        <v>-1.087009E-5</v>
      </c>
      <c r="I6432">
        <v>145.91730000000001</v>
      </c>
      <c r="J6432">
        <v>-192.34610000000001</v>
      </c>
      <c r="K6432">
        <v>1.109569</v>
      </c>
      <c r="L6432">
        <v>163.00139999999999</v>
      </c>
      <c r="M6432">
        <v>-6.7003209999999994E-2</v>
      </c>
      <c r="N6432">
        <v>0</v>
      </c>
      <c r="O6432">
        <v>-0.99770329999999996</v>
      </c>
      <c r="P6432">
        <v>-0.2982861</v>
      </c>
      <c r="Q6432">
        <v>2.4060979999999999E-2</v>
      </c>
      <c r="R6432">
        <v>-0.95417350000000001</v>
      </c>
      <c r="S6432">
        <v>-1.380341</v>
      </c>
      <c r="T6432">
        <v>-0.17552860000000001</v>
      </c>
      <c r="U6432">
        <v>-2.7174529999999999</v>
      </c>
      <c r="V6432">
        <v>0.2337304</v>
      </c>
      <c r="W6432">
        <v>3.3381760000000003E-2</v>
      </c>
      <c r="X6432">
        <v>0.97172829999999999</v>
      </c>
      <c r="Y6432">
        <v>0.39135490000000001</v>
      </c>
      <c r="Z6432">
        <v>5.8151080000000001E-2</v>
      </c>
      <c r="AA6432">
        <v>0.91840069999999996</v>
      </c>
      <c r="AB6432">
        <v>16</v>
      </c>
      <c r="AC6432">
        <v>-8.7185000000000006</v>
      </c>
      <c r="AD6432">
        <v>-1.1095798700899999</v>
      </c>
      <c r="AE6432">
        <v>-17.0840999999999</v>
      </c>
      <c r="AF6432">
        <v>7.52896254014858</v>
      </c>
      <c r="AG6432">
        <v>-1.1095798700899999</v>
      </c>
      <c r="AH6432">
        <v>17.5710958436742</v>
      </c>
      <c r="AI6432">
        <v>93.321948276882097</v>
      </c>
      <c r="AJ6432">
        <v>66.805561411212395</v>
      </c>
      <c r="AK6432">
        <v>19.148364253028401</v>
      </c>
      <c r="AL6432">
        <v>88.087010764837004</v>
      </c>
      <c r="AM6432">
        <v>76.475524277485505</v>
      </c>
      <c r="AN6432">
        <v>1.00000006540287</v>
      </c>
    </row>
    <row r="6433" spans="1:40" x14ac:dyDescent="0.25">
      <c r="A6433" t="str">
        <f>"20190312150819446"</f>
        <v>20190312150819446</v>
      </c>
      <c r="B6433" t="str">
        <f>"1552374499436776"</f>
        <v>1552374499436776</v>
      </c>
      <c r="C6433" t="s">
        <v>40</v>
      </c>
      <c r="D6433">
        <v>4.4209820000000004</v>
      </c>
      <c r="E6433">
        <v>0.56261419999999995</v>
      </c>
      <c r="F6433" t="s">
        <v>77</v>
      </c>
      <c r="G6433">
        <v>-201.20609999999999</v>
      </c>
      <c r="H6433" s="1">
        <v>-1.0708690000000001E-5</v>
      </c>
      <c r="I6433">
        <v>145.5856</v>
      </c>
      <c r="J6433">
        <v>-192.3535</v>
      </c>
      <c r="K6433">
        <v>1.1095740000000001</v>
      </c>
      <c r="L6433">
        <v>162.9058</v>
      </c>
      <c r="M6433">
        <v>-6.7803859999999994E-2</v>
      </c>
      <c r="N6433">
        <v>0</v>
      </c>
      <c r="O6433">
        <v>-0.99764889999999995</v>
      </c>
      <c r="P6433">
        <v>-0.2996219</v>
      </c>
      <c r="Q6433">
        <v>2.420162E-2</v>
      </c>
      <c r="R6433">
        <v>-0.95375129999999997</v>
      </c>
      <c r="S6433">
        <v>-1.3819429999999999</v>
      </c>
      <c r="T6433">
        <v>-0.17306820000000001</v>
      </c>
      <c r="U6433">
        <v>-2.7164459999999999</v>
      </c>
      <c r="V6433">
        <v>0.23431189999999999</v>
      </c>
      <c r="W6433">
        <v>3.3546180000000002E-2</v>
      </c>
      <c r="X6433">
        <v>0.97158250000000002</v>
      </c>
      <c r="Y6433">
        <v>0.39120549999999998</v>
      </c>
      <c r="Z6433">
        <v>5.7347660000000002E-2</v>
      </c>
      <c r="AA6433">
        <v>0.91851479999999996</v>
      </c>
      <c r="AB6433">
        <v>16</v>
      </c>
      <c r="AC6433">
        <v>-8.85259999999999</v>
      </c>
      <c r="AD6433">
        <v>-1.1095847086899999</v>
      </c>
      <c r="AE6433">
        <v>-17.3202</v>
      </c>
      <c r="AF6433">
        <v>7.63295282485171</v>
      </c>
      <c r="AG6433">
        <v>-1.1095847086899999</v>
      </c>
      <c r="AH6433">
        <v>17.822611940085501</v>
      </c>
      <c r="AI6433">
        <v>93.275436284043806</v>
      </c>
      <c r="AJ6433">
        <v>66.815831122306903</v>
      </c>
      <c r="AK6433">
        <v>19.420057760445701</v>
      </c>
      <c r="AL6433">
        <v>88.077584756658496</v>
      </c>
      <c r="AM6433">
        <v>76.441157718975106</v>
      </c>
      <c r="AN6433">
        <v>0.99999998349022601</v>
      </c>
    </row>
    <row r="6434" spans="1:40" x14ac:dyDescent="0.25">
      <c r="A6434" t="str">
        <f>"20190312150819461"</f>
        <v>20190312150819461</v>
      </c>
      <c r="B6434" t="str">
        <f>"1552374499456295"</f>
        <v>1552374499456295</v>
      </c>
      <c r="C6434" t="s">
        <v>40</v>
      </c>
      <c r="D6434">
        <v>4.5402380000000004</v>
      </c>
      <c r="E6434">
        <v>0.58285619999999905</v>
      </c>
      <c r="F6434" t="s">
        <v>77</v>
      </c>
      <c r="G6434">
        <v>-201.16800000000001</v>
      </c>
      <c r="H6434" s="1">
        <v>-1.074224E-5</v>
      </c>
      <c r="I6434">
        <v>145.64160000000001</v>
      </c>
      <c r="J6434">
        <v>-192.36240000000001</v>
      </c>
      <c r="K6434">
        <v>1.1095790000000001</v>
      </c>
      <c r="L6434">
        <v>162.79050000000001</v>
      </c>
      <c r="M6434">
        <v>-6.8770800000000007E-2</v>
      </c>
      <c r="N6434">
        <v>0</v>
      </c>
      <c r="O6434">
        <v>-0.99758210000000003</v>
      </c>
      <c r="P6434">
        <v>-0.30092529999999901</v>
      </c>
      <c r="Q6434">
        <v>2.439061E-2</v>
      </c>
      <c r="R6434">
        <v>-0.95333579999999996</v>
      </c>
      <c r="S6434">
        <v>-1.3859250000000001</v>
      </c>
      <c r="T6434">
        <v>-0.17446239999999999</v>
      </c>
      <c r="U6434">
        <v>-2.714493</v>
      </c>
      <c r="V6434">
        <v>0.2346993</v>
      </c>
      <c r="W6434">
        <v>3.3768260000000001E-2</v>
      </c>
      <c r="X6434">
        <v>0.97148129999999999</v>
      </c>
      <c r="Y6434">
        <v>0.39163819999999999</v>
      </c>
      <c r="Z6434">
        <v>5.7815320000000003E-2</v>
      </c>
      <c r="AA6434">
        <v>0.91830109999999998</v>
      </c>
      <c r="AB6434">
        <v>16</v>
      </c>
      <c r="AC6434">
        <v>-8.8055999999999894</v>
      </c>
      <c r="AD6434">
        <v>-1.1095897422399901</v>
      </c>
      <c r="AE6434">
        <v>-17.148899999999902</v>
      </c>
      <c r="AF6434">
        <v>7.5802343224895496</v>
      </c>
      <c r="AG6434">
        <v>-1.1095897422399901</v>
      </c>
      <c r="AH6434">
        <v>17.6554018466346</v>
      </c>
      <c r="AI6434">
        <v>93.305125150453804</v>
      </c>
      <c r="AJ6434">
        <v>66.764041474215503</v>
      </c>
      <c r="AK6434">
        <v>19.2458919290866</v>
      </c>
      <c r="AL6434">
        <v>88.064853302389807</v>
      </c>
      <c r="AM6434">
        <v>76.418207481558696</v>
      </c>
      <c r="AN6434">
        <v>0.999999986526803</v>
      </c>
    </row>
    <row r="6435" spans="1:40" x14ac:dyDescent="0.25">
      <c r="A6435" t="str">
        <f>"20190312150819477"</f>
        <v>20190312150819477</v>
      </c>
      <c r="B6435" t="str">
        <f>"1552374499466057"</f>
        <v>1552374499466057</v>
      </c>
      <c r="C6435" t="s">
        <v>40</v>
      </c>
      <c r="D6435">
        <v>3.8210510000000002</v>
      </c>
      <c r="E6435">
        <v>0.58016009999999996</v>
      </c>
      <c r="F6435" t="s">
        <v>77</v>
      </c>
      <c r="G6435">
        <v>-203.05959999999999</v>
      </c>
      <c r="H6435" s="1">
        <v>-9.5612810000000008E-6</v>
      </c>
      <c r="I6435">
        <v>144.32310000000001</v>
      </c>
      <c r="J6435">
        <v>-192.37139999999999</v>
      </c>
      <c r="K6435">
        <v>1.1095900000000001</v>
      </c>
      <c r="L6435">
        <v>162.6764</v>
      </c>
      <c r="M6435">
        <v>-6.9726650000000001E-2</v>
      </c>
      <c r="N6435">
        <v>0</v>
      </c>
      <c r="O6435">
        <v>-0.99751540000000005</v>
      </c>
      <c r="P6435">
        <v>-0.30287890000000001</v>
      </c>
      <c r="Q6435">
        <v>2.4838240000000001E-2</v>
      </c>
      <c r="R6435">
        <v>-0.95270529999999998</v>
      </c>
      <c r="S6435">
        <v>-1.543045</v>
      </c>
      <c r="T6435">
        <v>-0.160055</v>
      </c>
      <c r="U6435">
        <v>-2.6638639999999998</v>
      </c>
      <c r="V6435">
        <v>0.23576150000000001</v>
      </c>
      <c r="W6435">
        <v>3.4246730000000003E-2</v>
      </c>
      <c r="X6435">
        <v>0.9712073</v>
      </c>
      <c r="Y6435">
        <v>0.4389825</v>
      </c>
      <c r="Z6435">
        <v>5.2632760000000001E-2</v>
      </c>
      <c r="AA6435">
        <v>0.89695270000000005</v>
      </c>
      <c r="AB6435">
        <v>16</v>
      </c>
      <c r="AC6435">
        <v>-10.688199999999901</v>
      </c>
      <c r="AD6435">
        <v>-1.1095995612809999</v>
      </c>
      <c r="AE6435">
        <v>-18.353299999999901</v>
      </c>
      <c r="AF6435">
        <v>9.35686558101035</v>
      </c>
      <c r="AG6435">
        <v>-1.1095995612809999</v>
      </c>
      <c r="AH6435">
        <v>19.002050661450799</v>
      </c>
      <c r="AI6435">
        <v>92.998806781940502</v>
      </c>
      <c r="AJ6435">
        <v>63.783744201936301</v>
      </c>
      <c r="AK6435">
        <v>21.2099050923816</v>
      </c>
      <c r="AL6435">
        <v>88.037423094380003</v>
      </c>
      <c r="AM6435">
        <v>76.355326244420297</v>
      </c>
      <c r="AN6435">
        <v>0.99999997148561603</v>
      </c>
    </row>
    <row r="6436" spans="1:40" x14ac:dyDescent="0.25">
      <c r="A6436" t="str">
        <f>"20190312150819498"</f>
        <v>20190312150819498</v>
      </c>
      <c r="B6436" t="str">
        <f>"1552374499486551"</f>
        <v>1552374499486551</v>
      </c>
      <c r="C6436" t="s">
        <v>40</v>
      </c>
      <c r="D6436">
        <v>4.5168119999999998</v>
      </c>
      <c r="E6436">
        <v>0.57817289999999999</v>
      </c>
      <c r="F6436" t="s">
        <v>77</v>
      </c>
      <c r="G6436">
        <v>-203.1028</v>
      </c>
      <c r="H6436" s="1">
        <v>-9.4463589999999994E-6</v>
      </c>
      <c r="I6436">
        <v>143.94919999999999</v>
      </c>
      <c r="J6436">
        <v>-192.38380000000001</v>
      </c>
      <c r="K6436">
        <v>1.1095930000000001</v>
      </c>
      <c r="L6436">
        <v>162.5213</v>
      </c>
      <c r="M6436">
        <v>-7.1025740000000004E-2</v>
      </c>
      <c r="N6436">
        <v>0</v>
      </c>
      <c r="O6436">
        <v>-0.99742350000000002</v>
      </c>
      <c r="P6436">
        <v>-0.30537259999999899</v>
      </c>
      <c r="Q6436">
        <v>2.5544259999999999E-2</v>
      </c>
      <c r="R6436">
        <v>-0.95189060000000003</v>
      </c>
      <c r="S6436">
        <v>-1.528381</v>
      </c>
      <c r="T6436">
        <v>-0.15803149999999999</v>
      </c>
      <c r="U6436">
        <v>-2.66716</v>
      </c>
      <c r="V6436">
        <v>0.23704259999999999</v>
      </c>
      <c r="W6436">
        <v>3.4998250000000002E-2</v>
      </c>
      <c r="X6436">
        <v>0.97086859999999997</v>
      </c>
      <c r="Y6436">
        <v>0.43363570000000001</v>
      </c>
      <c r="Z6436">
        <v>5.204367E-2</v>
      </c>
      <c r="AA6436">
        <v>0.8995841</v>
      </c>
      <c r="AB6436">
        <v>16</v>
      </c>
      <c r="AC6436">
        <v>-10.7189999999999</v>
      </c>
      <c r="AD6436">
        <v>-1.109602446359</v>
      </c>
      <c r="AE6436">
        <v>-18.572099999999999</v>
      </c>
      <c r="AF6436">
        <v>9.3477324270776894</v>
      </c>
      <c r="AG6436">
        <v>-1.109602446359</v>
      </c>
      <c r="AH6436">
        <v>19.235050758149399</v>
      </c>
      <c r="AI6436">
        <v>92.970080661598004</v>
      </c>
      <c r="AJ6436">
        <v>64.081458301172106</v>
      </c>
      <c r="AK6436">
        <v>21.414912953028502</v>
      </c>
      <c r="AL6436">
        <v>87.9943383040643</v>
      </c>
      <c r="AM6436">
        <v>76.279371759082096</v>
      </c>
      <c r="AN6436">
        <v>0.99999995509188999</v>
      </c>
    </row>
    <row r="6437" spans="1:40" x14ac:dyDescent="0.25">
      <c r="A6437" t="str">
        <f>"20190312150819511"</f>
        <v>20190312150819511</v>
      </c>
      <c r="B6437" t="str">
        <f>"1552374499506641"</f>
        <v>1552374499506641</v>
      </c>
      <c r="C6437" t="s">
        <v>40</v>
      </c>
      <c r="D6437">
        <v>4.4838969999999998</v>
      </c>
      <c r="E6437">
        <v>0.59830150000000004</v>
      </c>
      <c r="F6437" t="s">
        <v>77</v>
      </c>
      <c r="G6437">
        <v>-202.90270000000001</v>
      </c>
      <c r="H6437" s="1">
        <v>-9.5516339999999998E-6</v>
      </c>
      <c r="I6437">
        <v>144.06280000000001</v>
      </c>
      <c r="J6437">
        <v>-192.39150000000001</v>
      </c>
      <c r="K6437">
        <v>1.109599</v>
      </c>
      <c r="L6437">
        <v>162.4255</v>
      </c>
      <c r="M6437">
        <v>-7.1828569999999994E-2</v>
      </c>
      <c r="N6437">
        <v>0</v>
      </c>
      <c r="O6437">
        <v>-0.99736550000000002</v>
      </c>
      <c r="P6437">
        <v>-0.30687170000000003</v>
      </c>
      <c r="Q6437">
        <v>2.5930439999999999E-2</v>
      </c>
      <c r="R6437">
        <v>-0.95139779999999996</v>
      </c>
      <c r="S6437">
        <v>-1.5204930000000001</v>
      </c>
      <c r="T6437">
        <v>-0.16039100000000001</v>
      </c>
      <c r="U6437">
        <v>-2.6681520000000001</v>
      </c>
      <c r="V6437">
        <v>0.23779220000000001</v>
      </c>
      <c r="W6437">
        <v>3.5413790000000001E-2</v>
      </c>
      <c r="X6437">
        <v>0.97067020000000004</v>
      </c>
      <c r="Y6437">
        <v>0.4307375</v>
      </c>
      <c r="Z6437">
        <v>5.2871250000000002E-2</v>
      </c>
      <c r="AA6437">
        <v>0.90092720000000004</v>
      </c>
      <c r="AB6437">
        <v>16</v>
      </c>
      <c r="AC6437">
        <v>-10.511200000000001</v>
      </c>
      <c r="AD6437">
        <v>-1.109608551634</v>
      </c>
      <c r="AE6437">
        <v>-18.362699999999901</v>
      </c>
      <c r="AF6437">
        <v>9.1398752113672295</v>
      </c>
      <c r="AG6437">
        <v>-1.109608551634</v>
      </c>
      <c r="AH6437">
        <v>19.0180024492158</v>
      </c>
      <c r="AI6437">
        <v>93.010262646506604</v>
      </c>
      <c r="AJ6437">
        <v>64.3314932628424</v>
      </c>
      <c r="AK6437">
        <v>21.1294336690693</v>
      </c>
      <c r="AL6437">
        <v>87.970514839662002</v>
      </c>
      <c r="AM6437">
        <v>76.234924325685398</v>
      </c>
      <c r="AN6437">
        <v>0.99999995203552094</v>
      </c>
    </row>
    <row r="6438" spans="1:40" x14ac:dyDescent="0.25">
      <c r="A6438" t="str">
        <f>"20190312150819526"</f>
        <v>20190312150819526</v>
      </c>
      <c r="B6438" t="str">
        <f>"1552374499516400"</f>
        <v>1552374499516400</v>
      </c>
      <c r="C6438" t="s">
        <v>40</v>
      </c>
      <c r="D6438">
        <v>4.5356690000000004</v>
      </c>
      <c r="E6438">
        <v>0.59763330000000003</v>
      </c>
      <c r="F6438" t="s">
        <v>77</v>
      </c>
      <c r="G6438">
        <v>-199.27199999999999</v>
      </c>
      <c r="H6438" s="1">
        <v>-1.2929969999999999E-5</v>
      </c>
      <c r="I6438">
        <v>151.72040000000001</v>
      </c>
      <c r="J6438">
        <v>-192.4006</v>
      </c>
      <c r="K6438">
        <v>1.109604</v>
      </c>
      <c r="L6438">
        <v>162.31389999999999</v>
      </c>
      <c r="M6438">
        <v>-7.276357E-2</v>
      </c>
      <c r="N6438">
        <v>0</v>
      </c>
      <c r="O6438">
        <v>-0.99729749999999995</v>
      </c>
      <c r="P6438">
        <v>-0.30834610000000001</v>
      </c>
      <c r="Q6438">
        <v>2.630424E-2</v>
      </c>
      <c r="R6438">
        <v>-0.95091079999999994</v>
      </c>
      <c r="S6438">
        <v>-1.6826019999999999</v>
      </c>
      <c r="T6438">
        <v>-0.2713544</v>
      </c>
      <c r="U6438">
        <v>-2.6179199999999998</v>
      </c>
      <c r="V6438">
        <v>0.2383884</v>
      </c>
      <c r="W6438">
        <v>3.582362E-2</v>
      </c>
      <c r="X6438">
        <v>0.97050899999999996</v>
      </c>
      <c r="Y6438">
        <v>0.47593239999999998</v>
      </c>
      <c r="Z6438">
        <v>8.8241199999999895E-2</v>
      </c>
      <c r="AA6438">
        <v>0.87504389999999999</v>
      </c>
      <c r="AB6438">
        <v>16</v>
      </c>
      <c r="AC6438">
        <v>-6.8714000000000199</v>
      </c>
      <c r="AD6438">
        <v>-1.1096169299700001</v>
      </c>
      <c r="AE6438">
        <v>-10.593499999999899</v>
      </c>
      <c r="AF6438">
        <v>6.0357126027169699</v>
      </c>
      <c r="AG6438">
        <v>-1.1096169299700001</v>
      </c>
      <c r="AH6438">
        <v>10.980632399881101</v>
      </c>
      <c r="AI6438">
        <v>95.0606786635405</v>
      </c>
      <c r="AJ6438">
        <v>61.203771194375101</v>
      </c>
      <c r="AK6438">
        <v>12.579163893327401</v>
      </c>
      <c r="AL6438">
        <v>87.947018580200805</v>
      </c>
      <c r="AM6438">
        <v>76.199525298202801</v>
      </c>
      <c r="AN6438">
        <v>1.00000004004273</v>
      </c>
    </row>
    <row r="6439" spans="1:40" x14ac:dyDescent="0.25">
      <c r="A6439" t="str">
        <f>"20190312150819539"</f>
        <v>20190312150819539</v>
      </c>
      <c r="B6439" t="str">
        <f>"1552374499535920"</f>
        <v>1552374499535920</v>
      </c>
      <c r="C6439" t="s">
        <v>40</v>
      </c>
      <c r="D6439">
        <v>4.4776959999999999</v>
      </c>
      <c r="E6439">
        <v>0.59592429999999996</v>
      </c>
      <c r="F6439" t="s">
        <v>77</v>
      </c>
      <c r="G6439">
        <v>-199.44229999999999</v>
      </c>
      <c r="H6439" s="1">
        <v>-1.285306E-5</v>
      </c>
      <c r="I6439">
        <v>151.35470000000001</v>
      </c>
      <c r="J6439">
        <v>-192.40860000000001</v>
      </c>
      <c r="K6439">
        <v>1.1096140000000001</v>
      </c>
      <c r="L6439">
        <v>162.2174</v>
      </c>
      <c r="M6439">
        <v>-7.3572200000000004E-2</v>
      </c>
      <c r="N6439">
        <v>0</v>
      </c>
      <c r="O6439">
        <v>-0.99723790000000001</v>
      </c>
      <c r="P6439">
        <v>-0.30983110000000003</v>
      </c>
      <c r="Q6439">
        <v>2.6373730000000001E-2</v>
      </c>
      <c r="R6439">
        <v>-0.9504262</v>
      </c>
      <c r="S6439">
        <v>-1.6814880000000001</v>
      </c>
      <c r="T6439">
        <v>-0.26496609999999998</v>
      </c>
      <c r="U6439">
        <v>-2.616959</v>
      </c>
      <c r="V6439">
        <v>0.23911789999999999</v>
      </c>
      <c r="W6439">
        <v>3.5924640000000001E-2</v>
      </c>
      <c r="X6439">
        <v>0.97032580000000002</v>
      </c>
      <c r="Y6439">
        <v>0.47519749999999999</v>
      </c>
      <c r="Z6439">
        <v>8.6227159999999997E-2</v>
      </c>
      <c r="AA6439">
        <v>0.87564390000000003</v>
      </c>
      <c r="AB6439">
        <v>16</v>
      </c>
      <c r="AC6439">
        <v>-7.0336999999999801</v>
      </c>
      <c r="AD6439">
        <v>-1.10962685306</v>
      </c>
      <c r="AE6439">
        <v>-10.862699999999901</v>
      </c>
      <c r="AF6439">
        <v>6.1700387700203603</v>
      </c>
      <c r="AG6439">
        <v>-1.10962685306</v>
      </c>
      <c r="AH6439">
        <v>11.2679261048818</v>
      </c>
      <c r="AI6439">
        <v>94.9366722130884</v>
      </c>
      <c r="AJ6439">
        <v>61.2959728339846</v>
      </c>
      <c r="AK6439">
        <v>12.8944487622257</v>
      </c>
      <c r="AL6439">
        <v>87.941226861482804</v>
      </c>
      <c r="AM6439">
        <v>76.156402909219906</v>
      </c>
      <c r="AN6439">
        <v>1.00000005400258</v>
      </c>
    </row>
    <row r="6440" spans="1:40" x14ac:dyDescent="0.25">
      <c r="A6440" t="str">
        <f>"20190312150819555"</f>
        <v>20190312150819555</v>
      </c>
      <c r="B6440" t="str">
        <f>"1552374499546656"</f>
        <v>1552374499546656</v>
      </c>
      <c r="C6440" t="s">
        <v>40</v>
      </c>
      <c r="D6440">
        <v>4.5322930000000001</v>
      </c>
      <c r="E6440">
        <v>0.59632019999999997</v>
      </c>
      <c r="F6440" t="s">
        <v>77</v>
      </c>
      <c r="G6440">
        <v>-199.48759999999999</v>
      </c>
      <c r="H6440" s="1">
        <v>-1.280207E-5</v>
      </c>
      <c r="I6440">
        <v>151.1361</v>
      </c>
      <c r="J6440">
        <v>-192.41829999999999</v>
      </c>
      <c r="K6440">
        <v>1.1096239999999999</v>
      </c>
      <c r="L6440">
        <v>162.10159999999999</v>
      </c>
      <c r="M6440">
        <v>-7.4542460000000005E-2</v>
      </c>
      <c r="N6440">
        <v>0</v>
      </c>
      <c r="O6440">
        <v>-0.99716510000000003</v>
      </c>
      <c r="P6440">
        <v>-0.31216850000000002</v>
      </c>
      <c r="Q6440">
        <v>2.6971660000000001E-2</v>
      </c>
      <c r="R6440">
        <v>-0.94964400000000004</v>
      </c>
      <c r="S6440">
        <v>-1.6727289999999999</v>
      </c>
      <c r="T6440">
        <v>-0.26219890000000001</v>
      </c>
      <c r="U6440">
        <v>-2.6184539999999998</v>
      </c>
      <c r="V6440">
        <v>0.24056369999999999</v>
      </c>
      <c r="W6440">
        <v>3.6559849999999998E-2</v>
      </c>
      <c r="X6440">
        <v>0.96994460000000005</v>
      </c>
      <c r="Y6440">
        <v>0.47207149999999998</v>
      </c>
      <c r="Z6440">
        <v>8.5430190000000003E-2</v>
      </c>
      <c r="AA6440">
        <v>0.877411099999999</v>
      </c>
      <c r="AB6440">
        <v>16</v>
      </c>
      <c r="AC6440">
        <v>-7.0692999999999904</v>
      </c>
      <c r="AD6440">
        <v>-1.10963680207</v>
      </c>
      <c r="AE6440">
        <v>-10.965499999999899</v>
      </c>
      <c r="AF6440">
        <v>6.1874338592334297</v>
      </c>
      <c r="AG6440">
        <v>-1.10963680207</v>
      </c>
      <c r="AH6440">
        <v>11.379663097081799</v>
      </c>
      <c r="AI6440">
        <v>94.896355963331203</v>
      </c>
      <c r="AJ6440">
        <v>61.465865799211301</v>
      </c>
      <c r="AK6440">
        <v>13.0004755219946</v>
      </c>
      <c r="AL6440">
        <v>87.9048080171859</v>
      </c>
      <c r="AM6440">
        <v>76.070687598248895</v>
      </c>
      <c r="AN6440">
        <v>1.00000002172943</v>
      </c>
    </row>
    <row r="6441" spans="1:40" x14ac:dyDescent="0.25">
      <c r="A6441" t="str">
        <f>"20190312150819568"</f>
        <v>20190312150819568</v>
      </c>
      <c r="B6441" t="str">
        <f>"1552374499556418"</f>
        <v>1552374499556418</v>
      </c>
      <c r="C6441" t="s">
        <v>40</v>
      </c>
      <c r="D6441">
        <v>4.6650359999999997</v>
      </c>
      <c r="E6441">
        <v>0.59743290000000004</v>
      </c>
      <c r="F6441" t="s">
        <v>77</v>
      </c>
      <c r="G6441">
        <v>-199.22409999999999</v>
      </c>
      <c r="H6441" s="1">
        <v>-1.2879089999999999E-5</v>
      </c>
      <c r="I6441">
        <v>151.5351</v>
      </c>
      <c r="J6441">
        <v>-192.42580000000001</v>
      </c>
      <c r="K6441">
        <v>1.1096349999999999</v>
      </c>
      <c r="L6441">
        <v>162.01259999999999</v>
      </c>
      <c r="M6441">
        <v>-7.5288800000000003E-2</v>
      </c>
      <c r="N6441">
        <v>0</v>
      </c>
      <c r="O6441">
        <v>-0.99710849999999995</v>
      </c>
      <c r="P6441">
        <v>-0.31346489999999999</v>
      </c>
      <c r="Q6441">
        <v>2.7385909999999999E-2</v>
      </c>
      <c r="R6441">
        <v>-0.94920470000000001</v>
      </c>
      <c r="S6441">
        <v>-1.6833340000000001</v>
      </c>
      <c r="T6441">
        <v>-0.27445629999999999</v>
      </c>
      <c r="U6441">
        <v>-2.6135100000000002</v>
      </c>
      <c r="V6441">
        <v>0.24116389999999999</v>
      </c>
      <c r="W6441">
        <v>3.7004429999999998E-2</v>
      </c>
      <c r="X6441">
        <v>0.96977869999999999</v>
      </c>
      <c r="Y6441">
        <v>0.47449789999999997</v>
      </c>
      <c r="Z6441">
        <v>8.9370850000000002E-2</v>
      </c>
      <c r="AA6441">
        <v>0.87570800000000004</v>
      </c>
      <c r="AB6441">
        <v>16</v>
      </c>
      <c r="AC6441">
        <v>-6.7982999999999798</v>
      </c>
      <c r="AD6441">
        <v>-1.10964787909</v>
      </c>
      <c r="AE6441">
        <v>-10.4774999999999</v>
      </c>
      <c r="AF6441">
        <v>5.9432108081626298</v>
      </c>
      <c r="AG6441">
        <v>-1.10964787909</v>
      </c>
      <c r="AH6441">
        <v>10.8737919476811</v>
      </c>
      <c r="AI6441">
        <v>95.116941260917699</v>
      </c>
      <c r="AJ6441">
        <v>61.340622373893702</v>
      </c>
      <c r="AK6441">
        <v>12.4415603702785</v>
      </c>
      <c r="AL6441">
        <v>87.879318251458898</v>
      </c>
      <c r="AM6441">
        <v>76.034997309246094</v>
      </c>
      <c r="AN6441">
        <v>1.0000000407382601</v>
      </c>
    </row>
    <row r="6442" spans="1:40" x14ac:dyDescent="0.25">
      <c r="A6442" t="str">
        <f>"20190312150819579"</f>
        <v>20190312150819579</v>
      </c>
      <c r="B6442" t="str">
        <f>"1552374499575936"</f>
        <v>1552374499575936</v>
      </c>
      <c r="C6442" t="s">
        <v>40</v>
      </c>
      <c r="D6442">
        <v>4.6613860000000003</v>
      </c>
      <c r="E6442">
        <v>0.59875970000000001</v>
      </c>
      <c r="F6442" t="s">
        <v>77</v>
      </c>
      <c r="G6442">
        <v>-199.16059999999999</v>
      </c>
      <c r="H6442" s="1">
        <v>-1.290234E-5</v>
      </c>
      <c r="I6442">
        <v>151.6499</v>
      </c>
      <c r="J6442">
        <v>-192.43350000000001</v>
      </c>
      <c r="K6442">
        <v>1.1096410000000001</v>
      </c>
      <c r="L6442">
        <v>161.92240000000001</v>
      </c>
      <c r="M6442">
        <v>-7.604524E-2</v>
      </c>
      <c r="N6442">
        <v>0</v>
      </c>
      <c r="O6442">
        <v>-0.99705080000000001</v>
      </c>
      <c r="P6442">
        <v>-0.31494229999999901</v>
      </c>
      <c r="Q6442">
        <v>2.736939E-2</v>
      </c>
      <c r="R6442">
        <v>-0.94871620000000001</v>
      </c>
      <c r="S6442">
        <v>-1.69541899999999</v>
      </c>
      <c r="T6442">
        <v>-0.27934429999999999</v>
      </c>
      <c r="U6442">
        <v>-2.6087189999999998</v>
      </c>
      <c r="V6442">
        <v>0.24193819999999999</v>
      </c>
      <c r="W6442">
        <v>3.7016819999999999E-2</v>
      </c>
      <c r="X6442">
        <v>0.96958529999999998</v>
      </c>
      <c r="Y6442">
        <v>0.47734339999999997</v>
      </c>
      <c r="Z6442">
        <v>9.0900099999999998E-2</v>
      </c>
      <c r="AA6442">
        <v>0.87400259999999996</v>
      </c>
      <c r="AB6442">
        <v>16</v>
      </c>
      <c r="AC6442">
        <v>-6.7270999999999699</v>
      </c>
      <c r="AD6442">
        <v>-1.1096539023399901</v>
      </c>
      <c r="AE6442">
        <v>-10.272500000000001</v>
      </c>
      <c r="AF6442">
        <v>5.8783962493993798</v>
      </c>
      <c r="AG6442">
        <v>-1.1096539023399901</v>
      </c>
      <c r="AH6442">
        <v>10.667228624923901</v>
      </c>
      <c r="AI6442">
        <v>95.205661881836093</v>
      </c>
      <c r="AJ6442">
        <v>61.1421321336692</v>
      </c>
      <c r="AK6442">
        <v>12.230152933807799</v>
      </c>
      <c r="AL6442">
        <v>87.878607774657993</v>
      </c>
      <c r="AM6442">
        <v>75.989238908107197</v>
      </c>
      <c r="AN6442">
        <v>0.99999999577912102</v>
      </c>
    </row>
    <row r="6443" spans="1:40" x14ac:dyDescent="0.25">
      <c r="A6443" t="str">
        <f>"20190312150819591"</f>
        <v>20190312150819591</v>
      </c>
      <c r="B6443" t="str">
        <f>"1552374499586672"</f>
        <v>1552374499586672</v>
      </c>
      <c r="C6443" t="s">
        <v>40</v>
      </c>
      <c r="D6443">
        <v>3.7040359999999999</v>
      </c>
      <c r="E6443">
        <v>0.59848859999999904</v>
      </c>
      <c r="F6443" t="s">
        <v>77</v>
      </c>
      <c r="G6443">
        <v>-198.96639999999999</v>
      </c>
      <c r="H6443" s="1">
        <v>-1.296853E-5</v>
      </c>
      <c r="I6443">
        <v>151.98140000000001</v>
      </c>
      <c r="J6443">
        <v>-192.4408</v>
      </c>
      <c r="K6443">
        <v>1.1096440000000001</v>
      </c>
      <c r="L6443">
        <v>161.83789999999999</v>
      </c>
      <c r="M6443">
        <v>-7.675448E-2</v>
      </c>
      <c r="N6443">
        <v>0</v>
      </c>
      <c r="O6443">
        <v>-0.99699649999999995</v>
      </c>
      <c r="P6443">
        <v>-0.31613400000000003</v>
      </c>
      <c r="Q6443">
        <v>2.7605480000000002E-2</v>
      </c>
      <c r="R6443">
        <v>-0.94831330000000003</v>
      </c>
      <c r="S6443">
        <v>-1.7104490000000001</v>
      </c>
      <c r="T6443">
        <v>-0.29053000000000001</v>
      </c>
      <c r="U6443">
        <v>-2.6027529999999999</v>
      </c>
      <c r="V6443">
        <v>0.24246770000000001</v>
      </c>
      <c r="W6443">
        <v>3.7279859999999998E-2</v>
      </c>
      <c r="X6443">
        <v>0.96944300000000005</v>
      </c>
      <c r="Y6443">
        <v>0.48098390000000002</v>
      </c>
      <c r="Z6443">
        <v>9.444002E-2</v>
      </c>
      <c r="AA6443">
        <v>0.87162819999999996</v>
      </c>
      <c r="AB6443">
        <v>16</v>
      </c>
      <c r="AC6443">
        <v>-6.5255999999999901</v>
      </c>
      <c r="AD6443">
        <v>-1.10965696853</v>
      </c>
      <c r="AE6443">
        <v>-9.8564999999999792</v>
      </c>
      <c r="AF6443">
        <v>5.6995521283448998</v>
      </c>
      <c r="AG6443">
        <v>-1.10965696853</v>
      </c>
      <c r="AH6443">
        <v>10.2380979386642</v>
      </c>
      <c r="AI6443">
        <v>95.409750928197596</v>
      </c>
      <c r="AJ6443">
        <v>60.895300623404502</v>
      </c>
      <c r="AK6443">
        <v>11.770084216062701</v>
      </c>
      <c r="AL6443">
        <v>87.863526402798996</v>
      </c>
      <c r="AM6443">
        <v>75.957807573718597</v>
      </c>
      <c r="AN6443">
        <v>1.0000000518769501</v>
      </c>
    </row>
    <row r="6444" spans="1:40" x14ac:dyDescent="0.25">
      <c r="A6444" t="str">
        <f>"20190312150819603"</f>
        <v>20190312150819603</v>
      </c>
      <c r="B6444" t="str">
        <f>"1552374499596432"</f>
        <v>1552374499596432</v>
      </c>
      <c r="C6444" t="s">
        <v>40</v>
      </c>
      <c r="D6444">
        <v>4.5352309999999996</v>
      </c>
      <c r="E6444">
        <v>0.59820980000000001</v>
      </c>
      <c r="F6444" t="s">
        <v>77</v>
      </c>
      <c r="G6444">
        <v>-199.0378</v>
      </c>
      <c r="H6444" s="1">
        <v>-1.2932070000000001E-5</v>
      </c>
      <c r="I6444">
        <v>151.81139999999999</v>
      </c>
      <c r="J6444">
        <v>-192.44880000000001</v>
      </c>
      <c r="K6444">
        <v>1.1096410000000001</v>
      </c>
      <c r="L6444">
        <v>161.745</v>
      </c>
      <c r="M6444">
        <v>-7.7534049999999993E-2</v>
      </c>
      <c r="N6444">
        <v>0</v>
      </c>
      <c r="O6444">
        <v>-0.99693549999999997</v>
      </c>
      <c r="P6444">
        <v>-0.31773499999999999</v>
      </c>
      <c r="Q6444">
        <v>2.754941E-2</v>
      </c>
      <c r="R6444">
        <v>-0.94777940000000005</v>
      </c>
      <c r="S6444">
        <v>-1.7115629999999999</v>
      </c>
      <c r="T6444">
        <v>-0.28789550000000003</v>
      </c>
      <c r="U6444">
        <v>-2.601334</v>
      </c>
      <c r="V6444">
        <v>0.24334700000000001</v>
      </c>
      <c r="W6444">
        <v>3.7250789999999999E-2</v>
      </c>
      <c r="X6444">
        <v>0.96922370000000002</v>
      </c>
      <c r="Y6444">
        <v>0.48082039999999998</v>
      </c>
      <c r="Z6444">
        <v>9.3620129999999996E-2</v>
      </c>
      <c r="AA6444">
        <v>0.87180679999999999</v>
      </c>
      <c r="AB6444">
        <v>16</v>
      </c>
      <c r="AC6444">
        <v>-6.5889999999999898</v>
      </c>
      <c r="AD6444">
        <v>-1.1096539320699901</v>
      </c>
      <c r="AE6444">
        <v>-9.9336000000000109</v>
      </c>
      <c r="AF6444">
        <v>5.7491086564240703</v>
      </c>
      <c r="AG6444">
        <v>-1.1096539320699901</v>
      </c>
      <c r="AH6444">
        <v>10.3251179826939</v>
      </c>
      <c r="AI6444">
        <v>95.364165875370006</v>
      </c>
      <c r="AJ6444">
        <v>60.8905882173949</v>
      </c>
      <c r="AK6444">
        <v>11.8697785804486</v>
      </c>
      <c r="AL6444">
        <v>87.865192999924801</v>
      </c>
      <c r="AM6444">
        <v>75.9058481021886</v>
      </c>
      <c r="AN6444">
        <v>0.999999982203156</v>
      </c>
    </row>
    <row r="6445" spans="1:40" x14ac:dyDescent="0.25">
      <c r="A6445" t="str">
        <f>"20190312150819614"</f>
        <v>20190312150819614</v>
      </c>
      <c r="B6445" t="str">
        <f>"1552374499606192"</f>
        <v>1552374499606192</v>
      </c>
      <c r="C6445" t="s">
        <v>40</v>
      </c>
      <c r="D6445">
        <v>4.5500309999999997</v>
      </c>
      <c r="E6445">
        <v>0.5984313</v>
      </c>
      <c r="F6445" t="s">
        <v>77</v>
      </c>
      <c r="G6445">
        <v>-199.04990000000001</v>
      </c>
      <c r="H6445" s="1">
        <v>-1.291405E-5</v>
      </c>
      <c r="I6445">
        <v>151.7354</v>
      </c>
      <c r="J6445">
        <v>-192.4563</v>
      </c>
      <c r="K6445">
        <v>1.109645</v>
      </c>
      <c r="L6445">
        <v>161.65969999999999</v>
      </c>
      <c r="M6445">
        <v>-7.8252630000000004E-2</v>
      </c>
      <c r="N6445">
        <v>0</v>
      </c>
      <c r="O6445">
        <v>-0.99687899999999996</v>
      </c>
      <c r="P6445">
        <v>-0.31887529999999997</v>
      </c>
      <c r="Q6445">
        <v>2.7657589999999999E-2</v>
      </c>
      <c r="R6445">
        <v>-0.94739309999999999</v>
      </c>
      <c r="S6445">
        <v>-1.7140200000000001</v>
      </c>
      <c r="T6445">
        <v>-0.28812870000000002</v>
      </c>
      <c r="U6445">
        <v>-2.5990449999999998</v>
      </c>
      <c r="V6445">
        <v>0.24381549999999999</v>
      </c>
      <c r="W6445">
        <v>3.7384210000000001E-2</v>
      </c>
      <c r="X6445">
        <v>0.96910079999999998</v>
      </c>
      <c r="Y6445">
        <v>0.48111080000000001</v>
      </c>
      <c r="Z6445">
        <v>9.3725199999999995E-2</v>
      </c>
      <c r="AA6445">
        <v>0.87163519999999906</v>
      </c>
      <c r="AB6445">
        <v>16</v>
      </c>
      <c r="AC6445">
        <v>-6.5936000000000003</v>
      </c>
      <c r="AD6445">
        <v>-1.10965791405</v>
      </c>
      <c r="AE6445">
        <v>-9.9242999999999792</v>
      </c>
      <c r="AF6445">
        <v>5.7468889758470496</v>
      </c>
      <c r="AG6445">
        <v>-1.10965791405</v>
      </c>
      <c r="AH6445">
        <v>10.320346428254201</v>
      </c>
      <c r="AI6445">
        <v>95.366554578394798</v>
      </c>
      <c r="AJ6445">
        <v>60.888735636104997</v>
      </c>
      <c r="AK6445">
        <v>11.864553256912201</v>
      </c>
      <c r="AL6445">
        <v>87.857543239973097</v>
      </c>
      <c r="AM6445">
        <v>75.878078921413007</v>
      </c>
      <c r="AN6445">
        <v>0.99999996887910603</v>
      </c>
    </row>
    <row r="6446" spans="1:40" x14ac:dyDescent="0.25">
      <c r="A6446" t="str">
        <f>"20190312150819629"</f>
        <v>20190312150819629</v>
      </c>
      <c r="B6446" t="str">
        <f>"1552374499615951"</f>
        <v>1552374499615951</v>
      </c>
      <c r="C6446" t="s">
        <v>40</v>
      </c>
      <c r="D6446">
        <v>4.5012019999999904</v>
      </c>
      <c r="E6446">
        <v>0.5981976</v>
      </c>
      <c r="F6446" t="s">
        <v>77</v>
      </c>
      <c r="G6446">
        <v>-198.84710000000001</v>
      </c>
      <c r="H6446" s="1">
        <v>-1.2965E-5</v>
      </c>
      <c r="I6446">
        <v>152.0094</v>
      </c>
      <c r="J6446">
        <v>-192.46459999999999</v>
      </c>
      <c r="K6446">
        <v>1.109648</v>
      </c>
      <c r="L6446">
        <v>161.56489999999999</v>
      </c>
      <c r="M6446">
        <v>-7.9052570000000003E-2</v>
      </c>
      <c r="N6446">
        <v>0</v>
      </c>
      <c r="O6446">
        <v>-0.99681600000000004</v>
      </c>
      <c r="P6446">
        <v>-0.32002760000000002</v>
      </c>
      <c r="Q6446">
        <v>2.7925559999999999E-2</v>
      </c>
      <c r="R6446">
        <v>-0.94699699999999998</v>
      </c>
      <c r="S6446">
        <v>-1.719543</v>
      </c>
      <c r="T6446">
        <v>-0.29857040000000001</v>
      </c>
      <c r="U6446">
        <v>-2.5965419999999999</v>
      </c>
      <c r="V6446">
        <v>0.24421799999999999</v>
      </c>
      <c r="W6446">
        <v>3.768059E-2</v>
      </c>
      <c r="X6446">
        <v>0.96898799999999996</v>
      </c>
      <c r="Y6446">
        <v>0.4819078</v>
      </c>
      <c r="Z6446">
        <v>9.7079550000000001E-2</v>
      </c>
      <c r="AA6446">
        <v>0.87082739999999903</v>
      </c>
      <c r="AB6446">
        <v>16</v>
      </c>
      <c r="AC6446">
        <v>-6.3825000000000198</v>
      </c>
      <c r="AD6446">
        <v>-1.109660965</v>
      </c>
      <c r="AE6446">
        <v>-9.5554999999999897</v>
      </c>
      <c r="AF6446">
        <v>5.5552909342956296</v>
      </c>
      <c r="AG6446">
        <v>-1.109660965</v>
      </c>
      <c r="AH6446">
        <v>9.93750264682199</v>
      </c>
      <c r="AI6446">
        <v>95.566924184332706</v>
      </c>
      <c r="AJ6446">
        <v>60.793812647105703</v>
      </c>
      <c r="AK6446">
        <v>11.438818281514299</v>
      </c>
      <c r="AL6446">
        <v>87.840550012933093</v>
      </c>
      <c r="AM6446">
        <v>75.854120431050205</v>
      </c>
      <c r="AN6446">
        <v>1.00000000126537</v>
      </c>
    </row>
    <row r="6447" spans="1:40" x14ac:dyDescent="0.25">
      <c r="A6447" t="str">
        <f>"20190312150819643"</f>
        <v>20190312150819643</v>
      </c>
      <c r="B6447" t="str">
        <f>"1552374499636125"</f>
        <v>1552374499636125</v>
      </c>
      <c r="C6447" t="s">
        <v>40</v>
      </c>
      <c r="D6447">
        <v>4.6299530000000004</v>
      </c>
      <c r="E6447">
        <v>0.59827019999999997</v>
      </c>
      <c r="F6447" t="s">
        <v>77</v>
      </c>
      <c r="G6447">
        <v>-198.6807</v>
      </c>
      <c r="H6447" s="1">
        <v>-1.2996560000000001E-5</v>
      </c>
      <c r="I6447">
        <v>152.1935</v>
      </c>
      <c r="J6447">
        <v>-192.47489999999999</v>
      </c>
      <c r="K6447">
        <v>1.1096490000000001</v>
      </c>
      <c r="L6447">
        <v>161.44880000000001</v>
      </c>
      <c r="M6447">
        <v>-8.0035300000000004E-2</v>
      </c>
      <c r="N6447">
        <v>0</v>
      </c>
      <c r="O6447">
        <v>-0.99673710000000004</v>
      </c>
      <c r="P6447">
        <v>-0.32199029999999901</v>
      </c>
      <c r="Q6447">
        <v>2.8870549999999998E-2</v>
      </c>
      <c r="R6447">
        <v>-0.94630300000000001</v>
      </c>
      <c r="S6447">
        <v>-1.721436</v>
      </c>
      <c r="T6447">
        <v>-0.30730150000000001</v>
      </c>
      <c r="U6447">
        <v>-2.5952299999999999</v>
      </c>
      <c r="V6447">
        <v>0.24527599999999999</v>
      </c>
      <c r="W6447">
        <v>3.865739E-2</v>
      </c>
      <c r="X6447">
        <v>0.96868220000000005</v>
      </c>
      <c r="Y6447">
        <v>0.48153499999999999</v>
      </c>
      <c r="Z6447">
        <v>9.9908849999999993E-2</v>
      </c>
      <c r="AA6447">
        <v>0.87071369999999904</v>
      </c>
      <c r="AB6447">
        <v>16</v>
      </c>
      <c r="AC6447">
        <v>-6.2058000000000098</v>
      </c>
      <c r="AD6447">
        <v>-1.1096619965600001</v>
      </c>
      <c r="AE6447">
        <v>-9.2553000000000001</v>
      </c>
      <c r="AF6447">
        <v>5.3916327072684096</v>
      </c>
      <c r="AG6447">
        <v>-1.1096619965600001</v>
      </c>
      <c r="AH6447">
        <v>9.6268521544032009</v>
      </c>
      <c r="AI6447">
        <v>95.742860054868203</v>
      </c>
      <c r="AJ6447">
        <v>60.748475637712097</v>
      </c>
      <c r="AK6447">
        <v>11.0895146602289</v>
      </c>
      <c r="AL6447">
        <v>87.784542583235805</v>
      </c>
      <c r="AM6447">
        <v>75.791010481530705</v>
      </c>
      <c r="AN6447">
        <v>0.99999995728722502</v>
      </c>
    </row>
    <row r="6448" spans="1:40" x14ac:dyDescent="0.25">
      <c r="A6448" t="str">
        <f>"20190312150819657"</f>
        <v>20190312150819657</v>
      </c>
      <c r="B6448" t="str">
        <f>"1552374499646862"</f>
        <v>1552374499646862</v>
      </c>
      <c r="C6448" t="s">
        <v>40</v>
      </c>
      <c r="D6448">
        <v>4.5444430000000002</v>
      </c>
      <c r="E6448">
        <v>0.59809279999999998</v>
      </c>
      <c r="F6448" t="s">
        <v>77</v>
      </c>
      <c r="G6448">
        <v>-198.90430000000001</v>
      </c>
      <c r="H6448" s="1">
        <v>-1.291801E-5</v>
      </c>
      <c r="I6448">
        <v>151.80250000000001</v>
      </c>
      <c r="J6448">
        <v>-192.4836</v>
      </c>
      <c r="K6448">
        <v>1.1096490000000001</v>
      </c>
      <c r="L6448">
        <v>161.35310000000001</v>
      </c>
      <c r="M6448">
        <v>-8.0850439999999996E-2</v>
      </c>
      <c r="N6448">
        <v>0</v>
      </c>
      <c r="O6448">
        <v>-0.99667070000000002</v>
      </c>
      <c r="P6448">
        <v>-0.32329770000000002</v>
      </c>
      <c r="Q6448">
        <v>2.8925050000000001E-2</v>
      </c>
      <c r="R6448">
        <v>-0.94585540000000001</v>
      </c>
      <c r="S6448">
        <v>-1.727325</v>
      </c>
      <c r="T6448">
        <v>-0.29812559999999999</v>
      </c>
      <c r="U6448">
        <v>-2.591599</v>
      </c>
      <c r="V6448">
        <v>0.24582329999999999</v>
      </c>
      <c r="W6448">
        <v>3.8738399999999999E-2</v>
      </c>
      <c r="X6448">
        <v>0.96854030000000002</v>
      </c>
      <c r="Y6448">
        <v>0.48291329999999999</v>
      </c>
      <c r="Z6448">
        <v>9.6965629999999997E-2</v>
      </c>
      <c r="AA6448">
        <v>0.87028289999999997</v>
      </c>
      <c r="AB6448">
        <v>16</v>
      </c>
      <c r="AC6448">
        <v>-6.4207000000000098</v>
      </c>
      <c r="AD6448">
        <v>-1.10966191800999</v>
      </c>
      <c r="AE6448">
        <v>-9.5505999999999993</v>
      </c>
      <c r="AF6448">
        <v>5.5756257439172598</v>
      </c>
      <c r="AG6448">
        <v>-1.10966191800999</v>
      </c>
      <c r="AH6448">
        <v>9.9460027985395403</v>
      </c>
      <c r="AI6448">
        <v>95.558511157216998</v>
      </c>
      <c r="AJ6448">
        <v>60.7254632660404</v>
      </c>
      <c r="AK6448">
        <v>11.456086752336899</v>
      </c>
      <c r="AL6448">
        <v>87.779897746548897</v>
      </c>
      <c r="AM6448">
        <v>75.758591854192105</v>
      </c>
      <c r="AN6448">
        <v>1.0000000355907599</v>
      </c>
    </row>
    <row r="6449" spans="1:40" x14ac:dyDescent="0.25">
      <c r="A6449" t="str">
        <f>"20190312150819671"</f>
        <v>20190312150819671</v>
      </c>
      <c r="B6449" t="str">
        <f>"1552374499666381"</f>
        <v>1552374499666381</v>
      </c>
      <c r="C6449" t="s">
        <v>40</v>
      </c>
      <c r="D6449">
        <v>4.5782049999999996</v>
      </c>
      <c r="E6449">
        <v>0.59796879999999997</v>
      </c>
      <c r="F6449" t="s">
        <v>77</v>
      </c>
      <c r="G6449">
        <v>-198.94810000000001</v>
      </c>
      <c r="H6449" s="1">
        <v>-1.288978E-5</v>
      </c>
      <c r="I6449">
        <v>151.67490000000001</v>
      </c>
      <c r="J6449">
        <v>-192.49270000000001</v>
      </c>
      <c r="K6449">
        <v>1.109656</v>
      </c>
      <c r="L6449">
        <v>161.25319999999999</v>
      </c>
      <c r="M6449">
        <v>-8.1706959999999995E-2</v>
      </c>
      <c r="N6449">
        <v>0</v>
      </c>
      <c r="O6449">
        <v>-0.99660059999999995</v>
      </c>
      <c r="P6449">
        <v>-0.32433099999999998</v>
      </c>
      <c r="Q6449">
        <v>2.9021350000000001E-2</v>
      </c>
      <c r="R6449">
        <v>-0.94549850000000002</v>
      </c>
      <c r="S6449">
        <v>-1.729706</v>
      </c>
      <c r="T6449">
        <v>-0.29691099999999998</v>
      </c>
      <c r="U6449">
        <v>-2.5895999999999999</v>
      </c>
      <c r="V6449">
        <v>0.2460503</v>
      </c>
      <c r="W6449">
        <v>3.8861809999999997E-2</v>
      </c>
      <c r="X6449">
        <v>0.9684777</v>
      </c>
      <c r="Y6449">
        <v>0.48304510000000001</v>
      </c>
      <c r="Z6449">
        <v>9.6599589999999999E-2</v>
      </c>
      <c r="AA6449">
        <v>0.87025049999999904</v>
      </c>
      <c r="AB6449">
        <v>16</v>
      </c>
      <c r="AC6449">
        <v>-6.4553999999999903</v>
      </c>
      <c r="AD6449">
        <v>-1.10966888977999</v>
      </c>
      <c r="AE6449">
        <v>-9.5782999999999792</v>
      </c>
      <c r="AF6449">
        <v>5.5994755597468702</v>
      </c>
      <c r="AG6449">
        <v>-1.10966888977999</v>
      </c>
      <c r="AH6449">
        <v>9.9816252853259595</v>
      </c>
      <c r="AI6449">
        <v>95.537919276258904</v>
      </c>
      <c r="AJ6449">
        <v>60.708518943959703</v>
      </c>
      <c r="AK6449">
        <v>11.498623175224299</v>
      </c>
      <c r="AL6449">
        <v>87.772821517939704</v>
      </c>
      <c r="AM6449">
        <v>75.745092861833299</v>
      </c>
      <c r="AN6449">
        <v>1.0000000229019199</v>
      </c>
    </row>
    <row r="6450" spans="1:40" x14ac:dyDescent="0.25">
      <c r="A6450" t="str">
        <f>"20190312150819683"</f>
        <v>20190312150819683</v>
      </c>
      <c r="B6450" t="str">
        <f>"1552374499676144"</f>
        <v>1552374499676144</v>
      </c>
      <c r="C6450" t="s">
        <v>40</v>
      </c>
      <c r="D6450">
        <v>3.9049019999999999</v>
      </c>
      <c r="E6450">
        <v>0.59802069999999996</v>
      </c>
      <c r="F6450" t="s">
        <v>77</v>
      </c>
      <c r="G6450">
        <v>-198.9795</v>
      </c>
      <c r="H6450" s="1">
        <v>-1.2863469999999999E-5</v>
      </c>
      <c r="I6450">
        <v>151.5592</v>
      </c>
      <c r="J6450">
        <v>-192.50190000000001</v>
      </c>
      <c r="K6450">
        <v>1.109653</v>
      </c>
      <c r="L6450">
        <v>161.15280000000001</v>
      </c>
      <c r="M6450">
        <v>-8.2571099999999995E-2</v>
      </c>
      <c r="N6450">
        <v>0</v>
      </c>
      <c r="O6450">
        <v>-0.99652890000000005</v>
      </c>
      <c r="P6450">
        <v>-0.32551720000000001</v>
      </c>
      <c r="Q6450">
        <v>2.959204E-2</v>
      </c>
      <c r="R6450">
        <v>-0.94507289999999999</v>
      </c>
      <c r="S6450">
        <v>-1.7317659999999999</v>
      </c>
      <c r="T6450">
        <v>-0.29624610000000001</v>
      </c>
      <c r="U6450">
        <v>-2.5879669999999999</v>
      </c>
      <c r="V6450">
        <v>0.24642900000000001</v>
      </c>
      <c r="W6450">
        <v>3.9456919999999999E-2</v>
      </c>
      <c r="X6450">
        <v>0.96835729999999998</v>
      </c>
      <c r="Y6450">
        <v>0.4830295</v>
      </c>
      <c r="Z6450">
        <v>9.6406039999999998E-2</v>
      </c>
      <c r="AA6450">
        <v>0.87028059999999996</v>
      </c>
      <c r="AB6450">
        <v>16</v>
      </c>
      <c r="AC6450">
        <v>-6.47759999999999</v>
      </c>
      <c r="AD6450">
        <v>-1.1096658634700001</v>
      </c>
      <c r="AE6450">
        <v>-9.5936000000000092</v>
      </c>
      <c r="AF6450">
        <v>5.6117103952000003</v>
      </c>
      <c r="AG6450">
        <v>-1.1096658634700001</v>
      </c>
      <c r="AH6450">
        <v>10.0037986752628</v>
      </c>
      <c r="AI6450">
        <v>95.525753345399906</v>
      </c>
      <c r="AJ6450">
        <v>60.709407474432403</v>
      </c>
      <c r="AK6450">
        <v>11.523829217032601</v>
      </c>
      <c r="AL6450">
        <v>87.738697957530306</v>
      </c>
      <c r="AM6450">
        <v>75.722346679101406</v>
      </c>
      <c r="AN6450">
        <v>0.99999998052008798</v>
      </c>
    </row>
    <row r="6451" spans="1:40" x14ac:dyDescent="0.25">
      <c r="A6451" t="str">
        <f>"20190312150819699"</f>
        <v>20190312150819699</v>
      </c>
      <c r="B6451" t="str">
        <f>"1552374499686877"</f>
        <v>1552374499686877</v>
      </c>
      <c r="C6451" t="s">
        <v>40</v>
      </c>
      <c r="D6451">
        <v>4.5159849999999997</v>
      </c>
      <c r="E6451">
        <v>0.59801199999999999</v>
      </c>
      <c r="F6451" t="s">
        <v>77</v>
      </c>
      <c r="G6451">
        <v>-199.02699999999999</v>
      </c>
      <c r="H6451" s="1">
        <v>-1.2835400000000001E-5</v>
      </c>
      <c r="I6451">
        <v>151.43090000000001</v>
      </c>
      <c r="J6451">
        <v>-192.5119</v>
      </c>
      <c r="K6451">
        <v>1.109648</v>
      </c>
      <c r="L6451">
        <v>161.04560000000001</v>
      </c>
      <c r="M6451">
        <v>-8.3505910000000003E-2</v>
      </c>
      <c r="N6451">
        <v>0</v>
      </c>
      <c r="O6451">
        <v>-0.99645079999999997</v>
      </c>
      <c r="P6451">
        <v>-0.32732240000000001</v>
      </c>
      <c r="Q6451">
        <v>3.0069329999999998E-2</v>
      </c>
      <c r="R6451">
        <v>-0.94443429999999995</v>
      </c>
      <c r="S6451">
        <v>-1.7355349999999901</v>
      </c>
      <c r="T6451">
        <v>-0.29514629999999997</v>
      </c>
      <c r="U6451">
        <v>-2.5857999999999999</v>
      </c>
      <c r="V6451">
        <v>0.24737400000000001</v>
      </c>
      <c r="W6451">
        <v>3.9953870000000002E-2</v>
      </c>
      <c r="X6451">
        <v>0.96809599999999996</v>
      </c>
      <c r="Y6451">
        <v>0.48344029999999999</v>
      </c>
      <c r="Z6451">
        <v>9.6059599999999995E-2</v>
      </c>
      <c r="AA6451">
        <v>0.87009080000000005</v>
      </c>
      <c r="AB6451">
        <v>16</v>
      </c>
      <c r="AC6451">
        <v>-6.5151000000000101</v>
      </c>
      <c r="AD6451">
        <v>-1.1096608353999999</v>
      </c>
      <c r="AE6451">
        <v>-9.6146999999999991</v>
      </c>
      <c r="AF6451">
        <v>5.6379460240068404</v>
      </c>
      <c r="AG6451">
        <v>-1.1096608353999999</v>
      </c>
      <c r="AH6451">
        <v>10.0336020451736</v>
      </c>
      <c r="AI6451">
        <v>95.507199583003199</v>
      </c>
      <c r="AJ6451">
        <v>60.668085530581799</v>
      </c>
      <c r="AK6451">
        <v>11.562480380097901</v>
      </c>
      <c r="AL6451">
        <v>87.710202476309703</v>
      </c>
      <c r="AM6451">
        <v>75.666137435589107</v>
      </c>
      <c r="AN6451">
        <v>1.0000000364099799</v>
      </c>
    </row>
    <row r="6452" spans="1:40" x14ac:dyDescent="0.25">
      <c r="A6452" t="str">
        <f>"20190312150819711"</f>
        <v>20190312150819711</v>
      </c>
      <c r="B6452" t="str">
        <f>"1552374499706397"</f>
        <v>1552374499706397</v>
      </c>
      <c r="C6452" t="s">
        <v>40</v>
      </c>
      <c r="D6452">
        <v>3.9166439999999998</v>
      </c>
      <c r="E6452">
        <v>0.59814699999999998</v>
      </c>
      <c r="F6452" t="s">
        <v>77</v>
      </c>
      <c r="G6452">
        <v>-199.09129999999999</v>
      </c>
      <c r="H6452" s="1">
        <v>-1.2804060000000001E-5</v>
      </c>
      <c r="I6452">
        <v>151.28370000000001</v>
      </c>
      <c r="J6452">
        <v>-192.5206</v>
      </c>
      <c r="K6452">
        <v>1.1096429999999999</v>
      </c>
      <c r="L6452">
        <v>160.95240000000001</v>
      </c>
      <c r="M6452">
        <v>-8.4326709999999999E-2</v>
      </c>
      <c r="N6452">
        <v>0</v>
      </c>
      <c r="O6452">
        <v>-0.99638130000000003</v>
      </c>
      <c r="P6452">
        <v>-0.32842769999999999</v>
      </c>
      <c r="Q6452">
        <v>3.0279400000000001E-2</v>
      </c>
      <c r="R6452">
        <v>-0.94404379999999999</v>
      </c>
      <c r="S6452">
        <v>-1.7406459999999999</v>
      </c>
      <c r="T6452">
        <v>-0.29357179999999999</v>
      </c>
      <c r="U6452">
        <v>-2.5825960000000001</v>
      </c>
      <c r="V6452">
        <v>0.24771170000000001</v>
      </c>
      <c r="W6452">
        <v>4.018066E-2</v>
      </c>
      <c r="X6452">
        <v>0.96800019999999998</v>
      </c>
      <c r="Y6452">
        <v>0.48443120000000001</v>
      </c>
      <c r="Z6452">
        <v>9.5563980000000007E-2</v>
      </c>
      <c r="AA6452">
        <v>0.86959409999999904</v>
      </c>
      <c r="AB6452">
        <v>16</v>
      </c>
      <c r="AC6452">
        <v>-6.57069999999998</v>
      </c>
      <c r="AD6452">
        <v>-1.10965580406</v>
      </c>
      <c r="AE6452">
        <v>-9.6686999999999994</v>
      </c>
      <c r="AF6452">
        <v>5.6807322784766603</v>
      </c>
      <c r="AG6452">
        <v>-1.10965580406</v>
      </c>
      <c r="AH6452">
        <v>10.097393518424299</v>
      </c>
      <c r="AI6452">
        <v>95.470997236600994</v>
      </c>
      <c r="AJ6452">
        <v>60.638158477933104</v>
      </c>
      <c r="AK6452">
        <v>11.6387031532353</v>
      </c>
      <c r="AL6452">
        <v>87.697197792890705</v>
      </c>
      <c r="AM6452">
        <v>75.646015831212395</v>
      </c>
      <c r="AN6452">
        <v>0.99999997947748198</v>
      </c>
    </row>
    <row r="6453" spans="1:40" x14ac:dyDescent="0.25">
      <c r="A6453" t="str">
        <f>"20190312150819733"</f>
        <v>20190312150819733</v>
      </c>
      <c r="B6453" t="str">
        <f>"1552374499726902"</f>
        <v>1552374499726902</v>
      </c>
      <c r="C6453" t="s">
        <v>40</v>
      </c>
      <c r="D6453">
        <v>3.9157419999999998</v>
      </c>
      <c r="E6453">
        <v>0.59818859999999996</v>
      </c>
      <c r="F6453" t="s">
        <v>77</v>
      </c>
      <c r="G6453">
        <v>-199.12100000000001</v>
      </c>
      <c r="H6453" s="1">
        <v>-1.2783459999999999E-5</v>
      </c>
      <c r="I6453">
        <v>151.19139999999999</v>
      </c>
      <c r="J6453">
        <v>-192.53620000000001</v>
      </c>
      <c r="K6453">
        <v>1.109631</v>
      </c>
      <c r="L6453">
        <v>160.78960000000001</v>
      </c>
      <c r="M6453">
        <v>-8.5785239999999999E-2</v>
      </c>
      <c r="N6453">
        <v>0</v>
      </c>
      <c r="O6453">
        <v>-0.99625649999999999</v>
      </c>
      <c r="P6453">
        <v>-0.33047749999999998</v>
      </c>
      <c r="Q6453">
        <v>3.098882E-2</v>
      </c>
      <c r="R6453">
        <v>-0.94330530000000001</v>
      </c>
      <c r="S6453">
        <v>-1.7447509999999999</v>
      </c>
      <c r="T6453">
        <v>-0.29332789999999997</v>
      </c>
      <c r="U6453">
        <v>-2.5802459999999998</v>
      </c>
      <c r="V6453">
        <v>0.2484027</v>
      </c>
      <c r="W6453">
        <v>4.0913430000000001E-2</v>
      </c>
      <c r="X6453">
        <v>0.96779250000000006</v>
      </c>
      <c r="Y6453">
        <v>0.48447299999999899</v>
      </c>
      <c r="Z6453">
        <v>9.5498680000000002E-2</v>
      </c>
      <c r="AA6453">
        <v>0.86957799999999996</v>
      </c>
      <c r="AB6453">
        <v>17</v>
      </c>
      <c r="AC6453">
        <v>-6.5847999999999702</v>
      </c>
      <c r="AD6453">
        <v>-1.1096437834599999</v>
      </c>
      <c r="AE6453">
        <v>-9.5982000000000198</v>
      </c>
      <c r="AF6453">
        <v>5.6854225709588802</v>
      </c>
      <c r="AG6453">
        <v>-1.1096437834599999</v>
      </c>
      <c r="AH6453">
        <v>10.036511076556099</v>
      </c>
      <c r="AI6453">
        <v>95.494843625519295</v>
      </c>
      <c r="AJ6453">
        <v>60.469574286246299</v>
      </c>
      <c r="AK6453">
        <v>11.588222198697</v>
      </c>
      <c r="AL6453">
        <v>87.655178811803594</v>
      </c>
      <c r="AM6453">
        <v>75.604675538825404</v>
      </c>
      <c r="AN6453">
        <v>1.0000000665889499</v>
      </c>
    </row>
    <row r="6454" spans="1:40" x14ac:dyDescent="0.25">
      <c r="A6454" t="str">
        <f>"20190312150819745"</f>
        <v>20190312150819745</v>
      </c>
      <c r="B6454" t="str">
        <f>"1552374499736654"</f>
        <v>1552374499736654</v>
      </c>
      <c r="C6454" t="s">
        <v>40</v>
      </c>
      <c r="D6454">
        <v>4.5568410000000004</v>
      </c>
      <c r="E6454">
        <v>0.59812869999999996</v>
      </c>
      <c r="F6454" t="s">
        <v>77</v>
      </c>
      <c r="G6454">
        <v>-199.18819999999999</v>
      </c>
      <c r="H6454" s="1">
        <v>-1.2741730000000001E-5</v>
      </c>
      <c r="I6454">
        <v>151.00190000000001</v>
      </c>
      <c r="J6454">
        <v>-192.54429999999999</v>
      </c>
      <c r="K6454">
        <v>1.1096220000000001</v>
      </c>
      <c r="L6454">
        <v>160.70500000000001</v>
      </c>
      <c r="M6454">
        <v>-8.6552619999999997E-2</v>
      </c>
      <c r="N6454">
        <v>0</v>
      </c>
      <c r="O6454">
        <v>-0.99618980000000001</v>
      </c>
      <c r="P6454">
        <v>-0.33159880000000003</v>
      </c>
      <c r="Q6454">
        <v>3.098938E-2</v>
      </c>
      <c r="R6454">
        <v>-0.94291150000000001</v>
      </c>
      <c r="S6454">
        <v>-1.7510380000000001</v>
      </c>
      <c r="T6454">
        <v>-0.29209679999999999</v>
      </c>
      <c r="U6454">
        <v>-2.5764619999999998</v>
      </c>
      <c r="V6454">
        <v>0.24880910000000001</v>
      </c>
      <c r="W6454">
        <v>4.0923439999999998E-2</v>
      </c>
      <c r="X6454">
        <v>0.96768759999999998</v>
      </c>
      <c r="Y6454">
        <v>0.48586620000000003</v>
      </c>
      <c r="Z6454">
        <v>9.5108639999999994E-2</v>
      </c>
      <c r="AA6454">
        <v>0.86884309999999998</v>
      </c>
      <c r="AB6454">
        <v>17</v>
      </c>
      <c r="AC6454">
        <v>-6.6439000000000004</v>
      </c>
      <c r="AD6454">
        <v>-1.1096347417300001</v>
      </c>
      <c r="AE6454">
        <v>-9.7030999999999992</v>
      </c>
      <c r="AF6454">
        <v>5.72808716925437</v>
      </c>
      <c r="AG6454">
        <v>-1.1096347417300001</v>
      </c>
      <c r="AH6454">
        <v>10.151379126733</v>
      </c>
      <c r="AI6454">
        <v>95.438105784524097</v>
      </c>
      <c r="AJ6454">
        <v>60.565401538245403</v>
      </c>
      <c r="AK6454">
        <v>11.708662180338999</v>
      </c>
      <c r="AL6454">
        <v>87.654604629273905</v>
      </c>
      <c r="AM6454">
        <v>75.580607206995694</v>
      </c>
      <c r="AN6454">
        <v>0.99999999368900105</v>
      </c>
    </row>
    <row r="6455" spans="1:40" x14ac:dyDescent="0.25">
      <c r="A6455" t="str">
        <f>"20190312150819757"</f>
        <v>20190312150819757</v>
      </c>
      <c r="B6455" t="str">
        <f>"1552374499746414"</f>
        <v>1552374499746414</v>
      </c>
      <c r="C6455" t="s">
        <v>40</v>
      </c>
      <c r="D6455">
        <v>4.5454350000000003</v>
      </c>
      <c r="E6455">
        <v>0.59815229999999997</v>
      </c>
      <c r="F6455" t="s">
        <v>77</v>
      </c>
      <c r="G6455">
        <v>-199.089</v>
      </c>
      <c r="H6455" s="1">
        <v>-1.2757399999999999E-5</v>
      </c>
      <c r="I6455">
        <v>151.09909999999999</v>
      </c>
      <c r="J6455">
        <v>-192.5532</v>
      </c>
      <c r="K6455">
        <v>1.109612</v>
      </c>
      <c r="L6455">
        <v>160.61369999999999</v>
      </c>
      <c r="M6455">
        <v>-8.7397870000000002E-2</v>
      </c>
      <c r="N6455">
        <v>0</v>
      </c>
      <c r="O6455">
        <v>-0.9961158</v>
      </c>
      <c r="P6455">
        <v>-0.33263779999999998</v>
      </c>
      <c r="Q6455">
        <v>3.1223290000000001E-2</v>
      </c>
      <c r="R6455">
        <v>-0.94253790000000004</v>
      </c>
      <c r="S6455">
        <v>-1.754089</v>
      </c>
      <c r="T6455">
        <v>-0.297402</v>
      </c>
      <c r="U6455">
        <v>-2.574554</v>
      </c>
      <c r="V6455">
        <v>0.249057</v>
      </c>
      <c r="W6455">
        <v>4.1166889999999998E-2</v>
      </c>
      <c r="X6455">
        <v>0.96761350000000002</v>
      </c>
      <c r="Y6455">
        <v>0.48603570000000001</v>
      </c>
      <c r="Z6455">
        <v>9.6831340000000002E-2</v>
      </c>
      <c r="AA6455">
        <v>0.86855799999999905</v>
      </c>
      <c r="AB6455">
        <v>17</v>
      </c>
      <c r="AC6455">
        <v>-6.5358000000000196</v>
      </c>
      <c r="AD6455">
        <v>-1.1096247574</v>
      </c>
      <c r="AE6455">
        <v>-9.5145999999999997</v>
      </c>
      <c r="AF6455">
        <v>5.6271852373112097</v>
      </c>
      <c r="AG6455">
        <v>-1.1096247574</v>
      </c>
      <c r="AH6455">
        <v>9.9574225765052802</v>
      </c>
      <c r="AI6455">
        <v>95.5413064403824</v>
      </c>
      <c r="AJ6455">
        <v>60.528137030952699</v>
      </c>
      <c r="AK6455">
        <v>11.4911594351634</v>
      </c>
      <c r="AL6455">
        <v>87.640644207171903</v>
      </c>
      <c r="AM6455">
        <v>75.565781210204904</v>
      </c>
      <c r="AN6455">
        <v>0.99999999373176096</v>
      </c>
    </row>
    <row r="6456" spans="1:40" x14ac:dyDescent="0.25">
      <c r="A6456" t="str">
        <f>"20190312150819768"</f>
        <v>20190312150819768</v>
      </c>
      <c r="B6456" t="str">
        <f>"1552374499756174"</f>
        <v>1552374499756174</v>
      </c>
      <c r="C6456" t="s">
        <v>40</v>
      </c>
      <c r="D6456">
        <v>4.5673190000000004</v>
      </c>
      <c r="E6456">
        <v>0.59832980000000002</v>
      </c>
      <c r="F6456" t="s">
        <v>77</v>
      </c>
      <c r="G6456">
        <v>-199.024</v>
      </c>
      <c r="H6456" s="1">
        <v>-1.2762269999999999E-5</v>
      </c>
      <c r="I6456">
        <v>151.1414</v>
      </c>
      <c r="J6456">
        <v>-192.56120000000001</v>
      </c>
      <c r="K6456">
        <v>1.1096029999999999</v>
      </c>
      <c r="L6456">
        <v>160.53270000000001</v>
      </c>
      <c r="M6456">
        <v>-8.8154960000000004E-2</v>
      </c>
      <c r="N6456">
        <v>0</v>
      </c>
      <c r="O6456">
        <v>-0.99604899999999996</v>
      </c>
      <c r="P6456">
        <v>-0.33382489999999998</v>
      </c>
      <c r="Q6456">
        <v>3.1581049999999999E-2</v>
      </c>
      <c r="R6456">
        <v>-0.94210629999999995</v>
      </c>
      <c r="S6456">
        <v>-1.757431</v>
      </c>
      <c r="T6456">
        <v>-0.30136990000000002</v>
      </c>
      <c r="U6456">
        <v>-2.5726619999999998</v>
      </c>
      <c r="V6456">
        <v>0.2495436</v>
      </c>
      <c r="W6456">
        <v>4.1530879999999999E-2</v>
      </c>
      <c r="X6456">
        <v>0.96747260000000002</v>
      </c>
      <c r="Y6456">
        <v>0.48636889999999999</v>
      </c>
      <c r="Z6456">
        <v>9.8115900000000006E-2</v>
      </c>
      <c r="AA6456">
        <v>0.86822730000000004</v>
      </c>
      <c r="AB6456">
        <v>17</v>
      </c>
      <c r="AC6456">
        <v>-6.4627999999999801</v>
      </c>
      <c r="AD6456">
        <v>-1.10961576227</v>
      </c>
      <c r="AE6456">
        <v>-9.3912999999999993</v>
      </c>
      <c r="AF6456">
        <v>5.5570525927369996</v>
      </c>
      <c r="AG6456">
        <v>-1.10961576227</v>
      </c>
      <c r="AH6456">
        <v>9.8313543524593801</v>
      </c>
      <c r="AI6456">
        <v>95.611597042693305</v>
      </c>
      <c r="AJ6456">
        <v>60.523227054908702</v>
      </c>
      <c r="AK6456">
        <v>11.3475816393602</v>
      </c>
      <c r="AL6456">
        <v>87.6197713442414</v>
      </c>
      <c r="AM6456">
        <v>75.536743744749401</v>
      </c>
      <c r="AN6456">
        <v>1.0000000270226399</v>
      </c>
    </row>
    <row r="6457" spans="1:40" x14ac:dyDescent="0.25">
      <c r="A6457" t="str">
        <f>"20190312150819780"</f>
        <v>20190312150819780</v>
      </c>
      <c r="B6457" t="str">
        <f>"1552374499776669"</f>
        <v>1552374499776669</v>
      </c>
      <c r="C6457" t="s">
        <v>40</v>
      </c>
      <c r="D6457">
        <v>4.5275460000000001</v>
      </c>
      <c r="E6457">
        <v>0.59835329999999998</v>
      </c>
      <c r="F6457" t="s">
        <v>77</v>
      </c>
      <c r="G6457">
        <v>-199.0172</v>
      </c>
      <c r="H6457" s="1">
        <v>-1.275582E-5</v>
      </c>
      <c r="I6457">
        <v>151.1181</v>
      </c>
      <c r="J6457">
        <v>-192.5702</v>
      </c>
      <c r="K6457">
        <v>1.1095889999999999</v>
      </c>
      <c r="L6457">
        <v>160.44210000000001</v>
      </c>
      <c r="M6457">
        <v>-8.9014430000000005E-2</v>
      </c>
      <c r="N6457">
        <v>0</v>
      </c>
      <c r="O6457">
        <v>-0.99597219999999997</v>
      </c>
      <c r="P6457">
        <v>-0.33497100000000002</v>
      </c>
      <c r="Q6457">
        <v>3.1956970000000001E-2</v>
      </c>
      <c r="R6457">
        <v>-0.94168629999999998</v>
      </c>
      <c r="S6457">
        <v>-1.7623899999999999</v>
      </c>
      <c r="T6457">
        <v>-0.30291079999999998</v>
      </c>
      <c r="U6457">
        <v>-2.5700530000000001</v>
      </c>
      <c r="V6457">
        <v>0.24988930000000001</v>
      </c>
      <c r="W6457">
        <v>4.1912970000000001E-2</v>
      </c>
      <c r="X6457">
        <v>0.96736690000000003</v>
      </c>
      <c r="Y6457">
        <v>0.4871395</v>
      </c>
      <c r="Z6457">
        <v>9.8611019999999994E-2</v>
      </c>
      <c r="AA6457">
        <v>0.86773899999999904</v>
      </c>
      <c r="AB6457">
        <v>17</v>
      </c>
      <c r="AC6457">
        <v>-6.4470000000000001</v>
      </c>
      <c r="AD6457">
        <v>-1.10960175582</v>
      </c>
      <c r="AE6457">
        <v>-9.3240000000000105</v>
      </c>
      <c r="AF6457">
        <v>5.5383211894707296</v>
      </c>
      <c r="AG6457">
        <v>-1.10960175582</v>
      </c>
      <c r="AH6457">
        <v>9.7673074491623098</v>
      </c>
      <c r="AI6457">
        <v>95.643784280457297</v>
      </c>
      <c r="AJ6457">
        <v>60.445618694081197</v>
      </c>
      <c r="AK6457">
        <v>11.282930136304101</v>
      </c>
      <c r="AL6457">
        <v>87.597860150776398</v>
      </c>
      <c r="AM6457">
        <v>75.516033541473206</v>
      </c>
      <c r="AN6457">
        <v>1.00000003926215</v>
      </c>
    </row>
    <row r="6458" spans="1:40" x14ac:dyDescent="0.25">
      <c r="A6458" t="str">
        <f>"20190312150819793"</f>
        <v>20190312150819793</v>
      </c>
      <c r="B6458" t="str">
        <f>"1552374499786429"</f>
        <v>1552374499786429</v>
      </c>
      <c r="C6458" t="s">
        <v>40</v>
      </c>
      <c r="D6458">
        <v>4.6267509999999996</v>
      </c>
      <c r="E6458">
        <v>0.59831400000000001</v>
      </c>
      <c r="F6458" t="s">
        <v>77</v>
      </c>
      <c r="G6458">
        <v>-199.0907</v>
      </c>
      <c r="H6458" s="1">
        <v>-1.272271E-5</v>
      </c>
      <c r="I6458">
        <v>150.9606</v>
      </c>
      <c r="J6458">
        <v>-192.57910000000001</v>
      </c>
      <c r="K6458">
        <v>1.1095759999999999</v>
      </c>
      <c r="L6458">
        <v>160.35399999999899</v>
      </c>
      <c r="M6458">
        <v>-8.9865689999999998E-2</v>
      </c>
      <c r="N6458">
        <v>0</v>
      </c>
      <c r="O6458">
        <v>-0.99589559999999999</v>
      </c>
      <c r="P6458">
        <v>-0.33608959999999999</v>
      </c>
      <c r="Q6458">
        <v>3.214794E-2</v>
      </c>
      <c r="R6458">
        <v>-0.94128129999999999</v>
      </c>
      <c r="S6458">
        <v>-1.7659149999999999</v>
      </c>
      <c r="T6458">
        <v>-0.30050569999999999</v>
      </c>
      <c r="U6458">
        <v>-2.5678100000000001</v>
      </c>
      <c r="V6458">
        <v>0.25021450000000001</v>
      </c>
      <c r="W6458">
        <v>4.210879E-2</v>
      </c>
      <c r="X6458">
        <v>0.96727430000000003</v>
      </c>
      <c r="Y6458">
        <v>0.48759960000000002</v>
      </c>
      <c r="Z6458">
        <v>9.7847069999999994E-2</v>
      </c>
      <c r="AA6458">
        <v>0.86756710000000004</v>
      </c>
      <c r="AB6458">
        <v>17</v>
      </c>
      <c r="AC6458">
        <v>-6.5115999999999801</v>
      </c>
      <c r="AD6458">
        <v>-1.1095887227100001</v>
      </c>
      <c r="AE6458">
        <v>-9.3933999999999802</v>
      </c>
      <c r="AF6458">
        <v>5.5883891619892703</v>
      </c>
      <c r="AG6458">
        <v>-1.1095887227100001</v>
      </c>
      <c r="AH6458">
        <v>9.8477818853390104</v>
      </c>
      <c r="AI6458">
        <v>95.596817616522699</v>
      </c>
      <c r="AJ6458">
        <v>60.426088755461301</v>
      </c>
      <c r="AK6458">
        <v>11.377174017330301</v>
      </c>
      <c r="AL6458">
        <v>87.586630504159103</v>
      </c>
      <c r="AM6458">
        <v>75.496648971376203</v>
      </c>
      <c r="AN6458">
        <v>1.0000000088230001</v>
      </c>
    </row>
    <row r="6459" spans="1:40" x14ac:dyDescent="0.25">
      <c r="A6459" t="str">
        <f>"20190312150819803"</f>
        <v>20190312150819803</v>
      </c>
      <c r="B6459" t="str">
        <f>"1552374499796190"</f>
        <v>1552374499796190</v>
      </c>
      <c r="C6459" t="s">
        <v>40</v>
      </c>
      <c r="D6459">
        <v>4.5763619999999996</v>
      </c>
      <c r="E6459">
        <v>0.59836149999999999</v>
      </c>
      <c r="F6459" t="s">
        <v>77</v>
      </c>
      <c r="G6459">
        <v>-199.1191</v>
      </c>
      <c r="H6459" s="1">
        <v>-1.270126E-5</v>
      </c>
      <c r="I6459">
        <v>150.86529999999999</v>
      </c>
      <c r="J6459">
        <v>-192.58789999999999</v>
      </c>
      <c r="K6459">
        <v>1.1095619999999999</v>
      </c>
      <c r="L6459">
        <v>160.26650000000001</v>
      </c>
      <c r="M6459">
        <v>-9.0719599999999997E-2</v>
      </c>
      <c r="N6459">
        <v>0</v>
      </c>
      <c r="O6459">
        <v>-0.99581819999999999</v>
      </c>
      <c r="P6459">
        <v>-0.33709129999999998</v>
      </c>
      <c r="Q6459">
        <v>3.2375550000000003E-2</v>
      </c>
      <c r="R6459">
        <v>-0.94091530000000001</v>
      </c>
      <c r="S6459">
        <v>-1.7685390000000001</v>
      </c>
      <c r="T6459">
        <v>-0.30005189999999998</v>
      </c>
      <c r="U6459">
        <v>-2.565903</v>
      </c>
      <c r="V6459">
        <v>0.25041760000000002</v>
      </c>
      <c r="W6459">
        <v>4.2340320000000001E-2</v>
      </c>
      <c r="X6459">
        <v>0.96721159999999995</v>
      </c>
      <c r="Y6459">
        <v>0.48776219999999998</v>
      </c>
      <c r="Z6459">
        <v>9.7718059999999995E-2</v>
      </c>
      <c r="AA6459">
        <v>0.86749019999999999</v>
      </c>
      <c r="AB6459">
        <v>17</v>
      </c>
      <c r="AC6459">
        <v>-6.5312000000000099</v>
      </c>
      <c r="AD6459">
        <v>-1.1095747012599999</v>
      </c>
      <c r="AE6459">
        <v>-9.40120000000001</v>
      </c>
      <c r="AF6459">
        <v>5.5987406796040302</v>
      </c>
      <c r="AG6459">
        <v>-1.1095747012599999</v>
      </c>
      <c r="AH6459">
        <v>9.8623119673852493</v>
      </c>
      <c r="AI6459">
        <v>95.588044879491505</v>
      </c>
      <c r="AJ6459">
        <v>60.416834797492299</v>
      </c>
      <c r="AK6459">
        <v>11.3948343804181</v>
      </c>
      <c r="AL6459">
        <v>87.573352896268403</v>
      </c>
      <c r="AM6459">
        <v>75.484472428037904</v>
      </c>
      <c r="AN6459">
        <v>0.99999997813101005</v>
      </c>
    </row>
    <row r="6460" spans="1:40" x14ac:dyDescent="0.25">
      <c r="A6460" t="str">
        <f>"20190312150819815"</f>
        <v>20190312150819815</v>
      </c>
      <c r="B6460" t="str">
        <f>"1552374499806926"</f>
        <v>1552374499806926</v>
      </c>
      <c r="C6460" t="s">
        <v>40</v>
      </c>
      <c r="D6460">
        <v>4.592905</v>
      </c>
      <c r="E6460">
        <v>0.59833910000000001</v>
      </c>
      <c r="F6460" t="s">
        <v>77</v>
      </c>
      <c r="G6460">
        <v>-199.1694</v>
      </c>
      <c r="H6460" s="1">
        <v>-1.2674849999999999E-5</v>
      </c>
      <c r="I6460">
        <v>150.74260000000001</v>
      </c>
      <c r="J6460">
        <v>-192.59639999999999</v>
      </c>
      <c r="K6460">
        <v>1.10955</v>
      </c>
      <c r="L6460">
        <v>160.18369999999999</v>
      </c>
      <c r="M6460">
        <v>-9.155046E-2</v>
      </c>
      <c r="N6460">
        <v>0</v>
      </c>
      <c r="O6460">
        <v>-0.99574180000000001</v>
      </c>
      <c r="P6460">
        <v>-0.33830399999999999</v>
      </c>
      <c r="Q6460">
        <v>3.2437689999999998E-2</v>
      </c>
      <c r="R6460">
        <v>-0.94047760000000002</v>
      </c>
      <c r="S6460">
        <v>-1.77179</v>
      </c>
      <c r="T6460">
        <v>-0.29870639999999998</v>
      </c>
      <c r="U6460">
        <v>-2.5638890000000001</v>
      </c>
      <c r="V6460">
        <v>0.25085950000000001</v>
      </c>
      <c r="W6460">
        <v>4.2403690000000001E-2</v>
      </c>
      <c r="X6460">
        <v>0.96709440000000002</v>
      </c>
      <c r="Y6460">
        <v>0.48812179999999999</v>
      </c>
      <c r="Z6460">
        <v>9.7293389999999993E-2</v>
      </c>
      <c r="AA6460">
        <v>0.86733570000000004</v>
      </c>
      <c r="AB6460">
        <v>17</v>
      </c>
      <c r="AC6460">
        <v>-6.5730000000000004</v>
      </c>
      <c r="AD6460">
        <v>-1.10956267485</v>
      </c>
      <c r="AE6460">
        <v>-9.4410999999999703</v>
      </c>
      <c r="AF6460">
        <v>5.6286430117285304</v>
      </c>
      <c r="AG6460">
        <v>-1.10956267485</v>
      </c>
      <c r="AH6460">
        <v>9.9110420850949392</v>
      </c>
      <c r="AI6460">
        <v>95.560146684975606</v>
      </c>
      <c r="AJ6460">
        <v>60.407048066267798</v>
      </c>
      <c r="AK6460">
        <v>11.4517032224653</v>
      </c>
      <c r="AL6460">
        <v>87.569719022486595</v>
      </c>
      <c r="AM6460">
        <v>75.458254951996395</v>
      </c>
      <c r="AN6460">
        <v>1.00000007008861</v>
      </c>
    </row>
    <row r="6461" spans="1:40" x14ac:dyDescent="0.25">
      <c r="A6461" t="str">
        <f>"20190312150819828"</f>
        <v>20190312150819828</v>
      </c>
      <c r="B6461" t="str">
        <f>"1552374499816686"</f>
        <v>1552374499816686</v>
      </c>
      <c r="C6461" t="s">
        <v>40</v>
      </c>
      <c r="D6461">
        <v>4.6604710000000003</v>
      </c>
      <c r="E6461">
        <v>0.59833910000000001</v>
      </c>
      <c r="F6461" t="s">
        <v>77</v>
      </c>
      <c r="G6461">
        <v>-199.1902</v>
      </c>
      <c r="H6461" s="1">
        <v>-1.2658019999999999E-5</v>
      </c>
      <c r="I6461">
        <v>150.66839999999999</v>
      </c>
      <c r="J6461">
        <v>-192.60640000000001</v>
      </c>
      <c r="K6461">
        <v>1.1095330000000001</v>
      </c>
      <c r="L6461">
        <v>160.0874</v>
      </c>
      <c r="M6461">
        <v>-9.2528020000000002E-2</v>
      </c>
      <c r="N6461">
        <v>0</v>
      </c>
      <c r="O6461">
        <v>-0.99565139999999996</v>
      </c>
      <c r="P6461">
        <v>-0.33953660000000002</v>
      </c>
      <c r="Q6461">
        <v>3.2636579999999998E-2</v>
      </c>
      <c r="R6461">
        <v>-0.94002649999999999</v>
      </c>
      <c r="S6461">
        <v>-1.775131</v>
      </c>
      <c r="T6461">
        <v>-0.29870639999999998</v>
      </c>
      <c r="U6461">
        <v>-2.5616300000000001</v>
      </c>
      <c r="V6461">
        <v>0.25118089999999998</v>
      </c>
      <c r="W6461">
        <v>4.2602809999999998E-2</v>
      </c>
      <c r="X6461">
        <v>0.96700220000000003</v>
      </c>
      <c r="Y6461">
        <v>0.48838779999999998</v>
      </c>
      <c r="Z6461">
        <v>9.7309259999999995E-2</v>
      </c>
      <c r="AA6461">
        <v>0.86718410000000001</v>
      </c>
      <c r="AB6461">
        <v>17</v>
      </c>
      <c r="AC6461">
        <v>-6.5837999999999903</v>
      </c>
      <c r="AD6461">
        <v>-1.10954565802</v>
      </c>
      <c r="AE6461">
        <v>-9.4190000000000094</v>
      </c>
      <c r="AF6461">
        <v>5.63148406245858</v>
      </c>
      <c r="AG6461">
        <v>-1.10954565802</v>
      </c>
      <c r="AH6461">
        <v>9.8955643108158409</v>
      </c>
      <c r="AI6461">
        <v>95.565910065352099</v>
      </c>
      <c r="AJ6461">
        <v>60.356152542413597</v>
      </c>
      <c r="AK6461">
        <v>11.439707047929501</v>
      </c>
      <c r="AL6461">
        <v>87.558299917971496</v>
      </c>
      <c r="AM6461">
        <v>75.4390862053191</v>
      </c>
      <c r="AN6461">
        <v>1.0000000493747701</v>
      </c>
    </row>
    <row r="6462" spans="1:40" x14ac:dyDescent="0.25">
      <c r="A6462" t="str">
        <f>"20190312150819845"</f>
        <v>20190312150819845</v>
      </c>
      <c r="B6462" t="str">
        <f>"1552374499836206"</f>
        <v>1552374499836206</v>
      </c>
      <c r="C6462" t="s">
        <v>40</v>
      </c>
      <c r="D6462">
        <v>4.5886430000000002</v>
      </c>
      <c r="E6462">
        <v>0.60688589999999998</v>
      </c>
      <c r="F6462" t="s">
        <v>77</v>
      </c>
      <c r="G6462">
        <v>-199.226</v>
      </c>
      <c r="H6462" s="1">
        <v>-1.26343899999999E-5</v>
      </c>
      <c r="I6462">
        <v>150.56190000000001</v>
      </c>
      <c r="J6462">
        <v>-192.61949999999999</v>
      </c>
      <c r="K6462">
        <v>1.1095090000000001</v>
      </c>
      <c r="L6462">
        <v>159.9622</v>
      </c>
      <c r="M6462">
        <v>-9.3828229999999999E-2</v>
      </c>
      <c r="N6462">
        <v>0</v>
      </c>
      <c r="O6462">
        <v>-0.99552949999999996</v>
      </c>
      <c r="P6462">
        <v>-0.34150720000000001</v>
      </c>
      <c r="Q6462">
        <v>3.256759E-2</v>
      </c>
      <c r="R6462">
        <v>-0.93931500000000001</v>
      </c>
      <c r="S6462">
        <v>-1.7785799999999901</v>
      </c>
      <c r="T6462">
        <v>-0.29811510000000002</v>
      </c>
      <c r="U6462">
        <v>-2.5593409999999999</v>
      </c>
      <c r="V6462">
        <v>0.25194850000000002</v>
      </c>
      <c r="W6462">
        <v>4.2531359999999997E-2</v>
      </c>
      <c r="X6462">
        <v>0.96680560000000004</v>
      </c>
      <c r="Y6462">
        <v>0.48841119999999999</v>
      </c>
      <c r="Z6462">
        <v>9.713666E-2</v>
      </c>
      <c r="AA6462">
        <v>0.86719029999999997</v>
      </c>
      <c r="AB6462">
        <v>17</v>
      </c>
      <c r="AC6462">
        <v>-6.6065000000000103</v>
      </c>
      <c r="AD6462">
        <v>-1.1095216343900001</v>
      </c>
      <c r="AE6462">
        <v>-9.4002999999999801</v>
      </c>
      <c r="AF6462">
        <v>5.6426669048032903</v>
      </c>
      <c r="AG6462">
        <v>-1.1095216343900001</v>
      </c>
      <c r="AH6462">
        <v>9.8865429714516893</v>
      </c>
      <c r="AI6462">
        <v>95.566908115612705</v>
      </c>
      <c r="AJ6462">
        <v>60.284775028429799</v>
      </c>
      <c r="AK6462">
        <v>11.4374149169339</v>
      </c>
      <c r="AL6462">
        <v>87.562397333040707</v>
      </c>
      <c r="AM6462">
        <v>75.393645488036896</v>
      </c>
      <c r="AN6462">
        <v>1.00000001571352</v>
      </c>
    </row>
    <row r="6463" spans="1:40" x14ac:dyDescent="0.25">
      <c r="A6463" t="str">
        <f>"20190312150819867"</f>
        <v>20190312150819867</v>
      </c>
      <c r="B6463" t="str">
        <f>"1552374499856701"</f>
        <v>1552374499856701</v>
      </c>
      <c r="C6463" t="s">
        <v>40</v>
      </c>
      <c r="D6463">
        <v>4.5647089999999997</v>
      </c>
      <c r="E6463">
        <v>0.6062592</v>
      </c>
      <c r="F6463" t="s">
        <v>77</v>
      </c>
      <c r="G6463">
        <v>-197.57470000000001</v>
      </c>
      <c r="H6463" s="1">
        <v>-1.314933E-5</v>
      </c>
      <c r="I6463">
        <v>153.19049999999999</v>
      </c>
      <c r="J6463">
        <v>-192.63730000000001</v>
      </c>
      <c r="K6463">
        <v>1.1094710000000001</v>
      </c>
      <c r="L6463">
        <v>159.79599999999999</v>
      </c>
      <c r="M6463">
        <v>-9.5604869999999995E-2</v>
      </c>
      <c r="N6463">
        <v>0</v>
      </c>
      <c r="O6463">
        <v>-0.99536009999999997</v>
      </c>
      <c r="P6463">
        <v>-0.3439412</v>
      </c>
      <c r="Q6463">
        <v>3.253201E-2</v>
      </c>
      <c r="R6463">
        <v>-0.93842789999999998</v>
      </c>
      <c r="S6463">
        <v>-1.854309</v>
      </c>
      <c r="T6463">
        <v>-0.41519840000000002</v>
      </c>
      <c r="U6463">
        <v>-2.5340579999999999</v>
      </c>
      <c r="V6463">
        <v>0.25273289999999998</v>
      </c>
      <c r="W6463">
        <v>4.249182E-2</v>
      </c>
      <c r="X6463">
        <v>0.96660259999999998</v>
      </c>
      <c r="Y6463">
        <v>0.50538130000000003</v>
      </c>
      <c r="Z6463">
        <v>0.13391059999999999</v>
      </c>
      <c r="AA6463">
        <v>0.85244209999999998</v>
      </c>
      <c r="AB6463">
        <v>17</v>
      </c>
      <c r="AC6463">
        <v>-4.9373999999999896</v>
      </c>
      <c r="AD6463">
        <v>-1.1094841493299901</v>
      </c>
      <c r="AE6463">
        <v>-6.6055000000000001</v>
      </c>
      <c r="AF6463">
        <v>4.2070797391924204</v>
      </c>
      <c r="AG6463">
        <v>-1.1094841493299901</v>
      </c>
      <c r="AH6463">
        <v>6.9220214211228397</v>
      </c>
      <c r="AI6463">
        <v>97.799230618243996</v>
      </c>
      <c r="AJ6463">
        <v>58.709520640813203</v>
      </c>
      <c r="AK6463">
        <v>8.1758703245600302</v>
      </c>
      <c r="AL6463">
        <v>87.564664892642895</v>
      </c>
      <c r="AM6463">
        <v>75.347180127461698</v>
      </c>
      <c r="AN6463">
        <v>1.00000002991804</v>
      </c>
    </row>
    <row r="6464" spans="1:40" x14ac:dyDescent="0.25">
      <c r="A6464" t="str">
        <f>"20190312150819879"</f>
        <v>20190312150819879</v>
      </c>
      <c r="B6464" t="str">
        <f>"1552374499876222"</f>
        <v>1552374499876222</v>
      </c>
      <c r="C6464" t="s">
        <v>40</v>
      </c>
      <c r="D6464">
        <v>4.56271</v>
      </c>
      <c r="E6464">
        <v>0.60479340000000004</v>
      </c>
      <c r="F6464" t="s">
        <v>77</v>
      </c>
      <c r="G6464">
        <v>-197.4315</v>
      </c>
      <c r="H6464" s="1">
        <v>-1.315441E-5</v>
      </c>
      <c r="I6464">
        <v>153.2612</v>
      </c>
      <c r="J6464">
        <v>-192.64699999999999</v>
      </c>
      <c r="K6464">
        <v>1.1094550000000001</v>
      </c>
      <c r="L6464">
        <v>159.7071</v>
      </c>
      <c r="M6464">
        <v>-9.6575359999999999E-2</v>
      </c>
      <c r="N6464">
        <v>0</v>
      </c>
      <c r="O6464">
        <v>-0.99526630000000005</v>
      </c>
      <c r="P6464">
        <v>-0.34520190000000001</v>
      </c>
      <c r="Q6464">
        <v>3.249051E-2</v>
      </c>
      <c r="R6464">
        <v>-0.93796579999999996</v>
      </c>
      <c r="S6464">
        <v>-1.856949</v>
      </c>
      <c r="T6464">
        <v>-0.4297357</v>
      </c>
      <c r="U6464">
        <v>-2.5311279999999998</v>
      </c>
      <c r="V6464">
        <v>0.25309100000000001</v>
      </c>
      <c r="W6464">
        <v>4.2448939999999998E-2</v>
      </c>
      <c r="X6464">
        <v>0.9665108</v>
      </c>
      <c r="Y6464">
        <v>0.50521419999999995</v>
      </c>
      <c r="Z6464">
        <v>0.1385731</v>
      </c>
      <c r="AA6464">
        <v>0.85179579999999999</v>
      </c>
      <c r="AB6464">
        <v>17</v>
      </c>
      <c r="AC6464">
        <v>-4.78449999999998</v>
      </c>
      <c r="AD6464">
        <v>-1.10946815440999</v>
      </c>
      <c r="AE6464">
        <v>-6.4458999999999902</v>
      </c>
      <c r="AF6464">
        <v>4.06199110776988</v>
      </c>
      <c r="AG6464">
        <v>-1.10946815440999</v>
      </c>
      <c r="AH6464">
        <v>6.7489435265569702</v>
      </c>
      <c r="AI6464">
        <v>98.017261780373602</v>
      </c>
      <c r="AJ6464">
        <v>58.957498920644603</v>
      </c>
      <c r="AK6464">
        <v>7.9548054702743496</v>
      </c>
      <c r="AL6464">
        <v>87.567123995078603</v>
      </c>
      <c r="AM6464">
        <v>75.325980193523804</v>
      </c>
      <c r="AN6464">
        <v>1.00000004665238</v>
      </c>
    </row>
    <row r="6465" spans="1:40" x14ac:dyDescent="0.25">
      <c r="A6465" t="str">
        <f>"20190312150819890"</f>
        <v>20190312150819890</v>
      </c>
      <c r="B6465" t="str">
        <f>"1552374499886958"</f>
        <v>1552374499886958</v>
      </c>
      <c r="C6465" t="s">
        <v>40</v>
      </c>
      <c r="D6465">
        <v>4.5360509999999996</v>
      </c>
      <c r="E6465">
        <v>0.60576419999999997</v>
      </c>
      <c r="F6465" t="s">
        <v>77</v>
      </c>
      <c r="G6465">
        <v>-197.2234</v>
      </c>
      <c r="H6465" s="1">
        <v>-1.3181620000000001E-5</v>
      </c>
      <c r="I6465">
        <v>153.4427</v>
      </c>
      <c r="J6465">
        <v>-192.65600000000001</v>
      </c>
      <c r="K6465">
        <v>1.109442</v>
      </c>
      <c r="L6465">
        <v>159.625</v>
      </c>
      <c r="M6465">
        <v>-9.7482689999999997E-2</v>
      </c>
      <c r="N6465">
        <v>0</v>
      </c>
      <c r="O6465">
        <v>-0.99517789999999995</v>
      </c>
      <c r="P6465">
        <v>-0.34660570000000002</v>
      </c>
      <c r="Q6465">
        <v>3.274494E-2</v>
      </c>
      <c r="R6465">
        <v>-0.93743929999999998</v>
      </c>
      <c r="S6465">
        <v>-1.8504179999999999</v>
      </c>
      <c r="T6465">
        <v>-0.4485982</v>
      </c>
      <c r="U6465">
        <v>-2.5329130000000002</v>
      </c>
      <c r="V6465">
        <v>0.25365959999999999</v>
      </c>
      <c r="W6465">
        <v>4.270144E-2</v>
      </c>
      <c r="X6465">
        <v>0.96635059999999995</v>
      </c>
      <c r="Y6465">
        <v>0.50220149999999997</v>
      </c>
      <c r="Z6465">
        <v>0.14464479999999999</v>
      </c>
      <c r="AA6465">
        <v>0.85256759999999998</v>
      </c>
      <c r="AB6465">
        <v>17</v>
      </c>
      <c r="AC6465">
        <v>-4.5674000000000197</v>
      </c>
      <c r="AD6465">
        <v>-1.10945518162</v>
      </c>
      <c r="AE6465">
        <v>-6.1822999999999899</v>
      </c>
      <c r="AF6465">
        <v>3.8624718601094701</v>
      </c>
      <c r="AG6465">
        <v>-1.10945518162</v>
      </c>
      <c r="AH6465">
        <v>6.46346304605561</v>
      </c>
      <c r="AI6465">
        <v>98.381969578789096</v>
      </c>
      <c r="AJ6465">
        <v>59.138072486849197</v>
      </c>
      <c r="AK6465">
        <v>7.6109088956502102</v>
      </c>
      <c r="AL6465">
        <v>87.552643674813197</v>
      </c>
      <c r="AM6465">
        <v>75.292108372500806</v>
      </c>
      <c r="AN6465">
        <v>1.0000000438852901</v>
      </c>
    </row>
    <row r="6466" spans="1:40" x14ac:dyDescent="0.25">
      <c r="A6466" t="str">
        <f>"20190312150819901"</f>
        <v>20190312150819901</v>
      </c>
      <c r="B6466" t="str">
        <f>"1552374499896718"</f>
        <v>1552374499896718</v>
      </c>
      <c r="C6466" t="s">
        <v>40</v>
      </c>
      <c r="D6466">
        <v>4.5462569999999998</v>
      </c>
      <c r="E6466">
        <v>0.60627249999999999</v>
      </c>
      <c r="F6466" t="s">
        <v>77</v>
      </c>
      <c r="G6466">
        <v>-197.30029999999999</v>
      </c>
      <c r="H6466" s="1">
        <v>-1.3157040000000001E-5</v>
      </c>
      <c r="I6466">
        <v>153.31790000000001</v>
      </c>
      <c r="J6466">
        <v>-192.6652</v>
      </c>
      <c r="K6466">
        <v>1.109432</v>
      </c>
      <c r="L6466">
        <v>159.5421</v>
      </c>
      <c r="M6466">
        <v>-9.8406640000000004E-2</v>
      </c>
      <c r="N6466">
        <v>0</v>
      </c>
      <c r="O6466">
        <v>-0.99508700000000005</v>
      </c>
      <c r="P6466">
        <v>-0.34802270000000002</v>
      </c>
      <c r="Q6466">
        <v>3.298562E-2</v>
      </c>
      <c r="R6466">
        <v>-0.93690609999999996</v>
      </c>
      <c r="S6466">
        <v>-1.861237</v>
      </c>
      <c r="T6466">
        <v>-0.44461840000000002</v>
      </c>
      <c r="U6466">
        <v>-2.5275880000000002</v>
      </c>
      <c r="V6466">
        <v>0.25422610000000001</v>
      </c>
      <c r="W6466">
        <v>4.2940109999999997E-2</v>
      </c>
      <c r="X6466">
        <v>0.96619109999999997</v>
      </c>
      <c r="Y6466">
        <v>0.50473889999999999</v>
      </c>
      <c r="Z6466">
        <v>0.14333660000000001</v>
      </c>
      <c r="AA6466">
        <v>0.85128919999999997</v>
      </c>
      <c r="AB6466">
        <v>17</v>
      </c>
      <c r="AC6466">
        <v>-4.6350999999999898</v>
      </c>
      <c r="AD6466">
        <v>-1.1094451570399999</v>
      </c>
      <c r="AE6466">
        <v>-6.22419999999999</v>
      </c>
      <c r="AF6466">
        <v>3.9199457044313801</v>
      </c>
      <c r="AG6466">
        <v>-1.1094451570399999</v>
      </c>
      <c r="AH6466">
        <v>6.5169448371694001</v>
      </c>
      <c r="AI6466">
        <v>98.299931092460895</v>
      </c>
      <c r="AJ6466">
        <v>58.973069558064097</v>
      </c>
      <c r="AK6466">
        <v>7.6855327006576699</v>
      </c>
      <c r="AL6466">
        <v>87.538956234949296</v>
      </c>
      <c r="AM6466">
        <v>75.258362516605899</v>
      </c>
      <c r="AN6466">
        <v>1.00000000234361</v>
      </c>
    </row>
    <row r="6467" spans="1:40" x14ac:dyDescent="0.25">
      <c r="A6467" t="str">
        <f>"20190312150819914"</f>
        <v>20190312150819914</v>
      </c>
      <c r="B6467" t="str">
        <f>"1552374499906478"</f>
        <v>1552374499906478</v>
      </c>
      <c r="C6467" t="s">
        <v>40</v>
      </c>
      <c r="D6467">
        <v>4.553242</v>
      </c>
      <c r="E6467">
        <v>0.60680009999999995</v>
      </c>
      <c r="F6467" t="s">
        <v>77</v>
      </c>
      <c r="G6467">
        <v>-197.40260000000001</v>
      </c>
      <c r="H6467" s="1">
        <v>-1.312248E-5</v>
      </c>
      <c r="I6467">
        <v>153.14449999999999</v>
      </c>
      <c r="J6467">
        <v>-192.67509999999999</v>
      </c>
      <c r="K6467">
        <v>1.109424</v>
      </c>
      <c r="L6467">
        <v>159.4539</v>
      </c>
      <c r="M6467">
        <v>-9.9408800000000005E-2</v>
      </c>
      <c r="N6467">
        <v>0</v>
      </c>
      <c r="O6467">
        <v>-0.99498699999999995</v>
      </c>
      <c r="P6467">
        <v>-0.34953499999999998</v>
      </c>
      <c r="Q6467">
        <v>3.3123909999999999E-2</v>
      </c>
      <c r="R6467">
        <v>-0.93633770000000005</v>
      </c>
      <c r="S6467">
        <v>-1.868546</v>
      </c>
      <c r="T6467">
        <v>-0.43758570000000002</v>
      </c>
      <c r="U6467">
        <v>-2.5233310000000002</v>
      </c>
      <c r="V6467">
        <v>0.25481530000000002</v>
      </c>
      <c r="W6467">
        <v>4.3076839999999998E-2</v>
      </c>
      <c r="X6467">
        <v>0.96602980000000005</v>
      </c>
      <c r="Y6467">
        <v>0.50634219999999996</v>
      </c>
      <c r="Z6467">
        <v>0.1411095</v>
      </c>
      <c r="AA6467">
        <v>0.85070889999999999</v>
      </c>
      <c r="AB6467">
        <v>17</v>
      </c>
      <c r="AC6467">
        <v>-4.7275000000000196</v>
      </c>
      <c r="AD6467">
        <v>-1.1094371224799999</v>
      </c>
      <c r="AE6467">
        <v>-6.3094000000000099</v>
      </c>
      <c r="AF6467">
        <v>3.9976712180043101</v>
      </c>
      <c r="AG6467">
        <v>-1.1094371224799999</v>
      </c>
      <c r="AH6467">
        <v>6.6170948419682203</v>
      </c>
      <c r="AI6467">
        <v>98.166546110960297</v>
      </c>
      <c r="AJ6467">
        <v>58.862022940964103</v>
      </c>
      <c r="AK6467">
        <v>7.8101325240740502</v>
      </c>
      <c r="AL6467">
        <v>87.531114953537994</v>
      </c>
      <c r="AM6467">
        <v>75.223330876960404</v>
      </c>
      <c r="AN6467">
        <v>1.00000001287325</v>
      </c>
    </row>
    <row r="6468" spans="1:40" x14ac:dyDescent="0.25">
      <c r="A6468" t="str">
        <f>"20190312150819925"</f>
        <v>20190312150819925</v>
      </c>
      <c r="B6468" t="str">
        <f>"1552374499916238"</f>
        <v>1552374499916238</v>
      </c>
      <c r="C6468" t="s">
        <v>40</v>
      </c>
      <c r="D6468">
        <v>4.5629629999999999</v>
      </c>
      <c r="E6468">
        <v>0.60709829999999998</v>
      </c>
      <c r="F6468" t="s">
        <v>77</v>
      </c>
      <c r="G6468">
        <v>-197.46969999999999</v>
      </c>
      <c r="H6468" s="1">
        <v>-1.309652E-5</v>
      </c>
      <c r="I6468">
        <v>153.01769999999999</v>
      </c>
      <c r="J6468">
        <v>-192.68539999999999</v>
      </c>
      <c r="K6468">
        <v>1.109413</v>
      </c>
      <c r="L6468">
        <v>159.36259999999999</v>
      </c>
      <c r="M6468">
        <v>-0.10045419999999999</v>
      </c>
      <c r="N6468">
        <v>0</v>
      </c>
      <c r="O6468">
        <v>-0.99488189999999999</v>
      </c>
      <c r="P6468">
        <v>-0.35108830000000002</v>
      </c>
      <c r="Q6468">
        <v>3.3577160000000002E-2</v>
      </c>
      <c r="R6468">
        <v>-0.93574020000000002</v>
      </c>
      <c r="S6468">
        <v>-1.8764190000000001</v>
      </c>
      <c r="T6468">
        <v>-0.43418849999999998</v>
      </c>
      <c r="U6468">
        <v>-2.5188600000000001</v>
      </c>
      <c r="V6468">
        <v>0.25540750000000001</v>
      </c>
      <c r="W6468">
        <v>4.3527509999999998E-2</v>
      </c>
      <c r="X6468">
        <v>0.96585319999999997</v>
      </c>
      <c r="Y6468">
        <v>0.50796549999999996</v>
      </c>
      <c r="Z6468">
        <v>0.1400247</v>
      </c>
      <c r="AA6468">
        <v>0.84992009999999996</v>
      </c>
      <c r="AB6468">
        <v>17</v>
      </c>
      <c r="AC6468">
        <v>-4.7843</v>
      </c>
      <c r="AD6468">
        <v>-1.10942609652</v>
      </c>
      <c r="AE6468">
        <v>-6.3448999999999902</v>
      </c>
      <c r="AF6468">
        <v>4.0438663967698503</v>
      </c>
      <c r="AG6468">
        <v>-1.10942609652</v>
      </c>
      <c r="AH6468">
        <v>6.6635516103550403</v>
      </c>
      <c r="AI6468">
        <v>98.100651054665306</v>
      </c>
      <c r="AJ6468">
        <v>58.747963809902402</v>
      </c>
      <c r="AK6468">
        <v>7.8731570391063102</v>
      </c>
      <c r="AL6468">
        <v>87.505269238650897</v>
      </c>
      <c r="AM6468">
        <v>75.187908189075301</v>
      </c>
      <c r="AN6468">
        <v>1.0000000195666401</v>
      </c>
    </row>
    <row r="6469" spans="1:40" x14ac:dyDescent="0.25">
      <c r="A6469" t="str">
        <f>"20190312150819937"</f>
        <v>20190312150819937</v>
      </c>
      <c r="B6469" t="str">
        <f>"1552374499926974"</f>
        <v>1552374499926974</v>
      </c>
      <c r="C6469" t="s">
        <v>40</v>
      </c>
      <c r="D6469">
        <v>4.5829510000000004</v>
      </c>
      <c r="E6469">
        <v>0.60759229999999997</v>
      </c>
      <c r="F6469" t="s">
        <v>77</v>
      </c>
      <c r="G6469">
        <v>-197.48560000000001</v>
      </c>
      <c r="H6469" s="1">
        <v>-1.30813E-5</v>
      </c>
      <c r="I6469">
        <v>152.95160000000001</v>
      </c>
      <c r="J6469">
        <v>-192.69560000000001</v>
      </c>
      <c r="K6469">
        <v>1.109402</v>
      </c>
      <c r="L6469">
        <v>159.27350000000001</v>
      </c>
      <c r="M6469">
        <v>-0.1014943</v>
      </c>
      <c r="N6469">
        <v>0</v>
      </c>
      <c r="O6469">
        <v>-0.9947762</v>
      </c>
      <c r="P6469">
        <v>-0.35273480000000001</v>
      </c>
      <c r="Q6469">
        <v>3.3422750000000001E-2</v>
      </c>
      <c r="R6469">
        <v>-0.93512589999999995</v>
      </c>
      <c r="S6469">
        <v>-1.8831629999999999</v>
      </c>
      <c r="T6469">
        <v>-0.43523620000000002</v>
      </c>
      <c r="U6469">
        <v>-2.5150760000000001</v>
      </c>
      <c r="V6469">
        <v>0.2560982</v>
      </c>
      <c r="W6469">
        <v>4.3369810000000002E-2</v>
      </c>
      <c r="X6469">
        <v>0.96567740000000002</v>
      </c>
      <c r="Y6469">
        <v>0.50911579999999901</v>
      </c>
      <c r="Z6469">
        <v>0.14034739999999901</v>
      </c>
      <c r="AA6469">
        <v>0.84917830000000005</v>
      </c>
      <c r="AB6469">
        <v>17</v>
      </c>
      <c r="AC6469">
        <v>-4.7899999999999903</v>
      </c>
      <c r="AD6469">
        <v>-1.1094150812999899</v>
      </c>
      <c r="AE6469">
        <v>-6.3218999999999896</v>
      </c>
      <c r="AF6469">
        <v>4.0444598695995904</v>
      </c>
      <c r="AG6469">
        <v>-1.1094150812999899</v>
      </c>
      <c r="AH6469">
        <v>6.6454240160268201</v>
      </c>
      <c r="AI6469">
        <v>98.116170994815306</v>
      </c>
      <c r="AJ6469">
        <v>58.674961294577798</v>
      </c>
      <c r="AK6469">
        <v>7.8581243189582803</v>
      </c>
      <c r="AL6469">
        <v>87.514313361151395</v>
      </c>
      <c r="AM6469">
        <v>75.147035548902295</v>
      </c>
      <c r="AN6469">
        <v>1.0000000346667099</v>
      </c>
    </row>
    <row r="6470" spans="1:40" x14ac:dyDescent="0.25">
      <c r="A6470" t="str">
        <f>"20190312150819950"</f>
        <v>20190312150819950</v>
      </c>
      <c r="B6470" t="str">
        <f>"1552374499946493"</f>
        <v>1552374499946493</v>
      </c>
      <c r="C6470" t="s">
        <v>40</v>
      </c>
      <c r="D6470">
        <v>4.5849279999999997</v>
      </c>
      <c r="E6470">
        <v>0.608357699999999</v>
      </c>
      <c r="F6470" t="s">
        <v>77</v>
      </c>
      <c r="G6470">
        <v>-197.54419999999999</v>
      </c>
      <c r="H6470" s="1">
        <v>-1.3057970000000001E-5</v>
      </c>
      <c r="I6470">
        <v>152.8382</v>
      </c>
      <c r="J6470">
        <v>-192.70570000000001</v>
      </c>
      <c r="K6470">
        <v>1.1093930000000001</v>
      </c>
      <c r="L6470">
        <v>159.18629999999999</v>
      </c>
      <c r="M6470">
        <v>-0.10252310000000001</v>
      </c>
      <c r="N6470">
        <v>0</v>
      </c>
      <c r="O6470">
        <v>-0.99467099999999997</v>
      </c>
      <c r="P6470">
        <v>-0.35435240000000001</v>
      </c>
      <c r="Q6470">
        <v>3.3634259999999999E-2</v>
      </c>
      <c r="R6470">
        <v>-0.93450739999999999</v>
      </c>
      <c r="S6470">
        <v>-1.891281</v>
      </c>
      <c r="T6470">
        <v>-0.43274000000000001</v>
      </c>
      <c r="U6470">
        <v>-2.5101930000000001</v>
      </c>
      <c r="V6470">
        <v>0.25677299999999997</v>
      </c>
      <c r="W6470">
        <v>4.3577520000000002E-2</v>
      </c>
      <c r="X6470">
        <v>0.96548880000000004</v>
      </c>
      <c r="Y6470">
        <v>0.51084229999999997</v>
      </c>
      <c r="Z6470">
        <v>0.1395544</v>
      </c>
      <c r="AA6470">
        <v>0.84827169999999896</v>
      </c>
      <c r="AB6470">
        <v>17</v>
      </c>
      <c r="AC6470">
        <v>-4.8384999999999803</v>
      </c>
      <c r="AD6470">
        <v>-1.10940605797</v>
      </c>
      <c r="AE6470">
        <v>-6.3480999999999801</v>
      </c>
      <c r="AF6470">
        <v>4.0832525973749698</v>
      </c>
      <c r="AG6470">
        <v>-1.10940605797</v>
      </c>
      <c r="AH6470">
        <v>6.6816523162502799</v>
      </c>
      <c r="AI6470">
        <v>98.063812113441003</v>
      </c>
      <c r="AJ6470">
        <v>58.570305606119497</v>
      </c>
      <c r="AK6470">
        <v>7.9087427098548799</v>
      </c>
      <c r="AL6470">
        <v>87.502401102341594</v>
      </c>
      <c r="AM6470">
        <v>75.106856045073101</v>
      </c>
      <c r="AN6470">
        <v>0.99999999835189501</v>
      </c>
    </row>
    <row r="6471" spans="1:40" x14ac:dyDescent="0.25">
      <c r="A6471" t="str">
        <f>"20190312150819962"</f>
        <v>20190312150819962</v>
      </c>
      <c r="B6471" t="str">
        <f>"1552374499956254"</f>
        <v>1552374499956254</v>
      </c>
      <c r="C6471" t="s">
        <v>40</v>
      </c>
      <c r="D6471">
        <v>4.5623379999999996</v>
      </c>
      <c r="E6471">
        <v>0.60876269999999999</v>
      </c>
      <c r="F6471" t="s">
        <v>77</v>
      </c>
      <c r="G6471">
        <v>-197.6499</v>
      </c>
      <c r="H6471" s="1">
        <v>-1.3025570000000001E-5</v>
      </c>
      <c r="I6471">
        <v>152.6722</v>
      </c>
      <c r="J6471">
        <v>-192.7167</v>
      </c>
      <c r="K6471">
        <v>1.1093839999999999</v>
      </c>
      <c r="L6471">
        <v>159.0915</v>
      </c>
      <c r="M6471">
        <v>-0.1036517</v>
      </c>
      <c r="N6471">
        <v>0</v>
      </c>
      <c r="O6471">
        <v>-0.99455389999999999</v>
      </c>
      <c r="P6471">
        <v>-0.35591349999999999</v>
      </c>
      <c r="Q6471">
        <v>3.3576910000000001E-2</v>
      </c>
      <c r="R6471">
        <v>-0.93391570000000002</v>
      </c>
      <c r="S6471">
        <v>-1.901108</v>
      </c>
      <c r="T6471">
        <v>-0.42657390000000001</v>
      </c>
      <c r="U6471">
        <v>-2.504715</v>
      </c>
      <c r="V6471">
        <v>0.25729190000000002</v>
      </c>
      <c r="W6471">
        <v>4.3517970000000003E-2</v>
      </c>
      <c r="X6471">
        <v>0.96535329999999997</v>
      </c>
      <c r="Y6471">
        <v>0.51304229999999995</v>
      </c>
      <c r="Z6471">
        <v>0.13758000000000001</v>
      </c>
      <c r="AA6471">
        <v>0.84726579999999996</v>
      </c>
      <c r="AB6471">
        <v>17</v>
      </c>
      <c r="AC6471">
        <v>-4.9331999999999896</v>
      </c>
      <c r="AD6471">
        <v>-1.1093970255700001</v>
      </c>
      <c r="AE6471">
        <v>-6.41929999999999</v>
      </c>
      <c r="AF6471">
        <v>4.1630417585464796</v>
      </c>
      <c r="AG6471">
        <v>-1.1093970255700001</v>
      </c>
      <c r="AH6471">
        <v>6.7689785819676898</v>
      </c>
      <c r="AI6471">
        <v>97.947401376061507</v>
      </c>
      <c r="AJ6471">
        <v>58.407747742447299</v>
      </c>
      <c r="AK6471">
        <v>8.0237615547125198</v>
      </c>
      <c r="AL6471">
        <v>87.505816221798199</v>
      </c>
      <c r="AM6471">
        <v>75.076099503199998</v>
      </c>
      <c r="AN6471">
        <v>0.99999996466970897</v>
      </c>
    </row>
    <row r="6472" spans="1:40" x14ac:dyDescent="0.25">
      <c r="A6472" t="str">
        <f>"20190312150819973"</f>
        <v>20190312150819973</v>
      </c>
      <c r="B6472" t="str">
        <f>"1552374499966990"</f>
        <v>1552374499966990</v>
      </c>
      <c r="C6472" t="s">
        <v>40</v>
      </c>
      <c r="D6472">
        <v>4.8045600000000004</v>
      </c>
      <c r="E6472">
        <v>0.60888369999999903</v>
      </c>
      <c r="F6472" t="s">
        <v>77</v>
      </c>
      <c r="G6472">
        <v>-197.7114</v>
      </c>
      <c r="H6472" s="1">
        <v>-1.2999709999999999E-5</v>
      </c>
      <c r="I6472">
        <v>152.54769999999999</v>
      </c>
      <c r="J6472">
        <v>-192.72710000000001</v>
      </c>
      <c r="K6472">
        <v>1.109378</v>
      </c>
      <c r="L6472">
        <v>159.0034</v>
      </c>
      <c r="M6472">
        <v>-0.10471469999999999</v>
      </c>
      <c r="N6472">
        <v>0</v>
      </c>
      <c r="O6472">
        <v>-0.99444239999999995</v>
      </c>
      <c r="P6472">
        <v>-0.35771570000000003</v>
      </c>
      <c r="Q6472">
        <v>3.3736549999999997E-2</v>
      </c>
      <c r="R6472">
        <v>-0.93322139999999998</v>
      </c>
      <c r="S6472">
        <v>-1.9083559999999999</v>
      </c>
      <c r="T6472">
        <v>-0.42387409999999998</v>
      </c>
      <c r="U6472">
        <v>-2.500229</v>
      </c>
      <c r="V6472">
        <v>0.25812590000000002</v>
      </c>
      <c r="W6472">
        <v>4.3672809999999999E-2</v>
      </c>
      <c r="X6472">
        <v>0.96512370000000003</v>
      </c>
      <c r="Y6472">
        <v>0.51448549999999904</v>
      </c>
      <c r="Z6472">
        <v>0.13672699999999999</v>
      </c>
      <c r="AA6472">
        <v>0.84652850000000002</v>
      </c>
      <c r="AB6472">
        <v>17</v>
      </c>
      <c r="AC6472">
        <v>-4.9842999999999904</v>
      </c>
      <c r="AD6472">
        <v>-1.10939099971</v>
      </c>
      <c r="AE6472">
        <v>-6.4557000000000002</v>
      </c>
      <c r="AF6472">
        <v>4.2030816622842604</v>
      </c>
      <c r="AG6472">
        <v>-1.10939099971</v>
      </c>
      <c r="AH6472">
        <v>6.8160534005961102</v>
      </c>
      <c r="AI6472">
        <v>97.887505901604698</v>
      </c>
      <c r="AJ6472">
        <v>58.340170147554304</v>
      </c>
      <c r="AK6472">
        <v>8.084258024695</v>
      </c>
      <c r="AL6472">
        <v>87.496936252585101</v>
      </c>
      <c r="AM6472">
        <v>75.0264914110316</v>
      </c>
      <c r="AN6472">
        <v>1.00000002544289</v>
      </c>
    </row>
    <row r="6473" spans="1:40" x14ac:dyDescent="0.25">
      <c r="A6473" t="str">
        <f>"20190312150819990"</f>
        <v>20190312150819990</v>
      </c>
      <c r="B6473" t="str">
        <f>"1552374499986510"</f>
        <v>1552374499986510</v>
      </c>
      <c r="C6473" t="s">
        <v>40</v>
      </c>
      <c r="D6473">
        <v>4.5899359999999998</v>
      </c>
      <c r="E6473">
        <v>0.60951290000000002</v>
      </c>
      <c r="F6473" t="s">
        <v>77</v>
      </c>
      <c r="G6473">
        <v>-197.84229999999999</v>
      </c>
      <c r="H6473" s="1">
        <v>-1.29571499999999E-5</v>
      </c>
      <c r="I6473">
        <v>152.33240000000001</v>
      </c>
      <c r="J6473">
        <v>-192.7414</v>
      </c>
      <c r="K6473">
        <v>1.109372</v>
      </c>
      <c r="L6473">
        <v>158.8843</v>
      </c>
      <c r="M6473">
        <v>-0.1061624</v>
      </c>
      <c r="N6473">
        <v>0</v>
      </c>
      <c r="O6473">
        <v>-0.99428870000000003</v>
      </c>
      <c r="P6473">
        <v>-0.36069269999999998</v>
      </c>
      <c r="Q6473">
        <v>3.353254E-2</v>
      </c>
      <c r="R6473">
        <v>-0.93208179999999996</v>
      </c>
      <c r="S6473">
        <v>-1.9139250000000001</v>
      </c>
      <c r="T6473">
        <v>-0.4150972</v>
      </c>
      <c r="U6473">
        <v>-2.496048</v>
      </c>
      <c r="V6473">
        <v>0.25980189999999997</v>
      </c>
      <c r="W6473">
        <v>4.3459369999999997E-2</v>
      </c>
      <c r="X6473">
        <v>0.96468350000000003</v>
      </c>
      <c r="Y6473">
        <v>0.5153432</v>
      </c>
      <c r="Z6473">
        <v>0.133981399999999</v>
      </c>
      <c r="AA6473">
        <v>0.84644569999999997</v>
      </c>
      <c r="AB6473">
        <v>17</v>
      </c>
      <c r="AC6473">
        <v>-5.1008999999999904</v>
      </c>
      <c r="AD6473">
        <v>-1.1093849571500001</v>
      </c>
      <c r="AE6473">
        <v>-6.5518999999999803</v>
      </c>
      <c r="AF6473">
        <v>4.2997111070736702</v>
      </c>
      <c r="AG6473">
        <v>-1.1093849571500001</v>
      </c>
      <c r="AH6473">
        <v>6.9326735380991504</v>
      </c>
      <c r="AI6473">
        <v>97.744200350785107</v>
      </c>
      <c r="AJ6473">
        <v>58.192410795644598</v>
      </c>
      <c r="AK6473">
        <v>8.2328739194344305</v>
      </c>
      <c r="AL6473">
        <v>87.509177021229405</v>
      </c>
      <c r="AM6473">
        <v>74.927113760035596</v>
      </c>
      <c r="AN6473">
        <v>0.99999999962832797</v>
      </c>
    </row>
    <row r="6474" spans="1:40" x14ac:dyDescent="0.25">
      <c r="A6474" t="str">
        <f>"20190312150820012"</f>
        <v>20190312150820012</v>
      </c>
      <c r="B6474" t="str">
        <f>"1552374500007006"</f>
        <v>1552374500007006</v>
      </c>
      <c r="C6474" t="s">
        <v>40</v>
      </c>
      <c r="D6474">
        <v>4.5425240000000002</v>
      </c>
      <c r="E6474">
        <v>0.60988339999999996</v>
      </c>
      <c r="F6474" t="s">
        <v>77</v>
      </c>
      <c r="G6474">
        <v>-197.8913</v>
      </c>
      <c r="H6474" s="1">
        <v>-1.29361E-5</v>
      </c>
      <c r="I6474">
        <v>152.23150000000001</v>
      </c>
      <c r="J6474">
        <v>-192.76140000000001</v>
      </c>
      <c r="K6474">
        <v>1.109359</v>
      </c>
      <c r="L6474">
        <v>158.7199</v>
      </c>
      <c r="M6474">
        <v>-0.1081872</v>
      </c>
      <c r="N6474">
        <v>0</v>
      </c>
      <c r="O6474">
        <v>-0.99407020000000001</v>
      </c>
      <c r="P6474">
        <v>-0.36401339999999999</v>
      </c>
      <c r="Q6474">
        <v>3.342063E-2</v>
      </c>
      <c r="R6474">
        <v>-0.93079389999999995</v>
      </c>
      <c r="S6474">
        <v>-1.926086</v>
      </c>
      <c r="T6474">
        <v>-0.414912</v>
      </c>
      <c r="U6474">
        <v>-2.488159</v>
      </c>
      <c r="V6474">
        <v>0.2612778</v>
      </c>
      <c r="W6474">
        <v>4.3338849999999998E-2</v>
      </c>
      <c r="X6474">
        <v>0.96429030000000004</v>
      </c>
      <c r="Y6474">
        <v>0.51749449999999997</v>
      </c>
      <c r="Z6474">
        <v>0.13393849999999999</v>
      </c>
      <c r="AA6474">
        <v>0.84513899999999997</v>
      </c>
      <c r="AB6474">
        <v>17</v>
      </c>
      <c r="AC6474">
        <v>-5.1298999999999904</v>
      </c>
      <c r="AD6474">
        <v>-1.1093719361000001</v>
      </c>
      <c r="AE6474">
        <v>-6.48839999999998</v>
      </c>
      <c r="AF6474">
        <v>4.3200699088530499</v>
      </c>
      <c r="AG6474">
        <v>-1.1093719361000001</v>
      </c>
      <c r="AH6474">
        <v>6.8815442398001903</v>
      </c>
      <c r="AI6474">
        <v>97.774802212090506</v>
      </c>
      <c r="AJ6474">
        <v>57.880374704371498</v>
      </c>
      <c r="AK6474">
        <v>8.2005707871044606</v>
      </c>
      <c r="AL6474">
        <v>87.516088979984801</v>
      </c>
      <c r="AM6474">
        <v>74.839519372080403</v>
      </c>
      <c r="AN6474">
        <v>1.0000000636831201</v>
      </c>
    </row>
    <row r="6475" spans="1:40" x14ac:dyDescent="0.25">
      <c r="A6475" t="str">
        <f>"20190312150820024"</f>
        <v>20190312150820024</v>
      </c>
      <c r="B6475" t="str">
        <f>"1552374500016768"</f>
        <v>1552374500016768</v>
      </c>
      <c r="C6475" t="s">
        <v>40</v>
      </c>
      <c r="D6475">
        <v>4.5647250000000001</v>
      </c>
      <c r="E6475">
        <v>0.6101337</v>
      </c>
      <c r="F6475" t="s">
        <v>77</v>
      </c>
      <c r="G6475">
        <v>-197.93209999999999</v>
      </c>
      <c r="H6475" s="1">
        <v>-1.2907109999999999E-5</v>
      </c>
      <c r="I6475">
        <v>152.1019</v>
      </c>
      <c r="J6475">
        <v>-192.77279999999999</v>
      </c>
      <c r="K6475">
        <v>1.109353</v>
      </c>
      <c r="L6475">
        <v>158.6268</v>
      </c>
      <c r="M6475">
        <v>-0.10934389999999899</v>
      </c>
      <c r="N6475">
        <v>0</v>
      </c>
      <c r="O6475">
        <v>-0.99394389999999999</v>
      </c>
      <c r="P6475">
        <v>-0.36551159999999999</v>
      </c>
      <c r="Q6475">
        <v>3.353718E-2</v>
      </c>
      <c r="R6475">
        <v>-0.930203</v>
      </c>
      <c r="S6475">
        <v>-1.937775</v>
      </c>
      <c r="T6475">
        <v>-0.41574909999999998</v>
      </c>
      <c r="U6475">
        <v>-2.4801790000000001</v>
      </c>
      <c r="V6475">
        <v>0.26171</v>
      </c>
      <c r="W6475">
        <v>4.3452709999999999E-2</v>
      </c>
      <c r="X6475">
        <v>0.96416789999999997</v>
      </c>
      <c r="Y6475">
        <v>0.52027079999999903</v>
      </c>
      <c r="Z6475">
        <v>0.134218899999999</v>
      </c>
      <c r="AA6475">
        <v>0.84338809999999997</v>
      </c>
      <c r="AB6475">
        <v>17</v>
      </c>
      <c r="AC6475">
        <v>-5.1593</v>
      </c>
      <c r="AD6475">
        <v>-1.1093659071099999</v>
      </c>
      <c r="AE6475">
        <v>-6.5248999999999997</v>
      </c>
      <c r="AF6475">
        <v>4.3377079596270001</v>
      </c>
      <c r="AG6475">
        <v>-1.1093659071099999</v>
      </c>
      <c r="AH6475">
        <v>6.9267413873118002</v>
      </c>
      <c r="AI6475">
        <v>97.729969524899701</v>
      </c>
      <c r="AJ6475">
        <v>57.9441173284863</v>
      </c>
      <c r="AK6475">
        <v>8.2477966333783801</v>
      </c>
      <c r="AL6475">
        <v>87.509558974725806</v>
      </c>
      <c r="AM6475">
        <v>74.813759571812696</v>
      </c>
      <c r="AN6475">
        <v>1.00000000074837</v>
      </c>
    </row>
    <row r="6476" spans="1:40" x14ac:dyDescent="0.25">
      <c r="A6476" t="str">
        <f>"20190312150820037"</f>
        <v>20190312150820037</v>
      </c>
      <c r="B6476" t="str">
        <f>"1552374500026526"</f>
        <v>1552374500026526</v>
      </c>
      <c r="C6476" t="s">
        <v>40</v>
      </c>
      <c r="D6476">
        <v>4.5506679999999999</v>
      </c>
      <c r="E6476">
        <v>0.61031400000000002</v>
      </c>
      <c r="F6476" t="s">
        <v>77</v>
      </c>
      <c r="G6476">
        <v>-197.9641</v>
      </c>
      <c r="H6476" s="1">
        <v>-1.2887829999999999E-5</v>
      </c>
      <c r="I6476">
        <v>152.01400000000001</v>
      </c>
      <c r="J6476">
        <v>-192.78460000000001</v>
      </c>
      <c r="K6476">
        <v>1.1093489999999999</v>
      </c>
      <c r="L6476">
        <v>158.53200000000001</v>
      </c>
      <c r="M6476">
        <v>-0.1105353</v>
      </c>
      <c r="N6476">
        <v>0</v>
      </c>
      <c r="O6476">
        <v>-0.99381169999999996</v>
      </c>
      <c r="P6476">
        <v>-0.36719230000000003</v>
      </c>
      <c r="Q6476">
        <v>3.3892510000000001E-2</v>
      </c>
      <c r="R6476">
        <v>-0.92952729999999995</v>
      </c>
      <c r="S6476">
        <v>-1.9439390000000001</v>
      </c>
      <c r="T6476">
        <v>-0.41541650000000002</v>
      </c>
      <c r="U6476">
        <v>-2.4762569999999999</v>
      </c>
      <c r="V6476">
        <v>0.26230009999999998</v>
      </c>
      <c r="W6476">
        <v>4.3805240000000002E-2</v>
      </c>
      <c r="X6476">
        <v>0.96399159999999995</v>
      </c>
      <c r="Y6476">
        <v>0.52120759999999999</v>
      </c>
      <c r="Z6476">
        <v>0.13411899999999999</v>
      </c>
      <c r="AA6476">
        <v>0.84282549999999901</v>
      </c>
      <c r="AB6476">
        <v>17</v>
      </c>
      <c r="AC6476">
        <v>-5.1794999999999902</v>
      </c>
      <c r="AD6476">
        <v>-1.10936188783</v>
      </c>
      <c r="AE6476">
        <v>-6.5179999999999998</v>
      </c>
      <c r="AF6476">
        <v>4.3500068465499</v>
      </c>
      <c r="AG6476">
        <v>-1.10936188783</v>
      </c>
      <c r="AH6476">
        <v>6.9276009017696696</v>
      </c>
      <c r="AI6476">
        <v>97.723162243283497</v>
      </c>
      <c r="AJ6476">
        <v>57.874302145228903</v>
      </c>
      <c r="AK6476">
        <v>8.2549922845149108</v>
      </c>
      <c r="AL6476">
        <v>87.489341298600095</v>
      </c>
      <c r="AM6476">
        <v>74.778450013344198</v>
      </c>
      <c r="AN6476">
        <v>1.00000002319101</v>
      </c>
    </row>
    <row r="6477" spans="1:40" x14ac:dyDescent="0.25">
      <c r="A6477" t="str">
        <f>"20190312150820057"</f>
        <v>20190312150820057</v>
      </c>
      <c r="B6477" t="str">
        <f>"1552374500046046"</f>
        <v>1552374500046046</v>
      </c>
      <c r="C6477" t="s">
        <v>40</v>
      </c>
      <c r="D6477">
        <v>3.961805</v>
      </c>
      <c r="E6477">
        <v>0.61057669999999997</v>
      </c>
      <c r="F6477" t="s">
        <v>77</v>
      </c>
      <c r="G6477">
        <v>-198.00129999999999</v>
      </c>
      <c r="H6477" s="1">
        <v>-1.286684E-5</v>
      </c>
      <c r="I6477">
        <v>151.91749999999999</v>
      </c>
      <c r="J6477">
        <v>-192.80369999999999</v>
      </c>
      <c r="K6477">
        <v>1.10934</v>
      </c>
      <c r="L6477">
        <v>158.3809</v>
      </c>
      <c r="M6477">
        <v>-0.112451</v>
      </c>
      <c r="N6477">
        <v>0</v>
      </c>
      <c r="O6477">
        <v>-0.99359679999999995</v>
      </c>
      <c r="P6477">
        <v>-0.37000460000000002</v>
      </c>
      <c r="Q6477">
        <v>3.4210089999999999E-2</v>
      </c>
      <c r="R6477">
        <v>-0.9284</v>
      </c>
      <c r="S6477">
        <v>-1.949829</v>
      </c>
      <c r="T6477">
        <v>-0.41464499999999999</v>
      </c>
      <c r="U6477">
        <v>-2.472321</v>
      </c>
      <c r="V6477">
        <v>0.26336349999999997</v>
      </c>
      <c r="W6477">
        <v>4.4116790000000003E-2</v>
      </c>
      <c r="X6477">
        <v>0.96368739999999997</v>
      </c>
      <c r="Y6477">
        <v>0.52147829999999995</v>
      </c>
      <c r="Z6477">
        <v>0.1338966</v>
      </c>
      <c r="AA6477">
        <v>0.84269340000000004</v>
      </c>
      <c r="AB6477">
        <v>17</v>
      </c>
      <c r="AC6477">
        <v>-5.1975999999999898</v>
      </c>
      <c r="AD6477">
        <v>-1.1093528668399999</v>
      </c>
      <c r="AE6477">
        <v>-6.4634</v>
      </c>
      <c r="AF6477">
        <v>4.3597732327346996</v>
      </c>
      <c r="AG6477">
        <v>-1.1093528668399999</v>
      </c>
      <c r="AH6477">
        <v>6.8837594259335697</v>
      </c>
      <c r="AI6477">
        <v>97.752944299555196</v>
      </c>
      <c r="AJ6477">
        <v>57.652206429260701</v>
      </c>
      <c r="AK6477">
        <v>8.2234074603028997</v>
      </c>
      <c r="AL6477">
        <v>87.471473503393199</v>
      </c>
      <c r="AM6477">
        <v>74.715021293483503</v>
      </c>
      <c r="AN6477">
        <v>1.00000001460545</v>
      </c>
    </row>
    <row r="6478" spans="1:40" x14ac:dyDescent="0.25">
      <c r="A6478" t="str">
        <f>"20190312150820071"</f>
        <v>20190312150820071</v>
      </c>
      <c r="B6478" t="str">
        <f>"1552374500066542"</f>
        <v>1552374500066542</v>
      </c>
      <c r="C6478" t="s">
        <v>40</v>
      </c>
      <c r="D6478">
        <v>4.5460779999999996</v>
      </c>
      <c r="E6478">
        <v>0.61061119999999902</v>
      </c>
      <c r="F6478" t="s">
        <v>77</v>
      </c>
      <c r="G6478">
        <v>-198.06649999999999</v>
      </c>
      <c r="H6478" s="1">
        <v>-1.2832370000000001E-5</v>
      </c>
      <c r="I6478">
        <v>151.75739999999999</v>
      </c>
      <c r="J6478">
        <v>-192.81659999999999</v>
      </c>
      <c r="K6478">
        <v>1.109334</v>
      </c>
      <c r="L6478">
        <v>158.28020000000001</v>
      </c>
      <c r="M6478">
        <v>-0.1137413</v>
      </c>
      <c r="N6478">
        <v>0</v>
      </c>
      <c r="O6478">
        <v>-0.9934499</v>
      </c>
      <c r="P6478">
        <v>-0.37158089999999999</v>
      </c>
      <c r="Q6478">
        <v>3.429248E-2</v>
      </c>
      <c r="R6478">
        <v>-0.92776720000000001</v>
      </c>
      <c r="S6478">
        <v>-1.9592130000000001</v>
      </c>
      <c r="T6478">
        <v>-0.41298570000000001</v>
      </c>
      <c r="U6478">
        <v>-2.4657589999999998</v>
      </c>
      <c r="V6478">
        <v>0.26375009999999999</v>
      </c>
      <c r="W6478">
        <v>4.4196819999999998E-2</v>
      </c>
      <c r="X6478">
        <v>0.96357800000000005</v>
      </c>
      <c r="Y6478">
        <v>0.52347479999999902</v>
      </c>
      <c r="Z6478">
        <v>0.1333888</v>
      </c>
      <c r="AA6478">
        <v>0.84153519999999904</v>
      </c>
      <c r="AB6478">
        <v>17</v>
      </c>
      <c r="AC6478">
        <v>-5.2498999999999896</v>
      </c>
      <c r="AD6478">
        <v>-1.10934683237</v>
      </c>
      <c r="AE6478">
        <v>-6.5228000000000099</v>
      </c>
      <c r="AF6478">
        <v>4.3966922612599602</v>
      </c>
      <c r="AG6478">
        <v>-1.10934683237</v>
      </c>
      <c r="AH6478">
        <v>6.9555365615153004</v>
      </c>
      <c r="AI6478">
        <v>97.678063170023407</v>
      </c>
      <c r="AJ6478">
        <v>57.702444994050801</v>
      </c>
      <c r="AK6478">
        <v>8.3030742555567194</v>
      </c>
      <c r="AL6478">
        <v>87.466883654233399</v>
      </c>
      <c r="AM6478">
        <v>74.691979357413601</v>
      </c>
      <c r="AN6478">
        <v>1.00000001811606</v>
      </c>
    </row>
    <row r="6479" spans="1:40" x14ac:dyDescent="0.25">
      <c r="A6479" t="str">
        <f>"20190312150820085"</f>
        <v>20190312150820085</v>
      </c>
      <c r="B6479" t="str">
        <f>"1552374500076301"</f>
        <v>1552374500076301</v>
      </c>
      <c r="C6479" t="s">
        <v>40</v>
      </c>
      <c r="D6479">
        <v>4.5258510000000003</v>
      </c>
      <c r="E6479">
        <v>0.61055369999999998</v>
      </c>
      <c r="F6479" t="s">
        <v>77</v>
      </c>
      <c r="G6479">
        <v>-198.15190000000001</v>
      </c>
      <c r="H6479" s="1">
        <v>-1.279769E-5</v>
      </c>
      <c r="I6479">
        <v>151.58949999999999</v>
      </c>
      <c r="J6479">
        <v>-192.83019999999999</v>
      </c>
      <c r="K6479">
        <v>1.1093280000000001</v>
      </c>
      <c r="L6479">
        <v>158.17519999999999</v>
      </c>
      <c r="M6479">
        <v>-0.1150965</v>
      </c>
      <c r="N6479">
        <v>0</v>
      </c>
      <c r="O6479">
        <v>-0.9932938</v>
      </c>
      <c r="P6479">
        <v>-0.3733687</v>
      </c>
      <c r="Q6479">
        <v>3.419958E-2</v>
      </c>
      <c r="R6479">
        <v>-0.92705269999999995</v>
      </c>
      <c r="S6479">
        <v>-1.96347</v>
      </c>
      <c r="T6479">
        <v>-0.40825470000000003</v>
      </c>
      <c r="U6479">
        <v>-2.4622649999999999</v>
      </c>
      <c r="V6479">
        <v>0.26429350000000001</v>
      </c>
      <c r="W6479">
        <v>4.410058E-2</v>
      </c>
      <c r="X6479">
        <v>0.96343350000000005</v>
      </c>
      <c r="Y6479">
        <v>0.52391019999999999</v>
      </c>
      <c r="Z6479">
        <v>0.1319226</v>
      </c>
      <c r="AA6479">
        <v>0.8414954</v>
      </c>
      <c r="AB6479">
        <v>17</v>
      </c>
      <c r="AC6479">
        <v>-5.3217000000000203</v>
      </c>
      <c r="AD6479">
        <v>-1.10934079769</v>
      </c>
      <c r="AE6479">
        <v>-6.5857000000000001</v>
      </c>
      <c r="AF6479">
        <v>4.4518736043533496</v>
      </c>
      <c r="AG6479">
        <v>-1.10934079769</v>
      </c>
      <c r="AH6479">
        <v>7.0337356197914103</v>
      </c>
      <c r="AI6479">
        <v>97.590889875941798</v>
      </c>
      <c r="AJ6479">
        <v>57.6689872306561</v>
      </c>
      <c r="AK6479">
        <v>8.3978123558269697</v>
      </c>
      <c r="AL6479">
        <v>87.472403166466506</v>
      </c>
      <c r="AM6479">
        <v>74.659732308367396</v>
      </c>
      <c r="AN6479">
        <v>1.00000001211041</v>
      </c>
    </row>
    <row r="6480" spans="1:40" x14ac:dyDescent="0.25">
      <c r="A6480" t="str">
        <f>"20190312150820100"</f>
        <v>20190312150820100</v>
      </c>
      <c r="B6480" t="str">
        <f>"1552374500096798"</f>
        <v>1552374500096798</v>
      </c>
      <c r="C6480" t="s">
        <v>40</v>
      </c>
      <c r="D6480">
        <v>4.5216370000000001</v>
      </c>
      <c r="E6480">
        <v>0.61084939999999999</v>
      </c>
      <c r="F6480" t="s">
        <v>77</v>
      </c>
      <c r="G6480">
        <v>-198.22649999999999</v>
      </c>
      <c r="H6480" s="1">
        <v>-1.2764640000000001E-5</v>
      </c>
      <c r="I6480">
        <v>151.43190000000001</v>
      </c>
      <c r="J6480">
        <v>-192.8458</v>
      </c>
      <c r="K6480">
        <v>1.109313</v>
      </c>
      <c r="L6480">
        <v>158.05629999999999</v>
      </c>
      <c r="M6480">
        <v>-0.1166512</v>
      </c>
      <c r="N6480">
        <v>0</v>
      </c>
      <c r="O6480">
        <v>-0.99311229999999995</v>
      </c>
      <c r="P6480">
        <v>-0.37553999999999998</v>
      </c>
      <c r="Q6480">
        <v>3.4509640000000001E-2</v>
      </c>
      <c r="R6480">
        <v>-0.92616350000000003</v>
      </c>
      <c r="S6480">
        <v>-1.9674529999999999</v>
      </c>
      <c r="T6480">
        <v>-0.40446080000000001</v>
      </c>
      <c r="U6480">
        <v>-2.4585880000000002</v>
      </c>
      <c r="V6480">
        <v>0.26504670000000002</v>
      </c>
      <c r="W6480">
        <v>4.4403079999999998E-2</v>
      </c>
      <c r="X6480">
        <v>0.96321270000000003</v>
      </c>
      <c r="Y6480">
        <v>0.52412219999999998</v>
      </c>
      <c r="Z6480">
        <v>0.13076740000000001</v>
      </c>
      <c r="AA6480">
        <v>0.84154370000000001</v>
      </c>
      <c r="AB6480">
        <v>17</v>
      </c>
      <c r="AC6480">
        <v>-5.3806999999999903</v>
      </c>
      <c r="AD6480">
        <v>-1.1093257646400001</v>
      </c>
      <c r="AE6480">
        <v>-6.6243999999999801</v>
      </c>
      <c r="AF6480">
        <v>4.4952198421081997</v>
      </c>
      <c r="AG6480">
        <v>-1.1093257646400001</v>
      </c>
      <c r="AH6480">
        <v>7.0871291323549199</v>
      </c>
      <c r="AI6480">
        <v>97.529722822451006</v>
      </c>
      <c r="AJ6480">
        <v>57.613886432972002</v>
      </c>
      <c r="AK6480">
        <v>8.46551855586244</v>
      </c>
      <c r="AL6480">
        <v>87.455054284873299</v>
      </c>
      <c r="AM6480">
        <v>74.614723467937296</v>
      </c>
      <c r="AN6480">
        <v>1.00000004606783</v>
      </c>
    </row>
    <row r="6481" spans="1:40" x14ac:dyDescent="0.25">
      <c r="A6481" t="str">
        <f>"20190312150820113"</f>
        <v>20190312150820113</v>
      </c>
      <c r="B6481" t="str">
        <f>"1552374500106558"</f>
        <v>1552374500106558</v>
      </c>
      <c r="C6481" t="s">
        <v>40</v>
      </c>
      <c r="D6481">
        <v>4.510338</v>
      </c>
      <c r="E6481">
        <v>0.61104190000000003</v>
      </c>
      <c r="F6481" t="s">
        <v>77</v>
      </c>
      <c r="G6481">
        <v>-198.262</v>
      </c>
      <c r="H6481" s="1">
        <v>-1.2741900000000001E-5</v>
      </c>
      <c r="I6481">
        <v>151.32900000000001</v>
      </c>
      <c r="J6481">
        <v>-192.85759999999999</v>
      </c>
      <c r="K6481">
        <v>1.1093040000000001</v>
      </c>
      <c r="L6481">
        <v>157.96799999999999</v>
      </c>
      <c r="M6481">
        <v>-0.11781700000000001</v>
      </c>
      <c r="N6481">
        <v>0</v>
      </c>
      <c r="O6481">
        <v>-0.99297480000000005</v>
      </c>
      <c r="P6481">
        <v>-0.37726199999999999</v>
      </c>
      <c r="Q6481">
        <v>3.4664340000000002E-2</v>
      </c>
      <c r="R6481">
        <v>-0.9254578</v>
      </c>
      <c r="S6481">
        <v>-1.9751890000000001</v>
      </c>
      <c r="T6481">
        <v>-0.40455170000000001</v>
      </c>
      <c r="U6481">
        <v>-2.4533390000000002</v>
      </c>
      <c r="V6481">
        <v>0.26570959999999899</v>
      </c>
      <c r="W6481">
        <v>4.4551710000000001E-2</v>
      </c>
      <c r="X6481">
        <v>0.96302310000000002</v>
      </c>
      <c r="Y6481">
        <v>0.52561279999999999</v>
      </c>
      <c r="Z6481">
        <v>0.1308049</v>
      </c>
      <c r="AA6481">
        <v>0.84060759999999901</v>
      </c>
      <c r="AB6481">
        <v>17</v>
      </c>
      <c r="AC6481">
        <v>-5.4044000000000096</v>
      </c>
      <c r="AD6481">
        <v>-1.1093167419000001</v>
      </c>
      <c r="AE6481">
        <v>-6.6389999999999798</v>
      </c>
      <c r="AF6481">
        <v>4.5088094929580302</v>
      </c>
      <c r="AG6481">
        <v>-1.1093167419000001</v>
      </c>
      <c r="AH6481">
        <v>7.1101309819739704</v>
      </c>
      <c r="AI6481">
        <v>97.506053364668702</v>
      </c>
      <c r="AJ6481">
        <v>57.619632966260198</v>
      </c>
      <c r="AK6481">
        <v>8.4919908889773499</v>
      </c>
      <c r="AL6481">
        <v>87.446529780296899</v>
      </c>
      <c r="AM6481">
        <v>74.575181825801295</v>
      </c>
      <c r="AN6481">
        <v>0.99999996876484598</v>
      </c>
    </row>
    <row r="6482" spans="1:40" x14ac:dyDescent="0.25">
      <c r="A6482" t="str">
        <f>"20190312150820124"</f>
        <v>20190312150820124</v>
      </c>
      <c r="B6482" t="str">
        <f>"1552374500116318"</f>
        <v>1552374500116318</v>
      </c>
      <c r="C6482" t="s">
        <v>40</v>
      </c>
      <c r="D6482">
        <v>4.36869</v>
      </c>
      <c r="E6482">
        <v>0.61063120000000004</v>
      </c>
      <c r="F6482" t="s">
        <v>77</v>
      </c>
      <c r="G6482">
        <v>-198.28309999999999</v>
      </c>
      <c r="H6482" s="1">
        <v>-1.272668E-5</v>
      </c>
      <c r="I6482">
        <v>151.2611</v>
      </c>
      <c r="J6482">
        <v>-192.86920000000001</v>
      </c>
      <c r="K6482">
        <v>1.109297</v>
      </c>
      <c r="L6482">
        <v>157.8811</v>
      </c>
      <c r="M6482">
        <v>-0.11896859999999999</v>
      </c>
      <c r="N6482">
        <v>0</v>
      </c>
      <c r="O6482">
        <v>-0.99283739999999998</v>
      </c>
      <c r="P6482">
        <v>-0.37891730000000001</v>
      </c>
      <c r="Q6482">
        <v>3.4814110000000002E-2</v>
      </c>
      <c r="R6482">
        <v>-0.92477569999999998</v>
      </c>
      <c r="S6482">
        <v>-1.9812160000000001</v>
      </c>
      <c r="T6482">
        <v>-0.40508709999999998</v>
      </c>
      <c r="U6482">
        <v>-2.4491580000000002</v>
      </c>
      <c r="V6482">
        <v>0.266318099999999</v>
      </c>
      <c r="W6482">
        <v>4.4695569999999997E-2</v>
      </c>
      <c r="X6482">
        <v>0.96284840000000005</v>
      </c>
      <c r="Y6482">
        <v>0.52656729999999996</v>
      </c>
      <c r="Z6482">
        <v>0.1309874</v>
      </c>
      <c r="AA6482">
        <v>0.83998169999999905</v>
      </c>
      <c r="AB6482">
        <v>17</v>
      </c>
      <c r="AC6482">
        <v>-5.4138999999999804</v>
      </c>
      <c r="AD6482">
        <v>-1.1093097266800001</v>
      </c>
      <c r="AE6482">
        <v>-6.62</v>
      </c>
      <c r="AF6482">
        <v>4.5119088066415998</v>
      </c>
      <c r="AG6482">
        <v>-1.1093097266800001</v>
      </c>
      <c r="AH6482">
        <v>7.0976762347836697</v>
      </c>
      <c r="AI6482">
        <v>97.513817469675999</v>
      </c>
      <c r="AJ6482">
        <v>57.556362467056701</v>
      </c>
      <c r="AK6482">
        <v>8.4832126628400601</v>
      </c>
      <c r="AL6482">
        <v>87.438279154664301</v>
      </c>
      <c r="AM6482">
        <v>74.538874584826104</v>
      </c>
      <c r="AN6482">
        <v>1.0000000328738901</v>
      </c>
    </row>
    <row r="6483" spans="1:40" x14ac:dyDescent="0.25">
      <c r="A6483" t="str">
        <f>"20190312150820136"</f>
        <v>20190312150820136</v>
      </c>
      <c r="B6483" t="str">
        <f>"1552374500126078"</f>
        <v>1552374500126078</v>
      </c>
      <c r="C6483" t="s">
        <v>40</v>
      </c>
      <c r="D6483">
        <v>4.4508749999999999</v>
      </c>
      <c r="E6483">
        <v>0.61063120000000004</v>
      </c>
      <c r="F6483" t="s">
        <v>77</v>
      </c>
      <c r="G6483">
        <v>-198.30840000000001</v>
      </c>
      <c r="H6483" s="1">
        <v>-1.27053E-5</v>
      </c>
      <c r="I6483">
        <v>151.16720000000001</v>
      </c>
      <c r="J6483">
        <v>-192.88140000000001</v>
      </c>
      <c r="K6483">
        <v>1.109286</v>
      </c>
      <c r="L6483">
        <v>157.7912</v>
      </c>
      <c r="M6483">
        <v>-0.1201796</v>
      </c>
      <c r="N6483">
        <v>0</v>
      </c>
      <c r="O6483">
        <v>-0.99269130000000005</v>
      </c>
      <c r="P6483">
        <v>-0.38058180000000003</v>
      </c>
      <c r="Q6483">
        <v>3.4940239999999997E-2</v>
      </c>
      <c r="R6483">
        <v>-0.9240872</v>
      </c>
      <c r="S6483">
        <v>-1.982391</v>
      </c>
      <c r="T6483">
        <v>-0.40430129999999997</v>
      </c>
      <c r="U6483">
        <v>-2.4469759999999998</v>
      </c>
      <c r="V6483">
        <v>0.26687959999999999</v>
      </c>
      <c r="W6483">
        <v>4.4813699999999901E-2</v>
      </c>
      <c r="X6483">
        <v>0.96268739999999997</v>
      </c>
      <c r="Y6483">
        <v>0.52615940000000005</v>
      </c>
      <c r="Z6483">
        <v>0.1307982</v>
      </c>
      <c r="AA6483">
        <v>0.84026669999999903</v>
      </c>
      <c r="AB6483">
        <v>17</v>
      </c>
      <c r="AC6483">
        <v>-5.4269999999999898</v>
      </c>
      <c r="AD6483">
        <v>-1.1092987053000001</v>
      </c>
      <c r="AE6483">
        <v>-6.6239999999999899</v>
      </c>
      <c r="AF6483">
        <v>4.51576454766741</v>
      </c>
      <c r="AG6483">
        <v>-1.1092987053000001</v>
      </c>
      <c r="AH6483">
        <v>7.1089436539415196</v>
      </c>
      <c r="AI6483">
        <v>97.503532221310707</v>
      </c>
      <c r="AJ6483">
        <v>57.575347975432599</v>
      </c>
      <c r="AK6483">
        <v>8.4946896907694995</v>
      </c>
      <c r="AL6483">
        <v>87.431503955390994</v>
      </c>
      <c r="AM6483">
        <v>74.505374446276903</v>
      </c>
      <c r="AN6483">
        <v>1.0000000093613</v>
      </c>
    </row>
    <row r="6484" spans="1:40" x14ac:dyDescent="0.25">
      <c r="A6484" t="str">
        <f>"20190312150820148"</f>
        <v>20190312150820148</v>
      </c>
      <c r="B6484" t="str">
        <f>"1552374500136815"</f>
        <v>1552374500136815</v>
      </c>
      <c r="C6484" t="s">
        <v>40</v>
      </c>
      <c r="D6484">
        <v>4.3952349999999996</v>
      </c>
      <c r="E6484">
        <v>0.58595509999999995</v>
      </c>
      <c r="F6484" t="s">
        <v>77</v>
      </c>
      <c r="G6484">
        <v>-198.33330000000001</v>
      </c>
      <c r="H6484" s="1">
        <v>-1.26868699999999E-5</v>
      </c>
      <c r="I6484">
        <v>151.08519999999999</v>
      </c>
      <c r="J6484">
        <v>-192.89330000000001</v>
      </c>
      <c r="K6484">
        <v>1.109272</v>
      </c>
      <c r="L6484">
        <v>157.7039</v>
      </c>
      <c r="M6484">
        <v>-0.12136379999999999</v>
      </c>
      <c r="N6484">
        <v>0</v>
      </c>
      <c r="O6484">
        <v>-0.99254739999999997</v>
      </c>
      <c r="P6484">
        <v>-0.38235550000000001</v>
      </c>
      <c r="Q6484">
        <v>3.504239E-2</v>
      </c>
      <c r="R6484">
        <v>-0.92335069999999997</v>
      </c>
      <c r="S6484">
        <v>-1.986572</v>
      </c>
      <c r="T6484">
        <v>-0.40420840000000002</v>
      </c>
      <c r="U6484">
        <v>-2.4435730000000002</v>
      </c>
      <c r="V6484">
        <v>0.26758209999999999</v>
      </c>
      <c r="W6484">
        <v>4.4906120000000001E-2</v>
      </c>
      <c r="X6484">
        <v>0.96248809999999996</v>
      </c>
      <c r="Y6484">
        <v>0.52658719999999903</v>
      </c>
      <c r="Z6484">
        <v>0.1307981</v>
      </c>
      <c r="AA6484">
        <v>0.83999869999999899</v>
      </c>
      <c r="AB6484">
        <v>17</v>
      </c>
      <c r="AC6484">
        <v>-5.4399999999999897</v>
      </c>
      <c r="AD6484">
        <v>-1.1092846868699999</v>
      </c>
      <c r="AE6484">
        <v>-6.6187000000000102</v>
      </c>
      <c r="AF6484">
        <v>4.52067820338163</v>
      </c>
      <c r="AG6484">
        <v>-1.1092846868699999</v>
      </c>
      <c r="AH6484">
        <v>7.1108202325024097</v>
      </c>
      <c r="AI6484">
        <v>97.499724044331202</v>
      </c>
      <c r="AJ6484">
        <v>57.553987253933897</v>
      </c>
      <c r="AK6484">
        <v>8.4988710023166991</v>
      </c>
      <c r="AL6484">
        <v>87.426203425428199</v>
      </c>
      <c r="AM6484">
        <v>74.463494210805194</v>
      </c>
      <c r="AN6484">
        <v>1.0000000412477299</v>
      </c>
    </row>
    <row r="6485" spans="1:40" x14ac:dyDescent="0.25">
      <c r="A6485" t="str">
        <f>"20190312150820160"</f>
        <v>20190312150820160</v>
      </c>
      <c r="B6485" t="str">
        <f>"1552374500156334"</f>
        <v>1552374500156334</v>
      </c>
      <c r="C6485" t="s">
        <v>40</v>
      </c>
      <c r="D6485">
        <v>4.5055389999999997</v>
      </c>
      <c r="E6485">
        <v>0.57784639999999998</v>
      </c>
      <c r="F6485" t="s">
        <v>77</v>
      </c>
      <c r="G6485">
        <v>-201.9658</v>
      </c>
      <c r="H6485" s="1">
        <v>-1.0207870000000001E-5</v>
      </c>
      <c r="I6485">
        <v>145.03460000000001</v>
      </c>
      <c r="J6485">
        <v>-192.90610000000001</v>
      </c>
      <c r="K6485">
        <v>1.109256</v>
      </c>
      <c r="L6485">
        <v>157.61160000000001</v>
      </c>
      <c r="M6485">
        <v>-0.122632</v>
      </c>
      <c r="N6485">
        <v>0</v>
      </c>
      <c r="O6485">
        <v>-0.99239140000000003</v>
      </c>
      <c r="P6485">
        <v>-0.38419540000000002</v>
      </c>
      <c r="Q6485">
        <v>3.4952860000000002E-2</v>
      </c>
      <c r="R6485">
        <v>-0.92259009999999997</v>
      </c>
      <c r="S6485">
        <v>-1.7991029999999999</v>
      </c>
      <c r="T6485">
        <v>-0.2199749</v>
      </c>
      <c r="U6485">
        <v>-2.512375</v>
      </c>
      <c r="V6485">
        <v>0.26827230000000002</v>
      </c>
      <c r="W6485">
        <v>4.480609E-2</v>
      </c>
      <c r="X6485">
        <v>0.96230059999999995</v>
      </c>
      <c r="Y6485">
        <v>0.47657339999999998</v>
      </c>
      <c r="Z6485">
        <v>7.2684650000000003E-2</v>
      </c>
      <c r="AA6485">
        <v>0.87612479999999904</v>
      </c>
      <c r="AB6485">
        <v>17</v>
      </c>
      <c r="AC6485">
        <v>-9.0596999999999905</v>
      </c>
      <c r="AD6485">
        <v>-1.10926620787</v>
      </c>
      <c r="AE6485">
        <v>-12.5769999999999</v>
      </c>
      <c r="AF6485">
        <v>7.4109207078030703</v>
      </c>
      <c r="AG6485">
        <v>-1.10926620787</v>
      </c>
      <c r="AH6485">
        <v>13.523874495876299</v>
      </c>
      <c r="AI6485">
        <v>94.114240647754798</v>
      </c>
      <c r="AJ6485">
        <v>61.277788225726901</v>
      </c>
      <c r="AK6485">
        <v>15.461157739234199</v>
      </c>
      <c r="AL6485">
        <v>87.431940464385804</v>
      </c>
      <c r="AM6485">
        <v>74.422474934560199</v>
      </c>
      <c r="AN6485">
        <v>1.00000002870436</v>
      </c>
    </row>
    <row r="6486" spans="1:40" x14ac:dyDescent="0.25">
      <c r="A6486" t="str">
        <f>"20190312150820172"</f>
        <v>20190312150820172</v>
      </c>
      <c r="B6486" t="str">
        <f>"1552374500166094"</f>
        <v>1552374500166094</v>
      </c>
      <c r="C6486" t="s">
        <v>40</v>
      </c>
      <c r="D6486">
        <v>4.4739259999999996</v>
      </c>
      <c r="E6486">
        <v>0.57619549999999997</v>
      </c>
      <c r="F6486" t="s">
        <v>77</v>
      </c>
      <c r="G6486">
        <v>-201.07310000000001</v>
      </c>
      <c r="H6486" s="1">
        <v>-1.08180399999999E-5</v>
      </c>
      <c r="I6486">
        <v>145.755</v>
      </c>
      <c r="J6486">
        <v>-192.91909999999999</v>
      </c>
      <c r="K6486">
        <v>1.1092409999999999</v>
      </c>
      <c r="L6486">
        <v>157.51840000000001</v>
      </c>
      <c r="M6486">
        <v>-0.123929399999999</v>
      </c>
      <c r="N6486">
        <v>0</v>
      </c>
      <c r="O6486">
        <v>-0.99223030000000001</v>
      </c>
      <c r="P6486">
        <v>-0.3860383</v>
      </c>
      <c r="Q6486">
        <v>3.4984540000000001E-2</v>
      </c>
      <c r="R6486">
        <v>-0.92181950000000001</v>
      </c>
      <c r="S6486">
        <v>-1.7453919999999901</v>
      </c>
      <c r="T6486">
        <v>-0.23706240000000001</v>
      </c>
      <c r="U6486">
        <v>-2.5338750000000001</v>
      </c>
      <c r="V6486">
        <v>0.26893929999999999</v>
      </c>
      <c r="W6486">
        <v>4.4825619999999997E-2</v>
      </c>
      <c r="X6486">
        <v>0.96211340000000001</v>
      </c>
      <c r="Y6486">
        <v>0.45908209999999999</v>
      </c>
      <c r="Z6486">
        <v>7.8548389999999996E-2</v>
      </c>
      <c r="AA6486">
        <v>0.8849146</v>
      </c>
      <c r="AB6486">
        <v>17</v>
      </c>
      <c r="AC6486">
        <v>-8.1540000000000195</v>
      </c>
      <c r="AD6486">
        <v>-1.1092518180399999</v>
      </c>
      <c r="AE6486">
        <v>-11.763400000000001</v>
      </c>
      <c r="AF6486">
        <v>6.5936127059176899</v>
      </c>
      <c r="AG6486">
        <v>-1.1092518180399999</v>
      </c>
      <c r="AH6486">
        <v>12.607564476504001</v>
      </c>
      <c r="AI6486">
        <v>94.458015327675</v>
      </c>
      <c r="AJ6486">
        <v>62.390944952350402</v>
      </c>
      <c r="AK6486">
        <v>14.270839153345801</v>
      </c>
      <c r="AL6486">
        <v>87.430820121488694</v>
      </c>
      <c r="AM6486">
        <v>74.382742147452404</v>
      </c>
      <c r="AN6486">
        <v>0.99999993887621497</v>
      </c>
    </row>
    <row r="6487" spans="1:40" x14ac:dyDescent="0.25">
      <c r="A6487" t="str">
        <f>"20190312150820184"</f>
        <v>20190312150820184</v>
      </c>
      <c r="B6487" t="str">
        <f>"1552374500176830"</f>
        <v>1552374500176830</v>
      </c>
      <c r="C6487" t="s">
        <v>40</v>
      </c>
      <c r="D6487">
        <v>4.4375809999999998</v>
      </c>
      <c r="E6487">
        <v>0.57504909999999998</v>
      </c>
      <c r="F6487" t="s">
        <v>77</v>
      </c>
      <c r="G6487">
        <v>-201.01089999999999</v>
      </c>
      <c r="H6487" s="1">
        <v>-1.083424E-5</v>
      </c>
      <c r="I6487">
        <v>145.7167</v>
      </c>
      <c r="J6487">
        <v>-192.93170000000001</v>
      </c>
      <c r="K6487">
        <v>1.109229</v>
      </c>
      <c r="L6487">
        <v>157.42859999999999</v>
      </c>
      <c r="M6487">
        <v>-0.12518859999999901</v>
      </c>
      <c r="N6487">
        <v>0</v>
      </c>
      <c r="O6487">
        <v>-0.99207219999999996</v>
      </c>
      <c r="P6487">
        <v>-0.38800709999999999</v>
      </c>
      <c r="Q6487">
        <v>3.4940020000000002E-2</v>
      </c>
      <c r="R6487">
        <v>-0.92099430000000004</v>
      </c>
      <c r="S6487">
        <v>-1.738434</v>
      </c>
      <c r="T6487">
        <v>-0.23831079999999999</v>
      </c>
      <c r="U6487">
        <v>-2.5354770000000002</v>
      </c>
      <c r="V6487">
        <v>0.2697756</v>
      </c>
      <c r="W6487">
        <v>4.4768460000000003E-2</v>
      </c>
      <c r="X6487">
        <v>0.96188189999999996</v>
      </c>
      <c r="Y6487">
        <v>0.4560207</v>
      </c>
      <c r="Z6487">
        <v>7.9020409999999999E-2</v>
      </c>
      <c r="AA6487">
        <v>0.88645409999999902</v>
      </c>
      <c r="AB6487">
        <v>17</v>
      </c>
      <c r="AC6487">
        <v>-8.0791999999999806</v>
      </c>
      <c r="AD6487">
        <v>-1.1092398342400001</v>
      </c>
      <c r="AE6487">
        <v>-11.711899999999901</v>
      </c>
      <c r="AF6487">
        <v>6.5097826778902999</v>
      </c>
      <c r="AG6487">
        <v>-1.1092398342400001</v>
      </c>
      <c r="AH6487">
        <v>12.5549285974167</v>
      </c>
      <c r="AI6487">
        <v>94.484779210233498</v>
      </c>
      <c r="AJ6487">
        <v>62.593073030792198</v>
      </c>
      <c r="AK6487">
        <v>14.185694047506299</v>
      </c>
      <c r="AL6487">
        <v>87.434098441012495</v>
      </c>
      <c r="AM6487">
        <v>74.332973989385295</v>
      </c>
      <c r="AN6487">
        <v>0.99999993945686805</v>
      </c>
    </row>
    <row r="6488" spans="1:40" x14ac:dyDescent="0.25">
      <c r="A6488" t="str">
        <f>"20190312150820196"</f>
        <v>20190312150820196</v>
      </c>
      <c r="B6488" t="str">
        <f>"1552374500186590"</f>
        <v>1552374500186590</v>
      </c>
      <c r="C6488" t="s">
        <v>40</v>
      </c>
      <c r="D6488">
        <v>4.4245109999999999</v>
      </c>
      <c r="E6488">
        <v>0.57418939999999996</v>
      </c>
      <c r="F6488" t="s">
        <v>77</v>
      </c>
      <c r="G6488">
        <v>-200.9684</v>
      </c>
      <c r="H6488" s="1">
        <v>-1.0844690000000001E-5</v>
      </c>
      <c r="I6488">
        <v>145.6885</v>
      </c>
      <c r="J6488">
        <v>-192.94450000000001</v>
      </c>
      <c r="K6488">
        <v>1.1092150000000001</v>
      </c>
      <c r="L6488">
        <v>157.33949999999999</v>
      </c>
      <c r="M6488">
        <v>-0.1264644</v>
      </c>
      <c r="N6488">
        <v>0</v>
      </c>
      <c r="O6488">
        <v>-0.99191019999999996</v>
      </c>
      <c r="P6488">
        <v>-0.38967160000000001</v>
      </c>
      <c r="Q6488">
        <v>3.5216879999999999E-2</v>
      </c>
      <c r="R6488">
        <v>-0.92028069999999895</v>
      </c>
      <c r="S6488">
        <v>-1.7355349999999901</v>
      </c>
      <c r="T6488">
        <v>-0.23954210000000001</v>
      </c>
      <c r="U6488">
        <v>-2.5352939999999999</v>
      </c>
      <c r="V6488">
        <v>0.27028190000000002</v>
      </c>
      <c r="W6488">
        <v>4.5035209999999999E-2</v>
      </c>
      <c r="X6488">
        <v>0.96172740000000001</v>
      </c>
      <c r="Y6488">
        <v>0.45419579999999998</v>
      </c>
      <c r="Z6488">
        <v>7.9473050000000003E-2</v>
      </c>
      <c r="AA6488">
        <v>0.88735010000000003</v>
      </c>
      <c r="AB6488">
        <v>17</v>
      </c>
      <c r="AC6488">
        <v>-8.0238999999999905</v>
      </c>
      <c r="AD6488">
        <v>-1.1092258446900001</v>
      </c>
      <c r="AE6488">
        <v>-11.6509999999999</v>
      </c>
      <c r="AF6488">
        <v>6.4463120377102703</v>
      </c>
      <c r="AG6488">
        <v>-1.1092258446900001</v>
      </c>
      <c r="AH6488">
        <v>12.495422272092901</v>
      </c>
      <c r="AI6488">
        <v>94.510774645744604</v>
      </c>
      <c r="AJ6488">
        <v>62.7110673233272</v>
      </c>
      <c r="AK6488">
        <v>14.1039320269198</v>
      </c>
      <c r="AL6488">
        <v>87.418799603840199</v>
      </c>
      <c r="AM6488">
        <v>74.302621593066604</v>
      </c>
      <c r="AN6488">
        <v>1.00000003375905</v>
      </c>
    </row>
    <row r="6489" spans="1:40" x14ac:dyDescent="0.25">
      <c r="A6489" t="str">
        <f>"20190312150820208"</f>
        <v>20190312150820208</v>
      </c>
      <c r="B6489" t="str">
        <f>"1552374500196350"</f>
        <v>1552374500196350</v>
      </c>
      <c r="C6489" t="s">
        <v>40</v>
      </c>
      <c r="D6489">
        <v>4.4600569999999999</v>
      </c>
      <c r="E6489">
        <v>0.57374199999999997</v>
      </c>
      <c r="F6489" t="s">
        <v>77</v>
      </c>
      <c r="G6489">
        <v>-201.04179999999999</v>
      </c>
      <c r="H6489" s="1">
        <v>-1.0756250000000001E-5</v>
      </c>
      <c r="I6489">
        <v>145.50069999999999</v>
      </c>
      <c r="J6489">
        <v>-192.95689999999999</v>
      </c>
      <c r="K6489">
        <v>1.1092010000000001</v>
      </c>
      <c r="L6489">
        <v>157.2533</v>
      </c>
      <c r="M6489">
        <v>-0.1277065</v>
      </c>
      <c r="N6489">
        <v>0</v>
      </c>
      <c r="O6489">
        <v>-0.99175100000000005</v>
      </c>
      <c r="P6489">
        <v>-0.39145400000000002</v>
      </c>
      <c r="Q6489">
        <v>3.5477990000000001E-2</v>
      </c>
      <c r="R6489">
        <v>-0.91951349999999998</v>
      </c>
      <c r="S6489">
        <v>-1.733765</v>
      </c>
      <c r="T6489">
        <v>-0.23750260000000001</v>
      </c>
      <c r="U6489">
        <v>-2.5348820000000001</v>
      </c>
      <c r="V6489">
        <v>0.270945099999999</v>
      </c>
      <c r="W6489">
        <v>4.5287199999999903E-2</v>
      </c>
      <c r="X6489">
        <v>0.96152890000000002</v>
      </c>
      <c r="Y6489">
        <v>0.45275399999999999</v>
      </c>
      <c r="Z6489">
        <v>7.8836870000000003E-2</v>
      </c>
      <c r="AA6489">
        <v>0.88814340000000003</v>
      </c>
      <c r="AB6489">
        <v>17</v>
      </c>
      <c r="AC6489">
        <v>-8.0848999999999993</v>
      </c>
      <c r="AD6489">
        <v>-1.1092117562499999</v>
      </c>
      <c r="AE6489">
        <v>-11.752599999999999</v>
      </c>
      <c r="AF6489">
        <v>6.4785475472527203</v>
      </c>
      <c r="AG6489">
        <v>-1.1092117562499999</v>
      </c>
      <c r="AH6489">
        <v>12.612655293063</v>
      </c>
      <c r="AI6489">
        <v>94.473019488618206</v>
      </c>
      <c r="AJ6489">
        <v>62.812495541859903</v>
      </c>
      <c r="AK6489">
        <v>14.2225526043621</v>
      </c>
      <c r="AL6489">
        <v>87.404346811401197</v>
      </c>
      <c r="AM6489">
        <v>74.262922392120799</v>
      </c>
      <c r="AN6489">
        <v>1.00000000161653</v>
      </c>
    </row>
    <row r="6490" spans="1:40" x14ac:dyDescent="0.25">
      <c r="A6490" t="str">
        <f>"20190312150820220"</f>
        <v>20190312150820220</v>
      </c>
      <c r="B6490" t="str">
        <f>"1552374500216846"</f>
        <v>1552374500216846</v>
      </c>
      <c r="C6490" t="s">
        <v>40</v>
      </c>
      <c r="D6490">
        <v>4.4145099999999999</v>
      </c>
      <c r="E6490">
        <v>0.57280149999999996</v>
      </c>
      <c r="F6490" t="s">
        <v>77</v>
      </c>
      <c r="G6490">
        <v>-201.03649999999999</v>
      </c>
      <c r="H6490" s="1">
        <v>-1.07474499999999E-5</v>
      </c>
      <c r="I6490">
        <v>145.4631</v>
      </c>
      <c r="J6490">
        <v>-192.97120000000001</v>
      </c>
      <c r="K6490">
        <v>1.109189</v>
      </c>
      <c r="L6490">
        <v>157.15549999999999</v>
      </c>
      <c r="M6490">
        <v>-0.12913559999999999</v>
      </c>
      <c r="N6490">
        <v>0</v>
      </c>
      <c r="O6490">
        <v>-0.99156560000000005</v>
      </c>
      <c r="P6490">
        <v>-0.39339039999999997</v>
      </c>
      <c r="Q6490">
        <v>3.5772770000000002E-2</v>
      </c>
      <c r="R6490">
        <v>-0.91867509999999997</v>
      </c>
      <c r="S6490">
        <v>-1.735733</v>
      </c>
      <c r="T6490">
        <v>-0.2382918</v>
      </c>
      <c r="U6490">
        <v>-2.532883</v>
      </c>
      <c r="V6490">
        <v>0.2715899</v>
      </c>
      <c r="W6490">
        <v>4.557348E-2</v>
      </c>
      <c r="X6490">
        <v>0.96133349999999995</v>
      </c>
      <c r="Y6490">
        <v>0.45225369999999998</v>
      </c>
      <c r="Z6490">
        <v>7.9120339999999997E-2</v>
      </c>
      <c r="AA6490">
        <v>0.88837299999999997</v>
      </c>
      <c r="AB6490">
        <v>17</v>
      </c>
      <c r="AC6490">
        <v>-8.0652999999999793</v>
      </c>
      <c r="AD6490">
        <v>-1.1091997474499999</v>
      </c>
      <c r="AE6490">
        <v>-11.6923999999999</v>
      </c>
      <c r="AF6490">
        <v>6.4484415213818496</v>
      </c>
      <c r="AG6490">
        <v>-1.1091997474499999</v>
      </c>
      <c r="AH6490">
        <v>12.559480931792599</v>
      </c>
      <c r="AI6490">
        <v>94.492235847006796</v>
      </c>
      <c r="AJ6490">
        <v>62.822577237558299</v>
      </c>
      <c r="AK6490">
        <v>14.1616836361531</v>
      </c>
      <c r="AL6490">
        <v>87.387927367411194</v>
      </c>
      <c r="AM6490">
        <v>74.224286227132893</v>
      </c>
      <c r="AN6490">
        <v>1.00000005704178</v>
      </c>
    </row>
    <row r="6491" spans="1:40" x14ac:dyDescent="0.25">
      <c r="A6491" t="str">
        <f>"20190312150820236"</f>
        <v>20190312150820236</v>
      </c>
      <c r="B6491" t="str">
        <f>"1552374500226606"</f>
        <v>1552374500226606</v>
      </c>
      <c r="C6491" t="s">
        <v>40</v>
      </c>
      <c r="D6491">
        <v>4.4950269999999897</v>
      </c>
      <c r="E6491">
        <v>0.57257590000000003</v>
      </c>
      <c r="F6491" t="s">
        <v>77</v>
      </c>
      <c r="G6491">
        <v>-201.5566</v>
      </c>
      <c r="H6491" s="1">
        <v>-1.0265020000000001E-5</v>
      </c>
      <c r="I6491">
        <v>144.61670000000001</v>
      </c>
      <c r="J6491">
        <v>-192.9879</v>
      </c>
      <c r="K6491">
        <v>1.1091719999999901</v>
      </c>
      <c r="L6491">
        <v>157.04230000000001</v>
      </c>
      <c r="M6491">
        <v>-0.13081980000000001</v>
      </c>
      <c r="N6491">
        <v>0</v>
      </c>
      <c r="O6491">
        <v>-0.99134500000000003</v>
      </c>
      <c r="P6491">
        <v>-0.39606459999999999</v>
      </c>
      <c r="Q6491">
        <v>3.6561539999999997E-2</v>
      </c>
      <c r="R6491">
        <v>-0.91749480000000005</v>
      </c>
      <c r="S6491">
        <v>-1.7336119999999999</v>
      </c>
      <c r="T6491">
        <v>-0.2239757</v>
      </c>
      <c r="U6491">
        <v>-2.5319060000000002</v>
      </c>
      <c r="V6491">
        <v>0.27276630000000002</v>
      </c>
      <c r="W6491">
        <v>4.6350860000000001E-2</v>
      </c>
      <c r="X6491">
        <v>0.96096309999999996</v>
      </c>
      <c r="Y6491">
        <v>0.45059510000000003</v>
      </c>
      <c r="Z6491">
        <v>7.4444469999999999E-2</v>
      </c>
      <c r="AA6491">
        <v>0.889619099999999</v>
      </c>
      <c r="AB6491">
        <v>17</v>
      </c>
      <c r="AC6491">
        <v>-8.5686999999999998</v>
      </c>
      <c r="AD6491">
        <v>-1.1091822650199901</v>
      </c>
      <c r="AE6491">
        <v>-12.425599999999999</v>
      </c>
      <c r="AF6491">
        <v>6.8325421937929303</v>
      </c>
      <c r="AG6491">
        <v>-1.1091822650199901</v>
      </c>
      <c r="AH6491">
        <v>13.367637816152399</v>
      </c>
      <c r="AI6491">
        <v>94.225538045925703</v>
      </c>
      <c r="AJ6491">
        <v>62.927260559282203</v>
      </c>
      <c r="AK6491">
        <v>15.053493246114799</v>
      </c>
      <c r="AL6491">
        <v>87.343339418150094</v>
      </c>
      <c r="AM6491">
        <v>74.153576520391098</v>
      </c>
      <c r="AN6491">
        <v>0.99999996810001901</v>
      </c>
    </row>
    <row r="6492" spans="1:40" x14ac:dyDescent="0.25">
      <c r="A6492" t="str">
        <f>"20190312150820250"</f>
        <v>20190312150820250</v>
      </c>
      <c r="B6492" t="str">
        <f>"1552374500246126"</f>
        <v>1552374500246126</v>
      </c>
      <c r="C6492" t="s">
        <v>40</v>
      </c>
      <c r="D6492">
        <v>4.4442909999999998</v>
      </c>
      <c r="E6492">
        <v>0.57221119999999903</v>
      </c>
      <c r="F6492" t="s">
        <v>77</v>
      </c>
      <c r="G6492">
        <v>-201.56630000000001</v>
      </c>
      <c r="H6492" s="1">
        <v>-1.0248899999999999E-5</v>
      </c>
      <c r="I6492">
        <v>144.577</v>
      </c>
      <c r="J6492">
        <v>-193.00309999999999</v>
      </c>
      <c r="K6492">
        <v>1.1091549999999999</v>
      </c>
      <c r="L6492">
        <v>156.94120000000001</v>
      </c>
      <c r="M6492">
        <v>-0.13234609999999999</v>
      </c>
      <c r="N6492">
        <v>0</v>
      </c>
      <c r="O6492">
        <v>-0.99114219999999997</v>
      </c>
      <c r="P6492">
        <v>-0.39801540000000002</v>
      </c>
      <c r="Q6492">
        <v>3.6999879999999999E-2</v>
      </c>
      <c r="R6492">
        <v>-0.91663240000000001</v>
      </c>
      <c r="S6492">
        <v>-1.7395779999999901</v>
      </c>
      <c r="T6492">
        <v>-0.22492799999999999</v>
      </c>
      <c r="U6492">
        <v>-2.5278019999999999</v>
      </c>
      <c r="V6492">
        <v>0.27333689999999999</v>
      </c>
      <c r="W6492">
        <v>4.6781919999999998E-2</v>
      </c>
      <c r="X6492">
        <v>0.96078010000000003</v>
      </c>
      <c r="Y6492">
        <v>0.45130710000000002</v>
      </c>
      <c r="Z6492">
        <v>7.4775480000000005E-2</v>
      </c>
      <c r="AA6492">
        <v>0.88923030000000003</v>
      </c>
      <c r="AB6492">
        <v>17</v>
      </c>
      <c r="AC6492">
        <v>-8.5632000000000197</v>
      </c>
      <c r="AD6492">
        <v>-1.1091652488999999</v>
      </c>
      <c r="AE6492">
        <v>-12.3642</v>
      </c>
      <c r="AF6492">
        <v>6.8143506663080498</v>
      </c>
      <c r="AG6492">
        <v>-1.1091652488999999</v>
      </c>
      <c r="AH6492">
        <v>13.316376913451901</v>
      </c>
      <c r="AI6492">
        <v>94.240649672187004</v>
      </c>
      <c r="AJ6492">
        <v>62.899944336375</v>
      </c>
      <c r="AK6492">
        <v>14.999717219131</v>
      </c>
      <c r="AL6492">
        <v>87.318614775323695</v>
      </c>
      <c r="AM6492">
        <v>74.119225298633907</v>
      </c>
      <c r="AN6492">
        <v>1.00000000474825</v>
      </c>
    </row>
    <row r="6493" spans="1:40" x14ac:dyDescent="0.25">
      <c r="A6493" t="str">
        <f>"20190312150820263"</f>
        <v>20190312150820263</v>
      </c>
      <c r="B6493" t="str">
        <f>"1552374500256862"</f>
        <v>1552374500256862</v>
      </c>
      <c r="C6493" t="s">
        <v>40</v>
      </c>
      <c r="D6493">
        <v>4.4775879999999999</v>
      </c>
      <c r="E6493">
        <v>0.57194319999999998</v>
      </c>
      <c r="F6493" t="s">
        <v>77</v>
      </c>
      <c r="G6493">
        <v>-201.5411</v>
      </c>
      <c r="H6493" s="1">
        <v>-1.025727E-5</v>
      </c>
      <c r="I6493">
        <v>144.5676</v>
      </c>
      <c r="J6493">
        <v>-193.0188</v>
      </c>
      <c r="K6493">
        <v>1.109138</v>
      </c>
      <c r="L6493">
        <v>156.83709999999999</v>
      </c>
      <c r="M6493">
        <v>-0.13394329999999999</v>
      </c>
      <c r="N6493">
        <v>0</v>
      </c>
      <c r="O6493">
        <v>-0.99092749999999996</v>
      </c>
      <c r="P6493">
        <v>-0.39985779999999999</v>
      </c>
      <c r="Q6493">
        <v>3.6967140000000002E-2</v>
      </c>
      <c r="R6493">
        <v>-0.91583190000000003</v>
      </c>
      <c r="S6493">
        <v>-1.7425379999999999</v>
      </c>
      <c r="T6493">
        <v>-0.2263715</v>
      </c>
      <c r="U6493">
        <v>-2.52536</v>
      </c>
      <c r="V6493">
        <v>0.27372299999999999</v>
      </c>
      <c r="W6493">
        <v>4.6742390000000002E-2</v>
      </c>
      <c r="X6493">
        <v>0.96067210000000003</v>
      </c>
      <c r="Y6493">
        <v>0.45095669999999999</v>
      </c>
      <c r="Z6493">
        <v>7.5271210000000005E-2</v>
      </c>
      <c r="AA6493">
        <v>0.8893662</v>
      </c>
      <c r="AB6493">
        <v>17</v>
      </c>
      <c r="AC6493">
        <v>-8.5222999999999995</v>
      </c>
      <c r="AD6493">
        <v>-1.10914825727</v>
      </c>
      <c r="AE6493">
        <v>-12.269499999999899</v>
      </c>
      <c r="AF6493">
        <v>6.7646887850994597</v>
      </c>
      <c r="AG6493">
        <v>-1.10914825727</v>
      </c>
      <c r="AH6493">
        <v>13.227584408831</v>
      </c>
      <c r="AI6493">
        <v>94.269496505510901</v>
      </c>
      <c r="AJ6493">
        <v>62.914446930299597</v>
      </c>
      <c r="AK6493">
        <v>14.898329218694499</v>
      </c>
      <c r="AL6493">
        <v>87.320882165883702</v>
      </c>
      <c r="AM6493">
        <v>74.096229337820802</v>
      </c>
      <c r="AN6493">
        <v>1.0000000077351601</v>
      </c>
    </row>
    <row r="6494" spans="1:40" x14ac:dyDescent="0.25">
      <c r="A6494" t="str">
        <f>"20190312150820277"</f>
        <v>20190312150820277</v>
      </c>
      <c r="B6494" t="str">
        <f>"1552374500266622"</f>
        <v>1552374500266622</v>
      </c>
      <c r="C6494" t="s">
        <v>40</v>
      </c>
      <c r="D6494">
        <v>4.4755079999999996</v>
      </c>
      <c r="E6494">
        <v>0.57169780000000003</v>
      </c>
      <c r="F6494" t="s">
        <v>77</v>
      </c>
      <c r="G6494">
        <v>-201.4776</v>
      </c>
      <c r="H6494" s="1">
        <v>-1.0299779999999999E-5</v>
      </c>
      <c r="I6494">
        <v>144.61590000000001</v>
      </c>
      <c r="J6494">
        <v>-193.03460000000001</v>
      </c>
      <c r="K6494">
        <v>1.1091169999999999</v>
      </c>
      <c r="L6494">
        <v>156.73410000000001</v>
      </c>
      <c r="M6494">
        <v>-0.1355642</v>
      </c>
      <c r="N6494">
        <v>0</v>
      </c>
      <c r="O6494">
        <v>-0.9907068</v>
      </c>
      <c r="P6494">
        <v>-0.40168199999999998</v>
      </c>
      <c r="Q6494">
        <v>3.7323790000000003E-2</v>
      </c>
      <c r="R6494">
        <v>-0.91501829999999995</v>
      </c>
      <c r="S6494">
        <v>-1.7460169999999999</v>
      </c>
      <c r="T6494">
        <v>-0.2289426</v>
      </c>
      <c r="U6494">
        <v>-2.5226139999999999</v>
      </c>
      <c r="V6494">
        <v>0.27407209999999899</v>
      </c>
      <c r="W6494">
        <v>4.7090100000000003E-2</v>
      </c>
      <c r="X6494">
        <v>0.96055559999999995</v>
      </c>
      <c r="Y6494">
        <v>0.45074259999999999</v>
      </c>
      <c r="Z6494">
        <v>7.6139670000000007E-2</v>
      </c>
      <c r="AA6494">
        <v>0.88940079999999999</v>
      </c>
      <c r="AB6494">
        <v>17</v>
      </c>
      <c r="AC6494">
        <v>-8.4429999999999801</v>
      </c>
      <c r="AD6494">
        <v>-1.1091272997799999</v>
      </c>
      <c r="AE6494">
        <v>-12.1182</v>
      </c>
      <c r="AF6494">
        <v>6.6844580560412599</v>
      </c>
      <c r="AG6494">
        <v>-1.1091272997799999</v>
      </c>
      <c r="AH6494">
        <v>13.077208072440699</v>
      </c>
      <c r="AI6494">
        <v>94.318769640786101</v>
      </c>
      <c r="AJ6494">
        <v>62.926003241305999</v>
      </c>
      <c r="AK6494">
        <v>14.7283914206542</v>
      </c>
      <c r="AL6494">
        <v>87.300937940652403</v>
      </c>
      <c r="AM6494">
        <v>74.075140506803905</v>
      </c>
      <c r="AN6494">
        <v>1.00000002710388</v>
      </c>
    </row>
    <row r="6495" spans="1:40" x14ac:dyDescent="0.25">
      <c r="A6495" t="str">
        <f>"20190312150820292"</f>
        <v>20190312150820292</v>
      </c>
      <c r="B6495" t="str">
        <f>"1552374500286142"</f>
        <v>1552374500286142</v>
      </c>
      <c r="C6495" t="s">
        <v>40</v>
      </c>
      <c r="D6495">
        <v>4.4730999999999996</v>
      </c>
      <c r="E6495">
        <v>0.57147519999999996</v>
      </c>
      <c r="F6495" t="s">
        <v>77</v>
      </c>
      <c r="G6495">
        <v>-201.4554</v>
      </c>
      <c r="H6495" s="1">
        <v>-1.030644E-5</v>
      </c>
      <c r="I6495">
        <v>144.60509999999999</v>
      </c>
      <c r="J6495">
        <v>-193.0523</v>
      </c>
      <c r="K6495">
        <v>1.1090899999999999</v>
      </c>
      <c r="L6495">
        <v>156.6207</v>
      </c>
      <c r="M6495">
        <v>-0.1373761</v>
      </c>
      <c r="N6495">
        <v>0</v>
      </c>
      <c r="O6495">
        <v>-0.99045720000000004</v>
      </c>
      <c r="P6495">
        <v>-0.40400390000000003</v>
      </c>
      <c r="Q6495">
        <v>3.7941349999999999E-2</v>
      </c>
      <c r="R6495">
        <v>-0.91397019999999995</v>
      </c>
      <c r="S6495">
        <v>-1.749557</v>
      </c>
      <c r="T6495">
        <v>-0.2304398</v>
      </c>
      <c r="U6495">
        <v>-2.5199889999999998</v>
      </c>
      <c r="V6495">
        <v>0.27476289999999998</v>
      </c>
      <c r="W6495">
        <v>4.7694529999999999E-2</v>
      </c>
      <c r="X6495">
        <v>0.96032830000000002</v>
      </c>
      <c r="Y6495">
        <v>0.45036589999999999</v>
      </c>
      <c r="Z6495">
        <v>7.6649809999999999E-2</v>
      </c>
      <c r="AA6495">
        <v>0.88954789999999995</v>
      </c>
      <c r="AB6495">
        <v>17</v>
      </c>
      <c r="AC6495">
        <v>-8.4030999999999896</v>
      </c>
      <c r="AD6495">
        <v>-1.10910030644</v>
      </c>
      <c r="AE6495">
        <v>-12.015599999999999</v>
      </c>
      <c r="AF6495">
        <v>6.6347006209905199</v>
      </c>
      <c r="AG6495">
        <v>-1.10910030644</v>
      </c>
      <c r="AH6495">
        <v>12.9818422731596</v>
      </c>
      <c r="AI6495">
        <v>94.350405646709405</v>
      </c>
      <c r="AJ6495">
        <v>62.929540722065298</v>
      </c>
      <c r="AK6495">
        <v>14.621134861053401</v>
      </c>
      <c r="AL6495">
        <v>87.266267434636703</v>
      </c>
      <c r="AM6495">
        <v>74.033458829525401</v>
      </c>
      <c r="AN6495">
        <v>0.99999993159460798</v>
      </c>
    </row>
    <row r="6496" spans="1:40" x14ac:dyDescent="0.25">
      <c r="A6496" t="str">
        <f>"20190312150820303"</f>
        <v>20190312150820303</v>
      </c>
      <c r="B6496" t="str">
        <f>"1552374500296878"</f>
        <v>1552374500296878</v>
      </c>
      <c r="C6496" t="s">
        <v>40</v>
      </c>
      <c r="D6496">
        <v>4.4296069999999999</v>
      </c>
      <c r="E6496">
        <v>0.57139259999999903</v>
      </c>
      <c r="F6496" t="s">
        <v>77</v>
      </c>
      <c r="G6496">
        <v>-201.46709999999999</v>
      </c>
      <c r="H6496" s="1">
        <v>-1.028538E-5</v>
      </c>
      <c r="I6496">
        <v>144.55170000000001</v>
      </c>
      <c r="J6496">
        <v>-193.06659999999999</v>
      </c>
      <c r="K6496">
        <v>1.1090690000000001</v>
      </c>
      <c r="L6496">
        <v>156.52950000000001</v>
      </c>
      <c r="M6496">
        <v>-0.13885129999999901</v>
      </c>
      <c r="N6496">
        <v>0</v>
      </c>
      <c r="O6496">
        <v>-0.9902514</v>
      </c>
      <c r="P6496">
        <v>-0.40548630000000002</v>
      </c>
      <c r="Q6496">
        <v>3.8165190000000002E-2</v>
      </c>
      <c r="R6496">
        <v>-0.91330440000000002</v>
      </c>
      <c r="S6496">
        <v>-1.754532</v>
      </c>
      <c r="T6496">
        <v>-0.23125319999999999</v>
      </c>
      <c r="U6496">
        <v>-2.5164339999999998</v>
      </c>
      <c r="V6496">
        <v>0.27489560000000002</v>
      </c>
      <c r="W6496">
        <v>4.7909340000000002E-2</v>
      </c>
      <c r="X6496">
        <v>0.96027969999999896</v>
      </c>
      <c r="Y6496">
        <v>0.45079730000000001</v>
      </c>
      <c r="Z6496">
        <v>7.6934509999999998E-2</v>
      </c>
      <c r="AA6496">
        <v>0.88930469999999895</v>
      </c>
      <c r="AB6496">
        <v>17</v>
      </c>
      <c r="AC6496">
        <v>-8.4004999999999903</v>
      </c>
      <c r="AD6496">
        <v>-1.10907928537999</v>
      </c>
      <c r="AE6496">
        <v>-11.9778</v>
      </c>
      <c r="AF6496">
        <v>6.6178488947485503</v>
      </c>
      <c r="AG6496">
        <v>-1.10907928537999</v>
      </c>
      <c r="AH6496">
        <v>12.953806440299401</v>
      </c>
      <c r="AI6496">
        <v>94.360045406595702</v>
      </c>
      <c r="AJ6496">
        <v>62.938390762325398</v>
      </c>
      <c r="AK6496">
        <v>14.588594248512299</v>
      </c>
      <c r="AL6496">
        <v>87.253945826745905</v>
      </c>
      <c r="AM6496">
        <v>74.025373736275299</v>
      </c>
      <c r="AN6496">
        <v>0.99999999899534198</v>
      </c>
    </row>
    <row r="6497" spans="1:40" x14ac:dyDescent="0.25">
      <c r="A6497" t="str">
        <f>"20190312150820315"</f>
        <v>20190312150820315</v>
      </c>
      <c r="B6497" t="str">
        <f>"1552374500306638"</f>
        <v>1552374500306638</v>
      </c>
      <c r="C6497" t="s">
        <v>40</v>
      </c>
      <c r="D6497">
        <v>4.4772530000000001</v>
      </c>
      <c r="E6497">
        <v>0.57129259999999904</v>
      </c>
      <c r="F6497" t="s">
        <v>77</v>
      </c>
      <c r="G6497">
        <v>-201.4922</v>
      </c>
      <c r="H6497" s="1">
        <v>-1.0253420000000001E-5</v>
      </c>
      <c r="I6497">
        <v>144.48169999999999</v>
      </c>
      <c r="J6497">
        <v>-193.0804</v>
      </c>
      <c r="K6497">
        <v>1.1090450000000001</v>
      </c>
      <c r="L6497">
        <v>156.44329999999999</v>
      </c>
      <c r="M6497">
        <v>-0.1402823</v>
      </c>
      <c r="N6497">
        <v>0</v>
      </c>
      <c r="O6497">
        <v>-0.99004950000000003</v>
      </c>
      <c r="P6497">
        <v>-0.40718490000000002</v>
      </c>
      <c r="Q6497">
        <v>3.8355149999999998E-2</v>
      </c>
      <c r="R6497">
        <v>-0.91254060000000004</v>
      </c>
      <c r="S6497">
        <v>-1.7580720000000001</v>
      </c>
      <c r="T6497">
        <v>-0.23141900000000001</v>
      </c>
      <c r="U6497">
        <v>-2.5138850000000001</v>
      </c>
      <c r="V6497">
        <v>0.27529920000000002</v>
      </c>
      <c r="W6497">
        <v>4.8088899999999997E-2</v>
      </c>
      <c r="X6497">
        <v>0.96015510000000004</v>
      </c>
      <c r="Y6497">
        <v>0.4507698</v>
      </c>
      <c r="Z6497">
        <v>7.7001319999999998E-2</v>
      </c>
      <c r="AA6497">
        <v>0.88931289999999996</v>
      </c>
      <c r="AB6497">
        <v>17</v>
      </c>
      <c r="AC6497">
        <v>-8.4117999999999995</v>
      </c>
      <c r="AD6497">
        <v>-1.10905525342</v>
      </c>
      <c r="AE6497">
        <v>-11.961600000000001</v>
      </c>
      <c r="AF6497">
        <v>6.6124710737321903</v>
      </c>
      <c r="AG6497">
        <v>-1.10905525342</v>
      </c>
      <c r="AH6497">
        <v>12.948920279773899</v>
      </c>
      <c r="AI6497">
        <v>94.3619818171167</v>
      </c>
      <c r="AJ6497">
        <v>62.9485029142648</v>
      </c>
      <c r="AK6497">
        <v>14.581814484762299</v>
      </c>
      <c r="AL6497">
        <v>87.243645938297703</v>
      </c>
      <c r="AM6497">
        <v>74.001149368474302</v>
      </c>
      <c r="AN6497">
        <v>1.0000000039399299</v>
      </c>
    </row>
    <row r="6498" spans="1:40" x14ac:dyDescent="0.25">
      <c r="A6498" t="str">
        <f>"20190312150820328"</f>
        <v>20190312150820328</v>
      </c>
      <c r="B6498" t="str">
        <f>"1552374500316399"</f>
        <v>1552374500316399</v>
      </c>
      <c r="C6498" t="s">
        <v>40</v>
      </c>
      <c r="D6498">
        <v>4.4887959999999998</v>
      </c>
      <c r="E6498">
        <v>0.57120309999999996</v>
      </c>
      <c r="F6498" t="s">
        <v>77</v>
      </c>
      <c r="G6498">
        <v>-201.4599</v>
      </c>
      <c r="H6498" s="1">
        <v>-1.027399E-5</v>
      </c>
      <c r="I6498">
        <v>144.5027</v>
      </c>
      <c r="J6498">
        <v>-193.095</v>
      </c>
      <c r="K6498">
        <v>1.10902099999999</v>
      </c>
      <c r="L6498">
        <v>156.3527</v>
      </c>
      <c r="M6498">
        <v>-0.14179890000000001</v>
      </c>
      <c r="N6498">
        <v>0</v>
      </c>
      <c r="O6498">
        <v>-0.98983330000000003</v>
      </c>
      <c r="P6498">
        <v>-0.40875600000000001</v>
      </c>
      <c r="Q6498">
        <v>3.8546759999999999E-2</v>
      </c>
      <c r="R6498">
        <v>-0.91182960000000002</v>
      </c>
      <c r="S6498">
        <v>-1.7621610000000001</v>
      </c>
      <c r="T6498">
        <v>-0.2332282</v>
      </c>
      <c r="U6498">
        <v>-2.511047</v>
      </c>
      <c r="V6498">
        <v>0.27548669999999997</v>
      </c>
      <c r="W6498">
        <v>4.8271309999999998E-2</v>
      </c>
      <c r="X6498">
        <v>0.9600921</v>
      </c>
      <c r="Y6498">
        <v>0.45081929999999998</v>
      </c>
      <c r="Z6498">
        <v>7.761084E-2</v>
      </c>
      <c r="AA6498">
        <v>0.88923479999999999</v>
      </c>
      <c r="AB6498">
        <v>17</v>
      </c>
      <c r="AC6498">
        <v>-8.3649000000000004</v>
      </c>
      <c r="AD6498">
        <v>-1.1090312739899999</v>
      </c>
      <c r="AE6498">
        <v>-11.8499999999999</v>
      </c>
      <c r="AF6498">
        <v>6.5615872534041797</v>
      </c>
      <c r="AG6498">
        <v>-1.1090312739899999</v>
      </c>
      <c r="AH6498">
        <v>12.841383403492699</v>
      </c>
      <c r="AI6498">
        <v>94.397715593088506</v>
      </c>
      <c r="AJ6498">
        <v>62.934240082386602</v>
      </c>
      <c r="AK6498">
        <v>14.4632467090284</v>
      </c>
      <c r="AL6498">
        <v>87.233182288922805</v>
      </c>
      <c r="AM6498">
        <v>73.989814419680499</v>
      </c>
      <c r="AN6498">
        <v>0.99999994086420596</v>
      </c>
    </row>
    <row r="6499" spans="1:40" x14ac:dyDescent="0.25">
      <c r="A6499" t="str">
        <f>"20190312150820339"</f>
        <v>20190312150820339</v>
      </c>
      <c r="B6499" t="str">
        <f>"1552374500336894"</f>
        <v>1552374500336894</v>
      </c>
      <c r="C6499" t="s">
        <v>40</v>
      </c>
      <c r="D6499">
        <v>4.421875</v>
      </c>
      <c r="E6499">
        <v>0.5712043</v>
      </c>
      <c r="F6499" t="s">
        <v>77</v>
      </c>
      <c r="G6499">
        <v>-201.42330000000001</v>
      </c>
      <c r="H6499" s="1">
        <v>-1.0296260000000001E-5</v>
      </c>
      <c r="I6499">
        <v>144.523</v>
      </c>
      <c r="J6499">
        <v>-193.10980000000001</v>
      </c>
      <c r="K6499">
        <v>1.1089990000000001</v>
      </c>
      <c r="L6499">
        <v>156.26169999999999</v>
      </c>
      <c r="M6499">
        <v>-0.14335110000000001</v>
      </c>
      <c r="N6499">
        <v>0</v>
      </c>
      <c r="O6499">
        <v>-0.98960939999999997</v>
      </c>
      <c r="P6499">
        <v>-0.41050789999999998</v>
      </c>
      <c r="Q6499">
        <v>3.8614849999999999E-2</v>
      </c>
      <c r="R6499">
        <v>-0.91103900000000004</v>
      </c>
      <c r="S6499">
        <v>-1.7659609999999999</v>
      </c>
      <c r="T6499">
        <v>-0.23516280000000001</v>
      </c>
      <c r="U6499">
        <v>-2.5084080000000002</v>
      </c>
      <c r="V6499">
        <v>0.27583020000000003</v>
      </c>
      <c r="W6499">
        <v>4.8330369999999997E-2</v>
      </c>
      <c r="X6499">
        <v>0.95999060000000003</v>
      </c>
      <c r="Y6499">
        <v>0.45073239999999998</v>
      </c>
      <c r="Z6499">
        <v>7.8261059999999993E-2</v>
      </c>
      <c r="AA6499">
        <v>0.88922190000000001</v>
      </c>
      <c r="AB6499">
        <v>17</v>
      </c>
      <c r="AC6499">
        <v>-8.3134999999999994</v>
      </c>
      <c r="AD6499">
        <v>-1.10900929626</v>
      </c>
      <c r="AE6499">
        <v>-11.7386999999999</v>
      </c>
      <c r="AF6499">
        <v>6.5060941197910802</v>
      </c>
      <c r="AG6499">
        <v>-1.10900929626</v>
      </c>
      <c r="AH6499">
        <v>12.733579835948699</v>
      </c>
      <c r="AI6499">
        <v>94.434769004525606</v>
      </c>
      <c r="AJ6499">
        <v>62.935697737608002</v>
      </c>
      <c r="AK6499">
        <v>14.3423574684656</v>
      </c>
      <c r="AL6499">
        <v>87.2297947150808</v>
      </c>
      <c r="AM6499">
        <v>73.969268718519203</v>
      </c>
      <c r="AN6499">
        <v>1.0000000379923599</v>
      </c>
    </row>
    <row r="6500" spans="1:40" x14ac:dyDescent="0.25">
      <c r="A6500" t="str">
        <f>"20190312150820351"</f>
        <v>20190312150820351</v>
      </c>
      <c r="B6500" t="str">
        <f>"1552374500346654"</f>
        <v>1552374500346654</v>
      </c>
      <c r="C6500" t="s">
        <v>40</v>
      </c>
      <c r="D6500">
        <v>4.5120290000000001</v>
      </c>
      <c r="E6500">
        <v>0.57112369999999901</v>
      </c>
      <c r="F6500" t="s">
        <v>77</v>
      </c>
      <c r="G6500">
        <v>-201.381</v>
      </c>
      <c r="H6500" s="1">
        <v>-1.032635E-5</v>
      </c>
      <c r="I6500">
        <v>144.56120000000001</v>
      </c>
      <c r="J6500">
        <v>-193.12379999999999</v>
      </c>
      <c r="K6500">
        <v>1.1089770000000001</v>
      </c>
      <c r="L6500">
        <v>156.1771</v>
      </c>
      <c r="M6500">
        <v>-0.14481559999999999</v>
      </c>
      <c r="N6500">
        <v>0</v>
      </c>
      <c r="O6500">
        <v>-0.98939619999999995</v>
      </c>
      <c r="P6500">
        <v>-0.4123909</v>
      </c>
      <c r="Q6500">
        <v>3.8719160000000002E-2</v>
      </c>
      <c r="R6500">
        <v>-0.91018399999999999</v>
      </c>
      <c r="S6500">
        <v>-1.770859</v>
      </c>
      <c r="T6500">
        <v>-0.23743829999999999</v>
      </c>
      <c r="U6500">
        <v>-2.5050659999999998</v>
      </c>
      <c r="V6500">
        <v>0.27639849999999999</v>
      </c>
      <c r="W6500">
        <v>4.8425629999999997E-2</v>
      </c>
      <c r="X6500">
        <v>0.95982230000000002</v>
      </c>
      <c r="Y6500">
        <v>0.4510962</v>
      </c>
      <c r="Z6500">
        <v>7.9024590000000006E-2</v>
      </c>
      <c r="AA6500">
        <v>0.88896980000000003</v>
      </c>
      <c r="AB6500">
        <v>17</v>
      </c>
      <c r="AC6500">
        <v>-8.2571999999999797</v>
      </c>
      <c r="AD6500">
        <v>-1.1089873263500001</v>
      </c>
      <c r="AE6500">
        <v>-11.6158999999999</v>
      </c>
      <c r="AF6500">
        <v>6.4488314677797698</v>
      </c>
      <c r="AG6500">
        <v>-1.1089873263500001</v>
      </c>
      <c r="AH6500">
        <v>12.612910575303101</v>
      </c>
      <c r="AI6500">
        <v>94.476307817690497</v>
      </c>
      <c r="AJ6500">
        <v>62.919878645328403</v>
      </c>
      <c r="AK6500">
        <v>14.209250274747999</v>
      </c>
      <c r="AL6500">
        <v>87.224330243335999</v>
      </c>
      <c r="AM6500">
        <v>73.935270913373998</v>
      </c>
      <c r="AN6500">
        <v>1.00000001001021</v>
      </c>
    </row>
    <row r="6501" spans="1:40" x14ac:dyDescent="0.25">
      <c r="A6501" t="str">
        <f>"20190312150820363"</f>
        <v>20190312150820363</v>
      </c>
      <c r="B6501" t="str">
        <f>"1552374500356413"</f>
        <v>1552374500356413</v>
      </c>
      <c r="C6501" t="s">
        <v>40</v>
      </c>
      <c r="D6501">
        <v>4.4910040000000002</v>
      </c>
      <c r="E6501">
        <v>0.57102619999999904</v>
      </c>
      <c r="F6501" t="s">
        <v>77</v>
      </c>
      <c r="G6501">
        <v>-201.36789999999999</v>
      </c>
      <c r="H6501" s="1">
        <v>-1.033168E-5</v>
      </c>
      <c r="I6501">
        <v>144.55959999999999</v>
      </c>
      <c r="J6501">
        <v>-193.1397</v>
      </c>
      <c r="K6501">
        <v>1.1089610000000001</v>
      </c>
      <c r="L6501">
        <v>156.08150000000001</v>
      </c>
      <c r="M6501">
        <v>-0.1464878</v>
      </c>
      <c r="N6501">
        <v>0</v>
      </c>
      <c r="O6501">
        <v>-0.98914999999999997</v>
      </c>
      <c r="P6501">
        <v>-0.41434959999999998</v>
      </c>
      <c r="Q6501">
        <v>3.8910939999999998E-2</v>
      </c>
      <c r="R6501">
        <v>-0.90928580000000003</v>
      </c>
      <c r="S6501">
        <v>-1.7753599999999901</v>
      </c>
      <c r="T6501">
        <v>-0.2388189</v>
      </c>
      <c r="U6501">
        <v>-2.5018159999999998</v>
      </c>
      <c r="V6501">
        <v>0.27684769999999997</v>
      </c>
      <c r="W6501">
        <v>4.8610430000000003E-2</v>
      </c>
      <c r="X6501">
        <v>0.95968350000000002</v>
      </c>
      <c r="Y6501">
        <v>0.45117629999999997</v>
      </c>
      <c r="Z6501">
        <v>7.949523E-2</v>
      </c>
      <c r="AA6501">
        <v>0.88888719999999999</v>
      </c>
      <c r="AB6501">
        <v>17</v>
      </c>
      <c r="AC6501">
        <v>-8.2281999999999798</v>
      </c>
      <c r="AD6501">
        <v>-1.1089713316800001</v>
      </c>
      <c r="AE6501">
        <v>-11.5219</v>
      </c>
      <c r="AF6501">
        <v>6.4121659809164999</v>
      </c>
      <c r="AG6501">
        <v>-1.1089713316800001</v>
      </c>
      <c r="AH6501">
        <v>12.526148597974601</v>
      </c>
      <c r="AI6501">
        <v>94.506002884708494</v>
      </c>
      <c r="AJ6501">
        <v>62.891982723596797</v>
      </c>
      <c r="AK6501">
        <v>14.1155973546943</v>
      </c>
      <c r="AL6501">
        <v>87.2137295310892</v>
      </c>
      <c r="AM6501">
        <v>73.908306136165294</v>
      </c>
      <c r="AN6501">
        <v>1.00000002153616</v>
      </c>
    </row>
    <row r="6502" spans="1:40" x14ac:dyDescent="0.25">
      <c r="A6502" t="str">
        <f>"20190312150820374"</f>
        <v>20190312150820374</v>
      </c>
      <c r="B6502" t="str">
        <f>"1552374500366174"</f>
        <v>1552374500366174</v>
      </c>
      <c r="C6502" t="s">
        <v>40</v>
      </c>
      <c r="D6502">
        <v>4.465719</v>
      </c>
      <c r="E6502">
        <v>0.57094750000000005</v>
      </c>
      <c r="F6502" t="s">
        <v>77</v>
      </c>
      <c r="G6502">
        <v>-201.35390000000001</v>
      </c>
      <c r="H6502" s="1">
        <v>-1.033572E-5</v>
      </c>
      <c r="I6502">
        <v>144.5523</v>
      </c>
      <c r="J6502">
        <v>-193.15450000000001</v>
      </c>
      <c r="K6502">
        <v>1.10894</v>
      </c>
      <c r="L6502">
        <v>155.99420000000001</v>
      </c>
      <c r="M6502">
        <v>-0.14805079999999901</v>
      </c>
      <c r="N6502">
        <v>0</v>
      </c>
      <c r="O6502">
        <v>-0.98891689999999999</v>
      </c>
      <c r="P6502">
        <v>-0.41618230000000001</v>
      </c>
      <c r="Q6502">
        <v>3.921239E-2</v>
      </c>
      <c r="R6502">
        <v>-0.90843549999999995</v>
      </c>
      <c r="S6502">
        <v>-1.7800750000000001</v>
      </c>
      <c r="T6502">
        <v>-0.24032039999999999</v>
      </c>
      <c r="U6502">
        <v>-2.4984280000000001</v>
      </c>
      <c r="V6502">
        <v>0.27727230000000003</v>
      </c>
      <c r="W6502">
        <v>4.890618E-2</v>
      </c>
      <c r="X6502">
        <v>0.95954589999999995</v>
      </c>
      <c r="Y6502">
        <v>0.45142559999999898</v>
      </c>
      <c r="Z6502">
        <v>8.0005560000000003E-2</v>
      </c>
      <c r="AA6502">
        <v>0.88871480000000003</v>
      </c>
      <c r="AB6502">
        <v>17</v>
      </c>
      <c r="AC6502">
        <v>-8.19939999999999</v>
      </c>
      <c r="AD6502">
        <v>-1.1089503357199999</v>
      </c>
      <c r="AE6502">
        <v>-11.4419</v>
      </c>
      <c r="AF6502">
        <v>6.3753737712543899</v>
      </c>
      <c r="AG6502">
        <v>-1.1089503357199999</v>
      </c>
      <c r="AH6502">
        <v>12.45251029692</v>
      </c>
      <c r="AI6502">
        <v>94.532320284965607</v>
      </c>
      <c r="AJ6502">
        <v>62.888689158870001</v>
      </c>
      <c r="AK6502">
        <v>14.033537482231299</v>
      </c>
      <c r="AL6502">
        <v>87.196764173645903</v>
      </c>
      <c r="AM6502">
        <v>73.882715682159301</v>
      </c>
      <c r="AN6502">
        <v>1.00000003849814</v>
      </c>
    </row>
    <row r="6503" spans="1:40" x14ac:dyDescent="0.25">
      <c r="A6503" t="str">
        <f>"20190312150820392"</f>
        <v>20190312150820392</v>
      </c>
      <c r="B6503" t="str">
        <f>"1552374500386670"</f>
        <v>1552374500386670</v>
      </c>
      <c r="C6503" t="s">
        <v>40</v>
      </c>
      <c r="D6503">
        <v>4.5186359999999999</v>
      </c>
      <c r="E6503">
        <v>0.57080339999999996</v>
      </c>
      <c r="F6503" t="s">
        <v>77</v>
      </c>
      <c r="G6503">
        <v>-201.3878</v>
      </c>
      <c r="H6503" s="1">
        <v>-1.029984E-5</v>
      </c>
      <c r="I6503">
        <v>144.48220000000001</v>
      </c>
      <c r="J6503">
        <v>-193.17590000000001</v>
      </c>
      <c r="K6503">
        <v>1.108911</v>
      </c>
      <c r="L6503">
        <v>155.86920000000001</v>
      </c>
      <c r="M6503">
        <v>-0.15032239999999999</v>
      </c>
      <c r="N6503">
        <v>0</v>
      </c>
      <c r="O6503">
        <v>-0.98857399999999995</v>
      </c>
      <c r="P6503">
        <v>-0.41944300000000001</v>
      </c>
      <c r="Q6503">
        <v>3.9383170000000002E-2</v>
      </c>
      <c r="R6503">
        <v>-0.90692700000000004</v>
      </c>
      <c r="S6503">
        <v>-1.784546</v>
      </c>
      <c r="T6503">
        <v>-0.24036089999999999</v>
      </c>
      <c r="U6503">
        <v>-2.495193</v>
      </c>
      <c r="V6503">
        <v>0.27852090000000002</v>
      </c>
      <c r="W6503">
        <v>4.9063830000000003E-2</v>
      </c>
      <c r="X6503">
        <v>0.95917609999999998</v>
      </c>
      <c r="Y6503">
        <v>0.45097470000000001</v>
      </c>
      <c r="Z6503">
        <v>8.003246E-2</v>
      </c>
      <c r="AA6503">
        <v>0.88894130000000005</v>
      </c>
      <c r="AB6503">
        <v>17</v>
      </c>
      <c r="AC6503">
        <v>-8.2118999999999804</v>
      </c>
      <c r="AD6503">
        <v>-1.10892129984</v>
      </c>
      <c r="AE6503">
        <v>-11.387</v>
      </c>
      <c r="AF6503">
        <v>6.3670248462671797</v>
      </c>
      <c r="AG6503">
        <v>-1.10892129984</v>
      </c>
      <c r="AH6503">
        <v>12.414647753714201</v>
      </c>
      <c r="AI6503">
        <v>94.544333792109398</v>
      </c>
      <c r="AJ6503">
        <v>62.848349395668599</v>
      </c>
      <c r="AK6503">
        <v>13.996149137924499</v>
      </c>
      <c r="AL6503">
        <v>87.187720447677805</v>
      </c>
      <c r="AM6503">
        <v>73.808016133890007</v>
      </c>
      <c r="AN6503">
        <v>0.99999997098114402</v>
      </c>
    </row>
    <row r="6504" spans="1:40" x14ac:dyDescent="0.25">
      <c r="A6504" t="str">
        <f>"20190312150820403"</f>
        <v>20190312150820403</v>
      </c>
      <c r="B6504" t="str">
        <f>"1552374500396430"</f>
        <v>1552374500396430</v>
      </c>
      <c r="C6504" t="s">
        <v>40</v>
      </c>
      <c r="D6504">
        <v>4.4529740000000002</v>
      </c>
      <c r="E6504">
        <v>0.5706369</v>
      </c>
      <c r="F6504" t="s">
        <v>77</v>
      </c>
      <c r="G6504">
        <v>-201.35550000000001</v>
      </c>
      <c r="H6504" s="1">
        <v>-1.03225E-5</v>
      </c>
      <c r="I6504">
        <v>144.5102</v>
      </c>
      <c r="J6504">
        <v>-193.19130000000001</v>
      </c>
      <c r="K6504">
        <v>1.1088880000000001</v>
      </c>
      <c r="L6504">
        <v>155.77979999999999</v>
      </c>
      <c r="M6504">
        <v>-0.1519703</v>
      </c>
      <c r="N6504">
        <v>0</v>
      </c>
      <c r="O6504">
        <v>-0.98832169999999997</v>
      </c>
      <c r="P6504">
        <v>-0.42148809999999898</v>
      </c>
      <c r="Q6504">
        <v>3.982256E-2</v>
      </c>
      <c r="R6504">
        <v>-0.90595899999999996</v>
      </c>
      <c r="S6504">
        <v>-1.7926029999999999</v>
      </c>
      <c r="T6504">
        <v>-0.2430242</v>
      </c>
      <c r="U6504">
        <v>-2.4893649999999998</v>
      </c>
      <c r="V6504">
        <v>0.2790937</v>
      </c>
      <c r="W6504">
        <v>4.9495789999999998E-2</v>
      </c>
      <c r="X6504">
        <v>0.95898740000000005</v>
      </c>
      <c r="Y6504">
        <v>0.45232670000000003</v>
      </c>
      <c r="Z6504">
        <v>8.0935850000000004E-2</v>
      </c>
      <c r="AA6504">
        <v>0.88817230000000003</v>
      </c>
      <c r="AB6504">
        <v>17</v>
      </c>
      <c r="AC6504">
        <v>-8.1641999999999904</v>
      </c>
      <c r="AD6504">
        <v>-1.1088983225</v>
      </c>
      <c r="AE6504">
        <v>-11.269599999999899</v>
      </c>
      <c r="AF6504">
        <v>6.3165022055518296</v>
      </c>
      <c r="AG6504">
        <v>-1.1088983225</v>
      </c>
      <c r="AH6504">
        <v>12.3013723424286</v>
      </c>
      <c r="AI6504">
        <v>94.584765696147898</v>
      </c>
      <c r="AJ6504">
        <v>62.820432260997997</v>
      </c>
      <c r="AK6504">
        <v>13.872693217593</v>
      </c>
      <c r="AL6504">
        <v>87.162940880498795</v>
      </c>
      <c r="AM6504">
        <v>73.773441654154993</v>
      </c>
      <c r="AN6504">
        <v>0.99999997998308598</v>
      </c>
    </row>
    <row r="6505" spans="1:40" x14ac:dyDescent="0.25">
      <c r="A6505" t="str">
        <f>"20190312150820415"</f>
        <v>20190312150820415</v>
      </c>
      <c r="B6505" t="str">
        <f>"1552374500406190"</f>
        <v>1552374500406190</v>
      </c>
      <c r="C6505" t="s">
        <v>40</v>
      </c>
      <c r="D6505">
        <v>4.4715059999999998</v>
      </c>
      <c r="E6505">
        <v>0.57059709999999997</v>
      </c>
      <c r="F6505" t="s">
        <v>77</v>
      </c>
      <c r="G6505">
        <v>-201.37950000000001</v>
      </c>
      <c r="H6505" s="1">
        <v>-1.0294540000000001E-5</v>
      </c>
      <c r="I6505">
        <v>144.452</v>
      </c>
      <c r="J6505">
        <v>-193.2071</v>
      </c>
      <c r="K6505">
        <v>1.1088639999999901</v>
      </c>
      <c r="L6505">
        <v>155.69030000000001</v>
      </c>
      <c r="M6505">
        <v>-0.15365980000000001</v>
      </c>
      <c r="N6505">
        <v>0</v>
      </c>
      <c r="O6505">
        <v>-0.98806039999999995</v>
      </c>
      <c r="P6505">
        <v>-0.42367199999999999</v>
      </c>
      <c r="Q6505">
        <v>3.9829629999999998E-2</v>
      </c>
      <c r="R6505">
        <v>-0.90493959999999996</v>
      </c>
      <c r="S6505">
        <v>-1.796997</v>
      </c>
      <c r="T6505">
        <v>-0.24336250000000001</v>
      </c>
      <c r="U6505">
        <v>-2.4860530000000001</v>
      </c>
      <c r="V6505">
        <v>0.27977030000000003</v>
      </c>
      <c r="W6505">
        <v>4.9494839999999998E-2</v>
      </c>
      <c r="X6505">
        <v>0.95879029999999998</v>
      </c>
      <c r="Y6505">
        <v>0.45239010000000002</v>
      </c>
      <c r="Z6505">
        <v>8.106273E-2</v>
      </c>
      <c r="AA6505">
        <v>0.88812839999999904</v>
      </c>
      <c r="AB6505">
        <v>17</v>
      </c>
      <c r="AC6505">
        <v>-8.1724000000000103</v>
      </c>
      <c r="AD6505">
        <v>-1.1088742945400001</v>
      </c>
      <c r="AE6505">
        <v>-11.238300000000001</v>
      </c>
      <c r="AF6505">
        <v>6.3081765042817404</v>
      </c>
      <c r="AG6505">
        <v>-1.1088742945400001</v>
      </c>
      <c r="AH6505">
        <v>12.2824470802696</v>
      </c>
      <c r="AI6505">
        <v>94.591490254434206</v>
      </c>
      <c r="AJ6505">
        <v>62.815293760160998</v>
      </c>
      <c r="AK6505">
        <v>13.852118945846801</v>
      </c>
      <c r="AL6505">
        <v>87.162995434158503</v>
      </c>
      <c r="AM6505">
        <v>73.7330143905357</v>
      </c>
      <c r="AN6505">
        <v>0.99999999966140196</v>
      </c>
    </row>
    <row r="6506" spans="1:40" x14ac:dyDescent="0.25">
      <c r="A6506" t="str">
        <f>"20190312150820428"</f>
        <v>20190312150820428</v>
      </c>
      <c r="B6506" t="str">
        <f>"1552374500426688"</f>
        <v>1552374500426688</v>
      </c>
      <c r="C6506" t="s">
        <v>40</v>
      </c>
      <c r="D6506">
        <v>4.481973</v>
      </c>
      <c r="E6506">
        <v>0.57039019999999996</v>
      </c>
      <c r="F6506" t="s">
        <v>77</v>
      </c>
      <c r="G6506">
        <v>-201.376</v>
      </c>
      <c r="H6506" s="1">
        <v>-1.029412E-5</v>
      </c>
      <c r="I6506">
        <v>144.4453</v>
      </c>
      <c r="J6506">
        <v>-193.2251</v>
      </c>
      <c r="K6506">
        <v>1.1088370000000001</v>
      </c>
      <c r="L6506">
        <v>155.58920000000001</v>
      </c>
      <c r="M6506">
        <v>-0.1555858</v>
      </c>
      <c r="N6506">
        <v>0</v>
      </c>
      <c r="O6506">
        <v>-0.9877589</v>
      </c>
      <c r="P6506">
        <v>-0.42612329999999998</v>
      </c>
      <c r="Q6506">
        <v>3.9835969999999998E-2</v>
      </c>
      <c r="R6506">
        <v>-0.90378769999999997</v>
      </c>
      <c r="S6506">
        <v>-1.802902</v>
      </c>
      <c r="T6506">
        <v>-0.2447339</v>
      </c>
      <c r="U6506">
        <v>-2.4818120000000001</v>
      </c>
      <c r="V6506">
        <v>0.28050350000000002</v>
      </c>
      <c r="W6506">
        <v>4.9491029999999998E-2</v>
      </c>
      <c r="X6506">
        <v>0.95857630000000005</v>
      </c>
      <c r="Y6506">
        <v>0.45273570000000002</v>
      </c>
      <c r="Z6506">
        <v>8.1531309999999996E-2</v>
      </c>
      <c r="AA6506">
        <v>0.88790939999999996</v>
      </c>
      <c r="AB6506">
        <v>17</v>
      </c>
      <c r="AC6506">
        <v>-8.1508999999999698</v>
      </c>
      <c r="AD6506">
        <v>-1.10884729412</v>
      </c>
      <c r="AE6506">
        <v>-11.1439</v>
      </c>
      <c r="AF6506">
        <v>6.2771990189793501</v>
      </c>
      <c r="AG6506">
        <v>-1.10884729412</v>
      </c>
      <c r="AH6506">
        <v>12.1977438445938</v>
      </c>
      <c r="AI6506">
        <v>94.621202869457306</v>
      </c>
      <c r="AJ6506">
        <v>62.768758106186297</v>
      </c>
      <c r="AK6506">
        <v>13.762911201627301</v>
      </c>
      <c r="AL6506">
        <v>87.1632141397005</v>
      </c>
      <c r="AM6506">
        <v>73.689198636513495</v>
      </c>
      <c r="AN6506">
        <v>1.0000000492421901</v>
      </c>
    </row>
    <row r="6507" spans="1:40" x14ac:dyDescent="0.25">
      <c r="A6507" t="str">
        <f>"20190312150820441"</f>
        <v>20190312150820441</v>
      </c>
      <c r="B6507" t="str">
        <f>"1552374500436469"</f>
        <v>1552374500436469</v>
      </c>
      <c r="C6507" t="s">
        <v>40</v>
      </c>
      <c r="D6507">
        <v>4.4737809999999998</v>
      </c>
      <c r="E6507">
        <v>0.57027280000000002</v>
      </c>
      <c r="F6507" t="s">
        <v>77</v>
      </c>
      <c r="G6507">
        <v>-201.3141</v>
      </c>
      <c r="H6507" s="1">
        <v>-1.033986E-5</v>
      </c>
      <c r="I6507">
        <v>144.5068</v>
      </c>
      <c r="J6507">
        <v>-193.24100000000001</v>
      </c>
      <c r="K6507">
        <v>1.108814</v>
      </c>
      <c r="L6507">
        <v>155.5009</v>
      </c>
      <c r="M6507">
        <v>-0.15729219999999999</v>
      </c>
      <c r="N6507">
        <v>0</v>
      </c>
      <c r="O6507">
        <v>-0.98748829999999999</v>
      </c>
      <c r="P6507">
        <v>-0.42836020000000002</v>
      </c>
      <c r="Q6507">
        <v>3.9902229999999997E-2</v>
      </c>
      <c r="R6507">
        <v>-0.90272669999999999</v>
      </c>
      <c r="S6507">
        <v>-1.8084260000000001</v>
      </c>
      <c r="T6507">
        <v>-0.24790129999999999</v>
      </c>
      <c r="U6507">
        <v>-2.477646</v>
      </c>
      <c r="V6507">
        <v>0.2812249</v>
      </c>
      <c r="W6507">
        <v>4.95477E-2</v>
      </c>
      <c r="X6507">
        <v>0.95836189999999999</v>
      </c>
      <c r="Y6507">
        <v>0.45314710000000002</v>
      </c>
      <c r="Z6507">
        <v>8.2597429999999999E-2</v>
      </c>
      <c r="AA6507">
        <v>0.88760090000000003</v>
      </c>
      <c r="AB6507">
        <v>17</v>
      </c>
      <c r="AC6507">
        <v>-8.0731000000000002</v>
      </c>
      <c r="AD6507">
        <v>-1.10882433986</v>
      </c>
      <c r="AE6507">
        <v>-10.9941</v>
      </c>
      <c r="AF6507">
        <v>6.2022113101082796</v>
      </c>
      <c r="AG6507">
        <v>-1.10882433986</v>
      </c>
      <c r="AH6507">
        <v>12.0475280844647</v>
      </c>
      <c r="AI6507">
        <v>94.6781077596888</v>
      </c>
      <c r="AJ6507">
        <v>62.760049514249197</v>
      </c>
      <c r="AK6507">
        <v>13.595581984522299</v>
      </c>
      <c r="AL6507">
        <v>87.159962989105196</v>
      </c>
      <c r="AM6507">
        <v>73.646025999295205</v>
      </c>
      <c r="AN6507">
        <v>0.99999997516345396</v>
      </c>
    </row>
    <row r="6508" spans="1:40" x14ac:dyDescent="0.25">
      <c r="A6508" t="str">
        <f>"20190312150820454"</f>
        <v>20190312150820454</v>
      </c>
      <c r="B6508" t="str">
        <f>"1552374500446803"</f>
        <v>1552374500446803</v>
      </c>
      <c r="C6508" t="s">
        <v>40</v>
      </c>
      <c r="D6508">
        <v>4.5228570000000001</v>
      </c>
      <c r="E6508">
        <v>0.57020029999999999</v>
      </c>
      <c r="F6508" t="s">
        <v>77</v>
      </c>
      <c r="G6508">
        <v>-201.2955</v>
      </c>
      <c r="H6508" s="1">
        <v>-1.0350770000000001E-5</v>
      </c>
      <c r="I6508">
        <v>144.51580000000001</v>
      </c>
      <c r="J6508">
        <v>-193.2593</v>
      </c>
      <c r="K6508">
        <v>1.1087899999999999</v>
      </c>
      <c r="L6508">
        <v>155.40039999999999</v>
      </c>
      <c r="M6508">
        <v>-0.15926949999999901</v>
      </c>
      <c r="N6508">
        <v>0</v>
      </c>
      <c r="O6508">
        <v>-0.98717109999999997</v>
      </c>
      <c r="P6508">
        <v>-0.43088979999999999</v>
      </c>
      <c r="Q6508">
        <v>3.9863089999999997E-2</v>
      </c>
      <c r="R6508">
        <v>-0.90152390000000004</v>
      </c>
      <c r="S6508">
        <v>-1.8137509999999999</v>
      </c>
      <c r="T6508">
        <v>-0.24968889999999999</v>
      </c>
      <c r="U6508">
        <v>-2.4736630000000002</v>
      </c>
      <c r="V6508">
        <v>0.28199600000000002</v>
      </c>
      <c r="W6508">
        <v>4.9497699999999999E-2</v>
      </c>
      <c r="X6508">
        <v>0.95813789999999999</v>
      </c>
      <c r="Y6508">
        <v>0.45325789999999999</v>
      </c>
      <c r="Z6508">
        <v>8.3204899999999998E-2</v>
      </c>
      <c r="AA6508">
        <v>0.88748760000000004</v>
      </c>
      <c r="AB6508">
        <v>17</v>
      </c>
      <c r="AC6508">
        <v>-8.0361999999999991</v>
      </c>
      <c r="AD6508">
        <v>-1.1088003507699999</v>
      </c>
      <c r="AE6508">
        <v>-10.884599999999899</v>
      </c>
      <c r="AF6508">
        <v>6.1585493971448297</v>
      </c>
      <c r="AG6508">
        <v>-1.1088003507699999</v>
      </c>
      <c r="AH6508">
        <v>11.945416361378699</v>
      </c>
      <c r="AI6508">
        <v>94.716390338662407</v>
      </c>
      <c r="AJ6508">
        <v>62.726290365378901</v>
      </c>
      <c r="AK6508">
        <v>13.4851822732077</v>
      </c>
      <c r="AL6508">
        <v>87.162831370562003</v>
      </c>
      <c r="AM6508">
        <v>73.599962538675399</v>
      </c>
      <c r="AN6508">
        <v>1.0000000008688401</v>
      </c>
    </row>
    <row r="6509" spans="1:40" x14ac:dyDescent="0.25">
      <c r="A6509" t="str">
        <f>"20190312150820470"</f>
        <v>20190312150820470</v>
      </c>
      <c r="B6509" t="str">
        <f>"1552374500466323"</f>
        <v>1552374500466323</v>
      </c>
      <c r="C6509" t="s">
        <v>40</v>
      </c>
      <c r="D6509">
        <v>4.4675690000000001</v>
      </c>
      <c r="E6509">
        <v>0.56993780000000005</v>
      </c>
      <c r="F6509" t="s">
        <v>77</v>
      </c>
      <c r="G6509">
        <v>-201.3075</v>
      </c>
      <c r="H6509" s="1">
        <v>-1.0336099999999999E-5</v>
      </c>
      <c r="I6509">
        <v>144.48429999999999</v>
      </c>
      <c r="J6509">
        <v>-193.2816</v>
      </c>
      <c r="K6509">
        <v>1.1087590000000001</v>
      </c>
      <c r="L6509">
        <v>155.2801</v>
      </c>
      <c r="M6509">
        <v>-0.16166889999999901</v>
      </c>
      <c r="N6509">
        <v>0</v>
      </c>
      <c r="O6509">
        <v>-0.98678109999999997</v>
      </c>
      <c r="P6509">
        <v>-0.43455280000000002</v>
      </c>
      <c r="Q6509">
        <v>3.9602180000000001E-2</v>
      </c>
      <c r="R6509">
        <v>-0.89977569999999996</v>
      </c>
      <c r="S6509">
        <v>-1.82019</v>
      </c>
      <c r="T6509">
        <v>-0.25076929999999997</v>
      </c>
      <c r="U6509">
        <v>-2.4688110000000001</v>
      </c>
      <c r="V6509">
        <v>0.2835647</v>
      </c>
      <c r="W6509">
        <v>4.9218619999999998E-2</v>
      </c>
      <c r="X6509">
        <v>0.95768920000000002</v>
      </c>
      <c r="Y6509">
        <v>0.45340710000000001</v>
      </c>
      <c r="Z6509">
        <v>8.3581669999999997E-2</v>
      </c>
      <c r="AA6509">
        <v>0.88737600000000005</v>
      </c>
      <c r="AB6509">
        <v>17</v>
      </c>
      <c r="AC6509">
        <v>-8.0259</v>
      </c>
      <c r="AD6509">
        <v>-1.1087693360999999</v>
      </c>
      <c r="AE6509">
        <v>-10.7958</v>
      </c>
      <c r="AF6509">
        <v>6.1331856598350196</v>
      </c>
      <c r="AG6509">
        <v>-1.1087693360999999</v>
      </c>
      <c r="AH6509">
        <v>11.8707410516942</v>
      </c>
      <c r="AI6509">
        <v>94.743662496952197</v>
      </c>
      <c r="AJ6509">
        <v>62.6762250849482</v>
      </c>
      <c r="AK6509">
        <v>13.407454228713901</v>
      </c>
      <c r="AL6509">
        <v>87.178841009520696</v>
      </c>
      <c r="AM6509">
        <v>73.506367421722302</v>
      </c>
      <c r="AN6509">
        <v>1.0000000077187099</v>
      </c>
    </row>
    <row r="6510" spans="1:40" x14ac:dyDescent="0.25">
      <c r="A6510" t="str">
        <f>"20190312150820483"</f>
        <v>20190312150820483</v>
      </c>
      <c r="B6510" t="str">
        <f>"1552374500476083"</f>
        <v>1552374500476083</v>
      </c>
      <c r="C6510" t="s">
        <v>40</v>
      </c>
      <c r="D6510">
        <v>4.5161009999999999</v>
      </c>
      <c r="E6510">
        <v>0.56985330000000001</v>
      </c>
      <c r="F6510" t="s">
        <v>77</v>
      </c>
      <c r="G6510">
        <v>-201.26400000000001</v>
      </c>
      <c r="H6510" s="1">
        <v>-1.0369200000000001E-5</v>
      </c>
      <c r="I6510">
        <v>144.5307</v>
      </c>
      <c r="J6510">
        <v>-193.3015</v>
      </c>
      <c r="K6510">
        <v>1.1087370000000001</v>
      </c>
      <c r="L6510">
        <v>155.1737</v>
      </c>
      <c r="M6510">
        <v>-0.16382060000000001</v>
      </c>
      <c r="N6510">
        <v>0</v>
      </c>
      <c r="O6510">
        <v>-0.98642580000000002</v>
      </c>
      <c r="P6510">
        <v>-0.43716549999999998</v>
      </c>
      <c r="Q6510">
        <v>3.9506039999999999E-2</v>
      </c>
      <c r="R6510">
        <v>-0.89851299999999901</v>
      </c>
      <c r="S6510">
        <v>-1.8284910000000001</v>
      </c>
      <c r="T6510">
        <v>-0.25398140000000002</v>
      </c>
      <c r="U6510">
        <v>-2.4623110000000001</v>
      </c>
      <c r="V6510">
        <v>0.28426119999999999</v>
      </c>
      <c r="W6510">
        <v>4.911194E-2</v>
      </c>
      <c r="X6510">
        <v>0.95748820000000001</v>
      </c>
      <c r="Y6510">
        <v>0.454459</v>
      </c>
      <c r="Z6510">
        <v>8.4675120000000006E-2</v>
      </c>
      <c r="AA6510">
        <v>0.88673389999999996</v>
      </c>
      <c r="AB6510">
        <v>17</v>
      </c>
      <c r="AC6510">
        <v>-7.9625000000000004</v>
      </c>
      <c r="AD6510">
        <v>-1.1087473692000001</v>
      </c>
      <c r="AE6510">
        <v>-10.642999999999899</v>
      </c>
      <c r="AF6510">
        <v>6.0690318074933103</v>
      </c>
      <c r="AG6510">
        <v>-1.1087473692000001</v>
      </c>
      <c r="AH6510">
        <v>11.722136831332</v>
      </c>
      <c r="AI6510">
        <v>94.801324025758305</v>
      </c>
      <c r="AJ6510">
        <v>62.627541064705298</v>
      </c>
      <c r="AK6510">
        <v>13.2465451987129</v>
      </c>
      <c r="AL6510">
        <v>87.184960794755696</v>
      </c>
      <c r="AM6510">
        <v>73.464783208040302</v>
      </c>
      <c r="AN6510">
        <v>1.00000003280762</v>
      </c>
    </row>
    <row r="6511" spans="1:40" x14ac:dyDescent="0.25">
      <c r="A6511" t="str">
        <f>"20190312150820505"</f>
        <v>20190312150820505</v>
      </c>
      <c r="B6511" t="str">
        <f>"1552374500496579"</f>
        <v>1552374500496579</v>
      </c>
      <c r="C6511" t="s">
        <v>40</v>
      </c>
      <c r="D6511">
        <v>4.5088759999999999</v>
      </c>
      <c r="E6511">
        <v>0.56967089999999998</v>
      </c>
      <c r="F6511" t="s">
        <v>77</v>
      </c>
      <c r="G6511">
        <v>-201.27160000000001</v>
      </c>
      <c r="H6511" s="1">
        <v>-1.0357310000000001E-5</v>
      </c>
      <c r="I6511">
        <v>144.50219999999999</v>
      </c>
      <c r="J6511">
        <v>-193.3313</v>
      </c>
      <c r="K6511">
        <v>1.1087089999999999</v>
      </c>
      <c r="L6511">
        <v>155.0181</v>
      </c>
      <c r="M6511">
        <v>-0.16703570000000001</v>
      </c>
      <c r="N6511">
        <v>0</v>
      </c>
      <c r="O6511">
        <v>-0.9858865</v>
      </c>
      <c r="P6511">
        <v>-0.44142189999999998</v>
      </c>
      <c r="Q6511">
        <v>4.0118670000000002E-2</v>
      </c>
      <c r="R6511">
        <v>-0.8964027</v>
      </c>
      <c r="S6511">
        <v>-1.835175</v>
      </c>
      <c r="T6511">
        <v>-0.25529649999999998</v>
      </c>
      <c r="U6511">
        <v>-2.4571839999999998</v>
      </c>
      <c r="V6511">
        <v>0.28569250000000002</v>
      </c>
      <c r="W6511">
        <v>4.970488E-2</v>
      </c>
      <c r="X6511">
        <v>0.95703139999999998</v>
      </c>
      <c r="Y6511">
        <v>0.45396979999999998</v>
      </c>
      <c r="Z6511">
        <v>8.5129650000000001E-2</v>
      </c>
      <c r="AA6511">
        <v>0.88694099999999998</v>
      </c>
      <c r="AB6511">
        <v>17</v>
      </c>
      <c r="AC6511">
        <v>-7.9402999999999997</v>
      </c>
      <c r="AD6511">
        <v>-1.10871935731</v>
      </c>
      <c r="AE6511">
        <v>-10.5159</v>
      </c>
      <c r="AF6511">
        <v>6.0294029927955402</v>
      </c>
      <c r="AG6511">
        <v>-1.10871935731</v>
      </c>
      <c r="AH6511">
        <v>11.612328066505301</v>
      </c>
      <c r="AI6511">
        <v>94.843466798019605</v>
      </c>
      <c r="AJ6511">
        <v>62.560563687200997</v>
      </c>
      <c r="AK6511">
        <v>13.131226987108001</v>
      </c>
      <c r="AL6511">
        <v>87.150946028256001</v>
      </c>
      <c r="AM6511">
        <v>73.378611753230402</v>
      </c>
      <c r="AN6511">
        <v>0.99999994011900994</v>
      </c>
    </row>
    <row r="6512" spans="1:40" x14ac:dyDescent="0.25">
      <c r="A6512" t="str">
        <f>"20190312150820519"</f>
        <v>20190312150820519</v>
      </c>
      <c r="B6512" t="str">
        <f>"1552374500506339"</f>
        <v>1552374500506339</v>
      </c>
      <c r="C6512" t="s">
        <v>40</v>
      </c>
      <c r="D6512">
        <v>4.4386789999999996</v>
      </c>
      <c r="E6512">
        <v>0.56950080000000003</v>
      </c>
      <c r="F6512" t="s">
        <v>77</v>
      </c>
      <c r="G6512">
        <v>-201.2869</v>
      </c>
      <c r="H6512" s="1">
        <v>-1.0338569999999999E-5</v>
      </c>
      <c r="I6512">
        <v>144.46199999999999</v>
      </c>
      <c r="J6512">
        <v>-193.352</v>
      </c>
      <c r="K6512">
        <v>1.1086830000000001</v>
      </c>
      <c r="L6512">
        <v>154.91159999999999</v>
      </c>
      <c r="M6512">
        <v>-0.16928180000000001</v>
      </c>
      <c r="N6512">
        <v>0</v>
      </c>
      <c r="O6512">
        <v>-0.98550309999999997</v>
      </c>
      <c r="P6512">
        <v>-0.4441079</v>
      </c>
      <c r="Q6512">
        <v>4.0271609999999999E-2</v>
      </c>
      <c r="R6512">
        <v>-0.89506819999999898</v>
      </c>
      <c r="S6512">
        <v>-1.8458859999999999</v>
      </c>
      <c r="T6512">
        <v>-0.2572469</v>
      </c>
      <c r="U6512">
        <v>-2.4492340000000001</v>
      </c>
      <c r="V6512">
        <v>0.28638649999999999</v>
      </c>
      <c r="W6512">
        <v>4.9845359999999998E-2</v>
      </c>
      <c r="X6512">
        <v>0.95681669999999996</v>
      </c>
      <c r="Y6512">
        <v>0.4557638</v>
      </c>
      <c r="Z6512">
        <v>8.5802130000000004E-2</v>
      </c>
      <c r="AA6512">
        <v>0.88595559999999995</v>
      </c>
      <c r="AB6512">
        <v>17</v>
      </c>
      <c r="AC6512">
        <v>-7.9348999999999901</v>
      </c>
      <c r="AD6512">
        <v>-1.10869333857</v>
      </c>
      <c r="AE6512">
        <v>-10.449599999999901</v>
      </c>
      <c r="AF6512">
        <v>6.0084264486682901</v>
      </c>
      <c r="AG6512">
        <v>-1.10869333857</v>
      </c>
      <c r="AH6512">
        <v>11.5595531496711</v>
      </c>
      <c r="AI6512">
        <v>94.864259064824594</v>
      </c>
      <c r="AJ6512">
        <v>62.535483932008901</v>
      </c>
      <c r="AK6512">
        <v>13.0749247924459</v>
      </c>
      <c r="AL6512">
        <v>87.142887276599296</v>
      </c>
      <c r="AM6512">
        <v>73.336939382920306</v>
      </c>
      <c r="AN6512">
        <v>0.99999999234733405</v>
      </c>
    </row>
    <row r="6513" spans="1:40" x14ac:dyDescent="0.25">
      <c r="A6513" t="str">
        <f>"20190312150820531"</f>
        <v>20190312150820531</v>
      </c>
      <c r="B6513" t="str">
        <f>"1552374500526838"</f>
        <v>1552374500526838</v>
      </c>
      <c r="C6513" t="s">
        <v>40</v>
      </c>
      <c r="D6513">
        <v>4.3876390000000001</v>
      </c>
      <c r="E6513">
        <v>0.57950440000000003</v>
      </c>
      <c r="F6513" t="s">
        <v>77</v>
      </c>
      <c r="G6513">
        <v>-201.31549999999999</v>
      </c>
      <c r="H6513" s="1">
        <v>-1.030833E-5</v>
      </c>
      <c r="I6513">
        <v>144.40289999999999</v>
      </c>
      <c r="J6513">
        <v>-193.3699</v>
      </c>
      <c r="K6513">
        <v>1.108662</v>
      </c>
      <c r="L6513">
        <v>154.82060000000001</v>
      </c>
      <c r="M6513">
        <v>-0.17122219999999999</v>
      </c>
      <c r="N6513">
        <v>0</v>
      </c>
      <c r="O6513">
        <v>-0.98516769999999998</v>
      </c>
      <c r="P6513">
        <v>-0.44638800000000001</v>
      </c>
      <c r="Q6513">
        <v>4.0272769999999999E-2</v>
      </c>
      <c r="R6513">
        <v>-0.89393310000000004</v>
      </c>
      <c r="S6513">
        <v>-1.8522639999999999</v>
      </c>
      <c r="T6513">
        <v>-0.25787529999999997</v>
      </c>
      <c r="U6513">
        <v>-2.4442599999999999</v>
      </c>
      <c r="V6513">
        <v>0.28694409999999998</v>
      </c>
      <c r="W6513">
        <v>4.9836320000000003E-2</v>
      </c>
      <c r="X6513">
        <v>0.95665009999999995</v>
      </c>
      <c r="Y6513">
        <v>0.4563372</v>
      </c>
      <c r="Z6513">
        <v>8.6029980000000006E-2</v>
      </c>
      <c r="AA6513">
        <v>0.88563829999999999</v>
      </c>
      <c r="AB6513">
        <v>17</v>
      </c>
      <c r="AC6513">
        <v>-7.9455999999999802</v>
      </c>
      <c r="AD6513">
        <v>-1.1086723083299901</v>
      </c>
      <c r="AE6513">
        <v>-10.4177</v>
      </c>
      <c r="AF6513">
        <v>6.0014201798028202</v>
      </c>
      <c r="AG6513">
        <v>-1.1086723083299901</v>
      </c>
      <c r="AH6513">
        <v>11.5417430923669</v>
      </c>
      <c r="AI6513">
        <v>94.871250065704999</v>
      </c>
      <c r="AJ6513">
        <v>62.526686852156701</v>
      </c>
      <c r="AK6513">
        <v>13.055957723277199</v>
      </c>
      <c r="AL6513">
        <v>87.143405881341096</v>
      </c>
      <c r="AM6513">
        <v>73.303554251452596</v>
      </c>
      <c r="AN6513">
        <v>0.99999999457298105</v>
      </c>
    </row>
    <row r="6514" spans="1:40" x14ac:dyDescent="0.25">
      <c r="A6514" t="str">
        <f>"20190312150820545"</f>
        <v>20190312150820545</v>
      </c>
      <c r="B6514" t="str">
        <f>"1552374500536596"</f>
        <v>1552374500536596</v>
      </c>
      <c r="C6514" t="s">
        <v>40</v>
      </c>
      <c r="D6514">
        <v>4.7271799999999997</v>
      </c>
      <c r="E6514">
        <v>0.590736699999999</v>
      </c>
      <c r="F6514" t="s">
        <v>77</v>
      </c>
      <c r="G6514">
        <v>-207.8886</v>
      </c>
      <c r="H6514" s="1">
        <v>-5.3673049999999998E-6</v>
      </c>
      <c r="I6514">
        <v>136.68629999999999</v>
      </c>
      <c r="J6514">
        <v>-193.3913</v>
      </c>
      <c r="K6514">
        <v>1.1086389999999999</v>
      </c>
      <c r="L6514">
        <v>154.71340000000001</v>
      </c>
      <c r="M6514">
        <v>-0.17352919999999999</v>
      </c>
      <c r="N6514">
        <v>0</v>
      </c>
      <c r="O6514">
        <v>-0.98476390000000003</v>
      </c>
      <c r="P6514">
        <v>-0.44905600000000001</v>
      </c>
      <c r="Q6514">
        <v>4.0356620000000003E-2</v>
      </c>
      <c r="R6514">
        <v>-0.89259189999999999</v>
      </c>
      <c r="S6514">
        <v>-1.923233</v>
      </c>
      <c r="T6514">
        <v>-0.14686080000000001</v>
      </c>
      <c r="U6514">
        <v>-2.4021759999999999</v>
      </c>
      <c r="V6514">
        <v>0.28756490000000001</v>
      </c>
      <c r="W6514">
        <v>4.9909170000000003E-2</v>
      </c>
      <c r="X6514">
        <v>0.95645990000000003</v>
      </c>
      <c r="Y6514">
        <v>0.47928379999999998</v>
      </c>
      <c r="Z6514">
        <v>4.9061790000000001E-2</v>
      </c>
      <c r="AA6514">
        <v>0.87628760000000006</v>
      </c>
      <c r="AB6514">
        <v>17</v>
      </c>
      <c r="AC6514">
        <v>-14.4972999999999</v>
      </c>
      <c r="AD6514">
        <v>-1.1086443673049999</v>
      </c>
      <c r="AE6514">
        <v>-18.027100000000001</v>
      </c>
      <c r="AF6514">
        <v>11.123353826344699</v>
      </c>
      <c r="AG6514">
        <v>-1.1086443673049999</v>
      </c>
      <c r="AH6514">
        <v>20.222989381394999</v>
      </c>
      <c r="AI6514">
        <v>92.750049747440599</v>
      </c>
      <c r="AJ6514">
        <v>61.187662611910497</v>
      </c>
      <c r="AK6514">
        <v>23.1068689397596</v>
      </c>
      <c r="AL6514">
        <v>87.139226751997001</v>
      </c>
      <c r="AM6514">
        <v>73.266307289004203</v>
      </c>
      <c r="AN6514">
        <v>1.0000000186350499</v>
      </c>
    </row>
    <row r="6515" spans="1:40" x14ac:dyDescent="0.25">
      <c r="A6515" t="str">
        <f>"20190312150820560"</f>
        <v>20190312150820560</v>
      </c>
      <c r="B6515" t="str">
        <f>"1552374500556115"</f>
        <v>1552374500556115</v>
      </c>
      <c r="C6515" t="s">
        <v>40</v>
      </c>
      <c r="D6515">
        <v>4.4991279999999998</v>
      </c>
      <c r="E6515">
        <v>0.60817390000000005</v>
      </c>
      <c r="F6515" t="s">
        <v>77</v>
      </c>
      <c r="G6515">
        <v>-207.05260000000001</v>
      </c>
      <c r="H6515" s="1">
        <v>-6.3854800000000004E-6</v>
      </c>
      <c r="I6515">
        <v>138.71029999999999</v>
      </c>
      <c r="J6515">
        <v>-193.41319999999999</v>
      </c>
      <c r="K6515">
        <v>1.108617</v>
      </c>
      <c r="L6515">
        <v>154.60480000000001</v>
      </c>
      <c r="M6515">
        <v>-0.17590600000000001</v>
      </c>
      <c r="N6515">
        <v>0</v>
      </c>
      <c r="O6515">
        <v>-0.9843421</v>
      </c>
      <c r="P6515">
        <v>-0.4527621</v>
      </c>
      <c r="Q6515">
        <v>4.018182E-2</v>
      </c>
      <c r="R6515">
        <v>-0.89072600000000002</v>
      </c>
      <c r="S6515">
        <v>-2.0115509999999999</v>
      </c>
      <c r="T6515">
        <v>-0.16324159999999999</v>
      </c>
      <c r="U6515">
        <v>-2.3563540000000001</v>
      </c>
      <c r="V6515">
        <v>0.2892323</v>
      </c>
      <c r="W6515">
        <v>4.9713449999999999E-2</v>
      </c>
      <c r="X6515">
        <v>0.95596720000000002</v>
      </c>
      <c r="Y6515">
        <v>0.50438939999999999</v>
      </c>
      <c r="Z6515">
        <v>5.4304949999999998E-2</v>
      </c>
      <c r="AA6515">
        <v>0.86176699999999995</v>
      </c>
      <c r="AB6515">
        <v>17</v>
      </c>
      <c r="AC6515">
        <v>-13.6394</v>
      </c>
      <c r="AD6515">
        <v>-1.1086233854799901</v>
      </c>
      <c r="AE6515">
        <v>-15.894500000000001</v>
      </c>
      <c r="AF6515">
        <v>10.600875390164701</v>
      </c>
      <c r="AG6515">
        <v>-1.1086233854799901</v>
      </c>
      <c r="AH6515">
        <v>17.995610686708499</v>
      </c>
      <c r="AI6515">
        <v>93.038408937995996</v>
      </c>
      <c r="AJ6515">
        <v>59.4984621906844</v>
      </c>
      <c r="AK6515">
        <v>20.915296049451701</v>
      </c>
      <c r="AL6515">
        <v>87.1504546204972</v>
      </c>
      <c r="AM6515">
        <v>73.166566537174305</v>
      </c>
      <c r="AN6515">
        <v>1.00000001897501</v>
      </c>
    </row>
    <row r="6516" spans="1:40" x14ac:dyDescent="0.25">
      <c r="A6516" t="str">
        <f>"20190312150820573"</f>
        <v>20190312150820573</v>
      </c>
      <c r="B6516" t="str">
        <f>"1552374500566851"</f>
        <v>1552374500566851</v>
      </c>
      <c r="C6516" t="s">
        <v>40</v>
      </c>
      <c r="D6516">
        <v>4.4786760000000001</v>
      </c>
      <c r="E6516">
        <v>0.61274669999999998</v>
      </c>
      <c r="F6516" t="s">
        <v>77</v>
      </c>
      <c r="G6516">
        <v>-206.57640000000001</v>
      </c>
      <c r="H6516" s="1">
        <v>-7.1444679999999999E-6</v>
      </c>
      <c r="I6516">
        <v>140.59370000000001</v>
      </c>
      <c r="J6516">
        <v>-193.43389999999999</v>
      </c>
      <c r="K6516">
        <v>1.108595</v>
      </c>
      <c r="L6516">
        <v>154.5042</v>
      </c>
      <c r="M6516">
        <v>-0.17813950000000001</v>
      </c>
      <c r="N6516">
        <v>0</v>
      </c>
      <c r="O6516">
        <v>-0.98394009999999998</v>
      </c>
      <c r="P6516">
        <v>-0.45543050000000002</v>
      </c>
      <c r="Q6516">
        <v>4.0197219999999999E-2</v>
      </c>
      <c r="R6516">
        <v>-0.88936329999999997</v>
      </c>
      <c r="S6516">
        <v>-2.1466980000000002</v>
      </c>
      <c r="T6516">
        <v>-0.18079909999999999</v>
      </c>
      <c r="U6516">
        <v>-2.2850039999999998</v>
      </c>
      <c r="V6516">
        <v>0.28993229999999998</v>
      </c>
      <c r="W6516">
        <v>4.9715820000000001E-2</v>
      </c>
      <c r="X6516">
        <v>0.95575500000000002</v>
      </c>
      <c r="Y6516">
        <v>0.54269460000000003</v>
      </c>
      <c r="Z6516">
        <v>5.968118E-2</v>
      </c>
      <c r="AA6516">
        <v>0.83780710000000003</v>
      </c>
      <c r="AB6516">
        <v>17</v>
      </c>
      <c r="AC6516">
        <v>-13.1425</v>
      </c>
      <c r="AD6516">
        <v>-1.1086021444679901</v>
      </c>
      <c r="AE6516">
        <v>-13.9104999999999</v>
      </c>
      <c r="AF6516">
        <v>10.419128485036</v>
      </c>
      <c r="AG6516">
        <v>-1.1086021444679901</v>
      </c>
      <c r="AH6516">
        <v>15.9757127698718</v>
      </c>
      <c r="AI6516">
        <v>93.326515886410704</v>
      </c>
      <c r="AJ6516">
        <v>56.888191601744197</v>
      </c>
      <c r="AK6516">
        <v>19.1052515190942</v>
      </c>
      <c r="AL6516">
        <v>87.150318637735595</v>
      </c>
      <c r="AM6516">
        <v>73.124605271527599</v>
      </c>
      <c r="AN6516">
        <v>1.00000001068328</v>
      </c>
    </row>
    <row r="6517" spans="1:40" x14ac:dyDescent="0.25">
      <c r="A6517" t="str">
        <f>"20190312150820587"</f>
        <v>20190312150820587</v>
      </c>
      <c r="B6517" t="str">
        <f>"1552374500576613"</f>
        <v>1552374500576613</v>
      </c>
      <c r="C6517" t="s">
        <v>40</v>
      </c>
      <c r="D6517">
        <v>4.4740190000000002</v>
      </c>
      <c r="E6517">
        <v>0.61618470000000003</v>
      </c>
      <c r="F6517" t="s">
        <v>77</v>
      </c>
      <c r="G6517">
        <v>-205.827</v>
      </c>
      <c r="H6517" s="1">
        <v>-7.7649430000000001E-6</v>
      </c>
      <c r="I6517">
        <v>141.68530000000001</v>
      </c>
      <c r="J6517">
        <v>-193.4546</v>
      </c>
      <c r="K6517">
        <v>1.108573</v>
      </c>
      <c r="L6517">
        <v>154.40440000000001</v>
      </c>
      <c r="M6517">
        <v>-0.1803736</v>
      </c>
      <c r="N6517">
        <v>0</v>
      </c>
      <c r="O6517">
        <v>-0.98353299999999999</v>
      </c>
      <c r="P6517">
        <v>-0.4583274</v>
      </c>
      <c r="Q6517">
        <v>4.0136720000000001E-2</v>
      </c>
      <c r="R6517">
        <v>-0.88787680000000002</v>
      </c>
      <c r="S6517">
        <v>-2.1869809999999998</v>
      </c>
      <c r="T6517">
        <v>-0.19563230000000001</v>
      </c>
      <c r="U6517">
        <v>-2.2621150000000001</v>
      </c>
      <c r="V6517">
        <v>0.29087980000000002</v>
      </c>
      <c r="W6517">
        <v>4.9639620000000002E-2</v>
      </c>
      <c r="X6517">
        <v>0.95547099999999996</v>
      </c>
      <c r="Y6517">
        <v>0.55253649999999999</v>
      </c>
      <c r="Z6517">
        <v>6.4418459999999997E-2</v>
      </c>
      <c r="AA6517">
        <v>0.83099559999999995</v>
      </c>
      <c r="AB6517">
        <v>17</v>
      </c>
      <c r="AC6517">
        <v>-12.372400000000001</v>
      </c>
      <c r="AD6517">
        <v>-1.108580764943</v>
      </c>
      <c r="AE6517">
        <v>-12.7190999999999</v>
      </c>
      <c r="AF6517">
        <v>9.8367115254984494</v>
      </c>
      <c r="AG6517">
        <v>-1.108580764943</v>
      </c>
      <c r="AH6517">
        <v>14.684934680209301</v>
      </c>
      <c r="AI6517">
        <v>93.588890859853905</v>
      </c>
      <c r="AJ6517">
        <v>56.1838252169524</v>
      </c>
      <c r="AK6517">
        <v>17.709803824726301</v>
      </c>
      <c r="AL6517">
        <v>87.154689916988801</v>
      </c>
      <c r="AM6517">
        <v>73.067861657757803</v>
      </c>
      <c r="AN6517">
        <v>0.99999999088139202</v>
      </c>
    </row>
    <row r="6518" spans="1:40" x14ac:dyDescent="0.25">
      <c r="A6518" t="str">
        <f>"20190312150820598"</f>
        <v>20190312150820598</v>
      </c>
      <c r="B6518" t="str">
        <f>"1552374500586372"</f>
        <v>1552374500586372</v>
      </c>
      <c r="C6518" t="s">
        <v>40</v>
      </c>
      <c r="D6518">
        <v>4.4685769999999998</v>
      </c>
      <c r="E6518">
        <v>0.61873339999999999</v>
      </c>
      <c r="F6518" t="s">
        <v>77</v>
      </c>
      <c r="G6518">
        <v>-205.1722</v>
      </c>
      <c r="H6518" s="1">
        <v>-8.28781999999999E-6</v>
      </c>
      <c r="I6518">
        <v>142.566</v>
      </c>
      <c r="J6518">
        <v>-193.47370000000001</v>
      </c>
      <c r="K6518">
        <v>1.1085510000000001</v>
      </c>
      <c r="L6518">
        <v>154.3135</v>
      </c>
      <c r="M6518">
        <v>-0.18244460000000001</v>
      </c>
      <c r="N6518">
        <v>0</v>
      </c>
      <c r="O6518">
        <v>-0.98315079999999999</v>
      </c>
      <c r="P6518">
        <v>-0.46085860000000001</v>
      </c>
      <c r="Q6518">
        <v>3.9766030000000001E-2</v>
      </c>
      <c r="R6518">
        <v>-0.88658250000000005</v>
      </c>
      <c r="S6518">
        <v>-2.2196660000000001</v>
      </c>
      <c r="T6518">
        <v>-0.20999809999999999</v>
      </c>
      <c r="U6518">
        <v>-2.2425540000000002</v>
      </c>
      <c r="V6518">
        <v>0.29159159999999901</v>
      </c>
      <c r="W6518">
        <v>4.9254340000000001E-2</v>
      </c>
      <c r="X6518">
        <v>0.95527399999999996</v>
      </c>
      <c r="Y6518">
        <v>0.56031219999999904</v>
      </c>
      <c r="Z6518">
        <v>6.9014530000000004E-2</v>
      </c>
      <c r="AA6518">
        <v>0.8254013</v>
      </c>
      <c r="AB6518">
        <v>17</v>
      </c>
      <c r="AC6518">
        <v>-11.6984999999999</v>
      </c>
      <c r="AD6518">
        <v>-1.1085592878199999</v>
      </c>
      <c r="AE6518">
        <v>-11.7475</v>
      </c>
      <c r="AF6518">
        <v>9.3170659212094407</v>
      </c>
      <c r="AG6518">
        <v>-1.1085592878199999</v>
      </c>
      <c r="AH6518">
        <v>13.6238584637639</v>
      </c>
      <c r="AI6518">
        <v>93.842487725481206</v>
      </c>
      <c r="AJ6518">
        <v>55.632609118929203</v>
      </c>
      <c r="AK6518">
        <v>16.542253187381899</v>
      </c>
      <c r="AL6518">
        <v>87.176791990872005</v>
      </c>
      <c r="AM6518">
        <v>73.025507755872098</v>
      </c>
      <c r="AN6518">
        <v>1.0000000331376899</v>
      </c>
    </row>
    <row r="6519" spans="1:40" x14ac:dyDescent="0.25">
      <c r="A6519" t="str">
        <f>"20190312150820610"</f>
        <v>20190312150820610</v>
      </c>
      <c r="B6519" t="str">
        <f>"1552374500606867"</f>
        <v>1552374500606867</v>
      </c>
      <c r="C6519" t="s">
        <v>40</v>
      </c>
      <c r="D6519">
        <v>4.6191579999999997</v>
      </c>
      <c r="E6519">
        <v>0.62269989999999997</v>
      </c>
      <c r="F6519" t="s">
        <v>77</v>
      </c>
      <c r="G6519">
        <v>-204.38069999999999</v>
      </c>
      <c r="H6519" s="1">
        <v>-8.8453789999999993E-6</v>
      </c>
      <c r="I6519">
        <v>143.495</v>
      </c>
      <c r="J6519">
        <v>-193.49299999999999</v>
      </c>
      <c r="K6519">
        <v>1.1085290000000001</v>
      </c>
      <c r="L6519">
        <v>154.22290000000001</v>
      </c>
      <c r="M6519">
        <v>-0.18453130000000001</v>
      </c>
      <c r="N6519">
        <v>0</v>
      </c>
      <c r="O6519">
        <v>-0.98276110000000005</v>
      </c>
      <c r="P6519">
        <v>-0.46353860000000002</v>
      </c>
      <c r="Q6519">
        <v>3.9575979999999997E-2</v>
      </c>
      <c r="R6519">
        <v>-0.8851926</v>
      </c>
      <c r="S6519">
        <v>-2.2451629999999998</v>
      </c>
      <c r="T6519">
        <v>-0.22819239999999999</v>
      </c>
      <c r="U6519">
        <v>-2.226944</v>
      </c>
      <c r="V6519">
        <v>0.292454299999999</v>
      </c>
      <c r="W6519">
        <v>4.9047640000000003E-2</v>
      </c>
      <c r="X6519">
        <v>0.9550208</v>
      </c>
      <c r="Y6519">
        <v>0.5658396</v>
      </c>
      <c r="Z6519">
        <v>7.4868240000000003E-2</v>
      </c>
      <c r="AA6519">
        <v>0.82110919999999898</v>
      </c>
      <c r="AB6519">
        <v>17</v>
      </c>
      <c r="AC6519">
        <v>-10.887699999999899</v>
      </c>
      <c r="AD6519">
        <v>-1.108537845379</v>
      </c>
      <c r="AE6519">
        <v>-10.7279</v>
      </c>
      <c r="AF6519">
        <v>8.67530568786683</v>
      </c>
      <c r="AG6519">
        <v>-1.108537845379</v>
      </c>
      <c r="AH6519">
        <v>12.4872120299133</v>
      </c>
      <c r="AI6519">
        <v>94.169842209527204</v>
      </c>
      <c r="AJ6519">
        <v>55.210931331660902</v>
      </c>
      <c r="AK6519">
        <v>15.245335326340999</v>
      </c>
      <c r="AL6519">
        <v>87.188649149432607</v>
      </c>
      <c r="AM6519">
        <v>72.973934647854307</v>
      </c>
      <c r="AN6519">
        <v>0.99999995850534895</v>
      </c>
    </row>
    <row r="6520" spans="1:40" x14ac:dyDescent="0.25">
      <c r="A6520" t="str">
        <f>"20190312150820626"</f>
        <v>20190312150820626</v>
      </c>
      <c r="B6520" t="str">
        <f>"1552374500616627"</f>
        <v>1552374500616627</v>
      </c>
      <c r="C6520" t="s">
        <v>40</v>
      </c>
      <c r="D6520">
        <v>4.6150039999999999</v>
      </c>
      <c r="E6520">
        <v>0.62410600000000005</v>
      </c>
      <c r="F6520" t="s">
        <v>77</v>
      </c>
      <c r="G6520">
        <v>-203.3202</v>
      </c>
      <c r="H6520" s="1">
        <v>-9.5685559999999998E-6</v>
      </c>
      <c r="I6520">
        <v>144.72219999999999</v>
      </c>
      <c r="J6520">
        <v>-193.51840000000001</v>
      </c>
      <c r="K6520">
        <v>1.1084940000000001</v>
      </c>
      <c r="L6520">
        <v>154.10480000000001</v>
      </c>
      <c r="M6520">
        <v>-0.187281</v>
      </c>
      <c r="N6520">
        <v>0</v>
      </c>
      <c r="O6520">
        <v>-0.98224080000000002</v>
      </c>
      <c r="P6520">
        <v>-0.46732010000000002</v>
      </c>
      <c r="Q6520">
        <v>3.9194529999999998E-2</v>
      </c>
      <c r="R6520">
        <v>-0.88321919999999898</v>
      </c>
      <c r="S6520">
        <v>-2.2816010000000002</v>
      </c>
      <c r="T6520">
        <v>-0.25737300000000002</v>
      </c>
      <c r="U6520">
        <v>-2.2058110000000002</v>
      </c>
      <c r="V6520">
        <v>0.29386509999999999</v>
      </c>
      <c r="W6520">
        <v>4.864139E-2</v>
      </c>
      <c r="X6520">
        <v>0.95460840000000002</v>
      </c>
      <c r="Y6520">
        <v>0.57349619999999901</v>
      </c>
      <c r="Z6520">
        <v>8.4194030000000003E-2</v>
      </c>
      <c r="AA6520">
        <v>0.81487019999999899</v>
      </c>
      <c r="AB6520">
        <v>17</v>
      </c>
      <c r="AC6520">
        <v>-9.8017999999999805</v>
      </c>
      <c r="AD6520">
        <v>-1.1085035685560001</v>
      </c>
      <c r="AE6520">
        <v>-9.3826000000000196</v>
      </c>
      <c r="AF6520">
        <v>7.81886739316122</v>
      </c>
      <c r="AG6520">
        <v>-1.1085035685560001</v>
      </c>
      <c r="AH6520">
        <v>10.9790985365255</v>
      </c>
      <c r="AI6520">
        <v>94.701490036986499</v>
      </c>
      <c r="AJ6520">
        <v>54.543076694896698</v>
      </c>
      <c r="AK6520">
        <v>13.5242031982693</v>
      </c>
      <c r="AL6520">
        <v>87.211953324254907</v>
      </c>
      <c r="AM6520">
        <v>72.889626037696402</v>
      </c>
      <c r="AN6520">
        <v>0.99999993958484901</v>
      </c>
    </row>
    <row r="6521" spans="1:40" x14ac:dyDescent="0.25">
      <c r="A6521" t="str">
        <f>"20190312150820638"</f>
        <v>20190312150820638</v>
      </c>
      <c r="B6521" t="str">
        <f>"1552374500626388"</f>
        <v>1552374500626388</v>
      </c>
      <c r="C6521" t="s">
        <v>40</v>
      </c>
      <c r="D6521">
        <v>4.5485170000000004</v>
      </c>
      <c r="E6521">
        <v>0.62512919999999905</v>
      </c>
      <c r="F6521" t="s">
        <v>77</v>
      </c>
      <c r="G6521">
        <v>-202.90649999999999</v>
      </c>
      <c r="H6521" s="1">
        <v>-9.8423409999999994E-6</v>
      </c>
      <c r="I6521">
        <v>145.1694</v>
      </c>
      <c r="J6521">
        <v>-193.5386</v>
      </c>
      <c r="K6521">
        <v>1.108468</v>
      </c>
      <c r="L6521">
        <v>154.0128</v>
      </c>
      <c r="M6521">
        <v>-0.18946180000000001</v>
      </c>
      <c r="N6521">
        <v>0</v>
      </c>
      <c r="O6521">
        <v>-0.98182230000000004</v>
      </c>
      <c r="P6521">
        <v>-0.46967819999999999</v>
      </c>
      <c r="Q6521">
        <v>3.8771899999999998E-2</v>
      </c>
      <c r="R6521">
        <v>-0.88198589999999999</v>
      </c>
      <c r="S6521">
        <v>-2.3018040000000002</v>
      </c>
      <c r="T6521">
        <v>-0.27178730000000001</v>
      </c>
      <c r="U6521">
        <v>-2.1908110000000001</v>
      </c>
      <c r="V6521">
        <v>0.29429339999999998</v>
      </c>
      <c r="W6521">
        <v>4.820369E-2</v>
      </c>
      <c r="X6521">
        <v>0.95449870000000003</v>
      </c>
      <c r="Y6521">
        <v>0.57774749999999997</v>
      </c>
      <c r="Z6521">
        <v>8.8831149999999998E-2</v>
      </c>
      <c r="AA6521">
        <v>0.81136719999999996</v>
      </c>
      <c r="AB6521">
        <v>17</v>
      </c>
      <c r="AC6521">
        <v>-9.3678999999999899</v>
      </c>
      <c r="AD6521">
        <v>-1.108477842341</v>
      </c>
      <c r="AE6521">
        <v>-8.8434000000000008</v>
      </c>
      <c r="AF6521">
        <v>7.4673276181565598</v>
      </c>
      <c r="AG6521">
        <v>-1.108477842341</v>
      </c>
      <c r="AH6521">
        <v>10.3813231284197</v>
      </c>
      <c r="AI6521">
        <v>94.954079385921304</v>
      </c>
      <c r="AJ6521">
        <v>54.272383162084601</v>
      </c>
      <c r="AK6521">
        <v>12.8359485345068</v>
      </c>
      <c r="AL6521">
        <v>87.237061266254699</v>
      </c>
      <c r="AM6521">
        <v>72.864293709442606</v>
      </c>
      <c r="AN6521">
        <v>0.99999998465743301</v>
      </c>
    </row>
    <row r="6522" spans="1:40" x14ac:dyDescent="0.25">
      <c r="A6522" t="str">
        <f>"20190312150820649"</f>
        <v>20190312150820649</v>
      </c>
      <c r="B6522" t="str">
        <f>"1552374500646883"</f>
        <v>1552374500646883</v>
      </c>
      <c r="C6522" t="s">
        <v>40</v>
      </c>
      <c r="D6522">
        <v>4.5592620000000004</v>
      </c>
      <c r="E6522">
        <v>0.62675029999999998</v>
      </c>
      <c r="F6522" t="s">
        <v>77</v>
      </c>
      <c r="G6522">
        <v>-202.75829999999999</v>
      </c>
      <c r="H6522" s="1">
        <v>-9.9437579999999997E-6</v>
      </c>
      <c r="I6522">
        <v>145.32810000000001</v>
      </c>
      <c r="J6522">
        <v>-193.55709999999999</v>
      </c>
      <c r="K6522">
        <v>1.1084419999999999</v>
      </c>
      <c r="L6522">
        <v>153.92910000000001</v>
      </c>
      <c r="M6522">
        <v>-0.19146650000000001</v>
      </c>
      <c r="N6522">
        <v>0</v>
      </c>
      <c r="O6522">
        <v>-0.98143329999999995</v>
      </c>
      <c r="P6522">
        <v>-0.47201340000000003</v>
      </c>
      <c r="Q6522">
        <v>3.8603650000000003E-2</v>
      </c>
      <c r="R6522">
        <v>-0.88074599999999903</v>
      </c>
      <c r="S6522">
        <v>-2.3151090000000001</v>
      </c>
      <c r="T6522">
        <v>-0.27834490000000001</v>
      </c>
      <c r="U6522">
        <v>-2.1807859999999999</v>
      </c>
      <c r="V6522">
        <v>0.29487370000000002</v>
      </c>
      <c r="W6522">
        <v>4.8019829999999999E-2</v>
      </c>
      <c r="X6522">
        <v>0.95432890000000004</v>
      </c>
      <c r="Y6522">
        <v>0.58013719999999902</v>
      </c>
      <c r="Z6522">
        <v>9.0929839999999998E-2</v>
      </c>
      <c r="AA6522">
        <v>0.80942729999999996</v>
      </c>
      <c r="AB6522">
        <v>17</v>
      </c>
      <c r="AC6522">
        <v>-9.2012</v>
      </c>
      <c r="AD6522">
        <v>-1.1084519437579901</v>
      </c>
      <c r="AE6522">
        <v>-8.6009999999999902</v>
      </c>
      <c r="AF6522">
        <v>7.3272878971005797</v>
      </c>
      <c r="AG6522">
        <v>-1.1084519437579901</v>
      </c>
      <c r="AH6522">
        <v>10.125268355008</v>
      </c>
      <c r="AI6522">
        <v>95.0681565032055</v>
      </c>
      <c r="AJ6522">
        <v>54.108110263659697</v>
      </c>
      <c r="AK6522">
        <v>12.547464799693399</v>
      </c>
      <c r="AL6522">
        <v>87.247607996298498</v>
      </c>
      <c r="AM6522">
        <v>72.829614425411606</v>
      </c>
      <c r="AN6522">
        <v>1.0000000262000599</v>
      </c>
    </row>
    <row r="6523" spans="1:40" x14ac:dyDescent="0.25">
      <c r="A6523" t="str">
        <f>"20190312150820662"</f>
        <v>20190312150820662</v>
      </c>
      <c r="B6523" t="str">
        <f>"1552374500656643"</f>
        <v>1552374500656643</v>
      </c>
      <c r="C6523" t="s">
        <v>40</v>
      </c>
      <c r="D6523">
        <v>4.5343989999999996</v>
      </c>
      <c r="E6523">
        <v>0.62744500000000003</v>
      </c>
      <c r="F6523" t="s">
        <v>77</v>
      </c>
      <c r="G6523">
        <v>-202.56440000000001</v>
      </c>
      <c r="H6523" s="1">
        <v>-1.0097449999999999E-5</v>
      </c>
      <c r="I6523">
        <v>145.5558</v>
      </c>
      <c r="J6523">
        <v>-193.57900000000001</v>
      </c>
      <c r="K6523">
        <v>1.108411</v>
      </c>
      <c r="L6523">
        <v>153.8312</v>
      </c>
      <c r="M6523">
        <v>-0.19383429999999999</v>
      </c>
      <c r="N6523">
        <v>0</v>
      </c>
      <c r="O6523">
        <v>-0.98096819999999896</v>
      </c>
      <c r="P6523">
        <v>-0.47477659999999999</v>
      </c>
      <c r="Q6523">
        <v>3.8032879999999998E-2</v>
      </c>
      <c r="R6523">
        <v>-0.87928399999999995</v>
      </c>
      <c r="S6523">
        <v>-2.3327789999999999</v>
      </c>
      <c r="T6523">
        <v>-0.28707529999999998</v>
      </c>
      <c r="U6523">
        <v>-2.1685789999999998</v>
      </c>
      <c r="V6523">
        <v>0.29556339999999998</v>
      </c>
      <c r="W6523">
        <v>4.7429699999999998E-2</v>
      </c>
      <c r="X6523">
        <v>0.95414500000000002</v>
      </c>
      <c r="Y6523">
        <v>0.58332200000000001</v>
      </c>
      <c r="Z6523">
        <v>9.3691869999999997E-2</v>
      </c>
      <c r="AA6523">
        <v>0.80681919999999996</v>
      </c>
      <c r="AB6523">
        <v>17</v>
      </c>
      <c r="AC6523">
        <v>-8.9853999999999896</v>
      </c>
      <c r="AD6523">
        <v>-1.1084210974499999</v>
      </c>
      <c r="AE6523">
        <v>-8.2753999999999905</v>
      </c>
      <c r="AF6523">
        <v>7.1519175878309502</v>
      </c>
      <c r="AG6523">
        <v>-1.1084210974499999</v>
      </c>
      <c r="AH6523">
        <v>9.7797012033549695</v>
      </c>
      <c r="AI6523">
        <v>95.227189636598894</v>
      </c>
      <c r="AJ6523">
        <v>53.821910991177504</v>
      </c>
      <c r="AK6523">
        <v>12.166391335942601</v>
      </c>
      <c r="AL6523">
        <v>87.2814584288502</v>
      </c>
      <c r="AM6523">
        <v>72.788702122227093</v>
      </c>
      <c r="AN6523">
        <v>0.99999999044332499</v>
      </c>
    </row>
    <row r="6524" spans="1:40" x14ac:dyDescent="0.25">
      <c r="A6524" t="str">
        <f>"20190312150820676"</f>
        <v>20190312150820676</v>
      </c>
      <c r="B6524" t="str">
        <f>"1552374500666403"</f>
        <v>1552374500666403</v>
      </c>
      <c r="C6524" t="s">
        <v>40</v>
      </c>
      <c r="D6524">
        <v>4.5923129999999999</v>
      </c>
      <c r="E6524">
        <v>0.62805669999999902</v>
      </c>
      <c r="F6524" t="s">
        <v>77</v>
      </c>
      <c r="G6524">
        <v>-202.54150000000001</v>
      </c>
      <c r="H6524" s="1">
        <v>-1.011412E-5</v>
      </c>
      <c r="I6524">
        <v>145.57759999999999</v>
      </c>
      <c r="J6524">
        <v>-193.60120000000001</v>
      </c>
      <c r="K6524">
        <v>1.1083809999999901</v>
      </c>
      <c r="L6524">
        <v>153.73339999999999</v>
      </c>
      <c r="M6524">
        <v>-0.19624369999999999</v>
      </c>
      <c r="N6524">
        <v>0</v>
      </c>
      <c r="O6524">
        <v>-0.9804891</v>
      </c>
      <c r="P6524">
        <v>-0.47739559999999998</v>
      </c>
      <c r="Q6524">
        <v>3.7853909999999998E-2</v>
      </c>
      <c r="R6524">
        <v>-0.87787289999999996</v>
      </c>
      <c r="S6524">
        <v>-2.3441010000000002</v>
      </c>
      <c r="T6524">
        <v>-0.28990359999999998</v>
      </c>
      <c r="U6524">
        <v>-2.1586910000000001</v>
      </c>
      <c r="V6524">
        <v>0.29606480000000002</v>
      </c>
      <c r="W6524">
        <v>4.7232040000000003E-2</v>
      </c>
      <c r="X6524">
        <v>0.95399929999999999</v>
      </c>
      <c r="Y6524">
        <v>0.58505229999999997</v>
      </c>
      <c r="Z6524">
        <v>9.4609239999999997E-2</v>
      </c>
      <c r="AA6524">
        <v>0.80545819999999901</v>
      </c>
      <c r="AB6524">
        <v>17</v>
      </c>
      <c r="AC6524">
        <v>-8.9403000000000006</v>
      </c>
      <c r="AD6524">
        <v>-1.10839111411999</v>
      </c>
      <c r="AE6524">
        <v>-8.1557999999999993</v>
      </c>
      <c r="AF6524">
        <v>7.1061928469768603</v>
      </c>
      <c r="AG6524">
        <v>-1.10839111411999</v>
      </c>
      <c r="AH6524">
        <v>9.6706553707377392</v>
      </c>
      <c r="AI6524">
        <v>95.276848098846699</v>
      </c>
      <c r="AJ6524">
        <v>53.690802897559799</v>
      </c>
      <c r="AK6524">
        <v>12.0518912598755</v>
      </c>
      <c r="AL6524">
        <v>87.292796104142795</v>
      </c>
      <c r="AM6524">
        <v>72.758756896641998</v>
      </c>
      <c r="AN6524">
        <v>0.99999994790104396</v>
      </c>
    </row>
    <row r="6525" spans="1:40" x14ac:dyDescent="0.25">
      <c r="A6525" t="str">
        <f>"20190312150820690"</f>
        <v>20190312150820690</v>
      </c>
      <c r="B6525" t="str">
        <f>"1552374500685925"</f>
        <v>1552374500685925</v>
      </c>
      <c r="C6525" t="s">
        <v>40</v>
      </c>
      <c r="D6525">
        <v>4.509309</v>
      </c>
      <c r="E6525">
        <v>0.62893599999999905</v>
      </c>
      <c r="F6525" t="s">
        <v>77</v>
      </c>
      <c r="G6525">
        <v>-202.74950000000001</v>
      </c>
      <c r="H6525" s="1">
        <v>-9.963838E-6</v>
      </c>
      <c r="I6525">
        <v>145.38249999999999</v>
      </c>
      <c r="J6525">
        <v>-193.6268</v>
      </c>
      <c r="K6525">
        <v>1.108349</v>
      </c>
      <c r="L6525">
        <v>153.62200000000001</v>
      </c>
      <c r="M6525">
        <v>-0.19902539999999999</v>
      </c>
      <c r="N6525">
        <v>0</v>
      </c>
      <c r="O6525">
        <v>-0.97992809999999997</v>
      </c>
      <c r="P6525">
        <v>-0.48066920000000002</v>
      </c>
      <c r="Q6525">
        <v>3.7322349999999997E-2</v>
      </c>
      <c r="R6525">
        <v>-0.87610750000000004</v>
      </c>
      <c r="S6525">
        <v>-2.3544770000000002</v>
      </c>
      <c r="T6525">
        <v>-0.28526570000000001</v>
      </c>
      <c r="U6525">
        <v>-2.1492610000000001</v>
      </c>
      <c r="V6525">
        <v>0.2969157</v>
      </c>
      <c r="W6525">
        <v>4.667524E-2</v>
      </c>
      <c r="X6525">
        <v>0.95376229999999995</v>
      </c>
      <c r="Y6525">
        <v>0.58638869999999998</v>
      </c>
      <c r="Z6525">
        <v>9.3116859999999996E-2</v>
      </c>
      <c r="AA6525">
        <v>0.80465989999999998</v>
      </c>
      <c r="AB6525">
        <v>17</v>
      </c>
      <c r="AC6525">
        <v>-9.1227</v>
      </c>
      <c r="AD6525">
        <v>-1.108358963838</v>
      </c>
      <c r="AE6525">
        <v>-8.2395000000000191</v>
      </c>
      <c r="AF6525">
        <v>7.2413264171619396</v>
      </c>
      <c r="AG6525">
        <v>-1.108358963838</v>
      </c>
      <c r="AH6525">
        <v>9.8106537271421708</v>
      </c>
      <c r="AI6525">
        <v>95.193697064198702</v>
      </c>
      <c r="AJ6525">
        <v>53.5686518514947</v>
      </c>
      <c r="AK6525">
        <v>12.2439452149417</v>
      </c>
      <c r="AL6525">
        <v>87.324733808566293</v>
      </c>
      <c r="AM6525">
        <v>72.708114635128993</v>
      </c>
      <c r="AN6525">
        <v>1.0000000179184101</v>
      </c>
    </row>
    <row r="6526" spans="1:40" x14ac:dyDescent="0.25">
      <c r="A6526" t="str">
        <f>"20190312150820706"</f>
        <v>20190312150820706</v>
      </c>
      <c r="B6526" t="str">
        <f>"1552374500696659"</f>
        <v>1552374500696659</v>
      </c>
      <c r="C6526" t="s">
        <v>40</v>
      </c>
      <c r="D6526">
        <v>4.5454160000000003</v>
      </c>
      <c r="E6526">
        <v>0.629332</v>
      </c>
      <c r="F6526" t="s">
        <v>77</v>
      </c>
      <c r="G6526">
        <v>-202.61070000000001</v>
      </c>
      <c r="H6526" s="1">
        <v>-1.0064440000000001E-5</v>
      </c>
      <c r="I6526">
        <v>145.51390000000001</v>
      </c>
      <c r="J6526">
        <v>-193.654</v>
      </c>
      <c r="K6526">
        <v>1.108303</v>
      </c>
      <c r="L6526">
        <v>153.50559999999999</v>
      </c>
      <c r="M6526">
        <v>-0.20197909999999999</v>
      </c>
      <c r="N6526">
        <v>0</v>
      </c>
      <c r="O6526">
        <v>-0.97932350000000001</v>
      </c>
      <c r="P6526">
        <v>-0.48444589999999998</v>
      </c>
      <c r="Q6526">
        <v>3.6099590000000001E-2</v>
      </c>
      <c r="R6526">
        <v>-0.87407619999999897</v>
      </c>
      <c r="S6526">
        <v>-2.3682099999999999</v>
      </c>
      <c r="T6526">
        <v>-0.29217120000000002</v>
      </c>
      <c r="U6526">
        <v>-2.1373600000000001</v>
      </c>
      <c r="V6526">
        <v>0.29814439999999998</v>
      </c>
      <c r="W6526">
        <v>4.5421049999999998E-2</v>
      </c>
      <c r="X6526">
        <v>0.9534395</v>
      </c>
      <c r="Y6526">
        <v>0.58834709999999901</v>
      </c>
      <c r="Z6526">
        <v>9.5346899999999998E-2</v>
      </c>
      <c r="AA6526">
        <v>0.8029674</v>
      </c>
      <c r="AB6526">
        <v>17</v>
      </c>
      <c r="AC6526">
        <v>-8.9566999999999801</v>
      </c>
      <c r="AD6526">
        <v>-1.1083130644399899</v>
      </c>
      <c r="AE6526">
        <v>-7.9916999999999803</v>
      </c>
      <c r="AF6526">
        <v>7.0973112029701504</v>
      </c>
      <c r="AG6526">
        <v>-1.1083130644399899</v>
      </c>
      <c r="AH6526">
        <v>9.5546985050331195</v>
      </c>
      <c r="AI6526">
        <v>95.319914403085804</v>
      </c>
      <c r="AJ6526">
        <v>53.394721422843801</v>
      </c>
      <c r="AK6526">
        <v>11.953762908921</v>
      </c>
      <c r="AL6526">
        <v>87.396669913167699</v>
      </c>
      <c r="AM6526">
        <v>72.635324542641399</v>
      </c>
      <c r="AN6526">
        <v>1.00000001759735</v>
      </c>
    </row>
    <row r="6527" spans="1:40" x14ac:dyDescent="0.25">
      <c r="A6527" t="str">
        <f>"20190312150820726"</f>
        <v>20190312150820726</v>
      </c>
      <c r="B6527" t="str">
        <f>"1552374500717155"</f>
        <v>1552374500717155</v>
      </c>
      <c r="C6527" t="s">
        <v>40</v>
      </c>
      <c r="D6527">
        <v>4.5282640000000001</v>
      </c>
      <c r="E6527">
        <v>0.6299186</v>
      </c>
      <c r="F6527" t="s">
        <v>77</v>
      </c>
      <c r="G6527">
        <v>-202.4881</v>
      </c>
      <c r="H6527" s="1">
        <v>-1.0148859999999999E-5</v>
      </c>
      <c r="I6527">
        <v>145.6148</v>
      </c>
      <c r="J6527">
        <v>-193.6918</v>
      </c>
      <c r="K6527">
        <v>1.108244</v>
      </c>
      <c r="L6527">
        <v>153.34700000000001</v>
      </c>
      <c r="M6527">
        <v>-0.20610220000000001</v>
      </c>
      <c r="N6527">
        <v>0</v>
      </c>
      <c r="O6527">
        <v>-0.978464</v>
      </c>
      <c r="P6527">
        <v>-0.48898150000000001</v>
      </c>
      <c r="Q6527">
        <v>3.4752669999999999E-2</v>
      </c>
      <c r="R6527">
        <v>-0.87160190000000004</v>
      </c>
      <c r="S6527">
        <v>-2.3797000000000001</v>
      </c>
      <c r="T6527">
        <v>-0.2985545</v>
      </c>
      <c r="U6527">
        <v>-2.1255950000000001</v>
      </c>
      <c r="V6527">
        <v>0.29907129999999998</v>
      </c>
      <c r="W6527">
        <v>4.4036279999999997E-2</v>
      </c>
      <c r="X6527">
        <v>0.95321409999999995</v>
      </c>
      <c r="Y6527">
        <v>0.58893379999999995</v>
      </c>
      <c r="Z6527">
        <v>9.7446050000000006E-2</v>
      </c>
      <c r="AA6527">
        <v>0.80228500000000003</v>
      </c>
      <c r="AB6527">
        <v>17</v>
      </c>
      <c r="AC6527">
        <v>-8.7963000000000005</v>
      </c>
      <c r="AD6527">
        <v>-1.10825414886</v>
      </c>
      <c r="AE6527">
        <v>-7.7321999999999997</v>
      </c>
      <c r="AF6527">
        <v>6.9514483082657899</v>
      </c>
      <c r="AG6527">
        <v>-1.10825414886</v>
      </c>
      <c r="AH6527">
        <v>9.2959844908476104</v>
      </c>
      <c r="AI6527">
        <v>95.453842190418101</v>
      </c>
      <c r="AJ6527">
        <v>53.2112114357341</v>
      </c>
      <c r="AK6527">
        <v>11.6604540432624</v>
      </c>
      <c r="AL6527">
        <v>87.476090782554394</v>
      </c>
      <c r="AM6527">
        <v>72.580730158705705</v>
      </c>
      <c r="AN6527">
        <v>0.99999997843936805</v>
      </c>
    </row>
    <row r="6528" spans="1:40" x14ac:dyDescent="0.25">
      <c r="A6528" t="str">
        <f>"20190312150820738"</f>
        <v>20190312150820738</v>
      </c>
      <c r="B6528" t="str">
        <f>"1552374500726915"</f>
        <v>1552374500726915</v>
      </c>
      <c r="C6528" t="s">
        <v>40</v>
      </c>
      <c r="D6528">
        <v>4.5439049999999996</v>
      </c>
      <c r="E6528">
        <v>0.63016530000000004</v>
      </c>
      <c r="F6528" t="s">
        <v>77</v>
      </c>
      <c r="G6528">
        <v>-202.3758</v>
      </c>
      <c r="H6528" s="1">
        <v>-1.0222429999999999E-5</v>
      </c>
      <c r="I6528">
        <v>145.69470000000001</v>
      </c>
      <c r="J6528">
        <v>-193.714</v>
      </c>
      <c r="K6528">
        <v>1.108212</v>
      </c>
      <c r="L6528">
        <v>153.25530000000001</v>
      </c>
      <c r="M6528">
        <v>-0.20853240000000001</v>
      </c>
      <c r="N6528">
        <v>0</v>
      </c>
      <c r="O6528">
        <v>-0.97794879999999995</v>
      </c>
      <c r="P6528">
        <v>-0.49139260000000001</v>
      </c>
      <c r="Q6528">
        <v>3.4145149999999999E-2</v>
      </c>
      <c r="R6528">
        <v>-0.87026890000000001</v>
      </c>
      <c r="S6528">
        <v>-2.3950200000000001</v>
      </c>
      <c r="T6528">
        <v>-0.30565239999999999</v>
      </c>
      <c r="U6528">
        <v>-2.110474</v>
      </c>
      <c r="V6528">
        <v>0.29933759999999998</v>
      </c>
      <c r="W6528">
        <v>4.3408879999999997E-2</v>
      </c>
      <c r="X6528">
        <v>0.95315930000000004</v>
      </c>
      <c r="Y6528">
        <v>0.59215399999999996</v>
      </c>
      <c r="Z6528">
        <v>9.9770429999999993E-2</v>
      </c>
      <c r="AA6528">
        <v>0.79962460000000002</v>
      </c>
      <c r="AB6528">
        <v>17</v>
      </c>
      <c r="AC6528">
        <v>-8.6617999999999693</v>
      </c>
      <c r="AD6528">
        <v>-1.10822222242999</v>
      </c>
      <c r="AE6528">
        <v>-7.5605999999999902</v>
      </c>
      <c r="AF6528">
        <v>6.8311489430235897</v>
      </c>
      <c r="AG6528">
        <v>-1.10822222242999</v>
      </c>
      <c r="AH6528">
        <v>9.1160493366559994</v>
      </c>
      <c r="AI6528">
        <v>95.556520505991202</v>
      </c>
      <c r="AJ6528">
        <v>53.153794411137298</v>
      </c>
      <c r="AK6528">
        <v>11.4453094272023</v>
      </c>
      <c r="AL6528">
        <v>87.512072594775304</v>
      </c>
      <c r="AM6528">
        <v>72.565217461673996</v>
      </c>
      <c r="AN6528">
        <v>0.99999999040655196</v>
      </c>
    </row>
    <row r="6529" spans="1:40" x14ac:dyDescent="0.25">
      <c r="A6529" t="str">
        <f>"20190312150820750"</f>
        <v>20190312150820750</v>
      </c>
      <c r="B6529" t="str">
        <f>"1552374500746435"</f>
        <v>1552374500746435</v>
      </c>
      <c r="C6529" t="s">
        <v>40</v>
      </c>
      <c r="D6529">
        <v>4.5153809999999996</v>
      </c>
      <c r="E6529">
        <v>0.63043590000000005</v>
      </c>
      <c r="F6529" t="s">
        <v>77</v>
      </c>
      <c r="G6529">
        <v>-202.3366</v>
      </c>
      <c r="H6529" s="1">
        <v>-1.024402E-5</v>
      </c>
      <c r="I6529">
        <v>145.7088</v>
      </c>
      <c r="J6529">
        <v>-193.73390000000001</v>
      </c>
      <c r="K6529">
        <v>1.108185</v>
      </c>
      <c r="L6529">
        <v>153.17410000000001</v>
      </c>
      <c r="M6529">
        <v>-0.2107089</v>
      </c>
      <c r="N6529">
        <v>0</v>
      </c>
      <c r="O6529">
        <v>-0.97748230000000003</v>
      </c>
      <c r="P6529">
        <v>-0.49400880000000003</v>
      </c>
      <c r="Q6529">
        <v>3.3671739999999999E-2</v>
      </c>
      <c r="R6529">
        <v>-0.86880499999999905</v>
      </c>
      <c r="S6529">
        <v>-2.4025569999999998</v>
      </c>
      <c r="T6529">
        <v>-0.30879099999999998</v>
      </c>
      <c r="U6529">
        <v>-2.1027369999999999</v>
      </c>
      <c r="V6529">
        <v>0.30008030000000002</v>
      </c>
      <c r="W6529">
        <v>4.2914380000000002E-2</v>
      </c>
      <c r="X6529">
        <v>0.95294820000000002</v>
      </c>
      <c r="Y6529">
        <v>0.59298879999999998</v>
      </c>
      <c r="Z6529">
        <v>0.1008048</v>
      </c>
      <c r="AA6529">
        <v>0.79887589999999997</v>
      </c>
      <c r="AB6529">
        <v>17</v>
      </c>
      <c r="AC6529">
        <v>-8.6026999999999898</v>
      </c>
      <c r="AD6529">
        <v>-1.10819524402</v>
      </c>
      <c r="AE6529">
        <v>-7.4653000000000098</v>
      </c>
      <c r="AF6529">
        <v>6.7723195694363501</v>
      </c>
      <c r="AG6529">
        <v>-1.10819524402</v>
      </c>
      <c r="AH6529">
        <v>9.0250255528729895</v>
      </c>
      <c r="AI6529">
        <v>95.609289237007204</v>
      </c>
      <c r="AJ6529">
        <v>53.115679539359398</v>
      </c>
      <c r="AK6529">
        <v>11.3377023809698</v>
      </c>
      <c r="AL6529">
        <v>87.540431935709805</v>
      </c>
      <c r="AM6529">
        <v>72.520954131001105</v>
      </c>
      <c r="AN6529">
        <v>1.0000000511710501</v>
      </c>
    </row>
    <row r="6530" spans="1:40" x14ac:dyDescent="0.25">
      <c r="A6530" t="str">
        <f>"20190312150820762"</f>
        <v>20190312150820762</v>
      </c>
      <c r="B6530" t="str">
        <f>"1552374500756195"</f>
        <v>1552374500756195</v>
      </c>
      <c r="C6530" t="s">
        <v>40</v>
      </c>
      <c r="D6530">
        <v>4.5280670000000001</v>
      </c>
      <c r="E6530">
        <v>0.63055299999999903</v>
      </c>
      <c r="F6530" t="s">
        <v>77</v>
      </c>
      <c r="G6530">
        <v>-202.26669999999999</v>
      </c>
      <c r="H6530" s="1">
        <v>-1.0290570000000001E-5</v>
      </c>
      <c r="I6530">
        <v>145.7612</v>
      </c>
      <c r="J6530">
        <v>-193.75620000000001</v>
      </c>
      <c r="K6530">
        <v>1.108155</v>
      </c>
      <c r="L6530">
        <v>153.08430000000001</v>
      </c>
      <c r="M6530">
        <v>-0.2131402</v>
      </c>
      <c r="N6530">
        <v>0</v>
      </c>
      <c r="O6530">
        <v>-0.97695460000000001</v>
      </c>
      <c r="P6530">
        <v>-0.49692520000000001</v>
      </c>
      <c r="Q6530">
        <v>3.3057110000000001E-2</v>
      </c>
      <c r="R6530">
        <v>-0.86716340000000003</v>
      </c>
      <c r="S6530">
        <v>-2.4107509999999999</v>
      </c>
      <c r="T6530">
        <v>-0.31309559999999997</v>
      </c>
      <c r="U6530">
        <v>-2.09436</v>
      </c>
      <c r="V6530">
        <v>0.30090650000000002</v>
      </c>
      <c r="W6530">
        <v>4.2277910000000002E-2</v>
      </c>
      <c r="X6530">
        <v>0.95271609999999995</v>
      </c>
      <c r="Y6530">
        <v>0.59380949999999999</v>
      </c>
      <c r="Z6530">
        <v>0.1022153</v>
      </c>
      <c r="AA6530">
        <v>0.79808659999999998</v>
      </c>
      <c r="AB6530">
        <v>17</v>
      </c>
      <c r="AC6530">
        <v>-8.5104999999999702</v>
      </c>
      <c r="AD6530">
        <v>-1.1081652905699999</v>
      </c>
      <c r="AE6530">
        <v>-7.3231000000000099</v>
      </c>
      <c r="AF6530">
        <v>6.6888056530659199</v>
      </c>
      <c r="AG6530">
        <v>-1.1081652905699999</v>
      </c>
      <c r="AH6530">
        <v>8.8823224264580301</v>
      </c>
      <c r="AI6530">
        <v>95.691455645314505</v>
      </c>
      <c r="AJ6530">
        <v>53.018536799595502</v>
      </c>
      <c r="AK6530">
        <v>11.174247315290099</v>
      </c>
      <c r="AL6530">
        <v>87.576932117842901</v>
      </c>
      <c r="AM6530">
        <v>72.471763854226595</v>
      </c>
      <c r="AN6530">
        <v>1.00000005530771</v>
      </c>
    </row>
    <row r="6531" spans="1:40" x14ac:dyDescent="0.25">
      <c r="A6531" t="str">
        <f>"20190312150820773"</f>
        <v>20190312150820773</v>
      </c>
      <c r="B6531" t="str">
        <f>"1552374500766931"</f>
        <v>1552374500766931</v>
      </c>
      <c r="C6531" t="s">
        <v>40</v>
      </c>
      <c r="D6531">
        <v>4.5117890000000003</v>
      </c>
      <c r="E6531">
        <v>0.63067779999999996</v>
      </c>
      <c r="F6531" t="s">
        <v>77</v>
      </c>
      <c r="G6531">
        <v>-202.24260000000001</v>
      </c>
      <c r="H6531" s="1">
        <v>-1.0302580000000001E-5</v>
      </c>
      <c r="I6531">
        <v>145.76560000000001</v>
      </c>
      <c r="J6531">
        <v>-193.77780000000001</v>
      </c>
      <c r="K6531">
        <v>1.108125</v>
      </c>
      <c r="L6531">
        <v>152.99850000000001</v>
      </c>
      <c r="M6531">
        <v>-0.21551049999999999</v>
      </c>
      <c r="N6531">
        <v>0</v>
      </c>
      <c r="O6531">
        <v>-0.97643440000000004</v>
      </c>
      <c r="P6531">
        <v>-0.4999422</v>
      </c>
      <c r="Q6531">
        <v>3.2640629999999997E-2</v>
      </c>
      <c r="R6531">
        <v>-0.86544370000000004</v>
      </c>
      <c r="S6531">
        <v>-2.418472</v>
      </c>
      <c r="T6531">
        <v>-0.31580570000000002</v>
      </c>
      <c r="U6531">
        <v>-2.085693</v>
      </c>
      <c r="V6531">
        <v>0.30191000000000001</v>
      </c>
      <c r="W6531">
        <v>4.1838649999999998E-2</v>
      </c>
      <c r="X6531">
        <v>0.95241790000000004</v>
      </c>
      <c r="Y6531">
        <v>0.5946922</v>
      </c>
      <c r="Z6531">
        <v>0.1031261</v>
      </c>
      <c r="AA6531">
        <v>0.79731189999999996</v>
      </c>
      <c r="AB6531">
        <v>17</v>
      </c>
      <c r="AC6531">
        <v>-8.4647999999999897</v>
      </c>
      <c r="AD6531">
        <v>-1.10813530257999</v>
      </c>
      <c r="AE6531">
        <v>-7.2328999999999999</v>
      </c>
      <c r="AF6531">
        <v>6.6412110059601304</v>
      </c>
      <c r="AG6531">
        <v>-1.10813530257999</v>
      </c>
      <c r="AH6531">
        <v>8.8001184607353693</v>
      </c>
      <c r="AI6531">
        <v>95.739654779801199</v>
      </c>
      <c r="AJ6531">
        <v>52.959134015471001</v>
      </c>
      <c r="AK6531">
        <v>11.080421129067499</v>
      </c>
      <c r="AL6531">
        <v>87.602121989611305</v>
      </c>
      <c r="AM6531">
        <v>72.411738831513802</v>
      </c>
      <c r="AN6531">
        <v>0.99999998848711602</v>
      </c>
    </row>
    <row r="6532" spans="1:40" x14ac:dyDescent="0.25">
      <c r="A6532" t="str">
        <f>"20190312150820786"</f>
        <v>20190312150820786</v>
      </c>
      <c r="B6532" t="str">
        <f>"1552374500776692"</f>
        <v>1552374500776692</v>
      </c>
      <c r="C6532" t="s">
        <v>40</v>
      </c>
      <c r="D6532">
        <v>4.4880639999999996</v>
      </c>
      <c r="E6532">
        <v>0.63076309999999902</v>
      </c>
      <c r="F6532" t="s">
        <v>77</v>
      </c>
      <c r="G6532">
        <v>-202.2415</v>
      </c>
      <c r="H6532" s="1">
        <v>-1.029996E-5</v>
      </c>
      <c r="I6532">
        <v>145.7552</v>
      </c>
      <c r="J6532">
        <v>-193.80170000000001</v>
      </c>
      <c r="K6532">
        <v>1.10809</v>
      </c>
      <c r="L6532">
        <v>152.9041</v>
      </c>
      <c r="M6532">
        <v>-0.21814210000000001</v>
      </c>
      <c r="N6532">
        <v>0</v>
      </c>
      <c r="O6532">
        <v>-0.97584979999999999</v>
      </c>
      <c r="P6532">
        <v>-0.5033185</v>
      </c>
      <c r="Q6532">
        <v>3.265639E-2</v>
      </c>
      <c r="R6532">
        <v>-0.86348369999999997</v>
      </c>
      <c r="S6532">
        <v>-2.4265439999999998</v>
      </c>
      <c r="T6532">
        <v>-0.3177007</v>
      </c>
      <c r="U6532">
        <v>-2.0766450000000001</v>
      </c>
      <c r="V6532">
        <v>0.30306660000000002</v>
      </c>
      <c r="W6532">
        <v>4.1828650000000002E-2</v>
      </c>
      <c r="X6532">
        <v>0.95205090000000003</v>
      </c>
      <c r="Y6532">
        <v>0.59550729999999996</v>
      </c>
      <c r="Z6532">
        <v>0.10377309999999999</v>
      </c>
      <c r="AA6532">
        <v>0.79661930000000003</v>
      </c>
      <c r="AB6532">
        <v>17</v>
      </c>
      <c r="AC6532">
        <v>-8.4397999999999893</v>
      </c>
      <c r="AD6532">
        <v>-1.10810029996</v>
      </c>
      <c r="AE6532">
        <v>-7.1488999999999896</v>
      </c>
      <c r="AF6532">
        <v>6.61058914341596</v>
      </c>
      <c r="AG6532">
        <v>-1.10810029996</v>
      </c>
      <c r="AH6532">
        <v>8.7302816564921493</v>
      </c>
      <c r="AI6532">
        <v>95.778089675672305</v>
      </c>
      <c r="AJ6532">
        <v>52.866911662423199</v>
      </c>
      <c r="AK6532">
        <v>11.0066158695351</v>
      </c>
      <c r="AL6532">
        <v>87.6026953765206</v>
      </c>
      <c r="AM6532">
        <v>72.342153490874097</v>
      </c>
      <c r="AN6532">
        <v>0.99999995809359499</v>
      </c>
    </row>
    <row r="6533" spans="1:40" x14ac:dyDescent="0.25">
      <c r="A6533" t="str">
        <f>"20190312150820797"</f>
        <v>20190312150820797</v>
      </c>
      <c r="B6533" t="str">
        <f>"1552374500786452"</f>
        <v>1552374500786452</v>
      </c>
      <c r="C6533" t="s">
        <v>40</v>
      </c>
      <c r="D6533">
        <v>4.5094149999999997</v>
      </c>
      <c r="E6533">
        <v>0.63078089999999998</v>
      </c>
      <c r="F6533" t="s">
        <v>77</v>
      </c>
      <c r="G6533">
        <v>-202.2877</v>
      </c>
      <c r="H6533" s="1">
        <v>-1.026339E-5</v>
      </c>
      <c r="I6533">
        <v>145.7011</v>
      </c>
      <c r="J6533">
        <v>-193.82390000000001</v>
      </c>
      <c r="K6533">
        <v>1.1080559999999999</v>
      </c>
      <c r="L6533">
        <v>152.81790000000001</v>
      </c>
      <c r="M6533">
        <v>-0.2206032</v>
      </c>
      <c r="N6533">
        <v>0</v>
      </c>
      <c r="O6533">
        <v>-0.9752963</v>
      </c>
      <c r="P6533">
        <v>-0.50641289999999906</v>
      </c>
      <c r="Q6533">
        <v>3.26235E-2</v>
      </c>
      <c r="R6533">
        <v>-0.86167419999999995</v>
      </c>
      <c r="S6533">
        <v>-2.4350890000000001</v>
      </c>
      <c r="T6533">
        <v>-0.31797409999999998</v>
      </c>
      <c r="U6533">
        <v>-2.0669249999999999</v>
      </c>
      <c r="V6533">
        <v>0.30408390000000002</v>
      </c>
      <c r="W6533">
        <v>4.1770519999999998E-2</v>
      </c>
      <c r="X6533">
        <v>0.95172909999999999</v>
      </c>
      <c r="Y6533">
        <v>0.59670440000000002</v>
      </c>
      <c r="Z6533">
        <v>0.1038997</v>
      </c>
      <c r="AA6533">
        <v>0.79570649999999998</v>
      </c>
      <c r="AB6533">
        <v>17</v>
      </c>
      <c r="AC6533">
        <v>-8.4637999999999902</v>
      </c>
      <c r="AD6533">
        <v>-1.10806626339</v>
      </c>
      <c r="AE6533">
        <v>-7.1168000000000102</v>
      </c>
      <c r="AF6533">
        <v>6.6187073358500204</v>
      </c>
      <c r="AG6533">
        <v>-1.10806626339</v>
      </c>
      <c r="AH6533">
        <v>8.7211432188871605</v>
      </c>
      <c r="AI6533">
        <v>95.779159996649497</v>
      </c>
      <c r="AJ6533">
        <v>52.804171246120802</v>
      </c>
      <c r="AK6533">
        <v>11.004246302497901</v>
      </c>
      <c r="AL6533">
        <v>87.606029083216001</v>
      </c>
      <c r="AM6533">
        <v>72.280966509373997</v>
      </c>
      <c r="AN6533">
        <v>1.00000003718354</v>
      </c>
    </row>
    <row r="6534" spans="1:40" x14ac:dyDescent="0.25">
      <c r="A6534" t="str">
        <f>"20190312150820809"</f>
        <v>20190312150820809</v>
      </c>
      <c r="B6534" t="str">
        <f>"1552374500806947"</f>
        <v>1552374500806947</v>
      </c>
      <c r="C6534" t="s">
        <v>40</v>
      </c>
      <c r="D6534">
        <v>4.5317759999999998</v>
      </c>
      <c r="E6534">
        <v>0.63074969999999997</v>
      </c>
      <c r="F6534" t="s">
        <v>77</v>
      </c>
      <c r="G6534">
        <v>-202.3152</v>
      </c>
      <c r="H6534" s="1">
        <v>-1.024019E-5</v>
      </c>
      <c r="I6534">
        <v>145.66409999999999</v>
      </c>
      <c r="J6534">
        <v>-193.84719999999999</v>
      </c>
      <c r="K6534">
        <v>1.1080209999999999</v>
      </c>
      <c r="L6534">
        <v>152.72839999999999</v>
      </c>
      <c r="M6534">
        <v>-0.2231909</v>
      </c>
      <c r="N6534">
        <v>0</v>
      </c>
      <c r="O6534">
        <v>-0.97470710000000005</v>
      </c>
      <c r="P6534">
        <v>-0.51017020000000002</v>
      </c>
      <c r="Q6534">
        <v>3.2958679999999997E-2</v>
      </c>
      <c r="R6534">
        <v>-0.85944200000000004</v>
      </c>
      <c r="S6534">
        <v>-2.4428100000000001</v>
      </c>
      <c r="T6534">
        <v>-0.31877270000000002</v>
      </c>
      <c r="U6534">
        <v>-2.0580440000000002</v>
      </c>
      <c r="V6534">
        <v>0.30572260000000001</v>
      </c>
      <c r="W6534">
        <v>4.2072569999999997E-2</v>
      </c>
      <c r="X6534">
        <v>0.9511906</v>
      </c>
      <c r="Y6534">
        <v>0.59748950000000001</v>
      </c>
      <c r="Z6534">
        <v>0.10419249999999999</v>
      </c>
      <c r="AA6534">
        <v>0.79507879999999997</v>
      </c>
      <c r="AB6534">
        <v>17</v>
      </c>
      <c r="AC6534">
        <v>-8.4680000000000106</v>
      </c>
      <c r="AD6534">
        <v>-1.1080312401900001</v>
      </c>
      <c r="AE6534">
        <v>-7.0643000000000002</v>
      </c>
      <c r="AF6534">
        <v>6.6108326454744102</v>
      </c>
      <c r="AG6534">
        <v>-1.1080312401900001</v>
      </c>
      <c r="AH6534">
        <v>8.6884678396117305</v>
      </c>
      <c r="AI6534">
        <v>95.7951609250904</v>
      </c>
      <c r="AJ6534">
        <v>52.733423110194899</v>
      </c>
      <c r="AK6534">
        <v>10.9736190427622</v>
      </c>
      <c r="AL6534">
        <v>87.588707536698806</v>
      </c>
      <c r="AM6534">
        <v>72.1820520789623</v>
      </c>
      <c r="AN6534">
        <v>0.99999998341276197</v>
      </c>
    </row>
    <row r="6535" spans="1:40" x14ac:dyDescent="0.25">
      <c r="A6535" t="str">
        <f>"20190312150820821"</f>
        <v>20190312150820821</v>
      </c>
      <c r="B6535" t="str">
        <f>"1552374500816708"</f>
        <v>1552374500816708</v>
      </c>
      <c r="C6535" t="s">
        <v>40</v>
      </c>
      <c r="D6535">
        <v>4.4944189999999997</v>
      </c>
      <c r="E6535">
        <v>0.63072910000000004</v>
      </c>
      <c r="F6535" t="s">
        <v>77</v>
      </c>
      <c r="G6535">
        <v>-202.5027</v>
      </c>
      <c r="H6535" s="1">
        <v>-1.0107930000000001E-5</v>
      </c>
      <c r="I6535">
        <v>145.4991</v>
      </c>
      <c r="J6535">
        <v>-193.8716</v>
      </c>
      <c r="K6535">
        <v>1.107982</v>
      </c>
      <c r="L6535">
        <v>152.636</v>
      </c>
      <c r="M6535">
        <v>-0.2259071</v>
      </c>
      <c r="N6535">
        <v>0</v>
      </c>
      <c r="O6535">
        <v>-0.97408090000000003</v>
      </c>
      <c r="P6535">
        <v>-0.51382759999999905</v>
      </c>
      <c r="Q6535">
        <v>3.3885980000000003E-2</v>
      </c>
      <c r="R6535">
        <v>-0.85722419999999999</v>
      </c>
      <c r="S6535">
        <v>-2.4514010000000002</v>
      </c>
      <c r="T6535">
        <v>-0.31381520000000002</v>
      </c>
      <c r="U6535">
        <v>-2.047501</v>
      </c>
      <c r="V6535">
        <v>0.307143</v>
      </c>
      <c r="W6535">
        <v>4.2966310000000001E-2</v>
      </c>
      <c r="X6535">
        <v>0.95069300000000001</v>
      </c>
      <c r="Y6535">
        <v>0.59877069999999999</v>
      </c>
      <c r="Z6535">
        <v>0.10264</v>
      </c>
      <c r="AA6535">
        <v>0.79431649999999998</v>
      </c>
      <c r="AB6535">
        <v>17</v>
      </c>
      <c r="AC6535">
        <v>-8.6311</v>
      </c>
      <c r="AD6535">
        <v>-1.1079921079299999</v>
      </c>
      <c r="AE6535">
        <v>-7.13689999999999</v>
      </c>
      <c r="AF6535">
        <v>6.7296968124558498</v>
      </c>
      <c r="AG6535">
        <v>-1.1079921079299999</v>
      </c>
      <c r="AH6535">
        <v>8.8160477724195694</v>
      </c>
      <c r="AI6535">
        <v>95.704897926434796</v>
      </c>
      <c r="AJ6535">
        <v>52.643832420295603</v>
      </c>
      <c r="AK6535">
        <v>11.1462623342714</v>
      </c>
      <c r="AL6535">
        <v>87.537453824244395</v>
      </c>
      <c r="AM6535">
        <v>72.095769100107006</v>
      </c>
      <c r="AN6535">
        <v>1.0000000532465001</v>
      </c>
    </row>
    <row r="6536" spans="1:40" x14ac:dyDescent="0.25">
      <c r="A6536" t="str">
        <f>"20190312150820834"</f>
        <v>20190312150820834</v>
      </c>
      <c r="B6536" t="str">
        <f>"1552374500826468"</f>
        <v>1552374500826468</v>
      </c>
      <c r="C6536" t="s">
        <v>40</v>
      </c>
      <c r="D6536">
        <v>4.4882869999999997</v>
      </c>
      <c r="E6536">
        <v>0.63070209999999904</v>
      </c>
      <c r="F6536" t="s">
        <v>77</v>
      </c>
      <c r="G6536">
        <v>-202.64400000000001</v>
      </c>
      <c r="H6536" s="1">
        <v>-1.000738E-5</v>
      </c>
      <c r="I6536">
        <v>145.3716</v>
      </c>
      <c r="J6536">
        <v>-193.8956</v>
      </c>
      <c r="K6536">
        <v>1.107944</v>
      </c>
      <c r="L6536">
        <v>152.54679999999999</v>
      </c>
      <c r="M6536">
        <v>-0.22858410000000001</v>
      </c>
      <c r="N6536">
        <v>0</v>
      </c>
      <c r="O6536">
        <v>-0.97345599999999999</v>
      </c>
      <c r="P6536">
        <v>-0.51741470000000001</v>
      </c>
      <c r="Q6536">
        <v>3.4755130000000002E-2</v>
      </c>
      <c r="R6536">
        <v>-0.85502880000000003</v>
      </c>
      <c r="S6536">
        <v>-2.4601899999999999</v>
      </c>
      <c r="T6536">
        <v>-0.3107355</v>
      </c>
      <c r="U6536">
        <v>-2.0372919999999999</v>
      </c>
      <c r="V6536">
        <v>0.308531099999999</v>
      </c>
      <c r="W6536">
        <v>4.3801420000000001E-2</v>
      </c>
      <c r="X6536">
        <v>0.95020530000000003</v>
      </c>
      <c r="Y6536">
        <v>0.60000120000000001</v>
      </c>
      <c r="Z6536">
        <v>0.10167950000000001</v>
      </c>
      <c r="AA6536">
        <v>0.79351110000000002</v>
      </c>
      <c r="AB6536">
        <v>17</v>
      </c>
      <c r="AC6536">
        <v>-8.7484000000000002</v>
      </c>
      <c r="AD6536">
        <v>-1.1079540073799901</v>
      </c>
      <c r="AE6536">
        <v>-7.1751999999999896</v>
      </c>
      <c r="AF6536">
        <v>6.81118982767061</v>
      </c>
      <c r="AG6536">
        <v>-1.1079540073799901</v>
      </c>
      <c r="AH6536">
        <v>8.8997434588300894</v>
      </c>
      <c r="AI6536">
        <v>95.646047298816399</v>
      </c>
      <c r="AJ6536">
        <v>52.572292264651203</v>
      </c>
      <c r="AK6536">
        <v>11.2616740577954</v>
      </c>
      <c r="AL6536">
        <v>87.489560466456396</v>
      </c>
      <c r="AM6536">
        <v>72.011416982902105</v>
      </c>
      <c r="AN6536">
        <v>1.00000005810465</v>
      </c>
    </row>
    <row r="6537" spans="1:40" x14ac:dyDescent="0.25">
      <c r="A6537" t="str">
        <f>"20190312150820845"</f>
        <v>20190312150820845</v>
      </c>
      <c r="B6537" t="str">
        <f>"1552374500836228"</f>
        <v>1552374500836228</v>
      </c>
      <c r="C6537" t="s">
        <v>40</v>
      </c>
      <c r="D6537">
        <v>4.477474</v>
      </c>
      <c r="E6537">
        <v>0.63069889999999995</v>
      </c>
      <c r="F6537" t="s">
        <v>77</v>
      </c>
      <c r="G6537">
        <v>-202.78579999999999</v>
      </c>
      <c r="H6537" s="1">
        <v>-9.9082689999999998E-6</v>
      </c>
      <c r="I6537">
        <v>145.24700000000001</v>
      </c>
      <c r="J6537">
        <v>-193.91980000000001</v>
      </c>
      <c r="K6537">
        <v>1.1079030000000001</v>
      </c>
      <c r="L6537">
        <v>152.4571</v>
      </c>
      <c r="M6537">
        <v>-0.2312988</v>
      </c>
      <c r="N6537">
        <v>0</v>
      </c>
      <c r="O6537">
        <v>-0.97281459999999997</v>
      </c>
      <c r="P6537">
        <v>-0.52092159999999998</v>
      </c>
      <c r="Q6537">
        <v>3.5611129999999998E-2</v>
      </c>
      <c r="R6537">
        <v>-0.85286209999999996</v>
      </c>
      <c r="S6537">
        <v>-2.468826</v>
      </c>
      <c r="T6537">
        <v>-0.3076798</v>
      </c>
      <c r="U6537">
        <v>-2.027161</v>
      </c>
      <c r="V6537">
        <v>0.3098014</v>
      </c>
      <c r="W6537">
        <v>4.4622679999999998E-2</v>
      </c>
      <c r="X6537">
        <v>0.94975359999999998</v>
      </c>
      <c r="Y6537">
        <v>0.60115839999999998</v>
      </c>
      <c r="Z6537">
        <v>0.1007252</v>
      </c>
      <c r="AA6537">
        <v>0.79275660000000003</v>
      </c>
      <c r="AB6537">
        <v>17</v>
      </c>
      <c r="AC6537">
        <v>-8.8659999999999801</v>
      </c>
      <c r="AD6537">
        <v>-1.107912908269</v>
      </c>
      <c r="AE6537">
        <v>-7.2100999999999802</v>
      </c>
      <c r="AF6537">
        <v>6.8929590327092898</v>
      </c>
      <c r="AG6537">
        <v>-1.107912908269</v>
      </c>
      <c r="AH6537">
        <v>8.9809718402283796</v>
      </c>
      <c r="AI6537">
        <v>95.589244907817402</v>
      </c>
      <c r="AJ6537">
        <v>52.493507760961101</v>
      </c>
      <c r="AK6537">
        <v>11.375333420779</v>
      </c>
      <c r="AL6537">
        <v>87.442459520089599</v>
      </c>
      <c r="AM6537">
        <v>71.934122292403003</v>
      </c>
      <c r="AN6537">
        <v>0.99999999586265098</v>
      </c>
    </row>
    <row r="6538" spans="1:40" x14ac:dyDescent="0.25">
      <c r="A6538" t="str">
        <f>"20190312150820861"</f>
        <v>20190312150820861</v>
      </c>
      <c r="B6538" t="str">
        <f>"1552374500856723"</f>
        <v>1552374500856723</v>
      </c>
      <c r="C6538" t="s">
        <v>40</v>
      </c>
      <c r="D6538">
        <v>4.4713349999999998</v>
      </c>
      <c r="E6538">
        <v>0.63055349999999999</v>
      </c>
      <c r="F6538" t="s">
        <v>77</v>
      </c>
      <c r="G6538">
        <v>-202.93620000000001</v>
      </c>
      <c r="H6538" s="1">
        <v>-9.8170620000000006E-6</v>
      </c>
      <c r="I6538">
        <v>145.11600000000001</v>
      </c>
      <c r="J6538">
        <v>-193.95320000000001</v>
      </c>
      <c r="K6538">
        <v>1.107839</v>
      </c>
      <c r="L6538">
        <v>152.33609999999999</v>
      </c>
      <c r="M6538">
        <v>-0.2350632</v>
      </c>
      <c r="N6538">
        <v>0</v>
      </c>
      <c r="O6538">
        <v>-0.97191150000000004</v>
      </c>
      <c r="P6538">
        <v>-0.52564730000000004</v>
      </c>
      <c r="Q6538">
        <v>3.6973310000000002E-2</v>
      </c>
      <c r="R6538">
        <v>-0.84989890000000001</v>
      </c>
      <c r="S6538">
        <v>-2.4773860000000001</v>
      </c>
      <c r="T6538">
        <v>-0.30441479999999999</v>
      </c>
      <c r="U6538">
        <v>-2.01709</v>
      </c>
      <c r="V6538">
        <v>0.311426599999999</v>
      </c>
      <c r="W6538">
        <v>4.593407E-2</v>
      </c>
      <c r="X6538">
        <v>0.94915939999999999</v>
      </c>
      <c r="Y6538">
        <v>0.60143459999999904</v>
      </c>
      <c r="Z6538">
        <v>9.969625E-2</v>
      </c>
      <c r="AA6538">
        <v>0.79267719999999997</v>
      </c>
      <c r="AB6538">
        <v>17</v>
      </c>
      <c r="AC6538">
        <v>-8.9830000000000005</v>
      </c>
      <c r="AD6538">
        <v>-1.107848817062</v>
      </c>
      <c r="AE6538">
        <v>-7.2200999999999702</v>
      </c>
      <c r="AF6538">
        <v>6.9695695159708402</v>
      </c>
      <c r="AG6538">
        <v>-1.107848817062</v>
      </c>
      <c r="AH6538">
        <v>9.0458932058400094</v>
      </c>
      <c r="AI6538">
        <v>95.541179603522593</v>
      </c>
      <c r="AJ6538">
        <v>52.386905823679598</v>
      </c>
      <c r="AK6538">
        <v>11.473029771201499</v>
      </c>
      <c r="AL6538">
        <v>87.367245316769797</v>
      </c>
      <c r="AM6538">
        <v>71.834933313342503</v>
      </c>
      <c r="AN6538">
        <v>1.0000000162913401</v>
      </c>
    </row>
    <row r="6539" spans="1:40" x14ac:dyDescent="0.25">
      <c r="A6539" t="str">
        <f>"20190312150820874"</f>
        <v>20190312150820874</v>
      </c>
      <c r="B6539" t="str">
        <f>"1552374500866484"</f>
        <v>1552374500866484</v>
      </c>
      <c r="C6539" t="s">
        <v>40</v>
      </c>
      <c r="D6539">
        <v>4.4850279999999998</v>
      </c>
      <c r="E6539">
        <v>0.63045759999999995</v>
      </c>
      <c r="F6539" t="s">
        <v>77</v>
      </c>
      <c r="G6539">
        <v>-203.15020000000001</v>
      </c>
      <c r="H6539" s="1">
        <v>-9.6869629999999994E-6</v>
      </c>
      <c r="I6539">
        <v>144.92830000000001</v>
      </c>
      <c r="J6539">
        <v>-193.97919999999999</v>
      </c>
      <c r="K6539">
        <v>1.1077920000000001</v>
      </c>
      <c r="L6539">
        <v>152.2433</v>
      </c>
      <c r="M6539">
        <v>-0.23801120000000001</v>
      </c>
      <c r="N6539">
        <v>0</v>
      </c>
      <c r="O6539">
        <v>-0.97119359999999999</v>
      </c>
      <c r="P6539">
        <v>-0.52905360000000001</v>
      </c>
      <c r="Q6539">
        <v>3.755004E-2</v>
      </c>
      <c r="R6539">
        <v>-0.84775739999999999</v>
      </c>
      <c r="S6539">
        <v>-2.4880680000000002</v>
      </c>
      <c r="T6539">
        <v>-0.29970639999999998</v>
      </c>
      <c r="U6539">
        <v>-2.0040279999999999</v>
      </c>
      <c r="V6539">
        <v>0.31237130000000002</v>
      </c>
      <c r="W6539">
        <v>4.6475660000000002E-2</v>
      </c>
      <c r="X6539">
        <v>0.94882250000000001</v>
      </c>
      <c r="Y6539">
        <v>0.60331820000000003</v>
      </c>
      <c r="Z6539">
        <v>9.8219189999999998E-2</v>
      </c>
      <c r="AA6539">
        <v>0.79142919999999894</v>
      </c>
      <c r="AB6539">
        <v>17</v>
      </c>
      <c r="AC6539">
        <v>-9.17100000000001</v>
      </c>
      <c r="AD6539">
        <v>-1.1078016869630001</v>
      </c>
      <c r="AE6539">
        <v>-7.3149999999999897</v>
      </c>
      <c r="AF6539">
        <v>7.1029018512760898</v>
      </c>
      <c r="AG6539">
        <v>-1.1078016869630001</v>
      </c>
      <c r="AH6539">
        <v>9.2056096038915207</v>
      </c>
      <c r="AI6539">
        <v>95.442472501265499</v>
      </c>
      <c r="AJ6539">
        <v>52.346793806454599</v>
      </c>
      <c r="AK6539">
        <v>11.679969497638201</v>
      </c>
      <c r="AL6539">
        <v>87.336181212165201</v>
      </c>
      <c r="AM6539">
        <v>71.777423613350507</v>
      </c>
      <c r="AN6539">
        <v>0.99999997627118697</v>
      </c>
    </row>
    <row r="6540" spans="1:40" x14ac:dyDescent="0.25">
      <c r="A6540" t="str">
        <f>"20190312150820887"</f>
        <v>20190312150820887</v>
      </c>
      <c r="B6540" t="str">
        <f>"1552374500876243"</f>
        <v>1552374500876243</v>
      </c>
      <c r="C6540" t="s">
        <v>40</v>
      </c>
      <c r="D6540">
        <v>4.5318529999999999</v>
      </c>
      <c r="E6540">
        <v>0.63027429999999995</v>
      </c>
      <c r="F6540" t="s">
        <v>77</v>
      </c>
      <c r="G6540">
        <v>-203.2698</v>
      </c>
      <c r="H6540" s="1">
        <v>-9.6127110000000004E-6</v>
      </c>
      <c r="I6540">
        <v>144.8176</v>
      </c>
      <c r="J6540">
        <v>-194.0078</v>
      </c>
      <c r="K6540">
        <v>1.107737</v>
      </c>
      <c r="L6540">
        <v>152.14269999999999</v>
      </c>
      <c r="M6540">
        <v>-0.24124860000000001</v>
      </c>
      <c r="N6540">
        <v>0</v>
      </c>
      <c r="O6540">
        <v>-0.97039430000000004</v>
      </c>
      <c r="P6540">
        <v>-0.53243119999999999</v>
      </c>
      <c r="Q6540">
        <v>3.8019129999999998E-2</v>
      </c>
      <c r="R6540">
        <v>-0.84561909999999896</v>
      </c>
      <c r="S6540">
        <v>-2.4954830000000001</v>
      </c>
      <c r="T6540">
        <v>-0.29755989999999999</v>
      </c>
      <c r="U6540">
        <v>-1.994583</v>
      </c>
      <c r="V6540">
        <v>0.31300709999999998</v>
      </c>
      <c r="W6540">
        <v>4.6910529999999999E-2</v>
      </c>
      <c r="X6540">
        <v>0.94859150000000003</v>
      </c>
      <c r="Y6540">
        <v>0.60369249999999997</v>
      </c>
      <c r="Z6540">
        <v>9.7558370000000005E-2</v>
      </c>
      <c r="AA6540">
        <v>0.79122550000000003</v>
      </c>
      <c r="AB6540">
        <v>17</v>
      </c>
      <c r="AC6540">
        <v>-9.2620000000000005</v>
      </c>
      <c r="AD6540">
        <v>-1.1077466127110001</v>
      </c>
      <c r="AE6540">
        <v>-7.3250999999999902</v>
      </c>
      <c r="AF6540">
        <v>7.1581135881753299</v>
      </c>
      <c r="AG6540">
        <v>-1.1077466127110001</v>
      </c>
      <c r="AH6540">
        <v>9.2618010497482803</v>
      </c>
      <c r="AI6540">
        <v>95.406053429839602</v>
      </c>
      <c r="AJ6540">
        <v>52.300851003508598</v>
      </c>
      <c r="AK6540">
        <v>11.7578336178188</v>
      </c>
      <c r="AL6540">
        <v>87.311237687002702</v>
      </c>
      <c r="AM6540">
        <v>71.738640383550205</v>
      </c>
      <c r="AN6540">
        <v>0.99999993817376798</v>
      </c>
    </row>
    <row r="6541" spans="1:40" x14ac:dyDescent="0.25">
      <c r="A6541" t="str">
        <f>"20190312150820901"</f>
        <v>20190312150820901</v>
      </c>
      <c r="B6541" t="str">
        <f>"1552374500896739"</f>
        <v>1552374500896739</v>
      </c>
      <c r="C6541" t="s">
        <v>40</v>
      </c>
      <c r="D6541">
        <v>4.7500289999999996</v>
      </c>
      <c r="E6541">
        <v>0.63039480000000003</v>
      </c>
      <c r="F6541" t="s">
        <v>77</v>
      </c>
      <c r="G6541">
        <v>-203.4444</v>
      </c>
      <c r="H6541" s="1">
        <v>-9.5040269999999997E-6</v>
      </c>
      <c r="I6541">
        <v>144.65479999999999</v>
      </c>
      <c r="J6541">
        <v>-194.0378</v>
      </c>
      <c r="K6541">
        <v>1.107685</v>
      </c>
      <c r="L6541">
        <v>152.0384</v>
      </c>
      <c r="M6541">
        <v>-0.24467610000000001</v>
      </c>
      <c r="N6541">
        <v>0</v>
      </c>
      <c r="O6541">
        <v>-0.96953549999999999</v>
      </c>
      <c r="P6541">
        <v>-0.53591750000000005</v>
      </c>
      <c r="Q6541">
        <v>3.8021039999999999E-2</v>
      </c>
      <c r="R6541">
        <v>-0.84341409999999895</v>
      </c>
      <c r="S6541">
        <v>-2.502167</v>
      </c>
      <c r="T6541">
        <v>-0.29372500000000001</v>
      </c>
      <c r="U6541">
        <v>-1.9854579999999999</v>
      </c>
      <c r="V6541">
        <v>0.31357790000000002</v>
      </c>
      <c r="W6541">
        <v>4.6878620000000003E-2</v>
      </c>
      <c r="X6541">
        <v>0.94840460000000004</v>
      </c>
      <c r="Y6541">
        <v>0.60377539999999996</v>
      </c>
      <c r="Z6541">
        <v>9.6353220000000003E-2</v>
      </c>
      <c r="AA6541">
        <v>0.79130999999999996</v>
      </c>
      <c r="AB6541">
        <v>17</v>
      </c>
      <c r="AC6541">
        <v>-9.4065999999999903</v>
      </c>
      <c r="AD6541">
        <v>-1.1076945040270001</v>
      </c>
      <c r="AE6541">
        <v>-7.3836000000000004</v>
      </c>
      <c r="AF6541">
        <v>7.2517127781732302</v>
      </c>
      <c r="AG6541">
        <v>-1.1076945040270001</v>
      </c>
      <c r="AH6541">
        <v>9.3803830453280508</v>
      </c>
      <c r="AI6541">
        <v>95.337326329039598</v>
      </c>
      <c r="AJ6541">
        <v>52.293389645077497</v>
      </c>
      <c r="AK6541">
        <v>11.9082287267439</v>
      </c>
      <c r="AL6541">
        <v>87.313068161453302</v>
      </c>
      <c r="AM6541">
        <v>71.704189611277499</v>
      </c>
      <c r="AN6541">
        <v>0.99999999484133695</v>
      </c>
    </row>
    <row r="6542" spans="1:40" x14ac:dyDescent="0.25">
      <c r="A6542" t="str">
        <f>"20190312150820917"</f>
        <v>20190312150820917</v>
      </c>
      <c r="B6542" t="str">
        <f>"1552374500906499"</f>
        <v>1552374500906499</v>
      </c>
      <c r="C6542" t="s">
        <v>40</v>
      </c>
      <c r="D6542">
        <v>4.490164</v>
      </c>
      <c r="E6542">
        <v>0.65417530000000002</v>
      </c>
      <c r="F6542" t="s">
        <v>77</v>
      </c>
      <c r="G6542">
        <v>-203.50739999999999</v>
      </c>
      <c r="H6542" s="1">
        <v>-9.4637519999999994E-6</v>
      </c>
      <c r="I6542">
        <v>144.59219999999999</v>
      </c>
      <c r="J6542">
        <v>-194.07149999999999</v>
      </c>
      <c r="K6542">
        <v>1.107626</v>
      </c>
      <c r="L6542">
        <v>151.9237</v>
      </c>
      <c r="M6542">
        <v>-0.24853020000000001</v>
      </c>
      <c r="N6542">
        <v>0</v>
      </c>
      <c r="O6542">
        <v>-0.96855429999999998</v>
      </c>
      <c r="P6542">
        <v>-0.54076429999999998</v>
      </c>
      <c r="Q6542">
        <v>3.723808E-2</v>
      </c>
      <c r="R6542">
        <v>-0.84034969999999998</v>
      </c>
      <c r="S6542">
        <v>-2.5111539999999999</v>
      </c>
      <c r="T6542">
        <v>-0.29373860000000002</v>
      </c>
      <c r="U6542">
        <v>-1.974594</v>
      </c>
      <c r="V6542">
        <v>0.31525900000000001</v>
      </c>
      <c r="W6542">
        <v>4.6049350000000003E-2</v>
      </c>
      <c r="X6542">
        <v>0.94788779999999995</v>
      </c>
      <c r="Y6542">
        <v>0.60410359999999996</v>
      </c>
      <c r="Z6542">
        <v>9.6383010000000005E-2</v>
      </c>
      <c r="AA6542">
        <v>0.79105570000000003</v>
      </c>
      <c r="AB6542">
        <v>17</v>
      </c>
      <c r="AC6542">
        <v>-9.4359000000000002</v>
      </c>
      <c r="AD6542">
        <v>-1.1076354637520001</v>
      </c>
      <c r="AE6542">
        <v>-7.3315000000000001</v>
      </c>
      <c r="AF6542">
        <v>7.2552389226652201</v>
      </c>
      <c r="AG6542">
        <v>-1.1076354637520001</v>
      </c>
      <c r="AH6542">
        <v>9.3662245520724099</v>
      </c>
      <c r="AI6542">
        <v>95.341091962060304</v>
      </c>
      <c r="AJ6542">
        <v>52.238019804850801</v>
      </c>
      <c r="AK6542">
        <v>11.8992231051174</v>
      </c>
      <c r="AL6542">
        <v>87.360633300345199</v>
      </c>
      <c r="AM6542">
        <v>71.6033363573016</v>
      </c>
      <c r="AN6542">
        <v>1.00000003055263</v>
      </c>
    </row>
    <row r="6543" spans="1:40" x14ac:dyDescent="0.25">
      <c r="A6543" t="str">
        <f>"20190312150820929"</f>
        <v>20190312150820929</v>
      </c>
      <c r="B6543" t="str">
        <f>"1552374500926996"</f>
        <v>1552374500926996</v>
      </c>
      <c r="C6543" t="s">
        <v>40</v>
      </c>
      <c r="D6543">
        <v>4.4644949999999897</v>
      </c>
      <c r="E6543">
        <v>0.65702169999999904</v>
      </c>
      <c r="F6543" t="s">
        <v>77</v>
      </c>
      <c r="G6543">
        <v>-203.59569999999999</v>
      </c>
      <c r="H6543" s="1">
        <v>-9.625399E-6</v>
      </c>
      <c r="I6543">
        <v>145.3305</v>
      </c>
      <c r="J6543">
        <v>-194.0985</v>
      </c>
      <c r="K6543">
        <v>1.107585</v>
      </c>
      <c r="L6543">
        <v>151.83330000000001</v>
      </c>
      <c r="M6543">
        <v>-0.25161339999999999</v>
      </c>
      <c r="N6543">
        <v>0</v>
      </c>
      <c r="O6543">
        <v>-0.9677578</v>
      </c>
      <c r="P6543">
        <v>-0.54402079999999997</v>
      </c>
      <c r="Q6543">
        <v>3.6780649999999998E-2</v>
      </c>
      <c r="R6543">
        <v>-0.83826520000000004</v>
      </c>
      <c r="S6543">
        <v>-2.682938</v>
      </c>
      <c r="T6543">
        <v>-0.3120173</v>
      </c>
      <c r="U6543">
        <v>-1.8573</v>
      </c>
      <c r="V6543">
        <v>0.31591529999999901</v>
      </c>
      <c r="W6543">
        <v>4.5563960000000001E-2</v>
      </c>
      <c r="X6543">
        <v>0.94769270000000005</v>
      </c>
      <c r="Y6543">
        <v>0.64830829999999995</v>
      </c>
      <c r="Z6543">
        <v>0.1009919</v>
      </c>
      <c r="AA6543">
        <v>0.75465019999999905</v>
      </c>
      <c r="AB6543">
        <v>17</v>
      </c>
      <c r="AC6543">
        <v>-9.4971999999999905</v>
      </c>
      <c r="AD6543">
        <v>-1.1075946253990001</v>
      </c>
      <c r="AE6543">
        <v>-6.5027999999999997</v>
      </c>
      <c r="AF6543">
        <v>7.4859911368843397</v>
      </c>
      <c r="AG6543">
        <v>-1.1075946253990001</v>
      </c>
      <c r="AH6543">
        <v>8.6036784862581293</v>
      </c>
      <c r="AI6543">
        <v>95.547101685616994</v>
      </c>
      <c r="AJ6543">
        <v>48.973733415136998</v>
      </c>
      <c r="AK6543">
        <v>11.458189763249001</v>
      </c>
      <c r="AL6543">
        <v>87.3884732476849</v>
      </c>
      <c r="AM6543">
        <v>71.564086269880093</v>
      </c>
      <c r="AN6543">
        <v>1.00000000242913</v>
      </c>
    </row>
    <row r="6544" spans="1:40" x14ac:dyDescent="0.25">
      <c r="A6544" t="str">
        <f>"20190312150820941"</f>
        <v>20190312150820941</v>
      </c>
      <c r="B6544" t="str">
        <f>"1552374500936755"</f>
        <v>1552374500936755</v>
      </c>
      <c r="C6544" t="s">
        <v>40</v>
      </c>
      <c r="D6544">
        <v>4.4237320000000002</v>
      </c>
      <c r="E6544">
        <v>0.65748739999999894</v>
      </c>
      <c r="F6544" t="s">
        <v>77</v>
      </c>
      <c r="G6544">
        <v>-202.34610000000001</v>
      </c>
      <c r="H6544" s="1">
        <v>-1.0402230000000001E-5</v>
      </c>
      <c r="I6544">
        <v>146.25489999999999</v>
      </c>
      <c r="J6544">
        <v>-194.1258</v>
      </c>
      <c r="K6544">
        <v>1.1075410000000001</v>
      </c>
      <c r="L6544">
        <v>151.74260000000001</v>
      </c>
      <c r="M6544">
        <v>-0.25475750000000003</v>
      </c>
      <c r="N6544">
        <v>0</v>
      </c>
      <c r="O6544">
        <v>-0.96693490000000004</v>
      </c>
      <c r="P6544">
        <v>-0.54738980000000004</v>
      </c>
      <c r="Q6544">
        <v>3.6520289999999997E-2</v>
      </c>
      <c r="R6544">
        <v>-0.83608079999999996</v>
      </c>
      <c r="S6544">
        <v>-2.7123110000000001</v>
      </c>
      <c r="T6544">
        <v>-0.36424260000000003</v>
      </c>
      <c r="U6544">
        <v>-1.8345340000000001</v>
      </c>
      <c r="V6544">
        <v>0.31664920000000002</v>
      </c>
      <c r="W6544">
        <v>4.5274340000000003E-2</v>
      </c>
      <c r="X6544">
        <v>0.94746160000000001</v>
      </c>
      <c r="Y6544">
        <v>0.65249060000000003</v>
      </c>
      <c r="Z6544">
        <v>0.1174477</v>
      </c>
      <c r="AA6544">
        <v>0.74864010000000003</v>
      </c>
      <c r="AB6544">
        <v>17</v>
      </c>
      <c r="AC6544">
        <v>-8.2202999999999999</v>
      </c>
      <c r="AD6544">
        <v>-1.1075514022299999</v>
      </c>
      <c r="AE6544">
        <v>-5.48770000000001</v>
      </c>
      <c r="AF6544">
        <v>6.4696665393717501</v>
      </c>
      <c r="AG6544">
        <v>-1.1075514022299999</v>
      </c>
      <c r="AH6544">
        <v>7.3091522212624902</v>
      </c>
      <c r="AI6544">
        <v>96.473386702638805</v>
      </c>
      <c r="AJ6544">
        <v>48.486482101272699</v>
      </c>
      <c r="AK6544">
        <v>9.8237956734062006</v>
      </c>
      <c r="AL6544">
        <v>87.405084342277604</v>
      </c>
      <c r="AM6544">
        <v>71.519962305458904</v>
      </c>
      <c r="AN6544">
        <v>0.99999998259881695</v>
      </c>
    </row>
    <row r="6545" spans="1:40" x14ac:dyDescent="0.25">
      <c r="A6545" t="str">
        <f>"20190312150820953"</f>
        <v>20190312150820953</v>
      </c>
      <c r="B6545" t="str">
        <f>"1552374500946515"</f>
        <v>1552374500946515</v>
      </c>
      <c r="C6545" t="s">
        <v>40</v>
      </c>
      <c r="D6545">
        <v>4.4153010000000004</v>
      </c>
      <c r="E6545">
        <v>0.65806690000000001</v>
      </c>
      <c r="F6545" t="s">
        <v>77</v>
      </c>
      <c r="G6545">
        <v>-202.2106</v>
      </c>
      <c r="H6545" s="1">
        <v>-1.04862E-5</v>
      </c>
      <c r="I6545">
        <v>146.33519999999999</v>
      </c>
      <c r="J6545">
        <v>-194.15129999999999</v>
      </c>
      <c r="K6545">
        <v>1.1075029999999999</v>
      </c>
      <c r="L6545">
        <v>151.65979999999999</v>
      </c>
      <c r="M6545">
        <v>-0.25767849999999998</v>
      </c>
      <c r="N6545">
        <v>0</v>
      </c>
      <c r="O6545">
        <v>-0.96616049999999998</v>
      </c>
      <c r="P6545">
        <v>-0.55037969999999903</v>
      </c>
      <c r="Q6545">
        <v>3.612688E-2</v>
      </c>
      <c r="R6545">
        <v>-0.83413289999999995</v>
      </c>
      <c r="S6545">
        <v>-2.7233580000000002</v>
      </c>
      <c r="T6545">
        <v>-0.3730774</v>
      </c>
      <c r="U6545">
        <v>-1.821472</v>
      </c>
      <c r="V6545">
        <v>0.3171754</v>
      </c>
      <c r="W6545">
        <v>4.4857540000000001E-2</v>
      </c>
      <c r="X6545">
        <v>0.94730539999999996</v>
      </c>
      <c r="Y6545">
        <v>0.6538178</v>
      </c>
      <c r="Z6545">
        <v>0.12026249999999999</v>
      </c>
      <c r="AA6545">
        <v>0.74703369999999902</v>
      </c>
      <c r="AB6545">
        <v>17</v>
      </c>
      <c r="AC6545">
        <v>-8.0593000000000004</v>
      </c>
      <c r="AD6545">
        <v>-1.1075134862</v>
      </c>
      <c r="AE6545">
        <v>-5.3246000000000002</v>
      </c>
      <c r="AF6545">
        <v>6.3317394523796704</v>
      </c>
      <c r="AG6545">
        <v>-1.1075134862</v>
      </c>
      <c r="AH6545">
        <v>7.1279117165064498</v>
      </c>
      <c r="AI6545">
        <v>96.626012224123102</v>
      </c>
      <c r="AJ6545">
        <v>48.385244985100798</v>
      </c>
      <c r="AK6545">
        <v>9.5981579510469608</v>
      </c>
      <c r="AL6545">
        <v>87.428989496838199</v>
      </c>
      <c r="AM6545">
        <v>71.488499461303405</v>
      </c>
      <c r="AN6545">
        <v>0.99999997706458499</v>
      </c>
    </row>
    <row r="6546" spans="1:40" x14ac:dyDescent="0.25">
      <c r="A6546" t="str">
        <f>"20190312150820964"</f>
        <v>20190312150820964</v>
      </c>
      <c r="B6546" t="str">
        <f>"1552374500956275"</f>
        <v>1552374500956275</v>
      </c>
      <c r="C6546" t="s">
        <v>40</v>
      </c>
      <c r="D6546">
        <v>4.4553250000000002</v>
      </c>
      <c r="E6546">
        <v>0.65837429999999997</v>
      </c>
      <c r="F6546" t="s">
        <v>77</v>
      </c>
      <c r="G6546">
        <v>-202.1591</v>
      </c>
      <c r="H6546" s="1">
        <v>-1.0516709999999999E-5</v>
      </c>
      <c r="I6546">
        <v>146.36089999999999</v>
      </c>
      <c r="J6546">
        <v>-194.17830000000001</v>
      </c>
      <c r="K6546">
        <v>1.1074619999999999</v>
      </c>
      <c r="L6546">
        <v>151.57230000000001</v>
      </c>
      <c r="M6546">
        <v>-0.26078449999999997</v>
      </c>
      <c r="N6546">
        <v>0</v>
      </c>
      <c r="O6546">
        <v>-0.96532640000000003</v>
      </c>
      <c r="P6546">
        <v>-0.55384449999999996</v>
      </c>
      <c r="Q6546">
        <v>3.5537619999999999E-2</v>
      </c>
      <c r="R6546">
        <v>-0.83186139999999997</v>
      </c>
      <c r="S6546">
        <v>-2.7338710000000002</v>
      </c>
      <c r="T6546">
        <v>-0.37810500000000002</v>
      </c>
      <c r="U6546">
        <v>-1.8090360000000001</v>
      </c>
      <c r="V6546">
        <v>0.31806259999999997</v>
      </c>
      <c r="W6546">
        <v>4.4240639999999998E-2</v>
      </c>
      <c r="X6546">
        <v>0.94703689999999996</v>
      </c>
      <c r="Y6546">
        <v>0.65492249999999996</v>
      </c>
      <c r="Z6546">
        <v>0.1218597</v>
      </c>
      <c r="AA6546">
        <v>0.74580599999999997</v>
      </c>
      <c r="AB6546">
        <v>17</v>
      </c>
      <c r="AC6546">
        <v>-7.9807999999999799</v>
      </c>
      <c r="AD6546">
        <v>-1.1074725167099999</v>
      </c>
      <c r="AE6546">
        <v>-5.2114000000000198</v>
      </c>
      <c r="AF6546">
        <v>6.26093502259865</v>
      </c>
      <c r="AG6546">
        <v>-1.1074725167099999</v>
      </c>
      <c r="AH6546">
        <v>7.0177171575307602</v>
      </c>
      <c r="AI6546">
        <v>96.716096590083595</v>
      </c>
      <c r="AJ6546">
        <v>48.2618948245808</v>
      </c>
      <c r="AK6546">
        <v>9.4696439656183493</v>
      </c>
      <c r="AL6546">
        <v>87.464370375115806</v>
      </c>
      <c r="AM6546">
        <v>71.435360384242202</v>
      </c>
      <c r="AN6546">
        <v>0.99999997085398895</v>
      </c>
    </row>
    <row r="6547" spans="1:40" x14ac:dyDescent="0.25">
      <c r="A6547" t="str">
        <f>"20190312150820975"</f>
        <v>20190312150820975</v>
      </c>
      <c r="B6547" t="str">
        <f>"1552374500967011"</f>
        <v>1552374500967011</v>
      </c>
      <c r="C6547" t="s">
        <v>40</v>
      </c>
      <c r="D6547">
        <v>4.4150070000000001</v>
      </c>
      <c r="E6547">
        <v>0.65845699999999996</v>
      </c>
      <c r="F6547" t="s">
        <v>77</v>
      </c>
      <c r="G6547">
        <v>-202.14670000000001</v>
      </c>
      <c r="H6547" s="1">
        <v>-1.0520849999999999E-5</v>
      </c>
      <c r="I6547">
        <v>146.3563</v>
      </c>
      <c r="J6547">
        <v>-194.20570000000001</v>
      </c>
      <c r="K6547">
        <v>1.1074250000000001</v>
      </c>
      <c r="L6547">
        <v>151.4854</v>
      </c>
      <c r="M6547">
        <v>-0.26394040000000002</v>
      </c>
      <c r="N6547">
        <v>0</v>
      </c>
      <c r="O6547">
        <v>-0.9644682</v>
      </c>
      <c r="P6547">
        <v>-0.55697019999999997</v>
      </c>
      <c r="Q6547">
        <v>3.5280440000000003E-2</v>
      </c>
      <c r="R6547">
        <v>-0.82978289999999999</v>
      </c>
      <c r="S6547">
        <v>-2.7436829999999999</v>
      </c>
      <c r="T6547">
        <v>-0.38132389999999999</v>
      </c>
      <c r="U6547">
        <v>-1.7959590000000001</v>
      </c>
      <c r="V6547">
        <v>0.31852760000000002</v>
      </c>
      <c r="W6547">
        <v>4.3960539999999999E-2</v>
      </c>
      <c r="X6547">
        <v>0.94689369999999995</v>
      </c>
      <c r="Y6547">
        <v>0.65606830000000005</v>
      </c>
      <c r="Z6547">
        <v>0.1229131</v>
      </c>
      <c r="AA6547">
        <v>0.74462530000000005</v>
      </c>
      <c r="AB6547">
        <v>17</v>
      </c>
      <c r="AC6547">
        <v>-7.9409999999999998</v>
      </c>
      <c r="AD6547">
        <v>-1.10743552085</v>
      </c>
      <c r="AE6547">
        <v>-5.1290999999999896</v>
      </c>
      <c r="AF6547">
        <v>6.2201349481128601</v>
      </c>
      <c r="AG6547">
        <v>-1.10743552085</v>
      </c>
      <c r="AH6547">
        <v>6.9479367624117003</v>
      </c>
      <c r="AI6547">
        <v>96.772396597124796</v>
      </c>
      <c r="AJ6547">
        <v>48.163529881122798</v>
      </c>
      <c r="AK6547">
        <v>9.3909699956951798</v>
      </c>
      <c r="AL6547">
        <v>87.480434676466999</v>
      </c>
      <c r="AM6547">
        <v>71.407465037735406</v>
      </c>
      <c r="AN6547">
        <v>1.00000002006927</v>
      </c>
    </row>
    <row r="6548" spans="1:40" x14ac:dyDescent="0.25">
      <c r="A6548" t="str">
        <f>"20190312150820989"</f>
        <v>20190312150820989</v>
      </c>
      <c r="B6548" t="str">
        <f>"1552374500986532"</f>
        <v>1552374500986532</v>
      </c>
      <c r="C6548" t="s">
        <v>40</v>
      </c>
      <c r="D6548">
        <v>4.4644969999999997</v>
      </c>
      <c r="E6548">
        <v>0.65837069999999998</v>
      </c>
      <c r="F6548" t="s">
        <v>77</v>
      </c>
      <c r="G6548">
        <v>-202.15010000000001</v>
      </c>
      <c r="H6548" s="1">
        <v>-1.051192E-5</v>
      </c>
      <c r="I6548">
        <v>146.33150000000001</v>
      </c>
      <c r="J6548">
        <v>-194.2372</v>
      </c>
      <c r="K6548">
        <v>1.107383</v>
      </c>
      <c r="L6548">
        <v>151.38659999999999</v>
      </c>
      <c r="M6548">
        <v>-0.2675631</v>
      </c>
      <c r="N6548">
        <v>0</v>
      </c>
      <c r="O6548">
        <v>-0.96346940000000003</v>
      </c>
      <c r="P6548">
        <v>-0.56045599999999995</v>
      </c>
      <c r="Q6548">
        <v>3.5358859999999999E-2</v>
      </c>
      <c r="R6548">
        <v>-0.82742919999999998</v>
      </c>
      <c r="S6548">
        <v>-2.7513580000000002</v>
      </c>
      <c r="T6548">
        <v>-0.38353110000000001</v>
      </c>
      <c r="U6548">
        <v>-1.7849429999999999</v>
      </c>
      <c r="V6548">
        <v>0.31895879999999999</v>
      </c>
      <c r="W6548">
        <v>4.4013879999999998E-2</v>
      </c>
      <c r="X6548">
        <v>0.94674610000000003</v>
      </c>
      <c r="Y6548">
        <v>0.65621989999999997</v>
      </c>
      <c r="Z6548">
        <v>0.1236477</v>
      </c>
      <c r="AA6548">
        <v>0.74436999999999998</v>
      </c>
      <c r="AB6548">
        <v>17</v>
      </c>
      <c r="AC6548">
        <v>-7.9128999999999996</v>
      </c>
      <c r="AD6548">
        <v>-1.10739351192</v>
      </c>
      <c r="AE6548">
        <v>-5.0550999999999799</v>
      </c>
      <c r="AF6548">
        <v>6.1856715827020503</v>
      </c>
      <c r="AG6548">
        <v>-1.10739351192</v>
      </c>
      <c r="AH6548">
        <v>6.8922482750681402</v>
      </c>
      <c r="AI6548">
        <v>96.818844493899405</v>
      </c>
      <c r="AJ6548">
        <v>48.092582017135697</v>
      </c>
      <c r="AK6548">
        <v>9.3269469605262607</v>
      </c>
      <c r="AL6548">
        <v>87.477375653947306</v>
      </c>
      <c r="AM6548">
        <v>71.381326823239107</v>
      </c>
      <c r="AN6548">
        <v>1.00000005779765</v>
      </c>
    </row>
    <row r="6549" spans="1:40" x14ac:dyDescent="0.25">
      <c r="A6549" t="str">
        <f>"20190312150821007"</f>
        <v>20190312150821007</v>
      </c>
      <c r="B6549" t="str">
        <f>"1552374500996292"</f>
        <v>1552374500996292</v>
      </c>
      <c r="C6549" t="s">
        <v>40</v>
      </c>
      <c r="D6549">
        <v>4.4806319999999999</v>
      </c>
      <c r="E6549">
        <v>0.6581302</v>
      </c>
      <c r="F6549" t="s">
        <v>77</v>
      </c>
      <c r="G6549">
        <v>-202.08080000000001</v>
      </c>
      <c r="H6549" s="1">
        <v>-1.05465E-5</v>
      </c>
      <c r="I6549">
        <v>146.3443</v>
      </c>
      <c r="J6549">
        <v>-194.27940000000001</v>
      </c>
      <c r="K6549">
        <v>1.107337</v>
      </c>
      <c r="L6549">
        <v>151.256</v>
      </c>
      <c r="M6549">
        <v>-0.27243139999999999</v>
      </c>
      <c r="N6549">
        <v>0</v>
      </c>
      <c r="O6549">
        <v>-0.96210390000000001</v>
      </c>
      <c r="P6549">
        <v>-0.56569389999999997</v>
      </c>
      <c r="Q6549">
        <v>3.5839940000000001E-2</v>
      </c>
      <c r="R6549">
        <v>-0.82383639999999903</v>
      </c>
      <c r="S6549">
        <v>-2.7589260000000002</v>
      </c>
      <c r="T6549">
        <v>-0.38951590000000003</v>
      </c>
      <c r="U6549">
        <v>-1.7735749999999999</v>
      </c>
      <c r="V6549">
        <v>0.32019370000000003</v>
      </c>
      <c r="W6549">
        <v>4.4452150000000003E-2</v>
      </c>
      <c r="X6549">
        <v>0.94630860000000006</v>
      </c>
      <c r="Y6549">
        <v>0.65532089999999998</v>
      </c>
      <c r="Z6549">
        <v>0.125581199999999</v>
      </c>
      <c r="AA6549">
        <v>0.74483809999999995</v>
      </c>
      <c r="AB6549">
        <v>17</v>
      </c>
      <c r="AC6549">
        <v>-7.8014000000000001</v>
      </c>
      <c r="AD6549">
        <v>-1.1073475465</v>
      </c>
      <c r="AE6549">
        <v>-4.91169999999999</v>
      </c>
      <c r="AF6549">
        <v>6.0803497282683399</v>
      </c>
      <c r="AG6549">
        <v>-1.1073475465</v>
      </c>
      <c r="AH6549">
        <v>6.7539338813394201</v>
      </c>
      <c r="AI6549">
        <v>96.947313794398497</v>
      </c>
      <c r="AJ6549">
        <v>48.004308899210301</v>
      </c>
      <c r="AK6549">
        <v>9.1549163994160505</v>
      </c>
      <c r="AL6549">
        <v>87.452239840990302</v>
      </c>
      <c r="AM6549">
        <v>71.306197895524207</v>
      </c>
      <c r="AN6549">
        <v>0.99999998279663604</v>
      </c>
    </row>
    <row r="6550" spans="1:40" x14ac:dyDescent="0.25">
      <c r="A6550" t="str">
        <f>"20190312150821018"</f>
        <v>20190312150821018</v>
      </c>
      <c r="B6550" t="str">
        <f>"1552374501016787"</f>
        <v>1552374501016787</v>
      </c>
      <c r="C6550" t="s">
        <v>40</v>
      </c>
      <c r="D6550">
        <v>4.4722749999999998</v>
      </c>
      <c r="E6550">
        <v>0.65778269999999905</v>
      </c>
      <c r="F6550" t="s">
        <v>77</v>
      </c>
      <c r="G6550">
        <v>-202.17789999999999</v>
      </c>
      <c r="H6550" s="1">
        <v>-1.047398E-5</v>
      </c>
      <c r="I6550">
        <v>146.24520000000001</v>
      </c>
      <c r="J6550">
        <v>-194.3098</v>
      </c>
      <c r="K6550">
        <v>1.1073040000000001</v>
      </c>
      <c r="L6550">
        <v>151.16419999999999</v>
      </c>
      <c r="M6550">
        <v>-0.27592030000000001</v>
      </c>
      <c r="N6550">
        <v>0</v>
      </c>
      <c r="O6550">
        <v>-0.96110899999999999</v>
      </c>
      <c r="P6550">
        <v>-0.56902559999999902</v>
      </c>
      <c r="Q6550">
        <v>3.6195909999999998E-2</v>
      </c>
      <c r="R6550">
        <v>-0.82152309999999995</v>
      </c>
      <c r="S6550">
        <v>-2.7692570000000001</v>
      </c>
      <c r="T6550">
        <v>-0.38824629999999999</v>
      </c>
      <c r="U6550">
        <v>-1.7568360000000001</v>
      </c>
      <c r="V6550">
        <v>0.32060429999999901</v>
      </c>
      <c r="W6550">
        <v>4.4784169999999998E-2</v>
      </c>
      <c r="X6550">
        <v>0.94615389999999999</v>
      </c>
      <c r="Y6550">
        <v>0.65709770000000001</v>
      </c>
      <c r="Z6550">
        <v>0.12527060000000001</v>
      </c>
      <c r="AA6550">
        <v>0.74332349999999903</v>
      </c>
      <c r="AB6550">
        <v>17</v>
      </c>
      <c r="AC6550">
        <v>-7.8680999999999903</v>
      </c>
      <c r="AD6550">
        <v>-1.1073144739799901</v>
      </c>
      <c r="AE6550">
        <v>-4.9189999999999801</v>
      </c>
      <c r="AF6550">
        <v>6.1181516678615004</v>
      </c>
      <c r="AG6550">
        <v>-1.1073144739799901</v>
      </c>
      <c r="AH6550">
        <v>6.8022711756708798</v>
      </c>
      <c r="AI6550">
        <v>96.901073510577405</v>
      </c>
      <c r="AJ6550">
        <v>48.030906330578901</v>
      </c>
      <c r="AK6550">
        <v>9.21568328028936</v>
      </c>
      <c r="AL6550">
        <v>87.433197501008905</v>
      </c>
      <c r="AM6550">
        <v>71.281047214075301</v>
      </c>
      <c r="AN6550">
        <v>0.99999997077314395</v>
      </c>
    </row>
    <row r="6551" spans="1:40" x14ac:dyDescent="0.25">
      <c r="A6551" t="str">
        <f>"20190312150821031"</f>
        <v>20190312150821031</v>
      </c>
      <c r="B6551" t="str">
        <f>"1552374501026548"</f>
        <v>1552374501026548</v>
      </c>
      <c r="C6551" t="s">
        <v>40</v>
      </c>
      <c r="D6551">
        <v>4.4979800000000001</v>
      </c>
      <c r="E6551">
        <v>0.65773040000000005</v>
      </c>
      <c r="F6551" t="s">
        <v>77</v>
      </c>
      <c r="G6551">
        <v>-202.16980000000001</v>
      </c>
      <c r="H6551" s="1">
        <v>-1.0468560000000001E-5</v>
      </c>
      <c r="I6551">
        <v>146.215</v>
      </c>
      <c r="J6551">
        <v>-194.3382</v>
      </c>
      <c r="K6551">
        <v>1.107278</v>
      </c>
      <c r="L6551">
        <v>151.07929999999999</v>
      </c>
      <c r="M6551">
        <v>-0.2791747</v>
      </c>
      <c r="N6551">
        <v>0</v>
      </c>
      <c r="O6551">
        <v>-0.96016849999999998</v>
      </c>
      <c r="P6551">
        <v>-0.57206809999999997</v>
      </c>
      <c r="Q6551">
        <v>3.6629670000000003E-2</v>
      </c>
      <c r="R6551">
        <v>-0.81938820000000001</v>
      </c>
      <c r="S6551">
        <v>-2.7746729999999999</v>
      </c>
      <c r="T6551">
        <v>-0.39089499999999999</v>
      </c>
      <c r="U6551">
        <v>-1.7471159999999999</v>
      </c>
      <c r="V6551">
        <v>0.32092039999999999</v>
      </c>
      <c r="W6551">
        <v>4.5197649999999999E-2</v>
      </c>
      <c r="X6551">
        <v>0.94602710000000001</v>
      </c>
      <c r="Y6551">
        <v>0.656981699999999</v>
      </c>
      <c r="Z6551">
        <v>0.12617039999999999</v>
      </c>
      <c r="AA6551">
        <v>0.74327390000000004</v>
      </c>
      <c r="AB6551">
        <v>17</v>
      </c>
      <c r="AC6551">
        <v>-7.8315999999999999</v>
      </c>
      <c r="AD6551">
        <v>-1.10728846856</v>
      </c>
      <c r="AE6551">
        <v>-4.8642999999999796</v>
      </c>
      <c r="AF6551">
        <v>6.0744648769124998</v>
      </c>
      <c r="AG6551">
        <v>-1.10728846856</v>
      </c>
      <c r="AH6551">
        <v>6.7598914020380603</v>
      </c>
      <c r="AI6551">
        <v>96.946572820726402</v>
      </c>
      <c r="AJ6551">
        <v>48.057011451812599</v>
      </c>
      <c r="AK6551">
        <v>9.1553996669068294</v>
      </c>
      <c r="AL6551">
        <v>87.409482909439802</v>
      </c>
      <c r="AM6551">
        <v>71.261542528814303</v>
      </c>
      <c r="AN6551">
        <v>1.00000000231804</v>
      </c>
    </row>
    <row r="6552" spans="1:40" x14ac:dyDescent="0.25">
      <c r="A6552" t="str">
        <f>"20190312150821042"</f>
        <v>20190312150821042</v>
      </c>
      <c r="B6552" t="str">
        <f>"1552374501036308"</f>
        <v>1552374501036308</v>
      </c>
      <c r="C6552" t="s">
        <v>40</v>
      </c>
      <c r="D6552">
        <v>4.4762190000000004</v>
      </c>
      <c r="E6552">
        <v>0.657725</v>
      </c>
      <c r="F6552" t="s">
        <v>77</v>
      </c>
      <c r="G6552">
        <v>-202.2482</v>
      </c>
      <c r="H6552" s="1">
        <v>-1.0411049999999999E-5</v>
      </c>
      <c r="I6552">
        <v>146.13849999999999</v>
      </c>
      <c r="J6552">
        <v>-194.3681</v>
      </c>
      <c r="K6552">
        <v>1.1072489999999999</v>
      </c>
      <c r="L6552">
        <v>150.9907</v>
      </c>
      <c r="M6552">
        <v>-0.28259899999999999</v>
      </c>
      <c r="N6552">
        <v>0</v>
      </c>
      <c r="O6552">
        <v>-0.95916610000000002</v>
      </c>
      <c r="P6552">
        <v>-0.57532779999999994</v>
      </c>
      <c r="Q6552">
        <v>3.7129820000000001E-2</v>
      </c>
      <c r="R6552">
        <v>-0.81707989999999997</v>
      </c>
      <c r="S6552">
        <v>-2.7810359999999998</v>
      </c>
      <c r="T6552">
        <v>-0.38930480000000001</v>
      </c>
      <c r="U6552">
        <v>-1.7370909999999999</v>
      </c>
      <c r="V6552">
        <v>0.321328</v>
      </c>
      <c r="W6552">
        <v>4.5676380000000003E-2</v>
      </c>
      <c r="X6552">
        <v>0.94586579999999998</v>
      </c>
      <c r="Y6552">
        <v>0.65705199999999997</v>
      </c>
      <c r="Z6552">
        <v>0.1256978</v>
      </c>
      <c r="AA6552">
        <v>0.74329190000000001</v>
      </c>
      <c r="AB6552">
        <v>17</v>
      </c>
      <c r="AC6552">
        <v>-7.8800999999999899</v>
      </c>
      <c r="AD6552">
        <v>-1.10725941105</v>
      </c>
      <c r="AE6552">
        <v>-4.8522000000000096</v>
      </c>
      <c r="AF6552">
        <v>6.1001948281048897</v>
      </c>
      <c r="AG6552">
        <v>-1.10725941105</v>
      </c>
      <c r="AH6552">
        <v>6.7843249559793097</v>
      </c>
      <c r="AI6552">
        <v>96.919722789533793</v>
      </c>
      <c r="AJ6552">
        <v>48.039383312664398</v>
      </c>
      <c r="AK6552">
        <v>9.1905095317136904</v>
      </c>
      <c r="AL6552">
        <v>87.382025502821094</v>
      </c>
      <c r="AM6552">
        <v>71.236431511254594</v>
      </c>
      <c r="AN6552">
        <v>1.0000000634417701</v>
      </c>
    </row>
    <row r="6553" spans="1:40" x14ac:dyDescent="0.25">
      <c r="A6553" t="str">
        <f>"20190312150821054"</f>
        <v>20190312150821054</v>
      </c>
      <c r="B6553" t="str">
        <f>"1552374501047044"</f>
        <v>1552374501047044</v>
      </c>
      <c r="C6553" t="s">
        <v>40</v>
      </c>
      <c r="D6553">
        <v>4.5054650000000001</v>
      </c>
      <c r="E6553">
        <v>0.65761749999999997</v>
      </c>
      <c r="F6553" t="s">
        <v>77</v>
      </c>
      <c r="G6553">
        <v>-202.3272</v>
      </c>
      <c r="H6553" s="1">
        <v>-1.035348E-5</v>
      </c>
      <c r="I6553">
        <v>146.06280000000001</v>
      </c>
      <c r="J6553">
        <v>-194.39769999999999</v>
      </c>
      <c r="K6553">
        <v>1.1072219999999999</v>
      </c>
      <c r="L6553">
        <v>150.90469999999999</v>
      </c>
      <c r="M6553">
        <v>-0.2859795</v>
      </c>
      <c r="N6553">
        <v>0</v>
      </c>
      <c r="O6553">
        <v>-0.9581636</v>
      </c>
      <c r="P6553">
        <v>-0.57867279999999999</v>
      </c>
      <c r="Q6553">
        <v>3.7721909999999997E-2</v>
      </c>
      <c r="R6553">
        <v>-0.81468750000000001</v>
      </c>
      <c r="S6553">
        <v>-2.787979</v>
      </c>
      <c r="T6553">
        <v>-0.38785979999999998</v>
      </c>
      <c r="U6553">
        <v>-1.726181</v>
      </c>
      <c r="V6553">
        <v>0.32188699999999998</v>
      </c>
      <c r="W6553">
        <v>4.624607E-2</v>
      </c>
      <c r="X6553">
        <v>0.94564800000000004</v>
      </c>
      <c r="Y6553">
        <v>0.65738839999999998</v>
      </c>
      <c r="Z6553">
        <v>0.12527349999999901</v>
      </c>
      <c r="AA6553">
        <v>0.743066</v>
      </c>
      <c r="AB6553">
        <v>17</v>
      </c>
      <c r="AC6553">
        <v>-7.9295000000000098</v>
      </c>
      <c r="AD6553">
        <v>-1.1072323534799999</v>
      </c>
      <c r="AE6553">
        <v>-4.8418999999999803</v>
      </c>
      <c r="AF6553">
        <v>6.1264928189557297</v>
      </c>
      <c r="AG6553">
        <v>-1.1072323534799999</v>
      </c>
      <c r="AH6553">
        <v>6.8107552857625198</v>
      </c>
      <c r="AI6553">
        <v>96.8916994532335</v>
      </c>
      <c r="AJ6553">
        <v>48.027603248592797</v>
      </c>
      <c r="AK6553">
        <v>9.22747339784034</v>
      </c>
      <c r="AL6553">
        <v>87.349350078672501</v>
      </c>
      <c r="AM6553">
        <v>71.202054519880505</v>
      </c>
      <c r="AN6553">
        <v>1.0000000398317199</v>
      </c>
    </row>
    <row r="6554" spans="1:40" x14ac:dyDescent="0.25">
      <c r="A6554" t="str">
        <f>"20190312150821068"</f>
        <v>20190312150821068</v>
      </c>
      <c r="B6554" t="str">
        <f>"1552374501056495"</f>
        <v>1552374501056495</v>
      </c>
      <c r="C6554" t="s">
        <v>40</v>
      </c>
      <c r="D6554">
        <v>4.5154059999999996</v>
      </c>
      <c r="E6554">
        <v>0.65756110000000001</v>
      </c>
      <c r="F6554" t="s">
        <v>77</v>
      </c>
      <c r="G6554">
        <v>-202.3672</v>
      </c>
      <c r="H6554" s="1">
        <v>-1.0320670000000001E-5</v>
      </c>
      <c r="I6554">
        <v>146.0121</v>
      </c>
      <c r="J6554">
        <v>-194.43090000000001</v>
      </c>
      <c r="K6554">
        <v>1.1071930000000001</v>
      </c>
      <c r="L6554">
        <v>150.80889999999999</v>
      </c>
      <c r="M6554">
        <v>-0.28977019999999998</v>
      </c>
      <c r="N6554">
        <v>0</v>
      </c>
      <c r="O6554">
        <v>-0.95702399999999999</v>
      </c>
      <c r="P6554">
        <v>-0.5823663</v>
      </c>
      <c r="Q6554">
        <v>3.836378E-2</v>
      </c>
      <c r="R6554">
        <v>-0.81202099999999999</v>
      </c>
      <c r="S6554">
        <v>-2.7943880000000001</v>
      </c>
      <c r="T6554">
        <v>-0.38823469999999999</v>
      </c>
      <c r="U6554">
        <v>-1.7155</v>
      </c>
      <c r="V6554">
        <v>0.32245629999999997</v>
      </c>
      <c r="W6554">
        <v>4.6862429999999997E-2</v>
      </c>
      <c r="X6554">
        <v>0.94542360000000003</v>
      </c>
      <c r="Y6554">
        <v>0.65722990000000003</v>
      </c>
      <c r="Z6554">
        <v>0.12543000000000001</v>
      </c>
      <c r="AA6554">
        <v>0.7431797</v>
      </c>
      <c r="AB6554">
        <v>17</v>
      </c>
      <c r="AC6554">
        <v>-7.9362999999999797</v>
      </c>
      <c r="AD6554">
        <v>-1.10720332067</v>
      </c>
      <c r="AE6554">
        <v>-4.7967999999999904</v>
      </c>
      <c r="AF6554">
        <v>6.1184665136968697</v>
      </c>
      <c r="AG6554">
        <v>-1.10720332067</v>
      </c>
      <c r="AH6554">
        <v>6.7939801170595899</v>
      </c>
      <c r="AI6554">
        <v>96.904836256973098</v>
      </c>
      <c r="AJ6554">
        <v>47.994694061835098</v>
      </c>
      <c r="AK6554">
        <v>9.2097609905758997</v>
      </c>
      <c r="AL6554">
        <v>87.313996728837495</v>
      </c>
      <c r="AM6554">
        <v>71.166994364743104</v>
      </c>
      <c r="AN6554">
        <v>0.99999996809607605</v>
      </c>
    </row>
    <row r="6555" spans="1:40" x14ac:dyDescent="0.25">
      <c r="A6555" t="str">
        <f>"20190312150821081"</f>
        <v>20190312150821081</v>
      </c>
      <c r="B6555" t="str">
        <f>"1552374501076977"</f>
        <v>1552374501076977</v>
      </c>
      <c r="C6555" t="s">
        <v>40</v>
      </c>
      <c r="D6555">
        <v>4.5018180000000001</v>
      </c>
      <c r="E6555">
        <v>0.6573502</v>
      </c>
      <c r="F6555" t="s">
        <v>77</v>
      </c>
      <c r="G6555">
        <v>-202.43819999999999</v>
      </c>
      <c r="H6555" s="1">
        <v>-1.0268439999999999E-5</v>
      </c>
      <c r="I6555">
        <v>145.94239999999999</v>
      </c>
      <c r="J6555">
        <v>-194.46770000000001</v>
      </c>
      <c r="K6555">
        <v>1.1071580000000001</v>
      </c>
      <c r="L6555">
        <v>150.70480000000001</v>
      </c>
      <c r="M6555">
        <v>-0.29395939999999998</v>
      </c>
      <c r="N6555">
        <v>0</v>
      </c>
      <c r="O6555">
        <v>-0.95574519999999996</v>
      </c>
      <c r="P6555">
        <v>-0.58647179999999999</v>
      </c>
      <c r="Q6555">
        <v>3.915101E-2</v>
      </c>
      <c r="R6555">
        <v>-0.80902289999999999</v>
      </c>
      <c r="S6555">
        <v>-2.802216</v>
      </c>
      <c r="T6555">
        <v>-0.38747779999999998</v>
      </c>
      <c r="U6555">
        <v>-1.7030940000000001</v>
      </c>
      <c r="V6555">
        <v>0.32312679999999999</v>
      </c>
      <c r="W6555">
        <v>4.7619269999999998E-2</v>
      </c>
      <c r="X6555">
        <v>0.94515689999999997</v>
      </c>
      <c r="Y6555">
        <v>0.65729700000000002</v>
      </c>
      <c r="Z6555">
        <v>0.12521889999999999</v>
      </c>
      <c r="AA6555">
        <v>0.74315609999999999</v>
      </c>
      <c r="AB6555">
        <v>17</v>
      </c>
      <c r="AC6555">
        <v>-7.9704999999999799</v>
      </c>
      <c r="AD6555">
        <v>-1.1071682684399999</v>
      </c>
      <c r="AE6555">
        <v>-4.7624000000000102</v>
      </c>
      <c r="AF6555">
        <v>6.1310685430494898</v>
      </c>
      <c r="AG6555">
        <v>-1.1071682684399999</v>
      </c>
      <c r="AH6555">
        <v>6.79845539001355</v>
      </c>
      <c r="AI6555">
        <v>96.895834940458499</v>
      </c>
      <c r="AJ6555">
        <v>47.9548298835577</v>
      </c>
      <c r="AK6555">
        <v>9.2214325754849895</v>
      </c>
      <c r="AL6555">
        <v>87.270584729318301</v>
      </c>
      <c r="AM6555">
        <v>71.125654544138101</v>
      </c>
      <c r="AN6555">
        <v>1.0000000446855899</v>
      </c>
    </row>
    <row r="6556" spans="1:40" x14ac:dyDescent="0.25">
      <c r="A6556" t="str">
        <f>"20190312150821097"</f>
        <v>20190312150821097</v>
      </c>
      <c r="B6556" t="str">
        <f>"1552374501086739"</f>
        <v>1552374501086739</v>
      </c>
      <c r="C6556" t="s">
        <v>40</v>
      </c>
      <c r="D6556">
        <v>4.451803</v>
      </c>
      <c r="E6556">
        <v>0.65715029999999997</v>
      </c>
      <c r="F6556" t="s">
        <v>77</v>
      </c>
      <c r="G6556">
        <v>-202.5369</v>
      </c>
      <c r="H6556" s="1">
        <v>-1.01974E-5</v>
      </c>
      <c r="I6556">
        <v>145.85069999999999</v>
      </c>
      <c r="J6556">
        <v>-194.5085</v>
      </c>
      <c r="K6556">
        <v>1.1071200000000001</v>
      </c>
      <c r="L6556">
        <v>150.59139999999999</v>
      </c>
      <c r="M6556">
        <v>-0.29859550000000001</v>
      </c>
      <c r="N6556">
        <v>0</v>
      </c>
      <c r="O6556">
        <v>-0.95430669999999995</v>
      </c>
      <c r="P6556">
        <v>-0.59173659999999995</v>
      </c>
      <c r="Q6556">
        <v>4.0635839999999999E-2</v>
      </c>
      <c r="R6556">
        <v>-0.80510660000000001</v>
      </c>
      <c r="S6556">
        <v>-2.8095699999999999</v>
      </c>
      <c r="T6556">
        <v>-0.38550079999999998</v>
      </c>
      <c r="U6556">
        <v>-1.6901250000000001</v>
      </c>
      <c r="V6556">
        <v>0.32474449999999999</v>
      </c>
      <c r="W6556">
        <v>4.9058589999999999E-2</v>
      </c>
      <c r="X6556">
        <v>0.94452860000000005</v>
      </c>
      <c r="Y6556">
        <v>0.65710329999999995</v>
      </c>
      <c r="Z6556">
        <v>0.1246357</v>
      </c>
      <c r="AA6556">
        <v>0.74342529999999996</v>
      </c>
      <c r="AB6556">
        <v>17</v>
      </c>
      <c r="AC6556">
        <v>-8.0283999999999995</v>
      </c>
      <c r="AD6556">
        <v>-1.1071301973999901</v>
      </c>
      <c r="AE6556">
        <v>-4.7407000000000004</v>
      </c>
      <c r="AF6556">
        <v>6.1595873131888697</v>
      </c>
      <c r="AG6556">
        <v>-1.1071301973999901</v>
      </c>
      <c r="AH6556">
        <v>6.8255655273320501</v>
      </c>
      <c r="AI6556">
        <v>96.866456738994103</v>
      </c>
      <c r="AJ6556">
        <v>47.935994444313302</v>
      </c>
      <c r="AK6556">
        <v>9.2603778492400597</v>
      </c>
      <c r="AL6556">
        <v>87.188021137752798</v>
      </c>
      <c r="AM6556">
        <v>71.026185682575999</v>
      </c>
      <c r="AN6556">
        <v>1.0000000058754901</v>
      </c>
    </row>
    <row r="6557" spans="1:40" x14ac:dyDescent="0.25">
      <c r="A6557" t="str">
        <f>"20190312150821111"</f>
        <v>20190312150821111</v>
      </c>
      <c r="B6557" t="str">
        <f>"1552374501106258"</f>
        <v>1552374501106258</v>
      </c>
      <c r="C6557" t="s">
        <v>40</v>
      </c>
      <c r="D6557">
        <v>4.513439</v>
      </c>
      <c r="E6557">
        <v>0.65699370000000001</v>
      </c>
      <c r="F6557" t="s">
        <v>77</v>
      </c>
      <c r="G6557">
        <v>-202.72200000000001</v>
      </c>
      <c r="H6557" s="1">
        <v>-1.007622E-5</v>
      </c>
      <c r="I6557">
        <v>145.71940000000001</v>
      </c>
      <c r="J6557">
        <v>-194.5462</v>
      </c>
      <c r="K6557">
        <v>1.1070789999999999</v>
      </c>
      <c r="L6557">
        <v>150.488</v>
      </c>
      <c r="M6557">
        <v>-0.30287819999999999</v>
      </c>
      <c r="N6557">
        <v>0</v>
      </c>
      <c r="O6557">
        <v>-0.95295609999999997</v>
      </c>
      <c r="P6557">
        <v>-0.59577100000000005</v>
      </c>
      <c r="Q6557">
        <v>4.141061E-2</v>
      </c>
      <c r="R6557">
        <v>-0.80208639999999998</v>
      </c>
      <c r="S6557">
        <v>-2.8200379999999998</v>
      </c>
      <c r="T6557">
        <v>-0.38012119999999999</v>
      </c>
      <c r="U6557">
        <v>-1.6727449999999999</v>
      </c>
      <c r="V6557">
        <v>0.32526890000000003</v>
      </c>
      <c r="W6557">
        <v>4.9802979999999997E-2</v>
      </c>
      <c r="X6557">
        <v>0.94430919999999896</v>
      </c>
      <c r="Y6557">
        <v>0.65851959999999998</v>
      </c>
      <c r="Z6557">
        <v>0.1229832</v>
      </c>
      <c r="AA6557">
        <v>0.74244670000000001</v>
      </c>
      <c r="AB6557">
        <v>17</v>
      </c>
      <c r="AC6557">
        <v>-8.1758000000000095</v>
      </c>
      <c r="AD6557">
        <v>-1.1070890762200001</v>
      </c>
      <c r="AE6557">
        <v>-4.7685999999999904</v>
      </c>
      <c r="AF6557">
        <v>6.2616465122098903</v>
      </c>
      <c r="AG6557">
        <v>-1.1070890762200001</v>
      </c>
      <c r="AH6557">
        <v>6.9262649688102398</v>
      </c>
      <c r="AI6557">
        <v>96.761926942645204</v>
      </c>
      <c r="AJ6557">
        <v>47.885039360308497</v>
      </c>
      <c r="AK6557">
        <v>9.4025001826495007</v>
      </c>
      <c r="AL6557">
        <v>87.1453185979274</v>
      </c>
      <c r="AM6557">
        <v>70.993644684692299</v>
      </c>
      <c r="AN6557">
        <v>1.0000000296643601</v>
      </c>
    </row>
    <row r="6558" spans="1:40" x14ac:dyDescent="0.25">
      <c r="A6558" t="str">
        <f>"20190312150821124"</f>
        <v>20190312150821124</v>
      </c>
      <c r="B6558" t="str">
        <f>"1552374501116994"</f>
        <v>1552374501116994</v>
      </c>
      <c r="C6558" t="s">
        <v>40</v>
      </c>
      <c r="D6558">
        <v>4.5026460000000004</v>
      </c>
      <c r="E6558">
        <v>0.65696509999999997</v>
      </c>
      <c r="F6558" t="s">
        <v>77</v>
      </c>
      <c r="G6558">
        <v>-202.8536</v>
      </c>
      <c r="H6558" s="1">
        <v>-9.9864029999999997E-6</v>
      </c>
      <c r="I6558">
        <v>145.61359999999999</v>
      </c>
      <c r="J6558">
        <v>-194.58279999999999</v>
      </c>
      <c r="K6558">
        <v>1.1070390000000001</v>
      </c>
      <c r="L6558">
        <v>150.38900000000001</v>
      </c>
      <c r="M6558">
        <v>-0.30702469999999998</v>
      </c>
      <c r="N6558">
        <v>0</v>
      </c>
      <c r="O6558">
        <v>-0.95162800000000003</v>
      </c>
      <c r="P6558">
        <v>-0.59985449999999996</v>
      </c>
      <c r="Q6558">
        <v>4.1933320000000003E-2</v>
      </c>
      <c r="R6558">
        <v>-0.79900990000000005</v>
      </c>
      <c r="S6558">
        <v>-2.8278810000000001</v>
      </c>
      <c r="T6558">
        <v>-0.37685800000000003</v>
      </c>
      <c r="U6558">
        <v>-1.6592560000000001</v>
      </c>
      <c r="V6558">
        <v>0.32599280000000003</v>
      </c>
      <c r="W6558">
        <v>5.0292549999999998E-2</v>
      </c>
      <c r="X6558">
        <v>0.94403360000000003</v>
      </c>
      <c r="Y6558">
        <v>0.65890439999999995</v>
      </c>
      <c r="Z6558">
        <v>0.1219818</v>
      </c>
      <c r="AA6558">
        <v>0.74227049999999895</v>
      </c>
      <c r="AB6558">
        <v>17</v>
      </c>
      <c r="AC6558">
        <v>-8.2707999999999995</v>
      </c>
      <c r="AD6558">
        <v>-1.107048986403</v>
      </c>
      <c r="AE6558">
        <v>-4.7754000000000101</v>
      </c>
      <c r="AF6558">
        <v>6.3200871194164403</v>
      </c>
      <c r="AG6558">
        <v>-1.107048986403</v>
      </c>
      <c r="AH6558">
        <v>6.9903142369579703</v>
      </c>
      <c r="AI6558">
        <v>96.700041928055199</v>
      </c>
      <c r="AJ6558">
        <v>47.882616245001401</v>
      </c>
      <c r="AK6558">
        <v>9.4886011501552101</v>
      </c>
      <c r="AL6558">
        <v>87.117233143509694</v>
      </c>
      <c r="AM6558">
        <v>70.949230644257895</v>
      </c>
      <c r="AN6558">
        <v>1.0000000420831501</v>
      </c>
    </row>
    <row r="6559" spans="1:40" x14ac:dyDescent="0.25">
      <c r="A6559" t="str">
        <f>"20190312150821141"</f>
        <v>20190312150821141</v>
      </c>
      <c r="B6559" t="str">
        <f>"1552374501136513"</f>
        <v>1552374501136513</v>
      </c>
      <c r="C6559" t="s">
        <v>40</v>
      </c>
      <c r="D6559">
        <v>4.5218610000000004</v>
      </c>
      <c r="E6559">
        <v>0.65673709999999996</v>
      </c>
      <c r="F6559" t="s">
        <v>77</v>
      </c>
      <c r="G6559">
        <v>-202.96279999999999</v>
      </c>
      <c r="H6559" s="1">
        <v>-9.9164450000000002E-6</v>
      </c>
      <c r="I6559">
        <v>145.53039999999999</v>
      </c>
      <c r="J6559">
        <v>-194.6284</v>
      </c>
      <c r="K6559">
        <v>1.1069869999999999</v>
      </c>
      <c r="L6559">
        <v>150.26820000000001</v>
      </c>
      <c r="M6559">
        <v>-0.31217739999999999</v>
      </c>
      <c r="N6559">
        <v>0</v>
      </c>
      <c r="O6559">
        <v>-0.94995019999999997</v>
      </c>
      <c r="P6559">
        <v>-0.605236199999999</v>
      </c>
      <c r="Q6559">
        <v>4.3282750000000002E-2</v>
      </c>
      <c r="R6559">
        <v>-0.79486859999999904</v>
      </c>
      <c r="S6559">
        <v>-2.8366699999999998</v>
      </c>
      <c r="T6559">
        <v>-0.37474289999999999</v>
      </c>
      <c r="U6559">
        <v>-1.6446689999999999</v>
      </c>
      <c r="V6559">
        <v>0.32729330000000001</v>
      </c>
      <c r="W6559">
        <v>5.1594050000000002E-2</v>
      </c>
      <c r="X6559">
        <v>0.94351320000000005</v>
      </c>
      <c r="Y6559">
        <v>0.65877810000000003</v>
      </c>
      <c r="Z6559">
        <v>0.12132469999999999</v>
      </c>
      <c r="AA6559">
        <v>0.74249019999999899</v>
      </c>
      <c r="AB6559">
        <v>17</v>
      </c>
      <c r="AC6559">
        <v>-8.3343999999999792</v>
      </c>
      <c r="AD6559">
        <v>-1.106996916445</v>
      </c>
      <c r="AE6559">
        <v>-4.7378000000000204</v>
      </c>
      <c r="AF6559">
        <v>6.3539624717758203</v>
      </c>
      <c r="AG6559">
        <v>-1.106996916445</v>
      </c>
      <c r="AH6559">
        <v>7.0095227298960401</v>
      </c>
      <c r="AI6559">
        <v>96.673782266531106</v>
      </c>
      <c r="AJ6559">
        <v>47.808455191680501</v>
      </c>
      <c r="AK6559">
        <v>9.5253183761322902</v>
      </c>
      <c r="AL6559">
        <v>87.042565620632601</v>
      </c>
      <c r="AM6559">
        <v>70.868959300745502</v>
      </c>
      <c r="AN6559">
        <v>1.0000000043972599</v>
      </c>
    </row>
    <row r="6560" spans="1:40" x14ac:dyDescent="0.25">
      <c r="A6560" t="str">
        <f>"20190312150821153"</f>
        <v>20190312150821153</v>
      </c>
      <c r="B6560" t="str">
        <f>"1552374501146274"</f>
        <v>1552374501146274</v>
      </c>
      <c r="C6560" t="s">
        <v>40</v>
      </c>
      <c r="D6560">
        <v>4.5482440000000004</v>
      </c>
      <c r="E6560">
        <v>0.65660909999999995</v>
      </c>
      <c r="F6560" t="s">
        <v>77</v>
      </c>
      <c r="G6560">
        <v>-203.12379999999999</v>
      </c>
      <c r="H6560" s="1">
        <v>-9.8251759999999997E-6</v>
      </c>
      <c r="I6560">
        <v>145.41419999999999</v>
      </c>
      <c r="J6560">
        <v>-194.65950000000001</v>
      </c>
      <c r="K6560">
        <v>1.1069530000000001</v>
      </c>
      <c r="L6560">
        <v>150.18719999999999</v>
      </c>
      <c r="M6560">
        <v>-0.3156794</v>
      </c>
      <c r="N6560">
        <v>0</v>
      </c>
      <c r="O6560">
        <v>-0.94879170000000002</v>
      </c>
      <c r="P6560">
        <v>-0.60879090000000002</v>
      </c>
      <c r="Q6560">
        <v>4.4178139999999998E-2</v>
      </c>
      <c r="R6560">
        <v>-0.79209980000000002</v>
      </c>
      <c r="S6560">
        <v>-2.8469699999999998</v>
      </c>
      <c r="T6560">
        <v>-0.37097609999999998</v>
      </c>
      <c r="U6560">
        <v>-1.626663</v>
      </c>
      <c r="V6560">
        <v>0.32806829999999998</v>
      </c>
      <c r="W6560">
        <v>5.2459770000000003E-2</v>
      </c>
      <c r="X6560">
        <v>0.94319629999999999</v>
      </c>
      <c r="Y6560">
        <v>0.66083719999999901</v>
      </c>
      <c r="Z6560">
        <v>0.12019630000000001</v>
      </c>
      <c r="AA6560">
        <v>0.74084220000000001</v>
      </c>
      <c r="AB6560">
        <v>17</v>
      </c>
      <c r="AC6560">
        <v>-8.4642999999999802</v>
      </c>
      <c r="AD6560">
        <v>-1.106962825176</v>
      </c>
      <c r="AE6560">
        <v>-4.7729999999999899</v>
      </c>
      <c r="AF6560">
        <v>6.4409943401752301</v>
      </c>
      <c r="AG6560">
        <v>-1.106962825176</v>
      </c>
      <c r="AH6560">
        <v>7.1088434072136497</v>
      </c>
      <c r="AI6560">
        <v>96.582532777509996</v>
      </c>
      <c r="AJ6560">
        <v>47.821730599635302</v>
      </c>
      <c r="AK6560">
        <v>9.6564708550679104</v>
      </c>
      <c r="AL6560">
        <v>86.992896382127697</v>
      </c>
      <c r="AM6560">
        <v>70.820990796139299</v>
      </c>
      <c r="AN6560">
        <v>1.0000000486335101</v>
      </c>
    </row>
    <row r="6561" spans="1:40" x14ac:dyDescent="0.25">
      <c r="A6561" t="str">
        <f>"20190312150821163"</f>
        <v>20190312150821163</v>
      </c>
      <c r="B6561" t="str">
        <f>"1552374501157009"</f>
        <v>1552374501157009</v>
      </c>
      <c r="C6561" t="s">
        <v>40</v>
      </c>
      <c r="D6561">
        <v>4.550243</v>
      </c>
      <c r="E6561">
        <v>0.65647129999999998</v>
      </c>
      <c r="F6561" t="s">
        <v>77</v>
      </c>
      <c r="G6561">
        <v>-203.2304</v>
      </c>
      <c r="H6561" s="1">
        <v>-9.7649259999999998E-6</v>
      </c>
      <c r="I6561">
        <v>145.3381</v>
      </c>
      <c r="J6561">
        <v>-194.69399999999999</v>
      </c>
      <c r="K6561">
        <v>1.106914</v>
      </c>
      <c r="L6561">
        <v>150.09809999999999</v>
      </c>
      <c r="M6561">
        <v>-0.31954700000000003</v>
      </c>
      <c r="N6561">
        <v>0</v>
      </c>
      <c r="O6561">
        <v>-0.94749589999999995</v>
      </c>
      <c r="P6561">
        <v>-0.61265719999999901</v>
      </c>
      <c r="Q6561">
        <v>4.4436490000000002E-2</v>
      </c>
      <c r="R6561">
        <v>-0.78909849999999904</v>
      </c>
      <c r="S6561">
        <v>-2.85379</v>
      </c>
      <c r="T6561">
        <v>-0.36857679999999998</v>
      </c>
      <c r="U6561">
        <v>-1.614563</v>
      </c>
      <c r="V6561">
        <v>0.32884570000000002</v>
      </c>
      <c r="W6561">
        <v>5.2687379999999999E-2</v>
      </c>
      <c r="X6561">
        <v>0.9429128</v>
      </c>
      <c r="Y6561">
        <v>0.66101149999999997</v>
      </c>
      <c r="Z6561">
        <v>0.1194542</v>
      </c>
      <c r="AA6561">
        <v>0.74080669999999904</v>
      </c>
      <c r="AB6561">
        <v>17</v>
      </c>
      <c r="AC6561">
        <v>-8.5363999999999791</v>
      </c>
      <c r="AD6561">
        <v>-1.106923764926</v>
      </c>
      <c r="AE6561">
        <v>-4.75999999999999</v>
      </c>
      <c r="AF6561">
        <v>6.4844516814331996</v>
      </c>
      <c r="AG6561">
        <v>-1.106923764926</v>
      </c>
      <c r="AH6561">
        <v>7.1467059023120099</v>
      </c>
      <c r="AI6561">
        <v>96.543598938896494</v>
      </c>
      <c r="AJ6561">
        <v>47.781462929845702</v>
      </c>
      <c r="AK6561">
        <v>9.7133309983929408</v>
      </c>
      <c r="AL6561">
        <v>86.979837087500201</v>
      </c>
      <c r="AM6561">
        <v>70.7735190487019</v>
      </c>
      <c r="AN6561">
        <v>1.00000000141179</v>
      </c>
    </row>
    <row r="6562" spans="1:40" x14ac:dyDescent="0.25">
      <c r="A6562" t="str">
        <f>"20190312150821175"</f>
        <v>20190312150821175</v>
      </c>
      <c r="B6562" t="str">
        <f>"1552374501166770"</f>
        <v>1552374501166770</v>
      </c>
      <c r="C6562" t="s">
        <v>40</v>
      </c>
      <c r="D6562">
        <v>4.5165389999999999</v>
      </c>
      <c r="E6562">
        <v>0.65628580000000003</v>
      </c>
      <c r="F6562" t="s">
        <v>77</v>
      </c>
      <c r="G6562">
        <v>-203.29939999999999</v>
      </c>
      <c r="H6562" s="1">
        <v>-9.7240739999999995E-6</v>
      </c>
      <c r="I6562">
        <v>145.2816</v>
      </c>
      <c r="J6562">
        <v>-194.7253</v>
      </c>
      <c r="K6562">
        <v>1.1068800000000001</v>
      </c>
      <c r="L6562">
        <v>150.0189</v>
      </c>
      <c r="M6562">
        <v>-0.32304829999999901</v>
      </c>
      <c r="N6562">
        <v>0</v>
      </c>
      <c r="O6562">
        <v>-0.94630800000000004</v>
      </c>
      <c r="P6562">
        <v>-0.61605410000000005</v>
      </c>
      <c r="Q6562">
        <v>4.4895240000000003E-2</v>
      </c>
      <c r="R6562">
        <v>-0.78642380000000001</v>
      </c>
      <c r="S6562">
        <v>-2.8609469999999999</v>
      </c>
      <c r="T6562">
        <v>-0.36800719999999998</v>
      </c>
      <c r="U6562">
        <v>-1.6012729999999999</v>
      </c>
      <c r="V6562">
        <v>0.32944230000000002</v>
      </c>
      <c r="W6562">
        <v>5.3121170000000002E-2</v>
      </c>
      <c r="X6562">
        <v>0.94268019999999997</v>
      </c>
      <c r="Y6562">
        <v>0.66167790000000004</v>
      </c>
      <c r="Z6562">
        <v>0.1193171</v>
      </c>
      <c r="AA6562">
        <v>0.74023369999999999</v>
      </c>
      <c r="AB6562">
        <v>17</v>
      </c>
      <c r="AC6562">
        <v>-8.5740999999999801</v>
      </c>
      <c r="AD6562">
        <v>-1.1068897240740001</v>
      </c>
      <c r="AE6562">
        <v>-4.7373000000000003</v>
      </c>
      <c r="AF6562">
        <v>6.5008226892134902</v>
      </c>
      <c r="AG6562">
        <v>-1.1068897240740001</v>
      </c>
      <c r="AH6562">
        <v>7.1618601961335902</v>
      </c>
      <c r="AI6562">
        <v>96.528494660065206</v>
      </c>
      <c r="AJ6562">
        <v>47.769964551330197</v>
      </c>
      <c r="AK6562">
        <v>9.7354066153816206</v>
      </c>
      <c r="AL6562">
        <v>86.9549479636608</v>
      </c>
      <c r="AM6562">
        <v>70.736802485089498</v>
      </c>
      <c r="AN6562">
        <v>1.0000000236017399</v>
      </c>
    </row>
    <row r="6563" spans="1:40" x14ac:dyDescent="0.25">
      <c r="A6563" t="str">
        <f>"20190312150821187"</f>
        <v>20190312150821187</v>
      </c>
      <c r="B6563" t="str">
        <f>"1552374501176530"</f>
        <v>1552374501176530</v>
      </c>
      <c r="C6563" t="s">
        <v>40</v>
      </c>
      <c r="D6563">
        <v>4.5470660000000001</v>
      </c>
      <c r="E6563">
        <v>0.65611940000000002</v>
      </c>
      <c r="F6563" t="s">
        <v>77</v>
      </c>
      <c r="G6563">
        <v>-203.36349999999999</v>
      </c>
      <c r="H6563" s="1">
        <v>-9.6858859999999999E-6</v>
      </c>
      <c r="I6563">
        <v>145.22839999999999</v>
      </c>
      <c r="J6563">
        <v>-194.75909999999999</v>
      </c>
      <c r="K6563">
        <v>1.1068439999999999</v>
      </c>
      <c r="L6563">
        <v>149.93369999999999</v>
      </c>
      <c r="M6563">
        <v>-0.3268337</v>
      </c>
      <c r="N6563">
        <v>0</v>
      </c>
      <c r="O6563">
        <v>-0.94500700000000004</v>
      </c>
      <c r="P6563">
        <v>-0.619679599999999</v>
      </c>
      <c r="Q6563">
        <v>4.4940670000000002E-2</v>
      </c>
      <c r="R6563">
        <v>-0.78356740000000002</v>
      </c>
      <c r="S6563">
        <v>-2.8668819999999999</v>
      </c>
      <c r="T6563">
        <v>-0.36735849999999998</v>
      </c>
      <c r="U6563">
        <v>-1.5899049999999999</v>
      </c>
      <c r="V6563">
        <v>0.33002900000000002</v>
      </c>
      <c r="W6563">
        <v>5.3139749999999999E-2</v>
      </c>
      <c r="X6563">
        <v>0.94247389999999998</v>
      </c>
      <c r="Y6563">
        <v>0.66160769999999902</v>
      </c>
      <c r="Z6563">
        <v>0.11913609999999999</v>
      </c>
      <c r="AA6563">
        <v>0.74032549999999997</v>
      </c>
      <c r="AB6563">
        <v>17</v>
      </c>
      <c r="AC6563">
        <v>-8.6043999999999894</v>
      </c>
      <c r="AD6563">
        <v>-1.1068536858859901</v>
      </c>
      <c r="AE6563">
        <v>-4.7052999999999896</v>
      </c>
      <c r="AF6563">
        <v>6.5108955997262798</v>
      </c>
      <c r="AG6563">
        <v>-1.1068536858859901</v>
      </c>
      <c r="AH6563">
        <v>7.1679544885493396</v>
      </c>
      <c r="AI6563">
        <v>96.520742784734196</v>
      </c>
      <c r="AJ6563">
        <v>47.750069381758301</v>
      </c>
      <c r="AK6563">
        <v>9.7466126496547094</v>
      </c>
      <c r="AL6563">
        <v>86.953881870131099</v>
      </c>
      <c r="AM6563">
        <v>70.701119104223395</v>
      </c>
      <c r="AN6563">
        <v>1.00000001302613</v>
      </c>
    </row>
    <row r="6564" spans="1:40" x14ac:dyDescent="0.25">
      <c r="A6564" t="str">
        <f>"20190312150821198"</f>
        <v>20190312150821198</v>
      </c>
      <c r="B6564" t="str">
        <f>"1552374501186290"</f>
        <v>1552374501186290</v>
      </c>
      <c r="C6564" t="s">
        <v>40</v>
      </c>
      <c r="D6564">
        <v>4.5429029999999999</v>
      </c>
      <c r="E6564">
        <v>0.65595409999999998</v>
      </c>
      <c r="F6564" t="s">
        <v>77</v>
      </c>
      <c r="G6564">
        <v>-203.41630000000001</v>
      </c>
      <c r="H6564" s="1">
        <v>-9.65367E-6</v>
      </c>
      <c r="I6564">
        <v>145.18170000000001</v>
      </c>
      <c r="J6564">
        <v>-194.79390000000001</v>
      </c>
      <c r="K6564">
        <v>1.1068020000000001</v>
      </c>
      <c r="L6564">
        <v>149.8476</v>
      </c>
      <c r="M6564">
        <v>-0.33071230000000001</v>
      </c>
      <c r="N6564">
        <v>0</v>
      </c>
      <c r="O6564">
        <v>-0.94365670000000001</v>
      </c>
      <c r="P6564">
        <v>-0.62332739999999998</v>
      </c>
      <c r="Q6564">
        <v>4.4728209999999997E-2</v>
      </c>
      <c r="R6564">
        <v>-0.78068099999999996</v>
      </c>
      <c r="S6564">
        <v>-2.873459</v>
      </c>
      <c r="T6564">
        <v>-0.36738120000000002</v>
      </c>
      <c r="U6564">
        <v>-1.5772550000000001</v>
      </c>
      <c r="V6564">
        <v>0.33055299999999999</v>
      </c>
      <c r="W6564">
        <v>5.2900709999999997E-2</v>
      </c>
      <c r="X6564">
        <v>0.94230369999999997</v>
      </c>
      <c r="Y6564">
        <v>0.66176040000000003</v>
      </c>
      <c r="Z6564">
        <v>0.1191755</v>
      </c>
      <c r="AA6564">
        <v>0.74018260000000002</v>
      </c>
      <c r="AB6564">
        <v>17</v>
      </c>
      <c r="AC6564">
        <v>-8.6223999999999901</v>
      </c>
      <c r="AD6564">
        <v>-1.1068116536699999</v>
      </c>
      <c r="AE6564">
        <v>-4.6658999999999899</v>
      </c>
      <c r="AF6564">
        <v>6.5109966637074601</v>
      </c>
      <c r="AG6564">
        <v>-1.1068116536699999</v>
      </c>
      <c r="AH6564">
        <v>7.16375038864361</v>
      </c>
      <c r="AI6564">
        <v>96.522529685453506</v>
      </c>
      <c r="AJ6564">
        <v>47.732896343807802</v>
      </c>
      <c r="AK6564">
        <v>9.7435840029375704</v>
      </c>
      <c r="AL6564">
        <v>86.967597156500901</v>
      </c>
      <c r="AM6564">
        <v>70.6695160216982</v>
      </c>
      <c r="AN6564">
        <v>1.00000001698059</v>
      </c>
    </row>
    <row r="6565" spans="1:40" x14ac:dyDescent="0.25">
      <c r="A6565" t="str">
        <f>"20190312150821209"</f>
        <v>20190312150821209</v>
      </c>
      <c r="B6565" t="str">
        <f>"1552374501206786"</f>
        <v>1552374501206786</v>
      </c>
      <c r="C6565" t="s">
        <v>40</v>
      </c>
      <c r="D6565">
        <v>4.5655330000000003</v>
      </c>
      <c r="E6565">
        <v>0.65559009999999995</v>
      </c>
      <c r="F6565" t="s">
        <v>77</v>
      </c>
      <c r="G6565">
        <v>-203.44399999999999</v>
      </c>
      <c r="H6565" s="1">
        <v>-9.6344299999999992E-6</v>
      </c>
      <c r="I6565">
        <v>145.1482</v>
      </c>
      <c r="J6565">
        <v>-194.82550000000001</v>
      </c>
      <c r="K6565">
        <v>1.1067670000000001</v>
      </c>
      <c r="L6565">
        <v>149.77010000000001</v>
      </c>
      <c r="M6565">
        <v>-0.33423619999999998</v>
      </c>
      <c r="N6565">
        <v>0</v>
      </c>
      <c r="O6565">
        <v>-0.94241410000000003</v>
      </c>
      <c r="P6565">
        <v>-0.62650329999999999</v>
      </c>
      <c r="Q6565">
        <v>4.462025E-2</v>
      </c>
      <c r="R6565">
        <v>-0.77814090000000002</v>
      </c>
      <c r="S6565">
        <v>-2.8798370000000002</v>
      </c>
      <c r="T6565">
        <v>-0.36848510000000001</v>
      </c>
      <c r="U6565">
        <v>-1.5645450000000001</v>
      </c>
      <c r="V6565">
        <v>0.33087280000000002</v>
      </c>
      <c r="W6565">
        <v>5.277167E-2</v>
      </c>
      <c r="X6565">
        <v>0.94219869999999994</v>
      </c>
      <c r="Y6565">
        <v>0.66214219999999901</v>
      </c>
      <c r="Z6565">
        <v>0.11957089999999899</v>
      </c>
      <c r="AA6565">
        <v>0.73977740000000003</v>
      </c>
      <c r="AB6565">
        <v>17</v>
      </c>
      <c r="AC6565">
        <v>-8.6185000000000098</v>
      </c>
      <c r="AD6565">
        <v>-1.1067766344299901</v>
      </c>
      <c r="AE6565">
        <v>-4.6219000000000099</v>
      </c>
      <c r="AF6565">
        <v>6.4946729446030602</v>
      </c>
      <c r="AG6565">
        <v>-1.1067766344299901</v>
      </c>
      <c r="AH6565">
        <v>7.1453546004705997</v>
      </c>
      <c r="AI6565">
        <v>96.538792893693298</v>
      </c>
      <c r="AJ6565">
        <v>47.731158078644903</v>
      </c>
      <c r="AK6565">
        <v>9.7191472641557208</v>
      </c>
      <c r="AL6565">
        <v>86.975000968527496</v>
      </c>
      <c r="AM6565">
        <v>70.650207483480699</v>
      </c>
      <c r="AN6565">
        <v>1.00000002460805</v>
      </c>
    </row>
    <row r="6566" spans="1:40" x14ac:dyDescent="0.25">
      <c r="A6566" t="str">
        <f>"20190312150821221"</f>
        <v>20190312150821221</v>
      </c>
      <c r="B6566" t="str">
        <f>"1552374501216545"</f>
        <v>1552374501216545</v>
      </c>
      <c r="C6566" t="s">
        <v>40</v>
      </c>
      <c r="D6566">
        <v>4.5743980000000004</v>
      </c>
      <c r="E6566">
        <v>0.65568570000000004</v>
      </c>
      <c r="F6566" t="s">
        <v>77</v>
      </c>
      <c r="G6566">
        <v>-203.4444</v>
      </c>
      <c r="H6566" s="1">
        <v>-9.6281800000000007E-6</v>
      </c>
      <c r="I6566">
        <v>145.12520000000001</v>
      </c>
      <c r="J6566">
        <v>-194.86199999999999</v>
      </c>
      <c r="K6566">
        <v>1.10673</v>
      </c>
      <c r="L6566">
        <v>149.68190000000001</v>
      </c>
      <c r="M6566">
        <v>-0.338285</v>
      </c>
      <c r="N6566">
        <v>0</v>
      </c>
      <c r="O6566">
        <v>-0.94096820000000003</v>
      </c>
      <c r="P6566">
        <v>-0.63016169999999905</v>
      </c>
      <c r="Q6566">
        <v>4.4395709999999998E-2</v>
      </c>
      <c r="R6566">
        <v>-0.77519419999999895</v>
      </c>
      <c r="S6566">
        <v>-2.8842159999999999</v>
      </c>
      <c r="T6566">
        <v>-0.3703727</v>
      </c>
      <c r="U6566">
        <v>-1.5543979999999999</v>
      </c>
      <c r="V6566">
        <v>0.33125840000000001</v>
      </c>
      <c r="W6566">
        <v>5.252453E-2</v>
      </c>
      <c r="X6566">
        <v>0.94207700000000005</v>
      </c>
      <c r="Y6566">
        <v>0.66135440000000001</v>
      </c>
      <c r="Z6566">
        <v>0.1202015</v>
      </c>
      <c r="AA6566">
        <v>0.74037959999999903</v>
      </c>
      <c r="AB6566">
        <v>17</v>
      </c>
      <c r="AC6566">
        <v>-8.5823999999999998</v>
      </c>
      <c r="AD6566">
        <v>-1.1067396281799999</v>
      </c>
      <c r="AE6566">
        <v>-4.5567000000000002</v>
      </c>
      <c r="AF6566">
        <v>6.4510802642394296</v>
      </c>
      <c r="AG6566">
        <v>-1.1067396281799999</v>
      </c>
      <c r="AH6566">
        <v>7.0994211243373</v>
      </c>
      <c r="AI6566">
        <v>96.581353504952403</v>
      </c>
      <c r="AJ6566">
        <v>47.7392999112704</v>
      </c>
      <c r="AK6566">
        <v>9.6562461381703706</v>
      </c>
      <c r="AL6566">
        <v>86.9891806803235</v>
      </c>
      <c r="AM6566">
        <v>70.627019835738807</v>
      </c>
      <c r="AN6566">
        <v>1.00000001387564</v>
      </c>
    </row>
    <row r="6567" spans="1:40" x14ac:dyDescent="0.25">
      <c r="A6567" t="str">
        <f>"20190312150821233"</f>
        <v>20190312150821233</v>
      </c>
      <c r="B6567" t="str">
        <f>"1552374501226305"</f>
        <v>1552374501226305</v>
      </c>
      <c r="C6567" t="s">
        <v>40</v>
      </c>
      <c r="D6567">
        <v>4.519361</v>
      </c>
      <c r="E6567">
        <v>0.65587899999999999</v>
      </c>
      <c r="F6567" t="s">
        <v>77</v>
      </c>
      <c r="G6567">
        <v>-203.4872</v>
      </c>
      <c r="H6567" s="1">
        <v>-9.6022409999999998E-6</v>
      </c>
      <c r="I6567">
        <v>145.08789999999999</v>
      </c>
      <c r="J6567">
        <v>-194.8973</v>
      </c>
      <c r="K6567">
        <v>1.1066959999999999</v>
      </c>
      <c r="L6567">
        <v>149.59790000000001</v>
      </c>
      <c r="M6567">
        <v>-0.34218549999999998</v>
      </c>
      <c r="N6567">
        <v>0</v>
      </c>
      <c r="O6567">
        <v>-0.93955650000000002</v>
      </c>
      <c r="P6567">
        <v>-0.63377659999999902</v>
      </c>
      <c r="Q6567">
        <v>4.4044840000000002E-2</v>
      </c>
      <c r="R6567">
        <v>-0.77226119999999898</v>
      </c>
      <c r="S6567">
        <v>-2.8919980000000001</v>
      </c>
      <c r="T6567">
        <v>-0.37108730000000001</v>
      </c>
      <c r="U6567">
        <v>-1.5403290000000001</v>
      </c>
      <c r="V6567">
        <v>0.33174629999999999</v>
      </c>
      <c r="W6567">
        <v>5.2150729999999999E-2</v>
      </c>
      <c r="X6567">
        <v>0.94192609999999999</v>
      </c>
      <c r="Y6567">
        <v>0.66186669999999903</v>
      </c>
      <c r="Z6567">
        <v>0.12044779999999999</v>
      </c>
      <c r="AA6567">
        <v>0.73988149999999997</v>
      </c>
      <c r="AB6567">
        <v>17</v>
      </c>
      <c r="AC6567">
        <v>-8.5899000000000001</v>
      </c>
      <c r="AD6567">
        <v>-1.106705602241</v>
      </c>
      <c r="AE6567">
        <v>-4.5100000000000096</v>
      </c>
      <c r="AF6567">
        <v>6.44405381150567</v>
      </c>
      <c r="AG6567">
        <v>-1.106705602241</v>
      </c>
      <c r="AH6567">
        <v>7.0850584873979798</v>
      </c>
      <c r="AI6567">
        <v>96.591610867577003</v>
      </c>
      <c r="AJ6567">
        <v>47.712625695358398</v>
      </c>
      <c r="AK6567">
        <v>9.6409896061277092</v>
      </c>
      <c r="AL6567">
        <v>87.010627320421193</v>
      </c>
      <c r="AM6567">
        <v>70.597740197609795</v>
      </c>
      <c r="AN6567">
        <v>1.0000000420322099</v>
      </c>
    </row>
    <row r="6568" spans="1:40" x14ac:dyDescent="0.25">
      <c r="A6568" t="str">
        <f>"20190312150821245"</f>
        <v>20190312150821245</v>
      </c>
      <c r="B6568" t="str">
        <f>"1552374501237042"</f>
        <v>1552374501237042</v>
      </c>
      <c r="C6568" t="s">
        <v>40</v>
      </c>
      <c r="D6568">
        <v>4.4435460000000004</v>
      </c>
      <c r="E6568">
        <v>0.65605219999999997</v>
      </c>
      <c r="F6568" t="s">
        <v>77</v>
      </c>
      <c r="G6568">
        <v>-203.51310000000001</v>
      </c>
      <c r="H6568" s="1">
        <v>-9.5868049999999998E-6</v>
      </c>
      <c r="I6568">
        <v>145.06630000000001</v>
      </c>
      <c r="J6568">
        <v>-194.9358</v>
      </c>
      <c r="K6568">
        <v>1.1066579999999999</v>
      </c>
      <c r="L6568">
        <v>149.50700000000001</v>
      </c>
      <c r="M6568">
        <v>-0.34642450000000002</v>
      </c>
      <c r="N6568">
        <v>0</v>
      </c>
      <c r="O6568">
        <v>-0.9380018</v>
      </c>
      <c r="P6568">
        <v>-0.63752880000000001</v>
      </c>
      <c r="Q6568">
        <v>4.4027370000000003E-2</v>
      </c>
      <c r="R6568">
        <v>-0.76916790000000002</v>
      </c>
      <c r="S6568">
        <v>-2.9005130000000001</v>
      </c>
      <c r="T6568">
        <v>-0.37257580000000001</v>
      </c>
      <c r="U6568">
        <v>-1.525558</v>
      </c>
      <c r="V6568">
        <v>0.33208270000000001</v>
      </c>
      <c r="W6568">
        <v>5.2112640000000002E-2</v>
      </c>
      <c r="X6568">
        <v>0.94180960000000002</v>
      </c>
      <c r="Y6568">
        <v>0.66229609999999906</v>
      </c>
      <c r="Z6568">
        <v>0.1209245</v>
      </c>
      <c r="AA6568">
        <v>0.73941950000000001</v>
      </c>
      <c r="AB6568">
        <v>17</v>
      </c>
      <c r="AC6568">
        <v>-8.5772999999999993</v>
      </c>
      <c r="AD6568">
        <v>-1.106667586805</v>
      </c>
      <c r="AE6568">
        <v>-4.4406999999999899</v>
      </c>
      <c r="AF6568">
        <v>6.4232946123237804</v>
      </c>
      <c r="AG6568">
        <v>-1.106667586805</v>
      </c>
      <c r="AH6568">
        <v>7.0447963343020996</v>
      </c>
      <c r="AI6568">
        <v>96.621363867237093</v>
      </c>
      <c r="AJ6568">
        <v>47.642110270385899</v>
      </c>
      <c r="AK6568">
        <v>9.5975300060061706</v>
      </c>
      <c r="AL6568">
        <v>87.012812516982805</v>
      </c>
      <c r="AM6568">
        <v>70.577315329630395</v>
      </c>
      <c r="AN6568">
        <v>0.99999998476960905</v>
      </c>
    </row>
    <row r="6569" spans="1:40" x14ac:dyDescent="0.25">
      <c r="A6569" t="str">
        <f>"20190312150821256"</f>
        <v>20190312150821256</v>
      </c>
      <c r="B6569" t="str">
        <f>"1552374501246802"</f>
        <v>1552374501246802</v>
      </c>
      <c r="C6569" t="s">
        <v>40</v>
      </c>
      <c r="D6569">
        <v>4.4014449999999998</v>
      </c>
      <c r="E6569">
        <v>0.65619729999999998</v>
      </c>
      <c r="F6569" t="s">
        <v>77</v>
      </c>
      <c r="G6569">
        <v>-203.5558</v>
      </c>
      <c r="H6569" s="1">
        <v>-9.5613070000000002E-6</v>
      </c>
      <c r="I6569">
        <v>145.0307</v>
      </c>
      <c r="J6569">
        <v>-194.97139999999999</v>
      </c>
      <c r="K6569">
        <v>1.106627</v>
      </c>
      <c r="L6569">
        <v>149.4247</v>
      </c>
      <c r="M6569">
        <v>-0.35032059999999998</v>
      </c>
      <c r="N6569">
        <v>0</v>
      </c>
      <c r="O6569">
        <v>-0.93655350000000004</v>
      </c>
      <c r="P6569">
        <v>-0.64096330000000001</v>
      </c>
      <c r="Q6569">
        <v>4.3705000000000001E-2</v>
      </c>
      <c r="R6569">
        <v>-0.76632650000000002</v>
      </c>
      <c r="S6569">
        <v>-2.9089659999999999</v>
      </c>
      <c r="T6569">
        <v>-0.37346249999999998</v>
      </c>
      <c r="U6569">
        <v>-1.510605</v>
      </c>
      <c r="V6569">
        <v>0.33237539999999999</v>
      </c>
      <c r="W6569">
        <v>5.1772640000000002E-2</v>
      </c>
      <c r="X6569">
        <v>0.94172509999999998</v>
      </c>
      <c r="Y6569">
        <v>0.66304090000000004</v>
      </c>
      <c r="Z6569">
        <v>0.1212169</v>
      </c>
      <c r="AA6569">
        <v>0.73870380000000002</v>
      </c>
      <c r="AB6569">
        <v>17</v>
      </c>
      <c r="AC6569">
        <v>-8.5844000000000094</v>
      </c>
      <c r="AD6569">
        <v>-1.1066365613069999</v>
      </c>
      <c r="AE6569">
        <v>-4.3940000000000001</v>
      </c>
      <c r="AF6569">
        <v>6.4164125446410702</v>
      </c>
      <c r="AG6569">
        <v>-1.1066365613069999</v>
      </c>
      <c r="AH6569">
        <v>7.0304384206805803</v>
      </c>
      <c r="AI6569">
        <v>96.631690732271593</v>
      </c>
      <c r="AJ6569">
        <v>47.614490895871803</v>
      </c>
      <c r="AK6569">
        <v>9.5823827312850707</v>
      </c>
      <c r="AL6569">
        <v>87.032319426064404</v>
      </c>
      <c r="AM6569">
        <v>70.559865878882604</v>
      </c>
      <c r="AN6569">
        <v>0.99999998837386905</v>
      </c>
    </row>
    <row r="6570" spans="1:40" x14ac:dyDescent="0.25">
      <c r="A6570" t="str">
        <f>"20190312150821268"</f>
        <v>20190312150821268</v>
      </c>
      <c r="B6570" t="str">
        <f>"1552374501256562"</f>
        <v>1552374501256562</v>
      </c>
      <c r="C6570" t="s">
        <v>40</v>
      </c>
      <c r="D6570">
        <v>4.4737879999999999</v>
      </c>
      <c r="E6570">
        <v>0.65635980000000005</v>
      </c>
      <c r="F6570" t="s">
        <v>77</v>
      </c>
      <c r="G6570">
        <v>-203.5138</v>
      </c>
      <c r="H6570" s="1">
        <v>-9.5798159999999998E-6</v>
      </c>
      <c r="I6570">
        <v>145.04089999999999</v>
      </c>
      <c r="J6570">
        <v>-195.0059</v>
      </c>
      <c r="K6570">
        <v>1.1065940000000001</v>
      </c>
      <c r="L6570">
        <v>149.34540000000001</v>
      </c>
      <c r="M6570">
        <v>-0.35409079999999998</v>
      </c>
      <c r="N6570">
        <v>0</v>
      </c>
      <c r="O6570">
        <v>-0.93513449999999998</v>
      </c>
      <c r="P6570">
        <v>-0.64429630000000004</v>
      </c>
      <c r="Q6570">
        <v>4.3291570000000001E-2</v>
      </c>
      <c r="R6570">
        <v>-0.76354999999999995</v>
      </c>
      <c r="S6570">
        <v>-2.9167019999999999</v>
      </c>
      <c r="T6570">
        <v>-0.37784790000000001</v>
      </c>
      <c r="U6570">
        <v>-1.4968109999999999</v>
      </c>
      <c r="V6570">
        <v>0.33267619999999998</v>
      </c>
      <c r="W6570">
        <v>5.1343090000000001E-2</v>
      </c>
      <c r="X6570">
        <v>0.94164239999999999</v>
      </c>
      <c r="Y6570">
        <v>0.66344709999999996</v>
      </c>
      <c r="Z6570">
        <v>0.12262140000000001</v>
      </c>
      <c r="AA6570">
        <v>0.73810699999999996</v>
      </c>
      <c r="AB6570">
        <v>17</v>
      </c>
      <c r="AC6570">
        <v>-8.5078999999999994</v>
      </c>
      <c r="AD6570">
        <v>-1.1066035798160001</v>
      </c>
      <c r="AE6570">
        <v>-4.3045000000000098</v>
      </c>
      <c r="AF6570">
        <v>6.3468177460295596</v>
      </c>
      <c r="AG6570">
        <v>-1.1066035798160001</v>
      </c>
      <c r="AH6570">
        <v>6.9448149019000303</v>
      </c>
      <c r="AI6570">
        <v>96.708437260500304</v>
      </c>
      <c r="AJ6570">
        <v>47.576028436110299</v>
      </c>
      <c r="AK6570">
        <v>9.4729679090467798</v>
      </c>
      <c r="AL6570">
        <v>87.056963604682593</v>
      </c>
      <c r="AM6570">
        <v>70.542013279100004</v>
      </c>
      <c r="AN6570">
        <v>0.99999998820747305</v>
      </c>
    </row>
    <row r="6571" spans="1:40" x14ac:dyDescent="0.25">
      <c r="A6571" t="str">
        <f>"20190312150821281"</f>
        <v>20190312150821281</v>
      </c>
      <c r="B6571" t="str">
        <f>"1552374501277057"</f>
        <v>1552374501277057</v>
      </c>
      <c r="C6571" t="s">
        <v>40</v>
      </c>
      <c r="D6571">
        <v>4.4266269999999999</v>
      </c>
      <c r="E6571">
        <v>0.65672730000000001</v>
      </c>
      <c r="F6571" t="s">
        <v>77</v>
      </c>
      <c r="G6571">
        <v>-203.46690000000001</v>
      </c>
      <c r="H6571" s="1">
        <v>-9.6008749999999998E-6</v>
      </c>
      <c r="I6571">
        <v>145.0539</v>
      </c>
      <c r="J6571">
        <v>-195.048</v>
      </c>
      <c r="K6571">
        <v>1.106563</v>
      </c>
      <c r="L6571">
        <v>149.2501</v>
      </c>
      <c r="M6571">
        <v>-0.35865760000000002</v>
      </c>
      <c r="N6571">
        <v>0</v>
      </c>
      <c r="O6571">
        <v>-0.93339220000000001</v>
      </c>
      <c r="P6571">
        <v>-0.64827349999999995</v>
      </c>
      <c r="Q6571">
        <v>4.3078600000000002E-2</v>
      </c>
      <c r="R6571">
        <v>-0.76018799999999997</v>
      </c>
      <c r="S6571">
        <v>-2.924194</v>
      </c>
      <c r="T6571">
        <v>-0.38245119999999999</v>
      </c>
      <c r="U6571">
        <v>-1.483185</v>
      </c>
      <c r="V6571">
        <v>0.33298650000000002</v>
      </c>
      <c r="W6571">
        <v>5.111309E-2</v>
      </c>
      <c r="X6571">
        <v>0.94154519999999997</v>
      </c>
      <c r="Y6571">
        <v>0.66314459999999997</v>
      </c>
      <c r="Z6571">
        <v>0.1240734</v>
      </c>
      <c r="AA6571">
        <v>0.73813619999999902</v>
      </c>
      <c r="AB6571">
        <v>17</v>
      </c>
      <c r="AC6571">
        <v>-8.4189000000000007</v>
      </c>
      <c r="AD6571">
        <v>-1.1065726008750001</v>
      </c>
      <c r="AE6571">
        <v>-4.1962000000000002</v>
      </c>
      <c r="AF6571">
        <v>6.2668698233075997</v>
      </c>
      <c r="AG6571">
        <v>-1.1065726008750001</v>
      </c>
      <c r="AH6571">
        <v>6.8420188423921697</v>
      </c>
      <c r="AI6571">
        <v>96.801230680518202</v>
      </c>
      <c r="AJ6571">
        <v>47.512225976062403</v>
      </c>
      <c r="AK6571">
        <v>9.3440559792276598</v>
      </c>
      <c r="AL6571">
        <v>87.070158878378805</v>
      </c>
      <c r="AM6571">
        <v>70.523370281250493</v>
      </c>
      <c r="AN6571">
        <v>0.99999996039731798</v>
      </c>
    </row>
    <row r="6572" spans="1:40" x14ac:dyDescent="0.25">
      <c r="A6572" t="str">
        <f>"20190312150821298"</f>
        <v>20190312150821298</v>
      </c>
      <c r="B6572" t="str">
        <f>"1552374501286817"</f>
        <v>1552374501286817</v>
      </c>
      <c r="C6572" t="s">
        <v>40</v>
      </c>
      <c r="D6572">
        <v>4.4309760000000002</v>
      </c>
      <c r="E6572">
        <v>0.65686149999999999</v>
      </c>
      <c r="F6572" t="s">
        <v>77</v>
      </c>
      <c r="G6572">
        <v>-203.5317</v>
      </c>
      <c r="H6572" s="1">
        <v>-9.5649629999999995E-6</v>
      </c>
      <c r="I6572">
        <v>145.0102</v>
      </c>
      <c r="J6572">
        <v>-195.1026</v>
      </c>
      <c r="K6572">
        <v>1.1065339999999999</v>
      </c>
      <c r="L6572">
        <v>149.1285</v>
      </c>
      <c r="M6572">
        <v>-0.36454320000000001</v>
      </c>
      <c r="N6572">
        <v>0</v>
      </c>
      <c r="O6572">
        <v>-0.93110919999999997</v>
      </c>
      <c r="P6572">
        <v>-0.65318330000000002</v>
      </c>
      <c r="Q6572">
        <v>4.247596E-2</v>
      </c>
      <c r="R6572">
        <v>-0.75600800000000001</v>
      </c>
      <c r="S6572">
        <v>-2.933792</v>
      </c>
      <c r="T6572">
        <v>-0.38266699999999998</v>
      </c>
      <c r="U6572">
        <v>-1.466202</v>
      </c>
      <c r="V6572">
        <v>0.33312599999999998</v>
      </c>
      <c r="W6572">
        <v>5.0495419999999999E-2</v>
      </c>
      <c r="X6572">
        <v>0.94152919999999996</v>
      </c>
      <c r="Y6572">
        <v>0.66283119999999995</v>
      </c>
      <c r="Z6572">
        <v>0.12409539999999999</v>
      </c>
      <c r="AA6572">
        <v>0.73841400000000001</v>
      </c>
      <c r="AB6572">
        <v>17</v>
      </c>
      <c r="AC6572">
        <v>-8.4291</v>
      </c>
      <c r="AD6572">
        <v>-1.106543564963</v>
      </c>
      <c r="AE6572">
        <v>-4.1182999999999996</v>
      </c>
      <c r="AF6572">
        <v>6.2604723938749096</v>
      </c>
      <c r="AG6572">
        <v>-1.106543564963</v>
      </c>
      <c r="AH6572">
        <v>6.8130685394014101</v>
      </c>
      <c r="AI6572">
        <v>96.819735931711307</v>
      </c>
      <c r="AJ6572">
        <v>47.420353578573497</v>
      </c>
      <c r="AK6572">
        <v>9.3185758664192999</v>
      </c>
      <c r="AL6572">
        <v>87.105594572776596</v>
      </c>
      <c r="AM6572">
        <v>70.515519210279294</v>
      </c>
      <c r="AN6572">
        <v>0.99999997688480702</v>
      </c>
    </row>
    <row r="6573" spans="1:40" x14ac:dyDescent="0.25">
      <c r="A6573" t="str">
        <f>"20190312150821316"</f>
        <v>20190312150821316</v>
      </c>
      <c r="B6573" t="str">
        <f>"1552374501306339"</f>
        <v>1552374501306339</v>
      </c>
      <c r="C6573" t="s">
        <v>40</v>
      </c>
      <c r="D6573">
        <v>4.4517049999999996</v>
      </c>
      <c r="E6573">
        <v>0.65709899999999999</v>
      </c>
      <c r="F6573" t="s">
        <v>77</v>
      </c>
      <c r="G6573">
        <v>-203.55529999999999</v>
      </c>
      <c r="H6573" s="1">
        <v>-9.5469440000000004E-6</v>
      </c>
      <c r="I6573">
        <v>144.97550000000001</v>
      </c>
      <c r="J6573">
        <v>-195.16030000000001</v>
      </c>
      <c r="K6573">
        <v>1.1065069999999999</v>
      </c>
      <c r="L6573">
        <v>149.0025</v>
      </c>
      <c r="M6573">
        <v>-0.37069999999999997</v>
      </c>
      <c r="N6573">
        <v>0</v>
      </c>
      <c r="O6573">
        <v>-0.92867489999999997</v>
      </c>
      <c r="P6573">
        <v>-0.65818109999999996</v>
      </c>
      <c r="Q6573">
        <v>4.2408800000000003E-2</v>
      </c>
      <c r="R6573">
        <v>-0.751664</v>
      </c>
      <c r="S6573">
        <v>-2.9438629999999999</v>
      </c>
      <c r="T6573">
        <v>-0.38538430000000001</v>
      </c>
      <c r="U6573">
        <v>-1.446396</v>
      </c>
      <c r="V6573">
        <v>0.3331363</v>
      </c>
      <c r="W6573">
        <v>5.0416849999999999E-2</v>
      </c>
      <c r="X6573">
        <v>0.94152979999999997</v>
      </c>
      <c r="Y6573">
        <v>0.66280629999999996</v>
      </c>
      <c r="Z6573">
        <v>0.12495009999999999</v>
      </c>
      <c r="AA6573">
        <v>0.73829219999999995</v>
      </c>
      <c r="AB6573">
        <v>17</v>
      </c>
      <c r="AC6573">
        <v>-8.39499999999998</v>
      </c>
      <c r="AD6573">
        <v>-1.1065165469439999</v>
      </c>
      <c r="AE6573">
        <v>-4.0269999999999797</v>
      </c>
      <c r="AF6573">
        <v>6.2160812263827196</v>
      </c>
      <c r="AG6573">
        <v>-1.1065165469439999</v>
      </c>
      <c r="AH6573">
        <v>6.7568666524891601</v>
      </c>
      <c r="AI6573">
        <v>96.872112800477694</v>
      </c>
      <c r="AJ6573">
        <v>47.387028316347099</v>
      </c>
      <c r="AK6573">
        <v>9.2476641180986192</v>
      </c>
      <c r="AL6573">
        <v>87.110102135606596</v>
      </c>
      <c r="AM6573">
        <v>70.5149736331676</v>
      </c>
      <c r="AN6573">
        <v>1.00000000871482</v>
      </c>
    </row>
    <row r="6574" spans="1:40" x14ac:dyDescent="0.25">
      <c r="A6574" t="str">
        <f>"20190312150821331"</f>
        <v>20190312150821331</v>
      </c>
      <c r="B6574" t="str">
        <f>"1552374501326834"</f>
        <v>1552374501326834</v>
      </c>
      <c r="C6574" t="s">
        <v>40</v>
      </c>
      <c r="D6574">
        <v>4.4891249999999996</v>
      </c>
      <c r="E6574">
        <v>0.65727409999999997</v>
      </c>
      <c r="F6574" t="s">
        <v>77</v>
      </c>
      <c r="G6574">
        <v>-203.6079</v>
      </c>
      <c r="H6574" s="1">
        <v>-9.5142520000000001E-6</v>
      </c>
      <c r="I6574">
        <v>144.92670000000001</v>
      </c>
      <c r="J6574">
        <v>-195.20910000000001</v>
      </c>
      <c r="K6574">
        <v>1.1064849999999999</v>
      </c>
      <c r="L6574">
        <v>148.89769999999999</v>
      </c>
      <c r="M6574">
        <v>-0.3758629</v>
      </c>
      <c r="N6574">
        <v>0</v>
      </c>
      <c r="O6574">
        <v>-0.92659740000000002</v>
      </c>
      <c r="P6574">
        <v>-0.66254979999999997</v>
      </c>
      <c r="Q6574">
        <v>4.2087390000000002E-2</v>
      </c>
      <c r="R6574">
        <v>-0.74783459999999902</v>
      </c>
      <c r="S6574">
        <v>-2.9548030000000001</v>
      </c>
      <c r="T6574">
        <v>-0.38703710000000002</v>
      </c>
      <c r="U6574">
        <v>-1.425629</v>
      </c>
      <c r="V6574">
        <v>0.33337499999999998</v>
      </c>
      <c r="W6574">
        <v>5.0084919999999998E-2</v>
      </c>
      <c r="X6574">
        <v>0.94146300000000005</v>
      </c>
      <c r="Y6574">
        <v>0.66388290000000005</v>
      </c>
      <c r="Z6574">
        <v>0.12547819999999901</v>
      </c>
      <c r="AA6574">
        <v>0.73723450000000001</v>
      </c>
      <c r="AB6574">
        <v>17</v>
      </c>
      <c r="AC6574">
        <v>-8.3987999999999907</v>
      </c>
      <c r="AD6574">
        <v>-1.106494514252</v>
      </c>
      <c r="AE6574">
        <v>-3.9709999999999699</v>
      </c>
      <c r="AF6574">
        <v>6.2022270742625603</v>
      </c>
      <c r="AG6574">
        <v>-1.106494514252</v>
      </c>
      <c r="AH6574">
        <v>6.7411821200281601</v>
      </c>
      <c r="AI6574">
        <v>96.887522747441807</v>
      </c>
      <c r="AJ6574">
        <v>47.3843811701161</v>
      </c>
      <c r="AK6574">
        <v>9.2268893548244506</v>
      </c>
      <c r="AL6574">
        <v>87.129144313252198</v>
      </c>
      <c r="AM6574">
        <v>70.500785939832298</v>
      </c>
      <c r="AN6574">
        <v>0.99999998510270305</v>
      </c>
    </row>
    <row r="6575" spans="1:40" x14ac:dyDescent="0.25">
      <c r="A6575" t="str">
        <f>"20190312150821342"</f>
        <v>20190312150821342</v>
      </c>
      <c r="B6575" t="str">
        <f>"1552374501336594"</f>
        <v>1552374501336594</v>
      </c>
      <c r="C6575" t="s">
        <v>40</v>
      </c>
      <c r="D6575">
        <v>4.4986280000000001</v>
      </c>
      <c r="E6575">
        <v>0.65738589999999997</v>
      </c>
      <c r="F6575" t="s">
        <v>77</v>
      </c>
      <c r="G6575">
        <v>-203.57839999999999</v>
      </c>
      <c r="H6575" s="1">
        <v>-9.5240329999999992E-6</v>
      </c>
      <c r="I6575">
        <v>144.92169999999999</v>
      </c>
      <c r="J6575">
        <v>-195.25</v>
      </c>
      <c r="K6575">
        <v>1.1064700000000001</v>
      </c>
      <c r="L6575">
        <v>148.8108</v>
      </c>
      <c r="M6575">
        <v>-0.38016139999999998</v>
      </c>
      <c r="N6575">
        <v>0</v>
      </c>
      <c r="O6575">
        <v>-0.92484200000000005</v>
      </c>
      <c r="P6575">
        <v>-0.66616200000000003</v>
      </c>
      <c r="Q6575">
        <v>4.22207E-2</v>
      </c>
      <c r="R6575">
        <v>-0.74461140000000003</v>
      </c>
      <c r="S6575">
        <v>-2.9636840000000002</v>
      </c>
      <c r="T6575">
        <v>-0.3918239</v>
      </c>
      <c r="U6575">
        <v>-1.4079440000000001</v>
      </c>
      <c r="V6575">
        <v>0.333566799999999</v>
      </c>
      <c r="W6575">
        <v>5.0210629999999999E-2</v>
      </c>
      <c r="X6575">
        <v>0.94138840000000001</v>
      </c>
      <c r="Y6575">
        <v>0.66469489999999998</v>
      </c>
      <c r="Z6575">
        <v>0.12701569999999901</v>
      </c>
      <c r="AA6575">
        <v>0.73623890000000003</v>
      </c>
      <c r="AB6575">
        <v>17</v>
      </c>
      <c r="AC6575">
        <v>-8.3283999999999807</v>
      </c>
      <c r="AD6575">
        <v>-1.1064795240330001</v>
      </c>
      <c r="AE6575">
        <v>-3.8891000000000102</v>
      </c>
      <c r="AF6575">
        <v>6.1355094072239904</v>
      </c>
      <c r="AG6575">
        <v>-1.1064795240330001</v>
      </c>
      <c r="AH6575">
        <v>6.6668200244975502</v>
      </c>
      <c r="AI6575">
        <v>96.962627344792097</v>
      </c>
      <c r="AJ6575">
        <v>47.376473523947801</v>
      </c>
      <c r="AK6575">
        <v>9.1277194228503706</v>
      </c>
      <c r="AL6575">
        <v>87.121932683285195</v>
      </c>
      <c r="AM6575">
        <v>70.488985282243902</v>
      </c>
      <c r="AN6575">
        <v>1.0000000185408899</v>
      </c>
    </row>
    <row r="6576" spans="1:40" x14ac:dyDescent="0.25">
      <c r="A6576" t="str">
        <f>"20190312150821356"</f>
        <v>20190312150821356</v>
      </c>
      <c r="B6576" t="str">
        <f>"1552374501346354"</f>
        <v>1552374501346354</v>
      </c>
      <c r="C6576" t="s">
        <v>40</v>
      </c>
      <c r="D6576">
        <v>4.5209359999999998</v>
      </c>
      <c r="E6576">
        <v>0.65750330000000001</v>
      </c>
      <c r="F6576" t="s">
        <v>77</v>
      </c>
      <c r="G6576">
        <v>-203.62690000000001</v>
      </c>
      <c r="H6576" s="1">
        <v>-9.4955140000000008E-6</v>
      </c>
      <c r="I6576">
        <v>144.8828</v>
      </c>
      <c r="J6576">
        <v>-195.2929</v>
      </c>
      <c r="K6576">
        <v>1.106457</v>
      </c>
      <c r="L6576">
        <v>148.72120000000001</v>
      </c>
      <c r="M6576">
        <v>-0.3846311</v>
      </c>
      <c r="N6576">
        <v>0</v>
      </c>
      <c r="O6576">
        <v>-0.92299180000000003</v>
      </c>
      <c r="P6576">
        <v>-0.66985419999999996</v>
      </c>
      <c r="Q6576">
        <v>4.2180049999999997E-2</v>
      </c>
      <c r="R6576">
        <v>-0.7412938</v>
      </c>
      <c r="S6576">
        <v>-2.9710999999999999</v>
      </c>
      <c r="T6576">
        <v>-0.3924417</v>
      </c>
      <c r="U6576">
        <v>-1.3931579999999999</v>
      </c>
      <c r="V6576">
        <v>0.33369140000000003</v>
      </c>
      <c r="W6576">
        <v>5.0164449999999999E-2</v>
      </c>
      <c r="X6576">
        <v>0.94134660000000003</v>
      </c>
      <c r="Y6576">
        <v>0.66479319999999997</v>
      </c>
      <c r="Z6576">
        <v>0.12718769999999999</v>
      </c>
      <c r="AA6576">
        <v>0.73612049999999996</v>
      </c>
      <c r="AB6576">
        <v>17</v>
      </c>
      <c r="AC6576">
        <v>-8.3339999999999996</v>
      </c>
      <c r="AD6576">
        <v>-1.106466495514</v>
      </c>
      <c r="AE6576">
        <v>-3.8384</v>
      </c>
      <c r="AF6576">
        <v>6.1271953080444899</v>
      </c>
      <c r="AG6576">
        <v>-1.106466495514</v>
      </c>
      <c r="AH6576">
        <v>6.6520827245192899</v>
      </c>
      <c r="AI6576">
        <v>96.975103443927793</v>
      </c>
      <c r="AJ6576">
        <v>47.352006037133101</v>
      </c>
      <c r="AK6576">
        <v>9.1113662544354792</v>
      </c>
      <c r="AL6576">
        <v>87.124581662795293</v>
      </c>
      <c r="AM6576">
        <v>70.4814467908175</v>
      </c>
      <c r="AN6576">
        <v>0.99999992190465803</v>
      </c>
    </row>
    <row r="6577" spans="1:40" x14ac:dyDescent="0.25">
      <c r="A6577" t="str">
        <f>"20190312150821367"</f>
        <v>20190312150821367</v>
      </c>
      <c r="B6577" t="str">
        <f>"1552374501356115"</f>
        <v>1552374501356115</v>
      </c>
      <c r="C6577" t="s">
        <v>40</v>
      </c>
      <c r="D6577">
        <v>4.4577039999999997</v>
      </c>
      <c r="E6577">
        <v>0.65759019999999901</v>
      </c>
      <c r="F6577" t="s">
        <v>77</v>
      </c>
      <c r="G6577">
        <v>-203.61089999999999</v>
      </c>
      <c r="H6577" s="1">
        <v>-9.4988850000000004E-6</v>
      </c>
      <c r="I6577">
        <v>144.87289999999999</v>
      </c>
      <c r="J6577">
        <v>-195.33369999999999</v>
      </c>
      <c r="K6577">
        <v>1.106447</v>
      </c>
      <c r="L6577">
        <v>148.63679999999999</v>
      </c>
      <c r="M6577">
        <v>-0.38884960000000002</v>
      </c>
      <c r="N6577">
        <v>0</v>
      </c>
      <c r="O6577">
        <v>-0.9212224</v>
      </c>
      <c r="P6577">
        <v>-0.67326249999999999</v>
      </c>
      <c r="Q6577">
        <v>4.2180410000000002E-2</v>
      </c>
      <c r="R6577">
        <v>-0.73819939999999995</v>
      </c>
      <c r="S6577">
        <v>-2.9785309999999998</v>
      </c>
      <c r="T6577">
        <v>-0.39620420000000001</v>
      </c>
      <c r="U6577">
        <v>-1.3780209999999999</v>
      </c>
      <c r="V6577">
        <v>0.33372370000000001</v>
      </c>
      <c r="W6577">
        <v>5.0162539999999999E-2</v>
      </c>
      <c r="X6577">
        <v>0.94133529999999999</v>
      </c>
      <c r="Y6577">
        <v>0.66503519999999905</v>
      </c>
      <c r="Z6577">
        <v>0.1283724</v>
      </c>
      <c r="AA6577">
        <v>0.73569609999999996</v>
      </c>
      <c r="AB6577">
        <v>17</v>
      </c>
      <c r="AC6577">
        <v>-8.2771999999999899</v>
      </c>
      <c r="AD6577">
        <v>-1.1064564988850001</v>
      </c>
      <c r="AE6577">
        <v>-3.7639</v>
      </c>
      <c r="AF6577">
        <v>6.0720879101580501</v>
      </c>
      <c r="AG6577">
        <v>-1.1064564988850001</v>
      </c>
      <c r="AH6577">
        <v>6.5888973569030203</v>
      </c>
      <c r="AI6577">
        <v>97.0396310645624</v>
      </c>
      <c r="AJ6577">
        <v>47.337461896235702</v>
      </c>
      <c r="AK6577">
        <v>9.0281817633683001</v>
      </c>
      <c r="AL6577">
        <v>87.124691367460699</v>
      </c>
      <c r="AM6577">
        <v>70.479483698242703</v>
      </c>
      <c r="AN6577">
        <v>0.99999996769351496</v>
      </c>
    </row>
    <row r="6578" spans="1:40" x14ac:dyDescent="0.25">
      <c r="A6578" t="str">
        <f>"20190312150821379"</f>
        <v>20190312150821379</v>
      </c>
      <c r="B6578" t="str">
        <f>"1552374501376905"</f>
        <v>1552374501376905</v>
      </c>
      <c r="C6578" t="s">
        <v>40</v>
      </c>
      <c r="D6578">
        <v>4.4342230000000002</v>
      </c>
      <c r="E6578">
        <v>0.65776009999999996</v>
      </c>
      <c r="F6578" t="s">
        <v>77</v>
      </c>
      <c r="G6578">
        <v>-203.65389999999999</v>
      </c>
      <c r="H6578" s="1">
        <v>-9.4726649999999992E-6</v>
      </c>
      <c r="I6578">
        <v>144.8348</v>
      </c>
      <c r="J6578">
        <v>-195.3759</v>
      </c>
      <c r="K6578">
        <v>1.10643799999999</v>
      </c>
      <c r="L6578">
        <v>148.55070000000001</v>
      </c>
      <c r="M6578">
        <v>-0.39317809999999997</v>
      </c>
      <c r="N6578">
        <v>0</v>
      </c>
      <c r="O6578">
        <v>-0.91938359999999997</v>
      </c>
      <c r="P6578">
        <v>-0.67694209999999999</v>
      </c>
      <c r="Q6578">
        <v>4.2687419999999997E-2</v>
      </c>
      <c r="R6578">
        <v>-0.73479779999999995</v>
      </c>
      <c r="S6578">
        <v>-2.9851070000000002</v>
      </c>
      <c r="T6578">
        <v>-0.39697310000000002</v>
      </c>
      <c r="U6578">
        <v>-1.36409</v>
      </c>
      <c r="V6578">
        <v>0.33401690000000001</v>
      </c>
      <c r="W6578">
        <v>5.066354E-2</v>
      </c>
      <c r="X6578">
        <v>0.9412045</v>
      </c>
      <c r="Y6578">
        <v>0.6649718</v>
      </c>
      <c r="Z6578">
        <v>0.12859080000000001</v>
      </c>
      <c r="AA6578">
        <v>0.73571529999999996</v>
      </c>
      <c r="AB6578">
        <v>17</v>
      </c>
      <c r="AC6578">
        <v>-8.2779999999999898</v>
      </c>
      <c r="AD6578">
        <v>-1.10644747266499</v>
      </c>
      <c r="AE6578">
        <v>-3.7159</v>
      </c>
      <c r="AF6578">
        <v>6.0599852241868701</v>
      </c>
      <c r="AG6578">
        <v>-1.10644747266499</v>
      </c>
      <c r="AH6578">
        <v>6.5738018404335303</v>
      </c>
      <c r="AI6578">
        <v>97.054618902876598</v>
      </c>
      <c r="AJ6578">
        <v>47.328938107939997</v>
      </c>
      <c r="AK6578">
        <v>9.0090242293168092</v>
      </c>
      <c r="AL6578">
        <v>87.095949720303494</v>
      </c>
      <c r="AM6578">
        <v>70.461122402786899</v>
      </c>
      <c r="AN6578">
        <v>0.99999999729559497</v>
      </c>
    </row>
    <row r="6579" spans="1:40" x14ac:dyDescent="0.25">
      <c r="A6579" t="str">
        <f>"20190312150821397"</f>
        <v>20190312150821397</v>
      </c>
      <c r="B6579" t="str">
        <f>"1552374501386795"</f>
        <v>1552374501386795</v>
      </c>
      <c r="C6579" t="s">
        <v>40</v>
      </c>
      <c r="D6579">
        <v>4.4675549999999999</v>
      </c>
      <c r="E6579">
        <v>0.65780719999999904</v>
      </c>
      <c r="F6579" t="s">
        <v>77</v>
      </c>
      <c r="G6579">
        <v>-203.75319999999999</v>
      </c>
      <c r="H6579" s="1">
        <v>-9.4197560000000005E-6</v>
      </c>
      <c r="I6579">
        <v>144.77600000000001</v>
      </c>
      <c r="J6579">
        <v>-195.43870000000001</v>
      </c>
      <c r="K6579">
        <v>1.1064309999999999</v>
      </c>
      <c r="L6579">
        <v>148.42449999999999</v>
      </c>
      <c r="M6579">
        <v>-0.39954109999999998</v>
      </c>
      <c r="N6579">
        <v>0</v>
      </c>
      <c r="O6579">
        <v>-0.91663600000000001</v>
      </c>
      <c r="P6579">
        <v>-0.68277659999999996</v>
      </c>
      <c r="Q6579">
        <v>4.2706330000000001E-2</v>
      </c>
      <c r="R6579">
        <v>-0.72937810000000003</v>
      </c>
      <c r="S6579">
        <v>-2.9928439999999998</v>
      </c>
      <c r="T6579">
        <v>-0.39528629999999998</v>
      </c>
      <c r="U6579">
        <v>-1.3485259999999999</v>
      </c>
      <c r="V6579">
        <v>0.33499659999999998</v>
      </c>
      <c r="W6579">
        <v>5.0668779999999997E-2</v>
      </c>
      <c r="X6579">
        <v>0.94085600000000003</v>
      </c>
      <c r="Y6579">
        <v>0.6637982</v>
      </c>
      <c r="Z6579">
        <v>0.12794900000000001</v>
      </c>
      <c r="AA6579">
        <v>0.73688599999999904</v>
      </c>
      <c r="AB6579">
        <v>17</v>
      </c>
      <c r="AC6579">
        <v>-8.3144999999999794</v>
      </c>
      <c r="AD6579">
        <v>-1.106440419756</v>
      </c>
      <c r="AE6579">
        <v>-3.6484999999999799</v>
      </c>
      <c r="AF6579">
        <v>6.0738993466933797</v>
      </c>
      <c r="AG6579">
        <v>-1.106440419756</v>
      </c>
      <c r="AH6579">
        <v>6.5692666445980796</v>
      </c>
      <c r="AI6579">
        <v>97.049808174721406</v>
      </c>
      <c r="AJ6579">
        <v>47.243737474238401</v>
      </c>
      <c r="AK6579">
        <v>9.0150833564677093</v>
      </c>
      <c r="AL6579">
        <v>87.095649199407703</v>
      </c>
      <c r="AM6579">
        <v>70.4014674203829</v>
      </c>
      <c r="AN6579">
        <v>1.0000000300071199</v>
      </c>
    </row>
    <row r="6580" spans="1:40" x14ac:dyDescent="0.25">
      <c r="A6580" t="str">
        <f>"20190312150821412"</f>
        <v>20190312150821412</v>
      </c>
      <c r="B6580" t="str">
        <f>"1552374501406315"</f>
        <v>1552374501406315</v>
      </c>
      <c r="C6580" t="s">
        <v>40</v>
      </c>
      <c r="D6580">
        <v>4.5045019999999996</v>
      </c>
      <c r="E6580">
        <v>0.65790879999999996</v>
      </c>
      <c r="F6580" t="s">
        <v>77</v>
      </c>
      <c r="G6580">
        <v>-203.8356</v>
      </c>
      <c r="H6580" s="1">
        <v>-9.3743269999999999E-6</v>
      </c>
      <c r="I6580">
        <v>144.72139999999999</v>
      </c>
      <c r="J6580">
        <v>-195.49019999999999</v>
      </c>
      <c r="K6580">
        <v>1.106425</v>
      </c>
      <c r="L6580">
        <v>148.3228</v>
      </c>
      <c r="M6580">
        <v>-0.40469329999999998</v>
      </c>
      <c r="N6580">
        <v>0</v>
      </c>
      <c r="O6580">
        <v>-0.91437270000000004</v>
      </c>
      <c r="P6580">
        <v>-0.68707929999999995</v>
      </c>
      <c r="Q6580">
        <v>4.2909000000000003E-2</v>
      </c>
      <c r="R6580">
        <v>-0.72531469999999998</v>
      </c>
      <c r="S6580">
        <v>-3.003571</v>
      </c>
      <c r="T6580">
        <v>-0.39577449999999997</v>
      </c>
      <c r="U6580">
        <v>-1.3246150000000001</v>
      </c>
      <c r="V6580">
        <v>0.33527499999999999</v>
      </c>
      <c r="W6580">
        <v>5.086831E-2</v>
      </c>
      <c r="X6580">
        <v>0.94074599999999997</v>
      </c>
      <c r="Y6580">
        <v>0.66547599999999996</v>
      </c>
      <c r="Z6580">
        <v>0.12813350000000001</v>
      </c>
      <c r="AA6580">
        <v>0.73533899999999996</v>
      </c>
      <c r="AB6580">
        <v>17</v>
      </c>
      <c r="AC6580">
        <v>-8.3454000000000104</v>
      </c>
      <c r="AD6580">
        <v>-1.106434374327</v>
      </c>
      <c r="AE6580">
        <v>-3.6014000000000101</v>
      </c>
      <c r="AF6580">
        <v>6.0836466623092402</v>
      </c>
      <c r="AG6580">
        <v>-1.106434374327</v>
      </c>
      <c r="AH6580">
        <v>6.5734311452698302</v>
      </c>
      <c r="AI6580">
        <v>97.042230475098904</v>
      </c>
      <c r="AJ6580">
        <v>47.216039879025502</v>
      </c>
      <c r="AK6580">
        <v>9.0246856320939095</v>
      </c>
      <c r="AL6580">
        <v>87.084202046581296</v>
      </c>
      <c r="AM6580">
        <v>70.384304124019096</v>
      </c>
      <c r="AN6580">
        <v>0.99999997355162695</v>
      </c>
    </row>
    <row r="6581" spans="1:40" x14ac:dyDescent="0.25">
      <c r="A6581" t="str">
        <f>"20190312150821424"</f>
        <v>20190312150821424</v>
      </c>
      <c r="B6581" t="str">
        <f>"1552374501416077"</f>
        <v>1552374501416077</v>
      </c>
      <c r="C6581" t="s">
        <v>40</v>
      </c>
      <c r="D6581">
        <v>4.4875389999999999</v>
      </c>
      <c r="E6581">
        <v>0.65792019999999996</v>
      </c>
      <c r="F6581" t="s">
        <v>77</v>
      </c>
      <c r="G6581">
        <v>-203.93260000000001</v>
      </c>
      <c r="H6581" s="1">
        <v>-9.3217010000000003E-6</v>
      </c>
      <c r="I6581">
        <v>144.66030000000001</v>
      </c>
      <c r="J6581">
        <v>-195.53399999999999</v>
      </c>
      <c r="K6581">
        <v>1.1064229999999999</v>
      </c>
      <c r="L6581">
        <v>148.23699999999999</v>
      </c>
      <c r="M6581">
        <v>-0.40904400000000002</v>
      </c>
      <c r="N6581">
        <v>0</v>
      </c>
      <c r="O6581">
        <v>-0.91243490000000005</v>
      </c>
      <c r="P6581">
        <v>-0.69094460000000002</v>
      </c>
      <c r="Q6581">
        <v>4.2951570000000001E-2</v>
      </c>
      <c r="R6581">
        <v>-0.72163089999999996</v>
      </c>
      <c r="S6581">
        <v>-3.0116879999999999</v>
      </c>
      <c r="T6581">
        <v>-0.39470499999999997</v>
      </c>
      <c r="U6581">
        <v>-1.306549</v>
      </c>
      <c r="V6581">
        <v>0.33582260000000003</v>
      </c>
      <c r="W6581">
        <v>5.0904499999999998E-2</v>
      </c>
      <c r="X6581">
        <v>0.94054879999999996</v>
      </c>
      <c r="Y6581">
        <v>0.66642309999999905</v>
      </c>
      <c r="Z6581">
        <v>0.1277895</v>
      </c>
      <c r="AA6581">
        <v>0.73454079999999999</v>
      </c>
      <c r="AB6581">
        <v>17</v>
      </c>
      <c r="AC6581">
        <v>-8.3985999999999805</v>
      </c>
      <c r="AD6581">
        <v>-1.1064323217009999</v>
      </c>
      <c r="AE6581">
        <v>-3.5766999999999798</v>
      </c>
      <c r="AF6581">
        <v>6.1108250739438201</v>
      </c>
      <c r="AG6581">
        <v>-1.1064323217009999</v>
      </c>
      <c r="AH6581">
        <v>6.6023944864732602</v>
      </c>
      <c r="AI6581">
        <v>97.011437399987102</v>
      </c>
      <c r="AJ6581">
        <v>47.214295841547603</v>
      </c>
      <c r="AK6581">
        <v>9.0641043971182107</v>
      </c>
      <c r="AL6581">
        <v>87.0821260923545</v>
      </c>
      <c r="AM6581">
        <v>70.350913415124197</v>
      </c>
      <c r="AN6581">
        <v>1.00000006598622</v>
      </c>
    </row>
    <row r="6582" spans="1:40" x14ac:dyDescent="0.25">
      <c r="A6582" t="str">
        <f>"20190312150821435"</f>
        <v>20190312150821435</v>
      </c>
      <c r="B6582" t="str">
        <f>"1552374501426811"</f>
        <v>1552374501426811</v>
      </c>
      <c r="C6582" t="s">
        <v>40</v>
      </c>
      <c r="D6582">
        <v>4.4656719999999996</v>
      </c>
      <c r="E6582">
        <v>0.65788469999999999</v>
      </c>
      <c r="F6582" t="s">
        <v>77</v>
      </c>
      <c r="G6582">
        <v>-203.99709999999999</v>
      </c>
      <c r="H6582" s="1">
        <v>-9.2864699999999995E-6</v>
      </c>
      <c r="I6582">
        <v>144.6189</v>
      </c>
      <c r="J6582">
        <v>-195.57679999999999</v>
      </c>
      <c r="K6582">
        <v>1.1064229999999999</v>
      </c>
      <c r="L6582">
        <v>148.15479999999999</v>
      </c>
      <c r="M6582">
        <v>-0.41323569999999998</v>
      </c>
      <c r="N6582">
        <v>0</v>
      </c>
      <c r="O6582">
        <v>-0.91054389999999996</v>
      </c>
      <c r="P6582">
        <v>-0.69466719999999904</v>
      </c>
      <c r="Q6582">
        <v>4.2798469999999998E-2</v>
      </c>
      <c r="R6582">
        <v>-0.71805719999999995</v>
      </c>
      <c r="S6582">
        <v>-3.01857</v>
      </c>
      <c r="T6582">
        <v>-0.39463480000000001</v>
      </c>
      <c r="U6582">
        <v>-1.2904819999999999</v>
      </c>
      <c r="V6582">
        <v>0.3363564</v>
      </c>
      <c r="W6582">
        <v>5.0745440000000003E-2</v>
      </c>
      <c r="X6582">
        <v>0.94036660000000005</v>
      </c>
      <c r="Y6582">
        <v>0.66693159999999996</v>
      </c>
      <c r="Z6582">
        <v>0.1277565</v>
      </c>
      <c r="AA6582">
        <v>0.73408490000000004</v>
      </c>
      <c r="AB6582">
        <v>17</v>
      </c>
      <c r="AC6582">
        <v>-8.4202999999999903</v>
      </c>
      <c r="AD6582">
        <v>-1.10643228647</v>
      </c>
      <c r="AE6582">
        <v>-3.5358999999999901</v>
      </c>
      <c r="AF6582">
        <v>6.1165678678221402</v>
      </c>
      <c r="AG6582">
        <v>-1.10643228647</v>
      </c>
      <c r="AH6582">
        <v>6.6027360410417897</v>
      </c>
      <c r="AI6582">
        <v>97.008234612507493</v>
      </c>
      <c r="AJ6582">
        <v>47.188942970914901</v>
      </c>
      <c r="AK6582">
        <v>9.0682257423318404</v>
      </c>
      <c r="AL6582">
        <v>87.091251261796998</v>
      </c>
      <c r="AM6582">
        <v>70.318557883886996</v>
      </c>
      <c r="AN6582">
        <v>1.00000003494865</v>
      </c>
    </row>
    <row r="6583" spans="1:40" x14ac:dyDescent="0.25">
      <c r="A6583" t="str">
        <f>"20190312150821447"</f>
        <v>20190312150821447</v>
      </c>
      <c r="B6583" t="str">
        <f>"1552374501436571"</f>
        <v>1552374501436571</v>
      </c>
      <c r="C6583" t="s">
        <v>40</v>
      </c>
      <c r="D6583">
        <v>4.5170750000000002</v>
      </c>
      <c r="E6583">
        <v>0.65784160000000003</v>
      </c>
      <c r="F6583" t="s">
        <v>77</v>
      </c>
      <c r="G6583">
        <v>-204.03659999999999</v>
      </c>
      <c r="H6583" s="1">
        <v>-9.2637780000000008E-6</v>
      </c>
      <c r="I6583">
        <v>144.58920000000001</v>
      </c>
      <c r="J6583">
        <v>-195.61670000000001</v>
      </c>
      <c r="K6583">
        <v>1.1064229999999999</v>
      </c>
      <c r="L6583">
        <v>148.07839999999999</v>
      </c>
      <c r="M6583">
        <v>-0.41712890000000002</v>
      </c>
      <c r="N6583">
        <v>0</v>
      </c>
      <c r="O6583">
        <v>-0.9087672</v>
      </c>
      <c r="P6583">
        <v>-0.69802949999999997</v>
      </c>
      <c r="Q6583">
        <v>4.2591799999999999E-2</v>
      </c>
      <c r="R6583">
        <v>-0.71480159999999904</v>
      </c>
      <c r="S6583">
        <v>-3.0250699999999999</v>
      </c>
      <c r="T6583">
        <v>-0.39564100000000002</v>
      </c>
      <c r="U6583">
        <v>-1.2750090000000001</v>
      </c>
      <c r="V6583">
        <v>0.33673829999999999</v>
      </c>
      <c r="W6583">
        <v>5.0535429999999999E-2</v>
      </c>
      <c r="X6583">
        <v>0.9402412</v>
      </c>
      <c r="Y6583">
        <v>0.66747679999999998</v>
      </c>
      <c r="Z6583">
        <v>0.12807089999999999</v>
      </c>
      <c r="AA6583">
        <v>0.73353429999999997</v>
      </c>
      <c r="AB6583">
        <v>17</v>
      </c>
      <c r="AC6583">
        <v>-8.4198999999999806</v>
      </c>
      <c r="AD6583">
        <v>-1.106432263778</v>
      </c>
      <c r="AE6583">
        <v>-3.4891999999999799</v>
      </c>
      <c r="AF6583">
        <v>6.1067390129533496</v>
      </c>
      <c r="AG6583">
        <v>-1.106432263778</v>
      </c>
      <c r="AH6583">
        <v>6.5864759284816001</v>
      </c>
      <c r="AI6583">
        <v>97.022608112949001</v>
      </c>
      <c r="AJ6583">
        <v>47.164449593147602</v>
      </c>
      <c r="AK6583">
        <v>9.0497579461067907</v>
      </c>
      <c r="AL6583">
        <v>87.103299343588304</v>
      </c>
      <c r="AM6583">
        <v>70.295505679452006</v>
      </c>
      <c r="AN6583">
        <v>1.0000000132747999</v>
      </c>
    </row>
    <row r="6584" spans="1:40" x14ac:dyDescent="0.25">
      <c r="A6584" t="str">
        <f>"20190312150821459"</f>
        <v>20190312150821459</v>
      </c>
      <c r="B6584" t="str">
        <f>"1552374501456091"</f>
        <v>1552374501456091</v>
      </c>
      <c r="C6584" t="s">
        <v>40</v>
      </c>
      <c r="D6584">
        <v>4.5299069999999997</v>
      </c>
      <c r="E6584">
        <v>0.65772039999999998</v>
      </c>
      <c r="F6584" t="s">
        <v>77</v>
      </c>
      <c r="G6584">
        <v>-204.0823</v>
      </c>
      <c r="H6584" s="1">
        <v>-9.2378830000000003E-6</v>
      </c>
      <c r="I6584">
        <v>144.5564</v>
      </c>
      <c r="J6584">
        <v>-195.6617</v>
      </c>
      <c r="K6584">
        <v>1.1064229999999999</v>
      </c>
      <c r="L6584">
        <v>147.99379999999999</v>
      </c>
      <c r="M6584">
        <v>-0.42145929999999998</v>
      </c>
      <c r="N6584">
        <v>0</v>
      </c>
      <c r="O6584">
        <v>-0.90676670000000004</v>
      </c>
      <c r="P6584">
        <v>-0.70178790000000002</v>
      </c>
      <c r="Q6584">
        <v>4.2348429999999999E-2</v>
      </c>
      <c r="R6584">
        <v>-0.71112609999999998</v>
      </c>
      <c r="S6584">
        <v>-3.0307919999999999</v>
      </c>
      <c r="T6584">
        <v>-0.396117</v>
      </c>
      <c r="U6584">
        <v>-1.2609410000000001</v>
      </c>
      <c r="V6584">
        <v>0.33720139999999998</v>
      </c>
      <c r="W6584">
        <v>5.0287310000000002E-2</v>
      </c>
      <c r="X6584">
        <v>0.94008849999999999</v>
      </c>
      <c r="Y6584">
        <v>0.66732599999999997</v>
      </c>
      <c r="Z6584">
        <v>0.12818560000000001</v>
      </c>
      <c r="AA6584">
        <v>0.73365150000000001</v>
      </c>
      <c r="AB6584">
        <v>17</v>
      </c>
      <c r="AC6584">
        <v>-8.4206000000000092</v>
      </c>
      <c r="AD6584">
        <v>-1.1064322378829901</v>
      </c>
      <c r="AE6584">
        <v>-3.43739999999999</v>
      </c>
      <c r="AF6584">
        <v>6.0970190504594601</v>
      </c>
      <c r="AG6584">
        <v>-1.1064322378829901</v>
      </c>
      <c r="AH6584">
        <v>6.5691319172436202</v>
      </c>
      <c r="AI6584">
        <v>97.037599059873997</v>
      </c>
      <c r="AJ6584">
        <v>47.134630966406803</v>
      </c>
      <c r="AK6584">
        <v>9.0305773760508394</v>
      </c>
      <c r="AL6584">
        <v>87.117533611493798</v>
      </c>
      <c r="AM6584">
        <v>70.2675404094269</v>
      </c>
      <c r="AN6584">
        <v>0.99999999277062301</v>
      </c>
    </row>
    <row r="6585" spans="1:40" x14ac:dyDescent="0.25">
      <c r="A6585" t="str">
        <f>"20190312150821477"</f>
        <v>20190312150821477</v>
      </c>
      <c r="B6585" t="str">
        <f>"1552374501466827"</f>
        <v>1552374501466827</v>
      </c>
      <c r="C6585" t="s">
        <v>40</v>
      </c>
      <c r="D6585">
        <v>4.5398699999999996</v>
      </c>
      <c r="E6585">
        <v>0.65771480000000004</v>
      </c>
      <c r="F6585" t="s">
        <v>77</v>
      </c>
      <c r="G6585">
        <v>-204.1129</v>
      </c>
      <c r="H6585" s="1">
        <v>-9.2187069999999995E-6</v>
      </c>
      <c r="I6585">
        <v>144.5273</v>
      </c>
      <c r="J6585">
        <v>-195.72669999999999</v>
      </c>
      <c r="K6585">
        <v>1.10642</v>
      </c>
      <c r="L6585">
        <v>147.87299999999999</v>
      </c>
      <c r="M6585">
        <v>-0.42765160000000002</v>
      </c>
      <c r="N6585">
        <v>0</v>
      </c>
      <c r="O6585">
        <v>-0.90386270000000002</v>
      </c>
      <c r="P6585">
        <v>-0.70721829999999997</v>
      </c>
      <c r="Q6585">
        <v>4.2644670000000003E-2</v>
      </c>
      <c r="R6585">
        <v>-0.7057078</v>
      </c>
      <c r="S6585">
        <v>-3.0366360000000001</v>
      </c>
      <c r="T6585">
        <v>-0.39755839999999998</v>
      </c>
      <c r="U6585">
        <v>-1.2455750000000001</v>
      </c>
      <c r="V6585">
        <v>0.33798879999999998</v>
      </c>
      <c r="W6585">
        <v>5.0574960000000002E-2</v>
      </c>
      <c r="X6585">
        <v>0.93979020000000002</v>
      </c>
      <c r="Y6585">
        <v>0.66588809999999998</v>
      </c>
      <c r="Z6585">
        <v>0.12854769999999999</v>
      </c>
      <c r="AA6585">
        <v>0.73489359999999904</v>
      </c>
      <c r="AB6585">
        <v>17</v>
      </c>
      <c r="AC6585">
        <v>-8.3862000000000005</v>
      </c>
      <c r="AD6585">
        <v>-1.106429218707</v>
      </c>
      <c r="AE6585">
        <v>-3.3456999999999901</v>
      </c>
      <c r="AF6585">
        <v>6.0586489495457796</v>
      </c>
      <c r="AG6585">
        <v>-1.106429218707</v>
      </c>
      <c r="AH6585">
        <v>6.5131041859876699</v>
      </c>
      <c r="AI6585">
        <v>97.090176859018499</v>
      </c>
      <c r="AJ6585">
        <v>47.070278806958598</v>
      </c>
      <c r="AK6585">
        <v>8.9639242995113992</v>
      </c>
      <c r="AL6585">
        <v>87.101031322442907</v>
      </c>
      <c r="AM6585">
        <v>70.2192425350256</v>
      </c>
      <c r="AN6585">
        <v>0.99999993776023799</v>
      </c>
    </row>
    <row r="6586" spans="1:40" x14ac:dyDescent="0.25">
      <c r="A6586" t="str">
        <f>"20190312150821501"</f>
        <v>20190312150821501</v>
      </c>
      <c r="B6586" t="str">
        <f>"1552374501496107"</f>
        <v>1552374501496107</v>
      </c>
      <c r="C6586" t="s">
        <v>40</v>
      </c>
      <c r="D6586">
        <v>4.3537480000000004</v>
      </c>
      <c r="E6586">
        <v>0.65780050000000001</v>
      </c>
      <c r="F6586" t="s">
        <v>77</v>
      </c>
      <c r="G6586">
        <v>-204.22280000000001</v>
      </c>
      <c r="H6586" s="1">
        <v>-9.1608830000000008E-6</v>
      </c>
      <c r="I6586">
        <v>144.465</v>
      </c>
      <c r="J6586">
        <v>-195.8201</v>
      </c>
      <c r="K6586">
        <v>1.1064149999999999</v>
      </c>
      <c r="L6586">
        <v>147.70269999999999</v>
      </c>
      <c r="M6586">
        <v>-0.43640590000000001</v>
      </c>
      <c r="N6586">
        <v>0</v>
      </c>
      <c r="O6586">
        <v>-0.89966840000000003</v>
      </c>
      <c r="P6586">
        <v>-0.71494360000000001</v>
      </c>
      <c r="Q6586">
        <v>4.2903820000000002E-2</v>
      </c>
      <c r="R6586">
        <v>-0.69786440000000005</v>
      </c>
      <c r="S6586">
        <v>-3.0465089999999999</v>
      </c>
      <c r="T6586">
        <v>-0.39673999999999998</v>
      </c>
      <c r="U6586">
        <v>-1.2220310000000001</v>
      </c>
      <c r="V6586">
        <v>0.3392211</v>
      </c>
      <c r="W6586">
        <v>5.0817830000000001E-2</v>
      </c>
      <c r="X6586">
        <v>0.93933310000000003</v>
      </c>
      <c r="Y6586">
        <v>0.66445739999999998</v>
      </c>
      <c r="Z6586">
        <v>0.12812019999999999</v>
      </c>
      <c r="AA6586">
        <v>0.73626179999999997</v>
      </c>
      <c r="AB6586">
        <v>17</v>
      </c>
      <c r="AC6586">
        <v>-8.40270000000001</v>
      </c>
      <c r="AD6586">
        <v>-1.1064241608830001</v>
      </c>
      <c r="AE6586">
        <v>-3.2376999999999798</v>
      </c>
      <c r="AF6586">
        <v>6.0557207611348298</v>
      </c>
      <c r="AG6586">
        <v>-1.1064241608830001</v>
      </c>
      <c r="AH6586">
        <v>6.4824620311032399</v>
      </c>
      <c r="AI6586">
        <v>97.10945555584</v>
      </c>
      <c r="AJ6586">
        <v>46.949328662555899</v>
      </c>
      <c r="AK6586">
        <v>8.9397003498618499</v>
      </c>
      <c r="AL6586">
        <v>87.087098275868101</v>
      </c>
      <c r="AM6586">
        <v>70.143842388892395</v>
      </c>
      <c r="AN6586">
        <v>1.0000000396433599</v>
      </c>
    </row>
    <row r="6587" spans="1:40" x14ac:dyDescent="0.25">
      <c r="A6587" t="str">
        <f>"20190312150821522"</f>
        <v>20190312150821522</v>
      </c>
      <c r="B6587" t="str">
        <f>"1552374501516603"</f>
        <v>1552374501516603</v>
      </c>
      <c r="C6587" t="s">
        <v>40</v>
      </c>
      <c r="D6587">
        <v>4.2894199999999998</v>
      </c>
      <c r="E6587">
        <v>0.681029</v>
      </c>
      <c r="F6587" t="s">
        <v>77</v>
      </c>
      <c r="G6587">
        <v>-204.38239999999999</v>
      </c>
      <c r="H6587" s="1">
        <v>-9.0781009999999998E-6</v>
      </c>
      <c r="I6587">
        <v>144.37889999999999</v>
      </c>
      <c r="J6587">
        <v>-195.90049999999999</v>
      </c>
      <c r="K6587">
        <v>1.1064080000000001</v>
      </c>
      <c r="L6587">
        <v>147.5591</v>
      </c>
      <c r="M6587">
        <v>-0.44381510000000002</v>
      </c>
      <c r="N6587">
        <v>0</v>
      </c>
      <c r="O6587">
        <v>-0.89603670000000002</v>
      </c>
      <c r="P6587">
        <v>-0.72123890000000002</v>
      </c>
      <c r="Q6587">
        <v>4.3038489999999999E-2</v>
      </c>
      <c r="R6587">
        <v>-0.69134839999999997</v>
      </c>
      <c r="S6587">
        <v>-3.0602870000000002</v>
      </c>
      <c r="T6587">
        <v>-0.39545239999999998</v>
      </c>
      <c r="U6587">
        <v>-1.1879729999999999</v>
      </c>
      <c r="V6587">
        <v>0.33998879999999998</v>
      </c>
      <c r="W6587">
        <v>5.0940689999999997E-2</v>
      </c>
      <c r="X6587">
        <v>0.93904880000000002</v>
      </c>
      <c r="Y6587">
        <v>0.66662270000000001</v>
      </c>
      <c r="Z6587">
        <v>0.127694899999999</v>
      </c>
      <c r="AA6587">
        <v>0.73437609999999998</v>
      </c>
      <c r="AB6587">
        <v>17</v>
      </c>
      <c r="AC6587">
        <v>-8.4818999999999907</v>
      </c>
      <c r="AD6587">
        <v>-1.1064170781010001</v>
      </c>
      <c r="AE6587">
        <v>-3.1802000000000099</v>
      </c>
      <c r="AF6587">
        <v>6.0981505362450701</v>
      </c>
      <c r="AG6587">
        <v>-1.1064170781010001</v>
      </c>
      <c r="AH6587">
        <v>6.5172279585915502</v>
      </c>
      <c r="AI6587">
        <v>97.066539593799405</v>
      </c>
      <c r="AJ6587">
        <v>46.902641363003603</v>
      </c>
      <c r="AK6587">
        <v>8.9936565966055806</v>
      </c>
      <c r="AL6587">
        <v>87.080049652414104</v>
      </c>
      <c r="AM6587">
        <v>70.096877693072898</v>
      </c>
      <c r="AN6587">
        <v>0.99999999340227796</v>
      </c>
    </row>
    <row r="6588" spans="1:40" x14ac:dyDescent="0.25">
      <c r="A6588" t="str">
        <f>"20190312150821546"</f>
        <v>20190312150821546</v>
      </c>
      <c r="B6588" t="str">
        <f>"1552374501536863"</f>
        <v>1552374501536863</v>
      </c>
      <c r="C6588" t="s">
        <v>40</v>
      </c>
      <c r="D6588">
        <v>4.2548120000000003</v>
      </c>
      <c r="E6588">
        <v>0.68257789999999996</v>
      </c>
      <c r="F6588" t="s">
        <v>77</v>
      </c>
      <c r="G6588">
        <v>-205.20859999999999</v>
      </c>
      <c r="H6588" s="1">
        <v>-8.8014020000000006E-6</v>
      </c>
      <c r="I6588">
        <v>144.57259999999999</v>
      </c>
      <c r="J6588">
        <v>-195.9949</v>
      </c>
      <c r="K6588">
        <v>1.1063940000000001</v>
      </c>
      <c r="L6588">
        <v>147.39429999999999</v>
      </c>
      <c r="M6588">
        <v>-0.45234619999999998</v>
      </c>
      <c r="N6588">
        <v>0</v>
      </c>
      <c r="O6588">
        <v>-0.891760199999999</v>
      </c>
      <c r="P6588">
        <v>-0.7282904</v>
      </c>
      <c r="Q6588">
        <v>4.318988E-2</v>
      </c>
      <c r="R6588">
        <v>-0.68390640000000003</v>
      </c>
      <c r="S6588">
        <v>-3.1984710000000001</v>
      </c>
      <c r="T6588">
        <v>-0.38019130000000001</v>
      </c>
      <c r="U6588">
        <v>-1.0262150000000001</v>
      </c>
      <c r="V6588">
        <v>0.34066370000000001</v>
      </c>
      <c r="W6588">
        <v>5.1080699999999903E-2</v>
      </c>
      <c r="X6588">
        <v>0.93879659999999998</v>
      </c>
      <c r="Y6588">
        <v>0.70346839999999999</v>
      </c>
      <c r="Z6588">
        <v>0.12145830000000001</v>
      </c>
      <c r="AA6588">
        <v>0.70027139999999999</v>
      </c>
      <c r="AB6588">
        <v>17</v>
      </c>
      <c r="AC6588">
        <v>-9.2136999999999798</v>
      </c>
      <c r="AD6588">
        <v>-1.106402801402</v>
      </c>
      <c r="AE6588">
        <v>-2.8216999999999901</v>
      </c>
      <c r="AF6588">
        <v>6.8502259511906596</v>
      </c>
      <c r="AG6588">
        <v>-1.106402801402</v>
      </c>
      <c r="AH6588">
        <v>6.5975742241499802</v>
      </c>
      <c r="AI6588">
        <v>96.635524824312199</v>
      </c>
      <c r="AJ6588">
        <v>43.923677135455002</v>
      </c>
      <c r="AK6588">
        <v>9.5748476951063992</v>
      </c>
      <c r="AL6588">
        <v>87.072017306338907</v>
      </c>
      <c r="AM6588">
        <v>70.055545298332504</v>
      </c>
      <c r="AN6588">
        <v>1.0000000252908601</v>
      </c>
    </row>
    <row r="6589" spans="1:40" x14ac:dyDescent="0.25">
      <c r="A6589" t="str">
        <f>"20190312150821559"</f>
        <v>20190312150821559</v>
      </c>
      <c r="B6589" t="str">
        <f>"1552374501556362"</f>
        <v>1552374501556362</v>
      </c>
      <c r="C6589" t="s">
        <v>40</v>
      </c>
      <c r="D6589">
        <v>4.2656919999999996</v>
      </c>
      <c r="E6589">
        <v>0.68264729999999996</v>
      </c>
      <c r="F6589" t="s">
        <v>77</v>
      </c>
      <c r="G6589">
        <v>-205.18639999999999</v>
      </c>
      <c r="H6589" s="1">
        <v>-8.8140439999999993E-6</v>
      </c>
      <c r="I6589">
        <v>144.58330000000001</v>
      </c>
      <c r="J6589">
        <v>-196.04910000000001</v>
      </c>
      <c r="K6589">
        <v>1.1063879999999999</v>
      </c>
      <c r="L6589">
        <v>147.3014</v>
      </c>
      <c r="M6589">
        <v>-0.4571672</v>
      </c>
      <c r="N6589">
        <v>0</v>
      </c>
      <c r="O6589">
        <v>-0.88929829999999999</v>
      </c>
      <c r="P6589">
        <v>-0.73224990000000001</v>
      </c>
      <c r="Q6589">
        <v>4.2997359999999998E-2</v>
      </c>
      <c r="R6589">
        <v>-0.67967769999999905</v>
      </c>
      <c r="S6589">
        <v>-3.218048</v>
      </c>
      <c r="T6589">
        <v>-0.38736199999999998</v>
      </c>
      <c r="U6589">
        <v>-0.98413090000000003</v>
      </c>
      <c r="V6589">
        <v>0.34102640000000001</v>
      </c>
      <c r="W6589">
        <v>5.0882599999999903E-2</v>
      </c>
      <c r="X6589">
        <v>0.93867560000000005</v>
      </c>
      <c r="Y6589">
        <v>0.70893229999999996</v>
      </c>
      <c r="Z6589">
        <v>0.123696</v>
      </c>
      <c r="AA6589">
        <v>0.69434449999999903</v>
      </c>
      <c r="AB6589">
        <v>17</v>
      </c>
      <c r="AC6589">
        <v>-9.1372999999999802</v>
      </c>
      <c r="AD6589">
        <v>-1.1063968140439999</v>
      </c>
      <c r="AE6589">
        <v>-2.71809999999999</v>
      </c>
      <c r="AF6589">
        <v>6.7921747534749697</v>
      </c>
      <c r="AG6589">
        <v>-1.1063968140439999</v>
      </c>
      <c r="AH6589">
        <v>6.5073070681966101</v>
      </c>
      <c r="AI6589">
        <v>96.708467041812099</v>
      </c>
      <c r="AJ6589">
        <v>43.772943119544301</v>
      </c>
      <c r="AK6589">
        <v>9.4711560578247802</v>
      </c>
      <c r="AL6589">
        <v>87.083382198160194</v>
      </c>
      <c r="AM6589">
        <v>70.033617253455802</v>
      </c>
      <c r="AN6589">
        <v>0.99999996325753904</v>
      </c>
    </row>
    <row r="6590" spans="1:40" x14ac:dyDescent="0.25">
      <c r="A6590" t="str">
        <f>"20190312150821580"</f>
        <v>20190312150821580</v>
      </c>
      <c r="B6590" t="str">
        <f>"1552374501576857"</f>
        <v>1552374501576857</v>
      </c>
      <c r="C6590" t="s">
        <v>40</v>
      </c>
      <c r="D6590">
        <v>4.2870900000000001</v>
      </c>
      <c r="E6590">
        <v>0.68249069999999901</v>
      </c>
      <c r="F6590" t="s">
        <v>77</v>
      </c>
      <c r="G6590">
        <v>-205.1369</v>
      </c>
      <c r="H6590" s="1">
        <v>-8.8356489999999996E-6</v>
      </c>
      <c r="I6590">
        <v>144.58199999999999</v>
      </c>
      <c r="J6590">
        <v>-196.13159999999999</v>
      </c>
      <c r="K6590">
        <v>1.106385</v>
      </c>
      <c r="L6590">
        <v>147.16200000000001</v>
      </c>
      <c r="M6590">
        <v>-0.46440749999999997</v>
      </c>
      <c r="N6590">
        <v>0</v>
      </c>
      <c r="O6590">
        <v>-0.88553869999999901</v>
      </c>
      <c r="P6590">
        <v>-0.73783180000000004</v>
      </c>
      <c r="Q6590">
        <v>4.267866E-2</v>
      </c>
      <c r="R6590">
        <v>-0.67363409999999901</v>
      </c>
      <c r="S6590">
        <v>-3.2244419999999998</v>
      </c>
      <c r="T6590">
        <v>-0.3925593</v>
      </c>
      <c r="U6590">
        <v>-0.96485900000000002</v>
      </c>
      <c r="V6590">
        <v>0.3410994</v>
      </c>
      <c r="W6590">
        <v>5.0563530000000002E-2</v>
      </c>
      <c r="X6590">
        <v>0.93866629999999995</v>
      </c>
      <c r="Y6590">
        <v>0.70721559999999895</v>
      </c>
      <c r="Z6590">
        <v>0.12516169999999999</v>
      </c>
      <c r="AA6590">
        <v>0.69583090000000003</v>
      </c>
      <c r="AB6590">
        <v>17</v>
      </c>
      <c r="AC6590">
        <v>-9.0053000000000001</v>
      </c>
      <c r="AD6590">
        <v>-1.106393835649</v>
      </c>
      <c r="AE6590">
        <v>-2.5800000000000098</v>
      </c>
      <c r="AF6590">
        <v>6.6836336797477198</v>
      </c>
      <c r="AG6590">
        <v>-1.106393835649</v>
      </c>
      <c r="AH6590">
        <v>6.3783183852836602</v>
      </c>
      <c r="AI6590">
        <v>96.829003283491602</v>
      </c>
      <c r="AJ6590">
        <v>43.6609893483242</v>
      </c>
      <c r="AK6590">
        <v>9.3047306198872697</v>
      </c>
      <c r="AL6590">
        <v>87.101687079018006</v>
      </c>
      <c r="AM6590">
        <v>70.029498843874094</v>
      </c>
      <c r="AN6590">
        <v>0.99999994700105399</v>
      </c>
    </row>
    <row r="6591" spans="1:40" x14ac:dyDescent="0.25">
      <c r="A6591" t="str">
        <f>"20190312150821592"</f>
        <v>20190312150821592</v>
      </c>
      <c r="B6591" t="str">
        <f>"1552374501586616"</f>
        <v>1552374501586616</v>
      </c>
      <c r="C6591" t="s">
        <v>40</v>
      </c>
      <c r="D6591">
        <v>4.2684360000000003</v>
      </c>
      <c r="E6591">
        <v>0.6822165</v>
      </c>
      <c r="F6591" t="s">
        <v>77</v>
      </c>
      <c r="G6591">
        <v>-205.22659999999999</v>
      </c>
      <c r="H6591" s="1">
        <v>-8.7794359999999995E-6</v>
      </c>
      <c r="I6591">
        <v>144.5196</v>
      </c>
      <c r="J6591">
        <v>-196.17959999999999</v>
      </c>
      <c r="K6591">
        <v>1.106385</v>
      </c>
      <c r="L6591">
        <v>147.0822</v>
      </c>
      <c r="M6591">
        <v>-0.46856160000000002</v>
      </c>
      <c r="N6591">
        <v>0</v>
      </c>
      <c r="O6591">
        <v>-0.88334769999999896</v>
      </c>
      <c r="P6591">
        <v>-0.74085990000000002</v>
      </c>
      <c r="Q6591">
        <v>4.2435649999999998E-2</v>
      </c>
      <c r="R6591">
        <v>-0.67031809999999903</v>
      </c>
      <c r="S6591">
        <v>-3.231522</v>
      </c>
      <c r="T6591">
        <v>-0.39311059999999998</v>
      </c>
      <c r="U6591">
        <v>-0.93887330000000002</v>
      </c>
      <c r="V6591">
        <v>0.34091070000000001</v>
      </c>
      <c r="W6591">
        <v>5.0324939999999999E-2</v>
      </c>
      <c r="X6591">
        <v>0.93874769999999996</v>
      </c>
      <c r="Y6591">
        <v>0.70945440000000004</v>
      </c>
      <c r="Z6591">
        <v>0.12540850000000001</v>
      </c>
      <c r="AA6591">
        <v>0.69350349999999905</v>
      </c>
      <c r="AB6591">
        <v>17</v>
      </c>
      <c r="AC6591">
        <v>-9.0469999999999899</v>
      </c>
      <c r="AD6591">
        <v>-1.1063937794359999</v>
      </c>
      <c r="AE6591">
        <v>-2.5626000000000002</v>
      </c>
      <c r="AF6591">
        <v>6.6986664065483303</v>
      </c>
      <c r="AG6591">
        <v>-1.1063937794359999</v>
      </c>
      <c r="AH6591">
        <v>6.4144136471041797</v>
      </c>
      <c r="AI6591">
        <v>96.802884140675999</v>
      </c>
      <c r="AJ6591">
        <v>43.758191583555501</v>
      </c>
      <c r="AK6591">
        <v>9.3402859301816896</v>
      </c>
      <c r="AL6591">
        <v>87.115374785516806</v>
      </c>
      <c r="AM6591">
        <v>70.041268230329393</v>
      </c>
      <c r="AN6591">
        <v>0.99999997460789103</v>
      </c>
    </row>
    <row r="6592" spans="1:40" x14ac:dyDescent="0.25">
      <c r="A6592" t="str">
        <f>"20190312150821611"</f>
        <v>20190312150821611</v>
      </c>
      <c r="B6592" t="str">
        <f>"1552374501606136"</f>
        <v>1552374501606136</v>
      </c>
      <c r="C6592" t="s">
        <v>40</v>
      </c>
      <c r="D6592">
        <v>4.2786780000000002</v>
      </c>
      <c r="E6592">
        <v>0.68136859999999999</v>
      </c>
      <c r="F6592" t="s">
        <v>77</v>
      </c>
      <c r="G6592">
        <v>-205.30889999999999</v>
      </c>
      <c r="H6592" s="1">
        <v>-8.7295800000000005E-6</v>
      </c>
      <c r="I6592">
        <v>144.4691</v>
      </c>
      <c r="J6592">
        <v>-196.25399999999999</v>
      </c>
      <c r="K6592">
        <v>1.1063780000000001</v>
      </c>
      <c r="L6592">
        <v>146.9598</v>
      </c>
      <c r="M6592">
        <v>-0.47493740000000001</v>
      </c>
      <c r="N6592">
        <v>0</v>
      </c>
      <c r="O6592">
        <v>-0.87993600000000005</v>
      </c>
      <c r="P6592">
        <v>-0.74555959999999999</v>
      </c>
      <c r="Q6592">
        <v>4.2593649999999997E-2</v>
      </c>
      <c r="R6592">
        <v>-0.66507669999999997</v>
      </c>
      <c r="S6592">
        <v>-3.2341920000000002</v>
      </c>
      <c r="T6592">
        <v>-0.39195479999999999</v>
      </c>
      <c r="U6592">
        <v>-0.92575070000000004</v>
      </c>
      <c r="V6592">
        <v>0.34073560000000003</v>
      </c>
      <c r="W6592">
        <v>5.0487329999999997E-2</v>
      </c>
      <c r="X6592">
        <v>0.93880260000000004</v>
      </c>
      <c r="Y6592">
        <v>0.70720740000000004</v>
      </c>
      <c r="Z6592">
        <v>0.1248954</v>
      </c>
      <c r="AA6592">
        <v>0.69588709999999998</v>
      </c>
      <c r="AB6592">
        <v>17</v>
      </c>
      <c r="AC6592">
        <v>-9.0548999999999698</v>
      </c>
      <c r="AD6592">
        <v>-1.1063867295799901</v>
      </c>
      <c r="AE6592">
        <v>-2.4906999999999999</v>
      </c>
      <c r="AF6592">
        <v>6.6924181877952504</v>
      </c>
      <c r="AG6592">
        <v>-1.1063867295799901</v>
      </c>
      <c r="AH6592">
        <v>6.4037643599653604</v>
      </c>
      <c r="AI6592">
        <v>96.811482563088902</v>
      </c>
      <c r="AJ6592">
        <v>43.737344368138501</v>
      </c>
      <c r="AK6592">
        <v>9.3284913449971096</v>
      </c>
      <c r="AL6592">
        <v>87.1060588144788</v>
      </c>
      <c r="AM6592">
        <v>70.051785277501097</v>
      </c>
      <c r="AN6592">
        <v>1.0000000206823201</v>
      </c>
    </row>
    <row r="6593" spans="1:40" x14ac:dyDescent="0.25">
      <c r="A6593" t="str">
        <f>"20190312150821621"</f>
        <v>20190312150821621</v>
      </c>
      <c r="B6593" t="str">
        <f>"1552374501616872"</f>
        <v>1552374501616872</v>
      </c>
      <c r="C6593" t="s">
        <v>40</v>
      </c>
      <c r="D6593">
        <v>4.2820429999999998</v>
      </c>
      <c r="E6593">
        <v>0.68106080000000002</v>
      </c>
      <c r="F6593" t="s">
        <v>77</v>
      </c>
      <c r="G6593">
        <v>-205.60380000000001</v>
      </c>
      <c r="H6593" s="1">
        <v>-8.5639199999999907E-6</v>
      </c>
      <c r="I6593">
        <v>144.33699999999999</v>
      </c>
      <c r="J6593">
        <v>-196.30119999999999</v>
      </c>
      <c r="K6593">
        <v>1.1063799999999999</v>
      </c>
      <c r="L6593">
        <v>146.88329999999999</v>
      </c>
      <c r="M6593">
        <v>-0.47893019999999997</v>
      </c>
      <c r="N6593">
        <v>0</v>
      </c>
      <c r="O6593">
        <v>-0.87776919999999903</v>
      </c>
      <c r="P6593">
        <v>-0.74838470000000001</v>
      </c>
      <c r="Q6593">
        <v>4.2905939999999997E-2</v>
      </c>
      <c r="R6593">
        <v>-0.66187609999999997</v>
      </c>
      <c r="S6593">
        <v>-3.2359469999999999</v>
      </c>
      <c r="T6593">
        <v>-0.38291930000000002</v>
      </c>
      <c r="U6593">
        <v>-0.90777589999999997</v>
      </c>
      <c r="V6593">
        <v>0.34048040000000002</v>
      </c>
      <c r="W6593">
        <v>5.0805450000000002E-2</v>
      </c>
      <c r="X6593">
        <v>0.93887799999999999</v>
      </c>
      <c r="Y6593">
        <v>0.70805430000000003</v>
      </c>
      <c r="Z6593">
        <v>0.1221404</v>
      </c>
      <c r="AA6593">
        <v>0.69551479999999999</v>
      </c>
      <c r="AB6593">
        <v>17</v>
      </c>
      <c r="AC6593">
        <v>-9.3026000000000106</v>
      </c>
      <c r="AD6593">
        <v>-1.10638856392</v>
      </c>
      <c r="AE6593">
        <v>-2.5462999999999698</v>
      </c>
      <c r="AF6593">
        <v>6.8563229562058599</v>
      </c>
      <c r="AG6593">
        <v>-1.10638856392</v>
      </c>
      <c r="AH6593">
        <v>6.6039491886197803</v>
      </c>
      <c r="AI6593">
        <v>96.629351398776194</v>
      </c>
      <c r="AJ6593">
        <v>43.925856958631798</v>
      </c>
      <c r="AK6593">
        <v>9.5836008378917903</v>
      </c>
      <c r="AL6593">
        <v>87.087808392812306</v>
      </c>
      <c r="AM6593">
        <v>70.067023438720597</v>
      </c>
      <c r="AN6593">
        <v>0.999999997708931</v>
      </c>
    </row>
    <row r="6594" spans="1:40" x14ac:dyDescent="0.25">
      <c r="A6594" t="str">
        <f>"20190312150821643"</f>
        <v>20190312150821643</v>
      </c>
      <c r="B6594" t="str">
        <f>"1552374501636964"</f>
        <v>1552374501636964</v>
      </c>
      <c r="C6594" t="s">
        <v>40</v>
      </c>
      <c r="D6594">
        <v>4.2993439999999996</v>
      </c>
      <c r="E6594">
        <v>0.68047270000000004</v>
      </c>
      <c r="F6594" t="s">
        <v>77</v>
      </c>
      <c r="G6594">
        <v>-205.65819999999999</v>
      </c>
      <c r="H6594" s="1">
        <v>-8.5287470000000004E-6</v>
      </c>
      <c r="I6594">
        <v>144.29499999999999</v>
      </c>
      <c r="J6594">
        <v>-196.3946</v>
      </c>
      <c r="K6594">
        <v>1.106395</v>
      </c>
      <c r="L6594">
        <v>146.73410000000001</v>
      </c>
      <c r="M6594">
        <v>-0.48671619999999999</v>
      </c>
      <c r="N6594">
        <v>0</v>
      </c>
      <c r="O6594">
        <v>-0.87347609999999998</v>
      </c>
      <c r="P6594">
        <v>-0.75403009999999904</v>
      </c>
      <c r="Q6594">
        <v>4.3148880000000001E-2</v>
      </c>
      <c r="R6594">
        <v>-0.65542159999999905</v>
      </c>
      <c r="S6594">
        <v>-3.238327</v>
      </c>
      <c r="T6594">
        <v>-0.3829089</v>
      </c>
      <c r="U6594">
        <v>-0.89576719999999899</v>
      </c>
      <c r="V6594">
        <v>0.34018870000000001</v>
      </c>
      <c r="W6594">
        <v>5.1057850000000002E-2</v>
      </c>
      <c r="X6594">
        <v>0.93896999999999997</v>
      </c>
      <c r="Y6594">
        <v>0.70436290000000001</v>
      </c>
      <c r="Z6594">
        <v>0.1218849</v>
      </c>
      <c r="AA6594">
        <v>0.69929739999999996</v>
      </c>
      <c r="AB6594">
        <v>17</v>
      </c>
      <c r="AC6594">
        <v>-9.2635999999999896</v>
      </c>
      <c r="AD6594">
        <v>-1.106403528747</v>
      </c>
      <c r="AE6594">
        <v>-2.4391000000000198</v>
      </c>
      <c r="AF6594">
        <v>6.8139917743332701</v>
      </c>
      <c r="AG6594">
        <v>-1.106403528747</v>
      </c>
      <c r="AH6594">
        <v>6.5523190589099203</v>
      </c>
      <c r="AI6594">
        <v>96.675519290985093</v>
      </c>
      <c r="AJ6594">
        <v>43.878461868735599</v>
      </c>
      <c r="AK6594">
        <v>9.5177464622073007</v>
      </c>
      <c r="AL6594">
        <v>87.073328029170796</v>
      </c>
      <c r="AM6594">
        <v>70.084555298505606</v>
      </c>
      <c r="AN6594">
        <v>0.99999995827715504</v>
      </c>
    </row>
    <row r="6595" spans="1:40" x14ac:dyDescent="0.25">
      <c r="A6595" t="str">
        <f>"20190312150821657"</f>
        <v>20190312150821657</v>
      </c>
      <c r="B6595" t="str">
        <f>"1552374501646715"</f>
        <v>1552374501646715</v>
      </c>
      <c r="C6595" t="s">
        <v>40</v>
      </c>
      <c r="D6595">
        <v>4.275817</v>
      </c>
      <c r="E6595">
        <v>0.68013459999999903</v>
      </c>
      <c r="F6595" t="s">
        <v>77</v>
      </c>
      <c r="G6595">
        <v>-205.71549999999999</v>
      </c>
      <c r="H6595" s="1">
        <v>-8.4860680000000008E-6</v>
      </c>
      <c r="I6595">
        <v>144.2296</v>
      </c>
      <c r="J6595">
        <v>-196.4503</v>
      </c>
      <c r="K6595">
        <v>1.106398</v>
      </c>
      <c r="L6595">
        <v>146.64680000000001</v>
      </c>
      <c r="M6595">
        <v>-0.49127720000000002</v>
      </c>
      <c r="N6595">
        <v>0</v>
      </c>
      <c r="O6595">
        <v>-0.87091890000000005</v>
      </c>
      <c r="P6595">
        <v>-0.75715659999999996</v>
      </c>
      <c r="Q6595">
        <v>4.3377029999999997E-2</v>
      </c>
      <c r="R6595">
        <v>-0.65179149999999997</v>
      </c>
      <c r="S6595">
        <v>-3.2431950000000001</v>
      </c>
      <c r="T6595">
        <v>-0.38497399999999998</v>
      </c>
      <c r="U6595">
        <v>-0.87142940000000002</v>
      </c>
      <c r="V6595">
        <v>0.33977950000000001</v>
      </c>
      <c r="W6595">
        <v>5.1295010000000002E-2</v>
      </c>
      <c r="X6595">
        <v>0.93910530000000003</v>
      </c>
      <c r="Y6595">
        <v>0.70574019999999904</v>
      </c>
      <c r="Z6595">
        <v>0.1225895</v>
      </c>
      <c r="AA6595">
        <v>0.69778409999999902</v>
      </c>
      <c r="AB6595">
        <v>17</v>
      </c>
      <c r="AC6595">
        <v>-9.2651999999999894</v>
      </c>
      <c r="AD6595">
        <v>-1.1064064860680001</v>
      </c>
      <c r="AE6595">
        <v>-2.4171999999999998</v>
      </c>
      <c r="AF6595">
        <v>6.7915524757103602</v>
      </c>
      <c r="AG6595">
        <v>-1.1064064860680001</v>
      </c>
      <c r="AH6595">
        <v>6.5697415486115096</v>
      </c>
      <c r="AI6595">
        <v>96.678376970372994</v>
      </c>
      <c r="AJ6595">
        <v>44.048919763864902</v>
      </c>
      <c r="AK6595">
        <v>9.51371769385098</v>
      </c>
      <c r="AL6595">
        <v>87.059722130514103</v>
      </c>
      <c r="AM6595">
        <v>70.109271774612694</v>
      </c>
      <c r="AN6595">
        <v>1.00000002557961</v>
      </c>
    </row>
    <row r="6596" spans="1:40" x14ac:dyDescent="0.25">
      <c r="A6596" t="str">
        <f>"20190312150821669"</f>
        <v>20190312150821669</v>
      </c>
      <c r="B6596" t="str">
        <f>"1552374501666235"</f>
        <v>1552374501666235</v>
      </c>
      <c r="C6596" t="s">
        <v>40</v>
      </c>
      <c r="D6596">
        <v>4.3529980000000004</v>
      </c>
      <c r="E6596">
        <v>0.67961839999999996</v>
      </c>
      <c r="F6596" t="s">
        <v>77</v>
      </c>
      <c r="G6596">
        <v>-205.82419999999999</v>
      </c>
      <c r="H6596" s="1">
        <v>-8.4221330000000005E-6</v>
      </c>
      <c r="I6596">
        <v>144.17009999999999</v>
      </c>
      <c r="J6596">
        <v>-196.50110000000001</v>
      </c>
      <c r="K6596">
        <v>1.1064050000000001</v>
      </c>
      <c r="L6596">
        <v>146.5677</v>
      </c>
      <c r="M6596">
        <v>-0.4954113</v>
      </c>
      <c r="N6596">
        <v>0</v>
      </c>
      <c r="O6596">
        <v>-0.86857390000000001</v>
      </c>
      <c r="P6596">
        <v>-0.76016379999999995</v>
      </c>
      <c r="Q6596">
        <v>4.3512740000000001E-2</v>
      </c>
      <c r="R6596">
        <v>-0.64827319999999999</v>
      </c>
      <c r="S6596">
        <v>-3.2458650000000002</v>
      </c>
      <c r="T6596">
        <v>-0.38311020000000001</v>
      </c>
      <c r="U6596">
        <v>-0.85760499999999995</v>
      </c>
      <c r="V6596">
        <v>0.33966550000000001</v>
      </c>
      <c r="W6596">
        <v>5.1434519999999997E-2</v>
      </c>
      <c r="X6596">
        <v>0.9391389</v>
      </c>
      <c r="Y6596">
        <v>0.70539680000000005</v>
      </c>
      <c r="Z6596">
        <v>0.121951</v>
      </c>
      <c r="AA6596">
        <v>0.69824310000000001</v>
      </c>
      <c r="AB6596">
        <v>17</v>
      </c>
      <c r="AC6596">
        <v>-9.3230999999999806</v>
      </c>
      <c r="AD6596">
        <v>-1.10641342213299</v>
      </c>
      <c r="AE6596">
        <v>-2.3976000000000099</v>
      </c>
      <c r="AF6596">
        <v>6.8204137439758297</v>
      </c>
      <c r="AG6596">
        <v>-1.10641342213299</v>
      </c>
      <c r="AH6596">
        <v>6.6143787926838504</v>
      </c>
      <c r="AI6596">
        <v>96.642342745924907</v>
      </c>
      <c r="AJ6596">
        <v>44.121385181795503</v>
      </c>
      <c r="AK6596">
        <v>9.56515557180313</v>
      </c>
      <c r="AL6596">
        <v>87.051718207537803</v>
      </c>
      <c r="AM6596">
        <v>70.116077825333505</v>
      </c>
      <c r="AN6596">
        <v>1.0000000176155399</v>
      </c>
    </row>
    <row r="6597" spans="1:40" x14ac:dyDescent="0.25">
      <c r="A6597" t="str">
        <f>"20190312150821681"</f>
        <v>20190312150821681</v>
      </c>
      <c r="B6597" t="str">
        <f>"1552374501676972"</f>
        <v>1552374501676972</v>
      </c>
      <c r="C6597" t="s">
        <v>40</v>
      </c>
      <c r="D6597">
        <v>4.2944909999999998</v>
      </c>
      <c r="E6597">
        <v>0.67926869999999995</v>
      </c>
      <c r="F6597" t="s">
        <v>77</v>
      </c>
      <c r="G6597">
        <v>-205.7912</v>
      </c>
      <c r="H6597" s="1">
        <v>-8.4311749999999998E-6</v>
      </c>
      <c r="I6597">
        <v>144.14879999999999</v>
      </c>
      <c r="J6597">
        <v>-196.55860000000001</v>
      </c>
      <c r="K6597">
        <v>1.1064050000000001</v>
      </c>
      <c r="L6597">
        <v>146.47929999999999</v>
      </c>
      <c r="M6597">
        <v>-0.50003019999999998</v>
      </c>
      <c r="N6597">
        <v>0</v>
      </c>
      <c r="O6597">
        <v>-0.8659232</v>
      </c>
      <c r="P6597">
        <v>-0.76343450000000002</v>
      </c>
      <c r="Q6597">
        <v>4.3830210000000001E-2</v>
      </c>
      <c r="R6597">
        <v>-0.64439669999999905</v>
      </c>
      <c r="S6597">
        <v>-3.2475429999999998</v>
      </c>
      <c r="T6597">
        <v>-0.38677270000000002</v>
      </c>
      <c r="U6597">
        <v>-0.84556580000000003</v>
      </c>
      <c r="V6597">
        <v>0.3394298</v>
      </c>
      <c r="W6597">
        <v>5.1757869999999997E-2</v>
      </c>
      <c r="X6597">
        <v>0.9392064</v>
      </c>
      <c r="Y6597">
        <v>0.70401689999999995</v>
      </c>
      <c r="Z6597">
        <v>0.1230111</v>
      </c>
      <c r="AA6597">
        <v>0.69944869999999904</v>
      </c>
      <c r="AB6597">
        <v>17</v>
      </c>
      <c r="AC6597">
        <v>-9.2325999999999908</v>
      </c>
      <c r="AD6597">
        <v>-1.10641343117499</v>
      </c>
      <c r="AE6597">
        <v>-2.3304999999999998</v>
      </c>
      <c r="AF6597">
        <v>6.7389223592963896</v>
      </c>
      <c r="AG6597">
        <v>-1.10641343117499</v>
      </c>
      <c r="AH6597">
        <v>6.54671372557313</v>
      </c>
      <c r="AI6597">
        <v>96.716324284377606</v>
      </c>
      <c r="AJ6597">
        <v>44.171136768982599</v>
      </c>
      <c r="AK6597">
        <v>9.4602688043161294</v>
      </c>
      <c r="AL6597">
        <v>87.033167045480596</v>
      </c>
      <c r="AM6597">
        <v>70.130111538756097</v>
      </c>
      <c r="AN6597">
        <v>1.00000006401796</v>
      </c>
    </row>
    <row r="6598" spans="1:40" x14ac:dyDescent="0.25">
      <c r="A6598" t="str">
        <f>"20190312150821701"</f>
        <v>20190312150821701</v>
      </c>
      <c r="B6598" t="str">
        <f>"1552374501696491"</f>
        <v>1552374501696491</v>
      </c>
      <c r="C6598" t="s">
        <v>40</v>
      </c>
      <c r="D6598">
        <v>4.2815450000000004</v>
      </c>
      <c r="E6598">
        <v>0.67863640000000003</v>
      </c>
      <c r="F6598" t="s">
        <v>77</v>
      </c>
      <c r="G6598">
        <v>-205.87289999999999</v>
      </c>
      <c r="H6598" s="1">
        <v>-8.3813670000000005E-6</v>
      </c>
      <c r="I6598">
        <v>144.09739999999999</v>
      </c>
      <c r="J6598">
        <v>-196.63759999999999</v>
      </c>
      <c r="K6598">
        <v>1.1064080000000001</v>
      </c>
      <c r="L6598">
        <v>146.3595</v>
      </c>
      <c r="M6598">
        <v>-0.50629199999999996</v>
      </c>
      <c r="N6598">
        <v>0</v>
      </c>
      <c r="O6598">
        <v>-0.86227699999999996</v>
      </c>
      <c r="P6598">
        <v>-0.76763609999999904</v>
      </c>
      <c r="Q6598">
        <v>4.4544239999999999E-2</v>
      </c>
      <c r="R6598">
        <v>-0.63933619999999902</v>
      </c>
      <c r="S6598">
        <v>-3.250229</v>
      </c>
      <c r="T6598">
        <v>-0.38608320000000002</v>
      </c>
      <c r="U6598">
        <v>-0.8311615</v>
      </c>
      <c r="V6598">
        <v>0.33880320000000003</v>
      </c>
      <c r="W6598">
        <v>5.2482630000000002E-2</v>
      </c>
      <c r="X6598">
        <v>0.93939229999999996</v>
      </c>
      <c r="Y6598">
        <v>0.70199829999999996</v>
      </c>
      <c r="Z6598">
        <v>0.12261469999999999</v>
      </c>
      <c r="AA6598">
        <v>0.70154399999999995</v>
      </c>
      <c r="AB6598">
        <v>17</v>
      </c>
      <c r="AC6598">
        <v>-9.2352999999999899</v>
      </c>
      <c r="AD6598">
        <v>-1.106416381367</v>
      </c>
      <c r="AE6598">
        <v>-2.2621000000000002</v>
      </c>
      <c r="AF6598">
        <v>6.7275110160422802</v>
      </c>
      <c r="AG6598">
        <v>-1.106416381367</v>
      </c>
      <c r="AH6598">
        <v>6.5382709857205796</v>
      </c>
      <c r="AI6598">
        <v>96.726321281975601</v>
      </c>
      <c r="AJ6598">
        <v>44.182715375977601</v>
      </c>
      <c r="AK6598">
        <v>9.4462981724399899</v>
      </c>
      <c r="AL6598">
        <v>86.991584539152697</v>
      </c>
      <c r="AM6598">
        <v>70.167547556548101</v>
      </c>
      <c r="AN6598">
        <v>0.99999996404062197</v>
      </c>
    </row>
    <row r="6599" spans="1:40" x14ac:dyDescent="0.25">
      <c r="A6599" t="str">
        <f>"20190312150821715"</f>
        <v>20190312150821715</v>
      </c>
      <c r="B6599" t="str">
        <f>"1552374501706251"</f>
        <v>1552374501706251</v>
      </c>
      <c r="C6599" t="s">
        <v>40</v>
      </c>
      <c r="D6599">
        <v>4.2718949999999998</v>
      </c>
      <c r="E6599">
        <v>0.67837559999999997</v>
      </c>
      <c r="F6599" t="s">
        <v>77</v>
      </c>
      <c r="G6599">
        <v>-205.9341</v>
      </c>
      <c r="H6599" s="1">
        <v>-8.3374430000000001E-6</v>
      </c>
      <c r="I6599">
        <v>144.03389999999999</v>
      </c>
      <c r="J6599">
        <v>-196.70009999999999</v>
      </c>
      <c r="K6599">
        <v>1.1064099999999999</v>
      </c>
      <c r="L6599">
        <v>146.26609999999999</v>
      </c>
      <c r="M6599">
        <v>-0.51118149999999996</v>
      </c>
      <c r="N6599">
        <v>0</v>
      </c>
      <c r="O6599">
        <v>-0.85938729999999997</v>
      </c>
      <c r="P6599">
        <v>-0.77124519999999996</v>
      </c>
      <c r="Q6599">
        <v>4.4686660000000003E-2</v>
      </c>
      <c r="R6599">
        <v>-0.63496819999999998</v>
      </c>
      <c r="S6599">
        <v>-3.2528229999999998</v>
      </c>
      <c r="T6599">
        <v>-0.38713110000000001</v>
      </c>
      <c r="U6599">
        <v>-0.81373600000000001</v>
      </c>
      <c r="V6599">
        <v>0.3387947</v>
      </c>
      <c r="W6599">
        <v>5.2625970000000001E-2</v>
      </c>
      <c r="X6599">
        <v>0.93938739999999998</v>
      </c>
      <c r="Y6599">
        <v>0.70160900000000004</v>
      </c>
      <c r="Z6599">
        <v>0.122892</v>
      </c>
      <c r="AA6599">
        <v>0.70188490000000003</v>
      </c>
      <c r="AB6599">
        <v>17</v>
      </c>
      <c r="AC6599">
        <v>-9.234</v>
      </c>
      <c r="AD6599">
        <v>-1.1064183374429899</v>
      </c>
      <c r="AE6599">
        <v>-2.2322000000000002</v>
      </c>
      <c r="AF6599">
        <v>6.7040866956887202</v>
      </c>
      <c r="AG6599">
        <v>-1.1064183374429899</v>
      </c>
      <c r="AH6599">
        <v>6.5502137180549598</v>
      </c>
      <c r="AI6599">
        <v>96.732335484868003</v>
      </c>
      <c r="AJ6599">
        <v>44.334866731270097</v>
      </c>
      <c r="AK6599">
        <v>9.4379150087789991</v>
      </c>
      <c r="AL6599">
        <v>86.983360548581601</v>
      </c>
      <c r="AM6599">
        <v>70.167910938754801</v>
      </c>
      <c r="AN6599">
        <v>1.00000001437264</v>
      </c>
    </row>
    <row r="6600" spans="1:40" x14ac:dyDescent="0.25">
      <c r="A6600" t="str">
        <f>"20190312150821734"</f>
        <v>20190312150821734</v>
      </c>
      <c r="B6600" t="str">
        <f>"1552374501726746"</f>
        <v>1552374501726746</v>
      </c>
      <c r="C6600" t="s">
        <v>40</v>
      </c>
      <c r="D6600">
        <v>4.2867300000000004</v>
      </c>
      <c r="E6600">
        <v>0.67786429999999998</v>
      </c>
      <c r="F6600" t="s">
        <v>77</v>
      </c>
      <c r="G6600">
        <v>-206.01820000000001</v>
      </c>
      <c r="H6600" s="1">
        <v>-8.2872650000000004E-6</v>
      </c>
      <c r="I6600">
        <v>143.98500000000001</v>
      </c>
      <c r="J6600">
        <v>-196.78639999999999</v>
      </c>
      <c r="K6600">
        <v>1.1064099999999999</v>
      </c>
      <c r="L6600">
        <v>146.13890000000001</v>
      </c>
      <c r="M6600">
        <v>-0.51783959999999996</v>
      </c>
      <c r="N6600">
        <v>0</v>
      </c>
      <c r="O6600">
        <v>-0.85539189999999998</v>
      </c>
      <c r="P6600">
        <v>-0.77557180000000003</v>
      </c>
      <c r="Q6600">
        <v>4.4762139999999999E-2</v>
      </c>
      <c r="R6600">
        <v>-0.62967050000000002</v>
      </c>
      <c r="S6600">
        <v>-3.2559809999999998</v>
      </c>
      <c r="T6600">
        <v>-0.38661289999999998</v>
      </c>
      <c r="U6600">
        <v>-0.79707340000000004</v>
      </c>
      <c r="V6600">
        <v>0.33793099999999998</v>
      </c>
      <c r="W6600">
        <v>5.2713099999999999E-2</v>
      </c>
      <c r="X6600">
        <v>0.93969360000000002</v>
      </c>
      <c r="Y6600">
        <v>0.69969910000000002</v>
      </c>
      <c r="Z6600">
        <v>0.12252830000000001</v>
      </c>
      <c r="AA6600">
        <v>0.70385220000000004</v>
      </c>
      <c r="AB6600">
        <v>17</v>
      </c>
      <c r="AC6600">
        <v>-9.2318000000000193</v>
      </c>
      <c r="AD6600">
        <v>-1.1064182872649999</v>
      </c>
      <c r="AE6600">
        <v>-2.1538999999999899</v>
      </c>
      <c r="AF6600">
        <v>6.6907871968043899</v>
      </c>
      <c r="AG6600">
        <v>-1.1064182872649999</v>
      </c>
      <c r="AH6600">
        <v>6.5344926392132203</v>
      </c>
      <c r="AI6600">
        <v>96.746955749194001</v>
      </c>
      <c r="AJ6600">
        <v>44.322917793412103</v>
      </c>
      <c r="AK6600">
        <v>9.4175574748045907</v>
      </c>
      <c r="AL6600">
        <v>86.978361526592707</v>
      </c>
      <c r="AM6600">
        <v>70.220487465286496</v>
      </c>
      <c r="AN6600">
        <v>1.00000004677678</v>
      </c>
    </row>
    <row r="6601" spans="1:40" x14ac:dyDescent="0.25">
      <c r="A6601" t="str">
        <f>"20190312150821746"</f>
        <v>20190312150821746</v>
      </c>
      <c r="B6601" t="str">
        <f>"1552374501736507"</f>
        <v>1552374501736507</v>
      </c>
      <c r="C6601" t="s">
        <v>40</v>
      </c>
      <c r="D6601">
        <v>4.2899629999999904</v>
      </c>
      <c r="E6601">
        <v>0.67762990000000001</v>
      </c>
      <c r="F6601" t="s">
        <v>77</v>
      </c>
      <c r="G6601">
        <v>-206.17910000000001</v>
      </c>
      <c r="H6601" s="1">
        <v>-8.1926920000000001E-6</v>
      </c>
      <c r="I6601">
        <v>143.89709999999999</v>
      </c>
      <c r="J6601">
        <v>-196.84350000000001</v>
      </c>
      <c r="K6601">
        <v>1.106406</v>
      </c>
      <c r="L6601">
        <v>146.0557</v>
      </c>
      <c r="M6601">
        <v>-0.52219409999999999</v>
      </c>
      <c r="N6601">
        <v>0</v>
      </c>
      <c r="O6601">
        <v>-0.85274059999999896</v>
      </c>
      <c r="P6601">
        <v>-0.77855180000000002</v>
      </c>
      <c r="Q6601">
        <v>4.523514E-2</v>
      </c>
      <c r="R6601">
        <v>-0.62594839999999996</v>
      </c>
      <c r="S6601">
        <v>-3.2587739999999998</v>
      </c>
      <c r="T6601">
        <v>-0.38386779999999998</v>
      </c>
      <c r="U6601">
        <v>-0.77777099999999999</v>
      </c>
      <c r="V6601">
        <v>0.3376228</v>
      </c>
      <c r="W6601">
        <v>5.3189750000000001E-2</v>
      </c>
      <c r="X6601">
        <v>0.93977750000000004</v>
      </c>
      <c r="Y6601">
        <v>0.70027309999999998</v>
      </c>
      <c r="Z6601">
        <v>0.1216632</v>
      </c>
      <c r="AA6601">
        <v>0.70343140000000004</v>
      </c>
      <c r="AB6601">
        <v>17</v>
      </c>
      <c r="AC6601">
        <v>-9.3355999999999995</v>
      </c>
      <c r="AD6601">
        <v>-1.1064141926919999</v>
      </c>
      <c r="AE6601">
        <v>-2.1585999999999999</v>
      </c>
      <c r="AF6601">
        <v>6.7442172005421801</v>
      </c>
      <c r="AG6601">
        <v>-1.1064141926919999</v>
      </c>
      <c r="AH6601">
        <v>6.6278442955855503</v>
      </c>
      <c r="AI6601">
        <v>96.673754709012599</v>
      </c>
      <c r="AJ6601">
        <v>44.501385184045397</v>
      </c>
      <c r="AK6601">
        <v>9.5203433772320007</v>
      </c>
      <c r="AL6601">
        <v>86.951013066725594</v>
      </c>
      <c r="AM6601">
        <v>70.238756798414201</v>
      </c>
      <c r="AN6601">
        <v>1.00000002704557</v>
      </c>
    </row>
    <row r="6602" spans="1:40" x14ac:dyDescent="0.25">
      <c r="A6602" t="str">
        <f>"20190312150821758"</f>
        <v>20190312150821758</v>
      </c>
      <c r="B6602" t="str">
        <f>"1552374501746948"</f>
        <v>1552374501746948</v>
      </c>
      <c r="C6602" t="s">
        <v>40</v>
      </c>
      <c r="D6602">
        <v>4.280456</v>
      </c>
      <c r="E6602">
        <v>0.67733650000000001</v>
      </c>
      <c r="F6602" t="s">
        <v>77</v>
      </c>
      <c r="G6602">
        <v>-206.28120000000001</v>
      </c>
      <c r="H6602" s="1">
        <v>-8.133864E-6</v>
      </c>
      <c r="I6602">
        <v>143.8458</v>
      </c>
      <c r="J6602">
        <v>-196.8982</v>
      </c>
      <c r="K6602">
        <v>1.1064050000000001</v>
      </c>
      <c r="L6602">
        <v>145.977</v>
      </c>
      <c r="M6602">
        <v>-0.52631810000000001</v>
      </c>
      <c r="N6602">
        <v>0</v>
      </c>
      <c r="O6602">
        <v>-0.85020130000000005</v>
      </c>
      <c r="P6602">
        <v>-0.78151559999999998</v>
      </c>
      <c r="Q6602">
        <v>4.553405E-2</v>
      </c>
      <c r="R6602">
        <v>-0.62222219999999995</v>
      </c>
      <c r="S6602">
        <v>-3.2615050000000001</v>
      </c>
      <c r="T6602">
        <v>-0.382357</v>
      </c>
      <c r="U6602">
        <v>-0.7637024</v>
      </c>
      <c r="V6602">
        <v>0.33754889999999999</v>
      </c>
      <c r="W6602">
        <v>5.3488300000000003E-2</v>
      </c>
      <c r="X6602">
        <v>0.93978709999999999</v>
      </c>
      <c r="Y6602">
        <v>0.69991780000000003</v>
      </c>
      <c r="Z6602">
        <v>0.1210976</v>
      </c>
      <c r="AA6602">
        <v>0.70388249999999997</v>
      </c>
      <c r="AB6602">
        <v>17</v>
      </c>
      <c r="AC6602">
        <v>-9.3830000000000098</v>
      </c>
      <c r="AD6602">
        <v>-1.10641313386399</v>
      </c>
      <c r="AE6602">
        <v>-2.1312000000000002</v>
      </c>
      <c r="AF6602">
        <v>6.7667816795960798</v>
      </c>
      <c r="AG6602">
        <v>-1.10641313386399</v>
      </c>
      <c r="AH6602">
        <v>6.6627910031496196</v>
      </c>
      <c r="AI6602">
        <v>96.645476642163004</v>
      </c>
      <c r="AJ6602">
        <v>44.5563442018396</v>
      </c>
      <c r="AK6602">
        <v>9.5606625436606301</v>
      </c>
      <c r="AL6602">
        <v>86.933883022825398</v>
      </c>
      <c r="AM6602">
        <v>70.242933553765496</v>
      </c>
      <c r="AN6602">
        <v>1.0000000257272501</v>
      </c>
    </row>
    <row r="6603" spans="1:40" x14ac:dyDescent="0.25">
      <c r="A6603" t="str">
        <f>"20190312150821778"</f>
        <v>20190312150821778</v>
      </c>
      <c r="B6603" t="str">
        <f>"1552374501776228"</f>
        <v>1552374501776228</v>
      </c>
      <c r="C6603" t="s">
        <v>40</v>
      </c>
      <c r="D6603">
        <v>4.3085899999999997</v>
      </c>
      <c r="E6603">
        <v>0.67327150000000002</v>
      </c>
      <c r="F6603" t="s">
        <v>77</v>
      </c>
      <c r="G6603">
        <v>-206.37649999999999</v>
      </c>
      <c r="H6603" s="1">
        <v>-8.0794290000000003E-6</v>
      </c>
      <c r="I6603">
        <v>143.7996</v>
      </c>
      <c r="J6603">
        <v>-196.98670000000001</v>
      </c>
      <c r="K6603">
        <v>1.106406</v>
      </c>
      <c r="L6603">
        <v>145.85149999999999</v>
      </c>
      <c r="M6603">
        <v>-0.53290459999999995</v>
      </c>
      <c r="N6603">
        <v>0</v>
      </c>
      <c r="O6603">
        <v>-0.84608830000000002</v>
      </c>
      <c r="P6603">
        <v>-0.78608449999999996</v>
      </c>
      <c r="Q6603">
        <v>4.6001E-2</v>
      </c>
      <c r="R6603">
        <v>-0.61640490000000003</v>
      </c>
      <c r="S6603">
        <v>-3.2639010000000002</v>
      </c>
      <c r="T6603">
        <v>-0.38100089999999998</v>
      </c>
      <c r="U6603">
        <v>-0.74980159999999996</v>
      </c>
      <c r="V6603">
        <v>0.33720739999999999</v>
      </c>
      <c r="W6603">
        <v>5.3956829999999997E-2</v>
      </c>
      <c r="X6603">
        <v>0.93988289999999997</v>
      </c>
      <c r="Y6603">
        <v>0.69744530000000005</v>
      </c>
      <c r="Z6603">
        <v>0.12042070000000001</v>
      </c>
      <c r="AA6603">
        <v>0.70644810000000002</v>
      </c>
      <c r="AB6603">
        <v>17</v>
      </c>
      <c r="AC6603">
        <v>-9.3897999999999797</v>
      </c>
      <c r="AD6603">
        <v>-1.1064140794290001</v>
      </c>
      <c r="AE6603">
        <v>-2.0518999999999799</v>
      </c>
      <c r="AF6603">
        <v>6.7620307285258496</v>
      </c>
      <c r="AG6603">
        <v>-1.1064140794290001</v>
      </c>
      <c r="AH6603">
        <v>6.6522998605972896</v>
      </c>
      <c r="AI6603">
        <v>96.652942654164605</v>
      </c>
      <c r="AJ6603">
        <v>44.531323956450201</v>
      </c>
      <c r="AK6603">
        <v>9.5499897970620502</v>
      </c>
      <c r="AL6603">
        <v>86.906999384890099</v>
      </c>
      <c r="AM6603">
        <v>70.263233278414702</v>
      </c>
      <c r="AN6603">
        <v>1.0000000179154001</v>
      </c>
    </row>
    <row r="6604" spans="1:40" x14ac:dyDescent="0.25">
      <c r="A6604" t="str">
        <f>"20190312150821794"</f>
        <v>20190312150821794</v>
      </c>
      <c r="B6604" t="str">
        <f>"1552374501786964"</f>
        <v>1552374501786964</v>
      </c>
      <c r="C6604" t="s">
        <v>40</v>
      </c>
      <c r="D6604">
        <v>4.2895099999999999</v>
      </c>
      <c r="E6604">
        <v>0.67289409999999905</v>
      </c>
      <c r="F6604" t="s">
        <v>42</v>
      </c>
      <c r="G6604">
        <v>-214.01949999999999</v>
      </c>
      <c r="H6604" s="1">
        <v>-3.4108719999999999E-6</v>
      </c>
      <c r="I6604">
        <v>141.88399999999999</v>
      </c>
      <c r="J6604">
        <v>-197.06319999999999</v>
      </c>
      <c r="K6604">
        <v>1.106403</v>
      </c>
      <c r="L6604">
        <v>145.74469999999999</v>
      </c>
      <c r="M6604">
        <v>-0.53851649999999995</v>
      </c>
      <c r="N6604">
        <v>0</v>
      </c>
      <c r="O6604">
        <v>-0.84252759999999904</v>
      </c>
      <c r="P6604">
        <v>-0.79001169999999998</v>
      </c>
      <c r="Q6604">
        <v>4.5911399999999998E-2</v>
      </c>
      <c r="R6604">
        <v>-0.61137069999999905</v>
      </c>
      <c r="S6604">
        <v>-3.2373660000000002</v>
      </c>
      <c r="T6604">
        <v>-0.21029110000000001</v>
      </c>
      <c r="U6604">
        <v>-0.75407409999999997</v>
      </c>
      <c r="V6604">
        <v>0.33696870000000001</v>
      </c>
      <c r="W6604">
        <v>5.3867310000000002E-2</v>
      </c>
      <c r="X6604">
        <v>0.93997359999999996</v>
      </c>
      <c r="Y6604">
        <v>0.69599880000000003</v>
      </c>
      <c r="Z6604">
        <v>6.7025810000000005E-2</v>
      </c>
      <c r="AA6604">
        <v>0.71490790000000004</v>
      </c>
      <c r="AB6604">
        <v>17</v>
      </c>
      <c r="AC6604">
        <v>-16.956299999999999</v>
      </c>
      <c r="AD6604">
        <v>-1.106406410872</v>
      </c>
      <c r="AE6604">
        <v>-3.8607</v>
      </c>
      <c r="AF6604">
        <v>12.1587826534555</v>
      </c>
      <c r="AG6604">
        <v>-1.106406410872</v>
      </c>
      <c r="AH6604">
        <v>12.3349760255898</v>
      </c>
      <c r="AI6604">
        <v>93.655072156466403</v>
      </c>
      <c r="AJ6604">
        <v>45.412144277851603</v>
      </c>
      <c r="AK6604">
        <v>17.355453445873</v>
      </c>
      <c r="AL6604">
        <v>86.912135856869099</v>
      </c>
      <c r="AM6604">
        <v>70.277882542647006</v>
      </c>
      <c r="AN6604">
        <v>0.99999998028164205</v>
      </c>
    </row>
    <row r="6605" spans="1:40" x14ac:dyDescent="0.25">
      <c r="A6605" t="str">
        <f>"20190312150821812"</f>
        <v>20190312150821812</v>
      </c>
      <c r="B6605" t="str">
        <f>"1552374501806484"</f>
        <v>1552374501806484</v>
      </c>
      <c r="C6605" t="s">
        <v>40</v>
      </c>
      <c r="D6605">
        <v>4.3362610000000004</v>
      </c>
      <c r="E6605">
        <v>0.67234519999999998</v>
      </c>
      <c r="F6605" t="s">
        <v>42</v>
      </c>
      <c r="G6605">
        <v>-214.13050000000001</v>
      </c>
      <c r="H6605" s="1">
        <v>-3.3547849999999998E-6</v>
      </c>
      <c r="I6605">
        <v>141.87039999999999</v>
      </c>
      <c r="J6605">
        <v>-197.14259999999999</v>
      </c>
      <c r="K6605">
        <v>1.1064020000000001</v>
      </c>
      <c r="L6605">
        <v>145.6352</v>
      </c>
      <c r="M6605">
        <v>-0.54427449999999999</v>
      </c>
      <c r="N6605">
        <v>0</v>
      </c>
      <c r="O6605">
        <v>-0.8388196</v>
      </c>
      <c r="P6605">
        <v>-0.79370490000000005</v>
      </c>
      <c r="Q6605">
        <v>4.627597E-2</v>
      </c>
      <c r="R6605">
        <v>-0.60654090000000005</v>
      </c>
      <c r="S6605">
        <v>-3.240402</v>
      </c>
      <c r="T6605">
        <v>-0.2100621</v>
      </c>
      <c r="U6605">
        <v>-0.73556519999999903</v>
      </c>
      <c r="V6605">
        <v>0.3362501</v>
      </c>
      <c r="W6605">
        <v>5.4239179999999998E-2</v>
      </c>
      <c r="X6605">
        <v>0.94020950000000003</v>
      </c>
      <c r="Y6605">
        <v>0.69512680000000004</v>
      </c>
      <c r="Z6605">
        <v>6.6866439999999999E-2</v>
      </c>
      <c r="AA6605">
        <v>0.71577069999999998</v>
      </c>
      <c r="AB6605">
        <v>17</v>
      </c>
      <c r="AC6605">
        <v>-16.9879</v>
      </c>
      <c r="AD6605">
        <v>-1.1064053547849999</v>
      </c>
      <c r="AE6605">
        <v>-3.7648000000000001</v>
      </c>
      <c r="AF6605">
        <v>12.152460401212901</v>
      </c>
      <c r="AG6605">
        <v>-1.1064053547849999</v>
      </c>
      <c r="AH6605">
        <v>12.3550262917609</v>
      </c>
      <c r="AI6605">
        <v>93.652996627301206</v>
      </c>
      <c r="AJ6605">
        <v>45.473565749704001</v>
      </c>
      <c r="AK6605">
        <v>17.365284370900699</v>
      </c>
      <c r="AL6605">
        <v>86.890798020571395</v>
      </c>
      <c r="AM6605">
        <v>70.321265093323703</v>
      </c>
      <c r="AN6605">
        <v>0.99999996114366496</v>
      </c>
    </row>
    <row r="6606" spans="1:40" x14ac:dyDescent="0.25">
      <c r="A6606" t="str">
        <f>"20190312150821824"</f>
        <v>20190312150821824</v>
      </c>
      <c r="B6606" t="str">
        <f>"1552374501816244"</f>
        <v>1552374501816244</v>
      </c>
      <c r="C6606" t="s">
        <v>40</v>
      </c>
      <c r="D6606">
        <v>4.3194330000000001</v>
      </c>
      <c r="E6606">
        <v>0.67234519999999998</v>
      </c>
      <c r="F6606" t="s">
        <v>42</v>
      </c>
      <c r="G6606">
        <v>-214.06870000000001</v>
      </c>
      <c r="H6606" s="1">
        <v>-3.3869900000000001E-6</v>
      </c>
      <c r="I6606">
        <v>141.8817</v>
      </c>
      <c r="J6606">
        <v>-197.19990000000001</v>
      </c>
      <c r="K6606">
        <v>1.1063989999999999</v>
      </c>
      <c r="L6606">
        <v>145.55699999999999</v>
      </c>
      <c r="M6606">
        <v>-0.54838909999999996</v>
      </c>
      <c r="N6606">
        <v>0</v>
      </c>
      <c r="O6606">
        <v>-0.83613530000000003</v>
      </c>
      <c r="P6606">
        <v>-0.79656759999999904</v>
      </c>
      <c r="Q6606">
        <v>4.6594770000000001E-2</v>
      </c>
      <c r="R6606">
        <v>-0.60275129999999999</v>
      </c>
      <c r="S6606">
        <v>-3.2426149999999998</v>
      </c>
      <c r="T6606">
        <v>-0.2119597</v>
      </c>
      <c r="U6606">
        <v>-0.71908570000000005</v>
      </c>
      <c r="V6606">
        <v>0.336099599999999</v>
      </c>
      <c r="W6606">
        <v>5.4557229999999998E-2</v>
      </c>
      <c r="X6606">
        <v>0.940245</v>
      </c>
      <c r="Y6606">
        <v>0.69512769999999902</v>
      </c>
      <c r="Z6606">
        <v>6.7433950000000006E-2</v>
      </c>
      <c r="AA6606">
        <v>0.71571649999999998</v>
      </c>
      <c r="AB6606">
        <v>17</v>
      </c>
      <c r="AC6606">
        <v>-16.868799999999901</v>
      </c>
      <c r="AD6606">
        <v>-1.1064023869899999</v>
      </c>
      <c r="AE6606">
        <v>-3.67530000000002</v>
      </c>
      <c r="AF6606">
        <v>12.0405447107326</v>
      </c>
      <c r="AG6606">
        <v>-1.1064023869899999</v>
      </c>
      <c r="AH6606">
        <v>12.274211751354599</v>
      </c>
      <c r="AI6606">
        <v>93.681818694529795</v>
      </c>
      <c r="AJ6606">
        <v>45.550600748726097</v>
      </c>
      <c r="AK6606">
        <v>17.229483953101401</v>
      </c>
      <c r="AL6606">
        <v>86.872548341221702</v>
      </c>
      <c r="AM6606">
        <v>70.330082559061793</v>
      </c>
      <c r="AN6606">
        <v>1.0000000462452101</v>
      </c>
    </row>
    <row r="6607" spans="1:40" x14ac:dyDescent="0.25">
      <c r="A6607" t="str">
        <f>"20190312150821846"</f>
        <v>20190312150821846</v>
      </c>
      <c r="B6607" t="str">
        <f>"1552374501836740"</f>
        <v>1552374501836740</v>
      </c>
      <c r="C6607" t="s">
        <v>40</v>
      </c>
      <c r="D6607">
        <v>4.3222639999999997</v>
      </c>
      <c r="E6607">
        <v>0.66358790000000001</v>
      </c>
      <c r="F6607" t="s">
        <v>42</v>
      </c>
      <c r="G6607">
        <v>-214.2535</v>
      </c>
      <c r="H6607" s="1">
        <v>-3.2940250000000002E-6</v>
      </c>
      <c r="I6607">
        <v>141.8605</v>
      </c>
      <c r="J6607">
        <v>-197.30080000000001</v>
      </c>
      <c r="K6607">
        <v>1.1063940000000001</v>
      </c>
      <c r="L6607">
        <v>145.42169999999999</v>
      </c>
      <c r="M6607">
        <v>-0.55552179999999995</v>
      </c>
      <c r="N6607">
        <v>0</v>
      </c>
      <c r="O6607">
        <v>-0.83141359999999997</v>
      </c>
      <c r="P6607">
        <v>-0.80137369999999997</v>
      </c>
      <c r="Q6607">
        <v>4.6760839999999998E-2</v>
      </c>
      <c r="R6607">
        <v>-0.59633400000000003</v>
      </c>
      <c r="S6607">
        <v>-3.2460779999999998</v>
      </c>
      <c r="T6607">
        <v>-0.21059910000000001</v>
      </c>
      <c r="U6607">
        <v>-0.70359799999999995</v>
      </c>
      <c r="V6607">
        <v>0.33560279999999998</v>
      </c>
      <c r="W6607">
        <v>5.4726259999999999E-2</v>
      </c>
      <c r="X6607">
        <v>0.94041260000000004</v>
      </c>
      <c r="Y6607">
        <v>0.69244819999999996</v>
      </c>
      <c r="Z6607">
        <v>6.6808950000000006E-2</v>
      </c>
      <c r="AA6607">
        <v>0.7183676</v>
      </c>
      <c r="AB6607">
        <v>17</v>
      </c>
      <c r="AC6607">
        <v>-16.952699999999901</v>
      </c>
      <c r="AD6607">
        <v>-1.106397294025</v>
      </c>
      <c r="AE6607">
        <v>-3.5611999999999799</v>
      </c>
      <c r="AF6607">
        <v>12.068041751082699</v>
      </c>
      <c r="AG6607">
        <v>-1.106397294025</v>
      </c>
      <c r="AH6607">
        <v>12.3290397347557</v>
      </c>
      <c r="AI6607">
        <v>93.669371578875399</v>
      </c>
      <c r="AJ6607">
        <v>45.6129221848987</v>
      </c>
      <c r="AK6607">
        <v>17.287769302581701</v>
      </c>
      <c r="AL6607">
        <v>86.862849096457097</v>
      </c>
      <c r="AM6607">
        <v>70.360163504158194</v>
      </c>
      <c r="AN6607">
        <v>1.00000003057009</v>
      </c>
    </row>
    <row r="6608" spans="1:40" x14ac:dyDescent="0.25">
      <c r="A6608" t="str">
        <f>"20190312150821857"</f>
        <v>20190312150821857</v>
      </c>
      <c r="B6608" t="str">
        <f>"1552374501846080"</f>
        <v>1552374501846080</v>
      </c>
      <c r="C6608" t="s">
        <v>40</v>
      </c>
      <c r="D6608">
        <v>4.3111259999999998</v>
      </c>
      <c r="E6608">
        <v>0.66349829999999999</v>
      </c>
      <c r="F6608" t="s">
        <v>77</v>
      </c>
      <c r="G6608">
        <v>-205.53190000000001</v>
      </c>
      <c r="H6608" s="1">
        <v>-8.3911800000000005E-6</v>
      </c>
      <c r="I6608">
        <v>143.5617</v>
      </c>
      <c r="J6608">
        <v>-197.36</v>
      </c>
      <c r="K6608">
        <v>1.106392</v>
      </c>
      <c r="L6608">
        <v>145.34350000000001</v>
      </c>
      <c r="M6608">
        <v>-0.55965509999999996</v>
      </c>
      <c r="N6608">
        <v>0</v>
      </c>
      <c r="O6608">
        <v>-0.82863679999999995</v>
      </c>
      <c r="P6608">
        <v>-0.8042821</v>
      </c>
      <c r="Q6608">
        <v>4.6704830000000003E-2</v>
      </c>
      <c r="R6608">
        <v>-0.59240979999999999</v>
      </c>
      <c r="S6608">
        <v>-3.226334</v>
      </c>
      <c r="T6608">
        <v>-0.43367640000000002</v>
      </c>
      <c r="U6608">
        <v>-0.72906490000000002</v>
      </c>
      <c r="V6608">
        <v>0.33551880000000001</v>
      </c>
      <c r="W6608">
        <v>5.4669120000000002E-2</v>
      </c>
      <c r="X6608">
        <v>0.9404458</v>
      </c>
      <c r="Y6608">
        <v>0.67458769999999901</v>
      </c>
      <c r="Z6608">
        <v>0.13641909999999999</v>
      </c>
      <c r="AA6608">
        <v>0.72548000000000001</v>
      </c>
      <c r="AB6608">
        <v>17</v>
      </c>
      <c r="AC6608">
        <v>-8.1718999999999902</v>
      </c>
      <c r="AD6608">
        <v>-1.10640039117999</v>
      </c>
      <c r="AE6608">
        <v>-1.7818000000000001</v>
      </c>
      <c r="AF6608">
        <v>5.67545526280077</v>
      </c>
      <c r="AG6608">
        <v>-1.10640039117999</v>
      </c>
      <c r="AH6608">
        <v>5.9463030025107804</v>
      </c>
      <c r="AI6608">
        <v>97.665807888797502</v>
      </c>
      <c r="AJ6608">
        <v>46.335049603438001</v>
      </c>
      <c r="AK6608">
        <v>8.2941807107950591</v>
      </c>
      <c r="AL6608">
        <v>86.866127602454199</v>
      </c>
      <c r="AM6608">
        <v>70.365343452732006</v>
      </c>
      <c r="AN6608">
        <v>0.999999940286325</v>
      </c>
    </row>
    <row r="6609" spans="1:40" x14ac:dyDescent="0.25">
      <c r="A6609" t="str">
        <f>"20190312150821870"</f>
        <v>20190312150821870</v>
      </c>
      <c r="B6609" t="str">
        <f>"1552374501866575"</f>
        <v>1552374501866575</v>
      </c>
      <c r="C6609" t="s">
        <v>40</v>
      </c>
      <c r="D6609">
        <v>4.1437379999999999</v>
      </c>
      <c r="E6609">
        <v>0.66408819999999902</v>
      </c>
      <c r="F6609" t="s">
        <v>77</v>
      </c>
      <c r="G6609">
        <v>-205.74250000000001</v>
      </c>
      <c r="H6609" s="1">
        <v>-8.2788449999999992E-6</v>
      </c>
      <c r="I6609">
        <v>143.49</v>
      </c>
      <c r="J6609">
        <v>-197.41800000000001</v>
      </c>
      <c r="K6609">
        <v>1.1063909999999999</v>
      </c>
      <c r="L6609">
        <v>145.26759999999999</v>
      </c>
      <c r="M6609">
        <v>-0.56366649999999996</v>
      </c>
      <c r="N6609">
        <v>0</v>
      </c>
      <c r="O6609">
        <v>-0.82591349999999997</v>
      </c>
      <c r="P6609">
        <v>-0.80698049999999999</v>
      </c>
      <c r="Q6609">
        <v>4.7165350000000002E-2</v>
      </c>
      <c r="R6609">
        <v>-0.5886924</v>
      </c>
      <c r="S6609">
        <v>-3.2289279999999998</v>
      </c>
      <c r="T6609">
        <v>-0.42618450000000002</v>
      </c>
      <c r="U6609">
        <v>-0.71395869999999995</v>
      </c>
      <c r="V6609">
        <v>0.33528140000000001</v>
      </c>
      <c r="W6609">
        <v>5.5130949999999998E-2</v>
      </c>
      <c r="X6609">
        <v>0.9405036</v>
      </c>
      <c r="Y6609">
        <v>0.67475799999999997</v>
      </c>
      <c r="Z6609">
        <v>0.133981399999999</v>
      </c>
      <c r="AA6609">
        <v>0.72577599999999998</v>
      </c>
      <c r="AB6609">
        <v>17</v>
      </c>
      <c r="AC6609">
        <v>-8.3245000000000005</v>
      </c>
      <c r="AD6609">
        <v>-1.1063992788449999</v>
      </c>
      <c r="AE6609">
        <v>-1.7775999999999701</v>
      </c>
      <c r="AF6609">
        <v>5.77618981425878</v>
      </c>
      <c r="AG6609">
        <v>-1.1063992788449999</v>
      </c>
      <c r="AH6609">
        <v>6.0584839790184901</v>
      </c>
      <c r="AI6609">
        <v>97.529386680603295</v>
      </c>
      <c r="AJ6609">
        <v>46.366425300862097</v>
      </c>
      <c r="AK6609">
        <v>8.4435606386523503</v>
      </c>
      <c r="AL6609">
        <v>86.839627008156299</v>
      </c>
      <c r="AM6609">
        <v>70.379288581880203</v>
      </c>
      <c r="AN6609">
        <v>1.00000003022341</v>
      </c>
    </row>
    <row r="6610" spans="1:40" x14ac:dyDescent="0.25">
      <c r="A6610" t="str">
        <f>"20190312150821883"</f>
        <v>20190312150821883</v>
      </c>
      <c r="B6610" t="str">
        <f>"1552374501876335"</f>
        <v>1552374501876335</v>
      </c>
      <c r="C6610" t="s">
        <v>40</v>
      </c>
      <c r="D6610">
        <v>4.1144449999999999</v>
      </c>
      <c r="E6610">
        <v>0.6844943</v>
      </c>
      <c r="F6610" t="s">
        <v>77</v>
      </c>
      <c r="G6610">
        <v>-205.9639</v>
      </c>
      <c r="H6610" s="1">
        <v>-8.1648800000000007E-6</v>
      </c>
      <c r="I6610">
        <v>143.43020000000001</v>
      </c>
      <c r="J6610">
        <v>-197.482</v>
      </c>
      <c r="K6610">
        <v>1.10639</v>
      </c>
      <c r="L6610">
        <v>145.18450000000001</v>
      </c>
      <c r="M6610">
        <v>-0.56806210000000001</v>
      </c>
      <c r="N6610">
        <v>0</v>
      </c>
      <c r="O6610">
        <v>-0.82289639999999997</v>
      </c>
      <c r="P6610">
        <v>-0.80985779999999996</v>
      </c>
      <c r="Q6610">
        <v>4.7154139999999997E-2</v>
      </c>
      <c r="R6610">
        <v>-0.58472840000000004</v>
      </c>
      <c r="S6610">
        <v>-3.2346949999999999</v>
      </c>
      <c r="T6610">
        <v>-0.41878009999999899</v>
      </c>
      <c r="U6610">
        <v>-0.69546509999999995</v>
      </c>
      <c r="V6610">
        <v>0.33487899999999998</v>
      </c>
      <c r="W6610">
        <v>5.512334E-2</v>
      </c>
      <c r="X6610">
        <v>0.94064740000000002</v>
      </c>
      <c r="Y6610">
        <v>0.67545390000000005</v>
      </c>
      <c r="Z6610">
        <v>0.13148840000000001</v>
      </c>
      <c r="AA6610">
        <v>0.72558449999999997</v>
      </c>
      <c r="AB6610">
        <v>17</v>
      </c>
      <c r="AC6610">
        <v>-8.4818999999999907</v>
      </c>
      <c r="AD6610">
        <v>-1.1063981648799901</v>
      </c>
      <c r="AE6610">
        <v>-1.7543</v>
      </c>
      <c r="AF6610">
        <v>5.8875452948401099</v>
      </c>
      <c r="AG6610">
        <v>-1.1063981648799901</v>
      </c>
      <c r="AH6610">
        <v>6.1617706424224803</v>
      </c>
      <c r="AI6610">
        <v>97.396938568266407</v>
      </c>
      <c r="AJ6610">
        <v>46.303745647586403</v>
      </c>
      <c r="AK6610">
        <v>8.5938771196627695</v>
      </c>
      <c r="AL6610">
        <v>86.840063689805206</v>
      </c>
      <c r="AM6610">
        <v>70.403809611998099</v>
      </c>
      <c r="AN6610">
        <v>1.00000002919025</v>
      </c>
    </row>
    <row r="6611" spans="1:40" x14ac:dyDescent="0.25">
      <c r="A6611" t="str">
        <f>"20190312150821901"</f>
        <v>20190312150821901</v>
      </c>
      <c r="B6611" t="str">
        <f>"1552374501896831"</f>
        <v>1552374501896831</v>
      </c>
      <c r="C6611" t="s">
        <v>40</v>
      </c>
      <c r="D6611">
        <v>4.3362179999999997</v>
      </c>
      <c r="E6611">
        <v>0.68575459999999999</v>
      </c>
      <c r="F6611" t="s">
        <v>77</v>
      </c>
      <c r="G6611">
        <v>-208.82040000000001</v>
      </c>
      <c r="H6611" s="1">
        <v>-6.8671169999999997E-6</v>
      </c>
      <c r="I6611">
        <v>143.31270000000001</v>
      </c>
      <c r="J6611">
        <v>-197.56989999999999</v>
      </c>
      <c r="K6611">
        <v>1.1063829999999999</v>
      </c>
      <c r="L6611">
        <v>145.07230000000001</v>
      </c>
      <c r="M6611">
        <v>-0.5740113</v>
      </c>
      <c r="N6611">
        <v>0</v>
      </c>
      <c r="O6611">
        <v>-0.81875750000000003</v>
      </c>
      <c r="P6611">
        <v>-0.813805</v>
      </c>
      <c r="Q6611">
        <v>4.7276949999999998E-2</v>
      </c>
      <c r="R6611">
        <v>-0.57921210000000001</v>
      </c>
      <c r="S6611">
        <v>-3.3267359999999999</v>
      </c>
      <c r="T6611">
        <v>-0.32462249999999998</v>
      </c>
      <c r="U6611">
        <v>-0.54919430000000002</v>
      </c>
      <c r="V6611">
        <v>0.33444869999999999</v>
      </c>
      <c r="W6611">
        <v>5.5249979999999997E-2</v>
      </c>
      <c r="X6611">
        <v>0.94079299999999999</v>
      </c>
      <c r="Y6611">
        <v>0.70854839999999997</v>
      </c>
      <c r="Z6611">
        <v>0.10152890000000001</v>
      </c>
      <c r="AA6611">
        <v>0.69832019999999995</v>
      </c>
      <c r="AB6611">
        <v>17</v>
      </c>
      <c r="AC6611">
        <v>-11.250500000000001</v>
      </c>
      <c r="AD6611">
        <v>-1.1063898671169901</v>
      </c>
      <c r="AE6611">
        <v>-1.7596000000000001</v>
      </c>
      <c r="AF6611">
        <v>8.1253008580225199</v>
      </c>
      <c r="AG6611">
        <v>-1.1063898671169901</v>
      </c>
      <c r="AH6611">
        <v>7.8253093818272701</v>
      </c>
      <c r="AI6611">
        <v>95.601508142837204</v>
      </c>
      <c r="AJ6611">
        <v>43.922535312323298</v>
      </c>
      <c r="AK6611">
        <v>11.3349053587912</v>
      </c>
      <c r="AL6611">
        <v>86.832796525297496</v>
      </c>
      <c r="AM6611">
        <v>70.429873714974505</v>
      </c>
      <c r="AN6611">
        <v>0.99999998103534504</v>
      </c>
    </row>
    <row r="6612" spans="1:40" x14ac:dyDescent="0.25">
      <c r="A6612" t="str">
        <f>"20190312150821926"</f>
        <v>20190312150821926</v>
      </c>
      <c r="B6612" t="str">
        <f>"1552374501916351"</f>
        <v>1552374501916351</v>
      </c>
      <c r="C6612" t="s">
        <v>40</v>
      </c>
      <c r="D6612">
        <v>4.3590109999999997</v>
      </c>
      <c r="E6612">
        <v>0.68535239999999997</v>
      </c>
      <c r="F6612" t="s">
        <v>77</v>
      </c>
      <c r="G6612">
        <v>-206.89019999999999</v>
      </c>
      <c r="H6612" s="1">
        <v>-7.8072099999999994E-6</v>
      </c>
      <c r="I6612">
        <v>143.63140000000001</v>
      </c>
      <c r="J6612">
        <v>-197.68729999999999</v>
      </c>
      <c r="K6612">
        <v>1.1063769999999999</v>
      </c>
      <c r="L6612">
        <v>144.9246</v>
      </c>
      <c r="M6612">
        <v>-0.58184440000000004</v>
      </c>
      <c r="N6612">
        <v>0</v>
      </c>
      <c r="O6612">
        <v>-0.81320950000000003</v>
      </c>
      <c r="P6612">
        <v>-0.81897929999999997</v>
      </c>
      <c r="Q6612">
        <v>4.7456390000000001E-2</v>
      </c>
      <c r="R6612">
        <v>-0.57185730000000001</v>
      </c>
      <c r="S6612">
        <v>-3.3417659999999998</v>
      </c>
      <c r="T6612">
        <v>-0.39669090000000001</v>
      </c>
      <c r="U6612">
        <v>-0.51660159999999999</v>
      </c>
      <c r="V6612">
        <v>0.33388640000000003</v>
      </c>
      <c r="W6612">
        <v>5.5435190000000002E-2</v>
      </c>
      <c r="X6612">
        <v>0.94098179999999998</v>
      </c>
      <c r="Y6612">
        <v>0.70616499999999904</v>
      </c>
      <c r="Z6612">
        <v>0.12316290000000001</v>
      </c>
      <c r="AA6612">
        <v>0.69725319999999902</v>
      </c>
      <c r="AB6612">
        <v>17</v>
      </c>
      <c r="AC6612">
        <v>-9.2028999999999996</v>
      </c>
      <c r="AD6612">
        <v>-1.10638480721</v>
      </c>
      <c r="AE6612">
        <v>-1.2931999999999799</v>
      </c>
      <c r="AF6612">
        <v>6.63786032674754</v>
      </c>
      <c r="AG6612">
        <v>-1.10638480721</v>
      </c>
      <c r="AH6612">
        <v>6.3172345103963403</v>
      </c>
      <c r="AI6612">
        <v>96.884511298009002</v>
      </c>
      <c r="AJ6612">
        <v>43.582275393589399</v>
      </c>
      <c r="AK6612">
        <v>9.2299907323017703</v>
      </c>
      <c r="AL6612">
        <v>86.822168444538605</v>
      </c>
      <c r="AM6612">
        <v>70.463905752403306</v>
      </c>
      <c r="AN6612">
        <v>0.99999996816326697</v>
      </c>
    </row>
    <row r="6613" spans="1:40" x14ac:dyDescent="0.25">
      <c r="A6613" t="str">
        <f>"20190312150821946"</f>
        <v>20190312150821946</v>
      </c>
      <c r="B6613" t="str">
        <f>"1552374501936847"</f>
        <v>1552374501936847</v>
      </c>
      <c r="C6613" t="s">
        <v>40</v>
      </c>
      <c r="D6613">
        <v>4.331658</v>
      </c>
      <c r="E6613">
        <v>0.68590410000000002</v>
      </c>
      <c r="F6613" t="s">
        <v>77</v>
      </c>
      <c r="G6613">
        <v>-206.82210000000001</v>
      </c>
      <c r="H6613" s="1">
        <v>-7.8263919999999999E-6</v>
      </c>
      <c r="I6613">
        <v>143.58959999999999</v>
      </c>
      <c r="J6613">
        <v>-197.79239999999999</v>
      </c>
      <c r="K6613">
        <v>1.1063700000000001</v>
      </c>
      <c r="L6613">
        <v>144.79499999999999</v>
      </c>
      <c r="M6613">
        <v>-0.58873310000000001</v>
      </c>
      <c r="N6613">
        <v>0</v>
      </c>
      <c r="O6613">
        <v>-0.80823650000000002</v>
      </c>
      <c r="P6613">
        <v>-0.82348529999999998</v>
      </c>
      <c r="Q6613">
        <v>4.767793E-2</v>
      </c>
      <c r="R6613">
        <v>-0.56533140000000004</v>
      </c>
      <c r="S6613">
        <v>-3.3452000000000002</v>
      </c>
      <c r="T6613">
        <v>-0.40516289999999999</v>
      </c>
      <c r="U6613">
        <v>-0.48887629999999999</v>
      </c>
      <c r="V6613">
        <v>0.33336110000000002</v>
      </c>
      <c r="W6613">
        <v>5.5662290000000003E-2</v>
      </c>
      <c r="X6613">
        <v>0.94115470000000001</v>
      </c>
      <c r="Y6613">
        <v>0.70560489999999998</v>
      </c>
      <c r="Z6613">
        <v>0.12551979999999999</v>
      </c>
      <c r="AA6613">
        <v>0.69739989999999996</v>
      </c>
      <c r="AB6613">
        <v>17</v>
      </c>
      <c r="AC6613">
        <v>-9.0297000000000196</v>
      </c>
      <c r="AD6613">
        <v>-1.1063778263920001</v>
      </c>
      <c r="AE6613">
        <v>-1.20539999999999</v>
      </c>
      <c r="AF6613">
        <v>6.49318502253126</v>
      </c>
      <c r="AG6613">
        <v>-1.1063778263920001</v>
      </c>
      <c r="AH6613">
        <v>6.1993543706108598</v>
      </c>
      <c r="AI6613">
        <v>97.025736344425098</v>
      </c>
      <c r="AJ6613">
        <v>43.673846953617101</v>
      </c>
      <c r="AK6613">
        <v>9.0453036568137506</v>
      </c>
      <c r="AL6613">
        <v>86.809136684881494</v>
      </c>
      <c r="AM6613">
        <v>70.495632451994297</v>
      </c>
      <c r="AN6613">
        <v>1.0000000414266701</v>
      </c>
    </row>
    <row r="6614" spans="1:40" x14ac:dyDescent="0.25">
      <c r="A6614" t="str">
        <f>"20190312150821957"</f>
        <v>20190312150821957</v>
      </c>
      <c r="B6614" t="str">
        <f>"1552374501946223"</f>
        <v>1552374501946223</v>
      </c>
      <c r="C6614" t="s">
        <v>40</v>
      </c>
      <c r="D6614">
        <v>4.2077540000000004</v>
      </c>
      <c r="E6614">
        <v>0.68618129999999999</v>
      </c>
      <c r="F6614" t="s">
        <v>77</v>
      </c>
      <c r="G6614">
        <v>-207.08949999999999</v>
      </c>
      <c r="H6614" s="1">
        <v>-7.6899299999999994E-6</v>
      </c>
      <c r="I6614">
        <v>143.52189999999999</v>
      </c>
      <c r="J6614">
        <v>-197.85429999999999</v>
      </c>
      <c r="K6614">
        <v>1.1063689999999999</v>
      </c>
      <c r="L6614">
        <v>144.71979999999999</v>
      </c>
      <c r="M6614">
        <v>-0.59273529999999996</v>
      </c>
      <c r="N6614">
        <v>0</v>
      </c>
      <c r="O6614">
        <v>-0.80530579999999996</v>
      </c>
      <c r="P6614">
        <v>-0.82612980000000003</v>
      </c>
      <c r="Q6614">
        <v>4.767681E-2</v>
      </c>
      <c r="R6614">
        <v>-0.56145959999999995</v>
      </c>
      <c r="S6614">
        <v>-3.351105</v>
      </c>
      <c r="T6614">
        <v>-0.3987888</v>
      </c>
      <c r="U6614">
        <v>-0.4588776</v>
      </c>
      <c r="V6614">
        <v>0.33311020000000002</v>
      </c>
      <c r="W6614">
        <v>5.5663709999999998E-2</v>
      </c>
      <c r="X6614">
        <v>0.94124339999999995</v>
      </c>
      <c r="Y6614">
        <v>0.70869399999999905</v>
      </c>
      <c r="Z6614">
        <v>0.1235356</v>
      </c>
      <c r="AA6614">
        <v>0.69461629999999996</v>
      </c>
      <c r="AB6614">
        <v>17</v>
      </c>
      <c r="AC6614">
        <v>-9.2351999999999901</v>
      </c>
      <c r="AD6614">
        <v>-1.10637668993</v>
      </c>
      <c r="AE6614">
        <v>-1.1979</v>
      </c>
      <c r="AF6614">
        <v>6.6339827204742603</v>
      </c>
      <c r="AG6614">
        <v>-1.10637668993</v>
      </c>
      <c r="AH6614">
        <v>6.3495583339469102</v>
      </c>
      <c r="AI6614">
        <v>96.869973015870599</v>
      </c>
      <c r="AJ6614">
        <v>43.745048768006598</v>
      </c>
      <c r="AK6614">
        <v>9.2493614456224105</v>
      </c>
      <c r="AL6614">
        <v>86.809055053436296</v>
      </c>
      <c r="AM6614">
        <v>70.510903533202296</v>
      </c>
      <c r="AN6614">
        <v>0.99999999599928202</v>
      </c>
    </row>
    <row r="6615" spans="1:40" x14ac:dyDescent="0.25">
      <c r="A6615" t="str">
        <f>"20190312150821979"</f>
        <v>20190312150821979</v>
      </c>
      <c r="B6615" t="str">
        <f>"1552374501976478"</f>
        <v>1552374501976478</v>
      </c>
      <c r="C6615" t="s">
        <v>40</v>
      </c>
      <c r="D6615">
        <v>4.2558689999999997</v>
      </c>
      <c r="E6615">
        <v>0.68625269999999905</v>
      </c>
      <c r="F6615" t="s">
        <v>77</v>
      </c>
      <c r="G6615">
        <v>-207.2509</v>
      </c>
      <c r="H6615" s="1">
        <v>-7.608174E-6</v>
      </c>
      <c r="I6615">
        <v>143.48339999999999</v>
      </c>
      <c r="J6615">
        <v>-197.96039999999999</v>
      </c>
      <c r="K6615">
        <v>1.106368</v>
      </c>
      <c r="L6615">
        <v>144.5925</v>
      </c>
      <c r="M6615">
        <v>-0.59951549999999998</v>
      </c>
      <c r="N6615">
        <v>0</v>
      </c>
      <c r="O6615">
        <v>-0.80027090000000001</v>
      </c>
      <c r="P6615">
        <v>-0.83054740000000005</v>
      </c>
      <c r="Q6615">
        <v>4.80084E-2</v>
      </c>
      <c r="R6615">
        <v>-0.5548748</v>
      </c>
      <c r="S6615">
        <v>-3.3542179999999999</v>
      </c>
      <c r="T6615">
        <v>-0.39493339999999999</v>
      </c>
      <c r="U6615">
        <v>-0.44137569999999998</v>
      </c>
      <c r="V6615">
        <v>0.33263090000000001</v>
      </c>
      <c r="W6615">
        <v>5.6000790000000002E-2</v>
      </c>
      <c r="X6615">
        <v>0.94139289999999998</v>
      </c>
      <c r="Y6615">
        <v>0.70663669999999901</v>
      </c>
      <c r="Z6615">
        <v>0.12195</v>
      </c>
      <c r="AA6615">
        <v>0.69698839999999995</v>
      </c>
      <c r="AB6615">
        <v>17</v>
      </c>
      <c r="AC6615">
        <v>-9.2904999999999998</v>
      </c>
      <c r="AD6615">
        <v>-1.1063756081739999</v>
      </c>
      <c r="AE6615">
        <v>-1.10910000000001</v>
      </c>
      <c r="AF6615">
        <v>6.6771317724073898</v>
      </c>
      <c r="AG6615">
        <v>-1.1063756081739999</v>
      </c>
      <c r="AH6615">
        <v>6.3688048890599998</v>
      </c>
      <c r="AI6615">
        <v>96.837154496905498</v>
      </c>
      <c r="AJ6615">
        <v>43.646127025889299</v>
      </c>
      <c r="AK6615">
        <v>9.2935370773118091</v>
      </c>
      <c r="AL6615">
        <v>86.789711626200003</v>
      </c>
      <c r="AM6615">
        <v>70.539694914612198</v>
      </c>
      <c r="AN6615">
        <v>0.99999999814292195</v>
      </c>
    </row>
    <row r="6616" spans="1:40" x14ac:dyDescent="0.25">
      <c r="A6616" t="str">
        <f>"20190312150821993"</f>
        <v>20190312150821993</v>
      </c>
      <c r="B6616" t="str">
        <f>"1552374501986239"</f>
        <v>1552374501986239</v>
      </c>
      <c r="C6616" t="s">
        <v>40</v>
      </c>
      <c r="D6616">
        <v>4.2908390000000001</v>
      </c>
      <c r="E6616">
        <v>0.6860676</v>
      </c>
      <c r="F6616" t="s">
        <v>77</v>
      </c>
      <c r="G6616">
        <v>-207.52539999999999</v>
      </c>
      <c r="H6616" s="1">
        <v>-7.4675409999999997E-6</v>
      </c>
      <c r="I6616">
        <v>143.4117</v>
      </c>
      <c r="J6616">
        <v>-198.02979999999999</v>
      </c>
      <c r="K6616">
        <v>1.106366</v>
      </c>
      <c r="L6616">
        <v>144.5104</v>
      </c>
      <c r="M6616">
        <v>-0.60389090000000001</v>
      </c>
      <c r="N6616">
        <v>0</v>
      </c>
      <c r="O6616">
        <v>-0.79697439999999997</v>
      </c>
      <c r="P6616">
        <v>-0.83337890000000003</v>
      </c>
      <c r="Q6616">
        <v>4.809662E-2</v>
      </c>
      <c r="R6616">
        <v>-0.55060589999999998</v>
      </c>
      <c r="S6616">
        <v>-3.3576199999999998</v>
      </c>
      <c r="T6616">
        <v>-0.38837460000000001</v>
      </c>
      <c r="U6616">
        <v>-0.41450500000000001</v>
      </c>
      <c r="V6616">
        <v>0.33230080000000001</v>
      </c>
      <c r="W6616">
        <v>5.6093629999999998E-2</v>
      </c>
      <c r="X6616">
        <v>0.94150389999999995</v>
      </c>
      <c r="Y6616">
        <v>0.70865509999999998</v>
      </c>
      <c r="Z6616">
        <v>0.1198912</v>
      </c>
      <c r="AA6616">
        <v>0.69529419999999897</v>
      </c>
      <c r="AB6616">
        <v>17</v>
      </c>
      <c r="AC6616">
        <v>-9.4955999999999907</v>
      </c>
      <c r="AD6616">
        <v>-1.106373467541</v>
      </c>
      <c r="AE6616">
        <v>-1.0987</v>
      </c>
      <c r="AF6616">
        <v>6.8134895763547698</v>
      </c>
      <c r="AG6616">
        <v>-1.106373467541</v>
      </c>
      <c r="AH6616">
        <v>6.5230457338549099</v>
      </c>
      <c r="AI6616">
        <v>96.689806574815194</v>
      </c>
      <c r="AJ6616">
        <v>43.752406390623001</v>
      </c>
      <c r="AK6616">
        <v>9.4972537137183295</v>
      </c>
      <c r="AL6616">
        <v>86.784383773774294</v>
      </c>
      <c r="AM6616">
        <v>70.559678046274598</v>
      </c>
      <c r="AN6616">
        <v>0.999999955361212</v>
      </c>
    </row>
    <row r="6617" spans="1:40" x14ac:dyDescent="0.25">
      <c r="A6617" t="str">
        <f>"20190312150822012"</f>
        <v>20190312150822012</v>
      </c>
      <c r="B6617" t="str">
        <f>"1552374502006734"</f>
        <v>1552374502006734</v>
      </c>
      <c r="C6617" t="s">
        <v>40</v>
      </c>
      <c r="D6617">
        <v>4.2274219999999998</v>
      </c>
      <c r="E6617">
        <v>0.68573830000000002</v>
      </c>
      <c r="F6617" t="s">
        <v>77</v>
      </c>
      <c r="G6617">
        <v>-207.60069999999999</v>
      </c>
      <c r="H6617" s="1">
        <v>-7.4243070000000002E-6</v>
      </c>
      <c r="I6617">
        <v>143.37450000000001</v>
      </c>
      <c r="J6617">
        <v>-198.1335</v>
      </c>
      <c r="K6617">
        <v>1.106366</v>
      </c>
      <c r="L6617">
        <v>144.38939999999999</v>
      </c>
      <c r="M6617">
        <v>-0.61034309999999903</v>
      </c>
      <c r="N6617">
        <v>0</v>
      </c>
      <c r="O6617">
        <v>-0.79204399999999997</v>
      </c>
      <c r="P6617">
        <v>-0.83767239999999998</v>
      </c>
      <c r="Q6617">
        <v>4.8151480000000003E-2</v>
      </c>
      <c r="R6617">
        <v>-0.54404669999999999</v>
      </c>
      <c r="S6617">
        <v>-3.3588260000000001</v>
      </c>
      <c r="T6617">
        <v>-0.38827400000000001</v>
      </c>
      <c r="U6617">
        <v>-0.39865109999999998</v>
      </c>
      <c r="V6617">
        <v>0.33204420000000001</v>
      </c>
      <c r="W6617">
        <v>5.6151710000000001E-2</v>
      </c>
      <c r="X6617">
        <v>0.94159099999999996</v>
      </c>
      <c r="Y6617">
        <v>0.70626849999999997</v>
      </c>
      <c r="Z6617">
        <v>0.119493</v>
      </c>
      <c r="AA6617">
        <v>0.69778660000000003</v>
      </c>
      <c r="AB6617">
        <v>17</v>
      </c>
      <c r="AC6617">
        <v>-9.4671999999999894</v>
      </c>
      <c r="AD6617">
        <v>-1.106373424307</v>
      </c>
      <c r="AE6617">
        <v>-1.0148999999999799</v>
      </c>
      <c r="AF6617">
        <v>6.7878598540749504</v>
      </c>
      <c r="AG6617">
        <v>-1.106373424307</v>
      </c>
      <c r="AH6617">
        <v>6.4948776888678301</v>
      </c>
      <c r="AI6617">
        <v>96.716613599394293</v>
      </c>
      <c r="AJ6617">
        <v>43.736411082966598</v>
      </c>
      <c r="AK6617">
        <v>9.45952111609928</v>
      </c>
      <c r="AL6617">
        <v>86.781050887650494</v>
      </c>
      <c r="AM6617">
        <v>70.575227440454</v>
      </c>
      <c r="AN6617">
        <v>0.99999998828528103</v>
      </c>
    </row>
    <row r="6618" spans="1:40" x14ac:dyDescent="0.25">
      <c r="A6618" t="str">
        <f>"20190312150822025"</f>
        <v>20190312150822025</v>
      </c>
      <c r="B6618" t="str">
        <f>"1552374502016494"</f>
        <v>1552374502016494</v>
      </c>
      <c r="C6618" t="s">
        <v>40</v>
      </c>
      <c r="D6618">
        <v>4.2444680000000004</v>
      </c>
      <c r="E6618">
        <v>0.68546819999999997</v>
      </c>
      <c r="F6618" t="s">
        <v>77</v>
      </c>
      <c r="G6618">
        <v>-207.6686</v>
      </c>
      <c r="H6618" s="1">
        <v>-7.3815789999999998E-6</v>
      </c>
      <c r="I6618">
        <v>143.32660000000001</v>
      </c>
      <c r="J6618">
        <v>-198.19649999999999</v>
      </c>
      <c r="K6618">
        <v>1.106366</v>
      </c>
      <c r="L6618">
        <v>144.3167</v>
      </c>
      <c r="M6618">
        <v>-0.61421899999999996</v>
      </c>
      <c r="N6618">
        <v>0</v>
      </c>
      <c r="O6618">
        <v>-0.78904219999999903</v>
      </c>
      <c r="P6618">
        <v>-0.84020280000000003</v>
      </c>
      <c r="Q6618">
        <v>4.826656E-2</v>
      </c>
      <c r="R6618">
        <v>-0.54012019999999905</v>
      </c>
      <c r="S6618">
        <v>-3.3605040000000002</v>
      </c>
      <c r="T6618">
        <v>-0.38992660000000001</v>
      </c>
      <c r="U6618">
        <v>-0.37457279999999998</v>
      </c>
      <c r="V6618">
        <v>0.33183059999999998</v>
      </c>
      <c r="W6618">
        <v>5.6269769999999997E-2</v>
      </c>
      <c r="X6618">
        <v>0.94165929999999998</v>
      </c>
      <c r="Y6618">
        <v>0.70772550000000001</v>
      </c>
      <c r="Z6618">
        <v>0.1199658</v>
      </c>
      <c r="AA6618">
        <v>0.69622759999999995</v>
      </c>
      <c r="AB6618">
        <v>17</v>
      </c>
      <c r="AC6618">
        <v>-9.47210000000001</v>
      </c>
      <c r="AD6618">
        <v>-1.106373381579</v>
      </c>
      <c r="AE6618">
        <v>-0.99009999999998399</v>
      </c>
      <c r="AF6618">
        <v>6.7748243762243501</v>
      </c>
      <c r="AG6618">
        <v>-1.106373381579</v>
      </c>
      <c r="AH6618">
        <v>6.5117807313045697</v>
      </c>
      <c r="AI6618">
        <v>96.714990581979194</v>
      </c>
      <c r="AJ6618">
        <v>43.865825997497197</v>
      </c>
      <c r="AK6618">
        <v>9.4617966412695491</v>
      </c>
      <c r="AL6618">
        <v>86.774275989073104</v>
      </c>
      <c r="AM6618">
        <v>70.588091020875197</v>
      </c>
      <c r="AN6618">
        <v>1.0000000356943499</v>
      </c>
    </row>
    <row r="6619" spans="1:40" x14ac:dyDescent="0.25">
      <c r="A6619" t="str">
        <f>"20190312150822036"</f>
        <v>20190312150822036</v>
      </c>
      <c r="B6619" t="str">
        <f>"1552374502026255"</f>
        <v>1552374502026255</v>
      </c>
      <c r="C6619" t="s">
        <v>40</v>
      </c>
      <c r="D6619">
        <v>4.2852389999999998</v>
      </c>
      <c r="E6619">
        <v>0.6852047</v>
      </c>
      <c r="F6619" t="s">
        <v>77</v>
      </c>
      <c r="G6619">
        <v>-207.75290000000001</v>
      </c>
      <c r="H6619" s="1">
        <v>-7.3348219999999998E-6</v>
      </c>
      <c r="I6619">
        <v>143.2912</v>
      </c>
      <c r="J6619">
        <v>-198.25980000000001</v>
      </c>
      <c r="K6619">
        <v>1.1063609999999999</v>
      </c>
      <c r="L6619">
        <v>144.2448</v>
      </c>
      <c r="M6619">
        <v>-0.61806470000000002</v>
      </c>
      <c r="N6619">
        <v>0</v>
      </c>
      <c r="O6619">
        <v>-0.78603330000000005</v>
      </c>
      <c r="P6619">
        <v>-0.84265970000000001</v>
      </c>
      <c r="Q6619">
        <v>4.8474070000000001E-2</v>
      </c>
      <c r="R6619">
        <v>-0.53626019999999996</v>
      </c>
      <c r="S6619">
        <v>-3.3610530000000001</v>
      </c>
      <c r="T6619">
        <v>-0.38911839999999998</v>
      </c>
      <c r="U6619">
        <v>-0.36068729999999999</v>
      </c>
      <c r="V6619">
        <v>0.33154460000000002</v>
      </c>
      <c r="W6619">
        <v>5.6481160000000002E-2</v>
      </c>
      <c r="X6619">
        <v>0.94174740000000001</v>
      </c>
      <c r="Y6619">
        <v>0.70720450000000001</v>
      </c>
      <c r="Z6619">
        <v>0.1195628</v>
      </c>
      <c r="AA6619">
        <v>0.6968261</v>
      </c>
      <c r="AB6619">
        <v>17</v>
      </c>
      <c r="AC6619">
        <v>-9.4930999999999894</v>
      </c>
      <c r="AD6619">
        <v>-1.1063683348219999</v>
      </c>
      <c r="AE6619">
        <v>-0.95359999999999401</v>
      </c>
      <c r="AF6619">
        <v>6.7818191121742002</v>
      </c>
      <c r="AG6619">
        <v>-1.1063683348219999</v>
      </c>
      <c r="AH6619">
        <v>6.5295969858307901</v>
      </c>
      <c r="AI6619">
        <v>96.702667580053998</v>
      </c>
      <c r="AJ6619">
        <v>43.914500592749398</v>
      </c>
      <c r="AK6619">
        <v>9.4790694775341002</v>
      </c>
      <c r="AL6619">
        <v>86.762145002263196</v>
      </c>
      <c r="AM6619">
        <v>70.605251146232405</v>
      </c>
      <c r="AN6619">
        <v>1.0000000543154299</v>
      </c>
    </row>
    <row r="6620" spans="1:40" x14ac:dyDescent="0.25">
      <c r="A6620" t="str">
        <f>"20190312150822048"</f>
        <v>20190312150822048</v>
      </c>
      <c r="B6620" t="str">
        <f>"1552374502036991"</f>
        <v>1552374502036991</v>
      </c>
      <c r="C6620" t="s">
        <v>40</v>
      </c>
      <c r="D6620">
        <v>4.285857</v>
      </c>
      <c r="E6620">
        <v>0.68499359999999998</v>
      </c>
      <c r="F6620" t="s">
        <v>77</v>
      </c>
      <c r="G6620">
        <v>-207.82550000000001</v>
      </c>
      <c r="H6620" s="1">
        <v>-7.2934359999999996E-6</v>
      </c>
      <c r="I6620">
        <v>143.25640000000001</v>
      </c>
      <c r="J6620">
        <v>-198.32089999999999</v>
      </c>
      <c r="K6620">
        <v>1.1063609999999999</v>
      </c>
      <c r="L6620">
        <v>144.1756</v>
      </c>
      <c r="M6620">
        <v>-0.62175630000000004</v>
      </c>
      <c r="N6620">
        <v>0</v>
      </c>
      <c r="O6620">
        <v>-0.78311660000000005</v>
      </c>
      <c r="P6620">
        <v>-0.84514290000000003</v>
      </c>
      <c r="Q6620">
        <v>4.8754529999999997E-2</v>
      </c>
      <c r="R6620">
        <v>-0.53231260000000002</v>
      </c>
      <c r="S6620">
        <v>-3.3614959999999998</v>
      </c>
      <c r="T6620">
        <v>-0.3887873</v>
      </c>
      <c r="U6620">
        <v>-0.34732059999999998</v>
      </c>
      <c r="V6620">
        <v>0.3315092</v>
      </c>
      <c r="W6620">
        <v>5.676204E-2</v>
      </c>
      <c r="X6620">
        <v>0.94174290000000005</v>
      </c>
      <c r="Y6620">
        <v>0.70668039999999999</v>
      </c>
      <c r="Z6620">
        <v>0.1193081</v>
      </c>
      <c r="AA6620">
        <v>0.69740119999999906</v>
      </c>
      <c r="AB6620">
        <v>17</v>
      </c>
      <c r="AC6620">
        <v>-9.5045999999999999</v>
      </c>
      <c r="AD6620">
        <v>-1.106368293436</v>
      </c>
      <c r="AE6620">
        <v>-0.91919999999998903</v>
      </c>
      <c r="AF6620">
        <v>6.7811666790166898</v>
      </c>
      <c r="AG6620">
        <v>-1.106368293436</v>
      </c>
      <c r="AH6620">
        <v>6.5420527845567804</v>
      </c>
      <c r="AI6620">
        <v>96.6969056870374</v>
      </c>
      <c r="AJ6620">
        <v>43.971814106289798</v>
      </c>
      <c r="AK6620">
        <v>9.4871875160794605</v>
      </c>
      <c r="AL6620">
        <v>86.746025676712904</v>
      </c>
      <c r="AM6620">
        <v>70.607081650887295</v>
      </c>
      <c r="AN6620">
        <v>0.99999998428500503</v>
      </c>
    </row>
    <row r="6621" spans="1:40" x14ac:dyDescent="0.25">
      <c r="A6621" t="str">
        <f>"20190312150822069"</f>
        <v>20190312150822069</v>
      </c>
      <c r="B6621" t="str">
        <f>"1552374502056510"</f>
        <v>1552374502056510</v>
      </c>
      <c r="C6621" t="s">
        <v>40</v>
      </c>
      <c r="D6621">
        <v>4.2495269999999996</v>
      </c>
      <c r="E6621">
        <v>0.6843513</v>
      </c>
      <c r="F6621" t="s">
        <v>77</v>
      </c>
      <c r="G6621">
        <v>-207.89699999999999</v>
      </c>
      <c r="H6621" s="1">
        <v>-7.253949E-6</v>
      </c>
      <c r="I6621">
        <v>143.2268</v>
      </c>
      <c r="J6621">
        <v>-198.4265</v>
      </c>
      <c r="K6621">
        <v>1.1063620000000001</v>
      </c>
      <c r="L6621">
        <v>144.05789999999999</v>
      </c>
      <c r="M6621">
        <v>-0.62804910000000003</v>
      </c>
      <c r="N6621">
        <v>0</v>
      </c>
      <c r="O6621">
        <v>-0.77807890000000002</v>
      </c>
      <c r="P6621">
        <v>-0.84932960000000002</v>
      </c>
      <c r="Q6621">
        <v>4.8945370000000002E-2</v>
      </c>
      <c r="R6621">
        <v>-0.52558919999999998</v>
      </c>
      <c r="S6621">
        <v>-3.3622740000000002</v>
      </c>
      <c r="T6621">
        <v>-0.3884609</v>
      </c>
      <c r="U6621">
        <v>-0.33314510000000003</v>
      </c>
      <c r="V6621">
        <v>0.33138450000000003</v>
      </c>
      <c r="W6621">
        <v>5.6954369999999997E-2</v>
      </c>
      <c r="X6621">
        <v>0.94177520000000003</v>
      </c>
      <c r="Y6621">
        <v>0.70399460000000003</v>
      </c>
      <c r="Z6621">
        <v>0.118795899999999</v>
      </c>
      <c r="AA6621">
        <v>0.70019940000000003</v>
      </c>
      <c r="AB6621">
        <v>17</v>
      </c>
      <c r="AC6621">
        <v>-9.4705000000000101</v>
      </c>
      <c r="AD6621">
        <v>-1.106369253949</v>
      </c>
      <c r="AE6621">
        <v>-0.83109999999999196</v>
      </c>
      <c r="AF6621">
        <v>6.7558339247362396</v>
      </c>
      <c r="AG6621">
        <v>-1.106369253949</v>
      </c>
      <c r="AH6621">
        <v>6.50696161185913</v>
      </c>
      <c r="AI6621">
        <v>96.727042892826006</v>
      </c>
      <c r="AJ6621">
        <v>43.924988337203501</v>
      </c>
      <c r="AK6621">
        <v>9.4448872075271098</v>
      </c>
      <c r="AL6621">
        <v>86.734988198357797</v>
      </c>
      <c r="AM6621">
        <v>70.6144475218819</v>
      </c>
      <c r="AN6621">
        <v>1.0000000072186901</v>
      </c>
    </row>
    <row r="6622" spans="1:40" x14ac:dyDescent="0.25">
      <c r="A6622" t="str">
        <f>"20190312150822080"</f>
        <v>20190312150822080</v>
      </c>
      <c r="B6622" t="str">
        <f>"1552374502077006"</f>
        <v>1552374502077006</v>
      </c>
      <c r="C6622" t="s">
        <v>40</v>
      </c>
      <c r="D6622">
        <v>4.2729160000000004</v>
      </c>
      <c r="E6622">
        <v>0.68362230000000002</v>
      </c>
      <c r="F6622" t="s">
        <v>77</v>
      </c>
      <c r="G6622">
        <v>-208.0325</v>
      </c>
      <c r="H6622" s="1">
        <v>-7.1786059999999999E-6</v>
      </c>
      <c r="I6622">
        <v>143.16909999999999</v>
      </c>
      <c r="J6622">
        <v>-198.49379999999999</v>
      </c>
      <c r="K6622">
        <v>1.1063609999999999</v>
      </c>
      <c r="L6622">
        <v>143.98390000000001</v>
      </c>
      <c r="M6622">
        <v>-0.63200489999999998</v>
      </c>
      <c r="N6622">
        <v>0</v>
      </c>
      <c r="O6622">
        <v>-0.77486909999999998</v>
      </c>
      <c r="P6622">
        <v>-0.85193589999999997</v>
      </c>
      <c r="Q6622">
        <v>4.9122859999999997E-2</v>
      </c>
      <c r="R6622">
        <v>-0.5213373</v>
      </c>
      <c r="S6622">
        <v>-3.3620450000000002</v>
      </c>
      <c r="T6622">
        <v>-0.38722329999999999</v>
      </c>
      <c r="U6622">
        <v>-0.3110504</v>
      </c>
      <c r="V6622">
        <v>0.33128780000000002</v>
      </c>
      <c r="W6622">
        <v>5.7133379999999998E-2</v>
      </c>
      <c r="X6622">
        <v>0.94179840000000004</v>
      </c>
      <c r="Y6622">
        <v>0.70500890000000005</v>
      </c>
      <c r="Z6622">
        <v>0.1183854</v>
      </c>
      <c r="AA6622">
        <v>0.69924770000000003</v>
      </c>
      <c r="AB6622">
        <v>17</v>
      </c>
      <c r="AC6622">
        <v>-9.5387000000000004</v>
      </c>
      <c r="AD6622">
        <v>-1.106368178606</v>
      </c>
      <c r="AE6622">
        <v>-0.81480000000001895</v>
      </c>
      <c r="AF6622">
        <v>6.7861608208758399</v>
      </c>
      <c r="AG6622">
        <v>-1.106368178606</v>
      </c>
      <c r="AH6622">
        <v>6.5725795363871304</v>
      </c>
      <c r="AI6622">
        <v>96.6794789817138</v>
      </c>
      <c r="AJ6622">
        <v>44.084025640481798</v>
      </c>
      <c r="AK6622">
        <v>9.5118258497281705</v>
      </c>
      <c r="AL6622">
        <v>86.724715020499502</v>
      </c>
      <c r="AM6622">
        <v>70.620124398431201</v>
      </c>
      <c r="AN6622">
        <v>1.0000000278908101</v>
      </c>
    </row>
    <row r="6623" spans="1:40" x14ac:dyDescent="0.25">
      <c r="A6623" t="str">
        <f>"20190312150822103"</f>
        <v>20190312150822103</v>
      </c>
      <c r="B6623" t="str">
        <f>"1552374502096526"</f>
        <v>1552374502096526</v>
      </c>
      <c r="C6623" t="s">
        <v>40</v>
      </c>
      <c r="D6623">
        <v>4.275074</v>
      </c>
      <c r="E6623">
        <v>0.6828883</v>
      </c>
      <c r="F6623" t="s">
        <v>77</v>
      </c>
      <c r="G6623">
        <v>-208.0856</v>
      </c>
      <c r="H6623" s="1">
        <v>-7.14438E-6</v>
      </c>
      <c r="I6623">
        <v>143.12870000000001</v>
      </c>
      <c r="J6623">
        <v>-198.61269999999999</v>
      </c>
      <c r="K6623">
        <v>1.1063620000000001</v>
      </c>
      <c r="L6623">
        <v>143.85480000000001</v>
      </c>
      <c r="M6623">
        <v>-0.63891069999999905</v>
      </c>
      <c r="N6623">
        <v>0</v>
      </c>
      <c r="O6623">
        <v>-0.76918489999999995</v>
      </c>
      <c r="P6623">
        <v>-0.85636979999999996</v>
      </c>
      <c r="Q6623">
        <v>4.9410379999999997E-2</v>
      </c>
      <c r="R6623">
        <v>-0.51399399999999995</v>
      </c>
      <c r="S6623">
        <v>-3.360382</v>
      </c>
      <c r="T6623">
        <v>-0.38760119999999998</v>
      </c>
      <c r="U6623">
        <v>-0.299591099999999</v>
      </c>
      <c r="V6623">
        <v>0.33095029999999998</v>
      </c>
      <c r="W6623">
        <v>5.7425660000000003E-2</v>
      </c>
      <c r="X6623">
        <v>0.94189920000000005</v>
      </c>
      <c r="Y6623">
        <v>0.70105949999999995</v>
      </c>
      <c r="Z6623">
        <v>0.1180339</v>
      </c>
      <c r="AA6623">
        <v>0.70326639999999996</v>
      </c>
      <c r="AB6623">
        <v>17</v>
      </c>
      <c r="AC6623">
        <v>-9.4729000000000099</v>
      </c>
      <c r="AD6623">
        <v>-1.1063691443799999</v>
      </c>
      <c r="AE6623">
        <v>-0.72610000000000197</v>
      </c>
      <c r="AF6623">
        <v>6.7317140708560803</v>
      </c>
      <c r="AG6623">
        <v>-1.1063691443799999</v>
      </c>
      <c r="AH6623">
        <v>6.5228742496855201</v>
      </c>
      <c r="AI6623">
        <v>96.731515645765498</v>
      </c>
      <c r="AJ6623">
        <v>44.0973201100187</v>
      </c>
      <c r="AK6623">
        <v>9.4386394937304594</v>
      </c>
      <c r="AL6623">
        <v>86.707940831201896</v>
      </c>
      <c r="AM6623">
        <v>70.640315833263202</v>
      </c>
      <c r="AN6623">
        <v>0.99999995522858098</v>
      </c>
    </row>
    <row r="6624" spans="1:40" x14ac:dyDescent="0.25">
      <c r="A6624" t="str">
        <f>"20190312150822125"</f>
        <v>20190312150822125</v>
      </c>
      <c r="B6624" t="str">
        <f>"1552374502117023"</f>
        <v>1552374502117023</v>
      </c>
      <c r="C6624" t="s">
        <v>40</v>
      </c>
      <c r="D6624">
        <v>4.295121</v>
      </c>
      <c r="E6624">
        <v>0.68210789999999999</v>
      </c>
      <c r="F6624" t="s">
        <v>77</v>
      </c>
      <c r="G6624">
        <v>-208.15610000000001</v>
      </c>
      <c r="H6624" s="1">
        <v>-7.0977480000000003E-6</v>
      </c>
      <c r="I6624">
        <v>143.07040000000001</v>
      </c>
      <c r="J6624">
        <v>-198.73580000000001</v>
      </c>
      <c r="K6624">
        <v>1.106363</v>
      </c>
      <c r="L6624">
        <v>143.72370000000001</v>
      </c>
      <c r="M6624">
        <v>-0.64592950000000005</v>
      </c>
      <c r="N6624">
        <v>0</v>
      </c>
      <c r="O6624">
        <v>-0.76330030000000004</v>
      </c>
      <c r="P6624">
        <v>-0.86100460000000001</v>
      </c>
      <c r="Q6624">
        <v>4.9678880000000002E-2</v>
      </c>
      <c r="R6624">
        <v>-0.50616530000000004</v>
      </c>
      <c r="S6624">
        <v>-3.3598940000000002</v>
      </c>
      <c r="T6624">
        <v>-0.38951520000000001</v>
      </c>
      <c r="U6624">
        <v>-0.2761383</v>
      </c>
      <c r="V6624">
        <v>0.3309009</v>
      </c>
      <c r="W6624">
        <v>5.7694160000000001E-2</v>
      </c>
      <c r="X6624">
        <v>0.94190019999999997</v>
      </c>
      <c r="Y6624">
        <v>0.69938350000000005</v>
      </c>
      <c r="Z6624">
        <v>0.11825570000000001</v>
      </c>
      <c r="AA6624">
        <v>0.70489599999999997</v>
      </c>
      <c r="AB6624">
        <v>17</v>
      </c>
      <c r="AC6624">
        <v>-9.4202999999999903</v>
      </c>
      <c r="AD6624">
        <v>-1.106370097748</v>
      </c>
      <c r="AE6624">
        <v>-0.65330000000000099</v>
      </c>
      <c r="AF6624">
        <v>6.6773693064108404</v>
      </c>
      <c r="AG6624">
        <v>-1.106370097748</v>
      </c>
      <c r="AH6624">
        <v>6.4948429284182296</v>
      </c>
      <c r="AI6624">
        <v>96.773417569493702</v>
      </c>
      <c r="AJ6624">
        <v>44.206107399593698</v>
      </c>
      <c r="AK6624">
        <v>9.3805277203477608</v>
      </c>
      <c r="AL6624">
        <v>86.692531527884995</v>
      </c>
      <c r="AM6624">
        <v>70.643009682922496</v>
      </c>
      <c r="AN6624">
        <v>1.0000000042394701</v>
      </c>
    </row>
    <row r="6625" spans="1:40" x14ac:dyDescent="0.25">
      <c r="A6625" t="str">
        <f>"20190312150822147"</f>
        <v>20190312150822147</v>
      </c>
      <c r="B6625" t="str">
        <f>"1552374502136546"</f>
        <v>1552374502136546</v>
      </c>
      <c r="C6625" t="s">
        <v>40</v>
      </c>
      <c r="D6625">
        <v>4.3144019999999896</v>
      </c>
      <c r="E6625">
        <v>0.68131759999999997</v>
      </c>
      <c r="F6625" t="s">
        <v>77</v>
      </c>
      <c r="G6625">
        <v>-208.24959999999999</v>
      </c>
      <c r="H6625" s="1">
        <v>-7.0408389999999996E-6</v>
      </c>
      <c r="I6625">
        <v>143.0119</v>
      </c>
      <c r="J6625">
        <v>-198.85599999999999</v>
      </c>
      <c r="K6625">
        <v>1.1063689999999999</v>
      </c>
      <c r="L6625">
        <v>143.59799999999899</v>
      </c>
      <c r="M6625">
        <v>-0.65266599999999997</v>
      </c>
      <c r="N6625">
        <v>0</v>
      </c>
      <c r="O6625">
        <v>-0.75754809999999995</v>
      </c>
      <c r="P6625">
        <v>-0.86559560000000002</v>
      </c>
      <c r="Q6625">
        <v>4.9882129999999997E-2</v>
      </c>
      <c r="R6625">
        <v>-0.49825320000000001</v>
      </c>
      <c r="S6625">
        <v>-3.35907</v>
      </c>
      <c r="T6625">
        <v>-0.39063120000000001</v>
      </c>
      <c r="U6625">
        <v>-0.25132749999999998</v>
      </c>
      <c r="V6625">
        <v>0.3311827</v>
      </c>
      <c r="W6625">
        <v>5.7892659999999999E-2</v>
      </c>
      <c r="X6625">
        <v>0.94178899999999999</v>
      </c>
      <c r="Y6625">
        <v>0.69823299999999999</v>
      </c>
      <c r="Z6625">
        <v>0.1182757</v>
      </c>
      <c r="AA6625">
        <v>0.706032199999999</v>
      </c>
      <c r="AB6625">
        <v>17</v>
      </c>
      <c r="AC6625">
        <v>-9.3935999999999904</v>
      </c>
      <c r="AD6625">
        <v>-1.106376040839</v>
      </c>
      <c r="AE6625">
        <v>-0.58609999999998696</v>
      </c>
      <c r="AF6625">
        <v>6.6422895068365104</v>
      </c>
      <c r="AG6625">
        <v>-1.106376040839</v>
      </c>
      <c r="AH6625">
        <v>6.4857469036572102</v>
      </c>
      <c r="AI6625">
        <v>96.796201148479</v>
      </c>
      <c r="AJ6625">
        <v>44.316820495938302</v>
      </c>
      <c r="AK6625">
        <v>9.3492775514834392</v>
      </c>
      <c r="AL6625">
        <v>86.681139362146197</v>
      </c>
      <c r="AM6625">
        <v>70.625635512018505</v>
      </c>
      <c r="AN6625">
        <v>1.0000000306910799</v>
      </c>
    </row>
    <row r="6626" spans="1:40" x14ac:dyDescent="0.25">
      <c r="A6626" t="str">
        <f>"20190312150822168"</f>
        <v>20190312150822168</v>
      </c>
      <c r="B6626" t="str">
        <f>"1552374502157043"</f>
        <v>1552374502157043</v>
      </c>
      <c r="C6626" t="s">
        <v>40</v>
      </c>
      <c r="D6626">
        <v>4.2828429999999997</v>
      </c>
      <c r="E6626">
        <v>0.68097839999999998</v>
      </c>
      <c r="F6626" t="s">
        <v>77</v>
      </c>
      <c r="G6626">
        <v>-208.3648</v>
      </c>
      <c r="H6626" s="1">
        <v>-6.975109E-6</v>
      </c>
      <c r="I6626">
        <v>142.95650000000001</v>
      </c>
      <c r="J6626">
        <v>-198.97110000000001</v>
      </c>
      <c r="K6626">
        <v>1.106368</v>
      </c>
      <c r="L6626">
        <v>143.4796</v>
      </c>
      <c r="M6626">
        <v>-0.65901369999999904</v>
      </c>
      <c r="N6626">
        <v>0</v>
      </c>
      <c r="O6626">
        <v>-0.752032699999999</v>
      </c>
      <c r="P6626">
        <v>-0.86990789999999996</v>
      </c>
      <c r="Q6626">
        <v>4.999046E-2</v>
      </c>
      <c r="R6626">
        <v>-0.49067460000000002</v>
      </c>
      <c r="S6626">
        <v>-3.3579409999999998</v>
      </c>
      <c r="T6626">
        <v>-0.39070549999999998</v>
      </c>
      <c r="U6626">
        <v>-0.22653200000000001</v>
      </c>
      <c r="V6626">
        <v>0.33148440000000001</v>
      </c>
      <c r="W6626">
        <v>5.7995480000000002E-2</v>
      </c>
      <c r="X6626">
        <v>0.94167650000000003</v>
      </c>
      <c r="Y6626">
        <v>0.69744309999999998</v>
      </c>
      <c r="Z6626">
        <v>0.11801540000000001</v>
      </c>
      <c r="AA6626">
        <v>0.70685609999999999</v>
      </c>
      <c r="AB6626">
        <v>17</v>
      </c>
      <c r="AC6626">
        <v>-9.3936999999999902</v>
      </c>
      <c r="AD6626">
        <v>-1.106374975109</v>
      </c>
      <c r="AE6626">
        <v>-0.52309999999999901</v>
      </c>
      <c r="AF6626">
        <v>6.6284717451117601</v>
      </c>
      <c r="AG6626">
        <v>-1.106374975109</v>
      </c>
      <c r="AH6626">
        <v>6.4946382773623297</v>
      </c>
      <c r="AI6626">
        <v>96.798850633553997</v>
      </c>
      <c r="AJ6626">
        <v>44.415700468710703</v>
      </c>
      <c r="AK6626">
        <v>9.3456422794301499</v>
      </c>
      <c r="AL6626">
        <v>86.675238216290296</v>
      </c>
      <c r="AM6626">
        <v>70.607158854074299</v>
      </c>
      <c r="AN6626">
        <v>1.0000000068980199</v>
      </c>
    </row>
    <row r="6627" spans="1:40" x14ac:dyDescent="0.25">
      <c r="A6627" t="str">
        <f>"20190312150822180"</f>
        <v>20190312150822180</v>
      </c>
      <c r="B6627" t="str">
        <f>"1552374502176559"</f>
        <v>1552374502176559</v>
      </c>
      <c r="C6627" t="s">
        <v>40</v>
      </c>
      <c r="D6627">
        <v>4.3013349999999999</v>
      </c>
      <c r="E6627">
        <v>0.66834789999999999</v>
      </c>
      <c r="F6627" t="s">
        <v>77</v>
      </c>
      <c r="G6627">
        <v>-208.45410000000001</v>
      </c>
      <c r="H6627" s="1">
        <v>-6.9246690000000002E-6</v>
      </c>
      <c r="I6627">
        <v>142.91540000000001</v>
      </c>
      <c r="J6627">
        <v>-199.04040000000001</v>
      </c>
      <c r="K6627">
        <v>1.106366</v>
      </c>
      <c r="L6627">
        <v>143.4093</v>
      </c>
      <c r="M6627">
        <v>-0.66278479999999995</v>
      </c>
      <c r="N6627">
        <v>0</v>
      </c>
      <c r="O6627">
        <v>-0.74871109999999996</v>
      </c>
      <c r="P6627">
        <v>-0.87256270000000002</v>
      </c>
      <c r="Q6627">
        <v>5.0496119999999999E-2</v>
      </c>
      <c r="R6627">
        <v>-0.48588559999999997</v>
      </c>
      <c r="S6627">
        <v>-3.358444</v>
      </c>
      <c r="T6627">
        <v>-0.39182850000000002</v>
      </c>
      <c r="U6627">
        <v>-0.19981380000000001</v>
      </c>
      <c r="V6627">
        <v>0.33191199999999998</v>
      </c>
      <c r="W6627">
        <v>5.849389E-2</v>
      </c>
      <c r="X6627">
        <v>0.94149510000000003</v>
      </c>
      <c r="Y6627">
        <v>0.69942099999999996</v>
      </c>
      <c r="Z6627">
        <v>0.1183159</v>
      </c>
      <c r="AA6627">
        <v>0.70484859999999905</v>
      </c>
      <c r="AB6627">
        <v>17</v>
      </c>
      <c r="AC6627">
        <v>-9.4137000000000004</v>
      </c>
      <c r="AD6627">
        <v>-1.1063729246689999</v>
      </c>
      <c r="AE6627">
        <v>-0.49389999999999601</v>
      </c>
      <c r="AF6627">
        <v>6.6299625670487403</v>
      </c>
      <c r="AG6627">
        <v>-1.1063729246689999</v>
      </c>
      <c r="AH6627">
        <v>6.5197262068336999</v>
      </c>
      <c r="AI6627">
        <v>96.785337628593297</v>
      </c>
      <c r="AJ6627">
        <v>44.519689755110399</v>
      </c>
      <c r="AK6627">
        <v>9.3641494275231594</v>
      </c>
      <c r="AL6627">
        <v>86.6466330666521</v>
      </c>
      <c r="AM6627">
        <v>70.580552556567298</v>
      </c>
      <c r="AN6627">
        <v>1.0000000671176601</v>
      </c>
    </row>
    <row r="6628" spans="1:40" x14ac:dyDescent="0.25">
      <c r="A6628" t="str">
        <f>"20190312150822192"</f>
        <v>20190312150822192</v>
      </c>
      <c r="B6628" t="str">
        <f>"1552374502186319"</f>
        <v>1552374502186319</v>
      </c>
      <c r="C6628" t="s">
        <v>40</v>
      </c>
      <c r="D6628">
        <v>4.2862489999999998</v>
      </c>
      <c r="E6628">
        <v>0.66781509999999999</v>
      </c>
      <c r="F6628" t="s">
        <v>77</v>
      </c>
      <c r="G6628">
        <v>-207.93260000000001</v>
      </c>
      <c r="H6628" s="1">
        <v>-7.0955780000000001E-6</v>
      </c>
      <c r="I6628">
        <v>142.6867</v>
      </c>
      <c r="J6628">
        <v>-199.10589999999999</v>
      </c>
      <c r="K6628">
        <v>1.106365</v>
      </c>
      <c r="L6628">
        <v>143.34360000000001</v>
      </c>
      <c r="M6628">
        <v>-0.666315199999999</v>
      </c>
      <c r="N6628">
        <v>0</v>
      </c>
      <c r="O6628">
        <v>-0.74557099999999998</v>
      </c>
      <c r="P6628">
        <v>-0.87484499999999998</v>
      </c>
      <c r="Q6628">
        <v>5.0728080000000002E-2</v>
      </c>
      <c r="R6628">
        <v>-0.4817398</v>
      </c>
      <c r="S6628">
        <v>-3.312119</v>
      </c>
      <c r="T6628">
        <v>-0.41209750000000001</v>
      </c>
      <c r="U6628">
        <v>-0.26914979999999999</v>
      </c>
      <c r="V6628">
        <v>0.33192319999999997</v>
      </c>
      <c r="W6628">
        <v>5.8725230000000003E-2</v>
      </c>
      <c r="X6628">
        <v>0.94147670000000006</v>
      </c>
      <c r="Y6628">
        <v>0.6795871</v>
      </c>
      <c r="Z6628">
        <v>0.124393</v>
      </c>
      <c r="AA6628">
        <v>0.72297149999999999</v>
      </c>
      <c r="AB6628">
        <v>17</v>
      </c>
      <c r="AC6628">
        <v>-8.8267000000000095</v>
      </c>
      <c r="AD6628">
        <v>-1.1063720955779901</v>
      </c>
      <c r="AE6628">
        <v>-0.65690000000000703</v>
      </c>
      <c r="AF6628">
        <v>6.0491681463817599</v>
      </c>
      <c r="AG6628">
        <v>-1.1063720955779901</v>
      </c>
      <c r="AH6628">
        <v>6.2735795581519502</v>
      </c>
      <c r="AI6628">
        <v>97.235062745330396</v>
      </c>
      <c r="AJ6628">
        <v>46.043306731943403</v>
      </c>
      <c r="AK6628">
        <v>8.7848901501120302</v>
      </c>
      <c r="AL6628">
        <v>86.633355278556095</v>
      </c>
      <c r="AM6628">
        <v>70.579595182906203</v>
      </c>
      <c r="AN6628">
        <v>1.00000001998984</v>
      </c>
    </row>
    <row r="6629" spans="1:40" x14ac:dyDescent="0.25">
      <c r="A6629" t="str">
        <f>"20190312150822205"</f>
        <v>20190312150822205</v>
      </c>
      <c r="B6629" t="str">
        <f>"1552374502197056"</f>
        <v>1552374502197056</v>
      </c>
      <c r="C6629" t="s">
        <v>40</v>
      </c>
      <c r="D6629">
        <v>4.3058680000000003</v>
      </c>
      <c r="E6629">
        <v>0.66780439999999996</v>
      </c>
      <c r="F6629" t="s">
        <v>77</v>
      </c>
      <c r="G6629">
        <v>-208.0538</v>
      </c>
      <c r="H6629" s="1">
        <v>-7.03160899999999E-6</v>
      </c>
      <c r="I6629">
        <v>142.648</v>
      </c>
      <c r="J6629">
        <v>-199.184</v>
      </c>
      <c r="K6629">
        <v>1.106366</v>
      </c>
      <c r="L6629">
        <v>143.26580000000001</v>
      </c>
      <c r="M6629">
        <v>-0.67049060000000005</v>
      </c>
      <c r="N6629">
        <v>0</v>
      </c>
      <c r="O6629">
        <v>-0.74181850000000005</v>
      </c>
      <c r="P6629">
        <v>-0.87762530000000005</v>
      </c>
      <c r="Q6629">
        <v>5.087626E-2</v>
      </c>
      <c r="R6629">
        <v>-0.47664020000000001</v>
      </c>
      <c r="S6629">
        <v>-3.3111570000000001</v>
      </c>
      <c r="T6629">
        <v>-0.40941329999999998</v>
      </c>
      <c r="U6629">
        <v>-0.25741579999999997</v>
      </c>
      <c r="V6629">
        <v>0.33211230000000003</v>
      </c>
      <c r="W6629">
        <v>5.887042E-2</v>
      </c>
      <c r="X6629">
        <v>0.94140089999999998</v>
      </c>
      <c r="Y6629">
        <v>0.67817510000000003</v>
      </c>
      <c r="Z6629">
        <v>0.1233099</v>
      </c>
      <c r="AA6629">
        <v>0.72448140000000005</v>
      </c>
      <c r="AB6629">
        <v>17</v>
      </c>
      <c r="AC6629">
        <v>-8.8697999999999695</v>
      </c>
      <c r="AD6629">
        <v>-1.1063730316089999</v>
      </c>
      <c r="AE6629">
        <v>-0.617800000000016</v>
      </c>
      <c r="AF6629">
        <v>6.0719912619526797</v>
      </c>
      <c r="AG6629">
        <v>-1.1063730316089999</v>
      </c>
      <c r="AH6629">
        <v>6.3082117700470501</v>
      </c>
      <c r="AI6629">
        <v>97.201729432376396</v>
      </c>
      <c r="AJ6629">
        <v>46.093099684829802</v>
      </c>
      <c r="AK6629">
        <v>8.8253427642251694</v>
      </c>
      <c r="AL6629">
        <v>86.6250219533608</v>
      </c>
      <c r="AM6629">
        <v>70.567912691625395</v>
      </c>
      <c r="AN6629">
        <v>0.99999998034153803</v>
      </c>
    </row>
    <row r="6630" spans="1:40" x14ac:dyDescent="0.25">
      <c r="A6630" t="str">
        <f>"20190312150822217"</f>
        <v>20190312150822217</v>
      </c>
      <c r="B6630" t="str">
        <f>"1552374502206815"</f>
        <v>1552374502206815</v>
      </c>
      <c r="C6630" t="s">
        <v>40</v>
      </c>
      <c r="D6630">
        <v>4.2945710000000004</v>
      </c>
      <c r="E6630">
        <v>0.66748569999999996</v>
      </c>
      <c r="F6630" t="s">
        <v>77</v>
      </c>
      <c r="G6630">
        <v>-208.0669</v>
      </c>
      <c r="H6630" s="1">
        <v>-7.0201839999999997E-6</v>
      </c>
      <c r="I6630">
        <v>142.6268</v>
      </c>
      <c r="J6630">
        <v>-199.24940000000001</v>
      </c>
      <c r="K6630">
        <v>1.1063639999999999</v>
      </c>
      <c r="L6630">
        <v>143.20160000000001</v>
      </c>
      <c r="M6630">
        <v>-0.67394600000000005</v>
      </c>
      <c r="N6630">
        <v>0</v>
      </c>
      <c r="O6630">
        <v>-0.73868069999999997</v>
      </c>
      <c r="P6630">
        <v>-0.87983419999999901</v>
      </c>
      <c r="Q6630">
        <v>5.1124959999999997E-2</v>
      </c>
      <c r="R6630">
        <v>-0.47252369999999999</v>
      </c>
      <c r="S6630">
        <v>-3.312805</v>
      </c>
      <c r="T6630">
        <v>-0.41261340000000002</v>
      </c>
      <c r="U6630">
        <v>-0.23832700000000001</v>
      </c>
      <c r="V6630">
        <v>0.33212019999999998</v>
      </c>
      <c r="W6630">
        <v>5.9117940000000001E-2</v>
      </c>
      <c r="X6630">
        <v>0.94138259999999996</v>
      </c>
      <c r="Y6630">
        <v>0.67881579999999997</v>
      </c>
      <c r="Z6630">
        <v>0.12408370000000001</v>
      </c>
      <c r="AA6630">
        <v>0.72374890000000003</v>
      </c>
      <c r="AB6630">
        <v>17</v>
      </c>
      <c r="AC6630">
        <v>-8.8174999999999901</v>
      </c>
      <c r="AD6630">
        <v>-1.10637102018399</v>
      </c>
      <c r="AE6630">
        <v>-0.57480000000000997</v>
      </c>
      <c r="AF6630">
        <v>6.0318228903484599</v>
      </c>
      <c r="AG6630">
        <v>-1.10637102018399</v>
      </c>
      <c r="AH6630">
        <v>6.2692973636684997</v>
      </c>
      <c r="AI6630">
        <v>97.247494004708599</v>
      </c>
      <c r="AJ6630">
        <v>46.105963917426699</v>
      </c>
      <c r="AK6630">
        <v>8.7698935939346203</v>
      </c>
      <c r="AL6630">
        <v>86.610815353323702</v>
      </c>
      <c r="AM6630">
        <v>70.567135650692407</v>
      </c>
      <c r="AN6630">
        <v>0.99999997883032099</v>
      </c>
    </row>
    <row r="6631" spans="1:40" x14ac:dyDescent="0.25">
      <c r="A6631" t="str">
        <f>"20190312150822237"</f>
        <v>20190312150822237</v>
      </c>
      <c r="B6631" t="str">
        <f>"1552374502226337"</f>
        <v>1552374502226337</v>
      </c>
      <c r="C6631" t="s">
        <v>40</v>
      </c>
      <c r="D6631">
        <v>4.3128570000000002</v>
      </c>
      <c r="E6631">
        <v>0.66645909999999997</v>
      </c>
      <c r="F6631" t="s">
        <v>77</v>
      </c>
      <c r="G6631">
        <v>-208.03469999999999</v>
      </c>
      <c r="H6631" s="1">
        <v>-7.0287109999999901E-6</v>
      </c>
      <c r="I6631">
        <v>142.60489999999999</v>
      </c>
      <c r="J6631">
        <v>-199.3595</v>
      </c>
      <c r="K6631">
        <v>1.1063620000000001</v>
      </c>
      <c r="L6631">
        <v>143.09450000000001</v>
      </c>
      <c r="M6631">
        <v>-0.67970399999999997</v>
      </c>
      <c r="N6631">
        <v>0</v>
      </c>
      <c r="O6631">
        <v>-0.73338590000000003</v>
      </c>
      <c r="P6631">
        <v>-0.8835073</v>
      </c>
      <c r="Q6631">
        <v>5.1881820000000002E-2</v>
      </c>
      <c r="R6631">
        <v>-0.4655357</v>
      </c>
      <c r="S6631">
        <v>-3.313126</v>
      </c>
      <c r="T6631">
        <v>-0.4172382</v>
      </c>
      <c r="U6631">
        <v>-0.22502140000000001</v>
      </c>
      <c r="V6631">
        <v>0.3321926</v>
      </c>
      <c r="W6631">
        <v>5.9871899999999999E-2</v>
      </c>
      <c r="X6631">
        <v>0.94130950000000002</v>
      </c>
      <c r="Y6631">
        <v>0.67584440000000001</v>
      </c>
      <c r="Z6631">
        <v>0.12491090000000001</v>
      </c>
      <c r="AA6631">
        <v>0.72638249999999904</v>
      </c>
      <c r="AB6631">
        <v>17</v>
      </c>
      <c r="AC6631">
        <v>-8.6751999999999896</v>
      </c>
      <c r="AD6631">
        <v>-1.106369028711</v>
      </c>
      <c r="AE6631">
        <v>-0.48960000000002402</v>
      </c>
      <c r="AF6631">
        <v>5.9337285083212299</v>
      </c>
      <c r="AG6631">
        <v>-1.106369028711</v>
      </c>
      <c r="AH6631">
        <v>6.1562845231826202</v>
      </c>
      <c r="AI6631">
        <v>97.372774167194507</v>
      </c>
      <c r="AJ6631">
        <v>46.054596076416203</v>
      </c>
      <c r="AK6631">
        <v>8.6216602559212898</v>
      </c>
      <c r="AL6631">
        <v>86.567540285730502</v>
      </c>
      <c r="AM6631">
        <v>70.561820754281399</v>
      </c>
      <c r="AN6631">
        <v>1.0000000713473001</v>
      </c>
    </row>
    <row r="6632" spans="1:40" x14ac:dyDescent="0.25">
      <c r="A6632" t="str">
        <f>"20190312150822248"</f>
        <v>20190312150822248</v>
      </c>
      <c r="B6632" t="str">
        <f>"1552374502246832"</f>
        <v>1552374502246832</v>
      </c>
      <c r="C6632" t="s">
        <v>40</v>
      </c>
      <c r="D6632">
        <v>4.3492870000000003</v>
      </c>
      <c r="E6632">
        <v>0.66563039999999996</v>
      </c>
      <c r="F6632" t="s">
        <v>77</v>
      </c>
      <c r="G6632">
        <v>-208.0453</v>
      </c>
      <c r="H6632" s="1">
        <v>-7.010323E-6</v>
      </c>
      <c r="I6632">
        <v>142.5531</v>
      </c>
      <c r="J6632">
        <v>-199.42789999999999</v>
      </c>
      <c r="K6632">
        <v>1.106363</v>
      </c>
      <c r="L6632">
        <v>143.02879999999999</v>
      </c>
      <c r="M6632">
        <v>-0.68323889999999998</v>
      </c>
      <c r="N6632">
        <v>0</v>
      </c>
      <c r="O6632">
        <v>-0.73009399999999902</v>
      </c>
      <c r="P6632">
        <v>-0.88568119999999995</v>
      </c>
      <c r="Q6632">
        <v>5.2034619999999997E-2</v>
      </c>
      <c r="R6632">
        <v>-0.46137010000000001</v>
      </c>
      <c r="S6632">
        <v>-3.311569</v>
      </c>
      <c r="T6632">
        <v>-0.42181879999999999</v>
      </c>
      <c r="U6632">
        <v>-0.20640559999999999</v>
      </c>
      <c r="V6632">
        <v>0.33207370000000003</v>
      </c>
      <c r="W6632">
        <v>6.0026139999999999E-2</v>
      </c>
      <c r="X6632">
        <v>0.9413416</v>
      </c>
      <c r="Y6632">
        <v>0.6761393</v>
      </c>
      <c r="Z6632">
        <v>0.12615779999999999</v>
      </c>
      <c r="AA6632">
        <v>0.72589250000000005</v>
      </c>
      <c r="AB6632">
        <v>17</v>
      </c>
      <c r="AC6632">
        <v>-8.6173999999999999</v>
      </c>
      <c r="AD6632">
        <v>-1.1063700103229901</v>
      </c>
      <c r="AE6632">
        <v>-0.47569999999998902</v>
      </c>
      <c r="AF6632">
        <v>5.8704633900254404</v>
      </c>
      <c r="AG6632">
        <v>-1.1063700103229901</v>
      </c>
      <c r="AH6632">
        <v>6.1346942939281401</v>
      </c>
      <c r="AI6632">
        <v>97.423779751375207</v>
      </c>
      <c r="AJ6632">
        <v>46.260864044487001</v>
      </c>
      <c r="AK6632">
        <v>8.5627606000241308</v>
      </c>
      <c r="AL6632">
        <v>86.558686967366</v>
      </c>
      <c r="AM6632">
        <v>70.568869694440394</v>
      </c>
      <c r="AN6632">
        <v>1.0000000438027701</v>
      </c>
    </row>
    <row r="6633" spans="1:40" x14ac:dyDescent="0.25">
      <c r="A6633" t="str">
        <f>"20190312150822269"</f>
        <v>20190312150822269</v>
      </c>
      <c r="B6633" t="str">
        <f>"1552374502266350"</f>
        <v>1552374502266350</v>
      </c>
      <c r="C6633" t="s">
        <v>40</v>
      </c>
      <c r="D6633">
        <v>4.3762970000000001</v>
      </c>
      <c r="E6633">
        <v>0.66499140000000001</v>
      </c>
      <c r="F6633" t="s">
        <v>77</v>
      </c>
      <c r="G6633">
        <v>-208.16579999999999</v>
      </c>
      <c r="H6633" s="1">
        <v>-6.9452190000000003E-6</v>
      </c>
      <c r="I6633">
        <v>142.50890000000001</v>
      </c>
      <c r="J6633">
        <v>-199.5462</v>
      </c>
      <c r="K6633">
        <v>1.1063639999999999</v>
      </c>
      <c r="L6633">
        <v>142.91679999999999</v>
      </c>
      <c r="M6633">
        <v>-0.68926899999999902</v>
      </c>
      <c r="N6633">
        <v>0</v>
      </c>
      <c r="O6633">
        <v>-0.72440340000000003</v>
      </c>
      <c r="P6633">
        <v>-0.88955740000000005</v>
      </c>
      <c r="Q6633">
        <v>5.1792489999999997E-2</v>
      </c>
      <c r="R6633">
        <v>-0.45387830000000001</v>
      </c>
      <c r="S6633">
        <v>-3.3092800000000002</v>
      </c>
      <c r="T6633">
        <v>-0.41901490000000002</v>
      </c>
      <c r="U6633">
        <v>-0.19688420000000001</v>
      </c>
      <c r="V6633">
        <v>0.33222119999999999</v>
      </c>
      <c r="W6633">
        <v>5.9781479999999998E-2</v>
      </c>
      <c r="X6633">
        <v>0.94130510000000001</v>
      </c>
      <c r="Y6633">
        <v>0.67230349999999905</v>
      </c>
      <c r="Z6633">
        <v>0.1247544</v>
      </c>
      <c r="AA6633">
        <v>0.7296878</v>
      </c>
      <c r="AB6633">
        <v>17</v>
      </c>
      <c r="AC6633">
        <v>-8.6195999999999895</v>
      </c>
      <c r="AD6633">
        <v>-1.10637094521899</v>
      </c>
      <c r="AE6633">
        <v>-0.407899999999983</v>
      </c>
      <c r="AF6633">
        <v>5.8669140521680596</v>
      </c>
      <c r="AG6633">
        <v>-1.10637094521899</v>
      </c>
      <c r="AH6633">
        <v>6.1362985943365</v>
      </c>
      <c r="AI6633">
        <v>97.424904893383996</v>
      </c>
      <c r="AJ6633">
        <v>46.285656367979598</v>
      </c>
      <c r="AK6633">
        <v>8.5614775361971205</v>
      </c>
      <c r="AL6633">
        <v>86.572730094013806</v>
      </c>
      <c r="AM6633">
        <v>70.560188681068595</v>
      </c>
      <c r="AN6633">
        <v>1.0000000211832101</v>
      </c>
    </row>
    <row r="6634" spans="1:40" x14ac:dyDescent="0.25">
      <c r="A6634" t="str">
        <f>"20190312150822280"</f>
        <v>20190312150822280</v>
      </c>
      <c r="B6634" t="str">
        <f>"1552374502277087"</f>
        <v>1552374502277087</v>
      </c>
      <c r="C6634" t="s">
        <v>40</v>
      </c>
      <c r="D6634">
        <v>4.350028</v>
      </c>
      <c r="E6634">
        <v>0.66476449999999998</v>
      </c>
      <c r="F6634" t="s">
        <v>77</v>
      </c>
      <c r="G6634">
        <v>-208.309</v>
      </c>
      <c r="H6634" s="1">
        <v>-6.8676150000000003E-6</v>
      </c>
      <c r="I6634">
        <v>142.4555</v>
      </c>
      <c r="J6634">
        <v>-199.61529999999999</v>
      </c>
      <c r="K6634">
        <v>1.1063639999999999</v>
      </c>
      <c r="L6634">
        <v>142.85210000000001</v>
      </c>
      <c r="M6634">
        <v>-0.69275549999999997</v>
      </c>
      <c r="N6634">
        <v>0</v>
      </c>
      <c r="O6634">
        <v>-0.72107030000000005</v>
      </c>
      <c r="P6634">
        <v>-0.89164049999999995</v>
      </c>
      <c r="Q6634">
        <v>5.1811860000000001E-2</v>
      </c>
      <c r="R6634">
        <v>-0.4497698</v>
      </c>
      <c r="S6634">
        <v>-3.3079529999999999</v>
      </c>
      <c r="T6634">
        <v>-0.4176531</v>
      </c>
      <c r="U6634">
        <v>-0.17414859999999999</v>
      </c>
      <c r="V6634">
        <v>0.33202219999999999</v>
      </c>
      <c r="W6634">
        <v>5.9805749999999998E-2</v>
      </c>
      <c r="X6634">
        <v>0.94137380000000004</v>
      </c>
      <c r="Y6634">
        <v>0.67379860000000003</v>
      </c>
      <c r="Z6634">
        <v>0.124306</v>
      </c>
      <c r="AA6634">
        <v>0.72838419999999904</v>
      </c>
      <c r="AB6634">
        <v>17</v>
      </c>
      <c r="AC6634">
        <v>-8.69370000000003</v>
      </c>
      <c r="AD6634">
        <v>-1.1063708676149999</v>
      </c>
      <c r="AE6634">
        <v>-0.396600000000006</v>
      </c>
      <c r="AF6634">
        <v>5.8991236041216801</v>
      </c>
      <c r="AG6634">
        <v>-1.1063708676149999</v>
      </c>
      <c r="AH6634">
        <v>6.2087063228407198</v>
      </c>
      <c r="AI6634">
        <v>97.360910419971404</v>
      </c>
      <c r="AJ6634">
        <v>46.464665375693102</v>
      </c>
      <c r="AK6634">
        <v>8.6354936162731892</v>
      </c>
      <c r="AL6634">
        <v>86.571337132481403</v>
      </c>
      <c r="AM6634">
        <v>70.572272207075301</v>
      </c>
      <c r="AN6634">
        <v>1.0000000501761701</v>
      </c>
    </row>
    <row r="6635" spans="1:40" x14ac:dyDescent="0.25">
      <c r="A6635" t="str">
        <f>"20190312150822292"</f>
        <v>20190312150822292</v>
      </c>
      <c r="B6635" t="str">
        <f>"1552374502286846"</f>
        <v>1552374502286846</v>
      </c>
      <c r="C6635" t="s">
        <v>40</v>
      </c>
      <c r="D6635">
        <v>4.2801140000000002</v>
      </c>
      <c r="E6635">
        <v>0.66512609999999905</v>
      </c>
      <c r="F6635" t="s">
        <v>77</v>
      </c>
      <c r="G6635">
        <v>-208.38040000000001</v>
      </c>
      <c r="H6635" s="1">
        <v>-6.8282339999999998E-6</v>
      </c>
      <c r="I6635">
        <v>142.4263</v>
      </c>
      <c r="J6635">
        <v>-199.6832</v>
      </c>
      <c r="K6635">
        <v>1.106363</v>
      </c>
      <c r="L6635">
        <v>142.7893</v>
      </c>
      <c r="M6635">
        <v>-0.6961427</v>
      </c>
      <c r="N6635">
        <v>0</v>
      </c>
      <c r="O6635">
        <v>-0.71780029999999995</v>
      </c>
      <c r="P6635">
        <v>-0.89374039999999999</v>
      </c>
      <c r="Q6635">
        <v>5.1628590000000002E-2</v>
      </c>
      <c r="R6635">
        <v>-0.4456041</v>
      </c>
      <c r="S6635">
        <v>-3.3077999999999999</v>
      </c>
      <c r="T6635">
        <v>-0.41752549999999999</v>
      </c>
      <c r="U6635">
        <v>-0.16065979999999999</v>
      </c>
      <c r="V6635">
        <v>0.33198879999999997</v>
      </c>
      <c r="W6635">
        <v>5.9626779999999997E-2</v>
      </c>
      <c r="X6635">
        <v>0.94139689999999998</v>
      </c>
      <c r="Y6635">
        <v>0.67333339999999997</v>
      </c>
      <c r="Z6635">
        <v>0.124025</v>
      </c>
      <c r="AA6635">
        <v>0.72886209999999996</v>
      </c>
      <c r="AB6635">
        <v>17</v>
      </c>
      <c r="AC6635">
        <v>-8.6972000000000094</v>
      </c>
      <c r="AD6635">
        <v>-1.106369828234</v>
      </c>
      <c r="AE6635">
        <v>-0.36299999999999899</v>
      </c>
      <c r="AF6635">
        <v>5.8953615669490897</v>
      </c>
      <c r="AG6635">
        <v>-1.106369828234</v>
      </c>
      <c r="AH6635">
        <v>6.2151209917577601</v>
      </c>
      <c r="AI6635">
        <v>97.359151180070697</v>
      </c>
      <c r="AJ6635">
        <v>46.512459123916798</v>
      </c>
      <c r="AK6635">
        <v>8.6375384887174302</v>
      </c>
      <c r="AL6635">
        <v>86.581609586083204</v>
      </c>
      <c r="AM6635">
        <v>70.574521156242596</v>
      </c>
      <c r="AN6635">
        <v>1.0000000197740999</v>
      </c>
    </row>
    <row r="6636" spans="1:40" x14ac:dyDescent="0.25">
      <c r="A6636" t="str">
        <f>"20190312150822316"</f>
        <v>20190312150822316</v>
      </c>
      <c r="B6636" t="str">
        <f>"1552374502306376"</f>
        <v>1552374502306376</v>
      </c>
      <c r="C6636" t="s">
        <v>40</v>
      </c>
      <c r="D6636">
        <v>4.2850469999999996</v>
      </c>
      <c r="E6636">
        <v>0.66575189999999995</v>
      </c>
      <c r="F6636" t="s">
        <v>77</v>
      </c>
      <c r="G6636">
        <v>-208.49189999999999</v>
      </c>
      <c r="H6636" s="1">
        <v>-6.7744750000000001E-6</v>
      </c>
      <c r="I6636">
        <v>142.40989999999999</v>
      </c>
      <c r="J6636">
        <v>-199.81809999999999</v>
      </c>
      <c r="K6636">
        <v>1.106368</v>
      </c>
      <c r="L6636">
        <v>142.6661</v>
      </c>
      <c r="M6636">
        <v>-0.70278699999999905</v>
      </c>
      <c r="N6636">
        <v>0</v>
      </c>
      <c r="O6636">
        <v>-0.71129629999999999</v>
      </c>
      <c r="P6636">
        <v>-0.89771639999999997</v>
      </c>
      <c r="Q6636">
        <v>5.1737289999999998E-2</v>
      </c>
      <c r="R6636">
        <v>-0.43752600000000003</v>
      </c>
      <c r="S6636">
        <v>-3.309647</v>
      </c>
      <c r="T6636">
        <v>-0.41569270000000003</v>
      </c>
      <c r="U6636">
        <v>-0.142532299999999</v>
      </c>
      <c r="V6636">
        <v>0.33172170000000001</v>
      </c>
      <c r="W6636">
        <v>5.9749579999999997E-2</v>
      </c>
      <c r="X6636">
        <v>0.94148330000000002</v>
      </c>
      <c r="Y6636">
        <v>0.67066749999999997</v>
      </c>
      <c r="Z6636">
        <v>0.12277730000000001</v>
      </c>
      <c r="AA6636">
        <v>0.73152629999999996</v>
      </c>
      <c r="AB6636">
        <v>17</v>
      </c>
      <c r="AC6636">
        <v>-8.6738</v>
      </c>
      <c r="AD6636">
        <v>-1.1063747744750001</v>
      </c>
      <c r="AE6636">
        <v>-0.25620000000000598</v>
      </c>
      <c r="AF6636">
        <v>5.8942162148014399</v>
      </c>
      <c r="AG6636">
        <v>-1.1063747744750001</v>
      </c>
      <c r="AH6636">
        <v>6.1781029491876902</v>
      </c>
      <c r="AI6636">
        <v>97.382717541262807</v>
      </c>
      <c r="AJ6636">
        <v>46.3470911719957</v>
      </c>
      <c r="AK6636">
        <v>8.6101571402143708</v>
      </c>
      <c r="AL6636">
        <v>86.574561205899499</v>
      </c>
      <c r="AM6636">
        <v>70.590628862774295</v>
      </c>
      <c r="AN6636">
        <v>1.0000000513699701</v>
      </c>
    </row>
    <row r="6637" spans="1:40" x14ac:dyDescent="0.25">
      <c r="A6637" t="str">
        <f>"20190312150822338"</f>
        <v>20190312150822338</v>
      </c>
      <c r="B6637" t="str">
        <f>"1552374502326862"</f>
        <v>1552374502326862</v>
      </c>
      <c r="C6637" t="s">
        <v>40</v>
      </c>
      <c r="D6637">
        <v>4.2507489999999999</v>
      </c>
      <c r="E6637">
        <v>0.675983</v>
      </c>
      <c r="F6637" t="s">
        <v>77</v>
      </c>
      <c r="G6637">
        <v>-208.71520000000001</v>
      </c>
      <c r="H6637" s="1">
        <v>-6.6663949999999999E-6</v>
      </c>
      <c r="I6637">
        <v>142.37559999999999</v>
      </c>
      <c r="J6637">
        <v>-199.95320000000001</v>
      </c>
      <c r="K6637">
        <v>1.106371</v>
      </c>
      <c r="L6637">
        <v>142.54499999999999</v>
      </c>
      <c r="M6637">
        <v>-0.70932589999999995</v>
      </c>
      <c r="N6637">
        <v>0</v>
      </c>
      <c r="O6637">
        <v>-0.70477529999999999</v>
      </c>
      <c r="P6637">
        <v>-0.90166120000000005</v>
      </c>
      <c r="Q6637">
        <v>5.1953989999999999E-2</v>
      </c>
      <c r="R6637">
        <v>-0.429311</v>
      </c>
      <c r="S6637">
        <v>-3.3128359999999999</v>
      </c>
      <c r="T6637">
        <v>-0.41196189999999999</v>
      </c>
      <c r="U6637">
        <v>-0.1081848</v>
      </c>
      <c r="V6637">
        <v>0.33161669999999999</v>
      </c>
      <c r="W6637">
        <v>5.9980440000000003E-2</v>
      </c>
      <c r="X6637">
        <v>0.94150560000000005</v>
      </c>
      <c r="Y6637">
        <v>0.67169129999999999</v>
      </c>
      <c r="Z6637">
        <v>0.1211961</v>
      </c>
      <c r="AA6637">
        <v>0.73085040000000001</v>
      </c>
      <c r="AB6637">
        <v>17</v>
      </c>
      <c r="AC6637">
        <v>-8.7620000000000005</v>
      </c>
      <c r="AD6637">
        <v>-1.106377666395</v>
      </c>
      <c r="AE6637">
        <v>-0.169399999999996</v>
      </c>
      <c r="AF6637">
        <v>5.9605312828756603</v>
      </c>
      <c r="AG6637">
        <v>-1.106377666395</v>
      </c>
      <c r="AH6637">
        <v>6.23558922321065</v>
      </c>
      <c r="AI6637">
        <v>97.308769950286703</v>
      </c>
      <c r="AJ6637">
        <v>46.2919672240455</v>
      </c>
      <c r="AK6637">
        <v>8.6968142256494101</v>
      </c>
      <c r="AL6637">
        <v>86.561310104142507</v>
      </c>
      <c r="AM6637">
        <v>70.596738615052601</v>
      </c>
      <c r="AN6637">
        <v>1.0000000418664201</v>
      </c>
    </row>
    <row r="6638" spans="1:40" x14ac:dyDescent="0.25">
      <c r="A6638" t="str">
        <f>"20190312150822359"</f>
        <v>20190312150822359</v>
      </c>
      <c r="B6638" t="str">
        <f>"1552374502356143"</f>
        <v>1552374502356143</v>
      </c>
      <c r="C6638" t="s">
        <v>40</v>
      </c>
      <c r="D6638">
        <v>4.2801130000000001</v>
      </c>
      <c r="E6638">
        <v>0.6751199</v>
      </c>
      <c r="F6638" t="s">
        <v>77</v>
      </c>
      <c r="G6638">
        <v>-209.65880000000001</v>
      </c>
      <c r="H6638" s="1">
        <v>-6.2885909999999998E-6</v>
      </c>
      <c r="I6638">
        <v>142.52969999999999</v>
      </c>
      <c r="J6638">
        <v>-200.07499999999999</v>
      </c>
      <c r="K6638">
        <v>1.1063700000000001</v>
      </c>
      <c r="L6638">
        <v>142.43780000000001</v>
      </c>
      <c r="M6638">
        <v>-0.71512410000000004</v>
      </c>
      <c r="N6638">
        <v>0</v>
      </c>
      <c r="O6638">
        <v>-0.69889100000000004</v>
      </c>
      <c r="P6638">
        <v>-0.90508960000000005</v>
      </c>
      <c r="Q6638">
        <v>5.1817380000000003E-2</v>
      </c>
      <c r="R6638">
        <v>-0.42205229999999999</v>
      </c>
      <c r="S6638">
        <v>-3.3466339999999901</v>
      </c>
      <c r="T6638">
        <v>-0.38149300000000003</v>
      </c>
      <c r="U6638">
        <v>-5.2947999999999997E-3</v>
      </c>
      <c r="V6638">
        <v>0.33140770000000003</v>
      </c>
      <c r="W6638">
        <v>5.985716E-2</v>
      </c>
      <c r="X6638">
        <v>0.94158699999999995</v>
      </c>
      <c r="Y6638">
        <v>0.68957440000000003</v>
      </c>
      <c r="Z6638">
        <v>0.1119715</v>
      </c>
      <c r="AA6638">
        <v>0.71550639999999999</v>
      </c>
      <c r="AB6638">
        <v>17</v>
      </c>
      <c r="AC6638">
        <v>-9.5838000000000196</v>
      </c>
      <c r="AD6638">
        <v>-1.106376288591</v>
      </c>
      <c r="AE6638">
        <v>9.1899999999981205E-2</v>
      </c>
      <c r="AF6638">
        <v>6.6753019335591404</v>
      </c>
      <c r="AG6638">
        <v>-1.106376288591</v>
      </c>
      <c r="AH6638">
        <v>6.7005936081918502</v>
      </c>
      <c r="AI6638">
        <v>96.671871037661404</v>
      </c>
      <c r="AJ6638">
        <v>45.108337006802103</v>
      </c>
      <c r="AK6638">
        <v>9.5226928490987408</v>
      </c>
      <c r="AL6638">
        <v>86.568386135159699</v>
      </c>
      <c r="AM6638">
        <v>70.609605788509597</v>
      </c>
      <c r="AN6638">
        <v>1.0000000108957701</v>
      </c>
    </row>
    <row r="6639" spans="1:40" x14ac:dyDescent="0.25">
      <c r="A6639" t="str">
        <f>"20190312150822371"</f>
        <v>20190312150822371</v>
      </c>
      <c r="B6639" t="str">
        <f>"1552374502366879"</f>
        <v>1552374502366879</v>
      </c>
      <c r="C6639" t="s">
        <v>40</v>
      </c>
      <c r="D6639">
        <v>4.3366160000000002</v>
      </c>
      <c r="E6639">
        <v>0.67442500000000005</v>
      </c>
      <c r="F6639" t="s">
        <v>77</v>
      </c>
      <c r="G6639">
        <v>-209.67670000000001</v>
      </c>
      <c r="H6639" s="1">
        <v>-6.2679650000000001E-6</v>
      </c>
      <c r="I6639">
        <v>142.48150000000001</v>
      </c>
      <c r="J6639">
        <v>-200.1499</v>
      </c>
      <c r="K6639">
        <v>1.1063700000000001</v>
      </c>
      <c r="L6639">
        <v>142.37260000000001</v>
      </c>
      <c r="M6639">
        <v>-0.71864740000000005</v>
      </c>
      <c r="N6639">
        <v>0</v>
      </c>
      <c r="O6639">
        <v>-0.69526739999999998</v>
      </c>
      <c r="P6639">
        <v>-0.90701710000000002</v>
      </c>
      <c r="Q6639">
        <v>5.1706660000000002E-2</v>
      </c>
      <c r="R6639">
        <v>-0.4179078</v>
      </c>
      <c r="S6639">
        <v>-3.3437350000000001</v>
      </c>
      <c r="T6639">
        <v>-0.38528810000000002</v>
      </c>
      <c r="U6639">
        <v>1.524353E-2</v>
      </c>
      <c r="V6639">
        <v>0.3309589</v>
      </c>
      <c r="W6639">
        <v>5.975863E-2</v>
      </c>
      <c r="X6639">
        <v>0.94175109999999995</v>
      </c>
      <c r="Y6639">
        <v>0.69016929999999999</v>
      </c>
      <c r="Z6639">
        <v>0.1129643</v>
      </c>
      <c r="AA6639">
        <v>0.71477650000000004</v>
      </c>
      <c r="AB6639">
        <v>17</v>
      </c>
      <c r="AC6639">
        <v>-9.5267999999999997</v>
      </c>
      <c r="AD6639">
        <v>-1.106376267965</v>
      </c>
      <c r="AE6639">
        <v>0.10890000000000501</v>
      </c>
      <c r="AF6639">
        <v>6.6132535171102704</v>
      </c>
      <c r="AG6639">
        <v>-1.106376267965</v>
      </c>
      <c r="AH6639">
        <v>6.6811049236151501</v>
      </c>
      <c r="AI6639">
        <v>96.712343898873101</v>
      </c>
      <c r="AJ6639">
        <v>45.292422194664198</v>
      </c>
      <c r="AK6639">
        <v>9.4655350365545701</v>
      </c>
      <c r="AL6639">
        <v>86.574041611935996</v>
      </c>
      <c r="AM6639">
        <v>70.637032160364697</v>
      </c>
      <c r="AN6639">
        <v>1.0000000108499401</v>
      </c>
    </row>
    <row r="6640" spans="1:40" x14ac:dyDescent="0.25">
      <c r="A6640" t="str">
        <f>"20190312150822383"</f>
        <v>20190312150822383</v>
      </c>
      <c r="B6640" t="str">
        <f>"1552374502376638"</f>
        <v>1552374502376638</v>
      </c>
      <c r="C6640" t="s">
        <v>40</v>
      </c>
      <c r="D6640">
        <v>4.3091780000000002</v>
      </c>
      <c r="E6640">
        <v>0.67391999999999996</v>
      </c>
      <c r="F6640" t="s">
        <v>77</v>
      </c>
      <c r="G6640">
        <v>-209.77770000000001</v>
      </c>
      <c r="H6640" s="1">
        <v>-6.2139239999999997E-6</v>
      </c>
      <c r="I6640">
        <v>142.44649999999999</v>
      </c>
      <c r="J6640">
        <v>-200.22649999999999</v>
      </c>
      <c r="K6640">
        <v>1.106366</v>
      </c>
      <c r="L6640">
        <v>142.3066</v>
      </c>
      <c r="M6640">
        <v>-0.72221519999999995</v>
      </c>
      <c r="N6640">
        <v>0</v>
      </c>
      <c r="O6640">
        <v>-0.69156059999999997</v>
      </c>
      <c r="P6640">
        <v>-0.9090395</v>
      </c>
      <c r="Q6640">
        <v>5.1788349999999997E-2</v>
      </c>
      <c r="R6640">
        <v>-0.41348020000000002</v>
      </c>
      <c r="S6640">
        <v>-3.3412169999999999</v>
      </c>
      <c r="T6640">
        <v>-0.38395570000000001</v>
      </c>
      <c r="U6640">
        <v>2.5619510000000002E-2</v>
      </c>
      <c r="V6640">
        <v>0.33070300000000002</v>
      </c>
      <c r="W6640">
        <v>5.9849060000000003E-2</v>
      </c>
      <c r="X6640">
        <v>0.94183519999999998</v>
      </c>
      <c r="Y6640">
        <v>0.68877010000000005</v>
      </c>
      <c r="Z6640">
        <v>0.11230569999999999</v>
      </c>
      <c r="AA6640">
        <v>0.71622849999999905</v>
      </c>
      <c r="AB6640">
        <v>17</v>
      </c>
      <c r="AC6640">
        <v>-9.5512000000000192</v>
      </c>
      <c r="AD6640">
        <v>-1.106372213924</v>
      </c>
      <c r="AE6640">
        <v>0.13989999999998301</v>
      </c>
      <c r="AF6640">
        <v>6.6179907386425798</v>
      </c>
      <c r="AG6640">
        <v>-1.106372213924</v>
      </c>
      <c r="AH6640">
        <v>6.7117411351511898</v>
      </c>
      <c r="AI6640">
        <v>96.694591107208396</v>
      </c>
      <c r="AJ6640">
        <v>45.4029648557744</v>
      </c>
      <c r="AK6640">
        <v>9.4904862866864104</v>
      </c>
      <c r="AL6640">
        <v>86.568850903656298</v>
      </c>
      <c r="AM6640">
        <v>70.652490141930002</v>
      </c>
      <c r="AN6640">
        <v>0.99999996407546099</v>
      </c>
    </row>
    <row r="6641" spans="1:40" x14ac:dyDescent="0.25">
      <c r="A6641" t="str">
        <f>"20190312150822395"</f>
        <v>20190312150822395</v>
      </c>
      <c r="B6641" t="str">
        <f>"1552374502386399"</f>
        <v>1552374502386399</v>
      </c>
      <c r="C6641" t="s">
        <v>40</v>
      </c>
      <c r="D6641">
        <v>4.2930859999999997</v>
      </c>
      <c r="E6641">
        <v>0.6732437</v>
      </c>
      <c r="F6641" t="s">
        <v>77</v>
      </c>
      <c r="G6641">
        <v>-209.80260000000001</v>
      </c>
      <c r="H6641" s="1">
        <v>-6.1948049999999999E-6</v>
      </c>
      <c r="I6641">
        <v>142.41589999999999</v>
      </c>
      <c r="J6641">
        <v>-200.2972</v>
      </c>
      <c r="K6641">
        <v>1.1063620000000001</v>
      </c>
      <c r="L6641">
        <v>142.2466</v>
      </c>
      <c r="M6641">
        <v>-0.72547269999999997</v>
      </c>
      <c r="N6641">
        <v>0</v>
      </c>
      <c r="O6641">
        <v>-0.68814229999999998</v>
      </c>
      <c r="P6641">
        <v>-0.91095300000000001</v>
      </c>
      <c r="Q6641">
        <v>5.1826730000000001E-2</v>
      </c>
      <c r="R6641">
        <v>-0.40924179999999999</v>
      </c>
      <c r="S6641">
        <v>-3.3395229999999998</v>
      </c>
      <c r="T6641">
        <v>-0.3858279</v>
      </c>
      <c r="U6641">
        <v>3.8116459999999998E-2</v>
      </c>
      <c r="V6641">
        <v>0.33064090000000002</v>
      </c>
      <c r="W6641">
        <v>5.9892859999999999E-2</v>
      </c>
      <c r="X6641">
        <v>0.94185419999999997</v>
      </c>
      <c r="Y6641">
        <v>0.68798879999999996</v>
      </c>
      <c r="Z6641">
        <v>0.1126091</v>
      </c>
      <c r="AA6641">
        <v>0.71693130000000005</v>
      </c>
      <c r="AB6641">
        <v>17</v>
      </c>
      <c r="AC6641">
        <v>-9.5053999999999998</v>
      </c>
      <c r="AD6641">
        <v>-1.1063681948049999</v>
      </c>
      <c r="AE6641">
        <v>0.16929999999999201</v>
      </c>
      <c r="AF6641">
        <v>6.5753376337244704</v>
      </c>
      <c r="AG6641">
        <v>-1.1063681948049999</v>
      </c>
      <c r="AH6641">
        <v>6.6893179792921096</v>
      </c>
      <c r="AI6641">
        <v>96.727028989550604</v>
      </c>
      <c r="AJ6641">
        <v>45.492318248978698</v>
      </c>
      <c r="AK6641">
        <v>9.4448975964819297</v>
      </c>
      <c r="AL6641">
        <v>86.566336778925205</v>
      </c>
      <c r="AM6641">
        <v>70.656214616200003</v>
      </c>
      <c r="AN6641">
        <v>0.99999994674471304</v>
      </c>
    </row>
    <row r="6642" spans="1:40" x14ac:dyDescent="0.25">
      <c r="A6642" t="str">
        <f>"20190312150822417"</f>
        <v>20190312150822417</v>
      </c>
      <c r="B6642" t="str">
        <f>"1552374502406908"</f>
        <v>1552374502406908</v>
      </c>
      <c r="C6642" t="s">
        <v>40</v>
      </c>
      <c r="D6642">
        <v>4.2975899999999996</v>
      </c>
      <c r="E6642">
        <v>0.67222550000000003</v>
      </c>
      <c r="F6642" t="s">
        <v>77</v>
      </c>
      <c r="G6642">
        <v>-209.7928</v>
      </c>
      <c r="H6642" s="1">
        <v>-6.1911580000000002E-6</v>
      </c>
      <c r="I6642">
        <v>142.38550000000001</v>
      </c>
      <c r="J6642">
        <v>-200.43389999999999</v>
      </c>
      <c r="K6642">
        <v>1.1063639999999999</v>
      </c>
      <c r="L6642">
        <v>142.1318</v>
      </c>
      <c r="M6642">
        <v>-0.73169669999999998</v>
      </c>
      <c r="N6642">
        <v>0</v>
      </c>
      <c r="O6642">
        <v>-0.68152040000000003</v>
      </c>
      <c r="P6642">
        <v>-0.91441050000000001</v>
      </c>
      <c r="Q6642">
        <v>5.1629889999999998E-2</v>
      </c>
      <c r="R6642">
        <v>-0.40148230000000001</v>
      </c>
      <c r="S6642">
        <v>-3.3373110000000001</v>
      </c>
      <c r="T6642">
        <v>-0.38884299999999999</v>
      </c>
      <c r="U6642">
        <v>4.8828129999999997E-2</v>
      </c>
      <c r="V6642">
        <v>0.3300942</v>
      </c>
      <c r="W6642">
        <v>5.9712460000000002E-2</v>
      </c>
      <c r="X6642">
        <v>0.94205749999999999</v>
      </c>
      <c r="Y6642">
        <v>0.68366340000000003</v>
      </c>
      <c r="Z6642">
        <v>0.1127816</v>
      </c>
      <c r="AA6642">
        <v>0.72103030000000001</v>
      </c>
      <c r="AB6642">
        <v>17</v>
      </c>
      <c r="AC6642">
        <v>-9.3589000000000002</v>
      </c>
      <c r="AD6642">
        <v>-1.1063701911579999</v>
      </c>
      <c r="AE6642">
        <v>0.25370000000000897</v>
      </c>
      <c r="AF6642">
        <v>6.47399711995073</v>
      </c>
      <c r="AG6642">
        <v>-1.1063701911579999</v>
      </c>
      <c r="AH6642">
        <v>6.5835375383475698</v>
      </c>
      <c r="AI6642">
        <v>96.832757211604502</v>
      </c>
      <c r="AJ6642">
        <v>45.480646354667797</v>
      </c>
      <c r="AK6642">
        <v>9.2994440816558992</v>
      </c>
      <c r="AL6642">
        <v>86.576691811031594</v>
      </c>
      <c r="AM6642">
        <v>70.689687979978501</v>
      </c>
      <c r="AN6642">
        <v>1.0000000460295599</v>
      </c>
    </row>
    <row r="6643" spans="1:40" x14ac:dyDescent="0.25">
      <c r="A6643" t="str">
        <f>"20190312150822431"</f>
        <v>20190312150822431</v>
      </c>
      <c r="B6643" t="str">
        <f>"1552374502426414"</f>
        <v>1552374502426414</v>
      </c>
      <c r="C6643" t="s">
        <v>40</v>
      </c>
      <c r="D6643">
        <v>4.3255839999999903</v>
      </c>
      <c r="E6643">
        <v>0.67157469999999997</v>
      </c>
      <c r="F6643" t="s">
        <v>77</v>
      </c>
      <c r="G6643">
        <v>-209.7603</v>
      </c>
      <c r="H6643" s="1">
        <v>-6.1902779999999997E-6</v>
      </c>
      <c r="I6643">
        <v>142.32769999999999</v>
      </c>
      <c r="J6643">
        <v>-200.51429999999999</v>
      </c>
      <c r="K6643">
        <v>1.1063620000000001</v>
      </c>
      <c r="L6643">
        <v>142.06530000000001</v>
      </c>
      <c r="M6643">
        <v>-0.73530699999999904</v>
      </c>
      <c r="N6643">
        <v>0</v>
      </c>
      <c r="O6643">
        <v>-0.67762359999999999</v>
      </c>
      <c r="P6643">
        <v>-0.91640869999999996</v>
      </c>
      <c r="Q6643">
        <v>5.1588450000000001E-2</v>
      </c>
      <c r="R6643">
        <v>-0.39690599999999998</v>
      </c>
      <c r="S6643">
        <v>-3.333847</v>
      </c>
      <c r="T6643">
        <v>-0.39548640000000002</v>
      </c>
      <c r="U6643">
        <v>7.0007319999999998E-2</v>
      </c>
      <c r="V6643">
        <v>0.32980009999999998</v>
      </c>
      <c r="W6643">
        <v>5.9680089999999998E-2</v>
      </c>
      <c r="X6643">
        <v>0.94216250000000001</v>
      </c>
      <c r="Y6643">
        <v>0.6841121</v>
      </c>
      <c r="Z6643">
        <v>0.1145458</v>
      </c>
      <c r="AA6643">
        <v>0.72032619999999903</v>
      </c>
      <c r="AB6643">
        <v>17</v>
      </c>
      <c r="AC6643">
        <v>-9.2460000000000093</v>
      </c>
      <c r="AD6643">
        <v>-1.106368190278</v>
      </c>
      <c r="AE6643">
        <v>0.26239999999998498</v>
      </c>
      <c r="AF6643">
        <v>6.3676359986985496</v>
      </c>
      <c r="AG6643">
        <v>-1.106368190278</v>
      </c>
      <c r="AH6643">
        <v>6.5279424415320104</v>
      </c>
      <c r="AI6643">
        <v>96.917443082942398</v>
      </c>
      <c r="AJ6643">
        <v>45.712213846635599</v>
      </c>
      <c r="AK6643">
        <v>9.1861238454712595</v>
      </c>
      <c r="AL6643">
        <v>86.578549623502596</v>
      </c>
      <c r="AM6643">
        <v>70.707612037667104</v>
      </c>
      <c r="AN6643">
        <v>0.99999999775433401</v>
      </c>
    </row>
    <row r="6644" spans="1:40" x14ac:dyDescent="0.25">
      <c r="A6644" t="str">
        <f>"20190312150822448"</f>
        <v>20190312150822448</v>
      </c>
      <c r="B6644" t="str">
        <f>"1552374502436174"</f>
        <v>1552374502436174</v>
      </c>
      <c r="C6644" t="s">
        <v>40</v>
      </c>
      <c r="D6644">
        <v>4.3286819999999997</v>
      </c>
      <c r="E6644">
        <v>0.67124930000000005</v>
      </c>
      <c r="F6644" t="s">
        <v>77</v>
      </c>
      <c r="G6644">
        <v>-209.77070000000001</v>
      </c>
      <c r="H6644" s="1">
        <v>-6.1766810000000002E-6</v>
      </c>
      <c r="I6644">
        <v>142.2936</v>
      </c>
      <c r="J6644">
        <v>-200.6223</v>
      </c>
      <c r="K6644">
        <v>1.1063639999999999</v>
      </c>
      <c r="L6644">
        <v>141.977</v>
      </c>
      <c r="M6644">
        <v>-0.74010220000000004</v>
      </c>
      <c r="N6644">
        <v>0</v>
      </c>
      <c r="O6644">
        <v>-0.67238299999999995</v>
      </c>
      <c r="P6644">
        <v>-0.91887209999999997</v>
      </c>
      <c r="Q6644">
        <v>5.1701660000000003E-2</v>
      </c>
      <c r="R6644">
        <v>-0.3911541</v>
      </c>
      <c r="S6644">
        <v>-3.3316499999999998</v>
      </c>
      <c r="T6644">
        <v>-0.3982134</v>
      </c>
      <c r="U6644">
        <v>8.2183839999999994E-2</v>
      </c>
      <c r="V6644">
        <v>0.32900889999999999</v>
      </c>
      <c r="W6644">
        <v>5.9810990000000001E-2</v>
      </c>
      <c r="X6644">
        <v>0.94243080000000001</v>
      </c>
      <c r="Y6644">
        <v>0.68152699999999999</v>
      </c>
      <c r="Z6644">
        <v>0.1148199</v>
      </c>
      <c r="AA6644">
        <v>0.72272919999999996</v>
      </c>
      <c r="AB6644">
        <v>17</v>
      </c>
      <c r="AC6644">
        <v>-9.1484000000000094</v>
      </c>
      <c r="AD6644">
        <v>-1.1063701766809999</v>
      </c>
      <c r="AE6644">
        <v>0.316599999999993</v>
      </c>
      <c r="AF6644">
        <v>6.2940795127167197</v>
      </c>
      <c r="AG6644">
        <v>-1.1063701766809999</v>
      </c>
      <c r="AH6644">
        <v>6.4639406084592004</v>
      </c>
      <c r="AI6644">
        <v>96.991227193026802</v>
      </c>
      <c r="AJ6644">
        <v>45.762794602431299</v>
      </c>
      <c r="AK6644">
        <v>9.0896655642513799</v>
      </c>
      <c r="AL6644">
        <v>86.571036232439297</v>
      </c>
      <c r="AM6644">
        <v>70.755563552275703</v>
      </c>
      <c r="AN6644">
        <v>1.0000000117963099</v>
      </c>
    </row>
    <row r="6645" spans="1:40" x14ac:dyDescent="0.25">
      <c r="A6645" t="str">
        <f>"20190312150822460"</f>
        <v>20190312150822460</v>
      </c>
      <c r="B6645" t="str">
        <f>"1552374502456670"</f>
        <v>1552374502456670</v>
      </c>
      <c r="C6645" t="s">
        <v>40</v>
      </c>
      <c r="D6645">
        <v>4.3171689999999998</v>
      </c>
      <c r="E6645">
        <v>0.67079829999999996</v>
      </c>
      <c r="F6645" t="s">
        <v>77</v>
      </c>
      <c r="G6645">
        <v>-209.83250000000001</v>
      </c>
      <c r="H6645" s="1">
        <v>-6.1391149999999996E-6</v>
      </c>
      <c r="I6645">
        <v>142.2552</v>
      </c>
      <c r="J6645">
        <v>-200.6968</v>
      </c>
      <c r="K6645">
        <v>1.106368</v>
      </c>
      <c r="L6645">
        <v>141.9169</v>
      </c>
      <c r="M6645">
        <v>-0.74337030000000004</v>
      </c>
      <c r="N6645">
        <v>0</v>
      </c>
      <c r="O6645">
        <v>-0.66876789999999997</v>
      </c>
      <c r="P6645">
        <v>-0.92052489999999998</v>
      </c>
      <c r="Q6645">
        <v>5.1600489999999999E-2</v>
      </c>
      <c r="R6645">
        <v>-0.38726159999999998</v>
      </c>
      <c r="S6645">
        <v>-3.3302</v>
      </c>
      <c r="T6645">
        <v>-0.40003729999999998</v>
      </c>
      <c r="U6645">
        <v>0.1006012</v>
      </c>
      <c r="V6645">
        <v>0.328407</v>
      </c>
      <c r="W6645">
        <v>5.9722450000000003E-2</v>
      </c>
      <c r="X6645">
        <v>0.94264630000000005</v>
      </c>
      <c r="Y6645">
        <v>0.68191979999999996</v>
      </c>
      <c r="Z6645">
        <v>0.1151276</v>
      </c>
      <c r="AA6645">
        <v>0.72230950000000005</v>
      </c>
      <c r="AB6645">
        <v>17</v>
      </c>
      <c r="AC6645">
        <v>-9.1357000000000106</v>
      </c>
      <c r="AD6645">
        <v>-1.1063741391149999</v>
      </c>
      <c r="AE6645">
        <v>0.33830000000000299</v>
      </c>
      <c r="AF6645">
        <v>6.2697937970442403</v>
      </c>
      <c r="AG6645">
        <v>-1.1063741391149999</v>
      </c>
      <c r="AH6645">
        <v>6.47068558402876</v>
      </c>
      <c r="AI6645">
        <v>97.000534624631698</v>
      </c>
      <c r="AJ6645">
        <v>45.903364575331402</v>
      </c>
      <c r="AK6645">
        <v>9.0776731556338</v>
      </c>
      <c r="AL6645">
        <v>86.576118203239204</v>
      </c>
      <c r="AM6645">
        <v>70.792257960809494</v>
      </c>
      <c r="AN6645">
        <v>0.99999998779334598</v>
      </c>
    </row>
    <row r="6646" spans="1:40" x14ac:dyDescent="0.25">
      <c r="A6646" t="str">
        <f>"20190312150822472"</f>
        <v>20190312150822472</v>
      </c>
      <c r="B6646" t="str">
        <f>"1552374502466431"</f>
        <v>1552374502466431</v>
      </c>
      <c r="C6646" t="s">
        <v>40</v>
      </c>
      <c r="D6646">
        <v>4.3855459999999997</v>
      </c>
      <c r="E6646">
        <v>0.66629869999999902</v>
      </c>
      <c r="F6646" t="s">
        <v>77</v>
      </c>
      <c r="G6646">
        <v>-209.85470000000001</v>
      </c>
      <c r="H6646" s="1">
        <v>-6.120995E-6</v>
      </c>
      <c r="I6646">
        <v>142.22380000000001</v>
      </c>
      <c r="J6646">
        <v>-200.7704</v>
      </c>
      <c r="K6646">
        <v>1.106368</v>
      </c>
      <c r="L6646">
        <v>141.85810000000001</v>
      </c>
      <c r="M6646">
        <v>-0.74656940000000005</v>
      </c>
      <c r="N6646">
        <v>0</v>
      </c>
      <c r="O6646">
        <v>-0.66519479999999997</v>
      </c>
      <c r="P6646">
        <v>-0.92219980000000001</v>
      </c>
      <c r="Q6646">
        <v>5.172301E-2</v>
      </c>
      <c r="R6646">
        <v>-0.38323990000000002</v>
      </c>
      <c r="S6646">
        <v>-3.3284760000000002</v>
      </c>
      <c r="T6646">
        <v>-0.40211669999999999</v>
      </c>
      <c r="U6646">
        <v>0.11154169999999999</v>
      </c>
      <c r="V6646">
        <v>0.32799699999999998</v>
      </c>
      <c r="W6646">
        <v>5.9854299999999999E-2</v>
      </c>
      <c r="X6646">
        <v>0.94278070000000003</v>
      </c>
      <c r="Y6646">
        <v>0.68075069999999904</v>
      </c>
      <c r="Z6646">
        <v>0.11541029999999999</v>
      </c>
      <c r="AA6646">
        <v>0.72336639999999996</v>
      </c>
      <c r="AB6646">
        <v>17</v>
      </c>
      <c r="AC6646">
        <v>-9.0843000000000096</v>
      </c>
      <c r="AD6646">
        <v>-1.106374120995</v>
      </c>
      <c r="AE6646">
        <v>0.36570000000000302</v>
      </c>
      <c r="AF6646">
        <v>6.2241515352062997</v>
      </c>
      <c r="AG6646">
        <v>-1.106374120995</v>
      </c>
      <c r="AH6646">
        <v>6.4438637115736999</v>
      </c>
      <c r="AI6646">
        <v>97.039996766713799</v>
      </c>
      <c r="AJ6646">
        <v>45.993629873543497</v>
      </c>
      <c r="AK6646">
        <v>9.0270430131995507</v>
      </c>
      <c r="AL6646">
        <v>86.5685502880999</v>
      </c>
      <c r="AM6646">
        <v>70.817019348865202</v>
      </c>
      <c r="AN6646">
        <v>1.0000000087649901</v>
      </c>
    </row>
    <row r="6647" spans="1:40" x14ac:dyDescent="0.25">
      <c r="A6647" t="str">
        <f>"20190312150822484"</f>
        <v>20190312150822484</v>
      </c>
      <c r="B6647" t="str">
        <f>"1552374502476191"</f>
        <v>1552374502476191</v>
      </c>
      <c r="C6647" t="s">
        <v>40</v>
      </c>
      <c r="D6647">
        <v>4.328614</v>
      </c>
      <c r="E6647">
        <v>0.66613549999999999</v>
      </c>
      <c r="F6647" t="s">
        <v>42</v>
      </c>
      <c r="G6647">
        <v>-216.4589</v>
      </c>
      <c r="H6647" s="1">
        <v>-2.361892E-6</v>
      </c>
      <c r="I6647">
        <v>142.27549999999999</v>
      </c>
      <c r="J6647">
        <v>-200.85140000000001</v>
      </c>
      <c r="K6647">
        <v>1.1063670000000001</v>
      </c>
      <c r="L6647">
        <v>141.7938</v>
      </c>
      <c r="M6647">
        <v>-0.75006149999999905</v>
      </c>
      <c r="N6647">
        <v>0</v>
      </c>
      <c r="O6647">
        <v>-0.66125449999999997</v>
      </c>
      <c r="P6647">
        <v>-0.92393139999999996</v>
      </c>
      <c r="Q6647">
        <v>5.1664969999999998E-2</v>
      </c>
      <c r="R6647">
        <v>-0.379054</v>
      </c>
      <c r="S6647">
        <v>-3.302689</v>
      </c>
      <c r="T6647">
        <v>-0.2329089</v>
      </c>
      <c r="U6647">
        <v>8.7860110000000005E-2</v>
      </c>
      <c r="V6647">
        <v>0.32730910000000002</v>
      </c>
      <c r="W6647">
        <v>5.9810509999999997E-2</v>
      </c>
      <c r="X6647">
        <v>0.94302249999999999</v>
      </c>
      <c r="Y6647">
        <v>0.67791489999999999</v>
      </c>
      <c r="Z6647">
        <v>6.7212030000000006E-2</v>
      </c>
      <c r="AA6647">
        <v>0.73206150000000003</v>
      </c>
      <c r="AB6647">
        <v>17</v>
      </c>
      <c r="AC6647">
        <v>-15.6074999999999</v>
      </c>
      <c r="AD6647">
        <v>-1.1063693618920001</v>
      </c>
      <c r="AE6647">
        <v>0.48169999999998903</v>
      </c>
      <c r="AF6647">
        <v>10.6292757251498</v>
      </c>
      <c r="AG6647">
        <v>-1.1063693618920001</v>
      </c>
      <c r="AH6647">
        <v>11.332025179949699</v>
      </c>
      <c r="AI6647">
        <v>94.073099477191406</v>
      </c>
      <c r="AJ6647">
        <v>46.832807776735599</v>
      </c>
      <c r="AK6647">
        <v>15.5762752378484</v>
      </c>
      <c r="AL6647">
        <v>86.571063708146696</v>
      </c>
      <c r="AM6647">
        <v>70.858871829261602</v>
      </c>
      <c r="AN6647">
        <v>0.99999998977775995</v>
      </c>
    </row>
    <row r="6648" spans="1:40" x14ac:dyDescent="0.25">
      <c r="A6648" t="str">
        <f>"20190312150822505"</f>
        <v>20190312150822505</v>
      </c>
      <c r="B6648" t="str">
        <f>"1552374502496686"</f>
        <v>1552374502496686</v>
      </c>
      <c r="C6648" t="s">
        <v>40</v>
      </c>
      <c r="D6648">
        <v>4.3916050000000002</v>
      </c>
      <c r="E6648">
        <v>0.66641159999999999</v>
      </c>
      <c r="F6648" t="s">
        <v>42</v>
      </c>
      <c r="G6648">
        <v>-216.59649999999999</v>
      </c>
      <c r="H6648" s="1">
        <v>-2.2977999999999998E-6</v>
      </c>
      <c r="I6648">
        <v>142.279</v>
      </c>
      <c r="J6648">
        <v>-200.97929999999999</v>
      </c>
      <c r="K6648">
        <v>1.106368</v>
      </c>
      <c r="L6648">
        <v>141.69409999999999</v>
      </c>
      <c r="M6648">
        <v>-0.75549809999999995</v>
      </c>
      <c r="N6648">
        <v>0</v>
      </c>
      <c r="O6648">
        <v>-0.6550359</v>
      </c>
      <c r="P6648">
        <v>-0.92656400000000005</v>
      </c>
      <c r="Q6648">
        <v>5.2072609999999998E-2</v>
      </c>
      <c r="R6648">
        <v>-0.3725154</v>
      </c>
      <c r="S6648">
        <v>-3.3017270000000001</v>
      </c>
      <c r="T6648">
        <v>-0.2320045</v>
      </c>
      <c r="U6648">
        <v>0.1017303</v>
      </c>
      <c r="V6648">
        <v>0.32617170000000001</v>
      </c>
      <c r="W6648">
        <v>6.023937E-2</v>
      </c>
      <c r="X6648">
        <v>0.94338920000000004</v>
      </c>
      <c r="Y6648">
        <v>0.6749752</v>
      </c>
      <c r="Z6648">
        <v>6.6554139999999998E-2</v>
      </c>
      <c r="AA6648">
        <v>0.73483269999999901</v>
      </c>
      <c r="AB6648">
        <v>17</v>
      </c>
      <c r="AC6648">
        <v>-15.617199999999899</v>
      </c>
      <c r="AD6648">
        <v>-1.1063702978000001</v>
      </c>
      <c r="AE6648">
        <v>0.58490000000000397</v>
      </c>
      <c r="AF6648">
        <v>10.619300264797801</v>
      </c>
      <c r="AG6648">
        <v>-1.1063702978000001</v>
      </c>
      <c r="AH6648">
        <v>11.359563234556701</v>
      </c>
      <c r="AI6648">
        <v>94.069635467229304</v>
      </c>
      <c r="AJ6648">
        <v>46.929031355529702</v>
      </c>
      <c r="AK6648">
        <v>15.5895243747101</v>
      </c>
      <c r="AL6648">
        <v>86.546447389096301</v>
      </c>
      <c r="AM6648">
        <v>70.927450921628903</v>
      </c>
      <c r="AN6648">
        <v>0.99999997112776295</v>
      </c>
    </row>
    <row r="6649" spans="1:40" x14ac:dyDescent="0.25">
      <c r="A6649" t="str">
        <f>"20190312150822528"</f>
        <v>20190312150822528</v>
      </c>
      <c r="B6649" t="str">
        <f>"1552374502516207"</f>
        <v>1552374502516207</v>
      </c>
      <c r="C6649" t="s">
        <v>40</v>
      </c>
      <c r="D6649">
        <v>4.3480040000000004</v>
      </c>
      <c r="E6649">
        <v>0.66613789999999995</v>
      </c>
      <c r="F6649" t="s">
        <v>42</v>
      </c>
      <c r="G6649">
        <v>-217.37270000000001</v>
      </c>
      <c r="H6649" s="1">
        <v>-1.9427719999999999E-6</v>
      </c>
      <c r="I6649">
        <v>142.3237</v>
      </c>
      <c r="J6649">
        <v>-201.1251</v>
      </c>
      <c r="K6649">
        <v>1.106366</v>
      </c>
      <c r="L6649">
        <v>141.58250000000001</v>
      </c>
      <c r="M6649">
        <v>-0.7615885</v>
      </c>
      <c r="N6649">
        <v>0</v>
      </c>
      <c r="O6649">
        <v>-0.64794469999999904</v>
      </c>
      <c r="P6649">
        <v>-0.92963169999999995</v>
      </c>
      <c r="Q6649">
        <v>5.2408929999999999E-2</v>
      </c>
      <c r="R6649">
        <v>-0.36474440000000002</v>
      </c>
      <c r="S6649">
        <v>-3.3012700000000001</v>
      </c>
      <c r="T6649">
        <v>-0.22279889999999999</v>
      </c>
      <c r="U6649">
        <v>0.12678529999999999</v>
      </c>
      <c r="V6649">
        <v>0.32524229999999998</v>
      </c>
      <c r="W6649">
        <v>6.0593960000000002E-2</v>
      </c>
      <c r="X6649">
        <v>0.94368739999999995</v>
      </c>
      <c r="Y6649">
        <v>0.67392369999999902</v>
      </c>
      <c r="Z6649">
        <v>6.3550640000000005E-2</v>
      </c>
      <c r="AA6649">
        <v>0.73606260000000001</v>
      </c>
      <c r="AB6649">
        <v>17</v>
      </c>
      <c r="AC6649">
        <v>-16.247599999999998</v>
      </c>
      <c r="AD6649">
        <v>-1.1063679427719999</v>
      </c>
      <c r="AE6649">
        <v>0.74119999999999198</v>
      </c>
      <c r="AF6649">
        <v>11.041778682950399</v>
      </c>
      <c r="AG6649">
        <v>-1.1063679427719999</v>
      </c>
      <c r="AH6649">
        <v>11.8398392807773</v>
      </c>
      <c r="AI6649">
        <v>93.909415121625301</v>
      </c>
      <c r="AJ6649">
        <v>46.9975412815377</v>
      </c>
      <c r="AK6649">
        <v>16.2273448445114</v>
      </c>
      <c r="AL6649">
        <v>86.526093954740602</v>
      </c>
      <c r="AM6649">
        <v>70.983464362710095</v>
      </c>
      <c r="AN6649">
        <v>1.00000004530826</v>
      </c>
    </row>
    <row r="6650" spans="1:40" x14ac:dyDescent="0.25">
      <c r="A6650" t="str">
        <f>"20190312150822550"</f>
        <v>20190312150822550</v>
      </c>
      <c r="B6650" t="str">
        <f>"1552374502546462"</f>
        <v>1552374502546462</v>
      </c>
      <c r="C6650" t="s">
        <v>40</v>
      </c>
      <c r="D6650">
        <v>4.3937609999999996</v>
      </c>
      <c r="E6650">
        <v>0.66578669999999995</v>
      </c>
      <c r="F6650" t="s">
        <v>42</v>
      </c>
      <c r="G6650">
        <v>-217.96879999999999</v>
      </c>
      <c r="H6650" s="1">
        <v>-1.670517E-6</v>
      </c>
      <c r="I6650">
        <v>142.35939999999999</v>
      </c>
      <c r="J6650">
        <v>-201.2664</v>
      </c>
      <c r="K6650">
        <v>1.106365</v>
      </c>
      <c r="L6650">
        <v>141.47640000000001</v>
      </c>
      <c r="M6650">
        <v>-0.76738459999999997</v>
      </c>
      <c r="N6650">
        <v>0</v>
      </c>
      <c r="O6650">
        <v>-0.64106960000000002</v>
      </c>
      <c r="P6650">
        <v>-0.93244839999999996</v>
      </c>
      <c r="Q6650">
        <v>5.2407879999999997E-2</v>
      </c>
      <c r="R6650">
        <v>-0.35748259999999998</v>
      </c>
      <c r="S6650">
        <v>-3.2989959999999998</v>
      </c>
      <c r="T6650">
        <v>-0.2166932</v>
      </c>
      <c r="U6650">
        <v>0.1521759</v>
      </c>
      <c r="V6650">
        <v>0.3241155</v>
      </c>
      <c r="W6650">
        <v>6.0613E-2</v>
      </c>
      <c r="X6650">
        <v>0.94407370000000002</v>
      </c>
      <c r="Y6650">
        <v>0.67313440000000002</v>
      </c>
      <c r="Z6650">
        <v>6.1500819999999998E-2</v>
      </c>
      <c r="AA6650">
        <v>0.73695840000000001</v>
      </c>
      <c r="AB6650">
        <v>17</v>
      </c>
      <c r="AC6650">
        <v>-16.702399999999901</v>
      </c>
      <c r="AD6650">
        <v>-1.1063666705169899</v>
      </c>
      <c r="AE6650">
        <v>0.88299999999998102</v>
      </c>
      <c r="AF6650">
        <v>11.336257261412699</v>
      </c>
      <c r="AG6650">
        <v>-1.1063666705169899</v>
      </c>
      <c r="AH6650">
        <v>12.1986477076063</v>
      </c>
      <c r="AI6650">
        <v>93.800976100591299</v>
      </c>
      <c r="AJ6650">
        <v>47.098552582014399</v>
      </c>
      <c r="AK6650">
        <v>16.689571049036999</v>
      </c>
      <c r="AL6650">
        <v>86.525000779459006</v>
      </c>
      <c r="AM6650">
        <v>71.051839502556604</v>
      </c>
      <c r="AN6650">
        <v>0.99999997207046898</v>
      </c>
    </row>
    <row r="6651" spans="1:40" x14ac:dyDescent="0.25">
      <c r="A6651" t="str">
        <f>"20190312150822571"</f>
        <v>20190312150822571</v>
      </c>
      <c r="B6651" t="str">
        <f>"1552374502566959"</f>
        <v>1552374502566959</v>
      </c>
      <c r="C6651" t="s">
        <v>40</v>
      </c>
      <c r="D6651">
        <v>4.4080949999999897</v>
      </c>
      <c r="E6651">
        <v>0.65957529999999998</v>
      </c>
      <c r="F6651" t="s">
        <v>42</v>
      </c>
      <c r="G6651">
        <v>-218.40369999999999</v>
      </c>
      <c r="H6651" s="1">
        <v>-1.4718010000000001E-6</v>
      </c>
      <c r="I6651">
        <v>142.3852</v>
      </c>
      <c r="J6651">
        <v>-201.40039999999999</v>
      </c>
      <c r="K6651">
        <v>1.1063620000000001</v>
      </c>
      <c r="L6651">
        <v>141.3775</v>
      </c>
      <c r="M6651">
        <v>-0.77279149999999996</v>
      </c>
      <c r="N6651">
        <v>0</v>
      </c>
      <c r="O6651">
        <v>-0.63454119999999903</v>
      </c>
      <c r="P6651">
        <v>-0.935114</v>
      </c>
      <c r="Q6651">
        <v>5.2190540000000001E-2</v>
      </c>
      <c r="R6651">
        <v>-0.35048269999999998</v>
      </c>
      <c r="S6651">
        <v>-3.2963260000000001</v>
      </c>
      <c r="T6651">
        <v>-0.21280769999999999</v>
      </c>
      <c r="U6651">
        <v>0.17480470000000001</v>
      </c>
      <c r="V6651">
        <v>0.32319389999999998</v>
      </c>
      <c r="W6651">
        <v>6.0413099999999997E-2</v>
      </c>
      <c r="X6651">
        <v>0.94440250000000003</v>
      </c>
      <c r="Y6651">
        <v>0.67205890000000001</v>
      </c>
      <c r="Z6651">
        <v>6.010132E-2</v>
      </c>
      <c r="AA6651">
        <v>0.73805459999999901</v>
      </c>
      <c r="AB6651">
        <v>17</v>
      </c>
      <c r="AC6651">
        <v>-17.0032999999999</v>
      </c>
      <c r="AD6651">
        <v>-1.106363471801</v>
      </c>
      <c r="AE6651">
        <v>1.00769999999999</v>
      </c>
      <c r="AF6651">
        <v>11.520304667703</v>
      </c>
      <c r="AG6651">
        <v>-1.106363471801</v>
      </c>
      <c r="AH6651">
        <v>12.4489990021333</v>
      </c>
      <c r="AI6651">
        <v>93.731981795732494</v>
      </c>
      <c r="AJ6651">
        <v>47.218823889331901</v>
      </c>
      <c r="AK6651">
        <v>16.997618536828899</v>
      </c>
      <c r="AL6651">
        <v>86.536475541925995</v>
      </c>
      <c r="AM6651">
        <v>71.108001800789907</v>
      </c>
      <c r="AN6651">
        <v>1.0000000608275299</v>
      </c>
    </row>
    <row r="6652" spans="1:40" x14ac:dyDescent="0.25">
      <c r="A6652" t="str">
        <f>"20190312150822594"</f>
        <v>20190312150822594</v>
      </c>
      <c r="B6652" t="str">
        <f>"1552374502586482"</f>
        <v>1552374502586482</v>
      </c>
      <c r="C6652" t="s">
        <v>40</v>
      </c>
      <c r="D6652">
        <v>4.4471360000000004</v>
      </c>
      <c r="E6652">
        <v>0.65861459999999905</v>
      </c>
      <c r="F6652" t="s">
        <v>42</v>
      </c>
      <c r="G6652">
        <v>-210.5198</v>
      </c>
      <c r="H6652" s="1">
        <v>-4.9023499999999997E-6</v>
      </c>
      <c r="I6652">
        <v>141.81870000000001</v>
      </c>
      <c r="J6652">
        <v>-201.55080000000001</v>
      </c>
      <c r="K6652">
        <v>1.1063590000000001</v>
      </c>
      <c r="L6652">
        <v>141.26859999999999</v>
      </c>
      <c r="M6652">
        <v>-0.77875589999999995</v>
      </c>
      <c r="N6652">
        <v>0</v>
      </c>
      <c r="O6652">
        <v>-0.62720699999999996</v>
      </c>
      <c r="P6652">
        <v>-0.93811020000000001</v>
      </c>
      <c r="Q6652">
        <v>5.2198340000000003E-2</v>
      </c>
      <c r="R6652">
        <v>-0.34238200000000002</v>
      </c>
      <c r="S6652">
        <v>-3.2900849999999999</v>
      </c>
      <c r="T6652">
        <v>-0.39915319999999999</v>
      </c>
      <c r="U6652">
        <v>0.15914919999999999</v>
      </c>
      <c r="V6652">
        <v>0.32243329999999998</v>
      </c>
      <c r="W6652">
        <v>6.0435000000000003E-2</v>
      </c>
      <c r="X6652">
        <v>0.94466099999999997</v>
      </c>
      <c r="Y6652">
        <v>0.65526969999999995</v>
      </c>
      <c r="Z6652">
        <v>0.110914899999999</v>
      </c>
      <c r="AA6652">
        <v>0.74720779999999998</v>
      </c>
      <c r="AB6652">
        <v>17</v>
      </c>
      <c r="AC6652">
        <v>-8.9689999999999905</v>
      </c>
      <c r="AD6652">
        <v>-1.10636390235</v>
      </c>
      <c r="AE6652">
        <v>0.55010000000001402</v>
      </c>
      <c r="AF6652">
        <v>5.9638616105387099</v>
      </c>
      <c r="AG6652">
        <v>-1.10636390235</v>
      </c>
      <c r="AH6652">
        <v>6.54097897105963</v>
      </c>
      <c r="AI6652">
        <v>97.124412332071799</v>
      </c>
      <c r="AJ6652">
        <v>47.642412117145</v>
      </c>
      <c r="AK6652">
        <v>8.9205432734741503</v>
      </c>
      <c r="AL6652">
        <v>86.5352183034869</v>
      </c>
      <c r="AM6652">
        <v>71.154113246852503</v>
      </c>
      <c r="AN6652">
        <v>1.0000000135474401</v>
      </c>
    </row>
    <row r="6653" spans="1:40" x14ac:dyDescent="0.25">
      <c r="A6653" t="str">
        <f>"20190312150822616"</f>
        <v>20190312150822616</v>
      </c>
      <c r="B6653" t="str">
        <f>"1552374502606979"</f>
        <v>1552374502606979</v>
      </c>
      <c r="C6653" t="s">
        <v>40</v>
      </c>
      <c r="D6653">
        <v>4.4292189999999998</v>
      </c>
      <c r="E6653">
        <v>0.65827669999999905</v>
      </c>
      <c r="F6653" t="s">
        <v>42</v>
      </c>
      <c r="G6653">
        <v>-210.6447</v>
      </c>
      <c r="H6653" s="1">
        <v>-4.8453040000000001E-6</v>
      </c>
      <c r="I6653">
        <v>141.76759999999999</v>
      </c>
      <c r="J6653">
        <v>-201.69239999999999</v>
      </c>
      <c r="K6653">
        <v>1.106355</v>
      </c>
      <c r="L6653">
        <v>141.16800000000001</v>
      </c>
      <c r="M6653">
        <v>-0.78427179999999996</v>
      </c>
      <c r="N6653">
        <v>0</v>
      </c>
      <c r="O6653">
        <v>-0.62029559999999995</v>
      </c>
      <c r="P6653">
        <v>-0.94091650000000004</v>
      </c>
      <c r="Q6653">
        <v>5.220412E-2</v>
      </c>
      <c r="R6653">
        <v>-0.33459090000000002</v>
      </c>
      <c r="S6653">
        <v>-3.2859799999999999</v>
      </c>
      <c r="T6653">
        <v>-0.39977040000000003</v>
      </c>
      <c r="U6653">
        <v>0.18028259999999999</v>
      </c>
      <c r="V6653">
        <v>0.32191259999999999</v>
      </c>
      <c r="W6653">
        <v>6.0450700000000003E-2</v>
      </c>
      <c r="X6653">
        <v>0.94483760000000006</v>
      </c>
      <c r="Y6653">
        <v>0.65348660000000003</v>
      </c>
      <c r="Z6653">
        <v>0.110474</v>
      </c>
      <c r="AA6653">
        <v>0.74883299999999997</v>
      </c>
      <c r="AB6653">
        <v>17</v>
      </c>
      <c r="AC6653">
        <v>-8.9522999999999993</v>
      </c>
      <c r="AD6653">
        <v>-1.106359845304</v>
      </c>
      <c r="AE6653">
        <v>0.59959999999998004</v>
      </c>
      <c r="AF6653">
        <v>5.9335584643289403</v>
      </c>
      <c r="AG6653">
        <v>-1.106359845304</v>
      </c>
      <c r="AH6653">
        <v>6.5500181496885803</v>
      </c>
      <c r="AI6653">
        <v>97.135309645332399</v>
      </c>
      <c r="AJ6653">
        <v>47.827063986611002</v>
      </c>
      <c r="AK6653">
        <v>8.90695716382203</v>
      </c>
      <c r="AL6653">
        <v>86.534317237770495</v>
      </c>
      <c r="AM6653">
        <v>71.185674002350893</v>
      </c>
      <c r="AN6653">
        <v>1.0000000497715</v>
      </c>
    </row>
    <row r="6654" spans="1:40" x14ac:dyDescent="0.25">
      <c r="A6654" t="str">
        <f>"20190312150822628"</f>
        <v>20190312150822628</v>
      </c>
      <c r="B6654" t="str">
        <f>"1552374502616735"</f>
        <v>1552374502616735</v>
      </c>
      <c r="C6654" t="s">
        <v>40</v>
      </c>
      <c r="D6654">
        <v>4.4349049999999997</v>
      </c>
      <c r="E6654">
        <v>0.65827669999999905</v>
      </c>
      <c r="F6654" t="s">
        <v>42</v>
      </c>
      <c r="G6654">
        <v>-210.68049999999999</v>
      </c>
      <c r="H6654" s="1">
        <v>-4.824864E-6</v>
      </c>
      <c r="I6654">
        <v>141.72989999999999</v>
      </c>
      <c r="J6654">
        <v>-201.77099999999999</v>
      </c>
      <c r="K6654">
        <v>1.1063510000000001</v>
      </c>
      <c r="L6654">
        <v>141.113</v>
      </c>
      <c r="M6654">
        <v>-0.78729209999999905</v>
      </c>
      <c r="N6654">
        <v>0</v>
      </c>
      <c r="O6654">
        <v>-0.61645779999999994</v>
      </c>
      <c r="P6654">
        <v>-0.94251149999999995</v>
      </c>
      <c r="Q6654">
        <v>5.183985E-2</v>
      </c>
      <c r="R6654">
        <v>-0.33012849999999999</v>
      </c>
      <c r="S6654">
        <v>-3.2837830000000001</v>
      </c>
      <c r="T6654">
        <v>-0.4042036</v>
      </c>
      <c r="U6654">
        <v>0.2052765</v>
      </c>
      <c r="V6654">
        <v>0.32178370000000001</v>
      </c>
      <c r="W6654">
        <v>6.0089440000000001E-2</v>
      </c>
      <c r="X6654">
        <v>0.94490450000000004</v>
      </c>
      <c r="Y6654">
        <v>0.65532519999999905</v>
      </c>
      <c r="Z6654">
        <v>0.11152239999999999</v>
      </c>
      <c r="AA6654">
        <v>0.74706870000000003</v>
      </c>
      <c r="AB6654">
        <v>17</v>
      </c>
      <c r="AC6654">
        <v>-8.9094999999999995</v>
      </c>
      <c r="AD6654">
        <v>-1.106355824864</v>
      </c>
      <c r="AE6654">
        <v>0.61689999999998602</v>
      </c>
      <c r="AF6654">
        <v>5.8881014285253404</v>
      </c>
      <c r="AG6654">
        <v>-1.106355824864</v>
      </c>
      <c r="AH6654">
        <v>6.5343088847306303</v>
      </c>
      <c r="AI6654">
        <v>97.169105961414104</v>
      </c>
      <c r="AJ6654">
        <v>47.977813183167001</v>
      </c>
      <c r="AK6654">
        <v>8.8651539323850592</v>
      </c>
      <c r="AL6654">
        <v>86.555053442760993</v>
      </c>
      <c r="AM6654">
        <v>71.193915888085797</v>
      </c>
      <c r="AN6654">
        <v>1.00000000225272</v>
      </c>
    </row>
    <row r="6655" spans="1:40" x14ac:dyDescent="0.25">
      <c r="A6655" t="str">
        <f>"20190312150822649"</f>
        <v>20190312150822649</v>
      </c>
      <c r="B6655" t="str">
        <f>"1552374502646014"</f>
        <v>1552374502646014</v>
      </c>
      <c r="C6655" t="s">
        <v>40</v>
      </c>
      <c r="D6655">
        <v>4.4427810000000001</v>
      </c>
      <c r="E6655">
        <v>0.65771059999999903</v>
      </c>
      <c r="F6655" t="s">
        <v>42</v>
      </c>
      <c r="G6655">
        <v>-210.73169999999999</v>
      </c>
      <c r="H6655" s="1">
        <v>-4.802761E-6</v>
      </c>
      <c r="I6655">
        <v>141.71600000000001</v>
      </c>
      <c r="J6655">
        <v>-201.9092</v>
      </c>
      <c r="K6655">
        <v>1.106349</v>
      </c>
      <c r="L6655">
        <v>141.01759999999999</v>
      </c>
      <c r="M6655">
        <v>-0.79253409999999902</v>
      </c>
      <c r="N6655">
        <v>0</v>
      </c>
      <c r="O6655">
        <v>-0.60970360000000001</v>
      </c>
      <c r="P6655">
        <v>-0.94523259999999998</v>
      </c>
      <c r="Q6655">
        <v>5.1807760000000001E-2</v>
      </c>
      <c r="R6655">
        <v>-0.32225989999999999</v>
      </c>
      <c r="S6655">
        <v>-3.282654</v>
      </c>
      <c r="T6655">
        <v>-0.4053001</v>
      </c>
      <c r="U6655">
        <v>0.22091669999999999</v>
      </c>
      <c r="V6655">
        <v>0.32158229999999999</v>
      </c>
      <c r="W6655">
        <v>6.0061820000000002E-2</v>
      </c>
      <c r="X6655">
        <v>0.9449748</v>
      </c>
      <c r="Y6655">
        <v>0.65248790000000001</v>
      </c>
      <c r="Z6655">
        <v>0.11103159999999999</v>
      </c>
      <c r="AA6655">
        <v>0.74962090000000003</v>
      </c>
      <c r="AB6655">
        <v>17</v>
      </c>
      <c r="AC6655">
        <v>-8.8224999999999891</v>
      </c>
      <c r="AD6655">
        <v>-1.106353802761</v>
      </c>
      <c r="AE6655">
        <v>0.69840000000002</v>
      </c>
      <c r="AF6655">
        <v>5.8417716923506999</v>
      </c>
      <c r="AG6655">
        <v>-1.106353802761</v>
      </c>
      <c r="AH6655">
        <v>6.4657673468191899</v>
      </c>
      <c r="AI6655">
        <v>97.235782971264598</v>
      </c>
      <c r="AJ6655">
        <v>47.902426755501097</v>
      </c>
      <c r="AK6655">
        <v>8.7838751485677999</v>
      </c>
      <c r="AL6655">
        <v>86.556638757078105</v>
      </c>
      <c r="AM6655">
        <v>71.206159790617406</v>
      </c>
      <c r="AN6655">
        <v>0.99999998526502099</v>
      </c>
    </row>
    <row r="6656" spans="1:40" x14ac:dyDescent="0.25">
      <c r="A6656" t="str">
        <f>"20190312150822661"</f>
        <v>20190312150822661</v>
      </c>
      <c r="B6656" t="str">
        <f>"1552374502656751"</f>
        <v>1552374502656751</v>
      </c>
      <c r="C6656" t="s">
        <v>40</v>
      </c>
      <c r="D6656">
        <v>4.4419230000000001</v>
      </c>
      <c r="E6656">
        <v>0.65764840000000002</v>
      </c>
      <c r="F6656" t="s">
        <v>42</v>
      </c>
      <c r="G6656">
        <v>-211.07159999999999</v>
      </c>
      <c r="H6656" s="1">
        <v>-4.6691989999999999E-6</v>
      </c>
      <c r="I6656">
        <v>141.69899999999899</v>
      </c>
      <c r="J6656">
        <v>-201.995</v>
      </c>
      <c r="K6656">
        <v>1.106349</v>
      </c>
      <c r="L6656">
        <v>140.95920000000001</v>
      </c>
      <c r="M6656">
        <v>-0.79574540000000005</v>
      </c>
      <c r="N6656">
        <v>0</v>
      </c>
      <c r="O6656">
        <v>-0.60550660000000001</v>
      </c>
      <c r="P6656">
        <v>-0.94686879999999995</v>
      </c>
      <c r="Q6656">
        <v>5.1890840000000001E-2</v>
      </c>
      <c r="R6656">
        <v>-0.31740669999999999</v>
      </c>
      <c r="S6656">
        <v>-3.2786409999999999</v>
      </c>
      <c r="T6656">
        <v>-0.39589229999999997</v>
      </c>
      <c r="U6656">
        <v>0.24382019999999999</v>
      </c>
      <c r="V6656">
        <v>0.32143379999999999</v>
      </c>
      <c r="W6656">
        <v>6.0147979999999997E-2</v>
      </c>
      <c r="X6656">
        <v>0.94501979999999997</v>
      </c>
      <c r="Y6656">
        <v>0.65419759999999905</v>
      </c>
      <c r="Z6656">
        <v>0.1083132</v>
      </c>
      <c r="AA6656">
        <v>0.74852779999999997</v>
      </c>
      <c r="AB6656">
        <v>17</v>
      </c>
      <c r="AC6656">
        <v>-9.0765999999999796</v>
      </c>
      <c r="AD6656">
        <v>-1.1063536691989999</v>
      </c>
      <c r="AE6656">
        <v>0.73979999999997403</v>
      </c>
      <c r="AF6656">
        <v>5.99658766306817</v>
      </c>
      <c r="AG6656">
        <v>-1.1063536691989999</v>
      </c>
      <c r="AH6656">
        <v>6.67667738447477</v>
      </c>
      <c r="AI6656">
        <v>97.028017807323494</v>
      </c>
      <c r="AJ6656">
        <v>48.071736498297497</v>
      </c>
      <c r="AK6656">
        <v>9.0421846330722797</v>
      </c>
      <c r="AL6656">
        <v>86.551693071842195</v>
      </c>
      <c r="AM6656">
        <v>71.215061333448006</v>
      </c>
      <c r="AN6656">
        <v>0.99999994483627797</v>
      </c>
    </row>
    <row r="6657" spans="1:40" x14ac:dyDescent="0.25">
      <c r="A6657" t="str">
        <f>"20190312150822683"</f>
        <v>20190312150822683</v>
      </c>
      <c r="B6657" t="str">
        <f>"1552374502676271"</f>
        <v>1552374502676271</v>
      </c>
      <c r="C6657" t="s">
        <v>40</v>
      </c>
      <c r="D6657">
        <v>4.4342420000000002</v>
      </c>
      <c r="E6657">
        <v>0.65765379999999996</v>
      </c>
      <c r="F6657" t="s">
        <v>42</v>
      </c>
      <c r="G6657">
        <v>-211.1592</v>
      </c>
      <c r="H6657" s="1">
        <v>-4.6333439999999997E-6</v>
      </c>
      <c r="I6657">
        <v>141.6865</v>
      </c>
      <c r="J6657">
        <v>-202.13460000000001</v>
      </c>
      <c r="K6657">
        <v>1.1063430000000001</v>
      </c>
      <c r="L6657">
        <v>140.8656</v>
      </c>
      <c r="M6657">
        <v>-0.80089769999999905</v>
      </c>
      <c r="N6657">
        <v>0</v>
      </c>
      <c r="O6657">
        <v>-0.59867490000000001</v>
      </c>
      <c r="P6657">
        <v>-0.94950000000000001</v>
      </c>
      <c r="Q6657">
        <v>5.1628239999999999E-2</v>
      </c>
      <c r="R6657">
        <v>-0.30949070000000001</v>
      </c>
      <c r="S6657">
        <v>-3.2772220000000001</v>
      </c>
      <c r="T6657">
        <v>-0.39564250000000001</v>
      </c>
      <c r="U6657">
        <v>0.26010129999999998</v>
      </c>
      <c r="V6657">
        <v>0.3212428</v>
      </c>
      <c r="W6657">
        <v>5.9889049999999999E-2</v>
      </c>
      <c r="X6657">
        <v>0.94510130000000003</v>
      </c>
      <c r="Y6657">
        <v>0.65156169999999902</v>
      </c>
      <c r="Z6657">
        <v>0.1074724</v>
      </c>
      <c r="AA6657">
        <v>0.7509441</v>
      </c>
      <c r="AB6657">
        <v>17</v>
      </c>
      <c r="AC6657">
        <v>-9.0245999999999906</v>
      </c>
      <c r="AD6657">
        <v>-1.1063476333439899</v>
      </c>
      <c r="AE6657">
        <v>0.82089999999999397</v>
      </c>
      <c r="AF6657">
        <v>5.9717050660950797</v>
      </c>
      <c r="AG6657">
        <v>-1.1063476333439899</v>
      </c>
      <c r="AH6657">
        <v>6.6378969578826901</v>
      </c>
      <c r="AI6657">
        <v>97.063413620298505</v>
      </c>
      <c r="AJ6657">
        <v>48.024245275267504</v>
      </c>
      <c r="AK6657">
        <v>8.9970518785710993</v>
      </c>
      <c r="AL6657">
        <v>86.5665558270167</v>
      </c>
      <c r="AM6657">
        <v>71.226946935978205</v>
      </c>
      <c r="AN6657">
        <v>1.00000005106171</v>
      </c>
    </row>
    <row r="6658" spans="1:40" x14ac:dyDescent="0.25">
      <c r="A6658" t="str">
        <f>"20190312150822706"</f>
        <v>20190312150822706</v>
      </c>
      <c r="B6658" t="str">
        <f>"1552374502696766"</f>
        <v>1552374502696766</v>
      </c>
      <c r="C6658" t="s">
        <v>40</v>
      </c>
      <c r="D6658">
        <v>4.5439959999999999</v>
      </c>
      <c r="E6658">
        <v>0.65719209999999995</v>
      </c>
      <c r="F6658" t="s">
        <v>42</v>
      </c>
      <c r="G6658">
        <v>-211.33539999999999</v>
      </c>
      <c r="H6658" s="1">
        <v>-4.5633239999999998E-6</v>
      </c>
      <c r="I6658">
        <v>141.67320000000001</v>
      </c>
      <c r="J6658">
        <v>-202.2902</v>
      </c>
      <c r="K6658">
        <v>1.106347</v>
      </c>
      <c r="L6658">
        <v>140.76339999999999</v>
      </c>
      <c r="M6658">
        <v>-0.80653909999999995</v>
      </c>
      <c r="N6658">
        <v>0</v>
      </c>
      <c r="O6658">
        <v>-0.59105280000000004</v>
      </c>
      <c r="P6658">
        <v>-0.952206</v>
      </c>
      <c r="Q6658">
        <v>5.1316630000000002E-2</v>
      </c>
      <c r="R6658">
        <v>-0.30111569999999999</v>
      </c>
      <c r="S6658">
        <v>-3.2746580000000001</v>
      </c>
      <c r="T6658">
        <v>-0.3937582</v>
      </c>
      <c r="U6658">
        <v>0.28742980000000001</v>
      </c>
      <c r="V6658">
        <v>0.32061070000000003</v>
      </c>
      <c r="W6658">
        <v>5.9587279999999999E-2</v>
      </c>
      <c r="X6658">
        <v>0.94533489999999998</v>
      </c>
      <c r="Y6658">
        <v>0.65081940000000005</v>
      </c>
      <c r="Z6658">
        <v>0.1062617</v>
      </c>
      <c r="AA6658">
        <v>0.75175959999999997</v>
      </c>
      <c r="AB6658">
        <v>17</v>
      </c>
      <c r="AC6658">
        <v>-9.0451999999999906</v>
      </c>
      <c r="AD6658">
        <v>-1.106351563324</v>
      </c>
      <c r="AE6658">
        <v>0.90980000000001804</v>
      </c>
      <c r="AF6658">
        <v>5.9916981774519797</v>
      </c>
      <c r="AG6658">
        <v>-1.106351563324</v>
      </c>
      <c r="AH6658">
        <v>6.6594471123465802</v>
      </c>
      <c r="AI6658">
        <v>97.040495512700602</v>
      </c>
      <c r="AJ6658">
        <v>48.0213648864124</v>
      </c>
      <c r="AK6658">
        <v>9.0262227245671394</v>
      </c>
      <c r="AL6658">
        <v>86.583876627047104</v>
      </c>
      <c r="AM6658">
        <v>71.265612947075695</v>
      </c>
      <c r="AN6658">
        <v>0.99999996902514798</v>
      </c>
    </row>
    <row r="6659" spans="1:40" x14ac:dyDescent="0.25">
      <c r="A6659" t="str">
        <f>"20190312150822720"</f>
        <v>20190312150822720</v>
      </c>
      <c r="B6659" t="str">
        <f>"1552374502716288"</f>
        <v>1552374502716288</v>
      </c>
      <c r="C6659" t="s">
        <v>40</v>
      </c>
      <c r="D6659">
        <v>4.423184</v>
      </c>
      <c r="E6659">
        <v>0.6081375</v>
      </c>
      <c r="F6659" t="s">
        <v>42</v>
      </c>
      <c r="G6659">
        <v>-211.46270000000001</v>
      </c>
      <c r="H6659" s="1">
        <v>-4.5085960000000002E-6</v>
      </c>
      <c r="I6659">
        <v>141.6403</v>
      </c>
      <c r="J6659">
        <v>-202.3828</v>
      </c>
      <c r="K6659">
        <v>1.1063459999999901</v>
      </c>
      <c r="L6659">
        <v>140.7037</v>
      </c>
      <c r="M6659">
        <v>-0.809845699999999</v>
      </c>
      <c r="N6659">
        <v>0</v>
      </c>
      <c r="O6659">
        <v>-0.58651379999999997</v>
      </c>
      <c r="P6659">
        <v>-0.95377559999999995</v>
      </c>
      <c r="Q6659">
        <v>5.1116910000000002E-2</v>
      </c>
      <c r="R6659">
        <v>-0.29614089999999998</v>
      </c>
      <c r="S6659">
        <v>-3.270721</v>
      </c>
      <c r="T6659">
        <v>-0.39450069999999998</v>
      </c>
      <c r="U6659">
        <v>0.3126678</v>
      </c>
      <c r="V6659">
        <v>0.3202409</v>
      </c>
      <c r="W6659">
        <v>5.93925999999999E-2</v>
      </c>
      <c r="X6659">
        <v>0.94547250000000005</v>
      </c>
      <c r="Y6659">
        <v>0.65238649999999998</v>
      </c>
      <c r="Z6659">
        <v>0.1062342</v>
      </c>
      <c r="AA6659">
        <v>0.75040399999999996</v>
      </c>
      <c r="AB6659">
        <v>17</v>
      </c>
      <c r="AC6659">
        <v>-9.0799000000000092</v>
      </c>
      <c r="AD6659">
        <v>-1.1063505085959999</v>
      </c>
      <c r="AE6659">
        <v>0.93659999999999799</v>
      </c>
      <c r="AF6659">
        <v>5.9963614947848098</v>
      </c>
      <c r="AG6659">
        <v>-1.1063505085959999</v>
      </c>
      <c r="AH6659">
        <v>6.7059924544868403</v>
      </c>
      <c r="AI6659">
        <v>97.011229023162002</v>
      </c>
      <c r="AJ6659">
        <v>48.197567879764001</v>
      </c>
      <c r="AK6659">
        <v>9.0637021919104903</v>
      </c>
      <c r="AL6659">
        <v>86.595050803125105</v>
      </c>
      <c r="AM6659">
        <v>71.2882504630836</v>
      </c>
      <c r="AN6659">
        <v>0.99999998161190895</v>
      </c>
    </row>
    <row r="6660" spans="1:40" x14ac:dyDescent="0.25">
      <c r="A6660" t="str">
        <f>"20190312150822740"</f>
        <v>20190312150822740</v>
      </c>
      <c r="B6660" t="str">
        <f>"1552374502736783"</f>
        <v>1552374502736783</v>
      </c>
      <c r="C6660" t="s">
        <v>40</v>
      </c>
      <c r="D6660">
        <v>4.4541120000000003</v>
      </c>
      <c r="E6660">
        <v>0.60044580000000003</v>
      </c>
      <c r="F6660" t="s">
        <v>42</v>
      </c>
      <c r="G6660">
        <v>-216.697</v>
      </c>
      <c r="H6660" s="1">
        <v>-1.7708310000000001E-6</v>
      </c>
      <c r="I6660">
        <v>140.477</v>
      </c>
      <c r="J6660">
        <v>-202.51339999999999</v>
      </c>
      <c r="K6660">
        <v>1.1063430000000001</v>
      </c>
      <c r="L6660">
        <v>140.6206</v>
      </c>
      <c r="M6660">
        <v>-0.81444939999999999</v>
      </c>
      <c r="N6660">
        <v>0</v>
      </c>
      <c r="O6660">
        <v>-0.58010419999999996</v>
      </c>
      <c r="P6660">
        <v>-0.95594950000000001</v>
      </c>
      <c r="Q6660">
        <v>5.1077110000000002E-2</v>
      </c>
      <c r="R6660">
        <v>-0.28905409999999998</v>
      </c>
      <c r="S6660">
        <v>-3.1429749999999999</v>
      </c>
      <c r="T6660">
        <v>-0.24292169999999999</v>
      </c>
      <c r="U6660">
        <v>-4.977417E-2</v>
      </c>
      <c r="V6660">
        <v>0.31979730000000001</v>
      </c>
      <c r="W6660">
        <v>5.9357840000000002E-2</v>
      </c>
      <c r="X6660">
        <v>0.94562480000000004</v>
      </c>
      <c r="Y6660">
        <v>0.56395130000000004</v>
      </c>
      <c r="Z6660">
        <v>6.4188439999999999E-2</v>
      </c>
      <c r="AA6660">
        <v>0.82330969999999903</v>
      </c>
      <c r="AB6660">
        <v>17</v>
      </c>
      <c r="AC6660">
        <v>-14.1836</v>
      </c>
      <c r="AD6660">
        <v>-1.1063447708309999</v>
      </c>
      <c r="AE6660">
        <v>-0.14359999999999201</v>
      </c>
      <c r="AF6660">
        <v>8.0625748291694102</v>
      </c>
      <c r="AG6660">
        <v>-1.1063447708309999</v>
      </c>
      <c r="AH6660">
        <v>11.565646493282101</v>
      </c>
      <c r="AI6660">
        <v>94.486931085352197</v>
      </c>
      <c r="AJ6660">
        <v>55.119104793300899</v>
      </c>
      <c r="AK6660">
        <v>14.141898402812499</v>
      </c>
      <c r="AL6660">
        <v>86.597045865452898</v>
      </c>
      <c r="AM6660">
        <v>71.315170353221305</v>
      </c>
      <c r="AN6660">
        <v>0.99999996431589699</v>
      </c>
    </row>
    <row r="6661" spans="1:40" x14ac:dyDescent="0.25">
      <c r="A6661" t="str">
        <f>"20190312150822762"</f>
        <v>20190312150822762</v>
      </c>
      <c r="B6661" t="str">
        <f>"1552374502756303"</f>
        <v>1552374502756303</v>
      </c>
      <c r="C6661" t="s">
        <v>40</v>
      </c>
      <c r="D6661">
        <v>4.5027089999999896</v>
      </c>
      <c r="E6661">
        <v>0.59716449999999999</v>
      </c>
      <c r="F6661" t="s">
        <v>42</v>
      </c>
      <c r="G6661">
        <v>-217.09819999999999</v>
      </c>
      <c r="H6661" s="1">
        <v>-1.5132209999999999E-6</v>
      </c>
      <c r="I6661">
        <v>140.2216</v>
      </c>
      <c r="J6661">
        <v>-202.6645</v>
      </c>
      <c r="K6661">
        <v>1.106341</v>
      </c>
      <c r="L6661">
        <v>140.52610000000001</v>
      </c>
      <c r="M6661">
        <v>-0.81968839999999998</v>
      </c>
      <c r="N6661">
        <v>0</v>
      </c>
      <c r="O6661">
        <v>-0.5726774</v>
      </c>
      <c r="P6661">
        <v>-0.95830550000000003</v>
      </c>
      <c r="Q6661">
        <v>5.1328609999999997E-2</v>
      </c>
      <c r="R6661">
        <v>-0.28109780000000001</v>
      </c>
      <c r="S6661">
        <v>-3.1250460000000002</v>
      </c>
      <c r="T6661">
        <v>-0.2370543</v>
      </c>
      <c r="U6661">
        <v>-8.5495000000000002E-2</v>
      </c>
      <c r="V6661">
        <v>0.3190578</v>
      </c>
      <c r="W6661">
        <v>5.9617740000000002E-2</v>
      </c>
      <c r="X6661">
        <v>0.94585830000000004</v>
      </c>
      <c r="Y6661">
        <v>0.54704900000000001</v>
      </c>
      <c r="Z6661">
        <v>6.1854499999999903E-2</v>
      </c>
      <c r="AA6661">
        <v>0.83481219999999901</v>
      </c>
      <c r="AB6661">
        <v>17</v>
      </c>
      <c r="AC6661">
        <v>-14.4336999999999</v>
      </c>
      <c r="AD6661">
        <v>-1.1063425132210001</v>
      </c>
      <c r="AE6661">
        <v>-0.30450000000001798</v>
      </c>
      <c r="AF6661">
        <v>7.9700610602142499</v>
      </c>
      <c r="AG6661">
        <v>-1.1063425132210001</v>
      </c>
      <c r="AH6661">
        <v>11.936329066801299</v>
      </c>
      <c r="AI6661">
        <v>94.407810978280395</v>
      </c>
      <c r="AJ6661">
        <v>56.268385354218502</v>
      </c>
      <c r="AK6661">
        <v>14.395201236907701</v>
      </c>
      <c r="AL6661">
        <v>86.582128529371801</v>
      </c>
      <c r="AM6661">
        <v>71.359672610831396</v>
      </c>
      <c r="AN6661">
        <v>1.0000000391712101</v>
      </c>
    </row>
    <row r="6662" spans="1:40" x14ac:dyDescent="0.25">
      <c r="A6662" t="str">
        <f>"20190312150822784"</f>
        <v>20190312150822784</v>
      </c>
      <c r="B6662" t="str">
        <f>"1552374502776799"</f>
        <v>1552374502776799</v>
      </c>
      <c r="C6662" t="s">
        <v>40</v>
      </c>
      <c r="D6662">
        <v>4.4680849999999896</v>
      </c>
      <c r="E6662">
        <v>0.59554609999999997</v>
      </c>
      <c r="F6662" t="s">
        <v>42</v>
      </c>
      <c r="G6662">
        <v>-217.52160000000001</v>
      </c>
      <c r="H6662" s="1">
        <v>-1.2865479999999999E-6</v>
      </c>
      <c r="I6662">
        <v>140.12190000000001</v>
      </c>
      <c r="J6662">
        <v>-202.81800000000001</v>
      </c>
      <c r="K6662">
        <v>1.106339</v>
      </c>
      <c r="L6662">
        <v>140.43209999999999</v>
      </c>
      <c r="M6662">
        <v>-0.82491559999999897</v>
      </c>
      <c r="N6662">
        <v>0</v>
      </c>
      <c r="O6662">
        <v>-0.56512169999999995</v>
      </c>
      <c r="P6662">
        <v>-0.96069579999999999</v>
      </c>
      <c r="Q6662">
        <v>5.1647159999999998E-2</v>
      </c>
      <c r="R6662">
        <v>-0.27275709999999997</v>
      </c>
      <c r="S6662">
        <v>-3.1180729999999999</v>
      </c>
      <c r="T6662">
        <v>-0.2321888</v>
      </c>
      <c r="U6662">
        <v>-8.4823609999999994E-2</v>
      </c>
      <c r="V6662">
        <v>0.31858350000000002</v>
      </c>
      <c r="W6662">
        <v>5.9939979999999997E-2</v>
      </c>
      <c r="X6662">
        <v>0.94599770000000005</v>
      </c>
      <c r="Y6662">
        <v>0.53962639999999995</v>
      </c>
      <c r="Z6662">
        <v>5.9982710000000002E-2</v>
      </c>
      <c r="AA6662">
        <v>0.83976509999999904</v>
      </c>
      <c r="AB6662">
        <v>17</v>
      </c>
      <c r="AC6662">
        <v>-14.7036</v>
      </c>
      <c r="AD6662">
        <v>-1.1063402865480001</v>
      </c>
      <c r="AE6662">
        <v>-0.31019999999997999</v>
      </c>
      <c r="AF6662">
        <v>8.0087245256493098</v>
      </c>
      <c r="AG6662">
        <v>-1.1063402865480001</v>
      </c>
      <c r="AH6662">
        <v>12.236218968666201</v>
      </c>
      <c r="AI6662">
        <v>94.326286868253206</v>
      </c>
      <c r="AJ6662">
        <v>56.794862157364399</v>
      </c>
      <c r="AK6662">
        <v>14.6659030409492</v>
      </c>
      <c r="AL6662">
        <v>86.563632146949502</v>
      </c>
      <c r="AM6662">
        <v>71.388026326693094</v>
      </c>
      <c r="AN6662">
        <v>0.99999994803996795</v>
      </c>
    </row>
    <row r="6663" spans="1:40" x14ac:dyDescent="0.25">
      <c r="A6663" t="str">
        <f>"20190312150822807"</f>
        <v>20190312150822807</v>
      </c>
      <c r="B6663" t="str">
        <f>"1552374502796322"</f>
        <v>1552374502796322</v>
      </c>
      <c r="C6663" t="s">
        <v>40</v>
      </c>
      <c r="D6663">
        <v>4.4747500000000002</v>
      </c>
      <c r="E6663">
        <v>0.59426579999999996</v>
      </c>
      <c r="F6663" t="s">
        <v>42</v>
      </c>
      <c r="G6663">
        <v>-217.48179999999999</v>
      </c>
      <c r="H6663" s="1">
        <v>-1.3003149999999899E-6</v>
      </c>
      <c r="I6663">
        <v>140.10290000000001</v>
      </c>
      <c r="J6663">
        <v>-202.9726</v>
      </c>
      <c r="K6663">
        <v>1.1063339999999999</v>
      </c>
      <c r="L6663">
        <v>140.33959999999999</v>
      </c>
      <c r="M6663">
        <v>-0.83008729999999997</v>
      </c>
      <c r="N6663">
        <v>0</v>
      </c>
      <c r="O6663">
        <v>-0.55749759999999904</v>
      </c>
      <c r="P6663">
        <v>-0.96293410000000002</v>
      </c>
      <c r="Q6663">
        <v>5.1614630000000002E-2</v>
      </c>
      <c r="R6663">
        <v>-0.26475290000000001</v>
      </c>
      <c r="S6663">
        <v>-3.1155089999999999</v>
      </c>
      <c r="T6663">
        <v>-0.23505580000000001</v>
      </c>
      <c r="U6663">
        <v>-6.9946289999999994E-2</v>
      </c>
      <c r="V6663">
        <v>0.3177413</v>
      </c>
      <c r="W6663">
        <v>5.9915700000000002E-2</v>
      </c>
      <c r="X6663">
        <v>0.94628250000000003</v>
      </c>
      <c r="Y6663">
        <v>0.53581730000000005</v>
      </c>
      <c r="Z6663">
        <v>6.0165209999999997E-2</v>
      </c>
      <c r="AA6663">
        <v>0.84218760000000004</v>
      </c>
      <c r="AB6663">
        <v>17</v>
      </c>
      <c r="AC6663">
        <v>-14.5091999999999</v>
      </c>
      <c r="AD6663">
        <v>-1.1063353003149901</v>
      </c>
      <c r="AE6663">
        <v>-0.23669999999998401</v>
      </c>
      <c r="AF6663">
        <v>7.8473468783920302</v>
      </c>
      <c r="AG6663">
        <v>-1.1063353003149901</v>
      </c>
      <c r="AH6663">
        <v>12.1064149191462</v>
      </c>
      <c r="AI6663">
        <v>94.385065815640601</v>
      </c>
      <c r="AJ6663">
        <v>57.048797111130298</v>
      </c>
      <c r="AK6663">
        <v>14.469627259230201</v>
      </c>
      <c r="AL6663">
        <v>86.565025962808804</v>
      </c>
      <c r="AM6663">
        <v>71.439056849643706</v>
      </c>
      <c r="AN6663">
        <v>0.99999999731921496</v>
      </c>
    </row>
    <row r="6664" spans="1:40" x14ac:dyDescent="0.25">
      <c r="A6664" t="str">
        <f>"20190312150822828"</f>
        <v>20190312150822828</v>
      </c>
      <c r="B6664" t="str">
        <f>"1552374502816814"</f>
        <v>1552374502816814</v>
      </c>
      <c r="C6664" t="s">
        <v>40</v>
      </c>
      <c r="D6664">
        <v>4.4691400000000003</v>
      </c>
      <c r="E6664">
        <v>0.59320530000000005</v>
      </c>
      <c r="F6664" t="s">
        <v>42</v>
      </c>
      <c r="G6664">
        <v>-217.41499999999999</v>
      </c>
      <c r="H6664" s="1">
        <v>-1.3282559999999999E-6</v>
      </c>
      <c r="I6664">
        <v>140.08920000000001</v>
      </c>
      <c r="J6664">
        <v>-203.11959999999999</v>
      </c>
      <c r="K6664">
        <v>1.106322</v>
      </c>
      <c r="L6664">
        <v>140.2534</v>
      </c>
      <c r="M6664">
        <v>-0.83492009999999905</v>
      </c>
      <c r="N6664">
        <v>0</v>
      </c>
      <c r="O6664">
        <v>-0.55023330000000004</v>
      </c>
      <c r="P6664">
        <v>-0.96488980000000002</v>
      </c>
      <c r="Q6664">
        <v>5.137655E-2</v>
      </c>
      <c r="R6664">
        <v>-0.25758130000000001</v>
      </c>
      <c r="S6664">
        <v>-3.1134339999999998</v>
      </c>
      <c r="T6664">
        <v>-0.2384994</v>
      </c>
      <c r="U6664">
        <v>-5.3970339999999999E-2</v>
      </c>
      <c r="V6664">
        <v>0.31652960000000002</v>
      </c>
      <c r="W6664">
        <v>5.9690559999999997E-2</v>
      </c>
      <c r="X6664">
        <v>0.94670270000000001</v>
      </c>
      <c r="Y6664">
        <v>0.53270109999999904</v>
      </c>
      <c r="Z6664">
        <v>6.0515550000000001E-2</v>
      </c>
      <c r="AA6664">
        <v>0.84413709999999997</v>
      </c>
      <c r="AB6664">
        <v>18</v>
      </c>
      <c r="AC6664">
        <v>-14.295400000000001</v>
      </c>
      <c r="AD6664">
        <v>-1.1063233282559899</v>
      </c>
      <c r="AE6664">
        <v>-0.16419999999999299</v>
      </c>
      <c r="AF6664">
        <v>7.6832867322325704</v>
      </c>
      <c r="AG6664">
        <v>-1.1063233282559899</v>
      </c>
      <c r="AH6664">
        <v>11.9551846332115</v>
      </c>
      <c r="AI6664">
        <v>94.451411073935901</v>
      </c>
      <c r="AJ6664">
        <v>57.272197849812798</v>
      </c>
      <c r="AK6664">
        <v>14.254237472784</v>
      </c>
      <c r="AL6664">
        <v>86.577948592192399</v>
      </c>
      <c r="AM6664">
        <v>71.512665911839704</v>
      </c>
      <c r="AN6664">
        <v>0.99999997640828098</v>
      </c>
    </row>
    <row r="6665" spans="1:40" x14ac:dyDescent="0.25">
      <c r="A6665" t="str">
        <f>"20190312150822840"</f>
        <v>20190312150822840</v>
      </c>
      <c r="B6665" t="str">
        <f>"1552374502836336"</f>
        <v>1552374502836336</v>
      </c>
      <c r="C6665" t="s">
        <v>40</v>
      </c>
      <c r="D6665">
        <v>4.3694199999999999</v>
      </c>
      <c r="E6665">
        <v>0.59317209999999998</v>
      </c>
      <c r="F6665" t="s">
        <v>42</v>
      </c>
      <c r="G6665">
        <v>-217.28129999999999</v>
      </c>
      <c r="H6665" s="1">
        <v>-1.3883609999999999E-6</v>
      </c>
      <c r="I6665">
        <v>140.07749999999999</v>
      </c>
      <c r="J6665">
        <v>-203.20429999999999</v>
      </c>
      <c r="K6665">
        <v>1.1063179999999999</v>
      </c>
      <c r="L6665">
        <v>140.20439999999999</v>
      </c>
      <c r="M6665">
        <v>-0.83767019999999903</v>
      </c>
      <c r="N6665">
        <v>0</v>
      </c>
      <c r="O6665">
        <v>-0.54603740000000001</v>
      </c>
      <c r="P6665">
        <v>-0.96601990000000004</v>
      </c>
      <c r="Q6665">
        <v>5.121846E-2</v>
      </c>
      <c r="R6665">
        <v>-0.25334289999999998</v>
      </c>
      <c r="S6665">
        <v>-3.1117859999999999</v>
      </c>
      <c r="T6665">
        <v>-0.24309529999999999</v>
      </c>
      <c r="U6665">
        <v>-3.8635250000000003E-2</v>
      </c>
      <c r="V6665">
        <v>0.31593939999999998</v>
      </c>
      <c r="W6665">
        <v>5.9538720000000003E-2</v>
      </c>
      <c r="X6665">
        <v>0.94690940000000001</v>
      </c>
      <c r="Y6665">
        <v>0.53250330000000001</v>
      </c>
      <c r="Z6665">
        <v>6.1442249999999997E-2</v>
      </c>
      <c r="AA6665">
        <v>0.84419489999999997</v>
      </c>
      <c r="AB6665">
        <v>18</v>
      </c>
      <c r="AC6665">
        <v>-14.0769999999999</v>
      </c>
      <c r="AD6665">
        <v>-1.1063193883610001</v>
      </c>
      <c r="AE6665">
        <v>-0.12690000000000601</v>
      </c>
      <c r="AF6665">
        <v>7.5343117940847604</v>
      </c>
      <c r="AG6665">
        <v>-1.1063193883610001</v>
      </c>
      <c r="AH6665">
        <v>11.7892656697269</v>
      </c>
      <c r="AI6665">
        <v>94.521126351474294</v>
      </c>
      <c r="AJ6665">
        <v>57.418071400508502</v>
      </c>
      <c r="AK6665">
        <v>14.0348345850939</v>
      </c>
      <c r="AL6665">
        <v>86.586663922703593</v>
      </c>
      <c r="AM6665">
        <v>71.548555806142204</v>
      </c>
      <c r="AN6665">
        <v>0.999999987729979</v>
      </c>
    </row>
    <row r="6666" spans="1:40" x14ac:dyDescent="0.25">
      <c r="A6666" t="str">
        <f>"20190312150822852"</f>
        <v>20190312150822852</v>
      </c>
      <c r="B6666" t="str">
        <f>"1552374502846096"</f>
        <v>1552374502846096</v>
      </c>
      <c r="C6666" t="s">
        <v>40</v>
      </c>
      <c r="D6666">
        <v>4.3730219999999997</v>
      </c>
      <c r="E6666">
        <v>0.59311939999999996</v>
      </c>
      <c r="F6666" t="s">
        <v>42</v>
      </c>
      <c r="G6666">
        <v>-217.82149999999999</v>
      </c>
      <c r="H6666" s="1">
        <v>-1.134651E-6</v>
      </c>
      <c r="I6666">
        <v>140.0838</v>
      </c>
      <c r="J6666">
        <v>-203.28800000000001</v>
      </c>
      <c r="K6666">
        <v>1.106314</v>
      </c>
      <c r="L6666">
        <v>140.1567</v>
      </c>
      <c r="M6666">
        <v>-0.84035859999999996</v>
      </c>
      <c r="N6666">
        <v>0</v>
      </c>
      <c r="O6666">
        <v>-0.54189080000000001</v>
      </c>
      <c r="P6666">
        <v>-0.96705419999999997</v>
      </c>
      <c r="Q6666">
        <v>5.140807E-2</v>
      </c>
      <c r="R6666">
        <v>-0.24932660000000001</v>
      </c>
      <c r="S6666">
        <v>-3.1112820000000001</v>
      </c>
      <c r="T6666">
        <v>-0.23548079999999999</v>
      </c>
      <c r="U6666">
        <v>-2.5665279999999999E-2</v>
      </c>
      <c r="V6666">
        <v>0.315191099999999</v>
      </c>
      <c r="W6666">
        <v>5.9736259999999999E-2</v>
      </c>
      <c r="X6666">
        <v>0.9471463</v>
      </c>
      <c r="Y6666">
        <v>0.53204750000000001</v>
      </c>
      <c r="Z6666">
        <v>5.926203E-2</v>
      </c>
      <c r="AA6666">
        <v>0.84463809999999995</v>
      </c>
      <c r="AB6666">
        <v>18</v>
      </c>
      <c r="AC6666">
        <v>-14.5335</v>
      </c>
      <c r="AD6666">
        <v>-1.1063151346510001</v>
      </c>
      <c r="AE6666">
        <v>-7.29000000000041E-2</v>
      </c>
      <c r="AF6666">
        <v>7.7698793429960897</v>
      </c>
      <c r="AG6666">
        <v>-1.1063151346510001</v>
      </c>
      <c r="AH6666">
        <v>12.1831916131034</v>
      </c>
      <c r="AI6666">
        <v>94.378129327235698</v>
      </c>
      <c r="AJ6666">
        <v>57.472142303570699</v>
      </c>
      <c r="AK6666">
        <v>14.492243306799301</v>
      </c>
      <c r="AL6666">
        <v>86.575325513221202</v>
      </c>
      <c r="AM6666">
        <v>71.593602592262499</v>
      </c>
      <c r="AN6666">
        <v>0.99999998194084305</v>
      </c>
    </row>
    <row r="6667" spans="1:40" x14ac:dyDescent="0.25">
      <c r="A6667" t="str">
        <f>"20190312150822874"</f>
        <v>20190312150822874</v>
      </c>
      <c r="B6667" t="str">
        <f>"1552374502866590"</f>
        <v>1552374502866590</v>
      </c>
      <c r="C6667" t="s">
        <v>40</v>
      </c>
      <c r="D6667">
        <v>4.3949660000000002</v>
      </c>
      <c r="E6667">
        <v>0.59288289999999999</v>
      </c>
      <c r="F6667" t="s">
        <v>42</v>
      </c>
      <c r="G6667">
        <v>-218.14940000000001</v>
      </c>
      <c r="H6667" s="1">
        <v>-9.8224069999999993E-7</v>
      </c>
      <c r="I6667">
        <v>140.09350000000001</v>
      </c>
      <c r="J6667">
        <v>-203.4365</v>
      </c>
      <c r="K6667">
        <v>1.106303</v>
      </c>
      <c r="L6667">
        <v>140.07329999999999</v>
      </c>
      <c r="M6667">
        <v>-0.84507219999999905</v>
      </c>
      <c r="N6667">
        <v>0</v>
      </c>
      <c r="O6667">
        <v>-0.53451040000000005</v>
      </c>
      <c r="P6667">
        <v>-0.96873739999999997</v>
      </c>
      <c r="Q6667">
        <v>5.1233580000000001E-2</v>
      </c>
      <c r="R6667">
        <v>-0.24274129999999999</v>
      </c>
      <c r="S6667">
        <v>-3.1110989999999998</v>
      </c>
      <c r="T6667">
        <v>-0.23159689999999999</v>
      </c>
      <c r="U6667">
        <v>-1.3229370000000001E-2</v>
      </c>
      <c r="V6667">
        <v>0.3133435</v>
      </c>
      <c r="W6667">
        <v>5.9583469999999999E-2</v>
      </c>
      <c r="X6667">
        <v>0.94776879999999997</v>
      </c>
      <c r="Y6667">
        <v>0.52813789999999905</v>
      </c>
      <c r="Z6667">
        <v>5.7687670000000003E-2</v>
      </c>
      <c r="AA6667">
        <v>0.84719679999999997</v>
      </c>
      <c r="AB6667">
        <v>18</v>
      </c>
      <c r="AC6667">
        <v>-14.712899999999999</v>
      </c>
      <c r="AD6667">
        <v>-1.1063039822406999</v>
      </c>
      <c r="AE6667">
        <v>2.0200000000016798E-2</v>
      </c>
      <c r="AF6667">
        <v>7.8375529345857098</v>
      </c>
      <c r="AG6667">
        <v>-1.1063039822406999</v>
      </c>
      <c r="AH6667">
        <v>12.353759985451999</v>
      </c>
      <c r="AI6667">
        <v>94.324354081370402</v>
      </c>
      <c r="AJ6667">
        <v>57.607874867453802</v>
      </c>
      <c r="AK6667">
        <v>14.6719640907995</v>
      </c>
      <c r="AL6667">
        <v>86.584095481977698</v>
      </c>
      <c r="AM6667">
        <v>71.705507374789804</v>
      </c>
      <c r="AN6667">
        <v>1.0000000185714599</v>
      </c>
    </row>
    <row r="6668" spans="1:40" x14ac:dyDescent="0.25">
      <c r="A6668" t="str">
        <f>"20190312150822907"</f>
        <v>20190312150822907</v>
      </c>
      <c r="B6668" t="str">
        <f>"1552374502896847"</f>
        <v>1552374502896847</v>
      </c>
      <c r="C6668" t="s">
        <v>40</v>
      </c>
      <c r="D6668">
        <v>4.4455229999999997</v>
      </c>
      <c r="E6668">
        <v>0.5922847</v>
      </c>
      <c r="F6668" t="s">
        <v>42</v>
      </c>
      <c r="G6668">
        <v>-218.4736</v>
      </c>
      <c r="H6668" s="1">
        <v>-8.3094330000000001E-7</v>
      </c>
      <c r="I6668">
        <v>140.10079999999999</v>
      </c>
      <c r="J6668">
        <v>-203.6704</v>
      </c>
      <c r="K6668">
        <v>1.106279</v>
      </c>
      <c r="L6668">
        <v>139.9453</v>
      </c>
      <c r="M6668">
        <v>-0.85234219999999905</v>
      </c>
      <c r="N6668">
        <v>0</v>
      </c>
      <c r="O6668">
        <v>-0.52283900000000005</v>
      </c>
      <c r="P6668">
        <v>-0.97140289999999996</v>
      </c>
      <c r="Q6668">
        <v>5.0974819999999997E-2</v>
      </c>
      <c r="R6668">
        <v>-0.23190079999999999</v>
      </c>
      <c r="S6668">
        <v>-3.1103519999999998</v>
      </c>
      <c r="T6668">
        <v>-0.22883429999999999</v>
      </c>
      <c r="U6668">
        <v>5.7067869999999996E-3</v>
      </c>
      <c r="V6668">
        <v>0.31090640000000003</v>
      </c>
      <c r="W6668">
        <v>5.9348320000000003E-2</v>
      </c>
      <c r="X6668">
        <v>0.94858580000000003</v>
      </c>
      <c r="Y6668">
        <v>0.52173069999999999</v>
      </c>
      <c r="Z6668">
        <v>5.6055830000000001E-2</v>
      </c>
      <c r="AA6668">
        <v>0.85126659999999899</v>
      </c>
      <c r="AB6668">
        <v>18</v>
      </c>
      <c r="AC6668">
        <v>-14.8032</v>
      </c>
      <c r="AD6668">
        <v>-1.1062798309433</v>
      </c>
      <c r="AE6668">
        <v>0.15549999999998901</v>
      </c>
      <c r="AF6668">
        <v>7.8291081599296799</v>
      </c>
      <c r="AG6668">
        <v>-1.1062798309433</v>
      </c>
      <c r="AH6668">
        <v>12.4674222435542</v>
      </c>
      <c r="AI6668">
        <v>94.2974524670108</v>
      </c>
      <c r="AJ6668">
        <v>57.872606180211399</v>
      </c>
      <c r="AK6668">
        <v>14.763312874937601</v>
      </c>
      <c r="AL6668">
        <v>86.597592461697303</v>
      </c>
      <c r="AM6668">
        <v>71.853039261028101</v>
      </c>
      <c r="AN6668">
        <v>1.00000001630471</v>
      </c>
    </row>
    <row r="6669" spans="1:40" x14ac:dyDescent="0.25">
      <c r="A6669" t="str">
        <f>"20190312150822930"</f>
        <v>20190312150822930</v>
      </c>
      <c r="B6669" t="str">
        <f>"1552374502926127"</f>
        <v>1552374502926127</v>
      </c>
      <c r="C6669" t="s">
        <v>40</v>
      </c>
      <c r="D6669">
        <v>4.4842399999999998</v>
      </c>
      <c r="E6669">
        <v>0.59134580000000003</v>
      </c>
      <c r="F6669" t="s">
        <v>42</v>
      </c>
      <c r="G6669">
        <v>-218.68039999999999</v>
      </c>
      <c r="H6669" s="1">
        <v>-7.3722399999999898E-7</v>
      </c>
      <c r="I6669">
        <v>140.11609999999999</v>
      </c>
      <c r="J6669">
        <v>-203.8329</v>
      </c>
      <c r="K6669">
        <v>1.106255</v>
      </c>
      <c r="L6669">
        <v>139.85890000000001</v>
      </c>
      <c r="M6669">
        <v>-0.857288099999999</v>
      </c>
      <c r="N6669">
        <v>0</v>
      </c>
      <c r="O6669">
        <v>-0.51468910000000001</v>
      </c>
      <c r="P6669">
        <v>-0.97339489999999995</v>
      </c>
      <c r="Q6669">
        <v>5.0932129999999999E-2</v>
      </c>
      <c r="R6669">
        <v>-0.2234014</v>
      </c>
      <c r="S6669">
        <v>-3.1087950000000002</v>
      </c>
      <c r="T6669">
        <v>-0.22912650000000001</v>
      </c>
      <c r="U6669">
        <v>3.5385130000000001E-2</v>
      </c>
      <c r="V6669">
        <v>0.31015710000000002</v>
      </c>
      <c r="W6669">
        <v>5.9306440000000002E-2</v>
      </c>
      <c r="X6669">
        <v>0.94883360000000005</v>
      </c>
      <c r="Y6669">
        <v>0.52174540000000003</v>
      </c>
      <c r="Z6669">
        <v>5.5655580000000003E-2</v>
      </c>
      <c r="AA6669">
        <v>0.85128389999999998</v>
      </c>
      <c r="AB6669">
        <v>18</v>
      </c>
      <c r="AC6669">
        <v>-14.847499999999901</v>
      </c>
      <c r="AD6669">
        <v>-1.1062557372240001</v>
      </c>
      <c r="AE6669">
        <v>0.257199999999983</v>
      </c>
      <c r="AF6669">
        <v>7.8195429005035297</v>
      </c>
      <c r="AG6669">
        <v>-1.1062557372240001</v>
      </c>
      <c r="AH6669">
        <v>12.527640603312401</v>
      </c>
      <c r="AI6669">
        <v>94.284033573124702</v>
      </c>
      <c r="AJ6669">
        <v>58.028282168779803</v>
      </c>
      <c r="AK6669">
        <v>14.8091469036781</v>
      </c>
      <c r="AL6669">
        <v>86.5999959849254</v>
      </c>
      <c r="AM6669">
        <v>71.898337348430005</v>
      </c>
      <c r="AN6669">
        <v>0.99999994049742003</v>
      </c>
    </row>
    <row r="6670" spans="1:40" x14ac:dyDescent="0.25">
      <c r="A6670" t="str">
        <f>"20190312150822953"</f>
        <v>20190312150822953</v>
      </c>
      <c r="B6670" t="str">
        <f>"1552374502946623"</f>
        <v>1552374502946623</v>
      </c>
      <c r="C6670" t="s">
        <v>40</v>
      </c>
      <c r="D6670">
        <v>4.458272</v>
      </c>
      <c r="E6670">
        <v>0.59059659999999903</v>
      </c>
      <c r="F6670" t="s">
        <v>42</v>
      </c>
      <c r="G6670">
        <v>-218.69450000000001</v>
      </c>
      <c r="H6670" s="1">
        <v>-7.3234470000000001E-7</v>
      </c>
      <c r="I6670">
        <v>140.12280000000001</v>
      </c>
      <c r="J6670">
        <v>-203.9956</v>
      </c>
      <c r="K6670">
        <v>1.1062379999999901</v>
      </c>
      <c r="L6670">
        <v>139.77459999999999</v>
      </c>
      <c r="M6670">
        <v>-0.8621472</v>
      </c>
      <c r="N6670">
        <v>0</v>
      </c>
      <c r="O6670">
        <v>-0.5065075</v>
      </c>
      <c r="P6670">
        <v>-0.97545059999999995</v>
      </c>
      <c r="Q6670">
        <v>5.1037329999999999E-2</v>
      </c>
      <c r="R6670">
        <v>-0.21422330000000001</v>
      </c>
      <c r="S6670">
        <v>-3.106735</v>
      </c>
      <c r="T6670">
        <v>-0.23125680000000001</v>
      </c>
      <c r="U6670">
        <v>5.5160519999999998E-2</v>
      </c>
      <c r="V6670">
        <v>0.3100657</v>
      </c>
      <c r="W6670">
        <v>5.9403070000000002E-2</v>
      </c>
      <c r="X6670">
        <v>0.94885750000000002</v>
      </c>
      <c r="Y6670">
        <v>0.51903359999999998</v>
      </c>
      <c r="Z6670">
        <v>5.55878E-2</v>
      </c>
      <c r="AA6670">
        <v>0.85294439999999905</v>
      </c>
      <c r="AB6670">
        <v>18</v>
      </c>
      <c r="AC6670">
        <v>-14.6989</v>
      </c>
      <c r="AD6670">
        <v>-1.1062387323446901</v>
      </c>
      <c r="AE6670">
        <v>0.34820000000001899</v>
      </c>
      <c r="AF6670">
        <v>7.7022910519878298</v>
      </c>
      <c r="AG6670">
        <v>-1.1062387323446901</v>
      </c>
      <c r="AH6670">
        <v>12.4268546197197</v>
      </c>
      <c r="AI6670">
        <v>94.327027379943701</v>
      </c>
      <c r="AJ6670">
        <v>58.208943693783198</v>
      </c>
      <c r="AK6670">
        <v>14.662051947872801</v>
      </c>
      <c r="AL6670">
        <v>86.594449949237898</v>
      </c>
      <c r="AM6670">
        <v>71.903750021349097</v>
      </c>
      <c r="AN6670">
        <v>1.0000000091740799</v>
      </c>
    </row>
    <row r="6671" spans="1:40" x14ac:dyDescent="0.25">
      <c r="A6671" t="str">
        <f>"20190312150822974"</f>
        <v>20190312150822974</v>
      </c>
      <c r="B6671" t="str">
        <f>"1552374502966146"</f>
        <v>1552374502966146</v>
      </c>
      <c r="C6671" t="s">
        <v>40</v>
      </c>
      <c r="D6671">
        <v>4.4622320000000002</v>
      </c>
      <c r="E6671">
        <v>0.58987749999999906</v>
      </c>
      <c r="F6671" t="s">
        <v>42</v>
      </c>
      <c r="G6671">
        <v>-218.61160000000001</v>
      </c>
      <c r="H6671" s="1">
        <v>-7.7661699999999899E-7</v>
      </c>
      <c r="I6671">
        <v>140.14179999999999</v>
      </c>
      <c r="J6671">
        <v>-204.15280000000001</v>
      </c>
      <c r="K6671">
        <v>1.1062179999999999</v>
      </c>
      <c r="L6671">
        <v>139.69479999999999</v>
      </c>
      <c r="M6671">
        <v>-0.8667629</v>
      </c>
      <c r="N6671">
        <v>0</v>
      </c>
      <c r="O6671">
        <v>-0.49856780000000001</v>
      </c>
      <c r="P6671">
        <v>-0.97737149999999995</v>
      </c>
      <c r="Q6671">
        <v>5.1521570000000003E-2</v>
      </c>
      <c r="R6671">
        <v>-0.2051607</v>
      </c>
      <c r="S6671">
        <v>-3.1049190000000002</v>
      </c>
      <c r="T6671">
        <v>-0.2350014</v>
      </c>
      <c r="U6671">
        <v>7.8018190000000001E-2</v>
      </c>
      <c r="V6671">
        <v>0.31015280000000001</v>
      </c>
      <c r="W6671">
        <v>5.987667E-2</v>
      </c>
      <c r="X6671">
        <v>0.94879930000000001</v>
      </c>
      <c r="Y6671">
        <v>0.51741110000000001</v>
      </c>
      <c r="Z6671">
        <v>5.5940749999999997E-2</v>
      </c>
      <c r="AA6671">
        <v>0.85390650000000001</v>
      </c>
      <c r="AB6671">
        <v>18</v>
      </c>
      <c r="AC6671">
        <v>-14.458799999999901</v>
      </c>
      <c r="AD6671">
        <v>-1.106218776617</v>
      </c>
      <c r="AE6671">
        <v>0.44700000000000201</v>
      </c>
      <c r="AF6671">
        <v>7.5525465315967599</v>
      </c>
      <c r="AG6671">
        <v>-1.106218776617</v>
      </c>
      <c r="AH6671">
        <v>12.2388565599059</v>
      </c>
      <c r="AI6671">
        <v>94.398473470757196</v>
      </c>
      <c r="AJ6671">
        <v>58.3214403742885</v>
      </c>
      <c r="AK6671">
        <v>14.4240871110661</v>
      </c>
      <c r="AL6671">
        <v>86.567266397350593</v>
      </c>
      <c r="AM6671">
        <v>71.897960240352006</v>
      </c>
      <c r="AN6671">
        <v>1.0000000433192999</v>
      </c>
    </row>
    <row r="6672" spans="1:40" x14ac:dyDescent="0.25">
      <c r="A6672" t="str">
        <f>"20190312150822997"</f>
        <v>20190312150822997</v>
      </c>
      <c r="B6672" t="str">
        <f>"1552374502986639"</f>
        <v>1552374502986639</v>
      </c>
      <c r="C6672" t="s">
        <v>40</v>
      </c>
      <c r="D6672">
        <v>4.4451150000000004</v>
      </c>
      <c r="E6672">
        <v>0.58953929999999999</v>
      </c>
      <c r="F6672" t="s">
        <v>42</v>
      </c>
      <c r="G6672">
        <v>-218.69659999999999</v>
      </c>
      <c r="H6672" s="1">
        <v>-7.4302960000000003E-7</v>
      </c>
      <c r="I6672">
        <v>140.16669999999999</v>
      </c>
      <c r="J6672">
        <v>-204.31379999999999</v>
      </c>
      <c r="K6672">
        <v>1.106196</v>
      </c>
      <c r="L6672">
        <v>139.61510000000001</v>
      </c>
      <c r="M6672">
        <v>-0.87140629999999997</v>
      </c>
      <c r="N6672">
        <v>0</v>
      </c>
      <c r="O6672">
        <v>-0.49040650000000002</v>
      </c>
      <c r="P6672">
        <v>-0.97914820000000002</v>
      </c>
      <c r="Q6672">
        <v>5.1347209999999997E-2</v>
      </c>
      <c r="R6672">
        <v>-0.19655149999999999</v>
      </c>
      <c r="S6672">
        <v>-3.103043</v>
      </c>
      <c r="T6672">
        <v>-0.23602020000000001</v>
      </c>
      <c r="U6672">
        <v>0.1006775</v>
      </c>
      <c r="V6672">
        <v>0.30959759999999997</v>
      </c>
      <c r="W6672">
        <v>5.970342E-2</v>
      </c>
      <c r="X6672">
        <v>0.94899149999999999</v>
      </c>
      <c r="Y6672">
        <v>0.51562859999999999</v>
      </c>
      <c r="Z6672">
        <v>5.5609640000000002E-2</v>
      </c>
      <c r="AA6672">
        <v>0.85500560000000003</v>
      </c>
      <c r="AB6672">
        <v>18</v>
      </c>
      <c r="AC6672">
        <v>-14.3828</v>
      </c>
      <c r="AD6672">
        <v>-1.1061967430296</v>
      </c>
      <c r="AE6672">
        <v>0.551599999999979</v>
      </c>
      <c r="AF6672">
        <v>7.4904178513132598</v>
      </c>
      <c r="AG6672">
        <v>-1.1061967430296</v>
      </c>
      <c r="AH6672">
        <v>12.191677904977899</v>
      </c>
      <c r="AI6672">
        <v>94.420660002653705</v>
      </c>
      <c r="AJ6672">
        <v>58.433942798149502</v>
      </c>
      <c r="AK6672">
        <v>14.3515518659233</v>
      </c>
      <c r="AL6672">
        <v>86.577210600292602</v>
      </c>
      <c r="AM6672">
        <v>71.931678147610498</v>
      </c>
      <c r="AN6672">
        <v>1.0000000196788501</v>
      </c>
    </row>
    <row r="6673" spans="1:40" x14ac:dyDescent="0.25">
      <c r="A6673" t="str">
        <f>"20190312150823018"</f>
        <v>20190312150823018</v>
      </c>
      <c r="B6673" t="str">
        <f>"1552374503016896"</f>
        <v>1552374503016896</v>
      </c>
      <c r="C6673" t="s">
        <v>40</v>
      </c>
      <c r="D6673">
        <v>4.4838180000000003</v>
      </c>
      <c r="E6673">
        <v>0.57601579999999997</v>
      </c>
      <c r="F6673" t="s">
        <v>42</v>
      </c>
      <c r="G6673">
        <v>-218.78630000000001</v>
      </c>
      <c r="H6673" s="1">
        <v>-7.0913369999999997E-7</v>
      </c>
      <c r="I6673">
        <v>140.1987</v>
      </c>
      <c r="J6673">
        <v>-204.46889999999999</v>
      </c>
      <c r="K6673">
        <v>1.1061810000000001</v>
      </c>
      <c r="L6673">
        <v>139.5401</v>
      </c>
      <c r="M6673">
        <v>-0.87580199999999997</v>
      </c>
      <c r="N6673">
        <v>0</v>
      </c>
      <c r="O6673">
        <v>-0.48251250000000001</v>
      </c>
      <c r="P6673">
        <v>-0.98081759999999996</v>
      </c>
      <c r="Q6673">
        <v>5.0819389999999999E-2</v>
      </c>
      <c r="R6673">
        <v>-0.18818699999999999</v>
      </c>
      <c r="S6673">
        <v>-3.1014400000000002</v>
      </c>
      <c r="T6673">
        <v>-0.2370554</v>
      </c>
      <c r="U6673">
        <v>0.12506099999999901</v>
      </c>
      <c r="V6673">
        <v>0.30913170000000001</v>
      </c>
      <c r="W6673">
        <v>5.9176970000000002E-2</v>
      </c>
      <c r="X6673">
        <v>0.94917629999999997</v>
      </c>
      <c r="Y6673">
        <v>0.51462189999999997</v>
      </c>
      <c r="Z6673">
        <v>5.531498E-2</v>
      </c>
      <c r="AA6673">
        <v>0.85563109999999998</v>
      </c>
      <c r="AB6673">
        <v>18</v>
      </c>
      <c r="AC6673">
        <v>-14.317399999999999</v>
      </c>
      <c r="AD6673">
        <v>-1.1061817091336901</v>
      </c>
      <c r="AE6673">
        <v>0.65860000000000696</v>
      </c>
      <c r="AF6673">
        <v>7.4413725200410097</v>
      </c>
      <c r="AG6673">
        <v>-1.1061817091336901</v>
      </c>
      <c r="AH6673">
        <v>12.1499831268482</v>
      </c>
      <c r="AI6673">
        <v>94.439508451414795</v>
      </c>
      <c r="AJ6673">
        <v>58.514218338537901</v>
      </c>
      <c r="AK6673">
        <v>14.2905476780402</v>
      </c>
      <c r="AL6673">
        <v>86.6074272729943</v>
      </c>
      <c r="AM6673">
        <v>71.960390171570793</v>
      </c>
      <c r="AN6673">
        <v>0.99999998510248</v>
      </c>
    </row>
    <row r="6674" spans="1:40" x14ac:dyDescent="0.25">
      <c r="A6674" t="str">
        <f>"20190312150823041"</f>
        <v>20190312150823041</v>
      </c>
      <c r="B6674" t="str">
        <f>"1552374503036415"</f>
        <v>1552374503036415</v>
      </c>
      <c r="C6674" t="s">
        <v>40</v>
      </c>
      <c r="D6674">
        <v>4.486402</v>
      </c>
      <c r="E6674">
        <v>0.57444059999999997</v>
      </c>
      <c r="F6674" t="s">
        <v>42</v>
      </c>
      <c r="G6674">
        <v>-217.9323</v>
      </c>
      <c r="H6674" s="1">
        <v>-9.9080180000000008E-7</v>
      </c>
      <c r="I6674">
        <v>139.74010000000001</v>
      </c>
      <c r="J6674">
        <v>-204.6285</v>
      </c>
      <c r="K6674">
        <v>1.106171</v>
      </c>
      <c r="L6674">
        <v>139.46469999999999</v>
      </c>
      <c r="M6674">
        <v>-0.88023879999999999</v>
      </c>
      <c r="N6674">
        <v>0</v>
      </c>
      <c r="O6674">
        <v>-0.47437040000000003</v>
      </c>
      <c r="P6674">
        <v>-0.98246290000000003</v>
      </c>
      <c r="Q6674">
        <v>5.0176560000000002E-2</v>
      </c>
      <c r="R6674">
        <v>-0.17958160000000001</v>
      </c>
      <c r="S6674">
        <v>-3.0805660000000001</v>
      </c>
      <c r="T6674">
        <v>-0.25310660000000001</v>
      </c>
      <c r="U6674">
        <v>4.5761110000000001E-2</v>
      </c>
      <c r="V6674">
        <v>0.30866110000000002</v>
      </c>
      <c r="W6674">
        <v>5.8537680000000002E-2</v>
      </c>
      <c r="X6674">
        <v>0.94936909999999997</v>
      </c>
      <c r="Y6674">
        <v>0.484296</v>
      </c>
      <c r="Z6674">
        <v>5.7565289999999998E-2</v>
      </c>
      <c r="AA6674">
        <v>0.87300840000000002</v>
      </c>
      <c r="AB6674">
        <v>18</v>
      </c>
      <c r="AC6674">
        <v>-13.303799999999899</v>
      </c>
      <c r="AD6674">
        <v>-1.1061719908018</v>
      </c>
      <c r="AE6674">
        <v>0.27540000000001802</v>
      </c>
      <c r="AF6674">
        <v>6.5088666912314901</v>
      </c>
      <c r="AG6674">
        <v>-1.1061719908018</v>
      </c>
      <c r="AH6674">
        <v>11.5012823905635</v>
      </c>
      <c r="AI6674">
        <v>94.784716455535602</v>
      </c>
      <c r="AJ6674">
        <v>60.493380567881303</v>
      </c>
      <c r="AK6674">
        <v>13.261540585653799</v>
      </c>
      <c r="AL6674">
        <v>86.644119590656203</v>
      </c>
      <c r="AM6674">
        <v>71.9894988906604</v>
      </c>
      <c r="AN6674">
        <v>1.0000000113339</v>
      </c>
    </row>
    <row r="6675" spans="1:40" x14ac:dyDescent="0.25">
      <c r="A6675" t="str">
        <f>"20190312150823063"</f>
        <v>20190312150823063</v>
      </c>
      <c r="B6675" t="str">
        <f>"1552374503056911"</f>
        <v>1552374503056911</v>
      </c>
      <c r="C6675" t="s">
        <v>40</v>
      </c>
      <c r="D6675">
        <v>4.4945180000000002</v>
      </c>
      <c r="E6675">
        <v>0.57374419999999904</v>
      </c>
      <c r="F6675" t="s">
        <v>42</v>
      </c>
      <c r="G6675">
        <v>-217.7774</v>
      </c>
      <c r="H6675" s="1">
        <v>-1.059516E-6</v>
      </c>
      <c r="I6675">
        <v>139.72309999999999</v>
      </c>
      <c r="J6675">
        <v>-204.79580000000001</v>
      </c>
      <c r="K6675">
        <v>1.106155</v>
      </c>
      <c r="L6675">
        <v>139.38749999999999</v>
      </c>
      <c r="M6675">
        <v>-0.88480230000000004</v>
      </c>
      <c r="N6675">
        <v>0</v>
      </c>
      <c r="O6675">
        <v>-0.4658023</v>
      </c>
      <c r="P6675">
        <v>-0.98400569999999998</v>
      </c>
      <c r="Q6675">
        <v>5.0068990000000001E-2</v>
      </c>
      <c r="R6675">
        <v>-0.1709551</v>
      </c>
      <c r="S6675">
        <v>-3.07782</v>
      </c>
      <c r="T6675">
        <v>-0.25892559999999998</v>
      </c>
      <c r="U6675">
        <v>6.0485839999999999E-2</v>
      </c>
      <c r="V6675">
        <v>0.30777559999999998</v>
      </c>
      <c r="W6675">
        <v>5.8439150000000002E-2</v>
      </c>
      <c r="X6675">
        <v>0.94966260000000002</v>
      </c>
      <c r="Y6675">
        <v>0.47988789999999998</v>
      </c>
      <c r="Z6675">
        <v>5.8112450000000003E-2</v>
      </c>
      <c r="AA6675">
        <v>0.87540300000000004</v>
      </c>
      <c r="AB6675">
        <v>18</v>
      </c>
      <c r="AC6675">
        <v>-12.981599999999901</v>
      </c>
      <c r="AD6675">
        <v>-1.106156059516</v>
      </c>
      <c r="AE6675">
        <v>0.33559999999999901</v>
      </c>
      <c r="AF6675">
        <v>6.2985831315338698</v>
      </c>
      <c r="AG6675">
        <v>-1.106156059516</v>
      </c>
      <c r="AH6675">
        <v>11.249072534329001</v>
      </c>
      <c r="AI6675">
        <v>94.903918210918206</v>
      </c>
      <c r="AJ6675">
        <v>60.754653717968303</v>
      </c>
      <c r="AK6675">
        <v>12.939759023082299</v>
      </c>
      <c r="AL6675">
        <v>86.649774600154402</v>
      </c>
      <c r="AM6675">
        <v>72.043039227878396</v>
      </c>
      <c r="AN6675">
        <v>1.00000000402342</v>
      </c>
    </row>
    <row r="6676" spans="1:40" x14ac:dyDescent="0.25">
      <c r="A6676" t="str">
        <f>"20190312150823086"</f>
        <v>20190312150823086</v>
      </c>
      <c r="B6676" t="str">
        <f>"1552374503076434"</f>
        <v>1552374503076434</v>
      </c>
      <c r="C6676" t="s">
        <v>40</v>
      </c>
      <c r="D6676">
        <v>4.4271219999999998</v>
      </c>
      <c r="E6676">
        <v>0.57313950000000002</v>
      </c>
      <c r="F6676" t="s">
        <v>42</v>
      </c>
      <c r="G6676">
        <v>-217.87889999999999</v>
      </c>
      <c r="H6676" s="1">
        <v>-1.0150199999999999E-6</v>
      </c>
      <c r="I6676">
        <v>139.7362</v>
      </c>
      <c r="J6676">
        <v>-204.9615</v>
      </c>
      <c r="K6676">
        <v>1.1061449999999999</v>
      </c>
      <c r="L6676">
        <v>139.31319999999999</v>
      </c>
      <c r="M6676">
        <v>-0.88923129999999995</v>
      </c>
      <c r="N6676">
        <v>0</v>
      </c>
      <c r="O6676">
        <v>-0.45729039999999999</v>
      </c>
      <c r="P6676">
        <v>-0.98539219999999905</v>
      </c>
      <c r="Q6676">
        <v>5.0025380000000001E-2</v>
      </c>
      <c r="R6676">
        <v>-0.16278709999999999</v>
      </c>
      <c r="S6676">
        <v>-3.0762179999999999</v>
      </c>
      <c r="T6676">
        <v>-0.2600884</v>
      </c>
      <c r="U6676">
        <v>8.1985470000000005E-2</v>
      </c>
      <c r="V6676">
        <v>0.30654130000000002</v>
      </c>
      <c r="W6676">
        <v>5.8409170000000003E-2</v>
      </c>
      <c r="X6676">
        <v>0.95006360000000001</v>
      </c>
      <c r="Y6676">
        <v>0.47760799999999998</v>
      </c>
      <c r="Z6676">
        <v>5.7667429999999999E-2</v>
      </c>
      <c r="AA6676">
        <v>0.87667850000000003</v>
      </c>
      <c r="AB6676">
        <v>18</v>
      </c>
      <c r="AC6676">
        <v>-12.917399999999899</v>
      </c>
      <c r="AD6676">
        <v>-1.10614601502</v>
      </c>
      <c r="AE6676">
        <v>0.42300000000000099</v>
      </c>
      <c r="AF6676">
        <v>6.2379360990346404</v>
      </c>
      <c r="AG6676">
        <v>-1.10614601502</v>
      </c>
      <c r="AH6676">
        <v>11.211860441452201</v>
      </c>
      <c r="AI6676">
        <v>94.927473864666297</v>
      </c>
      <c r="AJ6676">
        <v>60.909775840719597</v>
      </c>
      <c r="AK6676">
        <v>12.877935406763999</v>
      </c>
      <c r="AL6676">
        <v>86.651495326686799</v>
      </c>
      <c r="AM6676">
        <v>72.117525137814496</v>
      </c>
      <c r="AN6676">
        <v>1.00000002189536</v>
      </c>
    </row>
    <row r="6677" spans="1:40" x14ac:dyDescent="0.25">
      <c r="A6677" t="str">
        <f>"20190312150823108"</f>
        <v>20190312150823108</v>
      </c>
      <c r="B6677" t="str">
        <f>"1552374503096930"</f>
        <v>1552374503096930</v>
      </c>
      <c r="C6677" t="s">
        <v>40</v>
      </c>
      <c r="D6677">
        <v>4.4240659999999998</v>
      </c>
      <c r="E6677">
        <v>0.5649613</v>
      </c>
      <c r="F6677" t="s">
        <v>42</v>
      </c>
      <c r="G6677">
        <v>-217.9804</v>
      </c>
      <c r="H6677" s="1">
        <v>-9.7029820000000009E-7</v>
      </c>
      <c r="I6677">
        <v>139.7484</v>
      </c>
      <c r="J6677">
        <v>-205.1216</v>
      </c>
      <c r="K6677">
        <v>1.1061350000000001</v>
      </c>
      <c r="L6677">
        <v>139.2433</v>
      </c>
      <c r="M6677">
        <v>-0.89342409999999906</v>
      </c>
      <c r="N6677">
        <v>0</v>
      </c>
      <c r="O6677">
        <v>-0.4490441</v>
      </c>
      <c r="P6677">
        <v>-0.98671699999999996</v>
      </c>
      <c r="Q6677">
        <v>4.9819540000000002E-2</v>
      </c>
      <c r="R6677">
        <v>-0.15462329999999999</v>
      </c>
      <c r="S6677">
        <v>-3.074738</v>
      </c>
      <c r="T6677">
        <v>-0.26124360000000002</v>
      </c>
      <c r="U6677">
        <v>0.10278320000000001</v>
      </c>
      <c r="V6677">
        <v>0.30562109999999998</v>
      </c>
      <c r="W6677">
        <v>5.8213040000000001E-2</v>
      </c>
      <c r="X6677">
        <v>0.95037199999999999</v>
      </c>
      <c r="Y6677">
        <v>0.47543020000000003</v>
      </c>
      <c r="Z6677">
        <v>5.72306E-2</v>
      </c>
      <c r="AA6677">
        <v>0.87788999999999995</v>
      </c>
      <c r="AB6677">
        <v>18</v>
      </c>
      <c r="AC6677">
        <v>-12.8588</v>
      </c>
      <c r="AD6677">
        <v>-1.1061359702981901</v>
      </c>
      <c r="AE6677">
        <v>0.505099999999998</v>
      </c>
      <c r="AF6677">
        <v>6.1802506216391704</v>
      </c>
      <c r="AG6677">
        <v>-1.1061359702981901</v>
      </c>
      <c r="AH6677">
        <v>11.179809797968</v>
      </c>
      <c r="AI6677">
        <v>94.948925425507596</v>
      </c>
      <c r="AJ6677">
        <v>61.065979274051003</v>
      </c>
      <c r="AK6677">
        <v>12.822136391795199</v>
      </c>
      <c r="AL6677">
        <v>86.662751749832594</v>
      </c>
      <c r="AM6677">
        <v>72.1732218674872</v>
      </c>
      <c r="AN6677">
        <v>0.99999997658762496</v>
      </c>
    </row>
    <row r="6678" spans="1:40" x14ac:dyDescent="0.25">
      <c r="A6678" t="str">
        <f>"20190312150823132"</f>
        <v>20190312150823132</v>
      </c>
      <c r="B6678" t="str">
        <f>"1552374503126207"</f>
        <v>1552374503126207</v>
      </c>
      <c r="C6678" t="s">
        <v>40</v>
      </c>
      <c r="D6678">
        <v>4.4482470000000003</v>
      </c>
      <c r="E6678">
        <v>0.5631931</v>
      </c>
      <c r="F6678" t="s">
        <v>42</v>
      </c>
      <c r="G6678">
        <v>-217.0197</v>
      </c>
      <c r="H6678" s="1">
        <v>-1.411009E-6</v>
      </c>
      <c r="I6678">
        <v>139.49369999999999</v>
      </c>
      <c r="J6678">
        <v>-205.2927</v>
      </c>
      <c r="K6678">
        <v>1.1061209999999999</v>
      </c>
      <c r="L6678">
        <v>139.1705</v>
      </c>
      <c r="M6678">
        <v>-0.897813999999999</v>
      </c>
      <c r="N6678">
        <v>0</v>
      </c>
      <c r="O6678">
        <v>-0.4402007</v>
      </c>
      <c r="P6678">
        <v>-0.98799179999999998</v>
      </c>
      <c r="Q6678">
        <v>5.0096670000000003E-2</v>
      </c>
      <c r="R6678">
        <v>-0.1461587</v>
      </c>
      <c r="S6678">
        <v>-3.06488</v>
      </c>
      <c r="T6678">
        <v>-0.28493210000000002</v>
      </c>
      <c r="U6678">
        <v>6.4498899999999998E-2</v>
      </c>
      <c r="V6678">
        <v>0.30438209999999999</v>
      </c>
      <c r="W6678">
        <v>5.8503890000000003E-2</v>
      </c>
      <c r="X6678">
        <v>0.95075169999999998</v>
      </c>
      <c r="Y6678">
        <v>0.4552619</v>
      </c>
      <c r="Z6678">
        <v>6.0895249999999998E-2</v>
      </c>
      <c r="AA6678">
        <v>0.88827269999999903</v>
      </c>
      <c r="AB6678">
        <v>18</v>
      </c>
      <c r="AC6678">
        <v>-11.727</v>
      </c>
      <c r="AD6678">
        <v>-1.106122411009</v>
      </c>
      <c r="AE6678">
        <v>0.323199999999985</v>
      </c>
      <c r="AF6678">
        <v>5.4047766689844297</v>
      </c>
      <c r="AG6678">
        <v>-1.106122411009</v>
      </c>
      <c r="AH6678">
        <v>10.2956598278349</v>
      </c>
      <c r="AI6678">
        <v>95.433917128327593</v>
      </c>
      <c r="AJ6678">
        <v>62.302467452042201</v>
      </c>
      <c r="AK6678">
        <v>11.6805705734021</v>
      </c>
      <c r="AL6678">
        <v>86.646058838519295</v>
      </c>
      <c r="AM6678">
        <v>72.247590426576593</v>
      </c>
      <c r="AN6678">
        <v>0.99999998149921498</v>
      </c>
    </row>
    <row r="6679" spans="1:40" x14ac:dyDescent="0.25">
      <c r="A6679" t="str">
        <f>"20190312150823156"</f>
        <v>20190312150823156</v>
      </c>
      <c r="B6679" t="str">
        <f>"1552374503146703"</f>
        <v>1552374503146703</v>
      </c>
      <c r="C6679" t="s">
        <v>40</v>
      </c>
      <c r="D6679">
        <v>4.4205350000000001</v>
      </c>
      <c r="E6679">
        <v>0.56242829999999999</v>
      </c>
      <c r="F6679" t="s">
        <v>42</v>
      </c>
      <c r="G6679">
        <v>-217.53970000000001</v>
      </c>
      <c r="H6679" s="1">
        <v>-1.168334E-6</v>
      </c>
      <c r="I6679">
        <v>139.47620000000001</v>
      </c>
      <c r="J6679">
        <v>-205.4727</v>
      </c>
      <c r="K6679">
        <v>1.1061099999999999</v>
      </c>
      <c r="L6679">
        <v>139.09610000000001</v>
      </c>
      <c r="M6679">
        <v>-0.90232409999999996</v>
      </c>
      <c r="N6679">
        <v>0</v>
      </c>
      <c r="O6679">
        <v>-0.43088080000000001</v>
      </c>
      <c r="P6679">
        <v>-0.98928550000000004</v>
      </c>
      <c r="Q6679">
        <v>4.9680580000000002E-2</v>
      </c>
      <c r="R6679">
        <v>-0.137283399999999</v>
      </c>
      <c r="S6679">
        <v>-3.0617519999999998</v>
      </c>
      <c r="T6679">
        <v>-0.27653129999999998</v>
      </c>
      <c r="U6679">
        <v>7.6416020000000001E-2</v>
      </c>
      <c r="V6679">
        <v>0.30307779999999901</v>
      </c>
      <c r="W6679">
        <v>5.8104030000000001E-2</v>
      </c>
      <c r="X6679">
        <v>0.95119290000000001</v>
      </c>
      <c r="Y6679">
        <v>0.44979259999999899</v>
      </c>
      <c r="Z6679">
        <v>5.815592E-2</v>
      </c>
      <c r="AA6679">
        <v>0.89123770000000002</v>
      </c>
      <c r="AB6679">
        <v>18</v>
      </c>
      <c r="AC6679">
        <v>-12.067</v>
      </c>
      <c r="AD6679">
        <v>-1.1061111683339999</v>
      </c>
      <c r="AE6679">
        <v>0.380099999999998</v>
      </c>
      <c r="AF6679">
        <v>5.4966967266570901</v>
      </c>
      <c r="AG6679">
        <v>-1.1061111683339999</v>
      </c>
      <c r="AH6679">
        <v>10.636108061809299</v>
      </c>
      <c r="AI6679">
        <v>95.278443840950501</v>
      </c>
      <c r="AJ6679">
        <v>62.670265935973397</v>
      </c>
      <c r="AK6679">
        <v>12.023475018647501</v>
      </c>
      <c r="AL6679">
        <v>86.669008504545502</v>
      </c>
      <c r="AM6679">
        <v>72.326604004836895</v>
      </c>
      <c r="AN6679">
        <v>1.0000000820827399</v>
      </c>
    </row>
    <row r="6680" spans="1:40" x14ac:dyDescent="0.25">
      <c r="A6680" t="str">
        <f>"20190312150823175"</f>
        <v>20190312150823175</v>
      </c>
      <c r="B6680" t="str">
        <f>"1552374503166223"</f>
        <v>1552374503166223</v>
      </c>
      <c r="C6680" t="s">
        <v>40</v>
      </c>
      <c r="D6680">
        <v>4.4262220000000001</v>
      </c>
      <c r="E6680">
        <v>0.56217850000000003</v>
      </c>
      <c r="F6680" t="s">
        <v>42</v>
      </c>
      <c r="G6680">
        <v>-217.67230000000001</v>
      </c>
      <c r="H6680" s="1">
        <v>-1.103987E-6</v>
      </c>
      <c r="I6680">
        <v>139.48560000000001</v>
      </c>
      <c r="J6680">
        <v>-205.6275</v>
      </c>
      <c r="K6680">
        <v>1.1061000000000001</v>
      </c>
      <c r="L6680">
        <v>139.03380000000001</v>
      </c>
      <c r="M6680">
        <v>-0.90611960000000003</v>
      </c>
      <c r="N6680">
        <v>0</v>
      </c>
      <c r="O6680">
        <v>-0.42284050000000001</v>
      </c>
      <c r="P6680">
        <v>-0.99032900000000001</v>
      </c>
      <c r="Q6680">
        <v>4.9350949999999998E-2</v>
      </c>
      <c r="R6680">
        <v>-0.12966569999999999</v>
      </c>
      <c r="S6680">
        <v>-3.0599820000000002</v>
      </c>
      <c r="T6680">
        <v>-0.27744210000000002</v>
      </c>
      <c r="U6680">
        <v>9.7717289999999998E-2</v>
      </c>
      <c r="V6680">
        <v>0.30194399999999999</v>
      </c>
      <c r="W6680">
        <v>5.7788890000000002E-2</v>
      </c>
      <c r="X6680">
        <v>0.95157250000000004</v>
      </c>
      <c r="Y6680">
        <v>0.44808530000000002</v>
      </c>
      <c r="Z6680">
        <v>5.7640950000000003E-2</v>
      </c>
      <c r="AA6680">
        <v>0.8921306</v>
      </c>
      <c r="AB6680">
        <v>18</v>
      </c>
      <c r="AC6680">
        <v>-12.0448</v>
      </c>
      <c r="AD6680">
        <v>-1.1061011039869999</v>
      </c>
      <c r="AE6680">
        <v>0.45179999999999099</v>
      </c>
      <c r="AF6680">
        <v>5.4568814632088198</v>
      </c>
      <c r="AG6680">
        <v>-1.1061011039869999</v>
      </c>
      <c r="AH6680">
        <v>10.6342569856818</v>
      </c>
      <c r="AI6680">
        <v>95.287123043746206</v>
      </c>
      <c r="AJ6680">
        <v>62.835746205060502</v>
      </c>
      <c r="AK6680">
        <v>12.0036842924693</v>
      </c>
      <c r="AL6680">
        <v>86.687094743732104</v>
      </c>
      <c r="AM6680">
        <v>72.3952175428213</v>
      </c>
      <c r="AN6680">
        <v>0.99999997884984004</v>
      </c>
    </row>
    <row r="6681" spans="1:40" x14ac:dyDescent="0.25">
      <c r="A6681" t="str">
        <f>"20190312150823197"</f>
        <v>20190312150823197</v>
      </c>
      <c r="B6681" t="str">
        <f>"1552374503186719"</f>
        <v>1552374503186719</v>
      </c>
      <c r="C6681" t="s">
        <v>40</v>
      </c>
      <c r="D6681">
        <v>4.3859329999999996</v>
      </c>
      <c r="E6681">
        <v>0.56156909999999904</v>
      </c>
      <c r="F6681" t="s">
        <v>42</v>
      </c>
      <c r="G6681">
        <v>-217.83359999999999</v>
      </c>
      <c r="H6681" s="1">
        <v>-1.0239799999999999E-6</v>
      </c>
      <c r="I6681">
        <v>139.5067</v>
      </c>
      <c r="J6681">
        <v>-205.7876</v>
      </c>
      <c r="K6681">
        <v>1.106087</v>
      </c>
      <c r="L6681">
        <v>138.97110000000001</v>
      </c>
      <c r="M6681">
        <v>-0.90996359999999998</v>
      </c>
      <c r="N6681">
        <v>0</v>
      </c>
      <c r="O6681">
        <v>-0.41450290000000001</v>
      </c>
      <c r="P6681">
        <v>-0.99143250000000005</v>
      </c>
      <c r="Q6681">
        <v>4.7615289999999998E-2</v>
      </c>
      <c r="R6681">
        <v>-0.121631</v>
      </c>
      <c r="S6681">
        <v>-3.058624</v>
      </c>
      <c r="T6681">
        <v>-0.27716819999999998</v>
      </c>
      <c r="U6681">
        <v>0.118515</v>
      </c>
      <c r="V6681">
        <v>0.30093930000000002</v>
      </c>
      <c r="W6681">
        <v>5.6066489999999997E-2</v>
      </c>
      <c r="X6681">
        <v>0.9519938</v>
      </c>
      <c r="Y6681">
        <v>0.44600430000000002</v>
      </c>
      <c r="Z6681">
        <v>5.6824010000000001E-2</v>
      </c>
      <c r="AA6681">
        <v>0.89322509999999999</v>
      </c>
      <c r="AB6681">
        <v>18</v>
      </c>
      <c r="AC6681">
        <v>-12.0459999999999</v>
      </c>
      <c r="AD6681">
        <v>-1.1060880239799999</v>
      </c>
      <c r="AE6681">
        <v>0.53559999999998797</v>
      </c>
      <c r="AF6681">
        <v>5.4351643736352102</v>
      </c>
      <c r="AG6681">
        <v>-1.1060880239799999</v>
      </c>
      <c r="AH6681">
        <v>10.650617422234699</v>
      </c>
      <c r="AI6681">
        <v>95.285007175147001</v>
      </c>
      <c r="AJ6681">
        <v>62.964120714199801</v>
      </c>
      <c r="AK6681">
        <v>12.008334354107401</v>
      </c>
      <c r="AL6681">
        <v>86.785941551000306</v>
      </c>
      <c r="AM6681">
        <v>72.457485270823696</v>
      </c>
      <c r="AN6681">
        <v>1.0000000544119201</v>
      </c>
    </row>
    <row r="6682" spans="1:40" x14ac:dyDescent="0.25">
      <c r="A6682" t="str">
        <f>"20190312150823219"</f>
        <v>20190312150823219</v>
      </c>
      <c r="B6682" t="str">
        <f>"1552374503207215"</f>
        <v>1552374503207215</v>
      </c>
      <c r="C6682" t="s">
        <v>40</v>
      </c>
      <c r="D6682">
        <v>4.4211239999999998</v>
      </c>
      <c r="E6682">
        <v>0.560755</v>
      </c>
      <c r="F6682" t="s">
        <v>42</v>
      </c>
      <c r="G6682">
        <v>-217.90459999999999</v>
      </c>
      <c r="H6682" s="1">
        <v>-9.8841639999999992E-7</v>
      </c>
      <c r="I6682">
        <v>139.5179</v>
      </c>
      <c r="J6682">
        <v>-205.95009999999999</v>
      </c>
      <c r="K6682">
        <v>1.106074</v>
      </c>
      <c r="L6682">
        <v>138.9091</v>
      </c>
      <c r="M6682">
        <v>-0.91378239999999999</v>
      </c>
      <c r="N6682">
        <v>0</v>
      </c>
      <c r="O6682">
        <v>-0.40601490000000001</v>
      </c>
      <c r="P6682">
        <v>-0.99240030000000001</v>
      </c>
      <c r="Q6682">
        <v>4.6759540000000002E-2</v>
      </c>
      <c r="R6682">
        <v>-0.1138228</v>
      </c>
      <c r="S6682">
        <v>-3.056244</v>
      </c>
      <c r="T6682">
        <v>-0.27898469999999997</v>
      </c>
      <c r="U6682">
        <v>0.13793949999999999</v>
      </c>
      <c r="V6682">
        <v>0.2995796</v>
      </c>
      <c r="W6682">
        <v>5.5227610000000003E-2</v>
      </c>
      <c r="X6682">
        <v>0.95247150000000003</v>
      </c>
      <c r="Y6682">
        <v>0.44337199999999999</v>
      </c>
      <c r="Z6682">
        <v>5.6404799999999998E-2</v>
      </c>
      <c r="AA6682">
        <v>0.89456119999999995</v>
      </c>
      <c r="AB6682">
        <v>18</v>
      </c>
      <c r="AC6682">
        <v>-11.9544999999999</v>
      </c>
      <c r="AD6682">
        <v>-1.1060749884164001</v>
      </c>
      <c r="AE6682">
        <v>0.60880000000000201</v>
      </c>
      <c r="AF6682">
        <v>5.3646256165079897</v>
      </c>
      <c r="AG6682">
        <v>-1.1060749884164001</v>
      </c>
      <c r="AH6682">
        <v>10.587052515240901</v>
      </c>
      <c r="AI6682">
        <v>95.3241864968507</v>
      </c>
      <c r="AJ6682">
        <v>63.127951908853603</v>
      </c>
      <c r="AK6682">
        <v>11.9200793137363</v>
      </c>
      <c r="AL6682">
        <v>86.834080226524307</v>
      </c>
      <c r="AM6682">
        <v>72.540143180155198</v>
      </c>
      <c r="AN6682">
        <v>0.999999991977361</v>
      </c>
    </row>
    <row r="6683" spans="1:40" x14ac:dyDescent="0.25">
      <c r="A6683" t="str">
        <f>"20190312150823243"</f>
        <v>20190312150823243</v>
      </c>
      <c r="B6683" t="str">
        <f>"1552374503236495"</f>
        <v>1552374503236495</v>
      </c>
      <c r="C6683" t="s">
        <v>40</v>
      </c>
      <c r="D6683">
        <v>4.4026870000000002</v>
      </c>
      <c r="E6683">
        <v>0.56014960000000003</v>
      </c>
      <c r="F6683" t="s">
        <v>42</v>
      </c>
      <c r="G6683">
        <v>-217.9847</v>
      </c>
      <c r="H6683" s="1">
        <v>-9.4967920000000003E-7</v>
      </c>
      <c r="I6683">
        <v>139.5231</v>
      </c>
      <c r="J6683">
        <v>-206.12700000000001</v>
      </c>
      <c r="K6683">
        <v>1.1060559999999999</v>
      </c>
      <c r="L6683">
        <v>138.84360000000001</v>
      </c>
      <c r="M6683">
        <v>-0.91784259999999995</v>
      </c>
      <c r="N6683">
        <v>0</v>
      </c>
      <c r="O6683">
        <v>-0.39675129999999997</v>
      </c>
      <c r="P6683">
        <v>-0.99334199999999995</v>
      </c>
      <c r="Q6683">
        <v>4.6057969999999997E-2</v>
      </c>
      <c r="R6683">
        <v>-0.1055981</v>
      </c>
      <c r="S6683">
        <v>-3.0540769999999999</v>
      </c>
      <c r="T6683">
        <v>-0.28069499999999997</v>
      </c>
      <c r="U6683">
        <v>0.15580749999999999</v>
      </c>
      <c r="V6683">
        <v>0.29784070000000001</v>
      </c>
      <c r="W6683">
        <v>5.4548659999999999E-2</v>
      </c>
      <c r="X6683">
        <v>0.95305580000000001</v>
      </c>
      <c r="Y6683">
        <v>0.43957180000000001</v>
      </c>
      <c r="Z6683">
        <v>5.5824220000000001E-2</v>
      </c>
      <c r="AA6683">
        <v>0.89647099999999902</v>
      </c>
      <c r="AB6683">
        <v>18</v>
      </c>
      <c r="AC6683">
        <v>-11.8576999999999</v>
      </c>
      <c r="AD6683">
        <v>-1.1060569496792001</v>
      </c>
      <c r="AE6683">
        <v>0.67949999999999</v>
      </c>
      <c r="AF6683">
        <v>5.2828267401568798</v>
      </c>
      <c r="AG6683">
        <v>-1.1060569496792001</v>
      </c>
      <c r="AH6683">
        <v>10.523461927376401</v>
      </c>
      <c r="AI6683">
        <v>95.366181731685003</v>
      </c>
      <c r="AJ6683">
        <v>63.3431364893191</v>
      </c>
      <c r="AK6683">
        <v>11.8268707306451</v>
      </c>
      <c r="AL6683">
        <v>86.873039948552901</v>
      </c>
      <c r="AM6683">
        <v>72.645385910012493</v>
      </c>
      <c r="AN6683">
        <v>0.99999999839896203</v>
      </c>
    </row>
    <row r="6684" spans="1:40" x14ac:dyDescent="0.25">
      <c r="A6684" t="str">
        <f>"20190312150823265"</f>
        <v>20190312150823265</v>
      </c>
      <c r="B6684" t="str">
        <f>"1552374503256763"</f>
        <v>1552374503256763</v>
      </c>
      <c r="C6684" t="s">
        <v>40</v>
      </c>
      <c r="D6684">
        <v>4.3343280000000002</v>
      </c>
      <c r="E6684">
        <v>0.55298329999999996</v>
      </c>
      <c r="F6684" t="s">
        <v>42</v>
      </c>
      <c r="G6684">
        <v>-218.18219999999999</v>
      </c>
      <c r="H6684" s="1">
        <v>-8.5318000000000002E-7</v>
      </c>
      <c r="I6684">
        <v>139.54060000000001</v>
      </c>
      <c r="J6684">
        <v>-206.2928</v>
      </c>
      <c r="K6684">
        <v>1.106044</v>
      </c>
      <c r="L6684">
        <v>138.7842</v>
      </c>
      <c r="M6684">
        <v>-0.92155670000000001</v>
      </c>
      <c r="N6684">
        <v>0</v>
      </c>
      <c r="O6684">
        <v>-0.3880459</v>
      </c>
      <c r="P6684">
        <v>-0.99419190000000002</v>
      </c>
      <c r="Q6684">
        <v>4.6243810000000003E-2</v>
      </c>
      <c r="R6684">
        <v>-9.7181719999999999E-2</v>
      </c>
      <c r="S6684">
        <v>-3.0518339999999999</v>
      </c>
      <c r="T6684">
        <v>-0.2800028</v>
      </c>
      <c r="U6684">
        <v>0.17643739999999999</v>
      </c>
      <c r="V6684">
        <v>0.2968905</v>
      </c>
      <c r="W6684">
        <v>5.4744349999999997E-2</v>
      </c>
      <c r="X6684">
        <v>0.95334099999999999</v>
      </c>
      <c r="Y6684">
        <v>0.43721460000000001</v>
      </c>
      <c r="Z6684">
        <v>5.487413E-2</v>
      </c>
      <c r="AA6684">
        <v>0.89768159999999897</v>
      </c>
      <c r="AB6684">
        <v>18</v>
      </c>
      <c r="AC6684">
        <v>-11.889399999999901</v>
      </c>
      <c r="AD6684">
        <v>-1.10604485317999</v>
      </c>
      <c r="AE6684">
        <v>0.75640000000001295</v>
      </c>
      <c r="AF6684">
        <v>5.2657196443277297</v>
      </c>
      <c r="AG6684">
        <v>-1.10604485317999</v>
      </c>
      <c r="AH6684">
        <v>10.5729264012387</v>
      </c>
      <c r="AI6684">
        <v>95.349596241323496</v>
      </c>
      <c r="AJ6684">
        <v>63.524948557128297</v>
      </c>
      <c r="AK6684">
        <v>11.863301027787999</v>
      </c>
      <c r="AL6684">
        <v>86.861810924620002</v>
      </c>
      <c r="AM6684">
        <v>72.702309543101805</v>
      </c>
      <c r="AN6684">
        <v>0.99999998756408603</v>
      </c>
    </row>
    <row r="6685" spans="1:40" x14ac:dyDescent="0.25">
      <c r="A6685" t="str">
        <f>"20190312150823287"</f>
        <v>20190312150823287</v>
      </c>
      <c r="B6685" t="str">
        <f>"1552374503276283"</f>
        <v>1552374503276283</v>
      </c>
      <c r="C6685" t="s">
        <v>40</v>
      </c>
      <c r="D6685">
        <v>4.3575749999999998</v>
      </c>
      <c r="E6685">
        <v>0.5520967</v>
      </c>
      <c r="F6685" t="s">
        <v>42</v>
      </c>
      <c r="G6685">
        <v>-219.22909999999999</v>
      </c>
      <c r="H6685" s="1">
        <v>-3.8364200000000002E-7</v>
      </c>
      <c r="I6685">
        <v>139.39789999999999</v>
      </c>
      <c r="J6685">
        <v>-206.46039999999999</v>
      </c>
      <c r="K6685">
        <v>1.1060289999999999</v>
      </c>
      <c r="L6685">
        <v>138.7259</v>
      </c>
      <c r="M6685">
        <v>-0.92522309999999996</v>
      </c>
      <c r="N6685">
        <v>0</v>
      </c>
      <c r="O6685">
        <v>-0.37922070000000002</v>
      </c>
      <c r="P6685">
        <v>-0.99494510000000003</v>
      </c>
      <c r="Q6685">
        <v>4.6331669999999998E-2</v>
      </c>
      <c r="R6685">
        <v>-8.9097419999999997E-2</v>
      </c>
      <c r="S6685">
        <v>-3.0437319999999999</v>
      </c>
      <c r="T6685">
        <v>-0.26023689999999999</v>
      </c>
      <c r="U6685">
        <v>0.14439389999999999</v>
      </c>
      <c r="V6685">
        <v>0.29552820000000002</v>
      </c>
      <c r="W6685">
        <v>5.484957E-2</v>
      </c>
      <c r="X6685">
        <v>0.95375810000000005</v>
      </c>
      <c r="Y6685">
        <v>0.41980200000000001</v>
      </c>
      <c r="Z6685">
        <v>4.9696249999999997E-2</v>
      </c>
      <c r="AA6685">
        <v>0.90625409999999995</v>
      </c>
      <c r="AB6685">
        <v>18</v>
      </c>
      <c r="AC6685">
        <v>-12.7686999999999</v>
      </c>
      <c r="AD6685">
        <v>-1.1060293836419901</v>
      </c>
      <c r="AE6685">
        <v>0.67199999999999704</v>
      </c>
      <c r="AF6685">
        <v>5.4237432938470604</v>
      </c>
      <c r="AG6685">
        <v>-1.1060293836419901</v>
      </c>
      <c r="AH6685">
        <v>11.4740959779236</v>
      </c>
      <c r="AI6685">
        <v>94.980622151177201</v>
      </c>
      <c r="AJ6685">
        <v>64.700151126765803</v>
      </c>
      <c r="AK6685">
        <v>12.739512189469099</v>
      </c>
      <c r="AL6685">
        <v>86.855773081681704</v>
      </c>
      <c r="AM6685">
        <v>72.784062282168904</v>
      </c>
      <c r="AN6685">
        <v>0.99999995282001597</v>
      </c>
    </row>
    <row r="6686" spans="1:40" x14ac:dyDescent="0.25">
      <c r="A6686" t="str">
        <f>"20190312150823309"</f>
        <v>20190312150823309</v>
      </c>
      <c r="B6686" t="str">
        <f>"1552374503296779"</f>
        <v>1552374503296779</v>
      </c>
      <c r="C6686" t="s">
        <v>40</v>
      </c>
      <c r="D6686">
        <v>4.3730549999999999</v>
      </c>
      <c r="E6686">
        <v>0.55157909999999999</v>
      </c>
      <c r="F6686" t="s">
        <v>42</v>
      </c>
      <c r="G6686">
        <v>-219.77959999999999</v>
      </c>
      <c r="H6686" s="1">
        <v>-1.178214E-7</v>
      </c>
      <c r="I6686">
        <v>139.43219999999999</v>
      </c>
      <c r="J6686">
        <v>-206.62719999999999</v>
      </c>
      <c r="K6686">
        <v>1.1060190000000001</v>
      </c>
      <c r="L6686">
        <v>138.66980000000001</v>
      </c>
      <c r="M6686">
        <v>-0.92877929999999997</v>
      </c>
      <c r="N6686">
        <v>0</v>
      </c>
      <c r="O6686">
        <v>-0.37042520000000001</v>
      </c>
      <c r="P6686">
        <v>-0.9956718</v>
      </c>
      <c r="Q6686">
        <v>4.5517349999999998E-2</v>
      </c>
      <c r="R6686">
        <v>-8.1031130000000007E-2</v>
      </c>
      <c r="S6686">
        <v>-3.041458</v>
      </c>
      <c r="T6686">
        <v>-0.2525636</v>
      </c>
      <c r="U6686">
        <v>0.1612854</v>
      </c>
      <c r="V6686">
        <v>0.29421330000000001</v>
      </c>
      <c r="W6686">
        <v>5.4053490000000003E-2</v>
      </c>
      <c r="X6686">
        <v>0.95421</v>
      </c>
      <c r="Y6686">
        <v>0.41645359999999998</v>
      </c>
      <c r="Z6686">
        <v>4.7446259999999997E-2</v>
      </c>
      <c r="AA6686">
        <v>0.90791809999999995</v>
      </c>
      <c r="AB6686">
        <v>18</v>
      </c>
      <c r="AC6686">
        <v>-13.1524</v>
      </c>
      <c r="AD6686">
        <v>-1.1060191178213901</v>
      </c>
      <c r="AE6686">
        <v>0.76239999999998498</v>
      </c>
      <c r="AF6686">
        <v>5.5414564535583102</v>
      </c>
      <c r="AG6686">
        <v>-1.1060191178213901</v>
      </c>
      <c r="AH6686">
        <v>11.850662721363401</v>
      </c>
      <c r="AI6686">
        <v>94.832484069396799</v>
      </c>
      <c r="AJ6686">
        <v>64.938865973869895</v>
      </c>
      <c r="AK6686">
        <v>13.1289460677992</v>
      </c>
      <c r="AL6686">
        <v>86.901452978543503</v>
      </c>
      <c r="AM6686">
        <v>72.863805003392699</v>
      </c>
      <c r="AN6686">
        <v>0.99999998488903497</v>
      </c>
    </row>
    <row r="6687" spans="1:40" x14ac:dyDescent="0.25">
      <c r="A6687" t="str">
        <f>"20190312150823333"</f>
        <v>20190312150823333</v>
      </c>
      <c r="B6687" t="str">
        <f>"1552374503327035"</f>
        <v>1552374503327035</v>
      </c>
      <c r="C6687" t="s">
        <v>40</v>
      </c>
      <c r="D6687">
        <v>4.3538169999999896</v>
      </c>
      <c r="E6687">
        <v>0.55064559999999996</v>
      </c>
      <c r="F6687" t="s">
        <v>42</v>
      </c>
      <c r="G6687">
        <v>-220.02019999999999</v>
      </c>
      <c r="H6687" s="1">
        <v>-4.2896469999999998E-6</v>
      </c>
      <c r="I6687">
        <v>139.46950000000001</v>
      </c>
      <c r="J6687">
        <v>-206.8081</v>
      </c>
      <c r="K6687">
        <v>1.1060129999999999</v>
      </c>
      <c r="L6687">
        <v>138.61089999999999</v>
      </c>
      <c r="M6687">
        <v>-0.93253569999999997</v>
      </c>
      <c r="N6687">
        <v>0</v>
      </c>
      <c r="O6687">
        <v>-0.36086449999999998</v>
      </c>
      <c r="P6687">
        <v>-0.99636829999999998</v>
      </c>
      <c r="Q6687">
        <v>4.5363180000000003E-2</v>
      </c>
      <c r="R6687">
        <v>-7.2060630000000001E-2</v>
      </c>
      <c r="S6687">
        <v>-3.039291</v>
      </c>
      <c r="T6687">
        <v>-0.25099129999999997</v>
      </c>
      <c r="U6687">
        <v>0.18148800000000001</v>
      </c>
      <c r="V6687">
        <v>0.29300500000000002</v>
      </c>
      <c r="W6687">
        <v>5.3917779999999998E-2</v>
      </c>
      <c r="X6687">
        <v>0.95458940000000003</v>
      </c>
      <c r="Y6687">
        <v>0.4132439</v>
      </c>
      <c r="Z6687">
        <v>4.6306569999999998E-2</v>
      </c>
      <c r="AA6687">
        <v>0.90944219999999998</v>
      </c>
      <c r="AB6687">
        <v>18</v>
      </c>
      <c r="AC6687">
        <v>-13.2120999999999</v>
      </c>
      <c r="AD6687">
        <v>-1.106017289647</v>
      </c>
      <c r="AE6687">
        <v>0.85860000000002401</v>
      </c>
      <c r="AF6687">
        <v>5.5302897359344696</v>
      </c>
      <c r="AG6687">
        <v>-1.106017289647</v>
      </c>
      <c r="AH6687">
        <v>11.928600095532101</v>
      </c>
      <c r="AI6687">
        <v>94.808354272130501</v>
      </c>
      <c r="AJ6687">
        <v>65.126806912368593</v>
      </c>
      <c r="AK6687">
        <v>13.1946534265781</v>
      </c>
      <c r="AL6687">
        <v>86.909239959762203</v>
      </c>
      <c r="AM6687">
        <v>72.936472852178596</v>
      </c>
      <c r="AN6687">
        <v>0.99999998980874405</v>
      </c>
    </row>
    <row r="6688" spans="1:40" x14ac:dyDescent="0.25">
      <c r="A6688" t="str">
        <f>"20190312150823355"</f>
        <v>20190312150823355</v>
      </c>
      <c r="B6688" t="str">
        <f>"1552374503347100"</f>
        <v>1552374503347100</v>
      </c>
      <c r="C6688" t="s">
        <v>40</v>
      </c>
      <c r="D6688">
        <v>4.3454459999999999</v>
      </c>
      <c r="E6688">
        <v>0.55099819999999999</v>
      </c>
      <c r="F6688" t="s">
        <v>42</v>
      </c>
      <c r="G6688">
        <v>-220.3099</v>
      </c>
      <c r="H6688" s="1">
        <v>-4.1591529999999997E-6</v>
      </c>
      <c r="I6688">
        <v>139.50450000000001</v>
      </c>
      <c r="J6688">
        <v>-206.9828</v>
      </c>
      <c r="K6688">
        <v>1.106009</v>
      </c>
      <c r="L6688">
        <v>138.55590000000001</v>
      </c>
      <c r="M6688">
        <v>-0.9360598</v>
      </c>
      <c r="N6688">
        <v>0</v>
      </c>
      <c r="O6688">
        <v>-0.35162199999999999</v>
      </c>
      <c r="P6688">
        <v>-0.99696390000000001</v>
      </c>
      <c r="Q6688">
        <v>4.5036720000000002E-2</v>
      </c>
      <c r="R6688">
        <v>-6.3521530000000007E-2</v>
      </c>
      <c r="S6688">
        <v>-3.0368040000000001</v>
      </c>
      <c r="T6688">
        <v>-0.24876390000000001</v>
      </c>
      <c r="U6688">
        <v>0.2009888</v>
      </c>
      <c r="V6688">
        <v>0.29174099999999997</v>
      </c>
      <c r="W6688">
        <v>5.3612559999999997E-2</v>
      </c>
      <c r="X6688">
        <v>0.95499369999999995</v>
      </c>
      <c r="Y6688">
        <v>0.41018650000000001</v>
      </c>
      <c r="Z6688">
        <v>4.5089709999999998E-2</v>
      </c>
      <c r="AA6688">
        <v>0.91088630000000004</v>
      </c>
      <c r="AB6688">
        <v>18</v>
      </c>
      <c r="AC6688">
        <v>-13.3271</v>
      </c>
      <c r="AD6688">
        <v>-1.106013159153</v>
      </c>
      <c r="AE6688">
        <v>0.948599999999999</v>
      </c>
      <c r="AF6688">
        <v>5.5365375850921001</v>
      </c>
      <c r="AG6688">
        <v>-1.106013159153</v>
      </c>
      <c r="AH6688">
        <v>12.059708847950899</v>
      </c>
      <c r="AI6688">
        <v>94.764454163263594</v>
      </c>
      <c r="AJ6688">
        <v>65.3404380333711</v>
      </c>
      <c r="AK6688">
        <v>13.3158961785042</v>
      </c>
      <c r="AL6688">
        <v>86.926753270368096</v>
      </c>
      <c r="AM6688">
        <v>73.012613486178196</v>
      </c>
      <c r="AN6688">
        <v>1.00000004235522</v>
      </c>
    </row>
    <row r="6689" spans="1:40" x14ac:dyDescent="0.25">
      <c r="A6689" t="str">
        <f>"20190312150823377"</f>
        <v>20190312150823377</v>
      </c>
      <c r="B6689" t="str">
        <f>"1552374503366608"</f>
        <v>1552374503366608</v>
      </c>
      <c r="C6689" t="s">
        <v>40</v>
      </c>
      <c r="D6689">
        <v>4.3612690000000001</v>
      </c>
      <c r="E6689">
        <v>0.55747369999999996</v>
      </c>
      <c r="F6689" t="s">
        <v>42</v>
      </c>
      <c r="G6689">
        <v>-220.51939999999999</v>
      </c>
      <c r="H6689" s="1">
        <v>-4.0559569999999997E-6</v>
      </c>
      <c r="I6689">
        <v>139.5797</v>
      </c>
      <c r="J6689">
        <v>-207.154</v>
      </c>
      <c r="K6689">
        <v>1.1060030000000001</v>
      </c>
      <c r="L6689">
        <v>138.50389999999999</v>
      </c>
      <c r="M6689">
        <v>-0.93941589999999997</v>
      </c>
      <c r="N6689">
        <v>0</v>
      </c>
      <c r="O6689">
        <v>-0.34255409999999997</v>
      </c>
      <c r="P6689">
        <v>-0.99747790000000003</v>
      </c>
      <c r="Q6689">
        <v>4.4328649999999997E-2</v>
      </c>
      <c r="R6689">
        <v>-5.5431719999999997E-2</v>
      </c>
      <c r="S6689">
        <v>-3.0349879999999998</v>
      </c>
      <c r="T6689">
        <v>-0.24797530000000001</v>
      </c>
      <c r="U6689">
        <v>0.22953799999999999</v>
      </c>
      <c r="V6689">
        <v>0.29025499999999999</v>
      </c>
      <c r="W6689">
        <v>5.2930709999999999E-2</v>
      </c>
      <c r="X6689">
        <v>0.95548429999999995</v>
      </c>
      <c r="Y6689">
        <v>0.40998220000000002</v>
      </c>
      <c r="Z6689">
        <v>4.4256429999999999E-2</v>
      </c>
      <c r="AA6689">
        <v>0.91101920000000003</v>
      </c>
      <c r="AB6689">
        <v>18</v>
      </c>
      <c r="AC6689">
        <v>-13.3653999999999</v>
      </c>
      <c r="AD6689">
        <v>-1.1060070559569899</v>
      </c>
      <c r="AE6689">
        <v>1.0758000000000101</v>
      </c>
      <c r="AF6689">
        <v>5.5516558886376801</v>
      </c>
      <c r="AG6689">
        <v>-1.1060070559569899</v>
      </c>
      <c r="AH6689">
        <v>12.105726740568</v>
      </c>
      <c r="AI6689">
        <v>94.7472886323323</v>
      </c>
      <c r="AJ6689">
        <v>65.3639289033936</v>
      </c>
      <c r="AK6689">
        <v>13.363860019881001</v>
      </c>
      <c r="AL6689">
        <v>86.965875626619706</v>
      </c>
      <c r="AM6689">
        <v>73.1023785377199</v>
      </c>
      <c r="AN6689">
        <v>0.99999993631629402</v>
      </c>
    </row>
    <row r="6690" spans="1:40" x14ac:dyDescent="0.25">
      <c r="A6690" t="str">
        <f>"20190312150823398"</f>
        <v>20190312150823398</v>
      </c>
      <c r="B6690" t="str">
        <f>"1552374503387109"</f>
        <v>1552374503387109</v>
      </c>
      <c r="C6690" t="s">
        <v>40</v>
      </c>
      <c r="D6690">
        <v>4.3595759999999997</v>
      </c>
      <c r="E6690">
        <v>0.5583515</v>
      </c>
      <c r="F6690" t="s">
        <v>42</v>
      </c>
      <c r="G6690">
        <v>-224.52019999999999</v>
      </c>
      <c r="H6690" s="1">
        <v>-2.4994160000000002E-6</v>
      </c>
      <c r="I6690">
        <v>140.24119999999999</v>
      </c>
      <c r="J6690">
        <v>-207.31620000000001</v>
      </c>
      <c r="K6690">
        <v>1.106009</v>
      </c>
      <c r="L6690">
        <v>138.4562</v>
      </c>
      <c r="M6690">
        <v>-0.94250579999999995</v>
      </c>
      <c r="N6690">
        <v>0</v>
      </c>
      <c r="O6690">
        <v>-0.3339589</v>
      </c>
      <c r="P6690">
        <v>-0.99789910000000004</v>
      </c>
      <c r="Q6690">
        <v>4.3924680000000001E-2</v>
      </c>
      <c r="R6690">
        <v>-4.7628530000000002E-2</v>
      </c>
      <c r="S6690">
        <v>-3.0330349999999999</v>
      </c>
      <c r="T6690">
        <v>-0.19316639999999999</v>
      </c>
      <c r="U6690">
        <v>0.30343629999999999</v>
      </c>
      <c r="V6690">
        <v>0.28900049999999999</v>
      </c>
      <c r="W6690">
        <v>5.25493E-2</v>
      </c>
      <c r="X6690">
        <v>0.9558856</v>
      </c>
      <c r="Y6690">
        <v>0.42464160000000001</v>
      </c>
      <c r="Z6690">
        <v>3.4446659999999997E-2</v>
      </c>
      <c r="AA6690">
        <v>0.90470600000000001</v>
      </c>
      <c r="AB6690">
        <v>18</v>
      </c>
      <c r="AC6690">
        <v>-17.203999999999901</v>
      </c>
      <c r="AD6690">
        <v>-1.106011499416</v>
      </c>
      <c r="AE6690">
        <v>1.7849999999999899</v>
      </c>
      <c r="AF6690">
        <v>7.3981243307320597</v>
      </c>
      <c r="AG6690">
        <v>-1.106011499416</v>
      </c>
      <c r="AH6690">
        <v>15.556349142052801</v>
      </c>
      <c r="AI6690">
        <v>93.673704197658793</v>
      </c>
      <c r="AJ6690">
        <v>64.5656672209589</v>
      </c>
      <c r="AK6690">
        <v>17.261387652192301</v>
      </c>
      <c r="AL6690">
        <v>86.9877594566901</v>
      </c>
      <c r="AM6690">
        <v>73.1779403929213</v>
      </c>
      <c r="AN6690">
        <v>0.99999999910905002</v>
      </c>
    </row>
    <row r="6691" spans="1:40" x14ac:dyDescent="0.25">
      <c r="A6691" t="str">
        <f>"20190312150823420"</f>
        <v>20190312150823420</v>
      </c>
      <c r="B6691" t="str">
        <f>"1552374503416384"</f>
        <v>1552374503416384</v>
      </c>
      <c r="C6691" t="s">
        <v>40</v>
      </c>
      <c r="D6691">
        <v>4.3296199999999896</v>
      </c>
      <c r="E6691">
        <v>0.55706389999999995</v>
      </c>
      <c r="F6691" t="s">
        <v>42</v>
      </c>
      <c r="G6691">
        <v>-227.5154</v>
      </c>
      <c r="H6691" s="1">
        <v>-1.330516E-6</v>
      </c>
      <c r="I6691">
        <v>140.6773</v>
      </c>
      <c r="J6691">
        <v>-207.48240000000001</v>
      </c>
      <c r="K6691">
        <v>1.106012</v>
      </c>
      <c r="L6691">
        <v>138.4091</v>
      </c>
      <c r="M6691">
        <v>-0.94558109999999995</v>
      </c>
      <c r="N6691">
        <v>0</v>
      </c>
      <c r="O6691">
        <v>-0.32514910000000002</v>
      </c>
      <c r="P6691">
        <v>-0.99823620000000002</v>
      </c>
      <c r="Q6691">
        <v>4.3579380000000001E-2</v>
      </c>
      <c r="R6691">
        <v>-4.0321709999999997E-2</v>
      </c>
      <c r="S6691">
        <v>-3.029541</v>
      </c>
      <c r="T6691">
        <v>-0.1658837</v>
      </c>
      <c r="U6691">
        <v>0.33312989999999998</v>
      </c>
      <c r="V6691">
        <v>0.28707729999999998</v>
      </c>
      <c r="W6691">
        <v>5.2236449999999997E-2</v>
      </c>
      <c r="X6691">
        <v>0.9564821</v>
      </c>
      <c r="Y6691">
        <v>0.42547990000000002</v>
      </c>
      <c r="Z6691">
        <v>2.917515E-2</v>
      </c>
      <c r="AA6691">
        <v>0.90449740000000001</v>
      </c>
      <c r="AB6691">
        <v>18</v>
      </c>
      <c r="AC6691">
        <v>-20.032999999999902</v>
      </c>
      <c r="AD6691">
        <v>-1.106013330516</v>
      </c>
      <c r="AE6691">
        <v>2.2682000000000002</v>
      </c>
      <c r="AF6691">
        <v>8.6331660295266808</v>
      </c>
      <c r="AG6691">
        <v>-1.106013330516</v>
      </c>
      <c r="AH6691">
        <v>18.152099981348002</v>
      </c>
      <c r="AI6691">
        <v>93.149476028441796</v>
      </c>
      <c r="AJ6691">
        <v>64.564169266839997</v>
      </c>
      <c r="AK6691">
        <v>20.130910434292499</v>
      </c>
      <c r="AL6691">
        <v>87.005709142709193</v>
      </c>
      <c r="AM6691">
        <v>73.293464961806606</v>
      </c>
      <c r="AN6691">
        <v>1.00000001525215</v>
      </c>
    </row>
    <row r="6692" spans="1:40" x14ac:dyDescent="0.25">
      <c r="A6692" t="str">
        <f>"20190312150823433"</f>
        <v>20190312150823433</v>
      </c>
      <c r="B6692" t="str">
        <f>"1552374503427121"</f>
        <v>1552374503427121</v>
      </c>
      <c r="C6692" t="s">
        <v>40</v>
      </c>
      <c r="D6692">
        <v>4.3654500000000001</v>
      </c>
      <c r="E6692">
        <v>0.55647630000000003</v>
      </c>
      <c r="F6692" t="s">
        <v>42</v>
      </c>
      <c r="G6692">
        <v>-227.96539999999999</v>
      </c>
      <c r="H6692" s="1">
        <v>-1.1547079999999999E-6</v>
      </c>
      <c r="I6692">
        <v>140.74209999999999</v>
      </c>
      <c r="J6692">
        <v>-207.5881</v>
      </c>
      <c r="K6692">
        <v>1.106009</v>
      </c>
      <c r="L6692">
        <v>138.38</v>
      </c>
      <c r="M6692">
        <v>-0.94749030000000001</v>
      </c>
      <c r="N6692">
        <v>0</v>
      </c>
      <c r="O6692">
        <v>-0.31954300000000002</v>
      </c>
      <c r="P6692">
        <v>-0.99841639999999998</v>
      </c>
      <c r="Q6692">
        <v>4.3792610000000003E-2</v>
      </c>
      <c r="R6692">
        <v>-3.5316970000000003E-2</v>
      </c>
      <c r="S6692">
        <v>-3.0263520000000002</v>
      </c>
      <c r="T6692">
        <v>-0.16341320000000001</v>
      </c>
      <c r="U6692">
        <v>0.3447113</v>
      </c>
      <c r="V6692">
        <v>0.28620580000000001</v>
      </c>
      <c r="W6692">
        <v>5.246406E-2</v>
      </c>
      <c r="X6692">
        <v>0.95673079999999999</v>
      </c>
      <c r="Y6692">
        <v>0.42368539999999999</v>
      </c>
      <c r="Z6692">
        <v>2.8428370000000001E-2</v>
      </c>
      <c r="AA6692">
        <v>0.90536320000000003</v>
      </c>
      <c r="AB6692">
        <v>18</v>
      </c>
      <c r="AC6692">
        <v>-20.377299999999899</v>
      </c>
      <c r="AD6692">
        <v>-1.1060101547079999</v>
      </c>
      <c r="AE6692">
        <v>2.3620999999999901</v>
      </c>
      <c r="AF6692">
        <v>8.7248039406036106</v>
      </c>
      <c r="AG6692">
        <v>-1.1060101547079999</v>
      </c>
      <c r="AH6692">
        <v>18.500156145290902</v>
      </c>
      <c r="AI6692">
        <v>93.095099442480205</v>
      </c>
      <c r="AJ6692">
        <v>64.751104995982601</v>
      </c>
      <c r="AK6692">
        <v>20.484170465616501</v>
      </c>
      <c r="AL6692">
        <v>86.992650190033501</v>
      </c>
      <c r="AM6692">
        <v>73.345458435210404</v>
      </c>
      <c r="AN6692">
        <v>1.0000000306069801</v>
      </c>
    </row>
    <row r="6693" spans="1:40" x14ac:dyDescent="0.25">
      <c r="A6693" t="str">
        <f>"20190312150823447"</f>
        <v>20190312150823447</v>
      </c>
      <c r="B6693" t="str">
        <f>"1552374503436881"</f>
        <v>1552374503436881</v>
      </c>
      <c r="C6693" t="s">
        <v>40</v>
      </c>
      <c r="D6693">
        <v>4.3211750000000002</v>
      </c>
      <c r="E6693">
        <v>0.55588130000000002</v>
      </c>
      <c r="F6693" t="s">
        <v>42</v>
      </c>
      <c r="G6693">
        <v>-227.84520000000001</v>
      </c>
      <c r="H6693" s="1">
        <v>-1.2106629999999999E-6</v>
      </c>
      <c r="I6693">
        <v>140.7586</v>
      </c>
      <c r="J6693">
        <v>-207.6935</v>
      </c>
      <c r="K6693">
        <v>1.1060129999999999</v>
      </c>
      <c r="L6693">
        <v>138.35149999999999</v>
      </c>
      <c r="M6693">
        <v>-0.94935639999999999</v>
      </c>
      <c r="N6693">
        <v>0</v>
      </c>
      <c r="O6693">
        <v>-0.3139555</v>
      </c>
      <c r="P6693">
        <v>-0.99857039999999997</v>
      </c>
      <c r="Q6693">
        <v>4.3808430000000002E-2</v>
      </c>
      <c r="R6693">
        <v>-3.0627749999999999E-2</v>
      </c>
      <c r="S6693">
        <v>-3.0245669999999998</v>
      </c>
      <c r="T6693">
        <v>-0.1651376</v>
      </c>
      <c r="U6693">
        <v>0.35516360000000002</v>
      </c>
      <c r="V6693">
        <v>0.28506120000000001</v>
      </c>
      <c r="W6693">
        <v>5.2498820000000002E-2</v>
      </c>
      <c r="X6693">
        <v>0.95707050000000005</v>
      </c>
      <c r="Y6693">
        <v>0.42148570000000002</v>
      </c>
      <c r="Z6693">
        <v>2.8387550000000001E-2</v>
      </c>
      <c r="AA6693">
        <v>0.90639069999999999</v>
      </c>
      <c r="AB6693">
        <v>18</v>
      </c>
      <c r="AC6693">
        <v>-20.151700000000002</v>
      </c>
      <c r="AD6693">
        <v>-1.106014210663</v>
      </c>
      <c r="AE6693">
        <v>2.40710000000001</v>
      </c>
      <c r="AF6693">
        <v>8.5870946124285403</v>
      </c>
      <c r="AG6693">
        <v>-1.106014210663</v>
      </c>
      <c r="AH6693">
        <v>18.322425346610601</v>
      </c>
      <c r="AI6693">
        <v>93.128608685167606</v>
      </c>
      <c r="AJ6693">
        <v>64.889119247189896</v>
      </c>
      <c r="AK6693">
        <v>20.265061852832002</v>
      </c>
      <c r="AL6693">
        <v>86.990655681651006</v>
      </c>
      <c r="AM6693">
        <v>73.413960780900297</v>
      </c>
      <c r="AN6693">
        <v>0.999999977908541</v>
      </c>
    </row>
    <row r="6694" spans="1:40" x14ac:dyDescent="0.25">
      <c r="A6694" t="str">
        <f>"20190312150823466"</f>
        <v>20190312150823466</v>
      </c>
      <c r="B6694" t="str">
        <f>"1552374503456197"</f>
        <v>1552374503456197</v>
      </c>
      <c r="C6694" t="s">
        <v>40</v>
      </c>
      <c r="D6694">
        <v>4.3397920000000001</v>
      </c>
      <c r="E6694">
        <v>0.55495969999999994</v>
      </c>
      <c r="F6694" t="s">
        <v>42</v>
      </c>
      <c r="G6694">
        <v>-227.74289999999999</v>
      </c>
      <c r="H6694" s="1">
        <v>-1.257506E-6</v>
      </c>
      <c r="I6694">
        <v>140.7698</v>
      </c>
      <c r="J6694">
        <v>-207.84289999999999</v>
      </c>
      <c r="K6694">
        <v>1.106015</v>
      </c>
      <c r="L6694">
        <v>138.3124</v>
      </c>
      <c r="M6694">
        <v>-0.95194089999999998</v>
      </c>
      <c r="N6694">
        <v>0</v>
      </c>
      <c r="O6694">
        <v>-0.30602980000000002</v>
      </c>
      <c r="P6694">
        <v>-0.99873100000000004</v>
      </c>
      <c r="Q6694">
        <v>4.4218420000000001E-2</v>
      </c>
      <c r="R6694">
        <v>-2.4114170000000001E-2</v>
      </c>
      <c r="S6694">
        <v>-3.0228120000000001</v>
      </c>
      <c r="T6694">
        <v>-0.1667516</v>
      </c>
      <c r="U6694">
        <v>0.36460880000000001</v>
      </c>
      <c r="V6694">
        <v>0.28332170000000001</v>
      </c>
      <c r="W6694">
        <v>5.2935940000000001E-2</v>
      </c>
      <c r="X6694">
        <v>0.95756280000000005</v>
      </c>
      <c r="Y6694">
        <v>0.41677370000000002</v>
      </c>
      <c r="Z6694">
        <v>2.8126209999999999E-2</v>
      </c>
      <c r="AA6694">
        <v>0.90857509999999997</v>
      </c>
      <c r="AB6694">
        <v>18</v>
      </c>
      <c r="AC6694">
        <v>-19.899999999999999</v>
      </c>
      <c r="AD6694">
        <v>-1.106016257506</v>
      </c>
      <c r="AE6694">
        <v>2.4573999999999998</v>
      </c>
      <c r="AF6694">
        <v>8.4043718123228999</v>
      </c>
      <c r="AG6694">
        <v>-1.106016257506</v>
      </c>
      <c r="AH6694">
        <v>18.137803778756201</v>
      </c>
      <c r="AI6694">
        <v>93.166806793916294</v>
      </c>
      <c r="AJ6694">
        <v>65.138778828214001</v>
      </c>
      <c r="AK6694">
        <v>20.020905659792199</v>
      </c>
      <c r="AL6694">
        <v>86.9655756138947</v>
      </c>
      <c r="AM6694">
        <v>73.517677125233504</v>
      </c>
      <c r="AN6694">
        <v>0.99999995768920502</v>
      </c>
    </row>
    <row r="6695" spans="1:40" x14ac:dyDescent="0.25">
      <c r="A6695" t="str">
        <f>"20190312150823489"</f>
        <v>20190312150823489</v>
      </c>
      <c r="B6695" t="str">
        <f>"1552374503476690"</f>
        <v>1552374503476690</v>
      </c>
      <c r="C6695" t="s">
        <v>40</v>
      </c>
      <c r="D6695">
        <v>4.3157269999999999</v>
      </c>
      <c r="E6695">
        <v>0.55416730000000003</v>
      </c>
      <c r="F6695" t="s">
        <v>42</v>
      </c>
      <c r="G6695">
        <v>-227.9914</v>
      </c>
      <c r="H6695" s="1">
        <v>-1.1653310000000001E-6</v>
      </c>
      <c r="I6695">
        <v>140.82399999999899</v>
      </c>
      <c r="J6695">
        <v>-208.02170000000001</v>
      </c>
      <c r="K6695">
        <v>1.1060160000000001</v>
      </c>
      <c r="L6695">
        <v>138.26740000000001</v>
      </c>
      <c r="M6695">
        <v>-0.95493839999999997</v>
      </c>
      <c r="N6695">
        <v>0</v>
      </c>
      <c r="O6695">
        <v>-0.29654429999999998</v>
      </c>
      <c r="P6695">
        <v>-0.99888790000000005</v>
      </c>
      <c r="Q6695">
        <v>4.4236909999999997E-2</v>
      </c>
      <c r="R6695">
        <v>-1.631809E-2</v>
      </c>
      <c r="S6695">
        <v>-3.0202640000000001</v>
      </c>
      <c r="T6695">
        <v>-0.165792299999999</v>
      </c>
      <c r="U6695">
        <v>0.37649539999999998</v>
      </c>
      <c r="V6695">
        <v>0.28126760000000001</v>
      </c>
      <c r="W6695">
        <v>5.2985940000000002E-2</v>
      </c>
      <c r="X6695">
        <v>0.9581655</v>
      </c>
      <c r="Y6695">
        <v>0.41137430000000003</v>
      </c>
      <c r="Z6695">
        <v>2.7332329999999998E-2</v>
      </c>
      <c r="AA6695">
        <v>0.91105659999999999</v>
      </c>
      <c r="AB6695">
        <v>18</v>
      </c>
      <c r="AC6695">
        <v>-19.9696999999999</v>
      </c>
      <c r="AD6695">
        <v>-1.10601716533099</v>
      </c>
      <c r="AE6695">
        <v>2.5565999999999698</v>
      </c>
      <c r="AF6695">
        <v>8.3387743369380996</v>
      </c>
      <c r="AG6695">
        <v>-1.10601716533099</v>
      </c>
      <c r="AH6695">
        <v>18.257996807275401</v>
      </c>
      <c r="AI6695">
        <v>93.153933292354694</v>
      </c>
      <c r="AJ6695">
        <v>65.452918511569294</v>
      </c>
      <c r="AK6695">
        <v>20.102559011898499</v>
      </c>
      <c r="AL6695">
        <v>86.962707076312796</v>
      </c>
      <c r="AM6695">
        <v>73.640502210802197</v>
      </c>
      <c r="AN6695">
        <v>1.0000000490188401</v>
      </c>
    </row>
    <row r="6696" spans="1:40" x14ac:dyDescent="0.25">
      <c r="A6696" t="str">
        <f>"20190312150823510"</f>
        <v>20190312150823510</v>
      </c>
      <c r="B6696" t="str">
        <f>"1552374503506946"</f>
        <v>1552374503506946</v>
      </c>
      <c r="C6696" t="s">
        <v>40</v>
      </c>
      <c r="D6696">
        <v>4.3288099999999998</v>
      </c>
      <c r="E6696">
        <v>0.55284789999999995</v>
      </c>
      <c r="F6696" t="s">
        <v>42</v>
      </c>
      <c r="G6696">
        <v>-228.5111</v>
      </c>
      <c r="H6696" s="1">
        <v>-9.731099999999999E-7</v>
      </c>
      <c r="I6696">
        <v>140.93940000000001</v>
      </c>
      <c r="J6696">
        <v>-208.1858</v>
      </c>
      <c r="K6696">
        <v>1.1060140000000001</v>
      </c>
      <c r="L6696">
        <v>138.2278</v>
      </c>
      <c r="M6696">
        <v>-0.95759830000000001</v>
      </c>
      <c r="N6696">
        <v>0</v>
      </c>
      <c r="O6696">
        <v>-0.28783920000000002</v>
      </c>
      <c r="P6696">
        <v>-0.99896229999999997</v>
      </c>
      <c r="Q6696">
        <v>4.4470870000000003E-2</v>
      </c>
      <c r="R6696">
        <v>-9.8483349999999997E-3</v>
      </c>
      <c r="S6696">
        <v>-3.0169830000000002</v>
      </c>
      <c r="T6696">
        <v>-0.16285729999999901</v>
      </c>
      <c r="U6696">
        <v>0.39344790000000002</v>
      </c>
      <c r="V6696">
        <v>0.2787481</v>
      </c>
      <c r="W6696">
        <v>5.3257359999999997E-2</v>
      </c>
      <c r="X6696">
        <v>0.95888640000000003</v>
      </c>
      <c r="Y6696">
        <v>0.40828959999999997</v>
      </c>
      <c r="Z6696">
        <v>2.6333200000000001E-2</v>
      </c>
      <c r="AA6696">
        <v>0.91247259999999997</v>
      </c>
      <c r="AB6696">
        <v>18</v>
      </c>
      <c r="AC6696">
        <v>-20.325299999999999</v>
      </c>
      <c r="AD6696">
        <v>-1.10601497311</v>
      </c>
      <c r="AE6696">
        <v>2.7115999999999998</v>
      </c>
      <c r="AF6696">
        <v>8.4231870645560996</v>
      </c>
      <c r="AG6696">
        <v>-1.10601497311</v>
      </c>
      <c r="AH6696">
        <v>18.630206959068701</v>
      </c>
      <c r="AI6696">
        <v>93.0963810188575</v>
      </c>
      <c r="AJ6696">
        <v>65.671072789807596</v>
      </c>
      <c r="AK6696">
        <v>20.4757896253839</v>
      </c>
      <c r="AL6696">
        <v>86.947133684155403</v>
      </c>
      <c r="AM6696">
        <v>73.790861932274296</v>
      </c>
      <c r="AN6696">
        <v>0.99999998887636898</v>
      </c>
    </row>
    <row r="6697" spans="1:40" x14ac:dyDescent="0.25">
      <c r="A6697" t="str">
        <f>"20190312150823534"</f>
        <v>20190312150823534</v>
      </c>
      <c r="B6697" t="str">
        <f>"1552374503526467"</f>
        <v>1552374503526467</v>
      </c>
      <c r="C6697" t="s">
        <v>40</v>
      </c>
      <c r="D6697">
        <v>4.3090250000000001</v>
      </c>
      <c r="E6697">
        <v>0.53312899999999996</v>
      </c>
      <c r="F6697" t="s">
        <v>42</v>
      </c>
      <c r="G6697">
        <v>-229.20859999999999</v>
      </c>
      <c r="H6697" s="1">
        <v>-6.9847069999999998E-7</v>
      </c>
      <c r="I6697">
        <v>141.0318</v>
      </c>
      <c r="J6697">
        <v>-208.36859999999999</v>
      </c>
      <c r="K6697">
        <v>1.10602</v>
      </c>
      <c r="L6697">
        <v>138.18549999999999</v>
      </c>
      <c r="M6697">
        <v>-0.96046180000000003</v>
      </c>
      <c r="N6697">
        <v>0</v>
      </c>
      <c r="O6697">
        <v>-0.2781344</v>
      </c>
      <c r="P6697">
        <v>-0.99899119999999997</v>
      </c>
      <c r="Q6697">
        <v>4.4858540000000002E-2</v>
      </c>
      <c r="R6697">
        <v>-2.121108E-3</v>
      </c>
      <c r="S6697">
        <v>-3.0141450000000001</v>
      </c>
      <c r="T6697">
        <v>-0.1585751</v>
      </c>
      <c r="U6697">
        <v>0.40203860000000002</v>
      </c>
      <c r="V6697">
        <v>0.27645960000000003</v>
      </c>
      <c r="W6697">
        <v>5.3679230000000001E-2</v>
      </c>
      <c r="X6697">
        <v>0.95952519999999997</v>
      </c>
      <c r="Y6697">
        <v>0.40178439999999999</v>
      </c>
      <c r="Z6697">
        <v>2.4995799999999999E-2</v>
      </c>
      <c r="AA6697">
        <v>0.91539309999999996</v>
      </c>
      <c r="AB6697">
        <v>18</v>
      </c>
      <c r="AC6697">
        <v>-20.84</v>
      </c>
      <c r="AD6697">
        <v>-1.1060206984706999</v>
      </c>
      <c r="AE6697">
        <v>2.84630000000001</v>
      </c>
      <c r="AF6697">
        <v>8.5072188902842996</v>
      </c>
      <c r="AG6697">
        <v>-1.1060206984706999</v>
      </c>
      <c r="AH6697">
        <v>19.172840085162498</v>
      </c>
      <c r="AI6697">
        <v>93.018367092857602</v>
      </c>
      <c r="AJ6697">
        <v>66.072565125314796</v>
      </c>
      <c r="AK6697">
        <v>21.0046150158452</v>
      </c>
      <c r="AL6697">
        <v>86.922927690521703</v>
      </c>
      <c r="AM6697">
        <v>73.927184647961099</v>
      </c>
      <c r="AN6697">
        <v>0.99999998980029603</v>
      </c>
    </row>
    <row r="6698" spans="1:40" x14ac:dyDescent="0.25">
      <c r="A6698" t="str">
        <f>"20190312150823557"</f>
        <v>20190312150823557</v>
      </c>
      <c r="B6698" t="str">
        <f>"1552374503546962"</f>
        <v>1552374503546962</v>
      </c>
      <c r="C6698" t="s">
        <v>40</v>
      </c>
      <c r="D6698">
        <v>4.2659649999999996</v>
      </c>
      <c r="E6698">
        <v>0.52575000000000005</v>
      </c>
      <c r="F6698" t="s">
        <v>42</v>
      </c>
      <c r="G6698">
        <v>-239.804</v>
      </c>
      <c r="H6698" s="1">
        <v>-4.2540609999999998E-7</v>
      </c>
      <c r="I6698">
        <v>140.96549999999999</v>
      </c>
      <c r="J6698">
        <v>-208.55590000000001</v>
      </c>
      <c r="K6698">
        <v>1.106017</v>
      </c>
      <c r="L6698">
        <v>138.14410000000001</v>
      </c>
      <c r="M6698">
        <v>-0.96328769999999997</v>
      </c>
      <c r="N6698">
        <v>0</v>
      </c>
      <c r="O6698">
        <v>-0.26818380000000003</v>
      </c>
      <c r="P6698">
        <v>-0.99898719999999996</v>
      </c>
      <c r="Q6698">
        <v>4.4651530000000002E-2</v>
      </c>
      <c r="R6698">
        <v>5.569994E-3</v>
      </c>
      <c r="S6698">
        <v>-3.0083470000000001</v>
      </c>
      <c r="T6698">
        <v>-0.1058453</v>
      </c>
      <c r="U6698">
        <v>0.26605220000000002</v>
      </c>
      <c r="V6698">
        <v>0.27391840000000001</v>
      </c>
      <c r="W6698">
        <v>5.3509719999999997E-2</v>
      </c>
      <c r="X6698">
        <v>0.96026319999999998</v>
      </c>
      <c r="Y6698">
        <v>0.35164859999999998</v>
      </c>
      <c r="Z6698">
        <v>1.5527569999999999E-2</v>
      </c>
      <c r="AA6698">
        <v>0.93600329999999998</v>
      </c>
      <c r="AB6698">
        <v>18</v>
      </c>
      <c r="AC6698">
        <v>-31.248099999999901</v>
      </c>
      <c r="AD6698">
        <v>-1.1060174254060999</v>
      </c>
      <c r="AE6698">
        <v>2.8213999999999801</v>
      </c>
      <c r="AF6698">
        <v>11.0851351919287</v>
      </c>
      <c r="AG6698">
        <v>-1.1060174254060999</v>
      </c>
      <c r="AH6698">
        <v>29.3100977998423</v>
      </c>
      <c r="AI6698">
        <v>92.021422083121294</v>
      </c>
      <c r="AJ6698">
        <v>69.283285880684502</v>
      </c>
      <c r="AK6698">
        <v>31.355786225271999</v>
      </c>
      <c r="AL6698">
        <v>86.932653897835493</v>
      </c>
      <c r="AM6698">
        <v>74.079017748014806</v>
      </c>
      <c r="AN6698">
        <v>0.99999999663363903</v>
      </c>
    </row>
    <row r="6699" spans="1:40" x14ac:dyDescent="0.25">
      <c r="A6699" t="str">
        <f>"20190312150823579"</f>
        <v>20190312150823579</v>
      </c>
      <c r="B6699" t="str">
        <f>"1552374503566482"</f>
        <v>1552374503566482</v>
      </c>
      <c r="C6699" t="s">
        <v>40</v>
      </c>
      <c r="D6699">
        <v>4.2321109999999997</v>
      </c>
      <c r="E6699">
        <v>0.52200020000000003</v>
      </c>
      <c r="F6699" t="s">
        <v>42</v>
      </c>
      <c r="G6699">
        <v>-275.10480000000001</v>
      </c>
      <c r="H6699" s="1">
        <v>-3.0359940000000001E-6</v>
      </c>
      <c r="I6699">
        <v>143.2003</v>
      </c>
      <c r="J6699">
        <v>-208.72280000000001</v>
      </c>
      <c r="K6699">
        <v>1.1060129999999999</v>
      </c>
      <c r="L6699">
        <v>138.10890000000001</v>
      </c>
      <c r="M6699">
        <v>-0.96571390000000001</v>
      </c>
      <c r="N6699">
        <v>0</v>
      </c>
      <c r="O6699">
        <v>-0.25931120000000002</v>
      </c>
      <c r="P6699">
        <v>-0.99895109999999998</v>
      </c>
      <c r="Q6699">
        <v>4.4236739999999997E-2</v>
      </c>
      <c r="R6699">
        <v>1.182302E-2</v>
      </c>
      <c r="S6699">
        <v>-3.004013</v>
      </c>
      <c r="T6699">
        <v>-4.992568E-2</v>
      </c>
      <c r="U6699">
        <v>0.228241</v>
      </c>
      <c r="V6699">
        <v>0.27109290000000003</v>
      </c>
      <c r="W6699">
        <v>5.3136410000000002E-2</v>
      </c>
      <c r="X6699">
        <v>0.96108539999999998</v>
      </c>
      <c r="Y6699">
        <v>0.33167350000000001</v>
      </c>
      <c r="Z6699">
        <v>7.028678E-3</v>
      </c>
      <c r="AA6699">
        <v>0.94336810000000004</v>
      </c>
      <c r="AB6699">
        <v>18</v>
      </c>
      <c r="AC6699">
        <v>-66.382000000000005</v>
      </c>
      <c r="AD6699">
        <v>-1.1060160359939999</v>
      </c>
      <c r="AE6699">
        <v>5.0913999999999904</v>
      </c>
      <c r="AF6699">
        <v>22.1260338034615</v>
      </c>
      <c r="AG6699">
        <v>-1.1060160359939999</v>
      </c>
      <c r="AH6699">
        <v>62.773285524662001</v>
      </c>
      <c r="AI6699">
        <v>90.952006541280497</v>
      </c>
      <c r="AJ6699">
        <v>70.583703722375105</v>
      </c>
      <c r="AK6699">
        <v>66.567785143450095</v>
      </c>
      <c r="AL6699">
        <v>86.954073445581002</v>
      </c>
      <c r="AM6699">
        <v>74.247858246807994</v>
      </c>
      <c r="AN6699">
        <v>0.99999999229562897</v>
      </c>
    </row>
    <row r="6700" spans="1:40" x14ac:dyDescent="0.25">
      <c r="A6700" t="str">
        <f>"20190312150823599"</f>
        <v>20190312150823599</v>
      </c>
      <c r="B6700" t="str">
        <f>"1552374503596738"</f>
        <v>1552374503596738</v>
      </c>
      <c r="C6700" t="s">
        <v>40</v>
      </c>
      <c r="D6700">
        <v>4.2006709999999998</v>
      </c>
      <c r="E6700">
        <v>0.51974209999999998</v>
      </c>
      <c r="F6700" t="s">
        <v>77</v>
      </c>
      <c r="G6700">
        <v>-306.2389</v>
      </c>
      <c r="H6700" s="1">
        <v>-1.0595090000000001E-5</v>
      </c>
      <c r="I6700">
        <v>145.13810000000001</v>
      </c>
      <c r="J6700">
        <v>-208.88419999999999</v>
      </c>
      <c r="K6700">
        <v>1.106012</v>
      </c>
      <c r="L6700">
        <v>138.07640000000001</v>
      </c>
      <c r="M6700">
        <v>-0.96797889999999998</v>
      </c>
      <c r="N6700">
        <v>0</v>
      </c>
      <c r="O6700">
        <v>-0.250724</v>
      </c>
      <c r="P6700">
        <v>-0.99889209999999995</v>
      </c>
      <c r="Q6700">
        <v>4.3812610000000002E-2</v>
      </c>
      <c r="R6700">
        <v>1.7183810000000001E-2</v>
      </c>
      <c r="S6700">
        <v>-3.0021059999999999</v>
      </c>
      <c r="T6700">
        <v>-3.4049749999999997E-2</v>
      </c>
      <c r="U6700">
        <v>0.21640010000000001</v>
      </c>
      <c r="V6700">
        <v>0.26771149999999999</v>
      </c>
      <c r="W6700">
        <v>5.2762139999999999E-2</v>
      </c>
      <c r="X6700">
        <v>0.96205339999999995</v>
      </c>
      <c r="Y6700">
        <v>0.31965749999999998</v>
      </c>
      <c r="Z6700">
        <v>4.6338919999999997E-3</v>
      </c>
      <c r="AA6700">
        <v>0.94752190000000003</v>
      </c>
      <c r="AB6700">
        <v>18</v>
      </c>
      <c r="AC6700">
        <v>-97.354699999999994</v>
      </c>
      <c r="AD6700">
        <v>-1.10602259509</v>
      </c>
      <c r="AE6700">
        <v>7.0617000000000001</v>
      </c>
      <c r="AF6700">
        <v>31.2431362590956</v>
      </c>
      <c r="AG6700">
        <v>-1.10602259509</v>
      </c>
      <c r="AH6700">
        <v>92.462022229727097</v>
      </c>
      <c r="AI6700">
        <v>90.649273028838294</v>
      </c>
      <c r="AJ6700">
        <v>71.329767246346407</v>
      </c>
      <c r="AK6700">
        <v>97.604213044805704</v>
      </c>
      <c r="AL6700">
        <v>86.975547737685702</v>
      </c>
      <c r="AM6700">
        <v>74.449660521972604</v>
      </c>
      <c r="AN6700">
        <v>1.0000000175505901</v>
      </c>
    </row>
    <row r="6701" spans="1:40" x14ac:dyDescent="0.25">
      <c r="A6701" t="str">
        <f>"20190312150823614"</f>
        <v>20190312150823614</v>
      </c>
      <c r="B6701" t="str">
        <f>"1552374503606499"</f>
        <v>1552374503606499</v>
      </c>
      <c r="C6701" t="s">
        <v>40</v>
      </c>
      <c r="D6701">
        <v>4.2030839999999996</v>
      </c>
      <c r="E6701">
        <v>0.51887179999999999</v>
      </c>
      <c r="F6701" t="s">
        <v>42</v>
      </c>
      <c r="G6701">
        <v>-328.601</v>
      </c>
      <c r="H6701" s="1">
        <v>-2.4447009999999999E-6</v>
      </c>
      <c r="I6701">
        <v>146.61510000000001</v>
      </c>
      <c r="J6701">
        <v>-209.0033</v>
      </c>
      <c r="K6701">
        <v>1.1060129999999999</v>
      </c>
      <c r="L6701">
        <v>138.05340000000001</v>
      </c>
      <c r="M6701">
        <v>-0.96959850000000003</v>
      </c>
      <c r="N6701">
        <v>0</v>
      </c>
      <c r="O6701">
        <v>-0.2443861</v>
      </c>
      <c r="P6701">
        <v>-0.99880829999999998</v>
      </c>
      <c r="Q6701">
        <v>4.3604820000000002E-2</v>
      </c>
      <c r="R6701">
        <v>2.1929500000000001E-2</v>
      </c>
      <c r="S6701">
        <v>-3.000839</v>
      </c>
      <c r="T6701">
        <v>-2.772355E-2</v>
      </c>
      <c r="U6701">
        <v>0.214035</v>
      </c>
      <c r="V6701">
        <v>0.26598699999999997</v>
      </c>
      <c r="W6701">
        <v>5.2579769999999998E-2</v>
      </c>
      <c r="X6701">
        <v>0.9625416</v>
      </c>
      <c r="Y6701">
        <v>0.31274879999999999</v>
      </c>
      <c r="Z6701">
        <v>3.6854330000000001E-3</v>
      </c>
      <c r="AA6701">
        <v>0.94982869999999997</v>
      </c>
      <c r="AB6701">
        <v>18</v>
      </c>
      <c r="AC6701">
        <v>-119.5977</v>
      </c>
      <c r="AD6701">
        <v>-1.106015444701</v>
      </c>
      <c r="AE6701">
        <v>8.5617000000000001</v>
      </c>
      <c r="AF6701">
        <v>37.529127289066601</v>
      </c>
      <c r="AG6701">
        <v>-1.106015444701</v>
      </c>
      <c r="AH6701">
        <v>113.868480840776</v>
      </c>
      <c r="AI6701">
        <v>90.528537297901195</v>
      </c>
      <c r="AJ6701">
        <v>71.7586533722139</v>
      </c>
      <c r="AK6701">
        <v>119.898663855062</v>
      </c>
      <c r="AL6701">
        <v>86.986011312685093</v>
      </c>
      <c r="AM6701">
        <v>74.552491420849904</v>
      </c>
      <c r="AN6701">
        <v>1.0000000240564</v>
      </c>
    </row>
    <row r="6702" spans="1:40" x14ac:dyDescent="0.25">
      <c r="A6702" t="str">
        <f>"20190312150823633"</f>
        <v>20190312150823633</v>
      </c>
      <c r="B6702" t="str">
        <f>"1552374503626995"</f>
        <v>1552374503626995</v>
      </c>
      <c r="C6702" t="s">
        <v>40</v>
      </c>
      <c r="D6702">
        <v>4.1956089999999904</v>
      </c>
      <c r="E6702">
        <v>0.51743779999999995</v>
      </c>
      <c r="F6702" t="s">
        <v>42</v>
      </c>
      <c r="G6702">
        <v>-326.71789999999999</v>
      </c>
      <c r="H6702" s="1">
        <v>-3.2524329999999998E-6</v>
      </c>
      <c r="I6702">
        <v>146.73390000000001</v>
      </c>
      <c r="J6702">
        <v>-209.15719999999999</v>
      </c>
      <c r="K6702">
        <v>1.1060129999999999</v>
      </c>
      <c r="L6702">
        <v>138.0249</v>
      </c>
      <c r="M6702">
        <v>-0.97162760000000004</v>
      </c>
      <c r="N6702">
        <v>0</v>
      </c>
      <c r="O6702">
        <v>-0.23619009999999999</v>
      </c>
      <c r="P6702">
        <v>-0.99869839999999999</v>
      </c>
      <c r="Q6702">
        <v>4.3405310000000003E-2</v>
      </c>
      <c r="R6702">
        <v>2.678755E-2</v>
      </c>
      <c r="S6702">
        <v>-2.9999389999999999</v>
      </c>
      <c r="T6702">
        <v>-2.8186679999999999E-2</v>
      </c>
      <c r="U6702">
        <v>0.2212219</v>
      </c>
      <c r="V6702">
        <v>0.26253739999999998</v>
      </c>
      <c r="W6702">
        <v>5.2430730000000002E-2</v>
      </c>
      <c r="X6702">
        <v>0.96349629999999997</v>
      </c>
      <c r="Y6702">
        <v>0.30700620000000001</v>
      </c>
      <c r="Z6702">
        <v>3.6455210000000001E-3</v>
      </c>
      <c r="AA6702">
        <v>0.95170049999999995</v>
      </c>
      <c r="AB6702">
        <v>18</v>
      </c>
      <c r="AC6702">
        <v>-117.5607</v>
      </c>
      <c r="AD6702">
        <v>-1.1060162524329999</v>
      </c>
      <c r="AE6702">
        <v>8.7089999999999996</v>
      </c>
      <c r="AF6702">
        <v>36.2281798684715</v>
      </c>
      <c r="AG6702">
        <v>-1.1060162524329999</v>
      </c>
      <c r="AH6702">
        <v>112.16700775190399</v>
      </c>
      <c r="AI6702">
        <v>90.5375997031976</v>
      </c>
      <c r="AJ6702">
        <v>72.100359169390202</v>
      </c>
      <c r="AK6702">
        <v>117.877656561999</v>
      </c>
      <c r="AL6702">
        <v>86.994562380047398</v>
      </c>
      <c r="AM6702">
        <v>74.7578515184248</v>
      </c>
      <c r="AN6702">
        <v>0.99999999398039097</v>
      </c>
    </row>
    <row r="6703" spans="1:40" x14ac:dyDescent="0.25">
      <c r="A6703" t="str">
        <f>"20190312150823647"</f>
        <v>20190312150823647</v>
      </c>
      <c r="B6703" t="str">
        <f>"1552374503636755"</f>
        <v>1552374503636755</v>
      </c>
      <c r="C6703" t="s">
        <v>40</v>
      </c>
      <c r="D6703">
        <v>4.2237239999999998</v>
      </c>
      <c r="E6703">
        <v>0.51690049999999998</v>
      </c>
      <c r="F6703" t="s">
        <v>42</v>
      </c>
      <c r="G6703">
        <v>-343.23570000000001</v>
      </c>
      <c r="H6703" s="1">
        <v>-4.6705670000000004E-6</v>
      </c>
      <c r="I6703">
        <v>148.04820000000001</v>
      </c>
      <c r="J6703">
        <v>-209.26339999999999</v>
      </c>
      <c r="K6703">
        <v>1.1060110000000001</v>
      </c>
      <c r="L6703">
        <v>138.0059</v>
      </c>
      <c r="M6703">
        <v>-0.97298450000000003</v>
      </c>
      <c r="N6703">
        <v>0</v>
      </c>
      <c r="O6703">
        <v>-0.23053589999999999</v>
      </c>
      <c r="P6703">
        <v>-0.99860090000000001</v>
      </c>
      <c r="Q6703">
        <v>4.3165620000000002E-2</v>
      </c>
      <c r="R6703">
        <v>3.054662E-2</v>
      </c>
      <c r="S6703">
        <v>-2.998993</v>
      </c>
      <c r="T6703">
        <v>-2.473879E-2</v>
      </c>
      <c r="U6703">
        <v>0.22419739999999999</v>
      </c>
      <c r="V6703">
        <v>0.2605595</v>
      </c>
      <c r="W6703">
        <v>5.2219300000000003E-2</v>
      </c>
      <c r="X6703">
        <v>0.96404460000000003</v>
      </c>
      <c r="Y6703">
        <v>0.30243530000000002</v>
      </c>
      <c r="Z6703">
        <v>3.1359399999999998E-3</v>
      </c>
      <c r="AA6703">
        <v>0.95316480000000003</v>
      </c>
      <c r="AB6703">
        <v>18</v>
      </c>
      <c r="AC6703">
        <v>-133.97229999999999</v>
      </c>
      <c r="AD6703">
        <v>-1.1060156705669999</v>
      </c>
      <c r="AE6703">
        <v>10.042299999999999</v>
      </c>
      <c r="AF6703">
        <v>40.656809808507603</v>
      </c>
      <c r="AG6703">
        <v>-1.1060156705669999</v>
      </c>
      <c r="AH6703">
        <v>128.039066226448</v>
      </c>
      <c r="AI6703">
        <v>90.471706486172195</v>
      </c>
      <c r="AJ6703">
        <v>72.383565528426004</v>
      </c>
      <c r="AK6703">
        <v>134.34359655230901</v>
      </c>
      <c r="AL6703">
        <v>87.006693211025905</v>
      </c>
      <c r="AM6703">
        <v>74.875610223292696</v>
      </c>
      <c r="AN6703">
        <v>1.00000004956094</v>
      </c>
    </row>
    <row r="6704" spans="1:40" x14ac:dyDescent="0.25">
      <c r="A6704" t="str">
        <f>"20190312150823667"</f>
        <v>20190312150823667</v>
      </c>
      <c r="B6704" t="str">
        <f>"1552374503656278"</f>
        <v>1552374503656278</v>
      </c>
      <c r="C6704" t="s">
        <v>40</v>
      </c>
      <c r="D6704">
        <v>4.5327120000000001</v>
      </c>
      <c r="E6704">
        <v>0.51580289999999995</v>
      </c>
      <c r="F6704" t="s">
        <v>42</v>
      </c>
      <c r="G6704">
        <v>-355.41160000000002</v>
      </c>
      <c r="H6704" s="1">
        <v>-4.1478159999999999E-6</v>
      </c>
      <c r="I6704">
        <v>149.27539999999999</v>
      </c>
      <c r="J6704">
        <v>-209.4247</v>
      </c>
      <c r="K6704">
        <v>1.1060049999999999</v>
      </c>
      <c r="L6704">
        <v>137.97829999999999</v>
      </c>
      <c r="M6704">
        <v>-0.97498180000000001</v>
      </c>
      <c r="N6704">
        <v>0</v>
      </c>
      <c r="O6704">
        <v>-0.22193669999999999</v>
      </c>
      <c r="P6704">
        <v>-0.99842050000000004</v>
      </c>
      <c r="Q6704">
        <v>4.3323830000000001E-2</v>
      </c>
      <c r="R6704">
        <v>3.5773140000000002E-2</v>
      </c>
      <c r="S6704">
        <v>-2.9981080000000002</v>
      </c>
      <c r="T6704">
        <v>-2.2688980000000001E-2</v>
      </c>
      <c r="U6704">
        <v>0.2311859</v>
      </c>
      <c r="V6704">
        <v>0.25709130000000002</v>
      </c>
      <c r="W6704">
        <v>5.2427870000000001E-2</v>
      </c>
      <c r="X6704">
        <v>0.96496389999999999</v>
      </c>
      <c r="Y6704">
        <v>0.29624689999999998</v>
      </c>
      <c r="Z6704">
        <v>2.789475E-3</v>
      </c>
      <c r="AA6704">
        <v>0.95510729999999999</v>
      </c>
      <c r="AB6704">
        <v>18</v>
      </c>
      <c r="AC6704">
        <v>-145.98689999999999</v>
      </c>
      <c r="AD6704">
        <v>-1.1060091478159999</v>
      </c>
      <c r="AE6704">
        <v>11.2971</v>
      </c>
      <c r="AF6704">
        <v>43.415196768311503</v>
      </c>
      <c r="AG6704">
        <v>-1.1060091478159999</v>
      </c>
      <c r="AH6704">
        <v>139.83016064670301</v>
      </c>
      <c r="AI6704">
        <v>90.432800257043695</v>
      </c>
      <c r="AJ6704">
        <v>72.751204207652506</v>
      </c>
      <c r="AK6704">
        <v>146.41918041414201</v>
      </c>
      <c r="AL6704">
        <v>86.994726409142402</v>
      </c>
      <c r="AM6704">
        <v>75.081466849795603</v>
      </c>
      <c r="AN6704">
        <v>0.99999997319581801</v>
      </c>
    </row>
    <row r="6705" spans="1:40" x14ac:dyDescent="0.25">
      <c r="A6705" t="str">
        <f>"20190312150823688"</f>
        <v>20190312150823688</v>
      </c>
      <c r="B6705" t="str">
        <f>"1552374503676770"</f>
        <v>1552374503676770</v>
      </c>
      <c r="C6705" t="s">
        <v>40</v>
      </c>
      <c r="D6705">
        <v>4.2119629999999999</v>
      </c>
      <c r="E6705">
        <v>0.51464739999999998</v>
      </c>
      <c r="F6705" t="s">
        <v>42</v>
      </c>
      <c r="G6705">
        <v>-369.2824</v>
      </c>
      <c r="H6705">
        <v>7.9986680000000004E-2</v>
      </c>
      <c r="I6705">
        <v>150.66499999999999</v>
      </c>
      <c r="J6705">
        <v>-209.5943</v>
      </c>
      <c r="K6705">
        <v>1.1060049999999999</v>
      </c>
      <c r="L6705">
        <v>137.95099999999999</v>
      </c>
      <c r="M6705">
        <v>-0.97699619999999998</v>
      </c>
      <c r="N6705">
        <v>0</v>
      </c>
      <c r="O6705">
        <v>-0.2128941</v>
      </c>
      <c r="P6705">
        <v>-0.9981968</v>
      </c>
      <c r="Q6705">
        <v>4.3636019999999998E-2</v>
      </c>
      <c r="R6705">
        <v>4.1221250000000001E-2</v>
      </c>
      <c r="S6705">
        <v>-2.997055</v>
      </c>
      <c r="T6705">
        <v>-1.9236090000000001E-2</v>
      </c>
      <c r="U6705">
        <v>0.23785400000000001</v>
      </c>
      <c r="V6705">
        <v>0.25341390000000003</v>
      </c>
      <c r="W6705">
        <v>5.2793100000000003E-2</v>
      </c>
      <c r="X6705">
        <v>0.96591629999999995</v>
      </c>
      <c r="Y6705">
        <v>0.28953279999999998</v>
      </c>
      <c r="Z6705">
        <v>2.2870389999999998E-3</v>
      </c>
      <c r="AA6705">
        <v>0.95716540000000006</v>
      </c>
      <c r="AB6705">
        <v>18</v>
      </c>
      <c r="AC6705">
        <v>-159.68809999999999</v>
      </c>
      <c r="AD6705">
        <v>-1.0260183199999999</v>
      </c>
      <c r="AE6705">
        <v>12.714</v>
      </c>
      <c r="AF6705">
        <v>46.419866619380699</v>
      </c>
      <c r="AG6705">
        <v>-1.0260183199999999</v>
      </c>
      <c r="AH6705">
        <v>153.313488522733</v>
      </c>
      <c r="AI6705">
        <v>90.3669821352659</v>
      </c>
      <c r="AJ6705">
        <v>73.154871287725399</v>
      </c>
      <c r="AK6705">
        <v>160.19014480786299</v>
      </c>
      <c r="AL6705">
        <v>86.973771353804594</v>
      </c>
      <c r="AM6705">
        <v>75.299417139635693</v>
      </c>
      <c r="AN6705">
        <v>1.00000000736325</v>
      </c>
    </row>
    <row r="6706" spans="1:40" x14ac:dyDescent="0.25">
      <c r="A6706" t="str">
        <f>"20190312150823711"</f>
        <v>20190312150823711</v>
      </c>
      <c r="B6706" t="str">
        <f>"1552374503707026"</f>
        <v>1552374503707026</v>
      </c>
      <c r="C6706" t="s">
        <v>40</v>
      </c>
      <c r="D6706">
        <v>4.2138460000000002</v>
      </c>
      <c r="E6706">
        <v>0.51364949999999998</v>
      </c>
      <c r="F6706" t="s">
        <v>77</v>
      </c>
      <c r="G6706">
        <v>-425.78390000000002</v>
      </c>
      <c r="H6706" s="1">
        <v>-1.6930189999999999E-5</v>
      </c>
      <c r="I6706">
        <v>155.62549999999999</v>
      </c>
      <c r="J6706">
        <v>-209.7783</v>
      </c>
      <c r="K6706">
        <v>1.1060049999999999</v>
      </c>
      <c r="L6706">
        <v>137.92320000000001</v>
      </c>
      <c r="M6706">
        <v>-0.97908410000000001</v>
      </c>
      <c r="N6706">
        <v>0</v>
      </c>
      <c r="O6706">
        <v>-0.20307620000000001</v>
      </c>
      <c r="P6706">
        <v>-0.99792360000000002</v>
      </c>
      <c r="Q6706">
        <v>4.3766100000000002E-2</v>
      </c>
      <c r="R6706">
        <v>4.7258509999999997E-2</v>
      </c>
      <c r="S6706">
        <v>-2.9959720000000001</v>
      </c>
      <c r="T6706">
        <v>-1.532733E-2</v>
      </c>
      <c r="U6706">
        <v>0.24493409999999999</v>
      </c>
      <c r="V6706">
        <v>0.2495568</v>
      </c>
      <c r="W6706">
        <v>5.2978329999999997E-2</v>
      </c>
      <c r="X6706">
        <v>0.96690989999999999</v>
      </c>
      <c r="Y6706">
        <v>0.28219470000000002</v>
      </c>
      <c r="Z6706">
        <v>1.7546180000000001E-3</v>
      </c>
      <c r="AA6706">
        <v>0.95935550000000003</v>
      </c>
      <c r="AB6706">
        <v>18</v>
      </c>
      <c r="AC6706">
        <v>-216.00559999999999</v>
      </c>
      <c r="AD6706">
        <v>-1.1060219301899901</v>
      </c>
      <c r="AE6706">
        <v>17.702299999999902</v>
      </c>
      <c r="AF6706">
        <v>61.2007674984714</v>
      </c>
      <c r="AG6706">
        <v>-1.1060219301899901</v>
      </c>
      <c r="AH6706">
        <v>207.903367555214</v>
      </c>
      <c r="AI6706">
        <v>90.292398642641402</v>
      </c>
      <c r="AJ6706">
        <v>73.597088779434003</v>
      </c>
      <c r="AK6706">
        <v>216.72694218234699</v>
      </c>
      <c r="AL6706">
        <v>86.963143644415297</v>
      </c>
      <c r="AM6706">
        <v>75.527946739038896</v>
      </c>
      <c r="AN6706">
        <v>1.0000000272969101</v>
      </c>
    </row>
    <row r="6707" spans="1:40" x14ac:dyDescent="0.25">
      <c r="A6707" t="str">
        <f>"20190312150823725"</f>
        <v>20190312150823725</v>
      </c>
      <c r="B6707" t="str">
        <f>"1552374503716786"</f>
        <v>1552374503716786</v>
      </c>
      <c r="C6707" t="s">
        <v>40</v>
      </c>
      <c r="D6707">
        <v>4.1827259999999997</v>
      </c>
      <c r="E6707">
        <v>0.50162119999999999</v>
      </c>
      <c r="F6707" t="s">
        <v>43</v>
      </c>
      <c r="G6707">
        <v>-477.03500000000003</v>
      </c>
      <c r="H6707">
        <v>-0.05</v>
      </c>
      <c r="I6707">
        <v>160.68700000000001</v>
      </c>
      <c r="J6707">
        <v>-209.8871</v>
      </c>
      <c r="K6707">
        <v>1.106006</v>
      </c>
      <c r="L6707">
        <v>137.9075</v>
      </c>
      <c r="M6707">
        <v>-0.98027059999999999</v>
      </c>
      <c r="N6707">
        <v>0</v>
      </c>
      <c r="O6707">
        <v>-0.1972691</v>
      </c>
      <c r="P6707">
        <v>-0.99773800000000001</v>
      </c>
      <c r="Q6707">
        <v>4.3491420000000003E-2</v>
      </c>
      <c r="R6707">
        <v>5.1259480000000003E-2</v>
      </c>
      <c r="S6707">
        <v>-2.9947509999999999</v>
      </c>
      <c r="T6707">
        <v>-1.2953640000000001E-2</v>
      </c>
      <c r="U6707">
        <v>0.25508120000000001</v>
      </c>
      <c r="V6707">
        <v>0.24770030000000001</v>
      </c>
      <c r="W6707">
        <v>5.2731189999999997E-2</v>
      </c>
      <c r="X6707">
        <v>0.96740060000000005</v>
      </c>
      <c r="Y6707">
        <v>0.27976889999999999</v>
      </c>
      <c r="Z6707">
        <v>1.4533300000000001E-3</v>
      </c>
      <c r="AA6707">
        <v>0.96006630000000004</v>
      </c>
      <c r="AB6707">
        <v>18</v>
      </c>
      <c r="AC6707">
        <v>-267.14789999999999</v>
      </c>
      <c r="AD6707">
        <v>-1.1560059999999901</v>
      </c>
      <c r="AE6707">
        <v>22.779499999999999</v>
      </c>
      <c r="AF6707">
        <v>75.034500052000396</v>
      </c>
      <c r="AG6707">
        <v>-1.1560059999999901</v>
      </c>
      <c r="AH6707">
        <v>257.39863494468398</v>
      </c>
      <c r="AI6707">
        <v>90.247037683581198</v>
      </c>
      <c r="AJ6707">
        <v>73.748022281982699</v>
      </c>
      <c r="AK6707">
        <v>268.114844459072</v>
      </c>
      <c r="AL6707">
        <v>86.977323367001603</v>
      </c>
      <c r="AM6707">
        <v>75.6381207263736</v>
      </c>
      <c r="AN6707">
        <v>0.99999996894963195</v>
      </c>
    </row>
    <row r="6708" spans="1:40" x14ac:dyDescent="0.25">
      <c r="A6708" t="str">
        <f>"20190312150823746"</f>
        <v>20190312150823746</v>
      </c>
      <c r="B6708" t="str">
        <f>"1552374503736310"</f>
        <v>1552374503736310</v>
      </c>
      <c r="C6708" t="s">
        <v>40</v>
      </c>
      <c r="D6708">
        <v>4.2713429999999999</v>
      </c>
      <c r="E6708">
        <v>0.50080159999999996</v>
      </c>
      <c r="F6708" t="s">
        <v>77</v>
      </c>
      <c r="G6708">
        <v>-299.50740000000002</v>
      </c>
      <c r="H6708" s="1">
        <v>-8.9939999999999905E-6</v>
      </c>
      <c r="I6708">
        <v>143.0445</v>
      </c>
      <c r="J6708">
        <v>-210.0513</v>
      </c>
      <c r="K6708">
        <v>1.1060030000000001</v>
      </c>
      <c r="L6708">
        <v>137.8852</v>
      </c>
      <c r="M6708">
        <v>-0.98199429999999999</v>
      </c>
      <c r="N6708">
        <v>0</v>
      </c>
      <c r="O6708">
        <v>-0.18850120000000001</v>
      </c>
      <c r="P6708">
        <v>-0.99747589999999997</v>
      </c>
      <c r="Q6708">
        <v>4.4013980000000001E-2</v>
      </c>
      <c r="R6708">
        <v>5.5720430000000001E-2</v>
      </c>
      <c r="S6708">
        <v>-2.9995880000000001</v>
      </c>
      <c r="T6708">
        <v>-3.7018299999999997E-2</v>
      </c>
      <c r="U6708">
        <v>0.17193599999999901</v>
      </c>
      <c r="V6708">
        <v>0.24337780000000001</v>
      </c>
      <c r="W6708">
        <v>5.3315929999999997E-2</v>
      </c>
      <c r="X6708">
        <v>0.96846509999999997</v>
      </c>
      <c r="Y6708">
        <v>0.24437390000000001</v>
      </c>
      <c r="Z6708">
        <v>3.823763E-3</v>
      </c>
      <c r="AA6708">
        <v>0.96967349999999997</v>
      </c>
      <c r="AB6708">
        <v>18</v>
      </c>
      <c r="AC6708">
        <v>-89.456100000000006</v>
      </c>
      <c r="AD6708">
        <v>-1.1060119939999999</v>
      </c>
      <c r="AE6708">
        <v>5.1593</v>
      </c>
      <c r="AF6708">
        <v>21.927338769840102</v>
      </c>
      <c r="AG6708">
        <v>-1.1060119939999999</v>
      </c>
      <c r="AH6708">
        <v>86.866322888153405</v>
      </c>
      <c r="AI6708">
        <v>90.707286731820005</v>
      </c>
      <c r="AJ6708">
        <v>75.832995659428406</v>
      </c>
      <c r="AK6708">
        <v>89.597932454756702</v>
      </c>
      <c r="AL6708">
        <v>86.943773117331901</v>
      </c>
      <c r="AM6708">
        <v>75.893534680872804</v>
      </c>
      <c r="AN6708">
        <v>0.99999999592130695</v>
      </c>
    </row>
    <row r="6709" spans="1:40" x14ac:dyDescent="0.25">
      <c r="A6709" t="str">
        <f>"20190312150823768"</f>
        <v>20190312150823768</v>
      </c>
      <c r="B6709" t="str">
        <f>"1552374503756802"</f>
        <v>1552374503756802</v>
      </c>
      <c r="C6709" t="s">
        <v>40</v>
      </c>
      <c r="D6709">
        <v>4.1481370000000002</v>
      </c>
      <c r="E6709">
        <v>0.50011399999999995</v>
      </c>
      <c r="F6709" t="s">
        <v>42</v>
      </c>
      <c r="G6709">
        <v>-320.53930000000003</v>
      </c>
      <c r="H6709" s="1">
        <v>-4.9526209999999998E-6</v>
      </c>
      <c r="I6709">
        <v>144.46530000000001</v>
      </c>
      <c r="J6709">
        <v>-210.23220000000001</v>
      </c>
      <c r="K6709">
        <v>1.1059939999999999</v>
      </c>
      <c r="L6709">
        <v>137.86240000000001</v>
      </c>
      <c r="M6709">
        <v>-0.98379970000000005</v>
      </c>
      <c r="N6709">
        <v>0</v>
      </c>
      <c r="O6709">
        <v>-0.17883979999999999</v>
      </c>
      <c r="P6709">
        <v>-0.99714290000000005</v>
      </c>
      <c r="Q6709">
        <v>4.4292930000000001E-2</v>
      </c>
      <c r="R6709">
        <v>6.1193499999999998E-2</v>
      </c>
      <c r="S6709">
        <v>-2.9989469999999998</v>
      </c>
      <c r="T6709">
        <v>-3.0020120000000001E-2</v>
      </c>
      <c r="U6709">
        <v>0.17860409999999999</v>
      </c>
      <c r="V6709">
        <v>0.23916960000000001</v>
      </c>
      <c r="W6709">
        <v>5.365495E-2</v>
      </c>
      <c r="X6709">
        <v>0.96949419999999997</v>
      </c>
      <c r="Y6709">
        <v>0.2370082</v>
      </c>
      <c r="Z6709">
        <v>2.9690229999999999E-3</v>
      </c>
      <c r="AA6709">
        <v>0.97150309999999995</v>
      </c>
      <c r="AB6709">
        <v>18</v>
      </c>
      <c r="AC6709">
        <v>-110.30710000000001</v>
      </c>
      <c r="AD6709">
        <v>-1.1059989526209999</v>
      </c>
      <c r="AE6709">
        <v>6.6029</v>
      </c>
      <c r="AF6709">
        <v>26.2226296189355</v>
      </c>
      <c r="AG6709">
        <v>-1.1059989526209999</v>
      </c>
      <c r="AH6709">
        <v>107.336770003928</v>
      </c>
      <c r="AI6709">
        <v>90.573490467520898</v>
      </c>
      <c r="AJ6709">
        <v>76.271412063524707</v>
      </c>
      <c r="AK6709">
        <v>110.499012360705</v>
      </c>
      <c r="AL6709">
        <v>86.924320801973195</v>
      </c>
      <c r="AM6709">
        <v>76.1421055165723</v>
      </c>
      <c r="AN6709">
        <v>0.99999997752865</v>
      </c>
    </row>
    <row r="6710" spans="1:40" x14ac:dyDescent="0.25">
      <c r="A6710" t="str">
        <f>"20190312150823790"</f>
        <v>20190312150823790</v>
      </c>
      <c r="B6710" t="str">
        <f>"1552374503787059"</f>
        <v>1552374503787059</v>
      </c>
      <c r="C6710" t="s">
        <v>40</v>
      </c>
      <c r="D6710">
        <v>4.1550010000000004</v>
      </c>
      <c r="E6710">
        <v>0.4979053</v>
      </c>
      <c r="F6710" t="s">
        <v>42</v>
      </c>
      <c r="G6710">
        <v>-364.86070000000001</v>
      </c>
      <c r="H6710" s="1">
        <v>-4.0409200000000003E-6</v>
      </c>
      <c r="I6710">
        <v>147.61590000000001</v>
      </c>
      <c r="J6710">
        <v>-210.40610000000001</v>
      </c>
      <c r="K6710">
        <v>1.105996</v>
      </c>
      <c r="L6710">
        <v>137.84219999999999</v>
      </c>
      <c r="M6710">
        <v>-0.98544370000000003</v>
      </c>
      <c r="N6710">
        <v>0</v>
      </c>
      <c r="O6710">
        <v>-0.1695479</v>
      </c>
      <c r="P6710">
        <v>-0.99685840000000003</v>
      </c>
      <c r="Q6710">
        <v>4.410269E-2</v>
      </c>
      <c r="R6710">
        <v>6.5792719999999999E-2</v>
      </c>
      <c r="S6710">
        <v>-2.9979399999999998</v>
      </c>
      <c r="T6710">
        <v>-2.1443130000000001E-2</v>
      </c>
      <c r="U6710">
        <v>0.1891022</v>
      </c>
      <c r="V6710">
        <v>0.23448659999999999</v>
      </c>
      <c r="W6710">
        <v>5.3532099999999999E-2</v>
      </c>
      <c r="X6710">
        <v>0.97064430000000002</v>
      </c>
      <c r="Y6710">
        <v>0.23125509999999999</v>
      </c>
      <c r="Z6710">
        <v>2.034999E-3</v>
      </c>
      <c r="AA6710">
        <v>0.97289099999999995</v>
      </c>
      <c r="AB6710">
        <v>18</v>
      </c>
      <c r="AC6710">
        <v>-154.4546</v>
      </c>
      <c r="AD6710">
        <v>-1.1060000409199999</v>
      </c>
      <c r="AE6710">
        <v>9.7737000000000194</v>
      </c>
      <c r="AF6710">
        <v>35.819817198216803</v>
      </c>
      <c r="AG6710">
        <v>-1.1060000409199999</v>
      </c>
      <c r="AH6710">
        <v>150.553123793422</v>
      </c>
      <c r="AI6710">
        <v>90.409471753077199</v>
      </c>
      <c r="AJ6710">
        <v>76.616925862420899</v>
      </c>
      <c r="AK6710">
        <v>154.759573610687</v>
      </c>
      <c r="AL6710">
        <v>86.931369801084003</v>
      </c>
      <c r="AM6710">
        <v>76.418792541097901</v>
      </c>
      <c r="AN6710">
        <v>1.00000000421623</v>
      </c>
    </row>
    <row r="6711" spans="1:40" x14ac:dyDescent="0.25">
      <c r="A6711" t="str">
        <f>"20190312150823812"</f>
        <v>20190312150823812</v>
      </c>
      <c r="B6711" t="str">
        <f>"1552374503806579"</f>
        <v>1552374503806579</v>
      </c>
      <c r="C6711" t="s">
        <v>40</v>
      </c>
      <c r="D6711">
        <v>4.2600239999999996</v>
      </c>
      <c r="E6711">
        <v>0.49734460000000003</v>
      </c>
      <c r="F6711" t="s">
        <v>77</v>
      </c>
      <c r="G6711">
        <v>-310.39839999999998</v>
      </c>
      <c r="H6711" s="1">
        <v>-1.060509E-5</v>
      </c>
      <c r="I6711">
        <v>144.0334</v>
      </c>
      <c r="J6711">
        <v>-210.5797</v>
      </c>
      <c r="K6711">
        <v>1.1060019999999999</v>
      </c>
      <c r="L6711">
        <v>137.8236</v>
      </c>
      <c r="M6711">
        <v>-0.98699420000000004</v>
      </c>
      <c r="N6711">
        <v>0</v>
      </c>
      <c r="O6711">
        <v>-0.16027559999999999</v>
      </c>
      <c r="P6711">
        <v>-0.99659450000000005</v>
      </c>
      <c r="Q6711">
        <v>4.368619E-2</v>
      </c>
      <c r="R6711">
        <v>6.9936929999999994E-2</v>
      </c>
      <c r="S6711">
        <v>-2.998672</v>
      </c>
      <c r="T6711">
        <v>-3.3168080000000003E-2</v>
      </c>
      <c r="U6711">
        <v>0.1856689</v>
      </c>
      <c r="V6711">
        <v>0.2293886</v>
      </c>
      <c r="W6711">
        <v>5.3189750000000001E-2</v>
      </c>
      <c r="X6711">
        <v>0.97188050000000004</v>
      </c>
      <c r="Y6711">
        <v>0.22095799999999999</v>
      </c>
      <c r="Z6711">
        <v>2.988414E-3</v>
      </c>
      <c r="AA6711">
        <v>0.97527870000000005</v>
      </c>
      <c r="AB6711">
        <v>18</v>
      </c>
      <c r="AC6711">
        <v>-99.818699999999893</v>
      </c>
      <c r="AD6711">
        <v>-1.1060126050900001</v>
      </c>
      <c r="AE6711">
        <v>6.2098000000000004</v>
      </c>
      <c r="AF6711">
        <v>22.1265386116754</v>
      </c>
      <c r="AG6711">
        <v>-1.1060126050900001</v>
      </c>
      <c r="AH6711">
        <v>97.520791094849102</v>
      </c>
      <c r="AI6711">
        <v>90.633676241566903</v>
      </c>
      <c r="AJ6711">
        <v>77.216561388164294</v>
      </c>
      <c r="AK6711">
        <v>100.00555819844099</v>
      </c>
      <c r="AL6711">
        <v>86.951012962205397</v>
      </c>
      <c r="AM6711">
        <v>76.719778680597102</v>
      </c>
      <c r="AN6711">
        <v>0.99999999279763596</v>
      </c>
    </row>
    <row r="6712" spans="1:40" x14ac:dyDescent="0.25">
      <c r="A6712" t="str">
        <f>"20190312150823826"</f>
        <v>20190312150823826</v>
      </c>
      <c r="B6712" t="str">
        <f>"1552374503816339"</f>
        <v>1552374503816339</v>
      </c>
      <c r="C6712" t="s">
        <v>40</v>
      </c>
      <c r="D6712">
        <v>4.1448299999999998</v>
      </c>
      <c r="E6712">
        <v>0.49658079999999999</v>
      </c>
      <c r="F6712" t="s">
        <v>77</v>
      </c>
      <c r="G6712">
        <v>-311.62790000000001</v>
      </c>
      <c r="H6712" s="1">
        <v>-1.0152320000000001E-5</v>
      </c>
      <c r="I6712">
        <v>144.3442</v>
      </c>
      <c r="J6712">
        <v>-210.68989999999999</v>
      </c>
      <c r="K6712">
        <v>1.1060019999999999</v>
      </c>
      <c r="L6712">
        <v>137.8126</v>
      </c>
      <c r="M6712">
        <v>-0.98793249999999999</v>
      </c>
      <c r="N6712">
        <v>0</v>
      </c>
      <c r="O6712">
        <v>-0.1543862</v>
      </c>
      <c r="P6712">
        <v>-0.99636449999999999</v>
      </c>
      <c r="Q6712">
        <v>4.3566929999999997E-2</v>
      </c>
      <c r="R6712">
        <v>7.3210490000000003E-2</v>
      </c>
      <c r="S6712">
        <v>-2.9981080000000002</v>
      </c>
      <c r="T6712">
        <v>-3.2815459999999998E-2</v>
      </c>
      <c r="U6712">
        <v>0.1934662</v>
      </c>
      <c r="V6712">
        <v>0.2267817</v>
      </c>
      <c r="W6712">
        <v>5.3108309999999999E-2</v>
      </c>
      <c r="X6712">
        <v>0.97249660000000004</v>
      </c>
      <c r="Y6712">
        <v>0.2176787</v>
      </c>
      <c r="Z6712">
        <v>2.8751710000000002E-3</v>
      </c>
      <c r="AA6712">
        <v>0.9760162</v>
      </c>
      <c r="AB6712">
        <v>18</v>
      </c>
      <c r="AC6712">
        <v>-100.938</v>
      </c>
      <c r="AD6712">
        <v>-1.1060121523199999</v>
      </c>
      <c r="AE6712">
        <v>6.5315999999999903</v>
      </c>
      <c r="AF6712">
        <v>22.0352796089931</v>
      </c>
      <c r="AG6712">
        <v>-1.1060121523199999</v>
      </c>
      <c r="AH6712">
        <v>98.707355389814893</v>
      </c>
      <c r="AI6712">
        <v>90.626549075099106</v>
      </c>
      <c r="AJ6712">
        <v>77.415717278937095</v>
      </c>
      <c r="AK6712">
        <v>101.143061147954</v>
      </c>
      <c r="AL6712">
        <v>86.955685862223405</v>
      </c>
      <c r="AM6712">
        <v>76.873474741819706</v>
      </c>
      <c r="AN6712">
        <v>1.0000000345287501</v>
      </c>
    </row>
    <row r="6713" spans="1:40" x14ac:dyDescent="0.25">
      <c r="A6713" t="str">
        <f>"20190312150823846"</f>
        <v>20190312150823846</v>
      </c>
      <c r="B6713" t="str">
        <f>"1552374503836834"</f>
        <v>1552374503836834</v>
      </c>
      <c r="C6713" t="s">
        <v>40</v>
      </c>
      <c r="D6713">
        <v>4.1592969999999996</v>
      </c>
      <c r="E6713">
        <v>0.49533670000000002</v>
      </c>
      <c r="F6713" t="s">
        <v>77</v>
      </c>
      <c r="G6713">
        <v>-300.37119999999999</v>
      </c>
      <c r="H6713" s="1">
        <v>-9.2042790000000002E-6</v>
      </c>
      <c r="I6713">
        <v>143.71379999999999</v>
      </c>
      <c r="J6713">
        <v>-210.85599999999999</v>
      </c>
      <c r="K6713">
        <v>1.1060019999999999</v>
      </c>
      <c r="L6713">
        <v>137.79730000000001</v>
      </c>
      <c r="M6713">
        <v>-0.98927719999999997</v>
      </c>
      <c r="N6713">
        <v>0</v>
      </c>
      <c r="O6713">
        <v>-0.14551979999999901</v>
      </c>
      <c r="P6713">
        <v>-0.99609449999999999</v>
      </c>
      <c r="Q6713">
        <v>4.3485429999999999E-2</v>
      </c>
      <c r="R6713">
        <v>7.6843839999999997E-2</v>
      </c>
      <c r="S6713">
        <v>-2.998062</v>
      </c>
      <c r="T6713">
        <v>-3.6974189999999997E-2</v>
      </c>
      <c r="U6713">
        <v>0.19728090000000001</v>
      </c>
      <c r="V6713">
        <v>0.22159980000000001</v>
      </c>
      <c r="W6713">
        <v>5.3102120000000003E-2</v>
      </c>
      <c r="X6713">
        <v>0.97369070000000002</v>
      </c>
      <c r="Y6713">
        <v>0.2101518</v>
      </c>
      <c r="Z6713">
        <v>3.084556E-3</v>
      </c>
      <c r="AA6713">
        <v>0.97766390000000003</v>
      </c>
      <c r="AB6713">
        <v>18</v>
      </c>
      <c r="AC6713">
        <v>-89.515199999999993</v>
      </c>
      <c r="AD6713">
        <v>-1.106011204279</v>
      </c>
      <c r="AE6713">
        <v>5.9164999999999797</v>
      </c>
      <c r="AF6713">
        <v>18.877882817623298</v>
      </c>
      <c r="AG6713">
        <v>-1.106011204279</v>
      </c>
      <c r="AH6713">
        <v>87.687830282916593</v>
      </c>
      <c r="AI6713">
        <v>90.706452261418406</v>
      </c>
      <c r="AJ6713">
        <v>77.850507750841103</v>
      </c>
      <c r="AK6713">
        <v>89.703697249252201</v>
      </c>
      <c r="AL6713">
        <v>86.956040745032496</v>
      </c>
      <c r="AM6713">
        <v>77.178587566464799</v>
      </c>
      <c r="AN6713">
        <v>0.99999994288751004</v>
      </c>
    </row>
    <row r="6714" spans="1:40" x14ac:dyDescent="0.25">
      <c r="A6714" t="str">
        <f>"20190312150823868"</f>
        <v>20190312150823868</v>
      </c>
      <c r="B6714" t="str">
        <f>"1552374503856354"</f>
        <v>1552374503856354</v>
      </c>
      <c r="C6714" t="s">
        <v>40</v>
      </c>
      <c r="D6714">
        <v>4.1951390000000002</v>
      </c>
      <c r="E6714">
        <v>0.48660720000000002</v>
      </c>
      <c r="F6714" t="s">
        <v>77</v>
      </c>
      <c r="G6714">
        <v>-289.34840000000003</v>
      </c>
      <c r="H6714" s="1">
        <v>-9.5333599999999998E-6</v>
      </c>
      <c r="I6714">
        <v>142.98830000000001</v>
      </c>
      <c r="J6714">
        <v>-211.0291</v>
      </c>
      <c r="K6714">
        <v>1.1060160000000001</v>
      </c>
      <c r="L6714">
        <v>137.78309999999999</v>
      </c>
      <c r="M6714">
        <v>-0.99059209999999998</v>
      </c>
      <c r="N6714">
        <v>0</v>
      </c>
      <c r="O6714">
        <v>-0.1362826</v>
      </c>
      <c r="P6714">
        <v>-0.99599170000000004</v>
      </c>
      <c r="Q6714">
        <v>4.3651240000000001E-2</v>
      </c>
      <c r="R6714">
        <v>7.8071589999999996E-2</v>
      </c>
      <c r="S6714">
        <v>-2.9983219999999999</v>
      </c>
      <c r="T6714">
        <v>-4.224837E-2</v>
      </c>
      <c r="U6714">
        <v>0.19828799999999999</v>
      </c>
      <c r="V6714">
        <v>0.213703</v>
      </c>
      <c r="W6714">
        <v>5.3381150000000002E-2</v>
      </c>
      <c r="X6714">
        <v>0.9754391</v>
      </c>
      <c r="Y6714">
        <v>0.20133570000000001</v>
      </c>
      <c r="Z6714">
        <v>3.332799E-3</v>
      </c>
      <c r="AA6714">
        <v>0.97951659999999996</v>
      </c>
      <c r="AB6714">
        <v>18</v>
      </c>
      <c r="AC6714">
        <v>-78.319299999999998</v>
      </c>
      <c r="AD6714">
        <v>-1.10602553336</v>
      </c>
      <c r="AE6714">
        <v>5.2052000000000103</v>
      </c>
      <c r="AF6714">
        <v>15.827866907633901</v>
      </c>
      <c r="AG6714">
        <v>-1.10602553336</v>
      </c>
      <c r="AH6714">
        <v>76.863773210786903</v>
      </c>
      <c r="AI6714">
        <v>90.807457009693394</v>
      </c>
      <c r="AJ6714">
        <v>78.364240413379704</v>
      </c>
      <c r="AK6714">
        <v>78.4842933046192</v>
      </c>
      <c r="AL6714">
        <v>86.940030904499906</v>
      </c>
      <c r="AM6714">
        <v>77.642656705466806</v>
      </c>
      <c r="AN6714">
        <v>0.99999997859656597</v>
      </c>
    </row>
    <row r="6715" spans="1:40" x14ac:dyDescent="0.25">
      <c r="A6715" t="str">
        <f>"20190312150823889"</f>
        <v>20190312150823889</v>
      </c>
      <c r="B6715" t="str">
        <f>"1552374503886610"</f>
        <v>1552374503886610</v>
      </c>
      <c r="C6715" t="s">
        <v>40</v>
      </c>
      <c r="D6715">
        <v>4.1768260000000001</v>
      </c>
      <c r="E6715">
        <v>0.4857687</v>
      </c>
      <c r="F6715" t="s">
        <v>42</v>
      </c>
      <c r="G6715">
        <v>-256.92579999999998</v>
      </c>
      <c r="H6715" s="1">
        <v>-1.3542019999999999E-6</v>
      </c>
      <c r="I6715">
        <v>139.81559999999999</v>
      </c>
      <c r="J6715">
        <v>-211.2055</v>
      </c>
      <c r="K6715">
        <v>1.1060270000000001</v>
      </c>
      <c r="L6715">
        <v>137.77019999999999</v>
      </c>
      <c r="M6715">
        <v>-0.99184019999999995</v>
      </c>
      <c r="N6715">
        <v>0</v>
      </c>
      <c r="O6715">
        <v>-0.12688139999999901</v>
      </c>
      <c r="P6715">
        <v>-0.99569269999999999</v>
      </c>
      <c r="Q6715">
        <v>4.3889190000000002E-2</v>
      </c>
      <c r="R6715">
        <v>8.1670190000000004E-2</v>
      </c>
      <c r="S6715">
        <v>-3.004807</v>
      </c>
      <c r="T6715">
        <v>-7.2409870000000001E-2</v>
      </c>
      <c r="U6715">
        <v>0.13307189999999999</v>
      </c>
      <c r="V6715">
        <v>0.20796970000000001</v>
      </c>
      <c r="W6715">
        <v>5.370113E-2</v>
      </c>
      <c r="X6715">
        <v>0.97665999999999997</v>
      </c>
      <c r="Y6715">
        <v>0.1705661</v>
      </c>
      <c r="Z6715">
        <v>5.1056799999999996E-3</v>
      </c>
      <c r="AA6715">
        <v>0.98533300000000001</v>
      </c>
      <c r="AB6715">
        <v>18</v>
      </c>
      <c r="AC6715">
        <v>-45.720299999999902</v>
      </c>
      <c r="AD6715">
        <v>-1.106028354202</v>
      </c>
      <c r="AE6715">
        <v>2.0453999999999999</v>
      </c>
      <c r="AF6715">
        <v>7.8257984646747598</v>
      </c>
      <c r="AG6715">
        <v>-1.106028354202</v>
      </c>
      <c r="AH6715">
        <v>45.06486342945</v>
      </c>
      <c r="AI6715">
        <v>91.385206752439899</v>
      </c>
      <c r="AJ6715">
        <v>80.148470869923997</v>
      </c>
      <c r="AK6715">
        <v>45.752686656031202</v>
      </c>
      <c r="AL6715">
        <v>86.921671075034595</v>
      </c>
      <c r="AM6715">
        <v>77.978997655172407</v>
      </c>
      <c r="AN6715">
        <v>0.99999998154068304</v>
      </c>
    </row>
    <row r="6716" spans="1:40" x14ac:dyDescent="0.25">
      <c r="A6716" t="str">
        <f>"20190312150823912"</f>
        <v>20190312150823912</v>
      </c>
      <c r="B6716" t="str">
        <f>"1552374503907106"</f>
        <v>1552374503907106</v>
      </c>
      <c r="C6716" t="s">
        <v>40</v>
      </c>
      <c r="D6716">
        <v>4.1585510000000001</v>
      </c>
      <c r="E6716">
        <v>0.45291550000000003</v>
      </c>
      <c r="F6716" t="s">
        <v>42</v>
      </c>
      <c r="G6716">
        <v>-257.14699999999999</v>
      </c>
      <c r="H6716" s="1">
        <v>-1.272428E-6</v>
      </c>
      <c r="I6716">
        <v>139.86500000000001</v>
      </c>
      <c r="J6716">
        <v>-211.3896</v>
      </c>
      <c r="K6716">
        <v>1.106036</v>
      </c>
      <c r="L6716">
        <v>137.7585</v>
      </c>
      <c r="M6716">
        <v>-0.99304420000000004</v>
      </c>
      <c r="N6716">
        <v>0</v>
      </c>
      <c r="O6716">
        <v>-0.11708490000000001</v>
      </c>
      <c r="P6716">
        <v>-0.99535600000000002</v>
      </c>
      <c r="Q6716">
        <v>4.4349359999999997E-2</v>
      </c>
      <c r="R6716">
        <v>8.5435869999999997E-2</v>
      </c>
      <c r="S6716">
        <v>-3.0049440000000001</v>
      </c>
      <c r="T6716">
        <v>-7.2343110000000002E-2</v>
      </c>
      <c r="U6716">
        <v>0.1370239</v>
      </c>
      <c r="V6716">
        <v>0.20201740000000001</v>
      </c>
      <c r="W6716">
        <v>5.424727E-2</v>
      </c>
      <c r="X6716">
        <v>0.97787849999999998</v>
      </c>
      <c r="Y6716">
        <v>0.16213039999999901</v>
      </c>
      <c r="Z6716">
        <v>4.764473E-3</v>
      </c>
      <c r="AA6716">
        <v>0.98675780000000002</v>
      </c>
      <c r="AB6716">
        <v>18</v>
      </c>
      <c r="AC6716">
        <v>-45.757399999999897</v>
      </c>
      <c r="AD6716">
        <v>-1.1060372724279901</v>
      </c>
      <c r="AE6716">
        <v>2.1065000000000098</v>
      </c>
      <c r="AF6716">
        <v>7.4455820919190696</v>
      </c>
      <c r="AG6716">
        <v>-1.1060372724279901</v>
      </c>
      <c r="AH6716">
        <v>45.169633665665302</v>
      </c>
      <c r="AI6716">
        <v>91.384012429289598</v>
      </c>
      <c r="AJ6716">
        <v>80.639762171566801</v>
      </c>
      <c r="AK6716">
        <v>45.792530140033897</v>
      </c>
      <c r="AL6716">
        <v>86.890334179517694</v>
      </c>
      <c r="AM6716">
        <v>78.327616547922403</v>
      </c>
      <c r="AN6716">
        <v>1.00000007848372</v>
      </c>
    </row>
    <row r="6717" spans="1:40" x14ac:dyDescent="0.25">
      <c r="A6717" t="str">
        <f>"20190312150823935"</f>
        <v>20190312150823935</v>
      </c>
      <c r="B6717" t="str">
        <f>"1552374503926626"</f>
        <v>1552374503926626</v>
      </c>
      <c r="C6717" t="s">
        <v>40</v>
      </c>
      <c r="D6717">
        <v>4.1601169999999996</v>
      </c>
      <c r="E6717">
        <v>0.44642660000000001</v>
      </c>
      <c r="F6717" t="s">
        <v>42</v>
      </c>
      <c r="G6717">
        <v>-245.7638</v>
      </c>
      <c r="H6717" s="1">
        <v>-2.3548930000000001E-6</v>
      </c>
      <c r="I6717">
        <v>136.48589999999999</v>
      </c>
      <c r="J6717">
        <v>-211.5728</v>
      </c>
      <c r="K6717">
        <v>1.1060479999999999</v>
      </c>
      <c r="L6717">
        <v>137.74860000000001</v>
      </c>
      <c r="M6717">
        <v>-0.9941432</v>
      </c>
      <c r="N6717">
        <v>0</v>
      </c>
      <c r="O6717">
        <v>-0.10735459999999999</v>
      </c>
      <c r="P6717">
        <v>-0.99498089999999995</v>
      </c>
      <c r="Q6717">
        <v>4.4808979999999998E-2</v>
      </c>
      <c r="R6717">
        <v>8.9471999999999996E-2</v>
      </c>
      <c r="S6717">
        <v>-3.0279389999999999</v>
      </c>
      <c r="T6717">
        <v>-9.7428200000000006E-2</v>
      </c>
      <c r="U6717">
        <v>-0.1120911</v>
      </c>
      <c r="V6717">
        <v>0.19640189999999999</v>
      </c>
      <c r="W6717">
        <v>5.4787200000000001E-2</v>
      </c>
      <c r="X6717">
        <v>0.97899159999999996</v>
      </c>
      <c r="Y6717">
        <v>7.0418030000000006E-2</v>
      </c>
      <c r="Z6717">
        <v>4.5779799999999997E-3</v>
      </c>
      <c r="AA6717">
        <v>0.99750700000000003</v>
      </c>
      <c r="AB6717">
        <v>18</v>
      </c>
      <c r="AC6717">
        <v>-34.191000000000003</v>
      </c>
      <c r="AD6717">
        <v>-1.1060503548930001</v>
      </c>
      <c r="AE6717">
        <v>-1.2627000000000199</v>
      </c>
      <c r="AF6717">
        <v>2.4129212466783199</v>
      </c>
      <c r="AG6717">
        <v>-1.1060503548930001</v>
      </c>
      <c r="AH6717">
        <v>34.093310760145798</v>
      </c>
      <c r="AI6717">
        <v>91.853496856766398</v>
      </c>
      <c r="AJ6717">
        <v>85.951696629039702</v>
      </c>
      <c r="AK6717">
        <v>34.196481908496096</v>
      </c>
      <c r="AL6717">
        <v>86.859351986689205</v>
      </c>
      <c r="AM6717">
        <v>78.656105496946694</v>
      </c>
      <c r="AN6717">
        <v>0.99999994823900296</v>
      </c>
    </row>
    <row r="6718" spans="1:40" x14ac:dyDescent="0.25">
      <c r="A6718" t="str">
        <f>"20190312150823958"</f>
        <v>20190312150823958</v>
      </c>
      <c r="B6718" t="str">
        <f>"1552374503946146"</f>
        <v>1552374503946146</v>
      </c>
      <c r="C6718" t="s">
        <v>40</v>
      </c>
      <c r="D6718">
        <v>4.1634900000000004</v>
      </c>
      <c r="E6718">
        <v>0.44359880000000002</v>
      </c>
      <c r="F6718" t="s">
        <v>42</v>
      </c>
      <c r="G6718">
        <v>-249.33609999999999</v>
      </c>
      <c r="H6718" s="1">
        <v>-1.2113829999999999E-6</v>
      </c>
      <c r="I6718">
        <v>135.86019999999999</v>
      </c>
      <c r="J6718">
        <v>-211.75790000000001</v>
      </c>
      <c r="K6718">
        <v>1.1060639999999999</v>
      </c>
      <c r="L6718">
        <v>137.74039999999999</v>
      </c>
      <c r="M6718">
        <v>-0.99515339999999997</v>
      </c>
      <c r="N6718">
        <v>0</v>
      </c>
      <c r="O6718">
        <v>-9.7548019999999999E-2</v>
      </c>
      <c r="P6718">
        <v>-0.99457519999999999</v>
      </c>
      <c r="Q6718">
        <v>4.4426720000000003E-2</v>
      </c>
      <c r="R6718">
        <v>9.405492E-2</v>
      </c>
      <c r="S6718">
        <v>-3.0327609999999998</v>
      </c>
      <c r="T6718">
        <v>-8.8826539999999996E-2</v>
      </c>
      <c r="U6718">
        <v>-0.15165709999999999</v>
      </c>
      <c r="V6718">
        <v>0.19124910000000001</v>
      </c>
      <c r="W6718">
        <v>5.4480569999999999E-2</v>
      </c>
      <c r="X6718">
        <v>0.98002840000000002</v>
      </c>
      <c r="Y6718">
        <v>4.7666189999999997E-2</v>
      </c>
      <c r="Z6718">
        <v>3.5472210000000001E-3</v>
      </c>
      <c r="AA6718">
        <v>0.99885699999999999</v>
      </c>
      <c r="AB6718">
        <v>18</v>
      </c>
      <c r="AC6718">
        <v>-37.578199999999903</v>
      </c>
      <c r="AD6718">
        <v>-1.1060652113829901</v>
      </c>
      <c r="AE6718">
        <v>-1.8802000000000001</v>
      </c>
      <c r="AF6718">
        <v>1.7931802381037401</v>
      </c>
      <c r="AG6718">
        <v>-1.1060652113829901</v>
      </c>
      <c r="AH6718">
        <v>37.549929153296397</v>
      </c>
      <c r="AI6718">
        <v>91.685288787224295</v>
      </c>
      <c r="AJ6718">
        <v>87.2659424971296</v>
      </c>
      <c r="AK6718">
        <v>37.6089890190595</v>
      </c>
      <c r="AL6718">
        <v>86.876947057454998</v>
      </c>
      <c r="AM6718">
        <v>78.957705555906003</v>
      </c>
      <c r="AN6718">
        <v>1.00000000778244</v>
      </c>
    </row>
    <row r="6719" spans="1:40" x14ac:dyDescent="0.25">
      <c r="A6719" t="str">
        <f>"20190312150823981"</f>
        <v>20190312150823981</v>
      </c>
      <c r="B6719" t="str">
        <f>"1552374503976403"</f>
        <v>1552374503976403</v>
      </c>
      <c r="C6719" t="s">
        <v>40</v>
      </c>
      <c r="D6719">
        <v>4.1491809999999996</v>
      </c>
      <c r="E6719">
        <v>0.44154500000000002</v>
      </c>
      <c r="F6719" t="s">
        <v>42</v>
      </c>
      <c r="G6719">
        <v>-249.82830000000001</v>
      </c>
      <c r="H6719" s="1">
        <v>-1.0788730000000001E-6</v>
      </c>
      <c r="I6719">
        <v>135.7287</v>
      </c>
      <c r="J6719">
        <v>-211.93639999999999</v>
      </c>
      <c r="K6719">
        <v>1.106088</v>
      </c>
      <c r="L6719">
        <v>137.73419999999999</v>
      </c>
      <c r="M6719">
        <v>-0.99603169999999996</v>
      </c>
      <c r="N6719">
        <v>0</v>
      </c>
      <c r="O6719">
        <v>-8.8129070000000004E-2</v>
      </c>
      <c r="P6719">
        <v>-0.99419809999999997</v>
      </c>
      <c r="Q6719">
        <v>4.322115E-2</v>
      </c>
      <c r="R6719">
        <v>9.8501229999999995E-2</v>
      </c>
      <c r="S6719">
        <v>-3.0354920000000001</v>
      </c>
      <c r="T6719">
        <v>-8.8190790000000005E-2</v>
      </c>
      <c r="U6719">
        <v>-0.1604004</v>
      </c>
      <c r="V6719">
        <v>0.18634310000000001</v>
      </c>
      <c r="W6719">
        <v>5.3347829999999999E-2</v>
      </c>
      <c r="X6719">
        <v>0.98103530000000005</v>
      </c>
      <c r="Y6719">
        <v>3.5398560000000003E-2</v>
      </c>
      <c r="Z6719">
        <v>3.0680809999999998E-3</v>
      </c>
      <c r="AA6719">
        <v>0.99936849999999999</v>
      </c>
      <c r="AB6719">
        <v>18</v>
      </c>
      <c r="AC6719">
        <v>-37.8919</v>
      </c>
      <c r="AD6719">
        <v>-1.106089078873</v>
      </c>
      <c r="AE6719">
        <v>-2.0054999999999801</v>
      </c>
      <c r="AF6719">
        <v>1.34080045039462</v>
      </c>
      <c r="AG6719">
        <v>-1.106089078873</v>
      </c>
      <c r="AH6719">
        <v>37.889003933660902</v>
      </c>
      <c r="AI6719">
        <v>91.671108378998099</v>
      </c>
      <c r="AJ6719">
        <v>87.973286299326105</v>
      </c>
      <c r="AK6719">
        <v>37.928851788357001</v>
      </c>
      <c r="AL6719">
        <v>86.941942792227294</v>
      </c>
      <c r="AM6719">
        <v>79.245054686994493</v>
      </c>
      <c r="AN6719">
        <v>1.0000000008647001</v>
      </c>
    </row>
    <row r="6720" spans="1:40" x14ac:dyDescent="0.25">
      <c r="A6720" t="str">
        <f>"20190312150824001"</f>
        <v>20190312150824001</v>
      </c>
      <c r="B6720" t="str">
        <f>"1552374503996899"</f>
        <v>1552374503996899</v>
      </c>
      <c r="C6720" t="s">
        <v>40</v>
      </c>
      <c r="D6720">
        <v>4.1588079999999996</v>
      </c>
      <c r="E6720">
        <v>0.4409283</v>
      </c>
      <c r="F6720" t="s">
        <v>42</v>
      </c>
      <c r="G6720">
        <v>-244.58109999999999</v>
      </c>
      <c r="H6720" s="1">
        <v>-2.9512350000000001E-6</v>
      </c>
      <c r="I6720">
        <v>135.98429999999999</v>
      </c>
      <c r="J6720">
        <v>-212.10830000000001</v>
      </c>
      <c r="K6720">
        <v>1.1061030000000001</v>
      </c>
      <c r="L6720">
        <v>137.72970000000001</v>
      </c>
      <c r="M6720">
        <v>-0.99678929999999999</v>
      </c>
      <c r="N6720">
        <v>0</v>
      </c>
      <c r="O6720">
        <v>-7.9101389999999994E-2</v>
      </c>
      <c r="P6720">
        <v>-0.99385509999999999</v>
      </c>
      <c r="Q6720">
        <v>4.2373040000000001E-2</v>
      </c>
      <c r="R6720">
        <v>0.102257</v>
      </c>
      <c r="S6720">
        <v>-3.0381010000000002</v>
      </c>
      <c r="T6720">
        <v>-0.10293919999999999</v>
      </c>
      <c r="U6720">
        <v>-0.16284179999999901</v>
      </c>
      <c r="V6720">
        <v>0.181146</v>
      </c>
      <c r="W6720">
        <v>5.2579290000000001E-2</v>
      </c>
      <c r="X6720">
        <v>0.98204959999999997</v>
      </c>
      <c r="Y6720">
        <v>2.5579029999999999E-2</v>
      </c>
      <c r="Z6720">
        <v>3.1070820000000002E-3</v>
      </c>
      <c r="AA6720">
        <v>0.999668</v>
      </c>
      <c r="AB6720">
        <v>18</v>
      </c>
      <c r="AC6720">
        <v>-32.4727999999999</v>
      </c>
      <c r="AD6720">
        <v>-1.106105951235</v>
      </c>
      <c r="AE6720">
        <v>-1.7454000000000101</v>
      </c>
      <c r="AF6720">
        <v>0.82795355597696296</v>
      </c>
      <c r="AG6720">
        <v>-1.106105951235</v>
      </c>
      <c r="AH6720">
        <v>32.471540662062502</v>
      </c>
      <c r="AI6720">
        <v>91.950327536622495</v>
      </c>
      <c r="AJ6720">
        <v>88.539398902891506</v>
      </c>
      <c r="AK6720">
        <v>32.5009219936018</v>
      </c>
      <c r="AL6720">
        <v>86.986038586978907</v>
      </c>
      <c r="AM6720">
        <v>79.548862484587303</v>
      </c>
      <c r="AN6720">
        <v>0.99999993595653003</v>
      </c>
    </row>
    <row r="6721" spans="1:40" x14ac:dyDescent="0.25">
      <c r="A6721" t="str">
        <f>"20190312150824026"</f>
        <v>20190312150824026</v>
      </c>
      <c r="B6721" t="str">
        <f>"1552374504016419"</f>
        <v>1552374504016419</v>
      </c>
      <c r="C6721" t="s">
        <v>40</v>
      </c>
      <c r="D6721">
        <v>4.1628480000000003</v>
      </c>
      <c r="E6721">
        <v>0.44049719999999998</v>
      </c>
      <c r="F6721" t="s">
        <v>42</v>
      </c>
      <c r="G6721">
        <v>-242.17859999999999</v>
      </c>
      <c r="H6721" s="1">
        <v>-3.9457950000000001E-6</v>
      </c>
      <c r="I6721">
        <v>136.18780000000001</v>
      </c>
      <c r="J6721">
        <v>-212.29910000000001</v>
      </c>
      <c r="K6721">
        <v>1.106141</v>
      </c>
      <c r="L6721">
        <v>137.72640000000001</v>
      </c>
      <c r="M6721">
        <v>-0.99753049999999999</v>
      </c>
      <c r="N6721">
        <v>0</v>
      </c>
      <c r="O6721">
        <v>-6.9130670000000005E-2</v>
      </c>
      <c r="P6721">
        <v>-0.99333329999999997</v>
      </c>
      <c r="Q6721">
        <v>4.2115359999999998E-2</v>
      </c>
      <c r="R6721">
        <v>0.1073091</v>
      </c>
      <c r="S6721">
        <v>-3.0393680000000001</v>
      </c>
      <c r="T6721">
        <v>-0.1118001</v>
      </c>
      <c r="U6721">
        <v>-0.155838</v>
      </c>
      <c r="V6721">
        <v>0.17630860000000001</v>
      </c>
      <c r="W6721">
        <v>5.2402629999999999E-2</v>
      </c>
      <c r="X6721">
        <v>0.98293909999999995</v>
      </c>
      <c r="Y6721">
        <v>1.7903309999999999E-2</v>
      </c>
      <c r="Z6721">
        <v>2.866876E-3</v>
      </c>
      <c r="AA6721">
        <v>0.99983560000000005</v>
      </c>
      <c r="AB6721">
        <v>18</v>
      </c>
      <c r="AC6721">
        <v>-29.879499999999901</v>
      </c>
      <c r="AD6721">
        <v>-1.1061449457949999</v>
      </c>
      <c r="AE6721">
        <v>-1.5386</v>
      </c>
      <c r="AF6721">
        <v>0.53010567735869596</v>
      </c>
      <c r="AG6721">
        <v>-1.1061449457949999</v>
      </c>
      <c r="AH6721">
        <v>29.8735450373863</v>
      </c>
      <c r="AI6721">
        <v>92.120221554206694</v>
      </c>
      <c r="AJ6721">
        <v>88.983393815650203</v>
      </c>
      <c r="AK6721">
        <v>29.8987167244854</v>
      </c>
      <c r="AL6721">
        <v>86.996174674554894</v>
      </c>
      <c r="AM6721">
        <v>79.831060635822396</v>
      </c>
      <c r="AN6721">
        <v>1.0000000161868401</v>
      </c>
    </row>
    <row r="6722" spans="1:40" x14ac:dyDescent="0.25">
      <c r="A6722" t="str">
        <f>"20190312150824046"</f>
        <v>20190312150824046</v>
      </c>
      <c r="B6722" t="str">
        <f>"1552374504036918"</f>
        <v>1552374504036918</v>
      </c>
      <c r="C6722" t="s">
        <v>40</v>
      </c>
      <c r="D6722">
        <v>4.1585150000000004</v>
      </c>
      <c r="E6722">
        <v>0.4399246</v>
      </c>
      <c r="F6722" t="s">
        <v>42</v>
      </c>
      <c r="G6722">
        <v>-241.68440000000001</v>
      </c>
      <c r="H6722" s="1">
        <v>-4.1314760000000004E-6</v>
      </c>
      <c r="I6722">
        <v>136.33629999999999</v>
      </c>
      <c r="J6722">
        <v>-212.47239999999999</v>
      </c>
      <c r="K6722">
        <v>1.1061879999999999</v>
      </c>
      <c r="L6722">
        <v>137.7252</v>
      </c>
      <c r="M6722">
        <v>-0.99811349999999999</v>
      </c>
      <c r="N6722">
        <v>0</v>
      </c>
      <c r="O6722">
        <v>-6.0126869999999999E-2</v>
      </c>
      <c r="P6722">
        <v>-0.99290339999999999</v>
      </c>
      <c r="Q6722">
        <v>4.2610380000000003E-2</v>
      </c>
      <c r="R6722">
        <v>0.111028</v>
      </c>
      <c r="S6722">
        <v>-3.0405120000000001</v>
      </c>
      <c r="T6722">
        <v>-0.114453399999999</v>
      </c>
      <c r="U6722">
        <v>-0.14382929999999999</v>
      </c>
      <c r="V6722">
        <v>0.17111419999999999</v>
      </c>
      <c r="W6722">
        <v>5.298452E-2</v>
      </c>
      <c r="X6722">
        <v>0.98382550000000002</v>
      </c>
      <c r="Y6722">
        <v>1.284687E-2</v>
      </c>
      <c r="Z6722">
        <v>2.501203E-3</v>
      </c>
      <c r="AA6722">
        <v>0.99991430000000003</v>
      </c>
      <c r="AB6722">
        <v>18</v>
      </c>
      <c r="AC6722">
        <v>-29.212</v>
      </c>
      <c r="AD6722">
        <v>-1.1061921314759999</v>
      </c>
      <c r="AE6722">
        <v>-1.3889</v>
      </c>
      <c r="AF6722">
        <v>0.369645964153756</v>
      </c>
      <c r="AG6722">
        <v>-1.1061921314759999</v>
      </c>
      <c r="AH6722">
        <v>29.200877883970101</v>
      </c>
      <c r="AI6722">
        <v>92.169276502784598</v>
      </c>
      <c r="AJ6722">
        <v>89.274747061377994</v>
      </c>
      <c r="AK6722">
        <v>29.2241606956485</v>
      </c>
      <c r="AL6722">
        <v>86.962788467486604</v>
      </c>
      <c r="AM6722">
        <v>80.133395276529001</v>
      </c>
      <c r="AN6722">
        <v>1.0000000216257601</v>
      </c>
    </row>
    <row r="6723" spans="1:40" x14ac:dyDescent="0.25">
      <c r="A6723" t="str">
        <f>"20190312150824069"</f>
        <v>20190312150824069</v>
      </c>
      <c r="B6723" t="str">
        <f>"1552374504056439"</f>
        <v>1552374504056439</v>
      </c>
      <c r="C6723" t="s">
        <v>40</v>
      </c>
      <c r="D6723">
        <v>4.1898920000000004</v>
      </c>
      <c r="E6723">
        <v>0.43895689999999998</v>
      </c>
      <c r="F6723" t="s">
        <v>42</v>
      </c>
      <c r="G6723">
        <v>-241.8777</v>
      </c>
      <c r="H6723" s="1">
        <v>-4.0369000000000003E-6</v>
      </c>
      <c r="I6723">
        <v>136.40209999999999</v>
      </c>
      <c r="J6723">
        <v>-212.64519999999999</v>
      </c>
      <c r="K6723">
        <v>1.106217</v>
      </c>
      <c r="L6723">
        <v>137.72540000000001</v>
      </c>
      <c r="M6723">
        <v>-0.99861149999999999</v>
      </c>
      <c r="N6723">
        <v>0</v>
      </c>
      <c r="O6723">
        <v>-5.1195810000000001E-2</v>
      </c>
      <c r="P6723">
        <v>-0.99245380000000005</v>
      </c>
      <c r="Q6723">
        <v>4.3656059999999997E-2</v>
      </c>
      <c r="R6723">
        <v>0.1145858</v>
      </c>
      <c r="S6723">
        <v>-3.0416560000000001</v>
      </c>
      <c r="T6723">
        <v>-0.11442380000000001</v>
      </c>
      <c r="U6723">
        <v>-0.13685610000000001</v>
      </c>
      <c r="V6723">
        <v>0.16583879999999901</v>
      </c>
      <c r="W6723">
        <v>5.4114429999999998E-2</v>
      </c>
      <c r="X6723">
        <v>0.98466699999999996</v>
      </c>
      <c r="Y6723">
        <v>6.2180179999999996E-3</v>
      </c>
      <c r="Z6723">
        <v>2.0400969999999998E-3</v>
      </c>
      <c r="AA6723">
        <v>0.99997860000000005</v>
      </c>
      <c r="AB6723">
        <v>18</v>
      </c>
      <c r="AC6723">
        <v>-29.232500000000002</v>
      </c>
      <c r="AD6723">
        <v>-1.1062210369000001</v>
      </c>
      <c r="AE6723">
        <v>-1.3233000000000099</v>
      </c>
      <c r="AF6723">
        <v>0.17488248424230601</v>
      </c>
      <c r="AG6723">
        <v>-1.1062210369000001</v>
      </c>
      <c r="AH6723">
        <v>29.220153692128999</v>
      </c>
      <c r="AI6723">
        <v>92.168038174915793</v>
      </c>
      <c r="AJ6723">
        <v>89.657089119848905</v>
      </c>
      <c r="AK6723">
        <v>29.241608893106701</v>
      </c>
      <c r="AL6723">
        <v>86.897956271737101</v>
      </c>
      <c r="AM6723">
        <v>80.439895180571895</v>
      </c>
      <c r="AN6723">
        <v>0.99999999000433204</v>
      </c>
    </row>
    <row r="6724" spans="1:40" x14ac:dyDescent="0.25">
      <c r="A6724" t="str">
        <f>"20190312150824090"</f>
        <v>20190312150824090</v>
      </c>
      <c r="B6724" t="str">
        <f>"1552374504086691"</f>
        <v>1552374504086691</v>
      </c>
      <c r="C6724" t="s">
        <v>40</v>
      </c>
      <c r="D6724">
        <v>4.1828310000000002</v>
      </c>
      <c r="E6724">
        <v>0.43813530000000001</v>
      </c>
      <c r="F6724" t="s">
        <v>42</v>
      </c>
      <c r="G6724">
        <v>-241.81540000000001</v>
      </c>
      <c r="H6724" s="1">
        <v>-4.0560139999999998E-6</v>
      </c>
      <c r="I6724">
        <v>136.44479999999999</v>
      </c>
      <c r="J6724">
        <v>-212.82480000000001</v>
      </c>
      <c r="K6724">
        <v>1.1062529999999999</v>
      </c>
      <c r="L6724">
        <v>137.72720000000001</v>
      </c>
      <c r="M6724">
        <v>-0.99904219999999999</v>
      </c>
      <c r="N6724">
        <v>0</v>
      </c>
      <c r="O6724">
        <v>-4.1958269999999999E-2</v>
      </c>
      <c r="P6724">
        <v>-0.99196770000000001</v>
      </c>
      <c r="Q6724">
        <v>4.432411E-2</v>
      </c>
      <c r="R6724">
        <v>0.1184726</v>
      </c>
      <c r="S6724">
        <v>-3.0432890000000001</v>
      </c>
      <c r="T6724">
        <v>-0.1154106</v>
      </c>
      <c r="U6724">
        <v>-0.13359070000000001</v>
      </c>
      <c r="V6724">
        <v>0.16058649999999999</v>
      </c>
      <c r="W6724">
        <v>5.4863380000000003E-2</v>
      </c>
      <c r="X6724">
        <v>0.98549580000000003</v>
      </c>
      <c r="Y6724">
        <v>-1.923529E-3</v>
      </c>
      <c r="Z6724">
        <v>1.55281E-3</v>
      </c>
      <c r="AA6724">
        <v>0.99999700000000002</v>
      </c>
      <c r="AB6724">
        <v>18</v>
      </c>
      <c r="AC6724">
        <v>-28.990600000000001</v>
      </c>
      <c r="AD6724">
        <v>-1.1062570560139999</v>
      </c>
      <c r="AE6724">
        <v>-1.28240000000002</v>
      </c>
      <c r="AF6724">
        <v>-6.4687280792178697E-2</v>
      </c>
      <c r="AG6724">
        <v>-1.1062570560139999</v>
      </c>
      <c r="AH6724">
        <v>28.976766030620201</v>
      </c>
      <c r="AI6724">
        <v>92.1863356054928</v>
      </c>
      <c r="AJ6724">
        <v>90.127905992574398</v>
      </c>
      <c r="AK6724">
        <v>28.997947491358499</v>
      </c>
      <c r="AL6724">
        <v>86.854980760611497</v>
      </c>
      <c r="AM6724">
        <v>80.744998065787598</v>
      </c>
      <c r="AN6724">
        <v>0.99999999313245702</v>
      </c>
    </row>
    <row r="6725" spans="1:40" x14ac:dyDescent="0.25">
      <c r="A6725" t="str">
        <f>"20190312150824114"</f>
        <v>20190312150824114</v>
      </c>
      <c r="B6725" t="str">
        <f>"1552374504106212"</f>
        <v>1552374504106212</v>
      </c>
      <c r="C6725" t="s">
        <v>40</v>
      </c>
      <c r="D6725">
        <v>4.1462209999999997</v>
      </c>
      <c r="E6725">
        <v>0.43746279999999999</v>
      </c>
      <c r="F6725" t="s">
        <v>42</v>
      </c>
      <c r="G6725">
        <v>-241.0812</v>
      </c>
      <c r="H6725" s="1">
        <v>-4.3546300000000002E-6</v>
      </c>
      <c r="I6725">
        <v>136.53720000000001</v>
      </c>
      <c r="J6725">
        <v>-213.00880000000001</v>
      </c>
      <c r="K6725">
        <v>1.1062829999999999</v>
      </c>
      <c r="L6725">
        <v>137.73070000000001</v>
      </c>
      <c r="M6725">
        <v>-0.99939319999999998</v>
      </c>
      <c r="N6725">
        <v>0</v>
      </c>
      <c r="O6725">
        <v>-3.2540369999999999E-2</v>
      </c>
      <c r="P6725">
        <v>-0.99143269999999994</v>
      </c>
      <c r="Q6725">
        <v>4.4020789999999997E-2</v>
      </c>
      <c r="R6725">
        <v>0.1229769</v>
      </c>
      <c r="S6725">
        <v>-3.0449679999999999</v>
      </c>
      <c r="T6725">
        <v>-0.1192125</v>
      </c>
      <c r="U6725">
        <v>-0.12823490000000001</v>
      </c>
      <c r="V6725">
        <v>0.1557637</v>
      </c>
      <c r="W6725">
        <v>5.4632460000000001E-2</v>
      </c>
      <c r="X6725">
        <v>0.9862824</v>
      </c>
      <c r="Y6725">
        <v>-9.5576270000000008E-3</v>
      </c>
      <c r="Z6725">
        <v>1.085698E-3</v>
      </c>
      <c r="AA6725">
        <v>0.99995369999999995</v>
      </c>
      <c r="AB6725">
        <v>18</v>
      </c>
      <c r="AC6725">
        <v>-28.072399999999899</v>
      </c>
      <c r="AD6725">
        <v>-1.1062873546299901</v>
      </c>
      <c r="AE6725">
        <v>-1.1935</v>
      </c>
      <c r="AF6725">
        <v>-0.27887873634855298</v>
      </c>
      <c r="AG6725">
        <v>-1.1062873546299901</v>
      </c>
      <c r="AH6725">
        <v>28.052883047860199</v>
      </c>
      <c r="AI6725">
        <v>92.258222128860595</v>
      </c>
      <c r="AJ6725">
        <v>90.569568846842003</v>
      </c>
      <c r="AK6725">
        <v>28.0760733073114</v>
      </c>
      <c r="AL6725">
        <v>86.868231410114404</v>
      </c>
      <c r="AM6725">
        <v>81.0253952776186</v>
      </c>
      <c r="AN6725">
        <v>1.00000000423655</v>
      </c>
    </row>
    <row r="6726" spans="1:40" x14ac:dyDescent="0.25">
      <c r="A6726" t="str">
        <f>"20190312150824136"</f>
        <v>20190312150824136</v>
      </c>
      <c r="B6726" t="str">
        <f>"1552374504126706"</f>
        <v>1552374504126706</v>
      </c>
      <c r="C6726" t="s">
        <v>40</v>
      </c>
      <c r="D6726">
        <v>4.2008590000000003</v>
      </c>
      <c r="E6726">
        <v>0.43723859999999998</v>
      </c>
      <c r="F6726" t="s">
        <v>42</v>
      </c>
      <c r="G6726">
        <v>-240.86779999999999</v>
      </c>
      <c r="H6726" s="1">
        <v>-4.4292909999999996E-6</v>
      </c>
      <c r="I6726">
        <v>136.63239999999999</v>
      </c>
      <c r="J6726">
        <v>-213.19659999999999</v>
      </c>
      <c r="K6726">
        <v>1.1062989999999999</v>
      </c>
      <c r="L6726">
        <v>137.73599999999999</v>
      </c>
      <c r="M6726">
        <v>-0.99965879999999996</v>
      </c>
      <c r="N6726">
        <v>0</v>
      </c>
      <c r="O6726">
        <v>-2.2975740000000001E-2</v>
      </c>
      <c r="P6726">
        <v>-0.99082959999999998</v>
      </c>
      <c r="Q6726">
        <v>4.4255509999999998E-2</v>
      </c>
      <c r="R6726">
        <v>0.12766420000000001</v>
      </c>
      <c r="S6726">
        <v>-3.046173</v>
      </c>
      <c r="T6726">
        <v>-0.1209644</v>
      </c>
      <c r="U6726">
        <v>-0.1200867</v>
      </c>
      <c r="V6726">
        <v>0.15098539999999999</v>
      </c>
      <c r="W6726">
        <v>5.4936699999999998E-2</v>
      </c>
      <c r="X6726">
        <v>0.98700829999999995</v>
      </c>
      <c r="Y6726">
        <v>-1.6426619999999999E-2</v>
      </c>
      <c r="Z6726">
        <v>5.8566930000000003E-4</v>
      </c>
      <c r="AA6726">
        <v>0.99986489999999995</v>
      </c>
      <c r="AB6726">
        <v>18</v>
      </c>
      <c r="AC6726">
        <v>-27.671199999999999</v>
      </c>
      <c r="AD6726">
        <v>-1.1063034292909999</v>
      </c>
      <c r="AE6726">
        <v>-1.1035999999999999</v>
      </c>
      <c r="AF6726">
        <v>-0.466748368719544</v>
      </c>
      <c r="AG6726">
        <v>-1.1063034292909999</v>
      </c>
      <c r="AH6726">
        <v>27.645133767381299</v>
      </c>
      <c r="AI6726">
        <v>92.291314479498993</v>
      </c>
      <c r="AJ6726">
        <v>90.967265025245794</v>
      </c>
      <c r="AK6726">
        <v>27.671197703275698</v>
      </c>
      <c r="AL6726">
        <v>86.850773536178096</v>
      </c>
      <c r="AM6726">
        <v>81.302727969687098</v>
      </c>
      <c r="AN6726">
        <v>1.00000000814447</v>
      </c>
    </row>
    <row r="6727" spans="1:40" x14ac:dyDescent="0.25">
      <c r="A6727" t="str">
        <f>"20190312150824158"</f>
        <v>20190312150824158</v>
      </c>
      <c r="B6727" t="str">
        <f>"1552374504146230"</f>
        <v>1552374504146230</v>
      </c>
      <c r="C6727" t="s">
        <v>40</v>
      </c>
      <c r="D6727">
        <v>4.3237750000000004</v>
      </c>
      <c r="E6727">
        <v>0.47368900000000003</v>
      </c>
      <c r="F6727" t="s">
        <v>42</v>
      </c>
      <c r="G6727">
        <v>-240.94810000000001</v>
      </c>
      <c r="H6727" s="1">
        <v>-4.3726929999999997E-6</v>
      </c>
      <c r="I6727">
        <v>136.75710000000001</v>
      </c>
      <c r="J6727">
        <v>-213.3707</v>
      </c>
      <c r="K6727">
        <v>1.1063259999999999</v>
      </c>
      <c r="L6727">
        <v>137.7424</v>
      </c>
      <c r="M6727">
        <v>-0.99982260000000001</v>
      </c>
      <c r="N6727">
        <v>0</v>
      </c>
      <c r="O6727">
        <v>-1.4150799999999899E-2</v>
      </c>
      <c r="P6727">
        <v>-0.99028989999999995</v>
      </c>
      <c r="Q6727">
        <v>4.4593010000000002E-2</v>
      </c>
      <c r="R6727">
        <v>0.13167139999999999</v>
      </c>
      <c r="S6727">
        <v>-3.0470280000000001</v>
      </c>
      <c r="T6727">
        <v>-0.1214687</v>
      </c>
      <c r="U6727">
        <v>-0.1074677</v>
      </c>
      <c r="V6727">
        <v>0.1462619</v>
      </c>
      <c r="W6727">
        <v>5.5340920000000002E-2</v>
      </c>
      <c r="X6727">
        <v>0.98769680000000004</v>
      </c>
      <c r="Y6727">
        <v>-2.1095610000000001E-2</v>
      </c>
      <c r="Z6727">
        <v>1.4352500000000001E-4</v>
      </c>
      <c r="AA6727">
        <v>0.99977740000000004</v>
      </c>
      <c r="AB6727">
        <v>18</v>
      </c>
      <c r="AC6727">
        <v>-27.577400000000001</v>
      </c>
      <c r="AD6727">
        <v>-1.1063303726929901</v>
      </c>
      <c r="AE6727">
        <v>-0.98529999999999496</v>
      </c>
      <c r="AF6727">
        <v>-0.59397418165069404</v>
      </c>
      <c r="AG6727">
        <v>-1.1063303726929901</v>
      </c>
      <c r="AH6727">
        <v>27.544308978822301</v>
      </c>
      <c r="AI6727">
        <v>92.299542070914697</v>
      </c>
      <c r="AJ6727">
        <v>91.235352828381906</v>
      </c>
      <c r="AK6727">
        <v>27.572916591155899</v>
      </c>
      <c r="AL6727">
        <v>86.827578328875802</v>
      </c>
      <c r="AM6727">
        <v>81.576638446638498</v>
      </c>
      <c r="AN6727">
        <v>1.0000000647741401</v>
      </c>
    </row>
    <row r="6728" spans="1:40" x14ac:dyDescent="0.25">
      <c r="A6728" t="str">
        <f>"20190312150824182"</f>
        <v>20190312150824182</v>
      </c>
      <c r="B6728" t="str">
        <f>"1552374504176483"</f>
        <v>1552374504176483</v>
      </c>
      <c r="C6728" t="s">
        <v>40</v>
      </c>
      <c r="D6728">
        <v>4.1642429999999999</v>
      </c>
      <c r="E6728">
        <v>0.48880040000000002</v>
      </c>
      <c r="F6728" t="s">
        <v>77</v>
      </c>
      <c r="G6728">
        <v>-288.22519999999997</v>
      </c>
      <c r="H6728" s="1">
        <v>-8.7844269999999905E-6</v>
      </c>
      <c r="I6728">
        <v>142.5034</v>
      </c>
      <c r="J6728">
        <v>-213.55799999999999</v>
      </c>
      <c r="K6728">
        <v>1.1063510000000001</v>
      </c>
      <c r="L6728">
        <v>137.751</v>
      </c>
      <c r="M6728">
        <v>-0.99991169999999996</v>
      </c>
      <c r="N6728">
        <v>0</v>
      </c>
      <c r="O6728">
        <v>-4.6981330000000002E-3</v>
      </c>
      <c r="P6728">
        <v>-0.98956489999999997</v>
      </c>
      <c r="Q6728">
        <v>4.5473039999999999E-2</v>
      </c>
      <c r="R6728">
        <v>0.1367244</v>
      </c>
      <c r="S6728">
        <v>-3.0059969999999998</v>
      </c>
      <c r="T6728">
        <v>-4.442811E-2</v>
      </c>
      <c r="U6728">
        <v>0.19119259999999999</v>
      </c>
      <c r="V6728">
        <v>0.14196819999999999</v>
      </c>
      <c r="W6728">
        <v>5.6281209999999998E-2</v>
      </c>
      <c r="X6728">
        <v>0.98826990000000003</v>
      </c>
      <c r="Y6728">
        <v>6.8155869999999993E-2</v>
      </c>
      <c r="Z6728">
        <v>5.7250179999999995E-4</v>
      </c>
      <c r="AA6728">
        <v>0.99767450000000002</v>
      </c>
      <c r="AB6728">
        <v>18</v>
      </c>
      <c r="AC6728">
        <v>-74.667199999999895</v>
      </c>
      <c r="AD6728">
        <v>-1.1063597844269999</v>
      </c>
      <c r="AE6728">
        <v>4.75239999999999</v>
      </c>
      <c r="AF6728">
        <v>5.1020554492757402</v>
      </c>
      <c r="AG6728">
        <v>-1.1063597844269999</v>
      </c>
      <c r="AH6728">
        <v>74.627728295643394</v>
      </c>
      <c r="AI6728">
        <v>90.847372843404997</v>
      </c>
      <c r="AJ6728">
        <v>86.088959449608595</v>
      </c>
      <c r="AK6728">
        <v>74.810111832214602</v>
      </c>
      <c r="AL6728">
        <v>86.773619272268803</v>
      </c>
      <c r="AM6728">
        <v>81.825200363830206</v>
      </c>
      <c r="AN6728">
        <v>0.99999996982815598</v>
      </c>
    </row>
    <row r="6729" spans="1:40" x14ac:dyDescent="0.25">
      <c r="A6729" t="str">
        <f>"20190312150824204"</f>
        <v>20190312150824204</v>
      </c>
      <c r="B6729" t="str">
        <f>"1552374504196979"</f>
        <v>1552374504196979</v>
      </c>
      <c r="C6729" t="s">
        <v>40</v>
      </c>
      <c r="D6729">
        <v>4.1241789999999998</v>
      </c>
      <c r="E6729">
        <v>0.49290859999999898</v>
      </c>
      <c r="F6729" t="s">
        <v>43</v>
      </c>
      <c r="G6729">
        <v>-402.01920000000001</v>
      </c>
      <c r="H6729">
        <v>-0.05</v>
      </c>
      <c r="I6729">
        <v>158.28360000000001</v>
      </c>
      <c r="J6729">
        <v>-213.73769999999999</v>
      </c>
      <c r="K6729">
        <v>1.106379</v>
      </c>
      <c r="L6729">
        <v>137.76079999999999</v>
      </c>
      <c r="M6729">
        <v>-0.99991350000000001</v>
      </c>
      <c r="N6729">
        <v>0</v>
      </c>
      <c r="O6729">
        <v>4.3325280000000004E-3</v>
      </c>
      <c r="P6729">
        <v>-0.9889867</v>
      </c>
      <c r="Q6729">
        <v>4.6075459999999999E-2</v>
      </c>
      <c r="R6729">
        <v>0.14065</v>
      </c>
      <c r="S6729">
        <v>-2.9875029999999998</v>
      </c>
      <c r="T6729">
        <v>-1.8330570000000001E-2</v>
      </c>
      <c r="U6729">
        <v>0.32548519999999997</v>
      </c>
      <c r="V6729">
        <v>0.1369629</v>
      </c>
      <c r="W6729">
        <v>5.6951509999999997E-2</v>
      </c>
      <c r="X6729">
        <v>0.98893770000000003</v>
      </c>
      <c r="Y6729">
        <v>0.1039978</v>
      </c>
      <c r="Z6729">
        <v>2.9160299999999998E-4</v>
      </c>
      <c r="AA6729">
        <v>0.9945775</v>
      </c>
      <c r="AB6729">
        <v>18</v>
      </c>
      <c r="AC6729">
        <v>-188.28149999999999</v>
      </c>
      <c r="AD6729">
        <v>-1.156379</v>
      </c>
      <c r="AE6729">
        <v>20.5228</v>
      </c>
      <c r="AF6729">
        <v>19.706074966664399</v>
      </c>
      <c r="AG6729">
        <v>-1.156379</v>
      </c>
      <c r="AH6729">
        <v>188.36163329153399</v>
      </c>
      <c r="AI6729">
        <v>90.349833360567501</v>
      </c>
      <c r="AJ6729">
        <v>84.027538888274705</v>
      </c>
      <c r="AK6729">
        <v>189.39316645337999</v>
      </c>
      <c r="AL6729">
        <v>86.735152445924697</v>
      </c>
      <c r="AM6729">
        <v>82.114981072653805</v>
      </c>
      <c r="AN6729">
        <v>1.0000000424744799</v>
      </c>
    </row>
    <row r="6730" spans="1:40" x14ac:dyDescent="0.25">
      <c r="A6730" t="str">
        <f>"20190312150824227"</f>
        <v>20190312150824227</v>
      </c>
      <c r="B6730" t="str">
        <f>"1552374504216517"</f>
        <v>1552374504216517</v>
      </c>
      <c r="C6730" t="s">
        <v>40</v>
      </c>
      <c r="D6730">
        <v>4.1434199999999999</v>
      </c>
      <c r="E6730">
        <v>0.49455949999999999</v>
      </c>
      <c r="F6730" t="s">
        <v>77</v>
      </c>
      <c r="G6730">
        <v>-311.86840000000001</v>
      </c>
      <c r="H6730">
        <v>6.2038330000000003E-2</v>
      </c>
      <c r="I6730">
        <v>149.94820000000001</v>
      </c>
      <c r="J6730">
        <v>-213.91970000000001</v>
      </c>
      <c r="K6730">
        <v>1.1064050000000001</v>
      </c>
      <c r="L6730">
        <v>137.77250000000001</v>
      </c>
      <c r="M6730">
        <v>-0.99983250000000001</v>
      </c>
      <c r="N6730">
        <v>0</v>
      </c>
      <c r="O6730">
        <v>1.344012E-2</v>
      </c>
      <c r="P6730">
        <v>-0.98841219999999996</v>
      </c>
      <c r="Q6730">
        <v>4.6048840000000001E-2</v>
      </c>
      <c r="R6730">
        <v>0.14463960000000001</v>
      </c>
      <c r="S6730">
        <v>-2.982208</v>
      </c>
      <c r="T6730">
        <v>-3.1737689999999999E-2</v>
      </c>
      <c r="U6730">
        <v>0.3703766</v>
      </c>
      <c r="V6730">
        <v>0.13193729999999901</v>
      </c>
      <c r="W6730">
        <v>5.6991029999999998E-2</v>
      </c>
      <c r="X6730">
        <v>0.98961840000000001</v>
      </c>
      <c r="Y6730">
        <v>0.1098933</v>
      </c>
      <c r="Z6730">
        <v>4.4004610000000002E-4</v>
      </c>
      <c r="AA6730">
        <v>0.99394329999999997</v>
      </c>
      <c r="AB6730">
        <v>18</v>
      </c>
      <c r="AC6730">
        <v>-97.948700000000002</v>
      </c>
      <c r="AD6730">
        <v>-1.0443666699999901</v>
      </c>
      <c r="AE6730">
        <v>12.175700000000001</v>
      </c>
      <c r="AF6730">
        <v>10.856840716955199</v>
      </c>
      <c r="AG6730">
        <v>-1.0443666699999901</v>
      </c>
      <c r="AH6730">
        <v>98.092525070070906</v>
      </c>
      <c r="AI6730">
        <v>90.606288910255699</v>
      </c>
      <c r="AJ6730">
        <v>83.684232081389993</v>
      </c>
      <c r="AK6730">
        <v>98.697037274262897</v>
      </c>
      <c r="AL6730">
        <v>86.732884304451304</v>
      </c>
      <c r="AM6730">
        <v>82.406029019576707</v>
      </c>
      <c r="AN6730">
        <v>1.0000000031251499</v>
      </c>
    </row>
    <row r="6731" spans="1:40" x14ac:dyDescent="0.25">
      <c r="A6731" t="str">
        <f>"20190312150824249"</f>
        <v>20190312150824249</v>
      </c>
      <c r="B6731" t="str">
        <f>"1552374504246754"</f>
        <v>1552374504246754</v>
      </c>
      <c r="C6731" t="s">
        <v>40</v>
      </c>
      <c r="D6731">
        <v>4.3766080000000001</v>
      </c>
      <c r="E6731">
        <v>0.4958476</v>
      </c>
      <c r="F6731" t="s">
        <v>42</v>
      </c>
      <c r="G6731">
        <v>-324.36349999999999</v>
      </c>
      <c r="H6731">
        <v>7.9986790000000002E-2</v>
      </c>
      <c r="I6731">
        <v>152.4323</v>
      </c>
      <c r="J6731">
        <v>-214.09889999999999</v>
      </c>
      <c r="K6731">
        <v>1.106422</v>
      </c>
      <c r="L6731">
        <v>137.78550000000001</v>
      </c>
      <c r="M6731">
        <v>-0.99967289999999998</v>
      </c>
      <c r="N6731">
        <v>0</v>
      </c>
      <c r="O6731">
        <v>2.2359360000000002E-2</v>
      </c>
      <c r="P6731">
        <v>-0.98784039999999995</v>
      </c>
      <c r="Q6731">
        <v>4.6509979999999999E-2</v>
      </c>
      <c r="R6731">
        <v>0.1483536</v>
      </c>
      <c r="S6731">
        <v>-2.9786069999999998</v>
      </c>
      <c r="T6731">
        <v>-2.768195E-2</v>
      </c>
      <c r="U6731">
        <v>0.39537050000000001</v>
      </c>
      <c r="V6731">
        <v>0.1268253</v>
      </c>
      <c r="W6731">
        <v>5.7518489999999999E-2</v>
      </c>
      <c r="X6731">
        <v>0.99025600000000003</v>
      </c>
      <c r="Y6731">
        <v>0.1093793</v>
      </c>
      <c r="Z6731">
        <v>2.992197E-4</v>
      </c>
      <c r="AA6731">
        <v>0.99399999999999999</v>
      </c>
      <c r="AB6731">
        <v>18</v>
      </c>
      <c r="AC6731">
        <v>-110.2646</v>
      </c>
      <c r="AD6731">
        <v>-1.02643521</v>
      </c>
      <c r="AE6731">
        <v>14.646799999999899</v>
      </c>
      <c r="AF6731">
        <v>12.176464924518299</v>
      </c>
      <c r="AG6731">
        <v>-1.02643521</v>
      </c>
      <c r="AH6731">
        <v>110.555133738652</v>
      </c>
      <c r="AI6731">
        <v>90.528743010203101</v>
      </c>
      <c r="AJ6731">
        <v>83.714815806777196</v>
      </c>
      <c r="AK6731">
        <v>111.228402232836</v>
      </c>
      <c r="AL6731">
        <v>86.702613370924198</v>
      </c>
      <c r="AM6731">
        <v>82.701674709586001</v>
      </c>
      <c r="AN6731">
        <v>0.99999998947398505</v>
      </c>
    </row>
    <row r="6732" spans="1:40" x14ac:dyDescent="0.25">
      <c r="A6732" t="str">
        <f>"20190312150824270"</f>
        <v>20190312150824270</v>
      </c>
      <c r="B6732" t="str">
        <f>"1552374504266275"</f>
        <v>1552374504266275</v>
      </c>
      <c r="C6732" t="s">
        <v>40</v>
      </c>
      <c r="D6732">
        <v>4.1656839999999997</v>
      </c>
      <c r="E6732">
        <v>0.4962664</v>
      </c>
      <c r="F6732" t="s">
        <v>42</v>
      </c>
      <c r="G6732">
        <v>-331.76240000000001</v>
      </c>
      <c r="H6732">
        <v>7.998574E-2</v>
      </c>
      <c r="I6732">
        <v>154.273</v>
      </c>
      <c r="J6732">
        <v>-214.26570000000001</v>
      </c>
      <c r="K6732">
        <v>1.1064419999999999</v>
      </c>
      <c r="L6732">
        <v>137.79900000000001</v>
      </c>
      <c r="M6732">
        <v>-0.99945349999999999</v>
      </c>
      <c r="N6732">
        <v>0</v>
      </c>
      <c r="O6732">
        <v>3.0633380000000002E-2</v>
      </c>
      <c r="P6732">
        <v>-0.98732909999999996</v>
      </c>
      <c r="Q6732">
        <v>4.6097579999999999E-2</v>
      </c>
      <c r="R6732">
        <v>0.1518437</v>
      </c>
      <c r="S6732">
        <v>-2.9755549999999999</v>
      </c>
      <c r="T6732">
        <v>-2.5957230000000001E-2</v>
      </c>
      <c r="U6732">
        <v>0.41694639999999999</v>
      </c>
      <c r="V6732">
        <v>0.122116</v>
      </c>
      <c r="W6732">
        <v>5.716574E-2</v>
      </c>
      <c r="X6732">
        <v>0.99086819999999998</v>
      </c>
      <c r="Y6732">
        <v>0.10836079999999999</v>
      </c>
      <c r="Z6732">
        <v>2.045623E-4</v>
      </c>
      <c r="AA6732">
        <v>0.99411159999999998</v>
      </c>
      <c r="AB6732">
        <v>18</v>
      </c>
      <c r="AC6732">
        <v>-117.4967</v>
      </c>
      <c r="AD6732">
        <v>-1.02645626</v>
      </c>
      <c r="AE6732">
        <v>16.473999999999901</v>
      </c>
      <c r="AF6732">
        <v>12.8657056234502</v>
      </c>
      <c r="AG6732">
        <v>-1.02645626</v>
      </c>
      <c r="AH6732">
        <v>117.93741483239801</v>
      </c>
      <c r="AI6732">
        <v>90.495714635792893</v>
      </c>
      <c r="AJ6732">
        <v>83.774264159997799</v>
      </c>
      <c r="AK6732">
        <v>118.641534931878</v>
      </c>
      <c r="AL6732">
        <v>86.722857850053003</v>
      </c>
      <c r="AM6732">
        <v>82.974214327502807</v>
      </c>
      <c r="AN6732">
        <v>1.00000001452849</v>
      </c>
    </row>
    <row r="6733" spans="1:40" x14ac:dyDescent="0.25">
      <c r="A6733" t="str">
        <f>"20190312150824292"</f>
        <v>20190312150824292</v>
      </c>
      <c r="B6733" t="str">
        <f>"1552374504286771"</f>
        <v>1552374504286771</v>
      </c>
      <c r="C6733" t="s">
        <v>40</v>
      </c>
      <c r="D6733">
        <v>4.153098</v>
      </c>
      <c r="E6733">
        <v>0.49640970000000001</v>
      </c>
      <c r="F6733" t="s">
        <v>43</v>
      </c>
      <c r="G6733">
        <v>-350.45929999999998</v>
      </c>
      <c r="H6733">
        <v>-0.05</v>
      </c>
      <c r="I6733">
        <v>157.5248</v>
      </c>
      <c r="J6733">
        <v>-214.44929999999999</v>
      </c>
      <c r="K6733">
        <v>1.1064620000000001</v>
      </c>
      <c r="L6733">
        <v>137.81549999999999</v>
      </c>
      <c r="M6733">
        <v>-0.99913459999999998</v>
      </c>
      <c r="N6733">
        <v>0</v>
      </c>
      <c r="O6733">
        <v>3.9697080000000003E-2</v>
      </c>
      <c r="P6733">
        <v>-0.98664980000000002</v>
      </c>
      <c r="Q6733">
        <v>4.6231870000000001E-2</v>
      </c>
      <c r="R6733">
        <v>0.15615780000000001</v>
      </c>
      <c r="S6733">
        <v>-2.9734500000000001</v>
      </c>
      <c r="T6733">
        <v>-2.5248050000000001E-2</v>
      </c>
      <c r="U6733">
        <v>0.43066409999999999</v>
      </c>
      <c r="V6733">
        <v>0.1174544</v>
      </c>
      <c r="W6733">
        <v>5.7357600000000002E-2</v>
      </c>
      <c r="X6733">
        <v>0.99142050000000004</v>
      </c>
      <c r="Y6733">
        <v>0.1039354</v>
      </c>
      <c r="Z6733">
        <v>1.039288E-4</v>
      </c>
      <c r="AA6733">
        <v>0.99458400000000002</v>
      </c>
      <c r="AB6733">
        <v>18</v>
      </c>
      <c r="AC6733">
        <v>-136.01</v>
      </c>
      <c r="AD6733">
        <v>-1.1564620000000001</v>
      </c>
      <c r="AE6733">
        <v>19.709299999999999</v>
      </c>
      <c r="AF6733">
        <v>14.293133692164201</v>
      </c>
      <c r="AG6733">
        <v>-1.1564620000000001</v>
      </c>
      <c r="AH6733">
        <v>136.67555893835399</v>
      </c>
      <c r="AI6733">
        <v>90.4821597775924</v>
      </c>
      <c r="AJ6733">
        <v>84.029874219965606</v>
      </c>
      <c r="AK6733">
        <v>137.425759907708</v>
      </c>
      <c r="AL6733">
        <v>86.711847030421595</v>
      </c>
      <c r="AM6733">
        <v>83.243613932408607</v>
      </c>
      <c r="AN6733">
        <v>1.00000001908868</v>
      </c>
    </row>
    <row r="6734" spans="1:40" x14ac:dyDescent="0.25">
      <c r="A6734" t="str">
        <f>"20190312150824315"</f>
        <v>20190312150824315</v>
      </c>
      <c r="B6734" t="str">
        <f>"1552374504307267"</f>
        <v>1552374504307267</v>
      </c>
      <c r="C6734" t="s">
        <v>40</v>
      </c>
      <c r="D6734">
        <v>4.2237739999999997</v>
      </c>
      <c r="E6734">
        <v>0.49625039999999998</v>
      </c>
      <c r="F6734" t="s">
        <v>43</v>
      </c>
      <c r="G6734">
        <v>-356.20010000000002</v>
      </c>
      <c r="H6734">
        <v>-0.05</v>
      </c>
      <c r="I6734">
        <v>159.0394</v>
      </c>
      <c r="J6734">
        <v>-214.63159999999999</v>
      </c>
      <c r="K6734">
        <v>1.1064849999999999</v>
      </c>
      <c r="L6734">
        <v>137.83340000000001</v>
      </c>
      <c r="M6734">
        <v>-0.9987395</v>
      </c>
      <c r="N6734">
        <v>0</v>
      </c>
      <c r="O6734">
        <v>4.8634160000000003E-2</v>
      </c>
      <c r="P6734">
        <v>-0.98601260000000002</v>
      </c>
      <c r="Q6734">
        <v>4.611788E-2</v>
      </c>
      <c r="R6734">
        <v>0.160164</v>
      </c>
      <c r="S6734">
        <v>-2.9713129999999999</v>
      </c>
      <c r="T6734">
        <v>-2.4241209999999999E-2</v>
      </c>
      <c r="U6734">
        <v>0.44488529999999998</v>
      </c>
      <c r="V6734">
        <v>0.1126018</v>
      </c>
      <c r="W6734">
        <v>5.7303319999999998E-2</v>
      </c>
      <c r="X6734">
        <v>0.99198649999999999</v>
      </c>
      <c r="Y6734">
        <v>9.9797559999999993E-2</v>
      </c>
      <c r="Z6734" s="1">
        <v>1.070299E-5</v>
      </c>
      <c r="AA6734">
        <v>0.9950078</v>
      </c>
      <c r="AB6734">
        <v>18</v>
      </c>
      <c r="AC6734">
        <v>-141.5685</v>
      </c>
      <c r="AD6734">
        <v>-1.156485</v>
      </c>
      <c r="AE6734">
        <v>21.2059999999999</v>
      </c>
      <c r="AF6734">
        <v>14.294373479089201</v>
      </c>
      <c r="AG6734">
        <v>-1.156485</v>
      </c>
      <c r="AH6734">
        <v>142.42306997759201</v>
      </c>
      <c r="AI6734">
        <v>90.462909836573999</v>
      </c>
      <c r="AJ6734">
        <v>84.268669027898099</v>
      </c>
      <c r="AK6734">
        <v>143.143275890127</v>
      </c>
      <c r="AL6734">
        <v>86.714962191653598</v>
      </c>
      <c r="AM6734">
        <v>83.523993670592404</v>
      </c>
      <c r="AN6734">
        <v>1.0000000260142501</v>
      </c>
    </row>
    <row r="6735" spans="1:40" x14ac:dyDescent="0.25">
      <c r="A6735" t="str">
        <f>"20190312150824337"</f>
        <v>20190312150824337</v>
      </c>
      <c r="B6735" t="str">
        <f>"1552374504326786"</f>
        <v>1552374504326786</v>
      </c>
      <c r="C6735" t="s">
        <v>40</v>
      </c>
      <c r="D6735">
        <v>4.1370050000000003</v>
      </c>
      <c r="E6735">
        <v>0.496147</v>
      </c>
      <c r="F6735" t="s">
        <v>43</v>
      </c>
      <c r="G6735">
        <v>-347.8365</v>
      </c>
      <c r="H6735">
        <v>-0.05</v>
      </c>
      <c r="I6735">
        <v>158.2756</v>
      </c>
      <c r="J6735">
        <v>-214.81139999999999</v>
      </c>
      <c r="K6735">
        <v>1.106519</v>
      </c>
      <c r="L6735">
        <v>137.8526</v>
      </c>
      <c r="M6735">
        <v>-0.99827529999999998</v>
      </c>
      <c r="N6735">
        <v>0</v>
      </c>
      <c r="O6735">
        <v>5.7380929999999997E-2</v>
      </c>
      <c r="P6735">
        <v>-0.98538040000000005</v>
      </c>
      <c r="Q6735">
        <v>4.525382E-2</v>
      </c>
      <c r="R6735">
        <v>0.16424920000000001</v>
      </c>
      <c r="S6735">
        <v>-2.9697420000000001</v>
      </c>
      <c r="T6735">
        <v>-2.5783299999999999E-2</v>
      </c>
      <c r="U6735">
        <v>0.45574949999999997</v>
      </c>
      <c r="V6735">
        <v>0.1080031</v>
      </c>
      <c r="W6735">
        <v>5.649639E-2</v>
      </c>
      <c r="X6735">
        <v>0.99254390000000003</v>
      </c>
      <c r="Y6735">
        <v>9.4715869999999994E-2</v>
      </c>
      <c r="Z6735" s="1">
        <v>-8.5804639999999998E-5</v>
      </c>
      <c r="AA6735">
        <v>0.99550430000000001</v>
      </c>
      <c r="AB6735">
        <v>18</v>
      </c>
      <c r="AC6735">
        <v>-133.02510000000001</v>
      </c>
      <c r="AD6735">
        <v>-1.1565190000000001</v>
      </c>
      <c r="AE6735">
        <v>20.422999999999998</v>
      </c>
      <c r="AF6735">
        <v>12.754711923818</v>
      </c>
      <c r="AG6735">
        <v>-1.1565190000000001</v>
      </c>
      <c r="AH6735">
        <v>133.967976422118</v>
      </c>
      <c r="AI6735">
        <v>90.492384385660102</v>
      </c>
      <c r="AJ6735">
        <v>84.561423925034006</v>
      </c>
      <c r="AK6735">
        <v>134.57874616407301</v>
      </c>
      <c r="AL6735">
        <v>86.761270662089203</v>
      </c>
      <c r="AM6735">
        <v>83.789826109483897</v>
      </c>
      <c r="AN6735">
        <v>0.99999995255992402</v>
      </c>
    </row>
    <row r="6736" spans="1:40" x14ac:dyDescent="0.25">
      <c r="A6736" t="str">
        <f>"20190312150824358"</f>
        <v>20190312150824358</v>
      </c>
      <c r="B6736" t="str">
        <f>"1552374504346307"</f>
        <v>1552374504346307</v>
      </c>
      <c r="C6736" t="s">
        <v>40</v>
      </c>
      <c r="D6736">
        <v>4.1720750000000004</v>
      </c>
      <c r="E6736">
        <v>0.4958322</v>
      </c>
      <c r="F6736" t="s">
        <v>77</v>
      </c>
      <c r="G6736">
        <v>-316.488</v>
      </c>
      <c r="H6736">
        <v>7.9984639999999996E-2</v>
      </c>
      <c r="I6736">
        <v>153.85599999999999</v>
      </c>
      <c r="J6736">
        <v>-214.98179999999999</v>
      </c>
      <c r="K6736">
        <v>1.106563</v>
      </c>
      <c r="L6736">
        <v>137.87209999999999</v>
      </c>
      <c r="M6736">
        <v>-0.99777039999999995</v>
      </c>
      <c r="N6736">
        <v>0</v>
      </c>
      <c r="O6736">
        <v>6.5578570000000003E-2</v>
      </c>
      <c r="P6736">
        <v>-0.98497270000000003</v>
      </c>
      <c r="Q6736">
        <v>4.4944659999999997E-2</v>
      </c>
      <c r="R6736">
        <v>0.166760299999999</v>
      </c>
      <c r="S6736">
        <v>-2.9680019999999998</v>
      </c>
      <c r="T6736">
        <v>-2.9965160000000001E-2</v>
      </c>
      <c r="U6736">
        <v>0.4671478</v>
      </c>
      <c r="V6736">
        <v>0.10236439999999999</v>
      </c>
      <c r="W6736">
        <v>5.6255489999999998E-2</v>
      </c>
      <c r="X6736">
        <v>0.99315500000000001</v>
      </c>
      <c r="Y6736">
        <v>9.0358590000000003E-2</v>
      </c>
      <c r="Z6736">
        <v>-2.035417E-4</v>
      </c>
      <c r="AA6736">
        <v>0.9959093</v>
      </c>
      <c r="AB6736">
        <v>18</v>
      </c>
      <c r="AC6736">
        <v>-101.50620000000001</v>
      </c>
      <c r="AD6736">
        <v>-1.02657836</v>
      </c>
      <c r="AE6736">
        <v>15.9839</v>
      </c>
      <c r="AF6736">
        <v>9.2914175558723606</v>
      </c>
      <c r="AG6736">
        <v>-1.02657836</v>
      </c>
      <c r="AH6736">
        <v>102.325734039396</v>
      </c>
      <c r="AI6736">
        <v>90.572443152816206</v>
      </c>
      <c r="AJ6736">
        <v>84.811636580528997</v>
      </c>
      <c r="AK6736">
        <v>102.751837696598</v>
      </c>
      <c r="AL6736">
        <v>86.775095362971399</v>
      </c>
      <c r="AM6736">
        <v>84.115308741310201</v>
      </c>
      <c r="AN6736">
        <v>1.0000000022837501</v>
      </c>
    </row>
    <row r="6737" spans="1:40" x14ac:dyDescent="0.25">
      <c r="A6737" t="str">
        <f>"20190312150824383"</f>
        <v>20190312150824383</v>
      </c>
      <c r="B6737" t="str">
        <f>"1552374504376563"</f>
        <v>1552374504376563</v>
      </c>
      <c r="C6737" t="s">
        <v>40</v>
      </c>
      <c r="D6737">
        <v>4.4193179999999996</v>
      </c>
      <c r="E6737">
        <v>0.49527589999999999</v>
      </c>
      <c r="F6737" t="s">
        <v>77</v>
      </c>
      <c r="G6737">
        <v>-310.00659999999999</v>
      </c>
      <c r="H6737">
        <v>6.808235E-2</v>
      </c>
      <c r="I6737">
        <v>152.99780000000001</v>
      </c>
      <c r="J6737">
        <v>-215.17339999999999</v>
      </c>
      <c r="K6737">
        <v>1.1066400000000001</v>
      </c>
      <c r="L6737">
        <v>137.89570000000001</v>
      </c>
      <c r="M6737">
        <v>-0.99713039999999997</v>
      </c>
      <c r="N6737">
        <v>0</v>
      </c>
      <c r="O6737">
        <v>7.4682419999999999E-2</v>
      </c>
      <c r="P6737">
        <v>-0.98383480000000001</v>
      </c>
      <c r="Q6737">
        <v>4.5132539999999999E-2</v>
      </c>
      <c r="R6737">
        <v>0.17329749999999999</v>
      </c>
      <c r="S6737">
        <v>-2.967285</v>
      </c>
      <c r="T6737">
        <v>-3.2428029999999997E-2</v>
      </c>
      <c r="U6737">
        <v>0.47232059999999998</v>
      </c>
      <c r="V6737">
        <v>9.9884780000000006E-2</v>
      </c>
      <c r="W6737">
        <v>5.6476869999999998E-2</v>
      </c>
      <c r="X6737">
        <v>0.99339489999999997</v>
      </c>
      <c r="Y6737">
        <v>8.2997879999999996E-2</v>
      </c>
      <c r="Z6737">
        <v>-3.5866819999999999E-4</v>
      </c>
      <c r="AA6737">
        <v>0.99654969999999998</v>
      </c>
      <c r="AB6737">
        <v>18</v>
      </c>
      <c r="AC6737">
        <v>-94.833200000000005</v>
      </c>
      <c r="AD6737">
        <v>-1.03855765</v>
      </c>
      <c r="AE6737">
        <v>15.1021</v>
      </c>
      <c r="AF6737">
        <v>7.9760694679217901</v>
      </c>
      <c r="AG6737">
        <v>-1.03855765</v>
      </c>
      <c r="AH6737">
        <v>95.685081057248098</v>
      </c>
      <c r="AI6737">
        <v>90.619709926393995</v>
      </c>
      <c r="AJ6737">
        <v>85.234983020827997</v>
      </c>
      <c r="AK6737">
        <v>96.022554762314201</v>
      </c>
      <c r="AL6737">
        <v>86.762391072312894</v>
      </c>
      <c r="AM6737">
        <v>84.258269399771706</v>
      </c>
      <c r="AN6737">
        <v>1.0000000167333201</v>
      </c>
    </row>
    <row r="6738" spans="1:40" x14ac:dyDescent="0.25">
      <c r="A6738" t="str">
        <f>"20190312150824406"</f>
        <v>20190312150824406</v>
      </c>
      <c r="B6738" t="str">
        <f>"1552374504397059"</f>
        <v>1552374504397059</v>
      </c>
      <c r="C6738" t="s">
        <v>40</v>
      </c>
      <c r="D6738">
        <v>4.3037159999999997</v>
      </c>
      <c r="E6738">
        <v>0.49504779999999998</v>
      </c>
      <c r="F6738" t="s">
        <v>77</v>
      </c>
      <c r="G6738">
        <v>-308.78640000000001</v>
      </c>
      <c r="H6738" s="1">
        <v>-1.32825E-5</v>
      </c>
      <c r="I6738">
        <v>153.2927</v>
      </c>
      <c r="J6738">
        <v>-215.3578</v>
      </c>
      <c r="K6738">
        <v>1.10673</v>
      </c>
      <c r="L6738">
        <v>137.91980000000001</v>
      </c>
      <c r="M6738">
        <v>-0.99644920000000003</v>
      </c>
      <c r="N6738">
        <v>0</v>
      </c>
      <c r="O6738">
        <v>8.3282519999999999E-2</v>
      </c>
      <c r="P6738">
        <v>-0.98315960000000002</v>
      </c>
      <c r="Q6738">
        <v>4.535906E-2</v>
      </c>
      <c r="R6738">
        <v>0.17702989999999999</v>
      </c>
      <c r="S6738">
        <v>-2.9650120000000002</v>
      </c>
      <c r="T6738">
        <v>-3.5051110000000003E-2</v>
      </c>
      <c r="U6738">
        <v>0.48767090000000002</v>
      </c>
      <c r="V6738">
        <v>9.5069609999999999E-2</v>
      </c>
      <c r="W6738">
        <v>5.6761560000000003E-2</v>
      </c>
      <c r="X6738">
        <v>0.99385109999999999</v>
      </c>
      <c r="Y6738">
        <v>7.9546329999999998E-2</v>
      </c>
      <c r="Z6738">
        <v>-5.084655E-4</v>
      </c>
      <c r="AA6738">
        <v>0.99683109999999997</v>
      </c>
      <c r="AB6738">
        <v>18</v>
      </c>
      <c r="AC6738">
        <v>-93.428600000000003</v>
      </c>
      <c r="AD6738">
        <v>-1.1067432825000001</v>
      </c>
      <c r="AE6738">
        <v>15.3728999999999</v>
      </c>
      <c r="AF6738">
        <v>7.5368916501607899</v>
      </c>
      <c r="AG6738">
        <v>-1.1067432825000001</v>
      </c>
      <c r="AH6738">
        <v>94.371475336544904</v>
      </c>
      <c r="AI6738">
        <v>90.669774137524499</v>
      </c>
      <c r="AJ6738">
        <v>85.433816583603502</v>
      </c>
      <c r="AK6738">
        <v>94.678429294299804</v>
      </c>
      <c r="AL6738">
        <v>86.746053460633107</v>
      </c>
      <c r="AM6738">
        <v>84.535837744377702</v>
      </c>
      <c r="AN6738">
        <v>1.0000000572051899</v>
      </c>
    </row>
    <row r="6739" spans="1:40" x14ac:dyDescent="0.25">
      <c r="A6739" t="str">
        <f>"20190312150824427"</f>
        <v>20190312150824427</v>
      </c>
      <c r="B6739" t="str">
        <f>"1552374504416594"</f>
        <v>1552374504416594</v>
      </c>
      <c r="C6739" t="s">
        <v>40</v>
      </c>
      <c r="D6739">
        <v>4.3842660000000002</v>
      </c>
      <c r="E6739">
        <v>0.4946528</v>
      </c>
      <c r="F6739" t="s">
        <v>77</v>
      </c>
      <c r="G6739">
        <v>-296.19389999999999</v>
      </c>
      <c r="H6739" s="1">
        <v>-1.146348E-5</v>
      </c>
      <c r="I6739">
        <v>151.48589999999999</v>
      </c>
      <c r="J6739">
        <v>-215.52629999999999</v>
      </c>
      <c r="K6739">
        <v>1.1068260000000001</v>
      </c>
      <c r="L6739">
        <v>137.94309999999999</v>
      </c>
      <c r="M6739">
        <v>-0.99577629999999995</v>
      </c>
      <c r="N6739">
        <v>0</v>
      </c>
      <c r="O6739">
        <v>9.0977119999999995E-2</v>
      </c>
      <c r="P6739">
        <v>-0.98254249999999999</v>
      </c>
      <c r="Q6739">
        <v>4.5815389999999998E-2</v>
      </c>
      <c r="R6739">
        <v>0.180309</v>
      </c>
      <c r="S6739">
        <v>-2.9636990000000001</v>
      </c>
      <c r="T6739">
        <v>-4.0576580000000001E-2</v>
      </c>
      <c r="U6739">
        <v>0.49737550000000003</v>
      </c>
      <c r="V6739">
        <v>9.0697079999999999E-2</v>
      </c>
      <c r="W6739">
        <v>5.7268090000000001E-2</v>
      </c>
      <c r="X6739">
        <v>0.99423059999999996</v>
      </c>
      <c r="Y6739">
        <v>7.5093690000000005E-2</v>
      </c>
      <c r="Z6739">
        <v>-7.2288509999999997E-4</v>
      </c>
      <c r="AA6739">
        <v>0.99717619999999896</v>
      </c>
      <c r="AB6739">
        <v>18</v>
      </c>
      <c r="AC6739">
        <v>-80.667599999999993</v>
      </c>
      <c r="AD6739">
        <v>-1.10683746348</v>
      </c>
      <c r="AE6739">
        <v>13.5428</v>
      </c>
      <c r="AF6739">
        <v>6.1460374130263897</v>
      </c>
      <c r="AG6739">
        <v>-1.10683746348</v>
      </c>
      <c r="AH6739">
        <v>81.5502657271511</v>
      </c>
      <c r="AI6739">
        <v>90.775398051897</v>
      </c>
      <c r="AJ6739">
        <v>85.690050112779403</v>
      </c>
      <c r="AK6739">
        <v>81.789025579363894</v>
      </c>
      <c r="AL6739">
        <v>86.716984088815295</v>
      </c>
      <c r="AM6739">
        <v>84.787711524186605</v>
      </c>
      <c r="AN6739">
        <v>1.0000000402145599</v>
      </c>
    </row>
    <row r="6740" spans="1:40" x14ac:dyDescent="0.25">
      <c r="A6740" t="str">
        <f>"20190312150824448"</f>
        <v>20190312150824448</v>
      </c>
      <c r="B6740" t="str">
        <f>"1552374504437078"</f>
        <v>1552374504437078</v>
      </c>
      <c r="C6740" t="s">
        <v>40</v>
      </c>
      <c r="D6740">
        <v>4.4046859999999999</v>
      </c>
      <c r="E6740">
        <v>0.49419190000000002</v>
      </c>
      <c r="F6740" t="s">
        <v>77</v>
      </c>
      <c r="G6740">
        <v>-297.7903</v>
      </c>
      <c r="H6740" s="1">
        <v>-1.166567E-5</v>
      </c>
      <c r="I6740">
        <v>151.9349</v>
      </c>
      <c r="J6740">
        <v>-215.69880000000001</v>
      </c>
      <c r="K6740">
        <v>1.1069199999999999</v>
      </c>
      <c r="L6740">
        <v>137.9682</v>
      </c>
      <c r="M6740">
        <v>-0.99503960000000002</v>
      </c>
      <c r="N6740">
        <v>0</v>
      </c>
      <c r="O6740">
        <v>9.8711160000000006E-2</v>
      </c>
      <c r="P6740">
        <v>-0.98187210000000003</v>
      </c>
      <c r="Q6740">
        <v>4.5443780000000003E-2</v>
      </c>
      <c r="R6740">
        <v>0.1840164</v>
      </c>
      <c r="S6740">
        <v>-2.9626920000000001</v>
      </c>
      <c r="T6740">
        <v>-3.9862160000000001E-2</v>
      </c>
      <c r="U6740">
        <v>0.50390630000000003</v>
      </c>
      <c r="V6740">
        <v>8.6702929999999998E-2</v>
      </c>
      <c r="W6740">
        <v>5.6939610000000002E-2</v>
      </c>
      <c r="X6740">
        <v>0.99460570000000004</v>
      </c>
      <c r="Y6740">
        <v>6.9538359999999994E-2</v>
      </c>
      <c r="Z6740">
        <v>-8.4989889999999995E-4</v>
      </c>
      <c r="AA6740">
        <v>0.99757890000000005</v>
      </c>
      <c r="AB6740">
        <v>18</v>
      </c>
      <c r="AC6740">
        <v>-82.091499999999996</v>
      </c>
      <c r="AD6740">
        <v>-1.1069316656699999</v>
      </c>
      <c r="AE6740">
        <v>13.966699999999999</v>
      </c>
      <c r="AF6740">
        <v>5.7934899155717599</v>
      </c>
      <c r="AG6740">
        <v>-1.1069316656699999</v>
      </c>
      <c r="AH6740">
        <v>83.054612212173495</v>
      </c>
      <c r="AI6740">
        <v>90.7617282654316</v>
      </c>
      <c r="AJ6740">
        <v>86.009785714912397</v>
      </c>
      <c r="AK6740">
        <v>83.263788244523298</v>
      </c>
      <c r="AL6740">
        <v>86.735835260775801</v>
      </c>
      <c r="AM6740">
        <v>85.017939728536803</v>
      </c>
      <c r="AN6740">
        <v>1.00000000786501</v>
      </c>
    </row>
    <row r="6741" spans="1:40" x14ac:dyDescent="0.25">
      <c r="A6741" t="str">
        <f>"20190312150824471"</f>
        <v>20190312150824471</v>
      </c>
      <c r="B6741" t="str">
        <f>"1552374504467331"</f>
        <v>1552374504467331</v>
      </c>
      <c r="C6741" t="s">
        <v>40</v>
      </c>
      <c r="D6741">
        <v>4.4974860000000003</v>
      </c>
      <c r="E6741">
        <v>0.49406099999999997</v>
      </c>
      <c r="F6741" t="s">
        <v>77</v>
      </c>
      <c r="G6741">
        <v>-288.28870000000001</v>
      </c>
      <c r="H6741">
        <v>7.9984730000000004E-2</v>
      </c>
      <c r="I6741">
        <v>150.49979999999999</v>
      </c>
      <c r="J6741">
        <v>-215.87620000000001</v>
      </c>
      <c r="K6741">
        <v>1.107013</v>
      </c>
      <c r="L6741">
        <v>137.99520000000001</v>
      </c>
      <c r="M6741">
        <v>-0.99423680000000003</v>
      </c>
      <c r="N6741">
        <v>0</v>
      </c>
      <c r="O6741">
        <v>0.1064967</v>
      </c>
      <c r="P6741">
        <v>-0.98121179999999997</v>
      </c>
      <c r="Q6741">
        <v>4.4523630000000002E-2</v>
      </c>
      <c r="R6741">
        <v>0.187726</v>
      </c>
      <c r="S6741">
        <v>-2.9615019999999999</v>
      </c>
      <c r="T6741">
        <v>-4.1896580000000003E-2</v>
      </c>
      <c r="U6741">
        <v>0.51126099999999997</v>
      </c>
      <c r="V6741">
        <v>8.2647219999999993E-2</v>
      </c>
      <c r="W6741">
        <v>5.6059350000000001E-2</v>
      </c>
      <c r="X6741">
        <v>0.99500089999999997</v>
      </c>
      <c r="Y6741">
        <v>6.4203460000000004E-2</v>
      </c>
      <c r="Z6741">
        <v>-1.039276E-3</v>
      </c>
      <c r="AA6741">
        <v>0.9979363</v>
      </c>
      <c r="AB6741">
        <v>18</v>
      </c>
      <c r="AC6741">
        <v>-72.412499999999994</v>
      </c>
      <c r="AD6741">
        <v>-1.02702827</v>
      </c>
      <c r="AE6741">
        <v>12.5045999999999</v>
      </c>
      <c r="AF6741">
        <v>4.7202771444480396</v>
      </c>
      <c r="AG6741">
        <v>-1.02702827</v>
      </c>
      <c r="AH6741">
        <v>73.318109665340899</v>
      </c>
      <c r="AI6741">
        <v>90.800879717527494</v>
      </c>
      <c r="AJ6741">
        <v>86.316336820554397</v>
      </c>
      <c r="AK6741">
        <v>73.477078114788497</v>
      </c>
      <c r="AL6741">
        <v>86.786351119772206</v>
      </c>
      <c r="AM6741">
        <v>85.251771659888107</v>
      </c>
      <c r="AN6741">
        <v>1.0000000023484801</v>
      </c>
    </row>
    <row r="6742" spans="1:40" x14ac:dyDescent="0.25">
      <c r="A6742" t="str">
        <f>"20190312150824495"</f>
        <v>20190312150824495</v>
      </c>
      <c r="B6742" t="str">
        <f>"1552374504486852"</f>
        <v>1552374504486852</v>
      </c>
      <c r="C6742" t="s">
        <v>40</v>
      </c>
      <c r="D6742">
        <v>4.2586740000000001</v>
      </c>
      <c r="E6742">
        <v>0.51930100000000001</v>
      </c>
      <c r="F6742" t="s">
        <v>77</v>
      </c>
      <c r="G6742">
        <v>-281.85640000000001</v>
      </c>
      <c r="H6742">
        <v>3.3949109999999998E-2</v>
      </c>
      <c r="I6742">
        <v>149.6163</v>
      </c>
      <c r="J6742">
        <v>-216.06720000000001</v>
      </c>
      <c r="K6742">
        <v>1.1071040000000001</v>
      </c>
      <c r="L6742">
        <v>138.0256</v>
      </c>
      <c r="M6742">
        <v>-0.99332920000000002</v>
      </c>
      <c r="N6742">
        <v>0</v>
      </c>
      <c r="O6742">
        <v>0.1146562</v>
      </c>
      <c r="P6742">
        <v>-0.98040910000000003</v>
      </c>
      <c r="Q6742">
        <v>4.4015779999999997E-2</v>
      </c>
      <c r="R6742">
        <v>0.191992</v>
      </c>
      <c r="S6742">
        <v>-2.9599150000000001</v>
      </c>
      <c r="T6742">
        <v>-4.8138380000000001E-2</v>
      </c>
      <c r="U6742">
        <v>0.52133180000000001</v>
      </c>
      <c r="V6742">
        <v>7.8780790000000003E-2</v>
      </c>
      <c r="W6742">
        <v>5.5586589999999998E-2</v>
      </c>
      <c r="X6742">
        <v>0.99534100000000003</v>
      </c>
      <c r="Y6742">
        <v>5.9396930000000001E-2</v>
      </c>
      <c r="Z6742">
        <v>-1.363529E-3</v>
      </c>
      <c r="AA6742">
        <v>0.9982335</v>
      </c>
      <c r="AB6742">
        <v>18</v>
      </c>
      <c r="AC6742">
        <v>-65.789199999999994</v>
      </c>
      <c r="AD6742">
        <v>-1.0731548900000001</v>
      </c>
      <c r="AE6742">
        <v>11.590699999999901</v>
      </c>
      <c r="AF6742">
        <v>3.9695165641730199</v>
      </c>
      <c r="AG6742">
        <v>-1.0731548900000001</v>
      </c>
      <c r="AH6742">
        <v>66.6671108558632</v>
      </c>
      <c r="AI6742">
        <v>90.920592734477907</v>
      </c>
      <c r="AJ6742">
        <v>86.592497606200297</v>
      </c>
      <c r="AK6742">
        <v>66.793805049863195</v>
      </c>
      <c r="AL6742">
        <v>86.813480549724801</v>
      </c>
      <c r="AM6742">
        <v>85.474499455289305</v>
      </c>
      <c r="AN6742">
        <v>0.99999999407092599</v>
      </c>
    </row>
    <row r="6743" spans="1:40" x14ac:dyDescent="0.25">
      <c r="A6743" t="str">
        <f>"20190312150824518"</f>
        <v>20190312150824518</v>
      </c>
      <c r="B6743" t="str">
        <f>"1552374504506371"</f>
        <v>1552374504506371</v>
      </c>
      <c r="C6743" t="s">
        <v>40</v>
      </c>
      <c r="D6743">
        <v>4.2348600000000003</v>
      </c>
      <c r="E6743">
        <v>0.5196885</v>
      </c>
      <c r="F6743" t="s">
        <v>42</v>
      </c>
      <c r="G6743">
        <v>-236.41730000000001</v>
      </c>
      <c r="H6743" s="1">
        <v>-2.4567250000000002E-6</v>
      </c>
      <c r="I6743">
        <v>143.1395</v>
      </c>
      <c r="J6743">
        <v>-216.24510000000001</v>
      </c>
      <c r="K6743">
        <v>1.1072090000000001</v>
      </c>
      <c r="L6743">
        <v>138.05510000000001</v>
      </c>
      <c r="M6743">
        <v>-0.99245170000000005</v>
      </c>
      <c r="N6743">
        <v>0</v>
      </c>
      <c r="O6743">
        <v>0.12202159999999999</v>
      </c>
      <c r="P6743">
        <v>-0.97953500000000004</v>
      </c>
      <c r="Q6743">
        <v>4.3738199999999998E-2</v>
      </c>
      <c r="R6743">
        <v>0.1964649</v>
      </c>
      <c r="S6743">
        <v>-2.923203</v>
      </c>
      <c r="T6743">
        <v>-0.15903120000000001</v>
      </c>
      <c r="U6743">
        <v>0.73458859999999904</v>
      </c>
      <c r="V6743">
        <v>7.5918940000000004E-2</v>
      </c>
      <c r="W6743">
        <v>5.5332819999999998E-2</v>
      </c>
      <c r="X6743">
        <v>0.9955775</v>
      </c>
      <c r="Y6743">
        <v>0.123543</v>
      </c>
      <c r="Z6743">
        <v>-3.1891160000000001E-3</v>
      </c>
      <c r="AA6743">
        <v>0.9923341</v>
      </c>
      <c r="AB6743">
        <v>18</v>
      </c>
      <c r="AC6743">
        <v>-20.1722</v>
      </c>
      <c r="AD6743">
        <v>-1.107211456725</v>
      </c>
      <c r="AE6743">
        <v>5.08439999999998</v>
      </c>
      <c r="AF6743">
        <v>2.57747034618877</v>
      </c>
      <c r="AG6743">
        <v>-1.107211456725</v>
      </c>
      <c r="AH6743">
        <v>20.583584898241298</v>
      </c>
      <c r="AI6743">
        <v>93.055215477991993</v>
      </c>
      <c r="AJ6743">
        <v>82.862589707746196</v>
      </c>
      <c r="AK6743">
        <v>20.7738594839402</v>
      </c>
      <c r="AL6743">
        <v>86.8280428755115</v>
      </c>
      <c r="AM6743">
        <v>85.639282019716205</v>
      </c>
      <c r="AN6743">
        <v>0.99999998246306199</v>
      </c>
    </row>
    <row r="6744" spans="1:40" x14ac:dyDescent="0.25">
      <c r="A6744" t="str">
        <f>"20190312150824539"</f>
        <v>20190312150824539</v>
      </c>
      <c r="B6744" t="str">
        <f>"1552374504536627"</f>
        <v>1552374504536627</v>
      </c>
      <c r="C6744" t="s">
        <v>40</v>
      </c>
      <c r="D6744">
        <v>4.2557260000000001</v>
      </c>
      <c r="E6744">
        <v>0.51959469999999996</v>
      </c>
      <c r="F6744" t="s">
        <v>42</v>
      </c>
      <c r="G6744">
        <v>-234.92349999999999</v>
      </c>
      <c r="H6744" s="1">
        <v>-3.0231619999999999E-6</v>
      </c>
      <c r="I6744">
        <v>142.85990000000001</v>
      </c>
      <c r="J6744">
        <v>-216.41659999999999</v>
      </c>
      <c r="K6744">
        <v>1.1073309999999901</v>
      </c>
      <c r="L6744">
        <v>138.08459999999999</v>
      </c>
      <c r="M6744">
        <v>-0.99158409999999997</v>
      </c>
      <c r="N6744">
        <v>0</v>
      </c>
      <c r="O6744">
        <v>0.12888479999999999</v>
      </c>
      <c r="P6744">
        <v>-0.97878909999999997</v>
      </c>
      <c r="Q6744">
        <v>4.2815800000000001E-2</v>
      </c>
      <c r="R6744">
        <v>0.20034650000000001</v>
      </c>
      <c r="S6744">
        <v>-2.9197540000000002</v>
      </c>
      <c r="T6744">
        <v>-0.17307600000000001</v>
      </c>
      <c r="U6744">
        <v>0.75108339999999996</v>
      </c>
      <c r="V6744">
        <v>7.2945319999999994E-2</v>
      </c>
      <c r="W6744">
        <v>5.4434870000000003E-2</v>
      </c>
      <c r="X6744">
        <v>0.99584930000000005</v>
      </c>
      <c r="Y6744">
        <v>0.1222326</v>
      </c>
      <c r="Z6744">
        <v>-3.903962E-3</v>
      </c>
      <c r="AA6744">
        <v>0.99249379999999998</v>
      </c>
      <c r="AB6744">
        <v>18</v>
      </c>
      <c r="AC6744">
        <v>-18.506900000000002</v>
      </c>
      <c r="AD6744">
        <v>-1.1073340231619999</v>
      </c>
      <c r="AE6744">
        <v>4.7753000000000103</v>
      </c>
      <c r="AF6744">
        <v>2.3421676564721401</v>
      </c>
      <c r="AG6744">
        <v>-1.1073340231619999</v>
      </c>
      <c r="AH6744">
        <v>18.904576257243299</v>
      </c>
      <c r="AI6744">
        <v>93.326886791785299</v>
      </c>
      <c r="AJ6744">
        <v>82.937374147724299</v>
      </c>
      <c r="AK6744">
        <v>19.081272007803999</v>
      </c>
      <c r="AL6744">
        <v>86.879569346382198</v>
      </c>
      <c r="AM6744">
        <v>85.810603044832206</v>
      </c>
      <c r="AN6744">
        <v>1.0000000015461501</v>
      </c>
    </row>
    <row r="6745" spans="1:40" x14ac:dyDescent="0.25">
      <c r="A6745" t="str">
        <f>"20190312150824560"</f>
        <v>20190312150824560</v>
      </c>
      <c r="B6745" t="str">
        <f>"1552374504557123"</f>
        <v>1552374504557123</v>
      </c>
      <c r="C6745" t="s">
        <v>40</v>
      </c>
      <c r="D6745">
        <v>4.2606479999999998</v>
      </c>
      <c r="E6745">
        <v>0.51908959999999904</v>
      </c>
      <c r="F6745" t="s">
        <v>42</v>
      </c>
      <c r="G6745">
        <v>-233.8279</v>
      </c>
      <c r="H6745" s="1">
        <v>-3.4325530000000002E-6</v>
      </c>
      <c r="I6745">
        <v>142.63200000000001</v>
      </c>
      <c r="J6745">
        <v>-216.5831</v>
      </c>
      <c r="K6745">
        <v>1.1074790000000001</v>
      </c>
      <c r="L6745">
        <v>138.114</v>
      </c>
      <c r="M6745">
        <v>-0.99072919999999998</v>
      </c>
      <c r="N6745">
        <v>0</v>
      </c>
      <c r="O6745">
        <v>0.13530159999999999</v>
      </c>
      <c r="P6745">
        <v>-0.97821590000000003</v>
      </c>
      <c r="Q6745">
        <v>4.1645469999999997E-2</v>
      </c>
      <c r="R6745">
        <v>0.20337</v>
      </c>
      <c r="S6745">
        <v>-2.9171749999999999</v>
      </c>
      <c r="T6745">
        <v>-0.185528</v>
      </c>
      <c r="U6745">
        <v>0.76191709999999901</v>
      </c>
      <c r="V6745">
        <v>6.9537329999999994E-2</v>
      </c>
      <c r="W6745">
        <v>5.3294979999999999E-2</v>
      </c>
      <c r="X6745">
        <v>0.99615469999999895</v>
      </c>
      <c r="Y6745">
        <v>0.1194904</v>
      </c>
      <c r="Z6745">
        <v>-4.6661659999999898E-3</v>
      </c>
      <c r="AA6745">
        <v>0.99282440000000005</v>
      </c>
      <c r="AB6745">
        <v>18</v>
      </c>
      <c r="AC6745">
        <v>-17.244799999999898</v>
      </c>
      <c r="AD6745">
        <v>-1.1074824325529999</v>
      </c>
      <c r="AE6745">
        <v>4.5179999999999998</v>
      </c>
      <c r="AF6745">
        <v>2.1347861819657901</v>
      </c>
      <c r="AG6745">
        <v>-1.1074824325529999</v>
      </c>
      <c r="AH6745">
        <v>17.629498933891298</v>
      </c>
      <c r="AI6745">
        <v>93.568588457352902</v>
      </c>
      <c r="AJ6745">
        <v>83.095572106390094</v>
      </c>
      <c r="AK6745">
        <v>17.792781177803601</v>
      </c>
      <c r="AL6745">
        <v>86.944975157105404</v>
      </c>
      <c r="AM6745">
        <v>86.0069024127136</v>
      </c>
      <c r="AN6745">
        <v>0.99999999074440904</v>
      </c>
    </row>
    <row r="6746" spans="1:40" x14ac:dyDescent="0.25">
      <c r="A6746" t="str">
        <f>"20190312150824584"</f>
        <v>20190312150824584</v>
      </c>
      <c r="B6746" t="str">
        <f>"1552374504576643"</f>
        <v>1552374504576643</v>
      </c>
      <c r="C6746" t="s">
        <v>40</v>
      </c>
      <c r="D6746">
        <v>4.2706269999999904</v>
      </c>
      <c r="E6746">
        <v>0.51852240000000005</v>
      </c>
      <c r="F6746" t="s">
        <v>42</v>
      </c>
      <c r="G6746">
        <v>-233.31110000000001</v>
      </c>
      <c r="H6746" s="1">
        <v>-3.6232750000000001E-6</v>
      </c>
      <c r="I6746">
        <v>142.51570000000001</v>
      </c>
      <c r="J6746">
        <v>-216.7696</v>
      </c>
      <c r="K6746">
        <v>1.107664</v>
      </c>
      <c r="L6746">
        <v>138.148</v>
      </c>
      <c r="M6746">
        <v>-0.98976359999999997</v>
      </c>
      <c r="N6746">
        <v>0</v>
      </c>
      <c r="O6746">
        <v>0.14219570000000001</v>
      </c>
      <c r="P6746">
        <v>-0.97727030000000004</v>
      </c>
      <c r="Q6746">
        <v>4.1882740000000002E-2</v>
      </c>
      <c r="R6746">
        <v>0.20781849999999999</v>
      </c>
      <c r="S6746">
        <v>-2.9155120000000001</v>
      </c>
      <c r="T6746">
        <v>-0.1930219</v>
      </c>
      <c r="U6746">
        <v>0.76716609999999996</v>
      </c>
      <c r="V6746">
        <v>6.7111030000000002E-2</v>
      </c>
      <c r="W6746">
        <v>5.3559240000000001E-2</v>
      </c>
      <c r="X6746">
        <v>0.99630700000000005</v>
      </c>
      <c r="Y6746">
        <v>0.11441419999999999</v>
      </c>
      <c r="Z6746">
        <v>-5.4617169999999996E-3</v>
      </c>
      <c r="AA6746">
        <v>0.99341809999999997</v>
      </c>
      <c r="AB6746">
        <v>18</v>
      </c>
      <c r="AC6746">
        <v>-16.541499999999999</v>
      </c>
      <c r="AD6746">
        <v>-1.107667623275</v>
      </c>
      <c r="AE6746">
        <v>4.3677000000000099</v>
      </c>
      <c r="AF6746">
        <v>1.9627790072271101</v>
      </c>
      <c r="AG6746">
        <v>-1.107667623275</v>
      </c>
      <c r="AH6746">
        <v>16.923563816515301</v>
      </c>
      <c r="AI6746">
        <v>93.719872539372602</v>
      </c>
      <c r="AJ6746">
        <v>83.384446002405298</v>
      </c>
      <c r="AK6746">
        <v>17.072974001225699</v>
      </c>
      <c r="AL6746">
        <v>86.929812732256906</v>
      </c>
      <c r="AM6746">
        <v>86.146389687426094</v>
      </c>
      <c r="AN6746">
        <v>1.0000000603930099</v>
      </c>
    </row>
    <row r="6747" spans="1:40" x14ac:dyDescent="0.25">
      <c r="A6747" t="str">
        <f>"20190312150824607"</f>
        <v>20190312150824607</v>
      </c>
      <c r="B6747" t="str">
        <f>"1552374504596162"</f>
        <v>1552374504596162</v>
      </c>
      <c r="C6747" t="s">
        <v>40</v>
      </c>
      <c r="D6747">
        <v>4.3428209999999998</v>
      </c>
      <c r="E6747">
        <v>0.51827469999999998</v>
      </c>
      <c r="F6747" t="s">
        <v>42</v>
      </c>
      <c r="G6747">
        <v>-233.35120000000001</v>
      </c>
      <c r="H6747" s="1">
        <v>-3.6187740000000001E-6</v>
      </c>
      <c r="I6747">
        <v>142.5634</v>
      </c>
      <c r="J6747">
        <v>-216.95179999999999</v>
      </c>
      <c r="K6747">
        <v>1.107856</v>
      </c>
      <c r="L6747">
        <v>138.18209999999999</v>
      </c>
      <c r="M6747">
        <v>-0.98882729999999996</v>
      </c>
      <c r="N6747">
        <v>0</v>
      </c>
      <c r="O6747">
        <v>0.14856810000000001</v>
      </c>
      <c r="P6747">
        <v>-0.97649450000000004</v>
      </c>
      <c r="Q6747">
        <v>4.1327929999999999E-2</v>
      </c>
      <c r="R6747">
        <v>0.21154310000000001</v>
      </c>
      <c r="S6747">
        <v>-2.9131619999999998</v>
      </c>
      <c r="T6747">
        <v>-0.19460169999999999</v>
      </c>
      <c r="U6747">
        <v>0.77574160000000003</v>
      </c>
      <c r="V6747">
        <v>6.4457539999999994E-2</v>
      </c>
      <c r="W6747">
        <v>5.3035939999999997E-2</v>
      </c>
      <c r="X6747">
        <v>0.99651009999999995</v>
      </c>
      <c r="Y6747">
        <v>0.1109653</v>
      </c>
      <c r="Z6747">
        <v>-6.0318749999999999E-3</v>
      </c>
      <c r="AA6747">
        <v>0.99380590000000002</v>
      </c>
      <c r="AB6747">
        <v>18</v>
      </c>
      <c r="AC6747">
        <v>-16.3994</v>
      </c>
      <c r="AD6747">
        <v>-1.107859618774</v>
      </c>
      <c r="AE6747">
        <v>4.3813000000000004</v>
      </c>
      <c r="AF6747">
        <v>1.88801948726418</v>
      </c>
      <c r="AG6747">
        <v>-1.107859618774</v>
      </c>
      <c r="AH6747">
        <v>16.7967967837257</v>
      </c>
      <c r="AI6747">
        <v>93.750021614957006</v>
      </c>
      <c r="AJ6747">
        <v>83.586670775954005</v>
      </c>
      <c r="AK6747">
        <v>16.938841539874499</v>
      </c>
      <c r="AL6747">
        <v>86.959838050989305</v>
      </c>
      <c r="AM6747">
        <v>86.299076872934293</v>
      </c>
      <c r="AN6747">
        <v>0.99999998239827204</v>
      </c>
    </row>
    <row r="6748" spans="1:40" x14ac:dyDescent="0.25">
      <c r="A6748" t="str">
        <f>"20190312150824628"</f>
        <v>20190312150824628</v>
      </c>
      <c r="B6748" t="str">
        <f>"1552374504616659"</f>
        <v>1552374504616659</v>
      </c>
      <c r="C6748" t="s">
        <v>40</v>
      </c>
      <c r="D6748">
        <v>4.3236800000000004</v>
      </c>
      <c r="E6748">
        <v>0.5178469</v>
      </c>
      <c r="F6748" t="s">
        <v>41</v>
      </c>
      <c r="G6748">
        <v>-217.80369999999999</v>
      </c>
      <c r="H6748">
        <v>1.0502940000000001</v>
      </c>
      <c r="I6748">
        <v>138.4119</v>
      </c>
      <c r="J6748">
        <v>-217.1208</v>
      </c>
      <c r="K6748">
        <v>1.1080380000000001</v>
      </c>
      <c r="L6748">
        <v>138.21440000000001</v>
      </c>
      <c r="M6748">
        <v>-0.98796980000000001</v>
      </c>
      <c r="N6748">
        <v>0</v>
      </c>
      <c r="O6748">
        <v>0.15416859999999999</v>
      </c>
      <c r="P6748">
        <v>-0.97613749999999999</v>
      </c>
      <c r="Q6748">
        <v>3.9544169999999997E-2</v>
      </c>
      <c r="R6748">
        <v>0.21352299999999999</v>
      </c>
      <c r="S6748">
        <v>-2.9105219999999998</v>
      </c>
      <c r="T6748">
        <v>-0.19643040000000001</v>
      </c>
      <c r="U6748">
        <v>0.78468319999999903</v>
      </c>
      <c r="V6748">
        <v>6.0783780000000003E-2</v>
      </c>
      <c r="W6748">
        <v>5.128833E-2</v>
      </c>
      <c r="X6748">
        <v>0.99683239999999995</v>
      </c>
      <c r="Y6748">
        <v>0.1084247</v>
      </c>
      <c r="Z6748">
        <v>-6.5390229999999997E-3</v>
      </c>
      <c r="AA6748">
        <v>0.99408319999999994</v>
      </c>
      <c r="AB6748">
        <v>18</v>
      </c>
      <c r="AC6748">
        <v>-0.68289999999998896</v>
      </c>
      <c r="AD6748">
        <v>-5.7743999999999802E-2</v>
      </c>
      <c r="AE6748">
        <v>0.19749999999998999</v>
      </c>
      <c r="AF6748">
        <v>8.9259995154055E-2</v>
      </c>
      <c r="AG6748">
        <v>-5.7743999999999802E-2</v>
      </c>
      <c r="AH6748">
        <v>0.70056263037721</v>
      </c>
      <c r="AI6748">
        <v>94.674344314540903</v>
      </c>
      <c r="AJ6748">
        <v>82.738960283054297</v>
      </c>
      <c r="AK6748">
        <v>0.70858289236470895</v>
      </c>
      <c r="AL6748">
        <v>87.060105287250707</v>
      </c>
      <c r="AM6748">
        <v>86.510599700035698</v>
      </c>
      <c r="AN6748">
        <v>0.99999999719751798</v>
      </c>
    </row>
    <row r="6749" spans="1:40" x14ac:dyDescent="0.25">
      <c r="A6749" t="str">
        <f>"20190312150824650"</f>
        <v>20190312150824650</v>
      </c>
      <c r="B6749" t="str">
        <f>"1552374504646916"</f>
        <v>1552374504646916</v>
      </c>
      <c r="C6749" t="s">
        <v>40</v>
      </c>
      <c r="D6749">
        <v>4.3621530000000002</v>
      </c>
      <c r="E6749">
        <v>0.5180188</v>
      </c>
      <c r="F6749" t="s">
        <v>41</v>
      </c>
      <c r="G6749">
        <v>-217.96</v>
      </c>
      <c r="H6749">
        <v>1.0496259999999999</v>
      </c>
      <c r="I6749">
        <v>138.44139999999999</v>
      </c>
      <c r="J6749">
        <v>-217.29480000000001</v>
      </c>
      <c r="K6749">
        <v>1.1081920000000001</v>
      </c>
      <c r="L6749">
        <v>138.2483</v>
      </c>
      <c r="M6749">
        <v>-0.98709930000000001</v>
      </c>
      <c r="N6749">
        <v>0</v>
      </c>
      <c r="O6749">
        <v>0.15964929999999999</v>
      </c>
      <c r="P6749">
        <v>-0.97596729999999998</v>
      </c>
      <c r="Q6749">
        <v>3.863407E-2</v>
      </c>
      <c r="R6749">
        <v>0.2144653</v>
      </c>
      <c r="S6749">
        <v>-2.9093170000000002</v>
      </c>
      <c r="T6749">
        <v>-0.2025691</v>
      </c>
      <c r="U6749">
        <v>0.78736879999999998</v>
      </c>
      <c r="V6749">
        <v>5.617954E-2</v>
      </c>
      <c r="W6749">
        <v>5.041209E-2</v>
      </c>
      <c r="X6749">
        <v>0.99714709999999995</v>
      </c>
      <c r="Y6749">
        <v>0.1038931</v>
      </c>
      <c r="Z6749">
        <v>-7.2665050000000004E-3</v>
      </c>
      <c r="AA6749">
        <v>0.9945619</v>
      </c>
      <c r="AB6749">
        <v>18</v>
      </c>
      <c r="AC6749">
        <v>-0.66519999999999802</v>
      </c>
      <c r="AD6749">
        <v>-5.8566000000000097E-2</v>
      </c>
      <c r="AE6749">
        <v>0.19309999999998601</v>
      </c>
      <c r="AF6749">
        <v>8.3817152779052995E-2</v>
      </c>
      <c r="AG6749">
        <v>-5.8566000000000097E-2</v>
      </c>
      <c r="AH6749">
        <v>0.68261720658084901</v>
      </c>
      <c r="AI6749">
        <v>94.867377110679996</v>
      </c>
      <c r="AJ6749">
        <v>82.999809914654506</v>
      </c>
      <c r="AK6749">
        <v>0.69023296224986896</v>
      </c>
      <c r="AL6749">
        <v>87.110374981046405</v>
      </c>
      <c r="AM6749">
        <v>86.775349171656003</v>
      </c>
      <c r="AN6749">
        <v>0.999999929285592</v>
      </c>
    </row>
    <row r="6750" spans="1:40" x14ac:dyDescent="0.25">
      <c r="A6750" t="str">
        <f>"20190312150824672"</f>
        <v>20190312150824672</v>
      </c>
      <c r="B6750" t="str">
        <f>"1552374504666475"</f>
        <v>1552374504666475</v>
      </c>
      <c r="C6750" t="s">
        <v>40</v>
      </c>
      <c r="D6750">
        <v>4.3786750000000003</v>
      </c>
      <c r="E6750">
        <v>0.51738949999999995</v>
      </c>
      <c r="F6750" t="s">
        <v>41</v>
      </c>
      <c r="G6750">
        <v>-218.1174</v>
      </c>
      <c r="H6750">
        <v>1.0504530000000001</v>
      </c>
      <c r="I6750">
        <v>138.47229999999999</v>
      </c>
      <c r="J6750">
        <v>-217.46350000000001</v>
      </c>
      <c r="K6750">
        <v>1.108314</v>
      </c>
      <c r="L6750">
        <v>138.2818</v>
      </c>
      <c r="M6750">
        <v>-0.98627019999999999</v>
      </c>
      <c r="N6750">
        <v>0</v>
      </c>
      <c r="O6750">
        <v>0.16469449999999999</v>
      </c>
      <c r="P6750">
        <v>-0.97572329999999996</v>
      </c>
      <c r="Q6750">
        <v>3.8358320000000001E-2</v>
      </c>
      <c r="R6750">
        <v>0.21562210000000001</v>
      </c>
      <c r="S6750">
        <v>-2.9079739999999998</v>
      </c>
      <c r="T6750">
        <v>-0.20392199999999999</v>
      </c>
      <c r="U6750">
        <v>0.79164119999999905</v>
      </c>
      <c r="V6750">
        <v>5.2240620000000001E-2</v>
      </c>
      <c r="W6750">
        <v>5.0160629999999998E-2</v>
      </c>
      <c r="X6750">
        <v>0.99737390000000004</v>
      </c>
      <c r="Y6750">
        <v>0.1003045</v>
      </c>
      <c r="Z6750">
        <v>-7.7797909999999899E-3</v>
      </c>
      <c r="AA6750">
        <v>0.99492639999999999</v>
      </c>
      <c r="AB6750">
        <v>18</v>
      </c>
      <c r="AC6750">
        <v>-0.65389999999999204</v>
      </c>
      <c r="AD6750">
        <v>-5.7860999999999899E-2</v>
      </c>
      <c r="AE6750">
        <v>0.19049999999998499</v>
      </c>
      <c r="AF6750">
        <v>7.9621976748116399E-2</v>
      </c>
      <c r="AG6750">
        <v>-5.7860999999999899E-2</v>
      </c>
      <c r="AH6750">
        <v>0.67149966973117503</v>
      </c>
      <c r="AI6750">
        <v>94.890738315222194</v>
      </c>
      <c r="AJ6750">
        <v>83.237819840340904</v>
      </c>
      <c r="AK6750">
        <v>0.678674709232158</v>
      </c>
      <c r="AL6750">
        <v>87.124800842783202</v>
      </c>
      <c r="AM6750">
        <v>87.001691824915895</v>
      </c>
      <c r="AN6750">
        <v>0.99999993379059304</v>
      </c>
    </row>
    <row r="6751" spans="1:40" x14ac:dyDescent="0.25">
      <c r="A6751" t="str">
        <f>"20190312150824695"</f>
        <v>20190312150824695</v>
      </c>
      <c r="B6751" t="str">
        <f>"1552374504686931"</f>
        <v>1552374504686931</v>
      </c>
      <c r="C6751" t="s">
        <v>40</v>
      </c>
      <c r="D6751">
        <v>4.3805820000000004</v>
      </c>
      <c r="E6751">
        <v>0.51683469999999998</v>
      </c>
      <c r="F6751" t="s">
        <v>41</v>
      </c>
      <c r="G6751">
        <v>-218.2756</v>
      </c>
      <c r="H6751">
        <v>1.0520879999999999</v>
      </c>
      <c r="I6751">
        <v>138.50239999999999</v>
      </c>
      <c r="J6751">
        <v>-217.64709999999999</v>
      </c>
      <c r="K6751">
        <v>1.108449</v>
      </c>
      <c r="L6751">
        <v>138.31890000000001</v>
      </c>
      <c r="M6751">
        <v>-0.98539529999999997</v>
      </c>
      <c r="N6751">
        <v>0</v>
      </c>
      <c r="O6751">
        <v>0.169852799999999</v>
      </c>
      <c r="P6751">
        <v>-0.97545329999999997</v>
      </c>
      <c r="Q6751">
        <v>3.8289759999999999E-2</v>
      </c>
      <c r="R6751">
        <v>0.21685189999999999</v>
      </c>
      <c r="S6751">
        <v>-2.9079899999999999</v>
      </c>
      <c r="T6751">
        <v>-0.20125280000000001</v>
      </c>
      <c r="U6751">
        <v>0.78990169999999904</v>
      </c>
      <c r="V6751">
        <v>4.8258599999999999E-2</v>
      </c>
      <c r="W6751">
        <v>5.0112539999999997E-2</v>
      </c>
      <c r="X6751">
        <v>0.99757700000000005</v>
      </c>
      <c r="Y6751">
        <v>9.4561409999999999E-2</v>
      </c>
      <c r="Z6751">
        <v>-8.2165019999999901E-3</v>
      </c>
      <c r="AA6751">
        <v>0.99548510000000001</v>
      </c>
      <c r="AB6751">
        <v>18</v>
      </c>
      <c r="AC6751">
        <v>-0.62850000000000195</v>
      </c>
      <c r="AD6751">
        <v>-5.6361000000000099E-2</v>
      </c>
      <c r="AE6751">
        <v>0.18349999999998001</v>
      </c>
      <c r="AF6751">
        <v>7.3528119940313205E-2</v>
      </c>
      <c r="AG6751">
        <v>-5.6361000000000099E-2</v>
      </c>
      <c r="AH6751">
        <v>0.64575143427443304</v>
      </c>
      <c r="AI6751">
        <v>94.956254099939102</v>
      </c>
      <c r="AJ6751">
        <v>83.504025902644699</v>
      </c>
      <c r="AK6751">
        <v>0.65236328959441303</v>
      </c>
      <c r="AL6751">
        <v>87.127559900143794</v>
      </c>
      <c r="AM6751">
        <v>87.230429114248807</v>
      </c>
      <c r="AN6751">
        <v>1.0000000150341</v>
      </c>
    </row>
    <row r="6752" spans="1:40" x14ac:dyDescent="0.25">
      <c r="A6752" t="str">
        <f>"20190312150824717"</f>
        <v>20190312150824717</v>
      </c>
      <c r="B6752" t="str">
        <f>"1552374504706452"</f>
        <v>1552374504706452</v>
      </c>
      <c r="C6752" t="s">
        <v>40</v>
      </c>
      <c r="D6752">
        <v>4.4303549999999996</v>
      </c>
      <c r="E6752">
        <v>0.51628069999999904</v>
      </c>
      <c r="F6752" t="s">
        <v>41</v>
      </c>
      <c r="G6752">
        <v>-218.43350000000001</v>
      </c>
      <c r="H6752">
        <v>1.053374</v>
      </c>
      <c r="I6752">
        <v>138.5325</v>
      </c>
      <c r="J6752">
        <v>-217.81979999999999</v>
      </c>
      <c r="K6752">
        <v>1.10859</v>
      </c>
      <c r="L6752">
        <v>138.3544</v>
      </c>
      <c r="M6752">
        <v>-0.98460490000000001</v>
      </c>
      <c r="N6752">
        <v>0</v>
      </c>
      <c r="O6752">
        <v>0.17437739999999999</v>
      </c>
      <c r="P6752">
        <v>-0.97564039999999996</v>
      </c>
      <c r="Q6752">
        <v>3.7055499999999998E-2</v>
      </c>
      <c r="R6752">
        <v>0.21622420000000001</v>
      </c>
      <c r="S6752">
        <v>-2.9080509999999999</v>
      </c>
      <c r="T6752">
        <v>-0.20346</v>
      </c>
      <c r="U6752">
        <v>0.78913880000000003</v>
      </c>
      <c r="V6752">
        <v>4.2998439999999999E-2</v>
      </c>
      <c r="W6752">
        <v>4.8905240000000003E-2</v>
      </c>
      <c r="X6752">
        <v>0.99787749999999997</v>
      </c>
      <c r="Y6752">
        <v>8.9763099999999998E-2</v>
      </c>
      <c r="Z6752">
        <v>-8.7748229999999993E-3</v>
      </c>
      <c r="AA6752">
        <v>0.99592449999999999</v>
      </c>
      <c r="AB6752">
        <v>18</v>
      </c>
      <c r="AC6752">
        <v>-0.61370000000002201</v>
      </c>
      <c r="AD6752">
        <v>-5.5215999999999897E-2</v>
      </c>
      <c r="AE6752">
        <v>0.17810000000000001</v>
      </c>
      <c r="AF6752">
        <v>6.7841185543347199E-2</v>
      </c>
      <c r="AG6752">
        <v>-5.5215999999999897E-2</v>
      </c>
      <c r="AH6752">
        <v>0.63064639521478305</v>
      </c>
      <c r="AI6752">
        <v>94.975191027191698</v>
      </c>
      <c r="AJ6752">
        <v>83.860072527987199</v>
      </c>
      <c r="AK6752">
        <v>0.63668368041699297</v>
      </c>
      <c r="AL6752">
        <v>87.196818119137205</v>
      </c>
      <c r="AM6752">
        <v>87.532657002805195</v>
      </c>
      <c r="AN6752">
        <v>1.00000004667406</v>
      </c>
    </row>
    <row r="6753" spans="1:40" x14ac:dyDescent="0.25">
      <c r="A6753" t="str">
        <f>"20190312150824739"</f>
        <v>20190312150824739</v>
      </c>
      <c r="B6753" t="str">
        <f>"1552374504736707"</f>
        <v>1552374504736707</v>
      </c>
      <c r="C6753" t="s">
        <v>40</v>
      </c>
      <c r="D6753">
        <v>4.4218129999999896</v>
      </c>
      <c r="E6753">
        <v>0.51560629999999996</v>
      </c>
      <c r="F6753" t="s">
        <v>41</v>
      </c>
      <c r="G6753">
        <v>-218.59</v>
      </c>
      <c r="H6753">
        <v>1.05307</v>
      </c>
      <c r="I6753">
        <v>138.5617</v>
      </c>
      <c r="J6753">
        <v>-217.99019999999999</v>
      </c>
      <c r="K6753">
        <v>1.108762</v>
      </c>
      <c r="L6753">
        <v>138.38980000000001</v>
      </c>
      <c r="M6753">
        <v>-0.98386379999999996</v>
      </c>
      <c r="N6753">
        <v>0</v>
      </c>
      <c r="O6753">
        <v>0.1785128</v>
      </c>
      <c r="P6753">
        <v>-0.97592800000000002</v>
      </c>
      <c r="Q6753">
        <v>3.6002289999999999E-2</v>
      </c>
      <c r="R6753">
        <v>0.21510199999999999</v>
      </c>
      <c r="S6753">
        <v>-2.909348</v>
      </c>
      <c r="T6753">
        <v>-0.20962140000000001</v>
      </c>
      <c r="U6753">
        <v>0.78291319999999998</v>
      </c>
      <c r="V6753">
        <v>3.7622460000000003E-2</v>
      </c>
      <c r="W6753">
        <v>4.7876950000000001E-2</v>
      </c>
      <c r="X6753">
        <v>0.99814440000000004</v>
      </c>
      <c r="Y6753">
        <v>8.3514249999999998E-2</v>
      </c>
      <c r="Z6753">
        <v>-9.5455309999999995E-3</v>
      </c>
      <c r="AA6753">
        <v>0.99646089999999998</v>
      </c>
      <c r="AB6753">
        <v>18</v>
      </c>
      <c r="AC6753">
        <v>-0.59980000000001599</v>
      </c>
      <c r="AD6753">
        <v>-5.5691999999999797E-2</v>
      </c>
      <c r="AE6753">
        <v>0.171899999999993</v>
      </c>
      <c r="AF6753">
        <v>6.1568206528000997E-2</v>
      </c>
      <c r="AG6753">
        <v>-5.5691999999999797E-2</v>
      </c>
      <c r="AH6753">
        <v>0.61594574363245402</v>
      </c>
      <c r="AI6753">
        <v>95.14098636128</v>
      </c>
      <c r="AJ6753">
        <v>84.291835345776605</v>
      </c>
      <c r="AK6753">
        <v>0.62151540770765401</v>
      </c>
      <c r="AL6753">
        <v>87.2558036278012</v>
      </c>
      <c r="AM6753">
        <v>87.841406307849596</v>
      </c>
      <c r="AN6753">
        <v>0.99999994754455501</v>
      </c>
    </row>
    <row r="6754" spans="1:40" x14ac:dyDescent="0.25">
      <c r="A6754" t="str">
        <f>"20190312150824760"</f>
        <v>20190312150824760</v>
      </c>
      <c r="B6754" t="str">
        <f>"1552374504757013"</f>
        <v>1552374504757013</v>
      </c>
      <c r="C6754" t="s">
        <v>40</v>
      </c>
      <c r="D6754">
        <v>4.4314730000000004</v>
      </c>
      <c r="E6754">
        <v>0.51516790000000001</v>
      </c>
      <c r="F6754" t="s">
        <v>41</v>
      </c>
      <c r="G6754">
        <v>-218.7465</v>
      </c>
      <c r="H6754">
        <v>1.0526799999999901</v>
      </c>
      <c r="I6754">
        <v>138.59119999999999</v>
      </c>
      <c r="J6754">
        <v>-218.15870000000001</v>
      </c>
      <c r="K6754">
        <v>1.108954</v>
      </c>
      <c r="L6754">
        <v>138.42519999999999</v>
      </c>
      <c r="M6754">
        <v>-0.98317569999999999</v>
      </c>
      <c r="N6754">
        <v>0</v>
      </c>
      <c r="O6754">
        <v>0.18226580000000001</v>
      </c>
      <c r="P6754">
        <v>-0.97620680000000004</v>
      </c>
      <c r="Q6754">
        <v>3.532838E-2</v>
      </c>
      <c r="R6754">
        <v>0.21394460000000001</v>
      </c>
      <c r="S6754">
        <v>-2.9112550000000001</v>
      </c>
      <c r="T6754">
        <v>-0.21571979999999999</v>
      </c>
      <c r="U6754">
        <v>0.77450559999999902</v>
      </c>
      <c r="V6754">
        <v>3.2596340000000001E-2</v>
      </c>
      <c r="W6754">
        <v>4.7223950000000001E-2</v>
      </c>
      <c r="X6754">
        <v>0.99835229999999997</v>
      </c>
      <c r="Y6754">
        <v>7.6899480000000006E-2</v>
      </c>
      <c r="Z6754">
        <v>-1.032771E-2</v>
      </c>
      <c r="AA6754">
        <v>0.99698540000000002</v>
      </c>
      <c r="AB6754">
        <v>18</v>
      </c>
      <c r="AC6754">
        <v>-0.587799999999987</v>
      </c>
      <c r="AD6754">
        <v>-5.6274000000000102E-2</v>
      </c>
      <c r="AE6754">
        <v>0.16599999999999601</v>
      </c>
      <c r="AF6754">
        <v>5.5603396991550903E-2</v>
      </c>
      <c r="AG6754">
        <v>-5.6274000000000102E-2</v>
      </c>
      <c r="AH6754">
        <v>0.60309146588014795</v>
      </c>
      <c r="AI6754">
        <v>95.308405305848297</v>
      </c>
      <c r="AJ6754">
        <v>84.732376417295001</v>
      </c>
      <c r="AK6754">
        <v>0.60825801848431504</v>
      </c>
      <c r="AL6754">
        <v>87.293260201643406</v>
      </c>
      <c r="AM6754">
        <v>88.129949235378803</v>
      </c>
      <c r="AN6754">
        <v>0.99999996887514297</v>
      </c>
    </row>
    <row r="6755" spans="1:40" x14ac:dyDescent="0.25">
      <c r="A6755" t="str">
        <f>"20190312150824784"</f>
        <v>20190312150824784</v>
      </c>
      <c r="B6755" t="str">
        <f>"1552374504776521"</f>
        <v>1552374504776521</v>
      </c>
      <c r="C6755" t="s">
        <v>40</v>
      </c>
      <c r="D6755">
        <v>4.4271949999999904</v>
      </c>
      <c r="E6755">
        <v>0.51486529999999997</v>
      </c>
      <c r="F6755" t="s">
        <v>41</v>
      </c>
      <c r="G6755">
        <v>-218.90309999999999</v>
      </c>
      <c r="H6755">
        <v>1.0527439999999999</v>
      </c>
      <c r="I6755">
        <v>138.62129999999999</v>
      </c>
      <c r="J6755">
        <v>-218.34360000000001</v>
      </c>
      <c r="K6755">
        <v>1.109194</v>
      </c>
      <c r="L6755">
        <v>138.46420000000001</v>
      </c>
      <c r="M6755">
        <v>-0.98247680000000004</v>
      </c>
      <c r="N6755">
        <v>0</v>
      </c>
      <c r="O6755">
        <v>0.18599760000000001</v>
      </c>
      <c r="P6755">
        <v>-0.97648520000000005</v>
      </c>
      <c r="Q6755">
        <v>3.452301E-2</v>
      </c>
      <c r="R6755">
        <v>0.2128024</v>
      </c>
      <c r="S6755">
        <v>-2.9128569999999998</v>
      </c>
      <c r="T6755">
        <v>-0.2199168</v>
      </c>
      <c r="U6755">
        <v>0.76751709999999995</v>
      </c>
      <c r="V6755">
        <v>2.759847E-2</v>
      </c>
      <c r="W6755">
        <v>4.6434700000000002E-2</v>
      </c>
      <c r="X6755">
        <v>0.99853999999999998</v>
      </c>
      <c r="Y6755">
        <v>7.0776420000000007E-2</v>
      </c>
      <c r="Z6755">
        <v>-1.1023170000000001E-2</v>
      </c>
      <c r="AA6755">
        <v>0.99743130000000002</v>
      </c>
      <c r="AB6755">
        <v>18</v>
      </c>
      <c r="AC6755">
        <v>-0.55949999999998501</v>
      </c>
      <c r="AD6755">
        <v>-5.6449999999999799E-2</v>
      </c>
      <c r="AE6755">
        <v>0.157099999999985</v>
      </c>
      <c r="AF6755">
        <v>4.98150389414099E-2</v>
      </c>
      <c r="AG6755">
        <v>-5.6449999999999799E-2</v>
      </c>
      <c r="AH6755">
        <v>0.57354598593309103</v>
      </c>
      <c r="AI6755">
        <v>95.600158369946101</v>
      </c>
      <c r="AJ6755">
        <v>85.036061950108703</v>
      </c>
      <c r="AK6755">
        <v>0.57846619485039497</v>
      </c>
      <c r="AL6755">
        <v>87.338530631688002</v>
      </c>
      <c r="AM6755">
        <v>88.416815161590506</v>
      </c>
      <c r="AN6755">
        <v>0.99999999425521502</v>
      </c>
    </row>
    <row r="6756" spans="1:40" x14ac:dyDescent="0.25">
      <c r="A6756" t="str">
        <f>"20190312150824808"</f>
        <v>20190312150824808</v>
      </c>
      <c r="B6756" t="str">
        <f>"1552374504797017"</f>
        <v>1552374504797017</v>
      </c>
      <c r="C6756" t="s">
        <v>40</v>
      </c>
      <c r="D6756">
        <v>4.441141</v>
      </c>
      <c r="E6756">
        <v>0.51452759999999997</v>
      </c>
      <c r="F6756" t="s">
        <v>41</v>
      </c>
      <c r="G6756">
        <v>-219.0609</v>
      </c>
      <c r="H6756">
        <v>1.054084</v>
      </c>
      <c r="I6756">
        <v>138.65190000000001</v>
      </c>
      <c r="J6756">
        <v>-218.52930000000001</v>
      </c>
      <c r="K6756">
        <v>1.109443</v>
      </c>
      <c r="L6756">
        <v>138.50360000000001</v>
      </c>
      <c r="M6756">
        <v>-0.98185630000000002</v>
      </c>
      <c r="N6756">
        <v>0</v>
      </c>
      <c r="O6756">
        <v>0.1892469</v>
      </c>
      <c r="P6756">
        <v>-0.97671140000000001</v>
      </c>
      <c r="Q6756">
        <v>3.3756149999999999E-2</v>
      </c>
      <c r="R6756">
        <v>0.21188499999999999</v>
      </c>
      <c r="S6756">
        <v>-2.914215</v>
      </c>
      <c r="T6756">
        <v>-0.22371440000000001</v>
      </c>
      <c r="U6756">
        <v>0.76153559999999998</v>
      </c>
      <c r="V6756">
        <v>2.3319489999999998E-2</v>
      </c>
      <c r="W6756">
        <v>4.5676840000000003E-2</v>
      </c>
      <c r="X6756">
        <v>0.99868400000000002</v>
      </c>
      <c r="Y6756">
        <v>6.5478720000000004E-2</v>
      </c>
      <c r="Z6756">
        <v>-1.1649939999999999E-2</v>
      </c>
      <c r="AA6756">
        <v>0.99778599999999995</v>
      </c>
      <c r="AB6756">
        <v>18</v>
      </c>
      <c r="AC6756">
        <v>-0.53159999999999696</v>
      </c>
      <c r="AD6756">
        <v>-5.5358999999999901E-2</v>
      </c>
      <c r="AE6756">
        <v>0.14830000000000601</v>
      </c>
      <c r="AF6756">
        <v>4.4560532187467403E-2</v>
      </c>
      <c r="AG6756">
        <v>-5.5358999999999901E-2</v>
      </c>
      <c r="AH6756">
        <v>0.544580433751094</v>
      </c>
      <c r="AI6756">
        <v>95.7852264924813</v>
      </c>
      <c r="AJ6756">
        <v>85.322169191907093</v>
      </c>
      <c r="AK6756">
        <v>0.54919769549257902</v>
      </c>
      <c r="AL6756">
        <v>87.3819988275079</v>
      </c>
      <c r="AM6756">
        <v>88.662374077478901</v>
      </c>
      <c r="AN6756">
        <v>0.99999995209112102</v>
      </c>
    </row>
    <row r="6757" spans="1:40" x14ac:dyDescent="0.25">
      <c r="A6757" t="str">
        <f>"20190312150824830"</f>
        <v>20190312150824830</v>
      </c>
      <c r="B6757" t="str">
        <f>"1552374504826297"</f>
        <v>1552374504826297</v>
      </c>
      <c r="C6757" t="s">
        <v>40</v>
      </c>
      <c r="D6757">
        <v>4.4630460000000003</v>
      </c>
      <c r="E6757">
        <v>0.51393059999999902</v>
      </c>
      <c r="F6757" t="s">
        <v>41</v>
      </c>
      <c r="G6757">
        <v>-219.36349999999999</v>
      </c>
      <c r="H6757">
        <v>1.0443819999999999</v>
      </c>
      <c r="I6757">
        <v>138.7199</v>
      </c>
      <c r="J6757">
        <v>-218.69839999999999</v>
      </c>
      <c r="K6757">
        <v>1.1096469999999901</v>
      </c>
      <c r="L6757">
        <v>138.5394</v>
      </c>
      <c r="M6757">
        <v>-0.98135660000000002</v>
      </c>
      <c r="N6757">
        <v>0</v>
      </c>
      <c r="O6757">
        <v>0.19182260000000001</v>
      </c>
      <c r="P6757">
        <v>-0.97714440000000002</v>
      </c>
      <c r="Q6757">
        <v>3.3201380000000003E-2</v>
      </c>
      <c r="R6757">
        <v>0.20996790000000001</v>
      </c>
      <c r="S6757">
        <v>-2.915451</v>
      </c>
      <c r="T6757">
        <v>-0.22731580000000001</v>
      </c>
      <c r="U6757">
        <v>0.75560000000000005</v>
      </c>
      <c r="V6757">
        <v>1.870873E-2</v>
      </c>
      <c r="W6757">
        <v>4.512857E-2</v>
      </c>
      <c r="X6757">
        <v>0.99880599999999997</v>
      </c>
      <c r="Y6757">
        <v>6.0884229999999998E-2</v>
      </c>
      <c r="Z6757">
        <v>-1.220387E-2</v>
      </c>
      <c r="AA6757">
        <v>0.99807020000000002</v>
      </c>
      <c r="AB6757">
        <v>18</v>
      </c>
      <c r="AC6757">
        <v>-0.66509999999999503</v>
      </c>
      <c r="AD6757">
        <v>-6.5264999999999906E-2</v>
      </c>
      <c r="AE6757">
        <v>0.180499999999995</v>
      </c>
      <c r="AF6757">
        <v>4.9116699395099599E-2</v>
      </c>
      <c r="AG6757">
        <v>-6.5264999999999906E-2</v>
      </c>
      <c r="AH6757">
        <v>0.68126354638151998</v>
      </c>
      <c r="AI6757">
        <v>95.458150544637107</v>
      </c>
      <c r="AJ6757">
        <v>85.876311301749496</v>
      </c>
      <c r="AK6757">
        <v>0.68614283499341</v>
      </c>
      <c r="AL6757">
        <v>87.413444977519603</v>
      </c>
      <c r="AM6757">
        <v>88.926912802213593</v>
      </c>
      <c r="AN6757">
        <v>1.0000000150222199</v>
      </c>
    </row>
    <row r="6758" spans="1:40" x14ac:dyDescent="0.25">
      <c r="A6758" t="str">
        <f>"20190312150824851"</f>
        <v>20190312150824851</v>
      </c>
      <c r="B6758" t="str">
        <f>"1552374504846794"</f>
        <v>1552374504846794</v>
      </c>
      <c r="C6758" t="s">
        <v>40</v>
      </c>
      <c r="D6758">
        <v>4.4901910000000003</v>
      </c>
      <c r="E6758">
        <v>0.48728860000000002</v>
      </c>
      <c r="F6758" t="s">
        <v>41</v>
      </c>
      <c r="G6758">
        <v>-219.52029999999999</v>
      </c>
      <c r="H6758">
        <v>1.0448029999999999</v>
      </c>
      <c r="I6758">
        <v>138.74940000000001</v>
      </c>
      <c r="J6758">
        <v>-218.86330000000001</v>
      </c>
      <c r="K6758">
        <v>1.109802</v>
      </c>
      <c r="L6758">
        <v>138.5745</v>
      </c>
      <c r="M6758">
        <v>-0.98092349999999995</v>
      </c>
      <c r="N6758">
        <v>0</v>
      </c>
      <c r="O6758">
        <v>0.1940257</v>
      </c>
      <c r="P6758">
        <v>-0.97768679999999997</v>
      </c>
      <c r="Q6758">
        <v>3.2469339999999999E-2</v>
      </c>
      <c r="R6758">
        <v>0.20754339999999999</v>
      </c>
      <c r="S6758">
        <v>-2.9178920000000002</v>
      </c>
      <c r="T6758">
        <v>-0.23019990000000001</v>
      </c>
      <c r="U6758">
        <v>0.74519349999999995</v>
      </c>
      <c r="V6758">
        <v>1.396207E-2</v>
      </c>
      <c r="W6758">
        <v>4.4398800000000002E-2</v>
      </c>
      <c r="X6758">
        <v>0.99891629999999998</v>
      </c>
      <c r="Y6758">
        <v>5.5132109999999998E-2</v>
      </c>
      <c r="Z6758">
        <v>-1.2744220000000001E-2</v>
      </c>
      <c r="AA6758">
        <v>0.99839770000000005</v>
      </c>
      <c r="AB6758">
        <v>18</v>
      </c>
      <c r="AC6758">
        <v>-0.65699999999998204</v>
      </c>
      <c r="AD6758">
        <v>-6.4998999999999807E-2</v>
      </c>
      <c r="AE6758">
        <v>0.17490000000000799</v>
      </c>
      <c r="AF6758">
        <v>4.3692441032562097E-2</v>
      </c>
      <c r="AG6758">
        <v>-6.4998999999999807E-2</v>
      </c>
      <c r="AH6758">
        <v>0.672305504108487</v>
      </c>
      <c r="AI6758">
        <v>95.510682508598094</v>
      </c>
      <c r="AJ6758">
        <v>86.281635443132103</v>
      </c>
      <c r="AK6758">
        <v>0.676851970713649</v>
      </c>
      <c r="AL6758">
        <v>87.455299593872695</v>
      </c>
      <c r="AM6758">
        <v>89.199216595240898</v>
      </c>
      <c r="AN6758">
        <v>0.99999998362290698</v>
      </c>
    </row>
    <row r="6759" spans="1:40" x14ac:dyDescent="0.25">
      <c r="A6759" t="str">
        <f>"20190312150824874"</f>
        <v>20190312150824874</v>
      </c>
      <c r="B6759" t="str">
        <f>"1552374504866339"</f>
        <v>1552374504866339</v>
      </c>
      <c r="C6759" t="s">
        <v>40</v>
      </c>
      <c r="D6759">
        <v>4.4042680000000001</v>
      </c>
      <c r="E6759">
        <v>0.47583419999999998</v>
      </c>
      <c r="F6759" t="s">
        <v>42</v>
      </c>
      <c r="G6759">
        <v>-232.81120000000001</v>
      </c>
      <c r="H6759" s="1">
        <v>-3.4532729999999999E-6</v>
      </c>
      <c r="I6759">
        <v>141.07069999999999</v>
      </c>
      <c r="J6759">
        <v>-219.0427</v>
      </c>
      <c r="K6759">
        <v>1.1099349999999999</v>
      </c>
      <c r="L6759">
        <v>138.61259999999999</v>
      </c>
      <c r="M6759">
        <v>-0.98051449999999996</v>
      </c>
      <c r="N6759">
        <v>0</v>
      </c>
      <c r="O6759">
        <v>0.1960826</v>
      </c>
      <c r="P6759">
        <v>-0.97834049999999995</v>
      </c>
      <c r="Q6759">
        <v>3.1588070000000003E-2</v>
      </c>
      <c r="R6759">
        <v>0.2045785</v>
      </c>
      <c r="S6759">
        <v>-2.9636990000000001</v>
      </c>
      <c r="T6759">
        <v>-0.2358162</v>
      </c>
      <c r="U6759">
        <v>0.53041079999999996</v>
      </c>
      <c r="V6759">
        <v>8.8142669999999902E-3</v>
      </c>
      <c r="W6759">
        <v>4.352321E-2</v>
      </c>
      <c r="X6759">
        <v>0.9990135</v>
      </c>
      <c r="Y6759">
        <v>-1.9630930000000001E-2</v>
      </c>
      <c r="Z6759">
        <v>-1.608743E-2</v>
      </c>
      <c r="AA6759">
        <v>0.99967779999999995</v>
      </c>
      <c r="AB6759">
        <v>18</v>
      </c>
      <c r="AC6759">
        <v>-13.7685</v>
      </c>
      <c r="AD6759">
        <v>-1.1099384532729999</v>
      </c>
      <c r="AE6759">
        <v>2.4581</v>
      </c>
      <c r="AF6759">
        <v>-0.28776893108203999</v>
      </c>
      <c r="AG6759">
        <v>-1.1099384532729999</v>
      </c>
      <c r="AH6759">
        <v>13.8956897168897</v>
      </c>
      <c r="AI6759">
        <v>94.565912826143403</v>
      </c>
      <c r="AJ6759">
        <v>91.186381467640899</v>
      </c>
      <c r="AK6759">
        <v>13.942918167866599</v>
      </c>
      <c r="AL6759">
        <v>87.505515713357497</v>
      </c>
      <c r="AM6759">
        <v>89.494494123643307</v>
      </c>
      <c r="AN6759">
        <v>0.99999996714685002</v>
      </c>
    </row>
    <row r="6760" spans="1:40" x14ac:dyDescent="0.25">
      <c r="A6760" t="str">
        <f>"20190312150824896"</f>
        <v>20190312150824896</v>
      </c>
      <c r="B6760" t="str">
        <f>"1552374504886834"</f>
        <v>1552374504886834</v>
      </c>
      <c r="C6760" t="s">
        <v>40</v>
      </c>
      <c r="D6760">
        <v>4.4428619999999999</v>
      </c>
      <c r="E6760">
        <v>0.47157589999999999</v>
      </c>
      <c r="F6760" t="s">
        <v>42</v>
      </c>
      <c r="G6760">
        <v>-232.62370000000001</v>
      </c>
      <c r="H6760" s="1">
        <v>-3.4031780000000001E-6</v>
      </c>
      <c r="I6760">
        <v>140.58009999999999</v>
      </c>
      <c r="J6760">
        <v>-219.21459999999999</v>
      </c>
      <c r="K6760">
        <v>1.1100369999999999</v>
      </c>
      <c r="L6760">
        <v>138.64920000000001</v>
      </c>
      <c r="M6760">
        <v>-0.98018380000000005</v>
      </c>
      <c r="N6760">
        <v>0</v>
      </c>
      <c r="O6760">
        <v>0.19772870000000001</v>
      </c>
      <c r="P6760">
        <v>-0.97947779999999995</v>
      </c>
      <c r="Q6760">
        <v>2.9806909999999999E-2</v>
      </c>
      <c r="R6760">
        <v>0.19933609999999999</v>
      </c>
      <c r="S6760">
        <v>-2.9839020000000001</v>
      </c>
      <c r="T6760">
        <v>-0.24386579999999999</v>
      </c>
      <c r="U6760">
        <v>0.43229679999999998</v>
      </c>
      <c r="V6760">
        <v>1.7580180000000001E-3</v>
      </c>
      <c r="W6760">
        <v>4.1751950000000003E-2</v>
      </c>
      <c r="X6760">
        <v>0.99912639999999997</v>
      </c>
      <c r="Y6760">
        <v>-5.43405E-2</v>
      </c>
      <c r="Z6760">
        <v>-1.8119260000000002E-2</v>
      </c>
      <c r="AA6760">
        <v>0.99835810000000003</v>
      </c>
      <c r="AB6760">
        <v>18</v>
      </c>
      <c r="AC6760">
        <v>-13.4091</v>
      </c>
      <c r="AD6760">
        <v>-1.110040403178</v>
      </c>
      <c r="AE6760">
        <v>1.9308999999999801</v>
      </c>
      <c r="AF6760">
        <v>-0.75372100448672397</v>
      </c>
      <c r="AG6760">
        <v>-1.110040403178</v>
      </c>
      <c r="AH6760">
        <v>13.4359391332589</v>
      </c>
      <c r="AI6760">
        <v>94.715513619607705</v>
      </c>
      <c r="AJ6760">
        <v>93.210778011697002</v>
      </c>
      <c r="AK6760">
        <v>13.5027680659163</v>
      </c>
      <c r="AL6760">
        <v>87.607093761086205</v>
      </c>
      <c r="AM6760">
        <v>89.899185020276903</v>
      </c>
      <c r="AN6760">
        <v>0.999999939566523</v>
      </c>
    </row>
    <row r="6761" spans="1:40" x14ac:dyDescent="0.25">
      <c r="A6761" t="str">
        <f>"20190312150824928"</f>
        <v>20190312150824928</v>
      </c>
      <c r="B6761" t="str">
        <f>"1552374504917095"</f>
        <v>1552374504917095</v>
      </c>
      <c r="C6761" t="s">
        <v>40</v>
      </c>
      <c r="D6761">
        <v>4.4352650000000002</v>
      </c>
      <c r="E6761">
        <v>0.4688039</v>
      </c>
      <c r="F6761" t="s">
        <v>42</v>
      </c>
      <c r="G6761">
        <v>-232.3706</v>
      </c>
      <c r="H6761" s="1">
        <v>-3.4465919999999999E-6</v>
      </c>
      <c r="I6761">
        <v>140.33529999999999</v>
      </c>
      <c r="J6761">
        <v>-219.46469999999999</v>
      </c>
      <c r="K6761">
        <v>1.110215</v>
      </c>
      <c r="L6761">
        <v>138.70230000000001</v>
      </c>
      <c r="M6761">
        <v>-0.97980880000000004</v>
      </c>
      <c r="N6761">
        <v>0</v>
      </c>
      <c r="O6761">
        <v>0.1995787</v>
      </c>
      <c r="P6761">
        <v>-0.98016720000000002</v>
      </c>
      <c r="Q6761">
        <v>2.938816E-2</v>
      </c>
      <c r="R6761">
        <v>0.19598180000000001</v>
      </c>
      <c r="S6761">
        <v>-2.9924770000000001</v>
      </c>
      <c r="T6761">
        <v>-0.25248989999999999</v>
      </c>
      <c r="U6761">
        <v>0.38352969999999997</v>
      </c>
      <c r="V6761">
        <v>-3.572562E-3</v>
      </c>
      <c r="W6761">
        <v>4.1348410000000002E-2</v>
      </c>
      <c r="X6761">
        <v>0.99913839999999998</v>
      </c>
      <c r="Y6761">
        <v>-7.2468740000000004E-2</v>
      </c>
      <c r="Z6761">
        <v>-1.964403E-2</v>
      </c>
      <c r="AA6761">
        <v>0.99717719999999999</v>
      </c>
      <c r="AB6761">
        <v>18</v>
      </c>
      <c r="AC6761">
        <v>-12.905900000000001</v>
      </c>
      <c r="AD6761">
        <v>-1.110218446592</v>
      </c>
      <c r="AE6761">
        <v>1.63299999999998</v>
      </c>
      <c r="AF6761">
        <v>-0.968729001357859</v>
      </c>
      <c r="AG6761">
        <v>-1.110218446592</v>
      </c>
      <c r="AH6761">
        <v>12.87835437739</v>
      </c>
      <c r="AI6761">
        <v>94.913365589213598</v>
      </c>
      <c r="AJ6761">
        <v>94.301772561733799</v>
      </c>
      <c r="AK6761">
        <v>12.962369858435</v>
      </c>
      <c r="AL6761">
        <v>87.630235024978901</v>
      </c>
      <c r="AM6761">
        <v>90.204868366893095</v>
      </c>
      <c r="AN6761">
        <v>0.99999999828166597</v>
      </c>
    </row>
    <row r="6762" spans="1:40" x14ac:dyDescent="0.25">
      <c r="A6762" t="str">
        <f>"20190312150824951"</f>
        <v>20190312150824951</v>
      </c>
      <c r="B6762" t="str">
        <f>"1552374504946371"</f>
        <v>1552374504946371</v>
      </c>
      <c r="C6762" t="s">
        <v>40</v>
      </c>
      <c r="D6762">
        <v>4.4683089999999996</v>
      </c>
      <c r="E6762">
        <v>0.46724110000000002</v>
      </c>
      <c r="F6762" t="s">
        <v>42</v>
      </c>
      <c r="G6762">
        <v>-231.8107</v>
      </c>
      <c r="H6762" s="1">
        <v>-3.6370430000000002E-6</v>
      </c>
      <c r="I6762">
        <v>140.1482</v>
      </c>
      <c r="J6762">
        <v>-219.63730000000001</v>
      </c>
      <c r="K6762">
        <v>1.1103639999999999</v>
      </c>
      <c r="L6762">
        <v>138.7388</v>
      </c>
      <c r="M6762">
        <v>-0.97962150000000003</v>
      </c>
      <c r="N6762">
        <v>0</v>
      </c>
      <c r="O6762">
        <v>0.2004946</v>
      </c>
      <c r="P6762">
        <v>-0.98063020000000001</v>
      </c>
      <c r="Q6762">
        <v>2.9234220000000002E-2</v>
      </c>
      <c r="R6762">
        <v>0.19367470000000001</v>
      </c>
      <c r="S6762">
        <v>-2.9985659999999998</v>
      </c>
      <c r="T6762">
        <v>-0.26964779999999999</v>
      </c>
      <c r="U6762">
        <v>0.35119630000000002</v>
      </c>
      <c r="V6762">
        <v>-6.8746869999999896E-3</v>
      </c>
      <c r="W6762">
        <v>4.120882E-2</v>
      </c>
      <c r="X6762">
        <v>0.99912690000000004</v>
      </c>
      <c r="Y6762">
        <v>-8.4065819999999999E-2</v>
      </c>
      <c r="Z6762">
        <v>-2.1548910000000001E-2</v>
      </c>
      <c r="AA6762">
        <v>0.99622710000000003</v>
      </c>
      <c r="AB6762">
        <v>18</v>
      </c>
      <c r="AC6762">
        <v>-12.1733999999999</v>
      </c>
      <c r="AD6762">
        <v>-1.110367637043</v>
      </c>
      <c r="AE6762">
        <v>1.4094</v>
      </c>
      <c r="AF6762">
        <v>-1.0514663378003599</v>
      </c>
      <c r="AG6762">
        <v>-1.110367637043</v>
      </c>
      <c r="AH6762">
        <v>12.1093640820622</v>
      </c>
      <c r="AI6762">
        <v>95.2195529351049</v>
      </c>
      <c r="AJ6762">
        <v>94.962594047253106</v>
      </c>
      <c r="AK6762">
        <v>12.205539571066</v>
      </c>
      <c r="AL6762">
        <v>87.638239758305303</v>
      </c>
      <c r="AM6762">
        <v>90.394228535571898</v>
      </c>
      <c r="AN6762">
        <v>0.99999999523537497</v>
      </c>
    </row>
    <row r="6763" spans="1:40" x14ac:dyDescent="0.25">
      <c r="A6763" t="str">
        <f>"20190312150824974"</f>
        <v>20190312150824974</v>
      </c>
      <c r="B6763" t="str">
        <f>"1552374504966867"</f>
        <v>1552374504966867</v>
      </c>
      <c r="C6763" t="s">
        <v>40</v>
      </c>
      <c r="D6763">
        <v>4.4861399999999998</v>
      </c>
      <c r="E6763">
        <v>0.46670030000000001</v>
      </c>
      <c r="F6763" t="s">
        <v>42</v>
      </c>
      <c r="G6763">
        <v>-231.786</v>
      </c>
      <c r="H6763" s="1">
        <v>-3.629963E-6</v>
      </c>
      <c r="I6763">
        <v>140.08189999999999</v>
      </c>
      <c r="J6763">
        <v>-219.81880000000001</v>
      </c>
      <c r="K6763">
        <v>1.110519</v>
      </c>
      <c r="L6763">
        <v>138.77699999999999</v>
      </c>
      <c r="M6763">
        <v>-0.97947499999999998</v>
      </c>
      <c r="N6763">
        <v>0</v>
      </c>
      <c r="O6763">
        <v>0.20120830000000001</v>
      </c>
      <c r="P6763">
        <v>-0.98129089999999997</v>
      </c>
      <c r="Q6763">
        <v>2.7971050000000001E-2</v>
      </c>
      <c r="R6763">
        <v>0.19048880000000001</v>
      </c>
      <c r="S6763">
        <v>-3.0018919999999998</v>
      </c>
      <c r="T6763">
        <v>-0.27436670000000002</v>
      </c>
      <c r="U6763">
        <v>0.33187870000000003</v>
      </c>
      <c r="V6763">
        <v>-1.087139E-2</v>
      </c>
      <c r="W6763">
        <v>3.9963869999999999E-2</v>
      </c>
      <c r="X6763">
        <v>0.99914199999999997</v>
      </c>
      <c r="Y6763">
        <v>-9.1176099999999996E-2</v>
      </c>
      <c r="Z6763">
        <v>-2.2298080000000001E-2</v>
      </c>
      <c r="AA6763">
        <v>0.9955851</v>
      </c>
      <c r="AB6763">
        <v>18</v>
      </c>
      <c r="AC6763">
        <v>-11.967199999999901</v>
      </c>
      <c r="AD6763">
        <v>-1.110522629963</v>
      </c>
      <c r="AE6763">
        <v>1.30489999999997</v>
      </c>
      <c r="AF6763">
        <v>-1.1203301981219</v>
      </c>
      <c r="AG6763">
        <v>-1.110522629963</v>
      </c>
      <c r="AH6763">
        <v>11.8838592730655</v>
      </c>
      <c r="AI6763">
        <v>95.315239452502396</v>
      </c>
      <c r="AJ6763">
        <v>95.385543184942307</v>
      </c>
      <c r="AK6763">
        <v>11.9880987436085</v>
      </c>
      <c r="AL6763">
        <v>87.709629016300696</v>
      </c>
      <c r="AM6763">
        <v>90.623395057997698</v>
      </c>
      <c r="AN6763">
        <v>1.0000000170949499</v>
      </c>
    </row>
    <row r="6764" spans="1:40" x14ac:dyDescent="0.25">
      <c r="A6764" t="str">
        <f>"20190312150824998"</f>
        <v>20190312150824998</v>
      </c>
      <c r="B6764" t="str">
        <f>"1552374504986387"</f>
        <v>1552374504986387</v>
      </c>
      <c r="C6764" t="s">
        <v>40</v>
      </c>
      <c r="D6764">
        <v>4.4729159999999997</v>
      </c>
      <c r="E6764">
        <v>0.46634019999999998</v>
      </c>
      <c r="F6764" t="s">
        <v>42</v>
      </c>
      <c r="G6764">
        <v>-231.74350000000001</v>
      </c>
      <c r="H6764" s="1">
        <v>-3.6372230000000001E-6</v>
      </c>
      <c r="I6764">
        <v>140.04060000000001</v>
      </c>
      <c r="J6764">
        <v>-219.99930000000001</v>
      </c>
      <c r="K6764">
        <v>1.1106609999999999</v>
      </c>
      <c r="L6764">
        <v>138.81469999999999</v>
      </c>
      <c r="M6764">
        <v>-0.97938820000000004</v>
      </c>
      <c r="N6764">
        <v>0</v>
      </c>
      <c r="O6764">
        <v>0.20162830000000001</v>
      </c>
      <c r="P6764">
        <v>-0.98208359999999995</v>
      </c>
      <c r="Q6764">
        <v>2.6026090000000002E-2</v>
      </c>
      <c r="R6764">
        <v>0.18664030000000001</v>
      </c>
      <c r="S6764">
        <v>-3.003387</v>
      </c>
      <c r="T6764">
        <v>-0.27969870000000002</v>
      </c>
      <c r="U6764">
        <v>0.31826779999999999</v>
      </c>
      <c r="V6764">
        <v>-1.524174E-2</v>
      </c>
      <c r="W6764">
        <v>3.8039860000000002E-2</v>
      </c>
      <c r="X6764">
        <v>0.99916000000000005</v>
      </c>
      <c r="Y6764">
        <v>-9.6047090000000002E-2</v>
      </c>
      <c r="Z6764">
        <v>-2.2989780000000001E-2</v>
      </c>
      <c r="AA6764">
        <v>0.99511130000000003</v>
      </c>
      <c r="AB6764">
        <v>18</v>
      </c>
      <c r="AC6764">
        <v>-11.744199999999999</v>
      </c>
      <c r="AD6764">
        <v>-1.110664637223</v>
      </c>
      <c r="AE6764">
        <v>1.22590000000002</v>
      </c>
      <c r="AF6764">
        <v>-1.15717765927034</v>
      </c>
      <c r="AG6764">
        <v>-1.110664637223</v>
      </c>
      <c r="AH6764">
        <v>11.6471117458661</v>
      </c>
      <c r="AI6764">
        <v>95.420706385527893</v>
      </c>
      <c r="AJ6764">
        <v>95.673898006190399</v>
      </c>
      <c r="AK6764">
        <v>11.757033983628</v>
      </c>
      <c r="AL6764">
        <v>87.819950637975495</v>
      </c>
      <c r="AM6764">
        <v>90.873953766653997</v>
      </c>
      <c r="AN6764">
        <v>1.00000002359352</v>
      </c>
    </row>
    <row r="6765" spans="1:40" x14ac:dyDescent="0.25">
      <c r="A6765" t="str">
        <f>"20190312150825019"</f>
        <v>20190312150825019</v>
      </c>
      <c r="B6765" t="str">
        <f>"1552374505016642"</f>
        <v>1552374505016642</v>
      </c>
      <c r="C6765" t="s">
        <v>40</v>
      </c>
      <c r="D6765">
        <v>4.4881440000000001</v>
      </c>
      <c r="E6765">
        <v>0.46590320000000002</v>
      </c>
      <c r="F6765" t="s">
        <v>42</v>
      </c>
      <c r="G6765">
        <v>-231.66470000000001</v>
      </c>
      <c r="H6765" s="1">
        <v>-3.6591709999999999E-6</v>
      </c>
      <c r="I6765">
        <v>139.99610000000001</v>
      </c>
      <c r="J6765">
        <v>-220.16929999999999</v>
      </c>
      <c r="K6765">
        <v>1.1107910000000001</v>
      </c>
      <c r="L6765">
        <v>138.84989999999999</v>
      </c>
      <c r="M6765">
        <v>-0.9793693</v>
      </c>
      <c r="N6765">
        <v>0</v>
      </c>
      <c r="O6765">
        <v>0.20171810000000001</v>
      </c>
      <c r="P6765">
        <v>-0.98279399999999995</v>
      </c>
      <c r="Q6765">
        <v>2.406639E-2</v>
      </c>
      <c r="R6765">
        <v>0.18313109999999999</v>
      </c>
      <c r="S6765">
        <v>-3.004486</v>
      </c>
      <c r="T6765">
        <v>-0.28605740000000002</v>
      </c>
      <c r="U6765">
        <v>0.30429079999999997</v>
      </c>
      <c r="V6765">
        <v>-1.8925359999999999E-2</v>
      </c>
      <c r="W6765">
        <v>3.610381E-2</v>
      </c>
      <c r="X6765">
        <v>0.99916879999999997</v>
      </c>
      <c r="Y6765">
        <v>-0.1006769</v>
      </c>
      <c r="Z6765">
        <v>-2.3737080000000001E-2</v>
      </c>
      <c r="AA6765">
        <v>0.99463599999999996</v>
      </c>
      <c r="AB6765">
        <v>18</v>
      </c>
      <c r="AC6765">
        <v>-11.4954</v>
      </c>
      <c r="AD6765">
        <v>-1.1107946591710001</v>
      </c>
      <c r="AE6765">
        <v>1.1462000000000201</v>
      </c>
      <c r="AF6765">
        <v>-1.18540477082358</v>
      </c>
      <c r="AG6765">
        <v>-1.1107946591710001</v>
      </c>
      <c r="AH6765">
        <v>11.385029075101899</v>
      </c>
      <c r="AI6765">
        <v>95.542722533603296</v>
      </c>
      <c r="AJ6765">
        <v>95.9441957524717</v>
      </c>
      <c r="AK6765">
        <v>11.500345050756099</v>
      </c>
      <c r="AL6765">
        <v>87.930954344847606</v>
      </c>
      <c r="AM6765">
        <v>91.085115554768905</v>
      </c>
      <c r="AN6765">
        <v>0.99999997262054197</v>
      </c>
    </row>
    <row r="6766" spans="1:40" x14ac:dyDescent="0.25">
      <c r="A6766" t="str">
        <f>"20190312150825042"</f>
        <v>20190312150825042</v>
      </c>
      <c r="B6766" t="str">
        <f>"1552374505037141"</f>
        <v>1552374505037141</v>
      </c>
      <c r="C6766" t="s">
        <v>40</v>
      </c>
      <c r="D6766">
        <v>4.5127969999999999</v>
      </c>
      <c r="E6766">
        <v>0.46562009999999998</v>
      </c>
      <c r="F6766" t="s">
        <v>42</v>
      </c>
      <c r="G6766">
        <v>-231.56049999999999</v>
      </c>
      <c r="H6766" s="1">
        <v>-3.6916360000000001E-6</v>
      </c>
      <c r="I6766">
        <v>139.95009999999999</v>
      </c>
      <c r="J6766">
        <v>-220.34219999999999</v>
      </c>
      <c r="K6766">
        <v>1.11094</v>
      </c>
      <c r="L6766">
        <v>138.8854</v>
      </c>
      <c r="M6766">
        <v>-0.97941520000000004</v>
      </c>
      <c r="N6766">
        <v>0</v>
      </c>
      <c r="O6766">
        <v>0.2014927</v>
      </c>
      <c r="P6766">
        <v>-0.983429</v>
      </c>
      <c r="Q6766">
        <v>2.2243539999999999E-2</v>
      </c>
      <c r="R6766">
        <v>0.1799239</v>
      </c>
      <c r="S6766">
        <v>-3.005585</v>
      </c>
      <c r="T6766">
        <v>-0.29308519999999999</v>
      </c>
      <c r="U6766">
        <v>0.29028320000000002</v>
      </c>
      <c r="V6766">
        <v>-2.1975410000000001E-2</v>
      </c>
      <c r="W6766">
        <v>3.4308680000000001E-2</v>
      </c>
      <c r="X6766">
        <v>0.99916959999999999</v>
      </c>
      <c r="Y6766">
        <v>-0.1049886</v>
      </c>
      <c r="Z6766">
        <v>-2.4504370000000001E-2</v>
      </c>
      <c r="AA6766">
        <v>0.99417149999999999</v>
      </c>
      <c r="AB6766">
        <v>18</v>
      </c>
      <c r="AC6766">
        <v>-11.218299999999999</v>
      </c>
      <c r="AD6766">
        <v>-1.110943691636</v>
      </c>
      <c r="AE6766">
        <v>1.06469999999998</v>
      </c>
      <c r="AF6766">
        <v>-1.2059900324272801</v>
      </c>
      <c r="AG6766">
        <v>-1.110943691636</v>
      </c>
      <c r="AH6766">
        <v>11.094889053543101</v>
      </c>
      <c r="AI6766">
        <v>95.684767902235194</v>
      </c>
      <c r="AJ6766">
        <v>96.203569531498005</v>
      </c>
      <c r="AK6766">
        <v>11.2153988317282</v>
      </c>
      <c r="AL6766">
        <v>88.033871485227095</v>
      </c>
      <c r="AM6766">
        <v>91.259941542724107</v>
      </c>
      <c r="AN6766">
        <v>0.99999994686608296</v>
      </c>
    </row>
    <row r="6767" spans="1:40" x14ac:dyDescent="0.25">
      <c r="A6767" t="str">
        <f>"20190312150825063"</f>
        <v>20190312150825063</v>
      </c>
      <c r="B6767" t="str">
        <f>"1552374505056659"</f>
        <v>1552374505056659</v>
      </c>
      <c r="C6767" t="s">
        <v>40</v>
      </c>
      <c r="D6767">
        <v>4.4947509999999999</v>
      </c>
      <c r="E6767">
        <v>0.46556170000000002</v>
      </c>
      <c r="F6767" t="s">
        <v>42</v>
      </c>
      <c r="G6767">
        <v>-231.5318</v>
      </c>
      <c r="H6767" s="1">
        <v>-3.695675E-6</v>
      </c>
      <c r="I6767">
        <v>139.91899999999899</v>
      </c>
      <c r="J6767">
        <v>-220.50970000000001</v>
      </c>
      <c r="K6767">
        <v>1.1110979999999999</v>
      </c>
      <c r="L6767">
        <v>138.9194</v>
      </c>
      <c r="M6767">
        <v>-0.97952280000000003</v>
      </c>
      <c r="N6767">
        <v>0</v>
      </c>
      <c r="O6767">
        <v>0.2009676</v>
      </c>
      <c r="P6767">
        <v>-0.98395880000000002</v>
      </c>
      <c r="Q6767">
        <v>2.0146029999999999E-2</v>
      </c>
      <c r="R6767">
        <v>0.1772552</v>
      </c>
      <c r="S6767">
        <v>-3.0065</v>
      </c>
      <c r="T6767">
        <v>-0.29849490000000001</v>
      </c>
      <c r="U6767">
        <v>0.27772520000000001</v>
      </c>
      <c r="V6767">
        <v>-2.4170560000000001E-2</v>
      </c>
      <c r="W6767">
        <v>3.2240350000000001E-2</v>
      </c>
      <c r="X6767">
        <v>0.99918779999999996</v>
      </c>
      <c r="Y6767">
        <v>-0.1085322</v>
      </c>
      <c r="Z6767">
        <v>-2.507815E-2</v>
      </c>
      <c r="AA6767">
        <v>0.99377660000000001</v>
      </c>
      <c r="AB6767">
        <v>18</v>
      </c>
      <c r="AC6767">
        <v>-11.022099999999901</v>
      </c>
      <c r="AD6767">
        <v>-1.1111016956749999</v>
      </c>
      <c r="AE6767">
        <v>0.99959999999998606</v>
      </c>
      <c r="AF6767">
        <v>-1.2237110122352</v>
      </c>
      <c r="AG6767">
        <v>-1.1111016956749999</v>
      </c>
      <c r="AH6767">
        <v>10.8883497329298</v>
      </c>
      <c r="AI6767">
        <v>95.790375522716502</v>
      </c>
      <c r="AJ6767">
        <v>96.412403801666002</v>
      </c>
      <c r="AK6767">
        <v>11.013091097697799</v>
      </c>
      <c r="AL6767">
        <v>88.152443772180405</v>
      </c>
      <c r="AM6767">
        <v>91.385726531809794</v>
      </c>
      <c r="AN6767">
        <v>0.999999957903837</v>
      </c>
    </row>
    <row r="6768" spans="1:40" x14ac:dyDescent="0.25">
      <c r="A6768" t="str">
        <f>"20190312150825086"</f>
        <v>20190312150825086</v>
      </c>
      <c r="B6768" t="str">
        <f>"1552374505076179"</f>
        <v>1552374505076179</v>
      </c>
      <c r="C6768" t="s">
        <v>40</v>
      </c>
      <c r="D6768">
        <v>4.5152340000000004</v>
      </c>
      <c r="E6768">
        <v>0.46545540000000002</v>
      </c>
      <c r="F6768" t="s">
        <v>42</v>
      </c>
      <c r="G6768">
        <v>-231.57759999999999</v>
      </c>
      <c r="H6768" s="1">
        <v>-3.6731090000000001E-6</v>
      </c>
      <c r="I6768">
        <v>139.90799999999999</v>
      </c>
      <c r="J6768">
        <v>-220.68440000000001</v>
      </c>
      <c r="K6768">
        <v>1.1112679999999999</v>
      </c>
      <c r="L6768">
        <v>138.95429999999999</v>
      </c>
      <c r="M6768">
        <v>-0.97970250000000003</v>
      </c>
      <c r="N6768">
        <v>0</v>
      </c>
      <c r="O6768">
        <v>0.20008690000000001</v>
      </c>
      <c r="P6768">
        <v>-0.98443190000000003</v>
      </c>
      <c r="Q6768">
        <v>1.91705E-2</v>
      </c>
      <c r="R6768">
        <v>0.17471809999999999</v>
      </c>
      <c r="S6768">
        <v>-3.0066989999999998</v>
      </c>
      <c r="T6768">
        <v>-0.30184299999999997</v>
      </c>
      <c r="U6768">
        <v>0.26856989999999997</v>
      </c>
      <c r="V6768">
        <v>-2.5864120000000001E-2</v>
      </c>
      <c r="W6768">
        <v>3.1297640000000002E-2</v>
      </c>
      <c r="X6768">
        <v>0.99917540000000005</v>
      </c>
      <c r="Y6768">
        <v>-0.1106056</v>
      </c>
      <c r="Z6768">
        <v>-2.537872E-2</v>
      </c>
      <c r="AA6768">
        <v>0.99354030000000004</v>
      </c>
      <c r="AB6768">
        <v>18</v>
      </c>
      <c r="AC6768">
        <v>-10.893199999999901</v>
      </c>
      <c r="AD6768">
        <v>-1.111271673109</v>
      </c>
      <c r="AE6768">
        <v>0.95369999999999699</v>
      </c>
      <c r="AF6768">
        <v>-1.23260638058725</v>
      </c>
      <c r="AG6768">
        <v>-1.111271673109</v>
      </c>
      <c r="AH6768">
        <v>10.7526705730478</v>
      </c>
      <c r="AI6768">
        <v>95.862359315184804</v>
      </c>
      <c r="AJ6768">
        <v>96.539418750808807</v>
      </c>
      <c r="AK6768">
        <v>10.879989323221199</v>
      </c>
      <c r="AL6768">
        <v>88.206484411442105</v>
      </c>
      <c r="AM6768">
        <v>91.482796776974496</v>
      </c>
      <c r="AN6768">
        <v>0.99999998746905105</v>
      </c>
    </row>
    <row r="6769" spans="1:40" x14ac:dyDescent="0.25">
      <c r="A6769" t="str">
        <f>"20190312150825107"</f>
        <v>20190312150825107</v>
      </c>
      <c r="B6769" t="str">
        <f>"1552374505096675"</f>
        <v>1552374505096675</v>
      </c>
      <c r="C6769" t="s">
        <v>40</v>
      </c>
      <c r="D6769">
        <v>4.5128089999999998</v>
      </c>
      <c r="E6769">
        <v>0.46544410000000003</v>
      </c>
      <c r="F6769" t="s">
        <v>42</v>
      </c>
      <c r="G6769">
        <v>-231.64609999999999</v>
      </c>
      <c r="H6769" s="1">
        <v>-3.6418500000000001E-6</v>
      </c>
      <c r="I6769">
        <v>139.90090000000001</v>
      </c>
      <c r="J6769">
        <v>-220.85059999999999</v>
      </c>
      <c r="K6769">
        <v>1.111418</v>
      </c>
      <c r="L6769">
        <v>138.98689999999999</v>
      </c>
      <c r="M6769">
        <v>-0.97993249999999998</v>
      </c>
      <c r="N6769">
        <v>0</v>
      </c>
      <c r="O6769">
        <v>0.19895409999999999</v>
      </c>
      <c r="P6769">
        <v>-0.98492550000000001</v>
      </c>
      <c r="Q6769">
        <v>1.8299940000000001E-2</v>
      </c>
      <c r="R6769">
        <v>0.17200860000000001</v>
      </c>
      <c r="S6769">
        <v>-3.0072779999999999</v>
      </c>
      <c r="T6769">
        <v>-0.30487110000000001</v>
      </c>
      <c r="U6769">
        <v>0.2597198</v>
      </c>
      <c r="V6769">
        <v>-2.7471840000000001E-2</v>
      </c>
      <c r="W6769">
        <v>3.046024E-2</v>
      </c>
      <c r="X6769">
        <v>0.9991584</v>
      </c>
      <c r="Y6769">
        <v>-0.1123411</v>
      </c>
      <c r="Z6769">
        <v>-2.5607379999999999E-2</v>
      </c>
      <c r="AA6769">
        <v>0.99333970000000005</v>
      </c>
      <c r="AB6769">
        <v>18</v>
      </c>
      <c r="AC6769">
        <v>-10.795500000000001</v>
      </c>
      <c r="AD6769">
        <v>-1.11142164185</v>
      </c>
      <c r="AE6769">
        <v>0.91400000000001502</v>
      </c>
      <c r="AF6769">
        <v>-1.23920327329281</v>
      </c>
      <c r="AG6769">
        <v>-1.11142164185</v>
      </c>
      <c r="AH6769">
        <v>10.6494381950726</v>
      </c>
      <c r="AI6769">
        <v>95.918419517037194</v>
      </c>
      <c r="AJ6769">
        <v>96.637273579691197</v>
      </c>
      <c r="AK6769">
        <v>10.7787483823115</v>
      </c>
      <c r="AL6769">
        <v>88.254486843770806</v>
      </c>
      <c r="AM6769">
        <v>91.574949505299102</v>
      </c>
      <c r="AN6769">
        <v>1.0000000182522</v>
      </c>
    </row>
    <row r="6770" spans="1:40" x14ac:dyDescent="0.25">
      <c r="A6770" t="str">
        <f>"20190312150825129"</f>
        <v>20190312150825129</v>
      </c>
      <c r="B6770" t="str">
        <f>"1552374505126931"</f>
        <v>1552374505126931</v>
      </c>
      <c r="C6770" t="s">
        <v>40</v>
      </c>
      <c r="D6770">
        <v>4.5180049999999996</v>
      </c>
      <c r="E6770">
        <v>0.4653236</v>
      </c>
      <c r="F6770" t="s">
        <v>42</v>
      </c>
      <c r="G6770">
        <v>-231.84739999999999</v>
      </c>
      <c r="H6770" s="1">
        <v>-3.5567549999999998E-6</v>
      </c>
      <c r="I6770">
        <v>139.90559999999999</v>
      </c>
      <c r="J6770">
        <v>-221.02180000000001</v>
      </c>
      <c r="K6770">
        <v>1.111548</v>
      </c>
      <c r="L6770">
        <v>139.02000000000001</v>
      </c>
      <c r="M6770">
        <v>-0.98021720000000001</v>
      </c>
      <c r="N6770">
        <v>0</v>
      </c>
      <c r="O6770">
        <v>0.1975442</v>
      </c>
      <c r="P6770">
        <v>-0.98548369999999996</v>
      </c>
      <c r="Q6770">
        <v>1.813122E-2</v>
      </c>
      <c r="R6770">
        <v>0.16879910000000001</v>
      </c>
      <c r="S6770">
        <v>-3.00766</v>
      </c>
      <c r="T6770">
        <v>-0.30398039999999998</v>
      </c>
      <c r="U6770">
        <v>0.2512817</v>
      </c>
      <c r="V6770">
        <v>-2.9299519999999999E-2</v>
      </c>
      <c r="W6770">
        <v>3.0326309999999999E-2</v>
      </c>
      <c r="X6770">
        <v>0.99911050000000001</v>
      </c>
      <c r="Y6770">
        <v>-0.1136986</v>
      </c>
      <c r="Z6770">
        <v>-2.5463280000000001E-2</v>
      </c>
      <c r="AA6770">
        <v>0.99318890000000004</v>
      </c>
      <c r="AB6770">
        <v>18</v>
      </c>
      <c r="AC6770">
        <v>-10.8255999999999</v>
      </c>
      <c r="AD6770">
        <v>-1.1115515567550001</v>
      </c>
      <c r="AE6770">
        <v>0.88559999999998196</v>
      </c>
      <c r="AF6770">
        <v>-1.2573815938220101</v>
      </c>
      <c r="AG6770">
        <v>-1.1115515567550001</v>
      </c>
      <c r="AH6770">
        <v>10.675396199079101</v>
      </c>
      <c r="AI6770">
        <v>95.903854127351707</v>
      </c>
      <c r="AJ6770">
        <v>96.717526638304804</v>
      </c>
      <c r="AK6770">
        <v>10.806509119189201</v>
      </c>
      <c r="AL6770">
        <v>88.262163928624503</v>
      </c>
      <c r="AM6770">
        <v>91.679751991821803</v>
      </c>
      <c r="AN6770">
        <v>0.99999996908034705</v>
      </c>
    </row>
    <row r="6771" spans="1:40" x14ac:dyDescent="0.25">
      <c r="A6771" t="str">
        <f>"20190312150825152"</f>
        <v>20190312150825152</v>
      </c>
      <c r="B6771" t="str">
        <f>"1552374505146451"</f>
        <v>1552374505146451</v>
      </c>
      <c r="C6771" t="s">
        <v>40</v>
      </c>
      <c r="D6771">
        <v>4.5557910000000001</v>
      </c>
      <c r="E6771">
        <v>0.46524589999999999</v>
      </c>
      <c r="F6771" t="s">
        <v>42</v>
      </c>
      <c r="G6771">
        <v>-232.07300000000001</v>
      </c>
      <c r="H6771" s="1">
        <v>-3.4593789999999999E-6</v>
      </c>
      <c r="I6771">
        <v>139.90350000000001</v>
      </c>
      <c r="J6771">
        <v>-221.19300000000001</v>
      </c>
      <c r="K6771">
        <v>1.111632</v>
      </c>
      <c r="L6771">
        <v>139.05250000000001</v>
      </c>
      <c r="M6771">
        <v>-0.98054390000000002</v>
      </c>
      <c r="N6771">
        <v>0</v>
      </c>
      <c r="O6771">
        <v>0.1959129</v>
      </c>
      <c r="P6771">
        <v>-0.98616150000000002</v>
      </c>
      <c r="Q6771">
        <v>1.83555E-2</v>
      </c>
      <c r="R6771">
        <v>0.16476959999999999</v>
      </c>
      <c r="S6771">
        <v>-3.0085449999999998</v>
      </c>
      <c r="T6771">
        <v>-0.30260530000000002</v>
      </c>
      <c r="U6771">
        <v>0.2405243</v>
      </c>
      <c r="V6771">
        <v>-3.1727470000000001E-2</v>
      </c>
      <c r="W6771">
        <v>3.0581299999999999E-2</v>
      </c>
      <c r="X6771">
        <v>0.99902860000000004</v>
      </c>
      <c r="Y6771">
        <v>-0.115610199999999</v>
      </c>
      <c r="Z6771">
        <v>-2.5282099999999998E-2</v>
      </c>
      <c r="AA6771">
        <v>0.99297290000000005</v>
      </c>
      <c r="AB6771">
        <v>18</v>
      </c>
      <c r="AC6771">
        <v>-10.8799999999999</v>
      </c>
      <c r="AD6771">
        <v>-1.1116354593790001</v>
      </c>
      <c r="AE6771">
        <v>0.85099999999999898</v>
      </c>
      <c r="AF6771">
        <v>-1.28386691077037</v>
      </c>
      <c r="AG6771">
        <v>-1.1116354593790001</v>
      </c>
      <c r="AH6771">
        <v>10.7245866824532</v>
      </c>
      <c r="AI6771">
        <v>95.876086992900696</v>
      </c>
      <c r="AJ6771">
        <v>96.826533253118299</v>
      </c>
      <c r="AK6771">
        <v>10.8582138102255</v>
      </c>
      <c r="AL6771">
        <v>88.247547344845501</v>
      </c>
      <c r="AM6771">
        <v>91.819006322253898</v>
      </c>
      <c r="AN6771">
        <v>0.99999999594012501</v>
      </c>
    </row>
    <row r="6772" spans="1:40" x14ac:dyDescent="0.25">
      <c r="A6772" t="str">
        <f>"20190312150825175"</f>
        <v>20190312150825175</v>
      </c>
      <c r="B6772" t="str">
        <f>"1552374505166946"</f>
        <v>1552374505166946</v>
      </c>
      <c r="C6772" t="s">
        <v>40</v>
      </c>
      <c r="D6772">
        <v>4.5536960000000004</v>
      </c>
      <c r="E6772">
        <v>0.46535969999999999</v>
      </c>
      <c r="F6772" t="s">
        <v>42</v>
      </c>
      <c r="G6772">
        <v>-232.2698</v>
      </c>
      <c r="H6772" s="1">
        <v>-3.3716419999999999E-6</v>
      </c>
      <c r="I6772">
        <v>139.89099999999999</v>
      </c>
      <c r="J6772">
        <v>-221.3716</v>
      </c>
      <c r="K6772">
        <v>1.1116790000000001</v>
      </c>
      <c r="L6772">
        <v>139.08590000000001</v>
      </c>
      <c r="M6772">
        <v>-0.98092369999999995</v>
      </c>
      <c r="N6772">
        <v>0</v>
      </c>
      <c r="O6772">
        <v>0.1939999</v>
      </c>
      <c r="P6772">
        <v>-0.9869308</v>
      </c>
      <c r="Q6772">
        <v>1.8074380000000001E-2</v>
      </c>
      <c r="R6772">
        <v>0.1601282</v>
      </c>
      <c r="S6772">
        <v>-3.0096280000000002</v>
      </c>
      <c r="T6772">
        <v>-0.30203740000000001</v>
      </c>
      <c r="U6772">
        <v>0.2278442</v>
      </c>
      <c r="V6772">
        <v>-3.4484380000000002E-2</v>
      </c>
      <c r="W6772">
        <v>3.0327739999999999E-2</v>
      </c>
      <c r="X6772">
        <v>0.99894499999999997</v>
      </c>
      <c r="Y6772">
        <v>-0.1178637</v>
      </c>
      <c r="Z6772">
        <v>-2.5156890000000001E-2</v>
      </c>
      <c r="AA6772">
        <v>0.99271109999999896</v>
      </c>
      <c r="AB6772">
        <v>18</v>
      </c>
      <c r="AC6772">
        <v>-10.898199999999999</v>
      </c>
      <c r="AD6772">
        <v>-1.1116823716419999</v>
      </c>
      <c r="AE6772">
        <v>0.80509999999998105</v>
      </c>
      <c r="AF6772">
        <v>-1.31104154882591</v>
      </c>
      <c r="AG6772">
        <v>-1.1116823716419999</v>
      </c>
      <c r="AH6772">
        <v>10.736213923736701</v>
      </c>
      <c r="AI6772">
        <v>95.868345724715894</v>
      </c>
      <c r="AJ6772">
        <v>96.962144734453005</v>
      </c>
      <c r="AK6772">
        <v>10.8729461073991</v>
      </c>
      <c r="AL6772">
        <v>88.262082061514306</v>
      </c>
      <c r="AM6772">
        <v>91.977110998046697</v>
      </c>
      <c r="AN6772">
        <v>1.00000002865124</v>
      </c>
    </row>
    <row r="6773" spans="1:40" x14ac:dyDescent="0.25">
      <c r="A6773" t="str">
        <f>"20190312150825198"</f>
        <v>20190312150825198</v>
      </c>
      <c r="B6773" t="str">
        <f>"1552374505186470"</f>
        <v>1552374505186470</v>
      </c>
      <c r="C6773" t="s">
        <v>40</v>
      </c>
      <c r="D6773">
        <v>4.5331400000000004</v>
      </c>
      <c r="E6773">
        <v>0.46546900000000002</v>
      </c>
      <c r="F6773" t="s">
        <v>42</v>
      </c>
      <c r="G6773">
        <v>-232.5181</v>
      </c>
      <c r="H6773" s="1">
        <v>-3.262912E-6</v>
      </c>
      <c r="I6773">
        <v>139.8827</v>
      </c>
      <c r="J6773">
        <v>-221.54650000000001</v>
      </c>
      <c r="K6773">
        <v>1.1117140000000001</v>
      </c>
      <c r="L6773">
        <v>139.1181</v>
      </c>
      <c r="M6773">
        <v>-0.98132560000000002</v>
      </c>
      <c r="N6773">
        <v>0</v>
      </c>
      <c r="O6773">
        <v>0.1919537</v>
      </c>
      <c r="P6773">
        <v>-0.98769980000000002</v>
      </c>
      <c r="Q6773">
        <v>1.6562199999999999E-2</v>
      </c>
      <c r="R6773">
        <v>0.1554827</v>
      </c>
      <c r="S6773">
        <v>-3.010284</v>
      </c>
      <c r="T6773">
        <v>-0.30022690000000002</v>
      </c>
      <c r="U6773">
        <v>0.21521000000000001</v>
      </c>
      <c r="V6773">
        <v>-3.7105260000000001E-2</v>
      </c>
      <c r="W6773">
        <v>2.883923E-2</v>
      </c>
      <c r="X6773">
        <v>0.99889519999999998</v>
      </c>
      <c r="Y6773">
        <v>-0.11997089999999901</v>
      </c>
      <c r="Z6773">
        <v>-2.4912179999999999E-2</v>
      </c>
      <c r="AA6773">
        <v>0.99246480000000004</v>
      </c>
      <c r="AB6773">
        <v>18</v>
      </c>
      <c r="AC6773">
        <v>-10.971599999999899</v>
      </c>
      <c r="AD6773">
        <v>-1.11171726291199</v>
      </c>
      <c r="AE6773">
        <v>0.76460000000000095</v>
      </c>
      <c r="AF6773">
        <v>-1.3421089577635801</v>
      </c>
      <c r="AG6773">
        <v>-1.11171726291199</v>
      </c>
      <c r="AH6773">
        <v>10.803930165644701</v>
      </c>
      <c r="AI6773">
        <v>95.830517866695502</v>
      </c>
      <c r="AJ6773">
        <v>97.081242700995801</v>
      </c>
      <c r="AK6773">
        <v>10.943586192436801</v>
      </c>
      <c r="AL6773">
        <v>88.347404805920306</v>
      </c>
      <c r="AM6773">
        <v>92.127348058267003</v>
      </c>
      <c r="AN6773">
        <v>1.0000000610448401</v>
      </c>
    </row>
    <row r="6774" spans="1:40" x14ac:dyDescent="0.25">
      <c r="A6774" t="str">
        <f>"20190312150825220"</f>
        <v>20190312150825220</v>
      </c>
      <c r="B6774" t="str">
        <f>"1552374505216723"</f>
        <v>1552374505216723</v>
      </c>
      <c r="C6774" t="s">
        <v>40</v>
      </c>
      <c r="D6774">
        <v>4.5826560000000001</v>
      </c>
      <c r="E6774">
        <v>0.46563850000000001</v>
      </c>
      <c r="F6774" t="s">
        <v>42</v>
      </c>
      <c r="G6774">
        <v>-232.631</v>
      </c>
      <c r="H6774" s="1">
        <v>-3.2087159999999999E-6</v>
      </c>
      <c r="I6774">
        <v>139.86109999999999</v>
      </c>
      <c r="J6774">
        <v>-221.71709999999999</v>
      </c>
      <c r="K6774">
        <v>1.1117349999999999</v>
      </c>
      <c r="L6774">
        <v>139.1489</v>
      </c>
      <c r="M6774">
        <v>-0.98173860000000002</v>
      </c>
      <c r="N6774">
        <v>0</v>
      </c>
      <c r="O6774">
        <v>0.18982840000000001</v>
      </c>
      <c r="P6774">
        <v>-0.9883248</v>
      </c>
      <c r="Q6774">
        <v>1.388322E-2</v>
      </c>
      <c r="R6774">
        <v>0.1517279</v>
      </c>
      <c r="S6774">
        <v>-3.0106350000000002</v>
      </c>
      <c r="T6774">
        <v>-0.30195070000000002</v>
      </c>
      <c r="U6774">
        <v>0.20182800000000001</v>
      </c>
      <c r="V6774">
        <v>-3.8740829999999997E-2</v>
      </c>
      <c r="W6774">
        <v>2.6183769999999999E-2</v>
      </c>
      <c r="X6774">
        <v>0.99890619999999997</v>
      </c>
      <c r="Y6774">
        <v>-0.1222013</v>
      </c>
      <c r="Z6774">
        <v>-2.4960179999999998E-2</v>
      </c>
      <c r="AA6774">
        <v>0.99219139999999995</v>
      </c>
      <c r="AB6774">
        <v>18</v>
      </c>
      <c r="AC6774">
        <v>-10.9138999999999</v>
      </c>
      <c r="AD6774">
        <v>-1.1117382087159999</v>
      </c>
      <c r="AE6774">
        <v>0.71219999999999495</v>
      </c>
      <c r="AF6774">
        <v>-1.35864200479034</v>
      </c>
      <c r="AG6774">
        <v>-1.1117382087159999</v>
      </c>
      <c r="AH6774">
        <v>10.739664818905</v>
      </c>
      <c r="AI6774">
        <v>95.863633655242893</v>
      </c>
      <c r="AJ6774">
        <v>97.210012823900399</v>
      </c>
      <c r="AK6774">
        <v>10.8821997024649</v>
      </c>
      <c r="AL6774">
        <v>88.499609040418306</v>
      </c>
      <c r="AM6774">
        <v>92.221003484134101</v>
      </c>
      <c r="AN6774">
        <v>1.00000001905947</v>
      </c>
    </row>
    <row r="6775" spans="1:40" x14ac:dyDescent="0.25">
      <c r="A6775" t="str">
        <f>"20190312150825243"</f>
        <v>20190312150825243</v>
      </c>
      <c r="B6775" t="str">
        <f>"1552374505236243"</f>
        <v>1552374505236243</v>
      </c>
      <c r="C6775" t="s">
        <v>40</v>
      </c>
      <c r="D6775">
        <v>4.5831229999999996</v>
      </c>
      <c r="E6775">
        <v>0.46577950000000001</v>
      </c>
      <c r="F6775" t="s">
        <v>42</v>
      </c>
      <c r="G6775">
        <v>-232.59620000000001</v>
      </c>
      <c r="H6775" s="1">
        <v>-3.2181480000000002E-6</v>
      </c>
      <c r="I6775">
        <v>139.84039999999999</v>
      </c>
      <c r="J6775">
        <v>-221.88829999999999</v>
      </c>
      <c r="K6775">
        <v>1.1117549999999901</v>
      </c>
      <c r="L6775">
        <v>139.17930000000001</v>
      </c>
      <c r="M6775">
        <v>-0.98216749999999997</v>
      </c>
      <c r="N6775">
        <v>0</v>
      </c>
      <c r="O6775">
        <v>0.1875945</v>
      </c>
      <c r="P6775">
        <v>-0.98891640000000003</v>
      </c>
      <c r="Q6775">
        <v>1.175197E-2</v>
      </c>
      <c r="R6775">
        <v>0.148008</v>
      </c>
      <c r="S6775">
        <v>-3.0104060000000001</v>
      </c>
      <c r="T6775">
        <v>-0.30763420000000002</v>
      </c>
      <c r="U6775">
        <v>0.19136049999999999</v>
      </c>
      <c r="V6775">
        <v>-4.0228079999999999E-2</v>
      </c>
      <c r="W6775">
        <v>2.4073959999999998E-2</v>
      </c>
      <c r="X6775">
        <v>0.99890049999999997</v>
      </c>
      <c r="Y6775">
        <v>-0.1233201</v>
      </c>
      <c r="Z6775">
        <v>-2.5267250000000002E-2</v>
      </c>
      <c r="AA6775">
        <v>0.99204519999999996</v>
      </c>
      <c r="AB6775">
        <v>18</v>
      </c>
      <c r="AC6775">
        <v>-10.7079</v>
      </c>
      <c r="AD6775">
        <v>-1.1117582181479999</v>
      </c>
      <c r="AE6775">
        <v>0.66109999999997604</v>
      </c>
      <c r="AF6775">
        <v>-1.34509296919136</v>
      </c>
      <c r="AG6775">
        <v>-1.1117582181479999</v>
      </c>
      <c r="AH6775">
        <v>10.5287295192916</v>
      </c>
      <c r="AI6775">
        <v>95.979444382922196</v>
      </c>
      <c r="AJ6775">
        <v>97.280358619968595</v>
      </c>
      <c r="AK6775">
        <v>10.6723674375366</v>
      </c>
      <c r="AL6775">
        <v>88.620530470777993</v>
      </c>
      <c r="AM6775">
        <v>92.306189992124899</v>
      </c>
      <c r="AN6775">
        <v>1.0000000314354001</v>
      </c>
    </row>
    <row r="6776" spans="1:40" x14ac:dyDescent="0.25">
      <c r="A6776" t="str">
        <f>"20190312150825264"</f>
        <v>20190312150825264</v>
      </c>
      <c r="B6776" t="str">
        <f>"1552374505256739"</f>
        <v>1552374505256739</v>
      </c>
      <c r="C6776" t="s">
        <v>40</v>
      </c>
      <c r="D6776">
        <v>4.5570079999999997</v>
      </c>
      <c r="E6776">
        <v>0.4659276</v>
      </c>
      <c r="F6776" t="s">
        <v>42</v>
      </c>
      <c r="G6776">
        <v>-232.53880000000001</v>
      </c>
      <c r="H6776" s="1">
        <v>-3.2370460000000001E-6</v>
      </c>
      <c r="I6776">
        <v>139.81880000000001</v>
      </c>
      <c r="J6776">
        <v>-222.05760000000001</v>
      </c>
      <c r="K6776">
        <v>1.111775</v>
      </c>
      <c r="L6776">
        <v>139.2088</v>
      </c>
      <c r="M6776">
        <v>-0.98260159999999996</v>
      </c>
      <c r="N6776">
        <v>0</v>
      </c>
      <c r="O6776">
        <v>0.18530569999999999</v>
      </c>
      <c r="P6776">
        <v>-0.98949299999999996</v>
      </c>
      <c r="Q6776">
        <v>1.062302E-2</v>
      </c>
      <c r="R6776">
        <v>0.14419029999999899</v>
      </c>
      <c r="S6776">
        <v>-3.0103149999999999</v>
      </c>
      <c r="T6776">
        <v>-0.31423519999999999</v>
      </c>
      <c r="U6776">
        <v>0.18077090000000001</v>
      </c>
      <c r="V6776">
        <v>-4.1756660000000001E-2</v>
      </c>
      <c r="W6776">
        <v>2.2961329999999999E-2</v>
      </c>
      <c r="X6776">
        <v>0.99886390000000003</v>
      </c>
      <c r="Y6776">
        <v>-0.12441919999999999</v>
      </c>
      <c r="Z6776">
        <v>-2.56346E-2</v>
      </c>
      <c r="AA6776">
        <v>0.99189850000000002</v>
      </c>
      <c r="AB6776">
        <v>18</v>
      </c>
      <c r="AC6776">
        <v>-10.481199999999999</v>
      </c>
      <c r="AD6776">
        <v>-1.1117782370460001</v>
      </c>
      <c r="AE6776">
        <v>0.61000000000001298</v>
      </c>
      <c r="AF6776">
        <v>-1.3280515455264701</v>
      </c>
      <c r="AG6776">
        <v>-1.1117782370460001</v>
      </c>
      <c r="AH6776">
        <v>10.2972229038814</v>
      </c>
      <c r="AI6776">
        <v>96.112046807653599</v>
      </c>
      <c r="AJ6776">
        <v>97.348973015177293</v>
      </c>
      <c r="AK6776">
        <v>10.4418662741947</v>
      </c>
      <c r="AL6776">
        <v>88.684297025608103</v>
      </c>
      <c r="AM6776">
        <v>92.393807759674601</v>
      </c>
      <c r="AN6776">
        <v>0.99999996602646601</v>
      </c>
    </row>
    <row r="6777" spans="1:40" x14ac:dyDescent="0.25">
      <c r="A6777" t="str">
        <f>"20190312150825286"</f>
        <v>20190312150825286</v>
      </c>
      <c r="B6777" t="str">
        <f>"1552374505276259"</f>
        <v>1552374505276259</v>
      </c>
      <c r="C6777" t="s">
        <v>40</v>
      </c>
      <c r="D6777">
        <v>4.578411</v>
      </c>
      <c r="E6777">
        <v>0.46612700000000001</v>
      </c>
      <c r="F6777" t="s">
        <v>42</v>
      </c>
      <c r="G6777">
        <v>-232.60929999999999</v>
      </c>
      <c r="H6777" s="1">
        <v>-3.2029950000000002E-6</v>
      </c>
      <c r="I6777">
        <v>139.80449999999999</v>
      </c>
      <c r="J6777">
        <v>-222.23009999999999</v>
      </c>
      <c r="K6777">
        <v>1.11178</v>
      </c>
      <c r="L6777">
        <v>139.23840000000001</v>
      </c>
      <c r="M6777">
        <v>-0.98305200000000004</v>
      </c>
      <c r="N6777">
        <v>0</v>
      </c>
      <c r="O6777">
        <v>0.18289939999999999</v>
      </c>
      <c r="P6777">
        <v>-0.98994329999999997</v>
      </c>
      <c r="Q6777">
        <v>1.08532E-2</v>
      </c>
      <c r="R6777">
        <v>0.1410486</v>
      </c>
      <c r="S6777">
        <v>-3.0104829999999998</v>
      </c>
      <c r="T6777">
        <v>-0.3171988</v>
      </c>
      <c r="U6777">
        <v>0.1699677</v>
      </c>
      <c r="V6777">
        <v>-4.2482760000000001E-2</v>
      </c>
      <c r="W6777">
        <v>2.3209219999999999E-2</v>
      </c>
      <c r="X6777">
        <v>0.99882760000000004</v>
      </c>
      <c r="Y6777">
        <v>-0.12551609999999999</v>
      </c>
      <c r="Z6777">
        <v>-2.5686779999999999E-2</v>
      </c>
      <c r="AA6777">
        <v>0.99175899999999995</v>
      </c>
      <c r="AB6777">
        <v>18</v>
      </c>
      <c r="AC6777">
        <v>-10.3791999999999</v>
      </c>
      <c r="AD6777">
        <v>-1.1117832029950001</v>
      </c>
      <c r="AE6777">
        <v>0.56609999999997695</v>
      </c>
      <c r="AF6777">
        <v>-1.3267706464203699</v>
      </c>
      <c r="AG6777">
        <v>-1.1117832029950001</v>
      </c>
      <c r="AH6777">
        <v>10.1910549542627</v>
      </c>
      <c r="AI6777">
        <v>96.174307566564707</v>
      </c>
      <c r="AJ6777">
        <v>97.417601678199901</v>
      </c>
      <c r="AK6777">
        <v>10.3370200405855</v>
      </c>
      <c r="AL6777">
        <v>88.670090251530894</v>
      </c>
      <c r="AM6777">
        <v>92.435472016942597</v>
      </c>
      <c r="AN6777">
        <v>1.0000000136559899</v>
      </c>
    </row>
    <row r="6778" spans="1:40" x14ac:dyDescent="0.25">
      <c r="A6778" t="str">
        <f>"20190312150825308"</f>
        <v>20190312150825308</v>
      </c>
      <c r="B6778" t="str">
        <f>"1552374505296755"</f>
        <v>1552374505296755</v>
      </c>
      <c r="C6778" t="s">
        <v>40</v>
      </c>
      <c r="D6778">
        <v>4.5804689999999999</v>
      </c>
      <c r="E6778">
        <v>0.46632800000000002</v>
      </c>
      <c r="F6778" t="s">
        <v>42</v>
      </c>
      <c r="G6778">
        <v>-232.84059999999999</v>
      </c>
      <c r="H6778" s="1">
        <v>-3.104452E-6</v>
      </c>
      <c r="I6778">
        <v>139.80719999999999</v>
      </c>
      <c r="J6778">
        <v>-222.3903</v>
      </c>
      <c r="K6778">
        <v>1.1117790000000001</v>
      </c>
      <c r="L6778">
        <v>139.2654</v>
      </c>
      <c r="M6778">
        <v>-0.98347309999999999</v>
      </c>
      <c r="N6778">
        <v>0</v>
      </c>
      <c r="O6778">
        <v>0.1806207</v>
      </c>
      <c r="P6778">
        <v>-0.99031190000000002</v>
      </c>
      <c r="Q6778">
        <v>1.098064E-2</v>
      </c>
      <c r="R6778">
        <v>0.13842689999999999</v>
      </c>
      <c r="S6778">
        <v>-3.0109249999999999</v>
      </c>
      <c r="T6778">
        <v>-0.31548759999999998</v>
      </c>
      <c r="U6778">
        <v>0.1614227</v>
      </c>
      <c r="V6778">
        <v>-4.2812679999999999E-2</v>
      </c>
      <c r="W6778">
        <v>2.3352230000000002E-2</v>
      </c>
      <c r="X6778">
        <v>0.99881019999999998</v>
      </c>
      <c r="Y6778">
        <v>-0.126059</v>
      </c>
      <c r="Z6778">
        <v>-2.5342449999999999E-2</v>
      </c>
      <c r="AA6778">
        <v>0.991699</v>
      </c>
      <c r="AB6778">
        <v>17</v>
      </c>
      <c r="AC6778">
        <v>-10.4503</v>
      </c>
      <c r="AD6778">
        <v>-1.111782104452</v>
      </c>
      <c r="AE6778">
        <v>0.54179999999999495</v>
      </c>
      <c r="AF6778">
        <v>-1.3396787520653299</v>
      </c>
      <c r="AG6778">
        <v>-1.111782104452</v>
      </c>
      <c r="AH6778">
        <v>10.260443259651099</v>
      </c>
      <c r="AI6778">
        <v>96.132571213088099</v>
      </c>
      <c r="AJ6778">
        <v>97.438875596356297</v>
      </c>
      <c r="AK6778">
        <v>10.4070886654739</v>
      </c>
      <c r="AL6778">
        <v>88.661894187917696</v>
      </c>
      <c r="AM6778">
        <v>92.454405492992294</v>
      </c>
      <c r="AN6778">
        <v>1.00000003391939</v>
      </c>
    </row>
    <row r="6779" spans="1:40" x14ac:dyDescent="0.25">
      <c r="A6779" t="str">
        <f>"20190312150825332"</f>
        <v>20190312150825332</v>
      </c>
      <c r="B6779" t="str">
        <f>"1552374505327011"</f>
        <v>1552374505327011</v>
      </c>
      <c r="C6779" t="s">
        <v>40</v>
      </c>
      <c r="D6779">
        <v>4.5612740000000001</v>
      </c>
      <c r="E6779">
        <v>0.46665669999999998</v>
      </c>
      <c r="F6779" t="s">
        <v>42</v>
      </c>
      <c r="G6779">
        <v>-233.0711</v>
      </c>
      <c r="H6779" s="1">
        <v>-3.0071069999999898E-6</v>
      </c>
      <c r="I6779">
        <v>139.81290000000001</v>
      </c>
      <c r="J6779">
        <v>-222.57249999999999</v>
      </c>
      <c r="K6779">
        <v>1.1117669999999999</v>
      </c>
      <c r="L6779">
        <v>139.2955</v>
      </c>
      <c r="M6779">
        <v>-0.98395279999999996</v>
      </c>
      <c r="N6779">
        <v>0</v>
      </c>
      <c r="O6779">
        <v>0.17798789999999901</v>
      </c>
      <c r="P6779">
        <v>-0.99064350000000001</v>
      </c>
      <c r="Q6779">
        <v>1.1135569999999999E-2</v>
      </c>
      <c r="R6779">
        <v>0.13602069999999999</v>
      </c>
      <c r="S6779">
        <v>-3.0112459999999999</v>
      </c>
      <c r="T6779">
        <v>-0.31344509999999998</v>
      </c>
      <c r="U6779">
        <v>0.15438840000000001</v>
      </c>
      <c r="V6779">
        <v>-4.2565310000000002E-2</v>
      </c>
      <c r="W6779">
        <v>2.3526229999999999E-2</v>
      </c>
      <c r="X6779">
        <v>0.9988167</v>
      </c>
      <c r="Y6779">
        <v>-0.12575739999999999</v>
      </c>
      <c r="Z6779">
        <v>-2.4894329999999999E-2</v>
      </c>
      <c r="AA6779">
        <v>0.99174859999999998</v>
      </c>
      <c r="AB6779">
        <v>17</v>
      </c>
      <c r="AC6779">
        <v>-10.4986</v>
      </c>
      <c r="AD6779">
        <v>-1.111770007107</v>
      </c>
      <c r="AE6779">
        <v>0.51740000000000896</v>
      </c>
      <c r="AF6779">
        <v>-1.3445915122584899</v>
      </c>
      <c r="AG6779">
        <v>-1.111770007107</v>
      </c>
      <c r="AH6779">
        <v>10.307724557697901</v>
      </c>
      <c r="AI6779">
        <v>96.104683295708995</v>
      </c>
      <c r="AJ6779">
        <v>97.4319856802895</v>
      </c>
      <c r="AK6779">
        <v>10.454336154960201</v>
      </c>
      <c r="AL6779">
        <v>88.651921997356197</v>
      </c>
      <c r="AM6779">
        <v>92.440225365282501</v>
      </c>
      <c r="AN6779">
        <v>1.0000000446561399</v>
      </c>
    </row>
    <row r="6780" spans="1:40" x14ac:dyDescent="0.25">
      <c r="A6780" t="str">
        <f>"20190312150825353"</f>
        <v>20190312150825353</v>
      </c>
      <c r="B6780" t="str">
        <f>"1552374505346531"</f>
        <v>1552374505346531</v>
      </c>
      <c r="C6780" t="s">
        <v>40</v>
      </c>
      <c r="D6780">
        <v>4.6071569999999999</v>
      </c>
      <c r="E6780">
        <v>0.46692139999999999</v>
      </c>
      <c r="F6780" t="s">
        <v>42</v>
      </c>
      <c r="G6780">
        <v>-233.34569999999999</v>
      </c>
      <c r="H6780" s="1">
        <v>-2.8933720000000002E-6</v>
      </c>
      <c r="I6780">
        <v>139.82820000000001</v>
      </c>
      <c r="J6780">
        <v>-222.7381</v>
      </c>
      <c r="K6780">
        <v>1.11174</v>
      </c>
      <c r="L6780">
        <v>139.32249999999999</v>
      </c>
      <c r="M6780">
        <v>-0.98438709999999996</v>
      </c>
      <c r="N6780">
        <v>0</v>
      </c>
      <c r="O6780">
        <v>0.1755688</v>
      </c>
      <c r="P6780">
        <v>-0.99094059999999995</v>
      </c>
      <c r="Q6780">
        <v>1.0481860000000001E-2</v>
      </c>
      <c r="R6780">
        <v>0.1338917</v>
      </c>
      <c r="S6780">
        <v>-3.011368</v>
      </c>
      <c r="T6780">
        <v>-0.3107665</v>
      </c>
      <c r="U6780">
        <v>0.1489105</v>
      </c>
      <c r="V6780">
        <v>-4.2253970000000002E-2</v>
      </c>
      <c r="W6780">
        <v>2.28884E-2</v>
      </c>
      <c r="X6780">
        <v>0.99884470000000003</v>
      </c>
      <c r="Y6780">
        <v>-0.125164</v>
      </c>
      <c r="Z6780">
        <v>-2.4407749999999999E-2</v>
      </c>
      <c r="AA6780">
        <v>0.99183580000000005</v>
      </c>
      <c r="AB6780">
        <v>17</v>
      </c>
      <c r="AC6780">
        <v>-10.6075999999999</v>
      </c>
      <c r="AD6780">
        <v>-1.1117428933719999</v>
      </c>
      <c r="AE6780">
        <v>0.50570000000001802</v>
      </c>
      <c r="AF6780">
        <v>-1.34987275425494</v>
      </c>
      <c r="AG6780">
        <v>-1.1117428933719999</v>
      </c>
      <c r="AH6780">
        <v>10.417430595120599</v>
      </c>
      <c r="AI6780">
        <v>96.041390955283404</v>
      </c>
      <c r="AJ6780">
        <v>97.383149722134803</v>
      </c>
      <c r="AK6780">
        <v>10.563190281245401</v>
      </c>
      <c r="AL6780">
        <v>88.688476757551996</v>
      </c>
      <c r="AM6780">
        <v>92.422330079551003</v>
      </c>
      <c r="AN6780">
        <v>1.0000000057767</v>
      </c>
    </row>
    <row r="6781" spans="1:40" x14ac:dyDescent="0.25">
      <c r="A6781" t="str">
        <f>"20190312150825375"</f>
        <v>20190312150825375</v>
      </c>
      <c r="B6781" t="str">
        <f>"1552374505367030"</f>
        <v>1552374505367030</v>
      </c>
      <c r="C6781" t="s">
        <v>40</v>
      </c>
      <c r="D6781">
        <v>4.6116710000000003</v>
      </c>
      <c r="E6781">
        <v>0.46721089999999998</v>
      </c>
      <c r="F6781" t="s">
        <v>42</v>
      </c>
      <c r="G6781">
        <v>-233.49879999999999</v>
      </c>
      <c r="H6781" s="1">
        <v>-2.82994E-6</v>
      </c>
      <c r="I6781">
        <v>139.8366</v>
      </c>
      <c r="J6781">
        <v>-222.9091</v>
      </c>
      <c r="K6781">
        <v>1.1117170000000001</v>
      </c>
      <c r="L6781">
        <v>139.34989999999999</v>
      </c>
      <c r="M6781">
        <v>-0.98483200000000004</v>
      </c>
      <c r="N6781">
        <v>0</v>
      </c>
      <c r="O6781">
        <v>0.17305509999999999</v>
      </c>
      <c r="P6781">
        <v>-0.99115839999999999</v>
      </c>
      <c r="Q6781">
        <v>1.0050140000000001E-2</v>
      </c>
      <c r="R6781">
        <v>0.13230329999999901</v>
      </c>
      <c r="S6781">
        <v>-3.0112760000000001</v>
      </c>
      <c r="T6781">
        <v>-0.31111260000000002</v>
      </c>
      <c r="U6781">
        <v>0.14387510000000001</v>
      </c>
      <c r="V6781">
        <v>-4.1303199999999998E-2</v>
      </c>
      <c r="W6781">
        <v>2.2473650000000001E-2</v>
      </c>
      <c r="X6781">
        <v>0.9988939</v>
      </c>
      <c r="Y6781">
        <v>-0.1242984</v>
      </c>
      <c r="Z6781">
        <v>-2.4137280000000001E-2</v>
      </c>
      <c r="AA6781">
        <v>0.99195129999999998</v>
      </c>
      <c r="AB6781">
        <v>17</v>
      </c>
      <c r="AC6781">
        <v>-10.589699999999899</v>
      </c>
      <c r="AD6781">
        <v>-1.11171982994</v>
      </c>
      <c r="AE6781">
        <v>0.48670000000001301</v>
      </c>
      <c r="AF6781">
        <v>-1.33866824258616</v>
      </c>
      <c r="AG6781">
        <v>-1.11171982994</v>
      </c>
      <c r="AH6781">
        <v>10.399756529130499</v>
      </c>
      <c r="AI6781">
        <v>96.052111448492298</v>
      </c>
      <c r="AJ6781">
        <v>97.334843359766197</v>
      </c>
      <c r="AK6781">
        <v>10.5443297325711</v>
      </c>
      <c r="AL6781">
        <v>88.712246316872196</v>
      </c>
      <c r="AM6781">
        <v>92.367770718407002</v>
      </c>
      <c r="AN6781">
        <v>1.00000002136588</v>
      </c>
    </row>
    <row r="6782" spans="1:40" x14ac:dyDescent="0.25">
      <c r="A6782" t="str">
        <f>"20190312150825398"</f>
        <v>20190312150825398</v>
      </c>
      <c r="B6782" t="str">
        <f>"1552374505386552"</f>
        <v>1552374505386552</v>
      </c>
      <c r="C6782" t="s">
        <v>40</v>
      </c>
      <c r="D6782">
        <v>4.6172940000000002</v>
      </c>
      <c r="E6782">
        <v>0.46750920000000001</v>
      </c>
      <c r="F6782" t="s">
        <v>42</v>
      </c>
      <c r="G6782">
        <v>-233.67679999999999</v>
      </c>
      <c r="H6782" s="1">
        <v>-2.7581209999999998E-6</v>
      </c>
      <c r="I6782">
        <v>139.8537</v>
      </c>
      <c r="J6782">
        <v>-223.07669999999999</v>
      </c>
      <c r="K6782">
        <v>1.1116999999999999</v>
      </c>
      <c r="L6782">
        <v>139.37629999999999</v>
      </c>
      <c r="M6782">
        <v>-0.98526329999999995</v>
      </c>
      <c r="N6782">
        <v>0</v>
      </c>
      <c r="O6782">
        <v>0.17058139999999999</v>
      </c>
      <c r="P6782">
        <v>-0.99132480000000001</v>
      </c>
      <c r="Q6782">
        <v>9.5604160000000004E-3</v>
      </c>
      <c r="R6782">
        <v>0.1310876</v>
      </c>
      <c r="S6782">
        <v>-3.0111080000000001</v>
      </c>
      <c r="T6782">
        <v>-0.31088329999999997</v>
      </c>
      <c r="U6782">
        <v>0.14091489999999901</v>
      </c>
      <c r="V6782">
        <v>-4.0017549999999999E-2</v>
      </c>
      <c r="W6782">
        <v>2.1999790000000002E-2</v>
      </c>
      <c r="X6782">
        <v>0.99895670000000003</v>
      </c>
      <c r="Y6782">
        <v>-0.1228001</v>
      </c>
      <c r="Z6782">
        <v>-2.3793559999999998E-2</v>
      </c>
      <c r="AA6782">
        <v>0.99214610000000003</v>
      </c>
      <c r="AB6782">
        <v>17</v>
      </c>
      <c r="AC6782">
        <v>-10.6000999999999</v>
      </c>
      <c r="AD6782">
        <v>-1.1117027581209999</v>
      </c>
      <c r="AE6782">
        <v>0.47740000000001698</v>
      </c>
      <c r="AF6782">
        <v>-1.3233943517103699</v>
      </c>
      <c r="AG6782">
        <v>-1.1117027581209999</v>
      </c>
      <c r="AH6782">
        <v>10.411868363059799</v>
      </c>
      <c r="AI6782">
        <v>96.046252201250894</v>
      </c>
      <c r="AJ6782">
        <v>97.243704086242005</v>
      </c>
      <c r="AK6782">
        <v>10.5543478454255</v>
      </c>
      <c r="AL6782">
        <v>88.739403109261602</v>
      </c>
      <c r="AM6782">
        <v>92.294004758813998</v>
      </c>
      <c r="AN6782">
        <v>0.99999994177146601</v>
      </c>
    </row>
    <row r="6783" spans="1:40" x14ac:dyDescent="0.25">
      <c r="A6783" t="str">
        <f>"20190312150825420"</f>
        <v>20190312150825420</v>
      </c>
      <c r="B6783" t="str">
        <f>"1552374505416803"</f>
        <v>1552374505416803</v>
      </c>
      <c r="C6783" t="s">
        <v>40</v>
      </c>
      <c r="D6783">
        <v>4.5854280000000003</v>
      </c>
      <c r="E6783">
        <v>0.47572340000000002</v>
      </c>
      <c r="F6783" t="s">
        <v>42</v>
      </c>
      <c r="G6783">
        <v>-233.84289999999999</v>
      </c>
      <c r="H6783" s="1">
        <v>-2.6922440000000002E-6</v>
      </c>
      <c r="I6783">
        <v>139.87389999999999</v>
      </c>
      <c r="J6783">
        <v>-223.24850000000001</v>
      </c>
      <c r="K6783">
        <v>1.1116809999999999</v>
      </c>
      <c r="L6783">
        <v>139.40299999999999</v>
      </c>
      <c r="M6783">
        <v>-0.98570009999999997</v>
      </c>
      <c r="N6783">
        <v>0</v>
      </c>
      <c r="O6783">
        <v>0.1680392</v>
      </c>
      <c r="P6783">
        <v>-0.99147030000000003</v>
      </c>
      <c r="Q6783">
        <v>9.6666319999999997E-3</v>
      </c>
      <c r="R6783">
        <v>0.12997429999999999</v>
      </c>
      <c r="S6783">
        <v>-3.010834</v>
      </c>
      <c r="T6783">
        <v>-0.310894</v>
      </c>
      <c r="U6783">
        <v>0.13917539999999901</v>
      </c>
      <c r="V6783">
        <v>-3.8561709999999999E-2</v>
      </c>
      <c r="W6783">
        <v>2.2119449999999999E-2</v>
      </c>
      <c r="X6783">
        <v>0.99901139999999999</v>
      </c>
      <c r="Y6783">
        <v>-0.12083099999999999</v>
      </c>
      <c r="Z6783">
        <v>-2.3437429999999999E-2</v>
      </c>
      <c r="AA6783">
        <v>0.99239639999999996</v>
      </c>
      <c r="AB6783">
        <v>17</v>
      </c>
      <c r="AC6783">
        <v>-10.594399999999901</v>
      </c>
      <c r="AD6783">
        <v>-1.1116836922440001</v>
      </c>
      <c r="AE6783">
        <v>0.47089999999999999</v>
      </c>
      <c r="AF6783">
        <v>-1.3019059403544699</v>
      </c>
      <c r="AG6783">
        <v>-1.1116836922440001</v>
      </c>
      <c r="AH6783">
        <v>10.408485500769</v>
      </c>
      <c r="AI6783">
        <v>96.049607485981994</v>
      </c>
      <c r="AJ6783">
        <v>97.129597598598806</v>
      </c>
      <c r="AK6783">
        <v>10.5483349458031</v>
      </c>
      <c r="AL6783">
        <v>88.732545534441101</v>
      </c>
      <c r="AM6783">
        <v>92.210512216090706</v>
      </c>
      <c r="AN6783">
        <v>1.0000000264381901</v>
      </c>
    </row>
    <row r="6784" spans="1:40" x14ac:dyDescent="0.25">
      <c r="A6784" t="str">
        <f>"20190312150825444"</f>
        <v>20190312150825444</v>
      </c>
      <c r="B6784" t="str">
        <f>"1552374505437299"</f>
        <v>1552374505437299</v>
      </c>
      <c r="C6784" t="s">
        <v>40</v>
      </c>
      <c r="D6784">
        <v>4.5755720000000002</v>
      </c>
      <c r="E6784">
        <v>0.4760413</v>
      </c>
      <c r="F6784" t="s">
        <v>42</v>
      </c>
      <c r="G6784">
        <v>-235.1147</v>
      </c>
      <c r="H6784" s="1">
        <v>-2.2323350000000001E-6</v>
      </c>
      <c r="I6784">
        <v>140.19589999999999</v>
      </c>
      <c r="J6784">
        <v>-223.428</v>
      </c>
      <c r="K6784">
        <v>1.1116649999999999</v>
      </c>
      <c r="L6784">
        <v>139.43029999999999</v>
      </c>
      <c r="M6784">
        <v>-0.98615030000000004</v>
      </c>
      <c r="N6784">
        <v>0</v>
      </c>
      <c r="O6784">
        <v>0.165376</v>
      </c>
      <c r="P6784">
        <v>-0.99165590000000003</v>
      </c>
      <c r="Q6784">
        <v>9.6019929999999996E-3</v>
      </c>
      <c r="R6784">
        <v>0.1285558</v>
      </c>
      <c r="S6784">
        <v>-3.0022739999999999</v>
      </c>
      <c r="T6784">
        <v>-0.28126909999999999</v>
      </c>
      <c r="U6784">
        <v>0.20063780000000001</v>
      </c>
      <c r="V6784">
        <v>-3.7291270000000001E-2</v>
      </c>
      <c r="W6784">
        <v>2.2067010000000001E-2</v>
      </c>
      <c r="X6784">
        <v>0.99906079999999997</v>
      </c>
      <c r="Y6784">
        <v>-9.8118830000000004E-2</v>
      </c>
      <c r="Z6784">
        <v>-1.9949749999999999E-2</v>
      </c>
      <c r="AA6784">
        <v>0.99497469999999999</v>
      </c>
      <c r="AB6784">
        <v>17</v>
      </c>
      <c r="AC6784">
        <v>-11.6867</v>
      </c>
      <c r="AD6784">
        <v>-1.1116672323350001</v>
      </c>
      <c r="AE6784">
        <v>0.76560000000000605</v>
      </c>
      <c r="AF6784">
        <v>-1.1672795603339201</v>
      </c>
      <c r="AG6784">
        <v>-1.1116672323350001</v>
      </c>
      <c r="AH6784">
        <v>11.548331314881001</v>
      </c>
      <c r="AI6784">
        <v>95.470767936725196</v>
      </c>
      <c r="AJ6784">
        <v>95.771726780774998</v>
      </c>
      <c r="AK6784">
        <v>11.660287379206499</v>
      </c>
      <c r="AL6784">
        <v>88.735550871853903</v>
      </c>
      <c r="AM6784">
        <v>92.137648600910794</v>
      </c>
      <c r="AN6784">
        <v>1.0000000369225901</v>
      </c>
    </row>
    <row r="6785" spans="1:40" x14ac:dyDescent="0.25">
      <c r="A6785" t="str">
        <f>"20190312150825466"</f>
        <v>20190312150825466</v>
      </c>
      <c r="B6785" t="str">
        <f>"1552374505456819"</f>
        <v>1552374505456819</v>
      </c>
      <c r="C6785" t="s">
        <v>40</v>
      </c>
      <c r="D6785">
        <v>5.0110029999999997</v>
      </c>
      <c r="E6785">
        <v>0.47664709999999899</v>
      </c>
      <c r="F6785" t="s">
        <v>42</v>
      </c>
      <c r="G6785">
        <v>-235.42679999999999</v>
      </c>
      <c r="H6785" s="1">
        <v>-2.1060970000000002E-6</v>
      </c>
      <c r="I6785">
        <v>140.22479999999999</v>
      </c>
      <c r="J6785">
        <v>-223.60130000000001</v>
      </c>
      <c r="K6785">
        <v>1.111667</v>
      </c>
      <c r="L6785">
        <v>139.4562</v>
      </c>
      <c r="M6785">
        <v>-0.98658009999999996</v>
      </c>
      <c r="N6785">
        <v>0</v>
      </c>
      <c r="O6785">
        <v>0.16279199999999999</v>
      </c>
      <c r="P6785">
        <v>-0.99182709999999996</v>
      </c>
      <c r="Q6785">
        <v>9.2251469999999995E-3</v>
      </c>
      <c r="R6785">
        <v>0.12725629999999999</v>
      </c>
      <c r="S6785">
        <v>-3.002167</v>
      </c>
      <c r="T6785">
        <v>-0.27814539999999999</v>
      </c>
      <c r="U6785">
        <v>0.19880680000000001</v>
      </c>
      <c r="V6785">
        <v>-3.5981930000000002E-2</v>
      </c>
      <c r="W6785">
        <v>2.169946E-2</v>
      </c>
      <c r="X6785">
        <v>0.99911680000000003</v>
      </c>
      <c r="Y6785">
        <v>-9.6157699999999999E-2</v>
      </c>
      <c r="Z6785">
        <v>-1.9404330000000001E-2</v>
      </c>
      <c r="AA6785">
        <v>0.99517699999999998</v>
      </c>
      <c r="AB6785">
        <v>17</v>
      </c>
      <c r="AC6785">
        <v>-11.8254999999999</v>
      </c>
      <c r="AD6785">
        <v>-1.1116691060970001</v>
      </c>
      <c r="AE6785">
        <v>0.76859999999999196</v>
      </c>
      <c r="AF6785">
        <v>-1.1567246504280899</v>
      </c>
      <c r="AG6785">
        <v>-1.1116691060970001</v>
      </c>
      <c r="AH6785">
        <v>11.689987788203901</v>
      </c>
      <c r="AI6785">
        <v>95.406010662055706</v>
      </c>
      <c r="AJ6785">
        <v>95.651023788085695</v>
      </c>
      <c r="AK6785">
        <v>11.7995607802458</v>
      </c>
      <c r="AL6785">
        <v>88.756614899546804</v>
      </c>
      <c r="AM6785">
        <v>92.062543762812197</v>
      </c>
      <c r="AN6785">
        <v>0.99999997294652798</v>
      </c>
    </row>
    <row r="6786" spans="1:40" x14ac:dyDescent="0.25">
      <c r="A6786" t="str">
        <f>"20190312150825489"</f>
        <v>20190312150825489</v>
      </c>
      <c r="B6786" t="str">
        <f>"1552374505477315"</f>
        <v>1552374505477315</v>
      </c>
      <c r="C6786" t="s">
        <v>40</v>
      </c>
      <c r="D6786">
        <v>4.8279439999999996</v>
      </c>
      <c r="E6786">
        <v>0.477134</v>
      </c>
      <c r="F6786" t="s">
        <v>42</v>
      </c>
      <c r="G6786">
        <v>-235.80709999999999</v>
      </c>
      <c r="H6786" s="1">
        <v>-1.9542799999999999E-6</v>
      </c>
      <c r="I6786">
        <v>140.26730000000001</v>
      </c>
      <c r="J6786">
        <v>-223.77080000000001</v>
      </c>
      <c r="K6786">
        <v>1.1116710000000001</v>
      </c>
      <c r="L6786">
        <v>139.48099999999999</v>
      </c>
      <c r="M6786">
        <v>-0.98699650000000005</v>
      </c>
      <c r="N6786">
        <v>0</v>
      </c>
      <c r="O6786">
        <v>0.160248</v>
      </c>
      <c r="P6786">
        <v>-0.99202040000000002</v>
      </c>
      <c r="Q6786">
        <v>8.8593749999999992E-3</v>
      </c>
      <c r="R6786">
        <v>0.12576689999999999</v>
      </c>
      <c r="S6786">
        <v>-3.0016479999999999</v>
      </c>
      <c r="T6786">
        <v>-0.27338279999999998</v>
      </c>
      <c r="U6786">
        <v>0.19947809999999999</v>
      </c>
      <c r="V6786">
        <v>-3.4905940000000003E-2</v>
      </c>
      <c r="W6786">
        <v>2.134192E-2</v>
      </c>
      <c r="X6786">
        <v>0.99916269999999996</v>
      </c>
      <c r="Y6786">
        <v>-9.3416849999999996E-2</v>
      </c>
      <c r="Z6786">
        <v>-1.8724049999999999E-2</v>
      </c>
      <c r="AA6786">
        <v>0.99545099999999997</v>
      </c>
      <c r="AB6786">
        <v>17</v>
      </c>
      <c r="AC6786">
        <v>-12.036299999999899</v>
      </c>
      <c r="AD6786">
        <v>-1.1116729542799999</v>
      </c>
      <c r="AE6786">
        <v>0.78630000000001099</v>
      </c>
      <c r="AF6786">
        <v>-1.14309938317918</v>
      </c>
      <c r="AG6786">
        <v>-1.1116729542799999</v>
      </c>
      <c r="AH6786">
        <v>11.9056127225276</v>
      </c>
      <c r="AI6786">
        <v>95.310181052530893</v>
      </c>
      <c r="AJ6786">
        <v>95.484356091260906</v>
      </c>
      <c r="AK6786">
        <v>12.0119152201435</v>
      </c>
      <c r="AL6786">
        <v>88.777105213789199</v>
      </c>
      <c r="AM6786">
        <v>92.000825298223205</v>
      </c>
      <c r="AN6786">
        <v>1.0000000016339201</v>
      </c>
    </row>
    <row r="6787" spans="1:40" x14ac:dyDescent="0.25">
      <c r="A6787" t="str">
        <f>"20190312150825510"</f>
        <v>20190312150825510</v>
      </c>
      <c r="B6787" t="str">
        <f>"1552374505506596"</f>
        <v>1552374505506596</v>
      </c>
      <c r="C6787" t="s">
        <v>40</v>
      </c>
      <c r="D6787">
        <v>4.6058370000000002</v>
      </c>
      <c r="E6787">
        <v>0.4776088</v>
      </c>
      <c r="F6787" t="s">
        <v>42</v>
      </c>
      <c r="G6787">
        <v>-236.14410000000001</v>
      </c>
      <c r="H6787" s="1">
        <v>-1.8183189999999999E-6</v>
      </c>
      <c r="I6787">
        <v>140.2997</v>
      </c>
      <c r="J6787">
        <v>-223.93539999999999</v>
      </c>
      <c r="K6787">
        <v>1.1116779999999999</v>
      </c>
      <c r="L6787">
        <v>139.50470000000001</v>
      </c>
      <c r="M6787">
        <v>-0.98739679999999996</v>
      </c>
      <c r="N6787">
        <v>0</v>
      </c>
      <c r="O6787">
        <v>0.15776219999999999</v>
      </c>
      <c r="P6787">
        <v>-0.99222089999999996</v>
      </c>
      <c r="Q6787">
        <v>8.8460209999999904E-3</v>
      </c>
      <c r="R6787">
        <v>0.12417640000000001</v>
      </c>
      <c r="S6787">
        <v>-3.0013580000000002</v>
      </c>
      <c r="T6787">
        <v>-0.26965450000000002</v>
      </c>
      <c r="U6787">
        <v>0.19860839999999999</v>
      </c>
      <c r="V6787">
        <v>-3.3991170000000001E-2</v>
      </c>
      <c r="W6787">
        <v>2.1335239999999998E-2</v>
      </c>
      <c r="X6787">
        <v>0.99919440000000004</v>
      </c>
      <c r="Y6787">
        <v>-9.1236910000000004E-2</v>
      </c>
      <c r="Z6787">
        <v>-1.815421E-2</v>
      </c>
      <c r="AA6787">
        <v>0.99566370000000004</v>
      </c>
      <c r="AB6787">
        <v>17</v>
      </c>
      <c r="AC6787">
        <v>-12.2087</v>
      </c>
      <c r="AD6787">
        <v>-1.111679818319</v>
      </c>
      <c r="AE6787">
        <v>0.79499999999998705</v>
      </c>
      <c r="AF6787">
        <v>-1.13183671207605</v>
      </c>
      <c r="AG6787">
        <v>-1.111679818319</v>
      </c>
      <c r="AH6787">
        <v>12.0814708877396</v>
      </c>
      <c r="AI6787">
        <v>95.234490300140493</v>
      </c>
      <c r="AJ6787">
        <v>95.352058549467202</v>
      </c>
      <c r="AK6787">
        <v>12.185188762286799</v>
      </c>
      <c r="AL6787">
        <v>88.777488059887702</v>
      </c>
      <c r="AM6787">
        <v>91.948369432969599</v>
      </c>
      <c r="AN6787">
        <v>1.0000000205475901</v>
      </c>
    </row>
    <row r="6788" spans="1:40" x14ac:dyDescent="0.25">
      <c r="A6788" t="str">
        <f>"20190312150825532"</f>
        <v>20190312150825532</v>
      </c>
      <c r="B6788" t="str">
        <f>"1552374505527092"</f>
        <v>1552374505527092</v>
      </c>
      <c r="C6788" t="s">
        <v>40</v>
      </c>
      <c r="D6788">
        <v>4.592676</v>
      </c>
      <c r="E6788">
        <v>0.47759479999999999</v>
      </c>
      <c r="F6788" t="s">
        <v>42</v>
      </c>
      <c r="G6788">
        <v>-236.4255</v>
      </c>
      <c r="H6788" s="1">
        <v>-1.704746E-6</v>
      </c>
      <c r="I6788">
        <v>140.32660000000001</v>
      </c>
      <c r="J6788">
        <v>-224.10400000000001</v>
      </c>
      <c r="K6788">
        <v>1.1116779999999999</v>
      </c>
      <c r="L6788">
        <v>139.52850000000001</v>
      </c>
      <c r="M6788">
        <v>-0.98780259999999998</v>
      </c>
      <c r="N6788">
        <v>0</v>
      </c>
      <c r="O6788">
        <v>0.15520059999999999</v>
      </c>
      <c r="P6788">
        <v>-0.99237969999999998</v>
      </c>
      <c r="Q6788">
        <v>9.5753650000000006E-3</v>
      </c>
      <c r="R6788">
        <v>0.12284539999999999</v>
      </c>
      <c r="S6788">
        <v>-3.0011899999999998</v>
      </c>
      <c r="T6788">
        <v>-0.26711950000000001</v>
      </c>
      <c r="U6788">
        <v>0.19750980000000001</v>
      </c>
      <c r="V6788">
        <v>-3.2740890000000002E-2</v>
      </c>
      <c r="W6788">
        <v>2.2071779999999999E-2</v>
      </c>
      <c r="X6788">
        <v>0.99922010000000006</v>
      </c>
      <c r="Y6788">
        <v>-8.9050030000000002E-2</v>
      </c>
      <c r="Z6788">
        <v>-1.76639E-2</v>
      </c>
      <c r="AA6788">
        <v>0.99587049999999999</v>
      </c>
      <c r="AB6788">
        <v>17</v>
      </c>
      <c r="AC6788">
        <v>-12.321499999999901</v>
      </c>
      <c r="AD6788">
        <v>-1.1116797047460001</v>
      </c>
      <c r="AE6788">
        <v>0.79810000000000503</v>
      </c>
      <c r="AF6788">
        <v>-1.1149899272564601</v>
      </c>
      <c r="AG6788">
        <v>-1.1116797047460001</v>
      </c>
      <c r="AH6788">
        <v>12.197179661257</v>
      </c>
      <c r="AI6788">
        <v>95.186178898444695</v>
      </c>
      <c r="AJ6788">
        <v>95.223105406343606</v>
      </c>
      <c r="AK6788">
        <v>12.2983830641596</v>
      </c>
      <c r="AL6788">
        <v>88.735277418240997</v>
      </c>
      <c r="AM6788">
        <v>91.876707538530297</v>
      </c>
      <c r="AN6788">
        <v>0.999999968797184</v>
      </c>
    </row>
    <row r="6789" spans="1:40" x14ac:dyDescent="0.25">
      <c r="A6789" t="str">
        <f>"20190312150825555"</f>
        <v>20190312150825555</v>
      </c>
      <c r="B6789" t="str">
        <f>"1552374505546611"</f>
        <v>1552374505546611</v>
      </c>
      <c r="C6789" t="s">
        <v>40</v>
      </c>
      <c r="D6789">
        <v>4.5802180000000003</v>
      </c>
      <c r="E6789">
        <v>0.47786190000000001</v>
      </c>
      <c r="F6789" t="s">
        <v>42</v>
      </c>
      <c r="G6789">
        <v>-236.55510000000001</v>
      </c>
      <c r="H6789" s="1">
        <v>-1.6498859999999999E-6</v>
      </c>
      <c r="I6789">
        <v>140.32929999999999</v>
      </c>
      <c r="J6789">
        <v>-224.27670000000001</v>
      </c>
      <c r="K6789">
        <v>1.1116820000000001</v>
      </c>
      <c r="L6789">
        <v>139.55240000000001</v>
      </c>
      <c r="M6789">
        <v>-0.98821300000000001</v>
      </c>
      <c r="N6789">
        <v>0</v>
      </c>
      <c r="O6789">
        <v>0.15256510000000001</v>
      </c>
      <c r="P6789">
        <v>-0.99251730000000005</v>
      </c>
      <c r="Q6789">
        <v>1.037858E-2</v>
      </c>
      <c r="R6789">
        <v>0.12166200000000001</v>
      </c>
      <c r="S6789">
        <v>-3.001709</v>
      </c>
      <c r="T6789">
        <v>-0.26800479999999999</v>
      </c>
      <c r="U6789">
        <v>0.1930847</v>
      </c>
      <c r="V6789">
        <v>-3.1267530000000002E-2</v>
      </c>
      <c r="W6789">
        <v>2.2882199999999998E-2</v>
      </c>
      <c r="X6789">
        <v>0.9992491</v>
      </c>
      <c r="Y6789">
        <v>-8.7875250000000002E-2</v>
      </c>
      <c r="Z6789">
        <v>-1.7436219999999999E-2</v>
      </c>
      <c r="AA6789">
        <v>0.9959789</v>
      </c>
      <c r="AB6789">
        <v>17</v>
      </c>
      <c r="AC6789">
        <v>-12.2784</v>
      </c>
      <c r="AD6789">
        <v>-1.1116836498860001</v>
      </c>
      <c r="AE6789">
        <v>0.77689999999998305</v>
      </c>
      <c r="AF6789">
        <v>-1.0966466580674501</v>
      </c>
      <c r="AG6789">
        <v>-1.1116836498860001</v>
      </c>
      <c r="AH6789">
        <v>12.1539421600712</v>
      </c>
      <c r="AI6789">
        <v>95.205097972940294</v>
      </c>
      <c r="AJ6789">
        <v>95.155819866560094</v>
      </c>
      <c r="AK6789">
        <v>12.2538477410334</v>
      </c>
      <c r="AL6789">
        <v>88.688832088251303</v>
      </c>
      <c r="AM6789">
        <v>91.792258953315795</v>
      </c>
      <c r="AN6789">
        <v>1.0000000086799701</v>
      </c>
    </row>
    <row r="6790" spans="1:40" x14ac:dyDescent="0.25">
      <c r="A6790" t="str">
        <f>"20190312150825576"</f>
        <v>20190312150825576</v>
      </c>
      <c r="B6790" t="str">
        <f>"1552374505567111"</f>
        <v>1552374505567111</v>
      </c>
      <c r="C6790" t="s">
        <v>40</v>
      </c>
      <c r="D6790">
        <v>4.589575</v>
      </c>
      <c r="E6790">
        <v>0.47794229999999999</v>
      </c>
      <c r="F6790" t="s">
        <v>42</v>
      </c>
      <c r="G6790">
        <v>-236.93969999999999</v>
      </c>
      <c r="H6790" s="1">
        <v>-1.493203E-6</v>
      </c>
      <c r="I6790">
        <v>140.3605</v>
      </c>
      <c r="J6790">
        <v>-224.4469</v>
      </c>
      <c r="K6790">
        <v>1.1116839999999999</v>
      </c>
      <c r="L6790">
        <v>139.5754</v>
      </c>
      <c r="M6790">
        <v>-0.98861250000000001</v>
      </c>
      <c r="N6790">
        <v>0</v>
      </c>
      <c r="O6790">
        <v>0.14995549999999999</v>
      </c>
      <c r="P6790">
        <v>-0.99270029999999998</v>
      </c>
      <c r="Q6790">
        <v>1.092246E-2</v>
      </c>
      <c r="R6790">
        <v>0.12011239999999999</v>
      </c>
      <c r="S6790">
        <v>-3.0019070000000001</v>
      </c>
      <c r="T6790">
        <v>-0.26353749999999998</v>
      </c>
      <c r="U6790">
        <v>0.19158939999999999</v>
      </c>
      <c r="V6790">
        <v>-3.0189339999999999E-2</v>
      </c>
      <c r="W6790">
        <v>2.3428979999999999E-2</v>
      </c>
      <c r="X6790">
        <v>0.99926959999999998</v>
      </c>
      <c r="Y6790">
        <v>-8.5792590000000002E-2</v>
      </c>
      <c r="Z6790">
        <v>-1.6828920000000001E-2</v>
      </c>
      <c r="AA6790">
        <v>0.99617089999999997</v>
      </c>
      <c r="AB6790">
        <v>17</v>
      </c>
      <c r="AC6790">
        <v>-12.4927999999999</v>
      </c>
      <c r="AD6790">
        <v>-1.111685493203</v>
      </c>
      <c r="AE6790">
        <v>0.78509999999999902</v>
      </c>
      <c r="AF6790">
        <v>-1.0887044353230999</v>
      </c>
      <c r="AG6790">
        <v>-1.111685493203</v>
      </c>
      <c r="AH6790">
        <v>12.3716775504857</v>
      </c>
      <c r="AI6790">
        <v>95.114992343851696</v>
      </c>
      <c r="AJ6790">
        <v>95.029058925813004</v>
      </c>
      <c r="AK6790">
        <v>12.4691430097053</v>
      </c>
      <c r="AL6790">
        <v>88.657495519427201</v>
      </c>
      <c r="AM6790">
        <v>91.730459728296097</v>
      </c>
      <c r="AN6790">
        <v>1.00000002341881</v>
      </c>
    </row>
    <row r="6791" spans="1:40" x14ac:dyDescent="0.25">
      <c r="A6791" t="str">
        <f>"20190312150825600"</f>
        <v>20190312150825600</v>
      </c>
      <c r="B6791" t="str">
        <f>"1552374505596387"</f>
        <v>1552374505596387</v>
      </c>
      <c r="C6791" t="s">
        <v>40</v>
      </c>
      <c r="D6791">
        <v>4.58033</v>
      </c>
      <c r="E6791">
        <v>0.47796040000000001</v>
      </c>
      <c r="F6791" t="s">
        <v>42</v>
      </c>
      <c r="G6791">
        <v>-237.1695</v>
      </c>
      <c r="H6791" s="1">
        <v>-1.396902E-6</v>
      </c>
      <c r="I6791">
        <v>140.3691</v>
      </c>
      <c r="J6791">
        <v>-224.62010000000001</v>
      </c>
      <c r="K6791">
        <v>1.111675</v>
      </c>
      <c r="L6791">
        <v>139.5985</v>
      </c>
      <c r="M6791">
        <v>-0.98901240000000001</v>
      </c>
      <c r="N6791">
        <v>0</v>
      </c>
      <c r="O6791">
        <v>0.1472955</v>
      </c>
      <c r="P6791">
        <v>-0.99295880000000003</v>
      </c>
      <c r="Q6791">
        <v>1.113132E-2</v>
      </c>
      <c r="R6791">
        <v>0.11793629999999999</v>
      </c>
      <c r="S6791">
        <v>-3.0022890000000002</v>
      </c>
      <c r="T6791">
        <v>-0.26233699999999999</v>
      </c>
      <c r="U6791">
        <v>0.18730160000000001</v>
      </c>
      <c r="V6791">
        <v>-2.9691740000000001E-2</v>
      </c>
      <c r="W6791">
        <v>2.3630149999999999E-2</v>
      </c>
      <c r="X6791">
        <v>0.99927969999999999</v>
      </c>
      <c r="Y6791">
        <v>-8.4560440000000001E-2</v>
      </c>
      <c r="Z6791">
        <v>-1.6468569999999998E-2</v>
      </c>
      <c r="AA6791">
        <v>0.99628220000000001</v>
      </c>
      <c r="AB6791">
        <v>17</v>
      </c>
      <c r="AC6791">
        <v>-12.549399999999901</v>
      </c>
      <c r="AD6791">
        <v>-1.111676396902</v>
      </c>
      <c r="AE6791">
        <v>0.77060000000000095</v>
      </c>
      <c r="AF6791">
        <v>-1.0779959017685601</v>
      </c>
      <c r="AG6791">
        <v>-1.111676396902</v>
      </c>
      <c r="AH6791">
        <v>12.4288464984678</v>
      </c>
      <c r="AI6791">
        <v>95.092103569749597</v>
      </c>
      <c r="AJ6791">
        <v>94.957051514351903</v>
      </c>
      <c r="AK6791">
        <v>12.524940113954001</v>
      </c>
      <c r="AL6791">
        <v>88.645966037795105</v>
      </c>
      <c r="AM6791">
        <v>91.701936908623296</v>
      </c>
      <c r="AN6791">
        <v>0.99999995112266804</v>
      </c>
    </row>
    <row r="6792" spans="1:40" x14ac:dyDescent="0.25">
      <c r="A6792" t="str">
        <f>"20190312150825622"</f>
        <v>20190312150825622</v>
      </c>
      <c r="B6792" t="str">
        <f>"1552374505616883"</f>
        <v>1552374505616883</v>
      </c>
      <c r="C6792" t="s">
        <v>40</v>
      </c>
      <c r="D6792">
        <v>4.7814730000000001</v>
      </c>
      <c r="E6792">
        <v>0.47812549999999998</v>
      </c>
      <c r="F6792" t="s">
        <v>42</v>
      </c>
      <c r="G6792">
        <v>-237.1711</v>
      </c>
      <c r="H6792" s="1">
        <v>-1.3919740000000001E-6</v>
      </c>
      <c r="I6792">
        <v>140.35319999999999</v>
      </c>
      <c r="J6792">
        <v>-224.78880000000001</v>
      </c>
      <c r="K6792">
        <v>1.111664</v>
      </c>
      <c r="L6792">
        <v>139.62039999999999</v>
      </c>
      <c r="M6792">
        <v>-0.98939589999999999</v>
      </c>
      <c r="N6792">
        <v>0</v>
      </c>
      <c r="O6792">
        <v>0.14469899999999999</v>
      </c>
      <c r="P6792">
        <v>-0.99328059999999996</v>
      </c>
      <c r="Q6792">
        <v>1.170072E-2</v>
      </c>
      <c r="R6792">
        <v>0.1151382</v>
      </c>
      <c r="S6792">
        <v>-3.0028079999999999</v>
      </c>
      <c r="T6792">
        <v>-0.26596520000000001</v>
      </c>
      <c r="U6792">
        <v>0.18058779999999999</v>
      </c>
      <c r="V6792">
        <v>-2.988528E-2</v>
      </c>
      <c r="W6792">
        <v>2.4175970000000001E-2</v>
      </c>
      <c r="X6792">
        <v>0.99926090000000001</v>
      </c>
      <c r="Y6792">
        <v>-8.4162349999999997E-2</v>
      </c>
      <c r="Z6792">
        <v>-1.6449700000000001E-2</v>
      </c>
      <c r="AA6792">
        <v>0.99631630000000004</v>
      </c>
      <c r="AB6792">
        <v>17</v>
      </c>
      <c r="AC6792">
        <v>-12.382299999999899</v>
      </c>
      <c r="AD6792">
        <v>-1.1116653919740001</v>
      </c>
      <c r="AE6792">
        <v>0.73279999999999701</v>
      </c>
      <c r="AF6792">
        <v>-1.0582613425908201</v>
      </c>
      <c r="AG6792">
        <v>-1.1116653919740001</v>
      </c>
      <c r="AH6792">
        <v>12.259538919047101</v>
      </c>
      <c r="AI6792">
        <v>95.162180356847301</v>
      </c>
      <c r="AJ6792">
        <v>94.933625669354697</v>
      </c>
      <c r="AK6792">
        <v>12.3552422687929</v>
      </c>
      <c r="AL6792">
        <v>88.614683951292903</v>
      </c>
      <c r="AM6792">
        <v>91.713056283963894</v>
      </c>
      <c r="AN6792">
        <v>0.999999976877464</v>
      </c>
    </row>
    <row r="6793" spans="1:40" x14ac:dyDescent="0.25">
      <c r="A6793" t="str">
        <f>"20190312150825646"</f>
        <v>20190312150825646</v>
      </c>
      <c r="B6793" t="str">
        <f>"1552374505636403"</f>
        <v>1552374505636403</v>
      </c>
      <c r="C6793" t="s">
        <v>40</v>
      </c>
      <c r="D6793">
        <v>4.7363410000000004</v>
      </c>
      <c r="E6793">
        <v>0.48212349999999998</v>
      </c>
      <c r="F6793" t="s">
        <v>42</v>
      </c>
      <c r="G6793">
        <v>-237.45930000000001</v>
      </c>
      <c r="H6793" s="1">
        <v>-1.2675449999999999E-6</v>
      </c>
      <c r="I6793">
        <v>140.3501</v>
      </c>
      <c r="J6793">
        <v>-224.964</v>
      </c>
      <c r="K6793">
        <v>1.1116490000000001</v>
      </c>
      <c r="L6793">
        <v>139.64279999999999</v>
      </c>
      <c r="M6793">
        <v>-0.98978690000000003</v>
      </c>
      <c r="N6793">
        <v>0</v>
      </c>
      <c r="O6793">
        <v>0.14200260000000001</v>
      </c>
      <c r="P6793">
        <v>-0.99362919999999999</v>
      </c>
      <c r="Q6793">
        <v>1.221131E-2</v>
      </c>
      <c r="R6793">
        <v>0.1120348</v>
      </c>
      <c r="S6793">
        <v>-3.0033569999999998</v>
      </c>
      <c r="T6793">
        <v>-0.2635055</v>
      </c>
      <c r="U6793">
        <v>0.17297360000000001</v>
      </c>
      <c r="V6793">
        <v>-3.028374E-2</v>
      </c>
      <c r="W6793">
        <v>2.464599E-2</v>
      </c>
      <c r="X6793">
        <v>0.99923740000000005</v>
      </c>
      <c r="Y6793">
        <v>-8.4002540000000001E-2</v>
      </c>
      <c r="Z6793">
        <v>-1.6056359999999999E-2</v>
      </c>
      <c r="AA6793">
        <v>0.99633620000000001</v>
      </c>
      <c r="AB6793">
        <v>17</v>
      </c>
      <c r="AC6793">
        <v>-12.495299999999901</v>
      </c>
      <c r="AD6793">
        <v>-1.111650267545</v>
      </c>
      <c r="AE6793">
        <v>0.70730000000000304</v>
      </c>
      <c r="AF6793">
        <v>-1.0659632400314101</v>
      </c>
      <c r="AG6793">
        <v>-1.111650267545</v>
      </c>
      <c r="AH6793">
        <v>12.3714966538105</v>
      </c>
      <c r="AI6793">
        <v>95.115713297257997</v>
      </c>
      <c r="AJ6793">
        <v>94.924604089930597</v>
      </c>
      <c r="AK6793">
        <v>12.466995363826699</v>
      </c>
      <c r="AL6793">
        <v>88.587745730767793</v>
      </c>
      <c r="AM6793">
        <v>91.735923355428397</v>
      </c>
      <c r="AN6793">
        <v>0.99999995564511202</v>
      </c>
    </row>
    <row r="6794" spans="1:40" x14ac:dyDescent="0.25">
      <c r="A6794" t="str">
        <f>"20190312150825667"</f>
        <v>20190312150825667</v>
      </c>
      <c r="B6794" t="str">
        <f>"1552374505656899"</f>
        <v>1552374505656899</v>
      </c>
      <c r="C6794" t="s">
        <v>40</v>
      </c>
      <c r="D6794">
        <v>4.8390219999999999</v>
      </c>
      <c r="E6794">
        <v>0.4869308</v>
      </c>
      <c r="F6794" t="s">
        <v>42</v>
      </c>
      <c r="G6794">
        <v>-240.59739999999999</v>
      </c>
      <c r="H6794" s="1">
        <v>-4.2573610000000001E-6</v>
      </c>
      <c r="I6794">
        <v>140.65710000000001</v>
      </c>
      <c r="J6794">
        <v>-225.13640000000001</v>
      </c>
      <c r="K6794">
        <v>1.111634</v>
      </c>
      <c r="L6794">
        <v>139.6643</v>
      </c>
      <c r="M6794">
        <v>-0.9901645</v>
      </c>
      <c r="N6794">
        <v>0</v>
      </c>
      <c r="O6794">
        <v>0.13935040000000001</v>
      </c>
      <c r="P6794">
        <v>-0.99401609999999996</v>
      </c>
      <c r="Q6794">
        <v>1.297365E-2</v>
      </c>
      <c r="R6794">
        <v>0.1084615</v>
      </c>
      <c r="S6794">
        <v>-2.999908</v>
      </c>
      <c r="T6794">
        <v>-0.21331739999999999</v>
      </c>
      <c r="U6794">
        <v>0.19464110000000001</v>
      </c>
      <c r="V6794">
        <v>-3.1200390000000001E-2</v>
      </c>
      <c r="W6794">
        <v>2.5352449999999999E-2</v>
      </c>
      <c r="X6794">
        <v>0.99919159999999996</v>
      </c>
      <c r="Y6794">
        <v>-7.4419879999999994E-2</v>
      </c>
      <c r="Z6794">
        <v>-1.249128E-2</v>
      </c>
      <c r="AA6794">
        <v>0.99714879999999995</v>
      </c>
      <c r="AB6794">
        <v>17</v>
      </c>
      <c r="AC6794">
        <v>-15.460999999999901</v>
      </c>
      <c r="AD6794">
        <v>-1.111638257361</v>
      </c>
      <c r="AE6794">
        <v>0.992800000000016</v>
      </c>
      <c r="AF6794">
        <v>-1.16555182173536</v>
      </c>
      <c r="AG6794">
        <v>-1.111638257361</v>
      </c>
      <c r="AH6794">
        <v>15.3693571205576</v>
      </c>
      <c r="AI6794">
        <v>94.125094085275194</v>
      </c>
      <c r="AJ6794">
        <v>94.336786345920601</v>
      </c>
      <c r="AK6794">
        <v>15.453523512895501</v>
      </c>
      <c r="AL6794">
        <v>88.547256008832207</v>
      </c>
      <c r="AM6794">
        <v>91.788515831641405</v>
      </c>
      <c r="AN6794">
        <v>1.00000003228385</v>
      </c>
    </row>
    <row r="6795" spans="1:40" x14ac:dyDescent="0.25">
      <c r="A6795" t="str">
        <f>"20190312150825689"</f>
        <v>20190312150825689</v>
      </c>
      <c r="B6795" t="str">
        <f>"1552374505676429"</f>
        <v>1552374505676429</v>
      </c>
      <c r="C6795" t="s">
        <v>40</v>
      </c>
      <c r="D6795">
        <v>4.6272270000000004</v>
      </c>
      <c r="E6795">
        <v>0.48867519999999998</v>
      </c>
      <c r="F6795" t="s">
        <v>42</v>
      </c>
      <c r="G6795">
        <v>-241.95779999999999</v>
      </c>
      <c r="H6795" s="1">
        <v>-3.7757129999999998E-6</v>
      </c>
      <c r="I6795">
        <v>140.9066</v>
      </c>
      <c r="J6795">
        <v>-225.29990000000001</v>
      </c>
      <c r="K6795">
        <v>1.1116200000000001</v>
      </c>
      <c r="L6795">
        <v>139.6842</v>
      </c>
      <c r="M6795">
        <v>-0.99051579999999995</v>
      </c>
      <c r="N6795">
        <v>0</v>
      </c>
      <c r="O6795">
        <v>0.13683679999999901</v>
      </c>
      <c r="P6795">
        <v>-0.99435620000000002</v>
      </c>
      <c r="Q6795">
        <v>1.3555060000000001E-2</v>
      </c>
      <c r="R6795">
        <v>0.10522570000000001</v>
      </c>
      <c r="S6795">
        <v>-2.9964900000000001</v>
      </c>
      <c r="T6795">
        <v>-0.198022</v>
      </c>
      <c r="U6795">
        <v>0.2213135</v>
      </c>
      <c r="V6795">
        <v>-3.1916069999999998E-2</v>
      </c>
      <c r="W6795">
        <v>2.5874419999999999E-2</v>
      </c>
      <c r="X6795">
        <v>0.99915560000000003</v>
      </c>
      <c r="Y6795">
        <v>-6.3080419999999998E-2</v>
      </c>
      <c r="Z6795">
        <v>-1.106796E-2</v>
      </c>
      <c r="AA6795">
        <v>0.99794709999999998</v>
      </c>
      <c r="AB6795">
        <v>17</v>
      </c>
      <c r="AC6795">
        <v>-16.657899999999898</v>
      </c>
      <c r="AD6795">
        <v>-1.1116237757130001</v>
      </c>
      <c r="AE6795">
        <v>1.2223999999999899</v>
      </c>
      <c r="AF6795">
        <v>-1.0639768283366999</v>
      </c>
      <c r="AG6795">
        <v>-1.1116237757130001</v>
      </c>
      <c r="AH6795">
        <v>16.594961778986502</v>
      </c>
      <c r="AI6795">
        <v>93.824439117827495</v>
      </c>
      <c r="AJ6795">
        <v>93.668466214889094</v>
      </c>
      <c r="AK6795">
        <v>16.666148641962501</v>
      </c>
      <c r="AL6795">
        <v>88.517339493929597</v>
      </c>
      <c r="AM6795">
        <v>91.829579425724702</v>
      </c>
      <c r="AN6795">
        <v>1.0000000170729699</v>
      </c>
    </row>
    <row r="6796" spans="1:40" x14ac:dyDescent="0.25">
      <c r="A6796" t="str">
        <f>"20190312150825710"</f>
        <v>20190312150825710</v>
      </c>
      <c r="B6796" t="str">
        <f>"1552374505706675"</f>
        <v>1552374505706675</v>
      </c>
      <c r="C6796" t="s">
        <v>40</v>
      </c>
      <c r="D6796">
        <v>4.6293259999999998</v>
      </c>
      <c r="E6796">
        <v>0.49019740000000001</v>
      </c>
      <c r="F6796" t="s">
        <v>42</v>
      </c>
      <c r="G6796">
        <v>-243.07669999999999</v>
      </c>
      <c r="H6796" s="1">
        <v>-3.3259650000000001E-6</v>
      </c>
      <c r="I6796">
        <v>141.02029999999999</v>
      </c>
      <c r="J6796">
        <v>-225.4631</v>
      </c>
      <c r="K6796">
        <v>1.1116109999999999</v>
      </c>
      <c r="L6796">
        <v>139.7037</v>
      </c>
      <c r="M6796">
        <v>-0.99085919999999905</v>
      </c>
      <c r="N6796">
        <v>0</v>
      </c>
      <c r="O6796">
        <v>0.1343328</v>
      </c>
      <c r="P6796">
        <v>-0.99468670000000003</v>
      </c>
      <c r="Q6796">
        <v>1.3313439999999999E-2</v>
      </c>
      <c r="R6796">
        <v>0.1020833</v>
      </c>
      <c r="S6796">
        <v>-2.995743</v>
      </c>
      <c r="T6796">
        <v>-0.1873311</v>
      </c>
      <c r="U6796">
        <v>0.22515869999999999</v>
      </c>
      <c r="V6796">
        <v>-3.2547590000000001E-2</v>
      </c>
      <c r="W6796">
        <v>2.5569339999999999E-2</v>
      </c>
      <c r="X6796">
        <v>0.99914309999999995</v>
      </c>
      <c r="Y6796">
        <v>-5.932246E-2</v>
      </c>
      <c r="Z6796">
        <v>-1.020157E-2</v>
      </c>
      <c r="AA6796">
        <v>0.99818680000000004</v>
      </c>
      <c r="AB6796">
        <v>17</v>
      </c>
      <c r="AC6796">
        <v>-17.613599999999899</v>
      </c>
      <c r="AD6796">
        <v>-1.111614325965</v>
      </c>
      <c r="AE6796">
        <v>1.31659999999999</v>
      </c>
      <c r="AF6796">
        <v>-1.0574117773802301</v>
      </c>
      <c r="AG6796">
        <v>-1.111614325965</v>
      </c>
      <c r="AH6796">
        <v>17.561248648785298</v>
      </c>
      <c r="AI6796">
        <v>93.615418398817098</v>
      </c>
      <c r="AJ6796">
        <v>93.445778444148999</v>
      </c>
      <c r="AK6796">
        <v>17.6281383072943</v>
      </c>
      <c r="AL6796">
        <v>88.534825102466698</v>
      </c>
      <c r="AM6796">
        <v>91.8657791129217</v>
      </c>
      <c r="AN6796">
        <v>1.0000000355202201</v>
      </c>
    </row>
    <row r="6797" spans="1:40" x14ac:dyDescent="0.25">
      <c r="A6797" t="str">
        <f>"20190312150825725"</f>
        <v>20190312150825725</v>
      </c>
      <c r="B6797" t="str">
        <f>"1552374505716435"</f>
        <v>1552374505716435</v>
      </c>
      <c r="C6797" t="s">
        <v>40</v>
      </c>
      <c r="D6797">
        <v>4.9817619999999998</v>
      </c>
      <c r="E6797">
        <v>0.49049199999999998</v>
      </c>
      <c r="F6797" t="s">
        <v>42</v>
      </c>
      <c r="G6797">
        <v>-243.83930000000001</v>
      </c>
      <c r="H6797" s="1">
        <v>-3.0199399999999999E-6</v>
      </c>
      <c r="I6797">
        <v>141.09970000000001</v>
      </c>
      <c r="J6797">
        <v>-225.5711</v>
      </c>
      <c r="K6797">
        <v>1.1116010000000001</v>
      </c>
      <c r="L6797">
        <v>139.7165</v>
      </c>
      <c r="M6797">
        <v>-0.99108280000000004</v>
      </c>
      <c r="N6797">
        <v>0</v>
      </c>
      <c r="O6797">
        <v>0.1326773</v>
      </c>
      <c r="P6797">
        <v>-0.99484830000000002</v>
      </c>
      <c r="Q6797">
        <v>1.3451650000000001E-2</v>
      </c>
      <c r="R6797">
        <v>0.100479</v>
      </c>
      <c r="S6797">
        <v>-2.9950869999999998</v>
      </c>
      <c r="T6797">
        <v>-0.1811788</v>
      </c>
      <c r="U6797">
        <v>0.22753909999999999</v>
      </c>
      <c r="V6797">
        <v>-3.2489860000000002E-2</v>
      </c>
      <c r="W6797">
        <v>2.5664200000000002E-2</v>
      </c>
      <c r="X6797">
        <v>0.99914250000000004</v>
      </c>
      <c r="Y6797">
        <v>-5.6880819999999999E-2</v>
      </c>
      <c r="Z6797">
        <v>-9.6962339999999998E-3</v>
      </c>
      <c r="AA6797">
        <v>0.9983339</v>
      </c>
      <c r="AB6797">
        <v>17</v>
      </c>
      <c r="AC6797">
        <v>-18.2682</v>
      </c>
      <c r="AD6797">
        <v>-1.1116040199399999</v>
      </c>
      <c r="AE6797">
        <v>1.38320000000001</v>
      </c>
      <c r="AF6797">
        <v>-1.04912717927257</v>
      </c>
      <c r="AG6797">
        <v>-1.1116040199399999</v>
      </c>
      <c r="AH6797">
        <v>18.223116069644199</v>
      </c>
      <c r="AI6797">
        <v>93.484941909485698</v>
      </c>
      <c r="AJ6797">
        <v>93.294951313380807</v>
      </c>
      <c r="AK6797">
        <v>18.2871072240297</v>
      </c>
      <c r="AL6797">
        <v>88.529388172017306</v>
      </c>
      <c r="AM6797">
        <v>91.862473211505602</v>
      </c>
      <c r="AN6797">
        <v>0.99999998873535401</v>
      </c>
    </row>
    <row r="6798" spans="1:40" x14ac:dyDescent="0.25">
      <c r="A6798" t="str">
        <f>"20190312150825744"</f>
        <v>20190312150825744</v>
      </c>
      <c r="B6798" t="str">
        <f>"1552374505736932"</f>
        <v>1552374505736932</v>
      </c>
      <c r="C6798" t="s">
        <v>40</v>
      </c>
      <c r="D6798">
        <v>4.6168680000000002</v>
      </c>
      <c r="E6798">
        <v>0.49106100000000003</v>
      </c>
      <c r="F6798" t="s">
        <v>42</v>
      </c>
      <c r="G6798">
        <v>-244.14060000000001</v>
      </c>
      <c r="H6798" s="1">
        <v>-2.8933549999999999E-6</v>
      </c>
      <c r="I6798">
        <v>141.10980000000001</v>
      </c>
      <c r="J6798">
        <v>-225.7268</v>
      </c>
      <c r="K6798">
        <v>1.111588</v>
      </c>
      <c r="L6798">
        <v>139.73439999999999</v>
      </c>
      <c r="M6798">
        <v>-0.99139869999999997</v>
      </c>
      <c r="N6798">
        <v>0</v>
      </c>
      <c r="O6798">
        <v>0.13030230000000001</v>
      </c>
      <c r="P6798">
        <v>-0.99501879999999998</v>
      </c>
      <c r="Q6798">
        <v>1.280801E-2</v>
      </c>
      <c r="R6798">
        <v>9.8861980000000002E-2</v>
      </c>
      <c r="S6798">
        <v>-2.9952549999999998</v>
      </c>
      <c r="T6798">
        <v>-0.17930170000000001</v>
      </c>
      <c r="U6798">
        <v>0.22474669999999999</v>
      </c>
      <c r="V6798">
        <v>-3.1717660000000002E-2</v>
      </c>
      <c r="W6798">
        <v>2.495346E-2</v>
      </c>
      <c r="X6798">
        <v>0.99918530000000005</v>
      </c>
      <c r="Y6798">
        <v>-5.543203E-2</v>
      </c>
      <c r="Z6798">
        <v>-9.4120330000000002E-3</v>
      </c>
      <c r="AA6798">
        <v>0.99841809999999998</v>
      </c>
      <c r="AB6798">
        <v>17</v>
      </c>
      <c r="AC6798">
        <v>-18.413799999999998</v>
      </c>
      <c r="AD6798">
        <v>-1.1115908933550001</v>
      </c>
      <c r="AE6798">
        <v>1.3754000000000099</v>
      </c>
      <c r="AF6798">
        <v>-1.03212795555231</v>
      </c>
      <c r="AG6798">
        <v>-1.1115908933550001</v>
      </c>
      <c r="AH6798">
        <v>18.369446589662999</v>
      </c>
      <c r="AI6798">
        <v>93.457478466213303</v>
      </c>
      <c r="AJ6798">
        <v>93.215908636941293</v>
      </c>
      <c r="AK6798">
        <v>18.4319692502267</v>
      </c>
      <c r="AL6798">
        <v>88.570123603575496</v>
      </c>
      <c r="AM6798">
        <v>91.818159279703096</v>
      </c>
      <c r="AN6798">
        <v>0.99999997442896804</v>
      </c>
    </row>
    <row r="6799" spans="1:40" x14ac:dyDescent="0.25">
      <c r="A6799" t="str">
        <f>"20190312150825767"</f>
        <v>20190312150825767</v>
      </c>
      <c r="B6799" t="str">
        <f>"1552374505756451"</f>
        <v>1552374505756451</v>
      </c>
      <c r="C6799" t="s">
        <v>40</v>
      </c>
      <c r="D6799">
        <v>4.6259829999999997</v>
      </c>
      <c r="E6799">
        <v>0.4915583</v>
      </c>
      <c r="F6799" t="s">
        <v>42</v>
      </c>
      <c r="G6799">
        <v>-244.2518</v>
      </c>
      <c r="H6799" s="1">
        <v>-2.848658E-6</v>
      </c>
      <c r="I6799">
        <v>141.12100000000001</v>
      </c>
      <c r="J6799">
        <v>-225.89959999999999</v>
      </c>
      <c r="K6799">
        <v>1.111567</v>
      </c>
      <c r="L6799">
        <v>139.75389999999999</v>
      </c>
      <c r="M6799">
        <v>-0.99174050000000002</v>
      </c>
      <c r="N6799">
        <v>0</v>
      </c>
      <c r="O6799">
        <v>0.12768389999999999</v>
      </c>
      <c r="P6799">
        <v>-0.99525680000000005</v>
      </c>
      <c r="Q6799">
        <v>1.240218E-2</v>
      </c>
      <c r="R6799">
        <v>9.6490030000000004E-2</v>
      </c>
      <c r="S6799">
        <v>-2.9950559999999999</v>
      </c>
      <c r="T6799">
        <v>-0.17971899999999999</v>
      </c>
      <c r="U6799">
        <v>0.2241821</v>
      </c>
      <c r="V6799">
        <v>-3.1459330000000001E-2</v>
      </c>
      <c r="W6799">
        <v>2.445723E-2</v>
      </c>
      <c r="X6799">
        <v>0.99920580000000003</v>
      </c>
      <c r="Y6799">
        <v>-5.2984740000000002E-2</v>
      </c>
      <c r="Z6799">
        <v>-9.2059399999999993E-3</v>
      </c>
      <c r="AA6799">
        <v>0.99855289999999997</v>
      </c>
      <c r="AB6799">
        <v>17</v>
      </c>
      <c r="AC6799">
        <v>-18.3522</v>
      </c>
      <c r="AD6799">
        <v>-1.1115698486579999</v>
      </c>
      <c r="AE6799">
        <v>1.36710000000002</v>
      </c>
      <c r="AF6799">
        <v>-0.983955124983105</v>
      </c>
      <c r="AG6799">
        <v>-1.1115698486579999</v>
      </c>
      <c r="AH6799">
        <v>18.3097329993617</v>
      </c>
      <c r="AI6799">
        <v>93.4691255053324</v>
      </c>
      <c r="AJ6799">
        <v>93.076085233553201</v>
      </c>
      <c r="AK6799">
        <v>18.3698143083794</v>
      </c>
      <c r="AL6799">
        <v>88.598564259312397</v>
      </c>
      <c r="AM6799">
        <v>91.803323809345997</v>
      </c>
      <c r="AN6799">
        <v>1.0000000381484799</v>
      </c>
    </row>
    <row r="6800" spans="1:40" x14ac:dyDescent="0.25">
      <c r="A6800" t="str">
        <f>"20190312150825781"</f>
        <v>20190312150825781</v>
      </c>
      <c r="B6800" t="str">
        <f>"1552374505776947"</f>
        <v>1552374505776947</v>
      </c>
      <c r="C6800" t="s">
        <v>40</v>
      </c>
      <c r="D6800">
        <v>4.8031920000000001</v>
      </c>
      <c r="E6800">
        <v>0.49199490000000001</v>
      </c>
      <c r="F6800" t="s">
        <v>42</v>
      </c>
      <c r="G6800">
        <v>-244.49250000000001</v>
      </c>
      <c r="H6800" s="1">
        <v>-2.746773E-6</v>
      </c>
      <c r="I6800">
        <v>141.12620000000001</v>
      </c>
      <c r="J6800">
        <v>-226.00810000000001</v>
      </c>
      <c r="K6800">
        <v>1.1115469999999901</v>
      </c>
      <c r="L6800">
        <v>139.76599999999999</v>
      </c>
      <c r="M6800">
        <v>-0.99195060000000002</v>
      </c>
      <c r="N6800">
        <v>0</v>
      </c>
      <c r="O6800">
        <v>0.12604769999999901</v>
      </c>
      <c r="P6800">
        <v>-0.99537500000000001</v>
      </c>
      <c r="Q6800">
        <v>1.2575329999999999E-2</v>
      </c>
      <c r="R6800">
        <v>9.5240519999999995E-2</v>
      </c>
      <c r="S6800">
        <v>-2.9951020000000002</v>
      </c>
      <c r="T6800">
        <v>-0.17906079999999999</v>
      </c>
      <c r="U6800">
        <v>0.2210693</v>
      </c>
      <c r="V6800">
        <v>-3.106474E-2</v>
      </c>
      <c r="W6800">
        <v>2.456877E-2</v>
      </c>
      <c r="X6800">
        <v>0.99921539999999998</v>
      </c>
      <c r="Y6800">
        <v>-5.2376859999999997E-2</v>
      </c>
      <c r="Z6800">
        <v>-9.0577100000000001E-3</v>
      </c>
      <c r="AA6800">
        <v>0.99858630000000004</v>
      </c>
      <c r="AB6800">
        <v>17</v>
      </c>
      <c r="AC6800">
        <v>-18.484399999999901</v>
      </c>
      <c r="AD6800">
        <v>-1.11154974677299</v>
      </c>
      <c r="AE6800">
        <v>1.3602000000000201</v>
      </c>
      <c r="AF6800">
        <v>-0.97722173505091603</v>
      </c>
      <c r="AG6800">
        <v>-1.11154974677299</v>
      </c>
      <c r="AH6800">
        <v>18.442082510127801</v>
      </c>
      <c r="AI6800">
        <v>93.444364627225696</v>
      </c>
      <c r="AJ6800">
        <v>93.033191375243703</v>
      </c>
      <c r="AK6800">
        <v>18.501375961516199</v>
      </c>
      <c r="AL6800">
        <v>88.592171554582094</v>
      </c>
      <c r="AM6800">
        <v>91.780702527403804</v>
      </c>
      <c r="AN6800">
        <v>1.00000002906387</v>
      </c>
    </row>
    <row r="6801" spans="1:40" x14ac:dyDescent="0.25">
      <c r="A6801" t="str">
        <f>"20190312150825799"</f>
        <v>20190312150825799</v>
      </c>
      <c r="B6801" t="str">
        <f>"1552374505796467"</f>
        <v>1552374505796467</v>
      </c>
      <c r="C6801" t="s">
        <v>40</v>
      </c>
      <c r="D6801">
        <v>4.6584649999999996</v>
      </c>
      <c r="E6801">
        <v>0.49209940000000002</v>
      </c>
      <c r="F6801" t="s">
        <v>42</v>
      </c>
      <c r="G6801">
        <v>-244.95859999999999</v>
      </c>
      <c r="H6801" s="1">
        <v>-2.5568069999999998E-6</v>
      </c>
      <c r="I6801">
        <v>141.16370000000001</v>
      </c>
      <c r="J6801">
        <v>-226.14609999999999</v>
      </c>
      <c r="K6801">
        <v>1.1115139999999999</v>
      </c>
      <c r="L6801">
        <v>139.78100000000001</v>
      </c>
      <c r="M6801">
        <v>-0.99221139999999997</v>
      </c>
      <c r="N6801">
        <v>0</v>
      </c>
      <c r="O6801">
        <v>0.1239854</v>
      </c>
      <c r="P6801">
        <v>-0.99552450000000003</v>
      </c>
      <c r="Q6801">
        <v>1.266779E-2</v>
      </c>
      <c r="R6801">
        <v>9.3652040000000006E-2</v>
      </c>
      <c r="S6801">
        <v>-2.9950260000000002</v>
      </c>
      <c r="T6801">
        <v>-0.1756752</v>
      </c>
      <c r="U6801">
        <v>0.22091669999999999</v>
      </c>
      <c r="V6801">
        <v>-3.0581110000000002E-2</v>
      </c>
      <c r="W6801">
        <v>2.4580689999999999E-2</v>
      </c>
      <c r="X6801">
        <v>0.99922999999999995</v>
      </c>
      <c r="Y6801">
        <v>-5.0368169999999997E-2</v>
      </c>
      <c r="Z6801">
        <v>-8.7084950000000001E-3</v>
      </c>
      <c r="AA6801">
        <v>0.99869280000000005</v>
      </c>
      <c r="AB6801">
        <v>17</v>
      </c>
      <c r="AC6801">
        <v>-18.8125</v>
      </c>
      <c r="AD6801">
        <v>-1.11151655680699</v>
      </c>
      <c r="AE6801">
        <v>1.38269999999999</v>
      </c>
      <c r="AF6801">
        <v>-0.95729001848305295</v>
      </c>
      <c r="AG6801">
        <v>-1.11151655680699</v>
      </c>
      <c r="AH6801">
        <v>18.773584717526202</v>
      </c>
      <c r="AI6801">
        <v>93.383935756258097</v>
      </c>
      <c r="AJ6801">
        <v>92.919059681191001</v>
      </c>
      <c r="AK6801">
        <v>18.830808702275</v>
      </c>
      <c r="AL6801">
        <v>88.591488346934</v>
      </c>
      <c r="AM6801">
        <v>91.752971577189896</v>
      </c>
      <c r="AN6801">
        <v>1.00000000375485</v>
      </c>
    </row>
    <row r="6802" spans="1:40" x14ac:dyDescent="0.25">
      <c r="A6802" t="str">
        <f>"20190312150825814"</f>
        <v>20190312150825814</v>
      </c>
      <c r="B6802" t="str">
        <f>"1552374505807204"</f>
        <v>1552374505807204</v>
      </c>
      <c r="C6802" t="s">
        <v>40</v>
      </c>
      <c r="D6802">
        <v>4.6273759999999999</v>
      </c>
      <c r="E6802">
        <v>0.49238290000000001</v>
      </c>
      <c r="F6802" t="s">
        <v>42</v>
      </c>
      <c r="G6802">
        <v>-245.31299999999999</v>
      </c>
      <c r="H6802" s="1">
        <v>-2.4061740000000001E-6</v>
      </c>
      <c r="I6802">
        <v>141.16909999999999</v>
      </c>
      <c r="J6802">
        <v>-226.25489999999999</v>
      </c>
      <c r="K6802">
        <v>1.11148799999999</v>
      </c>
      <c r="L6802">
        <v>139.7927</v>
      </c>
      <c r="M6802">
        <v>-0.99241190000000001</v>
      </c>
      <c r="N6802">
        <v>0</v>
      </c>
      <c r="O6802">
        <v>0.12237679999999999</v>
      </c>
      <c r="P6802">
        <v>-0.99564929999999996</v>
      </c>
      <c r="Q6802">
        <v>1.2831459999999999E-2</v>
      </c>
      <c r="R6802">
        <v>9.2292180000000001E-2</v>
      </c>
      <c r="S6802">
        <v>-2.995285</v>
      </c>
      <c r="T6802">
        <v>-0.17370060000000001</v>
      </c>
      <c r="U6802">
        <v>0.2169189</v>
      </c>
      <c r="V6802">
        <v>-3.03247E-2</v>
      </c>
      <c r="W6802">
        <v>2.4675550000000001E-2</v>
      </c>
      <c r="X6802">
        <v>0.99923550000000005</v>
      </c>
      <c r="Y6802">
        <v>-5.0091030000000002E-2</v>
      </c>
      <c r="Z6802">
        <v>-8.5102249999999997E-3</v>
      </c>
      <c r="AA6802">
        <v>0.99870840000000005</v>
      </c>
      <c r="AB6802">
        <v>17</v>
      </c>
      <c r="AC6802">
        <v>-19.0581</v>
      </c>
      <c r="AD6802">
        <v>-1.1114904061740001</v>
      </c>
      <c r="AE6802">
        <v>1.3763999999999801</v>
      </c>
      <c r="AF6802">
        <v>-0.96312350052927398</v>
      </c>
      <c r="AG6802">
        <v>-1.1114904061740001</v>
      </c>
      <c r="AH6802">
        <v>19.018930262118101</v>
      </c>
      <c r="AI6802">
        <v>93.340363131252801</v>
      </c>
      <c r="AJ6802">
        <v>92.898996547706105</v>
      </c>
      <c r="AK6802">
        <v>19.075710369881399</v>
      </c>
      <c r="AL6802">
        <v>88.586051653589394</v>
      </c>
      <c r="AM6802">
        <v>91.738273126671601</v>
      </c>
      <c r="AN6802">
        <v>1.0000000273290699</v>
      </c>
    </row>
    <row r="6803" spans="1:40" x14ac:dyDescent="0.25">
      <c r="A6803" t="str">
        <f>"20190312150825835"</f>
        <v>20190312150825835</v>
      </c>
      <c r="B6803" t="str">
        <f>"1552374505826723"</f>
        <v>1552374505826723</v>
      </c>
      <c r="C6803" t="s">
        <v>40</v>
      </c>
      <c r="D6803">
        <v>4.7398189999999998</v>
      </c>
      <c r="E6803">
        <v>0.49264150000000001</v>
      </c>
      <c r="F6803" t="s">
        <v>42</v>
      </c>
      <c r="G6803">
        <v>-245.53530000000001</v>
      </c>
      <c r="H6803" s="1">
        <v>-2.3129330000000002E-6</v>
      </c>
      <c r="I6803">
        <v>141.17699999999999</v>
      </c>
      <c r="J6803">
        <v>-226.4178</v>
      </c>
      <c r="K6803">
        <v>1.111437</v>
      </c>
      <c r="L6803">
        <v>139.81</v>
      </c>
      <c r="M6803">
        <v>-0.99270329999999996</v>
      </c>
      <c r="N6803">
        <v>0</v>
      </c>
      <c r="O6803">
        <v>0.1200027</v>
      </c>
      <c r="P6803">
        <v>-0.99583160000000004</v>
      </c>
      <c r="Q6803">
        <v>1.240459E-2</v>
      </c>
      <c r="R6803">
        <v>9.0365699999999993E-2</v>
      </c>
      <c r="S6803">
        <v>-2.9953609999999999</v>
      </c>
      <c r="T6803">
        <v>-0.17267850000000001</v>
      </c>
      <c r="U6803">
        <v>0.2150726</v>
      </c>
      <c r="V6803">
        <v>-2.9865289999999999E-2</v>
      </c>
      <c r="W6803">
        <v>2.413831E-2</v>
      </c>
      <c r="X6803">
        <v>0.99926250000000005</v>
      </c>
      <c r="Y6803">
        <v>-4.8326229999999998E-2</v>
      </c>
      <c r="Z6803">
        <v>-8.2739679999999996E-3</v>
      </c>
      <c r="AA6803">
        <v>0.99879739999999995</v>
      </c>
      <c r="AB6803">
        <v>17</v>
      </c>
      <c r="AC6803">
        <v>-19.1175</v>
      </c>
      <c r="AD6803">
        <v>-1.111439312933</v>
      </c>
      <c r="AE6803">
        <v>1.36700000000001</v>
      </c>
      <c r="AF6803">
        <v>-0.93405060476093404</v>
      </c>
      <c r="AG6803">
        <v>-1.111439312933</v>
      </c>
      <c r="AH6803">
        <v>19.079225780089299</v>
      </c>
      <c r="AI6803">
        <v>93.329955643710093</v>
      </c>
      <c r="AJ6803">
        <v>92.802758565110494</v>
      </c>
      <c r="AK6803">
        <v>19.1343827767245</v>
      </c>
      <c r="AL6803">
        <v>88.616842467347197</v>
      </c>
      <c r="AM6803">
        <v>91.7119083783451</v>
      </c>
      <c r="AN6803">
        <v>1.00000006873134</v>
      </c>
    </row>
    <row r="6804" spans="1:40" x14ac:dyDescent="0.25">
      <c r="A6804" t="str">
        <f>"20190312150825857"</f>
        <v>20190312150825857</v>
      </c>
      <c r="B6804" t="str">
        <f>"1552374505847220"</f>
        <v>1552374505847220</v>
      </c>
      <c r="C6804" t="s">
        <v>40</v>
      </c>
      <c r="D6804">
        <v>4.5817839999999999</v>
      </c>
      <c r="E6804">
        <v>0.49294589999999999</v>
      </c>
      <c r="F6804" t="s">
        <v>42</v>
      </c>
      <c r="G6804">
        <v>-245.63130000000001</v>
      </c>
      <c r="H6804" s="1">
        <v>-2.2687739999999999E-6</v>
      </c>
      <c r="I6804">
        <v>141.16579999999999</v>
      </c>
      <c r="J6804">
        <v>-226.59190000000001</v>
      </c>
      <c r="K6804">
        <v>1.1113770000000001</v>
      </c>
      <c r="L6804">
        <v>139.828</v>
      </c>
      <c r="M6804">
        <v>-0.99300169999999999</v>
      </c>
      <c r="N6804">
        <v>0</v>
      </c>
      <c r="O6804">
        <v>0.1175201</v>
      </c>
      <c r="P6804">
        <v>-0.99601620000000002</v>
      </c>
      <c r="Q6804">
        <v>1.1943820000000001E-2</v>
      </c>
      <c r="R6804">
        <v>8.8369680000000006E-2</v>
      </c>
      <c r="S6804">
        <v>-2.995514</v>
      </c>
      <c r="T6804">
        <v>-0.17328099999999999</v>
      </c>
      <c r="U6804">
        <v>0.21139530000000001</v>
      </c>
      <c r="V6804">
        <v>-2.9365869999999999E-2</v>
      </c>
      <c r="W6804">
        <v>2.3549589999999999E-2</v>
      </c>
      <c r="X6804">
        <v>0.99929129999999999</v>
      </c>
      <c r="Y6804">
        <v>-4.705637E-2</v>
      </c>
      <c r="Z6804">
        <v>-8.1239380000000007E-3</v>
      </c>
      <c r="AA6804">
        <v>0.99885919999999895</v>
      </c>
      <c r="AB6804">
        <v>17</v>
      </c>
      <c r="AC6804">
        <v>-19.039400000000001</v>
      </c>
      <c r="AD6804">
        <v>-1.1113792687740001</v>
      </c>
      <c r="AE6804">
        <v>1.3377999999999799</v>
      </c>
      <c r="AF6804">
        <v>-0.90606451570595303</v>
      </c>
      <c r="AG6804">
        <v>-1.1113792687740001</v>
      </c>
      <c r="AH6804">
        <v>19.000254942794001</v>
      </c>
      <c r="AI6804">
        <v>93.343788546636006</v>
      </c>
      <c r="AJ6804">
        <v>92.730193626606095</v>
      </c>
      <c r="AK6804">
        <v>19.054285729904699</v>
      </c>
      <c r="AL6804">
        <v>88.6505831636495</v>
      </c>
      <c r="AM6804">
        <v>91.683249247355207</v>
      </c>
      <c r="AN6804">
        <v>1.00000001988285</v>
      </c>
    </row>
    <row r="6805" spans="1:40" x14ac:dyDescent="0.25">
      <c r="A6805" t="str">
        <f>"20190312150825878"</f>
        <v>20190312150825878</v>
      </c>
      <c r="B6805" t="str">
        <f>"1552374505866739"</f>
        <v>1552374505866739</v>
      </c>
      <c r="C6805" t="s">
        <v>40</v>
      </c>
      <c r="D6805">
        <v>4.5940690000000002</v>
      </c>
      <c r="E6805">
        <v>0.49321969999999998</v>
      </c>
      <c r="F6805" t="s">
        <v>42</v>
      </c>
      <c r="G6805">
        <v>-245.5419</v>
      </c>
      <c r="H6805" s="1">
        <v>-2.3008469999999999E-6</v>
      </c>
      <c r="I6805">
        <v>141.1422</v>
      </c>
      <c r="J6805">
        <v>-226.7534</v>
      </c>
      <c r="K6805">
        <v>1.111321</v>
      </c>
      <c r="L6805">
        <v>139.84440000000001</v>
      </c>
      <c r="M6805">
        <v>-0.99326689999999995</v>
      </c>
      <c r="N6805">
        <v>0</v>
      </c>
      <c r="O6805">
        <v>0.11526939999999999</v>
      </c>
      <c r="P6805">
        <v>-0.99617</v>
      </c>
      <c r="Q6805">
        <v>1.137633E-2</v>
      </c>
      <c r="R6805">
        <v>8.6695729999999999E-2</v>
      </c>
      <c r="S6805">
        <v>-2.9956670000000001</v>
      </c>
      <c r="T6805">
        <v>-0.17568979999999901</v>
      </c>
      <c r="U6805">
        <v>0.2077637</v>
      </c>
      <c r="V6805">
        <v>-2.877737E-2</v>
      </c>
      <c r="W6805">
        <v>2.2860740000000001E-2</v>
      </c>
      <c r="X6805">
        <v>0.9993244</v>
      </c>
      <c r="Y6805">
        <v>-4.5998989999999997E-2</v>
      </c>
      <c r="Z6805">
        <v>-8.0749810000000002E-3</v>
      </c>
      <c r="AA6805">
        <v>0.99890889999999999</v>
      </c>
      <c r="AB6805">
        <v>17</v>
      </c>
      <c r="AC6805">
        <v>-18.788499999999999</v>
      </c>
      <c r="AD6805">
        <v>-1.111323300847</v>
      </c>
      <c r="AE6805">
        <v>1.2977999999999901</v>
      </c>
      <c r="AF6805">
        <v>-0.87369380174096101</v>
      </c>
      <c r="AG6805">
        <v>-1.111323300847</v>
      </c>
      <c r="AH6805">
        <v>18.7475715461532</v>
      </c>
      <c r="AI6805">
        <v>93.388754566081801</v>
      </c>
      <c r="AJ6805">
        <v>92.668226888941106</v>
      </c>
      <c r="AK6805">
        <v>18.800793047537599</v>
      </c>
      <c r="AL6805">
        <v>88.690061970534302</v>
      </c>
      <c r="AM6805">
        <v>91.649480696517102</v>
      </c>
      <c r="AN6805">
        <v>1.00000000344641</v>
      </c>
    </row>
    <row r="6806" spans="1:40" x14ac:dyDescent="0.25">
      <c r="A6806" t="str">
        <f>"20190312150825900"</f>
        <v>20190312150825900</v>
      </c>
      <c r="B6806" t="str">
        <f>"1552374505896995"</f>
        <v>1552374505896995</v>
      </c>
      <c r="C6806" t="s">
        <v>40</v>
      </c>
      <c r="D6806">
        <v>4.547968</v>
      </c>
      <c r="E6806">
        <v>0.49368479999999998</v>
      </c>
      <c r="F6806" t="s">
        <v>42</v>
      </c>
      <c r="G6806">
        <v>-245.41839999999999</v>
      </c>
      <c r="H6806" s="1">
        <v>-2.348015E-6</v>
      </c>
      <c r="I6806">
        <v>141.12039999999999</v>
      </c>
      <c r="J6806">
        <v>-226.9187</v>
      </c>
      <c r="K6806">
        <v>1.1112709999999999</v>
      </c>
      <c r="L6806">
        <v>139.86089999999999</v>
      </c>
      <c r="M6806">
        <v>-0.99352700000000005</v>
      </c>
      <c r="N6806">
        <v>0</v>
      </c>
      <c r="O6806">
        <v>0.1130193</v>
      </c>
      <c r="P6806">
        <v>-0.99628910000000004</v>
      </c>
      <c r="Q6806">
        <v>1.107883E-2</v>
      </c>
      <c r="R6806">
        <v>8.5354890000000003E-2</v>
      </c>
      <c r="S6806">
        <v>-2.9957579999999999</v>
      </c>
      <c r="T6806">
        <v>-0.17836920000000001</v>
      </c>
      <c r="U6806">
        <v>0.2048035</v>
      </c>
      <c r="V6806">
        <v>-2.7856039999999999E-2</v>
      </c>
      <c r="W6806">
        <v>2.244123E-2</v>
      </c>
      <c r="X6806">
        <v>0.99936000000000003</v>
      </c>
      <c r="Y6806">
        <v>-4.471837E-2</v>
      </c>
      <c r="Z6806">
        <v>-8.0271950000000009E-3</v>
      </c>
      <c r="AA6806">
        <v>0.99896739999999995</v>
      </c>
      <c r="AB6806">
        <v>17</v>
      </c>
      <c r="AC6806">
        <v>-18.499699999999901</v>
      </c>
      <c r="AD6806">
        <v>-1.1112733480150001</v>
      </c>
      <c r="AE6806">
        <v>1.2595000000000001</v>
      </c>
      <c r="AF6806">
        <v>-0.83652619012889695</v>
      </c>
      <c r="AG6806">
        <v>-1.1112733480150001</v>
      </c>
      <c r="AH6806">
        <v>18.457216759978699</v>
      </c>
      <c r="AI6806">
        <v>93.441984017367702</v>
      </c>
      <c r="AJ6806">
        <v>92.595008960421097</v>
      </c>
      <c r="AK6806">
        <v>18.509553075253301</v>
      </c>
      <c r="AL6806">
        <v>88.714104272559297</v>
      </c>
      <c r="AM6806">
        <v>91.596642221797197</v>
      </c>
      <c r="AN6806">
        <v>0.99999998868419704</v>
      </c>
    </row>
    <row r="6807" spans="1:40" x14ac:dyDescent="0.25">
      <c r="A6807" t="str">
        <f>"20190312150825914"</f>
        <v>20190312150825914</v>
      </c>
      <c r="B6807" t="str">
        <f>"1552374505906756"</f>
        <v>1552374505906756</v>
      </c>
      <c r="C6807" t="s">
        <v>40</v>
      </c>
      <c r="D6807">
        <v>4.5484369999999998</v>
      </c>
      <c r="E6807">
        <v>0.4939037</v>
      </c>
      <c r="F6807" t="s">
        <v>42</v>
      </c>
      <c r="G6807">
        <v>-245.33240000000001</v>
      </c>
      <c r="H6807" s="1">
        <v>-2.3842239999999998E-6</v>
      </c>
      <c r="I6807">
        <v>141.11770000000001</v>
      </c>
      <c r="J6807">
        <v>-227.03469999999999</v>
      </c>
      <c r="K6807">
        <v>1.11124</v>
      </c>
      <c r="L6807">
        <v>139.87219999999999</v>
      </c>
      <c r="M6807">
        <v>-0.99370219999999998</v>
      </c>
      <c r="N6807">
        <v>0</v>
      </c>
      <c r="O6807">
        <v>0.1114774</v>
      </c>
      <c r="P6807">
        <v>-0.99638970000000004</v>
      </c>
      <c r="Q6807">
        <v>1.1268159999999999E-2</v>
      </c>
      <c r="R6807">
        <v>8.4147810000000003E-2</v>
      </c>
      <c r="S6807">
        <v>-2.9956670000000001</v>
      </c>
      <c r="T6807">
        <v>-0.18079020000000001</v>
      </c>
      <c r="U6807">
        <v>0.204483</v>
      </c>
      <c r="V6807">
        <v>-2.7514779999999999E-2</v>
      </c>
      <c r="W6807">
        <v>2.2545639999999999E-2</v>
      </c>
      <c r="X6807">
        <v>0.99936709999999995</v>
      </c>
      <c r="Y6807">
        <v>-4.3270070000000001E-2</v>
      </c>
      <c r="Z6807">
        <v>-8.0003739999999993E-3</v>
      </c>
      <c r="AA6807">
        <v>0.99903140000000001</v>
      </c>
      <c r="AB6807">
        <v>17</v>
      </c>
      <c r="AC6807">
        <v>-18.297699999999999</v>
      </c>
      <c r="AD6807">
        <v>-1.111242384224</v>
      </c>
      <c r="AE6807">
        <v>1.24550000000002</v>
      </c>
      <c r="AF6807">
        <v>-0.79924132908828305</v>
      </c>
      <c r="AG6807">
        <v>-1.111242384224</v>
      </c>
      <c r="AH6807">
        <v>18.255468326629799</v>
      </c>
      <c r="AI6807">
        <v>93.480070990481096</v>
      </c>
      <c r="AJ6807">
        <v>92.506861475387893</v>
      </c>
      <c r="AK6807">
        <v>18.3067138002211</v>
      </c>
      <c r="AL6807">
        <v>88.708120501159101</v>
      </c>
      <c r="AM6807">
        <v>91.577080747837201</v>
      </c>
      <c r="AN6807">
        <v>0.99999998478193297</v>
      </c>
    </row>
    <row r="6808" spans="1:40" x14ac:dyDescent="0.25">
      <c r="A6808" t="str">
        <f>"20190312150825929"</f>
        <v>20190312150825929</v>
      </c>
      <c r="B6808" t="str">
        <f>"1552374505916516"</f>
        <v>1552374505916516</v>
      </c>
      <c r="C6808" t="s">
        <v>40</v>
      </c>
      <c r="D6808">
        <v>4.5140200000000004</v>
      </c>
      <c r="E6808">
        <v>0.4941219</v>
      </c>
      <c r="F6808" t="s">
        <v>42</v>
      </c>
      <c r="G6808">
        <v>-245.47139999999999</v>
      </c>
      <c r="H6808" s="1">
        <v>-2.3248109999999998E-6</v>
      </c>
      <c r="I6808">
        <v>141.11859999999999</v>
      </c>
      <c r="J6808">
        <v>-227.1403</v>
      </c>
      <c r="K6808">
        <v>1.1112120000000001</v>
      </c>
      <c r="L6808">
        <v>139.88249999999999</v>
      </c>
      <c r="M6808">
        <v>-0.99385710000000005</v>
      </c>
      <c r="N6808">
        <v>0</v>
      </c>
      <c r="O6808">
        <v>0.1100946</v>
      </c>
      <c r="P6808">
        <v>-0.99645289999999997</v>
      </c>
      <c r="Q6808">
        <v>1.108605E-2</v>
      </c>
      <c r="R6808">
        <v>8.3419220000000002E-2</v>
      </c>
      <c r="S6808">
        <v>-2.9957889999999998</v>
      </c>
      <c r="T6808">
        <v>-0.18056659999999999</v>
      </c>
      <c r="U6808">
        <v>0.20252990000000001</v>
      </c>
      <c r="V6808">
        <v>-2.6853499999999999E-2</v>
      </c>
      <c r="W6808">
        <v>2.2288209999999999E-2</v>
      </c>
      <c r="X6808">
        <v>0.99939089999999997</v>
      </c>
      <c r="Y6808">
        <v>-4.2535410000000003E-2</v>
      </c>
      <c r="Z6808">
        <v>-7.8856699999999991E-3</v>
      </c>
      <c r="AA6808">
        <v>0.99906379999999995</v>
      </c>
      <c r="AB6808">
        <v>17</v>
      </c>
      <c r="AC6808">
        <v>-18.3310999999999</v>
      </c>
      <c r="AD6808">
        <v>-1.111214324811</v>
      </c>
      <c r="AE6808">
        <v>1.23609999999999</v>
      </c>
      <c r="AF6808">
        <v>-0.78682038487518002</v>
      </c>
      <c r="AG6808">
        <v>-1.111214324811</v>
      </c>
      <c r="AH6808">
        <v>18.288848366383199</v>
      </c>
      <c r="AI6808">
        <v>93.473761323513401</v>
      </c>
      <c r="AJ6808">
        <v>92.463452249355399</v>
      </c>
      <c r="AK6808">
        <v>18.339461774061899</v>
      </c>
      <c r="AL6808">
        <v>88.722873909999294</v>
      </c>
      <c r="AM6808">
        <v>91.539159594996605</v>
      </c>
      <c r="AN6808">
        <v>1.0000000228850301</v>
      </c>
    </row>
    <row r="6809" spans="1:40" x14ac:dyDescent="0.25">
      <c r="A6809" t="str">
        <f>"20190312150825957"</f>
        <v>20190312150825957</v>
      </c>
      <c r="B6809" t="str">
        <f>"1552374505946771"</f>
        <v>1552374505946771</v>
      </c>
      <c r="C6809" t="s">
        <v>40</v>
      </c>
      <c r="D6809">
        <v>4.5371870000000003</v>
      </c>
      <c r="E6809">
        <v>0.50422020000000001</v>
      </c>
      <c r="F6809" t="s">
        <v>42</v>
      </c>
      <c r="G6809">
        <v>-245.5127</v>
      </c>
      <c r="H6809" s="1">
        <v>-2.3080530000000002E-6</v>
      </c>
      <c r="I6809">
        <v>141.12209999999999</v>
      </c>
      <c r="J6809">
        <v>-227.3612</v>
      </c>
      <c r="K6809">
        <v>1.1111719999999901</v>
      </c>
      <c r="L6809">
        <v>139.90350000000001</v>
      </c>
      <c r="M6809">
        <v>-0.99416749999999998</v>
      </c>
      <c r="N6809">
        <v>0</v>
      </c>
      <c r="O6809">
        <v>0.1072732</v>
      </c>
      <c r="P6809">
        <v>-0.9965948</v>
      </c>
      <c r="Q6809">
        <v>1.1723819999999999E-2</v>
      </c>
      <c r="R6809">
        <v>8.1615859999999998E-2</v>
      </c>
      <c r="S6809">
        <v>-2.9957579999999999</v>
      </c>
      <c r="T6809">
        <v>-0.1811922</v>
      </c>
      <c r="U6809">
        <v>0.20214840000000001</v>
      </c>
      <c r="V6809">
        <v>-2.5823860000000001E-2</v>
      </c>
      <c r="W6809">
        <v>2.2769689999999999E-2</v>
      </c>
      <c r="X6809">
        <v>0.99940720000000005</v>
      </c>
      <c r="Y6809">
        <v>-3.9833250000000001E-2</v>
      </c>
      <c r="Z6809">
        <v>-7.66226699999999E-3</v>
      </c>
      <c r="AA6809">
        <v>0.99917699999999998</v>
      </c>
      <c r="AB6809">
        <v>18</v>
      </c>
      <c r="AC6809">
        <v>-18.151499999999999</v>
      </c>
      <c r="AD6809">
        <v>-1.1111743080530001</v>
      </c>
      <c r="AE6809">
        <v>1.2185999999999799</v>
      </c>
      <c r="AF6809">
        <v>-0.73298785278561696</v>
      </c>
      <c r="AG6809">
        <v>-1.1111743080530001</v>
      </c>
      <c r="AH6809">
        <v>18.109914432848999</v>
      </c>
      <c r="AI6809">
        <v>93.508243819093195</v>
      </c>
      <c r="AJ6809">
        <v>92.317747009380994</v>
      </c>
      <c r="AK6809">
        <v>18.1587714424826</v>
      </c>
      <c r="AL6809">
        <v>88.695280158495194</v>
      </c>
      <c r="AM6809">
        <v>91.480146460374897</v>
      </c>
      <c r="AN6809">
        <v>1.0000000409699099</v>
      </c>
    </row>
    <row r="6810" spans="1:40" x14ac:dyDescent="0.25">
      <c r="A6810" t="str">
        <f>"20190312150825978"</f>
        <v>20190312150825978</v>
      </c>
      <c r="B6810" t="str">
        <f>"1552374505966295"</f>
        <v>1552374505966295</v>
      </c>
      <c r="C6810" t="s">
        <v>40</v>
      </c>
      <c r="D6810">
        <v>4.5602739999999997</v>
      </c>
      <c r="E6810">
        <v>0.50220799999999999</v>
      </c>
      <c r="F6810" t="s">
        <v>42</v>
      </c>
      <c r="G6810">
        <v>-243.85470000000001</v>
      </c>
      <c r="H6810" s="1">
        <v>-3.1013159999999999E-6</v>
      </c>
      <c r="I6810">
        <v>141.43039999999999</v>
      </c>
      <c r="J6810">
        <v>-227.52719999999999</v>
      </c>
      <c r="K6810">
        <v>1.111145</v>
      </c>
      <c r="L6810">
        <v>139.91890000000001</v>
      </c>
      <c r="M6810">
        <v>-0.99439040000000001</v>
      </c>
      <c r="N6810">
        <v>0</v>
      </c>
      <c r="O6810">
        <v>0.10520019999999999</v>
      </c>
      <c r="P6810">
        <v>-0.99673270000000003</v>
      </c>
      <c r="Q6810">
        <v>1.1674779999999999E-2</v>
      </c>
      <c r="R6810">
        <v>7.9924919999999997E-2</v>
      </c>
      <c r="S6810">
        <v>-2.9899290000000001</v>
      </c>
      <c r="T6810">
        <v>-0.2014329</v>
      </c>
      <c r="U6810">
        <v>0.27680969999999999</v>
      </c>
      <c r="V6810">
        <v>-2.5434129999999999E-2</v>
      </c>
      <c r="W6810">
        <v>2.260523E-2</v>
      </c>
      <c r="X6810">
        <v>0.99942089999999995</v>
      </c>
      <c r="Y6810">
        <v>-1.281975E-2</v>
      </c>
      <c r="Z6810">
        <v>-7.4767740000000003E-3</v>
      </c>
      <c r="AA6810">
        <v>0.9998899</v>
      </c>
      <c r="AB6810">
        <v>18</v>
      </c>
      <c r="AC6810">
        <v>-16.327500000000001</v>
      </c>
      <c r="AD6810">
        <v>-1.1111481013160001</v>
      </c>
      <c r="AE6810">
        <v>1.5114999999999801</v>
      </c>
      <c r="AF6810">
        <v>-0.213666973863819</v>
      </c>
      <c r="AG6810">
        <v>-1.1111481013160001</v>
      </c>
      <c r="AH6810">
        <v>16.3209631941277</v>
      </c>
      <c r="AI6810">
        <v>93.894413405062295</v>
      </c>
      <c r="AJ6810">
        <v>90.750048655576904</v>
      </c>
      <c r="AK6810">
        <v>16.360138852187301</v>
      </c>
      <c r="AL6810">
        <v>88.704705412276695</v>
      </c>
      <c r="AM6810">
        <v>91.457798040184599</v>
      </c>
      <c r="AN6810">
        <v>1.0000000133745</v>
      </c>
    </row>
    <row r="6811" spans="1:40" x14ac:dyDescent="0.25">
      <c r="A6811" t="str">
        <f>"20190312150826001"</f>
        <v>20190312150826001</v>
      </c>
      <c r="B6811" t="str">
        <f>"1552374505996548"</f>
        <v>1552374505996548</v>
      </c>
      <c r="C6811" t="s">
        <v>40</v>
      </c>
      <c r="D6811">
        <v>4.8973519999999997</v>
      </c>
      <c r="E6811">
        <v>0.5026986</v>
      </c>
      <c r="F6811" t="s">
        <v>42</v>
      </c>
      <c r="G6811">
        <v>-243.18029999999999</v>
      </c>
      <c r="H6811" s="1">
        <v>-3.3444320000000002E-6</v>
      </c>
      <c r="I6811">
        <v>141.25659999999999</v>
      </c>
      <c r="J6811">
        <v>-227.70060000000001</v>
      </c>
      <c r="K6811">
        <v>1.111132</v>
      </c>
      <c r="L6811">
        <v>139.93469999999999</v>
      </c>
      <c r="M6811">
        <v>-0.99461500000000003</v>
      </c>
      <c r="N6811">
        <v>0</v>
      </c>
      <c r="O6811">
        <v>0.103067699999999</v>
      </c>
      <c r="P6811">
        <v>-0.99687230000000004</v>
      </c>
      <c r="Q6811">
        <v>1.2729300000000001E-2</v>
      </c>
      <c r="R6811">
        <v>7.7999819999999997E-2</v>
      </c>
      <c r="S6811">
        <v>-2.9918209999999998</v>
      </c>
      <c r="T6811">
        <v>-0.21237829999999999</v>
      </c>
      <c r="U6811">
        <v>0.25569150000000002</v>
      </c>
      <c r="V6811">
        <v>-2.5221520000000001E-2</v>
      </c>
      <c r="W6811">
        <v>2.3540060000000002E-2</v>
      </c>
      <c r="X6811">
        <v>0.99940469999999904</v>
      </c>
      <c r="Y6811">
        <v>-1.769952E-2</v>
      </c>
      <c r="Z6811">
        <v>-7.9029319999999997E-3</v>
      </c>
      <c r="AA6811">
        <v>0.99981209999999998</v>
      </c>
      <c r="AB6811">
        <v>18</v>
      </c>
      <c r="AC6811">
        <v>-15.4796999999999</v>
      </c>
      <c r="AD6811">
        <v>-1.111135344432</v>
      </c>
      <c r="AE6811">
        <v>1.3218999999999901</v>
      </c>
      <c r="AF6811">
        <v>-0.27926361714313602</v>
      </c>
      <c r="AG6811">
        <v>-1.111135344432</v>
      </c>
      <c r="AH6811">
        <v>15.454452990600799</v>
      </c>
      <c r="AI6811">
        <v>94.111673811858793</v>
      </c>
      <c r="AJ6811">
        <v>91.035228191497495</v>
      </c>
      <c r="AK6811">
        <v>15.4968618487807</v>
      </c>
      <c r="AL6811">
        <v>88.651129326365506</v>
      </c>
      <c r="AM6811">
        <v>91.445640572151504</v>
      </c>
      <c r="AN6811">
        <v>1.000000006939</v>
      </c>
    </row>
    <row r="6812" spans="1:40" x14ac:dyDescent="0.25">
      <c r="A6812" t="str">
        <f>"20190312150826024"</f>
        <v>20190312150826024</v>
      </c>
      <c r="B6812" t="str">
        <f>"1552374506017044"</f>
        <v>1552374506017044</v>
      </c>
      <c r="C6812" t="s">
        <v>40</v>
      </c>
      <c r="D6812">
        <v>4.6977399999999996</v>
      </c>
      <c r="E6812">
        <v>0.50310109999999997</v>
      </c>
      <c r="F6812" t="s">
        <v>42</v>
      </c>
      <c r="G6812">
        <v>-246.41059999999999</v>
      </c>
      <c r="H6812" s="1">
        <v>-2.0292380000000002E-6</v>
      </c>
      <c r="I6812">
        <v>141.52189999999999</v>
      </c>
      <c r="J6812">
        <v>-227.88589999999999</v>
      </c>
      <c r="K6812">
        <v>1.111119</v>
      </c>
      <c r="L6812">
        <v>139.9512</v>
      </c>
      <c r="M6812">
        <v>-0.99484720000000004</v>
      </c>
      <c r="N6812">
        <v>0</v>
      </c>
      <c r="O6812">
        <v>0.100815</v>
      </c>
      <c r="P6812">
        <v>-0.99697570000000002</v>
      </c>
      <c r="Q6812">
        <v>1.383537E-2</v>
      </c>
      <c r="R6812">
        <v>7.6474849999999997E-2</v>
      </c>
      <c r="S6812">
        <v>-2.9918209999999998</v>
      </c>
      <c r="T6812">
        <v>-0.17767649999999999</v>
      </c>
      <c r="U6812">
        <v>0.2538147</v>
      </c>
      <c r="V6812">
        <v>-2.4487519999999999E-2</v>
      </c>
      <c r="W6812">
        <v>2.4520150000000001E-2</v>
      </c>
      <c r="X6812">
        <v>0.99939940000000005</v>
      </c>
      <c r="Y6812">
        <v>-1.6154439999999999E-2</v>
      </c>
      <c r="Z6812">
        <v>-6.4359409999999997E-3</v>
      </c>
      <c r="AA6812">
        <v>0.99984879999999998</v>
      </c>
      <c r="AB6812">
        <v>18</v>
      </c>
      <c r="AC6812">
        <v>-18.524699999999999</v>
      </c>
      <c r="AD6812">
        <v>-1.111121029238</v>
      </c>
      <c r="AE6812">
        <v>1.57069999999998</v>
      </c>
      <c r="AF6812">
        <v>-0.30389322767612997</v>
      </c>
      <c r="AG6812">
        <v>-1.111121029238</v>
      </c>
      <c r="AH6812">
        <v>18.522506436063701</v>
      </c>
      <c r="AI6812">
        <v>93.432462596618606</v>
      </c>
      <c r="AJ6812">
        <v>90.939950399208499</v>
      </c>
      <c r="AK6812">
        <v>18.558291562249501</v>
      </c>
      <c r="AL6812">
        <v>88.594958100015305</v>
      </c>
      <c r="AM6812">
        <v>91.403593871845104</v>
      </c>
      <c r="AN6812">
        <v>1.00000001855606</v>
      </c>
    </row>
    <row r="6813" spans="1:40" x14ac:dyDescent="0.25">
      <c r="A6813" t="str">
        <f>"20190312150826047"</f>
        <v>20190312150826047</v>
      </c>
      <c r="B6813" t="str">
        <f>"1552374506036563"</f>
        <v>1552374506036563</v>
      </c>
      <c r="C6813" t="s">
        <v>40</v>
      </c>
      <c r="D6813">
        <v>4.7050640000000001</v>
      </c>
      <c r="E6813">
        <v>0.50213030000000003</v>
      </c>
      <c r="F6813" t="s">
        <v>42</v>
      </c>
      <c r="G6813">
        <v>-247.83539999999999</v>
      </c>
      <c r="H6813" s="1">
        <v>-1.447811E-6</v>
      </c>
      <c r="I6813">
        <v>141.63399999999999</v>
      </c>
      <c r="J6813">
        <v>-228.0625</v>
      </c>
      <c r="K6813">
        <v>1.1111089999999999</v>
      </c>
      <c r="L6813">
        <v>139.9666</v>
      </c>
      <c r="M6813">
        <v>-0.99506229999999996</v>
      </c>
      <c r="N6813">
        <v>0</v>
      </c>
      <c r="O6813">
        <v>9.8682629999999993E-2</v>
      </c>
      <c r="P6813">
        <v>-0.99709950000000003</v>
      </c>
      <c r="Q6813">
        <v>1.442888E-2</v>
      </c>
      <c r="R6813">
        <v>7.4730119999999997E-2</v>
      </c>
      <c r="S6813">
        <v>-2.9920650000000002</v>
      </c>
      <c r="T6813">
        <v>-0.16664799999999999</v>
      </c>
      <c r="U6813">
        <v>0.2523956</v>
      </c>
      <c r="V6813">
        <v>-2.4094560000000001E-2</v>
      </c>
      <c r="W6813">
        <v>2.4985400000000001E-2</v>
      </c>
      <c r="X6813">
        <v>0.99939739999999999</v>
      </c>
      <c r="Y6813">
        <v>-1.451933E-2</v>
      </c>
      <c r="Z6813">
        <v>-5.8735519999999998E-3</v>
      </c>
      <c r="AA6813">
        <v>0.99987729999999997</v>
      </c>
      <c r="AB6813">
        <v>18</v>
      </c>
      <c r="AC6813">
        <v>-19.7729</v>
      </c>
      <c r="AD6813">
        <v>-1.1111104478110001</v>
      </c>
      <c r="AE6813">
        <v>1.66739999999998</v>
      </c>
      <c r="AF6813">
        <v>-0.29117839610931001</v>
      </c>
      <c r="AG6813">
        <v>-1.1111104478110001</v>
      </c>
      <c r="AH6813">
        <v>19.778914120044</v>
      </c>
      <c r="AI6813">
        <v>93.2149500934906</v>
      </c>
      <c r="AJ6813">
        <v>90.8434279049292</v>
      </c>
      <c r="AK6813">
        <v>19.8122385169792</v>
      </c>
      <c r="AL6813">
        <v>88.5682930287077</v>
      </c>
      <c r="AM6813">
        <v>91.3810814559221</v>
      </c>
      <c r="AN6813">
        <v>0.99999999058075595</v>
      </c>
    </row>
    <row r="6814" spans="1:40" x14ac:dyDescent="0.25">
      <c r="A6814" t="str">
        <f>"20190312150826068"</f>
        <v>20190312150826068</v>
      </c>
      <c r="B6814" t="str">
        <f>"1552374506057059"</f>
        <v>1552374506057059</v>
      </c>
      <c r="C6814" t="s">
        <v>40</v>
      </c>
      <c r="D6814">
        <v>4.5152429999999999</v>
      </c>
      <c r="E6814">
        <v>0.47870620000000003</v>
      </c>
      <c r="F6814" t="s">
        <v>42</v>
      </c>
      <c r="G6814">
        <v>-248.22730000000001</v>
      </c>
      <c r="H6814" s="1">
        <v>-1.2648689999999999E-6</v>
      </c>
      <c r="I6814">
        <v>141.57830000000001</v>
      </c>
      <c r="J6814">
        <v>-228.22989999999999</v>
      </c>
      <c r="K6814">
        <v>1.1111009999999999</v>
      </c>
      <c r="L6814">
        <v>139.98079999999999</v>
      </c>
      <c r="M6814">
        <v>-0.99526159999999997</v>
      </c>
      <c r="N6814">
        <v>0</v>
      </c>
      <c r="O6814">
        <v>9.6666489999999994E-2</v>
      </c>
      <c r="P6814">
        <v>-0.9972029</v>
      </c>
      <c r="Q6814">
        <v>1.4900729999999999E-2</v>
      </c>
      <c r="R6814">
        <v>7.3243900000000001E-2</v>
      </c>
      <c r="S6814">
        <v>-2.993179</v>
      </c>
      <c r="T6814">
        <v>-0.1649291</v>
      </c>
      <c r="U6814">
        <v>0.2392426</v>
      </c>
      <c r="V6814">
        <v>-2.3559670000000001E-2</v>
      </c>
      <c r="W6814">
        <v>2.5329089999999999E-2</v>
      </c>
      <c r="X6814">
        <v>0.99940150000000005</v>
      </c>
      <c r="Y6814">
        <v>-1.68919999999999E-2</v>
      </c>
      <c r="Z6814">
        <v>-5.7672269999999998E-3</v>
      </c>
      <c r="AA6814">
        <v>0.99984070000000003</v>
      </c>
      <c r="AB6814">
        <v>18</v>
      </c>
      <c r="AC6814">
        <v>-19.997399999999999</v>
      </c>
      <c r="AD6814">
        <v>-1.1111022648690001</v>
      </c>
      <c r="AE6814">
        <v>1.5975000000000199</v>
      </c>
      <c r="AF6814">
        <v>-0.34211744667317801</v>
      </c>
      <c r="AG6814">
        <v>-1.1111022648690001</v>
      </c>
      <c r="AH6814">
        <v>19.996829428033202</v>
      </c>
      <c r="AI6814">
        <v>93.179843603575506</v>
      </c>
      <c r="AJ6814">
        <v>90.980154063118405</v>
      </c>
      <c r="AK6814">
        <v>20.030596091084501</v>
      </c>
      <c r="AL6814">
        <v>88.548594806073297</v>
      </c>
      <c r="AM6814">
        <v>91.350427920945407</v>
      </c>
      <c r="AN6814">
        <v>0.99999998952649305</v>
      </c>
    </row>
    <row r="6815" spans="1:40" x14ac:dyDescent="0.25">
      <c r="A6815" t="str">
        <f>"20190312150826091"</f>
        <v>20190312150826091</v>
      </c>
      <c r="B6815" t="str">
        <f>"1552374506086340"</f>
        <v>1552374506086340</v>
      </c>
      <c r="C6815" t="s">
        <v>40</v>
      </c>
      <c r="D6815">
        <v>4.7413530000000002</v>
      </c>
      <c r="E6815">
        <v>0.47823199999999999</v>
      </c>
      <c r="F6815" t="s">
        <v>42</v>
      </c>
      <c r="G6815">
        <v>-247.7047</v>
      </c>
      <c r="H6815" s="1">
        <v>-1.1470650000000001E-6</v>
      </c>
      <c r="I6815">
        <v>140.29300000000001</v>
      </c>
      <c r="J6815">
        <v>-228.40940000000001</v>
      </c>
      <c r="K6815">
        <v>1.1110930000000001</v>
      </c>
      <c r="L6815">
        <v>139.9957</v>
      </c>
      <c r="M6815">
        <v>-0.99547090000000005</v>
      </c>
      <c r="N6815">
        <v>0</v>
      </c>
      <c r="O6815">
        <v>9.4502299999999997E-2</v>
      </c>
      <c r="P6815">
        <v>-0.9972934</v>
      </c>
      <c r="Q6815">
        <v>1.4803429999999999E-2</v>
      </c>
      <c r="R6815">
        <v>7.2022970000000006E-2</v>
      </c>
      <c r="S6815">
        <v>-3.0074459999999998</v>
      </c>
      <c r="T6815">
        <v>-0.17158470000000001</v>
      </c>
      <c r="U6815">
        <v>4.821777E-2</v>
      </c>
      <c r="V6815">
        <v>-2.2610499999999999E-2</v>
      </c>
      <c r="W6815">
        <v>2.5095989999999999E-2</v>
      </c>
      <c r="X6815">
        <v>0.99942929999999996</v>
      </c>
      <c r="Y6815">
        <v>-7.82558E-2</v>
      </c>
      <c r="Z6815">
        <v>-7.6105849999999996E-3</v>
      </c>
      <c r="AA6815">
        <v>0.99690429999999997</v>
      </c>
      <c r="AB6815">
        <v>18</v>
      </c>
      <c r="AC6815">
        <v>-19.295300000000001</v>
      </c>
      <c r="AD6815">
        <v>-1.111094147065</v>
      </c>
      <c r="AE6815">
        <v>0.297300000000007</v>
      </c>
      <c r="AF6815">
        <v>-1.5225311297455599</v>
      </c>
      <c r="AG6815">
        <v>-1.111094147065</v>
      </c>
      <c r="AH6815">
        <v>19.173472602253899</v>
      </c>
      <c r="AI6815">
        <v>93.306171347902193</v>
      </c>
      <c r="AJ6815">
        <v>94.540228207703194</v>
      </c>
      <c r="AK6815">
        <v>19.265894292092099</v>
      </c>
      <c r="AL6815">
        <v>88.561954692237805</v>
      </c>
      <c r="AM6815">
        <v>91.296004902486999</v>
      </c>
      <c r="AN6815">
        <v>0.99999998456140904</v>
      </c>
    </row>
    <row r="6816" spans="1:40" x14ac:dyDescent="0.25">
      <c r="A6816" t="str">
        <f>"20190312150826113"</f>
        <v>20190312150826113</v>
      </c>
      <c r="B6816" t="str">
        <f>"1552374506106836"</f>
        <v>1552374506106836</v>
      </c>
      <c r="C6816" t="s">
        <v>40</v>
      </c>
      <c r="D6816">
        <v>4.7844870000000004</v>
      </c>
      <c r="E6816">
        <v>0.47822439999999999</v>
      </c>
      <c r="F6816" t="s">
        <v>42</v>
      </c>
      <c r="G6816">
        <v>-247.24529999999999</v>
      </c>
      <c r="H6816" s="1">
        <v>-1.3324200000000001E-6</v>
      </c>
      <c r="I6816">
        <v>140.24889999999999</v>
      </c>
      <c r="J6816">
        <v>-228.58609999999999</v>
      </c>
      <c r="K6816">
        <v>1.1110910000000001</v>
      </c>
      <c r="L6816">
        <v>140.00989999999999</v>
      </c>
      <c r="M6816">
        <v>-0.99567249999999996</v>
      </c>
      <c r="N6816">
        <v>0</v>
      </c>
      <c r="O6816">
        <v>9.2368839999999994E-2</v>
      </c>
      <c r="P6816">
        <v>-0.99735050000000003</v>
      </c>
      <c r="Q6816">
        <v>1.487953E-2</v>
      </c>
      <c r="R6816">
        <v>7.1209800000000004E-2</v>
      </c>
      <c r="S6816">
        <v>-3.0078740000000002</v>
      </c>
      <c r="T6816">
        <v>-0.17742869999999999</v>
      </c>
      <c r="U6816">
        <v>4.0451050000000002E-2</v>
      </c>
      <c r="V6816">
        <v>-2.1283750000000001E-2</v>
      </c>
      <c r="W6816">
        <v>2.5042129999999999E-2</v>
      </c>
      <c r="X6816">
        <v>0.99945980000000001</v>
      </c>
      <c r="Y6816">
        <v>-7.8678789999999998E-2</v>
      </c>
      <c r="Z6816">
        <v>-7.7557240000000003E-3</v>
      </c>
      <c r="AA6816">
        <v>0.99686989999999998</v>
      </c>
      <c r="AB6816">
        <v>18</v>
      </c>
      <c r="AC6816">
        <v>-18.659199999999998</v>
      </c>
      <c r="AD6816">
        <v>-1.1110923324199999</v>
      </c>
      <c r="AE6816">
        <v>0.23900000000000399</v>
      </c>
      <c r="AF6816">
        <v>-1.48039207433459</v>
      </c>
      <c r="AG6816">
        <v>-1.1110923324199999</v>
      </c>
      <c r="AH6816">
        <v>18.535784871652901</v>
      </c>
      <c r="AI6816">
        <v>93.419518959552207</v>
      </c>
      <c r="AJ6816">
        <v>94.566332543117895</v>
      </c>
      <c r="AK6816">
        <v>18.627973794084799</v>
      </c>
      <c r="AL6816">
        <v>88.565041633921098</v>
      </c>
      <c r="AM6816">
        <v>91.219943772854407</v>
      </c>
      <c r="AN6816">
        <v>0.99999999905251902</v>
      </c>
    </row>
    <row r="6817" spans="1:40" x14ac:dyDescent="0.25">
      <c r="A6817" t="str">
        <f>"20190312150826136"</f>
        <v>20190312150826136</v>
      </c>
      <c r="B6817" t="str">
        <f>"1552374506126356"</f>
        <v>1552374506126356</v>
      </c>
      <c r="C6817" t="s">
        <v>40</v>
      </c>
      <c r="D6817">
        <v>4.6193070000000001</v>
      </c>
      <c r="E6817">
        <v>0.47832140000000001</v>
      </c>
      <c r="F6817" t="s">
        <v>42</v>
      </c>
      <c r="G6817">
        <v>-247.27529999999999</v>
      </c>
      <c r="H6817" s="1">
        <v>-1.318232E-6</v>
      </c>
      <c r="I6817">
        <v>140.2441</v>
      </c>
      <c r="J6817">
        <v>-228.76849999999999</v>
      </c>
      <c r="K6817">
        <v>1.1110880000000001</v>
      </c>
      <c r="L6817">
        <v>140.02430000000001</v>
      </c>
      <c r="M6817">
        <v>-0.99587610000000004</v>
      </c>
      <c r="N6817">
        <v>0</v>
      </c>
      <c r="O6817">
        <v>9.0163259999999995E-2</v>
      </c>
      <c r="P6817">
        <v>-0.99740709999999999</v>
      </c>
      <c r="Q6817">
        <v>1.498962E-2</v>
      </c>
      <c r="R6817">
        <v>7.0391350000000005E-2</v>
      </c>
      <c r="S6817">
        <v>-3.0079799999999999</v>
      </c>
      <c r="T6817">
        <v>-0.17882729999999999</v>
      </c>
      <c r="U6817">
        <v>3.7689210000000001E-2</v>
      </c>
      <c r="V6817">
        <v>-1.989022E-2</v>
      </c>
      <c r="W6817">
        <v>2.5021149999999999E-2</v>
      </c>
      <c r="X6817">
        <v>0.99948899999999996</v>
      </c>
      <c r="Y6817">
        <v>-7.7387650000000002E-2</v>
      </c>
      <c r="Z6817">
        <v>-7.647666E-3</v>
      </c>
      <c r="AA6817">
        <v>0.99697170000000002</v>
      </c>
      <c r="AB6817">
        <v>18</v>
      </c>
      <c r="AC6817">
        <v>-18.506799999999998</v>
      </c>
      <c r="AD6817">
        <v>-1.1110893182320001</v>
      </c>
      <c r="AE6817">
        <v>0.219799999999992</v>
      </c>
      <c r="AF6817">
        <v>-1.4446071112047401</v>
      </c>
      <c r="AG6817">
        <v>-1.1110893182320001</v>
      </c>
      <c r="AH6817">
        <v>18.384975199143199</v>
      </c>
      <c r="AI6817">
        <v>93.447841782051398</v>
      </c>
      <c r="AJ6817">
        <v>94.492808654845106</v>
      </c>
      <c r="AK6817">
        <v>18.475083822595799</v>
      </c>
      <c r="AL6817">
        <v>88.566244034430099</v>
      </c>
      <c r="AM6817">
        <v>91.140057824603204</v>
      </c>
      <c r="AN6817">
        <v>0.99999996995998497</v>
      </c>
    </row>
    <row r="6818" spans="1:40" x14ac:dyDescent="0.25">
      <c r="A6818" t="str">
        <f>"20190312150826157"</f>
        <v>20190312150826157</v>
      </c>
      <c r="B6818" t="str">
        <f>"1552374506146852"</f>
        <v>1552374506146852</v>
      </c>
      <c r="C6818" t="s">
        <v>40</v>
      </c>
      <c r="D6818">
        <v>4.4991130000000004</v>
      </c>
      <c r="E6818">
        <v>0.47827819999999999</v>
      </c>
      <c r="F6818" t="s">
        <v>42</v>
      </c>
      <c r="G6818">
        <v>-247.37430000000001</v>
      </c>
      <c r="H6818" s="1">
        <v>-1.2762730000000001E-6</v>
      </c>
      <c r="I6818">
        <v>140.24590000000001</v>
      </c>
      <c r="J6818">
        <v>-228.9367</v>
      </c>
      <c r="K6818">
        <v>1.1110819999999999</v>
      </c>
      <c r="L6818">
        <v>140.03720000000001</v>
      </c>
      <c r="M6818">
        <v>-0.99605940000000004</v>
      </c>
      <c r="N6818">
        <v>0</v>
      </c>
      <c r="O6818">
        <v>8.8127869999999997E-2</v>
      </c>
      <c r="P6818">
        <v>-0.99743870000000001</v>
      </c>
      <c r="Q6818">
        <v>1.525026E-2</v>
      </c>
      <c r="R6818">
        <v>6.9883399999999998E-2</v>
      </c>
      <c r="S6818">
        <v>-3.007965</v>
      </c>
      <c r="T6818">
        <v>-0.1796275</v>
      </c>
      <c r="U6818">
        <v>3.5842899999999997E-2</v>
      </c>
      <c r="V6818">
        <v>-1.8356939999999999E-2</v>
      </c>
      <c r="W6818">
        <v>2.5162730000000001E-2</v>
      </c>
      <c r="X6818">
        <v>0.99951480000000004</v>
      </c>
      <c r="Y6818">
        <v>-7.5965299999999999E-2</v>
      </c>
      <c r="Z6818">
        <v>-7.5184529999999996E-3</v>
      </c>
      <c r="AA6818">
        <v>0.99708209999999997</v>
      </c>
      <c r="AB6818">
        <v>18</v>
      </c>
      <c r="AC6818">
        <v>-18.4376</v>
      </c>
      <c r="AD6818">
        <v>-1.1110832762730001</v>
      </c>
      <c r="AE6818">
        <v>0.208699999999993</v>
      </c>
      <c r="AF6818">
        <v>-1.4119323153296399</v>
      </c>
      <c r="AG6818">
        <v>-1.1110832762730001</v>
      </c>
      <c r="AH6818">
        <v>18.3177364113719</v>
      </c>
      <c r="AI6818">
        <v>93.460847632434195</v>
      </c>
      <c r="AJ6818">
        <v>94.407647097993305</v>
      </c>
      <c r="AK6818">
        <v>18.405638433544901</v>
      </c>
      <c r="AL6818">
        <v>88.558129568611506</v>
      </c>
      <c r="AM6818">
        <v>91.052167466193396</v>
      </c>
      <c r="AN6818">
        <v>0.99999998782312804</v>
      </c>
    </row>
    <row r="6819" spans="1:40" x14ac:dyDescent="0.25">
      <c r="A6819" t="str">
        <f>"20190312150826180"</f>
        <v>20190312150826180</v>
      </c>
      <c r="B6819" t="str">
        <f>"1552374506177108"</f>
        <v>1552374506177108</v>
      </c>
      <c r="C6819" t="s">
        <v>40</v>
      </c>
      <c r="D6819">
        <v>4.4871169999999996</v>
      </c>
      <c r="E6819">
        <v>0.47840519999999997</v>
      </c>
      <c r="F6819" t="s">
        <v>42</v>
      </c>
      <c r="G6819">
        <v>-247.38399999999999</v>
      </c>
      <c r="H6819" s="1">
        <v>-1.271216E-6</v>
      </c>
      <c r="I6819">
        <v>140.24260000000001</v>
      </c>
      <c r="J6819">
        <v>-229.11359999999999</v>
      </c>
      <c r="K6819">
        <v>1.1110679999999999</v>
      </c>
      <c r="L6819">
        <v>140.05029999999999</v>
      </c>
      <c r="M6819">
        <v>-0.9962472</v>
      </c>
      <c r="N6819">
        <v>0</v>
      </c>
      <c r="O6819">
        <v>8.5993739999999999E-2</v>
      </c>
      <c r="P6819">
        <v>-0.99747920000000001</v>
      </c>
      <c r="Q6819">
        <v>1.52678E-2</v>
      </c>
      <c r="R6819">
        <v>6.9298509999999994E-2</v>
      </c>
      <c r="S6819">
        <v>-3.0081479999999998</v>
      </c>
      <c r="T6819">
        <v>-0.18118129999999999</v>
      </c>
      <c r="U6819">
        <v>3.3508299999999998E-2</v>
      </c>
      <c r="V6819">
        <v>-1.680131E-2</v>
      </c>
      <c r="W6819">
        <v>2.5058810000000001E-2</v>
      </c>
      <c r="X6819">
        <v>0.99954480000000001</v>
      </c>
      <c r="Y6819">
        <v>-7.4604680000000007E-2</v>
      </c>
      <c r="Z6819">
        <v>-7.4140179999999997E-3</v>
      </c>
      <c r="AA6819">
        <v>0.99718560000000001</v>
      </c>
      <c r="AB6819">
        <v>18</v>
      </c>
      <c r="AC6819">
        <v>-18.270399999999999</v>
      </c>
      <c r="AD6819">
        <v>-1.111069271216</v>
      </c>
      <c r="AE6819">
        <v>0.19230000000001701</v>
      </c>
      <c r="AF6819">
        <v>-1.3745455917829399</v>
      </c>
      <c r="AG6819">
        <v>-1.111069271216</v>
      </c>
      <c r="AH6819">
        <v>18.152129273533799</v>
      </c>
      <c r="AI6819">
        <v>93.492659184683802</v>
      </c>
      <c r="AJ6819">
        <v>94.330381606452406</v>
      </c>
      <c r="AK6819">
        <v>18.237972685373101</v>
      </c>
      <c r="AL6819">
        <v>88.564085666941594</v>
      </c>
      <c r="AM6819">
        <v>90.962991860345596</v>
      </c>
      <c r="AN6819">
        <v>1.0000000175916799</v>
      </c>
    </row>
    <row r="6820" spans="1:40" x14ac:dyDescent="0.25">
      <c r="A6820" t="str">
        <f>"20190312150826202"</f>
        <v>20190312150826202</v>
      </c>
      <c r="B6820" t="str">
        <f>"1552374506196628"</f>
        <v>1552374506196628</v>
      </c>
      <c r="C6820" t="s">
        <v>40</v>
      </c>
      <c r="D6820">
        <v>4.6720379999999997</v>
      </c>
      <c r="E6820">
        <v>0.47848210000000002</v>
      </c>
      <c r="F6820" t="s">
        <v>42</v>
      </c>
      <c r="G6820">
        <v>-247.68219999999999</v>
      </c>
      <c r="H6820" s="1">
        <v>-1.1455019999999999E-6</v>
      </c>
      <c r="I6820">
        <v>140.2509</v>
      </c>
      <c r="J6820">
        <v>-229.29169999999999</v>
      </c>
      <c r="K6820">
        <v>1.1110519999999999</v>
      </c>
      <c r="L6820">
        <v>140.06319999999999</v>
      </c>
      <c r="M6820">
        <v>-0.99643029999999999</v>
      </c>
      <c r="N6820">
        <v>0</v>
      </c>
      <c r="O6820">
        <v>8.3859349999999999E-2</v>
      </c>
      <c r="P6820">
        <v>-0.9975792</v>
      </c>
      <c r="Q6820">
        <v>1.455643E-2</v>
      </c>
      <c r="R6820">
        <v>6.8001309999999995E-2</v>
      </c>
      <c r="S6820">
        <v>-3.008057</v>
      </c>
      <c r="T6820">
        <v>-0.17998989999999901</v>
      </c>
      <c r="U6820">
        <v>3.2501219999999997E-2</v>
      </c>
      <c r="V6820">
        <v>-1.595802E-2</v>
      </c>
      <c r="W6820">
        <v>2.423032E-2</v>
      </c>
      <c r="X6820">
        <v>0.999579</v>
      </c>
      <c r="Y6820">
        <v>-7.2812509999999997E-2</v>
      </c>
      <c r="Z6820">
        <v>-7.1848110000000001E-3</v>
      </c>
      <c r="AA6820">
        <v>0.99731979999999998</v>
      </c>
      <c r="AB6820">
        <v>18</v>
      </c>
      <c r="AC6820">
        <v>-18.390499999999999</v>
      </c>
      <c r="AD6820">
        <v>-1.1110531455020001</v>
      </c>
      <c r="AE6820">
        <v>0.187700000000006</v>
      </c>
      <c r="AF6820">
        <v>-1.3503212451614699</v>
      </c>
      <c r="AG6820">
        <v>-1.1110531455020001</v>
      </c>
      <c r="AH6820">
        <v>18.274761990333399</v>
      </c>
      <c r="AI6820">
        <v>93.469701031839406</v>
      </c>
      <c r="AJ6820">
        <v>94.225902679339001</v>
      </c>
      <c r="AK6820">
        <v>18.3582333670917</v>
      </c>
      <c r="AL6820">
        <v>88.611569006378801</v>
      </c>
      <c r="AM6820">
        <v>90.9146345893313</v>
      </c>
      <c r="AN6820">
        <v>0.99999997202530999</v>
      </c>
    </row>
    <row r="6821" spans="1:40" x14ac:dyDescent="0.25">
      <c r="A6821" t="str">
        <f>"20190312150826225"</f>
        <v>20190312150826225</v>
      </c>
      <c r="B6821" t="str">
        <f>"1552374506217124"</f>
        <v>1552374506217124</v>
      </c>
      <c r="C6821" t="s">
        <v>40</v>
      </c>
      <c r="D6821">
        <v>4.5055350000000001</v>
      </c>
      <c r="E6821">
        <v>0.478379</v>
      </c>
      <c r="F6821" t="s">
        <v>42</v>
      </c>
      <c r="G6821">
        <v>-247.68979999999999</v>
      </c>
      <c r="H6821" s="1">
        <v>-1.1395879999999999E-6</v>
      </c>
      <c r="I6821">
        <v>140.24080000000001</v>
      </c>
      <c r="J6821">
        <v>-229.47970000000001</v>
      </c>
      <c r="K6821">
        <v>1.111024</v>
      </c>
      <c r="L6821">
        <v>140.07640000000001</v>
      </c>
      <c r="M6821">
        <v>-0.99661619999999995</v>
      </c>
      <c r="N6821">
        <v>0</v>
      </c>
      <c r="O6821">
        <v>8.1634300000000007E-2</v>
      </c>
      <c r="P6821">
        <v>-0.99766739999999998</v>
      </c>
      <c r="Q6821">
        <v>1.3649929999999999E-2</v>
      </c>
      <c r="R6821">
        <v>6.688508E-2</v>
      </c>
      <c r="S6821">
        <v>-3.0079500000000001</v>
      </c>
      <c r="T6821">
        <v>-0.18164910000000001</v>
      </c>
      <c r="U6821">
        <v>2.9052729999999999E-2</v>
      </c>
      <c r="V6821">
        <v>-1.4842559999999999E-2</v>
      </c>
      <c r="W6821">
        <v>2.3210649999999999E-2</v>
      </c>
      <c r="X6821">
        <v>0.99962039999999996</v>
      </c>
      <c r="Y6821">
        <v>-7.1729230000000005E-2</v>
      </c>
      <c r="Z6821">
        <v>-7.0847189999999997E-3</v>
      </c>
      <c r="AA6821">
        <v>0.99739900000000004</v>
      </c>
      <c r="AB6821">
        <v>18</v>
      </c>
      <c r="AC6821">
        <v>-18.210099999999901</v>
      </c>
      <c r="AD6821">
        <v>-1.111025139588</v>
      </c>
      <c r="AE6821">
        <v>0.16439999999999999</v>
      </c>
      <c r="AF6821">
        <v>-1.3178806268746599</v>
      </c>
      <c r="AG6821">
        <v>-1.111025139588</v>
      </c>
      <c r="AH6821">
        <v>18.095383986708399</v>
      </c>
      <c r="AI6821">
        <v>93.504192922404201</v>
      </c>
      <c r="AJ6821">
        <v>94.165477628859705</v>
      </c>
      <c r="AK6821">
        <v>18.177296494086001</v>
      </c>
      <c r="AL6821">
        <v>88.670008264993101</v>
      </c>
      <c r="AM6821">
        <v>90.850676473451401</v>
      </c>
      <c r="AN6821">
        <v>0.99999998997846795</v>
      </c>
    </row>
    <row r="6822" spans="1:40" x14ac:dyDescent="0.25">
      <c r="A6822" t="str">
        <f>"20190312150826248"</f>
        <v>20190312150826248</v>
      </c>
      <c r="B6822" t="str">
        <f>"1552374506236644"</f>
        <v>1552374506236644</v>
      </c>
      <c r="C6822" t="s">
        <v>40</v>
      </c>
      <c r="D6822">
        <v>4.5322430000000002</v>
      </c>
      <c r="E6822">
        <v>0.47826459999999998</v>
      </c>
      <c r="F6822" t="s">
        <v>42</v>
      </c>
      <c r="G6822">
        <v>-247.2722</v>
      </c>
      <c r="H6822" s="1">
        <v>-1.313829E-6</v>
      </c>
      <c r="I6822">
        <v>140.2225</v>
      </c>
      <c r="J6822">
        <v>-229.66540000000001</v>
      </c>
      <c r="K6822">
        <v>1.1109849999999999</v>
      </c>
      <c r="L6822">
        <v>140.089</v>
      </c>
      <c r="M6822">
        <v>-0.99679059999999997</v>
      </c>
      <c r="N6822">
        <v>0</v>
      </c>
      <c r="O6822">
        <v>7.9488399999999904E-2</v>
      </c>
      <c r="P6822">
        <v>-0.99776609999999999</v>
      </c>
      <c r="Q6822">
        <v>1.262891E-2</v>
      </c>
      <c r="R6822">
        <v>6.560204E-2</v>
      </c>
      <c r="S6822">
        <v>-3.0079349999999998</v>
      </c>
      <c r="T6822">
        <v>-0.18782570000000001</v>
      </c>
      <c r="U6822">
        <v>2.471924E-2</v>
      </c>
      <c r="V6822">
        <v>-1.3973009999999999E-2</v>
      </c>
      <c r="W6822">
        <v>2.2090849999999999E-2</v>
      </c>
      <c r="X6822">
        <v>0.9996583</v>
      </c>
      <c r="Y6822">
        <v>-7.1004780000000003E-2</v>
      </c>
      <c r="Z6822">
        <v>-7.1691949999999997E-3</v>
      </c>
      <c r="AA6822">
        <v>0.99745019999999995</v>
      </c>
      <c r="AB6822">
        <v>18</v>
      </c>
      <c r="AC6822">
        <v>-17.6067999999999</v>
      </c>
      <c r="AD6822">
        <v>-1.1109863138289999</v>
      </c>
      <c r="AE6822">
        <v>0.13349999999999701</v>
      </c>
      <c r="AF6822">
        <v>-1.2614993855188701</v>
      </c>
      <c r="AG6822">
        <v>-1.1109863138289999</v>
      </c>
      <c r="AH6822">
        <v>17.492053373148501</v>
      </c>
      <c r="AI6822">
        <v>93.624800633940893</v>
      </c>
      <c r="AJ6822">
        <v>94.1249400566915</v>
      </c>
      <c r="AK6822">
        <v>17.572637892424002</v>
      </c>
      <c r="AL6822">
        <v>88.734184540099903</v>
      </c>
      <c r="AM6822">
        <v>90.800816005381606</v>
      </c>
      <c r="AN6822">
        <v>0.999999983710536</v>
      </c>
    </row>
    <row r="6823" spans="1:40" x14ac:dyDescent="0.25">
      <c r="A6823" t="str">
        <f>"20190312150826270"</f>
        <v>20190312150826270</v>
      </c>
      <c r="B6823" t="str">
        <f>"1552374506266477"</f>
        <v>1552374506266477</v>
      </c>
      <c r="C6823" t="s">
        <v>40</v>
      </c>
      <c r="D6823">
        <v>4.5094880000000002</v>
      </c>
      <c r="E6823">
        <v>0.47844199999999998</v>
      </c>
      <c r="F6823" t="s">
        <v>42</v>
      </c>
      <c r="G6823">
        <v>-246.90440000000001</v>
      </c>
      <c r="H6823" s="1">
        <v>-1.466167E-6</v>
      </c>
      <c r="I6823">
        <v>140.202</v>
      </c>
      <c r="J6823">
        <v>-229.8407</v>
      </c>
      <c r="K6823">
        <v>1.110941</v>
      </c>
      <c r="L6823">
        <v>140.10069999999999</v>
      </c>
      <c r="M6823">
        <v>-0.99694740000000004</v>
      </c>
      <c r="N6823">
        <v>0</v>
      </c>
      <c r="O6823">
        <v>7.7507060000000003E-2</v>
      </c>
      <c r="P6823">
        <v>-0.99785420000000002</v>
      </c>
      <c r="Q6823">
        <v>1.204275E-2</v>
      </c>
      <c r="R6823">
        <v>6.4360299999999995E-2</v>
      </c>
      <c r="S6823">
        <v>-3.0078580000000001</v>
      </c>
      <c r="T6823">
        <v>-0.19384499999999999</v>
      </c>
      <c r="U6823">
        <v>1.971436E-2</v>
      </c>
      <c r="V6823">
        <v>-1.322768E-2</v>
      </c>
      <c r="W6823">
        <v>2.1422480000000001E-2</v>
      </c>
      <c r="X6823">
        <v>0.99968299999999999</v>
      </c>
      <c r="Y6823">
        <v>-7.0667309999999997E-2</v>
      </c>
      <c r="Z6823">
        <v>-7.2606839999999999E-3</v>
      </c>
      <c r="AA6823">
        <v>0.99747350000000001</v>
      </c>
      <c r="AB6823">
        <v>18</v>
      </c>
      <c r="AC6823">
        <v>-17.063700000000001</v>
      </c>
      <c r="AD6823">
        <v>-1.110942466167</v>
      </c>
      <c r="AE6823">
        <v>0.10130000000000899</v>
      </c>
      <c r="AF6823">
        <v>-1.2164644347047999</v>
      </c>
      <c r="AG6823">
        <v>-1.110942466167</v>
      </c>
      <c r="AH6823">
        <v>16.948379061866699</v>
      </c>
      <c r="AI6823">
        <v>93.740697407170998</v>
      </c>
      <c r="AJ6823">
        <v>94.105346026841303</v>
      </c>
      <c r="AK6823">
        <v>17.028256860546701</v>
      </c>
      <c r="AL6823">
        <v>88.772488404993396</v>
      </c>
      <c r="AM6823">
        <v>90.758086323653501</v>
      </c>
      <c r="AN6823">
        <v>0.99999999732826605</v>
      </c>
    </row>
    <row r="6824" spans="1:40" x14ac:dyDescent="0.25">
      <c r="A6824" t="str">
        <f>"20190312150826291"</f>
        <v>20190312150826291</v>
      </c>
      <c r="B6824" t="str">
        <f>"1552374506286956"</f>
        <v>1552374506286956</v>
      </c>
      <c r="C6824" t="s">
        <v>40</v>
      </c>
      <c r="D6824">
        <v>4.5182580000000003</v>
      </c>
      <c r="E6824">
        <v>0.47858000000000001</v>
      </c>
      <c r="F6824" t="s">
        <v>42</v>
      </c>
      <c r="G6824">
        <v>-247.11070000000001</v>
      </c>
      <c r="H6824" s="1">
        <v>-1.3772210000000001E-6</v>
      </c>
      <c r="I6824">
        <v>140.2003</v>
      </c>
      <c r="J6824">
        <v>-230.01900000000001</v>
      </c>
      <c r="K6824">
        <v>1.110895</v>
      </c>
      <c r="L6824">
        <v>140.1122</v>
      </c>
      <c r="M6824">
        <v>-0.99709859999999995</v>
      </c>
      <c r="N6824">
        <v>0</v>
      </c>
      <c r="O6824">
        <v>7.5547230000000007E-2</v>
      </c>
      <c r="P6824">
        <v>-0.99796090000000004</v>
      </c>
      <c r="Q6824">
        <v>1.2161470000000001E-2</v>
      </c>
      <c r="R6824">
        <v>6.2662239999999994E-2</v>
      </c>
      <c r="S6824">
        <v>-3.00766</v>
      </c>
      <c r="T6824">
        <v>-0.19347639999999999</v>
      </c>
      <c r="U6824">
        <v>1.7364500000000001E-2</v>
      </c>
      <c r="V6824">
        <v>-1.296216E-2</v>
      </c>
      <c r="W6824">
        <v>2.146729E-2</v>
      </c>
      <c r="X6824">
        <v>0.9996855</v>
      </c>
      <c r="Y6824">
        <v>-6.9492910000000005E-2</v>
      </c>
      <c r="Z6824">
        <v>-7.0840469999999996E-3</v>
      </c>
      <c r="AA6824">
        <v>0.99755729999999998</v>
      </c>
      <c r="AB6824">
        <v>18</v>
      </c>
      <c r="AC6824">
        <v>-17.091699999999999</v>
      </c>
      <c r="AD6824">
        <v>-1.1108963772210001</v>
      </c>
      <c r="AE6824">
        <v>8.8099999999997097E-2</v>
      </c>
      <c r="AF6824">
        <v>-1.1983761335893901</v>
      </c>
      <c r="AG6824">
        <v>-1.1108963772210001</v>
      </c>
      <c r="AH6824">
        <v>16.9777865421412</v>
      </c>
      <c r="AI6824">
        <v>93.734395704892194</v>
      </c>
      <c r="AJ6824">
        <v>94.037523050056393</v>
      </c>
      <c r="AK6824">
        <v>17.0562431968177</v>
      </c>
      <c r="AL6824">
        <v>88.769920369867805</v>
      </c>
      <c r="AM6824">
        <v>90.742869077450393</v>
      </c>
      <c r="AN6824">
        <v>0.99999998052102901</v>
      </c>
    </row>
    <row r="6825" spans="1:40" x14ac:dyDescent="0.25">
      <c r="A6825" t="str">
        <f>"20190312150826314"</f>
        <v>20190312150826314</v>
      </c>
      <c r="B6825" t="str">
        <f>"1552374506306475"</f>
        <v>1552374506306475</v>
      </c>
      <c r="C6825" t="s">
        <v>40</v>
      </c>
      <c r="D6825">
        <v>4.4982739999999897</v>
      </c>
      <c r="E6825">
        <v>0.47873840000000001</v>
      </c>
      <c r="F6825" t="s">
        <v>42</v>
      </c>
      <c r="G6825">
        <v>-247.44550000000001</v>
      </c>
      <c r="H6825" s="1">
        <v>-1.230473E-6</v>
      </c>
      <c r="I6825">
        <v>140.18860000000001</v>
      </c>
      <c r="J6825">
        <v>-230.1986</v>
      </c>
      <c r="K6825">
        <v>1.1108469999999999</v>
      </c>
      <c r="L6825">
        <v>140.12360000000001</v>
      </c>
      <c r="M6825">
        <v>-0.9972413</v>
      </c>
      <c r="N6825">
        <v>0</v>
      </c>
      <c r="O6825">
        <v>7.3647679999999993E-2</v>
      </c>
      <c r="P6825">
        <v>-0.99807129999999999</v>
      </c>
      <c r="Q6825">
        <v>1.2743020000000001E-2</v>
      </c>
      <c r="R6825">
        <v>6.075887E-2</v>
      </c>
      <c r="S6825">
        <v>-3.0076450000000001</v>
      </c>
      <c r="T6825">
        <v>-0.1917304</v>
      </c>
      <c r="U6825">
        <v>1.319885E-2</v>
      </c>
      <c r="V6825">
        <v>-1.2962960000000001E-2</v>
      </c>
      <c r="W6825">
        <v>2.198311E-2</v>
      </c>
      <c r="X6825">
        <v>0.99967430000000002</v>
      </c>
      <c r="Y6825">
        <v>-6.8984359999999995E-2</v>
      </c>
      <c r="Z6825">
        <v>-6.8834650000000001E-3</v>
      </c>
      <c r="AA6825">
        <v>0.99759399999999998</v>
      </c>
      <c r="AB6825">
        <v>18</v>
      </c>
      <c r="AC6825">
        <v>-17.2469</v>
      </c>
      <c r="AD6825">
        <v>-1.1108482304730001</v>
      </c>
      <c r="AE6825">
        <v>6.4999999999997699E-2</v>
      </c>
      <c r="AF6825">
        <v>-1.2004452731381801</v>
      </c>
      <c r="AG6825">
        <v>-1.1108482304730001</v>
      </c>
      <c r="AH6825">
        <v>17.133768437317599</v>
      </c>
      <c r="AI6825">
        <v>93.700468332553797</v>
      </c>
      <c r="AJ6825">
        <v>94.007771796875005</v>
      </c>
      <c r="AK6825">
        <v>17.211655164700598</v>
      </c>
      <c r="AL6825">
        <v>88.740359108429004</v>
      </c>
      <c r="AM6825">
        <v>90.742923243211493</v>
      </c>
      <c r="AN6825">
        <v>1.0000000007688601</v>
      </c>
    </row>
    <row r="6826" spans="1:40" x14ac:dyDescent="0.25">
      <c r="A6826" t="str">
        <f>"20190312150826336"</f>
        <v>20190312150826336</v>
      </c>
      <c r="B6826" t="str">
        <f>"1552374506326971"</f>
        <v>1552374506326971</v>
      </c>
      <c r="C6826" t="s">
        <v>40</v>
      </c>
      <c r="D6826">
        <v>4.4987409999999999</v>
      </c>
      <c r="E6826">
        <v>0.47883969999999998</v>
      </c>
      <c r="F6826" t="s">
        <v>42</v>
      </c>
      <c r="G6826">
        <v>-247.86179999999999</v>
      </c>
      <c r="H6826" s="1">
        <v>-1.048032E-6</v>
      </c>
      <c r="I6826">
        <v>140.17400000000001</v>
      </c>
      <c r="J6826">
        <v>-230.38460000000001</v>
      </c>
      <c r="K6826">
        <v>1.1108009999999999</v>
      </c>
      <c r="L6826">
        <v>140.13509999999999</v>
      </c>
      <c r="M6826">
        <v>-0.99737880000000001</v>
      </c>
      <c r="N6826">
        <v>0</v>
      </c>
      <c r="O6826">
        <v>7.1770239999999999E-2</v>
      </c>
      <c r="P6826">
        <v>-0.99820600000000004</v>
      </c>
      <c r="Q6826">
        <v>1.2563589999999999E-2</v>
      </c>
      <c r="R6826">
        <v>5.8541940000000001E-2</v>
      </c>
      <c r="S6826">
        <v>-3.0076900000000002</v>
      </c>
      <c r="T6826">
        <v>-0.1891564</v>
      </c>
      <c r="U6826">
        <v>8.6059569999999991E-3</v>
      </c>
      <c r="V6826">
        <v>-1.3298610000000001E-2</v>
      </c>
      <c r="W6826">
        <v>2.174475E-2</v>
      </c>
      <c r="X6826">
        <v>0.99967510000000004</v>
      </c>
      <c r="Y6826">
        <v>-6.8641839999999996E-2</v>
      </c>
      <c r="Z6826">
        <v>-6.6627309999999999E-3</v>
      </c>
      <c r="AA6826">
        <v>0.99761909999999998</v>
      </c>
      <c r="AB6826">
        <v>18</v>
      </c>
      <c r="AC6826">
        <v>-17.4771999999999</v>
      </c>
      <c r="AD6826">
        <v>-1.110802048032</v>
      </c>
      <c r="AE6826">
        <v>3.89000000000123E-2</v>
      </c>
      <c r="AF6826">
        <v>-1.2107055572877901</v>
      </c>
      <c r="AG6826">
        <v>-1.110802048032</v>
      </c>
      <c r="AH6826">
        <v>17.364772828268801</v>
      </c>
      <c r="AI6826">
        <v>93.651309919317498</v>
      </c>
      <c r="AJ6826">
        <v>93.988318352125404</v>
      </c>
      <c r="AK6826">
        <v>17.4423342621835</v>
      </c>
      <c r="AL6826">
        <v>88.754019390387896</v>
      </c>
      <c r="AM6826">
        <v>90.762156908769398</v>
      </c>
      <c r="AN6826">
        <v>0.99999999637025205</v>
      </c>
    </row>
    <row r="6827" spans="1:40" x14ac:dyDescent="0.25">
      <c r="A6827" t="str">
        <f>"20190312150826358"</f>
        <v>20190312150826358</v>
      </c>
      <c r="B6827" t="str">
        <f>"1552374506346492"</f>
        <v>1552374506346492</v>
      </c>
      <c r="C6827" t="s">
        <v>40</v>
      </c>
      <c r="D6827">
        <v>4.512194</v>
      </c>
      <c r="E6827">
        <v>0.4789389</v>
      </c>
      <c r="F6827" t="s">
        <v>42</v>
      </c>
      <c r="G6827">
        <v>-248.0899</v>
      </c>
      <c r="H6827" s="1">
        <v>-9.4375889999999996E-7</v>
      </c>
      <c r="I6827">
        <v>140.15</v>
      </c>
      <c r="J6827">
        <v>-230.5643</v>
      </c>
      <c r="K6827">
        <v>1.110752</v>
      </c>
      <c r="L6827">
        <v>140.14590000000001</v>
      </c>
      <c r="M6827">
        <v>-0.99750150000000004</v>
      </c>
      <c r="N6827">
        <v>0</v>
      </c>
      <c r="O6827">
        <v>7.0049379999999994E-2</v>
      </c>
      <c r="P6827">
        <v>-0.99832849999999995</v>
      </c>
      <c r="Q6827">
        <v>1.3215050000000001E-2</v>
      </c>
      <c r="R6827">
        <v>5.6265080000000002E-2</v>
      </c>
      <c r="S6827">
        <v>-3.0076139999999998</v>
      </c>
      <c r="T6827">
        <v>-0.18869330000000001</v>
      </c>
      <c r="U6827">
        <v>2.5482180000000001E-3</v>
      </c>
      <c r="V6827">
        <v>-1.3851860000000001E-2</v>
      </c>
      <c r="W6827">
        <v>2.2346370000000001E-2</v>
      </c>
      <c r="X6827">
        <v>0.99965440000000005</v>
      </c>
      <c r="Y6827">
        <v>-6.8934029999999993E-2</v>
      </c>
      <c r="Z6827">
        <v>-6.5482149999999996E-3</v>
      </c>
      <c r="AA6827">
        <v>0.99759969999999998</v>
      </c>
      <c r="AB6827">
        <v>18</v>
      </c>
      <c r="AC6827">
        <v>-17.525599999999901</v>
      </c>
      <c r="AD6827">
        <v>-1.1107529437589001</v>
      </c>
      <c r="AE6827">
        <v>4.0999999999939904E-3</v>
      </c>
      <c r="AF6827">
        <v>-1.2187234852187701</v>
      </c>
      <c r="AG6827">
        <v>-1.1107529437589001</v>
      </c>
      <c r="AH6827">
        <v>17.412886881669099</v>
      </c>
      <c r="AI6827">
        <v>93.641019923408194</v>
      </c>
      <c r="AJ6827">
        <v>94.003588147586498</v>
      </c>
      <c r="AK6827">
        <v>17.49078867831</v>
      </c>
      <c r="AL6827">
        <v>88.719540826500193</v>
      </c>
      <c r="AM6827">
        <v>90.7938766904647</v>
      </c>
      <c r="AN6827">
        <v>1.00000007685849</v>
      </c>
    </row>
    <row r="6828" spans="1:40" x14ac:dyDescent="0.25">
      <c r="A6828" t="str">
        <f>"20190312150826380"</f>
        <v>20190312150826380</v>
      </c>
      <c r="B6828" t="str">
        <f>"1552374506376770"</f>
        <v>1552374506376770</v>
      </c>
      <c r="C6828" t="s">
        <v>40</v>
      </c>
      <c r="D6828">
        <v>4.7216809999999896</v>
      </c>
      <c r="E6828">
        <v>0.47917710000000002</v>
      </c>
      <c r="F6828" t="s">
        <v>42</v>
      </c>
      <c r="G6828">
        <v>-248.4442</v>
      </c>
      <c r="H6828" s="1">
        <v>-7.8508399999999999E-7</v>
      </c>
      <c r="I6828">
        <v>140.12479999999999</v>
      </c>
      <c r="J6828">
        <v>-230.74529999999999</v>
      </c>
      <c r="K6828">
        <v>1.110697</v>
      </c>
      <c r="L6828">
        <v>140.1566</v>
      </c>
      <c r="M6828">
        <v>-0.9976159</v>
      </c>
      <c r="N6828">
        <v>0</v>
      </c>
      <c r="O6828">
        <v>6.8408499999999997E-2</v>
      </c>
      <c r="P6828">
        <v>-0.99841040000000003</v>
      </c>
      <c r="Q6828">
        <v>1.376901E-2</v>
      </c>
      <c r="R6828">
        <v>5.4658730000000003E-2</v>
      </c>
      <c r="S6828">
        <v>-3.0076900000000002</v>
      </c>
      <c r="T6828">
        <v>-0.18684799999999999</v>
      </c>
      <c r="U6828">
        <v>-3.540039E-3</v>
      </c>
      <c r="V6828">
        <v>-1.3813560000000001E-2</v>
      </c>
      <c r="W6828">
        <v>2.2859319999999999E-2</v>
      </c>
      <c r="X6828">
        <v>0.99964330000000001</v>
      </c>
      <c r="Y6828">
        <v>-6.9320160000000006E-2</v>
      </c>
      <c r="Z6828">
        <v>-6.3945310000000002E-3</v>
      </c>
      <c r="AA6828">
        <v>0.99757399999999996</v>
      </c>
      <c r="AB6828">
        <v>18</v>
      </c>
      <c r="AC6828">
        <v>-17.698899999999998</v>
      </c>
      <c r="AD6828">
        <v>-1.1106977850839901</v>
      </c>
      <c r="AE6828">
        <v>-3.1800000000003999E-2</v>
      </c>
      <c r="AF6828">
        <v>-1.2376566833132101</v>
      </c>
      <c r="AG6828">
        <v>-1.1106977850839901</v>
      </c>
      <c r="AH6828">
        <v>17.5860023361228</v>
      </c>
      <c r="AI6828">
        <v>93.604997063825607</v>
      </c>
      <c r="AJ6828">
        <v>94.025688944709401</v>
      </c>
      <c r="AK6828">
        <v>17.6644536230719</v>
      </c>
      <c r="AL6828">
        <v>88.690143406368193</v>
      </c>
      <c r="AM6828">
        <v>90.791690713384796</v>
      </c>
      <c r="AN6828">
        <v>1.0000000450928099</v>
      </c>
    </row>
    <row r="6829" spans="1:40" x14ac:dyDescent="0.25">
      <c r="A6829" t="str">
        <f>"20190312150826403"</f>
        <v>20190312150826403</v>
      </c>
      <c r="B6829" t="str">
        <f>"1552374506396290"</f>
        <v>1552374506396290</v>
      </c>
      <c r="C6829" t="s">
        <v>40</v>
      </c>
      <c r="D6829">
        <v>4.6763159999999999</v>
      </c>
      <c r="E6829">
        <v>0.47926669999999999</v>
      </c>
      <c r="F6829" t="s">
        <v>42</v>
      </c>
      <c r="G6829">
        <v>-248.89840000000001</v>
      </c>
      <c r="H6829" s="1">
        <v>-5.8841409999999996E-7</v>
      </c>
      <c r="I6829">
        <v>140.11799999999999</v>
      </c>
      <c r="J6829">
        <v>-230.9333</v>
      </c>
      <c r="K6829">
        <v>1.110643</v>
      </c>
      <c r="L6829">
        <v>140.16759999999999</v>
      </c>
      <c r="M6829">
        <v>-0.99772519999999998</v>
      </c>
      <c r="N6829">
        <v>0</v>
      </c>
      <c r="O6829">
        <v>6.6798689999999994E-2</v>
      </c>
      <c r="P6829">
        <v>-0.99851069999999997</v>
      </c>
      <c r="Q6829">
        <v>1.43763E-2</v>
      </c>
      <c r="R6829">
        <v>5.2629809999999999E-2</v>
      </c>
      <c r="S6829">
        <v>-3.0076749999999999</v>
      </c>
      <c r="T6829">
        <v>-0.18402499999999999</v>
      </c>
      <c r="U6829">
        <v>-6.3934329999999996E-3</v>
      </c>
      <c r="V6829">
        <v>-1.422903E-2</v>
      </c>
      <c r="W6829">
        <v>2.3428979999999999E-2</v>
      </c>
      <c r="X6829">
        <v>0.99962430000000002</v>
      </c>
      <c r="Y6829">
        <v>-6.8669040000000001E-2</v>
      </c>
      <c r="Z6829">
        <v>-6.180016E-3</v>
      </c>
      <c r="AA6829">
        <v>0.99762030000000002</v>
      </c>
      <c r="AB6829">
        <v>18</v>
      </c>
      <c r="AC6829">
        <v>-17.9651</v>
      </c>
      <c r="AD6829">
        <v>-1.1106435884140999</v>
      </c>
      <c r="AE6829">
        <v>-4.9599999999998E-2</v>
      </c>
      <c r="AF6829">
        <v>-1.2448260915288401</v>
      </c>
      <c r="AG6829">
        <v>-1.1106435884140999</v>
      </c>
      <c r="AH6829">
        <v>17.853422629829598</v>
      </c>
      <c r="AI6829">
        <v>93.551126568062401</v>
      </c>
      <c r="AJ6829">
        <v>93.988480990618896</v>
      </c>
      <c r="AK6829">
        <v>17.931196858490701</v>
      </c>
      <c r="AL6829">
        <v>88.657495570929299</v>
      </c>
      <c r="AM6829">
        <v>90.815514698918506</v>
      </c>
      <c r="AN6829">
        <v>1.0000000617745299</v>
      </c>
    </row>
    <row r="6830" spans="1:40" x14ac:dyDescent="0.25">
      <c r="A6830" t="str">
        <f>"20190312150826426"</f>
        <v>20190312150826426</v>
      </c>
      <c r="B6830" t="str">
        <f>"1552374506416786"</f>
        <v>1552374506416786</v>
      </c>
      <c r="C6830" t="s">
        <v>40</v>
      </c>
      <c r="D6830">
        <v>4.6071080000000002</v>
      </c>
      <c r="E6830">
        <v>0.47941400000000001</v>
      </c>
      <c r="F6830" t="s">
        <v>42</v>
      </c>
      <c r="G6830">
        <v>-249.3289</v>
      </c>
      <c r="H6830" s="1">
        <v>-3.9792849999999998E-7</v>
      </c>
      <c r="I6830">
        <v>140.09620000000001</v>
      </c>
      <c r="J6830">
        <v>-231.12530000000001</v>
      </c>
      <c r="K6830">
        <v>1.110598</v>
      </c>
      <c r="L6830">
        <v>140.17859999999999</v>
      </c>
      <c r="M6830">
        <v>-0.99782780000000004</v>
      </c>
      <c r="N6830">
        <v>0</v>
      </c>
      <c r="O6830">
        <v>6.5254329999999999E-2</v>
      </c>
      <c r="P6830">
        <v>-0.99858009999999997</v>
      </c>
      <c r="Q6830">
        <v>1.5178209999999999E-2</v>
      </c>
      <c r="R6830">
        <v>5.1067269999999998E-2</v>
      </c>
      <c r="S6830">
        <v>-3.0077210000000001</v>
      </c>
      <c r="T6830">
        <v>-0.1815928</v>
      </c>
      <c r="U6830">
        <v>-1.165771E-2</v>
      </c>
      <c r="V6830">
        <v>-1.424402E-2</v>
      </c>
      <c r="W6830">
        <v>2.4198859999999999E-2</v>
      </c>
      <c r="X6830">
        <v>0.99960570000000004</v>
      </c>
      <c r="Y6830">
        <v>-6.8879999999999997E-2</v>
      </c>
      <c r="Z6830">
        <v>-6.0117840000000001E-3</v>
      </c>
      <c r="AA6830">
        <v>0.99760680000000002</v>
      </c>
      <c r="AB6830">
        <v>19</v>
      </c>
      <c r="AC6830">
        <v>-18.203599999999899</v>
      </c>
      <c r="AD6830">
        <v>-1.1105983979284999</v>
      </c>
      <c r="AE6830">
        <v>-8.2399999999978393E-2</v>
      </c>
      <c r="AF6830">
        <v>-1.26542645389108</v>
      </c>
      <c r="AG6830">
        <v>-1.1105983979284999</v>
      </c>
      <c r="AH6830">
        <v>18.092080750668298</v>
      </c>
      <c r="AI6830">
        <v>93.504204694391902</v>
      </c>
      <c r="AJ6830">
        <v>94.000960968236399</v>
      </c>
      <c r="AK6830">
        <v>18.170253680133101</v>
      </c>
      <c r="AL6830">
        <v>88.613372121605707</v>
      </c>
      <c r="AM6830">
        <v>90.8163888997002</v>
      </c>
      <c r="AN6830">
        <v>1.0000000162017699</v>
      </c>
    </row>
    <row r="6831" spans="1:40" x14ac:dyDescent="0.25">
      <c r="A6831" t="str">
        <f>"20190312150826448"</f>
        <v>20190312150826448</v>
      </c>
      <c r="B6831" t="str">
        <f>"1552374506436306"</f>
        <v>1552374506436306</v>
      </c>
      <c r="C6831" t="s">
        <v>40</v>
      </c>
      <c r="D6831">
        <v>4.5718120000000004</v>
      </c>
      <c r="E6831">
        <v>0.47947269999999997</v>
      </c>
      <c r="F6831" t="s">
        <v>42</v>
      </c>
      <c r="G6831">
        <v>-249.8312</v>
      </c>
      <c r="H6831" s="1">
        <v>-1.7953409999999999E-7</v>
      </c>
      <c r="I6831">
        <v>140.08519999999999</v>
      </c>
      <c r="J6831">
        <v>-231.31280000000001</v>
      </c>
      <c r="K6831">
        <v>1.110557</v>
      </c>
      <c r="L6831">
        <v>140.1891</v>
      </c>
      <c r="M6831">
        <v>-0.99792009999999998</v>
      </c>
      <c r="N6831">
        <v>0</v>
      </c>
      <c r="O6831">
        <v>6.3832360000000005E-2</v>
      </c>
      <c r="P6831">
        <v>-0.99865420000000005</v>
      </c>
      <c r="Q6831">
        <v>1.4789419999999999E-2</v>
      </c>
      <c r="R6831">
        <v>4.9714010000000003E-2</v>
      </c>
      <c r="S6831">
        <v>-3.0077509999999998</v>
      </c>
      <c r="T6831">
        <v>-0.17857529999999999</v>
      </c>
      <c r="U6831">
        <v>-1.499939E-2</v>
      </c>
      <c r="V6831">
        <v>-1.4171710000000001E-2</v>
      </c>
      <c r="W6831">
        <v>2.3780309999999999E-2</v>
      </c>
      <c r="X6831">
        <v>0.99961670000000002</v>
      </c>
      <c r="Y6831">
        <v>-6.8577750000000007E-2</v>
      </c>
      <c r="Z6831">
        <v>-5.8188320000000003E-3</v>
      </c>
      <c r="AA6831">
        <v>0.99762879999999998</v>
      </c>
      <c r="AB6831">
        <v>19</v>
      </c>
      <c r="AC6831">
        <v>-18.5183999999999</v>
      </c>
      <c r="AD6831">
        <v>-1.1105571795341</v>
      </c>
      <c r="AE6831">
        <v>-0.10390000000001</v>
      </c>
      <c r="AF6831">
        <v>-1.28120144686097</v>
      </c>
      <c r="AG6831">
        <v>-1.1105571795341</v>
      </c>
      <c r="AH6831">
        <v>18.4077979432539</v>
      </c>
      <c r="AI6831">
        <v>93.444203285127998</v>
      </c>
      <c r="AJ6831">
        <v>93.981423702453696</v>
      </c>
      <c r="AK6831">
        <v>18.485719880927402</v>
      </c>
      <c r="AL6831">
        <v>88.637360074670994</v>
      </c>
      <c r="AM6831">
        <v>90.812236107862105</v>
      </c>
      <c r="AN6831">
        <v>0.99999994371345302</v>
      </c>
    </row>
    <row r="6832" spans="1:40" x14ac:dyDescent="0.25">
      <c r="A6832" t="str">
        <f>"20190312150826470"</f>
        <v>20190312150826470</v>
      </c>
      <c r="B6832" t="str">
        <f>"1552374506467128"</f>
        <v>1552374506467128</v>
      </c>
      <c r="C6832" t="s">
        <v>40</v>
      </c>
      <c r="D6832">
        <v>4.434596</v>
      </c>
      <c r="E6832">
        <v>0.4851279</v>
      </c>
      <c r="F6832" t="s">
        <v>42</v>
      </c>
      <c r="G6832">
        <v>-249.91800000000001</v>
      </c>
      <c r="H6832" s="1">
        <v>-1.3949450000000001E-7</v>
      </c>
      <c r="I6832">
        <v>140.07480000000001</v>
      </c>
      <c r="J6832">
        <v>-231.4898</v>
      </c>
      <c r="K6832">
        <v>1.110528</v>
      </c>
      <c r="L6832">
        <v>140.19890000000001</v>
      </c>
      <c r="M6832">
        <v>-0.99800169999999999</v>
      </c>
      <c r="N6832">
        <v>0</v>
      </c>
      <c r="O6832">
        <v>6.2546210000000005E-2</v>
      </c>
      <c r="P6832">
        <v>-0.99871549999999998</v>
      </c>
      <c r="Q6832">
        <v>1.495372E-2</v>
      </c>
      <c r="R6832">
        <v>4.8416250000000001E-2</v>
      </c>
      <c r="S6832">
        <v>-3.0076290000000001</v>
      </c>
      <c r="T6832">
        <v>-0.17952789999999999</v>
      </c>
      <c r="U6832">
        <v>-1.8478390000000001E-2</v>
      </c>
      <c r="V6832">
        <v>-1.41812E-2</v>
      </c>
      <c r="W6832">
        <v>2.3915220000000001E-2</v>
      </c>
      <c r="X6832">
        <v>0.99961339999999999</v>
      </c>
      <c r="Y6832">
        <v>-6.8446170000000001E-2</v>
      </c>
      <c r="Z6832">
        <v>-5.7695480000000002E-3</v>
      </c>
      <c r="AA6832">
        <v>0.99763809999999997</v>
      </c>
      <c r="AB6832">
        <v>19</v>
      </c>
      <c r="AC6832">
        <v>-18.4282</v>
      </c>
      <c r="AD6832">
        <v>-1.1105281394944999</v>
      </c>
      <c r="AE6832">
        <v>-0.124099999999998</v>
      </c>
      <c r="AF6832">
        <v>-1.2718987410525699</v>
      </c>
      <c r="AG6832">
        <v>-1.1105281394944999</v>
      </c>
      <c r="AH6832">
        <v>18.317834339557798</v>
      </c>
      <c r="AI6832">
        <v>93.461027007468701</v>
      </c>
      <c r="AJ6832">
        <v>93.971957141983495</v>
      </c>
      <c r="AK6832">
        <v>18.395490046410401</v>
      </c>
      <c r="AL6832">
        <v>88.629628174445102</v>
      </c>
      <c r="AM6832">
        <v>90.812782626775501</v>
      </c>
      <c r="AN6832">
        <v>0.99999999682032403</v>
      </c>
    </row>
    <row r="6833" spans="1:40" x14ac:dyDescent="0.25">
      <c r="A6833" t="str">
        <f>"20190312150826493"</f>
        <v>20190312150826493</v>
      </c>
      <c r="B6833" t="str">
        <f>"1552374506486639"</f>
        <v>1552374506486639</v>
      </c>
      <c r="C6833" t="s">
        <v>40</v>
      </c>
      <c r="D6833">
        <v>4.4277350000000002</v>
      </c>
      <c r="E6833">
        <v>0.4856047</v>
      </c>
      <c r="F6833" t="s">
        <v>42</v>
      </c>
      <c r="G6833">
        <v>-275.77269999999999</v>
      </c>
      <c r="H6833" s="1">
        <v>-2.0474710000000001E-6</v>
      </c>
      <c r="I6833">
        <v>140.56190000000001</v>
      </c>
      <c r="J6833">
        <v>-231.68379999999999</v>
      </c>
      <c r="K6833">
        <v>1.110519</v>
      </c>
      <c r="L6833">
        <v>140.20949999999999</v>
      </c>
      <c r="M6833">
        <v>-0.99808609999999998</v>
      </c>
      <c r="N6833">
        <v>0</v>
      </c>
      <c r="O6833">
        <v>6.1188550000000001E-2</v>
      </c>
      <c r="P6833">
        <v>-0.99877879999999997</v>
      </c>
      <c r="Q6833">
        <v>1.4841E-2</v>
      </c>
      <c r="R6833">
        <v>4.7126330000000001E-2</v>
      </c>
      <c r="S6833">
        <v>-3.003784</v>
      </c>
      <c r="T6833">
        <v>-7.5329300000000002E-2</v>
      </c>
      <c r="U6833">
        <v>2.4627690000000001E-2</v>
      </c>
      <c r="V6833">
        <v>-1.4111179999999999E-2</v>
      </c>
      <c r="W6833">
        <v>2.3771259999999999E-2</v>
      </c>
      <c r="X6833">
        <v>0.9996178</v>
      </c>
      <c r="Y6833">
        <v>-5.2969839999999997E-2</v>
      </c>
      <c r="Z6833">
        <v>-2.1975509999999998E-3</v>
      </c>
      <c r="AA6833">
        <v>0.99859370000000003</v>
      </c>
      <c r="AB6833">
        <v>19</v>
      </c>
      <c r="AC6833">
        <v>-44.088900000000002</v>
      </c>
      <c r="AD6833">
        <v>-1.1105210474709999</v>
      </c>
      <c r="AE6833">
        <v>0.35240000000001698</v>
      </c>
      <c r="AF6833">
        <v>-2.34461684274999</v>
      </c>
      <c r="AG6833">
        <v>-1.1105210474709999</v>
      </c>
      <c r="AH6833">
        <v>43.999930590970401</v>
      </c>
      <c r="AI6833">
        <v>91.443742666524003</v>
      </c>
      <c r="AJ6833">
        <v>93.050225648564705</v>
      </c>
      <c r="AK6833">
        <v>44.076347139326302</v>
      </c>
      <c r="AL6833">
        <v>88.637878786853094</v>
      </c>
      <c r="AM6833">
        <v>90.808766468839707</v>
      </c>
      <c r="AN6833">
        <v>0.99999997213990899</v>
      </c>
    </row>
    <row r="6834" spans="1:40" x14ac:dyDescent="0.25">
      <c r="A6834" t="str">
        <f>"20190312150826515"</f>
        <v>20190312150826515</v>
      </c>
      <c r="B6834" t="str">
        <f>"1552374506507133"</f>
        <v>1552374506507133</v>
      </c>
      <c r="C6834" t="s">
        <v>40</v>
      </c>
      <c r="D6834">
        <v>4.4107909999999997</v>
      </c>
      <c r="E6834">
        <v>0.4857359</v>
      </c>
      <c r="F6834" t="s">
        <v>42</v>
      </c>
      <c r="G6834">
        <v>-278.62040000000002</v>
      </c>
      <c r="H6834" s="1">
        <v>-8.3474659999999998E-7</v>
      </c>
      <c r="I6834">
        <v>140.59540000000001</v>
      </c>
      <c r="J6834">
        <v>-231.87350000000001</v>
      </c>
      <c r="K6834">
        <v>1.110509</v>
      </c>
      <c r="L6834">
        <v>140.21950000000001</v>
      </c>
      <c r="M6834">
        <v>-0.99816439999999995</v>
      </c>
      <c r="N6834">
        <v>0</v>
      </c>
      <c r="O6834">
        <v>5.9902490000000003E-2</v>
      </c>
      <c r="P6834">
        <v>-0.99884609999999996</v>
      </c>
      <c r="Q6834">
        <v>1.501366E-2</v>
      </c>
      <c r="R6834">
        <v>4.5620819999999999E-2</v>
      </c>
      <c r="S6834">
        <v>-3.003555</v>
      </c>
      <c r="T6834">
        <v>-7.1064230000000006E-2</v>
      </c>
      <c r="U6834">
        <v>2.470398E-2</v>
      </c>
      <c r="V6834">
        <v>-1.4329440000000001E-2</v>
      </c>
      <c r="W6834">
        <v>2.3916650000000001E-2</v>
      </c>
      <c r="X6834">
        <v>0.99961129999999998</v>
      </c>
      <c r="Y6834">
        <v>-5.1661779999999997E-2</v>
      </c>
      <c r="Z6834">
        <v>-2.0274690000000001E-3</v>
      </c>
      <c r="AA6834">
        <v>0.99866259999999996</v>
      </c>
      <c r="AB6834">
        <v>19</v>
      </c>
      <c r="AC6834">
        <v>-46.746899999999997</v>
      </c>
      <c r="AD6834">
        <v>-1.1105098347466</v>
      </c>
      <c r="AE6834">
        <v>0.37590000000000101</v>
      </c>
      <c r="AF6834">
        <v>-2.4237744009190401</v>
      </c>
      <c r="AG6834">
        <v>-1.1105098347466</v>
      </c>
      <c r="AH6834">
        <v>46.659135226247798</v>
      </c>
      <c r="AI6834">
        <v>91.361574551350301</v>
      </c>
      <c r="AJ6834">
        <v>92.973637053486001</v>
      </c>
      <c r="AK6834">
        <v>46.735241675858397</v>
      </c>
      <c r="AL6834">
        <v>88.629546284137703</v>
      </c>
      <c r="AM6834">
        <v>90.821279435443003</v>
      </c>
      <c r="AN6834">
        <v>1.0000000450428099</v>
      </c>
    </row>
    <row r="6835" spans="1:40" x14ac:dyDescent="0.25">
      <c r="A6835" t="str">
        <f>"20190312150826539"</f>
        <v>20190312150826539</v>
      </c>
      <c r="B6835" t="str">
        <f>"1552374506536414"</f>
        <v>1552374506536414</v>
      </c>
      <c r="C6835" t="s">
        <v>40</v>
      </c>
      <c r="D6835">
        <v>4.6154199999999896</v>
      </c>
      <c r="E6835">
        <v>0.48561320000000002</v>
      </c>
      <c r="F6835" t="s">
        <v>77</v>
      </c>
      <c r="G6835">
        <v>-280.8399</v>
      </c>
      <c r="H6835" s="1">
        <v>-4.2969509999999998E-6</v>
      </c>
      <c r="I6835">
        <v>140.56479999999999</v>
      </c>
      <c r="J6835">
        <v>-232.06720000000001</v>
      </c>
      <c r="K6835">
        <v>1.110501</v>
      </c>
      <c r="L6835">
        <v>140.2296</v>
      </c>
      <c r="M6835">
        <v>-0.99824069999999998</v>
      </c>
      <c r="N6835">
        <v>0</v>
      </c>
      <c r="O6835">
        <v>5.862096E-2</v>
      </c>
      <c r="P6835">
        <v>-0.99891509999999994</v>
      </c>
      <c r="Q6835">
        <v>1.552507E-2</v>
      </c>
      <c r="R6835">
        <v>4.3908309999999999E-2</v>
      </c>
      <c r="S6835">
        <v>-3.0035249999999998</v>
      </c>
      <c r="T6835">
        <v>-6.8117140000000007E-2</v>
      </c>
      <c r="U6835">
        <v>2.1179199999999999E-2</v>
      </c>
      <c r="V6835">
        <v>-1.476016E-2</v>
      </c>
      <c r="W6835">
        <v>2.4401929999999999E-2</v>
      </c>
      <c r="X6835">
        <v>0.99959330000000002</v>
      </c>
      <c r="Y6835">
        <v>-5.155436E-2</v>
      </c>
      <c r="Z6835">
        <v>-1.913213E-3</v>
      </c>
      <c r="AA6835">
        <v>0.99866840000000001</v>
      </c>
      <c r="AB6835">
        <v>19</v>
      </c>
      <c r="AC6835">
        <v>-48.772699999999901</v>
      </c>
      <c r="AD6835">
        <v>-1.1105052969510001</v>
      </c>
      <c r="AE6835">
        <v>0.33519999999998601</v>
      </c>
      <c r="AF6835">
        <v>-2.5232839705476202</v>
      </c>
      <c r="AG6835">
        <v>-1.1105052969510001</v>
      </c>
      <c r="AH6835">
        <v>48.683232584705102</v>
      </c>
      <c r="AI6835">
        <v>91.304987001021203</v>
      </c>
      <c r="AJ6835">
        <v>92.967022957106494</v>
      </c>
      <c r="AK6835">
        <v>48.761227618950201</v>
      </c>
      <c r="AL6835">
        <v>88.601733665625801</v>
      </c>
      <c r="AM6835">
        <v>90.845977475014607</v>
      </c>
      <c r="AN6835">
        <v>1.00000004095791</v>
      </c>
    </row>
    <row r="6836" spans="1:40" x14ac:dyDescent="0.25">
      <c r="A6836" t="str">
        <f>"20190312150826559"</f>
        <v>20190312150826559</v>
      </c>
      <c r="B6836" t="str">
        <f>"1552374506556909"</f>
        <v>1552374506556909</v>
      </c>
      <c r="C6836" t="s">
        <v>40</v>
      </c>
      <c r="D6836">
        <v>4.5391430000000001</v>
      </c>
      <c r="E6836">
        <v>0.48625679999999999</v>
      </c>
      <c r="F6836" t="s">
        <v>42</v>
      </c>
      <c r="G6836">
        <v>-272.28210000000001</v>
      </c>
      <c r="H6836" s="1">
        <v>-3.5096930000000001E-6</v>
      </c>
      <c r="I6836">
        <v>140.42949999999999</v>
      </c>
      <c r="J6836">
        <v>-232.2422</v>
      </c>
      <c r="K6836">
        <v>1.1104879999999999</v>
      </c>
      <c r="L6836">
        <v>140.23849999999999</v>
      </c>
      <c r="M6836">
        <v>-0.99830730000000001</v>
      </c>
      <c r="N6836">
        <v>0</v>
      </c>
      <c r="O6836">
        <v>5.7481499999999998E-2</v>
      </c>
      <c r="P6836">
        <v>-0.9989557</v>
      </c>
      <c r="Q6836">
        <v>1.5628719999999999E-2</v>
      </c>
      <c r="R6836">
        <v>4.2940109999999997E-2</v>
      </c>
      <c r="S6836">
        <v>-3.0039060000000002</v>
      </c>
      <c r="T6836">
        <v>-8.2950830000000003E-2</v>
      </c>
      <c r="U6836">
        <v>1.493835E-2</v>
      </c>
      <c r="V6836">
        <v>-1.458806E-2</v>
      </c>
      <c r="W6836">
        <v>2.4478679999999999E-2</v>
      </c>
      <c r="X6836">
        <v>0.99959390000000004</v>
      </c>
      <c r="Y6836">
        <v>-5.2476460000000003E-2</v>
      </c>
      <c r="Z6836">
        <v>-2.310758E-3</v>
      </c>
      <c r="AA6836">
        <v>0.99861949999999999</v>
      </c>
      <c r="AB6836">
        <v>19</v>
      </c>
      <c r="AC6836">
        <v>-40.039900000000003</v>
      </c>
      <c r="AD6836">
        <v>-1.1104915096929999</v>
      </c>
      <c r="AE6836">
        <v>0.191000000000002</v>
      </c>
      <c r="AF6836">
        <v>-2.1093370966187601</v>
      </c>
      <c r="AG6836">
        <v>-1.1104915096929999</v>
      </c>
      <c r="AH6836">
        <v>39.953938854673297</v>
      </c>
      <c r="AI6836">
        <v>91.589872841931907</v>
      </c>
      <c r="AJ6836">
        <v>93.022080412721394</v>
      </c>
      <c r="AK6836">
        <v>40.024988749320698</v>
      </c>
      <c r="AL6836">
        <v>88.597334830819705</v>
      </c>
      <c r="AM6836">
        <v>90.8361144830576</v>
      </c>
      <c r="AN6836">
        <v>0.99999999109315796</v>
      </c>
    </row>
    <row r="6837" spans="1:40" x14ac:dyDescent="0.25">
      <c r="A6837" t="str">
        <f>"20190312150826573"</f>
        <v>20190312150826573</v>
      </c>
      <c r="B6837" t="str">
        <f>"1552374506566670"</f>
        <v>1552374506566670</v>
      </c>
      <c r="C6837" t="s">
        <v>40</v>
      </c>
      <c r="D6837">
        <v>4.4821790000000004</v>
      </c>
      <c r="E6837">
        <v>0.48751519999999998</v>
      </c>
      <c r="F6837" t="s">
        <v>42</v>
      </c>
      <c r="G6837">
        <v>-272.54039999999998</v>
      </c>
      <c r="H6837" s="1">
        <v>-3.4087040000000002E-6</v>
      </c>
      <c r="I6837">
        <v>140.4665</v>
      </c>
      <c r="J6837">
        <v>-232.3587</v>
      </c>
      <c r="K6837">
        <v>1.1104849999999999</v>
      </c>
      <c r="L6837">
        <v>140.24440000000001</v>
      </c>
      <c r="M6837">
        <v>-0.99835050000000003</v>
      </c>
      <c r="N6837">
        <v>0</v>
      </c>
      <c r="O6837">
        <v>5.6728279999999999E-2</v>
      </c>
      <c r="P6837">
        <v>-0.99896039999999997</v>
      </c>
      <c r="Q6837">
        <v>1.565602E-2</v>
      </c>
      <c r="R6837">
        <v>4.2817420000000002E-2</v>
      </c>
      <c r="S6837">
        <v>-3.0037229999999999</v>
      </c>
      <c r="T6837">
        <v>-8.2773089999999994E-2</v>
      </c>
      <c r="U6837">
        <v>1.6998289999999999E-2</v>
      </c>
      <c r="V6837">
        <v>-1.3956029999999999E-2</v>
      </c>
      <c r="W6837">
        <v>2.4485360000000001E-2</v>
      </c>
      <c r="X6837">
        <v>0.99960280000000001</v>
      </c>
      <c r="Y6837">
        <v>-5.103883E-2</v>
      </c>
      <c r="Z6837">
        <v>-2.2654060000000002E-3</v>
      </c>
      <c r="AA6837">
        <v>0.99869410000000003</v>
      </c>
      <c r="AB6837">
        <v>19</v>
      </c>
      <c r="AC6837">
        <v>-40.1816999999999</v>
      </c>
      <c r="AD6837">
        <v>-1.1104884087039999</v>
      </c>
      <c r="AE6837">
        <v>0.22209999999998301</v>
      </c>
      <c r="AF6837">
        <v>-2.0562150648703099</v>
      </c>
      <c r="AG6837">
        <v>-1.1104884087039999</v>
      </c>
      <c r="AH6837">
        <v>40.0989622883164</v>
      </c>
      <c r="AI6837">
        <v>91.584245907977206</v>
      </c>
      <c r="AJ6837">
        <v>92.935471115375293</v>
      </c>
      <c r="AK6837">
        <v>40.167001151426398</v>
      </c>
      <c r="AL6837">
        <v>88.596952035835798</v>
      </c>
      <c r="AM6837">
        <v>90.799887383530006</v>
      </c>
      <c r="AN6837">
        <v>1.0000000306977599</v>
      </c>
    </row>
    <row r="6838" spans="1:40" x14ac:dyDescent="0.25">
      <c r="A6838" t="str">
        <f>"20190312150826586"</f>
        <v>20190312150826586</v>
      </c>
      <c r="B6838" t="str">
        <f>"1552374506577136"</f>
        <v>1552374506577136</v>
      </c>
      <c r="C6838" t="s">
        <v>40</v>
      </c>
      <c r="D6838">
        <v>4.2919</v>
      </c>
      <c r="E6838">
        <v>0.48751519999999998</v>
      </c>
      <c r="F6838" t="s">
        <v>42</v>
      </c>
      <c r="G6838">
        <v>-274.37540000000001</v>
      </c>
      <c r="H6838" s="1">
        <v>-2.661828E-6</v>
      </c>
      <c r="I6838">
        <v>140.6181</v>
      </c>
      <c r="J6838">
        <v>-232.477</v>
      </c>
      <c r="K6838">
        <v>1.110482</v>
      </c>
      <c r="L6838">
        <v>140.25030000000001</v>
      </c>
      <c r="M6838">
        <v>-0.99839370000000005</v>
      </c>
      <c r="N6838">
        <v>0</v>
      </c>
      <c r="O6838">
        <v>5.5966589999999997E-2</v>
      </c>
      <c r="P6838">
        <v>-0.99898549999999997</v>
      </c>
      <c r="Q6838">
        <v>1.5714700000000002E-2</v>
      </c>
      <c r="R6838">
        <v>4.220293E-2</v>
      </c>
      <c r="S6838">
        <v>-3.0032350000000001</v>
      </c>
      <c r="T6838">
        <v>-7.9374550000000002E-2</v>
      </c>
      <c r="U6838">
        <v>2.6718140000000001E-2</v>
      </c>
      <c r="V6838">
        <v>-1.380873E-2</v>
      </c>
      <c r="W6838">
        <v>2.4521100000000001E-2</v>
      </c>
      <c r="X6838">
        <v>0.99960389999999999</v>
      </c>
      <c r="Y6838">
        <v>-4.7048449999999999E-2</v>
      </c>
      <c r="Z6838">
        <v>-2.0998940000000002E-3</v>
      </c>
      <c r="AA6838">
        <v>0.99889039999999996</v>
      </c>
      <c r="AB6838">
        <v>19</v>
      </c>
      <c r="AC6838">
        <v>-41.898400000000002</v>
      </c>
      <c r="AD6838">
        <v>-1.110484661828</v>
      </c>
      <c r="AE6838">
        <v>0.36779999999998803</v>
      </c>
      <c r="AF6838">
        <v>-1.9763900140977599</v>
      </c>
      <c r="AG6838">
        <v>-1.110484661828</v>
      </c>
      <c r="AH6838">
        <v>41.823932451822202</v>
      </c>
      <c r="AI6838">
        <v>91.519232274279801</v>
      </c>
      <c r="AJ6838">
        <v>92.705499551346094</v>
      </c>
      <c r="AK6838">
        <v>41.885327018021002</v>
      </c>
      <c r="AL6838">
        <v>88.594903571952699</v>
      </c>
      <c r="AM6838">
        <v>90.791445118952495</v>
      </c>
      <c r="AN6838">
        <v>0.99999996113231504</v>
      </c>
    </row>
    <row r="6839" spans="1:40" x14ac:dyDescent="0.25">
      <c r="A6839" t="str">
        <f>"20190312150826605"</f>
        <v>20190312150826605</v>
      </c>
      <c r="B6839" t="str">
        <f>"1552374506596655"</f>
        <v>1552374506596655</v>
      </c>
      <c r="C6839" t="s">
        <v>40</v>
      </c>
      <c r="D6839">
        <v>3.8132649999999999</v>
      </c>
      <c r="E6839">
        <v>0.50257280000000004</v>
      </c>
      <c r="F6839" t="s">
        <v>42</v>
      </c>
      <c r="G6839">
        <v>-274.60559999999998</v>
      </c>
      <c r="H6839" s="1">
        <v>-2.5579909999999999E-6</v>
      </c>
      <c r="I6839">
        <v>140.59889999999999</v>
      </c>
      <c r="J6839">
        <v>-232.63310000000001</v>
      </c>
      <c r="K6839">
        <v>1.1104849999999999</v>
      </c>
      <c r="L6839">
        <v>140.25790000000001</v>
      </c>
      <c r="M6839">
        <v>-0.9984497</v>
      </c>
      <c r="N6839">
        <v>0</v>
      </c>
      <c r="O6839">
        <v>5.4962999999999998E-2</v>
      </c>
      <c r="P6839">
        <v>-0.99897820000000004</v>
      </c>
      <c r="Q6839">
        <v>1.6145509999999998E-2</v>
      </c>
      <c r="R6839">
        <v>4.2214929999999998E-2</v>
      </c>
      <c r="S6839">
        <v>-3.0032350000000001</v>
      </c>
      <c r="T6839">
        <v>-7.9163549999999999E-2</v>
      </c>
      <c r="U6839">
        <v>2.4856570000000001E-2</v>
      </c>
      <c r="V6839">
        <v>-1.2792380000000001E-2</v>
      </c>
      <c r="W6839">
        <v>2.4919139999999999E-2</v>
      </c>
      <c r="X6839">
        <v>0.99960760000000004</v>
      </c>
      <c r="Y6839">
        <v>-4.6664160000000003E-2</v>
      </c>
      <c r="Z6839">
        <v>-2.0628460000000001E-3</v>
      </c>
      <c r="AA6839">
        <v>0.99890849999999998</v>
      </c>
      <c r="AB6839">
        <v>19</v>
      </c>
      <c r="AC6839">
        <v>-41.972499999999897</v>
      </c>
      <c r="AD6839">
        <v>-1.1104875579910001</v>
      </c>
      <c r="AE6839">
        <v>0.34099999999997899</v>
      </c>
      <c r="AF6839">
        <v>-1.96516362106406</v>
      </c>
      <c r="AG6839">
        <v>-1.1104875579910001</v>
      </c>
      <c r="AH6839">
        <v>41.898465258951703</v>
      </c>
      <c r="AI6839">
        <v>91.516560006923697</v>
      </c>
      <c r="AJ6839">
        <v>92.685375792299197</v>
      </c>
      <c r="AK6839">
        <v>41.959223559660799</v>
      </c>
      <c r="AL6839">
        <v>88.572090616177206</v>
      </c>
      <c r="AM6839">
        <v>90.733197081834206</v>
      </c>
      <c r="AN6839">
        <v>0.99999998125108103</v>
      </c>
    </row>
    <row r="6840" spans="1:40" x14ac:dyDescent="0.25">
      <c r="A6840" t="str">
        <f>"20190312150826626"</f>
        <v>20190312150826626</v>
      </c>
      <c r="B6840" t="str">
        <f>"1552374506617169"</f>
        <v>1552374506617169</v>
      </c>
      <c r="C6840" t="s">
        <v>40</v>
      </c>
      <c r="D6840">
        <v>4.8827559999999997</v>
      </c>
      <c r="E6840">
        <v>0.50596419999999998</v>
      </c>
      <c r="F6840" t="s">
        <v>41</v>
      </c>
      <c r="G6840">
        <v>-233.48519999999999</v>
      </c>
      <c r="H6840">
        <v>0.95896479999999995</v>
      </c>
      <c r="I6840">
        <v>140.29660000000001</v>
      </c>
      <c r="J6840">
        <v>-232.81720000000001</v>
      </c>
      <c r="K6840">
        <v>1.110479</v>
      </c>
      <c r="L6840">
        <v>140.26660000000001</v>
      </c>
      <c r="M6840">
        <v>-0.99851449999999997</v>
      </c>
      <c r="N6840">
        <v>0</v>
      </c>
      <c r="O6840">
        <v>5.3782009999999998E-2</v>
      </c>
      <c r="P6840">
        <v>-0.99898480000000001</v>
      </c>
      <c r="Q6840">
        <v>1.6719210000000002E-2</v>
      </c>
      <c r="R6840">
        <v>4.1836289999999998E-2</v>
      </c>
      <c r="S6840">
        <v>-3.005951</v>
      </c>
      <c r="T6840">
        <v>-0.5346379</v>
      </c>
      <c r="U6840">
        <v>0.13642879999999999</v>
      </c>
      <c r="V6840">
        <v>-1.1989059999999999E-2</v>
      </c>
      <c r="W6840">
        <v>2.5451600000000001E-2</v>
      </c>
      <c r="X6840">
        <v>0.99960420000000005</v>
      </c>
      <c r="Y6840">
        <v>-7.496244E-3</v>
      </c>
      <c r="Z6840">
        <v>-1.0141560000000001E-2</v>
      </c>
      <c r="AA6840">
        <v>0.99992049999999999</v>
      </c>
      <c r="AB6840">
        <v>19</v>
      </c>
      <c r="AC6840">
        <v>-0.66799999999997794</v>
      </c>
      <c r="AD6840">
        <v>-0.15151419999999899</v>
      </c>
      <c r="AE6840">
        <v>3.0000000000001099E-2</v>
      </c>
      <c r="AF6840">
        <v>-5.6795709509879196E-3</v>
      </c>
      <c r="AG6840">
        <v>-0.15151419999999899</v>
      </c>
      <c r="AH6840">
        <v>0.63599305223573299</v>
      </c>
      <c r="AI6840">
        <v>103.39942385554799</v>
      </c>
      <c r="AJ6840">
        <v>90.511651493151703</v>
      </c>
      <c r="AK6840">
        <v>0.65381646722910802</v>
      </c>
      <c r="AL6840">
        <v>88.541573308671602</v>
      </c>
      <c r="AM6840">
        <v>90.687161581467095</v>
      </c>
      <c r="AN6840">
        <v>1.00000003907994</v>
      </c>
    </row>
    <row r="6841" spans="1:40" x14ac:dyDescent="0.25">
      <c r="A6841" t="str">
        <f>"20190312150826649"</f>
        <v>20190312150826649</v>
      </c>
      <c r="B6841" t="str">
        <f>"1552374506646431"</f>
        <v>1552374506646431</v>
      </c>
      <c r="C6841" t="s">
        <v>40</v>
      </c>
      <c r="D6841">
        <v>4.4695729999999996</v>
      </c>
      <c r="E6841">
        <v>0.51319110000000001</v>
      </c>
      <c r="F6841" t="s">
        <v>41</v>
      </c>
      <c r="G6841">
        <v>-233.65700000000001</v>
      </c>
      <c r="H6841">
        <v>0.96133590000000002</v>
      </c>
      <c r="I6841">
        <v>140.31219999999999</v>
      </c>
      <c r="J6841">
        <v>-233.01079999999999</v>
      </c>
      <c r="K6841">
        <v>1.1104810000000001</v>
      </c>
      <c r="L6841">
        <v>140.2756</v>
      </c>
      <c r="M6841">
        <v>-0.99858080000000005</v>
      </c>
      <c r="N6841">
        <v>0</v>
      </c>
      <c r="O6841">
        <v>5.2541270000000001E-2</v>
      </c>
      <c r="P6841">
        <v>-0.99899099999999996</v>
      </c>
      <c r="Q6841">
        <v>1.71245999999999E-2</v>
      </c>
      <c r="R6841">
        <v>4.1518899999999997E-2</v>
      </c>
      <c r="S6841">
        <v>-3.0051730000000001</v>
      </c>
      <c r="T6841">
        <v>-0.53387050000000003</v>
      </c>
      <c r="U6841">
        <v>0.16258239999999999</v>
      </c>
      <c r="V6841">
        <v>-1.1065210000000001E-2</v>
      </c>
      <c r="W6841">
        <v>2.5815310000000001E-2</v>
      </c>
      <c r="X6841">
        <v>0.99960550000000004</v>
      </c>
      <c r="Y6841">
        <v>2.26451E-3</v>
      </c>
      <c r="Z6841">
        <v>-9.0492950000000006E-3</v>
      </c>
      <c r="AA6841">
        <v>0.99995650000000003</v>
      </c>
      <c r="AB6841">
        <v>19</v>
      </c>
      <c r="AC6841">
        <v>-0.64620000000002098</v>
      </c>
      <c r="AD6841">
        <v>-0.1491451</v>
      </c>
      <c r="AE6841">
        <v>3.6599999999992798E-2</v>
      </c>
      <c r="AF6841">
        <v>2.4650910870011099E-3</v>
      </c>
      <c r="AG6841">
        <v>-0.1491451</v>
      </c>
      <c r="AH6841">
        <v>0.61459553759308205</v>
      </c>
      <c r="AI6841">
        <v>103.640293498847</v>
      </c>
      <c r="AJ6841">
        <v>89.770192672456403</v>
      </c>
      <c r="AK6841">
        <v>0.63243814903704798</v>
      </c>
      <c r="AL6841">
        <v>88.520727372105398</v>
      </c>
      <c r="AM6841">
        <v>90.634214136378901</v>
      </c>
      <c r="AN6841">
        <v>1.0000000123664901</v>
      </c>
    </row>
    <row r="6842" spans="1:40" x14ac:dyDescent="0.25">
      <c r="A6842" t="str">
        <f>"20190312150826672"</f>
        <v>20190312150826672</v>
      </c>
      <c r="B6842" t="str">
        <f>"1552374506666927"</f>
        <v>1552374506666927</v>
      </c>
      <c r="C6842" t="s">
        <v>40</v>
      </c>
      <c r="D6842">
        <v>4.4580599999999997</v>
      </c>
      <c r="E6842">
        <v>0.51313850000000005</v>
      </c>
      <c r="F6842" t="s">
        <v>79</v>
      </c>
      <c r="G6842">
        <v>-511.92660000000001</v>
      </c>
      <c r="H6842">
        <v>4.4029170000000004</v>
      </c>
      <c r="I6842">
        <v>161.64830000000001</v>
      </c>
      <c r="J6842">
        <v>-233.2064</v>
      </c>
      <c r="K6842">
        <v>1.1104860000000001</v>
      </c>
      <c r="L6842">
        <v>140.28450000000001</v>
      </c>
      <c r="M6842">
        <v>-0.99864640000000005</v>
      </c>
      <c r="N6842">
        <v>0</v>
      </c>
      <c r="O6842">
        <v>5.1288069999999998E-2</v>
      </c>
      <c r="P6842">
        <v>-0.99902619999999998</v>
      </c>
      <c r="Q6842">
        <v>1.7337399999999999E-2</v>
      </c>
      <c r="R6842">
        <v>4.0572709999999998E-2</v>
      </c>
      <c r="S6842">
        <v>-2.9929049999999999</v>
      </c>
      <c r="T6842">
        <v>3.5329939999999997E-2</v>
      </c>
      <c r="U6842">
        <v>0.2293396</v>
      </c>
      <c r="V6842">
        <v>-1.075868E-2</v>
      </c>
      <c r="W6842">
        <v>2.5983570000000001E-2</v>
      </c>
      <c r="X6842">
        <v>0.99960450000000001</v>
      </c>
      <c r="Y6842">
        <v>2.516496E-2</v>
      </c>
      <c r="Z6842">
        <v>4.5574549999999998E-4</v>
      </c>
      <c r="AA6842">
        <v>0.99968319999999999</v>
      </c>
      <c r="AB6842">
        <v>19</v>
      </c>
      <c r="AC6842">
        <v>-278.72019999999998</v>
      </c>
      <c r="AD6842">
        <v>3.2924310000000001</v>
      </c>
      <c r="AE6842">
        <v>21.363800000000001</v>
      </c>
      <c r="AF6842">
        <v>7.0391479951551199</v>
      </c>
      <c r="AG6842">
        <v>3.2924310000000001</v>
      </c>
      <c r="AH6842">
        <v>279.410337211642</v>
      </c>
      <c r="AI6842">
        <v>89.325100691899706</v>
      </c>
      <c r="AJ6842">
        <v>88.556860197415702</v>
      </c>
      <c r="AK6842">
        <v>279.518382664022</v>
      </c>
      <c r="AL6842">
        <v>88.511083569313797</v>
      </c>
      <c r="AM6842">
        <v>90.616647040225004</v>
      </c>
      <c r="AN6842">
        <v>1.0000000257627599</v>
      </c>
    </row>
    <row r="6843" spans="1:40" x14ac:dyDescent="0.25">
      <c r="A6843" t="str">
        <f>"20190312150826695"</f>
        <v>20190312150826695</v>
      </c>
      <c r="B6843" t="str">
        <f>"1552374506686448"</f>
        <v>1552374506686448</v>
      </c>
      <c r="C6843" t="s">
        <v>40</v>
      </c>
      <c r="D6843">
        <v>4.4126059999999896</v>
      </c>
      <c r="E6843">
        <v>0.51074549999999996</v>
      </c>
      <c r="F6843" t="s">
        <v>79</v>
      </c>
      <c r="G6843">
        <v>-511.05579999999998</v>
      </c>
      <c r="H6843">
        <v>5.5253579999999998</v>
      </c>
      <c r="I6843">
        <v>161.30070000000001</v>
      </c>
      <c r="J6843">
        <v>-233.40289999999999</v>
      </c>
      <c r="K6843">
        <v>1.110492</v>
      </c>
      <c r="L6843">
        <v>140.29310000000001</v>
      </c>
      <c r="M6843">
        <v>-0.9987106</v>
      </c>
      <c r="N6843">
        <v>0</v>
      </c>
      <c r="O6843">
        <v>5.0031150000000003E-2</v>
      </c>
      <c r="P6843">
        <v>-0.99907060000000003</v>
      </c>
      <c r="Q6843">
        <v>1.7324470000000002E-2</v>
      </c>
      <c r="R6843">
        <v>3.9470959999999999E-2</v>
      </c>
      <c r="S6843">
        <v>-2.9928889999999999</v>
      </c>
      <c r="T6843">
        <v>4.7555800000000002E-2</v>
      </c>
      <c r="U6843">
        <v>0.22637940000000001</v>
      </c>
      <c r="V6843">
        <v>-1.06033E-2</v>
      </c>
      <c r="W6843">
        <v>2.592446E-2</v>
      </c>
      <c r="X6843">
        <v>0.99960769999999999</v>
      </c>
      <c r="Y6843">
        <v>2.5441749999999999E-2</v>
      </c>
      <c r="Z6843">
        <v>5.9136849999999995E-4</v>
      </c>
      <c r="AA6843">
        <v>0.99967609999999996</v>
      </c>
      <c r="AB6843">
        <v>19</v>
      </c>
      <c r="AC6843">
        <v>-277.65289999999999</v>
      </c>
      <c r="AD6843">
        <v>4.414866</v>
      </c>
      <c r="AE6843">
        <v>21.0076</v>
      </c>
      <c r="AF6843">
        <v>7.0876995132362604</v>
      </c>
      <c r="AG6843">
        <v>4.414866</v>
      </c>
      <c r="AH6843">
        <v>278.28627214244102</v>
      </c>
      <c r="AI6843">
        <v>89.091403297438006</v>
      </c>
      <c r="AJ6843">
        <v>88.541043754417203</v>
      </c>
      <c r="AK6843">
        <v>278.41152237133599</v>
      </c>
      <c r="AL6843">
        <v>88.514471471415305</v>
      </c>
      <c r="AM6843">
        <v>90.607739970984298</v>
      </c>
      <c r="AN6843">
        <v>1.00000003074823</v>
      </c>
    </row>
    <row r="6844" spans="1:40" x14ac:dyDescent="0.25">
      <c r="A6844" t="str">
        <f>"20190312150826716"</f>
        <v>20190312150826716</v>
      </c>
      <c r="B6844" t="str">
        <f>"1552374506706943"</f>
        <v>1552374506706943</v>
      </c>
      <c r="C6844" t="s">
        <v>40</v>
      </c>
      <c r="D6844">
        <v>4.40937</v>
      </c>
      <c r="E6844">
        <v>0.50788329999999904</v>
      </c>
      <c r="F6844" t="s">
        <v>79</v>
      </c>
      <c r="G6844">
        <v>-511.92649999999998</v>
      </c>
      <c r="H6844">
        <v>3.841513</v>
      </c>
      <c r="I6844">
        <v>159.2347</v>
      </c>
      <c r="J6844">
        <v>-233.5909</v>
      </c>
      <c r="K6844">
        <v>1.110493</v>
      </c>
      <c r="L6844">
        <v>140.30109999999999</v>
      </c>
      <c r="M6844">
        <v>-0.99877009999999999</v>
      </c>
      <c r="N6844">
        <v>0</v>
      </c>
      <c r="O6844">
        <v>4.883564E-2</v>
      </c>
      <c r="P6844">
        <v>-0.9991177</v>
      </c>
      <c r="Q6844">
        <v>1.760194E-2</v>
      </c>
      <c r="R6844">
        <v>3.8129610000000001E-2</v>
      </c>
      <c r="S6844">
        <v>-2.9942169999999999</v>
      </c>
      <c r="T6844">
        <v>2.9359819999999998E-2</v>
      </c>
      <c r="U6844">
        <v>0.20362849999999999</v>
      </c>
      <c r="V6844">
        <v>-1.074957E-2</v>
      </c>
      <c r="W6844">
        <v>2.6153269999999999E-2</v>
      </c>
      <c r="X6844">
        <v>0.99960020000000005</v>
      </c>
      <c r="Y6844">
        <v>1.9046130000000001E-2</v>
      </c>
      <c r="Z6844">
        <v>3.8470250000000001E-4</v>
      </c>
      <c r="AA6844">
        <v>0.99981850000000005</v>
      </c>
      <c r="AB6844">
        <v>19</v>
      </c>
      <c r="AC6844">
        <v>-278.3356</v>
      </c>
      <c r="AD6844">
        <v>2.73102</v>
      </c>
      <c r="AE6844">
        <v>18.933599999999998</v>
      </c>
      <c r="AF6844">
        <v>5.31730192189743</v>
      </c>
      <c r="AG6844">
        <v>2.73102</v>
      </c>
      <c r="AH6844">
        <v>278.901414374507</v>
      </c>
      <c r="AI6844">
        <v>89.439076020116801</v>
      </c>
      <c r="AJ6844">
        <v>88.907778740689196</v>
      </c>
      <c r="AK6844">
        <v>278.96546580189698</v>
      </c>
      <c r="AL6844">
        <v>88.501357211657705</v>
      </c>
      <c r="AM6844">
        <v>90.616127579777995</v>
      </c>
      <c r="AN6844">
        <v>1.0000000533134501</v>
      </c>
    </row>
    <row r="6845" spans="1:40" x14ac:dyDescent="0.25">
      <c r="A6845" t="str">
        <f>"20190312150826729"</f>
        <v>20190312150826729</v>
      </c>
      <c r="B6845" t="str">
        <f>"1552374506726463"</f>
        <v>1552374506726463</v>
      </c>
      <c r="C6845" t="s">
        <v>40</v>
      </c>
      <c r="D6845">
        <v>4.3753199999999897</v>
      </c>
      <c r="E6845">
        <v>0.50631579999999998</v>
      </c>
      <c r="F6845" t="s">
        <v>79</v>
      </c>
      <c r="G6845">
        <v>-511.92579999999998</v>
      </c>
      <c r="H6845">
        <v>1.8913329999999999</v>
      </c>
      <c r="I6845">
        <v>156.69649999999999</v>
      </c>
      <c r="J6845">
        <v>-233.7045</v>
      </c>
      <c r="K6845">
        <v>1.11049</v>
      </c>
      <c r="L6845">
        <v>140.30590000000001</v>
      </c>
      <c r="M6845">
        <v>-0.99880519999999995</v>
      </c>
      <c r="N6845">
        <v>0</v>
      </c>
      <c r="O6845">
        <v>4.8118470000000003E-2</v>
      </c>
      <c r="P6845">
        <v>-0.99912970000000001</v>
      </c>
      <c r="Q6845">
        <v>1.8273290000000001E-2</v>
      </c>
      <c r="R6845">
        <v>3.7492909999999997E-2</v>
      </c>
      <c r="S6845">
        <v>-2.9957889999999998</v>
      </c>
      <c r="T6845">
        <v>8.4048509999999996E-3</v>
      </c>
      <c r="U6845">
        <v>0.17646789999999901</v>
      </c>
      <c r="V6845">
        <v>-1.0668840000000001E-2</v>
      </c>
      <c r="W6845">
        <v>2.6792960000000001E-2</v>
      </c>
      <c r="X6845">
        <v>0.99958409999999998</v>
      </c>
      <c r="Y6845">
        <v>1.069846E-2</v>
      </c>
      <c r="Z6845">
        <v>1.198055E-4</v>
      </c>
      <c r="AA6845">
        <v>0.99994280000000002</v>
      </c>
      <c r="AB6845">
        <v>19</v>
      </c>
      <c r="AC6845">
        <v>-278.22129999999999</v>
      </c>
      <c r="AD6845">
        <v>0.78084299999999995</v>
      </c>
      <c r="AE6845">
        <v>16.3905999999999</v>
      </c>
      <c r="AF6845">
        <v>2.9835183955453002</v>
      </c>
      <c r="AG6845">
        <v>0.78084299999999995</v>
      </c>
      <c r="AH6845">
        <v>278.68552661164398</v>
      </c>
      <c r="AI6845">
        <v>89.839473803079997</v>
      </c>
      <c r="AJ6845">
        <v>89.386633084225195</v>
      </c>
      <c r="AK6845">
        <v>278.70259030123299</v>
      </c>
      <c r="AL6845">
        <v>88.464692789927796</v>
      </c>
      <c r="AM6845">
        <v>90.611510621060901</v>
      </c>
      <c r="AN6845">
        <v>1.0000000299126499</v>
      </c>
    </row>
    <row r="6846" spans="1:40" x14ac:dyDescent="0.25">
      <c r="A6846" t="str">
        <f>"20190312150826748"</f>
        <v>20190312150826748</v>
      </c>
      <c r="B6846" t="str">
        <f>"1552374506737199"</f>
        <v>1552374506737199</v>
      </c>
      <c r="C6846" t="s">
        <v>40</v>
      </c>
      <c r="D6846">
        <v>4.4057000000000004</v>
      </c>
      <c r="E6846">
        <v>0.50587369999999998</v>
      </c>
      <c r="F6846" t="s">
        <v>79</v>
      </c>
      <c r="G6846">
        <v>-511.92529999999999</v>
      </c>
      <c r="H6846">
        <v>0.3391169</v>
      </c>
      <c r="I6846">
        <v>155.31960000000001</v>
      </c>
      <c r="J6846">
        <v>-233.87209999999999</v>
      </c>
      <c r="K6846">
        <v>1.1104799999999999</v>
      </c>
      <c r="L6846">
        <v>140.31280000000001</v>
      </c>
      <c r="M6846">
        <v>-0.99885550000000001</v>
      </c>
      <c r="N6846">
        <v>0</v>
      </c>
      <c r="O6846">
        <v>4.707339E-2</v>
      </c>
      <c r="P6846">
        <v>-0.99918320000000005</v>
      </c>
      <c r="Q6846">
        <v>1.8776640000000001E-2</v>
      </c>
      <c r="R6846">
        <v>3.5786180000000001E-2</v>
      </c>
      <c r="S6846">
        <v>-2.9967039999999998</v>
      </c>
      <c r="T6846">
        <v>-8.3079339999999995E-3</v>
      </c>
      <c r="U6846">
        <v>0.16171259999999901</v>
      </c>
      <c r="V6846">
        <v>-1.1330750000000001E-2</v>
      </c>
      <c r="W6846">
        <v>2.7247219999999999E-2</v>
      </c>
      <c r="X6846">
        <v>0.99956449999999997</v>
      </c>
      <c r="Y6846">
        <v>6.8188290000000002E-3</v>
      </c>
      <c r="Z6846">
        <v>-1.208911E-4</v>
      </c>
      <c r="AA6846">
        <v>0.9999768</v>
      </c>
      <c r="AB6846">
        <v>19</v>
      </c>
      <c r="AC6846">
        <v>-278.0532</v>
      </c>
      <c r="AD6846">
        <v>-0.77136309999999897</v>
      </c>
      <c r="AE6846">
        <v>15.006799999999901</v>
      </c>
      <c r="AF6846">
        <v>1.9007716335196401</v>
      </c>
      <c r="AG6846">
        <v>-0.77136309999999897</v>
      </c>
      <c r="AH6846">
        <v>278.44924700079599</v>
      </c>
      <c r="AI6846">
        <v>90.158717280970393</v>
      </c>
      <c r="AJ6846">
        <v>89.608889224755998</v>
      </c>
      <c r="AK6846">
        <v>278.45680291410599</v>
      </c>
      <c r="AL6846">
        <v>88.438656046229497</v>
      </c>
      <c r="AM6846">
        <v>90.649459188237699</v>
      </c>
      <c r="AN6846">
        <v>0.99999999327677003</v>
      </c>
    </row>
    <row r="6847" spans="1:40" x14ac:dyDescent="0.25">
      <c r="A6847" t="str">
        <f>"20190312150826762"</f>
        <v>20190312150826762</v>
      </c>
      <c r="B6847" t="str">
        <f>"1552374506756719"</f>
        <v>1552374506756719</v>
      </c>
      <c r="C6847" t="s">
        <v>40</v>
      </c>
      <c r="D6847">
        <v>4.4317010000000003</v>
      </c>
      <c r="E6847">
        <v>0.50565079999999996</v>
      </c>
      <c r="F6847" t="s">
        <v>79</v>
      </c>
      <c r="G6847">
        <v>-511.92529999999999</v>
      </c>
      <c r="H6847">
        <v>0.30607909999999999</v>
      </c>
      <c r="I6847">
        <v>154.50290000000001</v>
      </c>
      <c r="J6847">
        <v>-233.99279999999999</v>
      </c>
      <c r="K6847">
        <v>1.110471</v>
      </c>
      <c r="L6847">
        <v>140.3176</v>
      </c>
      <c r="M6847">
        <v>-0.99889030000000001</v>
      </c>
      <c r="N6847">
        <v>0</v>
      </c>
      <c r="O6847">
        <v>4.6332119999999997E-2</v>
      </c>
      <c r="P6847">
        <v>-0.99921740000000003</v>
      </c>
      <c r="Q6847">
        <v>1.8996590000000001E-2</v>
      </c>
      <c r="R6847">
        <v>3.4696030000000003E-2</v>
      </c>
      <c r="S6847">
        <v>-2.9971160000000001</v>
      </c>
      <c r="T6847">
        <v>-8.6700919999999904E-3</v>
      </c>
      <c r="U6847">
        <v>0.15295410000000001</v>
      </c>
      <c r="V6847">
        <v>-1.1678630000000001E-2</v>
      </c>
      <c r="W6847">
        <v>2.7433119999999998E-2</v>
      </c>
      <c r="X6847">
        <v>0.99955539999999998</v>
      </c>
      <c r="Y6847">
        <v>4.6393129999999999E-3</v>
      </c>
      <c r="Z6847">
        <v>-1.2716600000000001E-4</v>
      </c>
      <c r="AA6847">
        <v>0.99998920000000002</v>
      </c>
      <c r="AB6847">
        <v>20</v>
      </c>
      <c r="AC6847">
        <v>-277.9325</v>
      </c>
      <c r="AD6847">
        <v>-0.80439189999999905</v>
      </c>
      <c r="AE6847">
        <v>14.1853</v>
      </c>
      <c r="AF6847">
        <v>1.2923920395510999</v>
      </c>
      <c r="AG6847">
        <v>-0.80439189999999905</v>
      </c>
      <c r="AH6847">
        <v>278.288937866232</v>
      </c>
      <c r="AI6847">
        <v>90.165610735213207</v>
      </c>
      <c r="AJ6847">
        <v>89.733916563219097</v>
      </c>
      <c r="AK6847">
        <v>278.293101355798</v>
      </c>
      <c r="AL6847">
        <v>88.428000760039495</v>
      </c>
      <c r="AM6847">
        <v>90.669403380411396</v>
      </c>
      <c r="AN6847">
        <v>0.99999998207038499</v>
      </c>
    </row>
    <row r="6848" spans="1:40" x14ac:dyDescent="0.25">
      <c r="A6848" t="str">
        <f>"20190312150826784"</f>
        <v>20190312150826784</v>
      </c>
      <c r="B6848" t="str">
        <f>"1552374506777215"</f>
        <v>1552374506777215</v>
      </c>
      <c r="C6848" t="s">
        <v>40</v>
      </c>
      <c r="D6848">
        <v>4.4074960000000001</v>
      </c>
      <c r="E6848">
        <v>0.50560240000000001</v>
      </c>
      <c r="F6848" t="s">
        <v>79</v>
      </c>
      <c r="G6848">
        <v>-511.92540000000002</v>
      </c>
      <c r="H6848">
        <v>0.55639359999999904</v>
      </c>
      <c r="I6848">
        <v>154.03360000000001</v>
      </c>
      <c r="J6848">
        <v>-234.1773</v>
      </c>
      <c r="K6848">
        <v>1.1104510000000001</v>
      </c>
      <c r="L6848">
        <v>140.32490000000001</v>
      </c>
      <c r="M6848">
        <v>-0.99894150000000004</v>
      </c>
      <c r="N6848">
        <v>0</v>
      </c>
      <c r="O6848">
        <v>4.5223810000000003E-2</v>
      </c>
      <c r="P6848">
        <v>-0.99926170000000003</v>
      </c>
      <c r="Q6848">
        <v>1.9542899999999998E-2</v>
      </c>
      <c r="R6848">
        <v>3.3076979999999999E-2</v>
      </c>
      <c r="S6848">
        <v>-2.9973299999999998</v>
      </c>
      <c r="T6848">
        <v>-5.9748889999999997E-3</v>
      </c>
      <c r="U6848">
        <v>0.14791869999999999</v>
      </c>
      <c r="V6848">
        <v>-1.218845E-2</v>
      </c>
      <c r="W6848">
        <v>2.7926929999999999E-2</v>
      </c>
      <c r="X6848">
        <v>0.99953570000000003</v>
      </c>
      <c r="Y6848">
        <v>4.0693810000000004E-3</v>
      </c>
      <c r="Z6848" s="1">
        <v>-8.5995949999999896E-5</v>
      </c>
      <c r="AA6848">
        <v>0.99999170000000004</v>
      </c>
      <c r="AB6848">
        <v>20</v>
      </c>
      <c r="AC6848">
        <v>-277.74810000000002</v>
      </c>
      <c r="AD6848">
        <v>-0.55405740000000003</v>
      </c>
      <c r="AE6848">
        <v>13.708699999999901</v>
      </c>
      <c r="AF6848">
        <v>1.1333975984843701</v>
      </c>
      <c r="AG6848">
        <v>-0.55405740000000003</v>
      </c>
      <c r="AH6848">
        <v>278.08278796724198</v>
      </c>
      <c r="AI6848">
        <v>90.114156094255407</v>
      </c>
      <c r="AJ6848">
        <v>89.766477674515599</v>
      </c>
      <c r="AK6848">
        <v>278.08564963577902</v>
      </c>
      <c r="AL6848">
        <v>88.399696783800195</v>
      </c>
      <c r="AM6848">
        <v>90.698636509952493</v>
      </c>
      <c r="AN6848">
        <v>1.0000000436535501</v>
      </c>
    </row>
    <row r="6849" spans="1:40" x14ac:dyDescent="0.25">
      <c r="A6849" t="str">
        <f>"20190312150826806"</f>
        <v>20190312150826806</v>
      </c>
      <c r="B6849" t="str">
        <f>"1552374506796735"</f>
        <v>1552374506796735</v>
      </c>
      <c r="C6849" t="s">
        <v>40</v>
      </c>
      <c r="D6849">
        <v>4.3815720000000002</v>
      </c>
      <c r="E6849">
        <v>0.50524069999999999</v>
      </c>
      <c r="F6849" t="s">
        <v>79</v>
      </c>
      <c r="G6849">
        <v>-511.05900000000003</v>
      </c>
      <c r="H6849">
        <v>1.0234939999999999</v>
      </c>
      <c r="I6849">
        <v>153.50190000000001</v>
      </c>
      <c r="J6849">
        <v>-234.37309999999999</v>
      </c>
      <c r="K6849">
        <v>1.1104229999999999</v>
      </c>
      <c r="L6849">
        <v>140.33240000000001</v>
      </c>
      <c r="M6849">
        <v>-0.99899269999999996</v>
      </c>
      <c r="N6849">
        <v>0</v>
      </c>
      <c r="O6849">
        <v>4.409039E-2</v>
      </c>
      <c r="P6849">
        <v>-0.99928680000000003</v>
      </c>
      <c r="Q6849">
        <v>2.0651409999999999E-2</v>
      </c>
      <c r="R6849">
        <v>3.162098E-2</v>
      </c>
      <c r="S6849">
        <v>-2.997528</v>
      </c>
      <c r="T6849">
        <v>-9.4091889999999999E-4</v>
      </c>
      <c r="U6849">
        <v>0.14265439999999999</v>
      </c>
      <c r="V6849">
        <v>-1.250979E-2</v>
      </c>
      <c r="W6849">
        <v>2.898127E-2</v>
      </c>
      <c r="X6849">
        <v>0.99950159999999999</v>
      </c>
      <c r="Y6849">
        <v>3.4485779999999999E-3</v>
      </c>
      <c r="Z6849" s="1">
        <v>-1.328462E-5</v>
      </c>
      <c r="AA6849">
        <v>0.99999400000000005</v>
      </c>
      <c r="AB6849">
        <v>20</v>
      </c>
      <c r="AC6849">
        <v>-276.6859</v>
      </c>
      <c r="AD6849">
        <v>-8.6928999999999798E-2</v>
      </c>
      <c r="AE6849">
        <v>13.169499999999999</v>
      </c>
      <c r="AF6849">
        <v>0.95707834773798095</v>
      </c>
      <c r="AG6849">
        <v>-8.6928999999999798E-2</v>
      </c>
      <c r="AH6849">
        <v>276.99745824970302</v>
      </c>
      <c r="AI6849">
        <v>90.017980796485006</v>
      </c>
      <c r="AJ6849">
        <v>89.802033086809004</v>
      </c>
      <c r="AK6849">
        <v>276.99912532788102</v>
      </c>
      <c r="AL6849">
        <v>88.339262890784099</v>
      </c>
      <c r="AM6849">
        <v>90.717078137905304</v>
      </c>
      <c r="AN6849">
        <v>0.99999992862960596</v>
      </c>
    </row>
    <row r="6850" spans="1:40" x14ac:dyDescent="0.25">
      <c r="A6850" t="str">
        <f>"20190312150826828"</f>
        <v>20190312150826828</v>
      </c>
      <c r="B6850" t="str">
        <f>"1552374506817231"</f>
        <v>1552374506817231</v>
      </c>
      <c r="C6850" t="s">
        <v>40</v>
      </c>
      <c r="D6850">
        <v>4.3914390000000001</v>
      </c>
      <c r="E6850">
        <v>0.50490109999999999</v>
      </c>
      <c r="F6850" t="s">
        <v>79</v>
      </c>
      <c r="G6850">
        <v>-511.0591</v>
      </c>
      <c r="H6850">
        <v>1.400134</v>
      </c>
      <c r="I6850">
        <v>152.83850000000001</v>
      </c>
      <c r="J6850">
        <v>-234.57140000000001</v>
      </c>
      <c r="K6850">
        <v>1.1103909999999999</v>
      </c>
      <c r="L6850">
        <v>140.3399</v>
      </c>
      <c r="M6850">
        <v>-0.99904110000000002</v>
      </c>
      <c r="N6850">
        <v>0</v>
      </c>
      <c r="O6850">
        <v>4.299327E-2</v>
      </c>
      <c r="P6850">
        <v>-0.99928550000000005</v>
      </c>
      <c r="Q6850">
        <v>2.1760959999999999E-2</v>
      </c>
      <c r="R6850">
        <v>3.0909610000000001E-2</v>
      </c>
      <c r="S6850">
        <v>-2.9977719999999999</v>
      </c>
      <c r="T6850">
        <v>3.1393770000000001E-3</v>
      </c>
      <c r="U6850">
        <v>0.13549800000000001</v>
      </c>
      <c r="V6850">
        <v>-1.212241E-2</v>
      </c>
      <c r="W6850">
        <v>3.0035579999999999E-2</v>
      </c>
      <c r="X6850">
        <v>0.99947529999999996</v>
      </c>
      <c r="Y6850">
        <v>2.1608629999999998E-3</v>
      </c>
      <c r="Z6850" s="1">
        <v>4.385046E-5</v>
      </c>
      <c r="AA6850">
        <v>0.99999769999999999</v>
      </c>
      <c r="AB6850">
        <v>20</v>
      </c>
      <c r="AC6850">
        <v>-276.48770000000002</v>
      </c>
      <c r="AD6850">
        <v>0.28974299999999997</v>
      </c>
      <c r="AE6850">
        <v>12.4986</v>
      </c>
      <c r="AF6850">
        <v>0.59952461951187497</v>
      </c>
      <c r="AG6850">
        <v>0.28974299999999997</v>
      </c>
      <c r="AH6850">
        <v>276.76910218039899</v>
      </c>
      <c r="AI6850">
        <v>89.940018571797594</v>
      </c>
      <c r="AJ6850">
        <v>89.875888686940002</v>
      </c>
      <c r="AK6850">
        <v>276.769903173231</v>
      </c>
      <c r="AL6850">
        <v>88.278829145396699</v>
      </c>
      <c r="AM6850">
        <v>90.694893485752004</v>
      </c>
      <c r="AN6850">
        <v>0.99999998210011698</v>
      </c>
    </row>
    <row r="6851" spans="1:40" x14ac:dyDescent="0.25">
      <c r="A6851" t="str">
        <f>"20190312150826851"</f>
        <v>20190312150826851</v>
      </c>
      <c r="B6851" t="str">
        <f>"1552374506846511"</f>
        <v>1552374506846511</v>
      </c>
      <c r="C6851" t="s">
        <v>40</v>
      </c>
      <c r="D6851">
        <v>4.4801919999999997</v>
      </c>
      <c r="E6851">
        <v>0.50507380000000002</v>
      </c>
      <c r="F6851" t="s">
        <v>79</v>
      </c>
      <c r="G6851">
        <v>-511.0591</v>
      </c>
      <c r="H6851">
        <v>1.478931</v>
      </c>
      <c r="I6851">
        <v>152.39699999999999</v>
      </c>
      <c r="J6851">
        <v>-234.76929999999999</v>
      </c>
      <c r="K6851">
        <v>1.1103609999999999</v>
      </c>
      <c r="L6851">
        <v>140.34719999999999</v>
      </c>
      <c r="M6851">
        <v>-0.99908609999999998</v>
      </c>
      <c r="N6851">
        <v>0</v>
      </c>
      <c r="O6851">
        <v>4.194266E-2</v>
      </c>
      <c r="P6851">
        <v>-0.99924930000000001</v>
      </c>
      <c r="Q6851">
        <v>2.3080400000000001E-2</v>
      </c>
      <c r="R6851">
        <v>3.1113910000000002E-2</v>
      </c>
      <c r="S6851">
        <v>-2.9980009999999999</v>
      </c>
      <c r="T6851">
        <v>3.9966109999999997E-3</v>
      </c>
      <c r="U6851">
        <v>0.1307373</v>
      </c>
      <c r="V6851">
        <v>-1.086522E-2</v>
      </c>
      <c r="W6851">
        <v>3.1300979999999999E-2</v>
      </c>
      <c r="X6851">
        <v>0.99945090000000003</v>
      </c>
      <c r="Y6851">
        <v>1.6241889999999901E-3</v>
      </c>
      <c r="Z6851" s="1">
        <v>5.4781589999999997E-5</v>
      </c>
      <c r="AA6851">
        <v>0.99999870000000002</v>
      </c>
      <c r="AB6851">
        <v>20</v>
      </c>
      <c r="AC6851">
        <v>-276.28980000000001</v>
      </c>
      <c r="AD6851">
        <v>0.36856999999999901</v>
      </c>
      <c r="AE6851">
        <v>12.049799999999999</v>
      </c>
      <c r="AF6851">
        <v>0.45047301117350003</v>
      </c>
      <c r="AG6851">
        <v>0.36856999999999901</v>
      </c>
      <c r="AH6851">
        <v>276.551580453231</v>
      </c>
      <c r="AI6851">
        <v>89.923640049706705</v>
      </c>
      <c r="AJ6851">
        <v>89.906671372280002</v>
      </c>
      <c r="AK6851">
        <v>276.55219294187299</v>
      </c>
      <c r="AL6851">
        <v>88.206292887762402</v>
      </c>
      <c r="AM6851">
        <v>90.622848733306</v>
      </c>
      <c r="AN6851">
        <v>0.99999995293270805</v>
      </c>
    </row>
    <row r="6852" spans="1:40" x14ac:dyDescent="0.25">
      <c r="A6852" t="str">
        <f>"20190312150826873"</f>
        <v>20190312150826873</v>
      </c>
      <c r="B6852" t="str">
        <f>"1552374506867007"</f>
        <v>1552374506867007</v>
      </c>
      <c r="C6852" t="s">
        <v>40</v>
      </c>
      <c r="D6852">
        <v>4.4516970000000002</v>
      </c>
      <c r="E6852">
        <v>0.5383057</v>
      </c>
      <c r="F6852" t="s">
        <v>79</v>
      </c>
      <c r="G6852">
        <v>-511.05919999999998</v>
      </c>
      <c r="H6852">
        <v>1.7831709999999901</v>
      </c>
      <c r="I6852">
        <v>152.5702</v>
      </c>
      <c r="J6852">
        <v>-234.97030000000001</v>
      </c>
      <c r="K6852">
        <v>1.110336</v>
      </c>
      <c r="L6852">
        <v>140.3544</v>
      </c>
      <c r="M6852">
        <v>-0.99912909999999999</v>
      </c>
      <c r="N6852">
        <v>0</v>
      </c>
      <c r="O6852">
        <v>4.0920320000000003E-2</v>
      </c>
      <c r="P6852">
        <v>-0.99919500000000006</v>
      </c>
      <c r="Q6852">
        <v>2.4221380000000001E-2</v>
      </c>
      <c r="R6852">
        <v>3.1985890000000003E-2</v>
      </c>
      <c r="S6852">
        <v>-2.9979550000000001</v>
      </c>
      <c r="T6852">
        <v>7.3009729999999997E-3</v>
      </c>
      <c r="U6852">
        <v>0.13262939999999901</v>
      </c>
      <c r="V6852">
        <v>-8.9685949999999993E-3</v>
      </c>
      <c r="W6852">
        <v>3.238999E-2</v>
      </c>
      <c r="X6852">
        <v>0.99943510000000002</v>
      </c>
      <c r="Y6852">
        <v>3.2781120000000001E-3</v>
      </c>
      <c r="Z6852" s="1">
        <v>9.5575390000000006E-5</v>
      </c>
      <c r="AA6852">
        <v>0.99999459999999996</v>
      </c>
      <c r="AB6852">
        <v>20</v>
      </c>
      <c r="AC6852">
        <v>-276.08890000000002</v>
      </c>
      <c r="AD6852">
        <v>0.67283499999999896</v>
      </c>
      <c r="AE6852">
        <v>12.2158</v>
      </c>
      <c r="AF6852">
        <v>0.90753995157992395</v>
      </c>
      <c r="AG6852">
        <v>0.67283499999999896</v>
      </c>
      <c r="AH6852">
        <v>276.35588909640001</v>
      </c>
      <c r="AI6852">
        <v>89.860504793672803</v>
      </c>
      <c r="AJ6852">
        <v>89.8118439877871</v>
      </c>
      <c r="AK6852">
        <v>276.35819831147199</v>
      </c>
      <c r="AL6852">
        <v>88.143865690883601</v>
      </c>
      <c r="AM6852">
        <v>90.5141392863991</v>
      </c>
      <c r="AN6852">
        <v>1.0000000331302401</v>
      </c>
    </row>
    <row r="6853" spans="1:40" x14ac:dyDescent="0.25">
      <c r="A6853" t="str">
        <f>"20190312150826895"</f>
        <v>20190312150826895</v>
      </c>
      <c r="B6853" t="str">
        <f>"1552374506886528"</f>
        <v>1552374506886528</v>
      </c>
      <c r="C6853" t="s">
        <v>40</v>
      </c>
      <c r="D6853">
        <v>4.4143939999999997</v>
      </c>
      <c r="E6853">
        <v>0.5419659</v>
      </c>
      <c r="F6853" t="s">
        <v>77</v>
      </c>
      <c r="G6853">
        <v>-297.57749999999999</v>
      </c>
      <c r="H6853" s="1">
        <v>-1.0671250000000001E-5</v>
      </c>
      <c r="I6853">
        <v>148.7056</v>
      </c>
      <c r="J6853">
        <v>-235.16290000000001</v>
      </c>
      <c r="K6853">
        <v>1.1103179999999999</v>
      </c>
      <c r="L6853">
        <v>140.3613</v>
      </c>
      <c r="M6853">
        <v>-0.99916729999999998</v>
      </c>
      <c r="N6853">
        <v>0</v>
      </c>
      <c r="O6853">
        <v>3.9984169999999999E-2</v>
      </c>
      <c r="P6853">
        <v>-0.99911039999999995</v>
      </c>
      <c r="Q6853">
        <v>2.552043E-2</v>
      </c>
      <c r="R6853">
        <v>3.3570950000000002E-2</v>
      </c>
      <c r="S6853">
        <v>-2.9909059999999998</v>
      </c>
      <c r="T6853">
        <v>-5.304408E-2</v>
      </c>
      <c r="U6853">
        <v>0.39895629999999999</v>
      </c>
      <c r="V6853">
        <v>-6.4444000000000003E-3</v>
      </c>
      <c r="W6853">
        <v>3.3641009999999999E-2</v>
      </c>
      <c r="X6853">
        <v>0.9994132</v>
      </c>
      <c r="Y6853">
        <v>9.2470430000000006E-2</v>
      </c>
      <c r="Z6853">
        <v>1.109516E-4</v>
      </c>
      <c r="AA6853">
        <v>0.99571540000000003</v>
      </c>
      <c r="AB6853">
        <v>20</v>
      </c>
      <c r="AC6853">
        <v>-62.414599999999901</v>
      </c>
      <c r="AD6853">
        <v>-1.11032867125</v>
      </c>
      <c r="AE6853">
        <v>8.3443000000000005</v>
      </c>
      <c r="AF6853">
        <v>5.84013266729918</v>
      </c>
      <c r="AG6853">
        <v>-1.11032867125</v>
      </c>
      <c r="AH6853">
        <v>62.6788479152954</v>
      </c>
      <c r="AI6853">
        <v>91.010487825983404</v>
      </c>
      <c r="AJ6853">
        <v>84.676806633193493</v>
      </c>
      <c r="AK6853">
        <v>62.960129886449401</v>
      </c>
      <c r="AL6853">
        <v>88.072148353643897</v>
      </c>
      <c r="AM6853">
        <v>90.369448596548395</v>
      </c>
      <c r="AN6853">
        <v>0.99999999608971002</v>
      </c>
    </row>
    <row r="6854" spans="1:40" x14ac:dyDescent="0.25">
      <c r="A6854" t="str">
        <f>"20190312150826908"</f>
        <v>20190312150826908</v>
      </c>
      <c r="B6854" t="str">
        <f>"1552374506897264"</f>
        <v>1552374506897264</v>
      </c>
      <c r="C6854" t="s">
        <v>40</v>
      </c>
      <c r="D6854">
        <v>4.4046250000000002</v>
      </c>
      <c r="E6854">
        <v>0.54294149999999997</v>
      </c>
      <c r="F6854" t="s">
        <v>77</v>
      </c>
      <c r="G6854">
        <v>-296.29820000000001</v>
      </c>
      <c r="H6854" s="1">
        <v>-1.0935919999999999E-5</v>
      </c>
      <c r="I6854">
        <v>149.2148</v>
      </c>
      <c r="J6854">
        <v>-235.28659999999999</v>
      </c>
      <c r="K6854">
        <v>1.1103050000000001</v>
      </c>
      <c r="L6854">
        <v>140.3656</v>
      </c>
      <c r="M6854">
        <v>-0.99919040000000003</v>
      </c>
      <c r="N6854">
        <v>0</v>
      </c>
      <c r="O6854">
        <v>3.9403899999999999E-2</v>
      </c>
      <c r="P6854">
        <v>-0.99906899999999998</v>
      </c>
      <c r="Q6854">
        <v>2.6214649999999999E-2</v>
      </c>
      <c r="R6854">
        <v>3.4262979999999998E-2</v>
      </c>
      <c r="S6854">
        <v>-2.9895170000000002</v>
      </c>
      <c r="T6854">
        <v>-5.4295179999999998E-2</v>
      </c>
      <c r="U6854">
        <v>0.43293759999999998</v>
      </c>
      <c r="V6854">
        <v>-5.1704409999999996E-3</v>
      </c>
      <c r="W6854">
        <v>3.4304389999999997E-2</v>
      </c>
      <c r="X6854">
        <v>0.99939809999999996</v>
      </c>
      <c r="Y6854">
        <v>0.1042033</v>
      </c>
      <c r="Z6854">
        <v>2.3001900000000001E-4</v>
      </c>
      <c r="AA6854">
        <v>0.994556</v>
      </c>
      <c r="AB6854">
        <v>20</v>
      </c>
      <c r="AC6854">
        <v>-61.011600000000001</v>
      </c>
      <c r="AD6854">
        <v>-1.1103159359200001</v>
      </c>
      <c r="AE6854">
        <v>8.8491999999999909</v>
      </c>
      <c r="AF6854">
        <v>6.4360651697367102</v>
      </c>
      <c r="AG6854">
        <v>-1.1103159359200001</v>
      </c>
      <c r="AH6854">
        <v>61.2930366067013</v>
      </c>
      <c r="AI6854">
        <v>91.032119355430197</v>
      </c>
      <c r="AJ6854">
        <v>84.005633070684794</v>
      </c>
      <c r="AK6854">
        <v>61.640020058538902</v>
      </c>
      <c r="AL6854">
        <v>88.034117618871093</v>
      </c>
      <c r="AM6854">
        <v>90.296420219833706</v>
      </c>
      <c r="AN6854">
        <v>1.0000000434584999</v>
      </c>
    </row>
    <row r="6855" spans="1:40" x14ac:dyDescent="0.25">
      <c r="A6855" t="str">
        <f>"20190312150826927"</f>
        <v>20190312150826927</v>
      </c>
      <c r="B6855" t="str">
        <f>"1552374506916783"</f>
        <v>1552374506916783</v>
      </c>
      <c r="C6855" t="s">
        <v>40</v>
      </c>
      <c r="D6855">
        <v>4.4177609999999996</v>
      </c>
      <c r="E6855">
        <v>0.54408219999999996</v>
      </c>
      <c r="F6855" t="s">
        <v>77</v>
      </c>
      <c r="G6855">
        <v>-298.39760000000001</v>
      </c>
      <c r="H6855" s="1">
        <v>-1.086194E-5</v>
      </c>
      <c r="I6855">
        <v>149.71559999999999</v>
      </c>
      <c r="J6855">
        <v>-235.45930000000001</v>
      </c>
      <c r="K6855">
        <v>1.1102879999999999</v>
      </c>
      <c r="L6855">
        <v>140.3715</v>
      </c>
      <c r="M6855">
        <v>-0.99922160000000004</v>
      </c>
      <c r="N6855">
        <v>0</v>
      </c>
      <c r="O6855">
        <v>3.8621750000000003E-2</v>
      </c>
      <c r="P6855">
        <v>-0.99898439999999999</v>
      </c>
      <c r="Q6855">
        <v>2.7204019999999999E-2</v>
      </c>
      <c r="R6855">
        <v>3.5923240000000002E-2</v>
      </c>
      <c r="S6855">
        <v>-2.9889830000000002</v>
      </c>
      <c r="T6855">
        <v>-5.2585359999999998E-2</v>
      </c>
      <c r="U6855">
        <v>0.44282529999999998</v>
      </c>
      <c r="V6855">
        <v>-2.7256350000000001E-3</v>
      </c>
      <c r="W6855">
        <v>3.5250339999999998E-2</v>
      </c>
      <c r="X6855">
        <v>0.99937480000000001</v>
      </c>
      <c r="Y6855">
        <v>0.108227</v>
      </c>
      <c r="Z6855">
        <v>2.7163170000000001E-4</v>
      </c>
      <c r="AA6855">
        <v>0.99412610000000001</v>
      </c>
      <c r="AB6855">
        <v>20</v>
      </c>
      <c r="AC6855">
        <v>-62.938299999999998</v>
      </c>
      <c r="AD6855">
        <v>-1.1102988619399901</v>
      </c>
      <c r="AE6855">
        <v>9.3440999999999903</v>
      </c>
      <c r="AF6855">
        <v>6.9041598963707598</v>
      </c>
      <c r="AG6855">
        <v>-1.1102988619399901</v>
      </c>
      <c r="AH6855">
        <v>63.232981792386397</v>
      </c>
      <c r="AI6855">
        <v>91.000003067101005</v>
      </c>
      <c r="AJ6855">
        <v>83.768783584278495</v>
      </c>
      <c r="AK6855">
        <v>63.618473526120901</v>
      </c>
      <c r="AL6855">
        <v>87.979885789613505</v>
      </c>
      <c r="AM6855">
        <v>90.156264691468905</v>
      </c>
      <c r="AN6855">
        <v>1.00000000321565</v>
      </c>
    </row>
    <row r="6856" spans="1:40" x14ac:dyDescent="0.25">
      <c r="A6856" t="str">
        <f>"20190312150826941"</f>
        <v>20190312150826941</v>
      </c>
      <c r="B6856" t="str">
        <f>"1552374506937280"</f>
        <v>1552374506937280</v>
      </c>
      <c r="C6856" t="s">
        <v>40</v>
      </c>
      <c r="D6856">
        <v>4.4595640000000003</v>
      </c>
      <c r="E6856">
        <v>0.54472010000000004</v>
      </c>
      <c r="F6856" t="s">
        <v>77</v>
      </c>
      <c r="G6856">
        <v>-302.93549999999999</v>
      </c>
      <c r="H6856" s="1">
        <v>-1.1677540000000001E-5</v>
      </c>
      <c r="I6856">
        <v>150.69280000000001</v>
      </c>
      <c r="J6856">
        <v>-235.5796</v>
      </c>
      <c r="K6856">
        <v>1.110276</v>
      </c>
      <c r="L6856">
        <v>140.37549999999999</v>
      </c>
      <c r="M6856">
        <v>-0.99924199999999996</v>
      </c>
      <c r="N6856">
        <v>0</v>
      </c>
      <c r="O6856">
        <v>3.8094999999999997E-2</v>
      </c>
      <c r="P6856">
        <v>-0.99889740000000005</v>
      </c>
      <c r="Q6856">
        <v>2.816753E-2</v>
      </c>
      <c r="R6856">
        <v>3.7560919999999998E-2</v>
      </c>
      <c r="S6856">
        <v>-2.9879609999999999</v>
      </c>
      <c r="T6856">
        <v>-4.9165960000000002E-2</v>
      </c>
      <c r="U6856">
        <v>0.45704650000000002</v>
      </c>
      <c r="V6856">
        <v>-5.5878890000000004E-4</v>
      </c>
      <c r="W6856">
        <v>3.6183390000000003E-2</v>
      </c>
      <c r="X6856">
        <v>0.99934500000000004</v>
      </c>
      <c r="Y6856">
        <v>0.1134261</v>
      </c>
      <c r="Z6856">
        <v>3.0510610000000001E-4</v>
      </c>
      <c r="AA6856">
        <v>0.99354640000000005</v>
      </c>
      <c r="AB6856">
        <v>20</v>
      </c>
      <c r="AC6856">
        <v>-67.355899999999906</v>
      </c>
      <c r="AD6856">
        <v>-1.1102876775399999</v>
      </c>
      <c r="AE6856">
        <v>10.317299999999999</v>
      </c>
      <c r="AF6856">
        <v>7.7417496875739999</v>
      </c>
      <c r="AG6856">
        <v>-1.1102876775399999</v>
      </c>
      <c r="AH6856">
        <v>67.682085960112005</v>
      </c>
      <c r="AI6856">
        <v>90.933734277918504</v>
      </c>
      <c r="AJ6856">
        <v>83.474637913754904</v>
      </c>
      <c r="AK6856">
        <v>68.132460595988604</v>
      </c>
      <c r="AL6856">
        <v>87.9263918004266</v>
      </c>
      <c r="AM6856">
        <v>90.032037226655504</v>
      </c>
      <c r="AN6856">
        <v>0.99999998949096303</v>
      </c>
    </row>
    <row r="6857" spans="1:40" x14ac:dyDescent="0.25">
      <c r="A6857" t="str">
        <f>"20190312150826973"</f>
        <v>20190312150826973</v>
      </c>
      <c r="B6857" t="str">
        <f>"1552374506966560"</f>
        <v>1552374506966560</v>
      </c>
      <c r="C6857" t="s">
        <v>40</v>
      </c>
      <c r="D6857">
        <v>4.446866</v>
      </c>
      <c r="E6857">
        <v>0.54523840000000001</v>
      </c>
      <c r="F6857" t="s">
        <v>77</v>
      </c>
      <c r="G6857">
        <v>-305.20260000000002</v>
      </c>
      <c r="H6857" s="1">
        <v>-1.232377E-5</v>
      </c>
      <c r="I6857">
        <v>151.26169999999999</v>
      </c>
      <c r="J6857">
        <v>-235.86799999999999</v>
      </c>
      <c r="K6857">
        <v>1.110244</v>
      </c>
      <c r="L6857">
        <v>140.38509999999999</v>
      </c>
      <c r="M6857">
        <v>-0.99928810000000001</v>
      </c>
      <c r="N6857">
        <v>0</v>
      </c>
      <c r="O6857">
        <v>3.6885439999999999E-2</v>
      </c>
      <c r="P6857">
        <v>-0.99876889999999996</v>
      </c>
      <c r="Q6857">
        <v>2.977697E-2</v>
      </c>
      <c r="R6857">
        <v>3.9673649999999998E-2</v>
      </c>
      <c r="S6857">
        <v>-2.9870760000000001</v>
      </c>
      <c r="T6857">
        <v>-4.7635320000000002E-2</v>
      </c>
      <c r="U6857">
        <v>0.46705629999999998</v>
      </c>
      <c r="V6857">
        <v>2.7675579999999998E-3</v>
      </c>
      <c r="W6857">
        <v>3.771538E-2</v>
      </c>
      <c r="X6857">
        <v>0.99928470000000003</v>
      </c>
      <c r="Y6857">
        <v>0.1179231</v>
      </c>
      <c r="Z6857">
        <v>3.504022E-4</v>
      </c>
      <c r="AA6857">
        <v>0.99302270000000004</v>
      </c>
      <c r="AB6857">
        <v>20</v>
      </c>
      <c r="AC6857">
        <v>-69.334599999999995</v>
      </c>
      <c r="AD6857">
        <v>-1.1102563237700001</v>
      </c>
      <c r="AE6857">
        <v>10.8765999999999</v>
      </c>
      <c r="AF6857">
        <v>8.3096009878674408</v>
      </c>
      <c r="AG6857">
        <v>-1.1102563237700001</v>
      </c>
      <c r="AH6857">
        <v>69.671179859980995</v>
      </c>
      <c r="AI6857">
        <v>90.906544885329893</v>
      </c>
      <c r="AJ6857">
        <v>83.198527698221199</v>
      </c>
      <c r="AK6857">
        <v>70.173751793415306</v>
      </c>
      <c r="AL6857">
        <v>87.8385552947462</v>
      </c>
      <c r="AM6857">
        <v>89.8413175068805</v>
      </c>
      <c r="AN6857">
        <v>1.00000001045995</v>
      </c>
    </row>
    <row r="6858" spans="1:40" x14ac:dyDescent="0.25">
      <c r="A6858" t="str">
        <f>"20190312150826995"</f>
        <v>20190312150826995</v>
      </c>
      <c r="B6858" t="str">
        <f>"1552374506987055"</f>
        <v>1552374506987055</v>
      </c>
      <c r="C6858" t="s">
        <v>40</v>
      </c>
      <c r="D6858">
        <v>4.4615269999999896</v>
      </c>
      <c r="E6858">
        <v>0.54546709999999998</v>
      </c>
      <c r="F6858" t="s">
        <v>77</v>
      </c>
      <c r="G6858">
        <v>-310.07350000000002</v>
      </c>
      <c r="H6858">
        <v>3.6804150000000001E-2</v>
      </c>
      <c r="I6858">
        <v>152.2482</v>
      </c>
      <c r="J6858">
        <v>-236.07929999999999</v>
      </c>
      <c r="K6858">
        <v>1.1102240000000001</v>
      </c>
      <c r="L6858">
        <v>140.39189999999999</v>
      </c>
      <c r="M6858">
        <v>-0.99931930000000002</v>
      </c>
      <c r="N6858">
        <v>0</v>
      </c>
      <c r="O6858">
        <v>3.6042459999999998E-2</v>
      </c>
      <c r="P6858">
        <v>-0.99870930000000002</v>
      </c>
      <c r="Q6858">
        <v>3.0909559999999999E-2</v>
      </c>
      <c r="R6858">
        <v>4.0305229999999997E-2</v>
      </c>
      <c r="S6858">
        <v>-2.9860229999999999</v>
      </c>
      <c r="T6858">
        <v>-4.3195129999999998E-2</v>
      </c>
      <c r="U6858">
        <v>0.4773712</v>
      </c>
      <c r="V6858">
        <v>4.2446960000000001E-3</v>
      </c>
      <c r="W6858">
        <v>3.8786040000000001E-2</v>
      </c>
      <c r="X6858">
        <v>0.99923859999999998</v>
      </c>
      <c r="Y6858">
        <v>0.12216100000000001</v>
      </c>
      <c r="Z6858">
        <v>3.6032920000000001E-4</v>
      </c>
      <c r="AA6858">
        <v>0.99251029999999996</v>
      </c>
      <c r="AB6858">
        <v>20</v>
      </c>
      <c r="AC6858">
        <v>-73.994200000000006</v>
      </c>
      <c r="AD6858">
        <v>-1.0734198499999901</v>
      </c>
      <c r="AE6858">
        <v>11.856299999999999</v>
      </c>
      <c r="AF6858">
        <v>9.1796970078108107</v>
      </c>
      <c r="AG6858">
        <v>-1.0734198499999901</v>
      </c>
      <c r="AH6858">
        <v>74.358206641060406</v>
      </c>
      <c r="AI6858">
        <v>90.820822344947402</v>
      </c>
      <c r="AJ6858">
        <v>82.962308561037602</v>
      </c>
      <c r="AK6858">
        <v>74.930380769112801</v>
      </c>
      <c r="AL6858">
        <v>87.777166214966101</v>
      </c>
      <c r="AM6858">
        <v>89.756612981852399</v>
      </c>
      <c r="AN6858">
        <v>1.0000000770364801</v>
      </c>
    </row>
    <row r="6859" spans="1:40" x14ac:dyDescent="0.25">
      <c r="A6859" t="str">
        <f>"20190312150827017"</f>
        <v>20190312150827017</v>
      </c>
      <c r="B6859" t="str">
        <f>"1552374507006793"</f>
        <v>1552374507006793</v>
      </c>
      <c r="C6859" t="s">
        <v>40</v>
      </c>
      <c r="D6859">
        <v>4.4494069999999999</v>
      </c>
      <c r="E6859">
        <v>0.54547869999999998</v>
      </c>
      <c r="F6859" t="s">
        <v>77</v>
      </c>
      <c r="G6859">
        <v>-314.17939999999999</v>
      </c>
      <c r="H6859">
        <v>7.9984520000000003E-2</v>
      </c>
      <c r="I6859">
        <v>152.97649999999999</v>
      </c>
      <c r="J6859">
        <v>-236.27170000000001</v>
      </c>
      <c r="K6859">
        <v>1.1102030000000001</v>
      </c>
      <c r="L6859">
        <v>140.398</v>
      </c>
      <c r="M6859">
        <v>-0.99934610000000001</v>
      </c>
      <c r="N6859">
        <v>0</v>
      </c>
      <c r="O6859">
        <v>3.5304389999999998E-2</v>
      </c>
      <c r="P6859">
        <v>-0.99867680000000003</v>
      </c>
      <c r="Q6859">
        <v>3.1715699999999999E-2</v>
      </c>
      <c r="R6859">
        <v>4.0481700000000002E-2</v>
      </c>
      <c r="S6859">
        <v>-2.9856720000000001</v>
      </c>
      <c r="T6859">
        <v>-3.9384839999999997E-2</v>
      </c>
      <c r="U6859">
        <v>0.48109439999999998</v>
      </c>
      <c r="V6859">
        <v>5.1610470000000002E-3</v>
      </c>
      <c r="W6859">
        <v>3.9534100000000003E-2</v>
      </c>
      <c r="X6859">
        <v>0.99920489999999995</v>
      </c>
      <c r="Y6859">
        <v>0.1241198</v>
      </c>
      <c r="Z6859">
        <v>3.5104759999999999E-4</v>
      </c>
      <c r="AA6859">
        <v>0.99226720000000002</v>
      </c>
      <c r="AB6859">
        <v>20</v>
      </c>
      <c r="AC6859">
        <v>-77.907699999999906</v>
      </c>
      <c r="AD6859">
        <v>-1.03021848</v>
      </c>
      <c r="AE6859">
        <v>12.578499999999901</v>
      </c>
      <c r="AF6859">
        <v>9.8184172158115306</v>
      </c>
      <c r="AG6859">
        <v>-1.03021848</v>
      </c>
      <c r="AH6859">
        <v>78.289877424783398</v>
      </c>
      <c r="AI6859">
        <v>90.748054050953499</v>
      </c>
      <c r="AJ6859">
        <v>82.851794656038905</v>
      </c>
      <c r="AK6859">
        <v>78.909869939874298</v>
      </c>
      <c r="AL6859">
        <v>87.734272475776507</v>
      </c>
      <c r="AM6859">
        <v>89.704061117680894</v>
      </c>
      <c r="AN6859">
        <v>1.0000000068264701</v>
      </c>
    </row>
    <row r="6860" spans="1:40" x14ac:dyDescent="0.25">
      <c r="A6860" t="str">
        <f>"20190312150827039"</f>
        <v>20190312150827039</v>
      </c>
      <c r="B6860" t="str">
        <f>"1552374507037046"</f>
        <v>1552374507037046</v>
      </c>
      <c r="C6860" t="s">
        <v>40</v>
      </c>
      <c r="D6860">
        <v>4.4520160000000004</v>
      </c>
      <c r="E6860">
        <v>0.54539219999999999</v>
      </c>
      <c r="F6860" t="s">
        <v>77</v>
      </c>
      <c r="G6860">
        <v>-315.47750000000002</v>
      </c>
      <c r="H6860">
        <v>7.99845E-2</v>
      </c>
      <c r="I6860">
        <v>153.17760000000001</v>
      </c>
      <c r="J6860">
        <v>-236.47380000000001</v>
      </c>
      <c r="K6860">
        <v>1.1101829999999999</v>
      </c>
      <c r="L6860">
        <v>140.40430000000001</v>
      </c>
      <c r="M6860">
        <v>-0.9993727</v>
      </c>
      <c r="N6860">
        <v>0</v>
      </c>
      <c r="O6860">
        <v>3.4560189999999998E-2</v>
      </c>
      <c r="P6860">
        <v>-0.99864719999999996</v>
      </c>
      <c r="Q6860">
        <v>3.2292479999999998E-2</v>
      </c>
      <c r="R6860">
        <v>4.0757809999999998E-2</v>
      </c>
      <c r="S6860">
        <v>-2.985703</v>
      </c>
      <c r="T6860">
        <v>-3.8834569999999999E-2</v>
      </c>
      <c r="U6860">
        <v>0.48173519999999997</v>
      </c>
      <c r="V6860">
        <v>6.183231E-3</v>
      </c>
      <c r="W6860">
        <v>4.0048680000000003E-2</v>
      </c>
      <c r="X6860">
        <v>0.99917860000000003</v>
      </c>
      <c r="Y6860">
        <v>0.1250647</v>
      </c>
      <c r="Z6860">
        <v>3.6183949999999998E-4</v>
      </c>
      <c r="AA6860">
        <v>0.99214849999999999</v>
      </c>
      <c r="AB6860">
        <v>20</v>
      </c>
      <c r="AC6860">
        <v>-79.003699999999995</v>
      </c>
      <c r="AD6860">
        <v>-1.0301985</v>
      </c>
      <c r="AE6860">
        <v>12.773300000000001</v>
      </c>
      <c r="AF6860">
        <v>10.0335418564999</v>
      </c>
      <c r="AG6860">
        <v>-1.0301985</v>
      </c>
      <c r="AH6860">
        <v>79.384808080492803</v>
      </c>
      <c r="AI6860">
        <v>90.737633610141103</v>
      </c>
      <c r="AJ6860">
        <v>82.796513055398606</v>
      </c>
      <c r="AK6860">
        <v>80.023003099810097</v>
      </c>
      <c r="AL6860">
        <v>87.704765833144705</v>
      </c>
      <c r="AM6860">
        <v>89.645440246782996</v>
      </c>
      <c r="AN6860">
        <v>1.0000000019066499</v>
      </c>
    </row>
    <row r="6861" spans="1:40" x14ac:dyDescent="0.25">
      <c r="A6861" t="str">
        <f>"20190312150827063"</f>
        <v>20190312150827063</v>
      </c>
      <c r="B6861" t="str">
        <f>"1552374507056566"</f>
        <v>1552374507056566</v>
      </c>
      <c r="C6861" t="s">
        <v>40</v>
      </c>
      <c r="D6861">
        <v>4.5159320000000003</v>
      </c>
      <c r="E6861">
        <v>0.54544700000000002</v>
      </c>
      <c r="F6861" t="s">
        <v>77</v>
      </c>
      <c r="G6861">
        <v>-312.19630000000001</v>
      </c>
      <c r="H6861">
        <v>7.998479E-2</v>
      </c>
      <c r="I6861">
        <v>152.62119999999999</v>
      </c>
      <c r="J6861">
        <v>-236.69450000000001</v>
      </c>
      <c r="K6861">
        <v>1.1101589999999999</v>
      </c>
      <c r="L6861">
        <v>140.411</v>
      </c>
      <c r="M6861">
        <v>-0.9993997</v>
      </c>
      <c r="N6861">
        <v>0</v>
      </c>
      <c r="O6861">
        <v>3.3784300000000003E-2</v>
      </c>
      <c r="P6861">
        <v>-0.9986216</v>
      </c>
      <c r="Q6861">
        <v>3.3534220000000003E-2</v>
      </c>
      <c r="R6861">
        <v>4.0382550000000003E-2</v>
      </c>
      <c r="S6861">
        <v>-2.985687</v>
      </c>
      <c r="T6861">
        <v>-4.0620089999999998E-2</v>
      </c>
      <c r="U6861">
        <v>0.48170469999999999</v>
      </c>
      <c r="V6861">
        <v>6.5856539999999998E-3</v>
      </c>
      <c r="W6861">
        <v>4.1224539999999997E-2</v>
      </c>
      <c r="X6861">
        <v>0.99912820000000002</v>
      </c>
      <c r="Y6861">
        <v>0.1258251</v>
      </c>
      <c r="Z6861">
        <v>3.9408470000000003E-4</v>
      </c>
      <c r="AA6861">
        <v>0.99205239999999995</v>
      </c>
      <c r="AB6861">
        <v>21</v>
      </c>
      <c r="AC6861">
        <v>-75.501800000000003</v>
      </c>
      <c r="AD6861">
        <v>-1.03017421</v>
      </c>
      <c r="AE6861">
        <v>12.210199999999899</v>
      </c>
      <c r="AF6861">
        <v>9.65062797826136</v>
      </c>
      <c r="AG6861">
        <v>-1.03017421</v>
      </c>
      <c r="AH6861">
        <v>75.857459926975096</v>
      </c>
      <c r="AI6861">
        <v>90.771831205592207</v>
      </c>
      <c r="AJ6861">
        <v>82.749747138169695</v>
      </c>
      <c r="AK6861">
        <v>76.475813861968007</v>
      </c>
      <c r="AL6861">
        <v>87.637338306284207</v>
      </c>
      <c r="AM6861">
        <v>89.622346046173107</v>
      </c>
      <c r="AN6861">
        <v>0.99999999678602902</v>
      </c>
    </row>
    <row r="6862" spans="1:40" x14ac:dyDescent="0.25">
      <c r="A6862" t="str">
        <f>"20190312150827086"</f>
        <v>20190312150827086</v>
      </c>
      <c r="B6862" t="str">
        <f>"1552374507077062"</f>
        <v>1552374507077062</v>
      </c>
      <c r="C6862" t="s">
        <v>40</v>
      </c>
      <c r="D6862">
        <v>4.4252180000000001</v>
      </c>
      <c r="E6862">
        <v>0.54527590000000004</v>
      </c>
      <c r="F6862" t="s">
        <v>77</v>
      </c>
      <c r="G6862">
        <v>-313.97489999999999</v>
      </c>
      <c r="H6862">
        <v>7.9984559999999996E-2</v>
      </c>
      <c r="I6862">
        <v>152.85640000000001</v>
      </c>
      <c r="J6862">
        <v>-236.90389999999999</v>
      </c>
      <c r="K6862">
        <v>1.110139</v>
      </c>
      <c r="L6862">
        <v>140.41730000000001</v>
      </c>
      <c r="M6862">
        <v>-0.99942350000000002</v>
      </c>
      <c r="N6862">
        <v>0</v>
      </c>
      <c r="O6862">
        <v>3.3082090000000001E-2</v>
      </c>
      <c r="P6862">
        <v>-0.99860300000000002</v>
      </c>
      <c r="Q6862">
        <v>3.4625080000000003E-2</v>
      </c>
      <c r="R6862">
        <v>3.9918059999999998E-2</v>
      </c>
      <c r="S6862">
        <v>-2.9860380000000002</v>
      </c>
      <c r="T6862">
        <v>-3.9804939999999997E-2</v>
      </c>
      <c r="U6862">
        <v>0.48088069999999999</v>
      </c>
      <c r="V6862">
        <v>6.8246579999999999E-3</v>
      </c>
      <c r="W6862">
        <v>4.2255519999999998E-2</v>
      </c>
      <c r="X6862">
        <v>0.99908350000000001</v>
      </c>
      <c r="Y6862">
        <v>0.12623719999999999</v>
      </c>
      <c r="Z6862">
        <v>3.981538E-4</v>
      </c>
      <c r="AA6862">
        <v>0.99199999999999999</v>
      </c>
      <c r="AB6862">
        <v>21</v>
      </c>
      <c r="AC6862">
        <v>-77.070999999999998</v>
      </c>
      <c r="AD6862">
        <v>-1.03015444</v>
      </c>
      <c r="AE6862">
        <v>12.4390999999999</v>
      </c>
      <c r="AF6862">
        <v>9.8808264265902093</v>
      </c>
      <c r="AG6862">
        <v>-1.03015444</v>
      </c>
      <c r="AH6862">
        <v>77.426853460629204</v>
      </c>
      <c r="AI6862">
        <v>90.756136607785805</v>
      </c>
      <c r="AJ6862">
        <v>82.727509107241403</v>
      </c>
      <c r="AK6862">
        <v>78.061575604495701</v>
      </c>
      <c r="AL6862">
        <v>87.578215916921195</v>
      </c>
      <c r="AM6862">
        <v>89.608623284967095</v>
      </c>
      <c r="AN6862">
        <v>0.99999997244976802</v>
      </c>
    </row>
    <row r="6863" spans="1:40" x14ac:dyDescent="0.25">
      <c r="A6863" t="str">
        <f>"20190312150827107"</f>
        <v>20190312150827107</v>
      </c>
      <c r="B6863" t="str">
        <f>"1552374507096599"</f>
        <v>1552374507096599</v>
      </c>
      <c r="C6863" t="s">
        <v>40</v>
      </c>
      <c r="D6863">
        <v>4.4302089999999996</v>
      </c>
      <c r="E6863">
        <v>0.54519300000000004</v>
      </c>
      <c r="F6863" t="s">
        <v>77</v>
      </c>
      <c r="G6863">
        <v>-316.827</v>
      </c>
      <c r="H6863">
        <v>7.9984760000000002E-2</v>
      </c>
      <c r="I6863">
        <v>153.21520000000001</v>
      </c>
      <c r="J6863">
        <v>-237.10220000000001</v>
      </c>
      <c r="K6863">
        <v>1.110125</v>
      </c>
      <c r="L6863">
        <v>140.42310000000001</v>
      </c>
      <c r="M6863">
        <v>-0.99944489999999997</v>
      </c>
      <c r="N6863">
        <v>0</v>
      </c>
      <c r="O6863">
        <v>3.2443659999999999E-2</v>
      </c>
      <c r="P6863">
        <v>-0.99861339999999998</v>
      </c>
      <c r="Q6863">
        <v>3.5792190000000002E-2</v>
      </c>
      <c r="R6863">
        <v>3.8605800000000003E-2</v>
      </c>
      <c r="S6863">
        <v>-2.9864199999999999</v>
      </c>
      <c r="T6863">
        <v>-3.849292E-2</v>
      </c>
      <c r="U6863">
        <v>0.47821039999999998</v>
      </c>
      <c r="V6863">
        <v>6.1514209999999998E-3</v>
      </c>
      <c r="W6863">
        <v>4.336744E-2</v>
      </c>
      <c r="X6863">
        <v>0.99904020000000004</v>
      </c>
      <c r="Y6863">
        <v>0.12598679999999901</v>
      </c>
      <c r="Z6863">
        <v>3.915678E-4</v>
      </c>
      <c r="AA6863">
        <v>0.99203180000000002</v>
      </c>
      <c r="AB6863">
        <v>21</v>
      </c>
      <c r="AC6863">
        <v>-79.724799999999902</v>
      </c>
      <c r="AD6863">
        <v>-1.0301402399999999</v>
      </c>
      <c r="AE6863">
        <v>12.7921</v>
      </c>
      <c r="AF6863">
        <v>10.1970672563648</v>
      </c>
      <c r="AG6863">
        <v>-1.0301402399999999</v>
      </c>
      <c r="AH6863">
        <v>80.084827008979403</v>
      </c>
      <c r="AI6863">
        <v>90.731059805854002</v>
      </c>
      <c r="AJ6863">
        <v>82.743670407260893</v>
      </c>
      <c r="AK6863">
        <v>80.737976730922995</v>
      </c>
      <c r="AL6863">
        <v>87.514449064535498</v>
      </c>
      <c r="AM6863">
        <v>89.647215390040699</v>
      </c>
      <c r="AN6863">
        <v>0.99999994802425496</v>
      </c>
    </row>
    <row r="6864" spans="1:40" x14ac:dyDescent="0.25">
      <c r="A6864" t="str">
        <f>"20190312150827128"</f>
        <v>20190312150827128</v>
      </c>
      <c r="B6864" t="str">
        <f>"1552374507117082"</f>
        <v>1552374507117082</v>
      </c>
      <c r="C6864" t="s">
        <v>40</v>
      </c>
      <c r="D6864">
        <v>4.4138299999999999</v>
      </c>
      <c r="E6864">
        <v>0.54516719999999996</v>
      </c>
      <c r="F6864" t="s">
        <v>42</v>
      </c>
      <c r="G6864">
        <v>-322.72620000000001</v>
      </c>
      <c r="H6864">
        <v>7.9986370000000001E-2</v>
      </c>
      <c r="I6864">
        <v>154.00280000000001</v>
      </c>
      <c r="J6864">
        <v>-237.30260000000001</v>
      </c>
      <c r="K6864">
        <v>1.1101110000000001</v>
      </c>
      <c r="L6864">
        <v>140.4289</v>
      </c>
      <c r="M6864">
        <v>-0.9994653</v>
      </c>
      <c r="N6864">
        <v>0</v>
      </c>
      <c r="O6864">
        <v>3.1819680000000003E-2</v>
      </c>
      <c r="P6864">
        <v>-0.99864039999999998</v>
      </c>
      <c r="Q6864">
        <v>3.6982109999999999E-2</v>
      </c>
      <c r="R6864">
        <v>3.6738020000000003E-2</v>
      </c>
      <c r="S6864">
        <v>-2.9871370000000002</v>
      </c>
      <c r="T6864">
        <v>-3.593814E-2</v>
      </c>
      <c r="U6864">
        <v>0.47375489999999998</v>
      </c>
      <c r="V6864">
        <v>4.9076709999999997E-3</v>
      </c>
      <c r="W6864">
        <v>4.4505030000000001E-2</v>
      </c>
      <c r="X6864">
        <v>0.99899709999999997</v>
      </c>
      <c r="Y6864">
        <v>0.12512690000000001</v>
      </c>
      <c r="Z6864">
        <v>3.6784239999999998E-4</v>
      </c>
      <c r="AA6864">
        <v>0.99214069999999999</v>
      </c>
      <c r="AB6864">
        <v>21</v>
      </c>
      <c r="AC6864">
        <v>-85.423599999999993</v>
      </c>
      <c r="AD6864">
        <v>-1.03012463</v>
      </c>
      <c r="AE6864">
        <v>13.5739</v>
      </c>
      <c r="AF6864">
        <v>10.847259004949599</v>
      </c>
      <c r="AG6864">
        <v>-1.03012463</v>
      </c>
      <c r="AH6864">
        <v>85.800100863555102</v>
      </c>
      <c r="AI6864">
        <v>90.68243422418</v>
      </c>
      <c r="AJ6864">
        <v>82.794619736350299</v>
      </c>
      <c r="AK6864">
        <v>86.489198706370402</v>
      </c>
      <c r="AL6864">
        <v>87.449207068205993</v>
      </c>
      <c r="AM6864">
        <v>89.718531141344698</v>
      </c>
      <c r="AN6864">
        <v>0.99999999436917697</v>
      </c>
    </row>
    <row r="6865" spans="1:40" x14ac:dyDescent="0.25">
      <c r="A6865" t="str">
        <f>"20190312150827151"</f>
        <v>20190312150827151</v>
      </c>
      <c r="B6865" t="str">
        <f>"1552374507146358"</f>
        <v>1552374507146358</v>
      </c>
      <c r="C6865" t="s">
        <v>40</v>
      </c>
      <c r="D6865">
        <v>4.4934710000000004</v>
      </c>
      <c r="E6865">
        <v>0.54529430000000001</v>
      </c>
      <c r="F6865" t="s">
        <v>43</v>
      </c>
      <c r="G6865">
        <v>-339.3306</v>
      </c>
      <c r="H6865">
        <v>-0.05</v>
      </c>
      <c r="I6865">
        <v>156.4075</v>
      </c>
      <c r="J6865">
        <v>-237.5094</v>
      </c>
      <c r="K6865">
        <v>1.1101019999999999</v>
      </c>
      <c r="L6865">
        <v>140.43469999999999</v>
      </c>
      <c r="M6865">
        <v>-0.99948539999999997</v>
      </c>
      <c r="N6865">
        <v>0</v>
      </c>
      <c r="O6865">
        <v>3.1195770000000001E-2</v>
      </c>
      <c r="P6865">
        <v>-0.998699</v>
      </c>
      <c r="Q6865">
        <v>3.7564899999999998E-2</v>
      </c>
      <c r="R6865">
        <v>3.4487990000000003E-2</v>
      </c>
      <c r="S6865">
        <v>-2.9881289999999998</v>
      </c>
      <c r="T6865">
        <v>-3.3976550000000001E-2</v>
      </c>
      <c r="U6865">
        <v>0.46797179999999999</v>
      </c>
      <c r="V6865">
        <v>3.2809789999999998E-3</v>
      </c>
      <c r="W6865">
        <v>4.5039490000000001E-2</v>
      </c>
      <c r="X6865">
        <v>0.99897979999999997</v>
      </c>
      <c r="Y6865">
        <v>0.1238223</v>
      </c>
      <c r="Z6865">
        <v>3.4736959999999998E-4</v>
      </c>
      <c r="AA6865">
        <v>0.99230430000000003</v>
      </c>
      <c r="AB6865">
        <v>21</v>
      </c>
      <c r="AC6865">
        <v>-101.8212</v>
      </c>
      <c r="AD6865">
        <v>-1.160102</v>
      </c>
      <c r="AE6865">
        <v>15.972799999999999</v>
      </c>
      <c r="AF6865">
        <v>12.7869261708513</v>
      </c>
      <c r="AG6865">
        <v>-1.160102</v>
      </c>
      <c r="AH6865">
        <v>102.25698248298001</v>
      </c>
      <c r="AI6865">
        <v>90.644968178428996</v>
      </c>
      <c r="AJ6865">
        <v>82.872333693369995</v>
      </c>
      <c r="AK6865">
        <v>103.059894159045</v>
      </c>
      <c r="AL6865">
        <v>87.418553991626595</v>
      </c>
      <c r="AM6865">
        <v>89.811822447810499</v>
      </c>
      <c r="AN6865">
        <v>0.99999998064534901</v>
      </c>
    </row>
    <row r="6866" spans="1:40" x14ac:dyDescent="0.25">
      <c r="A6866" t="str">
        <f>"20190312150827174"</f>
        <v>20190312150827174</v>
      </c>
      <c r="B6866" t="str">
        <f>"1552374507166855"</f>
        <v>1552374507166855</v>
      </c>
      <c r="C6866" t="s">
        <v>40</v>
      </c>
      <c r="D6866">
        <v>4.7661439999999997</v>
      </c>
      <c r="E6866">
        <v>0.54390850000000002</v>
      </c>
      <c r="F6866" t="s">
        <v>43</v>
      </c>
      <c r="G6866">
        <v>-349.64179999999999</v>
      </c>
      <c r="H6866">
        <v>-0.05</v>
      </c>
      <c r="I6866">
        <v>157.77359999999999</v>
      </c>
      <c r="J6866">
        <v>-237.7354</v>
      </c>
      <c r="K6866">
        <v>1.1101000000000001</v>
      </c>
      <c r="L6866">
        <v>140.441</v>
      </c>
      <c r="M6866">
        <v>-0.99950600000000001</v>
      </c>
      <c r="N6866">
        <v>0</v>
      </c>
      <c r="O6866">
        <v>3.0536859999999999E-2</v>
      </c>
      <c r="P6866">
        <v>-0.99880469999999999</v>
      </c>
      <c r="Q6866">
        <v>3.81243E-2</v>
      </c>
      <c r="R6866">
        <v>3.05928E-2</v>
      </c>
      <c r="S6866">
        <v>-2.9891200000000002</v>
      </c>
      <c r="T6866">
        <v>-3.0924920000000002E-2</v>
      </c>
      <c r="U6866">
        <v>0.462204</v>
      </c>
      <c r="V6866" s="1">
        <v>4.3430979999999997E-5</v>
      </c>
      <c r="W6866">
        <v>4.5551099999999997E-2</v>
      </c>
      <c r="X6866">
        <v>0.99896200000000002</v>
      </c>
      <c r="Y6866">
        <v>0.1225576</v>
      </c>
      <c r="Z6866">
        <v>3.1637560000000002E-4</v>
      </c>
      <c r="AA6866">
        <v>0.99246140000000005</v>
      </c>
      <c r="AB6866">
        <v>21</v>
      </c>
      <c r="AC6866">
        <v>-111.9064</v>
      </c>
      <c r="AD6866">
        <v>-1.1600999999999999</v>
      </c>
      <c r="AE6866">
        <v>17.3325999999999</v>
      </c>
      <c r="AF6866">
        <v>13.905692445824201</v>
      </c>
      <c r="AG6866">
        <v>-1.1600999999999999</v>
      </c>
      <c r="AH6866">
        <v>112.371712904009</v>
      </c>
      <c r="AI6866">
        <v>90.587010414662402</v>
      </c>
      <c r="AJ6866">
        <v>82.945666532984006</v>
      </c>
      <c r="AK6866">
        <v>113.23478253341101</v>
      </c>
      <c r="AL6866">
        <v>87.389210807428995</v>
      </c>
      <c r="AM6866">
        <v>89.997509002491995</v>
      </c>
      <c r="AN6866">
        <v>0.99999999102073001</v>
      </c>
    </row>
    <row r="6867" spans="1:40" x14ac:dyDescent="0.25">
      <c r="A6867" t="str">
        <f>"20190312150827196"</f>
        <v>20190312150827196</v>
      </c>
      <c r="B6867" t="str">
        <f>"1552374507186378"</f>
        <v>1552374507186378</v>
      </c>
      <c r="C6867" t="s">
        <v>40</v>
      </c>
      <c r="D6867">
        <v>4.6452220000000004</v>
      </c>
      <c r="E6867">
        <v>0.46237450000000002</v>
      </c>
      <c r="F6867" t="s">
        <v>43</v>
      </c>
      <c r="G6867">
        <v>-349.5222</v>
      </c>
      <c r="H6867">
        <v>-0.05</v>
      </c>
      <c r="I6867">
        <v>156.86179999999999</v>
      </c>
      <c r="J6867">
        <v>-237.94130000000001</v>
      </c>
      <c r="K6867">
        <v>1.1100909999999999</v>
      </c>
      <c r="L6867">
        <v>140.44659999999999</v>
      </c>
      <c r="M6867">
        <v>-0.99952390000000002</v>
      </c>
      <c r="N6867">
        <v>0</v>
      </c>
      <c r="O6867">
        <v>2.9957009999999999E-2</v>
      </c>
      <c r="P6867">
        <v>-0.99889269999999997</v>
      </c>
      <c r="Q6867">
        <v>3.9117489999999998E-2</v>
      </c>
      <c r="R6867">
        <v>2.6139860000000001E-2</v>
      </c>
      <c r="S6867">
        <v>-2.9913180000000001</v>
      </c>
      <c r="T6867">
        <v>-3.1043290000000001E-2</v>
      </c>
      <c r="U6867">
        <v>0.4394073</v>
      </c>
      <c r="V6867">
        <v>-3.8308690000000002E-3</v>
      </c>
      <c r="W6867">
        <v>4.650137E-2</v>
      </c>
      <c r="X6867">
        <v>0.99891090000000005</v>
      </c>
      <c r="Y6867">
        <v>0.11562509999999999</v>
      </c>
      <c r="Z6867">
        <v>2.8772409999999998E-4</v>
      </c>
      <c r="AA6867">
        <v>0.99329290000000003</v>
      </c>
      <c r="AB6867">
        <v>21</v>
      </c>
      <c r="AC6867">
        <v>-111.5809</v>
      </c>
      <c r="AD6867">
        <v>-1.160091</v>
      </c>
      <c r="AE6867">
        <v>16.415199999999999</v>
      </c>
      <c r="AF6867">
        <v>13.0637287425964</v>
      </c>
      <c r="AG6867">
        <v>-1.160091</v>
      </c>
      <c r="AH6867">
        <v>112.01073087902201</v>
      </c>
      <c r="AI6867">
        <v>90.589394294960698</v>
      </c>
      <c r="AJ6867">
        <v>83.347689382549902</v>
      </c>
      <c r="AK6867">
        <v>112.775931172574</v>
      </c>
      <c r="AL6867">
        <v>87.334706658707603</v>
      </c>
      <c r="AM6867">
        <v>90.219730858386697</v>
      </c>
      <c r="AN6867">
        <v>1.00000001955399</v>
      </c>
    </row>
    <row r="6868" spans="1:40" x14ac:dyDescent="0.25">
      <c r="A6868" t="str">
        <f>"20190312150827217"</f>
        <v>20190312150827217</v>
      </c>
      <c r="B6868" t="str">
        <f>"1552374507206870"</f>
        <v>1552374507206870</v>
      </c>
      <c r="C6868" t="s">
        <v>40</v>
      </c>
      <c r="D6868">
        <v>4.3501599999999998</v>
      </c>
      <c r="E6868">
        <v>0.44214360000000003</v>
      </c>
      <c r="F6868" t="s">
        <v>77</v>
      </c>
      <c r="G6868">
        <v>-299.28800000000001</v>
      </c>
      <c r="H6868" s="1">
        <v>-6.8903559999999998E-6</v>
      </c>
      <c r="I6868">
        <v>135.86840000000001</v>
      </c>
      <c r="J6868">
        <v>-238.14410000000001</v>
      </c>
      <c r="K6868">
        <v>1.1100829999999999</v>
      </c>
      <c r="L6868">
        <v>140.452</v>
      </c>
      <c r="M6868">
        <v>-0.99954069999999995</v>
      </c>
      <c r="N6868">
        <v>0</v>
      </c>
      <c r="O6868">
        <v>2.9404039999999999E-2</v>
      </c>
      <c r="P6868">
        <v>-0.99900690000000003</v>
      </c>
      <c r="Q6868">
        <v>3.9280269999999999E-2</v>
      </c>
      <c r="R6868">
        <v>2.1032080000000002E-2</v>
      </c>
      <c r="S6868">
        <v>-3.0113370000000002</v>
      </c>
      <c r="T6868">
        <v>-5.4491520000000002E-2</v>
      </c>
      <c r="U6868">
        <v>-0.2247314</v>
      </c>
      <c r="V6868">
        <v>-8.3862699999999995E-3</v>
      </c>
      <c r="W6868">
        <v>4.6623789999999998E-2</v>
      </c>
      <c r="X6868">
        <v>0.99887729999999997</v>
      </c>
      <c r="Y6868">
        <v>-0.1036909</v>
      </c>
      <c r="Z6868">
        <v>-1.4681879999999901E-3</v>
      </c>
      <c r="AA6868">
        <v>0.99460850000000001</v>
      </c>
      <c r="AB6868">
        <v>21</v>
      </c>
      <c r="AC6868">
        <v>-61.143900000000002</v>
      </c>
      <c r="AD6868">
        <v>-1.1100898903559999</v>
      </c>
      <c r="AE6868">
        <v>-4.5835999999999899</v>
      </c>
      <c r="AF6868">
        <v>-6.3774536466552698</v>
      </c>
      <c r="AG6868">
        <v>-1.1100898903559999</v>
      </c>
      <c r="AH6868">
        <v>60.962698375714197</v>
      </c>
      <c r="AI6868">
        <v>91.037541858984497</v>
      </c>
      <c r="AJ6868">
        <v>95.972125890474203</v>
      </c>
      <c r="AK6868">
        <v>61.305422336268201</v>
      </c>
      <c r="AL6868">
        <v>87.327684798146706</v>
      </c>
      <c r="AM6868">
        <v>90.481026636207602</v>
      </c>
      <c r="AN6868">
        <v>0.99999998388688305</v>
      </c>
    </row>
    <row r="6869" spans="1:40" x14ac:dyDescent="0.25">
      <c r="A6869" t="str">
        <f>"20190312150827240"</f>
        <v>20190312150827240</v>
      </c>
      <c r="B6869" t="str">
        <f>"1552374507237126"</f>
        <v>1552374507237126</v>
      </c>
      <c r="C6869" t="s">
        <v>40</v>
      </c>
      <c r="D6869">
        <v>4.2885289999999996</v>
      </c>
      <c r="E6869">
        <v>0.43039680000000002</v>
      </c>
      <c r="F6869" t="s">
        <v>42</v>
      </c>
      <c r="G6869">
        <v>-265.50749999999999</v>
      </c>
      <c r="H6869" s="1">
        <v>-2.410229E-6</v>
      </c>
      <c r="I6869">
        <v>136.7938</v>
      </c>
      <c r="J6869">
        <v>-238.3562</v>
      </c>
      <c r="K6869">
        <v>1.1100699999999999</v>
      </c>
      <c r="L6869">
        <v>140.45760000000001</v>
      </c>
      <c r="M6869">
        <v>-0.99955709999999998</v>
      </c>
      <c r="N6869">
        <v>0</v>
      </c>
      <c r="O6869">
        <v>2.8846139999999999E-2</v>
      </c>
      <c r="P6869">
        <v>-0.99905710000000003</v>
      </c>
      <c r="Q6869">
        <v>4.0094100000000001E-2</v>
      </c>
      <c r="R6869">
        <v>1.6657450000000001E-2</v>
      </c>
      <c r="S6869">
        <v>-3.0162810000000002</v>
      </c>
      <c r="T6869">
        <v>-0.1223654</v>
      </c>
      <c r="U6869">
        <v>-0.40324399999999999</v>
      </c>
      <c r="V6869">
        <v>-1.2202360000000001E-2</v>
      </c>
      <c r="W6869">
        <v>4.7399230000000001E-2</v>
      </c>
      <c r="X6869">
        <v>0.99880150000000001</v>
      </c>
      <c r="Y6869">
        <v>-0.16089419999999999</v>
      </c>
      <c r="Z6869">
        <v>-4.4128809999999996E-3</v>
      </c>
      <c r="AA6869">
        <v>0.9869618</v>
      </c>
      <c r="AB6869">
        <v>21</v>
      </c>
      <c r="AC6869">
        <v>-27.1512999999999</v>
      </c>
      <c r="AD6869">
        <v>-1.1100724102290001</v>
      </c>
      <c r="AE6869">
        <v>-3.6638000000000002</v>
      </c>
      <c r="AF6869">
        <v>-4.43822036150579</v>
      </c>
      <c r="AG6869">
        <v>-1.1100724102290001</v>
      </c>
      <c r="AH6869">
        <v>26.990002894802</v>
      </c>
      <c r="AI6869">
        <v>92.324015373198804</v>
      </c>
      <c r="AJ6869">
        <v>99.338114551738201</v>
      </c>
      <c r="AK6869">
        <v>27.374994374330999</v>
      </c>
      <c r="AL6869">
        <v>87.2832062515063</v>
      </c>
      <c r="AM6869">
        <v>90.699947835095898</v>
      </c>
      <c r="AN6869">
        <v>1.0000000104982001</v>
      </c>
    </row>
    <row r="6870" spans="1:40" x14ac:dyDescent="0.25">
      <c r="A6870" t="str">
        <f>"20190312150827264"</f>
        <v>20190312150827264</v>
      </c>
      <c r="B6870" t="str">
        <f>"1552374507256647"</f>
        <v>1552374507256647</v>
      </c>
      <c r="C6870" t="s">
        <v>40</v>
      </c>
      <c r="D6870">
        <v>4.2541820000000001</v>
      </c>
      <c r="E6870">
        <v>0.4275853</v>
      </c>
      <c r="F6870" t="s">
        <v>42</v>
      </c>
      <c r="G6870">
        <v>-257.83969999999999</v>
      </c>
      <c r="H6870" s="1">
        <v>-1.3756940000000001E-6</v>
      </c>
      <c r="I6870">
        <v>137.15639999999999</v>
      </c>
      <c r="J6870">
        <v>-238.58330000000001</v>
      </c>
      <c r="K6870">
        <v>1.11005</v>
      </c>
      <c r="L6870">
        <v>140.46350000000001</v>
      </c>
      <c r="M6870">
        <v>-0.99957359999999995</v>
      </c>
      <c r="N6870">
        <v>0</v>
      </c>
      <c r="O6870">
        <v>2.827319E-2</v>
      </c>
      <c r="P6870">
        <v>-0.99910109999999996</v>
      </c>
      <c r="Q6870">
        <v>4.0419509999999999E-2</v>
      </c>
      <c r="R6870">
        <v>1.277498E-2</v>
      </c>
      <c r="S6870">
        <v>-3.0182500000000001</v>
      </c>
      <c r="T6870">
        <v>-0.1719646</v>
      </c>
      <c r="U6870">
        <v>-0.51138309999999998</v>
      </c>
      <c r="V6870">
        <v>-1.5510690000000001E-2</v>
      </c>
      <c r="W6870">
        <v>4.7687390000000003E-2</v>
      </c>
      <c r="X6870">
        <v>0.99874189999999996</v>
      </c>
      <c r="Y6870">
        <v>-0.19450790000000001</v>
      </c>
      <c r="Z6870">
        <v>-7.0964969999999898E-3</v>
      </c>
      <c r="AA6870">
        <v>0.98087530000000001</v>
      </c>
      <c r="AB6870">
        <v>21</v>
      </c>
      <c r="AC6870">
        <v>-19.2563999999999</v>
      </c>
      <c r="AD6870">
        <v>-1.110051375694</v>
      </c>
      <c r="AE6870">
        <v>-3.3071000000000201</v>
      </c>
      <c r="AF6870">
        <v>-3.8378442699736999</v>
      </c>
      <c r="AG6870">
        <v>-1.110051375694</v>
      </c>
      <c r="AH6870">
        <v>19.093565817675</v>
      </c>
      <c r="AI6870">
        <v>93.262184241943402</v>
      </c>
      <c r="AJ6870">
        <v>101.365122237115</v>
      </c>
      <c r="AK6870">
        <v>19.5070632933596</v>
      </c>
      <c r="AL6870">
        <v>87.266677250082395</v>
      </c>
      <c r="AM6870">
        <v>90.889745025199602</v>
      </c>
      <c r="AN6870">
        <v>1.00000002574244</v>
      </c>
    </row>
    <row r="6871" spans="1:40" x14ac:dyDescent="0.25">
      <c r="A6871" t="str">
        <f>"20190312150827287"</f>
        <v>20190312150827287</v>
      </c>
      <c r="B6871" t="str">
        <f>"1552374507277142"</f>
        <v>1552374507277142</v>
      </c>
      <c r="C6871" t="s">
        <v>40</v>
      </c>
      <c r="D6871">
        <v>4.2628219999999999</v>
      </c>
      <c r="E6871">
        <v>0.42608829999999998</v>
      </c>
      <c r="F6871" t="s">
        <v>42</v>
      </c>
      <c r="G6871">
        <v>-256.94549999999998</v>
      </c>
      <c r="H6871" s="1">
        <v>-1.7314709999999999E-6</v>
      </c>
      <c r="I6871">
        <v>137.14259999999999</v>
      </c>
      <c r="J6871">
        <v>-238.8081</v>
      </c>
      <c r="K6871">
        <v>1.110031</v>
      </c>
      <c r="L6871">
        <v>140.4692</v>
      </c>
      <c r="M6871">
        <v>-0.99958910000000001</v>
      </c>
      <c r="N6871">
        <v>0</v>
      </c>
      <c r="O6871">
        <v>2.7735590000000001E-2</v>
      </c>
      <c r="P6871">
        <v>-0.99909550000000003</v>
      </c>
      <c r="Q6871">
        <v>4.1417099999999998E-2</v>
      </c>
      <c r="R6871">
        <v>9.6369999999999997E-3</v>
      </c>
      <c r="S6871">
        <v>-3.0170590000000002</v>
      </c>
      <c r="T6871">
        <v>-0.18239089999999999</v>
      </c>
      <c r="U6871">
        <v>-0.54563899999999999</v>
      </c>
      <c r="V6871">
        <v>-1.81091E-2</v>
      </c>
      <c r="W6871">
        <v>4.8648530000000002E-2</v>
      </c>
      <c r="X6871">
        <v>0.99865179999999998</v>
      </c>
      <c r="Y6871">
        <v>-0.20477790000000001</v>
      </c>
      <c r="Z6871">
        <v>-7.7971239999999999E-3</v>
      </c>
      <c r="AA6871">
        <v>0.97877740000000002</v>
      </c>
      <c r="AB6871">
        <v>21</v>
      </c>
      <c r="AC6871">
        <v>-18.1373999999999</v>
      </c>
      <c r="AD6871">
        <v>-1.1100327314709999</v>
      </c>
      <c r="AE6871">
        <v>-3.3266000000000102</v>
      </c>
      <c r="AF6871">
        <v>-3.8145620020070301</v>
      </c>
      <c r="AG6871">
        <v>-1.1100327314709999</v>
      </c>
      <c r="AH6871">
        <v>17.9730255764369</v>
      </c>
      <c r="AI6871">
        <v>93.457340564050597</v>
      </c>
      <c r="AJ6871">
        <v>101.982544774926</v>
      </c>
      <c r="AK6871">
        <v>18.4068656838514</v>
      </c>
      <c r="AL6871">
        <v>87.211543967171195</v>
      </c>
      <c r="AM6871">
        <v>91.038861889755793</v>
      </c>
      <c r="AN6871">
        <v>1.0000000183086</v>
      </c>
    </row>
    <row r="6872" spans="1:40" x14ac:dyDescent="0.25">
      <c r="A6872" t="str">
        <f>"20190312150827308"</f>
        <v>20190312150827308</v>
      </c>
      <c r="B6872" t="str">
        <f>"1552374507296662"</f>
        <v>1552374507296662</v>
      </c>
      <c r="C6872" t="s">
        <v>40</v>
      </c>
      <c r="D6872">
        <v>4.2093410000000002</v>
      </c>
      <c r="E6872">
        <v>0.42547040000000003</v>
      </c>
      <c r="F6872" t="s">
        <v>42</v>
      </c>
      <c r="G6872">
        <v>-256.68090000000001</v>
      </c>
      <c r="H6872" s="1">
        <v>-1.85091E-6</v>
      </c>
      <c r="I6872">
        <v>137.10900000000001</v>
      </c>
      <c r="J6872">
        <v>-239.0085</v>
      </c>
      <c r="K6872">
        <v>1.1100219999999901</v>
      </c>
      <c r="L6872">
        <v>140.4742</v>
      </c>
      <c r="M6872">
        <v>-0.99960179999999998</v>
      </c>
      <c r="N6872">
        <v>0</v>
      </c>
      <c r="O6872">
        <v>2.7282310000000001E-2</v>
      </c>
      <c r="P6872">
        <v>-0.99910659999999896</v>
      </c>
      <c r="Q6872">
        <v>4.1571650000000002E-2</v>
      </c>
      <c r="R6872">
        <v>7.6316250000000004E-3</v>
      </c>
      <c r="S6872">
        <v>-3.01593</v>
      </c>
      <c r="T6872">
        <v>-0.18731200000000001</v>
      </c>
      <c r="U6872">
        <v>-0.56700130000000004</v>
      </c>
      <c r="V6872">
        <v>-1.9659449999999998E-2</v>
      </c>
      <c r="W6872">
        <v>4.8772830000000003E-2</v>
      </c>
      <c r="X6872">
        <v>0.99861639999999996</v>
      </c>
      <c r="Y6872">
        <v>-0.21106559999999999</v>
      </c>
      <c r="Z6872">
        <v>-8.1704780000000001E-3</v>
      </c>
      <c r="AA6872">
        <v>0.97743769999999996</v>
      </c>
      <c r="AB6872">
        <v>22</v>
      </c>
      <c r="AC6872">
        <v>-17.6724</v>
      </c>
      <c r="AD6872">
        <v>-1.11002385090999</v>
      </c>
      <c r="AE6872">
        <v>-3.3651999999999802</v>
      </c>
      <c r="AF6872">
        <v>-3.8315163964151</v>
      </c>
      <c r="AG6872">
        <v>-1.11002385090999</v>
      </c>
      <c r="AH6872">
        <v>17.507354769669998</v>
      </c>
      <c r="AI6872">
        <v>93.544221565762001</v>
      </c>
      <c r="AJ6872">
        <v>102.34465442316601</v>
      </c>
      <c r="AK6872">
        <v>17.956061424395799</v>
      </c>
      <c r="AL6872">
        <v>87.2044135826618</v>
      </c>
      <c r="AM6872">
        <v>91.127818477566606</v>
      </c>
      <c r="AN6872">
        <v>0.99999999863473499</v>
      </c>
    </row>
    <row r="6873" spans="1:40" x14ac:dyDescent="0.25">
      <c r="A6873" t="str">
        <f>"20190312150827329"</f>
        <v>20190312150827329</v>
      </c>
      <c r="B6873" t="str">
        <f>"1552374507326918"</f>
        <v>1552374507326918</v>
      </c>
      <c r="C6873" t="s">
        <v>40</v>
      </c>
      <c r="D6873">
        <v>4.1928000000000001</v>
      </c>
      <c r="E6873">
        <v>0.42467929999999998</v>
      </c>
      <c r="F6873" t="s">
        <v>42</v>
      </c>
      <c r="G6873">
        <v>-256.6764</v>
      </c>
      <c r="H6873" s="1">
        <v>-1.8564929999999999E-6</v>
      </c>
      <c r="I6873">
        <v>137.08860000000001</v>
      </c>
      <c r="J6873">
        <v>-239.21950000000001</v>
      </c>
      <c r="K6873">
        <v>1.110004</v>
      </c>
      <c r="L6873">
        <v>140.4795</v>
      </c>
      <c r="M6873">
        <v>-0.99961429999999996</v>
      </c>
      <c r="N6873">
        <v>0</v>
      </c>
      <c r="O6873">
        <v>2.6829249999999999E-2</v>
      </c>
      <c r="P6873">
        <v>-0.99909899999999996</v>
      </c>
      <c r="Q6873">
        <v>4.1977380000000002E-2</v>
      </c>
      <c r="R6873">
        <v>6.2952279999999999E-3</v>
      </c>
      <c r="S6873">
        <v>-3.015015</v>
      </c>
      <c r="T6873">
        <v>-0.1894255</v>
      </c>
      <c r="U6873">
        <v>-0.57774349999999997</v>
      </c>
      <c r="V6873">
        <v>-2.0540940000000001E-2</v>
      </c>
      <c r="W6873">
        <v>4.9151939999999998E-2</v>
      </c>
      <c r="X6873">
        <v>0.99858009999999997</v>
      </c>
      <c r="Y6873">
        <v>-0.2140222</v>
      </c>
      <c r="Z6873">
        <v>-8.3260030000000002E-3</v>
      </c>
      <c r="AA6873">
        <v>0.97679329999999998</v>
      </c>
      <c r="AB6873">
        <v>22</v>
      </c>
      <c r="AC6873">
        <v>-17.456899999999901</v>
      </c>
      <c r="AD6873">
        <v>-1.110005856493</v>
      </c>
      <c r="AE6873">
        <v>-3.3908999999999798</v>
      </c>
      <c r="AF6873">
        <v>-3.84307384765303</v>
      </c>
      <c r="AG6873">
        <v>-1.110005856493</v>
      </c>
      <c r="AH6873">
        <v>17.292265459591398</v>
      </c>
      <c r="AI6873">
        <v>93.585582705584997</v>
      </c>
      <c r="AJ6873">
        <v>102.529907097757</v>
      </c>
      <c r="AK6873">
        <v>17.748909102391</v>
      </c>
      <c r="AL6873">
        <v>87.182666183884294</v>
      </c>
      <c r="AM6873">
        <v>91.178416449304805</v>
      </c>
      <c r="AN6873">
        <v>1.00000002976892</v>
      </c>
    </row>
    <row r="6874" spans="1:40" x14ac:dyDescent="0.25">
      <c r="A6874" t="str">
        <f>"20190312150827353"</f>
        <v>20190312150827353</v>
      </c>
      <c r="B6874" t="str">
        <f>"1552374507346439"</f>
        <v>1552374507346439</v>
      </c>
      <c r="C6874" t="s">
        <v>40</v>
      </c>
      <c r="D6874">
        <v>4.2277009999999997</v>
      </c>
      <c r="E6874">
        <v>0.42404360000000002</v>
      </c>
      <c r="F6874" t="s">
        <v>42</v>
      </c>
      <c r="G6874">
        <v>-256.41899999999998</v>
      </c>
      <c r="H6874" s="1">
        <v>-1.9603629999999999E-6</v>
      </c>
      <c r="I6874">
        <v>137.12540000000001</v>
      </c>
      <c r="J6874">
        <v>-239.4453</v>
      </c>
      <c r="K6874">
        <v>1.1099859999999999</v>
      </c>
      <c r="L6874">
        <v>140.48500000000001</v>
      </c>
      <c r="M6874">
        <v>-0.99962649999999997</v>
      </c>
      <c r="N6874">
        <v>0</v>
      </c>
      <c r="O6874">
        <v>2.637507E-2</v>
      </c>
      <c r="P6874">
        <v>-0.99912290000000004</v>
      </c>
      <c r="Q6874">
        <v>4.1458540000000002E-2</v>
      </c>
      <c r="R6874">
        <v>5.9034079999999997E-3</v>
      </c>
      <c r="S6874">
        <v>-3.0145870000000001</v>
      </c>
      <c r="T6874">
        <v>-0.1945528</v>
      </c>
      <c r="U6874">
        <v>-0.5878601</v>
      </c>
      <c r="V6874">
        <v>-2.047767E-2</v>
      </c>
      <c r="W6874">
        <v>4.8610430000000003E-2</v>
      </c>
      <c r="X6874">
        <v>0.99860789999999999</v>
      </c>
      <c r="Y6874">
        <v>-0.2167336</v>
      </c>
      <c r="Z6874">
        <v>-8.6069849999999993E-3</v>
      </c>
      <c r="AA6874">
        <v>0.97619279999999997</v>
      </c>
      <c r="AB6874">
        <v>22</v>
      </c>
      <c r="AC6874">
        <v>-16.973700000000001</v>
      </c>
      <c r="AD6874">
        <v>-1.1099879603630001</v>
      </c>
      <c r="AE6874">
        <v>-3.3595999999999999</v>
      </c>
      <c r="AF6874">
        <v>-3.7905262893774299</v>
      </c>
      <c r="AG6874">
        <v>-1.1099879603630001</v>
      </c>
      <c r="AH6874">
        <v>16.810005815664699</v>
      </c>
      <c r="AI6874">
        <v>93.685562368230194</v>
      </c>
      <c r="AJ6874">
        <v>102.70722631691901</v>
      </c>
      <c r="AK6874">
        <v>17.267786723992501</v>
      </c>
      <c r="AL6874">
        <v>87.213729536308506</v>
      </c>
      <c r="AM6874">
        <v>91.174755025971805</v>
      </c>
      <c r="AN6874">
        <v>1.0000000234079101</v>
      </c>
    </row>
    <row r="6875" spans="1:40" x14ac:dyDescent="0.25">
      <c r="A6875" t="str">
        <f>"20190312150827374"</f>
        <v>20190312150827374</v>
      </c>
      <c r="B6875" t="str">
        <f>"1552374507366937"</f>
        <v>1552374507366937</v>
      </c>
      <c r="C6875" t="s">
        <v>40</v>
      </c>
      <c r="D6875">
        <v>4.465554</v>
      </c>
      <c r="E6875">
        <v>0.42395250000000001</v>
      </c>
      <c r="F6875" t="s">
        <v>42</v>
      </c>
      <c r="G6875">
        <v>-255.91370000000001</v>
      </c>
      <c r="H6875" s="1">
        <v>-2.1568759999999998E-6</v>
      </c>
      <c r="I6875">
        <v>137.23949999999999</v>
      </c>
      <c r="J6875">
        <v>-239.66560000000001</v>
      </c>
      <c r="K6875">
        <v>1.1099600000000001</v>
      </c>
      <c r="L6875">
        <v>140.49029999999999</v>
      </c>
      <c r="M6875">
        <v>-0.99963729999999995</v>
      </c>
      <c r="N6875">
        <v>0</v>
      </c>
      <c r="O6875">
        <v>2.5968390000000001E-2</v>
      </c>
      <c r="P6875">
        <v>-0.99912420000000002</v>
      </c>
      <c r="Q6875">
        <v>4.1308570000000003E-2</v>
      </c>
      <c r="R6875">
        <v>6.6949409999999899E-3</v>
      </c>
      <c r="S6875">
        <v>-3.0145870000000001</v>
      </c>
      <c r="T6875">
        <v>-0.2031869</v>
      </c>
      <c r="U6875">
        <v>-0.5940704</v>
      </c>
      <c r="V6875">
        <v>-1.9277860000000001E-2</v>
      </c>
      <c r="W6875">
        <v>4.8440869999999997E-2</v>
      </c>
      <c r="X6875">
        <v>0.99863999999999997</v>
      </c>
      <c r="Y6875">
        <v>-0.21822649999999999</v>
      </c>
      <c r="Z6875">
        <v>-9.0090169999999994E-3</v>
      </c>
      <c r="AA6875">
        <v>0.97585650000000002</v>
      </c>
      <c r="AB6875">
        <v>22</v>
      </c>
      <c r="AC6875">
        <v>-16.248099999999901</v>
      </c>
      <c r="AD6875">
        <v>-1.1099621568760001</v>
      </c>
      <c r="AE6875">
        <v>-3.2507999999999901</v>
      </c>
      <c r="AF6875">
        <v>-3.6552499272889798</v>
      </c>
      <c r="AG6875">
        <v>-1.1099621568760001</v>
      </c>
      <c r="AH6875">
        <v>16.0860205180294</v>
      </c>
      <c r="AI6875">
        <v>93.849423687161007</v>
      </c>
      <c r="AJ6875">
        <v>102.80201773426</v>
      </c>
      <c r="AK6875">
        <v>16.533388162355099</v>
      </c>
      <c r="AL6875">
        <v>87.223456006576697</v>
      </c>
      <c r="AM6875">
        <v>91.105906878229305</v>
      </c>
      <c r="AN6875">
        <v>1.00000000168626</v>
      </c>
    </row>
    <row r="6876" spans="1:40" x14ac:dyDescent="0.25">
      <c r="A6876" t="str">
        <f>"20190312150827396"</f>
        <v>20190312150827396</v>
      </c>
      <c r="B6876" t="str">
        <f>"1552374507386458"</f>
        <v>1552374507386458</v>
      </c>
      <c r="C6876" t="s">
        <v>40</v>
      </c>
      <c r="D6876">
        <v>4.2076669999999998</v>
      </c>
      <c r="E6876">
        <v>0.4238596</v>
      </c>
      <c r="F6876" t="s">
        <v>42</v>
      </c>
      <c r="G6876">
        <v>-256.01310000000001</v>
      </c>
      <c r="H6876" s="1">
        <v>-2.107326E-6</v>
      </c>
      <c r="I6876">
        <v>137.27860000000001</v>
      </c>
      <c r="J6876">
        <v>-239.87620000000001</v>
      </c>
      <c r="K6876">
        <v>1.109934</v>
      </c>
      <c r="L6876">
        <v>140.49539999999999</v>
      </c>
      <c r="M6876">
        <v>-0.99964640000000005</v>
      </c>
      <c r="N6876">
        <v>0</v>
      </c>
      <c r="O6876">
        <v>2.5617589999999999E-2</v>
      </c>
      <c r="P6876">
        <v>-0.9991236</v>
      </c>
      <c r="Q6876">
        <v>4.1153229999999999E-2</v>
      </c>
      <c r="R6876">
        <v>7.65627199999999E-3</v>
      </c>
      <c r="S6876">
        <v>-3.0150600000000001</v>
      </c>
      <c r="T6876">
        <v>-0.2047175</v>
      </c>
      <c r="U6876">
        <v>-0.59234619999999905</v>
      </c>
      <c r="V6876">
        <v>-1.7963710000000001E-2</v>
      </c>
      <c r="W6876">
        <v>4.8267499999999998E-2</v>
      </c>
      <c r="X6876">
        <v>0.99867289999999997</v>
      </c>
      <c r="Y6876">
        <v>-0.21731249999999999</v>
      </c>
      <c r="Z6876">
        <v>-9.0215350000000007E-3</v>
      </c>
      <c r="AA6876">
        <v>0.97606040000000005</v>
      </c>
      <c r="AB6876">
        <v>22</v>
      </c>
      <c r="AC6876">
        <v>-16.136899999999901</v>
      </c>
      <c r="AD6876">
        <v>-1.1099361073259999</v>
      </c>
      <c r="AE6876">
        <v>-3.2167999999999699</v>
      </c>
      <c r="AF6876">
        <v>-3.6127046577463302</v>
      </c>
      <c r="AG6876">
        <v>-1.1099361073259999</v>
      </c>
      <c r="AH6876">
        <v>15.9764986197713</v>
      </c>
      <c r="AI6876">
        <v>93.876562227861001</v>
      </c>
      <c r="AJ6876">
        <v>102.741785014912</v>
      </c>
      <c r="AK6876">
        <v>16.417432846033002</v>
      </c>
      <c r="AL6876">
        <v>87.233401014901602</v>
      </c>
      <c r="AM6876">
        <v>91.030501362193903</v>
      </c>
      <c r="AN6876">
        <v>1.0000000038138099</v>
      </c>
    </row>
    <row r="6877" spans="1:40" x14ac:dyDescent="0.25">
      <c r="A6877" t="str">
        <f>"20190312150827418"</f>
        <v>20190312150827418</v>
      </c>
      <c r="B6877" t="str">
        <f>"1552374507406950"</f>
        <v>1552374507406950</v>
      </c>
      <c r="C6877" t="s">
        <v>40</v>
      </c>
      <c r="D6877">
        <v>4.409872</v>
      </c>
      <c r="E6877">
        <v>0.42335719999999999</v>
      </c>
      <c r="F6877" t="s">
        <v>42</v>
      </c>
      <c r="G6877">
        <v>-256.21519999999998</v>
      </c>
      <c r="H6877" s="1">
        <v>-2.017232E-6</v>
      </c>
      <c r="I6877">
        <v>137.2978</v>
      </c>
      <c r="J6877">
        <v>-240.08930000000001</v>
      </c>
      <c r="K6877">
        <v>1.1099019999999999</v>
      </c>
      <c r="L6877">
        <v>140.50049999999999</v>
      </c>
      <c r="M6877">
        <v>-0.99965470000000001</v>
      </c>
      <c r="N6877">
        <v>0</v>
      </c>
      <c r="O6877">
        <v>2.5303490000000001E-2</v>
      </c>
      <c r="P6877">
        <v>-0.9991314</v>
      </c>
      <c r="Q6877">
        <v>4.0812370000000001E-2</v>
      </c>
      <c r="R6877">
        <v>8.441624E-3</v>
      </c>
      <c r="S6877">
        <v>-3.0155789999999998</v>
      </c>
      <c r="T6877">
        <v>-0.20485400000000001</v>
      </c>
      <c r="U6877">
        <v>-0.59014889999999998</v>
      </c>
      <c r="V6877">
        <v>-1.6861589999999999E-2</v>
      </c>
      <c r="W6877">
        <v>4.7907909999999998E-2</v>
      </c>
      <c r="X6877">
        <v>0.99870939999999997</v>
      </c>
      <c r="Y6877">
        <v>-0.21629139999999999</v>
      </c>
      <c r="Z6877">
        <v>-8.9711789999999993E-3</v>
      </c>
      <c r="AA6877">
        <v>0.97628760000000003</v>
      </c>
      <c r="AB6877">
        <v>22</v>
      </c>
      <c r="AC6877">
        <v>-16.125899999999898</v>
      </c>
      <c r="AD6877">
        <v>-1.1099040172319901</v>
      </c>
      <c r="AE6877">
        <v>-3.2026999999999899</v>
      </c>
      <c r="AF6877">
        <v>-3.5933497844458202</v>
      </c>
      <c r="AG6877">
        <v>-1.1099040172319901</v>
      </c>
      <c r="AH6877">
        <v>15.966926522823799</v>
      </c>
      <c r="AI6877">
        <v>93.879661109270899</v>
      </c>
      <c r="AJ6877">
        <v>102.68308620125001</v>
      </c>
      <c r="AK6877">
        <v>16.403865159958499</v>
      </c>
      <c r="AL6877">
        <v>87.254027783433799</v>
      </c>
      <c r="AM6877">
        <v>90.967254502310695</v>
      </c>
      <c r="AN6877">
        <v>0.99999997335312696</v>
      </c>
    </row>
    <row r="6878" spans="1:40" x14ac:dyDescent="0.25">
      <c r="A6878" t="str">
        <f>"20190312150827441"</f>
        <v>20190312150827441</v>
      </c>
      <c r="B6878" t="str">
        <f>"1552374507437208"</f>
        <v>1552374507437208</v>
      </c>
      <c r="C6878" t="s">
        <v>40</v>
      </c>
      <c r="D6878">
        <v>4.1941889999999997</v>
      </c>
      <c r="E6878">
        <v>0.42319899999999999</v>
      </c>
      <c r="F6878" t="s">
        <v>42</v>
      </c>
      <c r="G6878">
        <v>-256.4228</v>
      </c>
      <c r="H6878" s="1">
        <v>-1.928405E-6</v>
      </c>
      <c r="I6878">
        <v>137.29640000000001</v>
      </c>
      <c r="J6878">
        <v>-240.31569999999999</v>
      </c>
      <c r="K6878">
        <v>1.109869</v>
      </c>
      <c r="L6878">
        <v>140.5059</v>
      </c>
      <c r="M6878">
        <v>-0.99966200000000005</v>
      </c>
      <c r="N6878">
        <v>0</v>
      </c>
      <c r="O6878">
        <v>2.501691E-2</v>
      </c>
      <c r="P6878">
        <v>-0.99913719999999995</v>
      </c>
      <c r="Q6878">
        <v>4.0448289999999998E-2</v>
      </c>
      <c r="R6878">
        <v>9.4494939999999993E-3</v>
      </c>
      <c r="S6878">
        <v>-3.0159760000000002</v>
      </c>
      <c r="T6878">
        <v>-0.20494380000000001</v>
      </c>
      <c r="U6878">
        <v>-0.59161379999999997</v>
      </c>
      <c r="V6878">
        <v>-1.5564150000000001E-2</v>
      </c>
      <c r="W6878">
        <v>4.752402E-2</v>
      </c>
      <c r="X6878">
        <v>0.99874879999999999</v>
      </c>
      <c r="Y6878">
        <v>-0.2164441</v>
      </c>
      <c r="Z6878">
        <v>-8.9593799999999994E-3</v>
      </c>
      <c r="AA6878">
        <v>0.97625390000000001</v>
      </c>
      <c r="AB6878">
        <v>22</v>
      </c>
      <c r="AC6878">
        <v>-16.107099999999999</v>
      </c>
      <c r="AD6878">
        <v>-1.1098709284049999</v>
      </c>
      <c r="AE6878">
        <v>-3.20949999999999</v>
      </c>
      <c r="AF6878">
        <v>-3.5950380418115899</v>
      </c>
      <c r="AG6878">
        <v>-1.1098709284049999</v>
      </c>
      <c r="AH6878">
        <v>15.9489312774708</v>
      </c>
      <c r="AI6878">
        <v>93.883611117978703</v>
      </c>
      <c r="AJ6878">
        <v>102.70270476295499</v>
      </c>
      <c r="AK6878">
        <v>16.386717819419399</v>
      </c>
      <c r="AL6878">
        <v>87.276048135237204</v>
      </c>
      <c r="AM6878">
        <v>90.8928050068414</v>
      </c>
      <c r="AN6878">
        <v>0.99999997037181099</v>
      </c>
    </row>
    <row r="6879" spans="1:40" x14ac:dyDescent="0.25">
      <c r="A6879" t="str">
        <f>"20190312150827464"</f>
        <v>20190312150827464</v>
      </c>
      <c r="B6879" t="str">
        <f>"1552374507456726"</f>
        <v>1552374507456726</v>
      </c>
      <c r="C6879" t="s">
        <v>40</v>
      </c>
      <c r="D6879">
        <v>4.1794580000000003</v>
      </c>
      <c r="E6879">
        <v>0.42316700000000002</v>
      </c>
      <c r="F6879" t="s">
        <v>42</v>
      </c>
      <c r="G6879">
        <v>-256.53089999999997</v>
      </c>
      <c r="H6879" s="1">
        <v>-1.8753629999999999E-6</v>
      </c>
      <c r="I6879">
        <v>137.33410000000001</v>
      </c>
      <c r="J6879">
        <v>-240.54929999999999</v>
      </c>
      <c r="K6879">
        <v>1.109831</v>
      </c>
      <c r="L6879">
        <v>140.51140000000001</v>
      </c>
      <c r="M6879">
        <v>-0.99966809999999995</v>
      </c>
      <c r="N6879">
        <v>0</v>
      </c>
      <c r="O6879">
        <v>2.4774049999999999E-2</v>
      </c>
      <c r="P6879">
        <v>-0.99914959999999997</v>
      </c>
      <c r="Q6879">
        <v>3.9862839999999997E-2</v>
      </c>
      <c r="R6879">
        <v>1.0532379999999999E-2</v>
      </c>
      <c r="S6879">
        <v>-3.0165410000000001</v>
      </c>
      <c r="T6879">
        <v>-0.2064723</v>
      </c>
      <c r="U6879">
        <v>-0.59004209999999901</v>
      </c>
      <c r="V6879">
        <v>-1.4235360000000001E-2</v>
      </c>
      <c r="W6879">
        <v>4.6915770000000002E-2</v>
      </c>
      <c r="X6879">
        <v>0.99879739999999995</v>
      </c>
      <c r="Y6879">
        <v>-0.2156769</v>
      </c>
      <c r="Z6879">
        <v>-8.9823969999999996E-3</v>
      </c>
      <c r="AA6879">
        <v>0.97642340000000005</v>
      </c>
      <c r="AB6879">
        <v>22</v>
      </c>
      <c r="AC6879">
        <v>-15.981599999999901</v>
      </c>
      <c r="AD6879">
        <v>-1.109832875363</v>
      </c>
      <c r="AE6879">
        <v>-3.1772999999999998</v>
      </c>
      <c r="AF6879">
        <v>-3.55576782155106</v>
      </c>
      <c r="AG6879">
        <v>-1.109832875363</v>
      </c>
      <c r="AH6879">
        <v>15.824565339191</v>
      </c>
      <c r="AI6879">
        <v>93.914497830003398</v>
      </c>
      <c r="AJ6879">
        <v>102.663980561738</v>
      </c>
      <c r="AK6879">
        <v>16.257062526371101</v>
      </c>
      <c r="AL6879">
        <v>87.310937267248903</v>
      </c>
      <c r="AM6879">
        <v>90.816552813932105</v>
      </c>
      <c r="AN6879">
        <v>0.99999999059789102</v>
      </c>
    </row>
    <row r="6880" spans="1:40" x14ac:dyDescent="0.25">
      <c r="A6880" t="str">
        <f>"20190312150827488"</f>
        <v>20190312150827488</v>
      </c>
      <c r="B6880" t="str">
        <f>"1552374507477223"</f>
        <v>1552374507477223</v>
      </c>
      <c r="C6880" t="s">
        <v>40</v>
      </c>
      <c r="D6880">
        <v>4.2135230000000004</v>
      </c>
      <c r="E6880">
        <v>0.42313770000000001</v>
      </c>
      <c r="F6880" t="s">
        <v>42</v>
      </c>
      <c r="G6880">
        <v>-256.73250000000002</v>
      </c>
      <c r="H6880" s="1">
        <v>-1.7843889999999999E-6</v>
      </c>
      <c r="I6880">
        <v>137.35939999999999</v>
      </c>
      <c r="J6880">
        <v>-240.78360000000001</v>
      </c>
      <c r="K6880">
        <v>1.109791</v>
      </c>
      <c r="L6880">
        <v>140.517</v>
      </c>
      <c r="M6880">
        <v>-0.99967289999999998</v>
      </c>
      <c r="N6880">
        <v>0</v>
      </c>
      <c r="O6880">
        <v>2.4590150000000002E-2</v>
      </c>
      <c r="P6880">
        <v>-0.99915100000000001</v>
      </c>
      <c r="Q6880">
        <v>3.9602310000000002E-2</v>
      </c>
      <c r="R6880">
        <v>1.1355540000000001E-2</v>
      </c>
      <c r="S6880">
        <v>-3.0170140000000001</v>
      </c>
      <c r="T6880">
        <v>-0.20690600000000001</v>
      </c>
      <c r="U6880">
        <v>-0.58761600000000003</v>
      </c>
      <c r="V6880">
        <v>-1.32249E-2</v>
      </c>
      <c r="W6880">
        <v>4.6628549999999998E-2</v>
      </c>
      <c r="X6880">
        <v>0.99882479999999996</v>
      </c>
      <c r="Y6880">
        <v>-0.21471229999999999</v>
      </c>
      <c r="Z6880">
        <v>-8.9552959999999997E-3</v>
      </c>
      <c r="AA6880">
        <v>0.97663630000000001</v>
      </c>
      <c r="AB6880">
        <v>22</v>
      </c>
      <c r="AC6880">
        <v>-15.9489</v>
      </c>
      <c r="AD6880">
        <v>-1.1097927843890001</v>
      </c>
      <c r="AE6880">
        <v>-3.1576</v>
      </c>
      <c r="AF6880">
        <v>-3.5323821101808299</v>
      </c>
      <c r="AG6880">
        <v>-1.1097927843890001</v>
      </c>
      <c r="AH6880">
        <v>15.7928450605354</v>
      </c>
      <c r="AI6880">
        <v>93.923053712634996</v>
      </c>
      <c r="AJ6880">
        <v>102.60781913833399</v>
      </c>
      <c r="AK6880">
        <v>16.221076366957998</v>
      </c>
      <c r="AL6880">
        <v>87.3274119511169</v>
      </c>
      <c r="AM6880">
        <v>90.758578160977095</v>
      </c>
      <c r="AN6880">
        <v>1.0000000503750699</v>
      </c>
    </row>
    <row r="6881" spans="1:40" x14ac:dyDescent="0.25">
      <c r="A6881" t="str">
        <f>"20190312150827511"</f>
        <v>20190312150827511</v>
      </c>
      <c r="B6881" t="str">
        <f>"1552374507506503"</f>
        <v>1552374507506503</v>
      </c>
      <c r="C6881" t="s">
        <v>40</v>
      </c>
      <c r="D6881">
        <v>4.1938550000000001</v>
      </c>
      <c r="E6881">
        <v>0.42552190000000001</v>
      </c>
      <c r="F6881" t="s">
        <v>42</v>
      </c>
      <c r="G6881">
        <v>-256.48500000000001</v>
      </c>
      <c r="H6881" s="1">
        <v>-1.870879E-6</v>
      </c>
      <c r="I6881">
        <v>137.47020000000001</v>
      </c>
      <c r="J6881">
        <v>-241.01570000000001</v>
      </c>
      <c r="K6881">
        <v>1.109753</v>
      </c>
      <c r="L6881">
        <v>140.52250000000001</v>
      </c>
      <c r="M6881">
        <v>-0.99967629999999996</v>
      </c>
      <c r="N6881">
        <v>0</v>
      </c>
      <c r="O6881">
        <v>2.4457670000000001E-2</v>
      </c>
      <c r="P6881">
        <v>-0.9991466</v>
      </c>
      <c r="Q6881">
        <v>3.9667699999999903E-2</v>
      </c>
      <c r="R6881">
        <v>1.1506769999999999E-2</v>
      </c>
      <c r="S6881">
        <v>-3.0176539999999998</v>
      </c>
      <c r="T6881">
        <v>-0.21329190000000001</v>
      </c>
      <c r="U6881">
        <v>-0.58554079999999997</v>
      </c>
      <c r="V6881">
        <v>-1.2938160000000001E-2</v>
      </c>
      <c r="W6881">
        <v>4.6660470000000002E-2</v>
      </c>
      <c r="X6881">
        <v>0.99882700000000002</v>
      </c>
      <c r="Y6881">
        <v>-0.21386530000000001</v>
      </c>
      <c r="Z6881">
        <v>-9.1908070000000005E-3</v>
      </c>
      <c r="AA6881">
        <v>0.97681989999999996</v>
      </c>
      <c r="AB6881">
        <v>22</v>
      </c>
      <c r="AC6881">
        <v>-15.4693</v>
      </c>
      <c r="AD6881">
        <v>-1.1097548708789999</v>
      </c>
      <c r="AE6881">
        <v>-3.0522999999999998</v>
      </c>
      <c r="AF6881">
        <v>-3.41283325042536</v>
      </c>
      <c r="AG6881">
        <v>-1.1097548708789999</v>
      </c>
      <c r="AH6881">
        <v>15.3141574105196</v>
      </c>
      <c r="AI6881">
        <v>94.045840057454498</v>
      </c>
      <c r="AJ6881">
        <v>102.56334067120601</v>
      </c>
      <c r="AK6881">
        <v>15.7290306078544</v>
      </c>
      <c r="AL6881">
        <v>87.325580903987898</v>
      </c>
      <c r="AM6881">
        <v>90.742131025664193</v>
      </c>
      <c r="AN6881">
        <v>0.99999998568690296</v>
      </c>
    </row>
    <row r="6882" spans="1:40" x14ac:dyDescent="0.25">
      <c r="A6882" t="str">
        <f>"20190312150827531"</f>
        <v>20190312150827531</v>
      </c>
      <c r="B6882" t="str">
        <f>"1552374507526999"</f>
        <v>1552374507526999</v>
      </c>
      <c r="C6882" t="s">
        <v>40</v>
      </c>
      <c r="D6882">
        <v>4.2012660000000004</v>
      </c>
      <c r="E6882">
        <v>0.49404300000000001</v>
      </c>
      <c r="F6882" t="s">
        <v>42</v>
      </c>
      <c r="G6882">
        <v>-256.90309999999999</v>
      </c>
      <c r="H6882" s="1">
        <v>-1.6787079999999999E-6</v>
      </c>
      <c r="I6882">
        <v>137.54249999999999</v>
      </c>
      <c r="J6882">
        <v>-241.22329999999999</v>
      </c>
      <c r="K6882">
        <v>1.1097239999999999</v>
      </c>
      <c r="L6882">
        <v>140.5275</v>
      </c>
      <c r="M6882">
        <v>-0.99967890000000004</v>
      </c>
      <c r="N6882">
        <v>0</v>
      </c>
      <c r="O6882">
        <v>2.4371E-2</v>
      </c>
      <c r="P6882">
        <v>-0.99914150000000002</v>
      </c>
      <c r="Q6882">
        <v>3.9659939999999998E-2</v>
      </c>
      <c r="R6882">
        <v>1.198136E-2</v>
      </c>
      <c r="S6882">
        <v>-3.0174409999999998</v>
      </c>
      <c r="T6882">
        <v>-0.21077190000000001</v>
      </c>
      <c r="U6882">
        <v>-0.56597900000000001</v>
      </c>
      <c r="V6882">
        <v>-1.237427E-2</v>
      </c>
      <c r="W6882">
        <v>4.6618079999999999E-2</v>
      </c>
      <c r="X6882">
        <v>0.99883619999999995</v>
      </c>
      <c r="Y6882">
        <v>-0.20770640000000001</v>
      </c>
      <c r="Z6882">
        <v>-8.8695349999999996E-3</v>
      </c>
      <c r="AA6882">
        <v>0.97815099999999999</v>
      </c>
      <c r="AB6882">
        <v>22</v>
      </c>
      <c r="AC6882">
        <v>-15.6798</v>
      </c>
      <c r="AD6882">
        <v>-1.1097256787080001</v>
      </c>
      <c r="AE6882">
        <v>-2.9850000000000101</v>
      </c>
      <c r="AF6882">
        <v>-3.3500614215521902</v>
      </c>
      <c r="AG6882">
        <v>-1.1097256787080001</v>
      </c>
      <c r="AH6882">
        <v>15.5273372896678</v>
      </c>
      <c r="AI6882">
        <v>93.9962846416378</v>
      </c>
      <c r="AJ6882">
        <v>102.175082456959</v>
      </c>
      <c r="AK6882">
        <v>15.9233352636081</v>
      </c>
      <c r="AL6882">
        <v>87.328012519866803</v>
      </c>
      <c r="AM6882">
        <v>90.709783222601999</v>
      </c>
      <c r="AN6882">
        <v>1.0000000611856701</v>
      </c>
    </row>
    <row r="6883" spans="1:40" x14ac:dyDescent="0.25">
      <c r="A6883" t="str">
        <f>"20190312150827555"</f>
        <v>20190312150827555</v>
      </c>
      <c r="B6883" t="str">
        <f>"1552374507546519"</f>
        <v>1552374507546519</v>
      </c>
      <c r="C6883" t="s">
        <v>40</v>
      </c>
      <c r="D6883">
        <v>4.4933610000000002</v>
      </c>
      <c r="E6883">
        <v>0.49526209999999998</v>
      </c>
      <c r="F6883" t="s">
        <v>42</v>
      </c>
      <c r="G6883">
        <v>-324.13630000000001</v>
      </c>
      <c r="H6883" s="1">
        <v>-2.6326859999999998E-6</v>
      </c>
      <c r="I6883">
        <v>140.1232</v>
      </c>
      <c r="J6883">
        <v>-241.458</v>
      </c>
      <c r="K6883">
        <v>1.109699</v>
      </c>
      <c r="L6883">
        <v>140.53309999999999</v>
      </c>
      <c r="M6883">
        <v>-0.99968060000000003</v>
      </c>
      <c r="N6883">
        <v>0</v>
      </c>
      <c r="O6883">
        <v>2.430471E-2</v>
      </c>
      <c r="P6883">
        <v>-0.99913680000000005</v>
      </c>
      <c r="Q6883">
        <v>3.971243E-2</v>
      </c>
      <c r="R6883">
        <v>1.2194470000000001E-2</v>
      </c>
      <c r="S6883">
        <v>-3.0043489999999999</v>
      </c>
      <c r="T6883">
        <v>-4.0210959999999997E-2</v>
      </c>
      <c r="U6883">
        <v>-1.464844E-2</v>
      </c>
      <c r="V6883">
        <v>-1.209326E-2</v>
      </c>
      <c r="W6883">
        <v>4.6629039999999997E-2</v>
      </c>
      <c r="X6883">
        <v>0.99883909999999998</v>
      </c>
      <c r="Y6883">
        <v>-2.9174470000000001E-2</v>
      </c>
      <c r="Z6883">
        <v>-5.2050179999999998E-4</v>
      </c>
      <c r="AA6883">
        <v>0.99957419999999997</v>
      </c>
      <c r="AB6883">
        <v>23</v>
      </c>
      <c r="AC6883">
        <v>-82.678299999999993</v>
      </c>
      <c r="AD6883">
        <v>-1.1097016326860001</v>
      </c>
      <c r="AE6883">
        <v>-0.40989999999999299</v>
      </c>
      <c r="AF6883">
        <v>-2.4188634786389702</v>
      </c>
      <c r="AG6883">
        <v>-1.1097016326860001</v>
      </c>
      <c r="AH6883">
        <v>82.629027576823006</v>
      </c>
      <c r="AI6883">
        <v>90.769102325224196</v>
      </c>
      <c r="AJ6883">
        <v>91.676784833954301</v>
      </c>
      <c r="AK6883">
        <v>82.671872704888301</v>
      </c>
      <c r="AL6883">
        <v>87.327383793792706</v>
      </c>
      <c r="AM6883">
        <v>90.693664179901504</v>
      </c>
      <c r="AN6883">
        <v>1.00000003099877</v>
      </c>
    </row>
    <row r="6884" spans="1:40" x14ac:dyDescent="0.25">
      <c r="A6884" t="str">
        <f>"20190312150827575"</f>
        <v>20190312150827575</v>
      </c>
      <c r="B6884" t="str">
        <f>"1552374507567014"</f>
        <v>1552374507567014</v>
      </c>
      <c r="C6884" t="s">
        <v>40</v>
      </c>
      <c r="D6884">
        <v>4.1630219999999998</v>
      </c>
      <c r="E6884">
        <v>0.4953631</v>
      </c>
      <c r="F6884" t="s">
        <v>43</v>
      </c>
      <c r="G6884">
        <v>-558.71860000000004</v>
      </c>
      <c r="H6884">
        <v>-0.05</v>
      </c>
      <c r="I6884">
        <v>140.13659999999999</v>
      </c>
      <c r="J6884">
        <v>-241.67519999999999</v>
      </c>
      <c r="K6884">
        <v>1.109677</v>
      </c>
      <c r="L6884">
        <v>140.5384</v>
      </c>
      <c r="M6884">
        <v>-0.99968179999999995</v>
      </c>
      <c r="N6884">
        <v>0</v>
      </c>
      <c r="O6884">
        <v>2.4266320000000001E-2</v>
      </c>
      <c r="P6884">
        <v>-0.99914789999999998</v>
      </c>
      <c r="Q6884">
        <v>3.9490659999999997E-2</v>
      </c>
      <c r="R6884">
        <v>1.200467E-2</v>
      </c>
      <c r="S6884">
        <v>-3.0030670000000002</v>
      </c>
      <c r="T6884">
        <v>-1.0977270000000001E-2</v>
      </c>
      <c r="U6884">
        <v>-3.7536620000000001E-3</v>
      </c>
      <c r="V6884">
        <v>-1.224344E-2</v>
      </c>
      <c r="W6884">
        <v>4.6366579999999998E-2</v>
      </c>
      <c r="X6884">
        <v>0.99884949999999995</v>
      </c>
      <c r="Y6884">
        <v>-2.551612E-2</v>
      </c>
      <c r="Z6884">
        <v>-1.3533260000000001E-4</v>
      </c>
      <c r="AA6884">
        <v>0.99967439999999996</v>
      </c>
      <c r="AB6884">
        <v>23</v>
      </c>
      <c r="AC6884">
        <v>-317.04340000000002</v>
      </c>
      <c r="AD6884">
        <v>-1.1596770000000001</v>
      </c>
      <c r="AE6884">
        <v>-0.40180000000000798</v>
      </c>
      <c r="AF6884">
        <v>-8.0952324781682208</v>
      </c>
      <c r="AG6884">
        <v>-1.1596770000000001</v>
      </c>
      <c r="AH6884">
        <v>316.93604479518302</v>
      </c>
      <c r="AI6884">
        <v>90.209577417436293</v>
      </c>
      <c r="AJ6884">
        <v>91.463140074969303</v>
      </c>
      <c r="AK6884">
        <v>317.0415337618</v>
      </c>
      <c r="AL6884">
        <v>87.342437957203799</v>
      </c>
      <c r="AM6884">
        <v>90.702270271126494</v>
      </c>
      <c r="AN6884">
        <v>1.0000000426070801</v>
      </c>
    </row>
    <row r="6885" spans="1:40" x14ac:dyDescent="0.25">
      <c r="A6885" t="str">
        <f>"20190312150827589"</f>
        <v>20190312150827589</v>
      </c>
      <c r="B6885" t="str">
        <f>"1552374507576775"</f>
        <v>1552374507576775</v>
      </c>
      <c r="C6885" t="s">
        <v>40</v>
      </c>
      <c r="D6885">
        <v>4.1659459999999999</v>
      </c>
      <c r="E6885">
        <v>0.49533090000000002</v>
      </c>
      <c r="F6885" t="s">
        <v>48</v>
      </c>
      <c r="G6885">
        <v>0</v>
      </c>
      <c r="H6885">
        <v>0</v>
      </c>
      <c r="I6885">
        <v>0</v>
      </c>
      <c r="J6885">
        <v>-241.81</v>
      </c>
      <c r="K6885">
        <v>1.1096680000000001</v>
      </c>
      <c r="L6885">
        <v>140.54159999999999</v>
      </c>
      <c r="M6885">
        <v>-0.99968250000000003</v>
      </c>
      <c r="N6885">
        <v>0</v>
      </c>
      <c r="O6885">
        <v>2.4249639999999999E-2</v>
      </c>
      <c r="P6885">
        <v>-0.99914199999999997</v>
      </c>
      <c r="Q6885">
        <v>3.9691509999999999E-2</v>
      </c>
      <c r="R6885">
        <v>1.1844530000000001E-2</v>
      </c>
      <c r="S6885">
        <v>-3.0027620000000002</v>
      </c>
      <c r="T6885">
        <v>-4.1729209999999996E-3</v>
      </c>
      <c r="U6885">
        <v>-3.2958979999999998E-3</v>
      </c>
      <c r="V6885">
        <v>-1.23867E-2</v>
      </c>
      <c r="W6885">
        <v>4.6540909999999998E-2</v>
      </c>
      <c r="X6885">
        <v>0.99883960000000005</v>
      </c>
      <c r="Y6885">
        <v>-2.5347450000000001E-2</v>
      </c>
      <c r="Z6885" s="1">
        <v>-5.1310580000000002E-5</v>
      </c>
      <c r="AA6885">
        <v>0.99967870000000003</v>
      </c>
      <c r="AB6885">
        <v>23</v>
      </c>
      <c r="AC6885">
        <v>-3.0027620000000002</v>
      </c>
      <c r="AD6885">
        <v>-4.1729209999999996E-3</v>
      </c>
      <c r="AE6885">
        <v>-3.2958979999999998E-3</v>
      </c>
      <c r="AF6885">
        <v>-7.6112385181220196E-2</v>
      </c>
      <c r="AG6885">
        <v>-4.1729209999999996E-3</v>
      </c>
      <c r="AH6885">
        <v>3.0017932257187798</v>
      </c>
      <c r="AI6885">
        <v>90.079623668257597</v>
      </c>
      <c r="AJ6885">
        <v>91.452459884800902</v>
      </c>
      <c r="AK6885">
        <v>3.0027609092997798</v>
      </c>
      <c r="AL6885">
        <v>87.332438720226904</v>
      </c>
      <c r="AM6885">
        <v>90.710493711177904</v>
      </c>
      <c r="AN6885">
        <v>1.0000000165843299</v>
      </c>
    </row>
    <row r="6886" spans="1:40" x14ac:dyDescent="0.25">
      <c r="A6886" t="str">
        <f>"20190312150827608"</f>
        <v>20190312150827608</v>
      </c>
      <c r="B6886" t="str">
        <f>"1552374507596295"</f>
        <v>1552374507596295</v>
      </c>
      <c r="C6886" t="s">
        <v>40</v>
      </c>
      <c r="D6886">
        <v>4.4273490000000004</v>
      </c>
      <c r="E6886">
        <v>0.49512970000000001</v>
      </c>
      <c r="F6886" t="s">
        <v>48</v>
      </c>
      <c r="G6886">
        <v>0</v>
      </c>
      <c r="H6886">
        <v>0</v>
      </c>
      <c r="I6886">
        <v>0</v>
      </c>
      <c r="J6886">
        <v>-242.01689999999999</v>
      </c>
      <c r="K6886">
        <v>1.109656</v>
      </c>
      <c r="L6886">
        <v>140.54660000000001</v>
      </c>
      <c r="M6886">
        <v>-0.99968319999999999</v>
      </c>
      <c r="N6886">
        <v>0</v>
      </c>
      <c r="O6886">
        <v>2.4232299999999998E-2</v>
      </c>
      <c r="P6886">
        <v>-0.99913260000000004</v>
      </c>
      <c r="Q6886">
        <v>3.9957489999999998E-2</v>
      </c>
      <c r="R6886">
        <v>1.1742860000000001E-2</v>
      </c>
      <c r="S6886">
        <v>-3.0027010000000001</v>
      </c>
      <c r="T6886">
        <v>-1.217842E-3</v>
      </c>
      <c r="U6886">
        <v>-4.1198729999999996E-3</v>
      </c>
      <c r="V6886">
        <v>-1.2469920000000001E-2</v>
      </c>
      <c r="W6886">
        <v>4.676288E-2</v>
      </c>
      <c r="X6886">
        <v>0.99882820000000005</v>
      </c>
      <c r="Y6886">
        <v>-2.5604479999999999E-2</v>
      </c>
      <c r="Z6886" s="1">
        <v>-1.502009E-5</v>
      </c>
      <c r="AA6886">
        <v>0.99967220000000001</v>
      </c>
      <c r="AB6886">
        <v>23</v>
      </c>
      <c r="AC6886">
        <v>-3.0027010000000001</v>
      </c>
      <c r="AD6886">
        <v>-1.217842E-3</v>
      </c>
      <c r="AE6886">
        <v>-4.1198729999999996E-3</v>
      </c>
      <c r="AF6886">
        <v>-7.6882686293016395E-2</v>
      </c>
      <c r="AG6886">
        <v>-1.217842E-3</v>
      </c>
      <c r="AH6886">
        <v>3.00171890006798</v>
      </c>
      <c r="AI6886">
        <v>90.023238127501401</v>
      </c>
      <c r="AJ6886">
        <v>91.467189533777102</v>
      </c>
      <c r="AK6886">
        <v>3.0027035793791099</v>
      </c>
      <c r="AL6886">
        <v>87.319706921714499</v>
      </c>
      <c r="AM6886">
        <v>90.715274829140398</v>
      </c>
      <c r="AN6886">
        <v>1.0000000194829699</v>
      </c>
    </row>
    <row r="6887" spans="1:40" x14ac:dyDescent="0.25">
      <c r="A6887" t="str">
        <f>"20190312150827631"</f>
        <v>20190312150827631</v>
      </c>
      <c r="B6887" t="str">
        <f>"1552374507626551"</f>
        <v>1552374507626551</v>
      </c>
      <c r="C6887" t="s">
        <v>40</v>
      </c>
      <c r="D6887">
        <v>4.2099330000000004</v>
      </c>
      <c r="E6887">
        <v>0.49478840000000002</v>
      </c>
      <c r="F6887" t="s">
        <v>48</v>
      </c>
      <c r="G6887">
        <v>0</v>
      </c>
      <c r="H6887">
        <v>0</v>
      </c>
      <c r="I6887">
        <v>0</v>
      </c>
      <c r="J6887">
        <v>-242.24709999999999</v>
      </c>
      <c r="K6887">
        <v>1.1096459999999999</v>
      </c>
      <c r="L6887">
        <v>140.5522</v>
      </c>
      <c r="M6887">
        <v>-0.99968389999999996</v>
      </c>
      <c r="N6887">
        <v>0</v>
      </c>
      <c r="O6887">
        <v>2.421715E-2</v>
      </c>
      <c r="P6887">
        <v>-0.99912939999999995</v>
      </c>
      <c r="Q6887">
        <v>4.0030099999999999E-2</v>
      </c>
      <c r="R6887">
        <v>1.1755969999999999E-2</v>
      </c>
      <c r="S6887">
        <v>-3.0025629999999999</v>
      </c>
      <c r="T6887">
        <v>2.2509100000000001E-3</v>
      </c>
      <c r="U6887">
        <v>-5.905151E-3</v>
      </c>
      <c r="V6887">
        <v>-1.2441799999999999E-2</v>
      </c>
      <c r="W6887">
        <v>4.6785269999999997E-2</v>
      </c>
      <c r="X6887">
        <v>0.99882749999999998</v>
      </c>
      <c r="Y6887">
        <v>-2.6183769999999999E-2</v>
      </c>
      <c r="Z6887" s="1">
        <v>2.7968359999999999E-5</v>
      </c>
      <c r="AA6887">
        <v>0.99965720000000002</v>
      </c>
      <c r="AB6887">
        <v>23</v>
      </c>
      <c r="AC6887">
        <v>-3.0025629999999999</v>
      </c>
      <c r="AD6887">
        <v>2.2509100000000001E-3</v>
      </c>
      <c r="AE6887">
        <v>-5.905151E-3</v>
      </c>
      <c r="AF6887">
        <v>-7.8618552447201201E-2</v>
      </c>
      <c r="AG6887">
        <v>2.2509100000000001E-3</v>
      </c>
      <c r="AH6887">
        <v>3.00153767755884</v>
      </c>
      <c r="AI6887">
        <v>89.957047548389397</v>
      </c>
      <c r="AJ6887">
        <v>91.500391476531206</v>
      </c>
      <c r="AK6887">
        <v>3.0025679631258999</v>
      </c>
      <c r="AL6887">
        <v>87.318422657793505</v>
      </c>
      <c r="AM6887">
        <v>90.713662532560093</v>
      </c>
      <c r="AN6887">
        <v>1.00000001731623</v>
      </c>
    </row>
    <row r="6888" spans="1:40" x14ac:dyDescent="0.25">
      <c r="A6888" t="str">
        <f>"20190312150827644"</f>
        <v>20190312150827644</v>
      </c>
      <c r="B6888" t="str">
        <f>"1552374507636311"</f>
        <v>1552374507636311</v>
      </c>
      <c r="C6888" t="s">
        <v>40</v>
      </c>
      <c r="D6888">
        <v>4.0993320000000004</v>
      </c>
      <c r="E6888">
        <v>0.49475089999999999</v>
      </c>
      <c r="F6888" t="s">
        <v>48</v>
      </c>
      <c r="G6888">
        <v>0</v>
      </c>
      <c r="H6888">
        <v>0</v>
      </c>
      <c r="I6888">
        <v>0</v>
      </c>
      <c r="J6888">
        <v>-242.37860000000001</v>
      </c>
      <c r="K6888">
        <v>1.10964</v>
      </c>
      <c r="L6888">
        <v>140.55539999999999</v>
      </c>
      <c r="M6888">
        <v>-0.99968440000000003</v>
      </c>
      <c r="N6888">
        <v>0</v>
      </c>
      <c r="O6888">
        <v>2.42086E-2</v>
      </c>
      <c r="P6888">
        <v>-0.99911380000000005</v>
      </c>
      <c r="Q6888">
        <v>4.0411309999999999E-2</v>
      </c>
      <c r="R6888">
        <v>1.1786690000000001E-2</v>
      </c>
      <c r="S6888">
        <v>-3.0025940000000002</v>
      </c>
      <c r="T6888">
        <v>3.0376909999999999E-3</v>
      </c>
      <c r="U6888">
        <v>-8.7890629999999997E-3</v>
      </c>
      <c r="V6888">
        <v>-1.2402069999999999E-2</v>
      </c>
      <c r="W6888">
        <v>4.713821E-2</v>
      </c>
      <c r="X6888">
        <v>0.99881140000000002</v>
      </c>
      <c r="Y6888">
        <v>-2.7135309999999999E-2</v>
      </c>
      <c r="Z6888" s="1">
        <v>3.8216709999999997E-5</v>
      </c>
      <c r="AA6888">
        <v>0.99963179999999996</v>
      </c>
      <c r="AB6888">
        <v>23</v>
      </c>
      <c r="AC6888">
        <v>-3.0025940000000002</v>
      </c>
      <c r="AD6888">
        <v>3.0376909999999999E-3</v>
      </c>
      <c r="AE6888">
        <v>-8.7890629999999997E-3</v>
      </c>
      <c r="AF6888">
        <v>-8.1476637931068699E-2</v>
      </c>
      <c r="AG6888">
        <v>3.0376909999999999E-3</v>
      </c>
      <c r="AH6888">
        <v>3.0014981390683801</v>
      </c>
      <c r="AI6888">
        <v>89.942034705028505</v>
      </c>
      <c r="AJ6888">
        <v>91.554930617840299</v>
      </c>
      <c r="AK6888">
        <v>3.0026053268663402</v>
      </c>
      <c r="AL6888">
        <v>87.298178350278604</v>
      </c>
      <c r="AM6888">
        <v>90.711395317241298</v>
      </c>
      <c r="AN6888">
        <v>1.0000000174761201</v>
      </c>
    </row>
    <row r="6889" spans="1:40" x14ac:dyDescent="0.25">
      <c r="A6889" t="str">
        <f>"20190312150827656"</f>
        <v>20190312150827656</v>
      </c>
      <c r="B6889" t="str">
        <f>"1552374507647047"</f>
        <v>1552374507647047</v>
      </c>
      <c r="C6889" t="s">
        <v>40</v>
      </c>
      <c r="D6889">
        <v>4.174804</v>
      </c>
      <c r="E6889">
        <v>0.49449019999999999</v>
      </c>
      <c r="F6889" t="s">
        <v>48</v>
      </c>
      <c r="G6889">
        <v>0</v>
      </c>
      <c r="H6889">
        <v>0</v>
      </c>
      <c r="I6889">
        <v>0</v>
      </c>
      <c r="J6889">
        <v>-242.5076</v>
      </c>
      <c r="K6889">
        <v>1.109639</v>
      </c>
      <c r="L6889">
        <v>140.55850000000001</v>
      </c>
      <c r="M6889">
        <v>-0.99968480000000004</v>
      </c>
      <c r="N6889">
        <v>0</v>
      </c>
      <c r="O6889">
        <v>2.419986E-2</v>
      </c>
      <c r="P6889">
        <v>-0.99912299999999998</v>
      </c>
      <c r="Q6889">
        <v>4.007956E-2</v>
      </c>
      <c r="R6889">
        <v>1.212687E-2</v>
      </c>
      <c r="S6889">
        <v>-3.0026090000000001</v>
      </c>
      <c r="T6889">
        <v>4.3123959999999996E-3</v>
      </c>
      <c r="U6889">
        <v>-8.9569090000000007E-3</v>
      </c>
      <c r="V6889">
        <v>-1.2053639999999999E-2</v>
      </c>
      <c r="W6889">
        <v>4.6779069999999999E-2</v>
      </c>
      <c r="X6889">
        <v>0.99883250000000001</v>
      </c>
      <c r="Y6889">
        <v>-2.7182399999999999E-2</v>
      </c>
      <c r="Z6889" s="1">
        <v>5.4274529999999999E-5</v>
      </c>
      <c r="AA6889">
        <v>0.99963049999999998</v>
      </c>
      <c r="AB6889">
        <v>23</v>
      </c>
      <c r="AC6889">
        <v>-3.0026090000000001</v>
      </c>
      <c r="AD6889">
        <v>4.3123959999999996E-3</v>
      </c>
      <c r="AE6889">
        <v>-8.9569090000000007E-3</v>
      </c>
      <c r="AF6889">
        <v>-8.1618457730001898E-2</v>
      </c>
      <c r="AG6889">
        <v>4.3123959999999996E-3</v>
      </c>
      <c r="AH6889">
        <v>3.0015066661685301</v>
      </c>
      <c r="AI6889">
        <v>89.917711120285801</v>
      </c>
      <c r="AJ6889">
        <v>91.557631404733996</v>
      </c>
      <c r="AK6889">
        <v>3.0026192626531301</v>
      </c>
      <c r="AL6889">
        <v>87.318778146896307</v>
      </c>
      <c r="AM6889">
        <v>90.6913963828286</v>
      </c>
      <c r="AN6889">
        <v>0.99999996734178098</v>
      </c>
    </row>
    <row r="6890" spans="1:40" x14ac:dyDescent="0.25">
      <c r="A6890" t="str">
        <f>"20190312150827670"</f>
        <v>20190312150827670</v>
      </c>
      <c r="B6890" t="str">
        <f>"1552374507666567"</f>
        <v>1552374507666567</v>
      </c>
      <c r="C6890" t="s">
        <v>40</v>
      </c>
      <c r="D6890">
        <v>4.1047089999999997</v>
      </c>
      <c r="E6890">
        <v>0.4944423</v>
      </c>
      <c r="F6890" t="s">
        <v>48</v>
      </c>
      <c r="G6890">
        <v>0</v>
      </c>
      <c r="H6890">
        <v>0</v>
      </c>
      <c r="I6890">
        <v>0</v>
      </c>
      <c r="J6890">
        <v>-242.6465</v>
      </c>
      <c r="K6890">
        <v>1.109632</v>
      </c>
      <c r="L6890">
        <v>140.56180000000001</v>
      </c>
      <c r="M6890">
        <v>-0.99968500000000005</v>
      </c>
      <c r="N6890">
        <v>0</v>
      </c>
      <c r="O6890">
        <v>2.4189929999999998E-2</v>
      </c>
      <c r="P6890">
        <v>-0.99912460000000003</v>
      </c>
      <c r="Q6890">
        <v>4.005976E-2</v>
      </c>
      <c r="R6890">
        <v>1.2056620000000001E-2</v>
      </c>
      <c r="S6890">
        <v>-3.0027469999999998</v>
      </c>
      <c r="T6890">
        <v>3.532171E-4</v>
      </c>
      <c r="U6890">
        <v>-1.0162350000000001E-2</v>
      </c>
      <c r="V6890">
        <v>-1.2114629999999999E-2</v>
      </c>
      <c r="W6890">
        <v>4.6730019999999997E-2</v>
      </c>
      <c r="X6890">
        <v>0.99883409999999995</v>
      </c>
      <c r="Y6890">
        <v>-2.757368E-2</v>
      </c>
      <c r="Z6890" s="1">
        <v>4.4671309999999998E-6</v>
      </c>
      <c r="AA6890">
        <v>0.99961979999999995</v>
      </c>
      <c r="AB6890">
        <v>23</v>
      </c>
      <c r="AC6890">
        <v>-3.0027469999999998</v>
      </c>
      <c r="AD6890">
        <v>3.532171E-4</v>
      </c>
      <c r="AE6890">
        <v>-1.0162350000000001E-2</v>
      </c>
      <c r="AF6890">
        <v>-8.2797239980544501E-2</v>
      </c>
      <c r="AG6890">
        <v>3.532171E-4</v>
      </c>
      <c r="AH6890">
        <v>3.00162242577135</v>
      </c>
      <c r="AI6890">
        <v>89.993260260232006</v>
      </c>
      <c r="AJ6890">
        <v>91.580055411778204</v>
      </c>
      <c r="AK6890">
        <v>3.00276417565619</v>
      </c>
      <c r="AL6890">
        <v>87.321591693853605</v>
      </c>
      <c r="AM6890">
        <v>90.694893311961195</v>
      </c>
      <c r="AN6890">
        <v>1.0000000091760199</v>
      </c>
    </row>
    <row r="6891" spans="1:40" x14ac:dyDescent="0.25">
      <c r="A6891" t="str">
        <f>"20190312150827688"</f>
        <v>20190312150827688</v>
      </c>
      <c r="B6891" t="str">
        <f>"1552374507676519"</f>
        <v>1552374507676519</v>
      </c>
      <c r="C6891" t="s">
        <v>40</v>
      </c>
      <c r="D6891">
        <v>4.1726970000000003</v>
      </c>
      <c r="E6891">
        <v>0.4943379</v>
      </c>
      <c r="F6891" t="s">
        <v>48</v>
      </c>
      <c r="G6891">
        <v>0</v>
      </c>
      <c r="H6891">
        <v>0</v>
      </c>
      <c r="I6891">
        <v>0</v>
      </c>
      <c r="J6891">
        <v>-242.83340000000001</v>
      </c>
      <c r="K6891">
        <v>1.109626</v>
      </c>
      <c r="L6891">
        <v>140.56630000000001</v>
      </c>
      <c r="M6891">
        <v>-0.99968570000000001</v>
      </c>
      <c r="N6891">
        <v>0</v>
      </c>
      <c r="O6891">
        <v>2.4174540000000001E-2</v>
      </c>
      <c r="P6891">
        <v>-0.9991158</v>
      </c>
      <c r="Q6891">
        <v>4.0163459999999998E-2</v>
      </c>
      <c r="R6891">
        <v>1.243351E-2</v>
      </c>
      <c r="S6891">
        <v>-3.0027159999999999</v>
      </c>
      <c r="T6891">
        <v>1.05989E-3</v>
      </c>
      <c r="U6891">
        <v>-1.0726930000000001E-2</v>
      </c>
      <c r="V6891">
        <v>-1.172262E-2</v>
      </c>
      <c r="W6891">
        <v>4.679527E-2</v>
      </c>
      <c r="X6891">
        <v>0.99883569999999999</v>
      </c>
      <c r="Y6891">
        <v>-2.774625E-2</v>
      </c>
      <c r="Z6891" s="1">
        <v>1.3429570000000001E-5</v>
      </c>
      <c r="AA6891">
        <v>0.99961500000000003</v>
      </c>
      <c r="AB6891">
        <v>23</v>
      </c>
      <c r="AC6891">
        <v>-3.0027159999999999</v>
      </c>
      <c r="AD6891">
        <v>1.05989E-3</v>
      </c>
      <c r="AE6891">
        <v>-1.0726930000000001E-2</v>
      </c>
      <c r="AF6891">
        <v>-8.3314663006430201E-2</v>
      </c>
      <c r="AG6891">
        <v>1.05989E-3</v>
      </c>
      <c r="AH6891">
        <v>3.0015787285823601</v>
      </c>
      <c r="AI6891">
        <v>89.979776029004299</v>
      </c>
      <c r="AJ6891">
        <v>91.589947700260694</v>
      </c>
      <c r="AK6891">
        <v>3.0027349733729101</v>
      </c>
      <c r="AL6891">
        <v>87.317848988674498</v>
      </c>
      <c r="AM6891">
        <v>90.672408700754502</v>
      </c>
      <c r="AN6891">
        <v>0.99999998635426302</v>
      </c>
    </row>
    <row r="6892" spans="1:40" x14ac:dyDescent="0.25">
      <c r="A6892" t="str">
        <f>"20190312150827710"</f>
        <v>20190312150827710</v>
      </c>
      <c r="B6892" t="str">
        <f>"1552374507706775"</f>
        <v>1552374507706775</v>
      </c>
      <c r="C6892" t="s">
        <v>40</v>
      </c>
      <c r="D6892">
        <v>4.164466</v>
      </c>
      <c r="E6892">
        <v>0.49401050000000002</v>
      </c>
      <c r="F6892" t="s">
        <v>48</v>
      </c>
      <c r="G6892">
        <v>0</v>
      </c>
      <c r="H6892">
        <v>0</v>
      </c>
      <c r="I6892">
        <v>0</v>
      </c>
      <c r="J6892">
        <v>-243.07169999999999</v>
      </c>
      <c r="K6892">
        <v>1.109629</v>
      </c>
      <c r="L6892">
        <v>140.57210000000001</v>
      </c>
      <c r="M6892">
        <v>-0.99968670000000004</v>
      </c>
      <c r="N6892">
        <v>0</v>
      </c>
      <c r="O6892">
        <v>2.415171E-2</v>
      </c>
      <c r="P6892">
        <v>-0.99910810000000005</v>
      </c>
      <c r="Q6892">
        <v>4.0292509999999997E-2</v>
      </c>
      <c r="R6892">
        <v>1.26398E-2</v>
      </c>
      <c r="S6892">
        <v>-3.0027159999999999</v>
      </c>
      <c r="T6892">
        <v>1.58906E-3</v>
      </c>
      <c r="U6892">
        <v>-1.045227E-2</v>
      </c>
      <c r="V6892">
        <v>-1.149348E-2</v>
      </c>
      <c r="W6892">
        <v>4.6880039999999998E-2</v>
      </c>
      <c r="X6892">
        <v>0.99883440000000001</v>
      </c>
      <c r="Y6892">
        <v>-2.763198E-2</v>
      </c>
      <c r="Z6892" s="1">
        <v>2.0092210000000001E-5</v>
      </c>
      <c r="AA6892">
        <v>0.99961820000000001</v>
      </c>
      <c r="AB6892">
        <v>23</v>
      </c>
      <c r="AC6892">
        <v>-3.0027159999999999</v>
      </c>
      <c r="AD6892">
        <v>1.58906E-3</v>
      </c>
      <c r="AE6892">
        <v>-1.045227E-2</v>
      </c>
      <c r="AF6892">
        <v>-8.2971490180499402E-2</v>
      </c>
      <c r="AG6892">
        <v>1.58906E-3</v>
      </c>
      <c r="AH6892">
        <v>3.0015867983784998</v>
      </c>
      <c r="AI6892">
        <v>89.969678818511298</v>
      </c>
      <c r="AJ6892">
        <v>91.583397796828294</v>
      </c>
      <c r="AK6892">
        <v>3.0027337713314801</v>
      </c>
      <c r="AL6892">
        <v>87.312986721541904</v>
      </c>
      <c r="AM6892">
        <v>90.659267275249803</v>
      </c>
      <c r="AN6892">
        <v>0.99999999842813603</v>
      </c>
    </row>
    <row r="6893" spans="1:40" x14ac:dyDescent="0.25">
      <c r="A6893" t="str">
        <f>"20190312150827733"</f>
        <v>20190312150827733</v>
      </c>
      <c r="B6893" t="str">
        <f>"1552374507726295"</f>
        <v>1552374507726295</v>
      </c>
      <c r="C6893" t="s">
        <v>40</v>
      </c>
      <c r="D6893">
        <v>4.1440510000000002</v>
      </c>
      <c r="E6893">
        <v>0.49362850000000003</v>
      </c>
      <c r="F6893" t="s">
        <v>48</v>
      </c>
      <c r="G6893">
        <v>0</v>
      </c>
      <c r="H6893">
        <v>0</v>
      </c>
      <c r="I6893">
        <v>0</v>
      </c>
      <c r="J6893">
        <v>-243.2997</v>
      </c>
      <c r="K6893">
        <v>1.1096269999999999</v>
      </c>
      <c r="L6893">
        <v>140.57749999999999</v>
      </c>
      <c r="M6893">
        <v>-0.9996874</v>
      </c>
      <c r="N6893">
        <v>0</v>
      </c>
      <c r="O6893">
        <v>2.4126950000000001E-2</v>
      </c>
      <c r="P6893">
        <v>-0.9990928</v>
      </c>
      <c r="Q6893">
        <v>4.0388510000000002E-2</v>
      </c>
      <c r="R6893">
        <v>1.351228E-2</v>
      </c>
      <c r="S6893">
        <v>-3.0028839999999999</v>
      </c>
      <c r="T6893">
        <v>-1.2867449999999999E-3</v>
      </c>
      <c r="U6893">
        <v>-1.2451169999999999E-2</v>
      </c>
      <c r="V6893">
        <v>-1.0596609999999999E-2</v>
      </c>
      <c r="W6893">
        <v>4.6938170000000001E-2</v>
      </c>
      <c r="X6893">
        <v>0.9988416</v>
      </c>
      <c r="Y6893">
        <v>-2.8272419999999999E-2</v>
      </c>
      <c r="Z6893" s="1">
        <v>-1.639541E-5</v>
      </c>
      <c r="AA6893">
        <v>0.99960020000000005</v>
      </c>
      <c r="AB6893">
        <v>23</v>
      </c>
      <c r="AC6893">
        <v>-3.0028839999999999</v>
      </c>
      <c r="AD6893">
        <v>-1.2867449999999999E-3</v>
      </c>
      <c r="AE6893">
        <v>-1.2451169999999999E-2</v>
      </c>
      <c r="AF6893">
        <v>-8.4899519343511504E-2</v>
      </c>
      <c r="AG6893">
        <v>-1.2867449999999999E-3</v>
      </c>
      <c r="AH6893">
        <v>3.0017088648436698</v>
      </c>
      <c r="AI6893">
        <v>90.024551209129896</v>
      </c>
      <c r="AJ6893">
        <v>91.620106367050298</v>
      </c>
      <c r="AK6893">
        <v>3.0029095379945399</v>
      </c>
      <c r="AL6893">
        <v>87.3096524810056</v>
      </c>
      <c r="AM6893">
        <v>90.607822355446899</v>
      </c>
      <c r="AN6893">
        <v>1.0000000109185001</v>
      </c>
    </row>
    <row r="6894" spans="1:40" x14ac:dyDescent="0.25">
      <c r="A6894" t="str">
        <f>"20190312150827744"</f>
        <v>20190312150827744</v>
      </c>
      <c r="B6894" t="str">
        <f>"1552374507737031"</f>
        <v>1552374507737031</v>
      </c>
      <c r="C6894" t="s">
        <v>40</v>
      </c>
      <c r="D6894">
        <v>4.117807</v>
      </c>
      <c r="E6894">
        <v>0.49346129999999999</v>
      </c>
      <c r="F6894" t="s">
        <v>48</v>
      </c>
      <c r="G6894">
        <v>0</v>
      </c>
      <c r="H6894">
        <v>0</v>
      </c>
      <c r="I6894">
        <v>0</v>
      </c>
      <c r="J6894">
        <v>-243.43209999999999</v>
      </c>
      <c r="K6894">
        <v>1.109623</v>
      </c>
      <c r="L6894">
        <v>140.58070000000001</v>
      </c>
      <c r="M6894">
        <v>-0.99968800000000002</v>
      </c>
      <c r="N6894">
        <v>0</v>
      </c>
      <c r="O6894">
        <v>2.411139E-2</v>
      </c>
      <c r="P6894">
        <v>-0.99909630000000005</v>
      </c>
      <c r="Q6894">
        <v>4.0187380000000002E-2</v>
      </c>
      <c r="R6894">
        <v>1.384414E-2</v>
      </c>
      <c r="S6894">
        <v>-3.0029599999999999</v>
      </c>
      <c r="T6894">
        <v>-1.4364720000000001E-3</v>
      </c>
      <c r="U6894">
        <v>-1.2908940000000001E-2</v>
      </c>
      <c r="V6894">
        <v>-1.02495E-2</v>
      </c>
      <c r="W6894">
        <v>4.6717149999999999E-2</v>
      </c>
      <c r="X6894">
        <v>0.99885559999999995</v>
      </c>
      <c r="Y6894">
        <v>-2.840912E-2</v>
      </c>
      <c r="Z6894" s="1">
        <v>-1.832798E-5</v>
      </c>
      <c r="AA6894">
        <v>0.99959640000000005</v>
      </c>
      <c r="AB6894">
        <v>23</v>
      </c>
      <c r="AC6894">
        <v>-3.0029599999999999</v>
      </c>
      <c r="AD6894">
        <v>-1.4364720000000001E-3</v>
      </c>
      <c r="AE6894">
        <v>-1.2908940000000001E-2</v>
      </c>
      <c r="AF6894">
        <v>-8.5312247365996602E-2</v>
      </c>
      <c r="AG6894">
        <v>-1.4364720000000001E-3</v>
      </c>
      <c r="AH6894">
        <v>3.0017749908810698</v>
      </c>
      <c r="AI6894">
        <v>90.027407303161496</v>
      </c>
      <c r="AJ6894">
        <v>91.627942232957594</v>
      </c>
      <c r="AK6894">
        <v>3.00298740238475</v>
      </c>
      <c r="AL6894">
        <v>87.322329944521499</v>
      </c>
      <c r="AM6894">
        <v>90.587905280990697</v>
      </c>
      <c r="AN6894">
        <v>1.0000000270028599</v>
      </c>
    </row>
    <row r="6895" spans="1:40" x14ac:dyDescent="0.25">
      <c r="A6895" t="str">
        <f>"20190312150827766"</f>
        <v>20190312150827766</v>
      </c>
      <c r="B6895" t="str">
        <f>"1552374507756554"</f>
        <v>1552374507756554</v>
      </c>
      <c r="C6895" t="s">
        <v>40</v>
      </c>
      <c r="D6895">
        <v>4.1328500000000004</v>
      </c>
      <c r="E6895">
        <v>0.49334159999999999</v>
      </c>
      <c r="F6895" t="s">
        <v>48</v>
      </c>
      <c r="G6895">
        <v>0</v>
      </c>
      <c r="H6895">
        <v>0</v>
      </c>
      <c r="I6895">
        <v>0</v>
      </c>
      <c r="J6895">
        <v>-243.654</v>
      </c>
      <c r="K6895">
        <v>1.1096140000000001</v>
      </c>
      <c r="L6895">
        <v>140.58609999999999</v>
      </c>
      <c r="M6895">
        <v>-0.99968900000000005</v>
      </c>
      <c r="N6895">
        <v>0</v>
      </c>
      <c r="O6895">
        <v>2.4083340000000002E-2</v>
      </c>
      <c r="P6895">
        <v>-0.99912230000000002</v>
      </c>
      <c r="Q6895">
        <v>3.948111E-2</v>
      </c>
      <c r="R6895">
        <v>1.4010659999999999E-2</v>
      </c>
      <c r="S6895">
        <v>-3.0030209999999999</v>
      </c>
      <c r="T6895">
        <v>-3.0244590000000002E-3</v>
      </c>
      <c r="U6895">
        <v>-1.333618E-2</v>
      </c>
      <c r="V6895">
        <v>-1.0056000000000001E-2</v>
      </c>
      <c r="W6895">
        <v>4.5980279999999998E-2</v>
      </c>
      <c r="X6895">
        <v>0.99889170000000005</v>
      </c>
      <c r="Y6895">
        <v>-2.8523179999999999E-2</v>
      </c>
      <c r="Z6895" s="1">
        <v>-3.8617549999999998E-5</v>
      </c>
      <c r="AA6895">
        <v>0.99959310000000001</v>
      </c>
      <c r="AB6895">
        <v>24</v>
      </c>
      <c r="AC6895">
        <v>-3.0030209999999999</v>
      </c>
      <c r="AD6895">
        <v>-3.0244590000000002E-3</v>
      </c>
      <c r="AE6895">
        <v>-1.333618E-2</v>
      </c>
      <c r="AF6895">
        <v>-8.5656515689901805E-2</v>
      </c>
      <c r="AG6895">
        <v>-3.0244590000000002E-3</v>
      </c>
      <c r="AH6895">
        <v>3.0018257189219302</v>
      </c>
      <c r="AI6895">
        <v>90.057704273273998</v>
      </c>
      <c r="AJ6895">
        <v>91.634480454184896</v>
      </c>
      <c r="AK6895">
        <v>3.00304908931132</v>
      </c>
      <c r="AL6895">
        <v>87.364594753188001</v>
      </c>
      <c r="AM6895">
        <v>90.576786147684004</v>
      </c>
      <c r="AN6895">
        <v>0.99999996880688302</v>
      </c>
    </row>
    <row r="6896" spans="1:40" x14ac:dyDescent="0.25">
      <c r="A6896" t="str">
        <f>"20190312150827778"</f>
        <v>20190312150827778</v>
      </c>
      <c r="B6896" t="str">
        <f>"1552374507767287"</f>
        <v>1552374507767287</v>
      </c>
      <c r="C6896" t="s">
        <v>40</v>
      </c>
      <c r="D6896">
        <v>4.1261099999999997</v>
      </c>
      <c r="E6896">
        <v>0.49321730000000003</v>
      </c>
      <c r="F6896" t="s">
        <v>48</v>
      </c>
      <c r="G6896">
        <v>0</v>
      </c>
      <c r="H6896">
        <v>0</v>
      </c>
      <c r="I6896">
        <v>0</v>
      </c>
      <c r="J6896">
        <v>-243.786</v>
      </c>
      <c r="K6896">
        <v>1.1096109999999999</v>
      </c>
      <c r="L6896">
        <v>140.58920000000001</v>
      </c>
      <c r="M6896">
        <v>-0.99968950000000001</v>
      </c>
      <c r="N6896">
        <v>0</v>
      </c>
      <c r="O6896">
        <v>2.4066230000000001E-2</v>
      </c>
      <c r="P6896">
        <v>-0.99911280000000002</v>
      </c>
      <c r="Q6896">
        <v>3.9583029999999998E-2</v>
      </c>
      <c r="R6896">
        <v>1.440088E-2</v>
      </c>
      <c r="S6896">
        <v>-3.0030670000000002</v>
      </c>
      <c r="T6896">
        <v>-5.8451889999999998E-3</v>
      </c>
      <c r="U6896">
        <v>-1.3854979999999999E-2</v>
      </c>
      <c r="V6896">
        <v>-9.6482359999999993E-3</v>
      </c>
      <c r="W6896">
        <v>4.6064590000000002E-2</v>
      </c>
      <c r="X6896">
        <v>0.99889190000000005</v>
      </c>
      <c r="Y6896">
        <v>-2.8678599999999999E-2</v>
      </c>
      <c r="Z6896" s="1">
        <v>-7.4750549999999999E-5</v>
      </c>
      <c r="AA6896">
        <v>0.9995887</v>
      </c>
      <c r="AB6896">
        <v>24</v>
      </c>
      <c r="AC6896">
        <v>-3.0030670000000002</v>
      </c>
      <c r="AD6896">
        <v>-5.8451889999999998E-3</v>
      </c>
      <c r="AE6896">
        <v>-1.3854979999999999E-2</v>
      </c>
      <c r="AF6896">
        <v>-8.6124649472760897E-2</v>
      </c>
      <c r="AG6896">
        <v>-5.8451889999999998E-3</v>
      </c>
      <c r="AH6896">
        <v>3.001852358067</v>
      </c>
      <c r="AI6896">
        <v>90.1115199700006</v>
      </c>
      <c r="AJ6896">
        <v>91.643393827848001</v>
      </c>
      <c r="AK6896">
        <v>3.0030932721301902</v>
      </c>
      <c r="AL6896">
        <v>87.359759187326702</v>
      </c>
      <c r="AM6896">
        <v>90.553399233922093</v>
      </c>
      <c r="AN6896">
        <v>1.00000003139769</v>
      </c>
    </row>
    <row r="6897" spans="1:40" x14ac:dyDescent="0.25">
      <c r="A6897" t="str">
        <f>"20190312150827791"</f>
        <v>20190312150827791</v>
      </c>
      <c r="B6897" t="str">
        <f>"1552374507786807"</f>
        <v>1552374507786807</v>
      </c>
      <c r="C6897" t="s">
        <v>40</v>
      </c>
      <c r="D6897">
        <v>4.3202480000000003</v>
      </c>
      <c r="E6897">
        <v>0.49301499999999998</v>
      </c>
      <c r="F6897" t="s">
        <v>48</v>
      </c>
      <c r="G6897">
        <v>0</v>
      </c>
      <c r="H6897">
        <v>0</v>
      </c>
      <c r="I6897">
        <v>0</v>
      </c>
      <c r="J6897">
        <v>-243.9204</v>
      </c>
      <c r="K6897">
        <v>1.1096090000000001</v>
      </c>
      <c r="L6897">
        <v>140.5924</v>
      </c>
      <c r="M6897">
        <v>-0.99968990000000002</v>
      </c>
      <c r="N6897">
        <v>0</v>
      </c>
      <c r="O6897">
        <v>2.404864E-2</v>
      </c>
      <c r="P6897">
        <v>-0.99911559999999999</v>
      </c>
      <c r="Q6897">
        <v>3.9424210000000001E-2</v>
      </c>
      <c r="R6897">
        <v>1.4629700000000001E-2</v>
      </c>
      <c r="S6897">
        <v>-3.0031279999999998</v>
      </c>
      <c r="T6897">
        <v>-6.7764519999999996E-3</v>
      </c>
      <c r="U6897">
        <v>-1.376343E-2</v>
      </c>
      <c r="V6897">
        <v>-9.4025380000000002E-3</v>
      </c>
      <c r="W6897">
        <v>4.588834E-2</v>
      </c>
      <c r="X6897">
        <v>0.99890230000000002</v>
      </c>
      <c r="Y6897">
        <v>-2.8630409999999998E-2</v>
      </c>
      <c r="Z6897" s="1">
        <v>-8.6564029999999995E-5</v>
      </c>
      <c r="AA6897">
        <v>0.99958999999999998</v>
      </c>
      <c r="AB6897">
        <v>24</v>
      </c>
      <c r="AC6897">
        <v>-3.0031279999999998</v>
      </c>
      <c r="AD6897">
        <v>-6.7764519999999996E-3</v>
      </c>
      <c r="AE6897">
        <v>-1.376343E-2</v>
      </c>
      <c r="AF6897">
        <v>-8.5981663943756101E-2</v>
      </c>
      <c r="AG6897">
        <v>-6.7764519999999996E-3</v>
      </c>
      <c r="AH6897">
        <v>3.0019131449715202</v>
      </c>
      <c r="AI6897">
        <v>90.129284978878601</v>
      </c>
      <c r="AJ6897">
        <v>91.640633727075496</v>
      </c>
      <c r="AK6897">
        <v>3.0031518937258301</v>
      </c>
      <c r="AL6897">
        <v>87.369868113008494</v>
      </c>
      <c r="AM6897">
        <v>90.539301825821596</v>
      </c>
      <c r="AN6897">
        <v>0.99999997620704295</v>
      </c>
    </row>
    <row r="6898" spans="1:40" x14ac:dyDescent="0.25">
      <c r="A6898" t="str">
        <f>"20190312150827809"</f>
        <v>20190312150827809</v>
      </c>
      <c r="B6898" t="str">
        <f>"1552374507796567"</f>
        <v>1552374507796567</v>
      </c>
      <c r="C6898" t="s">
        <v>40</v>
      </c>
      <c r="D6898">
        <v>4.1164639999999997</v>
      </c>
      <c r="E6898">
        <v>0.49287730000000002</v>
      </c>
      <c r="F6898" t="s">
        <v>48</v>
      </c>
      <c r="G6898">
        <v>0</v>
      </c>
      <c r="H6898">
        <v>0</v>
      </c>
      <c r="I6898">
        <v>0</v>
      </c>
      <c r="J6898">
        <v>-244.1096</v>
      </c>
      <c r="K6898">
        <v>1.109605</v>
      </c>
      <c r="L6898">
        <v>140.59700000000001</v>
      </c>
      <c r="M6898">
        <v>-0.99969079999999999</v>
      </c>
      <c r="N6898">
        <v>0</v>
      </c>
      <c r="O6898">
        <v>2.4023369999999999E-2</v>
      </c>
      <c r="P6898">
        <v>-0.9991274</v>
      </c>
      <c r="Q6898">
        <v>3.8821099999999997E-2</v>
      </c>
      <c r="R6898">
        <v>1.5422430000000001E-2</v>
      </c>
      <c r="S6898">
        <v>-3.0032040000000002</v>
      </c>
      <c r="T6898">
        <v>-8.1298350000000002E-3</v>
      </c>
      <c r="U6898">
        <v>-1.4755249999999999E-2</v>
      </c>
      <c r="V6898">
        <v>-8.5849499999999992E-3</v>
      </c>
      <c r="W6898">
        <v>4.5262429999999999E-2</v>
      </c>
      <c r="X6898">
        <v>0.99893829999999995</v>
      </c>
      <c r="Y6898">
        <v>-2.8935079999999998E-2</v>
      </c>
      <c r="Z6898">
        <v>-1.041938E-4</v>
      </c>
      <c r="AA6898">
        <v>0.99958130000000001</v>
      </c>
      <c r="AB6898">
        <v>24</v>
      </c>
      <c r="AC6898">
        <v>-3.0032040000000002</v>
      </c>
      <c r="AD6898">
        <v>-8.1298350000000002E-3</v>
      </c>
      <c r="AE6898">
        <v>-1.4755249999999999E-2</v>
      </c>
      <c r="AF6898">
        <v>-8.6898921133132204E-2</v>
      </c>
      <c r="AG6898">
        <v>-8.1298350000000002E-3</v>
      </c>
      <c r="AH6898">
        <v>3.00196075483061</v>
      </c>
      <c r="AI6898">
        <v>90.1551016471754</v>
      </c>
      <c r="AJ6898">
        <v>91.658100097599004</v>
      </c>
      <c r="AK6898">
        <v>3.00322924370658</v>
      </c>
      <c r="AL6898">
        <v>87.405767631216094</v>
      </c>
      <c r="AM6898">
        <v>90.492392065712806</v>
      </c>
      <c r="AN6898">
        <v>1.0000000580714401</v>
      </c>
    </row>
    <row r="6899" spans="1:40" x14ac:dyDescent="0.25">
      <c r="A6899" t="str">
        <f>"20190312150827832"</f>
        <v>20190312150827832</v>
      </c>
      <c r="B6899" t="str">
        <f>"1552374507826823"</f>
        <v>1552374507826823</v>
      </c>
      <c r="C6899" t="s">
        <v>40</v>
      </c>
      <c r="D6899">
        <v>4.2675340000000004</v>
      </c>
      <c r="E6899">
        <v>0.49266480000000001</v>
      </c>
      <c r="F6899" t="s">
        <v>43</v>
      </c>
      <c r="G6899">
        <v>-558.56349999999998</v>
      </c>
      <c r="H6899">
        <v>-0.05</v>
      </c>
      <c r="I6899">
        <v>139.1798</v>
      </c>
      <c r="J6899">
        <v>-244.3622</v>
      </c>
      <c r="K6899">
        <v>1.1096029999999999</v>
      </c>
      <c r="L6899">
        <v>140.60299999999901</v>
      </c>
      <c r="M6899">
        <v>-0.99969160000000001</v>
      </c>
      <c r="N6899">
        <v>0</v>
      </c>
      <c r="O6899">
        <v>2.3989650000000001E-2</v>
      </c>
      <c r="P6899">
        <v>-0.99912199999999995</v>
      </c>
      <c r="Q6899">
        <v>3.8665730000000002E-2</v>
      </c>
      <c r="R6899">
        <v>1.613444E-2</v>
      </c>
      <c r="S6899">
        <v>-3.00325</v>
      </c>
      <c r="T6899">
        <v>-1.107502E-2</v>
      </c>
      <c r="U6899">
        <v>-1.3534549999999999E-2</v>
      </c>
      <c r="V6899">
        <v>-7.8400299999999996E-3</v>
      </c>
      <c r="W6899">
        <v>4.5081889999999999E-2</v>
      </c>
      <c r="X6899">
        <v>0.99895250000000002</v>
      </c>
      <c r="Y6899">
        <v>-2.8494829999999999E-2</v>
      </c>
      <c r="Z6899">
        <v>-1.4100150000000001E-4</v>
      </c>
      <c r="AA6899">
        <v>0.99959390000000004</v>
      </c>
      <c r="AB6899">
        <v>24</v>
      </c>
      <c r="AC6899">
        <v>-314.20129999999898</v>
      </c>
      <c r="AD6899">
        <v>-1.1596029999999999</v>
      </c>
      <c r="AE6899">
        <v>-1.42319999999998</v>
      </c>
      <c r="AF6899">
        <v>-8.9604028520922601</v>
      </c>
      <c r="AG6899">
        <v>-1.1596029999999999</v>
      </c>
      <c r="AH6899">
        <v>314.07245071379202</v>
      </c>
      <c r="AI6899">
        <v>90.211457685010004</v>
      </c>
      <c r="AJ6899">
        <v>91.634189950704197</v>
      </c>
      <c r="AK6899">
        <v>314.20238349789298</v>
      </c>
      <c r="AL6899">
        <v>87.416122153065203</v>
      </c>
      <c r="AM6899">
        <v>90.449662429146997</v>
      </c>
      <c r="AN6899">
        <v>0.99999997006631103</v>
      </c>
    </row>
    <row r="6900" spans="1:40" x14ac:dyDescent="0.25">
      <c r="A6900" t="str">
        <f>"20190312150827844"</f>
        <v>20190312150827844</v>
      </c>
      <c r="B6900" t="str">
        <f>"1552374507836583"</f>
        <v>1552374507836583</v>
      </c>
      <c r="C6900" t="s">
        <v>40</v>
      </c>
      <c r="D6900">
        <v>4.1061170000000002</v>
      </c>
      <c r="E6900">
        <v>0.49252689999999999</v>
      </c>
      <c r="F6900" t="s">
        <v>43</v>
      </c>
      <c r="G6900">
        <v>-548.73310000000004</v>
      </c>
      <c r="H6900">
        <v>-0.05</v>
      </c>
      <c r="I6900">
        <v>139.26230000000001</v>
      </c>
      <c r="J6900">
        <v>-244.4933</v>
      </c>
      <c r="K6900">
        <v>1.109599</v>
      </c>
      <c r="L6900">
        <v>140.6062</v>
      </c>
      <c r="M6900">
        <v>-0.99969220000000003</v>
      </c>
      <c r="N6900">
        <v>0</v>
      </c>
      <c r="O6900">
        <v>2.3971860000000001E-2</v>
      </c>
      <c r="P6900">
        <v>-0.99911799999999995</v>
      </c>
      <c r="Q6900">
        <v>3.8505890000000001E-2</v>
      </c>
      <c r="R6900">
        <v>1.6744729999999999E-2</v>
      </c>
      <c r="S6900">
        <v>-3.0032649999999999</v>
      </c>
      <c r="T6900">
        <v>-1.1441949999999999E-2</v>
      </c>
      <c r="U6900">
        <v>-1.3229370000000001E-2</v>
      </c>
      <c r="V6900">
        <v>-7.2113159999999997E-3</v>
      </c>
      <c r="W6900">
        <v>4.4910409999999998E-2</v>
      </c>
      <c r="X6900">
        <v>0.99896499999999999</v>
      </c>
      <c r="Y6900">
        <v>-2.837543E-2</v>
      </c>
      <c r="Z6900">
        <v>-1.45377E-4</v>
      </c>
      <c r="AA6900">
        <v>0.99959730000000002</v>
      </c>
      <c r="AB6900">
        <v>24</v>
      </c>
      <c r="AC6900">
        <v>-304.2398</v>
      </c>
      <c r="AD6900">
        <v>-1.159599</v>
      </c>
      <c r="AE6900">
        <v>-1.3438999999999901</v>
      </c>
      <c r="AF6900">
        <v>-8.6367312060454005</v>
      </c>
      <c r="AG6900">
        <v>-1.159599</v>
      </c>
      <c r="AH6900">
        <v>304.115733832111</v>
      </c>
      <c r="AI6900">
        <v>90.218380776870404</v>
      </c>
      <c r="AJ6900">
        <v>91.626733573424403</v>
      </c>
      <c r="AK6900">
        <v>304.24055837447099</v>
      </c>
      <c r="AL6900">
        <v>87.425957296831896</v>
      </c>
      <c r="AM6900">
        <v>90.413598869565305</v>
      </c>
      <c r="AN6900">
        <v>1.00000000961491</v>
      </c>
    </row>
    <row r="6901" spans="1:40" x14ac:dyDescent="0.25">
      <c r="A6901" t="str">
        <f>"20190312150827866"</f>
        <v>20190312150827866</v>
      </c>
      <c r="B6901" t="str">
        <f>"1552374507857082"</f>
        <v>1552374507857082</v>
      </c>
      <c r="C6901" t="s">
        <v>40</v>
      </c>
      <c r="D6901">
        <v>4.083831</v>
      </c>
      <c r="E6901">
        <v>0.49223860000000003</v>
      </c>
      <c r="F6901" t="s">
        <v>73</v>
      </c>
      <c r="G6901">
        <v>-499.69369999999998</v>
      </c>
      <c r="H6901" s="1">
        <v>-7.8077539999999992E-6</v>
      </c>
      <c r="I6901">
        <v>139.53649999999999</v>
      </c>
      <c r="J6901">
        <v>-244.73580000000001</v>
      </c>
      <c r="K6901">
        <v>1.1095950000000001</v>
      </c>
      <c r="L6901">
        <v>140.61189999999999</v>
      </c>
      <c r="M6901">
        <v>-0.99969300000000005</v>
      </c>
      <c r="N6901">
        <v>0</v>
      </c>
      <c r="O6901">
        <v>2.3939909999999998E-2</v>
      </c>
      <c r="P6901">
        <v>-0.99914970000000003</v>
      </c>
      <c r="Q6901">
        <v>3.7381110000000002E-2</v>
      </c>
      <c r="R6901">
        <v>1.738437E-2</v>
      </c>
      <c r="S6901">
        <v>-3.0033569999999998</v>
      </c>
      <c r="T6901">
        <v>-1.305854E-2</v>
      </c>
      <c r="U6901">
        <v>-1.2588500000000001E-2</v>
      </c>
      <c r="V6901">
        <v>-6.5414310000000003E-3</v>
      </c>
      <c r="W6901">
        <v>4.376903E-2</v>
      </c>
      <c r="X6901">
        <v>0.99902029999999997</v>
      </c>
      <c r="Y6901">
        <v>-2.8129930000000001E-2</v>
      </c>
      <c r="Z6901">
        <v>-1.6523899999999999E-4</v>
      </c>
      <c r="AA6901">
        <v>0.9996043</v>
      </c>
      <c r="AB6901">
        <v>24</v>
      </c>
      <c r="AC6901">
        <v>-254.9579</v>
      </c>
      <c r="AD6901">
        <v>-1.1096028077539899</v>
      </c>
      <c r="AE6901">
        <v>-1.0753999999999999</v>
      </c>
      <c r="AF6901">
        <v>-7.178749465359</v>
      </c>
      <c r="AG6901">
        <v>-1.1096028077539899</v>
      </c>
      <c r="AH6901">
        <v>254.854253342688</v>
      </c>
      <c r="AI6901">
        <v>90.2493580117699</v>
      </c>
      <c r="AJ6901">
        <v>91.613484213700602</v>
      </c>
      <c r="AK6901">
        <v>254.957753577208</v>
      </c>
      <c r="AL6901">
        <v>87.491418010331103</v>
      </c>
      <c r="AM6901">
        <v>90.375158574893703</v>
      </c>
      <c r="AN6901">
        <v>1.00000003905937</v>
      </c>
    </row>
    <row r="6902" spans="1:40" x14ac:dyDescent="0.25">
      <c r="A6902" t="str">
        <f>"20190312150827889"</f>
        <v>20190312150827889</v>
      </c>
      <c r="B6902" t="str">
        <f>"1552374507887335"</f>
        <v>1552374507887335</v>
      </c>
      <c r="C6902" t="s">
        <v>40</v>
      </c>
      <c r="D6902">
        <v>4.0949780000000002</v>
      </c>
      <c r="E6902">
        <v>0.50844079999999903</v>
      </c>
      <c r="F6902" t="s">
        <v>77</v>
      </c>
      <c r="G6902">
        <v>-426.12079999999997</v>
      </c>
      <c r="H6902" s="1">
        <v>-1.076242E-5</v>
      </c>
      <c r="I6902">
        <v>139.82040000000001</v>
      </c>
      <c r="J6902">
        <v>-244.9776</v>
      </c>
      <c r="K6902">
        <v>1.1095889999999999</v>
      </c>
      <c r="L6902">
        <v>140.61770000000001</v>
      </c>
      <c r="M6902">
        <v>-0.99969379999999997</v>
      </c>
      <c r="N6902">
        <v>0</v>
      </c>
      <c r="O6902">
        <v>2.390801E-2</v>
      </c>
      <c r="P6902">
        <v>-0.99915240000000005</v>
      </c>
      <c r="Q6902">
        <v>3.690889E-2</v>
      </c>
      <c r="R6902">
        <v>1.8233079999999999E-2</v>
      </c>
      <c r="S6902">
        <v>-3.0034939999999999</v>
      </c>
      <c r="T6902">
        <v>-1.8373609999999999E-2</v>
      </c>
      <c r="U6902">
        <v>-1.31072999999999E-2</v>
      </c>
      <c r="V6902">
        <v>-5.6607419999999999E-3</v>
      </c>
      <c r="W6902">
        <v>4.3279779999999997E-2</v>
      </c>
      <c r="X6902">
        <v>0.99904700000000002</v>
      </c>
      <c r="Y6902">
        <v>-2.827002E-2</v>
      </c>
      <c r="Z6902">
        <v>-2.3271589999999999E-4</v>
      </c>
      <c r="AA6902">
        <v>0.9996003</v>
      </c>
      <c r="AB6902">
        <v>24</v>
      </c>
      <c r="AC6902">
        <v>-181.14320000000001</v>
      </c>
      <c r="AD6902">
        <v>-1.10959976242</v>
      </c>
      <c r="AE6902">
        <v>-0.797300000000007</v>
      </c>
      <c r="AF6902">
        <v>-5.1277412918245897</v>
      </c>
      <c r="AG6902">
        <v>-1.10959976242</v>
      </c>
      <c r="AH6902">
        <v>181.065564307773</v>
      </c>
      <c r="AI6902">
        <v>90.350972919362505</v>
      </c>
      <c r="AJ6902">
        <v>91.622171671712493</v>
      </c>
      <c r="AK6902">
        <v>181.14155658070499</v>
      </c>
      <c r="AL6902">
        <v>87.519476575619507</v>
      </c>
      <c r="AM6902">
        <v>90.324642538958798</v>
      </c>
      <c r="AN6902">
        <v>1.0000000457829099</v>
      </c>
    </row>
    <row r="6903" spans="1:40" x14ac:dyDescent="0.25">
      <c r="A6903" t="str">
        <f>"20190312150827911"</f>
        <v>20190312150827911</v>
      </c>
      <c r="B6903" t="str">
        <f>"1552374507906855"</f>
        <v>1552374507906855</v>
      </c>
      <c r="C6903" t="s">
        <v>40</v>
      </c>
      <c r="D6903">
        <v>4.4663649999999997</v>
      </c>
      <c r="E6903">
        <v>0.50931570000000004</v>
      </c>
      <c r="F6903" t="s">
        <v>79</v>
      </c>
      <c r="G6903">
        <v>-511.06009999999998</v>
      </c>
      <c r="H6903">
        <v>4.3172639999999998</v>
      </c>
      <c r="I6903">
        <v>151.26679999999999</v>
      </c>
      <c r="J6903">
        <v>-245.21799999999999</v>
      </c>
      <c r="K6903">
        <v>1.10958</v>
      </c>
      <c r="L6903">
        <v>140.62350000000001</v>
      </c>
      <c r="M6903">
        <v>-0.99969470000000005</v>
      </c>
      <c r="N6903">
        <v>0</v>
      </c>
      <c r="O6903">
        <v>2.387653E-2</v>
      </c>
      <c r="P6903">
        <v>-0.99917719999999999</v>
      </c>
      <c r="Q6903">
        <v>3.584768E-2</v>
      </c>
      <c r="R6903">
        <v>1.89783E-2</v>
      </c>
      <c r="S6903">
        <v>-2.9990230000000002</v>
      </c>
      <c r="T6903">
        <v>3.6154270000000002E-2</v>
      </c>
      <c r="U6903">
        <v>0.1200256</v>
      </c>
      <c r="V6903">
        <v>-4.8849369999999998E-3</v>
      </c>
      <c r="W6903">
        <v>4.2202160000000002E-2</v>
      </c>
      <c r="X6903">
        <v>0.99909720000000002</v>
      </c>
      <c r="Y6903">
        <v>1.6120809999999999E-2</v>
      </c>
      <c r="Z6903">
        <v>1.9053660000000001E-4</v>
      </c>
      <c r="AA6903">
        <v>0.99987009999999998</v>
      </c>
      <c r="AB6903">
        <v>24</v>
      </c>
      <c r="AC6903">
        <v>-265.84210000000002</v>
      </c>
      <c r="AD6903">
        <v>3.2076839999999902</v>
      </c>
      <c r="AE6903">
        <v>10.643299999999901</v>
      </c>
      <c r="AF6903">
        <v>4.2921265813419804</v>
      </c>
      <c r="AG6903">
        <v>3.2076839999999902</v>
      </c>
      <c r="AH6903">
        <v>265.981776874719</v>
      </c>
      <c r="AI6903">
        <v>89.309148441080694</v>
      </c>
      <c r="AJ6903">
        <v>89.075502846338097</v>
      </c>
      <c r="AK6903">
        <v>266.03574424626999</v>
      </c>
      <c r="AL6903">
        <v>87.581276137100801</v>
      </c>
      <c r="AM6903">
        <v>90.280136950660804</v>
      </c>
      <c r="AN6903">
        <v>1.00000004998299</v>
      </c>
    </row>
    <row r="6904" spans="1:40" x14ac:dyDescent="0.25">
      <c r="A6904" t="str">
        <f>"20190312150827944"</f>
        <v>20190312150827944</v>
      </c>
      <c r="B6904" t="str">
        <f>"1552374507937110"</f>
        <v>1552374507937110</v>
      </c>
      <c r="C6904" t="s">
        <v>40</v>
      </c>
      <c r="D6904">
        <v>4.1201319999999999</v>
      </c>
      <c r="E6904">
        <v>0.50916759999999905</v>
      </c>
      <c r="F6904" t="s">
        <v>79</v>
      </c>
      <c r="G6904">
        <v>-511.06009999999998</v>
      </c>
      <c r="H6904">
        <v>4.2221330000000004</v>
      </c>
      <c r="I6904">
        <v>152.09039999999999</v>
      </c>
      <c r="J6904">
        <v>-245.58250000000001</v>
      </c>
      <c r="K6904">
        <v>1.1095699999999999</v>
      </c>
      <c r="L6904">
        <v>140.63210000000001</v>
      </c>
      <c r="M6904">
        <v>-0.99969609999999998</v>
      </c>
      <c r="N6904">
        <v>0</v>
      </c>
      <c r="O6904">
        <v>2.382917E-2</v>
      </c>
      <c r="P6904">
        <v>-0.99916680000000002</v>
      </c>
      <c r="Q6904">
        <v>3.5456029999999999E-2</v>
      </c>
      <c r="R6904">
        <v>2.0219270000000001E-2</v>
      </c>
      <c r="S6904">
        <v>-2.9987339999999998</v>
      </c>
      <c r="T6904">
        <v>3.5110469999999998E-2</v>
      </c>
      <c r="U6904">
        <v>0.12934880000000001</v>
      </c>
      <c r="V6904">
        <v>-3.5967949999999999E-3</v>
      </c>
      <c r="W6904">
        <v>4.1781489999999998E-2</v>
      </c>
      <c r="X6904">
        <v>0.99912029999999996</v>
      </c>
      <c r="Y6904">
        <v>1.9274949999999999E-2</v>
      </c>
      <c r="Z6904">
        <v>1.66029599999999E-4</v>
      </c>
      <c r="AA6904">
        <v>0.99981419999999999</v>
      </c>
      <c r="AB6904">
        <v>24</v>
      </c>
      <c r="AC6904">
        <v>-265.47759999999897</v>
      </c>
      <c r="AD6904">
        <v>3.1125630000000002</v>
      </c>
      <c r="AE6904">
        <v>11.4582999999999</v>
      </c>
      <c r="AF6904">
        <v>5.1281056206816098</v>
      </c>
      <c r="AG6904">
        <v>3.1125630000000002</v>
      </c>
      <c r="AH6904">
        <v>265.63881336049701</v>
      </c>
      <c r="AI6904">
        <v>89.328805368413697</v>
      </c>
      <c r="AJ6904">
        <v>88.894053494241902</v>
      </c>
      <c r="AK6904">
        <v>265.70653864603798</v>
      </c>
      <c r="AL6904">
        <v>87.605399914705501</v>
      </c>
      <c r="AM6904">
        <v>90.206261731474001</v>
      </c>
      <c r="AN6904">
        <v>1.0000000018564901</v>
      </c>
    </row>
    <row r="6905" spans="1:40" x14ac:dyDescent="0.25">
      <c r="A6905" t="str">
        <f>"20190312150827966"</f>
        <v>20190312150827966</v>
      </c>
      <c r="B6905" t="str">
        <f>"1552374507956636"</f>
        <v>1552374507956636</v>
      </c>
      <c r="C6905" t="s">
        <v>40</v>
      </c>
      <c r="D6905">
        <v>4.1438569999999997</v>
      </c>
      <c r="E6905">
        <v>0.50895749999999995</v>
      </c>
      <c r="F6905" t="s">
        <v>79</v>
      </c>
      <c r="G6905">
        <v>-511.05950000000001</v>
      </c>
      <c r="H6905">
        <v>2.514983</v>
      </c>
      <c r="I6905">
        <v>152.25810000000001</v>
      </c>
      <c r="J6905">
        <v>-245.8212</v>
      </c>
      <c r="K6905">
        <v>1.1095649999999999</v>
      </c>
      <c r="L6905">
        <v>140.6377</v>
      </c>
      <c r="M6905">
        <v>-0.99969699999999995</v>
      </c>
      <c r="N6905">
        <v>0</v>
      </c>
      <c r="O6905">
        <v>2.379794E-2</v>
      </c>
      <c r="P6905">
        <v>-0.99917560000000005</v>
      </c>
      <c r="Q6905">
        <v>3.512146E-2</v>
      </c>
      <c r="R6905">
        <v>2.0369870000000002E-2</v>
      </c>
      <c r="S6905">
        <v>-2.9992830000000001</v>
      </c>
      <c r="T6905">
        <v>1.5878440000000001E-2</v>
      </c>
      <c r="U6905">
        <v>0.13134770000000001</v>
      </c>
      <c r="V6905">
        <v>-3.4148529999999998E-3</v>
      </c>
      <c r="W6905">
        <v>4.1427970000000001E-2</v>
      </c>
      <c r="X6905">
        <v>0.99913569999999996</v>
      </c>
      <c r="Y6905">
        <v>1.9963129999999999E-2</v>
      </c>
      <c r="Z6905" s="1">
        <v>7.3086619999999906E-5</v>
      </c>
      <c r="AA6905">
        <v>0.99980069999999999</v>
      </c>
      <c r="AB6905">
        <v>25</v>
      </c>
      <c r="AC6905">
        <v>-265.23829999999998</v>
      </c>
      <c r="AD6905">
        <v>1.4054180000000001</v>
      </c>
      <c r="AE6905">
        <v>11.6204</v>
      </c>
      <c r="AF6905">
        <v>5.3047101665447602</v>
      </c>
      <c r="AG6905">
        <v>1.4054180000000001</v>
      </c>
      <c r="AH6905">
        <v>265.43228759823597</v>
      </c>
      <c r="AI6905">
        <v>89.696692168393398</v>
      </c>
      <c r="AJ6905">
        <v>88.8550863514333</v>
      </c>
      <c r="AK6905">
        <v>265.48901003495098</v>
      </c>
      <c r="AL6905">
        <v>87.625672768425005</v>
      </c>
      <c r="AM6905">
        <v>90.195825154395607</v>
      </c>
      <c r="AN6905">
        <v>1.00000004246691</v>
      </c>
    </row>
    <row r="6906" spans="1:40" x14ac:dyDescent="0.25">
      <c r="A6906" t="str">
        <f>"20190312150827989"</f>
        <v>20190312150827989</v>
      </c>
      <c r="B6906" t="str">
        <f>"1552374507986887"</f>
        <v>1552374507986887</v>
      </c>
      <c r="C6906" t="s">
        <v>40</v>
      </c>
      <c r="D6906">
        <v>4.0944909999999997</v>
      </c>
      <c r="E6906">
        <v>0.50901730000000001</v>
      </c>
      <c r="F6906" t="s">
        <v>79</v>
      </c>
      <c r="G6906">
        <v>-511.05930000000001</v>
      </c>
      <c r="H6906">
        <v>1.8920360000000001</v>
      </c>
      <c r="I6906">
        <v>152.13229999999999</v>
      </c>
      <c r="J6906">
        <v>-246.0813</v>
      </c>
      <c r="K6906">
        <v>1.109559</v>
      </c>
      <c r="L6906">
        <v>140.6439</v>
      </c>
      <c r="M6906">
        <v>-0.99969799999999998</v>
      </c>
      <c r="N6906">
        <v>0</v>
      </c>
      <c r="O6906">
        <v>2.3764029999999998E-2</v>
      </c>
      <c r="P6906">
        <v>-0.99918439999999997</v>
      </c>
      <c r="Q6906">
        <v>3.488575E-2</v>
      </c>
      <c r="R6906">
        <v>2.0350630000000001E-2</v>
      </c>
      <c r="S6906">
        <v>-2.9995120000000002</v>
      </c>
      <c r="T6906">
        <v>8.8492629999999996E-3</v>
      </c>
      <c r="U6906">
        <v>0.12998959999999901</v>
      </c>
      <c r="V6906">
        <v>-3.4005960000000001E-3</v>
      </c>
      <c r="W6906">
        <v>4.1174040000000002E-2</v>
      </c>
      <c r="X6906">
        <v>0.99914619999999998</v>
      </c>
      <c r="Y6906">
        <v>1.9541880000000001E-2</v>
      </c>
      <c r="Z6906" s="1">
        <v>4.1250849999999998E-5</v>
      </c>
      <c r="AA6906">
        <v>0.99980899999999995</v>
      </c>
      <c r="AB6906">
        <v>25</v>
      </c>
      <c r="AC6906">
        <v>-264.97800000000001</v>
      </c>
      <c r="AD6906">
        <v>0.78247699999999998</v>
      </c>
      <c r="AE6906">
        <v>11.488399999999899</v>
      </c>
      <c r="AF6906">
        <v>5.1880418410572604</v>
      </c>
      <c r="AG6906">
        <v>0.78247699999999998</v>
      </c>
      <c r="AH6906">
        <v>265.17387412015398</v>
      </c>
      <c r="AI6906">
        <v>89.830964035250901</v>
      </c>
      <c r="AJ6906">
        <v>88.879169435659804</v>
      </c>
      <c r="AK6906">
        <v>265.22577469825802</v>
      </c>
      <c r="AL6906">
        <v>87.640234203133502</v>
      </c>
      <c r="AM6906">
        <v>90.195005542036</v>
      </c>
      <c r="AN6906">
        <v>0.99999999729875799</v>
      </c>
    </row>
    <row r="6907" spans="1:40" x14ac:dyDescent="0.25">
      <c r="A6907" t="str">
        <f>"20190312150828010"</f>
        <v>20190312150828010</v>
      </c>
      <c r="B6907" t="str">
        <f>"1552374508006408"</f>
        <v>1552374508006408</v>
      </c>
      <c r="C6907" t="s">
        <v>40</v>
      </c>
      <c r="D6907">
        <v>4.147418</v>
      </c>
      <c r="E6907">
        <v>0.50902309999999995</v>
      </c>
      <c r="F6907" t="s">
        <v>79</v>
      </c>
      <c r="G6907">
        <v>-511.05930000000001</v>
      </c>
      <c r="H6907">
        <v>1.7904359999999999</v>
      </c>
      <c r="I6907">
        <v>152.15819999999999</v>
      </c>
      <c r="J6907">
        <v>-246.30869999999999</v>
      </c>
      <c r="K6907">
        <v>1.109545</v>
      </c>
      <c r="L6907">
        <v>140.64930000000001</v>
      </c>
      <c r="M6907">
        <v>-0.9996988</v>
      </c>
      <c r="N6907">
        <v>0</v>
      </c>
      <c r="O6907">
        <v>2.3734390000000001E-2</v>
      </c>
      <c r="P6907">
        <v>-0.99921629999999995</v>
      </c>
      <c r="Q6907">
        <v>3.4106230000000001E-2</v>
      </c>
      <c r="R6907">
        <v>2.0098810000000002E-2</v>
      </c>
      <c r="S6907">
        <v>-2.9995270000000001</v>
      </c>
      <c r="T6907">
        <v>7.707953E-3</v>
      </c>
      <c r="U6907">
        <v>0.1303406</v>
      </c>
      <c r="V6907">
        <v>-3.6236829999999999E-3</v>
      </c>
      <c r="W6907">
        <v>4.0378379999999998E-2</v>
      </c>
      <c r="X6907">
        <v>0.99917789999999995</v>
      </c>
      <c r="Y6907">
        <v>1.9688049999999999E-2</v>
      </c>
      <c r="Z6907" s="1">
        <v>3.5666549999999998E-5</v>
      </c>
      <c r="AA6907">
        <v>0.99980619999999998</v>
      </c>
      <c r="AB6907">
        <v>25</v>
      </c>
      <c r="AC6907">
        <v>-264.75060000000002</v>
      </c>
      <c r="AD6907">
        <v>0.68089100000000002</v>
      </c>
      <c r="AE6907">
        <v>11.508899999999899</v>
      </c>
      <c r="AF6907">
        <v>5.2218068485332898</v>
      </c>
      <c r="AG6907">
        <v>0.68089100000000002</v>
      </c>
      <c r="AH6907">
        <v>264.94742968536298</v>
      </c>
      <c r="AI6907">
        <v>89.852783927316096</v>
      </c>
      <c r="AJ6907">
        <v>88.870912752031401</v>
      </c>
      <c r="AK6907">
        <v>264.99975731347001</v>
      </c>
      <c r="AL6907">
        <v>87.685860141242998</v>
      </c>
      <c r="AM6907">
        <v>90.207791657460206</v>
      </c>
      <c r="AN6907">
        <v>1.00000001024915</v>
      </c>
    </row>
    <row r="6908" spans="1:40" x14ac:dyDescent="0.25">
      <c r="A6908" t="str">
        <f>"20190312150828033"</f>
        <v>20190312150828033</v>
      </c>
      <c r="B6908" t="str">
        <f>"1552374508026903"</f>
        <v>1552374508026903</v>
      </c>
      <c r="C6908" t="s">
        <v>40</v>
      </c>
      <c r="D6908">
        <v>4.3997859999999998</v>
      </c>
      <c r="E6908">
        <v>0.50902959999999997</v>
      </c>
      <c r="F6908" t="s">
        <v>79</v>
      </c>
      <c r="G6908">
        <v>-511.0591</v>
      </c>
      <c r="H6908">
        <v>1.4587129999999999</v>
      </c>
      <c r="I6908">
        <v>152.09399999999999</v>
      </c>
      <c r="J6908">
        <v>-246.56659999999999</v>
      </c>
      <c r="K6908">
        <v>1.109537</v>
      </c>
      <c r="L6908">
        <v>140.65539999999999</v>
      </c>
      <c r="M6908">
        <v>-0.99969960000000002</v>
      </c>
      <c r="N6908">
        <v>0</v>
      </c>
      <c r="O6908">
        <v>2.3700949999999998E-2</v>
      </c>
      <c r="P6908">
        <v>-0.9992318</v>
      </c>
      <c r="Q6908">
        <v>3.3652469999999997E-2</v>
      </c>
      <c r="R6908">
        <v>2.0083770000000001E-2</v>
      </c>
      <c r="S6908">
        <v>-2.999619</v>
      </c>
      <c r="T6908">
        <v>3.956556E-3</v>
      </c>
      <c r="U6908">
        <v>0.12966920000000001</v>
      </c>
      <c r="V6908">
        <v>-3.605647E-3</v>
      </c>
      <c r="W6908">
        <v>3.9906700000000003E-2</v>
      </c>
      <c r="X6908">
        <v>0.99919690000000005</v>
      </c>
      <c r="Y6908">
        <v>1.9496800000000002E-2</v>
      </c>
      <c r="Z6908" s="1">
        <v>1.8389510000000001E-5</v>
      </c>
      <c r="AA6908">
        <v>0.99980990000000003</v>
      </c>
      <c r="AB6908">
        <v>25</v>
      </c>
      <c r="AC6908">
        <v>-264.49250000000001</v>
      </c>
      <c r="AD6908">
        <v>0.34917599999999899</v>
      </c>
      <c r="AE6908">
        <v>11.438599999999999</v>
      </c>
      <c r="AF6908">
        <v>5.1665320222112001</v>
      </c>
      <c r="AG6908">
        <v>0.34917599999999899</v>
      </c>
      <c r="AH6908">
        <v>264.688849833066</v>
      </c>
      <c r="AI6908">
        <v>89.924430177583602</v>
      </c>
      <c r="AJ6908">
        <v>88.881770450104</v>
      </c>
      <c r="AK6908">
        <v>264.73949875862297</v>
      </c>
      <c r="AL6908">
        <v>87.712907180952897</v>
      </c>
      <c r="AM6908">
        <v>90.206753502555401</v>
      </c>
      <c r="AN6908">
        <v>0.99999999518239402</v>
      </c>
    </row>
    <row r="6909" spans="1:40" x14ac:dyDescent="0.25">
      <c r="A6909" t="str">
        <f>"20190312150828056"</f>
        <v>20190312150828056</v>
      </c>
      <c r="B6909" t="str">
        <f>"1552374508046423"</f>
        <v>1552374508046423</v>
      </c>
      <c r="C6909" t="s">
        <v>40</v>
      </c>
      <c r="D6909">
        <v>4.1146979999999997</v>
      </c>
      <c r="E6909">
        <v>0.50894620000000002</v>
      </c>
      <c r="F6909" t="s">
        <v>79</v>
      </c>
      <c r="G6909">
        <v>-511.0591</v>
      </c>
      <c r="H6909">
        <v>1.4168259999999999</v>
      </c>
      <c r="I6909">
        <v>152.08369999999999</v>
      </c>
      <c r="J6909">
        <v>-246.8176</v>
      </c>
      <c r="K6909">
        <v>1.109532</v>
      </c>
      <c r="L6909">
        <v>140.66130000000001</v>
      </c>
      <c r="M6909">
        <v>-0.99970040000000004</v>
      </c>
      <c r="N6909">
        <v>0</v>
      </c>
      <c r="O6909">
        <v>2.3668700000000001E-2</v>
      </c>
      <c r="P6909">
        <v>-0.99923499999999998</v>
      </c>
      <c r="Q6909">
        <v>3.3505699999999999E-2</v>
      </c>
      <c r="R6909">
        <v>2.0176920000000001E-2</v>
      </c>
      <c r="S6909">
        <v>-2.9995880000000001</v>
      </c>
      <c r="T6909">
        <v>3.4854410000000001E-3</v>
      </c>
      <c r="U6909">
        <v>0.12960819999999901</v>
      </c>
      <c r="V6909">
        <v>-3.4803619999999999E-3</v>
      </c>
      <c r="W6909">
        <v>3.9744229999999998E-2</v>
      </c>
      <c r="X6909">
        <v>0.99920379999999998</v>
      </c>
      <c r="Y6909">
        <v>1.9509189999999999E-2</v>
      </c>
      <c r="Z6909" s="1">
        <v>1.6155369999999999E-5</v>
      </c>
      <c r="AA6909">
        <v>0.99980970000000002</v>
      </c>
      <c r="AB6909">
        <v>25</v>
      </c>
      <c r="AC6909">
        <v>-264.24149999999997</v>
      </c>
      <c r="AD6909">
        <v>0.30729400000000001</v>
      </c>
      <c r="AE6909">
        <v>11.4223999999999</v>
      </c>
      <c r="AF6909">
        <v>5.1648185502929396</v>
      </c>
      <c r="AG6909">
        <v>0.30729400000000001</v>
      </c>
      <c r="AH6909">
        <v>264.43747339310602</v>
      </c>
      <c r="AI6909">
        <v>89.933431204547901</v>
      </c>
      <c r="AJ6909">
        <v>88.881078839252396</v>
      </c>
      <c r="AK6909">
        <v>264.488085014788</v>
      </c>
      <c r="AL6909">
        <v>87.722223372099094</v>
      </c>
      <c r="AM6909">
        <v>90.199568143509794</v>
      </c>
      <c r="AN6909">
        <v>0.999999975336191</v>
      </c>
    </row>
    <row r="6910" spans="1:40" x14ac:dyDescent="0.25">
      <c r="A6910" t="str">
        <f>"20190312150828078"</f>
        <v>20190312150828078</v>
      </c>
      <c r="B6910" t="str">
        <f>"1552374508066919"</f>
        <v>1552374508066919</v>
      </c>
      <c r="C6910" t="s">
        <v>40</v>
      </c>
      <c r="D6910">
        <v>4.1498030000000004</v>
      </c>
      <c r="E6910">
        <v>0.50899510000000003</v>
      </c>
      <c r="F6910" t="s">
        <v>79</v>
      </c>
      <c r="G6910">
        <v>-511.0591</v>
      </c>
      <c r="H6910">
        <v>1.2023090000000001</v>
      </c>
      <c r="I6910">
        <v>152.04490000000001</v>
      </c>
      <c r="J6910">
        <v>-247.07429999999999</v>
      </c>
      <c r="K6910">
        <v>1.1095360000000001</v>
      </c>
      <c r="L6910">
        <v>140.66730000000001</v>
      </c>
      <c r="M6910">
        <v>-0.99970119999999896</v>
      </c>
      <c r="N6910">
        <v>0</v>
      </c>
      <c r="O6910">
        <v>2.3635420000000001E-2</v>
      </c>
      <c r="P6910">
        <v>-0.99922010000000006</v>
      </c>
      <c r="Q6910">
        <v>3.3819599999999998E-2</v>
      </c>
      <c r="R6910">
        <v>2.0385759999999999E-2</v>
      </c>
      <c r="S6910">
        <v>-2.9996489999999998</v>
      </c>
      <c r="T6910">
        <v>1.053691E-3</v>
      </c>
      <c r="U6910">
        <v>0.1292267</v>
      </c>
      <c r="V6910">
        <v>-3.2378060000000002E-3</v>
      </c>
      <c r="W6910">
        <v>4.0044870000000003E-2</v>
      </c>
      <c r="X6910">
        <v>0.99919270000000004</v>
      </c>
      <c r="Y6910">
        <v>1.941468E-2</v>
      </c>
      <c r="Z6910" s="1">
        <v>4.8887939999999999E-6</v>
      </c>
      <c r="AA6910">
        <v>0.99981149999999996</v>
      </c>
      <c r="AB6910">
        <v>25</v>
      </c>
      <c r="AC6910">
        <v>-263.98480000000001</v>
      </c>
      <c r="AD6910">
        <v>9.2772999999999994E-2</v>
      </c>
      <c r="AE6910">
        <v>11.377599999999999</v>
      </c>
      <c r="AF6910">
        <v>5.13490793602538</v>
      </c>
      <c r="AG6910">
        <v>9.2772999999999994E-2</v>
      </c>
      <c r="AH6910">
        <v>264.179938526059</v>
      </c>
      <c r="AI6910">
        <v>89.979883039788305</v>
      </c>
      <c r="AJ6910">
        <v>88.886472939690705</v>
      </c>
      <c r="AK6910">
        <v>264.22985411564201</v>
      </c>
      <c r="AL6910">
        <v>87.7049844464496</v>
      </c>
      <c r="AM6910">
        <v>90.185661854186193</v>
      </c>
      <c r="AN6910">
        <v>1.00000006336714</v>
      </c>
    </row>
    <row r="6911" spans="1:40" x14ac:dyDescent="0.25">
      <c r="A6911" t="str">
        <f>"20190312150828101"</f>
        <v>20190312150828101</v>
      </c>
      <c r="B6911" t="str">
        <f>"1552374508097176"</f>
        <v>1552374508097176</v>
      </c>
      <c r="C6911" t="s">
        <v>40</v>
      </c>
      <c r="D6911">
        <v>4.1138190000000003</v>
      </c>
      <c r="E6911">
        <v>0.50896200000000003</v>
      </c>
      <c r="F6911" t="s">
        <v>79</v>
      </c>
      <c r="G6911">
        <v>-511.05900000000003</v>
      </c>
      <c r="H6911">
        <v>1.1341349999999999</v>
      </c>
      <c r="I6911">
        <v>152.12710000000001</v>
      </c>
      <c r="J6911">
        <v>-247.3211</v>
      </c>
      <c r="K6911">
        <v>1.1095360000000001</v>
      </c>
      <c r="L6911">
        <v>140.67310000000001</v>
      </c>
      <c r="M6911">
        <v>-0.99970199999999998</v>
      </c>
      <c r="N6911">
        <v>0</v>
      </c>
      <c r="O6911">
        <v>2.3603619999999999E-2</v>
      </c>
      <c r="P6911">
        <v>-0.99919500000000006</v>
      </c>
      <c r="Q6911">
        <v>3.4515570000000002E-2</v>
      </c>
      <c r="R6911">
        <v>2.045133E-2</v>
      </c>
      <c r="S6911">
        <v>-2.9996800000000001</v>
      </c>
      <c r="T6911">
        <v>2.8002259999999998E-4</v>
      </c>
      <c r="U6911">
        <v>0.13021849999999999</v>
      </c>
      <c r="V6911">
        <v>-3.1400460000000001E-3</v>
      </c>
      <c r="W6911">
        <v>4.0731910000000003E-2</v>
      </c>
      <c r="X6911">
        <v>0.99916519999999998</v>
      </c>
      <c r="Y6911">
        <v>1.9776019999999998E-2</v>
      </c>
      <c r="Z6911" s="1">
        <v>1.2793679999999999E-6</v>
      </c>
      <c r="AA6911">
        <v>0.99980440000000004</v>
      </c>
      <c r="AB6911">
        <v>25</v>
      </c>
      <c r="AC6911">
        <v>-263.73790000000002</v>
      </c>
      <c r="AD6911">
        <v>2.4598999999999999E-2</v>
      </c>
      <c r="AE6911">
        <v>11.454000000000001</v>
      </c>
      <c r="AF6911">
        <v>5.2255188160549304</v>
      </c>
      <c r="AG6911">
        <v>2.4598999999999999E-2</v>
      </c>
      <c r="AH6911">
        <v>263.93477746460599</v>
      </c>
      <c r="AI6911">
        <v>89.994661019143393</v>
      </c>
      <c r="AJ6911">
        <v>88.865776362549497</v>
      </c>
      <c r="AK6911">
        <v>263.986502320287</v>
      </c>
      <c r="AL6911">
        <v>87.665587715231297</v>
      </c>
      <c r="AM6911">
        <v>90.180061106001105</v>
      </c>
      <c r="AN6911">
        <v>1.0000000226360799</v>
      </c>
    </row>
    <row r="6912" spans="1:40" x14ac:dyDescent="0.25">
      <c r="A6912" t="str">
        <f>"20190312150828122"</f>
        <v>20190312150828122</v>
      </c>
      <c r="B6912" t="str">
        <f>"1552374508116696"</f>
        <v>1552374508116696</v>
      </c>
      <c r="C6912" t="s">
        <v>40</v>
      </c>
      <c r="D6912">
        <v>4.1100279999999998</v>
      </c>
      <c r="E6912">
        <v>0.50849160000000004</v>
      </c>
      <c r="F6912" t="s">
        <v>79</v>
      </c>
      <c r="G6912">
        <v>-511.0591</v>
      </c>
      <c r="H6912">
        <v>1.470817</v>
      </c>
      <c r="I6912">
        <v>152.11709999999999</v>
      </c>
      <c r="J6912">
        <v>-247.56909999999999</v>
      </c>
      <c r="K6912">
        <v>1.1095330000000001</v>
      </c>
      <c r="L6912">
        <v>140.679</v>
      </c>
      <c r="M6912">
        <v>-0.99970289999999995</v>
      </c>
      <c r="N6912">
        <v>0</v>
      </c>
      <c r="O6912">
        <v>2.3571680000000001E-2</v>
      </c>
      <c r="P6912">
        <v>-0.9991987</v>
      </c>
      <c r="Q6912">
        <v>3.4280779999999997E-2</v>
      </c>
      <c r="R6912">
        <v>2.0670290000000001E-2</v>
      </c>
      <c r="S6912">
        <v>-2.999603</v>
      </c>
      <c r="T6912">
        <v>4.1095020000000001E-3</v>
      </c>
      <c r="U6912">
        <v>0.13015750000000001</v>
      </c>
      <c r="V6912">
        <v>-2.8894670000000002E-3</v>
      </c>
      <c r="W6912">
        <v>4.0494639999999998E-2</v>
      </c>
      <c r="X6912">
        <v>0.99917549999999999</v>
      </c>
      <c r="Y6912">
        <v>1.9788759999999999E-2</v>
      </c>
      <c r="Z6912" s="1">
        <v>1.8723540000000001E-5</v>
      </c>
      <c r="AA6912">
        <v>0.99980420000000003</v>
      </c>
      <c r="AB6912">
        <v>25</v>
      </c>
      <c r="AC6912">
        <v>-263.49</v>
      </c>
      <c r="AD6912">
        <v>0.36128399999999999</v>
      </c>
      <c r="AE6912">
        <v>11.438099999999899</v>
      </c>
      <c r="AF6912">
        <v>5.2238905033397103</v>
      </c>
      <c r="AG6912">
        <v>0.36128399999999999</v>
      </c>
      <c r="AH6912">
        <v>263.68591192571603</v>
      </c>
      <c r="AI6912">
        <v>89.9215127787553</v>
      </c>
      <c r="AJ6912">
        <v>88.865059841518004</v>
      </c>
      <c r="AK6912">
        <v>263.73789963942602</v>
      </c>
      <c r="AL6912">
        <v>87.679193277264105</v>
      </c>
      <c r="AM6912">
        <v>90.165690414392003</v>
      </c>
      <c r="AN6912">
        <v>0.99999992234425805</v>
      </c>
    </row>
    <row r="6913" spans="1:40" x14ac:dyDescent="0.25">
      <c r="A6913" t="str">
        <f>"20190312150828145"</f>
        <v>20190312150828145</v>
      </c>
      <c r="B6913" t="str">
        <f>"1552374508137191"</f>
        <v>1552374508137191</v>
      </c>
      <c r="C6913" t="s">
        <v>40</v>
      </c>
      <c r="D6913">
        <v>4.1182150000000002</v>
      </c>
      <c r="E6913">
        <v>0.5082894</v>
      </c>
      <c r="F6913" t="s">
        <v>79</v>
      </c>
      <c r="G6913">
        <v>-511.05919999999998</v>
      </c>
      <c r="H6913">
        <v>1.641945</v>
      </c>
      <c r="I6913">
        <v>151.85230000000001</v>
      </c>
      <c r="J6913">
        <v>-247.83439999999999</v>
      </c>
      <c r="K6913">
        <v>1.1095379999999999</v>
      </c>
      <c r="L6913">
        <v>140.68520000000001</v>
      </c>
      <c r="M6913">
        <v>-0.99970349999999997</v>
      </c>
      <c r="N6913">
        <v>0</v>
      </c>
      <c r="O6913">
        <v>2.353732E-2</v>
      </c>
      <c r="P6913">
        <v>-0.99921760000000004</v>
      </c>
      <c r="Q6913">
        <v>3.3850310000000002E-2</v>
      </c>
      <c r="R6913">
        <v>2.0454E-2</v>
      </c>
      <c r="S6913">
        <v>-2.9995569999999998</v>
      </c>
      <c r="T6913">
        <v>6.0614350000000004E-3</v>
      </c>
      <c r="U6913">
        <v>0.12719730000000001</v>
      </c>
      <c r="V6913">
        <v>-3.0719969999999999E-3</v>
      </c>
      <c r="W6913">
        <v>4.0072499999999997E-2</v>
      </c>
      <c r="X6913">
        <v>0.99919210000000003</v>
      </c>
      <c r="Y6913">
        <v>1.8838899999999999E-2</v>
      </c>
      <c r="Z6913" s="1">
        <v>2.8507909999999999E-5</v>
      </c>
      <c r="AA6913">
        <v>0.99982260000000001</v>
      </c>
      <c r="AB6913">
        <v>25</v>
      </c>
      <c r="AC6913">
        <v>-263.22480000000002</v>
      </c>
      <c r="AD6913">
        <v>0.53240699999999996</v>
      </c>
      <c r="AE6913">
        <v>11.1671</v>
      </c>
      <c r="AF6913">
        <v>4.9682589669790396</v>
      </c>
      <c r="AG6913">
        <v>0.53240699999999996</v>
      </c>
      <c r="AH6913">
        <v>263.413646095513</v>
      </c>
      <c r="AI6913">
        <v>89.884215534733002</v>
      </c>
      <c r="AJ6913">
        <v>88.919469333482297</v>
      </c>
      <c r="AK6913">
        <v>263.46103317892897</v>
      </c>
      <c r="AL6913">
        <v>87.703400056129396</v>
      </c>
      <c r="AM6913">
        <v>90.176154223194899</v>
      </c>
      <c r="AN6913">
        <v>1.00000004756211</v>
      </c>
    </row>
    <row r="6914" spans="1:40" x14ac:dyDescent="0.25">
      <c r="A6914" t="str">
        <f>"20190312150828167"</f>
        <v>20190312150828167</v>
      </c>
      <c r="B6914" t="str">
        <f>"1552374508156711"</f>
        <v>1552374508156711</v>
      </c>
      <c r="C6914" t="s">
        <v>40</v>
      </c>
      <c r="D6914">
        <v>4.1256789999999999</v>
      </c>
      <c r="E6914">
        <v>0.50825819999999999</v>
      </c>
      <c r="F6914" t="s">
        <v>79</v>
      </c>
      <c r="G6914">
        <v>-511.05919999999998</v>
      </c>
      <c r="H6914">
        <v>1.6266339999999999</v>
      </c>
      <c r="I6914">
        <v>151.65029999999999</v>
      </c>
      <c r="J6914">
        <v>-248.08090000000001</v>
      </c>
      <c r="K6914">
        <v>1.1095389999999901</v>
      </c>
      <c r="L6914">
        <v>140.6909</v>
      </c>
      <c r="M6914">
        <v>-0.99970420000000004</v>
      </c>
      <c r="N6914">
        <v>0</v>
      </c>
      <c r="O6914">
        <v>2.350559E-2</v>
      </c>
      <c r="P6914">
        <v>-0.99924420000000003</v>
      </c>
      <c r="Q6914">
        <v>3.3119929999999999E-2</v>
      </c>
      <c r="R6914">
        <v>2.0358830000000001E-2</v>
      </c>
      <c r="S6914">
        <v>-2.999603</v>
      </c>
      <c r="T6914">
        <v>5.8931110000000004E-3</v>
      </c>
      <c r="U6914">
        <v>0.1249542</v>
      </c>
      <c r="V6914">
        <v>-3.1359299999999999E-3</v>
      </c>
      <c r="W6914">
        <v>3.9364009999999998E-2</v>
      </c>
      <c r="X6914">
        <v>0.99922</v>
      </c>
      <c r="Y6914">
        <v>1.8123650000000002E-2</v>
      </c>
      <c r="Z6914" s="1">
        <v>2.8356409999999999E-5</v>
      </c>
      <c r="AA6914">
        <v>0.99983569999999999</v>
      </c>
      <c r="AB6914">
        <v>25</v>
      </c>
      <c r="AC6914">
        <v>-262.97829999999999</v>
      </c>
      <c r="AD6914">
        <v>0.51709499999999997</v>
      </c>
      <c r="AE6914">
        <v>10.959399999999899</v>
      </c>
      <c r="AF6914">
        <v>4.7747727905783401</v>
      </c>
      <c r="AG6914">
        <v>0.51709499999999997</v>
      </c>
      <c r="AH6914">
        <v>263.16223416870798</v>
      </c>
      <c r="AI6914">
        <v>89.887436555449298</v>
      </c>
      <c r="AJ6914">
        <v>88.960548743973902</v>
      </c>
      <c r="AK6914">
        <v>263.20605489826198</v>
      </c>
      <c r="AL6914">
        <v>87.744025454967897</v>
      </c>
      <c r="AM6914">
        <v>90.179815219823595</v>
      </c>
      <c r="AN6914">
        <v>0.99999998387012201</v>
      </c>
    </row>
    <row r="6915" spans="1:40" x14ac:dyDescent="0.25">
      <c r="A6915" t="str">
        <f>"20190312150828189"</f>
        <v>20190312150828189</v>
      </c>
      <c r="B6915" t="str">
        <f>"1552374508176816"</f>
        <v>1552374508176816</v>
      </c>
      <c r="C6915" t="s">
        <v>40</v>
      </c>
      <c r="D6915">
        <v>4.1276510000000002</v>
      </c>
      <c r="E6915">
        <v>0.50810529999999998</v>
      </c>
      <c r="F6915" t="s">
        <v>79</v>
      </c>
      <c r="G6915">
        <v>-511.0591</v>
      </c>
      <c r="H6915">
        <v>1.301971</v>
      </c>
      <c r="I6915">
        <v>151.59739999999999</v>
      </c>
      <c r="J6915">
        <v>-248.33150000000001</v>
      </c>
      <c r="K6915">
        <v>1.1095410000000001</v>
      </c>
      <c r="L6915">
        <v>140.6968</v>
      </c>
      <c r="M6915">
        <v>-0.99970479999999995</v>
      </c>
      <c r="N6915">
        <v>0</v>
      </c>
      <c r="O6915">
        <v>2.3473359999999999E-2</v>
      </c>
      <c r="P6915">
        <v>-0.9992375</v>
      </c>
      <c r="Q6915">
        <v>3.329932E-2</v>
      </c>
      <c r="R6915">
        <v>2.0396709999999998E-2</v>
      </c>
      <c r="S6915">
        <v>-2.9996640000000001</v>
      </c>
      <c r="T6915">
        <v>2.1954769999999999E-3</v>
      </c>
      <c r="U6915">
        <v>0.1244049</v>
      </c>
      <c r="V6915">
        <v>-3.0653870000000001E-3</v>
      </c>
      <c r="W6915">
        <v>3.9575560000000003E-2</v>
      </c>
      <c r="X6915">
        <v>0.99921190000000004</v>
      </c>
      <c r="Y6915">
        <v>1.7972249999999999E-2</v>
      </c>
      <c r="Z6915" s="1">
        <v>1.059583E-5</v>
      </c>
      <c r="AA6915">
        <v>0.99983849999999996</v>
      </c>
      <c r="AB6915">
        <v>26</v>
      </c>
      <c r="AC6915">
        <v>-262.7276</v>
      </c>
      <c r="AD6915">
        <v>0.19242999999999999</v>
      </c>
      <c r="AE6915">
        <v>10.900599999999899</v>
      </c>
      <c r="AF6915">
        <v>4.7303730593120097</v>
      </c>
      <c r="AG6915">
        <v>0.19242999999999999</v>
      </c>
      <c r="AH6915">
        <v>262.91094384655997</v>
      </c>
      <c r="AI6915">
        <v>89.958070818338598</v>
      </c>
      <c r="AJ6915">
        <v>88.969228259262493</v>
      </c>
      <c r="AK6915">
        <v>262.95356596341202</v>
      </c>
      <c r="AL6915">
        <v>87.731895165167998</v>
      </c>
      <c r="AM6915">
        <v>90.175771712375905</v>
      </c>
      <c r="AN6915">
        <v>1.00000002132419</v>
      </c>
    </row>
    <row r="6916" spans="1:40" x14ac:dyDescent="0.25">
      <c r="A6916" t="str">
        <f>"20190312150828211"</f>
        <v>20190312150828211</v>
      </c>
      <c r="B6916" t="str">
        <f>"1552374508207063"</f>
        <v>1552374508207063</v>
      </c>
      <c r="C6916" t="s">
        <v>40</v>
      </c>
      <c r="D6916">
        <v>4.1487069999999999</v>
      </c>
      <c r="E6916">
        <v>0.50825509999999996</v>
      </c>
      <c r="F6916" t="s">
        <v>79</v>
      </c>
      <c r="G6916">
        <v>-511.0591</v>
      </c>
      <c r="H6916">
        <v>1.4526559999999999</v>
      </c>
      <c r="I6916">
        <v>151.4941</v>
      </c>
      <c r="J6916">
        <v>-248.59440000000001</v>
      </c>
      <c r="K6916">
        <v>1.10955</v>
      </c>
      <c r="L6916">
        <v>140.7029</v>
      </c>
      <c r="M6916">
        <v>-0.99970530000000002</v>
      </c>
      <c r="N6916">
        <v>0</v>
      </c>
      <c r="O6916">
        <v>2.3439720000000001E-2</v>
      </c>
      <c r="P6916">
        <v>-0.9992375</v>
      </c>
      <c r="Q6916">
        <v>3.3253949999999997E-2</v>
      </c>
      <c r="R6916">
        <v>2.0461119999999999E-2</v>
      </c>
      <c r="S6916">
        <v>-2.9996339999999999</v>
      </c>
      <c r="T6916">
        <v>3.9179330000000002E-3</v>
      </c>
      <c r="U6916">
        <v>0.1232758</v>
      </c>
      <c r="V6916">
        <v>-2.967712E-3</v>
      </c>
      <c r="W6916">
        <v>3.9575560000000003E-2</v>
      </c>
      <c r="X6916">
        <v>0.99921210000000005</v>
      </c>
      <c r="Y6916">
        <v>1.763058E-2</v>
      </c>
      <c r="Z6916" s="1">
        <v>1.9088269999999999E-5</v>
      </c>
      <c r="AA6916">
        <v>0.99984459999999997</v>
      </c>
      <c r="AB6916">
        <v>26</v>
      </c>
      <c r="AC6916">
        <v>-262.46469999999999</v>
      </c>
      <c r="AD6916">
        <v>0.34310599999999902</v>
      </c>
      <c r="AE6916">
        <v>10.7912</v>
      </c>
      <c r="AF6916">
        <v>4.6360053188238197</v>
      </c>
      <c r="AG6916">
        <v>0.34310599999999902</v>
      </c>
      <c r="AH6916">
        <v>262.64508515363798</v>
      </c>
      <c r="AI6916">
        <v>89.925163447115906</v>
      </c>
      <c r="AJ6916">
        <v>88.988764791860902</v>
      </c>
      <c r="AK6916">
        <v>262.68622160746298</v>
      </c>
      <c r="AL6916">
        <v>87.731894950041394</v>
      </c>
      <c r="AM6916">
        <v>90.170170950126106</v>
      </c>
      <c r="AN6916">
        <v>0.99999992652511605</v>
      </c>
    </row>
    <row r="6917" spans="1:40" x14ac:dyDescent="0.25">
      <c r="A6917" t="str">
        <f>"20190312150828235"</f>
        <v>20190312150828235</v>
      </c>
      <c r="B6917" t="str">
        <f>"1552374508226583"</f>
        <v>1552374508226583</v>
      </c>
      <c r="C6917" t="s">
        <v>40</v>
      </c>
      <c r="D6917">
        <v>4.1393199999999997</v>
      </c>
      <c r="E6917">
        <v>0.50825010000000004</v>
      </c>
      <c r="F6917" t="s">
        <v>79</v>
      </c>
      <c r="G6917">
        <v>-511.0591</v>
      </c>
      <c r="H6917">
        <v>1.3256589999999999</v>
      </c>
      <c r="I6917">
        <v>151.60149999999999</v>
      </c>
      <c r="J6917">
        <v>-248.86</v>
      </c>
      <c r="K6917">
        <v>1.1095539999999999</v>
      </c>
      <c r="L6917">
        <v>140.70910000000001</v>
      </c>
      <c r="M6917">
        <v>-0.99970559999999997</v>
      </c>
      <c r="N6917">
        <v>0</v>
      </c>
      <c r="O6917">
        <v>2.3405840000000001E-2</v>
      </c>
      <c r="P6917">
        <v>-0.99924550000000001</v>
      </c>
      <c r="Q6917">
        <v>3.319648E-2</v>
      </c>
      <c r="R6917">
        <v>2.015378E-2</v>
      </c>
      <c r="S6917">
        <v>-2.9996640000000001</v>
      </c>
      <c r="T6917">
        <v>2.470374E-3</v>
      </c>
      <c r="U6917">
        <v>0.1245575</v>
      </c>
      <c r="V6917">
        <v>-3.241201E-3</v>
      </c>
      <c r="W6917">
        <v>3.9579370000000003E-2</v>
      </c>
      <c r="X6917">
        <v>0.99921119999999997</v>
      </c>
      <c r="Y6917">
        <v>1.809053E-2</v>
      </c>
      <c r="Z6917" s="1">
        <v>1.1818289999999999E-5</v>
      </c>
      <c r="AA6917">
        <v>0.99983630000000001</v>
      </c>
      <c r="AB6917">
        <v>26</v>
      </c>
      <c r="AC6917">
        <v>-262.19909999999999</v>
      </c>
      <c r="AD6917">
        <v>0.21610499999999899</v>
      </c>
      <c r="AE6917">
        <v>10.892399999999901</v>
      </c>
      <c r="AF6917">
        <v>4.7522970099485304</v>
      </c>
      <c r="AG6917">
        <v>0.21610499999999899</v>
      </c>
      <c r="AH6917">
        <v>262.38203957026502</v>
      </c>
      <c r="AI6917">
        <v>89.952817383322596</v>
      </c>
      <c r="AJ6917">
        <v>88.962364979296893</v>
      </c>
      <c r="AK6917">
        <v>262.42516212683103</v>
      </c>
      <c r="AL6917">
        <v>87.731676710100402</v>
      </c>
      <c r="AM6917">
        <v>90.185853087437593</v>
      </c>
      <c r="AN6917">
        <v>1.00000002705947</v>
      </c>
    </row>
    <row r="6918" spans="1:40" x14ac:dyDescent="0.25">
      <c r="A6918" t="str">
        <f>"20190312150828256"</f>
        <v>20190312150828256</v>
      </c>
      <c r="B6918" t="str">
        <f>"1552374508247082"</f>
        <v>1552374508247082</v>
      </c>
      <c r="C6918" t="s">
        <v>40</v>
      </c>
      <c r="D6918">
        <v>4.120412</v>
      </c>
      <c r="E6918">
        <v>0.50818030000000003</v>
      </c>
      <c r="F6918" t="s">
        <v>79</v>
      </c>
      <c r="G6918">
        <v>-511.0591</v>
      </c>
      <c r="H6918">
        <v>1.285898</v>
      </c>
      <c r="I6918">
        <v>151.5164</v>
      </c>
      <c r="J6918">
        <v>-249.11269999999999</v>
      </c>
      <c r="K6918">
        <v>1.1095680000000001</v>
      </c>
      <c r="L6918">
        <v>140.715</v>
      </c>
      <c r="M6918">
        <v>-0.99970599999999998</v>
      </c>
      <c r="N6918">
        <v>0</v>
      </c>
      <c r="O6918">
        <v>2.3373290000000001E-2</v>
      </c>
      <c r="P6918">
        <v>-0.99927779999999999</v>
      </c>
      <c r="Q6918">
        <v>3.2168740000000001E-2</v>
      </c>
      <c r="R6918">
        <v>2.0234789999999999E-2</v>
      </c>
      <c r="S6918">
        <v>-2.9997099999999999</v>
      </c>
      <c r="T6918">
        <v>2.017975E-3</v>
      </c>
      <c r="U6918">
        <v>0.123642</v>
      </c>
      <c r="V6918">
        <v>-3.1283970000000002E-3</v>
      </c>
      <c r="W6918">
        <v>3.8624989999999998E-2</v>
      </c>
      <c r="X6918">
        <v>0.9992489</v>
      </c>
      <c r="Y6918">
        <v>1.781781E-2</v>
      </c>
      <c r="Z6918" s="1">
        <v>9.7237630000000004E-6</v>
      </c>
      <c r="AA6918">
        <v>0.99984130000000004</v>
      </c>
      <c r="AB6918">
        <v>26</v>
      </c>
      <c r="AC6918">
        <v>-261.94639999999998</v>
      </c>
      <c r="AD6918">
        <v>0.17632999999999899</v>
      </c>
      <c r="AE6918">
        <v>10.801399999999999</v>
      </c>
      <c r="AF6918">
        <v>4.6757703653945804</v>
      </c>
      <c r="AG6918">
        <v>0.17632999999999899</v>
      </c>
      <c r="AH6918">
        <v>262.12718611756799</v>
      </c>
      <c r="AI6918">
        <v>89.961463911865707</v>
      </c>
      <c r="AJ6918">
        <v>88.978078149721895</v>
      </c>
      <c r="AK6918">
        <v>262.16894480981802</v>
      </c>
      <c r="AL6918">
        <v>87.786400493902207</v>
      </c>
      <c r="AM6918">
        <v>90.179378090003198</v>
      </c>
      <c r="AN6918">
        <v>1.00000002043574</v>
      </c>
    </row>
    <row r="6919" spans="1:40" x14ac:dyDescent="0.25">
      <c r="A6919" t="str">
        <f>"20190312150828279"</f>
        <v>20190312150828279</v>
      </c>
      <c r="B6919" t="str">
        <f>"1552374508266599"</f>
        <v>1552374508266599</v>
      </c>
      <c r="C6919" t="s">
        <v>40</v>
      </c>
      <c r="D6919">
        <v>4.148396</v>
      </c>
      <c r="E6919">
        <v>0.50812400000000002</v>
      </c>
      <c r="F6919" t="s">
        <v>79</v>
      </c>
      <c r="G6919">
        <v>-511.05900000000003</v>
      </c>
      <c r="H6919">
        <v>1.021822</v>
      </c>
      <c r="I6919">
        <v>151.4759</v>
      </c>
      <c r="J6919">
        <v>-249.37219999999999</v>
      </c>
      <c r="K6919">
        <v>1.1095790000000001</v>
      </c>
      <c r="L6919">
        <v>140.721</v>
      </c>
      <c r="M6919">
        <v>-0.99970619999999999</v>
      </c>
      <c r="N6919">
        <v>0</v>
      </c>
      <c r="O6919">
        <v>2.3340159999999999E-2</v>
      </c>
      <c r="P6919">
        <v>-0.9993031</v>
      </c>
      <c r="Q6919">
        <v>3.1250640000000003E-2</v>
      </c>
      <c r="R6919">
        <v>2.0423119999999999E-2</v>
      </c>
      <c r="S6919">
        <v>-2.9997250000000002</v>
      </c>
      <c r="T6919">
        <v>-1.004338E-3</v>
      </c>
      <c r="U6919">
        <v>0.12323000000000001</v>
      </c>
      <c r="V6919">
        <v>-2.9074029999999998E-3</v>
      </c>
      <c r="W6919">
        <v>3.7794000000000001E-2</v>
      </c>
      <c r="X6919">
        <v>0.99928130000000004</v>
      </c>
      <c r="Y6919">
        <v>1.7713639999999999E-2</v>
      </c>
      <c r="Z6919" s="1">
        <v>-4.8458229999999998E-6</v>
      </c>
      <c r="AA6919">
        <v>0.99984309999999998</v>
      </c>
      <c r="AB6919">
        <v>26</v>
      </c>
      <c r="AC6919">
        <v>-261.68680000000001</v>
      </c>
      <c r="AD6919">
        <v>-8.7757000000000002E-2</v>
      </c>
      <c r="AE6919">
        <v>10.7548999999999</v>
      </c>
      <c r="AF6919">
        <v>4.6440271756789198</v>
      </c>
      <c r="AG6919">
        <v>-8.7757000000000002E-2</v>
      </c>
      <c r="AH6919">
        <v>261.86650564220997</v>
      </c>
      <c r="AI6919">
        <v>90.019198007102105</v>
      </c>
      <c r="AJ6919">
        <v>88.984004209467003</v>
      </c>
      <c r="AK6919">
        <v>261.90769646377601</v>
      </c>
      <c r="AL6919">
        <v>87.834047416323102</v>
      </c>
      <c r="AM6919">
        <v>90.166701259393804</v>
      </c>
      <c r="AN6919">
        <v>0.99999997797894702</v>
      </c>
    </row>
    <row r="6920" spans="1:40" x14ac:dyDescent="0.25">
      <c r="A6920" t="str">
        <f>"20190312150828302"</f>
        <v>20190312150828302</v>
      </c>
      <c r="B6920" t="str">
        <f>"1552374508297233"</f>
        <v>1552374508297233</v>
      </c>
      <c r="C6920" t="s">
        <v>40</v>
      </c>
      <c r="D6920">
        <v>4.1668979999999998</v>
      </c>
      <c r="E6920">
        <v>0.5146058</v>
      </c>
      <c r="F6920" t="s">
        <v>79</v>
      </c>
      <c r="G6920">
        <v>-511.05900000000003</v>
      </c>
      <c r="H6920">
        <v>0.873015599999999</v>
      </c>
      <c r="I6920">
        <v>151.46610000000001</v>
      </c>
      <c r="J6920">
        <v>-249.64240000000001</v>
      </c>
      <c r="K6920">
        <v>1.1095950000000001</v>
      </c>
      <c r="L6920">
        <v>140.72730000000001</v>
      </c>
      <c r="M6920">
        <v>-0.99970610000000004</v>
      </c>
      <c r="N6920">
        <v>0</v>
      </c>
      <c r="O6920">
        <v>2.3305650000000001E-2</v>
      </c>
      <c r="P6920">
        <v>-0.99932670000000001</v>
      </c>
      <c r="Q6920">
        <v>3.0426470000000001E-2</v>
      </c>
      <c r="R6920">
        <v>2.0500020000000001E-2</v>
      </c>
      <c r="S6920">
        <v>-2.9996640000000001</v>
      </c>
      <c r="T6920">
        <v>-2.7111769999999999E-3</v>
      </c>
      <c r="U6920">
        <v>0.123168899999999</v>
      </c>
      <c r="V6920">
        <v>-2.7964550000000002E-3</v>
      </c>
      <c r="W6920">
        <v>3.707448E-2</v>
      </c>
      <c r="X6920">
        <v>0.99930859999999999</v>
      </c>
      <c r="Y6920">
        <v>1.7728649999999999E-2</v>
      </c>
      <c r="Z6920" s="1">
        <v>-1.304348E-5</v>
      </c>
      <c r="AA6920">
        <v>0.99984280000000003</v>
      </c>
      <c r="AB6920">
        <v>26</v>
      </c>
      <c r="AC6920">
        <v>-261.41660000000002</v>
      </c>
      <c r="AD6920">
        <v>-0.2365794</v>
      </c>
      <c r="AE6920">
        <v>10.7387999999999</v>
      </c>
      <c r="AF6920">
        <v>4.6432597401976503</v>
      </c>
      <c r="AG6920">
        <v>-0.2365794</v>
      </c>
      <c r="AH6920">
        <v>261.59565894811197</v>
      </c>
      <c r="AI6920">
        <v>90.051808438743805</v>
      </c>
      <c r="AJ6920">
        <v>88.983120538965593</v>
      </c>
      <c r="AK6920">
        <v>261.63697103300302</v>
      </c>
      <c r="AL6920">
        <v>87.875301855904993</v>
      </c>
      <c r="AM6920">
        <v>90.160335506829497</v>
      </c>
      <c r="AN6920">
        <v>1.0000000076308899</v>
      </c>
    </row>
    <row r="6921" spans="1:40" x14ac:dyDescent="0.25">
      <c r="A6921" t="str">
        <f>"20190312150828323"</f>
        <v>20190312150828323</v>
      </c>
      <c r="B6921" t="str">
        <f>"1552374508316753"</f>
        <v>1552374508316753</v>
      </c>
      <c r="C6921" t="s">
        <v>40</v>
      </c>
      <c r="D6921">
        <v>4.2117180000000003</v>
      </c>
      <c r="E6921">
        <v>0.51701339999999996</v>
      </c>
      <c r="F6921" t="s">
        <v>41</v>
      </c>
      <c r="G6921">
        <v>-250.38910000000001</v>
      </c>
      <c r="H6921">
        <v>1.023647</v>
      </c>
      <c r="I6921">
        <v>140.76849999999999</v>
      </c>
      <c r="J6921">
        <v>-249.89699999999999</v>
      </c>
      <c r="K6921">
        <v>1.109612</v>
      </c>
      <c r="L6921">
        <v>140.73320000000001</v>
      </c>
      <c r="M6921">
        <v>-0.99970630000000005</v>
      </c>
      <c r="N6921">
        <v>0</v>
      </c>
      <c r="O6921">
        <v>2.327297E-2</v>
      </c>
      <c r="P6921">
        <v>-0.99933380000000005</v>
      </c>
      <c r="Q6921">
        <v>3.018742E-2</v>
      </c>
      <c r="R6921">
        <v>2.0515450000000001E-2</v>
      </c>
      <c r="S6921">
        <v>-3.009201</v>
      </c>
      <c r="T6921">
        <v>-0.34640080000000001</v>
      </c>
      <c r="U6921">
        <v>0.16513059999999999</v>
      </c>
      <c r="V6921">
        <v>-2.7488180000000001E-3</v>
      </c>
      <c r="W6921">
        <v>3.6943440000000001E-2</v>
      </c>
      <c r="X6921">
        <v>0.99931360000000002</v>
      </c>
      <c r="Y6921">
        <v>3.1485350000000002E-2</v>
      </c>
      <c r="Z6921">
        <v>-8.6280160000000005E-4</v>
      </c>
      <c r="AA6921">
        <v>0.9995039</v>
      </c>
      <c r="AB6921">
        <v>26</v>
      </c>
      <c r="AC6921">
        <v>-0.49209999999999299</v>
      </c>
      <c r="AD6921">
        <v>-8.5965E-2</v>
      </c>
      <c r="AE6921">
        <v>3.5299999999978099E-2</v>
      </c>
      <c r="AF6921">
        <v>2.3135155590844898E-2</v>
      </c>
      <c r="AG6921">
        <v>-8.5965E-2</v>
      </c>
      <c r="AH6921">
        <v>0.478267855195181</v>
      </c>
      <c r="AI6921">
        <v>100.17802372736401</v>
      </c>
      <c r="AJ6921">
        <v>87.230601400722605</v>
      </c>
      <c r="AK6921">
        <v>0.48648263891141202</v>
      </c>
      <c r="AL6921">
        <v>87.882815073224094</v>
      </c>
      <c r="AM6921">
        <v>90.157603451836493</v>
      </c>
      <c r="AN6921">
        <v>1.0000000224521901</v>
      </c>
    </row>
    <row r="6922" spans="1:40" x14ac:dyDescent="0.25">
      <c r="A6922" t="str">
        <f>"20190312150828346"</f>
        <v>20190312150828346</v>
      </c>
      <c r="B6922" t="str">
        <f>"1552374508337249"</f>
        <v>1552374508337249</v>
      </c>
      <c r="C6922" t="s">
        <v>40</v>
      </c>
      <c r="D6922">
        <v>4.2348460000000001</v>
      </c>
      <c r="E6922">
        <v>0.51816240000000002</v>
      </c>
      <c r="F6922" t="s">
        <v>41</v>
      </c>
      <c r="G6922">
        <v>-250.60830000000001</v>
      </c>
      <c r="H6922">
        <v>0.99264439999999998</v>
      </c>
      <c r="I6922">
        <v>140.77590000000001</v>
      </c>
      <c r="J6922">
        <v>-250.15649999999999</v>
      </c>
      <c r="K6922">
        <v>1.1096299999999999</v>
      </c>
      <c r="L6922">
        <v>140.73920000000001</v>
      </c>
      <c r="M6922">
        <v>-0.9997064</v>
      </c>
      <c r="N6922">
        <v>0</v>
      </c>
      <c r="O6922">
        <v>2.3239599999999999E-2</v>
      </c>
      <c r="P6922">
        <v>-0.99932609999999999</v>
      </c>
      <c r="Q6922">
        <v>3.031199E-2</v>
      </c>
      <c r="R6922">
        <v>2.0708359999999999E-2</v>
      </c>
      <c r="S6922">
        <v>-3.013245</v>
      </c>
      <c r="T6922">
        <v>-0.49550810000000001</v>
      </c>
      <c r="U6922">
        <v>0.1807251</v>
      </c>
      <c r="V6922">
        <v>-2.522453E-3</v>
      </c>
      <c r="W6922">
        <v>3.7184080000000001E-2</v>
      </c>
      <c r="X6922">
        <v>0.9993052</v>
      </c>
      <c r="Y6922">
        <v>3.6477570000000001E-2</v>
      </c>
      <c r="Z6922">
        <v>-8.1532359999999995E-4</v>
      </c>
      <c r="AA6922">
        <v>0.99933419999999895</v>
      </c>
      <c r="AB6922">
        <v>26</v>
      </c>
      <c r="AC6922">
        <v>-0.45180000000002002</v>
      </c>
      <c r="AD6922">
        <v>-0.116985599999999</v>
      </c>
      <c r="AE6922">
        <v>3.6699999999996097E-2</v>
      </c>
      <c r="AF6922">
        <v>2.4554689472953601E-2</v>
      </c>
      <c r="AG6922">
        <v>-0.116985599999999</v>
      </c>
      <c r="AH6922">
        <v>0.42427166864119797</v>
      </c>
      <c r="AI6922">
        <v>105.39074626620901</v>
      </c>
      <c r="AJ6922">
        <v>86.687706150233893</v>
      </c>
      <c r="AK6922">
        <v>0.44078907903220499</v>
      </c>
      <c r="AL6922">
        <v>87.8690177840882</v>
      </c>
      <c r="AM6922">
        <v>90.144626090174</v>
      </c>
      <c r="AN6922">
        <v>0.99999995066081004</v>
      </c>
    </row>
    <row r="6923" spans="1:40" x14ac:dyDescent="0.25">
      <c r="A6923" t="str">
        <f>"20190312150828367"</f>
        <v>20190312150828367</v>
      </c>
      <c r="B6923" t="str">
        <f>"1552374508356769"</f>
        <v>1552374508356769</v>
      </c>
      <c r="C6923" t="s">
        <v>40</v>
      </c>
      <c r="D6923">
        <v>4.2352629999999998</v>
      </c>
      <c r="E6923">
        <v>0.51858019999999905</v>
      </c>
      <c r="F6923" t="s">
        <v>41</v>
      </c>
      <c r="G6923">
        <v>-251.054</v>
      </c>
      <c r="H6923">
        <v>0.94171609999999994</v>
      </c>
      <c r="I6923">
        <v>140.7954</v>
      </c>
      <c r="J6923">
        <v>-250.4118</v>
      </c>
      <c r="K6923">
        <v>1.109642</v>
      </c>
      <c r="L6923">
        <v>140.74510000000001</v>
      </c>
      <c r="M6923">
        <v>-0.99970630000000005</v>
      </c>
      <c r="N6923">
        <v>0</v>
      </c>
      <c r="O6923">
        <v>2.3207169999999999E-2</v>
      </c>
      <c r="P6923">
        <v>-0.99933000000000005</v>
      </c>
      <c r="Q6923">
        <v>3.0319390000000002E-2</v>
      </c>
      <c r="R6923">
        <v>2.0498010000000001E-2</v>
      </c>
      <c r="S6923">
        <v>-3.015228</v>
      </c>
      <c r="T6923">
        <v>-0.56413539999999995</v>
      </c>
      <c r="U6923">
        <v>0.18858340000000001</v>
      </c>
      <c r="V6923">
        <v>-2.7006539999999998E-3</v>
      </c>
      <c r="W6923">
        <v>3.7309389999999998E-2</v>
      </c>
      <c r="X6923">
        <v>0.99930010000000002</v>
      </c>
      <c r="Y6923">
        <v>3.8969980000000001E-2</v>
      </c>
      <c r="Z6923">
        <v>-6.8879689999999996E-4</v>
      </c>
      <c r="AA6923">
        <v>0.99924020000000002</v>
      </c>
      <c r="AB6923">
        <v>26</v>
      </c>
      <c r="AC6923">
        <v>-0.64220000000000199</v>
      </c>
      <c r="AD6923">
        <v>-0.16792589999999899</v>
      </c>
      <c r="AE6923">
        <v>5.0299999999992899E-2</v>
      </c>
      <c r="AF6923">
        <v>3.3130942216074301E-2</v>
      </c>
      <c r="AG6923">
        <v>-0.16792589999999899</v>
      </c>
      <c r="AH6923">
        <v>0.60226578816384702</v>
      </c>
      <c r="AI6923">
        <v>105.5573434285</v>
      </c>
      <c r="AJ6923">
        <v>86.851304102230799</v>
      </c>
      <c r="AK6923">
        <v>0.62611568165599796</v>
      </c>
      <c r="AL6923">
        <v>87.861833141825798</v>
      </c>
      <c r="AM6923">
        <v>90.154844074776705</v>
      </c>
      <c r="AN6923">
        <v>0.99999998698710402</v>
      </c>
    </row>
    <row r="6924" spans="1:40" x14ac:dyDescent="0.25">
      <c r="A6924" t="str">
        <f>"20190312150828389"</f>
        <v>20190312150828389</v>
      </c>
      <c r="B6924" t="str">
        <f>"1552374508387026"</f>
        <v>1552374508387026</v>
      </c>
      <c r="C6924" t="s">
        <v>40</v>
      </c>
      <c r="D6924">
        <v>4.2636949999999896</v>
      </c>
      <c r="E6924">
        <v>0.51877640000000003</v>
      </c>
      <c r="F6924" t="s">
        <v>41</v>
      </c>
      <c r="G6924">
        <v>-251.2876</v>
      </c>
      <c r="H6924">
        <v>0.93647020000000003</v>
      </c>
      <c r="I6924">
        <v>140.8006</v>
      </c>
      <c r="J6924">
        <v>-250.67420000000001</v>
      </c>
      <c r="K6924">
        <v>1.1096629999999901</v>
      </c>
      <c r="L6924">
        <v>140.75120000000001</v>
      </c>
      <c r="M6924">
        <v>-0.99970630000000005</v>
      </c>
      <c r="N6924">
        <v>0</v>
      </c>
      <c r="O6924">
        <v>2.3173599999999999E-2</v>
      </c>
      <c r="P6924">
        <v>-0.99935560000000001</v>
      </c>
      <c r="Q6924">
        <v>2.9628100000000001E-2</v>
      </c>
      <c r="R6924">
        <v>2.027613E-2</v>
      </c>
      <c r="S6924">
        <v>-3.0162049999999998</v>
      </c>
      <c r="T6924">
        <v>-0.5964469</v>
      </c>
      <c r="U6924">
        <v>0.1905975</v>
      </c>
      <c r="V6924">
        <v>-2.8894099999999998E-3</v>
      </c>
      <c r="W6924">
        <v>3.6738060000000003E-2</v>
      </c>
      <c r="X6924">
        <v>0.99932069999999995</v>
      </c>
      <c r="Y6924">
        <v>3.9603569999999998E-2</v>
      </c>
      <c r="Z6924">
        <v>-6.5872070000000003E-4</v>
      </c>
      <c r="AA6924">
        <v>0.99921519999999997</v>
      </c>
      <c r="AB6924">
        <v>26</v>
      </c>
      <c r="AC6924">
        <v>-0.61339999999998396</v>
      </c>
      <c r="AD6924">
        <v>-0.17319279999999901</v>
      </c>
      <c r="AE6924">
        <v>4.9399999999991402E-2</v>
      </c>
      <c r="AF6924">
        <v>3.2590304028129402E-2</v>
      </c>
      <c r="AG6924">
        <v>-0.17319279999999901</v>
      </c>
      <c r="AH6924">
        <v>0.56928835634525798</v>
      </c>
      <c r="AI6924">
        <v>106.895085959395</v>
      </c>
      <c r="AJ6924">
        <v>86.723539157129693</v>
      </c>
      <c r="AK6924">
        <v>0.59594220068625003</v>
      </c>
      <c r="AL6924">
        <v>87.894590316242699</v>
      </c>
      <c r="AM6924">
        <v>90.165663071872004</v>
      </c>
      <c r="AN6924">
        <v>0.99999994759559896</v>
      </c>
    </row>
    <row r="6925" spans="1:40" x14ac:dyDescent="0.25">
      <c r="A6925" t="str">
        <f>"20190312150828412"</f>
        <v>20190312150828412</v>
      </c>
      <c r="B6925" t="str">
        <f>"1552374508406545"</f>
        <v>1552374508406545</v>
      </c>
      <c r="C6925" t="s">
        <v>40</v>
      </c>
      <c r="D6925">
        <v>4.2258529999999999</v>
      </c>
      <c r="E6925">
        <v>0.51918469999999906</v>
      </c>
      <c r="F6925" t="s">
        <v>41</v>
      </c>
      <c r="G6925">
        <v>-251.52350000000001</v>
      </c>
      <c r="H6925">
        <v>0.93483559999999999</v>
      </c>
      <c r="I6925">
        <v>140.80510000000001</v>
      </c>
      <c r="J6925">
        <v>-250.94290000000001</v>
      </c>
      <c r="K6925">
        <v>1.109674</v>
      </c>
      <c r="L6925">
        <v>140.75729999999999</v>
      </c>
      <c r="M6925">
        <v>-0.99970619999999999</v>
      </c>
      <c r="N6925">
        <v>0</v>
      </c>
      <c r="O6925">
        <v>2.3139300000000002E-2</v>
      </c>
      <c r="P6925">
        <v>-0.99934579999999995</v>
      </c>
      <c r="Q6925">
        <v>2.9912640000000001E-2</v>
      </c>
      <c r="R6925">
        <v>2.033689E-2</v>
      </c>
      <c r="S6925">
        <v>-3.0164490000000002</v>
      </c>
      <c r="T6925">
        <v>-0.62094740000000004</v>
      </c>
      <c r="U6925">
        <v>0.1910095</v>
      </c>
      <c r="V6925">
        <v>-2.794066E-3</v>
      </c>
      <c r="W6925">
        <v>3.7142139999999997E-2</v>
      </c>
      <c r="X6925">
        <v>0.99930609999999997</v>
      </c>
      <c r="Y6925">
        <v>3.9738889999999999E-2</v>
      </c>
      <c r="Z6925">
        <v>-6.6443440000000002E-4</v>
      </c>
      <c r="AA6925">
        <v>0.99920989999999998</v>
      </c>
      <c r="AB6925">
        <v>26</v>
      </c>
      <c r="AC6925">
        <v>-0.580600000000004</v>
      </c>
      <c r="AD6925">
        <v>-0.1748384</v>
      </c>
      <c r="AE6925">
        <v>4.7800000000023601E-2</v>
      </c>
      <c r="AF6925">
        <v>3.1513697430574403E-2</v>
      </c>
      <c r="AG6925">
        <v>-0.1748384</v>
      </c>
      <c r="AH6925">
        <v>0.53349784223135299</v>
      </c>
      <c r="AI6925">
        <v>108.11554235971001</v>
      </c>
      <c r="AJ6925">
        <v>86.619468663539394</v>
      </c>
      <c r="AK6925">
        <v>0.562300210657808</v>
      </c>
      <c r="AL6925">
        <v>87.871422563974903</v>
      </c>
      <c r="AM6925">
        <v>90.160198934352294</v>
      </c>
      <c r="AN6925">
        <v>1.0000000134328999</v>
      </c>
    </row>
    <row r="6926" spans="1:40" x14ac:dyDescent="0.25">
      <c r="A6926" t="str">
        <f>"20190312150828434"</f>
        <v>20190312150828434</v>
      </c>
      <c r="B6926" t="str">
        <f>"1552374508427041"</f>
        <v>1552374508427041</v>
      </c>
      <c r="C6926" t="s">
        <v>40</v>
      </c>
      <c r="D6926">
        <v>4.2469960000000002</v>
      </c>
      <c r="E6926">
        <v>0.51939840000000004</v>
      </c>
      <c r="F6926" t="s">
        <v>41</v>
      </c>
      <c r="G6926">
        <v>-251.76320000000001</v>
      </c>
      <c r="H6926">
        <v>0.94028619999999996</v>
      </c>
      <c r="I6926">
        <v>140.81030000000001</v>
      </c>
      <c r="J6926">
        <v>-251.21029999999999</v>
      </c>
      <c r="K6926">
        <v>1.1096870000000001</v>
      </c>
      <c r="L6926">
        <v>140.76349999999999</v>
      </c>
      <c r="M6926">
        <v>-0.99970610000000004</v>
      </c>
      <c r="N6926">
        <v>0</v>
      </c>
      <c r="O6926">
        <v>2.310508E-2</v>
      </c>
      <c r="P6926">
        <v>-0.99934020000000001</v>
      </c>
      <c r="Q6926">
        <v>3.025328E-2</v>
      </c>
      <c r="R6926">
        <v>2.009412E-2</v>
      </c>
      <c r="S6926">
        <v>-3.0166629999999999</v>
      </c>
      <c r="T6926">
        <v>-0.6230019</v>
      </c>
      <c r="U6926">
        <v>0.19447329999999999</v>
      </c>
      <c r="V6926">
        <v>-3.002724E-3</v>
      </c>
      <c r="W6926">
        <v>3.7597209999999999E-2</v>
      </c>
      <c r="X6926">
        <v>0.99928839999999997</v>
      </c>
      <c r="Y6926">
        <v>4.0884249999999997E-2</v>
      </c>
      <c r="Z6926">
        <v>-5.4260620000000002E-4</v>
      </c>
      <c r="AA6926">
        <v>0.99916369999999999</v>
      </c>
      <c r="AB6926">
        <v>26</v>
      </c>
      <c r="AC6926">
        <v>-0.55290000000002204</v>
      </c>
      <c r="AD6926">
        <v>-0.16940079999999999</v>
      </c>
      <c r="AE6926">
        <v>4.6800000000018799E-2</v>
      </c>
      <c r="AF6926">
        <v>3.1112532471215999E-2</v>
      </c>
      <c r="AG6926">
        <v>-0.16940079999999999</v>
      </c>
      <c r="AH6926">
        <v>0.50661491002078696</v>
      </c>
      <c r="AI6926">
        <v>108.45638386947</v>
      </c>
      <c r="AJ6926">
        <v>86.485731522936703</v>
      </c>
      <c r="AK6926">
        <v>0.53509184984709202</v>
      </c>
      <c r="AL6926">
        <v>87.845330582914798</v>
      </c>
      <c r="AM6926">
        <v>90.172165407344593</v>
      </c>
      <c r="AN6926">
        <v>0.99999993646287999</v>
      </c>
    </row>
    <row r="6927" spans="1:40" x14ac:dyDescent="0.25">
      <c r="A6927" t="str">
        <f>"20190312150828458"</f>
        <v>20190312150828458</v>
      </c>
      <c r="B6927" t="str">
        <f>"1552374508446562"</f>
        <v>1552374508446562</v>
      </c>
      <c r="C6927" t="s">
        <v>40</v>
      </c>
      <c r="D6927">
        <v>4.2206029999999997</v>
      </c>
      <c r="E6927">
        <v>0.51951459999999905</v>
      </c>
      <c r="F6927" t="s">
        <v>41</v>
      </c>
      <c r="G6927">
        <v>-252.0033</v>
      </c>
      <c r="H6927">
        <v>0.94540659999999999</v>
      </c>
      <c r="I6927">
        <v>140.81479999999999</v>
      </c>
      <c r="J6927">
        <v>-251.4821</v>
      </c>
      <c r="K6927">
        <v>1.1096999999999999</v>
      </c>
      <c r="L6927">
        <v>140.7697</v>
      </c>
      <c r="M6927">
        <v>-0.99970599999999998</v>
      </c>
      <c r="N6927">
        <v>0</v>
      </c>
      <c r="O6927">
        <v>2.3070449999999999E-2</v>
      </c>
      <c r="P6927">
        <v>-0.99935379999999996</v>
      </c>
      <c r="Q6927">
        <v>3.0186640000000001E-2</v>
      </c>
      <c r="R6927">
        <v>1.9526499999999999E-2</v>
      </c>
      <c r="S6927">
        <v>-3.0169679999999999</v>
      </c>
      <c r="T6927">
        <v>-0.62498759999999998</v>
      </c>
      <c r="U6927">
        <v>0.19541929999999999</v>
      </c>
      <c r="V6927">
        <v>-3.5359200000000001E-3</v>
      </c>
      <c r="W6927">
        <v>3.7640569999999998E-2</v>
      </c>
      <c r="X6927">
        <v>0.99928510000000004</v>
      </c>
      <c r="Y6927">
        <v>4.1214380000000002E-2</v>
      </c>
      <c r="Z6927">
        <v>-5.0335240000000002E-4</v>
      </c>
      <c r="AA6927">
        <v>0.99915019999999999</v>
      </c>
      <c r="AB6927">
        <v>27</v>
      </c>
      <c r="AC6927">
        <v>-0.521199999999993</v>
      </c>
      <c r="AD6927">
        <v>-0.16429340000000001</v>
      </c>
      <c r="AE6927">
        <v>4.50999999999908E-2</v>
      </c>
      <c r="AF6927">
        <v>3.00951738344436E-2</v>
      </c>
      <c r="AG6927">
        <v>-0.16429340000000001</v>
      </c>
      <c r="AH6927">
        <v>0.475231558998093</v>
      </c>
      <c r="AI6927">
        <v>109.03551843189901</v>
      </c>
      <c r="AJ6927">
        <v>86.376446625076397</v>
      </c>
      <c r="AK6927">
        <v>0.50372916873995299</v>
      </c>
      <c r="AL6927">
        <v>87.842844643518106</v>
      </c>
      <c r="AM6927">
        <v>90.202737384126493</v>
      </c>
      <c r="AN6927">
        <v>1.00000001316109</v>
      </c>
    </row>
    <row r="6928" spans="1:40" x14ac:dyDescent="0.25">
      <c r="A6928" t="str">
        <f>"20190312150828469"</f>
        <v>20190312150828469</v>
      </c>
      <c r="B6928" t="str">
        <f>"1552374508467059"</f>
        <v>1552374508467059</v>
      </c>
      <c r="C6928" t="s">
        <v>40</v>
      </c>
      <c r="D6928">
        <v>4.1882299999999999</v>
      </c>
      <c r="E6928">
        <v>0.52006289999999999</v>
      </c>
      <c r="F6928" t="s">
        <v>41</v>
      </c>
      <c r="G6928">
        <v>-252.24430000000001</v>
      </c>
      <c r="H6928">
        <v>0.95105329999999999</v>
      </c>
      <c r="I6928">
        <v>140.81899999999999</v>
      </c>
      <c r="J6928">
        <v>-251.6249</v>
      </c>
      <c r="K6928">
        <v>1.109702</v>
      </c>
      <c r="L6928">
        <v>140.773</v>
      </c>
      <c r="M6928">
        <v>-0.99970599999999998</v>
      </c>
      <c r="N6928">
        <v>0</v>
      </c>
      <c r="O6928">
        <v>2.305229E-2</v>
      </c>
      <c r="P6928">
        <v>-0.99936239999999998</v>
      </c>
      <c r="Q6928">
        <v>3.02615E-2</v>
      </c>
      <c r="R6928">
        <v>1.8952219999999999E-2</v>
      </c>
      <c r="S6928">
        <v>-3.0171359999999998</v>
      </c>
      <c r="T6928">
        <v>-0.62794939999999999</v>
      </c>
      <c r="U6928">
        <v>0.19462589999999999</v>
      </c>
      <c r="V6928">
        <v>-4.091969E-3</v>
      </c>
      <c r="W6928">
        <v>3.7770650000000003E-2</v>
      </c>
      <c r="X6928">
        <v>0.99927809999999995</v>
      </c>
      <c r="Y6928">
        <v>4.0968539999999998E-2</v>
      </c>
      <c r="Z6928">
        <v>-5.2722360000000005E-4</v>
      </c>
      <c r="AA6928">
        <v>0.9991603</v>
      </c>
      <c r="AB6928">
        <v>27</v>
      </c>
      <c r="AC6928">
        <v>-0.61940000000001205</v>
      </c>
      <c r="AD6928">
        <v>-0.158648699999999</v>
      </c>
      <c r="AE6928">
        <v>4.59999999999922E-2</v>
      </c>
      <c r="AF6928">
        <v>2.9766680137332899E-2</v>
      </c>
      <c r="AG6928">
        <v>-0.158648699999999</v>
      </c>
      <c r="AH6928">
        <v>0.58230387505119197</v>
      </c>
      <c r="AI6928">
        <v>105.221380751729</v>
      </c>
      <c r="AJ6928">
        <v>87.073655234813799</v>
      </c>
      <c r="AK6928">
        <v>0.60426258212611705</v>
      </c>
      <c r="AL6928">
        <v>87.835386371001306</v>
      </c>
      <c r="AM6928">
        <v>90.234620615768407</v>
      </c>
      <c r="AN6928">
        <v>1.00000004367566</v>
      </c>
    </row>
    <row r="6929" spans="1:40" x14ac:dyDescent="0.25">
      <c r="A6929" t="str">
        <f>"20190312150828492"</f>
        <v>20190312150828492</v>
      </c>
      <c r="B6929" t="str">
        <f>"1552374508486580"</f>
        <v>1552374508486580</v>
      </c>
      <c r="C6929" t="s">
        <v>40</v>
      </c>
      <c r="D6929">
        <v>4.1836900000000004</v>
      </c>
      <c r="E6929">
        <v>0.52072200000000002</v>
      </c>
      <c r="F6929" t="s">
        <v>41</v>
      </c>
      <c r="G6929">
        <v>-252.47380000000001</v>
      </c>
      <c r="H6929">
        <v>0.93164009999999997</v>
      </c>
      <c r="I6929">
        <v>140.82849999999999</v>
      </c>
      <c r="J6929">
        <v>-251.8939</v>
      </c>
      <c r="K6929">
        <v>1.1097060000000001</v>
      </c>
      <c r="L6929">
        <v>140.7792</v>
      </c>
      <c r="M6929">
        <v>-0.99970630000000005</v>
      </c>
      <c r="N6929">
        <v>0</v>
      </c>
      <c r="O6929">
        <v>2.3017220000000001E-2</v>
      </c>
      <c r="P6929">
        <v>-0.99937670000000001</v>
      </c>
      <c r="Q6929">
        <v>3.0226099999999902E-2</v>
      </c>
      <c r="R6929">
        <v>1.8250499999999999E-2</v>
      </c>
      <c r="S6929">
        <v>-3.0173489999999998</v>
      </c>
      <c r="T6929">
        <v>-0.63295699999999999</v>
      </c>
      <c r="U6929">
        <v>0.19712830000000001</v>
      </c>
      <c r="V6929">
        <v>-4.7590480000000001E-3</v>
      </c>
      <c r="W6929">
        <v>3.7832600000000001E-2</v>
      </c>
      <c r="X6929">
        <v>0.99927279999999996</v>
      </c>
      <c r="Y6929">
        <v>4.1799459999999997E-2</v>
      </c>
      <c r="Z6929">
        <v>-4.3788920000000002E-4</v>
      </c>
      <c r="AA6929">
        <v>0.99912590000000001</v>
      </c>
      <c r="AB6929">
        <v>27</v>
      </c>
      <c r="AC6929">
        <v>-0.57990000000000896</v>
      </c>
      <c r="AD6929">
        <v>-0.178065899999999</v>
      </c>
      <c r="AE6929">
        <v>4.9299999999988103E-2</v>
      </c>
      <c r="AF6929">
        <v>3.2862564813165601E-2</v>
      </c>
      <c r="AG6929">
        <v>-0.178065899999999</v>
      </c>
      <c r="AH6929">
        <v>0.53115874141076103</v>
      </c>
      <c r="AI6929">
        <v>108.50027572350599</v>
      </c>
      <c r="AJ6929">
        <v>86.459647260174904</v>
      </c>
      <c r="AK6929">
        <v>0.56117468001146797</v>
      </c>
      <c r="AL6929">
        <v>87.831834354120602</v>
      </c>
      <c r="AM6929">
        <v>90.272869734250705</v>
      </c>
      <c r="AN6929">
        <v>1.0000000414902299</v>
      </c>
    </row>
    <row r="6930" spans="1:40" x14ac:dyDescent="0.25">
      <c r="A6930" t="str">
        <f>"20190312150828514"</f>
        <v>20190312150828514</v>
      </c>
      <c r="B6930" t="str">
        <f>"1552374508507073"</f>
        <v>1552374508507073</v>
      </c>
      <c r="C6930" t="s">
        <v>40</v>
      </c>
      <c r="D6930">
        <v>4.1754749999999996</v>
      </c>
      <c r="E6930">
        <v>0.52122829999999998</v>
      </c>
      <c r="F6930" t="s">
        <v>41</v>
      </c>
      <c r="G6930">
        <v>-252.715</v>
      </c>
      <c r="H6930">
        <v>0.93579880000000004</v>
      </c>
      <c r="I6930">
        <v>140.8339</v>
      </c>
      <c r="J6930">
        <v>-252.1611</v>
      </c>
      <c r="K6930">
        <v>1.1097129999999999</v>
      </c>
      <c r="L6930">
        <v>140.78530000000001</v>
      </c>
      <c r="M6930">
        <v>-0.99970630000000005</v>
      </c>
      <c r="N6930">
        <v>0</v>
      </c>
      <c r="O6930">
        <v>2.2981049999999999E-2</v>
      </c>
      <c r="P6930">
        <v>-0.99938119999999997</v>
      </c>
      <c r="Q6930">
        <v>3.048296E-2</v>
      </c>
      <c r="R6930">
        <v>1.7552700000000001E-2</v>
      </c>
      <c r="S6930">
        <v>-3.0175320000000001</v>
      </c>
      <c r="T6930">
        <v>-0.63911039999999997</v>
      </c>
      <c r="U6930">
        <v>0.2005615</v>
      </c>
      <c r="V6930">
        <v>-5.4203439999999997E-3</v>
      </c>
      <c r="W6930">
        <v>3.8177099999999999E-2</v>
      </c>
      <c r="X6930">
        <v>0.99925629999999999</v>
      </c>
      <c r="Y6930">
        <v>4.2929950000000001E-2</v>
      </c>
      <c r="Z6930">
        <v>-3.1615609999999998E-4</v>
      </c>
      <c r="AA6930">
        <v>0.99907800000000002</v>
      </c>
      <c r="AB6930">
        <v>27</v>
      </c>
      <c r="AC6930">
        <v>-0.55389999999999795</v>
      </c>
      <c r="AD6930">
        <v>-0.17391419999999899</v>
      </c>
      <c r="AE6930">
        <v>4.8599999999993301E-2</v>
      </c>
      <c r="AF6930">
        <v>3.2662205817242003E-2</v>
      </c>
      <c r="AG6930">
        <v>-0.17391419999999899</v>
      </c>
      <c r="AH6930">
        <v>0.50542441728074206</v>
      </c>
      <c r="AI6930">
        <v>108.95140078018601</v>
      </c>
      <c r="AJ6930">
        <v>86.302497701347804</v>
      </c>
      <c r="AK6930">
        <v>0.53550612530022901</v>
      </c>
      <c r="AL6930">
        <v>87.812081624227304</v>
      </c>
      <c r="AM6930">
        <v>90.310790923985294</v>
      </c>
      <c r="AN6930">
        <v>1.00000001209158</v>
      </c>
    </row>
    <row r="6931" spans="1:40" x14ac:dyDescent="0.25">
      <c r="A6931" t="str">
        <f>"20190312150828537"</f>
        <v>20190312150828537</v>
      </c>
      <c r="B6931" t="str">
        <f>"1552374508526594"</f>
        <v>1552374508526594</v>
      </c>
      <c r="C6931" t="s">
        <v>40</v>
      </c>
      <c r="D6931">
        <v>4.1723800000000004</v>
      </c>
      <c r="E6931">
        <v>0.52163570000000004</v>
      </c>
      <c r="F6931" t="s">
        <v>41</v>
      </c>
      <c r="G6931">
        <v>-252.95679999999999</v>
      </c>
      <c r="H6931">
        <v>0.9396584</v>
      </c>
      <c r="I6931">
        <v>140.83869999999999</v>
      </c>
      <c r="J6931">
        <v>-252.42769999999999</v>
      </c>
      <c r="K6931">
        <v>1.109723</v>
      </c>
      <c r="L6931">
        <v>140.79140000000001</v>
      </c>
      <c r="M6931">
        <v>-0.9997066</v>
      </c>
      <c r="N6931">
        <v>0</v>
      </c>
      <c r="O6931">
        <v>2.2942730000000001E-2</v>
      </c>
      <c r="P6931">
        <v>-0.99938119999999997</v>
      </c>
      <c r="Q6931">
        <v>3.084013E-2</v>
      </c>
      <c r="R6931">
        <v>1.6931999999999999E-2</v>
      </c>
      <c r="S6931">
        <v>-3.0179749999999999</v>
      </c>
      <c r="T6931">
        <v>-0.64497009999999999</v>
      </c>
      <c r="U6931">
        <v>0.20239260000000001</v>
      </c>
      <c r="V6931">
        <v>-6.0025030000000002E-3</v>
      </c>
      <c r="W6931">
        <v>3.8615940000000001E-2</v>
      </c>
      <c r="X6931">
        <v>0.99923609999999896</v>
      </c>
      <c r="Y6931">
        <v>4.3539550000000003E-2</v>
      </c>
      <c r="Z6931">
        <v>-2.4650900000000001E-4</v>
      </c>
      <c r="AA6931">
        <v>0.99905169999999999</v>
      </c>
      <c r="AB6931">
        <v>27</v>
      </c>
      <c r="AC6931">
        <v>-0.52909999999999902</v>
      </c>
      <c r="AD6931">
        <v>-0.17006459999999901</v>
      </c>
      <c r="AE6931">
        <v>4.7299999999978498E-2</v>
      </c>
      <c r="AF6931">
        <v>3.1880634154795202E-2</v>
      </c>
      <c r="AG6931">
        <v>-0.17006459999999901</v>
      </c>
      <c r="AH6931">
        <v>0.480770237563523</v>
      </c>
      <c r="AI6931">
        <v>109.44091537680001</v>
      </c>
      <c r="AJ6931">
        <v>86.206180577537907</v>
      </c>
      <c r="AK6931">
        <v>0.51095828042430003</v>
      </c>
      <c r="AL6931">
        <v>87.786919367462204</v>
      </c>
      <c r="AM6931">
        <v>90.344176868435099</v>
      </c>
      <c r="AN6931">
        <v>1.0000000022037701</v>
      </c>
    </row>
    <row r="6932" spans="1:40" x14ac:dyDescent="0.25">
      <c r="A6932" t="str">
        <f>"20190312150828557"</f>
        <v>20190312150828557</v>
      </c>
      <c r="B6932" t="str">
        <f>"1552374508547089"</f>
        <v>1552374508547089</v>
      </c>
      <c r="C6932" t="s">
        <v>40</v>
      </c>
      <c r="D6932">
        <v>4.1880249999999997</v>
      </c>
      <c r="E6932">
        <v>0.52218659999999995</v>
      </c>
      <c r="F6932" t="s">
        <v>41</v>
      </c>
      <c r="G6932">
        <v>-253.1987</v>
      </c>
      <c r="H6932">
        <v>0.9429419</v>
      </c>
      <c r="I6932">
        <v>140.84350000000001</v>
      </c>
      <c r="J6932">
        <v>-252.68459999999999</v>
      </c>
      <c r="K6932">
        <v>1.109731</v>
      </c>
      <c r="L6932">
        <v>140.7972</v>
      </c>
      <c r="M6932">
        <v>-0.99970700000000001</v>
      </c>
      <c r="N6932">
        <v>0</v>
      </c>
      <c r="O6932">
        <v>2.2901870000000001E-2</v>
      </c>
      <c r="P6932">
        <v>-0.99940770000000001</v>
      </c>
      <c r="Q6932">
        <v>3.0364510000000001E-2</v>
      </c>
      <c r="R6932">
        <v>1.6211409999999999E-2</v>
      </c>
      <c r="S6932">
        <v>-3.0185849999999999</v>
      </c>
      <c r="T6932">
        <v>-0.65296750000000003</v>
      </c>
      <c r="U6932">
        <v>0.20306399999999999</v>
      </c>
      <c r="V6932">
        <v>-6.6834850000000003E-3</v>
      </c>
      <c r="W6932">
        <v>3.8215689999999997E-2</v>
      </c>
      <c r="X6932">
        <v>0.99924710000000005</v>
      </c>
      <c r="Y6932">
        <v>4.3770620000000003E-2</v>
      </c>
      <c r="Z6932">
        <v>-2.1604449999999999E-4</v>
      </c>
      <c r="AA6932">
        <v>0.99904159999999997</v>
      </c>
      <c r="AB6932">
        <v>27</v>
      </c>
      <c r="AC6932">
        <v>-0.51410000000001299</v>
      </c>
      <c r="AD6932">
        <v>-0.1667891</v>
      </c>
      <c r="AE6932">
        <v>4.6300000000002201E-2</v>
      </c>
      <c r="AF6932">
        <v>3.1250821488789597E-2</v>
      </c>
      <c r="AG6932">
        <v>-0.1667891</v>
      </c>
      <c r="AH6932">
        <v>0.46633649861149201</v>
      </c>
      <c r="AI6932">
        <v>109.63934115354</v>
      </c>
      <c r="AJ6932">
        <v>86.166143845653295</v>
      </c>
      <c r="AK6932">
        <v>0.49625089184782301</v>
      </c>
      <c r="AL6932">
        <v>87.809868801765404</v>
      </c>
      <c r="AM6932">
        <v>90.383218297775102</v>
      </c>
      <c r="AN6932">
        <v>0.999999937396163</v>
      </c>
    </row>
    <row r="6933" spans="1:40" x14ac:dyDescent="0.25">
      <c r="A6933" t="str">
        <f>"20190312150828580"</f>
        <v>20190312150828580</v>
      </c>
      <c r="B6933" t="str">
        <f>"1552374508577346"</f>
        <v>1552374508577346</v>
      </c>
      <c r="C6933" t="s">
        <v>40</v>
      </c>
      <c r="D6933">
        <v>4.1847370000000002</v>
      </c>
      <c r="E6933">
        <v>0.52289779999999997</v>
      </c>
      <c r="F6933" t="s">
        <v>41</v>
      </c>
      <c r="G6933">
        <v>-253.4401</v>
      </c>
      <c r="H6933">
        <v>0.94388280000000002</v>
      </c>
      <c r="I6933">
        <v>140.84870000000001</v>
      </c>
      <c r="J6933">
        <v>-252.9478</v>
      </c>
      <c r="K6933">
        <v>1.109742</v>
      </c>
      <c r="L6933">
        <v>140.8032</v>
      </c>
      <c r="M6933">
        <v>-0.99970740000000002</v>
      </c>
      <c r="N6933">
        <v>0</v>
      </c>
      <c r="O6933">
        <v>2.2853729999999999E-2</v>
      </c>
      <c r="P6933">
        <v>-0.99943099999999996</v>
      </c>
      <c r="Q6933">
        <v>2.9989149999999999E-2</v>
      </c>
      <c r="R6933">
        <v>1.5436200000000001E-2</v>
      </c>
      <c r="S6933">
        <v>-3.01857</v>
      </c>
      <c r="T6933">
        <v>-0.66256090000000001</v>
      </c>
      <c r="U6933">
        <v>0.20541380000000001</v>
      </c>
      <c r="V6933">
        <v>-7.41115099999999E-3</v>
      </c>
      <c r="W6933">
        <v>3.7913120000000002E-2</v>
      </c>
      <c r="X6933">
        <v>0.99925359999999996</v>
      </c>
      <c r="Y6933">
        <v>4.4559359999999999E-2</v>
      </c>
      <c r="Z6933">
        <v>-1.2325770000000001E-4</v>
      </c>
      <c r="AA6933">
        <v>0.99900670000000003</v>
      </c>
      <c r="AB6933">
        <v>27</v>
      </c>
      <c r="AC6933">
        <v>-0.49230000000000002</v>
      </c>
      <c r="AD6933">
        <v>-0.16585919999999901</v>
      </c>
      <c r="AE6933">
        <v>4.5500000000004003E-2</v>
      </c>
      <c r="AF6933">
        <v>3.0773476066102E-2</v>
      </c>
      <c r="AG6933">
        <v>-0.16585919999999901</v>
      </c>
      <c r="AH6933">
        <v>0.44331813795652703</v>
      </c>
      <c r="AI6933">
        <v>110.46724230664501</v>
      </c>
      <c r="AJ6933">
        <v>86.029112584509505</v>
      </c>
      <c r="AK6933">
        <v>0.47432821178491302</v>
      </c>
      <c r="AL6933">
        <v>87.827217590221494</v>
      </c>
      <c r="AM6933">
        <v>90.424937061047501</v>
      </c>
      <c r="AN6933">
        <v>1.00000004347011</v>
      </c>
    </row>
    <row r="6934" spans="1:40" x14ac:dyDescent="0.25">
      <c r="A6934" t="str">
        <f>"20190312150828592"</f>
        <v>20190312150828592</v>
      </c>
      <c r="B6934" t="str">
        <f>"1552374508587106"</f>
        <v>1552374508587106</v>
      </c>
      <c r="C6934" t="s">
        <v>40</v>
      </c>
      <c r="D6934">
        <v>4.181559</v>
      </c>
      <c r="E6934">
        <v>0.52311819999999998</v>
      </c>
      <c r="F6934" t="s">
        <v>41</v>
      </c>
      <c r="G6934">
        <v>-253.6824</v>
      </c>
      <c r="H6934">
        <v>0.94571079999999996</v>
      </c>
      <c r="I6934">
        <v>140.85419999999999</v>
      </c>
      <c r="J6934">
        <v>-253.1044</v>
      </c>
      <c r="K6934">
        <v>1.1097490000000001</v>
      </c>
      <c r="L6934">
        <v>140.80670000000001</v>
      </c>
      <c r="M6934">
        <v>-0.99970789999999998</v>
      </c>
      <c r="N6934">
        <v>0</v>
      </c>
      <c r="O6934">
        <v>2.2819849999999999E-2</v>
      </c>
      <c r="P6934">
        <v>-0.9994459</v>
      </c>
      <c r="Q6934">
        <v>2.9711629999999999E-2</v>
      </c>
      <c r="R6934">
        <v>1.500609E-2</v>
      </c>
      <c r="S6934">
        <v>-3.018723</v>
      </c>
      <c r="T6934">
        <v>-0.67408780000000001</v>
      </c>
      <c r="U6934">
        <v>0.20892330000000001</v>
      </c>
      <c r="V6934">
        <v>-7.8081289999999996E-3</v>
      </c>
      <c r="W6934">
        <v>3.7676769999999998E-2</v>
      </c>
      <c r="X6934">
        <v>0.99925949999999997</v>
      </c>
      <c r="Y6934">
        <v>4.5699280000000002E-2</v>
      </c>
      <c r="Z6934" s="1">
        <v>7.7150759999999994E-6</v>
      </c>
      <c r="AA6934">
        <v>0.99895520000000004</v>
      </c>
      <c r="AB6934">
        <v>27</v>
      </c>
      <c r="AC6934">
        <v>-0.57800000000000296</v>
      </c>
      <c r="AD6934">
        <v>-0.164038199999999</v>
      </c>
      <c r="AE6934">
        <v>4.74999999999852E-2</v>
      </c>
      <c r="AF6934">
        <v>3.1756680440129602E-2</v>
      </c>
      <c r="AG6934">
        <v>-0.164038199999999</v>
      </c>
      <c r="AH6934">
        <v>0.53604755842323504</v>
      </c>
      <c r="AI6934">
        <v>106.986794364966</v>
      </c>
      <c r="AJ6934">
        <v>86.6096299218719</v>
      </c>
      <c r="AK6934">
        <v>0.56148375105903803</v>
      </c>
      <c r="AL6934">
        <v>87.840769094166106</v>
      </c>
      <c r="AM6934">
        <v>90.447695251139194</v>
      </c>
      <c r="AN6934">
        <v>1.0000000271081799</v>
      </c>
    </row>
    <row r="6935" spans="1:40" x14ac:dyDescent="0.25">
      <c r="A6935" t="str">
        <f>"20190312150828614"</f>
        <v>20190312150828614</v>
      </c>
      <c r="B6935" t="str">
        <f>"1552374508606626"</f>
        <v>1552374508606626</v>
      </c>
      <c r="C6935" t="s">
        <v>40</v>
      </c>
      <c r="D6935">
        <v>4.1892009999999997</v>
      </c>
      <c r="E6935">
        <v>0.5234761</v>
      </c>
      <c r="F6935" t="s">
        <v>41</v>
      </c>
      <c r="G6935">
        <v>-253.91560000000001</v>
      </c>
      <c r="H6935">
        <v>0.9275814</v>
      </c>
      <c r="I6935">
        <v>140.8631</v>
      </c>
      <c r="J6935">
        <v>-253.3664</v>
      </c>
      <c r="K6935">
        <v>1.1097589999999999</v>
      </c>
      <c r="L6935">
        <v>140.81270000000001</v>
      </c>
      <c r="M6935">
        <v>-0.99970890000000001</v>
      </c>
      <c r="N6935">
        <v>0</v>
      </c>
      <c r="O6935">
        <v>2.2753329999999999E-2</v>
      </c>
      <c r="P6935">
        <v>-0.9994613</v>
      </c>
      <c r="Q6935">
        <v>2.9324030000000001E-2</v>
      </c>
      <c r="R6935">
        <v>1.47487E-2</v>
      </c>
      <c r="S6935">
        <v>-3.0186769999999998</v>
      </c>
      <c r="T6935">
        <v>-0.67788459999999995</v>
      </c>
      <c r="U6935">
        <v>0.20956420000000001</v>
      </c>
      <c r="V6935">
        <v>-7.9997709999999993E-3</v>
      </c>
      <c r="W6935">
        <v>3.7353709999999998E-2</v>
      </c>
      <c r="X6935">
        <v>0.99927010000000005</v>
      </c>
      <c r="Y6935">
        <v>4.5963370000000003E-2</v>
      </c>
      <c r="Z6935" s="1">
        <v>5.1739629999999997E-5</v>
      </c>
      <c r="AA6935">
        <v>0.99894320000000003</v>
      </c>
      <c r="AB6935">
        <v>27</v>
      </c>
      <c r="AC6935">
        <v>-0.54920000000001301</v>
      </c>
      <c r="AD6935">
        <v>-0.182177599999999</v>
      </c>
      <c r="AE6935">
        <v>5.0399999999996198E-2</v>
      </c>
      <c r="AF6935">
        <v>3.4162733793882398E-2</v>
      </c>
      <c r="AG6935">
        <v>-0.182177599999999</v>
      </c>
      <c r="AH6935">
        <v>0.49607509770622799</v>
      </c>
      <c r="AI6935">
        <v>110.121329390914</v>
      </c>
      <c r="AJ6935">
        <v>86.060485734273996</v>
      </c>
      <c r="AK6935">
        <v>0.52957178256236004</v>
      </c>
      <c r="AL6935">
        <v>87.859292080164707</v>
      </c>
      <c r="AM6935">
        <v>90.458678112973203</v>
      </c>
      <c r="AN6935">
        <v>1.00000001437041</v>
      </c>
    </row>
    <row r="6936" spans="1:40" x14ac:dyDescent="0.25">
      <c r="A6936" t="str">
        <f>"20190312150828627"</f>
        <v>20190312150828627</v>
      </c>
      <c r="B6936" t="str">
        <f>"1552374508617361"</f>
        <v>1552374508617361</v>
      </c>
      <c r="C6936" t="s">
        <v>40</v>
      </c>
      <c r="D6936">
        <v>4.1833939999999998</v>
      </c>
      <c r="E6936">
        <v>0.52369359999999998</v>
      </c>
      <c r="F6936" t="s">
        <v>41</v>
      </c>
      <c r="G6936">
        <v>-254.1591</v>
      </c>
      <c r="H6936">
        <v>0.92985390000000001</v>
      </c>
      <c r="I6936">
        <v>140.8683</v>
      </c>
      <c r="J6936">
        <v>-253.5129</v>
      </c>
      <c r="K6936">
        <v>1.109766</v>
      </c>
      <c r="L6936">
        <v>140.8159</v>
      </c>
      <c r="M6936">
        <v>-0.99970950000000003</v>
      </c>
      <c r="N6936">
        <v>0</v>
      </c>
      <c r="O6936">
        <v>2.2710459999999998E-2</v>
      </c>
      <c r="P6936">
        <v>-0.99946550000000001</v>
      </c>
      <c r="Q6936">
        <v>2.9107879999999999E-2</v>
      </c>
      <c r="R6936">
        <v>1.488391E-2</v>
      </c>
      <c r="S6936">
        <v>-3.0185849999999999</v>
      </c>
      <c r="T6936">
        <v>-0.68511449999999996</v>
      </c>
      <c r="U6936">
        <v>0.21160889999999999</v>
      </c>
      <c r="V6936">
        <v>-7.8225719999999999E-3</v>
      </c>
      <c r="W6936">
        <v>3.7171679999999999E-2</v>
      </c>
      <c r="X6936">
        <v>0.99927820000000001</v>
      </c>
      <c r="Y6936">
        <v>4.665101E-2</v>
      </c>
      <c r="Z6936">
        <v>1.3884300000000001E-4</v>
      </c>
      <c r="AA6936">
        <v>0.99891129999999995</v>
      </c>
      <c r="AB6936">
        <v>27</v>
      </c>
      <c r="AC6936">
        <v>-0.646199999999993</v>
      </c>
      <c r="AD6936">
        <v>-0.17991209999999899</v>
      </c>
      <c r="AE6936">
        <v>5.2400000000005699E-2</v>
      </c>
      <c r="AF6936">
        <v>3.5014111497787603E-2</v>
      </c>
      <c r="AG6936">
        <v>-0.17991209999999899</v>
      </c>
      <c r="AH6936">
        <v>0.60094530077562303</v>
      </c>
      <c r="AI6936">
        <v>106.64008726011301</v>
      </c>
      <c r="AJ6936">
        <v>86.665428218169495</v>
      </c>
      <c r="AK6936">
        <v>0.62827510395900099</v>
      </c>
      <c r="AL6936">
        <v>87.869728685864303</v>
      </c>
      <c r="AM6936">
        <v>90.448514943561406</v>
      </c>
      <c r="AN6936">
        <v>0.99999992371097501</v>
      </c>
    </row>
    <row r="6937" spans="1:40" x14ac:dyDescent="0.25">
      <c r="A6937" t="str">
        <f>"20190312150828638"</f>
        <v>20190312150828638</v>
      </c>
      <c r="B6937" t="str">
        <f>"1552374508627122"</f>
        <v>1552374508627122</v>
      </c>
      <c r="C6937" t="s">
        <v>40</v>
      </c>
      <c r="D6937">
        <v>4.1435750000000002</v>
      </c>
      <c r="E6937">
        <v>0.52391869999999996</v>
      </c>
      <c r="F6937" t="s">
        <v>41</v>
      </c>
      <c r="G6937">
        <v>-254.39259999999999</v>
      </c>
      <c r="H6937">
        <v>0.90918889999999997</v>
      </c>
      <c r="I6937">
        <v>140.8784</v>
      </c>
      <c r="J6937">
        <v>-253.66970000000001</v>
      </c>
      <c r="K6937">
        <v>1.109774</v>
      </c>
      <c r="L6937">
        <v>140.8194</v>
      </c>
      <c r="M6937">
        <v>-0.9997106</v>
      </c>
      <c r="N6937">
        <v>0</v>
      </c>
      <c r="O6937">
        <v>2.2656889999999999E-2</v>
      </c>
      <c r="P6937">
        <v>-0.9994729</v>
      </c>
      <c r="Q6937">
        <v>2.873993E-2</v>
      </c>
      <c r="R6937">
        <v>1.5112469999999999E-2</v>
      </c>
      <c r="S6937">
        <v>-3.0184630000000001</v>
      </c>
      <c r="T6937">
        <v>-0.68824049999999903</v>
      </c>
      <c r="U6937">
        <v>0.21391299999999999</v>
      </c>
      <c r="V6937">
        <v>-7.5410569999999899E-3</v>
      </c>
      <c r="W6937">
        <v>3.6837660000000001E-2</v>
      </c>
      <c r="X6937">
        <v>0.99929279999999998</v>
      </c>
      <c r="Y6937">
        <v>4.7439090000000003E-2</v>
      </c>
      <c r="Z6937">
        <v>2.401099E-4</v>
      </c>
      <c r="AA6937">
        <v>0.99887409999999999</v>
      </c>
      <c r="AB6937">
        <v>27</v>
      </c>
      <c r="AC6937">
        <v>-0.722899999999981</v>
      </c>
      <c r="AD6937">
        <v>-0.20058509999999999</v>
      </c>
      <c r="AE6937">
        <v>5.8999999999997499E-2</v>
      </c>
      <c r="AF6937">
        <v>3.9578612476580899E-2</v>
      </c>
      <c r="AG6937">
        <v>-0.20058509999999999</v>
      </c>
      <c r="AH6937">
        <v>0.672608937472427</v>
      </c>
      <c r="AI6937">
        <v>106.57850719904199</v>
      </c>
      <c r="AJ6937">
        <v>86.632403427985395</v>
      </c>
      <c r="AK6937">
        <v>0.70299618183555501</v>
      </c>
      <c r="AL6937">
        <v>87.888879881309506</v>
      </c>
      <c r="AM6937">
        <v>90.432368308452098</v>
      </c>
      <c r="AN6937">
        <v>0.99999999043339605</v>
      </c>
    </row>
    <row r="6938" spans="1:40" x14ac:dyDescent="0.25">
      <c r="A6938" t="str">
        <f>"20190312150828652"</f>
        <v>20190312150828652</v>
      </c>
      <c r="B6938" t="str">
        <f>"1552374508646642"</f>
        <v>1552374508646642</v>
      </c>
      <c r="C6938" t="s">
        <v>40</v>
      </c>
      <c r="D6938">
        <v>4.1742970000000001</v>
      </c>
      <c r="E6938">
        <v>0.52404189999999995</v>
      </c>
      <c r="F6938" t="s">
        <v>41</v>
      </c>
      <c r="G6938">
        <v>-254.40710000000001</v>
      </c>
      <c r="H6938">
        <v>0.94049300000000002</v>
      </c>
      <c r="I6938">
        <v>140.8724</v>
      </c>
      <c r="J6938">
        <v>-253.8201</v>
      </c>
      <c r="K6938">
        <v>1.109782</v>
      </c>
      <c r="L6938">
        <v>140.8228</v>
      </c>
      <c r="M6938">
        <v>-0.99971160000000003</v>
      </c>
      <c r="N6938">
        <v>0</v>
      </c>
      <c r="O6938">
        <v>2.2599040000000001E-2</v>
      </c>
      <c r="P6938">
        <v>-0.99948530000000002</v>
      </c>
      <c r="Q6938">
        <v>2.8364360000000002E-2</v>
      </c>
      <c r="R6938">
        <v>1.4995609999999999E-2</v>
      </c>
      <c r="S6938">
        <v>-3.0182340000000001</v>
      </c>
      <c r="T6938">
        <v>-0.69284860000000004</v>
      </c>
      <c r="U6938">
        <v>0.21646119999999999</v>
      </c>
      <c r="V6938">
        <v>-7.6011919999999997E-3</v>
      </c>
      <c r="W6938">
        <v>3.6493129999999999E-2</v>
      </c>
      <c r="X6938">
        <v>0.999305</v>
      </c>
      <c r="Y6938">
        <v>4.8308829999999997E-2</v>
      </c>
      <c r="Z6938">
        <v>3.5320590000000003E-4</v>
      </c>
      <c r="AA6938">
        <v>0.99883239999999995</v>
      </c>
      <c r="AB6938">
        <v>27</v>
      </c>
      <c r="AC6938">
        <v>-0.58700000000001695</v>
      </c>
      <c r="AD6938">
        <v>-0.169289</v>
      </c>
      <c r="AE6938">
        <v>4.9599999999998E-2</v>
      </c>
      <c r="AF6938">
        <v>3.3550547212011797E-2</v>
      </c>
      <c r="AG6938">
        <v>-0.169289</v>
      </c>
      <c r="AH6938">
        <v>0.54311857542712105</v>
      </c>
      <c r="AI6938">
        <v>107.281180336842</v>
      </c>
      <c r="AJ6938">
        <v>86.465108642102393</v>
      </c>
      <c r="AK6938">
        <v>0.56987910271671705</v>
      </c>
      <c r="AL6938">
        <v>87.908633308874599</v>
      </c>
      <c r="AM6938">
        <v>90.435810710163096</v>
      </c>
      <c r="AN6938">
        <v>1.000000004841</v>
      </c>
    </row>
    <row r="6939" spans="1:40" x14ac:dyDescent="0.25">
      <c r="A6939" t="str">
        <f>"20190312150828669"</f>
        <v>20190312150828669</v>
      </c>
      <c r="B6939" t="str">
        <f>"1552374508656401"</f>
        <v>1552374508656401</v>
      </c>
      <c r="C6939" t="s">
        <v>40</v>
      </c>
      <c r="D6939">
        <v>4.2970790000000001</v>
      </c>
      <c r="E6939">
        <v>0.54721739999999996</v>
      </c>
      <c r="F6939" t="s">
        <v>41</v>
      </c>
      <c r="G6939">
        <v>-254.64109999999999</v>
      </c>
      <c r="H6939">
        <v>0.92051059999999996</v>
      </c>
      <c r="I6939">
        <v>140.88200000000001</v>
      </c>
      <c r="J6939">
        <v>-254.0292</v>
      </c>
      <c r="K6939">
        <v>1.109796</v>
      </c>
      <c r="L6939">
        <v>140.82740000000001</v>
      </c>
      <c r="M6939">
        <v>-0.99971330000000003</v>
      </c>
      <c r="N6939">
        <v>0</v>
      </c>
      <c r="O6939">
        <v>2.2507429999999998E-2</v>
      </c>
      <c r="P6939">
        <v>-0.99951000000000001</v>
      </c>
      <c r="Q6939">
        <v>2.7547140000000001E-2</v>
      </c>
      <c r="R6939">
        <v>1.488081E-2</v>
      </c>
      <c r="S6939">
        <v>-3.0180660000000001</v>
      </c>
      <c r="T6939">
        <v>-0.69580410000000004</v>
      </c>
      <c r="U6939">
        <v>0.21702579999999999</v>
      </c>
      <c r="V6939">
        <v>-7.6257080000000001E-3</v>
      </c>
      <c r="W6939">
        <v>3.5717350000000002E-2</v>
      </c>
      <c r="X6939">
        <v>0.99933280000000002</v>
      </c>
      <c r="Y6939">
        <v>4.8575180000000003E-2</v>
      </c>
      <c r="Z6939">
        <v>4.057717E-4</v>
      </c>
      <c r="AA6939">
        <v>0.99881949999999997</v>
      </c>
      <c r="AB6939">
        <v>27</v>
      </c>
      <c r="AC6939">
        <v>-0.61189999999999101</v>
      </c>
      <c r="AD6939">
        <v>-0.18928539999999999</v>
      </c>
      <c r="AE6939">
        <v>5.4599999999993501E-2</v>
      </c>
      <c r="AF6939">
        <v>3.7274713851307199E-2</v>
      </c>
      <c r="AG6939">
        <v>-0.18928539999999999</v>
      </c>
      <c r="AH6939">
        <v>0.55982646003468195</v>
      </c>
      <c r="AI6939">
        <v>108.64271964250401</v>
      </c>
      <c r="AJ6939">
        <v>86.190719261784096</v>
      </c>
      <c r="AK6939">
        <v>0.59213514698995895</v>
      </c>
      <c r="AL6939">
        <v>87.953111143495093</v>
      </c>
      <c r="AM6939">
        <v>90.437204106572395</v>
      </c>
      <c r="AN6939">
        <v>0.99999996283468096</v>
      </c>
    </row>
    <row r="6940" spans="1:40" x14ac:dyDescent="0.25">
      <c r="A6940" t="str">
        <f>"20190312150828683"</f>
        <v>20190312150828683</v>
      </c>
      <c r="B6940" t="str">
        <f>"1552374508676898"</f>
        <v>1552374508676898</v>
      </c>
      <c r="C6940" t="s">
        <v>40</v>
      </c>
      <c r="D6940">
        <v>4.0856849999999998</v>
      </c>
      <c r="E6940">
        <v>0.55861349999999999</v>
      </c>
      <c r="F6940" t="s">
        <v>41</v>
      </c>
      <c r="G6940">
        <v>-254.88120000000001</v>
      </c>
      <c r="H6940">
        <v>0.91519430000000002</v>
      </c>
      <c r="I6940">
        <v>140.94130000000001</v>
      </c>
      <c r="J6940">
        <v>-254.2106</v>
      </c>
      <c r="K6940">
        <v>1.10981</v>
      </c>
      <c r="L6940">
        <v>140.8314</v>
      </c>
      <c r="M6940">
        <v>-0.99971500000000002</v>
      </c>
      <c r="N6940">
        <v>0</v>
      </c>
      <c r="O6940">
        <v>2.2416439999999999E-2</v>
      </c>
      <c r="P6940">
        <v>-0.99952129999999995</v>
      </c>
      <c r="Q6940">
        <v>2.719384E-2</v>
      </c>
      <c r="R6940">
        <v>1.475811E-2</v>
      </c>
      <c r="S6940">
        <v>-3.014465</v>
      </c>
      <c r="T6940">
        <v>-0.68857489999999999</v>
      </c>
      <c r="U6940">
        <v>0.4022522</v>
      </c>
      <c r="V6940">
        <v>-7.6591519999999998E-3</v>
      </c>
      <c r="W6940">
        <v>3.5397119999999997E-2</v>
      </c>
      <c r="X6940">
        <v>0.99934400000000001</v>
      </c>
      <c r="Y6940">
        <v>0.1078538</v>
      </c>
      <c r="Z6940">
        <v>7.07802E-3</v>
      </c>
      <c r="AA6940">
        <v>0.99414159999999996</v>
      </c>
      <c r="AB6940">
        <v>27</v>
      </c>
      <c r="AC6940">
        <v>-0.67060000000000697</v>
      </c>
      <c r="AD6940">
        <v>-0.194615699999999</v>
      </c>
      <c r="AE6940">
        <v>0.10990000000001</v>
      </c>
      <c r="AF6940">
        <v>8.7650351809857904E-2</v>
      </c>
      <c r="AG6940">
        <v>-0.194615699999999</v>
      </c>
      <c r="AH6940">
        <v>0.62188803420238703</v>
      </c>
      <c r="AI6940">
        <v>107.217194466715</v>
      </c>
      <c r="AJ6940">
        <v>81.9774425355631</v>
      </c>
      <c r="AK6940">
        <v>0.65749721059711796</v>
      </c>
      <c r="AL6940">
        <v>87.971470706667901</v>
      </c>
      <c r="AM6940">
        <v>90.439116552631504</v>
      </c>
      <c r="AN6940">
        <v>1.00000002452482</v>
      </c>
    </row>
    <row r="6941" spans="1:40" x14ac:dyDescent="0.25">
      <c r="A6941" t="str">
        <f>"20190312150828705"</f>
        <v>20190312150828705</v>
      </c>
      <c r="B6941" t="str">
        <f>"1552374508697395"</f>
        <v>1552374508697395</v>
      </c>
      <c r="C6941" t="s">
        <v>40</v>
      </c>
      <c r="D6941">
        <v>4.153073</v>
      </c>
      <c r="E6941">
        <v>0.56355679999999997</v>
      </c>
      <c r="F6941" t="s">
        <v>41</v>
      </c>
      <c r="G6941">
        <v>-254.89959999999999</v>
      </c>
      <c r="H6941">
        <v>0.95418919999999996</v>
      </c>
      <c r="I6941">
        <v>140.9444</v>
      </c>
      <c r="J6941">
        <v>-254.46019999999999</v>
      </c>
      <c r="K6941">
        <v>1.109829</v>
      </c>
      <c r="L6941">
        <v>140.83690000000001</v>
      </c>
      <c r="M6941">
        <v>-0.999718</v>
      </c>
      <c r="N6941">
        <v>0</v>
      </c>
      <c r="O6941">
        <v>2.226937E-2</v>
      </c>
      <c r="P6941">
        <v>-0.99953700000000001</v>
      </c>
      <c r="Q6941">
        <v>2.6595049999999999E-2</v>
      </c>
      <c r="R6941">
        <v>1.4796210000000001E-2</v>
      </c>
      <c r="S6941">
        <v>-3.0126650000000001</v>
      </c>
      <c r="T6941">
        <v>-0.680585</v>
      </c>
      <c r="U6941">
        <v>0.49328610000000001</v>
      </c>
      <c r="V6941">
        <v>-7.4758350000000001E-3</v>
      </c>
      <c r="W6941">
        <v>3.4840990000000002E-2</v>
      </c>
      <c r="X6941">
        <v>0.9993649</v>
      </c>
      <c r="Y6941">
        <v>0.13675999999999999</v>
      </c>
      <c r="Z6941">
        <v>1.0223919999999999E-2</v>
      </c>
      <c r="AA6941">
        <v>0.99055150000000003</v>
      </c>
      <c r="AB6941">
        <v>27</v>
      </c>
      <c r="AC6941">
        <v>-0.43940000000000601</v>
      </c>
      <c r="AD6941">
        <v>-0.15563979999999999</v>
      </c>
      <c r="AE6941">
        <v>0.10749999999998699</v>
      </c>
      <c r="AF6941">
        <v>8.73477039034284E-2</v>
      </c>
      <c r="AG6941">
        <v>-0.15563979999999999</v>
      </c>
      <c r="AH6941">
        <v>0.394933229267876</v>
      </c>
      <c r="AI6941">
        <v>111.046347399122</v>
      </c>
      <c r="AJ6941">
        <v>77.528611411922299</v>
      </c>
      <c r="AK6941">
        <v>0.43338853734402599</v>
      </c>
      <c r="AL6941">
        <v>88.003354213069301</v>
      </c>
      <c r="AM6941">
        <v>90.428598006964705</v>
      </c>
      <c r="AN6941">
        <v>0.99999999302256803</v>
      </c>
    </row>
    <row r="6942" spans="1:40" x14ac:dyDescent="0.25">
      <c r="A6942" t="str">
        <f>"20190312150828726"</f>
        <v>20190312150828726</v>
      </c>
      <c r="B6942" t="str">
        <f>"1552374508716913"</f>
        <v>1552374508716913</v>
      </c>
      <c r="C6942" t="s">
        <v>40</v>
      </c>
      <c r="D6942">
        <v>4.1464559999999997</v>
      </c>
      <c r="E6942">
        <v>0.56555169999999999</v>
      </c>
      <c r="F6942" t="s">
        <v>41</v>
      </c>
      <c r="G6942">
        <v>-255.14400000000001</v>
      </c>
      <c r="H6942">
        <v>0.95395469999999905</v>
      </c>
      <c r="I6942">
        <v>140.9581</v>
      </c>
      <c r="J6942">
        <v>-254.73230000000001</v>
      </c>
      <c r="K6942">
        <v>1.10985</v>
      </c>
      <c r="L6942">
        <v>140.84270000000001</v>
      </c>
      <c r="M6942">
        <v>-0.99972179999999999</v>
      </c>
      <c r="N6942">
        <v>0</v>
      </c>
      <c r="O6942">
        <v>2.2076249999999999E-2</v>
      </c>
      <c r="P6942">
        <v>-0.99954739999999997</v>
      </c>
      <c r="Q6942">
        <v>2.646273E-2</v>
      </c>
      <c r="R6942">
        <v>1.431173E-2</v>
      </c>
      <c r="S6942">
        <v>-3.0117799999999999</v>
      </c>
      <c r="T6942">
        <v>-0.68663569999999996</v>
      </c>
      <c r="U6942">
        <v>0.53288269999999904</v>
      </c>
      <c r="V6942">
        <v>-7.7689279999999996E-3</v>
      </c>
      <c r="W6942">
        <v>3.475044E-2</v>
      </c>
      <c r="X6942">
        <v>0.99936579999999997</v>
      </c>
      <c r="Y6942">
        <v>0.1492819</v>
      </c>
      <c r="Z6942">
        <v>1.174674E-2</v>
      </c>
      <c r="AA6942">
        <v>0.98872490000000002</v>
      </c>
      <c r="AB6942">
        <v>27</v>
      </c>
      <c r="AC6942">
        <v>-0.41169999999999601</v>
      </c>
      <c r="AD6942">
        <v>-0.15589529999999999</v>
      </c>
      <c r="AE6942">
        <v>0.11539999999999299</v>
      </c>
      <c r="AF6942">
        <v>9.3811451106866894E-2</v>
      </c>
      <c r="AG6942">
        <v>-0.15589529999999999</v>
      </c>
      <c r="AH6942">
        <v>0.36555091640878401</v>
      </c>
      <c r="AI6942">
        <v>112.44459086804299</v>
      </c>
      <c r="AJ6942">
        <v>75.606774795449297</v>
      </c>
      <c r="AK6942">
        <v>0.40832757120744101</v>
      </c>
      <c r="AL6942">
        <v>88.008545455162306</v>
      </c>
      <c r="AM6942">
        <v>90.445400292168202</v>
      </c>
      <c r="AN6942">
        <v>0.99999997576605104</v>
      </c>
    </row>
    <row r="6943" spans="1:40" x14ac:dyDescent="0.25">
      <c r="A6943" t="str">
        <f>"20190312150828739"</f>
        <v>20190312150828739</v>
      </c>
      <c r="B6943" t="str">
        <f>"1552374508736434"</f>
        <v>1552374508736434</v>
      </c>
      <c r="C6943" t="s">
        <v>40</v>
      </c>
      <c r="D6943">
        <v>4.128209</v>
      </c>
      <c r="E6943">
        <v>0.57638909999999999</v>
      </c>
      <c r="F6943" t="s">
        <v>41</v>
      </c>
      <c r="G6943">
        <v>-255.61529999999999</v>
      </c>
      <c r="H6943">
        <v>0.91014709999999999</v>
      </c>
      <c r="I6943">
        <v>141.00360000000001</v>
      </c>
      <c r="J6943">
        <v>-254.8912</v>
      </c>
      <c r="K6943">
        <v>1.1098650000000001</v>
      </c>
      <c r="L6943">
        <v>140.84610000000001</v>
      </c>
      <c r="M6943">
        <v>-0.99972439999999996</v>
      </c>
      <c r="N6943">
        <v>0</v>
      </c>
      <c r="O6943">
        <v>2.1948450000000001E-2</v>
      </c>
      <c r="P6943">
        <v>-0.99955559999999999</v>
      </c>
      <c r="Q6943">
        <v>2.6367990000000001E-2</v>
      </c>
      <c r="R6943">
        <v>1.3901480000000001E-2</v>
      </c>
      <c r="S6943">
        <v>-3.0115509999999999</v>
      </c>
      <c r="T6943">
        <v>-0.68117240000000001</v>
      </c>
      <c r="U6943">
        <v>0.547821</v>
      </c>
      <c r="V6943">
        <v>-8.0529629999999998E-3</v>
      </c>
      <c r="W6943">
        <v>3.4678489999999999E-2</v>
      </c>
      <c r="X6943">
        <v>0.99936610000000003</v>
      </c>
      <c r="Y6943">
        <v>0.15410219999999999</v>
      </c>
      <c r="Z6943">
        <v>1.2213979999999999E-2</v>
      </c>
      <c r="AA6943">
        <v>0.98797939999999995</v>
      </c>
      <c r="AB6943">
        <v>27</v>
      </c>
      <c r="AC6943">
        <v>-0.72409999999999197</v>
      </c>
      <c r="AD6943">
        <v>-0.199717899999999</v>
      </c>
      <c r="AE6943">
        <v>0.157499999999998</v>
      </c>
      <c r="AF6943">
        <v>0.131981798757207</v>
      </c>
      <c r="AG6943">
        <v>-0.199717899999999</v>
      </c>
      <c r="AH6943">
        <v>0.67812520784906505</v>
      </c>
      <c r="AI6943">
        <v>106.12407021023</v>
      </c>
      <c r="AJ6943">
        <v>78.986354518216302</v>
      </c>
      <c r="AK6943">
        <v>0.71913853484842205</v>
      </c>
      <c r="AL6943">
        <v>88.012670470401304</v>
      </c>
      <c r="AM6943">
        <v>90.461683467377</v>
      </c>
      <c r="AN6943">
        <v>1.0000000248554799</v>
      </c>
    </row>
    <row r="6944" spans="1:40" x14ac:dyDescent="0.25">
      <c r="A6944" t="str">
        <f>"20190312150828752"</f>
        <v>20190312150828752</v>
      </c>
      <c r="B6944" t="str">
        <f>"1552374508747170"</f>
        <v>1552374508747170</v>
      </c>
      <c r="C6944" t="s">
        <v>40</v>
      </c>
      <c r="D6944">
        <v>4.1361339999999904</v>
      </c>
      <c r="E6944">
        <v>0.57678649999999998</v>
      </c>
      <c r="F6944" t="s">
        <v>41</v>
      </c>
      <c r="G6944">
        <v>-255.614</v>
      </c>
      <c r="H6944">
        <v>0.90771590000000002</v>
      </c>
      <c r="I6944">
        <v>140.9973</v>
      </c>
      <c r="J6944">
        <v>-255.0488</v>
      </c>
      <c r="K6944">
        <v>1.1098809999999999</v>
      </c>
      <c r="L6944">
        <v>140.8494</v>
      </c>
      <c r="M6944">
        <v>-0.99972720000000004</v>
      </c>
      <c r="N6944">
        <v>0</v>
      </c>
      <c r="O6944">
        <v>2.1813340000000001E-2</v>
      </c>
      <c r="P6944">
        <v>-0.99956449999999997</v>
      </c>
      <c r="Q6944">
        <v>2.6274990000000002E-2</v>
      </c>
      <c r="R6944">
        <v>1.3444009999999999E-2</v>
      </c>
      <c r="S6944">
        <v>-3.0148009999999998</v>
      </c>
      <c r="T6944">
        <v>-0.84315910000000005</v>
      </c>
      <c r="U6944">
        <v>0.62936400000000003</v>
      </c>
      <c r="V6944">
        <v>-8.37655E-3</v>
      </c>
      <c r="W6944">
        <v>3.4606999999999999E-2</v>
      </c>
      <c r="X6944">
        <v>0.99936590000000003</v>
      </c>
      <c r="Y6944">
        <v>0.1772376</v>
      </c>
      <c r="Z6944">
        <v>1.8150429999999999E-2</v>
      </c>
      <c r="AA6944">
        <v>0.98400069999999995</v>
      </c>
      <c r="AB6944">
        <v>27</v>
      </c>
      <c r="AC6944">
        <v>-0.56520000000000403</v>
      </c>
      <c r="AD6944">
        <v>-0.20216509999999899</v>
      </c>
      <c r="AE6944">
        <v>0.14789999999999201</v>
      </c>
      <c r="AF6944">
        <v>0.12104178517501001</v>
      </c>
      <c r="AG6944">
        <v>-0.20216509999999899</v>
      </c>
      <c r="AH6944">
        <v>0.50752066629445902</v>
      </c>
      <c r="AI6944">
        <v>111.179918767423</v>
      </c>
      <c r="AJ6944">
        <v>76.585759544524393</v>
      </c>
      <c r="AK6944">
        <v>0.55955256065211101</v>
      </c>
      <c r="AL6944">
        <v>88.016768969385694</v>
      </c>
      <c r="AM6944">
        <v>90.480234239362204</v>
      </c>
      <c r="AN6944">
        <v>1.0000000065608501</v>
      </c>
    </row>
    <row r="6945" spans="1:40" x14ac:dyDescent="0.25">
      <c r="A6945" t="str">
        <f>"20190312150828770"</f>
        <v>20190312150828770</v>
      </c>
      <c r="B6945" t="str">
        <f>"1552374508766692"</f>
        <v>1552374508766692</v>
      </c>
      <c r="C6945" t="s">
        <v>40</v>
      </c>
      <c r="D6945">
        <v>4.1496050000000002</v>
      </c>
      <c r="E6945">
        <v>0.57791219999999999</v>
      </c>
      <c r="F6945" t="s">
        <v>41</v>
      </c>
      <c r="G6945">
        <v>-255.85079999999999</v>
      </c>
      <c r="H6945">
        <v>0.88514780000000004</v>
      </c>
      <c r="I6945">
        <v>141.01740000000001</v>
      </c>
      <c r="J6945">
        <v>-255.2689</v>
      </c>
      <c r="K6945">
        <v>1.1098980000000001</v>
      </c>
      <c r="L6945">
        <v>140.85399999999899</v>
      </c>
      <c r="M6945">
        <v>-0.9997315</v>
      </c>
      <c r="N6945">
        <v>0</v>
      </c>
      <c r="O6945">
        <v>2.161097E-2</v>
      </c>
      <c r="P6945">
        <v>-0.99959790000000004</v>
      </c>
      <c r="Q6945">
        <v>2.55126E-2</v>
      </c>
      <c r="R6945">
        <v>1.237367E-2</v>
      </c>
      <c r="S6945">
        <v>-3.0150450000000002</v>
      </c>
      <c r="T6945">
        <v>-0.84484939999999997</v>
      </c>
      <c r="U6945">
        <v>0.6312103</v>
      </c>
      <c r="V6945">
        <v>-9.2459789999999997E-3</v>
      </c>
      <c r="W6945">
        <v>3.3872630000000001E-2</v>
      </c>
      <c r="X6945">
        <v>0.99938340000000003</v>
      </c>
      <c r="Y6945">
        <v>0.1779435</v>
      </c>
      <c r="Z6945">
        <v>1.8334110000000001E-2</v>
      </c>
      <c r="AA6945">
        <v>0.98386989999999996</v>
      </c>
      <c r="AB6945">
        <v>27</v>
      </c>
      <c r="AC6945">
        <v>-0.58189999999998998</v>
      </c>
      <c r="AD6945">
        <v>-0.22475019999999901</v>
      </c>
      <c r="AE6945">
        <v>0.163400000000024</v>
      </c>
      <c r="AF6945">
        <v>0.13246890648104001</v>
      </c>
      <c r="AG6945">
        <v>-0.22475019999999901</v>
      </c>
      <c r="AH6945">
        <v>0.51419536019273604</v>
      </c>
      <c r="AI6945">
        <v>112.941506116653</v>
      </c>
      <c r="AJ6945">
        <v>75.553388806499896</v>
      </c>
      <c r="AK6945">
        <v>0.57659130415577697</v>
      </c>
      <c r="AL6945">
        <v>88.058869967725101</v>
      </c>
      <c r="AM6945">
        <v>90.530067299868904</v>
      </c>
      <c r="AN6945">
        <v>1.00000001169317</v>
      </c>
    </row>
    <row r="6946" spans="1:40" x14ac:dyDescent="0.25">
      <c r="A6946" t="str">
        <f>"20190312150828793"</f>
        <v>20190312150828793</v>
      </c>
      <c r="B6946" t="str">
        <f>"1552374508787185"</f>
        <v>1552374508787185</v>
      </c>
      <c r="C6946" t="s">
        <v>40</v>
      </c>
      <c r="D6946">
        <v>3.8820039999999998</v>
      </c>
      <c r="E6946">
        <v>0.57800410000000002</v>
      </c>
      <c r="F6946" t="s">
        <v>41</v>
      </c>
      <c r="G6946">
        <v>-256.09570000000002</v>
      </c>
      <c r="H6946">
        <v>0.8809688</v>
      </c>
      <c r="I6946">
        <v>141.0292</v>
      </c>
      <c r="J6946">
        <v>-255.54409999999999</v>
      </c>
      <c r="K6946">
        <v>1.10991</v>
      </c>
      <c r="L6946">
        <v>140.8597</v>
      </c>
      <c r="M6946">
        <v>-0.99973730000000005</v>
      </c>
      <c r="N6946">
        <v>0</v>
      </c>
      <c r="O6946">
        <v>2.1331599999999999E-2</v>
      </c>
      <c r="P6946">
        <v>-0.99963480000000005</v>
      </c>
      <c r="Q6946">
        <v>2.4615680000000001E-2</v>
      </c>
      <c r="R6946">
        <v>1.116345E-2</v>
      </c>
      <c r="S6946">
        <v>-3.0146030000000001</v>
      </c>
      <c r="T6946">
        <v>-0.83466319999999905</v>
      </c>
      <c r="U6946">
        <v>0.63752749999999903</v>
      </c>
      <c r="V6946">
        <v>-1.017887E-2</v>
      </c>
      <c r="W6946">
        <v>3.3008610000000001E-2</v>
      </c>
      <c r="X6946">
        <v>0.99940320000000005</v>
      </c>
      <c r="Y6946">
        <v>0.18026449999999999</v>
      </c>
      <c r="Z6946">
        <v>1.850692E-2</v>
      </c>
      <c r="AA6946">
        <v>0.98344399999999998</v>
      </c>
      <c r="AB6946">
        <v>28</v>
      </c>
      <c r="AC6946">
        <v>-0.55160000000003595</v>
      </c>
      <c r="AD6946">
        <v>-0.22894120000000001</v>
      </c>
      <c r="AE6946">
        <v>0.16949999999999901</v>
      </c>
      <c r="AF6946">
        <v>0.13624856855886899</v>
      </c>
      <c r="AG6946">
        <v>-0.22894120000000001</v>
      </c>
      <c r="AH6946">
        <v>0.47959984776516501</v>
      </c>
      <c r="AI6946">
        <v>114.6640497997</v>
      </c>
      <c r="AJ6946">
        <v>74.140787189943197</v>
      </c>
      <c r="AK6946">
        <v>0.548628981615217</v>
      </c>
      <c r="AL6946">
        <v>88.108402286612304</v>
      </c>
      <c r="AM6946">
        <v>90.583534379838795</v>
      </c>
      <c r="AN6946">
        <v>0.99999996694942395</v>
      </c>
    </row>
    <row r="6947" spans="1:40" x14ac:dyDescent="0.25">
      <c r="A6947" t="str">
        <f>"20190312150828805"</f>
        <v>20190312150828805</v>
      </c>
      <c r="B6947" t="str">
        <f>"1552374508796946"</f>
        <v>1552374508796946</v>
      </c>
      <c r="C6947" t="s">
        <v>40</v>
      </c>
      <c r="D6947">
        <v>4.1328779999999998</v>
      </c>
      <c r="E6947">
        <v>0.57819709999999902</v>
      </c>
      <c r="F6947" t="s">
        <v>41</v>
      </c>
      <c r="G6947">
        <v>-256.34550000000002</v>
      </c>
      <c r="H6947">
        <v>0.88821830000000002</v>
      </c>
      <c r="I6947">
        <v>141.02850000000001</v>
      </c>
      <c r="J6947">
        <v>-255.70580000000001</v>
      </c>
      <c r="K6947">
        <v>1.1099209999999999</v>
      </c>
      <c r="L6947">
        <v>140.863</v>
      </c>
      <c r="M6947">
        <v>-0.99974079999999999</v>
      </c>
      <c r="N6947">
        <v>0</v>
      </c>
      <c r="O6947">
        <v>2.11574E-2</v>
      </c>
      <c r="P6947">
        <v>-0.99965110000000001</v>
      </c>
      <c r="Q6947">
        <v>2.4265999999999999E-2</v>
      </c>
      <c r="R6947">
        <v>1.0456180000000001E-2</v>
      </c>
      <c r="S6947">
        <v>-3.014526</v>
      </c>
      <c r="T6947">
        <v>-0.83388879999999999</v>
      </c>
      <c r="U6947">
        <v>0.63494869999999903</v>
      </c>
      <c r="V6947">
        <v>-1.071272E-2</v>
      </c>
      <c r="W6947">
        <v>3.2676910000000003E-2</v>
      </c>
      <c r="X6947">
        <v>0.99940850000000003</v>
      </c>
      <c r="Y6947">
        <v>0.1796596</v>
      </c>
      <c r="Z6947">
        <v>1.8457790000000002E-2</v>
      </c>
      <c r="AA6947">
        <v>0.98355570000000003</v>
      </c>
      <c r="AB6947">
        <v>28</v>
      </c>
      <c r="AC6947">
        <v>-0.63970000000000404</v>
      </c>
      <c r="AD6947">
        <v>-0.221702699999999</v>
      </c>
      <c r="AE6947">
        <v>0.165500000000008</v>
      </c>
      <c r="AF6947">
        <v>0.136555046823889</v>
      </c>
      <c r="AG6947">
        <v>-0.221702699999999</v>
      </c>
      <c r="AH6947">
        <v>0.57798977795398199</v>
      </c>
      <c r="AI6947">
        <v>110.470528889025</v>
      </c>
      <c r="AJ6947">
        <v>76.707130352157407</v>
      </c>
      <c r="AK6947">
        <v>0.63393339667480697</v>
      </c>
      <c r="AL6947">
        <v>88.127417516942401</v>
      </c>
      <c r="AM6947">
        <v>90.614133396690605</v>
      </c>
      <c r="AN6947">
        <v>0.99999994634459599</v>
      </c>
    </row>
    <row r="6948" spans="1:40" x14ac:dyDescent="0.25">
      <c r="A6948" t="str">
        <f>"20190312150828817"</f>
        <v>20190312150828817</v>
      </c>
      <c r="B6948" t="str">
        <f>"1552374508806706"</f>
        <v>1552374508806706</v>
      </c>
      <c r="C6948" t="s">
        <v>40</v>
      </c>
      <c r="D6948">
        <v>4.155837</v>
      </c>
      <c r="E6948">
        <v>0.57828349999999995</v>
      </c>
      <c r="F6948" t="s">
        <v>41</v>
      </c>
      <c r="G6948">
        <v>-256.58440000000002</v>
      </c>
      <c r="H6948">
        <v>0.86687219999999998</v>
      </c>
      <c r="I6948">
        <v>141.04810000000001</v>
      </c>
      <c r="J6948">
        <v>-255.86150000000001</v>
      </c>
      <c r="K6948">
        <v>1.1099289999999999</v>
      </c>
      <c r="L6948">
        <v>140.86609999999999</v>
      </c>
      <c r="M6948">
        <v>-0.99974439999999998</v>
      </c>
      <c r="N6948">
        <v>0</v>
      </c>
      <c r="O6948">
        <v>2.097893E-2</v>
      </c>
      <c r="P6948">
        <v>-0.99966160000000004</v>
      </c>
      <c r="Q6948">
        <v>2.4075450000000002E-2</v>
      </c>
      <c r="R6948">
        <v>9.8787130000000008E-3</v>
      </c>
      <c r="S6948">
        <v>-3.0146790000000001</v>
      </c>
      <c r="T6948">
        <v>-0.83408209999999905</v>
      </c>
      <c r="U6948">
        <v>0.63430790000000004</v>
      </c>
      <c r="V6948">
        <v>-1.111261E-2</v>
      </c>
      <c r="W6948">
        <v>3.2505340000000001E-2</v>
      </c>
      <c r="X6948">
        <v>0.99940980000000001</v>
      </c>
      <c r="Y6948">
        <v>0.17961750000000001</v>
      </c>
      <c r="Z6948">
        <v>1.850365E-2</v>
      </c>
      <c r="AA6948">
        <v>0.98356250000000001</v>
      </c>
      <c r="AB6948">
        <v>28</v>
      </c>
      <c r="AC6948">
        <v>-0.72290000000000898</v>
      </c>
      <c r="AD6948">
        <v>-0.24305679999999999</v>
      </c>
      <c r="AE6948">
        <v>0.18200000000001601</v>
      </c>
      <c r="AF6948">
        <v>0.15076600544799601</v>
      </c>
      <c r="AG6948">
        <v>-0.24305679999999999</v>
      </c>
      <c r="AH6948">
        <v>0.65674185557657505</v>
      </c>
      <c r="AI6948">
        <v>109.83498263612999</v>
      </c>
      <c r="AJ6948">
        <v>77.070821218328106</v>
      </c>
      <c r="AK6948">
        <v>0.71632175821424604</v>
      </c>
      <c r="AL6948">
        <v>88.137253112402306</v>
      </c>
      <c r="AM6948">
        <v>90.637055404508004</v>
      </c>
      <c r="AN6948">
        <v>1.0000000177827799</v>
      </c>
    </row>
    <row r="6949" spans="1:40" x14ac:dyDescent="0.25">
      <c r="A6949" t="str">
        <f>"20190312150828831"</f>
        <v>20190312150828831</v>
      </c>
      <c r="B6949" t="str">
        <f>"1552374508827202"</f>
        <v>1552374508827202</v>
      </c>
      <c r="C6949" t="s">
        <v>40</v>
      </c>
      <c r="D6949">
        <v>4.1306390000000004</v>
      </c>
      <c r="E6949">
        <v>0.5782235</v>
      </c>
      <c r="F6949" t="s">
        <v>41</v>
      </c>
      <c r="G6949">
        <v>-256.60039999999998</v>
      </c>
      <c r="H6949">
        <v>0.90646740000000003</v>
      </c>
      <c r="I6949">
        <v>141.02160000000001</v>
      </c>
      <c r="J6949">
        <v>-256.01580000000001</v>
      </c>
      <c r="K6949">
        <v>1.109939</v>
      </c>
      <c r="L6949">
        <v>140.8691</v>
      </c>
      <c r="M6949">
        <v>-0.99974810000000003</v>
      </c>
      <c r="N6949">
        <v>0</v>
      </c>
      <c r="O6949">
        <v>2.0795870000000001E-2</v>
      </c>
      <c r="P6949">
        <v>-0.99967209999999995</v>
      </c>
      <c r="Q6949">
        <v>2.3761890000000001E-2</v>
      </c>
      <c r="R6949">
        <v>9.5589850000000007E-3</v>
      </c>
      <c r="S6949">
        <v>-3.0147400000000002</v>
      </c>
      <c r="T6949">
        <v>-0.83017209999999997</v>
      </c>
      <c r="U6949">
        <v>0.63359069999999995</v>
      </c>
      <c r="V6949">
        <v>-1.124997E-2</v>
      </c>
      <c r="W6949">
        <v>3.2210330000000002E-2</v>
      </c>
      <c r="X6949">
        <v>0.99941780000000002</v>
      </c>
      <c r="Y6949">
        <v>0.1796152</v>
      </c>
      <c r="Z6949">
        <v>1.8468620000000002E-2</v>
      </c>
      <c r="AA6949">
        <v>0.98356350000000003</v>
      </c>
      <c r="AB6949">
        <v>28</v>
      </c>
      <c r="AC6949">
        <v>-0.58459999999996604</v>
      </c>
      <c r="AD6949">
        <v>-0.2034716</v>
      </c>
      <c r="AE6949">
        <v>0.15250000000000299</v>
      </c>
      <c r="AF6949">
        <v>0.126016255165181</v>
      </c>
      <c r="AG6949">
        <v>-0.2034716</v>
      </c>
      <c r="AH6949">
        <v>0.52778267911883703</v>
      </c>
      <c r="AI6949">
        <v>110.55509411120499</v>
      </c>
      <c r="AJ6949">
        <v>76.571168936063202</v>
      </c>
      <c r="AK6949">
        <v>0.579513023969499</v>
      </c>
      <c r="AL6949">
        <v>88.154164768745204</v>
      </c>
      <c r="AM6949">
        <v>90.644924052914305</v>
      </c>
      <c r="AN6949">
        <v>1.00000000307027</v>
      </c>
    </row>
    <row r="6950" spans="1:40" x14ac:dyDescent="0.25">
      <c r="A6950" t="str">
        <f>"20190312150828847"</f>
        <v>20190312150828847</v>
      </c>
      <c r="B6950" t="str">
        <f>"1552374508836961"</f>
        <v>1552374508836961</v>
      </c>
      <c r="C6950" t="s">
        <v>40</v>
      </c>
      <c r="D6950">
        <v>4.1171379999999997</v>
      </c>
      <c r="E6950">
        <v>0.57797719999999997</v>
      </c>
      <c r="F6950" t="s">
        <v>41</v>
      </c>
      <c r="G6950">
        <v>-256.83960000000002</v>
      </c>
      <c r="H6950">
        <v>0.88484549999999995</v>
      </c>
      <c r="I6950">
        <v>141.04220000000001</v>
      </c>
      <c r="J6950">
        <v>-256.2285</v>
      </c>
      <c r="K6950">
        <v>1.1099540000000001</v>
      </c>
      <c r="L6950">
        <v>140.8733</v>
      </c>
      <c r="M6950">
        <v>-0.99975320000000001</v>
      </c>
      <c r="N6950">
        <v>0</v>
      </c>
      <c r="O6950">
        <v>2.0532390000000001E-2</v>
      </c>
      <c r="P6950">
        <v>-0.99969739999999996</v>
      </c>
      <c r="Q6950">
        <v>2.3026720000000001E-2</v>
      </c>
      <c r="R6950">
        <v>8.6504129999999992E-3</v>
      </c>
      <c r="S6950">
        <v>-3.014526</v>
      </c>
      <c r="T6950">
        <v>-0.82368889999999995</v>
      </c>
      <c r="U6950">
        <v>0.63236999999999999</v>
      </c>
      <c r="V6950">
        <v>-1.1895970000000001E-2</v>
      </c>
      <c r="W6950">
        <v>3.1501630000000003E-2</v>
      </c>
      <c r="X6950">
        <v>0.99943289999999996</v>
      </c>
      <c r="Y6950">
        <v>0.17958370000000001</v>
      </c>
      <c r="Z6950">
        <v>1.8397E-2</v>
      </c>
      <c r="AA6950">
        <v>0.98357059999999996</v>
      </c>
      <c r="AB6950">
        <v>28</v>
      </c>
      <c r="AC6950">
        <v>-0.61110000000002096</v>
      </c>
      <c r="AD6950">
        <v>-0.22510849999999999</v>
      </c>
      <c r="AE6950">
        <v>0.16890000000000699</v>
      </c>
      <c r="AF6950">
        <v>0.13881684554381901</v>
      </c>
      <c r="AG6950">
        <v>-0.22510849999999999</v>
      </c>
      <c r="AH6950">
        <v>0.54565231583518004</v>
      </c>
      <c r="AI6950">
        <v>111.79221124521899</v>
      </c>
      <c r="AJ6950">
        <v>75.726445695999701</v>
      </c>
      <c r="AK6950">
        <v>0.60636655840776799</v>
      </c>
      <c r="AL6950">
        <v>88.194790891399606</v>
      </c>
      <c r="AM6950">
        <v>90.681943419086593</v>
      </c>
      <c r="AN6950">
        <v>0.99999999419865304</v>
      </c>
    </row>
    <row r="6951" spans="1:40" x14ac:dyDescent="0.25">
      <c r="A6951" t="str">
        <f>"20190312150828862"</f>
        <v>20190312150828862</v>
      </c>
      <c r="B6951" t="str">
        <f>"1552374508856482"</f>
        <v>1552374508856482</v>
      </c>
      <c r="C6951" t="s">
        <v>40</v>
      </c>
      <c r="D6951">
        <v>4.167135</v>
      </c>
      <c r="E6951">
        <v>0.55735249999999903</v>
      </c>
      <c r="F6951" t="s">
        <v>41</v>
      </c>
      <c r="G6951">
        <v>-257.084</v>
      </c>
      <c r="H6951">
        <v>0.87509869999999901</v>
      </c>
      <c r="I6951">
        <v>141.05170000000001</v>
      </c>
      <c r="J6951">
        <v>-256.41239999999999</v>
      </c>
      <c r="K6951">
        <v>1.1099699999999999</v>
      </c>
      <c r="L6951">
        <v>140.8768</v>
      </c>
      <c r="M6951">
        <v>-0.99975789999999998</v>
      </c>
      <c r="N6951">
        <v>0</v>
      </c>
      <c r="O6951">
        <v>2.029303E-2</v>
      </c>
      <c r="P6951">
        <v>-0.99970950000000003</v>
      </c>
      <c r="Q6951">
        <v>2.2634669999999999E-2</v>
      </c>
      <c r="R6951">
        <v>8.2846949999999999E-3</v>
      </c>
      <c r="S6951">
        <v>-3.014465</v>
      </c>
      <c r="T6951">
        <v>-0.82758889999999996</v>
      </c>
      <c r="U6951">
        <v>0.62792969999999904</v>
      </c>
      <c r="V6951">
        <v>-1.202335E-2</v>
      </c>
      <c r="W6951">
        <v>3.113322E-2</v>
      </c>
      <c r="X6951">
        <v>0.99944290000000002</v>
      </c>
      <c r="Y6951">
        <v>0.178413299999999</v>
      </c>
      <c r="Z6951">
        <v>1.8391689999999999E-2</v>
      </c>
      <c r="AA6951">
        <v>0.98378370000000004</v>
      </c>
      <c r="AB6951">
        <v>28</v>
      </c>
      <c r="AC6951">
        <v>-0.67160000000001197</v>
      </c>
      <c r="AD6951">
        <v>-0.23487130000000001</v>
      </c>
      <c r="AE6951">
        <v>0.17490000000000799</v>
      </c>
      <c r="AF6951">
        <v>0.14466535753498599</v>
      </c>
      <c r="AG6951">
        <v>-0.23487130000000001</v>
      </c>
      <c r="AH6951">
        <v>0.60564335294518601</v>
      </c>
      <c r="AI6951">
        <v>110.66614783388</v>
      </c>
      <c r="AJ6951">
        <v>76.565918434257696</v>
      </c>
      <c r="AK6951">
        <v>0.66550466880488701</v>
      </c>
      <c r="AL6951">
        <v>88.2159095532934</v>
      </c>
      <c r="AM6951">
        <v>90.689237955546304</v>
      </c>
      <c r="AN6951">
        <v>0.99999997434660004</v>
      </c>
    </row>
    <row r="6952" spans="1:40" x14ac:dyDescent="0.25">
      <c r="A6952" t="str">
        <f>"20190312150828876"</f>
        <v>20190312150828876</v>
      </c>
      <c r="B6952" t="str">
        <f>"1552374508867218"</f>
        <v>1552374508867218</v>
      </c>
      <c r="C6952" t="s">
        <v>40</v>
      </c>
      <c r="D6952">
        <v>4.3637379999999997</v>
      </c>
      <c r="E6952">
        <v>0.55735249999999903</v>
      </c>
      <c r="F6952" t="s">
        <v>41</v>
      </c>
      <c r="G6952">
        <v>-257.11110000000002</v>
      </c>
      <c r="H6952">
        <v>0.94106659999999998</v>
      </c>
      <c r="I6952">
        <v>140.98480000000001</v>
      </c>
      <c r="J6952">
        <v>-256.57709999999997</v>
      </c>
      <c r="K6952">
        <v>1.10998</v>
      </c>
      <c r="L6952">
        <v>140.87989999999999</v>
      </c>
      <c r="M6952">
        <v>-0.99976229999999999</v>
      </c>
      <c r="N6952">
        <v>0</v>
      </c>
      <c r="O6952">
        <v>2.006906E-2</v>
      </c>
      <c r="P6952">
        <v>-0.99971989999999999</v>
      </c>
      <c r="Q6952">
        <v>2.2264160000000002E-2</v>
      </c>
      <c r="R6952">
        <v>8.0597310000000005E-3</v>
      </c>
      <c r="S6952">
        <v>-3.0135190000000001</v>
      </c>
      <c r="T6952">
        <v>-0.72855990000000004</v>
      </c>
      <c r="U6952">
        <v>0.46464539999999999</v>
      </c>
      <c r="V6952">
        <v>-1.202539E-2</v>
      </c>
      <c r="W6952">
        <v>3.0783390000000001E-2</v>
      </c>
      <c r="X6952">
        <v>0.9994537</v>
      </c>
      <c r="Y6952">
        <v>0.12944359999999999</v>
      </c>
      <c r="Z6952">
        <v>1.0584059999999999E-2</v>
      </c>
      <c r="AA6952">
        <v>0.99153029999999998</v>
      </c>
      <c r="AB6952">
        <v>28</v>
      </c>
      <c r="AC6952">
        <v>-0.53400000000004799</v>
      </c>
      <c r="AD6952">
        <v>-0.16891339999999999</v>
      </c>
      <c r="AE6952">
        <v>0.104900000000014</v>
      </c>
      <c r="AF6952">
        <v>8.58873129296681E-2</v>
      </c>
      <c r="AG6952">
        <v>-0.16891339999999999</v>
      </c>
      <c r="AH6952">
        <v>0.488897868698632</v>
      </c>
      <c r="AI6952">
        <v>108.792786814968</v>
      </c>
      <c r="AJ6952">
        <v>80.036212918622596</v>
      </c>
      <c r="AK6952">
        <v>0.52433719421752201</v>
      </c>
      <c r="AL6952">
        <v>88.235962928094594</v>
      </c>
      <c r="AM6952">
        <v>90.689347438779706</v>
      </c>
      <c r="AN6952">
        <v>0.99999996277411596</v>
      </c>
    </row>
    <row r="6953" spans="1:40" x14ac:dyDescent="0.25">
      <c r="A6953" t="str">
        <f>"20190312150828895"</f>
        <v>20190312150828895</v>
      </c>
      <c r="B6953" t="str">
        <f>"1552374508887266"</f>
        <v>1552374508887266</v>
      </c>
      <c r="C6953" t="s">
        <v>40</v>
      </c>
      <c r="D6953">
        <v>4.227557</v>
      </c>
      <c r="E6953">
        <v>0.51994929999999995</v>
      </c>
      <c r="F6953" t="s">
        <v>41</v>
      </c>
      <c r="G6953">
        <v>-257.35129999999998</v>
      </c>
      <c r="H6953">
        <v>0.92250900000000002</v>
      </c>
      <c r="I6953">
        <v>140.99930000000001</v>
      </c>
      <c r="J6953">
        <v>-256.80369999999999</v>
      </c>
      <c r="K6953">
        <v>1.109998</v>
      </c>
      <c r="L6953">
        <v>140.88419999999999</v>
      </c>
      <c r="M6953">
        <v>-0.9997684</v>
      </c>
      <c r="N6953">
        <v>0</v>
      </c>
      <c r="O6953">
        <v>1.9751149999999999E-2</v>
      </c>
      <c r="P6953">
        <v>-0.99974499999999999</v>
      </c>
      <c r="Q6953">
        <v>2.1026130000000001E-2</v>
      </c>
      <c r="R6953">
        <v>8.2610129999999993E-3</v>
      </c>
      <c r="S6953">
        <v>-3.0133359999999998</v>
      </c>
      <c r="T6953">
        <v>-0.72963199999999995</v>
      </c>
      <c r="U6953">
        <v>0.46408080000000002</v>
      </c>
      <c r="V6953">
        <v>-1.150634E-2</v>
      </c>
      <c r="W6953">
        <v>2.9573720000000001E-2</v>
      </c>
      <c r="X6953">
        <v>0.99949639999999995</v>
      </c>
      <c r="Y6953">
        <v>0.1295646</v>
      </c>
      <c r="Z6953">
        <v>1.068971E-2</v>
      </c>
      <c r="AA6953">
        <v>0.99151339999999999</v>
      </c>
      <c r="AB6953">
        <v>28</v>
      </c>
      <c r="AC6953">
        <v>-0.54759999999998799</v>
      </c>
      <c r="AD6953">
        <v>-0.18748899999999999</v>
      </c>
      <c r="AE6953">
        <v>0.115100000000012</v>
      </c>
      <c r="AF6953">
        <v>9.3737822057774603E-2</v>
      </c>
      <c r="AG6953">
        <v>-0.18748899999999999</v>
      </c>
      <c r="AH6953">
        <v>0.49427606458833701</v>
      </c>
      <c r="AI6953">
        <v>110.439306223071</v>
      </c>
      <c r="AJ6953">
        <v>79.261571756550893</v>
      </c>
      <c r="AK6953">
        <v>0.536887076050512</v>
      </c>
      <c r="AL6953">
        <v>88.305303612715804</v>
      </c>
      <c r="AM6953">
        <v>90.659567756314104</v>
      </c>
      <c r="AN6953">
        <v>1.00000002719389</v>
      </c>
    </row>
    <row r="6954" spans="1:40" x14ac:dyDescent="0.25">
      <c r="A6954" t="str">
        <f>"20190312150828916"</f>
        <v>20190312150828916</v>
      </c>
      <c r="B6954" t="str">
        <f>"1552374508906785"</f>
        <v>1552374508906785</v>
      </c>
      <c r="C6954" t="s">
        <v>40</v>
      </c>
      <c r="D6954">
        <v>4.2676470000000002</v>
      </c>
      <c r="E6954">
        <v>0.50755039999999996</v>
      </c>
      <c r="F6954" t="s">
        <v>41</v>
      </c>
      <c r="G6954">
        <v>-257.66269999999997</v>
      </c>
      <c r="H6954">
        <v>1.0467759999999999</v>
      </c>
      <c r="I6954">
        <v>140.93520000000001</v>
      </c>
      <c r="J6954">
        <v>-257.08539999999999</v>
      </c>
      <c r="K6954">
        <v>1.110015</v>
      </c>
      <c r="L6954">
        <v>140.88929999999999</v>
      </c>
      <c r="M6954">
        <v>-0.99977609999999995</v>
      </c>
      <c r="N6954">
        <v>0</v>
      </c>
      <c r="O6954">
        <v>1.9339840000000001E-2</v>
      </c>
      <c r="P6954">
        <v>-0.99976359999999997</v>
      </c>
      <c r="Q6954">
        <v>2.0162759999999998E-2</v>
      </c>
      <c r="R6954">
        <v>8.1673259999999904E-3</v>
      </c>
      <c r="S6954">
        <v>-3.0039370000000001</v>
      </c>
      <c r="T6954">
        <v>-0.2211708</v>
      </c>
      <c r="U6954">
        <v>0.17781069999999999</v>
      </c>
      <c r="V6954">
        <v>-1.1190149999999999E-2</v>
      </c>
      <c r="W6954">
        <v>2.874438E-2</v>
      </c>
      <c r="X6954">
        <v>0.99952419999999997</v>
      </c>
      <c r="Y6954">
        <v>3.9716359999999999E-2</v>
      </c>
      <c r="Z6954" s="1">
        <v>3.8295979999999999E-5</v>
      </c>
      <c r="AA6954">
        <v>0.99921099999999996</v>
      </c>
      <c r="AB6954">
        <v>28</v>
      </c>
      <c r="AC6954">
        <v>-0.57729999999997905</v>
      </c>
      <c r="AD6954">
        <v>-6.3239000000000004E-2</v>
      </c>
      <c r="AE6954">
        <v>4.5900000000017302E-2</v>
      </c>
      <c r="AF6954">
        <v>3.4316910878670601E-2</v>
      </c>
      <c r="AG6954">
        <v>-6.3239000000000004E-2</v>
      </c>
      <c r="AH6954">
        <v>0.57126782450814095</v>
      </c>
      <c r="AI6954">
        <v>96.305613406267</v>
      </c>
      <c r="AJ6954">
        <v>86.562288125653595</v>
      </c>
      <c r="AK6954">
        <v>0.57578099031794905</v>
      </c>
      <c r="AL6954">
        <v>88.352841533823806</v>
      </c>
      <c r="AM6954">
        <v>90.641426773090004</v>
      </c>
      <c r="AN6954">
        <v>1.0000000426121201</v>
      </c>
    </row>
    <row r="6955" spans="1:40" x14ac:dyDescent="0.25">
      <c r="A6955" t="str">
        <f>"20190312150828995"</f>
        <v>20190312150828995</v>
      </c>
      <c r="B6955" t="str">
        <f>"1552374508986818"</f>
        <v>1552374508986818</v>
      </c>
      <c r="C6955" t="s">
        <v>40</v>
      </c>
      <c r="D6955">
        <v>4.2966160000000002</v>
      </c>
      <c r="E6955">
        <v>0.50573059999999903</v>
      </c>
      <c r="F6955" t="s">
        <v>77</v>
      </c>
      <c r="G6955">
        <v>-283.21600000000001</v>
      </c>
      <c r="H6955" s="1">
        <v>-5.6833089999999999E-6</v>
      </c>
      <c r="I6955">
        <v>141.59280000000001</v>
      </c>
      <c r="J6955">
        <v>-258.0693</v>
      </c>
      <c r="K6955">
        <v>1.110053</v>
      </c>
      <c r="L6955">
        <v>140.90620000000001</v>
      </c>
      <c r="M6955">
        <v>-0.99980349999999996</v>
      </c>
      <c r="N6955">
        <v>0</v>
      </c>
      <c r="O6955">
        <v>1.781259E-2</v>
      </c>
      <c r="P6955">
        <v>-0.99978089999999997</v>
      </c>
      <c r="Q6955">
        <v>1.8466280000000002E-2</v>
      </c>
      <c r="R6955">
        <v>9.8614080000000003E-3</v>
      </c>
      <c r="S6955">
        <v>-3.0026250000000001</v>
      </c>
      <c r="T6955">
        <v>-0.12755050000000001</v>
      </c>
      <c r="U6955">
        <v>8.0841060000000006E-2</v>
      </c>
      <c r="V6955">
        <v>-7.9704690000000009E-3</v>
      </c>
      <c r="W6955">
        <v>2.7167139999999999E-2</v>
      </c>
      <c r="X6955">
        <v>0.99959909999999996</v>
      </c>
      <c r="Y6955">
        <v>9.110468E-3</v>
      </c>
      <c r="Z6955">
        <v>-5.6276579999999996E-4</v>
      </c>
      <c r="AA6955">
        <v>0.99995829999999997</v>
      </c>
      <c r="AB6955">
        <v>28</v>
      </c>
      <c r="AC6955">
        <v>-25.146699999999999</v>
      </c>
      <c r="AD6955">
        <v>-1.110058683309</v>
      </c>
      <c r="AE6955">
        <v>0.68659999999999799</v>
      </c>
      <c r="AF6955">
        <v>0.238082662138279</v>
      </c>
      <c r="AG6955">
        <v>-1.110058683309</v>
      </c>
      <c r="AH6955">
        <v>25.1060545689115</v>
      </c>
      <c r="AI6955">
        <v>92.531557713902501</v>
      </c>
      <c r="AJ6955">
        <v>89.456675966732803</v>
      </c>
      <c r="AK6955">
        <v>25.131710838133699</v>
      </c>
      <c r="AL6955">
        <v>88.443245957182</v>
      </c>
      <c r="AM6955">
        <v>90.456847706705204</v>
      </c>
      <c r="AN6955">
        <v>0.999999971296334</v>
      </c>
    </row>
    <row r="6956" spans="1:40" x14ac:dyDescent="0.25">
      <c r="A6956" t="str">
        <f>"20190312150829016"</f>
        <v>20190312150829016</v>
      </c>
      <c r="B6956" t="str">
        <f>"1552374509007314"</f>
        <v>1552374509007314</v>
      </c>
      <c r="C6956" t="s">
        <v>40</v>
      </c>
      <c r="D6956">
        <v>4.2732299999999999</v>
      </c>
      <c r="E6956">
        <v>0.50182749999999998</v>
      </c>
      <c r="F6956" t="s">
        <v>77</v>
      </c>
      <c r="G6956">
        <v>-298.3997</v>
      </c>
      <c r="H6956" s="1">
        <v>-8.7851E-6</v>
      </c>
      <c r="I6956">
        <v>141.88339999999999</v>
      </c>
      <c r="J6956">
        <v>-258.33589999999998</v>
      </c>
      <c r="K6956">
        <v>1.11006</v>
      </c>
      <c r="L6956">
        <v>140.91050000000001</v>
      </c>
      <c r="M6956">
        <v>-0.99981059999999999</v>
      </c>
      <c r="N6956">
        <v>0</v>
      </c>
      <c r="O6956">
        <v>1.7388499999999901E-2</v>
      </c>
      <c r="P6956">
        <v>-0.99977939999999998</v>
      </c>
      <c r="Q6956">
        <v>1.788764E-2</v>
      </c>
      <c r="R6956">
        <v>1.1024529999999999E-2</v>
      </c>
      <c r="S6956">
        <v>-3.0014340000000002</v>
      </c>
      <c r="T6956">
        <v>-8.2612160000000004E-2</v>
      </c>
      <c r="U6956">
        <v>7.2723389999999999E-2</v>
      </c>
      <c r="V6956">
        <v>-6.3828460000000002E-3</v>
      </c>
      <c r="W6956">
        <v>2.6623270000000001E-2</v>
      </c>
      <c r="X6956">
        <v>0.99962510000000004</v>
      </c>
      <c r="Y6956">
        <v>6.8387049999999996E-3</v>
      </c>
      <c r="Z6956">
        <v>-3.8433569999999999E-4</v>
      </c>
      <c r="AA6956">
        <v>0.99997650000000005</v>
      </c>
      <c r="AB6956">
        <v>28</v>
      </c>
      <c r="AC6956">
        <v>-40.063800000000001</v>
      </c>
      <c r="AD6956">
        <v>-1.1100687851</v>
      </c>
      <c r="AE6956">
        <v>0.972899999999981</v>
      </c>
      <c r="AF6956">
        <v>0.27586523450075701</v>
      </c>
      <c r="AG6956">
        <v>-1.1100687851</v>
      </c>
      <c r="AH6956">
        <v>40.043936260846799</v>
      </c>
      <c r="AI6956">
        <v>91.587867468580797</v>
      </c>
      <c r="AJ6956">
        <v>89.605291959559196</v>
      </c>
      <c r="AK6956">
        <v>40.060269414945502</v>
      </c>
      <c r="AL6956">
        <v>88.474418642610601</v>
      </c>
      <c r="AM6956">
        <v>90.365842321331996</v>
      </c>
      <c r="AN6956">
        <v>0.99999993988927904</v>
      </c>
    </row>
    <row r="6957" spans="1:40" x14ac:dyDescent="0.25">
      <c r="A6957" t="str">
        <f>"20190312150829028"</f>
        <v>20190312150829028</v>
      </c>
      <c r="B6957" t="str">
        <f>"1552374509026833"</f>
        <v>1552374509026833</v>
      </c>
      <c r="C6957" t="s">
        <v>40</v>
      </c>
      <c r="D6957">
        <v>4.2320460000000004</v>
      </c>
      <c r="E6957">
        <v>0.49987110000000001</v>
      </c>
      <c r="F6957" t="s">
        <v>77</v>
      </c>
      <c r="G6957">
        <v>-318.89749999999998</v>
      </c>
      <c r="H6957" s="1">
        <v>-6.4421679999999999E-6</v>
      </c>
      <c r="I6957">
        <v>141.83240000000001</v>
      </c>
      <c r="J6957">
        <v>-258.49590000000001</v>
      </c>
      <c r="K6957">
        <v>1.110058</v>
      </c>
      <c r="L6957">
        <v>140.91299999999899</v>
      </c>
      <c r="M6957">
        <v>-0.99981489999999995</v>
      </c>
      <c r="N6957">
        <v>0</v>
      </c>
      <c r="O6957">
        <v>1.71334E-2</v>
      </c>
      <c r="P6957">
        <v>-0.99977470000000002</v>
      </c>
      <c r="Q6957">
        <v>1.7511800000000001E-2</v>
      </c>
      <c r="R6957">
        <v>1.2015649999999999E-2</v>
      </c>
      <c r="S6957">
        <v>-3.0011290000000002</v>
      </c>
      <c r="T6957">
        <v>-5.5009370000000002E-2</v>
      </c>
      <c r="U6957">
        <v>4.5684809999999999E-2</v>
      </c>
      <c r="V6957">
        <v>-5.1364269999999998E-3</v>
      </c>
      <c r="W6957">
        <v>2.62691E-2</v>
      </c>
      <c r="X6957">
        <v>0.99964169999999997</v>
      </c>
      <c r="Y6957">
        <v>-1.910332E-3</v>
      </c>
      <c r="Z6957">
        <v>-3.3149870000000003E-4</v>
      </c>
      <c r="AA6957">
        <v>0.9999981</v>
      </c>
      <c r="AB6957">
        <v>28</v>
      </c>
      <c r="AC6957">
        <v>-60.401599999999902</v>
      </c>
      <c r="AD6957">
        <v>-1.1100644421679999</v>
      </c>
      <c r="AE6957">
        <v>0.91940000000002398</v>
      </c>
      <c r="AF6957">
        <v>-0.11562034283580901</v>
      </c>
      <c r="AG6957">
        <v>-1.1100644421679999</v>
      </c>
      <c r="AH6957">
        <v>60.388094625149101</v>
      </c>
      <c r="AI6957">
        <v>91.053100433744206</v>
      </c>
      <c r="AJ6957">
        <v>90.109699595868506</v>
      </c>
      <c r="AK6957">
        <v>60.398407127882102</v>
      </c>
      <c r="AL6957">
        <v>88.494718263264701</v>
      </c>
      <c r="AM6957">
        <v>90.294398481916502</v>
      </c>
      <c r="AN6957">
        <v>0.99999998843801297</v>
      </c>
    </row>
    <row r="6958" spans="1:40" x14ac:dyDescent="0.25">
      <c r="A6958" t="str">
        <f>"20190312150829042"</f>
        <v>20190312150829042</v>
      </c>
      <c r="B6958" t="str">
        <f>"1552374509036594"</f>
        <v>1552374509036594</v>
      </c>
      <c r="C6958" t="s">
        <v>40</v>
      </c>
      <c r="D6958">
        <v>4.2081140000000001</v>
      </c>
      <c r="E6958">
        <v>0.49922879999999997</v>
      </c>
      <c r="F6958" t="s">
        <v>42</v>
      </c>
      <c r="G6958">
        <v>-344.91989999999998</v>
      </c>
      <c r="H6958" s="1">
        <v>-2.7617850000000002E-6</v>
      </c>
      <c r="I6958">
        <v>141.87180000000001</v>
      </c>
      <c r="J6958">
        <v>-258.6635</v>
      </c>
      <c r="K6958">
        <v>1.110061</v>
      </c>
      <c r="L6958">
        <v>140.91569999999999</v>
      </c>
      <c r="M6958">
        <v>-0.99981929999999997</v>
      </c>
      <c r="N6958">
        <v>0</v>
      </c>
      <c r="O6958">
        <v>1.6866679999999998E-2</v>
      </c>
      <c r="P6958">
        <v>-0.99977579999999999</v>
      </c>
      <c r="Q6958">
        <v>1.7333629999999999E-2</v>
      </c>
      <c r="R6958">
        <v>1.2174229999999999E-2</v>
      </c>
      <c r="S6958">
        <v>-3.0009459999999999</v>
      </c>
      <c r="T6958">
        <v>-3.8545250000000003E-2</v>
      </c>
      <c r="U6958">
        <v>3.329468E-2</v>
      </c>
      <c r="V6958">
        <v>-4.7112600000000001E-3</v>
      </c>
      <c r="W6958">
        <v>2.6113230000000001E-2</v>
      </c>
      <c r="X6958">
        <v>0.99964790000000003</v>
      </c>
      <c r="Y6958">
        <v>-5.7719549999999996E-3</v>
      </c>
      <c r="Z6958">
        <v>-2.5368759999999999E-4</v>
      </c>
      <c r="AA6958">
        <v>0.99998330000000002</v>
      </c>
      <c r="AB6958">
        <v>28</v>
      </c>
      <c r="AC6958">
        <v>-86.2563999999999</v>
      </c>
      <c r="AD6958">
        <v>-1.110063761785</v>
      </c>
      <c r="AE6958">
        <v>0.95610000000002004</v>
      </c>
      <c r="AF6958">
        <v>-0.49886843216256499</v>
      </c>
      <c r="AG6958">
        <v>-1.110063761785</v>
      </c>
      <c r="AH6958">
        <v>86.245973398117002</v>
      </c>
      <c r="AI6958">
        <v>90.737395503792399</v>
      </c>
      <c r="AJ6958">
        <v>90.331409523277003</v>
      </c>
      <c r="AK6958">
        <v>86.254559523868295</v>
      </c>
      <c r="AL6958">
        <v>88.503652054047294</v>
      </c>
      <c r="AM6958">
        <v>90.270028392646495</v>
      </c>
      <c r="AN6958">
        <v>1.0000000103631099</v>
      </c>
    </row>
    <row r="6959" spans="1:40" x14ac:dyDescent="0.25">
      <c r="A6959" t="str">
        <f>"20190312150829060"</f>
        <v>20190312150829060</v>
      </c>
      <c r="B6959" t="str">
        <f>"1552374509057090"</f>
        <v>1552374509057090</v>
      </c>
      <c r="C6959" t="s">
        <v>40</v>
      </c>
      <c r="D6959">
        <v>4.1890980000000004</v>
      </c>
      <c r="E6959">
        <v>0.49810690000000002</v>
      </c>
      <c r="F6959" t="s">
        <v>42</v>
      </c>
      <c r="G6959">
        <v>-358.42140000000001</v>
      </c>
      <c r="H6959" s="1">
        <v>-1.2596599999999999E-6</v>
      </c>
      <c r="I6959">
        <v>141.8717</v>
      </c>
      <c r="J6959">
        <v>-258.8854</v>
      </c>
      <c r="K6959">
        <v>1.1100570000000001</v>
      </c>
      <c r="L6959">
        <v>140.91899999999899</v>
      </c>
      <c r="M6959">
        <v>-0.99982479999999996</v>
      </c>
      <c r="N6959">
        <v>0</v>
      </c>
      <c r="O6959">
        <v>1.6514250000000001E-2</v>
      </c>
      <c r="P6959">
        <v>-0.99977240000000001</v>
      </c>
      <c r="Q6959">
        <v>1.6951049999999999E-2</v>
      </c>
      <c r="R6959">
        <v>1.295581E-2</v>
      </c>
      <c r="S6959">
        <v>-3.0008539999999999</v>
      </c>
      <c r="T6959">
        <v>-3.3392190000000002E-2</v>
      </c>
      <c r="U6959">
        <v>2.8762820000000001E-2</v>
      </c>
      <c r="V6959">
        <v>-3.5772930000000001E-3</v>
      </c>
      <c r="W6959">
        <v>2.576287E-2</v>
      </c>
      <c r="X6959">
        <v>0.99966169999999999</v>
      </c>
      <c r="Y6959">
        <v>-6.9295590000000001E-3</v>
      </c>
      <c r="Z6959">
        <v>-2.2230319999999999E-4</v>
      </c>
      <c r="AA6959">
        <v>0.99997599999999998</v>
      </c>
      <c r="AB6959">
        <v>28</v>
      </c>
      <c r="AC6959">
        <v>-99.536000000000001</v>
      </c>
      <c r="AD6959">
        <v>-1.1100582596599999</v>
      </c>
      <c r="AE6959">
        <v>0.95270000000002097</v>
      </c>
      <c r="AF6959">
        <v>-0.69117018314617495</v>
      </c>
      <c r="AG6959">
        <v>-1.1100582596599999</v>
      </c>
      <c r="AH6959">
        <v>99.525781675119006</v>
      </c>
      <c r="AI6959">
        <v>90.639005106292799</v>
      </c>
      <c r="AJ6959">
        <v>90.397891854193901</v>
      </c>
      <c r="AK6959">
        <v>99.534371769782894</v>
      </c>
      <c r="AL6959">
        <v>88.5237329714016</v>
      </c>
      <c r="AM6959">
        <v>90.205032278507403</v>
      </c>
      <c r="AN6959">
        <v>1.00000001847136</v>
      </c>
    </row>
    <row r="6960" spans="1:40" x14ac:dyDescent="0.25">
      <c r="A6960" t="str">
        <f>"20190312150829073"</f>
        <v>20190312150829073</v>
      </c>
      <c r="B6960" t="str">
        <f>"1552374509066850"</f>
        <v>1552374509066850</v>
      </c>
      <c r="C6960" t="s">
        <v>40</v>
      </c>
      <c r="D6960">
        <v>4.2325730000000004</v>
      </c>
      <c r="E6960">
        <v>0.49764720000000001</v>
      </c>
      <c r="F6960" t="s">
        <v>42</v>
      </c>
      <c r="G6960">
        <v>-391.94600000000003</v>
      </c>
      <c r="H6960" s="1">
        <v>-4.0211980000000001E-6</v>
      </c>
      <c r="I6960">
        <v>141.91290000000001</v>
      </c>
      <c r="J6960">
        <v>-259.05099999999999</v>
      </c>
      <c r="K6960">
        <v>1.1100589999999999</v>
      </c>
      <c r="L6960">
        <v>140.92150000000001</v>
      </c>
      <c r="M6960">
        <v>-0.99982890000000002</v>
      </c>
      <c r="N6960">
        <v>0</v>
      </c>
      <c r="O6960">
        <v>1.6251640000000001E-2</v>
      </c>
      <c r="P6960">
        <v>-0.99977819999999995</v>
      </c>
      <c r="Q6960">
        <v>1.6631880000000002E-2</v>
      </c>
      <c r="R6960">
        <v>1.2918890000000001E-2</v>
      </c>
      <c r="S6960">
        <v>-3.0007929999999998</v>
      </c>
      <c r="T6960">
        <v>-2.5034190000000001E-2</v>
      </c>
      <c r="U6960">
        <v>2.241516E-2</v>
      </c>
      <c r="V6960">
        <v>-3.3513739999999998E-3</v>
      </c>
      <c r="W6960">
        <v>2.5466849999999999E-2</v>
      </c>
      <c r="X6960">
        <v>0.99966999999999995</v>
      </c>
      <c r="Y6960">
        <v>-8.7823999999999992E-3</v>
      </c>
      <c r="Z6960">
        <v>-1.722068E-4</v>
      </c>
      <c r="AA6960">
        <v>0.9999614</v>
      </c>
      <c r="AB6960">
        <v>28</v>
      </c>
      <c r="AC6960">
        <v>-132.89499999999899</v>
      </c>
      <c r="AD6960">
        <v>-1.1100630211979901</v>
      </c>
      <c r="AE6960">
        <v>0.99139999999999795</v>
      </c>
      <c r="AF6960">
        <v>-1.1684954106936101</v>
      </c>
      <c r="AG6960">
        <v>-1.1100630211979901</v>
      </c>
      <c r="AH6960">
        <v>132.884289122154</v>
      </c>
      <c r="AI6960">
        <v>90.478596744060198</v>
      </c>
      <c r="AJ6960">
        <v>90.5038077138788</v>
      </c>
      <c r="AK6960">
        <v>132.89406276029101</v>
      </c>
      <c r="AL6960">
        <v>88.540699135505406</v>
      </c>
      <c r="AM6960">
        <v>90.192082253541003</v>
      </c>
      <c r="AN6960">
        <v>0.99999995052830304</v>
      </c>
    </row>
    <row r="6961" spans="1:40" x14ac:dyDescent="0.25">
      <c r="A6961" t="str">
        <f>"20190312150829086"</f>
        <v>20190312150829086</v>
      </c>
      <c r="B6961" t="str">
        <f>"1552374509076610"</f>
        <v>1552374509076610</v>
      </c>
      <c r="C6961" t="s">
        <v>40</v>
      </c>
      <c r="D6961">
        <v>4.1941420000000003</v>
      </c>
      <c r="E6961">
        <v>0.49704809999999999</v>
      </c>
      <c r="F6961" t="s">
        <v>77</v>
      </c>
      <c r="G6961">
        <v>-417.73919999999998</v>
      </c>
      <c r="H6961" s="1">
        <v>-1.07999499999999E-5</v>
      </c>
      <c r="I6961">
        <v>141.91239999999999</v>
      </c>
      <c r="J6961">
        <v>-259.21730000000002</v>
      </c>
      <c r="K6961">
        <v>1.110063</v>
      </c>
      <c r="L6961">
        <v>140.92400000000001</v>
      </c>
      <c r="M6961">
        <v>-0.99983299999999997</v>
      </c>
      <c r="N6961">
        <v>0</v>
      </c>
      <c r="O6961">
        <v>1.598801E-2</v>
      </c>
      <c r="P6961">
        <v>-0.99978239999999996</v>
      </c>
      <c r="Q6961">
        <v>1.6471759999999998E-2</v>
      </c>
      <c r="R6961">
        <v>1.281468E-2</v>
      </c>
      <c r="S6961">
        <v>-3.0007630000000001</v>
      </c>
      <c r="T6961">
        <v>-2.099121E-2</v>
      </c>
      <c r="U6961">
        <v>1.8737790000000001E-2</v>
      </c>
      <c r="V6961">
        <v>-3.1921739999999999E-3</v>
      </c>
      <c r="W6961">
        <v>2.5330519999999999E-2</v>
      </c>
      <c r="X6961">
        <v>0.99967399999999995</v>
      </c>
      <c r="Y6961">
        <v>-9.7442729999999995E-3</v>
      </c>
      <c r="Z6961">
        <v>-1.45919E-4</v>
      </c>
      <c r="AA6961">
        <v>0.99995250000000002</v>
      </c>
      <c r="AB6961">
        <v>28</v>
      </c>
      <c r="AC6961">
        <v>-158.52189999999899</v>
      </c>
      <c r="AD6961">
        <v>-1.1100737999500001</v>
      </c>
      <c r="AE6961">
        <v>0.98839999999998396</v>
      </c>
      <c r="AF6961">
        <v>-1.5461995478471999</v>
      </c>
      <c r="AG6961">
        <v>-1.1100737999500001</v>
      </c>
      <c r="AH6961">
        <v>158.50966732255301</v>
      </c>
      <c r="AI6961">
        <v>90.401227757263698</v>
      </c>
      <c r="AJ6961">
        <v>90.558880099628794</v>
      </c>
      <c r="AK6961">
        <v>158.52109522580801</v>
      </c>
      <c r="AL6961">
        <v>88.548512812288195</v>
      </c>
      <c r="AM6961">
        <v>90.182957120048698</v>
      </c>
      <c r="AN6961">
        <v>0.99999996574715699</v>
      </c>
    </row>
    <row r="6962" spans="1:40" x14ac:dyDescent="0.25">
      <c r="A6962" t="str">
        <f>"20190312150829106"</f>
        <v>20190312150829106</v>
      </c>
      <c r="B6962" t="str">
        <f>"1552374509097105"</f>
        <v>1552374509097105</v>
      </c>
      <c r="C6962" t="s">
        <v>40</v>
      </c>
      <c r="D6962">
        <v>4.2228879999999904</v>
      </c>
      <c r="E6962">
        <v>0.4962917</v>
      </c>
      <c r="F6962" t="s">
        <v>42</v>
      </c>
      <c r="G6962">
        <v>-441.4418</v>
      </c>
      <c r="H6962" s="1">
        <v>-3.1516009999999998E-6</v>
      </c>
      <c r="I6962">
        <v>141.7559</v>
      </c>
      <c r="J6962">
        <v>-259.47730000000001</v>
      </c>
      <c r="K6962">
        <v>1.1100730000000001</v>
      </c>
      <c r="L6962">
        <v>140.92769999999999</v>
      </c>
      <c r="M6962">
        <v>-0.99983920000000004</v>
      </c>
      <c r="N6962">
        <v>0</v>
      </c>
      <c r="O6962">
        <v>1.557673E-2</v>
      </c>
      <c r="P6962">
        <v>-0.99979280000000004</v>
      </c>
      <c r="Q6962">
        <v>1.6155659999999999E-2</v>
      </c>
      <c r="R6962">
        <v>1.24075E-2</v>
      </c>
      <c r="S6962">
        <v>-3.0008240000000002</v>
      </c>
      <c r="T6962">
        <v>-1.8280270000000001E-2</v>
      </c>
      <c r="U6962">
        <v>1.370239E-2</v>
      </c>
      <c r="V6962">
        <v>-3.1879059999999999E-3</v>
      </c>
      <c r="W6962">
        <v>2.505023E-2</v>
      </c>
      <c r="X6962">
        <v>0.99968109999999999</v>
      </c>
      <c r="Y6962">
        <v>-1.1011079999999999E-2</v>
      </c>
      <c r="Z6962">
        <v>-1.2842609999999999E-4</v>
      </c>
      <c r="AA6962">
        <v>0.99993940000000003</v>
      </c>
      <c r="AB6962">
        <v>28</v>
      </c>
      <c r="AC6962">
        <v>-181.96449999999999</v>
      </c>
      <c r="AD6962">
        <v>-1.11007615160099</v>
      </c>
      <c r="AE6962">
        <v>0.82820000000000904</v>
      </c>
      <c r="AF6962">
        <v>-2.0063495882060001</v>
      </c>
      <c r="AG6962">
        <v>-1.11007615160099</v>
      </c>
      <c r="AH6962">
        <v>181.94855134423699</v>
      </c>
      <c r="AI6962">
        <v>90.3495384955107</v>
      </c>
      <c r="AJ6962">
        <v>90.631775871734206</v>
      </c>
      <c r="AK6962">
        <v>181.96299910695799</v>
      </c>
      <c r="AL6962">
        <v>88.564577378372903</v>
      </c>
      <c r="AM6962">
        <v>90.182711206743306</v>
      </c>
      <c r="AN6962">
        <v>0.99999998923246303</v>
      </c>
    </row>
    <row r="6963" spans="1:40" x14ac:dyDescent="0.25">
      <c r="A6963" t="str">
        <f>"20190312150829129"</f>
        <v>20190312150829129</v>
      </c>
      <c r="B6963" t="str">
        <f>"1552374509116626"</f>
        <v>1552374509116626</v>
      </c>
      <c r="C6963" t="s">
        <v>40</v>
      </c>
      <c r="D6963">
        <v>4.1684020000000004</v>
      </c>
      <c r="E6963">
        <v>0.4957145</v>
      </c>
      <c r="F6963" t="s">
        <v>73</v>
      </c>
      <c r="G6963">
        <v>-499.9588</v>
      </c>
      <c r="H6963">
        <v>5.0985839999999998E-2</v>
      </c>
      <c r="I6963">
        <v>141.44739999999999</v>
      </c>
      <c r="J6963">
        <v>-259.76080000000002</v>
      </c>
      <c r="K6963">
        <v>1.1100779999999999</v>
      </c>
      <c r="L6963">
        <v>140.9316</v>
      </c>
      <c r="M6963">
        <v>-0.99984569999999995</v>
      </c>
      <c r="N6963">
        <v>0</v>
      </c>
      <c r="O6963">
        <v>1.5129190000000001E-2</v>
      </c>
      <c r="P6963">
        <v>-0.99980469999999999</v>
      </c>
      <c r="Q6963">
        <v>1.6116060000000001E-2</v>
      </c>
      <c r="R6963">
        <v>1.145351E-2</v>
      </c>
      <c r="S6963">
        <v>-3.0007320000000002</v>
      </c>
      <c r="T6963">
        <v>-1.3215299999999999E-2</v>
      </c>
      <c r="U6963">
        <v>6.4849850000000004E-3</v>
      </c>
      <c r="V6963">
        <v>-3.6941460000000001E-3</v>
      </c>
      <c r="W6963">
        <v>2.5052140000000001E-2</v>
      </c>
      <c r="X6963">
        <v>0.99967930000000005</v>
      </c>
      <c r="Y6963">
        <v>-1.29686E-2</v>
      </c>
      <c r="Z6963" s="1">
        <v>-9.5186279999999999E-5</v>
      </c>
      <c r="AA6963">
        <v>0.99991589999999997</v>
      </c>
      <c r="AB6963">
        <v>28</v>
      </c>
      <c r="AC6963">
        <v>-240.19800000000001</v>
      </c>
      <c r="AD6963">
        <v>-1.0590921600000001</v>
      </c>
      <c r="AE6963">
        <v>0.51579999999998405</v>
      </c>
      <c r="AF6963">
        <v>-3.1183443883500401</v>
      </c>
      <c r="AG6963">
        <v>-1.0590921600000001</v>
      </c>
      <c r="AH6963">
        <v>240.17364113267701</v>
      </c>
      <c r="AI6963">
        <v>90.252633899702602</v>
      </c>
      <c r="AJ6963">
        <v>90.743869864082399</v>
      </c>
      <c r="AK6963">
        <v>240.19621904363001</v>
      </c>
      <c r="AL6963">
        <v>88.564467895306194</v>
      </c>
      <c r="AM6963">
        <v>90.211725911778501</v>
      </c>
      <c r="AN6963">
        <v>0.99999997964086895</v>
      </c>
    </row>
    <row r="6964" spans="1:40" x14ac:dyDescent="0.25">
      <c r="A6964" t="str">
        <f>"20190312150829148"</f>
        <v>20190312150829148</v>
      </c>
      <c r="B6964" t="str">
        <f>"1552374509137122"</f>
        <v>1552374509137122</v>
      </c>
      <c r="C6964" t="s">
        <v>40</v>
      </c>
      <c r="D6964">
        <v>4.2173540000000003</v>
      </c>
      <c r="E6964">
        <v>0.49511440000000001</v>
      </c>
      <c r="F6964" t="s">
        <v>48</v>
      </c>
      <c r="G6964">
        <v>0</v>
      </c>
      <c r="H6964">
        <v>0</v>
      </c>
      <c r="I6964">
        <v>0</v>
      </c>
      <c r="J6964">
        <v>-260.01639999999998</v>
      </c>
      <c r="K6964">
        <v>1.1100829999999999</v>
      </c>
      <c r="L6964">
        <v>140.93510000000001</v>
      </c>
      <c r="M6964">
        <v>-0.9998513</v>
      </c>
      <c r="N6964">
        <v>0</v>
      </c>
      <c r="O6964">
        <v>1.472642E-2</v>
      </c>
      <c r="P6964">
        <v>-0.99981679999999995</v>
      </c>
      <c r="Q6964">
        <v>1.5984459999999999E-2</v>
      </c>
      <c r="R6964">
        <v>1.055298E-2</v>
      </c>
      <c r="S6964">
        <v>-3.0007320000000002</v>
      </c>
      <c r="T6964">
        <v>-7.7148679999999997E-3</v>
      </c>
      <c r="U6964">
        <v>-9.4604490000000003E-4</v>
      </c>
      <c r="V6964">
        <v>-4.1922900000000004E-3</v>
      </c>
      <c r="W6964">
        <v>2.4958230000000001E-2</v>
      </c>
      <c r="X6964">
        <v>0.99967969999999895</v>
      </c>
      <c r="Y6964">
        <v>-1.5042150000000001E-2</v>
      </c>
      <c r="Z6964" s="1">
        <v>-5.719863E-5</v>
      </c>
      <c r="AA6964">
        <v>0.99988690000000002</v>
      </c>
      <c r="AB6964">
        <v>28</v>
      </c>
      <c r="AC6964">
        <v>-3.0007320000000002</v>
      </c>
      <c r="AD6964">
        <v>-7.7148679999999997E-3</v>
      </c>
      <c r="AE6964">
        <v>-9.4604490000000003E-4</v>
      </c>
      <c r="AF6964">
        <v>-4.51374626703211E-2</v>
      </c>
      <c r="AG6964">
        <v>-7.7148679999999997E-3</v>
      </c>
      <c r="AH6964">
        <v>3.0003728106840901</v>
      </c>
      <c r="AI6964">
        <v>90.147307824156897</v>
      </c>
      <c r="AJ6964">
        <v>90.861889903791706</v>
      </c>
      <c r="AK6964">
        <v>3.00072223186634</v>
      </c>
      <c r="AL6964">
        <v>88.569850247790995</v>
      </c>
      <c r="AM6964">
        <v>90.240276075836505</v>
      </c>
      <c r="AN6964">
        <v>0.99999999556613295</v>
      </c>
    </row>
    <row r="6965" spans="1:40" x14ac:dyDescent="0.25">
      <c r="A6965" t="str">
        <f>"20190312150829162"</f>
        <v>20190312150829162</v>
      </c>
      <c r="B6965" t="str">
        <f>"1552374509156642"</f>
        <v>1552374509156642</v>
      </c>
      <c r="C6965" t="s">
        <v>40</v>
      </c>
      <c r="D6965">
        <v>4.2081179999999998</v>
      </c>
      <c r="E6965">
        <v>0.4946448</v>
      </c>
      <c r="F6965" t="s">
        <v>48</v>
      </c>
      <c r="G6965">
        <v>0</v>
      </c>
      <c r="H6965">
        <v>0</v>
      </c>
      <c r="I6965">
        <v>0</v>
      </c>
      <c r="J6965">
        <v>-260.19099999999997</v>
      </c>
      <c r="K6965">
        <v>1.110085</v>
      </c>
      <c r="L6965">
        <v>140.9374</v>
      </c>
      <c r="M6965">
        <v>-0.99985500000000005</v>
      </c>
      <c r="N6965">
        <v>0</v>
      </c>
      <c r="O6965">
        <v>1.445133E-2</v>
      </c>
      <c r="P6965">
        <v>-0.99982819999999994</v>
      </c>
      <c r="Q6965">
        <v>1.5723839999999999E-2</v>
      </c>
      <c r="R6965">
        <v>9.8078290000000005E-3</v>
      </c>
      <c r="S6965">
        <v>-3.0007320000000002</v>
      </c>
      <c r="T6965">
        <v>-4.182458E-3</v>
      </c>
      <c r="U6965">
        <v>-8.285522E-3</v>
      </c>
      <c r="V6965">
        <v>-4.662327E-3</v>
      </c>
      <c r="W6965">
        <v>2.4723700000000001E-2</v>
      </c>
      <c r="X6965">
        <v>0.9996834</v>
      </c>
      <c r="Y6965">
        <v>-1.7212700000000001E-2</v>
      </c>
      <c r="Z6965" s="1">
        <v>-3.2138399999999997E-5</v>
      </c>
      <c r="AA6965">
        <v>0.99985179999999996</v>
      </c>
      <c r="AB6965">
        <v>28</v>
      </c>
      <c r="AC6965">
        <v>-3.0007320000000002</v>
      </c>
      <c r="AD6965">
        <v>-4.182458E-3</v>
      </c>
      <c r="AE6965">
        <v>-8.285522E-3</v>
      </c>
      <c r="AF6965">
        <v>-5.1650884102995398E-2</v>
      </c>
      <c r="AG6965">
        <v>-4.182458E-3</v>
      </c>
      <c r="AH6965">
        <v>3.0002930500306602</v>
      </c>
      <c r="AI6965">
        <v>90.079859377063201</v>
      </c>
      <c r="AJ6965">
        <v>90.986265447081493</v>
      </c>
      <c r="AK6965">
        <v>3.0007405240783198</v>
      </c>
      <c r="AL6965">
        <v>88.583291909590301</v>
      </c>
      <c r="AM6965">
        <v>90.267214323090599</v>
      </c>
      <c r="AN6965">
        <v>0.99999994943515103</v>
      </c>
    </row>
    <row r="6966" spans="1:40" x14ac:dyDescent="0.25">
      <c r="A6966" t="str">
        <f>"20190312150829174"</f>
        <v>20190312150829174</v>
      </c>
      <c r="B6966" t="str">
        <f>"1552374509167378"</f>
        <v>1552374509167378</v>
      </c>
      <c r="C6966" t="s">
        <v>40</v>
      </c>
      <c r="D6966">
        <v>4.2315659999999999</v>
      </c>
      <c r="E6966">
        <v>0.49435849999999998</v>
      </c>
      <c r="F6966" t="s">
        <v>48</v>
      </c>
      <c r="G6966">
        <v>0</v>
      </c>
      <c r="H6966">
        <v>0</v>
      </c>
      <c r="I6966">
        <v>0</v>
      </c>
      <c r="J6966">
        <v>-260.3383</v>
      </c>
      <c r="K6966">
        <v>1.110088</v>
      </c>
      <c r="L6966">
        <v>140.9392</v>
      </c>
      <c r="M6966">
        <v>-0.99985829999999998</v>
      </c>
      <c r="N6966">
        <v>0</v>
      </c>
      <c r="O6966">
        <v>1.4219239999999999E-2</v>
      </c>
      <c r="P6966">
        <v>-0.99983770000000005</v>
      </c>
      <c r="Q6966">
        <v>1.5517690000000001E-2</v>
      </c>
      <c r="R6966">
        <v>9.1661889999999999E-3</v>
      </c>
      <c r="S6966">
        <v>-3.0007630000000001</v>
      </c>
      <c r="T6966">
        <v>-5.8633089999999997E-3</v>
      </c>
      <c r="U6966">
        <v>-1.434326E-2</v>
      </c>
      <c r="V6966">
        <v>-5.0718229999999996E-3</v>
      </c>
      <c r="W6966">
        <v>2.453922E-2</v>
      </c>
      <c r="X6966">
        <v>0.99968599999999996</v>
      </c>
      <c r="Y6966">
        <v>-1.8998930000000001E-2</v>
      </c>
      <c r="Z6966" s="1">
        <v>-4.6345270000000003E-5</v>
      </c>
      <c r="AA6966">
        <v>0.99981949999999997</v>
      </c>
      <c r="AB6966">
        <v>28</v>
      </c>
      <c r="AC6966">
        <v>-3.0007630000000001</v>
      </c>
      <c r="AD6966">
        <v>-5.8633089999999997E-3</v>
      </c>
      <c r="AE6966">
        <v>-1.434326E-2</v>
      </c>
      <c r="AF6966">
        <v>-5.7011893723641398E-2</v>
      </c>
      <c r="AG6966">
        <v>-5.8633089999999997E-3</v>
      </c>
      <c r="AH6966">
        <v>3.0002441898717702</v>
      </c>
      <c r="AI6966">
        <v>90.111951486039302</v>
      </c>
      <c r="AJ6966">
        <v>91.088627324002005</v>
      </c>
      <c r="AK6966">
        <v>3.0007915511207601</v>
      </c>
      <c r="AL6966">
        <v>88.593865111250295</v>
      </c>
      <c r="AM6966">
        <v>90.290682833532202</v>
      </c>
      <c r="AN6966">
        <v>0.99999999765137504</v>
      </c>
    </row>
    <row r="6967" spans="1:40" x14ac:dyDescent="0.25">
      <c r="A6967" t="str">
        <f>"20190312150829194"</f>
        <v>20190312150829194</v>
      </c>
      <c r="B6967" t="str">
        <f>"1552374509186915"</f>
        <v>1552374509186915</v>
      </c>
      <c r="C6967" t="s">
        <v>40</v>
      </c>
      <c r="D6967">
        <v>4.2191960000000002</v>
      </c>
      <c r="E6967">
        <v>0.49397210000000003</v>
      </c>
      <c r="F6967" t="s">
        <v>48</v>
      </c>
      <c r="G6967">
        <v>0</v>
      </c>
      <c r="H6967">
        <v>0</v>
      </c>
      <c r="I6967">
        <v>0</v>
      </c>
      <c r="J6967">
        <v>-260.59829999999999</v>
      </c>
      <c r="K6967">
        <v>1.110093</v>
      </c>
      <c r="L6967">
        <v>140.9425</v>
      </c>
      <c r="M6967">
        <v>-0.99986359999999996</v>
      </c>
      <c r="N6967">
        <v>0</v>
      </c>
      <c r="O6967">
        <v>1.380992E-2</v>
      </c>
      <c r="P6967">
        <v>-0.99985190000000002</v>
      </c>
      <c r="Q6967">
        <v>1.5145789999999999E-2</v>
      </c>
      <c r="R6967">
        <v>8.1879799999999992E-3</v>
      </c>
      <c r="S6967">
        <v>-3.0008240000000002</v>
      </c>
      <c r="T6967">
        <v>-8.5369350000000007E-3</v>
      </c>
      <c r="U6967">
        <v>-1.8539429999999999E-2</v>
      </c>
      <c r="V6967">
        <v>-5.6405569999999896E-3</v>
      </c>
      <c r="W6967">
        <v>2.4203619999999999E-2</v>
      </c>
      <c r="X6967">
        <v>0.99969110000000005</v>
      </c>
      <c r="Y6967">
        <v>-1.9987499999999998E-2</v>
      </c>
      <c r="Z6967" s="1">
        <v>-6.771852E-5</v>
      </c>
      <c r="AA6967">
        <v>0.99980020000000003</v>
      </c>
      <c r="AB6967">
        <v>29</v>
      </c>
      <c r="AC6967">
        <v>-3.0008240000000002</v>
      </c>
      <c r="AD6967">
        <v>-8.5369350000000007E-3</v>
      </c>
      <c r="AE6967">
        <v>-1.8539429999999999E-2</v>
      </c>
      <c r="AF6967">
        <v>-5.9980016456706101E-2</v>
      </c>
      <c r="AG6967">
        <v>-8.5369350000000007E-3</v>
      </c>
      <c r="AH6967">
        <v>3.0002574940023998</v>
      </c>
      <c r="AI6967">
        <v>90.162996446923401</v>
      </c>
      <c r="AJ6967">
        <v>91.145283058175906</v>
      </c>
      <c r="AK6967">
        <v>3.0008691260951199</v>
      </c>
      <c r="AL6967">
        <v>88.613099240359304</v>
      </c>
      <c r="AM6967">
        <v>90.3232765408533</v>
      </c>
      <c r="AN6967">
        <v>0.99999996326179097</v>
      </c>
    </row>
    <row r="6968" spans="1:40" x14ac:dyDescent="0.25">
      <c r="A6968" t="str">
        <f>"20190312150829207"</f>
        <v>20190312150829207</v>
      </c>
      <c r="B6968" t="str">
        <f>"1552374509196658"</f>
        <v>1552374509196658</v>
      </c>
      <c r="C6968" t="s">
        <v>40</v>
      </c>
      <c r="D6968">
        <v>4.1211500000000001</v>
      </c>
      <c r="E6968">
        <v>0.49365989999999998</v>
      </c>
      <c r="F6968" t="s">
        <v>48</v>
      </c>
      <c r="G6968">
        <v>0</v>
      </c>
      <c r="H6968">
        <v>0</v>
      </c>
      <c r="I6968">
        <v>0</v>
      </c>
      <c r="J6968">
        <v>-260.75889999999998</v>
      </c>
      <c r="K6968">
        <v>1.110096</v>
      </c>
      <c r="L6968">
        <v>140.94450000000001</v>
      </c>
      <c r="M6968">
        <v>-0.99986679999999994</v>
      </c>
      <c r="N6968">
        <v>0</v>
      </c>
      <c r="O6968">
        <v>1.355697E-2</v>
      </c>
      <c r="P6968">
        <v>-0.99985979999999997</v>
      </c>
      <c r="Q6968">
        <v>1.48957E-2</v>
      </c>
      <c r="R6968">
        <v>7.6708509999999898E-3</v>
      </c>
      <c r="S6968">
        <v>-3.0007929999999998</v>
      </c>
      <c r="T6968">
        <v>-1.1130569999999999E-2</v>
      </c>
      <c r="U6968">
        <v>-2.4597170000000002E-2</v>
      </c>
      <c r="V6968">
        <v>-5.9046749999999999E-3</v>
      </c>
      <c r="W6968">
        <v>2.397577E-2</v>
      </c>
      <c r="X6968">
        <v>0.99969509999999995</v>
      </c>
      <c r="Y6968">
        <v>-2.1752690000000002E-2</v>
      </c>
      <c r="Z6968" s="1">
        <v>-9.0628060000000005E-5</v>
      </c>
      <c r="AA6968">
        <v>0.99976339999999997</v>
      </c>
      <c r="AB6968">
        <v>29</v>
      </c>
      <c r="AC6968">
        <v>-3.0007929999999998</v>
      </c>
      <c r="AD6968">
        <v>-1.1130569999999999E-2</v>
      </c>
      <c r="AE6968">
        <v>-2.4597170000000002E-2</v>
      </c>
      <c r="AF6968">
        <v>-6.5277352041166303E-2</v>
      </c>
      <c r="AG6968">
        <v>-1.1130569999999999E-2</v>
      </c>
      <c r="AH6968">
        <v>3.0001424537624</v>
      </c>
      <c r="AI6968">
        <v>90.212516861373501</v>
      </c>
      <c r="AJ6968">
        <v>91.246449722574695</v>
      </c>
      <c r="AK6968">
        <v>3.0008731671207798</v>
      </c>
      <c r="AL6968">
        <v>88.626157921355897</v>
      </c>
      <c r="AM6968">
        <v>90.338412204679699</v>
      </c>
      <c r="AN6968">
        <v>0.99999999784897897</v>
      </c>
    </row>
    <row r="6969" spans="1:40" x14ac:dyDescent="0.25">
      <c r="A6969" t="str">
        <f>"20190312150829220"</f>
        <v>20190312150829220</v>
      </c>
      <c r="B6969" t="str">
        <f>"1552374509217155"</f>
        <v>1552374509217155</v>
      </c>
      <c r="C6969" t="s">
        <v>40</v>
      </c>
      <c r="D6969">
        <v>4.172911</v>
      </c>
      <c r="E6969">
        <v>0.49339660000000002</v>
      </c>
      <c r="F6969" t="s">
        <v>48</v>
      </c>
      <c r="G6969">
        <v>0</v>
      </c>
      <c r="H6969">
        <v>0</v>
      </c>
      <c r="I6969">
        <v>0</v>
      </c>
      <c r="J6969">
        <v>-260.92320000000001</v>
      </c>
      <c r="K6969">
        <v>1.110098</v>
      </c>
      <c r="L6969">
        <v>140.94649999999999</v>
      </c>
      <c r="M6969">
        <v>-0.99987020000000004</v>
      </c>
      <c r="N6969">
        <v>0</v>
      </c>
      <c r="O6969">
        <v>1.3298000000000001E-2</v>
      </c>
      <c r="P6969">
        <v>-0.99986489999999995</v>
      </c>
      <c r="Q6969">
        <v>1.4892239999999999E-2</v>
      </c>
      <c r="R6969">
        <v>6.9641950000000003E-3</v>
      </c>
      <c r="S6969">
        <v>-3.0007929999999998</v>
      </c>
      <c r="T6969">
        <v>-8.9886189999999998E-3</v>
      </c>
      <c r="U6969">
        <v>-2.864075E-2</v>
      </c>
      <c r="V6969">
        <v>-6.352285E-3</v>
      </c>
      <c r="W6969">
        <v>2.3993400000000002E-2</v>
      </c>
      <c r="X6969">
        <v>0.99969200000000003</v>
      </c>
      <c r="Y6969">
        <v>-2.2840889999999999E-2</v>
      </c>
      <c r="Z6969" s="1">
        <v>-7.4041530000000001E-5</v>
      </c>
      <c r="AA6969">
        <v>0.99973909999999999</v>
      </c>
      <c r="AB6969">
        <v>29</v>
      </c>
      <c r="AC6969">
        <v>-3.0007929999999998</v>
      </c>
      <c r="AD6969">
        <v>-8.9886189999999998E-3</v>
      </c>
      <c r="AE6969">
        <v>-2.864075E-2</v>
      </c>
      <c r="AF6969">
        <v>-6.8543798749487295E-2</v>
      </c>
      <c r="AG6969">
        <v>-8.9886189999999998E-3</v>
      </c>
      <c r="AH6969">
        <v>3.0001198443885602</v>
      </c>
      <c r="AI6969">
        <v>90.171617821218803</v>
      </c>
      <c r="AJ6969">
        <v>91.308810137788896</v>
      </c>
      <c r="AK6969">
        <v>3.0009162148105002</v>
      </c>
      <c r="AL6969">
        <v>88.625147598180803</v>
      </c>
      <c r="AM6969">
        <v>90.3640663548681</v>
      </c>
      <c r="AN6969">
        <v>1.00000006481613</v>
      </c>
    </row>
    <row r="6970" spans="1:40" x14ac:dyDescent="0.25">
      <c r="A6970" t="str">
        <f>"20190312150829239"</f>
        <v>20190312150829239</v>
      </c>
      <c r="B6970" t="str">
        <f>"1552374509226913"</f>
        <v>1552374509226913</v>
      </c>
      <c r="C6970" t="s">
        <v>40</v>
      </c>
      <c r="D6970">
        <v>4.1394440000000001</v>
      </c>
      <c r="E6970">
        <v>0.4932803</v>
      </c>
      <c r="F6970" t="s">
        <v>48</v>
      </c>
      <c r="G6970">
        <v>0</v>
      </c>
      <c r="H6970">
        <v>0</v>
      </c>
      <c r="I6970">
        <v>0</v>
      </c>
      <c r="J6970">
        <v>-261.16629999999998</v>
      </c>
      <c r="K6970">
        <v>1.1101000000000001</v>
      </c>
      <c r="L6970">
        <v>140.94929999999999</v>
      </c>
      <c r="M6970">
        <v>-0.99987479999999995</v>
      </c>
      <c r="N6970">
        <v>0</v>
      </c>
      <c r="O6970">
        <v>1.291518E-2</v>
      </c>
      <c r="P6970">
        <v>-0.99986640000000004</v>
      </c>
      <c r="Q6970">
        <v>1.500875E-2</v>
      </c>
      <c r="R6970">
        <v>6.4721219999999899E-3</v>
      </c>
      <c r="S6970">
        <v>-3.0007630000000001</v>
      </c>
      <c r="T6970">
        <v>-9.0276000000000002E-3</v>
      </c>
      <c r="U6970">
        <v>-3.2806399999999999E-2</v>
      </c>
      <c r="V6970">
        <v>-6.4623780000000004E-3</v>
      </c>
      <c r="W6970">
        <v>2.413974E-2</v>
      </c>
      <c r="X6970">
        <v>0.99968769999999996</v>
      </c>
      <c r="Y6970">
        <v>-2.3845910000000001E-2</v>
      </c>
      <c r="Z6970" s="1">
        <v>-7.4723019999999997E-5</v>
      </c>
      <c r="AA6970">
        <v>0.99971560000000004</v>
      </c>
      <c r="AB6970">
        <v>29</v>
      </c>
      <c r="AC6970">
        <v>-3.0007630000000001</v>
      </c>
      <c r="AD6970">
        <v>-9.0276000000000002E-3</v>
      </c>
      <c r="AE6970">
        <v>-3.2806399999999999E-2</v>
      </c>
      <c r="AF6970">
        <v>-7.1560030002400604E-2</v>
      </c>
      <c r="AG6970">
        <v>-9.0276000000000002E-3</v>
      </c>
      <c r="AH6970">
        <v>3.0000618345702499</v>
      </c>
      <c r="AI6970">
        <v>90.172361359708802</v>
      </c>
      <c r="AJ6970">
        <v>91.366408627241398</v>
      </c>
      <c r="AK6970">
        <v>3.0009287473548398</v>
      </c>
      <c r="AL6970">
        <v>88.616760406359901</v>
      </c>
      <c r="AM6970">
        <v>90.370377496414704</v>
      </c>
      <c r="AN6970">
        <v>0.99999999345398605</v>
      </c>
    </row>
    <row r="6971" spans="1:40" x14ac:dyDescent="0.25">
      <c r="A6971" t="str">
        <f>"20190312150829263"</f>
        <v>20190312150829263</v>
      </c>
      <c r="B6971" t="str">
        <f>"1552374509257170"</f>
        <v>1552374509257170</v>
      </c>
      <c r="C6971" t="s">
        <v>40</v>
      </c>
      <c r="D6971">
        <v>4.181324</v>
      </c>
      <c r="E6971">
        <v>0.49312899999999998</v>
      </c>
      <c r="F6971" t="s">
        <v>48</v>
      </c>
      <c r="G6971">
        <v>0</v>
      </c>
      <c r="H6971">
        <v>0</v>
      </c>
      <c r="I6971">
        <v>0</v>
      </c>
      <c r="J6971">
        <v>-261.46449999999999</v>
      </c>
      <c r="K6971">
        <v>1.1101080000000001</v>
      </c>
      <c r="L6971">
        <v>140.95259999999999</v>
      </c>
      <c r="M6971">
        <v>-0.99988060000000001</v>
      </c>
      <c r="N6971">
        <v>0</v>
      </c>
      <c r="O6971">
        <v>1.244544E-2</v>
      </c>
      <c r="P6971">
        <v>-0.99986830000000004</v>
      </c>
      <c r="Q6971">
        <v>1.5199600000000001E-2</v>
      </c>
      <c r="R6971">
        <v>5.7086300000000001E-3</v>
      </c>
      <c r="S6971">
        <v>-3.0007630000000001</v>
      </c>
      <c r="T6971">
        <v>-8.5076089999999993E-3</v>
      </c>
      <c r="U6971">
        <v>-3.5263059999999999E-2</v>
      </c>
      <c r="V6971">
        <v>-6.7559810000000003E-3</v>
      </c>
      <c r="W6971">
        <v>2.436522E-2</v>
      </c>
      <c r="X6971">
        <v>0.99968029999999997</v>
      </c>
      <c r="Y6971">
        <v>-2.41946E-2</v>
      </c>
      <c r="Z6971" s="1">
        <v>-6.9581229999999999E-5</v>
      </c>
      <c r="AA6971">
        <v>0.99970729999999997</v>
      </c>
      <c r="AB6971">
        <v>29</v>
      </c>
      <c r="AC6971">
        <v>-3.0007630000000001</v>
      </c>
      <c r="AD6971">
        <v>-8.5076089999999993E-3</v>
      </c>
      <c r="AE6971">
        <v>-3.5263059999999999E-2</v>
      </c>
      <c r="AF6971">
        <v>-7.2607127760940707E-2</v>
      </c>
      <c r="AG6971">
        <v>-8.5076089999999993E-3</v>
      </c>
      <c r="AH6971">
        <v>3.00006758482058</v>
      </c>
      <c r="AI6971">
        <v>90.162431703991999</v>
      </c>
      <c r="AJ6971">
        <v>91.3863921143965</v>
      </c>
      <c r="AK6971">
        <v>3.0009581283156499</v>
      </c>
      <c r="AL6971">
        <v>88.603837568551697</v>
      </c>
      <c r="AM6971">
        <v>90.387207094932705</v>
      </c>
      <c r="AN6971">
        <v>1.0000000047165001</v>
      </c>
    </row>
    <row r="6972" spans="1:40" x14ac:dyDescent="0.25">
      <c r="A6972" t="str">
        <f>"20190312150829276"</f>
        <v>20190312150829276</v>
      </c>
      <c r="B6972" t="str">
        <f>"1552374509266931"</f>
        <v>1552374509266931</v>
      </c>
      <c r="C6972" t="s">
        <v>40</v>
      </c>
      <c r="D6972">
        <v>4.1937139999999999</v>
      </c>
      <c r="E6972">
        <v>0.49303950000000002</v>
      </c>
      <c r="F6972" t="s">
        <v>48</v>
      </c>
      <c r="G6972">
        <v>0</v>
      </c>
      <c r="H6972">
        <v>0</v>
      </c>
      <c r="I6972">
        <v>0</v>
      </c>
      <c r="J6972">
        <v>-261.64690000000002</v>
      </c>
      <c r="K6972">
        <v>1.1101110000000001</v>
      </c>
      <c r="L6972">
        <v>140.9546</v>
      </c>
      <c r="M6972">
        <v>-0.99988390000000005</v>
      </c>
      <c r="N6972">
        <v>0</v>
      </c>
      <c r="O6972">
        <v>1.215834E-2</v>
      </c>
      <c r="P6972">
        <v>-0.99986810000000004</v>
      </c>
      <c r="Q6972">
        <v>1.5347980000000001E-2</v>
      </c>
      <c r="R6972">
        <v>5.3409939999999999E-3</v>
      </c>
      <c r="S6972">
        <v>-3.0007320000000002</v>
      </c>
      <c r="T6972">
        <v>-8.5207219999999997E-3</v>
      </c>
      <c r="U6972">
        <v>-3.872681E-2</v>
      </c>
      <c r="V6972">
        <v>-6.8365129999999998E-3</v>
      </c>
      <c r="W6972">
        <v>2.453255E-2</v>
      </c>
      <c r="X6972">
        <v>0.9996756</v>
      </c>
      <c r="Y6972">
        <v>-2.5061449999999999E-2</v>
      </c>
      <c r="Z6972" s="1">
        <v>-7.0104209999999898E-5</v>
      </c>
      <c r="AA6972">
        <v>0.99968590000000002</v>
      </c>
      <c r="AB6972">
        <v>29</v>
      </c>
      <c r="AC6972">
        <v>-3.0007320000000002</v>
      </c>
      <c r="AD6972">
        <v>-8.5207219999999997E-3</v>
      </c>
      <c r="AE6972">
        <v>-3.872681E-2</v>
      </c>
      <c r="AF6972">
        <v>-7.5208799860423198E-2</v>
      </c>
      <c r="AG6972">
        <v>-8.5207219999999997E-3</v>
      </c>
      <c r="AH6972">
        <v>3.0000151223634499</v>
      </c>
      <c r="AI6972">
        <v>90.162681432530903</v>
      </c>
      <c r="AJ6972">
        <v>91.436074234094406</v>
      </c>
      <c r="AK6972">
        <v>3.0009697933650101</v>
      </c>
      <c r="AL6972">
        <v>88.5942473145615</v>
      </c>
      <c r="AM6972">
        <v>90.3918243430481</v>
      </c>
      <c r="AN6972">
        <v>0.99999994457742902</v>
      </c>
    </row>
    <row r="6973" spans="1:40" x14ac:dyDescent="0.25">
      <c r="A6973" t="str">
        <f>"20190312150829289"</f>
        <v>20190312150829289</v>
      </c>
      <c r="B6973" t="str">
        <f>"1552374509286449"</f>
        <v>1552374509286449</v>
      </c>
      <c r="C6973" t="s">
        <v>40</v>
      </c>
      <c r="D6973">
        <v>4.2092340000000004</v>
      </c>
      <c r="E6973">
        <v>0.49294529999999998</v>
      </c>
      <c r="F6973" t="s">
        <v>48</v>
      </c>
      <c r="G6973">
        <v>0</v>
      </c>
      <c r="H6973">
        <v>0</v>
      </c>
      <c r="I6973">
        <v>0</v>
      </c>
      <c r="J6973">
        <v>-261.81200000000001</v>
      </c>
      <c r="K6973">
        <v>1.1101129999999999</v>
      </c>
      <c r="L6973">
        <v>140.9564</v>
      </c>
      <c r="M6973">
        <v>-0.99988690000000002</v>
      </c>
      <c r="N6973">
        <v>0</v>
      </c>
      <c r="O6973">
        <v>1.189867E-2</v>
      </c>
      <c r="P6973">
        <v>-0.99986839999999999</v>
      </c>
      <c r="Q6973">
        <v>1.549508E-2</v>
      </c>
      <c r="R6973">
        <v>4.8435459999999998E-3</v>
      </c>
      <c r="S6973">
        <v>-3.0007320000000002</v>
      </c>
      <c r="T6973">
        <v>-8.2221029999999997E-3</v>
      </c>
      <c r="U6973">
        <v>-4.0557860000000001E-2</v>
      </c>
      <c r="V6973">
        <v>-7.0743480000000003E-3</v>
      </c>
      <c r="W6973">
        <v>2.4696530000000001E-2</v>
      </c>
      <c r="X6973">
        <v>0.99966999999999995</v>
      </c>
      <c r="Y6973">
        <v>-2.541175E-2</v>
      </c>
      <c r="Z6973" s="1">
        <v>-6.7415489999999998E-5</v>
      </c>
      <c r="AA6973">
        <v>0.99967709999999999</v>
      </c>
      <c r="AB6973">
        <v>29</v>
      </c>
      <c r="AC6973">
        <v>-3.0007320000000002</v>
      </c>
      <c r="AD6973">
        <v>-8.2221029999999997E-3</v>
      </c>
      <c r="AE6973">
        <v>-4.0557860000000001E-2</v>
      </c>
      <c r="AF6973">
        <v>-7.6260646544733302E-2</v>
      </c>
      <c r="AG6973">
        <v>-8.2221029999999997E-3</v>
      </c>
      <c r="AH6973">
        <v>3.0000144308298302</v>
      </c>
      <c r="AI6973">
        <v>90.156978741775703</v>
      </c>
      <c r="AJ6973">
        <v>91.456150465693796</v>
      </c>
      <c r="AK6973">
        <v>3.0009948141202099</v>
      </c>
      <c r="AL6973">
        <v>88.584849235344294</v>
      </c>
      <c r="AM6973">
        <v>90.405457318086306</v>
      </c>
      <c r="AN6973">
        <v>1.00000003694683</v>
      </c>
    </row>
    <row r="6974" spans="1:40" x14ac:dyDescent="0.25">
      <c r="A6974" t="str">
        <f>"20190312150829306"</f>
        <v>20190312150829306</v>
      </c>
      <c r="B6974" t="str">
        <f>"1552374509297186"</f>
        <v>1552374509297186</v>
      </c>
      <c r="C6974" t="s">
        <v>40</v>
      </c>
      <c r="D6974">
        <v>4.1802270000000004</v>
      </c>
      <c r="E6974">
        <v>0.49285849999999998</v>
      </c>
      <c r="F6974" t="s">
        <v>48</v>
      </c>
      <c r="G6974">
        <v>0</v>
      </c>
      <c r="H6974">
        <v>0</v>
      </c>
      <c r="I6974">
        <v>0</v>
      </c>
      <c r="J6974">
        <v>-262.04219999999998</v>
      </c>
      <c r="K6974">
        <v>1.1101179999999999</v>
      </c>
      <c r="L6974">
        <v>140.95869999999999</v>
      </c>
      <c r="M6974">
        <v>-0.99989090000000003</v>
      </c>
      <c r="N6974">
        <v>0</v>
      </c>
      <c r="O6974">
        <v>1.153622E-2</v>
      </c>
      <c r="P6974">
        <v>-0.9998707</v>
      </c>
      <c r="Q6974">
        <v>1.5356939999999999E-2</v>
      </c>
      <c r="R6974">
        <v>4.8035589999999998E-3</v>
      </c>
      <c r="S6974">
        <v>-3.000702</v>
      </c>
      <c r="T6974">
        <v>-8.7379220000000004E-3</v>
      </c>
      <c r="U6974">
        <v>-4.2831420000000002E-2</v>
      </c>
      <c r="V6974">
        <v>-6.751656E-3</v>
      </c>
      <c r="W6974">
        <v>2.4581639999999998E-2</v>
      </c>
      <c r="X6974">
        <v>0.99967499999999998</v>
      </c>
      <c r="Y6974">
        <v>-2.5806780000000001E-2</v>
      </c>
      <c r="Z6974" s="1">
        <v>-7.1164929999999996E-5</v>
      </c>
      <c r="AA6974">
        <v>0.99966690000000002</v>
      </c>
      <c r="AB6974">
        <v>29</v>
      </c>
      <c r="AC6974">
        <v>-3.000702</v>
      </c>
      <c r="AD6974">
        <v>-8.7379220000000004E-3</v>
      </c>
      <c r="AE6974">
        <v>-4.2831420000000002E-2</v>
      </c>
      <c r="AF6974">
        <v>-7.7446144522942004E-2</v>
      </c>
      <c r="AG6974">
        <v>-8.7379220000000004E-3</v>
      </c>
      <c r="AH6974">
        <v>2.9999827361873002</v>
      </c>
      <c r="AI6974">
        <v>90.166826925237004</v>
      </c>
      <c r="AJ6974">
        <v>91.478792467423006</v>
      </c>
      <c r="AK6974">
        <v>3.0009949473473201</v>
      </c>
      <c r="AL6974">
        <v>88.591433857225596</v>
      </c>
      <c r="AM6974">
        <v>90.386961274239894</v>
      </c>
      <c r="AN6974">
        <v>0.99999997375441496</v>
      </c>
    </row>
    <row r="6975" spans="1:40" x14ac:dyDescent="0.25">
      <c r="A6975" t="str">
        <f>"20190312150829329"</f>
        <v>20190312150829329</v>
      </c>
      <c r="B6975" t="str">
        <f>"1552374509316707"</f>
        <v>1552374509316707</v>
      </c>
      <c r="C6975" t="s">
        <v>40</v>
      </c>
      <c r="D6975">
        <v>4.2049699999999897</v>
      </c>
      <c r="E6975">
        <v>0.49274220000000002</v>
      </c>
      <c r="F6975" t="s">
        <v>48</v>
      </c>
      <c r="G6975">
        <v>0</v>
      </c>
      <c r="H6975">
        <v>0</v>
      </c>
      <c r="I6975">
        <v>0</v>
      </c>
      <c r="J6975">
        <v>-262.32530000000003</v>
      </c>
      <c r="K6975">
        <v>1.1101190000000001</v>
      </c>
      <c r="L6975">
        <v>140.9615</v>
      </c>
      <c r="M6975">
        <v>-0.9998956</v>
      </c>
      <c r="N6975">
        <v>0</v>
      </c>
      <c r="O6975">
        <v>1.109102E-2</v>
      </c>
      <c r="P6975">
        <v>-0.99987749999999997</v>
      </c>
      <c r="Q6975">
        <v>1.50907E-2</v>
      </c>
      <c r="R6975">
        <v>4.202903E-3</v>
      </c>
      <c r="S6975">
        <v>-3.0007320000000002</v>
      </c>
      <c r="T6975">
        <v>-9.5560550000000008E-3</v>
      </c>
      <c r="U6975">
        <v>-4.374695E-2</v>
      </c>
      <c r="V6975">
        <v>-6.9070950000000002E-3</v>
      </c>
      <c r="W6975">
        <v>2.4341390000000001E-2</v>
      </c>
      <c r="X6975">
        <v>0.99967989999999995</v>
      </c>
      <c r="Y6975">
        <v>-2.5666439999999999E-2</v>
      </c>
      <c r="Z6975" s="1">
        <v>-7.6185959999999894E-5</v>
      </c>
      <c r="AA6975">
        <v>0.99967059999999996</v>
      </c>
      <c r="AB6975">
        <v>29</v>
      </c>
      <c r="AC6975">
        <v>-3.0007320000000002</v>
      </c>
      <c r="AD6975">
        <v>-9.5560550000000008E-3</v>
      </c>
      <c r="AE6975">
        <v>-4.374695E-2</v>
      </c>
      <c r="AF6975">
        <v>-7.7026084140368406E-2</v>
      </c>
      <c r="AG6975">
        <v>-9.5560550000000008E-3</v>
      </c>
      <c r="AH6975">
        <v>3.0000317798689502</v>
      </c>
      <c r="AI6975">
        <v>90.182444531853506</v>
      </c>
      <c r="AJ6975">
        <v>91.470751139771494</v>
      </c>
      <c r="AK6975">
        <v>3.0010356572438099</v>
      </c>
      <c r="AL6975">
        <v>88.605203404761696</v>
      </c>
      <c r="AM6975">
        <v>90.395867812198205</v>
      </c>
      <c r="AN6975">
        <v>1.0000000568462299</v>
      </c>
    </row>
    <row r="6976" spans="1:40" x14ac:dyDescent="0.25">
      <c r="A6976" t="str">
        <f>"20190312150829342"</f>
        <v>20190312150829342</v>
      </c>
      <c r="B6976" t="str">
        <f>"1552374509337202"</f>
        <v>1552374509337202</v>
      </c>
      <c r="C6976" t="s">
        <v>40</v>
      </c>
      <c r="D6976">
        <v>4.2152500000000002</v>
      </c>
      <c r="E6976">
        <v>0.49261359999999899</v>
      </c>
      <c r="F6976" t="s">
        <v>43</v>
      </c>
      <c r="G6976">
        <v>-557.82209999999998</v>
      </c>
      <c r="H6976">
        <v>-0.05</v>
      </c>
      <c r="I6976">
        <v>136.39060000000001</v>
      </c>
      <c r="J6976">
        <v>-262.49059999999997</v>
      </c>
      <c r="K6976">
        <v>1.11012</v>
      </c>
      <c r="L6976">
        <v>140.9631</v>
      </c>
      <c r="M6976">
        <v>-0.99989839999999997</v>
      </c>
      <c r="N6976">
        <v>0</v>
      </c>
      <c r="O6976">
        <v>1.0830950000000001E-2</v>
      </c>
      <c r="P6976">
        <v>-0.99987539999999997</v>
      </c>
      <c r="Q6976">
        <v>1.52135E-2</v>
      </c>
      <c r="R6976">
        <v>4.2521219999999997E-3</v>
      </c>
      <c r="S6976">
        <v>-3.0007320000000002</v>
      </c>
      <c r="T6976">
        <v>-1.1780860000000001E-2</v>
      </c>
      <c r="U6976">
        <v>-4.6417239999999999E-2</v>
      </c>
      <c r="V6976">
        <v>-6.5977029999999999E-3</v>
      </c>
      <c r="W6976">
        <v>2.447916E-2</v>
      </c>
      <c r="X6976">
        <v>0.99967859999999997</v>
      </c>
      <c r="Y6976">
        <v>-2.629571E-2</v>
      </c>
      <c r="Z6976" s="1">
        <v>-9.4136769999999994E-5</v>
      </c>
      <c r="AA6976">
        <v>0.99965420000000005</v>
      </c>
      <c r="AB6976">
        <v>29</v>
      </c>
      <c r="AC6976">
        <v>-295.33150000000001</v>
      </c>
      <c r="AD6976">
        <v>-1.16012</v>
      </c>
      <c r="AE6976">
        <v>-4.57249999999999</v>
      </c>
      <c r="AF6976">
        <v>-7.7709699595123602</v>
      </c>
      <c r="AG6976">
        <v>-1.16012</v>
      </c>
      <c r="AH6976">
        <v>295.260093781477</v>
      </c>
      <c r="AI6976">
        <v>90.225044392141101</v>
      </c>
      <c r="AJ6976">
        <v>91.507623372402705</v>
      </c>
      <c r="AK6976">
        <v>295.36461675761501</v>
      </c>
      <c r="AL6976">
        <v>88.597307376770303</v>
      </c>
      <c r="AM6976">
        <v>90.3781365810556</v>
      </c>
      <c r="AN6976">
        <v>1.0000000311285699</v>
      </c>
    </row>
    <row r="6977" spans="1:40" x14ac:dyDescent="0.25">
      <c r="A6977" t="str">
        <f>"20190312150829354"</f>
        <v>20190312150829354</v>
      </c>
      <c r="B6977" t="str">
        <f>"1552374509346962"</f>
        <v>1552374509346962</v>
      </c>
      <c r="C6977" t="s">
        <v>40</v>
      </c>
      <c r="D6977">
        <v>4.1974260000000001</v>
      </c>
      <c r="E6977">
        <v>0.49258800000000003</v>
      </c>
      <c r="F6977" t="s">
        <v>73</v>
      </c>
      <c r="G6977">
        <v>-500.69529999999997</v>
      </c>
      <c r="H6977">
        <v>7.9987349999999999E-2</v>
      </c>
      <c r="I6977">
        <v>137.20820000000001</v>
      </c>
      <c r="J6977">
        <v>-262.65589999999997</v>
      </c>
      <c r="K6977">
        <v>1.11012</v>
      </c>
      <c r="L6977">
        <v>140.96459999999999</v>
      </c>
      <c r="M6977">
        <v>-0.99990109999999999</v>
      </c>
      <c r="N6977">
        <v>0</v>
      </c>
      <c r="O6977">
        <v>1.0570939999999999E-2</v>
      </c>
      <c r="P6977">
        <v>-0.99987570000000003</v>
      </c>
      <c r="Q6977">
        <v>1.5215040000000001E-2</v>
      </c>
      <c r="R6977">
        <v>4.1648229999999998E-3</v>
      </c>
      <c r="S6977">
        <v>-3.0007630000000001</v>
      </c>
      <c r="T6977">
        <v>-1.2977000000000001E-2</v>
      </c>
      <c r="U6977">
        <v>-4.7302249999999997E-2</v>
      </c>
      <c r="V6977">
        <v>-6.4251409999999997E-3</v>
      </c>
      <c r="W6977">
        <v>2.4494410000000001E-2</v>
      </c>
      <c r="X6977">
        <v>0.99967930000000005</v>
      </c>
      <c r="Y6977">
        <v>-2.6330309999999999E-2</v>
      </c>
      <c r="Z6977">
        <v>-1.026438E-4</v>
      </c>
      <c r="AA6977">
        <v>0.99965329999999997</v>
      </c>
      <c r="AB6977">
        <v>29</v>
      </c>
      <c r="AC6977">
        <v>-238.0394</v>
      </c>
      <c r="AD6977">
        <v>-1.0301326500000001</v>
      </c>
      <c r="AE6977">
        <v>-3.7563999999999802</v>
      </c>
      <c r="AF6977">
        <v>-6.2724811361272703</v>
      </c>
      <c r="AG6977">
        <v>-1.0301326500000001</v>
      </c>
      <c r="AH6977">
        <v>237.98193247968999</v>
      </c>
      <c r="AI6977">
        <v>90.247923839971605</v>
      </c>
      <c r="AJ6977">
        <v>91.509793228321399</v>
      </c>
      <c r="AK6977">
        <v>238.066808647588</v>
      </c>
      <c r="AL6977">
        <v>88.596433283298097</v>
      </c>
      <c r="AM6977">
        <v>90.368246489785093</v>
      </c>
      <c r="AN6977">
        <v>0.99999998070330298</v>
      </c>
    </row>
    <row r="6978" spans="1:40" x14ac:dyDescent="0.25">
      <c r="A6978" t="str">
        <f>"20190312150829374"</f>
        <v>20190312150829374</v>
      </c>
      <c r="B6978" t="str">
        <f>"1552374509366485"</f>
        <v>1552374509366485</v>
      </c>
      <c r="C6978" t="s">
        <v>40</v>
      </c>
      <c r="D6978">
        <v>4.2998209999999997</v>
      </c>
      <c r="E6978">
        <v>0.49240630000000002</v>
      </c>
      <c r="F6978" t="s">
        <v>73</v>
      </c>
      <c r="G6978">
        <v>-499.95780000000002</v>
      </c>
      <c r="H6978">
        <v>1.439606E-2</v>
      </c>
      <c r="I6978">
        <v>137.18170000000001</v>
      </c>
      <c r="J6978">
        <v>-262.90600000000001</v>
      </c>
      <c r="K6978">
        <v>1.1101209999999999</v>
      </c>
      <c r="L6978">
        <v>140.96690000000001</v>
      </c>
      <c r="M6978">
        <v>-0.99990500000000004</v>
      </c>
      <c r="N6978">
        <v>0</v>
      </c>
      <c r="O6978">
        <v>1.017756E-2</v>
      </c>
      <c r="P6978">
        <v>-0.99987420000000005</v>
      </c>
      <c r="Q6978">
        <v>1.533526E-2</v>
      </c>
      <c r="R6978">
        <v>4.0720749999999997E-3</v>
      </c>
      <c r="S6978">
        <v>-3.0007929999999998</v>
      </c>
      <c r="T6978">
        <v>-1.3855930000000001E-2</v>
      </c>
      <c r="U6978">
        <v>-4.7836299999999998E-2</v>
      </c>
      <c r="V6978">
        <v>-6.1248079999999998E-3</v>
      </c>
      <c r="W6978">
        <v>2.463456E-2</v>
      </c>
      <c r="X6978">
        <v>0.99967779999999995</v>
      </c>
      <c r="Y6978">
        <v>-2.6114689999999999E-2</v>
      </c>
      <c r="Z6978">
        <v>-1.072804E-4</v>
      </c>
      <c r="AA6978">
        <v>0.99965890000000002</v>
      </c>
      <c r="AB6978">
        <v>29</v>
      </c>
      <c r="AC6978">
        <v>-237.05179999999999</v>
      </c>
      <c r="AD6978">
        <v>-1.09572494</v>
      </c>
      <c r="AE6978">
        <v>-3.7852000000000001</v>
      </c>
      <c r="AF6978">
        <v>-6.1975847145134599</v>
      </c>
      <c r="AG6978">
        <v>-1.09572494</v>
      </c>
      <c r="AH6978">
        <v>236.99593333353201</v>
      </c>
      <c r="AI6978">
        <v>90.264808393633601</v>
      </c>
      <c r="AJ6978">
        <v>91.497977332700899</v>
      </c>
      <c r="AK6978">
        <v>237.079486852131</v>
      </c>
      <c r="AL6978">
        <v>88.588400938587299</v>
      </c>
      <c r="AM6978">
        <v>90.351034361145693</v>
      </c>
      <c r="AN6978">
        <v>1.0000000393161299</v>
      </c>
    </row>
    <row r="6979" spans="1:40" x14ac:dyDescent="0.25">
      <c r="A6979" t="str">
        <f>"20190312150829386"</f>
        <v>20190312150829386</v>
      </c>
      <c r="B6979" t="str">
        <f>"1552374509377219"</f>
        <v>1552374509377219</v>
      </c>
      <c r="C6979" t="s">
        <v>40</v>
      </c>
      <c r="D6979">
        <v>4.2045849999999998</v>
      </c>
      <c r="E6979">
        <v>0.49211670000000002</v>
      </c>
      <c r="F6979" t="s">
        <v>73</v>
      </c>
      <c r="G6979">
        <v>-496.83519999999999</v>
      </c>
      <c r="H6979" s="1">
        <v>-8.53756E-6</v>
      </c>
      <c r="I6979">
        <v>137.1045</v>
      </c>
      <c r="J6979">
        <v>-263.07690000000002</v>
      </c>
      <c r="K6979">
        <v>1.1101219999999901</v>
      </c>
      <c r="L6979">
        <v>140.9684</v>
      </c>
      <c r="M6979">
        <v>-0.99990749999999995</v>
      </c>
      <c r="N6979">
        <v>0</v>
      </c>
      <c r="O6979">
        <v>9.9090940000000002E-3</v>
      </c>
      <c r="P6979">
        <v>-0.99987749999999997</v>
      </c>
      <c r="Q6979">
        <v>1.5185199999999999E-2</v>
      </c>
      <c r="R6979">
        <v>3.7897159999999998E-3</v>
      </c>
      <c r="S6979">
        <v>-3.0007929999999998</v>
      </c>
      <c r="T6979">
        <v>-1.42405E-2</v>
      </c>
      <c r="U6979">
        <v>-4.9545289999999999E-2</v>
      </c>
      <c r="V6979">
        <v>-6.138653E-3</v>
      </c>
      <c r="W6979">
        <v>2.4497749999999999E-2</v>
      </c>
      <c r="X6979">
        <v>0.99968109999999999</v>
      </c>
      <c r="Y6979">
        <v>-2.6415439999999998E-2</v>
      </c>
      <c r="Z6979">
        <v>-1.09697E-4</v>
      </c>
      <c r="AA6979">
        <v>0.99965110000000001</v>
      </c>
      <c r="AB6979">
        <v>29</v>
      </c>
      <c r="AC6979">
        <v>-233.75829999999999</v>
      </c>
      <c r="AD6979">
        <v>-1.1101305375599999</v>
      </c>
      <c r="AE6979">
        <v>-3.8639000000000001</v>
      </c>
      <c r="AF6979">
        <v>-6.1800044426267604</v>
      </c>
      <c r="AG6979">
        <v>-1.1101305375599999</v>
      </c>
      <c r="AH6979">
        <v>233.703263543595</v>
      </c>
      <c r="AI6979">
        <v>90.272067614016507</v>
      </c>
      <c r="AJ6979">
        <v>91.514765631308506</v>
      </c>
      <c r="AK6979">
        <v>233.78759641103301</v>
      </c>
      <c r="AL6979">
        <v>88.596241972452901</v>
      </c>
      <c r="AM6979">
        <v>90.351826685657898</v>
      </c>
      <c r="AN6979">
        <v>1.00000006225646</v>
      </c>
    </row>
    <row r="6980" spans="1:40" x14ac:dyDescent="0.25">
      <c r="A6980" t="str">
        <f>"20190312150829407"</f>
        <v>20190312150829407</v>
      </c>
      <c r="B6980" t="str">
        <f>"1552374509396738"</f>
        <v>1552374509396738</v>
      </c>
      <c r="C6980" t="s">
        <v>40</v>
      </c>
      <c r="D6980">
        <v>4.2421160000000002</v>
      </c>
      <c r="E6980">
        <v>0.4583585</v>
      </c>
      <c r="F6980" t="s">
        <v>73</v>
      </c>
      <c r="G6980">
        <v>-490.94650000000001</v>
      </c>
      <c r="H6980" s="1">
        <v>-1.06101E-5</v>
      </c>
      <c r="I6980">
        <v>136.96850000000001</v>
      </c>
      <c r="J6980">
        <v>-263.33330000000001</v>
      </c>
      <c r="K6980">
        <v>1.1101209999999999</v>
      </c>
      <c r="L6980">
        <v>140.97049999999999</v>
      </c>
      <c r="M6980">
        <v>-0.9999112</v>
      </c>
      <c r="N6980">
        <v>0</v>
      </c>
      <c r="O6980">
        <v>9.5060700000000001E-3</v>
      </c>
      <c r="P6980">
        <v>-0.99988670000000002</v>
      </c>
      <c r="Q6980">
        <v>1.4632900000000001E-2</v>
      </c>
      <c r="R6980">
        <v>3.564907E-3</v>
      </c>
      <c r="S6980">
        <v>-3.0007929999999998</v>
      </c>
      <c r="T6980">
        <v>-1.461923E-2</v>
      </c>
      <c r="U6980">
        <v>-5.2673339999999999E-2</v>
      </c>
      <c r="V6980">
        <v>-5.9604509999999899E-3</v>
      </c>
      <c r="W6980">
        <v>2.396384E-2</v>
      </c>
      <c r="X6980">
        <v>0.99969509999999995</v>
      </c>
      <c r="Y6980">
        <v>-2.7054229999999999E-2</v>
      </c>
      <c r="Z6980">
        <v>-1.12206E-4</v>
      </c>
      <c r="AA6980">
        <v>0.99963400000000002</v>
      </c>
      <c r="AB6980">
        <v>29</v>
      </c>
      <c r="AC6980">
        <v>-227.61320000000001</v>
      </c>
      <c r="AD6980">
        <v>-1.1101316100999901</v>
      </c>
      <c r="AE6980">
        <v>-4.0019999999999802</v>
      </c>
      <c r="AF6980">
        <v>-6.1654739262446201</v>
      </c>
      <c r="AG6980">
        <v>-1.1101316100999901</v>
      </c>
      <c r="AH6980">
        <v>227.55945828077299</v>
      </c>
      <c r="AI6980">
        <v>90.279408376979006</v>
      </c>
      <c r="AJ6980">
        <v>91.551986615461701</v>
      </c>
      <c r="AK6980">
        <v>227.64567317207201</v>
      </c>
      <c r="AL6980">
        <v>88.626841718170198</v>
      </c>
      <c r="AM6980">
        <v>90.341608796178406</v>
      </c>
      <c r="AN6980">
        <v>1.00000004278383</v>
      </c>
    </row>
    <row r="6981" spans="1:40" x14ac:dyDescent="0.25">
      <c r="A6981" t="str">
        <f>"20190312150829419"</f>
        <v>20190312150829419</v>
      </c>
      <c r="B6981" t="str">
        <f>"1552374509417235"</f>
        <v>1552374509417235</v>
      </c>
      <c r="C6981" t="s">
        <v>40</v>
      </c>
      <c r="D6981">
        <v>4.1984459999999997</v>
      </c>
      <c r="E6981">
        <v>0.45435029999999998</v>
      </c>
      <c r="F6981" t="s">
        <v>77</v>
      </c>
      <c r="G6981">
        <v>-306.20359999999999</v>
      </c>
      <c r="H6981" s="1">
        <v>-7.9010100000000001E-6</v>
      </c>
      <c r="I6981">
        <v>136.34540000000001</v>
      </c>
      <c r="J6981">
        <v>-263.4973</v>
      </c>
      <c r="K6981">
        <v>1.1101219999999901</v>
      </c>
      <c r="L6981">
        <v>140.9718</v>
      </c>
      <c r="M6981">
        <v>-0.99991350000000001</v>
      </c>
      <c r="N6981">
        <v>0</v>
      </c>
      <c r="O6981">
        <v>9.2483979999999997E-3</v>
      </c>
      <c r="P6981">
        <v>-0.99988969999999999</v>
      </c>
      <c r="Q6981">
        <v>1.454708E-2</v>
      </c>
      <c r="R6981">
        <v>2.9855369999999999E-3</v>
      </c>
      <c r="S6981">
        <v>-3.0026549999999999</v>
      </c>
      <c r="T6981">
        <v>-7.7753900000000001E-2</v>
      </c>
      <c r="U6981">
        <v>-0.32394410000000001</v>
      </c>
      <c r="V6981">
        <v>-6.2822269999999996E-3</v>
      </c>
      <c r="W6981">
        <v>2.3889009999999999E-2</v>
      </c>
      <c r="X6981">
        <v>0.99969490000000005</v>
      </c>
      <c r="Y6981">
        <v>-0.11641269999999999</v>
      </c>
      <c r="Z6981">
        <v>-1.741439E-3</v>
      </c>
      <c r="AA6981">
        <v>0.99319939999999995</v>
      </c>
      <c r="AB6981">
        <v>29</v>
      </c>
      <c r="AC6981">
        <v>-42.706299999999999</v>
      </c>
      <c r="AD6981">
        <v>-1.1101299010100001</v>
      </c>
      <c r="AE6981">
        <v>-4.6263999999999896</v>
      </c>
      <c r="AF6981">
        <v>-5.0178329592936199</v>
      </c>
      <c r="AG6981">
        <v>-1.1101299010100001</v>
      </c>
      <c r="AH6981">
        <v>42.633210989839803</v>
      </c>
      <c r="AI6981">
        <v>91.481372093847995</v>
      </c>
      <c r="AJ6981">
        <v>96.712701465395497</v>
      </c>
      <c r="AK6981">
        <v>42.941841079635701</v>
      </c>
      <c r="AL6981">
        <v>88.631130360642999</v>
      </c>
      <c r="AM6981">
        <v>90.360050206339693</v>
      </c>
      <c r="AN6981">
        <v>1.0000000221304299</v>
      </c>
    </row>
    <row r="6982" spans="1:40" x14ac:dyDescent="0.25">
      <c r="A6982" t="str">
        <f>"20190312150829432"</f>
        <v>20190312150829432</v>
      </c>
      <c r="B6982" t="str">
        <f>"1552374509426994"</f>
        <v>1552374509426994</v>
      </c>
      <c r="C6982" t="s">
        <v>40</v>
      </c>
      <c r="D6982">
        <v>4.2367339999999896</v>
      </c>
      <c r="E6982">
        <v>0.45381640000000001</v>
      </c>
      <c r="F6982" t="s">
        <v>77</v>
      </c>
      <c r="G6982">
        <v>-308.6798</v>
      </c>
      <c r="H6982" s="1">
        <v>-8.0497610000000004E-6</v>
      </c>
      <c r="I6982">
        <v>135.59059999999999</v>
      </c>
      <c r="J6982">
        <v>-263.666</v>
      </c>
      <c r="K6982">
        <v>1.11012</v>
      </c>
      <c r="L6982">
        <v>140.97309999999999</v>
      </c>
      <c r="M6982">
        <v>-0.99991580000000002</v>
      </c>
      <c r="N6982">
        <v>0</v>
      </c>
      <c r="O6982">
        <v>8.9833959999999994E-3</v>
      </c>
      <c r="P6982">
        <v>-0.99989059999999996</v>
      </c>
      <c r="Q6982">
        <v>1.453978E-2</v>
      </c>
      <c r="R6982">
        <v>2.7568139999999998E-3</v>
      </c>
      <c r="S6982">
        <v>-3.002472</v>
      </c>
      <c r="T6982">
        <v>-7.37704E-2</v>
      </c>
      <c r="U6982">
        <v>-0.35758970000000001</v>
      </c>
      <c r="V6982">
        <v>-6.2459990000000003E-3</v>
      </c>
      <c r="W6982">
        <v>2.3892819999999999E-2</v>
      </c>
      <c r="X6982">
        <v>0.999695</v>
      </c>
      <c r="Y6982">
        <v>-0.1271381</v>
      </c>
      <c r="Z6982">
        <v>-1.7761000000000001E-3</v>
      </c>
      <c r="AA6982">
        <v>0.99188350000000003</v>
      </c>
      <c r="AB6982">
        <v>29</v>
      </c>
      <c r="AC6982">
        <v>-45.013800000000003</v>
      </c>
      <c r="AD6982">
        <v>-1.110128049761</v>
      </c>
      <c r="AE6982">
        <v>-5.3824999999999896</v>
      </c>
      <c r="AF6982">
        <v>-5.7832094784924397</v>
      </c>
      <c r="AG6982">
        <v>-1.110128049761</v>
      </c>
      <c r="AH6982">
        <v>44.936682470189503</v>
      </c>
      <c r="AI6982">
        <v>91.403591373457601</v>
      </c>
      <c r="AJ6982">
        <v>97.333475801216096</v>
      </c>
      <c r="AK6982">
        <v>45.320892837472101</v>
      </c>
      <c r="AL6982">
        <v>88.630911952184306</v>
      </c>
      <c r="AM6982">
        <v>90.35797390706</v>
      </c>
      <c r="AN6982">
        <v>0.99999998618802999</v>
      </c>
    </row>
    <row r="6983" spans="1:40" x14ac:dyDescent="0.25">
      <c r="A6983" t="str">
        <f>"20190312150829445"</f>
        <v>20190312150829445</v>
      </c>
      <c r="B6983" t="str">
        <f>"1552374509436755"</f>
        <v>1552374509436755</v>
      </c>
      <c r="C6983" t="s">
        <v>40</v>
      </c>
      <c r="D6983">
        <v>4.1885709999999996</v>
      </c>
      <c r="E6983">
        <v>0.45299600000000001</v>
      </c>
      <c r="F6983" t="s">
        <v>77</v>
      </c>
      <c r="G6983">
        <v>-306.20139999999998</v>
      </c>
      <c r="H6983" s="1">
        <v>-7.7380710000000003E-6</v>
      </c>
      <c r="I6983">
        <v>135.83600000000001</v>
      </c>
      <c r="J6983">
        <v>-263.84309999999999</v>
      </c>
      <c r="K6983">
        <v>1.1101219999999901</v>
      </c>
      <c r="L6983">
        <v>140.9744</v>
      </c>
      <c r="M6983">
        <v>-0.99991819999999998</v>
      </c>
      <c r="N6983">
        <v>0</v>
      </c>
      <c r="O6983">
        <v>8.7052209999999904E-3</v>
      </c>
      <c r="P6983">
        <v>-0.99989810000000001</v>
      </c>
      <c r="Q6983">
        <v>1.409376E-2</v>
      </c>
      <c r="R6983">
        <v>2.3290379999999999E-3</v>
      </c>
      <c r="S6983">
        <v>-3.002472</v>
      </c>
      <c r="T6983">
        <v>-7.8361269999999997E-2</v>
      </c>
      <c r="U6983">
        <v>-0.36260989999999999</v>
      </c>
      <c r="V6983">
        <v>-6.3952690000000003E-3</v>
      </c>
      <c r="W6983">
        <v>2.3458059999999999E-2</v>
      </c>
      <c r="X6983">
        <v>0.99970440000000005</v>
      </c>
      <c r="Y6983">
        <v>-0.12849140000000001</v>
      </c>
      <c r="Z6983">
        <v>-1.896766E-3</v>
      </c>
      <c r="AA6983">
        <v>0.99170879999999995</v>
      </c>
      <c r="AB6983">
        <v>29</v>
      </c>
      <c r="AC6983">
        <v>-42.3582999999999</v>
      </c>
      <c r="AD6983">
        <v>-1.11012973807099</v>
      </c>
      <c r="AE6983">
        <v>-5.1383999999999901</v>
      </c>
      <c r="AF6983">
        <v>-5.5032346836565704</v>
      </c>
      <c r="AG6983">
        <v>-1.11012973807099</v>
      </c>
      <c r="AH6983">
        <v>42.283340286199099</v>
      </c>
      <c r="AI6983">
        <v>91.491356436011401</v>
      </c>
      <c r="AJ6983">
        <v>97.415440713020303</v>
      </c>
      <c r="AK6983">
        <v>42.654411797342398</v>
      </c>
      <c r="AL6983">
        <v>88.655828913987406</v>
      </c>
      <c r="AM6983">
        <v>90.366525269101501</v>
      </c>
      <c r="AN6983">
        <v>1.0000000337119499</v>
      </c>
    </row>
    <row r="6984" spans="1:40" x14ac:dyDescent="0.25">
      <c r="A6984" t="str">
        <f>"20190312150829462"</f>
        <v>20190312150829462</v>
      </c>
      <c r="B6984" t="str">
        <f>"1552374509457250"</f>
        <v>1552374509457250</v>
      </c>
      <c r="C6984" t="s">
        <v>40</v>
      </c>
      <c r="D6984">
        <v>4.205006</v>
      </c>
      <c r="E6984">
        <v>0.452517</v>
      </c>
      <c r="F6984" t="s">
        <v>77</v>
      </c>
      <c r="G6984">
        <v>-303.18549999999999</v>
      </c>
      <c r="H6984" s="1">
        <v>-7.3953150000000004E-6</v>
      </c>
      <c r="I6984">
        <v>136.11940000000001</v>
      </c>
      <c r="J6984">
        <v>-264.05900000000003</v>
      </c>
      <c r="K6984">
        <v>1.1101289999999999</v>
      </c>
      <c r="L6984">
        <v>140.9759</v>
      </c>
      <c r="M6984">
        <v>-0.99992110000000001</v>
      </c>
      <c r="N6984">
        <v>0</v>
      </c>
      <c r="O6984">
        <v>8.3658799999999992E-3</v>
      </c>
      <c r="P6984">
        <v>-0.99989720000000004</v>
      </c>
      <c r="Q6984">
        <v>1.4216029999999999E-2</v>
      </c>
      <c r="R6984">
        <v>2.0054600000000001E-3</v>
      </c>
      <c r="S6984">
        <v>-3.0023499999999999</v>
      </c>
      <c r="T6984">
        <v>-8.4717630000000002E-2</v>
      </c>
      <c r="U6984">
        <v>-0.37049870000000001</v>
      </c>
      <c r="V6984">
        <v>-6.3795179999999998E-3</v>
      </c>
      <c r="W6984">
        <v>2.3593920000000001E-2</v>
      </c>
      <c r="X6984">
        <v>0.99970130000000001</v>
      </c>
      <c r="Y6984">
        <v>-0.13071830000000001</v>
      </c>
      <c r="Z6984">
        <v>-2.0720780000000002E-3</v>
      </c>
      <c r="AA6984">
        <v>0.9914174</v>
      </c>
      <c r="AB6984">
        <v>29</v>
      </c>
      <c r="AC6984">
        <v>-39.126499999999901</v>
      </c>
      <c r="AD6984">
        <v>-1.1101363953149901</v>
      </c>
      <c r="AE6984">
        <v>-4.8564999999999801</v>
      </c>
      <c r="AF6984">
        <v>-5.1795655826523399</v>
      </c>
      <c r="AG6984">
        <v>-1.1101363953149901</v>
      </c>
      <c r="AH6984">
        <v>39.053537833874103</v>
      </c>
      <c r="AI6984">
        <v>91.6141253612562</v>
      </c>
      <c r="AJ6984">
        <v>97.554894004804297</v>
      </c>
      <c r="AK6984">
        <v>39.411154763379301</v>
      </c>
      <c r="AL6984">
        <v>88.648042549915004</v>
      </c>
      <c r="AM6984">
        <v>90.365623707019196</v>
      </c>
      <c r="AN6984">
        <v>1.0000000302662799</v>
      </c>
    </row>
    <row r="6985" spans="1:40" x14ac:dyDescent="0.25">
      <c r="A6985" t="str">
        <f>"20190312150829475"</f>
        <v>20190312150829475</v>
      </c>
      <c r="B6985" t="str">
        <f>"1552374509467010"</f>
        <v>1552374509467010</v>
      </c>
      <c r="C6985" t="s">
        <v>40</v>
      </c>
      <c r="D6985">
        <v>4.1999810000000002</v>
      </c>
      <c r="E6985">
        <v>0.45257239999999999</v>
      </c>
      <c r="F6985" t="s">
        <v>77</v>
      </c>
      <c r="G6985">
        <v>-300.74149999999997</v>
      </c>
      <c r="H6985" s="1">
        <v>-7.1301509999999899E-6</v>
      </c>
      <c r="I6985">
        <v>136.3877</v>
      </c>
      <c r="J6985">
        <v>-264.23469999999998</v>
      </c>
      <c r="K6985">
        <v>1.1101319999999999</v>
      </c>
      <c r="L6985">
        <v>140.97710000000001</v>
      </c>
      <c r="M6985">
        <v>-0.99992309999999995</v>
      </c>
      <c r="N6985">
        <v>0</v>
      </c>
      <c r="O6985">
        <v>8.0899749999999993E-3</v>
      </c>
      <c r="P6985">
        <v>-0.99989349999999999</v>
      </c>
      <c r="Q6985">
        <v>1.4471110000000001E-2</v>
      </c>
      <c r="R6985">
        <v>1.837565E-3</v>
      </c>
      <c r="S6985">
        <v>-3.0023499999999999</v>
      </c>
      <c r="T6985">
        <v>-9.0861200000000003E-2</v>
      </c>
      <c r="U6985">
        <v>-0.37553409999999998</v>
      </c>
      <c r="V6985">
        <v>-6.2722209999999997E-3</v>
      </c>
      <c r="W6985">
        <v>2.385897E-2</v>
      </c>
      <c r="X6985">
        <v>0.99969569999999996</v>
      </c>
      <c r="Y6985">
        <v>-0.13207349999999901</v>
      </c>
      <c r="Z6985">
        <v>-2.2341520000000001E-3</v>
      </c>
      <c r="AA6985">
        <v>0.99123740000000005</v>
      </c>
      <c r="AB6985">
        <v>29</v>
      </c>
      <c r="AC6985">
        <v>-36.506799999999998</v>
      </c>
      <c r="AD6985">
        <v>-1.110139130151</v>
      </c>
      <c r="AE6985">
        <v>-4.5894000000000101</v>
      </c>
      <c r="AF6985">
        <v>-4.8801594069566097</v>
      </c>
      <c r="AG6985">
        <v>-1.110139130151</v>
      </c>
      <c r="AH6985">
        <v>36.435307417266998</v>
      </c>
      <c r="AI6985">
        <v>91.729754772805293</v>
      </c>
      <c r="AJ6985">
        <v>97.628815077841296</v>
      </c>
      <c r="AK6985">
        <v>36.777438618212003</v>
      </c>
      <c r="AL6985">
        <v>88.632852043571305</v>
      </c>
      <c r="AM6985">
        <v>90.359476464750799</v>
      </c>
      <c r="AN6985">
        <v>1.00000004190211</v>
      </c>
    </row>
    <row r="6986" spans="1:40" x14ac:dyDescent="0.25">
      <c r="A6986" t="str">
        <f>"20190312150829489"</f>
        <v>20190312150829489</v>
      </c>
      <c r="B6986" t="str">
        <f>"1552374509486530"</f>
        <v>1552374509486530</v>
      </c>
      <c r="C6986" t="s">
        <v>40</v>
      </c>
      <c r="D6986">
        <v>4.363124</v>
      </c>
      <c r="E6986">
        <v>0.45254339999999998</v>
      </c>
      <c r="F6986" t="s">
        <v>77</v>
      </c>
      <c r="G6986">
        <v>-301.07690000000002</v>
      </c>
      <c r="H6986" s="1">
        <v>-7.1721240000000001E-6</v>
      </c>
      <c r="I6986">
        <v>136.3683</v>
      </c>
      <c r="J6986">
        <v>-264.4033</v>
      </c>
      <c r="K6986">
        <v>1.110134</v>
      </c>
      <c r="L6986">
        <v>140.97819999999999</v>
      </c>
      <c r="M6986">
        <v>-0.99992530000000002</v>
      </c>
      <c r="N6986">
        <v>0</v>
      </c>
      <c r="O6986">
        <v>7.8249800000000005E-3</v>
      </c>
      <c r="P6986">
        <v>-0.9998918</v>
      </c>
      <c r="Q6986">
        <v>1.4662669999999999E-2</v>
      </c>
      <c r="R6986">
        <v>1.3739519999999999E-3</v>
      </c>
      <c r="S6986">
        <v>-3.0023499999999999</v>
      </c>
      <c r="T6986">
        <v>-9.0467569999999997E-2</v>
      </c>
      <c r="U6986">
        <v>-0.37557980000000002</v>
      </c>
      <c r="V6986">
        <v>-6.4704940000000002E-3</v>
      </c>
      <c r="W6986">
        <v>2.406061E-2</v>
      </c>
      <c r="X6986">
        <v>0.99968959999999996</v>
      </c>
      <c r="Y6986">
        <v>-0.13182639999999901</v>
      </c>
      <c r="Z6986">
        <v>-2.212814E-3</v>
      </c>
      <c r="AA6986">
        <v>0.9912704</v>
      </c>
      <c r="AB6986">
        <v>29</v>
      </c>
      <c r="AC6986">
        <v>-36.6736</v>
      </c>
      <c r="AD6986">
        <v>-1.110141172124</v>
      </c>
      <c r="AE6986">
        <v>-4.6098999999999801</v>
      </c>
      <c r="AF6986">
        <v>-4.8923284614502096</v>
      </c>
      <c r="AG6986">
        <v>-1.110141172124</v>
      </c>
      <c r="AH6986">
        <v>36.603384290504501</v>
      </c>
      <c r="AI6986">
        <v>91.721883890471005</v>
      </c>
      <c r="AJ6986">
        <v>97.612909427389994</v>
      </c>
      <c r="AK6986">
        <v>36.945568512544398</v>
      </c>
      <c r="AL6986">
        <v>88.621295600496595</v>
      </c>
      <c r="AM6986">
        <v>90.370841929968094</v>
      </c>
      <c r="AN6986">
        <v>1.0000000382971601</v>
      </c>
    </row>
    <row r="6987" spans="1:40" x14ac:dyDescent="0.25">
      <c r="A6987" t="str">
        <f>"20190312150829510"</f>
        <v>20190312150829510</v>
      </c>
      <c r="B6987" t="str">
        <f>"1552374509507127"</f>
        <v>1552374509507127</v>
      </c>
      <c r="C6987" t="s">
        <v>40</v>
      </c>
      <c r="D6987">
        <v>4.1903499999999996</v>
      </c>
      <c r="E6987">
        <v>0.45254280000000002</v>
      </c>
      <c r="F6987" t="s">
        <v>77</v>
      </c>
      <c r="G6987">
        <v>-303.92489999999998</v>
      </c>
      <c r="H6987" s="1">
        <v>-7.4675040000000002E-6</v>
      </c>
      <c r="I6987">
        <v>136.01320000000001</v>
      </c>
      <c r="J6987">
        <v>-264.6703</v>
      </c>
      <c r="K6987">
        <v>1.110141</v>
      </c>
      <c r="L6987">
        <v>140.97989999999999</v>
      </c>
      <c r="M6987">
        <v>-0.99992820000000004</v>
      </c>
      <c r="N6987">
        <v>0</v>
      </c>
      <c r="O6987">
        <v>7.4058769999999999E-3</v>
      </c>
      <c r="P6987">
        <v>-0.99989019999999995</v>
      </c>
      <c r="Q6987">
        <v>1.4795310000000001E-2</v>
      </c>
      <c r="R6987">
        <v>8.9929630000000005E-4</v>
      </c>
      <c r="S6987">
        <v>-3.0021059999999999</v>
      </c>
      <c r="T6987">
        <v>-8.4327699999999894E-2</v>
      </c>
      <c r="U6987">
        <v>-0.37715149999999997</v>
      </c>
      <c r="V6987">
        <v>-6.5267199999999997E-3</v>
      </c>
      <c r="W6987">
        <v>2.420839E-2</v>
      </c>
      <c r="X6987">
        <v>0.99968559999999995</v>
      </c>
      <c r="Y6987">
        <v>-0.1319401</v>
      </c>
      <c r="Z6987">
        <v>-2.0526569999999998E-3</v>
      </c>
      <c r="AA6987">
        <v>0.99125560000000001</v>
      </c>
      <c r="AB6987">
        <v>29</v>
      </c>
      <c r="AC6987">
        <v>-39.254599999999897</v>
      </c>
      <c r="AD6987">
        <v>-1.1101484675040001</v>
      </c>
      <c r="AE6987">
        <v>-4.9666999999999701</v>
      </c>
      <c r="AF6987">
        <v>-5.2531561515411704</v>
      </c>
      <c r="AG6987">
        <v>-1.1101484675040001</v>
      </c>
      <c r="AH6987">
        <v>39.185891960012498</v>
      </c>
      <c r="AI6987">
        <v>91.608392646415297</v>
      </c>
      <c r="AJ6987">
        <v>97.635397020253194</v>
      </c>
      <c r="AK6987">
        <v>39.552019011349401</v>
      </c>
      <c r="AL6987">
        <v>88.612825870855104</v>
      </c>
      <c r="AM6987">
        <v>90.374065803247802</v>
      </c>
      <c r="AN6987">
        <v>0.999999971533854</v>
      </c>
    </row>
    <row r="6988" spans="1:40" x14ac:dyDescent="0.25">
      <c r="A6988" t="str">
        <f>"20190312150829531"</f>
        <v>20190312150829531</v>
      </c>
      <c r="B6988" t="str">
        <f>"1552374509526633"</f>
        <v>1552374509526633</v>
      </c>
      <c r="C6988" t="s">
        <v>40</v>
      </c>
      <c r="D6988">
        <v>4.1897010000000003</v>
      </c>
      <c r="E6988">
        <v>0.45257940000000002</v>
      </c>
      <c r="F6988" t="s">
        <v>77</v>
      </c>
      <c r="G6988">
        <v>-303.72160000000002</v>
      </c>
      <c r="H6988" s="1">
        <v>-7.4522579999999999E-6</v>
      </c>
      <c r="I6988">
        <v>136.05670000000001</v>
      </c>
      <c r="J6988">
        <v>-264.947</v>
      </c>
      <c r="K6988">
        <v>1.110144</v>
      </c>
      <c r="L6988">
        <v>140.98150000000001</v>
      </c>
      <c r="M6988">
        <v>-0.99993129999999997</v>
      </c>
      <c r="N6988">
        <v>0</v>
      </c>
      <c r="O6988">
        <v>6.9715749999999998E-3</v>
      </c>
      <c r="P6988">
        <v>-0.99988940000000004</v>
      </c>
      <c r="Q6988">
        <v>1.4878290000000001E-2</v>
      </c>
      <c r="R6988">
        <v>2.8461289999999999E-4</v>
      </c>
      <c r="S6988">
        <v>-3.0019230000000001</v>
      </c>
      <c r="T6988">
        <v>-8.533847E-2</v>
      </c>
      <c r="U6988">
        <v>-0.37844850000000002</v>
      </c>
      <c r="V6988">
        <v>-6.7068919999999999E-3</v>
      </c>
      <c r="W6988">
        <v>2.4306589999999999E-2</v>
      </c>
      <c r="X6988">
        <v>0.99968210000000002</v>
      </c>
      <c r="Y6988">
        <v>-0.13193750000000001</v>
      </c>
      <c r="Z6988">
        <v>-2.064986E-3</v>
      </c>
      <c r="AA6988">
        <v>0.99125589999999997</v>
      </c>
      <c r="AB6988">
        <v>29</v>
      </c>
      <c r="AC6988">
        <v>-38.7746</v>
      </c>
      <c r="AD6988">
        <v>-1.1101514522579901</v>
      </c>
      <c r="AE6988">
        <v>-4.9248000000000003</v>
      </c>
      <c r="AF6988">
        <v>-5.1908248294431996</v>
      </c>
      <c r="AG6988">
        <v>-1.1101514522579901</v>
      </c>
      <c r="AH6988">
        <v>38.708096113902201</v>
      </c>
      <c r="AI6988">
        <v>91.6282301683692</v>
      </c>
      <c r="AJ6988">
        <v>97.637899044698798</v>
      </c>
      <c r="AK6988">
        <v>39.070369891005697</v>
      </c>
      <c r="AL6988">
        <v>88.607197874016094</v>
      </c>
      <c r="AM6988">
        <v>90.384393038392801</v>
      </c>
      <c r="AN6988">
        <v>1.00000004688906</v>
      </c>
    </row>
    <row r="6989" spans="1:40" x14ac:dyDescent="0.25">
      <c r="A6989" t="str">
        <f>"20190312150829553"</f>
        <v>20190312150829553</v>
      </c>
      <c r="B6989" t="str">
        <f>"1552374509547130"</f>
        <v>1552374509547130</v>
      </c>
      <c r="C6989" t="s">
        <v>40</v>
      </c>
      <c r="D6989">
        <v>4.1817929999999999</v>
      </c>
      <c r="E6989">
        <v>0.4526347</v>
      </c>
      <c r="F6989" t="s">
        <v>77</v>
      </c>
      <c r="G6989">
        <v>-303.63290000000001</v>
      </c>
      <c r="H6989" s="1">
        <v>-7.447481E-6</v>
      </c>
      <c r="I6989">
        <v>136.08160000000001</v>
      </c>
      <c r="J6989">
        <v>-265.24160000000001</v>
      </c>
      <c r="K6989">
        <v>1.110147</v>
      </c>
      <c r="L6989">
        <v>140.983</v>
      </c>
      <c r="M6989">
        <v>-0.99993430000000005</v>
      </c>
      <c r="N6989">
        <v>0</v>
      </c>
      <c r="O6989">
        <v>6.509435E-3</v>
      </c>
      <c r="P6989">
        <v>-0.99988679999999996</v>
      </c>
      <c r="Q6989">
        <v>1.5051470000000001E-2</v>
      </c>
      <c r="R6989">
        <v>-3.1397940000000001E-4</v>
      </c>
      <c r="S6989">
        <v>-3.001709</v>
      </c>
      <c r="T6989">
        <v>-8.6138610000000004E-2</v>
      </c>
      <c r="U6989">
        <v>-0.38018800000000003</v>
      </c>
      <c r="V6989">
        <v>-6.843193E-3</v>
      </c>
      <c r="W6989">
        <v>2.449488E-2</v>
      </c>
      <c r="X6989">
        <v>0.99967649999999997</v>
      </c>
      <c r="Y6989">
        <v>-0.13205259999999999</v>
      </c>
      <c r="Z6989">
        <v>-2.0728470000000001E-3</v>
      </c>
      <c r="AA6989">
        <v>0.99124060000000003</v>
      </c>
      <c r="AB6989">
        <v>29</v>
      </c>
      <c r="AC6989">
        <v>-38.391300000000001</v>
      </c>
      <c r="AD6989">
        <v>-1.1101544474809999</v>
      </c>
      <c r="AE6989">
        <v>-4.90139999999999</v>
      </c>
      <c r="AF6989">
        <v>-5.1469781540956703</v>
      </c>
      <c r="AG6989">
        <v>-1.1101544474809999</v>
      </c>
      <c r="AH6989">
        <v>38.327045365656602</v>
      </c>
      <c r="AI6989">
        <v>91.644372763169102</v>
      </c>
      <c r="AJ6989">
        <v>97.648549744342901</v>
      </c>
      <c r="AK6989">
        <v>38.687029266630098</v>
      </c>
      <c r="AL6989">
        <v>88.596406326321798</v>
      </c>
      <c r="AM6989">
        <v>90.392206832043001</v>
      </c>
      <c r="AN6989">
        <v>0.999999966544449</v>
      </c>
    </row>
    <row r="6990" spans="1:40" x14ac:dyDescent="0.25">
      <c r="A6990" t="str">
        <f>"20190312150829575"</f>
        <v>20190312150829575</v>
      </c>
      <c r="B6990" t="str">
        <f>"1552374509566653"</f>
        <v>1552374509566653</v>
      </c>
      <c r="C6990" t="s">
        <v>40</v>
      </c>
      <c r="D6990">
        <v>4.1348830000000003</v>
      </c>
      <c r="E6990">
        <v>0.45274160000000002</v>
      </c>
      <c r="F6990" t="s">
        <v>77</v>
      </c>
      <c r="G6990">
        <v>-304.2824</v>
      </c>
      <c r="H6990" s="1">
        <v>-7.52148699999999E-6</v>
      </c>
      <c r="I6990">
        <v>136.0214</v>
      </c>
      <c r="J6990">
        <v>-265.53050000000002</v>
      </c>
      <c r="K6990">
        <v>1.110147</v>
      </c>
      <c r="L6990">
        <v>140.98439999999999</v>
      </c>
      <c r="M6990">
        <v>-0.99993699999999996</v>
      </c>
      <c r="N6990">
        <v>0</v>
      </c>
      <c r="O6990">
        <v>6.0561230000000001E-3</v>
      </c>
      <c r="P6990">
        <v>-0.99988560000000004</v>
      </c>
      <c r="Q6990">
        <v>1.5118339999999999E-2</v>
      </c>
      <c r="R6990">
        <v>-8.0690039999999996E-4</v>
      </c>
      <c r="S6990">
        <v>-3.0014949999999998</v>
      </c>
      <c r="T6990">
        <v>-8.5349800000000003E-2</v>
      </c>
      <c r="U6990">
        <v>-0.38145449999999997</v>
      </c>
      <c r="V6990">
        <v>-6.8832190000000003E-3</v>
      </c>
      <c r="W6990">
        <v>2.4576400000000002E-2</v>
      </c>
      <c r="X6990">
        <v>0.99967430000000002</v>
      </c>
      <c r="Y6990">
        <v>-0.1320249</v>
      </c>
      <c r="Z6990">
        <v>-2.040732E-3</v>
      </c>
      <c r="AA6990">
        <v>0.99124429999999997</v>
      </c>
      <c r="AB6990">
        <v>29</v>
      </c>
      <c r="AC6990">
        <v>-38.7518999999999</v>
      </c>
      <c r="AD6990">
        <v>-1.1101545214869999</v>
      </c>
      <c r="AE6990">
        <v>-4.9629999999999903</v>
      </c>
      <c r="AF6990">
        <v>-5.1934123154868299</v>
      </c>
      <c r="AG6990">
        <v>-1.1101545214869999</v>
      </c>
      <c r="AH6990">
        <v>38.689891279288702</v>
      </c>
      <c r="AI6990">
        <v>91.628972501586901</v>
      </c>
      <c r="AJ6990">
        <v>97.645214481567507</v>
      </c>
      <c r="AK6990">
        <v>39.052678035486998</v>
      </c>
      <c r="AL6990">
        <v>88.591734274130999</v>
      </c>
      <c r="AM6990">
        <v>90.394501655076496</v>
      </c>
      <c r="AN6990">
        <v>1.0000000421106201</v>
      </c>
    </row>
    <row r="6991" spans="1:40" x14ac:dyDescent="0.25">
      <c r="A6991" t="str">
        <f>"20190312150829588"</f>
        <v>20190312150829588</v>
      </c>
      <c r="B6991" t="str">
        <f>"1552374509577384"</f>
        <v>1552374509577384</v>
      </c>
      <c r="C6991" t="s">
        <v>40</v>
      </c>
      <c r="D6991">
        <v>4.1888420000000002</v>
      </c>
      <c r="E6991">
        <v>0.45277200000000001</v>
      </c>
      <c r="F6991" t="s">
        <v>77</v>
      </c>
      <c r="G6991">
        <v>-306.13830000000002</v>
      </c>
      <c r="H6991" s="1">
        <v>-7.721735E-6</v>
      </c>
      <c r="I6991">
        <v>135.8142</v>
      </c>
      <c r="J6991">
        <v>-265.69720000000001</v>
      </c>
      <c r="K6991">
        <v>1.1101479999999999</v>
      </c>
      <c r="L6991">
        <v>140.98519999999999</v>
      </c>
      <c r="M6991">
        <v>-0.99993840000000001</v>
      </c>
      <c r="N6991">
        <v>0</v>
      </c>
      <c r="O6991">
        <v>5.7947129999999999E-3</v>
      </c>
      <c r="P6991">
        <v>-0.99988299999999997</v>
      </c>
      <c r="Q6991">
        <v>1.526832E-2</v>
      </c>
      <c r="R6991">
        <v>-1.0696729999999999E-3</v>
      </c>
      <c r="S6991">
        <v>-3.0012819999999998</v>
      </c>
      <c r="T6991">
        <v>-8.2050440000000002E-2</v>
      </c>
      <c r="U6991">
        <v>-0.38212590000000002</v>
      </c>
      <c r="V6991">
        <v>-6.8846230000000003E-3</v>
      </c>
      <c r="W6991">
        <v>2.473467E-2</v>
      </c>
      <c r="X6991">
        <v>0.99967030000000001</v>
      </c>
      <c r="Y6991">
        <v>-0.13199710000000001</v>
      </c>
      <c r="Z6991">
        <v>-1.9544879999999999E-3</v>
      </c>
      <c r="AA6991">
        <v>0.99124820000000002</v>
      </c>
      <c r="AB6991">
        <v>29</v>
      </c>
      <c r="AC6991">
        <v>-40.441099999999999</v>
      </c>
      <c r="AD6991">
        <v>-1.110155721735</v>
      </c>
      <c r="AE6991">
        <v>-5.1709999999999896</v>
      </c>
      <c r="AF6991">
        <v>-5.4012635042948798</v>
      </c>
      <c r="AG6991">
        <v>-1.110155721735</v>
      </c>
      <c r="AH6991">
        <v>40.380515226752898</v>
      </c>
      <c r="AI6991">
        <v>91.560905001150303</v>
      </c>
      <c r="AJ6991">
        <v>97.618613525465193</v>
      </c>
      <c r="AK6991">
        <v>40.755270863378499</v>
      </c>
      <c r="AL6991">
        <v>88.582663190923995</v>
      </c>
      <c r="AM6991">
        <v>90.394583699543304</v>
      </c>
      <c r="AN6991">
        <v>0.99999995531797403</v>
      </c>
    </row>
    <row r="6992" spans="1:40" x14ac:dyDescent="0.25">
      <c r="A6992" t="str">
        <f>"20190312150829599"</f>
        <v>20190312150829599</v>
      </c>
      <c r="B6992" t="str">
        <f>"1552374509596905"</f>
        <v>1552374509596905</v>
      </c>
      <c r="C6992" t="s">
        <v>40</v>
      </c>
      <c r="D6992">
        <v>4.1715920000000004</v>
      </c>
      <c r="E6992">
        <v>0.45297399999999999</v>
      </c>
      <c r="F6992" t="s">
        <v>77</v>
      </c>
      <c r="G6992">
        <v>-306.84460000000001</v>
      </c>
      <c r="H6992" s="1">
        <v>-7.8087349999999994E-6</v>
      </c>
      <c r="I6992">
        <v>135.73910000000001</v>
      </c>
      <c r="J6992">
        <v>-265.86189999999999</v>
      </c>
      <c r="K6992">
        <v>1.1101479999999999</v>
      </c>
      <c r="L6992">
        <v>140.98589999999999</v>
      </c>
      <c r="M6992">
        <v>-0.99993980000000005</v>
      </c>
      <c r="N6992">
        <v>0</v>
      </c>
      <c r="O6992">
        <v>5.5362839999999998E-3</v>
      </c>
      <c r="P6992">
        <v>-0.99988410000000005</v>
      </c>
      <c r="Q6992">
        <v>1.5162109999999999E-2</v>
      </c>
      <c r="R6992">
        <v>-1.44249E-3</v>
      </c>
      <c r="S6992">
        <v>-3.0012210000000001</v>
      </c>
      <c r="T6992">
        <v>-8.0972790000000003E-2</v>
      </c>
      <c r="U6992">
        <v>-0.3826447</v>
      </c>
      <c r="V6992">
        <v>-6.9995209999999999E-3</v>
      </c>
      <c r="W6992">
        <v>2.463599E-2</v>
      </c>
      <c r="X6992">
        <v>0.99967200000000001</v>
      </c>
      <c r="Y6992">
        <v>-0.13191349999999999</v>
      </c>
      <c r="Z6992">
        <v>-1.920777E-3</v>
      </c>
      <c r="AA6992">
        <v>0.99125940000000001</v>
      </c>
      <c r="AB6992">
        <v>29</v>
      </c>
      <c r="AC6992">
        <v>-40.982700000000001</v>
      </c>
      <c r="AD6992">
        <v>-1.1101558087350001</v>
      </c>
      <c r="AE6992">
        <v>-5.2467999999999702</v>
      </c>
      <c r="AF6992">
        <v>-5.4696728100814598</v>
      </c>
      <c r="AG6992">
        <v>-1.1101558087350001</v>
      </c>
      <c r="AH6992">
        <v>40.9234781483879</v>
      </c>
      <c r="AI6992">
        <v>91.540226288124202</v>
      </c>
      <c r="AJ6992">
        <v>97.612813186082803</v>
      </c>
      <c r="AK6992">
        <v>41.302310229944702</v>
      </c>
      <c r="AL6992">
        <v>88.588318948452795</v>
      </c>
      <c r="AM6992">
        <v>90.401168041452195</v>
      </c>
      <c r="AN6992">
        <v>1.0000000164407501</v>
      </c>
    </row>
    <row r="6993" spans="1:40" x14ac:dyDescent="0.25">
      <c r="A6993" t="str">
        <f>"20190312150829613"</f>
        <v>20190312150829613</v>
      </c>
      <c r="B6993" t="str">
        <f>"1552374509606665"</f>
        <v>1552374509606665</v>
      </c>
      <c r="C6993" t="s">
        <v>40</v>
      </c>
      <c r="D6993">
        <v>4.1632319999999998</v>
      </c>
      <c r="E6993">
        <v>0.45303159999999998</v>
      </c>
      <c r="F6993" t="s">
        <v>77</v>
      </c>
      <c r="G6993">
        <v>-309.21440000000001</v>
      </c>
      <c r="H6993" s="1">
        <v>-8.0953399999999996E-6</v>
      </c>
      <c r="I6993">
        <v>135.46719999999999</v>
      </c>
      <c r="J6993">
        <v>-266.02879999999999</v>
      </c>
      <c r="K6993">
        <v>1.1101510000000001</v>
      </c>
      <c r="L6993">
        <v>140.98660000000001</v>
      </c>
      <c r="M6993">
        <v>-0.99994119999999997</v>
      </c>
      <c r="N6993">
        <v>0</v>
      </c>
      <c r="O6993">
        <v>5.2746360000000001E-3</v>
      </c>
      <c r="P6993">
        <v>-0.99988719999999998</v>
      </c>
      <c r="Q6993">
        <v>1.495146E-2</v>
      </c>
      <c r="R6993">
        <v>-1.497721E-3</v>
      </c>
      <c r="S6993">
        <v>-3.0009769999999998</v>
      </c>
      <c r="T6993">
        <v>-7.6848029999999998E-2</v>
      </c>
      <c r="U6993">
        <v>-0.382019</v>
      </c>
      <c r="V6993">
        <v>-6.7926740000000003E-3</v>
      </c>
      <c r="W6993">
        <v>2.443387E-2</v>
      </c>
      <c r="X6993">
        <v>0.99967839999999997</v>
      </c>
      <c r="Y6993">
        <v>-0.131466</v>
      </c>
      <c r="Z6993">
        <v>-1.8107570000000001E-3</v>
      </c>
      <c r="AA6993">
        <v>0.99131899999999995</v>
      </c>
      <c r="AB6993">
        <v>29</v>
      </c>
      <c r="AC6993">
        <v>-43.185600000000001</v>
      </c>
      <c r="AD6993">
        <v>-1.11015909534</v>
      </c>
      <c r="AE6993">
        <v>-5.5194000000000099</v>
      </c>
      <c r="AF6993">
        <v>-5.74338733182221</v>
      </c>
      <c r="AG6993">
        <v>-1.11015909534</v>
      </c>
      <c r="AH6993">
        <v>43.1278427611756</v>
      </c>
      <c r="AI6993">
        <v>91.461633978346498</v>
      </c>
      <c r="AJ6993">
        <v>97.585516871402007</v>
      </c>
      <c r="AK6993">
        <v>43.5227500566427</v>
      </c>
      <c r="AL6993">
        <v>88.5999030758462</v>
      </c>
      <c r="AM6993">
        <v>90.389310764643497</v>
      </c>
      <c r="AN6993">
        <v>1.0000000289249</v>
      </c>
    </row>
    <row r="6994" spans="1:40" x14ac:dyDescent="0.25">
      <c r="A6994" t="str">
        <f>"20190312150829630"</f>
        <v>20190312150829630</v>
      </c>
      <c r="B6994" t="str">
        <f>"1552374509627161"</f>
        <v>1552374509627161</v>
      </c>
      <c r="C6994" t="s">
        <v>40</v>
      </c>
      <c r="D6994">
        <v>4.1581809999999999</v>
      </c>
      <c r="E6994">
        <v>0.45321090000000003</v>
      </c>
      <c r="F6994" t="s">
        <v>77</v>
      </c>
      <c r="G6994">
        <v>-310.21719999999999</v>
      </c>
      <c r="H6994" s="1">
        <v>-8.0824159999999995E-6</v>
      </c>
      <c r="I6994">
        <v>135.36510000000001</v>
      </c>
      <c r="J6994">
        <v>-266.24880000000002</v>
      </c>
      <c r="K6994">
        <v>1.1101490000000001</v>
      </c>
      <c r="L6994">
        <v>140.98740000000001</v>
      </c>
      <c r="M6994">
        <v>-0.99994280000000002</v>
      </c>
      <c r="N6994">
        <v>0</v>
      </c>
      <c r="O6994">
        <v>4.9297079999999997E-3</v>
      </c>
      <c r="P6994">
        <v>-0.99988699999999997</v>
      </c>
      <c r="Q6994">
        <v>1.4949179999999999E-2</v>
      </c>
      <c r="R6994">
        <v>-1.6413840000000001E-3</v>
      </c>
      <c r="S6994">
        <v>-3.0008849999999998</v>
      </c>
      <c r="T6994">
        <v>-7.5392249999999994E-2</v>
      </c>
      <c r="U6994">
        <v>-0.38175959999999998</v>
      </c>
      <c r="V6994">
        <v>-6.5915119999999999E-3</v>
      </c>
      <c r="W6994">
        <v>2.4442450000000001E-2</v>
      </c>
      <c r="X6994">
        <v>0.99967950000000005</v>
      </c>
      <c r="Y6994">
        <v>-0.1310453</v>
      </c>
      <c r="Z6994">
        <v>-1.762635E-3</v>
      </c>
      <c r="AA6994">
        <v>0.9913748</v>
      </c>
      <c r="AB6994">
        <v>29</v>
      </c>
      <c r="AC6994">
        <v>-43.968399999999903</v>
      </c>
      <c r="AD6994">
        <v>-1.1101570824160001</v>
      </c>
      <c r="AE6994">
        <v>-5.6222999999999903</v>
      </c>
      <c r="AF6994">
        <v>-5.8353325761411501</v>
      </c>
      <c r="AG6994">
        <v>-1.1101570824160001</v>
      </c>
      <c r="AH6994">
        <v>43.912603763834298</v>
      </c>
      <c r="AI6994">
        <v>91.435575241946097</v>
      </c>
      <c r="AJ6994">
        <v>97.569410953015307</v>
      </c>
      <c r="AK6994">
        <v>44.312530105392597</v>
      </c>
      <c r="AL6994">
        <v>88.599411279561494</v>
      </c>
      <c r="AM6994">
        <v>90.377781424179304</v>
      </c>
      <c r="AN6994">
        <v>0.99999999205634904</v>
      </c>
    </row>
    <row r="6995" spans="1:40" x14ac:dyDescent="0.25">
      <c r="A6995" t="str">
        <f>"20190312150829642"</f>
        <v>20190312150829642</v>
      </c>
      <c r="B6995" t="str">
        <f>"1552374509636921"</f>
        <v>1552374509636921</v>
      </c>
      <c r="C6995" t="s">
        <v>40</v>
      </c>
      <c r="D6995">
        <v>4.3402599999999998</v>
      </c>
      <c r="E6995">
        <v>0.45325559999999998</v>
      </c>
      <c r="F6995" t="s">
        <v>77</v>
      </c>
      <c r="G6995">
        <v>-312.56939999999997</v>
      </c>
      <c r="H6995" s="1">
        <v>-7.1188179999999996E-6</v>
      </c>
      <c r="I6995">
        <v>135.11080000000001</v>
      </c>
      <c r="J6995">
        <v>-266.4298</v>
      </c>
      <c r="K6995">
        <v>1.11015</v>
      </c>
      <c r="L6995">
        <v>140.988</v>
      </c>
      <c r="M6995">
        <v>-0.99994400000000006</v>
      </c>
      <c r="N6995">
        <v>0</v>
      </c>
      <c r="O6995">
        <v>4.645766E-3</v>
      </c>
      <c r="P6995">
        <v>-0.9998901</v>
      </c>
      <c r="Q6995">
        <v>1.4689219999999999E-2</v>
      </c>
      <c r="R6995">
        <v>-2.0254140000000001E-3</v>
      </c>
      <c r="S6995">
        <v>-3.0008240000000002</v>
      </c>
      <c r="T6995">
        <v>-7.1920280000000003E-2</v>
      </c>
      <c r="U6995">
        <v>-0.38070680000000001</v>
      </c>
      <c r="V6995">
        <v>-6.691181E-3</v>
      </c>
      <c r="W6995">
        <v>2.419075E-2</v>
      </c>
      <c r="X6995">
        <v>0.99968500000000005</v>
      </c>
      <c r="Y6995">
        <v>-0.13042809999999999</v>
      </c>
      <c r="Z6995">
        <v>-1.6674120000000001E-3</v>
      </c>
      <c r="AA6995">
        <v>0.99145640000000002</v>
      </c>
      <c r="AB6995">
        <v>30</v>
      </c>
      <c r="AC6995">
        <v>-46.139599999999902</v>
      </c>
      <c r="AD6995">
        <v>-1.1101571188179999</v>
      </c>
      <c r="AE6995">
        <v>-5.8771999999999798</v>
      </c>
      <c r="AF6995">
        <v>-6.0880318135033402</v>
      </c>
      <c r="AG6995">
        <v>-1.1101571188179999</v>
      </c>
      <c r="AH6995">
        <v>46.085542675417202</v>
      </c>
      <c r="AI6995">
        <v>91.368053384471196</v>
      </c>
      <c r="AJ6995">
        <v>97.525362544766594</v>
      </c>
      <c r="AK6995">
        <v>46.499180894703798</v>
      </c>
      <c r="AL6995">
        <v>88.613836948001705</v>
      </c>
      <c r="AM6995">
        <v>90.3834915061327</v>
      </c>
      <c r="AN6995">
        <v>1.00000003175686</v>
      </c>
    </row>
    <row r="6996" spans="1:40" x14ac:dyDescent="0.25">
      <c r="A6996" t="str">
        <f>"20190312150829655"</f>
        <v>20190312150829655</v>
      </c>
      <c r="B6996" t="str">
        <f>"1552374509646682"</f>
        <v>1552374509646682</v>
      </c>
      <c r="C6996" t="s">
        <v>40</v>
      </c>
      <c r="D6996">
        <v>4.1453069999999999</v>
      </c>
      <c r="E6996">
        <v>0.4533063</v>
      </c>
      <c r="F6996" t="s">
        <v>77</v>
      </c>
      <c r="G6996">
        <v>-313.16430000000003</v>
      </c>
      <c r="H6996" s="1">
        <v>-6.863116E-6</v>
      </c>
      <c r="I6996">
        <v>135.0478</v>
      </c>
      <c r="J6996">
        <v>-266.58600000000001</v>
      </c>
      <c r="K6996">
        <v>1.1101510000000001</v>
      </c>
      <c r="L6996">
        <v>140.98849999999999</v>
      </c>
      <c r="M6996">
        <v>-0.99994519999999998</v>
      </c>
      <c r="N6996">
        <v>0</v>
      </c>
      <c r="O6996">
        <v>4.4009909999999999E-3</v>
      </c>
      <c r="P6996">
        <v>-0.99988719999999998</v>
      </c>
      <c r="Q6996">
        <v>1.483451E-2</v>
      </c>
      <c r="R6996">
        <v>-2.4078749999999999E-3</v>
      </c>
      <c r="S6996">
        <v>-3.00061</v>
      </c>
      <c r="T6996">
        <v>-7.1278099999999997E-2</v>
      </c>
      <c r="U6996">
        <v>-0.38139339999999999</v>
      </c>
      <c r="V6996">
        <v>-6.8293939999999999E-3</v>
      </c>
      <c r="W6996">
        <v>2.4343299999999998E-2</v>
      </c>
      <c r="X6996">
        <v>0.99968029999999997</v>
      </c>
      <c r="Y6996">
        <v>-0.13041820000000001</v>
      </c>
      <c r="Z6996">
        <v>-1.646713E-3</v>
      </c>
      <c r="AA6996">
        <v>0.9914577</v>
      </c>
      <c r="AB6996">
        <v>30</v>
      </c>
      <c r="AC6996">
        <v>-46.578299999999999</v>
      </c>
      <c r="AD6996">
        <v>-1.1101578631160001</v>
      </c>
      <c r="AE6996">
        <v>-5.9406999999999899</v>
      </c>
      <c r="AF6996">
        <v>-6.14220903328067</v>
      </c>
      <c r="AG6996">
        <v>-1.1101578631160001</v>
      </c>
      <c r="AH6996">
        <v>46.525695908891599</v>
      </c>
      <c r="AI6996">
        <v>91.355131760608302</v>
      </c>
      <c r="AJ6996">
        <v>97.520559426913493</v>
      </c>
      <c r="AK6996">
        <v>46.942513376428899</v>
      </c>
      <c r="AL6996">
        <v>88.605093815587594</v>
      </c>
      <c r="AM6996">
        <v>90.391414500905597</v>
      </c>
      <c r="AN6996">
        <v>0.99999996954269299</v>
      </c>
    </row>
    <row r="6997" spans="1:40" x14ac:dyDescent="0.25">
      <c r="A6997" t="str">
        <f>"20190312150829668"</f>
        <v>20190312150829668</v>
      </c>
      <c r="B6997" t="str">
        <f>"1552374509656441"</f>
        <v>1552374509656441</v>
      </c>
      <c r="C6997" t="s">
        <v>40</v>
      </c>
      <c r="D6997">
        <v>4.1172180000000003</v>
      </c>
      <c r="E6997">
        <v>0.4533913</v>
      </c>
      <c r="F6997" t="s">
        <v>77</v>
      </c>
      <c r="G6997">
        <v>-313.17099999999999</v>
      </c>
      <c r="H6997" s="1">
        <v>-6.862741E-6</v>
      </c>
      <c r="I6997">
        <v>135.0549</v>
      </c>
      <c r="J6997">
        <v>-266.75</v>
      </c>
      <c r="K6997">
        <v>1.1101529999999999</v>
      </c>
      <c r="L6997">
        <v>140.989</v>
      </c>
      <c r="M6997">
        <v>-0.99994609999999995</v>
      </c>
      <c r="N6997">
        <v>0</v>
      </c>
      <c r="O6997">
        <v>4.1438760000000003E-3</v>
      </c>
      <c r="P6997">
        <v>-0.99988319999999997</v>
      </c>
      <c r="Q6997">
        <v>1.506008E-2</v>
      </c>
      <c r="R6997">
        <v>-2.6111820000000001E-3</v>
      </c>
      <c r="S6997">
        <v>-3.0004580000000001</v>
      </c>
      <c r="T6997">
        <v>-7.1503399999999995E-2</v>
      </c>
      <c r="U6997">
        <v>-0.3821716</v>
      </c>
      <c r="V6997">
        <v>-6.7754900000000003E-3</v>
      </c>
      <c r="W6997">
        <v>2.4575920000000001E-2</v>
      </c>
      <c r="X6997">
        <v>0.99967499999999998</v>
      </c>
      <c r="Y6997">
        <v>-0.1304225</v>
      </c>
      <c r="Z6997">
        <v>-1.6459199999999999E-3</v>
      </c>
      <c r="AA6997">
        <v>0.99145720000000004</v>
      </c>
      <c r="AB6997">
        <v>30</v>
      </c>
      <c r="AC6997">
        <v>-46.4209999999999</v>
      </c>
      <c r="AD6997">
        <v>-1.1101598627410001</v>
      </c>
      <c r="AE6997">
        <v>-5.9340999999999999</v>
      </c>
      <c r="AF6997">
        <v>-6.1229750290521103</v>
      </c>
      <c r="AG6997">
        <v>-1.1101598627410001</v>
      </c>
      <c r="AH6997">
        <v>46.369916215494698</v>
      </c>
      <c r="AI6997">
        <v>91.359680001318097</v>
      </c>
      <c r="AJ6997">
        <v>97.522176655076507</v>
      </c>
      <c r="AK6997">
        <v>46.785600433886003</v>
      </c>
      <c r="AL6997">
        <v>88.591761717164999</v>
      </c>
      <c r="AM6997">
        <v>90.388327243280898</v>
      </c>
      <c r="AN6997">
        <v>0.99999999436679299</v>
      </c>
    </row>
    <row r="6998" spans="1:40" x14ac:dyDescent="0.25">
      <c r="A6998" t="str">
        <f>"20190312150829686"</f>
        <v>20190312150829686</v>
      </c>
      <c r="B6998" t="str">
        <f>"1552374509676936"</f>
        <v>1552374509676936</v>
      </c>
      <c r="C6998" t="s">
        <v>40</v>
      </c>
      <c r="D6998">
        <v>4.4732699999999896</v>
      </c>
      <c r="E6998">
        <v>0.45354620000000001</v>
      </c>
      <c r="F6998" t="s">
        <v>77</v>
      </c>
      <c r="G6998">
        <v>-314.98540000000003</v>
      </c>
      <c r="H6998" s="1">
        <v>-6.0661420000000001E-6</v>
      </c>
      <c r="I6998">
        <v>134.84620000000001</v>
      </c>
      <c r="J6998">
        <v>-266.99450000000002</v>
      </c>
      <c r="K6998">
        <v>1.110155</v>
      </c>
      <c r="L6998">
        <v>140.9896</v>
      </c>
      <c r="M6998">
        <v>-0.99994749999999999</v>
      </c>
      <c r="N6998">
        <v>0</v>
      </c>
      <c r="O6998">
        <v>3.7605590000000001E-3</v>
      </c>
      <c r="P6998">
        <v>-0.99988160000000004</v>
      </c>
      <c r="Q6998">
        <v>1.509725E-2</v>
      </c>
      <c r="R6998">
        <v>-3.0586649999999999E-3</v>
      </c>
      <c r="S6998">
        <v>-3.0003660000000001</v>
      </c>
      <c r="T6998">
        <v>-6.905472E-2</v>
      </c>
      <c r="U6998">
        <v>-0.38209530000000003</v>
      </c>
      <c r="V6998">
        <v>-6.8393560000000004E-3</v>
      </c>
      <c r="W6998">
        <v>2.4624549999999999E-2</v>
      </c>
      <c r="X6998">
        <v>0.99967340000000005</v>
      </c>
      <c r="Y6998">
        <v>-0.1300241</v>
      </c>
      <c r="Z6998">
        <v>-1.5762679999999901E-3</v>
      </c>
      <c r="AA6998">
        <v>0.99150959999999999</v>
      </c>
      <c r="AB6998">
        <v>30</v>
      </c>
      <c r="AC6998">
        <v>-47.990900000000003</v>
      </c>
      <c r="AD6998">
        <v>-1.1101610661420001</v>
      </c>
      <c r="AE6998">
        <v>-6.1433999999999802</v>
      </c>
      <c r="AF6998">
        <v>-6.3205096433109702</v>
      </c>
      <c r="AG6998">
        <v>-1.1101610661420001</v>
      </c>
      <c r="AH6998">
        <v>47.942215575833004</v>
      </c>
      <c r="AI6998">
        <v>91.315141522446893</v>
      </c>
      <c r="AJ6998">
        <v>97.5103342018961</v>
      </c>
      <c r="AK6998">
        <v>48.369797746771802</v>
      </c>
      <c r="AL6998">
        <v>88.588974624503905</v>
      </c>
      <c r="AM6998">
        <v>90.391988142811996</v>
      </c>
      <c r="AN6998">
        <v>1.0000000259603701</v>
      </c>
    </row>
    <row r="6999" spans="1:40" x14ac:dyDescent="0.25">
      <c r="A6999" t="str">
        <f>"20190312150829699"</f>
        <v>20190312150829699</v>
      </c>
      <c r="B6999" t="str">
        <f>"1552374509696457"</f>
        <v>1552374509696457</v>
      </c>
      <c r="C6999" t="s">
        <v>40</v>
      </c>
      <c r="D6999">
        <v>4.3732199999999999</v>
      </c>
      <c r="E6999">
        <v>0.4536597</v>
      </c>
      <c r="F6999" t="s">
        <v>77</v>
      </c>
      <c r="G6999">
        <v>-317.5027</v>
      </c>
      <c r="H6999" s="1">
        <v>-4.8477140000000002E-6</v>
      </c>
      <c r="I6999">
        <v>134.5566</v>
      </c>
      <c r="J6999">
        <v>-267.17270000000002</v>
      </c>
      <c r="K6999">
        <v>1.110158</v>
      </c>
      <c r="L6999">
        <v>140.99</v>
      </c>
      <c r="M6999">
        <v>-0.99994839999999996</v>
      </c>
      <c r="N6999">
        <v>0</v>
      </c>
      <c r="O6999">
        <v>3.4816840000000001E-3</v>
      </c>
      <c r="P6999">
        <v>-0.99987859999999995</v>
      </c>
      <c r="Q6999">
        <v>1.5196589999999999E-2</v>
      </c>
      <c r="R6999">
        <v>-3.494324E-3</v>
      </c>
      <c r="S6999">
        <v>-3.0002140000000002</v>
      </c>
      <c r="T6999">
        <v>-6.594419E-2</v>
      </c>
      <c r="U6999">
        <v>-0.38212590000000002</v>
      </c>
      <c r="V6999">
        <v>-6.9966439999999998E-3</v>
      </c>
      <c r="W6999">
        <v>2.4731329999999999E-2</v>
      </c>
      <c r="X6999">
        <v>0.99966969999999999</v>
      </c>
      <c r="Y6999">
        <v>-0.12976699999999999</v>
      </c>
      <c r="Z6999">
        <v>-1.4964399999999999E-3</v>
      </c>
      <c r="AA6999">
        <v>0.99154339999999996</v>
      </c>
      <c r="AB6999">
        <v>30</v>
      </c>
      <c r="AC6999">
        <v>-50.329999999999899</v>
      </c>
      <c r="AD6999">
        <v>-1.110162847714</v>
      </c>
      <c r="AE6999">
        <v>-6.4333999999999998</v>
      </c>
      <c r="AF6999">
        <v>-6.6054399877334298</v>
      </c>
      <c r="AG6999">
        <v>-1.110162847714</v>
      </c>
      <c r="AH6999">
        <v>50.2832232848261</v>
      </c>
      <c r="AI6999">
        <v>91.254011684686404</v>
      </c>
      <c r="AJ6999">
        <v>97.483790123478002</v>
      </c>
      <c r="AK6999">
        <v>50.727377646510298</v>
      </c>
      <c r="AL6999">
        <v>88.582854752173702</v>
      </c>
      <c r="AM6999">
        <v>90.401004078071495</v>
      </c>
      <c r="AN6999">
        <v>1.0000000504044499</v>
      </c>
    </row>
    <row r="7000" spans="1:40" x14ac:dyDescent="0.25">
      <c r="A7000" t="str">
        <f>"20190312150829715"</f>
        <v>20190312150829715</v>
      </c>
      <c r="B7000" t="str">
        <f>"1552374509707193"</f>
        <v>1552374509707193</v>
      </c>
      <c r="C7000" t="s">
        <v>40</v>
      </c>
      <c r="D7000">
        <v>4.1591399999999998</v>
      </c>
      <c r="E7000">
        <v>0.45370159999999998</v>
      </c>
      <c r="F7000" t="s">
        <v>77</v>
      </c>
      <c r="G7000">
        <v>-318.31369999999998</v>
      </c>
      <c r="H7000" s="1">
        <v>-4.3517810000000001E-6</v>
      </c>
      <c r="I7000">
        <v>134.46889999999999</v>
      </c>
      <c r="J7000">
        <v>-267.37529999999998</v>
      </c>
      <c r="K7000">
        <v>1.1101620000000001</v>
      </c>
      <c r="L7000">
        <v>140.99039999999999</v>
      </c>
      <c r="M7000">
        <v>-0.99994950000000005</v>
      </c>
      <c r="N7000">
        <v>0</v>
      </c>
      <c r="O7000">
        <v>3.1643579999999999E-3</v>
      </c>
      <c r="P7000">
        <v>-0.99988359999999998</v>
      </c>
      <c r="Q7000">
        <v>1.4761420000000001E-2</v>
      </c>
      <c r="R7000">
        <v>-3.8708219999999999E-3</v>
      </c>
      <c r="S7000">
        <v>-3.0000309999999999</v>
      </c>
      <c r="T7000">
        <v>-6.5124269999999998E-2</v>
      </c>
      <c r="U7000">
        <v>-0.38253779999999998</v>
      </c>
      <c r="V7000">
        <v>-7.0558259999999899E-3</v>
      </c>
      <c r="W7000">
        <v>2.4305159999999999E-2</v>
      </c>
      <c r="X7000">
        <v>0.99967969999999895</v>
      </c>
      <c r="Y7000">
        <v>-0.12959490000000001</v>
      </c>
      <c r="Z7000">
        <v>-1.4691929999999999E-3</v>
      </c>
      <c r="AA7000">
        <v>0.9915659</v>
      </c>
      <c r="AB7000">
        <v>30</v>
      </c>
      <c r="AC7000">
        <v>-50.938400000000001</v>
      </c>
      <c r="AD7000">
        <v>-1.1101663517810001</v>
      </c>
      <c r="AE7000">
        <v>-6.5214999999999996</v>
      </c>
      <c r="AF7000">
        <v>-6.6795404560305398</v>
      </c>
      <c r="AG7000">
        <v>-1.1101663517810001</v>
      </c>
      <c r="AH7000">
        <v>50.893723427224899</v>
      </c>
      <c r="AI7000">
        <v>91.2389968591485</v>
      </c>
      <c r="AJ7000">
        <v>97.477041734135298</v>
      </c>
      <c r="AK7000">
        <v>51.342183575683997</v>
      </c>
      <c r="AL7000">
        <v>88.607279785427806</v>
      </c>
      <c r="AM7000">
        <v>90.404391864591901</v>
      </c>
      <c r="AN7000">
        <v>1.00000001403762</v>
      </c>
    </row>
    <row r="7001" spans="1:40" x14ac:dyDescent="0.25">
      <c r="A7001" t="str">
        <f>"20190312150829731"</f>
        <v>20190312150829731</v>
      </c>
      <c r="B7001" t="str">
        <f>"1552374509726713"</f>
        <v>1552374509726713</v>
      </c>
      <c r="C7001" t="s">
        <v>40</v>
      </c>
      <c r="D7001">
        <v>4.0981239999999897</v>
      </c>
      <c r="E7001">
        <v>0.45327840000000003</v>
      </c>
      <c r="F7001" t="s">
        <v>77</v>
      </c>
      <c r="G7001">
        <v>-318.08659999999998</v>
      </c>
      <c r="H7001" s="1">
        <v>-4.4975020000000002E-6</v>
      </c>
      <c r="I7001">
        <v>134.51130000000001</v>
      </c>
      <c r="J7001">
        <v>-267.5908</v>
      </c>
      <c r="K7001">
        <v>1.1101559999999999</v>
      </c>
      <c r="L7001">
        <v>140.9907</v>
      </c>
      <c r="M7001">
        <v>-0.99995049999999996</v>
      </c>
      <c r="N7001">
        <v>0</v>
      </c>
      <c r="O7001">
        <v>2.8270040000000001E-3</v>
      </c>
      <c r="P7001">
        <v>-0.99988500000000002</v>
      </c>
      <c r="Q7001">
        <v>1.463923E-2</v>
      </c>
      <c r="R7001">
        <v>-4.0313270000000003E-3</v>
      </c>
      <c r="S7001">
        <v>-2.9998469999999999</v>
      </c>
      <c r="T7001">
        <v>-6.5672399999999895E-2</v>
      </c>
      <c r="U7001">
        <v>-0.38327030000000001</v>
      </c>
      <c r="V7001">
        <v>-6.8789929999999999E-3</v>
      </c>
      <c r="W7001">
        <v>2.4192660000000001E-2</v>
      </c>
      <c r="X7001">
        <v>0.99968360000000001</v>
      </c>
      <c r="Y7001">
        <v>-0.1295057</v>
      </c>
      <c r="Z7001">
        <v>-1.4732949999999999E-3</v>
      </c>
      <c r="AA7001">
        <v>0.99157759999999995</v>
      </c>
      <c r="AB7001">
        <v>30</v>
      </c>
      <c r="AC7001">
        <v>-50.495799999999903</v>
      </c>
      <c r="AD7001">
        <v>-1.1101604975020001</v>
      </c>
      <c r="AE7001">
        <v>-6.4793999999999903</v>
      </c>
      <c r="AF7001">
        <v>-6.61898497203949</v>
      </c>
      <c r="AG7001">
        <v>-1.1101604975020001</v>
      </c>
      <c r="AH7001">
        <v>50.4532885383869</v>
      </c>
      <c r="AI7001">
        <v>91.249811536059497</v>
      </c>
      <c r="AJ7001">
        <v>97.473970901064106</v>
      </c>
      <c r="AK7001">
        <v>50.897718443246703</v>
      </c>
      <c r="AL7001">
        <v>88.6137273714495</v>
      </c>
      <c r="AM7001">
        <v>90.394255788042102</v>
      </c>
      <c r="AN7001">
        <v>0.99999995272576303</v>
      </c>
    </row>
    <row r="7002" spans="1:40" x14ac:dyDescent="0.25">
      <c r="A7002" t="str">
        <f>"20190312150829754"</f>
        <v>20190312150829754</v>
      </c>
      <c r="B7002" t="str">
        <f>"1552374509747210"</f>
        <v>1552374509747210</v>
      </c>
      <c r="C7002" t="s">
        <v>40</v>
      </c>
      <c r="D7002">
        <v>4.119027</v>
      </c>
      <c r="E7002">
        <v>0.45272659999999998</v>
      </c>
      <c r="F7002" t="s">
        <v>77</v>
      </c>
      <c r="G7002">
        <v>-319.64060000000001</v>
      </c>
      <c r="H7002" s="1">
        <v>-3.5201029999999998E-6</v>
      </c>
      <c r="I7002">
        <v>134.27260000000001</v>
      </c>
      <c r="J7002">
        <v>-267.88929999999999</v>
      </c>
      <c r="K7002">
        <v>1.110158</v>
      </c>
      <c r="L7002">
        <v>140.99109999999999</v>
      </c>
      <c r="M7002">
        <v>-0.99995160000000005</v>
      </c>
      <c r="N7002">
        <v>0</v>
      </c>
      <c r="O7002">
        <v>2.3598730000000002E-3</v>
      </c>
      <c r="P7002">
        <v>-0.99988089999999996</v>
      </c>
      <c r="Q7002">
        <v>1.4862139999999999E-2</v>
      </c>
      <c r="R7002">
        <v>-4.2223259999999898E-3</v>
      </c>
      <c r="S7002">
        <v>-2.9997250000000002</v>
      </c>
      <c r="T7002">
        <v>-6.3980579999999995E-2</v>
      </c>
      <c r="U7002">
        <v>-0.38717649999999998</v>
      </c>
      <c r="V7002">
        <v>-6.6034319999999898E-3</v>
      </c>
      <c r="W7002">
        <v>2.4429099999999999E-2</v>
      </c>
      <c r="X7002">
        <v>0.99967969999999895</v>
      </c>
      <c r="Y7002">
        <v>-0.1303193</v>
      </c>
      <c r="Z7002">
        <v>-1.434006E-3</v>
      </c>
      <c r="AA7002">
        <v>0.99147110000000005</v>
      </c>
      <c r="AB7002">
        <v>30</v>
      </c>
      <c r="AC7002">
        <v>-51.751300000000001</v>
      </c>
      <c r="AD7002">
        <v>-1.110161520103</v>
      </c>
      <c r="AE7002">
        <v>-6.7184999999999704</v>
      </c>
      <c r="AF7002">
        <v>-6.8375190048852197</v>
      </c>
      <c r="AG7002">
        <v>-1.110161520103</v>
      </c>
      <c r="AH7002">
        <v>51.7118978848453</v>
      </c>
      <c r="AI7002">
        <v>91.219239943841501</v>
      </c>
      <c r="AJ7002">
        <v>97.532146326312798</v>
      </c>
      <c r="AK7002">
        <v>52.173791386054603</v>
      </c>
      <c r="AL7002">
        <v>88.600176339989005</v>
      </c>
      <c r="AM7002">
        <v>90.378464503362295</v>
      </c>
      <c r="AN7002">
        <v>0.99999994441653695</v>
      </c>
    </row>
    <row r="7003" spans="1:40" x14ac:dyDescent="0.25">
      <c r="A7003" t="str">
        <f>"20190312150829767"</f>
        <v>20190312150829767</v>
      </c>
      <c r="B7003" t="str">
        <f>"1552374509756969"</f>
        <v>1552374509756969</v>
      </c>
      <c r="C7003" t="s">
        <v>40</v>
      </c>
      <c r="D7003">
        <v>4.2890009999999998</v>
      </c>
      <c r="E7003">
        <v>0.45254050000000001</v>
      </c>
      <c r="F7003" t="s">
        <v>42</v>
      </c>
      <c r="G7003">
        <v>-320.74200000000002</v>
      </c>
      <c r="H7003" s="1">
        <v>-4.9358420000000001E-6</v>
      </c>
      <c r="I7003">
        <v>134.08090000000001</v>
      </c>
      <c r="J7003">
        <v>-268.07260000000002</v>
      </c>
      <c r="K7003">
        <v>1.1101620000000001</v>
      </c>
      <c r="L7003">
        <v>140.99119999999999</v>
      </c>
      <c r="M7003">
        <v>-0.9999519</v>
      </c>
      <c r="N7003">
        <v>0</v>
      </c>
      <c r="O7003">
        <v>2.0730129999999999E-3</v>
      </c>
      <c r="P7003">
        <v>-0.99987559999999998</v>
      </c>
      <c r="Q7003">
        <v>1.514187E-2</v>
      </c>
      <c r="R7003">
        <v>-4.4193790000000002E-3</v>
      </c>
      <c r="S7003">
        <v>-2.9996339999999999</v>
      </c>
      <c r="T7003">
        <v>-6.3006880000000001E-2</v>
      </c>
      <c r="U7003">
        <v>-0.39218140000000001</v>
      </c>
      <c r="V7003">
        <v>-6.513769E-3</v>
      </c>
      <c r="W7003">
        <v>2.471655E-2</v>
      </c>
      <c r="X7003">
        <v>0.99967329999999999</v>
      </c>
      <c r="Y7003">
        <v>-0.13166610000000001</v>
      </c>
      <c r="Z7003">
        <v>-1.420162E-3</v>
      </c>
      <c r="AA7003">
        <v>0.99129310000000004</v>
      </c>
      <c r="AB7003">
        <v>30</v>
      </c>
      <c r="AC7003">
        <v>-52.669400000000003</v>
      </c>
      <c r="AD7003">
        <v>-1.1101669358419901</v>
      </c>
      <c r="AE7003">
        <v>-6.9102999999999701</v>
      </c>
      <c r="AF7003">
        <v>-7.0164099982006798</v>
      </c>
      <c r="AG7003">
        <v>-1.1101669358419901</v>
      </c>
      <c r="AH7003">
        <v>52.631973228215003</v>
      </c>
      <c r="AI7003">
        <v>91.197768251613098</v>
      </c>
      <c r="AJ7003">
        <v>97.593374360961207</v>
      </c>
      <c r="AK7003">
        <v>53.109199634186098</v>
      </c>
      <c r="AL7003">
        <v>88.583701802288701</v>
      </c>
      <c r="AM7003">
        <v>90.3733281570629</v>
      </c>
      <c r="AN7003">
        <v>1.00000002188168</v>
      </c>
    </row>
    <row r="7004" spans="1:40" x14ac:dyDescent="0.25">
      <c r="A7004" t="str">
        <f>"20190312150829786"</f>
        <v>20190312150829786</v>
      </c>
      <c r="B7004" t="str">
        <f>"1552374509776489"</f>
        <v>1552374509776489</v>
      </c>
      <c r="C7004" t="s">
        <v>40</v>
      </c>
      <c r="D7004">
        <v>4.0915429999999997</v>
      </c>
      <c r="E7004">
        <v>0.45212039999999998</v>
      </c>
      <c r="F7004" t="s">
        <v>42</v>
      </c>
      <c r="G7004">
        <v>-322.14429999999999</v>
      </c>
      <c r="H7004" s="1">
        <v>-4.3690710000000001E-6</v>
      </c>
      <c r="I7004">
        <v>133.88460000000001</v>
      </c>
      <c r="J7004">
        <v>-268.33390000000003</v>
      </c>
      <c r="K7004">
        <v>1.110163</v>
      </c>
      <c r="L7004">
        <v>140.9913</v>
      </c>
      <c r="M7004">
        <v>-0.99995259999999997</v>
      </c>
      <c r="N7004">
        <v>0</v>
      </c>
      <c r="O7004">
        <v>1.6641850000000001E-3</v>
      </c>
      <c r="P7004">
        <v>-0.9998688</v>
      </c>
      <c r="Q7004">
        <v>1.55081E-2</v>
      </c>
      <c r="R7004">
        <v>-4.6651260000000003E-3</v>
      </c>
      <c r="S7004">
        <v>-2.9995729999999998</v>
      </c>
      <c r="T7004">
        <v>-6.1585429999999997E-2</v>
      </c>
      <c r="U7004">
        <v>-0.39422610000000002</v>
      </c>
      <c r="V7004">
        <v>-6.3511610000000001E-3</v>
      </c>
      <c r="W7004">
        <v>2.5094089999999999E-2</v>
      </c>
      <c r="X7004">
        <v>0.99966489999999997</v>
      </c>
      <c r="Y7004">
        <v>-0.13192909999999999</v>
      </c>
      <c r="Z7004">
        <v>-1.382426E-3</v>
      </c>
      <c r="AA7004">
        <v>0.99125819999999998</v>
      </c>
      <c r="AB7004">
        <v>30</v>
      </c>
      <c r="AC7004">
        <v>-53.810399999999902</v>
      </c>
      <c r="AD7004">
        <v>-1.1101673690710001</v>
      </c>
      <c r="AE7004">
        <v>-7.1066999999999796</v>
      </c>
      <c r="AF7004">
        <v>-7.1932354845962001</v>
      </c>
      <c r="AG7004">
        <v>-1.1101673690710001</v>
      </c>
      <c r="AH7004">
        <v>53.776001144297197</v>
      </c>
      <c r="AI7004">
        <v>91.172225117761201</v>
      </c>
      <c r="AJ7004">
        <v>97.618826150093199</v>
      </c>
      <c r="AK7004">
        <v>54.266319272599098</v>
      </c>
      <c r="AL7004">
        <v>88.562063584033794</v>
      </c>
      <c r="AM7004">
        <v>90.364011804664599</v>
      </c>
      <c r="AN7004">
        <v>0.99999998144549196</v>
      </c>
    </row>
    <row r="7005" spans="1:40" x14ac:dyDescent="0.25">
      <c r="A7005" t="str">
        <f>"20190312150829799"</f>
        <v>20190312150829799</v>
      </c>
      <c r="B7005" t="str">
        <f>"1552374509796628"</f>
        <v>1552374509796628</v>
      </c>
      <c r="C7005" t="s">
        <v>40</v>
      </c>
      <c r="D7005">
        <v>4.1337349999999997</v>
      </c>
      <c r="E7005">
        <v>0.45168970000000003</v>
      </c>
      <c r="F7005" t="s">
        <v>42</v>
      </c>
      <c r="G7005">
        <v>-323.25049999999999</v>
      </c>
      <c r="H7005" s="1">
        <v>-3.9269420000000004E-6</v>
      </c>
      <c r="I7005">
        <v>133.702</v>
      </c>
      <c r="J7005">
        <v>-268.51150000000001</v>
      </c>
      <c r="K7005">
        <v>1.11016</v>
      </c>
      <c r="L7005">
        <v>140.9913</v>
      </c>
      <c r="M7005">
        <v>-0.99995299999999998</v>
      </c>
      <c r="N7005">
        <v>0</v>
      </c>
      <c r="O7005">
        <v>1.3870379999999999E-3</v>
      </c>
      <c r="P7005">
        <v>-0.99986540000000002</v>
      </c>
      <c r="Q7005">
        <v>1.569181E-2</v>
      </c>
      <c r="R7005">
        <v>-4.8205929999999998E-3</v>
      </c>
      <c r="S7005">
        <v>-2.9994809999999998</v>
      </c>
      <c r="T7005">
        <v>-6.0636160000000001E-2</v>
      </c>
      <c r="U7005">
        <v>-0.39813229999999999</v>
      </c>
      <c r="V7005">
        <v>-6.2290999999999996E-3</v>
      </c>
      <c r="W7005">
        <v>2.528714E-2</v>
      </c>
      <c r="X7005">
        <v>0.99966080000000002</v>
      </c>
      <c r="Y7005">
        <v>-0.13292760000000001</v>
      </c>
      <c r="Z7005">
        <v>-1.3655179999999901E-3</v>
      </c>
      <c r="AA7005">
        <v>0.99112480000000003</v>
      </c>
      <c r="AB7005">
        <v>30</v>
      </c>
      <c r="AC7005">
        <v>-54.738999999999898</v>
      </c>
      <c r="AD7005">
        <v>-1.1101639269419901</v>
      </c>
      <c r="AE7005">
        <v>-7.2892999999999901</v>
      </c>
      <c r="AF7005">
        <v>-7.3622460760739203</v>
      </c>
      <c r="AG7005">
        <v>-1.1101639269419901</v>
      </c>
      <c r="AH7005">
        <v>54.706726403855299</v>
      </c>
      <c r="AI7005">
        <v>91.152160376894699</v>
      </c>
      <c r="AJ7005">
        <v>97.664622471776397</v>
      </c>
      <c r="AK7005">
        <v>55.2110590829014</v>
      </c>
      <c r="AL7005">
        <v>88.550999117593705</v>
      </c>
      <c r="AM7005">
        <v>90.357017621394405</v>
      </c>
      <c r="AN7005">
        <v>0.99999997809641405</v>
      </c>
    </row>
    <row r="7006" spans="1:40" x14ac:dyDescent="0.25">
      <c r="A7006" t="str">
        <f>"20190312150829812"</f>
        <v>20190312150829812</v>
      </c>
      <c r="B7006" t="str">
        <f>"1552374509807362"</f>
        <v>1552374509807362</v>
      </c>
      <c r="C7006" t="s">
        <v>40</v>
      </c>
      <c r="D7006">
        <v>4.1067429999999998</v>
      </c>
      <c r="E7006">
        <v>0.45154430000000001</v>
      </c>
      <c r="F7006" t="s">
        <v>42</v>
      </c>
      <c r="G7006">
        <v>-326.7527</v>
      </c>
      <c r="H7006" s="1">
        <v>-2.8024500000000002E-6</v>
      </c>
      <c r="I7006">
        <v>133.18450000000001</v>
      </c>
      <c r="J7006">
        <v>-268.67230000000001</v>
      </c>
      <c r="K7006">
        <v>1.110163</v>
      </c>
      <c r="L7006">
        <v>140.9913</v>
      </c>
      <c r="M7006">
        <v>-0.99995319999999999</v>
      </c>
      <c r="N7006">
        <v>0</v>
      </c>
      <c r="O7006">
        <v>1.1369520000000001E-3</v>
      </c>
      <c r="P7006">
        <v>-0.99986980000000003</v>
      </c>
      <c r="Q7006">
        <v>1.544218E-2</v>
      </c>
      <c r="R7006">
        <v>-4.7122939999999997E-3</v>
      </c>
      <c r="S7006">
        <v>-2.9993590000000001</v>
      </c>
      <c r="T7006">
        <v>-5.7172180000000003E-2</v>
      </c>
      <c r="U7006">
        <v>-0.40203860000000002</v>
      </c>
      <c r="V7006">
        <v>-5.8711519999999897E-3</v>
      </c>
      <c r="W7006">
        <v>2.5047839999999998E-2</v>
      </c>
      <c r="X7006">
        <v>0.99966900000000003</v>
      </c>
      <c r="Y7006">
        <v>-0.13395599999999999</v>
      </c>
      <c r="Z7006">
        <v>-1.292477E-3</v>
      </c>
      <c r="AA7006">
        <v>0.99098640000000005</v>
      </c>
      <c r="AB7006">
        <v>30</v>
      </c>
      <c r="AC7006">
        <v>-58.080399999999997</v>
      </c>
      <c r="AD7006">
        <v>-1.1101658024500001</v>
      </c>
      <c r="AE7006">
        <v>-7.8067999999999804</v>
      </c>
      <c r="AF7006">
        <v>-7.8700082994385498</v>
      </c>
      <c r="AG7006">
        <v>-1.1101658024500001</v>
      </c>
      <c r="AH7006">
        <v>58.050653310801103</v>
      </c>
      <c r="AI7006">
        <v>91.085666752401593</v>
      </c>
      <c r="AJ7006">
        <v>97.720598114517003</v>
      </c>
      <c r="AK7006">
        <v>58.592216620921398</v>
      </c>
      <c r="AL7006">
        <v>88.564714355261302</v>
      </c>
      <c r="AM7006">
        <v>90.336499744220603</v>
      </c>
      <c r="AN7006">
        <v>0.99999998713773597</v>
      </c>
    </row>
    <row r="7007" spans="1:40" x14ac:dyDescent="0.25">
      <c r="A7007" t="str">
        <f>"20190312150829824"</f>
        <v>20190312150829824</v>
      </c>
      <c r="B7007" t="str">
        <f>"1552374509817122"</f>
        <v>1552374509817122</v>
      </c>
      <c r="C7007" t="s">
        <v>40</v>
      </c>
      <c r="D7007">
        <v>4.0980980000000002</v>
      </c>
      <c r="E7007">
        <v>0.45137870000000002</v>
      </c>
      <c r="F7007" t="s">
        <v>42</v>
      </c>
      <c r="G7007">
        <v>-326.5985</v>
      </c>
      <c r="H7007" s="1">
        <v>-2.8479249999999999E-6</v>
      </c>
      <c r="I7007">
        <v>133.21090000000001</v>
      </c>
      <c r="J7007">
        <v>-268.84480000000002</v>
      </c>
      <c r="K7007">
        <v>1.110163</v>
      </c>
      <c r="L7007">
        <v>140.9913</v>
      </c>
      <c r="M7007">
        <v>-0.99995339999999999</v>
      </c>
      <c r="N7007">
        <v>0</v>
      </c>
      <c r="O7007">
        <v>8.6915750000000002E-4</v>
      </c>
      <c r="P7007">
        <v>-0.99986640000000004</v>
      </c>
      <c r="Q7007">
        <v>1.560541E-2</v>
      </c>
      <c r="R7007">
        <v>-4.9116100000000003E-3</v>
      </c>
      <c r="S7007">
        <v>-2.99939</v>
      </c>
      <c r="T7007">
        <v>-5.7483909999999999E-2</v>
      </c>
      <c r="U7007">
        <v>-0.40286250000000001</v>
      </c>
      <c r="V7007">
        <v>-5.8024859999999999E-3</v>
      </c>
      <c r="W7007">
        <v>2.5221839999999999E-2</v>
      </c>
      <c r="X7007">
        <v>0.99966500000000003</v>
      </c>
      <c r="Y7007">
        <v>-0.13395650000000001</v>
      </c>
      <c r="Z7007">
        <v>-1.294381E-3</v>
      </c>
      <c r="AA7007">
        <v>0.99098629999999999</v>
      </c>
      <c r="AB7007">
        <v>30</v>
      </c>
      <c r="AC7007">
        <v>-57.753699999999903</v>
      </c>
      <c r="AD7007">
        <v>-1.1101658479250001</v>
      </c>
      <c r="AE7007">
        <v>-7.7803999999999798</v>
      </c>
      <c r="AF7007">
        <v>-7.8277556328762499</v>
      </c>
      <c r="AG7007">
        <v>-1.1101658479250001</v>
      </c>
      <c r="AH7007">
        <v>57.725965859193202</v>
      </c>
      <c r="AI7007">
        <v>91.091767356764393</v>
      </c>
      <c r="AJ7007">
        <v>97.722318985910803</v>
      </c>
      <c r="AK7007">
        <v>58.264855280303202</v>
      </c>
      <c r="AL7007">
        <v>88.554741701256305</v>
      </c>
      <c r="AM7007">
        <v>90.332565634387194</v>
      </c>
      <c r="AN7007">
        <v>0.99999996114088197</v>
      </c>
    </row>
    <row r="7008" spans="1:40" x14ac:dyDescent="0.25">
      <c r="A7008" t="str">
        <f>"20190312150829841"</f>
        <v>20190312150829841</v>
      </c>
      <c r="B7008" t="str">
        <f>"1552374509836642"</f>
        <v>1552374509836642</v>
      </c>
      <c r="C7008" t="s">
        <v>40</v>
      </c>
      <c r="D7008">
        <v>4.2765979999999999</v>
      </c>
      <c r="E7008">
        <v>0.4510902</v>
      </c>
      <c r="F7008" t="s">
        <v>42</v>
      </c>
      <c r="G7008">
        <v>-327.13499999999999</v>
      </c>
      <c r="H7008" s="1">
        <v>-2.6889440000000002E-6</v>
      </c>
      <c r="I7008">
        <v>133.1223</v>
      </c>
      <c r="J7008">
        <v>-269.07</v>
      </c>
      <c r="K7008">
        <v>1.1101669999999999</v>
      </c>
      <c r="L7008">
        <v>140.99109999999999</v>
      </c>
      <c r="M7008">
        <v>-0.99995350000000005</v>
      </c>
      <c r="N7008">
        <v>0</v>
      </c>
      <c r="O7008">
        <v>5.2195849999999995E-4</v>
      </c>
      <c r="P7008">
        <v>-0.99987099999999995</v>
      </c>
      <c r="Q7008">
        <v>1.5144980000000001E-2</v>
      </c>
      <c r="R7008">
        <v>-5.3690419999999897E-3</v>
      </c>
      <c r="S7008">
        <v>-2.999298</v>
      </c>
      <c r="T7008">
        <v>-5.7123180000000003E-2</v>
      </c>
      <c r="U7008">
        <v>-0.40489199999999997</v>
      </c>
      <c r="V7008">
        <v>-5.9126639999999998E-3</v>
      </c>
      <c r="W7008">
        <v>2.4777090000000002E-2</v>
      </c>
      <c r="X7008">
        <v>0.99967550000000005</v>
      </c>
      <c r="Y7008">
        <v>-0.13427529999999999</v>
      </c>
      <c r="Z7008">
        <v>-1.2826809999999999E-3</v>
      </c>
      <c r="AA7008">
        <v>0.99094329999999997</v>
      </c>
      <c r="AB7008">
        <v>30</v>
      </c>
      <c r="AC7008">
        <v>-58.064999999999998</v>
      </c>
      <c r="AD7008">
        <v>-1.11016968894399</v>
      </c>
      <c r="AE7008">
        <v>-7.8687999999999896</v>
      </c>
      <c r="AF7008">
        <v>-7.8962734046412502</v>
      </c>
      <c r="AG7008">
        <v>-1.11016968894399</v>
      </c>
      <c r="AH7008">
        <v>58.0400506364224</v>
      </c>
      <c r="AI7008">
        <v>91.085799738644795</v>
      </c>
      <c r="AJ7008">
        <v>97.747450129447799</v>
      </c>
      <c r="AK7008">
        <v>58.5852463364077</v>
      </c>
      <c r="AL7008">
        <v>88.580232000239604</v>
      </c>
      <c r="AM7008">
        <v>90.338876708128097</v>
      </c>
      <c r="AN7008">
        <v>0.99999998454234695</v>
      </c>
    </row>
    <row r="7009" spans="1:40" x14ac:dyDescent="0.25">
      <c r="A7009" t="str">
        <f>"20190312150829856"</f>
        <v>20190312150829856</v>
      </c>
      <c r="B7009" t="str">
        <f>"1552374509846402"</f>
        <v>1552374509846402</v>
      </c>
      <c r="C7009" t="s">
        <v>40</v>
      </c>
      <c r="D7009">
        <v>4.1821270000000004</v>
      </c>
      <c r="E7009">
        <v>0.45096199999999997</v>
      </c>
      <c r="F7009" t="s">
        <v>42</v>
      </c>
      <c r="G7009">
        <v>-326.40050000000002</v>
      </c>
      <c r="H7009" s="1">
        <v>-2.9234790000000001E-6</v>
      </c>
      <c r="I7009">
        <v>133.18029999999999</v>
      </c>
      <c r="J7009">
        <v>-269.25310000000002</v>
      </c>
      <c r="K7009">
        <v>1.110168</v>
      </c>
      <c r="L7009">
        <v>140.99090000000001</v>
      </c>
      <c r="M7009">
        <v>-0.99995339999999999</v>
      </c>
      <c r="N7009">
        <v>0</v>
      </c>
      <c r="O7009">
        <v>2.417579E-4</v>
      </c>
      <c r="P7009">
        <v>-0.99987040000000005</v>
      </c>
      <c r="Q7009">
        <v>1.504779E-2</v>
      </c>
      <c r="R7009">
        <v>-5.719076E-3</v>
      </c>
      <c r="S7009">
        <v>-2.9990839999999999</v>
      </c>
      <c r="T7009">
        <v>-5.8075549999999997E-2</v>
      </c>
      <c r="U7009">
        <v>-0.40859990000000002</v>
      </c>
      <c r="V7009">
        <v>-5.9822699999999996E-3</v>
      </c>
      <c r="W7009">
        <v>2.469462E-2</v>
      </c>
      <c r="X7009">
        <v>0.99967709999999999</v>
      </c>
      <c r="Y7009">
        <v>-0.135209</v>
      </c>
      <c r="Z7009">
        <v>-1.307643E-3</v>
      </c>
      <c r="AA7009">
        <v>0.99081620000000004</v>
      </c>
      <c r="AB7009">
        <v>30</v>
      </c>
      <c r="AC7009">
        <v>-57.147399999999998</v>
      </c>
      <c r="AD7009">
        <v>-1.110170923479</v>
      </c>
      <c r="AE7009">
        <v>-7.8106000000000204</v>
      </c>
      <c r="AF7009">
        <v>-7.8215186396743102</v>
      </c>
      <c r="AG7009">
        <v>-1.110170923479</v>
      </c>
      <c r="AH7009">
        <v>57.124347308581598</v>
      </c>
      <c r="AI7009">
        <v>91.103073177497194</v>
      </c>
      <c r="AJ7009">
        <v>97.796511221334598</v>
      </c>
      <c r="AK7009">
        <v>57.668012699776398</v>
      </c>
      <c r="AL7009">
        <v>88.584958591982797</v>
      </c>
      <c r="AM7009">
        <v>90.342865442771895</v>
      </c>
      <c r="AN7009">
        <v>0.99999995803785202</v>
      </c>
    </row>
    <row r="7010" spans="1:40" x14ac:dyDescent="0.25">
      <c r="A7010" t="str">
        <f>"20190312150829875"</f>
        <v>20190312150829875</v>
      </c>
      <c r="B7010" t="str">
        <f>"1552374509866910"</f>
        <v>1552374509866910</v>
      </c>
      <c r="C7010" t="s">
        <v>40</v>
      </c>
      <c r="D7010">
        <v>4.1249149999999997</v>
      </c>
      <c r="E7010">
        <v>0.45065830000000001</v>
      </c>
      <c r="F7010" t="s">
        <v>42</v>
      </c>
      <c r="G7010">
        <v>-326.77699999999999</v>
      </c>
      <c r="H7010" s="1">
        <v>-2.8129510000000001E-6</v>
      </c>
      <c r="I7010">
        <v>133.114</v>
      </c>
      <c r="J7010">
        <v>-269.52839999999998</v>
      </c>
      <c r="K7010">
        <v>1.1101719999999999</v>
      </c>
      <c r="L7010">
        <v>140.9906</v>
      </c>
      <c r="M7010">
        <v>-0.99995319999999999</v>
      </c>
      <c r="N7010">
        <v>0</v>
      </c>
      <c r="O7010">
        <v>-1.7556320000000001E-4</v>
      </c>
      <c r="P7010">
        <v>-0.99986280000000005</v>
      </c>
      <c r="Q7010">
        <v>1.5324900000000001E-2</v>
      </c>
      <c r="R7010">
        <v>-6.2890280000000003E-3</v>
      </c>
      <c r="S7010">
        <v>-2.998901</v>
      </c>
      <c r="T7010">
        <v>-5.7876709999999998E-2</v>
      </c>
      <c r="U7010">
        <v>-0.41064450000000002</v>
      </c>
      <c r="V7010">
        <v>-6.1352409999999996E-3</v>
      </c>
      <c r="W7010">
        <v>2.499589E-2</v>
      </c>
      <c r="X7010">
        <v>0.99966869999999997</v>
      </c>
      <c r="Y7010">
        <v>-0.135467</v>
      </c>
      <c r="Z7010">
        <v>-1.2976470000000001E-3</v>
      </c>
      <c r="AA7010">
        <v>0.99078100000000002</v>
      </c>
      <c r="AB7010">
        <v>30</v>
      </c>
      <c r="AC7010">
        <v>-57.248600000000003</v>
      </c>
      <c r="AD7010">
        <v>-1.1101748129509901</v>
      </c>
      <c r="AE7010">
        <v>-7.8765999999999901</v>
      </c>
      <c r="AF7010">
        <v>-7.8636464252518996</v>
      </c>
      <c r="AG7010">
        <v>-1.1101748129509901</v>
      </c>
      <c r="AH7010">
        <v>57.228860569993998</v>
      </c>
      <c r="AI7010">
        <v>91.100991026422193</v>
      </c>
      <c r="AJ7010">
        <v>97.823847184016003</v>
      </c>
      <c r="AK7010">
        <v>57.7772611444719</v>
      </c>
      <c r="AL7010">
        <v>88.567691782630803</v>
      </c>
      <c r="AM7010">
        <v>90.3516354990266</v>
      </c>
      <c r="AN7010">
        <v>0.99999997272935404</v>
      </c>
    </row>
    <row r="7011" spans="1:40" x14ac:dyDescent="0.25">
      <c r="A7011" t="str">
        <f>"20190312150829888"</f>
        <v>20190312150829888</v>
      </c>
      <c r="B7011" t="str">
        <f>"1552374509876659"</f>
        <v>1552374509876659</v>
      </c>
      <c r="C7011" t="s">
        <v>40</v>
      </c>
      <c r="D7011">
        <v>4.1094480000000004</v>
      </c>
      <c r="E7011">
        <v>0.45054689999999997</v>
      </c>
      <c r="F7011" t="s">
        <v>42</v>
      </c>
      <c r="G7011">
        <v>-327.44540000000001</v>
      </c>
      <c r="H7011" s="1">
        <v>-2.621138E-6</v>
      </c>
      <c r="I7011">
        <v>132.98009999999999</v>
      </c>
      <c r="J7011">
        <v>-269.69779999999997</v>
      </c>
      <c r="K7011">
        <v>1.1101730000000001</v>
      </c>
      <c r="L7011">
        <v>140.99029999999999</v>
      </c>
      <c r="M7011">
        <v>-0.99995310000000004</v>
      </c>
      <c r="N7011">
        <v>0</v>
      </c>
      <c r="O7011">
        <v>-4.2881549999999999E-4</v>
      </c>
      <c r="P7011">
        <v>-0.99986509999999995</v>
      </c>
      <c r="Q7011">
        <v>1.508195E-2</v>
      </c>
      <c r="R7011">
        <v>-6.5337490000000002E-3</v>
      </c>
      <c r="S7011">
        <v>-2.9987180000000002</v>
      </c>
      <c r="T7011">
        <v>-5.7480570000000002E-2</v>
      </c>
      <c r="U7011">
        <v>-0.41474909999999998</v>
      </c>
      <c r="V7011">
        <v>-6.1262180000000001E-3</v>
      </c>
      <c r="W7011">
        <v>2.477041E-2</v>
      </c>
      <c r="X7011">
        <v>0.99967439999999996</v>
      </c>
      <c r="Y7011">
        <v>-0.13655529999999999</v>
      </c>
      <c r="Z7011">
        <v>-1.294274E-3</v>
      </c>
      <c r="AA7011">
        <v>0.99063159999999895</v>
      </c>
      <c r="AB7011">
        <v>30</v>
      </c>
      <c r="AC7011">
        <v>-57.747599999999998</v>
      </c>
      <c r="AD7011">
        <v>-1.1101756211379901</v>
      </c>
      <c r="AE7011">
        <v>-8.0101999999999904</v>
      </c>
      <c r="AF7011">
        <v>-7.9825404960030797</v>
      </c>
      <c r="AG7011">
        <v>-1.1101756211379901</v>
      </c>
      <c r="AH7011">
        <v>57.730096286933403</v>
      </c>
      <c r="AI7011">
        <v>91.091307015801704</v>
      </c>
      <c r="AJ7011">
        <v>97.872565980935406</v>
      </c>
      <c r="AK7011">
        <v>58.289943043193198</v>
      </c>
      <c r="AL7011">
        <v>88.580614882439406</v>
      </c>
      <c r="AM7011">
        <v>90.351116365349199</v>
      </c>
      <c r="AN7011">
        <v>1.00000000488695</v>
      </c>
    </row>
    <row r="7012" spans="1:40" x14ac:dyDescent="0.25">
      <c r="A7012" t="str">
        <f>"20190312150829901"</f>
        <v>20190312150829901</v>
      </c>
      <c r="B7012" t="str">
        <f>"1552374509897154"</f>
        <v>1552374509897154</v>
      </c>
      <c r="C7012" t="s">
        <v>40</v>
      </c>
      <c r="D7012">
        <v>4.123615</v>
      </c>
      <c r="E7012">
        <v>0.45036520000000002</v>
      </c>
      <c r="F7012" t="s">
        <v>42</v>
      </c>
      <c r="G7012">
        <v>-327.10180000000003</v>
      </c>
      <c r="H7012" s="1">
        <v>-2.727533E-6</v>
      </c>
      <c r="I7012">
        <v>133.0197</v>
      </c>
      <c r="J7012">
        <v>-269.86090000000002</v>
      </c>
      <c r="K7012">
        <v>1.110171</v>
      </c>
      <c r="L7012">
        <v>140.99</v>
      </c>
      <c r="M7012">
        <v>-0.99995270000000003</v>
      </c>
      <c r="N7012">
        <v>0</v>
      </c>
      <c r="O7012">
        <v>-6.6883090000000001E-4</v>
      </c>
      <c r="P7012">
        <v>-0.99985670000000004</v>
      </c>
      <c r="Q7012">
        <v>1.5404559999999999E-2</v>
      </c>
      <c r="R7012">
        <v>-7.0512719999999999E-3</v>
      </c>
      <c r="S7012">
        <v>-2.9985659999999998</v>
      </c>
      <c r="T7012">
        <v>-5.7991389999999997E-2</v>
      </c>
      <c r="U7012">
        <v>-0.41635129999999998</v>
      </c>
      <c r="V7012">
        <v>-6.4035910000000001E-3</v>
      </c>
      <c r="W7012">
        <v>2.5111250000000002E-2</v>
      </c>
      <c r="X7012">
        <v>0.99966410000000006</v>
      </c>
      <c r="Y7012">
        <v>-0.1368432</v>
      </c>
      <c r="Z7012">
        <v>-1.3039429999999999E-3</v>
      </c>
      <c r="AA7012">
        <v>0.99059189999999997</v>
      </c>
      <c r="AB7012">
        <v>30</v>
      </c>
      <c r="AC7012">
        <v>-57.240900000000003</v>
      </c>
      <c r="AD7012">
        <v>-1.1101737275329999</v>
      </c>
      <c r="AE7012">
        <v>-7.9702999999999999</v>
      </c>
      <c r="AF7012">
        <v>-7.9290860788795898</v>
      </c>
      <c r="AG7012">
        <v>-1.1101737275329999</v>
      </c>
      <c r="AH7012">
        <v>57.225102019510203</v>
      </c>
      <c r="AI7012">
        <v>91.100890464667501</v>
      </c>
      <c r="AJ7012">
        <v>97.888650919602398</v>
      </c>
      <c r="AK7012">
        <v>57.782481712842198</v>
      </c>
      <c r="AL7012">
        <v>88.561080028712396</v>
      </c>
      <c r="AM7012">
        <v>90.367017000777395</v>
      </c>
      <c r="AN7012">
        <v>0.99999994684153204</v>
      </c>
    </row>
    <row r="7013" spans="1:40" x14ac:dyDescent="0.25">
      <c r="A7013" t="str">
        <f>"20190312150829914"</f>
        <v>20190312150829914</v>
      </c>
      <c r="B7013" t="str">
        <f>"1552374509906914"</f>
        <v>1552374509906914</v>
      </c>
      <c r="C7013" t="s">
        <v>40</v>
      </c>
      <c r="D7013">
        <v>4.0532219999999999</v>
      </c>
      <c r="E7013">
        <v>0.45036520000000002</v>
      </c>
      <c r="F7013" t="s">
        <v>42</v>
      </c>
      <c r="G7013">
        <v>-328.44619999999998</v>
      </c>
      <c r="H7013" s="1">
        <v>-2.3296999999999999E-6</v>
      </c>
      <c r="I7013">
        <v>132.7954</v>
      </c>
      <c r="J7013">
        <v>-270.04309999999998</v>
      </c>
      <c r="K7013">
        <v>1.1101719999999999</v>
      </c>
      <c r="L7013">
        <v>140.9896</v>
      </c>
      <c r="M7013">
        <v>-0.99995219999999996</v>
      </c>
      <c r="N7013">
        <v>0</v>
      </c>
      <c r="O7013">
        <v>-9.3149349999999999E-4</v>
      </c>
      <c r="P7013">
        <v>-0.99986109999999995</v>
      </c>
      <c r="Q7013">
        <v>1.49722E-2</v>
      </c>
      <c r="R7013">
        <v>-7.3264999999999997E-3</v>
      </c>
      <c r="S7013">
        <v>-2.9983520000000001</v>
      </c>
      <c r="T7013">
        <v>-5.6817890000000003E-2</v>
      </c>
      <c r="U7013">
        <v>-0.41938779999999998</v>
      </c>
      <c r="V7013">
        <v>-6.4155740000000003E-3</v>
      </c>
      <c r="W7013">
        <v>2.4700340000000001E-2</v>
      </c>
      <c r="X7013">
        <v>0.99967430000000002</v>
      </c>
      <c r="Y7013">
        <v>-0.13757759999999999</v>
      </c>
      <c r="Z7013">
        <v>-1.279533E-3</v>
      </c>
      <c r="AA7013">
        <v>0.99049019999999999</v>
      </c>
      <c r="AB7013">
        <v>30</v>
      </c>
      <c r="AC7013">
        <v>-58.403100000000002</v>
      </c>
      <c r="AD7013">
        <v>-1.1101743297</v>
      </c>
      <c r="AE7013">
        <v>-8.1941999999999897</v>
      </c>
      <c r="AF7013">
        <v>-8.1369083666985897</v>
      </c>
      <c r="AG7013">
        <v>-1.1101743297</v>
      </c>
      <c r="AH7013">
        <v>58.390016792342202</v>
      </c>
      <c r="AI7013">
        <v>91.078816010849096</v>
      </c>
      <c r="AJ7013">
        <v>97.933330610576107</v>
      </c>
      <c r="AK7013">
        <v>58.9646998281207</v>
      </c>
      <c r="AL7013">
        <v>88.584630800026801</v>
      </c>
      <c r="AM7013">
        <v>90.367700026870295</v>
      </c>
      <c r="AN7013">
        <v>0.99999998623317699</v>
      </c>
    </row>
    <row r="7014" spans="1:40" x14ac:dyDescent="0.25">
      <c r="A7014" t="str">
        <f>"20190312150829932"</f>
        <v>20190312150829932</v>
      </c>
      <c r="B7014" t="str">
        <f>"1552374509926434"</f>
        <v>1552374509926434</v>
      </c>
      <c r="C7014" t="s">
        <v>40</v>
      </c>
      <c r="D7014">
        <v>4.0976589999999904</v>
      </c>
      <c r="E7014">
        <v>0.47610770000000002</v>
      </c>
      <c r="F7014" t="s">
        <v>42</v>
      </c>
      <c r="G7014">
        <v>-327.37400000000002</v>
      </c>
      <c r="H7014" s="1">
        <v>-2.6522979999999999E-6</v>
      </c>
      <c r="I7014">
        <v>132.95429999999999</v>
      </c>
      <c r="J7014">
        <v>-270.27609999999999</v>
      </c>
      <c r="K7014">
        <v>1.1101650000000001</v>
      </c>
      <c r="L7014">
        <v>140.989</v>
      </c>
      <c r="M7014">
        <v>-0.9999517</v>
      </c>
      <c r="N7014">
        <v>0</v>
      </c>
      <c r="O7014">
        <v>-1.2582820000000001E-3</v>
      </c>
      <c r="P7014">
        <v>-0.99985409999999997</v>
      </c>
      <c r="Q7014">
        <v>1.49823E-2</v>
      </c>
      <c r="R7014">
        <v>-8.2321740000000001E-3</v>
      </c>
      <c r="S7014">
        <v>-2.9981990000000001</v>
      </c>
      <c r="T7014">
        <v>-5.805826E-2</v>
      </c>
      <c r="U7014">
        <v>-0.42021180000000002</v>
      </c>
      <c r="V7014">
        <v>-6.9937829999999999E-3</v>
      </c>
      <c r="W7014">
        <v>2.4738949999999999E-2</v>
      </c>
      <c r="X7014">
        <v>0.99966949999999999</v>
      </c>
      <c r="Y7014">
        <v>-0.13752679999999901</v>
      </c>
      <c r="Z7014">
        <v>-1.3007170000000001E-3</v>
      </c>
      <c r="AA7014">
        <v>0.99049719999999997</v>
      </c>
      <c r="AB7014">
        <v>30</v>
      </c>
      <c r="AC7014">
        <v>-57.097900000000003</v>
      </c>
      <c r="AD7014">
        <v>-1.110167652298</v>
      </c>
      <c r="AE7014">
        <v>-8.0347000000000097</v>
      </c>
      <c r="AF7014">
        <v>-7.9598942422247596</v>
      </c>
      <c r="AG7014">
        <v>-1.110167652298</v>
      </c>
      <c r="AH7014">
        <v>57.086803183143999</v>
      </c>
      <c r="AI7014">
        <v>91.103419107705406</v>
      </c>
      <c r="AJ7014">
        <v>97.937854020050395</v>
      </c>
      <c r="AK7014">
        <v>57.649765708410598</v>
      </c>
      <c r="AL7014">
        <v>88.582417980120596</v>
      </c>
      <c r="AM7014">
        <v>90.400840188905207</v>
      </c>
      <c r="AN7014">
        <v>1.0000000189389999</v>
      </c>
    </row>
    <row r="7015" spans="1:40" x14ac:dyDescent="0.25">
      <c r="A7015" t="str">
        <f>"20190312150829954"</f>
        <v>20190312150829954</v>
      </c>
      <c r="B7015" t="str">
        <f>"1552374509946930"</f>
        <v>1552374509946930</v>
      </c>
      <c r="C7015" t="s">
        <v>40</v>
      </c>
      <c r="D7015">
        <v>4.1046339999999999</v>
      </c>
      <c r="E7015">
        <v>0.47985159999999999</v>
      </c>
      <c r="F7015" t="s">
        <v>42</v>
      </c>
      <c r="G7015">
        <v>-333.44409999999999</v>
      </c>
      <c r="H7015" s="1">
        <v>-3.6484640000000002E-6</v>
      </c>
      <c r="I7015">
        <v>136.40889999999999</v>
      </c>
      <c r="J7015">
        <v>-270.5813</v>
      </c>
      <c r="K7015">
        <v>1.110152</v>
      </c>
      <c r="L7015">
        <v>140.98820000000001</v>
      </c>
      <c r="M7015">
        <v>-0.99995049999999996</v>
      </c>
      <c r="N7015">
        <v>0</v>
      </c>
      <c r="O7015">
        <v>-1.665255E-3</v>
      </c>
      <c r="P7015">
        <v>-0.99984960000000001</v>
      </c>
      <c r="Q7015">
        <v>1.4863639999999999E-2</v>
      </c>
      <c r="R7015">
        <v>-8.9466709999999998E-3</v>
      </c>
      <c r="S7015">
        <v>-2.9994510000000001</v>
      </c>
      <c r="T7015">
        <v>-5.2714940000000002E-2</v>
      </c>
      <c r="U7015">
        <v>-0.2174835</v>
      </c>
      <c r="V7015">
        <v>-7.3007790000000003E-3</v>
      </c>
      <c r="W7015">
        <v>2.4658389999999999E-2</v>
      </c>
      <c r="X7015">
        <v>0.99966929999999998</v>
      </c>
      <c r="Y7015">
        <v>-7.0646260000000002E-2</v>
      </c>
      <c r="Z7015">
        <v>-5.9071069999999995E-4</v>
      </c>
      <c r="AA7015">
        <v>0.99750130000000004</v>
      </c>
      <c r="AB7015">
        <v>30</v>
      </c>
      <c r="AC7015">
        <v>-62.862799999999901</v>
      </c>
      <c r="AD7015">
        <v>-1.1101556484639901</v>
      </c>
      <c r="AE7015">
        <v>-4.5793000000000097</v>
      </c>
      <c r="AF7015">
        <v>-4.4732183009805802</v>
      </c>
      <c r="AG7015">
        <v>-1.1101556484639901</v>
      </c>
      <c r="AH7015">
        <v>62.850840772255097</v>
      </c>
      <c r="AI7015">
        <v>91.009376779599407</v>
      </c>
      <c r="AJ7015">
        <v>94.070989098409697</v>
      </c>
      <c r="AK7015">
        <v>63.019602611500197</v>
      </c>
      <c r="AL7015">
        <v>88.587035142934695</v>
      </c>
      <c r="AM7015">
        <v>90.4184347634978</v>
      </c>
      <c r="AN7015">
        <v>1.0000000234669399</v>
      </c>
    </row>
    <row r="7016" spans="1:40" x14ac:dyDescent="0.25">
      <c r="A7016" t="str">
        <f>"20190312150829967"</f>
        <v>20190312150829967</v>
      </c>
      <c r="B7016" t="str">
        <f>"1552374509956690"</f>
        <v>1552374509956690</v>
      </c>
      <c r="C7016" t="s">
        <v>40</v>
      </c>
      <c r="D7016">
        <v>4.0857659999999996</v>
      </c>
      <c r="E7016">
        <v>0.48048689999999999</v>
      </c>
      <c r="F7016" t="s">
        <v>42</v>
      </c>
      <c r="G7016">
        <v>-335.09350000000001</v>
      </c>
      <c r="H7016" s="1">
        <v>-2.7800270000000002E-6</v>
      </c>
      <c r="I7016">
        <v>136.90899999999999</v>
      </c>
      <c r="J7016">
        <v>-270.75670000000002</v>
      </c>
      <c r="K7016">
        <v>1.1101460000000001</v>
      </c>
      <c r="L7016">
        <v>140.98769999999999</v>
      </c>
      <c r="M7016">
        <v>-0.99995009999999995</v>
      </c>
      <c r="N7016">
        <v>0</v>
      </c>
      <c r="O7016">
        <v>-1.8886280000000001E-3</v>
      </c>
      <c r="P7016">
        <v>-0.99984629999999997</v>
      </c>
      <c r="Q7016">
        <v>1.4736300000000001E-2</v>
      </c>
      <c r="R7016">
        <v>-9.5261470000000004E-3</v>
      </c>
      <c r="S7016">
        <v>-2.9995120000000002</v>
      </c>
      <c r="T7016">
        <v>-5.1616910000000002E-2</v>
      </c>
      <c r="U7016">
        <v>-0.18966669999999999</v>
      </c>
      <c r="V7016">
        <v>-7.6559239999999997E-3</v>
      </c>
      <c r="W7016">
        <v>2.4553040000000002E-2</v>
      </c>
      <c r="X7016">
        <v>0.99966920000000004</v>
      </c>
      <c r="Y7016">
        <v>-6.1212700000000002E-2</v>
      </c>
      <c r="Z7016">
        <v>-4.9365659999999997E-4</v>
      </c>
      <c r="AA7016">
        <v>0.99812460000000003</v>
      </c>
      <c r="AB7016">
        <v>30</v>
      </c>
      <c r="AC7016">
        <v>-64.336799999999897</v>
      </c>
      <c r="AD7016">
        <v>-1.11014878002699</v>
      </c>
      <c r="AE7016">
        <v>-4.0786999999999898</v>
      </c>
      <c r="AF7016">
        <v>-3.9560054332996901</v>
      </c>
      <c r="AG7016">
        <v>-1.11014878002699</v>
      </c>
      <c r="AH7016">
        <v>64.3253129360548</v>
      </c>
      <c r="AI7016">
        <v>90.986868314156197</v>
      </c>
      <c r="AJ7016">
        <v>93.519256837289007</v>
      </c>
      <c r="AK7016">
        <v>64.456406148834205</v>
      </c>
      <c r="AL7016">
        <v>88.593073030199207</v>
      </c>
      <c r="AM7016">
        <v>90.438788709142401</v>
      </c>
      <c r="AN7016">
        <v>0.99999998718708705</v>
      </c>
    </row>
    <row r="7017" spans="1:40" x14ac:dyDescent="0.25">
      <c r="A7017" t="str">
        <f>"20190312150829980"</f>
        <v>20190312150829980</v>
      </c>
      <c r="B7017" t="str">
        <f>"1552374509977187"</f>
        <v>1552374509977187</v>
      </c>
      <c r="C7017" t="s">
        <v>40</v>
      </c>
      <c r="D7017">
        <v>4.0722480000000001</v>
      </c>
      <c r="E7017">
        <v>0.48145969999999999</v>
      </c>
      <c r="F7017" t="s">
        <v>42</v>
      </c>
      <c r="G7017">
        <v>-338.15910000000002</v>
      </c>
      <c r="H7017" s="1">
        <v>-1.440669E-6</v>
      </c>
      <c r="I7017">
        <v>136.79929999999999</v>
      </c>
      <c r="J7017">
        <v>-270.92660000000001</v>
      </c>
      <c r="K7017">
        <v>1.110136</v>
      </c>
      <c r="L7017">
        <v>140.9872</v>
      </c>
      <c r="M7017">
        <v>-0.99994950000000005</v>
      </c>
      <c r="N7017">
        <v>0</v>
      </c>
      <c r="O7017">
        <v>-2.094467E-3</v>
      </c>
      <c r="P7017">
        <v>-0.99983949999999999</v>
      </c>
      <c r="Q7017">
        <v>1.509861E-2</v>
      </c>
      <c r="R7017">
        <v>-9.6731370000000001E-3</v>
      </c>
      <c r="S7017">
        <v>-2.9994200000000002</v>
      </c>
      <c r="T7017">
        <v>-4.9401760000000003E-2</v>
      </c>
      <c r="U7017">
        <v>-0.1863861</v>
      </c>
      <c r="V7017">
        <v>-7.5967439999999999E-3</v>
      </c>
      <c r="W7017">
        <v>2.4937730000000002E-2</v>
      </c>
      <c r="X7017">
        <v>0.99966010000000005</v>
      </c>
      <c r="Y7017">
        <v>-5.9922610000000001E-2</v>
      </c>
      <c r="Z7017">
        <v>-4.5850470000000001E-4</v>
      </c>
      <c r="AA7017">
        <v>0.9982029</v>
      </c>
      <c r="AB7017">
        <v>30</v>
      </c>
      <c r="AC7017">
        <v>-67.232500000000002</v>
      </c>
      <c r="AD7017">
        <v>-1.1101374406690001</v>
      </c>
      <c r="AE7017">
        <v>-4.1879000000000097</v>
      </c>
      <c r="AF7017">
        <v>-4.04596891497245</v>
      </c>
      <c r="AG7017">
        <v>-1.1101374406690001</v>
      </c>
      <c r="AH7017">
        <v>67.222867327171898</v>
      </c>
      <c r="AI7017">
        <v>90.944403997724905</v>
      </c>
      <c r="AJ7017">
        <v>93.444328370196303</v>
      </c>
      <c r="AK7017">
        <v>67.353664794758302</v>
      </c>
      <c r="AL7017">
        <v>88.571025123586494</v>
      </c>
      <c r="AM7017">
        <v>90.435400983577793</v>
      </c>
      <c r="AN7017">
        <v>0.99999995821448096</v>
      </c>
    </row>
    <row r="7018" spans="1:40" x14ac:dyDescent="0.25">
      <c r="A7018" t="str">
        <f>"20190312150829995"</f>
        <v>20190312150829995</v>
      </c>
      <c r="B7018" t="str">
        <f>"1552374509987500"</f>
        <v>1552374509987500</v>
      </c>
      <c r="C7018" t="s">
        <v>40</v>
      </c>
      <c r="D7018">
        <v>4.0825610000000001</v>
      </c>
      <c r="E7018">
        <v>0.4817668</v>
      </c>
      <c r="F7018" t="s">
        <v>42</v>
      </c>
      <c r="G7018">
        <v>-340.8553</v>
      </c>
      <c r="H7018" s="1">
        <v>-4.4024630000000002E-6</v>
      </c>
      <c r="I7018">
        <v>136.81399999999999</v>
      </c>
      <c r="J7018">
        <v>-271.11810000000003</v>
      </c>
      <c r="K7018">
        <v>1.1101259999999999</v>
      </c>
      <c r="L7018">
        <v>140.98660000000001</v>
      </c>
      <c r="M7018">
        <v>-0.99994870000000002</v>
      </c>
      <c r="N7018">
        <v>0</v>
      </c>
      <c r="O7018">
        <v>-2.3130410000000001E-3</v>
      </c>
      <c r="P7018">
        <v>-0.99983230000000001</v>
      </c>
      <c r="Q7018">
        <v>1.524271E-2</v>
      </c>
      <c r="R7018">
        <v>-1.017878E-2</v>
      </c>
      <c r="S7018">
        <v>-2.9995120000000002</v>
      </c>
      <c r="T7018">
        <v>-4.7618269999999997E-2</v>
      </c>
      <c r="U7018">
        <v>-0.17900089999999999</v>
      </c>
      <c r="V7018">
        <v>-7.8831909999999995E-3</v>
      </c>
      <c r="W7018">
        <v>2.5107910000000001E-2</v>
      </c>
      <c r="X7018">
        <v>0.99965360000000003</v>
      </c>
      <c r="Y7018">
        <v>-5.7254590000000001E-2</v>
      </c>
      <c r="Z7018">
        <v>-4.1734919999999998E-4</v>
      </c>
      <c r="AA7018">
        <v>0.99835949999999996</v>
      </c>
      <c r="AB7018">
        <v>30</v>
      </c>
      <c r="AC7018">
        <v>-69.737199999999902</v>
      </c>
      <c r="AD7018">
        <v>-1.1101304024630001</v>
      </c>
      <c r="AE7018">
        <v>-4.1726000000000099</v>
      </c>
      <c r="AF7018">
        <v>-4.01026338568452</v>
      </c>
      <c r="AG7018">
        <v>-1.1101304024630001</v>
      </c>
      <c r="AH7018">
        <v>69.729058479154602</v>
      </c>
      <c r="AI7018">
        <v>90.910603258773705</v>
      </c>
      <c r="AJ7018">
        <v>93.291573698390295</v>
      </c>
      <c r="AK7018">
        <v>69.853104428668004</v>
      </c>
      <c r="AL7018">
        <v>88.561271441264594</v>
      </c>
      <c r="AM7018">
        <v>90.451820721584298</v>
      </c>
      <c r="AN7018">
        <v>0.99999993591893299</v>
      </c>
    </row>
    <row r="7019" spans="1:40" x14ac:dyDescent="0.25">
      <c r="A7019" t="str">
        <f>"20190312150830009"</f>
        <v>20190312150830009</v>
      </c>
      <c r="B7019" t="str">
        <f>"1552374510006976"</f>
        <v>1552374510006976</v>
      </c>
      <c r="C7019" t="s">
        <v>40</v>
      </c>
      <c r="D7019">
        <v>4.016324</v>
      </c>
      <c r="E7019">
        <v>0.48197079999999998</v>
      </c>
      <c r="F7019" t="s">
        <v>42</v>
      </c>
      <c r="G7019">
        <v>-342.48930000000001</v>
      </c>
      <c r="H7019" s="1">
        <v>-3.7130159999999999E-6</v>
      </c>
      <c r="I7019">
        <v>136.74889999999999</v>
      </c>
      <c r="J7019">
        <v>-271.32119999999998</v>
      </c>
      <c r="K7019">
        <v>1.110109</v>
      </c>
      <c r="L7019">
        <v>140.98589999999999</v>
      </c>
      <c r="M7019">
        <v>-0.9999479</v>
      </c>
      <c r="N7019">
        <v>0</v>
      </c>
      <c r="O7019">
        <v>-2.5304009999999998E-3</v>
      </c>
      <c r="P7019">
        <v>-0.99982559999999998</v>
      </c>
      <c r="Q7019">
        <v>1.5606139999999999E-2</v>
      </c>
      <c r="R7019">
        <v>-1.027169E-2</v>
      </c>
      <c r="S7019">
        <v>-2.9994200000000002</v>
      </c>
      <c r="T7019">
        <v>-4.6653989999999999E-2</v>
      </c>
      <c r="U7019">
        <v>-0.178085299999999</v>
      </c>
      <c r="V7019">
        <v>-7.7577490000000004E-3</v>
      </c>
      <c r="W7019">
        <v>2.5499270000000001E-2</v>
      </c>
      <c r="X7019">
        <v>0.9996448</v>
      </c>
      <c r="Y7019">
        <v>-5.6736090000000003E-2</v>
      </c>
      <c r="Z7019">
        <v>-4.0150850000000003E-4</v>
      </c>
      <c r="AA7019">
        <v>0.99838910000000003</v>
      </c>
      <c r="AB7019">
        <v>30</v>
      </c>
      <c r="AC7019">
        <v>-71.168099999999995</v>
      </c>
      <c r="AD7019">
        <v>-1.110112713016</v>
      </c>
      <c r="AE7019">
        <v>-4.2369999999999903</v>
      </c>
      <c r="AF7019">
        <v>-4.0559104304627702</v>
      </c>
      <c r="AG7019">
        <v>-1.110112713016</v>
      </c>
      <c r="AH7019">
        <v>71.161340718037707</v>
      </c>
      <c r="AI7019">
        <v>90.892290370736902</v>
      </c>
      <c r="AJ7019">
        <v>93.262099864930704</v>
      </c>
      <c r="AK7019">
        <v>71.285476588462203</v>
      </c>
      <c r="AL7019">
        <v>88.538841163985197</v>
      </c>
      <c r="AM7019">
        <v>90.444635287870398</v>
      </c>
      <c r="AN7019">
        <v>1.00000006080355</v>
      </c>
    </row>
    <row r="7020" spans="1:40" x14ac:dyDescent="0.25">
      <c r="A7020" t="str">
        <f>"20190312150830022"</f>
        <v>20190312150830022</v>
      </c>
      <c r="B7020" t="str">
        <f>"1552374510016737"</f>
        <v>1552374510016737</v>
      </c>
      <c r="C7020" t="s">
        <v>40</v>
      </c>
      <c r="D7020">
        <v>4.0157220000000002</v>
      </c>
      <c r="E7020">
        <v>0.48213289999999998</v>
      </c>
      <c r="F7020" t="s">
        <v>42</v>
      </c>
      <c r="G7020">
        <v>-349.32920000000001</v>
      </c>
      <c r="H7020" s="1">
        <v>-1.0729520000000001E-6</v>
      </c>
      <c r="I7020">
        <v>136.38939999999999</v>
      </c>
      <c r="J7020">
        <v>-271.5077</v>
      </c>
      <c r="K7020">
        <v>1.1100939999999999</v>
      </c>
      <c r="L7020">
        <v>140.98519999999999</v>
      </c>
      <c r="M7020">
        <v>-0.99994709999999998</v>
      </c>
      <c r="N7020">
        <v>0</v>
      </c>
      <c r="O7020">
        <v>-2.7146039999999998E-3</v>
      </c>
      <c r="P7020">
        <v>-0.99981679999999995</v>
      </c>
      <c r="Q7020">
        <v>1.617903E-2</v>
      </c>
      <c r="R7020">
        <v>-1.024279E-2</v>
      </c>
      <c r="S7020">
        <v>-2.9993289999999999</v>
      </c>
      <c r="T7020">
        <v>-4.2682650000000003E-2</v>
      </c>
      <c r="U7020">
        <v>-0.1767273</v>
      </c>
      <c r="V7020">
        <v>-7.5436089999999997E-3</v>
      </c>
      <c r="W7020">
        <v>2.6097499999999999E-2</v>
      </c>
      <c r="X7020">
        <v>0.99963089999999999</v>
      </c>
      <c r="Y7020">
        <v>-5.6104630000000003E-2</v>
      </c>
      <c r="Z7020">
        <v>-3.6024249999999999E-4</v>
      </c>
      <c r="AA7020">
        <v>0.9984248</v>
      </c>
      <c r="AB7020">
        <v>30</v>
      </c>
      <c r="AC7020">
        <v>-77.8215</v>
      </c>
      <c r="AD7020">
        <v>-1.1100950729520001</v>
      </c>
      <c r="AE7020">
        <v>-4.5957999999999899</v>
      </c>
      <c r="AF7020">
        <v>-4.3836292325893202</v>
      </c>
      <c r="AG7020">
        <v>-1.1100950729520001</v>
      </c>
      <c r="AH7020">
        <v>77.817910290197005</v>
      </c>
      <c r="AI7020">
        <v>90.815992001081</v>
      </c>
      <c r="AJ7020">
        <v>93.224171492230496</v>
      </c>
      <c r="AK7020">
        <v>77.949186514375796</v>
      </c>
      <c r="AL7020">
        <v>88.5045535499046</v>
      </c>
      <c r="AM7020">
        <v>90.432368340791498</v>
      </c>
      <c r="AN7020">
        <v>0.99999996088890097</v>
      </c>
    </row>
    <row r="7021" spans="1:40" x14ac:dyDescent="0.25">
      <c r="A7021" t="str">
        <f>"20190312150830036"</f>
        <v>20190312150830036</v>
      </c>
      <c r="B7021" t="str">
        <f>"1552374510026499"</f>
        <v>1552374510026499</v>
      </c>
      <c r="C7021" t="s">
        <v>40</v>
      </c>
      <c r="D7021">
        <v>4.0661189999999996</v>
      </c>
      <c r="E7021">
        <v>0.4824157</v>
      </c>
      <c r="F7021" t="s">
        <v>42</v>
      </c>
      <c r="G7021">
        <v>-352.84800000000001</v>
      </c>
      <c r="H7021" s="1">
        <v>-3.651496E-6</v>
      </c>
      <c r="I7021">
        <v>136.22810000000001</v>
      </c>
      <c r="J7021">
        <v>-271.67950000000002</v>
      </c>
      <c r="K7021">
        <v>1.1100890000000001</v>
      </c>
      <c r="L7021">
        <v>140.9846</v>
      </c>
      <c r="M7021">
        <v>-0.99994640000000001</v>
      </c>
      <c r="N7021">
        <v>0</v>
      </c>
      <c r="O7021">
        <v>-2.867208E-3</v>
      </c>
      <c r="P7021">
        <v>-0.99981439999999999</v>
      </c>
      <c r="Q7021">
        <v>1.631254E-2</v>
      </c>
      <c r="R7021">
        <v>-1.024926E-2</v>
      </c>
      <c r="S7021">
        <v>-2.9994200000000002</v>
      </c>
      <c r="T7021">
        <v>-4.09348E-2</v>
      </c>
      <c r="U7021">
        <v>-0.17541499999999999</v>
      </c>
      <c r="V7021">
        <v>-7.3972430000000004E-3</v>
      </c>
      <c r="W7021">
        <v>2.6253849999999999E-2</v>
      </c>
      <c r="X7021">
        <v>0.99962790000000001</v>
      </c>
      <c r="Y7021">
        <v>-5.5515639999999998E-2</v>
      </c>
      <c r="Z7021">
        <v>-3.3938959999999999E-4</v>
      </c>
      <c r="AA7021">
        <v>0.99845779999999995</v>
      </c>
      <c r="AB7021">
        <v>30</v>
      </c>
      <c r="AC7021">
        <v>-81.168499999999995</v>
      </c>
      <c r="AD7021">
        <v>-1.1100926514959999</v>
      </c>
      <c r="AE7021">
        <v>-4.7564999999999804</v>
      </c>
      <c r="AF7021">
        <v>-4.5228988708584499</v>
      </c>
      <c r="AG7021">
        <v>-1.1100926514959999</v>
      </c>
      <c r="AH7021">
        <v>81.166675106610597</v>
      </c>
      <c r="AI7021">
        <v>90.782355046453006</v>
      </c>
      <c r="AJ7021">
        <v>93.1894283145201</v>
      </c>
      <c r="AK7021">
        <v>81.300172618223797</v>
      </c>
      <c r="AL7021">
        <v>88.495592284309296</v>
      </c>
      <c r="AM7021">
        <v>90.423980831136404</v>
      </c>
      <c r="AN7021">
        <v>0.999999961151116</v>
      </c>
    </row>
    <row r="7022" spans="1:40" x14ac:dyDescent="0.25">
      <c r="A7022" t="str">
        <f>"20190312150830055"</f>
        <v>20190312150830055</v>
      </c>
      <c r="B7022" t="str">
        <f>"1552374510046996"</f>
        <v>1552374510046996</v>
      </c>
      <c r="C7022" t="s">
        <v>40</v>
      </c>
      <c r="D7022">
        <v>3.9793639999999999</v>
      </c>
      <c r="E7022">
        <v>0.48215370000000002</v>
      </c>
      <c r="F7022" t="s">
        <v>42</v>
      </c>
      <c r="G7022">
        <v>-354.41719999999998</v>
      </c>
      <c r="H7022" s="1">
        <v>-2.9820119999999999E-6</v>
      </c>
      <c r="I7022">
        <v>136.2073</v>
      </c>
      <c r="J7022">
        <v>-271.94779999999997</v>
      </c>
      <c r="K7022">
        <v>1.1100669999999999</v>
      </c>
      <c r="L7022">
        <v>140.9836</v>
      </c>
      <c r="M7022">
        <v>-0.99994550000000004</v>
      </c>
      <c r="N7022">
        <v>0</v>
      </c>
      <c r="O7022">
        <v>-3.0854390000000002E-3</v>
      </c>
      <c r="P7022">
        <v>-0.99981750000000003</v>
      </c>
      <c r="Q7022">
        <v>1.640484E-2</v>
      </c>
      <c r="R7022">
        <v>-9.7983240000000006E-3</v>
      </c>
      <c r="S7022">
        <v>-2.9994510000000001</v>
      </c>
      <c r="T7022">
        <v>-4.0243630000000002E-2</v>
      </c>
      <c r="U7022">
        <v>-0.17318729999999999</v>
      </c>
      <c r="V7022">
        <v>-6.726559E-3</v>
      </c>
      <c r="W7022">
        <v>2.6382550000000001E-2</v>
      </c>
      <c r="X7022">
        <v>0.99962930000000005</v>
      </c>
      <c r="Y7022">
        <v>-5.4558299999999997E-2</v>
      </c>
      <c r="Z7022">
        <v>-3.2432119999999999E-4</v>
      </c>
      <c r="AA7022">
        <v>0.99851049999999997</v>
      </c>
      <c r="AB7022">
        <v>30</v>
      </c>
      <c r="AC7022">
        <v>-82.469399999999993</v>
      </c>
      <c r="AD7022">
        <v>-1.1100699820119999</v>
      </c>
      <c r="AE7022">
        <v>-4.7762999999999902</v>
      </c>
      <c r="AF7022">
        <v>-4.5209939181087604</v>
      </c>
      <c r="AG7022">
        <v>-1.1100699820119999</v>
      </c>
      <c r="AH7022">
        <v>82.468853203498199</v>
      </c>
      <c r="AI7022">
        <v>90.770025794046603</v>
      </c>
      <c r="AJ7022">
        <v>93.137849454779797</v>
      </c>
      <c r="AK7022">
        <v>82.600141586275001</v>
      </c>
      <c r="AL7022">
        <v>88.488215838189603</v>
      </c>
      <c r="AM7022">
        <v>90.385540544340301</v>
      </c>
      <c r="AN7022">
        <v>1.00000001147948</v>
      </c>
    </row>
    <row r="7023" spans="1:40" x14ac:dyDescent="0.25">
      <c r="A7023" t="str">
        <f>"20190312150830076"</f>
        <v>20190312150830076</v>
      </c>
      <c r="B7023" t="str">
        <f>"1552374510066603"</f>
        <v>1552374510066603</v>
      </c>
      <c r="C7023" t="s">
        <v>40</v>
      </c>
      <c r="D7023">
        <v>4.1851649999999996</v>
      </c>
      <c r="E7023">
        <v>0.4823829</v>
      </c>
      <c r="F7023" t="s">
        <v>42</v>
      </c>
      <c r="G7023">
        <v>-370.166</v>
      </c>
      <c r="H7023" s="1">
        <v>-4.9674890000000002E-6</v>
      </c>
      <c r="I7023">
        <v>135.2953</v>
      </c>
      <c r="J7023">
        <v>-272.22949999999997</v>
      </c>
      <c r="K7023">
        <v>1.1100479999999999</v>
      </c>
      <c r="L7023">
        <v>140.98249999999999</v>
      </c>
      <c r="M7023">
        <v>-0.99994439999999996</v>
      </c>
      <c r="N7023">
        <v>0</v>
      </c>
      <c r="O7023">
        <v>-3.2843740000000001E-3</v>
      </c>
      <c r="P7023">
        <v>-0.99981770000000003</v>
      </c>
      <c r="Q7023">
        <v>1.6594080000000001E-2</v>
      </c>
      <c r="R7023">
        <v>-9.4724149999999997E-3</v>
      </c>
      <c r="S7023">
        <v>-2.99939</v>
      </c>
      <c r="T7023">
        <v>-3.3899430000000001E-2</v>
      </c>
      <c r="U7023">
        <v>-0.1737061</v>
      </c>
      <c r="V7023">
        <v>-6.1998110000000004E-3</v>
      </c>
      <c r="W7023">
        <v>2.6610869999999998E-2</v>
      </c>
      <c r="X7023">
        <v>0.99962660000000003</v>
      </c>
      <c r="Y7023">
        <v>-5.4534300000000001E-2</v>
      </c>
      <c r="Z7023">
        <v>-2.708195E-4</v>
      </c>
      <c r="AA7023">
        <v>0.99851190000000001</v>
      </c>
      <c r="AB7023">
        <v>30</v>
      </c>
      <c r="AC7023">
        <v>-97.936499999999995</v>
      </c>
      <c r="AD7023">
        <v>-1.1100529674889901</v>
      </c>
      <c r="AE7023">
        <v>-5.68719999999999</v>
      </c>
      <c r="AF7023">
        <v>-5.3648061834116598</v>
      </c>
      <c r="AG7023">
        <v>-1.1100529674889901</v>
      </c>
      <c r="AH7023">
        <v>97.942111314548796</v>
      </c>
      <c r="AI7023">
        <v>90.648377291148094</v>
      </c>
      <c r="AJ7023">
        <v>93.135259038886403</v>
      </c>
      <c r="AK7023">
        <v>98.095211563703103</v>
      </c>
      <c r="AL7023">
        <v>88.475129389356297</v>
      </c>
      <c r="AM7023">
        <v>90.355351137584506</v>
      </c>
      <c r="AN7023">
        <v>0.99999995774307504</v>
      </c>
    </row>
    <row r="7024" spans="1:40" x14ac:dyDescent="0.25">
      <c r="A7024" t="str">
        <f>"20190312150830088"</f>
        <v>20190312150830088</v>
      </c>
      <c r="B7024" t="str">
        <f>"1552374510087009"</f>
        <v>1552374510087009</v>
      </c>
      <c r="C7024" t="s">
        <v>40</v>
      </c>
      <c r="D7024">
        <v>4.1553100000000001</v>
      </c>
      <c r="E7024">
        <v>0.4824659</v>
      </c>
      <c r="F7024" t="s">
        <v>77</v>
      </c>
      <c r="G7024">
        <v>-408.85210000000001</v>
      </c>
      <c r="H7024" s="1">
        <v>-7.1862069999999999E-6</v>
      </c>
      <c r="I7024">
        <v>133.20429999999999</v>
      </c>
      <c r="J7024">
        <v>-272.39929999999998</v>
      </c>
      <c r="K7024">
        <v>1.110036</v>
      </c>
      <c r="L7024">
        <v>140.98179999999999</v>
      </c>
      <c r="M7024">
        <v>-0.99994380000000005</v>
      </c>
      <c r="N7024">
        <v>0</v>
      </c>
      <c r="O7024">
        <v>-3.3917140000000001E-3</v>
      </c>
      <c r="P7024">
        <v>-0.99981500000000001</v>
      </c>
      <c r="Q7024">
        <v>1.7086469999999999E-2</v>
      </c>
      <c r="R7024">
        <v>-8.8334720000000002E-3</v>
      </c>
      <c r="S7024">
        <v>-2.9993590000000001</v>
      </c>
      <c r="T7024">
        <v>-2.4369720000000001E-2</v>
      </c>
      <c r="U7024">
        <v>-0.1707611</v>
      </c>
      <c r="V7024">
        <v>-5.452808E-3</v>
      </c>
      <c r="W7024">
        <v>2.7127099999999901E-2</v>
      </c>
      <c r="X7024">
        <v>0.99961710000000004</v>
      </c>
      <c r="Y7024">
        <v>-5.3452119999999999E-2</v>
      </c>
      <c r="Z7024">
        <v>-1.894337E-4</v>
      </c>
      <c r="AA7024">
        <v>0.99857039999999997</v>
      </c>
      <c r="AB7024">
        <v>30</v>
      </c>
      <c r="AC7024">
        <v>-136.4528</v>
      </c>
      <c r="AD7024">
        <v>-1.1100431862069999</v>
      </c>
      <c r="AE7024">
        <v>-7.7774999999999999</v>
      </c>
      <c r="AF7024">
        <v>-7.3141405701453603</v>
      </c>
      <c r="AG7024">
        <v>-1.1100431862069999</v>
      </c>
      <c r="AH7024">
        <v>136.46939339602599</v>
      </c>
      <c r="AI7024">
        <v>90.465366204164994</v>
      </c>
      <c r="AJ7024">
        <v>93.067858732821804</v>
      </c>
      <c r="AK7024">
        <v>136.66976323252501</v>
      </c>
      <c r="AL7024">
        <v>88.445540939047305</v>
      </c>
      <c r="AM7024">
        <v>90.312539457500904</v>
      </c>
      <c r="AN7024">
        <v>0.999999979640952</v>
      </c>
    </row>
    <row r="7025" spans="1:40" x14ac:dyDescent="0.25">
      <c r="A7025" t="str">
        <f>"20190312150830100"</f>
        <v>20190312150830100</v>
      </c>
      <c r="B7025" t="str">
        <f>"1552374510096769"</f>
        <v>1552374510096769</v>
      </c>
      <c r="C7025" t="s">
        <v>40</v>
      </c>
      <c r="D7025">
        <v>4.2130260000000002</v>
      </c>
      <c r="E7025">
        <v>0.48214630000000003</v>
      </c>
      <c r="F7025" t="s">
        <v>42</v>
      </c>
      <c r="G7025">
        <v>-441.5686</v>
      </c>
      <c r="H7025" s="1">
        <v>-4.025384E-6</v>
      </c>
      <c r="I7025">
        <v>131.50210000000001</v>
      </c>
      <c r="J7025">
        <v>-272.56569999999999</v>
      </c>
      <c r="K7025">
        <v>1.110031</v>
      </c>
      <c r="L7025">
        <v>140.9812</v>
      </c>
      <c r="M7025">
        <v>-0.99994329999999998</v>
      </c>
      <c r="N7025">
        <v>0</v>
      </c>
      <c r="O7025">
        <v>-3.4881030000000002E-3</v>
      </c>
      <c r="P7025">
        <v>-0.99981560000000003</v>
      </c>
      <c r="Q7025">
        <v>1.7148630000000002E-2</v>
      </c>
      <c r="R7025">
        <v>-8.6570680000000004E-3</v>
      </c>
      <c r="S7025">
        <v>-2.9994200000000002</v>
      </c>
      <c r="T7025">
        <v>-1.968133E-2</v>
      </c>
      <c r="U7025">
        <v>-0.16807559999999999</v>
      </c>
      <c r="V7025">
        <v>-5.1791959999999996E-3</v>
      </c>
      <c r="W7025">
        <v>2.7211949999999999E-2</v>
      </c>
      <c r="X7025">
        <v>0.99961630000000001</v>
      </c>
      <c r="Y7025">
        <v>-5.2464040000000003E-2</v>
      </c>
      <c r="Z7025">
        <v>-1.491199E-4</v>
      </c>
      <c r="AA7025">
        <v>0.99862280000000003</v>
      </c>
      <c r="AB7025">
        <v>30</v>
      </c>
      <c r="AC7025">
        <v>-169.00290000000001</v>
      </c>
      <c r="AD7025">
        <v>-1.1100350253839999</v>
      </c>
      <c r="AE7025">
        <v>-9.4790999999999794</v>
      </c>
      <c r="AF7025">
        <v>-8.8891306874534397</v>
      </c>
      <c r="AG7025">
        <v>-1.1100350253839999</v>
      </c>
      <c r="AH7025">
        <v>169.02766845782099</v>
      </c>
      <c r="AI7025">
        <v>90.375747029244195</v>
      </c>
      <c r="AJ7025">
        <v>93.010400154331506</v>
      </c>
      <c r="AK7025">
        <v>169.26488568638001</v>
      </c>
      <c r="AL7025">
        <v>88.440677676435797</v>
      </c>
      <c r="AM7025">
        <v>90.296857320917894</v>
      </c>
      <c r="AN7025">
        <v>1.00000003075984</v>
      </c>
    </row>
    <row r="7026" spans="1:40" x14ac:dyDescent="0.25">
      <c r="A7026" t="str">
        <f>"20190312150830114"</f>
        <v>20190312150830114</v>
      </c>
      <c r="B7026" t="str">
        <f>"1552374510107504"</f>
        <v>1552374510107504</v>
      </c>
      <c r="C7026" t="s">
        <v>40</v>
      </c>
      <c r="D7026">
        <v>4.0470439999999996</v>
      </c>
      <c r="E7026">
        <v>0.48230519999999999</v>
      </c>
      <c r="F7026" t="s">
        <v>42</v>
      </c>
      <c r="G7026">
        <v>-446.6377</v>
      </c>
      <c r="H7026" s="1">
        <v>-2.3817480000000001E-6</v>
      </c>
      <c r="I7026">
        <v>131.1046</v>
      </c>
      <c r="J7026">
        <v>-272.74020000000002</v>
      </c>
      <c r="K7026">
        <v>1.110023</v>
      </c>
      <c r="L7026">
        <v>140.98050000000001</v>
      </c>
      <c r="M7026">
        <v>-0.99994269999999996</v>
      </c>
      <c r="N7026">
        <v>0</v>
      </c>
      <c r="O7026">
        <v>-3.579512E-3</v>
      </c>
      <c r="P7026">
        <v>-0.99981469999999995</v>
      </c>
      <c r="Q7026">
        <v>1.7302350000000001E-2</v>
      </c>
      <c r="R7026">
        <v>-8.4350199999999997E-3</v>
      </c>
      <c r="S7026">
        <v>-2.9994200000000002</v>
      </c>
      <c r="T7026">
        <v>-1.9126890000000001E-2</v>
      </c>
      <c r="U7026">
        <v>-0.17018129999999901</v>
      </c>
      <c r="V7026">
        <v>-4.865533E-3</v>
      </c>
      <c r="W7026">
        <v>2.739022E-2</v>
      </c>
      <c r="X7026">
        <v>0.99961299999999997</v>
      </c>
      <c r="Y7026">
        <v>-5.3071640000000003E-2</v>
      </c>
      <c r="Z7026">
        <v>-1.4626959999999999E-4</v>
      </c>
      <c r="AA7026">
        <v>0.99859070000000005</v>
      </c>
      <c r="AB7026">
        <v>30</v>
      </c>
      <c r="AC7026">
        <v>-173.89749999999901</v>
      </c>
      <c r="AD7026">
        <v>-1.1100253817479999</v>
      </c>
      <c r="AE7026">
        <v>-9.8758999999999997</v>
      </c>
      <c r="AF7026">
        <v>-9.2529610508253697</v>
      </c>
      <c r="AG7026">
        <v>-1.1100253817479999</v>
      </c>
      <c r="AH7026">
        <v>173.92467466198499</v>
      </c>
      <c r="AI7026">
        <v>90.365152879088797</v>
      </c>
      <c r="AJ7026">
        <v>93.045319997563894</v>
      </c>
      <c r="AK7026">
        <v>174.17417116447999</v>
      </c>
      <c r="AL7026">
        <v>88.430459738314099</v>
      </c>
      <c r="AM7026">
        <v>90.278880231110804</v>
      </c>
      <c r="AN7026">
        <v>1.00000002366601</v>
      </c>
    </row>
    <row r="7027" spans="1:40" x14ac:dyDescent="0.25">
      <c r="A7027" t="str">
        <f>"20190312150830128"</f>
        <v>20190312150830128</v>
      </c>
      <c r="B7027" t="str">
        <f>"1552374510117266"</f>
        <v>1552374510117266</v>
      </c>
      <c r="C7027" t="s">
        <v>40</v>
      </c>
      <c r="D7027">
        <v>4.336487</v>
      </c>
      <c r="E7027">
        <v>0.48253689999999999</v>
      </c>
      <c r="F7027" t="s">
        <v>42</v>
      </c>
      <c r="G7027">
        <v>-443.35759999999999</v>
      </c>
      <c r="H7027" s="1">
        <v>-3.4175759999999999E-6</v>
      </c>
      <c r="I7027">
        <v>131.4068</v>
      </c>
      <c r="J7027">
        <v>-272.9366</v>
      </c>
      <c r="K7027">
        <v>1.110015</v>
      </c>
      <c r="L7027">
        <v>140.97970000000001</v>
      </c>
      <c r="M7027">
        <v>-0.99994209999999994</v>
      </c>
      <c r="N7027">
        <v>0</v>
      </c>
      <c r="O7027">
        <v>-3.67535E-3</v>
      </c>
      <c r="P7027">
        <v>-0.99980910000000001</v>
      </c>
      <c r="Q7027">
        <v>1.7691459999999999E-2</v>
      </c>
      <c r="R7027">
        <v>-8.2979249999999994E-3</v>
      </c>
      <c r="S7027">
        <v>-2.9994809999999998</v>
      </c>
      <c r="T7027">
        <v>-1.9514440000000001E-2</v>
      </c>
      <c r="U7027">
        <v>-0.16830439999999999</v>
      </c>
      <c r="V7027">
        <v>-4.6314429999999998E-3</v>
      </c>
      <c r="W7027">
        <v>2.7807769999999999E-2</v>
      </c>
      <c r="X7027">
        <v>0.99960260000000001</v>
      </c>
      <c r="Y7027">
        <v>-5.23519E-2</v>
      </c>
      <c r="Z7027">
        <v>-1.4627039999999999E-4</v>
      </c>
      <c r="AA7027">
        <v>0.99862870000000004</v>
      </c>
      <c r="AB7027">
        <v>30</v>
      </c>
      <c r="AC7027">
        <v>-170.42099999999999</v>
      </c>
      <c r="AD7027">
        <v>-1.1100184175759999</v>
      </c>
      <c r="AE7027">
        <v>-9.5729000000000006</v>
      </c>
      <c r="AF7027">
        <v>-8.9460681410666592</v>
      </c>
      <c r="AG7027">
        <v>-1.1100184175759999</v>
      </c>
      <c r="AH7027">
        <v>170.44782601947799</v>
      </c>
      <c r="AI7027">
        <v>90.372612881900594</v>
      </c>
      <c r="AJ7027">
        <v>93.004450497754206</v>
      </c>
      <c r="AK7027">
        <v>170.68604415955701</v>
      </c>
      <c r="AL7027">
        <v>88.406526795553305</v>
      </c>
      <c r="AM7027">
        <v>90.265465734190997</v>
      </c>
      <c r="AN7027">
        <v>1.00000004013169</v>
      </c>
    </row>
    <row r="7028" spans="1:40" x14ac:dyDescent="0.25">
      <c r="A7028" t="str">
        <f>"20190312150830144"</f>
        <v>20190312150830144</v>
      </c>
      <c r="B7028" t="str">
        <f>"1552374510136784"</f>
        <v>1552374510136784</v>
      </c>
      <c r="C7028" t="s">
        <v>40</v>
      </c>
      <c r="D7028">
        <v>4.203125</v>
      </c>
      <c r="E7028">
        <v>0.4827997</v>
      </c>
      <c r="F7028" t="s">
        <v>73</v>
      </c>
      <c r="G7028">
        <v>-473.97460000000001</v>
      </c>
      <c r="H7028" s="1">
        <v>-4.7712110000000003E-6</v>
      </c>
      <c r="I7028">
        <v>129.85990000000001</v>
      </c>
      <c r="J7028">
        <v>-273.15010000000001</v>
      </c>
      <c r="K7028">
        <v>1.1100110000000001</v>
      </c>
      <c r="L7028">
        <v>140.97880000000001</v>
      </c>
      <c r="M7028">
        <v>-0.99994150000000004</v>
      </c>
      <c r="N7028">
        <v>0</v>
      </c>
      <c r="O7028">
        <v>-3.7712169999999999E-3</v>
      </c>
      <c r="P7028">
        <v>-0.99980590000000003</v>
      </c>
      <c r="Q7028">
        <v>1.803221E-2</v>
      </c>
      <c r="R7028">
        <v>-7.9366819999999901E-3</v>
      </c>
      <c r="S7028">
        <v>-2.9995120000000002</v>
      </c>
      <c r="T7028">
        <v>-1.6561630000000001E-2</v>
      </c>
      <c r="U7028">
        <v>-0.1659088</v>
      </c>
      <c r="V7028">
        <v>-4.1742949999999997E-3</v>
      </c>
      <c r="W7028">
        <v>2.8179559999999999E-2</v>
      </c>
      <c r="X7028">
        <v>0.99959419999999999</v>
      </c>
      <c r="Y7028">
        <v>-5.146075E-2</v>
      </c>
      <c r="Z7028">
        <v>-1.211522E-4</v>
      </c>
      <c r="AA7028">
        <v>0.99867499999999998</v>
      </c>
      <c r="AB7028">
        <v>30</v>
      </c>
      <c r="AC7028">
        <v>-200.8245</v>
      </c>
      <c r="AD7028">
        <v>-1.1100157712109999</v>
      </c>
      <c r="AE7028">
        <v>-11.118899999999901</v>
      </c>
      <c r="AF7028">
        <v>-10.3611136603347</v>
      </c>
      <c r="AG7028">
        <v>-1.1100157712109999</v>
      </c>
      <c r="AH7028">
        <v>200.858888037676</v>
      </c>
      <c r="AI7028">
        <v>90.316212676082003</v>
      </c>
      <c r="AJ7028">
        <v>92.952930686347003</v>
      </c>
      <c r="AK7028">
        <v>201.12900764192699</v>
      </c>
      <c r="AL7028">
        <v>88.385216444283003</v>
      </c>
      <c r="AM7028">
        <v>90.239265189487597</v>
      </c>
      <c r="AN7028">
        <v>1.00000003850708</v>
      </c>
    </row>
    <row r="7029" spans="1:40" x14ac:dyDescent="0.25">
      <c r="A7029" t="str">
        <f>"20190312150830167"</f>
        <v>20190312150830167</v>
      </c>
      <c r="B7029" t="str">
        <f>"1552374510157280"</f>
        <v>1552374510157280</v>
      </c>
      <c r="C7029" t="s">
        <v>40</v>
      </c>
      <c r="D7029">
        <v>4.0227469999999999</v>
      </c>
      <c r="E7029">
        <v>0.48303970000000002</v>
      </c>
      <c r="F7029" t="s">
        <v>46</v>
      </c>
      <c r="G7029">
        <v>-500.23149999999998</v>
      </c>
      <c r="H7029">
        <v>0.1555502</v>
      </c>
      <c r="I7029">
        <v>128.66659999999999</v>
      </c>
      <c r="J7029">
        <v>-273.45460000000003</v>
      </c>
      <c r="K7029">
        <v>1.110006</v>
      </c>
      <c r="L7029">
        <v>140.97749999999999</v>
      </c>
      <c r="M7029">
        <v>-0.99994050000000001</v>
      </c>
      <c r="N7029">
        <v>0</v>
      </c>
      <c r="O7029">
        <v>-3.8928790000000001E-3</v>
      </c>
      <c r="P7029">
        <v>-0.99980170000000002</v>
      </c>
      <c r="Q7029">
        <v>1.845053E-2</v>
      </c>
      <c r="R7029">
        <v>-7.4975500000000004E-3</v>
      </c>
      <c r="S7029">
        <v>-2.9994809999999998</v>
      </c>
      <c r="T7029">
        <v>-1.2606859999999999E-2</v>
      </c>
      <c r="U7029">
        <v>-0.1626282</v>
      </c>
      <c r="V7029">
        <v>-3.612283E-3</v>
      </c>
      <c r="W7029">
        <v>2.8641420000000001E-2</v>
      </c>
      <c r="X7029">
        <v>0.99958320000000001</v>
      </c>
      <c r="Y7029">
        <v>-5.025106E-2</v>
      </c>
      <c r="Z7029" s="1">
        <v>-8.9174850000000002E-5</v>
      </c>
      <c r="AA7029">
        <v>0.99873659999999997</v>
      </c>
      <c r="AB7029">
        <v>30</v>
      </c>
      <c r="AC7029">
        <v>-226.77690000000001</v>
      </c>
      <c r="AD7029">
        <v>-0.95445579999999997</v>
      </c>
      <c r="AE7029">
        <v>-12.3109</v>
      </c>
      <c r="AF7029">
        <v>-11.427744000242701</v>
      </c>
      <c r="AG7029">
        <v>-0.95445579999999997</v>
      </c>
      <c r="AH7029">
        <v>226.819102758133</v>
      </c>
      <c r="AI7029">
        <v>90.2407940539685</v>
      </c>
      <c r="AJ7029">
        <v>92.884273490171694</v>
      </c>
      <c r="AK7029">
        <v>227.108805850442</v>
      </c>
      <c r="AL7029">
        <v>88.358743028545803</v>
      </c>
      <c r="AM7029">
        <v>90.207053969441603</v>
      </c>
      <c r="AN7029">
        <v>0.99999997662516404</v>
      </c>
    </row>
    <row r="7030" spans="1:40" x14ac:dyDescent="0.25">
      <c r="A7030" t="str">
        <f>"20190312150830188"</f>
        <v>20190312150830188</v>
      </c>
      <c r="B7030" t="str">
        <f>"1552374510176801"</f>
        <v>1552374510176801</v>
      </c>
      <c r="C7030" t="s">
        <v>40</v>
      </c>
      <c r="D7030">
        <v>4.0564929999999997</v>
      </c>
      <c r="E7030">
        <v>0.48327320000000001</v>
      </c>
      <c r="F7030" t="s">
        <v>46</v>
      </c>
      <c r="G7030">
        <v>-500.8186</v>
      </c>
      <c r="H7030">
        <v>0.39980270000000001</v>
      </c>
      <c r="I7030">
        <v>128.88980000000001</v>
      </c>
      <c r="J7030">
        <v>-273.74450000000002</v>
      </c>
      <c r="K7030">
        <v>1.1100000000000001</v>
      </c>
      <c r="L7030">
        <v>140.97630000000001</v>
      </c>
      <c r="M7030">
        <v>-0.99993980000000005</v>
      </c>
      <c r="N7030">
        <v>0</v>
      </c>
      <c r="O7030">
        <v>-3.9975039999999998E-3</v>
      </c>
      <c r="P7030">
        <v>-0.99979910000000005</v>
      </c>
      <c r="Q7030">
        <v>1.8687430000000001E-2</v>
      </c>
      <c r="R7030">
        <v>-7.2729219999999898E-3</v>
      </c>
      <c r="S7030">
        <v>-2.9995729999999998</v>
      </c>
      <c r="T7030">
        <v>-9.3691350000000007E-3</v>
      </c>
      <c r="U7030">
        <v>-0.15946959999999999</v>
      </c>
      <c r="V7030">
        <v>-3.2824239999999999E-3</v>
      </c>
      <c r="W7030">
        <v>2.891788E-2</v>
      </c>
      <c r="X7030">
        <v>0.99957640000000003</v>
      </c>
      <c r="Y7030">
        <v>-4.9096420000000002E-2</v>
      </c>
      <c r="Z7030" s="1">
        <v>-6.4144169999999999E-5</v>
      </c>
      <c r="AA7030">
        <v>0.99879399999999996</v>
      </c>
      <c r="AB7030">
        <v>30</v>
      </c>
      <c r="AC7030">
        <v>-227.07409999999999</v>
      </c>
      <c r="AD7030">
        <v>-0.71019730000000003</v>
      </c>
      <c r="AE7030">
        <v>-12.086499999999999</v>
      </c>
      <c r="AF7030">
        <v>-11.178517362381401</v>
      </c>
      <c r="AG7030">
        <v>-0.71019730000000003</v>
      </c>
      <c r="AH7030">
        <v>227.118388460706</v>
      </c>
      <c r="AI7030">
        <v>90.178946222977302</v>
      </c>
      <c r="AJ7030">
        <v>92.817761396201206</v>
      </c>
      <c r="AK7030">
        <v>227.39442826862401</v>
      </c>
      <c r="AL7030">
        <v>88.342896509658104</v>
      </c>
      <c r="AM7030">
        <v>90.188148065286796</v>
      </c>
      <c r="AN7030">
        <v>0.99999999876398504</v>
      </c>
    </row>
    <row r="7031" spans="1:40" x14ac:dyDescent="0.25">
      <c r="A7031" t="str">
        <f>"20190312150830203"</f>
        <v>20190312150830203</v>
      </c>
      <c r="B7031" t="str">
        <f>"1552374510197298"</f>
        <v>1552374510197298</v>
      </c>
      <c r="C7031" t="s">
        <v>40</v>
      </c>
      <c r="D7031">
        <v>3.9915949999999998</v>
      </c>
      <c r="E7031">
        <v>0.5016621</v>
      </c>
      <c r="F7031" t="s">
        <v>48</v>
      </c>
      <c r="G7031">
        <v>0</v>
      </c>
      <c r="H7031">
        <v>0</v>
      </c>
      <c r="I7031">
        <v>0</v>
      </c>
      <c r="J7031">
        <v>-273.95179999999999</v>
      </c>
      <c r="K7031">
        <v>1.1099889999999999</v>
      </c>
      <c r="L7031">
        <v>140.97540000000001</v>
      </c>
      <c r="M7031">
        <v>-0.99993909999999997</v>
      </c>
      <c r="N7031">
        <v>0</v>
      </c>
      <c r="O7031">
        <v>-4.0681370000000003E-3</v>
      </c>
      <c r="P7031">
        <v>-0.99979779999999996</v>
      </c>
      <c r="Q7031">
        <v>1.8694929999999998E-2</v>
      </c>
      <c r="R7031">
        <v>-7.4069009999999996E-3</v>
      </c>
      <c r="S7031">
        <v>-2.999603</v>
      </c>
      <c r="T7031">
        <v>-9.2376469999999999E-3</v>
      </c>
      <c r="U7031">
        <v>-0.15686040000000001</v>
      </c>
      <c r="V7031">
        <v>-3.345336E-3</v>
      </c>
      <c r="W7031">
        <v>2.8952189999999999E-2</v>
      </c>
      <c r="X7031">
        <v>0.9995752</v>
      </c>
      <c r="Y7031">
        <v>-4.8158909999999999E-2</v>
      </c>
      <c r="Z7031" s="1">
        <v>-6.1584820000000002E-5</v>
      </c>
      <c r="AA7031">
        <v>0.9988397</v>
      </c>
      <c r="AB7031">
        <v>30</v>
      </c>
      <c r="AC7031">
        <v>-2.999603</v>
      </c>
      <c r="AD7031">
        <v>-9.2376469999999999E-3</v>
      </c>
      <c r="AE7031">
        <v>-0.15686040000000001</v>
      </c>
      <c r="AF7031">
        <v>-0.14465429553595399</v>
      </c>
      <c r="AG7031">
        <v>-9.2376469999999999E-3</v>
      </c>
      <c r="AH7031">
        <v>3.0001879627212098</v>
      </c>
      <c r="AI7031">
        <v>90.176209754606205</v>
      </c>
      <c r="AJ7031">
        <v>92.7603827668446</v>
      </c>
      <c r="AK7031">
        <v>3.0036874023433802</v>
      </c>
      <c r="AL7031">
        <v>88.340929870925194</v>
      </c>
      <c r="AM7031">
        <v>90.191754375484805</v>
      </c>
      <c r="AN7031">
        <v>1.0000000005168901</v>
      </c>
    </row>
    <row r="7032" spans="1:40" x14ac:dyDescent="0.25">
      <c r="A7032" t="str">
        <f>"20190312150830215"</f>
        <v>20190312150830215</v>
      </c>
      <c r="B7032" t="str">
        <f>"1552374510207057"</f>
        <v>1552374510207057</v>
      </c>
      <c r="C7032" t="s">
        <v>40</v>
      </c>
      <c r="D7032">
        <v>3.983063</v>
      </c>
      <c r="E7032">
        <v>0.50286359999999997</v>
      </c>
      <c r="F7032" t="s">
        <v>48</v>
      </c>
      <c r="G7032">
        <v>0</v>
      </c>
      <c r="H7032">
        <v>0</v>
      </c>
      <c r="I7032">
        <v>0</v>
      </c>
      <c r="J7032">
        <v>-274.12560000000002</v>
      </c>
      <c r="K7032">
        <v>1.109985</v>
      </c>
      <c r="L7032">
        <v>140.97460000000001</v>
      </c>
      <c r="M7032">
        <v>-0.99993880000000002</v>
      </c>
      <c r="N7032">
        <v>0</v>
      </c>
      <c r="O7032">
        <v>-4.124455E-3</v>
      </c>
      <c r="P7032">
        <v>-0.99979569999999995</v>
      </c>
      <c r="Q7032">
        <v>1.8935029999999999E-2</v>
      </c>
      <c r="R7032">
        <v>-7.0915960000000004E-3</v>
      </c>
      <c r="S7032">
        <v>-3.0006409999999999</v>
      </c>
      <c r="T7032">
        <v>-6.2980650000000003E-3</v>
      </c>
      <c r="U7032">
        <v>-1.051331E-2</v>
      </c>
      <c r="V7032">
        <v>-2.973538E-3</v>
      </c>
      <c r="W7032">
        <v>2.9212910000000002E-2</v>
      </c>
      <c r="X7032">
        <v>0.99956880000000004</v>
      </c>
      <c r="Y7032">
        <v>6.210012E-4</v>
      </c>
      <c r="Z7032" s="1">
        <v>9.3089410000000004E-6</v>
      </c>
      <c r="AA7032">
        <v>0.99999979999999999</v>
      </c>
      <c r="AB7032">
        <v>30</v>
      </c>
      <c r="AC7032">
        <v>-3.0006409999999999</v>
      </c>
      <c r="AD7032">
        <v>-6.2980650000000003E-3</v>
      </c>
      <c r="AE7032">
        <v>-1.051331E-2</v>
      </c>
      <c r="AF7032">
        <v>1.86343217318393E-3</v>
      </c>
      <c r="AG7032">
        <v>-6.2980650000000003E-3</v>
      </c>
      <c r="AH7032">
        <v>3.0006456201070102</v>
      </c>
      <c r="AI7032">
        <v>90.120258101023694</v>
      </c>
      <c r="AJ7032">
        <v>89.964418728925594</v>
      </c>
      <c r="AK7032">
        <v>3.00065280821851</v>
      </c>
      <c r="AL7032">
        <v>88.325985411469802</v>
      </c>
      <c r="AM7032">
        <v>90.170444170580893</v>
      </c>
      <c r="AN7032">
        <v>1.00000001098617</v>
      </c>
    </row>
    <row r="7033" spans="1:40" x14ac:dyDescent="0.25">
      <c r="A7033" t="str">
        <f>"20190312150830233"</f>
        <v>20190312150830233</v>
      </c>
      <c r="B7033" t="str">
        <f>"1552374510226577"</f>
        <v>1552374510226577</v>
      </c>
      <c r="C7033" t="s">
        <v>40</v>
      </c>
      <c r="D7033">
        <v>3.9735580000000001</v>
      </c>
      <c r="E7033">
        <v>0.50377729999999998</v>
      </c>
      <c r="F7033" t="s">
        <v>48</v>
      </c>
      <c r="G7033">
        <v>0</v>
      </c>
      <c r="H7033">
        <v>0</v>
      </c>
      <c r="I7033">
        <v>0</v>
      </c>
      <c r="J7033">
        <v>-274.36099999999999</v>
      </c>
      <c r="K7033">
        <v>1.1099859999999999</v>
      </c>
      <c r="L7033">
        <v>140.9736</v>
      </c>
      <c r="M7033">
        <v>-0.99993810000000005</v>
      </c>
      <c r="N7033">
        <v>0</v>
      </c>
      <c r="O7033">
        <v>-4.1974830000000001E-3</v>
      </c>
      <c r="P7033">
        <v>-0.99979079999999998</v>
      </c>
      <c r="Q7033">
        <v>1.9243719999999999E-2</v>
      </c>
      <c r="R7033">
        <v>-6.9303480000000002E-3</v>
      </c>
      <c r="S7033">
        <v>-3.0007320000000002</v>
      </c>
      <c r="T7033">
        <v>-6.3476560000000001E-3</v>
      </c>
      <c r="U7033" s="1">
        <v>-3.0517579999999999E-5</v>
      </c>
      <c r="V7033">
        <v>-2.7385320000000001E-3</v>
      </c>
      <c r="W7033">
        <v>2.9549889999999999E-2</v>
      </c>
      <c r="X7033">
        <v>0.99955959999999999</v>
      </c>
      <c r="Y7033">
        <v>4.1875180000000003E-3</v>
      </c>
      <c r="Z7033" s="1">
        <v>1.330874E-5</v>
      </c>
      <c r="AA7033">
        <v>0.99999119999999997</v>
      </c>
      <c r="AB7033">
        <v>30</v>
      </c>
      <c r="AC7033">
        <v>-3.0007320000000002</v>
      </c>
      <c r="AD7033">
        <v>-6.3476560000000001E-3</v>
      </c>
      <c r="AE7033" s="1">
        <v>-3.0517579999999999E-5</v>
      </c>
      <c r="AF7033">
        <v>1.25656167504922E-2</v>
      </c>
      <c r="AG7033">
        <v>-6.3476560000000001E-3</v>
      </c>
      <c r="AH7033">
        <v>3.0006922629784101</v>
      </c>
      <c r="AI7033">
        <v>90.121202087872106</v>
      </c>
      <c r="AJ7033">
        <v>89.760071165118106</v>
      </c>
      <c r="AK7033">
        <v>3.0007252864198501</v>
      </c>
      <c r="AL7033">
        <v>88.306669597833604</v>
      </c>
      <c r="AM7033">
        <v>90.156975064893402</v>
      </c>
      <c r="AN7033">
        <v>1.00000004475434</v>
      </c>
    </row>
    <row r="7034" spans="1:40" x14ac:dyDescent="0.25">
      <c r="A7034" t="str">
        <f>"20190312150830247"</f>
        <v>20190312150830247</v>
      </c>
      <c r="B7034" t="str">
        <f>"1552374510237313"</f>
        <v>1552374510237313</v>
      </c>
      <c r="C7034" t="s">
        <v>40</v>
      </c>
      <c r="D7034">
        <v>3.987943</v>
      </c>
      <c r="E7034">
        <v>0.50381469999999995</v>
      </c>
      <c r="F7034" t="s">
        <v>48</v>
      </c>
      <c r="G7034">
        <v>0</v>
      </c>
      <c r="H7034">
        <v>0</v>
      </c>
      <c r="I7034">
        <v>0</v>
      </c>
      <c r="J7034">
        <v>-274.54539999999997</v>
      </c>
      <c r="K7034">
        <v>1.1099870000000001</v>
      </c>
      <c r="L7034">
        <v>140.97280000000001</v>
      </c>
      <c r="M7034">
        <v>-0.99993770000000004</v>
      </c>
      <c r="N7034">
        <v>0</v>
      </c>
      <c r="O7034">
        <v>-4.2525009999999997E-3</v>
      </c>
      <c r="P7034">
        <v>-0.9997876</v>
      </c>
      <c r="Q7034">
        <v>1.9402059999999999E-2</v>
      </c>
      <c r="R7034">
        <v>-6.9719300000000003E-3</v>
      </c>
      <c r="S7034">
        <v>-3.0007630000000001</v>
      </c>
      <c r="T7034">
        <v>-3.9840939999999997E-3</v>
      </c>
      <c r="U7034">
        <v>7.7819819999999998E-3</v>
      </c>
      <c r="V7034">
        <v>-2.7251710000000002E-3</v>
      </c>
      <c r="W7034">
        <v>2.9731489999999999E-2</v>
      </c>
      <c r="X7034">
        <v>0.99955419999999995</v>
      </c>
      <c r="Y7034">
        <v>6.846006E-3</v>
      </c>
      <c r="Z7034" s="1">
        <v>1.019099E-5</v>
      </c>
      <c r="AA7034">
        <v>0.99997659999999999</v>
      </c>
      <c r="AB7034">
        <v>30</v>
      </c>
      <c r="AC7034">
        <v>-3.0007630000000001</v>
      </c>
      <c r="AD7034">
        <v>-3.9840939999999997E-3</v>
      </c>
      <c r="AE7034">
        <v>7.7819819999999998E-3</v>
      </c>
      <c r="AF7034">
        <v>2.0543302716728998E-2</v>
      </c>
      <c r="AG7034">
        <v>-3.9840939999999997E-3</v>
      </c>
      <c r="AH7034">
        <v>3.0006974802869202</v>
      </c>
      <c r="AI7034">
        <v>90.076071076601806</v>
      </c>
      <c r="AJ7034">
        <v>89.6077491444006</v>
      </c>
      <c r="AK7034">
        <v>3.0007704458175</v>
      </c>
      <c r="AL7034">
        <v>88.296260023460107</v>
      </c>
      <c r="AM7034">
        <v>90.1562100483183</v>
      </c>
      <c r="AN7034">
        <v>0.999999993396119</v>
      </c>
    </row>
    <row r="7035" spans="1:40" x14ac:dyDescent="0.25">
      <c r="A7035" t="str">
        <f>"20190312150830258"</f>
        <v>20190312150830258</v>
      </c>
      <c r="B7035" t="str">
        <f>"1552374510247073"</f>
        <v>1552374510247073</v>
      </c>
      <c r="C7035" t="s">
        <v>40</v>
      </c>
      <c r="D7035">
        <v>3.9922219999999999</v>
      </c>
      <c r="E7035">
        <v>0.50402290000000005</v>
      </c>
      <c r="F7035" t="s">
        <v>48</v>
      </c>
      <c r="G7035">
        <v>0</v>
      </c>
      <c r="H7035">
        <v>0</v>
      </c>
      <c r="I7035">
        <v>0</v>
      </c>
      <c r="J7035">
        <v>-274.71749999999997</v>
      </c>
      <c r="K7035">
        <v>1.1099870000000001</v>
      </c>
      <c r="L7035">
        <v>140.97200000000001</v>
      </c>
      <c r="M7035">
        <v>-0.99993719999999997</v>
      </c>
      <c r="N7035">
        <v>0</v>
      </c>
      <c r="O7035">
        <v>-4.3004949999999997E-3</v>
      </c>
      <c r="P7035">
        <v>-0.99979119999999999</v>
      </c>
      <c r="Q7035">
        <v>1.9367889999999999E-2</v>
      </c>
      <c r="R7035">
        <v>-6.5215200000000003E-3</v>
      </c>
      <c r="S7035">
        <v>-3.0007630000000001</v>
      </c>
      <c r="T7035">
        <v>-4.6291350000000004E-3</v>
      </c>
      <c r="U7035">
        <v>7.9345700000000002E-3</v>
      </c>
      <c r="V7035">
        <v>-2.2266220000000001E-3</v>
      </c>
      <c r="W7035">
        <v>2.9720050000000001E-2</v>
      </c>
      <c r="X7035">
        <v>0.99955579999999999</v>
      </c>
      <c r="Y7035">
        <v>6.944848E-3</v>
      </c>
      <c r="Z7035" s="1">
        <v>1.1991240000000001E-5</v>
      </c>
      <c r="AA7035">
        <v>0.99997590000000003</v>
      </c>
      <c r="AB7035">
        <v>31</v>
      </c>
      <c r="AC7035">
        <v>-3.0007630000000001</v>
      </c>
      <c r="AD7035">
        <v>-4.6291350000000004E-3</v>
      </c>
      <c r="AE7035">
        <v>7.9345700000000002E-3</v>
      </c>
      <c r="AF7035">
        <v>2.0839904420871299E-2</v>
      </c>
      <c r="AG7035">
        <v>-4.6291350000000004E-3</v>
      </c>
      <c r="AH7035">
        <v>3.00069398311875</v>
      </c>
      <c r="AI7035">
        <v>90.088387317452998</v>
      </c>
      <c r="AJ7035">
        <v>89.602085591358303</v>
      </c>
      <c r="AK7035">
        <v>3.0007699196759798</v>
      </c>
      <c r="AL7035">
        <v>88.296915819332298</v>
      </c>
      <c r="AM7035">
        <v>90.127632526518298</v>
      </c>
      <c r="AN7035">
        <v>1.0000000182655799</v>
      </c>
    </row>
    <row r="7036" spans="1:40" x14ac:dyDescent="0.25">
      <c r="A7036" t="str">
        <f>"20190312150830272"</f>
        <v>20190312150830272</v>
      </c>
      <c r="B7036" t="str">
        <f>"1552374510266593"</f>
        <v>1552374510266593</v>
      </c>
      <c r="C7036" t="s">
        <v>40</v>
      </c>
      <c r="D7036">
        <v>3.981779</v>
      </c>
      <c r="E7036">
        <v>0.50393299999999996</v>
      </c>
      <c r="F7036" t="s">
        <v>48</v>
      </c>
      <c r="G7036">
        <v>0</v>
      </c>
      <c r="H7036">
        <v>0</v>
      </c>
      <c r="I7036">
        <v>0</v>
      </c>
      <c r="J7036">
        <v>-274.88580000000002</v>
      </c>
      <c r="K7036">
        <v>1.1099870000000001</v>
      </c>
      <c r="L7036">
        <v>140.97120000000001</v>
      </c>
      <c r="M7036">
        <v>-0.99993670000000001</v>
      </c>
      <c r="N7036">
        <v>0</v>
      </c>
      <c r="O7036">
        <v>-4.3457499999999998E-3</v>
      </c>
      <c r="P7036">
        <v>-0.99979010000000001</v>
      </c>
      <c r="Q7036">
        <v>1.9454889999999999E-2</v>
      </c>
      <c r="R7036">
        <v>-6.4543459999999997E-3</v>
      </c>
      <c r="S7036">
        <v>-3.0007929999999998</v>
      </c>
      <c r="T7036">
        <v>-5.4235459999999996E-3</v>
      </c>
      <c r="U7036">
        <v>1.094055E-2</v>
      </c>
      <c r="V7036">
        <v>-2.1136549999999999E-3</v>
      </c>
      <c r="W7036">
        <v>2.9831099999999999E-2</v>
      </c>
      <c r="X7036">
        <v>0.99955269999999996</v>
      </c>
      <c r="Y7036">
        <v>7.9917630000000007E-3</v>
      </c>
      <c r="Z7036" s="1">
        <v>1.507678E-5</v>
      </c>
      <c r="AA7036">
        <v>0.99996810000000003</v>
      </c>
      <c r="AB7036">
        <v>31</v>
      </c>
      <c r="AC7036">
        <v>-3.0007929999999998</v>
      </c>
      <c r="AD7036">
        <v>-5.4235459999999996E-3</v>
      </c>
      <c r="AE7036">
        <v>1.094055E-2</v>
      </c>
      <c r="AF7036">
        <v>2.39817668878364E-2</v>
      </c>
      <c r="AG7036">
        <v>-5.4235459999999996E-3</v>
      </c>
      <c r="AH7036">
        <v>3.0007073116060501</v>
      </c>
      <c r="AI7036">
        <v>90.103554262897902</v>
      </c>
      <c r="AJ7036">
        <v>89.542099701322897</v>
      </c>
      <c r="AK7036">
        <v>3.0008080428311801</v>
      </c>
      <c r="AL7036">
        <v>88.290550237117202</v>
      </c>
      <c r="AM7036">
        <v>90.121157524101406</v>
      </c>
      <c r="AN7036">
        <v>0.99999998107097898</v>
      </c>
    </row>
    <row r="7037" spans="1:40" x14ac:dyDescent="0.25">
      <c r="A7037" t="str">
        <f>"20190312150830289"</f>
        <v>20190312150830289</v>
      </c>
      <c r="B7037" t="str">
        <f>"1552374510277328"</f>
        <v>1552374510277328</v>
      </c>
      <c r="C7037" t="s">
        <v>40</v>
      </c>
      <c r="D7037">
        <v>3.9913370000000001</v>
      </c>
      <c r="E7037">
        <v>0.50394419999999995</v>
      </c>
      <c r="F7037" t="s">
        <v>48</v>
      </c>
      <c r="G7037">
        <v>0</v>
      </c>
      <c r="H7037">
        <v>0</v>
      </c>
      <c r="I7037">
        <v>0</v>
      </c>
      <c r="J7037">
        <v>-275.12009999999998</v>
      </c>
      <c r="K7037">
        <v>1.109988</v>
      </c>
      <c r="L7037">
        <v>140.97020000000001</v>
      </c>
      <c r="M7037">
        <v>-0.99993620000000005</v>
      </c>
      <c r="N7037">
        <v>0</v>
      </c>
      <c r="O7037">
        <v>-4.4057030000000004E-3</v>
      </c>
      <c r="P7037">
        <v>-0.99979479999999998</v>
      </c>
      <c r="Q7037">
        <v>1.9378739999999998E-2</v>
      </c>
      <c r="R7037">
        <v>-5.9187399999999996E-3</v>
      </c>
      <c r="S7037">
        <v>-3.0006710000000001</v>
      </c>
      <c r="T7037">
        <v>7.0393089999999897E-4</v>
      </c>
      <c r="U7037">
        <v>1.0528559999999999E-2</v>
      </c>
      <c r="V7037">
        <v>-1.5178769999999999E-3</v>
      </c>
      <c r="W7037">
        <v>2.9789159999999999E-2</v>
      </c>
      <c r="X7037">
        <v>0.99955510000000003</v>
      </c>
      <c r="Y7037">
        <v>7.9145959999999994E-3</v>
      </c>
      <c r="Z7037" s="1">
        <v>-1.9619350000000001E-6</v>
      </c>
      <c r="AA7037">
        <v>0.99996870000000004</v>
      </c>
      <c r="AB7037">
        <v>31</v>
      </c>
      <c r="AC7037">
        <v>-3.0006710000000001</v>
      </c>
      <c r="AD7037">
        <v>7.0393089999999897E-4</v>
      </c>
      <c r="AE7037">
        <v>1.0528559999999999E-2</v>
      </c>
      <c r="AF7037">
        <v>2.3749236896462501E-2</v>
      </c>
      <c r="AG7037">
        <v>7.0393089999999897E-4</v>
      </c>
      <c r="AH7037">
        <v>3.0005953215197398</v>
      </c>
      <c r="AI7037">
        <v>89.986558998686903</v>
      </c>
      <c r="AJ7037">
        <v>89.546522445753197</v>
      </c>
      <c r="AK7037">
        <v>3.0006893883402901</v>
      </c>
      <c r="AL7037">
        <v>88.292954404800298</v>
      </c>
      <c r="AM7037">
        <v>90.087006588301705</v>
      </c>
      <c r="AN7037">
        <v>1.0000000479700499</v>
      </c>
    </row>
    <row r="7038" spans="1:40" x14ac:dyDescent="0.25">
      <c r="A7038" t="str">
        <f>"20190312150830302"</f>
        <v>20190312150830302</v>
      </c>
      <c r="B7038" t="str">
        <f>"1552374510296849"</f>
        <v>1552374510296849</v>
      </c>
      <c r="C7038" t="s">
        <v>40</v>
      </c>
      <c r="D7038">
        <v>3.997493</v>
      </c>
      <c r="E7038">
        <v>0.50400690000000004</v>
      </c>
      <c r="F7038" t="s">
        <v>48</v>
      </c>
      <c r="G7038">
        <v>0</v>
      </c>
      <c r="H7038">
        <v>0</v>
      </c>
      <c r="I7038">
        <v>0</v>
      </c>
      <c r="J7038">
        <v>-275.30709999999999</v>
      </c>
      <c r="K7038">
        <v>1.109985</v>
      </c>
      <c r="L7038">
        <v>140.9693</v>
      </c>
      <c r="M7038">
        <v>-0.99993569999999998</v>
      </c>
      <c r="N7038">
        <v>0</v>
      </c>
      <c r="O7038">
        <v>-4.4497790000000001E-3</v>
      </c>
      <c r="P7038">
        <v>-0.99979130000000005</v>
      </c>
      <c r="Q7038">
        <v>1.959149E-2</v>
      </c>
      <c r="R7038">
        <v>-5.8396089999999999E-3</v>
      </c>
      <c r="S7038">
        <v>-3.000702</v>
      </c>
      <c r="T7038">
        <v>-5.4430959999999997E-4</v>
      </c>
      <c r="U7038">
        <v>1.217651E-2</v>
      </c>
      <c r="V7038">
        <v>-1.3944210000000001E-3</v>
      </c>
      <c r="W7038">
        <v>3.002842E-2</v>
      </c>
      <c r="X7038">
        <v>0.99954810000000005</v>
      </c>
      <c r="Y7038">
        <v>8.5077989999999999E-3</v>
      </c>
      <c r="Z7038" s="1">
        <v>1.5788330000000001E-6</v>
      </c>
      <c r="AA7038">
        <v>0.99996379999999996</v>
      </c>
      <c r="AB7038">
        <v>31</v>
      </c>
      <c r="AC7038">
        <v>-3.000702</v>
      </c>
      <c r="AD7038">
        <v>-5.4430959999999997E-4</v>
      </c>
      <c r="AE7038">
        <v>1.217651E-2</v>
      </c>
      <c r="AF7038">
        <v>2.5529575742417401E-2</v>
      </c>
      <c r="AG7038">
        <v>-5.4430959999999997E-4</v>
      </c>
      <c r="AH7038">
        <v>3.0006180044144801</v>
      </c>
      <c r="AI7038">
        <v>90.010393030280596</v>
      </c>
      <c r="AJ7038">
        <v>89.512533202367194</v>
      </c>
      <c r="AK7038">
        <v>3.0007266559829899</v>
      </c>
      <c r="AL7038">
        <v>88.279239646140098</v>
      </c>
      <c r="AM7038">
        <v>90.079930506931206</v>
      </c>
      <c r="AN7038">
        <v>1.00000002731561</v>
      </c>
    </row>
    <row r="7039" spans="1:40" x14ac:dyDescent="0.25">
      <c r="A7039" t="str">
        <f>"20190312150830324"</f>
        <v>20190312150830324</v>
      </c>
      <c r="B7039" t="str">
        <f>"1552374510317345"</f>
        <v>1552374510317345</v>
      </c>
      <c r="C7039" t="s">
        <v>40</v>
      </c>
      <c r="D7039">
        <v>3.9470360000000002</v>
      </c>
      <c r="E7039">
        <v>0.50408069999999905</v>
      </c>
      <c r="F7039" t="s">
        <v>48</v>
      </c>
      <c r="G7039">
        <v>0</v>
      </c>
      <c r="H7039">
        <v>0</v>
      </c>
      <c r="I7039">
        <v>0</v>
      </c>
      <c r="J7039">
        <v>-275.601</v>
      </c>
      <c r="K7039">
        <v>1.1099829999999999</v>
      </c>
      <c r="L7039">
        <v>140.96789999999999</v>
      </c>
      <c r="M7039">
        <v>-0.99993500000000002</v>
      </c>
      <c r="N7039">
        <v>0</v>
      </c>
      <c r="O7039">
        <v>-4.5122629999999999E-3</v>
      </c>
      <c r="P7039">
        <v>-0.99979309999999999</v>
      </c>
      <c r="Q7039">
        <v>1.9628960000000001E-2</v>
      </c>
      <c r="R7039">
        <v>-5.3562210000000004E-3</v>
      </c>
      <c r="S7039">
        <v>-3.0007320000000002</v>
      </c>
      <c r="T7039">
        <v>-1.6152860000000001E-3</v>
      </c>
      <c r="U7039">
        <v>1.2847900000000001E-2</v>
      </c>
      <c r="V7039">
        <v>-8.4821050000000002E-4</v>
      </c>
      <c r="W7039">
        <v>3.010993E-2</v>
      </c>
      <c r="X7039">
        <v>0.99954620000000005</v>
      </c>
      <c r="Y7039">
        <v>8.7939719999999902E-3</v>
      </c>
      <c r="Z7039" s="1">
        <v>4.795935E-6</v>
      </c>
      <c r="AA7039">
        <v>0.99996130000000005</v>
      </c>
      <c r="AB7039">
        <v>31</v>
      </c>
      <c r="AC7039">
        <v>-3.0007320000000002</v>
      </c>
      <c r="AD7039">
        <v>-1.6152860000000001E-3</v>
      </c>
      <c r="AE7039">
        <v>1.2847900000000001E-2</v>
      </c>
      <c r="AF7039">
        <v>2.6388595817011001E-2</v>
      </c>
      <c r="AG7039">
        <v>-1.6152860000000001E-3</v>
      </c>
      <c r="AH7039">
        <v>3.0006426025226198</v>
      </c>
      <c r="AI7039">
        <v>90.030841887942998</v>
      </c>
      <c r="AJ7039">
        <v>89.496135864385195</v>
      </c>
      <c r="AK7039">
        <v>3.0007590698374602</v>
      </c>
      <c r="AL7039">
        <v>88.274567249838896</v>
      </c>
      <c r="AM7039">
        <v>90.048620934303003</v>
      </c>
      <c r="AN7039">
        <v>0.99999996664004798</v>
      </c>
    </row>
    <row r="7040" spans="1:40" x14ac:dyDescent="0.25">
      <c r="A7040" t="str">
        <f>"20190312150830346"</f>
        <v>20190312150830346</v>
      </c>
      <c r="B7040" t="str">
        <f>"1552374510336864"</f>
        <v>1552374510336864</v>
      </c>
      <c r="C7040" t="s">
        <v>40</v>
      </c>
      <c r="D7040">
        <v>3.9870809999999999</v>
      </c>
      <c r="E7040">
        <v>0.50421919999999998</v>
      </c>
      <c r="F7040" t="s">
        <v>48</v>
      </c>
      <c r="G7040">
        <v>0</v>
      </c>
      <c r="H7040">
        <v>0</v>
      </c>
      <c r="I7040">
        <v>0</v>
      </c>
      <c r="J7040">
        <v>-275.90210000000002</v>
      </c>
      <c r="K7040">
        <v>1.10998</v>
      </c>
      <c r="L7040">
        <v>140.9665</v>
      </c>
      <c r="M7040">
        <v>-0.9999342</v>
      </c>
      <c r="N7040">
        <v>0</v>
      </c>
      <c r="O7040">
        <v>-4.5643810000000002E-3</v>
      </c>
      <c r="P7040">
        <v>-0.99979660000000004</v>
      </c>
      <c r="Q7040">
        <v>1.9527300000000001E-2</v>
      </c>
      <c r="R7040">
        <v>-5.0454269999999999E-3</v>
      </c>
      <c r="S7040">
        <v>-3.000702</v>
      </c>
      <c r="T7040">
        <v>1.9403700000000001E-3</v>
      </c>
      <c r="U7040">
        <v>1.493835E-2</v>
      </c>
      <c r="V7040">
        <v>-4.8454949999999998E-4</v>
      </c>
      <c r="W7040">
        <v>3.005845E-2</v>
      </c>
      <c r="X7040">
        <v>0.99954799999999999</v>
      </c>
      <c r="Y7040">
        <v>9.5427470000000007E-3</v>
      </c>
      <c r="Z7040" s="1">
        <v>-6.0369849999999998E-6</v>
      </c>
      <c r="AA7040">
        <v>0.99995449999999997</v>
      </c>
      <c r="AB7040">
        <v>31</v>
      </c>
      <c r="AC7040">
        <v>-3.000702</v>
      </c>
      <c r="AD7040">
        <v>1.9403700000000001E-3</v>
      </c>
      <c r="AE7040">
        <v>1.493835E-2</v>
      </c>
      <c r="AF7040">
        <v>2.86352881755777E-2</v>
      </c>
      <c r="AG7040">
        <v>1.9403700000000001E-3</v>
      </c>
      <c r="AH7040">
        <v>3.0006012959586998</v>
      </c>
      <c r="AI7040">
        <v>89.962950781161695</v>
      </c>
      <c r="AJ7040">
        <v>89.453232471892306</v>
      </c>
      <c r="AK7040">
        <v>3.0007385561014299</v>
      </c>
      <c r="AL7040">
        <v>88.277518186329004</v>
      </c>
      <c r="AM7040">
        <v>90.027775193527901</v>
      </c>
      <c r="AN7040">
        <v>0.99999997475430902</v>
      </c>
    </row>
    <row r="7041" spans="1:40" x14ac:dyDescent="0.25">
      <c r="A7041" t="str">
        <f>"20190312150830368"</f>
        <v>20190312150830368</v>
      </c>
      <c r="B7041" t="str">
        <f>"1552374510357360"</f>
        <v>1552374510357360</v>
      </c>
      <c r="C7041" t="s">
        <v>40</v>
      </c>
      <c r="D7041">
        <v>4.0061099999999996</v>
      </c>
      <c r="E7041">
        <v>0.50412650000000003</v>
      </c>
      <c r="F7041" t="s">
        <v>48</v>
      </c>
      <c r="G7041">
        <v>0</v>
      </c>
      <c r="H7041">
        <v>0</v>
      </c>
      <c r="I7041">
        <v>0</v>
      </c>
      <c r="J7041">
        <v>-276.19850000000002</v>
      </c>
      <c r="K7041">
        <v>1.1099749999999999</v>
      </c>
      <c r="L7041">
        <v>140.96510000000001</v>
      </c>
      <c r="M7041">
        <v>-0.99993339999999997</v>
      </c>
      <c r="N7041">
        <v>0</v>
      </c>
      <c r="O7041">
        <v>-4.6014589999999996E-3</v>
      </c>
      <c r="P7041">
        <v>-0.99980250000000004</v>
      </c>
      <c r="Q7041">
        <v>1.9229779999999998E-2</v>
      </c>
      <c r="R7041">
        <v>-5.046376E-3</v>
      </c>
      <c r="S7041">
        <v>-3.0006710000000001</v>
      </c>
      <c r="T7041">
        <v>9.2077260000000003E-4</v>
      </c>
      <c r="U7041">
        <v>1.696777E-2</v>
      </c>
      <c r="V7041">
        <v>-4.4737629999999997E-4</v>
      </c>
      <c r="W7041">
        <v>2.981251E-2</v>
      </c>
      <c r="X7041">
        <v>0.99955539999999998</v>
      </c>
      <c r="Y7041">
        <v>1.025615E-2</v>
      </c>
      <c r="Z7041" s="1">
        <v>-2.9856179999999999E-6</v>
      </c>
      <c r="AA7041">
        <v>0.99994740000000004</v>
      </c>
      <c r="AB7041">
        <v>31</v>
      </c>
      <c r="AC7041">
        <v>-3.0006710000000001</v>
      </c>
      <c r="AD7041">
        <v>9.2077260000000003E-4</v>
      </c>
      <c r="AE7041">
        <v>1.696777E-2</v>
      </c>
      <c r="AF7041">
        <v>3.0775825463084799E-2</v>
      </c>
      <c r="AG7041">
        <v>9.2077260000000003E-4</v>
      </c>
      <c r="AH7041">
        <v>3.0005608656353999</v>
      </c>
      <c r="AI7041">
        <v>89.982418751087295</v>
      </c>
      <c r="AJ7041">
        <v>89.412355503130399</v>
      </c>
      <c r="AK7041">
        <v>3.0007188318197699</v>
      </c>
      <c r="AL7041">
        <v>88.2916158579322</v>
      </c>
      <c r="AM7041">
        <v>90.0256441735321</v>
      </c>
      <c r="AN7041">
        <v>0.99999999178360599</v>
      </c>
    </row>
    <row r="7042" spans="1:40" x14ac:dyDescent="0.25">
      <c r="A7042" t="str">
        <f>"20190312150830380"</f>
        <v>20190312150830380</v>
      </c>
      <c r="B7042" t="str">
        <f>"1552374510376881"</f>
        <v>1552374510376881</v>
      </c>
      <c r="C7042" t="s">
        <v>40</v>
      </c>
      <c r="D7042">
        <v>3.9802399999999998</v>
      </c>
      <c r="E7042">
        <v>0.50398529999999997</v>
      </c>
      <c r="F7042" t="s">
        <v>48</v>
      </c>
      <c r="G7042">
        <v>0</v>
      </c>
      <c r="H7042">
        <v>0</v>
      </c>
      <c r="I7042">
        <v>0</v>
      </c>
      <c r="J7042">
        <v>-276.38189999999997</v>
      </c>
      <c r="K7042">
        <v>1.10997099999999</v>
      </c>
      <c r="L7042">
        <v>140.96420000000001</v>
      </c>
      <c r="M7042">
        <v>-0.99993310000000002</v>
      </c>
      <c r="N7042">
        <v>0</v>
      </c>
      <c r="O7042">
        <v>-4.6188150000000001E-3</v>
      </c>
      <c r="P7042">
        <v>-0.99979819999999997</v>
      </c>
      <c r="Q7042">
        <v>1.9408379999999999E-2</v>
      </c>
      <c r="R7042">
        <v>-5.2226059999999899E-3</v>
      </c>
      <c r="S7042">
        <v>-3.000702</v>
      </c>
      <c r="T7042">
        <v>-1.508594E-3</v>
      </c>
      <c r="U7042">
        <v>1.620483E-2</v>
      </c>
      <c r="V7042">
        <v>-6.0608869999999998E-4</v>
      </c>
      <c r="W7042">
        <v>3.0022710000000001E-2</v>
      </c>
      <c r="X7042">
        <v>0.99954900000000002</v>
      </c>
      <c r="Y7042">
        <v>1.0019220000000001E-2</v>
      </c>
      <c r="Z7042" s="1">
        <v>4.8407559999999999E-6</v>
      </c>
      <c r="AA7042">
        <v>0.9999498</v>
      </c>
      <c r="AB7042">
        <v>31</v>
      </c>
      <c r="AC7042">
        <v>-3.000702</v>
      </c>
      <c r="AD7042">
        <v>-1.508594E-3</v>
      </c>
      <c r="AE7042">
        <v>1.620483E-2</v>
      </c>
      <c r="AF7042">
        <v>3.0065116346736299E-2</v>
      </c>
      <c r="AG7042">
        <v>-1.508594E-3</v>
      </c>
      <c r="AH7042">
        <v>3.00059437885036</v>
      </c>
      <c r="AI7042">
        <v>90.028804867457893</v>
      </c>
      <c r="AJ7042">
        <v>89.425931526761005</v>
      </c>
      <c r="AK7042">
        <v>3.0007453763132199</v>
      </c>
      <c r="AL7042">
        <v>88.279566848684098</v>
      </c>
      <c r="AM7042">
        <v>90.034741988901501</v>
      </c>
      <c r="AN7042">
        <v>0.99999996693012705</v>
      </c>
    </row>
    <row r="7043" spans="1:40" x14ac:dyDescent="0.25">
      <c r="A7043" t="str">
        <f>"20190312150830400"</f>
        <v>20190312150830400</v>
      </c>
      <c r="B7043" t="str">
        <f>"1552374510397377"</f>
        <v>1552374510397377</v>
      </c>
      <c r="C7043" t="s">
        <v>40</v>
      </c>
      <c r="D7043">
        <v>3.9887079999999999</v>
      </c>
      <c r="E7043">
        <v>0.50392289999999995</v>
      </c>
      <c r="F7043" t="s">
        <v>48</v>
      </c>
      <c r="G7043">
        <v>0</v>
      </c>
      <c r="H7043">
        <v>0</v>
      </c>
      <c r="I7043">
        <v>0</v>
      </c>
      <c r="J7043">
        <v>-276.64269999999999</v>
      </c>
      <c r="K7043">
        <v>1.109972</v>
      </c>
      <c r="L7043">
        <v>140.96299999999999</v>
      </c>
      <c r="M7043">
        <v>-0.9999325</v>
      </c>
      <c r="N7043">
        <v>0</v>
      </c>
      <c r="O7043">
        <v>-4.6360999999999998E-3</v>
      </c>
      <c r="P7043">
        <v>-0.99979419999999997</v>
      </c>
      <c r="Q7043">
        <v>1.961239E-2</v>
      </c>
      <c r="R7043">
        <v>-5.2132749999999999E-3</v>
      </c>
      <c r="S7043">
        <v>-3.000702</v>
      </c>
      <c r="T7043">
        <v>-2.973318E-3</v>
      </c>
      <c r="U7043">
        <v>1.4450070000000001E-2</v>
      </c>
      <c r="V7043">
        <v>-5.7891669999999998E-4</v>
      </c>
      <c r="W7043">
        <v>3.0272449999999999E-2</v>
      </c>
      <c r="X7043">
        <v>0.99954149999999997</v>
      </c>
      <c r="Y7043">
        <v>9.4517620000000007E-3</v>
      </c>
      <c r="Z7043" s="1">
        <v>9.276751E-6</v>
      </c>
      <c r="AA7043">
        <v>0.99995540000000005</v>
      </c>
      <c r="AB7043">
        <v>31</v>
      </c>
      <c r="AC7043">
        <v>-3.000702</v>
      </c>
      <c r="AD7043">
        <v>-2.973318E-3</v>
      </c>
      <c r="AE7043">
        <v>1.4450070000000001E-2</v>
      </c>
      <c r="AF7043">
        <v>2.8362230948703E-2</v>
      </c>
      <c r="AG7043">
        <v>-2.973318E-3</v>
      </c>
      <c r="AH7043">
        <v>3.0005998067001198</v>
      </c>
      <c r="AI7043">
        <v>90.056772284889206</v>
      </c>
      <c r="AJ7043">
        <v>89.458445696675497</v>
      </c>
      <c r="AK7043">
        <v>3.0007353193397601</v>
      </c>
      <c r="AL7043">
        <v>88.265251321584799</v>
      </c>
      <c r="AM7043">
        <v>90.033184695073402</v>
      </c>
      <c r="AN7043">
        <v>0.99999998329789896</v>
      </c>
    </row>
    <row r="7044" spans="1:40" x14ac:dyDescent="0.25">
      <c r="A7044" t="str">
        <f>"20190312150830413"</f>
        <v>20190312150830413</v>
      </c>
      <c r="B7044" t="str">
        <f>"1552374510407137"</f>
        <v>1552374510407137</v>
      </c>
      <c r="C7044" t="s">
        <v>40</v>
      </c>
      <c r="D7044">
        <v>4.0060539999999998</v>
      </c>
      <c r="E7044">
        <v>0.50395519999999905</v>
      </c>
      <c r="F7044" t="s">
        <v>48</v>
      </c>
      <c r="G7044">
        <v>0</v>
      </c>
      <c r="H7044">
        <v>0</v>
      </c>
      <c r="I7044">
        <v>0</v>
      </c>
      <c r="J7044">
        <v>-276.83069999999998</v>
      </c>
      <c r="K7044">
        <v>1.109969</v>
      </c>
      <c r="L7044">
        <v>140.96209999999999</v>
      </c>
      <c r="M7044">
        <v>-0.99993200000000004</v>
      </c>
      <c r="N7044">
        <v>0</v>
      </c>
      <c r="O7044">
        <v>-4.6443140000000001E-3</v>
      </c>
      <c r="P7044">
        <v>-0.99979150000000006</v>
      </c>
      <c r="Q7044">
        <v>1.976054E-2</v>
      </c>
      <c r="R7044">
        <v>-5.166688E-3</v>
      </c>
      <c r="S7044">
        <v>-3.0007630000000001</v>
      </c>
      <c r="T7044">
        <v>-3.3421520000000001E-3</v>
      </c>
      <c r="U7044">
        <v>1.3931270000000001E-2</v>
      </c>
      <c r="V7044">
        <v>-5.2314959999999998E-4</v>
      </c>
      <c r="W7044">
        <v>3.0454999999999999E-2</v>
      </c>
      <c r="X7044">
        <v>0.99953599999999998</v>
      </c>
      <c r="Y7044">
        <v>9.2869990000000006E-3</v>
      </c>
      <c r="Z7044" s="1">
        <v>1.0344699999999999E-5</v>
      </c>
      <c r="AA7044">
        <v>0.99995679999999998</v>
      </c>
      <c r="AB7044">
        <v>31</v>
      </c>
      <c r="AC7044">
        <v>-3.0007630000000001</v>
      </c>
      <c r="AD7044">
        <v>-3.3421520000000001E-3</v>
      </c>
      <c r="AE7044">
        <v>1.3931270000000001E-2</v>
      </c>
      <c r="AF7044">
        <v>2.7868368192562099E-2</v>
      </c>
      <c r="AG7044">
        <v>-3.3421520000000001E-3</v>
      </c>
      <c r="AH7044">
        <v>3.0006622063452402</v>
      </c>
      <c r="AI7044">
        <v>90.063813536365799</v>
      </c>
      <c r="AJ7044">
        <v>89.467886132290204</v>
      </c>
      <c r="AK7044">
        <v>3.0007934771514</v>
      </c>
      <c r="AL7044">
        <v>88.254787177653895</v>
      </c>
      <c r="AM7044">
        <v>90.029988175910503</v>
      </c>
      <c r="AN7044">
        <v>0.99999999800325101</v>
      </c>
    </row>
    <row r="7045" spans="1:40" x14ac:dyDescent="0.25">
      <c r="A7045" t="str">
        <f>"20190312150830426"</f>
        <v>20190312150830426</v>
      </c>
      <c r="B7045" t="str">
        <f>"1552374510416897"</f>
        <v>1552374510416897</v>
      </c>
      <c r="C7045" t="s">
        <v>40</v>
      </c>
      <c r="D7045">
        <v>3.9793310000000002</v>
      </c>
      <c r="E7045">
        <v>0.50395519999999905</v>
      </c>
      <c r="F7045" t="s">
        <v>48</v>
      </c>
      <c r="G7045">
        <v>0</v>
      </c>
      <c r="H7045">
        <v>0</v>
      </c>
      <c r="I7045">
        <v>0</v>
      </c>
      <c r="J7045">
        <v>-277.00139999999999</v>
      </c>
      <c r="K7045">
        <v>1.109969</v>
      </c>
      <c r="L7045">
        <v>140.9614</v>
      </c>
      <c r="M7045">
        <v>-0.99993169999999998</v>
      </c>
      <c r="N7045">
        <v>0</v>
      </c>
      <c r="O7045">
        <v>-4.650146E-3</v>
      </c>
      <c r="P7045">
        <v>-0.99978889999999998</v>
      </c>
      <c r="Q7045">
        <v>1.9981349999999998E-2</v>
      </c>
      <c r="R7045">
        <v>-4.8072799999999997E-3</v>
      </c>
      <c r="S7045">
        <v>-3.0007630000000001</v>
      </c>
      <c r="T7045">
        <v>-2.5641919999999999E-3</v>
      </c>
      <c r="U7045">
        <v>1.4389040000000001E-2</v>
      </c>
      <c r="V7045">
        <v>-1.5758389999999999E-4</v>
      </c>
      <c r="W7045">
        <v>3.0708079999999999E-2</v>
      </c>
      <c r="X7045">
        <v>0.99952839999999998</v>
      </c>
      <c r="Y7045">
        <v>9.4453760000000001E-3</v>
      </c>
      <c r="Z7045" s="1">
        <v>8.0093940000000002E-6</v>
      </c>
      <c r="AA7045">
        <v>0.99995540000000005</v>
      </c>
      <c r="AB7045">
        <v>31</v>
      </c>
      <c r="AC7045">
        <v>-3.0007630000000001</v>
      </c>
      <c r="AD7045">
        <v>-2.5641919999999999E-3</v>
      </c>
      <c r="AE7045">
        <v>1.4389040000000001E-2</v>
      </c>
      <c r="AF7045">
        <v>2.8343651997900201E-2</v>
      </c>
      <c r="AG7045">
        <v>-2.5641919999999999E-3</v>
      </c>
      <c r="AH7045">
        <v>3.0006614460624701</v>
      </c>
      <c r="AI7045">
        <v>90.048959468626094</v>
      </c>
      <c r="AJ7045">
        <v>89.458811542516798</v>
      </c>
      <c r="AK7045">
        <v>3.0007964028862202</v>
      </c>
      <c r="AL7045">
        <v>88.240280009256793</v>
      </c>
      <c r="AM7045">
        <v>90.009033152349005</v>
      </c>
      <c r="AN7045">
        <v>1.0000000167082601</v>
      </c>
    </row>
    <row r="7046" spans="1:40" x14ac:dyDescent="0.25">
      <c r="A7046" t="str">
        <f>"20190312150830456"</f>
        <v>20190312150830456</v>
      </c>
      <c r="B7046" t="str">
        <f>"1552374510447156"</f>
        <v>1552374510447156</v>
      </c>
      <c r="C7046" t="s">
        <v>40</v>
      </c>
      <c r="D7046">
        <v>4.0180249999999997</v>
      </c>
      <c r="E7046">
        <v>0.50420039999999999</v>
      </c>
      <c r="F7046" t="s">
        <v>48</v>
      </c>
      <c r="G7046">
        <v>0</v>
      </c>
      <c r="H7046">
        <v>0</v>
      </c>
      <c r="I7046">
        <v>0</v>
      </c>
      <c r="J7046">
        <v>-277.423</v>
      </c>
      <c r="K7046">
        <v>1.1099730000000001</v>
      </c>
      <c r="L7046">
        <v>140.95939999999999</v>
      </c>
      <c r="M7046">
        <v>-0.99993089999999996</v>
      </c>
      <c r="N7046">
        <v>0</v>
      </c>
      <c r="O7046">
        <v>-4.6551409999999998E-3</v>
      </c>
      <c r="P7046">
        <v>-0.99978880000000003</v>
      </c>
      <c r="Q7046">
        <v>2.0024139999999999E-2</v>
      </c>
      <c r="R7046">
        <v>-4.6641599999999997E-3</v>
      </c>
      <c r="S7046">
        <v>-3.0007320000000002</v>
      </c>
      <c r="T7046">
        <v>-1.9016269999999999E-3</v>
      </c>
      <c r="U7046">
        <v>1.538086E-2</v>
      </c>
      <c r="V7046" s="1">
        <v>-9.0937250000000008E-6</v>
      </c>
      <c r="W7046">
        <v>3.0831999999999998E-2</v>
      </c>
      <c r="X7046">
        <v>0.99952459999999999</v>
      </c>
      <c r="Y7046">
        <v>9.7809279999999995E-3</v>
      </c>
      <c r="Z7046" s="1">
        <v>6.049382E-6</v>
      </c>
      <c r="AA7046">
        <v>0.99995210000000001</v>
      </c>
      <c r="AB7046">
        <v>31</v>
      </c>
      <c r="AC7046">
        <v>-3.0007320000000002</v>
      </c>
      <c r="AD7046">
        <v>-1.9016269999999999E-3</v>
      </c>
      <c r="AE7046">
        <v>1.538086E-2</v>
      </c>
      <c r="AF7046">
        <v>2.9350326031159099E-2</v>
      </c>
      <c r="AG7046">
        <v>-1.9016269999999999E-3</v>
      </c>
      <c r="AH7046">
        <v>3.0006266733257601</v>
      </c>
      <c r="AI7046">
        <v>90.036309073661201</v>
      </c>
      <c r="AJ7046">
        <v>89.439585005391194</v>
      </c>
      <c r="AK7046">
        <v>3.00077081605667</v>
      </c>
      <c r="AL7046">
        <v>88.233176557143494</v>
      </c>
      <c r="AM7046">
        <v>90.000521279878996</v>
      </c>
      <c r="AN7046">
        <v>1.00000001915592</v>
      </c>
    </row>
    <row r="7047" spans="1:40" x14ac:dyDescent="0.25">
      <c r="A7047" t="str">
        <f>"20190312150830478"</f>
        <v>20190312150830478</v>
      </c>
      <c r="B7047" t="str">
        <f>"1552374510466673"</f>
        <v>1552374510466673</v>
      </c>
      <c r="C7047" t="s">
        <v>40</v>
      </c>
      <c r="D7047">
        <v>4.0527119999999996</v>
      </c>
      <c r="E7047">
        <v>0.50436199999999998</v>
      </c>
      <c r="F7047" t="s">
        <v>48</v>
      </c>
      <c r="G7047">
        <v>0</v>
      </c>
      <c r="H7047">
        <v>0</v>
      </c>
      <c r="I7047">
        <v>0</v>
      </c>
      <c r="J7047">
        <v>-277.71749999999997</v>
      </c>
      <c r="K7047">
        <v>1.1099810000000001</v>
      </c>
      <c r="L7047">
        <v>140.958</v>
      </c>
      <c r="M7047">
        <v>-0.99993019999999999</v>
      </c>
      <c r="N7047">
        <v>0</v>
      </c>
      <c r="O7047">
        <v>-4.6545680000000004E-3</v>
      </c>
      <c r="P7047">
        <v>-0.99978520000000004</v>
      </c>
      <c r="Q7047">
        <v>2.0310109999999999E-2</v>
      </c>
      <c r="R7047">
        <v>-4.1525080000000001E-3</v>
      </c>
      <c r="S7047">
        <v>-3.0008240000000002</v>
      </c>
      <c r="T7047">
        <v>-4.2576790000000003E-3</v>
      </c>
      <c r="U7047">
        <v>1.7700199999999999E-2</v>
      </c>
      <c r="V7047">
        <v>5.0199160000000001E-4</v>
      </c>
      <c r="W7047">
        <v>3.1172769999999999E-2</v>
      </c>
      <c r="X7047">
        <v>0.99951389999999996</v>
      </c>
      <c r="Y7047">
        <v>1.055303E-2</v>
      </c>
      <c r="Z7047" s="1">
        <v>1.4090850000000001E-5</v>
      </c>
      <c r="AA7047">
        <v>0.99994430000000001</v>
      </c>
      <c r="AB7047">
        <v>31</v>
      </c>
      <c r="AC7047">
        <v>-3.0008240000000002</v>
      </c>
      <c r="AD7047">
        <v>-4.2576790000000003E-3</v>
      </c>
      <c r="AE7047">
        <v>1.7700199999999999E-2</v>
      </c>
      <c r="AF7047">
        <v>3.1668307523446501E-2</v>
      </c>
      <c r="AG7047">
        <v>-4.2576790000000003E-3</v>
      </c>
      <c r="AH7047">
        <v>3.0007030574189</v>
      </c>
      <c r="AI7047">
        <v>90.081292045466299</v>
      </c>
      <c r="AJ7047">
        <v>89.395344034086705</v>
      </c>
      <c r="AK7047">
        <v>3.00087318098167</v>
      </c>
      <c r="AL7047">
        <v>88.213642477280402</v>
      </c>
      <c r="AM7047">
        <v>89.971224014380695</v>
      </c>
      <c r="AN7047">
        <v>1.0000000149391199</v>
      </c>
    </row>
    <row r="7048" spans="1:40" x14ac:dyDescent="0.25">
      <c r="A7048" t="str">
        <f>"20190312150830501"</f>
        <v>20190312150830501</v>
      </c>
      <c r="B7048" t="str">
        <f>"1552374510496929"</f>
        <v>1552374510496929</v>
      </c>
      <c r="C7048" t="s">
        <v>40</v>
      </c>
      <c r="D7048">
        <v>3.9967060000000001</v>
      </c>
      <c r="E7048">
        <v>0.50450229999999996</v>
      </c>
      <c r="F7048" t="s">
        <v>48</v>
      </c>
      <c r="G7048">
        <v>0</v>
      </c>
      <c r="H7048">
        <v>0</v>
      </c>
      <c r="I7048">
        <v>0</v>
      </c>
      <c r="J7048">
        <v>-278.02760000000001</v>
      </c>
      <c r="K7048">
        <v>1.109985</v>
      </c>
      <c r="L7048">
        <v>140.95660000000001</v>
      </c>
      <c r="M7048">
        <v>-0.99992970000000003</v>
      </c>
      <c r="N7048">
        <v>0</v>
      </c>
      <c r="O7048">
        <v>-4.6528139999999999E-3</v>
      </c>
      <c r="P7048">
        <v>-0.99978449999999996</v>
      </c>
      <c r="Q7048">
        <v>2.043116E-2</v>
      </c>
      <c r="R7048">
        <v>-3.7292319999999999E-3</v>
      </c>
      <c r="S7048">
        <v>-3.0007929999999998</v>
      </c>
      <c r="T7048">
        <v>-4.5653580000000003E-3</v>
      </c>
      <c r="U7048">
        <v>2.0385739999999999E-2</v>
      </c>
      <c r="V7048">
        <v>9.2371399999999996E-4</v>
      </c>
      <c r="W7048">
        <v>3.134721E-2</v>
      </c>
      <c r="X7048">
        <v>0.99950810000000001</v>
      </c>
      <c r="Y7048">
        <v>1.144619E-2</v>
      </c>
      <c r="Z7048" s="1">
        <v>1.578598E-5</v>
      </c>
      <c r="AA7048">
        <v>0.99993449999999995</v>
      </c>
      <c r="AB7048">
        <v>31</v>
      </c>
      <c r="AC7048">
        <v>-3.0007929999999998</v>
      </c>
      <c r="AD7048">
        <v>-4.5653580000000003E-3</v>
      </c>
      <c r="AE7048">
        <v>2.0385739999999999E-2</v>
      </c>
      <c r="AF7048">
        <v>3.4348401939044301E-2</v>
      </c>
      <c r="AG7048">
        <v>-4.5653580000000003E-3</v>
      </c>
      <c r="AH7048">
        <v>3.0006587126305999</v>
      </c>
      <c r="AI7048">
        <v>90.087166996586703</v>
      </c>
      <c r="AJ7048">
        <v>89.344166497740204</v>
      </c>
      <c r="AK7048">
        <v>3.0008587712345598</v>
      </c>
      <c r="AL7048">
        <v>88.203642836475296</v>
      </c>
      <c r="AM7048">
        <v>89.947049054820397</v>
      </c>
      <c r="AN7048">
        <v>0.99999997139397301</v>
      </c>
    </row>
    <row r="7049" spans="1:40" x14ac:dyDescent="0.25">
      <c r="A7049" t="str">
        <f>"20190312150830525"</f>
        <v>20190312150830525</v>
      </c>
      <c r="B7049" t="str">
        <f>"1552374510517424"</f>
        <v>1552374510517424</v>
      </c>
      <c r="C7049" t="s">
        <v>40</v>
      </c>
      <c r="D7049">
        <v>4.0158550000000002</v>
      </c>
      <c r="E7049">
        <v>0.50459589999999999</v>
      </c>
      <c r="F7049" t="s">
        <v>48</v>
      </c>
      <c r="G7049">
        <v>0</v>
      </c>
      <c r="H7049">
        <v>0</v>
      </c>
      <c r="I7049">
        <v>0</v>
      </c>
      <c r="J7049">
        <v>-278.35230000000001</v>
      </c>
      <c r="K7049">
        <v>1.1099859999999999</v>
      </c>
      <c r="L7049">
        <v>140.95500000000001</v>
      </c>
      <c r="M7049">
        <v>-0.99992910000000002</v>
      </c>
      <c r="N7049">
        <v>0</v>
      </c>
      <c r="O7049">
        <v>-4.6479349999999997E-3</v>
      </c>
      <c r="P7049">
        <v>-0.99978040000000001</v>
      </c>
      <c r="Q7049">
        <v>2.066834E-2</v>
      </c>
      <c r="R7049">
        <v>-3.484539E-3</v>
      </c>
      <c r="S7049">
        <v>-3.0008539999999999</v>
      </c>
      <c r="T7049">
        <v>-6.1924459999999999E-3</v>
      </c>
      <c r="U7049">
        <v>2.275085E-2</v>
      </c>
      <c r="V7049">
        <v>1.163657E-3</v>
      </c>
      <c r="W7049">
        <v>3.1635080000000003E-2</v>
      </c>
      <c r="X7049">
        <v>0.99949880000000002</v>
      </c>
      <c r="Y7049">
        <v>1.2229210000000001E-2</v>
      </c>
      <c r="Z7049" s="1">
        <v>2.2209400000000001E-5</v>
      </c>
      <c r="AA7049">
        <v>0.99992519999999996</v>
      </c>
      <c r="AB7049">
        <v>31</v>
      </c>
      <c r="AC7049">
        <v>-3.0008539999999999</v>
      </c>
      <c r="AD7049">
        <v>-6.1924459999999999E-3</v>
      </c>
      <c r="AE7049">
        <v>2.275085E-2</v>
      </c>
      <c r="AF7049">
        <v>3.6699060571564503E-2</v>
      </c>
      <c r="AG7049">
        <v>-6.1924459999999999E-3</v>
      </c>
      <c r="AH7049">
        <v>3.0007030538125199</v>
      </c>
      <c r="AI7049">
        <v>90.118230287618701</v>
      </c>
      <c r="AJ7049">
        <v>89.299298725599797</v>
      </c>
      <c r="AK7049">
        <v>3.0009338520857201</v>
      </c>
      <c r="AL7049">
        <v>88.187140952447095</v>
      </c>
      <c r="AM7049">
        <v>89.933293962156895</v>
      </c>
      <c r="AN7049">
        <v>0.99999999179282995</v>
      </c>
    </row>
    <row r="7050" spans="1:40" x14ac:dyDescent="0.25">
      <c r="A7050" t="str">
        <f>"20190312150830547"</f>
        <v>20190312150830547</v>
      </c>
      <c r="B7050" t="str">
        <f>"1552374510536945"</f>
        <v>1552374510536945</v>
      </c>
      <c r="C7050" t="s">
        <v>40</v>
      </c>
      <c r="D7050">
        <v>4.0258750000000001</v>
      </c>
      <c r="E7050">
        <v>0.50467649999999997</v>
      </c>
      <c r="F7050" t="s">
        <v>48</v>
      </c>
      <c r="G7050">
        <v>0</v>
      </c>
      <c r="H7050">
        <v>0</v>
      </c>
      <c r="I7050">
        <v>0</v>
      </c>
      <c r="J7050">
        <v>-278.65800000000002</v>
      </c>
      <c r="K7050">
        <v>1.1099840000000001</v>
      </c>
      <c r="L7050">
        <v>140.95359999999999</v>
      </c>
      <c r="M7050">
        <v>-0.9999287</v>
      </c>
      <c r="N7050">
        <v>0</v>
      </c>
      <c r="O7050">
        <v>-4.637497E-3</v>
      </c>
      <c r="P7050">
        <v>-0.99978259999999997</v>
      </c>
      <c r="Q7050">
        <v>2.0635190000000001E-2</v>
      </c>
      <c r="R7050">
        <v>-3.0383710000000002E-3</v>
      </c>
      <c r="S7050">
        <v>-3.0008849999999998</v>
      </c>
      <c r="T7050">
        <v>-7.1322919999999897E-3</v>
      </c>
      <c r="U7050">
        <v>2.427673E-2</v>
      </c>
      <c r="V7050">
        <v>1.599905E-3</v>
      </c>
      <c r="W7050">
        <v>3.1645560000000003E-2</v>
      </c>
      <c r="X7050">
        <v>0.99949790000000005</v>
      </c>
      <c r="Y7050">
        <v>1.272709E-2</v>
      </c>
      <c r="Z7050" s="1">
        <v>2.614672E-5</v>
      </c>
      <c r="AA7050">
        <v>0.999919</v>
      </c>
      <c r="AB7050">
        <v>31</v>
      </c>
      <c r="AC7050">
        <v>-3.0008849999999998</v>
      </c>
      <c r="AD7050">
        <v>-7.1322919999999897E-3</v>
      </c>
      <c r="AE7050">
        <v>2.427673E-2</v>
      </c>
      <c r="AF7050">
        <v>3.8193691010108902E-2</v>
      </c>
      <c r="AG7050">
        <v>-7.1322919999999897E-3</v>
      </c>
      <c r="AH7050">
        <v>3.0007231872492199</v>
      </c>
      <c r="AI7050">
        <v>90.136172628096901</v>
      </c>
      <c r="AJ7050">
        <v>89.270769411513996</v>
      </c>
      <c r="AK7050">
        <v>3.0009747206728199</v>
      </c>
      <c r="AL7050">
        <v>88.186540255088204</v>
      </c>
      <c r="AM7050">
        <v>89.908286224683906</v>
      </c>
      <c r="AN7050">
        <v>1.0000000266340601</v>
      </c>
    </row>
    <row r="7051" spans="1:40" x14ac:dyDescent="0.25">
      <c r="A7051" t="str">
        <f>"20190312150830569"</f>
        <v>20190312150830569</v>
      </c>
      <c r="B7051" t="str">
        <f>"1552374510557441"</f>
        <v>1552374510557441</v>
      </c>
      <c r="C7051" t="s">
        <v>40</v>
      </c>
      <c r="D7051">
        <v>4.0447350000000002</v>
      </c>
      <c r="E7051">
        <v>0.50476200000000004</v>
      </c>
      <c r="F7051" t="s">
        <v>48</v>
      </c>
      <c r="G7051">
        <v>0</v>
      </c>
      <c r="H7051">
        <v>0</v>
      </c>
      <c r="I7051">
        <v>0</v>
      </c>
      <c r="J7051">
        <v>-278.95389999999998</v>
      </c>
      <c r="K7051">
        <v>1.1099779999999999</v>
      </c>
      <c r="L7051">
        <v>140.95230000000001</v>
      </c>
      <c r="M7051">
        <v>-0.99992840000000005</v>
      </c>
      <c r="N7051">
        <v>0</v>
      </c>
      <c r="O7051">
        <v>-4.6226050000000001E-3</v>
      </c>
      <c r="P7051">
        <v>-0.9997838</v>
      </c>
      <c r="Q7051">
        <v>2.0668120000000002E-2</v>
      </c>
      <c r="R7051">
        <v>-2.3301229999999999E-3</v>
      </c>
      <c r="S7051">
        <v>-3.0009160000000001</v>
      </c>
      <c r="T7051">
        <v>-8.1503389999999995E-3</v>
      </c>
      <c r="U7051">
        <v>2.6138310000000001E-2</v>
      </c>
      <c r="V7051">
        <v>2.2937249999999999E-3</v>
      </c>
      <c r="W7051">
        <v>3.171562E-2</v>
      </c>
      <c r="X7051">
        <v>0.99949429999999995</v>
      </c>
      <c r="Y7051">
        <v>1.333234E-2</v>
      </c>
      <c r="Z7051" s="1">
        <v>3.0659920000000002E-5</v>
      </c>
      <c r="AA7051">
        <v>0.99991110000000005</v>
      </c>
      <c r="AB7051">
        <v>31</v>
      </c>
      <c r="AC7051">
        <v>-3.0009160000000001</v>
      </c>
      <c r="AD7051">
        <v>-8.1503389999999995E-3</v>
      </c>
      <c r="AE7051">
        <v>2.6138310000000001E-2</v>
      </c>
      <c r="AF7051">
        <v>4.0010629959343201E-2</v>
      </c>
      <c r="AG7051">
        <v>-8.1503389999999995E-3</v>
      </c>
      <c r="AH7051">
        <v>3.0007409660305799</v>
      </c>
      <c r="AI7051">
        <v>90.155607357714999</v>
      </c>
      <c r="AJ7051">
        <v>89.2360872133371</v>
      </c>
      <c r="AK7051">
        <v>3.0010187643114898</v>
      </c>
      <c r="AL7051">
        <v>88.182524046214496</v>
      </c>
      <c r="AM7051">
        <v>89.868512975856603</v>
      </c>
      <c r="AN7051">
        <v>0.99999999872942402</v>
      </c>
    </row>
    <row r="7052" spans="1:40" x14ac:dyDescent="0.25">
      <c r="A7052" t="str">
        <f>"20190312150830589"</f>
        <v>20190312150830589</v>
      </c>
      <c r="B7052" t="str">
        <f>"1552374510586721"</f>
        <v>1552374510586721</v>
      </c>
      <c r="C7052" t="s">
        <v>40</v>
      </c>
      <c r="D7052">
        <v>4.0214569999999998</v>
      </c>
      <c r="E7052">
        <v>0.50503940000000003</v>
      </c>
      <c r="F7052" t="s">
        <v>48</v>
      </c>
      <c r="G7052">
        <v>0</v>
      </c>
      <c r="H7052">
        <v>0</v>
      </c>
      <c r="I7052">
        <v>0</v>
      </c>
      <c r="J7052">
        <v>-279.24770000000001</v>
      </c>
      <c r="K7052">
        <v>1.1099779999999999</v>
      </c>
      <c r="L7052">
        <v>140.95089999999999</v>
      </c>
      <c r="M7052">
        <v>-0.99992800000000004</v>
      </c>
      <c r="N7052">
        <v>0</v>
      </c>
      <c r="O7052">
        <v>-4.600168E-3</v>
      </c>
      <c r="P7052">
        <v>-0.99979030000000002</v>
      </c>
      <c r="Q7052">
        <v>2.0401849999999999E-2</v>
      </c>
      <c r="R7052">
        <v>-1.81631E-3</v>
      </c>
      <c r="S7052">
        <v>-3.0008849999999998</v>
      </c>
      <c r="T7052">
        <v>-8.1329350000000009E-3</v>
      </c>
      <c r="U7052">
        <v>2.9052729999999999E-2</v>
      </c>
      <c r="V7052">
        <v>2.785647E-3</v>
      </c>
      <c r="W7052">
        <v>3.1483520000000001E-2</v>
      </c>
      <c r="X7052">
        <v>0.99950039999999996</v>
      </c>
      <c r="Y7052">
        <v>1.4281E-2</v>
      </c>
      <c r="Z7052" s="1">
        <v>3.1819310000000003E-5</v>
      </c>
      <c r="AA7052">
        <v>0.99989799999999995</v>
      </c>
      <c r="AB7052">
        <v>31</v>
      </c>
      <c r="AC7052">
        <v>-3.0008849999999998</v>
      </c>
      <c r="AD7052">
        <v>-8.1329350000000009E-3</v>
      </c>
      <c r="AE7052">
        <v>2.9052729999999999E-2</v>
      </c>
      <c r="AF7052">
        <v>4.2857530855592602E-2</v>
      </c>
      <c r="AG7052">
        <v>-8.1329350000000009E-3</v>
      </c>
      <c r="AH7052">
        <v>3.0006975503353099</v>
      </c>
      <c r="AI7052">
        <v>90.155275292261607</v>
      </c>
      <c r="AJ7052">
        <v>89.181727365836693</v>
      </c>
      <c r="AK7052">
        <v>3.0010146119556098</v>
      </c>
      <c r="AL7052">
        <v>88.195829062741595</v>
      </c>
      <c r="AM7052">
        <v>89.840314818218701</v>
      </c>
      <c r="AN7052">
        <v>1.0000000107304701</v>
      </c>
    </row>
    <row r="7053" spans="1:40" x14ac:dyDescent="0.25">
      <c r="A7053" t="str">
        <f>"20190312150830613"</f>
        <v>20190312150830613</v>
      </c>
      <c r="B7053" t="str">
        <f>"1552374510607218"</f>
        <v>1552374510607218</v>
      </c>
      <c r="C7053" t="s">
        <v>40</v>
      </c>
      <c r="D7053">
        <v>4.0299079999999998</v>
      </c>
      <c r="E7053">
        <v>0.5053375</v>
      </c>
      <c r="F7053" t="s">
        <v>48</v>
      </c>
      <c r="G7053">
        <v>0</v>
      </c>
      <c r="H7053">
        <v>0</v>
      </c>
      <c r="I7053">
        <v>0</v>
      </c>
      <c r="J7053">
        <v>-279.56119999999999</v>
      </c>
      <c r="K7053">
        <v>1.109977</v>
      </c>
      <c r="L7053">
        <v>140.9495</v>
      </c>
      <c r="M7053">
        <v>-0.99992780000000003</v>
      </c>
      <c r="N7053">
        <v>0</v>
      </c>
      <c r="O7053">
        <v>-4.5671189999999997E-3</v>
      </c>
      <c r="P7053">
        <v>-0.9997897</v>
      </c>
      <c r="Q7053">
        <v>2.0496710000000001E-2</v>
      </c>
      <c r="R7053">
        <v>-9.8425870000000003E-4</v>
      </c>
      <c r="S7053">
        <v>-3.0008849999999998</v>
      </c>
      <c r="T7053">
        <v>-8.8843109999999902E-3</v>
      </c>
      <c r="U7053">
        <v>3.2806399999999999E-2</v>
      </c>
      <c r="V7053">
        <v>3.5853479999999999E-3</v>
      </c>
      <c r="W7053">
        <v>3.161506E-2</v>
      </c>
      <c r="X7053">
        <v>0.99949370000000004</v>
      </c>
      <c r="Y7053">
        <v>1.549852E-2</v>
      </c>
      <c r="Z7053" s="1">
        <v>3.6463130000000002E-5</v>
      </c>
      <c r="AA7053">
        <v>0.99987990000000004</v>
      </c>
      <c r="AB7053">
        <v>31</v>
      </c>
      <c r="AC7053">
        <v>-3.0008849999999998</v>
      </c>
      <c r="AD7053">
        <v>-8.8843109999999902E-3</v>
      </c>
      <c r="AE7053">
        <v>3.2806399999999999E-2</v>
      </c>
      <c r="AF7053">
        <v>4.6511895718714003E-2</v>
      </c>
      <c r="AG7053">
        <v>-8.8843109999999902E-3</v>
      </c>
      <c r="AH7053">
        <v>3.0006775612807699</v>
      </c>
      <c r="AI7053">
        <v>90.169618656656894</v>
      </c>
      <c r="AJ7053">
        <v>89.111959926221601</v>
      </c>
      <c r="AK7053">
        <v>3.0010511682074301</v>
      </c>
      <c r="AL7053">
        <v>88.188288623793895</v>
      </c>
      <c r="AM7053">
        <v>89.794471513555095</v>
      </c>
      <c r="AN7053">
        <v>1.0000000115393799</v>
      </c>
    </row>
    <row r="7054" spans="1:40" x14ac:dyDescent="0.25">
      <c r="A7054" t="str">
        <f>"20190312150830634"</f>
        <v>20190312150830634</v>
      </c>
      <c r="B7054" t="str">
        <f>"1552374510626737"</f>
        <v>1552374510626737</v>
      </c>
      <c r="C7054" t="s">
        <v>40</v>
      </c>
      <c r="D7054">
        <v>4.034548</v>
      </c>
      <c r="E7054">
        <v>0.50560519999999998</v>
      </c>
      <c r="F7054" t="s">
        <v>48</v>
      </c>
      <c r="G7054">
        <v>0</v>
      </c>
      <c r="H7054">
        <v>0</v>
      </c>
      <c r="I7054">
        <v>0</v>
      </c>
      <c r="J7054">
        <v>-279.86989999999997</v>
      </c>
      <c r="K7054">
        <v>1.109974</v>
      </c>
      <c r="L7054">
        <v>140.94820000000001</v>
      </c>
      <c r="M7054">
        <v>-0.99992760000000003</v>
      </c>
      <c r="N7054">
        <v>0</v>
      </c>
      <c r="O7054">
        <v>-4.5247780000000001E-3</v>
      </c>
      <c r="P7054">
        <v>-0.99979200000000001</v>
      </c>
      <c r="Q7054">
        <v>2.0387120000000002E-2</v>
      </c>
      <c r="R7054">
        <v>-7.8838129999999999E-4</v>
      </c>
      <c r="S7054">
        <v>-3.0007929999999998</v>
      </c>
      <c r="T7054">
        <v>-7.80928099999999E-3</v>
      </c>
      <c r="U7054">
        <v>3.7658690000000002E-2</v>
      </c>
      <c r="V7054">
        <v>3.7395250000000001E-3</v>
      </c>
      <c r="W7054">
        <v>3.1541189999999997E-2</v>
      </c>
      <c r="X7054">
        <v>0.99949540000000003</v>
      </c>
      <c r="Y7054">
        <v>1.7073100000000001E-2</v>
      </c>
      <c r="Z7054" s="1">
        <v>3.3990260000000003E-5</v>
      </c>
      <c r="AA7054">
        <v>0.99985429999999997</v>
      </c>
      <c r="AB7054">
        <v>31</v>
      </c>
      <c r="AC7054">
        <v>-3.0007929999999998</v>
      </c>
      <c r="AD7054">
        <v>-7.80928099999999E-3</v>
      </c>
      <c r="AE7054">
        <v>3.7658690000000002E-2</v>
      </c>
      <c r="AF7054">
        <v>5.1236723737492398E-2</v>
      </c>
      <c r="AG7054">
        <v>-7.80928099999999E-3</v>
      </c>
      <c r="AH7054">
        <v>3.0005715514584099</v>
      </c>
      <c r="AI7054">
        <v>90.149095799738305</v>
      </c>
      <c r="AJ7054">
        <v>89.021732125910702</v>
      </c>
      <c r="AK7054">
        <v>3.00101913058724</v>
      </c>
      <c r="AL7054">
        <v>88.192523050280101</v>
      </c>
      <c r="AM7054">
        <v>89.785633830683594</v>
      </c>
      <c r="AN7054">
        <v>0.99999994266749903</v>
      </c>
    </row>
    <row r="7055" spans="1:40" x14ac:dyDescent="0.25">
      <c r="A7055" t="str">
        <f>"20190312150830656"</f>
        <v>20190312150830656</v>
      </c>
      <c r="B7055" t="str">
        <f>"1552374510647233"</f>
        <v>1552374510647233</v>
      </c>
      <c r="C7055" t="s">
        <v>40</v>
      </c>
      <c r="D7055">
        <v>4.0767819999999997</v>
      </c>
      <c r="E7055">
        <v>0.50569339999999996</v>
      </c>
      <c r="F7055" t="s">
        <v>48</v>
      </c>
      <c r="G7055">
        <v>0</v>
      </c>
      <c r="H7055">
        <v>0</v>
      </c>
      <c r="I7055">
        <v>0</v>
      </c>
      <c r="J7055">
        <v>-280.17669999999998</v>
      </c>
      <c r="K7055">
        <v>1.1099699999999999</v>
      </c>
      <c r="L7055">
        <v>140.9469</v>
      </c>
      <c r="M7055">
        <v>-0.99992740000000002</v>
      </c>
      <c r="N7055">
        <v>0</v>
      </c>
      <c r="O7055">
        <v>-4.47337E-3</v>
      </c>
      <c r="P7055">
        <v>-0.99977479999999996</v>
      </c>
      <c r="Q7055">
        <v>2.1222700000000001E-2</v>
      </c>
      <c r="R7055">
        <v>-5.5604389999999997E-4</v>
      </c>
      <c r="S7055">
        <v>-3.0007929999999998</v>
      </c>
      <c r="T7055">
        <v>-8.4240440000000003E-3</v>
      </c>
      <c r="U7055">
        <v>4.040527E-2</v>
      </c>
      <c r="V7055">
        <v>3.9210590000000002E-3</v>
      </c>
      <c r="W7055">
        <v>3.2410019999999998E-2</v>
      </c>
      <c r="X7055">
        <v>0.99946699999999999</v>
      </c>
      <c r="Y7055">
        <v>1.7936669999999998E-2</v>
      </c>
      <c r="Z7055" s="1">
        <v>3.7733579999999999E-5</v>
      </c>
      <c r="AA7055">
        <v>0.99983909999999998</v>
      </c>
      <c r="AB7055">
        <v>31</v>
      </c>
      <c r="AC7055">
        <v>-3.0007929999999998</v>
      </c>
      <c r="AD7055">
        <v>-8.4240440000000003E-3</v>
      </c>
      <c r="AE7055">
        <v>4.040527E-2</v>
      </c>
      <c r="AF7055">
        <v>5.3828939207324303E-2</v>
      </c>
      <c r="AG7055">
        <v>-8.4240440000000003E-3</v>
      </c>
      <c r="AH7055">
        <v>3.0005585701064699</v>
      </c>
      <c r="AI7055">
        <v>90.160831138555395</v>
      </c>
      <c r="AJ7055">
        <v>88.972244612530005</v>
      </c>
      <c r="AK7055">
        <v>3.00105319044046</v>
      </c>
      <c r="AL7055">
        <v>88.142717455404394</v>
      </c>
      <c r="AM7055">
        <v>89.775221213563697</v>
      </c>
      <c r="AN7055">
        <v>1.0000000340945401</v>
      </c>
    </row>
    <row r="7056" spans="1:40" x14ac:dyDescent="0.25">
      <c r="A7056" t="str">
        <f>"20190312150830679"</f>
        <v>20190312150830679</v>
      </c>
      <c r="B7056" t="str">
        <f>"1552374510666753"</f>
        <v>1552374510666753</v>
      </c>
      <c r="C7056" t="s">
        <v>40</v>
      </c>
      <c r="D7056">
        <v>4.0579900000000002</v>
      </c>
      <c r="E7056">
        <v>0.50612299999999999</v>
      </c>
      <c r="F7056" t="s">
        <v>48</v>
      </c>
      <c r="G7056">
        <v>0</v>
      </c>
      <c r="H7056">
        <v>0</v>
      </c>
      <c r="I7056">
        <v>0</v>
      </c>
      <c r="J7056">
        <v>-280.48500000000001</v>
      </c>
      <c r="K7056">
        <v>1.109974</v>
      </c>
      <c r="L7056">
        <v>140.94550000000001</v>
      </c>
      <c r="M7056">
        <v>-0.99992740000000002</v>
      </c>
      <c r="N7056">
        <v>0</v>
      </c>
      <c r="O7056">
        <v>-4.4118159999999998E-3</v>
      </c>
      <c r="P7056">
        <v>-0.99975720000000001</v>
      </c>
      <c r="Q7056">
        <v>2.2026919999999998E-2</v>
      </c>
      <c r="R7056">
        <v>-8.0413570000000001E-4</v>
      </c>
      <c r="S7056">
        <v>-3.0007929999999998</v>
      </c>
      <c r="T7056">
        <v>-4.7121050000000003E-3</v>
      </c>
      <c r="U7056">
        <v>4.1900630000000001E-2</v>
      </c>
      <c r="V7056">
        <v>3.6118370000000001E-3</v>
      </c>
      <c r="W7056">
        <v>3.3244990000000002E-2</v>
      </c>
      <c r="X7056">
        <v>0.99944069999999996</v>
      </c>
      <c r="Y7056">
        <v>1.8373319999999999E-2</v>
      </c>
      <c r="Z7056" s="1">
        <v>2.1352920000000002E-5</v>
      </c>
      <c r="AA7056">
        <v>0.99983120000000003</v>
      </c>
      <c r="AB7056">
        <v>31</v>
      </c>
      <c r="AC7056">
        <v>-3.0007929999999998</v>
      </c>
      <c r="AD7056">
        <v>-4.7121050000000003E-3</v>
      </c>
      <c r="AE7056">
        <v>4.1900630000000001E-2</v>
      </c>
      <c r="AF7056">
        <v>5.51398651488944E-2</v>
      </c>
      <c r="AG7056">
        <v>-4.7121050000000003E-3</v>
      </c>
      <c r="AH7056">
        <v>3.00057152542843</v>
      </c>
      <c r="AI7056">
        <v>90.089962172404995</v>
      </c>
      <c r="AJ7056">
        <v>88.947225227703299</v>
      </c>
      <c r="AK7056">
        <v>3.0010818195900701</v>
      </c>
      <c r="AL7056">
        <v>88.094851323510198</v>
      </c>
      <c r="AM7056">
        <v>89.792942076997306</v>
      </c>
      <c r="AN7056">
        <v>0.99999999377155202</v>
      </c>
    </row>
    <row r="7057" spans="1:40" x14ac:dyDescent="0.25">
      <c r="A7057" t="str">
        <f>"20190312150830701"</f>
        <v>20190312150830701</v>
      </c>
      <c r="B7057" t="str">
        <f>"1552374510697010"</f>
        <v>1552374510697010</v>
      </c>
      <c r="C7057" t="s">
        <v>40</v>
      </c>
      <c r="D7057">
        <v>4.0668389999999999</v>
      </c>
      <c r="E7057">
        <v>0.50636009999999998</v>
      </c>
      <c r="F7057" t="s">
        <v>48</v>
      </c>
      <c r="G7057">
        <v>0</v>
      </c>
      <c r="H7057">
        <v>0</v>
      </c>
      <c r="I7057">
        <v>0</v>
      </c>
      <c r="J7057">
        <v>-280.78840000000002</v>
      </c>
      <c r="K7057">
        <v>1.109974</v>
      </c>
      <c r="L7057">
        <v>140.9443</v>
      </c>
      <c r="M7057">
        <v>-0.99992729999999996</v>
      </c>
      <c r="N7057">
        <v>0</v>
      </c>
      <c r="O7057">
        <v>-4.3417780000000001E-3</v>
      </c>
      <c r="P7057">
        <v>-0.9997547</v>
      </c>
      <c r="Q7057">
        <v>2.2142740000000001E-2</v>
      </c>
      <c r="R7057">
        <v>-3.0336060000000001E-4</v>
      </c>
      <c r="S7057">
        <v>-3.0007929999999998</v>
      </c>
      <c r="T7057">
        <v>-3.3378599999999998E-3</v>
      </c>
      <c r="U7057">
        <v>4.4540410000000002E-2</v>
      </c>
      <c r="V7057">
        <v>4.0432030000000004E-3</v>
      </c>
      <c r="W7057">
        <v>3.3389389999999998E-2</v>
      </c>
      <c r="X7057">
        <v>0.99943419999999905</v>
      </c>
      <c r="Y7057">
        <v>1.9182669999999999E-2</v>
      </c>
      <c r="Z7057" s="1">
        <v>1.54976399999999E-5</v>
      </c>
      <c r="AA7057">
        <v>0.99981600000000004</v>
      </c>
      <c r="AB7057">
        <v>31</v>
      </c>
      <c r="AC7057">
        <v>-3.0007929999999998</v>
      </c>
      <c r="AD7057">
        <v>-3.3378599999999998E-3</v>
      </c>
      <c r="AE7057">
        <v>4.4540410000000002E-2</v>
      </c>
      <c r="AF7057">
        <v>5.7569520378036101E-2</v>
      </c>
      <c r="AG7057">
        <v>-3.3378599999999998E-3</v>
      </c>
      <c r="AH7057">
        <v>3.0005676037573199</v>
      </c>
      <c r="AI7057">
        <v>90.063724617143805</v>
      </c>
      <c r="AJ7057">
        <v>88.900845994942401</v>
      </c>
      <c r="AK7057">
        <v>3.0011216795897999</v>
      </c>
      <c r="AL7057">
        <v>88.086573151504396</v>
      </c>
      <c r="AM7057">
        <v>89.768211650299193</v>
      </c>
      <c r="AN7057">
        <v>0.99999995949235398</v>
      </c>
    </row>
    <row r="7058" spans="1:40" x14ac:dyDescent="0.25">
      <c r="A7058" t="str">
        <f>"20190312150830725"</f>
        <v>20190312150830725</v>
      </c>
      <c r="B7058" t="str">
        <f>"1552374510716533"</f>
        <v>1552374510716533</v>
      </c>
      <c r="C7058" t="s">
        <v>40</v>
      </c>
      <c r="D7058">
        <v>4.0733980000000001</v>
      </c>
      <c r="E7058">
        <v>0.506436</v>
      </c>
      <c r="F7058" t="s">
        <v>48</v>
      </c>
      <c r="G7058">
        <v>0</v>
      </c>
      <c r="H7058">
        <v>0</v>
      </c>
      <c r="I7058">
        <v>0</v>
      </c>
      <c r="J7058">
        <v>-281.1078</v>
      </c>
      <c r="K7058">
        <v>1.1099699999999999</v>
      </c>
      <c r="L7058">
        <v>140.94290000000001</v>
      </c>
      <c r="M7058">
        <v>-0.99992740000000002</v>
      </c>
      <c r="N7058">
        <v>0</v>
      </c>
      <c r="O7058">
        <v>-4.2596889999999997E-3</v>
      </c>
      <c r="P7058">
        <v>-0.99975139999999996</v>
      </c>
      <c r="Q7058">
        <v>2.2298450000000001E-2</v>
      </c>
      <c r="R7058">
        <v>-5.0853539999999998E-4</v>
      </c>
      <c r="S7058">
        <v>-3.0008240000000002</v>
      </c>
      <c r="T7058">
        <v>-3.2553669999999999E-3</v>
      </c>
      <c r="U7058">
        <v>4.7836299999999998E-2</v>
      </c>
      <c r="V7058">
        <v>3.7568240000000002E-3</v>
      </c>
      <c r="W7058">
        <v>3.3571429999999999E-2</v>
      </c>
      <c r="X7058">
        <v>0.99942929999999996</v>
      </c>
      <c r="Y7058">
        <v>2.0198290000000001E-2</v>
      </c>
      <c r="Z7058" s="1">
        <v>1.5576140000000001E-5</v>
      </c>
      <c r="AA7058">
        <v>0.99979600000000002</v>
      </c>
      <c r="AB7058">
        <v>31</v>
      </c>
      <c r="AC7058">
        <v>-3.0008240000000002</v>
      </c>
      <c r="AD7058">
        <v>-3.2553669999999999E-3</v>
      </c>
      <c r="AE7058">
        <v>4.7836299999999998E-2</v>
      </c>
      <c r="AF7058">
        <v>6.0619183700955002E-2</v>
      </c>
      <c r="AG7058">
        <v>-3.2553669999999999E-3</v>
      </c>
      <c r="AH7058">
        <v>3.0005894604810401</v>
      </c>
      <c r="AI7058">
        <v>90.062148010627197</v>
      </c>
      <c r="AJ7058">
        <v>88.842643744875701</v>
      </c>
      <c r="AK7058">
        <v>3.0012034908011098</v>
      </c>
      <c r="AL7058">
        <v>88.076137331953205</v>
      </c>
      <c r="AM7058">
        <v>89.784627941401496</v>
      </c>
      <c r="AN7058">
        <v>1.00000004016865</v>
      </c>
    </row>
    <row r="7059" spans="1:40" x14ac:dyDescent="0.25">
      <c r="A7059" t="str">
        <f>"20190312150830747"</f>
        <v>20190312150830747</v>
      </c>
      <c r="B7059" t="str">
        <f>"1552374510737024"</f>
        <v>1552374510737024</v>
      </c>
      <c r="C7059" t="s">
        <v>40</v>
      </c>
      <c r="D7059">
        <v>4.0549799999999996</v>
      </c>
      <c r="E7059">
        <v>0.50647189999999997</v>
      </c>
      <c r="F7059" t="s">
        <v>48</v>
      </c>
      <c r="G7059">
        <v>0</v>
      </c>
      <c r="H7059">
        <v>0</v>
      </c>
      <c r="I7059">
        <v>0</v>
      </c>
      <c r="J7059">
        <v>-281.41989999999998</v>
      </c>
      <c r="K7059">
        <v>1.109964</v>
      </c>
      <c r="L7059">
        <v>140.9417</v>
      </c>
      <c r="M7059">
        <v>-0.99992749999999997</v>
      </c>
      <c r="N7059">
        <v>0</v>
      </c>
      <c r="O7059">
        <v>-4.1699570000000002E-3</v>
      </c>
      <c r="P7059">
        <v>-0.99974300000000005</v>
      </c>
      <c r="Q7059">
        <v>2.2665879999999999E-2</v>
      </c>
      <c r="R7059">
        <v>-3.0349309999999998E-4</v>
      </c>
      <c r="S7059">
        <v>-3.0008539999999999</v>
      </c>
      <c r="T7059">
        <v>-3.4521819999999998E-3</v>
      </c>
      <c r="U7059">
        <v>4.7821040000000002E-2</v>
      </c>
      <c r="V7059">
        <v>3.8726680000000001E-3</v>
      </c>
      <c r="W7059">
        <v>3.3962220000000001E-2</v>
      </c>
      <c r="X7059">
        <v>0.99941559999999896</v>
      </c>
      <c r="Y7059">
        <v>2.0103329999999999E-2</v>
      </c>
      <c r="Z7059" s="1">
        <v>1.63598399999999E-5</v>
      </c>
      <c r="AA7059">
        <v>0.99979790000000002</v>
      </c>
      <c r="AB7059">
        <v>31</v>
      </c>
      <c r="AC7059">
        <v>-3.0008539999999999</v>
      </c>
      <c r="AD7059">
        <v>-3.4521819999999998E-3</v>
      </c>
      <c r="AE7059">
        <v>4.7821040000000002E-2</v>
      </c>
      <c r="AF7059">
        <v>6.0334774963572799E-2</v>
      </c>
      <c r="AG7059">
        <v>-3.4521819999999998E-3</v>
      </c>
      <c r="AH7059">
        <v>3.0006245118373198</v>
      </c>
      <c r="AI7059">
        <v>90.065904746733594</v>
      </c>
      <c r="AJ7059">
        <v>88.848085731813498</v>
      </c>
      <c r="AK7059">
        <v>3.00123302388692</v>
      </c>
      <c r="AL7059">
        <v>88.053733833249794</v>
      </c>
      <c r="AM7059">
        <v>89.777983832440896</v>
      </c>
      <c r="AN7059">
        <v>0.99999998573406301</v>
      </c>
    </row>
    <row r="7060" spans="1:40" x14ac:dyDescent="0.25">
      <c r="A7060" t="str">
        <f>"20190312150830769"</f>
        <v>20190312150830769</v>
      </c>
      <c r="B7060" t="str">
        <f>"1552374510756545"</f>
        <v>1552374510756545</v>
      </c>
      <c r="C7060" t="s">
        <v>40</v>
      </c>
      <c r="D7060">
        <v>4.0835059999999999</v>
      </c>
      <c r="E7060">
        <v>0.50654290000000002</v>
      </c>
      <c r="F7060" t="s">
        <v>48</v>
      </c>
      <c r="G7060">
        <v>0</v>
      </c>
      <c r="H7060">
        <v>0</v>
      </c>
      <c r="I7060">
        <v>0</v>
      </c>
      <c r="J7060">
        <v>-281.71550000000002</v>
      </c>
      <c r="K7060">
        <v>1.1099589999999999</v>
      </c>
      <c r="L7060">
        <v>140.94059999999999</v>
      </c>
      <c r="M7060">
        <v>-0.99992760000000003</v>
      </c>
      <c r="N7060">
        <v>0</v>
      </c>
      <c r="O7060">
        <v>-4.079035E-3</v>
      </c>
      <c r="P7060">
        <v>-0.99973049999999997</v>
      </c>
      <c r="Q7060">
        <v>2.3216790000000001E-2</v>
      </c>
      <c r="R7060">
        <v>4.4268729999999998E-4</v>
      </c>
      <c r="S7060">
        <v>-3.0008849999999998</v>
      </c>
      <c r="T7060">
        <v>-1.7608400000000001E-3</v>
      </c>
      <c r="U7060">
        <v>4.8721309999999997E-2</v>
      </c>
      <c r="V7060">
        <v>4.5285430000000003E-3</v>
      </c>
      <c r="W7060">
        <v>3.453266E-2</v>
      </c>
      <c r="X7060">
        <v>0.99939330000000004</v>
      </c>
      <c r="Y7060">
        <v>2.0312130000000001E-2</v>
      </c>
      <c r="Z7060" s="1">
        <v>8.3523990000000005E-6</v>
      </c>
      <c r="AA7060">
        <v>0.99979370000000001</v>
      </c>
      <c r="AB7060">
        <v>31</v>
      </c>
      <c r="AC7060">
        <v>-3.0008849999999998</v>
      </c>
      <c r="AD7060">
        <v>-1.7608400000000001E-3</v>
      </c>
      <c r="AE7060">
        <v>4.8721309999999997E-2</v>
      </c>
      <c r="AF7060">
        <v>6.0962383020267998E-2</v>
      </c>
      <c r="AG7060">
        <v>-1.7608400000000001E-3</v>
      </c>
      <c r="AH7060">
        <v>3.0006602500146098</v>
      </c>
      <c r="AI7060">
        <v>90.033615226585894</v>
      </c>
      <c r="AJ7060">
        <v>88.836120547623395</v>
      </c>
      <c r="AK7060">
        <v>3.0012799683999498</v>
      </c>
      <c r="AL7060">
        <v>88.021030852622303</v>
      </c>
      <c r="AM7060">
        <v>89.740377861824001</v>
      </c>
      <c r="AN7060">
        <v>0.99999999019663399</v>
      </c>
    </row>
    <row r="7061" spans="1:40" x14ac:dyDescent="0.25">
      <c r="A7061" t="str">
        <f>"20190312150830790"</f>
        <v>20190312150830790</v>
      </c>
      <c r="B7061" t="str">
        <f>"1552374510786801"</f>
        <v>1552374510786801</v>
      </c>
      <c r="C7061" t="s">
        <v>40</v>
      </c>
      <c r="D7061">
        <v>4.054513</v>
      </c>
      <c r="E7061">
        <v>0.50663579999999997</v>
      </c>
      <c r="F7061" t="s">
        <v>48</v>
      </c>
      <c r="G7061">
        <v>0</v>
      </c>
      <c r="H7061">
        <v>0</v>
      </c>
      <c r="I7061">
        <v>0</v>
      </c>
      <c r="J7061">
        <v>-282.02159999999998</v>
      </c>
      <c r="K7061">
        <v>1.1099559999999999</v>
      </c>
      <c r="L7061">
        <v>140.93950000000001</v>
      </c>
      <c r="M7061">
        <v>-0.99992780000000003</v>
      </c>
      <c r="N7061">
        <v>0</v>
      </c>
      <c r="O7061">
        <v>-3.9783589999999999E-3</v>
      </c>
      <c r="P7061">
        <v>-0.99973480000000003</v>
      </c>
      <c r="Q7061">
        <v>2.302297E-2</v>
      </c>
      <c r="R7061">
        <v>7.9662089999999895E-4</v>
      </c>
      <c r="S7061">
        <v>-3.0008539999999999</v>
      </c>
      <c r="T7061">
        <v>-8.2850459999999997E-4</v>
      </c>
      <c r="U7061">
        <v>5.1452640000000001E-2</v>
      </c>
      <c r="V7061">
        <v>4.7823429999999997E-3</v>
      </c>
      <c r="W7061">
        <v>3.4361580000000003E-2</v>
      </c>
      <c r="X7061">
        <v>0.99939809999999996</v>
      </c>
      <c r="Y7061">
        <v>2.112137E-2</v>
      </c>
      <c r="Z7061" s="1">
        <v>4.0138609999999998E-6</v>
      </c>
      <c r="AA7061">
        <v>0.99977689999999997</v>
      </c>
      <c r="AB7061">
        <v>31</v>
      </c>
      <c r="AC7061">
        <v>-3.0008539999999999</v>
      </c>
      <c r="AD7061">
        <v>-8.2850459999999997E-4</v>
      </c>
      <c r="AE7061">
        <v>5.1452640000000001E-2</v>
      </c>
      <c r="AF7061">
        <v>6.3391469978374596E-2</v>
      </c>
      <c r="AG7061">
        <v>-8.2850459999999997E-4</v>
      </c>
      <c r="AH7061">
        <v>3.0006253101934202</v>
      </c>
      <c r="AI7061">
        <v>90.015816445292799</v>
      </c>
      <c r="AJ7061">
        <v>88.789744432523605</v>
      </c>
      <c r="AK7061">
        <v>3.0012949566910598</v>
      </c>
      <c r="AL7061">
        <v>88.030839003819594</v>
      </c>
      <c r="AM7061">
        <v>89.725828997806303</v>
      </c>
      <c r="AN7061">
        <v>1.0000000756341301</v>
      </c>
    </row>
    <row r="7062" spans="1:40" x14ac:dyDescent="0.25">
      <c r="A7062" t="str">
        <f>"20190312150830814"</f>
        <v>20190312150830814</v>
      </c>
      <c r="B7062" t="str">
        <f>"1552374510807297"</f>
        <v>1552374510807297</v>
      </c>
      <c r="C7062" t="s">
        <v>40</v>
      </c>
      <c r="D7062">
        <v>4.0439429999999996</v>
      </c>
      <c r="E7062">
        <v>0.50663440000000004</v>
      </c>
      <c r="F7062" t="s">
        <v>48</v>
      </c>
      <c r="G7062">
        <v>0</v>
      </c>
      <c r="H7062">
        <v>0</v>
      </c>
      <c r="I7062">
        <v>0</v>
      </c>
      <c r="J7062">
        <v>-282.33749999999998</v>
      </c>
      <c r="K7062">
        <v>1.109953</v>
      </c>
      <c r="L7062">
        <v>140.9383</v>
      </c>
      <c r="M7062">
        <v>-0.99992780000000003</v>
      </c>
      <c r="N7062">
        <v>0</v>
      </c>
      <c r="O7062">
        <v>-3.869838E-3</v>
      </c>
      <c r="P7062">
        <v>-0.99973290000000004</v>
      </c>
      <c r="Q7062">
        <v>2.307E-2</v>
      </c>
      <c r="R7062">
        <v>1.3750209999999999E-3</v>
      </c>
      <c r="S7062">
        <v>-3.0008240000000002</v>
      </c>
      <c r="T7062">
        <v>-2.0334720000000001E-3</v>
      </c>
      <c r="U7062">
        <v>5.3237920000000001E-2</v>
      </c>
      <c r="V7062">
        <v>5.2523839999999997E-3</v>
      </c>
      <c r="W7062">
        <v>3.4432579999999997E-2</v>
      </c>
      <c r="X7062">
        <v>0.99939319999999998</v>
      </c>
      <c r="Y7062">
        <v>2.1607649999999999E-2</v>
      </c>
      <c r="Z7062" s="1">
        <v>9.9428340000000004E-6</v>
      </c>
      <c r="AA7062">
        <v>0.9997665</v>
      </c>
      <c r="AB7062">
        <v>31</v>
      </c>
      <c r="AC7062">
        <v>-3.0008240000000002</v>
      </c>
      <c r="AD7062">
        <v>-2.0334720000000001E-3</v>
      </c>
      <c r="AE7062">
        <v>5.3237920000000001E-2</v>
      </c>
      <c r="AF7062">
        <v>6.4850945813513597E-2</v>
      </c>
      <c r="AG7062">
        <v>-2.0334720000000001E-3</v>
      </c>
      <c r="AH7062">
        <v>3.0005941144909798</v>
      </c>
      <c r="AI7062">
        <v>90.038819693480704</v>
      </c>
      <c r="AJ7062">
        <v>88.761876158635602</v>
      </c>
      <c r="AK7062">
        <v>3.0012955236196301</v>
      </c>
      <c r="AL7062">
        <v>88.026768404646504</v>
      </c>
      <c r="AM7062">
        <v>89.698880615883994</v>
      </c>
      <c r="AN7062">
        <v>0.99999997915468897</v>
      </c>
    </row>
    <row r="7063" spans="1:40" x14ac:dyDescent="0.25">
      <c r="A7063" t="str">
        <f>"20190312150830835"</f>
        <v>20190312150830835</v>
      </c>
      <c r="B7063" t="str">
        <f>"1552374510826817"</f>
        <v>1552374510826817</v>
      </c>
      <c r="C7063" t="s">
        <v>40</v>
      </c>
      <c r="D7063">
        <v>4.0512009999999998</v>
      </c>
      <c r="E7063">
        <v>0.50669439999999999</v>
      </c>
      <c r="F7063" t="s">
        <v>48</v>
      </c>
      <c r="G7063">
        <v>0</v>
      </c>
      <c r="H7063">
        <v>0</v>
      </c>
      <c r="I7063">
        <v>0</v>
      </c>
      <c r="J7063">
        <v>-282.6454</v>
      </c>
      <c r="K7063">
        <v>1.109955</v>
      </c>
      <c r="L7063">
        <v>140.93719999999999</v>
      </c>
      <c r="M7063">
        <v>-0.99992809999999999</v>
      </c>
      <c r="N7063">
        <v>0</v>
      </c>
      <c r="O7063">
        <v>-3.7613289999999999E-3</v>
      </c>
      <c r="P7063">
        <v>-0.9997296</v>
      </c>
      <c r="Q7063">
        <v>2.3152740000000002E-2</v>
      </c>
      <c r="R7063">
        <v>2.183979E-3</v>
      </c>
      <c r="S7063">
        <v>-3.0007630000000001</v>
      </c>
      <c r="T7063">
        <v>-1.32978E-3</v>
      </c>
      <c r="U7063">
        <v>5.5084229999999998E-2</v>
      </c>
      <c r="V7063">
        <v>5.9531819999999996E-3</v>
      </c>
      <c r="W7063">
        <v>3.4538850000000003E-2</v>
      </c>
      <c r="X7063">
        <v>0.99938559999999999</v>
      </c>
      <c r="Y7063">
        <v>2.2114459999999999E-2</v>
      </c>
      <c r="Z7063" s="1">
        <v>6.5663680000000003E-6</v>
      </c>
      <c r="AA7063">
        <v>0.99975539999999996</v>
      </c>
      <c r="AB7063">
        <v>31</v>
      </c>
      <c r="AC7063">
        <v>-3.0007630000000001</v>
      </c>
      <c r="AD7063">
        <v>-1.32978E-3</v>
      </c>
      <c r="AE7063">
        <v>5.5084229999999998E-2</v>
      </c>
      <c r="AF7063">
        <v>6.6371415883858004E-2</v>
      </c>
      <c r="AG7063">
        <v>-1.32978E-3</v>
      </c>
      <c r="AH7063">
        <v>3.0005339779926801</v>
      </c>
      <c r="AI7063">
        <v>90.025386196074805</v>
      </c>
      <c r="AJ7063">
        <v>88.732831556701896</v>
      </c>
      <c r="AK7063">
        <v>3.0012682463001998</v>
      </c>
      <c r="AL7063">
        <v>88.020675949980301</v>
      </c>
      <c r="AM7063">
        <v>89.658702137668797</v>
      </c>
      <c r="AN7063">
        <v>0.999999975011303</v>
      </c>
    </row>
    <row r="7064" spans="1:40" x14ac:dyDescent="0.25">
      <c r="A7064" t="str">
        <f>"20190312150830858"</f>
        <v>20190312150830858</v>
      </c>
      <c r="B7064" t="str">
        <f>"1552374510847313"</f>
        <v>1552374510847313</v>
      </c>
      <c r="C7064" t="s">
        <v>40</v>
      </c>
      <c r="D7064">
        <v>4.0472960000000002</v>
      </c>
      <c r="E7064">
        <v>0.50673029999999997</v>
      </c>
      <c r="F7064" t="s">
        <v>48</v>
      </c>
      <c r="G7064">
        <v>0</v>
      </c>
      <c r="H7064">
        <v>0</v>
      </c>
      <c r="I7064">
        <v>0</v>
      </c>
      <c r="J7064">
        <v>-282.94779999999997</v>
      </c>
      <c r="K7064">
        <v>1.1099570000000001</v>
      </c>
      <c r="L7064">
        <v>140.93620000000001</v>
      </c>
      <c r="M7064">
        <v>-0.99992820000000004</v>
      </c>
      <c r="N7064">
        <v>0</v>
      </c>
      <c r="O7064">
        <v>-3.6533030000000001E-3</v>
      </c>
      <c r="P7064">
        <v>-0.99972729999999999</v>
      </c>
      <c r="Q7064">
        <v>2.317313E-2</v>
      </c>
      <c r="R7064">
        <v>2.9084940000000002E-3</v>
      </c>
      <c r="S7064">
        <v>-3.000702</v>
      </c>
      <c r="T7064">
        <v>-1.322269E-3</v>
      </c>
      <c r="U7064">
        <v>5.7952879999999998E-2</v>
      </c>
      <c r="V7064">
        <v>6.569905E-3</v>
      </c>
      <c r="W7064">
        <v>3.4580800000000002E-2</v>
      </c>
      <c r="X7064">
        <v>0.9993803</v>
      </c>
      <c r="Y7064">
        <v>2.2962239999999998E-2</v>
      </c>
      <c r="Z7064" s="1">
        <v>6.6685300000000002E-6</v>
      </c>
      <c r="AA7064">
        <v>0.99973630000000002</v>
      </c>
      <c r="AB7064">
        <v>31</v>
      </c>
      <c r="AC7064">
        <v>-3.000702</v>
      </c>
      <c r="AD7064">
        <v>-1.322269E-3</v>
      </c>
      <c r="AE7064">
        <v>5.7952879999999998E-2</v>
      </c>
      <c r="AF7064">
        <v>6.8915667443789796E-2</v>
      </c>
      <c r="AG7064">
        <v>-1.322269E-3</v>
      </c>
      <c r="AH7064">
        <v>3.0004696570862799</v>
      </c>
      <c r="AI7064">
        <v>90.025242865722802</v>
      </c>
      <c r="AJ7064">
        <v>88.684245064817901</v>
      </c>
      <c r="AK7064">
        <v>3.0012612816464301</v>
      </c>
      <c r="AL7064">
        <v>88.018270984428696</v>
      </c>
      <c r="AM7064">
        <v>89.623344180664901</v>
      </c>
      <c r="AN7064">
        <v>0.99999998970421899</v>
      </c>
    </row>
    <row r="7065" spans="1:40" x14ac:dyDescent="0.25">
      <c r="A7065" t="str">
        <f>"20190312150830880"</f>
        <v>20190312150830880</v>
      </c>
      <c r="B7065" t="str">
        <f>"1552374510876593"</f>
        <v>1552374510876593</v>
      </c>
      <c r="C7065" t="s">
        <v>40</v>
      </c>
      <c r="D7065">
        <v>4.0913570000000004</v>
      </c>
      <c r="E7065">
        <v>0.52295879999999995</v>
      </c>
      <c r="F7065" t="s">
        <v>48</v>
      </c>
      <c r="G7065">
        <v>0</v>
      </c>
      <c r="H7065">
        <v>0</v>
      </c>
      <c r="I7065">
        <v>0</v>
      </c>
      <c r="J7065">
        <v>-283.25490000000002</v>
      </c>
      <c r="K7065">
        <v>1.1099589999999999</v>
      </c>
      <c r="L7065">
        <v>140.93520000000001</v>
      </c>
      <c r="M7065">
        <v>-0.99992840000000005</v>
      </c>
      <c r="N7065">
        <v>0</v>
      </c>
      <c r="O7065">
        <v>-3.5426709999999998E-3</v>
      </c>
      <c r="P7065">
        <v>-0.99971469999999996</v>
      </c>
      <c r="Q7065">
        <v>2.3659409999999999E-2</v>
      </c>
      <c r="R7065">
        <v>3.325251E-3</v>
      </c>
      <c r="S7065">
        <v>-3.0006710000000001</v>
      </c>
      <c r="T7065">
        <v>-1.371026E-3</v>
      </c>
      <c r="U7065">
        <v>6.0348510000000001E-2</v>
      </c>
      <c r="V7065">
        <v>6.8761660000000004E-3</v>
      </c>
      <c r="W7065">
        <v>3.5089750000000003E-2</v>
      </c>
      <c r="X7065">
        <v>0.99936049999999998</v>
      </c>
      <c r="Y7065">
        <v>2.3649659999999999E-2</v>
      </c>
      <c r="Z7065" s="1">
        <v>7.0209180000000001E-6</v>
      </c>
      <c r="AA7065">
        <v>0.99972030000000001</v>
      </c>
      <c r="AB7065">
        <v>31</v>
      </c>
      <c r="AC7065">
        <v>-3.0006710000000001</v>
      </c>
      <c r="AD7065">
        <v>-1.371026E-3</v>
      </c>
      <c r="AE7065">
        <v>6.0348510000000001E-2</v>
      </c>
      <c r="AF7065">
        <v>7.0979201035450107E-2</v>
      </c>
      <c r="AG7065">
        <v>-1.371026E-3</v>
      </c>
      <c r="AH7065">
        <v>3.0004377324812399</v>
      </c>
      <c r="AI7065">
        <v>90.026173523325596</v>
      </c>
      <c r="AJ7065">
        <v>88.644847636363394</v>
      </c>
      <c r="AK7065">
        <v>3.0012774802055699</v>
      </c>
      <c r="AL7065">
        <v>87.989092589291005</v>
      </c>
      <c r="AM7065">
        <v>89.605778821566105</v>
      </c>
      <c r="AN7065">
        <v>0.999999990587086</v>
      </c>
    </row>
    <row r="7066" spans="1:40" x14ac:dyDescent="0.25">
      <c r="A7066" t="str">
        <f>"20190312150830902"</f>
        <v>20190312150830902</v>
      </c>
      <c r="B7066" t="str">
        <f>"1552374510897089"</f>
        <v>1552374510897089</v>
      </c>
      <c r="C7066" t="s">
        <v>40</v>
      </c>
      <c r="D7066">
        <v>4.0762349999999996</v>
      </c>
      <c r="E7066">
        <v>0.52273849999999999</v>
      </c>
      <c r="F7066" t="s">
        <v>77</v>
      </c>
      <c r="G7066">
        <v>-318.2328</v>
      </c>
      <c r="H7066" s="1">
        <v>-7.0795609999999999E-6</v>
      </c>
      <c r="I7066">
        <v>143.13040000000001</v>
      </c>
      <c r="J7066">
        <v>-283.56810000000002</v>
      </c>
      <c r="K7066">
        <v>1.1099680000000001</v>
      </c>
      <c r="L7066">
        <v>140.9342</v>
      </c>
      <c r="M7066">
        <v>-0.99992859999999995</v>
      </c>
      <c r="N7066">
        <v>0</v>
      </c>
      <c r="O7066">
        <v>-3.4299109999999999E-3</v>
      </c>
      <c r="P7066">
        <v>-0.99971120000000002</v>
      </c>
      <c r="Q7066">
        <v>2.373983E-2</v>
      </c>
      <c r="R7066">
        <v>3.7961190000000001E-3</v>
      </c>
      <c r="S7066">
        <v>-3.002472</v>
      </c>
      <c r="T7066">
        <v>-9.5278619999999994E-2</v>
      </c>
      <c r="U7066">
        <v>0.18843080000000001</v>
      </c>
      <c r="V7066">
        <v>7.2344499999999999E-3</v>
      </c>
      <c r="W7066">
        <v>3.519506E-2</v>
      </c>
      <c r="X7066">
        <v>0.99935430000000003</v>
      </c>
      <c r="Y7066">
        <v>6.6023540000000006E-2</v>
      </c>
      <c r="Z7066">
        <v>1.155002E-3</v>
      </c>
      <c r="AA7066">
        <v>0.99781739999999997</v>
      </c>
      <c r="AB7066">
        <v>31</v>
      </c>
      <c r="AC7066">
        <v>-34.664699999999897</v>
      </c>
      <c r="AD7066">
        <v>-1.1099750795609999</v>
      </c>
      <c r="AE7066">
        <v>2.1962000000000002</v>
      </c>
      <c r="AF7066">
        <v>2.3127299406892301</v>
      </c>
      <c r="AG7066">
        <v>-1.1099750795609999</v>
      </c>
      <c r="AH7066">
        <v>34.621607137235799</v>
      </c>
      <c r="AI7066">
        <v>91.832203688279094</v>
      </c>
      <c r="AJ7066">
        <v>86.178308751191494</v>
      </c>
      <c r="AK7066">
        <v>34.716515453324298</v>
      </c>
      <c r="AL7066">
        <v>87.983055107237305</v>
      </c>
      <c r="AM7066">
        <v>89.585235975216605</v>
      </c>
      <c r="AN7066">
        <v>1.00000002322184</v>
      </c>
    </row>
    <row r="7067" spans="1:40" x14ac:dyDescent="0.25">
      <c r="A7067" t="str">
        <f>"20190312150830925"</f>
        <v>20190312150830925</v>
      </c>
      <c r="B7067" t="str">
        <f>"1552374510916609"</f>
        <v>1552374510916609</v>
      </c>
      <c r="C7067" t="s">
        <v>40</v>
      </c>
      <c r="D7067">
        <v>4.0905259999999997</v>
      </c>
      <c r="E7067">
        <v>0.52262439999999999</v>
      </c>
      <c r="F7067" t="s">
        <v>77</v>
      </c>
      <c r="G7067">
        <v>-317.04070000000002</v>
      </c>
      <c r="H7067" s="1">
        <v>-7.5812789999999998E-6</v>
      </c>
      <c r="I7067">
        <v>143.0284</v>
      </c>
      <c r="J7067">
        <v>-283.87959999999998</v>
      </c>
      <c r="K7067">
        <v>1.109969</v>
      </c>
      <c r="L7067">
        <v>140.9333</v>
      </c>
      <c r="M7067">
        <v>-0.99992859999999995</v>
      </c>
      <c r="N7067">
        <v>0</v>
      </c>
      <c r="O7067">
        <v>-3.3175129999999998E-3</v>
      </c>
      <c r="P7067">
        <v>-0.99969319999999895</v>
      </c>
      <c r="Q7067">
        <v>2.442838E-2</v>
      </c>
      <c r="R7067">
        <v>4.1392490000000002E-3</v>
      </c>
      <c r="S7067">
        <v>-3.0025330000000001</v>
      </c>
      <c r="T7067">
        <v>-9.9566219999999997E-2</v>
      </c>
      <c r="U7067">
        <v>0.18785099999999999</v>
      </c>
      <c r="V7067">
        <v>7.4654509999999997E-3</v>
      </c>
      <c r="W7067">
        <v>3.5909389999999999E-2</v>
      </c>
      <c r="X7067">
        <v>0.99932719999999997</v>
      </c>
      <c r="Y7067">
        <v>6.5715190000000007E-2</v>
      </c>
      <c r="Z7067">
        <v>1.1981030000000001E-3</v>
      </c>
      <c r="AA7067">
        <v>0.99783770000000005</v>
      </c>
      <c r="AB7067">
        <v>31</v>
      </c>
      <c r="AC7067">
        <v>-33.161099999999998</v>
      </c>
      <c r="AD7067">
        <v>-1.1099765812789999</v>
      </c>
      <c r="AE7067">
        <v>2.0951</v>
      </c>
      <c r="AF7067">
        <v>2.2026500807727598</v>
      </c>
      <c r="AG7067">
        <v>-1.1099765812789999</v>
      </c>
      <c r="AH7067">
        <v>33.117010015322599</v>
      </c>
      <c r="AI7067">
        <v>91.915424400368195</v>
      </c>
      <c r="AJ7067">
        <v>86.194796864570506</v>
      </c>
      <c r="AK7067">
        <v>33.208734810954397</v>
      </c>
      <c r="AL7067">
        <v>87.942101146992201</v>
      </c>
      <c r="AM7067">
        <v>89.571981151277399</v>
      </c>
      <c r="AN7067">
        <v>1.0000000349543201</v>
      </c>
    </row>
    <row r="7068" spans="1:40" x14ac:dyDescent="0.25">
      <c r="A7068" t="str">
        <f>"20190312150830947"</f>
        <v>20190312150830947</v>
      </c>
      <c r="B7068" t="str">
        <f>"1552374510937106"</f>
        <v>1552374510937106</v>
      </c>
      <c r="C7068" t="s">
        <v>40</v>
      </c>
      <c r="D7068">
        <v>4.0180530000000001</v>
      </c>
      <c r="E7068">
        <v>0.5226885</v>
      </c>
      <c r="F7068" t="s">
        <v>77</v>
      </c>
      <c r="G7068">
        <v>-318.46300000000002</v>
      </c>
      <c r="H7068" s="1">
        <v>-6.9695790000000002E-6</v>
      </c>
      <c r="I7068">
        <v>143.10040000000001</v>
      </c>
      <c r="J7068">
        <v>-284.1936</v>
      </c>
      <c r="K7068">
        <v>1.109974</v>
      </c>
      <c r="L7068">
        <v>140.9324</v>
      </c>
      <c r="M7068">
        <v>-0.9999287</v>
      </c>
      <c r="N7068">
        <v>0</v>
      </c>
      <c r="O7068">
        <v>-3.2046539999999999E-3</v>
      </c>
      <c r="P7068">
        <v>-0.99968619999999997</v>
      </c>
      <c r="Q7068">
        <v>2.4699789999999999E-2</v>
      </c>
      <c r="R7068">
        <v>4.2128230000000001E-3</v>
      </c>
      <c r="S7068">
        <v>-3.0025629999999999</v>
      </c>
      <c r="T7068">
        <v>-9.6369270000000007E-2</v>
      </c>
      <c r="U7068">
        <v>0.18815609999999999</v>
      </c>
      <c r="V7068">
        <v>7.426279E-3</v>
      </c>
      <c r="W7068">
        <v>3.6209600000000002E-2</v>
      </c>
      <c r="X7068">
        <v>0.9993166</v>
      </c>
      <c r="Y7068">
        <v>6.5705410000000006E-2</v>
      </c>
      <c r="Z7068">
        <v>1.155863E-3</v>
      </c>
      <c r="AA7068">
        <v>0.99783840000000001</v>
      </c>
      <c r="AB7068">
        <v>31</v>
      </c>
      <c r="AC7068">
        <v>-34.269399999999898</v>
      </c>
      <c r="AD7068">
        <v>-1.1099809695789999</v>
      </c>
      <c r="AE7068">
        <v>2.1680000000000001</v>
      </c>
      <c r="AF7068">
        <v>2.2754400479828201</v>
      </c>
      <c r="AG7068">
        <v>-1.1099809695789999</v>
      </c>
      <c r="AH7068">
        <v>34.226511862542601</v>
      </c>
      <c r="AI7068">
        <v>91.853388099004206</v>
      </c>
      <c r="AJ7068">
        <v>86.196470621076898</v>
      </c>
      <c r="AK7068">
        <v>34.320020388128498</v>
      </c>
      <c r="AL7068">
        <v>87.924889065065898</v>
      </c>
      <c r="AM7068">
        <v>89.5742224118043</v>
      </c>
      <c r="AN7068">
        <v>0.999999975893752</v>
      </c>
    </row>
    <row r="7069" spans="1:40" x14ac:dyDescent="0.25">
      <c r="A7069" t="str">
        <f>"20190312150830971"</f>
        <v>20190312150830971</v>
      </c>
      <c r="B7069" t="str">
        <f>"1552374510967361"</f>
        <v>1552374510967361</v>
      </c>
      <c r="C7069" t="s">
        <v>40</v>
      </c>
      <c r="D7069">
        <v>4.0060960000000003</v>
      </c>
      <c r="E7069">
        <v>0.52333390000000002</v>
      </c>
      <c r="F7069" t="s">
        <v>42</v>
      </c>
      <c r="G7069">
        <v>-325.48419999999999</v>
      </c>
      <c r="H7069" s="1">
        <v>-2.9624269999999999E-6</v>
      </c>
      <c r="I7069">
        <v>143.53569999999999</v>
      </c>
      <c r="J7069">
        <v>-284.50439999999998</v>
      </c>
      <c r="K7069">
        <v>1.10998</v>
      </c>
      <c r="L7069">
        <v>140.9315</v>
      </c>
      <c r="M7069">
        <v>-0.9999285</v>
      </c>
      <c r="N7069">
        <v>0</v>
      </c>
      <c r="O7069">
        <v>-3.0929989999999999E-3</v>
      </c>
      <c r="P7069">
        <v>-0.99966719999999998</v>
      </c>
      <c r="Q7069">
        <v>2.534691E-2</v>
      </c>
      <c r="R7069">
        <v>4.8113210000000003E-3</v>
      </c>
      <c r="S7069">
        <v>-3.0021360000000001</v>
      </c>
      <c r="T7069">
        <v>-8.0703849999999994E-2</v>
      </c>
      <c r="U7069">
        <v>0.18928529999999999</v>
      </c>
      <c r="V7069">
        <v>7.9134549999999998E-3</v>
      </c>
      <c r="W7069">
        <v>3.6886259999999997E-2</v>
      </c>
      <c r="X7069">
        <v>0.99928810000000001</v>
      </c>
      <c r="Y7069">
        <v>6.5987180000000006E-2</v>
      </c>
      <c r="Z7069">
        <v>9.6895550000000003E-4</v>
      </c>
      <c r="AA7069">
        <v>0.99782000000000004</v>
      </c>
      <c r="AB7069">
        <v>31</v>
      </c>
      <c r="AC7069">
        <v>-40.979799999999997</v>
      </c>
      <c r="AD7069">
        <v>-1.1099829624269999</v>
      </c>
      <c r="AE7069">
        <v>2.6041999999999899</v>
      </c>
      <c r="AF7069">
        <v>2.7289524171688302</v>
      </c>
      <c r="AG7069">
        <v>-1.1099829624269999</v>
      </c>
      <c r="AH7069">
        <v>40.941632334673201</v>
      </c>
      <c r="AI7069">
        <v>91.549548856380298</v>
      </c>
      <c r="AJ7069">
        <v>86.186607498319901</v>
      </c>
      <c r="AK7069">
        <v>41.047490808813201</v>
      </c>
      <c r="AL7069">
        <v>87.8860933543382</v>
      </c>
      <c r="AM7069">
        <v>89.546278900762204</v>
      </c>
      <c r="AN7069">
        <v>0.999999962874216</v>
      </c>
    </row>
    <row r="7070" spans="1:40" x14ac:dyDescent="0.25">
      <c r="A7070" t="str">
        <f>"20190312150830993"</f>
        <v>20190312150830993</v>
      </c>
      <c r="B7070" t="str">
        <f>"1552374510986881"</f>
        <v>1552374510986881</v>
      </c>
      <c r="C7070" t="s">
        <v>40</v>
      </c>
      <c r="D7070">
        <v>4.0279889999999998</v>
      </c>
      <c r="E7070">
        <v>0.52361309999999905</v>
      </c>
      <c r="F7070" t="s">
        <v>42</v>
      </c>
      <c r="G7070">
        <v>-348.96159999999998</v>
      </c>
      <c r="H7070" s="1">
        <v>-1.902645E-6</v>
      </c>
      <c r="I7070">
        <v>145.1593</v>
      </c>
      <c r="J7070">
        <v>-284.82080000000002</v>
      </c>
      <c r="K7070">
        <v>1.10999</v>
      </c>
      <c r="L7070">
        <v>140.9306</v>
      </c>
      <c r="M7070">
        <v>-0.9999287</v>
      </c>
      <c r="N7070">
        <v>0</v>
      </c>
      <c r="O7070">
        <v>-2.9796850000000001E-3</v>
      </c>
      <c r="P7070">
        <v>-0.9996564</v>
      </c>
      <c r="Q7070">
        <v>2.569256E-2</v>
      </c>
      <c r="R7070">
        <v>5.2305249999999998E-3</v>
      </c>
      <c r="S7070">
        <v>-3.0013730000000001</v>
      </c>
      <c r="T7070">
        <v>-5.1684979999999998E-2</v>
      </c>
      <c r="U7070">
        <v>0.19686890000000001</v>
      </c>
      <c r="V7070">
        <v>8.2195689999999995E-3</v>
      </c>
      <c r="W7070">
        <v>3.7263650000000002E-2</v>
      </c>
      <c r="X7070">
        <v>0.99927169999999998</v>
      </c>
      <c r="Y7070">
        <v>6.8414959999999997E-2</v>
      </c>
      <c r="Z7070">
        <v>6.3964950000000001E-4</v>
      </c>
      <c r="AA7070">
        <v>0.99765680000000001</v>
      </c>
      <c r="AB7070">
        <v>31</v>
      </c>
      <c r="AC7070">
        <v>-64.140799999999899</v>
      </c>
      <c r="AD7070">
        <v>-1.109991902645</v>
      </c>
      <c r="AE7070">
        <v>4.2286999999999999</v>
      </c>
      <c r="AF7070">
        <v>4.4184958502639899</v>
      </c>
      <c r="AG7070">
        <v>-1.109991902645</v>
      </c>
      <c r="AH7070">
        <v>64.108797839564801</v>
      </c>
      <c r="AI7070">
        <v>90.989583779681396</v>
      </c>
      <c r="AJ7070">
        <v>86.057304860289804</v>
      </c>
      <c r="AK7070">
        <v>64.270468708707398</v>
      </c>
      <c r="AL7070">
        <v>87.864455778502403</v>
      </c>
      <c r="AM7070">
        <v>89.528720775182407</v>
      </c>
      <c r="AN7070">
        <v>1.00000003567337</v>
      </c>
    </row>
    <row r="7071" spans="1:40" x14ac:dyDescent="0.25">
      <c r="A7071" t="str">
        <f>"20190312150831006"</f>
        <v>20190312150831006</v>
      </c>
      <c r="B7071" t="str">
        <f>"1552374510996642"</f>
        <v>1552374510996642</v>
      </c>
      <c r="C7071" t="s">
        <v>40</v>
      </c>
      <c r="D7071">
        <v>4.0480010000000002</v>
      </c>
      <c r="E7071">
        <v>0.52368099999999995</v>
      </c>
      <c r="F7071" t="s">
        <v>42</v>
      </c>
      <c r="G7071">
        <v>-370.98649999999998</v>
      </c>
      <c r="H7071" s="1">
        <v>-5.1956219999999899E-6</v>
      </c>
      <c r="I7071">
        <v>146.69309999999999</v>
      </c>
      <c r="J7071">
        <v>-285.00970000000001</v>
      </c>
      <c r="K7071">
        <v>1.1099909999999999</v>
      </c>
      <c r="L7071">
        <v>140.93010000000001</v>
      </c>
      <c r="M7071">
        <v>-0.99992859999999995</v>
      </c>
      <c r="N7071">
        <v>0</v>
      </c>
      <c r="O7071">
        <v>-2.9116089999999999E-3</v>
      </c>
      <c r="P7071">
        <v>-0.99965789999999999</v>
      </c>
      <c r="Q7071">
        <v>2.5648259999999999E-2</v>
      </c>
      <c r="R7071">
        <v>5.1367440000000004E-3</v>
      </c>
      <c r="S7071">
        <v>-3.0009769999999998</v>
      </c>
      <c r="T7071">
        <v>-3.8658860000000003E-2</v>
      </c>
      <c r="U7071">
        <v>0.20069890000000001</v>
      </c>
      <c r="V7071">
        <v>8.0575950000000007E-3</v>
      </c>
      <c r="W7071">
        <v>3.7238880000000002E-2</v>
      </c>
      <c r="X7071">
        <v>0.99927390000000005</v>
      </c>
      <c r="Y7071">
        <v>6.9627839999999996E-2</v>
      </c>
      <c r="Z7071">
        <v>4.8542479999999998E-4</v>
      </c>
      <c r="AA7071">
        <v>0.99757289999999998</v>
      </c>
      <c r="AB7071">
        <v>31</v>
      </c>
      <c r="AC7071">
        <v>-85.976799999999898</v>
      </c>
      <c r="AD7071">
        <v>-1.1099961956219999</v>
      </c>
      <c r="AE7071">
        <v>5.7629999999999697</v>
      </c>
      <c r="AF7071">
        <v>6.0123255621564597</v>
      </c>
      <c r="AG7071">
        <v>-1.1099961956219999</v>
      </c>
      <c r="AH7071">
        <v>85.945393586075198</v>
      </c>
      <c r="AI7071">
        <v>90.738137760280097</v>
      </c>
      <c r="AJ7071">
        <v>85.998382486769202</v>
      </c>
      <c r="AK7071">
        <v>86.162583694345102</v>
      </c>
      <c r="AL7071">
        <v>87.865875889774799</v>
      </c>
      <c r="AM7071">
        <v>89.538008366684707</v>
      </c>
      <c r="AN7071">
        <v>0.99999999312102394</v>
      </c>
    </row>
    <row r="7072" spans="1:40" x14ac:dyDescent="0.25">
      <c r="A7072" t="str">
        <f>"20190312150831025"</f>
        <v>20190312150831025</v>
      </c>
      <c r="B7072" t="str">
        <f>"1552374511017141"</f>
        <v>1552374511017141</v>
      </c>
      <c r="C7072" t="s">
        <v>40</v>
      </c>
      <c r="D7072">
        <v>3.9733290000000001</v>
      </c>
      <c r="E7072">
        <v>0.52393310000000004</v>
      </c>
      <c r="F7072" t="s">
        <v>42</v>
      </c>
      <c r="G7072">
        <v>-381.84410000000003</v>
      </c>
      <c r="H7072" s="1">
        <v>-5.0325999999999999E-6</v>
      </c>
      <c r="I7072">
        <v>147.41919999999999</v>
      </c>
      <c r="J7072">
        <v>-285.27080000000001</v>
      </c>
      <c r="K7072">
        <v>1.109988</v>
      </c>
      <c r="L7072">
        <v>140.92949999999999</v>
      </c>
      <c r="M7072">
        <v>-0.99992840000000005</v>
      </c>
      <c r="N7072">
        <v>0</v>
      </c>
      <c r="O7072">
        <v>-2.817595E-3</v>
      </c>
      <c r="P7072">
        <v>-0.99965440000000005</v>
      </c>
      <c r="Q7072">
        <v>2.5706759999999999E-2</v>
      </c>
      <c r="R7072">
        <v>5.5279229999999997E-3</v>
      </c>
      <c r="S7072">
        <v>-3.0008539999999999</v>
      </c>
      <c r="T7072">
        <v>-3.4398320000000003E-2</v>
      </c>
      <c r="U7072">
        <v>0.20109560000000001</v>
      </c>
      <c r="V7072">
        <v>8.3549109999999996E-3</v>
      </c>
      <c r="W7072">
        <v>3.732655E-2</v>
      </c>
      <c r="X7072">
        <v>0.99926820000000005</v>
      </c>
      <c r="Y7072">
        <v>6.966928E-2</v>
      </c>
      <c r="Z7072">
        <v>4.3110700000000002E-4</v>
      </c>
      <c r="AA7072">
        <v>0.99756999999999996</v>
      </c>
      <c r="AB7072">
        <v>31</v>
      </c>
      <c r="AC7072">
        <v>-96.573300000000003</v>
      </c>
      <c r="AD7072">
        <v>-1.1099930326</v>
      </c>
      <c r="AE7072">
        <v>6.4896999999999903</v>
      </c>
      <c r="AF7072">
        <v>6.7609079379440304</v>
      </c>
      <c r="AG7072">
        <v>-1.1099930326</v>
      </c>
      <c r="AH7072">
        <v>96.541933478623605</v>
      </c>
      <c r="AI7072">
        <v>90.657121225708195</v>
      </c>
      <c r="AJ7072">
        <v>85.994071487784296</v>
      </c>
      <c r="AK7072">
        <v>96.784745081385395</v>
      </c>
      <c r="AL7072">
        <v>87.860849300958904</v>
      </c>
      <c r="AM7072">
        <v>89.520959453977198</v>
      </c>
      <c r="AN7072">
        <v>1.00000000570198</v>
      </c>
    </row>
    <row r="7073" spans="1:40" x14ac:dyDescent="0.25">
      <c r="A7073" t="str">
        <f>"20190312150831038"</f>
        <v>20190312150831038</v>
      </c>
      <c r="B7073" t="str">
        <f>"1552374511026897"</f>
        <v>1552374511026897</v>
      </c>
      <c r="C7073" t="s">
        <v>40</v>
      </c>
      <c r="D7073">
        <v>3.9850370000000002</v>
      </c>
      <c r="E7073">
        <v>0.52400170000000001</v>
      </c>
      <c r="F7073" t="s">
        <v>77</v>
      </c>
      <c r="G7073">
        <v>-407.40879999999999</v>
      </c>
      <c r="H7073" s="1">
        <v>-1.2826659999999999E-5</v>
      </c>
      <c r="I7073">
        <v>149.25710000000001</v>
      </c>
      <c r="J7073">
        <v>-285.4547</v>
      </c>
      <c r="K7073">
        <v>1.10999</v>
      </c>
      <c r="L7073">
        <v>140.929</v>
      </c>
      <c r="M7073">
        <v>-0.99992840000000005</v>
      </c>
      <c r="N7073">
        <v>0</v>
      </c>
      <c r="O7073">
        <v>-2.7512019999999999E-3</v>
      </c>
      <c r="P7073">
        <v>-0.99966529999999998</v>
      </c>
      <c r="Q7073">
        <v>2.5251869999999999E-2</v>
      </c>
      <c r="R7073">
        <v>5.679379E-3</v>
      </c>
      <c r="S7073">
        <v>-3.0006409999999999</v>
      </c>
      <c r="T7073">
        <v>-2.7270079999999999E-2</v>
      </c>
      <c r="U7073">
        <v>0.20458979999999999</v>
      </c>
      <c r="V7073">
        <v>8.4400069999999994E-3</v>
      </c>
      <c r="W7073">
        <v>3.6893879999999997E-2</v>
      </c>
      <c r="X7073">
        <v>0.99928360000000005</v>
      </c>
      <c r="Y7073">
        <v>7.0765869999999995E-2</v>
      </c>
      <c r="Z7073">
        <v>3.4615950000000003E-4</v>
      </c>
      <c r="AA7073">
        <v>0.99749290000000002</v>
      </c>
      <c r="AB7073">
        <v>31</v>
      </c>
      <c r="AC7073">
        <v>-121.954099999999</v>
      </c>
      <c r="AD7073">
        <v>-1.1100028266599999</v>
      </c>
      <c r="AE7073">
        <v>8.3280999999999992</v>
      </c>
      <c r="AF7073">
        <v>8.6628972677797602</v>
      </c>
      <c r="AG7073">
        <v>-1.1100028266599999</v>
      </c>
      <c r="AH7073">
        <v>121.920671174155</v>
      </c>
      <c r="AI7073">
        <v>90.520312069938001</v>
      </c>
      <c r="AJ7073">
        <v>85.935761505563406</v>
      </c>
      <c r="AK7073">
        <v>122.233088625395</v>
      </c>
      <c r="AL7073">
        <v>87.885656653036506</v>
      </c>
      <c r="AM7073">
        <v>89.516088043614999</v>
      </c>
      <c r="AN7073">
        <v>1.00000005266428</v>
      </c>
    </row>
    <row r="7074" spans="1:40" x14ac:dyDescent="0.25">
      <c r="A7074" t="str">
        <f>"20190312150831059"</f>
        <v>20190312150831059</v>
      </c>
      <c r="B7074" t="str">
        <f>"1552374511057153"</f>
        <v>1552374511057153</v>
      </c>
      <c r="C7074" t="s">
        <v>40</v>
      </c>
      <c r="D7074">
        <v>4.0711930000000001</v>
      </c>
      <c r="E7074">
        <v>0.52379419999999999</v>
      </c>
      <c r="F7074" t="s">
        <v>77</v>
      </c>
      <c r="G7074">
        <v>-412.00670000000002</v>
      </c>
      <c r="H7074" s="1">
        <v>-1.408275E-5</v>
      </c>
      <c r="I7074">
        <v>149.59979999999999</v>
      </c>
      <c r="J7074">
        <v>-285.73090000000002</v>
      </c>
      <c r="K7074">
        <v>1.1099870000000001</v>
      </c>
      <c r="L7074">
        <v>140.92840000000001</v>
      </c>
      <c r="M7074">
        <v>-0.99992829999999999</v>
      </c>
      <c r="N7074">
        <v>0</v>
      </c>
      <c r="O7074">
        <v>-2.6512599999999999E-3</v>
      </c>
      <c r="P7074">
        <v>-0.99966529999999998</v>
      </c>
      <c r="Q7074">
        <v>2.517784E-2</v>
      </c>
      <c r="R7074">
        <v>5.9886879999999998E-3</v>
      </c>
      <c r="S7074">
        <v>-3.0005190000000002</v>
      </c>
      <c r="T7074">
        <v>-2.631795E-2</v>
      </c>
      <c r="U7074">
        <v>0.20558170000000001</v>
      </c>
      <c r="V7074">
        <v>8.6494559999999998E-3</v>
      </c>
      <c r="W7074">
        <v>3.68548E-2</v>
      </c>
      <c r="X7074">
        <v>0.99928320000000004</v>
      </c>
      <c r="Y7074">
        <v>7.0997290000000005E-2</v>
      </c>
      <c r="Z7074">
        <v>3.3422189999999998E-4</v>
      </c>
      <c r="AA7074">
        <v>0.99747649999999999</v>
      </c>
      <c r="AB7074">
        <v>31</v>
      </c>
      <c r="AC7074">
        <v>-126.2758</v>
      </c>
      <c r="AD7074">
        <v>-1.11000108275</v>
      </c>
      <c r="AE7074">
        <v>8.67139999999997</v>
      </c>
      <c r="AF7074">
        <v>9.0054897448962006</v>
      </c>
      <c r="AG7074">
        <v>-1.11000108275</v>
      </c>
      <c r="AH7074">
        <v>126.24265553879999</v>
      </c>
      <c r="AI7074">
        <v>90.502489041266799</v>
      </c>
      <c r="AJ7074">
        <v>85.919730875380395</v>
      </c>
      <c r="AK7074">
        <v>126.568317621106</v>
      </c>
      <c r="AL7074">
        <v>87.887897187891099</v>
      </c>
      <c r="AM7074">
        <v>89.504079576092806</v>
      </c>
      <c r="AN7074">
        <v>1.0000000015871799</v>
      </c>
    </row>
    <row r="7075" spans="1:40" x14ac:dyDescent="0.25">
      <c r="A7075" t="str">
        <f>"20190312150831072"</f>
        <v>20190312150831072</v>
      </c>
      <c r="B7075" t="str">
        <f>"1552374511066914"</f>
        <v>1552374511066914</v>
      </c>
      <c r="C7075" t="s">
        <v>40</v>
      </c>
      <c r="D7075">
        <v>4.0992329999999999</v>
      </c>
      <c r="E7075">
        <v>0.52364440000000001</v>
      </c>
      <c r="F7075" t="s">
        <v>77</v>
      </c>
      <c r="G7075">
        <v>-416.15989999999999</v>
      </c>
      <c r="H7075" s="1">
        <v>-1.3748960000000001E-5</v>
      </c>
      <c r="I7075">
        <v>149.83539999999999</v>
      </c>
      <c r="J7075">
        <v>-285.91419999999999</v>
      </c>
      <c r="K7075">
        <v>1.1099889999999999</v>
      </c>
      <c r="L7075">
        <v>140.928</v>
      </c>
      <c r="M7075">
        <v>-0.99992820000000004</v>
      </c>
      <c r="N7075">
        <v>0</v>
      </c>
      <c r="O7075">
        <v>-2.5848730000000001E-3</v>
      </c>
      <c r="P7075">
        <v>-0.99966949999999999</v>
      </c>
      <c r="Q7075">
        <v>2.5050139999999999E-2</v>
      </c>
      <c r="R7075">
        <v>5.7927229999999996E-3</v>
      </c>
      <c r="S7075">
        <v>-3.0003660000000001</v>
      </c>
      <c r="T7075">
        <v>-2.5534270000000001E-2</v>
      </c>
      <c r="U7075">
        <v>0.20489499999999999</v>
      </c>
      <c r="V7075">
        <v>8.3870779999999992E-3</v>
      </c>
      <c r="W7075">
        <v>3.6750449999999997E-2</v>
      </c>
      <c r="X7075">
        <v>0.99928930000000005</v>
      </c>
      <c r="Y7075">
        <v>7.0707489999999998E-2</v>
      </c>
      <c r="Z7075">
        <v>3.224929E-4</v>
      </c>
      <c r="AA7075">
        <v>0.99749699999999997</v>
      </c>
      <c r="AB7075">
        <v>31</v>
      </c>
      <c r="AC7075">
        <v>-130.2457</v>
      </c>
      <c r="AD7075">
        <v>-1.11000274896</v>
      </c>
      <c r="AE7075">
        <v>8.9073999999999902</v>
      </c>
      <c r="AF7075">
        <v>9.2433936505699901</v>
      </c>
      <c r="AG7075">
        <v>-1.11000274896</v>
      </c>
      <c r="AH7075">
        <v>130.21282529788101</v>
      </c>
      <c r="AI7075">
        <v>90.487181707303705</v>
      </c>
      <c r="AJ7075">
        <v>85.939566345990698</v>
      </c>
      <c r="AK7075">
        <v>130.54521172505099</v>
      </c>
      <c r="AL7075">
        <v>87.893880098291405</v>
      </c>
      <c r="AM7075">
        <v>89.5191253537498</v>
      </c>
      <c r="AN7075">
        <v>1.0000000218735301</v>
      </c>
    </row>
    <row r="7076" spans="1:40" x14ac:dyDescent="0.25">
      <c r="A7076" t="str">
        <f>"20190312150831084"</f>
        <v>20190312150831084</v>
      </c>
      <c r="B7076" t="str">
        <f>"1552374511076674"</f>
        <v>1552374511076674</v>
      </c>
      <c r="C7076" t="s">
        <v>40</v>
      </c>
      <c r="D7076">
        <v>4.095548</v>
      </c>
      <c r="E7076">
        <v>0.52364440000000001</v>
      </c>
      <c r="F7076" t="s">
        <v>77</v>
      </c>
      <c r="G7076">
        <v>-412.48939999999999</v>
      </c>
      <c r="H7076" s="1">
        <v>-1.399755E-5</v>
      </c>
      <c r="I7076">
        <v>149.4948</v>
      </c>
      <c r="J7076">
        <v>-286.08800000000002</v>
      </c>
      <c r="K7076">
        <v>1.1099909999999999</v>
      </c>
      <c r="L7076">
        <v>140.92760000000001</v>
      </c>
      <c r="M7076">
        <v>-0.99992800000000004</v>
      </c>
      <c r="N7076">
        <v>0</v>
      </c>
      <c r="O7076">
        <v>-2.5216980000000002E-3</v>
      </c>
      <c r="P7076">
        <v>-0.99966900000000003</v>
      </c>
      <c r="Q7076">
        <v>2.504994E-2</v>
      </c>
      <c r="R7076">
        <v>5.8736350000000003E-3</v>
      </c>
      <c r="S7076">
        <v>-3.0005190000000002</v>
      </c>
      <c r="T7076">
        <v>-2.6313070000000001E-2</v>
      </c>
      <c r="U7076">
        <v>0.20307919999999999</v>
      </c>
      <c r="V7076">
        <v>8.4048109999999999E-3</v>
      </c>
      <c r="W7076">
        <v>3.6772369999999999E-2</v>
      </c>
      <c r="X7076">
        <v>0.99928830000000002</v>
      </c>
      <c r="Y7076">
        <v>7.004001E-2</v>
      </c>
      <c r="Z7076">
        <v>3.2884169999999999E-4</v>
      </c>
      <c r="AA7076">
        <v>0.99754410000000004</v>
      </c>
      <c r="AB7076">
        <v>31</v>
      </c>
      <c r="AC7076">
        <v>-126.4014</v>
      </c>
      <c r="AD7076">
        <v>-1.1100049975499999</v>
      </c>
      <c r="AE7076">
        <v>8.5671999999999802</v>
      </c>
      <c r="AF7076">
        <v>8.8852587873887501</v>
      </c>
      <c r="AG7076">
        <v>-1.1100049975499999</v>
      </c>
      <c r="AH7076">
        <v>126.369692076885</v>
      </c>
      <c r="AI7076">
        <v>90.5020218893916</v>
      </c>
      <c r="AJ7076">
        <v>85.978059535682902</v>
      </c>
      <c r="AK7076">
        <v>126.686538394655</v>
      </c>
      <c r="AL7076">
        <v>87.892623231325103</v>
      </c>
      <c r="AM7076">
        <v>89.518108194646103</v>
      </c>
      <c r="AN7076">
        <v>0.99999997728012602</v>
      </c>
    </row>
    <row r="7077" spans="1:40" x14ac:dyDescent="0.25">
      <c r="A7077" t="str">
        <f>"20190312150831097"</f>
        <v>20190312150831097</v>
      </c>
      <c r="B7077" t="str">
        <f>"1552374511087410"</f>
        <v>1552374511087410</v>
      </c>
      <c r="C7077" t="s">
        <v>40</v>
      </c>
      <c r="D7077">
        <v>4.1303960000000002</v>
      </c>
      <c r="E7077">
        <v>0.50449379999999999</v>
      </c>
      <c r="F7077" t="s">
        <v>77</v>
      </c>
      <c r="G7077">
        <v>-412.5514</v>
      </c>
      <c r="H7077" s="1">
        <v>-1.3991950000000001E-5</v>
      </c>
      <c r="I7077">
        <v>149.49610000000001</v>
      </c>
      <c r="J7077">
        <v>-286.26139999999998</v>
      </c>
      <c r="K7077">
        <v>1.109998</v>
      </c>
      <c r="L7077">
        <v>140.9272</v>
      </c>
      <c r="M7077">
        <v>-0.99992789999999998</v>
      </c>
      <c r="N7077">
        <v>0</v>
      </c>
      <c r="O7077">
        <v>-2.4587569999999998E-3</v>
      </c>
      <c r="P7077">
        <v>-0.99967320000000004</v>
      </c>
      <c r="Q7077">
        <v>2.4940380000000002E-2</v>
      </c>
      <c r="R7077">
        <v>5.6155149999999997E-3</v>
      </c>
      <c r="S7077">
        <v>-3.0004270000000002</v>
      </c>
      <c r="T7077">
        <v>-2.6335600000000001E-2</v>
      </c>
      <c r="U7077">
        <v>0.2032928</v>
      </c>
      <c r="V7077">
        <v>8.0836980000000003E-3</v>
      </c>
      <c r="W7077">
        <v>3.6683260000000002E-2</v>
      </c>
      <c r="X7077">
        <v>0.99929420000000002</v>
      </c>
      <c r="Y7077">
        <v>7.0049959999999994E-2</v>
      </c>
      <c r="Z7077">
        <v>3.2862430000000001E-4</v>
      </c>
      <c r="AA7077">
        <v>0.99754350000000003</v>
      </c>
      <c r="AB7077">
        <v>31</v>
      </c>
      <c r="AC7077">
        <v>-126.29</v>
      </c>
      <c r="AD7077">
        <v>-1.11001199195</v>
      </c>
      <c r="AE7077">
        <v>8.56890000000001</v>
      </c>
      <c r="AF7077">
        <v>8.8787291989441393</v>
      </c>
      <c r="AG7077">
        <v>-1.11001199195</v>
      </c>
      <c r="AH7077">
        <v>126.258838684653</v>
      </c>
      <c r="AI7077">
        <v>90.502465448419102</v>
      </c>
      <c r="AJ7077">
        <v>85.977488446063006</v>
      </c>
      <c r="AK7077">
        <v>126.57550436323601</v>
      </c>
      <c r="AL7077">
        <v>87.897732254235393</v>
      </c>
      <c r="AM7077">
        <v>89.536521200881396</v>
      </c>
      <c r="AN7077">
        <v>0.99999995294560995</v>
      </c>
    </row>
    <row r="7078" spans="1:40" x14ac:dyDescent="0.25">
      <c r="A7078" t="str">
        <f>"20190312150831108"</f>
        <v>20190312150831108</v>
      </c>
      <c r="B7078" t="str">
        <f>"1552374511097169"</f>
        <v>1552374511097169</v>
      </c>
      <c r="C7078" t="s">
        <v>40</v>
      </c>
      <c r="D7078">
        <v>4.0871170000000001</v>
      </c>
      <c r="E7078">
        <v>0.4974615</v>
      </c>
      <c r="F7078" t="s">
        <v>48</v>
      </c>
      <c r="G7078">
        <v>0</v>
      </c>
      <c r="H7078">
        <v>0</v>
      </c>
      <c r="I7078">
        <v>0</v>
      </c>
      <c r="J7078">
        <v>-286.42540000000002</v>
      </c>
      <c r="K7078">
        <v>1.109999</v>
      </c>
      <c r="L7078">
        <v>140.92689999999999</v>
      </c>
      <c r="M7078">
        <v>-0.99992800000000004</v>
      </c>
      <c r="N7078">
        <v>0</v>
      </c>
      <c r="O7078">
        <v>-2.3993830000000002E-3</v>
      </c>
      <c r="P7078">
        <v>-0.99967830000000002</v>
      </c>
      <c r="Q7078">
        <v>2.478706E-2</v>
      </c>
      <c r="R7078">
        <v>5.4219359999999996E-3</v>
      </c>
      <c r="S7078">
        <v>-2.9994809999999998</v>
      </c>
      <c r="T7078">
        <v>4.900682E-2</v>
      </c>
      <c r="U7078">
        <v>5.186462E-2</v>
      </c>
      <c r="V7078">
        <v>7.8309279999999992E-3</v>
      </c>
      <c r="W7078">
        <v>3.654984E-2</v>
      </c>
      <c r="X7078">
        <v>0.99930110000000005</v>
      </c>
      <c r="Y7078">
        <v>1.9684810000000001E-2</v>
      </c>
      <c r="Z7078">
        <v>-1.999863E-4</v>
      </c>
      <c r="AA7078">
        <v>0.99980619999999998</v>
      </c>
      <c r="AB7078">
        <v>31</v>
      </c>
      <c r="AC7078">
        <v>-2.9994809999999998</v>
      </c>
      <c r="AD7078">
        <v>4.900682E-2</v>
      </c>
      <c r="AE7078">
        <v>5.186462E-2</v>
      </c>
      <c r="AF7078">
        <v>5.9046114581203797E-2</v>
      </c>
      <c r="AG7078">
        <v>4.900682E-2</v>
      </c>
      <c r="AH7078">
        <v>2.9985477067716602</v>
      </c>
      <c r="AI7078">
        <v>89.063850177944005</v>
      </c>
      <c r="AJ7078">
        <v>88.871901893558203</v>
      </c>
      <c r="AK7078">
        <v>2.9995293733916299</v>
      </c>
      <c r="AL7078">
        <v>87.905381784017706</v>
      </c>
      <c r="AM7078">
        <v>89.551016265206698</v>
      </c>
      <c r="AN7078">
        <v>0.99999995134928699</v>
      </c>
    </row>
    <row r="7079" spans="1:40" x14ac:dyDescent="0.25">
      <c r="A7079" t="str">
        <f>"20190312150831126"</f>
        <v>20190312150831126</v>
      </c>
      <c r="B7079" t="str">
        <f>"1552374511116689"</f>
        <v>1552374511116689</v>
      </c>
      <c r="C7079" t="s">
        <v>40</v>
      </c>
      <c r="D7079">
        <v>4.5696949999999896</v>
      </c>
      <c r="E7079">
        <v>0.48947249999999998</v>
      </c>
      <c r="F7079" t="s">
        <v>48</v>
      </c>
      <c r="G7079">
        <v>0</v>
      </c>
      <c r="H7079">
        <v>0</v>
      </c>
      <c r="I7079">
        <v>0</v>
      </c>
      <c r="J7079">
        <v>-286.66379999999998</v>
      </c>
      <c r="K7079">
        <v>1.110006</v>
      </c>
      <c r="L7079">
        <v>140.9264</v>
      </c>
      <c r="M7079">
        <v>-0.99992789999999998</v>
      </c>
      <c r="N7079">
        <v>0</v>
      </c>
      <c r="O7079">
        <v>-2.3129919999999998E-3</v>
      </c>
      <c r="P7079">
        <v>-0.99966880000000002</v>
      </c>
      <c r="Q7079">
        <v>2.5171510000000001E-2</v>
      </c>
      <c r="R7079">
        <v>5.4164259999999898E-3</v>
      </c>
      <c r="S7079">
        <v>-3.0002749999999998</v>
      </c>
      <c r="T7079">
        <v>2.7820589999999999E-2</v>
      </c>
      <c r="U7079">
        <v>-5.432129E-3</v>
      </c>
      <c r="V7079">
        <v>7.7391889999999996E-3</v>
      </c>
      <c r="W7079">
        <v>3.6960590000000001E-2</v>
      </c>
      <c r="X7079">
        <v>0.99928680000000003</v>
      </c>
      <c r="Y7079">
        <v>5.0249150000000005E-4</v>
      </c>
      <c r="Z7079" s="1">
        <v>-2.3778290000000002E-5</v>
      </c>
      <c r="AA7079">
        <v>0.99999990000000005</v>
      </c>
      <c r="AB7079">
        <v>31</v>
      </c>
      <c r="AC7079">
        <v>-3.0002749999999998</v>
      </c>
      <c r="AD7079">
        <v>2.7820589999999999E-2</v>
      </c>
      <c r="AE7079">
        <v>-5.432129E-3</v>
      </c>
      <c r="AF7079">
        <v>1.5078497721275101E-3</v>
      </c>
      <c r="AG7079">
        <v>2.7820589999999999E-2</v>
      </c>
      <c r="AH7079">
        <v>3.0000215897902902</v>
      </c>
      <c r="AI7079">
        <v>89.468684990861505</v>
      </c>
      <c r="AJ7079">
        <v>89.971202400308798</v>
      </c>
      <c r="AK7079">
        <v>3.0001509625428402</v>
      </c>
      <c r="AL7079">
        <v>87.881831825708801</v>
      </c>
      <c r="AM7079">
        <v>89.556269530141506</v>
      </c>
      <c r="AN7079">
        <v>1.00000004445688</v>
      </c>
    </row>
    <row r="7080" spans="1:40" x14ac:dyDescent="0.25">
      <c r="A7080" t="str">
        <f>"20190312150831140"</f>
        <v>20190312150831140</v>
      </c>
      <c r="B7080" t="str">
        <f>"1552374511137185"</f>
        <v>1552374511137185</v>
      </c>
      <c r="C7080" t="s">
        <v>40</v>
      </c>
      <c r="D7080">
        <v>4.075145</v>
      </c>
      <c r="E7080">
        <v>0.48603610000000003</v>
      </c>
      <c r="F7080" t="s">
        <v>48</v>
      </c>
      <c r="G7080">
        <v>0</v>
      </c>
      <c r="H7080">
        <v>0</v>
      </c>
      <c r="I7080">
        <v>0</v>
      </c>
      <c r="J7080">
        <v>-286.86320000000001</v>
      </c>
      <c r="K7080">
        <v>1.110009</v>
      </c>
      <c r="L7080">
        <v>140.92599999999999</v>
      </c>
      <c r="M7080">
        <v>-0.99992760000000003</v>
      </c>
      <c r="N7080">
        <v>0</v>
      </c>
      <c r="O7080">
        <v>-2.2400499999999999E-3</v>
      </c>
      <c r="P7080">
        <v>-0.99967410000000001</v>
      </c>
      <c r="Q7080">
        <v>2.4994280000000001E-2</v>
      </c>
      <c r="R7080">
        <v>5.2086470000000003E-3</v>
      </c>
      <c r="S7080">
        <v>-3.00116</v>
      </c>
      <c r="T7080">
        <v>7.7298879999999999E-3</v>
      </c>
      <c r="U7080">
        <v>-6.9778439999999997E-2</v>
      </c>
      <c r="V7080">
        <v>7.4583119999999999E-3</v>
      </c>
      <c r="W7080">
        <v>3.6806199999999997E-2</v>
      </c>
      <c r="X7080">
        <v>0.99929460000000003</v>
      </c>
      <c r="Y7080">
        <v>-2.1004490000000001E-2</v>
      </c>
      <c r="Z7080" s="1">
        <v>2.1277110000000001E-5</v>
      </c>
      <c r="AA7080">
        <v>0.99977939999999998</v>
      </c>
      <c r="AB7080">
        <v>31</v>
      </c>
      <c r="AC7080">
        <v>-3.00116</v>
      </c>
      <c r="AD7080">
        <v>7.7298879999999999E-3</v>
      </c>
      <c r="AE7080">
        <v>-6.9778439999999997E-2</v>
      </c>
      <c r="AF7080">
        <v>-6.3054628486185704E-2</v>
      </c>
      <c r="AG7080">
        <v>7.7298879999999999E-3</v>
      </c>
      <c r="AH7080">
        <v>3.00128888795577</v>
      </c>
      <c r="AI7080">
        <v>89.852466294950801</v>
      </c>
      <c r="AJ7080">
        <v>91.203560478746297</v>
      </c>
      <c r="AK7080">
        <v>3.0019611300462898</v>
      </c>
      <c r="AL7080">
        <v>87.890683671451896</v>
      </c>
      <c r="AM7080">
        <v>89.5723764890175</v>
      </c>
      <c r="AN7080">
        <v>1.00000001018274</v>
      </c>
    </row>
    <row r="7081" spans="1:40" x14ac:dyDescent="0.25">
      <c r="A7081" t="str">
        <f>"20190312150831160"</f>
        <v>20190312150831160</v>
      </c>
      <c r="B7081" t="str">
        <f>"1552374511156707"</f>
        <v>1552374511156707</v>
      </c>
      <c r="C7081" t="s">
        <v>40</v>
      </c>
      <c r="D7081">
        <v>4.0693400000000004</v>
      </c>
      <c r="E7081">
        <v>0.48367900000000003</v>
      </c>
      <c r="F7081" t="s">
        <v>48</v>
      </c>
      <c r="G7081">
        <v>0</v>
      </c>
      <c r="H7081">
        <v>0</v>
      </c>
      <c r="I7081">
        <v>0</v>
      </c>
      <c r="J7081">
        <v>-287.13830000000002</v>
      </c>
      <c r="K7081">
        <v>1.110017</v>
      </c>
      <c r="L7081">
        <v>140.9255</v>
      </c>
      <c r="M7081">
        <v>-0.99992749999999997</v>
      </c>
      <c r="N7081">
        <v>0</v>
      </c>
      <c r="O7081">
        <v>-2.1390269999999999E-3</v>
      </c>
      <c r="P7081">
        <v>-0.99966639999999996</v>
      </c>
      <c r="Q7081">
        <v>2.5301879999999999E-2</v>
      </c>
      <c r="R7081">
        <v>5.1879079999999998E-3</v>
      </c>
      <c r="S7081">
        <v>-3.0015869999999998</v>
      </c>
      <c r="T7081">
        <v>-3.314376E-3</v>
      </c>
      <c r="U7081">
        <v>-9.8205570000000006E-2</v>
      </c>
      <c r="V7081">
        <v>7.3365390000000004E-3</v>
      </c>
      <c r="W7081">
        <v>3.7145949999999997E-2</v>
      </c>
      <c r="X7081">
        <v>0.99928289999999997</v>
      </c>
      <c r="Y7081">
        <v>-3.0562260000000001E-2</v>
      </c>
      <c r="Z7081" s="1">
        <v>-1.45075799999999E-5</v>
      </c>
      <c r="AA7081">
        <v>0.99953289999999995</v>
      </c>
      <c r="AB7081">
        <v>31</v>
      </c>
      <c r="AC7081">
        <v>-3.0015869999999998</v>
      </c>
      <c r="AD7081">
        <v>-3.314376E-3</v>
      </c>
      <c r="AE7081">
        <v>-9.8205570000000006E-2</v>
      </c>
      <c r="AF7081">
        <v>-9.1784307048171004E-2</v>
      </c>
      <c r="AG7081">
        <v>-3.314376E-3</v>
      </c>
      <c r="AH7081">
        <v>3.0017865552685898</v>
      </c>
      <c r="AI7081">
        <v>90.063232667295907</v>
      </c>
      <c r="AJ7081">
        <v>91.751362184377896</v>
      </c>
      <c r="AK7081">
        <v>3.0031912805380601</v>
      </c>
      <c r="AL7081">
        <v>87.871204045787096</v>
      </c>
      <c r="AM7081">
        <v>89.579353185621102</v>
      </c>
      <c r="AN7081">
        <v>0.99999998031915505</v>
      </c>
    </row>
    <row r="7082" spans="1:40" x14ac:dyDescent="0.25">
      <c r="A7082" t="str">
        <f>"20190312150831183"</f>
        <v>20190312150831183</v>
      </c>
      <c r="B7082" t="str">
        <f>"1552374511177201"</f>
        <v>1552374511177201</v>
      </c>
      <c r="C7082" t="s">
        <v>40</v>
      </c>
      <c r="D7082">
        <v>4.0583879999999999</v>
      </c>
      <c r="E7082">
        <v>0.48232079999999999</v>
      </c>
      <c r="F7082" t="s">
        <v>42</v>
      </c>
      <c r="G7082">
        <v>-444.61399999999998</v>
      </c>
      <c r="H7082" s="1">
        <v>-2.1414840000000001E-6</v>
      </c>
      <c r="I7082">
        <v>134.75749999999999</v>
      </c>
      <c r="J7082">
        <v>-287.44779999999997</v>
      </c>
      <c r="K7082">
        <v>1.1100219999999901</v>
      </c>
      <c r="L7082">
        <v>140.92500000000001</v>
      </c>
      <c r="M7082">
        <v>-0.99992729999999996</v>
      </c>
      <c r="N7082">
        <v>0</v>
      </c>
      <c r="O7082">
        <v>-2.0253820000000001E-3</v>
      </c>
      <c r="P7082">
        <v>-0.99966290000000002</v>
      </c>
      <c r="Q7082">
        <v>2.5497180000000001E-2</v>
      </c>
      <c r="R7082">
        <v>4.9050530000000004E-3</v>
      </c>
      <c r="S7082">
        <v>-3.0021059999999999</v>
      </c>
      <c r="T7082">
        <v>-2.1161320000000001E-2</v>
      </c>
      <c r="U7082">
        <v>-0.1175842</v>
      </c>
      <c r="V7082">
        <v>6.9402279999999997E-3</v>
      </c>
      <c r="W7082">
        <v>3.7376109999999997E-2</v>
      </c>
      <c r="X7082">
        <v>0.99927719999999998</v>
      </c>
      <c r="Y7082">
        <v>-3.7112310000000003E-2</v>
      </c>
      <c r="Z7082">
        <v>-1.164756E-4</v>
      </c>
      <c r="AA7082">
        <v>0.99931110000000001</v>
      </c>
      <c r="AB7082">
        <v>31</v>
      </c>
      <c r="AC7082">
        <v>-157.1662</v>
      </c>
      <c r="AD7082">
        <v>-1.11002414148399</v>
      </c>
      <c r="AE7082">
        <v>-6.1675000000000102</v>
      </c>
      <c r="AF7082">
        <v>-5.8488519593727704</v>
      </c>
      <c r="AG7082">
        <v>-1.11002414148399</v>
      </c>
      <c r="AH7082">
        <v>157.170542043826</v>
      </c>
      <c r="AI7082">
        <v>90.404367449962606</v>
      </c>
      <c r="AJ7082">
        <v>92.131187964448003</v>
      </c>
      <c r="AK7082">
        <v>157.28324929625401</v>
      </c>
      <c r="AL7082">
        <v>87.858007794362095</v>
      </c>
      <c r="AM7082">
        <v>89.602072998595901</v>
      </c>
      <c r="AN7082">
        <v>1.00000003140163</v>
      </c>
    </row>
    <row r="7083" spans="1:40" x14ac:dyDescent="0.25">
      <c r="A7083" t="str">
        <f>"20190312150831205"</f>
        <v>20190312150831205</v>
      </c>
      <c r="B7083" t="str">
        <f>"1552374511196722"</f>
        <v>1552374511196722</v>
      </c>
      <c r="C7083" t="s">
        <v>40</v>
      </c>
      <c r="D7083">
        <v>4.5285609999999998</v>
      </c>
      <c r="E7083">
        <v>0.48157519999999998</v>
      </c>
      <c r="F7083" t="s">
        <v>42</v>
      </c>
      <c r="G7083">
        <v>-399.80110000000002</v>
      </c>
      <c r="H7083" s="1">
        <v>-9.949324E-7</v>
      </c>
      <c r="I7083">
        <v>136.0788</v>
      </c>
      <c r="J7083">
        <v>-287.75240000000002</v>
      </c>
      <c r="K7083">
        <v>1.110026</v>
      </c>
      <c r="L7083">
        <v>140.92449999999999</v>
      </c>
      <c r="M7083">
        <v>-0.99992709999999996</v>
      </c>
      <c r="N7083">
        <v>0</v>
      </c>
      <c r="O7083">
        <v>-1.913751E-3</v>
      </c>
      <c r="P7083">
        <v>-0.99966160000000004</v>
      </c>
      <c r="Q7083">
        <v>2.5773620000000001E-2</v>
      </c>
      <c r="R7083">
        <v>3.5261070000000001E-3</v>
      </c>
      <c r="S7083">
        <v>-3.0024109999999999</v>
      </c>
      <c r="T7083">
        <v>-2.966309E-2</v>
      </c>
      <c r="U7083">
        <v>-0.12950130000000001</v>
      </c>
      <c r="V7083">
        <v>5.4498039999999999E-3</v>
      </c>
      <c r="W7083">
        <v>3.7685360000000001E-2</v>
      </c>
      <c r="X7083">
        <v>0.99927480000000002</v>
      </c>
      <c r="Y7083">
        <v>-4.1178279999999998E-2</v>
      </c>
      <c r="Z7083">
        <v>-1.844169E-4</v>
      </c>
      <c r="AA7083">
        <v>0.99915180000000003</v>
      </c>
      <c r="AB7083">
        <v>31</v>
      </c>
      <c r="AC7083">
        <v>-112.0487</v>
      </c>
      <c r="AD7083">
        <v>-1.11002699493239</v>
      </c>
      <c r="AE7083">
        <v>-4.8456999999999901</v>
      </c>
      <c r="AF7083">
        <v>-4.63078894797665</v>
      </c>
      <c r="AG7083">
        <v>-1.11002699493239</v>
      </c>
      <c r="AH7083">
        <v>112.046792975499</v>
      </c>
      <c r="AI7083">
        <v>90.567116089047005</v>
      </c>
      <c r="AJ7083">
        <v>92.366634009453605</v>
      </c>
      <c r="AK7083">
        <v>112.147938823255</v>
      </c>
      <c r="AL7083">
        <v>87.840276528732304</v>
      </c>
      <c r="AM7083">
        <v>89.687525721033097</v>
      </c>
      <c r="AN7083">
        <v>1.0000000063184999</v>
      </c>
    </row>
    <row r="7084" spans="1:40" x14ac:dyDescent="0.25">
      <c r="A7084" t="str">
        <f>"20190312150831218"</f>
        <v>20190312150831218</v>
      </c>
      <c r="B7084" t="str">
        <f>"1552374511206483"</f>
        <v>1552374511206483</v>
      </c>
      <c r="C7084" t="s">
        <v>40</v>
      </c>
      <c r="D7084">
        <v>4.0859329999999998</v>
      </c>
      <c r="E7084">
        <v>0.48115190000000002</v>
      </c>
      <c r="F7084" t="s">
        <v>42</v>
      </c>
      <c r="G7084">
        <v>-389.6859</v>
      </c>
      <c r="H7084" s="1">
        <v>-1.008479E-6</v>
      </c>
      <c r="I7084">
        <v>136.17529999999999</v>
      </c>
      <c r="J7084">
        <v>-287.94240000000002</v>
      </c>
      <c r="K7084">
        <v>1.110031</v>
      </c>
      <c r="L7084">
        <v>140.92420000000001</v>
      </c>
      <c r="M7084">
        <v>-0.99992709999999996</v>
      </c>
      <c r="N7084">
        <v>0</v>
      </c>
      <c r="O7084">
        <v>-1.8438860000000001E-3</v>
      </c>
      <c r="P7084">
        <v>-0.99966529999999998</v>
      </c>
      <c r="Q7084">
        <v>2.5736019999999998E-2</v>
      </c>
      <c r="R7084">
        <v>2.6201380000000002E-3</v>
      </c>
      <c r="S7084">
        <v>-3.002319</v>
      </c>
      <c r="T7084">
        <v>-3.2694460000000002E-2</v>
      </c>
      <c r="U7084">
        <v>-0.13987729999999901</v>
      </c>
      <c r="V7084">
        <v>4.4738579999999998E-3</v>
      </c>
      <c r="W7084">
        <v>3.7666779999999997E-2</v>
      </c>
      <c r="X7084">
        <v>0.99928030000000001</v>
      </c>
      <c r="Y7084">
        <v>-4.4694640000000001E-2</v>
      </c>
      <c r="Z7084">
        <v>-2.2314820000000001E-4</v>
      </c>
      <c r="AA7084">
        <v>0.99900069999999996</v>
      </c>
      <c r="AB7084">
        <v>31</v>
      </c>
      <c r="AC7084">
        <v>-101.743499999999</v>
      </c>
      <c r="AD7084">
        <v>-1.1100320084790001</v>
      </c>
      <c r="AE7084">
        <v>-4.7489000000000097</v>
      </c>
      <c r="AF7084">
        <v>-4.5607334668423398</v>
      </c>
      <c r="AG7084">
        <v>-1.1100320084790001</v>
      </c>
      <c r="AH7084">
        <v>101.740000248456</v>
      </c>
      <c r="AI7084">
        <v>90.624472453356901</v>
      </c>
      <c r="AJ7084">
        <v>92.566698991597306</v>
      </c>
      <c r="AK7084">
        <v>101.848220953393</v>
      </c>
      <c r="AL7084">
        <v>87.841341740306305</v>
      </c>
      <c r="AM7084">
        <v>89.743483916481694</v>
      </c>
      <c r="AN7084">
        <v>0.99999995984453005</v>
      </c>
    </row>
    <row r="7085" spans="1:40" x14ac:dyDescent="0.25">
      <c r="A7085" t="str">
        <f>"20190312150831237"</f>
        <v>20190312150831237</v>
      </c>
      <c r="B7085" t="str">
        <f>"1552374511226977"</f>
        <v>1552374511226977</v>
      </c>
      <c r="C7085" t="s">
        <v>40</v>
      </c>
      <c r="D7085">
        <v>4.0750820000000001</v>
      </c>
      <c r="E7085">
        <v>0.48048279999999899</v>
      </c>
      <c r="F7085" t="s">
        <v>42</v>
      </c>
      <c r="G7085">
        <v>-383.80610000000001</v>
      </c>
      <c r="H7085" s="1">
        <v>-3.2345379999999999E-6</v>
      </c>
      <c r="I7085">
        <v>136.26140000000001</v>
      </c>
      <c r="J7085">
        <v>-288.20600000000002</v>
      </c>
      <c r="K7085">
        <v>1.110033</v>
      </c>
      <c r="L7085">
        <v>140.9238</v>
      </c>
      <c r="M7085">
        <v>-0.99992689999999995</v>
      </c>
      <c r="N7085">
        <v>0</v>
      </c>
      <c r="O7085">
        <v>-1.7469950000000001E-3</v>
      </c>
      <c r="P7085">
        <v>-0.99965939999999998</v>
      </c>
      <c r="Q7085">
        <v>2.6092130000000002E-2</v>
      </c>
      <c r="R7085">
        <v>5.8664169999999996E-4</v>
      </c>
      <c r="S7085">
        <v>-3.0022579999999999</v>
      </c>
      <c r="T7085">
        <v>-3.4764049999999998E-2</v>
      </c>
      <c r="U7085">
        <v>-0.14602660000000001</v>
      </c>
      <c r="V7085">
        <v>2.3435779999999998E-3</v>
      </c>
      <c r="W7085">
        <v>3.8047490000000003E-2</v>
      </c>
      <c r="X7085">
        <v>0.99927319999999997</v>
      </c>
      <c r="Y7085">
        <v>-4.6833350000000003E-2</v>
      </c>
      <c r="Z7085">
        <v>-2.5076200000000002E-4</v>
      </c>
      <c r="AA7085">
        <v>0.99890270000000003</v>
      </c>
      <c r="AB7085">
        <v>31</v>
      </c>
      <c r="AC7085">
        <v>-95.600099999999998</v>
      </c>
      <c r="AD7085">
        <v>-1.1100362345379999</v>
      </c>
      <c r="AE7085">
        <v>-4.6623999999999901</v>
      </c>
      <c r="AF7085">
        <v>-4.4947634821655198</v>
      </c>
      <c r="AG7085">
        <v>-1.1100362345379999</v>
      </c>
      <c r="AH7085">
        <v>95.595242199730706</v>
      </c>
      <c r="AI7085">
        <v>90.664545168567301</v>
      </c>
      <c r="AJ7085">
        <v>92.691990138096102</v>
      </c>
      <c r="AK7085">
        <v>95.707290267919404</v>
      </c>
      <c r="AL7085">
        <v>87.819513138018095</v>
      </c>
      <c r="AM7085">
        <v>89.865625454410093</v>
      </c>
      <c r="AN7085">
        <v>1.0000000160456901</v>
      </c>
    </row>
    <row r="7086" spans="1:40" x14ac:dyDescent="0.25">
      <c r="A7086" t="str">
        <f>"20190312150831251"</f>
        <v>20190312150831251</v>
      </c>
      <c r="B7086" t="str">
        <f>"1552374511247474"</f>
        <v>1552374511247474</v>
      </c>
      <c r="C7086" t="s">
        <v>40</v>
      </c>
      <c r="D7086">
        <v>4.0765390000000004</v>
      </c>
      <c r="E7086">
        <v>0.4801088</v>
      </c>
      <c r="F7086" t="s">
        <v>42</v>
      </c>
      <c r="G7086">
        <v>-377.40499999999997</v>
      </c>
      <c r="H7086" s="1">
        <v>-1.7672819999999999E-6</v>
      </c>
      <c r="I7086">
        <v>136.24080000000001</v>
      </c>
      <c r="J7086">
        <v>-288.39100000000002</v>
      </c>
      <c r="K7086">
        <v>1.110036</v>
      </c>
      <c r="L7086">
        <v>140.92359999999999</v>
      </c>
      <c r="M7086">
        <v>-0.99992700000000001</v>
      </c>
      <c r="N7086">
        <v>0</v>
      </c>
      <c r="O7086">
        <v>-1.6789039999999999E-3</v>
      </c>
      <c r="P7086">
        <v>-0.99965400000000004</v>
      </c>
      <c r="Q7086">
        <v>2.63013E-2</v>
      </c>
      <c r="R7086">
        <v>-6.9502799999999999E-4</v>
      </c>
      <c r="S7086">
        <v>-3.0020449999999999</v>
      </c>
      <c r="T7086">
        <v>-3.7358879999999997E-2</v>
      </c>
      <c r="U7086">
        <v>-0.157608</v>
      </c>
      <c r="V7086">
        <v>9.9408609999999996E-4</v>
      </c>
      <c r="W7086">
        <v>3.8272399999999998E-2</v>
      </c>
      <c r="X7086">
        <v>0.99926689999999996</v>
      </c>
      <c r="Y7086">
        <v>-5.074745E-2</v>
      </c>
      <c r="Z7086">
        <v>-2.9465410000000002E-4</v>
      </c>
      <c r="AA7086">
        <v>0.99871149999999997</v>
      </c>
      <c r="AB7086">
        <v>31</v>
      </c>
      <c r="AC7086">
        <v>-89.013999999999996</v>
      </c>
      <c r="AD7086">
        <v>-1.1100377672820001</v>
      </c>
      <c r="AE7086">
        <v>-4.6827999999999799</v>
      </c>
      <c r="AF7086">
        <v>-4.5326338135564201</v>
      </c>
      <c r="AG7086">
        <v>-1.1100377672820001</v>
      </c>
      <c r="AH7086">
        <v>89.007933623969905</v>
      </c>
      <c r="AI7086">
        <v>90.713586829378599</v>
      </c>
      <c r="AJ7086">
        <v>92.915208075016807</v>
      </c>
      <c r="AK7086">
        <v>89.130181202225899</v>
      </c>
      <c r="AL7086">
        <v>87.806617428678805</v>
      </c>
      <c r="AM7086">
        <v>89.943001295035998</v>
      </c>
      <c r="AN7086">
        <v>1.00000005112227</v>
      </c>
    </row>
    <row r="7087" spans="1:40" x14ac:dyDescent="0.25">
      <c r="A7087" t="str">
        <f>"20190312150831271"</f>
        <v>20190312150831271</v>
      </c>
      <c r="B7087" t="str">
        <f>"1552374511266993"</f>
        <v>1552374511266993</v>
      </c>
      <c r="C7087" t="s">
        <v>40</v>
      </c>
      <c r="D7087">
        <v>4.5222179999999996</v>
      </c>
      <c r="E7087">
        <v>0.4800393</v>
      </c>
      <c r="F7087" t="s">
        <v>42</v>
      </c>
      <c r="G7087">
        <v>-371.08659999999998</v>
      </c>
      <c r="H7087" s="1">
        <v>-4.3780919999999901E-6</v>
      </c>
      <c r="I7087">
        <v>136.39179999999999</v>
      </c>
      <c r="J7087">
        <v>-288.67649999999998</v>
      </c>
      <c r="K7087">
        <v>1.1100380000000001</v>
      </c>
      <c r="L7087">
        <v>140.92320000000001</v>
      </c>
      <c r="M7087">
        <v>-0.99992689999999995</v>
      </c>
      <c r="N7087">
        <v>0</v>
      </c>
      <c r="O7087">
        <v>-1.5734239999999999E-3</v>
      </c>
      <c r="P7087">
        <v>-0.99964059999999999</v>
      </c>
      <c r="Q7087">
        <v>2.6614929999999998E-2</v>
      </c>
      <c r="R7087">
        <v>-3.240082E-3</v>
      </c>
      <c r="S7087">
        <v>-3.0019529999999999</v>
      </c>
      <c r="T7087">
        <v>-4.0295839999999999E-2</v>
      </c>
      <c r="U7087">
        <v>-0.16450499999999901</v>
      </c>
      <c r="V7087">
        <v>-1.656551E-3</v>
      </c>
      <c r="W7087">
        <v>3.8608789999999997E-2</v>
      </c>
      <c r="X7087">
        <v>0.99925299999999995</v>
      </c>
      <c r="Y7087">
        <v>-5.3141359999999999E-2</v>
      </c>
      <c r="Z7087">
        <v>-3.3527550000000001E-4</v>
      </c>
      <c r="AA7087">
        <v>0.998587</v>
      </c>
      <c r="AB7087">
        <v>31</v>
      </c>
      <c r="AC7087">
        <v>-82.4101</v>
      </c>
      <c r="AD7087">
        <v>-1.1100423780919999</v>
      </c>
      <c r="AE7087">
        <v>-4.5314000000000103</v>
      </c>
      <c r="AF7087">
        <v>-4.4009229727892301</v>
      </c>
      <c r="AG7087">
        <v>-1.1100423780919999</v>
      </c>
      <c r="AH7087">
        <v>82.402222817696895</v>
      </c>
      <c r="AI7087">
        <v>90.770687939957696</v>
      </c>
      <c r="AJ7087">
        <v>93.057138087547997</v>
      </c>
      <c r="AK7087">
        <v>82.527126706259097</v>
      </c>
      <c r="AL7087">
        <v>87.787329267647394</v>
      </c>
      <c r="AM7087">
        <v>90.094984247131805</v>
      </c>
      <c r="AN7087">
        <v>0.99999997041773903</v>
      </c>
    </row>
    <row r="7088" spans="1:40" x14ac:dyDescent="0.25">
      <c r="A7088" t="str">
        <f>"20190312150831284"</f>
        <v>20190312150831284</v>
      </c>
      <c r="B7088" t="str">
        <f>"1552374511276754"</f>
        <v>1552374511276754</v>
      </c>
      <c r="C7088" t="s">
        <v>40</v>
      </c>
      <c r="D7088">
        <v>4.0775050000000004</v>
      </c>
      <c r="E7088">
        <v>0.48003439999999997</v>
      </c>
      <c r="F7088" t="s">
        <v>42</v>
      </c>
      <c r="G7088">
        <v>-377.69299999999998</v>
      </c>
      <c r="H7088" s="1">
        <v>-1.78699999999999E-6</v>
      </c>
      <c r="I7088">
        <v>135.79820000000001</v>
      </c>
      <c r="J7088">
        <v>-288.85410000000002</v>
      </c>
      <c r="K7088">
        <v>1.1100399999999999</v>
      </c>
      <c r="L7088">
        <v>140.923</v>
      </c>
      <c r="M7088">
        <v>-0.99992669999999995</v>
      </c>
      <c r="N7088">
        <v>0</v>
      </c>
      <c r="O7088">
        <v>-1.5080569999999999E-3</v>
      </c>
      <c r="P7088">
        <v>-0.99962930000000005</v>
      </c>
      <c r="Q7088">
        <v>2.687109E-2</v>
      </c>
      <c r="R7088">
        <v>-4.4387289999999998E-3</v>
      </c>
      <c r="S7088">
        <v>-3.0015559999999999</v>
      </c>
      <c r="T7088">
        <v>-3.7429570000000002E-2</v>
      </c>
      <c r="U7088">
        <v>-0.17280580000000001</v>
      </c>
      <c r="V7088">
        <v>-2.9206229999999998E-3</v>
      </c>
      <c r="W7088">
        <v>3.887848E-2</v>
      </c>
      <c r="X7088">
        <v>0.99923969999999995</v>
      </c>
      <c r="Y7088">
        <v>-5.5966920000000003E-2</v>
      </c>
      <c r="Z7088">
        <v>-3.2986270000000002E-4</v>
      </c>
      <c r="AA7088">
        <v>0.9984326</v>
      </c>
      <c r="AB7088">
        <v>31</v>
      </c>
      <c r="AC7088">
        <v>-88.838899999999995</v>
      </c>
      <c r="AD7088">
        <v>-1.1100417869999999</v>
      </c>
      <c r="AE7088">
        <v>-5.1247999999999898</v>
      </c>
      <c r="AF7088">
        <v>-4.99003389312956</v>
      </c>
      <c r="AG7088">
        <v>-1.1100417869999999</v>
      </c>
      <c r="AH7088">
        <v>88.832705010892596</v>
      </c>
      <c r="AI7088">
        <v>90.714796509675196</v>
      </c>
      <c r="AJ7088">
        <v>93.215119106433605</v>
      </c>
      <c r="AK7088">
        <v>88.979672457116493</v>
      </c>
      <c r="AL7088">
        <v>87.771865673284097</v>
      </c>
      <c r="AM7088">
        <v>90.167466219489796</v>
      </c>
      <c r="AN7088">
        <v>1.00000002215095</v>
      </c>
    </row>
    <row r="7089" spans="1:40" x14ac:dyDescent="0.25">
      <c r="A7089" t="str">
        <f>"20190312150831297"</f>
        <v>20190312150831297</v>
      </c>
      <c r="B7089" t="str">
        <f>"1552374511286513"</f>
        <v>1552374511286513</v>
      </c>
      <c r="C7089" t="s">
        <v>40</v>
      </c>
      <c r="D7089">
        <v>4.0550430000000004</v>
      </c>
      <c r="E7089">
        <v>0.47995339999999997</v>
      </c>
      <c r="F7089" t="s">
        <v>42</v>
      </c>
      <c r="G7089">
        <v>-377.15629999999999</v>
      </c>
      <c r="H7089" s="1">
        <v>-1.987429E-6</v>
      </c>
      <c r="I7089">
        <v>135.73150000000001</v>
      </c>
      <c r="J7089">
        <v>-289.03930000000003</v>
      </c>
      <c r="K7089">
        <v>1.110042</v>
      </c>
      <c r="L7089">
        <v>140.9228</v>
      </c>
      <c r="M7089">
        <v>-0.99992669999999995</v>
      </c>
      <c r="N7089">
        <v>0</v>
      </c>
      <c r="O7089">
        <v>-1.439942E-3</v>
      </c>
      <c r="P7089">
        <v>-0.99961359999999999</v>
      </c>
      <c r="Q7089">
        <v>2.7232059999999999E-2</v>
      </c>
      <c r="R7089">
        <v>-5.5801230000000002E-3</v>
      </c>
      <c r="S7089">
        <v>-3.0013429999999999</v>
      </c>
      <c r="T7089">
        <v>-3.7729739999999998E-2</v>
      </c>
      <c r="U7089">
        <v>-0.17645259999999999</v>
      </c>
      <c r="V7089">
        <v>-4.1298530000000002E-3</v>
      </c>
      <c r="W7089">
        <v>3.9251559999999998E-2</v>
      </c>
      <c r="X7089">
        <v>0.99922080000000002</v>
      </c>
      <c r="Y7089">
        <v>-5.7247869999999999E-2</v>
      </c>
      <c r="Z7089">
        <v>-3.4141930000000003E-4</v>
      </c>
      <c r="AA7089">
        <v>0.99835989999999997</v>
      </c>
      <c r="AB7089">
        <v>31</v>
      </c>
      <c r="AC7089">
        <v>-88.116999999999905</v>
      </c>
      <c r="AD7089">
        <v>-1.110043987429</v>
      </c>
      <c r="AE7089">
        <v>-5.1912999999999796</v>
      </c>
      <c r="AF7089">
        <v>-5.0636012938174098</v>
      </c>
      <c r="AG7089">
        <v>-1.110043987429</v>
      </c>
      <c r="AH7089">
        <v>88.110450094155397</v>
      </c>
      <c r="AI7089">
        <v>90.720603752891094</v>
      </c>
      <c r="AJ7089">
        <v>93.289101595080695</v>
      </c>
      <c r="AK7089">
        <v>88.262810240278597</v>
      </c>
      <c r="AL7089">
        <v>87.750473326295307</v>
      </c>
      <c r="AM7089">
        <v>90.236806319051396</v>
      </c>
      <c r="AN7089">
        <v>0.99999997390043704</v>
      </c>
    </row>
    <row r="7090" spans="1:40" x14ac:dyDescent="0.25">
      <c r="A7090" t="str">
        <f>"20190312150831310"</f>
        <v>20190312150831310</v>
      </c>
      <c r="B7090" t="str">
        <f>"1552374511306586"</f>
        <v>1552374511306586</v>
      </c>
      <c r="C7090" t="s">
        <v>40</v>
      </c>
      <c r="D7090">
        <v>4.0677510000000003</v>
      </c>
      <c r="E7090">
        <v>0.48010170000000002</v>
      </c>
      <c r="F7090" t="s">
        <v>42</v>
      </c>
      <c r="G7090">
        <v>-375.58359999999999</v>
      </c>
      <c r="H7090" s="1">
        <v>-2.5684650000000001E-6</v>
      </c>
      <c r="I7090">
        <v>135.71770000000001</v>
      </c>
      <c r="J7090">
        <v>-289.21109999999999</v>
      </c>
      <c r="K7090">
        <v>1.1100429999999999</v>
      </c>
      <c r="L7090">
        <v>140.92259999999999</v>
      </c>
      <c r="M7090">
        <v>-0.99992669999999995</v>
      </c>
      <c r="N7090">
        <v>0</v>
      </c>
      <c r="O7090">
        <v>-1.376944E-3</v>
      </c>
      <c r="P7090">
        <v>-0.99960470000000001</v>
      </c>
      <c r="Q7090">
        <v>2.7259490000000001E-2</v>
      </c>
      <c r="R7090">
        <v>-6.8963879999999998E-3</v>
      </c>
      <c r="S7090">
        <v>-3.00116</v>
      </c>
      <c r="T7090">
        <v>-3.8493869999999999E-2</v>
      </c>
      <c r="U7090">
        <v>-0.1804962</v>
      </c>
      <c r="V7090">
        <v>-5.5096850000000003E-3</v>
      </c>
      <c r="W7090">
        <v>3.928968E-2</v>
      </c>
      <c r="X7090">
        <v>0.99921269999999995</v>
      </c>
      <c r="Y7090">
        <v>-5.8654369999999997E-2</v>
      </c>
      <c r="Z7090">
        <v>-3.5815970000000001E-4</v>
      </c>
      <c r="AA7090">
        <v>0.99827829999999995</v>
      </c>
      <c r="AB7090">
        <v>31</v>
      </c>
      <c r="AC7090">
        <v>-86.372500000000002</v>
      </c>
      <c r="AD7090">
        <v>-1.1100455684649999</v>
      </c>
      <c r="AE7090">
        <v>-5.2048999999999799</v>
      </c>
      <c r="AF7090">
        <v>-5.0851194948689402</v>
      </c>
      <c r="AG7090">
        <v>-1.1100455684649999</v>
      </c>
      <c r="AH7090">
        <v>86.365372145781606</v>
      </c>
      <c r="AI7090">
        <v>90.735103459238999</v>
      </c>
      <c r="AJ7090">
        <v>93.369636352453298</v>
      </c>
      <c r="AK7090">
        <v>86.522067400869005</v>
      </c>
      <c r="AL7090">
        <v>87.748287646252805</v>
      </c>
      <c r="AM7090">
        <v>90.315927227130999</v>
      </c>
      <c r="AN7090">
        <v>1.00000002771229</v>
      </c>
    </row>
    <row r="7091" spans="1:40" x14ac:dyDescent="0.25">
      <c r="A7091" t="str">
        <f>"20190312150831328"</f>
        <v>20190312150831328</v>
      </c>
      <c r="B7091" t="str">
        <f>"1552374511317322"</f>
        <v>1552374511317322</v>
      </c>
      <c r="C7091" t="s">
        <v>40</v>
      </c>
      <c r="D7091">
        <v>4.0202530000000003</v>
      </c>
      <c r="E7091">
        <v>0.48013240000000001</v>
      </c>
      <c r="F7091" t="s">
        <v>42</v>
      </c>
      <c r="G7091">
        <v>-378.51139999999998</v>
      </c>
      <c r="H7091" s="1">
        <v>-1.5965479999999999E-6</v>
      </c>
      <c r="I7091">
        <v>135.4674</v>
      </c>
      <c r="J7091">
        <v>-289.44920000000002</v>
      </c>
      <c r="K7091">
        <v>1.1100429999999999</v>
      </c>
      <c r="L7091">
        <v>140.92230000000001</v>
      </c>
      <c r="M7091">
        <v>-0.99992669999999995</v>
      </c>
      <c r="N7091">
        <v>0</v>
      </c>
      <c r="O7091">
        <v>-1.2896450000000001E-3</v>
      </c>
      <c r="P7091">
        <v>-0.99957759999999996</v>
      </c>
      <c r="Q7091">
        <v>2.7514279999999999E-2</v>
      </c>
      <c r="R7091">
        <v>-9.3742630000000007E-3</v>
      </c>
      <c r="S7091">
        <v>-3.0009459999999999</v>
      </c>
      <c r="T7091">
        <v>-3.7303210000000003E-2</v>
      </c>
      <c r="U7091">
        <v>-0.18331910000000001</v>
      </c>
      <c r="V7091">
        <v>-8.0743729999999993E-3</v>
      </c>
      <c r="W7091">
        <v>3.9558400000000001E-2</v>
      </c>
      <c r="X7091">
        <v>0.99918459999999998</v>
      </c>
      <c r="Y7091">
        <v>-5.9681560000000002E-2</v>
      </c>
      <c r="Z7091">
        <v>-3.545593E-4</v>
      </c>
      <c r="AA7091">
        <v>0.99821740000000003</v>
      </c>
      <c r="AB7091">
        <v>31</v>
      </c>
      <c r="AC7091">
        <v>-89.062199999999905</v>
      </c>
      <c r="AD7091">
        <v>-1.1100445965479999</v>
      </c>
      <c r="AE7091">
        <v>-5.4549000000000003</v>
      </c>
      <c r="AF7091">
        <v>-5.3392022055976298</v>
      </c>
      <c r="AG7091">
        <v>-1.1100445965479999</v>
      </c>
      <c r="AH7091">
        <v>89.055378819162101</v>
      </c>
      <c r="AI7091">
        <v>90.712855277235093</v>
      </c>
      <c r="AJ7091">
        <v>93.430988833187001</v>
      </c>
      <c r="AK7091">
        <v>89.222193291932896</v>
      </c>
      <c r="AL7091">
        <v>87.732879000523297</v>
      </c>
      <c r="AM7091">
        <v>90.462994951433004</v>
      </c>
      <c r="AN7091">
        <v>0.99999996369352995</v>
      </c>
    </row>
    <row r="7092" spans="1:40" x14ac:dyDescent="0.25">
      <c r="A7092" t="str">
        <f>"20190312150831350"</f>
        <v>20190312150831350</v>
      </c>
      <c r="B7092" t="str">
        <f>"1552374511346602"</f>
        <v>1552374511346602</v>
      </c>
      <c r="C7092" t="s">
        <v>40</v>
      </c>
      <c r="D7092">
        <v>4.076721</v>
      </c>
      <c r="E7092">
        <v>0.48017349999999998</v>
      </c>
      <c r="F7092" t="s">
        <v>42</v>
      </c>
      <c r="G7092">
        <v>-382.45260000000002</v>
      </c>
      <c r="H7092" s="1">
        <v>-4.0355559999999996E-6</v>
      </c>
      <c r="I7092">
        <v>135.01910000000001</v>
      </c>
      <c r="J7092">
        <v>-289.7568</v>
      </c>
      <c r="K7092">
        <v>1.110044</v>
      </c>
      <c r="L7092">
        <v>140.9221</v>
      </c>
      <c r="M7092">
        <v>-0.9999266</v>
      </c>
      <c r="N7092">
        <v>0</v>
      </c>
      <c r="O7092">
        <v>-1.1767310000000001E-3</v>
      </c>
      <c r="P7092">
        <v>-0.99952750000000001</v>
      </c>
      <c r="Q7092">
        <v>2.827787E-2</v>
      </c>
      <c r="R7092">
        <v>-1.2066510000000001E-2</v>
      </c>
      <c r="S7092">
        <v>-3.0004270000000002</v>
      </c>
      <c r="T7092">
        <v>-3.5811780000000001E-2</v>
      </c>
      <c r="U7092">
        <v>-0.1904449</v>
      </c>
      <c r="V7092">
        <v>-1.0878850000000001E-2</v>
      </c>
      <c r="W7092">
        <v>4.0337890000000001E-2</v>
      </c>
      <c r="X7092">
        <v>0.99912690000000004</v>
      </c>
      <c r="Y7092">
        <v>-6.2166310000000002E-2</v>
      </c>
      <c r="Z7092">
        <v>-3.565776E-4</v>
      </c>
      <c r="AA7092">
        <v>0.9980658</v>
      </c>
      <c r="AB7092">
        <v>31</v>
      </c>
      <c r="AC7092">
        <v>-92.695800000000006</v>
      </c>
      <c r="AD7092">
        <v>-1.1100480355560001</v>
      </c>
      <c r="AE7092">
        <v>-5.9029999999999898</v>
      </c>
      <c r="AF7092">
        <v>-5.7930825596861997</v>
      </c>
      <c r="AG7092">
        <v>-1.1100480355560001</v>
      </c>
      <c r="AH7092">
        <v>92.689444143792798</v>
      </c>
      <c r="AI7092">
        <v>90.684804916700003</v>
      </c>
      <c r="AJ7092">
        <v>93.576329634209799</v>
      </c>
      <c r="AK7092">
        <v>92.876935069315493</v>
      </c>
      <c r="AL7092">
        <v>87.688181981224204</v>
      </c>
      <c r="AM7092">
        <v>90.623832228095196</v>
      </c>
      <c r="AN7092">
        <v>1.0000000285252899</v>
      </c>
    </row>
    <row r="7093" spans="1:40" x14ac:dyDescent="0.25">
      <c r="A7093" t="str">
        <f>"20190312150831372"</f>
        <v>20190312150831372</v>
      </c>
      <c r="B7093" t="str">
        <f>"1552374511367097"</f>
        <v>1552374511367097</v>
      </c>
      <c r="C7093" t="s">
        <v>40</v>
      </c>
      <c r="D7093">
        <v>4.0444399999999998</v>
      </c>
      <c r="E7093">
        <v>0.48025410000000002</v>
      </c>
      <c r="F7093" t="s">
        <v>42</v>
      </c>
      <c r="G7093">
        <v>-382.76960000000003</v>
      </c>
      <c r="H7093" s="1">
        <v>-3.9429120000000003E-6</v>
      </c>
      <c r="I7093">
        <v>134.7747</v>
      </c>
      <c r="J7093">
        <v>-290.07499999999999</v>
      </c>
      <c r="K7093">
        <v>1.1100429999999999</v>
      </c>
      <c r="L7093">
        <v>140.92179999999999</v>
      </c>
      <c r="M7093">
        <v>-0.99992639999999999</v>
      </c>
      <c r="N7093">
        <v>0</v>
      </c>
      <c r="O7093">
        <v>-1.0578619999999999E-3</v>
      </c>
      <c r="P7093">
        <v>-0.99948570000000003</v>
      </c>
      <c r="Q7093">
        <v>2.8524620000000001E-2</v>
      </c>
      <c r="R7093">
        <v>-1.465264E-2</v>
      </c>
      <c r="S7093">
        <v>-3.0000309999999999</v>
      </c>
      <c r="T7093">
        <v>-3.5803439999999999E-2</v>
      </c>
      <c r="U7093">
        <v>-0.1982727</v>
      </c>
      <c r="V7093">
        <v>-1.358378E-2</v>
      </c>
      <c r="W7093">
        <v>4.0603269999999997E-2</v>
      </c>
      <c r="X7093">
        <v>0.99908300000000005</v>
      </c>
      <c r="Y7093">
        <v>-6.4886159999999998E-2</v>
      </c>
      <c r="Z7093">
        <v>-3.7414019999999998E-4</v>
      </c>
      <c r="AA7093">
        <v>0.99789260000000002</v>
      </c>
      <c r="AB7093">
        <v>31</v>
      </c>
      <c r="AC7093">
        <v>-92.694599999999994</v>
      </c>
      <c r="AD7093">
        <v>-1.1100469429119999</v>
      </c>
      <c r="AE7093">
        <v>-6.1470999999999902</v>
      </c>
      <c r="AF7093">
        <v>-6.04816774350342</v>
      </c>
      <c r="AG7093">
        <v>-1.1100469429119999</v>
      </c>
      <c r="AH7093">
        <v>92.687817396830795</v>
      </c>
      <c r="AI7093">
        <v>90.6846963374811</v>
      </c>
      <c r="AJ7093">
        <v>93.733434487498997</v>
      </c>
      <c r="AK7093">
        <v>92.891571367144394</v>
      </c>
      <c r="AL7093">
        <v>87.672964277020498</v>
      </c>
      <c r="AM7093">
        <v>90.778959617221801</v>
      </c>
      <c r="AN7093">
        <v>0.99999999275138995</v>
      </c>
    </row>
    <row r="7094" spans="1:40" x14ac:dyDescent="0.25">
      <c r="A7094" t="str">
        <f>"20190312150831395"</f>
        <v>20190312150831395</v>
      </c>
      <c r="B7094" t="str">
        <f>"1552374511386621"</f>
        <v>1552374511386621</v>
      </c>
      <c r="C7094" t="s">
        <v>40</v>
      </c>
      <c r="D7094">
        <v>4.0887919999999998</v>
      </c>
      <c r="E7094">
        <v>0.48031400000000002</v>
      </c>
      <c r="F7094" t="s">
        <v>42</v>
      </c>
      <c r="G7094">
        <v>-379.58440000000002</v>
      </c>
      <c r="H7094" s="1">
        <v>-1.4115350000000001E-6</v>
      </c>
      <c r="I7094">
        <v>134.7903</v>
      </c>
      <c r="J7094">
        <v>-290.38380000000001</v>
      </c>
      <c r="K7094">
        <v>1.1100509999999999</v>
      </c>
      <c r="L7094">
        <v>140.92160000000001</v>
      </c>
      <c r="M7094">
        <v>-0.99992639999999999</v>
      </c>
      <c r="N7094">
        <v>0</v>
      </c>
      <c r="O7094">
        <v>-9.4125329999999996E-4</v>
      </c>
      <c r="P7094">
        <v>-0.99942609999999998</v>
      </c>
      <c r="Q7094">
        <v>2.9226350000000002E-2</v>
      </c>
      <c r="R7094">
        <v>-1.713636E-2</v>
      </c>
      <c r="S7094">
        <v>-2.999603</v>
      </c>
      <c r="T7094">
        <v>-3.7199379999999997E-2</v>
      </c>
      <c r="U7094">
        <v>-0.20547489999999999</v>
      </c>
      <c r="V7094">
        <v>-1.6183920000000001E-2</v>
      </c>
      <c r="W7094">
        <v>4.1323640000000002E-2</v>
      </c>
      <c r="X7094">
        <v>0.99901470000000003</v>
      </c>
      <c r="Y7094">
        <v>-6.7396280000000003E-2</v>
      </c>
      <c r="Z7094">
        <v>-4.0574060000000002E-4</v>
      </c>
      <c r="AA7094">
        <v>0.99772620000000001</v>
      </c>
      <c r="AB7094">
        <v>31</v>
      </c>
      <c r="AC7094">
        <v>-89.200599999999994</v>
      </c>
      <c r="AD7094">
        <v>-1.1100524115349999</v>
      </c>
      <c r="AE7094">
        <v>-6.1313000000000004</v>
      </c>
      <c r="AF7094">
        <v>-6.0463988133961903</v>
      </c>
      <c r="AG7094">
        <v>-1.1100524115349999</v>
      </c>
      <c r="AH7094">
        <v>89.192584211898705</v>
      </c>
      <c r="AI7094">
        <v>90.711409121487804</v>
      </c>
      <c r="AJ7094">
        <v>93.878168941064203</v>
      </c>
      <c r="AK7094">
        <v>89.404184652417896</v>
      </c>
      <c r="AL7094">
        <v>87.631655380529196</v>
      </c>
      <c r="AM7094">
        <v>90.928103668869994</v>
      </c>
      <c r="AN7094">
        <v>0.99999996665275204</v>
      </c>
    </row>
    <row r="7095" spans="1:40" x14ac:dyDescent="0.25">
      <c r="A7095" t="str">
        <f>"20190312150831408"</f>
        <v>20190312150831408</v>
      </c>
      <c r="B7095" t="str">
        <f>"1552374511397014"</f>
        <v>1552374511397014</v>
      </c>
      <c r="C7095" t="s">
        <v>40</v>
      </c>
      <c r="D7095">
        <v>4.0446960000000001</v>
      </c>
      <c r="E7095">
        <v>0.48036909999999999</v>
      </c>
      <c r="F7095" t="s">
        <v>42</v>
      </c>
      <c r="G7095">
        <v>-382.0847</v>
      </c>
      <c r="H7095" s="1">
        <v>-4.2989639999999997E-6</v>
      </c>
      <c r="I7095">
        <v>134.4239</v>
      </c>
      <c r="J7095">
        <v>-290.5652</v>
      </c>
      <c r="K7095">
        <v>1.1100540000000001</v>
      </c>
      <c r="L7095">
        <v>140.92150000000001</v>
      </c>
      <c r="M7095">
        <v>-0.99992639999999999</v>
      </c>
      <c r="N7095">
        <v>0</v>
      </c>
      <c r="O7095">
        <v>-8.7252509999999903E-4</v>
      </c>
      <c r="P7095">
        <v>-0.99939679999999997</v>
      </c>
      <c r="Q7095">
        <v>2.9535780000000001E-2</v>
      </c>
      <c r="R7095">
        <v>-1.8283480000000001E-2</v>
      </c>
      <c r="S7095">
        <v>-2.9991460000000001</v>
      </c>
      <c r="T7095">
        <v>-3.6305190000000001E-2</v>
      </c>
      <c r="U7095">
        <v>-0.21250920000000001</v>
      </c>
      <c r="V7095">
        <v>-1.7399359999999999E-2</v>
      </c>
      <c r="W7095">
        <v>4.1644279999999999E-2</v>
      </c>
      <c r="X7095">
        <v>0.99898100000000001</v>
      </c>
      <c r="Y7095">
        <v>-6.9803909999999997E-2</v>
      </c>
      <c r="Z7095">
        <v>-4.1140069999999999E-4</v>
      </c>
      <c r="AA7095">
        <v>0.99756060000000002</v>
      </c>
      <c r="AB7095">
        <v>31</v>
      </c>
      <c r="AC7095">
        <v>-91.519499999999994</v>
      </c>
      <c r="AD7095">
        <v>-1.110058298964</v>
      </c>
      <c r="AE7095">
        <v>-6.4976000000000003</v>
      </c>
      <c r="AF7095">
        <v>-6.4167993293682803</v>
      </c>
      <c r="AG7095">
        <v>-1.110058298964</v>
      </c>
      <c r="AH7095">
        <v>91.511739435641601</v>
      </c>
      <c r="AI7095">
        <v>90.693274712387506</v>
      </c>
      <c r="AJ7095">
        <v>94.011012458999403</v>
      </c>
      <c r="AK7095">
        <v>91.743152319926594</v>
      </c>
      <c r="AL7095">
        <v>87.613268338965895</v>
      </c>
      <c r="AM7095">
        <v>90.997825891072097</v>
      </c>
      <c r="AN7095">
        <v>1.00000001107306</v>
      </c>
    </row>
    <row r="7096" spans="1:40" x14ac:dyDescent="0.25">
      <c r="A7096" t="str">
        <f>"20190312150831427"</f>
        <v>20190312150831427</v>
      </c>
      <c r="B7096" t="str">
        <f>"1552374511416523"</f>
        <v>1552374511416523</v>
      </c>
      <c r="C7096" t="s">
        <v>40</v>
      </c>
      <c r="D7096">
        <v>4.0461980000000004</v>
      </c>
      <c r="E7096">
        <v>0.48042289999999999</v>
      </c>
      <c r="F7096" t="s">
        <v>42</v>
      </c>
      <c r="G7096">
        <v>-384.3664</v>
      </c>
      <c r="H7096" s="1">
        <v>-3.3637090000000001E-6</v>
      </c>
      <c r="I7096">
        <v>134.1781</v>
      </c>
      <c r="J7096">
        <v>-290.83499999999998</v>
      </c>
      <c r="K7096">
        <v>1.110063</v>
      </c>
      <c r="L7096">
        <v>140.92140000000001</v>
      </c>
      <c r="M7096">
        <v>-0.99992630000000005</v>
      </c>
      <c r="N7096">
        <v>0</v>
      </c>
      <c r="O7096">
        <v>-7.6985140000000003E-4</v>
      </c>
      <c r="P7096">
        <v>-0.99933760000000005</v>
      </c>
      <c r="Q7096">
        <v>3.0348549999999998E-2</v>
      </c>
      <c r="R7096">
        <v>-2.0100819999999998E-2</v>
      </c>
      <c r="S7096">
        <v>-2.9989319999999999</v>
      </c>
      <c r="T7096">
        <v>-3.5489800000000002E-2</v>
      </c>
      <c r="U7096">
        <v>-0.21559139999999999</v>
      </c>
      <c r="V7096">
        <v>-1.9319300000000001E-2</v>
      </c>
      <c r="W7096">
        <v>4.2472759999999998E-2</v>
      </c>
      <c r="X7096">
        <v>0.99891079999999999</v>
      </c>
      <c r="Y7096">
        <v>-7.0931519999999998E-2</v>
      </c>
      <c r="Z7096">
        <v>-4.1005240000000002E-4</v>
      </c>
      <c r="AA7096">
        <v>0.99748110000000001</v>
      </c>
      <c r="AB7096">
        <v>31</v>
      </c>
      <c r="AC7096">
        <v>-93.531400000000005</v>
      </c>
      <c r="AD7096">
        <v>-1.110066363709</v>
      </c>
      <c r="AE7096">
        <v>-6.7432999999999996</v>
      </c>
      <c r="AF7096">
        <v>-6.6703527191598404</v>
      </c>
      <c r="AG7096">
        <v>-1.110066363709</v>
      </c>
      <c r="AH7096">
        <v>93.523458547662699</v>
      </c>
      <c r="AI7096">
        <v>90.678311080953407</v>
      </c>
      <c r="AJ7096">
        <v>94.079585893788305</v>
      </c>
      <c r="AK7096">
        <v>93.7676018219844</v>
      </c>
      <c r="AL7096">
        <v>87.565757811769203</v>
      </c>
      <c r="AM7096">
        <v>91.107983185724194</v>
      </c>
      <c r="AN7096">
        <v>0.99999997852557299</v>
      </c>
    </row>
    <row r="7097" spans="1:40" x14ac:dyDescent="0.25">
      <c r="A7097" t="str">
        <f>"20190312150831441"</f>
        <v>20190312150831441</v>
      </c>
      <c r="B7097" t="str">
        <f>"1552374511437019"</f>
        <v>1552374511437019</v>
      </c>
      <c r="C7097" t="s">
        <v>40</v>
      </c>
      <c r="D7097">
        <v>4.0874439999999996</v>
      </c>
      <c r="E7097">
        <v>0.48054340000000001</v>
      </c>
      <c r="F7097" t="s">
        <v>42</v>
      </c>
      <c r="G7097">
        <v>-390.2133</v>
      </c>
      <c r="H7097" s="1">
        <v>-5.2465459999999997E-6</v>
      </c>
      <c r="I7097">
        <v>133.6079</v>
      </c>
      <c r="J7097">
        <v>-291.03109999999998</v>
      </c>
      <c r="K7097">
        <v>1.1100650000000001</v>
      </c>
      <c r="L7097">
        <v>140.9213</v>
      </c>
      <c r="M7097">
        <v>-0.99992610000000004</v>
      </c>
      <c r="N7097">
        <v>0</v>
      </c>
      <c r="O7097">
        <v>-6.9517050000000001E-4</v>
      </c>
      <c r="P7097">
        <v>-0.99928950000000005</v>
      </c>
      <c r="Q7097">
        <v>3.0977959999999999E-2</v>
      </c>
      <c r="R7097">
        <v>-2.147613E-2</v>
      </c>
      <c r="S7097">
        <v>-2.998596</v>
      </c>
      <c r="T7097">
        <v>-3.3494709999999997E-2</v>
      </c>
      <c r="U7097">
        <v>-0.2206726</v>
      </c>
      <c r="V7097">
        <v>-2.0769099999999999E-2</v>
      </c>
      <c r="W7097">
        <v>4.311305E-2</v>
      </c>
      <c r="X7097">
        <v>0.99885429999999997</v>
      </c>
      <c r="Y7097">
        <v>-7.2695670000000004E-2</v>
      </c>
      <c r="Z7097">
        <v>-3.9769430000000003E-4</v>
      </c>
      <c r="AA7097">
        <v>0.99735410000000002</v>
      </c>
      <c r="AB7097">
        <v>31</v>
      </c>
      <c r="AC7097">
        <v>-99.182199999999995</v>
      </c>
      <c r="AD7097">
        <v>-1.110070246546</v>
      </c>
      <c r="AE7097">
        <v>-7.3133999999999997</v>
      </c>
      <c r="AF7097">
        <v>-7.2435421507936004</v>
      </c>
      <c r="AG7097">
        <v>-1.110070246546</v>
      </c>
      <c r="AH7097">
        <v>99.174904396747493</v>
      </c>
      <c r="AI7097">
        <v>90.639584542271393</v>
      </c>
      <c r="AJ7097">
        <v>94.177354736393696</v>
      </c>
      <c r="AK7097">
        <v>99.445275508425198</v>
      </c>
      <c r="AL7097">
        <v>87.529038316335701</v>
      </c>
      <c r="AM7097">
        <v>91.191175053546203</v>
      </c>
      <c r="AN7097">
        <v>1.0000000016118</v>
      </c>
    </row>
    <row r="7098" spans="1:40" x14ac:dyDescent="0.25">
      <c r="A7098" t="str">
        <f>"20190312150831453"</f>
        <v>20190312150831453</v>
      </c>
      <c r="B7098" t="str">
        <f>"1552374511446779"</f>
        <v>1552374511446779</v>
      </c>
      <c r="C7098" t="s">
        <v>40</v>
      </c>
      <c r="D7098">
        <v>4.3542519999999998</v>
      </c>
      <c r="E7098">
        <v>0.48063470000000003</v>
      </c>
      <c r="F7098" t="s">
        <v>42</v>
      </c>
      <c r="G7098">
        <v>-393.37819999999999</v>
      </c>
      <c r="H7098" s="1">
        <v>-3.947472E-6</v>
      </c>
      <c r="I7098">
        <v>133.27719999999999</v>
      </c>
      <c r="J7098">
        <v>-291.19779999999997</v>
      </c>
      <c r="K7098">
        <v>1.1100699999999999</v>
      </c>
      <c r="L7098">
        <v>140.9213</v>
      </c>
      <c r="M7098">
        <v>-0.99992599999999998</v>
      </c>
      <c r="N7098">
        <v>0</v>
      </c>
      <c r="O7098">
        <v>-6.3001639999999998E-4</v>
      </c>
      <c r="P7098">
        <v>-0.99926289999999995</v>
      </c>
      <c r="Q7098">
        <v>3.123598E-2</v>
      </c>
      <c r="R7098">
        <v>-2.23216E-2</v>
      </c>
      <c r="S7098">
        <v>-2.9983219999999999</v>
      </c>
      <c r="T7098">
        <v>-3.2520170000000001E-2</v>
      </c>
      <c r="U7098">
        <v>-0.223938</v>
      </c>
      <c r="V7098">
        <v>-2.1679509999999999E-2</v>
      </c>
      <c r="W7098">
        <v>4.3381250000000003E-2</v>
      </c>
      <c r="X7098">
        <v>0.99882329999999997</v>
      </c>
      <c r="Y7098">
        <v>-7.3847739999999995E-2</v>
      </c>
      <c r="Z7098">
        <v>-3.9308840000000002E-4</v>
      </c>
      <c r="AA7098">
        <v>0.99726950000000003</v>
      </c>
      <c r="AB7098">
        <v>31</v>
      </c>
      <c r="AC7098">
        <v>-102.18040000000001</v>
      </c>
      <c r="AD7098">
        <v>-1.1100739474720001</v>
      </c>
      <c r="AE7098">
        <v>-7.6440999999999999</v>
      </c>
      <c r="AF7098">
        <v>-7.5788289015398496</v>
      </c>
      <c r="AG7098">
        <v>-1.1100739474720001</v>
      </c>
      <c r="AH7098">
        <v>102.17320425104499</v>
      </c>
      <c r="AI7098">
        <v>90.620767597592604</v>
      </c>
      <c r="AJ7098">
        <v>94.242219154547698</v>
      </c>
      <c r="AK7098">
        <v>102.45991693639699</v>
      </c>
      <c r="AL7098">
        <v>87.513657092508396</v>
      </c>
      <c r="AM7098">
        <v>91.243412541675298</v>
      </c>
      <c r="AN7098">
        <v>0.99999995931414498</v>
      </c>
    </row>
    <row r="7099" spans="1:40" x14ac:dyDescent="0.25">
      <c r="A7099" t="str">
        <f>"20190312150831466"</f>
        <v>20190312150831466</v>
      </c>
      <c r="B7099" t="str">
        <f>"1552374511456540"</f>
        <v>1552374511456540</v>
      </c>
      <c r="C7099" t="s">
        <v>40</v>
      </c>
      <c r="D7099">
        <v>4.1054519999999997</v>
      </c>
      <c r="E7099">
        <v>0.4807515</v>
      </c>
      <c r="F7099" t="s">
        <v>42</v>
      </c>
      <c r="G7099">
        <v>-399.92290000000003</v>
      </c>
      <c r="H7099" s="1">
        <v>-1.842862E-6</v>
      </c>
      <c r="I7099">
        <v>132.7362</v>
      </c>
      <c r="J7099">
        <v>-291.36970000000002</v>
      </c>
      <c r="K7099">
        <v>1.110069</v>
      </c>
      <c r="L7099">
        <v>140.9212</v>
      </c>
      <c r="M7099">
        <v>-0.99992590000000003</v>
      </c>
      <c r="N7099">
        <v>0</v>
      </c>
      <c r="O7099">
        <v>-5.6212269999999999E-4</v>
      </c>
      <c r="P7099">
        <v>-0.99922069999999996</v>
      </c>
      <c r="Q7099">
        <v>3.1799880000000003E-2</v>
      </c>
      <c r="R7099">
        <v>-2.3387060000000001E-2</v>
      </c>
      <c r="S7099">
        <v>-2.9981990000000001</v>
      </c>
      <c r="T7099">
        <v>-3.0611280000000001E-2</v>
      </c>
      <c r="U7099">
        <v>-0.22570799999999999</v>
      </c>
      <c r="V7099">
        <v>-2.281246E-2</v>
      </c>
      <c r="W7099">
        <v>4.3955290000000001E-2</v>
      </c>
      <c r="X7099">
        <v>0.99877300000000002</v>
      </c>
      <c r="Y7099">
        <v>-7.4504349999999997E-2</v>
      </c>
      <c r="Z7099">
        <v>-3.7406199999999998E-4</v>
      </c>
      <c r="AA7099">
        <v>0.99722060000000001</v>
      </c>
      <c r="AB7099">
        <v>31</v>
      </c>
      <c r="AC7099">
        <v>-108.5532</v>
      </c>
      <c r="AD7099">
        <v>-1.1100708428620001</v>
      </c>
      <c r="AE7099">
        <v>-8.1850000000000005</v>
      </c>
      <c r="AF7099">
        <v>-8.1231293252851202</v>
      </c>
      <c r="AG7099">
        <v>-1.1100708428620001</v>
      </c>
      <c r="AH7099">
        <v>108.54649738703201</v>
      </c>
      <c r="AI7099">
        <v>90.5842917455752</v>
      </c>
      <c r="AJ7099">
        <v>94.279779686373601</v>
      </c>
      <c r="AK7099">
        <v>108.855682361118</v>
      </c>
      <c r="AL7099">
        <v>87.480735696282807</v>
      </c>
      <c r="AM7099">
        <v>91.308435908288402</v>
      </c>
      <c r="AN7099">
        <v>0.99999999068961698</v>
      </c>
    </row>
    <row r="7100" spans="1:40" x14ac:dyDescent="0.25">
      <c r="A7100" t="str">
        <f>"20190312150831478"</f>
        <v>20190312150831478</v>
      </c>
      <c r="B7100" t="str">
        <f>"1552374511467275"</f>
        <v>1552374511467275</v>
      </c>
      <c r="C7100" t="s">
        <v>40</v>
      </c>
      <c r="D7100">
        <v>4.0946889999999998</v>
      </c>
      <c r="E7100">
        <v>0.48092000000000001</v>
      </c>
      <c r="F7100" t="s">
        <v>77</v>
      </c>
      <c r="G7100">
        <v>-410.61950000000002</v>
      </c>
      <c r="H7100" s="1">
        <v>-7.2261159999999997E-6</v>
      </c>
      <c r="I7100">
        <v>131.85380000000001</v>
      </c>
      <c r="J7100">
        <v>-291.53989999999999</v>
      </c>
      <c r="K7100">
        <v>1.1100719999999999</v>
      </c>
      <c r="L7100">
        <v>140.9212</v>
      </c>
      <c r="M7100">
        <v>-0.99992590000000003</v>
      </c>
      <c r="N7100">
        <v>0</v>
      </c>
      <c r="O7100">
        <v>-4.938748E-4</v>
      </c>
      <c r="P7100">
        <v>-0.99914519999999996</v>
      </c>
      <c r="Q7100">
        <v>3.2701250000000001E-2</v>
      </c>
      <c r="R7100">
        <v>-2.5291729999999998E-2</v>
      </c>
      <c r="S7100">
        <v>-2.9978940000000001</v>
      </c>
      <c r="T7100">
        <v>-2.790689E-2</v>
      </c>
      <c r="U7100">
        <v>-0.22795099999999999</v>
      </c>
      <c r="V7100">
        <v>-2.478499E-2</v>
      </c>
      <c r="W7100">
        <v>4.4868489999999997E-2</v>
      </c>
      <c r="X7100">
        <v>0.99868539999999995</v>
      </c>
      <c r="Y7100">
        <v>-7.5322490000000006E-2</v>
      </c>
      <c r="Z7100">
        <v>-3.4547839999999903E-4</v>
      </c>
      <c r="AA7100">
        <v>0.99715920000000002</v>
      </c>
      <c r="AB7100">
        <v>31</v>
      </c>
      <c r="AC7100">
        <v>-119.0796</v>
      </c>
      <c r="AD7100">
        <v>-1.110079226116</v>
      </c>
      <c r="AE7100">
        <v>-9.0673999999999904</v>
      </c>
      <c r="AF7100">
        <v>-9.0078058394796301</v>
      </c>
      <c r="AG7100">
        <v>-1.110079226116</v>
      </c>
      <c r="AH7100">
        <v>119.073775788278</v>
      </c>
      <c r="AI7100">
        <v>90.532609407377905</v>
      </c>
      <c r="AJ7100">
        <v>94.326125521104402</v>
      </c>
      <c r="AK7100">
        <v>119.41916480367399</v>
      </c>
      <c r="AL7100">
        <v>87.428361541550998</v>
      </c>
      <c r="AM7100">
        <v>91.421652786617997</v>
      </c>
      <c r="AN7100">
        <v>1.00000000264867</v>
      </c>
    </row>
    <row r="7101" spans="1:40" x14ac:dyDescent="0.25">
      <c r="A7101" t="str">
        <f>"20190312150831507"</f>
        <v>20190312150831507</v>
      </c>
      <c r="B7101" t="str">
        <f>"1552374511497141"</f>
        <v>1552374511497141</v>
      </c>
      <c r="C7101" t="s">
        <v>40</v>
      </c>
      <c r="D7101">
        <v>4.1295299999999999</v>
      </c>
      <c r="E7101">
        <v>0.48137200000000002</v>
      </c>
      <c r="F7101" t="s">
        <v>77</v>
      </c>
      <c r="G7101">
        <v>-428.52229999999997</v>
      </c>
      <c r="H7101" s="1">
        <v>-7.334837E-6</v>
      </c>
      <c r="I7101">
        <v>130.30369999999999</v>
      </c>
      <c r="J7101">
        <v>-291.93239999999997</v>
      </c>
      <c r="K7101">
        <v>1.110085</v>
      </c>
      <c r="L7101">
        <v>140.9212</v>
      </c>
      <c r="M7101">
        <v>-0.99992550000000002</v>
      </c>
      <c r="N7101">
        <v>0</v>
      </c>
      <c r="O7101">
        <v>-3.4183519999999998E-4</v>
      </c>
      <c r="P7101">
        <v>-0.99904190000000004</v>
      </c>
      <c r="Q7101">
        <v>3.407578E-2</v>
      </c>
      <c r="R7101">
        <v>-2.7464079999999998E-2</v>
      </c>
      <c r="S7101">
        <v>-2.9974370000000001</v>
      </c>
      <c r="T7101">
        <v>-2.4290679999999999E-2</v>
      </c>
      <c r="U7101">
        <v>-0.23233029999999999</v>
      </c>
      <c r="V7101">
        <v>-2.7109000000000001E-2</v>
      </c>
      <c r="W7101">
        <v>4.6273700000000001E-2</v>
      </c>
      <c r="X7101">
        <v>0.99856089999999997</v>
      </c>
      <c r="Y7101">
        <v>-7.6934539999999996E-2</v>
      </c>
      <c r="Z7101">
        <v>-3.0849369999999998E-4</v>
      </c>
      <c r="AA7101">
        <v>0.99703609999999998</v>
      </c>
      <c r="AB7101">
        <v>31</v>
      </c>
      <c r="AC7101">
        <v>-136.5899</v>
      </c>
      <c r="AD7101">
        <v>-1.110092334837</v>
      </c>
      <c r="AE7101">
        <v>-10.6175</v>
      </c>
      <c r="AF7101">
        <v>-10.5701106920078</v>
      </c>
      <c r="AG7101">
        <v>-1.110092334837</v>
      </c>
      <c r="AH7101">
        <v>136.58455432783299</v>
      </c>
      <c r="AI7101">
        <v>90.464273633338607</v>
      </c>
      <c r="AJ7101">
        <v>94.425229715145207</v>
      </c>
      <c r="AK7101">
        <v>136.997445326422</v>
      </c>
      <c r="AL7101">
        <v>87.347765226142698</v>
      </c>
      <c r="AM7101">
        <v>91.555087796034897</v>
      </c>
      <c r="AN7101">
        <v>1.00000001210075</v>
      </c>
    </row>
    <row r="7102" spans="1:40" x14ac:dyDescent="0.25">
      <c r="A7102" t="str">
        <f>"20190312150831528"</f>
        <v>20190312150831528</v>
      </c>
      <c r="B7102" t="str">
        <f>"1552374511516649"</f>
        <v>1552374511516649</v>
      </c>
      <c r="C7102" t="s">
        <v>40</v>
      </c>
      <c r="D7102">
        <v>4.1080680000000003</v>
      </c>
      <c r="E7102">
        <v>0.4816819</v>
      </c>
      <c r="F7102" t="s">
        <v>42</v>
      </c>
      <c r="G7102">
        <v>-463.7201</v>
      </c>
      <c r="H7102">
        <v>7.9986429999999997E-2</v>
      </c>
      <c r="I7102">
        <v>127.43510000000001</v>
      </c>
      <c r="J7102">
        <v>-292.22640000000001</v>
      </c>
      <c r="K7102">
        <v>1.1100920000000001</v>
      </c>
      <c r="L7102">
        <v>140.9212</v>
      </c>
      <c r="M7102">
        <v>-0.99992510000000001</v>
      </c>
      <c r="N7102">
        <v>0</v>
      </c>
      <c r="O7102">
        <v>-2.3511680000000001E-4</v>
      </c>
      <c r="P7102">
        <v>-0.99897239999999998</v>
      </c>
      <c r="Q7102">
        <v>3.519775E-2</v>
      </c>
      <c r="R7102">
        <v>-2.8556450000000001E-2</v>
      </c>
      <c r="S7102">
        <v>-2.9969790000000001</v>
      </c>
      <c r="T7102">
        <v>-1.7970920000000001E-2</v>
      </c>
      <c r="U7102">
        <v>-0.23527529999999999</v>
      </c>
      <c r="V7102">
        <v>-2.8307829999999999E-2</v>
      </c>
      <c r="W7102">
        <v>4.742495E-2</v>
      </c>
      <c r="X7102">
        <v>0.99847359999999996</v>
      </c>
      <c r="Y7102">
        <v>-7.8027550000000001E-2</v>
      </c>
      <c r="Z7102">
        <v>-2.321709E-4</v>
      </c>
      <c r="AA7102">
        <v>0.99695120000000004</v>
      </c>
      <c r="AB7102">
        <v>31</v>
      </c>
      <c r="AC7102">
        <v>-171.49369999999999</v>
      </c>
      <c r="AD7102">
        <v>-1.0301055699999999</v>
      </c>
      <c r="AE7102">
        <v>-13.486099999999899</v>
      </c>
      <c r="AF7102">
        <v>-13.4452934327186</v>
      </c>
      <c r="AG7102">
        <v>-1.0301055699999999</v>
      </c>
      <c r="AH7102">
        <v>171.49071693996001</v>
      </c>
      <c r="AI7102">
        <v>90.343105637684502</v>
      </c>
      <c r="AJ7102">
        <v>94.4829593534743</v>
      </c>
      <c r="AK7102">
        <v>172.02006577594</v>
      </c>
      <c r="AL7102">
        <v>87.2817309014698</v>
      </c>
      <c r="AM7102">
        <v>91.623963655560303</v>
      </c>
      <c r="AN7102">
        <v>0.99999999450938504</v>
      </c>
    </row>
    <row r="7103" spans="1:40" x14ac:dyDescent="0.25">
      <c r="A7103" t="str">
        <f>"20190312150831551"</f>
        <v>20190312150831551</v>
      </c>
      <c r="B7103" t="str">
        <f>"1552374511546905"</f>
        <v>1552374511546905</v>
      </c>
      <c r="C7103" t="s">
        <v>40</v>
      </c>
      <c r="D7103">
        <v>4.1340960000000004</v>
      </c>
      <c r="E7103">
        <v>0.482124</v>
      </c>
      <c r="F7103" t="s">
        <v>43</v>
      </c>
      <c r="G7103">
        <v>-553.64869999999996</v>
      </c>
      <c r="H7103">
        <v>-0.05</v>
      </c>
      <c r="I7103">
        <v>120.3253</v>
      </c>
      <c r="J7103">
        <v>-292.54579999999999</v>
      </c>
      <c r="K7103">
        <v>1.110101</v>
      </c>
      <c r="L7103">
        <v>140.9212</v>
      </c>
      <c r="M7103">
        <v>-0.99992479999999995</v>
      </c>
      <c r="N7103">
        <v>0</v>
      </c>
      <c r="O7103">
        <v>-1.2604860000000001E-4</v>
      </c>
      <c r="P7103">
        <v>-0.99889790000000001</v>
      </c>
      <c r="Q7103">
        <v>3.6022279999999997E-2</v>
      </c>
      <c r="R7103">
        <v>-3.0090809999999999E-2</v>
      </c>
      <c r="S7103">
        <v>-2.9967959999999998</v>
      </c>
      <c r="T7103">
        <v>-1.3298630000000001E-2</v>
      </c>
      <c r="U7103">
        <v>-0.23609920000000001</v>
      </c>
      <c r="V7103">
        <v>-2.9951499999999999E-2</v>
      </c>
      <c r="W7103">
        <v>4.8286549999999998E-2</v>
      </c>
      <c r="X7103">
        <v>0.99838439999999995</v>
      </c>
      <c r="Y7103">
        <v>-7.84141E-2</v>
      </c>
      <c r="Z7103">
        <v>-1.731573E-4</v>
      </c>
      <c r="AA7103">
        <v>0.9969209</v>
      </c>
      <c r="AB7103">
        <v>31</v>
      </c>
      <c r="AC7103">
        <v>-261.10289999999998</v>
      </c>
      <c r="AD7103">
        <v>-1.160101</v>
      </c>
      <c r="AE7103">
        <v>-20.5959</v>
      </c>
      <c r="AF7103">
        <v>-20.5625822915108</v>
      </c>
      <c r="AG7103">
        <v>-1.160101</v>
      </c>
      <c r="AH7103">
        <v>261.10037170650202</v>
      </c>
      <c r="AI7103">
        <v>90.253784730768203</v>
      </c>
      <c r="AJ7103">
        <v>94.502952340722999</v>
      </c>
      <c r="AK7103">
        <v>261.91137762628603</v>
      </c>
      <c r="AL7103">
        <v>87.232308374957398</v>
      </c>
      <c r="AM7103">
        <v>91.718356166874798</v>
      </c>
      <c r="AN7103">
        <v>1.0000000467132499</v>
      </c>
    </row>
    <row r="7104" spans="1:40" x14ac:dyDescent="0.25">
      <c r="A7104" t="str">
        <f>"20190312150831574"</f>
        <v>20190312150831574</v>
      </c>
      <c r="B7104" t="str">
        <f>"1552374511567401"</f>
        <v>1552374511567401</v>
      </c>
      <c r="C7104" t="s">
        <v>40</v>
      </c>
      <c r="D7104">
        <v>4.1837390000000001</v>
      </c>
      <c r="E7104">
        <v>0.48226869999999999</v>
      </c>
      <c r="F7104" t="s">
        <v>48</v>
      </c>
      <c r="G7104">
        <v>0</v>
      </c>
      <c r="H7104">
        <v>0</v>
      </c>
      <c r="I7104">
        <v>0</v>
      </c>
      <c r="J7104">
        <v>-292.86309999999997</v>
      </c>
      <c r="K7104">
        <v>1.1101110000000001</v>
      </c>
      <c r="L7104">
        <v>140.92140000000001</v>
      </c>
      <c r="M7104">
        <v>-0.99992420000000004</v>
      </c>
      <c r="N7104">
        <v>0</v>
      </c>
      <c r="O7104" s="1">
        <v>-2.420181E-5</v>
      </c>
      <c r="P7104">
        <v>-0.99883270000000002</v>
      </c>
      <c r="Q7104">
        <v>3.6972949999999997E-2</v>
      </c>
      <c r="R7104">
        <v>-3.1090059999999999E-2</v>
      </c>
      <c r="S7104">
        <v>-2.9965820000000001</v>
      </c>
      <c r="T7104">
        <v>-1.002669E-2</v>
      </c>
      <c r="U7104">
        <v>-0.23713680000000001</v>
      </c>
      <c r="V7104">
        <v>-3.105159E-2</v>
      </c>
      <c r="W7104">
        <v>4.9278620000000002E-2</v>
      </c>
      <c r="X7104">
        <v>0.99830229999999998</v>
      </c>
      <c r="Y7104">
        <v>-7.8864580000000004E-2</v>
      </c>
      <c r="Z7104">
        <v>-1.31655E-4</v>
      </c>
      <c r="AA7104">
        <v>0.99688540000000003</v>
      </c>
      <c r="AB7104">
        <v>31</v>
      </c>
      <c r="AC7104">
        <v>-2.9965820000000001</v>
      </c>
      <c r="AD7104">
        <v>-1.002669E-2</v>
      </c>
      <c r="AE7104">
        <v>-0.23713680000000001</v>
      </c>
      <c r="AF7104">
        <v>-0.237061634100978</v>
      </c>
      <c r="AG7104">
        <v>-1.002669E-2</v>
      </c>
      <c r="AH7104">
        <v>2.9965543980723202</v>
      </c>
      <c r="AI7104">
        <v>90.191118020131796</v>
      </c>
      <c r="AJ7104">
        <v>94.523328830363397</v>
      </c>
      <c r="AK7104">
        <v>3.0059336342443701</v>
      </c>
      <c r="AL7104">
        <v>87.175399157382998</v>
      </c>
      <c r="AM7104">
        <v>91.781576210921699</v>
      </c>
      <c r="AN7104">
        <v>1.0000000329079599</v>
      </c>
    </row>
    <row r="7105" spans="1:40" x14ac:dyDescent="0.25">
      <c r="A7105" t="str">
        <f>"20190312150831595"</f>
        <v>20190312150831595</v>
      </c>
      <c r="B7105" t="str">
        <f>"1552374511586921"</f>
        <v>1552374511586921</v>
      </c>
      <c r="C7105" t="s">
        <v>40</v>
      </c>
      <c r="D7105">
        <v>4.1463890000000001</v>
      </c>
      <c r="E7105">
        <v>0.48252440000000002</v>
      </c>
      <c r="F7105" t="s">
        <v>48</v>
      </c>
      <c r="G7105">
        <v>0</v>
      </c>
      <c r="H7105">
        <v>0</v>
      </c>
      <c r="I7105">
        <v>0</v>
      </c>
      <c r="J7105">
        <v>-293.16500000000002</v>
      </c>
      <c r="K7105">
        <v>1.1101270000000001</v>
      </c>
      <c r="L7105">
        <v>140.92150000000001</v>
      </c>
      <c r="M7105">
        <v>-0.99992380000000003</v>
      </c>
      <c r="N7105">
        <v>0</v>
      </c>
      <c r="O7105" s="1">
        <v>7.4487979999999994E-5</v>
      </c>
      <c r="P7105">
        <v>-0.99879260000000003</v>
      </c>
      <c r="Q7105">
        <v>3.747789E-2</v>
      </c>
      <c r="R7105">
        <v>-3.1766839999999998E-2</v>
      </c>
      <c r="S7105">
        <v>-2.9963380000000002</v>
      </c>
      <c r="T7105">
        <v>-7.0695879999999999E-3</v>
      </c>
      <c r="U7105">
        <v>-0.2389984</v>
      </c>
      <c r="V7105">
        <v>-3.182712E-2</v>
      </c>
      <c r="W7105">
        <v>4.982727E-2</v>
      </c>
      <c r="X7105">
        <v>0.99825059999999999</v>
      </c>
      <c r="Y7105">
        <v>-7.9585020000000006E-2</v>
      </c>
      <c r="Z7105" s="1">
        <v>-9.3913310000000002E-5</v>
      </c>
      <c r="AA7105">
        <v>0.99682809999999999</v>
      </c>
      <c r="AB7105">
        <v>31</v>
      </c>
      <c r="AC7105">
        <v>-2.9963380000000002</v>
      </c>
      <c r="AD7105">
        <v>-7.0695879999999999E-3</v>
      </c>
      <c r="AE7105">
        <v>-0.2389984</v>
      </c>
      <c r="AF7105">
        <v>-0.23922028423418301</v>
      </c>
      <c r="AG7105">
        <v>-7.0695879999999999E-3</v>
      </c>
      <c r="AH7105">
        <v>2.99630361341067</v>
      </c>
      <c r="AI7105">
        <v>90.134756702540301</v>
      </c>
      <c r="AJ7105">
        <v>94.564724783461799</v>
      </c>
      <c r="AK7105">
        <v>3.0058462480974399</v>
      </c>
      <c r="AL7105">
        <v>87.143925044090196</v>
      </c>
      <c r="AM7105">
        <v>91.826136775943198</v>
      </c>
      <c r="AN7105">
        <v>0.999999991401753</v>
      </c>
    </row>
    <row r="7106" spans="1:40" x14ac:dyDescent="0.25">
      <c r="A7106" t="str">
        <f>"20190312150831617"</f>
        <v>20190312150831617</v>
      </c>
      <c r="B7106" t="str">
        <f>"1552374511606990"</f>
        <v>1552374511606990</v>
      </c>
      <c r="C7106" t="s">
        <v>40</v>
      </c>
      <c r="D7106">
        <v>4.1991649999999998</v>
      </c>
      <c r="E7106">
        <v>0.4828209</v>
      </c>
      <c r="F7106" t="s">
        <v>48</v>
      </c>
      <c r="G7106">
        <v>0</v>
      </c>
      <c r="H7106">
        <v>0</v>
      </c>
      <c r="I7106">
        <v>0</v>
      </c>
      <c r="J7106">
        <v>-293.4581</v>
      </c>
      <c r="K7106">
        <v>1.110144</v>
      </c>
      <c r="L7106">
        <v>140.92160000000001</v>
      </c>
      <c r="M7106">
        <v>-0.99992309999999995</v>
      </c>
      <c r="N7106">
        <v>0</v>
      </c>
      <c r="O7106">
        <v>1.7809599999999901E-4</v>
      </c>
      <c r="P7106">
        <v>-0.99872629999999996</v>
      </c>
      <c r="Q7106">
        <v>3.8002519999999998E-2</v>
      </c>
      <c r="R7106">
        <v>-3.3195420000000003E-2</v>
      </c>
      <c r="S7106">
        <v>-2.9962770000000001</v>
      </c>
      <c r="T7106">
        <v>-6.4611429999999999E-3</v>
      </c>
      <c r="U7106">
        <v>-0.239151</v>
      </c>
      <c r="V7106">
        <v>-3.3360279999999999E-2</v>
      </c>
      <c r="W7106">
        <v>5.0402089999999997E-2</v>
      </c>
      <c r="X7106">
        <v>0.9981717</v>
      </c>
      <c r="Y7106">
        <v>-7.9740400000000003E-2</v>
      </c>
      <c r="Z7106" s="1">
        <v>-8.6222590000000003E-5</v>
      </c>
      <c r="AA7106">
        <v>0.99681569999999997</v>
      </c>
      <c r="AB7106">
        <v>31</v>
      </c>
      <c r="AC7106">
        <v>-2.9962770000000001</v>
      </c>
      <c r="AD7106">
        <v>-6.4611429999999999E-3</v>
      </c>
      <c r="AE7106">
        <v>-0.239151</v>
      </c>
      <c r="AF7106">
        <v>-0.23968355470781</v>
      </c>
      <c r="AG7106">
        <v>-6.4611429999999999E-3</v>
      </c>
      <c r="AH7106">
        <v>2.9962205130753499</v>
      </c>
      <c r="AI7106">
        <v>90.123160768975197</v>
      </c>
      <c r="AJ7106">
        <v>94.5736536041954</v>
      </c>
      <c r="AK7106">
        <v>3.0057989479903302</v>
      </c>
      <c r="AL7106">
        <v>87.110948903934698</v>
      </c>
      <c r="AM7106">
        <v>91.914191768673902</v>
      </c>
      <c r="AN7106">
        <v>1.00000001081946</v>
      </c>
    </row>
    <row r="7107" spans="1:40" x14ac:dyDescent="0.25">
      <c r="A7107" t="str">
        <f>"20190312150831640"</f>
        <v>20190312150831640</v>
      </c>
      <c r="B7107" t="str">
        <f>"1552374511627486"</f>
        <v>1552374511627486</v>
      </c>
      <c r="C7107" t="s">
        <v>40</v>
      </c>
      <c r="D7107">
        <v>4.1694809999999896</v>
      </c>
      <c r="E7107">
        <v>0.48312090000000002</v>
      </c>
      <c r="F7107" t="s">
        <v>48</v>
      </c>
      <c r="G7107">
        <v>0</v>
      </c>
      <c r="H7107">
        <v>0</v>
      </c>
      <c r="I7107">
        <v>0</v>
      </c>
      <c r="J7107">
        <v>-293.7663</v>
      </c>
      <c r="K7107">
        <v>1.1101639999999999</v>
      </c>
      <c r="L7107">
        <v>140.92179999999999</v>
      </c>
      <c r="M7107">
        <v>-0.99992219999999998</v>
      </c>
      <c r="N7107">
        <v>0</v>
      </c>
      <c r="O7107">
        <v>2.908694E-4</v>
      </c>
      <c r="P7107">
        <v>-0.99865930000000003</v>
      </c>
      <c r="Q7107">
        <v>3.8388980000000003E-2</v>
      </c>
      <c r="R7107">
        <v>-3.4729910000000003E-2</v>
      </c>
      <c r="S7107">
        <v>-2.9960629999999999</v>
      </c>
      <c r="T7107">
        <v>-6.3365699999999997E-3</v>
      </c>
      <c r="U7107">
        <v>-0.24121090000000001</v>
      </c>
      <c r="V7107">
        <v>-3.5007700000000003E-2</v>
      </c>
      <c r="W7107">
        <v>5.0852109999999999E-2</v>
      </c>
      <c r="X7107">
        <v>0.99809239999999999</v>
      </c>
      <c r="Y7107">
        <v>-8.053942E-2</v>
      </c>
      <c r="Z7107" s="1">
        <v>-8.5645630000000001E-5</v>
      </c>
      <c r="AA7107">
        <v>0.99675139999999995</v>
      </c>
      <c r="AB7107">
        <v>31</v>
      </c>
      <c r="AC7107">
        <v>-2.9960629999999999</v>
      </c>
      <c r="AD7107">
        <v>-6.3365699999999997E-3</v>
      </c>
      <c r="AE7107">
        <v>-0.24121090000000001</v>
      </c>
      <c r="AF7107">
        <v>-0.24208134473450099</v>
      </c>
      <c r="AG7107">
        <v>-6.3365699999999997E-3</v>
      </c>
      <c r="AH7107">
        <v>2.9959793919644899</v>
      </c>
      <c r="AI7107">
        <v>90.120788131598601</v>
      </c>
      <c r="AJ7107">
        <v>94.619581477388294</v>
      </c>
      <c r="AK7107">
        <v>3.0057504964091302</v>
      </c>
      <c r="AL7107">
        <v>87.085131394373406</v>
      </c>
      <c r="AM7107">
        <v>92.008803532825794</v>
      </c>
      <c r="AN7107">
        <v>0.99999995754424997</v>
      </c>
    </row>
    <row r="7108" spans="1:40" x14ac:dyDescent="0.25">
      <c r="A7108" t="str">
        <f>"20190312150831662"</f>
        <v>20190312150831662</v>
      </c>
      <c r="B7108" t="str">
        <f>"1552374511656766"</f>
        <v>1552374511656766</v>
      </c>
      <c r="C7108" t="s">
        <v>40</v>
      </c>
      <c r="D7108">
        <v>4.2007490000000001</v>
      </c>
      <c r="E7108">
        <v>0.48360520000000001</v>
      </c>
      <c r="F7108" t="s">
        <v>48</v>
      </c>
      <c r="G7108">
        <v>0</v>
      </c>
      <c r="H7108">
        <v>0</v>
      </c>
      <c r="I7108">
        <v>0</v>
      </c>
      <c r="J7108">
        <v>-294.08010000000002</v>
      </c>
      <c r="K7108">
        <v>1.110179</v>
      </c>
      <c r="L7108">
        <v>140.922</v>
      </c>
      <c r="M7108">
        <v>-0.99992110000000001</v>
      </c>
      <c r="N7108">
        <v>0</v>
      </c>
      <c r="O7108">
        <v>4.0479360000000001E-4</v>
      </c>
      <c r="P7108">
        <v>-0.99861239999999996</v>
      </c>
      <c r="Q7108">
        <v>3.7942730000000001E-2</v>
      </c>
      <c r="R7108">
        <v>-3.6524910000000001E-2</v>
      </c>
      <c r="S7108">
        <v>-2.995819</v>
      </c>
      <c r="T7108">
        <v>-7.3379279999999996E-3</v>
      </c>
      <c r="U7108">
        <v>-0.243454</v>
      </c>
      <c r="V7108">
        <v>-3.69168E-2</v>
      </c>
      <c r="W7108">
        <v>5.0483519999999997E-2</v>
      </c>
      <c r="X7108">
        <v>0.99804230000000005</v>
      </c>
      <c r="Y7108">
        <v>-8.1400819999999999E-2</v>
      </c>
      <c r="Z7108">
        <v>-1.0051690000000001E-4</v>
      </c>
      <c r="AA7108">
        <v>0.9966815</v>
      </c>
      <c r="AB7108">
        <v>31</v>
      </c>
      <c r="AC7108">
        <v>-2.995819</v>
      </c>
      <c r="AD7108">
        <v>-7.3379279999999996E-3</v>
      </c>
      <c r="AE7108">
        <v>-0.243454</v>
      </c>
      <c r="AF7108">
        <v>-0.24466530575645801</v>
      </c>
      <c r="AG7108">
        <v>-7.3379279999999996E-3</v>
      </c>
      <c r="AH7108">
        <v>2.9957023432951702</v>
      </c>
      <c r="AI7108">
        <v>90.139879129773405</v>
      </c>
      <c r="AJ7108">
        <v>94.669103629404503</v>
      </c>
      <c r="AK7108">
        <v>3.0056858596088198</v>
      </c>
      <c r="AL7108">
        <v>87.106277139802799</v>
      </c>
      <c r="AM7108">
        <v>92.118360074773193</v>
      </c>
      <c r="AN7108">
        <v>0.99999993425155798</v>
      </c>
    </row>
    <row r="7109" spans="1:40" x14ac:dyDescent="0.25">
      <c r="A7109" t="str">
        <f>"20190312150831685"</f>
        <v>20190312150831685</v>
      </c>
      <c r="B7109" t="str">
        <f>"1552374511677262"</f>
        <v>1552374511677262</v>
      </c>
      <c r="C7109" t="s">
        <v>40</v>
      </c>
      <c r="D7109">
        <v>4.212834</v>
      </c>
      <c r="E7109">
        <v>0.48389470000000001</v>
      </c>
      <c r="F7109" t="s">
        <v>48</v>
      </c>
      <c r="G7109">
        <v>0</v>
      </c>
      <c r="H7109">
        <v>0</v>
      </c>
      <c r="I7109">
        <v>0</v>
      </c>
      <c r="J7109">
        <v>-294.38990000000001</v>
      </c>
      <c r="K7109">
        <v>1.1101840000000001</v>
      </c>
      <c r="L7109">
        <v>140.9222</v>
      </c>
      <c r="M7109">
        <v>-0.99992009999999998</v>
      </c>
      <c r="N7109">
        <v>0</v>
      </c>
      <c r="O7109">
        <v>5.1361430000000001E-4</v>
      </c>
      <c r="P7109">
        <v>-0.99861710000000004</v>
      </c>
      <c r="Q7109">
        <v>3.5865800000000003E-2</v>
      </c>
      <c r="R7109">
        <v>-3.8442570000000002E-2</v>
      </c>
      <c r="S7109">
        <v>-2.9956360000000002</v>
      </c>
      <c r="T7109">
        <v>-1.1019950000000001E-2</v>
      </c>
      <c r="U7109">
        <v>-0.24507139999999999</v>
      </c>
      <c r="V7109">
        <v>-3.8943619999999998E-2</v>
      </c>
      <c r="W7109">
        <v>4.849755E-2</v>
      </c>
      <c r="X7109">
        <v>0.99806379999999995</v>
      </c>
      <c r="Y7109">
        <v>-8.2048469999999998E-2</v>
      </c>
      <c r="Z7109">
        <v>-1.5254870000000001E-4</v>
      </c>
      <c r="AA7109">
        <v>0.99662830000000002</v>
      </c>
      <c r="AB7109">
        <v>31</v>
      </c>
      <c r="AC7109">
        <v>-2.9956360000000002</v>
      </c>
      <c r="AD7109">
        <v>-1.1019950000000001E-2</v>
      </c>
      <c r="AE7109">
        <v>-0.24507139999999999</v>
      </c>
      <c r="AF7109">
        <v>-0.24660677685488</v>
      </c>
      <c r="AG7109">
        <v>-1.1019950000000001E-2</v>
      </c>
      <c r="AH7109">
        <v>2.9954694556120001</v>
      </c>
      <c r="AI7109">
        <v>90.210072221593805</v>
      </c>
      <c r="AJ7109">
        <v>94.706352431906197</v>
      </c>
      <c r="AK7109">
        <v>3.0056236626020301</v>
      </c>
      <c r="AL7109">
        <v>87.220204609497003</v>
      </c>
      <c r="AM7109">
        <v>92.234500153459194</v>
      </c>
      <c r="AN7109">
        <v>0.99999998338257301</v>
      </c>
    </row>
    <row r="7110" spans="1:40" x14ac:dyDescent="0.25">
      <c r="A7110" t="str">
        <f>"20190312150831707"</f>
        <v>20190312150831707</v>
      </c>
      <c r="B7110" t="str">
        <f>"1552374511696782"</f>
        <v>1552374511696782</v>
      </c>
      <c r="C7110" t="s">
        <v>40</v>
      </c>
      <c r="D7110">
        <v>4.2137320000000003</v>
      </c>
      <c r="E7110">
        <v>0.48419030000000002</v>
      </c>
      <c r="F7110" t="s">
        <v>42</v>
      </c>
      <c r="G7110">
        <v>-458.97930000000002</v>
      </c>
      <c r="H7110">
        <v>7.9986769999999999E-2</v>
      </c>
      <c r="I7110">
        <v>127.26609999999999</v>
      </c>
      <c r="J7110">
        <v>-294.69749999999999</v>
      </c>
      <c r="K7110">
        <v>1.110185</v>
      </c>
      <c r="L7110">
        <v>140.92250000000001</v>
      </c>
      <c r="M7110">
        <v>-0.99991859999999999</v>
      </c>
      <c r="N7110">
        <v>0</v>
      </c>
      <c r="O7110">
        <v>6.1987960000000003E-4</v>
      </c>
      <c r="P7110">
        <v>-0.99866410000000005</v>
      </c>
      <c r="Q7110">
        <v>3.2479040000000001E-2</v>
      </c>
      <c r="R7110">
        <v>-4.0188340000000003E-2</v>
      </c>
      <c r="S7110">
        <v>-2.9952999999999999</v>
      </c>
      <c r="T7110">
        <v>-1.874816E-2</v>
      </c>
      <c r="U7110">
        <v>-0.24851989999999999</v>
      </c>
      <c r="V7110">
        <v>-4.0795909999999998E-2</v>
      </c>
      <c r="W7110">
        <v>4.5211939999999999E-2</v>
      </c>
      <c r="X7110">
        <v>0.99814409999999998</v>
      </c>
      <c r="Y7110">
        <v>-8.3301979999999998E-2</v>
      </c>
      <c r="Z7110">
        <v>-2.6412560000000002E-4</v>
      </c>
      <c r="AA7110">
        <v>0.99652430000000003</v>
      </c>
      <c r="AB7110">
        <v>31</v>
      </c>
      <c r="AC7110">
        <v>-164.2818</v>
      </c>
      <c r="AD7110">
        <v>-1.0301982300000001</v>
      </c>
      <c r="AE7110">
        <v>-13.6564</v>
      </c>
      <c r="AF7110">
        <v>-13.757703281497299</v>
      </c>
      <c r="AG7110">
        <v>-1.0301982300000001</v>
      </c>
      <c r="AH7110">
        <v>164.26688704718401</v>
      </c>
      <c r="AI7110">
        <v>90.3580716237622</v>
      </c>
      <c r="AJ7110">
        <v>94.787471215404096</v>
      </c>
      <c r="AK7110">
        <v>164.84521797172999</v>
      </c>
      <c r="AL7110">
        <v>87.408663399864494</v>
      </c>
      <c r="AM7110">
        <v>92.340476896757096</v>
      </c>
      <c r="AN7110">
        <v>1.00000003507805</v>
      </c>
    </row>
    <row r="7111" spans="1:40" x14ac:dyDescent="0.25">
      <c r="A7111" t="str">
        <f>"20190312150831729"</f>
        <v>20190312150831729</v>
      </c>
      <c r="B7111" t="str">
        <f>"1552374511717410"</f>
        <v>1552374511717410</v>
      </c>
      <c r="C7111" t="s">
        <v>40</v>
      </c>
      <c r="D7111">
        <v>4.215344</v>
      </c>
      <c r="E7111">
        <v>0.48447590000000001</v>
      </c>
      <c r="F7111" t="s">
        <v>77</v>
      </c>
      <c r="G7111">
        <v>-402.8442</v>
      </c>
      <c r="H7111" s="1">
        <v>-2.87388E-6</v>
      </c>
      <c r="I7111">
        <v>131.84799999999899</v>
      </c>
      <c r="J7111">
        <v>-294.99279999999999</v>
      </c>
      <c r="K7111">
        <v>1.1101780000000001</v>
      </c>
      <c r="L7111">
        <v>140.9228</v>
      </c>
      <c r="M7111">
        <v>-0.99991739999999996</v>
      </c>
      <c r="N7111">
        <v>0</v>
      </c>
      <c r="O7111">
        <v>7.2172779999999997E-4</v>
      </c>
      <c r="P7111">
        <v>-0.99871589999999999</v>
      </c>
      <c r="Q7111">
        <v>2.7382110000000001E-2</v>
      </c>
      <c r="R7111">
        <v>-4.2626940000000002E-2</v>
      </c>
      <c r="S7111">
        <v>-2.9948730000000001</v>
      </c>
      <c r="T7111">
        <v>-3.074408E-2</v>
      </c>
      <c r="U7111">
        <v>-0.25129699999999999</v>
      </c>
      <c r="V7111">
        <v>-4.3337580000000001E-2</v>
      </c>
      <c r="W7111">
        <v>4.0217820000000001E-2</v>
      </c>
      <c r="X7111">
        <v>0.99825070000000005</v>
      </c>
      <c r="Y7111">
        <v>-8.4330009999999997E-2</v>
      </c>
      <c r="Z7111">
        <v>-4.394736E-4</v>
      </c>
      <c r="AA7111">
        <v>0.99643780000000004</v>
      </c>
      <c r="AB7111">
        <v>31</v>
      </c>
      <c r="AC7111">
        <v>-107.8514</v>
      </c>
      <c r="AD7111">
        <v>-1.1101808738799901</v>
      </c>
      <c r="AE7111">
        <v>-9.0748000000000104</v>
      </c>
      <c r="AF7111">
        <v>-9.1516805180073604</v>
      </c>
      <c r="AG7111">
        <v>-1.1101808738799901</v>
      </c>
      <c r="AH7111">
        <v>107.833476279512</v>
      </c>
      <c r="AI7111">
        <v>90.587745206846904</v>
      </c>
      <c r="AJ7111">
        <v>94.850990471569105</v>
      </c>
      <c r="AK7111">
        <v>108.226819062562</v>
      </c>
      <c r="AL7111">
        <v>87.695067097641996</v>
      </c>
      <c r="AM7111">
        <v>92.485850719204905</v>
      </c>
      <c r="AN7111">
        <v>1.0000000394681401</v>
      </c>
    </row>
    <row r="7112" spans="1:40" x14ac:dyDescent="0.25">
      <c r="A7112" t="str">
        <f>"20190312150831751"</f>
        <v>20190312150831751</v>
      </c>
      <c r="B7112" t="str">
        <f>"1552374511746691"</f>
        <v>1552374511746691</v>
      </c>
      <c r="C7112" t="s">
        <v>40</v>
      </c>
      <c r="D7112">
        <v>4.4254709999999999</v>
      </c>
      <c r="E7112">
        <v>0.4847534</v>
      </c>
      <c r="F7112" t="s">
        <v>42</v>
      </c>
      <c r="G7112">
        <v>-365.52019999999999</v>
      </c>
      <c r="H7112" s="1">
        <v>-2.76889E-6</v>
      </c>
      <c r="I7112">
        <v>134.887</v>
      </c>
      <c r="J7112">
        <v>-295.303</v>
      </c>
      <c r="K7112">
        <v>1.110166</v>
      </c>
      <c r="L7112">
        <v>140.92310000000001</v>
      </c>
      <c r="M7112">
        <v>-0.99991569999999996</v>
      </c>
      <c r="N7112">
        <v>0</v>
      </c>
      <c r="O7112">
        <v>8.3022689999999997E-4</v>
      </c>
      <c r="P7112">
        <v>-0.99873559999999995</v>
      </c>
      <c r="Q7112">
        <v>2.1868599999999998E-2</v>
      </c>
      <c r="R7112">
        <v>-4.5266109999999998E-2</v>
      </c>
      <c r="S7112">
        <v>-2.994202</v>
      </c>
      <c r="T7112">
        <v>-4.7132130000000001E-2</v>
      </c>
      <c r="U7112">
        <v>-0.25624079999999999</v>
      </c>
      <c r="V7112">
        <v>-4.6086639999999998E-2</v>
      </c>
      <c r="W7112">
        <v>3.481716E-2</v>
      </c>
      <c r="X7112">
        <v>0.99833050000000001</v>
      </c>
      <c r="Y7112">
        <v>-8.6083899999999894E-2</v>
      </c>
      <c r="Z7112">
        <v>-6.8929690000000003E-4</v>
      </c>
      <c r="AA7112">
        <v>0.99628760000000005</v>
      </c>
      <c r="AB7112">
        <v>31</v>
      </c>
      <c r="AC7112">
        <v>-70.217199999999906</v>
      </c>
      <c r="AD7112">
        <v>-1.1101687688899999</v>
      </c>
      <c r="AE7112">
        <v>-6.0361000000000002</v>
      </c>
      <c r="AF7112">
        <v>-6.0928871447538304</v>
      </c>
      <c r="AG7112">
        <v>-1.1101687688899999</v>
      </c>
      <c r="AH7112">
        <v>70.194746050319694</v>
      </c>
      <c r="AI7112">
        <v>90.902695333030096</v>
      </c>
      <c r="AJ7112">
        <v>94.960826254867001</v>
      </c>
      <c r="AK7112">
        <v>70.467425960673495</v>
      </c>
      <c r="AL7112">
        <v>88.004720414567004</v>
      </c>
      <c r="AM7112">
        <v>92.6431092672114</v>
      </c>
      <c r="AN7112">
        <v>1.0000000001236</v>
      </c>
    </row>
    <row r="7113" spans="1:40" x14ac:dyDescent="0.25">
      <c r="A7113" t="str">
        <f>"20190312150831774"</f>
        <v>20190312150831774</v>
      </c>
      <c r="B7113" t="str">
        <f>"1552374511767185"</f>
        <v>1552374511767185</v>
      </c>
      <c r="C7113" t="s">
        <v>40</v>
      </c>
      <c r="D7113">
        <v>4.2693130000000004</v>
      </c>
      <c r="E7113">
        <v>0.49531599999999998</v>
      </c>
      <c r="F7113" t="s">
        <v>42</v>
      </c>
      <c r="G7113">
        <v>-347.6832</v>
      </c>
      <c r="H7113" s="1">
        <v>-1.645249E-6</v>
      </c>
      <c r="I7113">
        <v>136.34370000000001</v>
      </c>
      <c r="J7113">
        <v>-295.62990000000002</v>
      </c>
      <c r="K7113">
        <v>1.1101540000000001</v>
      </c>
      <c r="L7113">
        <v>140.92349999999999</v>
      </c>
      <c r="M7113">
        <v>-0.99991410000000003</v>
      </c>
      <c r="N7113">
        <v>0</v>
      </c>
      <c r="O7113">
        <v>9.4533720000000005E-4</v>
      </c>
      <c r="P7113">
        <v>-0.99869560000000002</v>
      </c>
      <c r="Q7113">
        <v>1.646891E-2</v>
      </c>
      <c r="R7113">
        <v>-4.8332510000000002E-2</v>
      </c>
      <c r="S7113">
        <v>-2.9933169999999998</v>
      </c>
      <c r="T7113">
        <v>-6.3441750000000005E-2</v>
      </c>
      <c r="U7113">
        <v>-0.26168819999999998</v>
      </c>
      <c r="V7113">
        <v>-4.9269010000000002E-2</v>
      </c>
      <c r="W7113">
        <v>2.9547029999999998E-2</v>
      </c>
      <c r="X7113">
        <v>0.99834840000000002</v>
      </c>
      <c r="Y7113">
        <v>-8.8013949999999994E-2</v>
      </c>
      <c r="Z7113">
        <v>-9.5082249999999999E-4</v>
      </c>
      <c r="AA7113">
        <v>0.99611879999999997</v>
      </c>
      <c r="AB7113">
        <v>31</v>
      </c>
      <c r="AC7113">
        <v>-52.053299999999901</v>
      </c>
      <c r="AD7113">
        <v>-1.110155645249</v>
      </c>
      <c r="AE7113">
        <v>-4.5797999999999703</v>
      </c>
      <c r="AF7113">
        <v>-4.6269216758584699</v>
      </c>
      <c r="AG7113">
        <v>-1.110155645249</v>
      </c>
      <c r="AH7113">
        <v>52.025464740309801</v>
      </c>
      <c r="AI7113">
        <v>91.217627270467304</v>
      </c>
      <c r="AJ7113">
        <v>95.082269504962198</v>
      </c>
      <c r="AK7113">
        <v>52.242605516919099</v>
      </c>
      <c r="AL7113">
        <v>88.306833451166</v>
      </c>
      <c r="AM7113">
        <v>92.825284211629906</v>
      </c>
      <c r="AN7113">
        <v>0.99999999505537995</v>
      </c>
    </row>
    <row r="7114" spans="1:40" x14ac:dyDescent="0.25">
      <c r="A7114" t="str">
        <f>"20190312150831796"</f>
        <v>20190312150831796</v>
      </c>
      <c r="B7114" t="str">
        <f>"1552374511786706"</f>
        <v>1552374511786706</v>
      </c>
      <c r="C7114" t="s">
        <v>40</v>
      </c>
      <c r="D7114">
        <v>4.266743</v>
      </c>
      <c r="E7114">
        <v>0.49451149999999999</v>
      </c>
      <c r="F7114" t="s">
        <v>42</v>
      </c>
      <c r="G7114">
        <v>-346.12920000000003</v>
      </c>
      <c r="H7114" s="1">
        <v>-1.9673690000000002E-6</v>
      </c>
      <c r="I7114">
        <v>137.7869</v>
      </c>
      <c r="J7114">
        <v>-295.92750000000001</v>
      </c>
      <c r="K7114">
        <v>1.1101570000000001</v>
      </c>
      <c r="L7114">
        <v>140.9238</v>
      </c>
      <c r="M7114">
        <v>-0.99991229999999998</v>
      </c>
      <c r="N7114">
        <v>0</v>
      </c>
      <c r="O7114">
        <v>1.050669E-3</v>
      </c>
      <c r="P7114">
        <v>-0.99859260000000005</v>
      </c>
      <c r="Q7114">
        <v>1.264347E-2</v>
      </c>
      <c r="R7114">
        <v>-5.1512009999999997E-2</v>
      </c>
      <c r="S7114">
        <v>-2.9960019999999998</v>
      </c>
      <c r="T7114">
        <v>-6.586301E-2</v>
      </c>
      <c r="U7114">
        <v>-0.18608089999999999</v>
      </c>
      <c r="V7114">
        <v>-5.2554579999999997E-2</v>
      </c>
      <c r="W7114">
        <v>2.5849629999999998E-2</v>
      </c>
      <c r="X7114">
        <v>0.99828340000000004</v>
      </c>
      <c r="Y7114">
        <v>-6.3023570000000001E-2</v>
      </c>
      <c r="Z7114">
        <v>-7.1506819999999998E-4</v>
      </c>
      <c r="AA7114">
        <v>0.9980118</v>
      </c>
      <c r="AB7114">
        <v>31</v>
      </c>
      <c r="AC7114">
        <v>-50.201700000000002</v>
      </c>
      <c r="AD7114">
        <v>-1.110158967369</v>
      </c>
      <c r="AE7114">
        <v>-3.13689999999999</v>
      </c>
      <c r="AF7114">
        <v>-3.1880952319532501</v>
      </c>
      <c r="AG7114">
        <v>-1.110158967369</v>
      </c>
      <c r="AH7114">
        <v>50.173935139033702</v>
      </c>
      <c r="AI7114">
        <v>91.264981321968904</v>
      </c>
      <c r="AJ7114">
        <v>93.635735616520293</v>
      </c>
      <c r="AK7114">
        <v>50.287375865884997</v>
      </c>
      <c r="AL7114">
        <v>88.518760257306496</v>
      </c>
      <c r="AM7114">
        <v>93.013551510601104</v>
      </c>
      <c r="AN7114">
        <v>0.999999966982836</v>
      </c>
    </row>
    <row r="7115" spans="1:40" x14ac:dyDescent="0.25">
      <c r="A7115" t="str">
        <f>"20190312150831817"</f>
        <v>20190312150831817</v>
      </c>
      <c r="B7115" t="str">
        <f>"1552374511807202"</f>
        <v>1552374511807202</v>
      </c>
      <c r="C7115" t="s">
        <v>40</v>
      </c>
      <c r="D7115">
        <v>4.2447359999999996</v>
      </c>
      <c r="E7115">
        <v>0.49444890000000002</v>
      </c>
      <c r="F7115" t="s">
        <v>42</v>
      </c>
      <c r="G7115">
        <v>-335.75029999999998</v>
      </c>
      <c r="H7115" s="1">
        <v>-2.2336819999999998E-6</v>
      </c>
      <c r="I7115">
        <v>138.23869999999999</v>
      </c>
      <c r="J7115">
        <v>-296.21899999999999</v>
      </c>
      <c r="K7115">
        <v>1.1101589999999999</v>
      </c>
      <c r="L7115">
        <v>140.92420000000001</v>
      </c>
      <c r="M7115">
        <v>-0.99991030000000003</v>
      </c>
      <c r="N7115">
        <v>0</v>
      </c>
      <c r="O7115">
        <v>1.154109E-3</v>
      </c>
      <c r="P7115">
        <v>-0.9984227</v>
      </c>
      <c r="Q7115">
        <v>1.0450630000000001E-2</v>
      </c>
      <c r="R7115">
        <v>-5.5161559999999998E-2</v>
      </c>
      <c r="S7115">
        <v>-2.994904</v>
      </c>
      <c r="T7115">
        <v>-8.3490369999999994E-2</v>
      </c>
      <c r="U7115">
        <v>-0.2019348</v>
      </c>
      <c r="V7115">
        <v>-5.6307629999999997E-2</v>
      </c>
      <c r="W7115">
        <v>2.3788900000000002E-2</v>
      </c>
      <c r="X7115">
        <v>0.99812999999999996</v>
      </c>
      <c r="Y7115">
        <v>-6.8398059999999997E-2</v>
      </c>
      <c r="Z7115">
        <v>-9.8425159999999999E-4</v>
      </c>
      <c r="AA7115">
        <v>0.99765760000000003</v>
      </c>
      <c r="AB7115">
        <v>31</v>
      </c>
      <c r="AC7115">
        <v>-39.531299999999902</v>
      </c>
      <c r="AD7115">
        <v>-1.1101612336819999</v>
      </c>
      <c r="AE7115">
        <v>-2.68550000000001</v>
      </c>
      <c r="AF7115">
        <v>-2.72898334902467</v>
      </c>
      <c r="AG7115">
        <v>-1.1101612336819999</v>
      </c>
      <c r="AH7115">
        <v>39.497167283646398</v>
      </c>
      <c r="AI7115">
        <v>91.606182134442193</v>
      </c>
      <c r="AJ7115">
        <v>93.9524638546783</v>
      </c>
      <c r="AK7115">
        <v>39.606893737282299</v>
      </c>
      <c r="AL7115">
        <v>88.636867812639395</v>
      </c>
      <c r="AM7115">
        <v>93.228811565797798</v>
      </c>
      <c r="AN7115">
        <v>0.99999997892971304</v>
      </c>
    </row>
    <row r="7116" spans="1:40" x14ac:dyDescent="0.25">
      <c r="A7116" t="str">
        <f>"20190312150831841"</f>
        <v>20190312150831841</v>
      </c>
      <c r="B7116" t="str">
        <f>"1552374511837460"</f>
        <v>1552374511837460</v>
      </c>
      <c r="C7116" t="s">
        <v>40</v>
      </c>
      <c r="D7116">
        <v>4.2667039999999998</v>
      </c>
      <c r="E7116">
        <v>0.49493890000000001</v>
      </c>
      <c r="F7116" t="s">
        <v>42</v>
      </c>
      <c r="G7116">
        <v>-331.79360000000003</v>
      </c>
      <c r="H7116" s="1">
        <v>-4.0771119999999998E-6</v>
      </c>
      <c r="I7116">
        <v>138.39060000000001</v>
      </c>
      <c r="J7116">
        <v>-296.52519999999998</v>
      </c>
      <c r="K7116">
        <v>1.1101749999999999</v>
      </c>
      <c r="L7116">
        <v>140.9246</v>
      </c>
      <c r="M7116">
        <v>-0.99990829999999997</v>
      </c>
      <c r="N7116">
        <v>0</v>
      </c>
      <c r="O7116">
        <v>1.262516E-3</v>
      </c>
      <c r="P7116">
        <v>-0.99820330000000002</v>
      </c>
      <c r="Q7116">
        <v>8.3444560000000001E-3</v>
      </c>
      <c r="R7116">
        <v>-5.9334329999999998E-2</v>
      </c>
      <c r="S7116">
        <v>-2.9939269999999998</v>
      </c>
      <c r="T7116">
        <v>-9.3430280000000004E-2</v>
      </c>
      <c r="U7116">
        <v>-0.21322630000000001</v>
      </c>
      <c r="V7116">
        <v>-6.0589049999999998E-2</v>
      </c>
      <c r="W7116">
        <v>2.1827699999999998E-2</v>
      </c>
      <c r="X7116">
        <v>0.99792409999999998</v>
      </c>
      <c r="Y7116">
        <v>-7.2263460000000002E-2</v>
      </c>
      <c r="Z7116">
        <v>-1.1651929999999999E-3</v>
      </c>
      <c r="AA7116">
        <v>0.99738490000000002</v>
      </c>
      <c r="AB7116">
        <v>31</v>
      </c>
      <c r="AC7116">
        <v>-35.2684</v>
      </c>
      <c r="AD7116">
        <v>-1.1101790771119999</v>
      </c>
      <c r="AE7116">
        <v>-2.53399999999999</v>
      </c>
      <c r="AF7116">
        <v>-2.57598959787035</v>
      </c>
      <c r="AG7116">
        <v>-1.1101790771119999</v>
      </c>
      <c r="AH7116">
        <v>35.230443044348199</v>
      </c>
      <c r="AI7116">
        <v>91.800100702351003</v>
      </c>
      <c r="AJ7116">
        <v>94.181927178243001</v>
      </c>
      <c r="AK7116">
        <v>35.341934540891501</v>
      </c>
      <c r="AL7116">
        <v>88.749265575954595</v>
      </c>
      <c r="AM7116">
        <v>93.474453192099602</v>
      </c>
      <c r="AN7116">
        <v>0.99999999541400098</v>
      </c>
    </row>
    <row r="7117" spans="1:40" x14ac:dyDescent="0.25">
      <c r="A7117" t="str">
        <f>"20190312150831863"</f>
        <v>20190312150831863</v>
      </c>
      <c r="B7117" t="str">
        <f>"1552374511856981"</f>
        <v>1552374511856981</v>
      </c>
      <c r="C7117" t="s">
        <v>40</v>
      </c>
      <c r="D7117">
        <v>4.2898800000000001</v>
      </c>
      <c r="E7117">
        <v>0.49951620000000002</v>
      </c>
      <c r="F7117" t="s">
        <v>42</v>
      </c>
      <c r="G7117">
        <v>-330.8005</v>
      </c>
      <c r="H7117" s="1">
        <v>-4.5474330000000001E-6</v>
      </c>
      <c r="I7117">
        <v>138.38570000000001</v>
      </c>
      <c r="J7117">
        <v>-296.8347</v>
      </c>
      <c r="K7117">
        <v>1.1101859999999999</v>
      </c>
      <c r="L7117">
        <v>140.92509999999999</v>
      </c>
      <c r="M7117">
        <v>-0.99990610000000002</v>
      </c>
      <c r="N7117">
        <v>0</v>
      </c>
      <c r="O7117">
        <v>1.3716519999999999E-3</v>
      </c>
      <c r="P7117">
        <v>-0.99796929999999995</v>
      </c>
      <c r="Q7117">
        <v>7.2677449999999999E-3</v>
      </c>
      <c r="R7117">
        <v>-6.3281859999999995E-2</v>
      </c>
      <c r="S7117">
        <v>-2.9930729999999999</v>
      </c>
      <c r="T7117">
        <v>-9.6945760000000006E-2</v>
      </c>
      <c r="U7117">
        <v>-0.2217102</v>
      </c>
      <c r="V7117">
        <v>-6.4645460000000002E-2</v>
      </c>
      <c r="W7117">
        <v>2.0900459999999999E-2</v>
      </c>
      <c r="X7117">
        <v>0.99768939999999995</v>
      </c>
      <c r="Y7117">
        <v>-7.5200080000000002E-2</v>
      </c>
      <c r="Z7117">
        <v>-1.260244E-3</v>
      </c>
      <c r="AA7117">
        <v>0.99716760000000004</v>
      </c>
      <c r="AB7117">
        <v>31</v>
      </c>
      <c r="AC7117">
        <v>-33.965800000000002</v>
      </c>
      <c r="AD7117">
        <v>-1.1101905474330001</v>
      </c>
      <c r="AE7117">
        <v>-2.5393999999999699</v>
      </c>
      <c r="AF7117">
        <v>-2.5832467421718399</v>
      </c>
      <c r="AG7117">
        <v>-1.1101905474330001</v>
      </c>
      <c r="AH7117">
        <v>33.926241096368997</v>
      </c>
      <c r="AI7117">
        <v>91.868852502575393</v>
      </c>
      <c r="AJ7117">
        <v>94.354272132922205</v>
      </c>
      <c r="AK7117">
        <v>34.042554570882402</v>
      </c>
      <c r="AL7117">
        <v>88.802404652704197</v>
      </c>
      <c r="AM7117">
        <v>93.707307626510101</v>
      </c>
      <c r="AN7117">
        <v>1.00000000179959</v>
      </c>
    </row>
    <row r="7118" spans="1:40" x14ac:dyDescent="0.25">
      <c r="A7118" t="str">
        <f>"20190312150831886"</f>
        <v>20190312150831886</v>
      </c>
      <c r="B7118" t="str">
        <f>"1552374511877474"</f>
        <v>1552374511877474</v>
      </c>
      <c r="C7118" t="s">
        <v>40</v>
      </c>
      <c r="D7118">
        <v>4.2566280000000001</v>
      </c>
      <c r="E7118">
        <v>0.49983939999999999</v>
      </c>
      <c r="F7118" t="s">
        <v>42</v>
      </c>
      <c r="G7118">
        <v>-351.93079999999998</v>
      </c>
      <c r="H7118" s="1">
        <v>-3.8514759999999996E-6</v>
      </c>
      <c r="I7118">
        <v>137.31890000000001</v>
      </c>
      <c r="J7118">
        <v>-297.13679999999999</v>
      </c>
      <c r="K7118">
        <v>1.110201</v>
      </c>
      <c r="L7118">
        <v>140.9256</v>
      </c>
      <c r="M7118">
        <v>-0.99990369999999995</v>
      </c>
      <c r="N7118">
        <v>0</v>
      </c>
      <c r="O7118">
        <v>1.4789409999999999E-3</v>
      </c>
      <c r="P7118">
        <v>-0.99771949999999998</v>
      </c>
      <c r="Q7118">
        <v>6.4291299999999999E-3</v>
      </c>
      <c r="R7118">
        <v>-6.7192509999999997E-2</v>
      </c>
      <c r="S7118">
        <v>-2.9940799999999999</v>
      </c>
      <c r="T7118">
        <v>-6.0330870000000002E-2</v>
      </c>
      <c r="U7118">
        <v>-0.19596859999999999</v>
      </c>
      <c r="V7118">
        <v>-6.8663009999999997E-2</v>
      </c>
      <c r="W7118">
        <v>2.0208719999999999E-2</v>
      </c>
      <c r="X7118">
        <v>0.99743519999999997</v>
      </c>
      <c r="Y7118">
        <v>-6.6774349999999996E-2</v>
      </c>
      <c r="Z7118">
        <v>-7.0173550000000005E-4</v>
      </c>
      <c r="AA7118">
        <v>0.99776790000000004</v>
      </c>
      <c r="AB7118">
        <v>31</v>
      </c>
      <c r="AC7118">
        <v>-54.793999999999897</v>
      </c>
      <c r="AD7118">
        <v>-1.1102048514759999</v>
      </c>
      <c r="AE7118">
        <v>-3.60669999999998</v>
      </c>
      <c r="AF7118">
        <v>-3.68623409884162</v>
      </c>
      <c r="AG7118">
        <v>-1.1102048514759999</v>
      </c>
      <c r="AH7118">
        <v>54.766219515756703</v>
      </c>
      <c r="AI7118">
        <v>91.158703259369105</v>
      </c>
      <c r="AJ7118">
        <v>93.850686988589004</v>
      </c>
      <c r="AK7118">
        <v>54.901363158775602</v>
      </c>
      <c r="AL7118">
        <v>88.842046797108793</v>
      </c>
      <c r="AM7118">
        <v>93.938004065869407</v>
      </c>
      <c r="AN7118">
        <v>0.99999998975266902</v>
      </c>
    </row>
    <row r="7119" spans="1:40" x14ac:dyDescent="0.25">
      <c r="A7119" t="str">
        <f>"20190312150831906"</f>
        <v>20190312150831906</v>
      </c>
      <c r="B7119" t="str">
        <f>"1552374511896994"</f>
        <v>1552374511896994</v>
      </c>
      <c r="C7119" t="s">
        <v>40</v>
      </c>
      <c r="D7119">
        <v>4.321472</v>
      </c>
      <c r="E7119">
        <v>0.50000610000000001</v>
      </c>
      <c r="F7119" t="s">
        <v>42</v>
      </c>
      <c r="G7119">
        <v>-345.99590000000001</v>
      </c>
      <c r="H7119" s="1">
        <v>-2.0620549999999999E-6</v>
      </c>
      <c r="I7119">
        <v>137.57550000000001</v>
      </c>
      <c r="J7119">
        <v>-297.43150000000003</v>
      </c>
      <c r="K7119">
        <v>1.1102110000000001</v>
      </c>
      <c r="L7119">
        <v>140.92619999999999</v>
      </c>
      <c r="M7119">
        <v>-0.9999017</v>
      </c>
      <c r="N7119">
        <v>0</v>
      </c>
      <c r="O7119">
        <v>1.583117E-3</v>
      </c>
      <c r="P7119">
        <v>-0.99745519999999999</v>
      </c>
      <c r="Q7119">
        <v>5.2869569999999897E-3</v>
      </c>
      <c r="R7119">
        <v>-7.1101490000000003E-2</v>
      </c>
      <c r="S7119">
        <v>-2.993439</v>
      </c>
      <c r="T7119">
        <v>-6.8018670000000003E-2</v>
      </c>
      <c r="U7119">
        <v>-0.20524600000000001</v>
      </c>
      <c r="V7119">
        <v>-7.2675699999999996E-2</v>
      </c>
      <c r="W7119">
        <v>1.9205170000000001E-2</v>
      </c>
      <c r="X7119">
        <v>0.99717069999999997</v>
      </c>
      <c r="Y7119">
        <v>-6.996579E-2</v>
      </c>
      <c r="Z7119">
        <v>-8.2979750000000002E-4</v>
      </c>
      <c r="AA7119">
        <v>0.99754909999999997</v>
      </c>
      <c r="AB7119">
        <v>30</v>
      </c>
      <c r="AC7119">
        <v>-48.5643999999999</v>
      </c>
      <c r="AD7119">
        <v>-1.1102130620549999</v>
      </c>
      <c r="AE7119">
        <v>-3.3506999999999798</v>
      </c>
      <c r="AF7119">
        <v>-3.4258045166583999</v>
      </c>
      <c r="AG7119">
        <v>-1.1102130620549999</v>
      </c>
      <c r="AH7119">
        <v>48.533790055474903</v>
      </c>
      <c r="AI7119">
        <v>91.307164293490999</v>
      </c>
      <c r="AJ7119">
        <v>94.037581317397695</v>
      </c>
      <c r="AK7119">
        <v>48.6672116191017</v>
      </c>
      <c r="AL7119">
        <v>88.899557159948699</v>
      </c>
      <c r="AM7119">
        <v>94.16845534366</v>
      </c>
      <c r="AN7119">
        <v>1.0000000004318499</v>
      </c>
    </row>
    <row r="7120" spans="1:40" x14ac:dyDescent="0.25">
      <c r="A7120" t="str">
        <f>"20190312150831930"</f>
        <v>20190312150831930</v>
      </c>
      <c r="B7120" t="str">
        <f>"1552374511927250"</f>
        <v>1552374511927250</v>
      </c>
      <c r="C7120" t="s">
        <v>40</v>
      </c>
      <c r="D7120">
        <v>4.2656689999999999</v>
      </c>
      <c r="E7120">
        <v>0.50274439999999998</v>
      </c>
      <c r="F7120" t="s">
        <v>42</v>
      </c>
      <c r="G7120">
        <v>-341.55029999999999</v>
      </c>
      <c r="H7120" s="1">
        <v>-3.9391960000000002E-6</v>
      </c>
      <c r="I7120">
        <v>137.74469999999999</v>
      </c>
      <c r="J7120">
        <v>-297.73520000000002</v>
      </c>
      <c r="K7120">
        <v>1.110214</v>
      </c>
      <c r="L7120">
        <v>140.92670000000001</v>
      </c>
      <c r="M7120">
        <v>-0.99989969999999995</v>
      </c>
      <c r="N7120">
        <v>0</v>
      </c>
      <c r="O7120">
        <v>1.6908310000000001E-3</v>
      </c>
      <c r="P7120">
        <v>-0.99724669999999904</v>
      </c>
      <c r="Q7120">
        <v>4.2048820000000001E-3</v>
      </c>
      <c r="R7120">
        <v>-7.4039709999999995E-2</v>
      </c>
      <c r="S7120">
        <v>-2.9927060000000001</v>
      </c>
      <c r="T7120">
        <v>-7.5309280000000006E-2</v>
      </c>
      <c r="U7120">
        <v>-0.2158051</v>
      </c>
      <c r="V7120">
        <v>-7.5721250000000004E-2</v>
      </c>
      <c r="W7120">
        <v>1.8256430000000001E-2</v>
      </c>
      <c r="X7120">
        <v>0.99696189999999996</v>
      </c>
      <c r="Y7120">
        <v>-7.3586390000000002E-2</v>
      </c>
      <c r="Z7120">
        <v>-9.6701930000000005E-4</v>
      </c>
      <c r="AA7120">
        <v>0.99728839999999996</v>
      </c>
      <c r="AB7120">
        <v>30</v>
      </c>
      <c r="AC7120">
        <v>-43.815099999999902</v>
      </c>
      <c r="AD7120">
        <v>-1.1102179391959901</v>
      </c>
      <c r="AE7120">
        <v>-3.1820000000000102</v>
      </c>
      <c r="AF7120">
        <v>-3.2540084303026799</v>
      </c>
      <c r="AG7120">
        <v>-1.1102179391959901</v>
      </c>
      <c r="AH7120">
        <v>43.781694040735402</v>
      </c>
      <c r="AI7120">
        <v>91.448603544984493</v>
      </c>
      <c r="AJ7120">
        <v>94.250607204607206</v>
      </c>
      <c r="AK7120">
        <v>43.916487653426401</v>
      </c>
      <c r="AL7120">
        <v>88.953925515881593</v>
      </c>
      <c r="AM7120">
        <v>94.343389928110795</v>
      </c>
      <c r="AN7120">
        <v>1.0000000174947501</v>
      </c>
    </row>
    <row r="7121" spans="1:40" x14ac:dyDescent="0.25">
      <c r="A7121" t="str">
        <f>"20190312150831952"</f>
        <v>20190312150831952</v>
      </c>
      <c r="B7121" t="str">
        <f>"1552374511946770"</f>
        <v>1552374511946770</v>
      </c>
      <c r="C7121" t="s">
        <v>40</v>
      </c>
      <c r="D7121">
        <v>4.3477410000000001</v>
      </c>
      <c r="E7121">
        <v>0.50433119999999998</v>
      </c>
      <c r="F7121" t="s">
        <v>42</v>
      </c>
      <c r="G7121">
        <v>-333.1413</v>
      </c>
      <c r="H7121" s="1">
        <v>-3.4165050000000002E-6</v>
      </c>
      <c r="I7121">
        <v>138.52350000000001</v>
      </c>
      <c r="J7121">
        <v>-298.04739999999998</v>
      </c>
      <c r="K7121">
        <v>1.1102160000000001</v>
      </c>
      <c r="L7121">
        <v>140.92740000000001</v>
      </c>
      <c r="M7121">
        <v>-0.99989749999999999</v>
      </c>
      <c r="N7121">
        <v>0</v>
      </c>
      <c r="O7121">
        <v>1.8017269999999999E-3</v>
      </c>
      <c r="P7121">
        <v>-0.99705370000000004</v>
      </c>
      <c r="Q7121">
        <v>1.9089129999999999E-3</v>
      </c>
      <c r="R7121">
        <v>-7.6683550000000003E-2</v>
      </c>
      <c r="S7121">
        <v>-2.9936219999999998</v>
      </c>
      <c r="T7121">
        <v>-9.3870159999999994E-2</v>
      </c>
      <c r="U7121">
        <v>-0.2032013</v>
      </c>
      <c r="V7121">
        <v>-7.8475909999999996E-2</v>
      </c>
      <c r="W7121">
        <v>1.6089530000000001E-2</v>
      </c>
      <c r="X7121">
        <v>0.99678619999999996</v>
      </c>
      <c r="Y7121">
        <v>-6.9485030000000003E-2</v>
      </c>
      <c r="Z7121">
        <v>-1.1443169999999999E-3</v>
      </c>
      <c r="AA7121">
        <v>0.99758230000000003</v>
      </c>
      <c r="AB7121">
        <v>30</v>
      </c>
      <c r="AC7121">
        <v>-35.093899999999998</v>
      </c>
      <c r="AD7121">
        <v>-1.1102194165049999</v>
      </c>
      <c r="AE7121">
        <v>-2.4038999999999899</v>
      </c>
      <c r="AF7121">
        <v>-2.46467693473851</v>
      </c>
      <c r="AG7121">
        <v>-1.1102194165049999</v>
      </c>
      <c r="AH7121">
        <v>35.054592057703402</v>
      </c>
      <c r="AI7121">
        <v>91.809552926346001</v>
      </c>
      <c r="AJ7121">
        <v>94.021829047474696</v>
      </c>
      <c r="AK7121">
        <v>35.158663852277101</v>
      </c>
      <c r="AL7121">
        <v>89.0780980900565</v>
      </c>
      <c r="AM7121">
        <v>94.501550112942198</v>
      </c>
      <c r="AN7121">
        <v>1.0000000349681899</v>
      </c>
    </row>
    <row r="7122" spans="1:40" x14ac:dyDescent="0.25">
      <c r="A7122" t="str">
        <f>"20190312150831976"</f>
        <v>20190312150831976</v>
      </c>
      <c r="B7122" t="str">
        <f>"1552374511967266"</f>
        <v>1552374511967266</v>
      </c>
      <c r="C7122" t="s">
        <v>40</v>
      </c>
      <c r="D7122">
        <v>4.3761169999999998</v>
      </c>
      <c r="E7122">
        <v>0.50538530000000004</v>
      </c>
      <c r="F7122" t="s">
        <v>42</v>
      </c>
      <c r="G7122">
        <v>-330.06990000000002</v>
      </c>
      <c r="H7122" s="1">
        <v>-4.8186129999999996E-6</v>
      </c>
      <c r="I7122">
        <v>138.8038</v>
      </c>
      <c r="J7122">
        <v>-298.35849999999999</v>
      </c>
      <c r="K7122">
        <v>1.1102160000000001</v>
      </c>
      <c r="L7122">
        <v>140.9281</v>
      </c>
      <c r="M7122">
        <v>-0.9998956</v>
      </c>
      <c r="N7122">
        <v>0</v>
      </c>
      <c r="O7122">
        <v>1.912022E-3</v>
      </c>
      <c r="P7122">
        <v>-0.99693889999999996</v>
      </c>
      <c r="Q7122">
        <v>-2.7601699999999998E-4</v>
      </c>
      <c r="R7122">
        <v>-7.8186790000000006E-2</v>
      </c>
      <c r="S7122">
        <v>-2.9938349999999998</v>
      </c>
      <c r="T7122">
        <v>-0.1037964</v>
      </c>
      <c r="U7122">
        <v>-0.19853209999999999</v>
      </c>
      <c r="V7122">
        <v>-8.0089080000000007E-2</v>
      </c>
      <c r="W7122">
        <v>1.402601E-2</v>
      </c>
      <c r="X7122">
        <v>0.99668900000000005</v>
      </c>
      <c r="Y7122">
        <v>-6.8034360000000002E-2</v>
      </c>
      <c r="Z7122">
        <v>-1.243935E-3</v>
      </c>
      <c r="AA7122">
        <v>0.99768219999999996</v>
      </c>
      <c r="AB7122">
        <v>30</v>
      </c>
      <c r="AC7122">
        <v>-31.711400000000001</v>
      </c>
      <c r="AD7122">
        <v>-1.110220818613</v>
      </c>
      <c r="AE7122">
        <v>-2.1242999999999999</v>
      </c>
      <c r="AF7122">
        <v>-2.1822723459748699</v>
      </c>
      <c r="AG7122">
        <v>-1.110220818613</v>
      </c>
      <c r="AH7122">
        <v>31.668636726960401</v>
      </c>
      <c r="AI7122">
        <v>92.0030738288132</v>
      </c>
      <c r="AJ7122">
        <v>93.941996222221306</v>
      </c>
      <c r="AK7122">
        <v>31.763146176068201</v>
      </c>
      <c r="AL7122">
        <v>89.196342452548393</v>
      </c>
      <c r="AM7122">
        <v>94.594139076260504</v>
      </c>
      <c r="AN7122">
        <v>0.99999997620638303</v>
      </c>
    </row>
    <row r="7123" spans="1:40" x14ac:dyDescent="0.25">
      <c r="A7123" t="str">
        <f>"20190312150831997"</f>
        <v>20190312150831997</v>
      </c>
      <c r="B7123" t="str">
        <f>"1552374511986786"</f>
        <v>1552374511986786</v>
      </c>
      <c r="C7123" t="s">
        <v>40</v>
      </c>
      <c r="D7123">
        <v>4.3243109999999998</v>
      </c>
      <c r="E7123">
        <v>0.50624570000000002</v>
      </c>
      <c r="F7123" t="s">
        <v>42</v>
      </c>
      <c r="G7123">
        <v>-328.31549999999999</v>
      </c>
      <c r="H7123" s="1">
        <v>-8.1772149999999998E-7</v>
      </c>
      <c r="I7123">
        <v>138.98070000000001</v>
      </c>
      <c r="J7123">
        <v>-298.65359999999998</v>
      </c>
      <c r="K7123">
        <v>1.110223</v>
      </c>
      <c r="L7123">
        <v>140.92869999999999</v>
      </c>
      <c r="M7123">
        <v>-0.9998939</v>
      </c>
      <c r="N7123">
        <v>0</v>
      </c>
      <c r="O7123">
        <v>2.016861E-3</v>
      </c>
      <c r="P7123">
        <v>-0.99698949999999997</v>
      </c>
      <c r="Q7123">
        <v>-9.6895360000000003E-4</v>
      </c>
      <c r="R7123">
        <v>-7.7531310000000006E-2</v>
      </c>
      <c r="S7123">
        <v>-2.9939269999999998</v>
      </c>
      <c r="T7123">
        <v>-0.110956399999999</v>
      </c>
      <c r="U7123">
        <v>-0.19461059999999999</v>
      </c>
      <c r="V7123">
        <v>-7.9538890000000001E-2</v>
      </c>
      <c r="W7123">
        <v>1.344241E-2</v>
      </c>
      <c r="X7123">
        <v>0.99674110000000005</v>
      </c>
      <c r="Y7123">
        <v>-6.6830520000000004E-2</v>
      </c>
      <c r="Z7123">
        <v>-1.311308E-3</v>
      </c>
      <c r="AA7123">
        <v>0.99776350000000003</v>
      </c>
      <c r="AB7123">
        <v>30</v>
      </c>
      <c r="AC7123">
        <v>-29.661899999999999</v>
      </c>
      <c r="AD7123">
        <v>-1.1102238177215</v>
      </c>
      <c r="AE7123">
        <v>-1.94799999999997</v>
      </c>
      <c r="AF7123">
        <v>-2.0050293066474798</v>
      </c>
      <c r="AG7123">
        <v>-1.1102238177215</v>
      </c>
      <c r="AH7123">
        <v>29.616597168486201</v>
      </c>
      <c r="AI7123">
        <v>92.141917181870099</v>
      </c>
      <c r="AJ7123">
        <v>93.872986858119404</v>
      </c>
      <c r="AK7123">
        <v>29.705143784979999</v>
      </c>
      <c r="AL7123">
        <v>89.229783425401294</v>
      </c>
      <c r="AM7123">
        <v>94.562474832558706</v>
      </c>
      <c r="AN7123">
        <v>0.99999997691912401</v>
      </c>
    </row>
    <row r="7124" spans="1:40" x14ac:dyDescent="0.25">
      <c r="A7124" t="str">
        <f>"20190312150832018"</f>
        <v>20190312150832018</v>
      </c>
      <c r="B7124" t="str">
        <f>"1552374512007282"</f>
        <v>1552374512007282</v>
      </c>
      <c r="C7124" t="s">
        <v>40</v>
      </c>
      <c r="D7124">
        <v>4.3286170000000004</v>
      </c>
      <c r="E7124">
        <v>0.50708690000000001</v>
      </c>
      <c r="F7124" t="s">
        <v>42</v>
      </c>
      <c r="G7124">
        <v>-328.32029999999997</v>
      </c>
      <c r="H7124" s="1">
        <v>-7.9666019999999902E-7</v>
      </c>
      <c r="I7124">
        <v>139.08770000000001</v>
      </c>
      <c r="J7124">
        <v>-298.94009999999997</v>
      </c>
      <c r="K7124">
        <v>1.110223</v>
      </c>
      <c r="L7124">
        <v>140.92939999999999</v>
      </c>
      <c r="M7124">
        <v>-0.99989220000000001</v>
      </c>
      <c r="N7124">
        <v>0</v>
      </c>
      <c r="O7124">
        <v>2.1188510000000002E-3</v>
      </c>
      <c r="P7124">
        <v>-0.99699280000000001</v>
      </c>
      <c r="Q7124">
        <v>-2.739633E-3</v>
      </c>
      <c r="R7124">
        <v>-7.7447089999999996E-2</v>
      </c>
      <c r="S7124">
        <v>-2.994507</v>
      </c>
      <c r="T7124">
        <v>-0.11206439999999999</v>
      </c>
      <c r="U7124">
        <v>-0.1858215</v>
      </c>
      <c r="V7124">
        <v>-7.9556249999999995E-2</v>
      </c>
      <c r="W7124">
        <v>1.176933E-2</v>
      </c>
      <c r="X7124">
        <v>0.99676089999999995</v>
      </c>
      <c r="Y7124">
        <v>-6.4003770000000001E-2</v>
      </c>
      <c r="Z7124">
        <v>-1.275249E-3</v>
      </c>
      <c r="AA7124">
        <v>0.99794879999999997</v>
      </c>
      <c r="AB7124">
        <v>30</v>
      </c>
      <c r="AC7124">
        <v>-29.380199999999999</v>
      </c>
      <c r="AD7124">
        <v>-1.1102237966602</v>
      </c>
      <c r="AE7124">
        <v>-1.8416999999999699</v>
      </c>
      <c r="AF7124">
        <v>-1.90125044735279</v>
      </c>
      <c r="AG7124">
        <v>-1.1102237966602</v>
      </c>
      <c r="AH7124">
        <v>29.334507214674499</v>
      </c>
      <c r="AI7124">
        <v>92.162906485235993</v>
      </c>
      <c r="AJ7124">
        <v>93.708311056544304</v>
      </c>
      <c r="AK7124">
        <v>29.417013167043699</v>
      </c>
      <c r="AL7124">
        <v>89.325651496515306</v>
      </c>
      <c r="AM7124">
        <v>94.563376156281805</v>
      </c>
      <c r="AN7124">
        <v>1.0000000029057601</v>
      </c>
    </row>
    <row r="7125" spans="1:40" x14ac:dyDescent="0.25">
      <c r="A7125" t="str">
        <f>"20190312150832033"</f>
        <v>20190312150832033</v>
      </c>
      <c r="B7125" t="str">
        <f>"1552374512026802"</f>
        <v>1552374512026802</v>
      </c>
      <c r="C7125" t="s">
        <v>40</v>
      </c>
      <c r="D7125">
        <v>4.2912800000000004</v>
      </c>
      <c r="E7125">
        <v>0.50803980000000004</v>
      </c>
      <c r="F7125" t="s">
        <v>42</v>
      </c>
      <c r="G7125">
        <v>-326.7921</v>
      </c>
      <c r="H7125" s="1">
        <v>-1.420652E-6</v>
      </c>
      <c r="I7125">
        <v>139.26580000000001</v>
      </c>
      <c r="J7125">
        <v>-299.13839999999999</v>
      </c>
      <c r="K7125">
        <v>1.110223</v>
      </c>
      <c r="L7125">
        <v>140.9299</v>
      </c>
      <c r="M7125">
        <v>-0.99989119999999998</v>
      </c>
      <c r="N7125">
        <v>0</v>
      </c>
      <c r="O7125">
        <v>2.1895080000000002E-3</v>
      </c>
      <c r="P7125">
        <v>-0.9970289</v>
      </c>
      <c r="Q7125">
        <v>-3.2720660000000001E-3</v>
      </c>
      <c r="R7125">
        <v>-7.6959710000000001E-2</v>
      </c>
      <c r="S7125">
        <v>-2.9948429999999999</v>
      </c>
      <c r="T7125">
        <v>-0.119379</v>
      </c>
      <c r="U7125">
        <v>-0.17887879999999901</v>
      </c>
      <c r="V7125">
        <v>-7.9139370000000001E-2</v>
      </c>
      <c r="W7125">
        <v>1.1299200000000001E-2</v>
      </c>
      <c r="X7125">
        <v>0.99679949999999995</v>
      </c>
      <c r="Y7125">
        <v>-6.1757800000000002E-2</v>
      </c>
      <c r="Z7125">
        <v>-1.3164730000000001E-3</v>
      </c>
      <c r="AA7125">
        <v>0.99809029999999999</v>
      </c>
      <c r="AB7125">
        <v>30</v>
      </c>
      <c r="AC7125">
        <v>-27.653700000000001</v>
      </c>
      <c r="AD7125">
        <v>-1.110224420652</v>
      </c>
      <c r="AE7125">
        <v>-1.6640999999999899</v>
      </c>
      <c r="AF7125">
        <v>-1.7218851053741799</v>
      </c>
      <c r="AG7125">
        <v>-1.110224420652</v>
      </c>
      <c r="AH7125">
        <v>27.605655102143899</v>
      </c>
      <c r="AI7125">
        <v>92.298577167254905</v>
      </c>
      <c r="AJ7125">
        <v>93.569163761910204</v>
      </c>
      <c r="AK7125">
        <v>27.681576548290099</v>
      </c>
      <c r="AL7125">
        <v>89.352589737043303</v>
      </c>
      <c r="AM7125">
        <v>94.539388917423594</v>
      </c>
      <c r="AN7125">
        <v>0.99999997750244296</v>
      </c>
    </row>
    <row r="7126" spans="1:40" x14ac:dyDescent="0.25">
      <c r="A7126" t="str">
        <f>"20190312150832046"</f>
        <v>20190312150832046</v>
      </c>
      <c r="B7126" t="str">
        <f>"1552374512037540"</f>
        <v>1552374512037540</v>
      </c>
      <c r="C7126" t="s">
        <v>40</v>
      </c>
      <c r="D7126">
        <v>4.2766419999999998</v>
      </c>
      <c r="E7126">
        <v>0.50832100000000002</v>
      </c>
      <c r="F7126" t="s">
        <v>42</v>
      </c>
      <c r="G7126">
        <v>-325.76249999999999</v>
      </c>
      <c r="H7126" s="1">
        <v>-1.8349669999999999E-6</v>
      </c>
      <c r="I7126">
        <v>139.42019999999999</v>
      </c>
      <c r="J7126">
        <v>-299.30540000000002</v>
      </c>
      <c r="K7126">
        <v>1.1102259999999999</v>
      </c>
      <c r="L7126">
        <v>140.93029999999999</v>
      </c>
      <c r="M7126">
        <v>-0.99989030000000001</v>
      </c>
      <c r="N7126">
        <v>0</v>
      </c>
      <c r="O7126">
        <v>2.248931E-3</v>
      </c>
      <c r="P7126">
        <v>-0.99706439999999996</v>
      </c>
      <c r="Q7126">
        <v>-4.1892129999999998E-3</v>
      </c>
      <c r="R7126">
        <v>-7.6452919999999994E-2</v>
      </c>
      <c r="S7126">
        <v>-2.9953919999999998</v>
      </c>
      <c r="T7126">
        <v>-0.12490809999999999</v>
      </c>
      <c r="U7126">
        <v>-0.16984560000000001</v>
      </c>
      <c r="V7126">
        <v>-7.8692830000000005E-2</v>
      </c>
      <c r="W7126">
        <v>1.04314E-2</v>
      </c>
      <c r="X7126">
        <v>0.99684439999999996</v>
      </c>
      <c r="Y7126">
        <v>-5.8803889999999998E-2</v>
      </c>
      <c r="Z7126">
        <v>-1.3182249999999999E-3</v>
      </c>
      <c r="AA7126">
        <v>0.99826870000000001</v>
      </c>
      <c r="AB7126">
        <v>30</v>
      </c>
      <c r="AC7126">
        <v>-26.457099999999901</v>
      </c>
      <c r="AD7126">
        <v>-1.1102278349669901</v>
      </c>
      <c r="AE7126">
        <v>-1.51009999999999</v>
      </c>
      <c r="AF7126">
        <v>-1.5668526067178199</v>
      </c>
      <c r="AG7126">
        <v>-1.1102278349669901</v>
      </c>
      <c r="AH7126">
        <v>26.407286473617699</v>
      </c>
      <c r="AI7126">
        <v>92.403217319108904</v>
      </c>
      <c r="AJ7126">
        <v>93.395612519623697</v>
      </c>
      <c r="AK7126">
        <v>26.477016671755599</v>
      </c>
      <c r="AL7126">
        <v>89.402314005678093</v>
      </c>
      <c r="AM7126">
        <v>94.513679312267399</v>
      </c>
      <c r="AN7126">
        <v>1.0000000667053599</v>
      </c>
    </row>
    <row r="7127" spans="1:40" x14ac:dyDescent="0.25">
      <c r="A7127" t="str">
        <f>"20190312150832058"</f>
        <v>20190312150832058</v>
      </c>
      <c r="B7127" t="str">
        <f>"1552374512047300"</f>
        <v>1552374512047300</v>
      </c>
      <c r="C7127" t="s">
        <v>40</v>
      </c>
      <c r="D7127">
        <v>4.2619939999999996</v>
      </c>
      <c r="E7127">
        <v>0.50856829999999997</v>
      </c>
      <c r="F7127" t="s">
        <v>42</v>
      </c>
      <c r="G7127">
        <v>-325.33199999999999</v>
      </c>
      <c r="H7127" s="1">
        <v>-2.0079450000000001E-6</v>
      </c>
      <c r="I7127">
        <v>139.4863</v>
      </c>
      <c r="J7127">
        <v>-299.46710000000002</v>
      </c>
      <c r="K7127">
        <v>1.1102259999999999</v>
      </c>
      <c r="L7127">
        <v>140.9308</v>
      </c>
      <c r="M7127">
        <v>-0.99988949999999999</v>
      </c>
      <c r="N7127">
        <v>0</v>
      </c>
      <c r="O7127">
        <v>2.306368E-3</v>
      </c>
      <c r="P7127">
        <v>-0.99708379999999996</v>
      </c>
      <c r="Q7127">
        <v>-4.636818E-3</v>
      </c>
      <c r="R7127">
        <v>-7.6173350000000001E-2</v>
      </c>
      <c r="S7127">
        <v>-2.995514</v>
      </c>
      <c r="T7127">
        <v>-0.12778129999999999</v>
      </c>
      <c r="U7127">
        <v>-0.1661987</v>
      </c>
      <c r="V7127">
        <v>-7.8470689999999996E-2</v>
      </c>
      <c r="W7127">
        <v>1.002754E-2</v>
      </c>
      <c r="X7127">
        <v>0.99686600000000003</v>
      </c>
      <c r="Y7127">
        <v>-5.7645910000000002E-2</v>
      </c>
      <c r="Z7127">
        <v>-1.3262910000000001E-3</v>
      </c>
      <c r="AA7127">
        <v>0.99833620000000001</v>
      </c>
      <c r="AB7127">
        <v>30</v>
      </c>
      <c r="AC7127">
        <v>-25.864899999999899</v>
      </c>
      <c r="AD7127">
        <v>-1.110228007945</v>
      </c>
      <c r="AE7127">
        <v>-1.4444999999999999</v>
      </c>
      <c r="AF7127">
        <v>-1.50139887276279</v>
      </c>
      <c r="AG7127">
        <v>-1.110228007945</v>
      </c>
      <c r="AH7127">
        <v>25.814085236602601</v>
      </c>
      <c r="AI7127">
        <v>92.458544537663101</v>
      </c>
      <c r="AJ7127">
        <v>93.328687164689299</v>
      </c>
      <c r="AK7127">
        <v>25.881533984819001</v>
      </c>
      <c r="AL7127">
        <v>89.425454656777603</v>
      </c>
      <c r="AM7127">
        <v>94.500893064310603</v>
      </c>
      <c r="AN7127">
        <v>1.00000001135176</v>
      </c>
    </row>
    <row r="7128" spans="1:40" x14ac:dyDescent="0.25">
      <c r="A7128" t="str">
        <f>"20190312150832075"</f>
        <v>20190312150832075</v>
      </c>
      <c r="B7128" t="str">
        <f>"1552374512066818"</f>
        <v>1552374512066818</v>
      </c>
      <c r="C7128" t="s">
        <v>40</v>
      </c>
      <c r="D7128">
        <v>4.2810129999999997</v>
      </c>
      <c r="E7128">
        <v>0.50912239999999997</v>
      </c>
      <c r="F7128" t="s">
        <v>42</v>
      </c>
      <c r="G7128">
        <v>-325.18079999999998</v>
      </c>
      <c r="H7128" s="1">
        <v>-2.0652480000000002E-6</v>
      </c>
      <c r="I7128">
        <v>139.52889999999999</v>
      </c>
      <c r="J7128">
        <v>-299.6986</v>
      </c>
      <c r="K7128">
        <v>1.1102270000000001</v>
      </c>
      <c r="L7128">
        <v>140.9314</v>
      </c>
      <c r="M7128">
        <v>-0.99988849999999996</v>
      </c>
      <c r="N7128">
        <v>0</v>
      </c>
      <c r="O7128">
        <v>2.3887320000000002E-3</v>
      </c>
      <c r="P7128">
        <v>-0.99715240000000005</v>
      </c>
      <c r="Q7128">
        <v>-5.7630190000000003E-3</v>
      </c>
      <c r="R7128">
        <v>-7.5193899999999994E-2</v>
      </c>
      <c r="S7128">
        <v>-2.9956969999999998</v>
      </c>
      <c r="T7128">
        <v>-0.12934419999999999</v>
      </c>
      <c r="U7128">
        <v>-0.16331479999999901</v>
      </c>
      <c r="V7128">
        <v>-7.7573539999999996E-2</v>
      </c>
      <c r="W7128">
        <v>8.9599529999999997E-3</v>
      </c>
      <c r="X7128">
        <v>0.99694640000000001</v>
      </c>
      <c r="Y7128">
        <v>-5.6765969999999999E-2</v>
      </c>
      <c r="Z7128">
        <v>-1.327031E-3</v>
      </c>
      <c r="AA7128">
        <v>0.99838660000000001</v>
      </c>
      <c r="AB7128">
        <v>30</v>
      </c>
      <c r="AC7128">
        <v>-25.482199999999899</v>
      </c>
      <c r="AD7128">
        <v>-1.110229065248</v>
      </c>
      <c r="AE7128">
        <v>-1.4025000000000001</v>
      </c>
      <c r="AF7128">
        <v>-1.46060854482355</v>
      </c>
      <c r="AG7128">
        <v>-1.110229065248</v>
      </c>
      <c r="AH7128">
        <v>25.430649011819501</v>
      </c>
      <c r="AI7128">
        <v>92.495674029554095</v>
      </c>
      <c r="AJ7128">
        <v>93.287169965014897</v>
      </c>
      <c r="AK7128">
        <v>25.496742832387302</v>
      </c>
      <c r="AL7128">
        <v>89.486625654526307</v>
      </c>
      <c r="AM7128">
        <v>94.449285099814702</v>
      </c>
      <c r="AN7128">
        <v>1.00000002966942</v>
      </c>
    </row>
    <row r="7129" spans="1:40" x14ac:dyDescent="0.25">
      <c r="A7129" t="str">
        <f>"20190312150832090"</f>
        <v>20190312150832090</v>
      </c>
      <c r="B7129" t="str">
        <f>"1552374512087314"</f>
        <v>1552374512087314</v>
      </c>
      <c r="C7129" t="s">
        <v>40</v>
      </c>
      <c r="D7129">
        <v>4.2549409999999996</v>
      </c>
      <c r="E7129">
        <v>0.50951689999999905</v>
      </c>
      <c r="F7129" t="s">
        <v>42</v>
      </c>
      <c r="G7129">
        <v>-324.4169</v>
      </c>
      <c r="H7129" s="1">
        <v>-2.3849880000000001E-6</v>
      </c>
      <c r="I7129">
        <v>139.6447</v>
      </c>
      <c r="J7129">
        <v>-299.8879</v>
      </c>
      <c r="K7129">
        <v>1.1102289999999999</v>
      </c>
      <c r="L7129">
        <v>140.93190000000001</v>
      </c>
      <c r="M7129">
        <v>-0.99988759999999999</v>
      </c>
      <c r="N7129">
        <v>0</v>
      </c>
      <c r="O7129">
        <v>2.4561159999999999E-3</v>
      </c>
      <c r="P7129">
        <v>-0.99719290000000005</v>
      </c>
      <c r="Q7129">
        <v>-5.9791030000000004E-3</v>
      </c>
      <c r="R7129">
        <v>-7.4637609999999993E-2</v>
      </c>
      <c r="S7129">
        <v>-2.9960330000000002</v>
      </c>
      <c r="T7129">
        <v>-0.1345682</v>
      </c>
      <c r="U7129">
        <v>-0.15594479999999999</v>
      </c>
      <c r="V7129">
        <v>-7.7084459999999994E-2</v>
      </c>
      <c r="W7129">
        <v>8.7882979999999999E-3</v>
      </c>
      <c r="X7129">
        <v>0.99698589999999998</v>
      </c>
      <c r="Y7129">
        <v>-5.437583E-2</v>
      </c>
      <c r="Z7129">
        <v>-1.3299189999999999E-3</v>
      </c>
      <c r="AA7129">
        <v>0.99851970000000001</v>
      </c>
      <c r="AB7129">
        <v>30</v>
      </c>
      <c r="AC7129">
        <v>-24.529</v>
      </c>
      <c r="AD7129">
        <v>-1.1102313849879999</v>
      </c>
      <c r="AE7129">
        <v>-1.2872000000000099</v>
      </c>
      <c r="AF7129">
        <v>-1.3447015221257901</v>
      </c>
      <c r="AG7129">
        <v>-1.1102313849879999</v>
      </c>
      <c r="AH7129">
        <v>24.475759629541098</v>
      </c>
      <c r="AI7129">
        <v>92.593276325960403</v>
      </c>
      <c r="AJ7129">
        <v>93.144676383305196</v>
      </c>
      <c r="AK7129">
        <v>24.537800336519499</v>
      </c>
      <c r="AL7129">
        <v>89.496461167094097</v>
      </c>
      <c r="AM7129">
        <v>94.421170672835302</v>
      </c>
      <c r="AN7129">
        <v>1.0000000664770099</v>
      </c>
    </row>
    <row r="7130" spans="1:40" x14ac:dyDescent="0.25">
      <c r="A7130" t="str">
        <f>"20190312150832101"</f>
        <v>20190312150832101</v>
      </c>
      <c r="B7130" t="str">
        <f>"1552374512097075"</f>
        <v>1552374512097075</v>
      </c>
      <c r="C7130" t="s">
        <v>40</v>
      </c>
      <c r="D7130">
        <v>4.256227</v>
      </c>
      <c r="E7130">
        <v>0.50972489999999904</v>
      </c>
      <c r="F7130" t="s">
        <v>42</v>
      </c>
      <c r="G7130">
        <v>-324.12119999999999</v>
      </c>
      <c r="H7130" s="1">
        <v>-2.529084E-6</v>
      </c>
      <c r="I7130">
        <v>139.70949999999999</v>
      </c>
      <c r="J7130">
        <v>-300.05579999999998</v>
      </c>
      <c r="K7130">
        <v>1.1102299999999901</v>
      </c>
      <c r="L7130">
        <v>140.9324</v>
      </c>
      <c r="M7130">
        <v>-0.99988690000000002</v>
      </c>
      <c r="N7130">
        <v>0</v>
      </c>
      <c r="O7130">
        <v>2.515977E-3</v>
      </c>
      <c r="P7130">
        <v>-0.99721649999999995</v>
      </c>
      <c r="Q7130">
        <v>-6.3545729999999996E-3</v>
      </c>
      <c r="R7130">
        <v>-7.4292380000000005E-2</v>
      </c>
      <c r="S7130">
        <v>-2.9963380000000002</v>
      </c>
      <c r="T7130">
        <v>-0.13727549999999999</v>
      </c>
      <c r="U7130">
        <v>-0.151138299999999</v>
      </c>
      <c r="V7130">
        <v>-7.6798980000000003E-2</v>
      </c>
      <c r="W7130">
        <v>8.4502339999999992E-3</v>
      </c>
      <c r="X7130">
        <v>0.99701079999999997</v>
      </c>
      <c r="Y7130">
        <v>-5.2831959999999997E-2</v>
      </c>
      <c r="Z7130">
        <v>-1.32398E-3</v>
      </c>
      <c r="AA7130">
        <v>0.99860260000000001</v>
      </c>
      <c r="AB7130">
        <v>30</v>
      </c>
      <c r="AC7130">
        <v>-24.0654</v>
      </c>
      <c r="AD7130">
        <v>-1.1102325290839901</v>
      </c>
      <c r="AE7130">
        <v>-1.2229000000000101</v>
      </c>
      <c r="AF7130">
        <v>-1.2807319615722701</v>
      </c>
      <c r="AG7130">
        <v>-1.1102325290839901</v>
      </c>
      <c r="AH7130">
        <v>24.011274071501301</v>
      </c>
      <c r="AI7130">
        <v>92.643602329398902</v>
      </c>
      <c r="AJ7130">
        <v>93.053193453942001</v>
      </c>
      <c r="AK7130">
        <v>24.071023517141501</v>
      </c>
      <c r="AL7130">
        <v>89.515831499735896</v>
      </c>
      <c r="AM7130">
        <v>94.404751981864393</v>
      </c>
      <c r="AN7130">
        <v>1.00000001255016</v>
      </c>
    </row>
    <row r="7131" spans="1:40" x14ac:dyDescent="0.25">
      <c r="A7131" t="str">
        <f>"20190312150832114"</f>
        <v>20190312150832114</v>
      </c>
      <c r="B7131" t="str">
        <f>"1552374512106835"</f>
        <v>1552374512106835</v>
      </c>
      <c r="C7131" t="s">
        <v>40</v>
      </c>
      <c r="D7131">
        <v>4.2747339999999996</v>
      </c>
      <c r="E7131">
        <v>0.50986239999999905</v>
      </c>
      <c r="F7131" t="s">
        <v>42</v>
      </c>
      <c r="G7131">
        <v>-324.04939999999999</v>
      </c>
      <c r="H7131" s="1">
        <v>-2.5688720000000002E-6</v>
      </c>
      <c r="I7131">
        <v>139.7433</v>
      </c>
      <c r="J7131">
        <v>-300.21809999999999</v>
      </c>
      <c r="K7131">
        <v>1.1102350000000001</v>
      </c>
      <c r="L7131">
        <v>140.93289999999999</v>
      </c>
      <c r="M7131">
        <v>-0.99988619999999995</v>
      </c>
      <c r="N7131">
        <v>0</v>
      </c>
      <c r="O7131">
        <v>2.5737759999999998E-3</v>
      </c>
      <c r="P7131">
        <v>-0.99723890000000004</v>
      </c>
      <c r="Q7131">
        <v>-6.4522340000000003E-3</v>
      </c>
      <c r="R7131">
        <v>-7.3980389999999993E-2</v>
      </c>
      <c r="S7131">
        <v>-2.996429</v>
      </c>
      <c r="T7131">
        <v>-0.13865150000000001</v>
      </c>
      <c r="U7131">
        <v>-0.14849849999999901</v>
      </c>
      <c r="V7131">
        <v>-7.6544669999999995E-2</v>
      </c>
      <c r="W7131">
        <v>8.387294E-3</v>
      </c>
      <c r="X7131">
        <v>0.99703090000000005</v>
      </c>
      <c r="Y7131">
        <v>-5.2010229999999998E-2</v>
      </c>
      <c r="Z7131">
        <v>-1.320908E-3</v>
      </c>
      <c r="AA7131">
        <v>0.99864569999999997</v>
      </c>
      <c r="AB7131">
        <v>30</v>
      </c>
      <c r="AC7131">
        <v>-23.831299999999999</v>
      </c>
      <c r="AD7131">
        <v>-1.1102375688719901</v>
      </c>
      <c r="AE7131">
        <v>-1.18959999999998</v>
      </c>
      <c r="AF7131">
        <v>-1.2482368464214499</v>
      </c>
      <c r="AG7131">
        <v>-1.1102375688719901</v>
      </c>
      <c r="AH7131">
        <v>23.776682706613101</v>
      </c>
      <c r="AI7131">
        <v>92.669778069518202</v>
      </c>
      <c r="AJ7131">
        <v>93.005175648278197</v>
      </c>
      <c r="AK7131">
        <v>23.835296583324801</v>
      </c>
      <c r="AL7131">
        <v>89.519437829541502</v>
      </c>
      <c r="AM7131">
        <v>94.390135166697107</v>
      </c>
      <c r="AN7131">
        <v>1.0000000243804299</v>
      </c>
    </row>
    <row r="7132" spans="1:40" x14ac:dyDescent="0.25">
      <c r="A7132" t="str">
        <f>"20190312150832126"</f>
        <v>20190312150832126</v>
      </c>
      <c r="B7132" t="str">
        <f>"1552374512116595"</f>
        <v>1552374512116595</v>
      </c>
      <c r="C7132" t="s">
        <v>40</v>
      </c>
      <c r="D7132">
        <v>4.2835989999999997</v>
      </c>
      <c r="E7132">
        <v>0.50999719999999904</v>
      </c>
      <c r="F7132" t="s">
        <v>42</v>
      </c>
      <c r="G7132">
        <v>-324.05079999999998</v>
      </c>
      <c r="H7132" s="1">
        <v>-2.5747600000000001E-6</v>
      </c>
      <c r="I7132">
        <v>139.76769999999999</v>
      </c>
      <c r="J7132">
        <v>-300.38459999999998</v>
      </c>
      <c r="K7132">
        <v>1.1102379999999901</v>
      </c>
      <c r="L7132">
        <v>140.9333</v>
      </c>
      <c r="M7132">
        <v>-0.99988549999999998</v>
      </c>
      <c r="N7132">
        <v>0</v>
      </c>
      <c r="O7132">
        <v>2.6327659999999999E-3</v>
      </c>
      <c r="P7132">
        <v>-0.99726499999999996</v>
      </c>
      <c r="Q7132">
        <v>-6.296701E-3</v>
      </c>
      <c r="R7132">
        <v>-7.3638809999999999E-2</v>
      </c>
      <c r="S7132">
        <v>-2.996521</v>
      </c>
      <c r="T7132">
        <v>-0.1395921</v>
      </c>
      <c r="U7132">
        <v>-0.14648439999999999</v>
      </c>
      <c r="V7132">
        <v>-7.6262620000000003E-2</v>
      </c>
      <c r="W7132">
        <v>8.577543E-3</v>
      </c>
      <c r="X7132">
        <v>0.99705089999999996</v>
      </c>
      <c r="Y7132">
        <v>-5.13978E-2</v>
      </c>
      <c r="Z7132">
        <v>-1.3183369999999999E-3</v>
      </c>
      <c r="AA7132">
        <v>0.99867740000000005</v>
      </c>
      <c r="AB7132">
        <v>30</v>
      </c>
      <c r="AC7132">
        <v>-23.6662</v>
      </c>
      <c r="AD7132">
        <v>-1.1102405747599999</v>
      </c>
      <c r="AE7132">
        <v>-1.16560000000001</v>
      </c>
      <c r="AF7132">
        <v>-1.2252205262562501</v>
      </c>
      <c r="AG7132">
        <v>-1.1102405747599999</v>
      </c>
      <c r="AH7132">
        <v>23.611211469968499</v>
      </c>
      <c r="AI7132">
        <v>92.688553030283899</v>
      </c>
      <c r="AJ7132">
        <v>92.970498023385701</v>
      </c>
      <c r="AK7132">
        <v>23.669032649252401</v>
      </c>
      <c r="AL7132">
        <v>89.5085369752898</v>
      </c>
      <c r="AM7132">
        <v>94.373933994636204</v>
      </c>
      <c r="AN7132">
        <v>1.0000000293219899</v>
      </c>
    </row>
    <row r="7133" spans="1:40" x14ac:dyDescent="0.25">
      <c r="A7133" t="str">
        <f>"20190312150832142"</f>
        <v>20190312150832142</v>
      </c>
      <c r="B7133" t="str">
        <f>"1552374512137090"</f>
        <v>1552374512137090</v>
      </c>
      <c r="C7133" t="s">
        <v>40</v>
      </c>
      <c r="D7133">
        <v>4.3105099999999998</v>
      </c>
      <c r="E7133">
        <v>0.51015719999999998</v>
      </c>
      <c r="F7133" t="s">
        <v>42</v>
      </c>
      <c r="G7133">
        <v>-324.21300000000002</v>
      </c>
      <c r="H7133" s="1">
        <v>-2.5099170000000001E-6</v>
      </c>
      <c r="I7133">
        <v>139.78550000000001</v>
      </c>
      <c r="J7133">
        <v>-300.59370000000001</v>
      </c>
      <c r="K7133">
        <v>1.110244</v>
      </c>
      <c r="L7133">
        <v>140.934</v>
      </c>
      <c r="M7133">
        <v>-0.99988480000000002</v>
      </c>
      <c r="N7133">
        <v>0</v>
      </c>
      <c r="O7133">
        <v>2.7070800000000002E-3</v>
      </c>
      <c r="P7133">
        <v>-0.99728669999999997</v>
      </c>
      <c r="Q7133">
        <v>-6.5768049999999998E-3</v>
      </c>
      <c r="R7133">
        <v>-7.3323219999999995E-2</v>
      </c>
      <c r="S7133">
        <v>-2.9966740000000001</v>
      </c>
      <c r="T7133">
        <v>-0.13962469999999999</v>
      </c>
      <c r="U7133">
        <v>-0.14434810000000001</v>
      </c>
      <c r="V7133">
        <v>-7.6021240000000004E-2</v>
      </c>
      <c r="W7133">
        <v>8.3381800000000006E-3</v>
      </c>
      <c r="X7133">
        <v>0.99707129999999999</v>
      </c>
      <c r="Y7133">
        <v>-5.0759869999999999E-2</v>
      </c>
      <c r="Z7133">
        <v>-1.3072139999999999E-3</v>
      </c>
      <c r="AA7133">
        <v>0.99870999999999999</v>
      </c>
      <c r="AB7133">
        <v>30</v>
      </c>
      <c r="AC7133">
        <v>-23.6192999999999</v>
      </c>
      <c r="AD7133">
        <v>-1.110246509917</v>
      </c>
      <c r="AE7133">
        <v>-1.1484999999999801</v>
      </c>
      <c r="AF7133">
        <v>-1.20977549778969</v>
      </c>
      <c r="AG7133">
        <v>-1.110246509917</v>
      </c>
      <c r="AH7133">
        <v>23.564160519709599</v>
      </c>
      <c r="AI7133">
        <v>92.694004204518706</v>
      </c>
      <c r="AJ7133">
        <v>92.938964323573302</v>
      </c>
      <c r="AK7133">
        <v>23.621301087503099</v>
      </c>
      <c r="AL7133">
        <v>89.522251924772604</v>
      </c>
      <c r="AM7133">
        <v>94.360054593985595</v>
      </c>
      <c r="AN7133">
        <v>0.99999996573026895</v>
      </c>
    </row>
    <row r="7134" spans="1:40" x14ac:dyDescent="0.25">
      <c r="A7134" t="str">
        <f>"20190312150832157"</f>
        <v>20190312150832157</v>
      </c>
      <c r="B7134" t="str">
        <f>"1552374512146850"</f>
        <v>1552374512146850</v>
      </c>
      <c r="C7134" t="s">
        <v>40</v>
      </c>
      <c r="D7134">
        <v>4.2725879999999998</v>
      </c>
      <c r="E7134">
        <v>0.51028039999999997</v>
      </c>
      <c r="F7134" t="s">
        <v>42</v>
      </c>
      <c r="G7134">
        <v>-324.15629999999999</v>
      </c>
      <c r="H7134" s="1">
        <v>-2.5423959999999999E-6</v>
      </c>
      <c r="I7134">
        <v>139.81620000000001</v>
      </c>
      <c r="J7134">
        <v>-300.78629999999998</v>
      </c>
      <c r="K7134">
        <v>1.110247</v>
      </c>
      <c r="L7134">
        <v>140.93459999999999</v>
      </c>
      <c r="M7134">
        <v>-0.99988410000000005</v>
      </c>
      <c r="N7134">
        <v>0</v>
      </c>
      <c r="O7134">
        <v>2.7756550000000001E-3</v>
      </c>
      <c r="P7134">
        <v>-0.99730819999999998</v>
      </c>
      <c r="Q7134">
        <v>-6.1432800000000001E-3</v>
      </c>
      <c r="R7134">
        <v>-7.3068309999999997E-2</v>
      </c>
      <c r="S7134">
        <v>-2.9967959999999998</v>
      </c>
      <c r="T7134">
        <v>-0.1412061</v>
      </c>
      <c r="U7134">
        <v>-0.1421509</v>
      </c>
      <c r="V7134">
        <v>-7.5834559999999995E-2</v>
      </c>
      <c r="W7134">
        <v>8.8073700000000001E-3</v>
      </c>
      <c r="X7134">
        <v>0.99708149999999995</v>
      </c>
      <c r="Y7134">
        <v>-5.0095149999999998E-2</v>
      </c>
      <c r="Z7134">
        <v>-1.3095590000000001E-3</v>
      </c>
      <c r="AA7134">
        <v>0.99874359999999995</v>
      </c>
      <c r="AB7134">
        <v>30</v>
      </c>
      <c r="AC7134">
        <v>-23.37</v>
      </c>
      <c r="AD7134">
        <v>-1.1102495423959999</v>
      </c>
      <c r="AE7134">
        <v>-1.1183999999999801</v>
      </c>
      <c r="AF7134">
        <v>-1.18061151324714</v>
      </c>
      <c r="AG7134">
        <v>-1.1102495423959999</v>
      </c>
      <c r="AH7134">
        <v>23.314306103145601</v>
      </c>
      <c r="AI7134">
        <v>92.7229363638411</v>
      </c>
      <c r="AJ7134">
        <v>92.898920754488003</v>
      </c>
      <c r="AK7134">
        <v>23.370566246087702</v>
      </c>
      <c r="AL7134">
        <v>89.495368338120002</v>
      </c>
      <c r="AM7134">
        <v>94.349344726784693</v>
      </c>
      <c r="AN7134">
        <v>0.99999998394947998</v>
      </c>
    </row>
    <row r="7135" spans="1:40" x14ac:dyDescent="0.25">
      <c r="A7135" t="str">
        <f>"20190312150832170"</f>
        <v>20190312150832170</v>
      </c>
      <c r="B7135" t="str">
        <f>"1552374512167346"</f>
        <v>1552374512167346</v>
      </c>
      <c r="C7135" t="s">
        <v>40</v>
      </c>
      <c r="D7135">
        <v>4.5466839999999999</v>
      </c>
      <c r="E7135">
        <v>0.51043909999999904</v>
      </c>
      <c r="F7135" t="s">
        <v>42</v>
      </c>
      <c r="G7135">
        <v>-324.4828</v>
      </c>
      <c r="H7135" s="1">
        <v>-2.4044720000000001E-6</v>
      </c>
      <c r="I7135">
        <v>139.82419999999999</v>
      </c>
      <c r="J7135">
        <v>-300.9597</v>
      </c>
      <c r="K7135">
        <v>1.1102510000000001</v>
      </c>
      <c r="L7135">
        <v>140.93510000000001</v>
      </c>
      <c r="M7135">
        <v>-0.99988350000000004</v>
      </c>
      <c r="N7135">
        <v>0</v>
      </c>
      <c r="O7135">
        <v>2.8373539999999998E-3</v>
      </c>
      <c r="P7135">
        <v>-0.99732600000000005</v>
      </c>
      <c r="Q7135">
        <v>-6.2772840000000002E-3</v>
      </c>
      <c r="R7135">
        <v>-7.2812249999999995E-2</v>
      </c>
      <c r="S7135">
        <v>-2.996918</v>
      </c>
      <c r="T7135">
        <v>-0.1404147</v>
      </c>
      <c r="U7135">
        <v>-0.14042660000000001</v>
      </c>
      <c r="V7135">
        <v>-7.5640170000000007E-2</v>
      </c>
      <c r="W7135">
        <v>8.703901E-3</v>
      </c>
      <c r="X7135">
        <v>0.99709720000000002</v>
      </c>
      <c r="Y7135">
        <v>-4.9582660000000001E-2</v>
      </c>
      <c r="Z7135">
        <v>-1.2930870000000001E-3</v>
      </c>
      <c r="AA7135">
        <v>0.99876920000000002</v>
      </c>
      <c r="AB7135">
        <v>30</v>
      </c>
      <c r="AC7135">
        <v>-23.523099999999999</v>
      </c>
      <c r="AD7135">
        <v>-1.110253404472</v>
      </c>
      <c r="AE7135">
        <v>-1.11090000000001</v>
      </c>
      <c r="AF7135">
        <v>-1.17503460693885</v>
      </c>
      <c r="AG7135">
        <v>-1.110253404472</v>
      </c>
      <c r="AH7135">
        <v>23.467690474371</v>
      </c>
      <c r="AI7135">
        <v>92.705252370233893</v>
      </c>
      <c r="AJ7135">
        <v>92.866423802460403</v>
      </c>
      <c r="AK7135">
        <v>23.5233047242629</v>
      </c>
      <c r="AL7135">
        <v>89.501296915334606</v>
      </c>
      <c r="AM7135">
        <v>94.338170432350907</v>
      </c>
      <c r="AN7135">
        <v>1.00000000972904</v>
      </c>
    </row>
    <row r="7136" spans="1:40" x14ac:dyDescent="0.25">
      <c r="A7136" t="str">
        <f>"20190312150832188"</f>
        <v>20190312150832188</v>
      </c>
      <c r="B7136" t="str">
        <f>"1552374512177107"</f>
        <v>1552374512177107</v>
      </c>
      <c r="C7136" t="s">
        <v>40</v>
      </c>
      <c r="D7136">
        <v>4.3970260000000003</v>
      </c>
      <c r="E7136">
        <v>0.51043909999999904</v>
      </c>
      <c r="F7136" t="s">
        <v>42</v>
      </c>
      <c r="G7136">
        <v>-324.96390000000002</v>
      </c>
      <c r="H7136" s="1">
        <v>-2.1988719999999999E-6</v>
      </c>
      <c r="I7136">
        <v>139.8272</v>
      </c>
      <c r="J7136">
        <v>-301.19720000000001</v>
      </c>
      <c r="K7136">
        <v>1.1102590000000001</v>
      </c>
      <c r="L7136">
        <v>140.9359</v>
      </c>
      <c r="M7136">
        <v>-0.99988259999999995</v>
      </c>
      <c r="N7136">
        <v>0</v>
      </c>
      <c r="O7136">
        <v>2.9220560000000001E-3</v>
      </c>
      <c r="P7136">
        <v>-0.99737450000000005</v>
      </c>
      <c r="Q7136">
        <v>-5.8566460000000001E-3</v>
      </c>
      <c r="R7136">
        <v>-7.2180839999999996E-2</v>
      </c>
      <c r="S7136">
        <v>-2.9970699999999999</v>
      </c>
      <c r="T7136">
        <v>-0.1386221</v>
      </c>
      <c r="U7136">
        <v>-0.1383209</v>
      </c>
      <c r="V7136">
        <v>-7.5092610000000004E-2</v>
      </c>
      <c r="W7136">
        <v>9.1635520000000002E-3</v>
      </c>
      <c r="X7136">
        <v>0.99713439999999998</v>
      </c>
      <c r="Y7136">
        <v>-4.8966709999999997E-2</v>
      </c>
      <c r="Z7136">
        <v>-1.2662369999999999E-3</v>
      </c>
      <c r="AA7136">
        <v>0.99879960000000001</v>
      </c>
      <c r="AB7136">
        <v>30</v>
      </c>
      <c r="AC7136">
        <v>-23.7667</v>
      </c>
      <c r="AD7136">
        <v>-1.1102611988719999</v>
      </c>
      <c r="AE7136">
        <v>-1.10869999999999</v>
      </c>
      <c r="AF7136">
        <v>-1.1755908415808001</v>
      </c>
      <c r="AG7136">
        <v>-1.1102611988719999</v>
      </c>
      <c r="AH7136">
        <v>23.711724953072899</v>
      </c>
      <c r="AI7136">
        <v>92.677535517131105</v>
      </c>
      <c r="AJ7136">
        <v>92.838312571752795</v>
      </c>
      <c r="AK7136">
        <v>23.766796039994802</v>
      </c>
      <c r="AL7136">
        <v>89.474959766012304</v>
      </c>
      <c r="AM7136">
        <v>94.306724890325697</v>
      </c>
      <c r="AN7136">
        <v>0.99999994121261204</v>
      </c>
    </row>
    <row r="7137" spans="1:40" x14ac:dyDescent="0.25">
      <c r="A7137" t="str">
        <f>"20190312150832210"</f>
        <v>20190312150832210</v>
      </c>
      <c r="B7137" t="str">
        <f>"1552374512207363"</f>
        <v>1552374512207363</v>
      </c>
      <c r="C7137" t="s">
        <v>40</v>
      </c>
      <c r="D7137">
        <v>4.2223629999999996</v>
      </c>
      <c r="E7137">
        <v>0.50572629999999996</v>
      </c>
      <c r="F7137" t="s">
        <v>42</v>
      </c>
      <c r="G7137">
        <v>-325.42</v>
      </c>
      <c r="H7137" s="1">
        <v>-2.0047270000000002E-6</v>
      </c>
      <c r="I7137">
        <v>139.8329</v>
      </c>
      <c r="J7137">
        <v>-301.48239999999998</v>
      </c>
      <c r="K7137">
        <v>1.1102730000000001</v>
      </c>
      <c r="L7137">
        <v>140.93680000000001</v>
      </c>
      <c r="M7137">
        <v>-0.99988180000000004</v>
      </c>
      <c r="N7137">
        <v>0</v>
      </c>
      <c r="O7137">
        <v>3.023604E-3</v>
      </c>
      <c r="P7137">
        <v>-0.99740309999999999</v>
      </c>
      <c r="Q7137">
        <v>-5.9919250000000004E-3</v>
      </c>
      <c r="R7137">
        <v>-7.1775309999999995E-2</v>
      </c>
      <c r="S7137">
        <v>-2.997223</v>
      </c>
      <c r="T7137">
        <v>-0.13737920000000001</v>
      </c>
      <c r="U7137">
        <v>-0.1364746</v>
      </c>
      <c r="V7137">
        <v>-7.4788380000000002E-2</v>
      </c>
      <c r="W7137">
        <v>9.0691450000000007E-3</v>
      </c>
      <c r="X7137">
        <v>0.99715819999999999</v>
      </c>
      <c r="Y7137">
        <v>-4.8453240000000002E-2</v>
      </c>
      <c r="Z7137">
        <v>-1.247745E-3</v>
      </c>
      <c r="AA7137">
        <v>0.99882470000000001</v>
      </c>
      <c r="AB7137">
        <v>30</v>
      </c>
      <c r="AC7137">
        <v>-23.9376</v>
      </c>
      <c r="AD7137">
        <v>-1.110275004727</v>
      </c>
      <c r="AE7137">
        <v>-1.1039000000000001</v>
      </c>
      <c r="AF7137">
        <v>-1.1737612532789601</v>
      </c>
      <c r="AG7137">
        <v>-1.110275004727</v>
      </c>
      <c r="AH7137">
        <v>23.882882333240499</v>
      </c>
      <c r="AI7137">
        <v>92.658463974230401</v>
      </c>
      <c r="AJ7137">
        <v>92.813625979605604</v>
      </c>
      <c r="AK7137">
        <v>23.937470514012801</v>
      </c>
      <c r="AL7137">
        <v>89.480369151337101</v>
      </c>
      <c r="AM7137">
        <v>94.289239892375093</v>
      </c>
      <c r="AN7137">
        <v>1.0000000135006399</v>
      </c>
    </row>
    <row r="7138" spans="1:40" x14ac:dyDescent="0.25">
      <c r="A7138" t="str">
        <f>"20190312150832231"</f>
        <v>20190312150832231</v>
      </c>
      <c r="B7138" t="str">
        <f>"1552374512226883"</f>
        <v>1552374512226883</v>
      </c>
      <c r="C7138" t="s">
        <v>40</v>
      </c>
      <c r="D7138">
        <v>4.1942459999999997</v>
      </c>
      <c r="E7138">
        <v>0.5051525</v>
      </c>
      <c r="F7138" t="s">
        <v>48</v>
      </c>
      <c r="G7138">
        <v>0</v>
      </c>
      <c r="H7138">
        <v>0</v>
      </c>
      <c r="I7138">
        <v>0</v>
      </c>
      <c r="J7138">
        <v>-301.77269999999999</v>
      </c>
      <c r="K7138">
        <v>1.110282</v>
      </c>
      <c r="L7138">
        <v>140.93780000000001</v>
      </c>
      <c r="M7138">
        <v>-0.99988089999999996</v>
      </c>
      <c r="N7138">
        <v>0</v>
      </c>
      <c r="O7138">
        <v>3.1271530000000001E-3</v>
      </c>
      <c r="P7138">
        <v>-0.99744699999999997</v>
      </c>
      <c r="Q7138">
        <v>-5.333005E-3</v>
      </c>
      <c r="R7138">
        <v>-7.1214379999999994E-2</v>
      </c>
      <c r="S7138">
        <v>-2.9957280000000002</v>
      </c>
      <c r="T7138">
        <v>1.41952E-2</v>
      </c>
      <c r="U7138">
        <v>-0.16897579999999901</v>
      </c>
      <c r="V7138">
        <v>-7.4331419999999995E-2</v>
      </c>
      <c r="W7138">
        <v>9.7648200000000004E-3</v>
      </c>
      <c r="X7138">
        <v>0.99718580000000001</v>
      </c>
      <c r="Y7138">
        <v>-5.9437669999999998E-2</v>
      </c>
      <c r="Z7138">
        <v>1.555177E-4</v>
      </c>
      <c r="AA7138">
        <v>0.99823200000000001</v>
      </c>
      <c r="AB7138">
        <v>30</v>
      </c>
      <c r="AC7138">
        <v>-2.9957280000000002</v>
      </c>
      <c r="AD7138">
        <v>1.41952E-2</v>
      </c>
      <c r="AE7138">
        <v>-0.16897579999999901</v>
      </c>
      <c r="AF7138">
        <v>-0.17834015184129401</v>
      </c>
      <c r="AG7138">
        <v>1.41952E-2</v>
      </c>
      <c r="AH7138">
        <v>2.9951178386391599</v>
      </c>
      <c r="AI7138">
        <v>89.728931861889905</v>
      </c>
      <c r="AJ7138">
        <v>93.407574677169606</v>
      </c>
      <c r="AK7138">
        <v>3.0004562287752701</v>
      </c>
      <c r="AL7138">
        <v>89.440508143429994</v>
      </c>
      <c r="AM7138">
        <v>94.263011819800795</v>
      </c>
      <c r="AN7138">
        <v>1.00000001571524</v>
      </c>
    </row>
    <row r="7139" spans="1:40" x14ac:dyDescent="0.25">
      <c r="A7139" t="str">
        <f>"20190312150832246"</f>
        <v>20190312150832246</v>
      </c>
      <c r="B7139" t="str">
        <f>"1552374512236643"</f>
        <v>1552374512236643</v>
      </c>
      <c r="C7139" t="s">
        <v>40</v>
      </c>
      <c r="D7139">
        <v>4.148129</v>
      </c>
      <c r="E7139">
        <v>0.50503889999999996</v>
      </c>
      <c r="F7139" t="s">
        <v>48</v>
      </c>
      <c r="G7139">
        <v>0</v>
      </c>
      <c r="H7139">
        <v>0</v>
      </c>
      <c r="I7139">
        <v>0</v>
      </c>
      <c r="J7139">
        <v>-301.9667</v>
      </c>
      <c r="K7139">
        <v>1.110287</v>
      </c>
      <c r="L7139">
        <v>140.9385</v>
      </c>
      <c r="M7139">
        <v>-0.99988030000000006</v>
      </c>
      <c r="N7139">
        <v>0</v>
      </c>
      <c r="O7139">
        <v>3.1963640000000001E-3</v>
      </c>
      <c r="P7139">
        <v>-0.9974537</v>
      </c>
      <c r="Q7139">
        <v>-5.0733159999999996E-3</v>
      </c>
      <c r="R7139">
        <v>-7.1139980000000005E-2</v>
      </c>
      <c r="S7139">
        <v>-2.995422</v>
      </c>
      <c r="T7139">
        <v>5.8937069999999998E-3</v>
      </c>
      <c r="U7139">
        <v>-0.17207339999999999</v>
      </c>
      <c r="V7139">
        <v>-7.4325989999999995E-2</v>
      </c>
      <c r="W7139">
        <v>1.004566E-2</v>
      </c>
      <c r="X7139">
        <v>0.99718340000000005</v>
      </c>
      <c r="Y7139">
        <v>-6.0541949999999997E-2</v>
      </c>
      <c r="Z7139" s="1">
        <v>6.5795950000000001E-5</v>
      </c>
      <c r="AA7139">
        <v>0.99816570000000004</v>
      </c>
      <c r="AB7139">
        <v>30</v>
      </c>
      <c r="AC7139">
        <v>-2.995422</v>
      </c>
      <c r="AD7139">
        <v>5.8937069999999998E-3</v>
      </c>
      <c r="AE7139">
        <v>-0.17207339999999999</v>
      </c>
      <c r="AF7139">
        <v>-0.18164737619454299</v>
      </c>
      <c r="AG7139">
        <v>5.8937069999999998E-3</v>
      </c>
      <c r="AH7139">
        <v>2.9948450665486601</v>
      </c>
      <c r="AI7139">
        <v>89.887451717005206</v>
      </c>
      <c r="AJ7139">
        <v>93.4709286308982</v>
      </c>
      <c r="AK7139">
        <v>3.0003545586632598</v>
      </c>
      <c r="AL7139">
        <v>89.424416398812895</v>
      </c>
      <c r="AM7139">
        <v>94.262711771124998</v>
      </c>
      <c r="AN7139">
        <v>1.0000000006549301</v>
      </c>
    </row>
    <row r="7140" spans="1:40" x14ac:dyDescent="0.25">
      <c r="A7140" t="str">
        <f>"20190312150832258"</f>
        <v>20190312150832258</v>
      </c>
      <c r="B7140" t="str">
        <f>"1552374512247379"</f>
        <v>1552374512247379</v>
      </c>
      <c r="C7140" t="s">
        <v>40</v>
      </c>
      <c r="D7140">
        <v>4.1889979999999998</v>
      </c>
      <c r="E7140">
        <v>0.50477099999999997</v>
      </c>
      <c r="F7140" t="s">
        <v>48</v>
      </c>
      <c r="G7140">
        <v>0</v>
      </c>
      <c r="H7140">
        <v>0</v>
      </c>
      <c r="I7140">
        <v>0</v>
      </c>
      <c r="J7140">
        <v>-302.12799999999999</v>
      </c>
      <c r="K7140">
        <v>1.1102909999999999</v>
      </c>
      <c r="L7140">
        <v>140.9391</v>
      </c>
      <c r="M7140">
        <v>-0.99987979999999999</v>
      </c>
      <c r="N7140">
        <v>0</v>
      </c>
      <c r="O7140">
        <v>3.2539359999999998E-3</v>
      </c>
      <c r="P7140">
        <v>-0.99748360000000003</v>
      </c>
      <c r="Q7140">
        <v>-4.8746909999999996E-3</v>
      </c>
      <c r="R7140">
        <v>-7.0731240000000001E-2</v>
      </c>
      <c r="S7140">
        <v>-2.9953919999999998</v>
      </c>
      <c r="T7140">
        <v>-2.0992760000000001E-4</v>
      </c>
      <c r="U7140">
        <v>-0.1729126</v>
      </c>
      <c r="V7140">
        <v>-7.3974419999999999E-2</v>
      </c>
      <c r="W7140">
        <v>1.0260699999999999E-2</v>
      </c>
      <c r="X7140">
        <v>0.99720730000000002</v>
      </c>
      <c r="Y7140">
        <v>-6.087886E-2</v>
      </c>
      <c r="Z7140" s="1">
        <v>-2.3594170000000001E-6</v>
      </c>
      <c r="AA7140">
        <v>0.99814519999999995</v>
      </c>
      <c r="AB7140">
        <v>29</v>
      </c>
      <c r="AC7140">
        <v>-2.9953919999999998</v>
      </c>
      <c r="AD7140">
        <v>-2.0992760000000001E-4</v>
      </c>
      <c r="AE7140">
        <v>-0.1729126</v>
      </c>
      <c r="AF7140">
        <v>-0.18265961743753201</v>
      </c>
      <c r="AG7140">
        <v>-2.0992760000000001E-4</v>
      </c>
      <c r="AH7140">
        <v>2.9948134127055601</v>
      </c>
      <c r="AI7140">
        <v>90.004008815870904</v>
      </c>
      <c r="AJ7140">
        <v>93.490259713092399</v>
      </c>
      <c r="AK7140">
        <v>3.00037863557804</v>
      </c>
      <c r="AL7140">
        <v>89.412094848288405</v>
      </c>
      <c r="AM7140">
        <v>94.242521167244604</v>
      </c>
      <c r="AN7140">
        <v>0.99999994797605596</v>
      </c>
    </row>
    <row r="7141" spans="1:40" x14ac:dyDescent="0.25">
      <c r="A7141" t="str">
        <f>"20190312150832276"</f>
        <v>20190312150832276</v>
      </c>
      <c r="B7141" t="str">
        <f>"1552374512266898"</f>
        <v>1552374512266898</v>
      </c>
      <c r="C7141" t="s">
        <v>40</v>
      </c>
      <c r="D7141">
        <v>4.1282990000000002</v>
      </c>
      <c r="E7141">
        <v>0.50423409999999902</v>
      </c>
      <c r="F7141" t="s">
        <v>48</v>
      </c>
      <c r="G7141">
        <v>0</v>
      </c>
      <c r="H7141">
        <v>0</v>
      </c>
      <c r="I7141">
        <v>0</v>
      </c>
      <c r="J7141">
        <v>-302.36630000000002</v>
      </c>
      <c r="K7141">
        <v>1.1103019999999999</v>
      </c>
      <c r="L7141">
        <v>140.94</v>
      </c>
      <c r="M7141">
        <v>-0.99987939999999997</v>
      </c>
      <c r="N7141">
        <v>0</v>
      </c>
      <c r="O7141">
        <v>3.338766E-3</v>
      </c>
      <c r="P7141">
        <v>-0.99752909999999995</v>
      </c>
      <c r="Q7141">
        <v>-4.7599920000000002E-3</v>
      </c>
      <c r="R7141">
        <v>-7.0093649999999993E-2</v>
      </c>
      <c r="S7141">
        <v>-2.9951780000000001</v>
      </c>
      <c r="T7141">
        <v>-4.5855050000000001E-3</v>
      </c>
      <c r="U7141">
        <v>-0.1739349</v>
      </c>
      <c r="V7141">
        <v>-7.3421310000000004E-2</v>
      </c>
      <c r="W7141">
        <v>1.039707E-2</v>
      </c>
      <c r="X7141">
        <v>0.99724679999999999</v>
      </c>
      <c r="Y7141">
        <v>-6.130712E-2</v>
      </c>
      <c r="Z7141" s="1">
        <v>-5.1997840000000002E-5</v>
      </c>
      <c r="AA7141">
        <v>0.99811890000000003</v>
      </c>
      <c r="AB7141">
        <v>29</v>
      </c>
      <c r="AC7141">
        <v>-2.9951780000000001</v>
      </c>
      <c r="AD7141">
        <v>-4.5855050000000001E-3</v>
      </c>
      <c r="AE7141">
        <v>-0.1739349</v>
      </c>
      <c r="AF7141">
        <v>-0.183934849533056</v>
      </c>
      <c r="AG7141">
        <v>-4.5855050000000001E-3</v>
      </c>
      <c r="AH7141">
        <v>2.99457351198537</v>
      </c>
      <c r="AI7141">
        <v>90.087570289600706</v>
      </c>
      <c r="AJ7141">
        <v>93.514846831541803</v>
      </c>
      <c r="AK7141">
        <v>3.0002205876257202</v>
      </c>
      <c r="AL7141">
        <v>89.404281027041407</v>
      </c>
      <c r="AM7141">
        <v>94.210747990368304</v>
      </c>
      <c r="AN7141">
        <v>0.99999998396847001</v>
      </c>
    </row>
    <row r="7142" spans="1:40" x14ac:dyDescent="0.25">
      <c r="A7142" t="str">
        <f>"20190312150832299"</f>
        <v>20190312150832299</v>
      </c>
      <c r="B7142" t="str">
        <f>"1552374512287395"</f>
        <v>1552374512287395</v>
      </c>
      <c r="C7142" t="s">
        <v>40</v>
      </c>
      <c r="D7142">
        <v>4.1816469999999999</v>
      </c>
      <c r="E7142">
        <v>0.50412639999999997</v>
      </c>
      <c r="F7142" t="s">
        <v>48</v>
      </c>
      <c r="G7142">
        <v>0</v>
      </c>
      <c r="H7142">
        <v>0</v>
      </c>
      <c r="I7142">
        <v>0</v>
      </c>
      <c r="J7142">
        <v>-302.65269999999998</v>
      </c>
      <c r="K7142">
        <v>1.110303</v>
      </c>
      <c r="L7142">
        <v>140.941</v>
      </c>
      <c r="M7142">
        <v>-0.99987870000000001</v>
      </c>
      <c r="N7142">
        <v>0</v>
      </c>
      <c r="O7142">
        <v>3.4407539999999999E-3</v>
      </c>
      <c r="P7142">
        <v>-0.99761829999999996</v>
      </c>
      <c r="Q7142">
        <v>-4.4898330000000004E-3</v>
      </c>
      <c r="R7142">
        <v>-6.8835489999999999E-2</v>
      </c>
      <c r="S7142">
        <v>-2.9949650000000001</v>
      </c>
      <c r="T7142">
        <v>-1.025212E-2</v>
      </c>
      <c r="U7142">
        <v>-0.17655940000000001</v>
      </c>
      <c r="V7142">
        <v>-7.2265510000000005E-2</v>
      </c>
      <c r="W7142">
        <v>1.0689840000000001E-2</v>
      </c>
      <c r="X7142">
        <v>0.9973282</v>
      </c>
      <c r="Y7142">
        <v>-6.228438E-2</v>
      </c>
      <c r="Z7142">
        <v>-1.1828010000000001E-4</v>
      </c>
      <c r="AA7142">
        <v>0.99805840000000001</v>
      </c>
      <c r="AB7142">
        <v>29</v>
      </c>
      <c r="AC7142">
        <v>-2.9949650000000001</v>
      </c>
      <c r="AD7142">
        <v>-1.025212E-2</v>
      </c>
      <c r="AE7142">
        <v>-0.17655940000000001</v>
      </c>
      <c r="AF7142">
        <v>-0.18686229953401801</v>
      </c>
      <c r="AG7142">
        <v>-1.025212E-2</v>
      </c>
      <c r="AH7142">
        <v>2.9943047349458598</v>
      </c>
      <c r="AI7142">
        <v>90.195791840532294</v>
      </c>
      <c r="AJ7142">
        <v>93.570964126331504</v>
      </c>
      <c r="AK7142">
        <v>3.00014724149846</v>
      </c>
      <c r="AL7142">
        <v>89.3875056539827</v>
      </c>
      <c r="AM7142">
        <v>94.144358030447407</v>
      </c>
      <c r="AN7142">
        <v>1.0000000575650101</v>
      </c>
    </row>
    <row r="7143" spans="1:40" x14ac:dyDescent="0.25">
      <c r="A7143" t="str">
        <f>"20190312150832313"</f>
        <v>20190312150832313</v>
      </c>
      <c r="B7143" t="str">
        <f>"1552374512306915"</f>
        <v>1552374512306915</v>
      </c>
      <c r="C7143" t="s">
        <v>40</v>
      </c>
      <c r="D7143">
        <v>4.1438969999999999</v>
      </c>
      <c r="E7143">
        <v>0.50383339999999999</v>
      </c>
      <c r="F7143" t="s">
        <v>48</v>
      </c>
      <c r="G7143">
        <v>0</v>
      </c>
      <c r="H7143">
        <v>0</v>
      </c>
      <c r="I7143">
        <v>0</v>
      </c>
      <c r="J7143">
        <v>-302.84269999999998</v>
      </c>
      <c r="K7143">
        <v>1.110303</v>
      </c>
      <c r="L7143">
        <v>140.9418</v>
      </c>
      <c r="M7143">
        <v>-0.99987820000000005</v>
      </c>
      <c r="N7143">
        <v>0</v>
      </c>
      <c r="O7143">
        <v>3.508841E-3</v>
      </c>
      <c r="P7143">
        <v>-0.99763999999999997</v>
      </c>
      <c r="Q7143">
        <v>-4.0963709999999997E-3</v>
      </c>
      <c r="R7143">
        <v>-6.8539340000000004E-2</v>
      </c>
      <c r="S7143">
        <v>-2.9950869999999998</v>
      </c>
      <c r="T7143">
        <v>-1.18382E-2</v>
      </c>
      <c r="U7143">
        <v>-0.1736145</v>
      </c>
      <c r="V7143">
        <v>-7.2037379999999998E-2</v>
      </c>
      <c r="W7143">
        <v>1.1095600000000001E-2</v>
      </c>
      <c r="X7143">
        <v>0.99734020000000001</v>
      </c>
      <c r="Y7143">
        <v>-6.1371799999999997E-2</v>
      </c>
      <c r="Z7143">
        <v>-1.350441E-4</v>
      </c>
      <c r="AA7143">
        <v>0.99811490000000003</v>
      </c>
      <c r="AB7143">
        <v>29</v>
      </c>
      <c r="AC7143">
        <v>-2.9950869999999998</v>
      </c>
      <c r="AD7143">
        <v>-1.18382E-2</v>
      </c>
      <c r="AE7143">
        <v>-0.1736145</v>
      </c>
      <c r="AF7143">
        <v>-0.18412106370321599</v>
      </c>
      <c r="AG7143">
        <v>-1.18382E-2</v>
      </c>
      <c r="AH7143">
        <v>2.9944126780835698</v>
      </c>
      <c r="AI7143">
        <v>90.226086669486406</v>
      </c>
      <c r="AJ7143">
        <v>93.518584803034301</v>
      </c>
      <c r="AK7143">
        <v>3.0000913312341102</v>
      </c>
      <c r="AL7143">
        <v>89.364255894501397</v>
      </c>
      <c r="AM7143">
        <v>94.131270828052806</v>
      </c>
      <c r="AN7143">
        <v>0.99999998549633196</v>
      </c>
    </row>
    <row r="7144" spans="1:40" x14ac:dyDescent="0.25">
      <c r="A7144" t="str">
        <f>"20190312150832332"</f>
        <v>20190312150832332</v>
      </c>
      <c r="B7144" t="str">
        <f>"1552374512327411"</f>
        <v>1552374512327411</v>
      </c>
      <c r="C7144" t="s">
        <v>40</v>
      </c>
      <c r="D7144">
        <v>4.1089529999999996</v>
      </c>
      <c r="E7144">
        <v>0.50374289999999999</v>
      </c>
      <c r="F7144" t="s">
        <v>43</v>
      </c>
      <c r="G7144">
        <v>-553.15699999999902</v>
      </c>
      <c r="H7144">
        <v>-0.05</v>
      </c>
      <c r="I7144">
        <v>126.31319999999999</v>
      </c>
      <c r="J7144">
        <v>-303.0917</v>
      </c>
      <c r="K7144">
        <v>1.1103149999999999</v>
      </c>
      <c r="L7144">
        <v>140.94280000000001</v>
      </c>
      <c r="M7144">
        <v>-0.99987769999999998</v>
      </c>
      <c r="N7144">
        <v>0</v>
      </c>
      <c r="O7144">
        <v>3.5977140000000001E-3</v>
      </c>
      <c r="P7144">
        <v>-0.99776640000000005</v>
      </c>
      <c r="Q7144">
        <v>-2.9456619999999999E-3</v>
      </c>
      <c r="R7144">
        <v>-6.6734539999999995E-2</v>
      </c>
      <c r="S7144">
        <v>-2.9950559999999999</v>
      </c>
      <c r="T7144">
        <v>-1.388323E-2</v>
      </c>
      <c r="U7144">
        <v>-0.17503360000000001</v>
      </c>
      <c r="V7144">
        <v>-7.0321419999999996E-2</v>
      </c>
      <c r="W7144">
        <v>1.2261859999999999E-2</v>
      </c>
      <c r="X7144">
        <v>0.99744900000000003</v>
      </c>
      <c r="Y7144">
        <v>-6.1932220000000003E-2</v>
      </c>
      <c r="Z7144">
        <v>-1.600815E-4</v>
      </c>
      <c r="AA7144">
        <v>0.99808039999999998</v>
      </c>
      <c r="AB7144">
        <v>29</v>
      </c>
      <c r="AC7144">
        <v>-250.06529999999901</v>
      </c>
      <c r="AD7144">
        <v>-1.160315</v>
      </c>
      <c r="AE7144">
        <v>-14.6296</v>
      </c>
      <c r="AF7144">
        <v>-15.528939748456899</v>
      </c>
      <c r="AG7144">
        <v>-1.160315</v>
      </c>
      <c r="AH7144">
        <v>250.00567776632701</v>
      </c>
      <c r="AI7144">
        <v>90.265405169173206</v>
      </c>
      <c r="AJ7144">
        <v>93.554323610948003</v>
      </c>
      <c r="AK7144">
        <v>250.490185867652</v>
      </c>
      <c r="AL7144">
        <v>89.297429553624099</v>
      </c>
      <c r="AM7144">
        <v>94.032752478774796</v>
      </c>
      <c r="AN7144">
        <v>0.99999998146123703</v>
      </c>
    </row>
    <row r="7145" spans="1:40" x14ac:dyDescent="0.25">
      <c r="A7145" t="str">
        <f>"20190312150832346"</f>
        <v>20190312150832346</v>
      </c>
      <c r="B7145" t="str">
        <f>"1552374512337170"</f>
        <v>1552374512337170</v>
      </c>
      <c r="C7145" t="s">
        <v>40</v>
      </c>
      <c r="D7145">
        <v>4.26424</v>
      </c>
      <c r="E7145">
        <v>0.50397990000000004</v>
      </c>
      <c r="F7145" t="s">
        <v>43</v>
      </c>
      <c r="G7145">
        <v>-547.92899999999997</v>
      </c>
      <c r="H7145">
        <v>-0.05</v>
      </c>
      <c r="I7145">
        <v>127.002</v>
      </c>
      <c r="J7145">
        <v>-303.28609999999998</v>
      </c>
      <c r="K7145">
        <v>1.1103179999999999</v>
      </c>
      <c r="L7145">
        <v>140.9435</v>
      </c>
      <c r="M7145">
        <v>-0.99987729999999997</v>
      </c>
      <c r="N7145">
        <v>0</v>
      </c>
      <c r="O7145">
        <v>3.6673119999999998E-3</v>
      </c>
      <c r="P7145">
        <v>-0.99780570000000002</v>
      </c>
      <c r="Q7145">
        <v>-2.5210620000000001E-3</v>
      </c>
      <c r="R7145">
        <v>-6.6162209999999999E-2</v>
      </c>
      <c r="S7145">
        <v>-2.9952700000000001</v>
      </c>
      <c r="T7145">
        <v>-1.4194969999999999E-2</v>
      </c>
      <c r="U7145">
        <v>-0.17054749999999999</v>
      </c>
      <c r="V7145">
        <v>-6.9818290000000005E-2</v>
      </c>
      <c r="W7145">
        <v>1.2696229999999999E-2</v>
      </c>
      <c r="X7145">
        <v>0.99747889999999995</v>
      </c>
      <c r="Y7145">
        <v>-6.0507569999999997E-2</v>
      </c>
      <c r="Z7145">
        <v>-1.606279E-4</v>
      </c>
      <c r="AA7145">
        <v>0.99816780000000005</v>
      </c>
      <c r="AB7145">
        <v>29</v>
      </c>
      <c r="AC7145">
        <v>-244.6429</v>
      </c>
      <c r="AD7145">
        <v>-1.160318</v>
      </c>
      <c r="AE7145">
        <v>-13.9414999999999</v>
      </c>
      <c r="AF7145">
        <v>-14.8383594217688</v>
      </c>
      <c r="AG7145">
        <v>-1.160318</v>
      </c>
      <c r="AH7145">
        <v>244.58463657222899</v>
      </c>
      <c r="AI7145">
        <v>90.271312302365203</v>
      </c>
      <c r="AJ7145">
        <v>93.471741478383507</v>
      </c>
      <c r="AK7145">
        <v>245.03707412422301</v>
      </c>
      <c r="AL7145">
        <v>89.272540040217095</v>
      </c>
      <c r="AM7145">
        <v>94.003873819669494</v>
      </c>
      <c r="AN7145">
        <v>0.99999997190997303</v>
      </c>
    </row>
    <row r="7146" spans="1:40" x14ac:dyDescent="0.25">
      <c r="A7146" t="str">
        <f>"20190312150832359"</f>
        <v>20190312150832359</v>
      </c>
      <c r="B7146" t="str">
        <f>"1552374512356691"</f>
        <v>1552374512356691</v>
      </c>
      <c r="C7146" t="s">
        <v>40</v>
      </c>
      <c r="D7146">
        <v>4.1109249999999999</v>
      </c>
      <c r="E7146">
        <v>0.50381690000000001</v>
      </c>
      <c r="F7146" t="s">
        <v>43</v>
      </c>
      <c r="G7146">
        <v>-556.85709999999995</v>
      </c>
      <c r="H7146">
        <v>-0.05</v>
      </c>
      <c r="I7146">
        <v>126.8099</v>
      </c>
      <c r="J7146">
        <v>-303.45499999999998</v>
      </c>
      <c r="K7146">
        <v>1.1103209999999999</v>
      </c>
      <c r="L7146">
        <v>140.9442</v>
      </c>
      <c r="M7146">
        <v>-0.99987689999999996</v>
      </c>
      <c r="N7146">
        <v>0</v>
      </c>
      <c r="O7146">
        <v>3.727691E-3</v>
      </c>
      <c r="P7146">
        <v>-0.9978648</v>
      </c>
      <c r="Q7146">
        <v>-2.1193230000000002E-3</v>
      </c>
      <c r="R7146">
        <v>-6.5278779999999995E-2</v>
      </c>
      <c r="S7146">
        <v>-2.9954529999999999</v>
      </c>
      <c r="T7146">
        <v>-1.3706919999999999E-2</v>
      </c>
      <c r="U7146">
        <v>-0.16696169999999999</v>
      </c>
      <c r="V7146">
        <v>-6.8995539999999994E-2</v>
      </c>
      <c r="W7146">
        <v>1.3105800000000001E-2</v>
      </c>
      <c r="X7146">
        <v>0.9975309</v>
      </c>
      <c r="Y7146">
        <v>-5.9373299999999997E-2</v>
      </c>
      <c r="Z7146">
        <v>-1.5278399999999999E-4</v>
      </c>
      <c r="AA7146">
        <v>0.99823580000000001</v>
      </c>
      <c r="AB7146">
        <v>29</v>
      </c>
      <c r="AC7146">
        <v>-253.40209999999999</v>
      </c>
      <c r="AD7146">
        <v>-1.1603209999999999</v>
      </c>
      <c r="AE7146">
        <v>-14.1342999999999</v>
      </c>
      <c r="AF7146">
        <v>-15.0786010592103</v>
      </c>
      <c r="AG7146">
        <v>-1.1603209999999999</v>
      </c>
      <c r="AH7146">
        <v>253.34234921499399</v>
      </c>
      <c r="AI7146">
        <v>90.261952221905702</v>
      </c>
      <c r="AJ7146">
        <v>93.406150632372501</v>
      </c>
      <c r="AK7146">
        <v>253.793334153003</v>
      </c>
      <c r="AL7146">
        <v>89.249071491122606</v>
      </c>
      <c r="AM7146">
        <v>93.956636677120102</v>
      </c>
      <c r="AN7146">
        <v>1.00000002149417</v>
      </c>
    </row>
    <row r="7147" spans="1:40" x14ac:dyDescent="0.25">
      <c r="A7147" t="str">
        <f>"20190312150832378"</f>
        <v>20190312150832378</v>
      </c>
      <c r="B7147" t="str">
        <f>"1552374512367427"</f>
        <v>1552374512367427</v>
      </c>
      <c r="C7147" t="s">
        <v>40</v>
      </c>
      <c r="D7147">
        <v>4.0910840000000004</v>
      </c>
      <c r="E7147">
        <v>0.50373809999999997</v>
      </c>
      <c r="F7147" t="s">
        <v>73</v>
      </c>
      <c r="G7147">
        <v>-501.3476</v>
      </c>
      <c r="H7147">
        <v>7.9987539999999996E-2</v>
      </c>
      <c r="I7147">
        <v>130</v>
      </c>
      <c r="J7147">
        <v>-303.68299999999999</v>
      </c>
      <c r="K7147">
        <v>1.11032999999999</v>
      </c>
      <c r="L7147">
        <v>140.9452</v>
      </c>
      <c r="M7147">
        <v>-0.9998766</v>
      </c>
      <c r="N7147">
        <v>0</v>
      </c>
      <c r="O7147">
        <v>3.809219E-3</v>
      </c>
      <c r="P7147">
        <v>-0.99796470000000004</v>
      </c>
      <c r="Q7147">
        <v>-1.357891E-3</v>
      </c>
      <c r="R7147">
        <v>-6.3755240000000005E-2</v>
      </c>
      <c r="S7147">
        <v>-2.9955440000000002</v>
      </c>
      <c r="T7147">
        <v>-1.559639E-2</v>
      </c>
      <c r="U7147">
        <v>-0.1656647</v>
      </c>
      <c r="V7147">
        <v>-6.7553520000000006E-2</v>
      </c>
      <c r="W7147">
        <v>1.3876299999999999E-2</v>
      </c>
      <c r="X7147">
        <v>0.99761920000000004</v>
      </c>
      <c r="Y7147">
        <v>-5.9021919999999999E-2</v>
      </c>
      <c r="Z7147">
        <v>-1.733517E-4</v>
      </c>
      <c r="AA7147">
        <v>0.9982567</v>
      </c>
      <c r="AB7147">
        <v>29</v>
      </c>
      <c r="AC7147">
        <v>-197.66460000000001</v>
      </c>
      <c r="AD7147">
        <v>-1.03034245999999</v>
      </c>
      <c r="AE7147">
        <v>-10.9452</v>
      </c>
      <c r="AF7147">
        <v>-11.697838913276501</v>
      </c>
      <c r="AG7147">
        <v>-1.03034245999999</v>
      </c>
      <c r="AH7147">
        <v>197.61611507176201</v>
      </c>
      <c r="AI7147">
        <v>90.298207383785694</v>
      </c>
      <c r="AJ7147">
        <v>93.387656920793106</v>
      </c>
      <c r="AK7147">
        <v>197.964719020541</v>
      </c>
      <c r="AL7147">
        <v>89.204921096667803</v>
      </c>
      <c r="AM7147">
        <v>93.873854852613604</v>
      </c>
      <c r="AN7147">
        <v>1.00000004898735</v>
      </c>
    </row>
    <row r="7148" spans="1:40" x14ac:dyDescent="0.25">
      <c r="A7148" t="str">
        <f>"20190312150832400"</f>
        <v>20190312150832400</v>
      </c>
      <c r="B7148" t="str">
        <f>"1552374512396707"</f>
        <v>1552374512396707</v>
      </c>
      <c r="C7148" t="s">
        <v>40</v>
      </c>
      <c r="D7148">
        <v>4.1212600000000004</v>
      </c>
      <c r="E7148">
        <v>0.503355</v>
      </c>
      <c r="F7148" t="s">
        <v>43</v>
      </c>
      <c r="G7148">
        <v>-545.80730000000005</v>
      </c>
      <c r="H7148">
        <v>-0.05</v>
      </c>
      <c r="I7148">
        <v>127.8687</v>
      </c>
      <c r="J7148">
        <v>-303.96940000000001</v>
      </c>
      <c r="K7148">
        <v>1.110336</v>
      </c>
      <c r="L7148">
        <v>140.94640000000001</v>
      </c>
      <c r="M7148">
        <v>-0.99987579999999998</v>
      </c>
      <c r="N7148">
        <v>0</v>
      </c>
      <c r="O7148">
        <v>3.9117839999999997E-3</v>
      </c>
      <c r="P7148">
        <v>-0.99813260000000004</v>
      </c>
      <c r="Q7148">
        <v>-1.0772850000000001E-3</v>
      </c>
      <c r="R7148">
        <v>-6.107477E-2</v>
      </c>
      <c r="S7148">
        <v>-2.9956969999999998</v>
      </c>
      <c r="T7148">
        <v>-1.4356259999999999E-2</v>
      </c>
      <c r="U7148">
        <v>-0.16178890000000001</v>
      </c>
      <c r="V7148">
        <v>-6.4975669999999999E-2</v>
      </c>
      <c r="W7148">
        <v>1.416714E-2</v>
      </c>
      <c r="X7148">
        <v>0.99778630000000001</v>
      </c>
      <c r="Y7148">
        <v>-5.7833950000000002E-2</v>
      </c>
      <c r="Z7148">
        <v>-1.5721220000000001E-4</v>
      </c>
      <c r="AA7148">
        <v>0.99832619999999905</v>
      </c>
      <c r="AB7148">
        <v>29</v>
      </c>
      <c r="AC7148">
        <v>-241.83789999999999</v>
      </c>
      <c r="AD7148">
        <v>-1.160336</v>
      </c>
      <c r="AE7148">
        <v>-13.0777</v>
      </c>
      <c r="AF7148">
        <v>-14.023405928078599</v>
      </c>
      <c r="AG7148">
        <v>-1.160336</v>
      </c>
      <c r="AH7148">
        <v>241.779336448176</v>
      </c>
      <c r="AI7148">
        <v>90.274507753786494</v>
      </c>
      <c r="AJ7148">
        <v>93.319484629035202</v>
      </c>
      <c r="AK7148">
        <v>242.18845931789701</v>
      </c>
      <c r="AL7148">
        <v>89.188255533446494</v>
      </c>
      <c r="AM7148">
        <v>93.725830545585495</v>
      </c>
      <c r="AN7148">
        <v>1.0000000230077</v>
      </c>
    </row>
    <row r="7149" spans="1:40" x14ac:dyDescent="0.25">
      <c r="A7149" t="str">
        <f>"20190312150832422"</f>
        <v>20190312150832422</v>
      </c>
      <c r="B7149" t="str">
        <f>"1552374512417203"</f>
        <v>1552374512417203</v>
      </c>
      <c r="C7149" t="s">
        <v>40</v>
      </c>
      <c r="D7149">
        <v>4.420331</v>
      </c>
      <c r="E7149">
        <v>0.50310480000000002</v>
      </c>
      <c r="F7149" t="s">
        <v>73</v>
      </c>
      <c r="G7149">
        <v>-496.8972</v>
      </c>
      <c r="H7149" s="1">
        <v>-7.8346070000000003E-6</v>
      </c>
      <c r="I7149">
        <v>130.8434</v>
      </c>
      <c r="J7149">
        <v>-304.2586</v>
      </c>
      <c r="K7149">
        <v>1.1103400000000001</v>
      </c>
      <c r="L7149">
        <v>140.9477</v>
      </c>
      <c r="M7149">
        <v>-0.99987550000000003</v>
      </c>
      <c r="N7149">
        <v>0</v>
      </c>
      <c r="O7149">
        <v>4.0151980000000002E-3</v>
      </c>
      <c r="P7149">
        <v>-0.99827980000000005</v>
      </c>
      <c r="Q7149">
        <v>-7.2644840000000001E-4</v>
      </c>
      <c r="R7149">
        <v>-5.8627829999999999E-2</v>
      </c>
      <c r="S7149">
        <v>-2.9960019999999998</v>
      </c>
      <c r="T7149">
        <v>-1.7242670000000002E-2</v>
      </c>
      <c r="U7149">
        <v>-0.1568909</v>
      </c>
      <c r="V7149">
        <v>-6.2632430000000003E-2</v>
      </c>
      <c r="W7149">
        <v>1.4525679999999999E-2</v>
      </c>
      <c r="X7149">
        <v>0.99793089999999995</v>
      </c>
      <c r="Y7149">
        <v>-5.6303829999999999E-2</v>
      </c>
      <c r="Z7149">
        <v>-1.8500400000000001E-4</v>
      </c>
      <c r="AA7149">
        <v>0.99841369999999896</v>
      </c>
      <c r="AB7149">
        <v>29</v>
      </c>
      <c r="AC7149">
        <v>-192.6386</v>
      </c>
      <c r="AD7149">
        <v>-1.1103478346069999</v>
      </c>
      <c r="AE7149">
        <v>-10.104299999999901</v>
      </c>
      <c r="AF7149">
        <v>-10.877430342370401</v>
      </c>
      <c r="AG7149">
        <v>-1.1103478346069999</v>
      </c>
      <c r="AH7149">
        <v>192.59009054337</v>
      </c>
      <c r="AI7149">
        <v>90.329800538760793</v>
      </c>
      <c r="AJ7149">
        <v>93.232614000146299</v>
      </c>
      <c r="AK7149">
        <v>192.900218607109</v>
      </c>
      <c r="AL7149">
        <v>89.167710528973004</v>
      </c>
      <c r="AM7149">
        <v>93.591303848255706</v>
      </c>
      <c r="AN7149">
        <v>0.99999994892098698</v>
      </c>
    </row>
    <row r="7150" spans="1:40" x14ac:dyDescent="0.25">
      <c r="A7150" t="str">
        <f>"20190312150832436"</f>
        <v>20190312150832436</v>
      </c>
      <c r="B7150" t="str">
        <f>"1552374512426963"</f>
        <v>1552374512426963</v>
      </c>
      <c r="C7150" t="s">
        <v>40</v>
      </c>
      <c r="D7150">
        <v>4.140733</v>
      </c>
      <c r="E7150">
        <v>0.50299570000000005</v>
      </c>
      <c r="F7150" t="s">
        <v>73</v>
      </c>
      <c r="G7150">
        <v>-499.39179999999999</v>
      </c>
      <c r="H7150">
        <v>3.080196E-2</v>
      </c>
      <c r="I7150">
        <v>131.07980000000001</v>
      </c>
      <c r="J7150">
        <v>-304.45150000000001</v>
      </c>
      <c r="K7150">
        <v>1.1103430000000001</v>
      </c>
      <c r="L7150">
        <v>140.9485</v>
      </c>
      <c r="M7150">
        <v>-0.99987510000000002</v>
      </c>
      <c r="N7150">
        <v>0</v>
      </c>
      <c r="O7150">
        <v>4.0841289999999997E-3</v>
      </c>
      <c r="P7150">
        <v>-0.99835929999999995</v>
      </c>
      <c r="Q7150">
        <v>-5.1971150000000002E-4</v>
      </c>
      <c r="R7150">
        <v>-5.726063E-2</v>
      </c>
      <c r="S7150">
        <v>-2.9962460000000002</v>
      </c>
      <c r="T7150">
        <v>-1.6576170000000001E-2</v>
      </c>
      <c r="U7150">
        <v>-0.15151979999999901</v>
      </c>
      <c r="V7150">
        <v>-6.1334529999999998E-2</v>
      </c>
      <c r="W7150">
        <v>1.473642E-2</v>
      </c>
      <c r="X7150">
        <v>0.99800849999999997</v>
      </c>
      <c r="Y7150">
        <v>-5.4583399999999997E-2</v>
      </c>
      <c r="Z7150">
        <v>-1.73471899999999E-4</v>
      </c>
      <c r="AA7150">
        <v>0.99850919999999999</v>
      </c>
      <c r="AB7150">
        <v>29</v>
      </c>
      <c r="AC7150">
        <v>-194.94030000000001</v>
      </c>
      <c r="AD7150">
        <v>-1.0795410400000001</v>
      </c>
      <c r="AE7150">
        <v>-9.8686999999999898</v>
      </c>
      <c r="AF7150">
        <v>-10.6645456015821</v>
      </c>
      <c r="AG7150">
        <v>-1.0795410400000001</v>
      </c>
      <c r="AH7150">
        <v>194.892402520259</v>
      </c>
      <c r="AI7150">
        <v>90.316893418847101</v>
      </c>
      <c r="AJ7150">
        <v>93.132111190293898</v>
      </c>
      <c r="AK7150">
        <v>195.18695269372901</v>
      </c>
      <c r="AL7150">
        <v>89.155634788560704</v>
      </c>
      <c r="AM7150">
        <v>93.516799076919995</v>
      </c>
      <c r="AN7150">
        <v>1.0000000263584901</v>
      </c>
    </row>
    <row r="7151" spans="1:40" x14ac:dyDescent="0.25">
      <c r="A7151" t="str">
        <f>"20190312150832448"</f>
        <v>20190312150832448</v>
      </c>
      <c r="B7151" t="str">
        <f>"1552374512437699"</f>
        <v>1552374512437699</v>
      </c>
      <c r="C7151" t="s">
        <v>40</v>
      </c>
      <c r="D7151">
        <v>4.1246419999999997</v>
      </c>
      <c r="E7151">
        <v>0.50295319999999999</v>
      </c>
      <c r="F7151" t="s">
        <v>43</v>
      </c>
      <c r="G7151">
        <v>-538.03930000000003</v>
      </c>
      <c r="H7151">
        <v>-0.05</v>
      </c>
      <c r="I7151">
        <v>129.38890000000001</v>
      </c>
      <c r="J7151">
        <v>-304.6078</v>
      </c>
      <c r="K7151">
        <v>1.1103459999999901</v>
      </c>
      <c r="L7151">
        <v>140.94919999999999</v>
      </c>
      <c r="M7151">
        <v>-0.99987479999999995</v>
      </c>
      <c r="N7151">
        <v>0</v>
      </c>
      <c r="O7151">
        <v>4.140136E-3</v>
      </c>
      <c r="P7151">
        <v>-0.99840419999999996</v>
      </c>
      <c r="Q7151">
        <v>-2.7482860000000001E-4</v>
      </c>
      <c r="R7151">
        <v>-5.6472410000000001E-2</v>
      </c>
      <c r="S7151">
        <v>-2.996429</v>
      </c>
      <c r="T7151">
        <v>-1.4884710000000001E-2</v>
      </c>
      <c r="U7151">
        <v>-0.1482849</v>
      </c>
      <c r="V7151">
        <v>-6.0601910000000002E-2</v>
      </c>
      <c r="W7151">
        <v>1.4983399999999999E-2</v>
      </c>
      <c r="X7151">
        <v>0.99804959999999998</v>
      </c>
      <c r="Y7151">
        <v>-5.3561150000000002E-2</v>
      </c>
      <c r="Z7151">
        <v>-1.5350610000000001E-4</v>
      </c>
      <c r="AA7151">
        <v>0.99856449999999997</v>
      </c>
      <c r="AB7151">
        <v>29</v>
      </c>
      <c r="AC7151">
        <v>-233.4315</v>
      </c>
      <c r="AD7151">
        <v>-1.1603460000000001</v>
      </c>
      <c r="AE7151">
        <v>-11.5602999999999</v>
      </c>
      <c r="AF7151">
        <v>-12.5264430253619</v>
      </c>
      <c r="AG7151">
        <v>-1.1603460000000001</v>
      </c>
      <c r="AH7151">
        <v>233.37587974627999</v>
      </c>
      <c r="AI7151">
        <v>90.284463076816493</v>
      </c>
      <c r="AJ7151">
        <v>93.072400900308907</v>
      </c>
      <c r="AK7151">
        <v>233.71469663899501</v>
      </c>
      <c r="AL7151">
        <v>89.141482334001694</v>
      </c>
      <c r="AM7151">
        <v>93.474752918432898</v>
      </c>
      <c r="AN7151">
        <v>1.00000004891568</v>
      </c>
    </row>
    <row r="7152" spans="1:40" x14ac:dyDescent="0.25">
      <c r="A7152" t="str">
        <f>"20190312150832466"</f>
        <v>20190312150832466</v>
      </c>
      <c r="B7152" t="str">
        <f>"1552374512457218"</f>
        <v>1552374512457218</v>
      </c>
      <c r="C7152" t="s">
        <v>40</v>
      </c>
      <c r="D7152">
        <v>4.1313469999999999</v>
      </c>
      <c r="E7152">
        <v>0.50282109999999902</v>
      </c>
      <c r="F7152" t="s">
        <v>43</v>
      </c>
      <c r="G7152">
        <v>-549.41610000000003</v>
      </c>
      <c r="H7152">
        <v>-0.05</v>
      </c>
      <c r="I7152">
        <v>129.00299999999999</v>
      </c>
      <c r="J7152">
        <v>-304.82929999999999</v>
      </c>
      <c r="K7152">
        <v>1.110357</v>
      </c>
      <c r="L7152">
        <v>140.9503</v>
      </c>
      <c r="M7152">
        <v>-0.9998745</v>
      </c>
      <c r="N7152">
        <v>0</v>
      </c>
      <c r="O7152">
        <v>4.2195030000000003E-3</v>
      </c>
      <c r="P7152">
        <v>-0.99854889999999996</v>
      </c>
      <c r="Q7152">
        <v>3.7224030000000002E-4</v>
      </c>
      <c r="R7152">
        <v>-5.3854480000000003E-2</v>
      </c>
      <c r="S7152">
        <v>-2.996521</v>
      </c>
      <c r="T7152">
        <v>-1.4202950000000001E-2</v>
      </c>
      <c r="U7152">
        <v>-0.14622499999999999</v>
      </c>
      <c r="V7152">
        <v>-5.8064079999999997E-2</v>
      </c>
      <c r="W7152">
        <v>1.5634209999999999E-2</v>
      </c>
      <c r="X7152">
        <v>0.99819040000000003</v>
      </c>
      <c r="Y7152">
        <v>-5.2954149999999998E-2</v>
      </c>
      <c r="Z7152">
        <v>-1.4541160000000001E-4</v>
      </c>
      <c r="AA7152">
        <v>0.99859690000000001</v>
      </c>
      <c r="AB7152">
        <v>29</v>
      </c>
      <c r="AC7152">
        <v>-244.58680000000001</v>
      </c>
      <c r="AD7152">
        <v>-1.1603569999999901</v>
      </c>
      <c r="AE7152">
        <v>-11.9473</v>
      </c>
      <c r="AF7152">
        <v>-12.9790572769496</v>
      </c>
      <c r="AG7152">
        <v>-1.1603569999999901</v>
      </c>
      <c r="AH7152">
        <v>244.52871409650399</v>
      </c>
      <c r="AI7152">
        <v>90.271500256812601</v>
      </c>
      <c r="AJ7152">
        <v>93.038285455096499</v>
      </c>
      <c r="AK7152">
        <v>244.87567125759</v>
      </c>
      <c r="AL7152">
        <v>89.104189228209606</v>
      </c>
      <c r="AM7152">
        <v>93.329106378415801</v>
      </c>
      <c r="AN7152">
        <v>0.99999997028036403</v>
      </c>
    </row>
    <row r="7153" spans="1:40" x14ac:dyDescent="0.25">
      <c r="A7153" t="str">
        <f>"20190312150832489"</f>
        <v>20190312150832489</v>
      </c>
      <c r="B7153" t="str">
        <f>"1552374512476739"</f>
        <v>1552374512476739</v>
      </c>
      <c r="C7153" t="s">
        <v>40</v>
      </c>
      <c r="D7153">
        <v>4.135491</v>
      </c>
      <c r="E7153">
        <v>0.50260749999999998</v>
      </c>
      <c r="F7153" t="s">
        <v>48</v>
      </c>
      <c r="G7153">
        <v>0</v>
      </c>
      <c r="H7153">
        <v>0</v>
      </c>
      <c r="I7153">
        <v>0</v>
      </c>
      <c r="J7153">
        <v>-305.12049999999999</v>
      </c>
      <c r="K7153">
        <v>1.110363</v>
      </c>
      <c r="L7153">
        <v>140.95160000000001</v>
      </c>
      <c r="M7153">
        <v>-0.99987409999999999</v>
      </c>
      <c r="N7153">
        <v>0</v>
      </c>
      <c r="O7153">
        <v>4.3237869999999999E-3</v>
      </c>
      <c r="P7153">
        <v>-0.99872669999999997</v>
      </c>
      <c r="Q7153">
        <v>1.9603950000000002E-3</v>
      </c>
      <c r="R7153">
        <v>-5.0413079999999999E-2</v>
      </c>
      <c r="S7153">
        <v>-2.996826</v>
      </c>
      <c r="T7153">
        <v>-1.106906E-2</v>
      </c>
      <c r="U7153">
        <v>-0.13946529999999999</v>
      </c>
      <c r="V7153">
        <v>-5.472718E-2</v>
      </c>
      <c r="W7153">
        <v>1.7226149999999999E-2</v>
      </c>
      <c r="X7153">
        <v>0.99835280000000004</v>
      </c>
      <c r="Y7153">
        <v>-5.0806179999999999E-2</v>
      </c>
      <c r="Z7153">
        <v>-1.097415E-4</v>
      </c>
      <c r="AA7153">
        <v>0.9987085</v>
      </c>
      <c r="AB7153">
        <v>29</v>
      </c>
      <c r="AC7153">
        <v>-2.996826</v>
      </c>
      <c r="AD7153">
        <v>-1.106906E-2</v>
      </c>
      <c r="AE7153">
        <v>-0.13946529999999999</v>
      </c>
      <c r="AF7153">
        <v>-0.15242106880228101</v>
      </c>
      <c r="AG7153">
        <v>-1.106906E-2</v>
      </c>
      <c r="AH7153">
        <v>2.9961541046465499</v>
      </c>
      <c r="AI7153">
        <v>90.211400499064197</v>
      </c>
      <c r="AJ7153">
        <v>92.912254052082602</v>
      </c>
      <c r="AK7153">
        <v>3.0000490204485799</v>
      </c>
      <c r="AL7153">
        <v>89.012965546272497</v>
      </c>
      <c r="AM7153">
        <v>93.137669642674197</v>
      </c>
      <c r="AN7153">
        <v>1.0000000588711999</v>
      </c>
    </row>
    <row r="7154" spans="1:40" x14ac:dyDescent="0.25">
      <c r="A7154" t="str">
        <f>"20190312150832522"</f>
        <v>20190312150832522</v>
      </c>
      <c r="B7154" t="str">
        <f>"1552374512516754"</f>
        <v>1552374512516754</v>
      </c>
      <c r="C7154" t="s">
        <v>40</v>
      </c>
      <c r="D7154">
        <v>4.1835909999999998</v>
      </c>
      <c r="E7154">
        <v>0.50244079999999902</v>
      </c>
      <c r="F7154" t="s">
        <v>48</v>
      </c>
      <c r="G7154">
        <v>0</v>
      </c>
      <c r="H7154">
        <v>0</v>
      </c>
      <c r="I7154">
        <v>0</v>
      </c>
      <c r="J7154">
        <v>-305.55470000000003</v>
      </c>
      <c r="K7154">
        <v>1.110379</v>
      </c>
      <c r="L7154">
        <v>140.9537</v>
      </c>
      <c r="M7154">
        <v>-0.99987340000000002</v>
      </c>
      <c r="N7154">
        <v>0</v>
      </c>
      <c r="O7154">
        <v>4.4795119999999997E-3</v>
      </c>
      <c r="P7154">
        <v>-0.99892049999999999</v>
      </c>
      <c r="Q7154">
        <v>3.2733039999999999E-3</v>
      </c>
      <c r="R7154">
        <v>-4.6342380000000002E-2</v>
      </c>
      <c r="S7154">
        <v>-2.9972530000000002</v>
      </c>
      <c r="T7154">
        <v>-5.5667160000000002E-3</v>
      </c>
      <c r="U7154">
        <v>-0.13079830000000001</v>
      </c>
      <c r="V7154">
        <v>-5.0812429999999999E-2</v>
      </c>
      <c r="W7154">
        <v>1.8541060000000002E-2</v>
      </c>
      <c r="X7154">
        <v>0.99853610000000004</v>
      </c>
      <c r="Y7154">
        <v>-4.8073159999999997E-2</v>
      </c>
      <c r="Z7154" s="1">
        <v>-5.2938059999999998E-5</v>
      </c>
      <c r="AA7154">
        <v>0.99884379999999995</v>
      </c>
      <c r="AB7154">
        <v>29</v>
      </c>
      <c r="AC7154">
        <v>-2.9972530000000002</v>
      </c>
      <c r="AD7154">
        <v>-5.5667160000000002E-3</v>
      </c>
      <c r="AE7154">
        <v>-0.13079830000000001</v>
      </c>
      <c r="AF7154">
        <v>-0.14422428683760599</v>
      </c>
      <c r="AG7154">
        <v>-5.5667160000000002E-3</v>
      </c>
      <c r="AH7154">
        <v>2.9966266233957302</v>
      </c>
      <c r="AI7154">
        <v>90.1063129452222</v>
      </c>
      <c r="AJ7154">
        <v>92.755455510444705</v>
      </c>
      <c r="AK7154">
        <v>3.0001004571988799</v>
      </c>
      <c r="AL7154">
        <v>88.937614647847198</v>
      </c>
      <c r="AM7154">
        <v>92.913093210762298</v>
      </c>
      <c r="AN7154">
        <v>1.0000000084758101</v>
      </c>
    </row>
    <row r="7155" spans="1:40" x14ac:dyDescent="0.25">
      <c r="A7155" t="str">
        <f>"20190312150832546"</f>
        <v>20190312150832546</v>
      </c>
      <c r="B7155" t="str">
        <f>"1552374512537251"</f>
        <v>1552374512537251</v>
      </c>
      <c r="C7155" t="s">
        <v>40</v>
      </c>
      <c r="D7155">
        <v>4.1877959999999996</v>
      </c>
      <c r="E7155">
        <v>0.49296679999999998</v>
      </c>
      <c r="F7155" t="s">
        <v>48</v>
      </c>
      <c r="G7155">
        <v>0</v>
      </c>
      <c r="H7155">
        <v>0</v>
      </c>
      <c r="I7155">
        <v>0</v>
      </c>
      <c r="J7155">
        <v>-305.84539999999998</v>
      </c>
      <c r="K7155">
        <v>1.110384</v>
      </c>
      <c r="L7155">
        <v>140.95519999999999</v>
      </c>
      <c r="M7155">
        <v>-0.99987280000000001</v>
      </c>
      <c r="N7155">
        <v>0</v>
      </c>
      <c r="O7155">
        <v>4.5838160000000001E-3</v>
      </c>
      <c r="P7155">
        <v>-0.99902899999999994</v>
      </c>
      <c r="Q7155">
        <v>4.1660129999999997E-3</v>
      </c>
      <c r="R7155">
        <v>-4.3857239999999999E-2</v>
      </c>
      <c r="S7155">
        <v>-2.997681</v>
      </c>
      <c r="T7155">
        <v>-2.4473670000000002E-3</v>
      </c>
      <c r="U7155">
        <v>-0.11991880000000001</v>
      </c>
      <c r="V7155">
        <v>-4.8431719999999998E-2</v>
      </c>
      <c r="W7155">
        <v>1.9434010000000002E-2</v>
      </c>
      <c r="X7155">
        <v>0.99863740000000001</v>
      </c>
      <c r="Y7155">
        <v>-4.4552149999999999E-2</v>
      </c>
      <c r="Z7155" s="1">
        <v>-2.1920699999999998E-5</v>
      </c>
      <c r="AA7155">
        <v>0.99900699999999998</v>
      </c>
      <c r="AB7155">
        <v>29</v>
      </c>
      <c r="AC7155">
        <v>-2.997681</v>
      </c>
      <c r="AD7155">
        <v>-2.4473670000000002E-3</v>
      </c>
      <c r="AE7155">
        <v>-0.11991880000000001</v>
      </c>
      <c r="AF7155">
        <v>-0.13365987269825999</v>
      </c>
      <c r="AG7155">
        <v>-2.4473670000000002E-3</v>
      </c>
      <c r="AH7155">
        <v>2.9970977554271001</v>
      </c>
      <c r="AI7155">
        <v>90.046740062066903</v>
      </c>
      <c r="AJ7155">
        <v>92.553495522144402</v>
      </c>
      <c r="AK7155">
        <v>3.0000776501219302</v>
      </c>
      <c r="AL7155">
        <v>88.886443128348603</v>
      </c>
      <c r="AM7155">
        <v>92.776543952702298</v>
      </c>
      <c r="AN7155">
        <v>0.99999998446279903</v>
      </c>
    </row>
    <row r="7156" spans="1:40" x14ac:dyDescent="0.25">
      <c r="A7156" t="str">
        <f>"20190312150832566"</f>
        <v>20190312150832566</v>
      </c>
      <c r="B7156" t="str">
        <f>"1552374512556771"</f>
        <v>1552374512556771</v>
      </c>
      <c r="C7156" t="s">
        <v>40</v>
      </c>
      <c r="D7156">
        <v>4.1948629999999998</v>
      </c>
      <c r="E7156">
        <v>0.49133310000000002</v>
      </c>
      <c r="F7156" t="s">
        <v>77</v>
      </c>
      <c r="G7156">
        <v>-423.16719999999998</v>
      </c>
      <c r="H7156" s="1">
        <v>-7.7905919999999994E-6</v>
      </c>
      <c r="I7156">
        <v>133.55410000000001</v>
      </c>
      <c r="J7156">
        <v>-306.12110000000001</v>
      </c>
      <c r="K7156">
        <v>1.1103909999999999</v>
      </c>
      <c r="L7156">
        <v>140.95660000000001</v>
      </c>
      <c r="M7156">
        <v>-0.9998726</v>
      </c>
      <c r="N7156">
        <v>0</v>
      </c>
      <c r="O7156">
        <v>4.6825240000000004E-3</v>
      </c>
      <c r="P7156">
        <v>-0.99916510000000003</v>
      </c>
      <c r="Q7156">
        <v>5.3780829999999996E-3</v>
      </c>
      <c r="R7156">
        <v>-4.0504909999999998E-2</v>
      </c>
      <c r="S7156">
        <v>-2.9947509999999999</v>
      </c>
      <c r="T7156">
        <v>-2.8343799999999999E-2</v>
      </c>
      <c r="U7156">
        <v>-0.18891910000000001</v>
      </c>
      <c r="V7156">
        <v>-4.5178490000000002E-2</v>
      </c>
      <c r="W7156">
        <v>2.0645409999999999E-2</v>
      </c>
      <c r="X7156">
        <v>0.99876560000000003</v>
      </c>
      <c r="Y7156">
        <v>-6.7628110000000005E-2</v>
      </c>
      <c r="Z7156">
        <v>-3.6398730000000002E-4</v>
      </c>
      <c r="AA7156">
        <v>0.99771049999999994</v>
      </c>
      <c r="AB7156">
        <v>29</v>
      </c>
      <c r="AC7156">
        <v>-117.046099999999</v>
      </c>
      <c r="AD7156">
        <v>-1.1103987905920001</v>
      </c>
      <c r="AE7156">
        <v>-7.4024999999999999</v>
      </c>
      <c r="AF7156">
        <v>-7.9498411839103298</v>
      </c>
      <c r="AG7156">
        <v>-1.1103987905920001</v>
      </c>
      <c r="AH7156">
        <v>116.999662038843</v>
      </c>
      <c r="AI7156">
        <v>90.542505059639197</v>
      </c>
      <c r="AJ7156">
        <v>93.887133450496094</v>
      </c>
      <c r="AK7156">
        <v>117.274694105451</v>
      </c>
      <c r="AL7156">
        <v>88.817021124249294</v>
      </c>
      <c r="AM7156">
        <v>92.589970519047796</v>
      </c>
      <c r="AN7156">
        <v>1.00000002632805</v>
      </c>
    </row>
    <row r="7157" spans="1:40" x14ac:dyDescent="0.25">
      <c r="A7157" t="str">
        <f>"20190312150832656"</f>
        <v>20190312150832656</v>
      </c>
      <c r="B7157" t="str">
        <f>"1552374512647539"</f>
        <v>1552374512647539</v>
      </c>
      <c r="C7157" t="s">
        <v>40</v>
      </c>
      <c r="D7157">
        <v>4.1517749999999998</v>
      </c>
      <c r="E7157">
        <v>0.50269649999999999</v>
      </c>
      <c r="F7157" t="s">
        <v>77</v>
      </c>
      <c r="G7157">
        <v>-401.54349999999999</v>
      </c>
      <c r="H7157" s="1">
        <v>-3.7128319999999999E-6</v>
      </c>
      <c r="I7157">
        <v>134.8288</v>
      </c>
      <c r="J7157">
        <v>-307.2611</v>
      </c>
      <c r="K7157">
        <v>1.110425</v>
      </c>
      <c r="L7157">
        <v>140.96270000000001</v>
      </c>
      <c r="M7157">
        <v>-0.9998707</v>
      </c>
      <c r="N7157">
        <v>0</v>
      </c>
      <c r="O7157">
        <v>5.091585E-3</v>
      </c>
      <c r="P7157">
        <v>-0.99960789999999999</v>
      </c>
      <c r="Q7157">
        <v>1.1177329999999999E-2</v>
      </c>
      <c r="R7157">
        <v>-2.567676E-2</v>
      </c>
      <c r="S7157">
        <v>-2.9948730000000001</v>
      </c>
      <c r="T7157">
        <v>-3.4850239999999998E-2</v>
      </c>
      <c r="U7157">
        <v>-0.19232179999999999</v>
      </c>
      <c r="V7157">
        <v>-3.0760240000000001E-2</v>
      </c>
      <c r="W7157">
        <v>2.6434510000000001E-2</v>
      </c>
      <c r="X7157">
        <v>0.99917719999999999</v>
      </c>
      <c r="Y7157">
        <v>-6.9160890000000003E-2</v>
      </c>
      <c r="Z7157">
        <v>-4.6116750000000002E-4</v>
      </c>
      <c r="AA7157">
        <v>0.99760539999999998</v>
      </c>
      <c r="AB7157">
        <v>28</v>
      </c>
      <c r="AC7157">
        <v>-94.282399999999996</v>
      </c>
      <c r="AD7157">
        <v>-1.1104287128320001</v>
      </c>
      <c r="AE7157">
        <v>-6.1339000000000103</v>
      </c>
      <c r="AF7157">
        <v>-6.6130097292901304</v>
      </c>
      <c r="AG7157">
        <v>-1.1104287128320001</v>
      </c>
      <c r="AH7157">
        <v>94.236925821598206</v>
      </c>
      <c r="AI7157">
        <v>90.673450224753495</v>
      </c>
      <c r="AJ7157">
        <v>94.014110430804806</v>
      </c>
      <c r="AK7157">
        <v>94.475198533326093</v>
      </c>
      <c r="AL7157">
        <v>88.485237733368393</v>
      </c>
      <c r="AM7157">
        <v>91.763326327703396</v>
      </c>
      <c r="AN7157">
        <v>1.0000000263418101</v>
      </c>
    </row>
    <row r="7158" spans="1:40" x14ac:dyDescent="0.25">
      <c r="A7158" t="str">
        <f>"20190312150832677"</f>
        <v>20190312150832677</v>
      </c>
      <c r="B7158" t="str">
        <f>"1552374512667059"</f>
        <v>1552374512667059</v>
      </c>
      <c r="C7158" t="s">
        <v>40</v>
      </c>
      <c r="D7158">
        <v>4.238588</v>
      </c>
      <c r="E7158">
        <v>0.50209269999999995</v>
      </c>
      <c r="F7158" t="s">
        <v>48</v>
      </c>
      <c r="G7158">
        <v>0</v>
      </c>
      <c r="H7158">
        <v>0</v>
      </c>
      <c r="I7158">
        <v>0</v>
      </c>
      <c r="J7158">
        <v>-307.53250000000003</v>
      </c>
      <c r="K7158">
        <v>1.1104350000000001</v>
      </c>
      <c r="L7158">
        <v>140.96420000000001</v>
      </c>
      <c r="M7158">
        <v>-0.99987020000000004</v>
      </c>
      <c r="N7158">
        <v>0</v>
      </c>
      <c r="O7158">
        <v>5.1891189999999998E-3</v>
      </c>
      <c r="P7158">
        <v>-0.99968239999999997</v>
      </c>
      <c r="Q7158">
        <v>1.329441E-2</v>
      </c>
      <c r="R7158">
        <v>-2.1417240000000001E-2</v>
      </c>
      <c r="S7158">
        <v>-2.9984739999999999</v>
      </c>
      <c r="T7158">
        <v>0.1187174</v>
      </c>
      <c r="U7158">
        <v>-5.2658080000000003E-2</v>
      </c>
      <c r="V7158">
        <v>-2.6598130000000001E-2</v>
      </c>
      <c r="W7158">
        <v>2.8547530000000002E-2</v>
      </c>
      <c r="X7158">
        <v>0.99923850000000003</v>
      </c>
      <c r="Y7158">
        <v>-2.2725749999999999E-2</v>
      </c>
      <c r="Z7158">
        <v>6.5505529999999998E-4</v>
      </c>
      <c r="AA7158">
        <v>0.99974149999999995</v>
      </c>
      <c r="AB7158">
        <v>28</v>
      </c>
      <c r="AC7158">
        <v>-2.9984739999999999</v>
      </c>
      <c r="AD7158">
        <v>0.1187174</v>
      </c>
      <c r="AE7158">
        <v>-5.2658080000000003E-2</v>
      </c>
      <c r="AF7158">
        <v>-6.8111882061889506E-2</v>
      </c>
      <c r="AG7158">
        <v>0.1187174</v>
      </c>
      <c r="AH7158">
        <v>2.9934693003594002</v>
      </c>
      <c r="AI7158">
        <v>87.729495372238901</v>
      </c>
      <c r="AJ7158">
        <v>91.303454193488705</v>
      </c>
      <c r="AK7158">
        <v>2.9965966531608799</v>
      </c>
      <c r="AL7158">
        <v>88.364124769799304</v>
      </c>
      <c r="AM7158">
        <v>91.524761922467704</v>
      </c>
      <c r="AN7158">
        <v>1.00000000093542</v>
      </c>
    </row>
    <row r="7159" spans="1:40" x14ac:dyDescent="0.25">
      <c r="A7159" t="str">
        <f>"20190312150832700"</f>
        <v>20190312150832700</v>
      </c>
      <c r="B7159" t="str">
        <f>"1552374512697315"</f>
        <v>1552374512697315</v>
      </c>
      <c r="C7159" t="s">
        <v>40</v>
      </c>
      <c r="D7159">
        <v>4.2337809999999996</v>
      </c>
      <c r="E7159">
        <v>0.49888939999999998</v>
      </c>
      <c r="F7159" t="s">
        <v>48</v>
      </c>
      <c r="G7159">
        <v>0</v>
      </c>
      <c r="H7159">
        <v>0</v>
      </c>
      <c r="I7159">
        <v>0</v>
      </c>
      <c r="J7159">
        <v>-307.81670000000003</v>
      </c>
      <c r="K7159">
        <v>1.1104480000000001</v>
      </c>
      <c r="L7159">
        <v>140.9658</v>
      </c>
      <c r="M7159">
        <v>-0.99986980000000003</v>
      </c>
      <c r="N7159">
        <v>0</v>
      </c>
      <c r="O7159">
        <v>5.2911869999999897E-3</v>
      </c>
      <c r="P7159">
        <v>-0.99972269999999996</v>
      </c>
      <c r="Q7159">
        <v>1.5114870000000001E-2</v>
      </c>
      <c r="R7159">
        <v>-1.8061560000000001E-2</v>
      </c>
      <c r="S7159">
        <v>-2.9985050000000002</v>
      </c>
      <c r="T7159">
        <v>0.1096869</v>
      </c>
      <c r="U7159">
        <v>-4.5242310000000001E-2</v>
      </c>
      <c r="V7159">
        <v>-2.3344799999999999E-2</v>
      </c>
      <c r="W7159">
        <v>3.0363009999999999E-2</v>
      </c>
      <c r="X7159">
        <v>0.99926630000000005</v>
      </c>
      <c r="Y7159">
        <v>-2.0360409999999999E-2</v>
      </c>
      <c r="Z7159">
        <v>5.6575400000000002E-4</v>
      </c>
      <c r="AA7159">
        <v>0.99979249999999997</v>
      </c>
      <c r="AB7159">
        <v>28</v>
      </c>
      <c r="AC7159">
        <v>-2.9985050000000002</v>
      </c>
      <c r="AD7159">
        <v>0.1096869</v>
      </c>
      <c r="AE7159">
        <v>-4.5242310000000001E-2</v>
      </c>
      <c r="AF7159">
        <v>-6.1027526519149798E-2</v>
      </c>
      <c r="AG7159">
        <v>0.1096869</v>
      </c>
      <c r="AH7159">
        <v>2.99421784641308</v>
      </c>
      <c r="AI7159">
        <v>87.902462491114505</v>
      </c>
      <c r="AJ7159">
        <v>91.167629016332</v>
      </c>
      <c r="AK7159">
        <v>2.99684769162586</v>
      </c>
      <c r="AL7159">
        <v>88.260060284927107</v>
      </c>
      <c r="AM7159">
        <v>91.338297164177803</v>
      </c>
      <c r="AN7159">
        <v>1.0000000151894901</v>
      </c>
    </row>
    <row r="7160" spans="1:40" x14ac:dyDescent="0.25">
      <c r="A7160" t="str">
        <f>"20190312150832723"</f>
        <v>20190312150832723</v>
      </c>
      <c r="B7160" t="str">
        <f>"1552374512716835"</f>
        <v>1552374512716835</v>
      </c>
      <c r="C7160" t="s">
        <v>40</v>
      </c>
      <c r="D7160">
        <v>4.1651309999999997</v>
      </c>
      <c r="E7160">
        <v>0.49830999999999998</v>
      </c>
      <c r="F7160" t="s">
        <v>48</v>
      </c>
      <c r="G7160">
        <v>0</v>
      </c>
      <c r="H7160">
        <v>0</v>
      </c>
      <c r="I7160">
        <v>0</v>
      </c>
      <c r="J7160">
        <v>-308.11079999999998</v>
      </c>
      <c r="K7160">
        <v>1.110465</v>
      </c>
      <c r="L7160">
        <v>140.9675</v>
      </c>
      <c r="M7160">
        <v>-0.99986929999999996</v>
      </c>
      <c r="N7160">
        <v>0</v>
      </c>
      <c r="O7160">
        <v>5.3970119999999996E-3</v>
      </c>
      <c r="P7160">
        <v>-0.9997106</v>
      </c>
      <c r="Q7160">
        <v>1.8222410000000001E-2</v>
      </c>
      <c r="R7160">
        <v>-1.5722219999999999E-2</v>
      </c>
      <c r="S7160">
        <v>-2.998901</v>
      </c>
      <c r="T7160">
        <v>5.2082900000000001E-2</v>
      </c>
      <c r="U7160">
        <v>-6.2881469999999995E-2</v>
      </c>
      <c r="V7160">
        <v>-2.111031E-2</v>
      </c>
      <c r="W7160">
        <v>3.3464210000000001E-2</v>
      </c>
      <c r="X7160">
        <v>0.99921700000000002</v>
      </c>
      <c r="Y7160">
        <v>-2.635492E-2</v>
      </c>
      <c r="Z7160">
        <v>3.2254099999999997E-4</v>
      </c>
      <c r="AA7160">
        <v>0.9996526</v>
      </c>
      <c r="AB7160">
        <v>28</v>
      </c>
      <c r="AC7160">
        <v>-2.998901</v>
      </c>
      <c r="AD7160">
        <v>5.2082900000000001E-2</v>
      </c>
      <c r="AE7160">
        <v>-6.2881469999999995E-2</v>
      </c>
      <c r="AF7160">
        <v>-7.9043707521007395E-2</v>
      </c>
      <c r="AG7160">
        <v>5.2082900000000001E-2</v>
      </c>
      <c r="AH7160">
        <v>2.9976141471084401</v>
      </c>
      <c r="AI7160">
        <v>89.004944141865096</v>
      </c>
      <c r="AJ7160">
        <v>91.510475126493603</v>
      </c>
      <c r="AK7160">
        <v>2.99910838602338</v>
      </c>
      <c r="AL7160">
        <v>88.082284068914802</v>
      </c>
      <c r="AM7160">
        <v>91.210299424150307</v>
      </c>
      <c r="AN7160">
        <v>1.0000000558141</v>
      </c>
    </row>
    <row r="7161" spans="1:40" x14ac:dyDescent="0.25">
      <c r="A7161" t="str">
        <f>"20190312150832746"</f>
        <v>20190312150832746</v>
      </c>
      <c r="B7161" t="str">
        <f>"1552374512737331"</f>
        <v>1552374512737331</v>
      </c>
      <c r="C7161" t="s">
        <v>40</v>
      </c>
      <c r="D7161">
        <v>4.1481750000000002</v>
      </c>
      <c r="E7161">
        <v>0.4975445</v>
      </c>
      <c r="F7161" t="s">
        <v>48</v>
      </c>
      <c r="G7161">
        <v>0</v>
      </c>
      <c r="H7161">
        <v>0</v>
      </c>
      <c r="I7161">
        <v>0</v>
      </c>
      <c r="J7161">
        <v>-308.38659999999999</v>
      </c>
      <c r="K7161">
        <v>1.1104769999999999</v>
      </c>
      <c r="L7161">
        <v>140.9691</v>
      </c>
      <c r="M7161">
        <v>-0.9998688</v>
      </c>
      <c r="N7161">
        <v>0</v>
      </c>
      <c r="O7161">
        <v>5.4962229999999997E-3</v>
      </c>
      <c r="P7161">
        <v>-0.9996718</v>
      </c>
      <c r="Q7161">
        <v>2.13321E-2</v>
      </c>
      <c r="R7161">
        <v>-1.418901E-2</v>
      </c>
      <c r="S7161">
        <v>-2.9990839999999999</v>
      </c>
      <c r="T7161">
        <v>4.6700949999999998E-2</v>
      </c>
      <c r="U7161">
        <v>-6.0928339999999998E-2</v>
      </c>
      <c r="V7161">
        <v>-1.967495E-2</v>
      </c>
      <c r="W7161">
        <v>3.6567950000000002E-2</v>
      </c>
      <c r="X7161">
        <v>0.99913750000000001</v>
      </c>
      <c r="Y7161">
        <v>-2.5803090000000001E-2</v>
      </c>
      <c r="Z7161">
        <v>2.8644910000000002E-4</v>
      </c>
      <c r="AA7161">
        <v>0.99966699999999997</v>
      </c>
      <c r="AB7161">
        <v>28</v>
      </c>
      <c r="AC7161">
        <v>-2.9990839999999999</v>
      </c>
      <c r="AD7161">
        <v>4.6700949999999998E-2</v>
      </c>
      <c r="AE7161">
        <v>-6.0928339999999998E-2</v>
      </c>
      <c r="AF7161">
        <v>-7.7394209104884301E-2</v>
      </c>
      <c r="AG7161">
        <v>4.6700949999999998E-2</v>
      </c>
      <c r="AH7161">
        <v>2.9979771289928498</v>
      </c>
      <c r="AI7161">
        <v>89.1078451027619</v>
      </c>
      <c r="AJ7161">
        <v>91.478789419162297</v>
      </c>
      <c r="AK7161">
        <v>2.9993395453496299</v>
      </c>
      <c r="AL7161">
        <v>87.904343630834504</v>
      </c>
      <c r="AM7161">
        <v>91.128118922784395</v>
      </c>
      <c r="AN7161">
        <v>1.00000003126547</v>
      </c>
    </row>
    <row r="7162" spans="1:40" x14ac:dyDescent="0.25">
      <c r="A7162" t="str">
        <f>"20190312150832767"</f>
        <v>20190312150832767</v>
      </c>
      <c r="B7162" t="str">
        <f>"1552374512756851"</f>
        <v>1552374512756851</v>
      </c>
      <c r="C7162" t="s">
        <v>40</v>
      </c>
      <c r="D7162">
        <v>4.185486</v>
      </c>
      <c r="E7162">
        <v>0.49678159999999999</v>
      </c>
      <c r="F7162" t="s">
        <v>48</v>
      </c>
      <c r="G7162">
        <v>0</v>
      </c>
      <c r="H7162">
        <v>0</v>
      </c>
      <c r="I7162">
        <v>0</v>
      </c>
      <c r="J7162">
        <v>-308.6592</v>
      </c>
      <c r="K7162">
        <v>1.1104849999999999</v>
      </c>
      <c r="L7162">
        <v>140.97069999999999</v>
      </c>
      <c r="M7162">
        <v>-0.99986830000000004</v>
      </c>
      <c r="N7162">
        <v>0</v>
      </c>
      <c r="O7162">
        <v>5.5944209999999996E-3</v>
      </c>
      <c r="P7162">
        <v>-0.99959569999999998</v>
      </c>
      <c r="Q7162">
        <v>2.5039410000000002E-2</v>
      </c>
      <c r="R7162">
        <v>-1.3469180000000001E-2</v>
      </c>
      <c r="S7162">
        <v>-2.9992369999999999</v>
      </c>
      <c r="T7162">
        <v>4.0637609999999998E-2</v>
      </c>
      <c r="U7162">
        <v>-6.2973020000000005E-2</v>
      </c>
      <c r="V7162">
        <v>-1.9052400000000001E-2</v>
      </c>
      <c r="W7162">
        <v>4.0267850000000001E-2</v>
      </c>
      <c r="X7162">
        <v>0.99900730000000004</v>
      </c>
      <c r="Y7162">
        <v>-2.658228E-2</v>
      </c>
      <c r="Z7162">
        <v>2.5585609999999998E-4</v>
      </c>
      <c r="AA7162">
        <v>0.99964660000000005</v>
      </c>
      <c r="AB7162">
        <v>28</v>
      </c>
      <c r="AC7162">
        <v>-2.9992369999999999</v>
      </c>
      <c r="AD7162">
        <v>4.0637609999999998E-2</v>
      </c>
      <c r="AE7162">
        <v>-6.2973020000000005E-2</v>
      </c>
      <c r="AF7162">
        <v>-7.9738343955359198E-2</v>
      </c>
      <c r="AG7162">
        <v>4.0637609999999998E-2</v>
      </c>
      <c r="AH7162">
        <v>2.9982875209232498</v>
      </c>
      <c r="AI7162">
        <v>89.223757508213296</v>
      </c>
      <c r="AJ7162">
        <v>91.523400907321104</v>
      </c>
      <c r="AK7162">
        <v>2.9996229224633102</v>
      </c>
      <c r="AL7162">
        <v>87.692198266186907</v>
      </c>
      <c r="AM7162">
        <v>91.092574390363794</v>
      </c>
      <c r="AN7162">
        <v>1.00000003957133</v>
      </c>
    </row>
    <row r="7163" spans="1:40" x14ac:dyDescent="0.25">
      <c r="A7163" t="str">
        <f>"20190312150832791"</f>
        <v>20190312150832791</v>
      </c>
      <c r="B7163" t="str">
        <f>"1552374512787107"</f>
        <v>1552374512787107</v>
      </c>
      <c r="C7163" t="s">
        <v>40</v>
      </c>
      <c r="D7163">
        <v>4.1894609999999997</v>
      </c>
      <c r="E7163">
        <v>0.49623159999999999</v>
      </c>
      <c r="F7163" t="s">
        <v>48</v>
      </c>
      <c r="G7163">
        <v>0</v>
      </c>
      <c r="H7163">
        <v>0</v>
      </c>
      <c r="I7163">
        <v>0</v>
      </c>
      <c r="J7163">
        <v>-308.95229999999998</v>
      </c>
      <c r="K7163">
        <v>1.1104909999999999</v>
      </c>
      <c r="L7163">
        <v>140.9725</v>
      </c>
      <c r="M7163">
        <v>-0.99986770000000003</v>
      </c>
      <c r="N7163">
        <v>0</v>
      </c>
      <c r="O7163">
        <v>5.7000139999999998E-3</v>
      </c>
      <c r="P7163">
        <v>-0.9995174</v>
      </c>
      <c r="Q7163">
        <v>2.793344E-2</v>
      </c>
      <c r="R7163">
        <v>-1.359408E-2</v>
      </c>
      <c r="S7163">
        <v>-2.9991759999999998</v>
      </c>
      <c r="T7163">
        <v>4.4813390000000002E-2</v>
      </c>
      <c r="U7163">
        <v>-6.7108150000000005E-2</v>
      </c>
      <c r="V7163">
        <v>-1.928206E-2</v>
      </c>
      <c r="W7163">
        <v>4.3154489999999997E-2</v>
      </c>
      <c r="X7163">
        <v>0.9988823</v>
      </c>
      <c r="Y7163">
        <v>-2.8065050000000001E-2</v>
      </c>
      <c r="Z7163">
        <v>2.9479920000000001E-4</v>
      </c>
      <c r="AA7163">
        <v>0.99960610000000005</v>
      </c>
      <c r="AB7163">
        <v>28</v>
      </c>
      <c r="AC7163">
        <v>-2.9991759999999998</v>
      </c>
      <c r="AD7163">
        <v>4.4813390000000002E-2</v>
      </c>
      <c r="AE7163">
        <v>-6.7108150000000005E-2</v>
      </c>
      <c r="AF7163">
        <v>-8.4185603038269496E-2</v>
      </c>
      <c r="AG7163">
        <v>4.4813390000000002E-2</v>
      </c>
      <c r="AH7163">
        <v>2.9980756880331101</v>
      </c>
      <c r="AI7163">
        <v>89.143979088779602</v>
      </c>
      <c r="AJ7163">
        <v>91.608435914421705</v>
      </c>
      <c r="AK7163">
        <v>2.9995921867576301</v>
      </c>
      <c r="AL7163">
        <v>87.526661710319004</v>
      </c>
      <c r="AM7163">
        <v>91.105879505579196</v>
      </c>
      <c r="AN7163">
        <v>0.99999997854914602</v>
      </c>
    </row>
    <row r="7164" spans="1:40" x14ac:dyDescent="0.25">
      <c r="A7164" t="str">
        <f>"20190312150832813"</f>
        <v>20190312150832813</v>
      </c>
      <c r="B7164" t="str">
        <f>"1552374512807603"</f>
        <v>1552374512807603</v>
      </c>
      <c r="C7164" t="s">
        <v>40</v>
      </c>
      <c r="D7164">
        <v>4.2488080000000004</v>
      </c>
      <c r="E7164">
        <v>0.49610280000000001</v>
      </c>
      <c r="F7164" t="s">
        <v>48</v>
      </c>
      <c r="G7164">
        <v>0</v>
      </c>
      <c r="H7164">
        <v>0</v>
      </c>
      <c r="I7164">
        <v>0</v>
      </c>
      <c r="J7164">
        <v>-309.23579999999998</v>
      </c>
      <c r="K7164">
        <v>1.1104940000000001</v>
      </c>
      <c r="L7164">
        <v>140.9742</v>
      </c>
      <c r="M7164">
        <v>-0.99986730000000001</v>
      </c>
      <c r="N7164">
        <v>0</v>
      </c>
      <c r="O7164">
        <v>5.8020900000000002E-3</v>
      </c>
      <c r="P7164">
        <v>-0.99947319999999995</v>
      </c>
      <c r="Q7164">
        <v>2.897013E-2</v>
      </c>
      <c r="R7164">
        <v>-1.46327E-2</v>
      </c>
      <c r="S7164">
        <v>-2.9991150000000002</v>
      </c>
      <c r="T7164">
        <v>4.6949629999999999E-2</v>
      </c>
      <c r="U7164">
        <v>-7.2174070000000007E-2</v>
      </c>
      <c r="V7164">
        <v>-2.0422349999999999E-2</v>
      </c>
      <c r="W7164">
        <v>4.4184429999999997E-2</v>
      </c>
      <c r="X7164">
        <v>0.9988146</v>
      </c>
      <c r="Y7164">
        <v>-2.9854470000000001E-2</v>
      </c>
      <c r="Z7164">
        <v>3.2445210000000001E-4</v>
      </c>
      <c r="AA7164">
        <v>0.99955419999999995</v>
      </c>
      <c r="AB7164">
        <v>28</v>
      </c>
      <c r="AC7164">
        <v>-2.9991150000000002</v>
      </c>
      <c r="AD7164">
        <v>4.6949629999999999E-2</v>
      </c>
      <c r="AE7164">
        <v>-7.2174070000000007E-2</v>
      </c>
      <c r="AF7164">
        <v>-8.9554072739765803E-2</v>
      </c>
      <c r="AG7164">
        <v>4.6949629999999999E-2</v>
      </c>
      <c r="AH7164">
        <v>2.9979114448620399</v>
      </c>
      <c r="AI7164">
        <v>89.103176762367895</v>
      </c>
      <c r="AJ7164">
        <v>91.711039531293594</v>
      </c>
      <c r="AK7164">
        <v>2.9996161806031498</v>
      </c>
      <c r="AL7164">
        <v>87.467594122944803</v>
      </c>
      <c r="AM7164">
        <v>91.171339949508805</v>
      </c>
      <c r="AN7164">
        <v>0.99999997070355295</v>
      </c>
    </row>
    <row r="7165" spans="1:40" x14ac:dyDescent="0.25">
      <c r="A7165" t="str">
        <f>"20190312150832834"</f>
        <v>20190312150832834</v>
      </c>
      <c r="B7165" t="str">
        <f>"1552374512827129"</f>
        <v>1552374512827129</v>
      </c>
      <c r="C7165" t="s">
        <v>40</v>
      </c>
      <c r="D7165">
        <v>4.222556</v>
      </c>
      <c r="E7165">
        <v>0.49601299999999998</v>
      </c>
      <c r="F7165" t="s">
        <v>48</v>
      </c>
      <c r="G7165">
        <v>0</v>
      </c>
      <c r="H7165">
        <v>0</v>
      </c>
      <c r="I7165">
        <v>0</v>
      </c>
      <c r="J7165">
        <v>-309.50799999999998</v>
      </c>
      <c r="K7165">
        <v>1.110493</v>
      </c>
      <c r="L7165">
        <v>140.9759</v>
      </c>
      <c r="M7165">
        <v>-0.99986679999999994</v>
      </c>
      <c r="N7165">
        <v>0</v>
      </c>
      <c r="O7165">
        <v>5.9002919999999997E-3</v>
      </c>
      <c r="P7165">
        <v>-0.99945289999999998</v>
      </c>
      <c r="Q7165">
        <v>2.8925409999999999E-2</v>
      </c>
      <c r="R7165">
        <v>-1.602775E-2</v>
      </c>
      <c r="S7165">
        <v>-2.9991150000000002</v>
      </c>
      <c r="T7165">
        <v>4.6376939999999998E-2</v>
      </c>
      <c r="U7165">
        <v>-7.6461790000000002E-2</v>
      </c>
      <c r="V7165">
        <v>-2.1915009999999999E-2</v>
      </c>
      <c r="W7165">
        <v>4.4133940000000003E-2</v>
      </c>
      <c r="X7165">
        <v>0.99878520000000004</v>
      </c>
      <c r="Y7165">
        <v>-3.1380659999999998E-2</v>
      </c>
      <c r="Z7165">
        <v>3.3380520000000002E-4</v>
      </c>
      <c r="AA7165">
        <v>0.99950740000000005</v>
      </c>
      <c r="AB7165">
        <v>28</v>
      </c>
      <c r="AC7165">
        <v>-2.9991150000000002</v>
      </c>
      <c r="AD7165">
        <v>4.6376939999999998E-2</v>
      </c>
      <c r="AE7165">
        <v>-7.6461790000000002E-2</v>
      </c>
      <c r="AF7165">
        <v>-9.4135667004341297E-2</v>
      </c>
      <c r="AG7165">
        <v>4.6376939999999998E-2</v>
      </c>
      <c r="AH7165">
        <v>2.9978951891371399</v>
      </c>
      <c r="AI7165">
        <v>89.114151060794995</v>
      </c>
      <c r="AJ7165">
        <v>91.798530117207207</v>
      </c>
      <c r="AK7165">
        <v>2.99973130620356</v>
      </c>
      <c r="AL7165">
        <v>87.470489820083202</v>
      </c>
      <c r="AM7165">
        <v>91.256963094623501</v>
      </c>
      <c r="AN7165">
        <v>0.99999997403113094</v>
      </c>
    </row>
    <row r="7166" spans="1:40" x14ac:dyDescent="0.25">
      <c r="A7166" t="str">
        <f>"20190312150832857"</f>
        <v>20190312150832857</v>
      </c>
      <c r="B7166" t="str">
        <f>"1552374512847619"</f>
        <v>1552374512847619</v>
      </c>
      <c r="C7166" t="s">
        <v>40</v>
      </c>
      <c r="D7166">
        <v>4.2246839999999999</v>
      </c>
      <c r="E7166">
        <v>0.49573129999999999</v>
      </c>
      <c r="F7166" t="s">
        <v>48</v>
      </c>
      <c r="G7166">
        <v>0</v>
      </c>
      <c r="H7166">
        <v>0</v>
      </c>
      <c r="I7166">
        <v>0</v>
      </c>
      <c r="J7166">
        <v>-309.78039999999999</v>
      </c>
      <c r="K7166">
        <v>1.1104889999999901</v>
      </c>
      <c r="L7166">
        <v>140.9776</v>
      </c>
      <c r="M7166">
        <v>-0.99986640000000004</v>
      </c>
      <c r="N7166">
        <v>0</v>
      </c>
      <c r="O7166">
        <v>5.9983160000000001E-3</v>
      </c>
      <c r="P7166">
        <v>-0.99944149999999998</v>
      </c>
      <c r="Q7166">
        <v>2.8651949999999999E-2</v>
      </c>
      <c r="R7166">
        <v>-1.720085E-2</v>
      </c>
      <c r="S7166">
        <v>-2.9992369999999999</v>
      </c>
      <c r="T7166">
        <v>3.807294E-2</v>
      </c>
      <c r="U7166">
        <v>-8.1603999999999996E-2</v>
      </c>
      <c r="V7166">
        <v>-2.3185939999999999E-2</v>
      </c>
      <c r="W7166">
        <v>4.3854299999999999E-2</v>
      </c>
      <c r="X7166">
        <v>0.99876889999999996</v>
      </c>
      <c r="Y7166">
        <v>-3.3191329999999998E-2</v>
      </c>
      <c r="Z7166">
        <v>2.8675819999999998E-4</v>
      </c>
      <c r="AA7166">
        <v>0.99944900000000003</v>
      </c>
      <c r="AB7166">
        <v>28</v>
      </c>
      <c r="AC7166">
        <v>-2.9992369999999999</v>
      </c>
      <c r="AD7166">
        <v>3.807294E-2</v>
      </c>
      <c r="AE7166">
        <v>-8.1603999999999996E-2</v>
      </c>
      <c r="AF7166">
        <v>-9.9578948380020502E-2</v>
      </c>
      <c r="AG7166">
        <v>3.807294E-2</v>
      </c>
      <c r="AH7166">
        <v>2.99821070483529</v>
      </c>
      <c r="AI7166">
        <v>89.272866457349096</v>
      </c>
      <c r="AJ7166">
        <v>91.902253558549305</v>
      </c>
      <c r="AK7166">
        <v>3.0001054891969501</v>
      </c>
      <c r="AL7166">
        <v>87.486527735119907</v>
      </c>
      <c r="AM7166">
        <v>91.329855126594097</v>
      </c>
      <c r="AN7166">
        <v>1.0000000515246901</v>
      </c>
    </row>
    <row r="7167" spans="1:40" x14ac:dyDescent="0.25">
      <c r="A7167" t="str">
        <f>"20190312150832878"</f>
        <v>20190312150832878</v>
      </c>
      <c r="B7167" t="str">
        <f>"1552374512867143"</f>
        <v>1552374512867143</v>
      </c>
      <c r="C7167" t="s">
        <v>40</v>
      </c>
      <c r="D7167">
        <v>4.237215</v>
      </c>
      <c r="E7167">
        <v>0.4954173</v>
      </c>
      <c r="F7167" t="s">
        <v>48</v>
      </c>
      <c r="G7167">
        <v>0</v>
      </c>
      <c r="H7167">
        <v>0</v>
      </c>
      <c r="I7167">
        <v>0</v>
      </c>
      <c r="J7167">
        <v>-310.0514</v>
      </c>
      <c r="K7167">
        <v>1.1104830000000001</v>
      </c>
      <c r="L7167">
        <v>140.97929999999999</v>
      </c>
      <c r="M7167">
        <v>-0.99986580000000003</v>
      </c>
      <c r="N7167">
        <v>0</v>
      </c>
      <c r="O7167">
        <v>6.0959839999999996E-3</v>
      </c>
      <c r="P7167">
        <v>-0.99945410000000001</v>
      </c>
      <c r="Q7167">
        <v>2.7409179999999998E-2</v>
      </c>
      <c r="R7167">
        <v>-1.8444240000000001E-2</v>
      </c>
      <c r="S7167">
        <v>-2.999298</v>
      </c>
      <c r="T7167">
        <v>2.9934880000000001E-2</v>
      </c>
      <c r="U7167">
        <v>-8.7600709999999998E-2</v>
      </c>
      <c r="V7167">
        <v>-2.4527409999999999E-2</v>
      </c>
      <c r="W7167">
        <v>4.260568E-2</v>
      </c>
      <c r="X7167">
        <v>0.99879090000000004</v>
      </c>
      <c r="Y7167">
        <v>-3.5286110000000002E-2</v>
      </c>
      <c r="Z7167">
        <v>2.3688219999999999E-4</v>
      </c>
      <c r="AA7167">
        <v>0.99937730000000002</v>
      </c>
      <c r="AB7167">
        <v>28</v>
      </c>
      <c r="AC7167">
        <v>-2.999298</v>
      </c>
      <c r="AD7167">
        <v>2.9934880000000001E-2</v>
      </c>
      <c r="AE7167">
        <v>-8.7600709999999998E-2</v>
      </c>
      <c r="AF7167">
        <v>-0.105874331247064</v>
      </c>
      <c r="AG7167">
        <v>2.9934880000000001E-2</v>
      </c>
      <c r="AH7167">
        <v>2.99840975795889</v>
      </c>
      <c r="AI7167">
        <v>89.428357922626802</v>
      </c>
      <c r="AJ7167">
        <v>92.022283011666801</v>
      </c>
      <c r="AK7167">
        <v>3.0004277274549902</v>
      </c>
      <c r="AL7167">
        <v>87.5581353308514</v>
      </c>
      <c r="AM7167">
        <v>91.406735568790197</v>
      </c>
      <c r="AN7167">
        <v>1.0000000498661801</v>
      </c>
    </row>
    <row r="7168" spans="1:40" x14ac:dyDescent="0.25">
      <c r="A7168" t="str">
        <f>"20190312150832902"</f>
        <v>20190312150832902</v>
      </c>
      <c r="B7168" t="str">
        <f>"1552374512897395"</f>
        <v>1552374512897395</v>
      </c>
      <c r="C7168" t="s">
        <v>40</v>
      </c>
      <c r="D7168">
        <v>4.2143709999999999</v>
      </c>
      <c r="E7168">
        <v>0.49510979999999999</v>
      </c>
      <c r="F7168" t="s">
        <v>48</v>
      </c>
      <c r="G7168">
        <v>0</v>
      </c>
      <c r="H7168">
        <v>0</v>
      </c>
      <c r="I7168">
        <v>0</v>
      </c>
      <c r="J7168">
        <v>-310.33580000000001</v>
      </c>
      <c r="K7168">
        <v>1.1104769999999999</v>
      </c>
      <c r="L7168">
        <v>140.9812</v>
      </c>
      <c r="M7168">
        <v>-0.99986540000000002</v>
      </c>
      <c r="N7168">
        <v>0</v>
      </c>
      <c r="O7168">
        <v>6.1985410000000001E-3</v>
      </c>
      <c r="P7168">
        <v>-0.99946729999999995</v>
      </c>
      <c r="Q7168">
        <v>2.5825250000000001E-2</v>
      </c>
      <c r="R7168">
        <v>-1.9964579999999999E-2</v>
      </c>
      <c r="S7168">
        <v>-2.9993590000000001</v>
      </c>
      <c r="T7168">
        <v>2.0210269999999999E-2</v>
      </c>
      <c r="U7168">
        <v>-9.4100950000000003E-2</v>
      </c>
      <c r="V7168">
        <v>-2.615079E-2</v>
      </c>
      <c r="W7168">
        <v>4.101635E-2</v>
      </c>
      <c r="X7168">
        <v>0.99881620000000004</v>
      </c>
      <c r="Y7168">
        <v>-3.7552870000000002E-2</v>
      </c>
      <c r="Z7168">
        <v>1.6824860000000001E-4</v>
      </c>
      <c r="AA7168">
        <v>0.99929460000000003</v>
      </c>
      <c r="AB7168">
        <v>28</v>
      </c>
      <c r="AC7168">
        <v>-2.9993590000000001</v>
      </c>
      <c r="AD7168">
        <v>2.0210269999999999E-2</v>
      </c>
      <c r="AE7168">
        <v>-9.4100950000000003E-2</v>
      </c>
      <c r="AF7168">
        <v>-0.112687825640121</v>
      </c>
      <c r="AG7168">
        <v>2.0210269999999999E-2</v>
      </c>
      <c r="AH7168">
        <v>2.9985819980742501</v>
      </c>
      <c r="AI7168">
        <v>89.614107982910497</v>
      </c>
      <c r="AJ7168">
        <v>92.152183898998402</v>
      </c>
      <c r="AK7168">
        <v>3.0007667353921299</v>
      </c>
      <c r="AL7168">
        <v>87.649276827120005</v>
      </c>
      <c r="AM7168">
        <v>91.499763096932199</v>
      </c>
      <c r="AN7168">
        <v>1.00000000308369</v>
      </c>
    </row>
    <row r="7169" spans="1:40" x14ac:dyDescent="0.25">
      <c r="A7169" t="str">
        <f>"20190312150832924"</f>
        <v>20190312150832924</v>
      </c>
      <c r="B7169" t="str">
        <f>"1552374512916915"</f>
        <v>1552374512916915</v>
      </c>
      <c r="C7169" t="s">
        <v>40</v>
      </c>
      <c r="D7169">
        <v>4.6268039999999999</v>
      </c>
      <c r="E7169">
        <v>0.49504310000000001</v>
      </c>
      <c r="F7169" t="s">
        <v>48</v>
      </c>
      <c r="G7169">
        <v>0</v>
      </c>
      <c r="H7169">
        <v>0</v>
      </c>
      <c r="I7169">
        <v>0</v>
      </c>
      <c r="J7169">
        <v>-310.61950000000002</v>
      </c>
      <c r="K7169">
        <v>1.110465</v>
      </c>
      <c r="L7169">
        <v>140.983</v>
      </c>
      <c r="M7169">
        <v>-0.9998648</v>
      </c>
      <c r="N7169">
        <v>0</v>
      </c>
      <c r="O7169">
        <v>6.3009199999999998E-3</v>
      </c>
      <c r="P7169">
        <v>-0.99947050000000004</v>
      </c>
      <c r="Q7169">
        <v>2.447092E-2</v>
      </c>
      <c r="R7169">
        <v>-2.144714E-2</v>
      </c>
      <c r="S7169">
        <v>-2.9993289999999999</v>
      </c>
      <c r="T7169">
        <v>8.7963339999999994E-3</v>
      </c>
      <c r="U7169">
        <v>-0.10134890000000001</v>
      </c>
      <c r="V7169">
        <v>-2.7735889999999999E-2</v>
      </c>
      <c r="W7169">
        <v>3.9655610000000001E-2</v>
      </c>
      <c r="X7169">
        <v>0.99882839999999995</v>
      </c>
      <c r="Y7169">
        <v>-4.0068430000000002E-2</v>
      </c>
      <c r="Z7169" s="1">
        <v>7.7215159999999996E-5</v>
      </c>
      <c r="AA7169">
        <v>0.99919690000000005</v>
      </c>
      <c r="AB7169">
        <v>28</v>
      </c>
      <c r="AC7169">
        <v>-2.9993289999999999</v>
      </c>
      <c r="AD7169">
        <v>8.7963339999999994E-3</v>
      </c>
      <c r="AE7169">
        <v>-0.10134890000000001</v>
      </c>
      <c r="AF7169">
        <v>-0.120246566801144</v>
      </c>
      <c r="AG7169">
        <v>8.7963339999999994E-3</v>
      </c>
      <c r="AH7169">
        <v>2.9986050196641898</v>
      </c>
      <c r="AI7169">
        <v>89.8320596989753</v>
      </c>
      <c r="AJ7169">
        <v>92.296378242212498</v>
      </c>
      <c r="AK7169">
        <v>3.00102793660349</v>
      </c>
      <c r="AL7169">
        <v>87.727305008684198</v>
      </c>
      <c r="AM7169">
        <v>91.5906047227881</v>
      </c>
      <c r="AN7169">
        <v>1.0000000098225601</v>
      </c>
    </row>
    <row r="7170" spans="1:40" x14ac:dyDescent="0.25">
      <c r="A7170" t="str">
        <f>"20190312150832946"</f>
        <v>20190312150832946</v>
      </c>
      <c r="B7170" t="str">
        <f>"1552374512937411"</f>
        <v>1552374512937411</v>
      </c>
      <c r="C7170" t="s">
        <v>40</v>
      </c>
      <c r="D7170">
        <v>4.266451</v>
      </c>
      <c r="E7170">
        <v>0.49497380000000002</v>
      </c>
      <c r="F7170" t="s">
        <v>48</v>
      </c>
      <c r="G7170">
        <v>0</v>
      </c>
      <c r="H7170">
        <v>0</v>
      </c>
      <c r="I7170">
        <v>0</v>
      </c>
      <c r="J7170">
        <v>-310.88600000000002</v>
      </c>
      <c r="K7170">
        <v>1.1104510000000001</v>
      </c>
      <c r="L7170">
        <v>140.98480000000001</v>
      </c>
      <c r="M7170">
        <v>-0.99986430000000004</v>
      </c>
      <c r="N7170">
        <v>0</v>
      </c>
      <c r="O7170">
        <v>6.397275E-3</v>
      </c>
      <c r="P7170">
        <v>-0.99951060000000003</v>
      </c>
      <c r="Q7170">
        <v>2.1837280000000001E-2</v>
      </c>
      <c r="R7170">
        <v>-2.239994E-2</v>
      </c>
      <c r="S7170">
        <v>-2.9992679999999998</v>
      </c>
      <c r="T7170">
        <v>1.1439320000000001E-3</v>
      </c>
      <c r="U7170">
        <v>-0.1064301</v>
      </c>
      <c r="V7170">
        <v>-2.8785649999999999E-2</v>
      </c>
      <c r="W7170">
        <v>3.7016819999999999E-2</v>
      </c>
      <c r="X7170">
        <v>0.99889989999999995</v>
      </c>
      <c r="Y7170">
        <v>-4.1856289999999997E-2</v>
      </c>
      <c r="Z7170" s="1">
        <v>1.041908E-5</v>
      </c>
      <c r="AA7170">
        <v>0.9991236</v>
      </c>
      <c r="AB7170">
        <v>28</v>
      </c>
      <c r="AC7170">
        <v>-2.9992679999999998</v>
      </c>
      <c r="AD7170">
        <v>1.1439320000000001E-3</v>
      </c>
      <c r="AE7170">
        <v>-0.1064301</v>
      </c>
      <c r="AF7170">
        <v>-0.12561725686990799</v>
      </c>
      <c r="AG7170">
        <v>1.1439320000000001E-3</v>
      </c>
      <c r="AH7170">
        <v>2.9985252357827799</v>
      </c>
      <c r="AI7170">
        <v>89.978160919586699</v>
      </c>
      <c r="AJ7170">
        <v>92.398890125383403</v>
      </c>
      <c r="AK7170">
        <v>3.0011555430250798</v>
      </c>
      <c r="AL7170">
        <v>87.878607644419901</v>
      </c>
      <c r="AM7170">
        <v>91.650655822286694</v>
      </c>
      <c r="AN7170">
        <v>0.99999993441442003</v>
      </c>
    </row>
    <row r="7171" spans="1:40" x14ac:dyDescent="0.25">
      <c r="A7171" t="str">
        <f>"20190312150832968"</f>
        <v>20190312150832968</v>
      </c>
      <c r="B7171" t="str">
        <f>"1552374512956931"</f>
        <v>1552374512956931</v>
      </c>
      <c r="C7171" t="s">
        <v>40</v>
      </c>
      <c r="D7171">
        <v>4.2645140000000001</v>
      </c>
      <c r="E7171">
        <v>0.49492550000000002</v>
      </c>
      <c r="F7171" t="s">
        <v>48</v>
      </c>
      <c r="G7171">
        <v>0</v>
      </c>
      <c r="H7171">
        <v>0</v>
      </c>
      <c r="I7171">
        <v>0</v>
      </c>
      <c r="J7171">
        <v>-311.1567</v>
      </c>
      <c r="K7171">
        <v>1.110439</v>
      </c>
      <c r="L7171">
        <v>140.98670000000001</v>
      </c>
      <c r="M7171">
        <v>-0.99986379999999997</v>
      </c>
      <c r="N7171">
        <v>0</v>
      </c>
      <c r="O7171">
        <v>6.4947659999999999E-3</v>
      </c>
      <c r="P7171">
        <v>-0.99955340000000004</v>
      </c>
      <c r="Q7171">
        <v>1.8912399999999999E-2</v>
      </c>
      <c r="R7171">
        <v>-2.314339E-2</v>
      </c>
      <c r="S7171">
        <v>-2.9992369999999999</v>
      </c>
      <c r="T7171">
        <v>-1.0105970000000001E-2</v>
      </c>
      <c r="U7171">
        <v>-0.1099854</v>
      </c>
      <c r="V7171">
        <v>-2.962799E-2</v>
      </c>
      <c r="W7171">
        <v>3.4086600000000002E-2</v>
      </c>
      <c r="X7171">
        <v>0.99897959999999997</v>
      </c>
      <c r="Y7171">
        <v>-4.3136569999999999E-2</v>
      </c>
      <c r="Z7171" s="1">
        <v>-9.4529820000000006E-5</v>
      </c>
      <c r="AA7171">
        <v>0.99906919999999999</v>
      </c>
      <c r="AB7171">
        <v>28</v>
      </c>
      <c r="AC7171">
        <v>-2.9992369999999999</v>
      </c>
      <c r="AD7171">
        <v>-1.0105970000000001E-2</v>
      </c>
      <c r="AE7171">
        <v>-0.1099854</v>
      </c>
      <c r="AF7171">
        <v>-0.12946319678571699</v>
      </c>
      <c r="AG7171">
        <v>-1.0105970000000001E-2</v>
      </c>
      <c r="AH7171">
        <v>2.9984253189424002</v>
      </c>
      <c r="AI7171">
        <v>90.192930689974403</v>
      </c>
      <c r="AJ7171">
        <v>92.472327851452803</v>
      </c>
      <c r="AK7171">
        <v>3.0012359526079302</v>
      </c>
      <c r="AL7171">
        <v>88.046603239707807</v>
      </c>
      <c r="AM7171">
        <v>91.698794764135997</v>
      </c>
      <c r="AN7171">
        <v>0.99999997765357895</v>
      </c>
    </row>
    <row r="7172" spans="1:40" x14ac:dyDescent="0.25">
      <c r="A7172" t="str">
        <f>"20190312150832992"</f>
        <v>20190312150832992</v>
      </c>
      <c r="B7172" t="str">
        <f>"1552374512987188"</f>
        <v>1552374512987188</v>
      </c>
      <c r="C7172" t="s">
        <v>40</v>
      </c>
      <c r="D7172">
        <v>4.2705869999999999</v>
      </c>
      <c r="E7172">
        <v>0.49489899999999998</v>
      </c>
      <c r="F7172" t="s">
        <v>42</v>
      </c>
      <c r="G7172">
        <v>-453.10250000000002</v>
      </c>
      <c r="H7172" s="1">
        <v>-2.6303559999999999E-6</v>
      </c>
      <c r="I7172">
        <v>135.65690000000001</v>
      </c>
      <c r="J7172">
        <v>-311.44659999999999</v>
      </c>
      <c r="K7172">
        <v>1.110433</v>
      </c>
      <c r="L7172">
        <v>140.98869999999999</v>
      </c>
      <c r="M7172">
        <v>-0.9998631</v>
      </c>
      <c r="N7172">
        <v>0</v>
      </c>
      <c r="O7172">
        <v>6.5992940000000003E-3</v>
      </c>
      <c r="P7172">
        <v>-0.99954290000000001</v>
      </c>
      <c r="Q7172">
        <v>1.7547340000000002E-2</v>
      </c>
      <c r="R7172">
        <v>-2.4624070000000001E-2</v>
      </c>
      <c r="S7172">
        <v>-2.9991460000000001</v>
      </c>
      <c r="T7172">
        <v>-2.3462299999999998E-2</v>
      </c>
      <c r="U7172">
        <v>-0.1126099</v>
      </c>
      <c r="V7172">
        <v>-3.1212779999999999E-2</v>
      </c>
      <c r="W7172">
        <v>3.2715029999999999E-2</v>
      </c>
      <c r="X7172">
        <v>0.99897720000000001</v>
      </c>
      <c r="Y7172">
        <v>-4.4113920000000001E-2</v>
      </c>
      <c r="Z7172">
        <v>-2.2410259999999999E-4</v>
      </c>
      <c r="AA7172">
        <v>0.99902650000000004</v>
      </c>
      <c r="AB7172">
        <v>28</v>
      </c>
      <c r="AC7172">
        <v>-141.6559</v>
      </c>
      <c r="AD7172">
        <v>-1.1104356303559999</v>
      </c>
      <c r="AE7172">
        <v>-5.3317999999999799</v>
      </c>
      <c r="AF7172">
        <v>-6.2662359213422203</v>
      </c>
      <c r="AG7172">
        <v>-1.1104356303559999</v>
      </c>
      <c r="AH7172">
        <v>141.60893501408401</v>
      </c>
      <c r="AI7172">
        <v>90.448840153921793</v>
      </c>
      <c r="AJ7172">
        <v>92.533701774734496</v>
      </c>
      <c r="AK7172">
        <v>141.75185803273999</v>
      </c>
      <c r="AL7172">
        <v>88.125232293586706</v>
      </c>
      <c r="AM7172">
        <v>91.789609361405994</v>
      </c>
      <c r="AN7172">
        <v>0.99999997847153399</v>
      </c>
    </row>
    <row r="7173" spans="1:40" x14ac:dyDescent="0.25">
      <c r="A7173" t="str">
        <f>"20190312150833014"</f>
        <v>20190312150833014</v>
      </c>
      <c r="B7173" t="str">
        <f>"1552374513006707"</f>
        <v>1552374513006707</v>
      </c>
      <c r="C7173" t="s">
        <v>40</v>
      </c>
      <c r="D7173">
        <v>4.2889350000000004</v>
      </c>
      <c r="E7173">
        <v>0.49486479999999999</v>
      </c>
      <c r="F7173" t="s">
        <v>77</v>
      </c>
      <c r="G7173">
        <v>-415.34530000000001</v>
      </c>
      <c r="H7173" s="1">
        <v>-9.0272230000000002E-6</v>
      </c>
      <c r="I7173">
        <v>136.92410000000001</v>
      </c>
      <c r="J7173">
        <v>-311.72379999999998</v>
      </c>
      <c r="K7173">
        <v>1.1104339999999999</v>
      </c>
      <c r="L7173">
        <v>140.9906</v>
      </c>
      <c r="M7173">
        <v>-0.99986260000000005</v>
      </c>
      <c r="N7173">
        <v>0</v>
      </c>
      <c r="O7173">
        <v>6.6995269999999899E-3</v>
      </c>
      <c r="P7173">
        <v>-0.99952660000000004</v>
      </c>
      <c r="Q7173">
        <v>1.763704E-2</v>
      </c>
      <c r="R7173">
        <v>-2.5206650000000001E-2</v>
      </c>
      <c r="S7173">
        <v>-2.9990540000000001</v>
      </c>
      <c r="T7173">
        <v>-3.2053110000000003E-2</v>
      </c>
      <c r="U7173">
        <v>-0.11732480000000001</v>
      </c>
      <c r="V7173">
        <v>-3.1895760000000002E-2</v>
      </c>
      <c r="W7173">
        <v>3.2797960000000001E-2</v>
      </c>
      <c r="X7173">
        <v>0.99895290000000003</v>
      </c>
      <c r="Y7173">
        <v>-4.578202E-2</v>
      </c>
      <c r="Z7173">
        <v>-3.161363E-4</v>
      </c>
      <c r="AA7173">
        <v>0.99895140000000004</v>
      </c>
      <c r="AB7173">
        <v>28</v>
      </c>
      <c r="AC7173">
        <v>-103.6215</v>
      </c>
      <c r="AD7173">
        <v>-1.1104430272229999</v>
      </c>
      <c r="AE7173">
        <v>-4.0664999999999898</v>
      </c>
      <c r="AF7173">
        <v>-4.76015775276006</v>
      </c>
      <c r="AG7173">
        <v>-1.1104430272229999</v>
      </c>
      <c r="AH7173">
        <v>103.58005039262601</v>
      </c>
      <c r="AI7173">
        <v>90.613575579068296</v>
      </c>
      <c r="AJ7173">
        <v>92.631251729210504</v>
      </c>
      <c r="AK7173">
        <v>103.695318239961</v>
      </c>
      <c r="AL7173">
        <v>88.120478189312806</v>
      </c>
      <c r="AM7173">
        <v>91.828786707897194</v>
      </c>
      <c r="AN7173">
        <v>0.99999997105227401</v>
      </c>
    </row>
    <row r="7174" spans="1:40" x14ac:dyDescent="0.25">
      <c r="A7174" t="str">
        <f>"20190312150833035"</f>
        <v>20190312150833035</v>
      </c>
      <c r="B7174" t="str">
        <f>"1552374513027203"</f>
        <v>1552374513027203</v>
      </c>
      <c r="C7174" t="s">
        <v>40</v>
      </c>
      <c r="D7174">
        <v>4.7887919999999999</v>
      </c>
      <c r="E7174">
        <v>0.49440119999999999</v>
      </c>
      <c r="F7174" t="s">
        <v>77</v>
      </c>
      <c r="G7174">
        <v>-413.40859999999998</v>
      </c>
      <c r="H7174" s="1">
        <v>-9.2050170000000006E-6</v>
      </c>
      <c r="I7174">
        <v>136.94159999999999</v>
      </c>
      <c r="J7174">
        <v>-311.98820000000001</v>
      </c>
      <c r="K7174">
        <v>1.1104270000000001</v>
      </c>
      <c r="L7174">
        <v>140.99250000000001</v>
      </c>
      <c r="M7174">
        <v>-0.99986200000000003</v>
      </c>
      <c r="N7174">
        <v>0</v>
      </c>
      <c r="O7174">
        <v>6.7949899999999999E-3</v>
      </c>
      <c r="P7174">
        <v>-0.99950950000000005</v>
      </c>
      <c r="Q7174">
        <v>1.5913340000000002E-2</v>
      </c>
      <c r="R7174">
        <v>-2.6970770000000002E-2</v>
      </c>
      <c r="S7174">
        <v>-2.9989620000000001</v>
      </c>
      <c r="T7174">
        <v>-3.2750010000000003E-2</v>
      </c>
      <c r="U7174">
        <v>-0.1194153</v>
      </c>
      <c r="V7174">
        <v>-3.3755769999999997E-2</v>
      </c>
      <c r="W7174">
        <v>3.1068399999999999E-2</v>
      </c>
      <c r="X7174">
        <v>0.99894709999999998</v>
      </c>
      <c r="Y7174">
        <v>-4.6573639999999999E-2</v>
      </c>
      <c r="Z7174">
        <v>-3.2837749999999998E-4</v>
      </c>
      <c r="AA7174">
        <v>0.99891479999999999</v>
      </c>
      <c r="AB7174">
        <v>27</v>
      </c>
      <c r="AC7174">
        <v>-101.42039999999901</v>
      </c>
      <c r="AD7174">
        <v>-1.110436205017</v>
      </c>
      <c r="AE7174">
        <v>-4.0509000000000102</v>
      </c>
      <c r="AF7174">
        <v>-4.7394690132281596</v>
      </c>
      <c r="AG7174">
        <v>-1.110436205017</v>
      </c>
      <c r="AH7174">
        <v>101.378395459709</v>
      </c>
      <c r="AI7174">
        <v>90.626872799627193</v>
      </c>
      <c r="AJ7174">
        <v>92.676645216028305</v>
      </c>
      <c r="AK7174">
        <v>101.4951954581</v>
      </c>
      <c r="AL7174">
        <v>88.219625314387898</v>
      </c>
      <c r="AM7174">
        <v>91.935365265167107</v>
      </c>
      <c r="AN7174">
        <v>1.0000000030426299</v>
      </c>
    </row>
    <row r="7175" spans="1:40" x14ac:dyDescent="0.25">
      <c r="A7175" t="str">
        <f>"20190312150833049"</f>
        <v>20190312150833049</v>
      </c>
      <c r="B7175" t="str">
        <f>"1552374513046723"</f>
        <v>1552374513046723</v>
      </c>
      <c r="C7175" t="s">
        <v>40</v>
      </c>
      <c r="D7175">
        <v>4.6985650000000003</v>
      </c>
      <c r="E7175">
        <v>0.49396580000000001</v>
      </c>
      <c r="F7175" t="s">
        <v>42</v>
      </c>
      <c r="G7175">
        <v>-398.07209999999998</v>
      </c>
      <c r="H7175" s="1">
        <v>-1.256388E-6</v>
      </c>
      <c r="I7175">
        <v>137.30760000000001</v>
      </c>
      <c r="J7175">
        <v>-312.16000000000003</v>
      </c>
      <c r="K7175">
        <v>1.1104229999999999</v>
      </c>
      <c r="L7175">
        <v>140.99369999999999</v>
      </c>
      <c r="M7175">
        <v>-0.99986169999999996</v>
      </c>
      <c r="N7175">
        <v>0</v>
      </c>
      <c r="O7175">
        <v>6.8570019999999897E-3</v>
      </c>
      <c r="P7175">
        <v>-0.99949440000000001</v>
      </c>
      <c r="Q7175">
        <v>1.4913940000000001E-2</v>
      </c>
      <c r="R7175">
        <v>-2.8082090000000001E-2</v>
      </c>
      <c r="S7175">
        <v>-2.9986570000000001</v>
      </c>
      <c r="T7175">
        <v>-3.868079E-2</v>
      </c>
      <c r="U7175">
        <v>-0.1283569</v>
      </c>
      <c r="V7175">
        <v>-3.4929080000000001E-2</v>
      </c>
      <c r="W7175">
        <v>3.0064649999999998E-2</v>
      </c>
      <c r="X7175">
        <v>0.99893750000000003</v>
      </c>
      <c r="Y7175">
        <v>-4.9611460000000003E-2</v>
      </c>
      <c r="Z7175">
        <v>-4.082383E-4</v>
      </c>
      <c r="AA7175">
        <v>0.99876849999999995</v>
      </c>
      <c r="AB7175">
        <v>27</v>
      </c>
      <c r="AC7175">
        <v>-85.912099999999896</v>
      </c>
      <c r="AD7175">
        <v>-1.110424256388</v>
      </c>
      <c r="AE7175">
        <v>-3.6860999999999802</v>
      </c>
      <c r="AF7175">
        <v>-4.2744676173328804</v>
      </c>
      <c r="AG7175">
        <v>-1.110424256388</v>
      </c>
      <c r="AH7175">
        <v>85.870482232538606</v>
      </c>
      <c r="AI7175">
        <v>90.739956398993698</v>
      </c>
      <c r="AJ7175">
        <v>92.849721637179798</v>
      </c>
      <c r="AK7175">
        <v>85.983974287593398</v>
      </c>
      <c r="AL7175">
        <v>88.277162880797405</v>
      </c>
      <c r="AM7175">
        <v>92.002601611445897</v>
      </c>
      <c r="AN7175">
        <v>1.00000002635775</v>
      </c>
    </row>
    <row r="7176" spans="1:40" x14ac:dyDescent="0.25">
      <c r="A7176" t="str">
        <f>"20190312150833069"</f>
        <v>20190312150833069</v>
      </c>
      <c r="B7176" t="str">
        <f>"1552374513057459"</f>
        <v>1552374513057459</v>
      </c>
      <c r="C7176" t="s">
        <v>40</v>
      </c>
      <c r="D7176">
        <v>4.2902509999999996</v>
      </c>
      <c r="E7176">
        <v>0.49375809999999998</v>
      </c>
      <c r="F7176" t="s">
        <v>42</v>
      </c>
      <c r="G7176">
        <v>-389.36739999999998</v>
      </c>
      <c r="H7176" s="1">
        <v>-7.6057970000000002E-7</v>
      </c>
      <c r="I7176">
        <v>137.51429999999999</v>
      </c>
      <c r="J7176">
        <v>-312.3929</v>
      </c>
      <c r="K7176">
        <v>1.1104149999999999</v>
      </c>
      <c r="L7176">
        <v>140.99539999999999</v>
      </c>
      <c r="M7176">
        <v>-0.99986120000000001</v>
      </c>
      <c r="N7176">
        <v>0</v>
      </c>
      <c r="O7176">
        <v>6.9411960000000002E-3</v>
      </c>
      <c r="P7176">
        <v>-0.99944429999999995</v>
      </c>
      <c r="Q7176">
        <v>1.3302380000000001E-2</v>
      </c>
      <c r="R7176">
        <v>-3.056702E-2</v>
      </c>
      <c r="S7176">
        <v>-2.9983520000000001</v>
      </c>
      <c r="T7176">
        <v>-4.3123359999999999E-2</v>
      </c>
      <c r="U7176">
        <v>-0.1351166</v>
      </c>
      <c r="V7176">
        <v>-3.7497679999999999E-2</v>
      </c>
      <c r="W7176">
        <v>2.8447429999999999E-2</v>
      </c>
      <c r="X7176">
        <v>0.99889170000000005</v>
      </c>
      <c r="Y7176">
        <v>-5.1945730000000002E-2</v>
      </c>
      <c r="Z7176">
        <v>-4.7313200000000002E-4</v>
      </c>
      <c r="AA7176">
        <v>0.99864980000000003</v>
      </c>
      <c r="AB7176">
        <v>27</v>
      </c>
      <c r="AC7176">
        <v>-76.974499999999907</v>
      </c>
      <c r="AD7176">
        <v>-1.1104157605797</v>
      </c>
      <c r="AE7176">
        <v>-3.4810999999999899</v>
      </c>
      <c r="AF7176">
        <v>-4.0145387747848504</v>
      </c>
      <c r="AG7176">
        <v>-1.1104157605797</v>
      </c>
      <c r="AH7176">
        <v>76.932502283268704</v>
      </c>
      <c r="AI7176">
        <v>90.825805599468495</v>
      </c>
      <c r="AJ7176">
        <v>92.987133945181697</v>
      </c>
      <c r="AK7176">
        <v>77.045177995126593</v>
      </c>
      <c r="AL7176">
        <v>88.369862373943704</v>
      </c>
      <c r="AM7176">
        <v>92.149833116801901</v>
      </c>
      <c r="AN7176">
        <v>0.999999980303938</v>
      </c>
    </row>
    <row r="7177" spans="1:40" x14ac:dyDescent="0.25">
      <c r="A7177" t="str">
        <f>"20190312150833083"</f>
        <v>20190312150833083</v>
      </c>
      <c r="B7177" t="str">
        <f>"1552374513076979"</f>
        <v>1552374513076979</v>
      </c>
      <c r="C7177" t="s">
        <v>40</v>
      </c>
      <c r="D7177">
        <v>4.3634930000000001</v>
      </c>
      <c r="E7177">
        <v>0.49345410000000001</v>
      </c>
      <c r="F7177" t="s">
        <v>42</v>
      </c>
      <c r="G7177">
        <v>-381.51859999999999</v>
      </c>
      <c r="H7177" s="1">
        <v>-3.9659410000000001E-6</v>
      </c>
      <c r="I7177">
        <v>137.6704</v>
      </c>
      <c r="J7177">
        <v>-312.5729</v>
      </c>
      <c r="K7177">
        <v>1.110412</v>
      </c>
      <c r="L7177">
        <v>140.9967</v>
      </c>
      <c r="M7177">
        <v>-0.99986079999999999</v>
      </c>
      <c r="N7177">
        <v>0</v>
      </c>
      <c r="O7177">
        <v>7.0063690000000001E-3</v>
      </c>
      <c r="P7177">
        <v>-0.99942010000000003</v>
      </c>
      <c r="Q7177">
        <v>1.2337900000000001E-2</v>
      </c>
      <c r="R7177">
        <v>-3.1731780000000001E-2</v>
      </c>
      <c r="S7177">
        <v>-2.9978940000000001</v>
      </c>
      <c r="T7177">
        <v>-4.8157449999999997E-2</v>
      </c>
      <c r="U7177">
        <v>-0.14419560000000001</v>
      </c>
      <c r="V7177">
        <v>-3.8728520000000002E-2</v>
      </c>
      <c r="W7177">
        <v>2.74784E-2</v>
      </c>
      <c r="X7177">
        <v>0.99887190000000003</v>
      </c>
      <c r="Y7177">
        <v>-5.5033310000000002E-2</v>
      </c>
      <c r="Z7177">
        <v>-5.5423039999999999E-4</v>
      </c>
      <c r="AA7177">
        <v>0.99848440000000005</v>
      </c>
      <c r="AB7177">
        <v>27</v>
      </c>
      <c r="AC7177">
        <v>-68.945699999999903</v>
      </c>
      <c r="AD7177">
        <v>-1.110415965941</v>
      </c>
      <c r="AE7177">
        <v>-3.3262999999999998</v>
      </c>
      <c r="AF7177">
        <v>-3.8083471810771599</v>
      </c>
      <c r="AG7177">
        <v>-1.110415965941</v>
      </c>
      <c r="AH7177">
        <v>68.902868021915694</v>
      </c>
      <c r="AI7177">
        <v>90.921873216757007</v>
      </c>
      <c r="AJ7177">
        <v>93.163590093828105</v>
      </c>
      <c r="AK7177">
        <v>69.016967142251104</v>
      </c>
      <c r="AL7177">
        <v>88.425405483199398</v>
      </c>
      <c r="AM7177">
        <v>92.2203746268289</v>
      </c>
      <c r="AN7177">
        <v>1.0000000166687799</v>
      </c>
    </row>
    <row r="7178" spans="1:40" x14ac:dyDescent="0.25">
      <c r="A7178" t="str">
        <f>"20190312150833103"</f>
        <v>20190312150833103</v>
      </c>
      <c r="B7178" t="str">
        <f>"1552374513097475"</f>
        <v>1552374513097475</v>
      </c>
      <c r="C7178" t="s">
        <v>40</v>
      </c>
      <c r="D7178">
        <v>4.3352589999999998</v>
      </c>
      <c r="E7178">
        <v>0.4932185</v>
      </c>
      <c r="F7178" t="s">
        <v>42</v>
      </c>
      <c r="G7178">
        <v>-377.24040000000002</v>
      </c>
      <c r="H7178" s="1">
        <v>-1.495525E-6</v>
      </c>
      <c r="I7178">
        <v>137.7595</v>
      </c>
      <c r="J7178">
        <v>-312.80650000000003</v>
      </c>
      <c r="K7178">
        <v>1.1104080000000001</v>
      </c>
      <c r="L7178">
        <v>140.9984</v>
      </c>
      <c r="M7178">
        <v>-0.99986030000000004</v>
      </c>
      <c r="N7178">
        <v>0</v>
      </c>
      <c r="O7178">
        <v>7.0907419999999997E-3</v>
      </c>
      <c r="P7178">
        <v>-0.99937540000000002</v>
      </c>
      <c r="Q7178">
        <v>1.118049E-2</v>
      </c>
      <c r="R7178">
        <v>-3.3526489999999999E-2</v>
      </c>
      <c r="S7178">
        <v>-2.99762</v>
      </c>
      <c r="T7178">
        <v>-5.1472539999999997E-2</v>
      </c>
      <c r="U7178">
        <v>-0.15005489999999999</v>
      </c>
      <c r="V7178">
        <v>-4.0607299999999999E-2</v>
      </c>
      <c r="W7178">
        <v>2.6314859999999999E-2</v>
      </c>
      <c r="X7178">
        <v>0.99882859999999996</v>
      </c>
      <c r="Y7178">
        <v>-5.7067430000000002E-2</v>
      </c>
      <c r="Z7178">
        <v>-6.1130339999999905E-4</v>
      </c>
      <c r="AA7178">
        <v>0.99837010000000004</v>
      </c>
      <c r="AB7178">
        <v>27</v>
      </c>
      <c r="AC7178">
        <v>-64.433899999999994</v>
      </c>
      <c r="AD7178">
        <v>-1.1104094955249999</v>
      </c>
      <c r="AE7178">
        <v>-3.2389000000000001</v>
      </c>
      <c r="AF7178">
        <v>-3.6946605623116802</v>
      </c>
      <c r="AG7178">
        <v>-1.1104094955249999</v>
      </c>
      <c r="AH7178">
        <v>64.390236081378006</v>
      </c>
      <c r="AI7178">
        <v>90.986345623034794</v>
      </c>
      <c r="AJ7178">
        <v>93.283985407451496</v>
      </c>
      <c r="AK7178">
        <v>64.505705395213297</v>
      </c>
      <c r="AL7178">
        <v>88.492095516752499</v>
      </c>
      <c r="AM7178">
        <v>92.328073448363597</v>
      </c>
      <c r="AN7178">
        <v>0.99999999842403398</v>
      </c>
    </row>
    <row r="7179" spans="1:40" x14ac:dyDescent="0.25">
      <c r="A7179" t="str">
        <f>"20190312150833117"</f>
        <v>20190312150833117</v>
      </c>
      <c r="B7179" t="str">
        <f>"1552374513106856"</f>
        <v>1552374513106856</v>
      </c>
      <c r="C7179" t="s">
        <v>40</v>
      </c>
      <c r="D7179">
        <v>4.2915609999999997</v>
      </c>
      <c r="E7179">
        <v>0.4930718</v>
      </c>
      <c r="F7179" t="s">
        <v>42</v>
      </c>
      <c r="G7179">
        <v>-373.21050000000002</v>
      </c>
      <c r="H7179" s="1">
        <v>-3.2124400000000002E-6</v>
      </c>
      <c r="I7179">
        <v>137.82660000000001</v>
      </c>
      <c r="J7179">
        <v>-312.9812</v>
      </c>
      <c r="K7179">
        <v>1.1104069999999999</v>
      </c>
      <c r="L7179">
        <v>140.99969999999999</v>
      </c>
      <c r="M7179">
        <v>-0.99985990000000002</v>
      </c>
      <c r="N7179">
        <v>0</v>
      </c>
      <c r="O7179">
        <v>7.1541249999999999E-3</v>
      </c>
      <c r="P7179">
        <v>-0.9993514</v>
      </c>
      <c r="Q7179">
        <v>1.119275E-2</v>
      </c>
      <c r="R7179">
        <v>-3.4229710000000003E-2</v>
      </c>
      <c r="S7179">
        <v>-2.997223</v>
      </c>
      <c r="T7179">
        <v>-5.5098179999999997E-2</v>
      </c>
      <c r="U7179">
        <v>-0.1573792</v>
      </c>
      <c r="V7179">
        <v>-4.1373140000000003E-2</v>
      </c>
      <c r="W7179">
        <v>2.632249E-2</v>
      </c>
      <c r="X7179">
        <v>0.99879700000000005</v>
      </c>
      <c r="Y7179">
        <v>-5.9568599999999999E-2</v>
      </c>
      <c r="Z7179">
        <v>-6.7853759999999999E-4</v>
      </c>
      <c r="AA7179">
        <v>0.998224</v>
      </c>
      <c r="AB7179">
        <v>27</v>
      </c>
      <c r="AC7179">
        <v>-60.229300000000002</v>
      </c>
      <c r="AD7179">
        <v>-1.1104102124399999</v>
      </c>
      <c r="AE7179">
        <v>-3.1730999999999701</v>
      </c>
      <c r="AF7179">
        <v>-3.60273488371211</v>
      </c>
      <c r="AG7179">
        <v>-1.1104102124399999</v>
      </c>
      <c r="AH7179">
        <v>60.184654813605498</v>
      </c>
      <c r="AI7179">
        <v>91.055102081264593</v>
      </c>
      <c r="AJ7179">
        <v>93.425714920232494</v>
      </c>
      <c r="AK7179">
        <v>60.302615071944103</v>
      </c>
      <c r="AL7179">
        <v>88.491658244147402</v>
      </c>
      <c r="AM7179">
        <v>92.372005402801406</v>
      </c>
      <c r="AN7179">
        <v>1.0000000287011199</v>
      </c>
    </row>
    <row r="7180" spans="1:40" x14ac:dyDescent="0.25">
      <c r="A7180" t="str">
        <f>"20190312150833129"</f>
        <v>20190312150833129</v>
      </c>
      <c r="B7180" t="str">
        <f>"1552374513116603"</f>
        <v>1552374513116603</v>
      </c>
      <c r="C7180" t="s">
        <v>40</v>
      </c>
      <c r="D7180">
        <v>4.3659829999999999</v>
      </c>
      <c r="E7180">
        <v>0.4927955</v>
      </c>
      <c r="F7180" t="s">
        <v>42</v>
      </c>
      <c r="G7180">
        <v>-372.69830000000002</v>
      </c>
      <c r="H7180" s="1">
        <v>-3.436983E-6</v>
      </c>
      <c r="I7180">
        <v>137.79929999999999</v>
      </c>
      <c r="J7180">
        <v>-313.12450000000001</v>
      </c>
      <c r="K7180">
        <v>1.1104000000000001</v>
      </c>
      <c r="L7180">
        <v>141.0008</v>
      </c>
      <c r="M7180">
        <v>-0.99985959999999996</v>
      </c>
      <c r="N7180">
        <v>0</v>
      </c>
      <c r="O7180">
        <v>7.2061790000000001E-3</v>
      </c>
      <c r="P7180">
        <v>-0.99934179999999995</v>
      </c>
      <c r="Q7180">
        <v>1.1077699999999999E-2</v>
      </c>
      <c r="R7180">
        <v>-3.4545310000000003E-2</v>
      </c>
      <c r="S7180">
        <v>-2.9970699999999999</v>
      </c>
      <c r="T7180">
        <v>-5.5729029999999999E-2</v>
      </c>
      <c r="U7180">
        <v>-0.16061400000000001</v>
      </c>
      <c r="V7180">
        <v>-4.1740949999999999E-2</v>
      </c>
      <c r="W7180">
        <v>2.6203799999999999E-2</v>
      </c>
      <c r="X7180">
        <v>0.99878480000000003</v>
      </c>
      <c r="Y7180">
        <v>-6.0697130000000002E-2</v>
      </c>
      <c r="Z7180">
        <v>-6.9777190000000001E-4</v>
      </c>
      <c r="AA7180">
        <v>0.99815600000000004</v>
      </c>
      <c r="AB7180">
        <v>27</v>
      </c>
      <c r="AC7180">
        <v>-59.573799999999999</v>
      </c>
      <c r="AD7180">
        <v>-1.110403436983</v>
      </c>
      <c r="AE7180">
        <v>-3.2014999999999998</v>
      </c>
      <c r="AF7180">
        <v>-3.6295081308639601</v>
      </c>
      <c r="AG7180">
        <v>-1.110403436983</v>
      </c>
      <c r="AH7180">
        <v>59.528557925006702</v>
      </c>
      <c r="AI7180">
        <v>91.066650533700994</v>
      </c>
      <c r="AJ7180">
        <v>93.489054501236097</v>
      </c>
      <c r="AK7180">
        <v>59.649438670416302</v>
      </c>
      <c r="AL7180">
        <v>88.498461000530199</v>
      </c>
      <c r="AM7180">
        <v>92.393097479690297</v>
      </c>
      <c r="AN7180">
        <v>1.00000001137619</v>
      </c>
    </row>
    <row r="7181" spans="1:40" x14ac:dyDescent="0.25">
      <c r="A7181" t="str">
        <f>"20190312150833147"</f>
        <v>20190312150833147</v>
      </c>
      <c r="B7181" t="str">
        <f>"1552374513137098"</f>
        <v>1552374513137098</v>
      </c>
      <c r="C7181" t="s">
        <v>40</v>
      </c>
      <c r="D7181">
        <v>4.3122740000000004</v>
      </c>
      <c r="E7181">
        <v>0.49258089999999999</v>
      </c>
      <c r="F7181" t="s">
        <v>42</v>
      </c>
      <c r="G7181">
        <v>-371.89760000000001</v>
      </c>
      <c r="H7181" s="1">
        <v>-3.782002E-6</v>
      </c>
      <c r="I7181">
        <v>137.79069999999999</v>
      </c>
      <c r="J7181">
        <v>-313.34399999999999</v>
      </c>
      <c r="K7181">
        <v>1.1104039999999999</v>
      </c>
      <c r="L7181">
        <v>141.00239999999999</v>
      </c>
      <c r="M7181">
        <v>-0.99985919999999895</v>
      </c>
      <c r="N7181">
        <v>0</v>
      </c>
      <c r="O7181">
        <v>7.2853650000000002E-3</v>
      </c>
      <c r="P7181">
        <v>-0.99934230000000002</v>
      </c>
      <c r="Q7181">
        <v>1.0705340000000001E-2</v>
      </c>
      <c r="R7181">
        <v>-3.4654459999999998E-2</v>
      </c>
      <c r="S7181">
        <v>-2.9969480000000002</v>
      </c>
      <c r="T7181">
        <v>-5.662155E-2</v>
      </c>
      <c r="U7181">
        <v>-0.16368099999999999</v>
      </c>
      <c r="V7181">
        <v>-4.1929000000000001E-2</v>
      </c>
      <c r="W7181">
        <v>2.5826269999999998E-2</v>
      </c>
      <c r="X7181">
        <v>0.99878670000000003</v>
      </c>
      <c r="Y7181">
        <v>-6.1796240000000002E-2</v>
      </c>
      <c r="Z7181">
        <v>-7.2082339999999905E-4</v>
      </c>
      <c r="AA7181">
        <v>0.99808850000000005</v>
      </c>
      <c r="AB7181">
        <v>27</v>
      </c>
      <c r="AC7181">
        <v>-58.553600000000003</v>
      </c>
      <c r="AD7181">
        <v>-1.110407782002</v>
      </c>
      <c r="AE7181">
        <v>-3.2117</v>
      </c>
      <c r="AF7181">
        <v>-3.63694380443004</v>
      </c>
      <c r="AG7181">
        <v>-1.110407782002</v>
      </c>
      <c r="AH7181">
        <v>58.507666543690704</v>
      </c>
      <c r="AI7181">
        <v>91.085182936799995</v>
      </c>
      <c r="AJ7181">
        <v>93.557033826069102</v>
      </c>
      <c r="AK7181">
        <v>58.631112986763398</v>
      </c>
      <c r="AL7181">
        <v>88.520099115540503</v>
      </c>
      <c r="AM7181">
        <v>92.4038615996635</v>
      </c>
      <c r="AN7181">
        <v>0.99999995468000002</v>
      </c>
    </row>
    <row r="7182" spans="1:40" x14ac:dyDescent="0.25">
      <c r="A7182" t="str">
        <f>"20190312150833161"</f>
        <v>20190312150833161</v>
      </c>
      <c r="B7182" t="str">
        <f>"1552374513157594"</f>
        <v>1552374513157594</v>
      </c>
      <c r="C7182" t="s">
        <v>40</v>
      </c>
      <c r="D7182">
        <v>4.2365120000000003</v>
      </c>
      <c r="E7182">
        <v>0.49235600000000002</v>
      </c>
      <c r="F7182" t="s">
        <v>42</v>
      </c>
      <c r="G7182">
        <v>-368.9898</v>
      </c>
      <c r="H7182" s="1">
        <v>-7.7972390000000001E-7</v>
      </c>
      <c r="I7182">
        <v>137.9254</v>
      </c>
      <c r="J7182">
        <v>-313.52420000000001</v>
      </c>
      <c r="K7182">
        <v>1.1104050000000001</v>
      </c>
      <c r="L7182">
        <v>141.00380000000001</v>
      </c>
      <c r="M7182">
        <v>-0.99985869999999999</v>
      </c>
      <c r="N7182">
        <v>0</v>
      </c>
      <c r="O7182">
        <v>7.350718E-3</v>
      </c>
      <c r="P7182">
        <v>-0.99934210000000001</v>
      </c>
      <c r="Q7182">
        <v>1.0914689999999999E-2</v>
      </c>
      <c r="R7182">
        <v>-3.4586930000000002E-2</v>
      </c>
      <c r="S7182">
        <v>-2.996826</v>
      </c>
      <c r="T7182">
        <v>-5.9801340000000001E-2</v>
      </c>
      <c r="U7182">
        <v>-0.16571040000000001</v>
      </c>
      <c r="V7182">
        <v>-4.192688E-2</v>
      </c>
      <c r="W7182">
        <v>2.6031240000000001E-2</v>
      </c>
      <c r="X7182">
        <v>0.99878149999999999</v>
      </c>
      <c r="Y7182">
        <v>-6.2535950000000007E-2</v>
      </c>
      <c r="Z7182">
        <v>-7.6999030000000001E-4</v>
      </c>
      <c r="AA7182">
        <v>0.9980424</v>
      </c>
      <c r="AB7182">
        <v>27</v>
      </c>
      <c r="AC7182">
        <v>-55.465600000000002</v>
      </c>
      <c r="AD7182">
        <v>-1.11040577972389</v>
      </c>
      <c r="AE7182">
        <v>-3.07840000000001</v>
      </c>
      <c r="AF7182">
        <v>-3.4846830607554899</v>
      </c>
      <c r="AG7182">
        <v>-1.11040577972389</v>
      </c>
      <c r="AH7182">
        <v>55.419326855128098</v>
      </c>
      <c r="AI7182">
        <v>91.1455877960625</v>
      </c>
      <c r="AJ7182">
        <v>93.597934819250199</v>
      </c>
      <c r="AK7182">
        <v>55.539875820036599</v>
      </c>
      <c r="AL7182">
        <v>88.508351297171004</v>
      </c>
      <c r="AM7182">
        <v>92.403752699010099</v>
      </c>
      <c r="AN7182">
        <v>0.99999998673236001</v>
      </c>
    </row>
    <row r="7183" spans="1:40" x14ac:dyDescent="0.25">
      <c r="A7183" t="str">
        <f>"20190312150833174"</f>
        <v>20190312150833174</v>
      </c>
      <c r="B7183" t="str">
        <f>"1552374513167354"</f>
        <v>1552374513167354</v>
      </c>
      <c r="C7183" t="s">
        <v>40</v>
      </c>
      <c r="D7183">
        <v>4.2327879999999896</v>
      </c>
      <c r="E7183">
        <v>0.4921836</v>
      </c>
      <c r="F7183" t="s">
        <v>42</v>
      </c>
      <c r="G7183">
        <v>-370.78359999999998</v>
      </c>
      <c r="H7183" s="1">
        <v>-4.2567989999999901E-6</v>
      </c>
      <c r="I7183">
        <v>137.8083</v>
      </c>
      <c r="J7183">
        <v>-313.67079999999999</v>
      </c>
      <c r="K7183">
        <v>1.110406</v>
      </c>
      <c r="L7183">
        <v>141.00489999999999</v>
      </c>
      <c r="M7183">
        <v>-0.99985829999999998</v>
      </c>
      <c r="N7183">
        <v>0</v>
      </c>
      <c r="O7183">
        <v>7.4036090000000002E-3</v>
      </c>
      <c r="P7183">
        <v>-0.99933609999999995</v>
      </c>
      <c r="Q7183">
        <v>1.1294159999999999E-2</v>
      </c>
      <c r="R7183">
        <v>-3.4639410000000002E-2</v>
      </c>
      <c r="S7183">
        <v>-2.9967959999999998</v>
      </c>
      <c r="T7183">
        <v>-5.8115720000000003E-2</v>
      </c>
      <c r="U7183">
        <v>-0.16723629999999901</v>
      </c>
      <c r="V7183">
        <v>-4.2032189999999997E-2</v>
      </c>
      <c r="W7183">
        <v>2.6406389999999998E-2</v>
      </c>
      <c r="X7183">
        <v>0.99876730000000002</v>
      </c>
      <c r="Y7183">
        <v>-6.3096570000000005E-2</v>
      </c>
      <c r="Z7183">
        <v>-7.5474399999999903E-4</v>
      </c>
      <c r="AA7183">
        <v>0.99800710000000004</v>
      </c>
      <c r="AB7183">
        <v>27</v>
      </c>
      <c r="AC7183">
        <v>-57.112799999999901</v>
      </c>
      <c r="AD7183">
        <v>-1.110410256799</v>
      </c>
      <c r="AE7183">
        <v>-3.1965999999999801</v>
      </c>
      <c r="AF7183">
        <v>-3.6180381690970802</v>
      </c>
      <c r="AG7183">
        <v>-1.110410256799</v>
      </c>
      <c r="AH7183">
        <v>57.066061249436601</v>
      </c>
      <c r="AI7183">
        <v>91.112506365611495</v>
      </c>
      <c r="AJ7183">
        <v>93.627746924367202</v>
      </c>
      <c r="AK7183">
        <v>57.191420315077899</v>
      </c>
      <c r="AL7183">
        <v>88.486849505705607</v>
      </c>
      <c r="AM7183">
        <v>92.409817446057104</v>
      </c>
      <c r="AN7183">
        <v>1.00000006098915</v>
      </c>
    </row>
    <row r="7184" spans="1:40" x14ac:dyDescent="0.25">
      <c r="A7184" t="str">
        <f>"20190312150833192"</f>
        <v>20190312150833192</v>
      </c>
      <c r="B7184" t="str">
        <f>"1552374513186874"</f>
        <v>1552374513186874</v>
      </c>
      <c r="C7184" t="s">
        <v>40</v>
      </c>
      <c r="D7184">
        <v>4.2204110000000004</v>
      </c>
      <c r="E7184">
        <v>0.49193229999999999</v>
      </c>
      <c r="F7184" t="s">
        <v>42</v>
      </c>
      <c r="G7184">
        <v>-373.45850000000002</v>
      </c>
      <c r="H7184" s="1">
        <v>-3.1393670000000001E-6</v>
      </c>
      <c r="I7184">
        <v>137.6388</v>
      </c>
      <c r="J7184">
        <v>-313.89100000000002</v>
      </c>
      <c r="K7184">
        <v>1.110419</v>
      </c>
      <c r="L7184">
        <v>141.00659999999999</v>
      </c>
      <c r="M7184">
        <v>-0.99985780000000002</v>
      </c>
      <c r="N7184">
        <v>0</v>
      </c>
      <c r="O7184">
        <v>7.4834530000000002E-3</v>
      </c>
      <c r="P7184">
        <v>-0.99933490000000003</v>
      </c>
      <c r="Q7184">
        <v>1.208496E-2</v>
      </c>
      <c r="R7184">
        <v>-3.4407970000000003E-2</v>
      </c>
      <c r="S7184">
        <v>-2.9967649999999999</v>
      </c>
      <c r="T7184">
        <v>-5.565763E-2</v>
      </c>
      <c r="U7184">
        <v>-0.16871639999999999</v>
      </c>
      <c r="V7184">
        <v>-4.188033E-2</v>
      </c>
      <c r="W7184">
        <v>2.719193E-2</v>
      </c>
      <c r="X7184">
        <v>0.99875250000000004</v>
      </c>
      <c r="Y7184">
        <v>-6.3669169999999997E-2</v>
      </c>
      <c r="Z7184">
        <v>-7.2961879999999997E-4</v>
      </c>
      <c r="AA7184">
        <v>0.99797080000000005</v>
      </c>
      <c r="AB7184">
        <v>27</v>
      </c>
      <c r="AC7184">
        <v>-59.567500000000003</v>
      </c>
      <c r="AD7184">
        <v>-1.110422139367</v>
      </c>
      <c r="AE7184">
        <v>-3.3677999999999799</v>
      </c>
      <c r="AF7184">
        <v>-3.8122066436992399</v>
      </c>
      <c r="AG7184">
        <v>-1.110422139367</v>
      </c>
      <c r="AH7184">
        <v>59.520008566048297</v>
      </c>
      <c r="AI7184">
        <v>91.066617258524104</v>
      </c>
      <c r="AJ7184">
        <v>93.664740825327499</v>
      </c>
      <c r="AK7184">
        <v>59.652304033660997</v>
      </c>
      <c r="AL7184">
        <v>88.441825051736899</v>
      </c>
      <c r="AM7184">
        <v>92.401156655650198</v>
      </c>
      <c r="AN7184">
        <v>0.99999995967714095</v>
      </c>
    </row>
    <row r="7185" spans="1:40" x14ac:dyDescent="0.25">
      <c r="A7185" t="str">
        <f>"20190312150833215"</f>
        <v>20190312150833215</v>
      </c>
      <c r="B7185" t="str">
        <f>"1552374513206977"</f>
        <v>1552374513206977</v>
      </c>
      <c r="C7185" t="s">
        <v>40</v>
      </c>
      <c r="D7185">
        <v>4.4605639999999998</v>
      </c>
      <c r="E7185">
        <v>0.49180780000000002</v>
      </c>
      <c r="F7185" t="s">
        <v>42</v>
      </c>
      <c r="G7185">
        <v>-378.45330000000001</v>
      </c>
      <c r="H7185" s="1">
        <v>-1.1165259999999999E-6</v>
      </c>
      <c r="I7185">
        <v>137.34569999999999</v>
      </c>
      <c r="J7185">
        <v>-314.1635</v>
      </c>
      <c r="K7185">
        <v>1.110419</v>
      </c>
      <c r="L7185">
        <v>141.00880000000001</v>
      </c>
      <c r="M7185">
        <v>-0.9998572</v>
      </c>
      <c r="N7185">
        <v>0</v>
      </c>
      <c r="O7185">
        <v>7.5822559999999999E-3</v>
      </c>
      <c r="P7185">
        <v>-0.99936469999999999</v>
      </c>
      <c r="Q7185">
        <v>1.2959089999999999E-2</v>
      </c>
      <c r="R7185">
        <v>-3.319942E-2</v>
      </c>
      <c r="S7185">
        <v>-2.9967350000000001</v>
      </c>
      <c r="T7185">
        <v>-5.1541450000000003E-2</v>
      </c>
      <c r="U7185">
        <v>-0.16992189999999999</v>
      </c>
      <c r="V7185">
        <v>-4.0770639999999997E-2</v>
      </c>
      <c r="W7185">
        <v>2.8059919999999999E-2</v>
      </c>
      <c r="X7185">
        <v>0.99877450000000001</v>
      </c>
      <c r="Y7185">
        <v>-6.4170160000000004E-2</v>
      </c>
      <c r="Z7185">
        <v>-6.816697E-4</v>
      </c>
      <c r="AA7185">
        <v>0.99793880000000001</v>
      </c>
      <c r="AB7185">
        <v>27</v>
      </c>
      <c r="AC7185">
        <v>-64.2898</v>
      </c>
      <c r="AD7185">
        <v>-1.1104201165259999</v>
      </c>
      <c r="AE7185">
        <v>-3.6631000000000098</v>
      </c>
      <c r="AF7185">
        <v>-4.14927817097107</v>
      </c>
      <c r="AG7185">
        <v>-1.1104201165259999</v>
      </c>
      <c r="AH7185">
        <v>64.2410710540248</v>
      </c>
      <c r="AI7185">
        <v>90.988211971058405</v>
      </c>
      <c r="AJ7185">
        <v>93.695554191273104</v>
      </c>
      <c r="AK7185">
        <v>64.384507083176004</v>
      </c>
      <c r="AL7185">
        <v>88.392074046178706</v>
      </c>
      <c r="AM7185">
        <v>92.337554063152197</v>
      </c>
      <c r="AN7185">
        <v>1.0000000530233299</v>
      </c>
    </row>
    <row r="7186" spans="1:40" x14ac:dyDescent="0.25">
      <c r="A7186" t="str">
        <f>"20190312150833238"</f>
        <v>20190312150833238</v>
      </c>
      <c r="B7186" t="str">
        <f>"1552374513227464"</f>
        <v>1552374513227464</v>
      </c>
      <c r="C7186" t="s">
        <v>40</v>
      </c>
      <c r="D7186">
        <v>4.2708250000000003</v>
      </c>
      <c r="E7186">
        <v>0.49166480000000001</v>
      </c>
      <c r="F7186" t="s">
        <v>42</v>
      </c>
      <c r="G7186">
        <v>-383.47379999999998</v>
      </c>
      <c r="H7186" s="1">
        <v>-3.2212429999999999E-6</v>
      </c>
      <c r="I7186">
        <v>137.13999999999999</v>
      </c>
      <c r="J7186">
        <v>-314.43540000000002</v>
      </c>
      <c r="K7186">
        <v>1.1104160000000001</v>
      </c>
      <c r="L7186">
        <v>141.011</v>
      </c>
      <c r="M7186">
        <v>-0.99985650000000004</v>
      </c>
      <c r="N7186">
        <v>0</v>
      </c>
      <c r="O7186">
        <v>7.6808800000000002E-3</v>
      </c>
      <c r="P7186">
        <v>-0.99938479999999996</v>
      </c>
      <c r="Q7186">
        <v>1.27799E-2</v>
      </c>
      <c r="R7186">
        <v>-3.2657190000000003E-2</v>
      </c>
      <c r="S7186">
        <v>-2.9969790000000001</v>
      </c>
      <c r="T7186">
        <v>-4.8014639999999997E-2</v>
      </c>
      <c r="U7186">
        <v>-0.16728209999999999</v>
      </c>
      <c r="V7186">
        <v>-4.0327450000000001E-2</v>
      </c>
      <c r="W7186">
        <v>2.7874019999999999E-2</v>
      </c>
      <c r="X7186">
        <v>0.99879770000000001</v>
      </c>
      <c r="Y7186">
        <v>-6.3389249999999994E-2</v>
      </c>
      <c r="Z7186">
        <v>-6.3032430000000003E-4</v>
      </c>
      <c r="AA7186">
        <v>0.99798869999999895</v>
      </c>
      <c r="AB7186">
        <v>27</v>
      </c>
      <c r="AC7186">
        <v>-69.038399999999896</v>
      </c>
      <c r="AD7186">
        <v>-1.110419221243</v>
      </c>
      <c r="AE7186">
        <v>-3.871</v>
      </c>
      <c r="AF7186">
        <v>-4.4000871840136</v>
      </c>
      <c r="AG7186">
        <v>-1.110419221243</v>
      </c>
      <c r="AH7186">
        <v>68.988835620402099</v>
      </c>
      <c r="AI7186">
        <v>90.920262890309999</v>
      </c>
      <c r="AJ7186">
        <v>93.649364583190405</v>
      </c>
      <c r="AK7186">
        <v>69.137929086230798</v>
      </c>
      <c r="AL7186">
        <v>88.402729501894399</v>
      </c>
      <c r="AM7186">
        <v>92.312118177758805</v>
      </c>
      <c r="AN7186">
        <v>1.00000005486987</v>
      </c>
    </row>
    <row r="7187" spans="1:40" x14ac:dyDescent="0.25">
      <c r="A7187" t="str">
        <f>"20190312150833251"</f>
        <v>20190312150833251</v>
      </c>
      <c r="B7187" t="str">
        <f>"1552374513246985"</f>
        <v>1552374513246985</v>
      </c>
      <c r="C7187" t="s">
        <v>40</v>
      </c>
      <c r="D7187">
        <v>4.2317289999999996</v>
      </c>
      <c r="E7187">
        <v>0.49156689999999997</v>
      </c>
      <c r="F7187" t="s">
        <v>42</v>
      </c>
      <c r="G7187">
        <v>-384.57979999999998</v>
      </c>
      <c r="H7187" s="1">
        <v>-2.7527330000000002E-6</v>
      </c>
      <c r="I7187">
        <v>137.10640000000001</v>
      </c>
      <c r="J7187">
        <v>-314.6026</v>
      </c>
      <c r="K7187">
        <v>1.1104130000000001</v>
      </c>
      <c r="L7187">
        <v>141.01230000000001</v>
      </c>
      <c r="M7187">
        <v>-0.99985610000000003</v>
      </c>
      <c r="N7187">
        <v>0</v>
      </c>
      <c r="O7187">
        <v>7.7411609999999999E-3</v>
      </c>
      <c r="P7187">
        <v>-0.99940649999999998</v>
      </c>
      <c r="Q7187">
        <v>1.240701E-2</v>
      </c>
      <c r="R7187">
        <v>-3.2135379999999998E-2</v>
      </c>
      <c r="S7187">
        <v>-2.9970400000000001</v>
      </c>
      <c r="T7187">
        <v>-4.744458E-2</v>
      </c>
      <c r="U7187">
        <v>-0.16682429999999901</v>
      </c>
      <c r="V7187">
        <v>-3.9865890000000001E-2</v>
      </c>
      <c r="W7187">
        <v>2.749747E-2</v>
      </c>
      <c r="X7187">
        <v>0.99882660000000001</v>
      </c>
      <c r="Y7187">
        <v>-6.3296549999999993E-2</v>
      </c>
      <c r="Z7187">
        <v>-6.2305219999999998E-4</v>
      </c>
      <c r="AA7187">
        <v>0.99799450000000001</v>
      </c>
      <c r="AB7187">
        <v>27</v>
      </c>
      <c r="AC7187">
        <v>-69.977199999999897</v>
      </c>
      <c r="AD7187">
        <v>-1.1104157527330001</v>
      </c>
      <c r="AE7187">
        <v>-3.9058999999999999</v>
      </c>
      <c r="AF7187">
        <v>-4.4464332960320396</v>
      </c>
      <c r="AG7187">
        <v>-1.1104157527330001</v>
      </c>
      <c r="AH7187">
        <v>69.927310026436302</v>
      </c>
      <c r="AI7187">
        <v>90.907922674764393</v>
      </c>
      <c r="AJ7187">
        <v>93.638340119911305</v>
      </c>
      <c r="AK7187">
        <v>70.077332139096995</v>
      </c>
      <c r="AL7187">
        <v>88.424312395212098</v>
      </c>
      <c r="AM7187">
        <v>92.285617443428393</v>
      </c>
      <c r="AN7187">
        <v>0.99999998845472604</v>
      </c>
    </row>
    <row r="7188" spans="1:40" x14ac:dyDescent="0.25">
      <c r="A7188" t="str">
        <f>"20190312150833270"</f>
        <v>20190312150833270</v>
      </c>
      <c r="B7188" t="str">
        <f>"1552374513267481"</f>
        <v>1552374513267481</v>
      </c>
      <c r="C7188" t="s">
        <v>40</v>
      </c>
      <c r="D7188">
        <v>4.5608079999999998</v>
      </c>
      <c r="E7188">
        <v>0.49145139999999998</v>
      </c>
      <c r="F7188" t="s">
        <v>42</v>
      </c>
      <c r="G7188">
        <v>-384.22640000000001</v>
      </c>
      <c r="H7188" s="1">
        <v>-2.8955550000000001E-6</v>
      </c>
      <c r="I7188">
        <v>137.1559</v>
      </c>
      <c r="J7188">
        <v>-314.82459999999998</v>
      </c>
      <c r="K7188">
        <v>1.1104080000000001</v>
      </c>
      <c r="L7188">
        <v>141.01410000000001</v>
      </c>
      <c r="M7188">
        <v>-0.99985559999999996</v>
      </c>
      <c r="N7188">
        <v>0</v>
      </c>
      <c r="O7188">
        <v>7.8204539999999993E-3</v>
      </c>
      <c r="P7188">
        <v>-0.99941190000000002</v>
      </c>
      <c r="Q7188">
        <v>1.238703E-2</v>
      </c>
      <c r="R7188">
        <v>-3.1977749999999999E-2</v>
      </c>
      <c r="S7188">
        <v>-2.9970699999999999</v>
      </c>
      <c r="T7188">
        <v>-4.7799710000000002E-2</v>
      </c>
      <c r="U7188">
        <v>-0.16600039999999999</v>
      </c>
      <c r="V7188">
        <v>-3.978781E-2</v>
      </c>
      <c r="W7188">
        <v>2.747173E-2</v>
      </c>
      <c r="X7188">
        <v>0.99883040000000001</v>
      </c>
      <c r="Y7188">
        <v>-6.3101470000000007E-2</v>
      </c>
      <c r="Z7188">
        <v>-6.27423E-4</v>
      </c>
      <c r="AA7188">
        <v>0.99800690000000003</v>
      </c>
      <c r="AB7188">
        <v>27</v>
      </c>
      <c r="AC7188">
        <v>-69.401799999999994</v>
      </c>
      <c r="AD7188">
        <v>-1.1104108955550001</v>
      </c>
      <c r="AE7188">
        <v>-3.8582000000000001</v>
      </c>
      <c r="AF7188">
        <v>-4.3997745183584804</v>
      </c>
      <c r="AG7188">
        <v>-1.1104108955550001</v>
      </c>
      <c r="AH7188">
        <v>69.351802093659103</v>
      </c>
      <c r="AI7188">
        <v>90.915460088231399</v>
      </c>
      <c r="AJ7188">
        <v>93.630058841149904</v>
      </c>
      <c r="AK7188">
        <v>69.500096991352706</v>
      </c>
      <c r="AL7188">
        <v>88.425787711952296</v>
      </c>
      <c r="AM7188">
        <v>92.281136973823905</v>
      </c>
      <c r="AN7188">
        <v>0.99999996686897397</v>
      </c>
    </row>
    <row r="7189" spans="1:40" x14ac:dyDescent="0.25">
      <c r="A7189" t="str">
        <f>"20190312150833293"</f>
        <v>20190312150833293</v>
      </c>
      <c r="B7189" t="str">
        <f>"1552374513287001"</f>
        <v>1552374513287001</v>
      </c>
      <c r="C7189" t="s">
        <v>40</v>
      </c>
      <c r="D7189">
        <v>4.1939219999999997</v>
      </c>
      <c r="E7189">
        <v>0.4913072</v>
      </c>
      <c r="F7189" t="s">
        <v>42</v>
      </c>
      <c r="G7189">
        <v>-384.75009999999997</v>
      </c>
      <c r="H7189" s="1">
        <v>-2.6752069999999998E-6</v>
      </c>
      <c r="I7189">
        <v>137.1317</v>
      </c>
      <c r="J7189">
        <v>-315.10169999999999</v>
      </c>
      <c r="K7189">
        <v>1.1104080000000001</v>
      </c>
      <c r="L7189">
        <v>141.0164</v>
      </c>
      <c r="M7189">
        <v>-0.99985489999999999</v>
      </c>
      <c r="N7189">
        <v>0</v>
      </c>
      <c r="O7189">
        <v>7.9170200000000003E-3</v>
      </c>
      <c r="P7189">
        <v>-0.99942699999999995</v>
      </c>
      <c r="Q7189">
        <v>1.2775989999999999E-2</v>
      </c>
      <c r="R7189">
        <v>-3.1352579999999998E-2</v>
      </c>
      <c r="S7189">
        <v>-2.9970089999999998</v>
      </c>
      <c r="T7189">
        <v>-4.7592280000000001E-2</v>
      </c>
      <c r="U7189">
        <v>-0.16639709999999999</v>
      </c>
      <c r="V7189">
        <v>-3.9259189999999999E-2</v>
      </c>
      <c r="W7189">
        <v>2.7854009999999998E-2</v>
      </c>
      <c r="X7189">
        <v>0.99884070000000003</v>
      </c>
      <c r="Y7189">
        <v>-6.3330719999999993E-2</v>
      </c>
      <c r="Z7189">
        <v>-6.2806220000000005E-4</v>
      </c>
      <c r="AA7189">
        <v>0.9979924</v>
      </c>
      <c r="AB7189">
        <v>27</v>
      </c>
      <c r="AC7189">
        <v>-69.648399999999896</v>
      </c>
      <c r="AD7189">
        <v>-1.110410675207</v>
      </c>
      <c r="AE7189">
        <v>-3.8847000000000098</v>
      </c>
      <c r="AF7189">
        <v>-4.4349249519453098</v>
      </c>
      <c r="AG7189">
        <v>-1.110410675207</v>
      </c>
      <c r="AH7189">
        <v>69.597822312063201</v>
      </c>
      <c r="AI7189">
        <v>90.912208192200495</v>
      </c>
      <c r="AJ7189">
        <v>93.646082308130502</v>
      </c>
      <c r="AK7189">
        <v>69.7478203371153</v>
      </c>
      <c r="AL7189">
        <v>88.403876247403502</v>
      </c>
      <c r="AM7189">
        <v>92.250838031480797</v>
      </c>
      <c r="AN7189">
        <v>0.99999993692451095</v>
      </c>
    </row>
    <row r="7190" spans="1:40" x14ac:dyDescent="0.25">
      <c r="A7190" t="str">
        <f>"20190312150833307"</f>
        <v>20190312150833307</v>
      </c>
      <c r="B7190" t="str">
        <f>"1552374513296761"</f>
        <v>1552374513296761</v>
      </c>
      <c r="C7190" t="s">
        <v>40</v>
      </c>
      <c r="D7190">
        <v>4.2458780000000003</v>
      </c>
      <c r="E7190">
        <v>0.49124319999999999</v>
      </c>
      <c r="F7190" t="s">
        <v>42</v>
      </c>
      <c r="G7190">
        <v>-386.1506</v>
      </c>
      <c r="H7190" s="1">
        <v>-2.082263E-6</v>
      </c>
      <c r="I7190">
        <v>137.0873</v>
      </c>
      <c r="J7190">
        <v>-315.26839999999999</v>
      </c>
      <c r="K7190">
        <v>1.1104069999999999</v>
      </c>
      <c r="L7190">
        <v>141.01779999999999</v>
      </c>
      <c r="M7190">
        <v>-0.99985460000000004</v>
      </c>
      <c r="N7190">
        <v>0</v>
      </c>
      <c r="O7190">
        <v>7.9727410000000002E-3</v>
      </c>
      <c r="P7190">
        <v>-0.99943219999999999</v>
      </c>
      <c r="Q7190">
        <v>1.266073E-2</v>
      </c>
      <c r="R7190">
        <v>-3.1229590000000002E-2</v>
      </c>
      <c r="S7190">
        <v>-2.997131</v>
      </c>
      <c r="T7190">
        <v>-4.684162E-2</v>
      </c>
      <c r="U7190">
        <v>-0.165741</v>
      </c>
      <c r="V7190">
        <v>-3.9192169999999998E-2</v>
      </c>
      <c r="W7190">
        <v>2.7734849999999998E-2</v>
      </c>
      <c r="X7190">
        <v>0.99884669999999998</v>
      </c>
      <c r="Y7190">
        <v>-6.3166570000000005E-2</v>
      </c>
      <c r="Z7190">
        <v>-6.1772430000000004E-4</v>
      </c>
      <c r="AA7190">
        <v>0.99800279999999997</v>
      </c>
      <c r="AB7190">
        <v>27</v>
      </c>
      <c r="AC7190">
        <v>-70.882199999999997</v>
      </c>
      <c r="AD7190">
        <v>-1.1104090822629999</v>
      </c>
      <c r="AE7190">
        <v>-3.9304999999999901</v>
      </c>
      <c r="AF7190">
        <v>-4.4944650806256403</v>
      </c>
      <c r="AG7190">
        <v>-1.1104090822629999</v>
      </c>
      <c r="AH7190">
        <v>70.831276839879706</v>
      </c>
      <c r="AI7190">
        <v>90.896339616095602</v>
      </c>
      <c r="AJ7190">
        <v>93.6307280498837</v>
      </c>
      <c r="AK7190">
        <v>70.982413339211107</v>
      </c>
      <c r="AL7190">
        <v>88.410706334566996</v>
      </c>
      <c r="AM7190">
        <v>92.246986047615806</v>
      </c>
      <c r="AN7190">
        <v>0.99999998909735999</v>
      </c>
    </row>
    <row r="7191" spans="1:40" x14ac:dyDescent="0.25">
      <c r="A7191" t="str">
        <f>"20190312150833326"</f>
        <v>20190312150833326</v>
      </c>
      <c r="B7191" t="str">
        <f>"1552374513316964"</f>
        <v>1552374513316964</v>
      </c>
      <c r="C7191" t="s">
        <v>40</v>
      </c>
      <c r="D7191">
        <v>4.2384820000000003</v>
      </c>
      <c r="E7191">
        <v>0.49114409999999997</v>
      </c>
      <c r="F7191" t="s">
        <v>42</v>
      </c>
      <c r="G7191">
        <v>-385.58850000000001</v>
      </c>
      <c r="H7191" s="1">
        <v>-2.3170200000000001E-6</v>
      </c>
      <c r="I7191">
        <v>137.1233</v>
      </c>
      <c r="J7191">
        <v>-315.49380000000002</v>
      </c>
      <c r="K7191">
        <v>1.110409</v>
      </c>
      <c r="L7191">
        <v>141.0197</v>
      </c>
      <c r="M7191">
        <v>-0.99985400000000002</v>
      </c>
      <c r="N7191">
        <v>0</v>
      </c>
      <c r="O7191">
        <v>8.0437500000000006E-3</v>
      </c>
      <c r="P7191">
        <v>-0.99945899999999999</v>
      </c>
      <c r="Q7191">
        <v>1.220307E-2</v>
      </c>
      <c r="R7191">
        <v>-3.0545470000000002E-2</v>
      </c>
      <c r="S7191">
        <v>-2.997131</v>
      </c>
      <c r="T7191">
        <v>-4.7327040000000001E-2</v>
      </c>
      <c r="U7191">
        <v>-0.1659851</v>
      </c>
      <c r="V7191">
        <v>-3.8579200000000001E-2</v>
      </c>
      <c r="W7191">
        <v>2.7272009999999999E-2</v>
      </c>
      <c r="X7191">
        <v>0.99888330000000003</v>
      </c>
      <c r="Y7191">
        <v>-6.3318289999999999E-2</v>
      </c>
      <c r="Z7191">
        <v>-6.264412E-4</v>
      </c>
      <c r="AA7191">
        <v>0.99799320000000002</v>
      </c>
      <c r="AB7191">
        <v>27</v>
      </c>
      <c r="AC7191">
        <v>-70.094699999999904</v>
      </c>
      <c r="AD7191">
        <v>-1.1104113170200001</v>
      </c>
      <c r="AE7191">
        <v>-3.8963999999999999</v>
      </c>
      <c r="AF7191">
        <v>-4.45904666624733</v>
      </c>
      <c r="AG7191">
        <v>-1.1104113170200001</v>
      </c>
      <c r="AH7191">
        <v>70.043562890675005</v>
      </c>
      <c r="AI7191">
        <v>90.9064081258649</v>
      </c>
      <c r="AJ7191">
        <v>93.642593899551997</v>
      </c>
      <c r="AK7191">
        <v>70.194136599039993</v>
      </c>
      <c r="AL7191">
        <v>88.437235138370795</v>
      </c>
      <c r="AM7191">
        <v>92.211797147892298</v>
      </c>
      <c r="AN7191">
        <v>0.99999998211048502</v>
      </c>
    </row>
    <row r="7192" spans="1:40" x14ac:dyDescent="0.25">
      <c r="A7192" t="str">
        <f>"20190312150833348"</f>
        <v>20190312150833348</v>
      </c>
      <c r="B7192" t="str">
        <f>"1552374513337456"</f>
        <v>1552374513337456</v>
      </c>
      <c r="C7192" t="s">
        <v>40</v>
      </c>
      <c r="D7192">
        <v>4.2615610000000004</v>
      </c>
      <c r="E7192">
        <v>0.49096810000000002</v>
      </c>
      <c r="F7192" t="s">
        <v>42</v>
      </c>
      <c r="G7192">
        <v>-383.80169999999998</v>
      </c>
      <c r="H7192" s="1">
        <v>-3.0579629999999998E-6</v>
      </c>
      <c r="I7192">
        <v>137.26759999999999</v>
      </c>
      <c r="J7192">
        <v>-315.75450000000001</v>
      </c>
      <c r="K7192">
        <v>1.1104149999999999</v>
      </c>
      <c r="L7192">
        <v>141.02180000000001</v>
      </c>
      <c r="M7192">
        <v>-0.99985360000000001</v>
      </c>
      <c r="N7192">
        <v>0</v>
      </c>
      <c r="O7192">
        <v>8.1150030000000008E-3</v>
      </c>
      <c r="P7192">
        <v>-0.99948349999999997</v>
      </c>
      <c r="Q7192">
        <v>1.1168869999999999E-2</v>
      </c>
      <c r="R7192">
        <v>-3.0132679999999998E-2</v>
      </c>
      <c r="S7192">
        <v>-2.9971619999999999</v>
      </c>
      <c r="T7192">
        <v>-4.872191E-2</v>
      </c>
      <c r="U7192">
        <v>-0.1646271</v>
      </c>
      <c r="V7192">
        <v>-3.8239229999999999E-2</v>
      </c>
      <c r="W7192">
        <v>2.623145E-2</v>
      </c>
      <c r="X7192">
        <v>0.99892429999999999</v>
      </c>
      <c r="Y7192">
        <v>-6.2937530000000005E-2</v>
      </c>
      <c r="Z7192">
        <v>-6.4296860000000004E-4</v>
      </c>
      <c r="AA7192">
        <v>0.9980173</v>
      </c>
      <c r="AB7192">
        <v>27</v>
      </c>
      <c r="AC7192">
        <v>-68.047199999999904</v>
      </c>
      <c r="AD7192">
        <v>-1.1104180579630001</v>
      </c>
      <c r="AE7192">
        <v>-3.75420000000002</v>
      </c>
      <c r="AF7192">
        <v>-4.3051993075269301</v>
      </c>
      <c r="AG7192">
        <v>-1.1104180579630001</v>
      </c>
      <c r="AH7192">
        <v>67.996438359394404</v>
      </c>
      <c r="AI7192">
        <v>90.9337180957708</v>
      </c>
      <c r="AJ7192">
        <v>93.622850407578795</v>
      </c>
      <c r="AK7192">
        <v>68.141642179389194</v>
      </c>
      <c r="AL7192">
        <v>88.496876274144498</v>
      </c>
      <c r="AM7192">
        <v>92.192235421668599</v>
      </c>
      <c r="AN7192">
        <v>1.0000000424052899</v>
      </c>
    </row>
    <row r="7193" spans="1:40" x14ac:dyDescent="0.25">
      <c r="A7193" t="str">
        <f>"20190312150833362"</f>
        <v>20190312150833362</v>
      </c>
      <c r="B7193" t="str">
        <f>"1552374513356976"</f>
        <v>1552374513356976</v>
      </c>
      <c r="C7193" t="s">
        <v>40</v>
      </c>
      <c r="D7193">
        <v>4.1875019999999896</v>
      </c>
      <c r="E7193">
        <v>0.4907936</v>
      </c>
      <c r="F7193" t="s">
        <v>42</v>
      </c>
      <c r="G7193">
        <v>-378.82220000000001</v>
      </c>
      <c r="H7193" s="1">
        <v>-9.3607289999999998E-7</v>
      </c>
      <c r="I7193">
        <v>137.5521</v>
      </c>
      <c r="J7193">
        <v>-315.9271</v>
      </c>
      <c r="K7193">
        <v>1.1104210000000001</v>
      </c>
      <c r="L7193">
        <v>141.02330000000001</v>
      </c>
      <c r="M7193">
        <v>-0.9998534</v>
      </c>
      <c r="N7193">
        <v>0</v>
      </c>
      <c r="O7193">
        <v>8.1556809999999997E-3</v>
      </c>
      <c r="P7193">
        <v>-0.99949440000000001</v>
      </c>
      <c r="Q7193">
        <v>1.117342E-2</v>
      </c>
      <c r="R7193">
        <v>-2.977573E-2</v>
      </c>
      <c r="S7193">
        <v>-2.9971619999999999</v>
      </c>
      <c r="T7193">
        <v>-5.2770259999999999E-2</v>
      </c>
      <c r="U7193">
        <v>-0.16488649999999999</v>
      </c>
      <c r="V7193">
        <v>-3.7922459999999998E-2</v>
      </c>
      <c r="W7193">
        <v>2.623145E-2</v>
      </c>
      <c r="X7193">
        <v>0.99893639999999995</v>
      </c>
      <c r="Y7193">
        <v>-6.3062599999999996E-2</v>
      </c>
      <c r="Z7193">
        <v>-6.9819960000000003E-4</v>
      </c>
      <c r="AA7193">
        <v>0.99800929999999999</v>
      </c>
      <c r="AB7193">
        <v>27</v>
      </c>
      <c r="AC7193">
        <v>-62.895099999999999</v>
      </c>
      <c r="AD7193">
        <v>-1.11042193607289</v>
      </c>
      <c r="AE7193">
        <v>-3.4712000000000098</v>
      </c>
      <c r="AF7193">
        <v>-3.9828573412013801</v>
      </c>
      <c r="AG7193">
        <v>-1.11042193607289</v>
      </c>
      <c r="AH7193">
        <v>62.845164938502897</v>
      </c>
      <c r="AI7193">
        <v>91.010237219558604</v>
      </c>
      <c r="AJ7193">
        <v>93.626311250273005</v>
      </c>
      <c r="AK7193">
        <v>62.9810363968719</v>
      </c>
      <c r="AL7193">
        <v>88.496876310510302</v>
      </c>
      <c r="AM7193">
        <v>92.1740663503859</v>
      </c>
      <c r="AN7193">
        <v>1.00000006659325</v>
      </c>
    </row>
    <row r="7194" spans="1:40" x14ac:dyDescent="0.25">
      <c r="A7194" t="str">
        <f>"20190312150833382"</f>
        <v>20190312150833382</v>
      </c>
      <c r="B7194" t="str">
        <f>"1552374513377472"</f>
        <v>1552374513377472</v>
      </c>
      <c r="C7194" t="s">
        <v>40</v>
      </c>
      <c r="D7194">
        <v>4.2179909999999996</v>
      </c>
      <c r="E7194">
        <v>0.49070350000000001</v>
      </c>
      <c r="F7194" t="s">
        <v>42</v>
      </c>
      <c r="G7194">
        <v>-378.90089999999998</v>
      </c>
      <c r="H7194" s="1">
        <v>-9.0854940000000001E-7</v>
      </c>
      <c r="I7194">
        <v>137.5549</v>
      </c>
      <c r="J7194">
        <v>-316.1551</v>
      </c>
      <c r="K7194">
        <v>1.110436</v>
      </c>
      <c r="L7194">
        <v>141.02520000000001</v>
      </c>
      <c r="M7194">
        <v>-0.99985310000000005</v>
      </c>
      <c r="N7194">
        <v>0</v>
      </c>
      <c r="O7194">
        <v>8.1966450000000007E-3</v>
      </c>
      <c r="P7194">
        <v>-0.99950609999999995</v>
      </c>
      <c r="Q7194">
        <v>1.1245069999999999E-2</v>
      </c>
      <c r="R7194">
        <v>-2.934136E-2</v>
      </c>
      <c r="S7194">
        <v>-2.9971619999999999</v>
      </c>
      <c r="T7194">
        <v>-5.2849170000000001E-2</v>
      </c>
      <c r="U7194">
        <v>-0.16506960000000001</v>
      </c>
      <c r="V7194">
        <v>-3.753037E-2</v>
      </c>
      <c r="W7194">
        <v>2.6296750000000001E-2</v>
      </c>
      <c r="X7194">
        <v>0.99894939999999999</v>
      </c>
      <c r="Y7194">
        <v>-6.3164219999999993E-2</v>
      </c>
      <c r="Z7194">
        <v>-7.0085959999999995E-4</v>
      </c>
      <c r="AA7194">
        <v>0.99800290000000003</v>
      </c>
      <c r="AB7194">
        <v>27</v>
      </c>
      <c r="AC7194">
        <v>-62.745799999999903</v>
      </c>
      <c r="AD7194">
        <v>-1.1104369085493999</v>
      </c>
      <c r="AE7194">
        <v>-3.4702999999999999</v>
      </c>
      <c r="AF7194">
        <v>-3.98330296591157</v>
      </c>
      <c r="AG7194">
        <v>-1.1104369085493999</v>
      </c>
      <c r="AH7194">
        <v>62.695667406337101</v>
      </c>
      <c r="AI7194">
        <v>91.012649151399998</v>
      </c>
      <c r="AJ7194">
        <v>93.635340623986295</v>
      </c>
      <c r="AK7194">
        <v>62.831890662084596</v>
      </c>
      <c r="AL7194">
        <v>88.493133468344197</v>
      </c>
      <c r="AM7194">
        <v>92.151581385876</v>
      </c>
      <c r="AN7194">
        <v>0.99999997574662902</v>
      </c>
    </row>
    <row r="7195" spans="1:40" x14ac:dyDescent="0.25">
      <c r="A7195" t="str">
        <f>"20190312150833396"</f>
        <v>20190312150833396</v>
      </c>
      <c r="B7195" t="str">
        <f>"1552374513387232"</f>
        <v>1552374513387232</v>
      </c>
      <c r="C7195" t="s">
        <v>40</v>
      </c>
      <c r="D7195">
        <v>4.1999769999999996</v>
      </c>
      <c r="E7195">
        <v>0.49064659999999899</v>
      </c>
      <c r="F7195" t="s">
        <v>42</v>
      </c>
      <c r="G7195">
        <v>-379.67219999999998</v>
      </c>
      <c r="H7195" s="1">
        <v>-6.5092549999999995E-7</v>
      </c>
      <c r="I7195">
        <v>137.5367</v>
      </c>
      <c r="J7195">
        <v>-316.32740000000001</v>
      </c>
      <c r="K7195">
        <v>1.1104510000000001</v>
      </c>
      <c r="L7195">
        <v>141.0266</v>
      </c>
      <c r="M7195">
        <v>-0.99985299999999999</v>
      </c>
      <c r="N7195">
        <v>0</v>
      </c>
      <c r="O7195">
        <v>8.2180280000000005E-3</v>
      </c>
      <c r="P7195">
        <v>-0.99951000000000001</v>
      </c>
      <c r="Q7195">
        <v>1.1574310000000001E-2</v>
      </c>
      <c r="R7195">
        <v>-2.9083100000000001E-2</v>
      </c>
      <c r="S7195">
        <v>-2.9972530000000002</v>
      </c>
      <c r="T7195">
        <v>-5.2399519999999998E-2</v>
      </c>
      <c r="U7195">
        <v>-0.1646118</v>
      </c>
      <c r="V7195">
        <v>-3.7293800000000002E-2</v>
      </c>
      <c r="W7195">
        <v>2.6620890000000001E-2</v>
      </c>
      <c r="X7195">
        <v>0.99894970000000005</v>
      </c>
      <c r="Y7195">
        <v>-6.3032130000000006E-2</v>
      </c>
      <c r="Z7195">
        <v>-6.9409889999999996E-4</v>
      </c>
      <c r="AA7195">
        <v>0.99801119999999999</v>
      </c>
      <c r="AB7195">
        <v>27</v>
      </c>
      <c r="AC7195">
        <v>-63.3447999999999</v>
      </c>
      <c r="AD7195">
        <v>-1.1104516509255</v>
      </c>
      <c r="AE7195">
        <v>-3.4899</v>
      </c>
      <c r="AF7195">
        <v>-4.0091820786766599</v>
      </c>
      <c r="AG7195">
        <v>-1.1104516509255</v>
      </c>
      <c r="AH7195">
        <v>63.294584881371797</v>
      </c>
      <c r="AI7195">
        <v>91.003094546820293</v>
      </c>
      <c r="AJ7195">
        <v>93.624365972033601</v>
      </c>
      <c r="AK7195">
        <v>63.431152591721101</v>
      </c>
      <c r="AL7195">
        <v>88.474555148496094</v>
      </c>
      <c r="AM7195">
        <v>92.1380310315554</v>
      </c>
      <c r="AN7195">
        <v>1.00000000121646</v>
      </c>
    </row>
    <row r="7196" spans="1:40" x14ac:dyDescent="0.25">
      <c r="A7196" t="str">
        <f>"20190312150833417"</f>
        <v>20190312150833417</v>
      </c>
      <c r="B7196" t="str">
        <f>"1552374513407283"</f>
        <v>1552374513407283</v>
      </c>
      <c r="C7196" t="s">
        <v>40</v>
      </c>
      <c r="D7196">
        <v>4.2038440000000001</v>
      </c>
      <c r="E7196">
        <v>0.49053190000000002</v>
      </c>
      <c r="F7196" t="s">
        <v>42</v>
      </c>
      <c r="G7196">
        <v>-380.96690000000001</v>
      </c>
      <c r="H7196" s="1">
        <v>-4.2359539999999998E-6</v>
      </c>
      <c r="I7196">
        <v>137.48249999999999</v>
      </c>
      <c r="J7196">
        <v>-316.56610000000001</v>
      </c>
      <c r="K7196">
        <v>1.1104700000000001</v>
      </c>
      <c r="L7196">
        <v>141.02860000000001</v>
      </c>
      <c r="M7196">
        <v>-0.99985279999999999</v>
      </c>
      <c r="N7196">
        <v>0</v>
      </c>
      <c r="O7196">
        <v>8.2384740000000008E-3</v>
      </c>
      <c r="P7196">
        <v>-0.99951730000000005</v>
      </c>
      <c r="Q7196">
        <v>1.232723E-2</v>
      </c>
      <c r="R7196">
        <v>-2.8524310000000001E-2</v>
      </c>
      <c r="S7196">
        <v>-2.9972840000000001</v>
      </c>
      <c r="T7196">
        <v>-5.1491019999999998E-2</v>
      </c>
      <c r="U7196">
        <v>-0.16433719999999999</v>
      </c>
      <c r="V7196">
        <v>-3.6756219999999999E-2</v>
      </c>
      <c r="W7196">
        <v>2.736686E-2</v>
      </c>
      <c r="X7196">
        <v>0.99894950000000005</v>
      </c>
      <c r="Y7196">
        <v>-6.2961199999999995E-2</v>
      </c>
      <c r="Z7196">
        <v>-6.8180360000000002E-4</v>
      </c>
      <c r="AA7196">
        <v>0.99801580000000001</v>
      </c>
      <c r="AB7196">
        <v>27</v>
      </c>
      <c r="AC7196">
        <v>-64.400800000000004</v>
      </c>
      <c r="AD7196">
        <v>-1.1104742359540001</v>
      </c>
      <c r="AE7196">
        <v>-3.54610000000002</v>
      </c>
      <c r="AF7196">
        <v>-4.0753959812184704</v>
      </c>
      <c r="AG7196">
        <v>-1.1104742359540001</v>
      </c>
      <c r="AH7196">
        <v>64.350320928337297</v>
      </c>
      <c r="AI7196">
        <v>90.986661684341001</v>
      </c>
      <c r="AJ7196">
        <v>93.623782325223203</v>
      </c>
      <c r="AK7196">
        <v>64.488803749274595</v>
      </c>
      <c r="AL7196">
        <v>88.431798686040494</v>
      </c>
      <c r="AM7196">
        <v>92.107240303178898</v>
      </c>
      <c r="AN7196">
        <v>1.0000000341425901</v>
      </c>
    </row>
    <row r="7197" spans="1:40" x14ac:dyDescent="0.25">
      <c r="A7197" t="str">
        <f>"20190312150833438"</f>
        <v>20190312150833438</v>
      </c>
      <c r="B7197" t="str">
        <f>"1552374513426793"</f>
        <v>1552374513426793</v>
      </c>
      <c r="C7197" t="s">
        <v>40</v>
      </c>
      <c r="D7197">
        <v>4.185975</v>
      </c>
      <c r="E7197">
        <v>0.49039549999999998</v>
      </c>
      <c r="F7197" t="s">
        <v>42</v>
      </c>
      <c r="G7197">
        <v>-384.46980000000002</v>
      </c>
      <c r="H7197" s="1">
        <v>-2.7613780000000002E-6</v>
      </c>
      <c r="I7197">
        <v>137.32380000000001</v>
      </c>
      <c r="J7197">
        <v>-316.82170000000002</v>
      </c>
      <c r="K7197">
        <v>1.1104810000000001</v>
      </c>
      <c r="L7197">
        <v>141.0307</v>
      </c>
      <c r="M7197">
        <v>-0.99985290000000004</v>
      </c>
      <c r="N7197">
        <v>0</v>
      </c>
      <c r="O7197">
        <v>8.2453950000000008E-3</v>
      </c>
      <c r="P7197">
        <v>-0.99953040000000004</v>
      </c>
      <c r="Q7197">
        <v>1.3053220000000001E-2</v>
      </c>
      <c r="R7197">
        <v>-2.7722460000000001E-2</v>
      </c>
      <c r="S7197">
        <v>-2.9973139999999998</v>
      </c>
      <c r="T7197">
        <v>-4.9017070000000003E-2</v>
      </c>
      <c r="U7197">
        <v>-0.16352839999999999</v>
      </c>
      <c r="V7197">
        <v>-3.5962389999999997E-2</v>
      </c>
      <c r="W7197">
        <v>2.8085659999999998E-2</v>
      </c>
      <c r="X7197">
        <v>0.99895840000000002</v>
      </c>
      <c r="Y7197">
        <v>-6.2700069999999997E-2</v>
      </c>
      <c r="Z7197">
        <v>-6.4702770000000002E-4</v>
      </c>
      <c r="AA7197">
        <v>0.99803220000000004</v>
      </c>
      <c r="AB7197">
        <v>26</v>
      </c>
      <c r="AC7197">
        <v>-67.648099999999999</v>
      </c>
      <c r="AD7197">
        <v>-1.1104837613779901</v>
      </c>
      <c r="AE7197">
        <v>-3.7068999999999899</v>
      </c>
      <c r="AF7197">
        <v>-4.2634769120429601</v>
      </c>
      <c r="AG7197">
        <v>-1.1104837613779901</v>
      </c>
      <c r="AH7197">
        <v>67.597070580375501</v>
      </c>
      <c r="AI7197">
        <v>90.939303513574004</v>
      </c>
      <c r="AJ7197">
        <v>93.608974209426904</v>
      </c>
      <c r="AK7197">
        <v>67.740492769185494</v>
      </c>
      <c r="AL7197">
        <v>88.3905985721549</v>
      </c>
      <c r="AM7197">
        <v>92.061751252342106</v>
      </c>
      <c r="AN7197">
        <v>0.99999999136135298</v>
      </c>
    </row>
    <row r="7198" spans="1:40" x14ac:dyDescent="0.25">
      <c r="A7198" t="str">
        <f>"20190312150833459"</f>
        <v>20190312150833459</v>
      </c>
      <c r="B7198" t="str">
        <f>"1552374513457050"</f>
        <v>1552374513457050</v>
      </c>
      <c r="C7198" t="s">
        <v>40</v>
      </c>
      <c r="D7198">
        <v>4.1349499999999999</v>
      </c>
      <c r="E7198">
        <v>0.4902859</v>
      </c>
      <c r="F7198" t="s">
        <v>42</v>
      </c>
      <c r="G7198">
        <v>-388.15789999999998</v>
      </c>
      <c r="H7198" s="1">
        <v>-1.264434E-6</v>
      </c>
      <c r="I7198">
        <v>137.16759999999999</v>
      </c>
      <c r="J7198">
        <v>-317.07299999999998</v>
      </c>
      <c r="K7198">
        <v>1.1104989999999999</v>
      </c>
      <c r="L7198">
        <v>141.03280000000001</v>
      </c>
      <c r="M7198">
        <v>-0.9998532</v>
      </c>
      <c r="N7198">
        <v>0</v>
      </c>
      <c r="O7198">
        <v>8.2302390000000003E-3</v>
      </c>
      <c r="P7198">
        <v>-0.99953749999999997</v>
      </c>
      <c r="Q7198">
        <v>1.348356E-2</v>
      </c>
      <c r="R7198">
        <v>-2.7265580000000001E-2</v>
      </c>
      <c r="S7198">
        <v>-2.997528</v>
      </c>
      <c r="T7198">
        <v>-4.6662210000000003E-2</v>
      </c>
      <c r="U7198">
        <v>-0.162323</v>
      </c>
      <c r="V7198">
        <v>-3.5491330000000001E-2</v>
      </c>
      <c r="W7198">
        <v>2.850892E-2</v>
      </c>
      <c r="X7198">
        <v>0.99896320000000005</v>
      </c>
      <c r="Y7198">
        <v>-6.228185E-2</v>
      </c>
      <c r="Z7198">
        <v>-6.1242169999999995E-4</v>
      </c>
      <c r="AA7198">
        <v>0.99805840000000001</v>
      </c>
      <c r="AB7198">
        <v>26</v>
      </c>
      <c r="AC7198">
        <v>-71.084900000000005</v>
      </c>
      <c r="AD7198">
        <v>-1.1105002644340001</v>
      </c>
      <c r="AE7198">
        <v>-3.86520000000001</v>
      </c>
      <c r="AF7198">
        <v>-4.4490982402033898</v>
      </c>
      <c r="AG7198">
        <v>-1.1105002644340001</v>
      </c>
      <c r="AH7198">
        <v>71.033392022160996</v>
      </c>
      <c r="AI7198">
        <v>90.893908984447904</v>
      </c>
      <c r="AJ7198">
        <v>93.583976257998202</v>
      </c>
      <c r="AK7198">
        <v>71.181250819034503</v>
      </c>
      <c r="AL7198">
        <v>88.366337751203602</v>
      </c>
      <c r="AM7198">
        <v>92.034758105976493</v>
      </c>
      <c r="AN7198">
        <v>0.99999993398948495</v>
      </c>
    </row>
    <row r="7199" spans="1:40" x14ac:dyDescent="0.25">
      <c r="A7199" t="str">
        <f>"20190312150833474"</f>
        <v>20190312150833474</v>
      </c>
      <c r="B7199" t="str">
        <f>"1552374513466810"</f>
        <v>1552374513466810</v>
      </c>
      <c r="C7199" t="s">
        <v>40</v>
      </c>
      <c r="D7199">
        <v>4.2049180000000002</v>
      </c>
      <c r="E7199">
        <v>0.49020350000000001</v>
      </c>
      <c r="F7199" t="s">
        <v>42</v>
      </c>
      <c r="G7199">
        <v>-390.7946</v>
      </c>
      <c r="H7199" s="1">
        <v>-4.3862310000000003E-6</v>
      </c>
      <c r="I7199">
        <v>137.05189999999999</v>
      </c>
      <c r="J7199">
        <v>-317.25150000000002</v>
      </c>
      <c r="K7199">
        <v>1.1105119999999999</v>
      </c>
      <c r="L7199">
        <v>141.0343</v>
      </c>
      <c r="M7199">
        <v>-0.99985349999999995</v>
      </c>
      <c r="N7199">
        <v>0</v>
      </c>
      <c r="O7199">
        <v>8.2014989999999992E-3</v>
      </c>
      <c r="P7199">
        <v>-0.99954509999999996</v>
      </c>
      <c r="Q7199">
        <v>1.3387049999999999E-2</v>
      </c>
      <c r="R7199">
        <v>-2.7027720000000002E-2</v>
      </c>
      <c r="S7199">
        <v>-2.9975890000000001</v>
      </c>
      <c r="T7199">
        <v>-4.5154090000000001E-2</v>
      </c>
      <c r="U7199">
        <v>-0.16186519999999999</v>
      </c>
      <c r="V7199">
        <v>-3.5226109999999998E-2</v>
      </c>
      <c r="W7199">
        <v>2.8407390000000001E-2</v>
      </c>
      <c r="X7199">
        <v>0.99897559999999996</v>
      </c>
      <c r="Y7199">
        <v>-6.210065E-2</v>
      </c>
      <c r="Z7199">
        <v>-5.9082449999999995E-4</v>
      </c>
      <c r="AA7199">
        <v>0.99806969999999995</v>
      </c>
      <c r="AB7199">
        <v>26</v>
      </c>
      <c r="AC7199">
        <v>-73.543099999999896</v>
      </c>
      <c r="AD7199">
        <v>-1.1105163862309999</v>
      </c>
      <c r="AE7199">
        <v>-3.9824000000000099</v>
      </c>
      <c r="AF7199">
        <v>-4.5844554993469</v>
      </c>
      <c r="AG7199">
        <v>-1.1105163862309999</v>
      </c>
      <c r="AH7199">
        <v>73.4912524232398</v>
      </c>
      <c r="AI7199">
        <v>90.864043619083304</v>
      </c>
      <c r="AJ7199">
        <v>93.569540856679694</v>
      </c>
      <c r="AK7199">
        <v>73.642478649254599</v>
      </c>
      <c r="AL7199">
        <v>88.372157544543995</v>
      </c>
      <c r="AM7199">
        <v>92.0195403343252</v>
      </c>
      <c r="AN7199">
        <v>1.0000000540138501</v>
      </c>
    </row>
    <row r="7200" spans="1:40" x14ac:dyDescent="0.25">
      <c r="A7200" t="str">
        <f>"20190312150833487"</f>
        <v>20190312150833487</v>
      </c>
      <c r="B7200" t="str">
        <f>"1552374513477546"</f>
        <v>1552374513477546</v>
      </c>
      <c r="C7200" t="s">
        <v>40</v>
      </c>
      <c r="D7200">
        <v>4.1329880000000001</v>
      </c>
      <c r="E7200">
        <v>0.49020350000000001</v>
      </c>
      <c r="F7200" t="s">
        <v>42</v>
      </c>
      <c r="G7200">
        <v>-390.33049999999997</v>
      </c>
      <c r="H7200" s="1">
        <v>-4.5782730000000002E-6</v>
      </c>
      <c r="I7200">
        <v>137.0917</v>
      </c>
      <c r="J7200">
        <v>-317.39940000000001</v>
      </c>
      <c r="K7200">
        <v>1.110525</v>
      </c>
      <c r="L7200">
        <v>141.03550000000001</v>
      </c>
      <c r="M7200">
        <v>-0.99985369999999996</v>
      </c>
      <c r="N7200">
        <v>0</v>
      </c>
      <c r="O7200">
        <v>8.1684110000000004E-3</v>
      </c>
      <c r="P7200">
        <v>-0.99956120000000004</v>
      </c>
      <c r="Q7200">
        <v>1.3562919999999999E-2</v>
      </c>
      <c r="R7200">
        <v>-2.633688E-2</v>
      </c>
      <c r="S7200">
        <v>-2.9975890000000001</v>
      </c>
      <c r="T7200">
        <v>-4.5551660000000001E-2</v>
      </c>
      <c r="U7200">
        <v>-0.16171259999999901</v>
      </c>
      <c r="V7200">
        <v>-3.450284E-2</v>
      </c>
      <c r="W7200">
        <v>2.8579460000000001E-2</v>
      </c>
      <c r="X7200">
        <v>0.99899590000000005</v>
      </c>
      <c r="Y7200">
        <v>-6.2016839999999997E-2</v>
      </c>
      <c r="Z7200">
        <v>-5.9488789999999998E-4</v>
      </c>
      <c r="AA7200">
        <v>0.99807489999999999</v>
      </c>
      <c r="AB7200">
        <v>26</v>
      </c>
      <c r="AC7200">
        <v>-72.931099999999901</v>
      </c>
      <c r="AD7200">
        <v>-1.110529578273</v>
      </c>
      <c r="AE7200">
        <v>-3.9438</v>
      </c>
      <c r="AF7200">
        <v>-4.5384176516880501</v>
      </c>
      <c r="AG7200">
        <v>-1.110529578273</v>
      </c>
      <c r="AH7200">
        <v>72.879599162421599</v>
      </c>
      <c r="AI7200">
        <v>90.871310323498193</v>
      </c>
      <c r="AJ7200">
        <v>93.563367986008203</v>
      </c>
      <c r="AK7200">
        <v>73.029216651971694</v>
      </c>
      <c r="AL7200">
        <v>88.362294599803107</v>
      </c>
      <c r="AM7200">
        <v>91.978067824330594</v>
      </c>
      <c r="AN7200">
        <v>1.0000000198593799</v>
      </c>
    </row>
    <row r="7201" spans="1:40" x14ac:dyDescent="0.25">
      <c r="A7201" t="str">
        <f>"20190312150833517"</f>
        <v>20190312150833517</v>
      </c>
      <c r="B7201" t="str">
        <f>"1552374513507362"</f>
        <v>1552374513507362</v>
      </c>
      <c r="C7201" t="s">
        <v>40</v>
      </c>
      <c r="D7201">
        <v>4.2104330000000001</v>
      </c>
      <c r="E7201">
        <v>0.4900313</v>
      </c>
      <c r="F7201" t="s">
        <v>42</v>
      </c>
      <c r="G7201">
        <v>-391.33879999999999</v>
      </c>
      <c r="H7201" s="1">
        <v>-4.1452800000000002E-6</v>
      </c>
      <c r="I7201">
        <v>137.0941</v>
      </c>
      <c r="J7201">
        <v>-317.74189999999999</v>
      </c>
      <c r="K7201">
        <v>1.110557</v>
      </c>
      <c r="L7201">
        <v>141.03819999999999</v>
      </c>
      <c r="M7201">
        <v>-0.99985489999999999</v>
      </c>
      <c r="N7201">
        <v>0</v>
      </c>
      <c r="O7201">
        <v>8.0481909999999997E-3</v>
      </c>
      <c r="P7201">
        <v>-0.99957530000000006</v>
      </c>
      <c r="Q7201">
        <v>1.3413120000000001E-2</v>
      </c>
      <c r="R7201">
        <v>-2.5877850000000001E-2</v>
      </c>
      <c r="S7201">
        <v>-2.9977109999999998</v>
      </c>
      <c r="T7201">
        <v>-4.5023920000000002E-2</v>
      </c>
      <c r="U7201">
        <v>-0.15978999999999999</v>
      </c>
      <c r="V7201">
        <v>-3.3926110000000002E-2</v>
      </c>
      <c r="W7201">
        <v>2.841931E-2</v>
      </c>
      <c r="X7201">
        <v>0.99902020000000002</v>
      </c>
      <c r="Y7201">
        <v>-6.1256619999999998E-2</v>
      </c>
      <c r="Z7201">
        <v>-5.8047350000000003E-4</v>
      </c>
      <c r="AA7201">
        <v>0.99812190000000001</v>
      </c>
      <c r="AB7201">
        <v>26</v>
      </c>
      <c r="AC7201">
        <v>-73.596900000000005</v>
      </c>
      <c r="AD7201">
        <v>-1.1105611452799999</v>
      </c>
      <c r="AE7201">
        <v>-3.9440999999999899</v>
      </c>
      <c r="AF7201">
        <v>-4.5353311642432201</v>
      </c>
      <c r="AG7201">
        <v>-1.1105611452799999</v>
      </c>
      <c r="AH7201">
        <v>73.546070822125799</v>
      </c>
      <c r="AI7201">
        <v>90.863472594655093</v>
      </c>
      <c r="AJ7201">
        <v>93.528763559475493</v>
      </c>
      <c r="AK7201">
        <v>73.6941456847144</v>
      </c>
      <c r="AL7201">
        <v>88.3714742135259</v>
      </c>
      <c r="AM7201">
        <v>91.944981896908899</v>
      </c>
      <c r="AN7201">
        <v>0.99999999906432402</v>
      </c>
    </row>
    <row r="7202" spans="1:40" x14ac:dyDescent="0.25">
      <c r="A7202" t="str">
        <f>"20190312150833538"</f>
        <v>20190312150833538</v>
      </c>
      <c r="B7202" t="str">
        <f>"1552374513526868"</f>
        <v>1552374513526868</v>
      </c>
      <c r="C7202" t="s">
        <v>40</v>
      </c>
      <c r="D7202">
        <v>4.1941870000000003</v>
      </c>
      <c r="E7202">
        <v>0.48994130000000002</v>
      </c>
      <c r="F7202" t="s">
        <v>42</v>
      </c>
      <c r="G7202">
        <v>-391.26979999999998</v>
      </c>
      <c r="H7202" s="1">
        <v>-4.1706579999999998E-6</v>
      </c>
      <c r="I7202">
        <v>137.11799999999999</v>
      </c>
      <c r="J7202">
        <v>-317.99740000000003</v>
      </c>
      <c r="K7202">
        <v>1.1105879999999999</v>
      </c>
      <c r="L7202">
        <v>141.0401</v>
      </c>
      <c r="M7202">
        <v>-0.99985590000000002</v>
      </c>
      <c r="N7202">
        <v>0</v>
      </c>
      <c r="O7202">
        <v>7.9273909999999902E-3</v>
      </c>
      <c r="P7202">
        <v>-0.99957090000000004</v>
      </c>
      <c r="Q7202">
        <v>1.367614E-2</v>
      </c>
      <c r="R7202">
        <v>-2.5907050000000001E-2</v>
      </c>
      <c r="S7202">
        <v>-2.9977420000000001</v>
      </c>
      <c r="T7202">
        <v>-4.5277709999999999E-2</v>
      </c>
      <c r="U7202">
        <v>-0.15982060000000001</v>
      </c>
      <c r="V7202">
        <v>-3.3835839999999999E-2</v>
      </c>
      <c r="W7202">
        <v>2.8673359999999998E-2</v>
      </c>
      <c r="X7202">
        <v>0.99901600000000002</v>
      </c>
      <c r="Y7202">
        <v>-6.1145560000000002E-2</v>
      </c>
      <c r="Z7202">
        <v>-5.810775E-4</v>
      </c>
      <c r="AA7202">
        <v>0.99812869999999998</v>
      </c>
      <c r="AB7202">
        <v>26</v>
      </c>
      <c r="AC7202">
        <v>-73.272399999999905</v>
      </c>
      <c r="AD7202">
        <v>-1.110592170658</v>
      </c>
      <c r="AE7202">
        <v>-3.9220999999999999</v>
      </c>
      <c r="AF7202">
        <v>-4.5018698653671798</v>
      </c>
      <c r="AG7202">
        <v>-1.110592170658</v>
      </c>
      <c r="AH7202">
        <v>73.222227877447494</v>
      </c>
      <c r="AI7202">
        <v>90.867324954753997</v>
      </c>
      <c r="AJ7202">
        <v>93.518246816905005</v>
      </c>
      <c r="AK7202">
        <v>73.368896015894094</v>
      </c>
      <c r="AL7202">
        <v>88.356912282793999</v>
      </c>
      <c r="AM7202">
        <v>91.939818831103906</v>
      </c>
      <c r="AN7202">
        <v>0.99999999694909703</v>
      </c>
    </row>
    <row r="7203" spans="1:40" x14ac:dyDescent="0.25">
      <c r="A7203" t="str">
        <f>"20190312150833561"</f>
        <v>20190312150833561</v>
      </c>
      <c r="B7203" t="str">
        <f>"1552374513557125"</f>
        <v>1552374513557125</v>
      </c>
      <c r="C7203" t="s">
        <v>40</v>
      </c>
      <c r="D7203">
        <v>4.3957259999999998</v>
      </c>
      <c r="E7203">
        <v>0.48975800000000003</v>
      </c>
      <c r="F7203" t="s">
        <v>42</v>
      </c>
      <c r="G7203">
        <v>-393.03149999999999</v>
      </c>
      <c r="H7203" s="1">
        <v>-3.4327219999999999E-6</v>
      </c>
      <c r="I7203">
        <v>137.01750000000001</v>
      </c>
      <c r="J7203">
        <v>-318.25510000000003</v>
      </c>
      <c r="K7203">
        <v>1.1106130000000001</v>
      </c>
      <c r="L7203">
        <v>141.042</v>
      </c>
      <c r="M7203">
        <v>-0.9998572</v>
      </c>
      <c r="N7203">
        <v>0</v>
      </c>
      <c r="O7203">
        <v>7.77845599999999E-3</v>
      </c>
      <c r="P7203">
        <v>-0.99957039999999997</v>
      </c>
      <c r="Q7203">
        <v>1.3468030000000001E-2</v>
      </c>
      <c r="R7203">
        <v>-2.6033669999999998E-2</v>
      </c>
      <c r="S7203">
        <v>-2.9977420000000001</v>
      </c>
      <c r="T7203">
        <v>-4.4370060000000003E-2</v>
      </c>
      <c r="U7203">
        <v>-0.1607056</v>
      </c>
      <c r="V7203">
        <v>-3.3815560000000001E-2</v>
      </c>
      <c r="W7203">
        <v>2.8457920000000001E-2</v>
      </c>
      <c r="X7203">
        <v>0.99902279999999999</v>
      </c>
      <c r="Y7203">
        <v>-6.1291039999999998E-2</v>
      </c>
      <c r="Z7203">
        <v>-5.6829859999999995E-4</v>
      </c>
      <c r="AA7203">
        <v>0.9981198</v>
      </c>
      <c r="AB7203">
        <v>26</v>
      </c>
      <c r="AC7203">
        <v>-74.776399999999896</v>
      </c>
      <c r="AD7203">
        <v>-1.1106164327219901</v>
      </c>
      <c r="AE7203">
        <v>-4.0244999999999802</v>
      </c>
      <c r="AF7203">
        <v>-4.6050756954628902</v>
      </c>
      <c r="AG7203">
        <v>-1.1106164327219901</v>
      </c>
      <c r="AH7203">
        <v>74.726392600132002</v>
      </c>
      <c r="AI7203">
        <v>90.849880274390898</v>
      </c>
      <c r="AJ7203">
        <v>93.526440101457396</v>
      </c>
      <c r="AK7203">
        <v>74.876391085913298</v>
      </c>
      <c r="AL7203">
        <v>88.369261048527804</v>
      </c>
      <c r="AM7203">
        <v>91.938643874401095</v>
      </c>
      <c r="AN7203">
        <v>0.99999995011433795</v>
      </c>
    </row>
    <row r="7204" spans="1:40" x14ac:dyDescent="0.25">
      <c r="A7204" t="str">
        <f>"20190312150833583"</f>
        <v>20190312150833583</v>
      </c>
      <c r="B7204" t="str">
        <f>"1552374513577620"</f>
        <v>1552374513577620</v>
      </c>
      <c r="C7204" t="s">
        <v>40</v>
      </c>
      <c r="D7204">
        <v>4.2077679999999997</v>
      </c>
      <c r="E7204">
        <v>0.4895139</v>
      </c>
      <c r="F7204" t="s">
        <v>42</v>
      </c>
      <c r="G7204">
        <v>-394.29649999999998</v>
      </c>
      <c r="H7204" s="1">
        <v>-2.9071079999999999E-6</v>
      </c>
      <c r="I7204">
        <v>136.9212</v>
      </c>
      <c r="J7204">
        <v>-318.5154</v>
      </c>
      <c r="K7204">
        <v>1.1106320000000001</v>
      </c>
      <c r="L7204">
        <v>141.04390000000001</v>
      </c>
      <c r="M7204">
        <v>-0.99985849999999998</v>
      </c>
      <c r="N7204">
        <v>0</v>
      </c>
      <c r="O7204">
        <v>7.6016410000000001E-3</v>
      </c>
      <c r="P7204">
        <v>-0.99958150000000001</v>
      </c>
      <c r="Q7204">
        <v>1.282468E-2</v>
      </c>
      <c r="R7204">
        <v>-2.5928710000000001E-2</v>
      </c>
      <c r="S7204">
        <v>-2.997681</v>
      </c>
      <c r="T7204">
        <v>-4.3782349999999998E-2</v>
      </c>
      <c r="U7204">
        <v>-0.16244510000000001</v>
      </c>
      <c r="V7204">
        <v>-3.353511E-2</v>
      </c>
      <c r="W7204">
        <v>2.7807289999999998E-2</v>
      </c>
      <c r="X7204">
        <v>0.99905060000000001</v>
      </c>
      <c r="Y7204">
        <v>-6.16933E-2</v>
      </c>
      <c r="Z7204">
        <v>-5.6112899999999995E-4</v>
      </c>
      <c r="AA7204">
        <v>0.99809499999999995</v>
      </c>
      <c r="AB7204">
        <v>26</v>
      </c>
      <c r="AC7204">
        <v>-75.781099999999896</v>
      </c>
      <c r="AD7204">
        <v>-1.1106349071079999</v>
      </c>
      <c r="AE7204">
        <v>-4.1227</v>
      </c>
      <c r="AF7204">
        <v>-4.6977003899873697</v>
      </c>
      <c r="AG7204">
        <v>-1.1106349071079999</v>
      </c>
      <c r="AH7204">
        <v>75.731348568670796</v>
      </c>
      <c r="AI7204">
        <v>90.838596989903607</v>
      </c>
      <c r="AJ7204">
        <v>93.549573297576103</v>
      </c>
      <c r="AK7204">
        <v>75.885038412591499</v>
      </c>
      <c r="AL7204">
        <v>88.406554204626104</v>
      </c>
      <c r="AM7204">
        <v>91.922524352267402</v>
      </c>
      <c r="AN7204">
        <v>0.99999997517010697</v>
      </c>
    </row>
    <row r="7205" spans="1:40" x14ac:dyDescent="0.25">
      <c r="A7205" t="str">
        <f>"20190312150833606"</f>
        <v>20190312150833606</v>
      </c>
      <c r="B7205" t="str">
        <f>"1552374513597144"</f>
        <v>1552374513597144</v>
      </c>
      <c r="C7205" t="s">
        <v>40</v>
      </c>
      <c r="D7205">
        <v>4.1624429999999997</v>
      </c>
      <c r="E7205">
        <v>0.47681829999999997</v>
      </c>
      <c r="F7205" t="s">
        <v>42</v>
      </c>
      <c r="G7205">
        <v>-391.28789999999998</v>
      </c>
      <c r="H7205" s="1">
        <v>-4.1740049999999997E-6</v>
      </c>
      <c r="I7205">
        <v>137.05529999999999</v>
      </c>
      <c r="J7205">
        <v>-318.7824</v>
      </c>
      <c r="K7205">
        <v>1.110644</v>
      </c>
      <c r="L7205">
        <v>141.04570000000001</v>
      </c>
      <c r="M7205">
        <v>-0.99986030000000004</v>
      </c>
      <c r="N7205">
        <v>0</v>
      </c>
      <c r="O7205">
        <v>7.3952159999999996E-3</v>
      </c>
      <c r="P7205">
        <v>-0.99960329999999997</v>
      </c>
      <c r="Q7205">
        <v>1.20264E-2</v>
      </c>
      <c r="R7205">
        <v>-2.5473240000000001E-2</v>
      </c>
      <c r="S7205">
        <v>-2.9975890000000001</v>
      </c>
      <c r="T7205">
        <v>-4.5748469999999999E-2</v>
      </c>
      <c r="U7205">
        <v>-0.1642914</v>
      </c>
      <c r="V7205">
        <v>-3.2873659999999999E-2</v>
      </c>
      <c r="W7205">
        <v>2.700222E-2</v>
      </c>
      <c r="X7205">
        <v>0.9990947</v>
      </c>
      <c r="Y7205">
        <v>-6.2101099999999999E-2</v>
      </c>
      <c r="Z7205">
        <v>-5.8629349999999897E-4</v>
      </c>
      <c r="AA7205">
        <v>0.99806969999999995</v>
      </c>
      <c r="AB7205">
        <v>26</v>
      </c>
      <c r="AC7205">
        <v>-72.505499999999898</v>
      </c>
      <c r="AD7205">
        <v>-1.110648174005</v>
      </c>
      <c r="AE7205">
        <v>-3.9904000000000202</v>
      </c>
      <c r="AF7205">
        <v>-4.5254862653467098</v>
      </c>
      <c r="AG7205">
        <v>-1.110648174005</v>
      </c>
      <c r="AH7205">
        <v>72.457053370795606</v>
      </c>
      <c r="AI7205">
        <v>90.876474252008606</v>
      </c>
      <c r="AJ7205">
        <v>93.573908658279706</v>
      </c>
      <c r="AK7205">
        <v>72.606736247283493</v>
      </c>
      <c r="AL7205">
        <v>88.452698702768302</v>
      </c>
      <c r="AM7205">
        <v>91.884548774912005</v>
      </c>
      <c r="AN7205">
        <v>1.0000000084873999</v>
      </c>
    </row>
    <row r="7206" spans="1:40" x14ac:dyDescent="0.25">
      <c r="A7206" t="str">
        <f>"20190312150833628"</f>
        <v>20190312150833628</v>
      </c>
      <c r="B7206" t="str">
        <f>"1552374513616660"</f>
        <v>1552374513616660</v>
      </c>
      <c r="C7206" t="s">
        <v>40</v>
      </c>
      <c r="D7206">
        <v>4.4188589999999897</v>
      </c>
      <c r="E7206">
        <v>0.47676580000000002</v>
      </c>
      <c r="F7206" t="s">
        <v>42</v>
      </c>
      <c r="G7206">
        <v>-371.17649999999998</v>
      </c>
      <c r="H7206" s="1">
        <v>-4.3359229999999999E-6</v>
      </c>
      <c r="I7206">
        <v>136.41220000000001</v>
      </c>
      <c r="J7206">
        <v>-319.03250000000003</v>
      </c>
      <c r="K7206">
        <v>1.1106640000000001</v>
      </c>
      <c r="L7206">
        <v>141.04730000000001</v>
      </c>
      <c r="M7206">
        <v>-0.99986189999999997</v>
      </c>
      <c r="N7206">
        <v>0</v>
      </c>
      <c r="O7206">
        <v>7.183956E-3</v>
      </c>
      <c r="P7206">
        <v>-0.99961860000000002</v>
      </c>
      <c r="Q7206">
        <v>1.178968E-2</v>
      </c>
      <c r="R7206">
        <v>-2.498123E-2</v>
      </c>
      <c r="S7206">
        <v>-2.995209</v>
      </c>
      <c r="T7206">
        <v>-6.3492419999999994E-2</v>
      </c>
      <c r="U7206">
        <v>-0.26487729999999998</v>
      </c>
      <c r="V7206">
        <v>-3.2171159999999997E-2</v>
      </c>
      <c r="W7206">
        <v>2.6759109999999999E-2</v>
      </c>
      <c r="X7206">
        <v>0.99912409999999996</v>
      </c>
      <c r="Y7206">
        <v>-9.5221630000000002E-2</v>
      </c>
      <c r="Z7206">
        <v>-1.159176E-3</v>
      </c>
      <c r="AA7206">
        <v>0.99545539999999999</v>
      </c>
      <c r="AB7206">
        <v>26</v>
      </c>
      <c r="AC7206">
        <v>-52.143999999999899</v>
      </c>
      <c r="AD7206">
        <v>-1.1106683359229901</v>
      </c>
      <c r="AE7206">
        <v>-4.6350999999999898</v>
      </c>
      <c r="AF7206">
        <v>-5.0073686478414103</v>
      </c>
      <c r="AG7206">
        <v>-1.1106683359229901</v>
      </c>
      <c r="AH7206">
        <v>52.085906383260202</v>
      </c>
      <c r="AI7206">
        <v>91.215972831421297</v>
      </c>
      <c r="AJ7206">
        <v>95.491352778762206</v>
      </c>
      <c r="AK7206">
        <v>52.3378349637578</v>
      </c>
      <c r="AL7206">
        <v>88.466632902297206</v>
      </c>
      <c r="AM7206">
        <v>91.844250430900402</v>
      </c>
      <c r="AN7206">
        <v>1.00000000035227</v>
      </c>
    </row>
    <row r="7207" spans="1:40" x14ac:dyDescent="0.25">
      <c r="A7207" t="str">
        <f>"20190312150833649"</f>
        <v>20190312150833649</v>
      </c>
      <c r="B7207" t="str">
        <f>"1552374513637156"</f>
        <v>1552374513637156</v>
      </c>
      <c r="C7207" t="s">
        <v>40</v>
      </c>
      <c r="D7207">
        <v>4.7258019999999998</v>
      </c>
      <c r="E7207">
        <v>0.47749589999999997</v>
      </c>
      <c r="F7207" t="s">
        <v>42</v>
      </c>
      <c r="G7207">
        <v>-371.85899999999998</v>
      </c>
      <c r="H7207" s="1">
        <v>-4.0463539999999999E-6</v>
      </c>
      <c r="I7207">
        <v>136.39400000000001</v>
      </c>
      <c r="J7207">
        <v>-319.286</v>
      </c>
      <c r="K7207">
        <v>1.1106739999999999</v>
      </c>
      <c r="L7207">
        <v>141.0489</v>
      </c>
      <c r="M7207">
        <v>-0.99986359999999996</v>
      </c>
      <c r="N7207">
        <v>0</v>
      </c>
      <c r="O7207">
        <v>6.958428E-3</v>
      </c>
      <c r="P7207">
        <v>-0.99962649999999997</v>
      </c>
      <c r="Q7207">
        <v>1.15263E-2</v>
      </c>
      <c r="R7207">
        <v>-2.4782350000000002E-2</v>
      </c>
      <c r="S7207">
        <v>-2.9952700000000001</v>
      </c>
      <c r="T7207">
        <v>-6.2975050000000005E-2</v>
      </c>
      <c r="U7207">
        <v>-0.26383970000000001</v>
      </c>
      <c r="V7207">
        <v>-3.1747850000000001E-2</v>
      </c>
      <c r="W7207">
        <v>2.648932E-2</v>
      </c>
      <c r="X7207">
        <v>0.9991449</v>
      </c>
      <c r="Y7207">
        <v>-9.4653669999999995E-2</v>
      </c>
      <c r="Z7207">
        <v>-1.139035E-3</v>
      </c>
      <c r="AA7207">
        <v>0.99550959999999999</v>
      </c>
      <c r="AB7207">
        <v>26</v>
      </c>
      <c r="AC7207">
        <v>-52.573</v>
      </c>
      <c r="AD7207">
        <v>-1.110678046354</v>
      </c>
      <c r="AE7207">
        <v>-4.6548999999999898</v>
      </c>
      <c r="AF7207">
        <v>-5.0184313330925399</v>
      </c>
      <c r="AG7207">
        <v>-1.110678046354</v>
      </c>
      <c r="AH7207">
        <v>52.516075600428202</v>
      </c>
      <c r="AI7207">
        <v>91.206092113489504</v>
      </c>
      <c r="AJ7207">
        <v>95.458604227592701</v>
      </c>
      <c r="AK7207">
        <v>52.767001575203402</v>
      </c>
      <c r="AL7207">
        <v>88.482096318931696</v>
      </c>
      <c r="AM7207">
        <v>91.819962242294395</v>
      </c>
      <c r="AN7207">
        <v>1.00000007062484</v>
      </c>
    </row>
    <row r="7208" spans="1:40" x14ac:dyDescent="0.25">
      <c r="A7208" t="str">
        <f>"20190312150833672"</f>
        <v>20190312150833672</v>
      </c>
      <c r="B7208" t="str">
        <f>"1552374513667413"</f>
        <v>1552374513667413</v>
      </c>
      <c r="C7208" t="s">
        <v>40</v>
      </c>
      <c r="D7208">
        <v>4.1705420000000002</v>
      </c>
      <c r="E7208">
        <v>0.47738989999999998</v>
      </c>
      <c r="F7208" t="s">
        <v>42</v>
      </c>
      <c r="G7208">
        <v>-379.60820000000001</v>
      </c>
      <c r="H7208" s="1">
        <v>-1.115879E-6</v>
      </c>
      <c r="I7208">
        <v>135.87110000000001</v>
      </c>
      <c r="J7208">
        <v>-319.54820000000001</v>
      </c>
      <c r="K7208">
        <v>1.110681</v>
      </c>
      <c r="L7208">
        <v>141.0505</v>
      </c>
      <c r="M7208">
        <v>-0.99986540000000002</v>
      </c>
      <c r="N7208">
        <v>0</v>
      </c>
      <c r="O7208">
        <v>6.7147329999999996E-3</v>
      </c>
      <c r="P7208">
        <v>-0.99962569999999995</v>
      </c>
      <c r="Q7208">
        <v>1.124005E-2</v>
      </c>
      <c r="R7208">
        <v>-2.4949619999999999E-2</v>
      </c>
      <c r="S7208">
        <v>-2.995422</v>
      </c>
      <c r="T7208">
        <v>-5.5152890000000003E-2</v>
      </c>
      <c r="U7208">
        <v>-0.25711060000000002</v>
      </c>
      <c r="V7208">
        <v>-3.1671860000000003E-2</v>
      </c>
      <c r="W7208">
        <v>2.6196170000000001E-2</v>
      </c>
      <c r="X7208">
        <v>0.99915500000000002</v>
      </c>
      <c r="Y7208">
        <v>-9.2192350000000006E-2</v>
      </c>
      <c r="Z7208">
        <v>-9.7053099999999995E-4</v>
      </c>
      <c r="AA7208">
        <v>0.99574079999999998</v>
      </c>
      <c r="AB7208">
        <v>26</v>
      </c>
      <c r="AC7208">
        <v>-60.06</v>
      </c>
      <c r="AD7208">
        <v>-1.1106821158789999</v>
      </c>
      <c r="AE7208">
        <v>-5.1793999999999798</v>
      </c>
      <c r="AF7208">
        <v>-5.5807208255008103</v>
      </c>
      <c r="AG7208">
        <v>-1.1106821158789999</v>
      </c>
      <c r="AH7208">
        <v>60.003494611815</v>
      </c>
      <c r="AI7208">
        <v>91.055884472373705</v>
      </c>
      <c r="AJ7208">
        <v>95.313599361751002</v>
      </c>
      <c r="AK7208">
        <v>60.272692202396499</v>
      </c>
      <c r="AL7208">
        <v>88.498898345454705</v>
      </c>
      <c r="AM7208">
        <v>91.815590653675102</v>
      </c>
      <c r="AN7208">
        <v>1.00000003003176</v>
      </c>
    </row>
    <row r="7209" spans="1:40" x14ac:dyDescent="0.25">
      <c r="A7209" t="str">
        <f>"20190312150833694"</f>
        <v>20190312150833694</v>
      </c>
      <c r="B7209" t="str">
        <f>"1552374513686932"</f>
        <v>1552374513686932</v>
      </c>
      <c r="C7209" t="s">
        <v>40</v>
      </c>
      <c r="D7209">
        <v>4.1366149999999999</v>
      </c>
      <c r="E7209">
        <v>0.47719119999999998</v>
      </c>
      <c r="F7209" t="s">
        <v>42</v>
      </c>
      <c r="G7209">
        <v>-383.59960000000001</v>
      </c>
      <c r="H7209" s="1">
        <v>-3.4544220000000001E-6</v>
      </c>
      <c r="I7209">
        <v>135.5213</v>
      </c>
      <c r="J7209">
        <v>-319.8073</v>
      </c>
      <c r="K7209">
        <v>1.1106879999999999</v>
      </c>
      <c r="L7209">
        <v>141.05189999999999</v>
      </c>
      <c r="M7209">
        <v>-0.99986699999999995</v>
      </c>
      <c r="N7209">
        <v>0</v>
      </c>
      <c r="O7209">
        <v>6.4637779999999999E-3</v>
      </c>
      <c r="P7209">
        <v>-0.99963559999999996</v>
      </c>
      <c r="Q7209">
        <v>1.067217E-2</v>
      </c>
      <c r="R7209">
        <v>-2.4788259999999999E-2</v>
      </c>
      <c r="S7209">
        <v>-2.9952700000000001</v>
      </c>
      <c r="T7209">
        <v>-5.1939609999999997E-2</v>
      </c>
      <c r="U7209">
        <v>-0.25856020000000002</v>
      </c>
      <c r="V7209">
        <v>-3.1259729999999999E-2</v>
      </c>
      <c r="W7209">
        <v>2.5621769999999999E-2</v>
      </c>
      <c r="X7209">
        <v>0.99918280000000004</v>
      </c>
      <c r="Y7209">
        <v>-9.2426999999999995E-2</v>
      </c>
      <c r="Z7209">
        <v>-9.1170900000000002E-4</v>
      </c>
      <c r="AA7209">
        <v>0.99571909999999997</v>
      </c>
      <c r="AB7209">
        <v>26</v>
      </c>
      <c r="AC7209">
        <v>-63.792299999999997</v>
      </c>
      <c r="AD7209">
        <v>-1.1106914544219999</v>
      </c>
      <c r="AE7209">
        <v>-5.53059999999999</v>
      </c>
      <c r="AF7209">
        <v>-5.9410823611082701</v>
      </c>
      <c r="AG7209">
        <v>-1.1106914544219999</v>
      </c>
      <c r="AH7209">
        <v>63.736037358071201</v>
      </c>
      <c r="AI7209">
        <v>90.994051355063306</v>
      </c>
      <c r="AJ7209">
        <v>95.3253728697253</v>
      </c>
      <c r="AK7209">
        <v>64.021969301466001</v>
      </c>
      <c r="AL7209">
        <v>88.531819984778593</v>
      </c>
      <c r="AM7209">
        <v>91.791930964565793</v>
      </c>
      <c r="AN7209">
        <v>0.99999995681672105</v>
      </c>
    </row>
    <row r="7210" spans="1:40" x14ac:dyDescent="0.25">
      <c r="A7210" t="str">
        <f>"20190312150833717"</f>
        <v>20190312150833717</v>
      </c>
      <c r="B7210" t="str">
        <f>"1552374513707429"</f>
        <v>1552374513707429</v>
      </c>
      <c r="C7210" t="s">
        <v>40</v>
      </c>
      <c r="D7210">
        <v>4.617731</v>
      </c>
      <c r="E7210">
        <v>0.47729169999999999</v>
      </c>
      <c r="F7210" t="s">
        <v>42</v>
      </c>
      <c r="G7210">
        <v>-380.82440000000003</v>
      </c>
      <c r="H7210" s="1">
        <v>-4.6021060000000001E-6</v>
      </c>
      <c r="I7210">
        <v>135.7629</v>
      </c>
      <c r="J7210">
        <v>-320.05919999999998</v>
      </c>
      <c r="K7210">
        <v>1.110695</v>
      </c>
      <c r="L7210">
        <v>141.05330000000001</v>
      </c>
      <c r="M7210">
        <v>-0.9998688</v>
      </c>
      <c r="N7210">
        <v>0</v>
      </c>
      <c r="O7210">
        <v>6.2089500000000004E-3</v>
      </c>
      <c r="P7210">
        <v>-0.9996353</v>
      </c>
      <c r="Q7210">
        <v>1.146721E-2</v>
      </c>
      <c r="R7210">
        <v>-2.445483E-2</v>
      </c>
      <c r="S7210">
        <v>-2.9952700000000001</v>
      </c>
      <c r="T7210">
        <v>-5.4522870000000001E-2</v>
      </c>
      <c r="U7210">
        <v>-0.25962829999999998</v>
      </c>
      <c r="V7210">
        <v>-3.067259E-2</v>
      </c>
      <c r="W7210">
        <v>2.641019E-2</v>
      </c>
      <c r="X7210">
        <v>0.99918050000000003</v>
      </c>
      <c r="Y7210">
        <v>-9.2524190000000006E-2</v>
      </c>
      <c r="Z7210">
        <v>-9.5328389999999995E-4</v>
      </c>
      <c r="AA7210">
        <v>0.99570999999999998</v>
      </c>
      <c r="AB7210">
        <v>26</v>
      </c>
      <c r="AC7210">
        <v>-60.7652</v>
      </c>
      <c r="AD7210">
        <v>-1.1106996021060001</v>
      </c>
      <c r="AE7210">
        <v>-5.2904</v>
      </c>
      <c r="AF7210">
        <v>-5.6657496046871199</v>
      </c>
      <c r="AG7210">
        <v>-1.1106996021060001</v>
      </c>
      <c r="AH7210">
        <v>60.711045651272102</v>
      </c>
      <c r="AI7210">
        <v>91.043567420941699</v>
      </c>
      <c r="AJ7210">
        <v>95.3315838116538</v>
      </c>
      <c r="AK7210">
        <v>60.984960738365402</v>
      </c>
      <c r="AL7210">
        <v>88.486631596441995</v>
      </c>
      <c r="AM7210">
        <v>91.758299159083094</v>
      </c>
      <c r="AN7210">
        <v>0.99999998874669704</v>
      </c>
    </row>
    <row r="7211" spans="1:40" x14ac:dyDescent="0.25">
      <c r="A7211" t="str">
        <f>"20190312150833739"</f>
        <v>20190312150833739</v>
      </c>
      <c r="B7211" t="str">
        <f>"1552374513726952"</f>
        <v>1552374513726952</v>
      </c>
      <c r="C7211" t="s">
        <v>40</v>
      </c>
      <c r="D7211">
        <v>4.1828059999999896</v>
      </c>
      <c r="E7211">
        <v>0.47725260000000003</v>
      </c>
      <c r="F7211" t="s">
        <v>42</v>
      </c>
      <c r="G7211">
        <v>-388.55279999999999</v>
      </c>
      <c r="H7211" s="1">
        <v>-1.6642019999999999E-6</v>
      </c>
      <c r="I7211">
        <v>135.1601</v>
      </c>
      <c r="J7211">
        <v>-320.31369999999998</v>
      </c>
      <c r="K7211">
        <v>1.1107039999999999</v>
      </c>
      <c r="L7211">
        <v>141.05459999999999</v>
      </c>
      <c r="M7211">
        <v>-0.9998707</v>
      </c>
      <c r="N7211">
        <v>0</v>
      </c>
      <c r="O7211">
        <v>5.9389159999999998E-3</v>
      </c>
      <c r="P7211">
        <v>-0.99964410000000004</v>
      </c>
      <c r="Q7211">
        <v>1.2303440000000001E-2</v>
      </c>
      <c r="R7211">
        <v>-2.3680940000000001E-2</v>
      </c>
      <c r="S7211">
        <v>-2.9953919999999998</v>
      </c>
      <c r="T7211">
        <v>-4.8573489999999997E-2</v>
      </c>
      <c r="U7211">
        <v>-0.25772089999999998</v>
      </c>
      <c r="V7211">
        <v>-2.9629450000000002E-2</v>
      </c>
      <c r="W7211">
        <v>2.7240070000000002E-2</v>
      </c>
      <c r="X7211">
        <v>0.99918969999999896</v>
      </c>
      <c r="Y7211">
        <v>-9.1625899999999996E-2</v>
      </c>
      <c r="Z7211">
        <v>-8.3762619999999904E-4</v>
      </c>
      <c r="AA7211">
        <v>0.99579320000000004</v>
      </c>
      <c r="AB7211">
        <v>26</v>
      </c>
      <c r="AC7211">
        <v>-68.239099999999993</v>
      </c>
      <c r="AD7211">
        <v>-1.1107056642019999</v>
      </c>
      <c r="AE7211">
        <v>-5.8944999999999901</v>
      </c>
      <c r="AF7211">
        <v>-6.2980513790885899</v>
      </c>
      <c r="AG7211">
        <v>-1.1107056642019999</v>
      </c>
      <c r="AH7211">
        <v>68.184954987483707</v>
      </c>
      <c r="AI7211">
        <v>90.929287726375506</v>
      </c>
      <c r="AJ7211">
        <v>95.277275009894794</v>
      </c>
      <c r="AK7211">
        <v>68.484211354817504</v>
      </c>
      <c r="AL7211">
        <v>88.439065859855305</v>
      </c>
      <c r="AM7211">
        <v>91.698521413282194</v>
      </c>
      <c r="AN7211">
        <v>0.99999999115349802</v>
      </c>
    </row>
    <row r="7212" spans="1:40" x14ac:dyDescent="0.25">
      <c r="A7212" t="str">
        <f>"20190312150833762"</f>
        <v>20190312150833762</v>
      </c>
      <c r="B7212" t="str">
        <f>"1552374513757204"</f>
        <v>1552374513757204</v>
      </c>
      <c r="C7212" t="s">
        <v>40</v>
      </c>
      <c r="D7212">
        <v>4.2126340000000004</v>
      </c>
      <c r="E7212">
        <v>0.47713949999999999</v>
      </c>
      <c r="F7212" t="s">
        <v>42</v>
      </c>
      <c r="G7212">
        <v>-391.90550000000002</v>
      </c>
      <c r="H7212" s="1">
        <v>-4.2836909999999997E-6</v>
      </c>
      <c r="I7212">
        <v>134.94329999999999</v>
      </c>
      <c r="J7212">
        <v>-320.57209999999998</v>
      </c>
      <c r="K7212">
        <v>1.1107149999999999</v>
      </c>
      <c r="L7212">
        <v>141.0558</v>
      </c>
      <c r="M7212">
        <v>-0.99987219999999999</v>
      </c>
      <c r="N7212">
        <v>0</v>
      </c>
      <c r="O7212">
        <v>5.6513989999999997E-3</v>
      </c>
      <c r="P7212">
        <v>-0.9996623</v>
      </c>
      <c r="Q7212">
        <v>1.232628E-2</v>
      </c>
      <c r="R7212">
        <v>-2.2877060000000001E-2</v>
      </c>
      <c r="S7212">
        <v>-2.9955750000000001</v>
      </c>
      <c r="T7212">
        <v>-4.6474700000000001E-2</v>
      </c>
      <c r="U7212">
        <v>-0.25570680000000001</v>
      </c>
      <c r="V7212">
        <v>-2.8538819999999999E-2</v>
      </c>
      <c r="W7212">
        <v>2.725723E-2</v>
      </c>
      <c r="X7212">
        <v>0.99922100000000003</v>
      </c>
      <c r="Y7212">
        <v>-9.0670879999999995E-2</v>
      </c>
      <c r="Z7212">
        <v>-7.8956449999999896E-4</v>
      </c>
      <c r="AA7212">
        <v>0.9958806</v>
      </c>
      <c r="AB7212">
        <v>26</v>
      </c>
      <c r="AC7212">
        <v>-71.333399999999997</v>
      </c>
      <c r="AD7212">
        <v>-1.11071928369099</v>
      </c>
      <c r="AE7212">
        <v>-6.1125000000000096</v>
      </c>
      <c r="AF7212">
        <v>-6.5140131456368202</v>
      </c>
      <c r="AG7212">
        <v>-1.11071928369099</v>
      </c>
      <c r="AH7212">
        <v>71.280556538221404</v>
      </c>
      <c r="AI7212">
        <v>90.889027246819197</v>
      </c>
      <c r="AJ7212">
        <v>95.221503299438893</v>
      </c>
      <c r="AK7212">
        <v>71.586198425305994</v>
      </c>
      <c r="AL7212">
        <v>88.438082334500393</v>
      </c>
      <c r="AM7212">
        <v>91.635983970032399</v>
      </c>
      <c r="AN7212">
        <v>1.0000000138376299</v>
      </c>
    </row>
    <row r="7213" spans="1:40" x14ac:dyDescent="0.25">
      <c r="A7213" t="str">
        <f>"20190312150833784"</f>
        <v>20190312150833784</v>
      </c>
      <c r="B7213" t="str">
        <f>"1552374513777700"</f>
        <v>1552374513777700</v>
      </c>
      <c r="C7213" t="s">
        <v>40</v>
      </c>
      <c r="D7213">
        <v>4.2414930000000002</v>
      </c>
      <c r="E7213">
        <v>0.50310869999999996</v>
      </c>
      <c r="F7213" t="s">
        <v>42</v>
      </c>
      <c r="G7213">
        <v>-391.23250000000002</v>
      </c>
      <c r="H7213" s="1">
        <v>-4.5515210000000003E-6</v>
      </c>
      <c r="I7213">
        <v>135.06110000000001</v>
      </c>
      <c r="J7213">
        <v>-320.83049999999997</v>
      </c>
      <c r="K7213">
        <v>1.110727</v>
      </c>
      <c r="L7213">
        <v>141.05690000000001</v>
      </c>
      <c r="M7213">
        <v>-0.99987409999999999</v>
      </c>
      <c r="N7213">
        <v>0</v>
      </c>
      <c r="O7213">
        <v>5.350708E-3</v>
      </c>
      <c r="P7213">
        <v>-0.99967200000000001</v>
      </c>
      <c r="Q7213">
        <v>1.287745E-2</v>
      </c>
      <c r="R7213">
        <v>-2.2141259999999999E-2</v>
      </c>
      <c r="S7213">
        <v>-2.9957579999999999</v>
      </c>
      <c r="T7213">
        <v>-4.7090649999999998E-2</v>
      </c>
      <c r="U7213">
        <v>-0.2541504</v>
      </c>
      <c r="V7213">
        <v>-2.7503509999999998E-2</v>
      </c>
      <c r="W7213">
        <v>2.7802529999999999E-2</v>
      </c>
      <c r="X7213">
        <v>0.99923499999999998</v>
      </c>
      <c r="Y7213">
        <v>-8.9852379999999996E-2</v>
      </c>
      <c r="Z7213">
        <v>-7.8885649999999995E-4</v>
      </c>
      <c r="AA7213">
        <v>0.99595480000000003</v>
      </c>
      <c r="AB7213">
        <v>26</v>
      </c>
      <c r="AC7213">
        <v>-70.402000000000001</v>
      </c>
      <c r="AD7213">
        <v>-1.1107315515209999</v>
      </c>
      <c r="AE7213">
        <v>-5.9958</v>
      </c>
      <c r="AF7213">
        <v>-6.3708823542545296</v>
      </c>
      <c r="AG7213">
        <v>-1.1107315515209999</v>
      </c>
      <c r="AH7213">
        <v>70.351521268879097</v>
      </c>
      <c r="AI7213">
        <v>90.9008426870883</v>
      </c>
      <c r="AJ7213">
        <v>95.174468484561999</v>
      </c>
      <c r="AK7213">
        <v>70.648130983040502</v>
      </c>
      <c r="AL7213">
        <v>88.406827084738396</v>
      </c>
      <c r="AM7213">
        <v>91.576643406001295</v>
      </c>
      <c r="AN7213">
        <v>1.0000000044808599</v>
      </c>
    </row>
    <row r="7214" spans="1:40" x14ac:dyDescent="0.25">
      <c r="A7214" t="str">
        <f>"20190312150833806"</f>
        <v>20190312150833806</v>
      </c>
      <c r="B7214" t="str">
        <f>"1552374513797221"</f>
        <v>1552374513797221</v>
      </c>
      <c r="C7214" t="s">
        <v>40</v>
      </c>
      <c r="D7214">
        <v>4.1861480000000002</v>
      </c>
      <c r="E7214">
        <v>0.50791249999999999</v>
      </c>
      <c r="F7214" t="s">
        <v>77</v>
      </c>
      <c r="G7214">
        <v>-404.76670000000001</v>
      </c>
      <c r="H7214" s="1">
        <v>-7.5612389999999997E-6</v>
      </c>
      <c r="I7214">
        <v>139.81440000000001</v>
      </c>
      <c r="J7214">
        <v>-321.08229999999998</v>
      </c>
      <c r="K7214">
        <v>1.110735</v>
      </c>
      <c r="L7214">
        <v>141.05789999999999</v>
      </c>
      <c r="M7214">
        <v>-0.99987570000000003</v>
      </c>
      <c r="N7214">
        <v>0</v>
      </c>
      <c r="O7214">
        <v>5.0446129999999999E-3</v>
      </c>
      <c r="P7214">
        <v>-0.99967490000000003</v>
      </c>
      <c r="Q7214">
        <v>1.3471749999999999E-2</v>
      </c>
      <c r="R7214">
        <v>-2.1649189999999999E-2</v>
      </c>
      <c r="S7214">
        <v>-3.0005190000000002</v>
      </c>
      <c r="T7214">
        <v>-3.9706110000000003E-2</v>
      </c>
      <c r="U7214">
        <v>-4.4418329999999999E-2</v>
      </c>
      <c r="V7214">
        <v>-2.6706879999999999E-2</v>
      </c>
      <c r="W7214">
        <v>2.8390229999999999E-2</v>
      </c>
      <c r="X7214">
        <v>0.99924009999999996</v>
      </c>
      <c r="Y7214">
        <v>-1.9844190000000001E-2</v>
      </c>
      <c r="Z7214">
        <v>-1.98044E-4</v>
      </c>
      <c r="AA7214">
        <v>0.99980309999999994</v>
      </c>
      <c r="AB7214">
        <v>26</v>
      </c>
      <c r="AC7214">
        <v>-83.684399999999997</v>
      </c>
      <c r="AD7214">
        <v>-1.1107425612390001</v>
      </c>
      <c r="AE7214">
        <v>-1.2434999999999801</v>
      </c>
      <c r="AF7214">
        <v>-1.6653933616069401</v>
      </c>
      <c r="AG7214">
        <v>-1.1107425612390001</v>
      </c>
      <c r="AH7214">
        <v>83.662325536927995</v>
      </c>
      <c r="AI7214">
        <v>90.760491877743206</v>
      </c>
      <c r="AJ7214">
        <v>91.140386783517201</v>
      </c>
      <c r="AK7214">
        <v>83.686271265561501</v>
      </c>
      <c r="AL7214">
        <v>88.373141081464695</v>
      </c>
      <c r="AM7214">
        <v>91.530990703515101</v>
      </c>
      <c r="AN7214">
        <v>1.0000000200233901</v>
      </c>
    </row>
    <row r="7215" spans="1:40" x14ac:dyDescent="0.25">
      <c r="A7215" t="str">
        <f>"20190312150833829"</f>
        <v>20190312150833829</v>
      </c>
      <c r="B7215" t="str">
        <f>"1552374513816741"</f>
        <v>1552374513816741</v>
      </c>
      <c r="C7215" t="s">
        <v>40</v>
      </c>
      <c r="D7215">
        <v>4.1891639999999999</v>
      </c>
      <c r="E7215">
        <v>0.50929729999999995</v>
      </c>
      <c r="F7215" t="s">
        <v>42</v>
      </c>
      <c r="G7215">
        <v>-399.65109999999999</v>
      </c>
      <c r="H7215" s="1">
        <v>-4.8255879999999999E-7</v>
      </c>
      <c r="I7215">
        <v>140.93360000000001</v>
      </c>
      <c r="J7215">
        <v>-321.34059999999999</v>
      </c>
      <c r="K7215">
        <v>1.1107359999999999</v>
      </c>
      <c r="L7215">
        <v>141.05889999999999</v>
      </c>
      <c r="M7215">
        <v>-0.99987729999999997</v>
      </c>
      <c r="N7215">
        <v>0</v>
      </c>
      <c r="O7215">
        <v>4.7186279999999999E-3</v>
      </c>
      <c r="P7215">
        <v>-0.99968829999999997</v>
      </c>
      <c r="Q7215">
        <v>1.3809729999999999E-2</v>
      </c>
      <c r="R7215">
        <v>-2.0790960000000001E-2</v>
      </c>
      <c r="S7215">
        <v>-3.001404</v>
      </c>
      <c r="T7215">
        <v>-4.2431240000000002E-2</v>
      </c>
      <c r="U7215">
        <v>-4.745483E-3</v>
      </c>
      <c r="V7215">
        <v>-2.552306E-2</v>
      </c>
      <c r="W7215">
        <v>2.872245E-2</v>
      </c>
      <c r="X7215">
        <v>0.99926150000000002</v>
      </c>
      <c r="Y7215">
        <v>-6.2991159999999996E-3</v>
      </c>
      <c r="Z7215">
        <v>-1.112353E-4</v>
      </c>
      <c r="AA7215">
        <v>0.99998019999999999</v>
      </c>
      <c r="AB7215">
        <v>25</v>
      </c>
      <c r="AC7215">
        <v>-78.310499999999905</v>
      </c>
      <c r="AD7215">
        <v>-1.1107364825588</v>
      </c>
      <c r="AE7215">
        <v>-0.12529999999998101</v>
      </c>
      <c r="AF7215">
        <v>-0.49475841837245799</v>
      </c>
      <c r="AG7215">
        <v>-1.1107364825588</v>
      </c>
      <c r="AH7215">
        <v>78.293285777150501</v>
      </c>
      <c r="AI7215">
        <v>90.812776887602098</v>
      </c>
      <c r="AJ7215">
        <v>90.3620641494322</v>
      </c>
      <c r="AK7215">
        <v>78.302727405938995</v>
      </c>
      <c r="AL7215">
        <v>88.354098438822305</v>
      </c>
      <c r="AM7215">
        <v>91.463126251040407</v>
      </c>
      <c r="AN7215">
        <v>0.99999997555400699</v>
      </c>
    </row>
    <row r="7216" spans="1:40" x14ac:dyDescent="0.25">
      <c r="A7216" t="str">
        <f>"20190312150833851"</f>
        <v>20190312150833851</v>
      </c>
      <c r="B7216" t="str">
        <f>"1552374513846996"</f>
        <v>1552374513846996</v>
      </c>
      <c r="C7216" t="s">
        <v>40</v>
      </c>
      <c r="D7216">
        <v>4.1502089999999896</v>
      </c>
      <c r="E7216">
        <v>0.51100889999999999</v>
      </c>
      <c r="F7216" t="s">
        <v>77</v>
      </c>
      <c r="G7216">
        <v>-408.19979999999998</v>
      </c>
      <c r="H7216" s="1">
        <v>-1.028414E-5</v>
      </c>
      <c r="I7216">
        <v>141.32249999999999</v>
      </c>
      <c r="J7216">
        <v>-321.59359999999998</v>
      </c>
      <c r="K7216">
        <v>1.1107450000000001</v>
      </c>
      <c r="L7216">
        <v>141.05969999999999</v>
      </c>
      <c r="M7216">
        <v>-0.99987890000000001</v>
      </c>
      <c r="N7216">
        <v>0</v>
      </c>
      <c r="O7216">
        <v>4.3901139999999996E-3</v>
      </c>
      <c r="P7216">
        <v>-0.99968829999999997</v>
      </c>
      <c r="Q7216">
        <v>1.474642E-2</v>
      </c>
      <c r="R7216">
        <v>-2.01397E-2</v>
      </c>
      <c r="S7216">
        <v>-3.0015869999999998</v>
      </c>
      <c r="T7216">
        <v>-3.8383960000000002E-2</v>
      </c>
      <c r="U7216">
        <v>9.1094969999999994E-3</v>
      </c>
      <c r="V7216">
        <v>-2.4544150000000001E-2</v>
      </c>
      <c r="W7216">
        <v>2.9653800000000001E-2</v>
      </c>
      <c r="X7216">
        <v>0.9992588</v>
      </c>
      <c r="Y7216">
        <v>-1.35526299999999E-3</v>
      </c>
      <c r="Z7216" s="1">
        <v>-6.4808999999999996E-5</v>
      </c>
      <c r="AA7216">
        <v>0.99999910000000003</v>
      </c>
      <c r="AB7216">
        <v>25</v>
      </c>
      <c r="AC7216">
        <v>-86.606200000000001</v>
      </c>
      <c r="AD7216">
        <v>-1.1107552841399999</v>
      </c>
      <c r="AE7216">
        <v>0.26279999999999798</v>
      </c>
      <c r="AF7216">
        <v>-0.117436691154312</v>
      </c>
      <c r="AG7216">
        <v>-1.1107552841399999</v>
      </c>
      <c r="AH7216">
        <v>86.592275665864605</v>
      </c>
      <c r="AI7216">
        <v>90.734915910285494</v>
      </c>
      <c r="AJ7216">
        <v>90.077704651899893</v>
      </c>
      <c r="AK7216">
        <v>86.5994790611974</v>
      </c>
      <c r="AL7216">
        <v>88.300713233040895</v>
      </c>
      <c r="AM7216">
        <v>91.407036397930995</v>
      </c>
      <c r="AN7216">
        <v>0.99999995626555005</v>
      </c>
    </row>
    <row r="7217" spans="1:40" x14ac:dyDescent="0.25">
      <c r="A7217" t="str">
        <f>"20190312150833874"</f>
        <v>20190312150833874</v>
      </c>
      <c r="B7217" t="str">
        <f>"1552374513867492"</f>
        <v>1552374513867492</v>
      </c>
      <c r="C7217" t="s">
        <v>40</v>
      </c>
      <c r="D7217">
        <v>4.1759829999999996</v>
      </c>
      <c r="E7217">
        <v>0.51153400000000004</v>
      </c>
      <c r="F7217" t="s">
        <v>42</v>
      </c>
      <c r="G7217">
        <v>-392.7894</v>
      </c>
      <c r="H7217" s="1">
        <v>-3.6126080000000002E-6</v>
      </c>
      <c r="I7217">
        <v>141.63419999999999</v>
      </c>
      <c r="J7217">
        <v>-321.85059999999999</v>
      </c>
      <c r="K7217">
        <v>1.110741</v>
      </c>
      <c r="L7217">
        <v>141.06049999999999</v>
      </c>
      <c r="M7217">
        <v>-0.99988060000000001</v>
      </c>
      <c r="N7217">
        <v>0</v>
      </c>
      <c r="O7217">
        <v>4.0487520000000001E-3</v>
      </c>
      <c r="P7217">
        <v>-0.99968190000000001</v>
      </c>
      <c r="Q7217">
        <v>1.549028E-2</v>
      </c>
      <c r="R7217">
        <v>-1.9906299999999998E-2</v>
      </c>
      <c r="S7217">
        <v>-3.0021059999999999</v>
      </c>
      <c r="T7217">
        <v>-4.6836849999999999E-2</v>
      </c>
      <c r="U7217">
        <v>2.4230959999999999E-2</v>
      </c>
      <c r="V7217">
        <v>-2.396993E-2</v>
      </c>
      <c r="W7217">
        <v>3.0391129999999999E-2</v>
      </c>
      <c r="X7217">
        <v>0.99925070000000005</v>
      </c>
      <c r="Y7217">
        <v>4.0219239999999996E-3</v>
      </c>
      <c r="Z7217" s="1">
        <v>-3.1796430000000001E-5</v>
      </c>
      <c r="AA7217">
        <v>0.99999190000000004</v>
      </c>
      <c r="AB7217">
        <v>25</v>
      </c>
      <c r="AC7217">
        <v>-70.938800000000001</v>
      </c>
      <c r="AD7217">
        <v>-1.1107446126080001</v>
      </c>
      <c r="AE7217">
        <v>0.57370000000000199</v>
      </c>
      <c r="AF7217">
        <v>0.28637953985528503</v>
      </c>
      <c r="AG7217">
        <v>-1.1107446126080001</v>
      </c>
      <c r="AH7217">
        <v>70.923154637740197</v>
      </c>
      <c r="AI7217">
        <v>90.897242341472804</v>
      </c>
      <c r="AJ7217">
        <v>89.768647490644994</v>
      </c>
      <c r="AK7217">
        <v>70.932430034534207</v>
      </c>
      <c r="AL7217">
        <v>88.258448479046706</v>
      </c>
      <c r="AM7217">
        <v>91.374142137406693</v>
      </c>
      <c r="AN7217">
        <v>1.00000006988868</v>
      </c>
    </row>
    <row r="7218" spans="1:40" x14ac:dyDescent="0.25">
      <c r="A7218" t="str">
        <f>"20190312150833895"</f>
        <v>20190312150833895</v>
      </c>
      <c r="B7218" t="str">
        <f>"1552374513887016"</f>
        <v>1552374513887016</v>
      </c>
      <c r="C7218" t="s">
        <v>40</v>
      </c>
      <c r="D7218">
        <v>4.1844409999999996</v>
      </c>
      <c r="E7218">
        <v>0.51168579999999997</v>
      </c>
      <c r="F7218" t="s">
        <v>42</v>
      </c>
      <c r="G7218">
        <v>-388.66399999999999</v>
      </c>
      <c r="H7218" s="1">
        <v>-1.1108400000000001E-6</v>
      </c>
      <c r="I7218">
        <v>141.70349999999999</v>
      </c>
      <c r="J7218">
        <v>-322.09399999999999</v>
      </c>
      <c r="K7218">
        <v>1.1107359999999999</v>
      </c>
      <c r="L7218">
        <v>141.06110000000001</v>
      </c>
      <c r="M7218">
        <v>-0.99988189999999999</v>
      </c>
      <c r="N7218">
        <v>0</v>
      </c>
      <c r="O7218">
        <v>3.7176470000000001E-3</v>
      </c>
      <c r="P7218">
        <v>-0.99968780000000002</v>
      </c>
      <c r="Q7218">
        <v>1.444376E-2</v>
      </c>
      <c r="R7218">
        <v>-2.0395110000000001E-2</v>
      </c>
      <c r="S7218">
        <v>-3.0022890000000002</v>
      </c>
      <c r="T7218">
        <v>-4.9911740000000003E-2</v>
      </c>
      <c r="U7218">
        <v>2.8900149999999999E-2</v>
      </c>
      <c r="V7218">
        <v>-2.4127920000000001E-2</v>
      </c>
      <c r="W7218">
        <v>2.9338739999999999E-2</v>
      </c>
      <c r="X7218">
        <v>0.99927829999999995</v>
      </c>
      <c r="Y7218">
        <v>5.9073370000000004E-3</v>
      </c>
      <c r="Z7218" s="1">
        <v>-1.2706130000000001E-5</v>
      </c>
      <c r="AA7218">
        <v>0.9999825</v>
      </c>
      <c r="AB7218">
        <v>25</v>
      </c>
      <c r="AC7218">
        <v>-66.569999999999993</v>
      </c>
      <c r="AD7218">
        <v>-1.1107371108399999</v>
      </c>
      <c r="AE7218">
        <v>0.64239999999997999</v>
      </c>
      <c r="AF7218">
        <v>0.39477438446406599</v>
      </c>
      <c r="AG7218">
        <v>-1.1107371108399999</v>
      </c>
      <c r="AH7218">
        <v>66.553401768928794</v>
      </c>
      <c r="AI7218">
        <v>90.956127258762194</v>
      </c>
      <c r="AJ7218">
        <v>89.660142979740996</v>
      </c>
      <c r="AK7218">
        <v>66.563840564983096</v>
      </c>
      <c r="AL7218">
        <v>88.318772806422402</v>
      </c>
      <c r="AM7218">
        <v>91.3831576524545</v>
      </c>
      <c r="AN7218">
        <v>1.0000000195195999</v>
      </c>
    </row>
    <row r="7219" spans="1:40" x14ac:dyDescent="0.25">
      <c r="A7219" t="str">
        <f>"20190312150833917"</f>
        <v>20190312150833917</v>
      </c>
      <c r="B7219" t="str">
        <f>"1552374513907508"</f>
        <v>1552374513907508</v>
      </c>
      <c r="C7219" t="s">
        <v>40</v>
      </c>
      <c r="D7219">
        <v>4.1936410000000004</v>
      </c>
      <c r="E7219">
        <v>0.51186189999999998</v>
      </c>
      <c r="F7219" t="s">
        <v>42</v>
      </c>
      <c r="G7219">
        <v>-386.40719999999999</v>
      </c>
      <c r="H7219" s="1">
        <v>-2.0719780000000001E-6</v>
      </c>
      <c r="I7219">
        <v>141.6771</v>
      </c>
      <c r="J7219">
        <v>-322.33999999999997</v>
      </c>
      <c r="K7219">
        <v>1.110746</v>
      </c>
      <c r="L7219">
        <v>141.0616</v>
      </c>
      <c r="M7219">
        <v>-0.99988310000000002</v>
      </c>
      <c r="N7219">
        <v>0</v>
      </c>
      <c r="O7219">
        <v>3.3743060000000001E-3</v>
      </c>
      <c r="P7219">
        <v>-0.99967189999999995</v>
      </c>
      <c r="Q7219">
        <v>1.474173E-2</v>
      </c>
      <c r="R7219">
        <v>-2.094619E-2</v>
      </c>
      <c r="S7219">
        <v>-3.0022280000000001</v>
      </c>
      <c r="T7219">
        <v>-5.1850800000000002E-2</v>
      </c>
      <c r="U7219">
        <v>2.8762820000000001E-2</v>
      </c>
      <c r="V7219">
        <v>-2.4336420000000001E-2</v>
      </c>
      <c r="W7219">
        <v>2.9630440000000001E-2</v>
      </c>
      <c r="X7219">
        <v>0.99926459999999995</v>
      </c>
      <c r="Y7219">
        <v>6.2050489999999998E-3</v>
      </c>
      <c r="Z7219" s="1">
        <v>-4.6995810000000004E-6</v>
      </c>
      <c r="AA7219">
        <v>0.99998069999999895</v>
      </c>
      <c r="AB7219">
        <v>25</v>
      </c>
      <c r="AC7219">
        <v>-64.0672</v>
      </c>
      <c r="AD7219">
        <v>-1.1107480719779901</v>
      </c>
      <c r="AE7219">
        <v>0.61549999999999705</v>
      </c>
      <c r="AF7219">
        <v>0.39917014292570702</v>
      </c>
      <c r="AG7219">
        <v>-1.1107480719779901</v>
      </c>
      <c r="AH7219">
        <v>64.049662049933403</v>
      </c>
      <c r="AI7219">
        <v>90.993503483392701</v>
      </c>
      <c r="AJ7219">
        <v>89.642926009757801</v>
      </c>
      <c r="AK7219">
        <v>64.060536266824101</v>
      </c>
      <c r="AL7219">
        <v>88.302052295570704</v>
      </c>
      <c r="AM7219">
        <v>91.395124543822305</v>
      </c>
      <c r="AN7219">
        <v>0.99999998256308398</v>
      </c>
    </row>
    <row r="7220" spans="1:40" x14ac:dyDescent="0.25">
      <c r="A7220" t="str">
        <f>"20190312150833940"</f>
        <v>20190312150833940</v>
      </c>
      <c r="B7220" t="str">
        <f>"1552374513936789"</f>
        <v>1552374513936789</v>
      </c>
      <c r="C7220" t="s">
        <v>40</v>
      </c>
      <c r="D7220">
        <v>4.2220719999999998</v>
      </c>
      <c r="E7220">
        <v>0.51212489999999999</v>
      </c>
      <c r="F7220" t="s">
        <v>42</v>
      </c>
      <c r="G7220">
        <v>-390.07440000000003</v>
      </c>
      <c r="H7220" s="1">
        <v>-4.6213909999999999E-6</v>
      </c>
      <c r="I7220">
        <v>141.70590000000001</v>
      </c>
      <c r="J7220">
        <v>-322.59449999999998</v>
      </c>
      <c r="K7220">
        <v>1.110762</v>
      </c>
      <c r="L7220">
        <v>141.06200000000001</v>
      </c>
      <c r="M7220">
        <v>-0.99988449999999995</v>
      </c>
      <c r="N7220">
        <v>0</v>
      </c>
      <c r="O7220">
        <v>3.008522E-3</v>
      </c>
      <c r="P7220">
        <v>-0.99965369999999998</v>
      </c>
      <c r="Q7220">
        <v>1.583273E-2</v>
      </c>
      <c r="R7220">
        <v>-2.1024359999999999E-2</v>
      </c>
      <c r="S7220">
        <v>-3.0022890000000002</v>
      </c>
      <c r="T7220">
        <v>-4.9233440000000003E-2</v>
      </c>
      <c r="U7220">
        <v>2.8564450000000002E-2</v>
      </c>
      <c r="V7220">
        <v>-2.404974E-2</v>
      </c>
      <c r="W7220">
        <v>3.071428E-2</v>
      </c>
      <c r="X7220">
        <v>0.99923879999999998</v>
      </c>
      <c r="Y7220">
        <v>6.504564E-3</v>
      </c>
      <c r="Z7220" s="1">
        <v>3.9917360000000004E-6</v>
      </c>
      <c r="AA7220">
        <v>0.99997879999999995</v>
      </c>
      <c r="AB7220">
        <v>25</v>
      </c>
      <c r="AC7220">
        <v>-67.479900000000001</v>
      </c>
      <c r="AD7220">
        <v>-1.1107666213909999</v>
      </c>
      <c r="AE7220">
        <v>0.64390000000000203</v>
      </c>
      <c r="AF7220">
        <v>0.44074037993562298</v>
      </c>
      <c r="AG7220">
        <v>-1.1107666213909999</v>
      </c>
      <c r="AH7220">
        <v>67.463254121214902</v>
      </c>
      <c r="AI7220">
        <v>90.943256185404707</v>
      </c>
      <c r="AJ7220">
        <v>89.625689500097593</v>
      </c>
      <c r="AK7220">
        <v>67.473837234837305</v>
      </c>
      <c r="AL7220">
        <v>88.239924522395498</v>
      </c>
      <c r="AM7220">
        <v>91.378732114906896</v>
      </c>
      <c r="AN7220">
        <v>0.99999996820771198</v>
      </c>
    </row>
    <row r="7221" spans="1:40" x14ac:dyDescent="0.25">
      <c r="A7221" t="str">
        <f>"20190312150833963"</f>
        <v>20190312150833963</v>
      </c>
      <c r="B7221" t="str">
        <f>"1552374513957285"</f>
        <v>1552374513957285</v>
      </c>
      <c r="C7221" t="s">
        <v>40</v>
      </c>
      <c r="D7221">
        <v>4.2195869999999998</v>
      </c>
      <c r="E7221">
        <v>0.51233209999999996</v>
      </c>
      <c r="F7221" t="s">
        <v>42</v>
      </c>
      <c r="G7221">
        <v>-385.99979999999999</v>
      </c>
      <c r="H7221" s="1">
        <v>-2.2517789999999998E-6</v>
      </c>
      <c r="I7221">
        <v>141.6961</v>
      </c>
      <c r="J7221">
        <v>-322.84710000000001</v>
      </c>
      <c r="K7221">
        <v>1.110768</v>
      </c>
      <c r="L7221">
        <v>141.0624</v>
      </c>
      <c r="M7221">
        <v>-0.99988560000000004</v>
      </c>
      <c r="N7221">
        <v>0</v>
      </c>
      <c r="O7221">
        <v>2.632503E-3</v>
      </c>
      <c r="P7221">
        <v>-0.99965850000000001</v>
      </c>
      <c r="Q7221">
        <v>1.4360660000000001E-2</v>
      </c>
      <c r="R7221">
        <v>-2.1833160000000001E-2</v>
      </c>
      <c r="S7221">
        <v>-3.0025019999999998</v>
      </c>
      <c r="T7221">
        <v>-5.2599310000000003E-2</v>
      </c>
      <c r="U7221">
        <v>3.0029299999999998E-2</v>
      </c>
      <c r="V7221">
        <v>-2.4482509999999999E-2</v>
      </c>
      <c r="W7221">
        <v>2.9235790000000001E-2</v>
      </c>
      <c r="X7221">
        <v>0.99927259999999996</v>
      </c>
      <c r="Y7221">
        <v>7.3674989999999996E-3</v>
      </c>
      <c r="Z7221" s="1">
        <v>1.840945E-5</v>
      </c>
      <c r="AA7221">
        <v>0.99997290000000005</v>
      </c>
      <c r="AB7221">
        <v>25</v>
      </c>
      <c r="AC7221">
        <v>-63.152699999999903</v>
      </c>
      <c r="AD7221">
        <v>-1.1107702517789999</v>
      </c>
      <c r="AE7221">
        <v>0.63370000000000404</v>
      </c>
      <c r="AF7221">
        <v>0.46728514168931801</v>
      </c>
      <c r="AG7221">
        <v>-1.1107702517789999</v>
      </c>
      <c r="AH7221">
        <v>63.134620145849397</v>
      </c>
      <c r="AI7221">
        <v>91.007911972059006</v>
      </c>
      <c r="AJ7221">
        <v>89.575938248918405</v>
      </c>
      <c r="AK7221">
        <v>63.1461196505104</v>
      </c>
      <c r="AL7221">
        <v>88.324673782990899</v>
      </c>
      <c r="AM7221">
        <v>91.403484817396404</v>
      </c>
      <c r="AN7221">
        <v>0.99999992691178896</v>
      </c>
    </row>
    <row r="7222" spans="1:40" x14ac:dyDescent="0.25">
      <c r="A7222" t="str">
        <f>"20190312150833986"</f>
        <v>20190312150833986</v>
      </c>
      <c r="B7222" t="str">
        <f>"1552374513976804"</f>
        <v>1552374513976804</v>
      </c>
      <c r="C7222" t="s">
        <v>40</v>
      </c>
      <c r="D7222">
        <v>4.2317349999999996</v>
      </c>
      <c r="E7222">
        <v>0.51234449999999998</v>
      </c>
      <c r="F7222" t="s">
        <v>42</v>
      </c>
      <c r="G7222">
        <v>-378.81330000000003</v>
      </c>
      <c r="H7222" s="1">
        <v>-1.020806E-6</v>
      </c>
      <c r="I7222">
        <v>141.60579999999999</v>
      </c>
      <c r="J7222">
        <v>-323.1087</v>
      </c>
      <c r="K7222">
        <v>1.1107769999999999</v>
      </c>
      <c r="L7222">
        <v>141.0626</v>
      </c>
      <c r="M7222">
        <v>-0.99988690000000002</v>
      </c>
      <c r="N7222">
        <v>0</v>
      </c>
      <c r="O7222">
        <v>2.2228629999999998E-3</v>
      </c>
      <c r="P7222">
        <v>-0.99967119999999998</v>
      </c>
      <c r="Q7222">
        <v>1.3259119999999999E-2</v>
      </c>
      <c r="R7222">
        <v>-2.1952659999999999E-2</v>
      </c>
      <c r="S7222">
        <v>-3.002472</v>
      </c>
      <c r="T7222">
        <v>-5.9590579999999997E-2</v>
      </c>
      <c r="U7222">
        <v>2.9159549999999999E-2</v>
      </c>
      <c r="V7222">
        <v>-2.4192620000000001E-2</v>
      </c>
      <c r="W7222">
        <v>2.812808E-2</v>
      </c>
      <c r="X7222">
        <v>0.99931150000000002</v>
      </c>
      <c r="Y7222">
        <v>7.4873250000000004E-3</v>
      </c>
      <c r="Z7222" s="1">
        <v>3.0175140000000001E-5</v>
      </c>
      <c r="AA7222">
        <v>0.99997199999999997</v>
      </c>
      <c r="AB7222">
        <v>25</v>
      </c>
      <c r="AC7222">
        <v>-55.704599999999999</v>
      </c>
      <c r="AD7222">
        <v>-1.1107780208059901</v>
      </c>
      <c r="AE7222">
        <v>0.54319999999998403</v>
      </c>
      <c r="AF7222">
        <v>0.41919459747107002</v>
      </c>
      <c r="AG7222">
        <v>-1.1107780208059901</v>
      </c>
      <c r="AH7222">
        <v>55.683530945377903</v>
      </c>
      <c r="AI7222">
        <v>91.142755302647899</v>
      </c>
      <c r="AJ7222">
        <v>89.568676283450799</v>
      </c>
      <c r="AK7222">
        <v>55.696186318875696</v>
      </c>
      <c r="AL7222">
        <v>88.388167094778595</v>
      </c>
      <c r="AM7222">
        <v>91.386819141743501</v>
      </c>
      <c r="AN7222">
        <v>0.99999997288959996</v>
      </c>
    </row>
    <row r="7223" spans="1:40" x14ac:dyDescent="0.25">
      <c r="A7223" t="str">
        <f>"20190312150834007"</f>
        <v>20190312150834007</v>
      </c>
      <c r="B7223" t="str">
        <f>"1552374513997301"</f>
        <v>1552374513997301</v>
      </c>
      <c r="C7223" t="s">
        <v>40</v>
      </c>
      <c r="D7223">
        <v>4.2321200000000001</v>
      </c>
      <c r="E7223">
        <v>0.51246040000000004</v>
      </c>
      <c r="F7223" t="s">
        <v>42</v>
      </c>
      <c r="G7223">
        <v>-373.7921</v>
      </c>
      <c r="H7223" s="1">
        <v>-3.159946E-6</v>
      </c>
      <c r="I7223">
        <v>141.5498</v>
      </c>
      <c r="J7223">
        <v>-323.34559999999999</v>
      </c>
      <c r="K7223">
        <v>1.1107929999999999</v>
      </c>
      <c r="L7223">
        <v>141.06270000000001</v>
      </c>
      <c r="M7223">
        <v>-0.99988759999999999</v>
      </c>
      <c r="N7223">
        <v>0</v>
      </c>
      <c r="O7223">
        <v>1.830407E-3</v>
      </c>
      <c r="P7223">
        <v>-0.99967600000000001</v>
      </c>
      <c r="Q7223">
        <v>1.2969619999999999E-2</v>
      </c>
      <c r="R7223">
        <v>-2.189961E-2</v>
      </c>
      <c r="S7223">
        <v>-3.002472</v>
      </c>
      <c r="T7223">
        <v>-6.5802340000000001E-2</v>
      </c>
      <c r="U7223">
        <v>2.886963E-2</v>
      </c>
      <c r="V7223">
        <v>-2.3747750000000001E-2</v>
      </c>
      <c r="W7223">
        <v>2.7832550000000001E-2</v>
      </c>
      <c r="X7223">
        <v>0.99933050000000001</v>
      </c>
      <c r="Y7223">
        <v>7.7828719999999997E-3</v>
      </c>
      <c r="Z7223" s="1">
        <v>4.5158809999999898E-5</v>
      </c>
      <c r="AA7223">
        <v>0.99996969999999996</v>
      </c>
      <c r="AB7223">
        <v>25</v>
      </c>
      <c r="AC7223">
        <v>-50.4465</v>
      </c>
      <c r="AD7223">
        <v>-1.1107961599459999</v>
      </c>
      <c r="AE7223">
        <v>0.48709999999999798</v>
      </c>
      <c r="AF7223">
        <v>0.39456004764636099</v>
      </c>
      <c r="AG7223">
        <v>-1.1107961599459999</v>
      </c>
      <c r="AH7223">
        <v>50.422861959671401</v>
      </c>
      <c r="AI7223">
        <v>91.261961130002206</v>
      </c>
      <c r="AJ7223">
        <v>89.551668365809604</v>
      </c>
      <c r="AK7223">
        <v>50.436639003250598</v>
      </c>
      <c r="AL7223">
        <v>88.405106436052904</v>
      </c>
      <c r="AM7223">
        <v>91.361301201702204</v>
      </c>
      <c r="AN7223">
        <v>1.0000000273498999</v>
      </c>
    </row>
    <row r="7224" spans="1:40" x14ac:dyDescent="0.25">
      <c r="A7224" t="str">
        <f>"20190312150834031"</f>
        <v>20190312150834031</v>
      </c>
      <c r="B7224" t="str">
        <f>"1552374514027557"</f>
        <v>1552374514027557</v>
      </c>
      <c r="C7224" t="s">
        <v>40</v>
      </c>
      <c r="D7224">
        <v>4.2228389999999996</v>
      </c>
      <c r="E7224">
        <v>0.51254869999999997</v>
      </c>
      <c r="F7224" t="s">
        <v>42</v>
      </c>
      <c r="G7224">
        <v>-374.59550000000002</v>
      </c>
      <c r="H7224" s="1">
        <v>-2.8217040000000001E-6</v>
      </c>
      <c r="I7224">
        <v>141.57380000000001</v>
      </c>
      <c r="J7224">
        <v>-323.60509999999999</v>
      </c>
      <c r="K7224">
        <v>1.1108070000000001</v>
      </c>
      <c r="L7224">
        <v>141.0626</v>
      </c>
      <c r="M7224">
        <v>-0.99988840000000001</v>
      </c>
      <c r="N7224">
        <v>0</v>
      </c>
      <c r="O7224">
        <v>1.377784E-3</v>
      </c>
      <c r="P7224">
        <v>-0.99967700000000004</v>
      </c>
      <c r="Q7224">
        <v>1.3120069999999999E-2</v>
      </c>
      <c r="R7224">
        <v>-2.176585E-2</v>
      </c>
      <c r="S7224">
        <v>-3.002472</v>
      </c>
      <c r="T7224">
        <v>-6.507599E-2</v>
      </c>
      <c r="U7224">
        <v>2.9953E-2</v>
      </c>
      <c r="V7224">
        <v>-2.3162490000000001E-2</v>
      </c>
      <c r="W7224">
        <v>2.7976029999999999E-2</v>
      </c>
      <c r="X7224">
        <v>0.99934020000000001</v>
      </c>
      <c r="Y7224">
        <v>8.5960459999999995E-3</v>
      </c>
      <c r="Z7224" s="1">
        <v>6.3281429999999996E-5</v>
      </c>
      <c r="AA7224">
        <v>0.99996300000000005</v>
      </c>
      <c r="AB7224">
        <v>25</v>
      </c>
      <c r="AC7224">
        <v>-50.990400000000001</v>
      </c>
      <c r="AD7224">
        <v>-1.1108098217040001</v>
      </c>
      <c r="AE7224">
        <v>0.51120000000000199</v>
      </c>
      <c r="AF7224">
        <v>0.440728846147109</v>
      </c>
      <c r="AG7224">
        <v>-1.1108098217040001</v>
      </c>
      <c r="AH7224">
        <v>50.9668709477031</v>
      </c>
      <c r="AI7224">
        <v>91.2485024230985</v>
      </c>
      <c r="AJ7224">
        <v>89.504555156446102</v>
      </c>
      <c r="AK7224">
        <v>50.980879499824702</v>
      </c>
      <c r="AL7224">
        <v>88.396882387156893</v>
      </c>
      <c r="AM7224">
        <v>91.327751401019896</v>
      </c>
      <c r="AN7224">
        <v>0.9999999972668</v>
      </c>
    </row>
    <row r="7225" spans="1:40" x14ac:dyDescent="0.25">
      <c r="A7225" t="str">
        <f>"20190312150834052"</f>
        <v>20190312150834052</v>
      </c>
      <c r="B7225" t="str">
        <f>"1552374514047076"</f>
        <v>1552374514047076</v>
      </c>
      <c r="C7225" t="s">
        <v>40</v>
      </c>
      <c r="D7225">
        <v>4.2310559999999997</v>
      </c>
      <c r="E7225">
        <v>0.51259089999999996</v>
      </c>
      <c r="F7225" t="s">
        <v>42</v>
      </c>
      <c r="G7225">
        <v>-374.10210000000001</v>
      </c>
      <c r="H7225" s="1">
        <v>-3.036498E-6</v>
      </c>
      <c r="I7225">
        <v>141.5855</v>
      </c>
      <c r="J7225">
        <v>-323.85079999999999</v>
      </c>
      <c r="K7225">
        <v>1.110822</v>
      </c>
      <c r="L7225">
        <v>141.0624</v>
      </c>
      <c r="M7225">
        <v>-0.99988889999999997</v>
      </c>
      <c r="N7225">
        <v>0</v>
      </c>
      <c r="O7225">
        <v>9.2636469999999996E-4</v>
      </c>
      <c r="P7225">
        <v>-0.99967910000000004</v>
      </c>
      <c r="Q7225">
        <v>1.314018E-2</v>
      </c>
      <c r="R7225">
        <v>-2.1656749999999999E-2</v>
      </c>
      <c r="S7225">
        <v>-3.0025019999999998</v>
      </c>
      <c r="T7225">
        <v>-6.6047789999999995E-2</v>
      </c>
      <c r="U7225">
        <v>3.1097409999999999E-2</v>
      </c>
      <c r="V7225">
        <v>-2.2603040000000001E-2</v>
      </c>
      <c r="W7225">
        <v>2.798985E-2</v>
      </c>
      <c r="X7225">
        <v>0.99935260000000004</v>
      </c>
      <c r="Y7225">
        <v>9.4281299999999998E-3</v>
      </c>
      <c r="Z7225" s="1">
        <v>8.3305709999999998E-5</v>
      </c>
      <c r="AA7225">
        <v>0.9999555</v>
      </c>
      <c r="AB7225">
        <v>25</v>
      </c>
      <c r="AC7225">
        <v>-50.251300000000001</v>
      </c>
      <c r="AD7225">
        <v>-1.1108250364979999</v>
      </c>
      <c r="AE7225">
        <v>0.52309999999999901</v>
      </c>
      <c r="AF7225">
        <v>0.47631086918608001</v>
      </c>
      <c r="AG7225">
        <v>-1.1108250364979999</v>
      </c>
      <c r="AH7225">
        <v>50.227222262802599</v>
      </c>
      <c r="AI7225">
        <v>91.266889738445499</v>
      </c>
      <c r="AJ7225">
        <v>89.456673427722805</v>
      </c>
      <c r="AK7225">
        <v>50.241762116219498</v>
      </c>
      <c r="AL7225">
        <v>88.396090212151904</v>
      </c>
      <c r="AM7225">
        <v>91.295676851875697</v>
      </c>
      <c r="AN7225">
        <v>0.99999997412351105</v>
      </c>
    </row>
    <row r="7226" spans="1:40" x14ac:dyDescent="0.25">
      <c r="A7226" t="str">
        <f>"20190312150834074"</f>
        <v>20190312150834074</v>
      </c>
      <c r="B7226" t="str">
        <f>"1552374514067574"</f>
        <v>1552374514067574</v>
      </c>
      <c r="C7226" t="s">
        <v>40</v>
      </c>
      <c r="D7226">
        <v>4.2469340000000004</v>
      </c>
      <c r="E7226">
        <v>0.51261509999999999</v>
      </c>
      <c r="F7226" t="s">
        <v>42</v>
      </c>
      <c r="G7226">
        <v>-372.61559999999997</v>
      </c>
      <c r="H7226" s="1">
        <v>-3.6723049999999999E-6</v>
      </c>
      <c r="I7226">
        <v>141.57849999999999</v>
      </c>
      <c r="J7226">
        <v>-324.0933</v>
      </c>
      <c r="K7226">
        <v>1.1108370000000001</v>
      </c>
      <c r="L7226">
        <v>141.06209999999999</v>
      </c>
      <c r="M7226">
        <v>-0.99988949999999999</v>
      </c>
      <c r="N7226">
        <v>0</v>
      </c>
      <c r="O7226">
        <v>4.5730770000000003E-4</v>
      </c>
      <c r="P7226">
        <v>-0.9996794</v>
      </c>
      <c r="Q7226">
        <v>1.3105449999999999E-2</v>
      </c>
      <c r="R7226">
        <v>-2.166589E-2</v>
      </c>
      <c r="S7226">
        <v>-3.0026250000000001</v>
      </c>
      <c r="T7226">
        <v>-6.8397520000000003E-2</v>
      </c>
      <c r="U7226">
        <v>3.1784060000000003E-2</v>
      </c>
      <c r="V7226">
        <v>-2.2144649999999998E-2</v>
      </c>
      <c r="W7226">
        <v>2.794934E-2</v>
      </c>
      <c r="X7226">
        <v>0.99936400000000003</v>
      </c>
      <c r="Y7226">
        <v>1.012499E-2</v>
      </c>
      <c r="Z7226">
        <v>1.048851E-4</v>
      </c>
      <c r="AA7226">
        <v>0.99994870000000002</v>
      </c>
      <c r="AB7226">
        <v>25</v>
      </c>
      <c r="AC7226">
        <v>-48.522299999999902</v>
      </c>
      <c r="AD7226">
        <v>-1.1108406723049999</v>
      </c>
      <c r="AE7226">
        <v>0.51640000000000397</v>
      </c>
      <c r="AF7226">
        <v>0.49394902136123903</v>
      </c>
      <c r="AG7226">
        <v>-1.1108406723049999</v>
      </c>
      <c r="AH7226">
        <v>48.497116256921501</v>
      </c>
      <c r="AI7226">
        <v>91.312079163397996</v>
      </c>
      <c r="AJ7226">
        <v>89.416455702119805</v>
      </c>
      <c r="AK7226">
        <v>48.512351395003598</v>
      </c>
      <c r="AL7226">
        <v>88.398412178561401</v>
      </c>
      <c r="AM7226">
        <v>91.269394716363095</v>
      </c>
      <c r="AN7226">
        <v>0.99999997781302796</v>
      </c>
    </row>
    <row r="7227" spans="1:40" x14ac:dyDescent="0.25">
      <c r="A7227" t="str">
        <f>"20190312150834089"</f>
        <v>20190312150834089</v>
      </c>
      <c r="B7227" t="str">
        <f>"1552374514077333"</f>
        <v>1552374514077333</v>
      </c>
      <c r="C7227" t="s">
        <v>40</v>
      </c>
      <c r="D7227">
        <v>4.7471610000000002</v>
      </c>
      <c r="E7227">
        <v>0.51262799999999997</v>
      </c>
      <c r="F7227" t="s">
        <v>42</v>
      </c>
      <c r="G7227">
        <v>-371.36779999999999</v>
      </c>
      <c r="H7227" s="1">
        <v>-4.156642E-6</v>
      </c>
      <c r="I7227">
        <v>141.56729999999999</v>
      </c>
      <c r="J7227">
        <v>-324.25560000000002</v>
      </c>
      <c r="K7227">
        <v>1.110846</v>
      </c>
      <c r="L7227">
        <v>141.06180000000001</v>
      </c>
      <c r="M7227">
        <v>-0.99988949999999999</v>
      </c>
      <c r="N7227">
        <v>0</v>
      </c>
      <c r="O7227">
        <v>1.3131779999999999E-4</v>
      </c>
      <c r="P7227">
        <v>-0.99968190000000001</v>
      </c>
      <c r="Q7227">
        <v>1.303429E-2</v>
      </c>
      <c r="R7227">
        <v>-2.1592480000000001E-2</v>
      </c>
      <c r="S7227">
        <v>-3.0025940000000002</v>
      </c>
      <c r="T7227">
        <v>-7.0554019999999995E-2</v>
      </c>
      <c r="U7227">
        <v>3.2089230000000003E-2</v>
      </c>
      <c r="V7227">
        <v>-2.1745830000000001E-2</v>
      </c>
      <c r="W7227">
        <v>2.78745E-2</v>
      </c>
      <c r="X7227">
        <v>0.99937489999999995</v>
      </c>
      <c r="Y7227">
        <v>1.055236E-2</v>
      </c>
      <c r="Z7227">
        <v>1.208719E-4</v>
      </c>
      <c r="AA7227">
        <v>0.99994430000000001</v>
      </c>
      <c r="AB7227">
        <v>25</v>
      </c>
      <c r="AC7227">
        <v>-47.112199999999902</v>
      </c>
      <c r="AD7227">
        <v>-1.1108501566419999</v>
      </c>
      <c r="AE7227">
        <v>0.50549999999998296</v>
      </c>
      <c r="AF7227">
        <v>0.49903522943336498</v>
      </c>
      <c r="AG7227">
        <v>-1.1108501566419999</v>
      </c>
      <c r="AH7227">
        <v>47.0860909736056</v>
      </c>
      <c r="AI7227">
        <v>91.351389504029697</v>
      </c>
      <c r="AJ7227">
        <v>89.392781575216503</v>
      </c>
      <c r="AK7227">
        <v>47.101836348547899</v>
      </c>
      <c r="AL7227">
        <v>88.402701949195006</v>
      </c>
      <c r="AM7227">
        <v>91.246526900545007</v>
      </c>
      <c r="AN7227">
        <v>1.0000000298113201</v>
      </c>
    </row>
    <row r="7228" spans="1:40" x14ac:dyDescent="0.25">
      <c r="A7228" t="str">
        <f>"20190312150834107"</f>
        <v>20190312150834107</v>
      </c>
      <c r="B7228" t="str">
        <f>"1552374514096853"</f>
        <v>1552374514096853</v>
      </c>
      <c r="C7228" t="s">
        <v>40</v>
      </c>
      <c r="D7228">
        <v>4.2521839999999997</v>
      </c>
      <c r="E7228">
        <v>0.51269439999999999</v>
      </c>
      <c r="F7228" t="s">
        <v>42</v>
      </c>
      <c r="G7228">
        <v>-371.91289999999998</v>
      </c>
      <c r="H7228" s="1">
        <v>-3.9725760000000001E-6</v>
      </c>
      <c r="I7228">
        <v>141.5754</v>
      </c>
      <c r="J7228">
        <v>-324.4622</v>
      </c>
      <c r="K7228">
        <v>1.110859</v>
      </c>
      <c r="L7228">
        <v>141.06139999999999</v>
      </c>
      <c r="M7228">
        <v>-0.99988969999999999</v>
      </c>
      <c r="N7228">
        <v>0</v>
      </c>
      <c r="O7228">
        <v>-2.9678879999999998E-4</v>
      </c>
      <c r="P7228">
        <v>-0.99968900000000005</v>
      </c>
      <c r="Q7228">
        <v>1.2577400000000001E-2</v>
      </c>
      <c r="R7228">
        <v>-2.1538129999999999E-2</v>
      </c>
      <c r="S7228">
        <v>-3.0025629999999999</v>
      </c>
      <c r="T7228">
        <v>-6.9987060000000004E-2</v>
      </c>
      <c r="U7228">
        <v>3.2363889999999999E-2</v>
      </c>
      <c r="V7228">
        <v>-2.1263839999999999E-2</v>
      </c>
      <c r="W7228">
        <v>2.7412140000000002E-2</v>
      </c>
      <c r="X7228">
        <v>0.99939809999999996</v>
      </c>
      <c r="Y7228">
        <v>1.1071839999999999E-2</v>
      </c>
      <c r="Z7228">
        <v>1.3593359999999999E-4</v>
      </c>
      <c r="AA7228">
        <v>0.99993869999999896</v>
      </c>
      <c r="AB7228">
        <v>25</v>
      </c>
      <c r="AC7228">
        <v>-47.450699999999898</v>
      </c>
      <c r="AD7228">
        <v>-1.110862972576</v>
      </c>
      <c r="AE7228">
        <v>0.51400000000001</v>
      </c>
      <c r="AF7228">
        <v>0.52779513201471295</v>
      </c>
      <c r="AG7228">
        <v>-1.110862972576</v>
      </c>
      <c r="AH7228">
        <v>47.424556434009098</v>
      </c>
      <c r="AI7228">
        <v>91.341756018827198</v>
      </c>
      <c r="AJ7228">
        <v>89.362372842856203</v>
      </c>
      <c r="AK7228">
        <v>47.440501021887698</v>
      </c>
      <c r="AL7228">
        <v>88.429203414797399</v>
      </c>
      <c r="AM7228">
        <v>91.218878136925795</v>
      </c>
      <c r="AN7228">
        <v>1.0000000692972599</v>
      </c>
    </row>
    <row r="7229" spans="1:40" x14ac:dyDescent="0.25">
      <c r="A7229" t="str">
        <f>"20190312150834122"</f>
        <v>20190312150834122</v>
      </c>
      <c r="B7229" t="str">
        <f>"1552374514117349"</f>
        <v>1552374514117349</v>
      </c>
      <c r="C7229" t="s">
        <v>40</v>
      </c>
      <c r="D7229">
        <v>4.2632589999999997</v>
      </c>
      <c r="E7229">
        <v>0.51269770000000003</v>
      </c>
      <c r="F7229" t="s">
        <v>42</v>
      </c>
      <c r="G7229">
        <v>-372.3997</v>
      </c>
      <c r="H7229" s="1">
        <v>-3.7685559999999999E-6</v>
      </c>
      <c r="I7229">
        <v>141.59209999999999</v>
      </c>
      <c r="J7229">
        <v>-324.6225</v>
      </c>
      <c r="K7229">
        <v>1.110865</v>
      </c>
      <c r="L7229">
        <v>141.0609</v>
      </c>
      <c r="M7229">
        <v>-0.99988949999999999</v>
      </c>
      <c r="N7229">
        <v>0</v>
      </c>
      <c r="O7229">
        <v>-6.3637630000000001E-4</v>
      </c>
      <c r="P7229">
        <v>-0.99968279999999998</v>
      </c>
      <c r="Q7229">
        <v>1.258396E-2</v>
      </c>
      <c r="R7229">
        <v>-2.1814199999999999E-2</v>
      </c>
      <c r="S7229">
        <v>-3.0025330000000001</v>
      </c>
      <c r="T7229">
        <v>-6.9578169999999995E-2</v>
      </c>
      <c r="U7229">
        <v>3.3248899999999998E-2</v>
      </c>
      <c r="V7229">
        <v>-2.1200940000000001E-2</v>
      </c>
      <c r="W7229">
        <v>2.741501E-2</v>
      </c>
      <c r="X7229">
        <v>0.99939929999999999</v>
      </c>
      <c r="Y7229">
        <v>1.1706029999999999E-2</v>
      </c>
      <c r="Z7229">
        <v>1.5035649999999999E-4</v>
      </c>
      <c r="AA7229">
        <v>0.99993149999999997</v>
      </c>
      <c r="AB7229">
        <v>25</v>
      </c>
      <c r="AC7229">
        <v>-47.777199999999901</v>
      </c>
      <c r="AD7229">
        <v>-1.1108687685559999</v>
      </c>
      <c r="AE7229">
        <v>0.53119999999998402</v>
      </c>
      <c r="AF7229">
        <v>0.56130411491392695</v>
      </c>
      <c r="AG7229">
        <v>-1.1108687685559999</v>
      </c>
      <c r="AH7229">
        <v>47.751040740764701</v>
      </c>
      <c r="AI7229">
        <v>91.332582874307505</v>
      </c>
      <c r="AJ7229">
        <v>89.326530371381395</v>
      </c>
      <c r="AK7229">
        <v>47.767258489016797</v>
      </c>
      <c r="AL7229">
        <v>88.429038823648298</v>
      </c>
      <c r="AM7229">
        <v>91.215272230026599</v>
      </c>
      <c r="AN7229">
        <v>1.00000001173533</v>
      </c>
    </row>
    <row r="7230" spans="1:40" x14ac:dyDescent="0.25">
      <c r="A7230" t="str">
        <f>"20190312150834134"</f>
        <v>20190312150834134</v>
      </c>
      <c r="B7230" t="str">
        <f>"1552374514127108"</f>
        <v>1552374514127108</v>
      </c>
      <c r="C7230" t="s">
        <v>40</v>
      </c>
      <c r="D7230">
        <v>4.2959610000000001</v>
      </c>
      <c r="E7230">
        <v>0.51271029999999995</v>
      </c>
      <c r="F7230" t="s">
        <v>42</v>
      </c>
      <c r="G7230">
        <v>-371.40120000000002</v>
      </c>
      <c r="H7230" s="1">
        <v>-4.1449400000000002E-6</v>
      </c>
      <c r="I7230">
        <v>141.56530000000001</v>
      </c>
      <c r="J7230">
        <v>-324.76299999999998</v>
      </c>
      <c r="K7230">
        <v>1.1108709999999999</v>
      </c>
      <c r="L7230">
        <v>141.06049999999999</v>
      </c>
      <c r="M7230">
        <v>-0.99988940000000004</v>
      </c>
      <c r="N7230">
        <v>0</v>
      </c>
      <c r="O7230">
        <v>-9.3848849999999997E-4</v>
      </c>
      <c r="P7230">
        <v>-0.99968100000000004</v>
      </c>
      <c r="Q7230">
        <v>1.229764E-2</v>
      </c>
      <c r="R7230">
        <v>-2.2070200000000002E-2</v>
      </c>
      <c r="S7230">
        <v>-3.0025629999999999</v>
      </c>
      <c r="T7230">
        <v>-7.130301E-2</v>
      </c>
      <c r="U7230">
        <v>3.2379150000000002E-2</v>
      </c>
      <c r="V7230">
        <v>-2.11544E-2</v>
      </c>
      <c r="W7230">
        <v>2.7125199999999999E-2</v>
      </c>
      <c r="X7230">
        <v>0.99940819999999997</v>
      </c>
      <c r="Y7230">
        <v>1.171817E-2</v>
      </c>
      <c r="Z7230">
        <v>1.6139959999999999E-4</v>
      </c>
      <c r="AA7230">
        <v>0.99993129999999997</v>
      </c>
      <c r="AB7230">
        <v>25</v>
      </c>
      <c r="AC7230">
        <v>-46.638199999999998</v>
      </c>
      <c r="AD7230">
        <v>-1.1108751449399901</v>
      </c>
      <c r="AE7230">
        <v>0.50480000000001701</v>
      </c>
      <c r="AF7230">
        <v>0.54826299653574895</v>
      </c>
      <c r="AG7230">
        <v>-1.1108751449399901</v>
      </c>
      <c r="AH7230">
        <v>46.611264103668198</v>
      </c>
      <c r="AI7230">
        <v>91.365163803562993</v>
      </c>
      <c r="AJ7230">
        <v>89.326091927296204</v>
      </c>
      <c r="AK7230">
        <v>46.627723268919297</v>
      </c>
      <c r="AL7230">
        <v>88.445649900230805</v>
      </c>
      <c r="AM7230">
        <v>91.212594483887401</v>
      </c>
      <c r="AN7230">
        <v>1.0000000176708199</v>
      </c>
    </row>
    <row r="7231" spans="1:40" x14ac:dyDescent="0.25">
      <c r="A7231" t="str">
        <f>"20190312150834153"</f>
        <v>20190312150834153</v>
      </c>
      <c r="B7231" t="str">
        <f>"1552374514146629"</f>
        <v>1552374514146629</v>
      </c>
      <c r="C7231" t="s">
        <v>40</v>
      </c>
      <c r="D7231">
        <v>4.2634290000000004</v>
      </c>
      <c r="E7231">
        <v>0.51244529999999999</v>
      </c>
      <c r="F7231" t="s">
        <v>42</v>
      </c>
      <c r="G7231">
        <v>-370.31920000000002</v>
      </c>
      <c r="H7231" s="1">
        <v>-4.5093089999999998E-6</v>
      </c>
      <c r="I7231">
        <v>141.5438</v>
      </c>
      <c r="J7231">
        <v>-324.959</v>
      </c>
      <c r="K7231">
        <v>1.110873</v>
      </c>
      <c r="L7231">
        <v>141.0598</v>
      </c>
      <c r="M7231">
        <v>-0.99988889999999997</v>
      </c>
      <c r="N7231">
        <v>0</v>
      </c>
      <c r="O7231">
        <v>-1.3632430000000001E-3</v>
      </c>
      <c r="P7231">
        <v>-0.99967569999999994</v>
      </c>
      <c r="Q7231">
        <v>1.2524520000000001E-2</v>
      </c>
      <c r="R7231">
        <v>-2.2178739999999999E-2</v>
      </c>
      <c r="S7231">
        <v>-3.0025330000000001</v>
      </c>
      <c r="T7231">
        <v>-7.3215959999999997E-2</v>
      </c>
      <c r="U7231">
        <v>3.1860350000000003E-2</v>
      </c>
      <c r="V7231">
        <v>-2.083927E-2</v>
      </c>
      <c r="W7231">
        <v>2.7347320000000001E-2</v>
      </c>
      <c r="X7231">
        <v>0.99940870000000004</v>
      </c>
      <c r="Y7231">
        <v>1.196991E-2</v>
      </c>
      <c r="Z7231">
        <v>1.7915579999999999E-4</v>
      </c>
      <c r="AA7231">
        <v>0.99992840000000005</v>
      </c>
      <c r="AB7231">
        <v>25</v>
      </c>
      <c r="AC7231">
        <v>-45.360199999999999</v>
      </c>
      <c r="AD7231">
        <v>-1.110877509309</v>
      </c>
      <c r="AE7231">
        <v>0.48400000000000798</v>
      </c>
      <c r="AF7231">
        <v>0.54551619340186297</v>
      </c>
      <c r="AG7231">
        <v>-1.110877509309</v>
      </c>
      <c r="AH7231">
        <v>45.332312237953097</v>
      </c>
      <c r="AI7231">
        <v>91.403662170165106</v>
      </c>
      <c r="AJ7231">
        <v>89.310552111587896</v>
      </c>
      <c r="AK7231">
        <v>45.349202524379898</v>
      </c>
      <c r="AL7231">
        <v>88.432918533388005</v>
      </c>
      <c r="AM7231">
        <v>91.194535546706803</v>
      </c>
      <c r="AN7231">
        <v>0.99999995036050104</v>
      </c>
    </row>
    <row r="7232" spans="1:40" x14ac:dyDescent="0.25">
      <c r="A7232" t="str">
        <f>"20190312150834168"</f>
        <v>20190312150834168</v>
      </c>
      <c r="B7232" t="str">
        <f>"1552374514157365"</f>
        <v>1552374514157365</v>
      </c>
      <c r="C7232" t="s">
        <v>40</v>
      </c>
      <c r="D7232">
        <v>4.2623110000000004</v>
      </c>
      <c r="E7232">
        <v>0.51231629999999995</v>
      </c>
      <c r="F7232" t="s">
        <v>42</v>
      </c>
      <c r="G7232">
        <v>-372.05509999999998</v>
      </c>
      <c r="H7232" s="1">
        <v>-3.8975929999999998E-6</v>
      </c>
      <c r="I7232">
        <v>141.5214</v>
      </c>
      <c r="J7232">
        <v>-325.12889999999999</v>
      </c>
      <c r="K7232">
        <v>1.11087</v>
      </c>
      <c r="L7232">
        <v>141.0592</v>
      </c>
      <c r="M7232">
        <v>-0.99988840000000001</v>
      </c>
      <c r="N7232">
        <v>0</v>
      </c>
      <c r="O7232">
        <v>-1.734314E-3</v>
      </c>
      <c r="P7232">
        <v>-0.99966160000000004</v>
      </c>
      <c r="Q7232">
        <v>1.2518960000000001E-2</v>
      </c>
      <c r="R7232">
        <v>-2.2807819999999999E-2</v>
      </c>
      <c r="S7232">
        <v>-3.0025019999999998</v>
      </c>
      <c r="T7232">
        <v>-7.0821399999999896E-2</v>
      </c>
      <c r="U7232">
        <v>2.9434200000000001E-2</v>
      </c>
      <c r="V7232">
        <v>-2.1097089999999999E-2</v>
      </c>
      <c r="W7232">
        <v>2.733731E-2</v>
      </c>
      <c r="X7232">
        <v>0.99940359999999995</v>
      </c>
      <c r="Y7232">
        <v>1.1533470000000001E-2</v>
      </c>
      <c r="Z7232">
        <v>1.769064E-4</v>
      </c>
      <c r="AA7232">
        <v>0.99993350000000003</v>
      </c>
      <c r="AB7232">
        <v>25</v>
      </c>
      <c r="AC7232">
        <v>-46.926200000000001</v>
      </c>
      <c r="AD7232">
        <v>-1.1108738975929999</v>
      </c>
      <c r="AE7232">
        <v>0.462199999999995</v>
      </c>
      <c r="AF7232">
        <v>0.54328860164096004</v>
      </c>
      <c r="AG7232">
        <v>-1.1108738975929999</v>
      </c>
      <c r="AH7232">
        <v>46.899048008088101</v>
      </c>
      <c r="AI7232">
        <v>91.356791267903802</v>
      </c>
      <c r="AJ7232">
        <v>89.336303124216201</v>
      </c>
      <c r="AK7232">
        <v>46.915348313595402</v>
      </c>
      <c r="AL7232">
        <v>88.433492334063303</v>
      </c>
      <c r="AM7232">
        <v>91.209315950280995</v>
      </c>
      <c r="AN7232">
        <v>0.99999998570873105</v>
      </c>
    </row>
    <row r="7233" spans="1:40" x14ac:dyDescent="0.25">
      <c r="A7233" t="str">
        <f>"20190312150834186"</f>
        <v>20190312150834186</v>
      </c>
      <c r="B7233" t="str">
        <f>"1552374514176885"</f>
        <v>1552374514176885</v>
      </c>
      <c r="C7233" t="s">
        <v>40</v>
      </c>
      <c r="D7233">
        <v>4.2829660000000001</v>
      </c>
      <c r="E7233">
        <v>0.51218330000000001</v>
      </c>
      <c r="F7233" t="s">
        <v>42</v>
      </c>
      <c r="G7233">
        <v>-373.02569999999997</v>
      </c>
      <c r="H7233" s="1">
        <v>-3.4710529999999999E-6</v>
      </c>
      <c r="I7233">
        <v>141.48339999999999</v>
      </c>
      <c r="J7233">
        <v>-325.32920000000001</v>
      </c>
      <c r="K7233">
        <v>1.1108690000000001</v>
      </c>
      <c r="L7233">
        <v>141.0583</v>
      </c>
      <c r="M7233">
        <v>-0.99988750000000004</v>
      </c>
      <c r="N7233">
        <v>0</v>
      </c>
      <c r="O7233">
        <v>-2.173529E-3</v>
      </c>
      <c r="P7233">
        <v>-0.99966410000000006</v>
      </c>
      <c r="Q7233">
        <v>1.205401E-2</v>
      </c>
      <c r="R7233">
        <v>-2.293508E-2</v>
      </c>
      <c r="S7233">
        <v>-3.0025019999999998</v>
      </c>
      <c r="T7233">
        <v>-6.9637299999999999E-2</v>
      </c>
      <c r="U7233">
        <v>2.6596069999999999E-2</v>
      </c>
      <c r="V7233">
        <v>-2.0785209999999998E-2</v>
      </c>
      <c r="W7233">
        <v>2.686827E-2</v>
      </c>
      <c r="X7233">
        <v>0.99942279999999994</v>
      </c>
      <c r="Y7233">
        <v>1.1027729999999999E-2</v>
      </c>
      <c r="Z7233">
        <v>1.78272599999999E-4</v>
      </c>
      <c r="AA7233">
        <v>0.99993920000000003</v>
      </c>
      <c r="AB7233">
        <v>25</v>
      </c>
      <c r="AC7233">
        <v>-47.696499999999901</v>
      </c>
      <c r="AD7233">
        <v>-1.110872471053</v>
      </c>
      <c r="AE7233">
        <v>0.42509999999998599</v>
      </c>
      <c r="AF7233">
        <v>0.52849348512206595</v>
      </c>
      <c r="AG7233">
        <v>-1.110872471053</v>
      </c>
      <c r="AH7233">
        <v>47.669607174621298</v>
      </c>
      <c r="AI7233">
        <v>91.334873120232601</v>
      </c>
      <c r="AJ7233">
        <v>89.364811093095696</v>
      </c>
      <c r="AK7233">
        <v>47.685477780908002</v>
      </c>
      <c r="AL7233">
        <v>88.460376138647902</v>
      </c>
      <c r="AM7233">
        <v>91.191420843598294</v>
      </c>
      <c r="AN7233">
        <v>0.99999993102368601</v>
      </c>
    </row>
    <row r="7234" spans="1:40" x14ac:dyDescent="0.25">
      <c r="A7234" t="str">
        <f>"20190312150834200"</f>
        <v>20190312150834200</v>
      </c>
      <c r="B7234" t="str">
        <f>"1552374514196824"</f>
        <v>1552374514196824</v>
      </c>
      <c r="C7234" t="s">
        <v>40</v>
      </c>
      <c r="D7234">
        <v>4.2590879999999904</v>
      </c>
      <c r="E7234">
        <v>0.51199099999999997</v>
      </c>
      <c r="F7234" t="s">
        <v>42</v>
      </c>
      <c r="G7234">
        <v>-372.35419999999999</v>
      </c>
      <c r="H7234" s="1">
        <v>-3.7508639999999998E-6</v>
      </c>
      <c r="I7234">
        <v>141.45230000000001</v>
      </c>
      <c r="J7234">
        <v>-325.48570000000001</v>
      </c>
      <c r="K7234">
        <v>1.110867</v>
      </c>
      <c r="L7234">
        <v>141.05760000000001</v>
      </c>
      <c r="M7234">
        <v>-0.99988679999999996</v>
      </c>
      <c r="N7234">
        <v>0</v>
      </c>
      <c r="O7234">
        <v>-2.51761E-3</v>
      </c>
      <c r="P7234">
        <v>-0.99965300000000001</v>
      </c>
      <c r="Q7234">
        <v>1.207391E-2</v>
      </c>
      <c r="R7234">
        <v>-2.341066E-2</v>
      </c>
      <c r="S7234">
        <v>-3.0024109999999999</v>
      </c>
      <c r="T7234">
        <v>-7.0925950000000001E-2</v>
      </c>
      <c r="U7234">
        <v>2.5161739999999998E-2</v>
      </c>
      <c r="V7234">
        <v>-2.0916259999999999E-2</v>
      </c>
      <c r="W7234">
        <v>2.6884000000000002E-2</v>
      </c>
      <c r="X7234">
        <v>0.99941970000000002</v>
      </c>
      <c r="Y7234">
        <v>1.0894249999999999E-2</v>
      </c>
      <c r="Z7234">
        <v>1.8812810000000001E-4</v>
      </c>
      <c r="AA7234">
        <v>0.99994059999999996</v>
      </c>
      <c r="AB7234">
        <v>25</v>
      </c>
      <c r="AC7234">
        <v>-46.868499999999898</v>
      </c>
      <c r="AD7234">
        <v>-1.1108707508639999</v>
      </c>
      <c r="AE7234">
        <v>0.3947</v>
      </c>
      <c r="AF7234">
        <v>0.51242049148694202</v>
      </c>
      <c r="AG7234">
        <v>-1.1108707508639999</v>
      </c>
      <c r="AH7234">
        <v>46.8410452059506</v>
      </c>
      <c r="AI7234">
        <v>91.358476750813907</v>
      </c>
      <c r="AJ7234">
        <v>89.373234302045802</v>
      </c>
      <c r="AK7234">
        <v>46.857017879621097</v>
      </c>
      <c r="AL7234">
        <v>88.459474638194195</v>
      </c>
      <c r="AM7234">
        <v>91.198934241094605</v>
      </c>
      <c r="AN7234">
        <v>0.99999998806823798</v>
      </c>
    </row>
    <row r="7235" spans="1:40" x14ac:dyDescent="0.25">
      <c r="A7235" t="str">
        <f>"20190312150834220"</f>
        <v>20190312150834220</v>
      </c>
      <c r="B7235" t="str">
        <f>"1552374514207560"</f>
        <v>1552374514207560</v>
      </c>
      <c r="C7235" t="s">
        <v>40</v>
      </c>
      <c r="D7235">
        <v>4.2829069999999998</v>
      </c>
      <c r="E7235">
        <v>0.51188459999999902</v>
      </c>
      <c r="F7235" t="s">
        <v>42</v>
      </c>
      <c r="G7235">
        <v>-373.7201</v>
      </c>
      <c r="H7235" s="1">
        <v>-3.1547839999999998E-6</v>
      </c>
      <c r="I7235">
        <v>141.41419999999999</v>
      </c>
      <c r="J7235">
        <v>-325.68889999999999</v>
      </c>
      <c r="K7235">
        <v>1.1108640000000001</v>
      </c>
      <c r="L7235">
        <v>141.0566</v>
      </c>
      <c r="M7235">
        <v>-0.99988569999999999</v>
      </c>
      <c r="N7235">
        <v>0</v>
      </c>
      <c r="O7235">
        <v>-2.9629859999999999E-3</v>
      </c>
      <c r="P7235">
        <v>-0.99964010000000003</v>
      </c>
      <c r="Q7235">
        <v>1.208597E-2</v>
      </c>
      <c r="R7235">
        <v>-2.395655E-2</v>
      </c>
      <c r="S7235">
        <v>-3.00238</v>
      </c>
      <c r="T7235">
        <v>-6.9146990000000005E-2</v>
      </c>
      <c r="U7235">
        <v>2.2201539999999999E-2</v>
      </c>
      <c r="V7235">
        <v>-2.101633E-2</v>
      </c>
      <c r="W7235">
        <v>2.6891149999999999E-2</v>
      </c>
      <c r="X7235">
        <v>0.99941740000000001</v>
      </c>
      <c r="Y7235">
        <v>1.035411E-2</v>
      </c>
      <c r="Z7235">
        <v>1.8745130000000001E-4</v>
      </c>
      <c r="AA7235">
        <v>0.99994640000000001</v>
      </c>
      <c r="AB7235">
        <v>25</v>
      </c>
      <c r="AC7235">
        <v>-48.031199999999998</v>
      </c>
      <c r="AD7235">
        <v>-1.1108671547840001</v>
      </c>
      <c r="AE7235">
        <v>0.35759999999998998</v>
      </c>
      <c r="AF7235">
        <v>0.49966258905862398</v>
      </c>
      <c r="AG7235">
        <v>-1.1108671547840001</v>
      </c>
      <c r="AH7235">
        <v>48.004253098741103</v>
      </c>
      <c r="AI7235">
        <v>91.325574132972903</v>
      </c>
      <c r="AJ7235">
        <v>89.403646096597797</v>
      </c>
      <c r="AK7235">
        <v>48.019704331726899</v>
      </c>
      <c r="AL7235">
        <v>88.459064812380902</v>
      </c>
      <c r="AM7235">
        <v>91.204671406730398</v>
      </c>
      <c r="AN7235">
        <v>0.999999979748875</v>
      </c>
    </row>
    <row r="7236" spans="1:40" x14ac:dyDescent="0.25">
      <c r="A7236" t="str">
        <f>"20190312150834242"</f>
        <v>20190312150834242</v>
      </c>
      <c r="B7236" t="str">
        <f>"1552374514236839"</f>
        <v>1552374514236839</v>
      </c>
      <c r="C7236" t="s">
        <v>40</v>
      </c>
      <c r="D7236">
        <v>4.2535679999999996</v>
      </c>
      <c r="E7236">
        <v>0.51176920000000004</v>
      </c>
      <c r="F7236" t="s">
        <v>42</v>
      </c>
      <c r="G7236">
        <v>-374.79390000000001</v>
      </c>
      <c r="H7236" s="1">
        <v>-2.685196E-6</v>
      </c>
      <c r="I7236">
        <v>141.38069999999999</v>
      </c>
      <c r="J7236">
        <v>-325.94330000000002</v>
      </c>
      <c r="K7236">
        <v>1.1108610000000001</v>
      </c>
      <c r="L7236">
        <v>141.05520000000001</v>
      </c>
      <c r="M7236">
        <v>-0.99988390000000005</v>
      </c>
      <c r="N7236">
        <v>0</v>
      </c>
      <c r="O7236">
        <v>-3.5187180000000001E-3</v>
      </c>
      <c r="P7236">
        <v>-0.99962189999999995</v>
      </c>
      <c r="Q7236">
        <v>1.2044900000000001E-2</v>
      </c>
      <c r="R7236">
        <v>-2.4725069999999998E-2</v>
      </c>
      <c r="S7236">
        <v>-3.00238</v>
      </c>
      <c r="T7236">
        <v>-6.7920679999999997E-2</v>
      </c>
      <c r="U7236">
        <v>1.9821169999999999E-2</v>
      </c>
      <c r="V7236">
        <v>-2.1229379999999999E-2</v>
      </c>
      <c r="W7236">
        <v>2.6843490000000001E-2</v>
      </c>
      <c r="X7236">
        <v>0.99941420000000003</v>
      </c>
      <c r="Y7236">
        <v>1.011717E-2</v>
      </c>
      <c r="Z7236">
        <v>1.940201E-4</v>
      </c>
      <c r="AA7236">
        <v>0.99994879999999997</v>
      </c>
      <c r="AB7236">
        <v>25</v>
      </c>
      <c r="AC7236">
        <v>-48.850599999999901</v>
      </c>
      <c r="AD7236">
        <v>-1.1108636851960001</v>
      </c>
      <c r="AE7236">
        <v>0.32549999999997598</v>
      </c>
      <c r="AF7236">
        <v>0.49715129466240698</v>
      </c>
      <c r="AG7236">
        <v>-1.1108636851960001</v>
      </c>
      <c r="AH7236">
        <v>48.823905905879201</v>
      </c>
      <c r="AI7236">
        <v>91.303327179506397</v>
      </c>
      <c r="AJ7236">
        <v>89.416603689783997</v>
      </c>
      <c r="AK7236">
        <v>48.839072118980901</v>
      </c>
      <c r="AL7236">
        <v>88.461796548638901</v>
      </c>
      <c r="AM7236">
        <v>91.216883830009195</v>
      </c>
      <c r="AN7236">
        <v>1.0000000013460999</v>
      </c>
    </row>
    <row r="7237" spans="1:40" x14ac:dyDescent="0.25">
      <c r="A7237" t="str">
        <f>"20190312150834266"</f>
        <v>20190312150834266</v>
      </c>
      <c r="B7237" t="str">
        <f>"1552374514257335"</f>
        <v>1552374514257335</v>
      </c>
      <c r="C7237" t="s">
        <v>40</v>
      </c>
      <c r="D7237">
        <v>4.2801879999999999</v>
      </c>
      <c r="E7237">
        <v>0.51166959999999995</v>
      </c>
      <c r="F7237" t="s">
        <v>42</v>
      </c>
      <c r="G7237">
        <v>-375.46980000000002</v>
      </c>
      <c r="H7237" s="1">
        <v>-2.3814249999999998E-6</v>
      </c>
      <c r="I7237">
        <v>141.3287</v>
      </c>
      <c r="J7237">
        <v>-326.18700000000001</v>
      </c>
      <c r="K7237">
        <v>1.110857</v>
      </c>
      <c r="L7237">
        <v>141.05369999999999</v>
      </c>
      <c r="M7237">
        <v>-0.9998821</v>
      </c>
      <c r="N7237">
        <v>0</v>
      </c>
      <c r="O7237">
        <v>-4.0482360000000002E-3</v>
      </c>
      <c r="P7237">
        <v>-0.99960119999999997</v>
      </c>
      <c r="Q7237">
        <v>1.1783180000000001E-2</v>
      </c>
      <c r="R7237">
        <v>-2.5669580000000001E-2</v>
      </c>
      <c r="S7237">
        <v>-3.0023499999999999</v>
      </c>
      <c r="T7237">
        <v>-6.7341799999999993E-2</v>
      </c>
      <c r="U7237">
        <v>1.6586299999999998E-2</v>
      </c>
      <c r="V7237">
        <v>-2.1643659999999999E-2</v>
      </c>
      <c r="W7237">
        <v>2.6575600000000001E-2</v>
      </c>
      <c r="X7237">
        <v>0.99941250000000004</v>
      </c>
      <c r="Y7237">
        <v>9.5695039999999995E-3</v>
      </c>
      <c r="Z7237">
        <v>1.9810490000000001E-4</v>
      </c>
      <c r="AA7237">
        <v>0.99995420000000002</v>
      </c>
      <c r="AB7237">
        <v>24</v>
      </c>
      <c r="AC7237">
        <v>-49.282800000000002</v>
      </c>
      <c r="AD7237">
        <v>-1.1108593814250001</v>
      </c>
      <c r="AE7237">
        <v>0.27500000000000502</v>
      </c>
      <c r="AF7237">
        <v>0.47428707503987499</v>
      </c>
      <c r="AG7237">
        <v>-1.1108593814250001</v>
      </c>
      <c r="AH7237">
        <v>49.256257623300598</v>
      </c>
      <c r="AI7237">
        <v>91.291893066866095</v>
      </c>
      <c r="AJ7237">
        <v>89.448317651726995</v>
      </c>
      <c r="AK7237">
        <v>49.271065259925201</v>
      </c>
      <c r="AL7237">
        <v>88.477151033306995</v>
      </c>
      <c r="AM7237">
        <v>91.240625426170695</v>
      </c>
      <c r="AN7237">
        <v>1.0000000278448999</v>
      </c>
    </row>
    <row r="7238" spans="1:40" x14ac:dyDescent="0.25">
      <c r="A7238" t="str">
        <f>"20190312150834287"</f>
        <v>20190312150834287</v>
      </c>
      <c r="B7238" t="str">
        <f>"1552374514276856"</f>
        <v>1552374514276856</v>
      </c>
      <c r="C7238" t="s">
        <v>40</v>
      </c>
      <c r="D7238">
        <v>4.215713</v>
      </c>
      <c r="E7238">
        <v>0.51174819999999999</v>
      </c>
      <c r="F7238" t="s">
        <v>42</v>
      </c>
      <c r="G7238">
        <v>-376.50020000000001</v>
      </c>
      <c r="H7238" s="1">
        <v>-1.9238309999999999E-6</v>
      </c>
      <c r="I7238">
        <v>141.27019999999999</v>
      </c>
      <c r="J7238">
        <v>-326.43150000000003</v>
      </c>
      <c r="K7238">
        <v>1.1108559999999901</v>
      </c>
      <c r="L7238">
        <v>141.0521</v>
      </c>
      <c r="M7238">
        <v>-0.99987979999999999</v>
      </c>
      <c r="N7238">
        <v>0</v>
      </c>
      <c r="O7238">
        <v>-4.5764489999999998E-3</v>
      </c>
      <c r="P7238">
        <v>-0.99957569999999996</v>
      </c>
      <c r="Q7238">
        <v>1.17546E-2</v>
      </c>
      <c r="R7238">
        <v>-2.6655020000000001E-2</v>
      </c>
      <c r="S7238">
        <v>-3.002319</v>
      </c>
      <c r="T7238">
        <v>-6.6287879999999993E-2</v>
      </c>
      <c r="U7238">
        <v>1.292419E-2</v>
      </c>
      <c r="V7238">
        <v>-2.210165E-2</v>
      </c>
      <c r="W7238">
        <v>2.65408E-2</v>
      </c>
      <c r="X7238">
        <v>0.99940340000000005</v>
      </c>
      <c r="Y7238">
        <v>8.8782819999999995E-3</v>
      </c>
      <c r="Z7238">
        <v>1.990401E-4</v>
      </c>
      <c r="AA7238">
        <v>0.99996050000000003</v>
      </c>
      <c r="AB7238">
        <v>24</v>
      </c>
      <c r="AC7238">
        <v>-50.0686999999999</v>
      </c>
      <c r="AD7238">
        <v>-1.1108579238309999</v>
      </c>
      <c r="AE7238">
        <v>0.21809999999999199</v>
      </c>
      <c r="AF7238">
        <v>0.44703966239817999</v>
      </c>
      <c r="AG7238">
        <v>-1.1108579238309999</v>
      </c>
      <c r="AH7238">
        <v>50.042544432396198</v>
      </c>
      <c r="AI7238">
        <v>91.271607627392001</v>
      </c>
      <c r="AJ7238">
        <v>89.488179409772698</v>
      </c>
      <c r="AK7238">
        <v>50.056868690071298</v>
      </c>
      <c r="AL7238">
        <v>88.479145627835095</v>
      </c>
      <c r="AM7238">
        <v>91.266880706874105</v>
      </c>
      <c r="AN7238">
        <v>1.00000002646446</v>
      </c>
    </row>
    <row r="7239" spans="1:40" x14ac:dyDescent="0.25">
      <c r="A7239" t="str">
        <f>"20190312150834300"</f>
        <v>20190312150834300</v>
      </c>
      <c r="B7239" t="str">
        <f>"1552374514297352"</f>
        <v>1552374514297352</v>
      </c>
      <c r="C7239" t="s">
        <v>40</v>
      </c>
      <c r="D7239">
        <v>4.1851129999999896</v>
      </c>
      <c r="E7239">
        <v>0.51179470000000005</v>
      </c>
      <c r="F7239" t="s">
        <v>42</v>
      </c>
      <c r="G7239">
        <v>-375.91950000000003</v>
      </c>
      <c r="H7239" s="1">
        <v>-2.1615189999999999E-6</v>
      </c>
      <c r="I7239">
        <v>141.22739999999999</v>
      </c>
      <c r="J7239">
        <v>-326.57850000000002</v>
      </c>
      <c r="K7239">
        <v>1.110859</v>
      </c>
      <c r="L7239">
        <v>141.05109999999999</v>
      </c>
      <c r="M7239">
        <v>-0.9998785</v>
      </c>
      <c r="N7239">
        <v>0</v>
      </c>
      <c r="O7239">
        <v>-4.8933539999999999E-3</v>
      </c>
      <c r="P7239">
        <v>-0.99956270000000003</v>
      </c>
      <c r="Q7239">
        <v>1.2018360000000001E-2</v>
      </c>
      <c r="R7239">
        <v>-2.7023769999999999E-2</v>
      </c>
      <c r="S7239">
        <v>-3.0023499999999999</v>
      </c>
      <c r="T7239">
        <v>-6.739378E-2</v>
      </c>
      <c r="U7239">
        <v>1.063538E-2</v>
      </c>
      <c r="V7239">
        <v>-2.215344E-2</v>
      </c>
      <c r="W7239">
        <v>2.680107E-2</v>
      </c>
      <c r="X7239">
        <v>0.99939529999999999</v>
      </c>
      <c r="Y7239">
        <v>8.4327900000000008E-3</v>
      </c>
      <c r="Z7239">
        <v>2.0447219999999999E-4</v>
      </c>
      <c r="AA7239">
        <v>0.99996439999999998</v>
      </c>
      <c r="AB7239">
        <v>24</v>
      </c>
      <c r="AC7239">
        <v>-49.341000000000001</v>
      </c>
      <c r="AD7239">
        <v>-1.1108611615189901</v>
      </c>
      <c r="AE7239">
        <v>0.17629999999999699</v>
      </c>
      <c r="AF7239">
        <v>0.41755566852190701</v>
      </c>
      <c r="AG7239">
        <v>-1.1108611615189901</v>
      </c>
      <c r="AH7239">
        <v>49.314550186576902</v>
      </c>
      <c r="AI7239">
        <v>91.290382119067601</v>
      </c>
      <c r="AJ7239">
        <v>89.514877339088002</v>
      </c>
      <c r="AK7239">
        <v>49.328827528747297</v>
      </c>
      <c r="AL7239">
        <v>88.464227937419807</v>
      </c>
      <c r="AM7239">
        <v>91.269858660508703</v>
      </c>
      <c r="AN7239">
        <v>1.0000000189595299</v>
      </c>
    </row>
    <row r="7240" spans="1:40" x14ac:dyDescent="0.25">
      <c r="A7240" t="str">
        <f>"20190312150834313"</f>
        <v>20190312150834313</v>
      </c>
      <c r="B7240" t="str">
        <f>"1552374514307112"</f>
        <v>1552374514307112</v>
      </c>
      <c r="C7240" t="s">
        <v>40</v>
      </c>
      <c r="D7240">
        <v>4.1151900000000001</v>
      </c>
      <c r="E7240">
        <v>0.51161179999999995</v>
      </c>
      <c r="F7240" t="s">
        <v>42</v>
      </c>
      <c r="G7240">
        <v>-376.47640000000001</v>
      </c>
      <c r="H7240" s="1">
        <v>-1.9190019999999998E-6</v>
      </c>
      <c r="I7240">
        <v>141.21379999999999</v>
      </c>
      <c r="J7240">
        <v>-326.72109999999998</v>
      </c>
      <c r="K7240">
        <v>1.1108579999999999</v>
      </c>
      <c r="L7240">
        <v>141.05000000000001</v>
      </c>
      <c r="M7240">
        <v>-0.99987689999999996</v>
      </c>
      <c r="N7240">
        <v>0</v>
      </c>
      <c r="O7240">
        <v>-5.2003680000000004E-3</v>
      </c>
      <c r="P7240">
        <v>-0.99954290000000001</v>
      </c>
      <c r="Q7240">
        <v>1.2246480000000001E-2</v>
      </c>
      <c r="R7240">
        <v>-2.7647250000000002E-2</v>
      </c>
      <c r="S7240">
        <v>-3.0024109999999999</v>
      </c>
      <c r="T7240">
        <v>-6.6841719999999993E-2</v>
      </c>
      <c r="U7240">
        <v>9.7961430000000002E-3</v>
      </c>
      <c r="V7240">
        <v>-2.2470210000000001E-2</v>
      </c>
      <c r="W7240">
        <v>2.7025090000000002E-2</v>
      </c>
      <c r="X7240">
        <v>0.9993822</v>
      </c>
      <c r="Y7240">
        <v>8.4602240000000006E-3</v>
      </c>
      <c r="Z7240">
        <v>2.0993380000000001E-4</v>
      </c>
      <c r="AA7240">
        <v>0.99996419999999997</v>
      </c>
      <c r="AB7240">
        <v>24</v>
      </c>
      <c r="AC7240">
        <v>-49.755299999999998</v>
      </c>
      <c r="AD7240">
        <v>-1.1108599190020001</v>
      </c>
      <c r="AE7240">
        <v>0.16379999999997999</v>
      </c>
      <c r="AF7240">
        <v>0.42236147747189501</v>
      </c>
      <c r="AG7240">
        <v>-1.1108599190020001</v>
      </c>
      <c r="AH7240">
        <v>49.728986958328498</v>
      </c>
      <c r="AI7240">
        <v>91.279630071022495</v>
      </c>
      <c r="AJ7240">
        <v>89.513383446734295</v>
      </c>
      <c r="AK7240">
        <v>49.743185893938303</v>
      </c>
      <c r="AL7240">
        <v>88.451387893577206</v>
      </c>
      <c r="AM7240">
        <v>91.288027056721404</v>
      </c>
      <c r="AN7240">
        <v>1.00000002375189</v>
      </c>
    </row>
    <row r="7241" spans="1:40" x14ac:dyDescent="0.25">
      <c r="A7241" t="str">
        <f>"20190312150834326"</f>
        <v>20190312150834326</v>
      </c>
      <c r="B7241" t="str">
        <f>"1552374514316873"</f>
        <v>1552374514316873</v>
      </c>
      <c r="C7241" t="s">
        <v>40</v>
      </c>
      <c r="D7241">
        <v>4.1907550000000002</v>
      </c>
      <c r="E7241">
        <v>0.51140909999999995</v>
      </c>
      <c r="F7241" t="s">
        <v>42</v>
      </c>
      <c r="G7241">
        <v>-377.57510000000002</v>
      </c>
      <c r="H7241" s="1">
        <v>-1.433796E-6</v>
      </c>
      <c r="I7241">
        <v>141.16159999999999</v>
      </c>
      <c r="J7241">
        <v>-326.8605</v>
      </c>
      <c r="K7241">
        <v>1.110857</v>
      </c>
      <c r="L7241">
        <v>141.04900000000001</v>
      </c>
      <c r="M7241">
        <v>-0.99987539999999997</v>
      </c>
      <c r="N7241">
        <v>0</v>
      </c>
      <c r="O7241">
        <v>-5.5003519999999896E-3</v>
      </c>
      <c r="P7241">
        <v>-0.99951270000000003</v>
      </c>
      <c r="Q7241">
        <v>1.267072E-2</v>
      </c>
      <c r="R7241">
        <v>-2.8530389999999999E-2</v>
      </c>
      <c r="S7241">
        <v>-3.002319</v>
      </c>
      <c r="T7241">
        <v>-6.5582989999999994E-2</v>
      </c>
      <c r="U7241">
        <v>6.5917969999999999E-3</v>
      </c>
      <c r="V7241">
        <v>-2.3053710000000002E-2</v>
      </c>
      <c r="W7241">
        <v>2.744504E-2</v>
      </c>
      <c r="X7241">
        <v>0.99935750000000001</v>
      </c>
      <c r="Y7241">
        <v>7.6933230000000002E-3</v>
      </c>
      <c r="Z7241">
        <v>2.041655E-4</v>
      </c>
      <c r="AA7241">
        <v>0.99997040000000004</v>
      </c>
      <c r="AB7241">
        <v>24</v>
      </c>
      <c r="AC7241">
        <v>-50.714599999999997</v>
      </c>
      <c r="AD7241">
        <v>-1.1108584337959999</v>
      </c>
      <c r="AE7241">
        <v>0.112599999999986</v>
      </c>
      <c r="AF7241">
        <v>0.391389204217438</v>
      </c>
      <c r="AG7241">
        <v>-1.1108584337959999</v>
      </c>
      <c r="AH7241">
        <v>50.688893344986802</v>
      </c>
      <c r="AI7241">
        <v>91.255411448441507</v>
      </c>
      <c r="AJ7241">
        <v>89.557605178843204</v>
      </c>
      <c r="AK7241">
        <v>50.702574890320498</v>
      </c>
      <c r="AL7241">
        <v>88.427317656979497</v>
      </c>
      <c r="AM7241">
        <v>91.321495115219193</v>
      </c>
      <c r="AN7241">
        <v>1.0000000582858</v>
      </c>
    </row>
    <row r="7242" spans="1:40" x14ac:dyDescent="0.25">
      <c r="A7242" t="str">
        <f>"20190312150834343"</f>
        <v>20190312150834343</v>
      </c>
      <c r="B7242" t="str">
        <f>"1552374514337368"</f>
        <v>1552374514337368</v>
      </c>
      <c r="C7242" t="s">
        <v>40</v>
      </c>
      <c r="D7242">
        <v>4.1397459999999997</v>
      </c>
      <c r="E7242">
        <v>0.51103969999999999</v>
      </c>
      <c r="F7242" t="s">
        <v>42</v>
      </c>
      <c r="G7242">
        <v>-379.11380000000003</v>
      </c>
      <c r="H7242" s="1">
        <v>-7.5470839999999897E-7</v>
      </c>
      <c r="I7242">
        <v>141.09030000000001</v>
      </c>
      <c r="J7242">
        <v>-327.03500000000003</v>
      </c>
      <c r="K7242">
        <v>1.110868</v>
      </c>
      <c r="L7242">
        <v>141.04759999999999</v>
      </c>
      <c r="M7242">
        <v>-0.99987349999999997</v>
      </c>
      <c r="N7242">
        <v>0</v>
      </c>
      <c r="O7242">
        <v>-5.8762529999999997E-3</v>
      </c>
      <c r="P7242">
        <v>-0.999471</v>
      </c>
      <c r="Q7242">
        <v>1.314588E-2</v>
      </c>
      <c r="R7242">
        <v>-2.975357E-2</v>
      </c>
      <c r="S7242">
        <v>-3.002319</v>
      </c>
      <c r="T7242">
        <v>-6.3826560000000004E-2</v>
      </c>
      <c r="U7242">
        <v>2.380371E-3</v>
      </c>
      <c r="V7242">
        <v>-2.3902090000000001E-2</v>
      </c>
      <c r="W7242">
        <v>2.7915019999999999E-2</v>
      </c>
      <c r="X7242">
        <v>0.99932449999999995</v>
      </c>
      <c r="Y7242">
        <v>6.66689E-3</v>
      </c>
      <c r="Z7242">
        <v>1.957808E-4</v>
      </c>
      <c r="AA7242">
        <v>0.99997780000000003</v>
      </c>
      <c r="AB7242">
        <v>24</v>
      </c>
      <c r="AC7242">
        <v>-52.078800000000001</v>
      </c>
      <c r="AD7242">
        <v>-1.1108687547084</v>
      </c>
      <c r="AE7242">
        <v>4.2700000000024801E-2</v>
      </c>
      <c r="AF7242">
        <v>0.34860228823797801</v>
      </c>
      <c r="AG7242">
        <v>-1.1108687547084</v>
      </c>
      <c r="AH7242">
        <v>52.053965591408897</v>
      </c>
      <c r="AI7242">
        <v>91.222519826150503</v>
      </c>
      <c r="AJ7242">
        <v>89.616299334172894</v>
      </c>
      <c r="AK7242">
        <v>52.066984613449002</v>
      </c>
      <c r="AL7242">
        <v>88.400379384441706</v>
      </c>
      <c r="AM7242">
        <v>91.370153353182502</v>
      </c>
      <c r="AN7242">
        <v>1.0000000072741</v>
      </c>
    </row>
    <row r="7243" spans="1:40" x14ac:dyDescent="0.25">
      <c r="A7243" t="str">
        <f>"20190312150834357"</f>
        <v>20190312150834357</v>
      </c>
      <c r="B7243" t="str">
        <f>"1552374514347128"</f>
        <v>1552374514347128</v>
      </c>
      <c r="C7243" t="s">
        <v>40</v>
      </c>
      <c r="D7243">
        <v>4.1901760000000001</v>
      </c>
      <c r="E7243">
        <v>0.51085950000000002</v>
      </c>
      <c r="F7243" t="s">
        <v>42</v>
      </c>
      <c r="G7243">
        <v>-381.30430000000001</v>
      </c>
      <c r="H7243" s="1">
        <v>-4.0726970000000001E-6</v>
      </c>
      <c r="I7243">
        <v>140.97219999999999</v>
      </c>
      <c r="J7243">
        <v>-327.19810000000001</v>
      </c>
      <c r="K7243">
        <v>1.11087</v>
      </c>
      <c r="L7243">
        <v>141.0462</v>
      </c>
      <c r="M7243">
        <v>-0.99987119999999996</v>
      </c>
      <c r="N7243">
        <v>0</v>
      </c>
      <c r="O7243">
        <v>-6.2272500000000001E-3</v>
      </c>
      <c r="P7243">
        <v>-0.99944619999999995</v>
      </c>
      <c r="Q7243">
        <v>1.356665E-2</v>
      </c>
      <c r="R7243">
        <v>-3.0390170000000001E-2</v>
      </c>
      <c r="S7243">
        <v>-3.0022280000000001</v>
      </c>
      <c r="T7243">
        <v>-6.145453E-2</v>
      </c>
      <c r="U7243">
        <v>-4.1656489999999996E-3</v>
      </c>
      <c r="V7243">
        <v>-2.4187719999999999E-2</v>
      </c>
      <c r="W7243">
        <v>2.833113E-2</v>
      </c>
      <c r="X7243">
        <v>0.99930589999999997</v>
      </c>
      <c r="Y7243">
        <v>4.8381170000000003E-3</v>
      </c>
      <c r="Z7243">
        <v>1.769815E-4</v>
      </c>
      <c r="AA7243">
        <v>0.99998830000000005</v>
      </c>
      <c r="AB7243">
        <v>24</v>
      </c>
      <c r="AC7243">
        <v>-54.106200000000001</v>
      </c>
      <c r="AD7243">
        <v>-1.1108740726969999</v>
      </c>
      <c r="AE7243">
        <v>-7.4000000000012195E-2</v>
      </c>
      <c r="AF7243">
        <v>0.26286033127202901</v>
      </c>
      <c r="AG7243">
        <v>-1.1108740726969999</v>
      </c>
      <c r="AH7243">
        <v>54.082813685842801</v>
      </c>
      <c r="AI7243">
        <v>91.176689807702402</v>
      </c>
      <c r="AJ7243">
        <v>89.721525786735896</v>
      </c>
      <c r="AK7243">
        <v>54.094859949321702</v>
      </c>
      <c r="AL7243">
        <v>88.376528576240105</v>
      </c>
      <c r="AM7243">
        <v>91.386546130497393</v>
      </c>
      <c r="AN7243">
        <v>0.99999999025034203</v>
      </c>
    </row>
    <row r="7244" spans="1:40" x14ac:dyDescent="0.25">
      <c r="A7244" t="str">
        <f>"20190312150834377"</f>
        <v>20190312150834377</v>
      </c>
      <c r="B7244" t="str">
        <f>"1552374514366648"</f>
        <v>1552374514366648</v>
      </c>
      <c r="C7244" t="s">
        <v>40</v>
      </c>
      <c r="D7244">
        <v>4.12209</v>
      </c>
      <c r="E7244">
        <v>0.51058979999999998</v>
      </c>
      <c r="F7244" t="s">
        <v>42</v>
      </c>
      <c r="G7244">
        <v>-382.84230000000002</v>
      </c>
      <c r="H7244" s="1">
        <v>-3.3964790000000001E-6</v>
      </c>
      <c r="I7244">
        <v>140.90729999999999</v>
      </c>
      <c r="J7244">
        <v>-327.39890000000003</v>
      </c>
      <c r="K7244">
        <v>1.110878</v>
      </c>
      <c r="L7244">
        <v>141.0445</v>
      </c>
      <c r="M7244">
        <v>-0.99986850000000005</v>
      </c>
      <c r="N7244">
        <v>0</v>
      </c>
      <c r="O7244">
        <v>-6.6597669999999996E-3</v>
      </c>
      <c r="P7244">
        <v>-0.99940410000000002</v>
      </c>
      <c r="Q7244">
        <v>1.4061270000000001E-2</v>
      </c>
      <c r="R7244">
        <v>-3.1525599999999897E-2</v>
      </c>
      <c r="S7244">
        <v>-3.0022579999999999</v>
      </c>
      <c r="T7244">
        <v>-5.9936759999999999E-2</v>
      </c>
      <c r="U7244">
        <v>-7.492065E-3</v>
      </c>
      <c r="V7244">
        <v>-2.489164E-2</v>
      </c>
      <c r="W7244">
        <v>2.8820640000000002E-2</v>
      </c>
      <c r="X7244">
        <v>0.99927460000000001</v>
      </c>
      <c r="Y7244">
        <v>4.1629049999999997E-3</v>
      </c>
      <c r="Z7244">
        <v>1.7450459999999901E-4</v>
      </c>
      <c r="AA7244">
        <v>0.99999130000000003</v>
      </c>
      <c r="AB7244">
        <v>24</v>
      </c>
      <c r="AC7244">
        <v>-55.443399999999997</v>
      </c>
      <c r="AD7244">
        <v>-1.1108813964790001</v>
      </c>
      <c r="AE7244">
        <v>-0.13720000000000701</v>
      </c>
      <c r="AF7244">
        <v>0.23199040622895201</v>
      </c>
      <c r="AG7244">
        <v>-1.1108813964790001</v>
      </c>
      <c r="AH7244">
        <v>55.420835236800897</v>
      </c>
      <c r="AI7244">
        <v>91.148299834150393</v>
      </c>
      <c r="AJ7244">
        <v>89.7601625188057</v>
      </c>
      <c r="AK7244">
        <v>55.432453088152798</v>
      </c>
      <c r="AL7244">
        <v>88.348470234546198</v>
      </c>
      <c r="AM7244">
        <v>91.426926139393899</v>
      </c>
      <c r="AN7244">
        <v>0.99999997461852896</v>
      </c>
    </row>
    <row r="7245" spans="1:40" x14ac:dyDescent="0.25">
      <c r="A7245" t="str">
        <f>"20190312150834397"</f>
        <v>20190312150834397</v>
      </c>
      <c r="B7245" t="str">
        <f>"1552374514387144"</f>
        <v>1552374514387144</v>
      </c>
      <c r="C7245" t="s">
        <v>40</v>
      </c>
      <c r="D7245">
        <v>4.1473940000000002</v>
      </c>
      <c r="E7245">
        <v>0.51034650000000004</v>
      </c>
      <c r="F7245" t="s">
        <v>42</v>
      </c>
      <c r="G7245">
        <v>-386.52289999999999</v>
      </c>
      <c r="H7245" s="1">
        <v>-1.786326E-6</v>
      </c>
      <c r="I7245">
        <v>140.7901</v>
      </c>
      <c r="J7245">
        <v>-327.62689999999998</v>
      </c>
      <c r="K7245">
        <v>1.1108800000000001</v>
      </c>
      <c r="L7245">
        <v>141.04239999999999</v>
      </c>
      <c r="M7245">
        <v>-0.99986529999999996</v>
      </c>
      <c r="N7245">
        <v>0</v>
      </c>
      <c r="O7245">
        <v>-7.1514029999999998E-3</v>
      </c>
      <c r="P7245">
        <v>-0.99936720000000001</v>
      </c>
      <c r="Q7245">
        <v>1.485098E-2</v>
      </c>
      <c r="R7245">
        <v>-3.2328759999999998E-2</v>
      </c>
      <c r="S7245">
        <v>-3.0021059999999999</v>
      </c>
      <c r="T7245">
        <v>-5.6406499999999998E-2</v>
      </c>
      <c r="U7245">
        <v>-1.2908940000000001E-2</v>
      </c>
      <c r="V7245">
        <v>-2.5203639999999999E-2</v>
      </c>
      <c r="W7245">
        <v>2.9604229999999999E-2</v>
      </c>
      <c r="X7245">
        <v>0.99924389999999996</v>
      </c>
      <c r="Y7245">
        <v>2.8505409999999998E-3</v>
      </c>
      <c r="Z7245">
        <v>1.611452E-4</v>
      </c>
      <c r="AA7245">
        <v>0.99999590000000005</v>
      </c>
      <c r="AB7245">
        <v>24</v>
      </c>
      <c r="AC7245">
        <v>-58.896000000000001</v>
      </c>
      <c r="AD7245">
        <v>-1.1108817863260001</v>
      </c>
      <c r="AE7245">
        <v>-0.25229999999999098</v>
      </c>
      <c r="AF7245">
        <v>0.168881370636318</v>
      </c>
      <c r="AG7245">
        <v>-1.1108817863260001</v>
      </c>
      <c r="AH7245">
        <v>58.875352654099402</v>
      </c>
      <c r="AI7245">
        <v>91.080945107942696</v>
      </c>
      <c r="AJ7245">
        <v>89.835650016499599</v>
      </c>
      <c r="AK7245">
        <v>58.886074155143902</v>
      </c>
      <c r="AL7245">
        <v>88.303554711389594</v>
      </c>
      <c r="AM7245">
        <v>91.444848536877601</v>
      </c>
      <c r="AN7245">
        <v>1.0000000027951701</v>
      </c>
    </row>
    <row r="7246" spans="1:40" x14ac:dyDescent="0.25">
      <c r="A7246" t="str">
        <f>"20190312150834412"</f>
        <v>20190312150834412</v>
      </c>
      <c r="B7246" t="str">
        <f>"1552374514406663"</f>
        <v>1552374514406663</v>
      </c>
      <c r="C7246" t="s">
        <v>40</v>
      </c>
      <c r="D7246">
        <v>4.1786279999999998</v>
      </c>
      <c r="E7246">
        <v>0.51012519999999995</v>
      </c>
      <c r="F7246" t="s">
        <v>42</v>
      </c>
      <c r="G7246">
        <v>-391.76850000000002</v>
      </c>
      <c r="H7246" s="1">
        <v>-3.7950519999999998E-6</v>
      </c>
      <c r="I7246">
        <v>140.6739</v>
      </c>
      <c r="J7246">
        <v>-327.78219999999999</v>
      </c>
      <c r="K7246">
        <v>1.1108819999999999</v>
      </c>
      <c r="L7246">
        <v>141.04089999999999</v>
      </c>
      <c r="M7246">
        <v>-0.99986280000000005</v>
      </c>
      <c r="N7246">
        <v>0</v>
      </c>
      <c r="O7246">
        <v>-7.4861969999999896E-3</v>
      </c>
      <c r="P7246">
        <v>-0.99933799999999995</v>
      </c>
      <c r="Q7246">
        <v>1.500602E-2</v>
      </c>
      <c r="R7246">
        <v>-3.314139E-2</v>
      </c>
      <c r="S7246">
        <v>-3.0021059999999999</v>
      </c>
      <c r="T7246">
        <v>-5.1994199999999997E-2</v>
      </c>
      <c r="U7246">
        <v>-1.724243E-2</v>
      </c>
      <c r="V7246">
        <v>-2.5682380000000001E-2</v>
      </c>
      <c r="W7246">
        <v>2.9754840000000001E-2</v>
      </c>
      <c r="X7246">
        <v>0.99922719999999998</v>
      </c>
      <c r="Y7246">
        <v>1.742317E-3</v>
      </c>
      <c r="Z7246">
        <v>1.4474360000000001E-4</v>
      </c>
      <c r="AA7246">
        <v>0.99999850000000001</v>
      </c>
      <c r="AB7246">
        <v>24</v>
      </c>
      <c r="AC7246">
        <v>-63.9863</v>
      </c>
      <c r="AD7246">
        <v>-1.1108857950519999</v>
      </c>
      <c r="AE7246">
        <v>-0.36699999999999</v>
      </c>
      <c r="AF7246">
        <v>0.11204286517805399</v>
      </c>
      <c r="AG7246">
        <v>-1.1108857950519999</v>
      </c>
      <c r="AH7246">
        <v>63.9679740495285</v>
      </c>
      <c r="AI7246">
        <v>90.994913055843298</v>
      </c>
      <c r="AJ7246">
        <v>89.899643894780993</v>
      </c>
      <c r="AK7246">
        <v>63.977717408910699</v>
      </c>
      <c r="AL7246">
        <v>88.2949215284209</v>
      </c>
      <c r="AM7246">
        <v>91.472305883084701</v>
      </c>
      <c r="AN7246">
        <v>0.99999996618286402</v>
      </c>
    </row>
    <row r="7247" spans="1:40" x14ac:dyDescent="0.25">
      <c r="A7247" t="str">
        <f>"20190312150834425"</f>
        <v>20190312150834425</v>
      </c>
      <c r="B7247" t="str">
        <f>"1552374514417400"</f>
        <v>1552374514417400</v>
      </c>
      <c r="C7247" t="s">
        <v>40</v>
      </c>
      <c r="D7247">
        <v>4.1594290000000003</v>
      </c>
      <c r="E7247">
        <v>0.51002990000000004</v>
      </c>
      <c r="F7247" t="s">
        <v>42</v>
      </c>
      <c r="G7247">
        <v>-395.0369</v>
      </c>
      <c r="H7247" s="1">
        <v>-2.3633790000000002E-6</v>
      </c>
      <c r="I7247">
        <v>140.56290000000001</v>
      </c>
      <c r="J7247">
        <v>-327.92270000000002</v>
      </c>
      <c r="K7247">
        <v>1.110884</v>
      </c>
      <c r="L7247">
        <v>141.0395</v>
      </c>
      <c r="M7247">
        <v>-0.99986059999999999</v>
      </c>
      <c r="N7247">
        <v>0</v>
      </c>
      <c r="O7247">
        <v>-7.7891699999999998E-3</v>
      </c>
      <c r="P7247">
        <v>-0.9993225</v>
      </c>
      <c r="Q7247">
        <v>1.548798E-2</v>
      </c>
      <c r="R7247">
        <v>-3.3389710000000003E-2</v>
      </c>
      <c r="S7247">
        <v>-3.002014</v>
      </c>
      <c r="T7247">
        <v>-4.9586060000000001E-2</v>
      </c>
      <c r="U7247">
        <v>-2.133179E-2</v>
      </c>
      <c r="V7247">
        <v>-2.5628169999999999E-2</v>
      </c>
      <c r="W7247">
        <v>3.0233369999999999E-2</v>
      </c>
      <c r="X7247">
        <v>0.99921420000000005</v>
      </c>
      <c r="Y7247">
        <v>6.8323759999999896E-4</v>
      </c>
      <c r="Z7247">
        <v>1.3430239999999999E-4</v>
      </c>
      <c r="AA7247">
        <v>0.99999979999999999</v>
      </c>
      <c r="AB7247">
        <v>24</v>
      </c>
      <c r="AC7247">
        <v>-67.114199999999897</v>
      </c>
      <c r="AD7247">
        <v>-1.110886363379</v>
      </c>
      <c r="AE7247">
        <v>-0.47659999999998998</v>
      </c>
      <c r="AF7247">
        <v>4.6222730496509101E-2</v>
      </c>
      <c r="AG7247">
        <v>-1.110886363379</v>
      </c>
      <c r="AH7247">
        <v>67.0974942119568</v>
      </c>
      <c r="AI7247">
        <v>90.948519331504301</v>
      </c>
      <c r="AJ7247">
        <v>89.960529569886504</v>
      </c>
      <c r="AK7247">
        <v>67.106705585781299</v>
      </c>
      <c r="AL7247">
        <v>88.267491388625899</v>
      </c>
      <c r="AM7247">
        <v>91.469218630685305</v>
      </c>
      <c r="AN7247">
        <v>0.99999993862037095</v>
      </c>
    </row>
    <row r="7248" spans="1:40" x14ac:dyDescent="0.25">
      <c r="A7248" t="str">
        <f>"20190312150834443"</f>
        <v>20190312150834443</v>
      </c>
      <c r="B7248" t="str">
        <f>"1552374514436920"</f>
        <v>1552374514436920</v>
      </c>
      <c r="C7248" t="s">
        <v>40</v>
      </c>
      <c r="D7248">
        <v>4.1303879999999999</v>
      </c>
      <c r="E7248">
        <v>0.50981899999999902</v>
      </c>
      <c r="F7248" t="s">
        <v>42</v>
      </c>
      <c r="G7248">
        <v>-398.54430000000002</v>
      </c>
      <c r="H7248" s="1">
        <v>-8.43402E-7</v>
      </c>
      <c r="I7248">
        <v>140.50530000000001</v>
      </c>
      <c r="J7248">
        <v>-328.11660000000001</v>
      </c>
      <c r="K7248">
        <v>1.1108929999999999</v>
      </c>
      <c r="L7248">
        <v>141.03749999999999</v>
      </c>
      <c r="M7248">
        <v>-0.99985729999999995</v>
      </c>
      <c r="N7248">
        <v>0</v>
      </c>
      <c r="O7248">
        <v>-8.2072759999999995E-3</v>
      </c>
      <c r="P7248">
        <v>-0.99929469999999998</v>
      </c>
      <c r="Q7248">
        <v>1.591439E-2</v>
      </c>
      <c r="R7248">
        <v>-3.4013839999999997E-2</v>
      </c>
      <c r="S7248">
        <v>-3.002014</v>
      </c>
      <c r="T7248">
        <v>-4.7222020000000003E-2</v>
      </c>
      <c r="U7248">
        <v>-2.2705079999999999E-2</v>
      </c>
      <c r="V7248">
        <v>-2.583415E-2</v>
      </c>
      <c r="W7248">
        <v>3.0655180000000001E-2</v>
      </c>
      <c r="X7248">
        <v>0.99919610000000003</v>
      </c>
      <c r="Y7248">
        <v>6.4403050000000003E-4</v>
      </c>
      <c r="Z7248">
        <v>1.341685E-4</v>
      </c>
      <c r="AA7248">
        <v>0.99999979999999999</v>
      </c>
      <c r="AB7248">
        <v>24</v>
      </c>
      <c r="AC7248">
        <v>-70.427700000000002</v>
      </c>
      <c r="AD7248">
        <v>-1.1108938434019999</v>
      </c>
      <c r="AE7248">
        <v>-0.53219999999998802</v>
      </c>
      <c r="AF7248">
        <v>4.5889104019212999E-2</v>
      </c>
      <c r="AG7248">
        <v>-1.1108938434019999</v>
      </c>
      <c r="AH7248">
        <v>70.412177986744695</v>
      </c>
      <c r="AI7248">
        <v>90.903881071701704</v>
      </c>
      <c r="AJ7248">
        <v>89.962659135267998</v>
      </c>
      <c r="AK7248">
        <v>70.420955686345096</v>
      </c>
      <c r="AL7248">
        <v>88.243312345081904</v>
      </c>
      <c r="AM7248">
        <v>91.481048685424099</v>
      </c>
      <c r="AN7248">
        <v>0.999999994811132</v>
      </c>
    </row>
    <row r="7249" spans="1:40" x14ac:dyDescent="0.25">
      <c r="A7249" t="str">
        <f>"20190312150834476"</f>
        <v>20190312150834476</v>
      </c>
      <c r="B7249" t="str">
        <f>"1552374514467183"</f>
        <v>1552374514467183</v>
      </c>
      <c r="C7249" t="s">
        <v>40</v>
      </c>
      <c r="D7249">
        <v>4.0817819999999996</v>
      </c>
      <c r="E7249">
        <v>0.50958049999999999</v>
      </c>
      <c r="F7249" t="s">
        <v>77</v>
      </c>
      <c r="G7249">
        <v>-403.2817</v>
      </c>
      <c r="H7249" s="1">
        <v>-7.1358210000000003E-6</v>
      </c>
      <c r="I7249">
        <v>140.38149999999999</v>
      </c>
      <c r="J7249">
        <v>-328.46730000000002</v>
      </c>
      <c r="K7249">
        <v>1.110894</v>
      </c>
      <c r="L7249">
        <v>141.03370000000001</v>
      </c>
      <c r="M7249">
        <v>-0.99985089999999999</v>
      </c>
      <c r="N7249">
        <v>0</v>
      </c>
      <c r="O7249">
        <v>-8.9639939999999994E-3</v>
      </c>
      <c r="P7249">
        <v>-0.99928119999999998</v>
      </c>
      <c r="Q7249">
        <v>1.609093E-2</v>
      </c>
      <c r="R7249">
        <v>-3.4324060000000003E-2</v>
      </c>
      <c r="S7249">
        <v>-3.0019840000000002</v>
      </c>
      <c r="T7249">
        <v>-4.4367669999999998E-2</v>
      </c>
      <c r="U7249">
        <v>-2.6199340000000002E-2</v>
      </c>
      <c r="V7249">
        <v>-2.5388529999999999E-2</v>
      </c>
      <c r="W7249">
        <v>3.0823900000000001E-2</v>
      </c>
      <c r="X7249">
        <v>0.99920229999999999</v>
      </c>
      <c r="Y7249">
        <v>2.3696289999999999E-4</v>
      </c>
      <c r="Z7249">
        <v>1.342359E-4</v>
      </c>
      <c r="AA7249">
        <v>0.99999990000000005</v>
      </c>
      <c r="AB7249">
        <v>24</v>
      </c>
      <c r="AC7249">
        <v>-74.814399999999907</v>
      </c>
      <c r="AD7249">
        <v>-1.1109011358209999</v>
      </c>
      <c r="AE7249">
        <v>-0.65220000000002099</v>
      </c>
      <c r="AF7249">
        <v>1.8531009031111802E-2</v>
      </c>
      <c r="AG7249">
        <v>-1.1109011358209999</v>
      </c>
      <c r="AH7249">
        <v>74.800749208398599</v>
      </c>
      <c r="AI7249">
        <v>90.850864011437693</v>
      </c>
      <c r="AJ7249">
        <v>89.985805642361598</v>
      </c>
      <c r="AK7249">
        <v>74.809000306578099</v>
      </c>
      <c r="AL7249">
        <v>88.233640774935694</v>
      </c>
      <c r="AM7249">
        <v>91.455503748282496</v>
      </c>
      <c r="AN7249">
        <v>0.99999996329602903</v>
      </c>
    </row>
    <row r="7250" spans="1:40" x14ac:dyDescent="0.25">
      <c r="A7250" t="str">
        <f>"20190312150834499"</f>
        <v>20190312150834499</v>
      </c>
      <c r="B7250" t="str">
        <f>"1552374514486696"</f>
        <v>1552374514486696</v>
      </c>
      <c r="C7250" t="s">
        <v>40</v>
      </c>
      <c r="D7250">
        <v>4.0997320000000004</v>
      </c>
      <c r="E7250">
        <v>0.50944250000000002</v>
      </c>
      <c r="F7250" t="s">
        <v>77</v>
      </c>
      <c r="G7250">
        <v>-409.09559999999999</v>
      </c>
      <c r="H7250" s="1">
        <v>-1.0404240000000001E-5</v>
      </c>
      <c r="I7250">
        <v>140.25790000000001</v>
      </c>
      <c r="J7250">
        <v>-328.7047</v>
      </c>
      <c r="K7250">
        <v>1.1108910000000001</v>
      </c>
      <c r="L7250">
        <v>141.0309</v>
      </c>
      <c r="M7250">
        <v>-0.99984629999999997</v>
      </c>
      <c r="N7250">
        <v>0</v>
      </c>
      <c r="O7250">
        <v>-9.4768539999999998E-3</v>
      </c>
      <c r="P7250">
        <v>-0.99926550000000003</v>
      </c>
      <c r="Q7250">
        <v>1.63144E-2</v>
      </c>
      <c r="R7250">
        <v>-3.4675240000000003E-2</v>
      </c>
      <c r="S7250">
        <v>-3.001862</v>
      </c>
      <c r="T7250">
        <v>-4.1359899999999998E-2</v>
      </c>
      <c r="U7250">
        <v>-2.888489E-2</v>
      </c>
      <c r="V7250">
        <v>-2.5227309999999999E-2</v>
      </c>
      <c r="W7250">
        <v>3.104171E-2</v>
      </c>
      <c r="X7250">
        <v>0.99919970000000002</v>
      </c>
      <c r="Y7250">
        <v>-1.4488559999999999E-4</v>
      </c>
      <c r="Z7250">
        <v>1.2957689999999999E-4</v>
      </c>
      <c r="AA7250">
        <v>1</v>
      </c>
      <c r="AB7250">
        <v>24</v>
      </c>
      <c r="AC7250">
        <v>-80.390899999999903</v>
      </c>
      <c r="AD7250">
        <v>-1.1109014042400001</v>
      </c>
      <c r="AE7250">
        <v>-0.77299999999999602</v>
      </c>
      <c r="AF7250">
        <v>-1.1027461979525401E-2</v>
      </c>
      <c r="AG7250">
        <v>-1.1109014042400001</v>
      </c>
      <c r="AH7250">
        <v>80.379267930753301</v>
      </c>
      <c r="AI7250">
        <v>90.791819965088493</v>
      </c>
      <c r="AJ7250">
        <v>90.007860572041395</v>
      </c>
      <c r="AK7250">
        <v>80.386945063353906</v>
      </c>
      <c r="AL7250">
        <v>88.221155311664006</v>
      </c>
      <c r="AM7250">
        <v>91.446268836751699</v>
      </c>
      <c r="AN7250">
        <v>1.00000002270482</v>
      </c>
    </row>
    <row r="7251" spans="1:40" x14ac:dyDescent="0.25">
      <c r="A7251" t="str">
        <f>"20190312150834521"</f>
        <v>20190312150834521</v>
      </c>
      <c r="B7251" t="str">
        <f>"1552374514516952"</f>
        <v>1552374514516952</v>
      </c>
      <c r="C7251" t="s">
        <v>40</v>
      </c>
      <c r="D7251">
        <v>4.10785</v>
      </c>
      <c r="E7251">
        <v>0.50923019999999997</v>
      </c>
      <c r="F7251" t="s">
        <v>77</v>
      </c>
      <c r="G7251">
        <v>-414.22829999999999</v>
      </c>
      <c r="H7251" s="1">
        <v>-1.0489120000000001E-5</v>
      </c>
      <c r="I7251">
        <v>140.14879999999999</v>
      </c>
      <c r="J7251">
        <v>-328.94499999999999</v>
      </c>
      <c r="K7251">
        <v>1.110889</v>
      </c>
      <c r="L7251">
        <v>141.02809999999999</v>
      </c>
      <c r="M7251">
        <v>-0.99984130000000004</v>
      </c>
      <c r="N7251">
        <v>0</v>
      </c>
      <c r="O7251">
        <v>-9.9961519999999995E-3</v>
      </c>
      <c r="P7251">
        <v>-0.99923649999999997</v>
      </c>
      <c r="Q7251">
        <v>1.6651220000000001E-2</v>
      </c>
      <c r="R7251">
        <v>-3.5345059999999998E-2</v>
      </c>
      <c r="S7251">
        <v>-3.00177</v>
      </c>
      <c r="T7251">
        <v>-3.8991209999999998E-2</v>
      </c>
      <c r="U7251">
        <v>-3.0960080000000001E-2</v>
      </c>
      <c r="V7251">
        <v>-2.5378089999999999E-2</v>
      </c>
      <c r="W7251">
        <v>3.1372949999999997E-2</v>
      </c>
      <c r="X7251">
        <v>0.99918549999999995</v>
      </c>
      <c r="Y7251">
        <v>-3.1698799999999998E-4</v>
      </c>
      <c r="Z7251">
        <v>1.277874E-4</v>
      </c>
      <c r="AA7251">
        <v>0.99999990000000005</v>
      </c>
      <c r="AB7251">
        <v>24</v>
      </c>
      <c r="AC7251">
        <v>-85.283299999999997</v>
      </c>
      <c r="AD7251">
        <v>-1.1108994891199999</v>
      </c>
      <c r="AE7251">
        <v>-0.87929999999999997</v>
      </c>
      <c r="AF7251">
        <v>-2.66540017820566E-2</v>
      </c>
      <c r="AG7251">
        <v>-1.1108994891199999</v>
      </c>
      <c r="AH7251">
        <v>85.273361312765104</v>
      </c>
      <c r="AI7251">
        <v>90.746379029377295</v>
      </c>
      <c r="AJ7251">
        <v>90.017909013272103</v>
      </c>
      <c r="AK7251">
        <v>85.280601297646399</v>
      </c>
      <c r="AL7251">
        <v>88.202167344372597</v>
      </c>
      <c r="AM7251">
        <v>91.454929940708894</v>
      </c>
      <c r="AN7251">
        <v>0.99999998642700005</v>
      </c>
    </row>
    <row r="7252" spans="1:40" x14ac:dyDescent="0.25">
      <c r="A7252" t="str">
        <f>"20190312150834544"</f>
        <v>20190312150834544</v>
      </c>
      <c r="B7252" t="str">
        <f>"1552374514537448"</f>
        <v>1552374514537448</v>
      </c>
      <c r="C7252" t="s">
        <v>40</v>
      </c>
      <c r="D7252">
        <v>4.0822520000000004</v>
      </c>
      <c r="E7252">
        <v>0.50901980000000002</v>
      </c>
      <c r="F7252" t="s">
        <v>77</v>
      </c>
      <c r="G7252">
        <v>-421.57319999999999</v>
      </c>
      <c r="H7252" s="1">
        <v>-1.016352E-5</v>
      </c>
      <c r="I7252">
        <v>139.96109999999999</v>
      </c>
      <c r="J7252">
        <v>-329.18860000000001</v>
      </c>
      <c r="K7252">
        <v>1.1108929999999999</v>
      </c>
      <c r="L7252">
        <v>141.02500000000001</v>
      </c>
      <c r="M7252">
        <v>-0.99983599999999995</v>
      </c>
      <c r="N7252">
        <v>0</v>
      </c>
      <c r="O7252">
        <v>-1.052283E-2</v>
      </c>
      <c r="P7252">
        <v>-0.99921740000000003</v>
      </c>
      <c r="Q7252">
        <v>1.6752699999999999E-2</v>
      </c>
      <c r="R7252">
        <v>-3.5836260000000002E-2</v>
      </c>
      <c r="S7252">
        <v>-3.0016780000000001</v>
      </c>
      <c r="T7252">
        <v>-3.5999419999999997E-2</v>
      </c>
      <c r="U7252">
        <v>-3.4576419999999997E-2</v>
      </c>
      <c r="V7252">
        <v>-2.5342750000000001E-2</v>
      </c>
      <c r="W7252">
        <v>3.1468259999999998E-2</v>
      </c>
      <c r="X7252">
        <v>0.99918340000000005</v>
      </c>
      <c r="Y7252">
        <v>-9.9503120000000002E-4</v>
      </c>
      <c r="Z7252">
        <v>1.202363E-4</v>
      </c>
      <c r="AA7252">
        <v>0.99999950000000004</v>
      </c>
      <c r="AB7252">
        <v>24</v>
      </c>
      <c r="AC7252">
        <v>-92.384599999999907</v>
      </c>
      <c r="AD7252">
        <v>-1.11090316352</v>
      </c>
      <c r="AE7252">
        <v>-1.0639000000000101</v>
      </c>
      <c r="AF7252">
        <v>-9.1574789458623296E-2</v>
      </c>
      <c r="AG7252">
        <v>-1.11090316352</v>
      </c>
      <c r="AH7252">
        <v>92.377324803833204</v>
      </c>
      <c r="AI7252">
        <v>90.688989029926304</v>
      </c>
      <c r="AJ7252">
        <v>90.0567979992734</v>
      </c>
      <c r="AK7252">
        <v>92.384049649783606</v>
      </c>
      <c r="AL7252">
        <v>88.196703786236398</v>
      </c>
      <c r="AM7252">
        <v>91.452907814195001</v>
      </c>
      <c r="AN7252">
        <v>0.999999986600275</v>
      </c>
    </row>
    <row r="7253" spans="1:40" x14ac:dyDescent="0.25">
      <c r="A7253" t="str">
        <f>"20190312150834565"</f>
        <v>20190312150834565</v>
      </c>
      <c r="B7253" t="str">
        <f>"1552374514556971"</f>
        <v>1552374514556971</v>
      </c>
      <c r="C7253" t="s">
        <v>40</v>
      </c>
      <c r="D7253">
        <v>4.0510630000000001</v>
      </c>
      <c r="E7253">
        <v>0.50887890000000002</v>
      </c>
      <c r="F7253" t="s">
        <v>77</v>
      </c>
      <c r="G7253">
        <v>-427.11099999999999</v>
      </c>
      <c r="H7253" s="1">
        <v>-1.089311E-5</v>
      </c>
      <c r="I7253">
        <v>139.79050000000001</v>
      </c>
      <c r="J7253">
        <v>-329.41590000000002</v>
      </c>
      <c r="K7253">
        <v>1.110897</v>
      </c>
      <c r="L7253">
        <v>141.02199999999999</v>
      </c>
      <c r="M7253">
        <v>-0.99983089999999997</v>
      </c>
      <c r="N7253">
        <v>0</v>
      </c>
      <c r="O7253">
        <v>-1.1014120000000001E-2</v>
      </c>
      <c r="P7253">
        <v>-0.9991913</v>
      </c>
      <c r="Q7253">
        <v>1.719656E-2</v>
      </c>
      <c r="R7253">
        <v>-3.6351050000000003E-2</v>
      </c>
      <c r="S7253">
        <v>-3.0015559999999999</v>
      </c>
      <c r="T7253">
        <v>-3.4051900000000003E-2</v>
      </c>
      <c r="U7253">
        <v>-3.7841800000000002E-2</v>
      </c>
      <c r="V7253">
        <v>-2.536718E-2</v>
      </c>
      <c r="W7253">
        <v>3.1906740000000003E-2</v>
      </c>
      <c r="X7253">
        <v>0.99916890000000003</v>
      </c>
      <c r="Y7253">
        <v>-1.5917889999999999E-3</v>
      </c>
      <c r="Z7253">
        <v>1.159244E-4</v>
      </c>
      <c r="AA7253">
        <v>0.99999870000000002</v>
      </c>
      <c r="AB7253">
        <v>24</v>
      </c>
      <c r="AC7253">
        <v>-97.695099999999897</v>
      </c>
      <c r="AD7253">
        <v>-1.11090789311</v>
      </c>
      <c r="AE7253">
        <v>-1.23150000000001</v>
      </c>
      <c r="AF7253">
        <v>-0.15526296396742001</v>
      </c>
      <c r="AG7253">
        <v>-1.11090789311</v>
      </c>
      <c r="AH7253">
        <v>97.690108483645801</v>
      </c>
      <c r="AI7253">
        <v>90.651524610199303</v>
      </c>
      <c r="AJ7253">
        <v>90.091062495453599</v>
      </c>
      <c r="AK7253">
        <v>97.696548140051704</v>
      </c>
      <c r="AL7253">
        <v>88.171568156801598</v>
      </c>
      <c r="AM7253">
        <v>91.454328888504705</v>
      </c>
      <c r="AN7253">
        <v>1.00000001230289</v>
      </c>
    </row>
    <row r="7254" spans="1:40" x14ac:dyDescent="0.25">
      <c r="A7254" t="str">
        <f>"20190312150834587"</f>
        <v>20190312150834587</v>
      </c>
      <c r="B7254" t="str">
        <f>"1552374514577464"</f>
        <v>1552374514577464</v>
      </c>
      <c r="C7254" t="s">
        <v>40</v>
      </c>
      <c r="D7254">
        <v>4.0862569999999998</v>
      </c>
      <c r="E7254">
        <v>0.50875630000000005</v>
      </c>
      <c r="F7254" t="s">
        <v>77</v>
      </c>
      <c r="G7254">
        <v>-433.60809999999998</v>
      </c>
      <c r="H7254" s="1">
        <v>-9.8622300000000006E-6</v>
      </c>
      <c r="I7254">
        <v>139.62049999999999</v>
      </c>
      <c r="J7254">
        <v>-329.64729999999997</v>
      </c>
      <c r="K7254">
        <v>1.1108990000000001</v>
      </c>
      <c r="L7254">
        <v>141.0189</v>
      </c>
      <c r="M7254">
        <v>-0.99982519999999997</v>
      </c>
      <c r="N7254">
        <v>0</v>
      </c>
      <c r="O7254">
        <v>-1.1514470000000001E-2</v>
      </c>
      <c r="P7254">
        <v>-0.99916329999999998</v>
      </c>
      <c r="Q7254">
        <v>1.788789E-2</v>
      </c>
      <c r="R7254">
        <v>-3.678857E-2</v>
      </c>
      <c r="S7254">
        <v>-3.0014949999999998</v>
      </c>
      <c r="T7254">
        <v>-3.2002210000000003E-2</v>
      </c>
      <c r="U7254">
        <v>-4.0374760000000003E-2</v>
      </c>
      <c r="V7254">
        <v>-2.530468E-2</v>
      </c>
      <c r="W7254">
        <v>3.2592549999999998E-2</v>
      </c>
      <c r="X7254">
        <v>0.99914829999999999</v>
      </c>
      <c r="Y7254">
        <v>-1.9353040000000001E-3</v>
      </c>
      <c r="Z7254">
        <v>1.124518E-4</v>
      </c>
      <c r="AA7254">
        <v>0.9999981</v>
      </c>
      <c r="AB7254">
        <v>24</v>
      </c>
      <c r="AC7254">
        <v>-103.96080000000001</v>
      </c>
      <c r="AD7254">
        <v>-1.1109088622299901</v>
      </c>
      <c r="AE7254">
        <v>-1.3984000000000001</v>
      </c>
      <c r="AF7254">
        <v>-0.20110090965553501</v>
      </c>
      <c r="AG7254">
        <v>-1.1109088622299901</v>
      </c>
      <c r="AH7254">
        <v>103.95814159191499</v>
      </c>
      <c r="AI7254">
        <v>90.612244952931903</v>
      </c>
      <c r="AJ7254">
        <v>90.110835176839302</v>
      </c>
      <c r="AK7254">
        <v>103.964271571154</v>
      </c>
      <c r="AL7254">
        <v>88.132253596728802</v>
      </c>
      <c r="AM7254">
        <v>91.450777124666601</v>
      </c>
      <c r="AN7254">
        <v>0.99999996326914597</v>
      </c>
    </row>
    <row r="7255" spans="1:40" x14ac:dyDescent="0.25">
      <c r="A7255" t="str">
        <f>"20190312150834610"</f>
        <v>20190312150834610</v>
      </c>
      <c r="B7255" t="str">
        <f>"1552374514606744"</f>
        <v>1552374514606744</v>
      </c>
      <c r="C7255" t="s">
        <v>40</v>
      </c>
      <c r="D7255">
        <v>4.1264379999999896</v>
      </c>
      <c r="E7255">
        <v>0.50845770000000001</v>
      </c>
      <c r="F7255" t="s">
        <v>42</v>
      </c>
      <c r="G7255">
        <v>-441.31529999999998</v>
      </c>
      <c r="H7255" s="1">
        <v>-2.7275379999999999E-6</v>
      </c>
      <c r="I7255">
        <v>139.4315</v>
      </c>
      <c r="J7255">
        <v>-329.88490000000002</v>
      </c>
      <c r="K7255">
        <v>1.1109020000000001</v>
      </c>
      <c r="L7255">
        <v>141.0155</v>
      </c>
      <c r="M7255">
        <v>-0.99981929999999997</v>
      </c>
      <c r="N7255">
        <v>0</v>
      </c>
      <c r="O7255">
        <v>-1.2028290000000001E-2</v>
      </c>
      <c r="P7255">
        <v>-0.99914689999999995</v>
      </c>
      <c r="Q7255">
        <v>1.8526589999999999E-2</v>
      </c>
      <c r="R7255">
        <v>-3.6909610000000002E-2</v>
      </c>
      <c r="S7255">
        <v>-3.0014949999999998</v>
      </c>
      <c r="T7255">
        <v>-2.985966E-2</v>
      </c>
      <c r="U7255">
        <v>-4.2663569999999998E-2</v>
      </c>
      <c r="V7255">
        <v>-2.4913009999999999E-2</v>
      </c>
      <c r="W7255">
        <v>3.3225919999999999E-2</v>
      </c>
      <c r="X7255">
        <v>0.99913730000000001</v>
      </c>
      <c r="Y7255">
        <v>-2.183754E-3</v>
      </c>
      <c r="Z7255">
        <v>1.087983E-4</v>
      </c>
      <c r="AA7255">
        <v>0.99999760000000004</v>
      </c>
      <c r="AB7255">
        <v>24</v>
      </c>
      <c r="AC7255">
        <v>-111.430399999999</v>
      </c>
      <c r="AD7255">
        <v>-1.110904727538</v>
      </c>
      <c r="AE7255">
        <v>-1.5840000000000001</v>
      </c>
      <c r="AF7255">
        <v>-0.243398793264994</v>
      </c>
      <c r="AG7255">
        <v>-1.110904727538</v>
      </c>
      <c r="AH7255">
        <v>111.430319062696</v>
      </c>
      <c r="AI7255">
        <v>90.571190071169497</v>
      </c>
      <c r="AJ7255">
        <v>90.125151767765004</v>
      </c>
      <c r="AK7255">
        <v>111.436122324408</v>
      </c>
      <c r="AL7255">
        <v>88.0959445356429</v>
      </c>
      <c r="AM7255">
        <v>91.4283468516646</v>
      </c>
      <c r="AN7255">
        <v>0.99999998203919804</v>
      </c>
    </row>
    <row r="7256" spans="1:40" x14ac:dyDescent="0.25">
      <c r="A7256" t="str">
        <f>"20190312150834633"</f>
        <v>20190312150834633</v>
      </c>
      <c r="B7256" t="str">
        <f>"1552374514627240"</f>
        <v>1552374514627240</v>
      </c>
      <c r="C7256" t="s">
        <v>40</v>
      </c>
      <c r="D7256">
        <v>4.1753580000000001</v>
      </c>
      <c r="E7256">
        <v>0.50825549999999997</v>
      </c>
      <c r="F7256" t="s">
        <v>42</v>
      </c>
      <c r="G7256">
        <v>-441.24220000000003</v>
      </c>
      <c r="H7256" s="1">
        <v>-2.7775769999999999E-6</v>
      </c>
      <c r="I7256">
        <v>139.3261</v>
      </c>
      <c r="J7256">
        <v>-330.12470000000002</v>
      </c>
      <c r="K7256">
        <v>1.1109089999999999</v>
      </c>
      <c r="L7256">
        <v>141.0121</v>
      </c>
      <c r="M7256">
        <v>-0.99981299999999995</v>
      </c>
      <c r="N7256">
        <v>0</v>
      </c>
      <c r="O7256">
        <v>-1.2546750000000001E-2</v>
      </c>
      <c r="P7256">
        <v>-0.99913669999999999</v>
      </c>
      <c r="Q7256">
        <v>1.9148330000000002E-2</v>
      </c>
      <c r="R7256">
        <v>-3.6872299999999997E-2</v>
      </c>
      <c r="S7256">
        <v>-3.001465</v>
      </c>
      <c r="T7256">
        <v>-2.9942750000000001E-2</v>
      </c>
      <c r="U7256">
        <v>-4.553223E-2</v>
      </c>
      <c r="V7256">
        <v>-2.4357940000000002E-2</v>
      </c>
      <c r="W7256">
        <v>3.3842120000000003E-2</v>
      </c>
      <c r="X7256">
        <v>0.99913030000000003</v>
      </c>
      <c r="Y7256">
        <v>-2.6208910000000002E-3</v>
      </c>
      <c r="Z7256">
        <v>1.120928E-4</v>
      </c>
      <c r="AA7256">
        <v>0.99999649999999995</v>
      </c>
      <c r="AB7256">
        <v>24</v>
      </c>
      <c r="AC7256">
        <v>-111.11750000000001</v>
      </c>
      <c r="AD7256">
        <v>-1.1109117775770001</v>
      </c>
      <c r="AE7256">
        <v>-1.6859999999999999</v>
      </c>
      <c r="AF7256">
        <v>-0.29152366175272698</v>
      </c>
      <c r="AG7256">
        <v>-1.1109117775770001</v>
      </c>
      <c r="AH7256">
        <v>111.11880370206001</v>
      </c>
      <c r="AI7256">
        <v>90.572794294170706</v>
      </c>
      <c r="AJ7256">
        <v>90.150316927183695</v>
      </c>
      <c r="AK7256">
        <v>111.124739132202</v>
      </c>
      <c r="AL7256">
        <v>88.060618998114293</v>
      </c>
      <c r="AM7256">
        <v>91.396545344082696</v>
      </c>
      <c r="AN7256">
        <v>0.99999997735261303</v>
      </c>
    </row>
    <row r="7257" spans="1:40" x14ac:dyDescent="0.25">
      <c r="A7257" t="str">
        <f>"20190312150834656"</f>
        <v>20190312150834656</v>
      </c>
      <c r="B7257" t="str">
        <f>"1552374514646761"</f>
        <v>1552374514646761</v>
      </c>
      <c r="C7257" t="s">
        <v>40</v>
      </c>
      <c r="D7257">
        <v>4.1089769999999897</v>
      </c>
      <c r="E7257">
        <v>0.50805049999999996</v>
      </c>
      <c r="F7257" t="s">
        <v>42</v>
      </c>
      <c r="G7257">
        <v>-443.75069999999999</v>
      </c>
      <c r="H7257" s="1">
        <v>-1.7185079999999999E-6</v>
      </c>
      <c r="I7257">
        <v>139.22989999999999</v>
      </c>
      <c r="J7257">
        <v>-330.36810000000003</v>
      </c>
      <c r="K7257">
        <v>1.110908</v>
      </c>
      <c r="L7257">
        <v>141.00839999999999</v>
      </c>
      <c r="M7257">
        <v>-0.99980619999999998</v>
      </c>
      <c r="N7257">
        <v>0</v>
      </c>
      <c r="O7257">
        <v>-1.3073319999999999E-2</v>
      </c>
      <c r="P7257">
        <v>-0.99913629999999998</v>
      </c>
      <c r="Q7257">
        <v>1.9574169999999998E-2</v>
      </c>
      <c r="R7257">
        <v>-3.6656769999999998E-2</v>
      </c>
      <c r="S7257">
        <v>-3.001404</v>
      </c>
      <c r="T7257">
        <v>-2.9344439999999999E-2</v>
      </c>
      <c r="U7257">
        <v>-4.7073360000000002E-2</v>
      </c>
      <c r="V7257">
        <v>-2.3615799999999999E-2</v>
      </c>
      <c r="W7257">
        <v>3.4263410000000001E-2</v>
      </c>
      <c r="X7257">
        <v>0.99913379999999996</v>
      </c>
      <c r="Y7257">
        <v>-2.6078849999999999E-3</v>
      </c>
      <c r="Z7257">
        <v>1.1506610000000001E-4</v>
      </c>
      <c r="AA7257">
        <v>0.99999660000000001</v>
      </c>
      <c r="AB7257">
        <v>24</v>
      </c>
      <c r="AC7257">
        <v>-113.382599999999</v>
      </c>
      <c r="AD7257">
        <v>-1.1109097185079999</v>
      </c>
      <c r="AE7257">
        <v>-1.7785</v>
      </c>
      <c r="AF7257">
        <v>-0.29587197342619698</v>
      </c>
      <c r="AG7257">
        <v>-1.1109097185079999</v>
      </c>
      <c r="AH7257">
        <v>113.385279552808</v>
      </c>
      <c r="AI7257">
        <v>90.561344341084293</v>
      </c>
      <c r="AJ7257">
        <v>90.149509503735302</v>
      </c>
      <c r="AK7257">
        <v>113.39110758739299</v>
      </c>
      <c r="AL7257">
        <v>88.036466932463398</v>
      </c>
      <c r="AM7257">
        <v>91.354006617113399</v>
      </c>
      <c r="AN7257">
        <v>1.0000000187884499</v>
      </c>
    </row>
    <row r="7258" spans="1:40" x14ac:dyDescent="0.25">
      <c r="A7258" t="str">
        <f>"20190312150834677"</f>
        <v>20190312150834677</v>
      </c>
      <c r="B7258" t="str">
        <f>"1552374514667255"</f>
        <v>1552374514667255</v>
      </c>
      <c r="C7258" t="s">
        <v>40</v>
      </c>
      <c r="D7258">
        <v>4.0537850000000004</v>
      </c>
      <c r="E7258">
        <v>0.50786179999999903</v>
      </c>
      <c r="F7258" t="s">
        <v>42</v>
      </c>
      <c r="G7258">
        <v>-442.90030000000002</v>
      </c>
      <c r="H7258" s="1">
        <v>-2.087555E-6</v>
      </c>
      <c r="I7258">
        <v>139.20609999999999</v>
      </c>
      <c r="J7258">
        <v>-330.58940000000001</v>
      </c>
      <c r="K7258">
        <v>1.1109020000000001</v>
      </c>
      <c r="L7258">
        <v>141.005</v>
      </c>
      <c r="M7258">
        <v>-0.99980009999999997</v>
      </c>
      <c r="N7258">
        <v>0</v>
      </c>
      <c r="O7258">
        <v>-1.3552450000000001E-2</v>
      </c>
      <c r="P7258">
        <v>-0.99912270000000003</v>
      </c>
      <c r="Q7258">
        <v>1.970827E-2</v>
      </c>
      <c r="R7258">
        <v>-3.6956959999999997E-2</v>
      </c>
      <c r="S7258">
        <v>-3.0013730000000001</v>
      </c>
      <c r="T7258">
        <v>-2.9629349999999999E-2</v>
      </c>
      <c r="U7258">
        <v>-4.8065190000000001E-2</v>
      </c>
      <c r="V7258">
        <v>-2.343752E-2</v>
      </c>
      <c r="W7258">
        <v>3.4391600000000001E-2</v>
      </c>
      <c r="X7258">
        <v>0.99913359999999996</v>
      </c>
      <c r="Y7258">
        <v>-2.4592400000000001E-3</v>
      </c>
      <c r="Z7258">
        <v>1.216471E-4</v>
      </c>
      <c r="AA7258">
        <v>0.99999700000000002</v>
      </c>
      <c r="AB7258">
        <v>24</v>
      </c>
      <c r="AC7258">
        <v>-112.3109</v>
      </c>
      <c r="AD7258">
        <v>-1.110904087555</v>
      </c>
      <c r="AE7258">
        <v>-1.7988999999999999</v>
      </c>
      <c r="AF7258">
        <v>-0.27645537648657198</v>
      </c>
      <c r="AG7258">
        <v>-1.110904087555</v>
      </c>
      <c r="AH7258">
        <v>112.313979622977</v>
      </c>
      <c r="AI7258">
        <v>90.566695682065799</v>
      </c>
      <c r="AJ7258">
        <v>90.141030478664007</v>
      </c>
      <c r="AK7258">
        <v>112.319813720543</v>
      </c>
      <c r="AL7258">
        <v>88.029117867738805</v>
      </c>
      <c r="AM7258">
        <v>91.343789004270704</v>
      </c>
      <c r="AN7258">
        <v>1.0000000250716301</v>
      </c>
    </row>
    <row r="7259" spans="1:40" x14ac:dyDescent="0.25">
      <c r="A7259" t="str">
        <f>"20190312150834699"</f>
        <v>20190312150834699</v>
      </c>
      <c r="B7259" t="str">
        <f>"1552374514686777"</f>
        <v>1552374514686777</v>
      </c>
      <c r="C7259" t="s">
        <v>40</v>
      </c>
      <c r="D7259">
        <v>4.0686200000000001</v>
      </c>
      <c r="E7259">
        <v>0.5077933</v>
      </c>
      <c r="F7259" t="s">
        <v>42</v>
      </c>
      <c r="G7259">
        <v>-445.1275</v>
      </c>
      <c r="H7259" s="1">
        <v>-1.1550420000000001E-6</v>
      </c>
      <c r="I7259">
        <v>139.07679999999999</v>
      </c>
      <c r="J7259">
        <v>-330.82150000000001</v>
      </c>
      <c r="K7259">
        <v>1.1109039999999999</v>
      </c>
      <c r="L7259">
        <v>141.00120000000001</v>
      </c>
      <c r="M7259">
        <v>-0.99979320000000005</v>
      </c>
      <c r="N7259">
        <v>0</v>
      </c>
      <c r="O7259">
        <v>-1.4054560000000001E-2</v>
      </c>
      <c r="P7259">
        <v>-0.99911810000000001</v>
      </c>
      <c r="Q7259">
        <v>2.0036780000000001E-2</v>
      </c>
      <c r="R7259">
        <v>-3.6901829999999997E-2</v>
      </c>
      <c r="S7259">
        <v>-3.0013730000000001</v>
      </c>
      <c r="T7259">
        <v>-2.911031E-2</v>
      </c>
      <c r="U7259">
        <v>-5.052185E-2</v>
      </c>
      <c r="V7259">
        <v>-2.2880319999999999E-2</v>
      </c>
      <c r="W7259">
        <v>3.471233E-2</v>
      </c>
      <c r="X7259">
        <v>0.99913540000000001</v>
      </c>
      <c r="Y7259">
        <v>-2.7753080000000002E-3</v>
      </c>
      <c r="Z7259">
        <v>1.2285200000000001E-4</v>
      </c>
      <c r="AA7259">
        <v>0.99999610000000005</v>
      </c>
      <c r="AB7259">
        <v>23</v>
      </c>
      <c r="AC7259">
        <v>-114.305999999999</v>
      </c>
      <c r="AD7259">
        <v>-1.1109051550419999</v>
      </c>
      <c r="AE7259">
        <v>-1.9244000000000201</v>
      </c>
      <c r="AF7259">
        <v>-0.31748581749635901</v>
      </c>
      <c r="AG7259">
        <v>-1.1109051550419999</v>
      </c>
      <c r="AH7259">
        <v>114.31096309253</v>
      </c>
      <c r="AI7259">
        <v>90.556796355611596</v>
      </c>
      <c r="AJ7259">
        <v>90.159132161365207</v>
      </c>
      <c r="AK7259">
        <v>114.31680187378301</v>
      </c>
      <c r="AL7259">
        <v>88.010730366180695</v>
      </c>
      <c r="AM7259">
        <v>91.311850908201095</v>
      </c>
      <c r="AN7259">
        <v>1.0000000012152399</v>
      </c>
    </row>
    <row r="7260" spans="1:40" x14ac:dyDescent="0.25">
      <c r="A7260" t="str">
        <f>"20190312150834721"</f>
        <v>20190312150834721</v>
      </c>
      <c r="B7260" t="str">
        <f>"1552374514717035"</f>
        <v>1552374514717035</v>
      </c>
      <c r="C7260" t="s">
        <v>40</v>
      </c>
      <c r="D7260">
        <v>4.0836319999999997</v>
      </c>
      <c r="E7260">
        <v>0.50767739999999995</v>
      </c>
      <c r="F7260" t="s">
        <v>42</v>
      </c>
      <c r="G7260">
        <v>-449.34179999999998</v>
      </c>
      <c r="H7260" s="1">
        <v>6.3745919999999995E-7</v>
      </c>
      <c r="I7260">
        <v>138.99340000000001</v>
      </c>
      <c r="J7260">
        <v>-331.05689999999998</v>
      </c>
      <c r="K7260">
        <v>1.1109020000000001</v>
      </c>
      <c r="L7260">
        <v>140.9973</v>
      </c>
      <c r="M7260">
        <v>-0.99978599999999995</v>
      </c>
      <c r="N7260">
        <v>0</v>
      </c>
      <c r="O7260">
        <v>-1.456417E-2</v>
      </c>
      <c r="P7260">
        <v>-0.99909550000000003</v>
      </c>
      <c r="Q7260">
        <v>2.036812E-2</v>
      </c>
      <c r="R7260">
        <v>-3.7328010000000002E-2</v>
      </c>
      <c r="S7260">
        <v>-3.0013730000000001</v>
      </c>
      <c r="T7260">
        <v>-2.81322E-2</v>
      </c>
      <c r="U7260">
        <v>-5.0842289999999998E-2</v>
      </c>
      <c r="V7260">
        <v>-2.2797640000000001E-2</v>
      </c>
      <c r="W7260">
        <v>3.5033990000000001E-2</v>
      </c>
      <c r="X7260">
        <v>0.99912610000000002</v>
      </c>
      <c r="Y7260">
        <v>-2.3723250000000002E-3</v>
      </c>
      <c r="Z7260">
        <v>1.2538870000000001E-4</v>
      </c>
      <c r="AA7260">
        <v>0.99999720000000003</v>
      </c>
      <c r="AB7260">
        <v>23</v>
      </c>
      <c r="AC7260">
        <v>-118.28489999999999</v>
      </c>
      <c r="AD7260">
        <v>-1.1109013625408</v>
      </c>
      <c r="AE7260">
        <v>-2.0038999999999798</v>
      </c>
      <c r="AF7260">
        <v>-0.28075531979880902</v>
      </c>
      <c r="AG7260">
        <v>-1.1109013625408</v>
      </c>
      <c r="AH7260">
        <v>118.29110905907</v>
      </c>
      <c r="AI7260">
        <v>90.538061648595502</v>
      </c>
      <c r="AJ7260">
        <v>90.135987098465904</v>
      </c>
      <c r="AK7260">
        <v>118.296658481175</v>
      </c>
      <c r="AL7260">
        <v>87.992289463325505</v>
      </c>
      <c r="AM7260">
        <v>91.307124232514994</v>
      </c>
      <c r="AN7260">
        <v>1.0000000382730401</v>
      </c>
    </row>
    <row r="7261" spans="1:40" x14ac:dyDescent="0.25">
      <c r="A7261" t="str">
        <f>"20190312150834744"</f>
        <v>20190312150834744</v>
      </c>
      <c r="B7261" t="str">
        <f>"1552374514737537"</f>
        <v>1552374514737537</v>
      </c>
      <c r="C7261" t="s">
        <v>40</v>
      </c>
      <c r="D7261">
        <v>4.1339319999999997</v>
      </c>
      <c r="E7261">
        <v>0.50753470000000001</v>
      </c>
      <c r="F7261" t="s">
        <v>42</v>
      </c>
      <c r="G7261">
        <v>-452.92540000000002</v>
      </c>
      <c r="H7261" s="1">
        <v>-2.1410130000000001E-6</v>
      </c>
      <c r="I7261">
        <v>138.8441</v>
      </c>
      <c r="J7261">
        <v>-331.2919</v>
      </c>
      <c r="K7261">
        <v>1.1109059999999999</v>
      </c>
      <c r="L7261">
        <v>140.9933</v>
      </c>
      <c r="M7261">
        <v>-0.99977859999999996</v>
      </c>
      <c r="N7261">
        <v>0</v>
      </c>
      <c r="O7261">
        <v>-1.507295E-2</v>
      </c>
      <c r="P7261">
        <v>-0.99907500000000005</v>
      </c>
      <c r="Q7261">
        <v>2.064268E-2</v>
      </c>
      <c r="R7261">
        <v>-3.7723550000000002E-2</v>
      </c>
      <c r="S7261">
        <v>-3.001312</v>
      </c>
      <c r="T7261">
        <v>-2.7358770000000001E-2</v>
      </c>
      <c r="U7261">
        <v>-5.3024290000000002E-2</v>
      </c>
      <c r="V7261">
        <v>-2.268452E-2</v>
      </c>
      <c r="W7261">
        <v>3.5298950000000003E-2</v>
      </c>
      <c r="X7261">
        <v>0.99911930000000004</v>
      </c>
      <c r="Y7261">
        <v>-2.5905680000000001E-3</v>
      </c>
      <c r="Z7261">
        <v>1.2558569999999999E-4</v>
      </c>
      <c r="AA7261">
        <v>0.99999669999999896</v>
      </c>
      <c r="AB7261">
        <v>23</v>
      </c>
      <c r="AC7261">
        <v>-121.6335</v>
      </c>
      <c r="AD7261">
        <v>-1.110908141013</v>
      </c>
      <c r="AE7261">
        <v>-2.1492</v>
      </c>
      <c r="AF7261">
        <v>-0.31535619903019901</v>
      </c>
      <c r="AG7261">
        <v>-1.110908141013</v>
      </c>
      <c r="AH7261">
        <v>121.641933593095</v>
      </c>
      <c r="AI7261">
        <v>90.523243610654404</v>
      </c>
      <c r="AJ7261">
        <v>90.148538733595501</v>
      </c>
      <c r="AK7261">
        <v>121.64741499389601</v>
      </c>
      <c r="AL7261">
        <v>87.977098879574498</v>
      </c>
      <c r="AM7261">
        <v>91.300649473003801</v>
      </c>
      <c r="AN7261">
        <v>0.99999998947561097</v>
      </c>
    </row>
    <row r="7262" spans="1:40" x14ac:dyDescent="0.25">
      <c r="A7262" t="str">
        <f>"20190312150834765"</f>
        <v>20190312150834765</v>
      </c>
      <c r="B7262" t="str">
        <f>"1552374514757048"</f>
        <v>1552374514757048</v>
      </c>
      <c r="C7262" t="s">
        <v>40</v>
      </c>
      <c r="D7262">
        <v>4.1343690000000004</v>
      </c>
      <c r="E7262">
        <v>0.50746150000000001</v>
      </c>
      <c r="F7262" t="s">
        <v>42</v>
      </c>
      <c r="G7262">
        <v>-452.29790000000003</v>
      </c>
      <c r="H7262" s="1">
        <v>-2.4259930000000002E-6</v>
      </c>
      <c r="I7262">
        <v>138.7551</v>
      </c>
      <c r="J7262">
        <v>-331.5188</v>
      </c>
      <c r="K7262">
        <v>1.1109020000000001</v>
      </c>
      <c r="L7262">
        <v>140.98929999999999</v>
      </c>
      <c r="M7262">
        <v>-0.99977130000000003</v>
      </c>
      <c r="N7262">
        <v>0</v>
      </c>
      <c r="O7262">
        <v>-1.5564450000000001E-2</v>
      </c>
      <c r="P7262">
        <v>-0.99904280000000001</v>
      </c>
      <c r="Q7262">
        <v>2.081243E-2</v>
      </c>
      <c r="R7262">
        <v>-3.84778E-2</v>
      </c>
      <c r="S7262">
        <v>-3.0012509999999999</v>
      </c>
      <c r="T7262">
        <v>-2.7553319999999999E-2</v>
      </c>
      <c r="U7262">
        <v>-5.551147E-2</v>
      </c>
      <c r="V7262">
        <v>-2.2947840000000001E-2</v>
      </c>
      <c r="W7262">
        <v>3.5458580000000003E-2</v>
      </c>
      <c r="X7262">
        <v>0.99910770000000004</v>
      </c>
      <c r="Y7262">
        <v>-2.9277819999999999E-3</v>
      </c>
      <c r="Z7262">
        <v>1.2944389999999901E-4</v>
      </c>
      <c r="AA7262">
        <v>0.99999570000000004</v>
      </c>
      <c r="AB7262">
        <v>23</v>
      </c>
      <c r="AC7262">
        <v>-120.7791</v>
      </c>
      <c r="AD7262">
        <v>-1.1109044259929901</v>
      </c>
      <c r="AE7262">
        <v>-2.23419999999998</v>
      </c>
      <c r="AF7262">
        <v>-0.35383691078469598</v>
      </c>
      <c r="AG7262">
        <v>-1.1109044259929901</v>
      </c>
      <c r="AH7262">
        <v>120.789029061736</v>
      </c>
      <c r="AI7262">
        <v>90.526935831228599</v>
      </c>
      <c r="AJ7262">
        <v>90.167840604327395</v>
      </c>
      <c r="AK7262">
        <v>120.794655721518</v>
      </c>
      <c r="AL7262">
        <v>87.967947158567796</v>
      </c>
      <c r="AM7262">
        <v>91.315757296680104</v>
      </c>
      <c r="AN7262">
        <v>1.0000000552277799</v>
      </c>
    </row>
    <row r="7263" spans="1:40" x14ac:dyDescent="0.25">
      <c r="A7263" t="str">
        <f>"20190312150834788"</f>
        <v>20190312150834788</v>
      </c>
      <c r="B7263" t="str">
        <f>"1552374514777544"</f>
        <v>1552374514777544</v>
      </c>
      <c r="C7263" t="s">
        <v>40</v>
      </c>
      <c r="D7263">
        <v>4.3908120000000004</v>
      </c>
      <c r="E7263">
        <v>0.48492750000000001</v>
      </c>
      <c r="F7263" t="s">
        <v>42</v>
      </c>
      <c r="G7263">
        <v>-451.81220000000002</v>
      </c>
      <c r="H7263" s="1">
        <v>-2.6523520000000002E-6</v>
      </c>
      <c r="I7263">
        <v>138.65350000000001</v>
      </c>
      <c r="J7263">
        <v>-331.7473</v>
      </c>
      <c r="K7263">
        <v>1.1109020000000001</v>
      </c>
      <c r="L7263">
        <v>140.98519999999999</v>
      </c>
      <c r="M7263">
        <v>-0.99976350000000003</v>
      </c>
      <c r="N7263">
        <v>0</v>
      </c>
      <c r="O7263">
        <v>-1.605964E-2</v>
      </c>
      <c r="P7263">
        <v>-0.99902210000000002</v>
      </c>
      <c r="Q7263">
        <v>2.107848E-2</v>
      </c>
      <c r="R7263">
        <v>-3.8866869999999998E-2</v>
      </c>
      <c r="S7263">
        <v>-3.0012210000000001</v>
      </c>
      <c r="T7263">
        <v>-2.771616E-2</v>
      </c>
      <c r="U7263">
        <v>-5.8273320000000003E-2</v>
      </c>
      <c r="V7263">
        <v>-2.2842350000000001E-2</v>
      </c>
      <c r="W7263">
        <v>3.5714969999999999E-2</v>
      </c>
      <c r="X7263">
        <v>0.99910089999999996</v>
      </c>
      <c r="Y7263">
        <v>-3.352575E-3</v>
      </c>
      <c r="Z7263">
        <v>1.3281980000000001E-4</v>
      </c>
      <c r="AA7263">
        <v>0.99999439999999995</v>
      </c>
      <c r="AB7263">
        <v>23</v>
      </c>
      <c r="AC7263">
        <v>-120.06489999999999</v>
      </c>
      <c r="AD7263">
        <v>-1.1109046523520001</v>
      </c>
      <c r="AE7263">
        <v>-2.3316999999999801</v>
      </c>
      <c r="AF7263">
        <v>-0.402958328810536</v>
      </c>
      <c r="AG7263">
        <v>-1.1109046523520001</v>
      </c>
      <c r="AH7263">
        <v>120.07658706005201</v>
      </c>
      <c r="AI7263">
        <v>90.530061482472505</v>
      </c>
      <c r="AJ7263">
        <v>90.192274992628299</v>
      </c>
      <c r="AK7263">
        <v>120.08240189366499</v>
      </c>
      <c r="AL7263">
        <v>87.953247609612902</v>
      </c>
      <c r="AM7263">
        <v>91.309719852927998</v>
      </c>
      <c r="AN7263">
        <v>0.99999997020821596</v>
      </c>
    </row>
    <row r="7264" spans="1:40" x14ac:dyDescent="0.25">
      <c r="A7264" t="str">
        <f>"20190312150834811"</f>
        <v>20190312150834811</v>
      </c>
      <c r="B7264" t="str">
        <f>"1552374514806824"</f>
        <v>1552374514806824</v>
      </c>
      <c r="C7264" t="s">
        <v>40</v>
      </c>
      <c r="D7264">
        <v>4.1101539999999996</v>
      </c>
      <c r="E7264">
        <v>0.479352</v>
      </c>
      <c r="F7264" t="s">
        <v>42</v>
      </c>
      <c r="G7264">
        <v>-445.73</v>
      </c>
      <c r="H7264" s="1">
        <v>-2.4841699999999999E-6</v>
      </c>
      <c r="I7264">
        <v>131.88059999999999</v>
      </c>
      <c r="J7264">
        <v>-331.98340000000002</v>
      </c>
      <c r="K7264">
        <v>1.1109009999999999</v>
      </c>
      <c r="L7264">
        <v>140.98079999999999</v>
      </c>
      <c r="M7264">
        <v>-0.99975530000000001</v>
      </c>
      <c r="N7264">
        <v>0</v>
      </c>
      <c r="O7264">
        <v>-1.6571519999999999E-2</v>
      </c>
      <c r="P7264">
        <v>-0.99897670000000005</v>
      </c>
      <c r="Q7264">
        <v>2.1510089999999999E-2</v>
      </c>
      <c r="R7264">
        <v>-3.978371E-2</v>
      </c>
      <c r="S7264">
        <v>-2.9942319999999998</v>
      </c>
      <c r="T7264">
        <v>-2.9182550000000002E-2</v>
      </c>
      <c r="U7264">
        <v>-0.2391663</v>
      </c>
      <c r="V7264">
        <v>-2.3247899999999998E-2</v>
      </c>
      <c r="W7264">
        <v>3.6136700000000001E-2</v>
      </c>
      <c r="X7264">
        <v>0.99907639999999998</v>
      </c>
      <c r="Y7264">
        <v>-6.3088249999999998E-2</v>
      </c>
      <c r="Z7264">
        <v>-1.4570619999999999E-4</v>
      </c>
      <c r="AA7264">
        <v>0.99800800000000001</v>
      </c>
      <c r="AB7264">
        <v>23</v>
      </c>
      <c r="AC7264">
        <v>-113.7466</v>
      </c>
      <c r="AD7264">
        <v>-1.1109034841699901</v>
      </c>
      <c r="AE7264">
        <v>-9.1001999999999992</v>
      </c>
      <c r="AF7264">
        <v>-7.2131100161992698</v>
      </c>
      <c r="AG7264">
        <v>-1.1109034841699901</v>
      </c>
      <c r="AH7264">
        <v>113.871005235063</v>
      </c>
      <c r="AI7264">
        <v>90.557830834879198</v>
      </c>
      <c r="AJ7264">
        <v>93.624533913935593</v>
      </c>
      <c r="AK7264">
        <v>114.104640115557</v>
      </c>
      <c r="AL7264">
        <v>87.929068691051697</v>
      </c>
      <c r="AM7264">
        <v>91.332997375533793</v>
      </c>
      <c r="AN7264">
        <v>0.99999998948912905</v>
      </c>
    </row>
    <row r="7265" spans="1:40" x14ac:dyDescent="0.25">
      <c r="A7265" t="str">
        <f>"20190312150834834"</f>
        <v>20190312150834834</v>
      </c>
      <c r="B7265" t="str">
        <f>"1552374514827320"</f>
        <v>1552374514827320</v>
      </c>
      <c r="C7265" t="s">
        <v>40</v>
      </c>
      <c r="D7265">
        <v>4.4198000000000004</v>
      </c>
      <c r="E7265">
        <v>0.47801320000000003</v>
      </c>
      <c r="F7265" t="s">
        <v>77</v>
      </c>
      <c r="G7265">
        <v>-413.32960000000003</v>
      </c>
      <c r="H7265" s="1">
        <v>-7.5711710000000003E-6</v>
      </c>
      <c r="I7265">
        <v>133.18790000000001</v>
      </c>
      <c r="J7265">
        <v>-332.2183</v>
      </c>
      <c r="K7265">
        <v>1.110903</v>
      </c>
      <c r="L7265">
        <v>140.97630000000001</v>
      </c>
      <c r="M7265">
        <v>-0.99974700000000005</v>
      </c>
      <c r="N7265">
        <v>0</v>
      </c>
      <c r="O7265">
        <v>-1.708078E-2</v>
      </c>
      <c r="P7265">
        <v>-0.998973</v>
      </c>
      <c r="Q7265">
        <v>2.188201E-2</v>
      </c>
      <c r="R7265">
        <v>-3.967876E-2</v>
      </c>
      <c r="S7265">
        <v>-2.9925229999999998</v>
      </c>
      <c r="T7265">
        <v>-4.0867569999999999E-2</v>
      </c>
      <c r="U7265">
        <v>-0.2866821</v>
      </c>
      <c r="V7265">
        <v>-2.263447E-2</v>
      </c>
      <c r="W7265">
        <v>3.6500280000000003E-2</v>
      </c>
      <c r="X7265">
        <v>0.99907729999999995</v>
      </c>
      <c r="Y7265">
        <v>-7.8338539999999998E-2</v>
      </c>
      <c r="Z7265">
        <v>-3.0098089999999999E-4</v>
      </c>
      <c r="AA7265">
        <v>0.9969268</v>
      </c>
      <c r="AB7265">
        <v>23</v>
      </c>
      <c r="AC7265">
        <v>-81.1113</v>
      </c>
      <c r="AD7265">
        <v>-1.1109105711709999</v>
      </c>
      <c r="AE7265">
        <v>-7.7883999999999904</v>
      </c>
      <c r="AF7265">
        <v>-6.4004812067929704</v>
      </c>
      <c r="AG7265">
        <v>-1.1109105711709999</v>
      </c>
      <c r="AH7265">
        <v>81.217414671769205</v>
      </c>
      <c r="AI7265">
        <v>90.781234173059303</v>
      </c>
      <c r="AJ7265">
        <v>94.505981932365899</v>
      </c>
      <c r="AK7265">
        <v>81.476798709459402</v>
      </c>
      <c r="AL7265">
        <v>87.9082234037609</v>
      </c>
      <c r="AM7265">
        <v>91.297835305486203</v>
      </c>
      <c r="AN7265">
        <v>1.00000002052377</v>
      </c>
    </row>
    <row r="7266" spans="1:40" x14ac:dyDescent="0.25">
      <c r="A7266" t="str">
        <f>"20190312150834856"</f>
        <v>20190312150834856</v>
      </c>
      <c r="B7266" t="str">
        <f>"1552374514846840"</f>
        <v>1552374514846840</v>
      </c>
      <c r="C7266" t="s">
        <v>40</v>
      </c>
      <c r="D7266">
        <v>4.0855430000000004</v>
      </c>
      <c r="E7266">
        <v>0.47721259999999999</v>
      </c>
      <c r="F7266" t="s">
        <v>77</v>
      </c>
      <c r="G7266">
        <v>-411.39580000000001</v>
      </c>
      <c r="H7266" s="1">
        <v>-7.7082599999999993E-6</v>
      </c>
      <c r="I7266">
        <v>133.1129</v>
      </c>
      <c r="J7266">
        <v>-332.45229999999998</v>
      </c>
      <c r="K7266">
        <v>1.1109</v>
      </c>
      <c r="L7266">
        <v>140.9717</v>
      </c>
      <c r="M7266">
        <v>-0.99973829999999997</v>
      </c>
      <c r="N7266">
        <v>0</v>
      </c>
      <c r="O7266">
        <v>-1.7588019999999999E-2</v>
      </c>
      <c r="P7266">
        <v>-0.99893779999999999</v>
      </c>
      <c r="Q7266">
        <v>2.3075499999999999E-2</v>
      </c>
      <c r="R7266">
        <v>-3.9891500000000003E-2</v>
      </c>
      <c r="S7266">
        <v>-2.9921880000000001</v>
      </c>
      <c r="T7266">
        <v>-4.1982289999999998E-2</v>
      </c>
      <c r="U7266">
        <v>-0.29716490000000001</v>
      </c>
      <c r="V7266">
        <v>-2.234098E-2</v>
      </c>
      <c r="W7266">
        <v>3.7684879999999997E-2</v>
      </c>
      <c r="X7266">
        <v>0.99903989999999998</v>
      </c>
      <c r="Y7266">
        <v>-8.1302150000000004E-2</v>
      </c>
      <c r="Z7266">
        <v>-3.2281630000000001E-4</v>
      </c>
      <c r="AA7266">
        <v>0.99668939999999995</v>
      </c>
      <c r="AB7266">
        <v>23</v>
      </c>
      <c r="AC7266">
        <v>-78.9435</v>
      </c>
      <c r="AD7266">
        <v>-1.1109077082600001</v>
      </c>
      <c r="AE7266">
        <v>-7.8587999999999996</v>
      </c>
      <c r="AF7266">
        <v>-6.4677074811354798</v>
      </c>
      <c r="AG7266">
        <v>-1.1109077082600001</v>
      </c>
      <c r="AH7266">
        <v>79.0540206664691</v>
      </c>
      <c r="AI7266">
        <v>90.802416082143495</v>
      </c>
      <c r="AJ7266">
        <v>94.677166773193406</v>
      </c>
      <c r="AK7266">
        <v>79.325932326902503</v>
      </c>
      <c r="AL7266">
        <v>87.840304027268999</v>
      </c>
      <c r="AM7266">
        <v>91.281060499943706</v>
      </c>
      <c r="AN7266">
        <v>0.99999999567999198</v>
      </c>
    </row>
    <row r="7267" spans="1:40" x14ac:dyDescent="0.25">
      <c r="A7267" t="str">
        <f>"20190312150834879"</f>
        <v>20190312150834879</v>
      </c>
      <c r="B7267" t="str">
        <f>"1552374514867336"</f>
        <v>1552374514867336</v>
      </c>
      <c r="C7267" t="s">
        <v>40</v>
      </c>
      <c r="D7267">
        <v>4.0853590000000004</v>
      </c>
      <c r="E7267">
        <v>0.47666720000000001</v>
      </c>
      <c r="F7267" t="s">
        <v>77</v>
      </c>
      <c r="G7267">
        <v>-418.10199999999998</v>
      </c>
      <c r="H7267" s="1">
        <v>-6.9095359999999998E-6</v>
      </c>
      <c r="I7267">
        <v>132.25810000000001</v>
      </c>
      <c r="J7267">
        <v>-332.67869999999999</v>
      </c>
      <c r="K7267">
        <v>1.110903</v>
      </c>
      <c r="L7267">
        <v>140.96719999999999</v>
      </c>
      <c r="M7267">
        <v>-0.99972969999999906</v>
      </c>
      <c r="N7267">
        <v>0</v>
      </c>
      <c r="O7267">
        <v>-1.8079410000000001E-2</v>
      </c>
      <c r="P7267">
        <v>-0.99889079999999997</v>
      </c>
      <c r="Q7267">
        <v>2.4242329999999999E-2</v>
      </c>
      <c r="R7267">
        <v>-4.0372110000000003E-2</v>
      </c>
      <c r="S7267">
        <v>-2.9919129999999998</v>
      </c>
      <c r="T7267">
        <v>-3.8806199999999902E-2</v>
      </c>
      <c r="U7267">
        <v>-0.30438229999999999</v>
      </c>
      <c r="V7267">
        <v>-2.2332359999999999E-2</v>
      </c>
      <c r="W7267">
        <v>3.8843229999999999E-2</v>
      </c>
      <c r="X7267">
        <v>0.99899570000000004</v>
      </c>
      <c r="Y7267">
        <v>-8.3202150000000002E-2</v>
      </c>
      <c r="Z7267">
        <v>-3.0432480000000002E-4</v>
      </c>
      <c r="AA7267">
        <v>0.99653259999999999</v>
      </c>
      <c r="AB7267">
        <v>23</v>
      </c>
      <c r="AC7267">
        <v>-85.423299999999898</v>
      </c>
      <c r="AD7267">
        <v>-1.110909909536</v>
      </c>
      <c r="AE7267">
        <v>-8.7090999999999692</v>
      </c>
      <c r="AF7267">
        <v>-7.1619095589089197</v>
      </c>
      <c r="AG7267">
        <v>-1.110909909536</v>
      </c>
      <c r="AH7267">
        <v>85.552487018753595</v>
      </c>
      <c r="AI7267">
        <v>90.741358279334193</v>
      </c>
      <c r="AJ7267">
        <v>94.785280340474301</v>
      </c>
      <c r="AK7267">
        <v>85.858925595718304</v>
      </c>
      <c r="AL7267">
        <v>87.773886759442206</v>
      </c>
      <c r="AM7267">
        <v>91.2806230217559</v>
      </c>
      <c r="AN7267">
        <v>0.99999996971924499</v>
      </c>
    </row>
    <row r="7268" spans="1:40" x14ac:dyDescent="0.25">
      <c r="A7268" t="str">
        <f>"20190312150834900"</f>
        <v>20190312150834900</v>
      </c>
      <c r="B7268" t="str">
        <f>"1552374514897592"</f>
        <v>1552374514897592</v>
      </c>
      <c r="C7268" t="s">
        <v>40</v>
      </c>
      <c r="D7268">
        <v>4.5683850000000001</v>
      </c>
      <c r="E7268">
        <v>0.4759581</v>
      </c>
      <c r="F7268" t="s">
        <v>77</v>
      </c>
      <c r="G7268">
        <v>-429.28710000000001</v>
      </c>
      <c r="H7268" s="1">
        <v>-7.7119430000000008E-6</v>
      </c>
      <c r="I7268">
        <v>130.95650000000001</v>
      </c>
      <c r="J7268">
        <v>-332.90050000000002</v>
      </c>
      <c r="K7268">
        <v>1.1109119999999999</v>
      </c>
      <c r="L7268">
        <v>140.96260000000001</v>
      </c>
      <c r="M7268">
        <v>-0.99972090000000002</v>
      </c>
      <c r="N7268">
        <v>0</v>
      </c>
      <c r="O7268">
        <v>-1.8560650000000001E-2</v>
      </c>
      <c r="P7268">
        <v>-0.99886229999999998</v>
      </c>
      <c r="Q7268">
        <v>2.516881E-2</v>
      </c>
      <c r="R7268">
        <v>-4.0509490000000002E-2</v>
      </c>
      <c r="S7268">
        <v>-2.991638</v>
      </c>
      <c r="T7268">
        <v>-3.4401180000000003E-2</v>
      </c>
      <c r="U7268">
        <v>-0.30999759999999998</v>
      </c>
      <c r="V7268">
        <v>-2.198955E-2</v>
      </c>
      <c r="W7268">
        <v>3.9759000000000003E-2</v>
      </c>
      <c r="X7268">
        <v>0.9989673</v>
      </c>
      <c r="Y7268">
        <v>-8.4583630000000007E-2</v>
      </c>
      <c r="Z7268">
        <v>-2.7218719999999997E-4</v>
      </c>
      <c r="AA7268">
        <v>0.99641630000000003</v>
      </c>
      <c r="AB7268">
        <v>23</v>
      </c>
      <c r="AC7268">
        <v>-96.386600000000001</v>
      </c>
      <c r="AD7268">
        <v>-1.1109197119429901</v>
      </c>
      <c r="AE7268">
        <v>-10.0061</v>
      </c>
      <c r="AF7268">
        <v>-8.2141073433138505</v>
      </c>
      <c r="AG7268">
        <v>-1.1109197119429901</v>
      </c>
      <c r="AH7268">
        <v>96.543043968038504</v>
      </c>
      <c r="AI7268">
        <v>90.656899635008699</v>
      </c>
      <c r="AJ7268">
        <v>94.863146338980997</v>
      </c>
      <c r="AK7268">
        <v>96.898220007740505</v>
      </c>
      <c r="AL7268">
        <v>87.721376482966406</v>
      </c>
      <c r="AM7268">
        <v>91.261007217442</v>
      </c>
      <c r="AN7268">
        <v>0.99999999242974602</v>
      </c>
    </row>
    <row r="7269" spans="1:40" x14ac:dyDescent="0.25">
      <c r="A7269" t="str">
        <f>"20190312150834923"</f>
        <v>20190312150834923</v>
      </c>
      <c r="B7269" t="str">
        <f>"1552374514917115"</f>
        <v>1552374514917115</v>
      </c>
      <c r="C7269" t="s">
        <v>40</v>
      </c>
      <c r="D7269">
        <v>4.0691290000000002</v>
      </c>
      <c r="E7269">
        <v>0.4757151</v>
      </c>
      <c r="F7269" t="s">
        <v>77</v>
      </c>
      <c r="G7269">
        <v>-431.16849999999999</v>
      </c>
      <c r="H7269" s="1">
        <v>-7.1912279999999998E-6</v>
      </c>
      <c r="I7269">
        <v>130.57329999999999</v>
      </c>
      <c r="J7269">
        <v>-333.1377</v>
      </c>
      <c r="K7269">
        <v>1.110919</v>
      </c>
      <c r="L7269">
        <v>140.95760000000001</v>
      </c>
      <c r="M7269">
        <v>-0.99971149999999998</v>
      </c>
      <c r="N7269">
        <v>0</v>
      </c>
      <c r="O7269">
        <v>-1.9075459999999999E-2</v>
      </c>
      <c r="P7269">
        <v>-0.99884810000000002</v>
      </c>
      <c r="Q7269">
        <v>2.5664039999999999E-2</v>
      </c>
      <c r="R7269">
        <v>-4.05441E-2</v>
      </c>
      <c r="S7269">
        <v>-2.9914550000000002</v>
      </c>
      <c r="T7269">
        <v>-3.3818359999999999E-2</v>
      </c>
      <c r="U7269">
        <v>-0.31626890000000002</v>
      </c>
      <c r="V7269">
        <v>-2.150993E-2</v>
      </c>
      <c r="W7269">
        <v>4.0238790000000003E-2</v>
      </c>
      <c r="X7269">
        <v>0.99895849999999997</v>
      </c>
      <c r="Y7269">
        <v>-8.6143020000000001E-2</v>
      </c>
      <c r="Z7269">
        <v>-2.7055360000000002E-4</v>
      </c>
      <c r="AA7269">
        <v>0.99628280000000002</v>
      </c>
      <c r="AB7269">
        <v>23</v>
      </c>
      <c r="AC7269">
        <v>-98.030799999999999</v>
      </c>
      <c r="AD7269">
        <v>-1.110926191228</v>
      </c>
      <c r="AE7269">
        <v>-10.3843</v>
      </c>
      <c r="AF7269">
        <v>-8.5111474068110304</v>
      </c>
      <c r="AG7269">
        <v>-1.110926191228</v>
      </c>
      <c r="AH7269">
        <v>98.198594496429493</v>
      </c>
      <c r="AI7269">
        <v>90.645741987978795</v>
      </c>
      <c r="AJ7269">
        <v>94.953606425835105</v>
      </c>
      <c r="AK7269">
        <v>98.573007199014796</v>
      </c>
      <c r="AL7269">
        <v>87.693864450794393</v>
      </c>
      <c r="AM7269">
        <v>91.233522504640703</v>
      </c>
      <c r="AN7269">
        <v>0.99999996101575805</v>
      </c>
    </row>
    <row r="7270" spans="1:40" x14ac:dyDescent="0.25">
      <c r="A7270" t="str">
        <f>"20190312150834946"</f>
        <v>20190312150834946</v>
      </c>
      <c r="B7270" t="str">
        <f>"1552374514937612"</f>
        <v>1552374514937612</v>
      </c>
      <c r="C7270" t="s">
        <v>40</v>
      </c>
      <c r="D7270">
        <v>4.1085500000000001</v>
      </c>
      <c r="E7270">
        <v>0.47553139999999999</v>
      </c>
      <c r="F7270" t="s">
        <v>77</v>
      </c>
      <c r="G7270">
        <v>-439.76119999999997</v>
      </c>
      <c r="H7270">
        <v>5.6456470000000002E-2</v>
      </c>
      <c r="I7270">
        <v>129.60980000000001</v>
      </c>
      <c r="J7270">
        <v>-333.36579999999998</v>
      </c>
      <c r="K7270">
        <v>1.1109209999999901</v>
      </c>
      <c r="L7270">
        <v>140.95269999999999</v>
      </c>
      <c r="M7270">
        <v>-0.99970219999999999</v>
      </c>
      <c r="N7270">
        <v>0</v>
      </c>
      <c r="O7270">
        <v>-1.9570939999999998E-2</v>
      </c>
      <c r="P7270">
        <v>-0.99882879999999996</v>
      </c>
      <c r="Q7270">
        <v>2.645136E-2</v>
      </c>
      <c r="R7270">
        <v>-4.051519E-2</v>
      </c>
      <c r="S7270">
        <v>-2.9913020000000001</v>
      </c>
      <c r="T7270">
        <v>-2.958274E-2</v>
      </c>
      <c r="U7270">
        <v>-0.31835940000000001</v>
      </c>
      <c r="V7270">
        <v>-2.098672E-2</v>
      </c>
      <c r="W7270">
        <v>4.1007290000000002E-2</v>
      </c>
      <c r="X7270">
        <v>0.9989384</v>
      </c>
      <c r="Y7270">
        <v>-8.634406E-2</v>
      </c>
      <c r="Z7270">
        <v>-2.3278090000000001E-4</v>
      </c>
      <c r="AA7270">
        <v>0.99626539999999997</v>
      </c>
      <c r="AB7270">
        <v>23</v>
      </c>
      <c r="AC7270">
        <v>-106.3954</v>
      </c>
      <c r="AD7270">
        <v>-1.05446452999999</v>
      </c>
      <c r="AE7270">
        <v>-11.342899999999901</v>
      </c>
      <c r="AF7270">
        <v>-9.2573487113906801</v>
      </c>
      <c r="AG7270">
        <v>-1.05446452999999</v>
      </c>
      <c r="AH7270">
        <v>106.586680919505</v>
      </c>
      <c r="AI7270">
        <v>90.564684316067101</v>
      </c>
      <c r="AJ7270">
        <v>94.963840872311593</v>
      </c>
      <c r="AK7270">
        <v>106.993135060366</v>
      </c>
      <c r="AL7270">
        <v>87.649796318222599</v>
      </c>
      <c r="AM7270">
        <v>91.2035513065738</v>
      </c>
      <c r="AN7270">
        <v>0.99999998362203102</v>
      </c>
    </row>
    <row r="7271" spans="1:40" x14ac:dyDescent="0.25">
      <c r="A7271" t="str">
        <f>"20190312150834967"</f>
        <v>20190312150834967</v>
      </c>
      <c r="B7271" t="str">
        <f>"1552374514957128"</f>
        <v>1552374514957128</v>
      </c>
      <c r="C7271" t="s">
        <v>40</v>
      </c>
      <c r="D7271">
        <v>4.0593979999999998</v>
      </c>
      <c r="E7271">
        <v>0.47526410000000002</v>
      </c>
      <c r="F7271" t="s">
        <v>42</v>
      </c>
      <c r="G7271">
        <v>-452.33240000000001</v>
      </c>
      <c r="H7271">
        <v>7.9987210000000003E-2</v>
      </c>
      <c r="I7271">
        <v>128.23390000000001</v>
      </c>
      <c r="J7271">
        <v>-333.58850000000001</v>
      </c>
      <c r="K7271">
        <v>1.11091299999999</v>
      </c>
      <c r="L7271">
        <v>140.9478</v>
      </c>
      <c r="M7271">
        <v>-0.99969280000000005</v>
      </c>
      <c r="N7271">
        <v>0</v>
      </c>
      <c r="O7271">
        <v>-2.0053910000000001E-2</v>
      </c>
      <c r="P7271">
        <v>-0.99878630000000002</v>
      </c>
      <c r="Q7271">
        <v>2.6899329999999999E-2</v>
      </c>
      <c r="R7271">
        <v>-4.1261430000000002E-2</v>
      </c>
      <c r="S7271">
        <v>-2.991241</v>
      </c>
      <c r="T7271">
        <v>-2.5921340000000001E-2</v>
      </c>
      <c r="U7271">
        <v>-0.31979370000000001</v>
      </c>
      <c r="V7271">
        <v>-2.1250709999999999E-2</v>
      </c>
      <c r="W7271">
        <v>4.143608E-2</v>
      </c>
      <c r="X7271">
        <v>0.99891509999999994</v>
      </c>
      <c r="Y7271">
        <v>-8.6338010000000007E-2</v>
      </c>
      <c r="Z7271">
        <v>-1.9977330000000001E-4</v>
      </c>
      <c r="AA7271">
        <v>0.99626590000000004</v>
      </c>
      <c r="AB7271">
        <v>23</v>
      </c>
      <c r="AC7271">
        <v>-118.7439</v>
      </c>
      <c r="AD7271">
        <v>-1.03092578999999</v>
      </c>
      <c r="AE7271">
        <v>-12.713899999999899</v>
      </c>
      <c r="AF7271">
        <v>-10.329040844101799</v>
      </c>
      <c r="AG7271">
        <v>-1.03092578999999</v>
      </c>
      <c r="AH7271">
        <v>118.96614046557301</v>
      </c>
      <c r="AI7271">
        <v>90.494635284818798</v>
      </c>
      <c r="AJ7271">
        <v>94.962168676987503</v>
      </c>
      <c r="AK7271">
        <v>119.418149667536</v>
      </c>
      <c r="AL7271">
        <v>87.625207502486703</v>
      </c>
      <c r="AM7271">
        <v>91.218714546794203</v>
      </c>
      <c r="AN7271">
        <v>0.99999995920463902</v>
      </c>
    </row>
    <row r="7272" spans="1:40" x14ac:dyDescent="0.25">
      <c r="A7272" t="str">
        <f>"20190312150834990"</f>
        <v>20190312150834990</v>
      </c>
      <c r="B7272" t="str">
        <f>"1552374514987384"</f>
        <v>1552374514987384</v>
      </c>
      <c r="C7272" t="s">
        <v>40</v>
      </c>
      <c r="D7272">
        <v>4.5508569999999997</v>
      </c>
      <c r="E7272">
        <v>0.47506609999999999</v>
      </c>
      <c r="F7272" t="s">
        <v>42</v>
      </c>
      <c r="G7272">
        <v>-452.20479999999998</v>
      </c>
      <c r="H7272">
        <v>7.9987269999999999E-2</v>
      </c>
      <c r="I7272">
        <v>128.09020000000001</v>
      </c>
      <c r="J7272">
        <v>-333.8175</v>
      </c>
      <c r="K7272">
        <v>1.110908</v>
      </c>
      <c r="L7272">
        <v>140.9426</v>
      </c>
      <c r="M7272">
        <v>-0.99968299999999999</v>
      </c>
      <c r="N7272">
        <v>0</v>
      </c>
      <c r="O7272">
        <v>-2.0550579999999999E-2</v>
      </c>
      <c r="P7272">
        <v>-0.99874059999999998</v>
      </c>
      <c r="Q7272">
        <v>2.7724800000000001E-2</v>
      </c>
      <c r="R7272">
        <v>-4.181721E-2</v>
      </c>
      <c r="S7272">
        <v>-2.990936</v>
      </c>
      <c r="T7272">
        <v>-2.5995020000000001E-2</v>
      </c>
      <c r="U7272">
        <v>-0.32420349999999998</v>
      </c>
      <c r="V7272">
        <v>-2.1311429999999999E-2</v>
      </c>
      <c r="W7272">
        <v>4.22417E-2</v>
      </c>
      <c r="X7272">
        <v>0.99888010000000005</v>
      </c>
      <c r="Y7272">
        <v>-8.7305759999999996E-2</v>
      </c>
      <c r="Z7272">
        <v>-2.002381E-4</v>
      </c>
      <c r="AA7272">
        <v>0.99618150000000005</v>
      </c>
      <c r="AB7272">
        <v>23</v>
      </c>
      <c r="AC7272">
        <v>-118.387299999999</v>
      </c>
      <c r="AD7272">
        <v>-1.0309207300000001</v>
      </c>
      <c r="AE7272">
        <v>-12.8523999999999</v>
      </c>
      <c r="AF7272">
        <v>-10.415719471428201</v>
      </c>
      <c r="AG7272">
        <v>-1.0309207300000001</v>
      </c>
      <c r="AH7272">
        <v>118.617555272289</v>
      </c>
      <c r="AI7272">
        <v>90.496043999769299</v>
      </c>
      <c r="AJ7272">
        <v>95.018228650773693</v>
      </c>
      <c r="AK7272">
        <v>119.07843813400299</v>
      </c>
      <c r="AL7272">
        <v>87.579008509833898</v>
      </c>
      <c r="AM7272">
        <v>91.222238556806204</v>
      </c>
      <c r="AN7272">
        <v>0.99999999622177205</v>
      </c>
    </row>
    <row r="7273" spans="1:40" x14ac:dyDescent="0.25">
      <c r="A7273" t="str">
        <f>"20190312150835005"</f>
        <v>20190312150835005</v>
      </c>
      <c r="B7273" t="str">
        <f>"1552374514997145"</f>
        <v>1552374514997145</v>
      </c>
      <c r="C7273" t="s">
        <v>40</v>
      </c>
      <c r="D7273">
        <v>4.3493469999999999</v>
      </c>
      <c r="E7273">
        <v>0.47500409999999998</v>
      </c>
      <c r="F7273" t="s">
        <v>42</v>
      </c>
      <c r="G7273">
        <v>-465.15809999999999</v>
      </c>
      <c r="H7273">
        <v>7.9987569999999994E-2</v>
      </c>
      <c r="I7273">
        <v>126.56699999999999</v>
      </c>
      <c r="J7273">
        <v>-333.9769</v>
      </c>
      <c r="K7273">
        <v>1.1109070000000001</v>
      </c>
      <c r="L7273">
        <v>140.93889999999999</v>
      </c>
      <c r="M7273">
        <v>-0.99967620000000001</v>
      </c>
      <c r="N7273">
        <v>0</v>
      </c>
      <c r="O7273">
        <v>-2.0895650000000002E-2</v>
      </c>
      <c r="P7273">
        <v>-0.99871489999999996</v>
      </c>
      <c r="Q7273">
        <v>2.8108649999999999E-2</v>
      </c>
      <c r="R7273">
        <v>-4.2176379999999999E-2</v>
      </c>
      <c r="S7273">
        <v>-2.9907530000000002</v>
      </c>
      <c r="T7273">
        <v>-2.3475050000000001E-2</v>
      </c>
      <c r="U7273">
        <v>-0.32734679999999999</v>
      </c>
      <c r="V7273">
        <v>-2.1325859999999999E-2</v>
      </c>
      <c r="W7273">
        <v>4.2610439999999999E-2</v>
      </c>
      <c r="X7273">
        <v>0.99886410000000003</v>
      </c>
      <c r="Y7273">
        <v>-8.8003590000000007E-2</v>
      </c>
      <c r="Z7273">
        <v>-1.8086059999999999E-4</v>
      </c>
      <c r="AA7273">
        <v>0.99612020000000001</v>
      </c>
      <c r="AB7273">
        <v>23</v>
      </c>
      <c r="AC7273">
        <v>-131.18119999999999</v>
      </c>
      <c r="AD7273">
        <v>-1.03091943</v>
      </c>
      <c r="AE7273">
        <v>-14.371899999999901</v>
      </c>
      <c r="AF7273">
        <v>-11.626646370849</v>
      </c>
      <c r="AG7273">
        <v>-1.03091943</v>
      </c>
      <c r="AH7273">
        <v>131.44487225463601</v>
      </c>
      <c r="AI7273">
        <v>90.447612857614203</v>
      </c>
      <c r="AJ7273">
        <v>95.054807807513797</v>
      </c>
      <c r="AK7273">
        <v>131.96210116067999</v>
      </c>
      <c r="AL7273">
        <v>87.557862150326898</v>
      </c>
      <c r="AM7273">
        <v>91.223085470356693</v>
      </c>
      <c r="AN7273">
        <v>0.99999996608527097</v>
      </c>
    </row>
    <row r="7274" spans="1:40" x14ac:dyDescent="0.25">
      <c r="A7274" t="str">
        <f>"20190312150835017"</f>
        <v>20190312150835017</v>
      </c>
      <c r="B7274" t="str">
        <f>"1552374515006905"</f>
        <v>1552374515006905</v>
      </c>
      <c r="C7274" t="s">
        <v>40</v>
      </c>
      <c r="D7274">
        <v>4.059431</v>
      </c>
      <c r="E7274">
        <v>0.47493429999999998</v>
      </c>
      <c r="F7274" t="s">
        <v>73</v>
      </c>
      <c r="G7274">
        <v>-476.50319999999999</v>
      </c>
      <c r="H7274">
        <v>7.9986570000000007E-2</v>
      </c>
      <c r="I7274">
        <v>125.2655</v>
      </c>
      <c r="J7274">
        <v>-334.10199999999998</v>
      </c>
      <c r="K7274">
        <v>1.1109020000000001</v>
      </c>
      <c r="L7274">
        <v>140.93600000000001</v>
      </c>
      <c r="M7274">
        <v>-0.99967070000000002</v>
      </c>
      <c r="N7274">
        <v>0</v>
      </c>
      <c r="O7274">
        <v>-2.1165750000000001E-2</v>
      </c>
      <c r="P7274">
        <v>-0.99868539999999995</v>
      </c>
      <c r="Q7274">
        <v>2.838446E-2</v>
      </c>
      <c r="R7274">
        <v>-4.268624E-2</v>
      </c>
      <c r="S7274">
        <v>-2.9906009999999998</v>
      </c>
      <c r="T7274">
        <v>-2.1631600000000001E-2</v>
      </c>
      <c r="U7274">
        <v>-0.32887270000000002</v>
      </c>
      <c r="V7274">
        <v>-2.156663E-2</v>
      </c>
      <c r="W7274">
        <v>4.2871989999999999E-2</v>
      </c>
      <c r="X7274">
        <v>0.99884779999999995</v>
      </c>
      <c r="Y7274">
        <v>-8.8242459999999995E-2</v>
      </c>
      <c r="Z7274">
        <v>-1.6557709999999901E-4</v>
      </c>
      <c r="AA7274">
        <v>0.99609899999999996</v>
      </c>
      <c r="AB7274">
        <v>23</v>
      </c>
      <c r="AC7274">
        <v>-142.40119999999999</v>
      </c>
      <c r="AD7274">
        <v>-1.0309154300000001</v>
      </c>
      <c r="AE7274">
        <v>-15.670500000000001</v>
      </c>
      <c r="AF7274">
        <v>-12.651988118795099</v>
      </c>
      <c r="AG7274">
        <v>-1.0309154300000001</v>
      </c>
      <c r="AH7274">
        <v>142.69361625586799</v>
      </c>
      <c r="AI7274">
        <v>90.412318851266605</v>
      </c>
      <c r="AJ7274">
        <v>95.066903641557005</v>
      </c>
      <c r="AK7274">
        <v>143.25712446562301</v>
      </c>
      <c r="AL7274">
        <v>87.542862882356502</v>
      </c>
      <c r="AM7274">
        <v>91.236910077416496</v>
      </c>
      <c r="AN7274">
        <v>1.0000000273104701</v>
      </c>
    </row>
    <row r="7275" spans="1:40" x14ac:dyDescent="0.25">
      <c r="A7275" t="str">
        <f>"20190312150835030"</f>
        <v>20190312150835030</v>
      </c>
      <c r="B7275" t="str">
        <f>"1552374515027401"</f>
        <v>1552374515027401</v>
      </c>
      <c r="C7275" t="s">
        <v>40</v>
      </c>
      <c r="D7275">
        <v>4.0670960000000003</v>
      </c>
      <c r="E7275">
        <v>0.47483249999999999</v>
      </c>
      <c r="F7275" t="s">
        <v>43</v>
      </c>
      <c r="G7275">
        <v>-501.1266</v>
      </c>
      <c r="H7275">
        <v>-0.05</v>
      </c>
      <c r="I7275">
        <v>122.4472</v>
      </c>
      <c r="J7275">
        <v>-334.2217</v>
      </c>
      <c r="K7275">
        <v>1.1109039999999999</v>
      </c>
      <c r="L7275">
        <v>140.9332</v>
      </c>
      <c r="M7275">
        <v>-0.99966549999999998</v>
      </c>
      <c r="N7275">
        <v>0</v>
      </c>
      <c r="O7275">
        <v>-2.1423689999999999E-2</v>
      </c>
      <c r="P7275">
        <v>-0.99865539999999997</v>
      </c>
      <c r="Q7275">
        <v>2.8868049999999999E-2</v>
      </c>
      <c r="R7275">
        <v>-4.3063570000000002E-2</v>
      </c>
      <c r="S7275">
        <v>-2.9904169999999999</v>
      </c>
      <c r="T7275">
        <v>-2.0784850000000001E-2</v>
      </c>
      <c r="U7275">
        <v>-0.33102419999999999</v>
      </c>
      <c r="V7275">
        <v>-2.168716E-2</v>
      </c>
      <c r="W7275">
        <v>4.3340759999999999E-2</v>
      </c>
      <c r="X7275">
        <v>0.99882499999999996</v>
      </c>
      <c r="Y7275">
        <v>-8.8700230000000005E-2</v>
      </c>
      <c r="Z7275">
        <v>-1.5889950000000001E-4</v>
      </c>
      <c r="AA7275">
        <v>0.99605829999999995</v>
      </c>
      <c r="AB7275">
        <v>23</v>
      </c>
      <c r="AC7275">
        <v>-166.9049</v>
      </c>
      <c r="AD7275">
        <v>-1.1609039999999999</v>
      </c>
      <c r="AE7275">
        <v>-18.486000000000001</v>
      </c>
      <c r="AF7275">
        <v>-14.9049497847569</v>
      </c>
      <c r="AG7275">
        <v>-1.1609039999999999</v>
      </c>
      <c r="AH7275">
        <v>167.25467141143301</v>
      </c>
      <c r="AI7275">
        <v>90.396110261467101</v>
      </c>
      <c r="AJ7275">
        <v>95.092478161771197</v>
      </c>
      <c r="AK7275">
        <v>167.92150051476301</v>
      </c>
      <c r="AL7275">
        <v>87.515979451630997</v>
      </c>
      <c r="AM7275">
        <v>91.243849047677401</v>
      </c>
      <c r="AN7275">
        <v>1.00000006750561</v>
      </c>
    </row>
    <row r="7276" spans="1:40" x14ac:dyDescent="0.25">
      <c r="A7276" t="str">
        <f>"20190312150835043"</f>
        <v>20190312150835043</v>
      </c>
      <c r="B7276" t="str">
        <f>"1552374515037161"</f>
        <v>1552374515037161</v>
      </c>
      <c r="C7276" t="s">
        <v>40</v>
      </c>
      <c r="D7276">
        <v>4.088203</v>
      </c>
      <c r="E7276">
        <v>0.47475139999999999</v>
      </c>
      <c r="F7276" t="s">
        <v>43</v>
      </c>
      <c r="G7276">
        <v>-524.89170000000001</v>
      </c>
      <c r="H7276">
        <v>-0.05</v>
      </c>
      <c r="I7276">
        <v>119.6999</v>
      </c>
      <c r="J7276">
        <v>-334.35539999999997</v>
      </c>
      <c r="K7276">
        <v>1.1109</v>
      </c>
      <c r="L7276">
        <v>140.9299</v>
      </c>
      <c r="M7276">
        <v>-0.99965959999999998</v>
      </c>
      <c r="N7276">
        <v>0</v>
      </c>
      <c r="O7276">
        <v>-2.1710429999999999E-2</v>
      </c>
      <c r="P7276">
        <v>-0.99863599999999997</v>
      </c>
      <c r="Q7276">
        <v>2.9002900000000002E-2</v>
      </c>
      <c r="R7276">
        <v>-4.3418249999999999E-2</v>
      </c>
      <c r="S7276">
        <v>-2.9902039999999999</v>
      </c>
      <c r="T7276">
        <v>-1.8206E-2</v>
      </c>
      <c r="U7276">
        <v>-0.33299260000000003</v>
      </c>
      <c r="V7276">
        <v>-2.1755159999999999E-2</v>
      </c>
      <c r="W7276">
        <v>4.3456990000000001E-2</v>
      </c>
      <c r="X7276">
        <v>0.9988184</v>
      </c>
      <c r="Y7276">
        <v>-8.9070350000000006E-2</v>
      </c>
      <c r="Z7276">
        <v>-1.3857370000000001E-4</v>
      </c>
      <c r="AA7276">
        <v>0.9960253</v>
      </c>
      <c r="AB7276">
        <v>23</v>
      </c>
      <c r="AC7276">
        <v>-190.53630000000001</v>
      </c>
      <c r="AD7276">
        <v>-1.1609</v>
      </c>
      <c r="AE7276">
        <v>-21.23</v>
      </c>
      <c r="AF7276">
        <v>-17.087310463203099</v>
      </c>
      <c r="AG7276">
        <v>-1.1609</v>
      </c>
      <c r="AH7276">
        <v>190.945340632978</v>
      </c>
      <c r="AI7276">
        <v>90.346953329607103</v>
      </c>
      <c r="AJ7276">
        <v>95.113661659425404</v>
      </c>
      <c r="AK7276">
        <v>191.711885330878</v>
      </c>
      <c r="AL7276">
        <v>87.509313506520996</v>
      </c>
      <c r="AM7276">
        <v>91.247756142429296</v>
      </c>
      <c r="AN7276">
        <v>0.99999999657252203</v>
      </c>
    </row>
    <row r="7277" spans="1:40" x14ac:dyDescent="0.25">
      <c r="A7277" t="str">
        <f>"20190312150835057"</f>
        <v>20190312150835057</v>
      </c>
      <c r="B7277" t="str">
        <f>"1552374515046922"</f>
        <v>1552374515046922</v>
      </c>
      <c r="C7277" t="s">
        <v>40</v>
      </c>
      <c r="D7277">
        <v>4.0796929999999998</v>
      </c>
      <c r="E7277">
        <v>0.47465439999999998</v>
      </c>
      <c r="F7277" t="s">
        <v>43</v>
      </c>
      <c r="G7277">
        <v>-536.2337</v>
      </c>
      <c r="H7277">
        <v>-0.05</v>
      </c>
      <c r="I7277">
        <v>118.3279</v>
      </c>
      <c r="J7277">
        <v>-334.49579999999997</v>
      </c>
      <c r="K7277">
        <v>1.1109</v>
      </c>
      <c r="L7277">
        <v>140.92660000000001</v>
      </c>
      <c r="M7277">
        <v>-0.99965329999999997</v>
      </c>
      <c r="N7277">
        <v>0</v>
      </c>
      <c r="O7277">
        <v>-2.2007390000000002E-2</v>
      </c>
      <c r="P7277">
        <v>-0.99862309999999999</v>
      </c>
      <c r="Q7277">
        <v>2.9029309999999999E-2</v>
      </c>
      <c r="R7277">
        <v>-4.3699599999999998E-2</v>
      </c>
      <c r="S7277">
        <v>-2.9900509999999998</v>
      </c>
      <c r="T7277">
        <v>-1.7194270000000001E-2</v>
      </c>
      <c r="U7277">
        <v>-0.33476260000000002</v>
      </c>
      <c r="V7277">
        <v>-2.1739439999999999E-2</v>
      </c>
      <c r="W7277">
        <v>4.3461760000000002E-2</v>
      </c>
      <c r="X7277">
        <v>0.99881850000000005</v>
      </c>
      <c r="Y7277">
        <v>-8.9362559999999994E-2</v>
      </c>
      <c r="Z7277">
        <v>-1.300122E-4</v>
      </c>
      <c r="AA7277">
        <v>0.99599919999999997</v>
      </c>
      <c r="AB7277">
        <v>23</v>
      </c>
      <c r="AC7277">
        <v>-201.7379</v>
      </c>
      <c r="AD7277">
        <v>-1.1609</v>
      </c>
      <c r="AE7277">
        <v>-22.598700000000001</v>
      </c>
      <c r="AF7277">
        <v>-18.152443412205599</v>
      </c>
      <c r="AG7277">
        <v>-1.1609</v>
      </c>
      <c r="AH7277">
        <v>202.17980881103</v>
      </c>
      <c r="AI7277">
        <v>90.327666089536507</v>
      </c>
      <c r="AJ7277">
        <v>95.130468603366793</v>
      </c>
      <c r="AK7277">
        <v>202.99638908489899</v>
      </c>
      <c r="AL7277">
        <v>87.509039860739406</v>
      </c>
      <c r="AM7277">
        <v>91.246854689755693</v>
      </c>
      <c r="AN7277">
        <v>0.99999996188802898</v>
      </c>
    </row>
    <row r="7278" spans="1:40" x14ac:dyDescent="0.25">
      <c r="A7278" t="str">
        <f>"20190312150835080"</f>
        <v>20190312150835080</v>
      </c>
      <c r="B7278" t="str">
        <f>"1552374515067416"</f>
        <v>1552374515067416</v>
      </c>
      <c r="C7278" t="s">
        <v>40</v>
      </c>
      <c r="D7278">
        <v>4.0560960000000001</v>
      </c>
      <c r="E7278">
        <v>0.47461140000000002</v>
      </c>
      <c r="F7278" t="s">
        <v>43</v>
      </c>
      <c r="G7278">
        <v>-531.55669999999998</v>
      </c>
      <c r="H7278">
        <v>-0.05</v>
      </c>
      <c r="I7278">
        <v>118.7573</v>
      </c>
      <c r="J7278">
        <v>-334.72829999999999</v>
      </c>
      <c r="K7278">
        <v>1.1108910000000001</v>
      </c>
      <c r="L7278">
        <v>140.92089999999999</v>
      </c>
      <c r="M7278">
        <v>-0.99964299999999995</v>
      </c>
      <c r="N7278">
        <v>0</v>
      </c>
      <c r="O7278">
        <v>-2.2491400000000002E-2</v>
      </c>
      <c r="P7278">
        <v>-0.99859290000000001</v>
      </c>
      <c r="Q7278">
        <v>2.9463909999999999E-2</v>
      </c>
      <c r="R7278">
        <v>-4.4090959999999998E-2</v>
      </c>
      <c r="S7278">
        <v>-2.9899290000000001</v>
      </c>
      <c r="T7278">
        <v>-1.761389E-2</v>
      </c>
      <c r="U7278">
        <v>-0.33636470000000002</v>
      </c>
      <c r="V7278">
        <v>-2.164715E-2</v>
      </c>
      <c r="W7278">
        <v>4.3856680000000002E-2</v>
      </c>
      <c r="X7278">
        <v>0.99880329999999995</v>
      </c>
      <c r="Y7278">
        <v>-8.9411859999999996E-2</v>
      </c>
      <c r="Z7278">
        <v>-1.304911E-4</v>
      </c>
      <c r="AA7278">
        <v>0.99599470000000001</v>
      </c>
      <c r="AB7278">
        <v>23</v>
      </c>
      <c r="AC7278">
        <v>-196.82839999999999</v>
      </c>
      <c r="AD7278">
        <v>-1.1608909999999999</v>
      </c>
      <c r="AE7278">
        <v>-22.163599999999899</v>
      </c>
      <c r="AF7278">
        <v>-17.729976443147098</v>
      </c>
      <c r="AG7278">
        <v>-1.1608909999999999</v>
      </c>
      <c r="AH7278">
        <v>197.27036510811999</v>
      </c>
      <c r="AI7278">
        <v>90.335815108817698</v>
      </c>
      <c r="AJ7278">
        <v>95.1357471721807</v>
      </c>
      <c r="AK7278">
        <v>198.06891902183801</v>
      </c>
      <c r="AL7278">
        <v>87.486391160021</v>
      </c>
      <c r="AM7278">
        <v>91.241581991875805</v>
      </c>
      <c r="AN7278">
        <v>1.00000001978731</v>
      </c>
    </row>
    <row r="7279" spans="1:40" x14ac:dyDescent="0.25">
      <c r="A7279" t="str">
        <f>"20190312150835102"</f>
        <v>20190312150835102</v>
      </c>
      <c r="B7279" t="str">
        <f>"1552374515097672"</f>
        <v>1552374515097672</v>
      </c>
      <c r="C7279" t="s">
        <v>40</v>
      </c>
      <c r="D7279">
        <v>4.0953920000000004</v>
      </c>
      <c r="E7279">
        <v>0.4744351</v>
      </c>
      <c r="F7279" t="s">
        <v>43</v>
      </c>
      <c r="G7279">
        <v>-552.05460000000005</v>
      </c>
      <c r="H7279">
        <v>-0.05</v>
      </c>
      <c r="I7279">
        <v>116.3519</v>
      </c>
      <c r="J7279">
        <v>-334.9504</v>
      </c>
      <c r="K7279">
        <v>1.1108739999999999</v>
      </c>
      <c r="L7279">
        <v>140.9153</v>
      </c>
      <c r="M7279">
        <v>-0.99963369999999996</v>
      </c>
      <c r="N7279">
        <v>0</v>
      </c>
      <c r="O7279">
        <v>-2.2939669999999999E-2</v>
      </c>
      <c r="P7279">
        <v>-0.99856560000000005</v>
      </c>
      <c r="Q7279">
        <v>2.9791229999999998E-2</v>
      </c>
      <c r="R7279">
        <v>-4.4489559999999997E-2</v>
      </c>
      <c r="S7279">
        <v>-2.9897770000000001</v>
      </c>
      <c r="T7279">
        <v>-1.597047E-2</v>
      </c>
      <c r="U7279">
        <v>-0.3379974</v>
      </c>
      <c r="V7279">
        <v>-2.1597350000000001E-2</v>
      </c>
      <c r="W7279">
        <v>4.4138219999999999E-2</v>
      </c>
      <c r="X7279">
        <v>0.99879189999999995</v>
      </c>
      <c r="Y7279">
        <v>-8.9508180000000007E-2</v>
      </c>
      <c r="Z7279">
        <v>-1.161901E-4</v>
      </c>
      <c r="AA7279">
        <v>0.99598609999999999</v>
      </c>
      <c r="AB7279">
        <v>23</v>
      </c>
      <c r="AC7279">
        <v>-217.10419999999999</v>
      </c>
      <c r="AD7279">
        <v>-1.160874</v>
      </c>
      <c r="AE7279">
        <v>-24.563400000000001</v>
      </c>
      <c r="AF7279">
        <v>-19.575569874251698</v>
      </c>
      <c r="AG7279">
        <v>-1.160874</v>
      </c>
      <c r="AH7279">
        <v>217.60444894012701</v>
      </c>
      <c r="AI7279">
        <v>90.304428722603404</v>
      </c>
      <c r="AJ7279">
        <v>95.140458131441306</v>
      </c>
      <c r="AK7279">
        <v>218.48626218342</v>
      </c>
      <c r="AL7279">
        <v>87.470244278284696</v>
      </c>
      <c r="AM7279">
        <v>91.238740715711302</v>
      </c>
      <c r="AN7279">
        <v>0.99999994374869805</v>
      </c>
    </row>
    <row r="7280" spans="1:40" x14ac:dyDescent="0.25">
      <c r="A7280" t="str">
        <f>"20190312150835117"</f>
        <v>20190312150835117</v>
      </c>
      <c r="B7280" t="str">
        <f>"1552374515107433"</f>
        <v>1552374515107433</v>
      </c>
      <c r="C7280" t="s">
        <v>40</v>
      </c>
      <c r="D7280">
        <v>4.3829529999999997</v>
      </c>
      <c r="E7280">
        <v>0.47445009999999999</v>
      </c>
      <c r="F7280" t="s">
        <v>43</v>
      </c>
      <c r="G7280">
        <v>-532.35889999999995</v>
      </c>
      <c r="H7280">
        <v>-0.05</v>
      </c>
      <c r="I7280">
        <v>118.4199</v>
      </c>
      <c r="J7280">
        <v>-335.10509999999999</v>
      </c>
      <c r="K7280">
        <v>1.11086</v>
      </c>
      <c r="L7280">
        <v>140.91139999999999</v>
      </c>
      <c r="M7280">
        <v>-0.9996273</v>
      </c>
      <c r="N7280">
        <v>0</v>
      </c>
      <c r="O7280">
        <v>-2.3239619999999999E-2</v>
      </c>
      <c r="P7280">
        <v>-0.99853860000000005</v>
      </c>
      <c r="Q7280">
        <v>3.0227380000000002E-2</v>
      </c>
      <c r="R7280">
        <v>-4.480423E-2</v>
      </c>
      <c r="S7280">
        <v>-2.989655</v>
      </c>
      <c r="T7280">
        <v>-1.7580869999999998E-2</v>
      </c>
      <c r="U7280">
        <v>-0.34068300000000001</v>
      </c>
      <c r="V7280">
        <v>-2.1611249999999999E-2</v>
      </c>
      <c r="W7280">
        <v>4.4538370000000001E-2</v>
      </c>
      <c r="X7280">
        <v>0.99877389999999999</v>
      </c>
      <c r="Y7280">
        <v>-9.009694E-2</v>
      </c>
      <c r="Z7280">
        <v>-1.278738E-4</v>
      </c>
      <c r="AA7280">
        <v>0.99593299999999996</v>
      </c>
      <c r="AB7280">
        <v>23</v>
      </c>
      <c r="AC7280">
        <v>-197.25380000000001</v>
      </c>
      <c r="AD7280">
        <v>-1.16086</v>
      </c>
      <c r="AE7280">
        <v>-22.491499999999899</v>
      </c>
      <c r="AF7280">
        <v>-17.900238606289498</v>
      </c>
      <c r="AG7280">
        <v>-1.16086</v>
      </c>
      <c r="AH7280">
        <v>197.716503081723</v>
      </c>
      <c r="AI7280">
        <v>90.3350286925142</v>
      </c>
      <c r="AJ7280">
        <v>95.173162862696202</v>
      </c>
      <c r="AK7280">
        <v>198.52854134599099</v>
      </c>
      <c r="AL7280">
        <v>87.447294965491196</v>
      </c>
      <c r="AM7280">
        <v>91.239560049556204</v>
      </c>
      <c r="AN7280">
        <v>1.00000000792501</v>
      </c>
    </row>
    <row r="7281" spans="1:40" x14ac:dyDescent="0.25">
      <c r="A7281" t="str">
        <f>"20190312150835130"</f>
        <v>20190312150835130</v>
      </c>
      <c r="B7281" t="str">
        <f>"1552374515127507"</f>
        <v>1552374515127507</v>
      </c>
      <c r="C7281" t="s">
        <v>40</v>
      </c>
      <c r="D7281">
        <v>4.3925609999999997</v>
      </c>
      <c r="E7281">
        <v>0.47436149999999999</v>
      </c>
      <c r="F7281" t="s">
        <v>43</v>
      </c>
      <c r="G7281">
        <v>-551.57629999999995</v>
      </c>
      <c r="H7281">
        <v>-0.05</v>
      </c>
      <c r="I7281">
        <v>116.1866</v>
      </c>
      <c r="J7281">
        <v>-335.23919999999998</v>
      </c>
      <c r="K7281">
        <v>1.110849</v>
      </c>
      <c r="L7281">
        <v>140.90799999999999</v>
      </c>
      <c r="M7281">
        <v>-0.9996218</v>
      </c>
      <c r="N7281">
        <v>0</v>
      </c>
      <c r="O7281">
        <v>-2.3492160000000002E-2</v>
      </c>
      <c r="P7281">
        <v>-0.99851860000000003</v>
      </c>
      <c r="Q7281">
        <v>3.0638039999999998E-2</v>
      </c>
      <c r="R7281">
        <v>-4.4970629999999998E-2</v>
      </c>
      <c r="S7281">
        <v>-2.989563</v>
      </c>
      <c r="T7281">
        <v>-1.6031980000000001E-2</v>
      </c>
      <c r="U7281">
        <v>-0.34146120000000002</v>
      </c>
      <c r="V7281">
        <v>-2.1525160000000002E-2</v>
      </c>
      <c r="W7281">
        <v>4.4916119999999997E-2</v>
      </c>
      <c r="X7281">
        <v>0.99875890000000001</v>
      </c>
      <c r="Y7281">
        <v>-9.0104909999999996E-2</v>
      </c>
      <c r="Z7281">
        <v>-1.1528270000000001E-4</v>
      </c>
      <c r="AA7281">
        <v>0.99593229999999999</v>
      </c>
      <c r="AB7281">
        <v>23</v>
      </c>
      <c r="AC7281">
        <v>-216.33709999999999</v>
      </c>
      <c r="AD7281">
        <v>-1.160849</v>
      </c>
      <c r="AE7281">
        <v>-24.7213999999999</v>
      </c>
      <c r="AF7281">
        <v>-19.6312728728014</v>
      </c>
      <c r="AG7281">
        <v>-1.160849</v>
      </c>
      <c r="AH7281">
        <v>216.852038389911</v>
      </c>
      <c r="AI7281">
        <v>90.305462840337796</v>
      </c>
      <c r="AJ7281">
        <v>95.172796228628997</v>
      </c>
      <c r="AK7281">
        <v>217.74191373933201</v>
      </c>
      <c r="AL7281">
        <v>87.425629951012496</v>
      </c>
      <c r="AM7281">
        <v>91.234642239220705</v>
      </c>
      <c r="AN7281">
        <v>1.00000006533904</v>
      </c>
    </row>
    <row r="7282" spans="1:40" x14ac:dyDescent="0.25">
      <c r="A7282" t="str">
        <f>"20190312150835147"</f>
        <v>20190312150835147</v>
      </c>
      <c r="B7282" t="str">
        <f>"1552374515137266"</f>
        <v>1552374515137266</v>
      </c>
      <c r="C7282" t="s">
        <v>40</v>
      </c>
      <c r="D7282">
        <v>4.4948920000000001</v>
      </c>
      <c r="E7282">
        <v>0.47435050000000001</v>
      </c>
      <c r="F7282" t="s">
        <v>48</v>
      </c>
      <c r="G7282">
        <v>0</v>
      </c>
      <c r="H7282">
        <v>0</v>
      </c>
      <c r="I7282">
        <v>0</v>
      </c>
      <c r="J7282">
        <v>-335.39949999999999</v>
      </c>
      <c r="K7282">
        <v>1.1108309999999999</v>
      </c>
      <c r="L7282">
        <v>140.90389999999999</v>
      </c>
      <c r="M7282">
        <v>-0.99961560000000005</v>
      </c>
      <c r="N7282">
        <v>0</v>
      </c>
      <c r="O7282">
        <v>-2.3783439999999999E-2</v>
      </c>
      <c r="P7282">
        <v>-0.99847830000000004</v>
      </c>
      <c r="Q7282">
        <v>3.0925100000000001E-2</v>
      </c>
      <c r="R7282">
        <v>-4.5660180000000002E-2</v>
      </c>
      <c r="S7282">
        <v>-2.989471</v>
      </c>
      <c r="T7282">
        <v>-1.420021E-2</v>
      </c>
      <c r="U7282">
        <v>-0.34254459999999998</v>
      </c>
      <c r="V7282">
        <v>-2.192353E-2</v>
      </c>
      <c r="W7282">
        <v>4.5160970000000002E-2</v>
      </c>
      <c r="X7282">
        <v>0.99873909999999999</v>
      </c>
      <c r="Y7282">
        <v>-9.0174599999999994E-2</v>
      </c>
      <c r="Z7282">
        <v>-1.008991E-4</v>
      </c>
      <c r="AA7282">
        <v>0.99592599999999998</v>
      </c>
      <c r="AB7282">
        <v>23</v>
      </c>
      <c r="AC7282">
        <v>-2.989471</v>
      </c>
      <c r="AD7282">
        <v>-1.420021E-2</v>
      </c>
      <c r="AE7282">
        <v>-0.34254459999999998</v>
      </c>
      <c r="AF7282">
        <v>-0.27133452135202901</v>
      </c>
      <c r="AG7282">
        <v>-1.420021E-2</v>
      </c>
      <c r="AH7282">
        <v>2.99670618544708</v>
      </c>
      <c r="AI7282">
        <v>90.270393992780996</v>
      </c>
      <c r="AJ7282">
        <v>95.173695864137002</v>
      </c>
      <c r="AK7282">
        <v>3.0089985095273999</v>
      </c>
      <c r="AL7282">
        <v>87.411586588579496</v>
      </c>
      <c r="AM7282">
        <v>91.257509636188104</v>
      </c>
      <c r="AN7282">
        <v>0.99999997212390501</v>
      </c>
    </row>
    <row r="7283" spans="1:40" x14ac:dyDescent="0.25">
      <c r="A7283" t="str">
        <f>"20190312150835168"</f>
        <v>20190312150835168</v>
      </c>
      <c r="B7283" t="str">
        <f>"1552374515156787"</f>
        <v>1552374515156787</v>
      </c>
      <c r="C7283" t="s">
        <v>40</v>
      </c>
      <c r="D7283">
        <v>4.566821</v>
      </c>
      <c r="E7283">
        <v>0.47433890000000001</v>
      </c>
      <c r="F7283" t="s">
        <v>48</v>
      </c>
      <c r="G7283">
        <v>0</v>
      </c>
      <c r="H7283">
        <v>0</v>
      </c>
      <c r="I7283">
        <v>0</v>
      </c>
      <c r="J7283">
        <v>-335.6191</v>
      </c>
      <c r="K7283">
        <v>1.1108020000000001</v>
      </c>
      <c r="L7283">
        <v>140.8982</v>
      </c>
      <c r="M7283">
        <v>-0.99960729999999998</v>
      </c>
      <c r="N7283">
        <v>0</v>
      </c>
      <c r="O7283">
        <v>-2.4158860000000001E-2</v>
      </c>
      <c r="P7283">
        <v>-0.99845839999999997</v>
      </c>
      <c r="Q7283">
        <v>3.1108070000000002E-2</v>
      </c>
      <c r="R7283">
        <v>-4.5971890000000001E-2</v>
      </c>
      <c r="S7283">
        <v>-2.9891969999999999</v>
      </c>
      <c r="T7283">
        <v>-1.335096E-2</v>
      </c>
      <c r="U7283">
        <v>-0.34480290000000002</v>
      </c>
      <c r="V7283">
        <v>-2.185817E-2</v>
      </c>
      <c r="W7283">
        <v>4.5280529999999999E-2</v>
      </c>
      <c r="X7283">
        <v>0.99873509999999999</v>
      </c>
      <c r="Y7283">
        <v>-9.0553620000000001E-2</v>
      </c>
      <c r="Z7283" s="1">
        <v>-9.4043510000000002E-5</v>
      </c>
      <c r="AA7283">
        <v>0.99589159999999999</v>
      </c>
      <c r="AB7283">
        <v>23</v>
      </c>
      <c r="AC7283">
        <v>-2.9891969999999999</v>
      </c>
      <c r="AD7283">
        <v>-1.335096E-2</v>
      </c>
      <c r="AE7283">
        <v>-0.34480290000000002</v>
      </c>
      <c r="AF7283">
        <v>-0.27247400658051502</v>
      </c>
      <c r="AG7283">
        <v>-1.335096E-2</v>
      </c>
      <c r="AH7283">
        <v>2.9965962648739701</v>
      </c>
      <c r="AI7283">
        <v>90.2542237256839</v>
      </c>
      <c r="AJ7283">
        <v>95.195493981539599</v>
      </c>
      <c r="AK7283">
        <v>3.0089881201247</v>
      </c>
      <c r="AL7283">
        <v>87.404729240385507</v>
      </c>
      <c r="AM7283">
        <v>91.253766876499796</v>
      </c>
      <c r="AN7283">
        <v>0.99999995298241795</v>
      </c>
    </row>
    <row r="7284" spans="1:40" x14ac:dyDescent="0.25">
      <c r="A7284" t="str">
        <f>"20190312150835183"</f>
        <v>20190312150835183</v>
      </c>
      <c r="B7284" t="str">
        <f>"1552374515177283"</f>
        <v>1552374515177283</v>
      </c>
      <c r="C7284" t="s">
        <v>40</v>
      </c>
      <c r="D7284">
        <v>4.4122719999999997</v>
      </c>
      <c r="E7284">
        <v>0.47428029999999999</v>
      </c>
      <c r="F7284" t="s">
        <v>48</v>
      </c>
      <c r="G7284">
        <v>0</v>
      </c>
      <c r="H7284">
        <v>0</v>
      </c>
      <c r="I7284">
        <v>0</v>
      </c>
      <c r="J7284">
        <v>-335.77280000000002</v>
      </c>
      <c r="K7284">
        <v>1.1107819999999999</v>
      </c>
      <c r="L7284">
        <v>140.89420000000001</v>
      </c>
      <c r="M7284">
        <v>-0.99960199999999999</v>
      </c>
      <c r="N7284">
        <v>0</v>
      </c>
      <c r="O7284">
        <v>-2.44085E-2</v>
      </c>
      <c r="P7284">
        <v>-0.99844069999999996</v>
      </c>
      <c r="Q7284">
        <v>3.1327000000000001E-2</v>
      </c>
      <c r="R7284">
        <v>-4.6205129999999997E-2</v>
      </c>
      <c r="S7284">
        <v>-2.9891049999999999</v>
      </c>
      <c r="T7284">
        <v>-1.250327E-2</v>
      </c>
      <c r="U7284">
        <v>-0.34588619999999998</v>
      </c>
      <c r="V7284">
        <v>-2.1840849999999998E-2</v>
      </c>
      <c r="W7284">
        <v>4.5452960000000001E-2</v>
      </c>
      <c r="X7284">
        <v>0.9987277</v>
      </c>
      <c r="Y7284">
        <v>-9.0664640000000005E-2</v>
      </c>
      <c r="Z7284" s="1">
        <v>-8.7264989999999998E-5</v>
      </c>
      <c r="AA7284">
        <v>0.99588149999999998</v>
      </c>
      <c r="AB7284">
        <v>23</v>
      </c>
      <c r="AC7284">
        <v>-2.9891049999999999</v>
      </c>
      <c r="AD7284">
        <v>-1.250327E-2</v>
      </c>
      <c r="AE7284">
        <v>-0.34588619999999998</v>
      </c>
      <c r="AF7284">
        <v>-0.27281154966665899</v>
      </c>
      <c r="AG7284">
        <v>-1.250327E-2</v>
      </c>
      <c r="AH7284">
        <v>2.9966059412808899</v>
      </c>
      <c r="AI7284">
        <v>90.238079356025693</v>
      </c>
      <c r="AJ7284">
        <v>95.201878209023704</v>
      </c>
      <c r="AK7284">
        <v>3.0090246992525902</v>
      </c>
      <c r="AL7284">
        <v>87.394839685790799</v>
      </c>
      <c r="AM7284">
        <v>91.252783011476296</v>
      </c>
      <c r="AN7284">
        <v>1.0000000065243799</v>
      </c>
    </row>
    <row r="7285" spans="1:40" x14ac:dyDescent="0.25">
      <c r="A7285" t="str">
        <f>"20190312150835195"</f>
        <v>20190312150835195</v>
      </c>
      <c r="B7285" t="str">
        <f>"1552374515187043"</f>
        <v>1552374515187043</v>
      </c>
      <c r="C7285" t="s">
        <v>40</v>
      </c>
      <c r="D7285">
        <v>4.0899749999999999</v>
      </c>
      <c r="E7285">
        <v>0.4742055</v>
      </c>
      <c r="F7285" t="s">
        <v>48</v>
      </c>
      <c r="G7285">
        <v>0</v>
      </c>
      <c r="H7285">
        <v>0</v>
      </c>
      <c r="I7285">
        <v>0</v>
      </c>
      <c r="J7285">
        <v>-335.88990000000001</v>
      </c>
      <c r="K7285">
        <v>1.110773</v>
      </c>
      <c r="L7285">
        <v>140.89109999999999</v>
      </c>
      <c r="M7285">
        <v>-0.99959810000000004</v>
      </c>
      <c r="N7285">
        <v>0</v>
      </c>
      <c r="O7285">
        <v>-2.4587589999999999E-2</v>
      </c>
      <c r="P7285">
        <v>-0.99841780000000002</v>
      </c>
      <c r="Q7285">
        <v>3.171293E-2</v>
      </c>
      <c r="R7285">
        <v>-4.643883E-2</v>
      </c>
      <c r="S7285">
        <v>-2.9890140000000001</v>
      </c>
      <c r="T7285">
        <v>-1.183271E-2</v>
      </c>
      <c r="U7285">
        <v>-0.34695429999999999</v>
      </c>
      <c r="V7285">
        <v>-2.1895270000000001E-2</v>
      </c>
      <c r="W7285">
        <v>4.5801649999999999E-2</v>
      </c>
      <c r="X7285">
        <v>0.9987106</v>
      </c>
      <c r="Y7285">
        <v>-9.0840939999999995E-2</v>
      </c>
      <c r="Z7285" s="1">
        <v>-8.2227739999999995E-5</v>
      </c>
      <c r="AA7285">
        <v>0.99586540000000001</v>
      </c>
      <c r="AB7285">
        <v>23</v>
      </c>
      <c r="AC7285">
        <v>-2.9890140000000001</v>
      </c>
      <c r="AD7285">
        <v>-1.183271E-2</v>
      </c>
      <c r="AE7285">
        <v>-0.34695429999999999</v>
      </c>
      <c r="AF7285">
        <v>-0.27334519330409102</v>
      </c>
      <c r="AG7285">
        <v>-1.183271E-2</v>
      </c>
      <c r="AH7285">
        <v>2.9965954622246098</v>
      </c>
      <c r="AI7285">
        <v>90.225308267257404</v>
      </c>
      <c r="AJ7285">
        <v>95.212015684768005</v>
      </c>
      <c r="AK7285">
        <v>3.0090599814482801</v>
      </c>
      <c r="AL7285">
        <v>87.374840448970303</v>
      </c>
      <c r="AM7285">
        <v>91.255925020646501</v>
      </c>
      <c r="AN7285">
        <v>1.0000000282717201</v>
      </c>
    </row>
    <row r="7286" spans="1:40" x14ac:dyDescent="0.25">
      <c r="A7286" t="str">
        <f>"20190312150835214"</f>
        <v>20190312150835214</v>
      </c>
      <c r="B7286" t="str">
        <f>"1552374515207541"</f>
        <v>1552374515207541</v>
      </c>
      <c r="C7286" t="s">
        <v>40</v>
      </c>
      <c r="D7286">
        <v>4.1131140000000004</v>
      </c>
      <c r="E7286">
        <v>0.47417189999999998</v>
      </c>
      <c r="F7286" t="s">
        <v>48</v>
      </c>
      <c r="G7286">
        <v>0</v>
      </c>
      <c r="H7286">
        <v>0</v>
      </c>
      <c r="I7286">
        <v>0</v>
      </c>
      <c r="J7286">
        <v>-336.0763</v>
      </c>
      <c r="K7286">
        <v>1.110751</v>
      </c>
      <c r="L7286">
        <v>140.8862</v>
      </c>
      <c r="M7286">
        <v>-0.99959240000000005</v>
      </c>
      <c r="N7286">
        <v>0</v>
      </c>
      <c r="O7286">
        <v>-2.4859630000000001E-2</v>
      </c>
      <c r="P7286">
        <v>-0.9983919</v>
      </c>
      <c r="Q7286">
        <v>3.2062019999999997E-2</v>
      </c>
      <c r="R7286">
        <v>-4.6758010000000003E-2</v>
      </c>
      <c r="S7286">
        <v>-2.988953</v>
      </c>
      <c r="T7286">
        <v>-1.1302110000000001E-2</v>
      </c>
      <c r="U7286">
        <v>-0.34829710000000003</v>
      </c>
      <c r="V7286">
        <v>-2.1941180000000001E-2</v>
      </c>
      <c r="W7286">
        <v>4.6089360000000003E-2</v>
      </c>
      <c r="X7286">
        <v>0.99869629999999998</v>
      </c>
      <c r="Y7286">
        <v>-9.1013750000000004E-2</v>
      </c>
      <c r="Z7286" s="1">
        <v>-7.7841610000000004E-5</v>
      </c>
      <c r="AA7286">
        <v>0.9958496</v>
      </c>
      <c r="AB7286">
        <v>22</v>
      </c>
      <c r="AC7286">
        <v>-2.988953</v>
      </c>
      <c r="AD7286">
        <v>-1.1302110000000001E-2</v>
      </c>
      <c r="AE7286">
        <v>-0.34829710000000003</v>
      </c>
      <c r="AF7286">
        <v>-0.273873987764571</v>
      </c>
      <c r="AG7286">
        <v>-1.1302110000000001E-2</v>
      </c>
      <c r="AH7286">
        <v>2.9966462044973099</v>
      </c>
      <c r="AI7286">
        <v>90.215198083991595</v>
      </c>
      <c r="AJ7286">
        <v>95.221954857656897</v>
      </c>
      <c r="AK7286">
        <v>3.0091565552148798</v>
      </c>
      <c r="AL7286">
        <v>87.358338305086093</v>
      </c>
      <c r="AM7286">
        <v>91.258575613054305</v>
      </c>
      <c r="AN7286">
        <v>0.99999997205934499</v>
      </c>
    </row>
    <row r="7287" spans="1:40" x14ac:dyDescent="0.25">
      <c r="A7287" t="str">
        <f>"20190312150835229"</f>
        <v>20190312150835229</v>
      </c>
      <c r="B7287" t="str">
        <f>"1552374515217298"</f>
        <v>1552374515217298</v>
      </c>
      <c r="C7287" t="s">
        <v>40</v>
      </c>
      <c r="D7287">
        <v>4.5915980000000003</v>
      </c>
      <c r="E7287">
        <v>0.4741554</v>
      </c>
      <c r="F7287" t="s">
        <v>48</v>
      </c>
      <c r="G7287">
        <v>0</v>
      </c>
      <c r="H7287">
        <v>0</v>
      </c>
      <c r="I7287">
        <v>0</v>
      </c>
      <c r="J7287">
        <v>-336.22660000000002</v>
      </c>
      <c r="K7287">
        <v>1.1107340000000001</v>
      </c>
      <c r="L7287">
        <v>140.88220000000001</v>
      </c>
      <c r="M7287">
        <v>-0.99958800000000003</v>
      </c>
      <c r="N7287">
        <v>0</v>
      </c>
      <c r="O7287">
        <v>-2.5064429999999999E-2</v>
      </c>
      <c r="P7287">
        <v>-0.99836959999999997</v>
      </c>
      <c r="Q7287">
        <v>3.2363999999999997E-2</v>
      </c>
      <c r="R7287">
        <v>-4.7020949999999999E-2</v>
      </c>
      <c r="S7287">
        <v>-2.9887700000000001</v>
      </c>
      <c r="T7287">
        <v>-9.8127130000000007E-3</v>
      </c>
      <c r="U7287">
        <v>-0.3495026</v>
      </c>
      <c r="V7287">
        <v>-2.1999020000000001E-2</v>
      </c>
      <c r="W7287">
        <v>4.6338480000000001E-2</v>
      </c>
      <c r="X7287">
        <v>0.99868349999999995</v>
      </c>
      <c r="Y7287">
        <v>-9.121311E-2</v>
      </c>
      <c r="Z7287" s="1">
        <v>-6.7242980000000005E-5</v>
      </c>
      <c r="AA7287">
        <v>0.99583140000000003</v>
      </c>
      <c r="AB7287">
        <v>22</v>
      </c>
      <c r="AC7287">
        <v>-2.9887700000000001</v>
      </c>
      <c r="AD7287">
        <v>-9.8127130000000007E-3</v>
      </c>
      <c r="AE7287">
        <v>-0.3495026</v>
      </c>
      <c r="AF7287">
        <v>-0.274470715235962</v>
      </c>
      <c r="AG7287">
        <v>-9.8127130000000007E-3</v>
      </c>
      <c r="AH7287">
        <v>2.9965599328535899</v>
      </c>
      <c r="AI7287">
        <v>90.186841361157803</v>
      </c>
      <c r="AJ7287">
        <v>95.233419383089398</v>
      </c>
      <c r="AK7287">
        <v>3.0091197872537498</v>
      </c>
      <c r="AL7287">
        <v>87.344049514307898</v>
      </c>
      <c r="AM7287">
        <v>91.261908490201705</v>
      </c>
      <c r="AN7287">
        <v>0.99999997239095995</v>
      </c>
    </row>
    <row r="7288" spans="1:40" x14ac:dyDescent="0.25">
      <c r="A7288" t="str">
        <f>"20190312150835247"</f>
        <v>20190312150835247</v>
      </c>
      <c r="B7288" t="str">
        <f>"1552374515236819"</f>
        <v>1552374515236819</v>
      </c>
      <c r="C7288" t="s">
        <v>40</v>
      </c>
      <c r="D7288">
        <v>4.6022759999999998</v>
      </c>
      <c r="E7288">
        <v>0.4740819</v>
      </c>
      <c r="F7288" t="s">
        <v>48</v>
      </c>
      <c r="G7288">
        <v>0</v>
      </c>
      <c r="H7288">
        <v>0</v>
      </c>
      <c r="I7288">
        <v>0</v>
      </c>
      <c r="J7288">
        <v>-336.40589999999997</v>
      </c>
      <c r="K7288">
        <v>1.110714</v>
      </c>
      <c r="L7288">
        <v>140.8775</v>
      </c>
      <c r="M7288">
        <v>-0.99958320000000001</v>
      </c>
      <c r="N7288">
        <v>0</v>
      </c>
      <c r="O7288">
        <v>-2.5291250000000001E-2</v>
      </c>
      <c r="P7288">
        <v>-0.99835339999999995</v>
      </c>
      <c r="Q7288">
        <v>3.2716790000000003E-2</v>
      </c>
      <c r="R7288">
        <v>-4.712032E-2</v>
      </c>
      <c r="S7288">
        <v>-2.9886780000000002</v>
      </c>
      <c r="T7288">
        <v>-8.889437E-3</v>
      </c>
      <c r="U7288">
        <v>-0.35040280000000001</v>
      </c>
      <c r="V7288">
        <v>-2.1870629999999999E-2</v>
      </c>
      <c r="W7288">
        <v>4.6624739999999998E-2</v>
      </c>
      <c r="X7288">
        <v>0.99867300000000003</v>
      </c>
      <c r="Y7288">
        <v>-9.1286629999999994E-2</v>
      </c>
      <c r="Z7288" s="1">
        <v>-6.0354250000000002E-5</v>
      </c>
      <c r="AA7288">
        <v>0.99582459999999995</v>
      </c>
      <c r="AB7288">
        <v>22</v>
      </c>
      <c r="AC7288">
        <v>-2.9886780000000002</v>
      </c>
      <c r="AD7288">
        <v>-8.889437E-3</v>
      </c>
      <c r="AE7288">
        <v>-0.35040280000000001</v>
      </c>
      <c r="AF7288">
        <v>-0.27469356885367902</v>
      </c>
      <c r="AG7288">
        <v>-8.889437E-3</v>
      </c>
      <c r="AH7288">
        <v>2.99655864468739</v>
      </c>
      <c r="AI7288">
        <v>90.169260534629501</v>
      </c>
      <c r="AJ7288">
        <v>95.237647218595797</v>
      </c>
      <c r="AK7288">
        <v>3.0091359706584302</v>
      </c>
      <c r="AL7288">
        <v>87.327630286491797</v>
      </c>
      <c r="AM7288">
        <v>91.254559325533407</v>
      </c>
      <c r="AN7288">
        <v>0.99999997588283196</v>
      </c>
    </row>
    <row r="7289" spans="1:40" x14ac:dyDescent="0.25">
      <c r="A7289" t="str">
        <f>"20190312150835263"</f>
        <v>20190312150835263</v>
      </c>
      <c r="B7289" t="str">
        <f>"1552374515257315"</f>
        <v>1552374515257315</v>
      </c>
      <c r="C7289" t="s">
        <v>40</v>
      </c>
      <c r="D7289">
        <v>4.605861</v>
      </c>
      <c r="E7289">
        <v>0.47403129999999999</v>
      </c>
      <c r="F7289" t="s">
        <v>48</v>
      </c>
      <c r="G7289">
        <v>0</v>
      </c>
      <c r="H7289">
        <v>0</v>
      </c>
      <c r="I7289">
        <v>0</v>
      </c>
      <c r="J7289">
        <v>-336.57069999999999</v>
      </c>
      <c r="K7289">
        <v>1.1106940000000001</v>
      </c>
      <c r="L7289">
        <v>140.87299999999999</v>
      </c>
      <c r="M7289">
        <v>-0.9995792</v>
      </c>
      <c r="N7289">
        <v>0</v>
      </c>
      <c r="O7289">
        <v>-2.5483329999999998E-2</v>
      </c>
      <c r="P7289">
        <v>-0.99833450000000001</v>
      </c>
      <c r="Q7289">
        <v>3.307119E-2</v>
      </c>
      <c r="R7289">
        <v>-4.7273419999999997E-2</v>
      </c>
      <c r="S7289">
        <v>-2.9885860000000002</v>
      </c>
      <c r="T7289">
        <v>-8.410931E-3</v>
      </c>
      <c r="U7289">
        <v>-0.35128779999999998</v>
      </c>
      <c r="V7289">
        <v>-2.1830329999999998E-2</v>
      </c>
      <c r="W7289">
        <v>4.69153E-2</v>
      </c>
      <c r="X7289">
        <v>0.99866029999999995</v>
      </c>
      <c r="Y7289">
        <v>-9.138976E-2</v>
      </c>
      <c r="Z7289" s="1">
        <v>-5.6712739999999999E-5</v>
      </c>
      <c r="AA7289">
        <v>0.99581520000000001</v>
      </c>
      <c r="AB7289">
        <v>22</v>
      </c>
      <c r="AC7289">
        <v>-2.9885860000000002</v>
      </c>
      <c r="AD7289">
        <v>-8.410931E-3</v>
      </c>
      <c r="AE7289">
        <v>-0.35128779999999998</v>
      </c>
      <c r="AF7289">
        <v>-0.27500511141126999</v>
      </c>
      <c r="AG7289">
        <v>-8.410931E-3</v>
      </c>
      <c r="AH7289">
        <v>2.9965446935862601</v>
      </c>
      <c r="AI7289">
        <v>90.160148749783104</v>
      </c>
      <c r="AJ7289">
        <v>95.243578656718398</v>
      </c>
      <c r="AK7289">
        <v>3.0091491581047598</v>
      </c>
      <c r="AL7289">
        <v>87.310964255931793</v>
      </c>
      <c r="AM7289">
        <v>91.252264263593403</v>
      </c>
      <c r="AN7289">
        <v>1.00000000173904</v>
      </c>
    </row>
    <row r="7290" spans="1:40" x14ac:dyDescent="0.25">
      <c r="A7290" t="str">
        <f>"20190312150835281"</f>
        <v>20190312150835281</v>
      </c>
      <c r="B7290" t="str">
        <f>"1552374515276835"</f>
        <v>1552374515276835</v>
      </c>
      <c r="C7290" t="s">
        <v>40</v>
      </c>
      <c r="D7290">
        <v>4.3682629999999998</v>
      </c>
      <c r="E7290">
        <v>0.47399429999999998</v>
      </c>
      <c r="F7290" t="s">
        <v>48</v>
      </c>
      <c r="G7290">
        <v>0</v>
      </c>
      <c r="H7290">
        <v>0</v>
      </c>
      <c r="I7290">
        <v>0</v>
      </c>
      <c r="J7290">
        <v>-336.74619999999999</v>
      </c>
      <c r="K7290">
        <v>1.1106769999999999</v>
      </c>
      <c r="L7290">
        <v>140.8683</v>
      </c>
      <c r="M7290">
        <v>-0.99957530000000006</v>
      </c>
      <c r="N7290">
        <v>0</v>
      </c>
      <c r="O7290">
        <v>-2.5670599999999998E-2</v>
      </c>
      <c r="P7290">
        <v>-0.99834279999999997</v>
      </c>
      <c r="Q7290">
        <v>3.2985439999999998E-2</v>
      </c>
      <c r="R7290">
        <v>-4.7154479999999999E-2</v>
      </c>
      <c r="S7290">
        <v>-2.988556</v>
      </c>
      <c r="T7290">
        <v>-7.2410109999999899E-3</v>
      </c>
      <c r="U7290">
        <v>-0.35221859999999999</v>
      </c>
      <c r="V7290">
        <v>-2.1522860000000001E-2</v>
      </c>
      <c r="W7290">
        <v>4.6760969999999999E-2</v>
      </c>
      <c r="X7290">
        <v>0.99867419999999996</v>
      </c>
      <c r="Y7290">
        <v>-9.1510359999999999E-2</v>
      </c>
      <c r="Z7290" s="1">
        <v>-4.8517860000000002E-5</v>
      </c>
      <c r="AA7290">
        <v>0.99580409999999997</v>
      </c>
      <c r="AB7290">
        <v>22</v>
      </c>
      <c r="AC7290">
        <v>-2.988556</v>
      </c>
      <c r="AD7290">
        <v>-7.2410109999999899E-3</v>
      </c>
      <c r="AE7290">
        <v>-0.35221859999999999</v>
      </c>
      <c r="AF7290">
        <v>-0.27537558777270599</v>
      </c>
      <c r="AG7290">
        <v>-7.2410109999999899E-3</v>
      </c>
      <c r="AH7290">
        <v>2.9965961238396699</v>
      </c>
      <c r="AI7290">
        <v>90.1378690240482</v>
      </c>
      <c r="AJ7290">
        <v>95.250513537592994</v>
      </c>
      <c r="AK7290">
        <v>3.00923121012534</v>
      </c>
      <c r="AL7290">
        <v>87.319816396834497</v>
      </c>
      <c r="AM7290">
        <v>91.234615025858204</v>
      </c>
      <c r="AN7290">
        <v>0.99999998978177995</v>
      </c>
    </row>
    <row r="7291" spans="1:40" x14ac:dyDescent="0.25">
      <c r="A7291" t="str">
        <f>"20190312150835304"</f>
        <v>20190312150835304</v>
      </c>
      <c r="B7291" t="str">
        <f>"1552374515297331"</f>
        <v>1552374515297331</v>
      </c>
      <c r="C7291" t="s">
        <v>40</v>
      </c>
      <c r="D7291">
        <v>4.1461410000000001</v>
      </c>
      <c r="E7291">
        <v>0.47441840000000002</v>
      </c>
      <c r="F7291" t="s">
        <v>48</v>
      </c>
      <c r="G7291">
        <v>0</v>
      </c>
      <c r="H7291">
        <v>0</v>
      </c>
      <c r="I7291">
        <v>0</v>
      </c>
      <c r="J7291">
        <v>-336.9717</v>
      </c>
      <c r="K7291">
        <v>1.1106529999999999</v>
      </c>
      <c r="L7291">
        <v>140.8622</v>
      </c>
      <c r="M7291">
        <v>-0.99957110000000005</v>
      </c>
      <c r="N7291">
        <v>0</v>
      </c>
      <c r="O7291">
        <v>-2.5886449999999998E-2</v>
      </c>
      <c r="P7291">
        <v>-0.99832980000000004</v>
      </c>
      <c r="Q7291">
        <v>3.3054800000000002E-2</v>
      </c>
      <c r="R7291">
        <v>-4.7385379999999998E-2</v>
      </c>
      <c r="S7291">
        <v>-2.9886780000000002</v>
      </c>
      <c r="T7291">
        <v>-7.843137E-3</v>
      </c>
      <c r="U7291">
        <v>-0.35197450000000002</v>
      </c>
      <c r="V7291">
        <v>-2.1535740000000001E-2</v>
      </c>
      <c r="W7291">
        <v>4.6735730000000003E-2</v>
      </c>
      <c r="X7291">
        <v>0.99867510000000004</v>
      </c>
      <c r="Y7291">
        <v>-9.1210379999999994E-2</v>
      </c>
      <c r="Z7291" s="1">
        <v>-5.159427E-5</v>
      </c>
      <c r="AA7291">
        <v>0.99583169999999999</v>
      </c>
      <c r="AB7291">
        <v>22</v>
      </c>
      <c r="AC7291">
        <v>-2.9886780000000002</v>
      </c>
      <c r="AD7291">
        <v>-7.843137E-3</v>
      </c>
      <c r="AE7291">
        <v>-0.35197450000000002</v>
      </c>
      <c r="AF7291">
        <v>-0.27448114512183802</v>
      </c>
      <c r="AG7291">
        <v>-7.843137E-3</v>
      </c>
      <c r="AH7291">
        <v>2.9967681440118699</v>
      </c>
      <c r="AI7291">
        <v>90.149329022204995</v>
      </c>
      <c r="AJ7291">
        <v>95.233255543501798</v>
      </c>
      <c r="AK7291">
        <v>3.0093223029097</v>
      </c>
      <c r="AL7291">
        <v>87.321264114877806</v>
      </c>
      <c r="AM7291">
        <v>91.235352518987696</v>
      </c>
      <c r="AN7291">
        <v>0.999999985957995</v>
      </c>
    </row>
    <row r="7292" spans="1:40" x14ac:dyDescent="0.25">
      <c r="A7292" t="str">
        <f>"20190312150835326"</f>
        <v>20190312150835326</v>
      </c>
      <c r="B7292" t="str">
        <f>"1552374515317662"</f>
        <v>1552374515317662</v>
      </c>
      <c r="C7292" t="s">
        <v>40</v>
      </c>
      <c r="D7292">
        <v>4.1366649999999998</v>
      </c>
      <c r="E7292">
        <v>0.4748617</v>
      </c>
      <c r="F7292" t="s">
        <v>48</v>
      </c>
      <c r="G7292">
        <v>0</v>
      </c>
      <c r="H7292">
        <v>0</v>
      </c>
      <c r="I7292">
        <v>0</v>
      </c>
      <c r="J7292">
        <v>-337.19240000000002</v>
      </c>
      <c r="K7292">
        <v>1.1106210000000001</v>
      </c>
      <c r="L7292">
        <v>140.8563</v>
      </c>
      <c r="M7292">
        <v>-0.99956789999999995</v>
      </c>
      <c r="N7292">
        <v>0</v>
      </c>
      <c r="O7292">
        <v>-2.6062100000000001E-2</v>
      </c>
      <c r="P7292">
        <v>-0.99831309999999995</v>
      </c>
      <c r="Q7292">
        <v>3.3624920000000003E-2</v>
      </c>
      <c r="R7292">
        <v>-4.7333340000000002E-2</v>
      </c>
      <c r="S7292">
        <v>-2.988861</v>
      </c>
      <c r="T7292">
        <v>-1.3018729999999999E-2</v>
      </c>
      <c r="U7292">
        <v>-0.34956359999999997</v>
      </c>
      <c r="V7292">
        <v>-2.130669E-2</v>
      </c>
      <c r="W7292">
        <v>4.72068E-2</v>
      </c>
      <c r="X7292">
        <v>0.99865789999999999</v>
      </c>
      <c r="Y7292">
        <v>-9.0235549999999998E-2</v>
      </c>
      <c r="Z7292" s="1">
        <v>-8.2761489999999996E-5</v>
      </c>
      <c r="AA7292">
        <v>0.99592040000000004</v>
      </c>
      <c r="AB7292">
        <v>22</v>
      </c>
      <c r="AC7292">
        <v>-2.988861</v>
      </c>
      <c r="AD7292">
        <v>-1.3018729999999999E-2</v>
      </c>
      <c r="AE7292">
        <v>-0.34956359999999997</v>
      </c>
      <c r="AF7292">
        <v>-0.27153656599928999</v>
      </c>
      <c r="AG7292">
        <v>-1.3018729999999999E-2</v>
      </c>
      <c r="AH7292">
        <v>2.9969006850321298</v>
      </c>
      <c r="AI7292">
        <v>90.247879618276301</v>
      </c>
      <c r="AJ7292">
        <v>95.177193241671006</v>
      </c>
      <c r="AK7292">
        <v>3.00920509602645</v>
      </c>
      <c r="AL7292">
        <v>87.294244084529296</v>
      </c>
      <c r="AM7292">
        <v>91.222238597457306</v>
      </c>
      <c r="AN7292">
        <v>1.0000000291186999</v>
      </c>
    </row>
    <row r="7293" spans="1:40" x14ac:dyDescent="0.25">
      <c r="A7293" t="str">
        <f>"20190312150835341"</f>
        <v>20190312150835341</v>
      </c>
      <c r="B7293" t="str">
        <f>"1552374515337132"</f>
        <v>1552374515337132</v>
      </c>
      <c r="C7293" t="s">
        <v>40</v>
      </c>
      <c r="D7293">
        <v>4.4371499999999999</v>
      </c>
      <c r="E7293">
        <v>0.4752672</v>
      </c>
      <c r="F7293" t="s">
        <v>48</v>
      </c>
      <c r="G7293">
        <v>0</v>
      </c>
      <c r="H7293">
        <v>0</v>
      </c>
      <c r="I7293">
        <v>0</v>
      </c>
      <c r="J7293">
        <v>-337.34829999999999</v>
      </c>
      <c r="K7293">
        <v>1.110595</v>
      </c>
      <c r="L7293">
        <v>140.85210000000001</v>
      </c>
      <c r="M7293">
        <v>-0.99956619999999996</v>
      </c>
      <c r="N7293">
        <v>0</v>
      </c>
      <c r="O7293">
        <v>-2.6164710000000001E-2</v>
      </c>
      <c r="P7293">
        <v>-0.99829480000000004</v>
      </c>
      <c r="Q7293">
        <v>3.3836459999999999E-2</v>
      </c>
      <c r="R7293">
        <v>-4.7567159999999997E-2</v>
      </c>
      <c r="S7293">
        <v>-2.9891049999999999</v>
      </c>
      <c r="T7293">
        <v>-1.332593E-2</v>
      </c>
      <c r="U7293">
        <v>-0.34594730000000001</v>
      </c>
      <c r="V7293">
        <v>-2.1436549999999999E-2</v>
      </c>
      <c r="W7293">
        <v>4.734493E-2</v>
      </c>
      <c r="X7293">
        <v>0.99864850000000005</v>
      </c>
      <c r="Y7293">
        <v>-8.8935050000000002E-2</v>
      </c>
      <c r="Z7293" s="1">
        <v>-8.1368369999999996E-5</v>
      </c>
      <c r="AA7293">
        <v>0.99603739999999996</v>
      </c>
      <c r="AB7293">
        <v>22</v>
      </c>
      <c r="AC7293">
        <v>-2.9891049999999999</v>
      </c>
      <c r="AD7293">
        <v>-1.332593E-2</v>
      </c>
      <c r="AE7293">
        <v>-0.34594730000000001</v>
      </c>
      <c r="AF7293">
        <v>-0.26760737767140302</v>
      </c>
      <c r="AG7293">
        <v>-1.332593E-2</v>
      </c>
      <c r="AH7293">
        <v>2.99707513693693</v>
      </c>
      <c r="AI7293">
        <v>90.253743731856503</v>
      </c>
      <c r="AJ7293">
        <v>95.102381148396304</v>
      </c>
      <c r="AK7293">
        <v>3.0090281928622802</v>
      </c>
      <c r="AL7293">
        <v>87.286320737493398</v>
      </c>
      <c r="AM7293">
        <v>91.229697187183802</v>
      </c>
      <c r="AN7293">
        <v>0.99999994731242703</v>
      </c>
    </row>
    <row r="7294" spans="1:40" x14ac:dyDescent="0.25">
      <c r="A7294" t="str">
        <f>"20190312150835354"</f>
        <v>20190312150835354</v>
      </c>
      <c r="B7294" t="str">
        <f>"1552374515346892"</f>
        <v>1552374515346892</v>
      </c>
      <c r="C7294" t="s">
        <v>40</v>
      </c>
      <c r="D7294">
        <v>4.1365679999999996</v>
      </c>
      <c r="E7294">
        <v>0.4754873</v>
      </c>
      <c r="F7294" t="s">
        <v>48</v>
      </c>
      <c r="G7294">
        <v>0</v>
      </c>
      <c r="H7294">
        <v>0</v>
      </c>
      <c r="I7294">
        <v>0</v>
      </c>
      <c r="J7294">
        <v>-337.47340000000003</v>
      </c>
      <c r="K7294">
        <v>1.110571</v>
      </c>
      <c r="L7294">
        <v>140.84870000000001</v>
      </c>
      <c r="M7294">
        <v>-0.99956509999999998</v>
      </c>
      <c r="N7294">
        <v>0</v>
      </c>
      <c r="O7294">
        <v>-2.6238020000000001E-2</v>
      </c>
      <c r="P7294">
        <v>-0.99829800000000002</v>
      </c>
      <c r="Q7294">
        <v>3.4118089999999997E-2</v>
      </c>
      <c r="R7294">
        <v>-4.7300500000000002E-2</v>
      </c>
      <c r="S7294">
        <v>-2.9892270000000001</v>
      </c>
      <c r="T7294">
        <v>-1.369715E-2</v>
      </c>
      <c r="U7294">
        <v>-0.34336850000000002</v>
      </c>
      <c r="V7294">
        <v>-2.1094890000000002E-2</v>
      </c>
      <c r="W7294">
        <v>4.7569260000000002E-2</v>
      </c>
      <c r="X7294">
        <v>0.99864520000000001</v>
      </c>
      <c r="Y7294">
        <v>-8.8009340000000005E-2</v>
      </c>
      <c r="Z7294" s="1">
        <v>-8.1186969999999897E-5</v>
      </c>
      <c r="AA7294">
        <v>0.99611959999999999</v>
      </c>
      <c r="AB7294">
        <v>22</v>
      </c>
      <c r="AC7294">
        <v>-2.9892270000000001</v>
      </c>
      <c r="AD7294">
        <v>-1.369715E-2</v>
      </c>
      <c r="AE7294">
        <v>-0.34336850000000002</v>
      </c>
      <c r="AF7294">
        <v>-0.26480627369490001</v>
      </c>
      <c r="AG7294">
        <v>-1.369715E-2</v>
      </c>
      <c r="AH7294">
        <v>2.99714571043185</v>
      </c>
      <c r="AI7294">
        <v>90.260827554539006</v>
      </c>
      <c r="AJ7294">
        <v>95.049132683518806</v>
      </c>
      <c r="AK7294">
        <v>3.0088523367002198</v>
      </c>
      <c r="AL7294">
        <v>87.273453307859398</v>
      </c>
      <c r="AM7294">
        <v>91.210107901273204</v>
      </c>
      <c r="AN7294">
        <v>1.0000000321820399</v>
      </c>
    </row>
    <row r="7295" spans="1:40" x14ac:dyDescent="0.25">
      <c r="A7295" t="str">
        <f>"20190312150835370"</f>
        <v>20190312150835370</v>
      </c>
      <c r="B7295" t="str">
        <f>"1552374515357628"</f>
        <v>1552374515357628</v>
      </c>
      <c r="C7295" t="s">
        <v>40</v>
      </c>
      <c r="D7295">
        <v>4.3872749999999998</v>
      </c>
      <c r="E7295">
        <v>0.47568310000000003</v>
      </c>
      <c r="F7295" t="s">
        <v>48</v>
      </c>
      <c r="G7295">
        <v>0</v>
      </c>
      <c r="H7295">
        <v>0</v>
      </c>
      <c r="I7295">
        <v>0</v>
      </c>
      <c r="J7295">
        <v>-337.6309</v>
      </c>
      <c r="K7295">
        <v>1.11054599999999</v>
      </c>
      <c r="L7295">
        <v>140.84440000000001</v>
      </c>
      <c r="M7295">
        <v>-0.9995638</v>
      </c>
      <c r="N7295">
        <v>0</v>
      </c>
      <c r="O7295">
        <v>-2.6320619999999999E-2</v>
      </c>
      <c r="P7295">
        <v>-0.99829950000000001</v>
      </c>
      <c r="Q7295">
        <v>3.4112240000000002E-2</v>
      </c>
      <c r="R7295">
        <v>-4.7271649999999998E-2</v>
      </c>
      <c r="S7295">
        <v>-2.9894099999999999</v>
      </c>
      <c r="T7295">
        <v>-1.3026360000000001E-2</v>
      </c>
      <c r="U7295">
        <v>-0.34089659999999999</v>
      </c>
      <c r="V7295">
        <v>-2.0981639999999999E-2</v>
      </c>
      <c r="W7295">
        <v>4.749068E-2</v>
      </c>
      <c r="X7295">
        <v>0.99865130000000002</v>
      </c>
      <c r="Y7295">
        <v>-8.7107130000000005E-2</v>
      </c>
      <c r="Z7295" s="1">
        <v>-7.4892050000000004E-5</v>
      </c>
      <c r="AA7295">
        <v>0.99619899999999995</v>
      </c>
      <c r="AB7295">
        <v>22</v>
      </c>
      <c r="AC7295">
        <v>-2.9894099999999999</v>
      </c>
      <c r="AD7295">
        <v>-1.3026360000000001E-2</v>
      </c>
      <c r="AE7295">
        <v>-0.34089659999999999</v>
      </c>
      <c r="AF7295">
        <v>-0.26208337867869802</v>
      </c>
      <c r="AG7295">
        <v>-1.3026360000000001E-2</v>
      </c>
      <c r="AH7295">
        <v>2.99729137389807</v>
      </c>
      <c r="AI7295">
        <v>90.248061913264294</v>
      </c>
      <c r="AJ7295">
        <v>94.997237144787704</v>
      </c>
      <c r="AK7295">
        <v>3.0087560491801701</v>
      </c>
      <c r="AL7295">
        <v>87.277960634170995</v>
      </c>
      <c r="AM7295">
        <v>91.203605883976607</v>
      </c>
      <c r="AN7295">
        <v>1.0000000064478201</v>
      </c>
    </row>
    <row r="7296" spans="1:40" x14ac:dyDescent="0.25">
      <c r="A7296" t="str">
        <f>"20190312150835386"</f>
        <v>20190312150835386</v>
      </c>
      <c r="B7296" t="str">
        <f>"1552374515377148"</f>
        <v>1552374515377148</v>
      </c>
      <c r="C7296" t="s">
        <v>40</v>
      </c>
      <c r="D7296">
        <v>4.1804600000000001</v>
      </c>
      <c r="E7296">
        <v>0.47605180000000002</v>
      </c>
      <c r="F7296" t="s">
        <v>48</v>
      </c>
      <c r="G7296">
        <v>0</v>
      </c>
      <c r="H7296">
        <v>0</v>
      </c>
      <c r="I7296">
        <v>0</v>
      </c>
      <c r="J7296">
        <v>-337.79840000000002</v>
      </c>
      <c r="K7296">
        <v>1.1105229999999999</v>
      </c>
      <c r="L7296">
        <v>140.8399</v>
      </c>
      <c r="M7296">
        <v>-0.99956299999999998</v>
      </c>
      <c r="N7296">
        <v>0</v>
      </c>
      <c r="O7296">
        <v>-2.639389E-2</v>
      </c>
      <c r="P7296">
        <v>-0.99831990000000004</v>
      </c>
      <c r="Q7296">
        <v>3.3952469999999998E-2</v>
      </c>
      <c r="R7296">
        <v>-4.6957249999999999E-2</v>
      </c>
      <c r="S7296">
        <v>-2.9895019999999999</v>
      </c>
      <c r="T7296">
        <v>-1.327741E-2</v>
      </c>
      <c r="U7296">
        <v>-0.33930969999999999</v>
      </c>
      <c r="V7296">
        <v>-2.0592340000000001E-2</v>
      </c>
      <c r="W7296">
        <v>4.7255390000000001E-2</v>
      </c>
      <c r="X7296">
        <v>0.99867059999999996</v>
      </c>
      <c r="Y7296">
        <v>-8.650861E-2</v>
      </c>
      <c r="Z7296" s="1">
        <v>-7.4686359999999994E-5</v>
      </c>
      <c r="AA7296">
        <v>0.99625109999999995</v>
      </c>
      <c r="AB7296">
        <v>22</v>
      </c>
      <c r="AC7296">
        <v>-2.9895019999999999</v>
      </c>
      <c r="AD7296">
        <v>-1.327741E-2</v>
      </c>
      <c r="AE7296">
        <v>-0.33930969999999999</v>
      </c>
      <c r="AF7296">
        <v>-0.26027482407695302</v>
      </c>
      <c r="AG7296">
        <v>-1.327741E-2</v>
      </c>
      <c r="AH7296">
        <v>2.9973584582989798</v>
      </c>
      <c r="AI7296">
        <v>90.252850192456407</v>
      </c>
      <c r="AJ7296">
        <v>94.962815092377099</v>
      </c>
      <c r="AK7296">
        <v>3.0086669807742199</v>
      </c>
      <c r="AL7296">
        <v>87.291457006684098</v>
      </c>
      <c r="AM7296">
        <v>91.181257363976798</v>
      </c>
      <c r="AN7296">
        <v>1.0000000418275401</v>
      </c>
    </row>
    <row r="7297" spans="1:40" x14ac:dyDescent="0.25">
      <c r="A7297" t="str">
        <f>"20190312150835403"</f>
        <v>20190312150835403</v>
      </c>
      <c r="B7297" t="str">
        <f>"1552374515397649"</f>
        <v>1552374515397649</v>
      </c>
      <c r="C7297" t="s">
        <v>40</v>
      </c>
      <c r="D7297">
        <v>4.1576360000000001</v>
      </c>
      <c r="E7297">
        <v>0.47636879999999998</v>
      </c>
      <c r="F7297" t="s">
        <v>48</v>
      </c>
      <c r="G7297">
        <v>0</v>
      </c>
      <c r="H7297">
        <v>0</v>
      </c>
      <c r="I7297">
        <v>0</v>
      </c>
      <c r="J7297">
        <v>-337.96910000000003</v>
      </c>
      <c r="K7297">
        <v>1.11049</v>
      </c>
      <c r="L7297">
        <v>140.83529999999999</v>
      </c>
      <c r="M7297">
        <v>-0.99956259999999997</v>
      </c>
      <c r="N7297">
        <v>0</v>
      </c>
      <c r="O7297">
        <v>-2.6450499999999998E-2</v>
      </c>
      <c r="P7297">
        <v>-0.99831840000000005</v>
      </c>
      <c r="Q7297">
        <v>3.4078459999999998E-2</v>
      </c>
      <c r="R7297">
        <v>-4.6896779999999999E-2</v>
      </c>
      <c r="S7297">
        <v>-2.9898069999999999</v>
      </c>
      <c r="T7297">
        <v>-1.4540910000000001E-2</v>
      </c>
      <c r="U7297">
        <v>-0.33534239999999998</v>
      </c>
      <c r="V7297">
        <v>-2.0473720000000001E-2</v>
      </c>
      <c r="W7297">
        <v>4.730587E-2</v>
      </c>
      <c r="X7297">
        <v>0.99867059999999996</v>
      </c>
      <c r="Y7297">
        <v>-8.5135299999999997E-2</v>
      </c>
      <c r="Z7297" s="1">
        <v>-7.8187590000000003E-5</v>
      </c>
      <c r="AA7297">
        <v>0.99636939999999996</v>
      </c>
      <c r="AB7297">
        <v>22</v>
      </c>
      <c r="AC7297">
        <v>-2.9898069999999999</v>
      </c>
      <c r="AD7297">
        <v>-1.4540910000000001E-2</v>
      </c>
      <c r="AE7297">
        <v>-0.33534239999999998</v>
      </c>
      <c r="AF7297">
        <v>-0.25613025835859499</v>
      </c>
      <c r="AG7297">
        <v>-1.4540910000000001E-2</v>
      </c>
      <c r="AH7297">
        <v>2.9975614842617602</v>
      </c>
      <c r="AI7297">
        <v>90.276925592081895</v>
      </c>
      <c r="AJ7297">
        <v>94.883844338064307</v>
      </c>
      <c r="AK7297">
        <v>3.0085194031682798</v>
      </c>
      <c r="AL7297">
        <v>87.288561344934394</v>
      </c>
      <c r="AM7297">
        <v>91.174454767075503</v>
      </c>
      <c r="AN7297">
        <v>0.99999999292572705</v>
      </c>
    </row>
    <row r="7298" spans="1:40" x14ac:dyDescent="0.25">
      <c r="A7298" t="str">
        <f>"20190312150835419"</f>
        <v>20190312150835419</v>
      </c>
      <c r="B7298" t="str">
        <f>"1552374515407404"</f>
        <v>1552374515407404</v>
      </c>
      <c r="C7298" t="s">
        <v>40</v>
      </c>
      <c r="D7298">
        <v>4.3783719999999997</v>
      </c>
      <c r="E7298">
        <v>0.47653760000000001</v>
      </c>
      <c r="F7298" t="s">
        <v>48</v>
      </c>
      <c r="G7298">
        <v>0</v>
      </c>
      <c r="H7298">
        <v>0</v>
      </c>
      <c r="I7298">
        <v>0</v>
      </c>
      <c r="J7298">
        <v>-338.12139999999999</v>
      </c>
      <c r="K7298">
        <v>1.110471</v>
      </c>
      <c r="L7298">
        <v>140.8312</v>
      </c>
      <c r="M7298">
        <v>-0.99956250000000002</v>
      </c>
      <c r="N7298">
        <v>0</v>
      </c>
      <c r="O7298">
        <v>-2.6484580000000001E-2</v>
      </c>
      <c r="P7298">
        <v>-0.99832140000000003</v>
      </c>
      <c r="Q7298">
        <v>3.4457719999999997E-2</v>
      </c>
      <c r="R7298">
        <v>-4.6556239999999999E-2</v>
      </c>
      <c r="S7298">
        <v>-2.9899290000000001</v>
      </c>
      <c r="T7298">
        <v>-1.511097E-2</v>
      </c>
      <c r="U7298">
        <v>-0.33273320000000001</v>
      </c>
      <c r="V7298">
        <v>-2.00977E-2</v>
      </c>
      <c r="W7298">
        <v>4.7617369999999999E-2</v>
      </c>
      <c r="X7298">
        <v>0.99866339999999998</v>
      </c>
      <c r="Y7298">
        <v>-8.4237989999999999E-2</v>
      </c>
      <c r="Z7298" s="1">
        <v>-7.8821159999999994E-5</v>
      </c>
      <c r="AA7298">
        <v>0.99644569999999999</v>
      </c>
      <c r="AB7298">
        <v>22</v>
      </c>
      <c r="AC7298">
        <v>-2.9899290000000001</v>
      </c>
      <c r="AD7298">
        <v>-1.511097E-2</v>
      </c>
      <c r="AE7298">
        <v>-0.33273320000000001</v>
      </c>
      <c r="AF7298">
        <v>-0.25341619133600701</v>
      </c>
      <c r="AG7298">
        <v>-1.511097E-2</v>
      </c>
      <c r="AH7298">
        <v>2.99761744988347</v>
      </c>
      <c r="AI7298">
        <v>90.287798621756195</v>
      </c>
      <c r="AJ7298">
        <v>94.832249585576605</v>
      </c>
      <c r="AK7298">
        <v>3.0083481319972698</v>
      </c>
      <c r="AL7298">
        <v>87.270693480847797</v>
      </c>
      <c r="AM7298">
        <v>91.152898936300105</v>
      </c>
      <c r="AN7298">
        <v>0.99999995898528204</v>
      </c>
    </row>
    <row r="7299" spans="1:40" x14ac:dyDescent="0.25">
      <c r="A7299" t="str">
        <f>"20190312150835431"</f>
        <v>20190312150835431</v>
      </c>
      <c r="B7299" t="str">
        <f>"1552374515426925"</f>
        <v>1552374515426925</v>
      </c>
      <c r="C7299" t="s">
        <v>40</v>
      </c>
      <c r="D7299">
        <v>4.194903</v>
      </c>
      <c r="E7299">
        <v>0.47687309999999999</v>
      </c>
      <c r="F7299" t="s">
        <v>48</v>
      </c>
      <c r="G7299">
        <v>0</v>
      </c>
      <c r="H7299">
        <v>0</v>
      </c>
      <c r="I7299">
        <v>0</v>
      </c>
      <c r="J7299">
        <v>-338.25310000000002</v>
      </c>
      <c r="K7299">
        <v>1.1104540000000001</v>
      </c>
      <c r="L7299">
        <v>140.82769999999999</v>
      </c>
      <c r="M7299">
        <v>-0.99956259999999997</v>
      </c>
      <c r="N7299">
        <v>0</v>
      </c>
      <c r="O7299">
        <v>-2.6506229999999999E-2</v>
      </c>
      <c r="P7299">
        <v>-0.99832960000000004</v>
      </c>
      <c r="Q7299">
        <v>3.4406050000000001E-2</v>
      </c>
      <c r="R7299">
        <v>-4.6412910000000002E-2</v>
      </c>
      <c r="S7299">
        <v>-2.9901119999999999</v>
      </c>
      <c r="T7299">
        <v>-1.439226E-2</v>
      </c>
      <c r="U7299">
        <v>-0.33036799999999999</v>
      </c>
      <c r="V7299">
        <v>-1.9931600000000001E-2</v>
      </c>
      <c r="W7299">
        <v>4.7508769999999999E-2</v>
      </c>
      <c r="X7299">
        <v>0.99867189999999995</v>
      </c>
      <c r="Y7299">
        <v>-8.3431149999999996E-2</v>
      </c>
      <c r="Z7299" s="1">
        <v>-7.3030969999999997E-5</v>
      </c>
      <c r="AA7299">
        <v>0.99651350000000005</v>
      </c>
      <c r="AB7299">
        <v>22</v>
      </c>
      <c r="AC7299">
        <v>-2.9901119999999999</v>
      </c>
      <c r="AD7299">
        <v>-1.439226E-2</v>
      </c>
      <c r="AE7299">
        <v>-0.33036799999999999</v>
      </c>
      <c r="AF7299">
        <v>-0.25098274557917</v>
      </c>
      <c r="AG7299">
        <v>-1.439226E-2</v>
      </c>
      <c r="AH7299">
        <v>2.9977501879436699</v>
      </c>
      <c r="AI7299">
        <v>90.274117055485902</v>
      </c>
      <c r="AJ7299">
        <v>94.785853238778003</v>
      </c>
      <c r="AK7299">
        <v>3.0082728707753001</v>
      </c>
      <c r="AL7299">
        <v>87.276922849917497</v>
      </c>
      <c r="AM7299">
        <v>91.143363467214698</v>
      </c>
      <c r="AN7299">
        <v>0.99999995787754004</v>
      </c>
    </row>
    <row r="7300" spans="1:40" x14ac:dyDescent="0.25">
      <c r="A7300" t="str">
        <f>"20190312150835447"</f>
        <v>20190312150835447</v>
      </c>
      <c r="B7300" t="str">
        <f>"1552374515437661"</f>
        <v>1552374515437661</v>
      </c>
      <c r="C7300" t="s">
        <v>40</v>
      </c>
      <c r="D7300">
        <v>4.1698399999999998</v>
      </c>
      <c r="E7300">
        <v>0.47699710000000001</v>
      </c>
      <c r="F7300" t="s">
        <v>48</v>
      </c>
      <c r="G7300">
        <v>0</v>
      </c>
      <c r="H7300">
        <v>0</v>
      </c>
      <c r="I7300">
        <v>0</v>
      </c>
      <c r="J7300">
        <v>-338.4076</v>
      </c>
      <c r="K7300">
        <v>1.1104369999999999</v>
      </c>
      <c r="L7300">
        <v>140.8235</v>
      </c>
      <c r="M7300">
        <v>-0.99956299999999998</v>
      </c>
      <c r="N7300">
        <v>0</v>
      </c>
      <c r="O7300">
        <v>-2.6524490000000001E-2</v>
      </c>
      <c r="P7300">
        <v>-0.99834869999999998</v>
      </c>
      <c r="Q7300">
        <v>3.428059E-2</v>
      </c>
      <c r="R7300">
        <v>-4.6095379999999998E-2</v>
      </c>
      <c r="S7300">
        <v>-2.9902950000000001</v>
      </c>
      <c r="T7300">
        <v>-1.525962E-2</v>
      </c>
      <c r="U7300">
        <v>-0.32730100000000001</v>
      </c>
      <c r="V7300">
        <v>-1.9594150000000001E-2</v>
      </c>
      <c r="W7300">
        <v>4.7318260000000001E-2</v>
      </c>
      <c r="X7300">
        <v>0.99868769999999996</v>
      </c>
      <c r="Y7300">
        <v>-8.2396330000000004E-2</v>
      </c>
      <c r="Z7300" s="1">
        <v>-7.4706269999999896E-5</v>
      </c>
      <c r="AA7300">
        <v>0.99659960000000003</v>
      </c>
      <c r="AB7300">
        <v>22</v>
      </c>
      <c r="AC7300">
        <v>-2.9902950000000001</v>
      </c>
      <c r="AD7300">
        <v>-1.525962E-2</v>
      </c>
      <c r="AE7300">
        <v>-0.32730100000000001</v>
      </c>
      <c r="AF7300">
        <v>-0.24785664312331601</v>
      </c>
      <c r="AG7300">
        <v>-1.525962E-2</v>
      </c>
      <c r="AH7300">
        <v>2.9978478150259802</v>
      </c>
      <c r="AI7300">
        <v>90.290652286657206</v>
      </c>
      <c r="AJ7300">
        <v>94.726361827775193</v>
      </c>
      <c r="AK7300">
        <v>3.0081152394147002</v>
      </c>
      <c r="AL7300">
        <v>87.2878507693367</v>
      </c>
      <c r="AM7300">
        <v>91.123993094893606</v>
      </c>
      <c r="AN7300">
        <v>1.0000000352874601</v>
      </c>
    </row>
    <row r="7301" spans="1:40" x14ac:dyDescent="0.25">
      <c r="A7301" t="str">
        <f>"20190312150835470"</f>
        <v>20190312150835470</v>
      </c>
      <c r="B7301" t="str">
        <f>"1552374515466942"</f>
        <v>1552374515466942</v>
      </c>
      <c r="C7301" t="s">
        <v>40</v>
      </c>
      <c r="D7301">
        <v>4.2006370000000004</v>
      </c>
      <c r="E7301">
        <v>0.4773887</v>
      </c>
      <c r="F7301" t="s">
        <v>43</v>
      </c>
      <c r="G7301">
        <v>-548.32529999999997</v>
      </c>
      <c r="H7301">
        <v>-0.05</v>
      </c>
      <c r="I7301">
        <v>117.98269999999999</v>
      </c>
      <c r="J7301">
        <v>-338.63600000000002</v>
      </c>
      <c r="K7301">
        <v>1.1104160000000001</v>
      </c>
      <c r="L7301">
        <v>140.8175</v>
      </c>
      <c r="M7301">
        <v>-0.9995638</v>
      </c>
      <c r="N7301">
        <v>0</v>
      </c>
      <c r="O7301">
        <v>-2.6539790000000001E-2</v>
      </c>
      <c r="P7301">
        <v>-0.99836290000000005</v>
      </c>
      <c r="Q7301">
        <v>3.4120049999999999E-2</v>
      </c>
      <c r="R7301">
        <v>-4.5907730000000001E-2</v>
      </c>
      <c r="S7301">
        <v>-2.9905089999999999</v>
      </c>
      <c r="T7301">
        <v>-1.6531710000000002E-2</v>
      </c>
      <c r="U7301">
        <v>-0.32539370000000001</v>
      </c>
      <c r="V7301">
        <v>-1.9389610000000002E-2</v>
      </c>
      <c r="W7301">
        <v>4.7066289999999997E-2</v>
      </c>
      <c r="X7301">
        <v>0.99870349999999997</v>
      </c>
      <c r="Y7301">
        <v>-8.1745139999999994E-2</v>
      </c>
      <c r="Z7301" s="1">
        <v>-7.9051929999999996E-5</v>
      </c>
      <c r="AA7301">
        <v>0.99665329999999996</v>
      </c>
      <c r="AB7301">
        <v>22</v>
      </c>
      <c r="AC7301">
        <v>-209.6893</v>
      </c>
      <c r="AD7301">
        <v>-1.1604159999999999</v>
      </c>
      <c r="AE7301">
        <v>-22.834800000000001</v>
      </c>
      <c r="AF7301">
        <v>-17.260655761004301</v>
      </c>
      <c r="AG7301">
        <v>-1.1604159999999999</v>
      </c>
      <c r="AH7301">
        <v>210.21514545794301</v>
      </c>
      <c r="AI7301">
        <v>90.315216447414002</v>
      </c>
      <c r="AJ7301">
        <v>94.693996496812701</v>
      </c>
      <c r="AK7301">
        <v>210.92577884767201</v>
      </c>
      <c r="AL7301">
        <v>87.302303423563501</v>
      </c>
      <c r="AM7301">
        <v>91.112245293046101</v>
      </c>
      <c r="AN7301">
        <v>0.99999993677128096</v>
      </c>
    </row>
    <row r="7302" spans="1:40" x14ac:dyDescent="0.25">
      <c r="A7302" t="str">
        <f>"20190312150835494"</f>
        <v>20190312150835494</v>
      </c>
      <c r="B7302" t="str">
        <f>"1552374515487436"</f>
        <v>1552374515487436</v>
      </c>
      <c r="C7302" t="s">
        <v>40</v>
      </c>
      <c r="D7302">
        <v>4.1773709999999999</v>
      </c>
      <c r="E7302">
        <v>0.47762169999999998</v>
      </c>
      <c r="F7302" t="s">
        <v>43</v>
      </c>
      <c r="G7302">
        <v>-520.74390000000005</v>
      </c>
      <c r="H7302">
        <v>-0.05</v>
      </c>
      <c r="I7302">
        <v>121.22190000000001</v>
      </c>
      <c r="J7302">
        <v>-338.86649999999997</v>
      </c>
      <c r="K7302">
        <v>1.110406</v>
      </c>
      <c r="L7302">
        <v>140.81129999999999</v>
      </c>
      <c r="M7302">
        <v>-0.99956480000000003</v>
      </c>
      <c r="N7302">
        <v>0</v>
      </c>
      <c r="O7302">
        <v>-2.6543150000000001E-2</v>
      </c>
      <c r="P7302">
        <v>-0.99835229999999997</v>
      </c>
      <c r="Q7302">
        <v>3.4820999999999998E-2</v>
      </c>
      <c r="R7302">
        <v>-4.5609829999999997E-2</v>
      </c>
      <c r="S7302">
        <v>-2.9908139999999999</v>
      </c>
      <c r="T7302">
        <v>-1.9057870000000001E-2</v>
      </c>
      <c r="U7302">
        <v>-0.32182309999999997</v>
      </c>
      <c r="V7302">
        <v>-1.908808E-2</v>
      </c>
      <c r="W7302">
        <v>4.7678810000000002E-2</v>
      </c>
      <c r="X7302">
        <v>0.99868029999999997</v>
      </c>
      <c r="Y7302">
        <v>-8.0554490000000006E-2</v>
      </c>
      <c r="Z7302" s="1">
        <v>-8.7323709999999905E-5</v>
      </c>
      <c r="AA7302">
        <v>0.99675020000000003</v>
      </c>
      <c r="AB7302">
        <v>22</v>
      </c>
      <c r="AC7302">
        <v>-181.87739999999999</v>
      </c>
      <c r="AD7302">
        <v>-1.160406</v>
      </c>
      <c r="AE7302">
        <v>-19.589399999999898</v>
      </c>
      <c r="AF7302">
        <v>-14.7539041452061</v>
      </c>
      <c r="AG7302">
        <v>-1.160406</v>
      </c>
      <c r="AH7302">
        <v>182.325978988098</v>
      </c>
      <c r="AI7302">
        <v>90.363463619159802</v>
      </c>
      <c r="AJ7302">
        <v>94.626321146477693</v>
      </c>
      <c r="AK7302">
        <v>182.92563200267799</v>
      </c>
      <c r="AL7302">
        <v>87.267169289866402</v>
      </c>
      <c r="AM7302">
        <v>91.0949783162595</v>
      </c>
      <c r="AN7302">
        <v>0.999999982664596</v>
      </c>
    </row>
    <row r="7303" spans="1:40" x14ac:dyDescent="0.25">
      <c r="A7303" t="str">
        <f>"20190312150835515"</f>
        <v>20190312150835515</v>
      </c>
      <c r="B7303" t="str">
        <f>"1552374515506956"</f>
        <v>1552374515506956</v>
      </c>
      <c r="C7303" t="s">
        <v>40</v>
      </c>
      <c r="D7303">
        <v>4.1747550000000002</v>
      </c>
      <c r="E7303">
        <v>0.47785290000000002</v>
      </c>
      <c r="F7303" t="s">
        <v>43</v>
      </c>
      <c r="G7303">
        <v>-526.32209999999998</v>
      </c>
      <c r="H7303">
        <v>-0.05</v>
      </c>
      <c r="I7303">
        <v>120.80540000000001</v>
      </c>
      <c r="J7303">
        <v>-339.08679999999998</v>
      </c>
      <c r="K7303">
        <v>1.1103970000000001</v>
      </c>
      <c r="L7303">
        <v>140.80549999999999</v>
      </c>
      <c r="M7303">
        <v>-0.99956610000000001</v>
      </c>
      <c r="N7303">
        <v>0</v>
      </c>
      <c r="O7303">
        <v>-2.653904E-2</v>
      </c>
      <c r="P7303">
        <v>-0.99834710000000004</v>
      </c>
      <c r="Q7303">
        <v>3.5018019999999997E-2</v>
      </c>
      <c r="R7303">
        <v>-4.5578830000000001E-2</v>
      </c>
      <c r="S7303">
        <v>-2.991028</v>
      </c>
      <c r="T7303">
        <v>-1.851535E-2</v>
      </c>
      <c r="U7303">
        <v>-0.31921389999999999</v>
      </c>
      <c r="V7303">
        <v>-1.9060839999999999E-2</v>
      </c>
      <c r="W7303">
        <v>4.7794549999999998E-2</v>
      </c>
      <c r="X7303">
        <v>0.99867530000000004</v>
      </c>
      <c r="Y7303">
        <v>-7.9691449999999997E-2</v>
      </c>
      <c r="Z7303" s="1">
        <v>-8.2197179999999998E-5</v>
      </c>
      <c r="AA7303">
        <v>0.99681960000000003</v>
      </c>
      <c r="AB7303">
        <v>22</v>
      </c>
      <c r="AC7303">
        <v>-187.2353</v>
      </c>
      <c r="AD7303">
        <v>-1.1603969999999999</v>
      </c>
      <c r="AE7303">
        <v>-20.0000999999999</v>
      </c>
      <c r="AF7303">
        <v>-15.023032984524001</v>
      </c>
      <c r="AG7303">
        <v>-1.1603969999999999</v>
      </c>
      <c r="AH7303">
        <v>187.69303971391599</v>
      </c>
      <c r="AI7303">
        <v>90.353092793283807</v>
      </c>
      <c r="AJ7303">
        <v>94.576223407668394</v>
      </c>
      <c r="AK7303">
        <v>188.296880479474</v>
      </c>
      <c r="AL7303">
        <v>87.260530340566703</v>
      </c>
      <c r="AM7303">
        <v>91.093421559699493</v>
      </c>
      <c r="AN7303">
        <v>0.99999999473064904</v>
      </c>
    </row>
    <row r="7304" spans="1:40" x14ac:dyDescent="0.25">
      <c r="A7304" t="str">
        <f>"20190312150835538"</f>
        <v>20190312150835538</v>
      </c>
      <c r="B7304" t="str">
        <f>"1552374515527452"</f>
        <v>1552374515527452</v>
      </c>
      <c r="C7304" t="s">
        <v>40</v>
      </c>
      <c r="D7304">
        <v>4.5838710000000003</v>
      </c>
      <c r="E7304">
        <v>0.47811330000000002</v>
      </c>
      <c r="F7304" t="s">
        <v>43</v>
      </c>
      <c r="G7304">
        <v>-520.78300000000002</v>
      </c>
      <c r="H7304">
        <v>-0.05</v>
      </c>
      <c r="I7304">
        <v>121.53440000000001</v>
      </c>
      <c r="J7304">
        <v>-339.30259999999998</v>
      </c>
      <c r="K7304">
        <v>1.110398</v>
      </c>
      <c r="L7304">
        <v>140.7998</v>
      </c>
      <c r="M7304">
        <v>-0.99956699999999998</v>
      </c>
      <c r="N7304">
        <v>0</v>
      </c>
      <c r="O7304">
        <v>-2.653471E-2</v>
      </c>
      <c r="P7304">
        <v>-0.99833729999999998</v>
      </c>
      <c r="Q7304">
        <v>3.5052300000000002E-2</v>
      </c>
      <c r="R7304">
        <v>-4.5759729999999998E-2</v>
      </c>
      <c r="S7304">
        <v>-2.9911189999999999</v>
      </c>
      <c r="T7304">
        <v>-1.9102689999999999E-2</v>
      </c>
      <c r="U7304">
        <v>-0.31724550000000001</v>
      </c>
      <c r="V7304">
        <v>-1.9247070000000002E-2</v>
      </c>
      <c r="W7304">
        <v>4.7753589999999999E-2</v>
      </c>
      <c r="X7304">
        <v>0.9986737</v>
      </c>
      <c r="Y7304">
        <v>-7.9043840000000004E-2</v>
      </c>
      <c r="Z7304" s="1">
        <v>-8.2770130000000004E-5</v>
      </c>
      <c r="AA7304">
        <v>0.99687110000000001</v>
      </c>
      <c r="AB7304">
        <v>22</v>
      </c>
      <c r="AC7304">
        <v>-181.4804</v>
      </c>
      <c r="AD7304">
        <v>-1.160398</v>
      </c>
      <c r="AE7304">
        <v>-19.2654</v>
      </c>
      <c r="AF7304">
        <v>-14.442112319863501</v>
      </c>
      <c r="AG7304">
        <v>-1.160398</v>
      </c>
      <c r="AH7304">
        <v>181.92037744389299</v>
      </c>
      <c r="AI7304">
        <v>90.364315937944895</v>
      </c>
      <c r="AJ7304">
        <v>94.539020389909894</v>
      </c>
      <c r="AK7304">
        <v>182.49642424197401</v>
      </c>
      <c r="AL7304">
        <v>87.262879892255299</v>
      </c>
      <c r="AM7304">
        <v>91.104103745943107</v>
      </c>
      <c r="AN7304">
        <v>1.00000000706658</v>
      </c>
    </row>
    <row r="7305" spans="1:40" x14ac:dyDescent="0.25">
      <c r="A7305" t="str">
        <f>"20190312150835559"</f>
        <v>20190312150835559</v>
      </c>
      <c r="B7305" t="str">
        <f>"1552374515546973"</f>
        <v>1552374515546973</v>
      </c>
      <c r="C7305" t="s">
        <v>40</v>
      </c>
      <c r="D7305">
        <v>4.1663969999999999</v>
      </c>
      <c r="E7305">
        <v>0.47837020000000002</v>
      </c>
      <c r="F7305" t="s">
        <v>43</v>
      </c>
      <c r="G7305">
        <v>-515.09280000000001</v>
      </c>
      <c r="H7305">
        <v>-0.05</v>
      </c>
      <c r="I7305">
        <v>122.2426</v>
      </c>
      <c r="J7305">
        <v>-339.52170000000001</v>
      </c>
      <c r="K7305">
        <v>1.1104039999999999</v>
      </c>
      <c r="L7305">
        <v>140.79399999999899</v>
      </c>
      <c r="M7305">
        <v>-0.99956800000000001</v>
      </c>
      <c r="N7305">
        <v>0</v>
      </c>
      <c r="O7305">
        <v>-2.6532710000000001E-2</v>
      </c>
      <c r="P7305">
        <v>-0.99833760000000005</v>
      </c>
      <c r="Q7305">
        <v>3.5353379999999997E-2</v>
      </c>
      <c r="R7305">
        <v>-4.5521430000000002E-2</v>
      </c>
      <c r="S7305">
        <v>-2.9912109999999998</v>
      </c>
      <c r="T7305">
        <v>-1.974511E-2</v>
      </c>
      <c r="U7305">
        <v>-0.31576539999999997</v>
      </c>
      <c r="V7305">
        <v>-1.901162E-2</v>
      </c>
      <c r="W7305">
        <v>4.7980299999999997E-2</v>
      </c>
      <c r="X7305">
        <v>0.99866739999999998</v>
      </c>
      <c r="Y7305">
        <v>-7.8554799999999994E-2</v>
      </c>
      <c r="Z7305" s="1">
        <v>-8.3956619999999996E-5</v>
      </c>
      <c r="AA7305">
        <v>0.99690979999999996</v>
      </c>
      <c r="AB7305">
        <v>22</v>
      </c>
      <c r="AC7305">
        <v>-175.5711</v>
      </c>
      <c r="AD7305">
        <v>-1.160404</v>
      </c>
      <c r="AE7305">
        <v>-18.551399999999902</v>
      </c>
      <c r="AF7305">
        <v>-13.885518595135901</v>
      </c>
      <c r="AG7305">
        <v>-1.160404</v>
      </c>
      <c r="AH7305">
        <v>175.99393475381899</v>
      </c>
      <c r="AI7305">
        <v>90.376600051558199</v>
      </c>
      <c r="AJ7305">
        <v>94.511160907287803</v>
      </c>
      <c r="AK7305">
        <v>176.544666399839</v>
      </c>
      <c r="AL7305">
        <v>87.249875614348497</v>
      </c>
      <c r="AM7305">
        <v>91.090607371477105</v>
      </c>
      <c r="AN7305">
        <v>1.00000006335293</v>
      </c>
    </row>
    <row r="7306" spans="1:40" x14ac:dyDescent="0.25">
      <c r="A7306" t="str">
        <f>"20190312150835582"</f>
        <v>20190312150835582</v>
      </c>
      <c r="B7306" t="str">
        <f>"1552374515577228"</f>
        <v>1552374515577228</v>
      </c>
      <c r="C7306" t="s">
        <v>40</v>
      </c>
      <c r="D7306">
        <v>4.1526990000000001</v>
      </c>
      <c r="E7306">
        <v>0.47874070000000002</v>
      </c>
      <c r="F7306" t="s">
        <v>43</v>
      </c>
      <c r="G7306">
        <v>-518.77470000000005</v>
      </c>
      <c r="H7306">
        <v>-0.05</v>
      </c>
      <c r="I7306">
        <v>122.0333</v>
      </c>
      <c r="J7306">
        <v>-339.74869999999999</v>
      </c>
      <c r="K7306">
        <v>1.1104050000000001</v>
      </c>
      <c r="L7306">
        <v>140.78790000000001</v>
      </c>
      <c r="M7306">
        <v>-0.99956900000000004</v>
      </c>
      <c r="N7306">
        <v>0</v>
      </c>
      <c r="O7306">
        <v>-2.65332E-2</v>
      </c>
      <c r="P7306">
        <v>-0.99835759999999996</v>
      </c>
      <c r="Q7306">
        <v>3.5061349999999998E-2</v>
      </c>
      <c r="R7306">
        <v>-4.5312520000000002E-2</v>
      </c>
      <c r="S7306">
        <v>-2.9913940000000001</v>
      </c>
      <c r="T7306">
        <v>-1.9364949999999999E-2</v>
      </c>
      <c r="U7306">
        <v>-0.31307980000000002</v>
      </c>
      <c r="V7306">
        <v>-1.880242E-2</v>
      </c>
      <c r="W7306">
        <v>4.7615930000000001E-2</v>
      </c>
      <c r="X7306">
        <v>0.99868880000000004</v>
      </c>
      <c r="Y7306">
        <v>-7.7662780000000001E-2</v>
      </c>
      <c r="Z7306" s="1">
        <v>-7.9456190000000006E-5</v>
      </c>
      <c r="AA7306">
        <v>0.99697970000000002</v>
      </c>
      <c r="AB7306">
        <v>22</v>
      </c>
      <c r="AC7306">
        <v>-179.02600000000001</v>
      </c>
      <c r="AD7306">
        <v>-1.1604049999999999</v>
      </c>
      <c r="AE7306">
        <v>-18.7546</v>
      </c>
      <c r="AF7306">
        <v>-13.996906901444801</v>
      </c>
      <c r="AG7306">
        <v>-1.1604049999999999</v>
      </c>
      <c r="AH7306">
        <v>179.45316208607301</v>
      </c>
      <c r="AI7306">
        <v>90.369366967145893</v>
      </c>
      <c r="AJ7306">
        <v>94.4599009163923</v>
      </c>
      <c r="AK7306">
        <v>180.00193700419399</v>
      </c>
      <c r="AL7306">
        <v>87.270776365972907</v>
      </c>
      <c r="AM7306">
        <v>91.078586293567099</v>
      </c>
      <c r="AN7306">
        <v>1.00000006351652</v>
      </c>
    </row>
    <row r="7307" spans="1:40" x14ac:dyDescent="0.25">
      <c r="A7307" t="str">
        <f>"20190312150835605"</f>
        <v>20190312150835605</v>
      </c>
      <c r="B7307" t="str">
        <f>"1552374515597724"</f>
        <v>1552374515597724</v>
      </c>
      <c r="C7307" t="s">
        <v>40</v>
      </c>
      <c r="D7307">
        <v>4.156898</v>
      </c>
      <c r="E7307">
        <v>0.47896499999999997</v>
      </c>
      <c r="F7307" t="s">
        <v>73</v>
      </c>
      <c r="G7307">
        <v>-487.62549999999999</v>
      </c>
      <c r="H7307">
        <v>7.9986570000000007E-2</v>
      </c>
      <c r="I7307">
        <v>125.49550000000001</v>
      </c>
      <c r="J7307">
        <v>-339.97269999999997</v>
      </c>
      <c r="K7307">
        <v>1.1103989999999999</v>
      </c>
      <c r="L7307">
        <v>140.78200000000001</v>
      </c>
      <c r="M7307">
        <v>-0.99956979999999995</v>
      </c>
      <c r="N7307">
        <v>0</v>
      </c>
      <c r="O7307">
        <v>-2.6536779999999999E-2</v>
      </c>
      <c r="P7307">
        <v>-0.99835649999999998</v>
      </c>
      <c r="Q7307">
        <v>3.5396549999999999E-2</v>
      </c>
      <c r="R7307">
        <v>-4.5076419999999999E-2</v>
      </c>
      <c r="S7307">
        <v>-2.9916079999999998</v>
      </c>
      <c r="T7307">
        <v>-2.084577E-2</v>
      </c>
      <c r="U7307">
        <v>-0.30937189999999998</v>
      </c>
      <c r="V7307">
        <v>-1.8563119999999999E-2</v>
      </c>
      <c r="W7307">
        <v>4.7881710000000001E-2</v>
      </c>
      <c r="X7307">
        <v>0.99868049999999997</v>
      </c>
      <c r="Y7307">
        <v>-7.6429230000000001E-2</v>
      </c>
      <c r="Z7307" s="1">
        <v>-8.1219650000000001E-5</v>
      </c>
      <c r="AA7307">
        <v>0.99707500000000004</v>
      </c>
      <c r="AB7307">
        <v>22</v>
      </c>
      <c r="AC7307">
        <v>-147.65280000000001</v>
      </c>
      <c r="AD7307">
        <v>-1.0304124299999999</v>
      </c>
      <c r="AE7307">
        <v>-15.2865</v>
      </c>
      <c r="AF7307">
        <v>-11.3620327989861</v>
      </c>
      <c r="AG7307">
        <v>-1.0304124299999999</v>
      </c>
      <c r="AH7307">
        <v>147.999348967092</v>
      </c>
      <c r="AI7307">
        <v>90.397732319899504</v>
      </c>
      <c r="AJ7307">
        <v>94.390033437000199</v>
      </c>
      <c r="AK7307">
        <v>148.43842101620501</v>
      </c>
      <c r="AL7307">
        <v>87.255530715228204</v>
      </c>
      <c r="AM7307">
        <v>91.064871063202204</v>
      </c>
      <c r="AN7307">
        <v>0.99999999432845399</v>
      </c>
    </row>
    <row r="7308" spans="1:40" x14ac:dyDescent="0.25">
      <c r="A7308" t="str">
        <f>"20190312150835626"</f>
        <v>20190312150835626</v>
      </c>
      <c r="B7308" t="str">
        <f>"1552374515617244"</f>
        <v>1552374515617244</v>
      </c>
      <c r="C7308" t="s">
        <v>40</v>
      </c>
      <c r="D7308">
        <v>4.3464159999999996</v>
      </c>
      <c r="E7308">
        <v>0.47919679999999998</v>
      </c>
      <c r="F7308" t="s">
        <v>73</v>
      </c>
      <c r="G7308">
        <v>-491.31420000000003</v>
      </c>
      <c r="H7308">
        <v>7.9986500000000002E-2</v>
      </c>
      <c r="I7308">
        <v>125.2512</v>
      </c>
      <c r="J7308">
        <v>-340.18740000000003</v>
      </c>
      <c r="K7308">
        <v>1.1103970000000001</v>
      </c>
      <c r="L7308">
        <v>140.77629999999999</v>
      </c>
      <c r="M7308">
        <v>-0.99957039999999997</v>
      </c>
      <c r="N7308">
        <v>0</v>
      </c>
      <c r="O7308">
        <v>-2.6544269999999998E-2</v>
      </c>
      <c r="P7308">
        <v>-0.99834310000000004</v>
      </c>
      <c r="Q7308">
        <v>3.5894460000000003E-2</v>
      </c>
      <c r="R7308">
        <v>-4.4973699999999998E-2</v>
      </c>
      <c r="S7308">
        <v>-2.9918209999999998</v>
      </c>
      <c r="T7308">
        <v>-2.0369890000000002E-2</v>
      </c>
      <c r="U7308">
        <v>-0.30702210000000002</v>
      </c>
      <c r="V7308">
        <v>-1.845368E-2</v>
      </c>
      <c r="W7308">
        <v>4.83156E-2</v>
      </c>
      <c r="X7308">
        <v>0.99866160000000004</v>
      </c>
      <c r="Y7308">
        <v>-7.5639609999999996E-2</v>
      </c>
      <c r="Z7308" s="1">
        <v>-7.6630950000000002E-5</v>
      </c>
      <c r="AA7308">
        <v>0.9971352</v>
      </c>
      <c r="AB7308">
        <v>22</v>
      </c>
      <c r="AC7308">
        <v>-151.1268</v>
      </c>
      <c r="AD7308">
        <v>-1.0304104999999999</v>
      </c>
      <c r="AE7308">
        <v>-15.525099999999901</v>
      </c>
      <c r="AF7308">
        <v>-11.507239008402999</v>
      </c>
      <c r="AG7308">
        <v>-1.0304104999999999</v>
      </c>
      <c r="AH7308">
        <v>151.47870646917701</v>
      </c>
      <c r="AI7308">
        <v>90.388619993249407</v>
      </c>
      <c r="AJ7308">
        <v>94.344190335912799</v>
      </c>
      <c r="AK7308">
        <v>151.918651945606</v>
      </c>
      <c r="AL7308">
        <v>87.230641756798093</v>
      </c>
      <c r="AM7308">
        <v>91.058614513794197</v>
      </c>
      <c r="AN7308">
        <v>0.99999996341173003</v>
      </c>
    </row>
    <row r="7309" spans="1:40" x14ac:dyDescent="0.25">
      <c r="A7309" t="str">
        <f>"20190312150835648"</f>
        <v>20190312150835648</v>
      </c>
      <c r="B7309" t="str">
        <f>"1552374515636764"</f>
        <v>1552374515636764</v>
      </c>
      <c r="C7309" t="s">
        <v>40</v>
      </c>
      <c r="D7309">
        <v>4.1636739999999897</v>
      </c>
      <c r="E7309">
        <v>0.47939569999999998</v>
      </c>
      <c r="F7309" t="s">
        <v>43</v>
      </c>
      <c r="G7309">
        <v>-520.51120000000003</v>
      </c>
      <c r="H7309">
        <v>-0.05</v>
      </c>
      <c r="I7309">
        <v>122.4064</v>
      </c>
      <c r="J7309">
        <v>-340.40649999999999</v>
      </c>
      <c r="K7309">
        <v>1.110392</v>
      </c>
      <c r="L7309">
        <v>140.7705</v>
      </c>
      <c r="M7309">
        <v>-0.99957079999999998</v>
      </c>
      <c r="N7309">
        <v>0</v>
      </c>
      <c r="O7309">
        <v>-2.655416E-2</v>
      </c>
      <c r="P7309">
        <v>-0.99833919999999998</v>
      </c>
      <c r="Q7309">
        <v>3.6291539999999997E-2</v>
      </c>
      <c r="R7309">
        <v>-4.4737510000000001E-2</v>
      </c>
      <c r="S7309">
        <v>-2.991943</v>
      </c>
      <c r="T7309">
        <v>-1.9253369999999999E-2</v>
      </c>
      <c r="U7309">
        <v>-0.30479430000000002</v>
      </c>
      <c r="V7309">
        <v>-1.8207669999999999E-2</v>
      </c>
      <c r="W7309">
        <v>4.8650430000000001E-2</v>
      </c>
      <c r="X7309">
        <v>0.99864989999999998</v>
      </c>
      <c r="Y7309">
        <v>-7.4890990000000005E-2</v>
      </c>
      <c r="Z7309" s="1">
        <v>-6.9964330000000006E-5</v>
      </c>
      <c r="AA7309">
        <v>0.99719170000000001</v>
      </c>
      <c r="AB7309">
        <v>22</v>
      </c>
      <c r="AC7309">
        <v>-180.10470000000001</v>
      </c>
      <c r="AD7309">
        <v>-1.1603920000000001</v>
      </c>
      <c r="AE7309">
        <v>-18.364100000000001</v>
      </c>
      <c r="AF7309">
        <v>-13.5741705666605</v>
      </c>
      <c r="AG7309">
        <v>-1.1603920000000001</v>
      </c>
      <c r="AH7309">
        <v>180.52144518335899</v>
      </c>
      <c r="AI7309">
        <v>90.367255475212403</v>
      </c>
      <c r="AJ7309">
        <v>94.300219321076597</v>
      </c>
      <c r="AK7309">
        <v>181.03479441050899</v>
      </c>
      <c r="AL7309">
        <v>87.211434933911306</v>
      </c>
      <c r="AM7309">
        <v>91.044517276878906</v>
      </c>
      <c r="AN7309">
        <v>1.0000000031780101</v>
      </c>
    </row>
    <row r="7310" spans="1:40" x14ac:dyDescent="0.25">
      <c r="A7310" t="str">
        <f>"20190312150835670"</f>
        <v>20190312150835670</v>
      </c>
      <c r="B7310" t="str">
        <f>"1552374515667021"</f>
        <v>1552374515667021</v>
      </c>
      <c r="C7310" t="s">
        <v>40</v>
      </c>
      <c r="D7310">
        <v>4.1495040000000003</v>
      </c>
      <c r="E7310">
        <v>0.47965180000000002</v>
      </c>
      <c r="F7310" t="s">
        <v>43</v>
      </c>
      <c r="G7310">
        <v>-525.93100000000004</v>
      </c>
      <c r="H7310">
        <v>-0.05</v>
      </c>
      <c r="I7310">
        <v>122.0197</v>
      </c>
      <c r="J7310">
        <v>-340.63139999999999</v>
      </c>
      <c r="K7310">
        <v>1.110393</v>
      </c>
      <c r="L7310">
        <v>140.7645</v>
      </c>
      <c r="M7310">
        <v>-0.9995714</v>
      </c>
      <c r="N7310">
        <v>0</v>
      </c>
      <c r="O7310">
        <v>-2.6563360000000001E-2</v>
      </c>
      <c r="P7310">
        <v>-0.99836829999999999</v>
      </c>
      <c r="Q7310">
        <v>3.6178439999999999E-2</v>
      </c>
      <c r="R7310">
        <v>-4.4182489999999998E-2</v>
      </c>
      <c r="S7310">
        <v>-2.9921570000000002</v>
      </c>
      <c r="T7310">
        <v>-1.87149E-2</v>
      </c>
      <c r="U7310">
        <v>-0.30241390000000001</v>
      </c>
      <c r="V7310">
        <v>-1.764305E-2</v>
      </c>
      <c r="W7310">
        <v>4.84804E-2</v>
      </c>
      <c r="X7310">
        <v>0.99866829999999995</v>
      </c>
      <c r="Y7310">
        <v>-7.4089470000000004E-2</v>
      </c>
      <c r="Z7310" s="1">
        <v>-6.5447779999999999E-5</v>
      </c>
      <c r="AA7310">
        <v>0.99725160000000002</v>
      </c>
      <c r="AB7310">
        <v>22</v>
      </c>
      <c r="AC7310">
        <v>-185.2996</v>
      </c>
      <c r="AD7310">
        <v>-1.160393</v>
      </c>
      <c r="AE7310">
        <v>-18.744800000000001</v>
      </c>
      <c r="AF7310">
        <v>-13.8150956257301</v>
      </c>
      <c r="AG7310">
        <v>-1.160393</v>
      </c>
      <c r="AH7310">
        <v>185.72495673178599</v>
      </c>
      <c r="AI7310">
        <v>90.356988038691696</v>
      </c>
      <c r="AJ7310">
        <v>94.254094960285698</v>
      </c>
      <c r="AK7310">
        <v>186.241678826428</v>
      </c>
      <c r="AL7310">
        <v>87.221188435300704</v>
      </c>
      <c r="AM7310">
        <v>91.012114988872</v>
      </c>
      <c r="AN7310">
        <v>0.99999999991117605</v>
      </c>
    </row>
    <row r="7311" spans="1:40" x14ac:dyDescent="0.25">
      <c r="A7311" t="str">
        <f>"20190312150835694"</f>
        <v>20190312150835694</v>
      </c>
      <c r="B7311" t="str">
        <f>"1552374515687516"</f>
        <v>1552374515687516</v>
      </c>
      <c r="C7311" t="s">
        <v>40</v>
      </c>
      <c r="D7311">
        <v>4.1375789999999997</v>
      </c>
      <c r="E7311">
        <v>0.47979119999999997</v>
      </c>
      <c r="F7311" t="s">
        <v>73</v>
      </c>
      <c r="G7311">
        <v>-491.52339999999998</v>
      </c>
      <c r="H7311">
        <v>7.9986440000000006E-2</v>
      </c>
      <c r="I7311">
        <v>125.6908</v>
      </c>
      <c r="J7311">
        <v>-340.86149999999998</v>
      </c>
      <c r="K7311">
        <v>1.1103889999999901</v>
      </c>
      <c r="L7311">
        <v>140.75839999999999</v>
      </c>
      <c r="M7311">
        <v>-0.99957180000000001</v>
      </c>
      <c r="N7311">
        <v>0</v>
      </c>
      <c r="O7311">
        <v>-2.6570199999999999E-2</v>
      </c>
      <c r="P7311">
        <v>-0.99841950000000002</v>
      </c>
      <c r="Q7311">
        <v>3.5917539999999998E-2</v>
      </c>
      <c r="R7311">
        <v>-4.3226540000000001E-2</v>
      </c>
      <c r="S7311">
        <v>-2.992432</v>
      </c>
      <c r="T7311">
        <v>-2.0434620000000001E-2</v>
      </c>
      <c r="U7311">
        <v>-0.2989349</v>
      </c>
      <c r="V7311">
        <v>-1.667946E-2</v>
      </c>
      <c r="W7311">
        <v>4.8166059999999997E-2</v>
      </c>
      <c r="X7311">
        <v>0.99870009999999998</v>
      </c>
      <c r="Y7311">
        <v>-7.2925489999999996E-2</v>
      </c>
      <c r="Z7311" s="1">
        <v>-6.7447690000000001E-5</v>
      </c>
      <c r="AA7311">
        <v>0.99733740000000004</v>
      </c>
      <c r="AB7311">
        <v>22</v>
      </c>
      <c r="AC7311">
        <v>-150.6619</v>
      </c>
      <c r="AD7311">
        <v>-1.03040255999999</v>
      </c>
      <c r="AE7311">
        <v>-15.067600000000001</v>
      </c>
      <c r="AF7311">
        <v>-11.058349893397899</v>
      </c>
      <c r="AG7311">
        <v>-1.03040255999999</v>
      </c>
      <c r="AH7311">
        <v>151.002086964499</v>
      </c>
      <c r="AI7311">
        <v>90.389922628563795</v>
      </c>
      <c r="AJ7311">
        <v>94.188470125703503</v>
      </c>
      <c r="AK7311">
        <v>151.40997027750399</v>
      </c>
      <c r="AL7311">
        <v>87.239219943826001</v>
      </c>
      <c r="AM7311">
        <v>90.956817590576705</v>
      </c>
      <c r="AN7311">
        <v>1.0000000317309099</v>
      </c>
    </row>
    <row r="7312" spans="1:40" x14ac:dyDescent="0.25">
      <c r="A7312" t="str">
        <f>"20190312150835715"</f>
        <v>20190312150835715</v>
      </c>
      <c r="B7312" t="str">
        <f>"1552374515707036"</f>
        <v>1552374515707036</v>
      </c>
      <c r="C7312" t="s">
        <v>40</v>
      </c>
      <c r="D7312">
        <v>4.1605059999999998</v>
      </c>
      <c r="E7312">
        <v>0.47993479999999999</v>
      </c>
      <c r="F7312" t="s">
        <v>73</v>
      </c>
      <c r="G7312">
        <v>-479.45760000000001</v>
      </c>
      <c r="H7312">
        <v>7.9986580000000002E-2</v>
      </c>
      <c r="I7312">
        <v>127.08759999999999</v>
      </c>
      <c r="J7312">
        <v>-341.07780000000002</v>
      </c>
      <c r="K7312">
        <v>1.1103829999999999</v>
      </c>
      <c r="L7312">
        <v>140.7526</v>
      </c>
      <c r="M7312">
        <v>-0.99957229999999997</v>
      </c>
      <c r="N7312">
        <v>0</v>
      </c>
      <c r="O7312">
        <v>-2.6574919999999998E-2</v>
      </c>
      <c r="P7312">
        <v>-0.99842410000000004</v>
      </c>
      <c r="Q7312">
        <v>3.6056280000000003E-2</v>
      </c>
      <c r="R7312">
        <v>-4.3004939999999998E-2</v>
      </c>
      <c r="S7312">
        <v>-2.992737</v>
      </c>
      <c r="T7312">
        <v>-2.2249700000000001E-2</v>
      </c>
      <c r="U7312">
        <v>-0.29519649999999997</v>
      </c>
      <c r="V7312">
        <v>-1.6452709999999999E-2</v>
      </c>
      <c r="W7312">
        <v>4.8254650000000003E-2</v>
      </c>
      <c r="X7312">
        <v>0.99869949999999996</v>
      </c>
      <c r="Y7312">
        <v>-7.1676840000000006E-2</v>
      </c>
      <c r="Z7312" s="1">
        <v>-6.8769589999999897E-5</v>
      </c>
      <c r="AA7312">
        <v>0.99742790000000003</v>
      </c>
      <c r="AB7312">
        <v>22</v>
      </c>
      <c r="AC7312">
        <v>-138.37979999999999</v>
      </c>
      <c r="AD7312">
        <v>-1.03039642</v>
      </c>
      <c r="AE7312">
        <v>-13.664999999999999</v>
      </c>
      <c r="AF7312">
        <v>-9.981918936185</v>
      </c>
      <c r="AG7312">
        <v>-1.03039642</v>
      </c>
      <c r="AH7312">
        <v>138.68647846386901</v>
      </c>
      <c r="AI7312">
        <v>90.424583298090695</v>
      </c>
      <c r="AJ7312">
        <v>94.116748109719794</v>
      </c>
      <c r="AK7312">
        <v>139.04905512494599</v>
      </c>
      <c r="AL7312">
        <v>87.234137967612298</v>
      </c>
      <c r="AM7312">
        <v>90.943813007872095</v>
      </c>
      <c r="AN7312">
        <v>0.999999947106606</v>
      </c>
    </row>
    <row r="7313" spans="1:40" x14ac:dyDescent="0.25">
      <c r="A7313" t="str">
        <f>"20190312150835738"</f>
        <v>20190312150835738</v>
      </c>
      <c r="B7313" t="str">
        <f>"1552374515727532"</f>
        <v>1552374515727532</v>
      </c>
      <c r="C7313" t="s">
        <v>40</v>
      </c>
      <c r="D7313">
        <v>4.0785090000000004</v>
      </c>
      <c r="E7313">
        <v>0.48010540000000002</v>
      </c>
      <c r="F7313" t="s">
        <v>73</v>
      </c>
      <c r="G7313">
        <v>-471.98930000000001</v>
      </c>
      <c r="H7313">
        <v>7.9987000000000003E-2</v>
      </c>
      <c r="I7313">
        <v>127.9241</v>
      </c>
      <c r="J7313">
        <v>-341.30239999999998</v>
      </c>
      <c r="K7313">
        <v>1.110374</v>
      </c>
      <c r="L7313">
        <v>140.7467</v>
      </c>
      <c r="M7313">
        <v>-0.99957289999999999</v>
      </c>
      <c r="N7313">
        <v>0</v>
      </c>
      <c r="O7313">
        <v>-2.6578439999999998E-2</v>
      </c>
      <c r="P7313">
        <v>-0.99844440000000001</v>
      </c>
      <c r="Q7313">
        <v>3.5925020000000002E-2</v>
      </c>
      <c r="R7313">
        <v>-4.2643500000000001E-2</v>
      </c>
      <c r="S7313">
        <v>-2.9929199999999998</v>
      </c>
      <c r="T7313">
        <v>-2.3557069999999999E-2</v>
      </c>
      <c r="U7313">
        <v>-0.29328920000000003</v>
      </c>
      <c r="V7313">
        <v>-1.6087589999999999E-2</v>
      </c>
      <c r="W7313">
        <v>4.8072700000000003E-2</v>
      </c>
      <c r="X7313">
        <v>0.99871430000000005</v>
      </c>
      <c r="Y7313">
        <v>-7.1037669999999997E-2</v>
      </c>
      <c r="Z7313" s="1">
        <v>-7.0270780000000003E-5</v>
      </c>
      <c r="AA7313">
        <v>0.99747370000000002</v>
      </c>
      <c r="AB7313">
        <v>22</v>
      </c>
      <c r="AC7313">
        <v>-130.68690000000001</v>
      </c>
      <c r="AD7313">
        <v>-1.0303869999999999</v>
      </c>
      <c r="AE7313">
        <v>-12.8226</v>
      </c>
      <c r="AF7313">
        <v>-9.34378389003178</v>
      </c>
      <c r="AG7313">
        <v>-1.0303869999999999</v>
      </c>
      <c r="AH7313">
        <v>130.97349123520999</v>
      </c>
      <c r="AI7313">
        <v>90.449602075598094</v>
      </c>
      <c r="AJ7313">
        <v>94.080626508602094</v>
      </c>
      <c r="AK7313">
        <v>131.31040857865401</v>
      </c>
      <c r="AL7313">
        <v>87.244575260067506</v>
      </c>
      <c r="AM7313">
        <v>90.922857815739206</v>
      </c>
      <c r="AN7313">
        <v>1.0000000240308899</v>
      </c>
    </row>
    <row r="7314" spans="1:40" x14ac:dyDescent="0.25">
      <c r="A7314" t="str">
        <f>"20190312150835760"</f>
        <v>20190312150835760</v>
      </c>
      <c r="B7314" t="str">
        <f>"1552374515756813"</f>
        <v>1552374515756813</v>
      </c>
      <c r="C7314" t="s">
        <v>40</v>
      </c>
      <c r="D7314">
        <v>4.1606189999999996</v>
      </c>
      <c r="E7314">
        <v>0.48035299999999997</v>
      </c>
      <c r="F7314" t="s">
        <v>42</v>
      </c>
      <c r="G7314">
        <v>-467.37729999999999</v>
      </c>
      <c r="H7314">
        <v>7.9986920000000003E-2</v>
      </c>
      <c r="I7314">
        <v>128.4958</v>
      </c>
      <c r="J7314">
        <v>-341.52019999999999</v>
      </c>
      <c r="K7314">
        <v>1.1103639999999999</v>
      </c>
      <c r="L7314">
        <v>140.74090000000001</v>
      </c>
      <c r="M7314">
        <v>-0.9995733</v>
      </c>
      <c r="N7314">
        <v>0</v>
      </c>
      <c r="O7314">
        <v>-2.6581270000000001E-2</v>
      </c>
      <c r="P7314">
        <v>-0.99844409999999895</v>
      </c>
      <c r="Q7314">
        <v>3.646659E-2</v>
      </c>
      <c r="R7314">
        <v>-4.2183850000000002E-2</v>
      </c>
      <c r="S7314">
        <v>-2.993134</v>
      </c>
      <c r="T7314">
        <v>-2.4462339999999999E-2</v>
      </c>
      <c r="U7314">
        <v>-0.29084779999999999</v>
      </c>
      <c r="V7314">
        <v>-1.562527E-2</v>
      </c>
      <c r="W7314">
        <v>4.8568510000000002E-2</v>
      </c>
      <c r="X7314">
        <v>0.99869759999999996</v>
      </c>
      <c r="Y7314">
        <v>-7.0221919999999993E-2</v>
      </c>
      <c r="Z7314" s="1">
        <v>-6.9619719999999995E-5</v>
      </c>
      <c r="AA7314">
        <v>0.99753139999999996</v>
      </c>
      <c r="AB7314">
        <v>22</v>
      </c>
      <c r="AC7314">
        <v>-125.8571</v>
      </c>
      <c r="AD7314">
        <v>-1.0303770799999901</v>
      </c>
      <c r="AE7314">
        <v>-12.245100000000001</v>
      </c>
      <c r="AF7314">
        <v>-8.8944951698457597</v>
      </c>
      <c r="AG7314">
        <v>-1.0303770799999901</v>
      </c>
      <c r="AH7314">
        <v>126.129762180445</v>
      </c>
      <c r="AI7314">
        <v>90.466889882051206</v>
      </c>
      <c r="AJ7314">
        <v>94.033740991560407</v>
      </c>
      <c r="AK7314">
        <v>126.447185136519</v>
      </c>
      <c r="AL7314">
        <v>87.216134074479697</v>
      </c>
      <c r="AM7314">
        <v>90.896356400772802</v>
      </c>
      <c r="AN7314">
        <v>0.99999997273597596</v>
      </c>
    </row>
    <row r="7315" spans="1:40" x14ac:dyDescent="0.25">
      <c r="A7315" t="str">
        <f>"20190312150835783"</f>
        <v>20190312150835783</v>
      </c>
      <c r="B7315" t="str">
        <f>"1552374515777308"</f>
        <v>1552374515777308</v>
      </c>
      <c r="C7315" t="s">
        <v>40</v>
      </c>
      <c r="D7315">
        <v>4.0751850000000003</v>
      </c>
      <c r="E7315">
        <v>0.48049609999999898</v>
      </c>
      <c r="F7315" t="s">
        <v>73</v>
      </c>
      <c r="G7315">
        <v>-472.36790000000002</v>
      </c>
      <c r="H7315">
        <v>7.9986940000000006E-2</v>
      </c>
      <c r="I7315">
        <v>128.16919999999999</v>
      </c>
      <c r="J7315">
        <v>-341.74680000000001</v>
      </c>
      <c r="K7315">
        <v>1.110358</v>
      </c>
      <c r="L7315">
        <v>140.73490000000001</v>
      </c>
      <c r="M7315">
        <v>-0.99957379999999996</v>
      </c>
      <c r="N7315">
        <v>0</v>
      </c>
      <c r="O7315">
        <v>-2.6582910000000001E-2</v>
      </c>
      <c r="P7315">
        <v>-0.99846800000000002</v>
      </c>
      <c r="Q7315">
        <v>3.5922419999999997E-2</v>
      </c>
      <c r="R7315">
        <v>-4.2086520000000002E-2</v>
      </c>
      <c r="S7315">
        <v>-2.993347</v>
      </c>
      <c r="T7315">
        <v>-2.357149E-2</v>
      </c>
      <c r="U7315">
        <v>-0.28759770000000001</v>
      </c>
      <c r="V7315">
        <v>-1.552571E-2</v>
      </c>
      <c r="W7315">
        <v>4.7982219999999999E-2</v>
      </c>
      <c r="X7315">
        <v>0.99872749999999999</v>
      </c>
      <c r="Y7315">
        <v>-6.9140460000000001E-2</v>
      </c>
      <c r="Z7315" s="1">
        <v>-6.2821430000000003E-5</v>
      </c>
      <c r="AA7315">
        <v>0.99760689999999996</v>
      </c>
      <c r="AB7315">
        <v>22</v>
      </c>
      <c r="AC7315">
        <v>-130.62110000000001</v>
      </c>
      <c r="AD7315">
        <v>-1.03037106</v>
      </c>
      <c r="AE7315">
        <v>-12.5657</v>
      </c>
      <c r="AF7315">
        <v>-9.0881567675221202</v>
      </c>
      <c r="AG7315">
        <v>-1.03037106</v>
      </c>
      <c r="AH7315">
        <v>130.90091999515201</v>
      </c>
      <c r="AI7315">
        <v>90.449904646207699</v>
      </c>
      <c r="AJ7315">
        <v>93.971544191819703</v>
      </c>
      <c r="AK7315">
        <v>131.22007130591501</v>
      </c>
      <c r="AL7315">
        <v>87.2497652506934</v>
      </c>
      <c r="AM7315">
        <v>90.890619322901301</v>
      </c>
      <c r="AN7315">
        <v>0.99999998018169101</v>
      </c>
    </row>
    <row r="7316" spans="1:40" x14ac:dyDescent="0.25">
      <c r="A7316" t="str">
        <f>"20190312150835805"</f>
        <v>20190312150835805</v>
      </c>
      <c r="B7316" t="str">
        <f>"1552374515796828"</f>
        <v>1552374515796828</v>
      </c>
      <c r="C7316" t="s">
        <v>40</v>
      </c>
      <c r="D7316">
        <v>4.163322</v>
      </c>
      <c r="E7316">
        <v>0.48062060000000001</v>
      </c>
      <c r="F7316" t="s">
        <v>42</v>
      </c>
      <c r="G7316">
        <v>-460.62220000000002</v>
      </c>
      <c r="H7316">
        <v>7.9987089999999997E-2</v>
      </c>
      <c r="I7316">
        <v>129.36799999999999</v>
      </c>
      <c r="J7316">
        <v>-341.96899999999999</v>
      </c>
      <c r="K7316">
        <v>1.110355</v>
      </c>
      <c r="L7316">
        <v>140.72899999999899</v>
      </c>
      <c r="M7316">
        <v>-0.99957410000000002</v>
      </c>
      <c r="N7316">
        <v>0</v>
      </c>
      <c r="O7316">
        <v>-2.6583869999999999E-2</v>
      </c>
      <c r="P7316">
        <v>-0.99847540000000001</v>
      </c>
      <c r="Q7316">
        <v>3.6025189999999999E-2</v>
      </c>
      <c r="R7316">
        <v>-4.1826660000000002E-2</v>
      </c>
      <c r="S7316">
        <v>-2.9935</v>
      </c>
      <c r="T7316">
        <v>-2.594662E-2</v>
      </c>
      <c r="U7316">
        <v>-0.28623959999999998</v>
      </c>
      <c r="V7316">
        <v>-1.5264689999999999E-2</v>
      </c>
      <c r="W7316">
        <v>4.804841E-2</v>
      </c>
      <c r="X7316">
        <v>0.99872830000000001</v>
      </c>
      <c r="Y7316">
        <v>-6.8685930000000006E-2</v>
      </c>
      <c r="Z7316" s="1">
        <v>-6.7175310000000001E-5</v>
      </c>
      <c r="AA7316">
        <v>0.99763829999999998</v>
      </c>
      <c r="AB7316">
        <v>22</v>
      </c>
      <c r="AC7316">
        <v>-118.6532</v>
      </c>
      <c r="AD7316">
        <v>-1.0303679100000001</v>
      </c>
      <c r="AE7316">
        <v>-11.360999999999899</v>
      </c>
      <c r="AF7316">
        <v>-8.20188158555443</v>
      </c>
      <c r="AG7316">
        <v>-1.0303679100000001</v>
      </c>
      <c r="AH7316">
        <v>118.904416451232</v>
      </c>
      <c r="AI7316">
        <v>90.495308065851404</v>
      </c>
      <c r="AJ7316">
        <v>93.9459425323071</v>
      </c>
      <c r="AK7316">
        <v>119.191412321448</v>
      </c>
      <c r="AL7316">
        <v>87.245968349818895</v>
      </c>
      <c r="AM7316">
        <v>90.875647779712807</v>
      </c>
      <c r="AN7316">
        <v>0.99999993884260496</v>
      </c>
    </row>
    <row r="7317" spans="1:40" x14ac:dyDescent="0.25">
      <c r="A7317" t="str">
        <f>"20190312150835827"</f>
        <v>20190312150835827</v>
      </c>
      <c r="B7317" t="str">
        <f>"1552374515817324"</f>
        <v>1552374515817324</v>
      </c>
      <c r="C7317" t="s">
        <v>40</v>
      </c>
      <c r="D7317">
        <v>4.1857989999999896</v>
      </c>
      <c r="E7317">
        <v>0.48072559999999898</v>
      </c>
      <c r="F7317" t="s">
        <v>42</v>
      </c>
      <c r="G7317">
        <v>-460.28559999999999</v>
      </c>
      <c r="H7317">
        <v>7.9987180000000005E-2</v>
      </c>
      <c r="I7317">
        <v>129.48820000000001</v>
      </c>
      <c r="J7317">
        <v>-342.18630000000002</v>
      </c>
      <c r="K7317">
        <v>1.1103499999999999</v>
      </c>
      <c r="L7317">
        <v>140.72319999999999</v>
      </c>
      <c r="M7317">
        <v>-0.99957450000000003</v>
      </c>
      <c r="N7317">
        <v>0</v>
      </c>
      <c r="O7317">
        <v>-2.6584159999999999E-2</v>
      </c>
      <c r="P7317">
        <v>-0.99847039999999998</v>
      </c>
      <c r="Q7317">
        <v>3.6540799999999998E-2</v>
      </c>
      <c r="R7317">
        <v>-4.1492540000000001E-2</v>
      </c>
      <c r="S7317">
        <v>-2.9935909999999999</v>
      </c>
      <c r="T7317">
        <v>-2.606988E-2</v>
      </c>
      <c r="U7317">
        <v>-0.28440860000000001</v>
      </c>
      <c r="V7317">
        <v>-1.4930499999999999E-2</v>
      </c>
      <c r="W7317">
        <v>4.8531829999999998E-2</v>
      </c>
      <c r="X7317">
        <v>0.99870999999999999</v>
      </c>
      <c r="Y7317">
        <v>-6.8078040000000006E-2</v>
      </c>
      <c r="Z7317" s="1">
        <v>-6.4850649999999995E-5</v>
      </c>
      <c r="AA7317">
        <v>0.99768000000000001</v>
      </c>
      <c r="AB7317">
        <v>22</v>
      </c>
      <c r="AC7317">
        <v>-118.099299999999</v>
      </c>
      <c r="AD7317">
        <v>-1.0303628199999999</v>
      </c>
      <c r="AE7317">
        <v>-11.2349999999999</v>
      </c>
      <c r="AF7317">
        <v>-8.0906215041001808</v>
      </c>
      <c r="AG7317">
        <v>-1.0303628199999999</v>
      </c>
      <c r="AH7317">
        <v>118.347322210169</v>
      </c>
      <c r="AI7317">
        <v>90.497657976824499</v>
      </c>
      <c r="AJ7317">
        <v>93.910847502894498</v>
      </c>
      <c r="AK7317">
        <v>118.628025686096</v>
      </c>
      <c r="AL7317">
        <v>87.218238132947505</v>
      </c>
      <c r="AM7317">
        <v>90.856495793886793</v>
      </c>
      <c r="AN7317">
        <v>0.99999996122669799</v>
      </c>
    </row>
    <row r="7318" spans="1:40" x14ac:dyDescent="0.25">
      <c r="A7318" t="str">
        <f>"20190312150835849"</f>
        <v>20190312150835849</v>
      </c>
      <c r="B7318" t="str">
        <f>"1552374515847581"</f>
        <v>1552374515847581</v>
      </c>
      <c r="C7318" t="s">
        <v>40</v>
      </c>
      <c r="D7318">
        <v>4.1469180000000003</v>
      </c>
      <c r="E7318">
        <v>0.48087010000000002</v>
      </c>
      <c r="F7318" t="s">
        <v>42</v>
      </c>
      <c r="G7318">
        <v>-462.55500000000001</v>
      </c>
      <c r="H7318">
        <v>7.998661E-2</v>
      </c>
      <c r="I7318">
        <v>129.352</v>
      </c>
      <c r="J7318">
        <v>-342.41140000000001</v>
      </c>
      <c r="K7318">
        <v>1.110349</v>
      </c>
      <c r="L7318">
        <v>140.71719999999999</v>
      </c>
      <c r="M7318">
        <v>-0.99957490000000004</v>
      </c>
      <c r="N7318">
        <v>0</v>
      </c>
      <c r="O7318">
        <v>-2.6583860000000001E-2</v>
      </c>
      <c r="P7318">
        <v>-0.99848499999999996</v>
      </c>
      <c r="Q7318">
        <v>3.6466819999999997E-2</v>
      </c>
      <c r="R7318">
        <v>-4.1206769999999997E-2</v>
      </c>
      <c r="S7318">
        <v>-2.9937740000000002</v>
      </c>
      <c r="T7318">
        <v>-2.5626900000000001E-2</v>
      </c>
      <c r="U7318">
        <v>-0.28282170000000001</v>
      </c>
      <c r="V7318">
        <v>-1.4644839999999999E-2</v>
      </c>
      <c r="W7318">
        <v>4.8429439999999997E-2</v>
      </c>
      <c r="X7318">
        <v>0.99871920000000003</v>
      </c>
      <c r="Y7318">
        <v>-6.7548529999999996E-2</v>
      </c>
      <c r="Z7318" s="1">
        <v>-6.1487339999999999E-5</v>
      </c>
      <c r="AA7318">
        <v>0.99771600000000005</v>
      </c>
      <c r="AB7318">
        <v>22</v>
      </c>
      <c r="AC7318">
        <v>-120.14360000000001</v>
      </c>
      <c r="AD7318">
        <v>-1.0303623900000001</v>
      </c>
      <c r="AE7318">
        <v>-11.3651999999999</v>
      </c>
      <c r="AF7318">
        <v>-8.1664779633487505</v>
      </c>
      <c r="AG7318">
        <v>-1.0303623900000001</v>
      </c>
      <c r="AH7318">
        <v>120.39450971084401</v>
      </c>
      <c r="AI7318">
        <v>90.489213667166794</v>
      </c>
      <c r="AJ7318">
        <v>93.880484915994799</v>
      </c>
      <c r="AK7318">
        <v>120.675560812847</v>
      </c>
      <c r="AL7318">
        <v>87.224111554455305</v>
      </c>
      <c r="AM7318">
        <v>90.840103395131294</v>
      </c>
      <c r="AN7318">
        <v>0.99999996122298895</v>
      </c>
    </row>
    <row r="7319" spans="1:40" x14ac:dyDescent="0.25">
      <c r="A7319" t="str">
        <f>"20190312150835872"</f>
        <v>20190312150835872</v>
      </c>
      <c r="B7319" t="str">
        <f>"1552374515867104"</f>
        <v>1552374515867104</v>
      </c>
      <c r="C7319" t="s">
        <v>40</v>
      </c>
      <c r="D7319">
        <v>4.1946450000000004</v>
      </c>
      <c r="E7319">
        <v>0.48101430000000001</v>
      </c>
      <c r="F7319" t="s">
        <v>42</v>
      </c>
      <c r="G7319">
        <v>-460.75540000000001</v>
      </c>
      <c r="H7319">
        <v>2.8220200000000001E-2</v>
      </c>
      <c r="I7319">
        <v>129.6163</v>
      </c>
      <c r="J7319">
        <v>-342.63729999999998</v>
      </c>
      <c r="K7319">
        <v>1.1103499999999999</v>
      </c>
      <c r="L7319">
        <v>140.71119999999999</v>
      </c>
      <c r="M7319">
        <v>-0.99957530000000006</v>
      </c>
      <c r="N7319">
        <v>0</v>
      </c>
      <c r="O7319">
        <v>-2.6583240000000001E-2</v>
      </c>
      <c r="P7319">
        <v>-0.99851639999999997</v>
      </c>
      <c r="Q7319">
        <v>3.6422139999999999E-2</v>
      </c>
      <c r="R7319">
        <v>-4.0480229999999999E-2</v>
      </c>
      <c r="S7319">
        <v>-2.9939580000000001</v>
      </c>
      <c r="T7319">
        <v>-2.737653E-2</v>
      </c>
      <c r="U7319">
        <v>-0.28083799999999998</v>
      </c>
      <c r="V7319">
        <v>-1.3918639999999999E-2</v>
      </c>
      <c r="W7319">
        <v>4.8358949999999998E-2</v>
      </c>
      <c r="X7319">
        <v>0.99873299999999998</v>
      </c>
      <c r="Y7319">
        <v>-6.6888030000000001E-2</v>
      </c>
      <c r="Z7319" s="1">
        <v>-6.2675319999999906E-5</v>
      </c>
      <c r="AA7319">
        <v>0.99776050000000005</v>
      </c>
      <c r="AB7319">
        <v>22</v>
      </c>
      <c r="AC7319">
        <v>-118.1181</v>
      </c>
      <c r="AD7319">
        <v>-1.0821297999999999</v>
      </c>
      <c r="AE7319">
        <v>-11.0948999999999</v>
      </c>
      <c r="AF7319">
        <v>-7.95013148024315</v>
      </c>
      <c r="AG7319">
        <v>-1.0821297999999999</v>
      </c>
      <c r="AH7319">
        <v>118.36146351537199</v>
      </c>
      <c r="AI7319">
        <v>90.522639397979503</v>
      </c>
      <c r="AJ7319">
        <v>93.842684895908405</v>
      </c>
      <c r="AK7319">
        <v>118.63309673509301</v>
      </c>
      <c r="AL7319">
        <v>87.228155071047695</v>
      </c>
      <c r="AM7319">
        <v>90.798439328293199</v>
      </c>
      <c r="AN7319">
        <v>0.99999996093677501</v>
      </c>
    </row>
    <row r="7320" spans="1:40" x14ac:dyDescent="0.25">
      <c r="A7320" t="str">
        <f>"20190312150835896"</f>
        <v>20190312150835896</v>
      </c>
      <c r="B7320" t="str">
        <f>"1552374515887597"</f>
        <v>1552374515887597</v>
      </c>
      <c r="C7320" t="s">
        <v>40</v>
      </c>
      <c r="D7320">
        <v>4.1793469999999999</v>
      </c>
      <c r="E7320">
        <v>0.51567390000000002</v>
      </c>
      <c r="F7320" t="s">
        <v>42</v>
      </c>
      <c r="G7320">
        <v>-460.3965</v>
      </c>
      <c r="H7320" s="1">
        <v>-5.4196879999999996E-6</v>
      </c>
      <c r="I7320">
        <v>129.80009999999999</v>
      </c>
      <c r="J7320">
        <v>-342.86950000000002</v>
      </c>
      <c r="K7320">
        <v>1.1103459999999901</v>
      </c>
      <c r="L7320">
        <v>140.70500000000001</v>
      </c>
      <c r="M7320">
        <v>-0.99957560000000001</v>
      </c>
      <c r="N7320">
        <v>0</v>
      </c>
      <c r="O7320">
        <v>-2.6582390000000001E-2</v>
      </c>
      <c r="P7320">
        <v>-0.99851299999999998</v>
      </c>
      <c r="Q7320">
        <v>3.6831959999999997E-2</v>
      </c>
      <c r="R7320">
        <v>-4.0193069999999997E-2</v>
      </c>
      <c r="S7320">
        <v>-2.9942319999999998</v>
      </c>
      <c r="T7320">
        <v>-2.8232690000000001E-2</v>
      </c>
      <c r="U7320">
        <v>-0.2774353</v>
      </c>
      <c r="V7320">
        <v>-1.3632170000000001E-2</v>
      </c>
      <c r="W7320">
        <v>4.8745690000000001E-2</v>
      </c>
      <c r="X7320">
        <v>0.9987182</v>
      </c>
      <c r="Y7320">
        <v>-6.5756149999999999E-2</v>
      </c>
      <c r="Z7320" s="1">
        <v>-5.9315119999999999E-5</v>
      </c>
      <c r="AA7320">
        <v>0.99783569999999999</v>
      </c>
      <c r="AB7320">
        <v>22</v>
      </c>
      <c r="AC7320">
        <v>-117.527</v>
      </c>
      <c r="AD7320">
        <v>-1.11035141968799</v>
      </c>
      <c r="AE7320">
        <v>-10.9049</v>
      </c>
      <c r="AF7320">
        <v>-7.7759874183960402</v>
      </c>
      <c r="AG7320">
        <v>-1.11035141968799</v>
      </c>
      <c r="AH7320">
        <v>117.76494028107</v>
      </c>
      <c r="AI7320">
        <v>90.539025818434695</v>
      </c>
      <c r="AJ7320">
        <v>93.777741098102695</v>
      </c>
      <c r="AK7320">
        <v>118.026607254509</v>
      </c>
      <c r="AL7320">
        <v>87.205970475597496</v>
      </c>
      <c r="AM7320">
        <v>90.782019697202898</v>
      </c>
      <c r="AN7320">
        <v>1.0000000106818601</v>
      </c>
    </row>
    <row r="7321" spans="1:40" x14ac:dyDescent="0.25">
      <c r="A7321" t="str">
        <f>"20190312150835917"</f>
        <v>20190312150835917</v>
      </c>
      <c r="B7321" t="str">
        <f>"1552374515907116"</f>
        <v>1552374515907116</v>
      </c>
      <c r="C7321" t="s">
        <v>40</v>
      </c>
      <c r="D7321">
        <v>4.23543</v>
      </c>
      <c r="E7321">
        <v>0.519764</v>
      </c>
      <c r="F7321" t="s">
        <v>43</v>
      </c>
      <c r="G7321">
        <v>-547.49549999999999</v>
      </c>
      <c r="H7321">
        <v>-0.05</v>
      </c>
      <c r="I7321">
        <v>140.70609999999999</v>
      </c>
      <c r="J7321">
        <v>-343.0847</v>
      </c>
      <c r="K7321">
        <v>1.1103459999999901</v>
      </c>
      <c r="L7321">
        <v>140.69929999999999</v>
      </c>
      <c r="M7321">
        <v>-0.99957580000000001</v>
      </c>
      <c r="N7321">
        <v>0</v>
      </c>
      <c r="O7321">
        <v>-2.6581569999999999E-2</v>
      </c>
      <c r="P7321">
        <v>-0.99849739999999998</v>
      </c>
      <c r="Q7321">
        <v>3.7218689999999999E-2</v>
      </c>
      <c r="R7321">
        <v>-4.0221270000000003E-2</v>
      </c>
      <c r="S7321">
        <v>-3.005096</v>
      </c>
      <c r="T7321">
        <v>-1.7040610000000001E-2</v>
      </c>
      <c r="U7321" s="1">
        <v>1.525879E-5</v>
      </c>
      <c r="V7321">
        <v>-1.366144E-2</v>
      </c>
      <c r="W7321">
        <v>4.9114310000000001E-2</v>
      </c>
      <c r="X7321">
        <v>0.99869969999999997</v>
      </c>
      <c r="Y7321">
        <v>2.6587679999999999E-2</v>
      </c>
      <c r="Z7321">
        <v>2.2611190000000001E-4</v>
      </c>
      <c r="AA7321">
        <v>0.99964649999999999</v>
      </c>
      <c r="AB7321">
        <v>22</v>
      </c>
      <c r="AC7321">
        <v>-204.41079999999999</v>
      </c>
      <c r="AD7321">
        <v>-1.1603460000000001</v>
      </c>
      <c r="AE7321">
        <v>6.7999999999983603E-3</v>
      </c>
      <c r="AF7321">
        <v>5.4405671199908703</v>
      </c>
      <c r="AG7321">
        <v>-1.1603460000000001</v>
      </c>
      <c r="AH7321">
        <v>204.33179575573499</v>
      </c>
      <c r="AI7321">
        <v>90.325248747491102</v>
      </c>
      <c r="AJ7321">
        <v>88.474794883663705</v>
      </c>
      <c r="AK7321">
        <v>204.40750702992901</v>
      </c>
      <c r="AL7321">
        <v>87.184824664386198</v>
      </c>
      <c r="AM7321">
        <v>90.783713099086498</v>
      </c>
      <c r="AN7321">
        <v>0.999999970584869</v>
      </c>
    </row>
    <row r="7322" spans="1:40" x14ac:dyDescent="0.25">
      <c r="A7322" t="str">
        <f>"20190312150835939"</f>
        <v>20190312150835939</v>
      </c>
      <c r="B7322" t="str">
        <f>"1552374515927612"</f>
        <v>1552374515927612</v>
      </c>
      <c r="C7322" t="s">
        <v>40</v>
      </c>
      <c r="D7322">
        <v>4.2927850000000003</v>
      </c>
      <c r="E7322">
        <v>0.51951069999999999</v>
      </c>
      <c r="F7322" t="s">
        <v>77</v>
      </c>
      <c r="G7322">
        <v>-417.8433</v>
      </c>
      <c r="H7322" s="1">
        <v>-1.064082E-5</v>
      </c>
      <c r="I7322">
        <v>141.48519999999999</v>
      </c>
      <c r="J7322">
        <v>-343.30439999999999</v>
      </c>
      <c r="K7322">
        <v>1.110344</v>
      </c>
      <c r="L7322">
        <v>140.6935</v>
      </c>
      <c r="M7322">
        <v>-0.99957589999999996</v>
      </c>
      <c r="N7322">
        <v>0</v>
      </c>
      <c r="O7322">
        <v>-2.6581130000000001E-2</v>
      </c>
      <c r="P7322">
        <v>-0.99850369999999999</v>
      </c>
      <c r="Q7322">
        <v>3.7485730000000002E-2</v>
      </c>
      <c r="R7322">
        <v>-3.9810520000000002E-2</v>
      </c>
      <c r="S7322">
        <v>-3.0074459999999998</v>
      </c>
      <c r="T7322">
        <v>-4.4668319999999997E-2</v>
      </c>
      <c r="U7322">
        <v>3.1616209999999999E-2</v>
      </c>
      <c r="V7322">
        <v>-1.3251260000000001E-2</v>
      </c>
      <c r="W7322">
        <v>4.9365300000000001E-2</v>
      </c>
      <c r="X7322">
        <v>0.99869289999999999</v>
      </c>
      <c r="Y7322">
        <v>3.7082869999999997E-2</v>
      </c>
      <c r="Z7322">
        <v>6.7013749999999996E-4</v>
      </c>
      <c r="AA7322">
        <v>0.99931199999999998</v>
      </c>
      <c r="AB7322">
        <v>22</v>
      </c>
      <c r="AC7322">
        <v>-74.538899999999998</v>
      </c>
      <c r="AD7322">
        <v>-1.11035464082</v>
      </c>
      <c r="AE7322">
        <v>0.79169999999999097</v>
      </c>
      <c r="AF7322">
        <v>2.7722734710928201</v>
      </c>
      <c r="AG7322">
        <v>-1.11035464082</v>
      </c>
      <c r="AH7322">
        <v>74.474988737447106</v>
      </c>
      <c r="AI7322">
        <v>90.853573821652901</v>
      </c>
      <c r="AJ7322">
        <v>87.868193494027395</v>
      </c>
      <c r="AK7322">
        <v>74.534839740015499</v>
      </c>
      <c r="AL7322">
        <v>87.170426667111897</v>
      </c>
      <c r="AM7322">
        <v>90.760190364476401</v>
      </c>
      <c r="AN7322">
        <v>1.00000001862304</v>
      </c>
    </row>
    <row r="7323" spans="1:40" x14ac:dyDescent="0.25">
      <c r="A7323" t="str">
        <f>"20190312150835961"</f>
        <v>20190312150835961</v>
      </c>
      <c r="B7323" t="str">
        <f>"1552374515956892"</f>
        <v>1552374515956892</v>
      </c>
      <c r="C7323" t="s">
        <v>40</v>
      </c>
      <c r="D7323">
        <v>4.2197440000000004</v>
      </c>
      <c r="E7323">
        <v>0.52041910000000002</v>
      </c>
      <c r="F7323" t="s">
        <v>77</v>
      </c>
      <c r="G7323">
        <v>-423.10649999999998</v>
      </c>
      <c r="H7323" s="1">
        <v>-1.098015E-5</v>
      </c>
      <c r="I7323">
        <v>141.51060000000001</v>
      </c>
      <c r="J7323">
        <v>-343.52420000000001</v>
      </c>
      <c r="K7323">
        <v>1.110344</v>
      </c>
      <c r="L7323">
        <v>140.68770000000001</v>
      </c>
      <c r="M7323">
        <v>-0.99957609999999997</v>
      </c>
      <c r="N7323">
        <v>0</v>
      </c>
      <c r="O7323">
        <v>-2.6581299999999999E-2</v>
      </c>
      <c r="P7323">
        <v>-0.9985269</v>
      </c>
      <c r="Q7323">
        <v>3.7590350000000002E-2</v>
      </c>
      <c r="R7323">
        <v>-3.9128250000000003E-2</v>
      </c>
      <c r="S7323">
        <v>-3.0072939999999999</v>
      </c>
      <c r="T7323">
        <v>-4.1843060000000001E-2</v>
      </c>
      <c r="U7323">
        <v>3.0792239999999999E-2</v>
      </c>
      <c r="V7323">
        <v>-1.2568299999999999E-2</v>
      </c>
      <c r="W7323">
        <v>4.945865E-2</v>
      </c>
      <c r="X7323">
        <v>0.9986971</v>
      </c>
      <c r="Y7323">
        <v>3.6810679999999998E-2</v>
      </c>
      <c r="Z7323">
        <v>6.2589709999999997E-4</v>
      </c>
      <c r="AA7323">
        <v>0.99932209999999999</v>
      </c>
      <c r="AB7323">
        <v>22</v>
      </c>
      <c r="AC7323">
        <v>-79.582299999999904</v>
      </c>
      <c r="AD7323">
        <v>-1.1103549801499999</v>
      </c>
      <c r="AE7323">
        <v>0.82290000000000396</v>
      </c>
      <c r="AF7323">
        <v>2.9375876036314699</v>
      </c>
      <c r="AG7323">
        <v>-1.1103549801499999</v>
      </c>
      <c r="AH7323">
        <v>79.516823126609907</v>
      </c>
      <c r="AI7323">
        <v>90.799468051876701</v>
      </c>
      <c r="AJ7323">
        <v>87.884285888678306</v>
      </c>
      <c r="AK7323">
        <v>79.5788129420106</v>
      </c>
      <c r="AL7323">
        <v>87.165071537215297</v>
      </c>
      <c r="AM7323">
        <v>90.721011939985701</v>
      </c>
      <c r="AN7323">
        <v>1.0000000088865599</v>
      </c>
    </row>
    <row r="7324" spans="1:40" x14ac:dyDescent="0.25">
      <c r="A7324" t="str">
        <f>"20190312150835976"</f>
        <v>20190312150835976</v>
      </c>
      <c r="B7324" t="str">
        <f>"1552374515967629"</f>
        <v>1552374515967629</v>
      </c>
      <c r="C7324" t="s">
        <v>40</v>
      </c>
      <c r="D7324">
        <v>4.2466200000000001</v>
      </c>
      <c r="E7324">
        <v>0.52055229999999997</v>
      </c>
      <c r="F7324" t="s">
        <v>77</v>
      </c>
      <c r="G7324">
        <v>-430.63409999999999</v>
      </c>
      <c r="H7324" s="1">
        <v>-1.179341E-5</v>
      </c>
      <c r="I7324">
        <v>141.84649999999999</v>
      </c>
      <c r="J7324">
        <v>-343.67200000000003</v>
      </c>
      <c r="K7324">
        <v>1.1103479999999999</v>
      </c>
      <c r="L7324">
        <v>140.68369999999999</v>
      </c>
      <c r="M7324">
        <v>-0.99957620000000003</v>
      </c>
      <c r="N7324">
        <v>0</v>
      </c>
      <c r="O7324">
        <v>-2.6581299999999999E-2</v>
      </c>
      <c r="P7324">
        <v>-0.99852969999999996</v>
      </c>
      <c r="Q7324">
        <v>3.753708E-2</v>
      </c>
      <c r="R7324">
        <v>-3.9114049999999997E-2</v>
      </c>
      <c r="S7324">
        <v>-3.0074160000000001</v>
      </c>
      <c r="T7324">
        <v>-3.833437E-2</v>
      </c>
      <c r="U7324">
        <v>4.0008540000000002E-2</v>
      </c>
      <c r="V7324">
        <v>-1.2554050000000001E-2</v>
      </c>
      <c r="W7324">
        <v>4.9404360000000001E-2</v>
      </c>
      <c r="X7324">
        <v>0.99870000000000003</v>
      </c>
      <c r="Y7324">
        <v>3.987284E-2</v>
      </c>
      <c r="Z7324">
        <v>5.929021E-4</v>
      </c>
      <c r="AA7324">
        <v>0.9992046</v>
      </c>
      <c r="AB7324">
        <v>22</v>
      </c>
      <c r="AC7324">
        <v>-86.962100000000007</v>
      </c>
      <c r="AD7324">
        <v>-1.11035979340999</v>
      </c>
      <c r="AE7324">
        <v>1.1628000000000001</v>
      </c>
      <c r="AF7324">
        <v>3.4735513642160099</v>
      </c>
      <c r="AG7324">
        <v>-1.11035979340999</v>
      </c>
      <c r="AH7324">
        <v>86.886294581988395</v>
      </c>
      <c r="AI7324">
        <v>90.731584847702095</v>
      </c>
      <c r="AJ7324">
        <v>87.710641157540095</v>
      </c>
      <c r="AK7324">
        <v>86.962788847522205</v>
      </c>
      <c r="AL7324">
        <v>87.168186027561902</v>
      </c>
      <c r="AM7324">
        <v>90.720192448213993</v>
      </c>
      <c r="AN7324">
        <v>1.0000000424791999</v>
      </c>
    </row>
    <row r="7325" spans="1:40" x14ac:dyDescent="0.25">
      <c r="A7325" t="str">
        <f>"20190312150835989"</f>
        <v>20190312150835989</v>
      </c>
      <c r="B7325" t="str">
        <f>"1552374515977388"</f>
        <v>1552374515977388</v>
      </c>
      <c r="C7325" t="s">
        <v>40</v>
      </c>
      <c r="D7325">
        <v>4.2628180000000002</v>
      </c>
      <c r="E7325">
        <v>0.52074039999999999</v>
      </c>
      <c r="F7325" t="s">
        <v>77</v>
      </c>
      <c r="G7325">
        <v>-431.31020000000001</v>
      </c>
      <c r="H7325" s="1">
        <v>-1.15224499999999E-5</v>
      </c>
      <c r="I7325">
        <v>141.88339999999999</v>
      </c>
      <c r="J7325">
        <v>-343.80070000000001</v>
      </c>
      <c r="K7325">
        <v>1.1103499999999999</v>
      </c>
      <c r="L7325">
        <v>140.68029999999999</v>
      </c>
      <c r="M7325">
        <v>-0.99957620000000003</v>
      </c>
      <c r="N7325">
        <v>0</v>
      </c>
      <c r="O7325">
        <v>-2.658131E-2</v>
      </c>
      <c r="P7325">
        <v>-0.9985366</v>
      </c>
      <c r="Q7325">
        <v>3.779474E-2</v>
      </c>
      <c r="R7325">
        <v>-3.8680800000000001E-2</v>
      </c>
      <c r="S7325">
        <v>-3.0074770000000002</v>
      </c>
      <c r="T7325">
        <v>-3.8104180000000001E-2</v>
      </c>
      <c r="U7325">
        <v>4.1168209999999997E-2</v>
      </c>
      <c r="V7325">
        <v>-1.212149E-2</v>
      </c>
      <c r="W7325">
        <v>4.9663909999999999E-2</v>
      </c>
      <c r="X7325">
        <v>0.99869249999999998</v>
      </c>
      <c r="Y7325">
        <v>4.0257830000000001E-2</v>
      </c>
      <c r="Z7325">
        <v>5.9176779999999896E-4</v>
      </c>
      <c r="AA7325">
        <v>0.99918910000000005</v>
      </c>
      <c r="AB7325">
        <v>22</v>
      </c>
      <c r="AC7325">
        <v>-87.509500000000003</v>
      </c>
      <c r="AD7325">
        <v>-1.1103615224500001</v>
      </c>
      <c r="AE7325">
        <v>1.2031000000000001</v>
      </c>
      <c r="AF7325">
        <v>3.52838786349063</v>
      </c>
      <c r="AG7325">
        <v>-1.1103615224500001</v>
      </c>
      <c r="AH7325">
        <v>87.432518600147603</v>
      </c>
      <c r="AI7325">
        <v>90.727004981885599</v>
      </c>
      <c r="AJ7325">
        <v>87.689050956015805</v>
      </c>
      <c r="AK7325">
        <v>87.510729241567404</v>
      </c>
      <c r="AL7325">
        <v>87.153296714975099</v>
      </c>
      <c r="AM7325">
        <v>90.695385333708401</v>
      </c>
      <c r="AN7325">
        <v>1.0000000720162701</v>
      </c>
    </row>
    <row r="7326" spans="1:40" x14ac:dyDescent="0.25">
      <c r="A7326" t="str">
        <f>"20190312150836006"</f>
        <v>20190312150836006</v>
      </c>
      <c r="B7326" t="str">
        <f>"1552374515996908"</f>
        <v>1552374515996908</v>
      </c>
      <c r="C7326" t="s">
        <v>40</v>
      </c>
      <c r="D7326">
        <v>4.2535189999999998</v>
      </c>
      <c r="E7326">
        <v>0.52092609999999995</v>
      </c>
      <c r="F7326" t="s">
        <v>77</v>
      </c>
      <c r="G7326">
        <v>-434.8603</v>
      </c>
      <c r="H7326" s="1">
        <v>-1.0230200000000001E-5</v>
      </c>
      <c r="I7326">
        <v>142.00899999999999</v>
      </c>
      <c r="J7326">
        <v>-343.97570000000002</v>
      </c>
      <c r="K7326">
        <v>1.110347</v>
      </c>
      <c r="L7326">
        <v>140.67570000000001</v>
      </c>
      <c r="M7326">
        <v>-0.99957589999999996</v>
      </c>
      <c r="N7326">
        <v>0</v>
      </c>
      <c r="O7326">
        <v>-2.6581480000000001E-2</v>
      </c>
      <c r="P7326">
        <v>-0.99856369999999905</v>
      </c>
      <c r="Q7326">
        <v>3.7779310000000003E-2</v>
      </c>
      <c r="R7326">
        <v>-3.7990200000000002E-2</v>
      </c>
      <c r="S7326">
        <v>-3.0074459999999998</v>
      </c>
      <c r="T7326">
        <v>-3.6672120000000002E-2</v>
      </c>
      <c r="U7326">
        <v>4.3884279999999998E-2</v>
      </c>
      <c r="V7326">
        <v>-1.1430030000000001E-2</v>
      </c>
      <c r="W7326">
        <v>4.9657239999999998E-2</v>
      </c>
      <c r="X7326">
        <v>0.9987009</v>
      </c>
      <c r="Y7326">
        <v>4.1160660000000002E-2</v>
      </c>
      <c r="Z7326">
        <v>5.7503839999999997E-4</v>
      </c>
      <c r="AA7326">
        <v>0.99915240000000005</v>
      </c>
      <c r="AB7326">
        <v>22</v>
      </c>
      <c r="AC7326">
        <v>-90.884599999999907</v>
      </c>
      <c r="AD7326">
        <v>-1.1103572302</v>
      </c>
      <c r="AE7326">
        <v>1.3332999999999799</v>
      </c>
      <c r="AF7326">
        <v>3.74828751115726</v>
      </c>
      <c r="AG7326">
        <v>-1.1103572302</v>
      </c>
      <c r="AH7326">
        <v>90.8034873353688</v>
      </c>
      <c r="AI7326">
        <v>90.699989498604097</v>
      </c>
      <c r="AJ7326">
        <v>87.636222970532103</v>
      </c>
      <c r="AK7326">
        <v>90.887600170262203</v>
      </c>
      <c r="AL7326">
        <v>87.153679108768401</v>
      </c>
      <c r="AM7326">
        <v>90.655715727408193</v>
      </c>
      <c r="AN7326">
        <v>0.99999998736551399</v>
      </c>
    </row>
    <row r="7327" spans="1:40" x14ac:dyDescent="0.25">
      <c r="A7327" t="str">
        <f>"20190312150836021"</f>
        <v>20190312150836021</v>
      </c>
      <c r="B7327" t="str">
        <f>"1552374516017405"</f>
        <v>1552374516017405</v>
      </c>
      <c r="C7327" t="s">
        <v>40</v>
      </c>
      <c r="D7327">
        <v>4.2039489999999997</v>
      </c>
      <c r="E7327">
        <v>0.52097720000000003</v>
      </c>
      <c r="F7327" t="s">
        <v>77</v>
      </c>
      <c r="G7327">
        <v>-424.20339999999999</v>
      </c>
      <c r="H7327" s="1">
        <v>-1.1302599999999999E-5</v>
      </c>
      <c r="I7327">
        <v>141.9391</v>
      </c>
      <c r="J7327">
        <v>-344.1216</v>
      </c>
      <c r="K7327">
        <v>1.1103499999999999</v>
      </c>
      <c r="L7327">
        <v>140.67179999999999</v>
      </c>
      <c r="M7327">
        <v>-0.99957580000000001</v>
      </c>
      <c r="N7327">
        <v>0</v>
      </c>
      <c r="O7327">
        <v>-2.658143E-2</v>
      </c>
      <c r="P7327">
        <v>-0.99859290000000001</v>
      </c>
      <c r="Q7327">
        <v>3.7545269999999999E-2</v>
      </c>
      <c r="R7327">
        <v>-3.74566E-2</v>
      </c>
      <c r="S7327">
        <v>-3.0076900000000002</v>
      </c>
      <c r="T7327">
        <v>-4.1626690000000001E-2</v>
      </c>
      <c r="U7327">
        <v>4.7363280000000001E-2</v>
      </c>
      <c r="V7327">
        <v>-1.089535E-2</v>
      </c>
      <c r="W7327">
        <v>4.9435310000000003E-2</v>
      </c>
      <c r="X7327">
        <v>0.99871790000000005</v>
      </c>
      <c r="Y7327">
        <v>4.2313299999999998E-2</v>
      </c>
      <c r="Z7327">
        <v>6.606394E-4</v>
      </c>
      <c r="AA7327">
        <v>0.9991042</v>
      </c>
      <c r="AB7327">
        <v>22</v>
      </c>
      <c r="AC7327">
        <v>-80.081799999999902</v>
      </c>
      <c r="AD7327">
        <v>-1.1103613026000001</v>
      </c>
      <c r="AE7327">
        <v>1.2673000000000001</v>
      </c>
      <c r="AF7327">
        <v>3.3950391518765</v>
      </c>
      <c r="AG7327">
        <v>-1.1103613026000001</v>
      </c>
      <c r="AH7327">
        <v>80.004433351846203</v>
      </c>
      <c r="AI7327">
        <v>90.794427704170204</v>
      </c>
      <c r="AJ7327">
        <v>87.570074945907706</v>
      </c>
      <c r="AK7327">
        <v>80.084134190331895</v>
      </c>
      <c r="AL7327">
        <v>87.166410436602504</v>
      </c>
      <c r="AM7327">
        <v>90.625034164334807</v>
      </c>
      <c r="AN7327">
        <v>1.00000000115341</v>
      </c>
    </row>
    <row r="7328" spans="1:40" x14ac:dyDescent="0.25">
      <c r="A7328" t="str">
        <f>"20190312150836033"</f>
        <v>20190312150836033</v>
      </c>
      <c r="B7328" t="str">
        <f>"1552374516027164"</f>
        <v>1552374516027164</v>
      </c>
      <c r="C7328" t="s">
        <v>40</v>
      </c>
      <c r="D7328">
        <v>4.2446149999999996</v>
      </c>
      <c r="E7328">
        <v>0.52108089999999996</v>
      </c>
      <c r="F7328" t="s">
        <v>77</v>
      </c>
      <c r="G7328">
        <v>-417.82729999999998</v>
      </c>
      <c r="H7328" s="1">
        <v>-1.0781079999999999E-5</v>
      </c>
      <c r="I7328">
        <v>141.88069999999999</v>
      </c>
      <c r="J7328">
        <v>-344.24470000000002</v>
      </c>
      <c r="K7328">
        <v>1.1103529999999999</v>
      </c>
      <c r="L7328">
        <v>140.66849999999999</v>
      </c>
      <c r="M7328">
        <v>-0.99957569999999996</v>
      </c>
      <c r="N7328">
        <v>0</v>
      </c>
      <c r="O7328">
        <v>-2.6581500000000001E-2</v>
      </c>
      <c r="P7328">
        <v>-0.99861129999999998</v>
      </c>
      <c r="Q7328">
        <v>3.7454960000000002E-2</v>
      </c>
      <c r="R7328">
        <v>-3.705075E-2</v>
      </c>
      <c r="S7328">
        <v>-3.0078130000000001</v>
      </c>
      <c r="T7328">
        <v>-4.531205E-2</v>
      </c>
      <c r="U7328">
        <v>4.9331670000000001E-2</v>
      </c>
      <c r="V7328">
        <v>-1.048965E-2</v>
      </c>
      <c r="W7328">
        <v>4.9357690000000003E-2</v>
      </c>
      <c r="X7328">
        <v>0.99872609999999995</v>
      </c>
      <c r="Y7328">
        <v>4.2965110000000001E-2</v>
      </c>
      <c r="Z7328">
        <v>7.2399979999999997E-4</v>
      </c>
      <c r="AA7328">
        <v>0.99907630000000003</v>
      </c>
      <c r="AB7328">
        <v>22</v>
      </c>
      <c r="AC7328">
        <v>-73.5825999999999</v>
      </c>
      <c r="AD7328">
        <v>-1.11036378108</v>
      </c>
      <c r="AE7328">
        <v>1.21219999999999</v>
      </c>
      <c r="AF7328">
        <v>3.1671252356758401</v>
      </c>
      <c r="AG7328">
        <v>-1.11036378108</v>
      </c>
      <c r="AH7328">
        <v>73.5076376687324</v>
      </c>
      <c r="AI7328">
        <v>90.864609003372607</v>
      </c>
      <c r="AJ7328">
        <v>87.532899272020202</v>
      </c>
      <c r="AK7328">
        <v>73.5842128830799</v>
      </c>
      <c r="AL7328">
        <v>87.170863220003895</v>
      </c>
      <c r="AM7328">
        <v>90.601757153505602</v>
      </c>
      <c r="AN7328">
        <v>1.00000001857023</v>
      </c>
    </row>
    <row r="7329" spans="1:40" x14ac:dyDescent="0.25">
      <c r="A7329" t="str">
        <f>"20190312150836046"</f>
        <v>20190312150836046</v>
      </c>
      <c r="B7329" t="str">
        <f>"1552374516036925"</f>
        <v>1552374516036925</v>
      </c>
      <c r="C7329" t="s">
        <v>40</v>
      </c>
      <c r="D7329">
        <v>4.2164979999999996</v>
      </c>
      <c r="E7329">
        <v>0.52120690000000003</v>
      </c>
      <c r="F7329" t="s">
        <v>77</v>
      </c>
      <c r="G7329">
        <v>-415.38920000000002</v>
      </c>
      <c r="H7329" s="1">
        <v>-1.099531E-5</v>
      </c>
      <c r="I7329">
        <v>141.8809</v>
      </c>
      <c r="J7329">
        <v>-344.37369999999999</v>
      </c>
      <c r="K7329">
        <v>1.110357</v>
      </c>
      <c r="L7329">
        <v>140.6651</v>
      </c>
      <c r="M7329">
        <v>-0.99957560000000001</v>
      </c>
      <c r="N7329">
        <v>0</v>
      </c>
      <c r="O7329">
        <v>-2.6581589999999999E-2</v>
      </c>
      <c r="P7329">
        <v>-0.99864410000000003</v>
      </c>
      <c r="Q7329">
        <v>3.7233889999999999E-2</v>
      </c>
      <c r="R7329">
        <v>-3.6380269999999999E-2</v>
      </c>
      <c r="S7329">
        <v>-3.0078740000000002</v>
      </c>
      <c r="T7329">
        <v>-4.6944380000000001E-2</v>
      </c>
      <c r="U7329">
        <v>5.1254269999999998E-2</v>
      </c>
      <c r="V7329">
        <v>-9.818261E-3</v>
      </c>
      <c r="W7329">
        <v>4.9150510000000001E-2</v>
      </c>
      <c r="X7329">
        <v>0.99874309999999999</v>
      </c>
      <c r="Y7329">
        <v>4.360261E-2</v>
      </c>
      <c r="Z7329">
        <v>7.550352E-4</v>
      </c>
      <c r="AA7329">
        <v>0.99904870000000001</v>
      </c>
      <c r="AB7329">
        <v>22</v>
      </c>
      <c r="AC7329">
        <v>-71.015500000000003</v>
      </c>
      <c r="AD7329">
        <v>-1.1103679953100001</v>
      </c>
      <c r="AE7329">
        <v>1.2158</v>
      </c>
      <c r="AF7329">
        <v>3.1024510777925101</v>
      </c>
      <c r="AG7329">
        <v>-1.1103679953100001</v>
      </c>
      <c r="AH7329">
        <v>70.940744827696406</v>
      </c>
      <c r="AI7329">
        <v>90.895866952399004</v>
      </c>
      <c r="AJ7329">
        <v>87.495879716702206</v>
      </c>
      <c r="AK7329">
        <v>71.017233095097694</v>
      </c>
      <c r="AL7329">
        <v>87.182748062531104</v>
      </c>
      <c r="AM7329">
        <v>90.563234726595795</v>
      </c>
      <c r="AN7329">
        <v>0.99999997533996599</v>
      </c>
    </row>
    <row r="7330" spans="1:40" x14ac:dyDescent="0.25">
      <c r="A7330" t="str">
        <f>"20190312150836061"</f>
        <v>20190312150836061</v>
      </c>
      <c r="B7330" t="str">
        <f>"1552374516057420"</f>
        <v>1552374516057420</v>
      </c>
      <c r="C7330" t="s">
        <v>40</v>
      </c>
      <c r="D7330">
        <v>4.2604119999999996</v>
      </c>
      <c r="E7330">
        <v>0.52143589999999995</v>
      </c>
      <c r="F7330" t="s">
        <v>77</v>
      </c>
      <c r="G7330">
        <v>-413.08049999999997</v>
      </c>
      <c r="H7330" s="1">
        <v>-1.1205710000000001E-5</v>
      </c>
      <c r="I7330">
        <v>141.9025</v>
      </c>
      <c r="J7330">
        <v>-344.52319999999997</v>
      </c>
      <c r="K7330">
        <v>1.1103639999999999</v>
      </c>
      <c r="L7330">
        <v>140.66120000000001</v>
      </c>
      <c r="M7330">
        <v>-0.9995754</v>
      </c>
      <c r="N7330">
        <v>0</v>
      </c>
      <c r="O7330">
        <v>-2.658145E-2</v>
      </c>
      <c r="P7330">
        <v>-0.99867249999999996</v>
      </c>
      <c r="Q7330">
        <v>3.7450810000000001E-2</v>
      </c>
      <c r="R7330">
        <v>-3.5364769999999997E-2</v>
      </c>
      <c r="S7330">
        <v>-3.0078429999999998</v>
      </c>
      <c r="T7330">
        <v>-4.8609609999999998E-2</v>
      </c>
      <c r="U7330">
        <v>5.41687E-2</v>
      </c>
      <c r="V7330">
        <v>-8.8028140000000008E-3</v>
      </c>
      <c r="W7330">
        <v>4.93853E-2</v>
      </c>
      <c r="X7330">
        <v>0.99874099999999999</v>
      </c>
      <c r="Y7330">
        <v>4.4569610000000003E-2</v>
      </c>
      <c r="Z7330">
        <v>7.8962809999999896E-4</v>
      </c>
      <c r="AA7330">
        <v>0.99900599999999995</v>
      </c>
      <c r="AB7330">
        <v>22</v>
      </c>
      <c r="AC7330">
        <v>-68.557299999999998</v>
      </c>
      <c r="AD7330">
        <v>-1.11037520570999</v>
      </c>
      <c r="AE7330">
        <v>1.2412999999999901</v>
      </c>
      <c r="AF7330">
        <v>3.0625404711228401</v>
      </c>
      <c r="AG7330">
        <v>-1.11037520570999</v>
      </c>
      <c r="AH7330">
        <v>68.482115608831705</v>
      </c>
      <c r="AI7330">
        <v>90.927990224665606</v>
      </c>
      <c r="AJ7330">
        <v>87.439421850172906</v>
      </c>
      <c r="AK7330">
        <v>68.559552547373897</v>
      </c>
      <c r="AL7330">
        <v>87.169279274569405</v>
      </c>
      <c r="AM7330">
        <v>90.504986808527505</v>
      </c>
      <c r="AN7330">
        <v>0.99999999123570404</v>
      </c>
    </row>
    <row r="7331" spans="1:40" x14ac:dyDescent="0.25">
      <c r="A7331" t="str">
        <f>"20190312150836084"</f>
        <v>20190312150836084</v>
      </c>
      <c r="B7331" t="str">
        <f>"1552374516076941"</f>
        <v>1552374516076941</v>
      </c>
      <c r="C7331" t="s">
        <v>40</v>
      </c>
      <c r="D7331">
        <v>4.2909259999999998</v>
      </c>
      <c r="E7331">
        <v>0.52154639999999997</v>
      </c>
      <c r="F7331" t="s">
        <v>77</v>
      </c>
      <c r="G7331">
        <v>-420.25970000000001</v>
      </c>
      <c r="H7331" s="1">
        <v>-1.0743150000000001E-5</v>
      </c>
      <c r="I7331">
        <v>142.15309999999999</v>
      </c>
      <c r="J7331">
        <v>-344.75110000000001</v>
      </c>
      <c r="K7331">
        <v>1.110368</v>
      </c>
      <c r="L7331">
        <v>140.6551</v>
      </c>
      <c r="M7331">
        <v>-0.99957499999999999</v>
      </c>
      <c r="N7331">
        <v>0</v>
      </c>
      <c r="O7331">
        <v>-2.6581489999999999E-2</v>
      </c>
      <c r="P7331">
        <v>-0.99871949999999998</v>
      </c>
      <c r="Q7331">
        <v>3.7218620000000001E-2</v>
      </c>
      <c r="R7331">
        <v>-3.42685E-2</v>
      </c>
      <c r="S7331">
        <v>-3.0077509999999998</v>
      </c>
      <c r="T7331">
        <v>-4.4096709999999997E-2</v>
      </c>
      <c r="U7331">
        <v>5.9249879999999998E-2</v>
      </c>
      <c r="V7331">
        <v>-7.7051630000000001E-3</v>
      </c>
      <c r="W7331">
        <v>4.9180519999999998E-2</v>
      </c>
      <c r="X7331">
        <v>0.99876019999999999</v>
      </c>
      <c r="Y7331">
        <v>4.6258689999999998E-2</v>
      </c>
      <c r="Z7331">
        <v>7.287207E-4</v>
      </c>
      <c r="AA7331">
        <v>0.99892919999999996</v>
      </c>
      <c r="AB7331">
        <v>22</v>
      </c>
      <c r="AC7331">
        <v>-75.508600000000001</v>
      </c>
      <c r="AD7331">
        <v>-1.1103787431500001</v>
      </c>
      <c r="AE7331">
        <v>1.49799999999999</v>
      </c>
      <c r="AF7331">
        <v>3.50398804360796</v>
      </c>
      <c r="AG7331">
        <v>-1.1103787431500001</v>
      </c>
      <c r="AH7331">
        <v>75.425789111926804</v>
      </c>
      <c r="AI7331">
        <v>90.842508847657001</v>
      </c>
      <c r="AJ7331">
        <v>87.340173857142005</v>
      </c>
      <c r="AK7331">
        <v>75.515300014764193</v>
      </c>
      <c r="AL7331">
        <v>87.181026646362696</v>
      </c>
      <c r="AM7331">
        <v>90.442012569463998</v>
      </c>
      <c r="AN7331">
        <v>1.0000000150941799</v>
      </c>
    </row>
    <row r="7332" spans="1:40" x14ac:dyDescent="0.25">
      <c r="A7332" t="str">
        <f>"20190312150836108"</f>
        <v>20190312150836108</v>
      </c>
      <c r="B7332" t="str">
        <f>"1552374516097436"</f>
        <v>1552374516097436</v>
      </c>
      <c r="C7332" t="s">
        <v>40</v>
      </c>
      <c r="D7332">
        <v>4.1906040000000004</v>
      </c>
      <c r="E7332">
        <v>0.52184379999999997</v>
      </c>
      <c r="F7332" t="s">
        <v>77</v>
      </c>
      <c r="G7332">
        <v>-421.74829999999997</v>
      </c>
      <c r="H7332" s="1">
        <v>-1.1051960000000001E-5</v>
      </c>
      <c r="I7332">
        <v>142.28049999999999</v>
      </c>
      <c r="J7332">
        <v>-344.97949999999997</v>
      </c>
      <c r="K7332">
        <v>1.110366</v>
      </c>
      <c r="L7332">
        <v>140.6491</v>
      </c>
      <c r="M7332">
        <v>-0.99957470000000004</v>
      </c>
      <c r="N7332">
        <v>0</v>
      </c>
      <c r="O7332">
        <v>-2.6581400000000002E-2</v>
      </c>
      <c r="P7332">
        <v>-0.99876120000000002</v>
      </c>
      <c r="Q7332">
        <v>3.714874E-2</v>
      </c>
      <c r="R7332">
        <v>-3.3107699999999997E-2</v>
      </c>
      <c r="S7332">
        <v>-3.0076290000000001</v>
      </c>
      <c r="T7332">
        <v>-4.3373109999999999E-2</v>
      </c>
      <c r="U7332">
        <v>6.3491820000000004E-2</v>
      </c>
      <c r="V7332">
        <v>-6.5436069999999999E-3</v>
      </c>
      <c r="W7332">
        <v>4.9135739999999997E-2</v>
      </c>
      <c r="X7332">
        <v>0.99877070000000001</v>
      </c>
      <c r="Y7332">
        <v>4.7667760000000003E-2</v>
      </c>
      <c r="Z7332">
        <v>7.2694199999999995E-4</v>
      </c>
      <c r="AA7332">
        <v>0.99886299999999995</v>
      </c>
      <c r="AB7332">
        <v>22</v>
      </c>
      <c r="AC7332">
        <v>-76.768799999999999</v>
      </c>
      <c r="AD7332">
        <v>-1.11037705196</v>
      </c>
      <c r="AE7332">
        <v>1.63139999999998</v>
      </c>
      <c r="AF7332">
        <v>3.6708248243693999</v>
      </c>
      <c r="AG7332">
        <v>-1.11037705196</v>
      </c>
      <c r="AH7332">
        <v>76.682266941957707</v>
      </c>
      <c r="AI7332">
        <v>90.828649440140197</v>
      </c>
      <c r="AJ7332">
        <v>87.259309868583003</v>
      </c>
      <c r="AK7332">
        <v>76.7781085690862</v>
      </c>
      <c r="AL7332">
        <v>87.183595486214202</v>
      </c>
      <c r="AM7332">
        <v>90.375377150758595</v>
      </c>
      <c r="AN7332">
        <v>1.0000000254582</v>
      </c>
    </row>
    <row r="7333" spans="1:40" x14ac:dyDescent="0.25">
      <c r="A7333" t="str">
        <f>"20190312150836129"</f>
        <v>20190312150836129</v>
      </c>
      <c r="B7333" t="str">
        <f>"1552374516116957"</f>
        <v>1552374516116957</v>
      </c>
      <c r="C7333" t="s">
        <v>40</v>
      </c>
      <c r="D7333">
        <v>4.6291000000000002</v>
      </c>
      <c r="E7333">
        <v>0.52206459999999999</v>
      </c>
      <c r="F7333" t="s">
        <v>77</v>
      </c>
      <c r="G7333">
        <v>-427.07690000000002</v>
      </c>
      <c r="H7333" s="1">
        <v>-1.194851E-5</v>
      </c>
      <c r="I7333">
        <v>142.54509999999999</v>
      </c>
      <c r="J7333">
        <v>-345.1968</v>
      </c>
      <c r="K7333">
        <v>1.1103639999999999</v>
      </c>
      <c r="L7333">
        <v>140.64330000000001</v>
      </c>
      <c r="M7333">
        <v>-0.99957439999999997</v>
      </c>
      <c r="N7333">
        <v>0</v>
      </c>
      <c r="O7333">
        <v>-2.658141E-2</v>
      </c>
      <c r="P7333">
        <v>-0.99878889999999998</v>
      </c>
      <c r="Q7333">
        <v>3.7301880000000003E-2</v>
      </c>
      <c r="R7333">
        <v>-3.2084929999999998E-2</v>
      </c>
      <c r="S7333">
        <v>-3.0075379999999998</v>
      </c>
      <c r="T7333">
        <v>-4.0677310000000001E-2</v>
      </c>
      <c r="U7333">
        <v>6.9458010000000001E-2</v>
      </c>
      <c r="V7333">
        <v>-5.5205690000000003E-3</v>
      </c>
      <c r="W7333">
        <v>4.9311479999999998E-2</v>
      </c>
      <c r="X7333">
        <v>0.99876819999999999</v>
      </c>
      <c r="Y7333">
        <v>4.9649600000000002E-2</v>
      </c>
      <c r="Z7333">
        <v>6.9517250000000004E-4</v>
      </c>
      <c r="AA7333">
        <v>0.9987665</v>
      </c>
      <c r="AB7333">
        <v>22</v>
      </c>
      <c r="AC7333">
        <v>-81.880099999999999</v>
      </c>
      <c r="AD7333">
        <v>-1.11037594851</v>
      </c>
      <c r="AE7333">
        <v>1.90179999999998</v>
      </c>
      <c r="AF7333">
        <v>4.0770242622956196</v>
      </c>
      <c r="AG7333">
        <v>-1.11037594851</v>
      </c>
      <c r="AH7333">
        <v>81.785575149899898</v>
      </c>
      <c r="AI7333">
        <v>90.7768736669167</v>
      </c>
      <c r="AJ7333">
        <v>87.146158449485199</v>
      </c>
      <c r="AK7333">
        <v>81.894660168916403</v>
      </c>
      <c r="AL7333">
        <v>87.173514056066907</v>
      </c>
      <c r="AM7333">
        <v>90.316692184459498</v>
      </c>
      <c r="AN7333">
        <v>1.0000000080365501</v>
      </c>
    </row>
    <row r="7334" spans="1:40" x14ac:dyDescent="0.25">
      <c r="A7334" t="str">
        <f>"20190312150836151"</f>
        <v>20190312150836151</v>
      </c>
      <c r="B7334" t="str">
        <f>"1552374516147213"</f>
        <v>1552374516147213</v>
      </c>
      <c r="C7334" t="s">
        <v>40</v>
      </c>
      <c r="D7334">
        <v>4.1784540000000003</v>
      </c>
      <c r="E7334">
        <v>0.52244849999999998</v>
      </c>
      <c r="F7334" t="s">
        <v>77</v>
      </c>
      <c r="G7334">
        <v>-433.59070000000003</v>
      </c>
      <c r="H7334" s="1">
        <v>-1.099729E-5</v>
      </c>
      <c r="I7334">
        <v>142.83179999999999</v>
      </c>
      <c r="J7334">
        <v>-345.41590000000002</v>
      </c>
      <c r="K7334">
        <v>1.1103639999999999</v>
      </c>
      <c r="L7334">
        <v>140.63749999999999</v>
      </c>
      <c r="M7334">
        <v>-0.99957419999999997</v>
      </c>
      <c r="N7334">
        <v>0</v>
      </c>
      <c r="O7334">
        <v>-2.6581529999999999E-2</v>
      </c>
      <c r="P7334">
        <v>-0.99879320000000005</v>
      </c>
      <c r="Q7334">
        <v>3.7544019999999997E-2</v>
      </c>
      <c r="R7334">
        <v>-3.1664360000000003E-2</v>
      </c>
      <c r="S7334">
        <v>-3.0075069999999999</v>
      </c>
      <c r="T7334">
        <v>-3.777933E-2</v>
      </c>
      <c r="U7334">
        <v>7.4462890000000004E-2</v>
      </c>
      <c r="V7334">
        <v>-5.0994980000000001E-3</v>
      </c>
      <c r="W7334">
        <v>4.9573430000000002E-2</v>
      </c>
      <c r="X7334">
        <v>0.99875749999999996</v>
      </c>
      <c r="Y7334">
        <v>5.1311849999999999E-2</v>
      </c>
      <c r="Z7334">
        <v>6.5608569999999996E-4</v>
      </c>
      <c r="AA7334">
        <v>0.99868239999999997</v>
      </c>
      <c r="AB7334">
        <v>22</v>
      </c>
      <c r="AC7334">
        <v>-88.174800000000005</v>
      </c>
      <c r="AD7334">
        <v>-1.1103749972900001</v>
      </c>
      <c r="AE7334">
        <v>2.1942999999999899</v>
      </c>
      <c r="AF7334">
        <v>4.5367963762903702</v>
      </c>
      <c r="AG7334">
        <v>-1.1103749972900001</v>
      </c>
      <c r="AH7334">
        <v>88.071348956241195</v>
      </c>
      <c r="AI7334">
        <v>90.721371963433796</v>
      </c>
      <c r="AJ7334">
        <v>87.051143968680293</v>
      </c>
      <c r="AK7334">
        <v>88.195113022018006</v>
      </c>
      <c r="AL7334">
        <v>87.158487130145801</v>
      </c>
      <c r="AM7334">
        <v>90.292540655834998</v>
      </c>
      <c r="AN7334">
        <v>1.00000003682403</v>
      </c>
    </row>
    <row r="7335" spans="1:40" x14ac:dyDescent="0.25">
      <c r="A7335" t="str">
        <f>"20190312150836167"</f>
        <v>20190312150836167</v>
      </c>
      <c r="B7335" t="str">
        <f>"1552374516156972"</f>
        <v>1552374516156972</v>
      </c>
      <c r="C7335" t="s">
        <v>40</v>
      </c>
      <c r="D7335">
        <v>4.169295</v>
      </c>
      <c r="E7335">
        <v>0.52254860000000003</v>
      </c>
      <c r="F7335" t="s">
        <v>42</v>
      </c>
      <c r="G7335">
        <v>-448.28539999999998</v>
      </c>
      <c r="H7335" s="1">
        <v>-6.9382289999999999E-7</v>
      </c>
      <c r="I7335">
        <v>143.33420000000001</v>
      </c>
      <c r="J7335">
        <v>-345.57389999999998</v>
      </c>
      <c r="K7335">
        <v>1.1103689999999999</v>
      </c>
      <c r="L7335">
        <v>140.63319999999999</v>
      </c>
      <c r="M7335">
        <v>-0.99957410000000002</v>
      </c>
      <c r="N7335">
        <v>0</v>
      </c>
      <c r="O7335">
        <v>-2.6581489999999999E-2</v>
      </c>
      <c r="P7335">
        <v>-0.99879180000000001</v>
      </c>
      <c r="Q7335">
        <v>3.7774250000000002E-2</v>
      </c>
      <c r="R7335">
        <v>-3.1437720000000002E-2</v>
      </c>
      <c r="S7335">
        <v>-3.0073240000000001</v>
      </c>
      <c r="T7335">
        <v>-3.246081E-2</v>
      </c>
      <c r="U7335">
        <v>7.8842159999999994E-2</v>
      </c>
      <c r="V7335">
        <v>-4.873222E-3</v>
      </c>
      <c r="W7335">
        <v>4.9817260000000002E-2</v>
      </c>
      <c r="X7335">
        <v>0.99874649999999998</v>
      </c>
      <c r="Y7335">
        <v>5.2768120000000002E-2</v>
      </c>
      <c r="Z7335">
        <v>5.7161150000000003E-4</v>
      </c>
      <c r="AA7335">
        <v>0.99860660000000001</v>
      </c>
      <c r="AB7335">
        <v>22</v>
      </c>
      <c r="AC7335">
        <v>-102.7115</v>
      </c>
      <c r="AD7335">
        <v>-1.1103696938229</v>
      </c>
      <c r="AE7335">
        <v>2.7010000000000201</v>
      </c>
      <c r="AF7335">
        <v>5.4298340567800603</v>
      </c>
      <c r="AG7335">
        <v>-1.1103696938229</v>
      </c>
      <c r="AH7335">
        <v>102.591418381628</v>
      </c>
      <c r="AI7335">
        <v>90.619234088391494</v>
      </c>
      <c r="AJ7335">
        <v>86.970345357596997</v>
      </c>
      <c r="AK7335">
        <v>102.741010041246</v>
      </c>
      <c r="AL7335">
        <v>87.144499425386996</v>
      </c>
      <c r="AM7335">
        <v>90.279563269975597</v>
      </c>
      <c r="AN7335">
        <v>1.0000000394744</v>
      </c>
    </row>
    <row r="7336" spans="1:40" x14ac:dyDescent="0.25">
      <c r="A7336" t="str">
        <f>"20190312150836179"</f>
        <v>20190312150836179</v>
      </c>
      <c r="B7336" t="str">
        <f>"1552374516167709"</f>
        <v>1552374516167709</v>
      </c>
      <c r="C7336" t="s">
        <v>40</v>
      </c>
      <c r="D7336">
        <v>4.1837790000000004</v>
      </c>
      <c r="E7336">
        <v>0.52260629999999997</v>
      </c>
      <c r="F7336" t="s">
        <v>42</v>
      </c>
      <c r="G7336">
        <v>-454.1472</v>
      </c>
      <c r="H7336" s="1">
        <v>-2.5218090000000002E-6</v>
      </c>
      <c r="I7336">
        <v>143.5324</v>
      </c>
      <c r="J7336">
        <v>-345.69779999999997</v>
      </c>
      <c r="K7336">
        <v>1.1103700000000001</v>
      </c>
      <c r="L7336">
        <v>140.62989999999999</v>
      </c>
      <c r="M7336">
        <v>-0.99957399999999996</v>
      </c>
      <c r="N7336">
        <v>0</v>
      </c>
      <c r="O7336">
        <v>-2.6581540000000001E-2</v>
      </c>
      <c r="P7336">
        <v>-0.9988148</v>
      </c>
      <c r="Q7336">
        <v>3.7384319999999999E-2</v>
      </c>
      <c r="R7336">
        <v>-3.117116E-2</v>
      </c>
      <c r="S7336">
        <v>-3.007355</v>
      </c>
      <c r="T7336">
        <v>-3.0755999999999999E-2</v>
      </c>
      <c r="U7336">
        <v>8.0307009999999998E-2</v>
      </c>
      <c r="V7336">
        <v>-4.6066149999999997E-3</v>
      </c>
      <c r="W7336">
        <v>4.9437210000000002E-2</v>
      </c>
      <c r="X7336">
        <v>0.99876659999999995</v>
      </c>
      <c r="Y7336">
        <v>5.3254429999999998E-2</v>
      </c>
      <c r="Z7336">
        <v>5.4407079999999996E-4</v>
      </c>
      <c r="AA7336">
        <v>0.99858080000000005</v>
      </c>
      <c r="AB7336">
        <v>22</v>
      </c>
      <c r="AC7336">
        <v>-108.4494</v>
      </c>
      <c r="AD7336">
        <v>-1.1103725218089999</v>
      </c>
      <c r="AE7336">
        <v>2.9024999999999999</v>
      </c>
      <c r="AF7336">
        <v>5.7838297993614596</v>
      </c>
      <c r="AG7336">
        <v>-1.1103725218089999</v>
      </c>
      <c r="AH7336">
        <v>108.322567882214</v>
      </c>
      <c r="AI7336">
        <v>90.5864608481061</v>
      </c>
      <c r="AJ7336">
        <v>86.943622608482002</v>
      </c>
      <c r="AK7336">
        <v>108.482553099022</v>
      </c>
      <c r="AL7336">
        <v>87.166301409591895</v>
      </c>
      <c r="AM7336">
        <v>90.264263668548097</v>
      </c>
      <c r="AN7336">
        <v>0.99999998995495099</v>
      </c>
    </row>
    <row r="7337" spans="1:40" x14ac:dyDescent="0.25">
      <c r="A7337" t="str">
        <f>"20190312150836196"</f>
        <v>20190312150836196</v>
      </c>
      <c r="B7337" t="str">
        <f>"1552374516187229"</f>
        <v>1552374516187229</v>
      </c>
      <c r="C7337" t="s">
        <v>40</v>
      </c>
      <c r="D7337">
        <v>4.4680849999999896</v>
      </c>
      <c r="E7337">
        <v>0.52279819999999999</v>
      </c>
      <c r="F7337" t="s">
        <v>42</v>
      </c>
      <c r="G7337">
        <v>-452.69400000000002</v>
      </c>
      <c r="H7337" s="1">
        <v>-3.040541E-6</v>
      </c>
      <c r="I7337">
        <v>143.53210000000001</v>
      </c>
      <c r="J7337">
        <v>-345.86739999999998</v>
      </c>
      <c r="K7337">
        <v>1.1103769999999999</v>
      </c>
      <c r="L7337">
        <v>140.62540000000001</v>
      </c>
      <c r="M7337">
        <v>-0.99957379999999996</v>
      </c>
      <c r="N7337">
        <v>0</v>
      </c>
      <c r="O7337">
        <v>-2.6581380000000002E-2</v>
      </c>
      <c r="P7337">
        <v>-0.99881489999999995</v>
      </c>
      <c r="Q7337">
        <v>3.7382930000000002E-2</v>
      </c>
      <c r="R7337">
        <v>-3.1166940000000001E-2</v>
      </c>
      <c r="S7337">
        <v>-3.0072939999999999</v>
      </c>
      <c r="T7337">
        <v>-3.120875E-2</v>
      </c>
      <c r="U7337">
        <v>8.1573489999999999E-2</v>
      </c>
      <c r="V7337">
        <v>-4.6023260000000003E-3</v>
      </c>
      <c r="W7337">
        <v>4.944817E-2</v>
      </c>
      <c r="X7337">
        <v>0.99876609999999999</v>
      </c>
      <c r="Y7337">
        <v>5.3674890000000003E-2</v>
      </c>
      <c r="Z7337">
        <v>5.5426749999999995E-4</v>
      </c>
      <c r="AA7337">
        <v>0.99855830000000001</v>
      </c>
      <c r="AB7337">
        <v>22</v>
      </c>
      <c r="AC7337">
        <v>-106.8266</v>
      </c>
      <c r="AD7337">
        <v>-1.110380040541</v>
      </c>
      <c r="AE7337">
        <v>2.9066999999999998</v>
      </c>
      <c r="AF7337">
        <v>5.7448578236715804</v>
      </c>
      <c r="AG7337">
        <v>-1.110380040541</v>
      </c>
      <c r="AH7337">
        <v>106.70005854091799</v>
      </c>
      <c r="AI7337">
        <v>90.595367903687105</v>
      </c>
      <c r="AJ7337">
        <v>86.918102922045705</v>
      </c>
      <c r="AK7337">
        <v>106.86037070815399</v>
      </c>
      <c r="AL7337">
        <v>87.165672743443096</v>
      </c>
      <c r="AM7337">
        <v>90.264017760877095</v>
      </c>
      <c r="AN7337">
        <v>1.0000000127150801</v>
      </c>
    </row>
    <row r="7338" spans="1:40" x14ac:dyDescent="0.25">
      <c r="A7338" t="str">
        <f>"20190312150836211"</f>
        <v>20190312150836211</v>
      </c>
      <c r="B7338" t="str">
        <f>"1552374516207725"</f>
        <v>1552374516207725</v>
      </c>
      <c r="C7338" t="s">
        <v>40</v>
      </c>
      <c r="D7338">
        <v>4.2573379999999998</v>
      </c>
      <c r="E7338">
        <v>0.52319769999999999</v>
      </c>
      <c r="F7338" t="s">
        <v>42</v>
      </c>
      <c r="G7338">
        <v>-453.39100000000002</v>
      </c>
      <c r="H7338" s="1">
        <v>-2.814589E-6</v>
      </c>
      <c r="I7338">
        <v>143.59530000000001</v>
      </c>
      <c r="J7338">
        <v>-346.01100000000002</v>
      </c>
      <c r="K7338">
        <v>1.110376</v>
      </c>
      <c r="L7338">
        <v>140.6216</v>
      </c>
      <c r="M7338">
        <v>-0.99957370000000001</v>
      </c>
      <c r="N7338">
        <v>0</v>
      </c>
      <c r="O7338">
        <v>-2.6579869999999998E-2</v>
      </c>
      <c r="P7338">
        <v>-0.99879980000000002</v>
      </c>
      <c r="Q7338">
        <v>3.7692669999999998E-2</v>
      </c>
      <c r="R7338">
        <v>-3.1275320000000002E-2</v>
      </c>
      <c r="S7338">
        <v>-3.007355</v>
      </c>
      <c r="T7338">
        <v>-3.1056520000000001E-2</v>
      </c>
      <c r="U7338">
        <v>8.306885E-2</v>
      </c>
      <c r="V7338">
        <v>-4.7122650000000002E-3</v>
      </c>
      <c r="W7338">
        <v>4.9767260000000001E-2</v>
      </c>
      <c r="X7338">
        <v>0.99874969999999996</v>
      </c>
      <c r="Y7338">
        <v>5.416899E-2</v>
      </c>
      <c r="Z7338">
        <v>5.5408479999999999E-4</v>
      </c>
      <c r="AA7338">
        <v>0.99853159999999996</v>
      </c>
      <c r="AB7338">
        <v>22</v>
      </c>
      <c r="AC7338">
        <v>-107.38</v>
      </c>
      <c r="AD7338">
        <v>-1.1103788145889999</v>
      </c>
      <c r="AE7338">
        <v>2.9737</v>
      </c>
      <c r="AF7338">
        <v>5.8263813998368601</v>
      </c>
      <c r="AG7338">
        <v>-1.1103788145889999</v>
      </c>
      <c r="AH7338">
        <v>107.251550498824</v>
      </c>
      <c r="AI7338">
        <v>90.592290627627307</v>
      </c>
      <c r="AJ7338">
        <v>86.890494804306698</v>
      </c>
      <c r="AK7338">
        <v>107.415430668643</v>
      </c>
      <c r="AL7338">
        <v>87.1473675864559</v>
      </c>
      <c r="AM7338">
        <v>90.270328885235301</v>
      </c>
      <c r="AN7338">
        <v>0.999999974429713</v>
      </c>
    </row>
    <row r="7339" spans="1:40" x14ac:dyDescent="0.25">
      <c r="A7339" t="str">
        <f>"20190312150836223"</f>
        <v>20190312150836223</v>
      </c>
      <c r="B7339" t="str">
        <f>"1552374516217485"</f>
        <v>1552374516217485</v>
      </c>
      <c r="C7339" t="s">
        <v>40</v>
      </c>
      <c r="D7339">
        <v>4.271871</v>
      </c>
      <c r="E7339">
        <v>0.52339849999999999</v>
      </c>
      <c r="F7339" t="s">
        <v>42</v>
      </c>
      <c r="G7339">
        <v>-451.81650000000002</v>
      </c>
      <c r="H7339" s="1">
        <v>-3.3594509999999999E-6</v>
      </c>
      <c r="I7339">
        <v>143.6465</v>
      </c>
      <c r="J7339">
        <v>-346.13600000000002</v>
      </c>
      <c r="K7339">
        <v>1.110376</v>
      </c>
      <c r="L7339">
        <v>140.6183</v>
      </c>
      <c r="M7339">
        <v>-0.99957359999999995</v>
      </c>
      <c r="N7339">
        <v>0</v>
      </c>
      <c r="O7339">
        <v>-2.6577400000000001E-2</v>
      </c>
      <c r="P7339">
        <v>-0.99879289999999998</v>
      </c>
      <c r="Q7339">
        <v>3.7813369999999999E-2</v>
      </c>
      <c r="R7339">
        <v>-3.1349340000000003E-2</v>
      </c>
      <c r="S7339">
        <v>-3.0074770000000002</v>
      </c>
      <c r="T7339">
        <v>-3.1562090000000001E-2</v>
      </c>
      <c r="U7339">
        <v>8.5983279999999995E-2</v>
      </c>
      <c r="V7339">
        <v>-4.7889100000000004E-3</v>
      </c>
      <c r="W7339">
        <v>4.9895370000000001E-2</v>
      </c>
      <c r="X7339">
        <v>0.99874300000000005</v>
      </c>
      <c r="Y7339">
        <v>5.5132050000000002E-2</v>
      </c>
      <c r="Z7339">
        <v>5.6810089999999997E-4</v>
      </c>
      <c r="AA7339">
        <v>0.99847889999999995</v>
      </c>
      <c r="AB7339">
        <v>22</v>
      </c>
      <c r="AC7339">
        <v>-105.68049999999999</v>
      </c>
      <c r="AD7339">
        <v>-1.1103793594509901</v>
      </c>
      <c r="AE7339">
        <v>3.0281999999999898</v>
      </c>
      <c r="AF7339">
        <v>5.8354048256217004</v>
      </c>
      <c r="AG7339">
        <v>-1.1103793594509901</v>
      </c>
      <c r="AH7339">
        <v>105.551033388156</v>
      </c>
      <c r="AI7339">
        <v>90.601800944363205</v>
      </c>
      <c r="AJ7339">
        <v>86.835615476436104</v>
      </c>
      <c r="AK7339">
        <v>105.71804737654</v>
      </c>
      <c r="AL7339">
        <v>87.140018454974097</v>
      </c>
      <c r="AM7339">
        <v>90.2747275612127</v>
      </c>
      <c r="AN7339">
        <v>1.0000000308277099</v>
      </c>
    </row>
    <row r="7340" spans="1:40" x14ac:dyDescent="0.25">
      <c r="A7340" t="str">
        <f>"20190312150836240"</f>
        <v>20190312150836240</v>
      </c>
      <c r="B7340" t="str">
        <f>"1552374516237005"</f>
        <v>1552374516237005</v>
      </c>
      <c r="C7340" t="s">
        <v>40</v>
      </c>
      <c r="D7340">
        <v>4.2420650000000002</v>
      </c>
      <c r="E7340">
        <v>0.52369279999999996</v>
      </c>
      <c r="F7340" t="s">
        <v>42</v>
      </c>
      <c r="G7340">
        <v>-452.6524</v>
      </c>
      <c r="H7340" s="1">
        <v>-3.086146E-6</v>
      </c>
      <c r="I7340">
        <v>143.70939999999999</v>
      </c>
      <c r="J7340">
        <v>-346.30610000000001</v>
      </c>
      <c r="K7340">
        <v>1.1103749999999999</v>
      </c>
      <c r="L7340">
        <v>140.6138</v>
      </c>
      <c r="M7340">
        <v>-0.99957370000000001</v>
      </c>
      <c r="N7340">
        <v>0</v>
      </c>
      <c r="O7340">
        <v>-2.6570730000000001E-2</v>
      </c>
      <c r="P7340">
        <v>-0.99877839999999996</v>
      </c>
      <c r="Q7340">
        <v>3.8128460000000003E-2</v>
      </c>
      <c r="R7340">
        <v>-3.1433030000000001E-2</v>
      </c>
      <c r="S7340">
        <v>-3.0075379999999998</v>
      </c>
      <c r="T7340">
        <v>-3.1352039999999998E-2</v>
      </c>
      <c r="U7340">
        <v>8.7280269999999993E-2</v>
      </c>
      <c r="V7340">
        <v>-4.8793150000000004E-3</v>
      </c>
      <c r="W7340">
        <v>5.0219689999999997E-2</v>
      </c>
      <c r="X7340">
        <v>0.99872620000000001</v>
      </c>
      <c r="Y7340">
        <v>5.5555090000000001E-2</v>
      </c>
      <c r="Z7340">
        <v>5.6644089999999996E-4</v>
      </c>
      <c r="AA7340">
        <v>0.99845550000000005</v>
      </c>
      <c r="AB7340">
        <v>22</v>
      </c>
      <c r="AC7340">
        <v>-106.3463</v>
      </c>
      <c r="AD7340">
        <v>-1.110378086146</v>
      </c>
      <c r="AE7340">
        <v>3.0955999999999899</v>
      </c>
      <c r="AF7340">
        <v>5.91976778965455</v>
      </c>
      <c r="AG7340">
        <v>-1.110378086146</v>
      </c>
      <c r="AH7340">
        <v>106.214919555658</v>
      </c>
      <c r="AI7340">
        <v>90.598024184788102</v>
      </c>
      <c r="AJ7340">
        <v>86.809985143615805</v>
      </c>
      <c r="AK7340">
        <v>106.38555224461901</v>
      </c>
      <c r="AL7340">
        <v>87.121412654792096</v>
      </c>
      <c r="AM7340">
        <v>90.2799184923648</v>
      </c>
      <c r="AN7340">
        <v>0.99999992377249902</v>
      </c>
    </row>
    <row r="7341" spans="1:40" x14ac:dyDescent="0.25">
      <c r="A7341" t="str">
        <f>"20190312150836264"</f>
        <v>20190312150836264</v>
      </c>
      <c r="B7341" t="str">
        <f>"1552374516257512"</f>
        <v>1552374516257512</v>
      </c>
      <c r="C7341" t="s">
        <v>40</v>
      </c>
      <c r="D7341">
        <v>4.2492799999999997</v>
      </c>
      <c r="E7341">
        <v>0.5240167</v>
      </c>
      <c r="F7341" t="s">
        <v>42</v>
      </c>
      <c r="G7341">
        <v>-448.40460000000002</v>
      </c>
      <c r="H7341" s="1">
        <v>-7.2532749999999998E-7</v>
      </c>
      <c r="I7341">
        <v>143.6448</v>
      </c>
      <c r="J7341">
        <v>-346.53269999999998</v>
      </c>
      <c r="K7341">
        <v>1.1103719999999999</v>
      </c>
      <c r="L7341">
        <v>140.6078</v>
      </c>
      <c r="M7341">
        <v>-0.99957410000000002</v>
      </c>
      <c r="N7341">
        <v>0</v>
      </c>
      <c r="O7341">
        <v>-2.6553899999999998E-2</v>
      </c>
      <c r="P7341">
        <v>-0.99875800000000003</v>
      </c>
      <c r="Q7341">
        <v>3.8409199999999998E-2</v>
      </c>
      <c r="R7341">
        <v>-3.1739879999999998E-2</v>
      </c>
      <c r="S7341">
        <v>-3.0077509999999998</v>
      </c>
      <c r="T7341">
        <v>-3.2710910000000003E-2</v>
      </c>
      <c r="U7341">
        <v>8.9294429999999994E-2</v>
      </c>
      <c r="V7341">
        <v>-5.2025980000000001E-3</v>
      </c>
      <c r="W7341">
        <v>5.0511149999999998E-2</v>
      </c>
      <c r="X7341">
        <v>0.99870990000000004</v>
      </c>
      <c r="Y7341">
        <v>5.6203820000000002E-2</v>
      </c>
      <c r="Z7341">
        <v>5.9428689999999995E-4</v>
      </c>
      <c r="AA7341">
        <v>0.99841919999999995</v>
      </c>
      <c r="AB7341">
        <v>22</v>
      </c>
      <c r="AC7341">
        <v>-101.8719</v>
      </c>
      <c r="AD7341">
        <v>-1.1103727253275</v>
      </c>
      <c r="AE7341">
        <v>3.0369999999999999</v>
      </c>
      <c r="AF7341">
        <v>5.7405419828309698</v>
      </c>
      <c r="AG7341">
        <v>-1.1103727253275</v>
      </c>
      <c r="AH7341">
        <v>101.743246164761</v>
      </c>
      <c r="AI7341">
        <v>90.624278628412497</v>
      </c>
      <c r="AJ7341">
        <v>86.770690081195298</v>
      </c>
      <c r="AK7341">
        <v>101.91111269135</v>
      </c>
      <c r="AL7341">
        <v>87.104692091758494</v>
      </c>
      <c r="AM7341">
        <v>90.298469266753301</v>
      </c>
      <c r="AN7341">
        <v>0.99999995382913998</v>
      </c>
    </row>
    <row r="7342" spans="1:40" x14ac:dyDescent="0.25">
      <c r="A7342" t="str">
        <f>"20190312150836278"</f>
        <v>20190312150836278</v>
      </c>
      <c r="B7342" t="str">
        <f>"1552374516267261"</f>
        <v>1552374516267261</v>
      </c>
      <c r="C7342" t="s">
        <v>40</v>
      </c>
      <c r="D7342">
        <v>4.2682570000000002</v>
      </c>
      <c r="E7342">
        <v>0.52416240000000003</v>
      </c>
      <c r="F7342" t="s">
        <v>42</v>
      </c>
      <c r="G7342">
        <v>-448.61259999999999</v>
      </c>
      <c r="H7342" s="1">
        <v>-6.4851769999999995E-7</v>
      </c>
      <c r="I7342">
        <v>143.69149999999999</v>
      </c>
      <c r="J7342">
        <v>-346.68130000000002</v>
      </c>
      <c r="K7342">
        <v>1.110365</v>
      </c>
      <c r="L7342">
        <v>140.60380000000001</v>
      </c>
      <c r="M7342">
        <v>-0.99957459999999998</v>
      </c>
      <c r="N7342">
        <v>0</v>
      </c>
      <c r="O7342">
        <v>-2.6534889999999998E-2</v>
      </c>
      <c r="P7342">
        <v>-0.99875060000000004</v>
      </c>
      <c r="Q7342">
        <v>3.8504330000000003E-2</v>
      </c>
      <c r="R7342">
        <v>-3.1861670000000002E-2</v>
      </c>
      <c r="S7342">
        <v>-3.0078130000000001</v>
      </c>
      <c r="T7342">
        <v>-3.2717469999999998E-2</v>
      </c>
      <c r="U7342">
        <v>9.0866089999999997E-2</v>
      </c>
      <c r="V7342">
        <v>-5.3430559999999997E-3</v>
      </c>
      <c r="W7342">
        <v>5.0612579999999997E-2</v>
      </c>
      <c r="X7342">
        <v>0.99870409999999998</v>
      </c>
      <c r="Y7342">
        <v>5.6705430000000001E-2</v>
      </c>
      <c r="Z7342">
        <v>5.9691050000000004E-4</v>
      </c>
      <c r="AA7342">
        <v>0.99839080000000002</v>
      </c>
      <c r="AB7342">
        <v>22</v>
      </c>
      <c r="AC7342">
        <v>-101.931299999999</v>
      </c>
      <c r="AD7342">
        <v>-1.1103656485177</v>
      </c>
      <c r="AE7342">
        <v>3.0876999999999799</v>
      </c>
      <c r="AF7342">
        <v>5.7908600924353397</v>
      </c>
      <c r="AG7342">
        <v>-1.1103656485177</v>
      </c>
      <c r="AH7342">
        <v>101.80139667536901</v>
      </c>
      <c r="AI7342">
        <v>90.623901804815304</v>
      </c>
      <c r="AJ7342">
        <v>86.744301366704406</v>
      </c>
      <c r="AK7342">
        <v>101.972012520787</v>
      </c>
      <c r="AL7342">
        <v>87.098873360143301</v>
      </c>
      <c r="AM7342">
        <v>90.306528868546096</v>
      </c>
      <c r="AN7342">
        <v>1.00000003042924</v>
      </c>
    </row>
    <row r="7343" spans="1:40" x14ac:dyDescent="0.25">
      <c r="A7343" t="str">
        <f>"20190312150836291"</f>
        <v>20190312150836291</v>
      </c>
      <c r="B7343" t="str">
        <f>"1552374516286782"</f>
        <v>1552374516286782</v>
      </c>
      <c r="C7343" t="s">
        <v>40</v>
      </c>
      <c r="D7343">
        <v>4.2810459999999999</v>
      </c>
      <c r="E7343">
        <v>0.52441249999999995</v>
      </c>
      <c r="F7343" t="s">
        <v>42</v>
      </c>
      <c r="G7343">
        <v>-448.25720000000001</v>
      </c>
      <c r="H7343" s="1">
        <v>-8.0309829999999996E-7</v>
      </c>
      <c r="I7343">
        <v>143.6995</v>
      </c>
      <c r="J7343">
        <v>-346.81040000000002</v>
      </c>
      <c r="K7343">
        <v>1.1103590000000001</v>
      </c>
      <c r="L7343">
        <v>140.60040000000001</v>
      </c>
      <c r="M7343">
        <v>-0.99957499999999999</v>
      </c>
      <c r="N7343">
        <v>0</v>
      </c>
      <c r="O7343">
        <v>-2.6514099999999902E-2</v>
      </c>
      <c r="P7343">
        <v>-0.99874130000000005</v>
      </c>
      <c r="Q7343">
        <v>3.8783539999999998E-2</v>
      </c>
      <c r="R7343">
        <v>-3.1811899999999997E-2</v>
      </c>
      <c r="S7343">
        <v>-3.0079349999999998</v>
      </c>
      <c r="T7343">
        <v>-3.2880899999999998E-2</v>
      </c>
      <c r="U7343">
        <v>9.1674800000000001E-2</v>
      </c>
      <c r="V7343">
        <v>-5.3134530000000001E-3</v>
      </c>
      <c r="W7343">
        <v>5.0896410000000003E-2</v>
      </c>
      <c r="X7343">
        <v>0.99868979999999996</v>
      </c>
      <c r="Y7343">
        <v>5.6951549999999997E-2</v>
      </c>
      <c r="Z7343">
        <v>6.0098319999999999E-4</v>
      </c>
      <c r="AA7343">
        <v>0.99837679999999995</v>
      </c>
      <c r="AB7343">
        <v>22</v>
      </c>
      <c r="AC7343">
        <v>-101.4468</v>
      </c>
      <c r="AD7343">
        <v>-1.1103598030983</v>
      </c>
      <c r="AE7343">
        <v>3.0990999999999902</v>
      </c>
      <c r="AF7343">
        <v>5.7872857381650604</v>
      </c>
      <c r="AG7343">
        <v>-1.1103598030983</v>
      </c>
      <c r="AH7343">
        <v>101.316827919472</v>
      </c>
      <c r="AI7343">
        <v>90.626873774291596</v>
      </c>
      <c r="AJ7343">
        <v>86.730778806977</v>
      </c>
      <c r="AK7343">
        <v>101.48805444372</v>
      </c>
      <c r="AL7343">
        <v>87.082590015313002</v>
      </c>
      <c r="AM7343">
        <v>90.304834953775895</v>
      </c>
      <c r="AN7343">
        <v>0.999999996978855</v>
      </c>
    </row>
    <row r="7344" spans="1:40" x14ac:dyDescent="0.25">
      <c r="A7344" t="str">
        <f>"20190312150836308"</f>
        <v>20190312150836308</v>
      </c>
      <c r="B7344" t="str">
        <f>"1552374516297517"</f>
        <v>1552374516297517</v>
      </c>
      <c r="C7344" t="s">
        <v>40</v>
      </c>
      <c r="D7344">
        <v>4.2536180000000003</v>
      </c>
      <c r="E7344">
        <v>0.52453380000000005</v>
      </c>
      <c r="F7344" t="s">
        <v>42</v>
      </c>
      <c r="G7344">
        <v>-449.5804</v>
      </c>
      <c r="H7344" s="1">
        <v>-2.6375140000000001E-7</v>
      </c>
      <c r="I7344">
        <v>143.80590000000001</v>
      </c>
      <c r="J7344">
        <v>-346.97699999999998</v>
      </c>
      <c r="K7344">
        <v>1.1103479999999999</v>
      </c>
      <c r="L7344">
        <v>140.596</v>
      </c>
      <c r="M7344">
        <v>-0.99957569999999996</v>
      </c>
      <c r="N7344">
        <v>0</v>
      </c>
      <c r="O7344">
        <v>-2.6480279999999998E-2</v>
      </c>
      <c r="P7344">
        <v>-0.9987296</v>
      </c>
      <c r="Q7344">
        <v>3.9082390000000002E-2</v>
      </c>
      <c r="R7344">
        <v>-3.1809009999999999E-2</v>
      </c>
      <c r="S7344">
        <v>-3.0080260000000001</v>
      </c>
      <c r="T7344">
        <v>-3.2499670000000001E-2</v>
      </c>
      <c r="U7344">
        <v>9.3826290000000007E-2</v>
      </c>
      <c r="V7344">
        <v>-5.3433719999999999E-3</v>
      </c>
      <c r="W7344">
        <v>5.1200700000000002E-2</v>
      </c>
      <c r="X7344">
        <v>0.99867410000000001</v>
      </c>
      <c r="Y7344">
        <v>5.7630340000000002E-2</v>
      </c>
      <c r="Z7344">
        <v>5.9729260000000001E-4</v>
      </c>
      <c r="AA7344">
        <v>0.99833780000000005</v>
      </c>
      <c r="AB7344">
        <v>22</v>
      </c>
      <c r="AC7344">
        <v>-102.60339999999999</v>
      </c>
      <c r="AD7344">
        <v>-1.1103482637513999</v>
      </c>
      <c r="AE7344">
        <v>3.2099000000000002</v>
      </c>
      <c r="AF7344">
        <v>5.9252477805642503</v>
      </c>
      <c r="AG7344">
        <v>-1.1103482637513999</v>
      </c>
      <c r="AH7344">
        <v>102.470421461173</v>
      </c>
      <c r="AI7344">
        <v>90.619785686904606</v>
      </c>
      <c r="AJ7344">
        <v>86.690615042108902</v>
      </c>
      <c r="AK7344">
        <v>102.647594754862</v>
      </c>
      <c r="AL7344">
        <v>87.0651327613256</v>
      </c>
      <c r="AM7344">
        <v>90.306556205430695</v>
      </c>
      <c r="AN7344">
        <v>1.00000001065781</v>
      </c>
    </row>
    <row r="7345" spans="1:40" x14ac:dyDescent="0.25">
      <c r="A7345" t="str">
        <f>"20190312150836330"</f>
        <v>20190312150836330</v>
      </c>
      <c r="B7345" t="str">
        <f>"1552374516326797"</f>
        <v>1552374516326797</v>
      </c>
      <c r="C7345" t="s">
        <v>40</v>
      </c>
      <c r="D7345">
        <v>4.8464039999999997</v>
      </c>
      <c r="E7345">
        <v>0.52490870000000001</v>
      </c>
      <c r="F7345" t="s">
        <v>42</v>
      </c>
      <c r="G7345">
        <v>-451.7835</v>
      </c>
      <c r="H7345" s="1">
        <v>-3.4152890000000001E-6</v>
      </c>
      <c r="I7345">
        <v>143.898</v>
      </c>
      <c r="J7345">
        <v>-347.19779999999997</v>
      </c>
      <c r="K7345">
        <v>1.1103400000000001</v>
      </c>
      <c r="L7345">
        <v>140.59030000000001</v>
      </c>
      <c r="M7345">
        <v>-0.9995773</v>
      </c>
      <c r="N7345">
        <v>0</v>
      </c>
      <c r="O7345">
        <v>-2.642332E-2</v>
      </c>
      <c r="P7345">
        <v>-0.9987357</v>
      </c>
      <c r="Q7345">
        <v>3.9163539999999997E-2</v>
      </c>
      <c r="R7345">
        <v>-3.1520199999999998E-2</v>
      </c>
      <c r="S7345">
        <v>-3.0080870000000002</v>
      </c>
      <c r="T7345">
        <v>-3.1868580000000001E-2</v>
      </c>
      <c r="U7345">
        <v>9.4772339999999997E-2</v>
      </c>
      <c r="V7345">
        <v>-5.1104849999999997E-3</v>
      </c>
      <c r="W7345">
        <v>5.128928E-2</v>
      </c>
      <c r="X7345">
        <v>0.99867079999999997</v>
      </c>
      <c r="Y7345">
        <v>5.7886670000000001E-2</v>
      </c>
      <c r="Z7345">
        <v>5.8643430000000004E-4</v>
      </c>
      <c r="AA7345">
        <v>0.99832299999999996</v>
      </c>
      <c r="AB7345">
        <v>22</v>
      </c>
      <c r="AC7345">
        <v>-104.5857</v>
      </c>
      <c r="AD7345">
        <v>-1.1103434152889999</v>
      </c>
      <c r="AE7345">
        <v>3.3076999999999801</v>
      </c>
      <c r="AF7345">
        <v>6.0695660938356397</v>
      </c>
      <c r="AG7345">
        <v>-1.1103434152889999</v>
      </c>
      <c r="AH7345">
        <v>104.450009969405</v>
      </c>
      <c r="AI7345">
        <v>90.608027397697697</v>
      </c>
      <c r="AJ7345">
        <v>86.674295397445803</v>
      </c>
      <c r="AK7345">
        <v>104.632103475348</v>
      </c>
      <c r="AL7345">
        <v>87.060050901753698</v>
      </c>
      <c r="AM7345">
        <v>90.293196382541595</v>
      </c>
      <c r="AN7345">
        <v>1.0000000370362401</v>
      </c>
    </row>
    <row r="7346" spans="1:40" x14ac:dyDescent="0.25">
      <c r="A7346" t="str">
        <f>"20190312150836354"</f>
        <v>20190312150836354</v>
      </c>
      <c r="B7346" t="str">
        <f>"1552374516347293"</f>
        <v>1552374516347293</v>
      </c>
      <c r="C7346" t="s">
        <v>40</v>
      </c>
      <c r="D7346">
        <v>4.2546239999999997</v>
      </c>
      <c r="E7346">
        <v>0.52503529999999998</v>
      </c>
      <c r="F7346" t="s">
        <v>42</v>
      </c>
      <c r="G7346">
        <v>-449.32619999999997</v>
      </c>
      <c r="H7346" s="1">
        <v>-4.073535E-7</v>
      </c>
      <c r="I7346">
        <v>143.9357</v>
      </c>
      <c r="J7346">
        <v>-347.42750000000001</v>
      </c>
      <c r="K7346">
        <v>1.1103320000000001</v>
      </c>
      <c r="L7346">
        <v>140.58430000000001</v>
      </c>
      <c r="M7346">
        <v>-0.999579</v>
      </c>
      <c r="N7346">
        <v>0</v>
      </c>
      <c r="O7346">
        <v>-2.635003E-2</v>
      </c>
      <c r="P7346">
        <v>-0.99874960000000002</v>
      </c>
      <c r="Q7346">
        <v>3.925319E-2</v>
      </c>
      <c r="R7346">
        <v>-3.0957149999999999E-2</v>
      </c>
      <c r="S7346">
        <v>-3.0081479999999998</v>
      </c>
      <c r="T7346">
        <v>-3.2704589999999999E-2</v>
      </c>
      <c r="U7346">
        <v>9.8541260000000006E-2</v>
      </c>
      <c r="V7346">
        <v>-4.6194959999999998E-3</v>
      </c>
      <c r="W7346">
        <v>5.1384529999999998E-2</v>
      </c>
      <c r="X7346">
        <v>0.99866829999999995</v>
      </c>
      <c r="Y7346">
        <v>5.9061990000000002E-2</v>
      </c>
      <c r="Z7346">
        <v>6.07385E-4</v>
      </c>
      <c r="AA7346">
        <v>0.99825410000000003</v>
      </c>
      <c r="AB7346">
        <v>22</v>
      </c>
      <c r="AC7346">
        <v>-101.898699999999</v>
      </c>
      <c r="AD7346">
        <v>-1.1103324073534999</v>
      </c>
      <c r="AE7346">
        <v>3.35139999999998</v>
      </c>
      <c r="AF7346">
        <v>6.0347522451977396</v>
      </c>
      <c r="AG7346">
        <v>-1.1103324073534999</v>
      </c>
      <c r="AH7346">
        <v>101.762927785458</v>
      </c>
      <c r="AI7346">
        <v>90.624031585471698</v>
      </c>
      <c r="AJ7346">
        <v>86.606216307339096</v>
      </c>
      <c r="AK7346">
        <v>101.947753992838</v>
      </c>
      <c r="AL7346">
        <v>87.054586286545401</v>
      </c>
      <c r="AM7346">
        <v>90.265028675246597</v>
      </c>
      <c r="AN7346">
        <v>1.00000004154575</v>
      </c>
    </row>
    <row r="7347" spans="1:40" x14ac:dyDescent="0.25">
      <c r="A7347" t="str">
        <f>"20190312150836368"</f>
        <v>20190312150836368</v>
      </c>
      <c r="B7347" t="str">
        <f>"1552374516357053"</f>
        <v>1552374516357053</v>
      </c>
      <c r="C7347" t="s">
        <v>40</v>
      </c>
      <c r="D7347">
        <v>4.2475959999999997</v>
      </c>
      <c r="E7347">
        <v>0.5250821</v>
      </c>
      <c r="F7347" t="s">
        <v>42</v>
      </c>
      <c r="G7347">
        <v>-442.72820000000002</v>
      </c>
      <c r="H7347" s="1">
        <v>-3.0745789999999998E-6</v>
      </c>
      <c r="I7347">
        <v>143.7895</v>
      </c>
      <c r="J7347">
        <v>-347.57679999999999</v>
      </c>
      <c r="K7347">
        <v>1.110331</v>
      </c>
      <c r="L7347">
        <v>140.5804</v>
      </c>
      <c r="M7347">
        <v>-0.99958040000000004</v>
      </c>
      <c r="N7347">
        <v>0</v>
      </c>
      <c r="O7347">
        <v>-2.6295619999999999E-2</v>
      </c>
      <c r="P7347">
        <v>-0.99875689999999995</v>
      </c>
      <c r="Q7347">
        <v>3.9320859999999999E-2</v>
      </c>
      <c r="R7347">
        <v>-3.063691E-2</v>
      </c>
      <c r="S7347">
        <v>-3.00827</v>
      </c>
      <c r="T7347">
        <v>-3.5048959999999997E-2</v>
      </c>
      <c r="U7347">
        <v>0.10118099999999999</v>
      </c>
      <c r="V7347">
        <v>-4.3528059999999999E-3</v>
      </c>
      <c r="W7347">
        <v>5.1455479999999998E-2</v>
      </c>
      <c r="X7347">
        <v>0.99866580000000005</v>
      </c>
      <c r="Y7347">
        <v>5.9880509999999998E-2</v>
      </c>
      <c r="Z7347">
        <v>6.5501920000000003E-4</v>
      </c>
      <c r="AA7347">
        <v>0.99820540000000002</v>
      </c>
      <c r="AB7347">
        <v>22</v>
      </c>
      <c r="AC7347">
        <v>-95.151399999999995</v>
      </c>
      <c r="AD7347">
        <v>-1.110334074579</v>
      </c>
      <c r="AE7347">
        <v>3.2090999999999998</v>
      </c>
      <c r="AF7347">
        <v>5.7094632815326403</v>
      </c>
      <c r="AG7347">
        <v>-1.110334074579</v>
      </c>
      <c r="AH7347">
        <v>95.021177077807707</v>
      </c>
      <c r="AI7347">
        <v>90.668272567259194</v>
      </c>
      <c r="AJ7347">
        <v>86.561447382652901</v>
      </c>
      <c r="AK7347">
        <v>95.199027862538699</v>
      </c>
      <c r="AL7347">
        <v>87.050515633991594</v>
      </c>
      <c r="AM7347">
        <v>90.249729022002597</v>
      </c>
      <c r="AN7347">
        <v>0.99999999671587203</v>
      </c>
    </row>
    <row r="7348" spans="1:40" x14ac:dyDescent="0.25">
      <c r="A7348" t="str">
        <f>"20190312150836380"</f>
        <v>20190312150836380</v>
      </c>
      <c r="B7348" t="str">
        <f>"1552374516377549"</f>
        <v>1552374516377549</v>
      </c>
      <c r="C7348" t="s">
        <v>40</v>
      </c>
      <c r="D7348">
        <v>4.2594709999999996</v>
      </c>
      <c r="E7348">
        <v>0.52520829999999996</v>
      </c>
      <c r="F7348" t="s">
        <v>77</v>
      </c>
      <c r="G7348">
        <v>-439.84410000000003</v>
      </c>
      <c r="H7348" s="1">
        <v>-8.6290779999999999E-6</v>
      </c>
      <c r="I7348">
        <v>143.7235</v>
      </c>
      <c r="J7348">
        <v>-347.7004</v>
      </c>
      <c r="K7348">
        <v>1.110328</v>
      </c>
      <c r="L7348">
        <v>140.5772</v>
      </c>
      <c r="M7348">
        <v>-0.99958179999999996</v>
      </c>
      <c r="N7348">
        <v>0</v>
      </c>
      <c r="O7348">
        <v>-2.624574E-2</v>
      </c>
      <c r="P7348">
        <v>-0.99875769999999997</v>
      </c>
      <c r="Q7348">
        <v>3.9585559999999999E-2</v>
      </c>
      <c r="R7348">
        <v>-3.026817E-2</v>
      </c>
      <c r="S7348">
        <v>-3.0083009999999999</v>
      </c>
      <c r="T7348">
        <v>-3.620172E-2</v>
      </c>
      <c r="U7348">
        <v>0.102478</v>
      </c>
      <c r="V7348">
        <v>-4.0336950000000003E-3</v>
      </c>
      <c r="W7348">
        <v>5.1722629999999999E-2</v>
      </c>
      <c r="X7348">
        <v>0.99865340000000002</v>
      </c>
      <c r="Y7348">
        <v>6.0259819999999999E-2</v>
      </c>
      <c r="Z7348">
        <v>6.7823149999999904E-4</v>
      </c>
      <c r="AA7348">
        <v>0.99818249999999997</v>
      </c>
      <c r="AB7348">
        <v>22</v>
      </c>
      <c r="AC7348">
        <v>-92.143699999999995</v>
      </c>
      <c r="AD7348">
        <v>-1.1103366290779999</v>
      </c>
      <c r="AE7348">
        <v>3.1462999999999899</v>
      </c>
      <c r="AF7348">
        <v>5.5629670137764498</v>
      </c>
      <c r="AG7348">
        <v>-1.1103366290779999</v>
      </c>
      <c r="AH7348">
        <v>92.016025195816994</v>
      </c>
      <c r="AI7348">
        <v>90.690081851162105</v>
      </c>
      <c r="AJ7348">
        <v>86.540308533652194</v>
      </c>
      <c r="AK7348">
        <v>92.190717223934499</v>
      </c>
      <c r="AL7348">
        <v>87.035188836571294</v>
      </c>
      <c r="AM7348">
        <v>90.231424078176104</v>
      </c>
      <c r="AN7348">
        <v>1.0000000572405101</v>
      </c>
    </row>
    <row r="7349" spans="1:40" x14ac:dyDescent="0.25">
      <c r="A7349" t="str">
        <f>"20190312150836394"</f>
        <v>20190312150836394</v>
      </c>
      <c r="B7349" t="str">
        <f>"1552374516387309"</f>
        <v>1552374516387309</v>
      </c>
      <c r="C7349" t="s">
        <v>40</v>
      </c>
      <c r="D7349">
        <v>4.2462739999999997</v>
      </c>
      <c r="E7349">
        <v>0.52524879999999996</v>
      </c>
      <c r="F7349" t="s">
        <v>77</v>
      </c>
      <c r="G7349">
        <v>-435.44</v>
      </c>
      <c r="H7349" s="1">
        <v>-1.05477399999999E-5</v>
      </c>
      <c r="I7349">
        <v>143.62559999999999</v>
      </c>
      <c r="J7349">
        <v>-347.8272</v>
      </c>
      <c r="K7349">
        <v>1.110325</v>
      </c>
      <c r="L7349">
        <v>140.57390000000001</v>
      </c>
      <c r="M7349">
        <v>-0.99958309999999995</v>
      </c>
      <c r="N7349">
        <v>0</v>
      </c>
      <c r="O7349">
        <v>-2.619003E-2</v>
      </c>
      <c r="P7349">
        <v>-0.99876189999999998</v>
      </c>
      <c r="Q7349">
        <v>3.9924210000000002E-2</v>
      </c>
      <c r="R7349">
        <v>-2.9674610000000001E-2</v>
      </c>
      <c r="S7349">
        <v>-3.0084230000000001</v>
      </c>
      <c r="T7349">
        <v>-3.8071389999999997E-2</v>
      </c>
      <c r="U7349">
        <v>0.104522699999999</v>
      </c>
      <c r="V7349">
        <v>-3.4950570000000002E-3</v>
      </c>
      <c r="W7349">
        <v>5.2063579999999998E-2</v>
      </c>
      <c r="X7349">
        <v>0.99863769999999996</v>
      </c>
      <c r="Y7349">
        <v>6.0879700000000002E-2</v>
      </c>
      <c r="Z7349">
        <v>7.1643640000000001E-4</v>
      </c>
      <c r="AA7349">
        <v>0.9981449</v>
      </c>
      <c r="AB7349">
        <v>22</v>
      </c>
      <c r="AC7349">
        <v>-87.612799999999993</v>
      </c>
      <c r="AD7349">
        <v>-1.1103355477399901</v>
      </c>
      <c r="AE7349">
        <v>3.0516999999999799</v>
      </c>
      <c r="AF7349">
        <v>5.3445470530466501</v>
      </c>
      <c r="AG7349">
        <v>-1.1103355477399901</v>
      </c>
      <c r="AH7349">
        <v>87.488778232678001</v>
      </c>
      <c r="AI7349">
        <v>90.725759044815803</v>
      </c>
      <c r="AJ7349">
        <v>86.504238255388998</v>
      </c>
      <c r="AK7349">
        <v>87.658903397644195</v>
      </c>
      <c r="AL7349">
        <v>87.015627445413102</v>
      </c>
      <c r="AM7349">
        <v>90.200524372001695</v>
      </c>
      <c r="AN7349">
        <v>1.0000000438235599</v>
      </c>
    </row>
    <row r="7350" spans="1:40" x14ac:dyDescent="0.25">
      <c r="A7350" t="str">
        <f>"20190312150836408"</f>
        <v>20190312150836408</v>
      </c>
      <c r="B7350" t="str">
        <f>"1552374516397069"</f>
        <v>1552374516397069</v>
      </c>
      <c r="C7350" t="s">
        <v>40</v>
      </c>
      <c r="D7350">
        <v>4.8426489999999998</v>
      </c>
      <c r="E7350">
        <v>0.52531470000000002</v>
      </c>
      <c r="F7350" t="s">
        <v>77</v>
      </c>
      <c r="G7350">
        <v>-435.1311</v>
      </c>
      <c r="H7350" s="1">
        <v>-1.0698619999999999E-5</v>
      </c>
      <c r="I7350">
        <v>143.6652</v>
      </c>
      <c r="J7350">
        <v>-347.971</v>
      </c>
      <c r="K7350">
        <v>1.1103240000000001</v>
      </c>
      <c r="L7350">
        <v>140.5702</v>
      </c>
      <c r="M7350">
        <v>-0.99958499999999995</v>
      </c>
      <c r="N7350">
        <v>0</v>
      </c>
      <c r="O7350">
        <v>-2.61237E-2</v>
      </c>
      <c r="P7350">
        <v>-0.99876759999999998</v>
      </c>
      <c r="Q7350">
        <v>4.0057309999999999E-2</v>
      </c>
      <c r="R7350">
        <v>-2.931301E-2</v>
      </c>
      <c r="S7350">
        <v>-3.0084230000000001</v>
      </c>
      <c r="T7350">
        <v>-3.8261290000000003E-2</v>
      </c>
      <c r="U7350">
        <v>0.10652159999999999</v>
      </c>
      <c r="V7350">
        <v>-3.1988450000000001E-3</v>
      </c>
      <c r="W7350">
        <v>5.2198830000000002E-2</v>
      </c>
      <c r="X7350">
        <v>0.99863159999999895</v>
      </c>
      <c r="Y7350">
        <v>6.1475719999999998E-2</v>
      </c>
      <c r="Z7350">
        <v>7.2294739999999996E-4</v>
      </c>
      <c r="AA7350">
        <v>0.99810829999999995</v>
      </c>
      <c r="AB7350">
        <v>22</v>
      </c>
      <c r="AC7350">
        <v>-87.1601</v>
      </c>
      <c r="AD7350">
        <v>-1.11033469862</v>
      </c>
      <c r="AE7350">
        <v>3.09499999999999</v>
      </c>
      <c r="AF7350">
        <v>5.3701852962442</v>
      </c>
      <c r="AG7350">
        <v>-1.11033469862</v>
      </c>
      <c r="AH7350">
        <v>87.035384068379102</v>
      </c>
      <c r="AI7350">
        <v>90.729511441423995</v>
      </c>
      <c r="AJ7350">
        <v>86.4692592030013</v>
      </c>
      <c r="AK7350">
        <v>87.207968748212593</v>
      </c>
      <c r="AL7350">
        <v>87.0078675432963</v>
      </c>
      <c r="AM7350">
        <v>90.183530834554603</v>
      </c>
      <c r="AN7350">
        <v>1.00000001149063</v>
      </c>
    </row>
    <row r="7351" spans="1:40" x14ac:dyDescent="0.25">
      <c r="A7351" t="str">
        <f>"20190312150836424"</f>
        <v>20190312150836424</v>
      </c>
      <c r="B7351" t="str">
        <f>"1552374516417565"</f>
        <v>1552374516417565</v>
      </c>
      <c r="C7351" t="s">
        <v>40</v>
      </c>
      <c r="D7351">
        <v>4.2179159999999998</v>
      </c>
      <c r="E7351">
        <v>0.52540520000000002</v>
      </c>
      <c r="F7351" t="s">
        <v>77</v>
      </c>
      <c r="G7351">
        <v>-436.42959999999999</v>
      </c>
      <c r="H7351" s="1">
        <v>-1.0152900000000001E-5</v>
      </c>
      <c r="I7351">
        <v>143.7508</v>
      </c>
      <c r="J7351">
        <v>-348.1268</v>
      </c>
      <c r="K7351">
        <v>1.1103179999999999</v>
      </c>
      <c r="L7351">
        <v>140.56620000000001</v>
      </c>
      <c r="M7351">
        <v>-0.9995868</v>
      </c>
      <c r="N7351">
        <v>0</v>
      </c>
      <c r="O7351">
        <v>-2.6045909999999999E-2</v>
      </c>
      <c r="P7351">
        <v>-0.99876690000000001</v>
      </c>
      <c r="Q7351">
        <v>4.02227E-2</v>
      </c>
      <c r="R7351">
        <v>-2.9104910000000001E-2</v>
      </c>
      <c r="S7351">
        <v>-3.0084230000000001</v>
      </c>
      <c r="T7351">
        <v>-3.776181E-2</v>
      </c>
      <c r="U7351">
        <v>0.1081696</v>
      </c>
      <c r="V7351">
        <v>-3.0678670000000002E-3</v>
      </c>
      <c r="W7351">
        <v>5.236644E-2</v>
      </c>
      <c r="X7351">
        <v>0.99862329999999999</v>
      </c>
      <c r="Y7351">
        <v>6.1944260000000001E-2</v>
      </c>
      <c r="Z7351">
        <v>7.1546740000000004E-4</v>
      </c>
      <c r="AA7351">
        <v>0.99807939999999995</v>
      </c>
      <c r="AB7351">
        <v>22</v>
      </c>
      <c r="AC7351">
        <v>-88.302799999999905</v>
      </c>
      <c r="AD7351">
        <v>-1.1103281529</v>
      </c>
      <c r="AE7351">
        <v>3.1845999999999801</v>
      </c>
      <c r="AF7351">
        <v>5.48275052776963</v>
      </c>
      <c r="AG7351">
        <v>-1.1103281529</v>
      </c>
      <c r="AH7351">
        <v>88.175963495237994</v>
      </c>
      <c r="AI7351">
        <v>90.720050516676494</v>
      </c>
      <c r="AJ7351">
        <v>86.441949286368498</v>
      </c>
      <c r="AK7351">
        <v>88.353233785020194</v>
      </c>
      <c r="AL7351">
        <v>86.998251238114605</v>
      </c>
      <c r="AM7351">
        <v>90.176017601665095</v>
      </c>
      <c r="AN7351">
        <v>1.00000007557454</v>
      </c>
    </row>
    <row r="7352" spans="1:40" x14ac:dyDescent="0.25">
      <c r="A7352" t="str">
        <f>"20190312150836436"</f>
        <v>20190312150836436</v>
      </c>
      <c r="B7352" t="str">
        <f>"1552374516427832"</f>
        <v>1552374516427832</v>
      </c>
      <c r="C7352" t="s">
        <v>40</v>
      </c>
      <c r="D7352">
        <v>4.399432</v>
      </c>
      <c r="E7352">
        <v>0.52548640000000002</v>
      </c>
      <c r="F7352" t="s">
        <v>77</v>
      </c>
      <c r="G7352">
        <v>-432.50349999999997</v>
      </c>
      <c r="H7352" s="1">
        <v>-1.168845E-5</v>
      </c>
      <c r="I7352">
        <v>143.63409999999999</v>
      </c>
      <c r="J7352">
        <v>-348.24680000000001</v>
      </c>
      <c r="K7352">
        <v>1.110312</v>
      </c>
      <c r="L7352">
        <v>140.56319999999999</v>
      </c>
      <c r="M7352">
        <v>-0.99958849999999999</v>
      </c>
      <c r="N7352">
        <v>0</v>
      </c>
      <c r="O7352">
        <v>-2.5982209999999999E-2</v>
      </c>
      <c r="P7352">
        <v>-0.99877419999999995</v>
      </c>
      <c r="Q7352">
        <v>4.0188130000000002E-2</v>
      </c>
      <c r="R7352">
        <v>-2.8902150000000001E-2</v>
      </c>
      <c r="S7352">
        <v>-3.0085449999999998</v>
      </c>
      <c r="T7352">
        <v>-3.959E-2</v>
      </c>
      <c r="U7352">
        <v>0.1093903</v>
      </c>
      <c r="V7352">
        <v>-2.928352E-3</v>
      </c>
      <c r="W7352">
        <v>5.2333579999999998E-2</v>
      </c>
      <c r="X7352">
        <v>0.99862530000000005</v>
      </c>
      <c r="Y7352">
        <v>6.2282909999999997E-2</v>
      </c>
      <c r="Z7352">
        <v>7.5145690000000005E-4</v>
      </c>
      <c r="AA7352">
        <v>0.99805829999999995</v>
      </c>
      <c r="AB7352">
        <v>22</v>
      </c>
      <c r="AC7352">
        <v>-84.256699999999896</v>
      </c>
      <c r="AD7352">
        <v>-1.1103236884500001</v>
      </c>
      <c r="AE7352">
        <v>3.0708999999999902</v>
      </c>
      <c r="AF7352">
        <v>5.2582882269763997</v>
      </c>
      <c r="AG7352">
        <v>-1.1103236884500001</v>
      </c>
      <c r="AH7352">
        <v>84.133865538766898</v>
      </c>
      <c r="AI7352">
        <v>90.754622461962498</v>
      </c>
      <c r="AJ7352">
        <v>86.423718787338004</v>
      </c>
      <c r="AK7352">
        <v>84.305336392582007</v>
      </c>
      <c r="AL7352">
        <v>87.000136138316705</v>
      </c>
      <c r="AM7352">
        <v>90.168012696672704</v>
      </c>
      <c r="AN7352">
        <v>0.999999934320569</v>
      </c>
    </row>
    <row r="7353" spans="1:40" x14ac:dyDescent="0.25">
      <c r="A7353" t="str">
        <f>"20190312150836448"</f>
        <v>20190312150836448</v>
      </c>
      <c r="B7353" t="str">
        <f>"1552374516437592"</f>
        <v>1552374516437592</v>
      </c>
      <c r="C7353" t="s">
        <v>40</v>
      </c>
      <c r="D7353">
        <v>4.6631629999999999</v>
      </c>
      <c r="E7353">
        <v>0.52556849999999999</v>
      </c>
      <c r="F7353" t="s">
        <v>77</v>
      </c>
      <c r="G7353">
        <v>-431.38490000000002</v>
      </c>
      <c r="H7353" s="1">
        <v>-1.21444699999999E-5</v>
      </c>
      <c r="I7353">
        <v>143.62360000000001</v>
      </c>
      <c r="J7353">
        <v>-348.37209999999999</v>
      </c>
      <c r="K7353">
        <v>1.1103080000000001</v>
      </c>
      <c r="L7353">
        <v>140.56</v>
      </c>
      <c r="M7353">
        <v>-0.99959039999999999</v>
      </c>
      <c r="N7353">
        <v>0</v>
      </c>
      <c r="O7353">
        <v>-2.591398E-2</v>
      </c>
      <c r="P7353">
        <v>-0.99878979999999995</v>
      </c>
      <c r="Q7353">
        <v>4.0016250000000003E-2</v>
      </c>
      <c r="R7353">
        <v>-2.860408E-2</v>
      </c>
      <c r="S7353">
        <v>-3.0085449999999998</v>
      </c>
      <c r="T7353">
        <v>-4.0179609999999998E-2</v>
      </c>
      <c r="U7353">
        <v>0.11074829999999999</v>
      </c>
      <c r="V7353">
        <v>-2.6974270000000001E-3</v>
      </c>
      <c r="W7353">
        <v>5.2163099999999997E-2</v>
      </c>
      <c r="X7353">
        <v>0.99863489999999999</v>
      </c>
      <c r="Y7353">
        <v>6.2664449999999997E-2</v>
      </c>
      <c r="Z7353">
        <v>7.6427739999999997E-4</v>
      </c>
      <c r="AA7353">
        <v>0.99803439999999999</v>
      </c>
      <c r="AB7353">
        <v>22</v>
      </c>
      <c r="AC7353">
        <v>-83.012799999999999</v>
      </c>
      <c r="AD7353">
        <v>-1.1103201444699999</v>
      </c>
      <c r="AE7353">
        <v>3.0636000000000001</v>
      </c>
      <c r="AF7353">
        <v>5.2129903968589897</v>
      </c>
      <c r="AG7353">
        <v>-1.1103201444699999</v>
      </c>
      <c r="AH7353">
        <v>82.890713465755397</v>
      </c>
      <c r="AI7353">
        <v>90.7659174239989</v>
      </c>
      <c r="AJ7353">
        <v>86.401412284935901</v>
      </c>
      <c r="AK7353">
        <v>83.061895346560206</v>
      </c>
      <c r="AL7353">
        <v>87.009917373048097</v>
      </c>
      <c r="AM7353">
        <v>90.154762072482001</v>
      </c>
      <c r="AN7353">
        <v>0.99999996430601901</v>
      </c>
    </row>
    <row r="7354" spans="1:40" x14ac:dyDescent="0.25">
      <c r="A7354" t="str">
        <f>"20190312150836463"</f>
        <v>20190312150836463</v>
      </c>
      <c r="B7354" t="str">
        <f>"1552374516457115"</f>
        <v>1552374516457115</v>
      </c>
      <c r="C7354" t="s">
        <v>40</v>
      </c>
      <c r="D7354">
        <v>4.238073</v>
      </c>
      <c r="E7354">
        <v>0.52567189999999997</v>
      </c>
      <c r="F7354" t="s">
        <v>77</v>
      </c>
      <c r="G7354">
        <v>-429.71510000000001</v>
      </c>
      <c r="H7354" s="1">
        <v>-1.27308199999999E-5</v>
      </c>
      <c r="I7354">
        <v>143.5932</v>
      </c>
      <c r="J7354">
        <v>-348.52370000000002</v>
      </c>
      <c r="K7354">
        <v>1.1103019999999999</v>
      </c>
      <c r="L7354">
        <v>140.55619999999999</v>
      </c>
      <c r="M7354">
        <v>-0.99959240000000005</v>
      </c>
      <c r="N7354">
        <v>0</v>
      </c>
      <c r="O7354">
        <v>-2.5828469999999999E-2</v>
      </c>
      <c r="P7354">
        <v>-0.99882009999999999</v>
      </c>
      <c r="Q7354">
        <v>3.9809629999999999E-2</v>
      </c>
      <c r="R7354">
        <v>-2.7814439999999999E-2</v>
      </c>
      <c r="S7354">
        <v>-3.0084529999999998</v>
      </c>
      <c r="T7354">
        <v>-4.1064980000000001E-2</v>
      </c>
      <c r="U7354">
        <v>0.11218259999999999</v>
      </c>
      <c r="V7354">
        <v>-1.9926919999999999E-3</v>
      </c>
      <c r="W7354">
        <v>5.1958339999999999E-2</v>
      </c>
      <c r="X7354">
        <v>0.99864730000000002</v>
      </c>
      <c r="Y7354">
        <v>6.3054970000000002E-2</v>
      </c>
      <c r="Z7354">
        <v>7.8263159999999998E-4</v>
      </c>
      <c r="AA7354">
        <v>0.9980097</v>
      </c>
      <c r="AB7354">
        <v>22</v>
      </c>
      <c r="AC7354">
        <v>-81.191399999999902</v>
      </c>
      <c r="AD7354">
        <v>-1.1103147308200001</v>
      </c>
      <c r="AE7354">
        <v>3.0369999999999999</v>
      </c>
      <c r="AF7354">
        <v>5.1322329790891796</v>
      </c>
      <c r="AG7354">
        <v>-1.1103147308200001</v>
      </c>
      <c r="AH7354">
        <v>81.070722708730202</v>
      </c>
      <c r="AI7354">
        <v>90.783085434120295</v>
      </c>
      <c r="AJ7354">
        <v>86.377688488183907</v>
      </c>
      <c r="AK7354">
        <v>81.240597577005502</v>
      </c>
      <c r="AL7354">
        <v>87.021665398578705</v>
      </c>
      <c r="AM7354">
        <v>90.114327340533706</v>
      </c>
      <c r="AN7354">
        <v>1.0000000348571201</v>
      </c>
    </row>
    <row r="7355" spans="1:40" x14ac:dyDescent="0.25">
      <c r="A7355" t="str">
        <f>"20190312150836499"</f>
        <v>20190312150836499</v>
      </c>
      <c r="B7355" t="str">
        <f>"1552374516487370"</f>
        <v>1552374516487370</v>
      </c>
      <c r="C7355" t="s">
        <v>40</v>
      </c>
      <c r="D7355">
        <v>4.2448169999999896</v>
      </c>
      <c r="E7355">
        <v>0.52580389999999999</v>
      </c>
      <c r="F7355" t="s">
        <v>77</v>
      </c>
      <c r="G7355">
        <v>-425.58550000000002</v>
      </c>
      <c r="H7355" s="1">
        <v>-1.210435E-5</v>
      </c>
      <c r="I7355">
        <v>143.50640000000001</v>
      </c>
      <c r="J7355">
        <v>-348.85930000000002</v>
      </c>
      <c r="K7355">
        <v>1.110303</v>
      </c>
      <c r="L7355">
        <v>140.5478</v>
      </c>
      <c r="M7355">
        <v>-0.99959770000000003</v>
      </c>
      <c r="N7355">
        <v>0</v>
      </c>
      <c r="O7355">
        <v>-2.5627549999999999E-2</v>
      </c>
      <c r="P7355">
        <v>-0.99884459999999997</v>
      </c>
      <c r="Q7355">
        <v>4.0066499999999998E-2</v>
      </c>
      <c r="R7355">
        <v>-2.654202E-2</v>
      </c>
      <c r="S7355">
        <v>-3.0084529999999998</v>
      </c>
      <c r="T7355">
        <v>-4.3346049999999997E-2</v>
      </c>
      <c r="U7355">
        <v>0.11517330000000001</v>
      </c>
      <c r="V7355">
        <v>-9.2029429999999999E-4</v>
      </c>
      <c r="W7355">
        <v>5.2217390000000002E-2</v>
      </c>
      <c r="X7355">
        <v>0.9986353</v>
      </c>
      <c r="Y7355">
        <v>6.3844049999999999E-2</v>
      </c>
      <c r="Z7355">
        <v>8.2887480000000001E-4</v>
      </c>
      <c r="AA7355">
        <v>0.99795959999999995</v>
      </c>
      <c r="AB7355">
        <v>22</v>
      </c>
      <c r="AC7355">
        <v>-76.726200000000006</v>
      </c>
      <c r="AD7355">
        <v>-1.1103151043499999</v>
      </c>
      <c r="AE7355">
        <v>2.9586000000000099</v>
      </c>
      <c r="AF7355">
        <v>4.9230484337609797</v>
      </c>
      <c r="AG7355">
        <v>-1.1103151043499999</v>
      </c>
      <c r="AH7355">
        <v>76.609149899910406</v>
      </c>
      <c r="AI7355">
        <v>90.8286346197509</v>
      </c>
      <c r="AJ7355">
        <v>86.323120938984701</v>
      </c>
      <c r="AK7355">
        <v>76.775198169063898</v>
      </c>
      <c r="AL7355">
        <v>87.006802594805706</v>
      </c>
      <c r="AM7355">
        <v>90.052801021927706</v>
      </c>
      <c r="AN7355">
        <v>0.99999998258305001</v>
      </c>
    </row>
    <row r="7356" spans="1:40" x14ac:dyDescent="0.25">
      <c r="A7356" t="str">
        <f>"20190312150836521"</f>
        <v>20190312150836521</v>
      </c>
      <c r="B7356" t="str">
        <f>"1552374516517625"</f>
        <v>1552374516517625</v>
      </c>
      <c r="C7356" t="s">
        <v>40</v>
      </c>
      <c r="D7356">
        <v>4.2503520000000004</v>
      </c>
      <c r="E7356">
        <v>0.52592559999999999</v>
      </c>
      <c r="F7356" t="s">
        <v>77</v>
      </c>
      <c r="G7356">
        <v>-421.80459999999999</v>
      </c>
      <c r="H7356" s="1">
        <v>-1.147692E-5</v>
      </c>
      <c r="I7356">
        <v>143.4623</v>
      </c>
      <c r="J7356">
        <v>-349.0872</v>
      </c>
      <c r="K7356">
        <v>1.110301</v>
      </c>
      <c r="L7356">
        <v>140.5421</v>
      </c>
      <c r="M7356">
        <v>-0.99960119999999997</v>
      </c>
      <c r="N7356">
        <v>0</v>
      </c>
      <c r="O7356">
        <v>-2.5484969999999999E-2</v>
      </c>
      <c r="P7356">
        <v>-0.99884839999999997</v>
      </c>
      <c r="Q7356">
        <v>4.0112830000000002E-2</v>
      </c>
      <c r="R7356">
        <v>-2.632348E-2</v>
      </c>
      <c r="S7356">
        <v>-3.0085449999999998</v>
      </c>
      <c r="T7356">
        <v>-4.5793649999999998E-2</v>
      </c>
      <c r="U7356">
        <v>0.1202087</v>
      </c>
      <c r="V7356">
        <v>-8.4410210000000004E-4</v>
      </c>
      <c r="W7356">
        <v>5.2265489999999998E-2</v>
      </c>
      <c r="X7356">
        <v>0.99863279999999999</v>
      </c>
      <c r="Y7356">
        <v>6.5366969999999996E-2</v>
      </c>
      <c r="Z7356">
        <v>8.8503569999999997E-4</v>
      </c>
      <c r="AA7356">
        <v>0.99786090000000005</v>
      </c>
      <c r="AB7356">
        <v>22</v>
      </c>
      <c r="AC7356">
        <v>-72.717399999999998</v>
      </c>
      <c r="AD7356">
        <v>-1.1103124769199999</v>
      </c>
      <c r="AE7356">
        <v>2.9201999999999901</v>
      </c>
      <c r="AF7356">
        <v>4.7714786407299599</v>
      </c>
      <c r="AG7356">
        <v>-1.1103124769199999</v>
      </c>
      <c r="AH7356">
        <v>72.602452406013796</v>
      </c>
      <c r="AI7356">
        <v>90.874272807504397</v>
      </c>
      <c r="AJ7356">
        <v>86.239892819228501</v>
      </c>
      <c r="AK7356">
        <v>72.767547008146707</v>
      </c>
      <c r="AL7356">
        <v>87.0040427464548</v>
      </c>
      <c r="AM7356">
        <v>90.048429689361498</v>
      </c>
      <c r="AN7356">
        <v>0.99999993159456502</v>
      </c>
    </row>
    <row r="7357" spans="1:40" x14ac:dyDescent="0.25">
      <c r="A7357" t="str">
        <f>"20190312150836543"</f>
        <v>20190312150836543</v>
      </c>
      <c r="B7357" t="str">
        <f>"1552374516537143"</f>
        <v>1552374516537143</v>
      </c>
      <c r="C7357" t="s">
        <v>40</v>
      </c>
      <c r="D7357">
        <v>4.2343820000000001</v>
      </c>
      <c r="E7357">
        <v>0.52596319999999996</v>
      </c>
      <c r="F7357" t="s">
        <v>77</v>
      </c>
      <c r="G7357">
        <v>-417.8125</v>
      </c>
      <c r="H7357" s="1">
        <v>-1.1289280000000001E-5</v>
      </c>
      <c r="I7357">
        <v>143.32429999999999</v>
      </c>
      <c r="J7357">
        <v>-349.30849999999998</v>
      </c>
      <c r="K7357">
        <v>1.1102970000000001</v>
      </c>
      <c r="L7357">
        <v>140.53659999999999</v>
      </c>
      <c r="M7357">
        <v>-0.99960470000000001</v>
      </c>
      <c r="N7357">
        <v>0</v>
      </c>
      <c r="O7357">
        <v>-2.5344309999999998E-2</v>
      </c>
      <c r="P7357">
        <v>-0.99886609999999998</v>
      </c>
      <c r="Q7357">
        <v>3.9882250000000001E-2</v>
      </c>
      <c r="R7357">
        <v>-2.6000329999999999E-2</v>
      </c>
      <c r="S7357">
        <v>-3.0086059999999999</v>
      </c>
      <c r="T7357">
        <v>-4.8606400000000001E-2</v>
      </c>
      <c r="U7357">
        <v>0.12179570000000001</v>
      </c>
      <c r="V7357">
        <v>-6.6125500000000002E-4</v>
      </c>
      <c r="W7357">
        <v>5.2035970000000001E-2</v>
      </c>
      <c r="X7357">
        <v>0.998645</v>
      </c>
      <c r="Y7357">
        <v>6.5749879999999997E-2</v>
      </c>
      <c r="Z7357">
        <v>9.4018140000000003E-4</v>
      </c>
      <c r="AA7357">
        <v>0.99783569999999999</v>
      </c>
      <c r="AB7357">
        <v>22</v>
      </c>
      <c r="AC7357">
        <v>-68.504000000000005</v>
      </c>
      <c r="AD7357">
        <v>-1.11030828927999</v>
      </c>
      <c r="AE7357">
        <v>2.7877000000000001</v>
      </c>
      <c r="AF7357">
        <v>4.5219336707326301</v>
      </c>
      <c r="AG7357">
        <v>-1.11030828927999</v>
      </c>
      <c r="AH7357">
        <v>68.393397369735297</v>
      </c>
      <c r="AI7357">
        <v>90.928040410639696</v>
      </c>
      <c r="AJ7357">
        <v>86.217307711874398</v>
      </c>
      <c r="AK7357">
        <v>68.551713854536601</v>
      </c>
      <c r="AL7357">
        <v>87.017211421293197</v>
      </c>
      <c r="AM7357">
        <v>90.037938521841795</v>
      </c>
      <c r="AN7357">
        <v>1.0000000077285001</v>
      </c>
    </row>
    <row r="7358" spans="1:40" x14ac:dyDescent="0.25">
      <c r="A7358" t="str">
        <f>"20190312150836565"</f>
        <v>20190312150836565</v>
      </c>
      <c r="B7358" t="str">
        <f>"1552374516557640"</f>
        <v>1552374516557640</v>
      </c>
      <c r="C7358" t="s">
        <v>40</v>
      </c>
      <c r="D7358">
        <v>4.2221789999999997</v>
      </c>
      <c r="E7358">
        <v>0.52596860000000001</v>
      </c>
      <c r="F7358" t="s">
        <v>77</v>
      </c>
      <c r="G7358">
        <v>-414.5684</v>
      </c>
      <c r="H7358" s="1">
        <v>-1.1532240000000001E-5</v>
      </c>
      <c r="I7358">
        <v>143.2046</v>
      </c>
      <c r="J7358">
        <v>-349.52620000000002</v>
      </c>
      <c r="K7358">
        <v>1.1102909999999999</v>
      </c>
      <c r="L7358">
        <v>140.53129999999999</v>
      </c>
      <c r="M7358">
        <v>-0.99960819999999995</v>
      </c>
      <c r="N7358">
        <v>0</v>
      </c>
      <c r="O7358">
        <v>-2.5207480000000001E-2</v>
      </c>
      <c r="P7358">
        <v>-0.99886039999999998</v>
      </c>
      <c r="Q7358">
        <v>3.9782169999999999E-2</v>
      </c>
      <c r="R7358">
        <v>-2.637372E-2</v>
      </c>
      <c r="S7358">
        <v>-3.0086360000000001</v>
      </c>
      <c r="T7358">
        <v>-5.1187870000000003E-2</v>
      </c>
      <c r="U7358">
        <v>0.1230011</v>
      </c>
      <c r="V7358">
        <v>-1.171262E-3</v>
      </c>
      <c r="W7358">
        <v>5.1937400000000002E-2</v>
      </c>
      <c r="X7358">
        <v>0.99864969999999997</v>
      </c>
      <c r="Y7358">
        <v>6.6010689999999997E-2</v>
      </c>
      <c r="Z7358">
        <v>9.8998019999999996E-4</v>
      </c>
      <c r="AA7358">
        <v>0.99781839999999999</v>
      </c>
      <c r="AB7358">
        <v>22</v>
      </c>
      <c r="AC7358">
        <v>-65.042199999999895</v>
      </c>
      <c r="AD7358">
        <v>-1.11030253224</v>
      </c>
      <c r="AE7358">
        <v>2.67330000000001</v>
      </c>
      <c r="AF7358">
        <v>4.31086765297092</v>
      </c>
      <c r="AG7358">
        <v>-1.11030253224</v>
      </c>
      <c r="AH7358">
        <v>64.935246714272097</v>
      </c>
      <c r="AI7358">
        <v>90.977431686710503</v>
      </c>
      <c r="AJ7358">
        <v>86.201868239208594</v>
      </c>
      <c r="AK7358">
        <v>65.087653341305199</v>
      </c>
      <c r="AL7358">
        <v>87.022866822549304</v>
      </c>
      <c r="AM7358">
        <v>90.067199077447597</v>
      </c>
      <c r="AN7358">
        <v>1.00000004434176</v>
      </c>
    </row>
    <row r="7359" spans="1:40" x14ac:dyDescent="0.25">
      <c r="A7359" t="str">
        <f>"20190312150836586"</f>
        <v>20190312150836586</v>
      </c>
      <c r="B7359" t="str">
        <f>"1552374516577159"</f>
        <v>1552374516577159</v>
      </c>
      <c r="C7359" t="s">
        <v>40</v>
      </c>
      <c r="D7359">
        <v>4.4338709999999999</v>
      </c>
      <c r="E7359">
        <v>0.52601779999999998</v>
      </c>
      <c r="F7359" t="s">
        <v>77</v>
      </c>
      <c r="G7359">
        <v>-412.12450000000001</v>
      </c>
      <c r="H7359" s="1">
        <v>-1.1710790000000001E-5</v>
      </c>
      <c r="I7359">
        <v>143.065</v>
      </c>
      <c r="J7359">
        <v>-349.74310000000003</v>
      </c>
      <c r="K7359">
        <v>1.1102890000000001</v>
      </c>
      <c r="L7359">
        <v>140.52600000000001</v>
      </c>
      <c r="M7359">
        <v>-0.99961160000000004</v>
      </c>
      <c r="N7359">
        <v>0</v>
      </c>
      <c r="O7359">
        <v>-2.507245E-2</v>
      </c>
      <c r="P7359">
        <v>-0.99887130000000002</v>
      </c>
      <c r="Q7359">
        <v>3.9508010000000003E-2</v>
      </c>
      <c r="R7359">
        <v>-2.6364149999999999E-2</v>
      </c>
      <c r="S7359">
        <v>-3.0087280000000001</v>
      </c>
      <c r="T7359">
        <v>-5.3365709999999997E-2</v>
      </c>
      <c r="U7359">
        <v>0.121780399999999</v>
      </c>
      <c r="V7359">
        <v>-1.296995E-3</v>
      </c>
      <c r="W7359">
        <v>5.1664059999999998E-2</v>
      </c>
      <c r="X7359">
        <v>0.99866370000000004</v>
      </c>
      <c r="Y7359">
        <v>6.5469449999999998E-2</v>
      </c>
      <c r="Z7359">
        <v>1.0248779999999999E-3</v>
      </c>
      <c r="AA7359">
        <v>0.99785409999999997</v>
      </c>
      <c r="AB7359">
        <v>22</v>
      </c>
      <c r="AC7359">
        <v>-62.3813999999999</v>
      </c>
      <c r="AD7359">
        <v>-1.11030071078999</v>
      </c>
      <c r="AE7359">
        <v>2.5389999999999802</v>
      </c>
      <c r="AF7359">
        <v>4.1010749859696203</v>
      </c>
      <c r="AG7359">
        <v>-1.11030071078999</v>
      </c>
      <c r="AH7359">
        <v>62.278426479288903</v>
      </c>
      <c r="AI7359">
        <v>91.019154978958099</v>
      </c>
      <c r="AJ7359">
        <v>86.232474999019502</v>
      </c>
      <c r="AK7359">
        <v>62.423184702841901</v>
      </c>
      <c r="AL7359">
        <v>87.038549036943294</v>
      </c>
      <c r="AM7359">
        <v>90.074411734169004</v>
      </c>
      <c r="AN7359">
        <v>1.0000000214947</v>
      </c>
    </row>
    <row r="7360" spans="1:40" x14ac:dyDescent="0.25">
      <c r="A7360" t="str">
        <f>"20190312150836609"</f>
        <v>20190312150836609</v>
      </c>
      <c r="B7360" t="str">
        <f>"1552374516597656"</f>
        <v>1552374516597656</v>
      </c>
      <c r="C7360" t="s">
        <v>40</v>
      </c>
      <c r="D7360">
        <v>4.2439439999999999</v>
      </c>
      <c r="E7360">
        <v>0.52605440000000003</v>
      </c>
      <c r="F7360" t="s">
        <v>77</v>
      </c>
      <c r="G7360">
        <v>-410.06299999999999</v>
      </c>
      <c r="H7360" s="1">
        <v>-1.1879820000000001E-5</v>
      </c>
      <c r="I7360">
        <v>142.97409999999999</v>
      </c>
      <c r="J7360">
        <v>-349.96230000000003</v>
      </c>
      <c r="K7360">
        <v>1.1103000000000001</v>
      </c>
      <c r="L7360">
        <v>140.5206</v>
      </c>
      <c r="M7360">
        <v>-0.99961509999999998</v>
      </c>
      <c r="N7360">
        <v>0</v>
      </c>
      <c r="O7360">
        <v>-2.4937899999999999E-2</v>
      </c>
      <c r="P7360">
        <v>-0.99886609999999998</v>
      </c>
      <c r="Q7360">
        <v>3.9330660000000003E-2</v>
      </c>
      <c r="R7360">
        <v>-2.6833579999999999E-2</v>
      </c>
      <c r="S7360">
        <v>-3.0087890000000002</v>
      </c>
      <c r="T7360">
        <v>-5.538237E-2</v>
      </c>
      <c r="U7360">
        <v>0.12211610000000001</v>
      </c>
      <c r="V7360">
        <v>-1.90131E-3</v>
      </c>
      <c r="W7360">
        <v>5.1488810000000003E-2</v>
      </c>
      <c r="X7360">
        <v>0.9986718</v>
      </c>
      <c r="Y7360">
        <v>6.54444E-2</v>
      </c>
      <c r="Z7360">
        <v>1.060872E-3</v>
      </c>
      <c r="AA7360">
        <v>0.99785570000000001</v>
      </c>
      <c r="AB7360">
        <v>22</v>
      </c>
      <c r="AC7360">
        <v>-60.100700000000003</v>
      </c>
      <c r="AD7360">
        <v>-1.11031187982</v>
      </c>
      <c r="AE7360">
        <v>2.4534999999999898</v>
      </c>
      <c r="AF7360">
        <v>3.95028686484453</v>
      </c>
      <c r="AG7360">
        <v>-1.11031187982</v>
      </c>
      <c r="AH7360">
        <v>60.000372590949603</v>
      </c>
      <c r="AI7360">
        <v>91.057852475941701</v>
      </c>
      <c r="AJ7360">
        <v>86.233213569703693</v>
      </c>
      <c r="AK7360">
        <v>60.140521030648003</v>
      </c>
      <c r="AL7360">
        <v>87.048603553810096</v>
      </c>
      <c r="AM7360">
        <v>90.109081789361099</v>
      </c>
      <c r="AN7360">
        <v>1.00000003832508</v>
      </c>
    </row>
    <row r="7361" spans="1:40" x14ac:dyDescent="0.25">
      <c r="A7361" t="str">
        <f>"20190312150836631"</f>
        <v>20190312150836631</v>
      </c>
      <c r="B7361" t="str">
        <f>"1552374516626939"</f>
        <v>1552374516626939</v>
      </c>
      <c r="C7361" t="s">
        <v>40</v>
      </c>
      <c r="D7361">
        <v>4.2237539999999996</v>
      </c>
      <c r="E7361">
        <v>0.52609099999999998</v>
      </c>
      <c r="F7361" t="s">
        <v>77</v>
      </c>
      <c r="G7361">
        <v>-408.61579999999998</v>
      </c>
      <c r="H7361" s="1">
        <v>-1.115392E-5</v>
      </c>
      <c r="I7361">
        <v>142.87870000000001</v>
      </c>
      <c r="J7361">
        <v>-350.18540000000002</v>
      </c>
      <c r="K7361">
        <v>1.1103080000000001</v>
      </c>
      <c r="L7361">
        <v>140.51519999999999</v>
      </c>
      <c r="M7361">
        <v>-0.99961820000000001</v>
      </c>
      <c r="N7361">
        <v>0</v>
      </c>
      <c r="O7361">
        <v>-2.480591E-2</v>
      </c>
      <c r="P7361">
        <v>-0.99886909999999896</v>
      </c>
      <c r="Q7361">
        <v>3.9463560000000002E-2</v>
      </c>
      <c r="R7361">
        <v>-2.651974E-2</v>
      </c>
      <c r="S7361">
        <v>-3.0089419999999998</v>
      </c>
      <c r="T7361">
        <v>-5.6959269999999999E-2</v>
      </c>
      <c r="U7361">
        <v>0.1209717</v>
      </c>
      <c r="V7361">
        <v>-1.719387E-3</v>
      </c>
      <c r="W7361">
        <v>5.1627390000000002E-2</v>
      </c>
      <c r="X7361">
        <v>0.99866489999999997</v>
      </c>
      <c r="Y7361">
        <v>6.49309E-2</v>
      </c>
      <c r="Z7361">
        <v>1.083669E-3</v>
      </c>
      <c r="AA7361">
        <v>0.99788920000000003</v>
      </c>
      <c r="AB7361">
        <v>22</v>
      </c>
      <c r="AC7361">
        <v>-58.430399999999899</v>
      </c>
      <c r="AD7361">
        <v>-1.1103191539199999</v>
      </c>
      <c r="AE7361">
        <v>2.3635000000000099</v>
      </c>
      <c r="AF7361">
        <v>3.8109253636804699</v>
      </c>
      <c r="AG7361">
        <v>-1.1103191539199999</v>
      </c>
      <c r="AH7361">
        <v>58.332755289677998</v>
      </c>
      <c r="AI7361">
        <v>91.088130339653205</v>
      </c>
      <c r="AJ7361">
        <v>86.262132930246096</v>
      </c>
      <c r="AK7361">
        <v>58.467651743819602</v>
      </c>
      <c r="AL7361">
        <v>87.040652707786705</v>
      </c>
      <c r="AM7361">
        <v>90.098645222348097</v>
      </c>
      <c r="AN7361">
        <v>0.99999996309093797</v>
      </c>
    </row>
    <row r="7362" spans="1:40" x14ac:dyDescent="0.25">
      <c r="A7362" t="str">
        <f>"20190312150836654"</f>
        <v>20190312150836654</v>
      </c>
      <c r="B7362" t="str">
        <f>"1552374516647431"</f>
        <v>1552374516647431</v>
      </c>
      <c r="C7362" t="s">
        <v>40</v>
      </c>
      <c r="D7362">
        <v>4.2427640000000002</v>
      </c>
      <c r="E7362">
        <v>0.52612959999999998</v>
      </c>
      <c r="F7362" t="s">
        <v>77</v>
      </c>
      <c r="G7362">
        <v>-407.14550000000003</v>
      </c>
      <c r="H7362" s="1">
        <v>-1.0245530000000001E-5</v>
      </c>
      <c r="I7362">
        <v>142.82550000000001</v>
      </c>
      <c r="J7362">
        <v>-350.40620000000001</v>
      </c>
      <c r="K7362">
        <v>1.110312</v>
      </c>
      <c r="L7362">
        <v>140.50989999999999</v>
      </c>
      <c r="M7362">
        <v>-0.99962130000000005</v>
      </c>
      <c r="N7362">
        <v>0</v>
      </c>
      <c r="O7362">
        <v>-2.467917E-2</v>
      </c>
      <c r="P7362">
        <v>-0.9988747</v>
      </c>
      <c r="Q7362">
        <v>3.9488679999999998E-2</v>
      </c>
      <c r="R7362">
        <v>-2.6271849999999999E-2</v>
      </c>
      <c r="S7362">
        <v>-3.0089109999999999</v>
      </c>
      <c r="T7362">
        <v>-5.86524E-2</v>
      </c>
      <c r="U7362">
        <v>0.1220398</v>
      </c>
      <c r="V7362">
        <v>-1.5984300000000001E-3</v>
      </c>
      <c r="W7362">
        <v>5.1663109999999998E-2</v>
      </c>
      <c r="X7362">
        <v>0.99866330000000003</v>
      </c>
      <c r="Y7362">
        <v>6.5157469999999995E-2</v>
      </c>
      <c r="Z7362">
        <v>1.115617E-3</v>
      </c>
      <c r="AA7362">
        <v>0.99787440000000005</v>
      </c>
      <c r="AB7362">
        <v>22</v>
      </c>
      <c r="AC7362">
        <v>-56.7393</v>
      </c>
      <c r="AD7362">
        <v>-1.1103222455299999</v>
      </c>
      <c r="AE7362">
        <v>2.3156000000000101</v>
      </c>
      <c r="AF7362">
        <v>3.7138573980927698</v>
      </c>
      <c r="AG7362">
        <v>-1.1103222455299999</v>
      </c>
      <c r="AH7362">
        <v>56.6432097722628</v>
      </c>
      <c r="AI7362">
        <v>91.120564740989806</v>
      </c>
      <c r="AJ7362">
        <v>86.248725614934202</v>
      </c>
      <c r="AK7362">
        <v>56.775688155819502</v>
      </c>
      <c r="AL7362">
        <v>87.038603504693398</v>
      </c>
      <c r="AM7362">
        <v>90.091705797780307</v>
      </c>
      <c r="AN7362">
        <v>1.00000000934011</v>
      </c>
    </row>
    <row r="7363" spans="1:40" x14ac:dyDescent="0.25">
      <c r="A7363" t="str">
        <f>"20190312150836676"</f>
        <v>20190312150836676</v>
      </c>
      <c r="B7363" t="str">
        <f>"1552374516666955"</f>
        <v>1552374516666955</v>
      </c>
      <c r="C7363" t="s">
        <v>40</v>
      </c>
      <c r="D7363">
        <v>4.4427570000000003</v>
      </c>
      <c r="E7363">
        <v>0.52616770000000002</v>
      </c>
      <c r="F7363" t="s">
        <v>77</v>
      </c>
      <c r="G7363">
        <v>-406.137</v>
      </c>
      <c r="H7363" s="1">
        <v>-9.6027030000000003E-6</v>
      </c>
      <c r="I7363">
        <v>142.78899999999999</v>
      </c>
      <c r="J7363">
        <v>-350.63049999999998</v>
      </c>
      <c r="K7363">
        <v>1.1103099999999999</v>
      </c>
      <c r="L7363">
        <v>140.50450000000001</v>
      </c>
      <c r="M7363">
        <v>-0.99962430000000002</v>
      </c>
      <c r="N7363">
        <v>0</v>
      </c>
      <c r="O7363">
        <v>-2.455398E-2</v>
      </c>
      <c r="P7363">
        <v>-0.99887309999999996</v>
      </c>
      <c r="Q7363">
        <v>3.9766320000000001E-2</v>
      </c>
      <c r="R7363">
        <v>-2.5920760000000001E-2</v>
      </c>
      <c r="S7363">
        <v>-3.0089109999999999</v>
      </c>
      <c r="T7363">
        <v>-5.9946300000000001E-2</v>
      </c>
      <c r="U7363">
        <v>0.1230469</v>
      </c>
      <c r="V7363">
        <v>-1.3722140000000001E-3</v>
      </c>
      <c r="W7363">
        <v>5.1955010000000003E-2</v>
      </c>
      <c r="X7363">
        <v>0.99864850000000005</v>
      </c>
      <c r="Y7363">
        <v>6.536517E-2</v>
      </c>
      <c r="Z7363">
        <v>1.139791E-3</v>
      </c>
      <c r="AA7363">
        <v>0.99786079999999999</v>
      </c>
      <c r="AB7363">
        <v>22</v>
      </c>
      <c r="AC7363">
        <v>-55.506499999999903</v>
      </c>
      <c r="AD7363">
        <v>-1.110319602703</v>
      </c>
      <c r="AE7363">
        <v>2.28449999999998</v>
      </c>
      <c r="AF7363">
        <v>3.6453615607701901</v>
      </c>
      <c r="AG7363">
        <v>-1.110319602703</v>
      </c>
      <c r="AH7363">
        <v>55.411530198496003</v>
      </c>
      <c r="AI7363">
        <v>91.145446634778907</v>
      </c>
      <c r="AJ7363">
        <v>86.236102937119796</v>
      </c>
      <c r="AK7363">
        <v>55.542408567397601</v>
      </c>
      <c r="AL7363">
        <v>87.021856396231399</v>
      </c>
      <c r="AM7363">
        <v>90.078728422770794</v>
      </c>
      <c r="AN7363">
        <v>1.0000000162938001</v>
      </c>
    </row>
    <row r="7364" spans="1:40" x14ac:dyDescent="0.25">
      <c r="A7364" t="str">
        <f>"20190312150836699"</f>
        <v>20190312150836699</v>
      </c>
      <c r="B7364" t="str">
        <f>"1552374516687448"</f>
        <v>1552374516687448</v>
      </c>
      <c r="C7364" t="s">
        <v>40</v>
      </c>
      <c r="D7364">
        <v>4.2264910000000002</v>
      </c>
      <c r="E7364">
        <v>0.52623059999999999</v>
      </c>
      <c r="F7364" t="s">
        <v>77</v>
      </c>
      <c r="G7364">
        <v>-407.04239999999999</v>
      </c>
      <c r="H7364" s="1">
        <v>-1.018663E-5</v>
      </c>
      <c r="I7364">
        <v>142.8383</v>
      </c>
      <c r="J7364">
        <v>-350.84620000000001</v>
      </c>
      <c r="K7364">
        <v>1.1103130000000001</v>
      </c>
      <c r="L7364">
        <v>140.49940000000001</v>
      </c>
      <c r="M7364">
        <v>-0.99962680000000004</v>
      </c>
      <c r="N7364">
        <v>0</v>
      </c>
      <c r="O7364">
        <v>-2.4436659999999999E-2</v>
      </c>
      <c r="P7364">
        <v>-0.99886889999999995</v>
      </c>
      <c r="Q7364">
        <v>3.9834889999999998E-2</v>
      </c>
      <c r="R7364">
        <v>-2.5970239999999999E-2</v>
      </c>
      <c r="S7364">
        <v>-3.0090029999999999</v>
      </c>
      <c r="T7364">
        <v>-5.9224249999999999E-2</v>
      </c>
      <c r="U7364">
        <v>0.1244812</v>
      </c>
      <c r="V7364">
        <v>-1.5393500000000001E-3</v>
      </c>
      <c r="W7364">
        <v>5.204168E-2</v>
      </c>
      <c r="X7364">
        <v>0.99864379999999997</v>
      </c>
      <c r="Y7364">
        <v>6.5722050000000004E-2</v>
      </c>
      <c r="Z7364">
        <v>1.1272229999999999E-3</v>
      </c>
      <c r="AA7364">
        <v>0.99783730000000004</v>
      </c>
      <c r="AB7364">
        <v>22</v>
      </c>
      <c r="AC7364">
        <v>-56.196199999999898</v>
      </c>
      <c r="AD7364">
        <v>-1.1103231866299901</v>
      </c>
      <c r="AE7364">
        <v>2.33889999999999</v>
      </c>
      <c r="AF7364">
        <v>3.71010544330787</v>
      </c>
      <c r="AG7364">
        <v>-1.1103231866299901</v>
      </c>
      <c r="AH7364">
        <v>56.100394567596197</v>
      </c>
      <c r="AI7364">
        <v>91.131363147899805</v>
      </c>
      <c r="AJ7364">
        <v>86.216349439321704</v>
      </c>
      <c r="AK7364">
        <v>56.2339041025893</v>
      </c>
      <c r="AL7364">
        <v>87.0168840124078</v>
      </c>
      <c r="AM7364">
        <v>90.088317965163696</v>
      </c>
      <c r="AN7364">
        <v>1.0000000726670299</v>
      </c>
    </row>
    <row r="7365" spans="1:40" x14ac:dyDescent="0.25">
      <c r="A7365" t="str">
        <f>"20190312150836722"</f>
        <v>20190312150836722</v>
      </c>
      <c r="B7365" t="str">
        <f>"1552374516717705"</f>
        <v>1552374516717705</v>
      </c>
      <c r="C7365" t="s">
        <v>40</v>
      </c>
      <c r="D7365">
        <v>4.2216360000000002</v>
      </c>
      <c r="E7365">
        <v>0.52631059999999996</v>
      </c>
      <c r="F7365" t="s">
        <v>77</v>
      </c>
      <c r="G7365">
        <v>-407.52710000000002</v>
      </c>
      <c r="H7365" s="1">
        <v>-1.049408E-5</v>
      </c>
      <c r="I7365">
        <v>142.85230000000001</v>
      </c>
      <c r="J7365">
        <v>-351.07429999999999</v>
      </c>
      <c r="K7365">
        <v>1.1103160000000001</v>
      </c>
      <c r="L7365">
        <v>140.494</v>
      </c>
      <c r="M7365">
        <v>-0.99962949999999995</v>
      </c>
      <c r="N7365">
        <v>0</v>
      </c>
      <c r="O7365">
        <v>-2.431614E-2</v>
      </c>
      <c r="P7365">
        <v>-0.99887230000000005</v>
      </c>
      <c r="Q7365">
        <v>4.0089100000000003E-2</v>
      </c>
      <c r="R7365">
        <v>-2.5448999999999999E-2</v>
      </c>
      <c r="S7365">
        <v>-3.0090330000000001</v>
      </c>
      <c r="T7365">
        <v>-5.8943990000000002E-2</v>
      </c>
      <c r="U7365">
        <v>0.1249084</v>
      </c>
      <c r="V7365">
        <v>-1.1383820000000001E-3</v>
      </c>
      <c r="W7365">
        <v>5.2318339999999998E-2</v>
      </c>
      <c r="X7365">
        <v>0.99862980000000001</v>
      </c>
      <c r="Y7365">
        <v>6.5742949999999994E-2</v>
      </c>
      <c r="Z7365">
        <v>1.11972E-3</v>
      </c>
      <c r="AA7365">
        <v>0.99783599999999995</v>
      </c>
      <c r="AB7365">
        <v>22</v>
      </c>
      <c r="AC7365">
        <v>-56.452800000000003</v>
      </c>
      <c r="AD7365">
        <v>-1.1103264940799999</v>
      </c>
      <c r="AE7365">
        <v>2.3583000000000101</v>
      </c>
      <c r="AF7365">
        <v>3.7289794592994601</v>
      </c>
      <c r="AG7365">
        <v>-1.1103264940799999</v>
      </c>
      <c r="AH7365">
        <v>56.356993324366002</v>
      </c>
      <c r="AI7365">
        <v>91.126214121734904</v>
      </c>
      <c r="AJ7365">
        <v>86.214421864910605</v>
      </c>
      <c r="AK7365">
        <v>56.491139210445802</v>
      </c>
      <c r="AL7365">
        <v>87.001010694140504</v>
      </c>
      <c r="AM7365">
        <v>90.065313948994103</v>
      </c>
      <c r="AN7365">
        <v>0.99999999103098602</v>
      </c>
    </row>
    <row r="7366" spans="1:40" x14ac:dyDescent="0.25">
      <c r="A7366" t="str">
        <f>"20190312150836744"</f>
        <v>20190312150836744</v>
      </c>
      <c r="B7366" t="str">
        <f>"1552374516737224"</f>
        <v>1552374516737224</v>
      </c>
      <c r="C7366" t="s">
        <v>40</v>
      </c>
      <c r="D7366">
        <v>4.198455</v>
      </c>
      <c r="E7366">
        <v>0.52634510000000001</v>
      </c>
      <c r="F7366" t="s">
        <v>77</v>
      </c>
      <c r="G7366">
        <v>-407.15019999999998</v>
      </c>
      <c r="H7366" s="1">
        <v>-1.026295E-5</v>
      </c>
      <c r="I7366">
        <v>142.86070000000001</v>
      </c>
      <c r="J7366">
        <v>-351.29149999999998</v>
      </c>
      <c r="K7366">
        <v>1.1103209999999999</v>
      </c>
      <c r="L7366">
        <v>140.4889</v>
      </c>
      <c r="M7366">
        <v>-0.99963219999999997</v>
      </c>
      <c r="N7366">
        <v>0</v>
      </c>
      <c r="O7366">
        <v>-2.4195080000000001E-2</v>
      </c>
      <c r="P7366">
        <v>-0.99888469999999996</v>
      </c>
      <c r="Q7366">
        <v>4.0060070000000003E-2</v>
      </c>
      <c r="R7366">
        <v>-2.4993919999999999E-2</v>
      </c>
      <c r="S7366">
        <v>-3.0090330000000001</v>
      </c>
      <c r="T7366">
        <v>-5.9580090000000002E-2</v>
      </c>
      <c r="U7366">
        <v>0.1269989</v>
      </c>
      <c r="V7366">
        <v>-8.0505289999999998E-4</v>
      </c>
      <c r="W7366">
        <v>5.2311200000000002E-2</v>
      </c>
      <c r="X7366">
        <v>0.99863049999999998</v>
      </c>
      <c r="Y7366">
        <v>6.6313650000000002E-2</v>
      </c>
      <c r="Z7366">
        <v>1.135037E-3</v>
      </c>
      <c r="AA7366">
        <v>0.99779819999999997</v>
      </c>
      <c r="AB7366">
        <v>22</v>
      </c>
      <c r="AC7366">
        <v>-55.858699999999999</v>
      </c>
      <c r="AD7366">
        <v>-1.11033126295</v>
      </c>
      <c r="AE7366">
        <v>2.3717999999999999</v>
      </c>
      <c r="AF7366">
        <v>3.72124502448886</v>
      </c>
      <c r="AG7366">
        <v>-1.11033126295</v>
      </c>
      <c r="AH7366">
        <v>55.762961930921698</v>
      </c>
      <c r="AI7366">
        <v>91.138170576389697</v>
      </c>
      <c r="AJ7366">
        <v>86.182125742735494</v>
      </c>
      <c r="AK7366">
        <v>55.898018062854398</v>
      </c>
      <c r="AL7366">
        <v>87.001420351808093</v>
      </c>
      <c r="AM7366">
        <v>90.046189379818102</v>
      </c>
      <c r="AN7366">
        <v>0.99999999264293005</v>
      </c>
    </row>
    <row r="7367" spans="1:40" x14ac:dyDescent="0.25">
      <c r="A7367" t="str">
        <f>"20190312150836766"</f>
        <v>20190312150836766</v>
      </c>
      <c r="B7367" t="str">
        <f>"1552374516757720"</f>
        <v>1552374516757720</v>
      </c>
      <c r="C7367" t="s">
        <v>40</v>
      </c>
      <c r="D7367">
        <v>4.2061909999999996</v>
      </c>
      <c r="E7367">
        <v>0.52638269999999998</v>
      </c>
      <c r="F7367" t="s">
        <v>77</v>
      </c>
      <c r="G7367">
        <v>-406.18860000000001</v>
      </c>
      <c r="H7367" s="1">
        <v>-9.6528369999999997E-6</v>
      </c>
      <c r="I7367">
        <v>142.8329</v>
      </c>
      <c r="J7367">
        <v>-351.51409999999998</v>
      </c>
      <c r="K7367">
        <v>1.110333</v>
      </c>
      <c r="L7367">
        <v>140.4837</v>
      </c>
      <c r="M7367">
        <v>-0.99963489999999999</v>
      </c>
      <c r="N7367">
        <v>0</v>
      </c>
      <c r="O7367">
        <v>-2.4070520000000001E-2</v>
      </c>
      <c r="P7367">
        <v>-0.99889220000000001</v>
      </c>
      <c r="Q7367">
        <v>4.0082479999999997E-2</v>
      </c>
      <c r="R7367">
        <v>-2.4658179999999998E-2</v>
      </c>
      <c r="S7367">
        <v>-3.008972</v>
      </c>
      <c r="T7367">
        <v>-6.0858490000000001E-2</v>
      </c>
      <c r="U7367">
        <v>0.12847900000000001</v>
      </c>
      <c r="V7367">
        <v>-5.9362589999999995E-4</v>
      </c>
      <c r="W7367">
        <v>5.2353579999999997E-2</v>
      </c>
      <c r="X7367">
        <v>0.99862839999999997</v>
      </c>
      <c r="Y7367">
        <v>6.6679310000000006E-2</v>
      </c>
      <c r="Z7367">
        <v>1.160576E-3</v>
      </c>
      <c r="AA7367">
        <v>0.99777380000000004</v>
      </c>
      <c r="AB7367">
        <v>22</v>
      </c>
      <c r="AC7367">
        <v>-54.674500000000002</v>
      </c>
      <c r="AD7367">
        <v>-1.110342652837</v>
      </c>
      <c r="AE7367">
        <v>2.34919999999999</v>
      </c>
      <c r="AF7367">
        <v>3.6631540626299501</v>
      </c>
      <c r="AG7367">
        <v>-1.110342652837</v>
      </c>
      <c r="AH7367">
        <v>54.579637167442101</v>
      </c>
      <c r="AI7367">
        <v>91.162822507796506</v>
      </c>
      <c r="AJ7367">
        <v>86.160308388881802</v>
      </c>
      <c r="AK7367">
        <v>54.713694371911203</v>
      </c>
      <c r="AL7367">
        <v>86.998988743280293</v>
      </c>
      <c r="AM7367">
        <v>90.034058969956604</v>
      </c>
      <c r="AN7367">
        <v>0.99999996550854198</v>
      </c>
    </row>
    <row r="7368" spans="1:40" x14ac:dyDescent="0.25">
      <c r="A7368" t="str">
        <f>"20190312150836787"</f>
        <v>20190312150836787</v>
      </c>
      <c r="B7368" t="str">
        <f>"1552374516777240"</f>
        <v>1552374516777240</v>
      </c>
      <c r="C7368" t="s">
        <v>40</v>
      </c>
      <c r="D7368">
        <v>4.1731040000000004</v>
      </c>
      <c r="E7368">
        <v>0.52646569999999904</v>
      </c>
      <c r="F7368" t="s">
        <v>77</v>
      </c>
      <c r="G7368">
        <v>-405.90499999999997</v>
      </c>
      <c r="H7368" s="1">
        <v>-9.4757180000000007E-6</v>
      </c>
      <c r="I7368">
        <v>142.8314</v>
      </c>
      <c r="J7368">
        <v>-351.7285</v>
      </c>
      <c r="K7368">
        <v>1.1103339999999999</v>
      </c>
      <c r="L7368">
        <v>140.4787</v>
      </c>
      <c r="M7368">
        <v>-0.99963749999999996</v>
      </c>
      <c r="N7368">
        <v>0</v>
      </c>
      <c r="O7368">
        <v>-2.394692E-2</v>
      </c>
      <c r="P7368">
        <v>-0.99890270000000003</v>
      </c>
      <c r="Q7368">
        <v>3.9847170000000001E-2</v>
      </c>
      <c r="R7368">
        <v>-2.4612350000000002E-2</v>
      </c>
      <c r="S7368">
        <v>-3.0090330000000001</v>
      </c>
      <c r="T7368">
        <v>-6.1426759999999997E-2</v>
      </c>
      <c r="U7368">
        <v>0.12988279999999999</v>
      </c>
      <c r="V7368">
        <v>-6.7125140000000002E-4</v>
      </c>
      <c r="W7368">
        <v>5.2135969999999997E-2</v>
      </c>
      <c r="X7368">
        <v>0.99863979999999997</v>
      </c>
      <c r="Y7368">
        <v>6.7019319999999993E-2</v>
      </c>
      <c r="Z7368">
        <v>1.1723230000000001E-3</v>
      </c>
      <c r="AA7368">
        <v>0.99775100000000005</v>
      </c>
      <c r="AB7368">
        <v>22</v>
      </c>
      <c r="AC7368">
        <v>-54.176499999999898</v>
      </c>
      <c r="AD7368">
        <v>-1.110343475718</v>
      </c>
      <c r="AE7368">
        <v>2.3526999999999898</v>
      </c>
      <c r="AF7368">
        <v>3.64795434878689</v>
      </c>
      <c r="AG7368">
        <v>-1.110343475718</v>
      </c>
      <c r="AH7368">
        <v>54.081943411021399</v>
      </c>
      <c r="AI7368">
        <v>91.173494923648207</v>
      </c>
      <c r="AJ7368">
        <v>86.141110177514406</v>
      </c>
      <c r="AK7368">
        <v>54.216206402493903</v>
      </c>
      <c r="AL7368">
        <v>87.011474122264403</v>
      </c>
      <c r="AM7368">
        <v>90.038512250783597</v>
      </c>
      <c r="AN7368">
        <v>1.0000000300451599</v>
      </c>
    </row>
    <row r="7369" spans="1:40" x14ac:dyDescent="0.25">
      <c r="A7369" t="str">
        <f>"20190312150836810"</f>
        <v>20190312150836810</v>
      </c>
      <c r="B7369" t="str">
        <f>"1552374516807496"</f>
        <v>1552374516807496</v>
      </c>
      <c r="C7369" t="s">
        <v>40</v>
      </c>
      <c r="D7369">
        <v>4.184882</v>
      </c>
      <c r="E7369">
        <v>0.54148019999999997</v>
      </c>
      <c r="F7369" t="s">
        <v>77</v>
      </c>
      <c r="G7369">
        <v>-405.48570000000001</v>
      </c>
      <c r="H7369" s="1">
        <v>-9.2073930000000002E-6</v>
      </c>
      <c r="I7369">
        <v>142.81379999999999</v>
      </c>
      <c r="J7369">
        <v>-351.94909999999999</v>
      </c>
      <c r="K7369">
        <v>1.1103400000000001</v>
      </c>
      <c r="L7369">
        <v>140.4735</v>
      </c>
      <c r="M7369">
        <v>-0.99964050000000004</v>
      </c>
      <c r="N7369">
        <v>0</v>
      </c>
      <c r="O7369">
        <v>-2.3819489999999999E-2</v>
      </c>
      <c r="P7369">
        <v>-0.99893779999999999</v>
      </c>
      <c r="Q7369">
        <v>3.9369170000000002E-2</v>
      </c>
      <c r="R7369">
        <v>-2.39505E-2</v>
      </c>
      <c r="S7369">
        <v>-3.0090029999999999</v>
      </c>
      <c r="T7369">
        <v>-6.2150360000000002E-2</v>
      </c>
      <c r="U7369">
        <v>0.13070680000000001</v>
      </c>
      <c r="V7369">
        <v>-1.360186E-4</v>
      </c>
      <c r="W7369">
        <v>5.167596E-2</v>
      </c>
      <c r="X7369">
        <v>0.99866390000000005</v>
      </c>
      <c r="Y7369">
        <v>6.716482E-2</v>
      </c>
      <c r="Z7369">
        <v>1.185006E-3</v>
      </c>
      <c r="AA7369">
        <v>0.99774119999999999</v>
      </c>
      <c r="AB7369">
        <v>22</v>
      </c>
      <c r="AC7369">
        <v>-53.5366</v>
      </c>
      <c r="AD7369">
        <v>-1.1103492073929999</v>
      </c>
      <c r="AE7369">
        <v>2.3402999999999801</v>
      </c>
      <c r="AF7369">
        <v>3.61339568852426</v>
      </c>
      <c r="AG7369">
        <v>-1.1103492073929999</v>
      </c>
      <c r="AH7369">
        <v>53.442714672217399</v>
      </c>
      <c r="AI7369">
        <v>91.187520457053594</v>
      </c>
      <c r="AJ7369">
        <v>86.131975946675993</v>
      </c>
      <c r="AK7369">
        <v>53.576237785983501</v>
      </c>
      <c r="AL7369">
        <v>87.037866254080001</v>
      </c>
      <c r="AM7369">
        <v>90.007803718215001</v>
      </c>
      <c r="AN7369">
        <v>1.0000000042530901</v>
      </c>
    </row>
    <row r="7370" spans="1:40" x14ac:dyDescent="0.25">
      <c r="A7370" t="str">
        <f>"20190312150836833"</f>
        <v>20190312150836833</v>
      </c>
      <c r="B7370" t="str">
        <f>"1552374516827720"</f>
        <v>1552374516827720</v>
      </c>
      <c r="C7370" t="s">
        <v>40</v>
      </c>
      <c r="D7370">
        <v>4.1581539999999997</v>
      </c>
      <c r="E7370">
        <v>0.54142609999999902</v>
      </c>
      <c r="F7370" t="s">
        <v>77</v>
      </c>
      <c r="G7370">
        <v>-428.15460000000002</v>
      </c>
      <c r="H7370" s="1">
        <v>-1.3772409999999999E-5</v>
      </c>
      <c r="I7370">
        <v>146.88149999999999</v>
      </c>
      <c r="J7370">
        <v>-352.17739999999998</v>
      </c>
      <c r="K7370">
        <v>1.1103400000000001</v>
      </c>
      <c r="L7370">
        <v>140.4683</v>
      </c>
      <c r="M7370">
        <v>-0.99964310000000001</v>
      </c>
      <c r="N7370">
        <v>0</v>
      </c>
      <c r="O7370">
        <v>-2.3691920000000002E-2</v>
      </c>
      <c r="P7370">
        <v>-0.9989384</v>
      </c>
      <c r="Q7370">
        <v>3.9429079999999998E-2</v>
      </c>
      <c r="R7370">
        <v>-2.3817390000000001E-2</v>
      </c>
      <c r="S7370">
        <v>-3.0110169999999998</v>
      </c>
      <c r="T7370">
        <v>-4.3872120000000001E-2</v>
      </c>
      <c r="U7370">
        <v>0.2531891</v>
      </c>
      <c r="V7370">
        <v>-1.303036E-4</v>
      </c>
      <c r="W7370">
        <v>5.1756919999999998E-2</v>
      </c>
      <c r="X7370">
        <v>0.99865970000000004</v>
      </c>
      <c r="Y7370">
        <v>0.1073649</v>
      </c>
      <c r="Z7370">
        <v>1.1254279999999999E-3</v>
      </c>
      <c r="AA7370">
        <v>0.99421910000000002</v>
      </c>
      <c r="AB7370">
        <v>22</v>
      </c>
      <c r="AC7370">
        <v>-75.977199999999996</v>
      </c>
      <c r="AD7370">
        <v>-1.1103537724100001</v>
      </c>
      <c r="AE7370">
        <v>6.4131999999999802</v>
      </c>
      <c r="AF7370">
        <v>8.2098414427891893</v>
      </c>
      <c r="AG7370">
        <v>-1.1103537724100001</v>
      </c>
      <c r="AH7370">
        <v>75.787845798025003</v>
      </c>
      <c r="AI7370">
        <v>90.834488619737996</v>
      </c>
      <c r="AJ7370">
        <v>83.817449816054307</v>
      </c>
      <c r="AK7370">
        <v>76.239307136941207</v>
      </c>
      <c r="AL7370">
        <v>87.033221347769498</v>
      </c>
      <c r="AM7370">
        <v>90.007475866196401</v>
      </c>
      <c r="AN7370">
        <v>0.99999999607550205</v>
      </c>
    </row>
    <row r="7371" spans="1:40" x14ac:dyDescent="0.25">
      <c r="A7371" t="str">
        <f>"20190312150836855"</f>
        <v>20190312150836855</v>
      </c>
      <c r="B7371" t="str">
        <f>"1552374516847221"</f>
        <v>1552374516847221</v>
      </c>
      <c r="C7371" t="s">
        <v>40</v>
      </c>
      <c r="D7371">
        <v>4.654865</v>
      </c>
      <c r="E7371">
        <v>0.54181020000000002</v>
      </c>
      <c r="F7371" t="s">
        <v>77</v>
      </c>
      <c r="G7371">
        <v>-418.95940000000002</v>
      </c>
      <c r="H7371" s="1">
        <v>-1.215541E-5</v>
      </c>
      <c r="I7371">
        <v>146.0778</v>
      </c>
      <c r="J7371">
        <v>-352.39389999999997</v>
      </c>
      <c r="K7371">
        <v>1.110344</v>
      </c>
      <c r="L7371">
        <v>140.4633</v>
      </c>
      <c r="M7371">
        <v>-0.99964569999999997</v>
      </c>
      <c r="N7371">
        <v>0</v>
      </c>
      <c r="O7371">
        <v>-2.3574850000000001E-2</v>
      </c>
      <c r="P7371">
        <v>-0.99893390000000004</v>
      </c>
      <c r="Q7371">
        <v>3.9472229999999997E-2</v>
      </c>
      <c r="R7371">
        <v>-2.3938129999999998E-2</v>
      </c>
      <c r="S7371">
        <v>-3.011139</v>
      </c>
      <c r="T7371">
        <v>-5.00648E-2</v>
      </c>
      <c r="U7371">
        <v>0.25292969999999998</v>
      </c>
      <c r="V7371">
        <v>-3.6792530000000001E-4</v>
      </c>
      <c r="W7371">
        <v>5.1822630000000001E-2</v>
      </c>
      <c r="X7371">
        <v>0.99865619999999999</v>
      </c>
      <c r="Y7371">
        <v>0.1071559</v>
      </c>
      <c r="Z7371">
        <v>1.2805410000000001E-3</v>
      </c>
      <c r="AA7371">
        <v>0.99424140000000005</v>
      </c>
      <c r="AB7371">
        <v>22</v>
      </c>
      <c r="AC7371">
        <v>-66.5655</v>
      </c>
      <c r="AD7371">
        <v>-1.1103561554100001</v>
      </c>
      <c r="AE7371">
        <v>5.6144999999999898</v>
      </c>
      <c r="AF7371">
        <v>7.1803470780865002</v>
      </c>
      <c r="AG7371">
        <v>-1.1103561554100001</v>
      </c>
      <c r="AH7371">
        <v>66.396281945925594</v>
      </c>
      <c r="AI7371">
        <v>90.952524913974401</v>
      </c>
      <c r="AJ7371">
        <v>83.8278028237104</v>
      </c>
      <c r="AK7371">
        <v>66.792638300912202</v>
      </c>
      <c r="AL7371">
        <v>87.029451284702603</v>
      </c>
      <c r="AM7371">
        <v>90.021108932095203</v>
      </c>
      <c r="AN7371">
        <v>0.99999996307379102</v>
      </c>
    </row>
    <row r="7372" spans="1:40" x14ac:dyDescent="0.25">
      <c r="A7372" t="str">
        <f>"20190312150836877"</f>
        <v>20190312150836877</v>
      </c>
      <c r="B7372" t="str">
        <f>"1552374516866741"</f>
        <v>1552374516866741</v>
      </c>
      <c r="C7372" t="s">
        <v>40</v>
      </c>
      <c r="D7372">
        <v>4.65402</v>
      </c>
      <c r="E7372">
        <v>0.54207459999999996</v>
      </c>
      <c r="F7372" t="s">
        <v>77</v>
      </c>
      <c r="G7372">
        <v>-416.55489999999998</v>
      </c>
      <c r="H7372" s="1">
        <v>-1.23067E-5</v>
      </c>
      <c r="I7372">
        <v>145.90719999999999</v>
      </c>
      <c r="J7372">
        <v>-352.60820000000001</v>
      </c>
      <c r="K7372">
        <v>1.1103479999999999</v>
      </c>
      <c r="L7372">
        <v>140.45840000000001</v>
      </c>
      <c r="M7372">
        <v>-0.99964830000000005</v>
      </c>
      <c r="N7372">
        <v>0</v>
      </c>
      <c r="O7372">
        <v>-2.3452939999999999E-2</v>
      </c>
      <c r="P7372">
        <v>-0.99892709999999996</v>
      </c>
      <c r="Q7372">
        <v>3.9597210000000001E-2</v>
      </c>
      <c r="R7372">
        <v>-2.402404E-2</v>
      </c>
      <c r="S7372">
        <v>-3.0114139999999998</v>
      </c>
      <c r="T7372">
        <v>-5.2114840000000003E-2</v>
      </c>
      <c r="U7372">
        <v>0.25550840000000002</v>
      </c>
      <c r="V7372">
        <v>-5.7601879999999905E-4</v>
      </c>
      <c r="W7372">
        <v>5.1970250000000003E-2</v>
      </c>
      <c r="X7372">
        <v>0.99864850000000005</v>
      </c>
      <c r="Y7372">
        <v>0.10787089999999901</v>
      </c>
      <c r="Z7372">
        <v>1.336868E-3</v>
      </c>
      <c r="AA7372">
        <v>0.99416400000000005</v>
      </c>
      <c r="AB7372">
        <v>22</v>
      </c>
      <c r="AC7372">
        <v>-63.9466999999999</v>
      </c>
      <c r="AD7372">
        <v>-1.1103603067000001</v>
      </c>
      <c r="AE7372">
        <v>5.4487999999999701</v>
      </c>
      <c r="AF7372">
        <v>6.9450752053167504</v>
      </c>
      <c r="AG7372">
        <v>-1.1103603067000001</v>
      </c>
      <c r="AH7372">
        <v>63.782216168694802</v>
      </c>
      <c r="AI7372">
        <v>90.991480439052793</v>
      </c>
      <c r="AJ7372">
        <v>83.785698242917505</v>
      </c>
      <c r="AK7372">
        <v>64.168824743860696</v>
      </c>
      <c r="AL7372">
        <v>87.020982075992094</v>
      </c>
      <c r="AM7372">
        <v>90.033048107016697</v>
      </c>
      <c r="AN7372">
        <v>1.0000000326174801</v>
      </c>
    </row>
    <row r="7373" spans="1:40" x14ac:dyDescent="0.25">
      <c r="A7373" t="str">
        <f>"20190312150836899"</f>
        <v>20190312150836899</v>
      </c>
      <c r="B7373" t="str">
        <f>"1552374516887237"</f>
        <v>1552374516887237</v>
      </c>
      <c r="C7373" t="s">
        <v>40</v>
      </c>
      <c r="D7373">
        <v>4.1635460000000002</v>
      </c>
      <c r="E7373">
        <v>0.54206460000000001</v>
      </c>
      <c r="F7373" t="s">
        <v>77</v>
      </c>
      <c r="G7373">
        <v>-431.78550000000001</v>
      </c>
      <c r="H7373" s="1">
        <v>-1.3356419999999999E-5</v>
      </c>
      <c r="I7373">
        <v>147.2337</v>
      </c>
      <c r="J7373">
        <v>-352.82920000000001</v>
      </c>
      <c r="K7373">
        <v>1.110352</v>
      </c>
      <c r="L7373">
        <v>140.45339999999999</v>
      </c>
      <c r="M7373">
        <v>-0.99965110000000001</v>
      </c>
      <c r="N7373">
        <v>0</v>
      </c>
      <c r="O7373">
        <v>-2.3320529999999999E-2</v>
      </c>
      <c r="P7373">
        <v>-0.99891110000000005</v>
      </c>
      <c r="Q7373">
        <v>3.9898009999999998E-2</v>
      </c>
      <c r="R7373">
        <v>-2.4183090000000001E-2</v>
      </c>
      <c r="S7373">
        <v>-3.0110779999999999</v>
      </c>
      <c r="T7373">
        <v>-4.2226550000000002E-2</v>
      </c>
      <c r="U7373">
        <v>0.2576599</v>
      </c>
      <c r="V7373">
        <v>-8.6743399999999896E-4</v>
      </c>
      <c r="W7373">
        <v>5.229168E-2</v>
      </c>
      <c r="X7373">
        <v>0.99863150000000001</v>
      </c>
      <c r="Y7373">
        <v>0.1084604</v>
      </c>
      <c r="Z7373">
        <v>1.0855979999999999E-3</v>
      </c>
      <c r="AA7373">
        <v>0.99410019999999999</v>
      </c>
      <c r="AB7373">
        <v>22</v>
      </c>
      <c r="AC7373">
        <v>-78.956299999999999</v>
      </c>
      <c r="AD7373">
        <v>-1.11036535642</v>
      </c>
      <c r="AE7373">
        <v>6.7803000000000102</v>
      </c>
      <c r="AF7373">
        <v>8.61820820872944</v>
      </c>
      <c r="AG7373">
        <v>-1.11036535642</v>
      </c>
      <c r="AH7373">
        <v>78.761228841045494</v>
      </c>
      <c r="AI7373">
        <v>90.802903081630106</v>
      </c>
      <c r="AJ7373">
        <v>83.755426736053593</v>
      </c>
      <c r="AK7373">
        <v>79.239116555557899</v>
      </c>
      <c r="AL7373">
        <v>87.002540387878895</v>
      </c>
      <c r="AM7373">
        <v>90.049768402765594</v>
      </c>
      <c r="AN7373">
        <v>1.0000000225156001</v>
      </c>
    </row>
    <row r="7374" spans="1:40" x14ac:dyDescent="0.25">
      <c r="A7374" t="str">
        <f>"20190312150836923"</f>
        <v>20190312150836923</v>
      </c>
      <c r="B7374" t="str">
        <f>"1552374516917493"</f>
        <v>1552374516917493</v>
      </c>
      <c r="C7374" t="s">
        <v>40</v>
      </c>
      <c r="D7374">
        <v>4.2285000000000004</v>
      </c>
      <c r="E7374">
        <v>0.54184949999999998</v>
      </c>
      <c r="F7374" t="s">
        <v>77</v>
      </c>
      <c r="G7374">
        <v>-439.3</v>
      </c>
      <c r="H7374" s="1">
        <v>-1.0317E-5</v>
      </c>
      <c r="I7374">
        <v>147.84020000000001</v>
      </c>
      <c r="J7374">
        <v>-353.05630000000002</v>
      </c>
      <c r="K7374">
        <v>1.1103540000000001</v>
      </c>
      <c r="L7374">
        <v>140.44820000000001</v>
      </c>
      <c r="M7374">
        <v>-0.99965400000000004</v>
      </c>
      <c r="N7374">
        <v>0</v>
      </c>
      <c r="O7374">
        <v>-2.3186979999999999E-2</v>
      </c>
      <c r="P7374">
        <v>-0.99891289999999999</v>
      </c>
      <c r="Q7374">
        <v>3.9711410000000003E-2</v>
      </c>
      <c r="R7374">
        <v>-2.4419710000000001E-2</v>
      </c>
      <c r="S7374">
        <v>-3.0110169999999998</v>
      </c>
      <c r="T7374">
        <v>-3.8664099999999903E-2</v>
      </c>
      <c r="U7374">
        <v>0.25721739999999998</v>
      </c>
      <c r="V7374">
        <v>-1.2379159999999999E-3</v>
      </c>
      <c r="W7374">
        <v>5.2125009999999999E-2</v>
      </c>
      <c r="X7374">
        <v>0.99863979999999997</v>
      </c>
      <c r="Y7374">
        <v>0.1081864</v>
      </c>
      <c r="Z7374">
        <v>9.9057760000000007E-4</v>
      </c>
      <c r="AA7374">
        <v>0.99413010000000002</v>
      </c>
      <c r="AB7374">
        <v>22</v>
      </c>
      <c r="AC7374">
        <v>-86.243699999999905</v>
      </c>
      <c r="AD7374">
        <v>-1.1103643169999999</v>
      </c>
      <c r="AE7374">
        <v>7.3919999999999897</v>
      </c>
      <c r="AF7374">
        <v>9.3883526599478007</v>
      </c>
      <c r="AG7374">
        <v>-1.1103643169999999</v>
      </c>
      <c r="AH7374">
        <v>86.034941033750101</v>
      </c>
      <c r="AI7374">
        <v>90.735053549926505</v>
      </c>
      <c r="AJ7374">
        <v>83.772379039778201</v>
      </c>
      <c r="AK7374">
        <v>86.552788246623606</v>
      </c>
      <c r="AL7374">
        <v>87.012102848024199</v>
      </c>
      <c r="AM7374">
        <v>90.071023932615503</v>
      </c>
      <c r="AN7374">
        <v>0.99999999962378106</v>
      </c>
    </row>
    <row r="7375" spans="1:40" x14ac:dyDescent="0.25">
      <c r="A7375" t="str">
        <f>"20190312150836945"</f>
        <v>20190312150836945</v>
      </c>
      <c r="B7375" t="str">
        <f>"1552374516937561"</f>
        <v>1552374516937561</v>
      </c>
      <c r="C7375" t="s">
        <v>40</v>
      </c>
      <c r="D7375">
        <v>4.059196</v>
      </c>
      <c r="E7375">
        <v>0.51878639999999998</v>
      </c>
      <c r="F7375" t="s">
        <v>77</v>
      </c>
      <c r="G7375">
        <v>-433.51209999999998</v>
      </c>
      <c r="H7375" s="1">
        <v>-1.259819E-5</v>
      </c>
      <c r="I7375">
        <v>147.25299999999999</v>
      </c>
      <c r="J7375">
        <v>-353.27620000000002</v>
      </c>
      <c r="K7375">
        <v>1.1103529999999999</v>
      </c>
      <c r="L7375">
        <v>140.44329999999999</v>
      </c>
      <c r="M7375">
        <v>-0.99965660000000001</v>
      </c>
      <c r="N7375">
        <v>0</v>
      </c>
      <c r="O7375">
        <v>-2.3064100000000001E-2</v>
      </c>
      <c r="P7375">
        <v>-0.9988863</v>
      </c>
      <c r="Q7375">
        <v>4.0007069999999999E-2</v>
      </c>
      <c r="R7375">
        <v>-2.5013540000000001E-2</v>
      </c>
      <c r="S7375">
        <v>-3.0110779999999999</v>
      </c>
      <c r="T7375">
        <v>-4.1555759999999997E-2</v>
      </c>
      <c r="U7375">
        <v>0.25466919999999998</v>
      </c>
      <c r="V7375">
        <v>-1.9540719999999998E-3</v>
      </c>
      <c r="W7375">
        <v>5.243739E-2</v>
      </c>
      <c r="X7375">
        <v>0.99862229999999996</v>
      </c>
      <c r="Y7375">
        <v>0.1072256</v>
      </c>
      <c r="Z7375">
        <v>1.0563599999999999E-3</v>
      </c>
      <c r="AA7375">
        <v>0.99423410000000001</v>
      </c>
      <c r="AB7375">
        <v>22</v>
      </c>
      <c r="AC7375">
        <v>-80.235899999999901</v>
      </c>
      <c r="AD7375">
        <v>-1.11036559819</v>
      </c>
      <c r="AE7375">
        <v>6.8096999999999897</v>
      </c>
      <c r="AF7375">
        <v>8.6569542175522205</v>
      </c>
      <c r="AG7375">
        <v>-1.11036559819</v>
      </c>
      <c r="AH7375">
        <v>80.042261875572095</v>
      </c>
      <c r="AI7375">
        <v>90.790162498328002</v>
      </c>
      <c r="AJ7375">
        <v>83.827181004802199</v>
      </c>
      <c r="AK7375">
        <v>80.5167029518975</v>
      </c>
      <c r="AL7375">
        <v>86.994180277092696</v>
      </c>
      <c r="AM7375">
        <v>90.112114395571595</v>
      </c>
      <c r="AN7375">
        <v>0.99999999816234098</v>
      </c>
    </row>
    <row r="7376" spans="1:40" x14ac:dyDescent="0.25">
      <c r="A7376" t="str">
        <f>"20190312150836966"</f>
        <v>20190312150836966</v>
      </c>
      <c r="B7376" t="str">
        <f>"1552374516957081"</f>
        <v>1552374516957081</v>
      </c>
      <c r="C7376" t="s">
        <v>40</v>
      </c>
      <c r="D7376">
        <v>4.1516799999999998</v>
      </c>
      <c r="E7376">
        <v>0.47708610000000001</v>
      </c>
      <c r="F7376" t="s">
        <v>48</v>
      </c>
      <c r="G7376">
        <v>0</v>
      </c>
      <c r="H7376">
        <v>0</v>
      </c>
      <c r="I7376">
        <v>0</v>
      </c>
      <c r="J7376">
        <v>-353.49020000000002</v>
      </c>
      <c r="K7376">
        <v>1.1103529999999999</v>
      </c>
      <c r="L7376">
        <v>140.4385</v>
      </c>
      <c r="M7376">
        <v>-0.99965919999999997</v>
      </c>
      <c r="N7376">
        <v>0</v>
      </c>
      <c r="O7376">
        <v>-2.2941400000000001E-2</v>
      </c>
      <c r="P7376">
        <v>-0.99887309999999996</v>
      </c>
      <c r="Q7376">
        <v>4.0088770000000003E-2</v>
      </c>
      <c r="R7376">
        <v>-2.540452E-2</v>
      </c>
      <c r="S7376">
        <v>-3.0049739999999998</v>
      </c>
      <c r="T7376">
        <v>2.7730459999999999E-3</v>
      </c>
      <c r="U7376">
        <v>7.0510859999999995E-2</v>
      </c>
      <c r="V7376">
        <v>-2.4673799999999999E-3</v>
      </c>
      <c r="W7376">
        <v>5.2537390000000003E-2</v>
      </c>
      <c r="X7376">
        <v>0.9986159</v>
      </c>
      <c r="Y7376">
        <v>4.6388930000000002E-2</v>
      </c>
      <c r="Z7376" s="1">
        <v>-4.2570859999999898E-5</v>
      </c>
      <c r="AA7376">
        <v>0.99892349999999996</v>
      </c>
      <c r="AB7376">
        <v>22</v>
      </c>
      <c r="AC7376">
        <v>-3.0049739999999998</v>
      </c>
      <c r="AD7376">
        <v>2.7730459999999999E-3</v>
      </c>
      <c r="AE7376">
        <v>7.0510859999999995E-2</v>
      </c>
      <c r="AF7376">
        <v>0.13943584072353499</v>
      </c>
      <c r="AG7376">
        <v>2.7730459999999999E-3</v>
      </c>
      <c r="AH7376">
        <v>3.0025627035629099</v>
      </c>
      <c r="AI7376">
        <v>89.947140906967803</v>
      </c>
      <c r="AJ7376">
        <v>87.341154749318306</v>
      </c>
      <c r="AK7376">
        <v>3.0057998656413298</v>
      </c>
      <c r="AL7376">
        <v>86.988442767472804</v>
      </c>
      <c r="AM7376">
        <v>90.141566114433104</v>
      </c>
      <c r="AN7376">
        <v>0.99999999052244304</v>
      </c>
    </row>
    <row r="7377" spans="1:40" x14ac:dyDescent="0.25">
      <c r="A7377" t="str">
        <f>"20190312150836990"</f>
        <v>20190312150836990</v>
      </c>
      <c r="B7377" t="str">
        <f>"1552374516977581"</f>
        <v>1552374516977581</v>
      </c>
      <c r="C7377" t="s">
        <v>40</v>
      </c>
      <c r="D7377">
        <v>4.0771230000000003</v>
      </c>
      <c r="E7377">
        <v>0.47599550000000002</v>
      </c>
      <c r="F7377" t="s">
        <v>48</v>
      </c>
      <c r="G7377">
        <v>0</v>
      </c>
      <c r="H7377">
        <v>0</v>
      </c>
      <c r="I7377">
        <v>0</v>
      </c>
      <c r="J7377">
        <v>-353.71859999999998</v>
      </c>
      <c r="K7377">
        <v>1.1103639999999999</v>
      </c>
      <c r="L7377">
        <v>140.43350000000001</v>
      </c>
      <c r="M7377">
        <v>-0.9996623</v>
      </c>
      <c r="N7377">
        <v>0</v>
      </c>
      <c r="O7377">
        <v>-2.2794370000000001E-2</v>
      </c>
      <c r="P7377">
        <v>-0.99887119999999996</v>
      </c>
      <c r="Q7377">
        <v>4.0170570000000003E-2</v>
      </c>
      <c r="R7377">
        <v>-2.5353649999999998E-2</v>
      </c>
      <c r="S7377">
        <v>-2.9961549999999999</v>
      </c>
      <c r="T7377">
        <v>1.388025E-2</v>
      </c>
      <c r="U7377">
        <v>-0.26293949999999999</v>
      </c>
      <c r="V7377">
        <v>-2.5645070000000002E-3</v>
      </c>
      <c r="W7377">
        <v>5.2642149999999999E-2</v>
      </c>
      <c r="X7377">
        <v>0.99861009999999995</v>
      </c>
      <c r="Y7377">
        <v>-6.4690929999999994E-2</v>
      </c>
      <c r="Z7377" s="1">
        <v>4.418707E-5</v>
      </c>
      <c r="AA7377">
        <v>0.99790540000000005</v>
      </c>
      <c r="AB7377">
        <v>22</v>
      </c>
      <c r="AC7377">
        <v>-2.9961549999999999</v>
      </c>
      <c r="AD7377">
        <v>1.388025E-2</v>
      </c>
      <c r="AE7377">
        <v>-0.26293949999999999</v>
      </c>
      <c r="AF7377">
        <v>-0.194566244009756</v>
      </c>
      <c r="AG7377">
        <v>1.388025E-2</v>
      </c>
      <c r="AH7377">
        <v>3.0013064873495399</v>
      </c>
      <c r="AI7377">
        <v>89.735579070428599</v>
      </c>
      <c r="AJ7377">
        <v>93.709133820024405</v>
      </c>
      <c r="AK7377">
        <v>3.00763849484186</v>
      </c>
      <c r="AL7377">
        <v>86.982432028419396</v>
      </c>
      <c r="AM7377">
        <v>90.147139613968605</v>
      </c>
      <c r="AN7377">
        <v>0.99999995223739102</v>
      </c>
    </row>
    <row r="7378" spans="1:40" x14ac:dyDescent="0.25">
      <c r="A7378" t="str">
        <f>"20190312150837011"</f>
        <v>20190312150837011</v>
      </c>
      <c r="B7378" t="str">
        <f>"1552374517006857"</f>
        <v>1552374517006857</v>
      </c>
      <c r="C7378" t="s">
        <v>40</v>
      </c>
      <c r="D7378">
        <v>4.0798290000000001</v>
      </c>
      <c r="E7378">
        <v>0.47543079999999999</v>
      </c>
      <c r="F7378" t="s">
        <v>48</v>
      </c>
      <c r="G7378">
        <v>0</v>
      </c>
      <c r="H7378">
        <v>0</v>
      </c>
      <c r="I7378">
        <v>0</v>
      </c>
      <c r="J7378">
        <v>-353.93049999999999</v>
      </c>
      <c r="K7378">
        <v>1.1103670000000001</v>
      </c>
      <c r="L7378">
        <v>140.4288</v>
      </c>
      <c r="M7378">
        <v>-0.99966520000000003</v>
      </c>
      <c r="N7378">
        <v>0</v>
      </c>
      <c r="O7378">
        <v>-2.265089E-2</v>
      </c>
      <c r="P7378">
        <v>-0.99886450000000004</v>
      </c>
      <c r="Q7378">
        <v>4.015618E-2</v>
      </c>
      <c r="R7378">
        <v>-2.5633960000000001E-2</v>
      </c>
      <c r="S7378">
        <v>-2.9956360000000002</v>
      </c>
      <c r="T7378">
        <v>2.249491E-2</v>
      </c>
      <c r="U7378">
        <v>-0.27110289999999998</v>
      </c>
      <c r="V7378">
        <v>-2.9883000000000002E-3</v>
      </c>
      <c r="W7378">
        <v>5.265119E-2</v>
      </c>
      <c r="X7378">
        <v>0.99860850000000001</v>
      </c>
      <c r="Y7378">
        <v>-6.7546090000000003E-2</v>
      </c>
      <c r="Z7378" s="1">
        <v>8.3388320000000004E-5</v>
      </c>
      <c r="AA7378">
        <v>0.99771609999999999</v>
      </c>
      <c r="AB7378">
        <v>22</v>
      </c>
      <c r="AC7378">
        <v>-2.9956360000000002</v>
      </c>
      <c r="AD7378">
        <v>2.249491E-2</v>
      </c>
      <c r="AE7378">
        <v>-0.27110289999999998</v>
      </c>
      <c r="AF7378">
        <v>-0.203162841645286</v>
      </c>
      <c r="AG7378">
        <v>2.249491E-2</v>
      </c>
      <c r="AH7378">
        <v>3.0008406704799802</v>
      </c>
      <c r="AI7378">
        <v>89.571488161281493</v>
      </c>
      <c r="AJ7378">
        <v>93.873127111317999</v>
      </c>
      <c r="AK7378">
        <v>3.0077941902344398</v>
      </c>
      <c r="AL7378">
        <v>86.981913520710904</v>
      </c>
      <c r="AM7378">
        <v>90.171455046545304</v>
      </c>
      <c r="AN7378">
        <v>1.00000000700877</v>
      </c>
    </row>
    <row r="7379" spans="1:40" x14ac:dyDescent="0.25">
      <c r="A7379" t="str">
        <f>"20190312150837026"</f>
        <v>20190312150837026</v>
      </c>
      <c r="B7379" t="str">
        <f>"1552374517017593"</f>
        <v>1552374517017593</v>
      </c>
      <c r="C7379" t="s">
        <v>40</v>
      </c>
      <c r="D7379">
        <v>4.0818459999999996</v>
      </c>
      <c r="E7379">
        <v>0.47527419999999998</v>
      </c>
      <c r="F7379" t="s">
        <v>48</v>
      </c>
      <c r="G7379">
        <v>0</v>
      </c>
      <c r="H7379">
        <v>0</v>
      </c>
      <c r="I7379">
        <v>0</v>
      </c>
      <c r="J7379">
        <v>-354.07619999999997</v>
      </c>
      <c r="K7379">
        <v>1.110368</v>
      </c>
      <c r="L7379">
        <v>140.4256</v>
      </c>
      <c r="M7379">
        <v>-0.99966730000000004</v>
      </c>
      <c r="N7379">
        <v>0</v>
      </c>
      <c r="O7379">
        <v>-2.2551559999999998E-2</v>
      </c>
      <c r="P7379">
        <v>-0.99885460000000004</v>
      </c>
      <c r="Q7379">
        <v>4.0307200000000001E-2</v>
      </c>
      <c r="R7379">
        <v>-2.5795169999999999E-2</v>
      </c>
      <c r="S7379">
        <v>-2.9956049999999999</v>
      </c>
      <c r="T7379">
        <v>1.779878E-2</v>
      </c>
      <c r="U7379">
        <v>-0.27664179999999999</v>
      </c>
      <c r="V7379">
        <v>-3.2482629999999999E-3</v>
      </c>
      <c r="W7379">
        <v>5.2820239999999997E-2</v>
      </c>
      <c r="X7379">
        <v>0.99859880000000001</v>
      </c>
      <c r="Y7379">
        <v>-6.9475960000000003E-2</v>
      </c>
      <c r="Z7379" s="1">
        <v>7.2285619999999898E-5</v>
      </c>
      <c r="AA7379">
        <v>0.99758360000000001</v>
      </c>
      <c r="AB7379">
        <v>22</v>
      </c>
      <c r="AC7379">
        <v>-2.9956049999999999</v>
      </c>
      <c r="AD7379">
        <v>1.779878E-2</v>
      </c>
      <c r="AE7379">
        <v>-0.27664179999999999</v>
      </c>
      <c r="AF7379">
        <v>-0.20900325767486</v>
      </c>
      <c r="AG7379">
        <v>1.779878E-2</v>
      </c>
      <c r="AH7379">
        <v>3.0009771875075701</v>
      </c>
      <c r="AI7379">
        <v>89.661004140948606</v>
      </c>
      <c r="AJ7379">
        <v>93.983935446916703</v>
      </c>
      <c r="AK7379">
        <v>3.0082990606369302</v>
      </c>
      <c r="AL7379">
        <v>86.972214291300602</v>
      </c>
      <c r="AM7379">
        <v>90.186372249041497</v>
      </c>
      <c r="AN7379">
        <v>1.0000000461637999</v>
      </c>
    </row>
    <row r="7380" spans="1:40" x14ac:dyDescent="0.25">
      <c r="A7380" t="str">
        <f>"20190312150837038"</f>
        <v>20190312150837038</v>
      </c>
      <c r="B7380" t="str">
        <f>"1552374517027013"</f>
        <v>1552374517027013</v>
      </c>
      <c r="C7380" t="s">
        <v>40</v>
      </c>
      <c r="D7380">
        <v>4.0627230000000001</v>
      </c>
      <c r="E7380">
        <v>0.47530139999999999</v>
      </c>
      <c r="F7380" t="s">
        <v>48</v>
      </c>
      <c r="G7380">
        <v>0</v>
      </c>
      <c r="H7380">
        <v>0</v>
      </c>
      <c r="I7380">
        <v>0</v>
      </c>
      <c r="J7380">
        <v>-354.20049999999998</v>
      </c>
      <c r="K7380">
        <v>1.1103670000000001</v>
      </c>
      <c r="L7380">
        <v>140.4229</v>
      </c>
      <c r="M7380">
        <v>-0.99966909999999998</v>
      </c>
      <c r="N7380">
        <v>0</v>
      </c>
      <c r="O7380">
        <v>-2.2467210000000001E-2</v>
      </c>
      <c r="P7380">
        <v>-0.99885409999999997</v>
      </c>
      <c r="Q7380">
        <v>4.0184449999999997E-2</v>
      </c>
      <c r="R7380">
        <v>-2.6003100000000001E-2</v>
      </c>
      <c r="S7380">
        <v>-2.9956360000000002</v>
      </c>
      <c r="T7380">
        <v>1.526225E-2</v>
      </c>
      <c r="U7380">
        <v>-0.2785339</v>
      </c>
      <c r="V7380">
        <v>-3.5401740000000001E-3</v>
      </c>
      <c r="W7380">
        <v>5.2714049999999998E-2</v>
      </c>
      <c r="X7380">
        <v>0.99860329999999997</v>
      </c>
      <c r="Y7380">
        <v>-7.0184099999999999E-2</v>
      </c>
      <c r="Z7380" s="1">
        <v>6.4210509999999897E-5</v>
      </c>
      <c r="AA7380">
        <v>0.99753400000000003</v>
      </c>
      <c r="AB7380">
        <v>22</v>
      </c>
      <c r="AC7380">
        <v>-2.9956360000000002</v>
      </c>
      <c r="AD7380">
        <v>1.526225E-2</v>
      </c>
      <c r="AE7380">
        <v>-0.2785339</v>
      </c>
      <c r="AF7380">
        <v>-0.21114928347398201</v>
      </c>
      <c r="AG7380">
        <v>1.526225E-2</v>
      </c>
      <c r="AH7380">
        <v>3.0010608630060398</v>
      </c>
      <c r="AI7380">
        <v>89.709336579967598</v>
      </c>
      <c r="AJ7380">
        <v>94.024596522530402</v>
      </c>
      <c r="AK7380">
        <v>3.0085184492791801</v>
      </c>
      <c r="AL7380">
        <v>86.978306658571398</v>
      </c>
      <c r="AM7380">
        <v>90.203119876733993</v>
      </c>
      <c r="AN7380">
        <v>0.999999927335118</v>
      </c>
    </row>
    <row r="7381" spans="1:40" x14ac:dyDescent="0.25">
      <c r="A7381" t="str">
        <f>"20190312150837051"</f>
        <v>20190312150837051</v>
      </c>
      <c r="B7381" t="str">
        <f>"1552374517047497"</f>
        <v>1552374517047497</v>
      </c>
      <c r="C7381" t="s">
        <v>40</v>
      </c>
      <c r="D7381">
        <v>4.0770540000000004</v>
      </c>
      <c r="E7381">
        <v>0.47522789999999998</v>
      </c>
      <c r="F7381" t="s">
        <v>48</v>
      </c>
      <c r="G7381">
        <v>0</v>
      </c>
      <c r="H7381">
        <v>0</v>
      </c>
      <c r="I7381">
        <v>0</v>
      </c>
      <c r="J7381">
        <v>-354.31810000000002</v>
      </c>
      <c r="K7381">
        <v>1.110365</v>
      </c>
      <c r="L7381">
        <v>140.4203</v>
      </c>
      <c r="M7381">
        <v>-0.99967050000000002</v>
      </c>
      <c r="N7381">
        <v>0</v>
      </c>
      <c r="O7381">
        <v>-2.2386329999999999E-2</v>
      </c>
      <c r="P7381">
        <v>-0.99884329999999999</v>
      </c>
      <c r="Q7381">
        <v>4.0365440000000002E-2</v>
      </c>
      <c r="R7381">
        <v>-2.612811E-2</v>
      </c>
      <c r="S7381">
        <v>-2.9956360000000002</v>
      </c>
      <c r="T7381">
        <v>1.3432619999999999E-2</v>
      </c>
      <c r="U7381">
        <v>-0.27900700000000001</v>
      </c>
      <c r="V7381">
        <v>-3.7463169999999999E-3</v>
      </c>
      <c r="W7381">
        <v>5.2912140000000003E-2</v>
      </c>
      <c r="X7381">
        <v>0.99859209999999998</v>
      </c>
      <c r="Y7381">
        <v>-7.0421109999999995E-2</v>
      </c>
      <c r="Z7381" s="1">
        <v>5.7404600000000003E-5</v>
      </c>
      <c r="AA7381">
        <v>0.99751730000000005</v>
      </c>
      <c r="AB7381">
        <v>22</v>
      </c>
      <c r="AC7381">
        <v>-2.9956360000000002</v>
      </c>
      <c r="AD7381">
        <v>1.3432619999999999E-2</v>
      </c>
      <c r="AE7381">
        <v>-0.27900700000000001</v>
      </c>
      <c r="AF7381">
        <v>-0.21186625908846801</v>
      </c>
      <c r="AG7381">
        <v>1.3432619999999999E-2</v>
      </c>
      <c r="AH7381">
        <v>3.0010717717233502</v>
      </c>
      <c r="AI7381">
        <v>89.744185864944498</v>
      </c>
      <c r="AJ7381">
        <v>94.0382026218752</v>
      </c>
      <c r="AK7381">
        <v>3.0085710106386001</v>
      </c>
      <c r="AL7381">
        <v>86.966941161586604</v>
      </c>
      <c r="AM7381">
        <v>90.2149497735914</v>
      </c>
      <c r="AN7381">
        <v>0.99999995581642598</v>
      </c>
    </row>
    <row r="7382" spans="1:40" x14ac:dyDescent="0.25">
      <c r="A7382" t="str">
        <f>"20190312150837067"</f>
        <v>20190312150837067</v>
      </c>
      <c r="B7382" t="str">
        <f>"1552374517057258"</f>
        <v>1552374517057258</v>
      </c>
      <c r="C7382" t="s">
        <v>40</v>
      </c>
      <c r="D7382">
        <v>4.0534420000000004</v>
      </c>
      <c r="E7382">
        <v>0.47515819999999998</v>
      </c>
      <c r="F7382" t="s">
        <v>48</v>
      </c>
      <c r="G7382">
        <v>0</v>
      </c>
      <c r="H7382">
        <v>0</v>
      </c>
      <c r="I7382">
        <v>0</v>
      </c>
      <c r="J7382">
        <v>-354.47550000000001</v>
      </c>
      <c r="K7382">
        <v>1.110357</v>
      </c>
      <c r="L7382">
        <v>140.4169</v>
      </c>
      <c r="M7382">
        <v>-0.99967269999999997</v>
      </c>
      <c r="N7382">
        <v>0</v>
      </c>
      <c r="O7382">
        <v>-2.2276850000000001E-2</v>
      </c>
      <c r="P7382">
        <v>-0.99883560000000005</v>
      </c>
      <c r="Q7382">
        <v>4.0300549999999997E-2</v>
      </c>
      <c r="R7382">
        <v>-2.6527760000000001E-2</v>
      </c>
      <c r="S7382">
        <v>-2.9956969999999998</v>
      </c>
      <c r="T7382">
        <v>1.132274E-2</v>
      </c>
      <c r="U7382">
        <v>-0.28004459999999998</v>
      </c>
      <c r="V7382">
        <v>-4.2543939999999999E-3</v>
      </c>
      <c r="W7382">
        <v>5.2871660000000001E-2</v>
      </c>
      <c r="X7382">
        <v>0.99859229999999999</v>
      </c>
      <c r="Y7382">
        <v>-7.0871110000000001E-2</v>
      </c>
      <c r="Z7382" s="1">
        <v>4.9647520000000003E-5</v>
      </c>
      <c r="AA7382">
        <v>0.99748550000000002</v>
      </c>
      <c r="AB7382">
        <v>22</v>
      </c>
      <c r="AC7382">
        <v>-2.9956969999999998</v>
      </c>
      <c r="AD7382">
        <v>1.132274E-2</v>
      </c>
      <c r="AE7382">
        <v>-0.28004459999999998</v>
      </c>
      <c r="AF7382">
        <v>-0.213232100146452</v>
      </c>
      <c r="AG7382">
        <v>1.132274E-2</v>
      </c>
      <c r="AH7382">
        <v>3.00114997323191</v>
      </c>
      <c r="AI7382">
        <v>89.784379032430195</v>
      </c>
      <c r="AJ7382">
        <v>94.064043254174805</v>
      </c>
      <c r="AK7382">
        <v>3.00873682710932</v>
      </c>
      <c r="AL7382">
        <v>86.969264022384195</v>
      </c>
      <c r="AM7382">
        <v>90.244100966715905</v>
      </c>
      <c r="AN7382">
        <v>1.0000000469593699</v>
      </c>
    </row>
    <row r="7383" spans="1:40" x14ac:dyDescent="0.25">
      <c r="A7383" t="str">
        <f>"20190312150837089"</f>
        <v>20190312150837089</v>
      </c>
      <c r="B7383" t="str">
        <f>"1552374517076777"</f>
        <v>1552374517076777</v>
      </c>
      <c r="C7383" t="s">
        <v>40</v>
      </c>
      <c r="D7383">
        <v>4.0665490000000002</v>
      </c>
      <c r="E7383">
        <v>0.47522170000000002</v>
      </c>
      <c r="F7383" t="s">
        <v>48</v>
      </c>
      <c r="G7383">
        <v>0</v>
      </c>
      <c r="H7383">
        <v>0</v>
      </c>
      <c r="I7383">
        <v>0</v>
      </c>
      <c r="J7383">
        <v>-354.69450000000001</v>
      </c>
      <c r="K7383">
        <v>1.11036</v>
      </c>
      <c r="L7383">
        <v>140.41220000000001</v>
      </c>
      <c r="M7383">
        <v>-0.99967569999999994</v>
      </c>
      <c r="N7383">
        <v>0</v>
      </c>
      <c r="O7383">
        <v>-2.211571E-2</v>
      </c>
      <c r="P7383">
        <v>-0.99881909999999896</v>
      </c>
      <c r="Q7383">
        <v>4.0323589999999999E-2</v>
      </c>
      <c r="R7383">
        <v>-2.709802E-2</v>
      </c>
      <c r="S7383">
        <v>-2.9956049999999999</v>
      </c>
      <c r="T7383">
        <v>9.9891419999999995E-3</v>
      </c>
      <c r="U7383">
        <v>-0.2818909</v>
      </c>
      <c r="V7383">
        <v>-4.9852909999999898E-3</v>
      </c>
      <c r="W7383">
        <v>5.2933090000000002E-2</v>
      </c>
      <c r="X7383">
        <v>0.99858559999999996</v>
      </c>
      <c r="Y7383">
        <v>-7.1644189999999996E-2</v>
      </c>
      <c r="Z7383" s="1">
        <v>4.5622189999999998E-5</v>
      </c>
      <c r="AA7383">
        <v>0.99743029999999999</v>
      </c>
      <c r="AB7383">
        <v>22</v>
      </c>
      <c r="AC7383">
        <v>-2.9956049999999999</v>
      </c>
      <c r="AD7383">
        <v>9.9891419999999995E-3</v>
      </c>
      <c r="AE7383">
        <v>-0.2818909</v>
      </c>
      <c r="AF7383">
        <v>-0.215564355683665</v>
      </c>
      <c r="AG7383">
        <v>9.9891419999999995E-3</v>
      </c>
      <c r="AH7383">
        <v>3.0010738480533998</v>
      </c>
      <c r="AI7383">
        <v>89.809780485591801</v>
      </c>
      <c r="AJ7383">
        <v>94.108446756501493</v>
      </c>
      <c r="AK7383">
        <v>3.0088223636282101</v>
      </c>
      <c r="AL7383">
        <v>86.965739212505099</v>
      </c>
      <c r="AM7383">
        <v>90.286038333573998</v>
      </c>
      <c r="AN7383">
        <v>0.99999998283533098</v>
      </c>
    </row>
    <row r="7384" spans="1:40" x14ac:dyDescent="0.25">
      <c r="A7384" t="str">
        <f>"20190312150837104"</f>
        <v>20190312150837104</v>
      </c>
      <c r="B7384" t="str">
        <f>"1552374517097273"</f>
        <v>1552374517097273</v>
      </c>
      <c r="C7384" t="s">
        <v>40</v>
      </c>
      <c r="D7384">
        <v>4.0732410000000003</v>
      </c>
      <c r="E7384">
        <v>0.47524080000000002</v>
      </c>
      <c r="F7384" t="s">
        <v>48</v>
      </c>
      <c r="G7384">
        <v>0</v>
      </c>
      <c r="H7384">
        <v>0</v>
      </c>
      <c r="I7384">
        <v>0</v>
      </c>
      <c r="J7384">
        <v>-354.84089999999998</v>
      </c>
      <c r="K7384">
        <v>1.1103609999999999</v>
      </c>
      <c r="L7384">
        <v>140.4091</v>
      </c>
      <c r="M7384">
        <v>-0.99967779999999995</v>
      </c>
      <c r="N7384">
        <v>0</v>
      </c>
      <c r="O7384">
        <v>-2.200353E-2</v>
      </c>
      <c r="P7384">
        <v>-0.99880990000000003</v>
      </c>
      <c r="Q7384">
        <v>4.0163570000000003E-2</v>
      </c>
      <c r="R7384">
        <v>-2.7667319999999999E-2</v>
      </c>
      <c r="S7384">
        <v>-2.995422</v>
      </c>
      <c r="T7384">
        <v>1.0529989999999999E-2</v>
      </c>
      <c r="U7384">
        <v>-0.2829895</v>
      </c>
      <c r="V7384">
        <v>-5.6662419999999897E-3</v>
      </c>
      <c r="W7384">
        <v>5.2801189999999998E-2</v>
      </c>
      <c r="X7384">
        <v>0.99858899999999995</v>
      </c>
      <c r="Y7384">
        <v>-7.2124380000000002E-2</v>
      </c>
      <c r="Z7384" s="1">
        <v>4.9329809999999997E-5</v>
      </c>
      <c r="AA7384">
        <v>0.99739560000000005</v>
      </c>
      <c r="AB7384">
        <v>22</v>
      </c>
      <c r="AC7384">
        <v>-2.995422</v>
      </c>
      <c r="AD7384">
        <v>1.0529989999999999E-2</v>
      </c>
      <c r="AE7384">
        <v>-0.2829895</v>
      </c>
      <c r="AF7384">
        <v>-0.217003181438499</v>
      </c>
      <c r="AG7384">
        <v>1.0529989999999999E-2</v>
      </c>
      <c r="AH7384">
        <v>3.0008871816739902</v>
      </c>
      <c r="AI7384">
        <v>89.799475885137099</v>
      </c>
      <c r="AJ7384">
        <v>94.136030900763004</v>
      </c>
      <c r="AK7384">
        <v>3.00874145425942</v>
      </c>
      <c r="AL7384">
        <v>86.973307256502096</v>
      </c>
      <c r="AM7384">
        <v>90.325106994054593</v>
      </c>
      <c r="AN7384">
        <v>1.0000000314424</v>
      </c>
    </row>
    <row r="7385" spans="1:40" x14ac:dyDescent="0.25">
      <c r="A7385" t="str">
        <f>"20190312150837116"</f>
        <v>20190312150837116</v>
      </c>
      <c r="B7385" t="str">
        <f>"1552374517107033"</f>
        <v>1552374517107033</v>
      </c>
      <c r="C7385" t="s">
        <v>40</v>
      </c>
      <c r="D7385">
        <v>4.0579609999999997</v>
      </c>
      <c r="E7385">
        <v>0.47519090000000003</v>
      </c>
      <c r="F7385" t="s">
        <v>48</v>
      </c>
      <c r="G7385">
        <v>0</v>
      </c>
      <c r="H7385">
        <v>0</v>
      </c>
      <c r="I7385">
        <v>0</v>
      </c>
      <c r="J7385">
        <v>-354.96690000000001</v>
      </c>
      <c r="K7385">
        <v>1.110365</v>
      </c>
      <c r="L7385">
        <v>140.40649999999999</v>
      </c>
      <c r="M7385">
        <v>-0.99967980000000001</v>
      </c>
      <c r="N7385">
        <v>0</v>
      </c>
      <c r="O7385">
        <v>-2.190185E-2</v>
      </c>
      <c r="P7385">
        <v>-0.99880040000000003</v>
      </c>
      <c r="Q7385">
        <v>4.0152430000000003E-2</v>
      </c>
      <c r="R7385">
        <v>-2.8029450000000001E-2</v>
      </c>
      <c r="S7385">
        <v>-2.995422</v>
      </c>
      <c r="T7385">
        <v>7.47847599999999E-3</v>
      </c>
      <c r="U7385">
        <v>-0.28468320000000003</v>
      </c>
      <c r="V7385">
        <v>-6.1295450000000001E-3</v>
      </c>
      <c r="W7385">
        <v>5.2816429999999998E-2</v>
      </c>
      <c r="X7385">
        <v>0.99858539999999996</v>
      </c>
      <c r="Y7385">
        <v>-7.2784890000000005E-2</v>
      </c>
      <c r="Z7385" s="1">
        <v>3.6109399999999997E-5</v>
      </c>
      <c r="AA7385">
        <v>0.99734769999999995</v>
      </c>
      <c r="AB7385">
        <v>22</v>
      </c>
      <c r="AC7385">
        <v>-2.995422</v>
      </c>
      <c r="AD7385">
        <v>7.47847599999999E-3</v>
      </c>
      <c r="AE7385">
        <v>-0.28468320000000003</v>
      </c>
      <c r="AF7385">
        <v>-0.21900299570214399</v>
      </c>
      <c r="AG7385">
        <v>7.47847599999999E-3</v>
      </c>
      <c r="AH7385">
        <v>3.00092041149871</v>
      </c>
      <c r="AI7385">
        <v>89.857594443885304</v>
      </c>
      <c r="AJ7385">
        <v>94.173966742085994</v>
      </c>
      <c r="AK7385">
        <v>3.00891036022667</v>
      </c>
      <c r="AL7385">
        <v>86.972432674199396</v>
      </c>
      <c r="AM7385">
        <v>90.351690149037296</v>
      </c>
      <c r="AN7385">
        <v>0.99999997384650496</v>
      </c>
    </row>
    <row r="7386" spans="1:40" x14ac:dyDescent="0.25">
      <c r="A7386" t="str">
        <f>"20190312150837134"</f>
        <v>20190312150837134</v>
      </c>
      <c r="B7386" t="str">
        <f>"1552374517127082"</f>
        <v>1552374517127082</v>
      </c>
      <c r="C7386" t="s">
        <v>40</v>
      </c>
      <c r="D7386">
        <v>4.0106400000000004</v>
      </c>
      <c r="E7386">
        <v>0.47521669999999999</v>
      </c>
      <c r="F7386" t="s">
        <v>48</v>
      </c>
      <c r="G7386">
        <v>0</v>
      </c>
      <c r="H7386">
        <v>0</v>
      </c>
      <c r="I7386">
        <v>0</v>
      </c>
      <c r="J7386">
        <v>-355.13959999999997</v>
      </c>
      <c r="K7386">
        <v>1.110365</v>
      </c>
      <c r="L7386">
        <v>140.40280000000001</v>
      </c>
      <c r="M7386">
        <v>-0.99968250000000003</v>
      </c>
      <c r="N7386">
        <v>0</v>
      </c>
      <c r="O7386">
        <v>-2.1760069999999999E-2</v>
      </c>
      <c r="P7386">
        <v>-0.99874099999999999</v>
      </c>
      <c r="Q7386">
        <v>4.0579949999999997E-2</v>
      </c>
      <c r="R7386">
        <v>-2.9496850000000002E-2</v>
      </c>
      <c r="S7386">
        <v>-2.9953310000000002</v>
      </c>
      <c r="T7386">
        <v>5.9112309999999899E-3</v>
      </c>
      <c r="U7386">
        <v>-0.28616329999999901</v>
      </c>
      <c r="V7386">
        <v>-7.7392499999999996E-3</v>
      </c>
      <c r="W7386">
        <v>5.3281170000000003E-2</v>
      </c>
      <c r="X7386">
        <v>0.99854960000000004</v>
      </c>
      <c r="Y7386">
        <v>-7.3417629999999998E-2</v>
      </c>
      <c r="Z7386" s="1">
        <v>2.944423E-5</v>
      </c>
      <c r="AA7386">
        <v>0.99730129999999995</v>
      </c>
      <c r="AB7386">
        <v>22</v>
      </c>
      <c r="AC7386">
        <v>-2.9953310000000002</v>
      </c>
      <c r="AD7386">
        <v>5.9112309999999899E-3</v>
      </c>
      <c r="AE7386">
        <v>-0.28616329999999901</v>
      </c>
      <c r="AF7386">
        <v>-0.22091080646473199</v>
      </c>
      <c r="AG7386">
        <v>5.9112309999999899E-3</v>
      </c>
      <c r="AH7386">
        <v>3.0008375105153</v>
      </c>
      <c r="AI7386">
        <v>89.887440047655303</v>
      </c>
      <c r="AJ7386">
        <v>94.210313314751204</v>
      </c>
      <c r="AK7386">
        <v>3.0089636574044101</v>
      </c>
      <c r="AL7386">
        <v>86.945767692406605</v>
      </c>
      <c r="AM7386">
        <v>90.444061549897597</v>
      </c>
      <c r="AN7386">
        <v>1.0000000413636401</v>
      </c>
    </row>
    <row r="7387" spans="1:40" x14ac:dyDescent="0.25">
      <c r="A7387" t="str">
        <f>"20190312150837157"</f>
        <v>20190312150837157</v>
      </c>
      <c r="B7387" t="str">
        <f>"1552374517147571"</f>
        <v>1552374517147571</v>
      </c>
      <c r="C7387" t="s">
        <v>40</v>
      </c>
      <c r="D7387">
        <v>4.0818490000000001</v>
      </c>
      <c r="E7387">
        <v>0.47544320000000001</v>
      </c>
      <c r="F7387" t="s">
        <v>48</v>
      </c>
      <c r="G7387">
        <v>0</v>
      </c>
      <c r="H7387">
        <v>0</v>
      </c>
      <c r="I7387">
        <v>0</v>
      </c>
      <c r="J7387">
        <v>-355.35739999999998</v>
      </c>
      <c r="K7387">
        <v>1.110366</v>
      </c>
      <c r="L7387">
        <v>140.39830000000001</v>
      </c>
      <c r="M7387">
        <v>-0.99968579999999996</v>
      </c>
      <c r="N7387">
        <v>0</v>
      </c>
      <c r="O7387">
        <v>-2.1576999999999999E-2</v>
      </c>
      <c r="P7387">
        <v>-0.99870159999999997</v>
      </c>
      <c r="Q7387">
        <v>4.0565919999999998E-2</v>
      </c>
      <c r="R7387">
        <v>-3.0813790000000001E-2</v>
      </c>
      <c r="S7387">
        <v>-2.9949650000000001</v>
      </c>
      <c r="T7387">
        <v>5.6898590000000002E-3</v>
      </c>
      <c r="U7387">
        <v>-0.29046630000000001</v>
      </c>
      <c r="V7387">
        <v>-9.2395559999999995E-3</v>
      </c>
      <c r="W7387">
        <v>5.3317349999999999E-2</v>
      </c>
      <c r="X7387">
        <v>0.9985349</v>
      </c>
      <c r="Y7387">
        <v>-7.5031429999999996E-2</v>
      </c>
      <c r="Z7387" s="1">
        <v>3.0219329999999999E-5</v>
      </c>
      <c r="AA7387">
        <v>0.99718119999999999</v>
      </c>
      <c r="AB7387">
        <v>22</v>
      </c>
      <c r="AC7387">
        <v>-2.9949650000000001</v>
      </c>
      <c r="AD7387">
        <v>5.6898590000000002E-3</v>
      </c>
      <c r="AE7387">
        <v>-0.29046630000000001</v>
      </c>
      <c r="AF7387">
        <v>-0.22577023951042999</v>
      </c>
      <c r="AG7387">
        <v>5.6898590000000002E-3</v>
      </c>
      <c r="AH7387">
        <v>3.0005247995923101</v>
      </c>
      <c r="AI7387">
        <v>89.891657097671597</v>
      </c>
      <c r="AJ7387">
        <v>94.303031340779597</v>
      </c>
      <c r="AK7387">
        <v>3.0090120718455902</v>
      </c>
      <c r="AL7387">
        <v>86.943691739151504</v>
      </c>
      <c r="AM7387">
        <v>90.530149176972202</v>
      </c>
      <c r="AN7387">
        <v>1.00000002786205</v>
      </c>
    </row>
    <row r="7388" spans="1:40" x14ac:dyDescent="0.25">
      <c r="A7388" t="str">
        <f>"20190312150837172"</f>
        <v>20190312150837172</v>
      </c>
      <c r="B7388" t="str">
        <f>"1552374517167091"</f>
        <v>1552374517167091</v>
      </c>
      <c r="C7388" t="s">
        <v>40</v>
      </c>
      <c r="D7388">
        <v>4.0609330000000003</v>
      </c>
      <c r="E7388">
        <v>0.47557680000000002</v>
      </c>
      <c r="F7388" t="s">
        <v>48</v>
      </c>
      <c r="G7388">
        <v>0</v>
      </c>
      <c r="H7388">
        <v>0</v>
      </c>
      <c r="I7388">
        <v>0</v>
      </c>
      <c r="J7388">
        <v>-355.50549999999998</v>
      </c>
      <c r="K7388">
        <v>1.110363</v>
      </c>
      <c r="L7388">
        <v>140.39519999999999</v>
      </c>
      <c r="M7388">
        <v>-0.99968800000000002</v>
      </c>
      <c r="N7388">
        <v>0</v>
      </c>
      <c r="O7388">
        <v>-2.145095E-2</v>
      </c>
      <c r="P7388">
        <v>-0.99867079999999997</v>
      </c>
      <c r="Q7388">
        <v>4.049109E-2</v>
      </c>
      <c r="R7388">
        <v>-3.1893730000000002E-2</v>
      </c>
      <c r="S7388">
        <v>-2.9945979999999999</v>
      </c>
      <c r="T7388">
        <v>6.7754979999999996E-3</v>
      </c>
      <c r="U7388">
        <v>-0.29246519999999998</v>
      </c>
      <c r="V7388">
        <v>-1.044611E-2</v>
      </c>
      <c r="W7388">
        <v>5.327689E-2</v>
      </c>
      <c r="X7388">
        <v>0.99852510000000005</v>
      </c>
      <c r="Y7388">
        <v>-7.5828160000000006E-2</v>
      </c>
      <c r="Z7388" s="1">
        <v>3.717206E-5</v>
      </c>
      <c r="AA7388">
        <v>0.99712089999999998</v>
      </c>
      <c r="AB7388">
        <v>22</v>
      </c>
      <c r="AC7388">
        <v>-2.9945979999999999</v>
      </c>
      <c r="AD7388">
        <v>6.7754979999999996E-3</v>
      </c>
      <c r="AE7388">
        <v>-0.29246519999999998</v>
      </c>
      <c r="AF7388">
        <v>-0.228154504029355</v>
      </c>
      <c r="AG7388">
        <v>6.7754979999999996E-3</v>
      </c>
      <c r="AH7388">
        <v>3.00016779248398</v>
      </c>
      <c r="AI7388">
        <v>89.870977518592994</v>
      </c>
      <c r="AJ7388">
        <v>94.348815907087896</v>
      </c>
      <c r="AK7388">
        <v>3.0088381757981302</v>
      </c>
      <c r="AL7388">
        <v>86.946013023841601</v>
      </c>
      <c r="AM7388">
        <v>90.599380207933706</v>
      </c>
      <c r="AN7388">
        <v>0.99999996177610595</v>
      </c>
    </row>
    <row r="7389" spans="1:40" x14ac:dyDescent="0.25">
      <c r="A7389" t="str">
        <f>"20190312150837184"</f>
        <v>20190312150837184</v>
      </c>
      <c r="B7389" t="str">
        <f>"1552374517177826"</f>
        <v>1552374517177826</v>
      </c>
      <c r="C7389" t="s">
        <v>40</v>
      </c>
      <c r="D7389">
        <v>3.970688</v>
      </c>
      <c r="E7389">
        <v>0.47557539999999998</v>
      </c>
      <c r="F7389" t="s">
        <v>48</v>
      </c>
      <c r="G7389">
        <v>0</v>
      </c>
      <c r="H7389">
        <v>0</v>
      </c>
      <c r="I7389">
        <v>0</v>
      </c>
      <c r="J7389">
        <v>-355.62520000000001</v>
      </c>
      <c r="K7389">
        <v>1.1103670000000001</v>
      </c>
      <c r="L7389">
        <v>140.39279999999999</v>
      </c>
      <c r="M7389">
        <v>-0.99968979999999996</v>
      </c>
      <c r="N7389">
        <v>0</v>
      </c>
      <c r="O7389">
        <v>-2.1348349999999999E-2</v>
      </c>
      <c r="P7389">
        <v>-0.99865320000000002</v>
      </c>
      <c r="Q7389">
        <v>4.0200779999999998E-2</v>
      </c>
      <c r="R7389">
        <v>-3.2800059999999999E-2</v>
      </c>
      <c r="S7389">
        <v>-2.994354</v>
      </c>
      <c r="T7389">
        <v>5.8362479999999996E-3</v>
      </c>
      <c r="U7389">
        <v>-0.29476930000000001</v>
      </c>
      <c r="V7389">
        <v>-1.1454239999999999E-2</v>
      </c>
      <c r="W7389">
        <v>5.3014039999999998E-2</v>
      </c>
      <c r="X7389">
        <v>0.99852810000000003</v>
      </c>
      <c r="Y7389">
        <v>-7.669832E-2</v>
      </c>
      <c r="Z7389" s="1">
        <v>3.3065909999999999E-5</v>
      </c>
      <c r="AA7389">
        <v>0.99705429999999995</v>
      </c>
      <c r="AB7389">
        <v>22</v>
      </c>
      <c r="AC7389">
        <v>-2.994354</v>
      </c>
      <c r="AD7389">
        <v>5.8362479999999996E-3</v>
      </c>
      <c r="AE7389">
        <v>-0.29476930000000001</v>
      </c>
      <c r="AF7389">
        <v>-0.230771464851278</v>
      </c>
      <c r="AG7389">
        <v>5.8362479999999996E-3</v>
      </c>
      <c r="AH7389">
        <v>2.9999535371988499</v>
      </c>
      <c r="AI7389">
        <v>89.888862627587798</v>
      </c>
      <c r="AJ7389">
        <v>94.398815631546199</v>
      </c>
      <c r="AK7389">
        <v>3.0088221542876599</v>
      </c>
      <c r="AL7389">
        <v>86.961094732798799</v>
      </c>
      <c r="AM7389">
        <v>90.657218185361401</v>
      </c>
      <c r="AN7389">
        <v>1.00000002727035</v>
      </c>
    </row>
    <row r="7390" spans="1:40" x14ac:dyDescent="0.25">
      <c r="A7390" t="str">
        <f>"20190312150837196"</f>
        <v>20190312150837196</v>
      </c>
      <c r="B7390" t="str">
        <f>"1552374517187587"</f>
        <v>1552374517187587</v>
      </c>
      <c r="C7390" t="s">
        <v>40</v>
      </c>
      <c r="D7390">
        <v>4.0812419999999996</v>
      </c>
      <c r="E7390">
        <v>0.4753696</v>
      </c>
      <c r="F7390" t="s">
        <v>48</v>
      </c>
      <c r="G7390">
        <v>0</v>
      </c>
      <c r="H7390">
        <v>0</v>
      </c>
      <c r="I7390">
        <v>0</v>
      </c>
      <c r="J7390">
        <v>-355.74639999999999</v>
      </c>
      <c r="K7390">
        <v>1.110376</v>
      </c>
      <c r="L7390">
        <v>140.3903</v>
      </c>
      <c r="M7390">
        <v>-0.99969169999999996</v>
      </c>
      <c r="N7390">
        <v>0</v>
      </c>
      <c r="O7390">
        <v>-2.124467E-2</v>
      </c>
      <c r="P7390">
        <v>-0.99860959999999999</v>
      </c>
      <c r="Q7390">
        <v>4.042163E-2</v>
      </c>
      <c r="R7390">
        <v>-3.383883E-2</v>
      </c>
      <c r="S7390">
        <v>-2.994049</v>
      </c>
      <c r="T7390">
        <v>5.205154E-3</v>
      </c>
      <c r="U7390">
        <v>-0.29739379999999999</v>
      </c>
      <c r="V7390">
        <v>-1.259774E-2</v>
      </c>
      <c r="W7390">
        <v>5.3261160000000002E-2</v>
      </c>
      <c r="X7390">
        <v>0.99850110000000003</v>
      </c>
      <c r="Y7390">
        <v>-7.7677120000000002E-2</v>
      </c>
      <c r="Z7390" s="1">
        <v>3.052059E-5</v>
      </c>
      <c r="AA7390">
        <v>0.99697860000000005</v>
      </c>
      <c r="AB7390">
        <v>22</v>
      </c>
      <c r="AC7390">
        <v>-2.994049</v>
      </c>
      <c r="AD7390">
        <v>5.205154E-3</v>
      </c>
      <c r="AE7390">
        <v>-0.29739379999999999</v>
      </c>
      <c r="AF7390">
        <v>-0.23371313298423499</v>
      </c>
      <c r="AG7390">
        <v>5.205154E-3</v>
      </c>
      <c r="AH7390">
        <v>2.9996827284126302</v>
      </c>
      <c r="AI7390">
        <v>89.900878862090494</v>
      </c>
      <c r="AJ7390">
        <v>94.455064060948402</v>
      </c>
      <c r="AK7390">
        <v>3.0087780565030902</v>
      </c>
      <c r="AL7390">
        <v>86.946915533338696</v>
      </c>
      <c r="AM7390">
        <v>90.722842507155605</v>
      </c>
      <c r="AN7390">
        <v>0.99999995045943002</v>
      </c>
    </row>
    <row r="7391" spans="1:40" x14ac:dyDescent="0.25">
      <c r="A7391" t="str">
        <f>"20190312150837208"</f>
        <v>20190312150837208</v>
      </c>
      <c r="B7391" t="str">
        <f>"1552374517197347"</f>
        <v>1552374517197347</v>
      </c>
      <c r="C7391" t="s">
        <v>40</v>
      </c>
      <c r="D7391">
        <v>4.460426</v>
      </c>
      <c r="E7391">
        <v>0.4752557</v>
      </c>
      <c r="F7391" t="s">
        <v>48</v>
      </c>
      <c r="G7391">
        <v>0</v>
      </c>
      <c r="H7391">
        <v>0</v>
      </c>
      <c r="I7391">
        <v>0</v>
      </c>
      <c r="J7391">
        <v>-355.8569</v>
      </c>
      <c r="K7391">
        <v>1.1103780000000001</v>
      </c>
      <c r="L7391">
        <v>140.38810000000001</v>
      </c>
      <c r="M7391">
        <v>-0.99969359999999996</v>
      </c>
      <c r="N7391">
        <v>0</v>
      </c>
      <c r="O7391">
        <v>-2.1150039999999998E-2</v>
      </c>
      <c r="P7391">
        <v>-0.99856250000000002</v>
      </c>
      <c r="Q7391">
        <v>4.0403109999999999E-2</v>
      </c>
      <c r="R7391">
        <v>-3.5222240000000002E-2</v>
      </c>
      <c r="S7391">
        <v>-2.9937740000000002</v>
      </c>
      <c r="T7391">
        <v>3.2444000000000001E-3</v>
      </c>
      <c r="U7391">
        <v>-0.30236819999999998</v>
      </c>
      <c r="V7391">
        <v>-1.4076089999999999E-2</v>
      </c>
      <c r="W7391">
        <v>5.3265449999999999E-2</v>
      </c>
      <c r="X7391">
        <v>0.99848119999999996</v>
      </c>
      <c r="Y7391">
        <v>-7.9420530000000003E-2</v>
      </c>
      <c r="Z7391" s="1">
        <v>2.0068430000000001E-5</v>
      </c>
      <c r="AA7391">
        <v>0.99684119999999998</v>
      </c>
      <c r="AB7391">
        <v>22</v>
      </c>
      <c r="AC7391">
        <v>-2.9937740000000002</v>
      </c>
      <c r="AD7391">
        <v>3.2444000000000001E-3</v>
      </c>
      <c r="AE7391">
        <v>-0.30236819999999998</v>
      </c>
      <c r="AF7391">
        <v>-0.23897659874830199</v>
      </c>
      <c r="AG7391">
        <v>3.2444000000000001E-3</v>
      </c>
      <c r="AH7391">
        <v>2.9994963618034101</v>
      </c>
      <c r="AI7391">
        <v>89.938221907377795</v>
      </c>
      <c r="AJ7391">
        <v>94.555261022488594</v>
      </c>
      <c r="AK7391">
        <v>3.0090029520345398</v>
      </c>
      <c r="AL7391">
        <v>86.946669614712903</v>
      </c>
      <c r="AM7391">
        <v>90.807673822568006</v>
      </c>
      <c r="AN7391">
        <v>1.0000000256134101</v>
      </c>
    </row>
    <row r="7392" spans="1:40" x14ac:dyDescent="0.25">
      <c r="A7392" t="str">
        <f>"20190312150837223"</f>
        <v>20190312150837223</v>
      </c>
      <c r="B7392" t="str">
        <f>"1552374517217842"</f>
        <v>1552374517217842</v>
      </c>
      <c r="C7392" t="s">
        <v>40</v>
      </c>
      <c r="D7392">
        <v>4.3620510000000001</v>
      </c>
      <c r="E7392">
        <v>0.47497929999999999</v>
      </c>
      <c r="F7392" t="s">
        <v>48</v>
      </c>
      <c r="G7392">
        <v>0</v>
      </c>
      <c r="H7392">
        <v>0</v>
      </c>
      <c r="I7392">
        <v>0</v>
      </c>
      <c r="J7392">
        <v>-356.00880000000001</v>
      </c>
      <c r="K7392">
        <v>1.1103769999999999</v>
      </c>
      <c r="L7392">
        <v>140.38499999999999</v>
      </c>
      <c r="M7392">
        <v>-0.99969600000000003</v>
      </c>
      <c r="N7392">
        <v>0</v>
      </c>
      <c r="O7392">
        <v>-2.101958E-2</v>
      </c>
      <c r="P7392">
        <v>-0.9984809</v>
      </c>
      <c r="Q7392">
        <v>4.0390530000000001E-2</v>
      </c>
      <c r="R7392">
        <v>-3.7482559999999998E-2</v>
      </c>
      <c r="S7392">
        <v>-2.9934080000000001</v>
      </c>
      <c r="T7392">
        <v>1.4559029999999999E-3</v>
      </c>
      <c r="U7392">
        <v>-0.30749510000000002</v>
      </c>
      <c r="V7392">
        <v>-1.6468489999999999E-2</v>
      </c>
      <c r="W7392">
        <v>5.3282599999999999E-2</v>
      </c>
      <c r="X7392">
        <v>0.99844370000000005</v>
      </c>
      <c r="Y7392">
        <v>-8.1252489999999997E-2</v>
      </c>
      <c r="Z7392" s="1">
        <v>9.5135229999999992E-6</v>
      </c>
      <c r="AA7392">
        <v>0.99669359999999996</v>
      </c>
      <c r="AB7392">
        <v>22</v>
      </c>
      <c r="AC7392">
        <v>-2.9934080000000001</v>
      </c>
      <c r="AD7392">
        <v>1.4559029999999999E-3</v>
      </c>
      <c r="AE7392">
        <v>-0.30749510000000002</v>
      </c>
      <c r="AF7392">
        <v>-0.244501690186683</v>
      </c>
      <c r="AG7392">
        <v>1.4559029999999999E-3</v>
      </c>
      <c r="AH7392">
        <v>2.9992097917915399</v>
      </c>
      <c r="AI7392">
        <v>89.972278939411396</v>
      </c>
      <c r="AJ7392">
        <v>94.660562409428593</v>
      </c>
      <c r="AK7392">
        <v>3.00915977829957</v>
      </c>
      <c r="AL7392">
        <v>86.945685621445506</v>
      </c>
      <c r="AM7392">
        <v>90.944960058434603</v>
      </c>
      <c r="AN7392">
        <v>1.00000003434766</v>
      </c>
    </row>
    <row r="7393" spans="1:40" x14ac:dyDescent="0.25">
      <c r="A7393" t="str">
        <f>"20190312150837239"</f>
        <v>20190312150837239</v>
      </c>
      <c r="B7393" t="str">
        <f>"1552374517236972"</f>
        <v>1552374517236972</v>
      </c>
      <c r="C7393" t="s">
        <v>40</v>
      </c>
      <c r="D7393">
        <v>4.0862150000000002</v>
      </c>
      <c r="E7393">
        <v>0.474825</v>
      </c>
      <c r="F7393" t="s">
        <v>48</v>
      </c>
      <c r="G7393">
        <v>0</v>
      </c>
      <c r="H7393">
        <v>0</v>
      </c>
      <c r="I7393">
        <v>0</v>
      </c>
      <c r="J7393">
        <v>-356.161</v>
      </c>
      <c r="K7393">
        <v>1.1103799999999999</v>
      </c>
      <c r="L7393">
        <v>140.3819</v>
      </c>
      <c r="M7393">
        <v>-0.99969819999999998</v>
      </c>
      <c r="N7393">
        <v>0</v>
      </c>
      <c r="O7393">
        <v>-2.0889230000000002E-2</v>
      </c>
      <c r="P7393">
        <v>-0.99843700000000002</v>
      </c>
      <c r="Q7393">
        <v>4.0216889999999998E-2</v>
      </c>
      <c r="R7393">
        <v>-3.8807899999999999E-2</v>
      </c>
      <c r="S7393">
        <v>-2.9927670000000002</v>
      </c>
      <c r="T7393">
        <v>-3.0790570000000001E-3</v>
      </c>
      <c r="U7393">
        <v>-0.31661990000000001</v>
      </c>
      <c r="V7393">
        <v>-1.7924510000000001E-2</v>
      </c>
      <c r="W7393">
        <v>5.3138789999999998E-2</v>
      </c>
      <c r="X7393">
        <v>0.99842629999999999</v>
      </c>
      <c r="Y7393">
        <v>-8.4409869999999998E-2</v>
      </c>
      <c r="Z7393" s="1">
        <v>-2.1874549999999999E-5</v>
      </c>
      <c r="AA7393">
        <v>0.99643110000000001</v>
      </c>
      <c r="AB7393">
        <v>22</v>
      </c>
      <c r="AC7393">
        <v>-2.9927670000000002</v>
      </c>
      <c r="AD7393">
        <v>-3.0790570000000001E-3</v>
      </c>
      <c r="AE7393">
        <v>-0.31661990000000001</v>
      </c>
      <c r="AF7393">
        <v>-0.254028711232682</v>
      </c>
      <c r="AG7393">
        <v>-3.0790570000000001E-3</v>
      </c>
      <c r="AH7393">
        <v>2.9987252175016299</v>
      </c>
      <c r="AI7393">
        <v>90.058620675484704</v>
      </c>
      <c r="AJ7393">
        <v>94.842092993593099</v>
      </c>
      <c r="AK7393">
        <v>3.0094672280659198</v>
      </c>
      <c r="AL7393">
        <v>86.953937057915894</v>
      </c>
      <c r="AM7393">
        <v>91.028507021196802</v>
      </c>
      <c r="AN7393">
        <v>1.0000000477965401</v>
      </c>
    </row>
    <row r="7394" spans="1:40" x14ac:dyDescent="0.25">
      <c r="A7394" t="str">
        <f>"20190312150837251"</f>
        <v>20190312150837251</v>
      </c>
      <c r="B7394" t="str">
        <f>"1552374517247708"</f>
        <v>1552374517247708</v>
      </c>
      <c r="C7394" t="s">
        <v>40</v>
      </c>
      <c r="D7394">
        <v>4.2118699999999896</v>
      </c>
      <c r="E7394">
        <v>0.47473799999999999</v>
      </c>
      <c r="F7394" t="s">
        <v>48</v>
      </c>
      <c r="G7394">
        <v>0</v>
      </c>
      <c r="H7394">
        <v>0</v>
      </c>
      <c r="I7394">
        <v>0</v>
      </c>
      <c r="J7394">
        <v>-356.27690000000001</v>
      </c>
      <c r="K7394">
        <v>1.1103809999999901</v>
      </c>
      <c r="L7394">
        <v>140.37960000000001</v>
      </c>
      <c r="M7394">
        <v>-0.99970009999999998</v>
      </c>
      <c r="N7394">
        <v>0</v>
      </c>
      <c r="O7394">
        <v>-2.079044E-2</v>
      </c>
      <c r="P7394">
        <v>-0.99836020000000003</v>
      </c>
      <c r="Q7394">
        <v>4.0557559999999999E-2</v>
      </c>
      <c r="R7394">
        <v>-4.0403540000000002E-2</v>
      </c>
      <c r="S7394">
        <v>-2.9925229999999998</v>
      </c>
      <c r="T7394">
        <v>-7.7093839999999997E-3</v>
      </c>
      <c r="U7394">
        <v>-0.32194519999999999</v>
      </c>
      <c r="V7394">
        <v>-1.9619919999999999E-2</v>
      </c>
      <c r="W7394">
        <v>5.3502109999999999E-2</v>
      </c>
      <c r="X7394">
        <v>0.99837500000000001</v>
      </c>
      <c r="Y7394">
        <v>-8.6269709999999999E-2</v>
      </c>
      <c r="Z7394" s="1">
        <v>-5.7411619999999897E-5</v>
      </c>
      <c r="AA7394">
        <v>0.99627180000000004</v>
      </c>
      <c r="AB7394">
        <v>22</v>
      </c>
      <c r="AC7394">
        <v>-2.9925229999999998</v>
      </c>
      <c r="AD7394">
        <v>-7.7093839999999997E-3</v>
      </c>
      <c r="AE7394">
        <v>-0.32194519999999999</v>
      </c>
      <c r="AF7394">
        <v>-0.25965281796408501</v>
      </c>
      <c r="AG7394">
        <v>-7.7093839999999997E-3</v>
      </c>
      <c r="AH7394">
        <v>2.9985503436530498</v>
      </c>
      <c r="AI7394">
        <v>90.146760050615796</v>
      </c>
      <c r="AJ7394">
        <v>94.949055764162196</v>
      </c>
      <c r="AK7394">
        <v>3.0097812518354501</v>
      </c>
      <c r="AL7394">
        <v>86.933090643038895</v>
      </c>
      <c r="AM7394">
        <v>91.125823394545705</v>
      </c>
      <c r="AN7394">
        <v>1.0000000288301201</v>
      </c>
    </row>
    <row r="7395" spans="1:40" x14ac:dyDescent="0.25">
      <c r="A7395" t="str">
        <f>"20190312150837263"</f>
        <v>20190312150837263</v>
      </c>
      <c r="B7395" t="str">
        <f>"1552374517257468"</f>
        <v>1552374517257468</v>
      </c>
      <c r="C7395" t="s">
        <v>40</v>
      </c>
      <c r="D7395">
        <v>4.0910330000000004</v>
      </c>
      <c r="E7395">
        <v>0.47468080000000001</v>
      </c>
      <c r="F7395" t="s">
        <v>48</v>
      </c>
      <c r="G7395">
        <v>0</v>
      </c>
      <c r="H7395">
        <v>0</v>
      </c>
      <c r="I7395">
        <v>0</v>
      </c>
      <c r="J7395">
        <v>-356.39510000000001</v>
      </c>
      <c r="K7395">
        <v>1.110387</v>
      </c>
      <c r="L7395">
        <v>140.37729999999999</v>
      </c>
      <c r="M7395">
        <v>-0.99970179999999997</v>
      </c>
      <c r="N7395">
        <v>0</v>
      </c>
      <c r="O7395">
        <v>-2.0689510000000001E-2</v>
      </c>
      <c r="P7395">
        <v>-0.99829420000000002</v>
      </c>
      <c r="Q7395">
        <v>4.0405679999999999E-2</v>
      </c>
      <c r="R7395">
        <v>-4.2144609999999999E-2</v>
      </c>
      <c r="S7395">
        <v>-2.9919739999999999</v>
      </c>
      <c r="T7395">
        <v>-9.0433360000000008E-3</v>
      </c>
      <c r="U7395">
        <v>-0.32751459999999999</v>
      </c>
      <c r="V7395">
        <v>-2.1463349999999999E-2</v>
      </c>
      <c r="W7395">
        <v>5.3373539999999997E-2</v>
      </c>
      <c r="X7395">
        <v>0.99834389999999995</v>
      </c>
      <c r="Y7395">
        <v>-8.8222439999999999E-2</v>
      </c>
      <c r="Z7395" s="1">
        <v>-7.0597580000000002E-5</v>
      </c>
      <c r="AA7395">
        <v>0.99610080000000001</v>
      </c>
      <c r="AB7395">
        <v>22</v>
      </c>
      <c r="AC7395">
        <v>-2.9919739999999999</v>
      </c>
      <c r="AD7395">
        <v>-9.0433360000000008E-3</v>
      </c>
      <c r="AE7395">
        <v>-0.32751459999999999</v>
      </c>
      <c r="AF7395">
        <v>-0.26553440195532402</v>
      </c>
      <c r="AG7395">
        <v>-9.0433360000000008E-3</v>
      </c>
      <c r="AH7395">
        <v>2.99808307917412</v>
      </c>
      <c r="AI7395">
        <v>90.172151022703801</v>
      </c>
      <c r="AJ7395">
        <v>95.061369304688</v>
      </c>
      <c r="AK7395">
        <v>3.00983262826656</v>
      </c>
      <c r="AL7395">
        <v>86.940467541187303</v>
      </c>
      <c r="AM7395">
        <v>91.231609623442395</v>
      </c>
      <c r="AN7395">
        <v>0.99999997641628102</v>
      </c>
    </row>
    <row r="7396" spans="1:40" x14ac:dyDescent="0.25">
      <c r="A7396" t="str">
        <f>"20190312150837275"</f>
        <v>20190312150837275</v>
      </c>
      <c r="B7396" t="str">
        <f>"1552374517267227"</f>
        <v>1552374517267227</v>
      </c>
      <c r="C7396" t="s">
        <v>40</v>
      </c>
      <c r="D7396">
        <v>4.0774280000000003</v>
      </c>
      <c r="E7396">
        <v>0.47460799999999997</v>
      </c>
      <c r="F7396" t="s">
        <v>48</v>
      </c>
      <c r="G7396">
        <v>0</v>
      </c>
      <c r="H7396">
        <v>0</v>
      </c>
      <c r="I7396">
        <v>0</v>
      </c>
      <c r="J7396">
        <v>-356.50839999999999</v>
      </c>
      <c r="K7396">
        <v>1.110387</v>
      </c>
      <c r="L7396">
        <v>140.375</v>
      </c>
      <c r="M7396">
        <v>-0.99970349999999997</v>
      </c>
      <c r="N7396">
        <v>0</v>
      </c>
      <c r="O7396">
        <v>-2.05931E-2</v>
      </c>
      <c r="P7396">
        <v>-0.99822109999999997</v>
      </c>
      <c r="Q7396">
        <v>4.0242559999999997E-2</v>
      </c>
      <c r="R7396">
        <v>-4.3992660000000003E-2</v>
      </c>
      <c r="S7396">
        <v>-2.9915470000000002</v>
      </c>
      <c r="T7396">
        <v>-1.202464E-2</v>
      </c>
      <c r="U7396">
        <v>-0.33320620000000001</v>
      </c>
      <c r="V7396">
        <v>-2.3408620000000002E-2</v>
      </c>
      <c r="W7396">
        <v>5.3232599999999998E-2</v>
      </c>
      <c r="X7396">
        <v>0.99830770000000002</v>
      </c>
      <c r="Y7396">
        <v>-9.0205740000000006E-2</v>
      </c>
      <c r="Z7396" s="1">
        <v>-9.8234940000000006E-5</v>
      </c>
      <c r="AA7396">
        <v>0.99592320000000001</v>
      </c>
      <c r="AB7396">
        <v>22</v>
      </c>
      <c r="AC7396">
        <v>-2.9915470000000002</v>
      </c>
      <c r="AD7396">
        <v>-1.202464E-2</v>
      </c>
      <c r="AE7396">
        <v>-0.33320620000000001</v>
      </c>
      <c r="AF7396">
        <v>-0.27152076733199998</v>
      </c>
      <c r="AG7396">
        <v>-1.202464E-2</v>
      </c>
      <c r="AH7396">
        <v>2.9977269923765499</v>
      </c>
      <c r="AI7396">
        <v>90.228889638766205</v>
      </c>
      <c r="AJ7396">
        <v>95.175474424213107</v>
      </c>
      <c r="AK7396">
        <v>3.0100224650129501</v>
      </c>
      <c r="AL7396">
        <v>86.948554280779206</v>
      </c>
      <c r="AM7396">
        <v>91.343242570446805</v>
      </c>
      <c r="AN7396">
        <v>0.99999996853617601</v>
      </c>
    </row>
    <row r="7397" spans="1:40" x14ac:dyDescent="0.25">
      <c r="A7397" t="str">
        <f>"20190312150837287"</f>
        <v>20190312150837287</v>
      </c>
      <c r="B7397" t="str">
        <f>"1552374517276988"</f>
        <v>1552374517276988</v>
      </c>
      <c r="C7397" t="s">
        <v>40</v>
      </c>
      <c r="D7397">
        <v>4.1023719999999999</v>
      </c>
      <c r="E7397">
        <v>0.4745239</v>
      </c>
      <c r="F7397" t="s">
        <v>48</v>
      </c>
      <c r="G7397">
        <v>0</v>
      </c>
      <c r="H7397">
        <v>0</v>
      </c>
      <c r="I7397">
        <v>0</v>
      </c>
      <c r="J7397">
        <v>-356.63099999999997</v>
      </c>
      <c r="K7397">
        <v>1.1103879999999999</v>
      </c>
      <c r="L7397">
        <v>140.37260000000001</v>
      </c>
      <c r="M7397">
        <v>-0.99970539999999997</v>
      </c>
      <c r="N7397">
        <v>0</v>
      </c>
      <c r="O7397">
        <v>-2.048883E-2</v>
      </c>
      <c r="P7397">
        <v>-0.99814579999999997</v>
      </c>
      <c r="Q7397">
        <v>3.9923790000000001E-2</v>
      </c>
      <c r="R7397">
        <v>-4.5948860000000001E-2</v>
      </c>
      <c r="S7397">
        <v>-2.991028</v>
      </c>
      <c r="T7397">
        <v>-1.527941E-2</v>
      </c>
      <c r="U7397">
        <v>-0.33943179999999901</v>
      </c>
      <c r="V7397">
        <v>-2.5470179999999999E-2</v>
      </c>
      <c r="W7397">
        <v>5.2936900000000002E-2</v>
      </c>
      <c r="X7397">
        <v>0.99827299999999997</v>
      </c>
      <c r="Y7397">
        <v>-9.2375090000000007E-2</v>
      </c>
      <c r="Z7397">
        <v>-1.3088579999999999E-4</v>
      </c>
      <c r="AA7397">
        <v>0.99572430000000001</v>
      </c>
      <c r="AB7397">
        <v>22</v>
      </c>
      <c r="AC7397">
        <v>-2.991028</v>
      </c>
      <c r="AD7397">
        <v>-1.527941E-2</v>
      </c>
      <c r="AE7397">
        <v>-0.33943179999999901</v>
      </c>
      <c r="AF7397">
        <v>-0.27806551784504702</v>
      </c>
      <c r="AG7397">
        <v>-1.527941E-2</v>
      </c>
      <c r="AH7397">
        <v>2.99727794986133</v>
      </c>
      <c r="AI7397">
        <v>90.290828878708098</v>
      </c>
      <c r="AJ7397">
        <v>95.300311758577095</v>
      </c>
      <c r="AK7397">
        <v>3.0101875359035901</v>
      </c>
      <c r="AL7397">
        <v>86.965520703717203</v>
      </c>
      <c r="AM7397">
        <v>91.461541358936401</v>
      </c>
      <c r="AN7397">
        <v>1.0000000139899199</v>
      </c>
    </row>
    <row r="7398" spans="1:40" x14ac:dyDescent="0.25">
      <c r="A7398" t="str">
        <f>"20190312150837301"</f>
        <v>20190312150837301</v>
      </c>
      <c r="B7398" t="str">
        <f>"1552374517297484"</f>
        <v>1552374517297484</v>
      </c>
      <c r="C7398" t="s">
        <v>40</v>
      </c>
      <c r="D7398">
        <v>4.2367319999999999</v>
      </c>
      <c r="E7398">
        <v>0.47451670000000001</v>
      </c>
      <c r="F7398" t="s">
        <v>43</v>
      </c>
      <c r="G7398">
        <v>-536.96159999999998</v>
      </c>
      <c r="H7398">
        <v>-0.05</v>
      </c>
      <c r="I7398">
        <v>119.5051</v>
      </c>
      <c r="J7398">
        <v>-356.76330000000002</v>
      </c>
      <c r="K7398">
        <v>1.110387</v>
      </c>
      <c r="L7398">
        <v>140.37</v>
      </c>
      <c r="M7398">
        <v>-0.99970740000000002</v>
      </c>
      <c r="N7398">
        <v>0</v>
      </c>
      <c r="O7398">
        <v>-2.037622E-2</v>
      </c>
      <c r="P7398">
        <v>-0.99798109999999995</v>
      </c>
      <c r="Q7398">
        <v>3.9503089999999998E-2</v>
      </c>
      <c r="R7398">
        <v>-4.9736629999999997E-2</v>
      </c>
      <c r="S7398">
        <v>-2.9903559999999998</v>
      </c>
      <c r="T7398">
        <v>-1.9242289999999999E-2</v>
      </c>
      <c r="U7398">
        <v>-0.34603879999999998</v>
      </c>
      <c r="V7398">
        <v>-2.9372949999999998E-2</v>
      </c>
      <c r="W7398">
        <v>5.2540249999999997E-2</v>
      </c>
      <c r="X7398">
        <v>0.99818669999999998</v>
      </c>
      <c r="Y7398">
        <v>-9.4682929999999998E-2</v>
      </c>
      <c r="Z7398">
        <v>-1.7297069999999999E-4</v>
      </c>
      <c r="AA7398">
        <v>0.99550749999999999</v>
      </c>
      <c r="AB7398">
        <v>22</v>
      </c>
      <c r="AC7398">
        <v>-180.19829999999999</v>
      </c>
      <c r="AD7398">
        <v>-1.1603870000000001</v>
      </c>
      <c r="AE7398">
        <v>-20.864899999999999</v>
      </c>
      <c r="AF7398">
        <v>-17.1877918573344</v>
      </c>
      <c r="AG7398">
        <v>-1.1603870000000001</v>
      </c>
      <c r="AH7398">
        <v>180.57867635817499</v>
      </c>
      <c r="AI7398">
        <v>90.366517483925094</v>
      </c>
      <c r="AJ7398">
        <v>95.437131880015798</v>
      </c>
      <c r="AK7398">
        <v>181.398525468625</v>
      </c>
      <c r="AL7398">
        <v>86.988278607195696</v>
      </c>
      <c r="AM7398">
        <v>91.685516908253803</v>
      </c>
      <c r="AN7398">
        <v>0.99999996805932601</v>
      </c>
    </row>
    <row r="7399" spans="1:40" x14ac:dyDescent="0.25">
      <c r="A7399" t="str">
        <f>"20190312150837319"</f>
        <v>20190312150837319</v>
      </c>
      <c r="B7399" t="str">
        <f>"1552374517307798"</f>
        <v>1552374517307798</v>
      </c>
      <c r="C7399" t="s">
        <v>40</v>
      </c>
      <c r="D7399">
        <v>4.1107319999999996</v>
      </c>
      <c r="E7399">
        <v>0.47451009999999999</v>
      </c>
      <c r="F7399" t="s">
        <v>73</v>
      </c>
      <c r="G7399">
        <v>-485.44639999999998</v>
      </c>
      <c r="H7399">
        <v>7.9986559999999998E-2</v>
      </c>
      <c r="I7399">
        <v>124.9682</v>
      </c>
      <c r="J7399">
        <v>-356.92939999999999</v>
      </c>
      <c r="K7399">
        <v>1.1103879999999999</v>
      </c>
      <c r="L7399">
        <v>140.36680000000001</v>
      </c>
      <c r="M7399">
        <v>-0.99970979999999998</v>
      </c>
      <c r="N7399">
        <v>0</v>
      </c>
      <c r="O7399">
        <v>-2.0235389999999999E-2</v>
      </c>
      <c r="P7399">
        <v>-0.99790719999999999</v>
      </c>
      <c r="Q7399">
        <v>3.8770560000000003E-2</v>
      </c>
      <c r="R7399">
        <v>-5.1752949999999999E-2</v>
      </c>
      <c r="S7399">
        <v>-2.9892270000000001</v>
      </c>
      <c r="T7399">
        <v>-2.3935560000000002E-2</v>
      </c>
      <c r="U7399">
        <v>-0.3577728</v>
      </c>
      <c r="V7399">
        <v>-3.1531629999999998E-2</v>
      </c>
      <c r="W7399">
        <v>5.1835489999999998E-2</v>
      </c>
      <c r="X7399">
        <v>0.99815770000000004</v>
      </c>
      <c r="Y7399">
        <v>-9.8718700000000006E-2</v>
      </c>
      <c r="Z7399">
        <v>-2.3241369999999999E-4</v>
      </c>
      <c r="AA7399">
        <v>0.99511530000000004</v>
      </c>
      <c r="AB7399">
        <v>22</v>
      </c>
      <c r="AC7399">
        <v>-128.517</v>
      </c>
      <c r="AD7399">
        <v>-1.0304014399999999</v>
      </c>
      <c r="AE7399">
        <v>-15.3986</v>
      </c>
      <c r="AF7399">
        <v>-12.793821927181099</v>
      </c>
      <c r="AG7399">
        <v>-1.0304014399999999</v>
      </c>
      <c r="AH7399">
        <v>128.79414209907401</v>
      </c>
      <c r="AI7399">
        <v>90.456133111678</v>
      </c>
      <c r="AJ7399">
        <v>95.672890800471507</v>
      </c>
      <c r="AK7399">
        <v>129.43212370068099</v>
      </c>
      <c r="AL7399">
        <v>87.028713513373106</v>
      </c>
      <c r="AM7399">
        <v>91.809362112044596</v>
      </c>
      <c r="AN7399">
        <v>0.99999997789164297</v>
      </c>
    </row>
    <row r="7400" spans="1:40" x14ac:dyDescent="0.25">
      <c r="A7400" t="str">
        <f>"20190312150837335"</f>
        <v>20190312150837335</v>
      </c>
      <c r="B7400" t="str">
        <f>"1552374517327061"</f>
        <v>1552374517327061</v>
      </c>
      <c r="C7400" t="s">
        <v>40</v>
      </c>
      <c r="D7400">
        <v>4.1337960000000002</v>
      </c>
      <c r="E7400">
        <v>0.47448659999999998</v>
      </c>
      <c r="F7400" t="s">
        <v>42</v>
      </c>
      <c r="G7400">
        <v>-467.60579999999999</v>
      </c>
      <c r="H7400">
        <v>7.9986929999999998E-2</v>
      </c>
      <c r="I7400">
        <v>126.8909</v>
      </c>
      <c r="J7400">
        <v>-357.09300000000002</v>
      </c>
      <c r="K7400">
        <v>1.110384</v>
      </c>
      <c r="L7400">
        <v>140.36359999999999</v>
      </c>
      <c r="M7400">
        <v>-0.9997123</v>
      </c>
      <c r="N7400">
        <v>0</v>
      </c>
      <c r="O7400">
        <v>-2.009704E-2</v>
      </c>
      <c r="P7400">
        <v>-0.99771880000000002</v>
      </c>
      <c r="Q7400">
        <v>3.789381E-2</v>
      </c>
      <c r="R7400">
        <v>-5.5870320000000001E-2</v>
      </c>
      <c r="S7400">
        <v>-2.9884949999999999</v>
      </c>
      <c r="T7400">
        <v>-2.7822969999999999E-2</v>
      </c>
      <c r="U7400">
        <v>-0.36387629999999999</v>
      </c>
      <c r="V7400">
        <v>-3.5790830000000003E-2</v>
      </c>
      <c r="W7400">
        <v>5.0982600000000003E-2</v>
      </c>
      <c r="X7400">
        <v>0.998058</v>
      </c>
      <c r="Y7400">
        <v>-0.10088709999999999</v>
      </c>
      <c r="Z7400">
        <v>-2.8153180000000001E-4</v>
      </c>
      <c r="AA7400">
        <v>0.99489780000000005</v>
      </c>
      <c r="AB7400">
        <v>22</v>
      </c>
      <c r="AC7400">
        <v>-110.512799999999</v>
      </c>
      <c r="AD7400">
        <v>-1.03039707</v>
      </c>
      <c r="AE7400">
        <v>-13.4726999999999</v>
      </c>
      <c r="AF7400">
        <v>-11.2478444657668</v>
      </c>
      <c r="AG7400">
        <v>-1.03039707</v>
      </c>
      <c r="AH7400">
        <v>110.751773983844</v>
      </c>
      <c r="AI7400">
        <v>90.530317448972298</v>
      </c>
      <c r="AJ7400">
        <v>95.799021727953402</v>
      </c>
      <c r="AK7400">
        <v>111.326237535527</v>
      </c>
      <c r="AL7400">
        <v>87.077645252643407</v>
      </c>
      <c r="AM7400">
        <v>92.053773577288098</v>
      </c>
      <c r="AN7400">
        <v>0.99999999018942398</v>
      </c>
    </row>
    <row r="7401" spans="1:40" x14ac:dyDescent="0.25">
      <c r="A7401" t="str">
        <f>"20190312150837358"</f>
        <v>20190312150837358</v>
      </c>
      <c r="B7401" t="str">
        <f>"1552374517347555"</f>
        <v>1552374517347555</v>
      </c>
      <c r="C7401" t="s">
        <v>40</v>
      </c>
      <c r="D7401">
        <v>4.1411210000000001</v>
      </c>
      <c r="E7401">
        <v>0.47560609999999998</v>
      </c>
      <c r="F7401" t="s">
        <v>42</v>
      </c>
      <c r="G7401">
        <v>-445.0247</v>
      </c>
      <c r="H7401">
        <v>7.9987840000000004E-2</v>
      </c>
      <c r="I7401">
        <v>129.27510000000001</v>
      </c>
      <c r="J7401">
        <v>-357.30810000000002</v>
      </c>
      <c r="K7401">
        <v>1.1103799999999999</v>
      </c>
      <c r="L7401">
        <v>140.3595</v>
      </c>
      <c r="M7401">
        <v>-0.99971549999999998</v>
      </c>
      <c r="N7401">
        <v>0</v>
      </c>
      <c r="O7401">
        <v>-1.9915909999999998E-2</v>
      </c>
      <c r="P7401">
        <v>-0.99750050000000001</v>
      </c>
      <c r="Q7401">
        <v>3.6669849999999997E-2</v>
      </c>
      <c r="R7401">
        <v>-6.0401549999999998E-2</v>
      </c>
      <c r="S7401">
        <v>-2.9870909999999999</v>
      </c>
      <c r="T7401">
        <v>-3.5003190000000003E-2</v>
      </c>
      <c r="U7401">
        <v>-0.37667850000000003</v>
      </c>
      <c r="V7401">
        <v>-4.0506750000000001E-2</v>
      </c>
      <c r="W7401">
        <v>4.9786780000000003E-2</v>
      </c>
      <c r="X7401">
        <v>0.99793810000000005</v>
      </c>
      <c r="Y7401">
        <v>-0.1053196</v>
      </c>
      <c r="Z7401">
        <v>-3.8223549999999998E-4</v>
      </c>
      <c r="AA7401">
        <v>0.99443839999999994</v>
      </c>
      <c r="AB7401">
        <v>22</v>
      </c>
      <c r="AC7401">
        <v>-87.7165999999999</v>
      </c>
      <c r="AD7401">
        <v>-1.0303921599999999</v>
      </c>
      <c r="AE7401">
        <v>-11.084399999999899</v>
      </c>
      <c r="AF7401">
        <v>-9.3338270028334094</v>
      </c>
      <c r="AG7401">
        <v>-1.0303921599999999</v>
      </c>
      <c r="AH7401">
        <v>87.908034495813894</v>
      </c>
      <c r="AI7401">
        <v>90.667794147499094</v>
      </c>
      <c r="AJ7401">
        <v>96.060796582115401</v>
      </c>
      <c r="AK7401">
        <v>88.408170230128704</v>
      </c>
      <c r="AL7401">
        <v>87.146247817258597</v>
      </c>
      <c r="AM7401">
        <v>92.324385117793796</v>
      </c>
      <c r="AN7401">
        <v>0.99999998584496996</v>
      </c>
    </row>
    <row r="7402" spans="1:40" x14ac:dyDescent="0.25">
      <c r="A7402" t="str">
        <f>"20190312150837379"</f>
        <v>20190312150837379</v>
      </c>
      <c r="B7402" t="str">
        <f>"1552374517367075"</f>
        <v>1552374517367075</v>
      </c>
      <c r="C7402" t="s">
        <v>40</v>
      </c>
      <c r="D7402">
        <v>4.1370110000000002</v>
      </c>
      <c r="E7402">
        <v>0.47635850000000002</v>
      </c>
      <c r="F7402" t="s">
        <v>42</v>
      </c>
      <c r="G7402">
        <v>-385.1377</v>
      </c>
      <c r="H7402" s="1">
        <v>-2.5715170000000001E-6</v>
      </c>
      <c r="I7402">
        <v>136.77889999999999</v>
      </c>
      <c r="J7402">
        <v>-357.51780000000002</v>
      </c>
      <c r="K7402">
        <v>1.110371</v>
      </c>
      <c r="L7402">
        <v>140.35550000000001</v>
      </c>
      <c r="M7402">
        <v>-0.99971880000000002</v>
      </c>
      <c r="N7402">
        <v>0</v>
      </c>
      <c r="O7402">
        <v>-1.9740130000000002E-2</v>
      </c>
      <c r="P7402">
        <v>-0.99728740000000005</v>
      </c>
      <c r="Q7402">
        <v>3.5305580000000003E-2</v>
      </c>
      <c r="R7402">
        <v>-6.4589900000000006E-2</v>
      </c>
      <c r="S7402">
        <v>-2.9886469999999998</v>
      </c>
      <c r="T7402">
        <v>-0.1192454</v>
      </c>
      <c r="U7402">
        <v>-0.38450620000000002</v>
      </c>
      <c r="V7402">
        <v>-4.487385E-2</v>
      </c>
      <c r="W7402">
        <v>4.844706E-2</v>
      </c>
      <c r="X7402">
        <v>0.99781719999999896</v>
      </c>
      <c r="Y7402">
        <v>-0.1079296</v>
      </c>
      <c r="Z7402">
        <v>-1.3596249999999999E-3</v>
      </c>
      <c r="AA7402">
        <v>0.99415759999999997</v>
      </c>
      <c r="AB7402">
        <v>22</v>
      </c>
      <c r="AC7402">
        <v>-27.619899999999902</v>
      </c>
      <c r="AD7402">
        <v>-1.110373571517</v>
      </c>
      <c r="AE7402">
        <v>-3.5766000000000102</v>
      </c>
      <c r="AF7402">
        <v>-3.0258257955769801</v>
      </c>
      <c r="AG7402">
        <v>-1.110373571517</v>
      </c>
      <c r="AH7402">
        <v>27.641189008983599</v>
      </c>
      <c r="AI7402">
        <v>92.286744719226206</v>
      </c>
      <c r="AJ7402">
        <v>96.2471800511086</v>
      </c>
      <c r="AK7402">
        <v>27.8284724885118</v>
      </c>
      <c r="AL7402">
        <v>87.223100847211995</v>
      </c>
      <c r="AM7402">
        <v>92.574971641328403</v>
      </c>
      <c r="AN7402">
        <v>0.99999997232615201</v>
      </c>
    </row>
    <row r="7403" spans="1:40" x14ac:dyDescent="0.25">
      <c r="A7403" t="str">
        <f>"20190312150837396"</f>
        <v>20190312150837396</v>
      </c>
      <c r="B7403" t="str">
        <f>"1552374517387572"</f>
        <v>1552374517387572</v>
      </c>
      <c r="C7403" t="s">
        <v>40</v>
      </c>
      <c r="D7403">
        <v>4.1740490000000001</v>
      </c>
      <c r="E7403">
        <v>0.47755799999999998</v>
      </c>
      <c r="F7403" t="s">
        <v>42</v>
      </c>
      <c r="G7403">
        <v>-384.22489999999999</v>
      </c>
      <c r="H7403" s="1">
        <v>-2.9490449999999998E-6</v>
      </c>
      <c r="I7403">
        <v>136.85820000000001</v>
      </c>
      <c r="J7403">
        <v>-357.67610000000002</v>
      </c>
      <c r="K7403">
        <v>1.110365</v>
      </c>
      <c r="L7403">
        <v>140.35249999999999</v>
      </c>
      <c r="M7403">
        <v>-0.99972110000000003</v>
      </c>
      <c r="N7403">
        <v>0</v>
      </c>
      <c r="O7403">
        <v>-1.9607200000000002E-2</v>
      </c>
      <c r="P7403">
        <v>-0.99719480000000005</v>
      </c>
      <c r="Q7403">
        <v>3.4692479999999998E-2</v>
      </c>
      <c r="R7403">
        <v>-6.6325250000000002E-2</v>
      </c>
      <c r="S7403">
        <v>-2.9872130000000001</v>
      </c>
      <c r="T7403">
        <v>-0.1241969</v>
      </c>
      <c r="U7403">
        <v>-0.39115909999999998</v>
      </c>
      <c r="V7403">
        <v>-4.6744050000000002E-2</v>
      </c>
      <c r="W7403">
        <v>4.7849799999999998E-2</v>
      </c>
      <c r="X7403">
        <v>0.99776019999999999</v>
      </c>
      <c r="Y7403">
        <v>-0.11029129999999999</v>
      </c>
      <c r="Z7403">
        <v>-1.470872E-3</v>
      </c>
      <c r="AA7403">
        <v>0.99389819999999995</v>
      </c>
      <c r="AB7403">
        <v>22</v>
      </c>
      <c r="AC7403">
        <v>-26.5487999999999</v>
      </c>
      <c r="AD7403">
        <v>-1.110367949045</v>
      </c>
      <c r="AE7403">
        <v>-3.49429999999998</v>
      </c>
      <c r="AF7403">
        <v>-2.9679322449714101</v>
      </c>
      <c r="AG7403">
        <v>-1.110367949045</v>
      </c>
      <c r="AH7403">
        <v>26.5665354037219</v>
      </c>
      <c r="AI7403">
        <v>92.378546650857999</v>
      </c>
      <c r="AJ7403">
        <v>96.374478023227695</v>
      </c>
      <c r="AK7403">
        <v>26.7548564217829</v>
      </c>
      <c r="AL7403">
        <v>87.257361173240497</v>
      </c>
      <c r="AM7403">
        <v>92.682287724445601</v>
      </c>
      <c r="AN7403">
        <v>1.00000001313724</v>
      </c>
    </row>
    <row r="7404" spans="1:40" x14ac:dyDescent="0.25">
      <c r="A7404" t="str">
        <f>"20190312150837408"</f>
        <v>20190312150837408</v>
      </c>
      <c r="B7404" t="str">
        <f>"1552374517397331"</f>
        <v>1552374517397331</v>
      </c>
      <c r="C7404" t="s">
        <v>40</v>
      </c>
      <c r="D7404">
        <v>4.1650429999999998</v>
      </c>
      <c r="E7404">
        <v>0.47772170000000003</v>
      </c>
      <c r="F7404" t="s">
        <v>42</v>
      </c>
      <c r="G7404">
        <v>-387.27030000000002</v>
      </c>
      <c r="H7404" s="1">
        <v>-1.73757999999999E-6</v>
      </c>
      <c r="I7404">
        <v>136.52459999999999</v>
      </c>
      <c r="J7404">
        <v>-357.79430000000002</v>
      </c>
      <c r="K7404">
        <v>1.1103590000000001</v>
      </c>
      <c r="L7404">
        <v>140.3503</v>
      </c>
      <c r="M7404">
        <v>-0.99972280000000002</v>
      </c>
      <c r="N7404">
        <v>0</v>
      </c>
      <c r="O7404">
        <v>-1.9507859999999998E-2</v>
      </c>
      <c r="P7404">
        <v>-0.99711070000000002</v>
      </c>
      <c r="Q7404">
        <v>3.4043259999999999E-2</v>
      </c>
      <c r="R7404">
        <v>-6.7906910000000001E-2</v>
      </c>
      <c r="S7404">
        <v>-2.9866640000000002</v>
      </c>
      <c r="T7404">
        <v>-0.112059199999999</v>
      </c>
      <c r="U7404">
        <v>-0.38630680000000001</v>
      </c>
      <c r="V7404">
        <v>-4.8426810000000001E-2</v>
      </c>
      <c r="W7404">
        <v>4.721156E-2</v>
      </c>
      <c r="X7404">
        <v>0.99771030000000005</v>
      </c>
      <c r="Y7404">
        <v>-0.1088408</v>
      </c>
      <c r="Z7404">
        <v>-1.3042259999999999E-3</v>
      </c>
      <c r="AA7404">
        <v>0.99405840000000001</v>
      </c>
      <c r="AB7404">
        <v>22</v>
      </c>
      <c r="AC7404">
        <v>-29.475999999999999</v>
      </c>
      <c r="AD7404">
        <v>-1.11036073758</v>
      </c>
      <c r="AE7404">
        <v>-3.8257000000000101</v>
      </c>
      <c r="AF7404">
        <v>-3.24537921744249</v>
      </c>
      <c r="AG7404">
        <v>-1.11036073758</v>
      </c>
      <c r="AH7404">
        <v>29.503854329847499</v>
      </c>
      <c r="AI7404">
        <v>92.142366996927905</v>
      </c>
      <c r="AJ7404">
        <v>96.277212608150407</v>
      </c>
      <c r="AK7404">
        <v>29.702572406265201</v>
      </c>
      <c r="AL7404">
        <v>87.293970878634696</v>
      </c>
      <c r="AM7404">
        <v>92.7788386460672</v>
      </c>
      <c r="AN7404">
        <v>0.99999996502524902</v>
      </c>
    </row>
    <row r="7405" spans="1:40" x14ac:dyDescent="0.25">
      <c r="A7405" t="str">
        <f>"20190312150837421"</f>
        <v>20190312150837421</v>
      </c>
      <c r="B7405" t="str">
        <f>"1552374517417827"</f>
        <v>1552374517417827</v>
      </c>
      <c r="C7405" t="s">
        <v>40</v>
      </c>
      <c r="D7405">
        <v>4.1625009999999998</v>
      </c>
      <c r="E7405">
        <v>0.47850150000000002</v>
      </c>
      <c r="F7405" t="s">
        <v>42</v>
      </c>
      <c r="G7405">
        <v>-386.98750000000001</v>
      </c>
      <c r="H7405" s="1">
        <v>-1.829751E-6</v>
      </c>
      <c r="I7405">
        <v>136.53989999999999</v>
      </c>
      <c r="J7405">
        <v>-357.9221</v>
      </c>
      <c r="K7405">
        <v>1.1103510000000001</v>
      </c>
      <c r="L7405">
        <v>140.34790000000001</v>
      </c>
      <c r="M7405">
        <v>-0.99972470000000002</v>
      </c>
      <c r="N7405">
        <v>0</v>
      </c>
      <c r="O7405">
        <v>-1.9400290000000001E-2</v>
      </c>
      <c r="P7405">
        <v>-0.99699400000000005</v>
      </c>
      <c r="Q7405">
        <v>3.3644569999999999E-2</v>
      </c>
      <c r="R7405">
        <v>-6.9794460000000003E-2</v>
      </c>
      <c r="S7405">
        <v>-2.9860229999999999</v>
      </c>
      <c r="T7405">
        <v>-0.1135732</v>
      </c>
      <c r="U7405">
        <v>-0.38973999999999998</v>
      </c>
      <c r="V7405">
        <v>-5.0423870000000003E-2</v>
      </c>
      <c r="W7405">
        <v>4.6823839999999999E-2</v>
      </c>
      <c r="X7405">
        <v>0.99762960000000001</v>
      </c>
      <c r="Y7405">
        <v>-0.1100961</v>
      </c>
      <c r="Z7405">
        <v>-1.3498539999999999E-3</v>
      </c>
      <c r="AA7405">
        <v>0.99392000000000003</v>
      </c>
      <c r="AB7405">
        <v>22</v>
      </c>
      <c r="AC7405">
        <v>-29.0654</v>
      </c>
      <c r="AD7405">
        <v>-1.1103528297509999</v>
      </c>
      <c r="AE7405">
        <v>-3.8080000000000198</v>
      </c>
      <c r="AF7405">
        <v>-3.2387101423876299</v>
      </c>
      <c r="AG7405">
        <v>-1.1103528297509999</v>
      </c>
      <c r="AH7405">
        <v>29.092071557168602</v>
      </c>
      <c r="AI7405">
        <v>92.172331704139694</v>
      </c>
      <c r="AJ7405">
        <v>96.352365566667899</v>
      </c>
      <c r="AK7405">
        <v>29.2928447625074</v>
      </c>
      <c r="AL7405">
        <v>87.316210097128206</v>
      </c>
      <c r="AM7405">
        <v>92.8934771954643</v>
      </c>
      <c r="AN7405">
        <v>0.99999992872713805</v>
      </c>
    </row>
    <row r="7406" spans="1:40" x14ac:dyDescent="0.25">
      <c r="A7406" t="str">
        <f>"20190312150837436"</f>
        <v>20190312150837436</v>
      </c>
      <c r="B7406" t="str">
        <f>"1552374517427655"</f>
        <v>1552374517427655</v>
      </c>
      <c r="C7406" t="s">
        <v>40</v>
      </c>
      <c r="D7406">
        <v>4.1292869999999997</v>
      </c>
      <c r="E7406">
        <v>0.47873349999999998</v>
      </c>
      <c r="F7406" t="s">
        <v>42</v>
      </c>
      <c r="G7406">
        <v>-386.73160000000001</v>
      </c>
      <c r="H7406" s="1">
        <v>-1.9208899999999998E-6</v>
      </c>
      <c r="I7406">
        <v>136.59200000000001</v>
      </c>
      <c r="J7406">
        <v>-358.05880000000002</v>
      </c>
      <c r="K7406">
        <v>1.110339</v>
      </c>
      <c r="L7406">
        <v>140.34540000000001</v>
      </c>
      <c r="M7406">
        <v>-0.99972689999999997</v>
      </c>
      <c r="N7406">
        <v>0</v>
      </c>
      <c r="O7406">
        <v>-1.9285449999999999E-2</v>
      </c>
      <c r="P7406">
        <v>-0.99684899999999999</v>
      </c>
      <c r="Q7406">
        <v>3.1477049999999999E-2</v>
      </c>
      <c r="R7406">
        <v>-7.2812080000000001E-2</v>
      </c>
      <c r="S7406">
        <v>-2.9857179999999999</v>
      </c>
      <c r="T7406">
        <v>-0.1150736</v>
      </c>
      <c r="U7406">
        <v>-0.38923649999999999</v>
      </c>
      <c r="V7406">
        <v>-5.3558580000000001E-2</v>
      </c>
      <c r="W7406">
        <v>4.4666030000000002E-2</v>
      </c>
      <c r="X7406">
        <v>0.99756529999999999</v>
      </c>
      <c r="Y7406">
        <v>-0.11005669999999999</v>
      </c>
      <c r="Z7406">
        <v>-1.3714739999999999E-3</v>
      </c>
      <c r="AA7406">
        <v>0.99392440000000004</v>
      </c>
      <c r="AB7406">
        <v>22</v>
      </c>
      <c r="AC7406">
        <v>-28.672799999999899</v>
      </c>
      <c r="AD7406">
        <v>-1.1103409208899999</v>
      </c>
      <c r="AE7406">
        <v>-3.7533999999999899</v>
      </c>
      <c r="AF7406">
        <v>-3.1949753609233298</v>
      </c>
      <c r="AG7406">
        <v>-1.1103409208899999</v>
      </c>
      <c r="AH7406">
        <v>28.697549235445301</v>
      </c>
      <c r="AI7406">
        <v>92.202141676966704</v>
      </c>
      <c r="AJ7406">
        <v>96.352732168335095</v>
      </c>
      <c r="AK7406">
        <v>28.896194500977401</v>
      </c>
      <c r="AL7406">
        <v>87.439973412262702</v>
      </c>
      <c r="AM7406">
        <v>93.073219515169797</v>
      </c>
      <c r="AN7406">
        <v>1.0000000517458301</v>
      </c>
    </row>
    <row r="7407" spans="1:40" x14ac:dyDescent="0.25">
      <c r="A7407" t="str">
        <f>"20190312150837452"</f>
        <v>20190312150837452</v>
      </c>
      <c r="B7407" t="str">
        <f>"1552374517447142"</f>
        <v>1552374517447142</v>
      </c>
      <c r="C7407" t="s">
        <v>40</v>
      </c>
      <c r="D7407">
        <v>4.425071</v>
      </c>
      <c r="E7407">
        <v>0.47813090000000003</v>
      </c>
      <c r="F7407" t="s">
        <v>42</v>
      </c>
      <c r="G7407">
        <v>-385.589</v>
      </c>
      <c r="H7407" s="1">
        <v>-2.3938700000000001E-6</v>
      </c>
      <c r="I7407">
        <v>136.68889999999999</v>
      </c>
      <c r="J7407">
        <v>-358.2201</v>
      </c>
      <c r="K7407">
        <v>1.1103339999999999</v>
      </c>
      <c r="L7407">
        <v>140.3424</v>
      </c>
      <c r="M7407">
        <v>-0.99972930000000004</v>
      </c>
      <c r="N7407">
        <v>0</v>
      </c>
      <c r="O7407">
        <v>-1.91494E-2</v>
      </c>
      <c r="P7407">
        <v>-0.99679680000000004</v>
      </c>
      <c r="Q7407">
        <v>3.078728E-2</v>
      </c>
      <c r="R7407">
        <v>-7.3812799999999998E-2</v>
      </c>
      <c r="S7407">
        <v>-2.9843440000000001</v>
      </c>
      <c r="T7407">
        <v>-0.12036429999999999</v>
      </c>
      <c r="U7407">
        <v>-0.3963623</v>
      </c>
      <c r="V7407">
        <v>-5.4696580000000002E-2</v>
      </c>
      <c r="W7407">
        <v>4.3988640000000002E-2</v>
      </c>
      <c r="X7407">
        <v>0.99753360000000002</v>
      </c>
      <c r="Y7407">
        <v>-0.1125746</v>
      </c>
      <c r="Z7407">
        <v>-1.490908E-3</v>
      </c>
      <c r="AA7407">
        <v>0.99364220000000003</v>
      </c>
      <c r="AB7407">
        <v>22</v>
      </c>
      <c r="AC7407">
        <v>-27.3689</v>
      </c>
      <c r="AD7407">
        <v>-1.1103363938699999</v>
      </c>
      <c r="AE7407">
        <v>-3.6535000000000002</v>
      </c>
      <c r="AF7407">
        <v>-3.1236350972782301</v>
      </c>
      <c r="AG7407">
        <v>-1.1103363938699999</v>
      </c>
      <c r="AH7407">
        <v>27.389558727403301</v>
      </c>
      <c r="AI7407">
        <v>92.306489251090198</v>
      </c>
      <c r="AJ7407">
        <v>96.506172567260805</v>
      </c>
      <c r="AK7407">
        <v>27.5894521585764</v>
      </c>
      <c r="AL7407">
        <v>87.478823054807094</v>
      </c>
      <c r="AM7407">
        <v>93.138488907567094</v>
      </c>
      <c r="AN7407">
        <v>0.99999999972085296</v>
      </c>
    </row>
    <row r="7408" spans="1:40" x14ac:dyDescent="0.25">
      <c r="A7408" t="str">
        <f>"20190312150837465"</f>
        <v>20190312150837465</v>
      </c>
      <c r="B7408" t="str">
        <f>"1552374517456902"</f>
        <v>1552374517456902</v>
      </c>
      <c r="C7408" t="s">
        <v>40</v>
      </c>
      <c r="D7408">
        <v>4.1997660000000003</v>
      </c>
      <c r="E7408">
        <v>0.4583565</v>
      </c>
      <c r="F7408" t="s">
        <v>42</v>
      </c>
      <c r="G7408">
        <v>-385.67079999999999</v>
      </c>
      <c r="H7408" s="1">
        <v>-2.3703209999999999E-6</v>
      </c>
      <c r="I7408">
        <v>136.62379999999999</v>
      </c>
      <c r="J7408">
        <v>-358.34800000000001</v>
      </c>
      <c r="K7408">
        <v>1.110331</v>
      </c>
      <c r="L7408">
        <v>140.34010000000001</v>
      </c>
      <c r="M7408">
        <v>-0.99973140000000005</v>
      </c>
      <c r="N7408">
        <v>0</v>
      </c>
      <c r="O7408">
        <v>-1.9041599999999999E-2</v>
      </c>
      <c r="P7408">
        <v>-0.99675329999999995</v>
      </c>
      <c r="Q7408">
        <v>2.9785860000000001E-2</v>
      </c>
      <c r="R7408">
        <v>-7.4807579999999999E-2</v>
      </c>
      <c r="S7408">
        <v>-2.9834290000000001</v>
      </c>
      <c r="T7408">
        <v>-0.12067509999999999</v>
      </c>
      <c r="U7408">
        <v>-0.40414430000000001</v>
      </c>
      <c r="V7408">
        <v>-5.5800130000000003E-2</v>
      </c>
      <c r="W7408">
        <v>4.2997760000000003E-2</v>
      </c>
      <c r="X7408">
        <v>0.99751570000000001</v>
      </c>
      <c r="Y7408">
        <v>-0.11526450000000001</v>
      </c>
      <c r="Z7408">
        <v>-1.5534240000000001E-3</v>
      </c>
      <c r="AA7408">
        <v>0.99333360000000004</v>
      </c>
      <c r="AB7408">
        <v>22</v>
      </c>
      <c r="AC7408">
        <v>-27.322799999999901</v>
      </c>
      <c r="AD7408">
        <v>-1.1103333703210001</v>
      </c>
      <c r="AE7408">
        <v>-3.7163000000000102</v>
      </c>
      <c r="AF7408">
        <v>-3.1901382967736001</v>
      </c>
      <c r="AG7408">
        <v>-1.1103333703210001</v>
      </c>
      <c r="AH7408">
        <v>27.344279231779499</v>
      </c>
      <c r="AI7408">
        <v>92.309609691694007</v>
      </c>
      <c r="AJ7408">
        <v>96.654367962863205</v>
      </c>
      <c r="AK7408">
        <v>27.552122046247501</v>
      </c>
      <c r="AL7408">
        <v>87.535650115403499</v>
      </c>
      <c r="AM7408">
        <v>93.201737486218093</v>
      </c>
      <c r="AN7408">
        <v>1.00000001680976</v>
      </c>
    </row>
    <row r="7409" spans="1:40" x14ac:dyDescent="0.25">
      <c r="A7409" t="str">
        <f>"20190312150837480"</f>
        <v>20190312150837480</v>
      </c>
      <c r="B7409" t="str">
        <f>"1552374517477398"</f>
        <v>1552374517477398</v>
      </c>
      <c r="C7409" t="s">
        <v>40</v>
      </c>
      <c r="D7409">
        <v>4.1856030000000004</v>
      </c>
      <c r="E7409">
        <v>0.45606140000000001</v>
      </c>
      <c r="F7409" t="s">
        <v>42</v>
      </c>
      <c r="G7409">
        <v>-384.00880000000001</v>
      </c>
      <c r="H7409" s="1">
        <v>-3.2892990000000002E-6</v>
      </c>
      <c r="I7409">
        <v>135.46250000000001</v>
      </c>
      <c r="J7409">
        <v>-358.48860000000002</v>
      </c>
      <c r="K7409">
        <v>1.110325</v>
      </c>
      <c r="L7409">
        <v>140.33750000000001</v>
      </c>
      <c r="M7409">
        <v>-0.99973330000000005</v>
      </c>
      <c r="N7409">
        <v>0</v>
      </c>
      <c r="O7409">
        <v>-1.8922720000000001E-2</v>
      </c>
      <c r="P7409">
        <v>-0.99668690000000004</v>
      </c>
      <c r="Q7409">
        <v>2.8899600000000001E-2</v>
      </c>
      <c r="R7409">
        <v>-7.6026999999999997E-2</v>
      </c>
      <c r="S7409">
        <v>-2.971222</v>
      </c>
      <c r="T7409">
        <v>-0.12856400000000001</v>
      </c>
      <c r="U7409">
        <v>-0.56475830000000005</v>
      </c>
      <c r="V7409">
        <v>-5.7139259999999997E-2</v>
      </c>
      <c r="W7409">
        <v>4.2124979999999999E-2</v>
      </c>
      <c r="X7409">
        <v>0.99747710000000001</v>
      </c>
      <c r="Y7409">
        <v>-0.16797339999999999</v>
      </c>
      <c r="Z7409">
        <v>-2.789377E-3</v>
      </c>
      <c r="AA7409">
        <v>0.98578759999999999</v>
      </c>
      <c r="AB7409">
        <v>21</v>
      </c>
      <c r="AC7409">
        <v>-25.5201999999999</v>
      </c>
      <c r="AD7409">
        <v>-1.1103282892990001</v>
      </c>
      <c r="AE7409">
        <v>-4.875</v>
      </c>
      <c r="AF7409">
        <v>-4.3831681250627099</v>
      </c>
      <c r="AG7409">
        <v>-1.1103282892990001</v>
      </c>
      <c r="AH7409">
        <v>25.561204011150402</v>
      </c>
      <c r="AI7409">
        <v>92.451515048914203</v>
      </c>
      <c r="AJ7409">
        <v>99.730294850388205</v>
      </c>
      <c r="AK7409">
        <v>25.958045809001799</v>
      </c>
      <c r="AL7409">
        <v>87.5857020089598</v>
      </c>
      <c r="AM7409">
        <v>93.278535935766101</v>
      </c>
      <c r="AN7409">
        <v>0.99999998699887804</v>
      </c>
    </row>
    <row r="7410" spans="1:40" x14ac:dyDescent="0.25">
      <c r="A7410" t="str">
        <f>"20190312150837496"</f>
        <v>20190312150837496</v>
      </c>
      <c r="B7410" t="str">
        <f>"1552374517487158"</f>
        <v>1552374517487158</v>
      </c>
      <c r="C7410" t="s">
        <v>40</v>
      </c>
      <c r="D7410">
        <v>4.1986249999999998</v>
      </c>
      <c r="E7410">
        <v>0.45551249999999999</v>
      </c>
      <c r="F7410" t="s">
        <v>42</v>
      </c>
      <c r="G7410">
        <v>-383.4239</v>
      </c>
      <c r="H7410" s="1">
        <v>-3.5496159999999999E-6</v>
      </c>
      <c r="I7410">
        <v>135.40960000000001</v>
      </c>
      <c r="J7410">
        <v>-358.64569999999998</v>
      </c>
      <c r="K7410">
        <v>1.1103209999999999</v>
      </c>
      <c r="L7410">
        <v>140.3347</v>
      </c>
      <c r="M7410">
        <v>-0.99973559999999995</v>
      </c>
      <c r="N7410">
        <v>0</v>
      </c>
      <c r="O7410">
        <v>-1.879053E-2</v>
      </c>
      <c r="P7410">
        <v>-0.99667119999999998</v>
      </c>
      <c r="Q7410">
        <v>2.8322880000000002E-2</v>
      </c>
      <c r="R7410">
        <v>-7.6448160000000001E-2</v>
      </c>
      <c r="S7410">
        <v>-2.969055</v>
      </c>
      <c r="T7410">
        <v>-0.13220750000000001</v>
      </c>
      <c r="U7410">
        <v>-0.58676149999999905</v>
      </c>
      <c r="V7410">
        <v>-5.7692809999999997E-2</v>
      </c>
      <c r="W7410">
        <v>4.1566609999999997E-2</v>
      </c>
      <c r="X7410">
        <v>0.99746869999999999</v>
      </c>
      <c r="Y7410">
        <v>-0.175257</v>
      </c>
      <c r="Z7410">
        <v>-3.034775E-3</v>
      </c>
      <c r="AA7410">
        <v>0.98451809999999995</v>
      </c>
      <c r="AB7410">
        <v>21</v>
      </c>
      <c r="AC7410">
        <v>-24.778199999999998</v>
      </c>
      <c r="AD7410">
        <v>-1.1103245496159999</v>
      </c>
      <c r="AE7410">
        <v>-4.92509999999998</v>
      </c>
      <c r="AF7410">
        <v>-4.4499979619899399</v>
      </c>
      <c r="AG7410">
        <v>-1.1103245496159999</v>
      </c>
      <c r="AH7410">
        <v>24.818436856884102</v>
      </c>
      <c r="AI7410">
        <v>92.521427104902102</v>
      </c>
      <c r="AJ7410">
        <v>100.16523745727901</v>
      </c>
      <c r="AK7410">
        <v>25.238663009088601</v>
      </c>
      <c r="AL7410">
        <v>87.617722393001998</v>
      </c>
      <c r="AM7410">
        <v>93.310255044364496</v>
      </c>
      <c r="AN7410">
        <v>1.0000000254361301</v>
      </c>
    </row>
    <row r="7411" spans="1:40" x14ac:dyDescent="0.25">
      <c r="A7411" t="str">
        <f>"20190312150837510"</f>
        <v>20190312150837510</v>
      </c>
      <c r="B7411" t="str">
        <f>"1552374517507654"</f>
        <v>1552374517507654</v>
      </c>
      <c r="C7411" t="s">
        <v>40</v>
      </c>
      <c r="D7411">
        <v>4.3883559999999999</v>
      </c>
      <c r="E7411">
        <v>0.45571260000000002</v>
      </c>
      <c r="F7411" t="s">
        <v>42</v>
      </c>
      <c r="G7411">
        <v>-383.13</v>
      </c>
      <c r="H7411" s="1">
        <v>-3.6687199999999998E-6</v>
      </c>
      <c r="I7411">
        <v>135.44890000000001</v>
      </c>
      <c r="J7411">
        <v>-358.7715</v>
      </c>
      <c r="K7411">
        <v>1.1103229999999999</v>
      </c>
      <c r="L7411">
        <v>140.33250000000001</v>
      </c>
      <c r="M7411">
        <v>-0.9997374</v>
      </c>
      <c r="N7411">
        <v>0</v>
      </c>
      <c r="O7411">
        <v>-1.8684429999999998E-2</v>
      </c>
      <c r="P7411">
        <v>-0.99666149999999998</v>
      </c>
      <c r="Q7411">
        <v>2.809219E-2</v>
      </c>
      <c r="R7411">
        <v>-7.6659690000000003E-2</v>
      </c>
      <c r="S7411">
        <v>-2.9684140000000001</v>
      </c>
      <c r="T7411">
        <v>-0.13461339999999999</v>
      </c>
      <c r="U7411">
        <v>-0.59233089999999999</v>
      </c>
      <c r="V7411">
        <v>-5.8010079999999999E-2</v>
      </c>
      <c r="W7411">
        <v>4.1353170000000002E-2</v>
      </c>
      <c r="X7411">
        <v>0.99745919999999999</v>
      </c>
      <c r="Y7411">
        <v>-0.1771712</v>
      </c>
      <c r="Z7411">
        <v>-3.1377610000000002E-3</v>
      </c>
      <c r="AA7411">
        <v>0.98417500000000002</v>
      </c>
      <c r="AB7411">
        <v>21</v>
      </c>
      <c r="AC7411">
        <v>-24.3584999999999</v>
      </c>
      <c r="AD7411">
        <v>-1.11032666872</v>
      </c>
      <c r="AE7411">
        <v>-4.8836000000000004</v>
      </c>
      <c r="AF7411">
        <v>-4.4187561363730303</v>
      </c>
      <c r="AG7411">
        <v>-1.11032666872</v>
      </c>
      <c r="AH7411">
        <v>24.396769926579299</v>
      </c>
      <c r="AI7411">
        <v>92.564141038330504</v>
      </c>
      <c r="AJ7411">
        <v>100.26614887731</v>
      </c>
      <c r="AK7411">
        <v>24.8185538247991</v>
      </c>
      <c r="AL7411">
        <v>87.629962197765195</v>
      </c>
      <c r="AM7411">
        <v>93.328449939206095</v>
      </c>
      <c r="AN7411">
        <v>1.00000005485764</v>
      </c>
    </row>
    <row r="7412" spans="1:40" x14ac:dyDescent="0.25">
      <c r="A7412" t="str">
        <f>"20190312150837526"</f>
        <v>20190312150837526</v>
      </c>
      <c r="B7412" t="str">
        <f>"1552374517517414"</f>
        <v>1552374517517414</v>
      </c>
      <c r="C7412" t="s">
        <v>40</v>
      </c>
      <c r="D7412">
        <v>4.4160440000000003</v>
      </c>
      <c r="E7412">
        <v>0.45594849999999998</v>
      </c>
      <c r="F7412" t="s">
        <v>42</v>
      </c>
      <c r="G7412">
        <v>-383.53429999999997</v>
      </c>
      <c r="H7412" s="1">
        <v>-3.504084E-6</v>
      </c>
      <c r="I7412">
        <v>135.39940000000001</v>
      </c>
      <c r="J7412">
        <v>-358.92020000000002</v>
      </c>
      <c r="K7412">
        <v>1.1103289999999999</v>
      </c>
      <c r="L7412">
        <v>140.32980000000001</v>
      </c>
      <c r="M7412">
        <v>-0.99973939999999994</v>
      </c>
      <c r="N7412">
        <v>0</v>
      </c>
      <c r="O7412">
        <v>-1.8558709999999999E-2</v>
      </c>
      <c r="P7412">
        <v>-0.99665309999999996</v>
      </c>
      <c r="Q7412">
        <v>2.7947690000000001E-2</v>
      </c>
      <c r="R7412">
        <v>-7.6822070000000006E-2</v>
      </c>
      <c r="S7412">
        <v>-2.9683229999999998</v>
      </c>
      <c r="T7412">
        <v>-0.13309550000000001</v>
      </c>
      <c r="U7412">
        <v>-0.59132390000000001</v>
      </c>
      <c r="V7412">
        <v>-5.8298610000000001E-2</v>
      </c>
      <c r="W7412">
        <v>4.1232159999999997E-2</v>
      </c>
      <c r="X7412">
        <v>0.99744730000000004</v>
      </c>
      <c r="Y7412">
        <v>-0.17698320000000001</v>
      </c>
      <c r="Z7412">
        <v>-3.1040120000000002E-3</v>
      </c>
      <c r="AA7412">
        <v>0.984209</v>
      </c>
      <c r="AB7412">
        <v>21</v>
      </c>
      <c r="AC7412">
        <v>-24.614099999999901</v>
      </c>
      <c r="AD7412">
        <v>-1.110332504084</v>
      </c>
      <c r="AE7412">
        <v>-4.9303999999999899</v>
      </c>
      <c r="AF7412">
        <v>-4.4639711620451896</v>
      </c>
      <c r="AG7412">
        <v>-1.110332504084</v>
      </c>
      <c r="AH7412">
        <v>24.653139044954099</v>
      </c>
      <c r="AI7412">
        <v>92.537546739627999</v>
      </c>
      <c r="AJ7412">
        <v>100.263406493014</v>
      </c>
      <c r="AK7412">
        <v>25.078619211891102</v>
      </c>
      <c r="AL7412">
        <v>87.636901271932302</v>
      </c>
      <c r="AM7412">
        <v>93.3450072710868</v>
      </c>
      <c r="AN7412">
        <v>0.99999996761174303</v>
      </c>
    </row>
    <row r="7413" spans="1:40" x14ac:dyDescent="0.25">
      <c r="A7413" t="str">
        <f>"20190312150837548"</f>
        <v>20190312150837548</v>
      </c>
      <c r="B7413" t="str">
        <f>"1552374517537367"</f>
        <v>1552374517537367</v>
      </c>
      <c r="C7413" t="s">
        <v>40</v>
      </c>
      <c r="D7413">
        <v>4.1445740000000004</v>
      </c>
      <c r="E7413">
        <v>0.45609149999999998</v>
      </c>
      <c r="F7413" t="s">
        <v>42</v>
      </c>
      <c r="G7413">
        <v>-383.80869999999999</v>
      </c>
      <c r="H7413" s="1">
        <v>-3.389258E-6</v>
      </c>
      <c r="I7413">
        <v>135.38310000000001</v>
      </c>
      <c r="J7413">
        <v>-359.1352</v>
      </c>
      <c r="K7413">
        <v>1.110336</v>
      </c>
      <c r="L7413">
        <v>140.32599999999999</v>
      </c>
      <c r="M7413">
        <v>-0.99974220000000003</v>
      </c>
      <c r="N7413">
        <v>0</v>
      </c>
      <c r="O7413">
        <v>-1.8376739999999999E-2</v>
      </c>
      <c r="P7413">
        <v>-0.99665269999999995</v>
      </c>
      <c r="Q7413">
        <v>2.8003449999999999E-2</v>
      </c>
      <c r="R7413">
        <v>-7.6806250000000006E-2</v>
      </c>
      <c r="S7413">
        <v>-2.9683229999999998</v>
      </c>
      <c r="T7413">
        <v>-0.13242399999999999</v>
      </c>
      <c r="U7413">
        <v>-0.58996579999999998</v>
      </c>
      <c r="V7413">
        <v>-5.8464820000000001E-2</v>
      </c>
      <c r="W7413">
        <v>4.1332210000000001E-2</v>
      </c>
      <c r="X7413">
        <v>0.99743349999999997</v>
      </c>
      <c r="Y7413">
        <v>-0.17673069999999999</v>
      </c>
      <c r="Z7413">
        <v>-3.0909549999999998E-3</v>
      </c>
      <c r="AA7413">
        <v>0.98425439999999997</v>
      </c>
      <c r="AB7413">
        <v>21</v>
      </c>
      <c r="AC7413">
        <v>-24.673499999999901</v>
      </c>
      <c r="AD7413">
        <v>-1.110339389258</v>
      </c>
      <c r="AE7413">
        <v>-4.9428999999999803</v>
      </c>
      <c r="AF7413">
        <v>-4.47988410934048</v>
      </c>
      <c r="AG7413">
        <v>-1.110339389258</v>
      </c>
      <c r="AH7413">
        <v>24.712061352238699</v>
      </c>
      <c r="AI7413">
        <v>92.5314257800066</v>
      </c>
      <c r="AJ7413">
        <v>100.275178068987</v>
      </c>
      <c r="AK7413">
        <v>25.139375319790101</v>
      </c>
      <c r="AL7413">
        <v>87.6311641021707</v>
      </c>
      <c r="AM7413">
        <v>93.354568482971999</v>
      </c>
      <c r="AN7413">
        <v>1.0000000368416799</v>
      </c>
    </row>
    <row r="7414" spans="1:40" x14ac:dyDescent="0.25">
      <c r="A7414" t="str">
        <f>"20190312150837570"</f>
        <v>20190312150837570</v>
      </c>
      <c r="B7414" t="str">
        <f>"1552374517567623"</f>
        <v>1552374517567623</v>
      </c>
      <c r="C7414" t="s">
        <v>40</v>
      </c>
      <c r="D7414">
        <v>4.1794209999999996</v>
      </c>
      <c r="E7414">
        <v>0.45604879999999998</v>
      </c>
      <c r="F7414" t="s">
        <v>42</v>
      </c>
      <c r="G7414">
        <v>-384.27710000000002</v>
      </c>
      <c r="H7414" s="1">
        <v>-3.1958529999999999E-6</v>
      </c>
      <c r="I7414">
        <v>135.34039999999999</v>
      </c>
      <c r="J7414">
        <v>-359.34339999999997</v>
      </c>
      <c r="K7414">
        <v>1.1103400000000001</v>
      </c>
      <c r="L7414">
        <v>140.32239999999999</v>
      </c>
      <c r="M7414">
        <v>-0.99974479999999999</v>
      </c>
      <c r="N7414">
        <v>0</v>
      </c>
      <c r="O7414">
        <v>-1.8200649999999999E-2</v>
      </c>
      <c r="P7414">
        <v>-0.99673599999999996</v>
      </c>
      <c r="Q7414">
        <v>2.7421029999999999E-2</v>
      </c>
      <c r="R7414">
        <v>-7.593279E-2</v>
      </c>
      <c r="S7414">
        <v>-2.9683839999999999</v>
      </c>
      <c r="T7414">
        <v>-0.1310925</v>
      </c>
      <c r="U7414">
        <v>-0.58862300000000001</v>
      </c>
      <c r="V7414">
        <v>-5.7765030000000002E-2</v>
      </c>
      <c r="W7414">
        <v>4.080052E-2</v>
      </c>
      <c r="X7414">
        <v>0.9974961</v>
      </c>
      <c r="Y7414">
        <v>-0.17647489999999999</v>
      </c>
      <c r="Z7414">
        <v>-3.0620769999999999E-3</v>
      </c>
      <c r="AA7414">
        <v>0.98430039999999996</v>
      </c>
      <c r="AB7414">
        <v>21</v>
      </c>
      <c r="AC7414">
        <v>-24.933700000000002</v>
      </c>
      <c r="AD7414">
        <v>-1.1103431958529999</v>
      </c>
      <c r="AE7414">
        <v>-4.9819999999999904</v>
      </c>
      <c r="AF7414">
        <v>-4.5187074702549204</v>
      </c>
      <c r="AG7414">
        <v>-1.1103431958529999</v>
      </c>
      <c r="AH7414">
        <v>24.972631290937699</v>
      </c>
      <c r="AI7414">
        <v>92.505202546753495</v>
      </c>
      <c r="AJ7414">
        <v>100.256487444567</v>
      </c>
      <c r="AK7414">
        <v>25.402438717718301</v>
      </c>
      <c r="AL7414">
        <v>87.661653270619297</v>
      </c>
      <c r="AM7414">
        <v>93.314298758179902</v>
      </c>
      <c r="AN7414">
        <v>0.99999997531919005</v>
      </c>
    </row>
    <row r="7415" spans="1:40" x14ac:dyDescent="0.25">
      <c r="A7415" t="str">
        <f>"20190312150837592"</f>
        <v>20190312150837592</v>
      </c>
      <c r="B7415" t="str">
        <f>"1552374517587146"</f>
        <v>1552374517587146</v>
      </c>
      <c r="C7415" t="s">
        <v>40</v>
      </c>
      <c r="D7415">
        <v>4.1660899999999996</v>
      </c>
      <c r="E7415">
        <v>0.45605329999999999</v>
      </c>
      <c r="F7415" t="s">
        <v>42</v>
      </c>
      <c r="G7415">
        <v>-383.87889999999999</v>
      </c>
      <c r="H7415" s="1">
        <v>-3.3426310000000002E-6</v>
      </c>
      <c r="I7415">
        <v>135.4761</v>
      </c>
      <c r="J7415">
        <v>-359.55239999999998</v>
      </c>
      <c r="K7415">
        <v>1.1103479999999999</v>
      </c>
      <c r="L7415">
        <v>140.31880000000001</v>
      </c>
      <c r="M7415">
        <v>-0.99974719999999995</v>
      </c>
      <c r="N7415">
        <v>0</v>
      </c>
      <c r="O7415">
        <v>-1.8023629999999999E-2</v>
      </c>
      <c r="P7415">
        <v>-0.99682380000000004</v>
      </c>
      <c r="Q7415">
        <v>2.6405609999999999E-2</v>
      </c>
      <c r="R7415">
        <v>-7.513504E-2</v>
      </c>
      <c r="S7415">
        <v>-2.968842</v>
      </c>
      <c r="T7415">
        <v>-0.1343539</v>
      </c>
      <c r="U7415">
        <v>-0.58641049999999995</v>
      </c>
      <c r="V7415">
        <v>-5.7143199999999998E-2</v>
      </c>
      <c r="W7415">
        <v>3.9839989999999999E-2</v>
      </c>
      <c r="X7415">
        <v>0.99757079999999998</v>
      </c>
      <c r="Y7415">
        <v>-0.17590729999999999</v>
      </c>
      <c r="Z7415">
        <v>-3.1331359999999999E-3</v>
      </c>
      <c r="AA7415">
        <v>0.98440179999999999</v>
      </c>
      <c r="AB7415">
        <v>21</v>
      </c>
      <c r="AC7415">
        <v>-24.326499999999999</v>
      </c>
      <c r="AD7415">
        <v>-1.1103513426310001</v>
      </c>
      <c r="AE7415">
        <v>-4.8426999999999998</v>
      </c>
      <c r="AF7415">
        <v>-4.3946152515571502</v>
      </c>
      <c r="AG7415">
        <v>-1.1103513426310001</v>
      </c>
      <c r="AH7415">
        <v>24.361020795402201</v>
      </c>
      <c r="AI7415">
        <v>92.568281344138697</v>
      </c>
      <c r="AJ7415">
        <v>100.225914069338</v>
      </c>
      <c r="AK7415">
        <v>24.779121403054599</v>
      </c>
      <c r="AL7415">
        <v>87.716732516723198</v>
      </c>
      <c r="AM7415">
        <v>93.278454215582798</v>
      </c>
      <c r="AN7415">
        <v>1.0000000355610299</v>
      </c>
    </row>
    <row r="7416" spans="1:40" x14ac:dyDescent="0.25">
      <c r="A7416" t="str">
        <f>"20190312150837608"</f>
        <v>20190312150837608</v>
      </c>
      <c r="B7416" t="str">
        <f>"1552374517596903"</f>
        <v>1552374517596903</v>
      </c>
      <c r="C7416" t="s">
        <v>40</v>
      </c>
      <c r="D7416">
        <v>4.1646199999999904</v>
      </c>
      <c r="E7416">
        <v>0.45608100000000001</v>
      </c>
      <c r="F7416" t="s">
        <v>42</v>
      </c>
      <c r="G7416">
        <v>-383.7962</v>
      </c>
      <c r="H7416" s="1">
        <v>-3.3652290000000001E-6</v>
      </c>
      <c r="I7416">
        <v>135.5487</v>
      </c>
      <c r="J7416">
        <v>-359.70690000000002</v>
      </c>
      <c r="K7416">
        <v>1.110355</v>
      </c>
      <c r="L7416">
        <v>140.31620000000001</v>
      </c>
      <c r="M7416">
        <v>-0.99974909999999995</v>
      </c>
      <c r="N7416">
        <v>0</v>
      </c>
      <c r="O7416">
        <v>-1.7893019999999999E-2</v>
      </c>
      <c r="P7416">
        <v>-0.99688060000000001</v>
      </c>
      <c r="Q7416">
        <v>2.5808979999999999E-2</v>
      </c>
      <c r="R7416">
        <v>-7.4587550000000002E-2</v>
      </c>
      <c r="S7416">
        <v>-2.9690859999999999</v>
      </c>
      <c r="T7416">
        <v>-0.13598289999999999</v>
      </c>
      <c r="U7416">
        <v>-0.58418269999999906</v>
      </c>
      <c r="V7416">
        <v>-5.6725350000000001E-2</v>
      </c>
      <c r="W7416">
        <v>3.9286340000000003E-2</v>
      </c>
      <c r="X7416">
        <v>0.99761659999999996</v>
      </c>
      <c r="Y7416">
        <v>-0.17530609999999999</v>
      </c>
      <c r="Z7416">
        <v>-3.1633439999999998E-3</v>
      </c>
      <c r="AA7416">
        <v>0.98450890000000002</v>
      </c>
      <c r="AB7416">
        <v>21</v>
      </c>
      <c r="AC7416">
        <v>-24.089299999999898</v>
      </c>
      <c r="AD7416">
        <v>-1.1103583652290001</v>
      </c>
      <c r="AE7416">
        <v>-4.7675000000000098</v>
      </c>
      <c r="AF7416">
        <v>-4.32682086607009</v>
      </c>
      <c r="AG7416">
        <v>-1.1103583652290001</v>
      </c>
      <c r="AH7416">
        <v>24.121438639228799</v>
      </c>
      <c r="AI7416">
        <v>92.594231951537196</v>
      </c>
      <c r="AJ7416">
        <v>100.16937092219899</v>
      </c>
      <c r="AK7416">
        <v>24.5315730545836</v>
      </c>
      <c r="AL7416">
        <v>87.748479169915299</v>
      </c>
      <c r="AM7416">
        <v>93.254383702374597</v>
      </c>
      <c r="AN7416">
        <v>1.00000003121938</v>
      </c>
    </row>
    <row r="7417" spans="1:40" x14ac:dyDescent="0.25">
      <c r="A7417" t="str">
        <f>"20190312150837626"</f>
        <v>20190312150837626</v>
      </c>
      <c r="B7417" t="str">
        <f>"1552374517617399"</f>
        <v>1552374517617399</v>
      </c>
      <c r="C7417" t="s">
        <v>40</v>
      </c>
      <c r="D7417">
        <v>4.3947960000000004</v>
      </c>
      <c r="E7417">
        <v>0.4562484</v>
      </c>
      <c r="F7417" t="s">
        <v>42</v>
      </c>
      <c r="G7417">
        <v>-383.65190000000001</v>
      </c>
      <c r="H7417" s="1">
        <v>-3.4143760000000001E-6</v>
      </c>
      <c r="I7417">
        <v>135.62039999999999</v>
      </c>
      <c r="J7417">
        <v>-359.87430000000001</v>
      </c>
      <c r="K7417">
        <v>1.110371</v>
      </c>
      <c r="L7417">
        <v>140.3134</v>
      </c>
      <c r="M7417">
        <v>-0.9997509</v>
      </c>
      <c r="N7417">
        <v>0</v>
      </c>
      <c r="O7417">
        <v>-1.7751610000000001E-2</v>
      </c>
      <c r="P7417">
        <v>-0.99696229999999997</v>
      </c>
      <c r="Q7417">
        <v>2.4358709999999999E-2</v>
      </c>
      <c r="R7417">
        <v>-7.3979379999999997E-2</v>
      </c>
      <c r="S7417">
        <v>-2.9693909999999999</v>
      </c>
      <c r="T7417">
        <v>-0.13769410000000001</v>
      </c>
      <c r="U7417">
        <v>-0.58230590000000004</v>
      </c>
      <c r="V7417">
        <v>-5.6257450000000001E-2</v>
      </c>
      <c r="W7417">
        <v>3.788739E-2</v>
      </c>
      <c r="X7417">
        <v>0.99769719999999995</v>
      </c>
      <c r="Y7417">
        <v>-0.17482329999999999</v>
      </c>
      <c r="Z7417">
        <v>-3.198382E-3</v>
      </c>
      <c r="AA7417">
        <v>0.98459459999999999</v>
      </c>
      <c r="AB7417">
        <v>21</v>
      </c>
      <c r="AC7417">
        <v>-23.7776</v>
      </c>
      <c r="AD7417">
        <v>-1.1103744143759999</v>
      </c>
      <c r="AE7417">
        <v>-4.6930000000000103</v>
      </c>
      <c r="AF7417">
        <v>-4.2611869657996202</v>
      </c>
      <c r="AG7417">
        <v>-1.1103744143759999</v>
      </c>
      <c r="AH7417">
        <v>23.8071979809901</v>
      </c>
      <c r="AI7417">
        <v>92.628641849351297</v>
      </c>
      <c r="AJ7417">
        <v>100.147763387799</v>
      </c>
      <c r="AK7417">
        <v>24.211016529746502</v>
      </c>
      <c r="AL7417">
        <v>87.828692838958702</v>
      </c>
      <c r="AM7417">
        <v>93.227336658819198</v>
      </c>
      <c r="AN7417">
        <v>1.00000002894467</v>
      </c>
    </row>
    <row r="7418" spans="1:40" x14ac:dyDescent="0.25">
      <c r="A7418" t="str">
        <f>"20190312150837641"</f>
        <v>20190312150837641</v>
      </c>
      <c r="B7418" t="str">
        <f>"1552374517636920"</f>
        <v>1552374517636920</v>
      </c>
      <c r="C7418" t="s">
        <v>40</v>
      </c>
      <c r="D7418">
        <v>4.1827290000000001</v>
      </c>
      <c r="E7418">
        <v>0.4562986</v>
      </c>
      <c r="F7418" t="s">
        <v>42</v>
      </c>
      <c r="G7418">
        <v>-383.47820000000002</v>
      </c>
      <c r="H7418" s="1">
        <v>-3.4727319999999998E-6</v>
      </c>
      <c r="I7418">
        <v>135.71170000000001</v>
      </c>
      <c r="J7418">
        <v>-360.02449999999999</v>
      </c>
      <c r="K7418">
        <v>1.1103829999999999</v>
      </c>
      <c r="L7418">
        <v>140.3109</v>
      </c>
      <c r="M7418">
        <v>-0.99975230000000004</v>
      </c>
      <c r="N7418">
        <v>0</v>
      </c>
      <c r="O7418">
        <v>-1.7624750000000002E-2</v>
      </c>
      <c r="P7418">
        <v>-0.99697190000000002</v>
      </c>
      <c r="Q7418">
        <v>2.4292890000000001E-2</v>
      </c>
      <c r="R7418">
        <v>-7.3872510000000002E-2</v>
      </c>
      <c r="S7418">
        <v>-2.9696349999999998</v>
      </c>
      <c r="T7418">
        <v>-0.13969799999999999</v>
      </c>
      <c r="U7418">
        <v>-0.5789337</v>
      </c>
      <c r="V7418">
        <v>-5.6276979999999997E-2</v>
      </c>
      <c r="W7418">
        <v>3.7871189999999999E-2</v>
      </c>
      <c r="X7418">
        <v>0.99769669999999999</v>
      </c>
      <c r="Y7418">
        <v>-0.17385210000000001</v>
      </c>
      <c r="Z7418">
        <v>-3.228252E-3</v>
      </c>
      <c r="AA7418">
        <v>0.98476649999999999</v>
      </c>
      <c r="AB7418">
        <v>21</v>
      </c>
      <c r="AC7418">
        <v>-23.453700000000001</v>
      </c>
      <c r="AD7418">
        <v>-1.1103864727320001</v>
      </c>
      <c r="AE7418">
        <v>-4.59919999999999</v>
      </c>
      <c r="AF7418">
        <v>-4.1760679459540899</v>
      </c>
      <c r="AG7418">
        <v>-1.1103864727320001</v>
      </c>
      <c r="AH7418">
        <v>23.480442616274999</v>
      </c>
      <c r="AI7418">
        <v>92.665720764407297</v>
      </c>
      <c r="AJ7418">
        <v>100.084777665318</v>
      </c>
      <c r="AK7418">
        <v>23.874749989565</v>
      </c>
      <c r="AL7418">
        <v>87.829621667661996</v>
      </c>
      <c r="AM7418">
        <v>93.228456286686196</v>
      </c>
      <c r="AN7418">
        <v>1.0000000153504101</v>
      </c>
    </row>
    <row r="7419" spans="1:40" x14ac:dyDescent="0.25">
      <c r="A7419" t="str">
        <f>"20190312150837654"</f>
        <v>20190312150837654</v>
      </c>
      <c r="B7419" t="str">
        <f>"1552374517647655"</f>
        <v>1552374517647655</v>
      </c>
      <c r="C7419" t="s">
        <v>40</v>
      </c>
      <c r="D7419">
        <v>4.1883419999999996</v>
      </c>
      <c r="E7419">
        <v>0.45627879999999899</v>
      </c>
      <c r="F7419" t="s">
        <v>42</v>
      </c>
      <c r="G7419">
        <v>-383.34010000000001</v>
      </c>
      <c r="H7419" s="1">
        <v>-3.521629E-6</v>
      </c>
      <c r="I7419">
        <v>135.77000000000001</v>
      </c>
      <c r="J7419">
        <v>-360.14190000000002</v>
      </c>
      <c r="K7419">
        <v>1.110387</v>
      </c>
      <c r="L7419">
        <v>140.30889999999999</v>
      </c>
      <c r="M7419">
        <v>-0.99975349999999996</v>
      </c>
      <c r="N7419">
        <v>0</v>
      </c>
      <c r="O7419">
        <v>-1.752548E-2</v>
      </c>
      <c r="P7419">
        <v>-0.99699199999999999</v>
      </c>
      <c r="Q7419">
        <v>2.4318010000000001E-2</v>
      </c>
      <c r="R7419">
        <v>-7.359077E-2</v>
      </c>
      <c r="S7419">
        <v>-2.9697269999999998</v>
      </c>
      <c r="T7419">
        <v>-0.14143129999999901</v>
      </c>
      <c r="U7419">
        <v>-0.57836909999999997</v>
      </c>
      <c r="V7419">
        <v>-5.6094159999999997E-2</v>
      </c>
      <c r="W7419">
        <v>3.7937899999999997E-2</v>
      </c>
      <c r="X7419">
        <v>0.99770440000000005</v>
      </c>
      <c r="Y7419">
        <v>-0.17375969999999999</v>
      </c>
      <c r="Z7419">
        <v>-3.2707180000000001E-3</v>
      </c>
      <c r="AA7419">
        <v>0.98478259999999995</v>
      </c>
      <c r="AB7419">
        <v>21</v>
      </c>
      <c r="AC7419">
        <v>-23.1981999999999</v>
      </c>
      <c r="AD7419">
        <v>-1.110390521629</v>
      </c>
      <c r="AE7419">
        <v>-4.5388999999999804</v>
      </c>
      <c r="AF7419">
        <v>-4.1225085960746197</v>
      </c>
      <c r="AG7419">
        <v>-1.110390521629</v>
      </c>
      <c r="AH7419">
        <v>23.222946049714501</v>
      </c>
      <c r="AI7419">
        <v>92.695399767202304</v>
      </c>
      <c r="AJ7419">
        <v>100.066211410904</v>
      </c>
      <c r="AK7419">
        <v>23.612142373431102</v>
      </c>
      <c r="AL7419">
        <v>87.825796584965403</v>
      </c>
      <c r="AM7419">
        <v>93.217965697989797</v>
      </c>
      <c r="AN7419">
        <v>0.99999995441093603</v>
      </c>
    </row>
    <row r="7420" spans="1:40" x14ac:dyDescent="0.25">
      <c r="A7420" t="str">
        <f>"20190312150837670"</f>
        <v>20190312150837670</v>
      </c>
      <c r="B7420" t="str">
        <f>"1552374517667175"</f>
        <v>1552374517667175</v>
      </c>
      <c r="C7420" t="s">
        <v>40</v>
      </c>
      <c r="D7420">
        <v>4.4328269999999996</v>
      </c>
      <c r="E7420">
        <v>0.4563702</v>
      </c>
      <c r="F7420" t="s">
        <v>42</v>
      </c>
      <c r="G7420">
        <v>-383.27800000000002</v>
      </c>
      <c r="H7420" s="1">
        <v>-3.541582E-6</v>
      </c>
      <c r="I7420">
        <v>135.80770000000001</v>
      </c>
      <c r="J7420">
        <v>-360.29090000000002</v>
      </c>
      <c r="K7420">
        <v>1.1103879999999999</v>
      </c>
      <c r="L7420">
        <v>140.3064</v>
      </c>
      <c r="M7420">
        <v>-0.99975499999999995</v>
      </c>
      <c r="N7420">
        <v>0</v>
      </c>
      <c r="O7420">
        <v>-1.7399599999999901E-2</v>
      </c>
      <c r="P7420">
        <v>-0.99701390000000001</v>
      </c>
      <c r="Q7420">
        <v>2.3540749999999999E-2</v>
      </c>
      <c r="R7420">
        <v>-7.3548699999999995E-2</v>
      </c>
      <c r="S7420">
        <v>-2.9698790000000002</v>
      </c>
      <c r="T7420">
        <v>-0.14253650000000001</v>
      </c>
      <c r="U7420">
        <v>-0.57778929999999995</v>
      </c>
      <c r="V7420">
        <v>-5.6177520000000002E-2</v>
      </c>
      <c r="W7420">
        <v>3.7214579999999997E-2</v>
      </c>
      <c r="X7420">
        <v>0.99772700000000003</v>
      </c>
      <c r="Y7420">
        <v>-0.17368620000000001</v>
      </c>
      <c r="Z7420">
        <v>-3.300374E-3</v>
      </c>
      <c r="AA7420">
        <v>0.98479550000000005</v>
      </c>
      <c r="AB7420">
        <v>21</v>
      </c>
      <c r="AC7420">
        <v>-22.987100000000002</v>
      </c>
      <c r="AD7420">
        <v>-1.110391541582</v>
      </c>
      <c r="AE7420">
        <v>-4.4986999999999799</v>
      </c>
      <c r="AF7420">
        <v>-4.0888262388964396</v>
      </c>
      <c r="AG7420">
        <v>-1.110391541582</v>
      </c>
      <c r="AH7420">
        <v>23.0101915909136</v>
      </c>
      <c r="AI7420">
        <v>92.720203890800093</v>
      </c>
      <c r="AJ7420">
        <v>100.076073412108</v>
      </c>
      <c r="AK7420">
        <v>23.3970166140484</v>
      </c>
      <c r="AL7420">
        <v>87.867269163242497</v>
      </c>
      <c r="AM7420">
        <v>93.222664910503696</v>
      </c>
      <c r="AN7420">
        <v>1.0000000026234599</v>
      </c>
    </row>
    <row r="7421" spans="1:40" x14ac:dyDescent="0.25">
      <c r="A7421" t="str">
        <f>"20190312150837685"</f>
        <v>20190312150837685</v>
      </c>
      <c r="B7421" t="str">
        <f>"1552374517676935"</f>
        <v>1552374517676935</v>
      </c>
      <c r="C7421" t="s">
        <v>40</v>
      </c>
      <c r="D7421">
        <v>4.2199799999999996</v>
      </c>
      <c r="E7421">
        <v>0.45638040000000002</v>
      </c>
      <c r="F7421" t="s">
        <v>42</v>
      </c>
      <c r="G7421">
        <v>-383.02179999999998</v>
      </c>
      <c r="H7421" s="1">
        <v>-3.6369179999999999E-6</v>
      </c>
      <c r="I7421">
        <v>135.88980000000001</v>
      </c>
      <c r="J7421">
        <v>-360.44069999999999</v>
      </c>
      <c r="K7421">
        <v>1.110393</v>
      </c>
      <c r="L7421">
        <v>140.304</v>
      </c>
      <c r="M7421">
        <v>-0.99975650000000005</v>
      </c>
      <c r="N7421">
        <v>0</v>
      </c>
      <c r="O7421">
        <v>-1.7272900000000001E-2</v>
      </c>
      <c r="P7421">
        <v>-0.99699000000000004</v>
      </c>
      <c r="Q7421">
        <v>2.2903099999999999E-2</v>
      </c>
      <c r="R7421">
        <v>-7.4073150000000004E-2</v>
      </c>
      <c r="S7421">
        <v>-2.9698790000000002</v>
      </c>
      <c r="T7421">
        <v>-0.14507700000000001</v>
      </c>
      <c r="U7421">
        <v>-0.57704160000000004</v>
      </c>
      <c r="V7421">
        <v>-5.6829089999999999E-2</v>
      </c>
      <c r="W7421">
        <v>3.6632280000000003E-2</v>
      </c>
      <c r="X7421">
        <v>0.99771169999999998</v>
      </c>
      <c r="Y7421">
        <v>-0.1735659</v>
      </c>
      <c r="Z7421">
        <v>-3.3624219999999999E-3</v>
      </c>
      <c r="AA7421">
        <v>0.98481660000000004</v>
      </c>
      <c r="AB7421">
        <v>21</v>
      </c>
      <c r="AC7421">
        <v>-22.5810999999999</v>
      </c>
      <c r="AD7421">
        <v>-1.1103966369180001</v>
      </c>
      <c r="AE7421">
        <v>-4.4141999999999904</v>
      </c>
      <c r="AF7421">
        <v>-4.0141143772692098</v>
      </c>
      <c r="AG7421">
        <v>-1.1103966369180001</v>
      </c>
      <c r="AH7421">
        <v>22.601344021834901</v>
      </c>
      <c r="AI7421">
        <v>92.769391277324701</v>
      </c>
      <c r="AJ7421">
        <v>100.071008117435</v>
      </c>
      <c r="AK7421">
        <v>22.981880830741598</v>
      </c>
      <c r="AL7421">
        <v>87.900655367614505</v>
      </c>
      <c r="AM7421">
        <v>93.260012433190894</v>
      </c>
      <c r="AN7421">
        <v>1.0000000528625499</v>
      </c>
    </row>
    <row r="7422" spans="1:40" x14ac:dyDescent="0.25">
      <c r="A7422" t="str">
        <f>"20190312150837699"</f>
        <v>20190312150837699</v>
      </c>
      <c r="B7422" t="str">
        <f>"1552374517687672"</f>
        <v>1552374517687672</v>
      </c>
      <c r="C7422" t="s">
        <v>40</v>
      </c>
      <c r="D7422">
        <v>4.209873</v>
      </c>
      <c r="E7422">
        <v>0.45633550000000001</v>
      </c>
      <c r="F7422" t="s">
        <v>42</v>
      </c>
      <c r="G7422">
        <v>-382.93950000000001</v>
      </c>
      <c r="H7422" s="1">
        <v>-3.666617E-6</v>
      </c>
      <c r="I7422">
        <v>135.92150000000001</v>
      </c>
      <c r="J7422">
        <v>-360.56720000000001</v>
      </c>
      <c r="K7422">
        <v>1.1103970000000001</v>
      </c>
      <c r="L7422">
        <v>140.30189999999999</v>
      </c>
      <c r="M7422">
        <v>-0.99975780000000003</v>
      </c>
      <c r="N7422">
        <v>0</v>
      </c>
      <c r="O7422">
        <v>-1.716581E-2</v>
      </c>
      <c r="P7422">
        <v>-0.99696430000000003</v>
      </c>
      <c r="Q7422">
        <v>2.2496189999999999E-2</v>
      </c>
      <c r="R7422">
        <v>-7.4541430000000006E-2</v>
      </c>
      <c r="S7422">
        <v>-2.969452</v>
      </c>
      <c r="T7422">
        <v>-0.14655379999999901</v>
      </c>
      <c r="U7422">
        <v>-0.57839969999999996</v>
      </c>
      <c r="V7422">
        <v>-5.7405009999999999E-2</v>
      </c>
      <c r="W7422">
        <v>3.6270599999999903E-2</v>
      </c>
      <c r="X7422">
        <v>0.99769189999999996</v>
      </c>
      <c r="Y7422">
        <v>-0.17412739999999999</v>
      </c>
      <c r="Z7422">
        <v>-3.4158890000000001E-3</v>
      </c>
      <c r="AA7422">
        <v>0.98471719999999896</v>
      </c>
      <c r="AB7422">
        <v>21</v>
      </c>
      <c r="AC7422">
        <v>-22.372299999999999</v>
      </c>
      <c r="AD7422">
        <v>-1.1104006666170001</v>
      </c>
      <c r="AE7422">
        <v>-4.3803999999999697</v>
      </c>
      <c r="AF7422">
        <v>-3.98622219438748</v>
      </c>
      <c r="AG7422">
        <v>-1.1104006666170001</v>
      </c>
      <c r="AH7422">
        <v>22.3910810992151</v>
      </c>
      <c r="AI7422">
        <v>92.795163197247106</v>
      </c>
      <c r="AJ7422">
        <v>100.094452197818</v>
      </c>
      <c r="AK7422">
        <v>22.7702320984016</v>
      </c>
      <c r="AL7422">
        <v>87.921391794874296</v>
      </c>
      <c r="AM7422">
        <v>93.293043068726803</v>
      </c>
      <c r="AN7422">
        <v>1.00000000946153</v>
      </c>
    </row>
    <row r="7423" spans="1:40" x14ac:dyDescent="0.25">
      <c r="A7423" t="str">
        <f>"20190312150837715"</f>
        <v>20190312150837715</v>
      </c>
      <c r="B7423" t="str">
        <f>"1552374517707191"</f>
        <v>1552374517707191</v>
      </c>
      <c r="C7423" t="s">
        <v>40</v>
      </c>
      <c r="D7423">
        <v>4.2004299999999999</v>
      </c>
      <c r="E7423">
        <v>0.45632319999999998</v>
      </c>
      <c r="F7423" t="s">
        <v>42</v>
      </c>
      <c r="G7423">
        <v>-382.62360000000001</v>
      </c>
      <c r="H7423" s="1">
        <v>-3.7897229999999999E-6</v>
      </c>
      <c r="I7423">
        <v>135.9914</v>
      </c>
      <c r="J7423">
        <v>-360.72120000000001</v>
      </c>
      <c r="K7423">
        <v>1.110401</v>
      </c>
      <c r="L7423">
        <v>140.29939999999999</v>
      </c>
      <c r="M7423">
        <v>-0.99975919999999896</v>
      </c>
      <c r="N7423">
        <v>0</v>
      </c>
      <c r="O7423">
        <v>-1.7035399999999999E-2</v>
      </c>
      <c r="P7423">
        <v>-0.99681589999999998</v>
      </c>
      <c r="Q7423">
        <v>2.2437229999999999E-2</v>
      </c>
      <c r="R7423">
        <v>-7.6517719999999997E-2</v>
      </c>
      <c r="S7423">
        <v>-2.9691160000000001</v>
      </c>
      <c r="T7423">
        <v>-0.14947629999999901</v>
      </c>
      <c r="U7423">
        <v>-0.58024600000000004</v>
      </c>
      <c r="V7423">
        <v>-5.9513360000000001E-2</v>
      </c>
      <c r="W7423">
        <v>3.6264400000000002E-2</v>
      </c>
      <c r="X7423">
        <v>0.99756849999999997</v>
      </c>
      <c r="Y7423">
        <v>-0.17485800000000001</v>
      </c>
      <c r="Z7423">
        <v>-3.5088089999999999E-3</v>
      </c>
      <c r="AA7423">
        <v>0.9845874</v>
      </c>
      <c r="AB7423">
        <v>21</v>
      </c>
      <c r="AC7423">
        <v>-21.9024</v>
      </c>
      <c r="AD7423">
        <v>-1.1104047897229901</v>
      </c>
      <c r="AE7423">
        <v>-4.3079999999999901</v>
      </c>
      <c r="AF7423">
        <v>-3.9245115283672898</v>
      </c>
      <c r="AG7423">
        <v>-1.1104047897229901</v>
      </c>
      <c r="AH7423">
        <v>21.9183786954254</v>
      </c>
      <c r="AI7423">
        <v>92.854851927515796</v>
      </c>
      <c r="AJ7423">
        <v>100.15130763550199</v>
      </c>
      <c r="AK7423">
        <v>22.294620745134999</v>
      </c>
      <c r="AL7423">
        <v>87.921747096221395</v>
      </c>
      <c r="AM7423">
        <v>93.414129044218399</v>
      </c>
      <c r="AN7423">
        <v>0.99999992945904703</v>
      </c>
    </row>
    <row r="7424" spans="1:40" x14ac:dyDescent="0.25">
      <c r="A7424" t="str">
        <f>"20190312150837738"</f>
        <v>20190312150837738</v>
      </c>
      <c r="B7424" t="str">
        <f>"1552374517727688"</f>
        <v>1552374517727688</v>
      </c>
      <c r="C7424" t="s">
        <v>40</v>
      </c>
      <c r="D7424">
        <v>4.2148960000000004</v>
      </c>
      <c r="E7424">
        <v>0.45630720000000002</v>
      </c>
      <c r="F7424" t="s">
        <v>42</v>
      </c>
      <c r="G7424">
        <v>-382.5772</v>
      </c>
      <c r="H7424" s="1">
        <v>-3.8115829999999998E-6</v>
      </c>
      <c r="I7424">
        <v>135.98050000000001</v>
      </c>
      <c r="J7424">
        <v>-360.93259999999998</v>
      </c>
      <c r="K7424">
        <v>1.1104019999999999</v>
      </c>
      <c r="L7424">
        <v>140.29599999999999</v>
      </c>
      <c r="M7424">
        <v>-0.99976129999999996</v>
      </c>
      <c r="N7424">
        <v>0</v>
      </c>
      <c r="O7424">
        <v>-1.685646E-2</v>
      </c>
      <c r="P7424">
        <v>-0.99666790000000005</v>
      </c>
      <c r="Q7424">
        <v>2.2148339999999999E-2</v>
      </c>
      <c r="R7424">
        <v>-7.8504089999999999E-2</v>
      </c>
      <c r="S7424">
        <v>-2.9679570000000002</v>
      </c>
      <c r="T7424">
        <v>-0.15078910000000001</v>
      </c>
      <c r="U7424">
        <v>-0.58648679999999997</v>
      </c>
      <c r="V7424">
        <v>-6.168042E-2</v>
      </c>
      <c r="W7424">
        <v>3.6042820000000003E-2</v>
      </c>
      <c r="X7424">
        <v>0.99744489999999997</v>
      </c>
      <c r="Y7424">
        <v>-0.177093</v>
      </c>
      <c r="Z7424">
        <v>-3.6054239999999999E-3</v>
      </c>
      <c r="AA7424">
        <v>0.98418749999999999</v>
      </c>
      <c r="AB7424">
        <v>21</v>
      </c>
      <c r="AC7424">
        <v>-21.644600000000001</v>
      </c>
      <c r="AD7424">
        <v>-1.110405811583</v>
      </c>
      <c r="AE7424">
        <v>-4.3154999999999797</v>
      </c>
      <c r="AF7424">
        <v>-3.9400269713770699</v>
      </c>
      <c r="AG7424">
        <v>-1.110405811583</v>
      </c>
      <c r="AH7424">
        <v>21.659449815944001</v>
      </c>
      <c r="AI7424">
        <v>92.887485838371902</v>
      </c>
      <c r="AJ7424">
        <v>100.309827336233</v>
      </c>
      <c r="AK7424">
        <v>22.042880481710501</v>
      </c>
      <c r="AL7424">
        <v>87.934451030872296</v>
      </c>
      <c r="AM7424">
        <v>93.538574768091493</v>
      </c>
      <c r="AN7424">
        <v>0.99999994381046697</v>
      </c>
    </row>
    <row r="7425" spans="1:40" x14ac:dyDescent="0.25">
      <c r="A7425" t="str">
        <f>"20190312150837760"</f>
        <v>20190312150837760</v>
      </c>
      <c r="B7425" t="str">
        <f>"1552374517747207"</f>
        <v>1552374517747207</v>
      </c>
      <c r="C7425" t="s">
        <v>40</v>
      </c>
      <c r="D7425">
        <v>4.2548810000000001</v>
      </c>
      <c r="E7425">
        <v>0.45633990000000002</v>
      </c>
      <c r="F7425" t="s">
        <v>42</v>
      </c>
      <c r="G7425">
        <v>-382.97430000000003</v>
      </c>
      <c r="H7425" s="1">
        <v>-3.6567239999999999E-6</v>
      </c>
      <c r="I7425">
        <v>135.893</v>
      </c>
      <c r="J7425">
        <v>-361.13780000000003</v>
      </c>
      <c r="K7425">
        <v>1.110419</v>
      </c>
      <c r="L7425">
        <v>140.2928</v>
      </c>
      <c r="M7425">
        <v>-0.99976339999999997</v>
      </c>
      <c r="N7425">
        <v>0</v>
      </c>
      <c r="O7425">
        <v>-1.668271E-2</v>
      </c>
      <c r="P7425">
        <v>-0.99646219999999996</v>
      </c>
      <c r="Q7425">
        <v>2.254368E-2</v>
      </c>
      <c r="R7425">
        <v>-8.0966060000000006E-2</v>
      </c>
      <c r="S7425">
        <v>-2.966675</v>
      </c>
      <c r="T7425">
        <v>-0.149453799999999</v>
      </c>
      <c r="U7425">
        <v>-0.59260559999999995</v>
      </c>
      <c r="V7425">
        <v>-6.4319310000000005E-2</v>
      </c>
      <c r="W7425">
        <v>3.6495989999999999E-2</v>
      </c>
      <c r="X7425">
        <v>0.99726179999999998</v>
      </c>
      <c r="Y7425">
        <v>-0.17929779999999901</v>
      </c>
      <c r="Z7425">
        <v>-3.637955E-3</v>
      </c>
      <c r="AA7425">
        <v>0.98378810000000005</v>
      </c>
      <c r="AB7425">
        <v>21</v>
      </c>
      <c r="AC7425">
        <v>-21.836500000000001</v>
      </c>
      <c r="AD7425">
        <v>-1.1104226567239901</v>
      </c>
      <c r="AE7425">
        <v>-4.3997999999999902</v>
      </c>
      <c r="AF7425">
        <v>-4.0248582833298396</v>
      </c>
      <c r="AG7425">
        <v>-1.1104226567239901</v>
      </c>
      <c r="AH7425">
        <v>21.852564451431</v>
      </c>
      <c r="AI7425">
        <v>92.860903854526001</v>
      </c>
      <c r="AJ7425">
        <v>100.43591802371699</v>
      </c>
      <c r="AK7425">
        <v>22.2478559816761</v>
      </c>
      <c r="AL7425">
        <v>87.908469353573906</v>
      </c>
      <c r="AM7425">
        <v>93.690232476191198</v>
      </c>
      <c r="AN7425">
        <v>1.00000001433209</v>
      </c>
    </row>
    <row r="7426" spans="1:40" x14ac:dyDescent="0.25">
      <c r="A7426" t="str">
        <f>"20190312150837782"</f>
        <v>20190312150837782</v>
      </c>
      <c r="B7426" t="str">
        <f>"1552374517777463"</f>
        <v>1552374517777463</v>
      </c>
      <c r="C7426" t="s">
        <v>40</v>
      </c>
      <c r="D7426">
        <v>4.3595930000000003</v>
      </c>
      <c r="E7426">
        <v>0.45624239999999999</v>
      </c>
      <c r="F7426" t="s">
        <v>42</v>
      </c>
      <c r="G7426">
        <v>-383.4991</v>
      </c>
      <c r="H7426" s="1">
        <v>-3.4535929999999999E-6</v>
      </c>
      <c r="I7426">
        <v>135.76900000000001</v>
      </c>
      <c r="J7426">
        <v>-361.34280000000001</v>
      </c>
      <c r="K7426">
        <v>1.11043799999999</v>
      </c>
      <c r="L7426">
        <v>140.2895</v>
      </c>
      <c r="M7426">
        <v>-0.99976529999999997</v>
      </c>
      <c r="N7426">
        <v>0</v>
      </c>
      <c r="O7426">
        <v>-1.650915E-2</v>
      </c>
      <c r="P7426">
        <v>-0.99625249999999999</v>
      </c>
      <c r="Q7426">
        <v>2.4376740000000001E-2</v>
      </c>
      <c r="R7426">
        <v>-8.2985130000000004E-2</v>
      </c>
      <c r="S7426">
        <v>-2.9652400000000001</v>
      </c>
      <c r="T7426">
        <v>-0.14724909999999999</v>
      </c>
      <c r="U7426">
        <v>-0.59986879999999998</v>
      </c>
      <c r="V7426">
        <v>-6.6513779999999995E-2</v>
      </c>
      <c r="W7426">
        <v>3.83796E-2</v>
      </c>
      <c r="X7426">
        <v>0.99704709999999996</v>
      </c>
      <c r="Y7426">
        <v>-0.18187790000000001</v>
      </c>
      <c r="Z7426">
        <v>-3.6570999999999999E-3</v>
      </c>
      <c r="AA7426">
        <v>0.98331429999999997</v>
      </c>
      <c r="AB7426">
        <v>21</v>
      </c>
      <c r="AC7426">
        <v>-22.156299999999899</v>
      </c>
      <c r="AD7426">
        <v>-1.1104414535929901</v>
      </c>
      <c r="AE7426">
        <v>-4.5204999999999904</v>
      </c>
      <c r="AF7426">
        <v>-4.1440727562554596</v>
      </c>
      <c r="AG7426">
        <v>-1.1104414535929901</v>
      </c>
      <c r="AH7426">
        <v>22.174443455306299</v>
      </c>
      <c r="AI7426">
        <v>92.818126589149202</v>
      </c>
      <c r="AJ7426">
        <v>100.585616029919</v>
      </c>
      <c r="AK7426">
        <v>22.585667175967501</v>
      </c>
      <c r="AL7426">
        <v>87.800470688802093</v>
      </c>
      <c r="AM7426">
        <v>93.816590593974198</v>
      </c>
      <c r="AN7426">
        <v>0.99999999812222895</v>
      </c>
    </row>
    <row r="7427" spans="1:40" x14ac:dyDescent="0.25">
      <c r="A7427" t="str">
        <f>"20190312150837798"</f>
        <v>20190312150837798</v>
      </c>
      <c r="B7427" t="str">
        <f>"1552374517787223"</f>
        <v>1552374517787223</v>
      </c>
      <c r="C7427" t="s">
        <v>40</v>
      </c>
      <c r="D7427">
        <v>4.223001</v>
      </c>
      <c r="E7427">
        <v>0.45626630000000001</v>
      </c>
      <c r="F7427" t="s">
        <v>42</v>
      </c>
      <c r="G7427">
        <v>-383.58870000000002</v>
      </c>
      <c r="H7427" s="1">
        <v>-3.421524E-6</v>
      </c>
      <c r="I7427">
        <v>135.73320000000001</v>
      </c>
      <c r="J7427">
        <v>-361.5027</v>
      </c>
      <c r="K7427">
        <v>1.1104499999999999</v>
      </c>
      <c r="L7427">
        <v>140.28700000000001</v>
      </c>
      <c r="M7427">
        <v>-0.99976710000000002</v>
      </c>
      <c r="N7427">
        <v>0</v>
      </c>
      <c r="O7427">
        <v>-1.6374110000000001E-2</v>
      </c>
      <c r="P7427">
        <v>-0.99617310000000003</v>
      </c>
      <c r="Q7427">
        <v>2.5801319999999999E-2</v>
      </c>
      <c r="R7427">
        <v>-8.3508479999999996E-2</v>
      </c>
      <c r="S7427">
        <v>-2.9642940000000002</v>
      </c>
      <c r="T7427">
        <v>-0.1479683</v>
      </c>
      <c r="U7427">
        <v>-0.60713200000000001</v>
      </c>
      <c r="V7427">
        <v>-6.7172670000000004E-2</v>
      </c>
      <c r="W7427">
        <v>3.9839989999999999E-2</v>
      </c>
      <c r="X7427">
        <v>0.99694559999999999</v>
      </c>
      <c r="Y7427">
        <v>-0.1843795</v>
      </c>
      <c r="Z7427">
        <v>-3.7436240000000001E-3</v>
      </c>
      <c r="AA7427">
        <v>0.98284800000000005</v>
      </c>
      <c r="AB7427">
        <v>21</v>
      </c>
      <c r="AC7427">
        <v>-22.085999999999999</v>
      </c>
      <c r="AD7427">
        <v>-1.1104534215239901</v>
      </c>
      <c r="AE7427">
        <v>-4.5537999999999901</v>
      </c>
      <c r="AF7427">
        <v>-4.1813758190964201</v>
      </c>
      <c r="AG7427">
        <v>-1.1104534215239901</v>
      </c>
      <c r="AH7427">
        <v>22.104011276012098</v>
      </c>
      <c r="AI7427">
        <v>92.825952083941502</v>
      </c>
      <c r="AJ7427">
        <v>100.711961465363</v>
      </c>
      <c r="AK7427">
        <v>22.523417259198698</v>
      </c>
      <c r="AL7427">
        <v>87.716732346113204</v>
      </c>
      <c r="AM7427">
        <v>93.854675824703705</v>
      </c>
      <c r="AN7427">
        <v>0.99999996087874299</v>
      </c>
    </row>
    <row r="7428" spans="1:40" x14ac:dyDescent="0.25">
      <c r="A7428" t="str">
        <f>"20190312150837812"</f>
        <v>20190312150837812</v>
      </c>
      <c r="B7428" t="str">
        <f>"1552374517807719"</f>
        <v>1552374517807719</v>
      </c>
      <c r="C7428" t="s">
        <v>40</v>
      </c>
      <c r="D7428">
        <v>4.1975740000000004</v>
      </c>
      <c r="E7428">
        <v>0.4564261</v>
      </c>
      <c r="F7428" t="s">
        <v>42</v>
      </c>
      <c r="G7428">
        <v>-384.39800000000002</v>
      </c>
      <c r="H7428" s="1">
        <v>-3.1003409999999998E-6</v>
      </c>
      <c r="I7428">
        <v>135.5864</v>
      </c>
      <c r="J7428">
        <v>-361.62430000000001</v>
      </c>
      <c r="K7428">
        <v>1.11046</v>
      </c>
      <c r="L7428">
        <v>140.2852</v>
      </c>
      <c r="M7428">
        <v>-0.99976849999999995</v>
      </c>
      <c r="N7428">
        <v>0</v>
      </c>
      <c r="O7428">
        <v>-1.6271170000000001E-2</v>
      </c>
      <c r="P7428">
        <v>-0.99609110000000001</v>
      </c>
      <c r="Q7428">
        <v>2.6523689999999999E-2</v>
      </c>
      <c r="R7428">
        <v>-8.4257879999999993E-2</v>
      </c>
      <c r="S7428">
        <v>-2.9642029999999999</v>
      </c>
      <c r="T7428">
        <v>-0.1437678</v>
      </c>
      <c r="U7428">
        <v>-0.6085663</v>
      </c>
      <c r="V7428">
        <v>-6.8026290000000003E-2</v>
      </c>
      <c r="W7428">
        <v>4.0586589999999999E-2</v>
      </c>
      <c r="X7428">
        <v>0.99685760000000001</v>
      </c>
      <c r="Y7428">
        <v>-0.18495349999999999</v>
      </c>
      <c r="Z7428">
        <v>-3.656112E-3</v>
      </c>
      <c r="AA7428">
        <v>0.98274050000000002</v>
      </c>
      <c r="AB7428">
        <v>21</v>
      </c>
      <c r="AC7428">
        <v>-22.773700000000002</v>
      </c>
      <c r="AD7428">
        <v>-1.1104631003409999</v>
      </c>
      <c r="AE7428">
        <v>-4.6988000000000003</v>
      </c>
      <c r="AF7428">
        <v>-4.3177396255048199</v>
      </c>
      <c r="AG7428">
        <v>-1.1104631003409999</v>
      </c>
      <c r="AH7428">
        <v>22.7951620314198</v>
      </c>
      <c r="AI7428">
        <v>92.740302259196497</v>
      </c>
      <c r="AJ7428">
        <v>100.725598895753</v>
      </c>
      <c r="AK7428">
        <v>23.227040616694101</v>
      </c>
      <c r="AL7428">
        <v>87.673920685287001</v>
      </c>
      <c r="AM7428">
        <v>93.903853489797697</v>
      </c>
      <c r="AN7428">
        <v>0.99999996104837496</v>
      </c>
    </row>
    <row r="7429" spans="1:40" x14ac:dyDescent="0.25">
      <c r="A7429" t="str">
        <f>"20190312150837827"</f>
        <v>20190312150837827</v>
      </c>
      <c r="B7429" t="str">
        <f>"1552374517817479"</f>
        <v>1552374517817479</v>
      </c>
      <c r="C7429" t="s">
        <v>40</v>
      </c>
      <c r="D7429">
        <v>4.2154319999999998</v>
      </c>
      <c r="E7429">
        <v>0.45690069999999999</v>
      </c>
      <c r="F7429" t="s">
        <v>42</v>
      </c>
      <c r="G7429">
        <v>-385.03309999999999</v>
      </c>
      <c r="H7429" s="1">
        <v>-2.8484410000000002E-6</v>
      </c>
      <c r="I7429">
        <v>135.47059999999999</v>
      </c>
      <c r="J7429">
        <v>-361.75889999999998</v>
      </c>
      <c r="K7429">
        <v>1.1104700000000001</v>
      </c>
      <c r="L7429">
        <v>140.28309999999999</v>
      </c>
      <c r="M7429">
        <v>-0.99977000000000005</v>
      </c>
      <c r="N7429">
        <v>0</v>
      </c>
      <c r="O7429">
        <v>-1.615716E-2</v>
      </c>
      <c r="P7429">
        <v>-0.99596359999999995</v>
      </c>
      <c r="Q7429">
        <v>2.7427340000000001E-2</v>
      </c>
      <c r="R7429">
        <v>-8.5465659999999999E-2</v>
      </c>
      <c r="S7429">
        <v>-2.9639280000000001</v>
      </c>
      <c r="T7429">
        <v>-0.14060259999999999</v>
      </c>
      <c r="U7429">
        <v>-0.60958859999999904</v>
      </c>
      <c r="V7429">
        <v>-6.9349300000000003E-2</v>
      </c>
      <c r="W7429">
        <v>4.1514679999999998E-2</v>
      </c>
      <c r="X7429">
        <v>0.99672819999999995</v>
      </c>
      <c r="Y7429">
        <v>-0.18541640000000001</v>
      </c>
      <c r="Z7429">
        <v>-3.5921149999999999E-3</v>
      </c>
      <c r="AA7429">
        <v>0.98265349999999996</v>
      </c>
      <c r="AB7429">
        <v>21</v>
      </c>
      <c r="AC7429">
        <v>-23.2742</v>
      </c>
      <c r="AD7429">
        <v>-1.110472848441</v>
      </c>
      <c r="AE7429">
        <v>-4.8125</v>
      </c>
      <c r="AF7429">
        <v>-4.4261263934882003</v>
      </c>
      <c r="AG7429">
        <v>-1.110472848441</v>
      </c>
      <c r="AH7429">
        <v>23.2980621545784</v>
      </c>
      <c r="AI7429">
        <v>92.680985987735497</v>
      </c>
      <c r="AJ7429">
        <v>100.75676744608801</v>
      </c>
      <c r="AK7429">
        <v>23.740754936540199</v>
      </c>
      <c r="AL7429">
        <v>87.620700152183602</v>
      </c>
      <c r="AM7429">
        <v>93.980050978254397</v>
      </c>
      <c r="AN7429">
        <v>0.99999994937061398</v>
      </c>
    </row>
    <row r="7430" spans="1:40" x14ac:dyDescent="0.25">
      <c r="A7430" t="str">
        <f>"20190312150837843"</f>
        <v>20190312150837843</v>
      </c>
      <c r="B7430" t="str">
        <f>"1552374517836999"</f>
        <v>1552374517836999</v>
      </c>
      <c r="C7430" t="s">
        <v>40</v>
      </c>
      <c r="D7430">
        <v>4.2287999999999997</v>
      </c>
      <c r="E7430">
        <v>0.49050120000000003</v>
      </c>
      <c r="F7430" t="s">
        <v>42</v>
      </c>
      <c r="G7430">
        <v>-386.221</v>
      </c>
      <c r="H7430" s="1">
        <v>-2.4325029999999999E-6</v>
      </c>
      <c r="I7430">
        <v>135.25489999999999</v>
      </c>
      <c r="J7430">
        <v>-361.92169999999999</v>
      </c>
      <c r="K7430">
        <v>1.1104769999999999</v>
      </c>
      <c r="L7430">
        <v>140.28059999999999</v>
      </c>
      <c r="M7430">
        <v>-0.99977179999999999</v>
      </c>
      <c r="N7430">
        <v>0</v>
      </c>
      <c r="O7430">
        <v>-1.6019200000000001E-2</v>
      </c>
      <c r="P7430">
        <v>-0.99593030000000005</v>
      </c>
      <c r="Q7430">
        <v>2.7862390000000001E-2</v>
      </c>
      <c r="R7430">
        <v>-8.5713049999999999E-2</v>
      </c>
      <c r="S7430">
        <v>-2.9635929999999999</v>
      </c>
      <c r="T7430">
        <v>-0.1345344</v>
      </c>
      <c r="U7430">
        <v>-0.60916139999999996</v>
      </c>
      <c r="V7430">
        <v>-6.9734820000000003E-2</v>
      </c>
      <c r="W7430">
        <v>4.1977760000000003E-2</v>
      </c>
      <c r="X7430">
        <v>0.99668190000000001</v>
      </c>
      <c r="Y7430">
        <v>-0.18545310000000001</v>
      </c>
      <c r="Z7430">
        <v>-3.4446870000000001E-3</v>
      </c>
      <c r="AA7430">
        <v>0.9826471</v>
      </c>
      <c r="AB7430">
        <v>21</v>
      </c>
      <c r="AC7430">
        <v>-24.299299999999999</v>
      </c>
      <c r="AD7430">
        <v>-1.1104794325030001</v>
      </c>
      <c r="AE7430">
        <v>-5.0256999999999996</v>
      </c>
      <c r="AF7430">
        <v>-4.6264947258865599</v>
      </c>
      <c r="AG7430">
        <v>-1.1104794325030001</v>
      </c>
      <c r="AH7430">
        <v>24.327972543560701</v>
      </c>
      <c r="AI7430">
        <v>92.567567448856195</v>
      </c>
      <c r="AJ7430">
        <v>100.767468139915</v>
      </c>
      <c r="AK7430">
        <v>24.788865768705801</v>
      </c>
      <c r="AL7430">
        <v>87.594144457176299</v>
      </c>
      <c r="AM7430">
        <v>94.002290108221302</v>
      </c>
      <c r="AN7430">
        <v>0.99999994362132805</v>
      </c>
    </row>
    <row r="7431" spans="1:40" x14ac:dyDescent="0.25">
      <c r="A7431" t="str">
        <f>"20190312150837856"</f>
        <v>20190312150837856</v>
      </c>
      <c r="B7431" t="str">
        <f>"1552374517847735"</f>
        <v>1552374517847735</v>
      </c>
      <c r="C7431" t="s">
        <v>40</v>
      </c>
      <c r="D7431">
        <v>4.2338009999999997</v>
      </c>
      <c r="E7431">
        <v>0.49063230000000002</v>
      </c>
      <c r="F7431" t="s">
        <v>77</v>
      </c>
      <c r="G7431">
        <v>-403.52870000000001</v>
      </c>
      <c r="H7431" s="1">
        <v>-5.0271429999999998E-6</v>
      </c>
      <c r="I7431">
        <v>135.53909999999999</v>
      </c>
      <c r="J7431">
        <v>-362.03870000000001</v>
      </c>
      <c r="K7431">
        <v>1.110484</v>
      </c>
      <c r="L7431">
        <v>140.27889999999999</v>
      </c>
      <c r="M7431">
        <v>-0.99977309999999997</v>
      </c>
      <c r="N7431">
        <v>0</v>
      </c>
      <c r="O7431">
        <v>-1.5919909999999999E-2</v>
      </c>
      <c r="P7431">
        <v>-0.99592579999999997</v>
      </c>
      <c r="Q7431">
        <v>2.8439889999999999E-2</v>
      </c>
      <c r="R7431">
        <v>-8.5576529999999998E-2</v>
      </c>
      <c r="S7431">
        <v>-2.9851990000000002</v>
      </c>
      <c r="T7431">
        <v>-7.967436E-2</v>
      </c>
      <c r="U7431">
        <v>-0.34019470000000002</v>
      </c>
      <c r="V7431">
        <v>-6.9696930000000004E-2</v>
      </c>
      <c r="W7431">
        <v>4.2572329999999999E-2</v>
      </c>
      <c r="X7431">
        <v>0.99665939999999997</v>
      </c>
      <c r="Y7431">
        <v>-9.736554E-2</v>
      </c>
      <c r="Z7431">
        <v>-8.7152639999999999E-4</v>
      </c>
      <c r="AA7431">
        <v>0.99524829999999997</v>
      </c>
      <c r="AB7431">
        <v>21</v>
      </c>
      <c r="AC7431">
        <v>-41.49</v>
      </c>
      <c r="AD7431">
        <v>-1.1104890271429999</v>
      </c>
      <c r="AE7431">
        <v>-4.7397999999999998</v>
      </c>
      <c r="AF7431">
        <v>-4.0757338292441201</v>
      </c>
      <c r="AG7431">
        <v>-1.1104890271429999</v>
      </c>
      <c r="AH7431">
        <v>41.530837214120197</v>
      </c>
      <c r="AI7431">
        <v>91.524341948945406</v>
      </c>
      <c r="AJ7431">
        <v>95.604918714489898</v>
      </c>
      <c r="AK7431">
        <v>41.745122251970898</v>
      </c>
      <c r="AL7431">
        <v>87.560047789004997</v>
      </c>
      <c r="AM7431">
        <v>94.000212560289697</v>
      </c>
      <c r="AN7431">
        <v>1.0000000124707</v>
      </c>
    </row>
    <row r="7432" spans="1:40" x14ac:dyDescent="0.25">
      <c r="A7432" t="str">
        <f>"20190312150837871"</f>
        <v>20190312150837871</v>
      </c>
      <c r="B7432" t="str">
        <f>"1552374517867257"</f>
        <v>1552374517867257</v>
      </c>
      <c r="C7432" t="s">
        <v>40</v>
      </c>
      <c r="D7432">
        <v>4.2289680000000001</v>
      </c>
      <c r="E7432">
        <v>0.4908845</v>
      </c>
      <c r="F7432" t="s">
        <v>77</v>
      </c>
      <c r="G7432">
        <v>-405.89269999999999</v>
      </c>
      <c r="H7432" s="1">
        <v>-6.1890270000000001E-6</v>
      </c>
      <c r="I7432">
        <v>135.30430000000001</v>
      </c>
      <c r="J7432">
        <v>-362.16860000000003</v>
      </c>
      <c r="K7432">
        <v>1.110493</v>
      </c>
      <c r="L7432">
        <v>140.27690000000001</v>
      </c>
      <c r="M7432">
        <v>-0.99977459999999996</v>
      </c>
      <c r="N7432">
        <v>0</v>
      </c>
      <c r="O7432">
        <v>-1.580954E-2</v>
      </c>
      <c r="P7432">
        <v>-0.99586050000000004</v>
      </c>
      <c r="Q7432">
        <v>2.963729E-2</v>
      </c>
      <c r="R7432">
        <v>-8.5930290000000006E-2</v>
      </c>
      <c r="S7432">
        <v>-2.9853209999999999</v>
      </c>
      <c r="T7432">
        <v>-7.5595620000000002E-2</v>
      </c>
      <c r="U7432">
        <v>-0.3386383</v>
      </c>
      <c r="V7432">
        <v>-7.0161360000000006E-2</v>
      </c>
      <c r="W7432">
        <v>4.378713E-2</v>
      </c>
      <c r="X7432">
        <v>0.99657419999999997</v>
      </c>
      <c r="Y7432">
        <v>-9.6961510000000001E-2</v>
      </c>
      <c r="Z7432">
        <v>-8.2460119999999996E-4</v>
      </c>
      <c r="AA7432">
        <v>0.99528779999999994</v>
      </c>
      <c r="AB7432">
        <v>21</v>
      </c>
      <c r="AC7432">
        <v>-43.7240999999999</v>
      </c>
      <c r="AD7432">
        <v>-1.110499189027</v>
      </c>
      <c r="AE7432">
        <v>-4.9725999999999999</v>
      </c>
      <c r="AF7432">
        <v>-4.2779268328795901</v>
      </c>
      <c r="AG7432">
        <v>-1.110499189027</v>
      </c>
      <c r="AH7432">
        <v>43.769383713562704</v>
      </c>
      <c r="AI7432">
        <v>91.446484119826195</v>
      </c>
      <c r="AJ7432">
        <v>95.582238019588402</v>
      </c>
      <c r="AK7432">
        <v>43.991963096699699</v>
      </c>
      <c r="AL7432">
        <v>87.490379945464596</v>
      </c>
      <c r="AM7432">
        <v>94.0271239645284</v>
      </c>
      <c r="AN7432">
        <v>1.00000003264816</v>
      </c>
    </row>
    <row r="7433" spans="1:40" x14ac:dyDescent="0.25">
      <c r="A7433" t="str">
        <f>"20190312150837894"</f>
        <v>20190312150837894</v>
      </c>
      <c r="B7433" t="str">
        <f>"1552374517887751"</f>
        <v>1552374517887751</v>
      </c>
      <c r="C7433" t="s">
        <v>40</v>
      </c>
      <c r="D7433">
        <v>4.2429050000000004</v>
      </c>
      <c r="E7433">
        <v>0.49118590000000001</v>
      </c>
      <c r="F7433" t="s">
        <v>77</v>
      </c>
      <c r="G7433">
        <v>-412.33260000000001</v>
      </c>
      <c r="H7433" s="1">
        <v>-8.2794640000000008E-6</v>
      </c>
      <c r="I7433">
        <v>134.6079</v>
      </c>
      <c r="J7433">
        <v>-362.38350000000003</v>
      </c>
      <c r="K7433">
        <v>1.110498</v>
      </c>
      <c r="L7433">
        <v>140.27369999999999</v>
      </c>
      <c r="M7433">
        <v>-0.99977709999999997</v>
      </c>
      <c r="N7433">
        <v>0</v>
      </c>
      <c r="O7433">
        <v>-1.562711E-2</v>
      </c>
      <c r="P7433">
        <v>-0.99581209999999998</v>
      </c>
      <c r="Q7433">
        <v>3.0400549999999998E-2</v>
      </c>
      <c r="R7433">
        <v>-8.6221240000000005E-2</v>
      </c>
      <c r="S7433">
        <v>-2.9853519999999998</v>
      </c>
      <c r="T7433">
        <v>-6.6087960000000001E-2</v>
      </c>
      <c r="U7433">
        <v>-0.3373718</v>
      </c>
      <c r="V7433">
        <v>-7.0635050000000005E-2</v>
      </c>
      <c r="W7433">
        <v>4.4575999999999998E-2</v>
      </c>
      <c r="X7433">
        <v>0.99650570000000005</v>
      </c>
      <c r="Y7433">
        <v>-9.6731129999999999E-2</v>
      </c>
      <c r="Z7433">
        <v>-7.2240929999999905E-4</v>
      </c>
      <c r="AA7433">
        <v>0.99531029999999998</v>
      </c>
      <c r="AB7433">
        <v>21</v>
      </c>
      <c r="AC7433">
        <v>-49.949099999999902</v>
      </c>
      <c r="AD7433">
        <v>-1.1105062794639999</v>
      </c>
      <c r="AE7433">
        <v>-5.6657999999999902</v>
      </c>
      <c r="AF7433">
        <v>-4.8820867166587902</v>
      </c>
      <c r="AG7433">
        <v>-1.1105062794639999</v>
      </c>
      <c r="AH7433">
        <v>50.007144146355003</v>
      </c>
      <c r="AI7433">
        <v>91.266137952183996</v>
      </c>
      <c r="AJ7433">
        <v>95.575989584025507</v>
      </c>
      <c r="AK7433">
        <v>50.257163276293603</v>
      </c>
      <c r="AL7433">
        <v>87.445136685187904</v>
      </c>
      <c r="AM7433">
        <v>94.054500235189494</v>
      </c>
      <c r="AN7433">
        <v>0.99999997009849495</v>
      </c>
    </row>
    <row r="7434" spans="1:40" x14ac:dyDescent="0.25">
      <c r="A7434" t="str">
        <f>"20190312150837909"</f>
        <v>20190312150837909</v>
      </c>
      <c r="B7434" t="str">
        <f>"1552374517897511"</f>
        <v>1552374517897511</v>
      </c>
      <c r="C7434" t="s">
        <v>40</v>
      </c>
      <c r="D7434">
        <v>4.2298799999999996</v>
      </c>
      <c r="E7434">
        <v>0.49136780000000002</v>
      </c>
      <c r="F7434" t="s">
        <v>77</v>
      </c>
      <c r="G7434">
        <v>-413.5258</v>
      </c>
      <c r="H7434" s="1">
        <v>-8.1363580000000007E-6</v>
      </c>
      <c r="I7434">
        <v>134.52029999999999</v>
      </c>
      <c r="J7434">
        <v>-362.52289999999999</v>
      </c>
      <c r="K7434">
        <v>1.1105039999999999</v>
      </c>
      <c r="L7434">
        <v>140.27170000000001</v>
      </c>
      <c r="M7434">
        <v>-0.99977870000000002</v>
      </c>
      <c r="N7434">
        <v>0</v>
      </c>
      <c r="O7434">
        <v>-1.5508849999999999E-2</v>
      </c>
      <c r="P7434">
        <v>-0.99576430000000005</v>
      </c>
      <c r="Q7434">
        <v>3.142006E-2</v>
      </c>
      <c r="R7434">
        <v>-8.6409860000000005E-2</v>
      </c>
      <c r="S7434">
        <v>-2.9855040000000002</v>
      </c>
      <c r="T7434">
        <v>-6.4827319999999994E-2</v>
      </c>
      <c r="U7434">
        <v>-0.33586120000000003</v>
      </c>
      <c r="V7434">
        <v>-7.0942019999999995E-2</v>
      </c>
      <c r="W7434">
        <v>4.5609690000000001E-2</v>
      </c>
      <c r="X7434">
        <v>0.99643709999999996</v>
      </c>
      <c r="Y7434">
        <v>-9.6346710000000002E-2</v>
      </c>
      <c r="Z7434">
        <v>-7.0701480000000001E-4</v>
      </c>
      <c r="AA7434">
        <v>0.9953476</v>
      </c>
      <c r="AB7434">
        <v>21</v>
      </c>
      <c r="AC7434">
        <v>-51.002899999999997</v>
      </c>
      <c r="AD7434">
        <v>-1.1105121363579999</v>
      </c>
      <c r="AE7434">
        <v>-5.7514000000000101</v>
      </c>
      <c r="AF7434">
        <v>-4.9573112233617804</v>
      </c>
      <c r="AG7434">
        <v>-1.1105121363579999</v>
      </c>
      <c r="AH7434">
        <v>51.0620674500246</v>
      </c>
      <c r="AI7434">
        <v>91.240059812054795</v>
      </c>
      <c r="AJ7434">
        <v>95.545127165369806</v>
      </c>
      <c r="AK7434">
        <v>51.314158904157601</v>
      </c>
      <c r="AL7434">
        <v>87.385850258591404</v>
      </c>
      <c r="AM7434">
        <v>94.072340775720207</v>
      </c>
      <c r="AN7434">
        <v>0.99999995413999199</v>
      </c>
    </row>
    <row r="7435" spans="1:40" x14ac:dyDescent="0.25">
      <c r="A7435" t="str">
        <f>"20190312150837921"</f>
        <v>20190312150837921</v>
      </c>
      <c r="B7435" t="str">
        <f>"1552374517917031"</f>
        <v>1552374517917031</v>
      </c>
      <c r="C7435" t="s">
        <v>40</v>
      </c>
      <c r="D7435">
        <v>4.2355989999999997</v>
      </c>
      <c r="E7435">
        <v>0.49159229999999998</v>
      </c>
      <c r="F7435" t="s">
        <v>77</v>
      </c>
      <c r="G7435">
        <v>-415.91449999999998</v>
      </c>
      <c r="H7435" s="1">
        <v>-7.8609189999999999E-6</v>
      </c>
      <c r="I7435">
        <v>134.28219999999999</v>
      </c>
      <c r="J7435">
        <v>-362.63900000000001</v>
      </c>
      <c r="K7435">
        <v>1.110511</v>
      </c>
      <c r="L7435">
        <v>140.27000000000001</v>
      </c>
      <c r="M7435">
        <v>-0.99978009999999995</v>
      </c>
      <c r="N7435">
        <v>0</v>
      </c>
      <c r="O7435">
        <v>-1.541035E-2</v>
      </c>
      <c r="P7435">
        <v>-0.99571010000000004</v>
      </c>
      <c r="Q7435">
        <v>3.2438269999999998E-2</v>
      </c>
      <c r="R7435">
        <v>-8.6656529999999996E-2</v>
      </c>
      <c r="S7435">
        <v>-2.9856569999999998</v>
      </c>
      <c r="T7435">
        <v>-6.2099809999999998E-2</v>
      </c>
      <c r="U7435">
        <v>-0.33493040000000002</v>
      </c>
      <c r="V7435">
        <v>-7.1286890000000006E-2</v>
      </c>
      <c r="W7435">
        <v>4.663809E-2</v>
      </c>
      <c r="X7435">
        <v>0.99636499999999995</v>
      </c>
      <c r="Y7435">
        <v>-9.6134250000000004E-2</v>
      </c>
      <c r="Z7435">
        <v>-6.7709059999999997E-4</v>
      </c>
      <c r="AA7435">
        <v>0.99536809999999998</v>
      </c>
      <c r="AB7435">
        <v>21</v>
      </c>
      <c r="AC7435">
        <v>-53.275499999999901</v>
      </c>
      <c r="AD7435">
        <v>-1.110518860919</v>
      </c>
      <c r="AE7435">
        <v>-5.9878000000000204</v>
      </c>
      <c r="AF7435">
        <v>-5.16379596323711</v>
      </c>
      <c r="AG7435">
        <v>-1.110518860919</v>
      </c>
      <c r="AH7435">
        <v>53.338568997187302</v>
      </c>
      <c r="AI7435">
        <v>91.187187510019001</v>
      </c>
      <c r="AJ7435">
        <v>95.529667488350995</v>
      </c>
      <c r="AK7435">
        <v>53.599449470662599</v>
      </c>
      <c r="AL7435">
        <v>87.326864813752294</v>
      </c>
      <c r="AM7435">
        <v>94.092365639392995</v>
      </c>
      <c r="AN7435">
        <v>1.0000000726748499</v>
      </c>
    </row>
    <row r="7436" spans="1:40" x14ac:dyDescent="0.25">
      <c r="A7436" t="str">
        <f>"20190312150837935"</f>
        <v>20190312150837935</v>
      </c>
      <c r="B7436" t="str">
        <f>"1552374517927767"</f>
        <v>1552374517927767</v>
      </c>
      <c r="C7436" t="s">
        <v>40</v>
      </c>
      <c r="D7436">
        <v>4.2423799999999998</v>
      </c>
      <c r="E7436">
        <v>0.49159979999999998</v>
      </c>
      <c r="F7436" t="s">
        <v>77</v>
      </c>
      <c r="G7436">
        <v>-418.72919999999999</v>
      </c>
      <c r="H7436" s="1">
        <v>-7.5811320000000002E-6</v>
      </c>
      <c r="I7436">
        <v>133.99639999999999</v>
      </c>
      <c r="J7436">
        <v>-362.75700000000001</v>
      </c>
      <c r="K7436">
        <v>1.1105210000000001</v>
      </c>
      <c r="L7436">
        <v>140.26830000000001</v>
      </c>
      <c r="M7436">
        <v>-0.99978149999999999</v>
      </c>
      <c r="N7436">
        <v>0</v>
      </c>
      <c r="O7436">
        <v>-1.531041E-2</v>
      </c>
      <c r="P7436">
        <v>-0.99564730000000001</v>
      </c>
      <c r="Q7436">
        <v>3.3465630000000003E-2</v>
      </c>
      <c r="R7436">
        <v>-8.6987350000000005E-2</v>
      </c>
      <c r="S7436">
        <v>-2.985779</v>
      </c>
      <c r="T7436">
        <v>-5.9114809999999997E-2</v>
      </c>
      <c r="U7436">
        <v>-0.33395390000000003</v>
      </c>
      <c r="V7436">
        <v>-7.1718100000000007E-2</v>
      </c>
      <c r="W7436">
        <v>4.767453E-2</v>
      </c>
      <c r="X7436">
        <v>0.99628490000000003</v>
      </c>
      <c r="Y7436">
        <v>-9.5909359999999999E-2</v>
      </c>
      <c r="Z7436">
        <v>-6.4428849999999998E-4</v>
      </c>
      <c r="AA7436">
        <v>0.99538990000000005</v>
      </c>
      <c r="AB7436">
        <v>21</v>
      </c>
      <c r="AC7436">
        <v>-55.972200000000001</v>
      </c>
      <c r="AD7436">
        <v>-1.11052858113199</v>
      </c>
      <c r="AE7436">
        <v>-6.2719000000000102</v>
      </c>
      <c r="AF7436">
        <v>-5.4120165410269001</v>
      </c>
      <c r="AG7436">
        <v>-1.11052858113199</v>
      </c>
      <c r="AH7436">
        <v>56.039886416680702</v>
      </c>
      <c r="AI7436">
        <v>91.130011726140594</v>
      </c>
      <c r="AJ7436">
        <v>95.516196929854502</v>
      </c>
      <c r="AK7436">
        <v>56.311562457139601</v>
      </c>
      <c r="AL7436">
        <v>87.267414772179293</v>
      </c>
      <c r="AM7436">
        <v>94.117365105893299</v>
      </c>
      <c r="AN7436">
        <v>0.99999997432317</v>
      </c>
    </row>
    <row r="7437" spans="1:40" x14ac:dyDescent="0.25">
      <c r="A7437" t="str">
        <f>"20190312150837948"</f>
        <v>20190312150837948</v>
      </c>
      <c r="B7437" t="str">
        <f>"1552374517937527"</f>
        <v>1552374517937527</v>
      </c>
      <c r="C7437" t="s">
        <v>40</v>
      </c>
      <c r="D7437">
        <v>4.2473830000000001</v>
      </c>
      <c r="E7437">
        <v>0.49157600000000001</v>
      </c>
      <c r="F7437" t="s">
        <v>77</v>
      </c>
      <c r="G7437">
        <v>-420.41430000000003</v>
      </c>
      <c r="H7437" s="1">
        <v>-7.4949080000000002E-6</v>
      </c>
      <c r="I7437">
        <v>133.7988</v>
      </c>
      <c r="J7437">
        <v>-362.88470000000001</v>
      </c>
      <c r="K7437">
        <v>1.110525</v>
      </c>
      <c r="L7437">
        <v>140.26650000000001</v>
      </c>
      <c r="M7437">
        <v>-0.99978299999999998</v>
      </c>
      <c r="N7437">
        <v>0</v>
      </c>
      <c r="O7437">
        <v>-1.520201E-2</v>
      </c>
      <c r="P7437">
        <v>-0.99559149999999996</v>
      </c>
      <c r="Q7437">
        <v>3.4627900000000003E-2</v>
      </c>
      <c r="R7437">
        <v>-8.716902E-2</v>
      </c>
      <c r="S7437">
        <v>-2.985779</v>
      </c>
      <c r="T7437">
        <v>-5.7508589999999998E-2</v>
      </c>
      <c r="U7437">
        <v>-0.33502199999999999</v>
      </c>
      <c r="V7437">
        <v>-7.2009030000000002E-2</v>
      </c>
      <c r="W7437">
        <v>4.8845699999999999E-2</v>
      </c>
      <c r="X7437">
        <v>0.99620719999999996</v>
      </c>
      <c r="Y7437">
        <v>-9.6369659999999996E-2</v>
      </c>
      <c r="Z7437">
        <v>-6.3327230000000004E-4</v>
      </c>
      <c r="AA7437">
        <v>0.99534540000000005</v>
      </c>
      <c r="AB7437">
        <v>21</v>
      </c>
      <c r="AC7437">
        <v>-57.529600000000002</v>
      </c>
      <c r="AD7437">
        <v>-1.110532494908</v>
      </c>
      <c r="AE7437">
        <v>-6.4676999999999998</v>
      </c>
      <c r="AF7437">
        <v>-5.5902410860102103</v>
      </c>
      <c r="AG7437">
        <v>-1.110532494908</v>
      </c>
      <c r="AH7437">
        <v>57.600086979194401</v>
      </c>
      <c r="AI7437">
        <v>91.099364422863999</v>
      </c>
      <c r="AJ7437">
        <v>95.543346082793306</v>
      </c>
      <c r="AK7437">
        <v>57.8813795432756</v>
      </c>
      <c r="AL7437">
        <v>87.200233444195803</v>
      </c>
      <c r="AM7437">
        <v>94.134331041269903</v>
      </c>
      <c r="AN7437">
        <v>0.99999999407093498</v>
      </c>
    </row>
    <row r="7438" spans="1:40" x14ac:dyDescent="0.25">
      <c r="A7438" t="str">
        <f>"20190312150837961"</f>
        <v>20190312150837961</v>
      </c>
      <c r="B7438" t="str">
        <f>"1552374517957047"</f>
        <v>1552374517957047</v>
      </c>
      <c r="C7438" t="s">
        <v>40</v>
      </c>
      <c r="D7438">
        <v>4.2318119999999997</v>
      </c>
      <c r="E7438">
        <v>0.49164570000000002</v>
      </c>
      <c r="F7438" t="s">
        <v>77</v>
      </c>
      <c r="G7438">
        <v>-423.00439999999998</v>
      </c>
      <c r="H7438" s="1">
        <v>-7.7485039999999997E-6</v>
      </c>
      <c r="I7438">
        <v>133.50819999999999</v>
      </c>
      <c r="J7438">
        <v>-363.00920000000002</v>
      </c>
      <c r="K7438">
        <v>1.1105320000000001</v>
      </c>
      <c r="L7438">
        <v>140.2647</v>
      </c>
      <c r="M7438">
        <v>-0.99978449999999996</v>
      </c>
      <c r="N7438">
        <v>0</v>
      </c>
      <c r="O7438">
        <v>-1.509598E-2</v>
      </c>
      <c r="P7438">
        <v>-0.99548170000000002</v>
      </c>
      <c r="Q7438">
        <v>3.4887809999999998E-2</v>
      </c>
      <c r="R7438">
        <v>-8.8312890000000005E-2</v>
      </c>
      <c r="S7438">
        <v>-2.98584</v>
      </c>
      <c r="T7438">
        <v>-5.5154559999999998E-2</v>
      </c>
      <c r="U7438">
        <v>-0.33564759999999999</v>
      </c>
      <c r="V7438">
        <v>-7.3259729999999995E-2</v>
      </c>
      <c r="W7438">
        <v>4.9112900000000001E-2</v>
      </c>
      <c r="X7438">
        <v>0.99610290000000001</v>
      </c>
      <c r="Y7438">
        <v>-9.668003E-2</v>
      </c>
      <c r="Z7438">
        <v>-6.1214400000000001E-4</v>
      </c>
      <c r="AA7438">
        <v>0.99531530000000001</v>
      </c>
      <c r="AB7438">
        <v>21</v>
      </c>
      <c r="AC7438">
        <v>-59.995199999999897</v>
      </c>
      <c r="AD7438">
        <v>-1.1105397485040001</v>
      </c>
      <c r="AE7438">
        <v>-6.7565000000000097</v>
      </c>
      <c r="AF7438">
        <v>-5.8479729833436398</v>
      </c>
      <c r="AG7438">
        <v>-1.1105397485040001</v>
      </c>
      <c r="AH7438">
        <v>60.0700439611349</v>
      </c>
      <c r="AI7438">
        <v>91.054147679030194</v>
      </c>
      <c r="AJ7438">
        <v>95.560369219785201</v>
      </c>
      <c r="AK7438">
        <v>60.3642466037604</v>
      </c>
      <c r="AL7438">
        <v>87.184905705701397</v>
      </c>
      <c r="AM7438">
        <v>94.2063221269633</v>
      </c>
      <c r="AN7438">
        <v>1.0000000261872399</v>
      </c>
    </row>
    <row r="7439" spans="1:40" x14ac:dyDescent="0.25">
      <c r="A7439" t="str">
        <f>"20190312150837984"</f>
        <v>20190312150837984</v>
      </c>
      <c r="B7439" t="str">
        <f>"1552374517977547"</f>
        <v>1552374517977547</v>
      </c>
      <c r="C7439" t="s">
        <v>40</v>
      </c>
      <c r="D7439">
        <v>4.251665</v>
      </c>
      <c r="E7439">
        <v>0.497367</v>
      </c>
      <c r="F7439" t="s">
        <v>77</v>
      </c>
      <c r="G7439">
        <v>-422.99970000000002</v>
      </c>
      <c r="H7439" s="1">
        <v>-7.7282399999999994E-6</v>
      </c>
      <c r="I7439">
        <v>133.46010000000001</v>
      </c>
      <c r="J7439">
        <v>-363.20909999999998</v>
      </c>
      <c r="K7439">
        <v>1.110536</v>
      </c>
      <c r="L7439">
        <v>140.2619</v>
      </c>
      <c r="M7439">
        <v>-0.99978690000000003</v>
      </c>
      <c r="N7439">
        <v>0</v>
      </c>
      <c r="O7439">
        <v>-1.492512E-2</v>
      </c>
      <c r="P7439">
        <v>-0.99533430000000001</v>
      </c>
      <c r="Q7439">
        <v>3.5552840000000002E-2</v>
      </c>
      <c r="R7439">
        <v>-8.9697520000000003E-2</v>
      </c>
      <c r="S7439">
        <v>-2.9855040000000002</v>
      </c>
      <c r="T7439">
        <v>-5.5267450000000003E-2</v>
      </c>
      <c r="U7439">
        <v>-0.3386383</v>
      </c>
      <c r="V7439">
        <v>-7.4816469999999996E-2</v>
      </c>
      <c r="W7439">
        <v>4.9788209999999999E-2</v>
      </c>
      <c r="X7439">
        <v>0.99595359999999999</v>
      </c>
      <c r="Y7439">
        <v>-9.7846710000000003E-2</v>
      </c>
      <c r="Z7439">
        <v>-6.2734599999999998E-4</v>
      </c>
      <c r="AA7439">
        <v>0.99520129999999996</v>
      </c>
      <c r="AB7439">
        <v>21</v>
      </c>
      <c r="AC7439">
        <v>-59.790599999999998</v>
      </c>
      <c r="AD7439">
        <v>-1.1105437282399999</v>
      </c>
      <c r="AE7439">
        <v>-6.8017999999999796</v>
      </c>
      <c r="AF7439">
        <v>-5.9065579100739001</v>
      </c>
      <c r="AG7439">
        <v>-1.1105437282399999</v>
      </c>
      <c r="AH7439">
        <v>59.865077884052397</v>
      </c>
      <c r="AI7439">
        <v>91.057625167324105</v>
      </c>
      <c r="AJ7439">
        <v>95.634822194826498</v>
      </c>
      <c r="AK7439">
        <v>60.166006048108699</v>
      </c>
      <c r="AL7439">
        <v>87.146165742142699</v>
      </c>
      <c r="AM7439">
        <v>94.296015219809803</v>
      </c>
      <c r="AN7439">
        <v>0.99999997169561206</v>
      </c>
    </row>
    <row r="7440" spans="1:40" x14ac:dyDescent="0.25">
      <c r="A7440" t="str">
        <f>"20190312150838005"</f>
        <v>20190312150838005</v>
      </c>
      <c r="B7440" t="str">
        <f>"1552374517997063"</f>
        <v>1552374517997063</v>
      </c>
      <c r="C7440" t="s">
        <v>40</v>
      </c>
      <c r="D7440">
        <v>4.221031</v>
      </c>
      <c r="E7440">
        <v>0.49233830000000001</v>
      </c>
      <c r="F7440" t="s">
        <v>42</v>
      </c>
      <c r="G7440">
        <v>-389.92520000000002</v>
      </c>
      <c r="H7440" s="1">
        <v>-5.5353580000000003E-7</v>
      </c>
      <c r="I7440">
        <v>137.57900000000001</v>
      </c>
      <c r="J7440">
        <v>-363.40640000000002</v>
      </c>
      <c r="K7440">
        <v>1.1105309999999999</v>
      </c>
      <c r="L7440">
        <v>140.25909999999999</v>
      </c>
      <c r="M7440">
        <v>-0.99978920000000004</v>
      </c>
      <c r="N7440">
        <v>0</v>
      </c>
      <c r="O7440">
        <v>-1.475219E-2</v>
      </c>
      <c r="P7440">
        <v>-0.99517880000000003</v>
      </c>
      <c r="Q7440">
        <v>3.5756469999999999E-2</v>
      </c>
      <c r="R7440">
        <v>-9.1326039999999997E-2</v>
      </c>
      <c r="S7440">
        <v>-2.9913940000000001</v>
      </c>
      <c r="T7440">
        <v>-0.1243467</v>
      </c>
      <c r="U7440">
        <v>-0.3003845</v>
      </c>
      <c r="V7440">
        <v>-7.6619240000000005E-2</v>
      </c>
      <c r="W7440">
        <v>4.9999189999999999E-2</v>
      </c>
      <c r="X7440">
        <v>0.99580599999999997</v>
      </c>
      <c r="Y7440">
        <v>-8.5162849999999998E-2</v>
      </c>
      <c r="Z7440">
        <v>-1.153481E-3</v>
      </c>
      <c r="AA7440">
        <v>0.99636639999999999</v>
      </c>
      <c r="AB7440">
        <v>21</v>
      </c>
      <c r="AC7440">
        <v>-26.518799999999999</v>
      </c>
      <c r="AD7440">
        <v>-1.1105315535358</v>
      </c>
      <c r="AE7440">
        <v>-2.6800999999999799</v>
      </c>
      <c r="AF7440">
        <v>-2.2845920522470502</v>
      </c>
      <c r="AG7440">
        <v>-1.1105315535358</v>
      </c>
      <c r="AH7440">
        <v>26.5094356012814</v>
      </c>
      <c r="AI7440">
        <v>92.389979963485104</v>
      </c>
      <c r="AJ7440">
        <v>94.925599330510906</v>
      </c>
      <c r="AK7440">
        <v>26.630862116632201</v>
      </c>
      <c r="AL7440">
        <v>87.134062508873598</v>
      </c>
      <c r="AM7440">
        <v>94.399779455843898</v>
      </c>
      <c r="AN7440">
        <v>1.0000000082874101</v>
      </c>
    </row>
    <row r="7441" spans="1:40" x14ac:dyDescent="0.25">
      <c r="A7441" t="str">
        <f>"20190312150838021"</f>
        <v>20190312150838021</v>
      </c>
      <c r="B7441" t="str">
        <f>"1552374518017560"</f>
        <v>1552374518017560</v>
      </c>
      <c r="C7441" t="s">
        <v>40</v>
      </c>
      <c r="D7441">
        <v>4.2053479999999999</v>
      </c>
      <c r="E7441">
        <v>0.49229289999999998</v>
      </c>
      <c r="F7441" t="s">
        <v>77</v>
      </c>
      <c r="G7441">
        <v>-405.2183</v>
      </c>
      <c r="H7441" s="1">
        <v>-5.798537E-6</v>
      </c>
      <c r="I7441">
        <v>135.45320000000001</v>
      </c>
      <c r="J7441">
        <v>-363.55680000000001</v>
      </c>
      <c r="K7441">
        <v>1.1105309999999999</v>
      </c>
      <c r="L7441">
        <v>140.25700000000001</v>
      </c>
      <c r="M7441">
        <v>-0.99979119999999999</v>
      </c>
      <c r="N7441">
        <v>0</v>
      </c>
      <c r="O7441">
        <v>-1.461522E-2</v>
      </c>
      <c r="P7441">
        <v>-0.99514480000000005</v>
      </c>
      <c r="Q7441">
        <v>3.5191920000000002E-2</v>
      </c>
      <c r="R7441">
        <v>-9.1914629999999997E-2</v>
      </c>
      <c r="S7441">
        <v>-2.9859010000000001</v>
      </c>
      <c r="T7441">
        <v>-7.9306479999999999E-2</v>
      </c>
      <c r="U7441">
        <v>-0.34320070000000003</v>
      </c>
      <c r="V7441">
        <v>-7.7345010000000006E-2</v>
      </c>
      <c r="W7441">
        <v>4.9441029999999997E-2</v>
      </c>
      <c r="X7441">
        <v>0.99577769999999999</v>
      </c>
      <c r="Y7441">
        <v>-9.9625740000000004E-2</v>
      </c>
      <c r="Z7441">
        <v>-9.3168259999999996E-4</v>
      </c>
      <c r="AA7441">
        <v>0.99502460000000004</v>
      </c>
      <c r="AB7441">
        <v>20</v>
      </c>
      <c r="AC7441">
        <v>-41.661499999999897</v>
      </c>
      <c r="AD7441">
        <v>-1.1105367985369901</v>
      </c>
      <c r="AE7441">
        <v>-4.8037999999999901</v>
      </c>
      <c r="AF7441">
        <v>-4.1913935931189101</v>
      </c>
      <c r="AG7441">
        <v>-1.1105367985369901</v>
      </c>
      <c r="AH7441">
        <v>41.698025187213702</v>
      </c>
      <c r="AI7441">
        <v>91.517943006896203</v>
      </c>
      <c r="AJ7441">
        <v>95.739965421770904</v>
      </c>
      <c r="AK7441">
        <v>41.922862220354801</v>
      </c>
      <c r="AL7441">
        <v>87.166082149675006</v>
      </c>
      <c r="AM7441">
        <v>94.441415785647706</v>
      </c>
      <c r="AN7441">
        <v>0.99999994691832395</v>
      </c>
    </row>
    <row r="7442" spans="1:40" x14ac:dyDescent="0.25">
      <c r="A7442" t="str">
        <f>"20190312150838035"</f>
        <v>20190312150838035</v>
      </c>
      <c r="B7442" t="str">
        <f>"1552374518027319"</f>
        <v>1552374518027319</v>
      </c>
      <c r="C7442" t="s">
        <v>40</v>
      </c>
      <c r="D7442">
        <v>4.2006259999999997</v>
      </c>
      <c r="E7442">
        <v>0.49229289999999998</v>
      </c>
      <c r="F7442" t="s">
        <v>77</v>
      </c>
      <c r="G7442">
        <v>-406.74779999999998</v>
      </c>
      <c r="H7442" s="1">
        <v>-6.7536059999999998E-6</v>
      </c>
      <c r="I7442">
        <v>135.26429999999999</v>
      </c>
      <c r="J7442">
        <v>-363.66989999999998</v>
      </c>
      <c r="K7442">
        <v>1.1105290000000001</v>
      </c>
      <c r="L7442">
        <v>140.25550000000001</v>
      </c>
      <c r="M7442">
        <v>-0.99979280000000004</v>
      </c>
      <c r="N7442">
        <v>0</v>
      </c>
      <c r="O7442">
        <v>-1.45091E-2</v>
      </c>
      <c r="P7442">
        <v>-0.99507559999999995</v>
      </c>
      <c r="Q7442">
        <v>3.5110379999999997E-2</v>
      </c>
      <c r="R7442">
        <v>-9.2693139999999993E-2</v>
      </c>
      <c r="S7442">
        <v>-2.9854430000000001</v>
      </c>
      <c r="T7442">
        <v>-7.6762440000000001E-2</v>
      </c>
      <c r="U7442">
        <v>-0.34510800000000003</v>
      </c>
      <c r="V7442">
        <v>-7.8229889999999996E-2</v>
      </c>
      <c r="W7442">
        <v>4.9362919999999998E-2</v>
      </c>
      <c r="X7442">
        <v>0.9957125</v>
      </c>
      <c r="Y7442">
        <v>-0.1003776</v>
      </c>
      <c r="Z7442">
        <v>-9.1426020000000003E-4</v>
      </c>
      <c r="AA7442">
        <v>0.99494899999999997</v>
      </c>
      <c r="AB7442">
        <v>20</v>
      </c>
      <c r="AC7442">
        <v>-43.0779</v>
      </c>
      <c r="AD7442">
        <v>-1.1105357536059901</v>
      </c>
      <c r="AE7442">
        <v>-4.9912000000000196</v>
      </c>
      <c r="AF7442">
        <v>-4.3627282024159699</v>
      </c>
      <c r="AG7442">
        <v>-1.1105357536059901</v>
      </c>
      <c r="AH7442">
        <v>43.117513766194897</v>
      </c>
      <c r="AI7442">
        <v>91.467893730108202</v>
      </c>
      <c r="AJ7442">
        <v>95.777654026260393</v>
      </c>
      <c r="AK7442">
        <v>43.351893619612497</v>
      </c>
      <c r="AL7442">
        <v>87.170563139423393</v>
      </c>
      <c r="AM7442">
        <v>94.492314772799304</v>
      </c>
      <c r="AN7442">
        <v>0.99999999810829399</v>
      </c>
    </row>
    <row r="7443" spans="1:40" x14ac:dyDescent="0.25">
      <c r="A7443" t="str">
        <f>"20190312150838049"</f>
        <v>20190312150838049</v>
      </c>
      <c r="B7443" t="str">
        <f>"1552374518037080"</f>
        <v>1552374518037080</v>
      </c>
      <c r="C7443" t="s">
        <v>40</v>
      </c>
      <c r="D7443">
        <v>4.2343849999999996</v>
      </c>
      <c r="E7443">
        <v>0.49274299999999999</v>
      </c>
      <c r="F7443" t="s">
        <v>77</v>
      </c>
      <c r="G7443">
        <v>-406.71010000000001</v>
      </c>
      <c r="H7443" s="1">
        <v>-6.7196849999999899E-6</v>
      </c>
      <c r="I7443">
        <v>135.2467</v>
      </c>
      <c r="J7443">
        <v>-363.80939999999998</v>
      </c>
      <c r="K7443">
        <v>1.110527</v>
      </c>
      <c r="L7443">
        <v>140.25360000000001</v>
      </c>
      <c r="M7443">
        <v>-0.99979470000000004</v>
      </c>
      <c r="N7443">
        <v>0</v>
      </c>
      <c r="O7443">
        <v>-1.437447E-2</v>
      </c>
      <c r="P7443">
        <v>-0.99497259999999998</v>
      </c>
      <c r="Q7443">
        <v>3.5268609999999999E-2</v>
      </c>
      <c r="R7443">
        <v>-9.3734040000000005E-2</v>
      </c>
      <c r="S7443">
        <v>-2.9851380000000001</v>
      </c>
      <c r="T7443">
        <v>-7.7023389999999997E-2</v>
      </c>
      <c r="U7443">
        <v>-0.34739690000000001</v>
      </c>
      <c r="V7443">
        <v>-7.940527E-2</v>
      </c>
      <c r="W7443">
        <v>4.9525329999999999E-2</v>
      </c>
      <c r="X7443">
        <v>0.99561140000000004</v>
      </c>
      <c r="Y7443">
        <v>-0.1012753</v>
      </c>
      <c r="Z7443">
        <v>-9.3242179999999996E-4</v>
      </c>
      <c r="AA7443">
        <v>0.99485800000000002</v>
      </c>
      <c r="AB7443">
        <v>20</v>
      </c>
      <c r="AC7443">
        <v>-42.900700000000001</v>
      </c>
      <c r="AD7443">
        <v>-1.110533719685</v>
      </c>
      <c r="AE7443">
        <v>-5.0068999999999999</v>
      </c>
      <c r="AF7443">
        <v>-4.3867448531724103</v>
      </c>
      <c r="AG7443">
        <v>-1.110533719685</v>
      </c>
      <c r="AH7443">
        <v>42.9398585370649</v>
      </c>
      <c r="AI7443">
        <v>91.473816498449196</v>
      </c>
      <c r="AJ7443">
        <v>95.833112058964403</v>
      </c>
      <c r="AK7443">
        <v>43.177636187412297</v>
      </c>
      <c r="AL7443">
        <v>87.161246363099906</v>
      </c>
      <c r="AM7443">
        <v>94.5599889624106</v>
      </c>
      <c r="AN7443">
        <v>1.00000000751267</v>
      </c>
    </row>
    <row r="7444" spans="1:40" x14ac:dyDescent="0.25">
      <c r="A7444" t="str">
        <f>"20190312150838062"</f>
        <v>20190312150838062</v>
      </c>
      <c r="B7444" t="str">
        <f>"1552374518057576"</f>
        <v>1552374518057576</v>
      </c>
      <c r="C7444" t="s">
        <v>40</v>
      </c>
      <c r="D7444">
        <v>4.2344030000000004</v>
      </c>
      <c r="E7444">
        <v>0.4930949</v>
      </c>
      <c r="F7444" t="s">
        <v>77</v>
      </c>
      <c r="G7444">
        <v>-407.86180000000002</v>
      </c>
      <c r="H7444" s="1">
        <v>-7.4127250000000003E-6</v>
      </c>
      <c r="I7444">
        <v>135.13290000000001</v>
      </c>
      <c r="J7444">
        <v>-363.92950000000002</v>
      </c>
      <c r="K7444">
        <v>1.110527</v>
      </c>
      <c r="L7444">
        <v>140.25200000000001</v>
      </c>
      <c r="M7444">
        <v>-0.99979620000000002</v>
      </c>
      <c r="N7444">
        <v>0</v>
      </c>
      <c r="O7444">
        <v>-1.425413E-2</v>
      </c>
      <c r="P7444">
        <v>-0.99489689999999997</v>
      </c>
      <c r="Q7444">
        <v>3.5456219999999997E-2</v>
      </c>
      <c r="R7444">
        <v>-9.4460589999999997E-2</v>
      </c>
      <c r="S7444">
        <v>-2.9851679999999998</v>
      </c>
      <c r="T7444">
        <v>-7.5254199999999993E-2</v>
      </c>
      <c r="U7444">
        <v>-0.34700009999999998</v>
      </c>
      <c r="V7444">
        <v>-8.0251890000000006E-2</v>
      </c>
      <c r="W7444">
        <v>4.9715830000000003E-2</v>
      </c>
      <c r="X7444">
        <v>0.99553400000000003</v>
      </c>
      <c r="Y7444">
        <v>-0.1012647</v>
      </c>
      <c r="Z7444">
        <v>-9.1389749999999995E-4</v>
      </c>
      <c r="AA7444">
        <v>0.9948591</v>
      </c>
      <c r="AB7444">
        <v>20</v>
      </c>
      <c r="AC7444">
        <v>-43.932299999999998</v>
      </c>
      <c r="AD7444">
        <v>-1.1105344127249901</v>
      </c>
      <c r="AE7444">
        <v>-5.1191000000000004</v>
      </c>
      <c r="AF7444">
        <v>-4.4894687885606297</v>
      </c>
      <c r="AG7444">
        <v>-1.1105344127249901</v>
      </c>
      <c r="AH7444">
        <v>43.973089444443502</v>
      </c>
      <c r="AI7444">
        <v>91.439211391649195</v>
      </c>
      <c r="AJ7444">
        <v>95.829461225720905</v>
      </c>
      <c r="AK7444">
        <v>44.215621809201501</v>
      </c>
      <c r="AL7444">
        <v>87.150317997602599</v>
      </c>
      <c r="AM7444">
        <v>94.608756053153201</v>
      </c>
      <c r="AN7444">
        <v>0.99999998737857998</v>
      </c>
    </row>
    <row r="7445" spans="1:40" x14ac:dyDescent="0.25">
      <c r="A7445" t="str">
        <f>"20190312150838074"</f>
        <v>20190312150838074</v>
      </c>
      <c r="B7445" t="str">
        <f>"1552374518067335"</f>
        <v>1552374518067335</v>
      </c>
      <c r="C7445" t="s">
        <v>40</v>
      </c>
      <c r="D7445">
        <v>4.4057440000000003</v>
      </c>
      <c r="E7445">
        <v>0.4930949</v>
      </c>
      <c r="F7445" t="s">
        <v>77</v>
      </c>
      <c r="G7445">
        <v>-410.4074</v>
      </c>
      <c r="H7445" s="1">
        <v>-8.5606749999999907E-6</v>
      </c>
      <c r="I7445">
        <v>134.86439999999999</v>
      </c>
      <c r="J7445">
        <v>-364.03359999999998</v>
      </c>
      <c r="K7445">
        <v>1.110525</v>
      </c>
      <c r="L7445">
        <v>140.25059999999999</v>
      </c>
      <c r="M7445">
        <v>-0.99979779999999996</v>
      </c>
      <c r="N7445">
        <v>0</v>
      </c>
      <c r="O7445">
        <v>-1.41444E-2</v>
      </c>
      <c r="P7445">
        <v>-0.99482300000000001</v>
      </c>
      <c r="Q7445">
        <v>3.6297469999999998E-2</v>
      </c>
      <c r="R7445">
        <v>-9.4920130000000005E-2</v>
      </c>
      <c r="S7445">
        <v>-2.985077</v>
      </c>
      <c r="T7445">
        <v>-7.1324940000000003E-2</v>
      </c>
      <c r="U7445">
        <v>-0.34602359999999999</v>
      </c>
      <c r="V7445">
        <v>-8.0821420000000005E-2</v>
      </c>
      <c r="W7445">
        <v>5.0558770000000003E-2</v>
      </c>
      <c r="X7445">
        <v>0.99544549999999998</v>
      </c>
      <c r="Y7445">
        <v>-0.101059</v>
      </c>
      <c r="Z7445">
        <v>-8.6639949999999996E-4</v>
      </c>
      <c r="AA7445">
        <v>0.99488010000000004</v>
      </c>
      <c r="AB7445">
        <v>20</v>
      </c>
      <c r="AC7445">
        <v>-46.373800000000003</v>
      </c>
      <c r="AD7445">
        <v>-1.110533560675</v>
      </c>
      <c r="AE7445">
        <v>-5.3861999999999997</v>
      </c>
      <c r="AF7445">
        <v>-4.7269897324921697</v>
      </c>
      <c r="AG7445">
        <v>-1.110533560675</v>
      </c>
      <c r="AH7445">
        <v>46.419086239826498</v>
      </c>
      <c r="AI7445">
        <v>91.363438451514597</v>
      </c>
      <c r="AJ7445">
        <v>95.814551284162704</v>
      </c>
      <c r="AK7445">
        <v>46.672361029424302</v>
      </c>
      <c r="AL7445">
        <v>87.101960360156994</v>
      </c>
      <c r="AM7445">
        <v>94.641731817150998</v>
      </c>
      <c r="AN7445">
        <v>1.0000000173124799</v>
      </c>
    </row>
    <row r="7446" spans="1:40" x14ac:dyDescent="0.25">
      <c r="A7446" t="str">
        <f>"20190312150838086"</f>
        <v>20190312150838086</v>
      </c>
      <c r="B7446" t="str">
        <f>"1552374518077095"</f>
        <v>1552374518077095</v>
      </c>
      <c r="C7446" t="s">
        <v>40</v>
      </c>
      <c r="D7446">
        <v>4.2189300000000003</v>
      </c>
      <c r="E7446">
        <v>0.4934403</v>
      </c>
      <c r="F7446" t="s">
        <v>77</v>
      </c>
      <c r="G7446">
        <v>-412.2133</v>
      </c>
      <c r="H7446" s="1">
        <v>-8.3051199999999992E-6</v>
      </c>
      <c r="I7446">
        <v>134.64269999999999</v>
      </c>
      <c r="J7446">
        <v>-364.14640000000003</v>
      </c>
      <c r="K7446">
        <v>1.1105240000000001</v>
      </c>
      <c r="L7446">
        <v>140.2492</v>
      </c>
      <c r="M7446">
        <v>-0.9997994</v>
      </c>
      <c r="N7446">
        <v>0</v>
      </c>
      <c r="O7446">
        <v>-1.402309E-2</v>
      </c>
      <c r="P7446">
        <v>-0.99477340000000003</v>
      </c>
      <c r="Q7446">
        <v>3.702167E-2</v>
      </c>
      <c r="R7446">
        <v>-9.5159419999999995E-2</v>
      </c>
      <c r="S7446">
        <v>-2.984985</v>
      </c>
      <c r="T7446">
        <v>-6.8803310000000006E-2</v>
      </c>
      <c r="U7446">
        <v>-0.34744259999999999</v>
      </c>
      <c r="V7446">
        <v>-8.1181050000000005E-2</v>
      </c>
      <c r="W7446">
        <v>5.128547E-2</v>
      </c>
      <c r="X7446">
        <v>0.99537900000000001</v>
      </c>
      <c r="Y7446">
        <v>-0.1016514</v>
      </c>
      <c r="Z7446">
        <v>-8.4536819999999995E-4</v>
      </c>
      <c r="AA7446">
        <v>0.99481969999999997</v>
      </c>
      <c r="AB7446">
        <v>20</v>
      </c>
      <c r="AC7446">
        <v>-48.066899999999897</v>
      </c>
      <c r="AD7446">
        <v>-1.11053230512</v>
      </c>
      <c r="AE7446">
        <v>-5.6065000000000103</v>
      </c>
      <c r="AF7446">
        <v>-4.9292373485593002</v>
      </c>
      <c r="AG7446">
        <v>-1.11053230512</v>
      </c>
      <c r="AH7446">
        <v>48.115462380450097</v>
      </c>
      <c r="AI7446">
        <v>91.315302789840999</v>
      </c>
      <c r="AJ7446">
        <v>95.849317980696995</v>
      </c>
      <c r="AK7446">
        <v>48.380041162897498</v>
      </c>
      <c r="AL7446">
        <v>87.060269253718602</v>
      </c>
      <c r="AM7446">
        <v>94.662605324933196</v>
      </c>
      <c r="AN7446">
        <v>0.99999995797661001</v>
      </c>
    </row>
    <row r="7447" spans="1:40" x14ac:dyDescent="0.25">
      <c r="A7447" t="str">
        <f>"20190312150838098"</f>
        <v>20190312150838098</v>
      </c>
      <c r="B7447" t="str">
        <f>"1552374518087831"</f>
        <v>1552374518087831</v>
      </c>
      <c r="C7447" t="s">
        <v>40</v>
      </c>
      <c r="D7447">
        <v>4.2236770000000003</v>
      </c>
      <c r="E7447">
        <v>0.49350060000000001</v>
      </c>
      <c r="F7447" t="s">
        <v>77</v>
      </c>
      <c r="G7447">
        <v>-414.99540000000002</v>
      </c>
      <c r="H7447" s="1">
        <v>-7.9485810000000001E-6</v>
      </c>
      <c r="I7447">
        <v>134.3665</v>
      </c>
      <c r="J7447">
        <v>-364.25709999999998</v>
      </c>
      <c r="K7447">
        <v>1.1105229999999999</v>
      </c>
      <c r="L7447">
        <v>140.24780000000001</v>
      </c>
      <c r="M7447">
        <v>-0.99980119999999895</v>
      </c>
      <c r="N7447">
        <v>0</v>
      </c>
      <c r="O7447">
        <v>-1.389845E-2</v>
      </c>
      <c r="P7447">
        <v>-0.99470069999999999</v>
      </c>
      <c r="Q7447">
        <v>3.7737079999999999E-2</v>
      </c>
      <c r="R7447">
        <v>-9.5638509999999996E-2</v>
      </c>
      <c r="S7447">
        <v>-2.9851679999999998</v>
      </c>
      <c r="T7447">
        <v>-6.5195439999999993E-2</v>
      </c>
      <c r="U7447">
        <v>-0.3453522</v>
      </c>
      <c r="V7447">
        <v>-8.1784579999999996E-2</v>
      </c>
      <c r="W7447">
        <v>5.2002630000000001E-2</v>
      </c>
      <c r="X7447">
        <v>0.99529239999999997</v>
      </c>
      <c r="Y7447">
        <v>-0.10108350000000001</v>
      </c>
      <c r="Z7447">
        <v>-7.9756429999999995E-4</v>
      </c>
      <c r="AA7447">
        <v>0.99487760000000003</v>
      </c>
      <c r="AB7447">
        <v>20</v>
      </c>
      <c r="AC7447">
        <v>-50.738300000000002</v>
      </c>
      <c r="AD7447">
        <v>-1.110530948581</v>
      </c>
      <c r="AE7447">
        <v>-5.8813000000000004</v>
      </c>
      <c r="AF7447">
        <v>-5.1730306820423797</v>
      </c>
      <c r="AG7447">
        <v>-1.110530948581</v>
      </c>
      <c r="AH7447">
        <v>50.791138203515999</v>
      </c>
      <c r="AI7447">
        <v>91.246108775506897</v>
      </c>
      <c r="AJ7447">
        <v>95.815469326620004</v>
      </c>
      <c r="AK7447">
        <v>51.065969543657602</v>
      </c>
      <c r="AL7447">
        <v>87.019124158545296</v>
      </c>
      <c r="AM7447">
        <v>94.697521192510393</v>
      </c>
      <c r="AN7447">
        <v>0.99999997627522597</v>
      </c>
    </row>
    <row r="7448" spans="1:40" x14ac:dyDescent="0.25">
      <c r="A7448" t="str">
        <f>"20190312150838117"</f>
        <v>20190312150838117</v>
      </c>
      <c r="B7448" t="str">
        <f>"1552374518107351"</f>
        <v>1552374518107351</v>
      </c>
      <c r="C7448" t="s">
        <v>40</v>
      </c>
      <c r="D7448">
        <v>4.192882</v>
      </c>
      <c r="E7448">
        <v>0.49372310000000003</v>
      </c>
      <c r="F7448" t="s">
        <v>77</v>
      </c>
      <c r="G7448">
        <v>-417.03399999999999</v>
      </c>
      <c r="H7448" s="1">
        <v>-7.7316139999999904E-6</v>
      </c>
      <c r="I7448">
        <v>134.12430000000001</v>
      </c>
      <c r="J7448">
        <v>-364.41890000000001</v>
      </c>
      <c r="K7448">
        <v>1.110525</v>
      </c>
      <c r="L7448">
        <v>140.2457</v>
      </c>
      <c r="M7448">
        <v>-0.99980380000000002</v>
      </c>
      <c r="N7448">
        <v>0</v>
      </c>
      <c r="O7448">
        <v>-1.370976E-2</v>
      </c>
      <c r="P7448">
        <v>-0.99457899999999999</v>
      </c>
      <c r="Q7448">
        <v>3.8576069999999997E-2</v>
      </c>
      <c r="R7448">
        <v>-9.6564200000000003E-2</v>
      </c>
      <c r="S7448">
        <v>-2.985077</v>
      </c>
      <c r="T7448">
        <v>-6.2811969999999995E-2</v>
      </c>
      <c r="U7448">
        <v>-0.34634399999999999</v>
      </c>
      <c r="V7448">
        <v>-8.2898050000000001E-2</v>
      </c>
      <c r="W7448">
        <v>5.2843090000000002E-2</v>
      </c>
      <c r="X7448">
        <v>0.99515600000000004</v>
      </c>
      <c r="Y7448">
        <v>-0.1016022</v>
      </c>
      <c r="Z7448">
        <v>-7.7781539999999998E-4</v>
      </c>
      <c r="AA7448">
        <v>0.99482479999999995</v>
      </c>
      <c r="AB7448">
        <v>20</v>
      </c>
      <c r="AC7448">
        <v>-52.615099999999899</v>
      </c>
      <c r="AD7448">
        <v>-1.1105327316139999</v>
      </c>
      <c r="AE7448">
        <v>-6.1213999999999897</v>
      </c>
      <c r="AF7448">
        <v>-5.3970382080538197</v>
      </c>
      <c r="AG7448">
        <v>-1.1105327316139999</v>
      </c>
      <c r="AH7448">
        <v>52.670934337170998</v>
      </c>
      <c r="AI7448">
        <v>91.201576001514297</v>
      </c>
      <c r="AJ7448">
        <v>95.850513886364993</v>
      </c>
      <c r="AK7448">
        <v>52.958366934014897</v>
      </c>
      <c r="AL7448">
        <v>86.970903025758105</v>
      </c>
      <c r="AM7448">
        <v>94.7618339207106</v>
      </c>
      <c r="AN7448">
        <v>0.99999997159527498</v>
      </c>
    </row>
    <row r="7449" spans="1:40" x14ac:dyDescent="0.25">
      <c r="A7449" t="str">
        <f>"20190312150838130"</f>
        <v>20190312150838130</v>
      </c>
      <c r="B7449" t="str">
        <f>"1552374518127848"</f>
        <v>1552374518127848</v>
      </c>
      <c r="C7449" t="s">
        <v>40</v>
      </c>
      <c r="D7449">
        <v>4.5039319999999998</v>
      </c>
      <c r="E7449">
        <v>0.49389509999999998</v>
      </c>
      <c r="F7449" t="s">
        <v>77</v>
      </c>
      <c r="G7449">
        <v>-418.8</v>
      </c>
      <c r="H7449" s="1">
        <v>-7.5459609999999901E-6</v>
      </c>
      <c r="I7449">
        <v>133.92019999999999</v>
      </c>
      <c r="J7449">
        <v>-364.54419999999999</v>
      </c>
      <c r="K7449">
        <v>1.11053</v>
      </c>
      <c r="L7449">
        <v>140.24420000000001</v>
      </c>
      <c r="M7449">
        <v>-0.99980590000000003</v>
      </c>
      <c r="N7449">
        <v>0</v>
      </c>
      <c r="O7449">
        <v>-1.355842E-2</v>
      </c>
      <c r="P7449">
        <v>-0.99452359999999995</v>
      </c>
      <c r="Q7449">
        <v>3.9491360000000003E-2</v>
      </c>
      <c r="R7449">
        <v>-9.6763440000000006E-2</v>
      </c>
      <c r="S7449">
        <v>-2.9850159999999999</v>
      </c>
      <c r="T7449">
        <v>-6.0957789999999998E-2</v>
      </c>
      <c r="U7449">
        <v>-0.34721370000000001</v>
      </c>
      <c r="V7449">
        <v>-8.3248459999999996E-2</v>
      </c>
      <c r="W7449">
        <v>5.3758750000000001E-2</v>
      </c>
      <c r="X7449">
        <v>0.99507769999999995</v>
      </c>
      <c r="Y7449">
        <v>-0.1020421</v>
      </c>
      <c r="Z7449">
        <v>-7.6241729999999895E-4</v>
      </c>
      <c r="AA7449">
        <v>0.99477979999999999</v>
      </c>
      <c r="AB7449">
        <v>20</v>
      </c>
      <c r="AC7449">
        <v>-54.255800000000001</v>
      </c>
      <c r="AD7449">
        <v>-1.1105375459610001</v>
      </c>
      <c r="AE7449">
        <v>-6.3240000000000096</v>
      </c>
      <c r="AF7449">
        <v>-5.58541178417775</v>
      </c>
      <c r="AG7449">
        <v>-1.1105375459610001</v>
      </c>
      <c r="AH7449">
        <v>54.314113506961299</v>
      </c>
      <c r="AI7449">
        <v>91.165196058679001</v>
      </c>
      <c r="AJ7449">
        <v>95.871393663119505</v>
      </c>
      <c r="AK7449">
        <v>54.611839783025999</v>
      </c>
      <c r="AL7449">
        <v>86.9183648782506</v>
      </c>
      <c r="AM7449">
        <v>94.782243573442699</v>
      </c>
      <c r="AN7449">
        <v>0.99999996916561096</v>
      </c>
    </row>
    <row r="7450" spans="1:40" x14ac:dyDescent="0.25">
      <c r="A7450" t="str">
        <f>"20190312150838151"</f>
        <v>20190312150838151</v>
      </c>
      <c r="B7450" t="str">
        <f>"1552374518147368"</f>
        <v>1552374518147368</v>
      </c>
      <c r="C7450" t="s">
        <v>40</v>
      </c>
      <c r="D7450">
        <v>4.1976370000000003</v>
      </c>
      <c r="E7450">
        <v>0.49701519999999999</v>
      </c>
      <c r="F7450" t="s">
        <v>77</v>
      </c>
      <c r="G7450">
        <v>-420.64929999999998</v>
      </c>
      <c r="H7450" s="1">
        <v>-7.5009090000000001E-6</v>
      </c>
      <c r="I7450">
        <v>133.73070000000001</v>
      </c>
      <c r="J7450">
        <v>-364.7235</v>
      </c>
      <c r="K7450">
        <v>1.1105339999999999</v>
      </c>
      <c r="L7450">
        <v>140.24199999999999</v>
      </c>
      <c r="M7450">
        <v>-0.99980899999999995</v>
      </c>
      <c r="N7450">
        <v>0</v>
      </c>
      <c r="O7450">
        <v>-1.333556E-2</v>
      </c>
      <c r="P7450">
        <v>-0.9943864</v>
      </c>
      <c r="Q7450">
        <v>4.12772E-2</v>
      </c>
      <c r="R7450">
        <v>-9.7426940000000004E-2</v>
      </c>
      <c r="S7450">
        <v>-2.9851380000000001</v>
      </c>
      <c r="T7450">
        <v>-5.9087399999999998E-2</v>
      </c>
      <c r="U7450">
        <v>-0.34655760000000002</v>
      </c>
      <c r="V7450">
        <v>-8.4134120000000007E-2</v>
      </c>
      <c r="W7450">
        <v>5.5544690000000001E-2</v>
      </c>
      <c r="X7450">
        <v>0.99490509999999999</v>
      </c>
      <c r="Y7450">
        <v>-0.1020445</v>
      </c>
      <c r="Z7450">
        <v>-7.4342560000000002E-4</v>
      </c>
      <c r="AA7450">
        <v>0.99477959999999999</v>
      </c>
      <c r="AB7450">
        <v>20</v>
      </c>
      <c r="AC7450">
        <v>-55.925799999999903</v>
      </c>
      <c r="AD7450">
        <v>-1.1105415009089901</v>
      </c>
      <c r="AE7450">
        <v>-6.5113000000000003</v>
      </c>
      <c r="AF7450">
        <v>-5.7626009884042704</v>
      </c>
      <c r="AG7450">
        <v>-1.1105415009089901</v>
      </c>
      <c r="AH7450">
        <v>55.985885694565901</v>
      </c>
      <c r="AI7450">
        <v>91.130404962185906</v>
      </c>
      <c r="AJ7450">
        <v>95.876732397669699</v>
      </c>
      <c r="AK7450">
        <v>56.292630686278898</v>
      </c>
      <c r="AL7450">
        <v>86.815884850207496</v>
      </c>
      <c r="AM7450">
        <v>94.8337154269325</v>
      </c>
      <c r="AN7450">
        <v>0.99999996037068895</v>
      </c>
    </row>
    <row r="7451" spans="1:40" x14ac:dyDescent="0.25">
      <c r="A7451" t="str">
        <f>"20190312150838172"</f>
        <v>20190312150838172</v>
      </c>
      <c r="B7451" t="str">
        <f>"1552374518166889"</f>
        <v>1552374518166889</v>
      </c>
      <c r="C7451" t="s">
        <v>40</v>
      </c>
      <c r="D7451">
        <v>4.1838759999999997</v>
      </c>
      <c r="E7451">
        <v>0.49677070000000001</v>
      </c>
      <c r="F7451" t="s">
        <v>48</v>
      </c>
      <c r="G7451">
        <v>0</v>
      </c>
      <c r="H7451">
        <v>0</v>
      </c>
      <c r="I7451">
        <v>0</v>
      </c>
      <c r="J7451">
        <v>-364.92239999999998</v>
      </c>
      <c r="K7451">
        <v>1.110535</v>
      </c>
      <c r="L7451">
        <v>140.2396</v>
      </c>
      <c r="M7451">
        <v>-0.99981209999999998</v>
      </c>
      <c r="N7451">
        <v>0</v>
      </c>
      <c r="O7451">
        <v>-1.3081499999999999E-2</v>
      </c>
      <c r="P7451">
        <v>-0.99431659999999999</v>
      </c>
      <c r="Q7451">
        <v>4.1408889999999997E-2</v>
      </c>
      <c r="R7451">
        <v>-9.808248E-2</v>
      </c>
      <c r="S7451">
        <v>-2.9858090000000002</v>
      </c>
      <c r="T7451">
        <v>-1.004791E-2</v>
      </c>
      <c r="U7451">
        <v>-0.32202150000000002</v>
      </c>
      <c r="V7451">
        <v>-8.5043389999999996E-2</v>
      </c>
      <c r="W7451">
        <v>5.5675620000000002E-2</v>
      </c>
      <c r="X7451">
        <v>0.9948205</v>
      </c>
      <c r="Y7451">
        <v>-9.4211790000000004E-2</v>
      </c>
      <c r="Z7451">
        <v>-1.141724E-4</v>
      </c>
      <c r="AA7451">
        <v>0.9955522</v>
      </c>
      <c r="AB7451">
        <v>20</v>
      </c>
      <c r="AC7451">
        <v>-2.9858090000000002</v>
      </c>
      <c r="AD7451">
        <v>-1.004791E-2</v>
      </c>
      <c r="AE7451">
        <v>-0.32202150000000002</v>
      </c>
      <c r="AF7451">
        <v>-0.28292791534350797</v>
      </c>
      <c r="AG7451">
        <v>-1.004791E-2</v>
      </c>
      <c r="AH7451">
        <v>2.9897329492886899</v>
      </c>
      <c r="AI7451">
        <v>90.191702756599</v>
      </c>
      <c r="AJ7451">
        <v>95.405982127430505</v>
      </c>
      <c r="AK7451">
        <v>3.00310710329126</v>
      </c>
      <c r="AL7451">
        <v>86.808371581766806</v>
      </c>
      <c r="AM7451">
        <v>94.886117208562098</v>
      </c>
      <c r="AN7451">
        <v>0.99999999003266304</v>
      </c>
    </row>
    <row r="7452" spans="1:40" x14ac:dyDescent="0.25">
      <c r="A7452" t="str">
        <f>"20190312150838195"</f>
        <v>20190312150838195</v>
      </c>
      <c r="B7452" t="str">
        <f>"1552374518187383"</f>
        <v>1552374518187383</v>
      </c>
      <c r="C7452" t="s">
        <v>40</v>
      </c>
      <c r="D7452">
        <v>4.2370150000000004</v>
      </c>
      <c r="E7452">
        <v>0.49490650000000003</v>
      </c>
      <c r="F7452" t="s">
        <v>48</v>
      </c>
      <c r="G7452">
        <v>0</v>
      </c>
      <c r="H7452">
        <v>0</v>
      </c>
      <c r="I7452">
        <v>0</v>
      </c>
      <c r="J7452">
        <v>-365.12349999999998</v>
      </c>
      <c r="K7452">
        <v>1.1105419999999999</v>
      </c>
      <c r="L7452">
        <v>140.2373</v>
      </c>
      <c r="M7452">
        <v>-0.99981569999999997</v>
      </c>
      <c r="N7452">
        <v>0</v>
      </c>
      <c r="O7452">
        <v>-1.2821529999999999E-2</v>
      </c>
      <c r="P7452">
        <v>-0.99423419999999896</v>
      </c>
      <c r="Q7452">
        <v>4.1373920000000002E-2</v>
      </c>
      <c r="R7452">
        <v>-9.8928550000000004E-2</v>
      </c>
      <c r="S7452">
        <v>-2.9855040000000002</v>
      </c>
      <c r="T7452">
        <v>-1.233125E-2</v>
      </c>
      <c r="U7452">
        <v>-0.32617190000000001</v>
      </c>
      <c r="V7452">
        <v>-8.6149249999999997E-2</v>
      </c>
      <c r="W7452">
        <v>5.5638960000000001E-2</v>
      </c>
      <c r="X7452">
        <v>0.99472740000000004</v>
      </c>
      <c r="Y7452">
        <v>-9.5849030000000002E-2</v>
      </c>
      <c r="Z7452">
        <v>-1.4456270000000001E-4</v>
      </c>
      <c r="AA7452">
        <v>0.9953959</v>
      </c>
      <c r="AB7452">
        <v>20</v>
      </c>
      <c r="AC7452">
        <v>-2.9855040000000002</v>
      </c>
      <c r="AD7452">
        <v>-1.233125E-2</v>
      </c>
      <c r="AE7452">
        <v>-0.32617190000000001</v>
      </c>
      <c r="AF7452">
        <v>-0.28785759306463898</v>
      </c>
      <c r="AG7452">
        <v>-1.233125E-2</v>
      </c>
      <c r="AH7452">
        <v>2.9893905962115301</v>
      </c>
      <c r="AI7452">
        <v>90.2352558553644</v>
      </c>
      <c r="AJ7452">
        <v>95.500228222821207</v>
      </c>
      <c r="AK7452">
        <v>3.0032432785789198</v>
      </c>
      <c r="AL7452">
        <v>86.810475317780003</v>
      </c>
      <c r="AM7452">
        <v>94.949801071816907</v>
      </c>
      <c r="AN7452">
        <v>0.999999993728102</v>
      </c>
    </row>
    <row r="7453" spans="1:40" x14ac:dyDescent="0.25">
      <c r="A7453" t="str">
        <f>"20190312150838208"</f>
        <v>20190312150838208</v>
      </c>
      <c r="B7453" t="str">
        <f>"1552374518197143"</f>
        <v>1552374518197143</v>
      </c>
      <c r="C7453" t="s">
        <v>40</v>
      </c>
      <c r="D7453">
        <v>4.2178240000000002</v>
      </c>
      <c r="E7453">
        <v>0.49454670000000001</v>
      </c>
      <c r="F7453" t="s">
        <v>77</v>
      </c>
      <c r="G7453">
        <v>-416.87889999999999</v>
      </c>
      <c r="H7453" s="1">
        <v>-7.7892759999999995E-6</v>
      </c>
      <c r="I7453">
        <v>134.24379999999999</v>
      </c>
      <c r="J7453">
        <v>-365.24369999999999</v>
      </c>
      <c r="K7453">
        <v>1.110547</v>
      </c>
      <c r="L7453">
        <v>140.23589999999999</v>
      </c>
      <c r="M7453">
        <v>-0.99981770000000003</v>
      </c>
      <c r="N7453">
        <v>0</v>
      </c>
      <c r="O7453">
        <v>-1.2665620000000001E-2</v>
      </c>
      <c r="P7453">
        <v>-0.99418499999999999</v>
      </c>
      <c r="Q7453">
        <v>4.1144739999999999E-2</v>
      </c>
      <c r="R7453">
        <v>-9.9517820000000007E-2</v>
      </c>
      <c r="S7453">
        <v>-2.9856259999999999</v>
      </c>
      <c r="T7453">
        <v>-6.4064499999999996E-2</v>
      </c>
      <c r="U7453">
        <v>-0.34574890000000003</v>
      </c>
      <c r="V7453">
        <v>-8.6894559999999996E-2</v>
      </c>
      <c r="W7453">
        <v>5.5408529999999998E-2</v>
      </c>
      <c r="X7453">
        <v>0.99467550000000005</v>
      </c>
      <c r="Y7453">
        <v>-0.10242329999999999</v>
      </c>
      <c r="Z7453">
        <v>-8.2428530000000001E-4</v>
      </c>
      <c r="AA7453">
        <v>0.99474050000000003</v>
      </c>
      <c r="AB7453">
        <v>20</v>
      </c>
      <c r="AC7453">
        <v>-51.635199999999998</v>
      </c>
      <c r="AD7453">
        <v>-1.1105547892759999</v>
      </c>
      <c r="AE7453">
        <v>-5.99209999999999</v>
      </c>
      <c r="AF7453">
        <v>-5.3351255378776603</v>
      </c>
      <c r="AG7453">
        <v>-1.1105547892759999</v>
      </c>
      <c r="AH7453">
        <v>51.683368706427999</v>
      </c>
      <c r="AI7453">
        <v>91.224458417058798</v>
      </c>
      <c r="AJ7453">
        <v>95.893603956473299</v>
      </c>
      <c r="AK7453">
        <v>51.969871053231202</v>
      </c>
      <c r="AL7453">
        <v>86.823698593504204</v>
      </c>
      <c r="AM7453">
        <v>94.992667364748897</v>
      </c>
      <c r="AN7453">
        <v>1.0000000600273</v>
      </c>
    </row>
    <row r="7454" spans="1:40" x14ac:dyDescent="0.25">
      <c r="A7454" t="str">
        <f>"20190312150838221"</f>
        <v>20190312150838221</v>
      </c>
      <c r="B7454" t="str">
        <f>"1552374518217640"</f>
        <v>1552374518217640</v>
      </c>
      <c r="C7454" t="s">
        <v>40</v>
      </c>
      <c r="D7454">
        <v>4.2175050000000001</v>
      </c>
      <c r="E7454">
        <v>0.49461080000000002</v>
      </c>
      <c r="F7454" t="s">
        <v>77</v>
      </c>
      <c r="G7454">
        <v>-412.5831</v>
      </c>
      <c r="H7454" s="1">
        <v>-8.2873770000000001E-6</v>
      </c>
      <c r="I7454">
        <v>134.6764</v>
      </c>
      <c r="J7454">
        <v>-365.35840000000002</v>
      </c>
      <c r="K7454">
        <v>1.1105499999999999</v>
      </c>
      <c r="L7454">
        <v>140.2346</v>
      </c>
      <c r="M7454">
        <v>-0.99981949999999997</v>
      </c>
      <c r="N7454">
        <v>0</v>
      </c>
      <c r="O7454">
        <v>-1.2516869999999999E-2</v>
      </c>
      <c r="P7454">
        <v>-0.99413589999999996</v>
      </c>
      <c r="Q7454">
        <v>4.108784E-2</v>
      </c>
      <c r="R7454">
        <v>-0.1000301</v>
      </c>
      <c r="S7454">
        <v>-2.985382</v>
      </c>
      <c r="T7454">
        <v>-7.0035340000000001E-2</v>
      </c>
      <c r="U7454">
        <v>-0.3506012</v>
      </c>
      <c r="V7454">
        <v>-8.7555510000000003E-2</v>
      </c>
      <c r="W7454">
        <v>5.5349959999999997E-2</v>
      </c>
      <c r="X7454">
        <v>0.99462070000000002</v>
      </c>
      <c r="Y7454">
        <v>-0.104171</v>
      </c>
      <c r="Z7454">
        <v>-9.2498210000000001E-4</v>
      </c>
      <c r="AA7454">
        <v>0.99455899999999997</v>
      </c>
      <c r="AB7454">
        <v>20</v>
      </c>
      <c r="AC7454">
        <v>-47.224699999999899</v>
      </c>
      <c r="AD7454">
        <v>-1.1105582873769999</v>
      </c>
      <c r="AE7454">
        <v>-5.5581999999999896</v>
      </c>
      <c r="AF7454">
        <v>-4.9638910216327199</v>
      </c>
      <c r="AG7454">
        <v>-1.1105582873769999</v>
      </c>
      <c r="AH7454">
        <v>47.264796631449002</v>
      </c>
      <c r="AI7454">
        <v>91.338644256424203</v>
      </c>
      <c r="AJ7454">
        <v>95.995396720305294</v>
      </c>
      <c r="AK7454">
        <v>47.537717176958999</v>
      </c>
      <c r="AL7454">
        <v>86.827059250784401</v>
      </c>
      <c r="AM7454">
        <v>95.030724924843398</v>
      </c>
      <c r="AN7454">
        <v>0.99999996113592504</v>
      </c>
    </row>
    <row r="7455" spans="1:40" x14ac:dyDescent="0.25">
      <c r="A7455" t="str">
        <f>"20190312150838240"</f>
        <v>20190312150838240</v>
      </c>
      <c r="B7455" t="str">
        <f>"1552374518227400"</f>
        <v>1552374518227400</v>
      </c>
      <c r="C7455" t="s">
        <v>40</v>
      </c>
      <c r="D7455">
        <v>4.2187449999999904</v>
      </c>
      <c r="E7455">
        <v>0.49463240000000003</v>
      </c>
      <c r="F7455" t="s">
        <v>77</v>
      </c>
      <c r="G7455">
        <v>-409.26620000000003</v>
      </c>
      <c r="H7455" s="1">
        <v>-8.2552520000000008E-6</v>
      </c>
      <c r="I7455">
        <v>135.06020000000001</v>
      </c>
      <c r="J7455">
        <v>-365.52409999999998</v>
      </c>
      <c r="K7455">
        <v>1.110554</v>
      </c>
      <c r="L7455">
        <v>140.2328</v>
      </c>
      <c r="M7455">
        <v>-0.99982210000000005</v>
      </c>
      <c r="N7455">
        <v>0</v>
      </c>
      <c r="O7455">
        <v>-1.2303410000000001E-2</v>
      </c>
      <c r="P7455">
        <v>-0.99402919999999995</v>
      </c>
      <c r="Q7455">
        <v>4.1495169999999998E-2</v>
      </c>
      <c r="R7455">
        <v>-0.10091650000000001</v>
      </c>
      <c r="S7455">
        <v>-2.9854129999999999</v>
      </c>
      <c r="T7455">
        <v>-7.550991E-2</v>
      </c>
      <c r="U7455">
        <v>-0.35182190000000002</v>
      </c>
      <c r="V7455">
        <v>-8.8656139999999994E-2</v>
      </c>
      <c r="W7455">
        <v>5.5753690000000002E-2</v>
      </c>
      <c r="X7455">
        <v>0.99450070000000002</v>
      </c>
      <c r="Y7455">
        <v>-0.104779</v>
      </c>
      <c r="Z7455">
        <v>-1.01027E-3</v>
      </c>
      <c r="AA7455">
        <v>0.99449500000000002</v>
      </c>
      <c r="AB7455">
        <v>20</v>
      </c>
      <c r="AC7455">
        <v>-43.742100000000001</v>
      </c>
      <c r="AD7455">
        <v>-1.110562255252</v>
      </c>
      <c r="AE7455">
        <v>-5.1725999999999797</v>
      </c>
      <c r="AF7455">
        <v>-4.6310324371099201</v>
      </c>
      <c r="AG7455">
        <v>-1.110562255252</v>
      </c>
      <c r="AH7455">
        <v>43.774607877584202</v>
      </c>
      <c r="AI7455">
        <v>91.445221208395495</v>
      </c>
      <c r="AJ7455">
        <v>96.0390103595781</v>
      </c>
      <c r="AK7455">
        <v>44.032897983128699</v>
      </c>
      <c r="AL7455">
        <v>86.803891617248496</v>
      </c>
      <c r="AM7455">
        <v>95.094245180531402</v>
      </c>
      <c r="AN7455">
        <v>1.0000000137044001</v>
      </c>
    </row>
    <row r="7456" spans="1:40" x14ac:dyDescent="0.25">
      <c r="A7456" t="str">
        <f>"20190312150838253"</f>
        <v>20190312150838253</v>
      </c>
      <c r="B7456" t="str">
        <f>"1552374518247896"</f>
        <v>1552374518247896</v>
      </c>
      <c r="C7456" t="s">
        <v>40</v>
      </c>
      <c r="D7456">
        <v>4.2353820000000004</v>
      </c>
      <c r="E7456">
        <v>0.49613849999999998</v>
      </c>
      <c r="F7456" t="s">
        <v>77</v>
      </c>
      <c r="G7456">
        <v>-409.44779999999997</v>
      </c>
      <c r="H7456" s="1">
        <v>-8.3505250000000008E-6</v>
      </c>
      <c r="I7456">
        <v>135.01949999999999</v>
      </c>
      <c r="J7456">
        <v>-365.64190000000002</v>
      </c>
      <c r="K7456">
        <v>1.1105579999999999</v>
      </c>
      <c r="L7456">
        <v>140.23150000000001</v>
      </c>
      <c r="M7456">
        <v>-0.99982400000000005</v>
      </c>
      <c r="N7456">
        <v>0</v>
      </c>
      <c r="O7456">
        <v>-1.2152990000000001E-2</v>
      </c>
      <c r="P7456">
        <v>-0.99396790000000002</v>
      </c>
      <c r="Q7456">
        <v>4.1644889999999997E-2</v>
      </c>
      <c r="R7456">
        <v>-0.1014579</v>
      </c>
      <c r="S7456">
        <v>-2.9851990000000002</v>
      </c>
      <c r="T7456">
        <v>-7.547748E-2</v>
      </c>
      <c r="U7456">
        <v>-0.35430909999999999</v>
      </c>
      <c r="V7456">
        <v>-8.9348209999999997E-2</v>
      </c>
      <c r="W7456">
        <v>5.5900810000000002E-2</v>
      </c>
      <c r="X7456">
        <v>0.99443049999999999</v>
      </c>
      <c r="Y7456">
        <v>-0.1057536</v>
      </c>
      <c r="Z7456">
        <v>-1.0259240000000001E-3</v>
      </c>
      <c r="AA7456">
        <v>0.9943919</v>
      </c>
      <c r="AB7456">
        <v>20</v>
      </c>
      <c r="AC7456">
        <v>-43.805899999999902</v>
      </c>
      <c r="AD7456">
        <v>-1.1105663505250001</v>
      </c>
      <c r="AE7456">
        <v>-5.2120000000000104</v>
      </c>
      <c r="AF7456">
        <v>-4.6762244014355101</v>
      </c>
      <c r="AG7456">
        <v>-1.1105663505250001</v>
      </c>
      <c r="AH7456">
        <v>43.838229570392002</v>
      </c>
      <c r="AI7456">
        <v>91.442997051257805</v>
      </c>
      <c r="AJ7456">
        <v>96.088717577121699</v>
      </c>
      <c r="AK7456">
        <v>44.100916137172199</v>
      </c>
      <c r="AL7456">
        <v>86.795449087837994</v>
      </c>
      <c r="AM7456">
        <v>95.134160804871399</v>
      </c>
      <c r="AN7456">
        <v>1.00000001125955</v>
      </c>
    </row>
    <row r="7457" spans="1:40" x14ac:dyDescent="0.25">
      <c r="A7457" t="str">
        <f>"20190312150838266"</f>
        <v>20190312150838266</v>
      </c>
      <c r="B7457" t="str">
        <f>"1552374518257656"</f>
        <v>1552374518257656</v>
      </c>
      <c r="C7457" t="s">
        <v>40</v>
      </c>
      <c r="D7457">
        <v>4.2221979999999997</v>
      </c>
      <c r="E7457">
        <v>0.49588080000000001</v>
      </c>
      <c r="F7457" t="s">
        <v>42</v>
      </c>
      <c r="G7457">
        <v>-445.4255</v>
      </c>
      <c r="H7457" s="1">
        <v>-2.800595E-6</v>
      </c>
      <c r="I7457">
        <v>131.08080000000001</v>
      </c>
      <c r="J7457">
        <v>-365.75670000000002</v>
      </c>
      <c r="K7457">
        <v>1.1105579999999999</v>
      </c>
      <c r="L7457">
        <v>140.2303</v>
      </c>
      <c r="M7457">
        <v>-0.99982579999999999</v>
      </c>
      <c r="N7457">
        <v>0</v>
      </c>
      <c r="O7457">
        <v>-1.200734E-2</v>
      </c>
      <c r="P7457">
        <v>-0.99393120000000001</v>
      </c>
      <c r="Q7457">
        <v>4.172472E-2</v>
      </c>
      <c r="R7457">
        <v>-0.1017829</v>
      </c>
      <c r="S7457">
        <v>-2.9850460000000001</v>
      </c>
      <c r="T7457">
        <v>-4.1550869999999997E-2</v>
      </c>
      <c r="U7457">
        <v>-0.34236149999999999</v>
      </c>
      <c r="V7457">
        <v>-8.9818679999999998E-2</v>
      </c>
      <c r="W7457">
        <v>5.5979359999999999E-2</v>
      </c>
      <c r="X7457">
        <v>0.99438369999999998</v>
      </c>
      <c r="Y7457">
        <v>-0.10199800000000001</v>
      </c>
      <c r="Z7457">
        <v>-5.4096679999999999E-4</v>
      </c>
      <c r="AA7457">
        <v>0.99478449999999996</v>
      </c>
      <c r="AB7457">
        <v>20</v>
      </c>
      <c r="AC7457">
        <v>-79.668799999999905</v>
      </c>
      <c r="AD7457">
        <v>-1.1105608005949901</v>
      </c>
      <c r="AE7457">
        <v>-9.1494999999999802</v>
      </c>
      <c r="AF7457">
        <v>-8.1905613831775597</v>
      </c>
      <c r="AG7457">
        <v>-1.1105608005949901</v>
      </c>
      <c r="AH7457">
        <v>79.7576314014498</v>
      </c>
      <c r="AI7457">
        <v>90.793573093194695</v>
      </c>
      <c r="AJ7457">
        <v>95.863329667084699</v>
      </c>
      <c r="AK7457">
        <v>80.184776658870504</v>
      </c>
      <c r="AL7457">
        <v>86.790941452968497</v>
      </c>
      <c r="AM7457">
        <v>95.161291100236497</v>
      </c>
      <c r="AN7457">
        <v>1.0000000134243201</v>
      </c>
    </row>
    <row r="7458" spans="1:40" x14ac:dyDescent="0.25">
      <c r="A7458" t="str">
        <f>"20190312150838278"</f>
        <v>20190312150838278</v>
      </c>
      <c r="B7458" t="str">
        <f>"1552374518267415"</f>
        <v>1552374518267415</v>
      </c>
      <c r="C7458" t="s">
        <v>40</v>
      </c>
      <c r="D7458">
        <v>4.1639530000000002</v>
      </c>
      <c r="E7458">
        <v>0.49588080000000001</v>
      </c>
      <c r="F7458" t="s">
        <v>77</v>
      </c>
      <c r="G7458">
        <v>-430.82249999999999</v>
      </c>
      <c r="H7458" s="1">
        <v>-8.1768210000000002E-6</v>
      </c>
      <c r="I7458">
        <v>132.6935</v>
      </c>
      <c r="J7458">
        <v>-365.86700000000002</v>
      </c>
      <c r="K7458">
        <v>1.110563</v>
      </c>
      <c r="L7458">
        <v>140.22909999999999</v>
      </c>
      <c r="M7458">
        <v>-0.99982740000000003</v>
      </c>
      <c r="N7458">
        <v>0</v>
      </c>
      <c r="O7458">
        <v>-1.18686E-2</v>
      </c>
      <c r="P7458">
        <v>-0.99385959999999995</v>
      </c>
      <c r="Q7458">
        <v>4.2003680000000002E-2</v>
      </c>
      <c r="R7458">
        <v>-0.1023646</v>
      </c>
      <c r="S7458">
        <v>-2.9850159999999999</v>
      </c>
      <c r="T7458">
        <v>-5.0949340000000003E-2</v>
      </c>
      <c r="U7458">
        <v>-0.34576420000000002</v>
      </c>
      <c r="V7458">
        <v>-9.053891E-2</v>
      </c>
      <c r="W7458">
        <v>5.6255020000000003E-2</v>
      </c>
      <c r="X7458">
        <v>0.99430280000000004</v>
      </c>
      <c r="Y7458">
        <v>-0.1032517</v>
      </c>
      <c r="Z7458">
        <v>-6.7629899999999902E-4</v>
      </c>
      <c r="AA7458">
        <v>0.99465499999999996</v>
      </c>
      <c r="AB7458">
        <v>20</v>
      </c>
      <c r="AC7458">
        <v>-64.955500000000001</v>
      </c>
      <c r="AD7458">
        <v>-1.110571176821</v>
      </c>
      <c r="AE7458">
        <v>-7.5355999999999801</v>
      </c>
      <c r="AF7458">
        <v>-6.7621090542760802</v>
      </c>
      <c r="AG7458">
        <v>-1.110571176821</v>
      </c>
      <c r="AH7458">
        <v>65.021615320729893</v>
      </c>
      <c r="AI7458">
        <v>90.973270461198595</v>
      </c>
      <c r="AJ7458">
        <v>95.937294979084896</v>
      </c>
      <c r="AK7458">
        <v>65.381724863433206</v>
      </c>
      <c r="AL7458">
        <v>86.775122294377596</v>
      </c>
      <c r="AM7458">
        <v>95.202872757326503</v>
      </c>
      <c r="AN7458">
        <v>0.99999998979351401</v>
      </c>
    </row>
    <row r="7459" spans="1:40" x14ac:dyDescent="0.25">
      <c r="A7459" t="str">
        <f>"20190312150838295"</f>
        <v>20190312150838295</v>
      </c>
      <c r="B7459" t="str">
        <f>"1552374518286936"</f>
        <v>1552374518286936</v>
      </c>
      <c r="C7459" t="s">
        <v>40</v>
      </c>
      <c r="D7459">
        <v>4.2523530000000003</v>
      </c>
      <c r="E7459">
        <v>0.49221759999999898</v>
      </c>
      <c r="F7459" t="s">
        <v>77</v>
      </c>
      <c r="G7459">
        <v>-431.9973</v>
      </c>
      <c r="H7459" s="1">
        <v>-7.6552670000000008E-6</v>
      </c>
      <c r="I7459">
        <v>132.52979999999999</v>
      </c>
      <c r="J7459">
        <v>-366.01839999999999</v>
      </c>
      <c r="K7459">
        <v>1.110571</v>
      </c>
      <c r="L7459">
        <v>140.22749999999999</v>
      </c>
      <c r="M7459">
        <v>-0.99982979999999999</v>
      </c>
      <c r="N7459">
        <v>0</v>
      </c>
      <c r="O7459">
        <v>-1.1679200000000001E-2</v>
      </c>
      <c r="P7459">
        <v>-0.99371670000000001</v>
      </c>
      <c r="Q7459">
        <v>4.250955E-2</v>
      </c>
      <c r="R7459">
        <v>-0.10353759999999999</v>
      </c>
      <c r="S7459">
        <v>-2.9848629999999998</v>
      </c>
      <c r="T7459">
        <v>-5.0126789999999997E-2</v>
      </c>
      <c r="U7459">
        <v>-0.34751890000000002</v>
      </c>
      <c r="V7459">
        <v>-9.1902159999999997E-2</v>
      </c>
      <c r="W7459">
        <v>5.6757290000000002E-2</v>
      </c>
      <c r="X7459">
        <v>0.99414919999999996</v>
      </c>
      <c r="Y7459">
        <v>-0.1040232</v>
      </c>
      <c r="Z7459">
        <v>-6.7501810000000003E-4</v>
      </c>
      <c r="AA7459">
        <v>0.99457470000000003</v>
      </c>
      <c r="AB7459">
        <v>20</v>
      </c>
      <c r="AC7459">
        <v>-65.978899999999996</v>
      </c>
      <c r="AD7459">
        <v>-1.1105786552670001</v>
      </c>
      <c r="AE7459">
        <v>-7.6976999999999904</v>
      </c>
      <c r="AF7459">
        <v>-6.9245799335584204</v>
      </c>
      <c r="AG7459">
        <v>-1.1105786552670001</v>
      </c>
      <c r="AH7459">
        <v>66.045849886546094</v>
      </c>
      <c r="AI7459">
        <v>90.958102504922493</v>
      </c>
      <c r="AJ7459">
        <v>95.985311210096498</v>
      </c>
      <c r="AK7459">
        <v>66.4171474804659</v>
      </c>
      <c r="AL7459">
        <v>86.746298369285498</v>
      </c>
      <c r="AM7459">
        <v>95.281584380037899</v>
      </c>
      <c r="AN7459">
        <v>1.00000001442072</v>
      </c>
    </row>
    <row r="7460" spans="1:40" x14ac:dyDescent="0.25">
      <c r="A7460" t="str">
        <f>"20190312150838309"</f>
        <v>20190312150838309</v>
      </c>
      <c r="B7460" t="str">
        <f>"1552374518297672"</f>
        <v>1552374518297672</v>
      </c>
      <c r="C7460" t="s">
        <v>40</v>
      </c>
      <c r="D7460">
        <v>4.1511959999999997</v>
      </c>
      <c r="E7460">
        <v>0.49808190000000002</v>
      </c>
      <c r="F7460" t="s">
        <v>48</v>
      </c>
      <c r="G7460">
        <v>0</v>
      </c>
      <c r="H7460">
        <v>0</v>
      </c>
      <c r="I7460">
        <v>0</v>
      </c>
      <c r="J7460">
        <v>-366.13740000000001</v>
      </c>
      <c r="K7460">
        <v>1.110574</v>
      </c>
      <c r="L7460">
        <v>140.22630000000001</v>
      </c>
      <c r="M7460">
        <v>-0.99983140000000004</v>
      </c>
      <c r="N7460">
        <v>0</v>
      </c>
      <c r="O7460">
        <v>-1.153116E-2</v>
      </c>
      <c r="P7460">
        <v>-0.99366089999999996</v>
      </c>
      <c r="Q7460">
        <v>4.257698E-2</v>
      </c>
      <c r="R7460">
        <v>-0.104045</v>
      </c>
      <c r="S7460">
        <v>-2.9797060000000002</v>
      </c>
      <c r="T7460">
        <v>-3.4568310000000001E-3</v>
      </c>
      <c r="U7460">
        <v>-0.37797550000000002</v>
      </c>
      <c r="V7460">
        <v>-9.2557879999999995E-2</v>
      </c>
      <c r="W7460">
        <v>5.6822030000000003E-2</v>
      </c>
      <c r="X7460">
        <v>0.99408470000000004</v>
      </c>
      <c r="Y7460">
        <v>-0.11439240000000001</v>
      </c>
      <c r="Z7460" s="1">
        <v>-5.276703E-5</v>
      </c>
      <c r="AA7460">
        <v>0.99343559999999997</v>
      </c>
      <c r="AB7460">
        <v>20</v>
      </c>
      <c r="AC7460">
        <v>-2.9797060000000002</v>
      </c>
      <c r="AD7460">
        <v>-3.4568310000000001E-3</v>
      </c>
      <c r="AE7460">
        <v>-0.37797550000000002</v>
      </c>
      <c r="AF7460">
        <v>-0.34358693432223603</v>
      </c>
      <c r="AG7460">
        <v>-3.4568310000000001E-3</v>
      </c>
      <c r="AH7460">
        <v>2.98386283938884</v>
      </c>
      <c r="AI7460">
        <v>90.065941901517704</v>
      </c>
      <c r="AJ7460">
        <v>96.568586125650597</v>
      </c>
      <c r="AK7460">
        <v>3.0035814247999202</v>
      </c>
      <c r="AL7460">
        <v>86.742583152549798</v>
      </c>
      <c r="AM7460">
        <v>95.319396131480005</v>
      </c>
      <c r="AN7460">
        <v>1.00000004750875</v>
      </c>
    </row>
    <row r="7461" spans="1:40" x14ac:dyDescent="0.25">
      <c r="A7461" t="str">
        <f>"20190312150838328"</f>
        <v>20190312150838328</v>
      </c>
      <c r="B7461" t="str">
        <f>"1552374518317191"</f>
        <v>1552374518317191</v>
      </c>
      <c r="C7461" t="s">
        <v>40</v>
      </c>
      <c r="D7461">
        <v>4.2383170000000003</v>
      </c>
      <c r="E7461">
        <v>0.4982454</v>
      </c>
      <c r="F7461" t="s">
        <v>73</v>
      </c>
      <c r="G7461">
        <v>-503.14670000000001</v>
      </c>
      <c r="H7461">
        <v>7.9987329999999995E-2</v>
      </c>
      <c r="I7461">
        <v>124.8995</v>
      </c>
      <c r="J7461">
        <v>-366.31270000000001</v>
      </c>
      <c r="K7461">
        <v>1.110582</v>
      </c>
      <c r="L7461">
        <v>140.22450000000001</v>
      </c>
      <c r="M7461">
        <v>-0.99983409999999995</v>
      </c>
      <c r="N7461">
        <v>0</v>
      </c>
      <c r="O7461">
        <v>-1.131421E-2</v>
      </c>
      <c r="P7461">
        <v>-0.99359070000000005</v>
      </c>
      <c r="Q7461">
        <v>4.2578869999999998E-2</v>
      </c>
      <c r="R7461">
        <v>-0.10471469999999999</v>
      </c>
      <c r="S7461">
        <v>-2.9851380000000001</v>
      </c>
      <c r="T7461">
        <v>-2.245426E-2</v>
      </c>
      <c r="U7461">
        <v>-0.33393859999999997</v>
      </c>
      <c r="V7461">
        <v>-9.3444239999999998E-2</v>
      </c>
      <c r="W7461">
        <v>5.6820120000000002E-2</v>
      </c>
      <c r="X7461">
        <v>0.99400180000000005</v>
      </c>
      <c r="Y7461">
        <v>-9.9918779999999999E-2</v>
      </c>
      <c r="Z7461">
        <v>-2.8978789999999999E-4</v>
      </c>
      <c r="AA7461">
        <v>0.99499550000000003</v>
      </c>
      <c r="AB7461">
        <v>20</v>
      </c>
      <c r="AC7461">
        <v>-136.834</v>
      </c>
      <c r="AD7461">
        <v>-1.0305946699999999</v>
      </c>
      <c r="AE7461">
        <v>-15.324999999999999</v>
      </c>
      <c r="AF7461">
        <v>-13.774920792016999</v>
      </c>
      <c r="AG7461">
        <v>-1.0305946699999999</v>
      </c>
      <c r="AH7461">
        <v>136.990972935906</v>
      </c>
      <c r="AI7461">
        <v>90.428870241097599</v>
      </c>
      <c r="AJ7461">
        <v>95.741990219287203</v>
      </c>
      <c r="AK7461">
        <v>137.685646434646</v>
      </c>
      <c r="AL7461">
        <v>86.742692496228599</v>
      </c>
      <c r="AM7461">
        <v>95.370484998610607</v>
      </c>
      <c r="AN7461">
        <v>0.99999996521461498</v>
      </c>
    </row>
    <row r="7462" spans="1:40" x14ac:dyDescent="0.25">
      <c r="A7462" t="str">
        <f>"20190312150838352"</f>
        <v>20190312150838352</v>
      </c>
      <c r="B7462" t="str">
        <f>"1552374518347447"</f>
        <v>1552374518347447</v>
      </c>
      <c r="C7462" t="s">
        <v>40</v>
      </c>
      <c r="D7462">
        <v>4.2199679999999997</v>
      </c>
      <c r="E7462">
        <v>0.4976256</v>
      </c>
      <c r="F7462" t="s">
        <v>73</v>
      </c>
      <c r="G7462">
        <v>-491.7149</v>
      </c>
      <c r="H7462">
        <v>7.9986390000000004E-2</v>
      </c>
      <c r="I7462">
        <v>126.16589999999999</v>
      </c>
      <c r="J7462">
        <v>-366.5154</v>
      </c>
      <c r="K7462">
        <v>1.110584</v>
      </c>
      <c r="L7462">
        <v>140.2225</v>
      </c>
      <c r="M7462">
        <v>-0.99983690000000003</v>
      </c>
      <c r="N7462">
        <v>0</v>
      </c>
      <c r="O7462">
        <v>-1.1063999999999999E-2</v>
      </c>
      <c r="P7462">
        <v>-0.99356230000000001</v>
      </c>
      <c r="Q7462">
        <v>4.3021780000000003E-2</v>
      </c>
      <c r="R7462">
        <v>-0.1048028</v>
      </c>
      <c r="S7462">
        <v>-2.9851070000000002</v>
      </c>
      <c r="T7462">
        <v>-2.4532559999999998E-2</v>
      </c>
      <c r="U7462">
        <v>-0.3346558</v>
      </c>
      <c r="V7462">
        <v>-9.378127E-2</v>
      </c>
      <c r="W7462">
        <v>5.7258099999999999E-2</v>
      </c>
      <c r="X7462">
        <v>0.99394490000000002</v>
      </c>
      <c r="Y7462">
        <v>-0.10040449999999999</v>
      </c>
      <c r="Z7462">
        <v>-3.2064680000000001E-4</v>
      </c>
      <c r="AA7462">
        <v>0.99494669999999996</v>
      </c>
      <c r="AB7462">
        <v>20</v>
      </c>
      <c r="AC7462">
        <v>-125.1995</v>
      </c>
      <c r="AD7462">
        <v>-1.0305976100000001</v>
      </c>
      <c r="AE7462">
        <v>-14.0566</v>
      </c>
      <c r="AF7462">
        <v>-12.669543233222001</v>
      </c>
      <c r="AG7462">
        <v>-1.0305976100000001</v>
      </c>
      <c r="AH7462">
        <v>125.338986067413</v>
      </c>
      <c r="AI7462">
        <v>90.468714543755098</v>
      </c>
      <c r="AJ7462">
        <v>95.771979369561606</v>
      </c>
      <c r="AK7462">
        <v>125.98190697707101</v>
      </c>
      <c r="AL7462">
        <v>86.717557086481307</v>
      </c>
      <c r="AM7462">
        <v>95.390047858066893</v>
      </c>
      <c r="AN7462">
        <v>0.99999994042721396</v>
      </c>
    </row>
    <row r="7463" spans="1:40" x14ac:dyDescent="0.25">
      <c r="A7463" t="str">
        <f>"20190312150838374"</f>
        <v>20190312150838374</v>
      </c>
      <c r="B7463" t="str">
        <f>"1552374518366967"</f>
        <v>1552374518366967</v>
      </c>
      <c r="C7463" t="s">
        <v>40</v>
      </c>
      <c r="D7463">
        <v>4.1707960000000002</v>
      </c>
      <c r="E7463">
        <v>0.49745780000000001</v>
      </c>
      <c r="F7463" t="s">
        <v>77</v>
      </c>
      <c r="G7463">
        <v>-414.375</v>
      </c>
      <c r="H7463" s="1">
        <v>-8.1591579999999999E-6</v>
      </c>
      <c r="I7463">
        <v>134.7432</v>
      </c>
      <c r="J7463">
        <v>-366.71440000000001</v>
      </c>
      <c r="K7463">
        <v>1.110592</v>
      </c>
      <c r="L7463">
        <v>140.22059999999999</v>
      </c>
      <c r="M7463">
        <v>-0.99983960000000005</v>
      </c>
      <c r="N7463">
        <v>0</v>
      </c>
      <c r="O7463">
        <v>-1.08182E-2</v>
      </c>
      <c r="P7463">
        <v>-0.99350039999999995</v>
      </c>
      <c r="Q7463">
        <v>4.3834430000000001E-2</v>
      </c>
      <c r="R7463">
        <v>-0.1050524</v>
      </c>
      <c r="S7463">
        <v>-2.9863590000000002</v>
      </c>
      <c r="T7463">
        <v>-6.9298979999999996E-2</v>
      </c>
      <c r="U7463">
        <v>-0.34190369999999998</v>
      </c>
      <c r="V7463">
        <v>-9.4275929999999994E-2</v>
      </c>
      <c r="W7463">
        <v>5.8065949999999998E-2</v>
      </c>
      <c r="X7463">
        <v>0.99385129999999999</v>
      </c>
      <c r="Y7463">
        <v>-0.10296520000000001</v>
      </c>
      <c r="Z7463">
        <v>-9.4044430000000002E-4</v>
      </c>
      <c r="AA7463">
        <v>0.99468449999999997</v>
      </c>
      <c r="AB7463">
        <v>20</v>
      </c>
      <c r="AC7463">
        <v>-47.660599999999903</v>
      </c>
      <c r="AD7463">
        <v>-1.1106001591579999</v>
      </c>
      <c r="AE7463">
        <v>-5.4773999999999798</v>
      </c>
      <c r="AF7463">
        <v>-4.9587674800159602</v>
      </c>
      <c r="AG7463">
        <v>-1.1106001591579999</v>
      </c>
      <c r="AH7463">
        <v>47.691513337391001</v>
      </c>
      <c r="AI7463">
        <v>91.326864688500393</v>
      </c>
      <c r="AJ7463">
        <v>95.936049399326606</v>
      </c>
      <c r="AK7463">
        <v>47.961476750043097</v>
      </c>
      <c r="AL7463">
        <v>86.671193764092905</v>
      </c>
      <c r="AM7463">
        <v>95.418816774805805</v>
      </c>
      <c r="AN7463">
        <v>1.00000000601922</v>
      </c>
    </row>
    <row r="7464" spans="1:40" x14ac:dyDescent="0.25">
      <c r="A7464" t="str">
        <f>"20190312150838388"</f>
        <v>20190312150838388</v>
      </c>
      <c r="B7464" t="str">
        <f>"1552374518377704"</f>
        <v>1552374518377704</v>
      </c>
      <c r="C7464" t="s">
        <v>40</v>
      </c>
      <c r="D7464">
        <v>4.1961779999999997</v>
      </c>
      <c r="E7464">
        <v>0.49779909999999999</v>
      </c>
      <c r="F7464" t="s">
        <v>77</v>
      </c>
      <c r="G7464">
        <v>-415.38720000000001</v>
      </c>
      <c r="H7464" s="1">
        <v>-8.0263089999999993E-6</v>
      </c>
      <c r="I7464">
        <v>134.61320000000001</v>
      </c>
      <c r="J7464">
        <v>-366.83569999999997</v>
      </c>
      <c r="K7464">
        <v>1.1105940000000001</v>
      </c>
      <c r="L7464">
        <v>140.21950000000001</v>
      </c>
      <c r="M7464">
        <v>-0.99984130000000004</v>
      </c>
      <c r="N7464">
        <v>0</v>
      </c>
      <c r="O7464">
        <v>-1.06686E-2</v>
      </c>
      <c r="P7464">
        <v>-0.99348110000000001</v>
      </c>
      <c r="Q7464">
        <v>4.4372200000000001E-2</v>
      </c>
      <c r="R7464">
        <v>-0.1050093</v>
      </c>
      <c r="S7464">
        <v>-2.9862669999999998</v>
      </c>
      <c r="T7464">
        <v>-6.8139669999999999E-2</v>
      </c>
      <c r="U7464">
        <v>-0.34403990000000001</v>
      </c>
      <c r="V7464">
        <v>-9.4381980000000004E-2</v>
      </c>
      <c r="W7464">
        <v>5.8600520000000003E-2</v>
      </c>
      <c r="X7464">
        <v>0.99380990000000002</v>
      </c>
      <c r="Y7464">
        <v>-0.1038203</v>
      </c>
      <c r="Z7464">
        <v>-9.3782960000000004E-4</v>
      </c>
      <c r="AA7464">
        <v>0.99459560000000002</v>
      </c>
      <c r="AB7464">
        <v>20</v>
      </c>
      <c r="AC7464">
        <v>-48.551499999999997</v>
      </c>
      <c r="AD7464">
        <v>-1.110602026309</v>
      </c>
      <c r="AE7464">
        <v>-5.6063000000000001</v>
      </c>
      <c r="AF7464">
        <v>-5.08532571604733</v>
      </c>
      <c r="AG7464">
        <v>-1.110602026309</v>
      </c>
      <c r="AH7464">
        <v>48.583466837872898</v>
      </c>
      <c r="AI7464">
        <v>91.302421648071203</v>
      </c>
      <c r="AJ7464">
        <v>95.975500822550401</v>
      </c>
      <c r="AK7464">
        <v>48.861510665203902</v>
      </c>
      <c r="AL7464">
        <v>86.640513056612406</v>
      </c>
      <c r="AM7464">
        <v>95.4251006408103</v>
      </c>
      <c r="AN7464">
        <v>1.00000004821549</v>
      </c>
    </row>
    <row r="7465" spans="1:40" x14ac:dyDescent="0.25">
      <c r="A7465" t="str">
        <f>"20190312150838400"</f>
        <v>20190312150838400</v>
      </c>
      <c r="B7465" t="str">
        <f>"1552374518397224"</f>
        <v>1552374518397224</v>
      </c>
      <c r="C7465" t="s">
        <v>40</v>
      </c>
      <c r="D7465">
        <v>4.2371910000000002</v>
      </c>
      <c r="E7465">
        <v>0.49968360000000001</v>
      </c>
      <c r="F7465" t="s">
        <v>77</v>
      </c>
      <c r="G7465">
        <v>-416.45089999999999</v>
      </c>
      <c r="H7465" s="1">
        <v>-7.9395700000000006E-6</v>
      </c>
      <c r="I7465">
        <v>134.55179999999999</v>
      </c>
      <c r="J7465">
        <v>-366.947</v>
      </c>
      <c r="K7465">
        <v>1.110598</v>
      </c>
      <c r="L7465">
        <v>140.21850000000001</v>
      </c>
      <c r="M7465">
        <v>-0.99984260000000003</v>
      </c>
      <c r="N7465">
        <v>0</v>
      </c>
      <c r="O7465">
        <v>-1.053103E-2</v>
      </c>
      <c r="P7465">
        <v>-0.99343709999999996</v>
      </c>
      <c r="Q7465">
        <v>4.4523689999999998E-2</v>
      </c>
      <c r="R7465">
        <v>-0.1053578</v>
      </c>
      <c r="S7465">
        <v>-2.9866030000000001</v>
      </c>
      <c r="T7465">
        <v>-6.6853170000000003E-2</v>
      </c>
      <c r="U7465">
        <v>-0.34117130000000001</v>
      </c>
      <c r="V7465">
        <v>-9.4867809999999997E-2</v>
      </c>
      <c r="W7465">
        <v>5.8749040000000002E-2</v>
      </c>
      <c r="X7465">
        <v>0.99375480000000005</v>
      </c>
      <c r="Y7465">
        <v>-0.1030026</v>
      </c>
      <c r="Z7465">
        <v>-9.1402129999999999E-4</v>
      </c>
      <c r="AA7465">
        <v>0.99468060000000003</v>
      </c>
      <c r="AB7465">
        <v>20</v>
      </c>
      <c r="AC7465">
        <v>-49.503900000000002</v>
      </c>
      <c r="AD7465">
        <v>-1.1106059395700001</v>
      </c>
      <c r="AE7465">
        <v>-5.6667000000000103</v>
      </c>
      <c r="AF7465">
        <v>-5.1424506912744699</v>
      </c>
      <c r="AG7465">
        <v>-1.1106059395700001</v>
      </c>
      <c r="AH7465">
        <v>49.5362266529932</v>
      </c>
      <c r="AI7465">
        <v>91.277497530144601</v>
      </c>
      <c r="AJ7465">
        <v>95.926754888603895</v>
      </c>
      <c r="AK7465">
        <v>49.814817029493497</v>
      </c>
      <c r="AL7465">
        <v>86.631988561030298</v>
      </c>
      <c r="AM7465">
        <v>95.453158902951898</v>
      </c>
      <c r="AN7465">
        <v>0.99999997679907804</v>
      </c>
    </row>
    <row r="7466" spans="1:40" x14ac:dyDescent="0.25">
      <c r="A7466" t="str">
        <f>"20190312150838412"</f>
        <v>20190312150838412</v>
      </c>
      <c r="B7466" t="str">
        <f>"1552374518406983"</f>
        <v>1552374518406983</v>
      </c>
      <c r="C7466" t="s">
        <v>40</v>
      </c>
      <c r="D7466">
        <v>4.2445110000000001</v>
      </c>
      <c r="E7466">
        <v>0.50004209999999905</v>
      </c>
      <c r="F7466" t="s">
        <v>48</v>
      </c>
      <c r="G7466">
        <v>0</v>
      </c>
      <c r="H7466">
        <v>0</v>
      </c>
      <c r="I7466">
        <v>0</v>
      </c>
      <c r="J7466">
        <v>-367.05489999999998</v>
      </c>
      <c r="K7466">
        <v>1.1105989999999999</v>
      </c>
      <c r="L7466">
        <v>140.2175</v>
      </c>
      <c r="M7466">
        <v>-0.99984419999999996</v>
      </c>
      <c r="N7466">
        <v>0</v>
      </c>
      <c r="O7466">
        <v>-1.039763E-2</v>
      </c>
      <c r="P7466">
        <v>-0.99341809999999997</v>
      </c>
      <c r="Q7466">
        <v>4.4739510000000003E-2</v>
      </c>
      <c r="R7466">
        <v>-0.1054465</v>
      </c>
      <c r="S7466">
        <v>-2.985779</v>
      </c>
      <c r="T7466">
        <v>-8.983731E-3</v>
      </c>
      <c r="U7466">
        <v>-0.32470700000000002</v>
      </c>
      <c r="V7466">
        <v>-9.5089320000000005E-2</v>
      </c>
      <c r="W7466">
        <v>5.8962279999999999E-2</v>
      </c>
      <c r="X7466">
        <v>0.99372099999999997</v>
      </c>
      <c r="Y7466">
        <v>-9.7769789999999995E-2</v>
      </c>
      <c r="Z7466">
        <v>-1.15463E-4</v>
      </c>
      <c r="AA7466">
        <v>0.99520900000000001</v>
      </c>
      <c r="AB7466">
        <v>20</v>
      </c>
      <c r="AC7466">
        <v>-2.985779</v>
      </c>
      <c r="AD7466">
        <v>-8.983731E-3</v>
      </c>
      <c r="AE7466">
        <v>-0.32470700000000002</v>
      </c>
      <c r="AF7466">
        <v>-0.293638632454438</v>
      </c>
      <c r="AG7466">
        <v>-8.983731E-3</v>
      </c>
      <c r="AH7466">
        <v>2.9889673490256201</v>
      </c>
      <c r="AI7466">
        <v>90.171384368926297</v>
      </c>
      <c r="AJ7466">
        <v>95.610780773454593</v>
      </c>
      <c r="AK7466">
        <v>3.0033698019780402</v>
      </c>
      <c r="AL7466">
        <v>86.619749594995994</v>
      </c>
      <c r="AM7466">
        <v>95.465999430598103</v>
      </c>
      <c r="AN7466">
        <v>0.99999997754092995</v>
      </c>
    </row>
    <row r="7467" spans="1:40" x14ac:dyDescent="0.25">
      <c r="A7467" t="str">
        <f>"20190312150838425"</f>
        <v>20190312150838425</v>
      </c>
      <c r="B7467" t="str">
        <f>"1552374518417719"</f>
        <v>1552374518417719</v>
      </c>
      <c r="C7467" t="s">
        <v>40</v>
      </c>
      <c r="D7467">
        <v>4.2409129999999999</v>
      </c>
      <c r="E7467">
        <v>0.50008520000000001</v>
      </c>
      <c r="F7467" t="s">
        <v>48</v>
      </c>
      <c r="G7467">
        <v>0</v>
      </c>
      <c r="H7467">
        <v>0</v>
      </c>
      <c r="I7467">
        <v>0</v>
      </c>
      <c r="J7467">
        <v>-367.16879999999998</v>
      </c>
      <c r="K7467">
        <v>1.1106009999999999</v>
      </c>
      <c r="L7467">
        <v>140.2165</v>
      </c>
      <c r="M7467">
        <v>-0.99984569999999995</v>
      </c>
      <c r="N7467">
        <v>0</v>
      </c>
      <c r="O7467">
        <v>-1.0256609999999999E-2</v>
      </c>
      <c r="P7467">
        <v>-0.99338680000000001</v>
      </c>
      <c r="Q7467">
        <v>4.5059740000000001E-2</v>
      </c>
      <c r="R7467">
        <v>-0.1056055</v>
      </c>
      <c r="S7467">
        <v>-2.9861149999999999</v>
      </c>
      <c r="T7467">
        <v>-9.9238160000000002E-3</v>
      </c>
      <c r="U7467">
        <v>-0.32215880000000002</v>
      </c>
      <c r="V7467">
        <v>-9.5388890000000004E-2</v>
      </c>
      <c r="W7467">
        <v>5.9279779999999997E-2</v>
      </c>
      <c r="X7467">
        <v>0.99367340000000004</v>
      </c>
      <c r="Y7467">
        <v>-9.7058610000000003E-2</v>
      </c>
      <c r="Z7467">
        <v>-1.2682580000000001E-4</v>
      </c>
      <c r="AA7467">
        <v>0.99527869999999996</v>
      </c>
      <c r="AB7467">
        <v>20</v>
      </c>
      <c r="AC7467">
        <v>-2.9861149999999999</v>
      </c>
      <c r="AD7467">
        <v>-9.9238160000000002E-3</v>
      </c>
      <c r="AE7467">
        <v>-0.32215880000000002</v>
      </c>
      <c r="AF7467">
        <v>-0.291508136442932</v>
      </c>
      <c r="AG7467">
        <v>-9.9238160000000002E-3</v>
      </c>
      <c r="AH7467">
        <v>2.9892298558336798</v>
      </c>
      <c r="AI7467">
        <v>90.189315041436799</v>
      </c>
      <c r="AJ7467">
        <v>95.569842598252706</v>
      </c>
      <c r="AK7467">
        <v>3.00342647766578</v>
      </c>
      <c r="AL7467">
        <v>86.601526314592206</v>
      </c>
      <c r="AM7467">
        <v>95.483375826125595</v>
      </c>
      <c r="AN7467">
        <v>0.99999997925992001</v>
      </c>
    </row>
    <row r="7468" spans="1:40" x14ac:dyDescent="0.25">
      <c r="A7468" t="str">
        <f>"20190312150838439"</f>
        <v>20190312150838439</v>
      </c>
      <c r="B7468" t="str">
        <f>"1552374518427480"</f>
        <v>1552374518427480</v>
      </c>
      <c r="C7468" t="s">
        <v>40</v>
      </c>
      <c r="D7468">
        <v>4.2170519999999998</v>
      </c>
      <c r="E7468">
        <v>0.50027179999999905</v>
      </c>
      <c r="F7468" t="s">
        <v>48</v>
      </c>
      <c r="G7468">
        <v>0</v>
      </c>
      <c r="H7468">
        <v>0</v>
      </c>
      <c r="I7468">
        <v>0</v>
      </c>
      <c r="J7468">
        <v>-367.28640000000001</v>
      </c>
      <c r="K7468">
        <v>1.1106</v>
      </c>
      <c r="L7468">
        <v>140.21539999999999</v>
      </c>
      <c r="M7468">
        <v>-0.99984709999999999</v>
      </c>
      <c r="N7468">
        <v>0</v>
      </c>
      <c r="O7468">
        <v>-1.011069E-2</v>
      </c>
      <c r="P7468">
        <v>-0.99336530000000001</v>
      </c>
      <c r="Q7468">
        <v>4.5211010000000003E-2</v>
      </c>
      <c r="R7468">
        <v>-0.10574219999999999</v>
      </c>
      <c r="S7468">
        <v>-2.9861149999999999</v>
      </c>
      <c r="T7468">
        <v>-9.4938279999999993E-3</v>
      </c>
      <c r="U7468">
        <v>-0.32229609999999997</v>
      </c>
      <c r="V7468">
        <v>-9.5670900000000003E-2</v>
      </c>
      <c r="W7468">
        <v>5.9428290000000002E-2</v>
      </c>
      <c r="X7468">
        <v>0.9936374</v>
      </c>
      <c r="Y7468">
        <v>-9.7249139999999998E-2</v>
      </c>
      <c r="Z7468">
        <v>-1.220948E-4</v>
      </c>
      <c r="AA7468">
        <v>0.99526009999999998</v>
      </c>
      <c r="AB7468">
        <v>20</v>
      </c>
      <c r="AC7468">
        <v>-2.9861149999999999</v>
      </c>
      <c r="AD7468">
        <v>-9.4938279999999993E-3</v>
      </c>
      <c r="AE7468">
        <v>-0.32229609999999997</v>
      </c>
      <c r="AF7468">
        <v>-0.29208194799291298</v>
      </c>
      <c r="AG7468">
        <v>-9.4938279999999993E-3</v>
      </c>
      <c r="AH7468">
        <v>2.9891914361777498</v>
      </c>
      <c r="AI7468">
        <v>90.181111229509696</v>
      </c>
      <c r="AJ7468">
        <v>95.580808539403094</v>
      </c>
      <c r="AK7468">
        <v>3.0034425979585202</v>
      </c>
      <c r="AL7468">
        <v>86.593002233874103</v>
      </c>
      <c r="AM7468">
        <v>95.499685797198794</v>
      </c>
      <c r="AN7468">
        <v>0.99999996271894598</v>
      </c>
    </row>
    <row r="7469" spans="1:40" x14ac:dyDescent="0.25">
      <c r="A7469" t="str">
        <f>"20190312150838451"</f>
        <v>20190312150838451</v>
      </c>
      <c r="B7469" t="str">
        <f>"1552374518447003"</f>
        <v>1552374518447003</v>
      </c>
      <c r="C7469" t="s">
        <v>40</v>
      </c>
      <c r="D7469">
        <v>4.1963150000000002</v>
      </c>
      <c r="E7469">
        <v>0.50068959999999996</v>
      </c>
      <c r="F7469" t="s">
        <v>48</v>
      </c>
      <c r="G7469">
        <v>0</v>
      </c>
      <c r="H7469">
        <v>0</v>
      </c>
      <c r="I7469">
        <v>0</v>
      </c>
      <c r="J7469">
        <v>-367.39229999999998</v>
      </c>
      <c r="K7469">
        <v>1.1105989999999999</v>
      </c>
      <c r="L7469">
        <v>140.21449999999999</v>
      </c>
      <c r="M7469">
        <v>-0.99984839999999997</v>
      </c>
      <c r="N7469">
        <v>0</v>
      </c>
      <c r="O7469">
        <v>-9.9794359999999995E-3</v>
      </c>
      <c r="P7469">
        <v>-0.99330660000000004</v>
      </c>
      <c r="Q7469">
        <v>4.5989670000000003E-2</v>
      </c>
      <c r="R7469">
        <v>-0.1059578</v>
      </c>
      <c r="S7469">
        <v>-2.986237</v>
      </c>
      <c r="T7469">
        <v>-9.4621180000000003E-3</v>
      </c>
      <c r="U7469">
        <v>-0.32130429999999999</v>
      </c>
      <c r="V7469">
        <v>-9.601751E-2</v>
      </c>
      <c r="W7469">
        <v>6.0203680000000002E-2</v>
      </c>
      <c r="X7469">
        <v>0.99355729999999998</v>
      </c>
      <c r="Y7469">
        <v>-9.7048679999999998E-2</v>
      </c>
      <c r="Z7469">
        <v>-1.217821E-4</v>
      </c>
      <c r="AA7469">
        <v>0.99527960000000004</v>
      </c>
      <c r="AB7469">
        <v>20</v>
      </c>
      <c r="AC7469">
        <v>-2.986237</v>
      </c>
      <c r="AD7469">
        <v>-9.4621180000000003E-3</v>
      </c>
      <c r="AE7469">
        <v>-0.32130429999999999</v>
      </c>
      <c r="AF7469">
        <v>-0.29148140914559501</v>
      </c>
      <c r="AG7469">
        <v>-9.4621180000000003E-3</v>
      </c>
      <c r="AH7469">
        <v>2.9892653613892501</v>
      </c>
      <c r="AI7469">
        <v>90.180505394760402</v>
      </c>
      <c r="AJ7469">
        <v>95.569269395988897</v>
      </c>
      <c r="AK7469">
        <v>3.0034577314082802</v>
      </c>
      <c r="AL7469">
        <v>86.548496013434502</v>
      </c>
      <c r="AM7469">
        <v>95.519930240228206</v>
      </c>
      <c r="AN7469">
        <v>0.99999997684771602</v>
      </c>
    </row>
    <row r="7470" spans="1:40" x14ac:dyDescent="0.25">
      <c r="A7470" t="str">
        <f>"20190312150838474"</f>
        <v>20190312150838474</v>
      </c>
      <c r="B7470" t="str">
        <f>"1552374518467497"</f>
        <v>1552374518467497</v>
      </c>
      <c r="C7470" t="s">
        <v>40</v>
      </c>
      <c r="D7470">
        <v>4.1817979999999997</v>
      </c>
      <c r="E7470">
        <v>0.5010308</v>
      </c>
      <c r="F7470" t="s">
        <v>48</v>
      </c>
      <c r="G7470">
        <v>0</v>
      </c>
      <c r="H7470">
        <v>0</v>
      </c>
      <c r="I7470">
        <v>0</v>
      </c>
      <c r="J7470">
        <v>-367.59089999999998</v>
      </c>
      <c r="K7470">
        <v>1.110598</v>
      </c>
      <c r="L7470">
        <v>140.21279999999999</v>
      </c>
      <c r="M7470">
        <v>-0.99985100000000005</v>
      </c>
      <c r="N7470">
        <v>0</v>
      </c>
      <c r="O7470">
        <v>-9.7330179999999995E-3</v>
      </c>
      <c r="P7470">
        <v>-0.99327520000000002</v>
      </c>
      <c r="Q7470">
        <v>4.6237390000000003E-2</v>
      </c>
      <c r="R7470">
        <v>-0.1061438</v>
      </c>
      <c r="S7470">
        <v>-2.9865110000000001</v>
      </c>
      <c r="T7470">
        <v>-6.1248539999999999E-3</v>
      </c>
      <c r="U7470">
        <v>-0.31861879999999998</v>
      </c>
      <c r="V7470">
        <v>-9.6449099999999996E-2</v>
      </c>
      <c r="W7470">
        <v>6.0446880000000001E-2</v>
      </c>
      <c r="X7470">
        <v>0.99350079999999996</v>
      </c>
      <c r="Y7470">
        <v>-9.6399639999999995E-2</v>
      </c>
      <c r="Z7470" s="1">
        <v>-7.8666719999999897E-5</v>
      </c>
      <c r="AA7470">
        <v>0.99534270000000002</v>
      </c>
      <c r="AB7470">
        <v>20</v>
      </c>
      <c r="AC7470">
        <v>-2.9865110000000001</v>
      </c>
      <c r="AD7470">
        <v>-6.1248539999999999E-3</v>
      </c>
      <c r="AE7470">
        <v>-0.31861879999999998</v>
      </c>
      <c r="AF7470">
        <v>-0.28953178115803901</v>
      </c>
      <c r="AG7470">
        <v>-6.1248539999999999E-3</v>
      </c>
      <c r="AH7470">
        <v>2.9894585150707198</v>
      </c>
      <c r="AI7470">
        <v>90.116841701065994</v>
      </c>
      <c r="AJ7470">
        <v>95.531894932970701</v>
      </c>
      <c r="AK7470">
        <v>3.00345274300527</v>
      </c>
      <c r="AL7470">
        <v>86.534536498642794</v>
      </c>
      <c r="AM7470">
        <v>95.544900910090405</v>
      </c>
      <c r="AN7470">
        <v>1.0000000468965899</v>
      </c>
    </row>
    <row r="7471" spans="1:40" x14ac:dyDescent="0.25">
      <c r="A7471" t="str">
        <f>"20190312150838487"</f>
        <v>20190312150838487</v>
      </c>
      <c r="B7471" t="str">
        <f>"1552374518477256"</f>
        <v>1552374518477256</v>
      </c>
      <c r="C7471" t="s">
        <v>40</v>
      </c>
      <c r="D7471">
        <v>4.4631460000000001</v>
      </c>
      <c r="E7471">
        <v>0.50107259999999998</v>
      </c>
      <c r="F7471" t="s">
        <v>48</v>
      </c>
      <c r="G7471">
        <v>0</v>
      </c>
      <c r="H7471">
        <v>0</v>
      </c>
      <c r="I7471">
        <v>0</v>
      </c>
      <c r="J7471">
        <v>-367.70549999999997</v>
      </c>
      <c r="K7471">
        <v>1.1105989999999999</v>
      </c>
      <c r="L7471">
        <v>140.21190000000001</v>
      </c>
      <c r="M7471">
        <v>-0.99985239999999997</v>
      </c>
      <c r="N7471">
        <v>0</v>
      </c>
      <c r="O7471">
        <v>-9.5907960000000004E-3</v>
      </c>
      <c r="P7471">
        <v>-0.99322719999999998</v>
      </c>
      <c r="Q7471">
        <v>4.6459060000000003E-2</v>
      </c>
      <c r="R7471">
        <v>-0.1064954</v>
      </c>
      <c r="S7471">
        <v>-2.986694</v>
      </c>
      <c r="T7471">
        <v>-4.0801759999999996E-3</v>
      </c>
      <c r="U7471">
        <v>-0.31628420000000002</v>
      </c>
      <c r="V7471">
        <v>-9.6942399999999998E-2</v>
      </c>
      <c r="W7471">
        <v>6.066535E-2</v>
      </c>
      <c r="X7471">
        <v>0.99343939999999997</v>
      </c>
      <c r="Y7471">
        <v>-9.5765550000000005E-2</v>
      </c>
      <c r="Z7471" s="1">
        <v>-5.2165959999999999E-5</v>
      </c>
      <c r="AA7471">
        <v>0.99540390000000001</v>
      </c>
      <c r="AB7471">
        <v>20</v>
      </c>
      <c r="AC7471">
        <v>-2.986694</v>
      </c>
      <c r="AD7471">
        <v>-4.0801759999999996E-3</v>
      </c>
      <c r="AE7471">
        <v>-0.31628420000000002</v>
      </c>
      <c r="AF7471">
        <v>-0.28762143589022698</v>
      </c>
      <c r="AG7471">
        <v>-4.0801759999999996E-3</v>
      </c>
      <c r="AH7471">
        <v>2.9895848137896799</v>
      </c>
      <c r="AI7471">
        <v>90.0778376517449</v>
      </c>
      <c r="AJ7471">
        <v>95.495388652000798</v>
      </c>
      <c r="AK7471">
        <v>3.0033914325411502</v>
      </c>
      <c r="AL7471">
        <v>86.521995834485693</v>
      </c>
      <c r="AM7471">
        <v>95.573425129201794</v>
      </c>
      <c r="AN7471">
        <v>0.99999997754037095</v>
      </c>
    </row>
    <row r="7472" spans="1:40" x14ac:dyDescent="0.25">
      <c r="A7472" t="str">
        <f>"20190312150838500"</f>
        <v>20190312150838500</v>
      </c>
      <c r="B7472" t="str">
        <f>"1552374518487016"</f>
        <v>1552374518487016</v>
      </c>
      <c r="C7472" t="s">
        <v>40</v>
      </c>
      <c r="D7472">
        <v>4.1759079999999997</v>
      </c>
      <c r="E7472">
        <v>0.50098339999999997</v>
      </c>
      <c r="F7472" t="s">
        <v>48</v>
      </c>
      <c r="G7472">
        <v>0</v>
      </c>
      <c r="H7472">
        <v>0</v>
      </c>
      <c r="I7472">
        <v>0</v>
      </c>
      <c r="J7472">
        <v>-367.81889999999999</v>
      </c>
      <c r="K7472">
        <v>1.110606</v>
      </c>
      <c r="L7472">
        <v>140.21090000000001</v>
      </c>
      <c r="M7472">
        <v>-0.99985380000000001</v>
      </c>
      <c r="N7472">
        <v>0</v>
      </c>
      <c r="O7472">
        <v>-9.4496470000000003E-3</v>
      </c>
      <c r="P7472">
        <v>-0.99320969999999997</v>
      </c>
      <c r="Q7472">
        <v>4.6595949999999997E-2</v>
      </c>
      <c r="R7472">
        <v>-0.10659920000000001</v>
      </c>
      <c r="S7472">
        <v>-2.9865719999999998</v>
      </c>
      <c r="T7472">
        <v>-3.1836030000000001E-3</v>
      </c>
      <c r="U7472">
        <v>-0.31703189999999998</v>
      </c>
      <c r="V7472">
        <v>-9.7186510000000004E-2</v>
      </c>
      <c r="W7472">
        <v>6.0799100000000002E-2</v>
      </c>
      <c r="X7472">
        <v>0.99340740000000005</v>
      </c>
      <c r="Y7472">
        <v>-9.6156770000000003E-2</v>
      </c>
      <c r="Z7472" s="1">
        <v>-4.1062149999999998E-5</v>
      </c>
      <c r="AA7472">
        <v>0.99536619999999998</v>
      </c>
      <c r="AB7472">
        <v>19</v>
      </c>
      <c r="AC7472">
        <v>-2.9865719999999998</v>
      </c>
      <c r="AD7472">
        <v>-3.1836030000000001E-3</v>
      </c>
      <c r="AE7472">
        <v>-0.31703189999999998</v>
      </c>
      <c r="AF7472">
        <v>-0.28879250021494302</v>
      </c>
      <c r="AG7472">
        <v>-3.1836030000000001E-3</v>
      </c>
      <c r="AH7472">
        <v>2.9894314104858202</v>
      </c>
      <c r="AI7472">
        <v>90.060734529074196</v>
      </c>
      <c r="AJ7472">
        <v>95.517906978923193</v>
      </c>
      <c r="AK7472">
        <v>3.0033500298013398</v>
      </c>
      <c r="AL7472">
        <v>86.514318448880005</v>
      </c>
      <c r="AM7472">
        <v>95.587549680264502</v>
      </c>
      <c r="AN7472">
        <v>1.00000000533077</v>
      </c>
    </row>
    <row r="7473" spans="1:40" x14ac:dyDescent="0.25">
      <c r="A7473" t="str">
        <f>"20190312150838519"</f>
        <v>20190312150838519</v>
      </c>
      <c r="B7473" t="str">
        <f>"1552374518507512"</f>
        <v>1552374518507512</v>
      </c>
      <c r="C7473" t="s">
        <v>40</v>
      </c>
      <c r="D7473">
        <v>4.1881709999999996</v>
      </c>
      <c r="E7473">
        <v>0.48051179999999899</v>
      </c>
      <c r="F7473" t="s">
        <v>48</v>
      </c>
      <c r="G7473">
        <v>0</v>
      </c>
      <c r="H7473">
        <v>0</v>
      </c>
      <c r="I7473">
        <v>0</v>
      </c>
      <c r="J7473">
        <v>-367.97949999999997</v>
      </c>
      <c r="K7473">
        <v>1.1106100000000001</v>
      </c>
      <c r="L7473">
        <v>140.2097</v>
      </c>
      <c r="M7473">
        <v>-0.99985570000000001</v>
      </c>
      <c r="N7473">
        <v>0</v>
      </c>
      <c r="O7473">
        <v>-9.2499629999999999E-3</v>
      </c>
      <c r="P7473">
        <v>-0.99315129999999996</v>
      </c>
      <c r="Q7473">
        <v>4.6959620000000001E-2</v>
      </c>
      <c r="R7473">
        <v>-0.1069837</v>
      </c>
      <c r="S7473">
        <v>-2.9865719999999998</v>
      </c>
      <c r="T7473">
        <v>-4.4506789999999999E-3</v>
      </c>
      <c r="U7473">
        <v>-0.31809999999999999</v>
      </c>
      <c r="V7473">
        <v>-9.7769830000000002E-2</v>
      </c>
      <c r="W7473">
        <v>6.1157969999999999E-2</v>
      </c>
      <c r="X7473">
        <v>0.99332819999999999</v>
      </c>
      <c r="Y7473">
        <v>-9.6707500000000002E-2</v>
      </c>
      <c r="Z7473" s="1">
        <v>-5.8109690000000003E-5</v>
      </c>
      <c r="AA7473">
        <v>0.99531289999999994</v>
      </c>
      <c r="AB7473">
        <v>19</v>
      </c>
      <c r="AC7473">
        <v>-2.9865719999999998</v>
      </c>
      <c r="AD7473">
        <v>-4.4506789999999999E-3</v>
      </c>
      <c r="AE7473">
        <v>-0.31809999999999999</v>
      </c>
      <c r="AF7473">
        <v>-0.29045726536072303</v>
      </c>
      <c r="AG7473">
        <v>-4.4506789999999999E-3</v>
      </c>
      <c r="AH7473">
        <v>2.9893803507125898</v>
      </c>
      <c r="AI7473">
        <v>90.0849037779508</v>
      </c>
      <c r="AJ7473">
        <v>95.549611546308398</v>
      </c>
      <c r="AK7473">
        <v>3.0034613552984002</v>
      </c>
      <c r="AL7473">
        <v>86.493718621703593</v>
      </c>
      <c r="AM7473">
        <v>95.621317696134298</v>
      </c>
      <c r="AN7473">
        <v>1.0000000749339899</v>
      </c>
    </row>
    <row r="7474" spans="1:40" x14ac:dyDescent="0.25">
      <c r="A7474" t="str">
        <f>"20190312150838541"</f>
        <v>20190312150838541</v>
      </c>
      <c r="B7474" t="str">
        <f>"1552374518537768"</f>
        <v>1552374518537768</v>
      </c>
      <c r="C7474" t="s">
        <v>40</v>
      </c>
      <c r="D7474">
        <v>4.1943519999999896</v>
      </c>
      <c r="E7474">
        <v>0.46498410000000001</v>
      </c>
      <c r="F7474" t="s">
        <v>77</v>
      </c>
      <c r="G7474">
        <v>-401.15050000000002</v>
      </c>
      <c r="H7474" s="1">
        <v>-3.468573E-6</v>
      </c>
      <c r="I7474">
        <v>134.79060000000001</v>
      </c>
      <c r="J7474">
        <v>-368.17500000000001</v>
      </c>
      <c r="K7474">
        <v>1.110617</v>
      </c>
      <c r="L7474">
        <v>140.2081</v>
      </c>
      <c r="M7474">
        <v>-0.99985789999999997</v>
      </c>
      <c r="N7474">
        <v>0</v>
      </c>
      <c r="O7474">
        <v>-9.0064069999999993E-3</v>
      </c>
      <c r="P7474">
        <v>-0.99306349999999999</v>
      </c>
      <c r="Q7474">
        <v>4.7392780000000002E-2</v>
      </c>
      <c r="R7474">
        <v>-0.1076053</v>
      </c>
      <c r="S7474">
        <v>-2.9730829999999999</v>
      </c>
      <c r="T7474">
        <v>-9.9543090000000001E-2</v>
      </c>
      <c r="U7474">
        <v>-0.48570249999999998</v>
      </c>
      <c r="V7474">
        <v>-9.8634440000000004E-2</v>
      </c>
      <c r="W7474">
        <v>6.1585359999999999E-2</v>
      </c>
      <c r="X7474">
        <v>0.99321619999999999</v>
      </c>
      <c r="Y7474">
        <v>-0.1522551</v>
      </c>
      <c r="Z7474">
        <v>-2.2319290000000001E-3</v>
      </c>
      <c r="AA7474">
        <v>0.98833870000000001</v>
      </c>
      <c r="AB7474">
        <v>19</v>
      </c>
      <c r="AC7474">
        <v>-32.975499999999997</v>
      </c>
      <c r="AD7474">
        <v>-1.1106204685729999</v>
      </c>
      <c r="AE7474">
        <v>-5.4174999999999898</v>
      </c>
      <c r="AF7474">
        <v>-5.1146099979777997</v>
      </c>
      <c r="AG7474">
        <v>-1.1106204685729999</v>
      </c>
      <c r="AH7474">
        <v>32.986524471203701</v>
      </c>
      <c r="AI7474">
        <v>91.905605093629703</v>
      </c>
      <c r="AJ7474">
        <v>98.813614296590004</v>
      </c>
      <c r="AK7474">
        <v>33.399154329802201</v>
      </c>
      <c r="AL7474">
        <v>86.469184343395</v>
      </c>
      <c r="AM7474">
        <v>95.671341510929494</v>
      </c>
      <c r="AN7474">
        <v>0.99999996463144003</v>
      </c>
    </row>
    <row r="7475" spans="1:40" x14ac:dyDescent="0.25">
      <c r="A7475" t="str">
        <f>"20190312150838564"</f>
        <v>20190312150838564</v>
      </c>
      <c r="B7475" t="str">
        <f>"1552374518557288"</f>
        <v>1552374518557288</v>
      </c>
      <c r="C7475" t="s">
        <v>40</v>
      </c>
      <c r="D7475">
        <v>4.1983329999999999</v>
      </c>
      <c r="E7475">
        <v>0.46221190000000001</v>
      </c>
      <c r="F7475" t="s">
        <v>42</v>
      </c>
      <c r="G7475">
        <v>-396.45249999999999</v>
      </c>
      <c r="H7475" s="1">
        <v>-2.5903789999999999E-6</v>
      </c>
      <c r="I7475">
        <v>134.36539999999999</v>
      </c>
      <c r="J7475">
        <v>-368.3716</v>
      </c>
      <c r="K7475">
        <v>1.110619</v>
      </c>
      <c r="L7475">
        <v>140.20660000000001</v>
      </c>
      <c r="M7475">
        <v>-0.99986030000000004</v>
      </c>
      <c r="N7475">
        <v>0</v>
      </c>
      <c r="O7475">
        <v>-8.7611849999999995E-3</v>
      </c>
      <c r="P7475">
        <v>-0.99296839999999997</v>
      </c>
      <c r="Q7475">
        <v>4.7756199999999999E-2</v>
      </c>
      <c r="R7475">
        <v>-0.10832170000000001</v>
      </c>
      <c r="S7475">
        <v>-2.9602360000000001</v>
      </c>
      <c r="T7475">
        <v>-0.1162654</v>
      </c>
      <c r="U7475">
        <v>-0.61163330000000005</v>
      </c>
      <c r="V7475">
        <v>-9.9595509999999998E-2</v>
      </c>
      <c r="W7475">
        <v>6.1943249999999998E-2</v>
      </c>
      <c r="X7475">
        <v>0.99309809999999998</v>
      </c>
      <c r="Y7475">
        <v>-0.19361729999999999</v>
      </c>
      <c r="Z7475">
        <v>-3.4207550000000001E-3</v>
      </c>
      <c r="AA7475">
        <v>0.98107120000000003</v>
      </c>
      <c r="AB7475">
        <v>19</v>
      </c>
      <c r="AC7475">
        <v>-28.0808999999999</v>
      </c>
      <c r="AD7475">
        <v>-1.110621590379</v>
      </c>
      <c r="AE7475">
        <v>-5.8412000000000104</v>
      </c>
      <c r="AF7475">
        <v>-5.5865524788425098</v>
      </c>
      <c r="AG7475">
        <v>-1.110621590379</v>
      </c>
      <c r="AH7475">
        <v>28.088886954409499</v>
      </c>
      <c r="AI7475">
        <v>92.220816015176098</v>
      </c>
      <c r="AJ7475">
        <v>101.24867646844299</v>
      </c>
      <c r="AK7475">
        <v>28.660576045388101</v>
      </c>
      <c r="AL7475">
        <v>86.448639777873296</v>
      </c>
      <c r="AM7475">
        <v>95.726912641914794</v>
      </c>
      <c r="AN7475">
        <v>1.0000000340281601</v>
      </c>
    </row>
    <row r="7476" spans="1:40" x14ac:dyDescent="0.25">
      <c r="A7476" t="str">
        <f>"20190312150838587"</f>
        <v>20190312150838587</v>
      </c>
      <c r="B7476" t="str">
        <f>"1552374518577783"</f>
        <v>1552374518577783</v>
      </c>
      <c r="C7476" t="s">
        <v>40</v>
      </c>
      <c r="D7476">
        <v>4.1838629999999997</v>
      </c>
      <c r="E7476">
        <v>0.46073219999999998</v>
      </c>
      <c r="F7476" t="s">
        <v>42</v>
      </c>
      <c r="G7476">
        <v>-395.35379999999998</v>
      </c>
      <c r="H7476" s="1">
        <v>-2.95403E-6</v>
      </c>
      <c r="I7476">
        <v>134.40389999999999</v>
      </c>
      <c r="J7476">
        <v>-368.56549999999999</v>
      </c>
      <c r="K7476">
        <v>1.110625</v>
      </c>
      <c r="L7476">
        <v>140.20519999999999</v>
      </c>
      <c r="M7476">
        <v>-0.99986229999999998</v>
      </c>
      <c r="N7476">
        <v>0</v>
      </c>
      <c r="O7476">
        <v>-8.5194190000000003E-3</v>
      </c>
      <c r="P7476">
        <v>-0.9928458</v>
      </c>
      <c r="Q7476">
        <v>4.8325269999999997E-2</v>
      </c>
      <c r="R7476">
        <v>-0.1091871</v>
      </c>
      <c r="S7476">
        <v>-2.957703</v>
      </c>
      <c r="T7476">
        <v>-0.1217432</v>
      </c>
      <c r="U7476">
        <v>-0.63606260000000003</v>
      </c>
      <c r="V7476">
        <v>-0.100701899999999</v>
      </c>
      <c r="W7476">
        <v>6.2506259999999994E-2</v>
      </c>
      <c r="X7476">
        <v>0.99295120000000003</v>
      </c>
      <c r="Y7476">
        <v>-0.2017524</v>
      </c>
      <c r="Z7476">
        <v>-3.757079E-3</v>
      </c>
      <c r="AA7476">
        <v>0.97942940000000001</v>
      </c>
      <c r="AB7476">
        <v>19</v>
      </c>
      <c r="AC7476">
        <v>-26.7882999999999</v>
      </c>
      <c r="AD7476">
        <v>-1.1106279540299999</v>
      </c>
      <c r="AE7476">
        <v>-5.8012999999999897</v>
      </c>
      <c r="AF7476">
        <v>-5.5637105629089101</v>
      </c>
      <c r="AG7476">
        <v>-1.1106279540299999</v>
      </c>
      <c r="AH7476">
        <v>26.7927657574824</v>
      </c>
      <c r="AI7476">
        <v>92.324170245291498</v>
      </c>
      <c r="AJ7476">
        <v>101.73115548462501</v>
      </c>
      <c r="AK7476">
        <v>27.386870332614102</v>
      </c>
      <c r="AL7476">
        <v>86.416318910753404</v>
      </c>
      <c r="AM7476">
        <v>95.790952843339696</v>
      </c>
      <c r="AN7476">
        <v>0.99999999539211804</v>
      </c>
    </row>
    <row r="7477" spans="1:40" x14ac:dyDescent="0.25">
      <c r="A7477" t="str">
        <f>"20190312150838600"</f>
        <v>20190312150838600</v>
      </c>
      <c r="B7477" t="str">
        <f>"1552374518597304"</f>
        <v>1552374518597304</v>
      </c>
      <c r="C7477" t="s">
        <v>40</v>
      </c>
      <c r="D7477">
        <v>4.1526880000000004</v>
      </c>
      <c r="E7477">
        <v>0.45976080000000003</v>
      </c>
      <c r="F7477" t="s">
        <v>42</v>
      </c>
      <c r="G7477">
        <v>-394.1087</v>
      </c>
      <c r="H7477" s="1">
        <v>-3.4027340000000001E-6</v>
      </c>
      <c r="I7477">
        <v>134.58150000000001</v>
      </c>
      <c r="J7477">
        <v>-368.6859</v>
      </c>
      <c r="K7477">
        <v>1.1106279999999999</v>
      </c>
      <c r="L7477">
        <v>140.20439999999999</v>
      </c>
      <c r="M7477">
        <v>-0.99986359999999996</v>
      </c>
      <c r="N7477">
        <v>0</v>
      </c>
      <c r="O7477">
        <v>-8.3696840000000005E-3</v>
      </c>
      <c r="P7477">
        <v>-0.99279470000000003</v>
      </c>
      <c r="Q7477">
        <v>4.8698030000000003E-2</v>
      </c>
      <c r="R7477">
        <v>-0.10948579999999999</v>
      </c>
      <c r="S7477">
        <v>-2.9562680000000001</v>
      </c>
      <c r="T7477">
        <v>-0.12853999999999999</v>
      </c>
      <c r="U7477">
        <v>-0.65086359999999999</v>
      </c>
      <c r="V7477">
        <v>-0.1011498</v>
      </c>
      <c r="W7477">
        <v>6.287508E-2</v>
      </c>
      <c r="X7477">
        <v>0.99288240000000005</v>
      </c>
      <c r="Y7477">
        <v>-0.20665359999999999</v>
      </c>
      <c r="Z7477">
        <v>-4.078117E-3</v>
      </c>
      <c r="AA7477">
        <v>0.97840570000000004</v>
      </c>
      <c r="AB7477">
        <v>19</v>
      </c>
      <c r="AC7477">
        <v>-25.422799999999899</v>
      </c>
      <c r="AD7477">
        <v>-1.1106314027339901</v>
      </c>
      <c r="AE7477">
        <v>-5.62289999999998</v>
      </c>
      <c r="AF7477">
        <v>-5.4000752149957396</v>
      </c>
      <c r="AG7477">
        <v>-1.1106314027339901</v>
      </c>
      <c r="AH7477">
        <v>25.4227194544547</v>
      </c>
      <c r="AI7477">
        <v>92.446941791647902</v>
      </c>
      <c r="AJ7477">
        <v>101.992041675755</v>
      </c>
      <c r="AK7477">
        <v>26.0136306366539</v>
      </c>
      <c r="AL7477">
        <v>86.395145482055597</v>
      </c>
      <c r="AM7477">
        <v>95.816933802955504</v>
      </c>
      <c r="AN7477">
        <v>1.0000000089773999</v>
      </c>
    </row>
    <row r="7478" spans="1:40" x14ac:dyDescent="0.25">
      <c r="A7478" t="str">
        <f>"20190312150838612"</f>
        <v>20190312150838612</v>
      </c>
      <c r="B7478" t="str">
        <f>"1552374518607064"</f>
        <v>1552374518607064</v>
      </c>
      <c r="C7478" t="s">
        <v>40</v>
      </c>
      <c r="D7478">
        <v>4.1382719999999997</v>
      </c>
      <c r="E7478">
        <v>0.45951940000000002</v>
      </c>
      <c r="F7478" t="s">
        <v>42</v>
      </c>
      <c r="G7478">
        <v>-393.08179999999999</v>
      </c>
      <c r="H7478" s="1">
        <v>-3.8121139999999999E-6</v>
      </c>
      <c r="I7478">
        <v>134.75700000000001</v>
      </c>
      <c r="J7478">
        <v>-368.78710000000001</v>
      </c>
      <c r="K7478">
        <v>1.1106309999999999</v>
      </c>
      <c r="L7478">
        <v>140.2037</v>
      </c>
      <c r="M7478">
        <v>-0.9998648</v>
      </c>
      <c r="N7478">
        <v>0</v>
      </c>
      <c r="O7478">
        <v>-8.2436739999999994E-3</v>
      </c>
      <c r="P7478">
        <v>-0.99272309999999997</v>
      </c>
      <c r="Q7478">
        <v>4.9039590000000001E-2</v>
      </c>
      <c r="R7478">
        <v>-0.10998289999999999</v>
      </c>
      <c r="S7478">
        <v>-2.955597</v>
      </c>
      <c r="T7478">
        <v>-0.13455439999999999</v>
      </c>
      <c r="U7478">
        <v>-0.65994259999999905</v>
      </c>
      <c r="V7478">
        <v>-0.1017726</v>
      </c>
      <c r="W7478">
        <v>6.3213450000000004E-2</v>
      </c>
      <c r="X7478">
        <v>0.99279729999999999</v>
      </c>
      <c r="Y7478">
        <v>-0.2096671</v>
      </c>
      <c r="Z7478">
        <v>-4.341681E-3</v>
      </c>
      <c r="AA7478">
        <v>0.97776320000000005</v>
      </c>
      <c r="AB7478">
        <v>19</v>
      </c>
      <c r="AC7478">
        <v>-24.294699999999899</v>
      </c>
      <c r="AD7478">
        <v>-1.1106348121139999</v>
      </c>
      <c r="AE7478">
        <v>-5.4466999999999901</v>
      </c>
      <c r="AF7478">
        <v>-5.2357985404386103</v>
      </c>
      <c r="AG7478">
        <v>-1.1106348121139999</v>
      </c>
      <c r="AH7478">
        <v>24.290445184967801</v>
      </c>
      <c r="AI7478">
        <v>92.559221152203406</v>
      </c>
      <c r="AJ7478">
        <v>102.163981532554</v>
      </c>
      <c r="AK7478">
        <v>24.873134569769601</v>
      </c>
      <c r="AL7478">
        <v>86.3757197809324</v>
      </c>
      <c r="AM7478">
        <v>95.853000174980906</v>
      </c>
      <c r="AN7478">
        <v>1.00000004062947</v>
      </c>
    </row>
    <row r="7479" spans="1:40" x14ac:dyDescent="0.25">
      <c r="A7479" t="str">
        <f>"20190312150838624"</f>
        <v>20190312150838624</v>
      </c>
      <c r="B7479" t="str">
        <f>"1552374518617800"</f>
        <v>1552374518617800</v>
      </c>
      <c r="C7479" t="s">
        <v>40</v>
      </c>
      <c r="D7479">
        <v>4.1869820000000004</v>
      </c>
      <c r="E7479">
        <v>0.45926289999999997</v>
      </c>
      <c r="F7479" t="s">
        <v>42</v>
      </c>
      <c r="G7479">
        <v>-392.8426</v>
      </c>
      <c r="H7479" s="1">
        <v>-3.9065809999999997E-6</v>
      </c>
      <c r="I7479">
        <v>134.803</v>
      </c>
      <c r="J7479">
        <v>-368.88990000000001</v>
      </c>
      <c r="K7479">
        <v>1.110633</v>
      </c>
      <c r="L7479">
        <v>140.203</v>
      </c>
      <c r="M7479">
        <v>-0.99986589999999997</v>
      </c>
      <c r="N7479">
        <v>0</v>
      </c>
      <c r="O7479">
        <v>-8.1157569999999995E-3</v>
      </c>
      <c r="P7479">
        <v>-0.99266880000000002</v>
      </c>
      <c r="Q7479">
        <v>4.9347929999999998E-2</v>
      </c>
      <c r="R7479">
        <v>-0.1103341</v>
      </c>
      <c r="S7479">
        <v>-2.9551699999999999</v>
      </c>
      <c r="T7479">
        <v>-0.13643920000000001</v>
      </c>
      <c r="U7479">
        <v>-0.66345209999999999</v>
      </c>
      <c r="V7479">
        <v>-0.1022511</v>
      </c>
      <c r="W7479">
        <v>6.3518480000000002E-2</v>
      </c>
      <c r="X7479">
        <v>0.99272870000000002</v>
      </c>
      <c r="Y7479">
        <v>-0.21092079999999999</v>
      </c>
      <c r="Z7479">
        <v>-4.4368929999999999E-3</v>
      </c>
      <c r="AA7479">
        <v>0.9774931</v>
      </c>
      <c r="AB7479">
        <v>19</v>
      </c>
      <c r="AC7479">
        <v>-23.9527</v>
      </c>
      <c r="AD7479">
        <v>-1.110636906581</v>
      </c>
      <c r="AE7479">
        <v>-5.4</v>
      </c>
      <c r="AF7479">
        <v>-5.1947796650842104</v>
      </c>
      <c r="AG7479">
        <v>-1.110636906581</v>
      </c>
      <c r="AH7479">
        <v>23.946745573030601</v>
      </c>
      <c r="AI7479">
        <v>92.595168442246404</v>
      </c>
      <c r="AJ7479">
        <v>102.23956100484099</v>
      </c>
      <c r="AK7479">
        <v>24.528878360954302</v>
      </c>
      <c r="AL7479">
        <v>86.358207794143794</v>
      </c>
      <c r="AM7479">
        <v>95.880730093130595</v>
      </c>
      <c r="AN7479">
        <v>1.0000000782781999</v>
      </c>
    </row>
    <row r="7480" spans="1:40" x14ac:dyDescent="0.25">
      <c r="A7480" t="str">
        <f>"20190312150838636"</f>
        <v>20190312150838636</v>
      </c>
      <c r="B7480" t="str">
        <f>"1552374518627560"</f>
        <v>1552374518627560</v>
      </c>
      <c r="C7480" t="s">
        <v>40</v>
      </c>
      <c r="D7480">
        <v>4.7327190000000003</v>
      </c>
      <c r="E7480">
        <v>0.45914110000000002</v>
      </c>
      <c r="F7480" t="s">
        <v>42</v>
      </c>
      <c r="G7480">
        <v>-392.70830000000001</v>
      </c>
      <c r="H7480" s="1">
        <v>-3.9596869999999998E-6</v>
      </c>
      <c r="I7480">
        <v>134.82839999999999</v>
      </c>
      <c r="J7480">
        <v>-368.99349999999998</v>
      </c>
      <c r="K7480">
        <v>1.1106320000000001</v>
      </c>
      <c r="L7480">
        <v>140.20230000000001</v>
      </c>
      <c r="M7480">
        <v>-0.99986679999999994</v>
      </c>
      <c r="N7480">
        <v>0</v>
      </c>
      <c r="O7480">
        <v>-7.9865279999999997E-3</v>
      </c>
      <c r="P7480">
        <v>-0.99262859999999997</v>
      </c>
      <c r="Q7480">
        <v>4.9463890000000003E-2</v>
      </c>
      <c r="R7480">
        <v>-0.1106423</v>
      </c>
      <c r="S7480">
        <v>-2.954895</v>
      </c>
      <c r="T7480">
        <v>-0.13778509999999999</v>
      </c>
      <c r="U7480">
        <v>-0.66674800000000001</v>
      </c>
      <c r="V7480">
        <v>-0.10268819999999999</v>
      </c>
      <c r="W7480">
        <v>6.3631259999999995E-2</v>
      </c>
      <c r="X7480">
        <v>0.99267629999999996</v>
      </c>
      <c r="Y7480">
        <v>-0.2120987</v>
      </c>
      <c r="Z7480">
        <v>-4.5135319999999998E-3</v>
      </c>
      <c r="AA7480">
        <v>0.97723780000000005</v>
      </c>
      <c r="AB7480">
        <v>19</v>
      </c>
      <c r="AC7480">
        <v>-23.7148</v>
      </c>
      <c r="AD7480">
        <v>-1.1106359596869999</v>
      </c>
      <c r="AE7480">
        <v>-5.3739000000000097</v>
      </c>
      <c r="AF7480">
        <v>-5.1735174495116203</v>
      </c>
      <c r="AG7480">
        <v>-1.1106359596869999</v>
      </c>
      <c r="AH7480">
        <v>23.707507917192199</v>
      </c>
      <c r="AI7480">
        <v>92.620615654315699</v>
      </c>
      <c r="AJ7480">
        <v>102.310254165828</v>
      </c>
      <c r="AK7480">
        <v>24.2908362696528</v>
      </c>
      <c r="AL7480">
        <v>86.351732665899704</v>
      </c>
      <c r="AM7480">
        <v>95.9060011022532</v>
      </c>
      <c r="AN7480">
        <v>1.0000000201250501</v>
      </c>
    </row>
    <row r="7481" spans="1:40" x14ac:dyDescent="0.25">
      <c r="A7481" t="str">
        <f>"20190312150838648"</f>
        <v>20190312150838648</v>
      </c>
      <c r="B7481" t="str">
        <f>"1552374518637646"</f>
        <v>1552374518637646</v>
      </c>
      <c r="C7481" t="s">
        <v>40</v>
      </c>
      <c r="D7481">
        <v>4.143211</v>
      </c>
      <c r="E7481">
        <v>0.4590283</v>
      </c>
      <c r="F7481" t="s">
        <v>42</v>
      </c>
      <c r="G7481">
        <v>-392.92919999999998</v>
      </c>
      <c r="H7481" s="1">
        <v>-3.8725029999999996E-6</v>
      </c>
      <c r="I7481">
        <v>134.78559999999999</v>
      </c>
      <c r="J7481">
        <v>-369.09809999999999</v>
      </c>
      <c r="K7481">
        <v>1.110633</v>
      </c>
      <c r="L7481">
        <v>140.20160000000001</v>
      </c>
      <c r="M7481">
        <v>-0.99986799999999998</v>
      </c>
      <c r="N7481">
        <v>0</v>
      </c>
      <c r="O7481">
        <v>-7.8562270000000003E-3</v>
      </c>
      <c r="P7481">
        <v>-0.99258679999999999</v>
      </c>
      <c r="Q7481">
        <v>4.98088E-2</v>
      </c>
      <c r="R7481">
        <v>-0.1108638</v>
      </c>
      <c r="S7481">
        <v>-2.95459</v>
      </c>
      <c r="T7481">
        <v>-0.13709549999999901</v>
      </c>
      <c r="U7481">
        <v>-0.66860959999999903</v>
      </c>
      <c r="V7481">
        <v>-0.10304000000000001</v>
      </c>
      <c r="W7481">
        <v>6.3972929999999997E-2</v>
      </c>
      <c r="X7481">
        <v>0.99261779999999999</v>
      </c>
      <c r="Y7481">
        <v>-0.21283469999999999</v>
      </c>
      <c r="Z7481">
        <v>-4.5139280000000004E-3</v>
      </c>
      <c r="AA7481">
        <v>0.9770778</v>
      </c>
      <c r="AB7481">
        <v>19</v>
      </c>
      <c r="AC7481">
        <v>-23.8310999999999</v>
      </c>
      <c r="AD7481">
        <v>-1.110636872503</v>
      </c>
      <c r="AE7481">
        <v>-5.4160000000000199</v>
      </c>
      <c r="AF7481">
        <v>-5.21781496182449</v>
      </c>
      <c r="AG7481">
        <v>-1.110636872503</v>
      </c>
      <c r="AH7481">
        <v>23.823714728767399</v>
      </c>
      <c r="AI7481">
        <v>92.607420786392495</v>
      </c>
      <c r="AJ7481">
        <v>102.353723547101</v>
      </c>
      <c r="AK7481">
        <v>24.4136947370957</v>
      </c>
      <c r="AL7481">
        <v>86.332116145710103</v>
      </c>
      <c r="AM7481">
        <v>95.926437519396799</v>
      </c>
      <c r="AN7481">
        <v>0.99999993712480995</v>
      </c>
    </row>
    <row r="7482" spans="1:40" x14ac:dyDescent="0.25">
      <c r="A7482" t="str">
        <f>"20190312150838661"</f>
        <v>20190312150838661</v>
      </c>
      <c r="B7482" t="str">
        <f>"1552374518657165"</f>
        <v>1552374518657165</v>
      </c>
      <c r="C7482" t="s">
        <v>40</v>
      </c>
      <c r="D7482">
        <v>4.1669239999999999</v>
      </c>
      <c r="E7482">
        <v>0.45877760000000001</v>
      </c>
      <c r="F7482" t="s">
        <v>42</v>
      </c>
      <c r="G7482">
        <v>-393.35789999999997</v>
      </c>
      <c r="H7482" s="1">
        <v>-3.7041470000000001E-6</v>
      </c>
      <c r="I7482">
        <v>134.69799999999901</v>
      </c>
      <c r="J7482">
        <v>-369.2038</v>
      </c>
      <c r="K7482">
        <v>1.1106339999999999</v>
      </c>
      <c r="L7482">
        <v>140.20089999999999</v>
      </c>
      <c r="M7482">
        <v>-0.99986900000000001</v>
      </c>
      <c r="N7482">
        <v>0</v>
      </c>
      <c r="O7482">
        <v>-7.7244949999999996E-3</v>
      </c>
      <c r="P7482">
        <v>-0.99253519999999895</v>
      </c>
      <c r="Q7482">
        <v>4.9943130000000002E-2</v>
      </c>
      <c r="R7482">
        <v>-0.1112644</v>
      </c>
      <c r="S7482">
        <v>-2.9543149999999998</v>
      </c>
      <c r="T7482">
        <v>-0.1352516</v>
      </c>
      <c r="U7482">
        <v>-0.67021180000000002</v>
      </c>
      <c r="V7482">
        <v>-0.1035711</v>
      </c>
      <c r="W7482">
        <v>6.4103789999999994E-2</v>
      </c>
      <c r="X7482">
        <v>0.99255409999999999</v>
      </c>
      <c r="Y7482">
        <v>-0.21349170000000001</v>
      </c>
      <c r="Z7482">
        <v>-4.4742159999999996E-3</v>
      </c>
      <c r="AA7482">
        <v>0.97693459999999999</v>
      </c>
      <c r="AB7482">
        <v>19</v>
      </c>
      <c r="AC7482">
        <v>-24.1540999999999</v>
      </c>
      <c r="AD7482">
        <v>-1.1106377041469999</v>
      </c>
      <c r="AE7482">
        <v>-5.5029000000000101</v>
      </c>
      <c r="AF7482">
        <v>-5.3054749086573896</v>
      </c>
      <c r="AG7482">
        <v>-1.1106377041469999</v>
      </c>
      <c r="AH7482">
        <v>24.147355487857499</v>
      </c>
      <c r="AI7482">
        <v>92.572149845077504</v>
      </c>
      <c r="AJ7482">
        <v>102.391703393489</v>
      </c>
      <c r="AK7482">
        <v>24.748259679687099</v>
      </c>
      <c r="AL7482">
        <v>86.324603064246801</v>
      </c>
      <c r="AM7482">
        <v>95.957144670659403</v>
      </c>
      <c r="AN7482">
        <v>0.99999995503719097</v>
      </c>
    </row>
    <row r="7483" spans="1:40" x14ac:dyDescent="0.25">
      <c r="A7483" t="str">
        <f>"20190312150838675"</f>
        <v>20190312150838675</v>
      </c>
      <c r="B7483" t="str">
        <f>"1552374518666925"</f>
        <v>1552374518666925</v>
      </c>
      <c r="C7483" t="s">
        <v>40</v>
      </c>
      <c r="D7483">
        <v>4.1625949999999996</v>
      </c>
      <c r="E7483">
        <v>0.458652</v>
      </c>
      <c r="F7483" t="s">
        <v>42</v>
      </c>
      <c r="G7483">
        <v>-392.88299999999998</v>
      </c>
      <c r="H7483" s="1">
        <v>-3.8896430000000001E-6</v>
      </c>
      <c r="I7483">
        <v>134.80090000000001</v>
      </c>
      <c r="J7483">
        <v>-369.32960000000003</v>
      </c>
      <c r="K7483">
        <v>1.110636</v>
      </c>
      <c r="L7483">
        <v>140.20009999999999</v>
      </c>
      <c r="M7483">
        <v>-0.99987029999999999</v>
      </c>
      <c r="N7483">
        <v>0</v>
      </c>
      <c r="O7483">
        <v>-7.5678489999999998E-3</v>
      </c>
      <c r="P7483">
        <v>-0.99243349999999997</v>
      </c>
      <c r="Q7483">
        <v>5.022397E-2</v>
      </c>
      <c r="R7483">
        <v>-0.112042</v>
      </c>
      <c r="S7483">
        <v>-2.9539789999999999</v>
      </c>
      <c r="T7483">
        <v>-0.1385525</v>
      </c>
      <c r="U7483">
        <v>-0.67364499999999905</v>
      </c>
      <c r="V7483">
        <v>-0.104505399999999</v>
      </c>
      <c r="W7483">
        <v>6.4380740000000006E-2</v>
      </c>
      <c r="X7483">
        <v>0.9924383</v>
      </c>
      <c r="Y7483">
        <v>-0.2147366</v>
      </c>
      <c r="Z7483">
        <v>-4.6192799999999999E-3</v>
      </c>
      <c r="AA7483">
        <v>0.97666109999999995</v>
      </c>
      <c r="AB7483">
        <v>19</v>
      </c>
      <c r="AC7483">
        <v>-23.5534</v>
      </c>
      <c r="AD7483">
        <v>-1.1106398896430001</v>
      </c>
      <c r="AE7483">
        <v>-5.3991999999999702</v>
      </c>
      <c r="AF7483">
        <v>-5.2097730947905401</v>
      </c>
      <c r="AG7483">
        <v>-1.1106398896430001</v>
      </c>
      <c r="AH7483">
        <v>23.543853339381901</v>
      </c>
      <c r="AI7483">
        <v>92.637127361831105</v>
      </c>
      <c r="AJ7483">
        <v>102.47732759568299</v>
      </c>
      <c r="AK7483">
        <v>24.138937149965699</v>
      </c>
      <c r="AL7483">
        <v>86.308702387067797</v>
      </c>
      <c r="AM7483">
        <v>96.011187756464693</v>
      </c>
      <c r="AN7483">
        <v>1.00000001880949</v>
      </c>
    </row>
    <row r="7484" spans="1:40" x14ac:dyDescent="0.25">
      <c r="A7484" t="str">
        <f>"20190312150838689"</f>
        <v>20190312150838689</v>
      </c>
      <c r="B7484" t="str">
        <f>"1552374518677663"</f>
        <v>1552374518677663</v>
      </c>
      <c r="C7484" t="s">
        <v>40</v>
      </c>
      <c r="D7484">
        <v>4.1777519999999999</v>
      </c>
      <c r="E7484">
        <v>0.45846369999999997</v>
      </c>
      <c r="F7484" t="s">
        <v>42</v>
      </c>
      <c r="G7484">
        <v>-392.85700000000003</v>
      </c>
      <c r="H7484" s="1">
        <v>-3.8997260000000004E-6</v>
      </c>
      <c r="I7484">
        <v>134.80690000000001</v>
      </c>
      <c r="J7484">
        <v>-369.44729999999998</v>
      </c>
      <c r="K7484">
        <v>1.110638</v>
      </c>
      <c r="L7484">
        <v>140.1994</v>
      </c>
      <c r="M7484">
        <v>-0.99987150000000002</v>
      </c>
      <c r="N7484">
        <v>0</v>
      </c>
      <c r="O7484">
        <v>-7.4213350000000003E-3</v>
      </c>
      <c r="P7484">
        <v>-0.99240019999999995</v>
      </c>
      <c r="Q7484">
        <v>5.0258400000000002E-2</v>
      </c>
      <c r="R7484">
        <v>-0.112321699999999</v>
      </c>
      <c r="S7484">
        <v>-2.9534609999999999</v>
      </c>
      <c r="T7484">
        <v>-0.13942199999999999</v>
      </c>
      <c r="U7484">
        <v>-0.67701719999999999</v>
      </c>
      <c r="V7484">
        <v>-0.1049311</v>
      </c>
      <c r="W7484">
        <v>6.4411189999999993E-2</v>
      </c>
      <c r="X7484">
        <v>0.99239140000000003</v>
      </c>
      <c r="Y7484">
        <v>-0.2159722</v>
      </c>
      <c r="Z7484">
        <v>-4.6840459999999999E-3</v>
      </c>
      <c r="AA7484">
        <v>0.97638829999999999</v>
      </c>
      <c r="AB7484">
        <v>19</v>
      </c>
      <c r="AC7484">
        <v>-23.409699999999901</v>
      </c>
      <c r="AD7484">
        <v>-1.1106418997259999</v>
      </c>
      <c r="AE7484">
        <v>-5.3924999999999796</v>
      </c>
      <c r="AF7484">
        <v>-5.2074718303904097</v>
      </c>
      <c r="AG7484">
        <v>-1.1106418997259999</v>
      </c>
      <c r="AH7484">
        <v>23.399063742905302</v>
      </c>
      <c r="AI7484">
        <v>92.6527149136014</v>
      </c>
      <c r="AJ7484">
        <v>102.54672675605499</v>
      </c>
      <c r="AK7484">
        <v>23.997238848215101</v>
      </c>
      <c r="AL7484">
        <v>86.306954084018699</v>
      </c>
      <c r="AM7484">
        <v>96.035776925088101</v>
      </c>
      <c r="AN7484">
        <v>1.00000001396919</v>
      </c>
    </row>
    <row r="7485" spans="1:40" x14ac:dyDescent="0.25">
      <c r="A7485" t="str">
        <f>"20190312150838701"</f>
        <v>20190312150838701</v>
      </c>
      <c r="B7485" t="str">
        <f>"1552374518697181"</f>
        <v>1552374518697181</v>
      </c>
      <c r="C7485" t="s">
        <v>40</v>
      </c>
      <c r="D7485">
        <v>4.1464699999999999</v>
      </c>
      <c r="E7485">
        <v>0.4581964</v>
      </c>
      <c r="F7485" t="s">
        <v>42</v>
      </c>
      <c r="G7485">
        <v>-392.7921</v>
      </c>
      <c r="H7485" s="1">
        <v>-3.9236050000000004E-6</v>
      </c>
      <c r="I7485">
        <v>134.82929999999999</v>
      </c>
      <c r="J7485">
        <v>-369.55020000000002</v>
      </c>
      <c r="K7485">
        <v>1.1106389999999999</v>
      </c>
      <c r="L7485">
        <v>140.19880000000001</v>
      </c>
      <c r="M7485">
        <v>-0.99987239999999999</v>
      </c>
      <c r="N7485">
        <v>0</v>
      </c>
      <c r="O7485">
        <v>-7.2930619999999899E-3</v>
      </c>
      <c r="P7485">
        <v>-0.99235419999999996</v>
      </c>
      <c r="Q7485">
        <v>5.054699E-2</v>
      </c>
      <c r="R7485">
        <v>-0.1125997</v>
      </c>
      <c r="S7485">
        <v>-2.9531860000000001</v>
      </c>
      <c r="T7485">
        <v>-0.14049979999999901</v>
      </c>
      <c r="U7485">
        <v>-0.67932130000000002</v>
      </c>
      <c r="V7485">
        <v>-0.1053365</v>
      </c>
      <c r="W7485">
        <v>6.4697180000000007E-2</v>
      </c>
      <c r="X7485">
        <v>0.99232980000000004</v>
      </c>
      <c r="Y7485">
        <v>-0.21683630000000001</v>
      </c>
      <c r="Z7485">
        <v>-4.7465340000000002E-3</v>
      </c>
      <c r="AA7485">
        <v>0.97619650000000002</v>
      </c>
      <c r="AB7485">
        <v>19</v>
      </c>
      <c r="AC7485">
        <v>-23.241899999999902</v>
      </c>
      <c r="AD7485">
        <v>-1.1106429236049999</v>
      </c>
      <c r="AE7485">
        <v>-5.3695000000000102</v>
      </c>
      <c r="AF7485">
        <v>-5.1885875043747998</v>
      </c>
      <c r="AG7485">
        <v>-1.1106429236049999</v>
      </c>
      <c r="AH7485">
        <v>23.230087155176101</v>
      </c>
      <c r="AI7485">
        <v>92.671528794695107</v>
      </c>
      <c r="AJ7485">
        <v>102.590715698815</v>
      </c>
      <c r="AK7485">
        <v>23.828384696227001</v>
      </c>
      <c r="AL7485">
        <v>86.290533642806594</v>
      </c>
      <c r="AM7485">
        <v>96.059296262043404</v>
      </c>
      <c r="AN7485">
        <v>0.99999996765012</v>
      </c>
    </row>
    <row r="7486" spans="1:40" x14ac:dyDescent="0.25">
      <c r="A7486" t="str">
        <f>"20190312150838713"</f>
        <v>20190312150838713</v>
      </c>
      <c r="B7486" t="str">
        <f>"1552374518706941"</f>
        <v>1552374518706941</v>
      </c>
      <c r="C7486" t="s">
        <v>40</v>
      </c>
      <c r="D7486">
        <v>4.1691019999999996</v>
      </c>
      <c r="E7486">
        <v>0.45802979999999999</v>
      </c>
      <c r="F7486" t="s">
        <v>42</v>
      </c>
      <c r="G7486">
        <v>-392.43599999999998</v>
      </c>
      <c r="H7486" s="1">
        <v>-4.0623180000000001E-6</v>
      </c>
      <c r="I7486">
        <v>134.9084</v>
      </c>
      <c r="J7486">
        <v>-369.6558</v>
      </c>
      <c r="K7486">
        <v>1.1106389999999999</v>
      </c>
      <c r="L7486">
        <v>140.19820000000001</v>
      </c>
      <c r="M7486">
        <v>-0.99987329999999996</v>
      </c>
      <c r="N7486">
        <v>0</v>
      </c>
      <c r="O7486">
        <v>-7.1614499999999998E-3</v>
      </c>
      <c r="P7486">
        <v>-0.99229710000000004</v>
      </c>
      <c r="Q7486">
        <v>5.0866540000000002E-2</v>
      </c>
      <c r="R7486">
        <v>-0.1129566</v>
      </c>
      <c r="S7486">
        <v>-2.9529420000000002</v>
      </c>
      <c r="T7486">
        <v>-0.14330599999999999</v>
      </c>
      <c r="U7486">
        <v>-0.68260189999999998</v>
      </c>
      <c r="V7486">
        <v>-0.1058245</v>
      </c>
      <c r="W7486">
        <v>6.5013599999999894E-2</v>
      </c>
      <c r="X7486">
        <v>0.99225719999999995</v>
      </c>
      <c r="Y7486">
        <v>-0.21800149999999999</v>
      </c>
      <c r="Z7486">
        <v>-4.8752179999999997E-3</v>
      </c>
      <c r="AA7486">
        <v>0.97593620000000003</v>
      </c>
      <c r="AB7486">
        <v>19</v>
      </c>
      <c r="AC7486">
        <v>-22.780199999999901</v>
      </c>
      <c r="AD7486">
        <v>-1.1106430623179999</v>
      </c>
      <c r="AE7486">
        <v>-5.2898000000000103</v>
      </c>
      <c r="AF7486">
        <v>-5.1149722103329101</v>
      </c>
      <c r="AG7486">
        <v>-1.1106430623179999</v>
      </c>
      <c r="AH7486">
        <v>22.766155157414399</v>
      </c>
      <c r="AI7486">
        <v>92.725123509703195</v>
      </c>
      <c r="AJ7486">
        <v>102.662625579389</v>
      </c>
      <c r="AK7486">
        <v>23.360100371698302</v>
      </c>
      <c r="AL7486">
        <v>86.272365878588701</v>
      </c>
      <c r="AM7486">
        <v>96.087599359168706</v>
      </c>
      <c r="AN7486">
        <v>0.99999997196852397</v>
      </c>
    </row>
    <row r="7487" spans="1:40" x14ac:dyDescent="0.25">
      <c r="A7487" t="str">
        <f>"20190312150838731"</f>
        <v>20190312150838731</v>
      </c>
      <c r="B7487" t="str">
        <f>"1552374518727438"</f>
        <v>1552374518727438</v>
      </c>
      <c r="C7487" t="s">
        <v>40</v>
      </c>
      <c r="D7487">
        <v>4.1790019999999997</v>
      </c>
      <c r="E7487">
        <v>0.45789869999999999</v>
      </c>
      <c r="F7487" t="s">
        <v>42</v>
      </c>
      <c r="G7487">
        <v>-392.38479999999998</v>
      </c>
      <c r="H7487" s="1">
        <v>-4.0811569999999999E-6</v>
      </c>
      <c r="I7487">
        <v>134.92599999999999</v>
      </c>
      <c r="J7487">
        <v>-369.80360000000002</v>
      </c>
      <c r="K7487">
        <v>1.1106370000000001</v>
      </c>
      <c r="L7487">
        <v>140.19730000000001</v>
      </c>
      <c r="M7487">
        <v>-0.99987479999999995</v>
      </c>
      <c r="N7487">
        <v>0</v>
      </c>
      <c r="O7487">
        <v>-6.9778629999999999E-3</v>
      </c>
      <c r="P7487">
        <v>-0.99221570000000003</v>
      </c>
      <c r="Q7487">
        <v>5.0869589999999999E-2</v>
      </c>
      <c r="R7487">
        <v>-0.1136692</v>
      </c>
      <c r="S7487">
        <v>-2.952728</v>
      </c>
      <c r="T7487">
        <v>-0.14428379999999999</v>
      </c>
      <c r="U7487">
        <v>-0.68489069999999996</v>
      </c>
      <c r="V7487">
        <v>-0.1067202</v>
      </c>
      <c r="W7487">
        <v>6.5012189999999997E-2</v>
      </c>
      <c r="X7487">
        <v>0.99216139999999997</v>
      </c>
      <c r="Y7487">
        <v>-0.21890970000000001</v>
      </c>
      <c r="Z7487">
        <v>-4.9390950000000001E-3</v>
      </c>
      <c r="AA7487">
        <v>0.97573259999999995</v>
      </c>
      <c r="AB7487">
        <v>19</v>
      </c>
      <c r="AC7487">
        <v>-22.5811999999999</v>
      </c>
      <c r="AD7487">
        <v>-1.110641081157</v>
      </c>
      <c r="AE7487">
        <v>-5.2712999999999903</v>
      </c>
      <c r="AF7487">
        <v>-5.10188307005438</v>
      </c>
      <c r="AG7487">
        <v>-1.110641081157</v>
      </c>
      <c r="AH7487">
        <v>22.5656686712774</v>
      </c>
      <c r="AI7487">
        <v>92.748459562068405</v>
      </c>
      <c r="AJ7487">
        <v>102.739839359405</v>
      </c>
      <c r="AK7487">
        <v>23.161868168468899</v>
      </c>
      <c r="AL7487">
        <v>86.272446996770896</v>
      </c>
      <c r="AM7487">
        <v>96.139321313222993</v>
      </c>
      <c r="AN7487">
        <v>1.0000000147932899</v>
      </c>
    </row>
    <row r="7488" spans="1:40" x14ac:dyDescent="0.25">
      <c r="A7488" t="str">
        <f>"20190312150838745"</f>
        <v>20190312150838745</v>
      </c>
      <c r="B7488" t="str">
        <f>"1552374518737197"</f>
        <v>1552374518737197</v>
      </c>
      <c r="C7488" t="s">
        <v>40</v>
      </c>
      <c r="D7488">
        <v>4.190245</v>
      </c>
      <c r="E7488">
        <v>0.45787879999999997</v>
      </c>
      <c r="F7488" t="s">
        <v>42</v>
      </c>
      <c r="G7488">
        <v>-392.19869999999997</v>
      </c>
      <c r="H7488" s="1">
        <v>-4.1519890000000001E-6</v>
      </c>
      <c r="I7488">
        <v>134.97669999999999</v>
      </c>
      <c r="J7488">
        <v>-369.93220000000002</v>
      </c>
      <c r="K7488">
        <v>1.1106389999999999</v>
      </c>
      <c r="L7488">
        <v>140.19659999999999</v>
      </c>
      <c r="M7488">
        <v>-0.99987579999999998</v>
      </c>
      <c r="N7488">
        <v>0</v>
      </c>
      <c r="O7488">
        <v>-6.8183599999999999E-3</v>
      </c>
      <c r="P7488">
        <v>-0.99219550000000001</v>
      </c>
      <c r="Q7488">
        <v>5.1071529999999997E-2</v>
      </c>
      <c r="R7488">
        <v>-0.1137562</v>
      </c>
      <c r="S7488">
        <v>-2.9522089999999999</v>
      </c>
      <c r="T7488">
        <v>-0.1464087</v>
      </c>
      <c r="U7488">
        <v>-0.68818659999999998</v>
      </c>
      <c r="V7488">
        <v>-0.1069657</v>
      </c>
      <c r="W7488">
        <v>6.5210130000000005E-2</v>
      </c>
      <c r="X7488">
        <v>0.9921219</v>
      </c>
      <c r="Y7488">
        <v>-0.22012760000000001</v>
      </c>
      <c r="Z7488">
        <v>-5.0495669999999996E-3</v>
      </c>
      <c r="AA7488">
        <v>0.97545800000000005</v>
      </c>
      <c r="AB7488">
        <v>19</v>
      </c>
      <c r="AC7488">
        <v>-22.266499999999901</v>
      </c>
      <c r="AD7488">
        <v>-1.1106431519890001</v>
      </c>
      <c r="AE7488">
        <v>-5.2198999999999902</v>
      </c>
      <c r="AF7488">
        <v>-5.0560183724707297</v>
      </c>
      <c r="AG7488">
        <v>-1.1106431519890001</v>
      </c>
      <c r="AH7488">
        <v>22.249105600285201</v>
      </c>
      <c r="AI7488">
        <v>92.786815746314403</v>
      </c>
      <c r="AJ7488">
        <v>102.802805310469</v>
      </c>
      <c r="AK7488">
        <v>22.843369935420299</v>
      </c>
      <c r="AL7488">
        <v>86.261081485578501</v>
      </c>
      <c r="AM7488">
        <v>96.153579142253193</v>
      </c>
      <c r="AN7488">
        <v>0.99999994324535602</v>
      </c>
    </row>
    <row r="7489" spans="1:40" x14ac:dyDescent="0.25">
      <c r="A7489" t="str">
        <f>"20190312150838759"</f>
        <v>20190312150838759</v>
      </c>
      <c r="B7489" t="str">
        <f>"1552374518746958"</f>
        <v>1552374518746958</v>
      </c>
      <c r="C7489" t="s">
        <v>40</v>
      </c>
      <c r="D7489">
        <v>4.1991199999999997</v>
      </c>
      <c r="E7489">
        <v>0.45786640000000001</v>
      </c>
      <c r="F7489" t="s">
        <v>42</v>
      </c>
      <c r="G7489">
        <v>-392.46749999999997</v>
      </c>
      <c r="H7489" s="1">
        <v>-4.0432199999999901E-6</v>
      </c>
      <c r="I7489">
        <v>134.93969999999999</v>
      </c>
      <c r="J7489">
        <v>-370.04669999999999</v>
      </c>
      <c r="K7489">
        <v>1.1106400000000001</v>
      </c>
      <c r="L7489">
        <v>140.196</v>
      </c>
      <c r="M7489">
        <v>-0.99987689999999996</v>
      </c>
      <c r="N7489">
        <v>0</v>
      </c>
      <c r="O7489">
        <v>-6.6771E-3</v>
      </c>
      <c r="P7489">
        <v>-0.9921238</v>
      </c>
      <c r="Q7489">
        <v>5.1149510000000002E-2</v>
      </c>
      <c r="R7489">
        <v>-0.1143438</v>
      </c>
      <c r="S7489">
        <v>-2.952118</v>
      </c>
      <c r="T7489">
        <v>-0.1454935</v>
      </c>
      <c r="U7489">
        <v>-0.68862919999999905</v>
      </c>
      <c r="V7489">
        <v>-0.1076942</v>
      </c>
      <c r="W7489">
        <v>6.5284339999999996E-2</v>
      </c>
      <c r="X7489">
        <v>0.99203819999999998</v>
      </c>
      <c r="Y7489">
        <v>-0.22041340000000001</v>
      </c>
      <c r="Z7489">
        <v>-5.0319140000000002E-3</v>
      </c>
      <c r="AA7489">
        <v>0.97539359999999997</v>
      </c>
      <c r="AB7489">
        <v>19</v>
      </c>
      <c r="AC7489">
        <v>-22.4207999999999</v>
      </c>
      <c r="AD7489">
        <v>-1.11064404322</v>
      </c>
      <c r="AE7489">
        <v>-5.2563000000000004</v>
      </c>
      <c r="AF7489">
        <v>-5.0946116844284699</v>
      </c>
      <c r="AG7489">
        <v>-1.11064404322</v>
      </c>
      <c r="AH7489">
        <v>22.403290265376398</v>
      </c>
      <c r="AI7489">
        <v>92.767573578286999</v>
      </c>
      <c r="AJ7489">
        <v>102.811451532094</v>
      </c>
      <c r="AK7489">
        <v>23.0020871470517</v>
      </c>
      <c r="AL7489">
        <v>86.2568204662754</v>
      </c>
      <c r="AM7489">
        <v>96.195682508059704</v>
      </c>
      <c r="AN7489">
        <v>0.99999993801105502</v>
      </c>
    </row>
    <row r="7490" spans="1:40" x14ac:dyDescent="0.25">
      <c r="A7490" t="str">
        <f>"20190312150838777"</f>
        <v>20190312150838777</v>
      </c>
      <c r="B7490" t="str">
        <f>"1552374518767453"</f>
        <v>1552374518767453</v>
      </c>
      <c r="C7490" t="s">
        <v>40</v>
      </c>
      <c r="D7490">
        <v>4.2031519999999896</v>
      </c>
      <c r="E7490">
        <v>0.4578333</v>
      </c>
      <c r="F7490" t="s">
        <v>42</v>
      </c>
      <c r="G7490">
        <v>-392.60980000000001</v>
      </c>
      <c r="H7490" s="1">
        <v>-3.9860649999999999E-6</v>
      </c>
      <c r="I7490">
        <v>134.91800000000001</v>
      </c>
      <c r="J7490">
        <v>-370.18540000000002</v>
      </c>
      <c r="K7490">
        <v>1.1106400000000001</v>
      </c>
      <c r="L7490">
        <v>140.1952</v>
      </c>
      <c r="M7490">
        <v>-0.99987800000000004</v>
      </c>
      <c r="N7490">
        <v>0</v>
      </c>
      <c r="O7490">
        <v>-6.5062790000000002E-3</v>
      </c>
      <c r="P7490">
        <v>-0.99200690000000002</v>
      </c>
      <c r="Q7490">
        <v>5.1528440000000002E-2</v>
      </c>
      <c r="R7490">
        <v>-0.1151832</v>
      </c>
      <c r="S7490">
        <v>-2.951721</v>
      </c>
      <c r="T7490">
        <v>-0.1452957</v>
      </c>
      <c r="U7490">
        <v>-0.69046019999999997</v>
      </c>
      <c r="V7490">
        <v>-0.1087038</v>
      </c>
      <c r="W7490">
        <v>6.5658339999999996E-2</v>
      </c>
      <c r="X7490">
        <v>0.99190350000000005</v>
      </c>
      <c r="Y7490">
        <v>-0.2211822</v>
      </c>
      <c r="Z7490">
        <v>-5.0523360000000002E-3</v>
      </c>
      <c r="AA7490">
        <v>0.97521939999999996</v>
      </c>
      <c r="AB7490">
        <v>19</v>
      </c>
      <c r="AC7490">
        <v>-22.424399999999899</v>
      </c>
      <c r="AD7490">
        <v>-1.1106439860649999</v>
      </c>
      <c r="AE7490">
        <v>-5.2771999999999899</v>
      </c>
      <c r="AF7490">
        <v>-5.1192752581409202</v>
      </c>
      <c r="AG7490">
        <v>-1.1106439860649999</v>
      </c>
      <c r="AH7490">
        <v>22.406184207321399</v>
      </c>
      <c r="AI7490">
        <v>92.766575204885498</v>
      </c>
      <c r="AJ7490">
        <v>102.869805065327</v>
      </c>
      <c r="AK7490">
        <v>23.0103802655414</v>
      </c>
      <c r="AL7490">
        <v>86.235346166052395</v>
      </c>
      <c r="AM7490">
        <v>96.2541495582539</v>
      </c>
      <c r="AN7490">
        <v>1.0000000435291201</v>
      </c>
    </row>
    <row r="7491" spans="1:40" x14ac:dyDescent="0.25">
      <c r="A7491" t="str">
        <f>"20190312150838797"</f>
        <v>20190312150838797</v>
      </c>
      <c r="B7491" t="str">
        <f>"1552374518786973"</f>
        <v>1552374518786973</v>
      </c>
      <c r="C7491" t="s">
        <v>40</v>
      </c>
      <c r="D7491">
        <v>4.169759</v>
      </c>
      <c r="E7491">
        <v>0.45785759999999998</v>
      </c>
      <c r="F7491" t="s">
        <v>42</v>
      </c>
      <c r="G7491">
        <v>-392.93020000000001</v>
      </c>
      <c r="H7491" s="1">
        <v>-3.860151E-6</v>
      </c>
      <c r="I7491">
        <v>134.8528</v>
      </c>
      <c r="J7491">
        <v>-370.36970000000002</v>
      </c>
      <c r="K7491">
        <v>1.110649</v>
      </c>
      <c r="L7491">
        <v>140.1943</v>
      </c>
      <c r="M7491">
        <v>-0.99987950000000003</v>
      </c>
      <c r="N7491">
        <v>0</v>
      </c>
      <c r="O7491">
        <v>-6.2800290000000003E-3</v>
      </c>
      <c r="P7491">
        <v>-0.99187610000000004</v>
      </c>
      <c r="Q7491">
        <v>5.1999919999999998E-2</v>
      </c>
      <c r="R7491">
        <v>-0.11609709999999999</v>
      </c>
      <c r="S7491">
        <v>-2.9511720000000001</v>
      </c>
      <c r="T7491">
        <v>-0.14410729999999999</v>
      </c>
      <c r="U7491">
        <v>-0.69317629999999997</v>
      </c>
      <c r="V7491">
        <v>-0.109843</v>
      </c>
      <c r="W7491">
        <v>6.6123189999999998E-2</v>
      </c>
      <c r="X7491">
        <v>0.99174709999999999</v>
      </c>
      <c r="Y7491">
        <v>-0.2222963</v>
      </c>
      <c r="Z7491">
        <v>-5.0491599999999996E-3</v>
      </c>
      <c r="AA7491">
        <v>0.97496609999999995</v>
      </c>
      <c r="AB7491">
        <v>19</v>
      </c>
      <c r="AC7491">
        <v>-22.560499999999902</v>
      </c>
      <c r="AD7491">
        <v>-1.110652860151</v>
      </c>
      <c r="AE7491">
        <v>-5.3414999999999901</v>
      </c>
      <c r="AF7491">
        <v>-5.1877940803852498</v>
      </c>
      <c r="AG7491">
        <v>-1.110652860151</v>
      </c>
      <c r="AH7491">
        <v>22.541870871662599</v>
      </c>
      <c r="AI7491">
        <v>92.748974503905202</v>
      </c>
      <c r="AJ7491">
        <v>102.960401789534</v>
      </c>
      <c r="AK7491">
        <v>23.157778382024301</v>
      </c>
      <c r="AL7491">
        <v>86.208654188066106</v>
      </c>
      <c r="AM7491">
        <v>96.320153115521705</v>
      </c>
      <c r="AN7491">
        <v>1.0000000356315899</v>
      </c>
    </row>
    <row r="7492" spans="1:40" x14ac:dyDescent="0.25">
      <c r="A7492" t="str">
        <f>"20190312150838821"</f>
        <v>20190312150838821</v>
      </c>
      <c r="B7492" t="str">
        <f>"1552374518817230"</f>
        <v>1552374518817230</v>
      </c>
      <c r="C7492" t="s">
        <v>40</v>
      </c>
      <c r="D7492">
        <v>4.1764970000000003</v>
      </c>
      <c r="E7492">
        <v>0.45790449999999999</v>
      </c>
      <c r="F7492" t="s">
        <v>42</v>
      </c>
      <c r="G7492">
        <v>-393.2045</v>
      </c>
      <c r="H7492" s="1">
        <v>-3.7499529999999999E-6</v>
      </c>
      <c r="I7492">
        <v>134.8108</v>
      </c>
      <c r="J7492">
        <v>-370.55720000000002</v>
      </c>
      <c r="K7492">
        <v>1.1106549999999999</v>
      </c>
      <c r="L7492">
        <v>140.1934</v>
      </c>
      <c r="M7492">
        <v>-0.99988089999999996</v>
      </c>
      <c r="N7492">
        <v>0</v>
      </c>
      <c r="O7492">
        <v>-6.0505569999999998E-3</v>
      </c>
      <c r="P7492">
        <v>-0.99177579999999999</v>
      </c>
      <c r="Q7492">
        <v>5.2602629999999997E-2</v>
      </c>
      <c r="R7492">
        <v>-0.1166788</v>
      </c>
      <c r="S7492">
        <v>-2.950745</v>
      </c>
      <c r="T7492">
        <v>-0.1435205</v>
      </c>
      <c r="U7492">
        <v>-0.69564820000000005</v>
      </c>
      <c r="V7492">
        <v>-0.1106534</v>
      </c>
      <c r="W7492">
        <v>6.6719819999999999E-2</v>
      </c>
      <c r="X7492">
        <v>0.99161699999999997</v>
      </c>
      <c r="Y7492">
        <v>-0.22332579999999999</v>
      </c>
      <c r="Z7492">
        <v>-5.0645389999999998E-3</v>
      </c>
      <c r="AA7492">
        <v>0.97473069999999895</v>
      </c>
      <c r="AB7492">
        <v>19</v>
      </c>
      <c r="AC7492">
        <v>-22.647299999999898</v>
      </c>
      <c r="AD7492">
        <v>-1.1106587499529901</v>
      </c>
      <c r="AE7492">
        <v>-5.3825999999999903</v>
      </c>
      <c r="AF7492">
        <v>-5.2335447927895</v>
      </c>
      <c r="AG7492">
        <v>-1.1106587499529901</v>
      </c>
      <c r="AH7492">
        <v>22.627944278798399</v>
      </c>
      <c r="AI7492">
        <v>92.737861645766401</v>
      </c>
      <c r="AJ7492">
        <v>103.022768671089</v>
      </c>
      <c r="AK7492">
        <v>23.251826084017299</v>
      </c>
      <c r="AL7492">
        <v>86.174393982641902</v>
      </c>
      <c r="AM7492">
        <v>96.367228899969803</v>
      </c>
      <c r="AN7492">
        <v>0.999999992000696</v>
      </c>
    </row>
    <row r="7493" spans="1:40" x14ac:dyDescent="0.25">
      <c r="A7493" t="str">
        <f>"20190312150838834"</f>
        <v>20190312150838834</v>
      </c>
      <c r="B7493" t="str">
        <f>"1552374518826989"</f>
        <v>1552374518826989</v>
      </c>
      <c r="C7493" t="s">
        <v>40</v>
      </c>
      <c r="D7493">
        <v>4.1734400000000003</v>
      </c>
      <c r="E7493">
        <v>0.45794000000000001</v>
      </c>
      <c r="F7493" t="s">
        <v>42</v>
      </c>
      <c r="G7493">
        <v>-393.36660000000001</v>
      </c>
      <c r="H7493" s="1">
        <v>-3.6815199999999999E-6</v>
      </c>
      <c r="I7493">
        <v>134.80449999999999</v>
      </c>
      <c r="J7493">
        <v>-370.673</v>
      </c>
      <c r="K7493">
        <v>1.1106590000000001</v>
      </c>
      <c r="L7493">
        <v>140.19280000000001</v>
      </c>
      <c r="M7493">
        <v>-0.99988200000000005</v>
      </c>
      <c r="N7493">
        <v>0</v>
      </c>
      <c r="O7493">
        <v>-5.9109710000000001E-3</v>
      </c>
      <c r="P7493">
        <v>-0.9916914</v>
      </c>
      <c r="Q7493">
        <v>5.2922660000000003E-2</v>
      </c>
      <c r="R7493">
        <v>-0.1172521</v>
      </c>
      <c r="S7493">
        <v>-2.9505309999999998</v>
      </c>
      <c r="T7493">
        <v>-0.1436704</v>
      </c>
      <c r="U7493">
        <v>-0.69706729999999995</v>
      </c>
      <c r="V7493">
        <v>-0.11136550000000001</v>
      </c>
      <c r="W7493">
        <v>6.7035259999999999E-2</v>
      </c>
      <c r="X7493">
        <v>0.99151599999999995</v>
      </c>
      <c r="Y7493">
        <v>-0.22392029999999999</v>
      </c>
      <c r="Z7493">
        <v>-5.0908759999999898E-3</v>
      </c>
      <c r="AA7493">
        <v>0.97459419999999997</v>
      </c>
      <c r="AB7493">
        <v>19</v>
      </c>
      <c r="AC7493">
        <v>-22.6936</v>
      </c>
      <c r="AD7493">
        <v>-1.11066268152</v>
      </c>
      <c r="AE7493">
        <v>-5.3883000000000099</v>
      </c>
      <c r="AF7493">
        <v>-5.2421647708605397</v>
      </c>
      <c r="AG7493">
        <v>-1.11066268152</v>
      </c>
      <c r="AH7493">
        <v>22.6736452537391</v>
      </c>
      <c r="AI7493">
        <v>92.732412749222703</v>
      </c>
      <c r="AJ7493">
        <v>103.018091058454</v>
      </c>
      <c r="AK7493">
        <v>23.298241396495499</v>
      </c>
      <c r="AL7493">
        <v>86.156280038332397</v>
      </c>
      <c r="AM7493">
        <v>96.408512181878905</v>
      </c>
      <c r="AN7493">
        <v>0.99999998946475799</v>
      </c>
    </row>
    <row r="7494" spans="1:40" x14ac:dyDescent="0.25">
      <c r="A7494" t="str">
        <f>"20190312150838847"</f>
        <v>20190312150838847</v>
      </c>
      <c r="B7494" t="str">
        <f>"1552374518837726"</f>
        <v>1552374518837726</v>
      </c>
      <c r="C7494" t="s">
        <v>40</v>
      </c>
      <c r="D7494">
        <v>4.2372579999999997</v>
      </c>
      <c r="E7494">
        <v>0.45791100000000001</v>
      </c>
      <c r="F7494" t="s">
        <v>42</v>
      </c>
      <c r="G7494">
        <v>-393.44130000000001</v>
      </c>
      <c r="H7494" s="1">
        <v>-3.649955E-6</v>
      </c>
      <c r="I7494">
        <v>134.80179999999999</v>
      </c>
      <c r="J7494">
        <v>-370.77969999999999</v>
      </c>
      <c r="K7494">
        <v>1.1106609999999999</v>
      </c>
      <c r="L7494">
        <v>140.19229999999999</v>
      </c>
      <c r="M7494">
        <v>-0.99988270000000001</v>
      </c>
      <c r="N7494">
        <v>0</v>
      </c>
      <c r="O7494">
        <v>-5.7839069999999996E-3</v>
      </c>
      <c r="P7494">
        <v>-0.99160250000000005</v>
      </c>
      <c r="Q7494">
        <v>5.3314460000000001E-2</v>
      </c>
      <c r="R7494">
        <v>-0.1178221</v>
      </c>
      <c r="S7494">
        <v>-2.9502259999999998</v>
      </c>
      <c r="T7494">
        <v>-0.14391579999999901</v>
      </c>
      <c r="U7494">
        <v>-0.69853209999999999</v>
      </c>
      <c r="V7494">
        <v>-0.1120627</v>
      </c>
      <c r="W7494">
        <v>6.7423490000000003E-2</v>
      </c>
      <c r="X7494">
        <v>0.99141109999999999</v>
      </c>
      <c r="Y7494">
        <v>-0.22452320000000001</v>
      </c>
      <c r="Z7494">
        <v>-5.1203910000000002E-3</v>
      </c>
      <c r="AA7494">
        <v>0.97445530000000002</v>
      </c>
      <c r="AB7494">
        <v>19</v>
      </c>
      <c r="AC7494">
        <v>-22.6616</v>
      </c>
      <c r="AD7494">
        <v>-1.1106646499549999</v>
      </c>
      <c r="AE7494">
        <v>-5.3905000000000003</v>
      </c>
      <c r="AF7494">
        <v>-5.24739445999771</v>
      </c>
      <c r="AG7494">
        <v>-1.1106646499549999</v>
      </c>
      <c r="AH7494">
        <v>22.6409295784823</v>
      </c>
      <c r="AI7494">
        <v>92.736020691987406</v>
      </c>
      <c r="AJ7494">
        <v>103.048820243807</v>
      </c>
      <c r="AK7494">
        <v>23.267582959157401</v>
      </c>
      <c r="AL7494">
        <v>86.133985591662906</v>
      </c>
      <c r="AM7494">
        <v>96.448972112122604</v>
      </c>
      <c r="AN7494">
        <v>0.99999997246913896</v>
      </c>
    </row>
    <row r="7495" spans="1:40" x14ac:dyDescent="0.25">
      <c r="A7495" t="str">
        <f>"20190312150838866"</f>
        <v>20190312150838866</v>
      </c>
      <c r="B7495" t="str">
        <f>"1552374518857245"</f>
        <v>1552374518857245</v>
      </c>
      <c r="C7495" t="s">
        <v>40</v>
      </c>
      <c r="D7495">
        <v>4.2160599999999997</v>
      </c>
      <c r="E7495">
        <v>0.45795049999999998</v>
      </c>
      <c r="F7495" t="s">
        <v>42</v>
      </c>
      <c r="G7495">
        <v>-393.55200000000002</v>
      </c>
      <c r="H7495" s="1">
        <v>-3.605385E-6</v>
      </c>
      <c r="I7495">
        <v>134.7852</v>
      </c>
      <c r="J7495">
        <v>-370.93579999999997</v>
      </c>
      <c r="K7495">
        <v>1.110668</v>
      </c>
      <c r="L7495">
        <v>140.19159999999999</v>
      </c>
      <c r="M7495">
        <v>-0.99988379999999999</v>
      </c>
      <c r="N7495">
        <v>0</v>
      </c>
      <c r="O7495">
        <v>-5.6041900000000002E-3</v>
      </c>
      <c r="P7495">
        <v>-0.99144049999999995</v>
      </c>
      <c r="Q7495">
        <v>5.3828300000000003E-2</v>
      </c>
      <c r="R7495">
        <v>-0.1189476</v>
      </c>
      <c r="S7495">
        <v>-2.9499209999999998</v>
      </c>
      <c r="T7495">
        <v>-0.14387520000000001</v>
      </c>
      <c r="U7495">
        <v>-0.70042419999999905</v>
      </c>
      <c r="V7495">
        <v>-0.1133677</v>
      </c>
      <c r="W7495">
        <v>6.7930149999999995E-2</v>
      </c>
      <c r="X7495">
        <v>0.9912282</v>
      </c>
      <c r="Y7495">
        <v>-0.2253117</v>
      </c>
      <c r="Z7495">
        <v>-5.146683E-3</v>
      </c>
      <c r="AA7495">
        <v>0.9742731</v>
      </c>
      <c r="AB7495">
        <v>19</v>
      </c>
      <c r="AC7495">
        <v>-22.6161999999999</v>
      </c>
      <c r="AD7495">
        <v>-1.1106716053849901</v>
      </c>
      <c r="AE7495">
        <v>-5.4063999999999899</v>
      </c>
      <c r="AF7495">
        <v>-5.2675396047742202</v>
      </c>
      <c r="AG7495">
        <v>-1.1106716053849901</v>
      </c>
      <c r="AH7495">
        <v>22.5945994508523</v>
      </c>
      <c r="AI7495">
        <v>92.740814453436101</v>
      </c>
      <c r="AJ7495">
        <v>103.123119035529</v>
      </c>
      <c r="AK7495">
        <v>23.2270637241845</v>
      </c>
      <c r="AL7495">
        <v>86.104889675444696</v>
      </c>
      <c r="AM7495">
        <v>96.524621766005197</v>
      </c>
      <c r="AN7495">
        <v>1.0000000425787701</v>
      </c>
    </row>
    <row r="7496" spans="1:40" x14ac:dyDescent="0.25">
      <c r="A7496" t="str">
        <f>"20190312150838879"</f>
        <v>20190312150838879</v>
      </c>
      <c r="B7496" t="str">
        <f>"1552374518877582"</f>
        <v>1552374518877582</v>
      </c>
      <c r="C7496" t="s">
        <v>40</v>
      </c>
      <c r="D7496">
        <v>4.2306520000000001</v>
      </c>
      <c r="E7496">
        <v>0.4579009</v>
      </c>
      <c r="F7496" t="s">
        <v>42</v>
      </c>
      <c r="G7496">
        <v>-393.93239999999997</v>
      </c>
      <c r="H7496" s="1">
        <v>-3.456299E-6</v>
      </c>
      <c r="I7496">
        <v>134.70570000000001</v>
      </c>
      <c r="J7496">
        <v>-371.0598</v>
      </c>
      <c r="K7496">
        <v>1.1106750000000001</v>
      </c>
      <c r="L7496">
        <v>140.19110000000001</v>
      </c>
      <c r="M7496">
        <v>-0.99988460000000001</v>
      </c>
      <c r="N7496">
        <v>0</v>
      </c>
      <c r="O7496">
        <v>-5.4694469999999997E-3</v>
      </c>
      <c r="P7496">
        <v>-0.99135740000000006</v>
      </c>
      <c r="Q7496">
        <v>5.4039860000000002E-2</v>
      </c>
      <c r="R7496">
        <v>-0.1195422</v>
      </c>
      <c r="S7496">
        <v>-2.9491879999999999</v>
      </c>
      <c r="T7496">
        <v>-0.14243729999999999</v>
      </c>
      <c r="U7496">
        <v>-0.70352169999999903</v>
      </c>
      <c r="V7496">
        <v>-0.1140973</v>
      </c>
      <c r="W7496">
        <v>6.813661E-2</v>
      </c>
      <c r="X7496">
        <v>0.99113030000000002</v>
      </c>
      <c r="Y7496">
        <v>-0.22646910000000001</v>
      </c>
      <c r="Z7496">
        <v>-5.1298819999999997E-3</v>
      </c>
      <c r="AA7496">
        <v>0.97400489999999995</v>
      </c>
      <c r="AB7496">
        <v>19</v>
      </c>
      <c r="AC7496">
        <v>-22.872599999999899</v>
      </c>
      <c r="AD7496">
        <v>-1.110678456299</v>
      </c>
      <c r="AE7496">
        <v>-5.4853999999999896</v>
      </c>
      <c r="AF7496">
        <v>-5.3482794957940696</v>
      </c>
      <c r="AG7496">
        <v>-1.110678456299</v>
      </c>
      <c r="AH7496">
        <v>22.851309909441099</v>
      </c>
      <c r="AI7496">
        <v>92.709539179334996</v>
      </c>
      <c r="AJ7496">
        <v>103.17279251589</v>
      </c>
      <c r="AK7496">
        <v>23.495107251845798</v>
      </c>
      <c r="AL7496">
        <v>86.093032874503294</v>
      </c>
      <c r="AM7496">
        <v>96.5668896273787</v>
      </c>
      <c r="AN7496">
        <v>1.00000003153383</v>
      </c>
    </row>
    <row r="7497" spans="1:40" x14ac:dyDescent="0.25">
      <c r="A7497" t="str">
        <f>"20190312150838893"</f>
        <v>20190312150838893</v>
      </c>
      <c r="B7497" t="str">
        <f>"1552374518887343"</f>
        <v>1552374518887343</v>
      </c>
      <c r="C7497" t="s">
        <v>40</v>
      </c>
      <c r="D7497">
        <v>4.2305440000000001</v>
      </c>
      <c r="E7497">
        <v>0.45787559999999999</v>
      </c>
      <c r="F7497" t="s">
        <v>42</v>
      </c>
      <c r="G7497">
        <v>-393.88479999999998</v>
      </c>
      <c r="H7497" s="1">
        <v>-3.4730110000000001E-6</v>
      </c>
      <c r="I7497">
        <v>134.72669999999999</v>
      </c>
      <c r="J7497">
        <v>-371.16759999999999</v>
      </c>
      <c r="K7497">
        <v>1.1106849999999999</v>
      </c>
      <c r="L7497">
        <v>140.19059999999999</v>
      </c>
      <c r="M7497">
        <v>-0.99988520000000003</v>
      </c>
      <c r="N7497">
        <v>0</v>
      </c>
      <c r="O7497">
        <v>-5.3580839999999999E-3</v>
      </c>
      <c r="P7497">
        <v>-0.99131849999999999</v>
      </c>
      <c r="Q7497">
        <v>5.4111840000000001E-2</v>
      </c>
      <c r="R7497">
        <v>-0.1198333</v>
      </c>
      <c r="S7497">
        <v>-2.9488530000000002</v>
      </c>
      <c r="T7497">
        <v>-0.14349310000000001</v>
      </c>
      <c r="U7497">
        <v>-0.70596309999999995</v>
      </c>
      <c r="V7497">
        <v>-0.1145004</v>
      </c>
      <c r="W7497">
        <v>6.820321E-2</v>
      </c>
      <c r="X7497">
        <v>0.99107920000000005</v>
      </c>
      <c r="Y7497">
        <v>-0.2273606</v>
      </c>
      <c r="Z7497">
        <v>-5.1946630000000004E-3</v>
      </c>
      <c r="AA7497">
        <v>0.97379680000000002</v>
      </c>
      <c r="AB7497">
        <v>19</v>
      </c>
      <c r="AC7497">
        <v>-22.717199999999899</v>
      </c>
      <c r="AD7497">
        <v>-1.110688473011</v>
      </c>
      <c r="AE7497">
        <v>-5.46389999999999</v>
      </c>
      <c r="AF7497">
        <v>-5.330044344829</v>
      </c>
      <c r="AG7497">
        <v>-1.110688473011</v>
      </c>
      <c r="AH7497">
        <v>22.694869163326199</v>
      </c>
      <c r="AI7497">
        <v>92.727722847232698</v>
      </c>
      <c r="AJ7497">
        <v>103.21677557512299</v>
      </c>
      <c r="AK7497">
        <v>23.338810765384299</v>
      </c>
      <c r="AL7497">
        <v>86.089207954918095</v>
      </c>
      <c r="AM7497">
        <v>96.590223192045599</v>
      </c>
      <c r="AN7497">
        <v>1.0000000000635501</v>
      </c>
    </row>
    <row r="7498" spans="1:40" x14ac:dyDescent="0.25">
      <c r="A7498" t="str">
        <f>"20190312150838909"</f>
        <v>20190312150838909</v>
      </c>
      <c r="B7498" t="str">
        <f>"1552374518897103"</f>
        <v>1552374518897103</v>
      </c>
      <c r="C7498" t="s">
        <v>40</v>
      </c>
      <c r="D7498">
        <v>4.2360189999999998</v>
      </c>
      <c r="E7498">
        <v>0.4578487</v>
      </c>
      <c r="F7498" t="s">
        <v>42</v>
      </c>
      <c r="G7498">
        <v>-393.8741</v>
      </c>
      <c r="H7498" s="1">
        <v>-3.4742929999999999E-6</v>
      </c>
      <c r="I7498">
        <v>134.74549999999999</v>
      </c>
      <c r="J7498">
        <v>-371.30500000000001</v>
      </c>
      <c r="K7498">
        <v>1.1107</v>
      </c>
      <c r="L7498">
        <v>140.1901</v>
      </c>
      <c r="M7498">
        <v>-0.99988589999999999</v>
      </c>
      <c r="N7498">
        <v>0</v>
      </c>
      <c r="O7498">
        <v>-5.2268890000000002E-3</v>
      </c>
      <c r="P7498">
        <v>-0.99119780000000002</v>
      </c>
      <c r="Q7498">
        <v>5.4369199999999999E-2</v>
      </c>
      <c r="R7498">
        <v>-0.1207112</v>
      </c>
      <c r="S7498">
        <v>-2.9487000000000001</v>
      </c>
      <c r="T7498">
        <v>-0.14423610000000001</v>
      </c>
      <c r="U7498">
        <v>-0.7071075</v>
      </c>
      <c r="V7498">
        <v>-0.1155106</v>
      </c>
      <c r="W7498">
        <v>6.8452490000000005E-2</v>
      </c>
      <c r="X7498">
        <v>0.99094479999999996</v>
      </c>
      <c r="Y7498">
        <v>-0.2278538</v>
      </c>
      <c r="Z7498">
        <v>-5.2397700000000004E-3</v>
      </c>
      <c r="AA7498">
        <v>0.97368129999999997</v>
      </c>
      <c r="AB7498">
        <v>19</v>
      </c>
      <c r="AC7498">
        <v>-22.569099999999899</v>
      </c>
      <c r="AD7498">
        <v>-1.110703474293</v>
      </c>
      <c r="AE7498">
        <v>-5.4446000000000003</v>
      </c>
      <c r="AF7498">
        <v>-5.3143842067398097</v>
      </c>
      <c r="AG7498">
        <v>-1.110703474293</v>
      </c>
      <c r="AH7498">
        <v>22.545651132046402</v>
      </c>
      <c r="AI7498">
        <v>92.745260251183694</v>
      </c>
      <c r="AJ7498">
        <v>103.26345430747099</v>
      </c>
      <c r="AK7498">
        <v>23.190142877364899</v>
      </c>
      <c r="AL7498">
        <v>86.074891880909604</v>
      </c>
      <c r="AM7498">
        <v>96.648741983525895</v>
      </c>
      <c r="AN7498">
        <v>1.0000000193732901</v>
      </c>
    </row>
    <row r="7499" spans="1:40" x14ac:dyDescent="0.25">
      <c r="A7499" t="str">
        <f>"20190312150838924"</f>
        <v>20190312150838924</v>
      </c>
      <c r="B7499" t="str">
        <f>"1552374518917599"</f>
        <v>1552374518917599</v>
      </c>
      <c r="C7499" t="s">
        <v>40</v>
      </c>
      <c r="D7499">
        <v>4.2465020000000004</v>
      </c>
      <c r="E7499">
        <v>0.45783469999999998</v>
      </c>
      <c r="F7499" t="s">
        <v>42</v>
      </c>
      <c r="G7499">
        <v>-394.00549999999998</v>
      </c>
      <c r="H7499" s="1">
        <v>-3.4216969999999999E-6</v>
      </c>
      <c r="I7499">
        <v>134.72409999999999</v>
      </c>
      <c r="J7499">
        <v>-371.42809999999997</v>
      </c>
      <c r="K7499">
        <v>1.110714</v>
      </c>
      <c r="L7499">
        <v>140.18950000000001</v>
      </c>
      <c r="M7499">
        <v>-0.99988639999999995</v>
      </c>
      <c r="N7499">
        <v>0</v>
      </c>
      <c r="O7499">
        <v>-5.1233950000000002E-3</v>
      </c>
      <c r="P7499">
        <v>-0.99113320000000005</v>
      </c>
      <c r="Q7499">
        <v>5.4541829999999999E-2</v>
      </c>
      <c r="R7499">
        <v>-0.1211612</v>
      </c>
      <c r="S7499">
        <v>-2.9481199999999999</v>
      </c>
      <c r="T7499">
        <v>-0.1442475</v>
      </c>
      <c r="U7499">
        <v>-0.70985410000000004</v>
      </c>
      <c r="V7499">
        <v>-0.1160664</v>
      </c>
      <c r="W7499">
        <v>6.8618040000000005E-2</v>
      </c>
      <c r="X7499">
        <v>0.99086839999999998</v>
      </c>
      <c r="Y7499">
        <v>-0.22885420000000001</v>
      </c>
      <c r="Z7499">
        <v>-5.2697300000000002E-3</v>
      </c>
      <c r="AA7499">
        <v>0.97344640000000004</v>
      </c>
      <c r="AB7499">
        <v>19</v>
      </c>
      <c r="AC7499">
        <v>-22.577400000000001</v>
      </c>
      <c r="AD7499">
        <v>-1.1107174216969999</v>
      </c>
      <c r="AE7499">
        <v>-5.4654000000000096</v>
      </c>
      <c r="AF7499">
        <v>-5.3374408617199602</v>
      </c>
      <c r="AG7499">
        <v>-1.1107174216969999</v>
      </c>
      <c r="AH7499">
        <v>22.5535443452303</v>
      </c>
      <c r="AI7499">
        <v>92.743759317414998</v>
      </c>
      <c r="AJ7499">
        <v>103.31445646314</v>
      </c>
      <c r="AK7499">
        <v>23.203110366403202</v>
      </c>
      <c r="AL7499">
        <v>86.065384193569102</v>
      </c>
      <c r="AM7499">
        <v>96.680955561432697</v>
      </c>
      <c r="AN7499">
        <v>1.00000001537048</v>
      </c>
    </row>
    <row r="7500" spans="1:40" x14ac:dyDescent="0.25">
      <c r="A7500" t="str">
        <f>"20190312150838943"</f>
        <v>20190312150838943</v>
      </c>
      <c r="B7500" t="str">
        <f>"1552374518937119"</f>
        <v>1552374518937119</v>
      </c>
      <c r="C7500" t="s">
        <v>40</v>
      </c>
      <c r="D7500">
        <v>4.2709960000000002</v>
      </c>
      <c r="E7500">
        <v>0.45779019999999998</v>
      </c>
      <c r="F7500" t="s">
        <v>42</v>
      </c>
      <c r="G7500">
        <v>-394.04989999999998</v>
      </c>
      <c r="H7500" s="1">
        <v>-3.4016990000000002E-6</v>
      </c>
      <c r="I7500">
        <v>134.7294</v>
      </c>
      <c r="J7500">
        <v>-371.58940000000001</v>
      </c>
      <c r="K7500">
        <v>1.1107370000000001</v>
      </c>
      <c r="L7500">
        <v>140.18889999999999</v>
      </c>
      <c r="M7500">
        <v>-0.99988699999999997</v>
      </c>
      <c r="N7500">
        <v>0</v>
      </c>
      <c r="O7500">
        <v>-5.0205570000000001E-3</v>
      </c>
      <c r="P7500">
        <v>-0.99097710000000006</v>
      </c>
      <c r="Q7500">
        <v>5.4586000000000003E-2</v>
      </c>
      <c r="R7500">
        <v>-0.1224117</v>
      </c>
      <c r="S7500">
        <v>-2.9478149999999999</v>
      </c>
      <c r="T7500">
        <v>-0.14473610000000001</v>
      </c>
      <c r="U7500">
        <v>-0.71148679999999997</v>
      </c>
      <c r="V7500">
        <v>-0.1174239</v>
      </c>
      <c r="W7500">
        <v>6.8648500000000001E-2</v>
      </c>
      <c r="X7500">
        <v>0.99070630000000004</v>
      </c>
      <c r="Y7500">
        <v>-0.2294842</v>
      </c>
      <c r="Z7500">
        <v>-5.3079609999999999E-3</v>
      </c>
      <c r="AA7500">
        <v>0.97329790000000005</v>
      </c>
      <c r="AB7500">
        <v>19</v>
      </c>
      <c r="AC7500">
        <v>-22.4604999999999</v>
      </c>
      <c r="AD7500">
        <v>-1.1107404016989999</v>
      </c>
      <c r="AE7500">
        <v>-5.4594999999999896</v>
      </c>
      <c r="AF7500">
        <v>-5.33433774005064</v>
      </c>
      <c r="AG7500">
        <v>-1.1107404016989999</v>
      </c>
      <c r="AH7500">
        <v>22.435821211508799</v>
      </c>
      <c r="AI7500">
        <v>92.757508565327896</v>
      </c>
      <c r="AJ7500">
        <v>103.37431159058001</v>
      </c>
      <c r="AK7500">
        <v>23.087983385295502</v>
      </c>
      <c r="AL7500">
        <v>86.063634703005604</v>
      </c>
      <c r="AM7500">
        <v>96.759472198249298</v>
      </c>
      <c r="AN7500">
        <v>0.99999998085157404</v>
      </c>
    </row>
    <row r="7501" spans="1:40" x14ac:dyDescent="0.25">
      <c r="A7501" t="str">
        <f>"20190312150838958"</f>
        <v>20190312150838958</v>
      </c>
      <c r="B7501" t="str">
        <f>"1552374518946879"</f>
        <v>1552374518946879</v>
      </c>
      <c r="C7501" t="s">
        <v>40</v>
      </c>
      <c r="D7501">
        <v>4.2436970000000001</v>
      </c>
      <c r="E7501">
        <v>0.45777580000000001</v>
      </c>
      <c r="F7501" t="s">
        <v>42</v>
      </c>
      <c r="G7501">
        <v>-393.89299999999997</v>
      </c>
      <c r="H7501" s="1">
        <v>-3.461299E-6</v>
      </c>
      <c r="I7501">
        <v>134.773</v>
      </c>
      <c r="J7501">
        <v>-371.71199999999999</v>
      </c>
      <c r="K7501">
        <v>1.1107579999999999</v>
      </c>
      <c r="L7501">
        <v>140.1883</v>
      </c>
      <c r="M7501">
        <v>-0.99988730000000003</v>
      </c>
      <c r="N7501">
        <v>0</v>
      </c>
      <c r="O7501">
        <v>-4.9692970000000001E-3</v>
      </c>
      <c r="P7501">
        <v>-0.99091200000000002</v>
      </c>
      <c r="Q7501">
        <v>5.4758319999999999E-2</v>
      </c>
      <c r="R7501">
        <v>-0.1228615</v>
      </c>
      <c r="S7501">
        <v>-2.9469910000000001</v>
      </c>
      <c r="T7501">
        <v>-0.146763</v>
      </c>
      <c r="U7501">
        <v>-0.71559139999999999</v>
      </c>
      <c r="V7501">
        <v>-0.11792809999999999</v>
      </c>
      <c r="W7501">
        <v>6.8811189999999994E-2</v>
      </c>
      <c r="X7501">
        <v>0.99063520000000005</v>
      </c>
      <c r="Y7501">
        <v>-0.2308675</v>
      </c>
      <c r="Z7501">
        <v>-5.4192469999999899E-3</v>
      </c>
      <c r="AA7501">
        <v>0.97297009999999995</v>
      </c>
      <c r="AB7501">
        <v>19</v>
      </c>
      <c r="AC7501">
        <v>-22.181000000000001</v>
      </c>
      <c r="AD7501">
        <v>-1.110761461299</v>
      </c>
      <c r="AE7501">
        <v>-5.4153000000000002</v>
      </c>
      <c r="AF7501">
        <v>-5.2924726162086904</v>
      </c>
      <c r="AG7501">
        <v>-1.110761461299</v>
      </c>
      <c r="AH7501">
        <v>22.155205234198998</v>
      </c>
      <c r="AI7501">
        <v>92.791727630957894</v>
      </c>
      <c r="AJ7501">
        <v>103.435132545944</v>
      </c>
      <c r="AK7501">
        <v>22.8056391356766</v>
      </c>
      <c r="AL7501">
        <v>86.054291462963505</v>
      </c>
      <c r="AM7501">
        <v>96.788708709692202</v>
      </c>
      <c r="AN7501">
        <v>1.0000000580589301</v>
      </c>
    </row>
    <row r="7502" spans="1:40" x14ac:dyDescent="0.25">
      <c r="A7502" t="str">
        <f>"20190312150838977"</f>
        <v>20190312150838977</v>
      </c>
      <c r="B7502" t="str">
        <f>"1552374518967375"</f>
        <v>1552374518967375</v>
      </c>
      <c r="C7502" t="s">
        <v>40</v>
      </c>
      <c r="D7502">
        <v>4.2784800000000001</v>
      </c>
      <c r="E7502">
        <v>0.45771240000000002</v>
      </c>
      <c r="F7502" t="s">
        <v>42</v>
      </c>
      <c r="G7502">
        <v>-393.87049999999999</v>
      </c>
      <c r="H7502" s="1">
        <v>-3.4668040000000001E-6</v>
      </c>
      <c r="I7502">
        <v>134.7963</v>
      </c>
      <c r="J7502">
        <v>-371.86799999999999</v>
      </c>
      <c r="K7502">
        <v>1.1107929999999999</v>
      </c>
      <c r="L7502">
        <v>140.1876</v>
      </c>
      <c r="M7502">
        <v>-0.99988759999999999</v>
      </c>
      <c r="N7502">
        <v>0</v>
      </c>
      <c r="O7502">
        <v>-4.9321080000000002E-3</v>
      </c>
      <c r="P7502">
        <v>-0.99068800000000001</v>
      </c>
      <c r="Q7502">
        <v>5.5363540000000003E-2</v>
      </c>
      <c r="R7502">
        <v>-0.1243877</v>
      </c>
      <c r="S7502">
        <v>-2.946777</v>
      </c>
      <c r="T7502">
        <v>-0.147716299999999</v>
      </c>
      <c r="U7502">
        <v>-0.71705629999999998</v>
      </c>
      <c r="V7502">
        <v>-0.1194974</v>
      </c>
      <c r="W7502">
        <v>6.9401060000000001E-2</v>
      </c>
      <c r="X7502">
        <v>0.99040589999999995</v>
      </c>
      <c r="Y7502">
        <v>-0.23137240000000001</v>
      </c>
      <c r="Z7502">
        <v>-5.4687769999999898E-3</v>
      </c>
      <c r="AA7502">
        <v>0.97284979999999999</v>
      </c>
      <c r="AB7502">
        <v>19</v>
      </c>
      <c r="AC7502">
        <v>-22.002499999999898</v>
      </c>
      <c r="AD7502">
        <v>-1.110796466804</v>
      </c>
      <c r="AE7502">
        <v>-5.3913000000000002</v>
      </c>
      <c r="AF7502">
        <v>-5.2700336810692097</v>
      </c>
      <c r="AG7502">
        <v>-1.110796466804</v>
      </c>
      <c r="AH7502">
        <v>21.975986916840402</v>
      </c>
      <c r="AI7502">
        <v>92.813957129894007</v>
      </c>
      <c r="AJ7502">
        <v>103.485371139008</v>
      </c>
      <c r="AK7502">
        <v>22.626336971754998</v>
      </c>
      <c r="AL7502">
        <v>86.020413144873302</v>
      </c>
      <c r="AM7502">
        <v>96.879765173613606</v>
      </c>
      <c r="AN7502">
        <v>0.999999991245346</v>
      </c>
    </row>
    <row r="7503" spans="1:40" x14ac:dyDescent="0.25">
      <c r="A7503" t="str">
        <f>"20190312150839000"</f>
        <v>20190312150839000</v>
      </c>
      <c r="B7503" t="str">
        <f>"1552374518997631"</f>
        <v>1552374518997631</v>
      </c>
      <c r="C7503" t="s">
        <v>40</v>
      </c>
      <c r="D7503">
        <v>4.3025650000000004</v>
      </c>
      <c r="E7503">
        <v>0.45763510000000002</v>
      </c>
      <c r="F7503" t="s">
        <v>42</v>
      </c>
      <c r="G7503">
        <v>-393.96069999999997</v>
      </c>
      <c r="H7503" s="1">
        <v>-3.4322290000000001E-6</v>
      </c>
      <c r="I7503">
        <v>134.7731</v>
      </c>
      <c r="J7503">
        <v>-372.05329999999998</v>
      </c>
      <c r="K7503">
        <v>1.11083</v>
      </c>
      <c r="L7503">
        <v>140.1867</v>
      </c>
      <c r="M7503">
        <v>-0.99988759999999999</v>
      </c>
      <c r="N7503">
        <v>0</v>
      </c>
      <c r="O7503">
        <v>-4.9362649999999996E-3</v>
      </c>
      <c r="P7503">
        <v>-0.99044900000000002</v>
      </c>
      <c r="Q7503">
        <v>5.5450079999999999E-2</v>
      </c>
      <c r="R7503">
        <v>-0.12623869999999901</v>
      </c>
      <c r="S7503">
        <v>-2.9458009999999999</v>
      </c>
      <c r="T7503">
        <v>-0.14811179999999999</v>
      </c>
      <c r="U7503">
        <v>-0.72193909999999994</v>
      </c>
      <c r="V7503">
        <v>-0.12135120000000001</v>
      </c>
      <c r="W7503">
        <v>6.946956E-2</v>
      </c>
      <c r="X7503">
        <v>0.99017569999999999</v>
      </c>
      <c r="Y7503">
        <v>-0.23296059999999999</v>
      </c>
      <c r="Z7503">
        <v>-5.523221E-3</v>
      </c>
      <c r="AA7503">
        <v>0.97247050000000002</v>
      </c>
      <c r="AB7503">
        <v>19</v>
      </c>
      <c r="AC7503">
        <v>-21.907399999999999</v>
      </c>
      <c r="AD7503">
        <v>-1.1108334322290001</v>
      </c>
      <c r="AE7503">
        <v>-5.4135999999999997</v>
      </c>
      <c r="AF7503">
        <v>-5.29255797503306</v>
      </c>
      <c r="AG7503">
        <v>-1.1108334322290001</v>
      </c>
      <c r="AH7503">
        <v>21.880838857331401</v>
      </c>
      <c r="AI7503">
        <v>92.824936900458695</v>
      </c>
      <c r="AJ7503">
        <v>103.597590411933</v>
      </c>
      <c r="AK7503">
        <v>22.539215379727501</v>
      </c>
      <c r="AL7503">
        <v>86.016479023876002</v>
      </c>
      <c r="AM7503">
        <v>96.987054493437597</v>
      </c>
      <c r="AN7503">
        <v>1.00000002518926</v>
      </c>
    </row>
    <row r="7504" spans="1:40" x14ac:dyDescent="0.25">
      <c r="A7504" t="str">
        <f>"20190312150839023"</f>
        <v>20190312150839023</v>
      </c>
      <c r="B7504" t="str">
        <f>"1552374519017151"</f>
        <v>1552374519017151</v>
      </c>
      <c r="C7504" t="s">
        <v>40</v>
      </c>
      <c r="D7504">
        <v>4.3038059999999998</v>
      </c>
      <c r="E7504">
        <v>0.45759230000000001</v>
      </c>
      <c r="F7504" t="s">
        <v>42</v>
      </c>
      <c r="G7504">
        <v>-393.76949999999999</v>
      </c>
      <c r="H7504" s="1">
        <v>-3.5064859999999998E-6</v>
      </c>
      <c r="I7504">
        <v>134.8169</v>
      </c>
      <c r="J7504">
        <v>-372.24119999999999</v>
      </c>
      <c r="K7504">
        <v>1.110867</v>
      </c>
      <c r="L7504">
        <v>140.1857</v>
      </c>
      <c r="M7504">
        <v>-0.99988730000000003</v>
      </c>
      <c r="N7504">
        <v>0</v>
      </c>
      <c r="O7504">
        <v>-5.0008580000000004E-3</v>
      </c>
      <c r="P7504">
        <v>-0.99024489999999998</v>
      </c>
      <c r="Q7504">
        <v>5.5357049999999998E-2</v>
      </c>
      <c r="R7504">
        <v>-0.12786989999999901</v>
      </c>
      <c r="S7504">
        <v>-2.9446110000000001</v>
      </c>
      <c r="T7504">
        <v>-0.15062400000000001</v>
      </c>
      <c r="U7504">
        <v>-0.72810359999999996</v>
      </c>
      <c r="V7504">
        <v>-0.1229252</v>
      </c>
      <c r="W7504">
        <v>6.9358710000000004E-2</v>
      </c>
      <c r="X7504">
        <v>0.98998929999999996</v>
      </c>
      <c r="Y7504">
        <v>-0.23489599999999999</v>
      </c>
      <c r="Z7504">
        <v>-5.66309E-3</v>
      </c>
      <c r="AA7504">
        <v>0.97200399999999998</v>
      </c>
      <c r="AB7504">
        <v>19</v>
      </c>
      <c r="AC7504">
        <v>-21.528300000000002</v>
      </c>
      <c r="AD7504">
        <v>-1.1108705064860001</v>
      </c>
      <c r="AE7504">
        <v>-5.3687999999999896</v>
      </c>
      <c r="AF7504">
        <v>-5.2479071049219099</v>
      </c>
      <c r="AG7504">
        <v>-1.1108705064860001</v>
      </c>
      <c r="AH7504">
        <v>21.5009852788206</v>
      </c>
      <c r="AI7504">
        <v>92.873411243331404</v>
      </c>
      <c r="AJ7504">
        <v>103.716428628334</v>
      </c>
      <c r="AK7504">
        <v>22.160030014061999</v>
      </c>
      <c r="AL7504">
        <v>86.022845615922293</v>
      </c>
      <c r="AM7504">
        <v>97.078086739328299</v>
      </c>
      <c r="AN7504">
        <v>1.00000002478119</v>
      </c>
    </row>
    <row r="7505" spans="1:40" x14ac:dyDescent="0.25">
      <c r="A7505" t="str">
        <f>"20190312150839036"</f>
        <v>20190312150839036</v>
      </c>
      <c r="B7505" t="str">
        <f>"1552374519026911"</f>
        <v>1552374519026911</v>
      </c>
      <c r="C7505" t="s">
        <v>40</v>
      </c>
      <c r="D7505">
        <v>4.293285</v>
      </c>
      <c r="E7505">
        <v>0.45755570000000001</v>
      </c>
      <c r="F7505" t="s">
        <v>42</v>
      </c>
      <c r="G7505">
        <v>-393.61399999999998</v>
      </c>
      <c r="H7505" s="1">
        <v>-3.5652479999999998E-6</v>
      </c>
      <c r="I7505">
        <v>134.86150000000001</v>
      </c>
      <c r="J7505">
        <v>-372.35829999999999</v>
      </c>
      <c r="K7505">
        <v>1.110884</v>
      </c>
      <c r="L7505">
        <v>140.185</v>
      </c>
      <c r="M7505">
        <v>-0.99988699999999997</v>
      </c>
      <c r="N7505">
        <v>0</v>
      </c>
      <c r="O7505">
        <v>-5.0827709999999998E-3</v>
      </c>
      <c r="P7505">
        <v>-0.99015560000000002</v>
      </c>
      <c r="Q7505">
        <v>5.5037469999999998E-2</v>
      </c>
      <c r="R7505">
        <v>-0.12869639999999999</v>
      </c>
      <c r="S7505">
        <v>-2.9434200000000001</v>
      </c>
      <c r="T7505">
        <v>-0.15298689999999901</v>
      </c>
      <c r="U7505">
        <v>-0.73321530000000001</v>
      </c>
      <c r="V7505">
        <v>-0.1236748</v>
      </c>
      <c r="W7505">
        <v>6.9028099999999995E-2</v>
      </c>
      <c r="X7505">
        <v>0.98991899999999999</v>
      </c>
      <c r="Y7505">
        <v>-0.2364868</v>
      </c>
      <c r="Z7505">
        <v>-5.7893880000000003E-3</v>
      </c>
      <c r="AA7505">
        <v>0.97161750000000002</v>
      </c>
      <c r="AB7505">
        <v>19</v>
      </c>
      <c r="AC7505">
        <v>-21.255700000000001</v>
      </c>
      <c r="AD7505">
        <v>-1.1108875652479999</v>
      </c>
      <c r="AE7505">
        <v>-5.3234999999999904</v>
      </c>
      <c r="AF7505">
        <v>-5.2020122965759796</v>
      </c>
      <c r="AG7505">
        <v>-1.1108875652479999</v>
      </c>
      <c r="AH7505">
        <v>21.2279260267292</v>
      </c>
      <c r="AI7505">
        <v>92.909698637168304</v>
      </c>
      <c r="AJ7505">
        <v>103.76928081518599</v>
      </c>
      <c r="AK7505">
        <v>21.884237398471001</v>
      </c>
      <c r="AL7505">
        <v>86.041833507636994</v>
      </c>
      <c r="AM7505">
        <v>97.121307772079305</v>
      </c>
      <c r="AN7505">
        <v>0.99999998065282403</v>
      </c>
    </row>
    <row r="7506" spans="1:40" x14ac:dyDescent="0.25">
      <c r="A7506" t="str">
        <f>"20190312150839056"</f>
        <v>20190312150839056</v>
      </c>
      <c r="B7506" t="str">
        <f>"1552374519047407"</f>
        <v>1552374519047407</v>
      </c>
      <c r="C7506" t="s">
        <v>40</v>
      </c>
      <c r="D7506">
        <v>4.3210459999999999</v>
      </c>
      <c r="E7506">
        <v>0.4574491</v>
      </c>
      <c r="F7506" t="s">
        <v>42</v>
      </c>
      <c r="G7506">
        <v>-393.44049999999999</v>
      </c>
      <c r="H7506" s="1">
        <v>-3.630759E-6</v>
      </c>
      <c r="I7506">
        <v>134.91200000000001</v>
      </c>
      <c r="J7506">
        <v>-372.51530000000002</v>
      </c>
      <c r="K7506">
        <v>1.110919</v>
      </c>
      <c r="L7506">
        <v>140.1841</v>
      </c>
      <c r="M7506">
        <v>-0.99988630000000001</v>
      </c>
      <c r="N7506">
        <v>0</v>
      </c>
      <c r="O7506">
        <v>-5.2333930000000002E-3</v>
      </c>
      <c r="P7506">
        <v>-0.98997369999999996</v>
      </c>
      <c r="Q7506">
        <v>5.4790640000000002E-2</v>
      </c>
      <c r="R7506">
        <v>-0.1301937</v>
      </c>
      <c r="S7506">
        <v>-2.942841</v>
      </c>
      <c r="T7506">
        <v>-0.15506829999999999</v>
      </c>
      <c r="U7506">
        <v>-0.73603819999999998</v>
      </c>
      <c r="V7506">
        <v>-0.12502939999999901</v>
      </c>
      <c r="W7506">
        <v>6.8765519999999997E-2</v>
      </c>
      <c r="X7506">
        <v>0.98976710000000001</v>
      </c>
      <c r="Y7506">
        <v>-0.23725370000000001</v>
      </c>
      <c r="Z7506">
        <v>-5.8805790000000004E-3</v>
      </c>
      <c r="AA7506">
        <v>0.97142989999999996</v>
      </c>
      <c r="AB7506">
        <v>18</v>
      </c>
      <c r="AC7506">
        <v>-20.925199999999901</v>
      </c>
      <c r="AD7506">
        <v>-1.1109226307590001</v>
      </c>
      <c r="AE7506">
        <v>-5.2720999999999902</v>
      </c>
      <c r="AF7506">
        <v>-5.1488608708986696</v>
      </c>
      <c r="AG7506">
        <v>-1.1109226307590001</v>
      </c>
      <c r="AH7506">
        <v>20.8971228913639</v>
      </c>
      <c r="AI7506">
        <v>92.954858334532304</v>
      </c>
      <c r="AJ7506">
        <v>103.841456382617</v>
      </c>
      <c r="AK7506">
        <v>21.550746216689799</v>
      </c>
      <c r="AL7506">
        <v>86.056914065433901</v>
      </c>
      <c r="AM7506">
        <v>97.199586188186103</v>
      </c>
      <c r="AN7506">
        <v>0.99999997992381995</v>
      </c>
    </row>
    <row r="7507" spans="1:40" x14ac:dyDescent="0.25">
      <c r="A7507" t="str">
        <f>"20190312150839077"</f>
        <v>20190312150839077</v>
      </c>
      <c r="B7507" t="str">
        <f>"1552374519066939"</f>
        <v>1552374519066939</v>
      </c>
      <c r="C7507" t="s">
        <v>40</v>
      </c>
      <c r="D7507">
        <v>4.3011179999999998</v>
      </c>
      <c r="E7507">
        <v>0.45733550000000001</v>
      </c>
      <c r="F7507" t="s">
        <v>42</v>
      </c>
      <c r="G7507">
        <v>-393.1934</v>
      </c>
      <c r="H7507" s="1">
        <v>-3.7261280000000001E-6</v>
      </c>
      <c r="I7507">
        <v>134.97200000000001</v>
      </c>
      <c r="J7507">
        <v>-372.69380000000001</v>
      </c>
      <c r="K7507">
        <v>1.110959</v>
      </c>
      <c r="L7507">
        <v>140.18289999999999</v>
      </c>
      <c r="M7507">
        <v>-0.99988509999999997</v>
      </c>
      <c r="N7507">
        <v>0</v>
      </c>
      <c r="O7507">
        <v>-5.4675799999999997E-3</v>
      </c>
      <c r="P7507">
        <v>-0.98976240000000004</v>
      </c>
      <c r="Q7507">
        <v>5.464343E-2</v>
      </c>
      <c r="R7507">
        <v>-0.13185169999999999</v>
      </c>
      <c r="S7507">
        <v>-2.941589</v>
      </c>
      <c r="T7507">
        <v>-0.15803589999999901</v>
      </c>
      <c r="U7507">
        <v>-0.74143979999999998</v>
      </c>
      <c r="V7507">
        <v>-0.12646309999999999</v>
      </c>
      <c r="W7507">
        <v>6.8598549999999994E-2</v>
      </c>
      <c r="X7507">
        <v>0.98959649999999999</v>
      </c>
      <c r="Y7507">
        <v>-0.23878769999999999</v>
      </c>
      <c r="Z7507">
        <v>-6.022281E-3</v>
      </c>
      <c r="AA7507">
        <v>0.9710531</v>
      </c>
      <c r="AB7507">
        <v>18</v>
      </c>
      <c r="AC7507">
        <v>-20.499599999999901</v>
      </c>
      <c r="AD7507">
        <v>-1.110962726128</v>
      </c>
      <c r="AE7507">
        <v>-5.2108999999999801</v>
      </c>
      <c r="AF7507">
        <v>-5.0847001687358802</v>
      </c>
      <c r="AG7507">
        <v>-1.110962726128</v>
      </c>
      <c r="AH7507">
        <v>20.4713117386287</v>
      </c>
      <c r="AI7507">
        <v>93.014919866756003</v>
      </c>
      <c r="AJ7507">
        <v>103.948945279713</v>
      </c>
      <c r="AK7507">
        <v>21.122571299084399</v>
      </c>
      <c r="AL7507">
        <v>86.066503287050395</v>
      </c>
      <c r="AM7507">
        <v>97.282503861869202</v>
      </c>
      <c r="AN7507">
        <v>0.99999995476797998</v>
      </c>
    </row>
    <row r="7508" spans="1:40" x14ac:dyDescent="0.25">
      <c r="A7508" t="str">
        <f>"20190312150839091"</f>
        <v>20190312150839091</v>
      </c>
      <c r="B7508" t="str">
        <f>"1552374519087423"</f>
        <v>1552374519087423</v>
      </c>
      <c r="C7508" t="s">
        <v>40</v>
      </c>
      <c r="D7508">
        <v>4.3161120000000004</v>
      </c>
      <c r="E7508">
        <v>0.4572061</v>
      </c>
      <c r="F7508" t="s">
        <v>42</v>
      </c>
      <c r="G7508">
        <v>-393.06779999999998</v>
      </c>
      <c r="H7508" s="1">
        <v>-3.7742429999999999E-6</v>
      </c>
      <c r="I7508">
        <v>135.0043</v>
      </c>
      <c r="J7508">
        <v>-372.80549999999999</v>
      </c>
      <c r="K7508">
        <v>1.1109849999999999</v>
      </c>
      <c r="L7508">
        <v>140.18209999999999</v>
      </c>
      <c r="M7508">
        <v>-0.99988410000000005</v>
      </c>
      <c r="N7508">
        <v>0</v>
      </c>
      <c r="O7508">
        <v>-5.6463319999999996E-3</v>
      </c>
      <c r="P7508">
        <v>-0.98968319999999999</v>
      </c>
      <c r="Q7508">
        <v>5.4479109999999997E-2</v>
      </c>
      <c r="R7508">
        <v>-0.13251170000000001</v>
      </c>
      <c r="S7508">
        <v>-2.9403380000000001</v>
      </c>
      <c r="T7508">
        <v>-0.160332</v>
      </c>
      <c r="U7508">
        <v>-0.74734500000000004</v>
      </c>
      <c r="V7508">
        <v>-0.1269506</v>
      </c>
      <c r="W7508">
        <v>6.8423479999999995E-2</v>
      </c>
      <c r="X7508">
        <v>0.98954620000000004</v>
      </c>
      <c r="Y7508">
        <v>-0.24053279999999999</v>
      </c>
      <c r="Z7508">
        <v>-6.1479119999999898E-3</v>
      </c>
      <c r="AA7508">
        <v>0.97062150000000003</v>
      </c>
      <c r="AB7508">
        <v>18</v>
      </c>
      <c r="AC7508">
        <v>-20.2622999999999</v>
      </c>
      <c r="AD7508">
        <v>-1.110988774243</v>
      </c>
      <c r="AE7508">
        <v>-5.1777999999999897</v>
      </c>
      <c r="AF7508">
        <v>-5.0490494940966597</v>
      </c>
      <c r="AG7508">
        <v>-1.110988774243</v>
      </c>
      <c r="AH7508">
        <v>20.234113074271999</v>
      </c>
      <c r="AI7508">
        <v>93.049447412098203</v>
      </c>
      <c r="AJ7508">
        <v>104.010979034939</v>
      </c>
      <c r="AK7508">
        <v>20.8841214503449</v>
      </c>
      <c r="AL7508">
        <v>86.0765576835649</v>
      </c>
      <c r="AM7508">
        <v>97.310641506070596</v>
      </c>
      <c r="AN7508">
        <v>0.99999995469505398</v>
      </c>
    </row>
    <row r="7509" spans="1:40" x14ac:dyDescent="0.25">
      <c r="A7509" t="str">
        <f>"20190312150839103"</f>
        <v>20190312150839103</v>
      </c>
      <c r="B7509" t="str">
        <f>"1552374519097185"</f>
        <v>1552374519097185</v>
      </c>
      <c r="C7509" t="s">
        <v>40</v>
      </c>
      <c r="D7509">
        <v>4.2940699999999996</v>
      </c>
      <c r="E7509">
        <v>0.45716909999999999</v>
      </c>
      <c r="F7509" t="s">
        <v>42</v>
      </c>
      <c r="G7509">
        <v>-392.89</v>
      </c>
      <c r="H7509" s="1">
        <v>-3.8415850000000004E-6</v>
      </c>
      <c r="I7509">
        <v>135.0547</v>
      </c>
      <c r="J7509">
        <v>-372.90469999999999</v>
      </c>
      <c r="K7509">
        <v>1.1110100000000001</v>
      </c>
      <c r="L7509">
        <v>140.1814</v>
      </c>
      <c r="M7509">
        <v>-0.99988319999999997</v>
      </c>
      <c r="N7509">
        <v>0</v>
      </c>
      <c r="O7509">
        <v>-5.8216989999999996E-3</v>
      </c>
      <c r="P7509">
        <v>-0.9895775</v>
      </c>
      <c r="Q7509">
        <v>5.4858579999999997E-2</v>
      </c>
      <c r="R7509">
        <v>-0.1331427</v>
      </c>
      <c r="S7509">
        <v>-2.9397280000000001</v>
      </c>
      <c r="T7509">
        <v>-0.16261300000000001</v>
      </c>
      <c r="U7509">
        <v>-0.75047299999999995</v>
      </c>
      <c r="V7509">
        <v>-0.1274122</v>
      </c>
      <c r="W7509">
        <v>6.8792160000000005E-2</v>
      </c>
      <c r="X7509">
        <v>0.98946140000000005</v>
      </c>
      <c r="Y7509">
        <v>-0.24137020000000001</v>
      </c>
      <c r="Z7509">
        <v>-6.2489379999999999E-3</v>
      </c>
      <c r="AA7509">
        <v>0.97041299999999997</v>
      </c>
      <c r="AB7509">
        <v>18</v>
      </c>
      <c r="AC7509">
        <v>-19.985299999999899</v>
      </c>
      <c r="AD7509">
        <v>-1.1110138415849999</v>
      </c>
      <c r="AE7509">
        <v>-5.1266999999999996</v>
      </c>
      <c r="AF7509">
        <v>-4.9957672902153396</v>
      </c>
      <c r="AG7509">
        <v>-1.1110138415849999</v>
      </c>
      <c r="AH7509">
        <v>19.956942920100602</v>
      </c>
      <c r="AI7509">
        <v>93.091209838200996</v>
      </c>
      <c r="AJ7509">
        <v>104.05389096649699</v>
      </c>
      <c r="AK7509">
        <v>20.602708882337101</v>
      </c>
      <c r="AL7509">
        <v>86.055384343941697</v>
      </c>
      <c r="AM7509">
        <v>97.337556261733894</v>
      </c>
      <c r="AN7509">
        <v>1.00000004603813</v>
      </c>
    </row>
    <row r="7510" spans="1:40" x14ac:dyDescent="0.25">
      <c r="A7510" t="str">
        <f>"20190312150839115"</f>
        <v>20190312150839115</v>
      </c>
      <c r="B7510" t="str">
        <f>"1552374519106943"</f>
        <v>1552374519106943</v>
      </c>
      <c r="C7510" t="s">
        <v>40</v>
      </c>
      <c r="D7510">
        <v>4.2731629999999896</v>
      </c>
      <c r="E7510">
        <v>0.45714399999999999</v>
      </c>
      <c r="F7510" t="s">
        <v>42</v>
      </c>
      <c r="G7510">
        <v>-393.03890000000001</v>
      </c>
      <c r="H7510" s="1">
        <v>-3.7828180000000001E-6</v>
      </c>
      <c r="I7510">
        <v>135.0258</v>
      </c>
      <c r="J7510">
        <v>-373.00310000000002</v>
      </c>
      <c r="K7510">
        <v>1.111032</v>
      </c>
      <c r="L7510">
        <v>140.18049999999999</v>
      </c>
      <c r="M7510">
        <v>-0.99988200000000005</v>
      </c>
      <c r="N7510">
        <v>0</v>
      </c>
      <c r="O7510">
        <v>-6.0220669999999999E-3</v>
      </c>
      <c r="P7510">
        <v>-0.98951619999999996</v>
      </c>
      <c r="Q7510">
        <v>5.4782329999999997E-2</v>
      </c>
      <c r="R7510">
        <v>-0.13362969999999999</v>
      </c>
      <c r="S7510">
        <v>-2.9393310000000001</v>
      </c>
      <c r="T7510">
        <v>-0.16219349999999999</v>
      </c>
      <c r="U7510">
        <v>-0.75262450000000003</v>
      </c>
      <c r="V7510">
        <v>-0.1277045</v>
      </c>
      <c r="W7510">
        <v>6.8707009999999999E-2</v>
      </c>
      <c r="X7510">
        <v>0.98942960000000002</v>
      </c>
      <c r="Y7510">
        <v>-0.24187510000000001</v>
      </c>
      <c r="Z7510">
        <v>-6.2359319999999996E-3</v>
      </c>
      <c r="AA7510">
        <v>0.97028740000000002</v>
      </c>
      <c r="AB7510">
        <v>18</v>
      </c>
      <c r="AC7510">
        <v>-20.035799999999899</v>
      </c>
      <c r="AD7510">
        <v>-1.111035782818</v>
      </c>
      <c r="AE7510">
        <v>-5.1546999999999903</v>
      </c>
      <c r="AF7510">
        <v>-5.0194609796204102</v>
      </c>
      <c r="AG7510">
        <v>-1.111035782818</v>
      </c>
      <c r="AH7510">
        <v>20.008774665313901</v>
      </c>
      <c r="AI7510">
        <v>93.082889772206201</v>
      </c>
      <c r="AJ7510">
        <v>104.082770965658</v>
      </c>
      <c r="AK7510">
        <v>20.6586653161317</v>
      </c>
      <c r="AL7510">
        <v>86.060274519495906</v>
      </c>
      <c r="AM7510">
        <v>97.354439264938705</v>
      </c>
      <c r="AN7510">
        <v>1.0000000129497699</v>
      </c>
    </row>
    <row r="7511" spans="1:40" x14ac:dyDescent="0.25">
      <c r="A7511" t="str">
        <f>"20190312150839127"</f>
        <v>20190312150839127</v>
      </c>
      <c r="B7511" t="str">
        <f>"1552374519117680"</f>
        <v>1552374519117680</v>
      </c>
      <c r="C7511" t="s">
        <v>40</v>
      </c>
      <c r="D7511">
        <v>4.2817230000000004</v>
      </c>
      <c r="E7511">
        <v>0.45712009999999997</v>
      </c>
      <c r="F7511" t="s">
        <v>42</v>
      </c>
      <c r="G7511">
        <v>-393.01519999999999</v>
      </c>
      <c r="H7511" s="1">
        <v>-3.7899419999999998E-6</v>
      </c>
      <c r="I7511">
        <v>135.04310000000001</v>
      </c>
      <c r="J7511">
        <v>-373.10219999999998</v>
      </c>
      <c r="K7511">
        <v>1.111051</v>
      </c>
      <c r="L7511">
        <v>140.1797</v>
      </c>
      <c r="M7511">
        <v>-0.99988080000000001</v>
      </c>
      <c r="N7511">
        <v>0</v>
      </c>
      <c r="O7511">
        <v>-6.2342279999999996E-3</v>
      </c>
      <c r="P7511">
        <v>-0.98941270000000003</v>
      </c>
      <c r="Q7511">
        <v>5.4806180000000003E-2</v>
      </c>
      <c r="R7511">
        <v>-0.13438310000000001</v>
      </c>
      <c r="S7511">
        <v>-2.9389340000000002</v>
      </c>
      <c r="T7511">
        <v>-0.1631647</v>
      </c>
      <c r="U7511">
        <v>-0.7544556</v>
      </c>
      <c r="V7511">
        <v>-0.12825159999999999</v>
      </c>
      <c r="W7511">
        <v>6.8720799999999999E-2</v>
      </c>
      <c r="X7511">
        <v>0.98935790000000001</v>
      </c>
      <c r="Y7511">
        <v>-0.2422636</v>
      </c>
      <c r="Z7511">
        <v>-6.2725840000000003E-3</v>
      </c>
      <c r="AA7511">
        <v>0.9701902</v>
      </c>
      <c r="AB7511">
        <v>18</v>
      </c>
      <c r="AC7511">
        <v>-19.913</v>
      </c>
      <c r="AD7511">
        <v>-1.111054789942</v>
      </c>
      <c r="AE7511">
        <v>-5.1365999999999801</v>
      </c>
      <c r="AF7511">
        <v>-4.9977575873838402</v>
      </c>
      <c r="AG7511">
        <v>-1.111054789942</v>
      </c>
      <c r="AH7511">
        <v>19.886591712260799</v>
      </c>
      <c r="AI7511">
        <v>93.101518105829896</v>
      </c>
      <c r="AJ7511">
        <v>104.10702177605801</v>
      </c>
      <c r="AK7511">
        <v>20.535056697722201</v>
      </c>
      <c r="AL7511">
        <v>86.059482636760194</v>
      </c>
      <c r="AM7511">
        <v>97.386128689256793</v>
      </c>
      <c r="AN7511">
        <v>1.0000000377738001</v>
      </c>
    </row>
    <row r="7512" spans="1:40" x14ac:dyDescent="0.25">
      <c r="A7512" t="str">
        <f>"20190312150839140"</f>
        <v>20190312150839140</v>
      </c>
      <c r="B7512" t="str">
        <f>"1552374519137074"</f>
        <v>1552374519137074</v>
      </c>
      <c r="C7512" t="s">
        <v>40</v>
      </c>
      <c r="D7512">
        <v>4.3541949999999998</v>
      </c>
      <c r="E7512">
        <v>0.4570939</v>
      </c>
      <c r="F7512" t="s">
        <v>42</v>
      </c>
      <c r="G7512">
        <v>-393.03039999999999</v>
      </c>
      <c r="H7512" s="1">
        <v>-3.782775E-6</v>
      </c>
      <c r="I7512">
        <v>135.04679999999999</v>
      </c>
      <c r="J7512">
        <v>-373.21319999999997</v>
      </c>
      <c r="K7512">
        <v>1.1110709999999999</v>
      </c>
      <c r="L7512">
        <v>140.17869999999999</v>
      </c>
      <c r="M7512">
        <v>-0.99987910000000002</v>
      </c>
      <c r="N7512">
        <v>0</v>
      </c>
      <c r="O7512">
        <v>-6.4975379999999998E-3</v>
      </c>
      <c r="P7512">
        <v>-0.98932359999999997</v>
      </c>
      <c r="Q7512">
        <v>5.4764050000000002E-2</v>
      </c>
      <c r="R7512">
        <v>-0.13505490000000001</v>
      </c>
      <c r="S7512">
        <v>-2.9383849999999998</v>
      </c>
      <c r="T7512">
        <v>-0.16382360000000001</v>
      </c>
      <c r="U7512">
        <v>-0.75683590000000001</v>
      </c>
      <c r="V7512">
        <v>-0.12866630000000001</v>
      </c>
      <c r="W7512">
        <v>6.8669419999999995E-2</v>
      </c>
      <c r="X7512">
        <v>0.98930759999999995</v>
      </c>
      <c r="Y7512">
        <v>-0.2427858</v>
      </c>
      <c r="Z7512">
        <v>-6.2982749999999999E-3</v>
      </c>
      <c r="AA7512">
        <v>0.97005949999999996</v>
      </c>
      <c r="AB7512">
        <v>18</v>
      </c>
      <c r="AC7512">
        <v>-19.8172</v>
      </c>
      <c r="AD7512">
        <v>-1.1110747827749901</v>
      </c>
      <c r="AE7512">
        <v>-5.1318999999999999</v>
      </c>
      <c r="AF7512">
        <v>-4.9883208744744403</v>
      </c>
      <c r="AG7512">
        <v>-1.1110747827749901</v>
      </c>
      <c r="AH7512">
        <v>19.791825614511001</v>
      </c>
      <c r="AI7512">
        <v>93.115860600450802</v>
      </c>
      <c r="AJ7512">
        <v>104.146168908086</v>
      </c>
      <c r="AK7512">
        <v>20.440992966948802</v>
      </c>
      <c r="AL7512">
        <v>86.062433381460906</v>
      </c>
      <c r="AM7512">
        <v>97.410119216158407</v>
      </c>
      <c r="AN7512">
        <v>1.0000000167082901</v>
      </c>
    </row>
    <row r="7513" spans="1:40" x14ac:dyDescent="0.25">
      <c r="A7513" t="str">
        <f>"20190312150839153"</f>
        <v>20190312150839153</v>
      </c>
      <c r="B7513" t="str">
        <f>"1552374519147797"</f>
        <v>1552374519147797</v>
      </c>
      <c r="C7513" t="s">
        <v>40</v>
      </c>
      <c r="D7513">
        <v>4.2713469999999996</v>
      </c>
      <c r="E7513">
        <v>0.45705390000000001</v>
      </c>
      <c r="F7513" t="s">
        <v>42</v>
      </c>
      <c r="G7513">
        <v>-393.02609999999999</v>
      </c>
      <c r="H7513" s="1">
        <v>-3.7822169999999998E-6</v>
      </c>
      <c r="I7513">
        <v>135.06030000000001</v>
      </c>
      <c r="J7513">
        <v>-373.31319999999999</v>
      </c>
      <c r="K7513">
        <v>1.111086</v>
      </c>
      <c r="L7513">
        <v>140.17779999999999</v>
      </c>
      <c r="M7513">
        <v>-0.99987749999999997</v>
      </c>
      <c r="N7513">
        <v>0</v>
      </c>
      <c r="O7513">
        <v>-6.7549289999999998E-3</v>
      </c>
      <c r="P7513">
        <v>-0.98920960000000002</v>
      </c>
      <c r="Q7513">
        <v>5.4754499999999998E-2</v>
      </c>
      <c r="R7513">
        <v>-0.1358916</v>
      </c>
      <c r="S7513">
        <v>-2.9378660000000001</v>
      </c>
      <c r="T7513">
        <v>-0.16475090000000001</v>
      </c>
      <c r="U7513">
        <v>-0.75895690000000005</v>
      </c>
      <c r="V7513">
        <v>-0.1292518</v>
      </c>
      <c r="W7513">
        <v>6.8650879999999997E-2</v>
      </c>
      <c r="X7513">
        <v>0.98923249999999996</v>
      </c>
      <c r="Y7513">
        <v>-0.2432298</v>
      </c>
      <c r="Z7513">
        <v>-6.3324499999999999E-3</v>
      </c>
      <c r="AA7513">
        <v>0.96994800000000003</v>
      </c>
      <c r="AB7513">
        <v>18</v>
      </c>
      <c r="AC7513">
        <v>-19.712899999999902</v>
      </c>
      <c r="AD7513">
        <v>-1.1110897822170001</v>
      </c>
      <c r="AE7513">
        <v>-5.1174999999999704</v>
      </c>
      <c r="AF7513">
        <v>-4.9694203499461898</v>
      </c>
      <c r="AG7513">
        <v>-1.1110897822170001</v>
      </c>
      <c r="AH7513">
        <v>19.6884238137824</v>
      </c>
      <c r="AI7513">
        <v>93.1319649180124</v>
      </c>
      <c r="AJ7513">
        <v>104.16576137191601</v>
      </c>
      <c r="AK7513">
        <v>20.336265423860901</v>
      </c>
      <c r="AL7513">
        <v>86.0634979150189</v>
      </c>
      <c r="AM7513">
        <v>97.444020662127599</v>
      </c>
      <c r="AN7513">
        <v>0.99999995509213102</v>
      </c>
    </row>
    <row r="7514" spans="1:40" x14ac:dyDescent="0.25">
      <c r="A7514" t="str">
        <f>"20190312150839167"</f>
        <v>20190312150839167</v>
      </c>
      <c r="B7514" t="str">
        <f>"1552374519157556"</f>
        <v>1552374519157556</v>
      </c>
      <c r="C7514" t="s">
        <v>40</v>
      </c>
      <c r="D7514">
        <v>4.2627420000000003</v>
      </c>
      <c r="E7514">
        <v>0.45701849999999999</v>
      </c>
      <c r="F7514" t="s">
        <v>42</v>
      </c>
      <c r="G7514">
        <v>-393.0412</v>
      </c>
      <c r="H7514" s="1">
        <v>-3.7757180000000002E-6</v>
      </c>
      <c r="I7514">
        <v>135.06039999999999</v>
      </c>
      <c r="J7514">
        <v>-373.42540000000002</v>
      </c>
      <c r="K7514">
        <v>1.1111</v>
      </c>
      <c r="L7514">
        <v>140.17670000000001</v>
      </c>
      <c r="M7514">
        <v>-0.99987539999999997</v>
      </c>
      <c r="N7514">
        <v>0</v>
      </c>
      <c r="O7514">
        <v>-7.0579769999999896E-3</v>
      </c>
      <c r="P7514">
        <v>-0.98905339999999997</v>
      </c>
      <c r="Q7514">
        <v>5.4532039999999997E-2</v>
      </c>
      <c r="R7514">
        <v>-0.13711199999999901</v>
      </c>
      <c r="S7514">
        <v>-2.9372250000000002</v>
      </c>
      <c r="T7514">
        <v>-0.16542599999999999</v>
      </c>
      <c r="U7514">
        <v>-0.76188659999999997</v>
      </c>
      <c r="V7514">
        <v>-0.1301756</v>
      </c>
      <c r="W7514">
        <v>6.8418729999999997E-2</v>
      </c>
      <c r="X7514">
        <v>0.98912750000000005</v>
      </c>
      <c r="Y7514">
        <v>-0.2438903</v>
      </c>
      <c r="Z7514">
        <v>-6.3604289999999999E-3</v>
      </c>
      <c r="AA7514">
        <v>0.96978200000000003</v>
      </c>
      <c r="AB7514">
        <v>18</v>
      </c>
      <c r="AC7514">
        <v>-19.615799999999901</v>
      </c>
      <c r="AD7514">
        <v>-1.111103775718</v>
      </c>
      <c r="AE7514">
        <v>-5.1163000000000203</v>
      </c>
      <c r="AF7514">
        <v>-4.9628021371609803</v>
      </c>
      <c r="AG7514">
        <v>-1.111103775718</v>
      </c>
      <c r="AH7514">
        <v>19.592567693180101</v>
      </c>
      <c r="AI7514">
        <v>93.146627223291304</v>
      </c>
      <c r="AJ7514">
        <v>104.21407180578601</v>
      </c>
      <c r="AK7514">
        <v>20.241854299072202</v>
      </c>
      <c r="AL7514">
        <v>86.076830696513298</v>
      </c>
      <c r="AM7514">
        <v>97.497408943412694</v>
      </c>
      <c r="AN7514">
        <v>1.0000000103532101</v>
      </c>
    </row>
    <row r="7515" spans="1:40" x14ac:dyDescent="0.25">
      <c r="A7515" t="str">
        <f>"20190312150839189"</f>
        <v>20190312150839189</v>
      </c>
      <c r="B7515" t="str">
        <f>"1552374519177075"</f>
        <v>1552374519177075</v>
      </c>
      <c r="C7515" t="s">
        <v>40</v>
      </c>
      <c r="D7515">
        <v>4.3002010000000004</v>
      </c>
      <c r="E7515">
        <v>0.45698230000000001</v>
      </c>
      <c r="F7515" t="s">
        <v>42</v>
      </c>
      <c r="G7515">
        <v>-392.98869999999999</v>
      </c>
      <c r="H7515" s="1">
        <v>-3.7957529999999999E-6</v>
      </c>
      <c r="I7515">
        <v>135.0745</v>
      </c>
      <c r="J7515">
        <v>-373.60879999999997</v>
      </c>
      <c r="K7515">
        <v>1.1111230000000001</v>
      </c>
      <c r="L7515">
        <v>140.1748</v>
      </c>
      <c r="M7515">
        <v>-0.99987139999999997</v>
      </c>
      <c r="N7515">
        <v>0</v>
      </c>
      <c r="O7515">
        <v>-7.6001050000000002E-3</v>
      </c>
      <c r="P7515">
        <v>-0.98883670000000001</v>
      </c>
      <c r="Q7515">
        <v>5.4837459999999998E-2</v>
      </c>
      <c r="R7515">
        <v>-0.13854710000000001</v>
      </c>
      <c r="S7515">
        <v>-2.9362490000000001</v>
      </c>
      <c r="T7515">
        <v>-0.16676569999999999</v>
      </c>
      <c r="U7515">
        <v>-0.76577759999999995</v>
      </c>
      <c r="V7515">
        <v>-0.1310789</v>
      </c>
      <c r="W7515">
        <v>6.8710800000000002E-2</v>
      </c>
      <c r="X7515">
        <v>0.98898790000000003</v>
      </c>
      <c r="Y7515">
        <v>-0.24464040000000001</v>
      </c>
      <c r="Z7515">
        <v>-6.40356E-3</v>
      </c>
      <c r="AA7515">
        <v>0.96959280000000003</v>
      </c>
      <c r="AB7515">
        <v>18</v>
      </c>
      <c r="AC7515">
        <v>-19.379899999999999</v>
      </c>
      <c r="AD7515">
        <v>-1.11112679575299</v>
      </c>
      <c r="AE7515">
        <v>-5.1002999999999998</v>
      </c>
      <c r="AF7515">
        <v>-4.9376690300537396</v>
      </c>
      <c r="AG7515">
        <v>-1.11112679575299</v>
      </c>
      <c r="AH7515">
        <v>19.358593520943401</v>
      </c>
      <c r="AI7515">
        <v>93.1833088026453</v>
      </c>
      <c r="AJ7515">
        <v>104.30896352747401</v>
      </c>
      <c r="AK7515">
        <v>20.009255891104601</v>
      </c>
      <c r="AL7515">
        <v>86.060056642007595</v>
      </c>
      <c r="AM7515">
        <v>97.549889447679305</v>
      </c>
      <c r="AN7515">
        <v>0.99999995920412899</v>
      </c>
    </row>
    <row r="7516" spans="1:40" x14ac:dyDescent="0.25">
      <c r="A7516" t="str">
        <f>"20190312150839211"</f>
        <v>20190312150839211</v>
      </c>
      <c r="B7516" t="str">
        <f>"1552374519207332"</f>
        <v>1552374519207332</v>
      </c>
      <c r="C7516" t="s">
        <v>40</v>
      </c>
      <c r="D7516">
        <v>4.2492780000000003</v>
      </c>
      <c r="E7516">
        <v>0.45686110000000002</v>
      </c>
      <c r="F7516" t="s">
        <v>42</v>
      </c>
      <c r="G7516">
        <v>-393.20049999999998</v>
      </c>
      <c r="H7516" s="1">
        <v>-3.7122659999999999E-6</v>
      </c>
      <c r="I7516">
        <v>135.03290000000001</v>
      </c>
      <c r="J7516">
        <v>-373.78460000000001</v>
      </c>
      <c r="K7516">
        <v>1.1111420000000001</v>
      </c>
      <c r="L7516">
        <v>140.1728</v>
      </c>
      <c r="M7516">
        <v>-0.99986710000000001</v>
      </c>
      <c r="N7516">
        <v>0</v>
      </c>
      <c r="O7516">
        <v>-8.1584699999999993E-3</v>
      </c>
      <c r="P7516">
        <v>-0.9886722</v>
      </c>
      <c r="Q7516">
        <v>5.5100059999999999E-2</v>
      </c>
      <c r="R7516">
        <v>-0.1396125</v>
      </c>
      <c r="S7516">
        <v>-2.935181</v>
      </c>
      <c r="T7516">
        <v>-0.1664667</v>
      </c>
      <c r="U7516">
        <v>-0.77032469999999997</v>
      </c>
      <c r="V7516">
        <v>-0.13159580000000001</v>
      </c>
      <c r="W7516">
        <v>6.8962460000000003E-2</v>
      </c>
      <c r="X7516">
        <v>0.98890180000000005</v>
      </c>
      <c r="Y7516">
        <v>-0.24559149999999999</v>
      </c>
      <c r="Z7516">
        <v>-6.3885110000000004E-3</v>
      </c>
      <c r="AA7516">
        <v>0.9693524</v>
      </c>
      <c r="AB7516">
        <v>18</v>
      </c>
      <c r="AC7516">
        <v>-19.415899999999901</v>
      </c>
      <c r="AD7516">
        <v>-1.111145712266</v>
      </c>
      <c r="AE7516">
        <v>-5.1398999999999804</v>
      </c>
      <c r="AF7516">
        <v>-4.9661096665439697</v>
      </c>
      <c r="AG7516">
        <v>-1.111145712266</v>
      </c>
      <c r="AH7516">
        <v>19.397822050329001</v>
      </c>
      <c r="AI7516">
        <v>93.176215648724494</v>
      </c>
      <c r="AJ7516">
        <v>104.36007729440399</v>
      </c>
      <c r="AK7516">
        <v>20.054236218571301</v>
      </c>
      <c r="AL7516">
        <v>86.045603553104598</v>
      </c>
      <c r="AM7516">
        <v>97.579968665956301</v>
      </c>
      <c r="AN7516">
        <v>1.0000000227550601</v>
      </c>
    </row>
    <row r="7517" spans="1:40" x14ac:dyDescent="0.25">
      <c r="A7517" t="str">
        <f>"20190312150839226"</f>
        <v>20190312150839226</v>
      </c>
      <c r="B7517" t="str">
        <f>"1552374519217092"</f>
        <v>1552374519217092</v>
      </c>
      <c r="C7517" t="s">
        <v>40</v>
      </c>
      <c r="D7517">
        <v>4.2872700000000004</v>
      </c>
      <c r="E7517">
        <v>0.45682070000000002</v>
      </c>
      <c r="F7517" t="s">
        <v>42</v>
      </c>
      <c r="G7517">
        <v>-393.30119999999999</v>
      </c>
      <c r="H7517" s="1">
        <v>-3.6712850000000001E-6</v>
      </c>
      <c r="I7517">
        <v>135.0204</v>
      </c>
      <c r="J7517">
        <v>-373.90649999999999</v>
      </c>
      <c r="K7517">
        <v>1.111151</v>
      </c>
      <c r="L7517">
        <v>140.1713</v>
      </c>
      <c r="M7517">
        <v>-0.99986370000000002</v>
      </c>
      <c r="N7517">
        <v>0</v>
      </c>
      <c r="O7517">
        <v>-8.5627099999999994E-3</v>
      </c>
      <c r="P7517">
        <v>-0.98857289999999998</v>
      </c>
      <c r="Q7517">
        <v>5.5034119999999999E-2</v>
      </c>
      <c r="R7517">
        <v>-0.14033970000000001</v>
      </c>
      <c r="S7517">
        <v>-2.9342959999999998</v>
      </c>
      <c r="T7517">
        <v>-0.16705999999999999</v>
      </c>
      <c r="U7517">
        <v>-0.77464290000000002</v>
      </c>
      <c r="V7517">
        <v>-0.1319256</v>
      </c>
      <c r="W7517">
        <v>6.889062E-2</v>
      </c>
      <c r="X7517">
        <v>0.98886280000000004</v>
      </c>
      <c r="Y7517">
        <v>-0.24660190000000001</v>
      </c>
      <c r="Z7517">
        <v>-6.4175930000000001E-3</v>
      </c>
      <c r="AA7517">
        <v>0.96909559999999995</v>
      </c>
      <c r="AB7517">
        <v>18</v>
      </c>
      <c r="AC7517">
        <v>-19.3947</v>
      </c>
      <c r="AD7517">
        <v>-1.111154671285</v>
      </c>
      <c r="AE7517">
        <v>-5.1509</v>
      </c>
      <c r="AF7517">
        <v>-4.9693868896567901</v>
      </c>
      <c r="AG7517">
        <v>-1.111154671285</v>
      </c>
      <c r="AH7517">
        <v>19.3786824602698</v>
      </c>
      <c r="AI7517">
        <v>93.179049930471606</v>
      </c>
      <c r="AJ7517">
        <v>104.382764923412</v>
      </c>
      <c r="AK7517">
        <v>20.036536743124501</v>
      </c>
      <c r="AL7517">
        <v>86.049729243482901</v>
      </c>
      <c r="AM7517">
        <v>97.599039761254303</v>
      </c>
      <c r="AN7517">
        <v>0.99999995934159103</v>
      </c>
    </row>
    <row r="7518" spans="1:40" x14ac:dyDescent="0.25">
      <c r="A7518" t="str">
        <f>"20190312150839245"</f>
        <v>20190312150839245</v>
      </c>
      <c r="B7518" t="str">
        <f>"1552374519237170"</f>
        <v>1552374519237170</v>
      </c>
      <c r="C7518" t="s">
        <v>40</v>
      </c>
      <c r="D7518">
        <v>4.2350599999999998</v>
      </c>
      <c r="E7518">
        <v>0.45673459999999999</v>
      </c>
      <c r="F7518" t="s">
        <v>42</v>
      </c>
      <c r="G7518">
        <v>-393.35950000000003</v>
      </c>
      <c r="H7518" s="1">
        <v>-3.6466770000000002E-6</v>
      </c>
      <c r="I7518">
        <v>135.01820000000001</v>
      </c>
      <c r="J7518">
        <v>-374.0652</v>
      </c>
      <c r="K7518">
        <v>1.111165</v>
      </c>
      <c r="L7518">
        <v>140.16929999999999</v>
      </c>
      <c r="M7518">
        <v>-0.99985889999999999</v>
      </c>
      <c r="N7518">
        <v>0</v>
      </c>
      <c r="O7518">
        <v>-9.1143060000000008E-3</v>
      </c>
      <c r="P7518">
        <v>-0.98838809999999999</v>
      </c>
      <c r="Q7518">
        <v>5.5300200000000001E-2</v>
      </c>
      <c r="R7518">
        <v>-0.141531399999999</v>
      </c>
      <c r="S7518">
        <v>-2.9336850000000001</v>
      </c>
      <c r="T7518">
        <v>-0.1675729</v>
      </c>
      <c r="U7518">
        <v>-0.77713009999999905</v>
      </c>
      <c r="V7518">
        <v>-0.13257439999999901</v>
      </c>
      <c r="W7518">
        <v>6.9147500000000001E-2</v>
      </c>
      <c r="X7518">
        <v>0.98875809999999997</v>
      </c>
      <c r="Y7518">
        <v>-0.24688309999999999</v>
      </c>
      <c r="Z7518">
        <v>-6.4148290000000004E-3</v>
      </c>
      <c r="AA7518">
        <v>0.96902410000000005</v>
      </c>
      <c r="AB7518">
        <v>18</v>
      </c>
      <c r="AC7518">
        <v>-19.2943</v>
      </c>
      <c r="AD7518">
        <v>-1.1111686466770001</v>
      </c>
      <c r="AE7518">
        <v>-5.15109999999998</v>
      </c>
      <c r="AF7518">
        <v>-4.9596592431988302</v>
      </c>
      <c r="AG7518">
        <v>-1.1111686466770001</v>
      </c>
      <c r="AH7518">
        <v>19.280758622456801</v>
      </c>
      <c r="AI7518">
        <v>93.194589629219905</v>
      </c>
      <c r="AJ7518">
        <v>104.425650556611</v>
      </c>
      <c r="AK7518">
        <v>19.939422474772101</v>
      </c>
      <c r="AL7518">
        <v>86.034975941068296</v>
      </c>
      <c r="AM7518">
        <v>97.636770399602398</v>
      </c>
      <c r="AN7518">
        <v>0.99999996430360905</v>
      </c>
    </row>
    <row r="7519" spans="1:40" x14ac:dyDescent="0.25">
      <c r="A7519" t="str">
        <f>"20190312150839259"</f>
        <v>20190312150839259</v>
      </c>
      <c r="B7519" t="str">
        <f>"1552374519247892"</f>
        <v>1552374519247892</v>
      </c>
      <c r="C7519" t="s">
        <v>40</v>
      </c>
      <c r="D7519">
        <v>4.2288969999999999</v>
      </c>
      <c r="E7519">
        <v>0.45670660000000002</v>
      </c>
      <c r="F7519" t="s">
        <v>42</v>
      </c>
      <c r="G7519">
        <v>-393.52289999999999</v>
      </c>
      <c r="H7519" s="1">
        <v>-3.5825349999999999E-6</v>
      </c>
      <c r="I7519">
        <v>134.9845</v>
      </c>
      <c r="J7519">
        <v>-374.17899999999997</v>
      </c>
      <c r="K7519">
        <v>1.1111740000000001</v>
      </c>
      <c r="L7519">
        <v>140.1678</v>
      </c>
      <c r="M7519">
        <v>-0.99985520000000006</v>
      </c>
      <c r="N7519">
        <v>0</v>
      </c>
      <c r="O7519">
        <v>-9.5284270000000008E-3</v>
      </c>
      <c r="P7519">
        <v>-0.98824230000000002</v>
      </c>
      <c r="Q7519">
        <v>5.5512230000000003E-2</v>
      </c>
      <c r="R7519">
        <v>-0.14246239999999999</v>
      </c>
      <c r="S7519">
        <v>-2.9326780000000001</v>
      </c>
      <c r="T7519">
        <v>-0.1674764</v>
      </c>
      <c r="U7519">
        <v>-0.78144840000000004</v>
      </c>
      <c r="V7519">
        <v>-0.13309860000000001</v>
      </c>
      <c r="W7519">
        <v>6.9352529999999996E-2</v>
      </c>
      <c r="X7519">
        <v>0.98867329999999998</v>
      </c>
      <c r="Y7519">
        <v>-0.24789620000000001</v>
      </c>
      <c r="Z7519">
        <v>-6.4172750000000001E-3</v>
      </c>
      <c r="AA7519">
        <v>0.9687654</v>
      </c>
      <c r="AB7519">
        <v>18</v>
      </c>
      <c r="AC7519">
        <v>-19.343899999999898</v>
      </c>
      <c r="AD7519">
        <v>-1.1111775825350001</v>
      </c>
      <c r="AE7519">
        <v>-5.1833</v>
      </c>
      <c r="AF7519">
        <v>-4.9833871140932198</v>
      </c>
      <c r="AG7519">
        <v>-1.1111775825350001</v>
      </c>
      <c r="AH7519">
        <v>19.3328954116046</v>
      </c>
      <c r="AI7519">
        <v>93.185608135025603</v>
      </c>
      <c r="AJ7519">
        <v>104.454323850297</v>
      </c>
      <c r="AK7519">
        <v>19.995742240409101</v>
      </c>
      <c r="AL7519">
        <v>86.023200270367994</v>
      </c>
      <c r="AM7519">
        <v>97.6672575472098</v>
      </c>
      <c r="AN7519">
        <v>0.99999995243612405</v>
      </c>
    </row>
    <row r="7520" spans="1:40" x14ac:dyDescent="0.25">
      <c r="A7520" t="str">
        <f>"20190312150839274"</f>
        <v>20190312150839274</v>
      </c>
      <c r="B7520" t="str">
        <f>"1552374519267411"</f>
        <v>1552374519267411</v>
      </c>
      <c r="C7520" t="s">
        <v>40</v>
      </c>
      <c r="D7520">
        <v>4.2366710000000003</v>
      </c>
      <c r="E7520">
        <v>0.4566634</v>
      </c>
      <c r="F7520" t="s">
        <v>42</v>
      </c>
      <c r="G7520">
        <v>-393.63729999999998</v>
      </c>
      <c r="H7520" s="1">
        <v>-3.5373820000000001E-6</v>
      </c>
      <c r="I7520">
        <v>134.9624</v>
      </c>
      <c r="J7520">
        <v>-374.2842</v>
      </c>
      <c r="K7520">
        <v>1.1111819999999999</v>
      </c>
      <c r="L7520">
        <v>140.16640000000001</v>
      </c>
      <c r="M7520">
        <v>-0.9998513</v>
      </c>
      <c r="N7520">
        <v>0</v>
      </c>
      <c r="O7520">
        <v>-9.9246750000000009E-3</v>
      </c>
      <c r="P7520">
        <v>-0.98807339999999999</v>
      </c>
      <c r="Q7520">
        <v>5.5566900000000002E-2</v>
      </c>
      <c r="R7520">
        <v>-0.14360989999999901</v>
      </c>
      <c r="S7520">
        <v>-2.9320369999999998</v>
      </c>
      <c r="T7520">
        <v>-0.1674361</v>
      </c>
      <c r="U7520">
        <v>-0.78436280000000003</v>
      </c>
      <c r="V7520">
        <v>-0.13385720000000001</v>
      </c>
      <c r="W7520">
        <v>6.9400100000000006E-2</v>
      </c>
      <c r="X7520">
        <v>0.98856759999999999</v>
      </c>
      <c r="Y7520">
        <v>-0.24846360000000001</v>
      </c>
      <c r="Z7520">
        <v>-6.4099839999999996E-3</v>
      </c>
      <c r="AA7520">
        <v>0.96862000000000004</v>
      </c>
      <c r="AB7520">
        <v>18</v>
      </c>
      <c r="AC7520">
        <v>-19.353099999999898</v>
      </c>
      <c r="AD7520">
        <v>-1.1111855373820001</v>
      </c>
      <c r="AE7520">
        <v>-5.2039999999999997</v>
      </c>
      <c r="AF7520">
        <v>-4.9962909672522402</v>
      </c>
      <c r="AG7520">
        <v>-1.1111855373820001</v>
      </c>
      <c r="AH7520">
        <v>19.344328551042501</v>
      </c>
      <c r="AI7520">
        <v>93.183356358883799</v>
      </c>
      <c r="AJ7520">
        <v>104.481973848368</v>
      </c>
      <c r="AK7520">
        <v>20.010015087915701</v>
      </c>
      <c r="AL7520">
        <v>86.0204683637768</v>
      </c>
      <c r="AM7520">
        <v>97.711247615557099</v>
      </c>
      <c r="AN7520">
        <v>1.0000000118207999</v>
      </c>
    </row>
    <row r="7521" spans="1:40" x14ac:dyDescent="0.25">
      <c r="A7521" t="str">
        <f>"20190312150839286"</f>
        <v>20190312150839286</v>
      </c>
      <c r="B7521" t="str">
        <f>"1552374519277172"</f>
        <v>1552374519277172</v>
      </c>
      <c r="C7521" t="s">
        <v>40</v>
      </c>
      <c r="D7521">
        <v>4.2579419999999999</v>
      </c>
      <c r="E7521">
        <v>0.4566191</v>
      </c>
      <c r="F7521" t="s">
        <v>42</v>
      </c>
      <c r="G7521">
        <v>-393.64499999999998</v>
      </c>
      <c r="H7521" s="1">
        <v>-3.534363E-6</v>
      </c>
      <c r="I7521">
        <v>134.96080000000001</v>
      </c>
      <c r="J7521">
        <v>-374.3922</v>
      </c>
      <c r="K7521">
        <v>1.111192</v>
      </c>
      <c r="L7521">
        <v>140.16480000000001</v>
      </c>
      <c r="M7521">
        <v>-0.99984720000000005</v>
      </c>
      <c r="N7521">
        <v>0</v>
      </c>
      <c r="O7521">
        <v>-1.0342169999999999E-2</v>
      </c>
      <c r="P7521">
        <v>-0.98791890000000004</v>
      </c>
      <c r="Q7521">
        <v>5.5833720000000003E-2</v>
      </c>
      <c r="R7521">
        <v>-0.1445661</v>
      </c>
      <c r="S7521">
        <v>-2.9311219999999998</v>
      </c>
      <c r="T7521">
        <v>-0.16822809999999999</v>
      </c>
      <c r="U7521">
        <v>-0.78808590000000001</v>
      </c>
      <c r="V7521">
        <v>-0.13440350000000001</v>
      </c>
      <c r="W7521">
        <v>6.9659830000000006E-2</v>
      </c>
      <c r="X7521">
        <v>0.9884752</v>
      </c>
      <c r="Y7521">
        <v>-0.24927830000000001</v>
      </c>
      <c r="Z7521">
        <v>-6.4406000000000003E-3</v>
      </c>
      <c r="AA7521">
        <v>0.96841049999999995</v>
      </c>
      <c r="AB7521">
        <v>18</v>
      </c>
      <c r="AC7521">
        <v>-19.252799999999901</v>
      </c>
      <c r="AD7521">
        <v>-1.111195534363</v>
      </c>
      <c r="AE7521">
        <v>-5.2039999999999997</v>
      </c>
      <c r="AF7521">
        <v>-4.9890982826288797</v>
      </c>
      <c r="AG7521">
        <v>-1.111195534363</v>
      </c>
      <c r="AH7521">
        <v>19.2458505400331</v>
      </c>
      <c r="AI7521">
        <v>93.198906163592099</v>
      </c>
      <c r="AJ7521">
        <v>104.53287431134299</v>
      </c>
      <c r="AK7521">
        <v>19.913026394765101</v>
      </c>
      <c r="AL7521">
        <v>86.005550808823898</v>
      </c>
      <c r="AM7521">
        <v>97.743052876820798</v>
      </c>
      <c r="AN7521">
        <v>1.0000000068714501</v>
      </c>
    </row>
    <row r="7522" spans="1:40" x14ac:dyDescent="0.25">
      <c r="A7522" t="str">
        <f>"20190312150839301"</f>
        <v>20190312150839301</v>
      </c>
      <c r="B7522" t="str">
        <f>"1552374519297668"</f>
        <v>1552374519297668</v>
      </c>
      <c r="C7522" t="s">
        <v>40</v>
      </c>
      <c r="D7522">
        <v>4.2551839999999999</v>
      </c>
      <c r="E7522">
        <v>0.45656619999999998</v>
      </c>
      <c r="F7522" t="s">
        <v>42</v>
      </c>
      <c r="G7522">
        <v>-393.79259999999999</v>
      </c>
      <c r="H7522" s="1">
        <v>-3.4772509999999999E-6</v>
      </c>
      <c r="I7522">
        <v>134.92570000000001</v>
      </c>
      <c r="J7522">
        <v>-374.50689999999997</v>
      </c>
      <c r="K7522">
        <v>1.1112070000000001</v>
      </c>
      <c r="L7522">
        <v>140.16309999999999</v>
      </c>
      <c r="M7522">
        <v>-0.99984220000000001</v>
      </c>
      <c r="N7522">
        <v>0</v>
      </c>
      <c r="O7522">
        <v>-1.080968E-2</v>
      </c>
      <c r="P7522">
        <v>-0.98768500000000004</v>
      </c>
      <c r="Q7522">
        <v>5.588655E-2</v>
      </c>
      <c r="R7522">
        <v>-0.1461334</v>
      </c>
      <c r="S7522">
        <v>-2.9303590000000002</v>
      </c>
      <c r="T7522">
        <v>-0.1678414</v>
      </c>
      <c r="U7522">
        <v>-0.79133609999999999</v>
      </c>
      <c r="V7522">
        <v>-0.13551340000000001</v>
      </c>
      <c r="W7522">
        <v>6.9701669999999993E-2</v>
      </c>
      <c r="X7522">
        <v>0.98832070000000005</v>
      </c>
      <c r="Y7522">
        <v>-0.24989159999999999</v>
      </c>
      <c r="Z7522">
        <v>-6.4174929999999998E-3</v>
      </c>
      <c r="AA7522">
        <v>0.96825249999999996</v>
      </c>
      <c r="AB7522">
        <v>18</v>
      </c>
      <c r="AC7522">
        <v>-19.285699999999999</v>
      </c>
      <c r="AD7522">
        <v>-1.1112104772509901</v>
      </c>
      <c r="AE7522">
        <v>-5.2373999999999796</v>
      </c>
      <c r="AF7522">
        <v>-5.0131012050564197</v>
      </c>
      <c r="AG7522">
        <v>-1.1112104772509901</v>
      </c>
      <c r="AH7522">
        <v>19.281577436185501</v>
      </c>
      <c r="AI7522">
        <v>93.192441564157406</v>
      </c>
      <c r="AJ7522">
        <v>104.573913009321</v>
      </c>
      <c r="AK7522">
        <v>19.953576141747298</v>
      </c>
      <c r="AL7522">
        <v>86.003147705687198</v>
      </c>
      <c r="AM7522">
        <v>97.807414853363198</v>
      </c>
      <c r="AN7522">
        <v>1.00000000521441</v>
      </c>
    </row>
    <row r="7523" spans="1:40" x14ac:dyDescent="0.25">
      <c r="A7523" t="str">
        <f>"20190312150839315"</f>
        <v>20190312150839315</v>
      </c>
      <c r="B7523" t="str">
        <f>"1552374519307427"</f>
        <v>1552374519307427</v>
      </c>
      <c r="C7523" t="s">
        <v>40</v>
      </c>
      <c r="D7523">
        <v>4.2065060000000001</v>
      </c>
      <c r="E7523">
        <v>0.45658339999999997</v>
      </c>
      <c r="F7523" t="s">
        <v>42</v>
      </c>
      <c r="G7523">
        <v>-393.84179999999998</v>
      </c>
      <c r="H7523" s="1">
        <v>-3.459997E-6</v>
      </c>
      <c r="I7523">
        <v>134.904</v>
      </c>
      <c r="J7523">
        <v>-374.61559999999997</v>
      </c>
      <c r="K7523">
        <v>1.111224</v>
      </c>
      <c r="L7523">
        <v>140.16139999999999</v>
      </c>
      <c r="M7523">
        <v>-0.99983710000000003</v>
      </c>
      <c r="N7523">
        <v>0</v>
      </c>
      <c r="O7523">
        <v>-1.127654E-2</v>
      </c>
      <c r="P7523">
        <v>-0.98754319999999896</v>
      </c>
      <c r="Q7523">
        <v>5.5806500000000002E-2</v>
      </c>
      <c r="R7523">
        <v>-0.14711920000000001</v>
      </c>
      <c r="S7523">
        <v>-2.9290769999999999</v>
      </c>
      <c r="T7523">
        <v>-0.16833899999999999</v>
      </c>
      <c r="U7523">
        <v>-0.79669190000000001</v>
      </c>
      <c r="V7523">
        <v>-0.13604160000000001</v>
      </c>
      <c r="W7523">
        <v>6.9612729999999998E-2</v>
      </c>
      <c r="X7523">
        <v>0.98825439999999998</v>
      </c>
      <c r="Y7523">
        <v>-0.25119160000000001</v>
      </c>
      <c r="Z7523">
        <v>-6.4480469999999897E-3</v>
      </c>
      <c r="AA7523">
        <v>0.96791590000000005</v>
      </c>
      <c r="AB7523">
        <v>18</v>
      </c>
      <c r="AC7523">
        <v>-19.226199999999999</v>
      </c>
      <c r="AD7523">
        <v>-1.111227459997</v>
      </c>
      <c r="AE7523">
        <v>-5.2573999999999899</v>
      </c>
      <c r="AF7523">
        <v>-5.02462184644925</v>
      </c>
      <c r="AG7523">
        <v>-1.111227459997</v>
      </c>
      <c r="AH7523">
        <v>19.224515861243901</v>
      </c>
      <c r="AI7523">
        <v>93.200877302548093</v>
      </c>
      <c r="AJ7523">
        <v>104.647465866505</v>
      </c>
      <c r="AK7523">
        <v>19.9013482273661</v>
      </c>
      <c r="AL7523">
        <v>86.008255996005701</v>
      </c>
      <c r="AM7523">
        <v>97.837988148898802</v>
      </c>
      <c r="AN7523">
        <v>1.00000000411398</v>
      </c>
    </row>
    <row r="7524" spans="1:40" x14ac:dyDescent="0.25">
      <c r="A7524" t="str">
        <f>"20190312150839327"</f>
        <v>20190312150839327</v>
      </c>
      <c r="B7524" t="str">
        <f>"1552374519317188"</f>
        <v>1552374519317188</v>
      </c>
      <c r="C7524" t="s">
        <v>40</v>
      </c>
      <c r="D7524">
        <v>4.2197190000000004</v>
      </c>
      <c r="E7524">
        <v>0.45658339999999997</v>
      </c>
      <c r="F7524" t="s">
        <v>42</v>
      </c>
      <c r="G7524">
        <v>-393.91180000000003</v>
      </c>
      <c r="H7524" s="1">
        <v>-3.432117E-6</v>
      </c>
      <c r="I7524">
        <v>134.89189999999999</v>
      </c>
      <c r="J7524">
        <v>-374.71940000000001</v>
      </c>
      <c r="K7524">
        <v>1.1112439999999999</v>
      </c>
      <c r="L7524">
        <v>140.15969999999999</v>
      </c>
      <c r="M7524">
        <v>-0.9998319</v>
      </c>
      <c r="N7524">
        <v>0</v>
      </c>
      <c r="O7524">
        <v>-1.1738409999999999E-2</v>
      </c>
      <c r="P7524">
        <v>-0.98737960000000002</v>
      </c>
      <c r="Q7524">
        <v>5.5864289999999997E-2</v>
      </c>
      <c r="R7524">
        <v>-0.14819379999999999</v>
      </c>
      <c r="S7524">
        <v>-2.9282530000000002</v>
      </c>
      <c r="T7524">
        <v>-0.16863229999999901</v>
      </c>
      <c r="U7524">
        <v>-0.79963680000000004</v>
      </c>
      <c r="V7524">
        <v>-0.1366636</v>
      </c>
      <c r="W7524">
        <v>6.9660299999999994E-2</v>
      </c>
      <c r="X7524">
        <v>0.98816519999999997</v>
      </c>
      <c r="Y7524">
        <v>-0.251718</v>
      </c>
      <c r="Z7524">
        <v>-6.4489730000000002E-3</v>
      </c>
      <c r="AA7524">
        <v>0.9677791</v>
      </c>
      <c r="AB7524">
        <v>18</v>
      </c>
      <c r="AC7524">
        <v>-19.192399999999999</v>
      </c>
      <c r="AD7524">
        <v>-1.1112474321170001</v>
      </c>
      <c r="AE7524">
        <v>-5.2677999999999896</v>
      </c>
      <c r="AF7524">
        <v>-5.0264559522863399</v>
      </c>
      <c r="AG7524">
        <v>-1.1112474321170001</v>
      </c>
      <c r="AH7524">
        <v>19.193083001144199</v>
      </c>
      <c r="AI7524">
        <v>93.205755825584305</v>
      </c>
      <c r="AJ7524">
        <v>104.67554420947501</v>
      </c>
      <c r="AK7524">
        <v>19.871451013563899</v>
      </c>
      <c r="AL7524">
        <v>86.005523705624398</v>
      </c>
      <c r="AM7524">
        <v>97.874077824155407</v>
      </c>
      <c r="AN7524">
        <v>0.99999997972604404</v>
      </c>
    </row>
    <row r="7525" spans="1:40" x14ac:dyDescent="0.25">
      <c r="A7525" t="str">
        <f>"20190312150839345"</f>
        <v>20190312150839345</v>
      </c>
      <c r="B7525" t="str">
        <f>"1552374519337450"</f>
        <v>1552374519337450</v>
      </c>
      <c r="C7525" t="s">
        <v>40</v>
      </c>
      <c r="D7525">
        <v>4.3671939999999996</v>
      </c>
      <c r="E7525">
        <v>0.4933997</v>
      </c>
      <c r="F7525" t="s">
        <v>42</v>
      </c>
      <c r="G7525">
        <v>-394.0376</v>
      </c>
      <c r="H7525" s="1">
        <v>-3.383495E-6</v>
      </c>
      <c r="I7525">
        <v>134.86179999999999</v>
      </c>
      <c r="J7525">
        <v>-374.86110000000002</v>
      </c>
      <c r="K7525">
        <v>1.111278</v>
      </c>
      <c r="L7525">
        <v>140.15719999999999</v>
      </c>
      <c r="M7525">
        <v>-0.99982369999999998</v>
      </c>
      <c r="N7525">
        <v>0</v>
      </c>
      <c r="O7525">
        <v>-1.241067E-2</v>
      </c>
      <c r="P7525">
        <v>-0.98709720000000001</v>
      </c>
      <c r="Q7525">
        <v>5.5801749999999997E-2</v>
      </c>
      <c r="R7525">
        <v>-0.15008659999999999</v>
      </c>
      <c r="S7525">
        <v>-2.92746</v>
      </c>
      <c r="T7525">
        <v>-0.16839709999999999</v>
      </c>
      <c r="U7525">
        <v>-0.80282589999999998</v>
      </c>
      <c r="V7525">
        <v>-0.1379002</v>
      </c>
      <c r="W7525">
        <v>6.9580859999999994E-2</v>
      </c>
      <c r="X7525">
        <v>0.98799899999999996</v>
      </c>
      <c r="Y7525">
        <v>-0.25211630000000002</v>
      </c>
      <c r="Z7525">
        <v>-6.4140919999999997E-3</v>
      </c>
      <c r="AA7525">
        <v>0.96767570000000003</v>
      </c>
      <c r="AB7525">
        <v>18</v>
      </c>
      <c r="AC7525">
        <v>-19.176499999999901</v>
      </c>
      <c r="AD7525">
        <v>-1.1112813834949999</v>
      </c>
      <c r="AE7525">
        <v>-5.2953999999999999</v>
      </c>
      <c r="AF7525">
        <v>-5.0412451054413099</v>
      </c>
      <c r="AG7525">
        <v>-1.1112813834949999</v>
      </c>
      <c r="AH7525">
        <v>19.180898853601601</v>
      </c>
      <c r="AI7525">
        <v>93.207149254176201</v>
      </c>
      <c r="AJ7525">
        <v>104.725794110607</v>
      </c>
      <c r="AK7525">
        <v>19.8634332218409</v>
      </c>
      <c r="AL7525">
        <v>86.010086405037001</v>
      </c>
      <c r="AM7525">
        <v>97.945740022615695</v>
      </c>
      <c r="AN7525">
        <v>0.99999999261968897</v>
      </c>
    </row>
    <row r="7526" spans="1:40" x14ac:dyDescent="0.25">
      <c r="A7526" t="str">
        <f>"20190312150839360"</f>
        <v>20190312150839360</v>
      </c>
      <c r="B7526" t="str">
        <f>"1552374519356960"</f>
        <v>1552374519356960</v>
      </c>
      <c r="C7526" t="s">
        <v>40</v>
      </c>
      <c r="D7526">
        <v>4.1328649999999998</v>
      </c>
      <c r="E7526">
        <v>0.49726749999999997</v>
      </c>
      <c r="F7526" t="s">
        <v>42</v>
      </c>
      <c r="G7526">
        <v>-396.71100000000001</v>
      </c>
      <c r="H7526" s="1">
        <v>-1.9741409999999999E-6</v>
      </c>
      <c r="I7526">
        <v>136.35079999999999</v>
      </c>
      <c r="J7526">
        <v>-374.98160000000001</v>
      </c>
      <c r="K7526">
        <v>1.1113040000000001</v>
      </c>
      <c r="L7526">
        <v>140.155</v>
      </c>
      <c r="M7526">
        <v>-0.99981589999999998</v>
      </c>
      <c r="N7526">
        <v>0</v>
      </c>
      <c r="O7526">
        <v>-1.3028339999999999E-2</v>
      </c>
      <c r="P7526">
        <v>-0.98689760000000004</v>
      </c>
      <c r="Q7526">
        <v>5.5910880000000003E-2</v>
      </c>
      <c r="R7526">
        <v>-0.15135129999999999</v>
      </c>
      <c r="S7526">
        <v>-2.9690859999999999</v>
      </c>
      <c r="T7526">
        <v>-0.15100649999999999</v>
      </c>
      <c r="U7526">
        <v>-0.5172272</v>
      </c>
      <c r="V7526">
        <v>-0.13856170000000001</v>
      </c>
      <c r="W7526">
        <v>6.9675039999999994E-2</v>
      </c>
      <c r="X7526">
        <v>0.98789979999999999</v>
      </c>
      <c r="Y7526">
        <v>-0.15858620000000001</v>
      </c>
      <c r="Z7526">
        <v>-3.3430320000000001E-3</v>
      </c>
      <c r="AA7526">
        <v>0.98733950000000004</v>
      </c>
      <c r="AB7526">
        <v>18</v>
      </c>
      <c r="AC7526">
        <v>-21.729399999999998</v>
      </c>
      <c r="AD7526">
        <v>-1.1113059741410001</v>
      </c>
      <c r="AE7526">
        <v>-3.8041999999999998</v>
      </c>
      <c r="AF7526">
        <v>-3.5118385518399</v>
      </c>
      <c r="AG7526">
        <v>-1.1113059741410001</v>
      </c>
      <c r="AH7526">
        <v>21.7219962471152</v>
      </c>
      <c r="AI7526">
        <v>92.891244703182707</v>
      </c>
      <c r="AJ7526">
        <v>99.183659730600894</v>
      </c>
      <c r="AK7526">
        <v>22.032093226519301</v>
      </c>
      <c r="AL7526">
        <v>86.004677131401607</v>
      </c>
      <c r="AM7526">
        <v>97.984156366235695</v>
      </c>
      <c r="AN7526">
        <v>0.99999998537296497</v>
      </c>
    </row>
    <row r="7527" spans="1:40" x14ac:dyDescent="0.25">
      <c r="A7527" t="str">
        <f>"20190312150839379"</f>
        <v>20190312150839379</v>
      </c>
      <c r="B7527" t="str">
        <f>"1552374519367695"</f>
        <v>1552374519367695</v>
      </c>
      <c r="C7527" t="s">
        <v>40</v>
      </c>
      <c r="D7527">
        <v>4.1068749999999996</v>
      </c>
      <c r="E7527">
        <v>0.49821949999999998</v>
      </c>
      <c r="F7527" t="s">
        <v>77</v>
      </c>
      <c r="G7527">
        <v>-401.90019999999998</v>
      </c>
      <c r="H7527" s="1">
        <v>-4.3903360000000003E-6</v>
      </c>
      <c r="I7527">
        <v>135.72309999999999</v>
      </c>
      <c r="J7527">
        <v>-375.12950000000001</v>
      </c>
      <c r="K7527">
        <v>1.111348</v>
      </c>
      <c r="L7527">
        <v>140.15219999999999</v>
      </c>
      <c r="M7527">
        <v>-0.9998051</v>
      </c>
      <c r="N7527">
        <v>0</v>
      </c>
      <c r="O7527">
        <v>-1.383788E-2</v>
      </c>
      <c r="P7527">
        <v>-0.98660219999999998</v>
      </c>
      <c r="Q7527">
        <v>5.6003099999999903E-2</v>
      </c>
      <c r="R7527">
        <v>-0.15323129999999999</v>
      </c>
      <c r="S7527">
        <v>-2.9717099999999999</v>
      </c>
      <c r="T7527">
        <v>-0.1226845</v>
      </c>
      <c r="U7527">
        <v>-0.48927310000000002</v>
      </c>
      <c r="V7527">
        <v>-0.13965229999999901</v>
      </c>
      <c r="W7527">
        <v>6.974735E-2</v>
      </c>
      <c r="X7527">
        <v>0.98774110000000004</v>
      </c>
      <c r="Y7527">
        <v>-0.14867369999999999</v>
      </c>
      <c r="Z7527">
        <v>-2.4800299999999998E-3</v>
      </c>
      <c r="AA7527">
        <v>0.98888319999999996</v>
      </c>
      <c r="AB7527">
        <v>18</v>
      </c>
      <c r="AC7527">
        <v>-26.770699999999898</v>
      </c>
      <c r="AD7527">
        <v>-1.1113523903360001</v>
      </c>
      <c r="AE7527">
        <v>-4.4291</v>
      </c>
      <c r="AF7527">
        <v>-4.0513932590293598</v>
      </c>
      <c r="AG7527">
        <v>-1.1113523903360001</v>
      </c>
      <c r="AH7527">
        <v>26.7845013279825</v>
      </c>
      <c r="AI7527">
        <v>92.349282235898997</v>
      </c>
      <c r="AJ7527">
        <v>98.601293016230997</v>
      </c>
      <c r="AK7527">
        <v>27.1119605130929</v>
      </c>
      <c r="AL7527">
        <v>86.000523904899893</v>
      </c>
      <c r="AM7527">
        <v>98.047454583268006</v>
      </c>
      <c r="AN7527">
        <v>0.99999996917825995</v>
      </c>
    </row>
    <row r="7528" spans="1:40" x14ac:dyDescent="0.25">
      <c r="A7528" t="str">
        <f>"20190312150839402"</f>
        <v>20190312150839402</v>
      </c>
      <c r="B7528" t="str">
        <f>"1552374519396975"</f>
        <v>1552374519396975</v>
      </c>
      <c r="C7528" t="s">
        <v>40</v>
      </c>
      <c r="D7528">
        <v>4.3369400000000002</v>
      </c>
      <c r="E7528">
        <v>0.50028249999999996</v>
      </c>
      <c r="F7528" t="s">
        <v>77</v>
      </c>
      <c r="G7528">
        <v>-403.94490000000002</v>
      </c>
      <c r="H7528" s="1">
        <v>-5.1599450000000001E-6</v>
      </c>
      <c r="I7528">
        <v>135.4282</v>
      </c>
      <c r="J7528">
        <v>-375.31209999999999</v>
      </c>
      <c r="K7528">
        <v>1.1114120000000001</v>
      </c>
      <c r="L7528">
        <v>140.14840000000001</v>
      </c>
      <c r="M7528">
        <v>-0.99978940000000005</v>
      </c>
      <c r="N7528">
        <v>0</v>
      </c>
      <c r="O7528">
        <v>-1.4936949999999999E-2</v>
      </c>
      <c r="P7528">
        <v>-0.98630399999999996</v>
      </c>
      <c r="Q7528">
        <v>5.6286280000000001E-2</v>
      </c>
      <c r="R7528">
        <v>-0.1550376</v>
      </c>
      <c r="S7528">
        <v>-2.971619</v>
      </c>
      <c r="T7528">
        <v>-0.1146095</v>
      </c>
      <c r="U7528">
        <v>-0.48716739999999997</v>
      </c>
      <c r="V7528">
        <v>-0.14038589999999901</v>
      </c>
      <c r="W7528">
        <v>7.0004689999999994E-2</v>
      </c>
      <c r="X7528">
        <v>0.98761889999999997</v>
      </c>
      <c r="Y7528">
        <v>-0.14692529999999901</v>
      </c>
      <c r="Z7528">
        <v>-2.2415709999999999E-3</v>
      </c>
      <c r="AA7528">
        <v>0.98914500000000005</v>
      </c>
      <c r="AB7528">
        <v>18</v>
      </c>
      <c r="AC7528">
        <v>-28.6328</v>
      </c>
      <c r="AD7528">
        <v>-1.111417159945</v>
      </c>
      <c r="AE7528">
        <v>-4.7202000000000002</v>
      </c>
      <c r="AF7528">
        <v>-4.2856578838243902</v>
      </c>
      <c r="AG7528">
        <v>-1.111417159945</v>
      </c>
      <c r="AH7528">
        <v>28.658080697818001</v>
      </c>
      <c r="AI7528">
        <v>92.196529881705899</v>
      </c>
      <c r="AJ7528">
        <v>98.505239057522303</v>
      </c>
      <c r="AK7528">
        <v>28.998063743692601</v>
      </c>
      <c r="AL7528">
        <v>85.985743301733294</v>
      </c>
      <c r="AM7528">
        <v>98.090157792763407</v>
      </c>
      <c r="AN7528">
        <v>0.99999997458900702</v>
      </c>
    </row>
    <row r="7529" spans="1:40" x14ac:dyDescent="0.25">
      <c r="A7529" t="str">
        <f>"20190312150839424"</f>
        <v>20190312150839424</v>
      </c>
      <c r="B7529" t="str">
        <f>"1552374519417471"</f>
        <v>1552374519417471</v>
      </c>
      <c r="C7529" t="s">
        <v>40</v>
      </c>
      <c r="D7529">
        <v>4.140625</v>
      </c>
      <c r="E7529">
        <v>0.50101819999999997</v>
      </c>
      <c r="F7529" t="s">
        <v>77</v>
      </c>
      <c r="G7529">
        <v>-414.96350000000001</v>
      </c>
      <c r="H7529" s="1">
        <v>-7.7235119999999993E-6</v>
      </c>
      <c r="I7529">
        <v>133.80940000000001</v>
      </c>
      <c r="J7529">
        <v>-375.4819</v>
      </c>
      <c r="K7529">
        <v>1.1114809999999999</v>
      </c>
      <c r="L7529">
        <v>140.14449999999999</v>
      </c>
      <c r="M7529">
        <v>-0.99977159999999998</v>
      </c>
      <c r="N7529">
        <v>0</v>
      </c>
      <c r="O7529">
        <v>-1.6086960000000001E-2</v>
      </c>
      <c r="P7529">
        <v>-0.98600509999999997</v>
      </c>
      <c r="Q7529">
        <v>5.6669379999999998E-2</v>
      </c>
      <c r="R7529">
        <v>-0.1567894</v>
      </c>
      <c r="S7529">
        <v>-2.9717099999999999</v>
      </c>
      <c r="T7529">
        <v>-8.3296300000000004E-2</v>
      </c>
      <c r="U7529">
        <v>-0.47508240000000002</v>
      </c>
      <c r="V7529">
        <v>-0.14101759999999999</v>
      </c>
      <c r="W7529">
        <v>7.0359519999999995E-2</v>
      </c>
      <c r="X7529">
        <v>0.98750369999999998</v>
      </c>
      <c r="Y7529">
        <v>-0.14190839999999999</v>
      </c>
      <c r="Z7529">
        <v>-1.528031E-3</v>
      </c>
      <c r="AA7529">
        <v>0.98987860000000005</v>
      </c>
      <c r="AB7529">
        <v>18</v>
      </c>
      <c r="AC7529">
        <v>-39.4816</v>
      </c>
      <c r="AD7529">
        <v>-1.1114887235119999</v>
      </c>
      <c r="AE7529">
        <v>-6.3350999999999802</v>
      </c>
      <c r="AF7529">
        <v>-5.6946782880484097</v>
      </c>
      <c r="AG7529">
        <v>-1.1114887235119999</v>
      </c>
      <c r="AH7529">
        <v>39.547856023443202</v>
      </c>
      <c r="AI7529">
        <v>91.593442423513295</v>
      </c>
      <c r="AJ7529">
        <v>98.193961044451697</v>
      </c>
      <c r="AK7529">
        <v>39.971210690168697</v>
      </c>
      <c r="AL7529">
        <v>85.965362853801693</v>
      </c>
      <c r="AM7529">
        <v>98.127011560984599</v>
      </c>
      <c r="AN7529">
        <v>0.99999999153903996</v>
      </c>
    </row>
    <row r="7530" spans="1:40" x14ac:dyDescent="0.25">
      <c r="A7530" t="str">
        <f>"20190312150839437"</f>
        <v>20190312150839437</v>
      </c>
      <c r="B7530" t="str">
        <f>"1552374519427231"</f>
        <v>1552374519427231</v>
      </c>
      <c r="C7530" t="s">
        <v>40</v>
      </c>
      <c r="D7530">
        <v>4.0910419999999998</v>
      </c>
      <c r="E7530">
        <v>0.50131859999999995</v>
      </c>
      <c r="F7530" t="s">
        <v>77</v>
      </c>
      <c r="G7530">
        <v>-422.9581</v>
      </c>
      <c r="H7530" s="1">
        <v>-7.360719E-6</v>
      </c>
      <c r="I7530">
        <v>132.5711</v>
      </c>
      <c r="J7530">
        <v>-375.59230000000002</v>
      </c>
      <c r="K7530">
        <v>1.111534</v>
      </c>
      <c r="L7530">
        <v>140.14179999999999</v>
      </c>
      <c r="M7530">
        <v>-0.99975760000000002</v>
      </c>
      <c r="N7530">
        <v>0</v>
      </c>
      <c r="O7530">
        <v>-1.6922469999999998E-2</v>
      </c>
      <c r="P7530">
        <v>-0.98584910000000003</v>
      </c>
      <c r="Q7530">
        <v>5.6508969999999999E-2</v>
      </c>
      <c r="R7530">
        <v>-0.15782360000000001</v>
      </c>
      <c r="S7530">
        <v>-2.9711910000000001</v>
      </c>
      <c r="T7530">
        <v>-6.9560049999999998E-2</v>
      </c>
      <c r="U7530">
        <v>-0.47396850000000001</v>
      </c>
      <c r="V7530">
        <v>-0.14123649999999999</v>
      </c>
      <c r="W7530">
        <v>7.0180210000000007E-2</v>
      </c>
      <c r="X7530">
        <v>0.98748519999999895</v>
      </c>
      <c r="Y7530">
        <v>-0.1407612</v>
      </c>
      <c r="Z7530">
        <v>-1.2436120000000001E-3</v>
      </c>
      <c r="AA7530">
        <v>0.9900428</v>
      </c>
      <c r="AB7530">
        <v>18</v>
      </c>
      <c r="AC7530">
        <v>-47.365799999999901</v>
      </c>
      <c r="AD7530">
        <v>-1.1115413607189999</v>
      </c>
      <c r="AE7530">
        <v>-7.57069999999998</v>
      </c>
      <c r="AF7530">
        <v>-6.7643574638041599</v>
      </c>
      <c r="AG7530">
        <v>-1.1115413607189999</v>
      </c>
      <c r="AH7530">
        <v>47.461657333109201</v>
      </c>
      <c r="AI7530">
        <v>91.328192168661104</v>
      </c>
      <c r="AJ7530">
        <v>98.111315354095197</v>
      </c>
      <c r="AK7530">
        <v>47.954154907580097</v>
      </c>
      <c r="AL7530">
        <v>85.975662116123203</v>
      </c>
      <c r="AM7530">
        <v>98.139608554875394</v>
      </c>
      <c r="AN7530">
        <v>1.0000000155134601</v>
      </c>
    </row>
    <row r="7531" spans="1:40" x14ac:dyDescent="0.25">
      <c r="A7531" t="str">
        <f>"20190312150839457"</f>
        <v>20190312150839457</v>
      </c>
      <c r="B7531" t="str">
        <f>"1552374519447727"</f>
        <v>1552374519447727</v>
      </c>
      <c r="C7531" t="s">
        <v>40</v>
      </c>
      <c r="D7531">
        <v>4.0795440000000003</v>
      </c>
      <c r="E7531">
        <v>0.50175340000000002</v>
      </c>
      <c r="F7531" t="s">
        <v>77</v>
      </c>
      <c r="G7531">
        <v>-425.94490000000002</v>
      </c>
      <c r="H7531" s="1">
        <v>-7.6410970000000005E-6</v>
      </c>
      <c r="I7531">
        <v>132.09950000000001</v>
      </c>
      <c r="J7531">
        <v>-375.74340000000001</v>
      </c>
      <c r="K7531">
        <v>1.111612</v>
      </c>
      <c r="L7531">
        <v>140.1378</v>
      </c>
      <c r="M7531">
        <v>-0.99973610000000002</v>
      </c>
      <c r="N7531">
        <v>0</v>
      </c>
      <c r="O7531">
        <v>-1.8150759999999998E-2</v>
      </c>
      <c r="P7531">
        <v>-0.98556909999999998</v>
      </c>
      <c r="Q7531">
        <v>5.6853859999999999E-2</v>
      </c>
      <c r="R7531">
        <v>-0.15944069999999999</v>
      </c>
      <c r="S7531">
        <v>-2.9708559999999999</v>
      </c>
      <c r="T7531">
        <v>-6.5582039999999994E-2</v>
      </c>
      <c r="U7531">
        <v>-0.4745026</v>
      </c>
      <c r="V7531">
        <v>-0.14165759999999999</v>
      </c>
      <c r="W7531">
        <v>7.0495580000000002E-2</v>
      </c>
      <c r="X7531">
        <v>0.98740240000000001</v>
      </c>
      <c r="Y7531">
        <v>-0.1397399</v>
      </c>
      <c r="Z7531">
        <v>-1.1345019999999999E-3</v>
      </c>
      <c r="AA7531">
        <v>0.99018759999999995</v>
      </c>
      <c r="AB7531">
        <v>18</v>
      </c>
      <c r="AC7531">
        <v>-50.201500000000003</v>
      </c>
      <c r="AD7531">
        <v>-1.1116196410969901</v>
      </c>
      <c r="AE7531">
        <v>-8.0382999999999907</v>
      </c>
      <c r="AF7531">
        <v>-7.1222848941724202</v>
      </c>
      <c r="AG7531">
        <v>-1.1116196410969901</v>
      </c>
      <c r="AH7531">
        <v>50.315090198341103</v>
      </c>
      <c r="AI7531">
        <v>91.253150623019494</v>
      </c>
      <c r="AJ7531">
        <v>98.056898341333493</v>
      </c>
      <c r="AK7531">
        <v>50.828839668119798</v>
      </c>
      <c r="AL7531">
        <v>85.9575478225822</v>
      </c>
      <c r="AM7531">
        <v>98.164225690893602</v>
      </c>
      <c r="AN7531">
        <v>1.00000000098152</v>
      </c>
    </row>
    <row r="7532" spans="1:40" x14ac:dyDescent="0.25">
      <c r="A7532" t="str">
        <f>"20190312150839471"</f>
        <v>20190312150839471</v>
      </c>
      <c r="B7532" t="str">
        <f>"1552374519467248"</f>
        <v>1552374519467248</v>
      </c>
      <c r="C7532" t="s">
        <v>40</v>
      </c>
      <c r="D7532">
        <v>4.1306729999999998</v>
      </c>
      <c r="E7532">
        <v>0.50221640000000001</v>
      </c>
      <c r="F7532" t="s">
        <v>77</v>
      </c>
      <c r="G7532">
        <v>-433.09399999999999</v>
      </c>
      <c r="H7532" s="1">
        <v>-6.5734079999999998E-6</v>
      </c>
      <c r="I7532">
        <v>130.95490000000001</v>
      </c>
      <c r="J7532">
        <v>-375.84989999999999</v>
      </c>
      <c r="K7532">
        <v>1.111667</v>
      </c>
      <c r="L7532">
        <v>140.13489999999999</v>
      </c>
      <c r="M7532">
        <v>-0.99971889999999997</v>
      </c>
      <c r="N7532">
        <v>0</v>
      </c>
      <c r="O7532">
        <v>-1.9081250000000001E-2</v>
      </c>
      <c r="P7532">
        <v>-0.98540190000000005</v>
      </c>
      <c r="Q7532">
        <v>5.6922859999999999E-2</v>
      </c>
      <c r="R7532">
        <v>-0.16044739999999999</v>
      </c>
      <c r="S7532">
        <v>-2.9703059999999999</v>
      </c>
      <c r="T7532">
        <v>-5.7573079999999999E-2</v>
      </c>
      <c r="U7532">
        <v>-0.4756012</v>
      </c>
      <c r="V7532">
        <v>-0.14175639999999901</v>
      </c>
      <c r="W7532">
        <v>7.0545029999999995E-2</v>
      </c>
      <c r="X7532">
        <v>0.9873847</v>
      </c>
      <c r="Y7532">
        <v>-0.1392108</v>
      </c>
      <c r="Z7532">
        <v>-9.7313550000000003E-4</v>
      </c>
      <c r="AA7532">
        <v>0.99026230000000004</v>
      </c>
      <c r="AB7532">
        <v>18</v>
      </c>
      <c r="AC7532">
        <v>-57.244100000000003</v>
      </c>
      <c r="AD7532">
        <v>-1.1116735734080001</v>
      </c>
      <c r="AE7532">
        <v>-9.1799999999999695</v>
      </c>
      <c r="AF7532">
        <v>-8.0829592630584894</v>
      </c>
      <c r="AG7532">
        <v>-1.1116735734080001</v>
      </c>
      <c r="AH7532">
        <v>57.3877589784503</v>
      </c>
      <c r="AI7532">
        <v>91.098909059650097</v>
      </c>
      <c r="AJ7532">
        <v>98.017265675387605</v>
      </c>
      <c r="AK7532">
        <v>57.964859433546302</v>
      </c>
      <c r="AL7532">
        <v>85.954707519431594</v>
      </c>
      <c r="AM7532">
        <v>98.169987515242198</v>
      </c>
      <c r="AN7532">
        <v>1.0000000119963699</v>
      </c>
    </row>
    <row r="7533" spans="1:40" x14ac:dyDescent="0.25">
      <c r="A7533" t="str">
        <f>"20190312150839483"</f>
        <v>20190312150839483</v>
      </c>
      <c r="B7533" t="str">
        <f>"1552374519477984"</f>
        <v>1552374519477984</v>
      </c>
      <c r="C7533" t="s">
        <v>40</v>
      </c>
      <c r="D7533">
        <v>4.0799110000000001</v>
      </c>
      <c r="E7533">
        <v>0.50238439999999995</v>
      </c>
      <c r="F7533" t="s">
        <v>77</v>
      </c>
      <c r="G7533">
        <v>-439.14800000000002</v>
      </c>
      <c r="H7533" s="1">
        <v>-3.0786590000000002E-6</v>
      </c>
      <c r="I7533">
        <v>130.0153</v>
      </c>
      <c r="J7533">
        <v>-375.95119999999997</v>
      </c>
      <c r="K7533">
        <v>1.1117239999999999</v>
      </c>
      <c r="L7533">
        <v>140.1319</v>
      </c>
      <c r="M7533">
        <v>-0.99970079999999995</v>
      </c>
      <c r="N7533">
        <v>0</v>
      </c>
      <c r="O7533">
        <v>-2.0007870000000001E-2</v>
      </c>
      <c r="P7533">
        <v>-0.98522430000000005</v>
      </c>
      <c r="Q7533">
        <v>5.677513E-2</v>
      </c>
      <c r="R7533">
        <v>-0.16158610000000001</v>
      </c>
      <c r="S7533">
        <v>-2.9701230000000001</v>
      </c>
      <c r="T7533">
        <v>-5.2162649999999998E-2</v>
      </c>
      <c r="U7533">
        <v>-0.47483829999999999</v>
      </c>
      <c r="V7533">
        <v>-0.14199120000000001</v>
      </c>
      <c r="W7533">
        <v>7.0378070000000001E-2</v>
      </c>
      <c r="X7533">
        <v>0.98736290000000004</v>
      </c>
      <c r="Y7533">
        <v>-0.1380585</v>
      </c>
      <c r="Z7533">
        <v>-8.5556059999999999E-4</v>
      </c>
      <c r="AA7533">
        <v>0.99042370000000002</v>
      </c>
      <c r="AB7533">
        <v>18</v>
      </c>
      <c r="AC7533">
        <v>-63.196800000000003</v>
      </c>
      <c r="AD7533">
        <v>-1.1117270786589999</v>
      </c>
      <c r="AE7533">
        <v>-10.1166</v>
      </c>
      <c r="AF7533">
        <v>-8.8473464280306295</v>
      </c>
      <c r="AG7533">
        <v>-1.1117270786589999</v>
      </c>
      <c r="AH7533">
        <v>63.367458770983298</v>
      </c>
      <c r="AI7533">
        <v>90.995447956720795</v>
      </c>
      <c r="AJ7533">
        <v>97.948239309575001</v>
      </c>
      <c r="AK7533">
        <v>63.991767494008798</v>
      </c>
      <c r="AL7533">
        <v>85.964297551315198</v>
      </c>
      <c r="AM7533">
        <v>98.183515072175396</v>
      </c>
      <c r="AN7533">
        <v>1.0000000349553799</v>
      </c>
    </row>
    <row r="7534" spans="1:40" x14ac:dyDescent="0.25">
      <c r="A7534" t="str">
        <f>"20190312150839502"</f>
        <v>20190312150839502</v>
      </c>
      <c r="B7534" t="str">
        <f>"1552374519497503"</f>
        <v>1552374519497503</v>
      </c>
      <c r="C7534" t="s">
        <v>40</v>
      </c>
      <c r="D7534">
        <v>4.1125790000000002</v>
      </c>
      <c r="E7534">
        <v>0.50264169999999997</v>
      </c>
      <c r="F7534" t="s">
        <v>42</v>
      </c>
      <c r="G7534">
        <v>-441.09589999999997</v>
      </c>
      <c r="H7534" s="1">
        <v>-4.6488850000000003E-6</v>
      </c>
      <c r="I7534">
        <v>129.67169999999999</v>
      </c>
      <c r="J7534">
        <v>-376.09840000000003</v>
      </c>
      <c r="K7534">
        <v>1.111788</v>
      </c>
      <c r="L7534">
        <v>140.12719999999999</v>
      </c>
      <c r="M7534">
        <v>-0.99967070000000002</v>
      </c>
      <c r="N7534">
        <v>0</v>
      </c>
      <c r="O7534">
        <v>-2.145501E-2</v>
      </c>
      <c r="P7534">
        <v>-0.98490639999999996</v>
      </c>
      <c r="Q7534">
        <v>5.6813250000000003E-2</v>
      </c>
      <c r="R7534">
        <v>-0.16349910000000001</v>
      </c>
      <c r="S7534">
        <v>-2.9697269999999998</v>
      </c>
      <c r="T7534">
        <v>-5.0679920000000003E-2</v>
      </c>
      <c r="U7534">
        <v>-0.47683720000000002</v>
      </c>
      <c r="V7534">
        <v>-0.14249149999999999</v>
      </c>
      <c r="W7534">
        <v>7.0390439999999999E-2</v>
      </c>
      <c r="X7534">
        <v>0.98728990000000005</v>
      </c>
      <c r="Y7534">
        <v>-0.13729669999999999</v>
      </c>
      <c r="Z7534">
        <v>-8.0033709999999996E-4</v>
      </c>
      <c r="AA7534">
        <v>0.99052969999999896</v>
      </c>
      <c r="AB7534">
        <v>18</v>
      </c>
      <c r="AC7534">
        <v>-64.997499999999903</v>
      </c>
      <c r="AD7534">
        <v>-1.1117926488850001</v>
      </c>
      <c r="AE7534">
        <v>-10.455500000000001</v>
      </c>
      <c r="AF7534">
        <v>-9.0558498218766292</v>
      </c>
      <c r="AG7534">
        <v>-1.1117926488850001</v>
      </c>
      <c r="AH7534">
        <v>65.1882885335243</v>
      </c>
      <c r="AI7534">
        <v>90.967798385298906</v>
      </c>
      <c r="AJ7534">
        <v>97.908819040916399</v>
      </c>
      <c r="AK7534">
        <v>65.823684649376105</v>
      </c>
      <c r="AL7534">
        <v>85.963586875381097</v>
      </c>
      <c r="AM7534">
        <v>98.212555664288004</v>
      </c>
      <c r="AN7534">
        <v>0.99999999412882601</v>
      </c>
    </row>
    <row r="7535" spans="1:40" x14ac:dyDescent="0.25">
      <c r="A7535" t="str">
        <f>"20190312150839524"</f>
        <v>20190312150839524</v>
      </c>
      <c r="B7535" t="str">
        <f>"1552374519517023"</f>
        <v>1552374519517023</v>
      </c>
      <c r="C7535" t="s">
        <v>40</v>
      </c>
      <c r="D7535">
        <v>4.0750320000000002</v>
      </c>
      <c r="E7535">
        <v>0.50296030000000003</v>
      </c>
      <c r="F7535" t="s">
        <v>42</v>
      </c>
      <c r="G7535">
        <v>-442.33879999999999</v>
      </c>
      <c r="H7535">
        <v>7.9987160000000002E-2</v>
      </c>
      <c r="I7535">
        <v>129.40989999999999</v>
      </c>
      <c r="J7535">
        <v>-376.27179999999998</v>
      </c>
      <c r="K7535">
        <v>1.1118539999999999</v>
      </c>
      <c r="L7535">
        <v>140.12139999999999</v>
      </c>
      <c r="M7535">
        <v>-0.99962989999999996</v>
      </c>
      <c r="N7535">
        <v>0</v>
      </c>
      <c r="O7535">
        <v>-2.327945E-2</v>
      </c>
      <c r="P7535">
        <v>-0.98444100000000001</v>
      </c>
      <c r="Q7535">
        <v>5.6976039999999999E-2</v>
      </c>
      <c r="R7535">
        <v>-0.16622229999999999</v>
      </c>
      <c r="S7535">
        <v>-2.9689030000000001</v>
      </c>
      <c r="T7535">
        <v>-4.6245460000000002E-2</v>
      </c>
      <c r="U7535">
        <v>-0.48034670000000002</v>
      </c>
      <c r="V7535">
        <v>-0.14343259999999999</v>
      </c>
      <c r="W7535">
        <v>7.0524580000000003E-2</v>
      </c>
      <c r="X7535">
        <v>0.98714409999999997</v>
      </c>
      <c r="Y7535">
        <v>-0.1366762</v>
      </c>
      <c r="Z7535">
        <v>-6.9744289999999895E-4</v>
      </c>
      <c r="AA7535">
        <v>0.99061549999999998</v>
      </c>
      <c r="AB7535">
        <v>18</v>
      </c>
      <c r="AC7535">
        <v>-66.066999999999993</v>
      </c>
      <c r="AD7535">
        <v>-1.03186684</v>
      </c>
      <c r="AE7535">
        <v>-10.711499999999999</v>
      </c>
      <c r="AF7535">
        <v>-9.1682615691856206</v>
      </c>
      <c r="AG7535">
        <v>-1.03186684</v>
      </c>
      <c r="AH7535">
        <v>66.282719932843605</v>
      </c>
      <c r="AI7535">
        <v>90.883478945800405</v>
      </c>
      <c r="AJ7535">
        <v>97.8752124768979</v>
      </c>
      <c r="AK7535">
        <v>66.921750806985699</v>
      </c>
      <c r="AL7535">
        <v>85.955882300286305</v>
      </c>
      <c r="AM7535">
        <v>98.267253254267104</v>
      </c>
      <c r="AN7535">
        <v>1.0000000506458699</v>
      </c>
    </row>
    <row r="7536" spans="1:40" x14ac:dyDescent="0.25">
      <c r="A7536" t="str">
        <f>"20190312150839539"</f>
        <v>20190312150839539</v>
      </c>
      <c r="B7536" t="str">
        <f>"1552374519537520"</f>
        <v>1552374519537520</v>
      </c>
      <c r="C7536" t="s">
        <v>40</v>
      </c>
      <c r="D7536">
        <v>4.0442559999999999</v>
      </c>
      <c r="E7536">
        <v>0.5032008</v>
      </c>
      <c r="F7536" t="s">
        <v>42</v>
      </c>
      <c r="G7536">
        <v>-447.66849999999999</v>
      </c>
      <c r="H7536">
        <v>7.9987119999999995E-2</v>
      </c>
      <c r="I7536">
        <v>128.4333</v>
      </c>
      <c r="J7536">
        <v>-376.39609999999999</v>
      </c>
      <c r="K7536">
        <v>1.111893</v>
      </c>
      <c r="L7536">
        <v>140.11689999999999</v>
      </c>
      <c r="M7536">
        <v>-0.99959629999999999</v>
      </c>
      <c r="N7536">
        <v>0</v>
      </c>
      <c r="O7536">
        <v>-2.4680500000000001E-2</v>
      </c>
      <c r="P7536">
        <v>-0.98412599999999995</v>
      </c>
      <c r="Q7536">
        <v>5.696358E-2</v>
      </c>
      <c r="R7536">
        <v>-0.16808119999999999</v>
      </c>
      <c r="S7536">
        <v>-2.9678650000000002</v>
      </c>
      <c r="T7536">
        <v>-4.2893290000000001E-2</v>
      </c>
      <c r="U7536">
        <v>-0.48585509999999899</v>
      </c>
      <c r="V7536">
        <v>-0.14391999999999999</v>
      </c>
      <c r="W7536">
        <v>7.0496519999999993E-2</v>
      </c>
      <c r="X7536">
        <v>0.98707509999999998</v>
      </c>
      <c r="Y7536">
        <v>-0.13713539999999999</v>
      </c>
      <c r="Z7536">
        <v>-6.3022689999999999E-4</v>
      </c>
      <c r="AA7536">
        <v>0.99055210000000005</v>
      </c>
      <c r="AB7536">
        <v>18</v>
      </c>
      <c r="AC7536">
        <v>-71.272400000000005</v>
      </c>
      <c r="AD7536">
        <v>-1.0319058800000001</v>
      </c>
      <c r="AE7536">
        <v>-11.683599999999901</v>
      </c>
      <c r="AF7536">
        <v>-9.9188028280570695</v>
      </c>
      <c r="AG7536">
        <v>-1.0319058800000001</v>
      </c>
      <c r="AH7536">
        <v>71.524470313469607</v>
      </c>
      <c r="AI7536">
        <v>90.8187326816346</v>
      </c>
      <c r="AJ7536">
        <v>97.895254809292297</v>
      </c>
      <c r="AK7536">
        <v>72.216323174954397</v>
      </c>
      <c r="AL7536">
        <v>85.957493783266997</v>
      </c>
      <c r="AM7536">
        <v>98.295527825281198</v>
      </c>
      <c r="AN7536">
        <v>0.99999998938606005</v>
      </c>
    </row>
    <row r="7537" spans="1:40" x14ac:dyDescent="0.25">
      <c r="A7537" t="str">
        <f>"20190312150839558"</f>
        <v>20190312150839558</v>
      </c>
      <c r="B7537" t="str">
        <f>"1552374519547787"</f>
        <v>1552374519547787</v>
      </c>
      <c r="C7537" t="s">
        <v>40</v>
      </c>
      <c r="D7537">
        <v>4.0775880000000004</v>
      </c>
      <c r="E7537">
        <v>0.5032856</v>
      </c>
      <c r="F7537" t="s">
        <v>42</v>
      </c>
      <c r="G7537">
        <v>-453.54919999999998</v>
      </c>
      <c r="H7537">
        <v>7.9986909999999994E-2</v>
      </c>
      <c r="I7537">
        <v>127.3918</v>
      </c>
      <c r="J7537">
        <v>-376.53269999999998</v>
      </c>
      <c r="K7537">
        <v>1.1119270000000001</v>
      </c>
      <c r="L7537">
        <v>140.11160000000001</v>
      </c>
      <c r="M7537">
        <v>-0.99955559999999999</v>
      </c>
      <c r="N7537">
        <v>0</v>
      </c>
      <c r="O7537">
        <v>-2.6275010000000001E-2</v>
      </c>
      <c r="P7537">
        <v>-0.98361189999999998</v>
      </c>
      <c r="Q7537">
        <v>5.690216E-2</v>
      </c>
      <c r="R7537">
        <v>-0.1710845</v>
      </c>
      <c r="S7537">
        <v>-2.9670719999999999</v>
      </c>
      <c r="T7537">
        <v>-3.9683940000000001E-2</v>
      </c>
      <c r="U7537">
        <v>-0.48936459999999998</v>
      </c>
      <c r="V7537">
        <v>-0.1453652</v>
      </c>
      <c r="W7537">
        <v>7.0416599999999996E-2</v>
      </c>
      <c r="X7537">
        <v>0.986869</v>
      </c>
      <c r="Y7537">
        <v>-0.13674020000000001</v>
      </c>
      <c r="Z7537">
        <v>-5.5939369999999996E-4</v>
      </c>
      <c r="AA7537">
        <v>0.99060680000000001</v>
      </c>
      <c r="AB7537">
        <v>18</v>
      </c>
      <c r="AC7537">
        <v>-77.016499999999994</v>
      </c>
      <c r="AD7537">
        <v>-1.03194009</v>
      </c>
      <c r="AE7537">
        <v>-12.719799999999999</v>
      </c>
      <c r="AF7537">
        <v>-10.6897295556169</v>
      </c>
      <c r="AG7537">
        <v>-1.03194009</v>
      </c>
      <c r="AH7537">
        <v>77.310639783992599</v>
      </c>
      <c r="AI7537">
        <v>90.757530616883102</v>
      </c>
      <c r="AJ7537">
        <v>97.872361961036404</v>
      </c>
      <c r="AK7537">
        <v>78.052996368697094</v>
      </c>
      <c r="AL7537">
        <v>85.962084236329304</v>
      </c>
      <c r="AM7537">
        <v>98.3793772280534</v>
      </c>
      <c r="AN7537">
        <v>0.99999998104379895</v>
      </c>
    </row>
    <row r="7538" spans="1:40" x14ac:dyDescent="0.25">
      <c r="A7538" t="str">
        <f>"20190312150839580"</f>
        <v>20190312150839580</v>
      </c>
      <c r="B7538" t="str">
        <f>"1552374519577068"</f>
        <v>1552374519577068</v>
      </c>
      <c r="C7538" t="s">
        <v>40</v>
      </c>
      <c r="D7538">
        <v>4.255395</v>
      </c>
      <c r="E7538">
        <v>0.50350620000000001</v>
      </c>
      <c r="F7538" t="s">
        <v>42</v>
      </c>
      <c r="G7538">
        <v>-451.95679999999999</v>
      </c>
      <c r="H7538">
        <v>7.9987349999999999E-2</v>
      </c>
      <c r="I7538">
        <v>127.45059999999999</v>
      </c>
      <c r="J7538">
        <v>-376.70499999999998</v>
      </c>
      <c r="K7538">
        <v>1.1119559999999999</v>
      </c>
      <c r="L7538">
        <v>140.10470000000001</v>
      </c>
      <c r="M7538">
        <v>-0.99949869999999996</v>
      </c>
      <c r="N7538">
        <v>0</v>
      </c>
      <c r="O7538">
        <v>-2.8363220000000001E-2</v>
      </c>
      <c r="P7538">
        <v>-0.98308499999999999</v>
      </c>
      <c r="Q7538">
        <v>5.6843089999999999E-2</v>
      </c>
      <c r="R7538">
        <v>-0.17410719999999999</v>
      </c>
      <c r="S7538">
        <v>-2.9656980000000002</v>
      </c>
      <c r="T7538">
        <v>-4.0576220000000003E-2</v>
      </c>
      <c r="U7538">
        <v>-0.49783329999999998</v>
      </c>
      <c r="V7538">
        <v>-0.14634229999999901</v>
      </c>
      <c r="W7538">
        <v>7.0340979999999997E-2</v>
      </c>
      <c r="X7538">
        <v>0.98673</v>
      </c>
      <c r="Y7538">
        <v>-0.13749639999999999</v>
      </c>
      <c r="Z7538">
        <v>-5.4890500000000003E-4</v>
      </c>
      <c r="AA7538">
        <v>0.99050210000000005</v>
      </c>
      <c r="AB7538">
        <v>18</v>
      </c>
      <c r="AC7538">
        <v>-75.251800000000003</v>
      </c>
      <c r="AD7538">
        <v>-1.03196865</v>
      </c>
      <c r="AE7538">
        <v>-12.6541</v>
      </c>
      <c r="AF7538">
        <v>-10.5124908435356</v>
      </c>
      <c r="AG7538">
        <v>-1.03196865</v>
      </c>
      <c r="AH7538">
        <v>75.566645101481001</v>
      </c>
      <c r="AI7538">
        <v>90.774943755974803</v>
      </c>
      <c r="AJ7538">
        <v>97.919899874363793</v>
      </c>
      <c r="AK7538">
        <v>76.301345171125206</v>
      </c>
      <c r="AL7538">
        <v>85.966427820778307</v>
      </c>
      <c r="AM7538">
        <v>98.436064308005299</v>
      </c>
      <c r="AN7538">
        <v>1.00000000756832</v>
      </c>
    </row>
    <row r="7539" spans="1:40" x14ac:dyDescent="0.25">
      <c r="A7539" t="str">
        <f>"20190312150839603"</f>
        <v>20190312150839603</v>
      </c>
      <c r="B7539" t="str">
        <f>"1552374519597563"</f>
        <v>1552374519597563</v>
      </c>
      <c r="C7539" t="s">
        <v>40</v>
      </c>
      <c r="D7539">
        <v>4.1883530000000002</v>
      </c>
      <c r="E7539">
        <v>0.5036349</v>
      </c>
      <c r="F7539" t="s">
        <v>42</v>
      </c>
      <c r="G7539">
        <v>-455.0684</v>
      </c>
      <c r="H7539">
        <v>7.9987950000000002E-2</v>
      </c>
      <c r="I7539">
        <v>126.7488</v>
      </c>
      <c r="J7539">
        <v>-376.88049999999998</v>
      </c>
      <c r="K7539">
        <v>1.1119760000000001</v>
      </c>
      <c r="L7539">
        <v>140.09710000000001</v>
      </c>
      <c r="M7539">
        <v>-0.99943360000000003</v>
      </c>
      <c r="N7539">
        <v>0</v>
      </c>
      <c r="O7539">
        <v>-3.0573389999999999E-2</v>
      </c>
      <c r="P7539">
        <v>-0.98258849999999998</v>
      </c>
      <c r="Q7539">
        <v>5.7153580000000002E-2</v>
      </c>
      <c r="R7539">
        <v>-0.1767879</v>
      </c>
      <c r="S7539">
        <v>-2.9644170000000001</v>
      </c>
      <c r="T7539">
        <v>-3.9038419999999997E-2</v>
      </c>
      <c r="U7539">
        <v>-0.50523379999999996</v>
      </c>
      <c r="V7539">
        <v>-0.14685719999999999</v>
      </c>
      <c r="W7539">
        <v>7.0639220000000003E-2</v>
      </c>
      <c r="X7539">
        <v>0.98663219999999996</v>
      </c>
      <c r="Y7539">
        <v>-0.13778080000000001</v>
      </c>
      <c r="Z7539">
        <v>-5.0122909999999999E-4</v>
      </c>
      <c r="AA7539">
        <v>0.99046259999999997</v>
      </c>
      <c r="AB7539">
        <v>17</v>
      </c>
      <c r="AC7539">
        <v>-78.187899999999999</v>
      </c>
      <c r="AD7539">
        <v>-1.03198805</v>
      </c>
      <c r="AE7539">
        <v>-13.3483</v>
      </c>
      <c r="AF7539">
        <v>-10.9494997360094</v>
      </c>
      <c r="AG7539">
        <v>-1.03198805</v>
      </c>
      <c r="AH7539">
        <v>78.546189066513193</v>
      </c>
      <c r="AI7539">
        <v>90.745535522625204</v>
      </c>
      <c r="AJ7539">
        <v>97.936006187384507</v>
      </c>
      <c r="AK7539">
        <v>79.312422486497297</v>
      </c>
      <c r="AL7539">
        <v>85.949297354699098</v>
      </c>
      <c r="AM7539">
        <v>98.466143914228994</v>
      </c>
      <c r="AN7539">
        <v>1.00000001733544</v>
      </c>
    </row>
    <row r="7540" spans="1:40" x14ac:dyDescent="0.25">
      <c r="A7540" t="str">
        <f>"20190312150839624"</f>
        <v>20190312150839624</v>
      </c>
      <c r="B7540" t="str">
        <f>"1552374519617084"</f>
        <v>1552374519617084</v>
      </c>
      <c r="C7540" t="s">
        <v>40</v>
      </c>
      <c r="D7540">
        <v>4.1498520000000001</v>
      </c>
      <c r="E7540">
        <v>0.5181732</v>
      </c>
      <c r="F7540" t="s">
        <v>46</v>
      </c>
      <c r="G7540">
        <v>-460.37270000000001</v>
      </c>
      <c r="H7540">
        <v>8.8525240000000005E-2</v>
      </c>
      <c r="I7540">
        <v>125.65900000000001</v>
      </c>
      <c r="J7540">
        <v>-377.04899999999998</v>
      </c>
      <c r="K7540">
        <v>1.111993</v>
      </c>
      <c r="L7540">
        <v>140.08940000000001</v>
      </c>
      <c r="M7540">
        <v>-0.99936429999999998</v>
      </c>
      <c r="N7540">
        <v>0</v>
      </c>
      <c r="O7540">
        <v>-3.276213E-2</v>
      </c>
      <c r="P7540">
        <v>-0.98220589999999997</v>
      </c>
      <c r="Q7540">
        <v>5.7774850000000003E-2</v>
      </c>
      <c r="R7540">
        <v>-0.17870050000000001</v>
      </c>
      <c r="S7540">
        <v>-2.9630429999999999</v>
      </c>
      <c r="T7540">
        <v>-3.631997E-2</v>
      </c>
      <c r="U7540">
        <v>-0.51239009999999996</v>
      </c>
      <c r="V7540">
        <v>-0.146624</v>
      </c>
      <c r="W7540">
        <v>7.1252289999999996E-2</v>
      </c>
      <c r="X7540">
        <v>0.98662280000000002</v>
      </c>
      <c r="Y7540">
        <v>-0.13801260000000001</v>
      </c>
      <c r="Z7540">
        <v>-4.412741E-4</v>
      </c>
      <c r="AA7540">
        <v>0.99043040000000004</v>
      </c>
      <c r="AB7540">
        <v>17</v>
      </c>
      <c r="AC7540">
        <v>-83.323699999999903</v>
      </c>
      <c r="AD7540">
        <v>-1.0234677599999999</v>
      </c>
      <c r="AE7540">
        <v>-14.430400000000001</v>
      </c>
      <c r="AF7540">
        <v>-11.6908077435502</v>
      </c>
      <c r="AG7540">
        <v>-1.0234677599999999</v>
      </c>
      <c r="AH7540">
        <v>83.739512345474395</v>
      </c>
      <c r="AI7540">
        <v>90.693511265609501</v>
      </c>
      <c r="AJ7540">
        <v>97.947649407904294</v>
      </c>
      <c r="AK7540">
        <v>84.557840557870605</v>
      </c>
      <c r="AL7540">
        <v>85.9140822975004</v>
      </c>
      <c r="AM7540">
        <v>98.452973955788593</v>
      </c>
      <c r="AN7540">
        <v>1.0000000178430399</v>
      </c>
    </row>
    <row r="7541" spans="1:40" x14ac:dyDescent="0.25">
      <c r="A7541" t="str">
        <f>"20190312150839639"</f>
        <v>20190312150839639</v>
      </c>
      <c r="B7541" t="str">
        <f>"1552374519627820"</f>
        <v>1552374519627820</v>
      </c>
      <c r="C7541" t="s">
        <v>40</v>
      </c>
      <c r="D7541">
        <v>4.0427749999999998</v>
      </c>
      <c r="E7541">
        <v>0.51916399999999996</v>
      </c>
      <c r="F7541" t="s">
        <v>48</v>
      </c>
      <c r="G7541">
        <v>0</v>
      </c>
      <c r="H7541">
        <v>0</v>
      </c>
      <c r="I7541">
        <v>0</v>
      </c>
      <c r="J7541">
        <v>-377.16410000000002</v>
      </c>
      <c r="K7541">
        <v>1.112006</v>
      </c>
      <c r="L7541">
        <v>140.0838</v>
      </c>
      <c r="M7541">
        <v>-0.99931289999999995</v>
      </c>
      <c r="N7541">
        <v>0</v>
      </c>
      <c r="O7541">
        <v>-3.4291629999999997E-2</v>
      </c>
      <c r="P7541">
        <v>-0.98199990000000004</v>
      </c>
      <c r="Q7541">
        <v>5.7897570000000002E-2</v>
      </c>
      <c r="R7541">
        <v>-0.17978910000000001</v>
      </c>
      <c r="S7541">
        <v>-2.9792480000000001</v>
      </c>
      <c r="T7541">
        <v>3.8645980000000003E-2</v>
      </c>
      <c r="U7541">
        <v>-0.40037539999999999</v>
      </c>
      <c r="V7541">
        <v>-0.14621020000000001</v>
      </c>
      <c r="W7541">
        <v>7.1371680000000007E-2</v>
      </c>
      <c r="X7541">
        <v>0.98667559999999999</v>
      </c>
      <c r="Y7541">
        <v>-9.9117549999999999E-2</v>
      </c>
      <c r="Z7541">
        <v>1.9742180000000001E-4</v>
      </c>
      <c r="AA7541">
        <v>0.99507570000000001</v>
      </c>
      <c r="AB7541">
        <v>17</v>
      </c>
      <c r="AC7541">
        <v>-2.9792480000000001</v>
      </c>
      <c r="AD7541">
        <v>3.8645980000000003E-2</v>
      </c>
      <c r="AE7541">
        <v>-0.40037539999999999</v>
      </c>
      <c r="AF7541">
        <v>-0.29791726415588898</v>
      </c>
      <c r="AG7541">
        <v>3.8645980000000003E-2</v>
      </c>
      <c r="AH7541">
        <v>2.9907320386469101</v>
      </c>
      <c r="AI7541">
        <v>89.263315686727907</v>
      </c>
      <c r="AJ7541">
        <v>95.688666323276607</v>
      </c>
      <c r="AK7541">
        <v>3.00578215029656</v>
      </c>
      <c r="AL7541">
        <v>85.9072243830703</v>
      </c>
      <c r="AM7541">
        <v>98.429016721224698</v>
      </c>
      <c r="AN7541">
        <v>1.00000003946271</v>
      </c>
    </row>
    <row r="7542" spans="1:40" x14ac:dyDescent="0.25">
      <c r="A7542" t="str">
        <f>"20190312150839658"</f>
        <v>20190312150839658</v>
      </c>
      <c r="B7542" t="str">
        <f>"1552374519647339"</f>
        <v>1552374519647339</v>
      </c>
      <c r="C7542" t="s">
        <v>40</v>
      </c>
      <c r="D7542">
        <v>4.2569299999999997</v>
      </c>
      <c r="E7542">
        <v>0.52009510000000003</v>
      </c>
      <c r="F7542" t="s">
        <v>48</v>
      </c>
      <c r="G7542">
        <v>0</v>
      </c>
      <c r="H7542">
        <v>0</v>
      </c>
      <c r="I7542">
        <v>0</v>
      </c>
      <c r="J7542">
        <v>-377.30689999999998</v>
      </c>
      <c r="K7542">
        <v>1.112018</v>
      </c>
      <c r="L7542">
        <v>140.07660000000001</v>
      </c>
      <c r="M7542">
        <v>-0.9992453</v>
      </c>
      <c r="N7542">
        <v>0</v>
      </c>
      <c r="O7542">
        <v>-3.6208850000000001E-2</v>
      </c>
      <c r="P7542">
        <v>-0.98173200000000005</v>
      </c>
      <c r="Q7542">
        <v>5.8085879999999999E-2</v>
      </c>
      <c r="R7542">
        <v>-0.1811874</v>
      </c>
      <c r="S7542">
        <v>-2.980286</v>
      </c>
      <c r="T7542">
        <v>3.7263629999999999E-2</v>
      </c>
      <c r="U7542">
        <v>-0.3960419</v>
      </c>
      <c r="V7542">
        <v>-0.1457241</v>
      </c>
      <c r="W7542">
        <v>7.1557179999999998E-2</v>
      </c>
      <c r="X7542">
        <v>0.986734</v>
      </c>
      <c r="Y7542">
        <v>-9.5741380000000001E-2</v>
      </c>
      <c r="Z7542">
        <v>1.454677E-4</v>
      </c>
      <c r="AA7542">
        <v>0.99540620000000002</v>
      </c>
      <c r="AB7542">
        <v>17</v>
      </c>
      <c r="AC7542">
        <v>-2.980286</v>
      </c>
      <c r="AD7542">
        <v>3.7263629999999999E-2</v>
      </c>
      <c r="AE7542">
        <v>-0.3960419</v>
      </c>
      <c r="AF7542">
        <v>-0.28781452731656099</v>
      </c>
      <c r="AG7542">
        <v>3.7263629999999999E-2</v>
      </c>
      <c r="AH7542">
        <v>2.9922132460423199</v>
      </c>
      <c r="AI7542">
        <v>89.289779547125093</v>
      </c>
      <c r="AJ7542">
        <v>95.494254381029805</v>
      </c>
      <c r="AK7542">
        <v>3.00625446195866</v>
      </c>
      <c r="AL7542">
        <v>85.896568465665794</v>
      </c>
      <c r="AM7542">
        <v>98.400903537060003</v>
      </c>
      <c r="AN7542">
        <v>0.99999996504318001</v>
      </c>
    </row>
    <row r="7543" spans="1:40" x14ac:dyDescent="0.25">
      <c r="A7543" t="str">
        <f>"20190312150839672"</f>
        <v>20190312150839672</v>
      </c>
      <c r="B7543" t="str">
        <f>"1552374519667835"</f>
        <v>1552374519667835</v>
      </c>
      <c r="C7543" t="s">
        <v>40</v>
      </c>
      <c r="D7543">
        <v>4.0252489999999996</v>
      </c>
      <c r="E7543">
        <v>0.520366</v>
      </c>
      <c r="F7543" t="s">
        <v>48</v>
      </c>
      <c r="G7543">
        <v>0</v>
      </c>
      <c r="H7543">
        <v>0</v>
      </c>
      <c r="I7543">
        <v>0</v>
      </c>
      <c r="J7543">
        <v>-377.4117</v>
      </c>
      <c r="K7543">
        <v>1.1120209999999999</v>
      </c>
      <c r="L7543">
        <v>140.0712</v>
      </c>
      <c r="M7543">
        <v>-0.99919279999999999</v>
      </c>
      <c r="N7543">
        <v>0</v>
      </c>
      <c r="O7543">
        <v>-3.7628839999999997E-2</v>
      </c>
      <c r="P7543">
        <v>-0.9814773</v>
      </c>
      <c r="Q7543">
        <v>5.8394469999999997E-2</v>
      </c>
      <c r="R7543">
        <v>-0.18246270000000001</v>
      </c>
      <c r="S7543">
        <v>-2.9810789999999998</v>
      </c>
      <c r="T7543">
        <v>3.7455200000000001E-2</v>
      </c>
      <c r="U7543">
        <v>-0.39305109999999999</v>
      </c>
      <c r="V7543">
        <v>-0.14560609999999999</v>
      </c>
      <c r="W7543">
        <v>7.1863469999999999E-2</v>
      </c>
      <c r="X7543">
        <v>0.98672919999999997</v>
      </c>
      <c r="Y7543">
        <v>-9.3310740000000003E-2</v>
      </c>
      <c r="Z7543">
        <v>1.1324619999999999E-4</v>
      </c>
      <c r="AA7543">
        <v>0.99563699999999999</v>
      </c>
      <c r="AB7543">
        <v>17</v>
      </c>
      <c r="AC7543">
        <v>-2.9810789999999998</v>
      </c>
      <c r="AD7543">
        <v>3.7455200000000001E-2</v>
      </c>
      <c r="AE7543">
        <v>-0.39305109999999999</v>
      </c>
      <c r="AF7543">
        <v>-0.28054350811503498</v>
      </c>
      <c r="AG7543">
        <v>3.7455200000000001E-2</v>
      </c>
      <c r="AH7543">
        <v>2.9932944025596</v>
      </c>
      <c r="AI7543">
        <v>89.286221078922395</v>
      </c>
      <c r="AJ7543">
        <v>95.354348015406401</v>
      </c>
      <c r="AK7543">
        <v>3.00664579429422</v>
      </c>
      <c r="AL7543">
        <v>85.878974206335997</v>
      </c>
      <c r="AM7543">
        <v>98.394238125815406</v>
      </c>
      <c r="AN7543">
        <v>1.00000000440514</v>
      </c>
    </row>
    <row r="7544" spans="1:40" x14ac:dyDescent="0.25">
      <c r="A7544" t="str">
        <f>"20190312150839686"</f>
        <v>20190312150839686</v>
      </c>
      <c r="B7544" t="str">
        <f>"1552374519677597"</f>
        <v>1552374519677597</v>
      </c>
      <c r="C7544" t="s">
        <v>40</v>
      </c>
      <c r="D7544">
        <v>4.0284219999999999</v>
      </c>
      <c r="E7544">
        <v>0.52053959999999999</v>
      </c>
      <c r="F7544" t="s">
        <v>48</v>
      </c>
      <c r="G7544">
        <v>0</v>
      </c>
      <c r="H7544">
        <v>0</v>
      </c>
      <c r="I7544">
        <v>0</v>
      </c>
      <c r="J7544">
        <v>-377.51760000000002</v>
      </c>
      <c r="K7544">
        <v>1.11202</v>
      </c>
      <c r="L7544">
        <v>140.06559999999999</v>
      </c>
      <c r="M7544">
        <v>-0.99913750000000001</v>
      </c>
      <c r="N7544">
        <v>0</v>
      </c>
      <c r="O7544">
        <v>-3.9072610000000001E-2</v>
      </c>
      <c r="P7544">
        <v>-0.98123090000000002</v>
      </c>
      <c r="Q7544">
        <v>5.8450719999999998E-2</v>
      </c>
      <c r="R7544">
        <v>-0.1837665</v>
      </c>
      <c r="S7544">
        <v>-2.9811100000000001</v>
      </c>
      <c r="T7544">
        <v>3.5137649999999999E-2</v>
      </c>
      <c r="U7544">
        <v>-0.39503480000000002</v>
      </c>
      <c r="V7544">
        <v>-0.1454907</v>
      </c>
      <c r="W7544">
        <v>7.1919129999999998E-2</v>
      </c>
      <c r="X7544">
        <v>0.98674209999999996</v>
      </c>
      <c r="Y7544">
        <v>-9.2522519999999997E-2</v>
      </c>
      <c r="Z7544" s="1">
        <v>8.4696719999999905E-5</v>
      </c>
      <c r="AA7544">
        <v>0.9957106</v>
      </c>
      <c r="AB7544">
        <v>17</v>
      </c>
      <c r="AC7544">
        <v>-2.9811100000000001</v>
      </c>
      <c r="AD7544">
        <v>3.5137649999999999E-2</v>
      </c>
      <c r="AE7544">
        <v>-0.39503480000000002</v>
      </c>
      <c r="AF7544">
        <v>-0.27820384066377102</v>
      </c>
      <c r="AG7544">
        <v>3.5137649999999999E-2</v>
      </c>
      <c r="AH7544">
        <v>2.99386090943913</v>
      </c>
      <c r="AI7544">
        <v>89.330459370578097</v>
      </c>
      <c r="AJ7544">
        <v>95.308951288422193</v>
      </c>
      <c r="AK7544">
        <v>3.0069644454956999</v>
      </c>
      <c r="AL7544">
        <v>85.875776577652701</v>
      </c>
      <c r="AM7544">
        <v>98.387571864734497</v>
      </c>
      <c r="AN7544">
        <v>0.99999993847942603</v>
      </c>
    </row>
    <row r="7545" spans="1:40" x14ac:dyDescent="0.25">
      <c r="A7545" t="str">
        <f>"20190312150839697"</f>
        <v>20190312150839697</v>
      </c>
      <c r="B7545" t="str">
        <f>"1552374519687356"</f>
        <v>1552374519687356</v>
      </c>
      <c r="C7545" t="s">
        <v>40</v>
      </c>
      <c r="D7545">
        <v>4.0270199999999896</v>
      </c>
      <c r="E7545">
        <v>0.52057940000000003</v>
      </c>
      <c r="F7545" t="s">
        <v>48</v>
      </c>
      <c r="G7545">
        <v>0</v>
      </c>
      <c r="H7545">
        <v>0</v>
      </c>
      <c r="I7545">
        <v>0</v>
      </c>
      <c r="J7545">
        <v>-377.60890000000001</v>
      </c>
      <c r="K7545">
        <v>1.112015</v>
      </c>
      <c r="L7545">
        <v>140.06049999999999</v>
      </c>
      <c r="M7545">
        <v>-0.99908759999999996</v>
      </c>
      <c r="N7545">
        <v>0</v>
      </c>
      <c r="O7545">
        <v>-4.0326029999999999E-2</v>
      </c>
      <c r="P7545">
        <v>-0.98103580000000001</v>
      </c>
      <c r="Q7545">
        <v>5.8572970000000002E-2</v>
      </c>
      <c r="R7545">
        <v>-0.1847645</v>
      </c>
      <c r="S7545">
        <v>-2.9810490000000001</v>
      </c>
      <c r="T7545">
        <v>3.0754920000000002E-2</v>
      </c>
      <c r="U7545">
        <v>-0.3978119</v>
      </c>
      <c r="V7545">
        <v>-0.145256</v>
      </c>
      <c r="W7545">
        <v>7.2042300000000004E-2</v>
      </c>
      <c r="X7545">
        <v>0.98676779999999997</v>
      </c>
      <c r="Y7545">
        <v>-9.2188409999999998E-2</v>
      </c>
      <c r="Z7545" s="1">
        <v>5.956544E-5</v>
      </c>
      <c r="AA7545">
        <v>0.9957416</v>
      </c>
      <c r="AB7545">
        <v>17</v>
      </c>
      <c r="AC7545">
        <v>-2.9810490000000001</v>
      </c>
      <c r="AD7545">
        <v>3.0754920000000002E-2</v>
      </c>
      <c r="AE7545">
        <v>-0.3978119</v>
      </c>
      <c r="AF7545">
        <v>-0.27723349319198198</v>
      </c>
      <c r="AG7545">
        <v>3.0754920000000002E-2</v>
      </c>
      <c r="AH7545">
        <v>2.9943542884777301</v>
      </c>
      <c r="AI7545">
        <v>89.414043410006698</v>
      </c>
      <c r="AJ7545">
        <v>95.2896726722837</v>
      </c>
      <c r="AK7545">
        <v>3.0073180543096201</v>
      </c>
      <c r="AL7545">
        <v>85.8687015425281</v>
      </c>
      <c r="AM7545">
        <v>98.374018369128805</v>
      </c>
      <c r="AN7545">
        <v>1.00000004482106</v>
      </c>
    </row>
    <row r="7546" spans="1:40" x14ac:dyDescent="0.25">
      <c r="A7546" t="str">
        <f>"20190312150839711"</f>
        <v>20190312150839711</v>
      </c>
      <c r="B7546" t="str">
        <f>"1552374519707852"</f>
        <v>1552374519707852</v>
      </c>
      <c r="C7546" t="s">
        <v>40</v>
      </c>
      <c r="D7546">
        <v>4.0223050000000002</v>
      </c>
      <c r="E7546">
        <v>0.52072099999999999</v>
      </c>
      <c r="F7546" t="s">
        <v>48</v>
      </c>
      <c r="G7546">
        <v>0</v>
      </c>
      <c r="H7546">
        <v>0</v>
      </c>
      <c r="I7546">
        <v>0</v>
      </c>
      <c r="J7546">
        <v>-377.71089999999998</v>
      </c>
      <c r="K7546">
        <v>1.112006</v>
      </c>
      <c r="L7546">
        <v>140.0547</v>
      </c>
      <c r="M7546">
        <v>-0.99903010000000003</v>
      </c>
      <c r="N7546">
        <v>0</v>
      </c>
      <c r="O7546">
        <v>-4.1727670000000001E-2</v>
      </c>
      <c r="P7546">
        <v>-0.9807785</v>
      </c>
      <c r="Q7546">
        <v>5.8715620000000003E-2</v>
      </c>
      <c r="R7546">
        <v>-0.18608160000000001</v>
      </c>
      <c r="S7546">
        <v>-2.9810180000000002</v>
      </c>
      <c r="T7546">
        <v>2.419019E-2</v>
      </c>
      <c r="U7546">
        <v>-0.401001</v>
      </c>
      <c r="V7546">
        <v>-0.1451962</v>
      </c>
      <c r="W7546">
        <v>7.2185929999999995E-2</v>
      </c>
      <c r="X7546">
        <v>0.98676600000000003</v>
      </c>
      <c r="Y7546">
        <v>-9.1840320000000003E-2</v>
      </c>
      <c r="Z7546" s="1">
        <v>3.4143249999999999E-5</v>
      </c>
      <c r="AA7546">
        <v>0.99577369999999998</v>
      </c>
      <c r="AB7546">
        <v>17</v>
      </c>
      <c r="AC7546">
        <v>-2.9810180000000002</v>
      </c>
      <c r="AD7546">
        <v>2.419019E-2</v>
      </c>
      <c r="AE7546">
        <v>-0.401001</v>
      </c>
      <c r="AF7546">
        <v>-0.27623057063908402</v>
      </c>
      <c r="AG7546">
        <v>2.419019E-2</v>
      </c>
      <c r="AH7546">
        <v>2.9949618650524101</v>
      </c>
      <c r="AI7546">
        <v>89.5391900393995</v>
      </c>
      <c r="AJ7546">
        <v>95.269581451807795</v>
      </c>
      <c r="AK7546">
        <v>3.0077707802567102</v>
      </c>
      <c r="AL7546">
        <v>85.860450241089396</v>
      </c>
      <c r="AM7546">
        <v>98.370634803322801</v>
      </c>
      <c r="AN7546">
        <v>0.99999994187020003</v>
      </c>
    </row>
    <row r="7547" spans="1:40" x14ac:dyDescent="0.25">
      <c r="A7547" t="str">
        <f>"20190312150839725"</f>
        <v>20190312150839725</v>
      </c>
      <c r="B7547" t="str">
        <f>"1552374519717612"</f>
        <v>1552374519717612</v>
      </c>
      <c r="C7547" t="s">
        <v>40</v>
      </c>
      <c r="D7547">
        <v>4.0392799999999998</v>
      </c>
      <c r="E7547">
        <v>0.52076259999999996</v>
      </c>
      <c r="F7547" t="s">
        <v>48</v>
      </c>
      <c r="G7547">
        <v>0</v>
      </c>
      <c r="H7547">
        <v>0</v>
      </c>
      <c r="I7547">
        <v>0</v>
      </c>
      <c r="J7547">
        <v>-377.81830000000002</v>
      </c>
      <c r="K7547">
        <v>1.1119889999999999</v>
      </c>
      <c r="L7547">
        <v>140.04849999999999</v>
      </c>
      <c r="M7547">
        <v>-0.9989673</v>
      </c>
      <c r="N7547">
        <v>0</v>
      </c>
      <c r="O7547">
        <v>-4.3206130000000002E-2</v>
      </c>
      <c r="P7547">
        <v>-0.9805393</v>
      </c>
      <c r="Q7547">
        <v>5.850557E-2</v>
      </c>
      <c r="R7547">
        <v>-0.18740290000000001</v>
      </c>
      <c r="S7547">
        <v>-2.9810789999999998</v>
      </c>
      <c r="T7547">
        <v>1.673734E-2</v>
      </c>
      <c r="U7547">
        <v>-0.40431210000000001</v>
      </c>
      <c r="V7547">
        <v>-0.14506189999999999</v>
      </c>
      <c r="W7547">
        <v>7.1979039999999994E-2</v>
      </c>
      <c r="X7547">
        <v>0.98680089999999998</v>
      </c>
      <c r="Y7547">
        <v>-9.1451000000000005E-2</v>
      </c>
      <c r="Z7547" s="1">
        <v>1.4288890000000001E-5</v>
      </c>
      <c r="AA7547">
        <v>0.99580959999999996</v>
      </c>
      <c r="AB7547">
        <v>17</v>
      </c>
      <c r="AC7547">
        <v>-2.9810789999999998</v>
      </c>
      <c r="AD7547">
        <v>1.673734E-2</v>
      </c>
      <c r="AE7547">
        <v>-0.40431210000000001</v>
      </c>
      <c r="AF7547">
        <v>-0.27511234269967</v>
      </c>
      <c r="AG7547">
        <v>1.673734E-2</v>
      </c>
      <c r="AH7547">
        <v>2.9956724163789801</v>
      </c>
      <c r="AI7547">
        <v>89.681223323872402</v>
      </c>
      <c r="AJ7547">
        <v>95.247130741719801</v>
      </c>
      <c r="AK7547">
        <v>3.0083251429840199</v>
      </c>
      <c r="AL7547">
        <v>85.872335225719794</v>
      </c>
      <c r="AM7547">
        <v>98.362710300245595</v>
      </c>
      <c r="AN7547">
        <v>0.99999997663587004</v>
      </c>
    </row>
    <row r="7548" spans="1:40" x14ac:dyDescent="0.25">
      <c r="A7548" t="str">
        <f>"20190312150839739"</f>
        <v>20190312150839739</v>
      </c>
      <c r="B7548" t="str">
        <f>"1552374519727371"</f>
        <v>1552374519727371</v>
      </c>
      <c r="C7548" t="s">
        <v>40</v>
      </c>
      <c r="D7548">
        <v>4.14771</v>
      </c>
      <c r="E7548">
        <v>0.52076259999999996</v>
      </c>
      <c r="F7548" t="s">
        <v>48</v>
      </c>
      <c r="G7548">
        <v>0</v>
      </c>
      <c r="H7548">
        <v>0</v>
      </c>
      <c r="I7548">
        <v>0</v>
      </c>
      <c r="J7548">
        <v>-377.92599999999999</v>
      </c>
      <c r="K7548">
        <v>1.1119730000000001</v>
      </c>
      <c r="L7548">
        <v>140.0421</v>
      </c>
      <c r="M7548">
        <v>-0.99890210000000002</v>
      </c>
      <c r="N7548">
        <v>0</v>
      </c>
      <c r="O7548">
        <v>-4.4689279999999998E-2</v>
      </c>
      <c r="P7548">
        <v>-0.98026720000000001</v>
      </c>
      <c r="Q7548">
        <v>5.8405390000000001E-2</v>
      </c>
      <c r="R7548">
        <v>-0.1888513</v>
      </c>
      <c r="S7548">
        <v>-2.9807739999999998</v>
      </c>
      <c r="T7548">
        <v>1.2544990000000001E-2</v>
      </c>
      <c r="U7548">
        <v>-0.40818789999999999</v>
      </c>
      <c r="V7548">
        <v>-0.14505119999999999</v>
      </c>
      <c r="W7548">
        <v>7.1881529999999999E-2</v>
      </c>
      <c r="X7548">
        <v>0.98680959999999995</v>
      </c>
      <c r="Y7548">
        <v>-9.1257619999999998E-2</v>
      </c>
      <c r="Z7548" s="1">
        <v>4.1064199999999999E-6</v>
      </c>
      <c r="AA7548">
        <v>0.99582729999999997</v>
      </c>
      <c r="AB7548">
        <v>17</v>
      </c>
      <c r="AC7548">
        <v>-2.9807739999999998</v>
      </c>
      <c r="AD7548">
        <v>1.2544990000000001E-2</v>
      </c>
      <c r="AE7548">
        <v>-0.40818789999999999</v>
      </c>
      <c r="AF7548">
        <v>-0.27455344192524</v>
      </c>
      <c r="AG7548">
        <v>1.2544990000000001E-2</v>
      </c>
      <c r="AH7548">
        <v>2.9959867594783698</v>
      </c>
      <c r="AI7548">
        <v>89.761089869743401</v>
      </c>
      <c r="AJ7548">
        <v>95.235983955007399</v>
      </c>
      <c r="AK7548">
        <v>3.0085667072905</v>
      </c>
      <c r="AL7548">
        <v>85.877936726078701</v>
      </c>
      <c r="AM7548">
        <v>98.362029495345794</v>
      </c>
      <c r="AN7548">
        <v>0.99999999581437005</v>
      </c>
    </row>
    <row r="7549" spans="1:40" x14ac:dyDescent="0.25">
      <c r="A7549" t="str">
        <f>"20190312150839758"</f>
        <v>20190312150839758</v>
      </c>
      <c r="B7549" t="str">
        <f>"1552374519747867"</f>
        <v>1552374519747867</v>
      </c>
      <c r="C7549" t="s">
        <v>40</v>
      </c>
      <c r="D7549">
        <v>4.0459149999999999</v>
      </c>
      <c r="E7549">
        <v>0.52261800000000003</v>
      </c>
      <c r="F7549" t="s">
        <v>48</v>
      </c>
      <c r="G7549">
        <v>0</v>
      </c>
      <c r="H7549">
        <v>0</v>
      </c>
      <c r="I7549">
        <v>0</v>
      </c>
      <c r="J7549">
        <v>-378.072</v>
      </c>
      <c r="K7549">
        <v>1.1119589999999999</v>
      </c>
      <c r="L7549">
        <v>140.03319999999999</v>
      </c>
      <c r="M7549">
        <v>-0.99881039999999999</v>
      </c>
      <c r="N7549">
        <v>0</v>
      </c>
      <c r="O7549">
        <v>-4.6696170000000002E-2</v>
      </c>
      <c r="P7549">
        <v>-0.97992639999999998</v>
      </c>
      <c r="Q7549">
        <v>5.8243240000000002E-2</v>
      </c>
      <c r="R7549">
        <v>-0.19066269999999999</v>
      </c>
      <c r="S7549">
        <v>-2.9801639999999998</v>
      </c>
      <c r="T7549">
        <v>1.219106E-2</v>
      </c>
      <c r="U7549">
        <v>-0.41275020000000001</v>
      </c>
      <c r="V7549">
        <v>-0.14488709999999999</v>
      </c>
      <c r="W7549">
        <v>7.1724590000000005E-2</v>
      </c>
      <c r="X7549">
        <v>0.98684510000000003</v>
      </c>
      <c r="Y7549">
        <v>-9.0780390000000002E-2</v>
      </c>
      <c r="Z7549" s="1">
        <v>-5.1311510000000002E-6</v>
      </c>
      <c r="AA7549">
        <v>0.9958709</v>
      </c>
      <c r="AB7549">
        <v>17</v>
      </c>
      <c r="AC7549">
        <v>-2.9801639999999998</v>
      </c>
      <c r="AD7549">
        <v>1.219106E-2</v>
      </c>
      <c r="AE7549">
        <v>-0.41275020000000001</v>
      </c>
      <c r="AF7549">
        <v>-0.27311940172108801</v>
      </c>
      <c r="AG7549">
        <v>1.219106E-2</v>
      </c>
      <c r="AH7549">
        <v>2.9961389738014899</v>
      </c>
      <c r="AI7549">
        <v>89.767831757009901</v>
      </c>
      <c r="AJ7549">
        <v>95.208523161773698</v>
      </c>
      <c r="AK7549">
        <v>3.0085863091945102</v>
      </c>
      <c r="AL7549">
        <v>85.8869518892554</v>
      </c>
      <c r="AM7549">
        <v>98.352406630192306</v>
      </c>
      <c r="AN7549">
        <v>0.99999996997554297</v>
      </c>
    </row>
    <row r="7550" spans="1:40" x14ac:dyDescent="0.25">
      <c r="A7550" t="str">
        <f>"20190312150839774"</f>
        <v>20190312150839774</v>
      </c>
      <c r="B7550" t="str">
        <f>"1552374519767388"</f>
        <v>1552374519767388</v>
      </c>
      <c r="C7550" t="s">
        <v>40</v>
      </c>
      <c r="D7550">
        <v>4.0516430000000003</v>
      </c>
      <c r="E7550">
        <v>0.52216579999999901</v>
      </c>
      <c r="F7550" t="s">
        <v>42</v>
      </c>
      <c r="G7550">
        <v>-450.14069999999998</v>
      </c>
      <c r="H7550" s="1">
        <v>-4.8674820000000003E-6</v>
      </c>
      <c r="I7550">
        <v>130.20820000000001</v>
      </c>
      <c r="J7550">
        <v>-378.18630000000002</v>
      </c>
      <c r="K7550">
        <v>1.111942</v>
      </c>
      <c r="L7550">
        <v>140.02600000000001</v>
      </c>
      <c r="M7550">
        <v>-0.99873610000000002</v>
      </c>
      <c r="N7550">
        <v>0</v>
      </c>
      <c r="O7550">
        <v>-4.8259980000000001E-2</v>
      </c>
      <c r="P7550">
        <v>-0.97963920000000004</v>
      </c>
      <c r="Q7550">
        <v>5.832905E-2</v>
      </c>
      <c r="R7550">
        <v>-0.1921061</v>
      </c>
      <c r="S7550">
        <v>-2.9850159999999999</v>
      </c>
      <c r="T7550">
        <v>-4.6056510000000002E-2</v>
      </c>
      <c r="U7550">
        <v>-0.40693659999999998</v>
      </c>
      <c r="V7550">
        <v>-0.14479400000000001</v>
      </c>
      <c r="W7550">
        <v>7.181353E-2</v>
      </c>
      <c r="X7550">
        <v>0.98685230000000002</v>
      </c>
      <c r="Y7550">
        <v>-8.7092699999999995E-2</v>
      </c>
      <c r="Z7550" s="1">
        <v>7.1639949999999995E-5</v>
      </c>
      <c r="AA7550">
        <v>0.99620019999999998</v>
      </c>
      <c r="AB7550">
        <v>17</v>
      </c>
      <c r="AC7550">
        <v>-71.954399999999893</v>
      </c>
      <c r="AD7550">
        <v>-1.1119468674819999</v>
      </c>
      <c r="AE7550">
        <v>-9.8178000000000001</v>
      </c>
      <c r="AF7550">
        <v>-6.3320133045258702</v>
      </c>
      <c r="AG7550">
        <v>-1.1119468674819999</v>
      </c>
      <c r="AH7550">
        <v>72.327439477639999</v>
      </c>
      <c r="AI7550">
        <v>90.877428366188695</v>
      </c>
      <c r="AJ7550">
        <v>95.003287908990799</v>
      </c>
      <c r="AK7550">
        <v>72.612597527677494</v>
      </c>
      <c r="AL7550">
        <v>85.881842843268601</v>
      </c>
      <c r="AM7550">
        <v>98.347055229954805</v>
      </c>
      <c r="AN7550">
        <v>0.999999973771175</v>
      </c>
    </row>
    <row r="7551" spans="1:40" x14ac:dyDescent="0.25">
      <c r="A7551" t="str">
        <f>"20190312150839793"</f>
        <v>20190312150839793</v>
      </c>
      <c r="B7551" t="str">
        <f>"1552374519787883"</f>
        <v>1552374519787883</v>
      </c>
      <c r="C7551" t="s">
        <v>40</v>
      </c>
      <c r="D7551">
        <v>4.0565879999999996</v>
      </c>
      <c r="E7551">
        <v>0.52214150000000004</v>
      </c>
      <c r="F7551" t="s">
        <v>42</v>
      </c>
      <c r="G7551">
        <v>-453.06150000000002</v>
      </c>
      <c r="H7551">
        <v>8.2311119999999901E-3</v>
      </c>
      <c r="I7551">
        <v>129.6164</v>
      </c>
      <c r="J7551">
        <v>-378.33339999999998</v>
      </c>
      <c r="K7551">
        <v>1.111923</v>
      </c>
      <c r="L7551">
        <v>140.0164</v>
      </c>
      <c r="M7551">
        <v>-0.99863729999999995</v>
      </c>
      <c r="N7551">
        <v>0</v>
      </c>
      <c r="O7551">
        <v>-5.0266070000000003E-2</v>
      </c>
      <c r="P7551">
        <v>-0.97930490000000003</v>
      </c>
      <c r="Q7551">
        <v>5.8347339999999998E-2</v>
      </c>
      <c r="R7551">
        <v>-0.19379859999999999</v>
      </c>
      <c r="S7551">
        <v>-2.9836119999999999</v>
      </c>
      <c r="T7551">
        <v>-4.3980480000000002E-2</v>
      </c>
      <c r="U7551">
        <v>-0.41479490000000002</v>
      </c>
      <c r="V7551">
        <v>-0.1445128</v>
      </c>
      <c r="W7551">
        <v>7.1834460000000003E-2</v>
      </c>
      <c r="X7551">
        <v>0.98689199999999999</v>
      </c>
      <c r="Y7551">
        <v>-8.7729849999999998E-2</v>
      </c>
      <c r="Z7551" s="1">
        <v>9.3100129999999995E-5</v>
      </c>
      <c r="AA7551">
        <v>0.99614429999999998</v>
      </c>
      <c r="AB7551">
        <v>17</v>
      </c>
      <c r="AC7551">
        <v>-74.728099999999998</v>
      </c>
      <c r="AD7551">
        <v>-1.103691888</v>
      </c>
      <c r="AE7551">
        <v>-10.4</v>
      </c>
      <c r="AF7551">
        <v>-6.6287741724003002</v>
      </c>
      <c r="AG7551">
        <v>-1.103691888</v>
      </c>
      <c r="AH7551">
        <v>75.140353957132504</v>
      </c>
      <c r="AI7551">
        <v>90.838267923352603</v>
      </c>
      <c r="AJ7551">
        <v>95.0414999440749</v>
      </c>
      <c r="AK7551">
        <v>75.440251693744202</v>
      </c>
      <c r="AL7551">
        <v>85.880640560364299</v>
      </c>
      <c r="AM7551">
        <v>98.330741976365104</v>
      </c>
      <c r="AN7551">
        <v>0.99999997933566498</v>
      </c>
    </row>
    <row r="7552" spans="1:40" x14ac:dyDescent="0.25">
      <c r="A7552" t="str">
        <f>"20190312150839816"</f>
        <v>20190312150839816</v>
      </c>
      <c r="B7552" t="str">
        <f>"1552374519807520"</f>
        <v>1552374519807520</v>
      </c>
      <c r="C7552" t="s">
        <v>40</v>
      </c>
      <c r="D7552">
        <v>4.0419999999999998</v>
      </c>
      <c r="E7552">
        <v>0.52210630000000002</v>
      </c>
      <c r="F7552" t="s">
        <v>43</v>
      </c>
      <c r="G7552">
        <v>-504.0822</v>
      </c>
      <c r="H7552">
        <v>-0.05</v>
      </c>
      <c r="I7552">
        <v>122.3321</v>
      </c>
      <c r="J7552">
        <v>-378.5027</v>
      </c>
      <c r="K7552">
        <v>1.111901</v>
      </c>
      <c r="L7552">
        <v>140.0051</v>
      </c>
      <c r="M7552">
        <v>-0.99851909999999999</v>
      </c>
      <c r="N7552">
        <v>0</v>
      </c>
      <c r="O7552">
        <v>-5.256226E-2</v>
      </c>
      <c r="P7552">
        <v>-0.97889970000000004</v>
      </c>
      <c r="Q7552">
        <v>5.8015070000000002E-2</v>
      </c>
      <c r="R7552">
        <v>-0.19593279999999999</v>
      </c>
      <c r="S7552">
        <v>-2.982056</v>
      </c>
      <c r="T7552">
        <v>-2.7554269999999999E-2</v>
      </c>
      <c r="U7552">
        <v>-0.41937259999999998</v>
      </c>
      <c r="V7552">
        <v>-0.144389299999999</v>
      </c>
      <c r="W7552">
        <v>7.1496779999999996E-2</v>
      </c>
      <c r="X7552">
        <v>0.9869346</v>
      </c>
      <c r="Y7552">
        <v>-8.7012469999999995E-2</v>
      </c>
      <c r="Z7552" s="1">
        <v>8.2703189999999997E-5</v>
      </c>
      <c r="AA7552">
        <v>0.99620719999999996</v>
      </c>
      <c r="AB7552">
        <v>17</v>
      </c>
      <c r="AC7552">
        <v>-125.5795</v>
      </c>
      <c r="AD7552">
        <v>-1.1619010000000001</v>
      </c>
      <c r="AE7552">
        <v>-17.672999999999998</v>
      </c>
      <c r="AF7552">
        <v>-11.046245654187601</v>
      </c>
      <c r="AG7552">
        <v>-1.1619010000000001</v>
      </c>
      <c r="AH7552">
        <v>126.324291085537</v>
      </c>
      <c r="AI7552">
        <v>90.524975046813097</v>
      </c>
      <c r="AJ7552">
        <v>94.997435345728405</v>
      </c>
      <c r="AK7552">
        <v>126.81165591241999</v>
      </c>
      <c r="AL7552">
        <v>85.900038087569001</v>
      </c>
      <c r="AM7552">
        <v>98.323368100853301</v>
      </c>
      <c r="AN7552">
        <v>0.99999998209100904</v>
      </c>
    </row>
    <row r="7553" spans="1:40" x14ac:dyDescent="0.25">
      <c r="A7553" t="str">
        <f>"20190312150839836"</f>
        <v>20190312150839836</v>
      </c>
      <c r="B7553" t="str">
        <f>"1552374519828016"</f>
        <v>1552374519828016</v>
      </c>
      <c r="C7553" t="s">
        <v>40</v>
      </c>
      <c r="D7553">
        <v>4.0766739999999997</v>
      </c>
      <c r="E7553">
        <v>0.52224890000000002</v>
      </c>
      <c r="F7553" t="s">
        <v>48</v>
      </c>
      <c r="G7553">
        <v>0</v>
      </c>
      <c r="H7553">
        <v>0</v>
      </c>
      <c r="I7553">
        <v>0</v>
      </c>
      <c r="J7553">
        <v>-378.66300000000001</v>
      </c>
      <c r="K7553">
        <v>1.1118809999999999</v>
      </c>
      <c r="L7553">
        <v>139.9941</v>
      </c>
      <c r="M7553">
        <v>-0.99840329999999999</v>
      </c>
      <c r="N7553">
        <v>0</v>
      </c>
      <c r="O7553">
        <v>-5.4725570000000001E-2</v>
      </c>
      <c r="P7553">
        <v>-0.97844109999999995</v>
      </c>
      <c r="Q7553">
        <v>5.7712819999999998E-2</v>
      </c>
      <c r="R7553">
        <v>-0.1982998</v>
      </c>
      <c r="S7553">
        <v>-2.980499</v>
      </c>
      <c r="T7553">
        <v>-1.6649480000000001E-2</v>
      </c>
      <c r="U7553">
        <v>-0.42544559999999998</v>
      </c>
      <c r="V7553">
        <v>-0.14463409999999999</v>
      </c>
      <c r="W7553">
        <v>7.1173829999999993E-2</v>
      </c>
      <c r="X7553">
        <v>0.98692210000000002</v>
      </c>
      <c r="Y7553">
        <v>-8.6916660000000007E-2</v>
      </c>
      <c r="Z7553" s="1">
        <v>6.2243259999999998E-5</v>
      </c>
      <c r="AA7553">
        <v>0.99621559999999998</v>
      </c>
      <c r="AB7553">
        <v>17</v>
      </c>
      <c r="AC7553">
        <v>-2.980499</v>
      </c>
      <c r="AD7553">
        <v>-1.6649480000000001E-2</v>
      </c>
      <c r="AE7553">
        <v>-0.42544559999999998</v>
      </c>
      <c r="AF7553">
        <v>-0.26167442310321698</v>
      </c>
      <c r="AG7553">
        <v>-1.6649480000000001E-2</v>
      </c>
      <c r="AH7553">
        <v>2.9992249597048701</v>
      </c>
      <c r="AI7553">
        <v>90.316856886523695</v>
      </c>
      <c r="AJ7553">
        <v>94.986278365333007</v>
      </c>
      <c r="AK7553">
        <v>3.0106645558426699</v>
      </c>
      <c r="AL7553">
        <v>85.918589029163101</v>
      </c>
      <c r="AM7553">
        <v>98.337385595674604</v>
      </c>
      <c r="AN7553">
        <v>0.99999998421404401</v>
      </c>
    </row>
    <row r="7554" spans="1:40" x14ac:dyDescent="0.25">
      <c r="A7554" t="str">
        <f>"20190312150839851"</f>
        <v>20190312150839851</v>
      </c>
      <c r="B7554" t="str">
        <f>"1552374519847536"</f>
        <v>1552374519847536</v>
      </c>
      <c r="C7554" t="s">
        <v>40</v>
      </c>
      <c r="D7554">
        <v>4.0751799999999996</v>
      </c>
      <c r="E7554">
        <v>0.52238660000000003</v>
      </c>
      <c r="F7554" t="s">
        <v>48</v>
      </c>
      <c r="G7554">
        <v>0</v>
      </c>
      <c r="H7554">
        <v>0</v>
      </c>
      <c r="I7554">
        <v>0</v>
      </c>
      <c r="J7554">
        <v>-378.77359999999999</v>
      </c>
      <c r="K7554">
        <v>1.1118709999999901</v>
      </c>
      <c r="L7554">
        <v>139.9862</v>
      </c>
      <c r="M7554">
        <v>-0.99832080000000001</v>
      </c>
      <c r="N7554">
        <v>0</v>
      </c>
      <c r="O7554">
        <v>-5.6214430000000003E-2</v>
      </c>
      <c r="P7554">
        <v>-0.97815479999999999</v>
      </c>
      <c r="Q7554">
        <v>5.7244429999999999E-2</v>
      </c>
      <c r="R7554">
        <v>-0.1998404</v>
      </c>
      <c r="S7554">
        <v>-2.9793699999999999</v>
      </c>
      <c r="T7554">
        <v>-1.052344E-2</v>
      </c>
      <c r="U7554">
        <v>-0.43086239999999998</v>
      </c>
      <c r="V7554">
        <v>-0.1447126</v>
      </c>
      <c r="W7554">
        <v>7.0682499999999995E-2</v>
      </c>
      <c r="X7554">
        <v>0.98694590000000004</v>
      </c>
      <c r="Y7554">
        <v>-8.7258749999999996E-2</v>
      </c>
      <c r="Z7554" s="1">
        <v>4.3963359999999902E-5</v>
      </c>
      <c r="AA7554">
        <v>0.99618569999999995</v>
      </c>
      <c r="AB7554">
        <v>17</v>
      </c>
      <c r="AC7554">
        <v>-2.9793699999999999</v>
      </c>
      <c r="AD7554">
        <v>-1.052344E-2</v>
      </c>
      <c r="AE7554">
        <v>-0.43086239999999998</v>
      </c>
      <c r="AF7554">
        <v>-0.26267778028467098</v>
      </c>
      <c r="AG7554">
        <v>-1.052344E-2</v>
      </c>
      <c r="AH7554">
        <v>2.9988442618547899</v>
      </c>
      <c r="AI7554">
        <v>90.200292630177401</v>
      </c>
      <c r="AJ7554">
        <v>95.005932857600001</v>
      </c>
      <c r="AK7554">
        <v>3.0103450410051198</v>
      </c>
      <c r="AL7554">
        <v>85.946811231795706</v>
      </c>
      <c r="AM7554">
        <v>98.341648712190107</v>
      </c>
      <c r="AN7554">
        <v>0.99999998096590903</v>
      </c>
    </row>
    <row r="7555" spans="1:40" x14ac:dyDescent="0.25">
      <c r="A7555" t="str">
        <f>"20190312150839865"</f>
        <v>20190312150839865</v>
      </c>
      <c r="B7555" t="str">
        <f>"1552374519857297"</f>
        <v>1552374519857297</v>
      </c>
      <c r="C7555" t="s">
        <v>40</v>
      </c>
      <c r="D7555">
        <v>4.0894680000000001</v>
      </c>
      <c r="E7555">
        <v>0.5224472</v>
      </c>
      <c r="F7555" t="s">
        <v>48</v>
      </c>
      <c r="G7555">
        <v>0</v>
      </c>
      <c r="H7555">
        <v>0</v>
      </c>
      <c r="I7555">
        <v>0</v>
      </c>
      <c r="J7555">
        <v>-378.87540000000001</v>
      </c>
      <c r="K7555">
        <v>1.1118629999999901</v>
      </c>
      <c r="L7555">
        <v>139.97890000000001</v>
      </c>
      <c r="M7555">
        <v>-0.99824329999999994</v>
      </c>
      <c r="N7555">
        <v>0</v>
      </c>
      <c r="O7555">
        <v>-5.7584440000000001E-2</v>
      </c>
      <c r="P7555">
        <v>-0.97789470000000001</v>
      </c>
      <c r="Q7555">
        <v>5.7201910000000002E-2</v>
      </c>
      <c r="R7555">
        <v>-0.2011223</v>
      </c>
      <c r="S7555">
        <v>-2.9789119999999998</v>
      </c>
      <c r="T7555">
        <v>-1.225889E-2</v>
      </c>
      <c r="U7555">
        <v>-0.4344635</v>
      </c>
      <c r="V7555">
        <v>-0.14465020000000001</v>
      </c>
      <c r="W7555">
        <v>7.061162E-2</v>
      </c>
      <c r="X7555">
        <v>0.98696010000000001</v>
      </c>
      <c r="Y7555">
        <v>-8.7092610000000001E-2</v>
      </c>
      <c r="Z7555" s="1">
        <v>5.7145170000000001E-5</v>
      </c>
      <c r="AA7555">
        <v>0.99620019999999998</v>
      </c>
      <c r="AB7555">
        <v>17</v>
      </c>
      <c r="AC7555">
        <v>-2.9789119999999998</v>
      </c>
      <c r="AD7555">
        <v>-1.225889E-2</v>
      </c>
      <c r="AE7555">
        <v>-0.4344635</v>
      </c>
      <c r="AF7555">
        <v>-0.26218242979119599</v>
      </c>
      <c r="AG7555">
        <v>-1.225889E-2</v>
      </c>
      <c r="AH7555">
        <v>2.9989389885078999</v>
      </c>
      <c r="AI7555">
        <v>90.233319143162007</v>
      </c>
      <c r="AJ7555">
        <v>94.996383614890902</v>
      </c>
      <c r="AK7555">
        <v>3.0104027909347999</v>
      </c>
      <c r="AL7555">
        <v>85.950882444805998</v>
      </c>
      <c r="AM7555">
        <v>98.3379840987904</v>
      </c>
      <c r="AN7555">
        <v>0.99999996011553605</v>
      </c>
    </row>
    <row r="7556" spans="1:40" x14ac:dyDescent="0.25">
      <c r="A7556" t="str">
        <f>"20190312150839877"</f>
        <v>20190312150839877</v>
      </c>
      <c r="B7556" t="str">
        <f>"1552374519867056"</f>
        <v>1552374519867056</v>
      </c>
      <c r="C7556" t="s">
        <v>40</v>
      </c>
      <c r="D7556">
        <v>4.0608639999999996</v>
      </c>
      <c r="E7556">
        <v>0.52252860000000001</v>
      </c>
      <c r="F7556" t="s">
        <v>48</v>
      </c>
      <c r="G7556">
        <v>0</v>
      </c>
      <c r="H7556">
        <v>0</v>
      </c>
      <c r="I7556">
        <v>0</v>
      </c>
      <c r="J7556">
        <v>-378.97739999999999</v>
      </c>
      <c r="K7556">
        <v>1.1118509999999999</v>
      </c>
      <c r="L7556">
        <v>139.97139999999999</v>
      </c>
      <c r="M7556">
        <v>-0.99816389999999999</v>
      </c>
      <c r="N7556">
        <v>0</v>
      </c>
      <c r="O7556">
        <v>-5.8954260000000001E-2</v>
      </c>
      <c r="P7556">
        <v>-0.97758319999999999</v>
      </c>
      <c r="Q7556">
        <v>5.7065589999999999E-2</v>
      </c>
      <c r="R7556">
        <v>-0.20266960000000001</v>
      </c>
      <c r="S7556">
        <v>-2.9786069999999998</v>
      </c>
      <c r="T7556">
        <v>-1.5028720000000001E-2</v>
      </c>
      <c r="U7556">
        <v>-0.43811040000000001</v>
      </c>
      <c r="V7556">
        <v>-0.14485680000000001</v>
      </c>
      <c r="W7556">
        <v>7.0430870000000007E-2</v>
      </c>
      <c r="X7556">
        <v>0.98694280000000001</v>
      </c>
      <c r="Y7556">
        <v>-8.6934129999999998E-2</v>
      </c>
      <c r="Z7556" s="1">
        <v>7.7304309999999998E-5</v>
      </c>
      <c r="AA7556">
        <v>0.99621400000000004</v>
      </c>
      <c r="AB7556">
        <v>17</v>
      </c>
      <c r="AC7556">
        <v>-2.9786069999999998</v>
      </c>
      <c r="AD7556">
        <v>-1.5028720000000001E-2</v>
      </c>
      <c r="AE7556">
        <v>-0.43811040000000001</v>
      </c>
      <c r="AF7556">
        <v>-0.26172317967268299</v>
      </c>
      <c r="AG7556">
        <v>-1.5028720000000001E-2</v>
      </c>
      <c r="AH7556">
        <v>2.99918149705772</v>
      </c>
      <c r="AI7556">
        <v>90.286016392142599</v>
      </c>
      <c r="AJ7556">
        <v>94.987274657589296</v>
      </c>
      <c r="AK7556">
        <v>3.01061696957554</v>
      </c>
      <c r="AL7556">
        <v>85.9612648500906</v>
      </c>
      <c r="AM7556">
        <v>98.3498695385953</v>
      </c>
      <c r="AN7556">
        <v>1.00000004521351</v>
      </c>
    </row>
    <row r="7557" spans="1:40" x14ac:dyDescent="0.25">
      <c r="A7557" t="str">
        <f>"20190312150839893"</f>
        <v>20190312150839893</v>
      </c>
      <c r="B7557" t="str">
        <f>"1552374519887555"</f>
        <v>1552374519887555</v>
      </c>
      <c r="C7557" t="s">
        <v>40</v>
      </c>
      <c r="D7557">
        <v>4.0766549999999997</v>
      </c>
      <c r="E7557">
        <v>0.52274390000000004</v>
      </c>
      <c r="F7557" t="s">
        <v>48</v>
      </c>
      <c r="G7557">
        <v>0</v>
      </c>
      <c r="H7557">
        <v>0</v>
      </c>
      <c r="I7557">
        <v>0</v>
      </c>
      <c r="J7557">
        <v>-379.08580000000001</v>
      </c>
      <c r="K7557">
        <v>1.1118380000000001</v>
      </c>
      <c r="L7557">
        <v>139.9632</v>
      </c>
      <c r="M7557">
        <v>-0.99807780000000001</v>
      </c>
      <c r="N7557">
        <v>0</v>
      </c>
      <c r="O7557">
        <v>-6.0407089999999997E-2</v>
      </c>
      <c r="P7557">
        <v>-0.9771628</v>
      </c>
      <c r="Q7557">
        <v>5.691968E-2</v>
      </c>
      <c r="R7557">
        <v>-0.20472760000000001</v>
      </c>
      <c r="S7557">
        <v>-2.9781490000000002</v>
      </c>
      <c r="T7557">
        <v>-1.7623779999999999E-2</v>
      </c>
      <c r="U7557">
        <v>-0.44224550000000001</v>
      </c>
      <c r="V7557">
        <v>-0.14549699999999999</v>
      </c>
      <c r="W7557">
        <v>7.0228250000000006E-2</v>
      </c>
      <c r="X7557">
        <v>0.98686300000000005</v>
      </c>
      <c r="Y7557">
        <v>-8.6859729999999996E-2</v>
      </c>
      <c r="Z7557" s="1">
        <v>9.9393339999999999E-5</v>
      </c>
      <c r="AA7557">
        <v>0.99622049999999995</v>
      </c>
      <c r="AB7557">
        <v>17</v>
      </c>
      <c r="AC7557">
        <v>-2.9781490000000002</v>
      </c>
      <c r="AD7557">
        <v>-1.7623779999999999E-2</v>
      </c>
      <c r="AE7557">
        <v>-0.44224550000000001</v>
      </c>
      <c r="AF7557">
        <v>-0.26151020707670403</v>
      </c>
      <c r="AG7557">
        <v>-1.7623779999999999E-2</v>
      </c>
      <c r="AH7557">
        <v>2.9993238899371999</v>
      </c>
      <c r="AI7557">
        <v>90.335389025379001</v>
      </c>
      <c r="AJ7557">
        <v>94.983001406563702</v>
      </c>
      <c r="AK7557">
        <v>3.0107543876534999</v>
      </c>
      <c r="AL7557">
        <v>85.972902685317806</v>
      </c>
      <c r="AM7557">
        <v>98.386916910752902</v>
      </c>
      <c r="AN7557">
        <v>0.99999998243803101</v>
      </c>
    </row>
    <row r="7558" spans="1:40" x14ac:dyDescent="0.25">
      <c r="A7558" t="str">
        <f>"20190312150839908"</f>
        <v>20190312150839908</v>
      </c>
      <c r="B7558" t="str">
        <f>"1552374519897312"</f>
        <v>1552374519897312</v>
      </c>
      <c r="C7558" t="s">
        <v>40</v>
      </c>
      <c r="D7558">
        <v>4.0644080000000002</v>
      </c>
      <c r="E7558">
        <v>0.52282989999999996</v>
      </c>
      <c r="F7558" t="s">
        <v>43</v>
      </c>
      <c r="G7558">
        <v>-541.62729999999999</v>
      </c>
      <c r="H7558">
        <v>-0.05</v>
      </c>
      <c r="I7558">
        <v>115.5605</v>
      </c>
      <c r="J7558">
        <v>-379.197</v>
      </c>
      <c r="K7558">
        <v>1.1118189999999999</v>
      </c>
      <c r="L7558">
        <v>139.95480000000001</v>
      </c>
      <c r="M7558">
        <v>-0.99798759999999997</v>
      </c>
      <c r="N7558">
        <v>0</v>
      </c>
      <c r="O7558">
        <v>-6.1894869999999998E-2</v>
      </c>
      <c r="P7558">
        <v>-0.97677000000000003</v>
      </c>
      <c r="Q7558">
        <v>5.6855950000000002E-2</v>
      </c>
      <c r="R7558">
        <v>-0.20661170000000001</v>
      </c>
      <c r="S7558">
        <v>-2.977722</v>
      </c>
      <c r="T7558">
        <v>-2.1284580000000001E-2</v>
      </c>
      <c r="U7558">
        <v>-0.447052</v>
      </c>
      <c r="V7558">
        <v>-0.1459279</v>
      </c>
      <c r="W7558">
        <v>7.0099350000000005E-2</v>
      </c>
      <c r="X7558">
        <v>0.98680849999999998</v>
      </c>
      <c r="Y7558">
        <v>-8.6968299999999998E-2</v>
      </c>
      <c r="Z7558">
        <v>1.301873E-4</v>
      </c>
      <c r="AA7558">
        <v>0.99621110000000002</v>
      </c>
      <c r="AB7558">
        <v>17</v>
      </c>
      <c r="AC7558">
        <v>-162.43029999999999</v>
      </c>
      <c r="AD7558">
        <v>-1.1618189999999999</v>
      </c>
      <c r="AE7558">
        <v>-24.394300000000001</v>
      </c>
      <c r="AF7558">
        <v>-14.2922478147881</v>
      </c>
      <c r="AG7558">
        <v>-1.1618189999999999</v>
      </c>
      <c r="AH7558">
        <v>163.62064795983599</v>
      </c>
      <c r="AI7558">
        <v>90.405289366440698</v>
      </c>
      <c r="AJ7558">
        <v>94.992109934786697</v>
      </c>
      <c r="AK7558">
        <v>164.24778418531099</v>
      </c>
      <c r="AL7558">
        <v>85.980306200204495</v>
      </c>
      <c r="AM7558">
        <v>98.411858446754096</v>
      </c>
      <c r="AN7558">
        <v>0.99999994327053898</v>
      </c>
    </row>
    <row r="7559" spans="1:40" x14ac:dyDescent="0.25">
      <c r="A7559" t="str">
        <f>"20190312150839919"</f>
        <v>20190312150839919</v>
      </c>
      <c r="B7559" t="str">
        <f>"1552374519907072"</f>
        <v>1552374519907072</v>
      </c>
      <c r="C7559" t="s">
        <v>40</v>
      </c>
      <c r="D7559">
        <v>4.084797</v>
      </c>
      <c r="E7559">
        <v>0.52298750000000005</v>
      </c>
      <c r="F7559" t="s">
        <v>43</v>
      </c>
      <c r="G7559">
        <v>-531.30190000000005</v>
      </c>
      <c r="H7559">
        <v>-0.05</v>
      </c>
      <c r="I7559">
        <v>116.8531</v>
      </c>
      <c r="J7559">
        <v>-379.28739999999999</v>
      </c>
      <c r="K7559">
        <v>1.1117980000000001</v>
      </c>
      <c r="L7559">
        <v>139.9477</v>
      </c>
      <c r="M7559">
        <v>-0.99791260000000004</v>
      </c>
      <c r="N7559">
        <v>0</v>
      </c>
      <c r="O7559">
        <v>-6.3102889999999995E-2</v>
      </c>
      <c r="P7559">
        <v>-0.97644089999999995</v>
      </c>
      <c r="Q7559">
        <v>5.6833189999999999E-2</v>
      </c>
      <c r="R7559">
        <v>-0.20816560000000001</v>
      </c>
      <c r="S7559">
        <v>-2.97702</v>
      </c>
      <c r="T7559">
        <v>-2.2739289999999999E-2</v>
      </c>
      <c r="U7559">
        <v>-0.45214840000000001</v>
      </c>
      <c r="V7559">
        <v>-0.1463033</v>
      </c>
      <c r="W7559">
        <v>7.0014670000000001E-2</v>
      </c>
      <c r="X7559">
        <v>0.98675900000000005</v>
      </c>
      <c r="Y7559">
        <v>-8.7464199999999895E-2</v>
      </c>
      <c r="Z7559">
        <v>1.4635019999999999E-4</v>
      </c>
      <c r="AA7559">
        <v>0.99616769999999999</v>
      </c>
      <c r="AB7559">
        <v>17</v>
      </c>
      <c r="AC7559">
        <v>-152.0145</v>
      </c>
      <c r="AD7559">
        <v>-1.1617979999999899</v>
      </c>
      <c r="AE7559">
        <v>-23.0946</v>
      </c>
      <c r="AF7559">
        <v>-13.454337902780599</v>
      </c>
      <c r="AG7559">
        <v>-1.1617979999999899</v>
      </c>
      <c r="AH7559">
        <v>153.16021099813</v>
      </c>
      <c r="AI7559">
        <v>90.432942083623701</v>
      </c>
      <c r="AJ7559">
        <v>95.020253128024194</v>
      </c>
      <c r="AK7559">
        <v>153.75441202120601</v>
      </c>
      <c r="AL7559">
        <v>85.985170253263107</v>
      </c>
      <c r="AM7559">
        <v>98.433604149693295</v>
      </c>
      <c r="AN7559">
        <v>1.0000000168435399</v>
      </c>
    </row>
    <row r="7560" spans="1:40" x14ac:dyDescent="0.25">
      <c r="A7560" t="str">
        <f>"20190312150839937"</f>
        <v>20190312150839937</v>
      </c>
      <c r="B7560" t="str">
        <f>"1552374519927568"</f>
        <v>1552374519927568</v>
      </c>
      <c r="C7560" t="s">
        <v>40</v>
      </c>
      <c r="D7560">
        <v>4.0520860000000001</v>
      </c>
      <c r="E7560">
        <v>0.52331539999999999</v>
      </c>
      <c r="F7560" t="s">
        <v>43</v>
      </c>
      <c r="G7560">
        <v>-524.74940000000004</v>
      </c>
      <c r="H7560">
        <v>-0.05</v>
      </c>
      <c r="I7560">
        <v>117.67659999999999</v>
      </c>
      <c r="J7560">
        <v>-379.41989999999998</v>
      </c>
      <c r="K7560">
        <v>1.111761</v>
      </c>
      <c r="L7560">
        <v>139.93719999999999</v>
      </c>
      <c r="M7560">
        <v>-0.9978011</v>
      </c>
      <c r="N7560">
        <v>0</v>
      </c>
      <c r="O7560">
        <v>-6.4865770000000003E-2</v>
      </c>
      <c r="P7560">
        <v>-0.975881</v>
      </c>
      <c r="Q7560">
        <v>5.6597769999999999E-2</v>
      </c>
      <c r="R7560">
        <v>-0.21083979999999999</v>
      </c>
      <c r="S7560">
        <v>-2.9765929999999998</v>
      </c>
      <c r="T7560">
        <v>-2.3773909999999999E-2</v>
      </c>
      <c r="U7560">
        <v>-0.45573429999999998</v>
      </c>
      <c r="V7560">
        <v>-0.14726049999999999</v>
      </c>
      <c r="W7560">
        <v>6.9677900000000001E-2</v>
      </c>
      <c r="X7560">
        <v>0.98664050000000003</v>
      </c>
      <c r="Y7560">
        <v>-8.6898439999999993E-2</v>
      </c>
      <c r="Z7560">
        <v>1.6920139999999901E-4</v>
      </c>
      <c r="AA7560">
        <v>0.99621720000000002</v>
      </c>
      <c r="AB7560">
        <v>17</v>
      </c>
      <c r="AC7560">
        <v>-145.3295</v>
      </c>
      <c r="AD7560">
        <v>-1.161761</v>
      </c>
      <c r="AE7560">
        <v>-22.2606</v>
      </c>
      <c r="AF7560">
        <v>-12.785128247240999</v>
      </c>
      <c r="AG7560">
        <v>-1.161761</v>
      </c>
      <c r="AH7560">
        <v>146.458319169199</v>
      </c>
      <c r="AI7560">
        <v>90.452759788209093</v>
      </c>
      <c r="AJ7560">
        <v>94.989007130825101</v>
      </c>
      <c r="AK7560">
        <v>147.01989133034499</v>
      </c>
      <c r="AL7560">
        <v>86.004513206620601</v>
      </c>
      <c r="AM7560">
        <v>98.488985001359197</v>
      </c>
      <c r="AN7560">
        <v>1.00000007042445</v>
      </c>
    </row>
    <row r="7561" spans="1:40" x14ac:dyDescent="0.25">
      <c r="A7561" t="str">
        <f>"20190312150839951"</f>
        <v>20190312150839951</v>
      </c>
      <c r="B7561" t="str">
        <f>"1552374519947088"</f>
        <v>1552374519947088</v>
      </c>
      <c r="C7561" t="s">
        <v>40</v>
      </c>
      <c r="D7561">
        <v>4.0558709999999998</v>
      </c>
      <c r="E7561">
        <v>0.52364619999999995</v>
      </c>
      <c r="F7561" t="s">
        <v>43</v>
      </c>
      <c r="G7561">
        <v>-515.65639999999996</v>
      </c>
      <c r="H7561">
        <v>-0.05</v>
      </c>
      <c r="I7561">
        <v>118.821</v>
      </c>
      <c r="J7561">
        <v>-379.52870000000001</v>
      </c>
      <c r="K7561">
        <v>1.1117330000000001</v>
      </c>
      <c r="L7561">
        <v>139.92840000000001</v>
      </c>
      <c r="M7561">
        <v>-0.99770780000000003</v>
      </c>
      <c r="N7561">
        <v>0</v>
      </c>
      <c r="O7561">
        <v>-6.6303890000000004E-2</v>
      </c>
      <c r="P7561">
        <v>-0.97549110000000006</v>
      </c>
      <c r="Q7561">
        <v>5.6218850000000001E-2</v>
      </c>
      <c r="R7561">
        <v>-0.21273539999999999</v>
      </c>
      <c r="S7561">
        <v>-2.9759220000000002</v>
      </c>
      <c r="T7561">
        <v>-2.537727E-2</v>
      </c>
      <c r="U7561">
        <v>-0.4612579</v>
      </c>
      <c r="V7561">
        <v>-0.1477513</v>
      </c>
      <c r="W7561">
        <v>6.9210759999999996E-2</v>
      </c>
      <c r="X7561">
        <v>0.98659989999999997</v>
      </c>
      <c r="Y7561">
        <v>-8.7302370000000004E-2</v>
      </c>
      <c r="Z7561">
        <v>1.910475E-4</v>
      </c>
      <c r="AA7561">
        <v>0.99618180000000001</v>
      </c>
      <c r="AB7561">
        <v>17</v>
      </c>
      <c r="AC7561">
        <v>-136.12769999999901</v>
      </c>
      <c r="AD7561">
        <v>-1.1617329999999999</v>
      </c>
      <c r="AE7561">
        <v>-21.107399999999998</v>
      </c>
      <c r="AF7561">
        <v>-12.033466560910201</v>
      </c>
      <c r="AG7561">
        <v>-1.1617329999999999</v>
      </c>
      <c r="AH7561">
        <v>137.21796444119701</v>
      </c>
      <c r="AI7561">
        <v>90.483219095079903</v>
      </c>
      <c r="AJ7561">
        <v>95.011789034136797</v>
      </c>
      <c r="AK7561">
        <v>137.74949621113501</v>
      </c>
      <c r="AL7561">
        <v>86.031342725540398</v>
      </c>
      <c r="AM7561">
        <v>98.517208760253595</v>
      </c>
      <c r="AN7561">
        <v>0.99999996931573798</v>
      </c>
    </row>
    <row r="7562" spans="1:40" x14ac:dyDescent="0.25">
      <c r="A7562" t="str">
        <f>"20190312150839964"</f>
        <v>20190312150839964</v>
      </c>
      <c r="B7562" t="str">
        <f>"1552374519957825"</f>
        <v>1552374519957825</v>
      </c>
      <c r="C7562" t="s">
        <v>40</v>
      </c>
      <c r="D7562">
        <v>4.0406719999999998</v>
      </c>
      <c r="E7562">
        <v>0.52376440000000002</v>
      </c>
      <c r="F7562" t="s">
        <v>43</v>
      </c>
      <c r="G7562">
        <v>-507.19080000000002</v>
      </c>
      <c r="H7562">
        <v>-0.05</v>
      </c>
      <c r="I7562">
        <v>119.9965</v>
      </c>
      <c r="J7562">
        <v>-379.62430000000001</v>
      </c>
      <c r="K7562">
        <v>1.111704</v>
      </c>
      <c r="L7562">
        <v>139.92060000000001</v>
      </c>
      <c r="M7562">
        <v>-0.99762439999999997</v>
      </c>
      <c r="N7562">
        <v>0</v>
      </c>
      <c r="O7562">
        <v>-6.7564440000000003E-2</v>
      </c>
      <c r="P7562">
        <v>-0.97517140000000002</v>
      </c>
      <c r="Q7562">
        <v>5.6054739999999999E-2</v>
      </c>
      <c r="R7562">
        <v>-0.21423980000000001</v>
      </c>
      <c r="S7562">
        <v>-2.975616</v>
      </c>
      <c r="T7562">
        <v>-2.7078270000000002E-2</v>
      </c>
      <c r="U7562">
        <v>-0.46458440000000001</v>
      </c>
      <c r="V7562">
        <v>-0.1480234</v>
      </c>
      <c r="W7562">
        <v>6.8967689999999998E-2</v>
      </c>
      <c r="X7562">
        <v>0.98657620000000001</v>
      </c>
      <c r="Y7562">
        <v>-8.7146489999999993E-2</v>
      </c>
      <c r="Z7562">
        <v>2.1590880000000001E-4</v>
      </c>
      <c r="AA7562">
        <v>0.99619550000000001</v>
      </c>
      <c r="AB7562">
        <v>17</v>
      </c>
      <c r="AC7562">
        <v>-127.5665</v>
      </c>
      <c r="AD7562">
        <v>-1.1617040000000001</v>
      </c>
      <c r="AE7562">
        <v>-19.924099999999999</v>
      </c>
      <c r="AF7562">
        <v>-11.257914508325699</v>
      </c>
      <c r="AG7562">
        <v>-1.1617040000000001</v>
      </c>
      <c r="AH7562">
        <v>128.61081703863701</v>
      </c>
      <c r="AI7562">
        <v>90.515550707201498</v>
      </c>
      <c r="AJ7562">
        <v>95.002619957680096</v>
      </c>
      <c r="AK7562">
        <v>129.10783266171799</v>
      </c>
      <c r="AL7562">
        <v>86.045303224805494</v>
      </c>
      <c r="AM7562">
        <v>98.532865399373506</v>
      </c>
      <c r="AN7562">
        <v>1.0000000338089601</v>
      </c>
    </row>
    <row r="7563" spans="1:40" x14ac:dyDescent="0.25">
      <c r="A7563" t="str">
        <f>"20190312150839982"</f>
        <v>20190312150839982</v>
      </c>
      <c r="B7563" t="str">
        <f>"1552374519977344"</f>
        <v>1552374519977344</v>
      </c>
      <c r="C7563" t="s">
        <v>40</v>
      </c>
      <c r="D7563">
        <v>4.0823299999999998</v>
      </c>
      <c r="E7563">
        <v>0.52409209999999995</v>
      </c>
      <c r="F7563" t="s">
        <v>43</v>
      </c>
      <c r="G7563">
        <v>-502.22149999999999</v>
      </c>
      <c r="H7563">
        <v>-0.05</v>
      </c>
      <c r="I7563">
        <v>120.6237</v>
      </c>
      <c r="J7563">
        <v>-379.75749999999999</v>
      </c>
      <c r="K7563">
        <v>1.1116600000000001</v>
      </c>
      <c r="L7563">
        <v>139.90950000000001</v>
      </c>
      <c r="M7563">
        <v>-0.99750689999999997</v>
      </c>
      <c r="N7563">
        <v>0</v>
      </c>
      <c r="O7563">
        <v>-6.9301979999999999E-2</v>
      </c>
      <c r="P7563">
        <v>-0.97471589999999997</v>
      </c>
      <c r="Q7563">
        <v>5.5615339999999999E-2</v>
      </c>
      <c r="R7563">
        <v>-0.21641659999999999</v>
      </c>
      <c r="S7563">
        <v>-2.9751590000000001</v>
      </c>
      <c r="T7563">
        <v>-2.8191919999999999E-2</v>
      </c>
      <c r="U7563">
        <v>-0.46829219999999999</v>
      </c>
      <c r="V7563">
        <v>-0.1485023</v>
      </c>
      <c r="W7563">
        <v>6.8413970000000005E-2</v>
      </c>
      <c r="X7563">
        <v>0.98654280000000005</v>
      </c>
      <c r="Y7563">
        <v>-8.6646600000000004E-2</v>
      </c>
      <c r="Z7563">
        <v>2.4343920000000001E-4</v>
      </c>
      <c r="AA7563">
        <v>0.99623910000000004</v>
      </c>
      <c r="AB7563">
        <v>17</v>
      </c>
      <c r="AC7563">
        <v>-122.464</v>
      </c>
      <c r="AD7563">
        <v>-1.1616599999999999</v>
      </c>
      <c r="AE7563">
        <v>-19.285799999999998</v>
      </c>
      <c r="AF7563">
        <v>-10.7507297112867</v>
      </c>
      <c r="AG7563">
        <v>-1.1616599999999999</v>
      </c>
      <c r="AH7563">
        <v>123.49533042109</v>
      </c>
      <c r="AI7563">
        <v>90.536906924139203</v>
      </c>
      <c r="AJ7563">
        <v>94.975268764613503</v>
      </c>
      <c r="AK7563">
        <v>123.96783566350901</v>
      </c>
      <c r="AL7563">
        <v>86.077104221970501</v>
      </c>
      <c r="AM7563">
        <v>98.560348962635203</v>
      </c>
      <c r="AN7563">
        <v>1.00000005031414</v>
      </c>
    </row>
    <row r="7564" spans="1:40" x14ac:dyDescent="0.25">
      <c r="A7564" t="str">
        <f>"20190312150840005"</f>
        <v>20190312150840005</v>
      </c>
      <c r="B7564" t="str">
        <f>"1552374519997840"</f>
        <v>1552374519997840</v>
      </c>
      <c r="C7564" t="s">
        <v>40</v>
      </c>
      <c r="D7564">
        <v>4.0639370000000001</v>
      </c>
      <c r="E7564">
        <v>0.52445439999999999</v>
      </c>
      <c r="F7564" t="s">
        <v>43</v>
      </c>
      <c r="G7564">
        <v>-496.4744</v>
      </c>
      <c r="H7564">
        <v>-0.05</v>
      </c>
      <c r="I7564">
        <v>121.37869999999999</v>
      </c>
      <c r="J7564">
        <v>-379.92630000000003</v>
      </c>
      <c r="K7564">
        <v>1.1116060000000001</v>
      </c>
      <c r="L7564">
        <v>139.89519999999999</v>
      </c>
      <c r="M7564">
        <v>-0.99735549999999995</v>
      </c>
      <c r="N7564">
        <v>0</v>
      </c>
      <c r="O7564">
        <v>-7.1477120000000005E-2</v>
      </c>
      <c r="P7564">
        <v>-0.97425850000000003</v>
      </c>
      <c r="Q7564">
        <v>5.5378129999999998E-2</v>
      </c>
      <c r="R7564">
        <v>-0.21852650000000001</v>
      </c>
      <c r="S7564">
        <v>-2.97464</v>
      </c>
      <c r="T7564">
        <v>-2.960598E-2</v>
      </c>
      <c r="U7564">
        <v>-0.47227479999999999</v>
      </c>
      <c r="V7564">
        <v>-0.1484808</v>
      </c>
      <c r="W7564">
        <v>6.803244E-2</v>
      </c>
      <c r="X7564">
        <v>0.98657240000000002</v>
      </c>
      <c r="Y7564">
        <v>-8.5802210000000004E-2</v>
      </c>
      <c r="Z7564">
        <v>2.8124889999999998E-4</v>
      </c>
      <c r="AA7564">
        <v>0.99631210000000003</v>
      </c>
      <c r="AB7564">
        <v>17</v>
      </c>
      <c r="AC7564">
        <v>-116.548099999999</v>
      </c>
      <c r="AD7564">
        <v>-1.1616059999999999</v>
      </c>
      <c r="AE7564">
        <v>-18.516499999999901</v>
      </c>
      <c r="AF7564">
        <v>-10.136905523011199</v>
      </c>
      <c r="AG7564">
        <v>-1.1616059999999999</v>
      </c>
      <c r="AH7564">
        <v>117.56217617686301</v>
      </c>
      <c r="AI7564">
        <v>90.564015885962405</v>
      </c>
      <c r="AJ7564">
        <v>94.928191251911201</v>
      </c>
      <c r="AK7564">
        <v>118.004116239737</v>
      </c>
      <c r="AL7564">
        <v>86.099015254002595</v>
      </c>
      <c r="AM7564">
        <v>98.558874967014404</v>
      </c>
      <c r="AN7564">
        <v>1.0000000306513701</v>
      </c>
    </row>
    <row r="7565" spans="1:40" x14ac:dyDescent="0.25">
      <c r="A7565" t="str">
        <f>"20190312150840027"</f>
        <v>20190312150840027</v>
      </c>
      <c r="B7565" t="str">
        <f>"1552374520017359"</f>
        <v>1552374520017359</v>
      </c>
      <c r="C7565" t="s">
        <v>40</v>
      </c>
      <c r="D7565">
        <v>4.3297290000000004</v>
      </c>
      <c r="E7565">
        <v>0.52463289999999996</v>
      </c>
      <c r="F7565" t="s">
        <v>43</v>
      </c>
      <c r="G7565">
        <v>-493.86290000000002</v>
      </c>
      <c r="H7565">
        <v>-0.05</v>
      </c>
      <c r="I7565">
        <v>121.6588</v>
      </c>
      <c r="J7565">
        <v>-380.09339999999997</v>
      </c>
      <c r="K7565">
        <v>1.1115649999999999</v>
      </c>
      <c r="L7565">
        <v>139.88059999999999</v>
      </c>
      <c r="M7565">
        <v>-0.99720390000000003</v>
      </c>
      <c r="N7565">
        <v>0</v>
      </c>
      <c r="O7565">
        <v>-7.3587609999999998E-2</v>
      </c>
      <c r="P7565">
        <v>-0.97383030000000004</v>
      </c>
      <c r="Q7565">
        <v>5.5754379999999999E-2</v>
      </c>
      <c r="R7565">
        <v>-0.22033159999999999</v>
      </c>
      <c r="S7565">
        <v>-2.9742130000000002</v>
      </c>
      <c r="T7565">
        <v>-3.0322669999999999E-2</v>
      </c>
      <c r="U7565">
        <v>-0.47604370000000001</v>
      </c>
      <c r="V7565">
        <v>-0.14821870000000001</v>
      </c>
      <c r="W7565">
        <v>6.8269819999999995E-2</v>
      </c>
      <c r="X7565">
        <v>0.98659540000000001</v>
      </c>
      <c r="Y7565">
        <v>-8.4947389999999998E-2</v>
      </c>
      <c r="Z7565">
        <v>3.1366780000000001E-4</v>
      </c>
      <c r="AA7565">
        <v>0.99638539999999998</v>
      </c>
      <c r="AB7565">
        <v>17</v>
      </c>
      <c r="AC7565">
        <v>-113.76949999999999</v>
      </c>
      <c r="AD7565">
        <v>-1.161565</v>
      </c>
      <c r="AE7565">
        <v>-18.221799999999899</v>
      </c>
      <c r="AF7565">
        <v>-9.7986578700356404</v>
      </c>
      <c r="AG7565">
        <v>-1.161565</v>
      </c>
      <c r="AH7565">
        <v>114.7903365892</v>
      </c>
      <c r="AI7565">
        <v>90.577656395193401</v>
      </c>
      <c r="AJ7565">
        <v>94.879017496040106</v>
      </c>
      <c r="AK7565">
        <v>115.213646342632</v>
      </c>
      <c r="AL7565">
        <v>86.085382634409299</v>
      </c>
      <c r="AM7565">
        <v>98.543793674162501</v>
      </c>
      <c r="AN7565">
        <v>1.00000001732684</v>
      </c>
    </row>
    <row r="7566" spans="1:40" x14ac:dyDescent="0.25">
      <c r="A7566" t="str">
        <f>"20190312150840048"</f>
        <v>20190312150840048</v>
      </c>
      <c r="B7566" t="str">
        <f>"1552374520037856"</f>
        <v>1552374520037856</v>
      </c>
      <c r="C7566" t="s">
        <v>40</v>
      </c>
      <c r="D7566">
        <v>4.1367799999999999</v>
      </c>
      <c r="E7566">
        <v>0.52469319999999997</v>
      </c>
      <c r="F7566" t="s">
        <v>43</v>
      </c>
      <c r="G7566">
        <v>-497.73250000000002</v>
      </c>
      <c r="H7566">
        <v>-0.05</v>
      </c>
      <c r="I7566">
        <v>120.88639999999999</v>
      </c>
      <c r="J7566">
        <v>-380.25560000000002</v>
      </c>
      <c r="K7566">
        <v>1.1115349999999999</v>
      </c>
      <c r="L7566">
        <v>139.86619999999999</v>
      </c>
      <c r="M7566">
        <v>-0.99705520000000003</v>
      </c>
      <c r="N7566">
        <v>0</v>
      </c>
      <c r="O7566">
        <v>-7.5599970000000002E-2</v>
      </c>
      <c r="P7566">
        <v>-0.97335150000000004</v>
      </c>
      <c r="Q7566">
        <v>5.6399690000000002E-2</v>
      </c>
      <c r="R7566">
        <v>-0.22227430000000001</v>
      </c>
      <c r="S7566">
        <v>-2.9736630000000002</v>
      </c>
      <c r="T7566">
        <v>-2.936184E-2</v>
      </c>
      <c r="U7566">
        <v>-0.48013309999999998</v>
      </c>
      <c r="V7566">
        <v>-0.14819740000000001</v>
      </c>
      <c r="W7566">
        <v>6.8786929999999996E-2</v>
      </c>
      <c r="X7566">
        <v>0.98656270000000001</v>
      </c>
      <c r="Y7566">
        <v>-8.4301219999999996E-2</v>
      </c>
      <c r="Z7566">
        <v>3.2655379999999999E-4</v>
      </c>
      <c r="AA7566">
        <v>0.99644029999999995</v>
      </c>
      <c r="AB7566">
        <v>17</v>
      </c>
      <c r="AC7566">
        <v>-117.4769</v>
      </c>
      <c r="AD7566">
        <v>-1.161535</v>
      </c>
      <c r="AE7566">
        <v>-18.979800000000001</v>
      </c>
      <c r="AF7566">
        <v>-10.042532887105599</v>
      </c>
      <c r="AG7566">
        <v>-1.161535</v>
      </c>
      <c r="AH7566">
        <v>118.564347226794</v>
      </c>
      <c r="AI7566">
        <v>90.559286982376605</v>
      </c>
      <c r="AJ7566">
        <v>94.841460710366107</v>
      </c>
      <c r="AK7566">
        <v>118.994563168493</v>
      </c>
      <c r="AL7566">
        <v>86.055684672983503</v>
      </c>
      <c r="AM7566">
        <v>98.542862960666397</v>
      </c>
      <c r="AN7566">
        <v>1.00000003606843</v>
      </c>
    </row>
    <row r="7567" spans="1:40" x14ac:dyDescent="0.25">
      <c r="A7567" t="str">
        <f>"20190312150840072"</f>
        <v>20190312150840072</v>
      </c>
      <c r="B7567" t="str">
        <f>"1552374520067138"</f>
        <v>1552374520067138</v>
      </c>
      <c r="C7567" t="s">
        <v>40</v>
      </c>
      <c r="D7567">
        <v>4.1800160000000002</v>
      </c>
      <c r="E7567">
        <v>0.50454299999999996</v>
      </c>
      <c r="F7567" t="s">
        <v>43</v>
      </c>
      <c r="G7567">
        <v>-501.02030000000002</v>
      </c>
      <c r="H7567">
        <v>-0.05</v>
      </c>
      <c r="I7567">
        <v>120.1371</v>
      </c>
      <c r="J7567">
        <v>-380.4282</v>
      </c>
      <c r="K7567">
        <v>1.1115109999999999</v>
      </c>
      <c r="L7567">
        <v>139.85059999999999</v>
      </c>
      <c r="M7567">
        <v>-0.99689539999999999</v>
      </c>
      <c r="N7567">
        <v>0</v>
      </c>
      <c r="O7567">
        <v>-7.7699820000000003E-2</v>
      </c>
      <c r="P7567">
        <v>-0.97276229999999997</v>
      </c>
      <c r="Q7567">
        <v>5.7022160000000002E-2</v>
      </c>
      <c r="R7567">
        <v>-0.2246822</v>
      </c>
      <c r="S7567">
        <v>-2.9728699999999999</v>
      </c>
      <c r="T7567">
        <v>-2.8593540000000001E-2</v>
      </c>
      <c r="U7567">
        <v>-0.48567199999999999</v>
      </c>
      <c r="V7567">
        <v>-0.14856159999999999</v>
      </c>
      <c r="W7567">
        <v>6.9283549999999999E-2</v>
      </c>
      <c r="X7567">
        <v>0.98647309999999999</v>
      </c>
      <c r="Y7567">
        <v>-8.4053420000000004E-2</v>
      </c>
      <c r="Z7567">
        <v>3.3917430000000002E-4</v>
      </c>
      <c r="AA7567">
        <v>0.99646120000000005</v>
      </c>
      <c r="AB7567">
        <v>17</v>
      </c>
      <c r="AC7567">
        <v>-120.5921</v>
      </c>
      <c r="AD7567">
        <v>-1.161511</v>
      </c>
      <c r="AE7567">
        <v>-19.7134999999999</v>
      </c>
      <c r="AF7567">
        <v>-10.2822184558429</v>
      </c>
      <c r="AG7567">
        <v>-1.161511</v>
      </c>
      <c r="AH7567">
        <v>121.748325648999</v>
      </c>
      <c r="AI7567">
        <v>90.544661344589301</v>
      </c>
      <c r="AJ7567">
        <v>94.827442284564995</v>
      </c>
      <c r="AK7567">
        <v>122.18726579521901</v>
      </c>
      <c r="AL7567">
        <v>86.027162125644594</v>
      </c>
      <c r="AM7567">
        <v>98.564312715405194</v>
      </c>
      <c r="AN7567">
        <v>0.99999996815938497</v>
      </c>
    </row>
    <row r="7568" spans="1:40" x14ac:dyDescent="0.25">
      <c r="A7568" t="str">
        <f>"20190312150840085"</f>
        <v>20190312150840085</v>
      </c>
      <c r="B7568" t="str">
        <f>"1552374520077872"</f>
        <v>1552374520077872</v>
      </c>
      <c r="C7568" t="s">
        <v>40</v>
      </c>
      <c r="D7568">
        <v>4.102582</v>
      </c>
      <c r="E7568">
        <v>0.49501849999999997</v>
      </c>
      <c r="F7568" t="s">
        <v>77</v>
      </c>
      <c r="G7568">
        <v>-409.33519999999999</v>
      </c>
      <c r="H7568" s="1">
        <v>-7.578074E-6</v>
      </c>
      <c r="I7568">
        <v>133.4127</v>
      </c>
      <c r="J7568">
        <v>-380.53359999999998</v>
      </c>
      <c r="K7568">
        <v>1.111497</v>
      </c>
      <c r="L7568">
        <v>139.8409</v>
      </c>
      <c r="M7568">
        <v>-0.99679700000000004</v>
      </c>
      <c r="N7568">
        <v>0</v>
      </c>
      <c r="O7568">
        <v>-7.8964729999999997E-2</v>
      </c>
      <c r="P7568">
        <v>-0.97233939999999996</v>
      </c>
      <c r="Q7568">
        <v>5.7722389999999998E-2</v>
      </c>
      <c r="R7568">
        <v>-0.22632859999999999</v>
      </c>
      <c r="S7568">
        <v>-2.9394529999999999</v>
      </c>
      <c r="T7568">
        <v>-0.1130263</v>
      </c>
      <c r="U7568">
        <v>-0.6546478</v>
      </c>
      <c r="V7568">
        <v>-0.14898310000000001</v>
      </c>
      <c r="W7568">
        <v>6.991145E-2</v>
      </c>
      <c r="X7568">
        <v>0.9863653</v>
      </c>
      <c r="Y7568">
        <v>-0.1395808</v>
      </c>
      <c r="Z7568">
        <v>3.3978470000000001E-4</v>
      </c>
      <c r="AA7568">
        <v>0.99021060000000005</v>
      </c>
      <c r="AB7568">
        <v>17</v>
      </c>
      <c r="AC7568">
        <v>-28.801600000000001</v>
      </c>
      <c r="AD7568">
        <v>-1.111504578074</v>
      </c>
      <c r="AE7568">
        <v>-6.4282000000000004</v>
      </c>
      <c r="AF7568">
        <v>-4.1277753622214597</v>
      </c>
      <c r="AG7568">
        <v>-1.111504578074</v>
      </c>
      <c r="AH7568">
        <v>29.177898340720599</v>
      </c>
      <c r="AI7568">
        <v>92.160086205301397</v>
      </c>
      <c r="AJ7568">
        <v>98.052157199250004</v>
      </c>
      <c r="AK7568">
        <v>29.489383232774902</v>
      </c>
      <c r="AL7568">
        <v>85.991098943989797</v>
      </c>
      <c r="AM7568">
        <v>98.589174225549101</v>
      </c>
      <c r="AN7568">
        <v>1.0000000399854001</v>
      </c>
    </row>
    <row r="7569" spans="1:40" x14ac:dyDescent="0.25">
      <c r="A7569" t="str">
        <f>"20190312150840105"</f>
        <v>20190312150840105</v>
      </c>
      <c r="B7569" t="str">
        <f>"1552374520097392"</f>
        <v>1552374520097392</v>
      </c>
      <c r="C7569" t="s">
        <v>40</v>
      </c>
      <c r="D7569">
        <v>4.1801360000000001</v>
      </c>
      <c r="E7569">
        <v>0.48217470000000001</v>
      </c>
      <c r="F7569" t="s">
        <v>77</v>
      </c>
      <c r="G7569">
        <v>-407.22890000000001</v>
      </c>
      <c r="H7569" s="1">
        <v>-6.0855119999999999E-6</v>
      </c>
      <c r="I7569">
        <v>133.13040000000001</v>
      </c>
      <c r="J7569">
        <v>-380.67720000000003</v>
      </c>
      <c r="K7569">
        <v>1.111486</v>
      </c>
      <c r="L7569">
        <v>139.82749999999999</v>
      </c>
      <c r="M7569">
        <v>-0.9966623</v>
      </c>
      <c r="N7569">
        <v>0</v>
      </c>
      <c r="O7569">
        <v>-8.0661350000000007E-2</v>
      </c>
      <c r="P7569">
        <v>-0.97172340000000001</v>
      </c>
      <c r="Q7569">
        <v>5.8437269999999999E-2</v>
      </c>
      <c r="R7569">
        <v>-0.22877690000000001</v>
      </c>
      <c r="S7569">
        <v>-2.9216310000000001</v>
      </c>
      <c r="T7569">
        <v>-0.12164659999999999</v>
      </c>
      <c r="U7569">
        <v>-0.73442079999999998</v>
      </c>
      <c r="V7569">
        <v>-0.14979189999999901</v>
      </c>
      <c r="W7569">
        <v>7.0535979999999998E-2</v>
      </c>
      <c r="X7569">
        <v>0.98619829999999997</v>
      </c>
      <c r="Y7569">
        <v>-0.16469259999999999</v>
      </c>
      <c r="Z7569" s="1">
        <v>-7.9696999999999898E-5</v>
      </c>
      <c r="AA7569">
        <v>0.98634489999999997</v>
      </c>
      <c r="AB7569">
        <v>17</v>
      </c>
      <c r="AC7569">
        <v>-26.551699999999901</v>
      </c>
      <c r="AD7569">
        <v>-1.1114920855120001</v>
      </c>
      <c r="AE7569">
        <v>-6.6970999999999696</v>
      </c>
      <c r="AF7569">
        <v>-4.5259525012688702</v>
      </c>
      <c r="AG7569">
        <v>-1.1114920855120001</v>
      </c>
      <c r="AH7569">
        <v>26.960989203399102</v>
      </c>
      <c r="AI7569">
        <v>92.328195167668895</v>
      </c>
      <c r="AJ7569">
        <v>99.529414847342494</v>
      </c>
      <c r="AK7569">
        <v>27.360822347394901</v>
      </c>
      <c r="AL7569">
        <v>85.955227342588501</v>
      </c>
      <c r="AM7569">
        <v>98.636542335164904</v>
      </c>
      <c r="AN7569">
        <v>1.00000001235153</v>
      </c>
    </row>
    <row r="7570" spans="1:40" x14ac:dyDescent="0.25">
      <c r="A7570" t="str">
        <f>"20190312150840119"</f>
        <v>20190312150840119</v>
      </c>
      <c r="B7570" t="str">
        <f>"1552374520107152"</f>
        <v>1552374520107152</v>
      </c>
      <c r="C7570" t="s">
        <v>40</v>
      </c>
      <c r="D7570">
        <v>4.1231859999999996</v>
      </c>
      <c r="E7570">
        <v>0.4788348</v>
      </c>
      <c r="F7570" t="s">
        <v>77</v>
      </c>
      <c r="G7570">
        <v>-403.70359999999999</v>
      </c>
      <c r="H7570" s="1">
        <v>-3.97998299999999E-6</v>
      </c>
      <c r="I7570">
        <v>133.1302</v>
      </c>
      <c r="J7570">
        <v>-380.7867</v>
      </c>
      <c r="K7570">
        <v>1.111472</v>
      </c>
      <c r="L7570">
        <v>139.81710000000001</v>
      </c>
      <c r="M7570">
        <v>-0.99655910000000003</v>
      </c>
      <c r="N7570">
        <v>0</v>
      </c>
      <c r="O7570">
        <v>-8.1934090000000001E-2</v>
      </c>
      <c r="P7570">
        <v>-0.97133320000000001</v>
      </c>
      <c r="Q7570">
        <v>5.9055669999999998E-2</v>
      </c>
      <c r="R7570">
        <v>-0.23027</v>
      </c>
      <c r="S7570">
        <v>-2.8973080000000002</v>
      </c>
      <c r="T7570">
        <v>-0.13985349999999999</v>
      </c>
      <c r="U7570">
        <v>-0.84269709999999998</v>
      </c>
      <c r="V7570">
        <v>-0.1500512</v>
      </c>
      <c r="W7570">
        <v>7.1094389999999993E-2</v>
      </c>
      <c r="X7570">
        <v>0.98611879999999996</v>
      </c>
      <c r="Y7570">
        <v>-0.19953699999999999</v>
      </c>
      <c r="Z7570">
        <v>-8.5712339999999905E-4</v>
      </c>
      <c r="AA7570">
        <v>0.97988989999999998</v>
      </c>
      <c r="AB7570">
        <v>17</v>
      </c>
      <c r="AC7570">
        <v>-22.916899999999998</v>
      </c>
      <c r="AD7570">
        <v>-1.1114759799830001</v>
      </c>
      <c r="AE7570">
        <v>-6.6868999999999996</v>
      </c>
      <c r="AF7570">
        <v>-4.7762373740031698</v>
      </c>
      <c r="AG7570">
        <v>-1.1114759799830001</v>
      </c>
      <c r="AH7570">
        <v>23.337175209350399</v>
      </c>
      <c r="AI7570">
        <v>92.6714639903457</v>
      </c>
      <c r="AJ7570">
        <v>101.566550466778</v>
      </c>
      <c r="AK7570">
        <v>23.846835619402899</v>
      </c>
      <c r="AL7570">
        <v>85.923152357814601</v>
      </c>
      <c r="AM7570">
        <v>98.651953671375395</v>
      </c>
      <c r="AN7570">
        <v>1.00000003131217</v>
      </c>
    </row>
    <row r="7571" spans="1:40" x14ac:dyDescent="0.25">
      <c r="A7571" t="str">
        <f>"20190312150840138"</f>
        <v>20190312150840138</v>
      </c>
      <c r="B7571" t="str">
        <f>"1552374520127784"</f>
        <v>1552374520127784</v>
      </c>
      <c r="C7571" t="s">
        <v>40</v>
      </c>
      <c r="D7571">
        <v>4.1109809999999998</v>
      </c>
      <c r="E7571">
        <v>0.47553529999999999</v>
      </c>
      <c r="F7571" t="s">
        <v>77</v>
      </c>
      <c r="G7571">
        <v>-402.97649999999999</v>
      </c>
      <c r="H7571" s="1">
        <v>-3.6179670000000001E-6</v>
      </c>
      <c r="I7571">
        <v>133.10910000000001</v>
      </c>
      <c r="J7571">
        <v>-380.92529999999999</v>
      </c>
      <c r="K7571">
        <v>1.1114580000000001</v>
      </c>
      <c r="L7571">
        <v>139.8038</v>
      </c>
      <c r="M7571">
        <v>-0.99642799999999998</v>
      </c>
      <c r="N7571">
        <v>0</v>
      </c>
      <c r="O7571">
        <v>-8.3525349999999998E-2</v>
      </c>
      <c r="P7571">
        <v>-0.9708002</v>
      </c>
      <c r="Q7571">
        <v>5.9504219999999997E-2</v>
      </c>
      <c r="R7571">
        <v>-0.23239299999999999</v>
      </c>
      <c r="S7571">
        <v>-2.890228</v>
      </c>
      <c r="T7571">
        <v>-0.14477039999999999</v>
      </c>
      <c r="U7571">
        <v>-0.87371829999999995</v>
      </c>
      <c r="V7571">
        <v>-0.15063399999999999</v>
      </c>
      <c r="W7571">
        <v>7.1472049999999995E-2</v>
      </c>
      <c r="X7571">
        <v>0.98600259999999995</v>
      </c>
      <c r="Y7571">
        <v>-0.20825569999999999</v>
      </c>
      <c r="Z7571">
        <v>-1.0246299999999999E-3</v>
      </c>
      <c r="AA7571">
        <v>0.97807390000000005</v>
      </c>
      <c r="AB7571">
        <v>17</v>
      </c>
      <c r="AC7571">
        <v>-22.051199999999898</v>
      </c>
      <c r="AD7571">
        <v>-1.111461617967</v>
      </c>
      <c r="AE7571">
        <v>-6.6946999999999797</v>
      </c>
      <c r="AF7571">
        <v>-4.8181184747478598</v>
      </c>
      <c r="AG7571">
        <v>-1.111461617967</v>
      </c>
      <c r="AH7571">
        <v>22.481060119603299</v>
      </c>
      <c r="AI7571">
        <v>92.767645680450599</v>
      </c>
      <c r="AJ7571">
        <v>102.09658083570299</v>
      </c>
      <c r="AK7571">
        <v>23.018420377300799</v>
      </c>
      <c r="AL7571">
        <v>85.901458685235596</v>
      </c>
      <c r="AM7571">
        <v>98.686054415710601</v>
      </c>
      <c r="AN7571">
        <v>0.99999999154698105</v>
      </c>
    </row>
    <row r="7572" spans="1:40" x14ac:dyDescent="0.25">
      <c r="A7572" t="str">
        <f>"20190312150840153"</f>
        <v>20190312150840153</v>
      </c>
      <c r="B7572" t="str">
        <f>"1552374520147303"</f>
        <v>1552374520147303</v>
      </c>
      <c r="C7572" t="s">
        <v>40</v>
      </c>
      <c r="D7572">
        <v>4.0993079999999997</v>
      </c>
      <c r="E7572">
        <v>0.47376390000000002</v>
      </c>
      <c r="F7572" t="s">
        <v>77</v>
      </c>
      <c r="G7572">
        <v>-401.87479999999999</v>
      </c>
      <c r="H7572" s="1">
        <v>-3.0462320000000002E-6</v>
      </c>
      <c r="I7572">
        <v>133.21539999999999</v>
      </c>
      <c r="J7572">
        <v>-381.03710000000001</v>
      </c>
      <c r="K7572">
        <v>1.111443</v>
      </c>
      <c r="L7572">
        <v>139.7929</v>
      </c>
      <c r="M7572">
        <v>-0.99632200000000004</v>
      </c>
      <c r="N7572">
        <v>0</v>
      </c>
      <c r="O7572">
        <v>-8.4790710000000005E-2</v>
      </c>
      <c r="P7572">
        <v>-0.97045150000000002</v>
      </c>
      <c r="Q7572">
        <v>5.9753960000000002E-2</v>
      </c>
      <c r="R7572">
        <v>-0.2337813</v>
      </c>
      <c r="S7572">
        <v>-2.8826290000000001</v>
      </c>
      <c r="T7572">
        <v>-0.15293619999999999</v>
      </c>
      <c r="U7572">
        <v>-0.90655520000000001</v>
      </c>
      <c r="V7572">
        <v>-0.15079119999999999</v>
      </c>
      <c r="W7572">
        <v>7.1670849999999994E-2</v>
      </c>
      <c r="X7572">
        <v>0.98596419999999996</v>
      </c>
      <c r="Y7572">
        <v>-0.21786179999999999</v>
      </c>
      <c r="Z7572">
        <v>-1.2675469999999999E-3</v>
      </c>
      <c r="AA7572">
        <v>0.97597880000000004</v>
      </c>
      <c r="AB7572">
        <v>17</v>
      </c>
      <c r="AC7572">
        <v>-20.837699999999899</v>
      </c>
      <c r="AD7572">
        <v>-1.1114460462319999</v>
      </c>
      <c r="AE7572">
        <v>-6.5775000000000103</v>
      </c>
      <c r="AF7572">
        <v>-4.7744783368671104</v>
      </c>
      <c r="AG7572">
        <v>-1.1114460462319999</v>
      </c>
      <c r="AH7572">
        <v>21.265383478918199</v>
      </c>
      <c r="AI7572">
        <v>92.919326000580398</v>
      </c>
      <c r="AJ7572">
        <v>102.654138460948</v>
      </c>
      <c r="AK7572">
        <v>21.823095339761998</v>
      </c>
      <c r="AL7572">
        <v>85.890039239598295</v>
      </c>
      <c r="AM7572">
        <v>98.695314089878394</v>
      </c>
      <c r="AN7572">
        <v>1.0000000502094</v>
      </c>
    </row>
    <row r="7573" spans="1:40" x14ac:dyDescent="0.25">
      <c r="A7573" t="str">
        <f>"20190312150840172"</f>
        <v>20190312150840172</v>
      </c>
      <c r="B7573" t="str">
        <f>"1552374520167799"</f>
        <v>1552374520167799</v>
      </c>
      <c r="C7573" t="s">
        <v>40</v>
      </c>
      <c r="D7573">
        <v>4.083685</v>
      </c>
      <c r="E7573">
        <v>0.47252499999999997</v>
      </c>
      <c r="F7573" t="s">
        <v>77</v>
      </c>
      <c r="G7573">
        <v>-401.05279999999999</v>
      </c>
      <c r="H7573" s="1">
        <v>-2.6549249999999998E-6</v>
      </c>
      <c r="I7573">
        <v>133.3612</v>
      </c>
      <c r="J7573">
        <v>-381.17959999999999</v>
      </c>
      <c r="K7573">
        <v>1.1114139999999999</v>
      </c>
      <c r="L7573">
        <v>139.77889999999999</v>
      </c>
      <c r="M7573">
        <v>-0.99618629999999997</v>
      </c>
      <c r="N7573">
        <v>0</v>
      </c>
      <c r="O7573">
        <v>-8.6378590000000005E-2</v>
      </c>
      <c r="P7573">
        <v>-0.97004840000000003</v>
      </c>
      <c r="Q7573">
        <v>5.9444990000000003E-2</v>
      </c>
      <c r="R7573">
        <v>-0.23552609999999999</v>
      </c>
      <c r="S7573">
        <v>-2.878387</v>
      </c>
      <c r="T7573">
        <v>-0.15983329999999901</v>
      </c>
      <c r="U7573">
        <v>-0.92492680000000005</v>
      </c>
      <c r="V7573">
        <v>-0.1509875</v>
      </c>
      <c r="W7573">
        <v>7.1300349999999998E-2</v>
      </c>
      <c r="X7573">
        <v>0.98596099999999998</v>
      </c>
      <c r="Y7573">
        <v>-0.22235269999999999</v>
      </c>
      <c r="Z7573">
        <v>-1.3619420000000001E-3</v>
      </c>
      <c r="AA7573">
        <v>0.97496530000000003</v>
      </c>
      <c r="AB7573">
        <v>17</v>
      </c>
      <c r="AC7573">
        <v>-19.873200000000001</v>
      </c>
      <c r="AD7573">
        <v>-1.111416654925</v>
      </c>
      <c r="AE7573">
        <v>-6.4176999999999902</v>
      </c>
      <c r="AF7573">
        <v>-4.6637512668572203</v>
      </c>
      <c r="AG7573">
        <v>-1.111416654925</v>
      </c>
      <c r="AH7573">
        <v>20.2958207004861</v>
      </c>
      <c r="AI7573">
        <v>93.0549742390332</v>
      </c>
      <c r="AJ7573">
        <v>102.941268361939</v>
      </c>
      <c r="AK7573">
        <v>20.854403869836201</v>
      </c>
      <c r="AL7573">
        <v>85.9113216878538</v>
      </c>
      <c r="AM7573">
        <v>98.706488136607604</v>
      </c>
      <c r="AN7573">
        <v>1.0000000292936799</v>
      </c>
    </row>
    <row r="7574" spans="1:40" x14ac:dyDescent="0.25">
      <c r="A7574" t="str">
        <f>"20190312150840187"</f>
        <v>20190312150840187</v>
      </c>
      <c r="B7574" t="str">
        <f>"1552374520177562"</f>
        <v>1552374520177562</v>
      </c>
      <c r="C7574" t="s">
        <v>40</v>
      </c>
      <c r="D7574">
        <v>4.098649</v>
      </c>
      <c r="E7574">
        <v>0.47204550000000001</v>
      </c>
      <c r="F7574" t="s">
        <v>77</v>
      </c>
      <c r="G7574">
        <v>-400.44839999999999</v>
      </c>
      <c r="H7574" s="1">
        <v>-2.3729979999999999E-6</v>
      </c>
      <c r="I7574">
        <v>133.47919999999999</v>
      </c>
      <c r="J7574">
        <v>-381.29379999999998</v>
      </c>
      <c r="K7574">
        <v>1.1113930000000001</v>
      </c>
      <c r="L7574">
        <v>139.76750000000001</v>
      </c>
      <c r="M7574">
        <v>-0.99607749999999995</v>
      </c>
      <c r="N7574">
        <v>0</v>
      </c>
      <c r="O7574">
        <v>-8.7631280000000006E-2</v>
      </c>
      <c r="P7574">
        <v>-0.96980129999999998</v>
      </c>
      <c r="Q7574">
        <v>5.9702749999999999E-2</v>
      </c>
      <c r="R7574">
        <v>-0.2364771</v>
      </c>
      <c r="S7574">
        <v>-2.874603</v>
      </c>
      <c r="T7574">
        <v>-0.1658057</v>
      </c>
      <c r="U7574">
        <v>-0.93980410000000003</v>
      </c>
      <c r="V7574">
        <v>-0.15071300000000001</v>
      </c>
      <c r="W7574">
        <v>7.1512939999999997E-2</v>
      </c>
      <c r="X7574">
        <v>0.98598759999999996</v>
      </c>
      <c r="Y7574">
        <v>-0.22604640000000001</v>
      </c>
      <c r="Z7574">
        <v>-1.4477489999999999E-3</v>
      </c>
      <c r="AA7574">
        <v>0.97411539999999996</v>
      </c>
      <c r="AB7574">
        <v>17</v>
      </c>
      <c r="AC7574">
        <v>-19.154599999999999</v>
      </c>
      <c r="AD7574">
        <v>-1.111395372998</v>
      </c>
      <c r="AE7574">
        <v>-6.28830000000002</v>
      </c>
      <c r="AF7574">
        <v>-4.5715436094281596</v>
      </c>
      <c r="AG7574">
        <v>-1.111395372998</v>
      </c>
      <c r="AH7574">
        <v>19.572511944128699</v>
      </c>
      <c r="AI7574">
        <v>93.164958657842107</v>
      </c>
      <c r="AJ7574">
        <v>103.146859264059</v>
      </c>
      <c r="AK7574">
        <v>20.130013274985298</v>
      </c>
      <c r="AL7574">
        <v>85.899110000829197</v>
      </c>
      <c r="AM7574">
        <v>98.690670478745801</v>
      </c>
      <c r="AN7574">
        <v>1.0000000281551</v>
      </c>
    </row>
    <row r="7575" spans="1:40" x14ac:dyDescent="0.25">
      <c r="A7575" t="str">
        <f>"20190312150840200"</f>
        <v>20190312150840200</v>
      </c>
      <c r="B7575" t="str">
        <f>"1552374520197080"</f>
        <v>1552374520197080</v>
      </c>
      <c r="C7575" t="s">
        <v>40</v>
      </c>
      <c r="D7575">
        <v>4.0603980000000002</v>
      </c>
      <c r="E7575">
        <v>0.47162769999999998</v>
      </c>
      <c r="F7575" t="s">
        <v>77</v>
      </c>
      <c r="G7575">
        <v>-400.4083</v>
      </c>
      <c r="H7575" s="1">
        <v>-2.3454890000000002E-6</v>
      </c>
      <c r="I7575">
        <v>133.47049999999999</v>
      </c>
      <c r="J7575">
        <v>-381.3931</v>
      </c>
      <c r="K7575">
        <v>1.111372</v>
      </c>
      <c r="L7575">
        <v>139.75749999999999</v>
      </c>
      <c r="M7575">
        <v>-0.99598299999999995</v>
      </c>
      <c r="N7575">
        <v>0</v>
      </c>
      <c r="O7575">
        <v>-8.8704900000000003E-2</v>
      </c>
      <c r="P7575">
        <v>-0.96961520000000001</v>
      </c>
      <c r="Q7575">
        <v>5.9506940000000001E-2</v>
      </c>
      <c r="R7575">
        <v>-0.237288</v>
      </c>
      <c r="S7575">
        <v>-2.8728940000000001</v>
      </c>
      <c r="T7575">
        <v>-0.16704169999999999</v>
      </c>
      <c r="U7575">
        <v>-0.9464264</v>
      </c>
      <c r="V7575">
        <v>-0.15047099999999999</v>
      </c>
      <c r="W7575">
        <v>7.1280369999999996E-2</v>
      </c>
      <c r="X7575">
        <v>0.98604139999999996</v>
      </c>
      <c r="Y7575">
        <v>-0.22719120000000001</v>
      </c>
      <c r="Z7575">
        <v>-1.4311930000000001E-3</v>
      </c>
      <c r="AA7575">
        <v>0.97384910000000002</v>
      </c>
      <c r="AB7575">
        <v>17</v>
      </c>
      <c r="AC7575">
        <v>-19.0152</v>
      </c>
      <c r="AD7575">
        <v>-1.1113743454889999</v>
      </c>
      <c r="AE7575">
        <v>-6.2869999999999999</v>
      </c>
      <c r="AF7575">
        <v>-4.5612992973108</v>
      </c>
      <c r="AG7575">
        <v>-1.1113743454889999</v>
      </c>
      <c r="AH7575">
        <v>19.4381019325617</v>
      </c>
      <c r="AI7575">
        <v>93.185970600365295</v>
      </c>
      <c r="AJ7575">
        <v>103.20596106044199</v>
      </c>
      <c r="AK7575">
        <v>19.997010050408001</v>
      </c>
      <c r="AL7575">
        <v>85.912469371354803</v>
      </c>
      <c r="AM7575">
        <v>98.676462189316297</v>
      </c>
      <c r="AN7575">
        <v>1.0000000277511401</v>
      </c>
    </row>
    <row r="7576" spans="1:40" x14ac:dyDescent="0.25">
      <c r="A7576" t="str">
        <f>"20190312150840217"</f>
        <v>20190312150840217</v>
      </c>
      <c r="B7576" t="str">
        <f>"1552374520207815"</f>
        <v>1552374520207815</v>
      </c>
      <c r="C7576" t="s">
        <v>40</v>
      </c>
      <c r="D7576">
        <v>4.0715300000000001</v>
      </c>
      <c r="E7576">
        <v>0.47138089999999999</v>
      </c>
      <c r="F7576" t="s">
        <v>77</v>
      </c>
      <c r="G7576">
        <v>-400.05630000000002</v>
      </c>
      <c r="H7576" s="1">
        <v>-2.1962269999999999E-6</v>
      </c>
      <c r="I7576">
        <v>133.56739999999999</v>
      </c>
      <c r="J7576">
        <v>-381.51600000000002</v>
      </c>
      <c r="K7576">
        <v>1.1113500000000001</v>
      </c>
      <c r="L7576">
        <v>139.7449</v>
      </c>
      <c r="M7576">
        <v>-0.99586609999999998</v>
      </c>
      <c r="N7576">
        <v>0</v>
      </c>
      <c r="O7576">
        <v>-9.0014350000000007E-2</v>
      </c>
      <c r="P7576">
        <v>-0.96951449999999995</v>
      </c>
      <c r="Q7576">
        <v>5.9124210000000003E-2</v>
      </c>
      <c r="R7576">
        <v>-0.23779320000000001</v>
      </c>
      <c r="S7576">
        <v>-2.8714599999999999</v>
      </c>
      <c r="T7576">
        <v>-0.17099249999999999</v>
      </c>
      <c r="U7576">
        <v>-0.95237729999999998</v>
      </c>
      <c r="V7576">
        <v>-0.1496818</v>
      </c>
      <c r="W7576">
        <v>7.0857519999999993E-2</v>
      </c>
      <c r="X7576">
        <v>0.98619190000000001</v>
      </c>
      <c r="Y7576">
        <v>-0.22786580000000001</v>
      </c>
      <c r="Z7576">
        <v>-1.4097679999999901E-3</v>
      </c>
      <c r="AA7576">
        <v>0.97369150000000004</v>
      </c>
      <c r="AB7576">
        <v>17</v>
      </c>
      <c r="AC7576">
        <v>-18.540299999999998</v>
      </c>
      <c r="AD7576">
        <v>-1.1113521962270001</v>
      </c>
      <c r="AE7576">
        <v>-6.1775000000000002</v>
      </c>
      <c r="AF7576">
        <v>-4.4689489711978299</v>
      </c>
      <c r="AG7576">
        <v>-1.1113521962270001</v>
      </c>
      <c r="AH7576">
        <v>18.959811438484099</v>
      </c>
      <c r="AI7576">
        <v>93.265343185014501</v>
      </c>
      <c r="AJ7576">
        <v>103.26290091384899</v>
      </c>
      <c r="AK7576">
        <v>19.5110496487017</v>
      </c>
      <c r="AL7576">
        <v>85.936757977436699</v>
      </c>
      <c r="AM7576">
        <v>98.630345087805793</v>
      </c>
      <c r="AN7576">
        <v>0.99999994650869795</v>
      </c>
    </row>
    <row r="7577" spans="1:40" x14ac:dyDescent="0.25">
      <c r="A7577" t="str">
        <f>"20190312150840252"</f>
        <v>20190312150840252</v>
      </c>
      <c r="B7577" t="str">
        <f>"1552374520247831"</f>
        <v>1552374520247831</v>
      </c>
      <c r="C7577" t="s">
        <v>40</v>
      </c>
      <c r="D7577">
        <v>4.0606749999999998</v>
      </c>
      <c r="E7577">
        <v>0.47090389999999999</v>
      </c>
      <c r="F7577" t="s">
        <v>42</v>
      </c>
      <c r="G7577">
        <v>-399.90559999999999</v>
      </c>
      <c r="H7577" s="1">
        <v>-1.6128940000000001E-6</v>
      </c>
      <c r="I7577">
        <v>133.62260000000001</v>
      </c>
      <c r="J7577">
        <v>-381.78039999999999</v>
      </c>
      <c r="K7577">
        <v>1.1113109999999999</v>
      </c>
      <c r="L7577">
        <v>139.7176</v>
      </c>
      <c r="M7577">
        <v>-0.99561520000000003</v>
      </c>
      <c r="N7577">
        <v>0</v>
      </c>
      <c r="O7577">
        <v>-9.2761109999999994E-2</v>
      </c>
      <c r="P7577">
        <v>-0.96902449999999996</v>
      </c>
      <c r="Q7577">
        <v>5.8685220000000003E-2</v>
      </c>
      <c r="R7577">
        <v>-0.23989170000000001</v>
      </c>
      <c r="S7577">
        <v>-2.8705440000000002</v>
      </c>
      <c r="T7577">
        <v>-0.173477399999999</v>
      </c>
      <c r="U7577">
        <v>-0.95565800000000001</v>
      </c>
      <c r="V7577">
        <v>-0.14908669999999999</v>
      </c>
      <c r="W7577">
        <v>7.0340029999999998E-2</v>
      </c>
      <c r="X7577">
        <v>0.9863191</v>
      </c>
      <c r="Y7577">
        <v>-0.22627539999999999</v>
      </c>
      <c r="Z7577">
        <v>-1.223902E-3</v>
      </c>
      <c r="AA7577">
        <v>0.9740626</v>
      </c>
      <c r="AB7577">
        <v>17</v>
      </c>
      <c r="AC7577">
        <v>-18.1252</v>
      </c>
      <c r="AD7577">
        <v>-1.1113126128940001</v>
      </c>
      <c r="AE7577">
        <v>-6.09499999999999</v>
      </c>
      <c r="AF7577">
        <v>-4.3725130366573399</v>
      </c>
      <c r="AG7577">
        <v>-1.1113126128940001</v>
      </c>
      <c r="AH7577">
        <v>18.549810123130399</v>
      </c>
      <c r="AI7577">
        <v>93.337228007460595</v>
      </c>
      <c r="AJ7577">
        <v>103.26349785652</v>
      </c>
      <c r="AK7577">
        <v>19.090556345573201</v>
      </c>
      <c r="AL7577">
        <v>85.966482216885893</v>
      </c>
      <c r="AM7577">
        <v>98.595454386534001</v>
      </c>
      <c r="AN7577">
        <v>0.99999996548104997</v>
      </c>
    </row>
    <row r="7578" spans="1:40" x14ac:dyDescent="0.25">
      <c r="A7578" t="str">
        <f>"20190312150840266"</f>
        <v>20190312150840266</v>
      </c>
      <c r="B7578" t="str">
        <f>"1552374520257592"</f>
        <v>1552374520257592</v>
      </c>
      <c r="C7578" t="s">
        <v>40</v>
      </c>
      <c r="D7578">
        <v>4.1026540000000002</v>
      </c>
      <c r="E7578">
        <v>0.47084140000000002</v>
      </c>
      <c r="F7578" t="s">
        <v>42</v>
      </c>
      <c r="G7578">
        <v>-399.65690000000001</v>
      </c>
      <c r="H7578" s="1">
        <v>-1.6781719999999999E-6</v>
      </c>
      <c r="I7578">
        <v>133.69550000000001</v>
      </c>
      <c r="J7578">
        <v>-381.88229999999999</v>
      </c>
      <c r="K7578">
        <v>1.1112930000000001</v>
      </c>
      <c r="L7578">
        <v>139.70689999999999</v>
      </c>
      <c r="M7578">
        <v>-0.99551869999999998</v>
      </c>
      <c r="N7578">
        <v>0</v>
      </c>
      <c r="O7578">
        <v>-9.3795310000000007E-2</v>
      </c>
      <c r="P7578">
        <v>-0.96892540000000005</v>
      </c>
      <c r="Q7578">
        <v>5.8102590000000003E-2</v>
      </c>
      <c r="R7578">
        <v>-0.24043220000000001</v>
      </c>
      <c r="S7578">
        <v>-2.8675839999999999</v>
      </c>
      <c r="T7578">
        <v>-0.17826719999999999</v>
      </c>
      <c r="U7578">
        <v>-0.96600339999999996</v>
      </c>
      <c r="V7578">
        <v>-0.14860670000000001</v>
      </c>
      <c r="W7578">
        <v>6.9732580000000002E-2</v>
      </c>
      <c r="X7578">
        <v>0.9864347</v>
      </c>
      <c r="Y7578">
        <v>-0.228709</v>
      </c>
      <c r="Z7578">
        <v>-1.270109E-3</v>
      </c>
      <c r="AA7578">
        <v>0.97349399999999997</v>
      </c>
      <c r="AB7578">
        <v>17</v>
      </c>
      <c r="AC7578">
        <v>-17.7746</v>
      </c>
      <c r="AD7578">
        <v>-1.1112946781719999</v>
      </c>
      <c r="AE7578">
        <v>-6.0113999999999796</v>
      </c>
      <c r="AF7578">
        <v>-4.3025079346447903</v>
      </c>
      <c r="AG7578">
        <v>-1.1112946781719999</v>
      </c>
      <c r="AH7578">
        <v>18.196283802306802</v>
      </c>
      <c r="AI7578">
        <v>93.401303896524198</v>
      </c>
      <c r="AJ7578">
        <v>103.303246639522</v>
      </c>
      <c r="AK7578">
        <v>18.731024921330601</v>
      </c>
      <c r="AL7578">
        <v>86.001372355258894</v>
      </c>
      <c r="AM7578">
        <v>98.567202622449798</v>
      </c>
      <c r="AN7578">
        <v>1.00000000068121</v>
      </c>
    </row>
    <row r="7579" spans="1:40" x14ac:dyDescent="0.25">
      <c r="A7579" t="str">
        <f>"20190312150840283"</f>
        <v>20190312150840283</v>
      </c>
      <c r="B7579" t="str">
        <f>"1552374520277112"</f>
        <v>1552374520277112</v>
      </c>
      <c r="C7579" t="s">
        <v>40</v>
      </c>
      <c r="D7579">
        <v>4.0881550000000004</v>
      </c>
      <c r="E7579">
        <v>0.4706977</v>
      </c>
      <c r="F7579" t="s">
        <v>42</v>
      </c>
      <c r="G7579">
        <v>-399.54599999999999</v>
      </c>
      <c r="H7579" s="1">
        <v>-1.703205E-6</v>
      </c>
      <c r="I7579">
        <v>133.7431</v>
      </c>
      <c r="J7579">
        <v>-382.01839999999999</v>
      </c>
      <c r="K7579">
        <v>1.1112759999999999</v>
      </c>
      <c r="L7579">
        <v>139.6925</v>
      </c>
      <c r="M7579">
        <v>-0.99539010000000006</v>
      </c>
      <c r="N7579">
        <v>0</v>
      </c>
      <c r="O7579">
        <v>-9.5155509999999999E-2</v>
      </c>
      <c r="P7579">
        <v>-0.96869289999999997</v>
      </c>
      <c r="Q7579">
        <v>5.7450729999999998E-2</v>
      </c>
      <c r="R7579">
        <v>-0.24152370000000001</v>
      </c>
      <c r="S7579">
        <v>-2.8668520000000002</v>
      </c>
      <c r="T7579">
        <v>-0.18036489999999999</v>
      </c>
      <c r="U7579">
        <v>-0.96791079999999996</v>
      </c>
      <c r="V7579">
        <v>-0.1483631</v>
      </c>
      <c r="W7579">
        <v>6.9047609999999995E-2</v>
      </c>
      <c r="X7579">
        <v>0.98651949999999999</v>
      </c>
      <c r="Y7579">
        <v>-0.22803370000000001</v>
      </c>
      <c r="Z7579">
        <v>-1.1823249999999999E-3</v>
      </c>
      <c r="AA7579">
        <v>0.97365250000000003</v>
      </c>
      <c r="AB7579">
        <v>17</v>
      </c>
      <c r="AC7579">
        <v>-17.5276</v>
      </c>
      <c r="AD7579">
        <v>-1.1112777032050001</v>
      </c>
      <c r="AE7579">
        <v>-5.94939999999999</v>
      </c>
      <c r="AF7579">
        <v>-4.2391524913487197</v>
      </c>
      <c r="AG7579">
        <v>-1.1112777032050001</v>
      </c>
      <c r="AH7579">
        <v>17.949515927794199</v>
      </c>
      <c r="AI7579">
        <v>93.448114797466602</v>
      </c>
      <c r="AJ7579">
        <v>103.28810866279601</v>
      </c>
      <c r="AK7579">
        <v>18.476754964567899</v>
      </c>
      <c r="AL7579">
        <v>86.040712883336994</v>
      </c>
      <c r="AM7579">
        <v>98.552642563128003</v>
      </c>
      <c r="AN7579">
        <v>0.999999952884285</v>
      </c>
    </row>
    <row r="7580" spans="1:40" x14ac:dyDescent="0.25">
      <c r="A7580" t="str">
        <f>"20190312150840306"</f>
        <v>20190312150840306</v>
      </c>
      <c r="B7580" t="str">
        <f>"1552374520297611"</f>
        <v>1552374520297611</v>
      </c>
      <c r="C7580" t="s">
        <v>40</v>
      </c>
      <c r="D7580">
        <v>4.0646940000000003</v>
      </c>
      <c r="E7580">
        <v>0.47059230000000002</v>
      </c>
      <c r="F7580" t="s">
        <v>42</v>
      </c>
      <c r="G7580">
        <v>-399.47390000000001</v>
      </c>
      <c r="H7580" s="1">
        <v>-1.720818E-6</v>
      </c>
      <c r="I7580">
        <v>133.76920000000001</v>
      </c>
      <c r="J7580">
        <v>-382.18450000000001</v>
      </c>
      <c r="K7580">
        <v>1.1112629999999999</v>
      </c>
      <c r="L7580">
        <v>139.6746</v>
      </c>
      <c r="M7580">
        <v>-0.9952337</v>
      </c>
      <c r="N7580">
        <v>0</v>
      </c>
      <c r="O7580">
        <v>-9.678233E-2</v>
      </c>
      <c r="P7580">
        <v>-0.96835499999999997</v>
      </c>
      <c r="Q7580">
        <v>5.7227809999999997E-2</v>
      </c>
      <c r="R7580">
        <v>-0.2429269</v>
      </c>
      <c r="S7580">
        <v>-2.8653559999999998</v>
      </c>
      <c r="T7580">
        <v>-0.18241940000000001</v>
      </c>
      <c r="U7580">
        <v>-0.97230530000000004</v>
      </c>
      <c r="V7580">
        <v>-0.14817620000000001</v>
      </c>
      <c r="W7580">
        <v>6.8788829999999995E-2</v>
      </c>
      <c r="X7580">
        <v>0.98656569999999999</v>
      </c>
      <c r="Y7580">
        <v>-0.22793369999999999</v>
      </c>
      <c r="Z7580">
        <v>-1.0935669999999999E-3</v>
      </c>
      <c r="AA7580">
        <v>0.97367599999999999</v>
      </c>
      <c r="AB7580">
        <v>17</v>
      </c>
      <c r="AC7580">
        <v>-17.289400000000001</v>
      </c>
      <c r="AD7580">
        <v>-1.111264720818</v>
      </c>
      <c r="AE7580">
        <v>-5.9053999999999798</v>
      </c>
      <c r="AF7580">
        <v>-4.1887488085696898</v>
      </c>
      <c r="AG7580">
        <v>-1.111264720818</v>
      </c>
      <c r="AH7580">
        <v>17.714268402094099</v>
      </c>
      <c r="AI7580">
        <v>93.493525774196698</v>
      </c>
      <c r="AJ7580">
        <v>103.303900094675</v>
      </c>
      <c r="AK7580">
        <v>18.236661725284598</v>
      </c>
      <c r="AL7580">
        <v>86.055575350375705</v>
      </c>
      <c r="AM7580">
        <v>98.541633320424197</v>
      </c>
      <c r="AN7580">
        <v>0.99999998489784903</v>
      </c>
    </row>
    <row r="7581" spans="1:40" x14ac:dyDescent="0.25">
      <c r="A7581" t="str">
        <f>"20190312150840321"</f>
        <v>20190312150840321</v>
      </c>
      <c r="B7581" t="str">
        <f>"1552374520317128"</f>
        <v>1552374520317128</v>
      </c>
      <c r="C7581" t="s">
        <v>40</v>
      </c>
      <c r="D7581">
        <v>4.0635810000000001</v>
      </c>
      <c r="E7581">
        <v>0.47053519999999999</v>
      </c>
      <c r="F7581" t="s">
        <v>42</v>
      </c>
      <c r="G7581">
        <v>-399.5634</v>
      </c>
      <c r="H7581" s="1">
        <v>-1.696978E-6</v>
      </c>
      <c r="I7581">
        <v>133.74430000000001</v>
      </c>
      <c r="J7581">
        <v>-382.29579999999999</v>
      </c>
      <c r="K7581">
        <v>1.1112519999999999</v>
      </c>
      <c r="L7581">
        <v>139.66249999999999</v>
      </c>
      <c r="M7581">
        <v>-0.9951295</v>
      </c>
      <c r="N7581">
        <v>0</v>
      </c>
      <c r="O7581">
        <v>-9.7850820000000005E-2</v>
      </c>
      <c r="P7581">
        <v>-0.9681246</v>
      </c>
      <c r="Q7581">
        <v>5.6919879999999999E-2</v>
      </c>
      <c r="R7581">
        <v>-0.24391470000000001</v>
      </c>
      <c r="S7581">
        <v>-2.8637079999999999</v>
      </c>
      <c r="T7581">
        <v>-0.18311549999999999</v>
      </c>
      <c r="U7581">
        <v>-0.9771881</v>
      </c>
      <c r="V7581">
        <v>-0.14812030000000001</v>
      </c>
      <c r="W7581">
        <v>6.8460090000000001E-2</v>
      </c>
      <c r="X7581">
        <v>0.98659699999999995</v>
      </c>
      <c r="Y7581">
        <v>-0.22854559999999999</v>
      </c>
      <c r="Z7581">
        <v>-1.0515520000000001E-3</v>
      </c>
      <c r="AA7581">
        <v>0.97353259999999997</v>
      </c>
      <c r="AB7581">
        <v>17</v>
      </c>
      <c r="AC7581">
        <v>-17.267600000000002</v>
      </c>
      <c r="AD7581">
        <v>-1.111253696978</v>
      </c>
      <c r="AE7581">
        <v>-5.9181999999999801</v>
      </c>
      <c r="AF7581">
        <v>-4.1845172187635402</v>
      </c>
      <c r="AG7581">
        <v>-1.111253696978</v>
      </c>
      <c r="AH7581">
        <v>17.698271376310601</v>
      </c>
      <c r="AI7581">
        <v>93.496660863539901</v>
      </c>
      <c r="AJ7581">
        <v>103.302523777635</v>
      </c>
      <c r="AK7581">
        <v>18.220150351814102</v>
      </c>
      <c r="AL7581">
        <v>86.074455426493898</v>
      </c>
      <c r="AM7581">
        <v>98.538191572880095</v>
      </c>
      <c r="AN7581">
        <v>1.00000002380194</v>
      </c>
    </row>
    <row r="7582" spans="1:40" x14ac:dyDescent="0.25">
      <c r="A7582" t="str">
        <f>"20190312150840339"</f>
        <v>20190312150840339</v>
      </c>
      <c r="B7582" t="str">
        <f>"1552374520337625"</f>
        <v>1552374520337625</v>
      </c>
      <c r="C7582" t="s">
        <v>40</v>
      </c>
      <c r="D7582">
        <v>4.1017900000000003</v>
      </c>
      <c r="E7582">
        <v>0.47048699999999999</v>
      </c>
      <c r="F7582" t="s">
        <v>42</v>
      </c>
      <c r="G7582">
        <v>-399.5951</v>
      </c>
      <c r="H7582" s="1">
        <v>-1.6883729999999999E-6</v>
      </c>
      <c r="I7582">
        <v>133.73609999999999</v>
      </c>
      <c r="J7582">
        <v>-382.43790000000001</v>
      </c>
      <c r="K7582">
        <v>1.1112340000000001</v>
      </c>
      <c r="L7582">
        <v>139.64689999999999</v>
      </c>
      <c r="M7582">
        <v>-0.99499689999999996</v>
      </c>
      <c r="N7582">
        <v>0</v>
      </c>
      <c r="O7582">
        <v>-9.9194610000000003E-2</v>
      </c>
      <c r="P7582">
        <v>-0.96784320000000001</v>
      </c>
      <c r="Q7582">
        <v>5.6617000000000001E-2</v>
      </c>
      <c r="R7582">
        <v>-0.24510129999999999</v>
      </c>
      <c r="S7582">
        <v>-2.8625180000000001</v>
      </c>
      <c r="T7582">
        <v>-0.1838795</v>
      </c>
      <c r="U7582">
        <v>-0.98062130000000003</v>
      </c>
      <c r="V7582">
        <v>-0.14799189999999901</v>
      </c>
      <c r="W7582">
        <v>6.8133769999999996E-2</v>
      </c>
      <c r="X7582">
        <v>0.98663880000000004</v>
      </c>
      <c r="Y7582">
        <v>-0.22840079999999999</v>
      </c>
      <c r="Z7582">
        <v>-9.6885630000000003E-4</v>
      </c>
      <c r="AA7582">
        <v>0.97356670000000001</v>
      </c>
      <c r="AB7582">
        <v>17</v>
      </c>
      <c r="AC7582">
        <v>-17.1571999999999</v>
      </c>
      <c r="AD7582">
        <v>-1.1112356883729999</v>
      </c>
      <c r="AE7582">
        <v>-5.9107999999999903</v>
      </c>
      <c r="AF7582">
        <v>-4.1640075274387698</v>
      </c>
      <c r="AG7582">
        <v>-1.1112356883729999</v>
      </c>
      <c r="AH7582">
        <v>17.5929600271452</v>
      </c>
      <c r="AI7582">
        <v>93.517286473261095</v>
      </c>
      <c r="AJ7582">
        <v>103.316062447603</v>
      </c>
      <c r="AK7582">
        <v>18.113145667177999</v>
      </c>
      <c r="AL7582">
        <v>86.093195722484097</v>
      </c>
      <c r="AM7582">
        <v>98.530542978021003</v>
      </c>
      <c r="AN7582">
        <v>0.999999967372731</v>
      </c>
    </row>
    <row r="7583" spans="1:40" x14ac:dyDescent="0.25">
      <c r="A7583" t="str">
        <f>"20190312150840355"</f>
        <v>20190312150840355</v>
      </c>
      <c r="B7583" t="str">
        <f>"1552374520347384"</f>
        <v>1552374520347384</v>
      </c>
      <c r="C7583" t="s">
        <v>40</v>
      </c>
      <c r="D7583">
        <v>4.0752259999999998</v>
      </c>
      <c r="E7583">
        <v>0.47045769999999998</v>
      </c>
      <c r="F7583" t="s">
        <v>77</v>
      </c>
      <c r="G7583">
        <v>-400.0206</v>
      </c>
      <c r="H7583" s="1">
        <v>-2.1917210000000001E-6</v>
      </c>
      <c r="I7583">
        <v>133.59739999999999</v>
      </c>
      <c r="J7583">
        <v>-382.5496</v>
      </c>
      <c r="K7583">
        <v>1.111219</v>
      </c>
      <c r="L7583">
        <v>139.6345</v>
      </c>
      <c r="M7583">
        <v>-0.99489280000000002</v>
      </c>
      <c r="N7583">
        <v>0</v>
      </c>
      <c r="O7583">
        <v>-0.1002343</v>
      </c>
      <c r="P7583">
        <v>-0.96753029999999995</v>
      </c>
      <c r="Q7583">
        <v>5.6425790000000003E-2</v>
      </c>
      <c r="R7583">
        <v>-0.24637709999999999</v>
      </c>
      <c r="S7583">
        <v>-2.8609619999999998</v>
      </c>
      <c r="T7583">
        <v>-0.18081439999999999</v>
      </c>
      <c r="U7583">
        <v>-0.98434449999999996</v>
      </c>
      <c r="V7583">
        <v>-0.1482588</v>
      </c>
      <c r="W7583">
        <v>6.7925869999999999E-2</v>
      </c>
      <c r="X7583">
        <v>0.98661310000000002</v>
      </c>
      <c r="Y7583">
        <v>-0.22868820000000001</v>
      </c>
      <c r="Z7583">
        <v>-8.9890509999999903E-4</v>
      </c>
      <c r="AA7583">
        <v>0.97349929999999996</v>
      </c>
      <c r="AB7583">
        <v>17</v>
      </c>
      <c r="AC7583">
        <v>-17.471</v>
      </c>
      <c r="AD7583">
        <v>-1.111221191721</v>
      </c>
      <c r="AE7583">
        <v>-6.0370999999999997</v>
      </c>
      <c r="AF7583">
        <v>-4.2400515343756702</v>
      </c>
      <c r="AG7583">
        <v>-1.111221191721</v>
      </c>
      <c r="AH7583">
        <v>17.923394729807601</v>
      </c>
      <c r="AI7583">
        <v>93.452648609067893</v>
      </c>
      <c r="AJ7583">
        <v>103.30950774702799</v>
      </c>
      <c r="AK7583">
        <v>18.451583351885802</v>
      </c>
      <c r="AL7583">
        <v>86.105135312140504</v>
      </c>
      <c r="AM7583">
        <v>98.545919983614596</v>
      </c>
      <c r="AN7583">
        <v>1.00000000234215</v>
      </c>
    </row>
    <row r="7584" spans="1:40" x14ac:dyDescent="0.25">
      <c r="A7584" t="str">
        <f>"20190312150840373"</f>
        <v>20190312150840373</v>
      </c>
      <c r="B7584" t="str">
        <f>"1552374520367880"</f>
        <v>1552374520367880</v>
      </c>
      <c r="C7584" t="s">
        <v>40</v>
      </c>
      <c r="D7584">
        <v>4.2602310000000001</v>
      </c>
      <c r="E7584">
        <v>0.4704159</v>
      </c>
      <c r="F7584" t="s">
        <v>77</v>
      </c>
      <c r="G7584">
        <v>-400.25920000000002</v>
      </c>
      <c r="H7584" s="1">
        <v>-2.2838410000000001E-6</v>
      </c>
      <c r="I7584">
        <v>133.5145</v>
      </c>
      <c r="J7584">
        <v>-382.68939999999998</v>
      </c>
      <c r="K7584">
        <v>1.1112120000000001</v>
      </c>
      <c r="L7584">
        <v>139.6189</v>
      </c>
      <c r="M7584">
        <v>-0.99476310000000001</v>
      </c>
      <c r="N7584">
        <v>0</v>
      </c>
      <c r="O7584">
        <v>-0.1015165</v>
      </c>
      <c r="P7584">
        <v>-0.96710339999999995</v>
      </c>
      <c r="Q7584">
        <v>5.6457420000000001E-2</v>
      </c>
      <c r="R7584">
        <v>-0.2480405</v>
      </c>
      <c r="S7584">
        <v>-2.8594970000000002</v>
      </c>
      <c r="T7584">
        <v>-0.17942350000000001</v>
      </c>
      <c r="U7584">
        <v>-0.98817440000000001</v>
      </c>
      <c r="V7584">
        <v>-0.1486826</v>
      </c>
      <c r="W7584">
        <v>6.7938719999999994E-2</v>
      </c>
      <c r="X7584">
        <v>0.98654839999999999</v>
      </c>
      <c r="Y7584">
        <v>-0.22875780000000001</v>
      </c>
      <c r="Z7584">
        <v>-8.1730029999999996E-4</v>
      </c>
      <c r="AA7584">
        <v>0.97348299999999999</v>
      </c>
      <c r="AB7584">
        <v>17</v>
      </c>
      <c r="AC7584">
        <v>-17.569800000000001</v>
      </c>
      <c r="AD7584">
        <v>-1.111214283841</v>
      </c>
      <c r="AE7584">
        <v>-6.1043999999999903</v>
      </c>
      <c r="AF7584">
        <v>-4.2738550424514301</v>
      </c>
      <c r="AG7584">
        <v>-1.111214283841</v>
      </c>
      <c r="AH7584">
        <v>18.0343921185484</v>
      </c>
      <c r="AI7584">
        <v>93.431106932066498</v>
      </c>
      <c r="AJ7584">
        <v>103.33220708761699</v>
      </c>
      <c r="AK7584">
        <v>18.567173538103798</v>
      </c>
      <c r="AL7584">
        <v>86.104397212438101</v>
      </c>
      <c r="AM7584">
        <v>98.570540094119806</v>
      </c>
      <c r="AN7584">
        <v>0.99999996538027802</v>
      </c>
    </row>
    <row r="7585" spans="1:40" x14ac:dyDescent="0.25">
      <c r="A7585" t="str">
        <f>"20190312150840395"</f>
        <v>20190312150840395</v>
      </c>
      <c r="B7585" t="str">
        <f>"1552374520387400"</f>
        <v>1552374520387400</v>
      </c>
      <c r="C7585" t="s">
        <v>40</v>
      </c>
      <c r="D7585">
        <v>4.0719949999999896</v>
      </c>
      <c r="E7585">
        <v>0.47033380000000002</v>
      </c>
      <c r="F7585" t="s">
        <v>77</v>
      </c>
      <c r="G7585">
        <v>-400.47250000000003</v>
      </c>
      <c r="H7585" s="1">
        <v>-2.3639719999999998E-6</v>
      </c>
      <c r="I7585">
        <v>133.43639999999999</v>
      </c>
      <c r="J7585">
        <v>-382.85539999999997</v>
      </c>
      <c r="K7585">
        <v>1.1111949999999999</v>
      </c>
      <c r="L7585">
        <v>139.6001</v>
      </c>
      <c r="M7585">
        <v>-0.99460999999999999</v>
      </c>
      <c r="N7585">
        <v>0</v>
      </c>
      <c r="O7585">
        <v>-0.10301009999999999</v>
      </c>
      <c r="P7585">
        <v>-0.96651330000000002</v>
      </c>
      <c r="Q7585">
        <v>5.6852710000000001E-2</v>
      </c>
      <c r="R7585">
        <v>-0.25024020000000002</v>
      </c>
      <c r="S7585">
        <v>-2.8576350000000001</v>
      </c>
      <c r="T7585">
        <v>-0.1785651</v>
      </c>
      <c r="U7585">
        <v>-0.99349980000000004</v>
      </c>
      <c r="V7585">
        <v>-0.14944640000000001</v>
      </c>
      <c r="W7585">
        <v>6.8314070000000005E-2</v>
      </c>
      <c r="X7585">
        <v>0.98640709999999998</v>
      </c>
      <c r="Y7585">
        <v>-0.2291154</v>
      </c>
      <c r="Z7585">
        <v>-7.3518699999999999E-4</v>
      </c>
      <c r="AA7585">
        <v>0.97339900000000001</v>
      </c>
      <c r="AB7585">
        <v>17</v>
      </c>
      <c r="AC7585">
        <v>-17.617100000000001</v>
      </c>
      <c r="AD7585">
        <v>-1.1111973639720001</v>
      </c>
      <c r="AE7585">
        <v>-6.1637000000000004</v>
      </c>
      <c r="AF7585">
        <v>-4.3007958419379504</v>
      </c>
      <c r="AG7585">
        <v>-1.1111973639720001</v>
      </c>
      <c r="AH7585">
        <v>18.094201124150199</v>
      </c>
      <c r="AI7585">
        <v>93.419199873694097</v>
      </c>
      <c r="AJ7585">
        <v>103.370478511611</v>
      </c>
      <c r="AK7585">
        <v>18.6314711919625</v>
      </c>
      <c r="AL7585">
        <v>86.0828413062424</v>
      </c>
      <c r="AM7585">
        <v>98.615124586445503</v>
      </c>
      <c r="AN7585">
        <v>1.00000000278166</v>
      </c>
    </row>
    <row r="7586" spans="1:40" x14ac:dyDescent="0.25">
      <c r="A7586" t="str">
        <f>"20190312150840418"</f>
        <v>20190312150840418</v>
      </c>
      <c r="B7586" t="str">
        <f>"1552374520407896"</f>
        <v>1552374520407896</v>
      </c>
      <c r="C7586" t="s">
        <v>40</v>
      </c>
      <c r="D7586">
        <v>4.0791909999999998</v>
      </c>
      <c r="E7586">
        <v>0.47027449999999998</v>
      </c>
      <c r="F7586" t="s">
        <v>77</v>
      </c>
      <c r="G7586">
        <v>-400.71230000000003</v>
      </c>
      <c r="H7586" s="1">
        <v>-2.4492889999999999E-6</v>
      </c>
      <c r="I7586">
        <v>133.33940000000001</v>
      </c>
      <c r="J7586">
        <v>-383.02499999999998</v>
      </c>
      <c r="K7586">
        <v>1.111178</v>
      </c>
      <c r="L7586">
        <v>139.58080000000001</v>
      </c>
      <c r="M7586">
        <v>-0.99445410000000001</v>
      </c>
      <c r="N7586">
        <v>0</v>
      </c>
      <c r="O7586">
        <v>-0.1045045</v>
      </c>
      <c r="P7586">
        <v>-0.96608959999999999</v>
      </c>
      <c r="Q7586">
        <v>5.7092789999999997E-2</v>
      </c>
      <c r="R7586">
        <v>-0.2518165</v>
      </c>
      <c r="S7586">
        <v>-2.8552249999999999</v>
      </c>
      <c r="T7586">
        <v>-0.177675</v>
      </c>
      <c r="U7586">
        <v>-1.001053</v>
      </c>
      <c r="V7586">
        <v>-0.1495726</v>
      </c>
      <c r="W7586">
        <v>6.8538139999999997E-2</v>
      </c>
      <c r="X7586">
        <v>0.98637240000000004</v>
      </c>
      <c r="Y7586">
        <v>-0.2302054</v>
      </c>
      <c r="Z7586">
        <v>-6.7584779999999998E-4</v>
      </c>
      <c r="AA7586">
        <v>0.97314179999999995</v>
      </c>
      <c r="AB7586">
        <v>17</v>
      </c>
      <c r="AC7586">
        <v>-17.6873</v>
      </c>
      <c r="AD7586">
        <v>-1.1111804492890001</v>
      </c>
      <c r="AE7586">
        <v>-6.2413999999999898</v>
      </c>
      <c r="AF7586">
        <v>-4.3434436839675099</v>
      </c>
      <c r="AG7586">
        <v>-1.1111804492890001</v>
      </c>
      <c r="AH7586">
        <v>18.178934194028798</v>
      </c>
      <c r="AI7586">
        <v>93.4023008315894</v>
      </c>
      <c r="AJ7586">
        <v>103.437605384512</v>
      </c>
      <c r="AK7586">
        <v>18.723618065360899</v>
      </c>
      <c r="AL7586">
        <v>86.069972771949594</v>
      </c>
      <c r="AM7586">
        <v>98.622589101272098</v>
      </c>
      <c r="AN7586">
        <v>0.99999997539358898</v>
      </c>
    </row>
    <row r="7587" spans="1:40" x14ac:dyDescent="0.25">
      <c r="A7587" t="str">
        <f>"20190312150840441"</f>
        <v>20190312150840441</v>
      </c>
      <c r="B7587" t="str">
        <f>"1552374520437177"</f>
        <v>1552374520437177</v>
      </c>
      <c r="C7587" t="s">
        <v>40</v>
      </c>
      <c r="D7587">
        <v>4.083081</v>
      </c>
      <c r="E7587">
        <v>0.4702171</v>
      </c>
      <c r="F7587" t="s">
        <v>77</v>
      </c>
      <c r="G7587">
        <v>-400.92149999999998</v>
      </c>
      <c r="H7587" s="1">
        <v>-2.531584E-6</v>
      </c>
      <c r="I7587">
        <v>133.2697</v>
      </c>
      <c r="J7587">
        <v>-383.19200000000001</v>
      </c>
      <c r="K7587">
        <v>1.1111610000000001</v>
      </c>
      <c r="L7587">
        <v>139.5615</v>
      </c>
      <c r="M7587">
        <v>-0.99430160000000001</v>
      </c>
      <c r="N7587">
        <v>0</v>
      </c>
      <c r="O7587">
        <v>-0.1059481</v>
      </c>
      <c r="P7587">
        <v>-0.96557539999999997</v>
      </c>
      <c r="Q7587">
        <v>5.7228380000000002E-2</v>
      </c>
      <c r="R7587">
        <v>-0.25375039999999999</v>
      </c>
      <c r="S7587">
        <v>-2.853485</v>
      </c>
      <c r="T7587">
        <v>-0.17717060000000001</v>
      </c>
      <c r="U7587">
        <v>-1.006256</v>
      </c>
      <c r="V7587">
        <v>-0.150115</v>
      </c>
      <c r="W7587">
        <v>6.8658949999999996E-2</v>
      </c>
      <c r="X7587">
        <v>0.98628159999999998</v>
      </c>
      <c r="Y7587">
        <v>-0.23055999999999999</v>
      </c>
      <c r="Z7587">
        <v>-5.9915100000000002E-4</v>
      </c>
      <c r="AA7587">
        <v>0.97305790000000003</v>
      </c>
      <c r="AB7587">
        <v>17</v>
      </c>
      <c r="AC7587">
        <v>-17.729500000000002</v>
      </c>
      <c r="AD7587">
        <v>-1.1111635315840001</v>
      </c>
      <c r="AE7587">
        <v>-6.2917999999999896</v>
      </c>
      <c r="AF7587">
        <v>-4.3626255956178204</v>
      </c>
      <c r="AG7587">
        <v>-1.1111635315840001</v>
      </c>
      <c r="AH7587">
        <v>18.2327427626951</v>
      </c>
      <c r="AI7587">
        <v>93.391966354509194</v>
      </c>
      <c r="AJ7587">
        <v>103.45640834268301</v>
      </c>
      <c r="AK7587">
        <v>18.7803113694122</v>
      </c>
      <c r="AL7587">
        <v>86.0630345410015</v>
      </c>
      <c r="AM7587">
        <v>98.6541695823027</v>
      </c>
      <c r="AN7587">
        <v>0.99999997956933095</v>
      </c>
    </row>
    <row r="7588" spans="1:40" x14ac:dyDescent="0.25">
      <c r="A7588" t="str">
        <f>"20190312150840462"</f>
        <v>20190312150840462</v>
      </c>
      <c r="B7588" t="str">
        <f>"1552374520457676"</f>
        <v>1552374520457676</v>
      </c>
      <c r="C7588" t="s">
        <v>40</v>
      </c>
      <c r="D7588">
        <v>4.2396849999999997</v>
      </c>
      <c r="E7588">
        <v>0.47018929999999998</v>
      </c>
      <c r="F7588" t="s">
        <v>77</v>
      </c>
      <c r="G7588">
        <v>-401.4128</v>
      </c>
      <c r="H7588" s="1">
        <v>-2.7163550000000002E-6</v>
      </c>
      <c r="I7588">
        <v>133.09</v>
      </c>
      <c r="J7588">
        <v>-383.35750000000002</v>
      </c>
      <c r="K7588">
        <v>1.1111530000000001</v>
      </c>
      <c r="L7588">
        <v>139.5421</v>
      </c>
      <c r="M7588">
        <v>-0.99415129999999996</v>
      </c>
      <c r="N7588">
        <v>0</v>
      </c>
      <c r="O7588">
        <v>-0.10735020000000001</v>
      </c>
      <c r="P7588">
        <v>-0.96508369999999999</v>
      </c>
      <c r="Q7588">
        <v>5.8139789999999997E-2</v>
      </c>
      <c r="R7588">
        <v>-0.25540790000000002</v>
      </c>
      <c r="S7588">
        <v>-2.8511660000000001</v>
      </c>
      <c r="T7588">
        <v>-0.1738741</v>
      </c>
      <c r="U7588">
        <v>-1.0126500000000001</v>
      </c>
      <c r="V7588">
        <v>-0.15042349999999999</v>
      </c>
      <c r="W7588">
        <v>6.955662E-2</v>
      </c>
      <c r="X7588">
        <v>0.98617169999999998</v>
      </c>
      <c r="Y7588">
        <v>-0.23138359999999999</v>
      </c>
      <c r="Z7588">
        <v>-5.3100290000000002E-4</v>
      </c>
      <c r="AA7588">
        <v>0.97286240000000002</v>
      </c>
      <c r="AB7588">
        <v>17</v>
      </c>
      <c r="AC7588">
        <v>-18.0552999999999</v>
      </c>
      <c r="AD7588">
        <v>-1.1111557163549901</v>
      </c>
      <c r="AE7588">
        <v>-6.4520999999999997</v>
      </c>
      <c r="AF7588">
        <v>-4.4614511165825803</v>
      </c>
      <c r="AG7588">
        <v>-1.1111557163549901</v>
      </c>
      <c r="AH7588">
        <v>18.581225923863201</v>
      </c>
      <c r="AI7588">
        <v>93.327846925143504</v>
      </c>
      <c r="AJ7588">
        <v>103.501438652413</v>
      </c>
      <c r="AK7588">
        <v>19.141608342176699</v>
      </c>
      <c r="AL7588">
        <v>86.011478606661598</v>
      </c>
      <c r="AM7588">
        <v>98.672636291944201</v>
      </c>
      <c r="AN7588">
        <v>0.99999998730948203</v>
      </c>
    </row>
    <row r="7589" spans="1:40" x14ac:dyDescent="0.25">
      <c r="A7589" t="str">
        <f>"20190312150840485"</f>
        <v>20190312150840485</v>
      </c>
      <c r="B7589" t="str">
        <f>"1552374520477198"</f>
        <v>1552374520477198</v>
      </c>
      <c r="C7589" t="s">
        <v>40</v>
      </c>
      <c r="D7589">
        <v>4.087771</v>
      </c>
      <c r="E7589">
        <v>0.47015699999999999</v>
      </c>
      <c r="F7589" t="s">
        <v>77</v>
      </c>
      <c r="G7589">
        <v>-402.04270000000002</v>
      </c>
      <c r="H7589" s="1">
        <v>-2.9572249999999999E-6</v>
      </c>
      <c r="I7589">
        <v>132.86699999999999</v>
      </c>
      <c r="J7589">
        <v>-383.52620000000002</v>
      </c>
      <c r="K7589">
        <v>1.1111470000000001</v>
      </c>
      <c r="L7589">
        <v>139.5222</v>
      </c>
      <c r="M7589">
        <v>-0.99399879999999996</v>
      </c>
      <c r="N7589">
        <v>0</v>
      </c>
      <c r="O7589">
        <v>-0.108755</v>
      </c>
      <c r="P7589">
        <v>-0.96468449999999994</v>
      </c>
      <c r="Q7589">
        <v>5.8769620000000002E-2</v>
      </c>
      <c r="R7589">
        <v>-0.25676900000000002</v>
      </c>
      <c r="S7589">
        <v>-2.8493650000000001</v>
      </c>
      <c r="T7589">
        <v>-0.16944339999999999</v>
      </c>
      <c r="U7589">
        <v>-1.017914</v>
      </c>
      <c r="V7589">
        <v>-0.15042449999999999</v>
      </c>
      <c r="W7589">
        <v>7.0175920000000003E-2</v>
      </c>
      <c r="X7589">
        <v>0.98612770000000005</v>
      </c>
      <c r="Y7589">
        <v>-0.23180919999999999</v>
      </c>
      <c r="Z7589">
        <v>-4.5019670000000001E-4</v>
      </c>
      <c r="AA7589">
        <v>0.97276119999999999</v>
      </c>
      <c r="AB7589">
        <v>17</v>
      </c>
      <c r="AC7589">
        <v>-18.516500000000001</v>
      </c>
      <c r="AD7589">
        <v>-1.1111499572250001</v>
      </c>
      <c r="AE7589">
        <v>-6.6551999999999696</v>
      </c>
      <c r="AF7589">
        <v>-4.5871892421497096</v>
      </c>
      <c r="AG7589">
        <v>-1.1111499572250001</v>
      </c>
      <c r="AH7589">
        <v>19.069677706804399</v>
      </c>
      <c r="AI7589">
        <v>93.242448716003693</v>
      </c>
      <c r="AJ7589">
        <v>103.52546424717001</v>
      </c>
      <c r="AK7589">
        <v>19.645090155357501</v>
      </c>
      <c r="AL7589">
        <v>85.975908521784504</v>
      </c>
      <c r="AM7589">
        <v>98.673074152583297</v>
      </c>
      <c r="AN7589">
        <v>1.00000001532769</v>
      </c>
    </row>
    <row r="7590" spans="1:40" x14ac:dyDescent="0.25">
      <c r="A7590" t="str">
        <f>"20190312150840507"</f>
        <v>20190312150840507</v>
      </c>
      <c r="B7590" t="str">
        <f>"1552374520497687"</f>
        <v>1552374520497687</v>
      </c>
      <c r="C7590" t="s">
        <v>40</v>
      </c>
      <c r="D7590">
        <v>4.186712</v>
      </c>
      <c r="E7590">
        <v>0.47017039999999999</v>
      </c>
      <c r="F7590" t="s">
        <v>77</v>
      </c>
      <c r="G7590">
        <v>-402.38440000000003</v>
      </c>
      <c r="H7590" s="1">
        <v>-3.0919699999999998E-6</v>
      </c>
      <c r="I7590">
        <v>132.75370000000001</v>
      </c>
      <c r="J7590">
        <v>-383.6977</v>
      </c>
      <c r="K7590">
        <v>1.111143</v>
      </c>
      <c r="L7590">
        <v>139.5018</v>
      </c>
      <c r="M7590">
        <v>-0.99384419999999996</v>
      </c>
      <c r="N7590">
        <v>0</v>
      </c>
      <c r="O7590">
        <v>-0.1101603</v>
      </c>
      <c r="P7590">
        <v>-0.96426559999999994</v>
      </c>
      <c r="Q7590">
        <v>5.8944299999999998E-2</v>
      </c>
      <c r="R7590">
        <v>-0.25829659999999999</v>
      </c>
      <c r="S7590">
        <v>-2.8479610000000002</v>
      </c>
      <c r="T7590">
        <v>-0.1678057</v>
      </c>
      <c r="U7590">
        <v>-1.022186</v>
      </c>
      <c r="V7590">
        <v>-0.150593</v>
      </c>
      <c r="W7590">
        <v>7.0340509999999995E-2</v>
      </c>
      <c r="X7590">
        <v>0.98609020000000003</v>
      </c>
      <c r="Y7590">
        <v>-0.2318849</v>
      </c>
      <c r="Z7590">
        <v>-3.6911989999999998E-4</v>
      </c>
      <c r="AA7590">
        <v>0.97274320000000003</v>
      </c>
      <c r="AB7590">
        <v>17</v>
      </c>
      <c r="AC7590">
        <v>-18.686699999999998</v>
      </c>
      <c r="AD7590">
        <v>-1.11114609197</v>
      </c>
      <c r="AE7590">
        <v>-6.7480999999999902</v>
      </c>
      <c r="AF7590">
        <v>-4.6338553839388297</v>
      </c>
      <c r="AG7590">
        <v>-1.11114609197</v>
      </c>
      <c r="AH7590">
        <v>19.256148125962898</v>
      </c>
      <c r="AI7590">
        <v>93.211036218964495</v>
      </c>
      <c r="AJ7590">
        <v>103.530557643206</v>
      </c>
      <c r="AK7590">
        <v>19.836998311387301</v>
      </c>
      <c r="AL7590">
        <v>85.966454627571096</v>
      </c>
      <c r="AM7590">
        <v>98.682966595981597</v>
      </c>
      <c r="AN7590">
        <v>0.99999996076604902</v>
      </c>
    </row>
    <row r="7591" spans="1:40" x14ac:dyDescent="0.25">
      <c r="A7591" t="str">
        <f>"20190312150840529"</f>
        <v>20190312150840529</v>
      </c>
      <c r="B7591" t="str">
        <f>"1552374520517208"</f>
        <v>1552374520517208</v>
      </c>
      <c r="C7591" t="s">
        <v>40</v>
      </c>
      <c r="D7591">
        <v>4.0900280000000002</v>
      </c>
      <c r="E7591">
        <v>0.47021190000000002</v>
      </c>
      <c r="F7591" t="s">
        <v>77</v>
      </c>
      <c r="G7591">
        <v>-402.73750000000001</v>
      </c>
      <c r="H7591" s="1">
        <v>-3.2297390000000002E-6</v>
      </c>
      <c r="I7591">
        <v>132.63380000000001</v>
      </c>
      <c r="J7591">
        <v>-383.8612</v>
      </c>
      <c r="K7591">
        <v>1.11113</v>
      </c>
      <c r="L7591">
        <v>139.482</v>
      </c>
      <c r="M7591">
        <v>-0.99369629999999998</v>
      </c>
      <c r="N7591">
        <v>0</v>
      </c>
      <c r="O7591">
        <v>-0.1114874</v>
      </c>
      <c r="P7591">
        <v>-0.96387239999999996</v>
      </c>
      <c r="Q7591">
        <v>5.9264079999999997E-2</v>
      </c>
      <c r="R7591">
        <v>-0.2596889</v>
      </c>
      <c r="S7591">
        <v>-2.8463129999999999</v>
      </c>
      <c r="T7591">
        <v>-0.16610810000000001</v>
      </c>
      <c r="U7591">
        <v>-1.0267029999999999</v>
      </c>
      <c r="V7591">
        <v>-0.15070249999999999</v>
      </c>
      <c r="W7591">
        <v>7.0651099999999994E-2</v>
      </c>
      <c r="X7591">
        <v>0.98605129999999996</v>
      </c>
      <c r="Y7591">
        <v>-0.2321368</v>
      </c>
      <c r="Z7591">
        <v>-2.9879160000000001E-4</v>
      </c>
      <c r="AA7591">
        <v>0.97268310000000002</v>
      </c>
      <c r="AB7591">
        <v>17</v>
      </c>
      <c r="AC7591">
        <v>-18.876300000000001</v>
      </c>
      <c r="AD7591">
        <v>-1.111133229739</v>
      </c>
      <c r="AE7591">
        <v>-6.8481999999999896</v>
      </c>
      <c r="AF7591">
        <v>-4.6865363449508299</v>
      </c>
      <c r="AG7591">
        <v>-1.111133229739</v>
      </c>
      <c r="AH7591">
        <v>19.462553347274199</v>
      </c>
      <c r="AI7591">
        <v>93.176904208433598</v>
      </c>
      <c r="AJ7591">
        <v>103.53893624062999</v>
      </c>
      <c r="AK7591">
        <v>20.049668894080799</v>
      </c>
      <c r="AL7591">
        <v>85.948614880563397</v>
      </c>
      <c r="AM7591">
        <v>98.6895214336446</v>
      </c>
      <c r="AN7591">
        <v>0.99999999383457405</v>
      </c>
    </row>
    <row r="7592" spans="1:40" x14ac:dyDescent="0.25">
      <c r="A7592" t="str">
        <f>"20190312150840552"</f>
        <v>20190312150840552</v>
      </c>
      <c r="B7592" t="str">
        <f>"1552374520547464"</f>
        <v>1552374520547464</v>
      </c>
      <c r="C7592" t="s">
        <v>40</v>
      </c>
      <c r="D7592">
        <v>4.0719900000000004</v>
      </c>
      <c r="E7592">
        <v>0.47027350000000001</v>
      </c>
      <c r="F7592" t="s">
        <v>77</v>
      </c>
      <c r="G7592">
        <v>-403.21550000000002</v>
      </c>
      <c r="H7592" s="1">
        <v>-3.4167829999999998E-6</v>
      </c>
      <c r="I7592">
        <v>132.4727</v>
      </c>
      <c r="J7592">
        <v>-384.029</v>
      </c>
      <c r="K7592">
        <v>1.11113</v>
      </c>
      <c r="L7592">
        <v>139.4616</v>
      </c>
      <c r="M7592">
        <v>-0.99354359999999997</v>
      </c>
      <c r="N7592">
        <v>0</v>
      </c>
      <c r="O7592">
        <v>-0.1128408</v>
      </c>
      <c r="P7592">
        <v>-0.96360670000000004</v>
      </c>
      <c r="Q7592">
        <v>5.8995819999999997E-2</v>
      </c>
      <c r="R7592">
        <v>-0.26073299999999999</v>
      </c>
      <c r="S7592">
        <v>-2.8449399999999998</v>
      </c>
      <c r="T7592">
        <v>-0.16332839999999901</v>
      </c>
      <c r="U7592">
        <v>-1.030319</v>
      </c>
      <c r="V7592">
        <v>-0.15042469999999999</v>
      </c>
      <c r="W7592">
        <v>7.0376179999999997E-2</v>
      </c>
      <c r="X7592">
        <v>0.98611340000000003</v>
      </c>
      <c r="Y7592">
        <v>-0.2320633</v>
      </c>
      <c r="Z7592">
        <v>-2.177763E-4</v>
      </c>
      <c r="AA7592">
        <v>0.97270069999999997</v>
      </c>
      <c r="AB7592">
        <v>17</v>
      </c>
      <c r="AC7592">
        <v>-19.186499999999999</v>
      </c>
      <c r="AD7592">
        <v>-1.111133416783</v>
      </c>
      <c r="AE7592">
        <v>-6.9889000000000001</v>
      </c>
      <c r="AF7592">
        <v>-4.7649779224662998</v>
      </c>
      <c r="AG7592">
        <v>-1.111133416783</v>
      </c>
      <c r="AH7592">
        <v>19.794018786183599</v>
      </c>
      <c r="AI7592">
        <v>93.1238606532402</v>
      </c>
      <c r="AJ7592">
        <v>103.535175581521</v>
      </c>
      <c r="AK7592">
        <v>20.38977223461</v>
      </c>
      <c r="AL7592">
        <v>85.964406038426503</v>
      </c>
      <c r="AM7592">
        <v>98.673209367814394</v>
      </c>
      <c r="AN7592">
        <v>1.0000000173705199</v>
      </c>
    </row>
    <row r="7593" spans="1:40" x14ac:dyDescent="0.25">
      <c r="A7593" t="str">
        <f>"20190312150840573"</f>
        <v>20190312150840573</v>
      </c>
      <c r="B7593" t="str">
        <f>"1552374520567960"</f>
        <v>1552374520567960</v>
      </c>
      <c r="C7593" t="s">
        <v>40</v>
      </c>
      <c r="D7593">
        <v>4.0905389999999997</v>
      </c>
      <c r="E7593">
        <v>0.4702885</v>
      </c>
      <c r="F7593" t="s">
        <v>77</v>
      </c>
      <c r="G7593">
        <v>-403.2525</v>
      </c>
      <c r="H7593" s="1">
        <v>-3.440012E-6</v>
      </c>
      <c r="I7593">
        <v>132.47669999999999</v>
      </c>
      <c r="J7593">
        <v>-384.19670000000002</v>
      </c>
      <c r="K7593">
        <v>1.1111260000000001</v>
      </c>
      <c r="L7593">
        <v>139.4409</v>
      </c>
      <c r="M7593">
        <v>-0.99338979999999999</v>
      </c>
      <c r="N7593">
        <v>0</v>
      </c>
      <c r="O7593">
        <v>-0.1141866</v>
      </c>
      <c r="P7593">
        <v>-0.96329920000000002</v>
      </c>
      <c r="Q7593">
        <v>5.9308090000000001E-2</v>
      </c>
      <c r="R7593">
        <v>-0.26179609999999998</v>
      </c>
      <c r="S7593">
        <v>-2.8437809999999999</v>
      </c>
      <c r="T7593">
        <v>-0.1643724</v>
      </c>
      <c r="U7593">
        <v>-1.0332790000000001</v>
      </c>
      <c r="V7593">
        <v>-0.15018029999999999</v>
      </c>
      <c r="W7593">
        <v>7.0681560000000004E-2</v>
      </c>
      <c r="X7593">
        <v>0.98612880000000003</v>
      </c>
      <c r="Y7593">
        <v>-0.23176759999999999</v>
      </c>
      <c r="Z7593">
        <v>-1.368141E-4</v>
      </c>
      <c r="AA7593">
        <v>0.97277119999999995</v>
      </c>
      <c r="AB7593">
        <v>17</v>
      </c>
      <c r="AC7593">
        <v>-19.055799999999898</v>
      </c>
      <c r="AD7593">
        <v>-1.111129440012</v>
      </c>
      <c r="AE7593">
        <v>-6.9641999999999999</v>
      </c>
      <c r="AF7593">
        <v>-4.72839361041129</v>
      </c>
      <c r="AG7593">
        <v>-1.111129440012</v>
      </c>
      <c r="AH7593">
        <v>19.667428320393999</v>
      </c>
      <c r="AI7593">
        <v>93.144137806130701</v>
      </c>
      <c r="AJ7593">
        <v>103.51834838731401</v>
      </c>
      <c r="AK7593">
        <v>20.258332890573101</v>
      </c>
      <c r="AL7593">
        <v>85.946865333859407</v>
      </c>
      <c r="AM7593">
        <v>98.659198310986199</v>
      </c>
      <c r="AN7593">
        <v>1.00000000781078</v>
      </c>
    </row>
    <row r="7594" spans="1:40" x14ac:dyDescent="0.25">
      <c r="A7594" t="str">
        <f>"20190312150840596"</f>
        <v>20190312150840596</v>
      </c>
      <c r="B7594" t="str">
        <f>"1552374520587480"</f>
        <v>1552374520587480</v>
      </c>
      <c r="C7594" t="s">
        <v>40</v>
      </c>
      <c r="D7594">
        <v>4.0539480000000001</v>
      </c>
      <c r="E7594">
        <v>0.47030090000000002</v>
      </c>
      <c r="F7594" t="s">
        <v>77</v>
      </c>
      <c r="G7594">
        <v>-403.50049999999999</v>
      </c>
      <c r="H7594" s="1">
        <v>-3.5418160000000001E-6</v>
      </c>
      <c r="I7594">
        <v>132.40209999999999</v>
      </c>
      <c r="J7594">
        <v>-384.36399999999998</v>
      </c>
      <c r="K7594">
        <v>1.1111329999999999</v>
      </c>
      <c r="L7594">
        <v>139.42009999999999</v>
      </c>
      <c r="M7594">
        <v>-0.9932356</v>
      </c>
      <c r="N7594">
        <v>0</v>
      </c>
      <c r="O7594">
        <v>-0.11552229999999999</v>
      </c>
      <c r="P7594">
        <v>-0.96299420000000002</v>
      </c>
      <c r="Q7594">
        <v>5.9063419999999998E-2</v>
      </c>
      <c r="R7594">
        <v>-0.26297140000000002</v>
      </c>
      <c r="S7594">
        <v>-2.8426819999999999</v>
      </c>
      <c r="T7594">
        <v>-0.16362489999999999</v>
      </c>
      <c r="U7594">
        <v>-1.03653</v>
      </c>
      <c r="V7594">
        <v>-0.15005550000000001</v>
      </c>
      <c r="W7594">
        <v>7.0430400000000004E-2</v>
      </c>
      <c r="X7594">
        <v>0.98616579999999998</v>
      </c>
      <c r="Y7594">
        <v>-0.2315661</v>
      </c>
      <c r="Z7594" s="1">
        <v>-5.7390430000000001E-5</v>
      </c>
      <c r="AA7594">
        <v>0.97281910000000005</v>
      </c>
      <c r="AB7594">
        <v>17</v>
      </c>
      <c r="AC7594">
        <v>-19.136499999999899</v>
      </c>
      <c r="AD7594">
        <v>-1.111136541816</v>
      </c>
      <c r="AE7594">
        <v>-7.0179999999999998</v>
      </c>
      <c r="AF7594">
        <v>-4.7460586013143802</v>
      </c>
      <c r="AG7594">
        <v>-1.111136541816</v>
      </c>
      <c r="AH7594">
        <v>19.7604301216914</v>
      </c>
      <c r="AI7594">
        <v>93.129558027517405</v>
      </c>
      <c r="AJ7594">
        <v>103.50548030673301</v>
      </c>
      <c r="AK7594">
        <v>20.352746626829401</v>
      </c>
      <c r="AL7594">
        <v>85.961291823869502</v>
      </c>
      <c r="AM7594">
        <v>98.651791739316593</v>
      </c>
      <c r="AN7594">
        <v>1.0000000397070199</v>
      </c>
    </row>
    <row r="7595" spans="1:40" x14ac:dyDescent="0.25">
      <c r="A7595" t="str">
        <f>"20190312150840618"</f>
        <v>20190312150840618</v>
      </c>
      <c r="B7595" t="str">
        <f>"1552374520607976"</f>
        <v>1552374520607976</v>
      </c>
      <c r="C7595" t="s">
        <v>40</v>
      </c>
      <c r="D7595">
        <v>4.0685390000000003</v>
      </c>
      <c r="E7595">
        <v>0.4703097</v>
      </c>
      <c r="F7595" t="s">
        <v>77</v>
      </c>
      <c r="G7595">
        <v>-403.5333</v>
      </c>
      <c r="H7595" s="1">
        <v>-3.5607360000000002E-6</v>
      </c>
      <c r="I7595">
        <v>132.4025</v>
      </c>
      <c r="J7595">
        <v>-384.53269999999998</v>
      </c>
      <c r="K7595">
        <v>1.111129</v>
      </c>
      <c r="L7595">
        <v>139.39879999999999</v>
      </c>
      <c r="M7595">
        <v>-0.99307889999999999</v>
      </c>
      <c r="N7595">
        <v>0</v>
      </c>
      <c r="O7595">
        <v>-0.1168623</v>
      </c>
      <c r="P7595">
        <v>-0.96269939999999998</v>
      </c>
      <c r="Q7595">
        <v>5.9581349999999998E-2</v>
      </c>
      <c r="R7595">
        <v>-0.26393260000000002</v>
      </c>
      <c r="S7595">
        <v>-2.8413390000000001</v>
      </c>
      <c r="T7595">
        <v>-0.16469600000000001</v>
      </c>
      <c r="U7595">
        <v>-1.0401609999999999</v>
      </c>
      <c r="V7595">
        <v>-0.14971329999999999</v>
      </c>
      <c r="W7595">
        <v>7.0943619999999999E-2</v>
      </c>
      <c r="X7595">
        <v>0.98618099999999997</v>
      </c>
      <c r="Y7595">
        <v>-0.23149829999999999</v>
      </c>
      <c r="Z7595" s="1">
        <v>1.8031799999999999E-5</v>
      </c>
      <c r="AA7595">
        <v>0.97283529999999996</v>
      </c>
      <c r="AB7595">
        <v>17</v>
      </c>
      <c r="AC7595">
        <v>-19.000599999999999</v>
      </c>
      <c r="AD7595">
        <v>-1.1111325607359901</v>
      </c>
      <c r="AE7595">
        <v>-6.99629999999999</v>
      </c>
      <c r="AF7595">
        <v>-4.7135544079779201</v>
      </c>
      <c r="AG7595">
        <v>-1.1111325607359901</v>
      </c>
      <c r="AH7595">
        <v>19.628940296509398</v>
      </c>
      <c r="AI7595">
        <v>93.150502440710895</v>
      </c>
      <c r="AJ7595">
        <v>103.50293309854599</v>
      </c>
      <c r="AK7595">
        <v>20.217504986729299</v>
      </c>
      <c r="AL7595">
        <v>85.931812651978802</v>
      </c>
      <c r="AM7595">
        <v>98.632227928549298</v>
      </c>
      <c r="AN7595">
        <v>1.0000000170882899</v>
      </c>
    </row>
    <row r="7596" spans="1:40" x14ac:dyDescent="0.25">
      <c r="A7596" t="str">
        <f>"20190312150840642"</f>
        <v>20190312150840642</v>
      </c>
      <c r="B7596" t="str">
        <f>"1552374520637257"</f>
        <v>1552374520637257</v>
      </c>
      <c r="C7596" t="s">
        <v>40</v>
      </c>
      <c r="D7596">
        <v>4.1083769999999999</v>
      </c>
      <c r="E7596">
        <v>0.4359131</v>
      </c>
      <c r="F7596" t="s">
        <v>77</v>
      </c>
      <c r="G7596">
        <v>-403.88229999999999</v>
      </c>
      <c r="H7596" s="1">
        <v>-3.667891E-6</v>
      </c>
      <c r="I7596">
        <v>132.292</v>
      </c>
      <c r="J7596">
        <v>-384.702</v>
      </c>
      <c r="K7596">
        <v>1.1111219999999999</v>
      </c>
      <c r="L7596">
        <v>139.37729999999999</v>
      </c>
      <c r="M7596">
        <v>-0.9929209</v>
      </c>
      <c r="N7596">
        <v>0</v>
      </c>
      <c r="O7596">
        <v>-0.1181963</v>
      </c>
      <c r="P7596">
        <v>-0.96248180000000005</v>
      </c>
      <c r="Q7596">
        <v>5.9010670000000001E-2</v>
      </c>
      <c r="R7596">
        <v>-0.26485189999999997</v>
      </c>
      <c r="S7596">
        <v>-2.8403930000000002</v>
      </c>
      <c r="T7596">
        <v>-0.16310740000000001</v>
      </c>
      <c r="U7596">
        <v>-1.043228</v>
      </c>
      <c r="V7596">
        <v>-0.14932479999999901</v>
      </c>
      <c r="W7596">
        <v>7.0370940000000007E-2</v>
      </c>
      <c r="X7596">
        <v>0.98628090000000002</v>
      </c>
      <c r="Y7596">
        <v>-0.2312273</v>
      </c>
      <c r="Z7596" s="1">
        <v>9.8270360000000004E-5</v>
      </c>
      <c r="AA7596">
        <v>0.97289970000000003</v>
      </c>
      <c r="AB7596">
        <v>17</v>
      </c>
      <c r="AC7596">
        <v>-19.1802999999999</v>
      </c>
      <c r="AD7596">
        <v>-1.111125667891</v>
      </c>
      <c r="AE7596">
        <v>-7.0852999999999797</v>
      </c>
      <c r="AF7596">
        <v>-4.7543906790061703</v>
      </c>
      <c r="AG7596">
        <v>-1.111125667891</v>
      </c>
      <c r="AH7596">
        <v>19.8248038405942</v>
      </c>
      <c r="AI7596">
        <v>93.119639647871495</v>
      </c>
      <c r="AJ7596">
        <v>103.48599833570999</v>
      </c>
      <c r="AK7596">
        <v>20.417190754276302</v>
      </c>
      <c r="AL7596">
        <v>85.96470690145</v>
      </c>
      <c r="AM7596">
        <v>98.609304739510094</v>
      </c>
      <c r="AN7596">
        <v>0.99999998939816603</v>
      </c>
    </row>
    <row r="7597" spans="1:40" x14ac:dyDescent="0.25">
      <c r="A7597" t="str">
        <f>"20190312150840664"</f>
        <v>20190312150840664</v>
      </c>
      <c r="B7597" t="str">
        <f>"1552374520657751"</f>
        <v>1552374520657751</v>
      </c>
      <c r="C7597" t="s">
        <v>40</v>
      </c>
      <c r="D7597">
        <v>4.0151940000000002</v>
      </c>
      <c r="E7597">
        <v>0.42382209999999998</v>
      </c>
      <c r="F7597" t="s">
        <v>42</v>
      </c>
      <c r="G7597">
        <v>-393.59769999999997</v>
      </c>
      <c r="H7597" s="1">
        <v>-3.5239880000000001E-6</v>
      </c>
      <c r="I7597">
        <v>135.1337</v>
      </c>
      <c r="J7597">
        <v>-384.8725</v>
      </c>
      <c r="K7597">
        <v>1.1111089999999999</v>
      </c>
      <c r="L7597">
        <v>139.3554</v>
      </c>
      <c r="M7597">
        <v>-0.99276180000000003</v>
      </c>
      <c r="N7597">
        <v>0</v>
      </c>
      <c r="O7597">
        <v>-0.1195268</v>
      </c>
      <c r="P7597">
        <v>-0.96224109999999996</v>
      </c>
      <c r="Q7597">
        <v>5.882714E-2</v>
      </c>
      <c r="R7597">
        <v>-0.26576609999999901</v>
      </c>
      <c r="S7597">
        <v>-2.7740779999999998</v>
      </c>
      <c r="T7597">
        <v>-0.34649799999999997</v>
      </c>
      <c r="U7597">
        <v>-1.3233029999999999</v>
      </c>
      <c r="V7597">
        <v>-0.1489374</v>
      </c>
      <c r="W7597">
        <v>7.0187349999999996E-2</v>
      </c>
      <c r="X7597">
        <v>0.98635260000000002</v>
      </c>
      <c r="Y7597">
        <v>-0.31832700000000003</v>
      </c>
      <c r="Z7597">
        <v>-4.8001349999999996E-3</v>
      </c>
      <c r="AA7597">
        <v>0.94796879999999994</v>
      </c>
      <c r="AB7597">
        <v>17</v>
      </c>
      <c r="AC7597">
        <v>-8.7251999999999708</v>
      </c>
      <c r="AD7597">
        <v>-1.111112523988</v>
      </c>
      <c r="AE7597">
        <v>-4.2216999999999896</v>
      </c>
      <c r="AF7597">
        <v>-3.1076278187296098</v>
      </c>
      <c r="AG7597">
        <v>-1.111112523988</v>
      </c>
      <c r="AH7597">
        <v>9.0483812243300701</v>
      </c>
      <c r="AI7597">
        <v>96.624549525279306</v>
      </c>
      <c r="AJ7597">
        <v>108.95481483754401</v>
      </c>
      <c r="AK7597">
        <v>9.6314653340763297</v>
      </c>
      <c r="AL7597">
        <v>85.975252080947797</v>
      </c>
      <c r="AM7597">
        <v>98.5866877173017</v>
      </c>
      <c r="AN7597">
        <v>1.00000003237277</v>
      </c>
    </row>
    <row r="7598" spans="1:40" x14ac:dyDescent="0.25">
      <c r="A7598" t="str">
        <f>"20190312150840686"</f>
        <v>20190312150840686</v>
      </c>
      <c r="B7598" t="str">
        <f>"1552374520677272"</f>
        <v>1552374520677272</v>
      </c>
      <c r="C7598" t="s">
        <v>40</v>
      </c>
      <c r="D7598">
        <v>4.0024459999999999</v>
      </c>
      <c r="E7598">
        <v>0.35991469999999998</v>
      </c>
      <c r="F7598" t="s">
        <v>42</v>
      </c>
      <c r="G7598">
        <v>-394.8614</v>
      </c>
      <c r="H7598" s="1">
        <v>-3.1760749999999999E-6</v>
      </c>
      <c r="I7598">
        <v>134.19919999999999</v>
      </c>
      <c r="J7598">
        <v>-385.03500000000003</v>
      </c>
      <c r="K7598">
        <v>1.111094</v>
      </c>
      <c r="L7598">
        <v>139.33430000000001</v>
      </c>
      <c r="M7598">
        <v>-0.99261129999999997</v>
      </c>
      <c r="N7598">
        <v>0</v>
      </c>
      <c r="O7598">
        <v>-0.120772</v>
      </c>
      <c r="P7598">
        <v>-0.96192679999999997</v>
      </c>
      <c r="Q7598">
        <v>5.8391310000000002E-2</v>
      </c>
      <c r="R7598">
        <v>-0.26699800000000001</v>
      </c>
      <c r="S7598">
        <v>-2.7450559999999999</v>
      </c>
      <c r="T7598">
        <v>-0.3053457</v>
      </c>
      <c r="U7598">
        <v>-1.4169620000000001</v>
      </c>
      <c r="V7598">
        <v>-0.14895649999999999</v>
      </c>
      <c r="W7598">
        <v>6.975257E-2</v>
      </c>
      <c r="X7598">
        <v>0.98638049999999999</v>
      </c>
      <c r="Y7598">
        <v>-0.34691280000000002</v>
      </c>
      <c r="Z7598">
        <v>-5.6137269999999998E-3</v>
      </c>
      <c r="AA7598">
        <v>0.93788059999999995</v>
      </c>
      <c r="AB7598">
        <v>17</v>
      </c>
      <c r="AC7598">
        <v>-9.8263999999999694</v>
      </c>
      <c r="AD7598">
        <v>-1.1110971760749999</v>
      </c>
      <c r="AE7598">
        <v>-5.13510000000002</v>
      </c>
      <c r="AF7598">
        <v>-3.87178840952105</v>
      </c>
      <c r="AG7598">
        <v>-1.1110971760749999</v>
      </c>
      <c r="AH7598">
        <v>10.271527267814999</v>
      </c>
      <c r="AI7598">
        <v>95.779808915246207</v>
      </c>
      <c r="AJ7598">
        <v>110.653623025632</v>
      </c>
      <c r="AK7598">
        <v>11.033111747655401</v>
      </c>
      <c r="AL7598">
        <v>86.000224115439806</v>
      </c>
      <c r="AM7598">
        <v>98.587533186729999</v>
      </c>
      <c r="AN7598">
        <v>0.99999997534705198</v>
      </c>
    </row>
    <row r="7599" spans="1:40" x14ac:dyDescent="0.25">
      <c r="A7599" t="str">
        <f>"20190312150840707"</f>
        <v>20190312150840707</v>
      </c>
      <c r="B7599" t="str">
        <f>"1552374520697768"</f>
        <v>1552374520697768</v>
      </c>
      <c r="C7599" t="s">
        <v>40</v>
      </c>
      <c r="D7599">
        <v>4.0388169999999999</v>
      </c>
      <c r="E7599">
        <v>0.34995690000000002</v>
      </c>
      <c r="F7599" t="s">
        <v>41</v>
      </c>
      <c r="G7599">
        <v>-385.83030000000002</v>
      </c>
      <c r="H7599">
        <v>1.0096719999999999</v>
      </c>
      <c r="I7599">
        <v>138.75030000000001</v>
      </c>
      <c r="J7599">
        <v>-385.20100000000002</v>
      </c>
      <c r="K7599">
        <v>1.111075</v>
      </c>
      <c r="L7599">
        <v>139.3126</v>
      </c>
      <c r="M7599">
        <v>-0.99245919999999999</v>
      </c>
      <c r="N7599">
        <v>0</v>
      </c>
      <c r="O7599">
        <v>-0.1220144</v>
      </c>
      <c r="P7599">
        <v>-0.96164139999999998</v>
      </c>
      <c r="Q7599">
        <v>5.8270059999999999E-2</v>
      </c>
      <c r="R7599">
        <v>-0.2680495</v>
      </c>
      <c r="S7599">
        <v>-2.6072389999999999</v>
      </c>
      <c r="T7599">
        <v>-0.332516799999999</v>
      </c>
      <c r="U7599">
        <v>-1.915497</v>
      </c>
      <c r="V7599">
        <v>-0.1487964</v>
      </c>
      <c r="W7599">
        <v>6.9635569999999994E-2</v>
      </c>
      <c r="X7599">
        <v>0.98641290000000004</v>
      </c>
      <c r="Y7599">
        <v>-0.48742429999999898</v>
      </c>
      <c r="Z7599">
        <v>-1.3972709999999999E-2</v>
      </c>
      <c r="AA7599">
        <v>0.87305350000000004</v>
      </c>
      <c r="AB7599">
        <v>17</v>
      </c>
      <c r="AC7599">
        <v>-0.62930000000005704</v>
      </c>
      <c r="AD7599">
        <v>-0.10140299999999999</v>
      </c>
      <c r="AE7599">
        <v>-0.56229999999999303</v>
      </c>
      <c r="AF7599">
        <v>-0.47445904549871898</v>
      </c>
      <c r="AG7599">
        <v>-0.10140299999999999</v>
      </c>
      <c r="AH7599">
        <v>0.68334486723573395</v>
      </c>
      <c r="AI7599">
        <v>96.949615547253799</v>
      </c>
      <c r="AJ7599">
        <v>124.77296628157001</v>
      </c>
      <c r="AK7599">
        <v>0.83806572644511501</v>
      </c>
      <c r="AL7599">
        <v>86.006943941677207</v>
      </c>
      <c r="AM7599">
        <v>98.578163030355199</v>
      </c>
      <c r="AN7599">
        <v>0.99999994527429603</v>
      </c>
    </row>
    <row r="7600" spans="1:40" x14ac:dyDescent="0.25">
      <c r="A7600" t="str">
        <f>"20190312150840730"</f>
        <v>20190312150840730</v>
      </c>
      <c r="B7600" t="str">
        <f>"1552374520727048"</f>
        <v>1552374520727048</v>
      </c>
      <c r="C7600" t="s">
        <v>40</v>
      </c>
      <c r="D7600">
        <v>3.7979630000000002</v>
      </c>
      <c r="E7600">
        <v>0.34797739999999999</v>
      </c>
      <c r="F7600" t="s">
        <v>41</v>
      </c>
      <c r="G7600">
        <v>-385.97480000000002</v>
      </c>
      <c r="H7600">
        <v>1.007112</v>
      </c>
      <c r="I7600">
        <v>138.715</v>
      </c>
      <c r="J7600">
        <v>-385.36919999999998</v>
      </c>
      <c r="K7600">
        <v>1.1110500000000001</v>
      </c>
      <c r="L7600">
        <v>139.29040000000001</v>
      </c>
      <c r="M7600">
        <v>-0.99230750000000001</v>
      </c>
      <c r="N7600">
        <v>0</v>
      </c>
      <c r="O7600">
        <v>-0.1232432</v>
      </c>
      <c r="P7600">
        <v>-0.96131679999999997</v>
      </c>
      <c r="Q7600">
        <v>5.7769859999999999E-2</v>
      </c>
      <c r="R7600">
        <v>-0.2693199</v>
      </c>
      <c r="S7600">
        <v>-2.58432</v>
      </c>
      <c r="T7600">
        <v>-0.34725830000000002</v>
      </c>
      <c r="U7600">
        <v>-1.9961850000000001</v>
      </c>
      <c r="V7600">
        <v>-0.14887069999999999</v>
      </c>
      <c r="W7600">
        <v>6.9138950000000005E-2</v>
      </c>
      <c r="X7600">
        <v>0.98643670000000006</v>
      </c>
      <c r="Y7600">
        <v>-0.50697619999999999</v>
      </c>
      <c r="Z7600">
        <v>-1.559149E-2</v>
      </c>
      <c r="AA7600">
        <v>0.861819</v>
      </c>
      <c r="AB7600">
        <v>17</v>
      </c>
      <c r="AC7600">
        <v>-0.605600000000038</v>
      </c>
      <c r="AD7600">
        <v>-0.103938</v>
      </c>
      <c r="AE7600">
        <v>-0.57540000000000102</v>
      </c>
      <c r="AF7600">
        <v>-0.48880452776246303</v>
      </c>
      <c r="AG7600">
        <v>-0.103938</v>
      </c>
      <c r="AH7600">
        <v>0.66165852421175098</v>
      </c>
      <c r="AI7600">
        <v>97.201064584772496</v>
      </c>
      <c r="AJ7600">
        <v>126.45537602024299</v>
      </c>
      <c r="AK7600">
        <v>0.82917125906965505</v>
      </c>
      <c r="AL7600">
        <v>86.035467222006304</v>
      </c>
      <c r="AM7600">
        <v>98.582178694966899</v>
      </c>
      <c r="AN7600">
        <v>1.0000000214162399</v>
      </c>
    </row>
    <row r="7601" spans="1:40" x14ac:dyDescent="0.25">
      <c r="A7601" t="str">
        <f>"20190312150840752"</f>
        <v>20190312150840752</v>
      </c>
      <c r="B7601" t="str">
        <f>"1552374520747544"</f>
        <v>1552374520747544</v>
      </c>
      <c r="C7601" t="s">
        <v>40</v>
      </c>
      <c r="D7601">
        <v>3.783585</v>
      </c>
      <c r="E7601">
        <v>0.3474566</v>
      </c>
      <c r="F7601" t="s">
        <v>41</v>
      </c>
      <c r="G7601">
        <v>-386.12619999999998</v>
      </c>
      <c r="H7601">
        <v>1.0191969999999999</v>
      </c>
      <c r="I7601">
        <v>138.69890000000001</v>
      </c>
      <c r="J7601">
        <v>-385.53870000000001</v>
      </c>
      <c r="K7601">
        <v>1.1110230000000001</v>
      </c>
      <c r="L7601">
        <v>139.2679</v>
      </c>
      <c r="M7601">
        <v>-0.99215699999999996</v>
      </c>
      <c r="N7601">
        <v>0</v>
      </c>
      <c r="O7601">
        <v>-0.1244488</v>
      </c>
      <c r="P7601">
        <v>-0.96091800000000005</v>
      </c>
      <c r="Q7601">
        <v>5.7202469999999998E-2</v>
      </c>
      <c r="R7601">
        <v>-0.27085959999999998</v>
      </c>
      <c r="S7601">
        <v>-2.5755620000000001</v>
      </c>
      <c r="T7601">
        <v>-0.31251390000000001</v>
      </c>
      <c r="U7601">
        <v>-2.0130159999999999</v>
      </c>
      <c r="V7601">
        <v>-0.1492443</v>
      </c>
      <c r="W7601">
        <v>6.8575239999999996E-2</v>
      </c>
      <c r="X7601">
        <v>0.98641959999999995</v>
      </c>
      <c r="Y7601">
        <v>-0.51123450000000004</v>
      </c>
      <c r="Z7601">
        <v>-1.4155930000000001E-2</v>
      </c>
      <c r="AA7601">
        <v>0.85932459999999899</v>
      </c>
      <c r="AB7601">
        <v>17</v>
      </c>
      <c r="AC7601">
        <v>-0.58749999999997704</v>
      </c>
      <c r="AD7601">
        <v>-9.1825999999999894E-2</v>
      </c>
      <c r="AE7601">
        <v>-0.56899999999998796</v>
      </c>
      <c r="AF7601">
        <v>-0.48533939523425002</v>
      </c>
      <c r="AG7601">
        <v>-9.1825999999999894E-2</v>
      </c>
      <c r="AH7601">
        <v>0.64561016502687496</v>
      </c>
      <c r="AI7601">
        <v>96.486070171132596</v>
      </c>
      <c r="AJ7601">
        <v>126.93412581166599</v>
      </c>
      <c r="AK7601">
        <v>0.81289533645382495</v>
      </c>
      <c r="AL7601">
        <v>86.067842284529704</v>
      </c>
      <c r="AM7601">
        <v>98.603541210732502</v>
      </c>
      <c r="AN7601">
        <v>1.00000002594385</v>
      </c>
    </row>
    <row r="7602" spans="1:40" x14ac:dyDescent="0.25">
      <c r="A7602" t="str">
        <f>"20190312150840774"</f>
        <v>20190312150840774</v>
      </c>
      <c r="B7602" t="str">
        <f>"1552374520767068"</f>
        <v>1552374520767068</v>
      </c>
      <c r="C7602" t="s">
        <v>40</v>
      </c>
      <c r="D7602">
        <v>3.9764339999999998</v>
      </c>
      <c r="E7602">
        <v>0.34669949999999999</v>
      </c>
      <c r="F7602" t="s">
        <v>41</v>
      </c>
      <c r="G7602">
        <v>-386.27890000000002</v>
      </c>
      <c r="H7602">
        <v>1.025698</v>
      </c>
      <c r="I7602">
        <v>138.6866</v>
      </c>
      <c r="J7602">
        <v>-385.70609999999999</v>
      </c>
      <c r="K7602">
        <v>1.111002</v>
      </c>
      <c r="L7602">
        <v>139.24549999999999</v>
      </c>
      <c r="M7602">
        <v>-0.992012</v>
      </c>
      <c r="N7602">
        <v>0</v>
      </c>
      <c r="O7602">
        <v>-0.12559880000000001</v>
      </c>
      <c r="P7602">
        <v>-0.96038239999999997</v>
      </c>
      <c r="Q7602">
        <v>5.7445749999999997E-2</v>
      </c>
      <c r="R7602">
        <v>-0.2727</v>
      </c>
      <c r="S7602">
        <v>-2.5703429999999998</v>
      </c>
      <c r="T7602">
        <v>-0.2962881</v>
      </c>
      <c r="U7602">
        <v>-2.019577</v>
      </c>
      <c r="V7602">
        <v>-0.1499906</v>
      </c>
      <c r="W7602">
        <v>6.8819749999999999E-2</v>
      </c>
      <c r="X7602">
        <v>0.98628930000000004</v>
      </c>
      <c r="Y7602">
        <v>-0.51261400000000001</v>
      </c>
      <c r="Z7602">
        <v>-1.339359E-2</v>
      </c>
      <c r="AA7602">
        <v>0.85851469999999896</v>
      </c>
      <c r="AB7602">
        <v>17</v>
      </c>
      <c r="AC7602">
        <v>-0.57280000000002895</v>
      </c>
      <c r="AD7602">
        <v>-8.5304000000000005E-2</v>
      </c>
      <c r="AE7602">
        <v>-0.55889999999999396</v>
      </c>
      <c r="AF7602">
        <v>-0.477104910955166</v>
      </c>
      <c r="AG7602">
        <v>-8.5304000000000005E-2</v>
      </c>
      <c r="AH7602">
        <v>0.63129290539875604</v>
      </c>
      <c r="AI7602">
        <v>96.152838116925494</v>
      </c>
      <c r="AJ7602">
        <v>127.08047085585299</v>
      </c>
      <c r="AK7602">
        <v>0.79588730413315401</v>
      </c>
      <c r="AL7602">
        <v>86.053799460834398</v>
      </c>
      <c r="AM7602">
        <v>98.647039849993106</v>
      </c>
      <c r="AN7602">
        <v>0.99999996068645503</v>
      </c>
    </row>
    <row r="7603" spans="1:40" x14ac:dyDescent="0.25">
      <c r="A7603" t="str">
        <f>"20190312150840797"</f>
        <v>20190312150840797</v>
      </c>
      <c r="B7603" t="str">
        <f>"1552374520787560"</f>
        <v>1552374520787560</v>
      </c>
      <c r="C7603" t="s">
        <v>40</v>
      </c>
      <c r="D7603">
        <v>3.8390780000000002</v>
      </c>
      <c r="E7603">
        <v>0.34625679999999998</v>
      </c>
      <c r="F7603" t="s">
        <v>41</v>
      </c>
      <c r="G7603">
        <v>-386.43090000000001</v>
      </c>
      <c r="H7603">
        <v>1.0305340000000001</v>
      </c>
      <c r="I7603">
        <v>138.67189999999999</v>
      </c>
      <c r="J7603">
        <v>-385.87169999999998</v>
      </c>
      <c r="K7603">
        <v>1.1109830000000001</v>
      </c>
      <c r="L7603">
        <v>139.22319999999999</v>
      </c>
      <c r="M7603">
        <v>-0.991873</v>
      </c>
      <c r="N7603">
        <v>0</v>
      </c>
      <c r="O7603">
        <v>-0.1266941</v>
      </c>
      <c r="P7603">
        <v>-0.95971859999999998</v>
      </c>
      <c r="Q7603">
        <v>5.789685E-2</v>
      </c>
      <c r="R7603">
        <v>-0.27493390000000001</v>
      </c>
      <c r="S7603">
        <v>-2.5644529999999999</v>
      </c>
      <c r="T7603">
        <v>-0.28470580000000001</v>
      </c>
      <c r="U7603">
        <v>-2.029846</v>
      </c>
      <c r="V7603">
        <v>-0.15119730000000001</v>
      </c>
      <c r="W7603">
        <v>6.9265480000000004E-2</v>
      </c>
      <c r="X7603">
        <v>0.98607389999999995</v>
      </c>
      <c r="Y7603">
        <v>-0.51485360000000002</v>
      </c>
      <c r="Z7603">
        <v>-1.288747E-2</v>
      </c>
      <c r="AA7603">
        <v>0.85718130000000003</v>
      </c>
      <c r="AB7603">
        <v>17</v>
      </c>
      <c r="AC7603">
        <v>-0.559200000000032</v>
      </c>
      <c r="AD7603">
        <v>-8.0448999999999896E-2</v>
      </c>
      <c r="AE7603">
        <v>-0.55129999999999701</v>
      </c>
      <c r="AF7603">
        <v>-0.471060626223683</v>
      </c>
      <c r="AG7603">
        <v>-8.0448999999999896E-2</v>
      </c>
      <c r="AH7603">
        <v>0.61805752524715796</v>
      </c>
      <c r="AI7603">
        <v>95.910427461504796</v>
      </c>
      <c r="AJ7603">
        <v>127.313311534432</v>
      </c>
      <c r="AK7603">
        <v>0.78125876615490797</v>
      </c>
      <c r="AL7603">
        <v>86.028200212613001</v>
      </c>
      <c r="AM7603">
        <v>98.717417338979104</v>
      </c>
      <c r="AN7603">
        <v>1.00000003325406</v>
      </c>
    </row>
    <row r="7604" spans="1:40" x14ac:dyDescent="0.25">
      <c r="A7604" t="str">
        <f>"20190312150840820"</f>
        <v>20190312150840820</v>
      </c>
      <c r="B7604" t="str">
        <f>"1552374520817816"</f>
        <v>1552374520817816</v>
      </c>
      <c r="C7604" t="s">
        <v>40</v>
      </c>
      <c r="D7604">
        <v>3.9364319999999999</v>
      </c>
      <c r="E7604">
        <v>0.3455473</v>
      </c>
      <c r="F7604" t="s">
        <v>41</v>
      </c>
      <c r="G7604">
        <v>-386.58269999999999</v>
      </c>
      <c r="H7604">
        <v>1.0349790000000001</v>
      </c>
      <c r="I7604">
        <v>138.65639999999999</v>
      </c>
      <c r="J7604">
        <v>-386.04570000000001</v>
      </c>
      <c r="K7604">
        <v>1.1109579999999999</v>
      </c>
      <c r="L7604">
        <v>139.1996</v>
      </c>
      <c r="M7604">
        <v>-0.99173109999999998</v>
      </c>
      <c r="N7604">
        <v>0</v>
      </c>
      <c r="O7604">
        <v>-0.12780050000000001</v>
      </c>
      <c r="P7604">
        <v>-0.95904060000000002</v>
      </c>
      <c r="Q7604">
        <v>5.8562330000000003E-2</v>
      </c>
      <c r="R7604">
        <v>-0.27714860000000002</v>
      </c>
      <c r="S7604">
        <v>-2.558411</v>
      </c>
      <c r="T7604">
        <v>-0.27350940000000001</v>
      </c>
      <c r="U7604">
        <v>-2.0385279999999999</v>
      </c>
      <c r="V7604">
        <v>-0.15237600000000001</v>
      </c>
      <c r="W7604">
        <v>6.9919049999999996E-2</v>
      </c>
      <c r="X7604">
        <v>0.98584629999999995</v>
      </c>
      <c r="Y7604">
        <v>-0.5167699</v>
      </c>
      <c r="Z7604">
        <v>-1.2383720000000001E-2</v>
      </c>
      <c r="AA7604">
        <v>0.85603469999999904</v>
      </c>
      <c r="AB7604">
        <v>17</v>
      </c>
      <c r="AC7604">
        <v>-0.53699999999997705</v>
      </c>
      <c r="AD7604">
        <v>-7.5978999999999797E-2</v>
      </c>
      <c r="AE7604">
        <v>-0.54320000000001301</v>
      </c>
      <c r="AF7604">
        <v>-0.465505589431706</v>
      </c>
      <c r="AG7604">
        <v>-7.5978999999999797E-2</v>
      </c>
      <c r="AH7604">
        <v>0.59612355573638798</v>
      </c>
      <c r="AI7604">
        <v>95.736425740721202</v>
      </c>
      <c r="AJ7604">
        <v>127.985841875343</v>
      </c>
      <c r="AK7604">
        <v>0.76015232416730405</v>
      </c>
      <c r="AL7604">
        <v>85.990662359994502</v>
      </c>
      <c r="AM7604">
        <v>98.786316778727993</v>
      </c>
      <c r="AN7604">
        <v>1.00000002307629</v>
      </c>
    </row>
    <row r="7605" spans="1:40" x14ac:dyDescent="0.25">
      <c r="A7605" t="str">
        <f>"20190312150840843"</f>
        <v>20190312150840843</v>
      </c>
      <c r="B7605" t="str">
        <f>"1552374520837336"</f>
        <v>1552374520837336</v>
      </c>
      <c r="C7605" t="s">
        <v>40</v>
      </c>
      <c r="D7605">
        <v>3.9895700000000001</v>
      </c>
      <c r="E7605">
        <v>0.34526010000000001</v>
      </c>
      <c r="F7605" t="s">
        <v>41</v>
      </c>
      <c r="G7605">
        <v>-386.73599999999999</v>
      </c>
      <c r="H7605">
        <v>1.0377209999999999</v>
      </c>
      <c r="I7605">
        <v>138.64500000000001</v>
      </c>
      <c r="J7605">
        <v>-386.21379999999999</v>
      </c>
      <c r="K7605">
        <v>1.1109329999999999</v>
      </c>
      <c r="L7605">
        <v>139.17660000000001</v>
      </c>
      <c r="M7605">
        <v>-0.99159839999999999</v>
      </c>
      <c r="N7605">
        <v>0</v>
      </c>
      <c r="O7605">
        <v>-0.128828</v>
      </c>
      <c r="P7605">
        <v>-0.9585456</v>
      </c>
      <c r="Q7605">
        <v>5.9050680000000001E-2</v>
      </c>
      <c r="R7605">
        <v>-0.27875290000000003</v>
      </c>
      <c r="S7605">
        <v>-2.552063</v>
      </c>
      <c r="T7605">
        <v>-0.27072829999999998</v>
      </c>
      <c r="U7605">
        <v>-2.050446</v>
      </c>
      <c r="V7605">
        <v>-0.153005</v>
      </c>
      <c r="W7605">
        <v>7.0391399999999896E-2</v>
      </c>
      <c r="X7605">
        <v>0.98571520000000001</v>
      </c>
      <c r="Y7605">
        <v>-0.51937390000000005</v>
      </c>
      <c r="Z7605">
        <v>-1.229536E-2</v>
      </c>
      <c r="AA7605">
        <v>0.85445859999999996</v>
      </c>
      <c r="AB7605">
        <v>17</v>
      </c>
      <c r="AC7605">
        <v>-0.522199999999998</v>
      </c>
      <c r="AD7605">
        <v>-7.3211999999999999E-2</v>
      </c>
      <c r="AE7605">
        <v>-0.53159999999999696</v>
      </c>
      <c r="AF7605">
        <v>-0.45549429518918</v>
      </c>
      <c r="AG7605">
        <v>-7.3211999999999999E-2</v>
      </c>
      <c r="AH7605">
        <v>0.58073194577017695</v>
      </c>
      <c r="AI7605">
        <v>95.664974603862603</v>
      </c>
      <c r="AJ7605">
        <v>128.108692229296</v>
      </c>
      <c r="AK7605">
        <v>0.741676912632383</v>
      </c>
      <c r="AL7605">
        <v>85.963531626444507</v>
      </c>
      <c r="AM7605">
        <v>98.823171702865295</v>
      </c>
      <c r="AN7605">
        <v>0.99999996736499897</v>
      </c>
    </row>
    <row r="7606" spans="1:40" x14ac:dyDescent="0.25">
      <c r="A7606" t="str">
        <f>"20190312150840864"</f>
        <v>20190312150840864</v>
      </c>
      <c r="B7606" t="str">
        <f>"1552374520857832"</f>
        <v>1552374520857832</v>
      </c>
      <c r="C7606" t="s">
        <v>40</v>
      </c>
      <c r="D7606">
        <v>3.7725230000000001</v>
      </c>
      <c r="E7606">
        <v>0.3450879</v>
      </c>
      <c r="F7606" t="s">
        <v>41</v>
      </c>
      <c r="G7606">
        <v>-386.88889999999998</v>
      </c>
      <c r="H7606">
        <v>1.0414270000000001</v>
      </c>
      <c r="I7606">
        <v>138.63159999999999</v>
      </c>
      <c r="J7606">
        <v>-386.38</v>
      </c>
      <c r="K7606">
        <v>1.1109089999999999</v>
      </c>
      <c r="L7606">
        <v>139.15379999999999</v>
      </c>
      <c r="M7606">
        <v>-0.99147149999999995</v>
      </c>
      <c r="N7606">
        <v>0</v>
      </c>
      <c r="O7606">
        <v>-0.12980510000000001</v>
      </c>
      <c r="P7606">
        <v>-0.95787120000000003</v>
      </c>
      <c r="Q7606">
        <v>5.9542310000000001E-2</v>
      </c>
      <c r="R7606">
        <v>-0.28095879999999901</v>
      </c>
      <c r="S7606">
        <v>-2.5477910000000001</v>
      </c>
      <c r="T7606">
        <v>-0.26233610000000002</v>
      </c>
      <c r="U7606">
        <v>-2.0565030000000002</v>
      </c>
      <c r="V7606">
        <v>-0.1543042</v>
      </c>
      <c r="W7606">
        <v>7.0854680000000003E-2</v>
      </c>
      <c r="X7606">
        <v>0.98547949999999995</v>
      </c>
      <c r="Y7606">
        <v>-0.52054079999999903</v>
      </c>
      <c r="Z7606">
        <v>-1.1890929999999999E-2</v>
      </c>
      <c r="AA7606">
        <v>0.85375400000000001</v>
      </c>
      <c r="AB7606">
        <v>17</v>
      </c>
      <c r="AC7606">
        <v>-0.50889999999998203</v>
      </c>
      <c r="AD7606">
        <v>-6.9481999999999794E-2</v>
      </c>
      <c r="AE7606">
        <v>-0.522199999999998</v>
      </c>
      <c r="AF7606">
        <v>-0.44765423126723197</v>
      </c>
      <c r="AG7606">
        <v>-6.9481999999999794E-2</v>
      </c>
      <c r="AH7606">
        <v>0.56723203419412505</v>
      </c>
      <c r="AI7606">
        <v>95.492443565492295</v>
      </c>
      <c r="AJ7606">
        <v>128.28017252706201</v>
      </c>
      <c r="AK7606">
        <v>0.72592991377367999</v>
      </c>
      <c r="AL7606">
        <v>85.936921359239804</v>
      </c>
      <c r="AM7606">
        <v>98.898991499481895</v>
      </c>
      <c r="AN7606">
        <v>1.0000000083678899</v>
      </c>
    </row>
    <row r="7607" spans="1:40" x14ac:dyDescent="0.25">
      <c r="A7607" t="str">
        <f>"20190312150840887"</f>
        <v>20190312150840887</v>
      </c>
      <c r="B7607" t="str">
        <f>"1552374520877352"</f>
        <v>1552374520877352</v>
      </c>
      <c r="C7607" t="s">
        <v>40</v>
      </c>
      <c r="D7607">
        <v>3.8231120000000001</v>
      </c>
      <c r="E7607">
        <v>0.34510619999999997</v>
      </c>
      <c r="F7607" t="s">
        <v>41</v>
      </c>
      <c r="G7607">
        <v>-387.16379999999998</v>
      </c>
      <c r="H7607">
        <v>1.031744</v>
      </c>
      <c r="I7607">
        <v>138.51769999999999</v>
      </c>
      <c r="J7607">
        <v>-386.54640000000001</v>
      </c>
      <c r="K7607">
        <v>1.1108830000000001</v>
      </c>
      <c r="L7607">
        <v>139.1309</v>
      </c>
      <c r="M7607">
        <v>-0.99134880000000003</v>
      </c>
      <c r="N7607">
        <v>0</v>
      </c>
      <c r="O7607">
        <v>-0.13074279999999999</v>
      </c>
      <c r="P7607">
        <v>-0.95725740000000004</v>
      </c>
      <c r="Q7607">
        <v>5.977619E-2</v>
      </c>
      <c r="R7607">
        <v>-0.28299289999999999</v>
      </c>
      <c r="S7607">
        <v>-2.5426030000000002</v>
      </c>
      <c r="T7607">
        <v>-0.25680330000000001</v>
      </c>
      <c r="U7607">
        <v>-2.0637210000000001</v>
      </c>
      <c r="V7607">
        <v>-0.15546499999999999</v>
      </c>
      <c r="W7607">
        <v>7.1044940000000001E-2</v>
      </c>
      <c r="X7607">
        <v>0.98528329999999997</v>
      </c>
      <c r="Y7607">
        <v>-0.52209490000000003</v>
      </c>
      <c r="Z7607">
        <v>-1.1639129999999999E-2</v>
      </c>
      <c r="AA7607">
        <v>0.85280800000000001</v>
      </c>
      <c r="AB7607">
        <v>17</v>
      </c>
      <c r="AC7607">
        <v>-0.61739999999997497</v>
      </c>
      <c r="AD7607">
        <v>-7.9139000000000001E-2</v>
      </c>
      <c r="AE7607">
        <v>-0.61320000000000596</v>
      </c>
      <c r="AF7607">
        <v>-0.52288484914390199</v>
      </c>
      <c r="AG7607">
        <v>-7.9139000000000001E-2</v>
      </c>
      <c r="AH7607">
        <v>0.686597541489953</v>
      </c>
      <c r="AI7607">
        <v>95.2393000996979</v>
      </c>
      <c r="AJ7607">
        <v>127.29142821096799</v>
      </c>
      <c r="AK7607">
        <v>0.866653177900646</v>
      </c>
      <c r="AL7607">
        <v>85.925992547930505</v>
      </c>
      <c r="AM7607">
        <v>98.9666096970208</v>
      </c>
      <c r="AN7607">
        <v>0.99999996549174597</v>
      </c>
    </row>
    <row r="7608" spans="1:40" x14ac:dyDescent="0.25">
      <c r="A7608" t="str">
        <f>"20190312150840900"</f>
        <v>20190312150840900</v>
      </c>
      <c r="B7608" t="str">
        <f>"1552374520897849"</f>
        <v>1552374520897849</v>
      </c>
      <c r="C7608" t="s">
        <v>40</v>
      </c>
      <c r="D7608">
        <v>3.9520979999999999</v>
      </c>
      <c r="E7608">
        <v>0.34500799999999998</v>
      </c>
      <c r="F7608" t="s">
        <v>41</v>
      </c>
      <c r="G7608">
        <v>-387.31670000000003</v>
      </c>
      <c r="H7608">
        <v>1.034448</v>
      </c>
      <c r="I7608">
        <v>138.5033</v>
      </c>
      <c r="J7608">
        <v>-386.65530000000001</v>
      </c>
      <c r="K7608">
        <v>1.110857</v>
      </c>
      <c r="L7608">
        <v>139.11580000000001</v>
      </c>
      <c r="M7608">
        <v>-0.99127019999999999</v>
      </c>
      <c r="N7608">
        <v>0</v>
      </c>
      <c r="O7608">
        <v>-0.1313405</v>
      </c>
      <c r="P7608">
        <v>-0.95692310000000003</v>
      </c>
      <c r="Q7608">
        <v>6.0022989999999998E-2</v>
      </c>
      <c r="R7608">
        <v>-0.28407019999999999</v>
      </c>
      <c r="S7608">
        <v>-2.5381469999999999</v>
      </c>
      <c r="T7608">
        <v>-0.25184970000000001</v>
      </c>
      <c r="U7608">
        <v>-2.0684969999999998</v>
      </c>
      <c r="V7608">
        <v>-0.1559808</v>
      </c>
      <c r="W7608">
        <v>7.1257539999999994E-2</v>
      </c>
      <c r="X7608">
        <v>0.98518649999999997</v>
      </c>
      <c r="Y7608">
        <v>-0.52331939999999999</v>
      </c>
      <c r="Z7608">
        <v>-1.142813E-2</v>
      </c>
      <c r="AA7608">
        <v>0.85206000000000004</v>
      </c>
      <c r="AB7608">
        <v>17</v>
      </c>
      <c r="AC7608">
        <v>-0.66140000000001398</v>
      </c>
      <c r="AD7608">
        <v>-7.6408999999999894E-2</v>
      </c>
      <c r="AE7608">
        <v>-0.61250000000001104</v>
      </c>
      <c r="AF7608">
        <v>-0.51660733878892395</v>
      </c>
      <c r="AG7608">
        <v>-7.6408999999999894E-2</v>
      </c>
      <c r="AH7608">
        <v>0.730870058436629</v>
      </c>
      <c r="AI7608">
        <v>94.879602299698405</v>
      </c>
      <c r="AJ7608">
        <v>125.25415350265899</v>
      </c>
      <c r="AK7608">
        <v>0.89827196332220904</v>
      </c>
      <c r="AL7608">
        <v>85.913780832637798</v>
      </c>
      <c r="AM7608">
        <v>98.996742729837905</v>
      </c>
      <c r="AN7608">
        <v>1.0000000433788601</v>
      </c>
    </row>
    <row r="7609" spans="1:40" x14ac:dyDescent="0.25">
      <c r="A7609" t="str">
        <f>"20190312150840920"</f>
        <v>20190312150840920</v>
      </c>
      <c r="B7609" t="str">
        <f>"1552374520917368"</f>
        <v>1552374520917368</v>
      </c>
      <c r="C7609" t="s">
        <v>40</v>
      </c>
      <c r="D7609">
        <v>3.9942709999999999</v>
      </c>
      <c r="E7609">
        <v>0.34564489999999998</v>
      </c>
      <c r="F7609" t="s">
        <v>41</v>
      </c>
      <c r="G7609">
        <v>-387.33670000000001</v>
      </c>
      <c r="H7609">
        <v>1.0435920000000001</v>
      </c>
      <c r="I7609">
        <v>138.5592</v>
      </c>
      <c r="J7609">
        <v>-386.80090000000001</v>
      </c>
      <c r="K7609">
        <v>1.1108359999999999</v>
      </c>
      <c r="L7609">
        <v>139.09559999999999</v>
      </c>
      <c r="M7609">
        <v>-0.99116700000000002</v>
      </c>
      <c r="N7609">
        <v>0</v>
      </c>
      <c r="O7609">
        <v>-0.1321222</v>
      </c>
      <c r="P7609">
        <v>-0.95644779999999996</v>
      </c>
      <c r="Q7609">
        <v>6.0269499999999997E-2</v>
      </c>
      <c r="R7609">
        <v>-0.28561350000000002</v>
      </c>
      <c r="S7609">
        <v>-2.5356749999999999</v>
      </c>
      <c r="T7609">
        <v>-0.25029600000000002</v>
      </c>
      <c r="U7609">
        <v>-2.0719449999999999</v>
      </c>
      <c r="V7609">
        <v>-0.15679460000000001</v>
      </c>
      <c r="W7609">
        <v>7.1449219999999994E-2</v>
      </c>
      <c r="X7609">
        <v>0.98504340000000001</v>
      </c>
      <c r="Y7609">
        <v>-0.52376429999999996</v>
      </c>
      <c r="Z7609">
        <v>-1.131629E-2</v>
      </c>
      <c r="AA7609">
        <v>0.85178809999999905</v>
      </c>
      <c r="AB7609">
        <v>17</v>
      </c>
      <c r="AC7609">
        <v>-0.53579999999999395</v>
      </c>
      <c r="AD7609">
        <v>-6.7243999999999998E-2</v>
      </c>
      <c r="AE7609">
        <v>-0.536399999999986</v>
      </c>
      <c r="AF7609">
        <v>-0.45730384388778</v>
      </c>
      <c r="AG7609">
        <v>-6.7243999999999998E-2</v>
      </c>
      <c r="AH7609">
        <v>0.59727873477897997</v>
      </c>
      <c r="AI7609">
        <v>95.108172265383999</v>
      </c>
      <c r="AJ7609">
        <v>127.43931619653</v>
      </c>
      <c r="AK7609">
        <v>0.75524197989102704</v>
      </c>
      <c r="AL7609">
        <v>85.902770212301107</v>
      </c>
      <c r="AM7609">
        <v>99.044199833732904</v>
      </c>
      <c r="AN7609">
        <v>1.0000000187556599</v>
      </c>
    </row>
    <row r="7610" spans="1:40" x14ac:dyDescent="0.25">
      <c r="A7610" t="str">
        <f>"20190312150840942"</f>
        <v>20190312150840942</v>
      </c>
      <c r="B7610" t="str">
        <f>"1552374520937864"</f>
        <v>1552374520937864</v>
      </c>
      <c r="C7610" t="s">
        <v>40</v>
      </c>
      <c r="D7610">
        <v>3.933484</v>
      </c>
      <c r="E7610">
        <v>0.43161699999999997</v>
      </c>
      <c r="F7610" t="s">
        <v>41</v>
      </c>
      <c r="G7610">
        <v>-387.48649999999998</v>
      </c>
      <c r="H7610">
        <v>1.0432589999999999</v>
      </c>
      <c r="I7610">
        <v>138.53530000000001</v>
      </c>
      <c r="J7610">
        <v>-386.96949999999998</v>
      </c>
      <c r="K7610">
        <v>1.1108119999999999</v>
      </c>
      <c r="L7610">
        <v>139.072</v>
      </c>
      <c r="M7610">
        <v>-0.9910506</v>
      </c>
      <c r="N7610">
        <v>0</v>
      </c>
      <c r="O7610">
        <v>-0.13300020000000001</v>
      </c>
      <c r="P7610">
        <v>-0.95603870000000002</v>
      </c>
      <c r="Q7610">
        <v>6.0625779999999997E-2</v>
      </c>
      <c r="R7610">
        <v>-0.28690559999999998</v>
      </c>
      <c r="S7610">
        <v>-2.5339049999999999</v>
      </c>
      <c r="T7610">
        <v>-0.2497665</v>
      </c>
      <c r="U7610">
        <v>-2.0708769999999999</v>
      </c>
      <c r="V7610">
        <v>-0.15725500000000001</v>
      </c>
      <c r="W7610">
        <v>7.1729349999999997E-2</v>
      </c>
      <c r="X7610">
        <v>0.98494959999999998</v>
      </c>
      <c r="Y7610">
        <v>-0.52309419999999995</v>
      </c>
      <c r="Z7610">
        <v>-1.119789E-2</v>
      </c>
      <c r="AA7610">
        <v>0.85220130000000005</v>
      </c>
      <c r="AB7610">
        <v>17</v>
      </c>
      <c r="AC7610">
        <v>-0.51699999999999502</v>
      </c>
      <c r="AD7610">
        <v>-6.7553000000000196E-2</v>
      </c>
      <c r="AE7610">
        <v>-0.53669999999999596</v>
      </c>
      <c r="AF7610">
        <v>-0.459390790322663</v>
      </c>
      <c r="AG7610">
        <v>-6.7553000000000196E-2</v>
      </c>
      <c r="AH7610">
        <v>0.57903406973528504</v>
      </c>
      <c r="AI7610">
        <v>95.222022261167993</v>
      </c>
      <c r="AJ7610">
        <v>128.42758297107599</v>
      </c>
      <c r="AK7610">
        <v>0.74221544039213305</v>
      </c>
      <c r="AL7610">
        <v>85.886678476147196</v>
      </c>
      <c r="AM7610">
        <v>99.071165138535903</v>
      </c>
      <c r="AN7610">
        <v>0.99999997460829004</v>
      </c>
    </row>
    <row r="7611" spans="1:40" x14ac:dyDescent="0.25">
      <c r="A7611" t="str">
        <f>"20190312150840958"</f>
        <v>20190312150840958</v>
      </c>
      <c r="B7611" t="str">
        <f>"1552374520947625"</f>
        <v>1552374520947625</v>
      </c>
      <c r="C7611" t="s">
        <v>40</v>
      </c>
      <c r="D7611">
        <v>4.2228370000000002</v>
      </c>
      <c r="E7611">
        <v>0.44427620000000001</v>
      </c>
      <c r="F7611" t="s">
        <v>77</v>
      </c>
      <c r="G7611">
        <v>-400.56950000000001</v>
      </c>
      <c r="H7611" s="1">
        <v>-1.668492E-6</v>
      </c>
      <c r="I7611">
        <v>132.0204</v>
      </c>
      <c r="J7611">
        <v>-387.09039999999999</v>
      </c>
      <c r="K7611">
        <v>1.110792</v>
      </c>
      <c r="L7611">
        <v>139.05510000000001</v>
      </c>
      <c r="M7611">
        <v>-0.99096980000000001</v>
      </c>
      <c r="N7611">
        <v>0</v>
      </c>
      <c r="O7611">
        <v>-0.133606</v>
      </c>
      <c r="P7611">
        <v>-0.95579159999999996</v>
      </c>
      <c r="Q7611">
        <v>6.0661279999999998E-2</v>
      </c>
      <c r="R7611">
        <v>-0.28771970000000002</v>
      </c>
      <c r="S7611">
        <v>-2.7276310000000001</v>
      </c>
      <c r="T7611">
        <v>-0.2227865</v>
      </c>
      <c r="U7611">
        <v>-1.414291</v>
      </c>
      <c r="V7611">
        <v>-0.15749109999999999</v>
      </c>
      <c r="W7611">
        <v>7.1696529999999994E-2</v>
      </c>
      <c r="X7611">
        <v>0.98491430000000002</v>
      </c>
      <c r="Y7611">
        <v>-0.33703630000000001</v>
      </c>
      <c r="Z7611">
        <v>-2.7827580000000002E-3</v>
      </c>
      <c r="AA7611">
        <v>0.94148759999999998</v>
      </c>
      <c r="AB7611">
        <v>17</v>
      </c>
      <c r="AC7611">
        <v>-13.479100000000001</v>
      </c>
      <c r="AD7611">
        <v>-1.1107936684919999</v>
      </c>
      <c r="AE7611">
        <v>-7.0347000000000097</v>
      </c>
      <c r="AF7611">
        <v>-5.14316718380217</v>
      </c>
      <c r="AG7611">
        <v>-1.1107936684919999</v>
      </c>
      <c r="AH7611">
        <v>14.2222664945725</v>
      </c>
      <c r="AI7611">
        <v>94.200684467106498</v>
      </c>
      <c r="AJ7611">
        <v>109.881399914835</v>
      </c>
      <c r="AK7611">
        <v>15.164395652222399</v>
      </c>
      <c r="AL7611">
        <v>85.888563918019898</v>
      </c>
      <c r="AM7611">
        <v>99.084877652311107</v>
      </c>
      <c r="AN7611">
        <v>1.0000000086688701</v>
      </c>
    </row>
    <row r="7612" spans="1:40" x14ac:dyDescent="0.25">
      <c r="A7612" t="str">
        <f>"20190312150840976"</f>
        <v>20190312150840976</v>
      </c>
      <c r="B7612" t="str">
        <f>"1552374520967145"</f>
        <v>1552374520967145</v>
      </c>
      <c r="C7612" t="s">
        <v>40</v>
      </c>
      <c r="D7612">
        <v>4.054583</v>
      </c>
      <c r="E7612">
        <v>0.45749810000000002</v>
      </c>
      <c r="F7612" t="s">
        <v>77</v>
      </c>
      <c r="G7612">
        <v>-402.31990000000002</v>
      </c>
      <c r="H7612" s="1">
        <v>-2.53241E-6</v>
      </c>
      <c r="I7612">
        <v>131.76769999999999</v>
      </c>
      <c r="J7612">
        <v>-387.22550000000001</v>
      </c>
      <c r="K7612">
        <v>1.1107659999999999</v>
      </c>
      <c r="L7612">
        <v>139.036</v>
      </c>
      <c r="M7612">
        <v>-0.99088189999999998</v>
      </c>
      <c r="N7612">
        <v>0</v>
      </c>
      <c r="O7612">
        <v>-0.13426459999999901</v>
      </c>
      <c r="P7612">
        <v>-0.95547919999999997</v>
      </c>
      <c r="Q7612">
        <v>6.0483170000000003E-2</v>
      </c>
      <c r="R7612">
        <v>-0.28879310000000002</v>
      </c>
      <c r="S7612">
        <v>-2.7547299999999999</v>
      </c>
      <c r="T7612">
        <v>-0.20092199999999999</v>
      </c>
      <c r="U7612">
        <v>-1.31814599999999</v>
      </c>
      <c r="V7612">
        <v>-0.15793979999999999</v>
      </c>
      <c r="W7612">
        <v>7.1431140000000004E-2</v>
      </c>
      <c r="X7612">
        <v>0.98486169999999995</v>
      </c>
      <c r="Y7612">
        <v>-0.30623600000000001</v>
      </c>
      <c r="Z7612">
        <v>-1.392894E-3</v>
      </c>
      <c r="AA7612">
        <v>0.95195459999999998</v>
      </c>
      <c r="AB7612">
        <v>17</v>
      </c>
      <c r="AC7612">
        <v>-15.0944</v>
      </c>
      <c r="AD7612">
        <v>-1.1107685324099901</v>
      </c>
      <c r="AE7612">
        <v>-7.2683000000000098</v>
      </c>
      <c r="AF7612">
        <v>-5.1530570454710798</v>
      </c>
      <c r="AG7612">
        <v>-1.1107685324099901</v>
      </c>
      <c r="AH7612">
        <v>15.8639106866056</v>
      </c>
      <c r="AI7612">
        <v>93.809895805407905</v>
      </c>
      <c r="AJ7612">
        <v>107.995295669081</v>
      </c>
      <c r="AK7612">
        <v>16.7168019046429</v>
      </c>
      <c r="AL7612">
        <v>85.903808607031095</v>
      </c>
      <c r="AM7612">
        <v>99.110805866152404</v>
      </c>
      <c r="AN7612">
        <v>0.99999997815631403</v>
      </c>
    </row>
    <row r="7613" spans="1:40" x14ac:dyDescent="0.25">
      <c r="A7613" t="str">
        <f>"20190312150840998"</f>
        <v>20190312150840998</v>
      </c>
      <c r="B7613" t="str">
        <f>"1552374520987641"</f>
        <v>1552374520987641</v>
      </c>
      <c r="C7613" t="s">
        <v>40</v>
      </c>
      <c r="D7613">
        <v>4.0365729999999997</v>
      </c>
      <c r="E7613">
        <v>0.46446019999999999</v>
      </c>
      <c r="F7613" t="s">
        <v>77</v>
      </c>
      <c r="G7613">
        <v>-402.32139999999998</v>
      </c>
      <c r="H7613" s="1">
        <v>-2.8793940000000002E-6</v>
      </c>
      <c r="I7613">
        <v>132.42060000000001</v>
      </c>
      <c r="J7613">
        <v>-387.392</v>
      </c>
      <c r="K7613">
        <v>1.1107340000000001</v>
      </c>
      <c r="L7613">
        <v>139.01249999999999</v>
      </c>
      <c r="M7613">
        <v>-0.99077630000000005</v>
      </c>
      <c r="N7613">
        <v>0</v>
      </c>
      <c r="O7613">
        <v>-0.13505130000000001</v>
      </c>
      <c r="P7613">
        <v>-0.95523020000000003</v>
      </c>
      <c r="Q7613">
        <v>6.0198080000000001E-2</v>
      </c>
      <c r="R7613">
        <v>-0.28967500000000002</v>
      </c>
      <c r="S7613">
        <v>-2.7839659999999999</v>
      </c>
      <c r="T7613">
        <v>-0.2048468</v>
      </c>
      <c r="U7613">
        <v>-1.220016</v>
      </c>
      <c r="V7613">
        <v>-0.1580617</v>
      </c>
      <c r="W7613">
        <v>7.1031140000000006E-2</v>
      </c>
      <c r="X7613">
        <v>0.9848711</v>
      </c>
      <c r="Y7613">
        <v>-0.27368799999999999</v>
      </c>
      <c r="Z7613">
        <v>-2.1335859999999999E-4</v>
      </c>
      <c r="AA7613">
        <v>0.96181850000000002</v>
      </c>
      <c r="AB7613">
        <v>17</v>
      </c>
      <c r="AC7613">
        <v>-14.9293999999999</v>
      </c>
      <c r="AD7613">
        <v>-1.110736879394</v>
      </c>
      <c r="AE7613">
        <v>-6.5918999999999803</v>
      </c>
      <c r="AF7613">
        <v>-4.49432363126121</v>
      </c>
      <c r="AG7613">
        <v>-1.110736879394</v>
      </c>
      <c r="AH7613">
        <v>15.610597414519599</v>
      </c>
      <c r="AI7613">
        <v>93.911534548379294</v>
      </c>
      <c r="AJ7613">
        <v>106.061220266352</v>
      </c>
      <c r="AK7613">
        <v>16.2826113678355</v>
      </c>
      <c r="AL7613">
        <v>85.926785388387103</v>
      </c>
      <c r="AM7613">
        <v>99.1176340730226</v>
      </c>
      <c r="AN7613">
        <v>1.00000000373589</v>
      </c>
    </row>
    <row r="7614" spans="1:40" x14ac:dyDescent="0.25">
      <c r="A7614" t="str">
        <f>"20190312150841013"</f>
        <v>20190312150841013</v>
      </c>
      <c r="B7614" t="str">
        <f>"1552374521007160"</f>
        <v>1552374521007160</v>
      </c>
      <c r="C7614" t="s">
        <v>40</v>
      </c>
      <c r="D7614">
        <v>4.0682919999999996</v>
      </c>
      <c r="E7614">
        <v>0.4678195</v>
      </c>
      <c r="F7614" t="s">
        <v>77</v>
      </c>
      <c r="G7614">
        <v>-401.79820000000001</v>
      </c>
      <c r="H7614" s="1">
        <v>-2.8840919999999998E-6</v>
      </c>
      <c r="I7614">
        <v>132.99189999999999</v>
      </c>
      <c r="J7614">
        <v>-387.50599999999997</v>
      </c>
      <c r="K7614">
        <v>1.110708</v>
      </c>
      <c r="L7614">
        <v>138.99639999999999</v>
      </c>
      <c r="M7614">
        <v>-0.99070590000000003</v>
      </c>
      <c r="N7614">
        <v>0</v>
      </c>
      <c r="O7614">
        <v>-0.13557350000000001</v>
      </c>
      <c r="P7614">
        <v>-0.9551385</v>
      </c>
      <c r="Q7614">
        <v>6.008401E-2</v>
      </c>
      <c r="R7614">
        <v>-0.2900008</v>
      </c>
      <c r="S7614">
        <v>-2.7994690000000002</v>
      </c>
      <c r="T7614">
        <v>-0.21584249999999999</v>
      </c>
      <c r="U7614">
        <v>-1.169937</v>
      </c>
      <c r="V7614">
        <v>-0.1578756</v>
      </c>
      <c r="W7614">
        <v>7.0838499999999999E-2</v>
      </c>
      <c r="X7614">
        <v>0.98491479999999998</v>
      </c>
      <c r="Y7614">
        <v>-0.256635</v>
      </c>
      <c r="Z7614">
        <v>4.4647509999999998E-4</v>
      </c>
      <c r="AA7614">
        <v>0.96650829999999999</v>
      </c>
      <c r="AB7614">
        <v>17</v>
      </c>
      <c r="AC7614">
        <v>-14.292199999999999</v>
      </c>
      <c r="AD7614">
        <v>-1.1107108840919999</v>
      </c>
      <c r="AE7614">
        <v>-6.0045000000000002</v>
      </c>
      <c r="AF7614">
        <v>-3.9908073290136299</v>
      </c>
      <c r="AG7614">
        <v>-1.1107108840919999</v>
      </c>
      <c r="AH7614">
        <v>14.8978512051576</v>
      </c>
      <c r="AI7614">
        <v>94.119100772617102</v>
      </c>
      <c r="AJ7614">
        <v>104.996196818692</v>
      </c>
      <c r="AK7614">
        <v>15.4630589579283</v>
      </c>
      <c r="AL7614">
        <v>85.937850627725595</v>
      </c>
      <c r="AM7614">
        <v>99.106681775578494</v>
      </c>
      <c r="AN7614">
        <v>0.99999998070832397</v>
      </c>
    </row>
    <row r="7615" spans="1:40" x14ac:dyDescent="0.25">
      <c r="A7615" t="str">
        <f>"20190312150841032"</f>
        <v>20190312150841032</v>
      </c>
      <c r="B7615" t="str">
        <f>"1552374521027657"</f>
        <v>1552374521027657</v>
      </c>
      <c r="C7615" t="s">
        <v>40</v>
      </c>
      <c r="D7615">
        <v>4.0489579999999998</v>
      </c>
      <c r="E7615">
        <v>0.47016950000000002</v>
      </c>
      <c r="F7615" t="s">
        <v>77</v>
      </c>
      <c r="G7615">
        <v>-402.76069999999999</v>
      </c>
      <c r="H7615" s="1">
        <v>-3.3187539999999999E-6</v>
      </c>
      <c r="I7615">
        <v>132.77690000000001</v>
      </c>
      <c r="J7615">
        <v>-387.65260000000001</v>
      </c>
      <c r="K7615">
        <v>1.110676</v>
      </c>
      <c r="L7615">
        <v>138.97550000000001</v>
      </c>
      <c r="M7615">
        <v>-0.99061719999999998</v>
      </c>
      <c r="N7615">
        <v>0</v>
      </c>
      <c r="O7615">
        <v>-0.13622819999999999</v>
      </c>
      <c r="P7615">
        <v>-0.95514069999999995</v>
      </c>
      <c r="Q7615">
        <v>5.9341480000000002E-2</v>
      </c>
      <c r="R7615">
        <v>-0.29014699999999999</v>
      </c>
      <c r="S7615">
        <v>-2.8063660000000001</v>
      </c>
      <c r="T7615">
        <v>-0.20433460000000001</v>
      </c>
      <c r="U7615">
        <v>-1.14418</v>
      </c>
      <c r="V7615">
        <v>-0.157366899999999</v>
      </c>
      <c r="W7615">
        <v>6.9997080000000003E-2</v>
      </c>
      <c r="X7615">
        <v>0.98505640000000005</v>
      </c>
      <c r="Y7615">
        <v>-0.24761130000000001</v>
      </c>
      <c r="Z7615">
        <v>7.8426119999999895E-4</v>
      </c>
      <c r="AA7615">
        <v>0.96885909999999997</v>
      </c>
      <c r="AB7615">
        <v>17</v>
      </c>
      <c r="AC7615">
        <v>-15.108099999999901</v>
      </c>
      <c r="AD7615">
        <v>-1.1106793187540001</v>
      </c>
      <c r="AE7615">
        <v>-6.1985999999999901</v>
      </c>
      <c r="AF7615">
        <v>-4.0637361029630199</v>
      </c>
      <c r="AG7615">
        <v>-1.1106793187540001</v>
      </c>
      <c r="AH7615">
        <v>15.738906373341701</v>
      </c>
      <c r="AI7615">
        <v>93.908841960522096</v>
      </c>
      <c r="AJ7615">
        <v>104.477402808717</v>
      </c>
      <c r="AK7615">
        <v>16.292965767239899</v>
      </c>
      <c r="AL7615">
        <v>85.986180584664098</v>
      </c>
      <c r="AM7615">
        <v>99.0765447875809</v>
      </c>
      <c r="AN7615">
        <v>1.00000002180254</v>
      </c>
    </row>
    <row r="7616" spans="1:40" x14ac:dyDescent="0.25">
      <c r="A7616" t="str">
        <f>"20190312150841055"</f>
        <v>20190312150841055</v>
      </c>
      <c r="B7616" t="str">
        <f>"1552374521047743"</f>
        <v>1552374521047743</v>
      </c>
      <c r="C7616" t="s">
        <v>40</v>
      </c>
      <c r="D7616">
        <v>4.0676319999999997</v>
      </c>
      <c r="E7616">
        <v>0.4717576</v>
      </c>
      <c r="F7616" t="s">
        <v>77</v>
      </c>
      <c r="G7616">
        <v>-403.43549999999999</v>
      </c>
      <c r="H7616" s="1">
        <v>-3.6388109999999999E-6</v>
      </c>
      <c r="I7616">
        <v>132.6549</v>
      </c>
      <c r="J7616">
        <v>-387.82170000000002</v>
      </c>
      <c r="K7616">
        <v>1.110649</v>
      </c>
      <c r="L7616">
        <v>138.95140000000001</v>
      </c>
      <c r="M7616">
        <v>-0.99051809999999996</v>
      </c>
      <c r="N7616">
        <v>0</v>
      </c>
      <c r="O7616">
        <v>-0.1369571</v>
      </c>
      <c r="P7616">
        <v>-0.95512850000000005</v>
      </c>
      <c r="Q7616">
        <v>5.8798929999999999E-2</v>
      </c>
      <c r="R7616">
        <v>-0.29029719999999998</v>
      </c>
      <c r="S7616">
        <v>-2.811188</v>
      </c>
      <c r="T7616">
        <v>-0.19783039999999999</v>
      </c>
      <c r="U7616">
        <v>-1.125793</v>
      </c>
      <c r="V7616">
        <v>-0.15679019999999999</v>
      </c>
      <c r="W7616">
        <v>6.9343479999999999E-2</v>
      </c>
      <c r="X7616">
        <v>0.98519460000000003</v>
      </c>
      <c r="Y7616">
        <v>-0.2408941</v>
      </c>
      <c r="Z7616">
        <v>1.0356790000000001E-3</v>
      </c>
      <c r="AA7616">
        <v>0.97055080000000005</v>
      </c>
      <c r="AB7616">
        <v>17</v>
      </c>
      <c r="AC7616">
        <v>-15.6137999999999</v>
      </c>
      <c r="AD7616">
        <v>-1.1106526388110001</v>
      </c>
      <c r="AE7616">
        <v>-6.2965</v>
      </c>
      <c r="AF7616">
        <v>-4.0808551441952003</v>
      </c>
      <c r="AG7616">
        <v>-1.1106526388110001</v>
      </c>
      <c r="AH7616">
        <v>16.258296285615099</v>
      </c>
      <c r="AI7616">
        <v>93.790744799200297</v>
      </c>
      <c r="AJ7616">
        <v>104.090231715578</v>
      </c>
      <c r="AK7616">
        <v>16.799378741573999</v>
      </c>
      <c r="AL7616">
        <v>86.023720407051698</v>
      </c>
      <c r="AM7616">
        <v>99.042585168738697</v>
      </c>
      <c r="AN7616">
        <v>1.00000004245185</v>
      </c>
    </row>
    <row r="7617" spans="1:40" x14ac:dyDescent="0.25">
      <c r="A7617" t="str">
        <f>"20190312150841077"</f>
        <v>20190312150841077</v>
      </c>
      <c r="B7617" t="str">
        <f>"1552374521067322"</f>
        <v>1552374521067322</v>
      </c>
      <c r="C7617" t="s">
        <v>40</v>
      </c>
      <c r="D7617">
        <v>4.0867559999999896</v>
      </c>
      <c r="E7617">
        <v>0.4728231</v>
      </c>
      <c r="F7617" t="s">
        <v>77</v>
      </c>
      <c r="G7617">
        <v>-403.81130000000002</v>
      </c>
      <c r="H7617" s="1">
        <v>-3.7917749999999998E-6</v>
      </c>
      <c r="I7617">
        <v>132.62479999999999</v>
      </c>
      <c r="J7617">
        <v>-387.98869999999999</v>
      </c>
      <c r="K7617">
        <v>1.1106290000000001</v>
      </c>
      <c r="L7617">
        <v>138.92740000000001</v>
      </c>
      <c r="M7617">
        <v>-0.99042280000000005</v>
      </c>
      <c r="N7617">
        <v>0</v>
      </c>
      <c r="O7617">
        <v>-0.1376531</v>
      </c>
      <c r="P7617">
        <v>-0.95520249999999995</v>
      </c>
      <c r="Q7617">
        <v>5.8104870000000003E-2</v>
      </c>
      <c r="R7617">
        <v>-0.29019329999999999</v>
      </c>
      <c r="S7617">
        <v>-2.8144840000000002</v>
      </c>
      <c r="T7617">
        <v>-0.1954958</v>
      </c>
      <c r="U7617">
        <v>-1.113602</v>
      </c>
      <c r="V7617">
        <v>-0.1559828</v>
      </c>
      <c r="W7617">
        <v>6.8543359999999998E-2</v>
      </c>
      <c r="X7617">
        <v>0.98537870000000005</v>
      </c>
      <c r="Y7617">
        <v>-0.23620369999999999</v>
      </c>
      <c r="Z7617">
        <v>1.226221E-3</v>
      </c>
      <c r="AA7617">
        <v>0.97170279999999998</v>
      </c>
      <c r="AB7617">
        <v>17</v>
      </c>
      <c r="AC7617">
        <v>-15.8226</v>
      </c>
      <c r="AD7617">
        <v>-1.1106327917749901</v>
      </c>
      <c r="AE7617">
        <v>-6.3026000000000098</v>
      </c>
      <c r="AF7617">
        <v>-4.0472309269160096</v>
      </c>
      <c r="AG7617">
        <v>-1.1106327917749901</v>
      </c>
      <c r="AH7617">
        <v>16.4695475352942</v>
      </c>
      <c r="AI7617">
        <v>93.746789667427606</v>
      </c>
      <c r="AJ7617">
        <v>103.80630599467899</v>
      </c>
      <c r="AK7617">
        <v>16.9958694802963</v>
      </c>
      <c r="AL7617">
        <v>86.069673096577006</v>
      </c>
      <c r="AM7617">
        <v>98.995130041880202</v>
      </c>
      <c r="AN7617">
        <v>1.0000000042548001</v>
      </c>
    </row>
    <row r="7618" spans="1:40" x14ac:dyDescent="0.25">
      <c r="A7618" t="str">
        <f>"20190312150841091"</f>
        <v>20190312150841091</v>
      </c>
      <c r="B7618" t="str">
        <f>"1552374521087819"</f>
        <v>1552374521087819</v>
      </c>
      <c r="C7618" t="s">
        <v>40</v>
      </c>
      <c r="D7618">
        <v>4.0468760000000001</v>
      </c>
      <c r="E7618">
        <v>0.4735297</v>
      </c>
      <c r="F7618" t="s">
        <v>77</v>
      </c>
      <c r="G7618">
        <v>-404.12709999999998</v>
      </c>
      <c r="H7618" s="1">
        <v>-3.919067E-6</v>
      </c>
      <c r="I7618">
        <v>132.5975</v>
      </c>
      <c r="J7618">
        <v>-388.10419999999999</v>
      </c>
      <c r="K7618">
        <v>1.1106180000000001</v>
      </c>
      <c r="L7618">
        <v>138.91079999999999</v>
      </c>
      <c r="M7618">
        <v>-0.99035839999999997</v>
      </c>
      <c r="N7618">
        <v>0</v>
      </c>
      <c r="O7618">
        <v>-0.13812149999999901</v>
      </c>
      <c r="P7618">
        <v>-0.95512160000000002</v>
      </c>
      <c r="Q7618">
        <v>5.7866439999999998E-2</v>
      </c>
      <c r="R7618">
        <v>-0.29050700000000002</v>
      </c>
      <c r="S7618">
        <v>-2.8168030000000002</v>
      </c>
      <c r="T7618">
        <v>-0.19385050000000001</v>
      </c>
      <c r="U7618">
        <v>-1.1048279999999999</v>
      </c>
      <c r="V7618">
        <v>-0.15583720000000001</v>
      </c>
      <c r="W7618">
        <v>6.8231280000000005E-2</v>
      </c>
      <c r="X7618">
        <v>0.98542339999999995</v>
      </c>
      <c r="Y7618">
        <v>-0.23285980000000001</v>
      </c>
      <c r="Z7618">
        <v>1.3573840000000001E-3</v>
      </c>
      <c r="AA7618">
        <v>0.97250939999999997</v>
      </c>
      <c r="AB7618">
        <v>17</v>
      </c>
      <c r="AC7618">
        <v>-16.0228999999999</v>
      </c>
      <c r="AD7618">
        <v>-1.1106219190669999</v>
      </c>
      <c r="AE7618">
        <v>-6.3132999999999901</v>
      </c>
      <c r="AF7618">
        <v>-4.0228199722022904</v>
      </c>
      <c r="AG7618">
        <v>-1.1106219190669999</v>
      </c>
      <c r="AH7618">
        <v>16.6720227749644</v>
      </c>
      <c r="AI7618">
        <v>93.705154135318907</v>
      </c>
      <c r="AJ7618">
        <v>103.565688531646</v>
      </c>
      <c r="AK7618">
        <v>17.186416292665399</v>
      </c>
      <c r="AL7618">
        <v>86.087595941618005</v>
      </c>
      <c r="AM7618">
        <v>98.986469757500103</v>
      </c>
      <c r="AN7618">
        <v>1.00000000887091</v>
      </c>
    </row>
    <row r="7619" spans="1:40" x14ac:dyDescent="0.25">
      <c r="A7619" t="str">
        <f>"20190312150841110"</f>
        <v>20190312150841110</v>
      </c>
      <c r="B7619" t="str">
        <f>"1552374521097579"</f>
        <v>1552374521097579</v>
      </c>
      <c r="C7619" t="s">
        <v>40</v>
      </c>
      <c r="D7619">
        <v>4.0482459999999998</v>
      </c>
      <c r="E7619">
        <v>0.47375139999999999</v>
      </c>
      <c r="F7619" t="s">
        <v>77</v>
      </c>
      <c r="G7619">
        <v>-404.38200000000001</v>
      </c>
      <c r="H7619" s="1">
        <v>-4.0128080000000002E-6</v>
      </c>
      <c r="I7619">
        <v>132.55609999999999</v>
      </c>
      <c r="J7619">
        <v>-388.24610000000001</v>
      </c>
      <c r="K7619">
        <v>1.110608</v>
      </c>
      <c r="L7619">
        <v>138.8903</v>
      </c>
      <c r="M7619">
        <v>-0.99028059999999996</v>
      </c>
      <c r="N7619">
        <v>0</v>
      </c>
      <c r="O7619">
        <v>-0.13868510000000001</v>
      </c>
      <c r="P7619">
        <v>-0.95510360000000005</v>
      </c>
      <c r="Q7619">
        <v>5.7276689999999998E-2</v>
      </c>
      <c r="R7619">
        <v>-0.29068260000000001</v>
      </c>
      <c r="S7619">
        <v>-2.817993</v>
      </c>
      <c r="T7619">
        <v>-0.19226989999999999</v>
      </c>
      <c r="U7619">
        <v>-1.1001129999999999</v>
      </c>
      <c r="V7619">
        <v>-0.15545209999999901</v>
      </c>
      <c r="W7619">
        <v>6.7553370000000001E-2</v>
      </c>
      <c r="X7619">
        <v>0.98553089999999999</v>
      </c>
      <c r="Y7619">
        <v>-0.23076350000000001</v>
      </c>
      <c r="Z7619">
        <v>1.4516659999999999E-3</v>
      </c>
      <c r="AA7619">
        <v>0.97300880000000001</v>
      </c>
      <c r="AB7619">
        <v>17</v>
      </c>
      <c r="AC7619">
        <v>-16.1358999999999</v>
      </c>
      <c r="AD7619">
        <v>-1.1106120128079999</v>
      </c>
      <c r="AE7619">
        <v>-6.3342000000000098</v>
      </c>
      <c r="AF7619">
        <v>-4.0185544711108099</v>
      </c>
      <c r="AG7619">
        <v>-1.1106120128079999</v>
      </c>
      <c r="AH7619">
        <v>16.789543384287899</v>
      </c>
      <c r="AI7619">
        <v>93.680878281144402</v>
      </c>
      <c r="AJ7619">
        <v>103.46044076548201</v>
      </c>
      <c r="AK7619">
        <v>17.299451035601301</v>
      </c>
      <c r="AL7619">
        <v>86.1265270552923</v>
      </c>
      <c r="AM7619">
        <v>98.963661798559599</v>
      </c>
      <c r="AN7619">
        <v>0.99999998402378798</v>
      </c>
    </row>
    <row r="7620" spans="1:40" x14ac:dyDescent="0.25">
      <c r="A7620" t="str">
        <f>"20190312150841125"</f>
        <v>20190312150841125</v>
      </c>
      <c r="B7620" t="str">
        <f>"1552374521117098"</f>
        <v>1552374521117098</v>
      </c>
      <c r="C7620" t="s">
        <v>40</v>
      </c>
      <c r="D7620">
        <v>4.0412860000000004</v>
      </c>
      <c r="E7620">
        <v>0.47426869999999999</v>
      </c>
      <c r="F7620" t="s">
        <v>77</v>
      </c>
      <c r="G7620">
        <v>-404.5</v>
      </c>
      <c r="H7620" s="1">
        <v>-4.0645989999999998E-6</v>
      </c>
      <c r="I7620">
        <v>132.55510000000001</v>
      </c>
      <c r="J7620">
        <v>-388.36399999999998</v>
      </c>
      <c r="K7620">
        <v>1.1106009999999999</v>
      </c>
      <c r="L7620">
        <v>138.8733</v>
      </c>
      <c r="M7620">
        <v>-0.9902166</v>
      </c>
      <c r="N7620">
        <v>0</v>
      </c>
      <c r="O7620">
        <v>-0.13914679999999999</v>
      </c>
      <c r="P7620">
        <v>-0.95505119999999999</v>
      </c>
      <c r="Q7620">
        <v>5.7048370000000001E-2</v>
      </c>
      <c r="R7620">
        <v>-0.290900299999999</v>
      </c>
      <c r="S7620">
        <v>-2.8182369999999999</v>
      </c>
      <c r="T7620">
        <v>-0.1925673</v>
      </c>
      <c r="U7620">
        <v>-1.098465</v>
      </c>
      <c r="V7620">
        <v>-0.15521460000000001</v>
      </c>
      <c r="W7620">
        <v>6.7251270000000002E-2</v>
      </c>
      <c r="X7620">
        <v>0.98558900000000005</v>
      </c>
      <c r="Y7620">
        <v>-0.22978979999999999</v>
      </c>
      <c r="Z7620">
        <v>1.515862E-3</v>
      </c>
      <c r="AA7620">
        <v>0.97323910000000002</v>
      </c>
      <c r="AB7620">
        <v>17</v>
      </c>
      <c r="AC7620">
        <v>-16.1359999999999</v>
      </c>
      <c r="AD7620">
        <v>-1.110605064599</v>
      </c>
      <c r="AE7620">
        <v>-6.3181999999999903</v>
      </c>
      <c r="AF7620">
        <v>-3.99492371514875</v>
      </c>
      <c r="AG7620">
        <v>-1.110605064599</v>
      </c>
      <c r="AH7620">
        <v>16.7892513486198</v>
      </c>
      <c r="AI7620">
        <v>93.682082458316003</v>
      </c>
      <c r="AJ7620">
        <v>103.384368399842</v>
      </c>
      <c r="AK7620">
        <v>17.293693068471601</v>
      </c>
      <c r="AL7620">
        <v>86.143875590758299</v>
      </c>
      <c r="AM7620">
        <v>98.949669893605304</v>
      </c>
      <c r="AN7620">
        <v>0.99999999114538596</v>
      </c>
    </row>
    <row r="7621" spans="1:40" x14ac:dyDescent="0.25">
      <c r="A7621" t="str">
        <f>"20190312150841143"</f>
        <v>20190312150841143</v>
      </c>
      <c r="B7621" t="str">
        <f>"1552374521137598"</f>
        <v>1552374521137598</v>
      </c>
      <c r="C7621" t="s">
        <v>40</v>
      </c>
      <c r="D7621">
        <v>4.0377020000000003</v>
      </c>
      <c r="E7621">
        <v>0.4745992</v>
      </c>
      <c r="F7621" t="s">
        <v>77</v>
      </c>
      <c r="G7621">
        <v>-404.84070000000003</v>
      </c>
      <c r="H7621" s="1">
        <v>-4.17761999999999E-6</v>
      </c>
      <c r="I7621">
        <v>132.4734</v>
      </c>
      <c r="J7621">
        <v>-388.50749999999999</v>
      </c>
      <c r="K7621">
        <v>1.1105879999999999</v>
      </c>
      <c r="L7621">
        <v>138.85239999999999</v>
      </c>
      <c r="M7621">
        <v>-0.99013980000000001</v>
      </c>
      <c r="N7621">
        <v>0</v>
      </c>
      <c r="O7621">
        <v>-0.13970009999999999</v>
      </c>
      <c r="P7621">
        <v>-0.95484210000000003</v>
      </c>
      <c r="Q7621">
        <v>5.7352239999999999E-2</v>
      </c>
      <c r="R7621">
        <v>-0.29152679999999997</v>
      </c>
      <c r="S7621">
        <v>-2.8190309999999998</v>
      </c>
      <c r="T7621">
        <v>-0.19001489999999999</v>
      </c>
      <c r="U7621">
        <v>-1.0949549999999999</v>
      </c>
      <c r="V7621">
        <v>-0.15531349999999999</v>
      </c>
      <c r="W7621">
        <v>6.7459169999999999E-2</v>
      </c>
      <c r="X7621">
        <v>0.98555919999999997</v>
      </c>
      <c r="Y7621">
        <v>-0.2281099</v>
      </c>
      <c r="Z7621">
        <v>1.5857219999999999E-3</v>
      </c>
      <c r="AA7621">
        <v>0.97363409999999995</v>
      </c>
      <c r="AB7621">
        <v>17</v>
      </c>
      <c r="AC7621">
        <v>-16.333200000000001</v>
      </c>
      <c r="AD7621">
        <v>-1.1105921776199901</v>
      </c>
      <c r="AE7621">
        <v>-6.3789999999999898</v>
      </c>
      <c r="AF7621">
        <v>-4.0184478338071496</v>
      </c>
      <c r="AG7621">
        <v>-1.1105921776199901</v>
      </c>
      <c r="AH7621">
        <v>16.996031155465801</v>
      </c>
      <c r="AI7621">
        <v>93.638594768367696</v>
      </c>
      <c r="AJ7621">
        <v>103.302414685343</v>
      </c>
      <c r="AK7621">
        <v>17.499897514430899</v>
      </c>
      <c r="AL7621">
        <v>86.1319366415715</v>
      </c>
      <c r="AM7621">
        <v>98.955546461748995</v>
      </c>
      <c r="AN7621">
        <v>0.99999997980198896</v>
      </c>
    </row>
    <row r="7622" spans="1:40" x14ac:dyDescent="0.25">
      <c r="A7622" t="str">
        <f>"20190312150841158"</f>
        <v>20190312150841158</v>
      </c>
      <c r="B7622" t="str">
        <f>"1552374521147153"</f>
        <v>1552374521147153</v>
      </c>
      <c r="C7622" t="s">
        <v>40</v>
      </c>
      <c r="D7622">
        <v>4.0293960000000002</v>
      </c>
      <c r="E7622">
        <v>0.4748059</v>
      </c>
      <c r="F7622" t="s">
        <v>77</v>
      </c>
      <c r="G7622">
        <v>-404.48630000000003</v>
      </c>
      <c r="H7622" s="1">
        <v>-4.1026140000000003E-6</v>
      </c>
      <c r="I7622">
        <v>132.64949999999999</v>
      </c>
      <c r="J7622">
        <v>-388.6232</v>
      </c>
      <c r="K7622">
        <v>1.1105780000000001</v>
      </c>
      <c r="L7622">
        <v>138.8356</v>
      </c>
      <c r="M7622">
        <v>-0.99007829999999997</v>
      </c>
      <c r="N7622">
        <v>0</v>
      </c>
      <c r="O7622">
        <v>-0.1401415</v>
      </c>
      <c r="P7622">
        <v>-0.95459749999999999</v>
      </c>
      <c r="Q7622">
        <v>5.7702200000000002E-2</v>
      </c>
      <c r="R7622">
        <v>-0.29225679999999998</v>
      </c>
      <c r="S7622">
        <v>-2.819458</v>
      </c>
      <c r="T7622">
        <v>-0.19596450000000001</v>
      </c>
      <c r="U7622">
        <v>-1.0945129999999901</v>
      </c>
      <c r="V7622">
        <v>-0.15563109999999999</v>
      </c>
      <c r="W7622">
        <v>6.7725569999999999E-2</v>
      </c>
      <c r="X7622">
        <v>0.98549089999999995</v>
      </c>
      <c r="Y7622">
        <v>-0.22748450000000001</v>
      </c>
      <c r="Z7622">
        <v>1.685024E-3</v>
      </c>
      <c r="AA7622">
        <v>0.97378030000000004</v>
      </c>
      <c r="AB7622">
        <v>17</v>
      </c>
      <c r="AC7622">
        <v>-15.863099999999999</v>
      </c>
      <c r="AD7622">
        <v>-1.1105821026139999</v>
      </c>
      <c r="AE7622">
        <v>-6.1860999999999997</v>
      </c>
      <c r="AF7622">
        <v>-3.88532027868676</v>
      </c>
      <c r="AG7622">
        <v>-1.1105821026139999</v>
      </c>
      <c r="AH7622">
        <v>16.503300559920199</v>
      </c>
      <c r="AI7622">
        <v>93.747732999493195</v>
      </c>
      <c r="AJ7622">
        <v>103.24772645604099</v>
      </c>
      <c r="AK7622">
        <v>16.9908221003483</v>
      </c>
      <c r="AL7622">
        <v>86.116638342896906</v>
      </c>
      <c r="AM7622">
        <v>98.974173711554002</v>
      </c>
      <c r="AN7622">
        <v>1.0000000530509201</v>
      </c>
    </row>
    <row r="7623" spans="1:40" x14ac:dyDescent="0.25">
      <c r="A7623" t="str">
        <f>"20190312150841177"</f>
        <v>20190312150841177</v>
      </c>
      <c r="B7623" t="str">
        <f>"1552374521167634"</f>
        <v>1552374521167634</v>
      </c>
      <c r="C7623" t="s">
        <v>40</v>
      </c>
      <c r="D7623">
        <v>4.0150899999999998</v>
      </c>
      <c r="E7623">
        <v>0.47506700000000002</v>
      </c>
      <c r="F7623" t="s">
        <v>77</v>
      </c>
      <c r="G7623">
        <v>-404.33969999999999</v>
      </c>
      <c r="H7623" s="1">
        <v>-4.0745700000000004E-6</v>
      </c>
      <c r="I7623">
        <v>132.7287</v>
      </c>
      <c r="J7623">
        <v>-388.76280000000003</v>
      </c>
      <c r="K7623">
        <v>1.1105609999999999</v>
      </c>
      <c r="L7623">
        <v>138.8152</v>
      </c>
      <c r="M7623">
        <v>-0.99000469999999896</v>
      </c>
      <c r="N7623">
        <v>0</v>
      </c>
      <c r="O7623">
        <v>-0.14066890000000001</v>
      </c>
      <c r="P7623">
        <v>-0.95417819999999998</v>
      </c>
      <c r="Q7623">
        <v>5.7443649999999999E-2</v>
      </c>
      <c r="R7623">
        <v>-0.2936744</v>
      </c>
      <c r="S7623">
        <v>-2.8193359999999998</v>
      </c>
      <c r="T7623">
        <v>-0.19922509999999999</v>
      </c>
      <c r="U7623">
        <v>-1.095505</v>
      </c>
      <c r="V7623">
        <v>-0.15656819999999999</v>
      </c>
      <c r="W7623">
        <v>6.7356399999999997E-2</v>
      </c>
      <c r="X7623">
        <v>0.98536769999999996</v>
      </c>
      <c r="Y7623">
        <v>-0.22727339999999999</v>
      </c>
      <c r="Z7623">
        <v>1.7552729999999999E-3</v>
      </c>
      <c r="AA7623">
        <v>0.97382939999999996</v>
      </c>
      <c r="AB7623">
        <v>17</v>
      </c>
      <c r="AC7623">
        <v>-15.576899999999901</v>
      </c>
      <c r="AD7623">
        <v>-1.11056507457</v>
      </c>
      <c r="AE7623">
        <v>-6.0865</v>
      </c>
      <c r="AF7623">
        <v>-3.81783973178349</v>
      </c>
      <c r="AG7623">
        <v>-1.11056507457</v>
      </c>
      <c r="AH7623">
        <v>16.206754986328299</v>
      </c>
      <c r="AI7623">
        <v>93.815926300040204</v>
      </c>
      <c r="AJ7623">
        <v>103.255545105595</v>
      </c>
      <c r="AK7623">
        <v>16.687365345953101</v>
      </c>
      <c r="AL7623">
        <v>86.137838411276803</v>
      </c>
      <c r="AM7623">
        <v>99.028432665785999</v>
      </c>
      <c r="AN7623">
        <v>0.99999999503774495</v>
      </c>
    </row>
    <row r="7624" spans="1:40" x14ac:dyDescent="0.25">
      <c r="A7624" t="str">
        <f>"20190312150841193"</f>
        <v>20190312150841193</v>
      </c>
      <c r="B7624" t="str">
        <f>"1552374521187154"</f>
        <v>1552374521187154</v>
      </c>
      <c r="C7624" t="s">
        <v>40</v>
      </c>
      <c r="D7624">
        <v>4.0160589999999896</v>
      </c>
      <c r="E7624">
        <v>0.47516619999999998</v>
      </c>
      <c r="F7624" t="s">
        <v>77</v>
      </c>
      <c r="G7624">
        <v>-404.02850000000001</v>
      </c>
      <c r="H7624" s="1">
        <v>-4.0017829999999997E-6</v>
      </c>
      <c r="I7624">
        <v>132.8683</v>
      </c>
      <c r="J7624">
        <v>-388.88069999999999</v>
      </c>
      <c r="K7624">
        <v>1.1105449999999999</v>
      </c>
      <c r="L7624">
        <v>138.7979</v>
      </c>
      <c r="M7624">
        <v>-0.98994300000000002</v>
      </c>
      <c r="N7624">
        <v>0</v>
      </c>
      <c r="O7624">
        <v>-0.14110909999999999</v>
      </c>
      <c r="P7624">
        <v>-0.95388050000000002</v>
      </c>
      <c r="Q7624">
        <v>5.7836319999999997E-2</v>
      </c>
      <c r="R7624">
        <v>-0.29456290000000002</v>
      </c>
      <c r="S7624">
        <v>-2.818451</v>
      </c>
      <c r="T7624">
        <v>-0.20504020000000001</v>
      </c>
      <c r="U7624">
        <v>-1.0979460000000001</v>
      </c>
      <c r="V7624">
        <v>-0.15705139999999901</v>
      </c>
      <c r="W7624">
        <v>6.7646139999999993E-2</v>
      </c>
      <c r="X7624">
        <v>0.98527100000000001</v>
      </c>
      <c r="Y7624">
        <v>-0.22766539999999999</v>
      </c>
      <c r="Z7624">
        <v>1.8229699999999999E-3</v>
      </c>
      <c r="AA7624">
        <v>0.97373770000000004</v>
      </c>
      <c r="AB7624">
        <v>18</v>
      </c>
      <c r="AC7624">
        <v>-15.1478</v>
      </c>
      <c r="AD7624">
        <v>-1.110549001783</v>
      </c>
      <c r="AE7624">
        <v>-5.92959999999999</v>
      </c>
      <c r="AF7624">
        <v>-3.7153457996488002</v>
      </c>
      <c r="AG7624">
        <v>-1.110549001783</v>
      </c>
      <c r="AH7624">
        <v>15.759527486264099</v>
      </c>
      <c r="AI7624">
        <v>93.923666817077404</v>
      </c>
      <c r="AJ7624">
        <v>103.265395402884</v>
      </c>
      <c r="AK7624">
        <v>16.2295970401807</v>
      </c>
      <c r="AL7624">
        <v>86.121199768144805</v>
      </c>
      <c r="AM7624">
        <v>99.056709193379106</v>
      </c>
      <c r="AN7624">
        <v>1.0000000429699201</v>
      </c>
    </row>
    <row r="7625" spans="1:40" x14ac:dyDescent="0.25">
      <c r="A7625" t="str">
        <f>"20190312150841205"</f>
        <v>20190312150841205</v>
      </c>
      <c r="B7625" t="str">
        <f>"1552374521197890"</f>
        <v>1552374521197890</v>
      </c>
      <c r="C7625" t="s">
        <v>40</v>
      </c>
      <c r="D7625">
        <v>3.995546</v>
      </c>
      <c r="E7625">
        <v>0.4751976</v>
      </c>
      <c r="F7625" t="s">
        <v>77</v>
      </c>
      <c r="G7625">
        <v>-403.9606</v>
      </c>
      <c r="H7625" s="1">
        <v>-3.9918280000000004E-6</v>
      </c>
      <c r="I7625">
        <v>132.91149999999999</v>
      </c>
      <c r="J7625">
        <v>-388.983</v>
      </c>
      <c r="K7625">
        <v>1.11053</v>
      </c>
      <c r="L7625">
        <v>138.78290000000001</v>
      </c>
      <c r="M7625">
        <v>-0.98988989999999999</v>
      </c>
      <c r="N7625">
        <v>0</v>
      </c>
      <c r="O7625">
        <v>-0.14148849999999999</v>
      </c>
      <c r="P7625">
        <v>-0.95353010000000005</v>
      </c>
      <c r="Q7625">
        <v>5.7459780000000002E-2</v>
      </c>
      <c r="R7625">
        <v>-0.2957688</v>
      </c>
      <c r="S7625">
        <v>-2.8179020000000001</v>
      </c>
      <c r="T7625">
        <v>-0.20752309999999999</v>
      </c>
      <c r="U7625">
        <v>-1.09996</v>
      </c>
      <c r="V7625">
        <v>-0.1579171</v>
      </c>
      <c r="W7625">
        <v>6.7173720000000006E-2</v>
      </c>
      <c r="X7625">
        <v>0.98516490000000001</v>
      </c>
      <c r="Y7625">
        <v>-0.22795599999999999</v>
      </c>
      <c r="Z7625">
        <v>1.861024E-3</v>
      </c>
      <c r="AA7625">
        <v>0.97366960000000002</v>
      </c>
      <c r="AB7625">
        <v>18</v>
      </c>
      <c r="AC7625">
        <v>-14.977599999999899</v>
      </c>
      <c r="AD7625">
        <v>-1.1105339918279999</v>
      </c>
      <c r="AE7625">
        <v>-5.8714000000000199</v>
      </c>
      <c r="AF7625">
        <v>-3.6755488552217299</v>
      </c>
      <c r="AG7625">
        <v>-1.1105339918279999</v>
      </c>
      <c r="AH7625">
        <v>15.583424805048599</v>
      </c>
      <c r="AI7625">
        <v>93.967714966367794</v>
      </c>
      <c r="AJ7625">
        <v>103.271385107619</v>
      </c>
      <c r="AK7625">
        <v>16.049488271864998</v>
      </c>
      <c r="AL7625">
        <v>86.148328981803502</v>
      </c>
      <c r="AM7625">
        <v>99.1067617563954</v>
      </c>
      <c r="AN7625">
        <v>0.99999999966152897</v>
      </c>
    </row>
    <row r="7626" spans="1:40" x14ac:dyDescent="0.25">
      <c r="A7626" t="str">
        <f>"20190312150841222"</f>
        <v>20190312150841222</v>
      </c>
      <c r="B7626" t="str">
        <f>"1552374521217409"</f>
        <v>1552374521217409</v>
      </c>
      <c r="C7626" t="s">
        <v>40</v>
      </c>
      <c r="D7626">
        <v>3.9741680000000001</v>
      </c>
      <c r="E7626">
        <v>0.47534359999999998</v>
      </c>
      <c r="F7626" t="s">
        <v>77</v>
      </c>
      <c r="G7626">
        <v>-403.88990000000001</v>
      </c>
      <c r="H7626" s="1">
        <v>-3.9756139999999996E-6</v>
      </c>
      <c r="I7626">
        <v>132.94390000000001</v>
      </c>
      <c r="J7626">
        <v>-389.11419999999998</v>
      </c>
      <c r="K7626">
        <v>1.1105050000000001</v>
      </c>
      <c r="L7626">
        <v>138.76349999999999</v>
      </c>
      <c r="M7626">
        <v>-0.98982239999999999</v>
      </c>
      <c r="N7626">
        <v>0</v>
      </c>
      <c r="O7626">
        <v>-0.14196810000000001</v>
      </c>
      <c r="P7626">
        <v>-0.95293190000000005</v>
      </c>
      <c r="Q7626">
        <v>5.7085280000000002E-2</v>
      </c>
      <c r="R7626">
        <v>-0.29776190000000002</v>
      </c>
      <c r="S7626">
        <v>-2.8166199999999999</v>
      </c>
      <c r="T7626">
        <v>-0.20983180000000001</v>
      </c>
      <c r="U7626">
        <v>-1.103256</v>
      </c>
      <c r="V7626">
        <v>-0.15949659999999999</v>
      </c>
      <c r="W7626">
        <v>6.6665600000000005E-2</v>
      </c>
      <c r="X7626">
        <v>0.98494490000000001</v>
      </c>
      <c r="Y7626">
        <v>-0.22861770000000001</v>
      </c>
      <c r="Z7626">
        <v>1.8918190000000001E-3</v>
      </c>
      <c r="AA7626">
        <v>0.9735144</v>
      </c>
      <c r="AB7626">
        <v>18</v>
      </c>
      <c r="AC7626">
        <v>-14.775700000000001</v>
      </c>
      <c r="AD7626">
        <v>-1.1105089756140001</v>
      </c>
      <c r="AE7626">
        <v>-5.8195999999999799</v>
      </c>
      <c r="AF7626">
        <v>-3.6450448015269101</v>
      </c>
      <c r="AG7626">
        <v>-1.1105089756140001</v>
      </c>
      <c r="AH7626">
        <v>15.3770679030305</v>
      </c>
      <c r="AI7626">
        <v>94.019636923685596</v>
      </c>
      <c r="AJ7626">
        <v>103.335495063831</v>
      </c>
      <c r="AK7626">
        <v>15.8421526026127</v>
      </c>
      <c r="AL7626">
        <v>86.177507376387695</v>
      </c>
      <c r="AM7626">
        <v>99.198318500884298</v>
      </c>
      <c r="AN7626">
        <v>0.99999996183546402</v>
      </c>
    </row>
    <row r="7627" spans="1:40" x14ac:dyDescent="0.25">
      <c r="A7627" t="str">
        <f>"20190312150841245"</f>
        <v>20190312150841245</v>
      </c>
      <c r="B7627" t="str">
        <f>"1552374521237905"</f>
        <v>1552374521237905</v>
      </c>
      <c r="C7627" t="s">
        <v>40</v>
      </c>
      <c r="D7627">
        <v>4.1944970000000001</v>
      </c>
      <c r="E7627">
        <v>0.47550959999999998</v>
      </c>
      <c r="F7627" t="s">
        <v>77</v>
      </c>
      <c r="G7627">
        <v>-403.7636</v>
      </c>
      <c r="H7627" s="1">
        <v>-3.943654E-6</v>
      </c>
      <c r="I7627">
        <v>132.99539999999999</v>
      </c>
      <c r="J7627">
        <v>-389.2901</v>
      </c>
      <c r="K7627">
        <v>1.110468</v>
      </c>
      <c r="L7627">
        <v>138.73750000000001</v>
      </c>
      <c r="M7627">
        <v>-0.98973330000000004</v>
      </c>
      <c r="N7627">
        <v>0</v>
      </c>
      <c r="O7627">
        <v>-0.14260110000000001</v>
      </c>
      <c r="P7627">
        <v>-0.95236949999999998</v>
      </c>
      <c r="Q7627">
        <v>5.7130569999999999E-2</v>
      </c>
      <c r="R7627">
        <v>-0.29954730000000002</v>
      </c>
      <c r="S7627">
        <v>-2.8147280000000001</v>
      </c>
      <c r="T7627">
        <v>-0.2133727</v>
      </c>
      <c r="U7627">
        <v>-1.1082920000000001</v>
      </c>
      <c r="V7627">
        <v>-0.16071340000000001</v>
      </c>
      <c r="W7627">
        <v>6.6527139999999998E-2</v>
      </c>
      <c r="X7627">
        <v>0.98475650000000003</v>
      </c>
      <c r="Y7627">
        <v>-0.2297178</v>
      </c>
      <c r="Z7627">
        <v>1.929002E-3</v>
      </c>
      <c r="AA7627">
        <v>0.97325530000000005</v>
      </c>
      <c r="AB7627">
        <v>18</v>
      </c>
      <c r="AC7627">
        <v>-14.4735</v>
      </c>
      <c r="AD7627">
        <v>-1.110471943654</v>
      </c>
      <c r="AE7627">
        <v>-5.7421000000000202</v>
      </c>
      <c r="AF7627">
        <v>-3.6010633095245201</v>
      </c>
      <c r="AG7627">
        <v>-1.110471943654</v>
      </c>
      <c r="AH7627">
        <v>15.0678017912721</v>
      </c>
      <c r="AI7627">
        <v>94.099932878612293</v>
      </c>
      <c r="AJ7627">
        <v>103.44103738408801</v>
      </c>
      <c r="AK7627">
        <v>15.5318851308497</v>
      </c>
      <c r="AL7627">
        <v>86.1854583882117</v>
      </c>
      <c r="AM7627">
        <v>99.269021685581805</v>
      </c>
      <c r="AN7627">
        <v>1.00000001079419</v>
      </c>
    </row>
    <row r="7628" spans="1:40" x14ac:dyDescent="0.25">
      <c r="A7628" t="str">
        <f>"20190312150841267"</f>
        <v>20190312150841267</v>
      </c>
      <c r="B7628" t="str">
        <f>"1552374521257426"</f>
        <v>1552374521257426</v>
      </c>
      <c r="C7628" t="s">
        <v>40</v>
      </c>
      <c r="D7628">
        <v>4.026993</v>
      </c>
      <c r="E7628">
        <v>0.47584290000000001</v>
      </c>
      <c r="F7628" t="s">
        <v>77</v>
      </c>
      <c r="G7628">
        <v>-403.9622</v>
      </c>
      <c r="H7628" s="1">
        <v>-4.0046510000000001E-6</v>
      </c>
      <c r="I7628">
        <v>132.9374</v>
      </c>
      <c r="J7628">
        <v>-389.46870000000001</v>
      </c>
      <c r="K7628">
        <v>1.1104270000000001</v>
      </c>
      <c r="L7628">
        <v>138.71100000000001</v>
      </c>
      <c r="M7628">
        <v>-0.98964479999999999</v>
      </c>
      <c r="N7628">
        <v>0</v>
      </c>
      <c r="O7628">
        <v>-0.14322699999999999</v>
      </c>
      <c r="P7628">
        <v>-0.95179639999999999</v>
      </c>
      <c r="Q7628">
        <v>5.6375540000000002E-2</v>
      </c>
      <c r="R7628">
        <v>-0.30150559999999998</v>
      </c>
      <c r="S7628">
        <v>-2.8130489999999999</v>
      </c>
      <c r="T7628">
        <v>-0.21290790000000001</v>
      </c>
      <c r="U7628">
        <v>-1.112045</v>
      </c>
      <c r="V7628">
        <v>-0.16210949999999999</v>
      </c>
      <c r="W7628">
        <v>6.558601E-2</v>
      </c>
      <c r="X7628">
        <v>0.98459079999999999</v>
      </c>
      <c r="Y7628">
        <v>-0.23042480000000001</v>
      </c>
      <c r="Z7628">
        <v>1.944035E-3</v>
      </c>
      <c r="AA7628">
        <v>0.97308819999999996</v>
      </c>
      <c r="AB7628">
        <v>18</v>
      </c>
      <c r="AC7628">
        <v>-14.4934999999999</v>
      </c>
      <c r="AD7628">
        <v>-1.110431004651</v>
      </c>
      <c r="AE7628">
        <v>-5.7736000000000098</v>
      </c>
      <c r="AF7628">
        <v>-3.6197769678706999</v>
      </c>
      <c r="AG7628">
        <v>-1.110431004651</v>
      </c>
      <c r="AH7628">
        <v>15.094559095538299</v>
      </c>
      <c r="AI7628">
        <v>94.091785891033396</v>
      </c>
      <c r="AJ7628">
        <v>103.485262760876</v>
      </c>
      <c r="AK7628">
        <v>15.562183542225499</v>
      </c>
      <c r="AL7628">
        <v>86.239499267109395</v>
      </c>
      <c r="AM7628">
        <v>99.349670735850907</v>
      </c>
      <c r="AN7628">
        <v>1.0000000290713</v>
      </c>
    </row>
    <row r="7629" spans="1:40" x14ac:dyDescent="0.25">
      <c r="A7629" t="str">
        <f>"20190312150841300"</f>
        <v>20190312150841300</v>
      </c>
      <c r="B7629" t="str">
        <f>"1552374521297442"</f>
        <v>1552374521297442</v>
      </c>
      <c r="C7629" t="s">
        <v>40</v>
      </c>
      <c r="D7629">
        <v>3.9344709999999998</v>
      </c>
      <c r="E7629">
        <v>0.50666709999999904</v>
      </c>
      <c r="F7629" t="s">
        <v>77</v>
      </c>
      <c r="G7629">
        <v>-404.0487</v>
      </c>
      <c r="H7629" s="1">
        <v>-4.0391360000000002E-6</v>
      </c>
      <c r="I7629">
        <v>132.92910000000001</v>
      </c>
      <c r="J7629">
        <v>-389.72829999999999</v>
      </c>
      <c r="K7629">
        <v>1.110376</v>
      </c>
      <c r="L7629">
        <v>138.67230000000001</v>
      </c>
      <c r="M7629">
        <v>-0.98951900000000004</v>
      </c>
      <c r="N7629">
        <v>0</v>
      </c>
      <c r="O7629">
        <v>-0.14411070000000001</v>
      </c>
      <c r="P7629">
        <v>-0.95134220000000003</v>
      </c>
      <c r="Q7629">
        <v>5.5149990000000003E-2</v>
      </c>
      <c r="R7629">
        <v>-0.30316189999999998</v>
      </c>
      <c r="S7629">
        <v>-2.8114319999999999</v>
      </c>
      <c r="T7629">
        <v>-0.21412210000000001</v>
      </c>
      <c r="U7629">
        <v>-1.114914</v>
      </c>
      <c r="V7629">
        <v>-0.1629322</v>
      </c>
      <c r="W7629">
        <v>6.4105220000000004E-2</v>
      </c>
      <c r="X7629">
        <v>0.98455250000000005</v>
      </c>
      <c r="Y7629">
        <v>-0.23060510000000001</v>
      </c>
      <c r="Z7629">
        <v>2.0123319999999999E-3</v>
      </c>
      <c r="AA7629">
        <v>0.9730453</v>
      </c>
      <c r="AB7629">
        <v>18</v>
      </c>
      <c r="AC7629">
        <v>-14.320399999999999</v>
      </c>
      <c r="AD7629">
        <v>-1.1103800391359999</v>
      </c>
      <c r="AE7629">
        <v>-5.7431999999999999</v>
      </c>
      <c r="AF7629">
        <v>-3.6007860510443099</v>
      </c>
      <c r="AG7629">
        <v>-1.1103800391359999</v>
      </c>
      <c r="AH7629">
        <v>14.9213162954953</v>
      </c>
      <c r="AI7629">
        <v>94.1375223045995</v>
      </c>
      <c r="AJ7629">
        <v>103.56712887010499</v>
      </c>
      <c r="AK7629">
        <v>15.389746067005801</v>
      </c>
      <c r="AL7629">
        <v>86.324521139462405</v>
      </c>
      <c r="AM7629">
        <v>99.396634875939895</v>
      </c>
      <c r="AN7629">
        <v>1.0000000031421601</v>
      </c>
    </row>
    <row r="7630" spans="1:40" x14ac:dyDescent="0.25">
      <c r="A7630" t="str">
        <f>"20190312150841322"</f>
        <v>20190312150841322</v>
      </c>
      <c r="B7630" t="str">
        <f>"1552374521317937"</f>
        <v>1552374521317937</v>
      </c>
      <c r="C7630" t="s">
        <v>40</v>
      </c>
      <c r="D7630">
        <v>3.8886539999999998</v>
      </c>
      <c r="E7630">
        <v>0.50758239999999999</v>
      </c>
      <c r="F7630" t="s">
        <v>77</v>
      </c>
      <c r="G7630">
        <v>-403.14690000000002</v>
      </c>
      <c r="H7630" s="1">
        <v>-4.3953979999999998E-6</v>
      </c>
      <c r="I7630">
        <v>134.5487</v>
      </c>
      <c r="J7630">
        <v>-389.90440000000001</v>
      </c>
      <c r="K7630">
        <v>1.110349</v>
      </c>
      <c r="L7630">
        <v>138.64599999999999</v>
      </c>
      <c r="M7630">
        <v>-0.98943590000000003</v>
      </c>
      <c r="N7630">
        <v>0</v>
      </c>
      <c r="O7630">
        <v>-0.1446896</v>
      </c>
      <c r="P7630">
        <v>-0.95112850000000004</v>
      </c>
      <c r="Q7630">
        <v>5.4419960000000003E-2</v>
      </c>
      <c r="R7630">
        <v>-0.30396210000000001</v>
      </c>
      <c r="S7630">
        <v>-2.884735</v>
      </c>
      <c r="T7630">
        <v>-0.23871029999999999</v>
      </c>
      <c r="U7630">
        <v>-0.88650509999999905</v>
      </c>
      <c r="V7630">
        <v>-0.16317770000000001</v>
      </c>
      <c r="W7630">
        <v>6.3215339999999995E-2</v>
      </c>
      <c r="X7630">
        <v>0.98456940000000004</v>
      </c>
      <c r="Y7630">
        <v>-0.15232190000000001</v>
      </c>
      <c r="Z7630">
        <v>5.44079E-3</v>
      </c>
      <c r="AA7630">
        <v>0.98831590000000002</v>
      </c>
      <c r="AB7630">
        <v>18</v>
      </c>
      <c r="AC7630">
        <v>-13.2425</v>
      </c>
      <c r="AD7630">
        <v>-1.110353395398</v>
      </c>
      <c r="AE7630">
        <v>-4.0973000000000104</v>
      </c>
      <c r="AF7630">
        <v>-2.1244201167443899</v>
      </c>
      <c r="AG7630">
        <v>-1.110353395398</v>
      </c>
      <c r="AH7630">
        <v>13.608683746151501</v>
      </c>
      <c r="AI7630">
        <v>94.608941900869794</v>
      </c>
      <c r="AJ7630">
        <v>98.8726992631005</v>
      </c>
      <c r="AK7630">
        <v>13.818187970854501</v>
      </c>
      <c r="AL7630">
        <v>86.375611208022406</v>
      </c>
      <c r="AM7630">
        <v>99.410381649614294</v>
      </c>
      <c r="AN7630">
        <v>1.0000000222024801</v>
      </c>
    </row>
    <row r="7631" spans="1:40" x14ac:dyDescent="0.25">
      <c r="A7631" t="str">
        <f>"20190312150841345"</f>
        <v>20190312150841345</v>
      </c>
      <c r="B7631" t="str">
        <f>"1552374521337457"</f>
        <v>1552374521337457</v>
      </c>
      <c r="C7631" t="s">
        <v>40</v>
      </c>
      <c r="D7631">
        <v>3.8823240000000001</v>
      </c>
      <c r="E7631">
        <v>0.50844460000000002</v>
      </c>
      <c r="F7631" t="s">
        <v>77</v>
      </c>
      <c r="G7631">
        <v>-403.24489999999997</v>
      </c>
      <c r="H7631" s="1">
        <v>-4.4495630000000002E-6</v>
      </c>
      <c r="I7631">
        <v>134.57159999999999</v>
      </c>
      <c r="J7631">
        <v>-390.08260000000001</v>
      </c>
      <c r="K7631">
        <v>1.1103270000000001</v>
      </c>
      <c r="L7631">
        <v>138.61920000000001</v>
      </c>
      <c r="M7631">
        <v>-0.98935430000000002</v>
      </c>
      <c r="N7631">
        <v>0</v>
      </c>
      <c r="O7631">
        <v>-0.14525579999999999</v>
      </c>
      <c r="P7631">
        <v>-0.95094909999999999</v>
      </c>
      <c r="Q7631">
        <v>5.4194190000000003E-2</v>
      </c>
      <c r="R7631">
        <v>-0.30456349999999999</v>
      </c>
      <c r="S7631">
        <v>-2.8861690000000002</v>
      </c>
      <c r="T7631">
        <v>-0.24022109999999999</v>
      </c>
      <c r="U7631">
        <v>-0.88148499999999996</v>
      </c>
      <c r="V7631">
        <v>-0.16323360000000001</v>
      </c>
      <c r="W7631">
        <v>6.2842720000000005E-2</v>
      </c>
      <c r="X7631">
        <v>0.98458400000000001</v>
      </c>
      <c r="Y7631">
        <v>-0.1500552</v>
      </c>
      <c r="Z7631">
        <v>5.6114509999999999E-3</v>
      </c>
      <c r="AA7631">
        <v>0.98866169999999998</v>
      </c>
      <c r="AB7631">
        <v>18</v>
      </c>
      <c r="AC7631">
        <v>-13.162299999999901</v>
      </c>
      <c r="AD7631">
        <v>-1.1103314495629999</v>
      </c>
      <c r="AE7631">
        <v>-4.0476000000000099</v>
      </c>
      <c r="AF7631">
        <v>-2.0791751878223201</v>
      </c>
      <c r="AG7631">
        <v>-1.1103314495629999</v>
      </c>
      <c r="AH7631">
        <v>13.5227365603631</v>
      </c>
      <c r="AI7631">
        <v>94.639661236722901</v>
      </c>
      <c r="AJ7631">
        <v>98.741005697899993</v>
      </c>
      <c r="AK7631">
        <v>13.726624110484201</v>
      </c>
      <c r="AL7631">
        <v>86.397003338841699</v>
      </c>
      <c r="AM7631">
        <v>99.413410593789493</v>
      </c>
      <c r="AN7631">
        <v>1.0000000343409701</v>
      </c>
    </row>
    <row r="7632" spans="1:40" x14ac:dyDescent="0.25">
      <c r="A7632" t="str">
        <f>"20190312150841367"</f>
        <v>20190312150841367</v>
      </c>
      <c r="B7632" t="str">
        <f>"1552374521357277"</f>
        <v>1552374521357277</v>
      </c>
      <c r="C7632" t="s">
        <v>40</v>
      </c>
      <c r="D7632">
        <v>3.8720119999999998</v>
      </c>
      <c r="E7632">
        <v>0.50869640000000005</v>
      </c>
      <c r="F7632" t="s">
        <v>77</v>
      </c>
      <c r="G7632">
        <v>-403.40809999999999</v>
      </c>
      <c r="H7632" s="1">
        <v>-4.5229000000000004E-6</v>
      </c>
      <c r="I7632">
        <v>134.5736</v>
      </c>
      <c r="J7632">
        <v>-390.25940000000003</v>
      </c>
      <c r="K7632">
        <v>1.110309</v>
      </c>
      <c r="L7632">
        <v>138.59270000000001</v>
      </c>
      <c r="M7632">
        <v>-0.98927580000000004</v>
      </c>
      <c r="N7632">
        <v>0</v>
      </c>
      <c r="O7632">
        <v>-0.1457976</v>
      </c>
      <c r="P7632">
        <v>-0.95082619999999896</v>
      </c>
      <c r="Q7632">
        <v>5.4671280000000003E-2</v>
      </c>
      <c r="R7632">
        <v>-0.30486180000000002</v>
      </c>
      <c r="S7632">
        <v>-2.8876650000000001</v>
      </c>
      <c r="T7632">
        <v>-0.24061160000000001</v>
      </c>
      <c r="U7632">
        <v>-0.87669370000000002</v>
      </c>
      <c r="V7632">
        <v>-0.16300700000000001</v>
      </c>
      <c r="W7632">
        <v>6.3192029999999996E-2</v>
      </c>
      <c r="X7632">
        <v>0.98459920000000001</v>
      </c>
      <c r="Y7632">
        <v>-0.1478777</v>
      </c>
      <c r="Z7632">
        <v>5.7512609999999997E-3</v>
      </c>
      <c r="AA7632">
        <v>0.98898889999999995</v>
      </c>
      <c r="AB7632">
        <v>18</v>
      </c>
      <c r="AC7632">
        <v>-13.1486999999999</v>
      </c>
      <c r="AD7632">
        <v>-1.1103135229000001</v>
      </c>
      <c r="AE7632">
        <v>-4.0190999999999999</v>
      </c>
      <c r="AF7632">
        <v>-2.0456876318380499</v>
      </c>
      <c r="AG7632">
        <v>-1.1103135229000001</v>
      </c>
      <c r="AH7632">
        <v>13.5061081240845</v>
      </c>
      <c r="AI7632">
        <v>94.646853707423801</v>
      </c>
      <c r="AJ7632">
        <v>98.6127768265968</v>
      </c>
      <c r="AK7632">
        <v>13.705203050872701</v>
      </c>
      <c r="AL7632">
        <v>86.376949547884195</v>
      </c>
      <c r="AM7632">
        <v>99.400433827444701</v>
      </c>
      <c r="AN7632">
        <v>1.0000000496725701</v>
      </c>
    </row>
    <row r="7633" spans="1:40" x14ac:dyDescent="0.25">
      <c r="A7633" t="str">
        <f>"20190312150841389"</f>
        <v>20190312150841389</v>
      </c>
      <c r="B7633" t="str">
        <f>"1552374521377773"</f>
        <v>1552374521377773</v>
      </c>
      <c r="C7633" t="s">
        <v>40</v>
      </c>
      <c r="D7633">
        <v>3.8813460000000002</v>
      </c>
      <c r="E7633">
        <v>0.50910690000000003</v>
      </c>
      <c r="F7633" t="s">
        <v>77</v>
      </c>
      <c r="G7633">
        <v>-403.62240000000003</v>
      </c>
      <c r="H7633" s="1">
        <v>-4.6028049999999997E-6</v>
      </c>
      <c r="I7633">
        <v>134.5412</v>
      </c>
      <c r="J7633">
        <v>-390.44060000000002</v>
      </c>
      <c r="K7633">
        <v>1.110304</v>
      </c>
      <c r="L7633">
        <v>138.56530000000001</v>
      </c>
      <c r="M7633">
        <v>-0.98919699999999999</v>
      </c>
      <c r="N7633">
        <v>0</v>
      </c>
      <c r="O7633">
        <v>-0.14633929999999901</v>
      </c>
      <c r="P7633">
        <v>-0.9507449</v>
      </c>
      <c r="Q7633">
        <v>5.536261E-2</v>
      </c>
      <c r="R7633">
        <v>-0.30499080000000001</v>
      </c>
      <c r="S7633">
        <v>-2.8882140000000001</v>
      </c>
      <c r="T7633">
        <v>-0.23997789999999999</v>
      </c>
      <c r="U7633">
        <v>-0.87565609999999905</v>
      </c>
      <c r="V7633">
        <v>-0.16260659999999999</v>
      </c>
      <c r="W7633">
        <v>6.3769259999999994E-2</v>
      </c>
      <c r="X7633">
        <v>0.98462810000000001</v>
      </c>
      <c r="Y7633">
        <v>-0.14696310000000001</v>
      </c>
      <c r="Z7633">
        <v>5.8157130000000001E-3</v>
      </c>
      <c r="AA7633">
        <v>0.98912489999999997</v>
      </c>
      <c r="AB7633">
        <v>18</v>
      </c>
      <c r="AC7633">
        <v>-13.181800000000001</v>
      </c>
      <c r="AD7633">
        <v>-1.110308602805</v>
      </c>
      <c r="AE7633">
        <v>-4.0240999999999998</v>
      </c>
      <c r="AF7633">
        <v>-2.0384588074182699</v>
      </c>
      <c r="AG7633">
        <v>-1.110308602805</v>
      </c>
      <c r="AH7633">
        <v>13.5409063004341</v>
      </c>
      <c r="AI7633">
        <v>94.635572558094296</v>
      </c>
      <c r="AJ7633">
        <v>98.561066679626705</v>
      </c>
      <c r="AK7633">
        <v>13.7384221415758</v>
      </c>
      <c r="AL7633">
        <v>86.343809537884496</v>
      </c>
      <c r="AM7633">
        <v>99.377483508472196</v>
      </c>
      <c r="AN7633">
        <v>0.99999996009705805</v>
      </c>
    </row>
    <row r="7634" spans="1:40" x14ac:dyDescent="0.25">
      <c r="A7634" t="str">
        <f>"20190312150841411"</f>
        <v>20190312150841411</v>
      </c>
      <c r="B7634" t="str">
        <f>"1552374521407056"</f>
        <v>1552374521407056</v>
      </c>
      <c r="C7634" t="s">
        <v>40</v>
      </c>
      <c r="D7634">
        <v>3.8983020000000002</v>
      </c>
      <c r="E7634">
        <v>0.50917400000000002</v>
      </c>
      <c r="F7634" t="s">
        <v>77</v>
      </c>
      <c r="G7634">
        <v>-403.779</v>
      </c>
      <c r="H7634" s="1">
        <v>-4.6689469999999997E-6</v>
      </c>
      <c r="I7634">
        <v>134.5342</v>
      </c>
      <c r="J7634">
        <v>-390.62029999999999</v>
      </c>
      <c r="K7634">
        <v>1.1102989999999999</v>
      </c>
      <c r="L7634">
        <v>138.53809999999999</v>
      </c>
      <c r="M7634">
        <v>-0.98911910000000003</v>
      </c>
      <c r="N7634">
        <v>0</v>
      </c>
      <c r="O7634">
        <v>-0.14686850000000001</v>
      </c>
      <c r="P7634">
        <v>-0.95072650000000003</v>
      </c>
      <c r="Q7634">
        <v>5.6205079999999998E-2</v>
      </c>
      <c r="R7634">
        <v>-0.3048923</v>
      </c>
      <c r="S7634">
        <v>-2.8893430000000002</v>
      </c>
      <c r="T7634">
        <v>-0.24051410000000001</v>
      </c>
      <c r="U7634">
        <v>-0.87321469999999901</v>
      </c>
      <c r="V7634">
        <v>-0.1619852</v>
      </c>
      <c r="W7634">
        <v>6.4512539999999993E-2</v>
      </c>
      <c r="X7634">
        <v>0.9846821</v>
      </c>
      <c r="Y7634">
        <v>-0.1455668</v>
      </c>
      <c r="Z7634">
        <v>5.9263349999999996E-3</v>
      </c>
      <c r="AA7634">
        <v>0.98933059999999995</v>
      </c>
      <c r="AB7634">
        <v>18</v>
      </c>
      <c r="AC7634">
        <v>-13.1587</v>
      </c>
      <c r="AD7634">
        <v>-1.1103036689469901</v>
      </c>
      <c r="AE7634">
        <v>-4.0038999999999803</v>
      </c>
      <c r="AF7634">
        <v>-2.0146811943629999</v>
      </c>
      <c r="AG7634">
        <v>-1.1103036689469901</v>
      </c>
      <c r="AH7634">
        <v>13.5159906728388</v>
      </c>
      <c r="AI7634">
        <v>94.645063838148701</v>
      </c>
      <c r="AJ7634">
        <v>98.478034147558006</v>
      </c>
      <c r="AK7634">
        <v>13.710350776711101</v>
      </c>
      <c r="AL7634">
        <v>86.301134837496093</v>
      </c>
      <c r="AM7634">
        <v>99.341777197721001</v>
      </c>
      <c r="AN7634">
        <v>0.99999995544834896</v>
      </c>
    </row>
    <row r="7635" spans="1:40" x14ac:dyDescent="0.25">
      <c r="A7635" t="str">
        <f>"20190312150841435"</f>
        <v>20190312150841435</v>
      </c>
      <c r="B7635" t="str">
        <f>"1552374521427548"</f>
        <v>1552374521427548</v>
      </c>
      <c r="C7635" t="s">
        <v>40</v>
      </c>
      <c r="D7635">
        <v>3.923772</v>
      </c>
      <c r="E7635">
        <v>0.50935229999999998</v>
      </c>
      <c r="F7635" t="s">
        <v>77</v>
      </c>
      <c r="G7635">
        <v>-404.2758</v>
      </c>
      <c r="H7635" s="1">
        <v>-4.8332739999999997E-6</v>
      </c>
      <c r="I7635">
        <v>134.41419999999999</v>
      </c>
      <c r="J7635">
        <v>-390.81020000000001</v>
      </c>
      <c r="K7635">
        <v>1.1102970000000001</v>
      </c>
      <c r="L7635">
        <v>138.50919999999999</v>
      </c>
      <c r="M7635">
        <v>-0.98903759999999996</v>
      </c>
      <c r="N7635">
        <v>0</v>
      </c>
      <c r="O7635">
        <v>-0.14742379999999999</v>
      </c>
      <c r="P7635">
        <v>-0.95048960000000005</v>
      </c>
      <c r="Q7635">
        <v>5.6987330000000003E-2</v>
      </c>
      <c r="R7635">
        <v>-0.3054867</v>
      </c>
      <c r="S7635">
        <v>-2.889526</v>
      </c>
      <c r="T7635">
        <v>-0.2349416</v>
      </c>
      <c r="U7635">
        <v>-0.87260439999999995</v>
      </c>
      <c r="V7635">
        <v>-0.1620559</v>
      </c>
      <c r="W7635">
        <v>6.5201079999999995E-2</v>
      </c>
      <c r="X7635">
        <v>0.98462519999999998</v>
      </c>
      <c r="Y7635">
        <v>-0.1448065</v>
      </c>
      <c r="Z7635">
        <v>5.8627590000000004E-3</v>
      </c>
      <c r="AA7635">
        <v>0.98944259999999995</v>
      </c>
      <c r="AB7635">
        <v>18</v>
      </c>
      <c r="AC7635">
        <v>-13.465599999999901</v>
      </c>
      <c r="AD7635">
        <v>-1.11030183327399</v>
      </c>
      <c r="AE7635">
        <v>-4.09499999999999</v>
      </c>
      <c r="AF7635">
        <v>-2.0522604973401601</v>
      </c>
      <c r="AG7635">
        <v>-1.11030183327399</v>
      </c>
      <c r="AH7635">
        <v>13.8360731733774</v>
      </c>
      <c r="AI7635">
        <v>94.538533438659698</v>
      </c>
      <c r="AJ7635">
        <v>98.436985083491095</v>
      </c>
      <c r="AK7635">
        <v>14.0314455480883</v>
      </c>
      <c r="AL7635">
        <v>86.2616014805524</v>
      </c>
      <c r="AM7635">
        <v>99.346313132742694</v>
      </c>
      <c r="AN7635">
        <v>1.0000000400164999</v>
      </c>
    </row>
    <row r="7636" spans="1:40" x14ac:dyDescent="0.25">
      <c r="A7636" t="str">
        <f>"20190312150841456"</f>
        <v>20190312150841456</v>
      </c>
      <c r="B7636" t="str">
        <f>"1552374521447068"</f>
        <v>1552374521447068</v>
      </c>
      <c r="C7636" t="s">
        <v>40</v>
      </c>
      <c r="D7636">
        <v>3.9192969999999998</v>
      </c>
      <c r="E7636">
        <v>0.50935799999999998</v>
      </c>
      <c r="F7636" t="s">
        <v>77</v>
      </c>
      <c r="G7636">
        <v>-404.78829999999999</v>
      </c>
      <c r="H7636" s="1">
        <v>-5.0015999999999997E-6</v>
      </c>
      <c r="I7636">
        <v>134.28799999999899</v>
      </c>
      <c r="J7636">
        <v>-390.99009999999998</v>
      </c>
      <c r="K7636">
        <v>1.1102920000000001</v>
      </c>
      <c r="L7636">
        <v>138.48179999999999</v>
      </c>
      <c r="M7636">
        <v>-0.98896010000000001</v>
      </c>
      <c r="N7636">
        <v>0</v>
      </c>
      <c r="O7636">
        <v>-0.14794640000000001</v>
      </c>
      <c r="P7636">
        <v>-0.95024600000000004</v>
      </c>
      <c r="Q7636">
        <v>5.642788E-2</v>
      </c>
      <c r="R7636">
        <v>-0.30634719999999999</v>
      </c>
      <c r="S7636">
        <v>-2.8895569999999999</v>
      </c>
      <c r="T7636">
        <v>-0.2295229</v>
      </c>
      <c r="U7636">
        <v>-0.87260439999999995</v>
      </c>
      <c r="V7636">
        <v>-0.16242219999999999</v>
      </c>
      <c r="W7636">
        <v>6.4564410000000003E-2</v>
      </c>
      <c r="X7636">
        <v>0.98460669999999995</v>
      </c>
      <c r="Y7636">
        <v>-0.14428350000000001</v>
      </c>
      <c r="Z7636">
        <v>5.7879430000000003E-3</v>
      </c>
      <c r="AA7636">
        <v>0.9895195</v>
      </c>
      <c r="AB7636">
        <v>18</v>
      </c>
      <c r="AC7636">
        <v>-13.7982</v>
      </c>
      <c r="AD7636">
        <v>-1.1102970016</v>
      </c>
      <c r="AE7636">
        <v>-4.1938000000000004</v>
      </c>
      <c r="AF7636">
        <v>-2.0937698400690601</v>
      </c>
      <c r="AG7636">
        <v>-1.1102970016</v>
      </c>
      <c r="AH7636">
        <v>14.1827585357024</v>
      </c>
      <c r="AI7636">
        <v>94.428466831543901</v>
      </c>
      <c r="AJ7636">
        <v>98.397794945321706</v>
      </c>
      <c r="AK7636">
        <v>14.3794044124568</v>
      </c>
      <c r="AL7636">
        <v>86.298156653655496</v>
      </c>
      <c r="AM7636">
        <v>99.367237764565502</v>
      </c>
      <c r="AN7636">
        <v>0.99999994388818703</v>
      </c>
    </row>
    <row r="7637" spans="1:40" x14ac:dyDescent="0.25">
      <c r="A7637" t="str">
        <f>"20190312150841478"</f>
        <v>20190312150841478</v>
      </c>
      <c r="B7637" t="str">
        <f>"1552374521467564"</f>
        <v>1552374521467564</v>
      </c>
      <c r="C7637" t="s">
        <v>40</v>
      </c>
      <c r="D7637">
        <v>3.921611</v>
      </c>
      <c r="E7637">
        <v>0.50982680000000002</v>
      </c>
      <c r="F7637" t="s">
        <v>77</v>
      </c>
      <c r="G7637">
        <v>-404.95780000000002</v>
      </c>
      <c r="H7637" s="1">
        <v>-5.0590799999999999E-6</v>
      </c>
      <c r="I7637">
        <v>134.25020000000001</v>
      </c>
      <c r="J7637">
        <v>-391.16640000000001</v>
      </c>
      <c r="K7637">
        <v>1.1102909999999999</v>
      </c>
      <c r="L7637">
        <v>138.45480000000001</v>
      </c>
      <c r="M7637">
        <v>-0.98888390000000004</v>
      </c>
      <c r="N7637">
        <v>0</v>
      </c>
      <c r="O7637">
        <v>-0.1484589</v>
      </c>
      <c r="P7637">
        <v>-0.95019039999999999</v>
      </c>
      <c r="Q7637">
        <v>5.5475040000000003E-2</v>
      </c>
      <c r="R7637">
        <v>-0.30669390000000002</v>
      </c>
      <c r="S7637">
        <v>-2.88855</v>
      </c>
      <c r="T7637">
        <v>-0.22961200000000001</v>
      </c>
      <c r="U7637">
        <v>-0.87510679999999996</v>
      </c>
      <c r="V7637">
        <v>-0.1622634</v>
      </c>
      <c r="W7637">
        <v>6.3547039999999999E-2</v>
      </c>
      <c r="X7637">
        <v>0.98469910000000005</v>
      </c>
      <c r="Y7637">
        <v>-0.144652</v>
      </c>
      <c r="Z7637">
        <v>5.8159269999999898E-3</v>
      </c>
      <c r="AA7637">
        <v>0.9894655</v>
      </c>
      <c r="AB7637">
        <v>18</v>
      </c>
      <c r="AC7637">
        <v>-13.791399999999999</v>
      </c>
      <c r="AD7637">
        <v>-1.11029605908</v>
      </c>
      <c r="AE7637">
        <v>-4.2045999999999903</v>
      </c>
      <c r="AF7637">
        <v>-2.0980359865671199</v>
      </c>
      <c r="AG7637">
        <v>-1.11029605908</v>
      </c>
      <c r="AH7637">
        <v>14.178711663461099</v>
      </c>
      <c r="AI7637">
        <v>94.429503126877407</v>
      </c>
      <c r="AJ7637">
        <v>98.417028378882307</v>
      </c>
      <c r="AK7637">
        <v>14.376034807112401</v>
      </c>
      <c r="AL7637">
        <v>86.356567746236706</v>
      </c>
      <c r="AM7637">
        <v>99.357378911938397</v>
      </c>
      <c r="AN7637">
        <v>0.99999997740656499</v>
      </c>
    </row>
    <row r="7638" spans="1:40" x14ac:dyDescent="0.25">
      <c r="A7638" t="str">
        <f>"20190312150841501"</f>
        <v>20190312150841501</v>
      </c>
      <c r="B7638" t="str">
        <f>"1552374521497821"</f>
        <v>1552374521497821</v>
      </c>
      <c r="C7638" t="s">
        <v>40</v>
      </c>
      <c r="D7638">
        <v>3.9140860000000002</v>
      </c>
      <c r="E7638">
        <v>0.50986920000000002</v>
      </c>
      <c r="F7638" t="s">
        <v>77</v>
      </c>
      <c r="G7638">
        <v>-404.98579999999998</v>
      </c>
      <c r="H7638" s="1">
        <v>-5.0921440000000003E-6</v>
      </c>
      <c r="I7638">
        <v>134.28</v>
      </c>
      <c r="J7638">
        <v>-391.3526</v>
      </c>
      <c r="K7638">
        <v>1.110293</v>
      </c>
      <c r="L7638">
        <v>138.42619999999999</v>
      </c>
      <c r="M7638">
        <v>-0.98880259999999998</v>
      </c>
      <c r="N7638">
        <v>0</v>
      </c>
      <c r="O7638">
        <v>-0.14900260000000001</v>
      </c>
      <c r="P7638">
        <v>-0.94997989999999999</v>
      </c>
      <c r="Q7638">
        <v>5.5597010000000002E-2</v>
      </c>
      <c r="R7638">
        <v>-0.30732300000000001</v>
      </c>
      <c r="S7638">
        <v>-2.8891300000000002</v>
      </c>
      <c r="T7638">
        <v>-0.23212079999999999</v>
      </c>
      <c r="U7638">
        <v>-0.87280270000000004</v>
      </c>
      <c r="V7638">
        <v>-0.1623763</v>
      </c>
      <c r="W7638">
        <v>6.3609369999999998E-2</v>
      </c>
      <c r="X7638">
        <v>0.98467649999999995</v>
      </c>
      <c r="Y7638">
        <v>-0.1433354</v>
      </c>
      <c r="Z7638">
        <v>5.9724799999999996E-3</v>
      </c>
      <c r="AA7638">
        <v>0.98965619999999999</v>
      </c>
      <c r="AB7638">
        <v>18</v>
      </c>
      <c r="AC7638">
        <v>-13.633199999999899</v>
      </c>
      <c r="AD7638">
        <v>-1.110298092144</v>
      </c>
      <c r="AE7638">
        <v>-4.1461999999999897</v>
      </c>
      <c r="AF7638">
        <v>-2.0559790608177102</v>
      </c>
      <c r="AG7638">
        <v>-1.110298092144</v>
      </c>
      <c r="AH7638">
        <v>14.013736662535701</v>
      </c>
      <c r="AI7638">
        <v>94.482256408011494</v>
      </c>
      <c r="AJ7638">
        <v>98.346417179692395</v>
      </c>
      <c r="AK7638">
        <v>14.2072033489648</v>
      </c>
      <c r="AL7638">
        <v>86.352989387512295</v>
      </c>
      <c r="AM7638">
        <v>99.363985445936606</v>
      </c>
      <c r="AN7638">
        <v>1.0000000122028601</v>
      </c>
    </row>
    <row r="7639" spans="1:40" x14ac:dyDescent="0.25">
      <c r="A7639" t="str">
        <f>"20190312150841524"</f>
        <v>20190312150841524</v>
      </c>
      <c r="B7639" t="str">
        <f>"1552374521517340"</f>
        <v>1552374521517340</v>
      </c>
      <c r="C7639" t="s">
        <v>40</v>
      </c>
      <c r="D7639">
        <v>3.8968880000000001</v>
      </c>
      <c r="E7639">
        <v>0.51007460000000004</v>
      </c>
      <c r="F7639" t="s">
        <v>77</v>
      </c>
      <c r="G7639">
        <v>-405.13720000000001</v>
      </c>
      <c r="H7639" s="1">
        <v>-5.1825429999999899E-6</v>
      </c>
      <c r="I7639">
        <v>134.25239999999999</v>
      </c>
      <c r="J7639">
        <v>-391.53719999999998</v>
      </c>
      <c r="K7639">
        <v>1.1102959999999999</v>
      </c>
      <c r="L7639">
        <v>138.39779999999999</v>
      </c>
      <c r="M7639">
        <v>-0.98872099999999996</v>
      </c>
      <c r="N7639">
        <v>0</v>
      </c>
      <c r="O7639">
        <v>-0.14954539999999999</v>
      </c>
      <c r="P7639">
        <v>-0.94977659999999997</v>
      </c>
      <c r="Q7639">
        <v>5.5700119999999999E-2</v>
      </c>
      <c r="R7639">
        <v>-0.30793140000000002</v>
      </c>
      <c r="S7639">
        <v>-2.8886720000000001</v>
      </c>
      <c r="T7639">
        <v>-0.2326722</v>
      </c>
      <c r="U7639">
        <v>-0.87464900000000001</v>
      </c>
      <c r="V7639">
        <v>-0.1624688</v>
      </c>
      <c r="W7639">
        <v>6.3662670000000005E-2</v>
      </c>
      <c r="X7639">
        <v>0.98465780000000003</v>
      </c>
      <c r="Y7639">
        <v>-0.14341660000000001</v>
      </c>
      <c r="Z7639">
        <v>6.0255269999999897E-3</v>
      </c>
      <c r="AA7639">
        <v>0.98964410000000003</v>
      </c>
      <c r="AB7639">
        <v>19</v>
      </c>
      <c r="AC7639">
        <v>-13.6</v>
      </c>
      <c r="AD7639">
        <v>-1.110301182543</v>
      </c>
      <c r="AE7639">
        <v>-4.1453999999999898</v>
      </c>
      <c r="AF7639">
        <v>-2.0523793758534401</v>
      </c>
      <c r="AG7639">
        <v>-1.110301182543</v>
      </c>
      <c r="AH7639">
        <v>13.9817350348457</v>
      </c>
      <c r="AI7639">
        <v>94.492435624204305</v>
      </c>
      <c r="AJ7639">
        <v>98.350811100124901</v>
      </c>
      <c r="AK7639">
        <v>14.175117086042601</v>
      </c>
      <c r="AL7639">
        <v>86.349929329818593</v>
      </c>
      <c r="AM7639">
        <v>99.369399994469802</v>
      </c>
      <c r="AN7639">
        <v>1.0000000148129</v>
      </c>
    </row>
    <row r="7640" spans="1:40" x14ac:dyDescent="0.25">
      <c r="A7640" t="str">
        <f>"20190312150841546"</f>
        <v>20190312150841546</v>
      </c>
      <c r="B7640" t="str">
        <f>"1552374521537837"</f>
        <v>1552374521537837</v>
      </c>
      <c r="C7640" t="s">
        <v>40</v>
      </c>
      <c r="D7640">
        <v>3.9590670000000001</v>
      </c>
      <c r="E7640">
        <v>0.5099844</v>
      </c>
      <c r="F7640" t="s">
        <v>77</v>
      </c>
      <c r="G7640">
        <v>-405.22559999999999</v>
      </c>
      <c r="H7640" s="1">
        <v>-5.2426959999999997E-6</v>
      </c>
      <c r="I7640">
        <v>134.25210000000001</v>
      </c>
      <c r="J7640">
        <v>-391.72120000000001</v>
      </c>
      <c r="K7640">
        <v>1.1102939999999999</v>
      </c>
      <c r="L7640">
        <v>138.36930000000001</v>
      </c>
      <c r="M7640">
        <v>-0.98863889999999999</v>
      </c>
      <c r="N7640">
        <v>0</v>
      </c>
      <c r="O7640">
        <v>-0.15009020000000001</v>
      </c>
      <c r="P7640">
        <v>-0.94963180000000003</v>
      </c>
      <c r="Q7640">
        <v>5.593157E-2</v>
      </c>
      <c r="R7640">
        <v>-0.30833630000000001</v>
      </c>
      <c r="S7640">
        <v>-2.8887330000000002</v>
      </c>
      <c r="T7640">
        <v>-0.23431279999999999</v>
      </c>
      <c r="U7640">
        <v>-0.87487789999999999</v>
      </c>
      <c r="V7640">
        <v>-0.16234849999999901</v>
      </c>
      <c r="W7640">
        <v>6.3853489999999999E-2</v>
      </c>
      <c r="X7640">
        <v>0.98466529999999997</v>
      </c>
      <c r="Y7640">
        <v>-0.1429405</v>
      </c>
      <c r="Z7640">
        <v>6.1288439999999996E-3</v>
      </c>
      <c r="AA7640">
        <v>0.98971229999999999</v>
      </c>
      <c r="AB7640">
        <v>19</v>
      </c>
      <c r="AC7640">
        <v>-13.504399999999899</v>
      </c>
      <c r="AD7640">
        <v>-1.1102992426960001</v>
      </c>
      <c r="AE7640">
        <v>-4.1171999999999898</v>
      </c>
      <c r="AF7640">
        <v>-2.0310517394262999</v>
      </c>
      <c r="AG7640">
        <v>-1.1102992426960001</v>
      </c>
      <c r="AH7640">
        <v>13.8835204977436</v>
      </c>
      <c r="AI7640">
        <v>94.524398318801801</v>
      </c>
      <c r="AJ7640">
        <v>98.322890873740207</v>
      </c>
      <c r="AK7640">
        <v>14.075158151432101</v>
      </c>
      <c r="AL7640">
        <v>86.338973908696104</v>
      </c>
      <c r="AM7640">
        <v>99.362515258406901</v>
      </c>
      <c r="AN7640">
        <v>1.00000002833075</v>
      </c>
    </row>
    <row r="7641" spans="1:40" x14ac:dyDescent="0.25">
      <c r="A7641" t="str">
        <f>"20190312150841568"</f>
        <v>20190312150841568</v>
      </c>
      <c r="B7641" t="str">
        <f>"1552374521557357"</f>
        <v>1552374521557357</v>
      </c>
      <c r="C7641" t="s">
        <v>40</v>
      </c>
      <c r="D7641">
        <v>4.129702</v>
      </c>
      <c r="E7641">
        <v>0.51020929999999998</v>
      </c>
      <c r="F7641" t="s">
        <v>77</v>
      </c>
      <c r="G7641">
        <v>-405.44619999999998</v>
      </c>
      <c r="H7641" s="1">
        <v>-5.3697749999999998E-6</v>
      </c>
      <c r="I7641">
        <v>134.202</v>
      </c>
      <c r="J7641">
        <v>-391.90339999999998</v>
      </c>
      <c r="K7641">
        <v>1.1102920000000001</v>
      </c>
      <c r="L7641">
        <v>138.34100000000001</v>
      </c>
      <c r="M7641">
        <v>-0.98855660000000001</v>
      </c>
      <c r="N7641">
        <v>0</v>
      </c>
      <c r="O7641">
        <v>-0.15063280000000001</v>
      </c>
      <c r="P7641">
        <v>-0.94950319999999999</v>
      </c>
      <c r="Q7641">
        <v>5.5961570000000002E-2</v>
      </c>
      <c r="R7641">
        <v>-0.30872670000000002</v>
      </c>
      <c r="S7641">
        <v>-2.888153</v>
      </c>
      <c r="T7641">
        <v>-0.2336394</v>
      </c>
      <c r="U7641">
        <v>-0.8769226</v>
      </c>
      <c r="V7641">
        <v>-0.16221369999999999</v>
      </c>
      <c r="W7641">
        <v>6.3849680000000006E-2</v>
      </c>
      <c r="X7641">
        <v>0.98468770000000005</v>
      </c>
      <c r="Y7641">
        <v>-0.1430951</v>
      </c>
      <c r="Z7641">
        <v>6.1476090000000001E-3</v>
      </c>
      <c r="AA7641">
        <v>0.98968979999999995</v>
      </c>
      <c r="AB7641">
        <v>19</v>
      </c>
      <c r="AC7641">
        <v>-13.5428</v>
      </c>
      <c r="AD7641">
        <v>-1.110297369775</v>
      </c>
      <c r="AE7641">
        <v>-4.1390000000000002</v>
      </c>
      <c r="AF7641">
        <v>-2.0391778693310401</v>
      </c>
      <c r="AG7641">
        <v>-1.110297369775</v>
      </c>
      <c r="AH7641">
        <v>13.926145743517401</v>
      </c>
      <c r="AI7641">
        <v>94.510512293001</v>
      </c>
      <c r="AJ7641">
        <v>98.330505301329495</v>
      </c>
      <c r="AK7641">
        <v>14.118376036279299</v>
      </c>
      <c r="AL7641">
        <v>86.339192424648203</v>
      </c>
      <c r="AM7641">
        <v>99.354669876357605</v>
      </c>
      <c r="AN7641">
        <v>0.99999996631753996</v>
      </c>
    </row>
    <row r="7642" spans="1:40" x14ac:dyDescent="0.25">
      <c r="A7642" t="str">
        <f>"20190312150841590"</f>
        <v>20190312150841590</v>
      </c>
      <c r="B7642" t="str">
        <f>"1552374521587613"</f>
        <v>1552374521587613</v>
      </c>
      <c r="C7642" t="s">
        <v>40</v>
      </c>
      <c r="D7642">
        <v>3.9321700000000002</v>
      </c>
      <c r="E7642">
        <v>0.51005739999999999</v>
      </c>
      <c r="F7642" t="s">
        <v>77</v>
      </c>
      <c r="G7642">
        <v>-405.60289999999998</v>
      </c>
      <c r="H7642" s="1">
        <v>-5.4683660000000004E-6</v>
      </c>
      <c r="I7642">
        <v>134.1842</v>
      </c>
      <c r="J7642">
        <v>-392.08859999999999</v>
      </c>
      <c r="K7642">
        <v>1.1102879999999999</v>
      </c>
      <c r="L7642">
        <v>138.31209999999999</v>
      </c>
      <c r="M7642">
        <v>-0.98847220000000002</v>
      </c>
      <c r="N7642">
        <v>0</v>
      </c>
      <c r="O7642">
        <v>-0.1511865</v>
      </c>
      <c r="P7642">
        <v>-0.94942459999999995</v>
      </c>
      <c r="Q7642">
        <v>5.5181180000000003E-2</v>
      </c>
      <c r="R7642">
        <v>-0.30910880000000002</v>
      </c>
      <c r="S7642">
        <v>-2.8883670000000001</v>
      </c>
      <c r="T7642">
        <v>-0.23409150000000001</v>
      </c>
      <c r="U7642">
        <v>-0.87640379999999996</v>
      </c>
      <c r="V7642">
        <v>-0.16205159999999999</v>
      </c>
      <c r="W7642">
        <v>6.3041650000000005E-2</v>
      </c>
      <c r="X7642">
        <v>0.98476649999999999</v>
      </c>
      <c r="Y7642">
        <v>-0.1423615</v>
      </c>
      <c r="Z7642">
        <v>6.2312110000000004E-3</v>
      </c>
      <c r="AA7642">
        <v>0.98979510000000004</v>
      </c>
      <c r="AB7642">
        <v>19</v>
      </c>
      <c r="AC7642">
        <v>-13.514299999999899</v>
      </c>
      <c r="AD7642">
        <v>-1.110293468366</v>
      </c>
      <c r="AE7642">
        <v>-4.1278999999999799</v>
      </c>
      <c r="AF7642">
        <v>-2.0247012193435099</v>
      </c>
      <c r="AG7642">
        <v>-1.110293468366</v>
      </c>
      <c r="AH7642">
        <v>13.8972511794277</v>
      </c>
      <c r="AI7642">
        <v>94.520310307511394</v>
      </c>
      <c r="AJ7642">
        <v>98.289146606170704</v>
      </c>
      <c r="AK7642">
        <v>14.0877875110896</v>
      </c>
      <c r="AL7642">
        <v>86.385582775352802</v>
      </c>
      <c r="AM7642">
        <v>99.344752141636704</v>
      </c>
      <c r="AN7642">
        <v>1.0000000151097601</v>
      </c>
    </row>
    <row r="7643" spans="1:40" x14ac:dyDescent="0.25">
      <c r="A7643" t="str">
        <f>"20190312150841612"</f>
        <v>20190312150841612</v>
      </c>
      <c r="B7643" t="str">
        <f>"1552374521607136"</f>
        <v>1552374521607136</v>
      </c>
      <c r="C7643" t="s">
        <v>40</v>
      </c>
      <c r="D7643">
        <v>3.9556640000000001</v>
      </c>
      <c r="E7643">
        <v>0.50989340000000005</v>
      </c>
      <c r="F7643" t="s">
        <v>77</v>
      </c>
      <c r="G7643">
        <v>-405.68770000000001</v>
      </c>
      <c r="H7643" s="1">
        <v>-5.5207689999999999E-6</v>
      </c>
      <c r="I7643">
        <v>134.17269999999999</v>
      </c>
      <c r="J7643">
        <v>-392.27809999999999</v>
      </c>
      <c r="K7643">
        <v>1.1102879999999999</v>
      </c>
      <c r="L7643">
        <v>138.2825</v>
      </c>
      <c r="M7643">
        <v>-0.98838550000000003</v>
      </c>
      <c r="N7643">
        <v>0</v>
      </c>
      <c r="O7643">
        <v>-0.15175369999999999</v>
      </c>
      <c r="P7643">
        <v>-0.94936900000000002</v>
      </c>
      <c r="Q7643">
        <v>5.4604970000000003E-2</v>
      </c>
      <c r="R7643">
        <v>-0.30938169999999998</v>
      </c>
      <c r="S7643">
        <v>-2.8873600000000001</v>
      </c>
      <c r="T7643">
        <v>-0.2357379</v>
      </c>
      <c r="U7643">
        <v>-0.87889099999999998</v>
      </c>
      <c r="V7643">
        <v>-0.161764299999999</v>
      </c>
      <c r="W7643">
        <v>6.2442020000000001E-2</v>
      </c>
      <c r="X7643">
        <v>0.9848519</v>
      </c>
      <c r="Y7643">
        <v>-0.14267099999999999</v>
      </c>
      <c r="Z7643">
        <v>6.3080039999999999E-3</v>
      </c>
      <c r="AA7643">
        <v>0.98975009999999997</v>
      </c>
      <c r="AB7643">
        <v>19</v>
      </c>
      <c r="AC7643">
        <v>-13.409599999999999</v>
      </c>
      <c r="AD7643">
        <v>-1.1102935207689999</v>
      </c>
      <c r="AE7643">
        <v>-4.1097999999999999</v>
      </c>
      <c r="AF7643">
        <v>-2.0145510883061499</v>
      </c>
      <c r="AG7643">
        <v>-1.1102935207689999</v>
      </c>
      <c r="AH7643">
        <v>13.7915515157407</v>
      </c>
      <c r="AI7643">
        <v>94.554562764773095</v>
      </c>
      <c r="AJ7643">
        <v>98.310500071219593</v>
      </c>
      <c r="AK7643">
        <v>13.9820621154745</v>
      </c>
      <c r="AL7643">
        <v>86.420006739641593</v>
      </c>
      <c r="AM7643">
        <v>99.327681695530899</v>
      </c>
      <c r="AN7643">
        <v>0.99999997977488997</v>
      </c>
    </row>
    <row r="7644" spans="1:40" x14ac:dyDescent="0.25">
      <c r="A7644" t="str">
        <f>"20190312150841635"</f>
        <v>20190312150841635</v>
      </c>
      <c r="B7644" t="str">
        <f>"1552374521627632"</f>
        <v>1552374521627632</v>
      </c>
      <c r="C7644" t="s">
        <v>40</v>
      </c>
      <c r="D7644">
        <v>3.9485220000000001</v>
      </c>
      <c r="E7644">
        <v>0.50976309999999903</v>
      </c>
      <c r="F7644" t="s">
        <v>77</v>
      </c>
      <c r="G7644">
        <v>-405.69439999999997</v>
      </c>
      <c r="H7644" s="1">
        <v>-5.5325E-6</v>
      </c>
      <c r="I7644">
        <v>134.18790000000001</v>
      </c>
      <c r="J7644">
        <v>-392.4649</v>
      </c>
      <c r="K7644">
        <v>1.1102890000000001</v>
      </c>
      <c r="L7644">
        <v>138.25309999999999</v>
      </c>
      <c r="M7644">
        <v>-0.9882997</v>
      </c>
      <c r="N7644">
        <v>0</v>
      </c>
      <c r="O7644">
        <v>-0.15231239999999999</v>
      </c>
      <c r="P7644">
        <v>-0.94932470000000002</v>
      </c>
      <c r="Q7644">
        <v>5.417454E-2</v>
      </c>
      <c r="R7644">
        <v>-0.3095929</v>
      </c>
      <c r="S7644">
        <v>-2.8866580000000002</v>
      </c>
      <c r="T7644">
        <v>-0.23889099999999999</v>
      </c>
      <c r="U7644">
        <v>-0.88098140000000003</v>
      </c>
      <c r="V7644">
        <v>-0.16142319999999999</v>
      </c>
      <c r="W7644">
        <v>6.1993220000000002E-2</v>
      </c>
      <c r="X7644">
        <v>0.98493620000000004</v>
      </c>
      <c r="Y7644">
        <v>-0.142836299999999</v>
      </c>
      <c r="Z7644">
        <v>6.4303210000000001E-3</v>
      </c>
      <c r="AA7644">
        <v>0.98972550000000004</v>
      </c>
      <c r="AB7644">
        <v>19</v>
      </c>
      <c r="AC7644">
        <v>-13.2294999999999</v>
      </c>
      <c r="AD7644">
        <v>-1.11029453249999</v>
      </c>
      <c r="AE7644">
        <v>-4.0651999999999697</v>
      </c>
      <c r="AF7644">
        <v>-1.9898772612453799</v>
      </c>
      <c r="AG7644">
        <v>-1.11029453249999</v>
      </c>
      <c r="AH7644">
        <v>13.606763047888901</v>
      </c>
      <c r="AI7644">
        <v>94.616043196267398</v>
      </c>
      <c r="AJ7644">
        <v>98.320058616190295</v>
      </c>
      <c r="AK7644">
        <v>13.796244637767</v>
      </c>
      <c r="AL7644">
        <v>86.445770943619394</v>
      </c>
      <c r="AM7644">
        <v>99.307574990018907</v>
      </c>
      <c r="AN7644">
        <v>0.999999963447323</v>
      </c>
    </row>
    <row r="7645" spans="1:40" x14ac:dyDescent="0.25">
      <c r="A7645" t="str">
        <f>"20190312150841657"</f>
        <v>20190312150841657</v>
      </c>
      <c r="B7645" t="str">
        <f>"1552374521647148"</f>
        <v>1552374521647148</v>
      </c>
      <c r="C7645" t="s">
        <v>40</v>
      </c>
      <c r="D7645">
        <v>3.9526590000000001</v>
      </c>
      <c r="E7645">
        <v>0.50963000000000003</v>
      </c>
      <c r="F7645" t="s">
        <v>77</v>
      </c>
      <c r="G7645">
        <v>-405.83949999999999</v>
      </c>
      <c r="H7645" s="1">
        <v>-5.6198860000000002E-6</v>
      </c>
      <c r="I7645">
        <v>134.16309999999999</v>
      </c>
      <c r="J7645">
        <v>-392.65480000000002</v>
      </c>
      <c r="K7645">
        <v>1.11029</v>
      </c>
      <c r="L7645">
        <v>138.22319999999999</v>
      </c>
      <c r="M7645">
        <v>-0.98821239999999999</v>
      </c>
      <c r="N7645">
        <v>0</v>
      </c>
      <c r="O7645">
        <v>-0.1528795</v>
      </c>
      <c r="P7645">
        <v>-0.94934859999999999</v>
      </c>
      <c r="Q7645">
        <v>5.493866E-2</v>
      </c>
      <c r="R7645">
        <v>-0.30938529999999997</v>
      </c>
      <c r="S7645">
        <v>-2.8859859999999999</v>
      </c>
      <c r="T7645">
        <v>-0.23958099999999999</v>
      </c>
      <c r="U7645">
        <v>-0.88255309999999898</v>
      </c>
      <c r="V7645">
        <v>-0.1606495</v>
      </c>
      <c r="W7645">
        <v>6.2742779999999998E-2</v>
      </c>
      <c r="X7645">
        <v>0.98501530000000004</v>
      </c>
      <c r="Y7645">
        <v>-0.1428276</v>
      </c>
      <c r="Z7645">
        <v>6.4950099999999998E-3</v>
      </c>
      <c r="AA7645">
        <v>0.98972629999999995</v>
      </c>
      <c r="AB7645">
        <v>19</v>
      </c>
      <c r="AC7645">
        <v>-13.1846999999999</v>
      </c>
      <c r="AD7645">
        <v>-1.1102956198859999</v>
      </c>
      <c r="AE7645">
        <v>-4.0601000000000003</v>
      </c>
      <c r="AF7645">
        <v>-1.9837853371207901</v>
      </c>
      <c r="AG7645">
        <v>-1.1102956198859999</v>
      </c>
      <c r="AH7645">
        <v>13.5625793465769</v>
      </c>
      <c r="AI7645">
        <v>94.631002402507903</v>
      </c>
      <c r="AJ7645">
        <v>98.321587223048496</v>
      </c>
      <c r="AK7645">
        <v>13.751789671148501</v>
      </c>
      <c r="AL7645">
        <v>86.402740784738796</v>
      </c>
      <c r="AM7645">
        <v>99.263008068303606</v>
      </c>
      <c r="AN7645">
        <v>1.0000000297632301</v>
      </c>
    </row>
    <row r="7646" spans="1:40" x14ac:dyDescent="0.25">
      <c r="A7646" t="str">
        <f>"20190312150841680"</f>
        <v>20190312150841680</v>
      </c>
      <c r="B7646" t="str">
        <f>"1552374521677405"</f>
        <v>1552374521677405</v>
      </c>
      <c r="C7646" t="s">
        <v>40</v>
      </c>
      <c r="D7646">
        <v>4.0189589999999997</v>
      </c>
      <c r="E7646">
        <v>0.50938669999999997</v>
      </c>
      <c r="F7646" t="s">
        <v>77</v>
      </c>
      <c r="G7646">
        <v>-406.21960000000001</v>
      </c>
      <c r="H7646" s="1">
        <v>-5.8368219999999999E-6</v>
      </c>
      <c r="I7646">
        <v>134.07239999999999</v>
      </c>
      <c r="J7646">
        <v>-392.84379999999999</v>
      </c>
      <c r="K7646">
        <v>1.1102920000000001</v>
      </c>
      <c r="L7646">
        <v>138.19329999999999</v>
      </c>
      <c r="M7646">
        <v>-0.98812500000000003</v>
      </c>
      <c r="N7646">
        <v>0</v>
      </c>
      <c r="O7646">
        <v>-0.15344289999999999</v>
      </c>
      <c r="P7646">
        <v>-0.94930809999999999</v>
      </c>
      <c r="Q7646">
        <v>5.5246469999999999E-2</v>
      </c>
      <c r="R7646">
        <v>-0.30945460000000002</v>
      </c>
      <c r="S7646">
        <v>-2.8859560000000002</v>
      </c>
      <c r="T7646">
        <v>-0.2362195</v>
      </c>
      <c r="U7646">
        <v>-0.88308719999999996</v>
      </c>
      <c r="V7646">
        <v>-0.16016279999999999</v>
      </c>
      <c r="W7646">
        <v>6.3039269999999994E-2</v>
      </c>
      <c r="X7646">
        <v>0.98507560000000005</v>
      </c>
      <c r="Y7646">
        <v>-0.1424357</v>
      </c>
      <c r="Z7646">
        <v>6.4637890000000002E-3</v>
      </c>
      <c r="AA7646">
        <v>0.98978290000000002</v>
      </c>
      <c r="AB7646">
        <v>19</v>
      </c>
      <c r="AC7646">
        <v>-13.3758</v>
      </c>
      <c r="AD7646">
        <v>-1.110297836822</v>
      </c>
      <c r="AE7646">
        <v>-4.1208999999999998</v>
      </c>
      <c r="AF7646">
        <v>-2.0069777379476399</v>
      </c>
      <c r="AG7646">
        <v>-1.110297836822</v>
      </c>
      <c r="AH7646">
        <v>13.763118825604099</v>
      </c>
      <c r="AI7646">
        <v>94.564111206501707</v>
      </c>
      <c r="AJ7646">
        <v>98.296558970212203</v>
      </c>
      <c r="AK7646">
        <v>13.9529266010671</v>
      </c>
      <c r="AL7646">
        <v>86.385719374094506</v>
      </c>
      <c r="AM7646">
        <v>99.234873760068098</v>
      </c>
      <c r="AN7646">
        <v>1.0000000048906601</v>
      </c>
    </row>
    <row r="7647" spans="1:40" x14ac:dyDescent="0.25">
      <c r="A7647" t="str">
        <f>"20190312150841702"</f>
        <v>20190312150841702</v>
      </c>
      <c r="B7647" t="str">
        <f>"1552374521697900"</f>
        <v>1552374521697900</v>
      </c>
      <c r="C7647" t="s">
        <v>40</v>
      </c>
      <c r="D7647">
        <v>3.963803</v>
      </c>
      <c r="E7647">
        <v>0.50907139999999995</v>
      </c>
      <c r="F7647" t="s">
        <v>77</v>
      </c>
      <c r="G7647">
        <v>-406.39109999999999</v>
      </c>
      <c r="H7647" s="1">
        <v>-5.937612E-6</v>
      </c>
      <c r="I7647">
        <v>134.0377</v>
      </c>
      <c r="J7647">
        <v>-393.03219999999999</v>
      </c>
      <c r="K7647">
        <v>1.110284</v>
      </c>
      <c r="L7647">
        <v>138.1634</v>
      </c>
      <c r="M7647">
        <v>-0.98803759999999996</v>
      </c>
      <c r="N7647">
        <v>0</v>
      </c>
      <c r="O7647">
        <v>-0.15400529999999901</v>
      </c>
      <c r="P7647">
        <v>-0.94929680000000005</v>
      </c>
      <c r="Q7647">
        <v>5.5361300000000002E-2</v>
      </c>
      <c r="R7647">
        <v>-0.30946889999999999</v>
      </c>
      <c r="S7647">
        <v>-2.8854679999999999</v>
      </c>
      <c r="T7647">
        <v>-0.23648449999999999</v>
      </c>
      <c r="U7647">
        <v>-0.88511659999999903</v>
      </c>
      <c r="V7647">
        <v>-0.15961819999999999</v>
      </c>
      <c r="W7647">
        <v>6.3145870000000007E-2</v>
      </c>
      <c r="X7647">
        <v>0.98515719999999996</v>
      </c>
      <c r="Y7647">
        <v>-0.14255689999999999</v>
      </c>
      <c r="Z7647">
        <v>6.51047E-3</v>
      </c>
      <c r="AA7647">
        <v>0.98976520000000001</v>
      </c>
      <c r="AB7647">
        <v>19</v>
      </c>
      <c r="AC7647">
        <v>-13.3589</v>
      </c>
      <c r="AD7647">
        <v>-1.1102899376119999</v>
      </c>
      <c r="AE7647">
        <v>-4.1256999999999904</v>
      </c>
      <c r="AF7647">
        <v>-2.0064171611800998</v>
      </c>
      <c r="AG7647">
        <v>-1.1102899376119999</v>
      </c>
      <c r="AH7647">
        <v>13.7482195052335</v>
      </c>
      <c r="AI7647">
        <v>94.568927954964195</v>
      </c>
      <c r="AJ7647">
        <v>98.303137346703593</v>
      </c>
      <c r="AK7647">
        <v>13.9381488417337</v>
      </c>
      <c r="AL7647">
        <v>86.379599577332897</v>
      </c>
      <c r="AM7647">
        <v>99.203261515690997</v>
      </c>
      <c r="AN7647">
        <v>1.0000000396905599</v>
      </c>
    </row>
    <row r="7648" spans="1:40" x14ac:dyDescent="0.25">
      <c r="A7648" t="str">
        <f>"20190312150841725"</f>
        <v>20190312150841725</v>
      </c>
      <c r="B7648" t="str">
        <f>"1552374521717420"</f>
        <v>1552374521717420</v>
      </c>
      <c r="C7648" t="s">
        <v>40</v>
      </c>
      <c r="D7648">
        <v>3.9881009999999999</v>
      </c>
      <c r="E7648">
        <v>0.50879669999999999</v>
      </c>
      <c r="F7648" t="s">
        <v>77</v>
      </c>
      <c r="G7648">
        <v>-406.41399999999999</v>
      </c>
      <c r="H7648" s="1">
        <v>-5.9568939999999999E-6</v>
      </c>
      <c r="I7648">
        <v>134.0455</v>
      </c>
      <c r="J7648">
        <v>-393.22500000000002</v>
      </c>
      <c r="K7648">
        <v>1.1102879999999999</v>
      </c>
      <c r="L7648">
        <v>138.1326</v>
      </c>
      <c r="M7648">
        <v>-0.98794780000000004</v>
      </c>
      <c r="N7648">
        <v>0</v>
      </c>
      <c r="O7648">
        <v>-0.154581</v>
      </c>
      <c r="P7648">
        <v>-0.94916339999999999</v>
      </c>
      <c r="Q7648">
        <v>5.5546119999999997E-2</v>
      </c>
      <c r="R7648">
        <v>-0.30984509999999998</v>
      </c>
      <c r="S7648">
        <v>-2.8847960000000001</v>
      </c>
      <c r="T7648">
        <v>-0.2393525</v>
      </c>
      <c r="U7648">
        <v>-0.88771060000000002</v>
      </c>
      <c r="V7648">
        <v>-0.15943689999999999</v>
      </c>
      <c r="W7648">
        <v>6.3323840000000006E-2</v>
      </c>
      <c r="X7648">
        <v>0.98517509999999997</v>
      </c>
      <c r="Y7648">
        <v>-0.1428596</v>
      </c>
      <c r="Z7648">
        <v>6.6229799999999997E-3</v>
      </c>
      <c r="AA7648">
        <v>0.98972079999999996</v>
      </c>
      <c r="AB7648">
        <v>19</v>
      </c>
      <c r="AC7648">
        <v>-13.188999999999901</v>
      </c>
      <c r="AD7648">
        <v>-1.110293956894</v>
      </c>
      <c r="AE7648">
        <v>-4.0870999999999897</v>
      </c>
      <c r="AF7648">
        <v>-1.98629327929792</v>
      </c>
      <c r="AG7648">
        <v>-1.110293956894</v>
      </c>
      <c r="AH7648">
        <v>13.574496277411701</v>
      </c>
      <c r="AI7648">
        <v>94.626910466777801</v>
      </c>
      <c r="AJ7648">
        <v>98.324747944318105</v>
      </c>
      <c r="AK7648">
        <v>13.7639043460627</v>
      </c>
      <c r="AL7648">
        <v>86.369382076066699</v>
      </c>
      <c r="AM7648">
        <v>99.192822528757404</v>
      </c>
      <c r="AN7648">
        <v>1.00000000572698</v>
      </c>
    </row>
    <row r="7649" spans="1:40" x14ac:dyDescent="0.25">
      <c r="A7649" t="str">
        <f>"20190312150841746"</f>
        <v>20190312150841746</v>
      </c>
      <c r="B7649" t="str">
        <f>"1552374521737925"</f>
        <v>1552374521737925</v>
      </c>
      <c r="C7649" t="s">
        <v>40</v>
      </c>
      <c r="D7649">
        <v>3.983911</v>
      </c>
      <c r="E7649">
        <v>0.50857169999999996</v>
      </c>
      <c r="F7649" t="s">
        <v>77</v>
      </c>
      <c r="G7649">
        <v>-406.5188</v>
      </c>
      <c r="H7649" s="1">
        <v>-6.0191199999999901E-6</v>
      </c>
      <c r="I7649">
        <v>134.0257</v>
      </c>
      <c r="J7649">
        <v>-393.41109999999998</v>
      </c>
      <c r="K7649">
        <v>1.1102879999999999</v>
      </c>
      <c r="L7649">
        <v>138.10290000000001</v>
      </c>
      <c r="M7649">
        <v>-0.98786050000000003</v>
      </c>
      <c r="N7649">
        <v>0</v>
      </c>
      <c r="O7649">
        <v>-0.15513840000000001</v>
      </c>
      <c r="P7649">
        <v>-0.94899560000000005</v>
      </c>
      <c r="Q7649">
        <v>5.560118E-2</v>
      </c>
      <c r="R7649">
        <v>-0.31034840000000002</v>
      </c>
      <c r="S7649">
        <v>-2.8839419999999998</v>
      </c>
      <c r="T7649">
        <v>-0.24086579999999999</v>
      </c>
      <c r="U7649">
        <v>-0.89096070000000005</v>
      </c>
      <c r="V7649">
        <v>-0.15940499999999999</v>
      </c>
      <c r="W7649">
        <v>6.3374280000000005E-2</v>
      </c>
      <c r="X7649">
        <v>0.98517699999999997</v>
      </c>
      <c r="Y7649">
        <v>-0.14340249999999999</v>
      </c>
      <c r="Z7649">
        <v>6.6876160000000004E-3</v>
      </c>
      <c r="AA7649">
        <v>0.98964180000000002</v>
      </c>
      <c r="AB7649">
        <v>19</v>
      </c>
      <c r="AC7649">
        <v>-13.107699999999999</v>
      </c>
      <c r="AD7649">
        <v>-1.1102940191199999</v>
      </c>
      <c r="AE7649">
        <v>-4.0772000000000004</v>
      </c>
      <c r="AF7649">
        <v>-1.98129900305193</v>
      </c>
      <c r="AG7649">
        <v>-1.1102940191199999</v>
      </c>
      <c r="AH7649">
        <v>13.493268418844799</v>
      </c>
      <c r="AI7649">
        <v>94.654302527004802</v>
      </c>
      <c r="AJ7649">
        <v>98.353395122408799</v>
      </c>
      <c r="AK7649">
        <v>13.683076816688001</v>
      </c>
      <c r="AL7649">
        <v>86.366486193692197</v>
      </c>
      <c r="AM7649">
        <v>99.190997207551305</v>
      </c>
      <c r="AN7649">
        <v>0.99999998735975903</v>
      </c>
    </row>
    <row r="7650" spans="1:40" x14ac:dyDescent="0.25">
      <c r="A7650" t="str">
        <f>"20190312150841770"</f>
        <v>20190312150841770</v>
      </c>
      <c r="B7650" t="str">
        <f>"1552374521757437"</f>
        <v>1552374521757437</v>
      </c>
      <c r="C7650" t="s">
        <v>40</v>
      </c>
      <c r="D7650">
        <v>3.9659040000000001</v>
      </c>
      <c r="E7650">
        <v>0.50831570000000004</v>
      </c>
      <c r="F7650" t="s">
        <v>77</v>
      </c>
      <c r="G7650">
        <v>-406.4991</v>
      </c>
      <c r="H7650" s="1">
        <v>-6.0125870000000001E-6</v>
      </c>
      <c r="I7650">
        <v>134.04040000000001</v>
      </c>
      <c r="J7650">
        <v>-393.60449999999997</v>
      </c>
      <c r="K7650">
        <v>1.110279</v>
      </c>
      <c r="L7650">
        <v>138.0718</v>
      </c>
      <c r="M7650">
        <v>-0.98776889999999995</v>
      </c>
      <c r="N7650">
        <v>0</v>
      </c>
      <c r="O7650">
        <v>-0.15571989999999999</v>
      </c>
      <c r="P7650">
        <v>-0.9489031</v>
      </c>
      <c r="Q7650">
        <v>5.5498640000000002E-2</v>
      </c>
      <c r="R7650">
        <v>-0.31064930000000002</v>
      </c>
      <c r="S7650">
        <v>-2.8829039999999999</v>
      </c>
      <c r="T7650">
        <v>-0.24456510000000001</v>
      </c>
      <c r="U7650">
        <v>-0.89483639999999998</v>
      </c>
      <c r="V7650">
        <v>-0.15913679999999999</v>
      </c>
      <c r="W7650">
        <v>6.3268640000000001E-2</v>
      </c>
      <c r="X7650">
        <v>0.98522719999999997</v>
      </c>
      <c r="Y7650">
        <v>-0.14413489999999901</v>
      </c>
      <c r="Z7650">
        <v>6.807479E-3</v>
      </c>
      <c r="AA7650">
        <v>0.98953460000000004</v>
      </c>
      <c r="AB7650">
        <v>19</v>
      </c>
      <c r="AC7650">
        <v>-12.894600000000001</v>
      </c>
      <c r="AD7650">
        <v>-1.1102850125870001</v>
      </c>
      <c r="AE7650">
        <v>-4.0313999999999899</v>
      </c>
      <c r="AF7650">
        <v>-1.9609647429884201</v>
      </c>
      <c r="AG7650">
        <v>-1.1102850125870001</v>
      </c>
      <c r="AH7650">
        <v>13.275420928488799</v>
      </c>
      <c r="AI7650">
        <v>94.729701052623</v>
      </c>
      <c r="AJ7650">
        <v>98.402623547845806</v>
      </c>
      <c r="AK7650">
        <v>13.465322735121401</v>
      </c>
      <c r="AL7650">
        <v>86.372551277800994</v>
      </c>
      <c r="AM7650">
        <v>99.175336980974905</v>
      </c>
      <c r="AN7650">
        <v>1.0000000387707599</v>
      </c>
    </row>
    <row r="7651" spans="1:40" x14ac:dyDescent="0.25">
      <c r="A7651" t="str">
        <f>"20190312150841791"</f>
        <v>20190312150841791</v>
      </c>
      <c r="B7651" t="str">
        <f>"1552374521787693"</f>
        <v>1552374521787693</v>
      </c>
      <c r="C7651" t="s">
        <v>40</v>
      </c>
      <c r="D7651">
        <v>3.9078360000000001</v>
      </c>
      <c r="E7651">
        <v>0.50806499999999999</v>
      </c>
      <c r="F7651" t="s">
        <v>77</v>
      </c>
      <c r="G7651">
        <v>-406.53539999999998</v>
      </c>
      <c r="H7651" s="1">
        <v>-6.038925E-6</v>
      </c>
      <c r="I7651">
        <v>134.04390000000001</v>
      </c>
      <c r="J7651">
        <v>-393.79700000000003</v>
      </c>
      <c r="K7651">
        <v>1.110282</v>
      </c>
      <c r="L7651">
        <v>138.04079999999999</v>
      </c>
      <c r="M7651">
        <v>-0.98767640000000001</v>
      </c>
      <c r="N7651">
        <v>0</v>
      </c>
      <c r="O7651">
        <v>-0.156305</v>
      </c>
      <c r="P7651">
        <v>-0.94856200000000002</v>
      </c>
      <c r="Q7651">
        <v>5.5208510000000002E-2</v>
      </c>
      <c r="R7651">
        <v>-0.31174059999999998</v>
      </c>
      <c r="S7651">
        <v>-2.8820800000000002</v>
      </c>
      <c r="T7651">
        <v>-0.24746470000000001</v>
      </c>
      <c r="U7651">
        <v>-0.89775090000000002</v>
      </c>
      <c r="V7651">
        <v>-0.159684299999999</v>
      </c>
      <c r="W7651">
        <v>6.2975020000000007E-2</v>
      </c>
      <c r="X7651">
        <v>0.98515739999999996</v>
      </c>
      <c r="Y7651">
        <v>-0.14454259999999999</v>
      </c>
      <c r="Z7651">
        <v>6.9194340000000003E-3</v>
      </c>
      <c r="AA7651">
        <v>0.98947439999999998</v>
      </c>
      <c r="AB7651">
        <v>19</v>
      </c>
      <c r="AC7651">
        <v>-12.7384</v>
      </c>
      <c r="AD7651">
        <v>-1.1102880389250001</v>
      </c>
      <c r="AE7651">
        <v>-3.9968999999999801</v>
      </c>
      <c r="AF7651">
        <v>-1.94319157428711</v>
      </c>
      <c r="AG7651">
        <v>-1.1102880389250001</v>
      </c>
      <c r="AH7651">
        <v>13.1158650123957</v>
      </c>
      <c r="AI7651">
        <v>94.786680800569897</v>
      </c>
      <c r="AJ7651">
        <v>98.427398454497904</v>
      </c>
      <c r="AK7651">
        <v>13.305436785282399</v>
      </c>
      <c r="AL7651">
        <v>86.389407996259493</v>
      </c>
      <c r="AM7651">
        <v>99.207005612890697</v>
      </c>
      <c r="AN7651">
        <v>1.0000000157926201</v>
      </c>
    </row>
    <row r="7652" spans="1:40" x14ac:dyDescent="0.25">
      <c r="A7652" t="str">
        <f>"20190312150841814"</f>
        <v>20190312150841814</v>
      </c>
      <c r="B7652" t="str">
        <f>"1552374521807212"</f>
        <v>1552374521807212</v>
      </c>
      <c r="C7652" t="s">
        <v>40</v>
      </c>
      <c r="D7652">
        <v>3.9459569999999999</v>
      </c>
      <c r="E7652">
        <v>0.50785499999999995</v>
      </c>
      <c r="F7652" t="s">
        <v>77</v>
      </c>
      <c r="G7652">
        <v>-406.49669999999998</v>
      </c>
      <c r="H7652" s="1">
        <v>-6.0195889999999998E-6</v>
      </c>
      <c r="I7652">
        <v>134.059</v>
      </c>
      <c r="J7652">
        <v>-393.99099999999999</v>
      </c>
      <c r="K7652">
        <v>1.11029</v>
      </c>
      <c r="L7652">
        <v>138.0093</v>
      </c>
      <c r="M7652">
        <v>-0.98758020000000002</v>
      </c>
      <c r="N7652">
        <v>0</v>
      </c>
      <c r="O7652">
        <v>-0.15691189999999999</v>
      </c>
      <c r="P7652">
        <v>-0.94840599999999997</v>
      </c>
      <c r="Q7652">
        <v>5.4809379999999998E-2</v>
      </c>
      <c r="R7652">
        <v>-0.31228529999999999</v>
      </c>
      <c r="S7652">
        <v>-2.8805540000000001</v>
      </c>
      <c r="T7652">
        <v>-0.25183620000000001</v>
      </c>
      <c r="U7652">
        <v>-0.90313719999999997</v>
      </c>
      <c r="V7652">
        <v>-0.1596427</v>
      </c>
      <c r="W7652">
        <v>6.2572879999999997E-2</v>
      </c>
      <c r="X7652">
        <v>0.98518969999999995</v>
      </c>
      <c r="Y7652">
        <v>-0.14576789999999901</v>
      </c>
      <c r="Z7652">
        <v>7.0408140000000003E-3</v>
      </c>
      <c r="AA7652">
        <v>0.9892938</v>
      </c>
      <c r="AB7652">
        <v>20</v>
      </c>
      <c r="AC7652">
        <v>-12.5056999999999</v>
      </c>
      <c r="AD7652">
        <v>-1.1102960195889999</v>
      </c>
      <c r="AE7652">
        <v>-3.9502999999999902</v>
      </c>
      <c r="AF7652">
        <v>-1.9252084202184401</v>
      </c>
      <c r="AG7652">
        <v>-1.1102960195889999</v>
      </c>
      <c r="AH7652">
        <v>12.8783429131018</v>
      </c>
      <c r="AI7652">
        <v>94.873633761896599</v>
      </c>
      <c r="AJ7652">
        <v>98.502294152627201</v>
      </c>
      <c r="AK7652">
        <v>13.0686992811004</v>
      </c>
      <c r="AL7652">
        <v>86.412494219791199</v>
      </c>
      <c r="AM7652">
        <v>99.204351506642993</v>
      </c>
      <c r="AN7652">
        <v>0.99999995098043504</v>
      </c>
    </row>
    <row r="7653" spans="1:40" x14ac:dyDescent="0.25">
      <c r="A7653" t="str">
        <f>"20190312150841828"</f>
        <v>20190312150841828</v>
      </c>
      <c r="B7653" t="str">
        <f>"1552374521817949"</f>
        <v>1552374521817949</v>
      </c>
      <c r="C7653" t="s">
        <v>40</v>
      </c>
      <c r="D7653">
        <v>3.8803700000000001</v>
      </c>
      <c r="E7653">
        <v>0.4812997</v>
      </c>
      <c r="F7653" t="s">
        <v>77</v>
      </c>
      <c r="G7653">
        <v>-406.60500000000002</v>
      </c>
      <c r="H7653" s="1">
        <v>-6.0839679999999997E-6</v>
      </c>
      <c r="I7653">
        <v>134.0386</v>
      </c>
      <c r="J7653">
        <v>-394.12200000000001</v>
      </c>
      <c r="K7653">
        <v>1.1102989999999999</v>
      </c>
      <c r="L7653">
        <v>137.9881</v>
      </c>
      <c r="M7653">
        <v>-0.98751270000000002</v>
      </c>
      <c r="N7653">
        <v>0</v>
      </c>
      <c r="O7653">
        <v>-0.1573368</v>
      </c>
      <c r="P7653">
        <v>-0.9481868</v>
      </c>
      <c r="Q7653">
        <v>5.4780719999999998E-2</v>
      </c>
      <c r="R7653">
        <v>-0.3129555</v>
      </c>
      <c r="S7653">
        <v>-2.8793950000000001</v>
      </c>
      <c r="T7653">
        <v>-0.25344650000000002</v>
      </c>
      <c r="U7653">
        <v>-0.90640259999999995</v>
      </c>
      <c r="V7653">
        <v>-0.15991649999999999</v>
      </c>
      <c r="W7653">
        <v>6.2540529999999997E-2</v>
      </c>
      <c r="X7653">
        <v>0.98514740000000001</v>
      </c>
      <c r="Y7653">
        <v>-0.14647660000000001</v>
      </c>
      <c r="Z7653">
        <v>7.0921939999999996E-3</v>
      </c>
      <c r="AA7653">
        <v>0.98918870000000003</v>
      </c>
      <c r="AB7653">
        <v>20</v>
      </c>
      <c r="AC7653">
        <v>-12.483000000000001</v>
      </c>
      <c r="AD7653">
        <v>-1.110305083968</v>
      </c>
      <c r="AE7653">
        <v>-3.9495</v>
      </c>
      <c r="AF7653">
        <v>-1.9223832721524901</v>
      </c>
      <c r="AG7653">
        <v>-1.110305083968</v>
      </c>
      <c r="AH7653">
        <v>12.8564797081366</v>
      </c>
      <c r="AI7653">
        <v>94.881896812855103</v>
      </c>
      <c r="AJ7653">
        <v>98.504226226488598</v>
      </c>
      <c r="AK7653">
        <v>13.0467392596873</v>
      </c>
      <c r="AL7653">
        <v>86.414351559994003</v>
      </c>
      <c r="AM7653">
        <v>99.220255905413396</v>
      </c>
      <c r="AN7653">
        <v>1.00000000229584</v>
      </c>
    </row>
    <row r="7654" spans="1:40" x14ac:dyDescent="0.25">
      <c r="A7654" t="str">
        <f>"20190312150841847"</f>
        <v>20190312150841847</v>
      </c>
      <c r="B7654" t="str">
        <f>"1552374521837469"</f>
        <v>1552374521837469</v>
      </c>
      <c r="C7654" t="s">
        <v>40</v>
      </c>
      <c r="D7654">
        <v>3.9214769999999999</v>
      </c>
      <c r="E7654">
        <v>0.4815084</v>
      </c>
      <c r="F7654" t="s">
        <v>77</v>
      </c>
      <c r="G7654">
        <v>-407.10140000000001</v>
      </c>
      <c r="H7654" s="1">
        <v>-5.8761990000000004E-6</v>
      </c>
      <c r="I7654">
        <v>132.86840000000001</v>
      </c>
      <c r="J7654">
        <v>-394.2826</v>
      </c>
      <c r="K7654">
        <v>1.1103160000000001</v>
      </c>
      <c r="L7654">
        <v>137.96180000000001</v>
      </c>
      <c r="M7654">
        <v>-0.98742540000000001</v>
      </c>
      <c r="N7654">
        <v>0</v>
      </c>
      <c r="O7654">
        <v>-0.15788369999999999</v>
      </c>
      <c r="P7654">
        <v>-0.94791190000000003</v>
      </c>
      <c r="Q7654">
        <v>5.4587089999999998E-2</v>
      </c>
      <c r="R7654">
        <v>-0.3138204</v>
      </c>
      <c r="S7654">
        <v>-2.8117679999999998</v>
      </c>
      <c r="T7654">
        <v>-0.24052860000000001</v>
      </c>
      <c r="U7654">
        <v>-1.1090850000000001</v>
      </c>
      <c r="V7654">
        <v>-0.16027169999999999</v>
      </c>
      <c r="W7654">
        <v>6.2339690000000003E-2</v>
      </c>
      <c r="X7654">
        <v>0.98510240000000004</v>
      </c>
      <c r="Y7654">
        <v>-0.21527089999999999</v>
      </c>
      <c r="Z7654">
        <v>3.9997349999999999E-3</v>
      </c>
      <c r="AA7654">
        <v>0.97654620000000003</v>
      </c>
      <c r="AB7654">
        <v>20</v>
      </c>
      <c r="AC7654">
        <v>-12.8188</v>
      </c>
      <c r="AD7654">
        <v>-1.1103218761989999</v>
      </c>
      <c r="AE7654">
        <v>-5.0933999999999999</v>
      </c>
      <c r="AF7654">
        <v>-2.98621970325296</v>
      </c>
      <c r="AG7654">
        <v>-1.1103218761989999</v>
      </c>
      <c r="AH7654">
        <v>13.375536556821899</v>
      </c>
      <c r="AI7654">
        <v>94.631804625232107</v>
      </c>
      <c r="AJ7654">
        <v>102.58544683528299</v>
      </c>
      <c r="AK7654">
        <v>13.7497382145168</v>
      </c>
      <c r="AL7654">
        <v>86.425881321979801</v>
      </c>
      <c r="AM7654">
        <v>99.240797496064005</v>
      </c>
      <c r="AN7654">
        <v>0.99999999662797301</v>
      </c>
    </row>
    <row r="7655" spans="1:40" x14ac:dyDescent="0.25">
      <c r="A7655" t="str">
        <f>"20190312150841870"</f>
        <v>20190312150841870</v>
      </c>
      <c r="B7655" t="str">
        <f>"1552374521867725"</f>
        <v>1552374521867725</v>
      </c>
      <c r="C7655" t="s">
        <v>40</v>
      </c>
      <c r="D7655">
        <v>3.9023729999999999</v>
      </c>
      <c r="E7655">
        <v>0.48159190000000002</v>
      </c>
      <c r="F7655" t="s">
        <v>77</v>
      </c>
      <c r="G7655">
        <v>-407.72469999999998</v>
      </c>
      <c r="H7655" s="1">
        <v>-6.2013559999999899E-6</v>
      </c>
      <c r="I7655">
        <v>132.6542</v>
      </c>
      <c r="J7655">
        <v>-394.47949999999997</v>
      </c>
      <c r="K7655">
        <v>1.1103609999999999</v>
      </c>
      <c r="L7655">
        <v>137.92949999999999</v>
      </c>
      <c r="M7655">
        <v>-0.98730819999999997</v>
      </c>
      <c r="N7655">
        <v>0</v>
      </c>
      <c r="O7655">
        <v>-0.15861339999999999</v>
      </c>
      <c r="P7655">
        <v>-0.94754720000000003</v>
      </c>
      <c r="Q7655">
        <v>5.4653590000000002E-2</v>
      </c>
      <c r="R7655">
        <v>-0.31490820000000003</v>
      </c>
      <c r="S7655">
        <v>-2.8108219999999999</v>
      </c>
      <c r="T7655">
        <v>-0.2321743</v>
      </c>
      <c r="U7655">
        <v>-1.1098629999999901</v>
      </c>
      <c r="V7655">
        <v>-0.16068170000000001</v>
      </c>
      <c r="W7655">
        <v>6.2392990000000002E-2</v>
      </c>
      <c r="X7655">
        <v>0.98503229999999997</v>
      </c>
      <c r="Y7655">
        <v>-0.21491080000000001</v>
      </c>
      <c r="Z7655">
        <v>3.9330729999999996E-3</v>
      </c>
      <c r="AA7655">
        <v>0.97662579999999999</v>
      </c>
      <c r="AB7655">
        <v>20</v>
      </c>
      <c r="AC7655">
        <v>-13.245200000000001</v>
      </c>
      <c r="AD7655">
        <v>-1.110367201356</v>
      </c>
      <c r="AE7655">
        <v>-5.2752999999999801</v>
      </c>
      <c r="AF7655">
        <v>-3.0888450184218099</v>
      </c>
      <c r="AG7655">
        <v>-1.110367201356</v>
      </c>
      <c r="AH7655">
        <v>13.830385891657899</v>
      </c>
      <c r="AI7655">
        <v>94.480214247766</v>
      </c>
      <c r="AJ7655">
        <v>102.589691697408</v>
      </c>
      <c r="AK7655">
        <v>14.214550741470701</v>
      </c>
      <c r="AL7655">
        <v>86.422821738103806</v>
      </c>
      <c r="AM7655">
        <v>99.264675396672601</v>
      </c>
      <c r="AN7655">
        <v>1.0000000629796499</v>
      </c>
    </row>
    <row r="7656" spans="1:40" x14ac:dyDescent="0.25">
      <c r="A7656" t="str">
        <f>"20190312150841892"</f>
        <v>20190312150841892</v>
      </c>
      <c r="B7656" t="str">
        <f>"1552374521887245"</f>
        <v>1552374521887245</v>
      </c>
      <c r="C7656" t="s">
        <v>40</v>
      </c>
      <c r="D7656">
        <v>3.8834200000000001</v>
      </c>
      <c r="E7656">
        <v>0.481429</v>
      </c>
      <c r="F7656" t="s">
        <v>77</v>
      </c>
      <c r="G7656">
        <v>-407.37349999999998</v>
      </c>
      <c r="H7656" s="1">
        <v>-6.0400380000000004E-6</v>
      </c>
      <c r="I7656">
        <v>132.82169999999999</v>
      </c>
      <c r="J7656">
        <v>-394.67169999999999</v>
      </c>
      <c r="K7656">
        <v>1.1104160000000001</v>
      </c>
      <c r="L7656">
        <v>137.89769999999999</v>
      </c>
      <c r="M7656">
        <v>-0.98718189999999995</v>
      </c>
      <c r="N7656">
        <v>0</v>
      </c>
      <c r="O7656">
        <v>-0.1593975</v>
      </c>
      <c r="P7656">
        <v>-0.9472486</v>
      </c>
      <c r="Q7656">
        <v>5.4331959999999999E-2</v>
      </c>
      <c r="R7656">
        <v>-0.31586130000000001</v>
      </c>
      <c r="S7656">
        <v>-2.8100589999999999</v>
      </c>
      <c r="T7656">
        <v>-0.24198700000000001</v>
      </c>
      <c r="U7656">
        <v>-1.113159</v>
      </c>
      <c r="V7656">
        <v>-0.16089510000000001</v>
      </c>
      <c r="W7656">
        <v>6.2055569999999997E-2</v>
      </c>
      <c r="X7656">
        <v>0.98501870000000002</v>
      </c>
      <c r="Y7656">
        <v>-0.21520339999999999</v>
      </c>
      <c r="Z7656">
        <v>4.1499129999999999E-3</v>
      </c>
      <c r="AA7656">
        <v>0.9765604</v>
      </c>
      <c r="AB7656">
        <v>20</v>
      </c>
      <c r="AC7656">
        <v>-12.701799999999899</v>
      </c>
      <c r="AD7656">
        <v>-1.110422040038</v>
      </c>
      <c r="AE7656">
        <v>-5.0759999999999899</v>
      </c>
      <c r="AF7656">
        <v>-2.96684411394464</v>
      </c>
      <c r="AG7656">
        <v>-1.110422040038</v>
      </c>
      <c r="AH7656">
        <v>13.261124630759801</v>
      </c>
      <c r="AI7656">
        <v>94.671549031776607</v>
      </c>
      <c r="AJ7656">
        <v>102.61082838628199</v>
      </c>
      <c r="AK7656">
        <v>13.634244664666801</v>
      </c>
      <c r="AL7656">
        <v>86.442191730430693</v>
      </c>
      <c r="AM7656">
        <v>99.276891814121697</v>
      </c>
      <c r="AN7656">
        <v>0.99999998316086203</v>
      </c>
    </row>
    <row r="7657" spans="1:40" x14ac:dyDescent="0.25">
      <c r="A7657" t="str">
        <f>"20190312150841907"</f>
        <v>20190312150841907</v>
      </c>
      <c r="B7657" t="str">
        <f>"1552374521897981"</f>
        <v>1552374521897981</v>
      </c>
      <c r="C7657" t="s">
        <v>40</v>
      </c>
      <c r="D7657">
        <v>3.8937059999999999</v>
      </c>
      <c r="E7657">
        <v>0.48135549999999999</v>
      </c>
      <c r="F7657" t="s">
        <v>77</v>
      </c>
      <c r="G7657">
        <v>-407.86599999999999</v>
      </c>
      <c r="H7657" s="1">
        <v>-6.2966150000000002E-6</v>
      </c>
      <c r="I7657">
        <v>132.65180000000001</v>
      </c>
      <c r="J7657">
        <v>-394.80279999999999</v>
      </c>
      <c r="K7657">
        <v>1.110457</v>
      </c>
      <c r="L7657">
        <v>137.8759</v>
      </c>
      <c r="M7657">
        <v>-0.98708830000000003</v>
      </c>
      <c r="N7657">
        <v>0</v>
      </c>
      <c r="O7657">
        <v>-0.159975799999999</v>
      </c>
      <c r="P7657">
        <v>-0.94705729999999999</v>
      </c>
      <c r="Q7657">
        <v>5.4274250000000003E-2</v>
      </c>
      <c r="R7657">
        <v>-0.31644420000000001</v>
      </c>
      <c r="S7657">
        <v>-2.808319</v>
      </c>
      <c r="T7657">
        <v>-0.23634620000000001</v>
      </c>
      <c r="U7657">
        <v>-1.1165620000000001</v>
      </c>
      <c r="V7657">
        <v>-0.16093009999999999</v>
      </c>
      <c r="W7657">
        <v>6.1985140000000001E-2</v>
      </c>
      <c r="X7657">
        <v>0.98501740000000004</v>
      </c>
      <c r="Y7657">
        <v>-0.21586839999999999</v>
      </c>
      <c r="Z7657">
        <v>4.0733590000000004E-3</v>
      </c>
      <c r="AA7657">
        <v>0.976414</v>
      </c>
      <c r="AB7657">
        <v>20</v>
      </c>
      <c r="AC7657">
        <v>-13.063199999999901</v>
      </c>
      <c r="AD7657">
        <v>-1.1104632966150001</v>
      </c>
      <c r="AE7657">
        <v>-5.2240999999999902</v>
      </c>
      <c r="AF7657">
        <v>-3.04796254131307</v>
      </c>
      <c r="AG7657">
        <v>-1.1104632966150001</v>
      </c>
      <c r="AH7657">
        <v>13.645693043370599</v>
      </c>
      <c r="AI7657">
        <v>94.540967019662801</v>
      </c>
      <c r="AJ7657">
        <v>102.591156956639</v>
      </c>
      <c r="AK7657">
        <v>14.025981000282</v>
      </c>
      <c r="AL7657">
        <v>86.446234796394094</v>
      </c>
      <c r="AM7657">
        <v>99.278886781608193</v>
      </c>
      <c r="AN7657">
        <v>0.99999996648479395</v>
      </c>
    </row>
    <row r="7658" spans="1:40" x14ac:dyDescent="0.25">
      <c r="A7658" t="str">
        <f>"20190312150841926"</f>
        <v>20190312150841926</v>
      </c>
      <c r="B7658" t="str">
        <f>"1552374521917501"</f>
        <v>1552374521917501</v>
      </c>
      <c r="C7658" t="s">
        <v>40</v>
      </c>
      <c r="D7658">
        <v>3.8911419999999999</v>
      </c>
      <c r="E7658">
        <v>0.48133140000000002</v>
      </c>
      <c r="F7658" t="s">
        <v>77</v>
      </c>
      <c r="G7658">
        <v>-408.16050000000001</v>
      </c>
      <c r="H7658" s="1">
        <v>-6.4516420000000001E-6</v>
      </c>
      <c r="I7658">
        <v>132.55350000000001</v>
      </c>
      <c r="J7658">
        <v>-394.96789999999999</v>
      </c>
      <c r="K7658">
        <v>1.110519</v>
      </c>
      <c r="L7658">
        <v>137.84829999999999</v>
      </c>
      <c r="M7658">
        <v>-0.986958</v>
      </c>
      <c r="N7658">
        <v>0</v>
      </c>
      <c r="O7658">
        <v>-0.16077820000000001</v>
      </c>
      <c r="P7658">
        <v>-0.94663580000000003</v>
      </c>
      <c r="Q7658">
        <v>5.3624860000000003E-2</v>
      </c>
      <c r="R7658">
        <v>-0.31781279999999901</v>
      </c>
      <c r="S7658">
        <v>-2.8073429999999999</v>
      </c>
      <c r="T7658">
        <v>-0.2333826</v>
      </c>
      <c r="U7658">
        <v>-1.1185909999999999</v>
      </c>
      <c r="V7658">
        <v>-0.16155620000000001</v>
      </c>
      <c r="W7658">
        <v>6.1316450000000002E-2</v>
      </c>
      <c r="X7658">
        <v>0.98495679999999997</v>
      </c>
      <c r="Y7658">
        <v>-0.21580730000000001</v>
      </c>
      <c r="Z7658">
        <v>4.0880250000000003E-3</v>
      </c>
      <c r="AA7658">
        <v>0.97642739999999995</v>
      </c>
      <c r="AB7658">
        <v>20</v>
      </c>
      <c r="AC7658">
        <v>-13.192600000000001</v>
      </c>
      <c r="AD7658">
        <v>-1.110525451642</v>
      </c>
      <c r="AE7658">
        <v>-5.29479999999998</v>
      </c>
      <c r="AF7658">
        <v>-3.0859294751944502</v>
      </c>
      <c r="AG7658">
        <v>-1.110525451642</v>
      </c>
      <c r="AH7658">
        <v>13.788129118871399</v>
      </c>
      <c r="AI7658">
        <v>94.494075738634905</v>
      </c>
      <c r="AJ7658">
        <v>102.61550322219099</v>
      </c>
      <c r="AK7658">
        <v>14.172816660893099</v>
      </c>
      <c r="AL7658">
        <v>86.484621068801999</v>
      </c>
      <c r="AM7658">
        <v>99.314917924685204</v>
      </c>
      <c r="AN7658">
        <v>1.0000000053326401</v>
      </c>
    </row>
    <row r="7659" spans="1:40" x14ac:dyDescent="0.25">
      <c r="A7659" t="str">
        <f>"20190312150841947"</f>
        <v>20190312150841947</v>
      </c>
      <c r="B7659" t="str">
        <f>"1552374521937997"</f>
        <v>1552374521937997</v>
      </c>
      <c r="C7659" t="s">
        <v>40</v>
      </c>
      <c r="D7659">
        <v>3.9055710000000001</v>
      </c>
      <c r="E7659">
        <v>0.48142360000000001</v>
      </c>
      <c r="F7659" t="s">
        <v>77</v>
      </c>
      <c r="G7659">
        <v>-408.36880000000002</v>
      </c>
      <c r="H7659" s="1">
        <v>-6.562895E-6</v>
      </c>
      <c r="I7659">
        <v>132.48750000000001</v>
      </c>
      <c r="J7659">
        <v>-395.16090000000003</v>
      </c>
      <c r="K7659">
        <v>1.110603</v>
      </c>
      <c r="L7659">
        <v>137.81559999999999</v>
      </c>
      <c r="M7659">
        <v>-0.98678429999999995</v>
      </c>
      <c r="N7659">
        <v>0</v>
      </c>
      <c r="O7659">
        <v>-0.1618407</v>
      </c>
      <c r="P7659">
        <v>-0.94616290000000003</v>
      </c>
      <c r="Q7659">
        <v>5.3599559999999997E-2</v>
      </c>
      <c r="R7659">
        <v>-0.31922250000000002</v>
      </c>
      <c r="S7659">
        <v>-2.8055110000000001</v>
      </c>
      <c r="T7659">
        <v>-0.232491</v>
      </c>
      <c r="U7659">
        <v>-1.1222840000000001</v>
      </c>
      <c r="V7659">
        <v>-0.1619756</v>
      </c>
      <c r="W7659">
        <v>6.1268860000000001E-2</v>
      </c>
      <c r="X7659">
        <v>0.98489090000000001</v>
      </c>
      <c r="Y7659">
        <v>-0.216087</v>
      </c>
      <c r="Z7659">
        <v>4.1449950000000003E-3</v>
      </c>
      <c r="AA7659">
        <v>0.97636529999999999</v>
      </c>
      <c r="AB7659">
        <v>20</v>
      </c>
      <c r="AC7659">
        <v>-13.207899999999899</v>
      </c>
      <c r="AD7659">
        <v>-1.1106095628949999</v>
      </c>
      <c r="AE7659">
        <v>-5.3280999999999699</v>
      </c>
      <c r="AF7659">
        <v>-3.1013506994039002</v>
      </c>
      <c r="AG7659">
        <v>-1.1106095628949999</v>
      </c>
      <c r="AH7659">
        <v>13.812107351344499</v>
      </c>
      <c r="AI7659">
        <v>94.485949930843901</v>
      </c>
      <c r="AJ7659">
        <v>102.65521641655</v>
      </c>
      <c r="AK7659">
        <v>14.199511936927699</v>
      </c>
      <c r="AL7659">
        <v>86.487352985871198</v>
      </c>
      <c r="AM7659">
        <v>99.339287843988402</v>
      </c>
      <c r="AN7659">
        <v>1.00000002655193</v>
      </c>
    </row>
    <row r="7660" spans="1:40" x14ac:dyDescent="0.25">
      <c r="A7660" t="str">
        <f>"20190312150841962"</f>
        <v>20190312150841962</v>
      </c>
      <c r="B7660" t="str">
        <f>"1552374521957517"</f>
        <v>1552374521957517</v>
      </c>
      <c r="C7660" t="s">
        <v>40</v>
      </c>
      <c r="D7660">
        <v>3.896487</v>
      </c>
      <c r="E7660">
        <v>0.4814485</v>
      </c>
      <c r="F7660" t="s">
        <v>77</v>
      </c>
      <c r="G7660">
        <v>-408.83409999999998</v>
      </c>
      <c r="H7660" s="1">
        <v>-6.79197E-6</v>
      </c>
      <c r="I7660">
        <v>132.3279</v>
      </c>
      <c r="J7660">
        <v>-395.29539999999997</v>
      </c>
      <c r="K7660">
        <v>1.1106689999999999</v>
      </c>
      <c r="L7660">
        <v>137.79259999999999</v>
      </c>
      <c r="M7660">
        <v>-0.98665069999999999</v>
      </c>
      <c r="N7660">
        <v>0</v>
      </c>
      <c r="O7660">
        <v>-0.16265270000000001</v>
      </c>
      <c r="P7660">
        <v>-0.94581400000000004</v>
      </c>
      <c r="Q7660">
        <v>5.3580599999999999E-2</v>
      </c>
      <c r="R7660">
        <v>-0.32025870000000001</v>
      </c>
      <c r="S7660">
        <v>-2.8038940000000001</v>
      </c>
      <c r="T7660">
        <v>-0.2277468</v>
      </c>
      <c r="U7660">
        <v>-1.1253359999999999</v>
      </c>
      <c r="V7660">
        <v>-0.16225309999999901</v>
      </c>
      <c r="W7660">
        <v>6.123555E-2</v>
      </c>
      <c r="X7660">
        <v>0.98484720000000003</v>
      </c>
      <c r="Y7660">
        <v>-0.21640110000000001</v>
      </c>
      <c r="Z7660">
        <v>4.111282E-3</v>
      </c>
      <c r="AA7660">
        <v>0.97629589999999999</v>
      </c>
      <c r="AB7660">
        <v>20</v>
      </c>
      <c r="AC7660">
        <v>-13.5387</v>
      </c>
      <c r="AD7660">
        <v>-1.1106757919700001</v>
      </c>
      <c r="AE7660">
        <v>-5.4646999999999899</v>
      </c>
      <c r="AF7660">
        <v>-3.17139327345792</v>
      </c>
      <c r="AG7660">
        <v>-1.1106757919700001</v>
      </c>
      <c r="AH7660">
        <v>14.165297750068699</v>
      </c>
      <c r="AI7660">
        <v>94.375407397396302</v>
      </c>
      <c r="AJ7660">
        <v>102.619545525745</v>
      </c>
      <c r="AK7660">
        <v>14.5583995122371</v>
      </c>
      <c r="AL7660">
        <v>86.489264773925299</v>
      </c>
      <c r="AM7660">
        <v>99.355413253813197</v>
      </c>
      <c r="AN7660">
        <v>0.99999993419562405</v>
      </c>
    </row>
    <row r="7661" spans="1:40" x14ac:dyDescent="0.25">
      <c r="A7661" t="str">
        <f>"20190312150841976"</f>
        <v>20190312150841976</v>
      </c>
      <c r="B7661" t="str">
        <f>"1552374521967278"</f>
        <v>1552374521967278</v>
      </c>
      <c r="C7661" t="s">
        <v>40</v>
      </c>
      <c r="D7661">
        <v>3.8830710000000002</v>
      </c>
      <c r="E7661">
        <v>0.48146440000000001</v>
      </c>
      <c r="F7661" t="s">
        <v>77</v>
      </c>
      <c r="G7661">
        <v>-409.22460000000001</v>
      </c>
      <c r="H7661" s="1">
        <v>-6.9736289999999998E-6</v>
      </c>
      <c r="I7661">
        <v>132.1874</v>
      </c>
      <c r="J7661">
        <v>-395.40890000000002</v>
      </c>
      <c r="K7661">
        <v>1.110725</v>
      </c>
      <c r="L7661">
        <v>137.7731</v>
      </c>
      <c r="M7661">
        <v>-0.98652660000000003</v>
      </c>
      <c r="N7661">
        <v>0</v>
      </c>
      <c r="O7661">
        <v>-0.16340260000000001</v>
      </c>
      <c r="P7661">
        <v>-0.94548069999999895</v>
      </c>
      <c r="Q7661">
        <v>5.3374680000000001E-2</v>
      </c>
      <c r="R7661">
        <v>-0.32127480000000003</v>
      </c>
      <c r="S7661">
        <v>-2.8026430000000002</v>
      </c>
      <c r="T7661">
        <v>-0.22347610000000001</v>
      </c>
      <c r="U7661">
        <v>-1.1278079999999999</v>
      </c>
      <c r="V7661">
        <v>-0.16256889999999999</v>
      </c>
      <c r="W7661">
        <v>6.1019469999999999E-2</v>
      </c>
      <c r="X7661">
        <v>0.98480860000000003</v>
      </c>
      <c r="Y7661">
        <v>-0.2165581</v>
      </c>
      <c r="Z7661">
        <v>4.0851910000000002E-3</v>
      </c>
      <c r="AA7661">
        <v>0.97626120000000005</v>
      </c>
      <c r="AB7661">
        <v>20</v>
      </c>
      <c r="AC7661">
        <v>-13.8156999999999</v>
      </c>
      <c r="AD7661">
        <v>-1.110731973629</v>
      </c>
      <c r="AE7661">
        <v>-5.5857000000000001</v>
      </c>
      <c r="AF7661">
        <v>-3.2350535471008999</v>
      </c>
      <c r="AG7661">
        <v>-1.110731973629</v>
      </c>
      <c r="AH7661">
        <v>14.462399491386201</v>
      </c>
      <c r="AI7661">
        <v>94.286257321674498</v>
      </c>
      <c r="AJ7661">
        <v>102.608769536881</v>
      </c>
      <c r="AK7661">
        <v>14.8613692511256</v>
      </c>
      <c r="AL7661">
        <v>86.501668675389794</v>
      </c>
      <c r="AM7661">
        <v>99.373660110249901</v>
      </c>
      <c r="AN7661">
        <v>1.00000000080012</v>
      </c>
    </row>
    <row r="7662" spans="1:40" x14ac:dyDescent="0.25">
      <c r="A7662" t="str">
        <f>"20190312150841993"</f>
        <v>20190312150841993</v>
      </c>
      <c r="B7662" t="str">
        <f>"1552374521987773"</f>
        <v>1552374521987773</v>
      </c>
      <c r="C7662" t="s">
        <v>40</v>
      </c>
      <c r="D7662">
        <v>3.8848940000000001</v>
      </c>
      <c r="E7662">
        <v>0.48139749999999998</v>
      </c>
      <c r="F7662" t="s">
        <v>77</v>
      </c>
      <c r="G7662">
        <v>-409.38229999999999</v>
      </c>
      <c r="H7662" s="1">
        <v>-7.0493380000000002E-6</v>
      </c>
      <c r="I7662">
        <v>132.136</v>
      </c>
      <c r="J7662">
        <v>-395.56270000000001</v>
      </c>
      <c r="K7662">
        <v>1.1108</v>
      </c>
      <c r="L7662">
        <v>137.74639999999999</v>
      </c>
      <c r="M7662">
        <v>-0.9863459</v>
      </c>
      <c r="N7662">
        <v>0</v>
      </c>
      <c r="O7662">
        <v>-0.16448940000000001</v>
      </c>
      <c r="P7662">
        <v>-0.94505490000000003</v>
      </c>
      <c r="Q7662">
        <v>5.310016E-2</v>
      </c>
      <c r="R7662">
        <v>-0.32257089999999999</v>
      </c>
      <c r="S7662">
        <v>-2.8015439999999998</v>
      </c>
      <c r="T7662">
        <v>-0.22269240000000001</v>
      </c>
      <c r="U7662">
        <v>-1.130188</v>
      </c>
      <c r="V7662">
        <v>-0.162842299999999</v>
      </c>
      <c r="W7662">
        <v>6.0730079999999999E-2</v>
      </c>
      <c r="X7662">
        <v>0.98478129999999997</v>
      </c>
      <c r="Y7662">
        <v>-0.2163332</v>
      </c>
      <c r="Z7662">
        <v>4.1610019999999996E-3</v>
      </c>
      <c r="AA7662">
        <v>0.97631069999999998</v>
      </c>
      <c r="AB7662">
        <v>20</v>
      </c>
      <c r="AC7662">
        <v>-13.8195999999999</v>
      </c>
      <c r="AD7662">
        <v>-1.110807049338</v>
      </c>
      <c r="AE7662">
        <v>-5.6103999999999896</v>
      </c>
      <c r="AF7662">
        <v>-3.2427370357554399</v>
      </c>
      <c r="AG7662">
        <v>-1.110807049338</v>
      </c>
      <c r="AH7662">
        <v>14.473948503342999</v>
      </c>
      <c r="AI7662">
        <v>94.282817851333604</v>
      </c>
      <c r="AJ7662">
        <v>102.627995116278</v>
      </c>
      <c r="AK7662">
        <v>14.874287245489899</v>
      </c>
      <c r="AL7662">
        <v>86.518280246969297</v>
      </c>
      <c r="AM7662">
        <v>99.389399420881801</v>
      </c>
      <c r="AN7662">
        <v>0.99999998305789295</v>
      </c>
    </row>
    <row r="7663" spans="1:40" x14ac:dyDescent="0.25">
      <c r="A7663" t="str">
        <f>"20190312150842015"</f>
        <v>20190312150842015</v>
      </c>
      <c r="B7663" t="str">
        <f>"1552374522007293"</f>
        <v>1552374522007293</v>
      </c>
      <c r="C7663" t="s">
        <v>40</v>
      </c>
      <c r="D7663">
        <v>3.9080859999999999</v>
      </c>
      <c r="E7663">
        <v>0.48136839999999997</v>
      </c>
      <c r="F7663" t="s">
        <v>77</v>
      </c>
      <c r="G7663">
        <v>-409.57150000000001</v>
      </c>
      <c r="H7663" s="1">
        <v>-7.1390310000000004E-6</v>
      </c>
      <c r="I7663">
        <v>132.07169999999999</v>
      </c>
      <c r="J7663">
        <v>-395.75630000000001</v>
      </c>
      <c r="K7663">
        <v>1.1109009999999999</v>
      </c>
      <c r="L7663">
        <v>137.7124</v>
      </c>
      <c r="M7663">
        <v>-0.98609279999999999</v>
      </c>
      <c r="N7663">
        <v>0</v>
      </c>
      <c r="O7663">
        <v>-0.16599800000000001</v>
      </c>
      <c r="P7663">
        <v>-0.94440900000000005</v>
      </c>
      <c r="Q7663">
        <v>5.2990599999999902E-2</v>
      </c>
      <c r="R7663">
        <v>-0.32447490000000001</v>
      </c>
      <c r="S7663">
        <v>-2.7997740000000002</v>
      </c>
      <c r="T7663">
        <v>-0.22200410000000001</v>
      </c>
      <c r="U7663">
        <v>-1.134125</v>
      </c>
      <c r="V7663">
        <v>-0.16333520000000001</v>
      </c>
      <c r="W7663">
        <v>6.060111E-2</v>
      </c>
      <c r="X7663">
        <v>0.98470769999999996</v>
      </c>
      <c r="Y7663">
        <v>-0.21623880000000001</v>
      </c>
      <c r="Z7663">
        <v>4.2646979999999999E-3</v>
      </c>
      <c r="AA7663">
        <v>0.97633119999999995</v>
      </c>
      <c r="AB7663">
        <v>20</v>
      </c>
      <c r="AC7663">
        <v>-13.815200000000001</v>
      </c>
      <c r="AD7663">
        <v>-1.1109081390309901</v>
      </c>
      <c r="AE7663">
        <v>-5.6407000000000096</v>
      </c>
      <c r="AF7663">
        <v>-3.2510475190568702</v>
      </c>
      <c r="AG7663">
        <v>-1.1109081390309901</v>
      </c>
      <c r="AH7663">
        <v>14.479643375236799</v>
      </c>
      <c r="AI7663">
        <v>94.281085325406593</v>
      </c>
      <c r="AJ7663">
        <v>102.654497816893</v>
      </c>
      <c r="AK7663">
        <v>14.881649745191901</v>
      </c>
      <c r="AL7663">
        <v>86.525683615560297</v>
      </c>
      <c r="AM7663">
        <v>99.418002687774305</v>
      </c>
      <c r="AN7663">
        <v>1.0000000682657699</v>
      </c>
    </row>
    <row r="7664" spans="1:40" x14ac:dyDescent="0.25">
      <c r="A7664" t="str">
        <f>"20190312150842037"</f>
        <v>20190312150842037</v>
      </c>
      <c r="B7664" t="str">
        <f>"1552374522027789"</f>
        <v>1552374522027789</v>
      </c>
      <c r="C7664" t="s">
        <v>40</v>
      </c>
      <c r="D7664">
        <v>3.8861029999999999</v>
      </c>
      <c r="E7664">
        <v>0.48133749999999997</v>
      </c>
      <c r="F7664" t="s">
        <v>77</v>
      </c>
      <c r="G7664">
        <v>-409.86450000000002</v>
      </c>
      <c r="H7664" s="1">
        <v>-7.2751379999999998E-6</v>
      </c>
      <c r="I7664">
        <v>131.9658</v>
      </c>
      <c r="J7664">
        <v>-395.9529</v>
      </c>
      <c r="K7664">
        <v>1.111003</v>
      </c>
      <c r="L7664">
        <v>137.67740000000001</v>
      </c>
      <c r="M7664">
        <v>-0.98580809999999996</v>
      </c>
      <c r="N7664">
        <v>0</v>
      </c>
      <c r="O7664">
        <v>-0.16767969999999999</v>
      </c>
      <c r="P7664">
        <v>-0.94359190000000004</v>
      </c>
      <c r="Q7664">
        <v>5.2713709999999997E-2</v>
      </c>
      <c r="R7664">
        <v>-0.32688800000000001</v>
      </c>
      <c r="S7664">
        <v>-2.7974239999999999</v>
      </c>
      <c r="T7664">
        <v>-0.22027469999999999</v>
      </c>
      <c r="U7664">
        <v>-1.1394500000000001</v>
      </c>
      <c r="V7664">
        <v>-0.16418469999999999</v>
      </c>
      <c r="W7664">
        <v>6.0303620000000002E-2</v>
      </c>
      <c r="X7664">
        <v>0.98458460000000003</v>
      </c>
      <c r="Y7664">
        <v>-0.2164597</v>
      </c>
      <c r="Z7664">
        <v>4.3483319999999999E-3</v>
      </c>
      <c r="AA7664">
        <v>0.97628190000000004</v>
      </c>
      <c r="AB7664">
        <v>20</v>
      </c>
      <c r="AC7664">
        <v>-13.9116</v>
      </c>
      <c r="AD7664">
        <v>-1.111010275138</v>
      </c>
      <c r="AE7664">
        <v>-5.7115999999999998</v>
      </c>
      <c r="AF7664">
        <v>-3.28005491914181</v>
      </c>
      <c r="AG7664">
        <v>-1.111010275138</v>
      </c>
      <c r="AH7664">
        <v>14.592724422845199</v>
      </c>
      <c r="AI7664">
        <v>94.248197227244702</v>
      </c>
      <c r="AJ7664">
        <v>102.66802017277</v>
      </c>
      <c r="AK7664">
        <v>14.998023542625599</v>
      </c>
      <c r="AL7664">
        <v>86.542759490408201</v>
      </c>
      <c r="AM7664">
        <v>99.467263181414296</v>
      </c>
      <c r="AN7664">
        <v>0.99999998842817694</v>
      </c>
    </row>
    <row r="7665" spans="1:40" x14ac:dyDescent="0.25">
      <c r="A7665" t="str">
        <f>"20190312150842059"</f>
        <v>20190312150842059</v>
      </c>
      <c r="B7665" t="str">
        <f>"1552374522058045"</f>
        <v>1552374522058045</v>
      </c>
      <c r="C7665" t="s">
        <v>40</v>
      </c>
      <c r="D7665">
        <v>3.8802210000000001</v>
      </c>
      <c r="E7665">
        <v>0.48132829999999899</v>
      </c>
      <c r="F7665" t="s">
        <v>77</v>
      </c>
      <c r="G7665">
        <v>-410.07589999999999</v>
      </c>
      <c r="H7665" s="1">
        <v>-7.2866010000000001E-6</v>
      </c>
      <c r="I7665">
        <v>131.88299999999899</v>
      </c>
      <c r="J7665">
        <v>-396.1558</v>
      </c>
      <c r="K7665">
        <v>1.1110930000000001</v>
      </c>
      <c r="L7665">
        <v>137.64070000000001</v>
      </c>
      <c r="M7665">
        <v>-0.98548769999999997</v>
      </c>
      <c r="N7665">
        <v>0</v>
      </c>
      <c r="O7665">
        <v>-0.169551799999999</v>
      </c>
      <c r="P7665">
        <v>-0.94269020000000003</v>
      </c>
      <c r="Q7665">
        <v>5.2185299999999997E-2</v>
      </c>
      <c r="R7665">
        <v>-0.32956370000000001</v>
      </c>
      <c r="S7665">
        <v>-2.7944339999999999</v>
      </c>
      <c r="T7665">
        <v>-0.21982969999999999</v>
      </c>
      <c r="U7665">
        <v>-1.146515</v>
      </c>
      <c r="V7665">
        <v>-0.16511489999999901</v>
      </c>
      <c r="W7665">
        <v>5.9757680000000001E-2</v>
      </c>
      <c r="X7665">
        <v>0.98446230000000001</v>
      </c>
      <c r="Y7665">
        <v>-0.21708849999999999</v>
      </c>
      <c r="Z7665">
        <v>4.4549790000000004E-3</v>
      </c>
      <c r="AA7665">
        <v>0.97614179999999995</v>
      </c>
      <c r="AB7665">
        <v>20</v>
      </c>
      <c r="AC7665">
        <v>-13.9200999999999</v>
      </c>
      <c r="AD7665">
        <v>-1.111100286601</v>
      </c>
      <c r="AE7665">
        <v>-5.7577000000000202</v>
      </c>
      <c r="AF7665">
        <v>-3.2961417573848601</v>
      </c>
      <c r="AG7665">
        <v>-1.111100286601</v>
      </c>
      <c r="AH7665">
        <v>14.6152885463692</v>
      </c>
      <c r="AI7665">
        <v>94.241322376914297</v>
      </c>
      <c r="AJ7665">
        <v>102.709118587067</v>
      </c>
      <c r="AK7665">
        <v>15.0235067020085</v>
      </c>
      <c r="AL7665">
        <v>86.574095984211098</v>
      </c>
      <c r="AM7665">
        <v>99.521082577516395</v>
      </c>
      <c r="AN7665">
        <v>0.99999996532113999</v>
      </c>
    </row>
    <row r="7666" spans="1:40" x14ac:dyDescent="0.25">
      <c r="A7666" t="str">
        <f>"20190312150842083"</f>
        <v>20190312150842083</v>
      </c>
      <c r="B7666" t="str">
        <f>"1552374522077565"</f>
        <v>1552374522077565</v>
      </c>
      <c r="C7666" t="s">
        <v>40</v>
      </c>
      <c r="D7666">
        <v>3.8673090000000001</v>
      </c>
      <c r="E7666">
        <v>0.48136830000000003</v>
      </c>
      <c r="F7666" t="s">
        <v>77</v>
      </c>
      <c r="G7666">
        <v>-410.15260000000001</v>
      </c>
      <c r="H7666" s="1">
        <v>-7.2672989999999996E-6</v>
      </c>
      <c r="I7666">
        <v>131.85419999999999</v>
      </c>
      <c r="J7666">
        <v>-396.36079999999998</v>
      </c>
      <c r="K7666">
        <v>1.1111719999999901</v>
      </c>
      <c r="L7666">
        <v>137.60310000000001</v>
      </c>
      <c r="M7666">
        <v>-0.98513770000000001</v>
      </c>
      <c r="N7666">
        <v>0</v>
      </c>
      <c r="O7666">
        <v>-0.17157240000000001</v>
      </c>
      <c r="P7666">
        <v>-0.94168149999999995</v>
      </c>
      <c r="Q7666">
        <v>5.1682930000000002E-2</v>
      </c>
      <c r="R7666">
        <v>-0.33251269999999999</v>
      </c>
      <c r="S7666">
        <v>-2.791229</v>
      </c>
      <c r="T7666">
        <v>-0.2215732</v>
      </c>
      <c r="U7666">
        <v>-1.153931</v>
      </c>
      <c r="V7666">
        <v>-0.16618369999999999</v>
      </c>
      <c r="W7666">
        <v>5.9244079999999998E-2</v>
      </c>
      <c r="X7666">
        <v>0.98431349999999995</v>
      </c>
      <c r="Y7666">
        <v>-0.21769869999999999</v>
      </c>
      <c r="Z7666">
        <v>4.6184340000000003E-3</v>
      </c>
      <c r="AA7666">
        <v>0.97600509999999996</v>
      </c>
      <c r="AB7666">
        <v>20</v>
      </c>
      <c r="AC7666">
        <v>-13.7918</v>
      </c>
      <c r="AD7666">
        <v>-1.11117926729899</v>
      </c>
      <c r="AE7666">
        <v>-5.7489000000000097</v>
      </c>
      <c r="AF7666">
        <v>-3.2791410347415999</v>
      </c>
      <c r="AG7666">
        <v>-1.11117926729899</v>
      </c>
      <c r="AH7666">
        <v>14.4935064412941</v>
      </c>
      <c r="AI7666">
        <v>94.276470219345597</v>
      </c>
      <c r="AJ7666">
        <v>102.748478251379</v>
      </c>
      <c r="AK7666">
        <v>14.901315856448299</v>
      </c>
      <c r="AL7666">
        <v>86.603575359822003</v>
      </c>
      <c r="AM7666">
        <v>99.582995733130602</v>
      </c>
      <c r="AN7666">
        <v>0.99999997472149205</v>
      </c>
    </row>
    <row r="7667" spans="1:40" x14ac:dyDescent="0.25">
      <c r="A7667" t="str">
        <f>"20190312150842104"</f>
        <v>20190312150842104</v>
      </c>
      <c r="B7667" t="str">
        <f>"1552374522098061"</f>
        <v>1552374522098061</v>
      </c>
      <c r="C7667" t="s">
        <v>40</v>
      </c>
      <c r="D7667">
        <v>3.8786170000000002</v>
      </c>
      <c r="E7667">
        <v>0.48133160000000003</v>
      </c>
      <c r="F7667" t="s">
        <v>77</v>
      </c>
      <c r="G7667">
        <v>-410.32830000000001</v>
      </c>
      <c r="H7667" s="1">
        <v>-7.219383E-6</v>
      </c>
      <c r="I7667">
        <v>131.7799</v>
      </c>
      <c r="J7667">
        <v>-396.55689999999998</v>
      </c>
      <c r="K7667">
        <v>1.1112329999999999</v>
      </c>
      <c r="L7667">
        <v>137.56659999999999</v>
      </c>
      <c r="M7667">
        <v>-0.98477919999999997</v>
      </c>
      <c r="N7667">
        <v>0</v>
      </c>
      <c r="O7667">
        <v>-0.17361660000000001</v>
      </c>
      <c r="P7667">
        <v>-0.94042650000000005</v>
      </c>
      <c r="Q7667">
        <v>5.1623339999999997E-2</v>
      </c>
      <c r="R7667">
        <v>-0.33605570000000001</v>
      </c>
      <c r="S7667">
        <v>-2.787598</v>
      </c>
      <c r="T7667">
        <v>-0.2217674</v>
      </c>
      <c r="U7667">
        <v>-1.1621859999999999</v>
      </c>
      <c r="V7667">
        <v>-0.167855</v>
      </c>
      <c r="W7667">
        <v>5.9180299999999998E-2</v>
      </c>
      <c r="X7667">
        <v>0.98403379999999996</v>
      </c>
      <c r="Y7667">
        <v>-0.21858939999999999</v>
      </c>
      <c r="Z7667">
        <v>4.7421999999999898E-3</v>
      </c>
      <c r="AA7667">
        <v>0.97580540000000004</v>
      </c>
      <c r="AB7667">
        <v>20</v>
      </c>
      <c r="AC7667">
        <v>-13.7714</v>
      </c>
      <c r="AD7667">
        <v>-1.111240219383</v>
      </c>
      <c r="AE7667">
        <v>-5.78669999999999</v>
      </c>
      <c r="AF7667">
        <v>-3.28958455250392</v>
      </c>
      <c r="AG7667">
        <v>-1.111240219383</v>
      </c>
      <c r="AH7667">
        <v>14.486774303074901</v>
      </c>
      <c r="AI7667">
        <v>94.277924910120603</v>
      </c>
      <c r="AJ7667">
        <v>102.793494142212</v>
      </c>
      <c r="AK7667">
        <v>14.897075251923701</v>
      </c>
      <c r="AL7667">
        <v>86.607236411874595</v>
      </c>
      <c r="AM7667">
        <v>99.680256299649002</v>
      </c>
      <c r="AN7667">
        <v>1.00000006423776</v>
      </c>
    </row>
    <row r="7668" spans="1:40" x14ac:dyDescent="0.25">
      <c r="A7668" t="str">
        <f>"20190312150842126"</f>
        <v>20190312150842126</v>
      </c>
      <c r="B7668" t="str">
        <f>"1552374522117582"</f>
        <v>1552374522117582</v>
      </c>
      <c r="C7668" t="s">
        <v>40</v>
      </c>
      <c r="D7668">
        <v>3.8845800000000001</v>
      </c>
      <c r="E7668">
        <v>0.48136479999999998</v>
      </c>
      <c r="F7668" t="s">
        <v>77</v>
      </c>
      <c r="G7668">
        <v>-410.54149999999998</v>
      </c>
      <c r="H7668" s="1">
        <v>-7.1546080000000003E-6</v>
      </c>
      <c r="I7668">
        <v>131.6746</v>
      </c>
      <c r="J7668">
        <v>-396.75479999999999</v>
      </c>
      <c r="K7668">
        <v>1.1112789999999999</v>
      </c>
      <c r="L7668">
        <v>137.5292</v>
      </c>
      <c r="M7668">
        <v>-0.98439549999999998</v>
      </c>
      <c r="N7668">
        <v>0</v>
      </c>
      <c r="O7668">
        <v>-0.17577809999999999</v>
      </c>
      <c r="P7668">
        <v>-0.93929450000000003</v>
      </c>
      <c r="Q7668">
        <v>5.1382709999999998E-2</v>
      </c>
      <c r="R7668">
        <v>-0.33924260000000001</v>
      </c>
      <c r="S7668">
        <v>-2.7831730000000001</v>
      </c>
      <c r="T7668">
        <v>-0.22115589999999999</v>
      </c>
      <c r="U7668">
        <v>-1.172607</v>
      </c>
      <c r="V7668">
        <v>-0.16903589999999999</v>
      </c>
      <c r="W7668">
        <v>5.894373E-2</v>
      </c>
      <c r="X7668">
        <v>0.98384579999999999</v>
      </c>
      <c r="Y7668">
        <v>-0.22010730000000001</v>
      </c>
      <c r="Z7668">
        <v>4.8337229999999998E-3</v>
      </c>
      <c r="AA7668">
        <v>0.97546370000000004</v>
      </c>
      <c r="AB7668">
        <v>20</v>
      </c>
      <c r="AC7668">
        <v>-13.7866999999999</v>
      </c>
      <c r="AD7668">
        <v>-1.111286154608</v>
      </c>
      <c r="AE7668">
        <v>-5.8545999999999996</v>
      </c>
      <c r="AF7668">
        <v>-3.3216702765399102</v>
      </c>
      <c r="AG7668">
        <v>-1.111286154608</v>
      </c>
      <c r="AH7668">
        <v>14.5212353473381</v>
      </c>
      <c r="AI7668">
        <v>94.266447200252102</v>
      </c>
      <c r="AJ7668">
        <v>102.884490948129</v>
      </c>
      <c r="AK7668">
        <v>14.9376948140017</v>
      </c>
      <c r="AL7668">
        <v>86.620814455833695</v>
      </c>
      <c r="AM7668">
        <v>99.748884077963098</v>
      </c>
      <c r="AN7668">
        <v>1.0000000284863799</v>
      </c>
    </row>
    <row r="7669" spans="1:40" x14ac:dyDescent="0.25">
      <c r="A7669" t="str">
        <f>"20190312150842148"</f>
        <v>20190312150842148</v>
      </c>
      <c r="B7669" t="str">
        <f>"1552374522137101"</f>
        <v>1552374522137101</v>
      </c>
      <c r="C7669" t="s">
        <v>40</v>
      </c>
      <c r="D7669">
        <v>3.8905159999999999</v>
      </c>
      <c r="E7669">
        <v>0.48144209999999898</v>
      </c>
      <c r="F7669" t="s">
        <v>77</v>
      </c>
      <c r="G7669">
        <v>-410.72820000000002</v>
      </c>
      <c r="H7669" s="1">
        <v>-7.1010460000000003E-6</v>
      </c>
      <c r="I7669">
        <v>131.58959999999999</v>
      </c>
      <c r="J7669">
        <v>-396.95490000000001</v>
      </c>
      <c r="K7669">
        <v>1.1113150000000001</v>
      </c>
      <c r="L7669">
        <v>137.49080000000001</v>
      </c>
      <c r="M7669">
        <v>-0.98399080000000005</v>
      </c>
      <c r="N7669">
        <v>0</v>
      </c>
      <c r="O7669">
        <v>-0.17802860000000001</v>
      </c>
      <c r="P7669">
        <v>-0.9381988</v>
      </c>
      <c r="Q7669">
        <v>5.097728E-2</v>
      </c>
      <c r="R7669">
        <v>-0.34232279999999998</v>
      </c>
      <c r="S7669">
        <v>-2.7793269999999999</v>
      </c>
      <c r="T7669">
        <v>-0.22103619999999999</v>
      </c>
      <c r="U7669">
        <v>-1.1813959999999999</v>
      </c>
      <c r="V7669">
        <v>-0.17001459999999999</v>
      </c>
      <c r="W7669">
        <v>5.8548160000000002E-2</v>
      </c>
      <c r="X7669">
        <v>0.98370080000000004</v>
      </c>
      <c r="Y7669">
        <v>-0.2209787</v>
      </c>
      <c r="Z7669">
        <v>4.9665619999999999E-3</v>
      </c>
      <c r="AA7669">
        <v>0.97526599999999997</v>
      </c>
      <c r="AB7669">
        <v>21</v>
      </c>
      <c r="AC7669">
        <v>-13.773300000000001</v>
      </c>
      <c r="AD7669">
        <v>-1.1113221010459999</v>
      </c>
      <c r="AE7669">
        <v>-5.90120000000001</v>
      </c>
      <c r="AF7669">
        <v>-3.33644669456858</v>
      </c>
      <c r="AG7669">
        <v>-1.1113221010459999</v>
      </c>
      <c r="AH7669">
        <v>14.523988295653099</v>
      </c>
      <c r="AI7669">
        <v>94.264877503697505</v>
      </c>
      <c r="AJ7669">
        <v>102.937512188151</v>
      </c>
      <c r="AK7669">
        <v>14.943665861168</v>
      </c>
      <c r="AL7669">
        <v>86.643518254695493</v>
      </c>
      <c r="AM7669">
        <v>99.805653859817596</v>
      </c>
      <c r="AN7669">
        <v>1.0000000575865899</v>
      </c>
    </row>
    <row r="7670" spans="1:40" x14ac:dyDescent="0.25">
      <c r="A7670" t="str">
        <f>"20190312150842172"</f>
        <v>20190312150842172</v>
      </c>
      <c r="B7670" t="str">
        <f>"1552374522167357"</f>
        <v>1552374522167357</v>
      </c>
      <c r="C7670" t="s">
        <v>40</v>
      </c>
      <c r="D7670">
        <v>3.9649179999999999</v>
      </c>
      <c r="E7670">
        <v>0.46230199999999999</v>
      </c>
      <c r="F7670" t="s">
        <v>77</v>
      </c>
      <c r="G7670">
        <v>-410.95080000000002</v>
      </c>
      <c r="H7670" s="1">
        <v>-7.0381889999999997E-6</v>
      </c>
      <c r="I7670">
        <v>131.4905</v>
      </c>
      <c r="J7670">
        <v>-397.15929999999997</v>
      </c>
      <c r="K7670">
        <v>1.1113489999999999</v>
      </c>
      <c r="L7670">
        <v>137.45099999999999</v>
      </c>
      <c r="M7670">
        <v>-0.98356160000000004</v>
      </c>
      <c r="N7670">
        <v>0</v>
      </c>
      <c r="O7670">
        <v>-0.18038270000000001</v>
      </c>
      <c r="P7670">
        <v>-0.93724750000000001</v>
      </c>
      <c r="Q7670">
        <v>5.0858250000000001E-2</v>
      </c>
      <c r="R7670">
        <v>-0.34493610000000002</v>
      </c>
      <c r="S7670">
        <v>-2.775452</v>
      </c>
      <c r="T7670">
        <v>-0.22037909999999999</v>
      </c>
      <c r="U7670">
        <v>-1.1898799999999901</v>
      </c>
      <c r="V7670">
        <v>-0.17040549999999999</v>
      </c>
      <c r="W7670">
        <v>5.8442479999999998E-2</v>
      </c>
      <c r="X7670">
        <v>0.98363940000000005</v>
      </c>
      <c r="Y7670">
        <v>-0.221661</v>
      </c>
      <c r="Z7670">
        <v>5.1018959999999999E-3</v>
      </c>
      <c r="AA7670">
        <v>0.97511040000000004</v>
      </c>
      <c r="AB7670">
        <v>21</v>
      </c>
      <c r="AC7670">
        <v>-13.791499999999999</v>
      </c>
      <c r="AD7670">
        <v>-1.111356038189</v>
      </c>
      <c r="AE7670">
        <v>-5.9604999999999899</v>
      </c>
      <c r="AF7670">
        <v>-3.3565213583887399</v>
      </c>
      <c r="AG7670">
        <v>-1.111356038189</v>
      </c>
      <c r="AH7670">
        <v>14.560793229091299</v>
      </c>
      <c r="AI7670">
        <v>94.253527170488496</v>
      </c>
      <c r="AJ7670">
        <v>102.98093602868801</v>
      </c>
      <c r="AK7670">
        <v>14.9839262989808</v>
      </c>
      <c r="AL7670">
        <v>86.649583510565407</v>
      </c>
      <c r="AM7670">
        <v>99.828361530790403</v>
      </c>
      <c r="AN7670">
        <v>1.00000001356558</v>
      </c>
    </row>
    <row r="7671" spans="1:40" x14ac:dyDescent="0.25">
      <c r="A7671" t="str">
        <f>"20190312150842193"</f>
        <v>20190312150842193</v>
      </c>
      <c r="B7671" t="str">
        <f>"1552374522187853"</f>
        <v>1552374522187853</v>
      </c>
      <c r="C7671" t="s">
        <v>40</v>
      </c>
      <c r="D7671">
        <v>3.9996450000000001</v>
      </c>
      <c r="E7671">
        <v>0.44974239999999999</v>
      </c>
      <c r="F7671" t="s">
        <v>77</v>
      </c>
      <c r="G7671">
        <v>-413.17910000000001</v>
      </c>
      <c r="H7671" s="1">
        <v>-6.0911169999999998E-6</v>
      </c>
      <c r="I7671">
        <v>129.56110000000001</v>
      </c>
      <c r="J7671">
        <v>-397.35969999999998</v>
      </c>
      <c r="K7671">
        <v>1.111381</v>
      </c>
      <c r="L7671">
        <v>137.41149999999999</v>
      </c>
      <c r="M7671">
        <v>-0.98312560000000004</v>
      </c>
      <c r="N7671">
        <v>0</v>
      </c>
      <c r="O7671">
        <v>-0.1827433</v>
      </c>
      <c r="P7671">
        <v>-0.93614770000000003</v>
      </c>
      <c r="Q7671">
        <v>5.0841379999999999E-2</v>
      </c>
      <c r="R7671">
        <v>-0.347912</v>
      </c>
      <c r="S7671">
        <v>-2.718353</v>
      </c>
      <c r="T7671">
        <v>-0.188583</v>
      </c>
      <c r="U7671">
        <v>-1.33882099999999</v>
      </c>
      <c r="V7671">
        <v>-0.17117370000000001</v>
      </c>
      <c r="W7671">
        <v>5.8435809999999998E-2</v>
      </c>
      <c r="X7671">
        <v>0.9835064</v>
      </c>
      <c r="Y7671">
        <v>-0.27027780000000001</v>
      </c>
      <c r="Z7671">
        <v>2.945053E-3</v>
      </c>
      <c r="AA7671">
        <v>0.96277789999999996</v>
      </c>
      <c r="AB7671">
        <v>21</v>
      </c>
      <c r="AC7671">
        <v>-15.8194</v>
      </c>
      <c r="AD7671">
        <v>-1.1113870911169901</v>
      </c>
      <c r="AE7671">
        <v>-7.8503999999999703</v>
      </c>
      <c r="AF7671">
        <v>-4.8081639501390701</v>
      </c>
      <c r="AG7671">
        <v>-1.1113870911169901</v>
      </c>
      <c r="AH7671">
        <v>16.920638042780201</v>
      </c>
      <c r="AI7671">
        <v>93.615200550460301</v>
      </c>
      <c r="AJ7671">
        <v>105.863014911595</v>
      </c>
      <c r="AK7671">
        <v>17.625595411574</v>
      </c>
      <c r="AL7671">
        <v>86.649966312850196</v>
      </c>
      <c r="AM7671">
        <v>99.873107407344506</v>
      </c>
      <c r="AN7671">
        <v>1.0000000091515</v>
      </c>
    </row>
    <row r="7672" spans="1:40" x14ac:dyDescent="0.25">
      <c r="A7672" t="str">
        <f>"20190312150842209"</f>
        <v>20190312150842209</v>
      </c>
      <c r="B7672" t="str">
        <f>"1552374522197613"</f>
        <v>1552374522197613</v>
      </c>
      <c r="C7672" t="s">
        <v>40</v>
      </c>
      <c r="D7672">
        <v>3.907937</v>
      </c>
      <c r="E7672">
        <v>0.44716980000000001</v>
      </c>
      <c r="F7672" t="s">
        <v>77</v>
      </c>
      <c r="G7672">
        <v>-409.35860000000002</v>
      </c>
      <c r="H7672" s="1">
        <v>-6.5130010000000004E-6</v>
      </c>
      <c r="I7672">
        <v>130.9427</v>
      </c>
      <c r="J7672">
        <v>-397.50450000000001</v>
      </c>
      <c r="K7672">
        <v>1.1114040000000001</v>
      </c>
      <c r="L7672">
        <v>137.3826</v>
      </c>
      <c r="M7672">
        <v>-0.98280060000000002</v>
      </c>
      <c r="N7672">
        <v>0</v>
      </c>
      <c r="O7672">
        <v>-0.1844819</v>
      </c>
      <c r="P7672">
        <v>-0.93544349999999998</v>
      </c>
      <c r="Q7672">
        <v>5.0747639999999997E-2</v>
      </c>
      <c r="R7672">
        <v>-0.34981440000000003</v>
      </c>
      <c r="S7672">
        <v>-2.6809080000000001</v>
      </c>
      <c r="T7672">
        <v>-0.24831700000000001</v>
      </c>
      <c r="U7672">
        <v>-1.4453129999999901</v>
      </c>
      <c r="V7672">
        <v>-0.17143539999999999</v>
      </c>
      <c r="W7672">
        <v>5.834918E-2</v>
      </c>
      <c r="X7672">
        <v>0.98346599999999995</v>
      </c>
      <c r="Y7672">
        <v>-0.30361500000000002</v>
      </c>
      <c r="Z7672">
        <v>2.5786490000000001E-3</v>
      </c>
      <c r="AA7672">
        <v>0.95279130000000001</v>
      </c>
      <c r="AB7672">
        <v>21</v>
      </c>
      <c r="AC7672">
        <v>-11.854100000000001</v>
      </c>
      <c r="AD7672">
        <v>-1.1114105130009999</v>
      </c>
      <c r="AE7672">
        <v>-6.43989999999999</v>
      </c>
      <c r="AF7672">
        <v>-4.1144882124826401</v>
      </c>
      <c r="AG7672">
        <v>-1.1114105130009999</v>
      </c>
      <c r="AH7672">
        <v>12.7521545195349</v>
      </c>
      <c r="AI7672">
        <v>94.741499660015094</v>
      </c>
      <c r="AJ7672">
        <v>107.88231834729601</v>
      </c>
      <c r="AK7672">
        <v>13.445508226510499</v>
      </c>
      <c r="AL7672">
        <v>86.654938460586294</v>
      </c>
      <c r="AM7672">
        <v>99.888302436576396</v>
      </c>
      <c r="AN7672">
        <v>1.0000000481679101</v>
      </c>
    </row>
    <row r="7673" spans="1:40" x14ac:dyDescent="0.25">
      <c r="A7673" t="str">
        <f>"20190312150842226"</f>
        <v>20190312150842226</v>
      </c>
      <c r="B7673" t="str">
        <f>"1552374522217133"</f>
        <v>1552374522217133</v>
      </c>
      <c r="C7673" t="s">
        <v>40</v>
      </c>
      <c r="D7673">
        <v>4.310003</v>
      </c>
      <c r="E7673">
        <v>0.44434299999999999</v>
      </c>
      <c r="F7673" t="s">
        <v>77</v>
      </c>
      <c r="G7673">
        <v>-409.3734</v>
      </c>
      <c r="H7673" s="1">
        <v>-6.4817479999999998E-6</v>
      </c>
      <c r="I7673">
        <v>130.8502</v>
      </c>
      <c r="J7673">
        <v>-397.66210000000001</v>
      </c>
      <c r="K7673">
        <v>1.111437</v>
      </c>
      <c r="L7673">
        <v>137.35079999999999</v>
      </c>
      <c r="M7673">
        <v>-0.98243619999999998</v>
      </c>
      <c r="N7673">
        <v>0</v>
      </c>
      <c r="O7673">
        <v>-0.18641199999999999</v>
      </c>
      <c r="P7673">
        <v>-0.93475589999999997</v>
      </c>
      <c r="Q7673">
        <v>5.0042030000000001E-2</v>
      </c>
      <c r="R7673">
        <v>-0.35174909999999998</v>
      </c>
      <c r="S7673">
        <v>-2.6708980000000002</v>
      </c>
      <c r="T7673">
        <v>-0.25010450000000001</v>
      </c>
      <c r="U7673">
        <v>-1.4700009999999999</v>
      </c>
      <c r="V7673">
        <v>-0.171533299999999</v>
      </c>
      <c r="W7673">
        <v>5.7650359999999998E-2</v>
      </c>
      <c r="X7673">
        <v>0.98349010000000003</v>
      </c>
      <c r="Y7673">
        <v>-0.30999280000000001</v>
      </c>
      <c r="Z7673">
        <v>2.4810549999999998E-3</v>
      </c>
      <c r="AA7673">
        <v>0.95073569999999996</v>
      </c>
      <c r="AB7673">
        <v>21</v>
      </c>
      <c r="AC7673">
        <v>-11.7112999999999</v>
      </c>
      <c r="AD7673">
        <v>-1.1114434817479999</v>
      </c>
      <c r="AE7673">
        <v>-6.5005999999999897</v>
      </c>
      <c r="AF7673">
        <v>-4.1747003194002001</v>
      </c>
      <c r="AG7673">
        <v>-1.1114434817479999</v>
      </c>
      <c r="AH7673">
        <v>12.630870760206699</v>
      </c>
      <c r="AI7673">
        <v>94.775912598458504</v>
      </c>
      <c r="AJ7673">
        <v>108.289528411668</v>
      </c>
      <c r="AK7673">
        <v>13.3492443805245</v>
      </c>
      <c r="AL7673">
        <v>86.695045275787294</v>
      </c>
      <c r="AM7673">
        <v>99.893600048481005</v>
      </c>
      <c r="AN7673">
        <v>1.0000000069075099</v>
      </c>
    </row>
    <row r="7674" spans="1:40" x14ac:dyDescent="0.25">
      <c r="A7674" t="str">
        <f>"20190312150842250"</f>
        <v>20190312150842250</v>
      </c>
      <c r="B7674" t="str">
        <f>"1552374522237629"</f>
        <v>1552374522237629</v>
      </c>
      <c r="C7674" t="s">
        <v>40</v>
      </c>
      <c r="D7674">
        <v>3.961401</v>
      </c>
      <c r="E7674">
        <v>0.44297690000000001</v>
      </c>
      <c r="F7674" t="s">
        <v>77</v>
      </c>
      <c r="G7674">
        <v>-409.06599999999997</v>
      </c>
      <c r="H7674" s="1">
        <v>-6.3121439999999996E-6</v>
      </c>
      <c r="I7674">
        <v>130.93190000000001</v>
      </c>
      <c r="J7674">
        <v>-397.87029999999999</v>
      </c>
      <c r="K7674">
        <v>1.111483</v>
      </c>
      <c r="L7674">
        <v>137.3082</v>
      </c>
      <c r="M7674">
        <v>-0.98193569999999997</v>
      </c>
      <c r="N7674">
        <v>0</v>
      </c>
      <c r="O7674">
        <v>-0.18902959999999999</v>
      </c>
      <c r="P7674">
        <v>-0.93383099999999997</v>
      </c>
      <c r="Q7674">
        <v>4.8796449999999998E-2</v>
      </c>
      <c r="R7674">
        <v>-0.3543712</v>
      </c>
      <c r="S7674">
        <v>-2.6598510000000002</v>
      </c>
      <c r="T7674">
        <v>-0.25923370000000001</v>
      </c>
      <c r="U7674">
        <v>-1.4971620000000001</v>
      </c>
      <c r="V7674">
        <v>-0.17166219999999999</v>
      </c>
      <c r="W7674">
        <v>5.641355E-2</v>
      </c>
      <c r="X7674">
        <v>0.98353930000000001</v>
      </c>
      <c r="Y7674">
        <v>-0.3164788</v>
      </c>
      <c r="Z7674">
        <v>2.5053559999999998E-3</v>
      </c>
      <c r="AA7674">
        <v>0.94859629999999995</v>
      </c>
      <c r="AB7674">
        <v>21</v>
      </c>
      <c r="AC7674">
        <v>-11.195699999999899</v>
      </c>
      <c r="AD7674">
        <v>-1.1114893121439999</v>
      </c>
      <c r="AE7674">
        <v>-6.3762999999999801</v>
      </c>
      <c r="AF7674">
        <v>-4.1143236412205599</v>
      </c>
      <c r="AG7674">
        <v>-1.1114893121439999</v>
      </c>
      <c r="AH7674">
        <v>12.109076570674899</v>
      </c>
      <c r="AI7674">
        <v>94.967100335837301</v>
      </c>
      <c r="AJ7674">
        <v>108.766316160505</v>
      </c>
      <c r="AK7674">
        <v>12.8371649093631</v>
      </c>
      <c r="AL7674">
        <v>86.766024705977699</v>
      </c>
      <c r="AM7674">
        <v>99.900402125092299</v>
      </c>
      <c r="AN7674">
        <v>0.999999977088466</v>
      </c>
    </row>
    <row r="7675" spans="1:40" x14ac:dyDescent="0.25">
      <c r="A7675" t="str">
        <f>"20190312150842283"</f>
        <v>20190312150842283</v>
      </c>
      <c r="B7675" t="str">
        <f>"1552374522277646"</f>
        <v>1552374522277646</v>
      </c>
      <c r="C7675" t="s">
        <v>40</v>
      </c>
      <c r="D7675">
        <v>3.9959479999999998</v>
      </c>
      <c r="E7675">
        <v>0.4418106</v>
      </c>
      <c r="F7675" t="s">
        <v>77</v>
      </c>
      <c r="G7675">
        <v>-408.99880000000002</v>
      </c>
      <c r="H7675" s="1">
        <v>-6.2761550000000004E-6</v>
      </c>
      <c r="I7675">
        <v>130.953</v>
      </c>
      <c r="J7675">
        <v>-398.17439999999999</v>
      </c>
      <c r="K7675">
        <v>1.111569</v>
      </c>
      <c r="L7675">
        <v>137.2448</v>
      </c>
      <c r="M7675">
        <v>-0.9811666</v>
      </c>
      <c r="N7675">
        <v>0</v>
      </c>
      <c r="O7675">
        <v>-0.1929794</v>
      </c>
      <c r="P7675">
        <v>-0.93221449999999995</v>
      </c>
      <c r="Q7675">
        <v>4.7425349999999998E-2</v>
      </c>
      <c r="R7675">
        <v>-0.35878569999999999</v>
      </c>
      <c r="S7675">
        <v>-2.651764</v>
      </c>
      <c r="T7675">
        <v>-0.2648528</v>
      </c>
      <c r="U7675">
        <v>-1.514359</v>
      </c>
      <c r="V7675">
        <v>-0.17235110000000001</v>
      </c>
      <c r="W7675">
        <v>5.50543E-2</v>
      </c>
      <c r="X7675">
        <v>0.98349589999999998</v>
      </c>
      <c r="Y7675">
        <v>-0.31853540000000002</v>
      </c>
      <c r="Z7675">
        <v>2.8164520000000001E-3</v>
      </c>
      <c r="AA7675">
        <v>0.94790680000000005</v>
      </c>
      <c r="AB7675">
        <v>21</v>
      </c>
      <c r="AC7675">
        <v>-10.824400000000001</v>
      </c>
      <c r="AD7675">
        <v>-1.111575276155</v>
      </c>
      <c r="AE7675">
        <v>-6.2917999999999896</v>
      </c>
      <c r="AF7675">
        <v>-4.0526185808652198</v>
      </c>
      <c r="AG7675">
        <v>-1.111575276155</v>
      </c>
      <c r="AH7675">
        <v>11.7425883180873</v>
      </c>
      <c r="AI7675">
        <v>95.1133600320277</v>
      </c>
      <c r="AJ7675">
        <v>109.040650252085</v>
      </c>
      <c r="AK7675">
        <v>12.471876256787199</v>
      </c>
      <c r="AL7675">
        <v>86.844025413537494</v>
      </c>
      <c r="AM7675">
        <v>99.939772644357802</v>
      </c>
      <c r="AN7675">
        <v>1.00000003146825</v>
      </c>
    </row>
    <row r="7676" spans="1:40" x14ac:dyDescent="0.25">
      <c r="A7676" t="str">
        <f>"20190312150842305"</f>
        <v>20190312150842305</v>
      </c>
      <c r="B7676" t="str">
        <f>"1552374522297165"</f>
        <v>1552374522297165</v>
      </c>
      <c r="C7676" t="s">
        <v>40</v>
      </c>
      <c r="D7676">
        <v>3.9971730000000001</v>
      </c>
      <c r="E7676">
        <v>0.44138630000000001</v>
      </c>
      <c r="F7676" t="s">
        <v>77</v>
      </c>
      <c r="G7676">
        <v>-408.91789999999997</v>
      </c>
      <c r="H7676" s="1">
        <v>-6.2435399999999999E-6</v>
      </c>
      <c r="I7676">
        <v>131.00120000000001</v>
      </c>
      <c r="J7676">
        <v>-398.37740000000002</v>
      </c>
      <c r="K7676">
        <v>1.1116239999999999</v>
      </c>
      <c r="L7676">
        <v>137.20160000000001</v>
      </c>
      <c r="M7676">
        <v>-0.9806243</v>
      </c>
      <c r="N7676">
        <v>0</v>
      </c>
      <c r="O7676">
        <v>-0.19571540000000001</v>
      </c>
      <c r="P7676">
        <v>-0.93103749999999996</v>
      </c>
      <c r="Q7676">
        <v>4.6528630000000001E-2</v>
      </c>
      <c r="R7676">
        <v>-0.36194559999999998</v>
      </c>
      <c r="S7676">
        <v>-2.6412960000000001</v>
      </c>
      <c r="T7676">
        <v>-0.27327990000000002</v>
      </c>
      <c r="U7676">
        <v>-1.5349729999999999</v>
      </c>
      <c r="V7676">
        <v>-0.17293919999999999</v>
      </c>
      <c r="W7676">
        <v>5.4163469999999998E-2</v>
      </c>
      <c r="X7676">
        <v>0.98344209999999999</v>
      </c>
      <c r="Y7676">
        <v>-0.32301580000000002</v>
      </c>
      <c r="Z7676">
        <v>2.9440640000000001E-3</v>
      </c>
      <c r="AA7676">
        <v>0.94638900000000004</v>
      </c>
      <c r="AB7676">
        <v>21</v>
      </c>
      <c r="AC7676">
        <v>-10.5404999999999</v>
      </c>
      <c r="AD7676">
        <v>-1.1116302435399901</v>
      </c>
      <c r="AE7676">
        <v>-6.2004000000000001</v>
      </c>
      <c r="AF7676">
        <v>-3.98454363175565</v>
      </c>
      <c r="AG7676">
        <v>-1.1116302435399901</v>
      </c>
      <c r="AH7676">
        <v>11.4555387247808</v>
      </c>
      <c r="AI7676">
        <v>95.236682059080707</v>
      </c>
      <c r="AJ7676">
        <v>109.179045607977</v>
      </c>
      <c r="AK7676">
        <v>12.179559812516599</v>
      </c>
      <c r="AL7676">
        <v>86.895142410214206</v>
      </c>
      <c r="AM7676">
        <v>99.973544168946603</v>
      </c>
      <c r="AN7676">
        <v>1.0000000062157399</v>
      </c>
    </row>
    <row r="7677" spans="1:40" x14ac:dyDescent="0.25">
      <c r="A7677" t="str">
        <f>"20190312150842327"</f>
        <v>20190312150842327</v>
      </c>
      <c r="B7677" t="str">
        <f>"1552374522317661"</f>
        <v>1552374522317661</v>
      </c>
      <c r="C7677" t="s">
        <v>40</v>
      </c>
      <c r="D7677">
        <v>3.9826450000000002</v>
      </c>
      <c r="E7677">
        <v>0.44086389999999998</v>
      </c>
      <c r="F7677" t="s">
        <v>77</v>
      </c>
      <c r="G7677">
        <v>-408.99299999999999</v>
      </c>
      <c r="H7677" s="1">
        <v>-6.2798539999999998E-6</v>
      </c>
      <c r="I7677">
        <v>130.9693</v>
      </c>
      <c r="J7677">
        <v>-398.57979999999998</v>
      </c>
      <c r="K7677">
        <v>1.1116779999999999</v>
      </c>
      <c r="L7677">
        <v>137.15790000000001</v>
      </c>
      <c r="M7677">
        <v>-0.98005589999999998</v>
      </c>
      <c r="N7677">
        <v>0</v>
      </c>
      <c r="O7677">
        <v>-0.19854079999999999</v>
      </c>
      <c r="P7677">
        <v>-0.92974310000000004</v>
      </c>
      <c r="Q7677">
        <v>4.5427919999999997E-2</v>
      </c>
      <c r="R7677">
        <v>-0.36539670000000002</v>
      </c>
      <c r="S7677">
        <v>-2.6346440000000002</v>
      </c>
      <c r="T7677">
        <v>-0.275891099999999</v>
      </c>
      <c r="U7677">
        <v>-1.546783</v>
      </c>
      <c r="V7677">
        <v>-0.17374519999999999</v>
      </c>
      <c r="W7677">
        <v>5.3064510000000002E-2</v>
      </c>
      <c r="X7677">
        <v>0.98335989999999995</v>
      </c>
      <c r="Y7677">
        <v>-0.3244821</v>
      </c>
      <c r="Z7677">
        <v>3.1646759999999999E-3</v>
      </c>
      <c r="AA7677">
        <v>0.94588660000000002</v>
      </c>
      <c r="AB7677">
        <v>21</v>
      </c>
      <c r="AC7677">
        <v>-10.4132</v>
      </c>
      <c r="AD7677">
        <v>-1.1116842798540001</v>
      </c>
      <c r="AE7677">
        <v>-6.1886000000000001</v>
      </c>
      <c r="AF7677">
        <v>-3.9644824910587202</v>
      </c>
      <c r="AG7677">
        <v>-1.1116842798540001</v>
      </c>
      <c r="AH7677">
        <v>11.3391171613615</v>
      </c>
      <c r="AI7677">
        <v>95.287454093652599</v>
      </c>
      <c r="AJ7677">
        <v>109.271099404437</v>
      </c>
      <c r="AK7677">
        <v>12.0635211011988</v>
      </c>
      <c r="AL7677">
        <v>86.958198748753603</v>
      </c>
      <c r="AM7677">
        <v>100.019907701411</v>
      </c>
      <c r="AN7677">
        <v>0.99999996483629405</v>
      </c>
    </row>
    <row r="7678" spans="1:40" x14ac:dyDescent="0.25">
      <c r="A7678" t="str">
        <f>"20190312150842349"</f>
        <v>20190312150842349</v>
      </c>
      <c r="B7678" t="str">
        <f>"1552374522337182"</f>
        <v>1552374522337182</v>
      </c>
      <c r="C7678" t="s">
        <v>40</v>
      </c>
      <c r="D7678">
        <v>3.9623849999999998</v>
      </c>
      <c r="E7678">
        <v>0.44063849999999999</v>
      </c>
      <c r="F7678" t="s">
        <v>77</v>
      </c>
      <c r="G7678">
        <v>-408.79520000000002</v>
      </c>
      <c r="H7678" s="1">
        <v>-6.2015830000000002E-6</v>
      </c>
      <c r="I7678">
        <v>131.0907</v>
      </c>
      <c r="J7678">
        <v>-398.78609999999998</v>
      </c>
      <c r="K7678">
        <v>1.1117349999999999</v>
      </c>
      <c r="L7678">
        <v>137.11250000000001</v>
      </c>
      <c r="M7678">
        <v>-0.97945020000000005</v>
      </c>
      <c r="N7678">
        <v>0</v>
      </c>
      <c r="O7678">
        <v>-0.2015063</v>
      </c>
      <c r="P7678">
        <v>-0.92848810000000004</v>
      </c>
      <c r="Q7678">
        <v>4.5184269999999999E-2</v>
      </c>
      <c r="R7678">
        <v>-0.36860290000000001</v>
      </c>
      <c r="S7678">
        <v>-2.6274109999999999</v>
      </c>
      <c r="T7678">
        <v>-0.28592499999999998</v>
      </c>
      <c r="U7678">
        <v>-1.560486</v>
      </c>
      <c r="V7678">
        <v>-0.17416699999999999</v>
      </c>
      <c r="W7678">
        <v>5.2824999999999997E-2</v>
      </c>
      <c r="X7678">
        <v>0.98329820000000001</v>
      </c>
      <c r="Y7678">
        <v>-0.32637640000000001</v>
      </c>
      <c r="Z7678">
        <v>3.4706379999999998E-3</v>
      </c>
      <c r="AA7678">
        <v>0.94523349999999995</v>
      </c>
      <c r="AB7678">
        <v>21</v>
      </c>
      <c r="AC7678">
        <v>-10.0091</v>
      </c>
      <c r="AD7678">
        <v>-1.1117412015829999</v>
      </c>
      <c r="AE7678">
        <v>-6.0218000000000096</v>
      </c>
      <c r="AF7678">
        <v>-3.8464544390932698</v>
      </c>
      <c r="AG7678">
        <v>-1.1117412015829999</v>
      </c>
      <c r="AH7678">
        <v>10.9183421790809</v>
      </c>
      <c r="AI7678">
        <v>95.485740658862198</v>
      </c>
      <c r="AJ7678">
        <v>109.406999007191</v>
      </c>
      <c r="AK7678">
        <v>11.6293325771867</v>
      </c>
      <c r="AL7678">
        <v>86.971941003765295</v>
      </c>
      <c r="AM7678">
        <v>100.04435566269299</v>
      </c>
      <c r="AN7678">
        <v>0.99999998731861905</v>
      </c>
    </row>
    <row r="7679" spans="1:40" x14ac:dyDescent="0.25">
      <c r="A7679" t="str">
        <f>"20190312150842372"</f>
        <v>20190312150842372</v>
      </c>
      <c r="B7679" t="str">
        <f>"1552374522367437"</f>
        <v>1552374522367437</v>
      </c>
      <c r="C7679" t="s">
        <v>40</v>
      </c>
      <c r="D7679">
        <v>4.0664230000000003</v>
      </c>
      <c r="E7679">
        <v>0.44006240000000002</v>
      </c>
      <c r="F7679" t="s">
        <v>77</v>
      </c>
      <c r="G7679">
        <v>-408.8886</v>
      </c>
      <c r="H7679" s="1">
        <v>-6.2498650000000002E-6</v>
      </c>
      <c r="I7679">
        <v>131.05760000000001</v>
      </c>
      <c r="J7679">
        <v>-398.99430000000001</v>
      </c>
      <c r="K7679">
        <v>1.111799</v>
      </c>
      <c r="L7679">
        <v>137.066</v>
      </c>
      <c r="M7679">
        <v>-0.97881229999999997</v>
      </c>
      <c r="N7679">
        <v>0</v>
      </c>
      <c r="O7679">
        <v>-0.2045807</v>
      </c>
      <c r="P7679">
        <v>-0.92727029999999999</v>
      </c>
      <c r="Q7679">
        <v>4.5540770000000001E-2</v>
      </c>
      <c r="R7679">
        <v>-0.37161270000000002</v>
      </c>
      <c r="S7679">
        <v>-2.6213679999999999</v>
      </c>
      <c r="T7679">
        <v>-0.28846929999999998</v>
      </c>
      <c r="U7679">
        <v>-1.5711059999999999</v>
      </c>
      <c r="V7679">
        <v>-0.17428089999999999</v>
      </c>
      <c r="W7679">
        <v>5.3186410000000003E-2</v>
      </c>
      <c r="X7679">
        <v>0.98325850000000004</v>
      </c>
      <c r="Y7679">
        <v>-0.3271867</v>
      </c>
      <c r="Z7679">
        <v>3.7600810000000002E-3</v>
      </c>
      <c r="AA7679">
        <v>0.94495220000000002</v>
      </c>
      <c r="AB7679">
        <v>21</v>
      </c>
      <c r="AC7679">
        <v>-9.8942999999999799</v>
      </c>
      <c r="AD7679">
        <v>-1.111805249865</v>
      </c>
      <c r="AE7679">
        <v>-6.0083999999999902</v>
      </c>
      <c r="AF7679">
        <v>-3.8217987166073999</v>
      </c>
      <c r="AG7679">
        <v>-1.111805249865</v>
      </c>
      <c r="AH7679">
        <v>10.814502698583899</v>
      </c>
      <c r="AI7679">
        <v>95.536500953291693</v>
      </c>
      <c r="AJ7679">
        <v>109.463188957073</v>
      </c>
      <c r="AK7679">
        <v>11.523702745279699</v>
      </c>
      <c r="AL7679">
        <v>86.951204477079102</v>
      </c>
      <c r="AM7679">
        <v>100.051188020743</v>
      </c>
      <c r="AN7679">
        <v>0.99999995206787295</v>
      </c>
    </row>
    <row r="7680" spans="1:40" x14ac:dyDescent="0.25">
      <c r="A7680" t="str">
        <f>"20190312150842394"</f>
        <v>20190312150842394</v>
      </c>
      <c r="B7680" t="str">
        <f>"1552374522387933"</f>
        <v>1552374522387933</v>
      </c>
      <c r="C7680" t="s">
        <v>40</v>
      </c>
      <c r="D7680">
        <v>4.0035360000000004</v>
      </c>
      <c r="E7680">
        <v>0.43985760000000002</v>
      </c>
      <c r="F7680" t="s">
        <v>77</v>
      </c>
      <c r="G7680">
        <v>-408.9769</v>
      </c>
      <c r="H7680" s="1">
        <v>-6.2914859999999999E-6</v>
      </c>
      <c r="I7680">
        <v>131.01779999999999</v>
      </c>
      <c r="J7680">
        <v>-399.19799999999998</v>
      </c>
      <c r="K7680">
        <v>1.1118509999999999</v>
      </c>
      <c r="L7680">
        <v>137.0198</v>
      </c>
      <c r="M7680">
        <v>-0.97816210000000003</v>
      </c>
      <c r="N7680">
        <v>0</v>
      </c>
      <c r="O7680">
        <v>-0.20766580000000001</v>
      </c>
      <c r="P7680">
        <v>-0.92598780000000003</v>
      </c>
      <c r="Q7680">
        <v>4.5966800000000002E-2</v>
      </c>
      <c r="R7680">
        <v>-0.37474459999999998</v>
      </c>
      <c r="S7680">
        <v>-2.6147459999999998</v>
      </c>
      <c r="T7680">
        <v>-0.29121720000000001</v>
      </c>
      <c r="U7680">
        <v>-1.5842130000000001</v>
      </c>
      <c r="V7680">
        <v>-0.17451639999999999</v>
      </c>
      <c r="W7680">
        <v>5.3616379999999998E-2</v>
      </c>
      <c r="X7680">
        <v>0.9831934</v>
      </c>
      <c r="Y7680">
        <v>-0.32873059999999998</v>
      </c>
      <c r="Z7680">
        <v>4.0198689999999997E-3</v>
      </c>
      <c r="AA7680">
        <v>0.94441520000000001</v>
      </c>
      <c r="AB7680">
        <v>21</v>
      </c>
      <c r="AC7680">
        <v>-9.7788999999999593</v>
      </c>
      <c r="AD7680">
        <v>-1.1118572914860001</v>
      </c>
      <c r="AE7680">
        <v>-6.0019999999999998</v>
      </c>
      <c r="AF7680">
        <v>-3.8046016589251699</v>
      </c>
      <c r="AG7680">
        <v>-1.1118572914860001</v>
      </c>
      <c r="AH7680">
        <v>10.711574879392099</v>
      </c>
      <c r="AI7680">
        <v>95.586496766270699</v>
      </c>
      <c r="AJ7680">
        <v>109.55432711384999</v>
      </c>
      <c r="AK7680">
        <v>11.4214297185839</v>
      </c>
      <c r="AL7680">
        <v>86.926533880922094</v>
      </c>
      <c r="AM7680">
        <v>100.06514514455</v>
      </c>
      <c r="AN7680">
        <v>0.99999997593841095</v>
      </c>
    </row>
    <row r="7681" spans="1:40" x14ac:dyDescent="0.25">
      <c r="A7681" t="str">
        <f>"20190312150842417"</f>
        <v>20190312150842417</v>
      </c>
      <c r="B7681" t="str">
        <f>"1552374522407453"</f>
        <v>1552374522407453</v>
      </c>
      <c r="C7681" t="s">
        <v>40</v>
      </c>
      <c r="D7681">
        <v>3.9777480000000001</v>
      </c>
      <c r="E7681">
        <v>0.43958449999999999</v>
      </c>
      <c r="F7681" t="s">
        <v>77</v>
      </c>
      <c r="G7681">
        <v>-408.96870000000001</v>
      </c>
      <c r="H7681" s="1">
        <v>-6.2990799999999998E-6</v>
      </c>
      <c r="I7681">
        <v>131.04599999999999</v>
      </c>
      <c r="J7681">
        <v>-399.40629999999999</v>
      </c>
      <c r="K7681">
        <v>1.1119030000000001</v>
      </c>
      <c r="L7681">
        <v>136.9717</v>
      </c>
      <c r="M7681">
        <v>-0.97746920000000004</v>
      </c>
      <c r="N7681">
        <v>0</v>
      </c>
      <c r="O7681">
        <v>-0.21090229999999999</v>
      </c>
      <c r="P7681">
        <v>-0.92465229999999998</v>
      </c>
      <c r="Q7681">
        <v>4.5703519999999997E-2</v>
      </c>
      <c r="R7681">
        <v>-0.37806000000000001</v>
      </c>
      <c r="S7681">
        <v>-2.6089479999999998</v>
      </c>
      <c r="T7681">
        <v>-0.2968845</v>
      </c>
      <c r="U7681">
        <v>-1.595108</v>
      </c>
      <c r="V7681">
        <v>-0.17478850000000001</v>
      </c>
      <c r="W7681">
        <v>5.3355449999999999E-2</v>
      </c>
      <c r="X7681">
        <v>0.98315929999999996</v>
      </c>
      <c r="Y7681">
        <v>-0.32940069999999999</v>
      </c>
      <c r="Z7681">
        <v>4.387068E-3</v>
      </c>
      <c r="AA7681">
        <v>0.94418000000000002</v>
      </c>
      <c r="AB7681">
        <v>21</v>
      </c>
      <c r="AC7681">
        <v>-9.5624000000000198</v>
      </c>
      <c r="AD7681">
        <v>-1.1119092990799999</v>
      </c>
      <c r="AE7681">
        <v>-5.9257</v>
      </c>
      <c r="AF7681">
        <v>-3.73906892509192</v>
      </c>
      <c r="AG7681">
        <v>-1.1119092990799999</v>
      </c>
      <c r="AH7681">
        <v>10.4945634340024</v>
      </c>
      <c r="AI7681">
        <v>95.699560938493605</v>
      </c>
      <c r="AJ7681">
        <v>109.61028563881401</v>
      </c>
      <c r="AK7681">
        <v>11.1961082696743</v>
      </c>
      <c r="AL7681">
        <v>86.941505623493001</v>
      </c>
      <c r="AM7681">
        <v>100.08085923047</v>
      </c>
      <c r="AN7681">
        <v>1.00000001647672</v>
      </c>
    </row>
    <row r="7682" spans="1:40" x14ac:dyDescent="0.25">
      <c r="A7682" t="str">
        <f>"20190312150842438"</f>
        <v>20190312150842438</v>
      </c>
      <c r="B7682" t="str">
        <f>"1552374522427949"</f>
        <v>1552374522427949</v>
      </c>
      <c r="C7682" t="s">
        <v>40</v>
      </c>
      <c r="D7682">
        <v>4.0927829999999998</v>
      </c>
      <c r="E7682">
        <v>0.43946249999999998</v>
      </c>
      <c r="F7682" t="s">
        <v>77</v>
      </c>
      <c r="G7682">
        <v>-408.92649999999998</v>
      </c>
      <c r="H7682" s="1">
        <v>-6.2920330000000003E-6</v>
      </c>
      <c r="I7682">
        <v>131.0926</v>
      </c>
      <c r="J7682">
        <v>-399.6087</v>
      </c>
      <c r="K7682">
        <v>1.111947</v>
      </c>
      <c r="L7682">
        <v>136.92429999999999</v>
      </c>
      <c r="M7682">
        <v>-0.97676960000000002</v>
      </c>
      <c r="N7682">
        <v>0</v>
      </c>
      <c r="O7682">
        <v>-0.21411830000000001</v>
      </c>
      <c r="P7682">
        <v>-0.92338759999999998</v>
      </c>
      <c r="Q7682">
        <v>4.5214499999999998E-2</v>
      </c>
      <c r="R7682">
        <v>-0.38119700000000001</v>
      </c>
      <c r="S7682">
        <v>-2.6023860000000001</v>
      </c>
      <c r="T7682">
        <v>-0.30394579999999999</v>
      </c>
      <c r="U7682">
        <v>-1.6071009999999999</v>
      </c>
      <c r="V7682">
        <v>-0.17488960000000001</v>
      </c>
      <c r="W7682">
        <v>5.2868329999999998E-2</v>
      </c>
      <c r="X7682">
        <v>0.98316760000000003</v>
      </c>
      <c r="Y7682">
        <v>-0.330491799999999</v>
      </c>
      <c r="Z7682">
        <v>4.762886E-3</v>
      </c>
      <c r="AA7682">
        <v>0.94379690000000005</v>
      </c>
      <c r="AB7682">
        <v>21</v>
      </c>
      <c r="AC7682">
        <v>-9.3177999999999699</v>
      </c>
      <c r="AD7682">
        <v>-1.111953292033</v>
      </c>
      <c r="AE7682">
        <v>-5.8316999999999801</v>
      </c>
      <c r="AF7682">
        <v>-3.6637628139241598</v>
      </c>
      <c r="AG7682">
        <v>-1.111953292033</v>
      </c>
      <c r="AH7682">
        <v>10.245561439963501</v>
      </c>
      <c r="AI7682">
        <v>95.834962040209305</v>
      </c>
      <c r="AJ7682">
        <v>109.676802416174</v>
      </c>
      <c r="AK7682">
        <v>10.9376015332624</v>
      </c>
      <c r="AL7682">
        <v>86.969454884755905</v>
      </c>
      <c r="AM7682">
        <v>100.086487036428</v>
      </c>
      <c r="AN7682">
        <v>0.99999998109745403</v>
      </c>
    </row>
    <row r="7683" spans="1:40" x14ac:dyDescent="0.25">
      <c r="A7683" t="str">
        <f>"20190312150842463"</f>
        <v>20190312150842463</v>
      </c>
      <c r="B7683" t="str">
        <f>"1552374522457229"</f>
        <v>1552374522457229</v>
      </c>
      <c r="C7683" t="s">
        <v>40</v>
      </c>
      <c r="D7683">
        <v>3.9878589999999998</v>
      </c>
      <c r="E7683">
        <v>0.43929240000000003</v>
      </c>
      <c r="F7683" t="s">
        <v>77</v>
      </c>
      <c r="G7683">
        <v>-408.96530000000001</v>
      </c>
      <c r="H7683" s="1">
        <v>-6.3202759999999996E-6</v>
      </c>
      <c r="I7683">
        <v>131.09639999999999</v>
      </c>
      <c r="J7683">
        <v>-399.82440000000003</v>
      </c>
      <c r="K7683">
        <v>1.111999</v>
      </c>
      <c r="L7683">
        <v>136.87289999999999</v>
      </c>
      <c r="M7683">
        <v>-0.97599689999999995</v>
      </c>
      <c r="N7683">
        <v>0</v>
      </c>
      <c r="O7683">
        <v>-0.21761269999999999</v>
      </c>
      <c r="P7683">
        <v>-0.92202280000000003</v>
      </c>
      <c r="Q7683">
        <v>4.5221539999999998E-2</v>
      </c>
      <c r="R7683">
        <v>-0.38448569999999999</v>
      </c>
      <c r="S7683">
        <v>-2.5964049999999999</v>
      </c>
      <c r="T7683">
        <v>-0.3085618</v>
      </c>
      <c r="U7683">
        <v>-1.6172029999999999</v>
      </c>
      <c r="V7683">
        <v>-0.1748815</v>
      </c>
      <c r="W7683">
        <v>5.2876899999999998E-2</v>
      </c>
      <c r="X7683">
        <v>0.98316859999999995</v>
      </c>
      <c r="Y7683">
        <v>-0.33073380000000002</v>
      </c>
      <c r="Z7683">
        <v>5.1863309999999998E-3</v>
      </c>
      <c r="AA7683">
        <v>0.94370989999999999</v>
      </c>
      <c r="AB7683">
        <v>21</v>
      </c>
      <c r="AC7683">
        <v>-9.1408999999999807</v>
      </c>
      <c r="AD7683">
        <v>-1.1120053202760001</v>
      </c>
      <c r="AE7683">
        <v>-5.7764999999999898</v>
      </c>
      <c r="AF7683">
        <v>-3.61062163315431</v>
      </c>
      <c r="AG7683">
        <v>-1.1120053202760001</v>
      </c>
      <c r="AH7683">
        <v>10.072387563949301</v>
      </c>
      <c r="AI7683">
        <v>95.933217102309996</v>
      </c>
      <c r="AJ7683">
        <v>109.721096812509</v>
      </c>
      <c r="AK7683">
        <v>10.7576082680364</v>
      </c>
      <c r="AL7683">
        <v>86.968963231948607</v>
      </c>
      <c r="AM7683">
        <v>100.08601942480099</v>
      </c>
      <c r="AN7683">
        <v>1.0000000008109</v>
      </c>
    </row>
    <row r="7684" spans="1:40" x14ac:dyDescent="0.25">
      <c r="A7684" t="str">
        <f>"20190312150842484"</f>
        <v>20190312150842484</v>
      </c>
      <c r="B7684" t="str">
        <f>"1552374522477725"</f>
        <v>1552374522477725</v>
      </c>
      <c r="C7684" t="s">
        <v>40</v>
      </c>
      <c r="D7684">
        <v>4.0062059999999997</v>
      </c>
      <c r="E7684">
        <v>0.43919409999999998</v>
      </c>
      <c r="F7684" t="s">
        <v>77</v>
      </c>
      <c r="G7684">
        <v>-409.19279999999998</v>
      </c>
      <c r="H7684" s="1">
        <v>-6.4242170000000001E-6</v>
      </c>
      <c r="I7684">
        <v>130.98660000000001</v>
      </c>
      <c r="J7684">
        <v>-400.02940000000001</v>
      </c>
      <c r="K7684">
        <v>1.1120410000000001</v>
      </c>
      <c r="L7684">
        <v>136.82320000000001</v>
      </c>
      <c r="M7684">
        <v>-0.97523709999999997</v>
      </c>
      <c r="N7684">
        <v>0</v>
      </c>
      <c r="O7684">
        <v>-0.2209914</v>
      </c>
      <c r="P7684">
        <v>-0.92079679999999997</v>
      </c>
      <c r="Q7684">
        <v>4.53531E-2</v>
      </c>
      <c r="R7684">
        <v>-0.38739709999999999</v>
      </c>
      <c r="S7684">
        <v>-2.5901489999999998</v>
      </c>
      <c r="T7684">
        <v>-0.30744250000000001</v>
      </c>
      <c r="U7684">
        <v>-1.627426</v>
      </c>
      <c r="V7684">
        <v>-0.174591</v>
      </c>
      <c r="W7684">
        <v>5.3013089999999999E-2</v>
      </c>
      <c r="X7684">
        <v>0.98321289999999995</v>
      </c>
      <c r="Y7684">
        <v>-0.33118130000000001</v>
      </c>
      <c r="Z7684">
        <v>5.495219E-3</v>
      </c>
      <c r="AA7684">
        <v>0.94355109999999998</v>
      </c>
      <c r="AB7684">
        <v>21</v>
      </c>
      <c r="AC7684">
        <v>-9.1633999999999602</v>
      </c>
      <c r="AD7684">
        <v>-1.112047424217</v>
      </c>
      <c r="AE7684">
        <v>-5.8365999999999998</v>
      </c>
      <c r="AF7684">
        <v>-3.6291516088149098</v>
      </c>
      <c r="AG7684">
        <v>-1.112047424217</v>
      </c>
      <c r="AH7684">
        <v>10.1206764712331</v>
      </c>
      <c r="AI7684">
        <v>95.905105848718506</v>
      </c>
      <c r="AJ7684">
        <v>109.727216771058</v>
      </c>
      <c r="AK7684">
        <v>10.809046355199101</v>
      </c>
      <c r="AL7684">
        <v>86.961149175311107</v>
      </c>
      <c r="AM7684">
        <v>100.06916401623</v>
      </c>
      <c r="AN7684">
        <v>1.0000000058593701</v>
      </c>
    </row>
    <row r="7685" spans="1:40" x14ac:dyDescent="0.25">
      <c r="A7685" t="str">
        <f>"20190312150842507"</f>
        <v>20190312150842507</v>
      </c>
      <c r="B7685" t="str">
        <f>"1552374522497246"</f>
        <v>1552374522497246</v>
      </c>
      <c r="C7685" t="s">
        <v>40</v>
      </c>
      <c r="D7685">
        <v>4.0989019999999998</v>
      </c>
      <c r="E7685">
        <v>0.43921300000000002</v>
      </c>
      <c r="F7685" t="s">
        <v>77</v>
      </c>
      <c r="G7685">
        <v>-409.35849999999999</v>
      </c>
      <c r="H7685" s="1">
        <v>-6.5022320000000002E-6</v>
      </c>
      <c r="I7685">
        <v>130.91820000000001</v>
      </c>
      <c r="J7685">
        <v>-400.23849999999999</v>
      </c>
      <c r="K7685">
        <v>1.1120719999999999</v>
      </c>
      <c r="L7685">
        <v>136.77160000000001</v>
      </c>
      <c r="M7685">
        <v>-0.9744391</v>
      </c>
      <c r="N7685">
        <v>0</v>
      </c>
      <c r="O7685">
        <v>-0.22448419999999999</v>
      </c>
      <c r="P7685">
        <v>-0.91939689999999996</v>
      </c>
      <c r="Q7685">
        <v>4.4863859999999998E-2</v>
      </c>
      <c r="R7685">
        <v>-0.39076440000000001</v>
      </c>
      <c r="S7685">
        <v>-2.5848689999999999</v>
      </c>
      <c r="T7685">
        <v>-0.30812200000000001</v>
      </c>
      <c r="U7685">
        <v>-1.6361239999999999</v>
      </c>
      <c r="V7685">
        <v>-0.1746635</v>
      </c>
      <c r="W7685">
        <v>5.2527869999999997E-2</v>
      </c>
      <c r="X7685">
        <v>0.98322609999999999</v>
      </c>
      <c r="Y7685">
        <v>-0.33095400000000003</v>
      </c>
      <c r="Z7685">
        <v>5.8836829999999998E-3</v>
      </c>
      <c r="AA7685">
        <v>0.94362849999999998</v>
      </c>
      <c r="AB7685">
        <v>21</v>
      </c>
      <c r="AC7685">
        <v>-9.1199999999999992</v>
      </c>
      <c r="AD7685">
        <v>-1.1120785022320001</v>
      </c>
      <c r="AE7685">
        <v>-5.8533999999999899</v>
      </c>
      <c r="AF7685">
        <v>-3.6185171872443802</v>
      </c>
      <c r="AG7685">
        <v>-1.1120785022320001</v>
      </c>
      <c r="AH7685">
        <v>10.0949550607353</v>
      </c>
      <c r="AI7685">
        <v>95.920470316929794</v>
      </c>
      <c r="AJ7685">
        <v>109.7201203178</v>
      </c>
      <c r="AK7685">
        <v>10.781396148355499</v>
      </c>
      <c r="AL7685">
        <v>86.988989125230006</v>
      </c>
      <c r="AM7685">
        <v>100.073127220134</v>
      </c>
      <c r="AN7685">
        <v>1.0000000395400901</v>
      </c>
    </row>
    <row r="7686" spans="1:40" x14ac:dyDescent="0.25">
      <c r="A7686" t="str">
        <f>"20190312150842529"</f>
        <v>20190312150842529</v>
      </c>
      <c r="B7686" t="str">
        <f>"1552374522517741"</f>
        <v>1552374522517741</v>
      </c>
      <c r="C7686" t="s">
        <v>40</v>
      </c>
      <c r="D7686">
        <v>4.0365729999999997</v>
      </c>
      <c r="E7686">
        <v>0.43919730000000001</v>
      </c>
      <c r="F7686" t="s">
        <v>77</v>
      </c>
      <c r="G7686">
        <v>-409.57279999999997</v>
      </c>
      <c r="H7686" s="1">
        <v>-6.590607E-6</v>
      </c>
      <c r="I7686">
        <v>130.8152</v>
      </c>
      <c r="J7686">
        <v>-400.44349999999997</v>
      </c>
      <c r="K7686">
        <v>1.112098</v>
      </c>
      <c r="L7686">
        <v>136.72020000000001</v>
      </c>
      <c r="M7686">
        <v>-0.97363529999999998</v>
      </c>
      <c r="N7686">
        <v>0</v>
      </c>
      <c r="O7686">
        <v>-0.2279446</v>
      </c>
      <c r="P7686">
        <v>-0.91820650000000004</v>
      </c>
      <c r="Q7686">
        <v>4.3969830000000001E-2</v>
      </c>
      <c r="R7686">
        <v>-0.39365450000000002</v>
      </c>
      <c r="S7686">
        <v>-2.5786440000000002</v>
      </c>
      <c r="T7686">
        <v>-0.3072143</v>
      </c>
      <c r="U7686">
        <v>-1.6454930000000001</v>
      </c>
      <c r="V7686">
        <v>-0.1742515</v>
      </c>
      <c r="W7686">
        <v>5.1644059999999999E-2</v>
      </c>
      <c r="X7686">
        <v>0.98334600000000005</v>
      </c>
      <c r="Y7686">
        <v>-0.33108959999999998</v>
      </c>
      <c r="Z7686">
        <v>6.2200049999999998E-3</v>
      </c>
      <c r="AA7686">
        <v>0.94357880000000005</v>
      </c>
      <c r="AB7686">
        <v>22</v>
      </c>
      <c r="AC7686">
        <v>-9.1293000000000006</v>
      </c>
      <c r="AD7686">
        <v>-1.112104590607</v>
      </c>
      <c r="AE7686">
        <v>-5.9050000000000002</v>
      </c>
      <c r="AF7686">
        <v>-3.6304972060403902</v>
      </c>
      <c r="AG7686">
        <v>-1.112104590607</v>
      </c>
      <c r="AH7686">
        <v>10.129035699915599</v>
      </c>
      <c r="AI7686">
        <v>95.900871639112395</v>
      </c>
      <c r="AJ7686">
        <v>109.718936742482</v>
      </c>
      <c r="AK7686">
        <v>10.8173310383699</v>
      </c>
      <c r="AL7686">
        <v>87.039696494547698</v>
      </c>
      <c r="AM7686">
        <v>100.048651017683</v>
      </c>
      <c r="AN7686">
        <v>1.0000000249507599</v>
      </c>
    </row>
    <row r="7687" spans="1:40" x14ac:dyDescent="0.25">
      <c r="A7687" t="str">
        <f>"20190312150842551"</f>
        <v>20190312150842551</v>
      </c>
      <c r="B7687" t="str">
        <f>"1552374522547999"</f>
        <v>1552374522547999</v>
      </c>
      <c r="C7687" t="s">
        <v>40</v>
      </c>
      <c r="D7687">
        <v>4.0354460000000003</v>
      </c>
      <c r="E7687">
        <v>0.43912479999999998</v>
      </c>
      <c r="F7687" t="s">
        <v>77</v>
      </c>
      <c r="G7687">
        <v>-409.7287</v>
      </c>
      <c r="H7687" s="1">
        <v>-6.661629E-6</v>
      </c>
      <c r="I7687">
        <v>130.75569999999999</v>
      </c>
      <c r="J7687">
        <v>-400.65499999999997</v>
      </c>
      <c r="K7687">
        <v>1.1121110000000001</v>
      </c>
      <c r="L7687">
        <v>136.66640000000001</v>
      </c>
      <c r="M7687">
        <v>-0.97278770000000003</v>
      </c>
      <c r="N7687">
        <v>0</v>
      </c>
      <c r="O7687">
        <v>-0.23153389999999999</v>
      </c>
      <c r="P7687">
        <v>-0.91682240000000004</v>
      </c>
      <c r="Q7687">
        <v>4.2942769999999998E-2</v>
      </c>
      <c r="R7687">
        <v>-0.39697969999999999</v>
      </c>
      <c r="S7687">
        <v>-2.5733030000000001</v>
      </c>
      <c r="T7687">
        <v>-0.30821029999999999</v>
      </c>
      <c r="U7687">
        <v>-1.6530149999999999</v>
      </c>
      <c r="V7687">
        <v>-0.17417469999999999</v>
      </c>
      <c r="W7687">
        <v>5.0627819999999997E-2</v>
      </c>
      <c r="X7687">
        <v>0.98341239999999996</v>
      </c>
      <c r="Y7687">
        <v>-0.33046910000000002</v>
      </c>
      <c r="Z7687">
        <v>6.6493059999999998E-3</v>
      </c>
      <c r="AA7687">
        <v>0.9437934</v>
      </c>
      <c r="AB7687">
        <v>22</v>
      </c>
      <c r="AC7687">
        <v>-9.0737000000000201</v>
      </c>
      <c r="AD7687">
        <v>-1.1121176616290001</v>
      </c>
      <c r="AE7687">
        <v>-5.9107000000000101</v>
      </c>
      <c r="AF7687">
        <v>-3.6110411358311798</v>
      </c>
      <c r="AG7687">
        <v>-1.1121176616290001</v>
      </c>
      <c r="AH7687">
        <v>10.089289696157101</v>
      </c>
      <c r="AI7687">
        <v>95.924986107455595</v>
      </c>
      <c r="AJ7687">
        <v>109.692713193651</v>
      </c>
      <c r="AK7687">
        <v>10.7735876267358</v>
      </c>
      <c r="AL7687">
        <v>87.097998891703895</v>
      </c>
      <c r="AM7687">
        <v>100.04364797165201</v>
      </c>
      <c r="AN7687">
        <v>0.99999997537590002</v>
      </c>
    </row>
    <row r="7688" spans="1:40" x14ac:dyDescent="0.25">
      <c r="A7688" t="str">
        <f>"20190312150842573"</f>
        <v>20190312150842573</v>
      </c>
      <c r="B7688" t="str">
        <f>"1552374522567526"</f>
        <v>1552374522567526</v>
      </c>
      <c r="C7688" t="s">
        <v>40</v>
      </c>
      <c r="D7688">
        <v>4.0302480000000003</v>
      </c>
      <c r="E7688">
        <v>0.43912180000000001</v>
      </c>
      <c r="F7688" t="s">
        <v>77</v>
      </c>
      <c r="G7688">
        <v>-409.82569999999998</v>
      </c>
      <c r="H7688" s="1">
        <v>-6.709412E-6</v>
      </c>
      <c r="I7688">
        <v>130.7269</v>
      </c>
      <c r="J7688">
        <v>-400.86399999999998</v>
      </c>
      <c r="K7688">
        <v>1.112125</v>
      </c>
      <c r="L7688">
        <v>136.61240000000001</v>
      </c>
      <c r="M7688">
        <v>-0.97193280000000004</v>
      </c>
      <c r="N7688">
        <v>0</v>
      </c>
      <c r="O7688">
        <v>-0.23509569999999999</v>
      </c>
      <c r="P7688">
        <v>-0.91569230000000001</v>
      </c>
      <c r="Q7688">
        <v>4.2485670000000003E-2</v>
      </c>
      <c r="R7688">
        <v>-0.39962789999999998</v>
      </c>
      <c r="S7688">
        <v>-2.5669249999999999</v>
      </c>
      <c r="T7688">
        <v>-0.31128810000000001</v>
      </c>
      <c r="U7688">
        <v>-1.662506</v>
      </c>
      <c r="V7688">
        <v>-0.17340810000000001</v>
      </c>
      <c r="W7688">
        <v>5.018682E-2</v>
      </c>
      <c r="X7688">
        <v>0.98357050000000001</v>
      </c>
      <c r="Y7688">
        <v>-0.33054679999999997</v>
      </c>
      <c r="Z7688">
        <v>7.0879810000000001E-3</v>
      </c>
      <c r="AA7688">
        <v>0.94376300000000002</v>
      </c>
      <c r="AB7688">
        <v>22</v>
      </c>
      <c r="AC7688">
        <v>-8.96169999999994</v>
      </c>
      <c r="AD7688">
        <v>-1.112131709412</v>
      </c>
      <c r="AE7688">
        <v>-5.8855000000000004</v>
      </c>
      <c r="AF7688">
        <v>-3.5751246745144201</v>
      </c>
      <c r="AG7688">
        <v>-1.112131709412</v>
      </c>
      <c r="AH7688">
        <v>9.9867585106546901</v>
      </c>
      <c r="AI7688">
        <v>95.985304617136507</v>
      </c>
      <c r="AJ7688">
        <v>109.696681506971</v>
      </c>
      <c r="AK7688">
        <v>10.6655379108386</v>
      </c>
      <c r="AL7688">
        <v>87.1232985853906</v>
      </c>
      <c r="AM7688">
        <v>99.998761789523599</v>
      </c>
      <c r="AN7688">
        <v>1.00000000725878</v>
      </c>
    </row>
    <row r="7689" spans="1:40" x14ac:dyDescent="0.25">
      <c r="A7689" t="str">
        <f>"20190312150842595"</f>
        <v>20190312150842595</v>
      </c>
      <c r="B7689" t="str">
        <f>"1552374522588013"</f>
        <v>1552374522588013</v>
      </c>
      <c r="C7689" t="s">
        <v>40</v>
      </c>
      <c r="D7689">
        <v>4.139113</v>
      </c>
      <c r="E7689">
        <v>0.4390289</v>
      </c>
      <c r="F7689" t="s">
        <v>77</v>
      </c>
      <c r="G7689">
        <v>-409.96460000000002</v>
      </c>
      <c r="H7689" s="1">
        <v>-6.7706589999999997E-6</v>
      </c>
      <c r="I7689">
        <v>130.68020000000001</v>
      </c>
      <c r="J7689">
        <v>-401.0718</v>
      </c>
      <c r="K7689">
        <v>1.1121270000000001</v>
      </c>
      <c r="L7689">
        <v>136.55779999999999</v>
      </c>
      <c r="M7689">
        <v>-0.97106709999999996</v>
      </c>
      <c r="N7689">
        <v>0</v>
      </c>
      <c r="O7689">
        <v>-0.23864640000000001</v>
      </c>
      <c r="P7689">
        <v>-0.91452029999999995</v>
      </c>
      <c r="Q7689">
        <v>4.2203659999999997E-2</v>
      </c>
      <c r="R7689">
        <v>-0.40233289999999999</v>
      </c>
      <c r="S7689">
        <v>-2.5619200000000002</v>
      </c>
      <c r="T7689">
        <v>-0.31307679999999999</v>
      </c>
      <c r="U7689">
        <v>-1.6699520000000001</v>
      </c>
      <c r="V7689">
        <v>-0.1727166</v>
      </c>
      <c r="W7689">
        <v>4.9922510000000003E-2</v>
      </c>
      <c r="X7689">
        <v>0.98370559999999996</v>
      </c>
      <c r="Y7689">
        <v>-0.32988099999999998</v>
      </c>
      <c r="Z7689">
        <v>7.542338E-3</v>
      </c>
      <c r="AA7689">
        <v>0.94399239999999995</v>
      </c>
      <c r="AB7689">
        <v>22</v>
      </c>
      <c r="AC7689">
        <v>-8.8928000000000207</v>
      </c>
      <c r="AD7689">
        <v>-1.112133770659</v>
      </c>
      <c r="AE7689">
        <v>-5.87759999999997</v>
      </c>
      <c r="AF7689">
        <v>-3.5468392326530802</v>
      </c>
      <c r="AG7689">
        <v>-1.112133770659</v>
      </c>
      <c r="AH7689">
        <v>9.9304648814203897</v>
      </c>
      <c r="AI7689">
        <v>96.020548288034703</v>
      </c>
      <c r="AJ7689">
        <v>109.655075835106</v>
      </c>
      <c r="AK7689">
        <v>10.6033505472209</v>
      </c>
      <c r="AL7689">
        <v>87.138461402343907</v>
      </c>
      <c r="AM7689">
        <v>99.958349145548198</v>
      </c>
      <c r="AN7689">
        <v>0.99999999419580998</v>
      </c>
    </row>
    <row r="7690" spans="1:40" x14ac:dyDescent="0.25">
      <c r="A7690" t="str">
        <f>"20190312150842618"</f>
        <v>20190312150842618</v>
      </c>
      <c r="B7690" t="str">
        <f>"1552374522607534"</f>
        <v>1552374522607534</v>
      </c>
      <c r="C7690" t="s">
        <v>40</v>
      </c>
      <c r="D7690">
        <v>4.0474209999999999</v>
      </c>
      <c r="E7690">
        <v>0.4390059</v>
      </c>
      <c r="F7690" t="s">
        <v>77</v>
      </c>
      <c r="G7690">
        <v>-410.05369999999999</v>
      </c>
      <c r="H7690" s="1">
        <v>-6.7542870000000001E-6</v>
      </c>
      <c r="I7690">
        <v>130.66069999999999</v>
      </c>
      <c r="J7690">
        <v>-401.2765</v>
      </c>
      <c r="K7690">
        <v>1.112139</v>
      </c>
      <c r="L7690">
        <v>136.5034</v>
      </c>
      <c r="M7690">
        <v>-0.97019849999999996</v>
      </c>
      <c r="N7690">
        <v>0</v>
      </c>
      <c r="O7690">
        <v>-0.24215210000000001</v>
      </c>
      <c r="P7690">
        <v>-0.91348180000000001</v>
      </c>
      <c r="Q7690">
        <v>4.1713310000000003E-2</v>
      </c>
      <c r="R7690">
        <v>-0.40473569999999998</v>
      </c>
      <c r="S7690">
        <v>-2.556549</v>
      </c>
      <c r="T7690">
        <v>-0.31655090000000002</v>
      </c>
      <c r="U7690">
        <v>-1.67852799999999</v>
      </c>
      <c r="V7690">
        <v>-0.1717426</v>
      </c>
      <c r="W7690">
        <v>4.9454360000000003E-2</v>
      </c>
      <c r="X7690">
        <v>0.98389979999999999</v>
      </c>
      <c r="Y7690">
        <v>-0.32960260000000002</v>
      </c>
      <c r="Z7690">
        <v>8.0173329999999998E-3</v>
      </c>
      <c r="AA7690">
        <v>0.94408570000000003</v>
      </c>
      <c r="AB7690">
        <v>22</v>
      </c>
      <c r="AC7690">
        <v>-8.7771999999999899</v>
      </c>
      <c r="AD7690">
        <v>-1.1121457542869999</v>
      </c>
      <c r="AE7690">
        <v>-5.8426999999999998</v>
      </c>
      <c r="AF7690">
        <v>-3.5043117500999599</v>
      </c>
      <c r="AG7690">
        <v>-1.1121457542869999</v>
      </c>
      <c r="AH7690">
        <v>9.8215642075892404</v>
      </c>
      <c r="AI7690">
        <v>96.087577645926103</v>
      </c>
      <c r="AJ7690">
        <v>109.636284395278</v>
      </c>
      <c r="AK7690">
        <v>10.487144153889799</v>
      </c>
      <c r="AL7690">
        <v>87.165317712509093</v>
      </c>
      <c r="AM7690">
        <v>99.901389953334103</v>
      </c>
      <c r="AN7690">
        <v>1.0000000354089</v>
      </c>
    </row>
    <row r="7691" spans="1:40" x14ac:dyDescent="0.25">
      <c r="A7691" t="str">
        <f>"20190312150842639"</f>
        <v>20190312150842639</v>
      </c>
      <c r="B7691" t="str">
        <f>"1552374522637790"</f>
        <v>1552374522637790</v>
      </c>
      <c r="C7691" t="s">
        <v>40</v>
      </c>
      <c r="D7691">
        <v>4.062684</v>
      </c>
      <c r="E7691">
        <v>0.43904349999999998</v>
      </c>
      <c r="F7691" t="s">
        <v>77</v>
      </c>
      <c r="G7691">
        <v>-410.17410000000001</v>
      </c>
      <c r="H7691" s="1">
        <v>-6.7283340000000001E-6</v>
      </c>
      <c r="I7691">
        <v>130.62549999999999</v>
      </c>
      <c r="J7691">
        <v>-401.4864</v>
      </c>
      <c r="K7691">
        <v>1.1121620000000001</v>
      </c>
      <c r="L7691">
        <v>136.44659999999999</v>
      </c>
      <c r="M7691">
        <v>-0.96928999999999998</v>
      </c>
      <c r="N7691">
        <v>0</v>
      </c>
      <c r="O7691">
        <v>-0.2457628</v>
      </c>
      <c r="P7691">
        <v>-0.91220520000000005</v>
      </c>
      <c r="Q7691">
        <v>4.1503600000000002E-2</v>
      </c>
      <c r="R7691">
        <v>-0.40762660000000001</v>
      </c>
      <c r="S7691">
        <v>-2.5518190000000001</v>
      </c>
      <c r="T7691">
        <v>-0.31895950000000001</v>
      </c>
      <c r="U7691">
        <v>-1.685745</v>
      </c>
      <c r="V7691">
        <v>-0.1711934</v>
      </c>
      <c r="W7691">
        <v>4.9265290000000003E-2</v>
      </c>
      <c r="X7691">
        <v>0.98400500000000002</v>
      </c>
      <c r="Y7691">
        <v>-0.32876670000000002</v>
      </c>
      <c r="Z7691">
        <v>8.5153450000000006E-3</v>
      </c>
      <c r="AA7691">
        <v>0.94437280000000001</v>
      </c>
      <c r="AB7691">
        <v>22</v>
      </c>
      <c r="AC7691">
        <v>-8.6876999999999995</v>
      </c>
      <c r="AD7691">
        <v>-1.112168728334</v>
      </c>
      <c r="AE7691">
        <v>-5.8211000000000004</v>
      </c>
      <c r="AF7691">
        <v>-3.4681306207100202</v>
      </c>
      <c r="AG7691">
        <v>-1.112168728334</v>
      </c>
      <c r="AH7691">
        <v>9.7417100115918505</v>
      </c>
      <c r="AI7691">
        <v>96.138745337311803</v>
      </c>
      <c r="AJ7691">
        <v>109.59615678305001</v>
      </c>
      <c r="AK7691">
        <v>10.400277074796501</v>
      </c>
      <c r="AL7691">
        <v>87.176163871680302</v>
      </c>
      <c r="AM7691">
        <v>99.869316409274305</v>
      </c>
      <c r="AN7691">
        <v>1.0000000445136701</v>
      </c>
    </row>
    <row r="7692" spans="1:40" x14ac:dyDescent="0.25">
      <c r="A7692" t="str">
        <f>"20190312150842663"</f>
        <v>20190312150842663</v>
      </c>
      <c r="B7692" t="str">
        <f>"1552374522657309"</f>
        <v>1552374522657309</v>
      </c>
      <c r="C7692" t="s">
        <v>40</v>
      </c>
      <c r="D7692">
        <v>4.061172</v>
      </c>
      <c r="E7692">
        <v>0.43911050000000001</v>
      </c>
      <c r="F7692" t="s">
        <v>77</v>
      </c>
      <c r="G7692">
        <v>-410.3689</v>
      </c>
      <c r="H7692" s="1">
        <v>-6.6733549999999997E-6</v>
      </c>
      <c r="I7692">
        <v>130.53890000000001</v>
      </c>
      <c r="J7692">
        <v>-401.70139999999998</v>
      </c>
      <c r="K7692">
        <v>1.112195</v>
      </c>
      <c r="L7692">
        <v>136.3877</v>
      </c>
      <c r="M7692">
        <v>-0.96833749999999996</v>
      </c>
      <c r="N7692">
        <v>0</v>
      </c>
      <c r="O7692">
        <v>-0.2494886</v>
      </c>
      <c r="P7692">
        <v>-0.91076489999999999</v>
      </c>
      <c r="Q7692">
        <v>4.1379480000000003E-2</v>
      </c>
      <c r="R7692">
        <v>-0.41084670000000001</v>
      </c>
      <c r="S7692">
        <v>-2.5464169999999999</v>
      </c>
      <c r="T7692">
        <v>-0.31883529999999999</v>
      </c>
      <c r="U7692">
        <v>-1.6936340000000001</v>
      </c>
      <c r="V7692">
        <v>-0.17088739999999999</v>
      </c>
      <c r="W7692">
        <v>4.9157659999999999E-2</v>
      </c>
      <c r="X7692">
        <v>0.98406349999999998</v>
      </c>
      <c r="Y7692">
        <v>-0.3281094</v>
      </c>
      <c r="Z7692">
        <v>8.9525409999999996E-3</v>
      </c>
      <c r="AA7692">
        <v>0.94459729999999997</v>
      </c>
      <c r="AB7692">
        <v>22</v>
      </c>
      <c r="AC7692">
        <v>-8.6675000000000093</v>
      </c>
      <c r="AD7692">
        <v>-1.112201673355</v>
      </c>
      <c r="AE7692">
        <v>-5.8487999999999802</v>
      </c>
      <c r="AF7692">
        <v>-3.4621361390279102</v>
      </c>
      <c r="AG7692">
        <v>-1.112201673355</v>
      </c>
      <c r="AH7692">
        <v>9.7424333189597903</v>
      </c>
      <c r="AI7692">
        <v>96.139707905228704</v>
      </c>
      <c r="AJ7692">
        <v>109.563517795831</v>
      </c>
      <c r="AK7692">
        <v>10.398960822205</v>
      </c>
      <c r="AL7692">
        <v>87.182337902416805</v>
      </c>
      <c r="AM7692">
        <v>99.851447251688597</v>
      </c>
      <c r="AN7692">
        <v>0.99999997552384201</v>
      </c>
    </row>
    <row r="7693" spans="1:40" x14ac:dyDescent="0.25">
      <c r="A7693" t="str">
        <f>"20190312150842686"</f>
        <v>20190312150842686</v>
      </c>
      <c r="B7693" t="str">
        <f>"1552374522677805"</f>
        <v>1552374522677805</v>
      </c>
      <c r="C7693" t="s">
        <v>40</v>
      </c>
      <c r="D7693">
        <v>4.0982399999999997</v>
      </c>
      <c r="E7693">
        <v>0.4391543</v>
      </c>
      <c r="F7693" t="s">
        <v>77</v>
      </c>
      <c r="G7693">
        <v>-410.57499999999999</v>
      </c>
      <c r="H7693" s="1">
        <v>-6.6134970000000004E-6</v>
      </c>
      <c r="I7693">
        <v>130.44329999999999</v>
      </c>
      <c r="J7693">
        <v>-401.9144</v>
      </c>
      <c r="K7693">
        <v>1.1122399999999999</v>
      </c>
      <c r="L7693">
        <v>136.32830000000001</v>
      </c>
      <c r="M7693">
        <v>-0.96736699999999998</v>
      </c>
      <c r="N7693">
        <v>0</v>
      </c>
      <c r="O7693">
        <v>-0.25322480000000003</v>
      </c>
      <c r="P7693">
        <v>-0.90939769999999998</v>
      </c>
      <c r="Q7693">
        <v>4.1060810000000003E-2</v>
      </c>
      <c r="R7693">
        <v>-0.4138965</v>
      </c>
      <c r="S7693">
        <v>-2.54068</v>
      </c>
      <c r="T7693">
        <v>-0.31844600000000001</v>
      </c>
      <c r="U7693">
        <v>-1.701981</v>
      </c>
      <c r="V7693">
        <v>-0.17038539999999999</v>
      </c>
      <c r="W7693">
        <v>4.8854750000000002E-2</v>
      </c>
      <c r="X7693">
        <v>0.98416570000000003</v>
      </c>
      <c r="Y7693">
        <v>-0.3276134</v>
      </c>
      <c r="Z7693">
        <v>9.3741269999999995E-3</v>
      </c>
      <c r="AA7693">
        <v>0.94476539999999998</v>
      </c>
      <c r="AB7693">
        <v>22</v>
      </c>
      <c r="AC7693">
        <v>-8.6605999999999792</v>
      </c>
      <c r="AD7693">
        <v>-1.1122466134969999</v>
      </c>
      <c r="AE7693">
        <v>-5.8850000000000096</v>
      </c>
      <c r="AF7693">
        <v>-3.46096201557673</v>
      </c>
      <c r="AG7693">
        <v>-1.1122466134969999</v>
      </c>
      <c r="AH7693">
        <v>9.75848494765882</v>
      </c>
      <c r="AI7693">
        <v>96.131283509205502</v>
      </c>
      <c r="AJ7693">
        <v>109.527652718911</v>
      </c>
      <c r="AK7693">
        <v>10.413615082006</v>
      </c>
      <c r="AL7693">
        <v>87.199714448986299</v>
      </c>
      <c r="AM7693">
        <v>99.822071941246804</v>
      </c>
      <c r="AN7693">
        <v>1.0000000480936</v>
      </c>
    </row>
    <row r="7694" spans="1:40" x14ac:dyDescent="0.25">
      <c r="A7694" t="str">
        <f>"20190312150842708"</f>
        <v>20190312150842708</v>
      </c>
      <c r="B7694" t="str">
        <f>"1552374522697325"</f>
        <v>1552374522697325</v>
      </c>
      <c r="C7694" t="s">
        <v>40</v>
      </c>
      <c r="D7694">
        <v>4.1082989999999997</v>
      </c>
      <c r="E7694">
        <v>0.43925249999999999</v>
      </c>
      <c r="F7694" t="s">
        <v>77</v>
      </c>
      <c r="G7694">
        <v>-410.7688</v>
      </c>
      <c r="H7694" s="1">
        <v>-6.5599770000000003E-6</v>
      </c>
      <c r="I7694">
        <v>130.35489999999999</v>
      </c>
      <c r="J7694">
        <v>-402.12139999999999</v>
      </c>
      <c r="K7694">
        <v>1.112298</v>
      </c>
      <c r="L7694">
        <v>136.2697</v>
      </c>
      <c r="M7694">
        <v>-0.9663929</v>
      </c>
      <c r="N7694">
        <v>0</v>
      </c>
      <c r="O7694">
        <v>-0.25691560000000002</v>
      </c>
      <c r="P7694">
        <v>-0.90804410000000002</v>
      </c>
      <c r="Q7694">
        <v>4.1045959999999999E-2</v>
      </c>
      <c r="R7694">
        <v>-0.41685939999999999</v>
      </c>
      <c r="S7694">
        <v>-2.5349119999999998</v>
      </c>
      <c r="T7694">
        <v>-0.31842429999999999</v>
      </c>
      <c r="U7694">
        <v>-1.7101139999999999</v>
      </c>
      <c r="V7694">
        <v>-0.16984289999999999</v>
      </c>
      <c r="W7694">
        <v>4.8856179999999999E-2</v>
      </c>
      <c r="X7694">
        <v>0.98425940000000001</v>
      </c>
      <c r="Y7694">
        <v>-0.32710739999999999</v>
      </c>
      <c r="Z7694">
        <v>9.8021500000000008E-3</v>
      </c>
      <c r="AA7694">
        <v>0.94493629999999995</v>
      </c>
      <c r="AB7694">
        <v>22</v>
      </c>
      <c r="AC7694">
        <v>-8.6473999999999993</v>
      </c>
      <c r="AD7694">
        <v>-1.1123045599770001</v>
      </c>
      <c r="AE7694">
        <v>-5.9148000000000103</v>
      </c>
      <c r="AF7694">
        <v>-3.45555664195021</v>
      </c>
      <c r="AG7694">
        <v>-1.1123045599770001</v>
      </c>
      <c r="AH7694">
        <v>9.7666928071755592</v>
      </c>
      <c r="AI7694">
        <v>96.128116405843997</v>
      </c>
      <c r="AJ7694">
        <v>109.484304543514</v>
      </c>
      <c r="AK7694">
        <v>10.4195192561656</v>
      </c>
      <c r="AL7694">
        <v>87.1996324283066</v>
      </c>
      <c r="AM7694">
        <v>99.790491046740399</v>
      </c>
      <c r="AN7694">
        <v>1.00000005174647</v>
      </c>
    </row>
    <row r="7695" spans="1:40" x14ac:dyDescent="0.25">
      <c r="A7695" t="str">
        <f>"20190312150842729"</f>
        <v>20190312150842729</v>
      </c>
      <c r="B7695" t="str">
        <f>"1552374522717822"</f>
        <v>1552374522717822</v>
      </c>
      <c r="C7695" t="s">
        <v>40</v>
      </c>
      <c r="D7695">
        <v>4.0599259999999999</v>
      </c>
      <c r="E7695">
        <v>0.45625569999999999</v>
      </c>
      <c r="F7695" t="s">
        <v>77</v>
      </c>
      <c r="G7695">
        <v>-410.97550000000001</v>
      </c>
      <c r="H7695" s="1">
        <v>-6.5083559999999999E-6</v>
      </c>
      <c r="I7695">
        <v>130.2576</v>
      </c>
      <c r="J7695">
        <v>-402.33069999999998</v>
      </c>
      <c r="K7695">
        <v>1.112357</v>
      </c>
      <c r="L7695">
        <v>136.20939999999999</v>
      </c>
      <c r="M7695">
        <v>-0.96537729999999999</v>
      </c>
      <c r="N7695">
        <v>0</v>
      </c>
      <c r="O7695">
        <v>-0.26070490000000002</v>
      </c>
      <c r="P7695">
        <v>-0.90660209999999997</v>
      </c>
      <c r="Q7695">
        <v>4.080342E-2</v>
      </c>
      <c r="R7695">
        <v>-0.42000989999999999</v>
      </c>
      <c r="S7695">
        <v>-2.529633</v>
      </c>
      <c r="T7695">
        <v>-0.31778840000000003</v>
      </c>
      <c r="U7695">
        <v>-1.71765099999999</v>
      </c>
      <c r="V7695">
        <v>-0.16940169999999999</v>
      </c>
      <c r="W7695">
        <v>4.8629480000000003E-2</v>
      </c>
      <c r="X7695">
        <v>0.98434659999999996</v>
      </c>
      <c r="Y7695">
        <v>-0.32626840000000001</v>
      </c>
      <c r="Z7695">
        <v>1.023919E-2</v>
      </c>
      <c r="AA7695">
        <v>0.94522169999999905</v>
      </c>
      <c r="AB7695">
        <v>22</v>
      </c>
      <c r="AC7695">
        <v>-8.6448000000000302</v>
      </c>
      <c r="AD7695">
        <v>-1.112363508356</v>
      </c>
      <c r="AE7695">
        <v>-5.9517999999999898</v>
      </c>
      <c r="AF7695">
        <v>-3.4533396671901602</v>
      </c>
      <c r="AG7695">
        <v>-1.112363508356</v>
      </c>
      <c r="AH7695">
        <v>9.7876100657049907</v>
      </c>
      <c r="AI7695">
        <v>96.117314411295496</v>
      </c>
      <c r="AJ7695">
        <v>109.434251628536</v>
      </c>
      <c r="AK7695">
        <v>10.4384011337944</v>
      </c>
      <c r="AL7695">
        <v>87.212636681817699</v>
      </c>
      <c r="AM7695">
        <v>99.764700210620006</v>
      </c>
      <c r="AN7695">
        <v>0.99999999560976005</v>
      </c>
    </row>
    <row r="7696" spans="1:40" x14ac:dyDescent="0.25">
      <c r="A7696" t="str">
        <f>"20190312150842751"</f>
        <v>20190312150842751</v>
      </c>
      <c r="B7696" t="str">
        <f>"1552374522748082"</f>
        <v>1552374522748082</v>
      </c>
      <c r="C7696" t="s">
        <v>40</v>
      </c>
      <c r="D7696">
        <v>4.2866080000000002</v>
      </c>
      <c r="E7696">
        <v>0.45796179999999997</v>
      </c>
      <c r="F7696" t="s">
        <v>77</v>
      </c>
      <c r="G7696">
        <v>-415.84320000000002</v>
      </c>
      <c r="H7696" s="1">
        <v>-5.0595910000000002E-6</v>
      </c>
      <c r="I7696">
        <v>127.84010000000001</v>
      </c>
      <c r="J7696">
        <v>-402.5412</v>
      </c>
      <c r="K7696">
        <v>1.1124149999999999</v>
      </c>
      <c r="L7696">
        <v>136.14779999999999</v>
      </c>
      <c r="M7696">
        <v>-0.9643195</v>
      </c>
      <c r="N7696">
        <v>0</v>
      </c>
      <c r="O7696">
        <v>-0.26458939999999997</v>
      </c>
      <c r="P7696">
        <v>-0.90521929999999995</v>
      </c>
      <c r="Q7696">
        <v>4.0350080000000003E-2</v>
      </c>
      <c r="R7696">
        <v>-0.42302519999999999</v>
      </c>
      <c r="S7696">
        <v>-2.5787049999999998</v>
      </c>
      <c r="T7696">
        <v>-0.2122802</v>
      </c>
      <c r="U7696">
        <v>-1.5971679999999999</v>
      </c>
      <c r="V7696">
        <v>-0.16871340000000001</v>
      </c>
      <c r="W7696">
        <v>4.8192260000000001E-2</v>
      </c>
      <c r="X7696">
        <v>0.98448630000000004</v>
      </c>
      <c r="Y7696">
        <v>-0.28278199999999998</v>
      </c>
      <c r="Z7696">
        <v>8.7653169999999999E-3</v>
      </c>
      <c r="AA7696">
        <v>0.9591442</v>
      </c>
      <c r="AB7696">
        <v>22</v>
      </c>
      <c r="AC7696">
        <v>-13.302</v>
      </c>
      <c r="AD7696">
        <v>-1.1124200595910001</v>
      </c>
      <c r="AE7696">
        <v>-8.3076999999999792</v>
      </c>
      <c r="AF7696">
        <v>-4.4694029379631299</v>
      </c>
      <c r="AG7696">
        <v>-1.1124200595910001</v>
      </c>
      <c r="AH7696">
        <v>14.950890186377499</v>
      </c>
      <c r="AI7696">
        <v>94.077591501345495</v>
      </c>
      <c r="AJ7696">
        <v>106.643452260199</v>
      </c>
      <c r="AK7696">
        <v>15.644237225763799</v>
      </c>
      <c r="AL7696">
        <v>87.237716934000801</v>
      </c>
      <c r="AM7696">
        <v>99.724430532913203</v>
      </c>
      <c r="AN7696">
        <v>0.99999999007557805</v>
      </c>
    </row>
    <row r="7697" spans="1:40" x14ac:dyDescent="0.25">
      <c r="A7697" t="str">
        <f>"20190312150842774"</f>
        <v>20190312150842774</v>
      </c>
      <c r="B7697" t="str">
        <f>"1552374522767603"</f>
        <v>1552374522767603</v>
      </c>
      <c r="C7697" t="s">
        <v>40</v>
      </c>
      <c r="D7697">
        <v>4.0648369999999998</v>
      </c>
      <c r="E7697">
        <v>0.45824389999999998</v>
      </c>
      <c r="F7697" t="s">
        <v>77</v>
      </c>
      <c r="G7697">
        <v>-417.89069999999998</v>
      </c>
      <c r="H7697" s="1">
        <v>-4.3456969999999999E-6</v>
      </c>
      <c r="I7697">
        <v>126.67230000000001</v>
      </c>
      <c r="J7697">
        <v>-402.75259999999997</v>
      </c>
      <c r="K7697">
        <v>1.1124700000000001</v>
      </c>
      <c r="L7697">
        <v>136.08500000000001</v>
      </c>
      <c r="M7697">
        <v>-0.96321520000000005</v>
      </c>
      <c r="N7697">
        <v>0</v>
      </c>
      <c r="O7697">
        <v>-0.26858009999999999</v>
      </c>
      <c r="P7697">
        <v>-0.90365379999999995</v>
      </c>
      <c r="Q7697">
        <v>3.9654929999999998E-2</v>
      </c>
      <c r="R7697">
        <v>-0.42642409999999997</v>
      </c>
      <c r="S7697">
        <v>-2.5786129999999998</v>
      </c>
      <c r="T7697">
        <v>-0.1868792</v>
      </c>
      <c r="U7697">
        <v>-1.5918270000000001</v>
      </c>
      <c r="V7697">
        <v>-0.16833210000000001</v>
      </c>
      <c r="W7697">
        <v>4.7507819999999999E-2</v>
      </c>
      <c r="X7697">
        <v>0.98458489999999999</v>
      </c>
      <c r="Y7697">
        <v>-0.27741290000000002</v>
      </c>
      <c r="Z7697">
        <v>8.1510339999999997E-3</v>
      </c>
      <c r="AA7697">
        <v>0.96071620000000002</v>
      </c>
      <c r="AB7697">
        <v>22</v>
      </c>
      <c r="AC7697">
        <v>-15.1381</v>
      </c>
      <c r="AD7697">
        <v>-1.1124743456970001</v>
      </c>
      <c r="AE7697">
        <v>-9.4126999999999992</v>
      </c>
      <c r="AF7697">
        <v>-4.9814648085681403</v>
      </c>
      <c r="AG7697">
        <v>-1.1124743456970001</v>
      </c>
      <c r="AH7697">
        <v>17.043626040402099</v>
      </c>
      <c r="AI7697">
        <v>93.584951369043097</v>
      </c>
      <c r="AJ7697">
        <v>106.292442570977</v>
      </c>
      <c r="AK7697">
        <v>17.7915086323198</v>
      </c>
      <c r="AL7697">
        <v>87.276977612774502</v>
      </c>
      <c r="AM7697">
        <v>99.701917907087903</v>
      </c>
      <c r="AN7697">
        <v>1.00000005707978</v>
      </c>
    </row>
    <row r="7698" spans="1:40" x14ac:dyDescent="0.25">
      <c r="A7698" t="str">
        <f>"20190312150842796"</f>
        <v>20190312150842796</v>
      </c>
      <c r="B7698" t="str">
        <f>"1552374522787117"</f>
        <v>1552374522787117</v>
      </c>
      <c r="C7698" t="s">
        <v>40</v>
      </c>
      <c r="D7698">
        <v>4.1764479999999997</v>
      </c>
      <c r="E7698">
        <v>0.45880530000000003</v>
      </c>
      <c r="F7698" t="s">
        <v>77</v>
      </c>
      <c r="G7698">
        <v>-418.79629999999997</v>
      </c>
      <c r="H7698" s="1">
        <v>-4.0102430000000003E-6</v>
      </c>
      <c r="I7698">
        <v>126.11709999999999</v>
      </c>
      <c r="J7698">
        <v>-402.96230000000003</v>
      </c>
      <c r="K7698">
        <v>1.1125419999999999</v>
      </c>
      <c r="L7698">
        <v>136.0215</v>
      </c>
      <c r="M7698">
        <v>-0.96207299999999996</v>
      </c>
      <c r="N7698">
        <v>0</v>
      </c>
      <c r="O7698">
        <v>-0.27264270000000002</v>
      </c>
      <c r="P7698">
        <v>-0.90221370000000001</v>
      </c>
      <c r="Q7698">
        <v>3.9092389999999998E-2</v>
      </c>
      <c r="R7698">
        <v>-0.42951460000000002</v>
      </c>
      <c r="S7698">
        <v>-2.573242</v>
      </c>
      <c r="T7698">
        <v>-0.1784289</v>
      </c>
      <c r="U7698">
        <v>-1.59874</v>
      </c>
      <c r="V7698">
        <v>-0.1675449</v>
      </c>
      <c r="W7698">
        <v>4.6953880000000003E-2</v>
      </c>
      <c r="X7698">
        <v>0.98474569999999995</v>
      </c>
      <c r="Y7698">
        <v>-0.27612890000000001</v>
      </c>
      <c r="Z7698">
        <v>8.0726670000000004E-3</v>
      </c>
      <c r="AA7698">
        <v>0.96108669999999996</v>
      </c>
      <c r="AB7698">
        <v>22</v>
      </c>
      <c r="AC7698">
        <v>-15.8339999999999</v>
      </c>
      <c r="AD7698">
        <v>-1.11254601024299</v>
      </c>
      <c r="AE7698">
        <v>-9.9044000000000096</v>
      </c>
      <c r="AF7698">
        <v>-5.1935145641187601</v>
      </c>
      <c r="AG7698">
        <v>-1.11254601024299</v>
      </c>
      <c r="AH7698">
        <v>17.871141514759699</v>
      </c>
      <c r="AI7698">
        <v>93.421104058972006</v>
      </c>
      <c r="AJ7698">
        <v>106.204340033642</v>
      </c>
      <c r="AK7698">
        <v>18.643713449664101</v>
      </c>
      <c r="AL7698">
        <v>87.308751414133596</v>
      </c>
      <c r="AM7698">
        <v>99.655856312902202</v>
      </c>
      <c r="AN7698">
        <v>1.0000000270157701</v>
      </c>
    </row>
    <row r="7699" spans="1:40" x14ac:dyDescent="0.25">
      <c r="A7699" t="str">
        <f>"20190312150842818"</f>
        <v>20190312150842818</v>
      </c>
      <c r="B7699" t="str">
        <f>"1552374522807614"</f>
        <v>1552374522807614</v>
      </c>
      <c r="C7699" t="s">
        <v>40</v>
      </c>
      <c r="D7699">
        <v>4.0769440000000001</v>
      </c>
      <c r="E7699">
        <v>0.45863609999999999</v>
      </c>
      <c r="F7699" t="s">
        <v>77</v>
      </c>
      <c r="G7699">
        <v>-419.88170000000002</v>
      </c>
      <c r="H7699" s="1">
        <v>-3.6148800000000002E-6</v>
      </c>
      <c r="I7699">
        <v>125.4648</v>
      </c>
      <c r="J7699">
        <v>-403.17259999999999</v>
      </c>
      <c r="K7699">
        <v>1.112625</v>
      </c>
      <c r="L7699">
        <v>135.95689999999999</v>
      </c>
      <c r="M7699">
        <v>-0.96087690000000003</v>
      </c>
      <c r="N7699">
        <v>0</v>
      </c>
      <c r="O7699">
        <v>-0.276827299999999</v>
      </c>
      <c r="P7699">
        <v>-0.90071380000000001</v>
      </c>
      <c r="Q7699">
        <v>3.888059E-2</v>
      </c>
      <c r="R7699">
        <v>-0.43266959999999999</v>
      </c>
      <c r="S7699">
        <v>-2.5693049999999999</v>
      </c>
      <c r="T7699">
        <v>-0.1689464</v>
      </c>
      <c r="U7699">
        <v>-1.6031040000000001</v>
      </c>
      <c r="V7699">
        <v>-0.1667111</v>
      </c>
      <c r="W7699">
        <v>4.6747160000000003E-2</v>
      </c>
      <c r="X7699">
        <v>0.98489700000000002</v>
      </c>
      <c r="Y7699">
        <v>-0.27379150000000002</v>
      </c>
      <c r="Z7699">
        <v>7.9560039999999992E-3</v>
      </c>
      <c r="AA7699">
        <v>0.96175619999999995</v>
      </c>
      <c r="AB7699">
        <v>22</v>
      </c>
      <c r="AC7699">
        <v>-16.709099999999999</v>
      </c>
      <c r="AD7699">
        <v>-1.11262861488</v>
      </c>
      <c r="AE7699">
        <v>-10.492099999999899</v>
      </c>
      <c r="AF7699">
        <v>-5.4390092443960096</v>
      </c>
      <c r="AG7699">
        <v>-1.11262861488</v>
      </c>
      <c r="AH7699">
        <v>18.900561876371501</v>
      </c>
      <c r="AI7699">
        <v>93.237867507692201</v>
      </c>
      <c r="AJ7699">
        <v>106.054215834304</v>
      </c>
      <c r="AK7699">
        <v>19.699035591567</v>
      </c>
      <c r="AL7699">
        <v>87.320608529697594</v>
      </c>
      <c r="AM7699">
        <v>99.607252728365793</v>
      </c>
      <c r="AN7699">
        <v>0.99999999422013697</v>
      </c>
    </row>
    <row r="7700" spans="1:40" x14ac:dyDescent="0.25">
      <c r="A7700" t="str">
        <f>"20190312150842841"</f>
        <v>20190312150842841</v>
      </c>
      <c r="B7700" t="str">
        <f>"1552374522837869"</f>
        <v>1552374522837869</v>
      </c>
      <c r="C7700" t="s">
        <v>40</v>
      </c>
      <c r="D7700">
        <v>4.0621689999999999</v>
      </c>
      <c r="E7700">
        <v>0.45886579999999899</v>
      </c>
      <c r="F7700" t="s">
        <v>77</v>
      </c>
      <c r="G7700">
        <v>-420.30200000000002</v>
      </c>
      <c r="H7700" s="1">
        <v>-3.5389250000000002E-6</v>
      </c>
      <c r="I7700">
        <v>125.1746</v>
      </c>
      <c r="J7700">
        <v>-403.3854</v>
      </c>
      <c r="K7700">
        <v>1.1127199999999999</v>
      </c>
      <c r="L7700">
        <v>135.8903</v>
      </c>
      <c r="M7700">
        <v>-0.95961149999999995</v>
      </c>
      <c r="N7700">
        <v>0</v>
      </c>
      <c r="O7700">
        <v>-0.28118130000000002</v>
      </c>
      <c r="P7700">
        <v>-0.89900590000000002</v>
      </c>
      <c r="Q7700">
        <v>3.8695750000000001E-2</v>
      </c>
      <c r="R7700">
        <v>-0.43622329999999998</v>
      </c>
      <c r="S7700">
        <v>-2.5629270000000002</v>
      </c>
      <c r="T7700">
        <v>-0.16647339999999999</v>
      </c>
      <c r="U7700">
        <v>-1.6132660000000001</v>
      </c>
      <c r="V7700">
        <v>-0.16614189999999901</v>
      </c>
      <c r="W7700">
        <v>4.6560919999999999E-2</v>
      </c>
      <c r="X7700">
        <v>0.98500200000000004</v>
      </c>
      <c r="Y7700">
        <v>-0.27324759999999998</v>
      </c>
      <c r="Z7700">
        <v>8.1037899999999996E-3</v>
      </c>
      <c r="AA7700">
        <v>0.96190960000000003</v>
      </c>
      <c r="AB7700">
        <v>22</v>
      </c>
      <c r="AC7700">
        <v>-16.916599999999899</v>
      </c>
      <c r="AD7700">
        <v>-1.1127235389250001</v>
      </c>
      <c r="AE7700">
        <v>-10.715699999999901</v>
      </c>
      <c r="AF7700">
        <v>-5.5094947223482702</v>
      </c>
      <c r="AG7700">
        <v>-1.1127235389250001</v>
      </c>
      <c r="AH7700">
        <v>19.187969268559101</v>
      </c>
      <c r="AI7700">
        <v>93.190279847887197</v>
      </c>
      <c r="AJ7700">
        <v>106.020506930943</v>
      </c>
      <c r="AK7700">
        <v>19.994270439824199</v>
      </c>
      <c r="AL7700">
        <v>87.331290930099598</v>
      </c>
      <c r="AM7700">
        <v>99.574057322092003</v>
      </c>
      <c r="AN7700">
        <v>0.99999999510542803</v>
      </c>
    </row>
    <row r="7701" spans="1:40" x14ac:dyDescent="0.25">
      <c r="A7701" t="str">
        <f>"20190312150842863"</f>
        <v>20190312150842863</v>
      </c>
      <c r="B7701" t="str">
        <f>"1552374522858005"</f>
        <v>1552374522858005</v>
      </c>
      <c r="C7701" t="s">
        <v>40</v>
      </c>
      <c r="D7701">
        <v>4.2408700000000001</v>
      </c>
      <c r="E7701">
        <v>0.45916069999999998</v>
      </c>
      <c r="F7701" t="s">
        <v>77</v>
      </c>
      <c r="G7701">
        <v>-421.05250000000001</v>
      </c>
      <c r="H7701" s="1">
        <v>-3.4588409999999999E-6</v>
      </c>
      <c r="I7701">
        <v>124.6908</v>
      </c>
      <c r="J7701">
        <v>-403.59949999999998</v>
      </c>
      <c r="K7701">
        <v>1.112814</v>
      </c>
      <c r="L7701">
        <v>135.82210000000001</v>
      </c>
      <c r="M7701">
        <v>-0.95827899999999999</v>
      </c>
      <c r="N7701">
        <v>0</v>
      </c>
      <c r="O7701">
        <v>-0.28568900000000003</v>
      </c>
      <c r="P7701">
        <v>-0.89712209999999903</v>
      </c>
      <c r="Q7701">
        <v>3.8381020000000002E-2</v>
      </c>
      <c r="R7701">
        <v>-0.44011230000000001</v>
      </c>
      <c r="S7701">
        <v>-2.557312</v>
      </c>
      <c r="T7701">
        <v>-0.16106670000000001</v>
      </c>
      <c r="U7701">
        <v>-1.621124</v>
      </c>
      <c r="V7701">
        <v>-0.16578270000000001</v>
      </c>
      <c r="W7701">
        <v>4.624035E-2</v>
      </c>
      <c r="X7701">
        <v>0.9850776</v>
      </c>
      <c r="Y7701">
        <v>-0.27179619999999999</v>
      </c>
      <c r="Z7701">
        <v>8.1310440000000005E-3</v>
      </c>
      <c r="AA7701">
        <v>0.96232050000000002</v>
      </c>
      <c r="AB7701">
        <v>22</v>
      </c>
      <c r="AC7701">
        <v>-17.452999999999999</v>
      </c>
      <c r="AD7701">
        <v>-1.112817458841</v>
      </c>
      <c r="AE7701">
        <v>-11.1313</v>
      </c>
      <c r="AF7701">
        <v>-5.6646268751178503</v>
      </c>
      <c r="AG7701">
        <v>-1.112817458841</v>
      </c>
      <c r="AH7701">
        <v>19.848400960778701</v>
      </c>
      <c r="AI7701">
        <v>93.086011560174001</v>
      </c>
      <c r="AJ7701">
        <v>105.928461344334</v>
      </c>
      <c r="AK7701">
        <v>20.6708824444156</v>
      </c>
      <c r="AL7701">
        <v>87.349677991684104</v>
      </c>
      <c r="AM7701">
        <v>99.553020398305094</v>
      </c>
      <c r="AN7701">
        <v>0.99999997580458599</v>
      </c>
    </row>
    <row r="7702" spans="1:40" x14ac:dyDescent="0.25">
      <c r="A7702" t="str">
        <f>"20190312150842887"</f>
        <v>20190312150842887</v>
      </c>
      <c r="B7702" t="str">
        <f>"1552374522877522"</f>
        <v>1552374522877522</v>
      </c>
      <c r="C7702" t="s">
        <v>40</v>
      </c>
      <c r="D7702">
        <v>4.08392</v>
      </c>
      <c r="E7702">
        <v>0.459345</v>
      </c>
      <c r="F7702" t="s">
        <v>77</v>
      </c>
      <c r="G7702">
        <v>-421.41719999999998</v>
      </c>
      <c r="H7702" s="1">
        <v>-3.4053019999999999E-6</v>
      </c>
      <c r="I7702">
        <v>124.44</v>
      </c>
      <c r="J7702">
        <v>-403.81420000000003</v>
      </c>
      <c r="K7702">
        <v>1.112919</v>
      </c>
      <c r="L7702">
        <v>135.75239999999999</v>
      </c>
      <c r="M7702">
        <v>-0.95687520000000004</v>
      </c>
      <c r="N7702">
        <v>0</v>
      </c>
      <c r="O7702">
        <v>-0.29035490000000003</v>
      </c>
      <c r="P7702">
        <v>-0.8949028</v>
      </c>
      <c r="Q7702">
        <v>3.8165999999999999E-2</v>
      </c>
      <c r="R7702">
        <v>-0.44462629999999997</v>
      </c>
      <c r="S7702">
        <v>-2.5512700000000001</v>
      </c>
      <c r="T7702">
        <v>-0.15934110000000001</v>
      </c>
      <c r="U7702">
        <v>-1.6297759999999999</v>
      </c>
      <c r="V7702">
        <v>-0.16595260000000001</v>
      </c>
      <c r="W7702">
        <v>4.6012659999999997E-2</v>
      </c>
      <c r="X7702">
        <v>0.98505969999999998</v>
      </c>
      <c r="Y7702">
        <v>-0.27046520000000002</v>
      </c>
      <c r="Z7702">
        <v>8.3363389999999999E-3</v>
      </c>
      <c r="AA7702">
        <v>0.96269360000000004</v>
      </c>
      <c r="AB7702">
        <v>22</v>
      </c>
      <c r="AC7702">
        <v>-17.602999999999899</v>
      </c>
      <c r="AD7702">
        <v>-1.1129224053019999</v>
      </c>
      <c r="AE7702">
        <v>-11.312399999999901</v>
      </c>
      <c r="AF7702">
        <v>-5.6975595026618704</v>
      </c>
      <c r="AG7702">
        <v>-1.1129224053019999</v>
      </c>
      <c r="AH7702">
        <v>20.072545877804501</v>
      </c>
      <c r="AI7702">
        <v>93.053143991162699</v>
      </c>
      <c r="AJ7702">
        <v>105.846506968022</v>
      </c>
      <c r="AK7702">
        <v>20.8951639999107</v>
      </c>
      <c r="AL7702">
        <v>87.362737689049894</v>
      </c>
      <c r="AM7702">
        <v>99.562800523096897</v>
      </c>
      <c r="AN7702">
        <v>1.00000002144556</v>
      </c>
    </row>
    <row r="7703" spans="1:40" x14ac:dyDescent="0.25">
      <c r="A7703" t="str">
        <f>"20190312150842908"</f>
        <v>20190312150842908</v>
      </c>
      <c r="B7703" t="str">
        <f>"1552374522898018"</f>
        <v>1552374522898018</v>
      </c>
      <c r="C7703" t="s">
        <v>40</v>
      </c>
      <c r="D7703">
        <v>4.0618379999999998</v>
      </c>
      <c r="E7703">
        <v>0.45956750000000002</v>
      </c>
      <c r="F7703" t="s">
        <v>77</v>
      </c>
      <c r="G7703">
        <v>-421.23270000000002</v>
      </c>
      <c r="H7703" s="1">
        <v>-3.4028240000000001E-6</v>
      </c>
      <c r="I7703">
        <v>124.5103</v>
      </c>
      <c r="J7703">
        <v>-404.02280000000002</v>
      </c>
      <c r="K7703">
        <v>1.1130180000000001</v>
      </c>
      <c r="L7703">
        <v>135.6833</v>
      </c>
      <c r="M7703">
        <v>-0.95544739999999995</v>
      </c>
      <c r="N7703">
        <v>0</v>
      </c>
      <c r="O7703">
        <v>-0.29501860000000002</v>
      </c>
      <c r="P7703">
        <v>-0.89266089999999998</v>
      </c>
      <c r="Q7703">
        <v>3.8433839999999997E-2</v>
      </c>
      <c r="R7703">
        <v>-0.44908769999999998</v>
      </c>
      <c r="S7703">
        <v>-2.5436100000000001</v>
      </c>
      <c r="T7703">
        <v>-0.16251969999999999</v>
      </c>
      <c r="U7703">
        <v>-1.641678</v>
      </c>
      <c r="V7703">
        <v>-0.16608120000000001</v>
      </c>
      <c r="W7703">
        <v>4.6267500000000003E-2</v>
      </c>
      <c r="X7703">
        <v>0.98502610000000002</v>
      </c>
      <c r="Y7703">
        <v>-0.270277299999999</v>
      </c>
      <c r="Z7703">
        <v>8.7682339999999998E-3</v>
      </c>
      <c r="AA7703">
        <v>0.9627426</v>
      </c>
      <c r="AB7703">
        <v>22</v>
      </c>
      <c r="AC7703">
        <v>-17.209900000000001</v>
      </c>
      <c r="AD7703">
        <v>-1.113021402824</v>
      </c>
      <c r="AE7703">
        <v>-11.173</v>
      </c>
      <c r="AF7703">
        <v>-5.5817850661562902</v>
      </c>
      <c r="AG7703">
        <v>-1.113021402824</v>
      </c>
      <c r="AH7703">
        <v>19.682314952512002</v>
      </c>
      <c r="AI7703">
        <v>93.114043183147402</v>
      </c>
      <c r="AJ7703">
        <v>105.833014576789</v>
      </c>
      <c r="AK7703">
        <v>20.488744789708001</v>
      </c>
      <c r="AL7703">
        <v>87.348120893969806</v>
      </c>
      <c r="AM7703">
        <v>99.570394324591902</v>
      </c>
      <c r="AN7703">
        <v>1.0000000321154401</v>
      </c>
    </row>
    <row r="7704" spans="1:40" x14ac:dyDescent="0.25">
      <c r="A7704" t="str">
        <f>"20190312150842930"</f>
        <v>20190312150842930</v>
      </c>
      <c r="B7704" t="str">
        <f>"1552374522927300"</f>
        <v>1552374522927300</v>
      </c>
      <c r="C7704" t="s">
        <v>40</v>
      </c>
      <c r="D7704">
        <v>4.0532539999999999</v>
      </c>
      <c r="E7704">
        <v>0.46000780000000002</v>
      </c>
      <c r="F7704" t="s">
        <v>77</v>
      </c>
      <c r="G7704">
        <v>-421.18790000000001</v>
      </c>
      <c r="H7704" s="1">
        <v>-3.3854919999999998E-6</v>
      </c>
      <c r="I7704">
        <v>124.4967</v>
      </c>
      <c r="J7704">
        <v>-404.2321</v>
      </c>
      <c r="K7704">
        <v>1.1131</v>
      </c>
      <c r="L7704">
        <v>135.61279999999999</v>
      </c>
      <c r="M7704">
        <v>-0.953955</v>
      </c>
      <c r="N7704">
        <v>0</v>
      </c>
      <c r="O7704">
        <v>-0.29980820000000002</v>
      </c>
      <c r="P7704">
        <v>-0.89027230000000002</v>
      </c>
      <c r="Q7704">
        <v>3.8619220000000003E-2</v>
      </c>
      <c r="R7704">
        <v>-0.45378809999999897</v>
      </c>
      <c r="S7704">
        <v>-2.5362550000000001</v>
      </c>
      <c r="T7704">
        <v>-0.16445609999999999</v>
      </c>
      <c r="U7704">
        <v>-1.6528929999999999</v>
      </c>
      <c r="V7704">
        <v>-0.16634760000000001</v>
      </c>
      <c r="W7704">
        <v>4.6442310000000001E-2</v>
      </c>
      <c r="X7704">
        <v>0.98497290000000004</v>
      </c>
      <c r="Y7704">
        <v>-0.26971970000000001</v>
      </c>
      <c r="Z7704">
        <v>9.1591499999999996E-3</v>
      </c>
      <c r="AA7704">
        <v>0.96289530000000001</v>
      </c>
      <c r="AB7704">
        <v>23</v>
      </c>
      <c r="AC7704">
        <v>-16.9558</v>
      </c>
      <c r="AD7704">
        <v>-1.1131033854920001</v>
      </c>
      <c r="AE7704">
        <v>-11.1160999999999</v>
      </c>
      <c r="AF7704">
        <v>-5.5044147813973199</v>
      </c>
      <c r="AG7704">
        <v>-1.1131033854920001</v>
      </c>
      <c r="AH7704">
        <v>19.449972006172601</v>
      </c>
      <c r="AI7704">
        <v>93.151886451750798</v>
      </c>
      <c r="AJ7704">
        <v>105.801711356463</v>
      </c>
      <c r="AK7704">
        <v>20.244480538491398</v>
      </c>
      <c r="AL7704">
        <v>87.338094189718504</v>
      </c>
      <c r="AM7704">
        <v>99.585969068960495</v>
      </c>
      <c r="AN7704">
        <v>1.00000001295915</v>
      </c>
    </row>
    <row r="7705" spans="1:40" x14ac:dyDescent="0.25">
      <c r="A7705" t="str">
        <f>"20190312150842953"</f>
        <v>20190312150842953</v>
      </c>
      <c r="B7705" t="str">
        <f>"1552374522947794"</f>
        <v>1552374522947794</v>
      </c>
      <c r="C7705" t="s">
        <v>40</v>
      </c>
      <c r="D7705">
        <v>4.0672420000000002</v>
      </c>
      <c r="E7705">
        <v>0.46024999999999999</v>
      </c>
      <c r="F7705" t="s">
        <v>77</v>
      </c>
      <c r="G7705">
        <v>-421.68279999999999</v>
      </c>
      <c r="H7705" s="1">
        <v>-3.2998499999999998E-6</v>
      </c>
      <c r="I7705">
        <v>124.1395</v>
      </c>
      <c r="J7705">
        <v>-404.4452</v>
      </c>
      <c r="K7705">
        <v>1.1131789999999999</v>
      </c>
      <c r="L7705">
        <v>135.53960000000001</v>
      </c>
      <c r="M7705">
        <v>-0.95237459999999996</v>
      </c>
      <c r="N7705">
        <v>0</v>
      </c>
      <c r="O7705">
        <v>-0.30479000000000001</v>
      </c>
      <c r="P7705">
        <v>-0.88773139999999995</v>
      </c>
      <c r="Q7705">
        <v>3.881238E-2</v>
      </c>
      <c r="R7705">
        <v>-0.45872269999999998</v>
      </c>
      <c r="S7705">
        <v>-2.5291440000000001</v>
      </c>
      <c r="T7705">
        <v>-0.16132279999999999</v>
      </c>
      <c r="U7705">
        <v>-1.6628270000000001</v>
      </c>
      <c r="V7705">
        <v>-0.1666791</v>
      </c>
      <c r="W7705">
        <v>4.6627130000000003E-2</v>
      </c>
      <c r="X7705">
        <v>0.98490809999999995</v>
      </c>
      <c r="Y7705">
        <v>-0.26857579999999998</v>
      </c>
      <c r="Z7705">
        <v>9.2939860000000006E-3</v>
      </c>
      <c r="AA7705">
        <v>0.96321369999999895</v>
      </c>
      <c r="AB7705">
        <v>23</v>
      </c>
      <c r="AC7705">
        <v>-17.237599999999901</v>
      </c>
      <c r="AD7705">
        <v>-1.1131822998500001</v>
      </c>
      <c r="AE7705">
        <v>-11.4001</v>
      </c>
      <c r="AF7705">
        <v>-5.5873465624582996</v>
      </c>
      <c r="AG7705">
        <v>-1.1131822998500001</v>
      </c>
      <c r="AH7705">
        <v>19.8345931872697</v>
      </c>
      <c r="AI7705">
        <v>93.092159604446095</v>
      </c>
      <c r="AJ7705">
        <v>105.73237201221301</v>
      </c>
      <c r="AK7705">
        <v>20.636586523604102</v>
      </c>
      <c r="AL7705">
        <v>87.327493234326894</v>
      </c>
      <c r="AM7705">
        <v>99.605336752518696</v>
      </c>
      <c r="AN7705">
        <v>0.99999998853722805</v>
      </c>
    </row>
    <row r="7706" spans="1:40" x14ac:dyDescent="0.25">
      <c r="A7706" t="str">
        <f>"20190312150842975"</f>
        <v>20190312150842975</v>
      </c>
      <c r="B7706" t="str">
        <f>"1552374522967876"</f>
        <v>1552374522967876</v>
      </c>
      <c r="C7706" t="s">
        <v>40</v>
      </c>
      <c r="D7706">
        <v>4.0666140000000004</v>
      </c>
      <c r="E7706">
        <v>0.46055679999999999</v>
      </c>
      <c r="F7706" t="s">
        <v>77</v>
      </c>
      <c r="G7706">
        <v>-422.00420000000003</v>
      </c>
      <c r="H7706" s="1">
        <v>-3.2236369999999999E-6</v>
      </c>
      <c r="I7706">
        <v>123.8699</v>
      </c>
      <c r="J7706">
        <v>-404.66090000000003</v>
      </c>
      <c r="K7706">
        <v>1.113262</v>
      </c>
      <c r="L7706">
        <v>135.46420000000001</v>
      </c>
      <c r="M7706">
        <v>-0.95070929999999998</v>
      </c>
      <c r="N7706">
        <v>0</v>
      </c>
      <c r="O7706">
        <v>-0.30994460000000001</v>
      </c>
      <c r="P7706">
        <v>-0.88503750000000003</v>
      </c>
      <c r="Q7706">
        <v>3.8737359999999998E-2</v>
      </c>
      <c r="R7706">
        <v>-0.46390550000000003</v>
      </c>
      <c r="S7706">
        <v>-2.520721</v>
      </c>
      <c r="T7706">
        <v>-0.15980549999999999</v>
      </c>
      <c r="U7706">
        <v>-1.6752779999999901</v>
      </c>
      <c r="V7706">
        <v>-0.16710949999999999</v>
      </c>
      <c r="W7706">
        <v>4.6548529999999998E-2</v>
      </c>
      <c r="X7706">
        <v>0.98483889999999996</v>
      </c>
      <c r="Y7706">
        <v>-0.26814769999999999</v>
      </c>
      <c r="Z7706">
        <v>9.5025060000000008E-3</v>
      </c>
      <c r="AA7706">
        <v>0.96333100000000005</v>
      </c>
      <c r="AB7706">
        <v>23</v>
      </c>
      <c r="AC7706">
        <v>-17.343299999999999</v>
      </c>
      <c r="AD7706">
        <v>-1.113265223637</v>
      </c>
      <c r="AE7706">
        <v>-11.5943</v>
      </c>
      <c r="AF7706">
        <v>-5.6315531533513301</v>
      </c>
      <c r="AG7706">
        <v>-1.113265223637</v>
      </c>
      <c r="AH7706">
        <v>20.025865408741101</v>
      </c>
      <c r="AI7706">
        <v>93.063294974003099</v>
      </c>
      <c r="AJ7706">
        <v>105.706724872351</v>
      </c>
      <c r="AK7706">
        <v>20.832403503825301</v>
      </c>
      <c r="AL7706">
        <v>87.332001621225103</v>
      </c>
      <c r="AM7706">
        <v>99.630339817121794</v>
      </c>
      <c r="AN7706">
        <v>1.0000000047943101</v>
      </c>
    </row>
    <row r="7707" spans="1:40" x14ac:dyDescent="0.25">
      <c r="A7707" t="str">
        <f>"20190312150842998"</f>
        <v>20190312150842998</v>
      </c>
      <c r="B7707" t="str">
        <f>"1552374522987397"</f>
        <v>1552374522987397</v>
      </c>
      <c r="C7707" t="s">
        <v>40</v>
      </c>
      <c r="D7707">
        <v>4.0853089999999996</v>
      </c>
      <c r="E7707">
        <v>0.4608952</v>
      </c>
      <c r="F7707" t="s">
        <v>77</v>
      </c>
      <c r="G7707">
        <v>-421.99959999999999</v>
      </c>
      <c r="H7707" s="1">
        <v>-3.1951149999999999E-6</v>
      </c>
      <c r="I7707">
        <v>123.81959999999999</v>
      </c>
      <c r="J7707">
        <v>-404.8664</v>
      </c>
      <c r="K7707">
        <v>1.1133360000000001</v>
      </c>
      <c r="L7707">
        <v>135.39089999999999</v>
      </c>
      <c r="M7707">
        <v>-0.94906000000000001</v>
      </c>
      <c r="N7707">
        <v>0</v>
      </c>
      <c r="O7707">
        <v>-0.31495759999999901</v>
      </c>
      <c r="P7707">
        <v>-0.88205599999999995</v>
      </c>
      <c r="Q7707">
        <v>3.836647E-2</v>
      </c>
      <c r="R7707">
        <v>-0.46958</v>
      </c>
      <c r="S7707">
        <v>-2.5123600000000001</v>
      </c>
      <c r="T7707">
        <v>-0.16131089999999901</v>
      </c>
      <c r="U7707">
        <v>-1.6872860000000001</v>
      </c>
      <c r="V7707">
        <v>-0.168238</v>
      </c>
      <c r="W7707">
        <v>4.6169849999999998E-2</v>
      </c>
      <c r="X7707">
        <v>0.9846646</v>
      </c>
      <c r="Y7707">
        <v>-0.26772790000000002</v>
      </c>
      <c r="Z7707">
        <v>9.8829699999999996E-3</v>
      </c>
      <c r="AA7707">
        <v>0.96344390000000002</v>
      </c>
      <c r="AB7707">
        <v>23</v>
      </c>
      <c r="AC7707">
        <v>-17.133199999999899</v>
      </c>
      <c r="AD7707">
        <v>-1.113339195115</v>
      </c>
      <c r="AE7707">
        <v>-11.5712999999999</v>
      </c>
      <c r="AF7707">
        <v>-5.56971748436123</v>
      </c>
      <c r="AG7707">
        <v>-1.113339195115</v>
      </c>
      <c r="AH7707">
        <v>19.848210664319499</v>
      </c>
      <c r="AI7707">
        <v>93.091346204899693</v>
      </c>
      <c r="AJ7707">
        <v>105.674948114998</v>
      </c>
      <c r="AK7707">
        <v>20.644920527679101</v>
      </c>
      <c r="AL7707">
        <v>87.353721798804798</v>
      </c>
      <c r="AM7707">
        <v>99.695827437183397</v>
      </c>
      <c r="AN7707">
        <v>1.00000002709309</v>
      </c>
    </row>
    <row r="7708" spans="1:40" x14ac:dyDescent="0.25">
      <c r="A7708" t="str">
        <f>"20190312150843020"</f>
        <v>20190312150843020</v>
      </c>
      <c r="B7708" t="str">
        <f>"1552374523007892"</f>
        <v>1552374523007892</v>
      </c>
      <c r="C7708" t="s">
        <v>40</v>
      </c>
      <c r="D7708">
        <v>4.1485450000000004</v>
      </c>
      <c r="E7708">
        <v>0.46134710000000001</v>
      </c>
      <c r="F7708" t="s">
        <v>77</v>
      </c>
      <c r="G7708">
        <v>-421.66840000000002</v>
      </c>
      <c r="H7708" s="1">
        <v>-3.2042039999999999E-6</v>
      </c>
      <c r="I7708">
        <v>123.9705</v>
      </c>
      <c r="J7708">
        <v>-405.07850000000002</v>
      </c>
      <c r="K7708">
        <v>1.1134219999999999</v>
      </c>
      <c r="L7708">
        <v>135.31399999999999</v>
      </c>
      <c r="M7708">
        <v>-0.94729350000000001</v>
      </c>
      <c r="N7708">
        <v>0</v>
      </c>
      <c r="O7708">
        <v>-0.32023059999999998</v>
      </c>
      <c r="P7708">
        <v>-0.87919449999999999</v>
      </c>
      <c r="Q7708">
        <v>3.7468609999999999E-2</v>
      </c>
      <c r="R7708">
        <v>-0.47498780000000002</v>
      </c>
      <c r="S7708">
        <v>-2.5027469999999998</v>
      </c>
      <c r="T7708">
        <v>-0.16583789999999901</v>
      </c>
      <c r="U7708">
        <v>-1.701141</v>
      </c>
      <c r="V7708">
        <v>-0.16879849999999999</v>
      </c>
      <c r="W7708">
        <v>4.52691E-2</v>
      </c>
      <c r="X7708">
        <v>0.98461050000000006</v>
      </c>
      <c r="Y7708">
        <v>-0.26774789999999998</v>
      </c>
      <c r="Z7708">
        <v>1.0461939999999999E-2</v>
      </c>
      <c r="AA7708">
        <v>0.96343219999999996</v>
      </c>
      <c r="AB7708">
        <v>23</v>
      </c>
      <c r="AC7708">
        <v>-16.5899</v>
      </c>
      <c r="AD7708">
        <v>-1.11342520420399</v>
      </c>
      <c r="AE7708">
        <v>-11.343499999999899</v>
      </c>
      <c r="AF7708">
        <v>-5.41664194257734</v>
      </c>
      <c r="AG7708">
        <v>-1.11342520420399</v>
      </c>
      <c r="AH7708">
        <v>19.289678634824501</v>
      </c>
      <c r="AI7708">
        <v>93.180763441009503</v>
      </c>
      <c r="AJ7708">
        <v>105.685017730018</v>
      </c>
      <c r="AK7708">
        <v>20.0666745489692</v>
      </c>
      <c r="AL7708">
        <v>87.405385005620403</v>
      </c>
      <c r="AM7708">
        <v>99.728038059109707</v>
      </c>
      <c r="AN7708">
        <v>1.0000000308636501</v>
      </c>
    </row>
    <row r="7709" spans="1:40" x14ac:dyDescent="0.25">
      <c r="A7709" t="str">
        <f>"20190312150843043"</f>
        <v>20190312150843043</v>
      </c>
      <c r="B7709" t="str">
        <f>"1552374523037172"</f>
        <v>1552374523037172</v>
      </c>
      <c r="C7709" t="s">
        <v>40</v>
      </c>
      <c r="D7709">
        <v>4.2077289999999996</v>
      </c>
      <c r="E7709">
        <v>0.46205370000000001</v>
      </c>
      <c r="F7709" t="s">
        <v>77</v>
      </c>
      <c r="G7709">
        <v>-421.37180000000001</v>
      </c>
      <c r="H7709" s="1">
        <v>-3.222751E-6</v>
      </c>
      <c r="I7709">
        <v>124.1246</v>
      </c>
      <c r="J7709">
        <v>-405.29250000000002</v>
      </c>
      <c r="K7709">
        <v>1.1135060000000001</v>
      </c>
      <c r="L7709">
        <v>135.23490000000001</v>
      </c>
      <c r="M7709">
        <v>-0.94544059999999996</v>
      </c>
      <c r="N7709">
        <v>0</v>
      </c>
      <c r="O7709">
        <v>-0.32565929999999998</v>
      </c>
      <c r="P7709">
        <v>-0.87643839999999995</v>
      </c>
      <c r="Q7709">
        <v>3.7123129999999997E-2</v>
      </c>
      <c r="R7709">
        <v>-0.48008129999999999</v>
      </c>
      <c r="S7709">
        <v>-2.4941409999999999</v>
      </c>
      <c r="T7709">
        <v>-0.17044000000000001</v>
      </c>
      <c r="U7709">
        <v>-1.712845</v>
      </c>
      <c r="V7709">
        <v>-0.16886499999999999</v>
      </c>
      <c r="W7709">
        <v>4.4922799999999999E-2</v>
      </c>
      <c r="X7709">
        <v>0.98461489999999996</v>
      </c>
      <c r="Y7709">
        <v>-0.26685579999999998</v>
      </c>
      <c r="Z7709">
        <v>1.109838E-2</v>
      </c>
      <c r="AA7709">
        <v>0.96367259999999999</v>
      </c>
      <c r="AB7709">
        <v>23</v>
      </c>
      <c r="AC7709">
        <v>-16.0792999999999</v>
      </c>
      <c r="AD7709">
        <v>-1.1135092227509999</v>
      </c>
      <c r="AE7709">
        <v>-11.110300000000001</v>
      </c>
      <c r="AF7709">
        <v>-5.25094277227294</v>
      </c>
      <c r="AG7709">
        <v>-1.1135092227509999</v>
      </c>
      <c r="AH7709">
        <v>18.7601298238298</v>
      </c>
      <c r="AI7709">
        <v>93.271370724286996</v>
      </c>
      <c r="AJ7709">
        <v>105.636883533915</v>
      </c>
      <c r="AK7709">
        <v>19.512938625275901</v>
      </c>
      <c r="AL7709">
        <v>87.425246592516004</v>
      </c>
      <c r="AM7709">
        <v>99.7317545957155</v>
      </c>
      <c r="AN7709">
        <v>0.99999997374342398</v>
      </c>
    </row>
    <row r="7710" spans="1:40" x14ac:dyDescent="0.25">
      <c r="A7710" t="str">
        <f>"20190312150843059"</f>
        <v>20190312150843059</v>
      </c>
      <c r="B7710" t="str">
        <f>"1552374523047908"</f>
        <v>1552374523047908</v>
      </c>
      <c r="C7710" t="s">
        <v>40</v>
      </c>
      <c r="D7710">
        <v>4.0878629999999996</v>
      </c>
      <c r="E7710">
        <v>0.46227819999999997</v>
      </c>
      <c r="F7710" t="s">
        <v>77</v>
      </c>
      <c r="G7710">
        <v>-421.40600000000001</v>
      </c>
      <c r="H7710" s="1">
        <v>-3.2017510000000001E-6</v>
      </c>
      <c r="I7710">
        <v>124.0724</v>
      </c>
      <c r="J7710">
        <v>-405.45420000000001</v>
      </c>
      <c r="K7710">
        <v>1.1135740000000001</v>
      </c>
      <c r="L7710">
        <v>135.17410000000001</v>
      </c>
      <c r="M7710">
        <v>-0.94399010000000005</v>
      </c>
      <c r="N7710">
        <v>0</v>
      </c>
      <c r="O7710">
        <v>-0.32984000000000002</v>
      </c>
      <c r="P7710">
        <v>-0.87434129999999999</v>
      </c>
      <c r="Q7710">
        <v>3.7099279999999998E-2</v>
      </c>
      <c r="R7710">
        <v>-0.48389189999999999</v>
      </c>
      <c r="S7710">
        <v>-2.4866640000000002</v>
      </c>
      <c r="T7710">
        <v>-0.17183860000000001</v>
      </c>
      <c r="U7710">
        <v>-1.72262599999999</v>
      </c>
      <c r="V7710">
        <v>-0.168800799999999</v>
      </c>
      <c r="W7710">
        <v>4.4898019999999997E-2</v>
      </c>
      <c r="X7710">
        <v>0.98462709999999998</v>
      </c>
      <c r="Y7710">
        <v>-0.26651540000000001</v>
      </c>
      <c r="Z7710">
        <v>1.1449600000000001E-2</v>
      </c>
      <c r="AA7710">
        <v>0.96376260000000002</v>
      </c>
      <c r="AB7710">
        <v>23</v>
      </c>
      <c r="AC7710">
        <v>-15.951799999999899</v>
      </c>
      <c r="AD7710">
        <v>-1.1135772017509999</v>
      </c>
      <c r="AE7710">
        <v>-11.101699999999999</v>
      </c>
      <c r="AF7710">
        <v>-5.2015064014842096</v>
      </c>
      <c r="AG7710">
        <v>-1.1135772017509999</v>
      </c>
      <c r="AH7710">
        <v>18.659690494674901</v>
      </c>
      <c r="AI7710">
        <v>93.290113214241998</v>
      </c>
      <c r="AJ7710">
        <v>105.576147255828</v>
      </c>
      <c r="AK7710">
        <v>19.403086671609799</v>
      </c>
      <c r="AL7710">
        <v>87.426667971553698</v>
      </c>
      <c r="AM7710">
        <v>99.728007202723106</v>
      </c>
      <c r="AN7710">
        <v>1.00000003416748</v>
      </c>
    </row>
    <row r="7711" spans="1:40" x14ac:dyDescent="0.25">
      <c r="A7711" t="str">
        <f>"20190312150843077"</f>
        <v>20190312150843077</v>
      </c>
      <c r="B7711" t="str">
        <f>"1552374523067434"</f>
        <v>1552374523067434</v>
      </c>
      <c r="C7711" t="s">
        <v>40</v>
      </c>
      <c r="D7711">
        <v>4.0985379999999996</v>
      </c>
      <c r="E7711">
        <v>0.46275699999999997</v>
      </c>
      <c r="F7711" t="s">
        <v>77</v>
      </c>
      <c r="G7711">
        <v>-421.4434</v>
      </c>
      <c r="H7711" s="1">
        <v>-3.1752059999999999E-6</v>
      </c>
      <c r="I7711">
        <v>124.0087</v>
      </c>
      <c r="J7711">
        <v>-405.61219999999997</v>
      </c>
      <c r="K7711">
        <v>1.113637</v>
      </c>
      <c r="L7711">
        <v>135.11369999999999</v>
      </c>
      <c r="M7711">
        <v>-0.9425325</v>
      </c>
      <c r="N7711">
        <v>0</v>
      </c>
      <c r="O7711">
        <v>-0.33398149999999999</v>
      </c>
      <c r="P7711">
        <v>-0.87221059999999995</v>
      </c>
      <c r="Q7711">
        <v>3.7191660000000001E-2</v>
      </c>
      <c r="R7711">
        <v>-0.48771490000000001</v>
      </c>
      <c r="S7711">
        <v>-2.4800110000000002</v>
      </c>
      <c r="T7711">
        <v>-0.17272199999999999</v>
      </c>
      <c r="U7711">
        <v>-1.7318119999999999</v>
      </c>
      <c r="V7711">
        <v>-0.16879729999999901</v>
      </c>
      <c r="W7711">
        <v>4.4989960000000002E-2</v>
      </c>
      <c r="X7711">
        <v>0.98462340000000004</v>
      </c>
      <c r="Y7711">
        <v>-0.26590409999999998</v>
      </c>
      <c r="Z7711">
        <v>1.1774069999999999E-2</v>
      </c>
      <c r="AA7711">
        <v>0.9639276</v>
      </c>
      <c r="AB7711">
        <v>23</v>
      </c>
      <c r="AC7711">
        <v>-15.831200000000001</v>
      </c>
      <c r="AD7711">
        <v>-1.1136401752059999</v>
      </c>
      <c r="AE7711">
        <v>-11.104999999999899</v>
      </c>
      <c r="AF7711">
        <v>-5.1626038660209899</v>
      </c>
      <c r="AG7711">
        <v>-1.1136401752059999</v>
      </c>
      <c r="AH7711">
        <v>18.569527075844601</v>
      </c>
      <c r="AI7711">
        <v>93.306871423897704</v>
      </c>
      <c r="AJ7711">
        <v>105.536719253385</v>
      </c>
      <c r="AK7711">
        <v>19.305957861184101</v>
      </c>
      <c r="AL7711">
        <v>87.421394606762604</v>
      </c>
      <c r="AM7711">
        <v>99.727845207895299</v>
      </c>
      <c r="AN7711">
        <v>0.99999993240782303</v>
      </c>
    </row>
    <row r="7712" spans="1:40" x14ac:dyDescent="0.25">
      <c r="A7712" t="str">
        <f>"20190312150843098"</f>
        <v>20190312150843098</v>
      </c>
      <c r="B7712" t="str">
        <f>"1552374523087930"</f>
        <v>1552374523087930</v>
      </c>
      <c r="C7712" t="s">
        <v>40</v>
      </c>
      <c r="D7712">
        <v>4.1420830000000004</v>
      </c>
      <c r="E7712">
        <v>0.46308880000000002</v>
      </c>
      <c r="F7712" t="s">
        <v>77</v>
      </c>
      <c r="G7712">
        <v>-421.47930000000002</v>
      </c>
      <c r="H7712" s="1">
        <v>-3.1555839999999999E-6</v>
      </c>
      <c r="I7712">
        <v>123.95820000000001</v>
      </c>
      <c r="J7712">
        <v>-405.8202</v>
      </c>
      <c r="K7712">
        <v>1.113712</v>
      </c>
      <c r="L7712">
        <v>135.03299999999999</v>
      </c>
      <c r="M7712">
        <v>-0.94055100000000003</v>
      </c>
      <c r="N7712">
        <v>0</v>
      </c>
      <c r="O7712">
        <v>-0.33952080000000001</v>
      </c>
      <c r="P7712">
        <v>-0.86933199999999999</v>
      </c>
      <c r="Q7712">
        <v>3.7424010000000001E-2</v>
      </c>
      <c r="R7712">
        <v>-0.49281069999999999</v>
      </c>
      <c r="S7712">
        <v>-2.474243</v>
      </c>
      <c r="T7712">
        <v>-0.17365559999999999</v>
      </c>
      <c r="U7712">
        <v>-1.7395320000000001</v>
      </c>
      <c r="V7712">
        <v>-0.16878099999999999</v>
      </c>
      <c r="W7712">
        <v>4.5226229999999999E-2</v>
      </c>
      <c r="X7712">
        <v>0.98461540000000003</v>
      </c>
      <c r="Y7712">
        <v>-0.2633144</v>
      </c>
      <c r="Z7712">
        <v>1.224562E-2</v>
      </c>
      <c r="AA7712">
        <v>0.9646323</v>
      </c>
      <c r="AB7712">
        <v>23</v>
      </c>
      <c r="AC7712">
        <v>-15.6591</v>
      </c>
      <c r="AD7712">
        <v>-1.1137151555839999</v>
      </c>
      <c r="AE7712">
        <v>-11.0747999999999</v>
      </c>
      <c r="AF7712">
        <v>-5.0829133565184401</v>
      </c>
      <c r="AG7712">
        <v>-1.1137151555839999</v>
      </c>
      <c r="AH7712">
        <v>18.427001044798999</v>
      </c>
      <c r="AI7712">
        <v>93.334475339500003</v>
      </c>
      <c r="AJ7712">
        <v>105.421013401184</v>
      </c>
      <c r="AK7712">
        <v>19.147603953045301</v>
      </c>
      <c r="AL7712">
        <v>87.407843614962701</v>
      </c>
      <c r="AM7712">
        <v>99.727001300972603</v>
      </c>
      <c r="AN7712">
        <v>0.99999996187908502</v>
      </c>
    </row>
    <row r="7713" spans="1:40" x14ac:dyDescent="0.25">
      <c r="A7713" t="str">
        <f>"20190312150843121"</f>
        <v>20190312150843121</v>
      </c>
      <c r="B7713" t="str">
        <f>"1552374523117210"</f>
        <v>1552374523117210</v>
      </c>
      <c r="C7713" t="s">
        <v>40</v>
      </c>
      <c r="D7713">
        <v>4.1465620000000003</v>
      </c>
      <c r="E7713">
        <v>0.4636131</v>
      </c>
      <c r="F7713" t="s">
        <v>77</v>
      </c>
      <c r="G7713">
        <v>-421.53809999999999</v>
      </c>
      <c r="H7713" s="1">
        <v>-3.1178259999999999E-6</v>
      </c>
      <c r="I7713">
        <v>123.8653</v>
      </c>
      <c r="J7713">
        <v>-406.02940000000001</v>
      </c>
      <c r="K7713">
        <v>1.113785</v>
      </c>
      <c r="L7713">
        <v>134.9503</v>
      </c>
      <c r="M7713">
        <v>-0.93848549999999997</v>
      </c>
      <c r="N7713">
        <v>0</v>
      </c>
      <c r="O7713">
        <v>-0.34518779999999999</v>
      </c>
      <c r="P7713">
        <v>-0.86622219999999905</v>
      </c>
      <c r="Q7713">
        <v>3.6680169999999998E-2</v>
      </c>
      <c r="R7713">
        <v>-0.49831110000000001</v>
      </c>
      <c r="S7713">
        <v>-2.4654240000000001</v>
      </c>
      <c r="T7713">
        <v>-0.17469079999999901</v>
      </c>
      <c r="U7713">
        <v>-1.7516940000000001</v>
      </c>
      <c r="V7713">
        <v>-0.16907440000000001</v>
      </c>
      <c r="W7713">
        <v>4.4487400000000003E-2</v>
      </c>
      <c r="X7713">
        <v>0.9845988</v>
      </c>
      <c r="Y7713">
        <v>-0.26229720000000001</v>
      </c>
      <c r="Z7713">
        <v>1.2691249999999999E-2</v>
      </c>
      <c r="AA7713">
        <v>0.96490370000000003</v>
      </c>
      <c r="AB7713">
        <v>23</v>
      </c>
      <c r="AC7713">
        <v>-15.5086999999999</v>
      </c>
      <c r="AD7713">
        <v>-1.1137881178260001</v>
      </c>
      <c r="AE7713">
        <v>-11.0849999999999</v>
      </c>
      <c r="AF7713">
        <v>-5.0327456434375897</v>
      </c>
      <c r="AG7713">
        <v>-1.1137881178260001</v>
      </c>
      <c r="AH7713">
        <v>18.319390566884199</v>
      </c>
      <c r="AI7713">
        <v>93.355194819106899</v>
      </c>
      <c r="AJ7713">
        <v>105.36145938151201</v>
      </c>
      <c r="AK7713">
        <v>19.030741536392998</v>
      </c>
      <c r="AL7713">
        <v>87.450218308726605</v>
      </c>
      <c r="AM7713">
        <v>99.743747485972904</v>
      </c>
      <c r="AN7713">
        <v>1.0000000392277699</v>
      </c>
    </row>
    <row r="7714" spans="1:40" x14ac:dyDescent="0.25">
      <c r="A7714" t="str">
        <f>"20190312150843143"</f>
        <v>20190312150843143</v>
      </c>
      <c r="B7714" t="str">
        <f>"1552374523137706"</f>
        <v>1552374523137706</v>
      </c>
      <c r="C7714" t="s">
        <v>40</v>
      </c>
      <c r="D7714">
        <v>4.2643700000000004</v>
      </c>
      <c r="E7714">
        <v>0.46398149999999999</v>
      </c>
      <c r="F7714" t="s">
        <v>77</v>
      </c>
      <c r="G7714">
        <v>-421.32330000000002</v>
      </c>
      <c r="H7714" s="1">
        <v>-3.1289779999999998E-6</v>
      </c>
      <c r="I7714">
        <v>123.9729</v>
      </c>
      <c r="J7714">
        <v>-406.24169999999998</v>
      </c>
      <c r="K7714">
        <v>1.1138619999999999</v>
      </c>
      <c r="L7714">
        <v>134.8648</v>
      </c>
      <c r="M7714">
        <v>-0.93631299999999995</v>
      </c>
      <c r="N7714">
        <v>0</v>
      </c>
      <c r="O7714">
        <v>-0.35103679999999998</v>
      </c>
      <c r="P7714">
        <v>-0.86304029999999998</v>
      </c>
      <c r="Q7714">
        <v>3.534764E-2</v>
      </c>
      <c r="R7714">
        <v>-0.50389700000000004</v>
      </c>
      <c r="S7714">
        <v>-2.4565429999999999</v>
      </c>
      <c r="T7714">
        <v>-0.17889959999999999</v>
      </c>
      <c r="U7714">
        <v>-1.7632289999999999</v>
      </c>
      <c r="V7714">
        <v>-0.16926830000000001</v>
      </c>
      <c r="W7714">
        <v>4.3163060000000003E-2</v>
      </c>
      <c r="X7714">
        <v>0.98462439999999996</v>
      </c>
      <c r="Y7714">
        <v>-0.26093440000000001</v>
      </c>
      <c r="Z7714">
        <v>1.340126E-2</v>
      </c>
      <c r="AA7714">
        <v>0.96526350000000005</v>
      </c>
      <c r="AB7714">
        <v>23</v>
      </c>
      <c r="AC7714">
        <v>-15.0816</v>
      </c>
      <c r="AD7714">
        <v>-1.1138651289779999</v>
      </c>
      <c r="AE7714">
        <v>-10.8919</v>
      </c>
      <c r="AF7714">
        <v>-4.8867359139057402</v>
      </c>
      <c r="AG7714">
        <v>-1.1138651289779999</v>
      </c>
      <c r="AH7714">
        <v>17.881270790529001</v>
      </c>
      <c r="AI7714">
        <v>93.438698681261698</v>
      </c>
      <c r="AJ7714">
        <v>105.28501511405</v>
      </c>
      <c r="AK7714">
        <v>18.5704261798709</v>
      </c>
      <c r="AL7714">
        <v>87.526170300687198</v>
      </c>
      <c r="AM7714">
        <v>99.754458618680502</v>
      </c>
      <c r="AN7714">
        <v>1.0000000081044</v>
      </c>
    </row>
    <row r="7715" spans="1:40" x14ac:dyDescent="0.25">
      <c r="A7715" t="str">
        <f>"20190312150843160"</f>
        <v>20190312150843160</v>
      </c>
      <c r="B7715" t="str">
        <f>"1552374523147466"</f>
        <v>1552374523147466</v>
      </c>
      <c r="C7715" t="s">
        <v>40</v>
      </c>
      <c r="D7715">
        <v>4.176037</v>
      </c>
      <c r="E7715">
        <v>0.46421020000000002</v>
      </c>
      <c r="F7715" t="s">
        <v>77</v>
      </c>
      <c r="G7715">
        <v>-421.07799999999997</v>
      </c>
      <c r="H7715" s="1">
        <v>-3.1399120000000001E-6</v>
      </c>
      <c r="I7715">
        <v>124.09229999999999</v>
      </c>
      <c r="J7715">
        <v>-406.39920000000001</v>
      </c>
      <c r="K7715">
        <v>1.113915</v>
      </c>
      <c r="L7715">
        <v>134.80019999999999</v>
      </c>
      <c r="M7715">
        <v>-0.93464579999999997</v>
      </c>
      <c r="N7715">
        <v>0</v>
      </c>
      <c r="O7715">
        <v>-0.35545149999999998</v>
      </c>
      <c r="P7715">
        <v>-0.86049560000000003</v>
      </c>
      <c r="Q7715">
        <v>3.5065680000000002E-2</v>
      </c>
      <c r="R7715">
        <v>-0.50825039999999999</v>
      </c>
      <c r="S7715">
        <v>-2.446472</v>
      </c>
      <c r="T7715">
        <v>-0.18367359999999999</v>
      </c>
      <c r="U7715">
        <v>-1.77636699999999</v>
      </c>
      <c r="V7715">
        <v>-0.1695952</v>
      </c>
      <c r="W7715">
        <v>4.2883419999999998E-2</v>
      </c>
      <c r="X7715">
        <v>0.98458029999999996</v>
      </c>
      <c r="Y7715">
        <v>-0.26167390000000001</v>
      </c>
      <c r="Z7715">
        <v>1.4019510000000001E-2</v>
      </c>
      <c r="AA7715">
        <v>0.96505450000000004</v>
      </c>
      <c r="AB7715">
        <v>23</v>
      </c>
      <c r="AC7715">
        <v>-14.678800000000001</v>
      </c>
      <c r="AD7715">
        <v>-1.1139181399119999</v>
      </c>
      <c r="AE7715">
        <v>-10.707899999999899</v>
      </c>
      <c r="AF7715">
        <v>-4.77277241111641</v>
      </c>
      <c r="AG7715">
        <v>-1.1139181399119999</v>
      </c>
      <c r="AH7715">
        <v>17.460791205019198</v>
      </c>
      <c r="AI7715">
        <v>93.521419935800495</v>
      </c>
      <c r="AJ7715">
        <v>105.28791118822799</v>
      </c>
      <c r="AK7715">
        <v>18.135583795842201</v>
      </c>
      <c r="AL7715">
        <v>87.542207182318606</v>
      </c>
      <c r="AM7715">
        <v>99.773363316014695</v>
      </c>
      <c r="AN7715">
        <v>0.99999994336101095</v>
      </c>
    </row>
    <row r="7716" spans="1:40" x14ac:dyDescent="0.25">
      <c r="A7716" t="str">
        <f>"20190312150843176"</f>
        <v>20190312150843176</v>
      </c>
      <c r="B7716" t="str">
        <f>"1552374523167962"</f>
        <v>1552374523167962</v>
      </c>
      <c r="C7716" t="s">
        <v>40</v>
      </c>
      <c r="D7716">
        <v>4.3065810000000004</v>
      </c>
      <c r="E7716">
        <v>0.46445950000000003</v>
      </c>
      <c r="F7716" t="s">
        <v>77</v>
      </c>
      <c r="G7716">
        <v>-421.1336</v>
      </c>
      <c r="H7716" s="1">
        <v>-3.1020699999999999E-6</v>
      </c>
      <c r="I7716">
        <v>124.0044</v>
      </c>
      <c r="J7716">
        <v>-406.55579999999998</v>
      </c>
      <c r="K7716">
        <v>1.113977</v>
      </c>
      <c r="L7716">
        <v>134.73500000000001</v>
      </c>
      <c r="M7716">
        <v>-0.93294149999999998</v>
      </c>
      <c r="N7716">
        <v>0</v>
      </c>
      <c r="O7716">
        <v>-0.35989989999999999</v>
      </c>
      <c r="P7716">
        <v>-0.85783359999999997</v>
      </c>
      <c r="Q7716">
        <v>3.4481360000000003E-2</v>
      </c>
      <c r="R7716">
        <v>-0.51276949999999999</v>
      </c>
      <c r="S7716">
        <v>-2.4385680000000001</v>
      </c>
      <c r="T7716">
        <v>-0.1843545</v>
      </c>
      <c r="U7716">
        <v>-1.786713</v>
      </c>
      <c r="V7716">
        <v>-0.17007549999999999</v>
      </c>
      <c r="W7716">
        <v>4.2298870000000002E-2</v>
      </c>
      <c r="X7716">
        <v>0.98452280000000003</v>
      </c>
      <c r="Y7716">
        <v>-0.26123980000000002</v>
      </c>
      <c r="Z7716">
        <v>1.437051E-2</v>
      </c>
      <c r="AA7716">
        <v>0.965167</v>
      </c>
      <c r="AB7716">
        <v>23</v>
      </c>
      <c r="AC7716">
        <v>-14.5778</v>
      </c>
      <c r="AD7716">
        <v>-1.11398010207</v>
      </c>
      <c r="AE7716">
        <v>-10.730600000000001</v>
      </c>
      <c r="AF7716">
        <v>-4.7467155859110504</v>
      </c>
      <c r="AG7716">
        <v>-1.11398010207</v>
      </c>
      <c r="AH7716">
        <v>17.397093028886101</v>
      </c>
      <c r="AI7716">
        <v>93.534922110281499</v>
      </c>
      <c r="AJ7716">
        <v>105.261414400246</v>
      </c>
      <c r="AK7716">
        <v>18.0674045279629</v>
      </c>
      <c r="AL7716">
        <v>87.575730005726399</v>
      </c>
      <c r="AM7716">
        <v>99.801067134019206</v>
      </c>
      <c r="AN7716">
        <v>1.0000000069116799</v>
      </c>
    </row>
    <row r="7717" spans="1:40" x14ac:dyDescent="0.25">
      <c r="A7717" t="str">
        <f>"20190312150843199"</f>
        <v>20190312150843199</v>
      </c>
      <c r="B7717" t="str">
        <f>"1552374523187482"</f>
        <v>1552374523187482</v>
      </c>
      <c r="C7717" t="s">
        <v>40</v>
      </c>
      <c r="D7717">
        <v>4.181114</v>
      </c>
      <c r="E7717">
        <v>0.4647906</v>
      </c>
      <c r="F7717" t="s">
        <v>77</v>
      </c>
      <c r="G7717">
        <v>-420.99709999999999</v>
      </c>
      <c r="H7717" s="1">
        <v>-3.095055E-6</v>
      </c>
      <c r="I7717">
        <v>124.0505</v>
      </c>
      <c r="J7717">
        <v>-406.76740000000001</v>
      </c>
      <c r="K7717">
        <v>1.114058</v>
      </c>
      <c r="L7717">
        <v>134.6455</v>
      </c>
      <c r="M7717">
        <v>-0.93056749999999999</v>
      </c>
      <c r="N7717">
        <v>0</v>
      </c>
      <c r="O7717">
        <v>-0.36599330000000002</v>
      </c>
      <c r="P7717">
        <v>-0.8540915</v>
      </c>
      <c r="Q7717">
        <v>3.3908170000000001E-2</v>
      </c>
      <c r="R7717">
        <v>-0.51901620000000004</v>
      </c>
      <c r="S7717">
        <v>-2.4300229999999998</v>
      </c>
      <c r="T7717">
        <v>-0.1874488</v>
      </c>
      <c r="U7717">
        <v>-1.7978670000000001</v>
      </c>
      <c r="V7717">
        <v>-0.1708162</v>
      </c>
      <c r="W7717">
        <v>4.1721460000000002E-2</v>
      </c>
      <c r="X7717">
        <v>0.98441920000000005</v>
      </c>
      <c r="Y7717">
        <v>-0.2594303</v>
      </c>
      <c r="Z7717">
        <v>1.50644E-2</v>
      </c>
      <c r="AA7717">
        <v>0.96564439999999996</v>
      </c>
      <c r="AB7717">
        <v>23</v>
      </c>
      <c r="AC7717">
        <v>-14.2296999999999</v>
      </c>
      <c r="AD7717">
        <v>-1.1140610950550001</v>
      </c>
      <c r="AE7717">
        <v>-10.595000000000001</v>
      </c>
      <c r="AF7717">
        <v>-4.6333332015567201</v>
      </c>
      <c r="AG7717">
        <v>-1.1140610950550001</v>
      </c>
      <c r="AH7717">
        <v>17.0529455585019</v>
      </c>
      <c r="AI7717">
        <v>93.6073777089468</v>
      </c>
      <c r="AJ7717">
        <v>105.200470703389</v>
      </c>
      <c r="AK7717">
        <v>17.7062661479317</v>
      </c>
      <c r="AL7717">
        <v>87.608842396464794</v>
      </c>
      <c r="AM7717">
        <v>99.843934484245295</v>
      </c>
      <c r="AN7717">
        <v>1.0000000078678</v>
      </c>
    </row>
    <row r="7718" spans="1:40" x14ac:dyDescent="0.25">
      <c r="A7718" t="str">
        <f>"20190312150843221"</f>
        <v>20190312150843221</v>
      </c>
      <c r="B7718" t="str">
        <f>"1552374523217738"</f>
        <v>1552374523217738</v>
      </c>
      <c r="C7718" t="s">
        <v>40</v>
      </c>
      <c r="D7718">
        <v>4.216539</v>
      </c>
      <c r="E7718">
        <v>0.46522019999999997</v>
      </c>
      <c r="F7718" t="s">
        <v>77</v>
      </c>
      <c r="G7718">
        <v>-420.88940000000002</v>
      </c>
      <c r="H7718" s="1">
        <v>-3.0710899999999998E-6</v>
      </c>
      <c r="I7718">
        <v>124.0579</v>
      </c>
      <c r="J7718">
        <v>-406.9742</v>
      </c>
      <c r="K7718">
        <v>1.1141350000000001</v>
      </c>
      <c r="L7718">
        <v>134.5564</v>
      </c>
      <c r="M7718">
        <v>-0.92816560000000004</v>
      </c>
      <c r="N7718">
        <v>0</v>
      </c>
      <c r="O7718">
        <v>-0.37204140000000002</v>
      </c>
      <c r="P7718">
        <v>-0.85034009999999904</v>
      </c>
      <c r="Q7718">
        <v>3.3593610000000003E-2</v>
      </c>
      <c r="R7718">
        <v>-0.52516049999999903</v>
      </c>
      <c r="S7718">
        <v>-2.418304</v>
      </c>
      <c r="T7718">
        <v>-0.1907769</v>
      </c>
      <c r="U7718">
        <v>-1.8130649999999999</v>
      </c>
      <c r="V7718">
        <v>-0.17150750000000001</v>
      </c>
      <c r="W7718">
        <v>4.1400350000000002E-2</v>
      </c>
      <c r="X7718">
        <v>0.98431250000000003</v>
      </c>
      <c r="Y7718">
        <v>-0.25929180000000002</v>
      </c>
      <c r="Z7718">
        <v>1.57384E-2</v>
      </c>
      <c r="AA7718">
        <v>0.96567080000000005</v>
      </c>
      <c r="AB7718">
        <v>23</v>
      </c>
      <c r="AC7718">
        <v>-13.9152</v>
      </c>
      <c r="AD7718">
        <v>-1.11413807109</v>
      </c>
      <c r="AE7718">
        <v>-10.4984999999999</v>
      </c>
      <c r="AF7718">
        <v>-4.5489468080156996</v>
      </c>
      <c r="AG7718">
        <v>-1.11413807109</v>
      </c>
      <c r="AH7718">
        <v>16.753832383920098</v>
      </c>
      <c r="AI7718">
        <v>93.672032398645101</v>
      </c>
      <c r="AJ7718">
        <v>105.190544935419</v>
      </c>
      <c r="AK7718">
        <v>17.396123713405199</v>
      </c>
      <c r="AL7718">
        <v>87.627256428029199</v>
      </c>
      <c r="AM7718">
        <v>99.884039480855094</v>
      </c>
      <c r="AN7718">
        <v>0.99999995459630997</v>
      </c>
    </row>
    <row r="7719" spans="1:40" x14ac:dyDescent="0.25">
      <c r="A7719" t="str">
        <f>"20190312150843243"</f>
        <v>20190312150843243</v>
      </c>
      <c r="B7719" t="str">
        <f>"1552374523237258"</f>
        <v>1552374523237258</v>
      </c>
      <c r="C7719" t="s">
        <v>40</v>
      </c>
      <c r="D7719">
        <v>4.1972860000000001</v>
      </c>
      <c r="E7719">
        <v>0.4655859</v>
      </c>
      <c r="F7719" t="s">
        <v>77</v>
      </c>
      <c r="G7719">
        <v>-420.82409999999999</v>
      </c>
      <c r="H7719" s="1">
        <v>-3.0429370000000001E-6</v>
      </c>
      <c r="I7719">
        <v>124.041</v>
      </c>
      <c r="J7719">
        <v>-407.18579999999997</v>
      </c>
      <c r="K7719">
        <v>1.114217</v>
      </c>
      <c r="L7719">
        <v>134.46350000000001</v>
      </c>
      <c r="M7719">
        <v>-0.92562129999999998</v>
      </c>
      <c r="N7719">
        <v>0</v>
      </c>
      <c r="O7719">
        <v>-0.37832670000000002</v>
      </c>
      <c r="P7719">
        <v>-0.84649039999999998</v>
      </c>
      <c r="Q7719">
        <v>3.3265370000000002E-2</v>
      </c>
      <c r="R7719">
        <v>-0.53136399999999995</v>
      </c>
      <c r="S7719">
        <v>-2.4069820000000002</v>
      </c>
      <c r="T7719">
        <v>-0.1936264</v>
      </c>
      <c r="U7719">
        <v>-1.8274840000000001</v>
      </c>
      <c r="V7719">
        <v>-0.172030399999999</v>
      </c>
      <c r="W7719">
        <v>4.1066369999999998E-2</v>
      </c>
      <c r="X7719">
        <v>0.98423530000000004</v>
      </c>
      <c r="Y7719">
        <v>-0.25861709999999999</v>
      </c>
      <c r="Z7719">
        <v>1.6419469999999999E-2</v>
      </c>
      <c r="AA7719">
        <v>0.96584029999999998</v>
      </c>
      <c r="AB7719">
        <v>23</v>
      </c>
      <c r="AC7719">
        <v>-13.638299999999999</v>
      </c>
      <c r="AD7719">
        <v>-1.1142200429369999</v>
      </c>
      <c r="AE7719">
        <v>-10.422499999999999</v>
      </c>
      <c r="AF7719">
        <v>-4.4689354579573104</v>
      </c>
      <c r="AG7719">
        <v>-1.1142200429369999</v>
      </c>
      <c r="AH7719">
        <v>16.4982721036016</v>
      </c>
      <c r="AI7719">
        <v>93.7296318068625</v>
      </c>
      <c r="AJ7719">
        <v>105.15618220709401</v>
      </c>
      <c r="AK7719">
        <v>17.129093754076699</v>
      </c>
      <c r="AL7719">
        <v>87.646408504784006</v>
      </c>
      <c r="AM7719">
        <v>99.914339583972094</v>
      </c>
      <c r="AN7719">
        <v>1.0000000155176101</v>
      </c>
    </row>
    <row r="7720" spans="1:40" x14ac:dyDescent="0.25">
      <c r="A7720" t="str">
        <f>"20190312150843259"</f>
        <v>20190312150843259</v>
      </c>
      <c r="B7720" t="str">
        <f>"1552374523257755"</f>
        <v>1552374523257755</v>
      </c>
      <c r="C7720" t="s">
        <v>40</v>
      </c>
      <c r="D7720">
        <v>4.224151</v>
      </c>
      <c r="E7720">
        <v>0.46591529999999998</v>
      </c>
      <c r="F7720" t="s">
        <v>77</v>
      </c>
      <c r="G7720">
        <v>-420.80919999999998</v>
      </c>
      <c r="H7720" s="1">
        <v>-3.0025940000000001E-6</v>
      </c>
      <c r="I7720">
        <v>123.9837</v>
      </c>
      <c r="J7720">
        <v>-407.33890000000002</v>
      </c>
      <c r="K7720">
        <v>1.114277</v>
      </c>
      <c r="L7720">
        <v>134.39490000000001</v>
      </c>
      <c r="M7720">
        <v>-0.92371879999999995</v>
      </c>
      <c r="N7720">
        <v>0</v>
      </c>
      <c r="O7720">
        <v>-0.38294739999999999</v>
      </c>
      <c r="P7720">
        <v>-0.84345669999999995</v>
      </c>
      <c r="Q7720">
        <v>3.3465219999999997E-2</v>
      </c>
      <c r="R7720">
        <v>-0.53615360000000001</v>
      </c>
      <c r="S7720">
        <v>-2.3951720000000001</v>
      </c>
      <c r="T7720">
        <v>-0.19589390000000001</v>
      </c>
      <c r="U7720">
        <v>-1.842468</v>
      </c>
      <c r="V7720">
        <v>-0.17270250000000001</v>
      </c>
      <c r="W7720">
        <v>4.1256470000000003E-2</v>
      </c>
      <c r="X7720">
        <v>0.98410960000000003</v>
      </c>
      <c r="Y7720">
        <v>-0.2598975</v>
      </c>
      <c r="Z7720">
        <v>1.6887860000000001E-2</v>
      </c>
      <c r="AA7720">
        <v>0.96548860000000003</v>
      </c>
      <c r="AB7720">
        <v>23</v>
      </c>
      <c r="AC7720">
        <v>-13.4702999999999</v>
      </c>
      <c r="AD7720">
        <v>-1.1142800025940001</v>
      </c>
      <c r="AE7720">
        <v>-10.411199999999999</v>
      </c>
      <c r="AF7720">
        <v>-4.4397971928346598</v>
      </c>
      <c r="AG7720">
        <v>-1.1142800025940001</v>
      </c>
      <c r="AH7720">
        <v>16.360406302967601</v>
      </c>
      <c r="AI7720">
        <v>93.760697583535404</v>
      </c>
      <c r="AJ7720">
        <v>105.18295210871401</v>
      </c>
      <c r="AK7720">
        <v>16.988711353009201</v>
      </c>
      <c r="AL7720">
        <v>87.635507248243101</v>
      </c>
      <c r="AM7720">
        <v>99.953546409496397</v>
      </c>
      <c r="AN7720">
        <v>0.99999997731763501</v>
      </c>
    </row>
    <row r="7721" spans="1:40" x14ac:dyDescent="0.25">
      <c r="A7721" t="str">
        <f>"20190312150843277"</f>
        <v>20190312150843277</v>
      </c>
      <c r="B7721" t="str">
        <f>"1552374523267514"</f>
        <v>1552374523267514</v>
      </c>
      <c r="C7721" t="s">
        <v>40</v>
      </c>
      <c r="D7721">
        <v>4.2129409999999998</v>
      </c>
      <c r="E7721">
        <v>0.46610059999999898</v>
      </c>
      <c r="F7721" t="s">
        <v>77</v>
      </c>
      <c r="G7721">
        <v>-420.83690000000001</v>
      </c>
      <c r="H7721" s="1">
        <v>-2.9628759999999998E-6</v>
      </c>
      <c r="I7721">
        <v>123.9096</v>
      </c>
      <c r="J7721">
        <v>-407.50200000000001</v>
      </c>
      <c r="K7721">
        <v>1.1143369999999999</v>
      </c>
      <c r="L7721">
        <v>134.32089999999999</v>
      </c>
      <c r="M7721">
        <v>-0.92163879999999998</v>
      </c>
      <c r="N7721">
        <v>0</v>
      </c>
      <c r="O7721">
        <v>-0.3879262</v>
      </c>
      <c r="P7721">
        <v>-0.83969439999999995</v>
      </c>
      <c r="Q7721">
        <v>3.3938749999999997E-2</v>
      </c>
      <c r="R7721">
        <v>-0.54199790000000003</v>
      </c>
      <c r="S7721">
        <v>-2.3862920000000001</v>
      </c>
      <c r="T7721">
        <v>-0.19699079999999999</v>
      </c>
      <c r="U7721">
        <v>-1.8536680000000001</v>
      </c>
      <c r="V7721">
        <v>-0.17424519999999999</v>
      </c>
      <c r="W7721">
        <v>4.1709070000000001E-2</v>
      </c>
      <c r="X7721">
        <v>0.98381859999999999</v>
      </c>
      <c r="Y7721">
        <v>-0.25926589999999999</v>
      </c>
      <c r="Z7721">
        <v>1.7345180000000002E-2</v>
      </c>
      <c r="AA7721">
        <v>0.96565020000000001</v>
      </c>
      <c r="AB7721">
        <v>23</v>
      </c>
      <c r="AC7721">
        <v>-13.334899999999999</v>
      </c>
      <c r="AD7721">
        <v>-1.114339962876</v>
      </c>
      <c r="AE7721">
        <v>-10.411299999999899</v>
      </c>
      <c r="AF7721">
        <v>-4.4036062341283699</v>
      </c>
      <c r="AG7721">
        <v>-1.114339962876</v>
      </c>
      <c r="AH7721">
        <v>16.259014112972299</v>
      </c>
      <c r="AI7721">
        <v>93.784793135636804</v>
      </c>
      <c r="AJ7721">
        <v>105.154472678338</v>
      </c>
      <c r="AK7721">
        <v>16.8816184456333</v>
      </c>
      <c r="AL7721">
        <v>87.609552979259703</v>
      </c>
      <c r="AM7721">
        <v>100.043566482793</v>
      </c>
      <c r="AN7721">
        <v>1.00000003697463</v>
      </c>
    </row>
    <row r="7722" spans="1:40" x14ac:dyDescent="0.25">
      <c r="A7722" t="str">
        <f>"20190312150843300"</f>
        <v>20190312150843300</v>
      </c>
      <c r="B7722" t="str">
        <f>"1552374523288011"</f>
        <v>1552374523288011</v>
      </c>
      <c r="C7722" t="s">
        <v>40</v>
      </c>
      <c r="D7722">
        <v>4.2504939999999998</v>
      </c>
      <c r="E7722">
        <v>0.46650920000000001</v>
      </c>
      <c r="F7722" t="s">
        <v>77</v>
      </c>
      <c r="G7722">
        <v>-420.93790000000001</v>
      </c>
      <c r="H7722" s="1">
        <v>-2.8850860000000002E-6</v>
      </c>
      <c r="I7722">
        <v>123.745</v>
      </c>
      <c r="J7722">
        <v>-407.71190000000001</v>
      </c>
      <c r="K7722">
        <v>1.114422</v>
      </c>
      <c r="L7722">
        <v>134.22399999999999</v>
      </c>
      <c r="M7722">
        <v>-0.9188788</v>
      </c>
      <c r="N7722">
        <v>0</v>
      </c>
      <c r="O7722">
        <v>-0.39441870000000001</v>
      </c>
      <c r="P7722">
        <v>-0.83552399999999905</v>
      </c>
      <c r="Q7722">
        <v>3.3914600000000003E-2</v>
      </c>
      <c r="R7722">
        <v>-0.54840679999999997</v>
      </c>
      <c r="S7722">
        <v>-2.3743590000000001</v>
      </c>
      <c r="T7722">
        <v>-0.1969235</v>
      </c>
      <c r="U7722">
        <v>-1.8689420000000001</v>
      </c>
      <c r="V7722">
        <v>-0.174839299999999</v>
      </c>
      <c r="W7722">
        <v>4.1673809999999999E-2</v>
      </c>
      <c r="X7722">
        <v>0.98371459999999999</v>
      </c>
      <c r="Y7722">
        <v>-0.25865860000000002</v>
      </c>
      <c r="Z7722">
        <v>1.7804549999999999E-2</v>
      </c>
      <c r="AA7722">
        <v>0.96580469999999896</v>
      </c>
      <c r="AB7722">
        <v>23</v>
      </c>
      <c r="AC7722">
        <v>-13.226000000000001</v>
      </c>
      <c r="AD7722">
        <v>-1.1144248850859999</v>
      </c>
      <c r="AE7722">
        <v>-10.4789999999999</v>
      </c>
      <c r="AF7722">
        <v>-4.3933974344655198</v>
      </c>
      <c r="AG7722">
        <v>-1.1144248850859999</v>
      </c>
      <c r="AH7722">
        <v>16.2162525689888</v>
      </c>
      <c r="AI7722">
        <v>93.794951854566904</v>
      </c>
      <c r="AJ7722">
        <v>105.158991437761</v>
      </c>
      <c r="AK7722">
        <v>16.837776908573801</v>
      </c>
      <c r="AL7722">
        <v>87.611574780397802</v>
      </c>
      <c r="AM7722">
        <v>100.078153506275</v>
      </c>
      <c r="AN7722">
        <v>0.99999995075878101</v>
      </c>
    </row>
    <row r="7723" spans="1:40" x14ac:dyDescent="0.25">
      <c r="A7723" t="str">
        <f>"20190312150843322"</f>
        <v>20190312150843322</v>
      </c>
      <c r="B7723" t="str">
        <f>"1552374523317290"</f>
        <v>1552374523317290</v>
      </c>
      <c r="C7723" t="s">
        <v>40</v>
      </c>
      <c r="D7723">
        <v>4.2397869999999998</v>
      </c>
      <c r="E7723">
        <v>0.47842649999999998</v>
      </c>
      <c r="F7723" t="s">
        <v>77</v>
      </c>
      <c r="G7723">
        <v>-420.94940000000003</v>
      </c>
      <c r="H7723" s="1">
        <v>-2.8348829999999999E-6</v>
      </c>
      <c r="I7723">
        <v>123.66119999999999</v>
      </c>
      <c r="J7723">
        <v>-407.91579999999999</v>
      </c>
      <c r="K7723">
        <v>1.1144959999999999</v>
      </c>
      <c r="L7723">
        <v>134.12799999999999</v>
      </c>
      <c r="M7723">
        <v>-0.91610720000000001</v>
      </c>
      <c r="N7723">
        <v>0</v>
      </c>
      <c r="O7723">
        <v>-0.40081299999999997</v>
      </c>
      <c r="P7723">
        <v>-0.83126829999999996</v>
      </c>
      <c r="Q7723">
        <v>3.3096769999999998E-2</v>
      </c>
      <c r="R7723">
        <v>-0.55488510000000002</v>
      </c>
      <c r="S7723">
        <v>-2.3617249999999999</v>
      </c>
      <c r="T7723">
        <v>-0.19882630000000001</v>
      </c>
      <c r="U7723">
        <v>-1.8845209999999999</v>
      </c>
      <c r="V7723">
        <v>-0.17561589999999999</v>
      </c>
      <c r="W7723">
        <v>4.0845300000000001E-2</v>
      </c>
      <c r="X7723">
        <v>0.98361100000000001</v>
      </c>
      <c r="Y7723">
        <v>-0.25835399999999997</v>
      </c>
      <c r="Z7723">
        <v>1.8431280000000001E-2</v>
      </c>
      <c r="AA7723">
        <v>0.96587449999999997</v>
      </c>
      <c r="AB7723">
        <v>23</v>
      </c>
      <c r="AC7723">
        <v>-13.0336</v>
      </c>
      <c r="AD7723">
        <v>-1.1144988348829901</v>
      </c>
      <c r="AE7723">
        <v>-10.4667999999999</v>
      </c>
      <c r="AF7723">
        <v>-4.3455684274020197</v>
      </c>
      <c r="AG7723">
        <v>-1.1144988348829901</v>
      </c>
      <c r="AH7723">
        <v>16.064772561199799</v>
      </c>
      <c r="AI7723">
        <v>93.831290250671202</v>
      </c>
      <c r="AJ7723">
        <v>105.13643081436101</v>
      </c>
      <c r="AK7723">
        <v>16.679418156916199</v>
      </c>
      <c r="AL7723">
        <v>87.659085344821307</v>
      </c>
      <c r="AM7723">
        <v>100.12303902173301</v>
      </c>
      <c r="AN7723">
        <v>0.99999994109294799</v>
      </c>
    </row>
    <row r="7724" spans="1:40" x14ac:dyDescent="0.25">
      <c r="A7724" t="str">
        <f>"20190312150843344"</f>
        <v>20190312150843344</v>
      </c>
      <c r="B7724" t="str">
        <f>"1552374523337786"</f>
        <v>1552374523337786</v>
      </c>
      <c r="C7724" t="s">
        <v>40</v>
      </c>
      <c r="D7724">
        <v>4.3004280000000001</v>
      </c>
      <c r="E7724">
        <v>0.46277360000000001</v>
      </c>
      <c r="F7724" t="s">
        <v>77</v>
      </c>
      <c r="G7724">
        <v>-418.44130000000001</v>
      </c>
      <c r="H7724" s="1">
        <v>-4.0302860000000002E-6</v>
      </c>
      <c r="I7724">
        <v>126.116</v>
      </c>
      <c r="J7724">
        <v>-408.12479999999999</v>
      </c>
      <c r="K7724">
        <v>1.1145700000000001</v>
      </c>
      <c r="L7724">
        <v>134.02780000000001</v>
      </c>
      <c r="M7724">
        <v>-0.91317280000000001</v>
      </c>
      <c r="N7724">
        <v>0</v>
      </c>
      <c r="O7724">
        <v>-0.40745330000000002</v>
      </c>
      <c r="P7724">
        <v>-0.82657209999999903</v>
      </c>
      <c r="Q7724">
        <v>3.2828740000000002E-2</v>
      </c>
      <c r="R7724">
        <v>-0.5618727</v>
      </c>
      <c r="S7724">
        <v>-2.399689</v>
      </c>
      <c r="T7724">
        <v>-0.2540943</v>
      </c>
      <c r="U7724">
        <v>-1.82666</v>
      </c>
      <c r="V7724">
        <v>-0.17676739999999999</v>
      </c>
      <c r="W7724">
        <v>4.0566110000000002E-2</v>
      </c>
      <c r="X7724">
        <v>0.98341630000000002</v>
      </c>
      <c r="Y7724">
        <v>-0.2294255</v>
      </c>
      <c r="Z7724">
        <v>2.5332779999999999E-2</v>
      </c>
      <c r="AA7724">
        <v>0.97299650000000004</v>
      </c>
      <c r="AB7724">
        <v>23</v>
      </c>
      <c r="AC7724">
        <v>-10.3165</v>
      </c>
      <c r="AD7724">
        <v>-1.1145740302860001</v>
      </c>
      <c r="AE7724">
        <v>-7.9118000000000102</v>
      </c>
      <c r="AF7724">
        <v>-2.9994508095876302</v>
      </c>
      <c r="AG7724">
        <v>-1.1145740302860001</v>
      </c>
      <c r="AH7724">
        <v>12.5527933314143</v>
      </c>
      <c r="AI7724">
        <v>94.935803421236102</v>
      </c>
      <c r="AJ7724">
        <v>103.438666620939</v>
      </c>
      <c r="AK7724">
        <v>12.9542117031228</v>
      </c>
      <c r="AL7724">
        <v>87.675095093325396</v>
      </c>
      <c r="AM7724">
        <v>100.190003890963</v>
      </c>
      <c r="AN7724">
        <v>0.99999997104449001</v>
      </c>
    </row>
    <row r="7725" spans="1:40" x14ac:dyDescent="0.25">
      <c r="A7725" t="str">
        <f>"20190312150843367"</f>
        <v>20190312150843367</v>
      </c>
      <c r="B7725" t="str">
        <f>"1552374523357306"</f>
        <v>1552374523357306</v>
      </c>
      <c r="C7725" t="s">
        <v>40</v>
      </c>
      <c r="D7725">
        <v>4.2523010000000001</v>
      </c>
      <c r="E7725">
        <v>0.4531946</v>
      </c>
      <c r="F7725" t="s">
        <v>77</v>
      </c>
      <c r="G7725">
        <v>-417.61669999999998</v>
      </c>
      <c r="H7725" s="1">
        <v>-4.031644E-6</v>
      </c>
      <c r="I7725">
        <v>126.0247</v>
      </c>
      <c r="J7725">
        <v>-408.33280000000002</v>
      </c>
      <c r="K7725">
        <v>1.1146370000000001</v>
      </c>
      <c r="L7725">
        <v>133.92590000000001</v>
      </c>
      <c r="M7725">
        <v>-0.91015089999999998</v>
      </c>
      <c r="N7725">
        <v>0</v>
      </c>
      <c r="O7725">
        <v>-0.41415859999999899</v>
      </c>
      <c r="P7725">
        <v>-0.82190359999999996</v>
      </c>
      <c r="Q7725">
        <v>3.2675200000000001E-2</v>
      </c>
      <c r="R7725">
        <v>-0.56868869999999905</v>
      </c>
      <c r="S7725">
        <v>-2.3139949999999998</v>
      </c>
      <c r="T7725">
        <v>-0.2717195</v>
      </c>
      <c r="U7725">
        <v>-1.95105</v>
      </c>
      <c r="V7725">
        <v>-0.1776693</v>
      </c>
      <c r="W7725">
        <v>4.0406020000000001E-2</v>
      </c>
      <c r="X7725">
        <v>0.98326040000000003</v>
      </c>
      <c r="Y7725">
        <v>-0.27052559999999998</v>
      </c>
      <c r="Z7725">
        <v>2.585838E-2</v>
      </c>
      <c r="AA7725">
        <v>0.96236540000000004</v>
      </c>
      <c r="AB7725">
        <v>23</v>
      </c>
      <c r="AC7725">
        <v>-9.2838999999999601</v>
      </c>
      <c r="AD7725">
        <v>-1.1146410316439901</v>
      </c>
      <c r="AE7725">
        <v>-7.90120000000001</v>
      </c>
      <c r="AF7725">
        <v>-3.3186977364526502</v>
      </c>
      <c r="AG7725">
        <v>-1.1146410316439901</v>
      </c>
      <c r="AH7725">
        <v>11.625488037119499</v>
      </c>
      <c r="AI7725">
        <v>95.267552532655301</v>
      </c>
      <c r="AJ7725">
        <v>105.932316635704</v>
      </c>
      <c r="AK7725">
        <v>12.1411758654823</v>
      </c>
      <c r="AL7725">
        <v>87.684275215985906</v>
      </c>
      <c r="AM7725">
        <v>100.242486984282</v>
      </c>
      <c r="AN7725">
        <v>1.0000000204114401</v>
      </c>
    </row>
    <row r="7726" spans="1:40" x14ac:dyDescent="0.25">
      <c r="A7726" t="str">
        <f>"20190312150843388"</f>
        <v>20190312150843388</v>
      </c>
      <c r="B7726" t="str">
        <f>"1552374523377802"</f>
        <v>1552374523377802</v>
      </c>
      <c r="C7726" t="s">
        <v>40</v>
      </c>
      <c r="D7726">
        <v>4.259741</v>
      </c>
      <c r="E7726">
        <v>0.44924219999999998</v>
      </c>
      <c r="F7726" t="s">
        <v>77</v>
      </c>
      <c r="G7726">
        <v>-416.94909999999999</v>
      </c>
      <c r="H7726" s="1">
        <v>-4.135477E-6</v>
      </c>
      <c r="I7726">
        <v>126.1525</v>
      </c>
      <c r="J7726">
        <v>-408.53820000000002</v>
      </c>
      <c r="K7726">
        <v>1.1147020000000001</v>
      </c>
      <c r="L7726">
        <v>133.82339999999999</v>
      </c>
      <c r="M7726">
        <v>-0.90706770000000003</v>
      </c>
      <c r="N7726">
        <v>0</v>
      </c>
      <c r="O7726">
        <v>-0.42086780000000001</v>
      </c>
      <c r="P7726">
        <v>-0.81761099999999998</v>
      </c>
      <c r="Q7726">
        <v>3.1988389999999998E-2</v>
      </c>
      <c r="R7726">
        <v>-0.57488169999999905</v>
      </c>
      <c r="S7726">
        <v>-2.2543950000000001</v>
      </c>
      <c r="T7726">
        <v>-0.29163699999999998</v>
      </c>
      <c r="U7726">
        <v>-2.0338750000000001</v>
      </c>
      <c r="V7726">
        <v>-0.1778256</v>
      </c>
      <c r="W7726">
        <v>3.9723260000000003E-2</v>
      </c>
      <c r="X7726">
        <v>0.98325989999999996</v>
      </c>
      <c r="Y7726">
        <v>-0.29556979999999999</v>
      </c>
      <c r="Z7726">
        <v>2.7182339999999999E-2</v>
      </c>
      <c r="AA7726">
        <v>0.95493439999999996</v>
      </c>
      <c r="AB7726">
        <v>23</v>
      </c>
      <c r="AC7726">
        <v>-8.4108999999999696</v>
      </c>
      <c r="AD7726">
        <v>-1.114706135477</v>
      </c>
      <c r="AE7726">
        <v>-7.6708999999999801</v>
      </c>
      <c r="AF7726">
        <v>-3.3858508240663601</v>
      </c>
      <c r="AG7726">
        <v>-1.114706135477</v>
      </c>
      <c r="AH7726">
        <v>10.755097063763801</v>
      </c>
      <c r="AI7726">
        <v>95.645984421446002</v>
      </c>
      <c r="AJ7726">
        <v>107.47471092426299</v>
      </c>
      <c r="AK7726">
        <v>11.330431078396</v>
      </c>
      <c r="AL7726">
        <v>87.7234257705434</v>
      </c>
      <c r="AM7726">
        <v>100.25131166225199</v>
      </c>
      <c r="AN7726">
        <v>0.99999995617419701</v>
      </c>
    </row>
    <row r="7727" spans="1:40" x14ac:dyDescent="0.25">
      <c r="A7727" t="str">
        <f>"20190312150843410"</f>
        <v>20190312150843410</v>
      </c>
      <c r="B7727" t="str">
        <f>"1552374523408058"</f>
        <v>1552374523408058</v>
      </c>
      <c r="C7727" t="s">
        <v>40</v>
      </c>
      <c r="D7727">
        <v>4.2781719999999996</v>
      </c>
      <c r="E7727">
        <v>0.44694780000000001</v>
      </c>
      <c r="F7727" t="s">
        <v>77</v>
      </c>
      <c r="G7727">
        <v>-416.56599999999997</v>
      </c>
      <c r="H7727" s="1">
        <v>-4.2398870000000001E-6</v>
      </c>
      <c r="I7727">
        <v>126.3137</v>
      </c>
      <c r="J7727">
        <v>-408.7448</v>
      </c>
      <c r="K7727">
        <v>1.114771</v>
      </c>
      <c r="L7727">
        <v>133.7182</v>
      </c>
      <c r="M7727">
        <v>-0.90387260000000003</v>
      </c>
      <c r="N7727">
        <v>0</v>
      </c>
      <c r="O7727">
        <v>-0.4276856</v>
      </c>
      <c r="P7727">
        <v>-0.81307220000000002</v>
      </c>
      <c r="Q7727">
        <v>3.1697490000000002E-2</v>
      </c>
      <c r="R7727">
        <v>-0.58129929999999996</v>
      </c>
      <c r="S7727">
        <v>-2.2207029999999999</v>
      </c>
      <c r="T7727">
        <v>-0.30835800000000002</v>
      </c>
      <c r="U7727">
        <v>-2.0773769999999998</v>
      </c>
      <c r="V7727">
        <v>-0.1781596</v>
      </c>
      <c r="W7727">
        <v>3.9434999999999998E-2</v>
      </c>
      <c r="X7727">
        <v>0.9832111</v>
      </c>
      <c r="Y7727">
        <v>-0.30562679999999998</v>
      </c>
      <c r="Z7727">
        <v>2.893283E-2</v>
      </c>
      <c r="AA7727">
        <v>0.95171170000000005</v>
      </c>
      <c r="AB7727">
        <v>23</v>
      </c>
      <c r="AC7727">
        <v>-7.82119999999997</v>
      </c>
      <c r="AD7727">
        <v>-1.1147752398869999</v>
      </c>
      <c r="AE7727">
        <v>-7.4044999999999899</v>
      </c>
      <c r="AF7727">
        <v>-3.3123896045474899</v>
      </c>
      <c r="AG7727">
        <v>-1.1147752398869999</v>
      </c>
      <c r="AH7727">
        <v>10.128168408143299</v>
      </c>
      <c r="AI7727">
        <v>95.972225910098402</v>
      </c>
      <c r="AJ7727">
        <v>108.11019030989701</v>
      </c>
      <c r="AK7727">
        <v>10.7142169117249</v>
      </c>
      <c r="AL7727">
        <v>87.739954936638298</v>
      </c>
      <c r="AM7727">
        <v>100.27065561102999</v>
      </c>
      <c r="AN7727">
        <v>1.00000001473018</v>
      </c>
    </row>
    <row r="7728" spans="1:40" x14ac:dyDescent="0.25">
      <c r="A7728" t="str">
        <f>"20190312150843433"</f>
        <v>20190312150843433</v>
      </c>
      <c r="B7728" t="str">
        <f>"1552374523427581"</f>
        <v>1552374523427581</v>
      </c>
      <c r="C7728" t="s">
        <v>40</v>
      </c>
      <c r="D7728">
        <v>4.3167580000000001</v>
      </c>
      <c r="E7728">
        <v>0.44653080000000001</v>
      </c>
      <c r="F7728" t="s">
        <v>77</v>
      </c>
      <c r="G7728">
        <v>-416.65030000000002</v>
      </c>
      <c r="H7728" s="1">
        <v>-4.1579959999999997E-6</v>
      </c>
      <c r="I7728">
        <v>126.1123</v>
      </c>
      <c r="J7728">
        <v>-408.95260000000002</v>
      </c>
      <c r="K7728">
        <v>1.1148290000000001</v>
      </c>
      <c r="L7728">
        <v>133.6104</v>
      </c>
      <c r="M7728">
        <v>-0.90056150000000001</v>
      </c>
      <c r="N7728">
        <v>0</v>
      </c>
      <c r="O7728">
        <v>-0.4346139</v>
      </c>
      <c r="P7728">
        <v>-0.80877929999999998</v>
      </c>
      <c r="Q7728">
        <v>3.2207659999999999E-2</v>
      </c>
      <c r="R7728">
        <v>-0.58723009999999998</v>
      </c>
      <c r="S7728">
        <v>-2.1932070000000001</v>
      </c>
      <c r="T7728">
        <v>-0.30927189999999999</v>
      </c>
      <c r="U7728">
        <v>-2.1100919999999999</v>
      </c>
      <c r="V7728">
        <v>-0.1778207</v>
      </c>
      <c r="W7728">
        <v>3.9955780000000003E-2</v>
      </c>
      <c r="X7728">
        <v>0.9832514</v>
      </c>
      <c r="Y7728">
        <v>-0.31165949999999998</v>
      </c>
      <c r="Z7728">
        <v>2.9451140000000001E-2</v>
      </c>
      <c r="AA7728">
        <v>0.94973730000000001</v>
      </c>
      <c r="AB7728">
        <v>23</v>
      </c>
      <c r="AC7728">
        <v>-7.6976999999999904</v>
      </c>
      <c r="AD7728">
        <v>-1.114833157996</v>
      </c>
      <c r="AE7728">
        <v>-7.4980999999999902</v>
      </c>
      <c r="AF7728">
        <v>-3.3708625664204801</v>
      </c>
      <c r="AG7728">
        <v>-1.114833157996</v>
      </c>
      <c r="AH7728">
        <v>10.0830169215368</v>
      </c>
      <c r="AI7728">
        <v>95.9862035919205</v>
      </c>
      <c r="AJ7728">
        <v>108.485343965436</v>
      </c>
      <c r="AK7728">
        <v>10.6898455391956</v>
      </c>
      <c r="AL7728">
        <v>87.710092849084504</v>
      </c>
      <c r="AM7728">
        <v>100.251121915106</v>
      </c>
      <c r="AN7728">
        <v>0.99999999065292899</v>
      </c>
    </row>
    <row r="7729" spans="1:40" x14ac:dyDescent="0.25">
      <c r="A7729" t="str">
        <f>"20190312150843455"</f>
        <v>20190312150843455</v>
      </c>
      <c r="B7729" t="str">
        <f>"1552374523448079"</f>
        <v>1552374523448079</v>
      </c>
      <c r="C7729" t="s">
        <v>40</v>
      </c>
      <c r="D7729">
        <v>4.2811110000000001</v>
      </c>
      <c r="E7729">
        <v>0.44637100000000002</v>
      </c>
      <c r="F7729" t="s">
        <v>77</v>
      </c>
      <c r="G7729">
        <v>-416.9443</v>
      </c>
      <c r="H7729" s="1">
        <v>-4.0052229999999998E-6</v>
      </c>
      <c r="I7729">
        <v>125.7902</v>
      </c>
      <c r="J7729">
        <v>-409.16019999999997</v>
      </c>
      <c r="K7729">
        <v>1.1148990000000001</v>
      </c>
      <c r="L7729">
        <v>133.50049999999999</v>
      </c>
      <c r="M7729">
        <v>-0.89715009999999995</v>
      </c>
      <c r="N7729">
        <v>0</v>
      </c>
      <c r="O7729">
        <v>-0.441612</v>
      </c>
      <c r="P7729">
        <v>-0.80447419999999903</v>
      </c>
      <c r="Q7729">
        <v>3.2980240000000001E-2</v>
      </c>
      <c r="R7729">
        <v>-0.59307180000000004</v>
      </c>
      <c r="S7729">
        <v>-2.1756289999999998</v>
      </c>
      <c r="T7729">
        <v>-0.30349759999999998</v>
      </c>
      <c r="U7729">
        <v>-2.1289370000000001</v>
      </c>
      <c r="V7729">
        <v>-0.17731529999999901</v>
      </c>
      <c r="W7729">
        <v>4.074001E-2</v>
      </c>
      <c r="X7729">
        <v>0.98331049999999998</v>
      </c>
      <c r="Y7729">
        <v>-0.31230930000000001</v>
      </c>
      <c r="Z7729">
        <v>2.9617859999999999E-2</v>
      </c>
      <c r="AA7729">
        <v>0.94951870000000005</v>
      </c>
      <c r="AB7729">
        <v>24</v>
      </c>
      <c r="AC7729">
        <v>-7.78410000000002</v>
      </c>
      <c r="AD7729">
        <v>-1.114903005223</v>
      </c>
      <c r="AE7729">
        <v>-7.7102999999999797</v>
      </c>
      <c r="AF7729">
        <v>-3.44425456636163</v>
      </c>
      <c r="AG7729">
        <v>-1.114903005223</v>
      </c>
      <c r="AH7729">
        <v>10.282515220038601</v>
      </c>
      <c r="AI7729">
        <v>95.870102773135898</v>
      </c>
      <c r="AJ7729">
        <v>108.518905445108</v>
      </c>
      <c r="AK7729">
        <v>10.9011933970224</v>
      </c>
      <c r="AL7729">
        <v>87.6651231850188</v>
      </c>
      <c r="AM7729">
        <v>100.22200007421399</v>
      </c>
      <c r="AN7729">
        <v>1.00000000171957</v>
      </c>
    </row>
    <row r="7730" spans="1:40" x14ac:dyDescent="0.25">
      <c r="A7730" t="str">
        <f>"20190312150843478"</f>
        <v>20190312150843478</v>
      </c>
      <c r="B7730" t="str">
        <f>"1552374523467594"</f>
        <v>1552374523467594</v>
      </c>
      <c r="C7730" t="s">
        <v>40</v>
      </c>
      <c r="D7730">
        <v>4.2928350000000002</v>
      </c>
      <c r="E7730">
        <v>0.44630219999999998</v>
      </c>
      <c r="F7730" t="s">
        <v>77</v>
      </c>
      <c r="G7730">
        <v>-417.17649999999998</v>
      </c>
      <c r="H7730" s="1">
        <v>-3.8830099999999998E-6</v>
      </c>
      <c r="I7730">
        <v>125.5313</v>
      </c>
      <c r="J7730">
        <v>-409.36250000000001</v>
      </c>
      <c r="K7730">
        <v>1.114967</v>
      </c>
      <c r="L7730">
        <v>133.39150000000001</v>
      </c>
      <c r="M7730">
        <v>-0.89372129999999905</v>
      </c>
      <c r="N7730">
        <v>0</v>
      </c>
      <c r="O7730">
        <v>-0.44851010000000002</v>
      </c>
      <c r="P7730">
        <v>-0.80026079999999999</v>
      </c>
      <c r="Q7730">
        <v>3.3044759999999999E-2</v>
      </c>
      <c r="R7730">
        <v>-0.59874090000000002</v>
      </c>
      <c r="S7730">
        <v>-2.1590579999999999</v>
      </c>
      <c r="T7730">
        <v>-0.30028059999999901</v>
      </c>
      <c r="U7730">
        <v>-2.1463930000000002</v>
      </c>
      <c r="V7730">
        <v>-0.17669670000000001</v>
      </c>
      <c r="W7730">
        <v>4.0814799999999998E-2</v>
      </c>
      <c r="X7730">
        <v>0.98341880000000004</v>
      </c>
      <c r="Y7730">
        <v>-0.31251289999999998</v>
      </c>
      <c r="Z7730">
        <v>3.0023589999999999E-2</v>
      </c>
      <c r="AA7730">
        <v>0.94943889999999997</v>
      </c>
      <c r="AB7730">
        <v>24</v>
      </c>
      <c r="AC7730">
        <v>-7.8139999999999601</v>
      </c>
      <c r="AD7730">
        <v>-1.11497088301</v>
      </c>
      <c r="AE7730">
        <v>-7.8601999999999999</v>
      </c>
      <c r="AF7730">
        <v>-3.4850787376125001</v>
      </c>
      <c r="AG7730">
        <v>-1.11497088301</v>
      </c>
      <c r="AH7730">
        <v>10.404157135306299</v>
      </c>
      <c r="AI7730">
        <v>95.802280144025204</v>
      </c>
      <c r="AJ7730">
        <v>108.519295223106</v>
      </c>
      <c r="AK7730">
        <v>11.0288448884488</v>
      </c>
      <c r="AL7730">
        <v>87.660834588782393</v>
      </c>
      <c r="AM7730">
        <v>100.18598828808</v>
      </c>
      <c r="AN7730">
        <v>1.00000005394168</v>
      </c>
    </row>
    <row r="7731" spans="1:40" x14ac:dyDescent="0.25">
      <c r="A7731" t="str">
        <f>"20190312150843501"</f>
        <v>20190312150843501</v>
      </c>
      <c r="B7731" t="str">
        <f>"1552374523497851"</f>
        <v>1552374523497851</v>
      </c>
      <c r="C7731" t="s">
        <v>40</v>
      </c>
      <c r="D7731">
        <v>4.313313</v>
      </c>
      <c r="E7731">
        <v>0.44632080000000002</v>
      </c>
      <c r="F7731" t="s">
        <v>77</v>
      </c>
      <c r="G7731">
        <v>-417.29390000000001</v>
      </c>
      <c r="H7731" s="1">
        <v>-3.8180609999999999E-6</v>
      </c>
      <c r="I7731">
        <v>125.3913</v>
      </c>
      <c r="J7731">
        <v>-409.56670000000003</v>
      </c>
      <c r="K7731">
        <v>1.11504</v>
      </c>
      <c r="L7731">
        <v>133.2792</v>
      </c>
      <c r="M7731">
        <v>-0.89015109999999997</v>
      </c>
      <c r="N7731">
        <v>0</v>
      </c>
      <c r="O7731">
        <v>-0.45555370000000001</v>
      </c>
      <c r="P7731">
        <v>-0.79586650000000003</v>
      </c>
      <c r="Q7731">
        <v>3.2843669999999998E-2</v>
      </c>
      <c r="R7731">
        <v>-0.60458109999999998</v>
      </c>
      <c r="S7731">
        <v>-2.1435550000000001</v>
      </c>
      <c r="T7731">
        <v>-0.30133520000000003</v>
      </c>
      <c r="U7731">
        <v>-2.1621549999999998</v>
      </c>
      <c r="V7731">
        <v>-0.17612729999999999</v>
      </c>
      <c r="W7731">
        <v>4.0620900000000001E-2</v>
      </c>
      <c r="X7731">
        <v>0.98352890000000004</v>
      </c>
      <c r="Y7731">
        <v>-0.3119382</v>
      </c>
      <c r="Z7731">
        <v>3.090474E-2</v>
      </c>
      <c r="AA7731">
        <v>0.94959959999999999</v>
      </c>
      <c r="AB7731">
        <v>24</v>
      </c>
      <c r="AC7731">
        <v>-7.7271999999999803</v>
      </c>
      <c r="AD7731">
        <v>-1.1150438180610001</v>
      </c>
      <c r="AE7731">
        <v>-7.8879000000000001</v>
      </c>
      <c r="AF7731">
        <v>-3.46610229289639</v>
      </c>
      <c r="AG7731">
        <v>-1.1150438180610001</v>
      </c>
      <c r="AH7731">
        <v>10.36656163328</v>
      </c>
      <c r="AI7731">
        <v>95.824628560869101</v>
      </c>
      <c r="AJ7731">
        <v>108.48756929587699</v>
      </c>
      <c r="AK7731">
        <v>10.987392225528801</v>
      </c>
      <c r="AL7731">
        <v>87.671953312492093</v>
      </c>
      <c r="AM7731">
        <v>100.152735237843</v>
      </c>
      <c r="AN7731">
        <v>0.99999999022865504</v>
      </c>
    </row>
    <row r="7732" spans="1:40" x14ac:dyDescent="0.25">
      <c r="A7732" t="str">
        <f>"20190312150843524"</f>
        <v>20190312150843524</v>
      </c>
      <c r="B7732" t="str">
        <f>"1552374523517370"</f>
        <v>1552374523517370</v>
      </c>
      <c r="C7732" t="s">
        <v>40</v>
      </c>
      <c r="D7732">
        <v>4.3243749999999999</v>
      </c>
      <c r="E7732">
        <v>0.44682070000000002</v>
      </c>
      <c r="F7732" t="s">
        <v>77</v>
      </c>
      <c r="G7732">
        <v>-417.26870000000002</v>
      </c>
      <c r="H7732" s="1">
        <v>-3.8226819999999998E-6</v>
      </c>
      <c r="I7732">
        <v>125.39449999999999</v>
      </c>
      <c r="J7732">
        <v>-409.77960000000002</v>
      </c>
      <c r="K7732">
        <v>1.1151199999999999</v>
      </c>
      <c r="L7732">
        <v>133.15989999999999</v>
      </c>
      <c r="M7732">
        <v>-0.88630710000000001</v>
      </c>
      <c r="N7732">
        <v>0</v>
      </c>
      <c r="O7732">
        <v>-0.4629876</v>
      </c>
      <c r="P7732">
        <v>-0.79099600000000003</v>
      </c>
      <c r="Q7732">
        <v>3.309343E-2</v>
      </c>
      <c r="R7732">
        <v>-0.61092609999999903</v>
      </c>
      <c r="S7732">
        <v>-2.1275940000000002</v>
      </c>
      <c r="T7732">
        <v>-0.30802049999999997</v>
      </c>
      <c r="U7732">
        <v>-2.1780849999999998</v>
      </c>
      <c r="V7732">
        <v>-0.17577709999999999</v>
      </c>
      <c r="W7732">
        <v>4.0871020000000001E-2</v>
      </c>
      <c r="X7732">
        <v>0.98358120000000004</v>
      </c>
      <c r="Y7732">
        <v>-0.31107479999999998</v>
      </c>
      <c r="Z7732">
        <v>3.2437290000000001E-2</v>
      </c>
      <c r="AA7732">
        <v>0.94983169999999995</v>
      </c>
      <c r="AB7732">
        <v>24</v>
      </c>
      <c r="AC7732">
        <v>-7.4890999999999996</v>
      </c>
      <c r="AD7732">
        <v>-1.1151238226819999</v>
      </c>
      <c r="AE7732">
        <v>-7.7653999999999996</v>
      </c>
      <c r="AF7732">
        <v>-3.3792391444341301</v>
      </c>
      <c r="AG7732">
        <v>-1.1151238226819999</v>
      </c>
      <c r="AH7732">
        <v>10.1252700337054</v>
      </c>
      <c r="AI7732">
        <v>95.963956475639193</v>
      </c>
      <c r="AJ7732">
        <v>108.456077022892</v>
      </c>
      <c r="AK7732">
        <v>10.7323739960291</v>
      </c>
      <c r="AL7732">
        <v>87.657610610968803</v>
      </c>
      <c r="AM7732">
        <v>100.13243927361501</v>
      </c>
      <c r="AN7732">
        <v>1.0000000030768399</v>
      </c>
    </row>
    <row r="7733" spans="1:40" x14ac:dyDescent="0.25">
      <c r="A7733" t="str">
        <f>"20190312150843545"</f>
        <v>20190312150843545</v>
      </c>
      <c r="B7733" t="str">
        <f>"1552374523537867"</f>
        <v>1552374523537867</v>
      </c>
      <c r="C7733" t="s">
        <v>40</v>
      </c>
      <c r="D7733">
        <v>4.3231219999999997</v>
      </c>
      <c r="E7733">
        <v>0.44713930000000002</v>
      </c>
      <c r="F7733" t="s">
        <v>77</v>
      </c>
      <c r="G7733">
        <v>-417.34390000000002</v>
      </c>
      <c r="H7733" s="1">
        <v>-3.7829370000000002E-6</v>
      </c>
      <c r="I7733">
        <v>125.31010000000001</v>
      </c>
      <c r="J7733">
        <v>-409.97309999999999</v>
      </c>
      <c r="K7733">
        <v>1.1151990000000001</v>
      </c>
      <c r="L7733">
        <v>133.04920000000001</v>
      </c>
      <c r="M7733">
        <v>-0.88269430000000004</v>
      </c>
      <c r="N7733">
        <v>0</v>
      </c>
      <c r="O7733">
        <v>-0.46983799999999998</v>
      </c>
      <c r="P7733">
        <v>-0.78669690000000003</v>
      </c>
      <c r="Q7733">
        <v>3.318484E-2</v>
      </c>
      <c r="R7733">
        <v>-0.61644690000000002</v>
      </c>
      <c r="S7733">
        <v>-2.1125180000000001</v>
      </c>
      <c r="T7733">
        <v>-0.31142500000000001</v>
      </c>
      <c r="U7733">
        <v>-2.1922299999999999</v>
      </c>
      <c r="V7733">
        <v>-0.17505409999999999</v>
      </c>
      <c r="W7733">
        <v>4.0966790000000003E-2</v>
      </c>
      <c r="X7733">
        <v>0.98370619999999998</v>
      </c>
      <c r="Y7733">
        <v>-0.31020599999999998</v>
      </c>
      <c r="Z7733">
        <v>3.3596069999999999E-2</v>
      </c>
      <c r="AA7733">
        <v>0.95007560000000002</v>
      </c>
      <c r="AB7733">
        <v>24</v>
      </c>
      <c r="AC7733">
        <v>-7.3708000000000302</v>
      </c>
      <c r="AD7733">
        <v>-1.1152027829369999</v>
      </c>
      <c r="AE7733">
        <v>-7.7390999999999996</v>
      </c>
      <c r="AF7733">
        <v>-3.3320707542964101</v>
      </c>
      <c r="AG7733">
        <v>-1.1152027829369999</v>
      </c>
      <c r="AH7733">
        <v>10.0335613748758</v>
      </c>
      <c r="AI7733">
        <v>96.021449020391202</v>
      </c>
      <c r="AJ7733">
        <v>108.37094136667299</v>
      </c>
      <c r="AK7733">
        <v>10.631026602455099</v>
      </c>
      <c r="AL7733">
        <v>87.652118909234204</v>
      </c>
      <c r="AM7733">
        <v>100.090365212035</v>
      </c>
      <c r="AN7733">
        <v>1.0000000518640699</v>
      </c>
    </row>
    <row r="7734" spans="1:40" x14ac:dyDescent="0.25">
      <c r="A7734" t="str">
        <f>"20190312150843568"</f>
        <v>20190312150843568</v>
      </c>
      <c r="B7734" t="str">
        <f>"1552374523557387"</f>
        <v>1552374523557387</v>
      </c>
      <c r="C7734" t="s">
        <v>40</v>
      </c>
      <c r="D7734">
        <v>4.3656319999999997</v>
      </c>
      <c r="E7734">
        <v>0.44757659999999999</v>
      </c>
      <c r="F7734" t="s">
        <v>77</v>
      </c>
      <c r="G7734">
        <v>-417.40519999999998</v>
      </c>
      <c r="H7734" s="1">
        <v>-3.7501220000000001E-6</v>
      </c>
      <c r="I7734">
        <v>125.2402</v>
      </c>
      <c r="J7734">
        <v>-410.1746</v>
      </c>
      <c r="K7734">
        <v>1.1152869999999999</v>
      </c>
      <c r="L7734">
        <v>132.9315</v>
      </c>
      <c r="M7734">
        <v>-0.87880400000000003</v>
      </c>
      <c r="N7734">
        <v>0</v>
      </c>
      <c r="O7734">
        <v>-0.47707440000000001</v>
      </c>
      <c r="P7734">
        <v>-0.7820047</v>
      </c>
      <c r="Q7734">
        <v>3.3240409999999998E-2</v>
      </c>
      <c r="R7734">
        <v>-0.62238570000000004</v>
      </c>
      <c r="S7734">
        <v>-2.0987550000000001</v>
      </c>
      <c r="T7734">
        <v>-0.31491930000000001</v>
      </c>
      <c r="U7734">
        <v>-2.2051539999999998</v>
      </c>
      <c r="V7734">
        <v>-0.17443029999999901</v>
      </c>
      <c r="W7734">
        <v>4.1023009999999999E-2</v>
      </c>
      <c r="X7734">
        <v>0.98381459999999998</v>
      </c>
      <c r="Y7734">
        <v>-0.30833719999999998</v>
      </c>
      <c r="Z7734">
        <v>3.4873109999999999E-2</v>
      </c>
      <c r="AA7734">
        <v>0.95063770000000003</v>
      </c>
      <c r="AB7734">
        <v>24</v>
      </c>
      <c r="AC7734">
        <v>-7.2305999999999804</v>
      </c>
      <c r="AD7734">
        <v>-1.115290750122</v>
      </c>
      <c r="AE7734">
        <v>-7.6912999999999903</v>
      </c>
      <c r="AF7734">
        <v>-3.2732462554080901</v>
      </c>
      <c r="AG7734">
        <v>-1.115290750122</v>
      </c>
      <c r="AH7734">
        <v>9.9134668643482797</v>
      </c>
      <c r="AI7734">
        <v>96.0977757364723</v>
      </c>
      <c r="AJ7734">
        <v>108.27228245527</v>
      </c>
      <c r="AK7734">
        <v>10.499278059770599</v>
      </c>
      <c r="AL7734">
        <v>87.648894889811004</v>
      </c>
      <c r="AM7734">
        <v>100.054058208532</v>
      </c>
      <c r="AN7734">
        <v>0.99999999204035495</v>
      </c>
    </row>
    <row r="7735" spans="1:40" x14ac:dyDescent="0.25">
      <c r="A7735" t="str">
        <f>"20190312150843589"</f>
        <v>20190312150843589</v>
      </c>
      <c r="B7735" t="str">
        <f>"1552374523577883"</f>
        <v>1552374523577883</v>
      </c>
      <c r="C7735" t="s">
        <v>40</v>
      </c>
      <c r="D7735">
        <v>4.3498049999999999</v>
      </c>
      <c r="E7735">
        <v>0.4481445</v>
      </c>
      <c r="F7735" t="s">
        <v>77</v>
      </c>
      <c r="G7735">
        <v>-417.5068</v>
      </c>
      <c r="H7735" s="1">
        <v>-3.69645E-6</v>
      </c>
      <c r="I7735">
        <v>125.1263</v>
      </c>
      <c r="J7735">
        <v>-410.37479999999999</v>
      </c>
      <c r="K7735">
        <v>1.1153630000000001</v>
      </c>
      <c r="L7735">
        <v>132.81219999999999</v>
      </c>
      <c r="M7735">
        <v>-0.87481900000000001</v>
      </c>
      <c r="N7735">
        <v>0</v>
      </c>
      <c r="O7735">
        <v>-0.48434260000000001</v>
      </c>
      <c r="P7735">
        <v>-0.77763719999999903</v>
      </c>
      <c r="Q7735">
        <v>3.3026989999999999E-2</v>
      </c>
      <c r="R7735">
        <v>-0.62784530000000005</v>
      </c>
      <c r="S7735">
        <v>-2.0841059999999998</v>
      </c>
      <c r="T7735">
        <v>-0.31700859999999997</v>
      </c>
      <c r="U7735">
        <v>-2.218521</v>
      </c>
      <c r="V7735">
        <v>-0.1731626</v>
      </c>
      <c r="W7735">
        <v>4.082243E-2</v>
      </c>
      <c r="X7735">
        <v>0.98404689999999995</v>
      </c>
      <c r="Y7735">
        <v>-0.30668859999999998</v>
      </c>
      <c r="Z7735">
        <v>3.6006589999999998E-2</v>
      </c>
      <c r="AA7735">
        <v>0.95112859999999999</v>
      </c>
      <c r="AB7735">
        <v>24</v>
      </c>
      <c r="AC7735">
        <v>-7.1319999999999997</v>
      </c>
      <c r="AD7735">
        <v>-1.11536669645</v>
      </c>
      <c r="AE7735">
        <v>-7.6858999999999797</v>
      </c>
      <c r="AF7735">
        <v>-3.23302559271692</v>
      </c>
      <c r="AG7735">
        <v>-1.11536669645</v>
      </c>
      <c r="AH7735">
        <v>9.8508652590297796</v>
      </c>
      <c r="AI7735">
        <v>96.140237372565494</v>
      </c>
      <c r="AJ7735">
        <v>108.169686893045</v>
      </c>
      <c r="AK7735">
        <v>10.4276576325784</v>
      </c>
      <c r="AL7735">
        <v>87.660396999240305</v>
      </c>
      <c r="AM7735">
        <v>99.980154539012105</v>
      </c>
      <c r="AN7735">
        <v>1.00000002911473</v>
      </c>
    </row>
    <row r="7736" spans="1:40" x14ac:dyDescent="0.25">
      <c r="A7736" t="str">
        <f>"20190312150843612"</f>
        <v>20190312150843612</v>
      </c>
      <c r="B7736" t="str">
        <f>"1552374523607162"</f>
        <v>1552374523607162</v>
      </c>
      <c r="C7736" t="s">
        <v>40</v>
      </c>
      <c r="D7736">
        <v>4.352252</v>
      </c>
      <c r="E7736">
        <v>0.44881520000000003</v>
      </c>
      <c r="F7736" t="s">
        <v>77</v>
      </c>
      <c r="G7736">
        <v>-417.60719999999998</v>
      </c>
      <c r="H7736" s="1">
        <v>-3.6478110000000001E-6</v>
      </c>
      <c r="I7736">
        <v>125.0265</v>
      </c>
      <c r="J7736">
        <v>-410.57530000000003</v>
      </c>
      <c r="K7736">
        <v>1.115429</v>
      </c>
      <c r="L7736">
        <v>132.69049999999999</v>
      </c>
      <c r="M7736">
        <v>-0.87070419999999904</v>
      </c>
      <c r="N7736">
        <v>0</v>
      </c>
      <c r="O7736">
        <v>-0.4917011</v>
      </c>
      <c r="P7736">
        <v>-0.77267319999999995</v>
      </c>
      <c r="Q7736">
        <v>3.2467120000000002E-2</v>
      </c>
      <c r="R7736">
        <v>-0.63397369999999897</v>
      </c>
      <c r="S7736">
        <v>-2.0711979999999999</v>
      </c>
      <c r="T7736">
        <v>-0.31941429999999998</v>
      </c>
      <c r="U7736">
        <v>-2.2296450000000001</v>
      </c>
      <c r="V7736">
        <v>-0.17263429999999999</v>
      </c>
      <c r="W7736">
        <v>4.0266419999999997E-2</v>
      </c>
      <c r="X7736">
        <v>0.9841626</v>
      </c>
      <c r="Y7736">
        <v>-0.30403560000000002</v>
      </c>
      <c r="Z7736">
        <v>3.7252569999999999E-2</v>
      </c>
      <c r="AA7736">
        <v>0.95193209999999995</v>
      </c>
      <c r="AB7736">
        <v>24</v>
      </c>
      <c r="AC7736">
        <v>-7.0318999999999496</v>
      </c>
      <c r="AD7736">
        <v>-1.1154326478109999</v>
      </c>
      <c r="AE7736">
        <v>-7.6639999999999802</v>
      </c>
      <c r="AF7736">
        <v>-3.17909006619072</v>
      </c>
      <c r="AG7736">
        <v>-1.1154326478109999</v>
      </c>
      <c r="AH7736">
        <v>9.7791511884549305</v>
      </c>
      <c r="AI7736">
        <v>96.1909146269915</v>
      </c>
      <c r="AJ7736">
        <v>108.008750257401</v>
      </c>
      <c r="AK7736">
        <v>10.343239415551301</v>
      </c>
      <c r="AL7736">
        <v>87.692280185085096</v>
      </c>
      <c r="AM7736">
        <v>99.949169214778905</v>
      </c>
      <c r="AN7736">
        <v>1.00000000467743</v>
      </c>
    </row>
    <row r="7737" spans="1:40" x14ac:dyDescent="0.25">
      <c r="A7737" t="str">
        <f>"20190312150843634"</f>
        <v>20190312150843634</v>
      </c>
      <c r="B7737" t="str">
        <f>"1552374523627663"</f>
        <v>1552374523627663</v>
      </c>
      <c r="C7737" t="s">
        <v>40</v>
      </c>
      <c r="D7737">
        <v>4.3881699999999997</v>
      </c>
      <c r="E7737">
        <v>0.44923390000000002</v>
      </c>
      <c r="F7737" t="s">
        <v>77</v>
      </c>
      <c r="G7737">
        <v>-417.65019999999998</v>
      </c>
      <c r="H7737" s="1">
        <v>-3.625122E-6</v>
      </c>
      <c r="I7737">
        <v>124.97839999999999</v>
      </c>
      <c r="J7737">
        <v>-410.77379999999999</v>
      </c>
      <c r="K7737">
        <v>1.115494</v>
      </c>
      <c r="L7737">
        <v>132.5675</v>
      </c>
      <c r="M7737">
        <v>-0.8665003</v>
      </c>
      <c r="N7737">
        <v>0</v>
      </c>
      <c r="O7737">
        <v>-0.4990713</v>
      </c>
      <c r="P7737">
        <v>-0.76744799999999902</v>
      </c>
      <c r="Q7737">
        <v>3.1638090000000001E-2</v>
      </c>
      <c r="R7737">
        <v>-0.64032999999999995</v>
      </c>
      <c r="S7737">
        <v>-2.0567319999999998</v>
      </c>
      <c r="T7737">
        <v>-0.32426159999999998</v>
      </c>
      <c r="U7737">
        <v>-2.241943</v>
      </c>
      <c r="V7737">
        <v>-0.1723857</v>
      </c>
      <c r="W7737">
        <v>3.9438809999999998E-2</v>
      </c>
      <c r="X7737">
        <v>0.98423970000000005</v>
      </c>
      <c r="Y7737">
        <v>-0.30194910000000003</v>
      </c>
      <c r="Z7737">
        <v>3.8777989999999998E-2</v>
      </c>
      <c r="AA7737">
        <v>0.95253500000000002</v>
      </c>
      <c r="AB7737">
        <v>24</v>
      </c>
      <c r="AC7737">
        <v>-6.8763999999999896</v>
      </c>
      <c r="AD7737">
        <v>-1.1154976251219999</v>
      </c>
      <c r="AE7737">
        <v>-7.5891000000000002</v>
      </c>
      <c r="AF7737">
        <v>-3.1074406650857802</v>
      </c>
      <c r="AG7737">
        <v>-1.1154976251219999</v>
      </c>
      <c r="AH7737">
        <v>9.6321367319265701</v>
      </c>
      <c r="AI7737">
        <v>96.289546506013494</v>
      </c>
      <c r="AJ7737">
        <v>107.880311743513</v>
      </c>
      <c r="AK7737">
        <v>10.182267942909901</v>
      </c>
      <c r="AL7737">
        <v>87.739736477563696</v>
      </c>
      <c r="AM7737">
        <v>99.934364939863102</v>
      </c>
      <c r="AN7737">
        <v>1.00000001817739</v>
      </c>
    </row>
    <row r="7738" spans="1:40" x14ac:dyDescent="0.25">
      <c r="A7738" t="str">
        <f>"20190312150843656"</f>
        <v>20190312150843656</v>
      </c>
      <c r="B7738" t="str">
        <f>"1552374523647178"</f>
        <v>1552374523647178</v>
      </c>
      <c r="C7738" t="s">
        <v>40</v>
      </c>
      <c r="D7738">
        <v>4.4373969999999998</v>
      </c>
      <c r="E7738">
        <v>0.44967570000000001</v>
      </c>
      <c r="F7738" t="s">
        <v>77</v>
      </c>
      <c r="G7738">
        <v>-417.73200000000003</v>
      </c>
      <c r="H7738" s="1">
        <v>-3.5771910000000002E-6</v>
      </c>
      <c r="I7738">
        <v>124.87309999999999</v>
      </c>
      <c r="J7738">
        <v>-410.97390000000001</v>
      </c>
      <c r="K7738">
        <v>1.1155619999999999</v>
      </c>
      <c r="L7738">
        <v>132.44110000000001</v>
      </c>
      <c r="M7738">
        <v>-0.86212559999999905</v>
      </c>
      <c r="N7738">
        <v>0</v>
      </c>
      <c r="O7738">
        <v>-0.50659009999999904</v>
      </c>
      <c r="P7738">
        <v>-0.76185389999999997</v>
      </c>
      <c r="Q7738">
        <v>3.1213609999999999E-2</v>
      </c>
      <c r="R7738">
        <v>-0.64699669999999998</v>
      </c>
      <c r="S7738">
        <v>-2.040222</v>
      </c>
      <c r="T7738">
        <v>-0.32707429999999998</v>
      </c>
      <c r="U7738">
        <v>-2.2560730000000002</v>
      </c>
      <c r="V7738">
        <v>-0.17239699999999999</v>
      </c>
      <c r="W7738">
        <v>3.9014279999999998E-2</v>
      </c>
      <c r="X7738">
        <v>0.98425459999999998</v>
      </c>
      <c r="Y7738">
        <v>-0.30050890000000002</v>
      </c>
      <c r="Z7738">
        <v>4.0068949999999999E-2</v>
      </c>
      <c r="AA7738">
        <v>0.95293689999999998</v>
      </c>
      <c r="AB7738">
        <v>24</v>
      </c>
      <c r="AC7738">
        <v>-6.75809999999995</v>
      </c>
      <c r="AD7738">
        <v>-1.115565577191</v>
      </c>
      <c r="AE7738">
        <v>-7.5680000000000103</v>
      </c>
      <c r="AF7738">
        <v>-3.0641032995290201</v>
      </c>
      <c r="AG7738">
        <v>-1.115565577191</v>
      </c>
      <c r="AH7738">
        <v>9.5453262594572195</v>
      </c>
      <c r="AI7738">
        <v>96.349614937847505</v>
      </c>
      <c r="AJ7738">
        <v>107.796921720147</v>
      </c>
      <c r="AK7738">
        <v>10.0869454735654</v>
      </c>
      <c r="AL7738">
        <v>87.764078901514793</v>
      </c>
      <c r="AM7738">
        <v>99.934855766657705</v>
      </c>
      <c r="AN7738">
        <v>0.99999997863703805</v>
      </c>
    </row>
    <row r="7739" spans="1:40" x14ac:dyDescent="0.25">
      <c r="A7739" t="str">
        <f>"20190312150843678"</f>
        <v>20190312150843678</v>
      </c>
      <c r="B7739" t="str">
        <f>"1552374523667674"</f>
        <v>1552374523667674</v>
      </c>
      <c r="C7739" t="s">
        <v>40</v>
      </c>
      <c r="D7739">
        <v>4.4070479999999996</v>
      </c>
      <c r="E7739">
        <v>0.45019789999999998</v>
      </c>
      <c r="F7739" t="s">
        <v>77</v>
      </c>
      <c r="G7739">
        <v>-417.83139999999997</v>
      </c>
      <c r="H7739" s="1">
        <v>-3.5170259999999998E-6</v>
      </c>
      <c r="I7739">
        <v>124.7397</v>
      </c>
      <c r="J7739">
        <v>-411.17140000000001</v>
      </c>
      <c r="K7739">
        <v>1.115639</v>
      </c>
      <c r="L7739">
        <v>132.31389999999999</v>
      </c>
      <c r="M7739">
        <v>-0.85766790000000004</v>
      </c>
      <c r="N7739">
        <v>0</v>
      </c>
      <c r="O7739">
        <v>-0.51410059999999902</v>
      </c>
      <c r="P7739">
        <v>-0.75577090000000002</v>
      </c>
      <c r="Q7739">
        <v>3.113579E-2</v>
      </c>
      <c r="R7739">
        <v>-0.6540958</v>
      </c>
      <c r="S7739">
        <v>-2.0223689999999999</v>
      </c>
      <c r="T7739">
        <v>-0.3289958</v>
      </c>
      <c r="U7739">
        <v>-2.271271</v>
      </c>
      <c r="V7739">
        <v>-0.1730138</v>
      </c>
      <c r="W7739">
        <v>3.8928989999999997E-2</v>
      </c>
      <c r="X7739">
        <v>0.98414979999999996</v>
      </c>
      <c r="Y7739">
        <v>-0.299568099999999</v>
      </c>
      <c r="Z7739">
        <v>4.1239680000000001E-2</v>
      </c>
      <c r="AA7739">
        <v>0.95318320000000001</v>
      </c>
      <c r="AB7739">
        <v>24</v>
      </c>
      <c r="AC7739">
        <v>-6.6599999999999602</v>
      </c>
      <c r="AD7739">
        <v>-1.115642517026</v>
      </c>
      <c r="AE7739">
        <v>-7.5741999999999896</v>
      </c>
      <c r="AF7739">
        <v>-3.0352632367530998</v>
      </c>
      <c r="AG7739">
        <v>-1.115642517026</v>
      </c>
      <c r="AH7739">
        <v>9.4903593016647605</v>
      </c>
      <c r="AI7739">
        <v>96.388696444248396</v>
      </c>
      <c r="AJ7739">
        <v>107.735625463514</v>
      </c>
      <c r="AK7739">
        <v>10.026185756152501</v>
      </c>
      <c r="AL7739">
        <v>87.768969499777697</v>
      </c>
      <c r="AM7739">
        <v>99.9707290208692</v>
      </c>
      <c r="AN7739">
        <v>1.00000003504644</v>
      </c>
    </row>
    <row r="7740" spans="1:40" x14ac:dyDescent="0.25">
      <c r="A7740" t="str">
        <f>"20190312150843701"</f>
        <v>20190312150843701</v>
      </c>
      <c r="B7740" t="str">
        <f>"1552374523697930"</f>
        <v>1552374523697930</v>
      </c>
      <c r="C7740" t="s">
        <v>40</v>
      </c>
      <c r="D7740">
        <v>4.3138730000000001</v>
      </c>
      <c r="E7740">
        <v>0.43475209999999997</v>
      </c>
      <c r="F7740" t="s">
        <v>77</v>
      </c>
      <c r="G7740">
        <v>-417.93150000000003</v>
      </c>
      <c r="H7740" s="1">
        <v>-3.449494E-6</v>
      </c>
      <c r="I7740">
        <v>124.5994</v>
      </c>
      <c r="J7740">
        <v>-411.3707</v>
      </c>
      <c r="K7740">
        <v>1.1157250000000001</v>
      </c>
      <c r="L7740">
        <v>132.18289999999999</v>
      </c>
      <c r="M7740">
        <v>-0.85302469999999997</v>
      </c>
      <c r="N7740">
        <v>0</v>
      </c>
      <c r="O7740">
        <v>-0.52176800000000001</v>
      </c>
      <c r="P7740">
        <v>-0.74980069999999999</v>
      </c>
      <c r="Q7740">
        <v>3.1332430000000001E-2</v>
      </c>
      <c r="R7740">
        <v>-0.66092139999999999</v>
      </c>
      <c r="S7740">
        <v>-2.0039370000000001</v>
      </c>
      <c r="T7740">
        <v>-0.33071739999999999</v>
      </c>
      <c r="U7740">
        <v>-2.2868650000000001</v>
      </c>
      <c r="V7740">
        <v>-0.1731307</v>
      </c>
      <c r="W7740">
        <v>3.9124819999999998E-2</v>
      </c>
      <c r="X7740">
        <v>0.98412140000000004</v>
      </c>
      <c r="Y7740">
        <v>-0.29862840000000002</v>
      </c>
      <c r="Z7740">
        <v>4.2414260000000002E-2</v>
      </c>
      <c r="AA7740">
        <v>0.95342649999999995</v>
      </c>
      <c r="AB7740">
        <v>24</v>
      </c>
      <c r="AC7740">
        <v>-6.5608000000000199</v>
      </c>
      <c r="AD7740">
        <v>-1.1157284494939901</v>
      </c>
      <c r="AE7740">
        <v>-7.5834999999999804</v>
      </c>
      <c r="AF7740">
        <v>-3.0086137570654898</v>
      </c>
      <c r="AG7740">
        <v>-1.1157284494939901</v>
      </c>
      <c r="AH7740">
        <v>9.4370331296278298</v>
      </c>
      <c r="AI7740">
        <v>96.426864249432299</v>
      </c>
      <c r="AJ7740">
        <v>107.682764265534</v>
      </c>
      <c r="AK7740">
        <v>9.9676577490354905</v>
      </c>
      <c r="AL7740">
        <v>87.757740545607703</v>
      </c>
      <c r="AM7740">
        <v>99.977612747603104</v>
      </c>
      <c r="AN7740">
        <v>0.99999996038023997</v>
      </c>
    </row>
    <row r="7741" spans="1:40" x14ac:dyDescent="0.25">
      <c r="A7741" t="str">
        <f>"20190312150843724"</f>
        <v>20190312150843724</v>
      </c>
      <c r="B7741" t="str">
        <f>"1552374523717450"</f>
        <v>1552374523717450</v>
      </c>
      <c r="C7741" t="s">
        <v>40</v>
      </c>
      <c r="D7741">
        <v>4.3462009999999998</v>
      </c>
      <c r="E7741">
        <v>0.42961349999999998</v>
      </c>
      <c r="F7741" t="s">
        <v>77</v>
      </c>
      <c r="G7741">
        <v>-417.23289999999997</v>
      </c>
      <c r="H7741" s="1">
        <v>-3.6152429999999998E-6</v>
      </c>
      <c r="I7741">
        <v>124.7825</v>
      </c>
      <c r="J7741">
        <v>-411.56700000000001</v>
      </c>
      <c r="K7741">
        <v>1.115815</v>
      </c>
      <c r="L7741">
        <v>132.0513</v>
      </c>
      <c r="M7741">
        <v>-0.84829900000000003</v>
      </c>
      <c r="N7741">
        <v>0</v>
      </c>
      <c r="O7741">
        <v>-0.52941569999999905</v>
      </c>
      <c r="P7741">
        <v>-0.74357859999999998</v>
      </c>
      <c r="Q7741">
        <v>3.140072E-2</v>
      </c>
      <c r="R7741">
        <v>-0.66791119999999904</v>
      </c>
      <c r="S7741">
        <v>-1.900909</v>
      </c>
      <c r="T7741">
        <v>-0.36179480000000003</v>
      </c>
      <c r="U7741">
        <v>-2.3997039999999998</v>
      </c>
      <c r="V7741">
        <v>-0.17350660000000001</v>
      </c>
      <c r="W7741">
        <v>3.9186760000000001E-2</v>
      </c>
      <c r="X7741">
        <v>0.98405279999999995</v>
      </c>
      <c r="Y7741">
        <v>-0.33711079999999999</v>
      </c>
      <c r="Z7741">
        <v>4.4958459999999999E-2</v>
      </c>
      <c r="AA7741">
        <v>0.94039090000000003</v>
      </c>
      <c r="AB7741">
        <v>24</v>
      </c>
      <c r="AC7741">
        <v>-5.6659000000000201</v>
      </c>
      <c r="AD7741">
        <v>-1.1158186152429901</v>
      </c>
      <c r="AE7741">
        <v>-7.2687999999999899</v>
      </c>
      <c r="AF7741">
        <v>-3.1209224322451501</v>
      </c>
      <c r="AG7741">
        <v>-1.1158186152429901</v>
      </c>
      <c r="AH7741">
        <v>8.5300244734793509</v>
      </c>
      <c r="AI7741">
        <v>97.003495476964304</v>
      </c>
      <c r="AJ7741">
        <v>110.096308002447</v>
      </c>
      <c r="AK7741">
        <v>9.1513127762289095</v>
      </c>
      <c r="AL7741">
        <v>87.754189072685605</v>
      </c>
      <c r="AM7741">
        <v>99.999522326655097</v>
      </c>
      <c r="AN7741">
        <v>1.00000002779534</v>
      </c>
    </row>
    <row r="7742" spans="1:40" x14ac:dyDescent="0.25">
      <c r="A7742" t="str">
        <f>"20190312150843746"</f>
        <v>20190312150843746</v>
      </c>
      <c r="B7742" t="str">
        <f>"1552374523737947"</f>
        <v>1552374523737947</v>
      </c>
      <c r="C7742" t="s">
        <v>40</v>
      </c>
      <c r="D7742">
        <v>4.3216479999999997</v>
      </c>
      <c r="E7742">
        <v>0.427147</v>
      </c>
      <c r="F7742" t="s">
        <v>77</v>
      </c>
      <c r="G7742">
        <v>-417.44779999999997</v>
      </c>
      <c r="H7742" s="1">
        <v>-3.311484E-6</v>
      </c>
      <c r="I7742">
        <v>124.27630000000001</v>
      </c>
      <c r="J7742">
        <v>-411.76139999999998</v>
      </c>
      <c r="K7742">
        <v>1.115907</v>
      </c>
      <c r="L7742">
        <v>131.91810000000001</v>
      </c>
      <c r="M7742">
        <v>-0.84346189999999999</v>
      </c>
      <c r="N7742">
        <v>0</v>
      </c>
      <c r="O7742">
        <v>-0.53708789999999995</v>
      </c>
      <c r="P7742">
        <v>-0.73747069999999904</v>
      </c>
      <c r="Q7742">
        <v>3.1271180000000003E-2</v>
      </c>
      <c r="R7742">
        <v>-0.67465509999999995</v>
      </c>
      <c r="S7742">
        <v>-1.8510740000000001</v>
      </c>
      <c r="T7742">
        <v>-0.35122589999999998</v>
      </c>
      <c r="U7742">
        <v>-2.447327</v>
      </c>
      <c r="V7742">
        <v>-0.17354649999999999</v>
      </c>
      <c r="W7742">
        <v>3.90543E-2</v>
      </c>
      <c r="X7742">
        <v>0.98405100000000001</v>
      </c>
      <c r="Y7742">
        <v>-0.34950379999999998</v>
      </c>
      <c r="Z7742">
        <v>4.3870350000000002E-2</v>
      </c>
      <c r="AA7742">
        <v>0.9359073</v>
      </c>
      <c r="AB7742">
        <v>24</v>
      </c>
      <c r="AC7742">
        <v>-5.6863999999999901</v>
      </c>
      <c r="AD7742">
        <v>-1.1159103114840001</v>
      </c>
      <c r="AE7742">
        <v>-7.6417999999999999</v>
      </c>
      <c r="AF7742">
        <v>-3.3457361100849798</v>
      </c>
      <c r="AG7742">
        <v>-1.1159103114840001</v>
      </c>
      <c r="AH7742">
        <v>8.7805546303555193</v>
      </c>
      <c r="AI7742">
        <v>96.772697203945697</v>
      </c>
      <c r="AJ7742">
        <v>110.858805272965</v>
      </c>
      <c r="AK7742">
        <v>9.4624175324417408</v>
      </c>
      <c r="AL7742">
        <v>87.761784219539294</v>
      </c>
      <c r="AM7742">
        <v>100.001793341038</v>
      </c>
      <c r="AN7742">
        <v>0.99999999830586905</v>
      </c>
    </row>
    <row r="7743" spans="1:40" x14ac:dyDescent="0.25">
      <c r="A7743" t="str">
        <f>"20190312150843768"</f>
        <v>20190312150843768</v>
      </c>
      <c r="B7743" t="str">
        <f>"1552374523757467"</f>
        <v>1552374523757467</v>
      </c>
      <c r="C7743" t="s">
        <v>40</v>
      </c>
      <c r="D7743">
        <v>4.308935</v>
      </c>
      <c r="E7743">
        <v>0.42571930000000002</v>
      </c>
      <c r="F7743" t="s">
        <v>77</v>
      </c>
      <c r="G7743">
        <v>-417.41860000000003</v>
      </c>
      <c r="H7743" s="1">
        <v>-3.262427E-6</v>
      </c>
      <c r="I7743">
        <v>124.1927</v>
      </c>
      <c r="J7743">
        <v>-411.95179999999999</v>
      </c>
      <c r="K7743">
        <v>1.115991</v>
      </c>
      <c r="L7743">
        <v>131.78489999999999</v>
      </c>
      <c r="M7743">
        <v>-0.83856350000000002</v>
      </c>
      <c r="N7743">
        <v>0</v>
      </c>
      <c r="O7743">
        <v>-0.54470350000000001</v>
      </c>
      <c r="P7743">
        <v>-0.73120620000000003</v>
      </c>
      <c r="Q7743">
        <v>3.0458900000000001E-2</v>
      </c>
      <c r="R7743">
        <v>-0.68147619999999998</v>
      </c>
      <c r="S7743">
        <v>-1.815369</v>
      </c>
      <c r="T7743">
        <v>-0.35808430000000002</v>
      </c>
      <c r="U7743">
        <v>-2.4789889999999999</v>
      </c>
      <c r="V7743">
        <v>-0.1737551</v>
      </c>
      <c r="W7743">
        <v>3.8237130000000001E-2</v>
      </c>
      <c r="X7743">
        <v>0.98404630000000004</v>
      </c>
      <c r="Y7743">
        <v>-0.35553960000000001</v>
      </c>
      <c r="Z7743">
        <v>4.5321359999999998E-2</v>
      </c>
      <c r="AA7743">
        <v>0.93356170000000005</v>
      </c>
      <c r="AB7743">
        <v>24</v>
      </c>
      <c r="AC7743">
        <v>-5.4668000000000303</v>
      </c>
      <c r="AD7743">
        <v>-1.1159942624270001</v>
      </c>
      <c r="AE7743">
        <v>-7.5921999999999903</v>
      </c>
      <c r="AF7743">
        <v>-3.3413966768496399</v>
      </c>
      <c r="AG7743">
        <v>-1.1159942624270001</v>
      </c>
      <c r="AH7743">
        <v>8.5978926970019494</v>
      </c>
      <c r="AI7743">
        <v>96.898315789714204</v>
      </c>
      <c r="AJ7743">
        <v>111.237606067646</v>
      </c>
      <c r="AK7743">
        <v>9.2916163166045092</v>
      </c>
      <c r="AL7743">
        <v>87.808639655571397</v>
      </c>
      <c r="AM7743">
        <v>100.013619017594</v>
      </c>
      <c r="AN7743">
        <v>1.0000000167151599</v>
      </c>
    </row>
    <row r="7744" spans="1:40" x14ac:dyDescent="0.25">
      <c r="A7744" t="str">
        <f>"20190312150843790"</f>
        <v>20190312150843790</v>
      </c>
      <c r="B7744" t="str">
        <f>"1552374523787723"</f>
        <v>1552374523787723</v>
      </c>
      <c r="C7744" t="s">
        <v>40</v>
      </c>
      <c r="D7744">
        <v>4.3154760000000003</v>
      </c>
      <c r="E7744">
        <v>0.42512159999999899</v>
      </c>
      <c r="F7744" t="s">
        <v>77</v>
      </c>
      <c r="G7744">
        <v>-417.29149999999998</v>
      </c>
      <c r="H7744" s="1">
        <v>-3.3434130000000002E-6</v>
      </c>
      <c r="I7744">
        <v>124.2923</v>
      </c>
      <c r="J7744">
        <v>-412.14589999999998</v>
      </c>
      <c r="K7744">
        <v>1.1160699999999999</v>
      </c>
      <c r="L7744">
        <v>131.6463</v>
      </c>
      <c r="M7744">
        <v>-0.83341180000000004</v>
      </c>
      <c r="N7744">
        <v>0</v>
      </c>
      <c r="O7744">
        <v>-0.55255279999999996</v>
      </c>
      <c r="P7744">
        <v>-0.7243366</v>
      </c>
      <c r="Q7744">
        <v>3.0090220000000001E-2</v>
      </c>
      <c r="R7744">
        <v>-0.68878969999999995</v>
      </c>
      <c r="S7744">
        <v>-1.7845759999999999</v>
      </c>
      <c r="T7744">
        <v>-0.37297269999999999</v>
      </c>
      <c r="U7744">
        <v>-2.5040740000000001</v>
      </c>
      <c r="V7744">
        <v>-0.1743981</v>
      </c>
      <c r="W7744">
        <v>3.7857370000000001E-2</v>
      </c>
      <c r="X7744">
        <v>0.98394720000000002</v>
      </c>
      <c r="Y7744">
        <v>-0.35889070000000001</v>
      </c>
      <c r="Z7744">
        <v>4.8026579999999999E-2</v>
      </c>
      <c r="AA7744">
        <v>0.93214319999999895</v>
      </c>
      <c r="AB7744">
        <v>24</v>
      </c>
      <c r="AC7744">
        <v>-5.1456</v>
      </c>
      <c r="AD7744">
        <v>-1.1160733434129999</v>
      </c>
      <c r="AE7744">
        <v>-7.3539999999999903</v>
      </c>
      <c r="AF7744">
        <v>-3.2358421518099498</v>
      </c>
      <c r="AG7744">
        <v>-1.1160733434129999</v>
      </c>
      <c r="AH7744">
        <v>8.2251573431317393</v>
      </c>
      <c r="AI7744">
        <v>97.1966616348343</v>
      </c>
      <c r="AJ7744">
        <v>111.47506981880601</v>
      </c>
      <c r="AK7744">
        <v>8.9089565864124207</v>
      </c>
      <c r="AL7744">
        <v>87.830413997823896</v>
      </c>
      <c r="AM7744">
        <v>100.050913024552</v>
      </c>
      <c r="AN7744">
        <v>0.99999998506738297</v>
      </c>
    </row>
    <row r="7745" spans="1:40" x14ac:dyDescent="0.25">
      <c r="A7745" t="str">
        <f>"20190312150843813"</f>
        <v>20190312150843813</v>
      </c>
      <c r="B7745" t="str">
        <f>"1552374523807242"</f>
        <v>1552374523807242</v>
      </c>
      <c r="C7745" t="s">
        <v>40</v>
      </c>
      <c r="D7745">
        <v>4.3493380000000004</v>
      </c>
      <c r="E7745">
        <v>0.4251045</v>
      </c>
      <c r="F7745" t="s">
        <v>77</v>
      </c>
      <c r="G7745">
        <v>-417.3501</v>
      </c>
      <c r="H7745" s="1">
        <v>-3.2526279999999999E-6</v>
      </c>
      <c r="I7745">
        <v>124.1623</v>
      </c>
      <c r="J7745">
        <v>-412.33980000000003</v>
      </c>
      <c r="K7745">
        <v>1.1161380000000001</v>
      </c>
      <c r="L7745">
        <v>131.505</v>
      </c>
      <c r="M7745">
        <v>-0.82810219999999901</v>
      </c>
      <c r="N7745">
        <v>0</v>
      </c>
      <c r="O7745">
        <v>-0.56047849999999999</v>
      </c>
      <c r="P7745">
        <v>-0.71693549999999995</v>
      </c>
      <c r="Q7745">
        <v>2.984355E-2</v>
      </c>
      <c r="R7745">
        <v>-0.69650080000000003</v>
      </c>
      <c r="S7745">
        <v>-1.7560420000000001</v>
      </c>
      <c r="T7745">
        <v>-0.37659160000000003</v>
      </c>
      <c r="U7745">
        <v>-2.5252840000000001</v>
      </c>
      <c r="V7745">
        <v>-0.1755371</v>
      </c>
      <c r="W7745">
        <v>3.7591960000000001E-2</v>
      </c>
      <c r="X7745">
        <v>0.98375480000000004</v>
      </c>
      <c r="Y7745">
        <v>-0.36080410000000002</v>
      </c>
      <c r="Z7745">
        <v>4.9450519999999998E-2</v>
      </c>
      <c r="AA7745">
        <v>0.93132969999999904</v>
      </c>
      <c r="AB7745">
        <v>24</v>
      </c>
      <c r="AC7745">
        <v>-5.0102999999999698</v>
      </c>
      <c r="AD7745">
        <v>-1.1161412526279999</v>
      </c>
      <c r="AE7745">
        <v>-7.34269999999999</v>
      </c>
      <c r="AF7745">
        <v>-3.2217290904523801</v>
      </c>
      <c r="AG7745">
        <v>-1.1161412526279999</v>
      </c>
      <c r="AH7745">
        <v>8.1366439532900401</v>
      </c>
      <c r="AI7745">
        <v>97.268301179883693</v>
      </c>
      <c r="AJ7745">
        <v>111.601240923802</v>
      </c>
      <c r="AK7745">
        <v>8.8221473831883195</v>
      </c>
      <c r="AL7745">
        <v>87.845631665960695</v>
      </c>
      <c r="AM7745">
        <v>100.117142100091</v>
      </c>
      <c r="AN7745">
        <v>0.999999967728045</v>
      </c>
    </row>
    <row r="7746" spans="1:40" x14ac:dyDescent="0.25">
      <c r="A7746" t="str">
        <f>"20190312150843835"</f>
        <v>20190312150843835</v>
      </c>
      <c r="B7746" t="str">
        <f>"1552374523827739"</f>
        <v>1552374523827739</v>
      </c>
      <c r="C7746" t="s">
        <v>40</v>
      </c>
      <c r="D7746">
        <v>4.3760820000000002</v>
      </c>
      <c r="E7746">
        <v>0.42504979999999998</v>
      </c>
      <c r="F7746" t="s">
        <v>77</v>
      </c>
      <c r="G7746">
        <v>-417.399</v>
      </c>
      <c r="H7746" s="1">
        <v>-3.1823509999999999E-6</v>
      </c>
      <c r="I7746">
        <v>124.0624</v>
      </c>
      <c r="J7746">
        <v>-412.53399999999999</v>
      </c>
      <c r="K7746">
        <v>1.1162099999999999</v>
      </c>
      <c r="L7746">
        <v>131.3605</v>
      </c>
      <c r="M7746">
        <v>-0.82261649999999997</v>
      </c>
      <c r="N7746">
        <v>0</v>
      </c>
      <c r="O7746">
        <v>-0.56849859999999997</v>
      </c>
      <c r="P7746">
        <v>-0.70943469999999997</v>
      </c>
      <c r="Q7746">
        <v>2.9198080000000001E-2</v>
      </c>
      <c r="R7746">
        <v>-0.70416610000000002</v>
      </c>
      <c r="S7746">
        <v>-1.7291559999999999</v>
      </c>
      <c r="T7746">
        <v>-0.38148280000000001</v>
      </c>
      <c r="U7746">
        <v>-2.5437620000000001</v>
      </c>
      <c r="V7746">
        <v>-0.17653339999999901</v>
      </c>
      <c r="W7746">
        <v>3.6929139999999999E-2</v>
      </c>
      <c r="X7746">
        <v>0.98360159999999996</v>
      </c>
      <c r="Y7746">
        <v>-0.36167870000000002</v>
      </c>
      <c r="Z7746">
        <v>5.1151170000000003E-2</v>
      </c>
      <c r="AA7746">
        <v>0.93089849999999996</v>
      </c>
      <c r="AB7746">
        <v>24</v>
      </c>
      <c r="AC7746">
        <v>-4.8650000000000002</v>
      </c>
      <c r="AD7746">
        <v>-1.116213182351</v>
      </c>
      <c r="AE7746">
        <v>-7.2980999999999998</v>
      </c>
      <c r="AF7746">
        <v>-3.1863672256835098</v>
      </c>
      <c r="AG7746">
        <v>-1.116213182351</v>
      </c>
      <c r="AH7746">
        <v>8.0215299783434499</v>
      </c>
      <c r="AI7746">
        <v>97.368754525590901</v>
      </c>
      <c r="AJ7746">
        <v>111.664305547393</v>
      </c>
      <c r="AK7746">
        <v>8.7030920458666206</v>
      </c>
      <c r="AL7746">
        <v>87.883634819740294</v>
      </c>
      <c r="AM7746">
        <v>100.17491959797999</v>
      </c>
      <c r="AN7746">
        <v>0.99999995510962802</v>
      </c>
    </row>
    <row r="7747" spans="1:40" x14ac:dyDescent="0.25">
      <c r="A7747" t="str">
        <f>"20190312150843857"</f>
        <v>20190312150843857</v>
      </c>
      <c r="B7747" t="str">
        <f>"1552374523847259"</f>
        <v>1552374523847259</v>
      </c>
      <c r="C7747" t="s">
        <v>40</v>
      </c>
      <c r="D7747">
        <v>4.3438080000000001</v>
      </c>
      <c r="E7747">
        <v>0.42555409999999999</v>
      </c>
      <c r="F7747" t="s">
        <v>77</v>
      </c>
      <c r="G7747">
        <v>-417.45960000000002</v>
      </c>
      <c r="H7747" s="1">
        <v>-3.0968350000000001E-6</v>
      </c>
      <c r="I7747">
        <v>123.94119999999999</v>
      </c>
      <c r="J7747">
        <v>-412.71949999999998</v>
      </c>
      <c r="K7747">
        <v>1.1162799999999999</v>
      </c>
      <c r="L7747">
        <v>131.21969999999999</v>
      </c>
      <c r="M7747">
        <v>-0.81720569999999904</v>
      </c>
      <c r="N7747">
        <v>0</v>
      </c>
      <c r="O7747">
        <v>-0.57624880000000001</v>
      </c>
      <c r="P7747">
        <v>-0.70148580000000005</v>
      </c>
      <c r="Q7747">
        <v>2.8916049999999999E-2</v>
      </c>
      <c r="R7747">
        <v>-0.71209690000000003</v>
      </c>
      <c r="S7747">
        <v>-1.7011719999999999</v>
      </c>
      <c r="T7747">
        <v>-0.38550600000000002</v>
      </c>
      <c r="U7747">
        <v>-2.562424</v>
      </c>
      <c r="V7747">
        <v>-0.1782889</v>
      </c>
      <c r="W7747">
        <v>3.6615120000000001E-2</v>
      </c>
      <c r="X7747">
        <v>0.98329670000000002</v>
      </c>
      <c r="Y7747">
        <v>-0.36309780000000003</v>
      </c>
      <c r="Z7747">
        <v>5.2697180000000003E-2</v>
      </c>
      <c r="AA7747">
        <v>0.93025959999999996</v>
      </c>
      <c r="AB7747">
        <v>24</v>
      </c>
      <c r="AC7747">
        <v>-4.7401000000000399</v>
      </c>
      <c r="AD7747">
        <v>-1.1162830968349999</v>
      </c>
      <c r="AE7747">
        <v>-7.2784999999999904</v>
      </c>
      <c r="AF7747">
        <v>-3.1644692516048099</v>
      </c>
      <c r="AG7747">
        <v>-1.1162830968349999</v>
      </c>
      <c r="AH7747">
        <v>7.93722114531342</v>
      </c>
      <c r="AI7747">
        <v>97.442919131628898</v>
      </c>
      <c r="AJ7747">
        <v>111.73654197242899</v>
      </c>
      <c r="AK7747">
        <v>8.6173913167641594</v>
      </c>
      <c r="AL7747">
        <v>87.901639111268807</v>
      </c>
      <c r="AM7747">
        <v>100.27707508494601</v>
      </c>
      <c r="AN7747">
        <v>0.99999999955335706</v>
      </c>
    </row>
    <row r="7748" spans="1:40" x14ac:dyDescent="0.25">
      <c r="A7748" t="str">
        <f>"20190312150843880"</f>
        <v>20190312150843880</v>
      </c>
      <c r="B7748" t="str">
        <f>"1552374523867754"</f>
        <v>1552374523867754</v>
      </c>
      <c r="C7748" t="s">
        <v>40</v>
      </c>
      <c r="D7748">
        <v>4.3849679999999998</v>
      </c>
      <c r="E7748">
        <v>0.42599969999999998</v>
      </c>
      <c r="F7748" t="s">
        <v>77</v>
      </c>
      <c r="G7748">
        <v>-417.53480000000002</v>
      </c>
      <c r="H7748" s="1">
        <v>-3.002422E-6</v>
      </c>
      <c r="I7748">
        <v>123.8091</v>
      </c>
      <c r="J7748">
        <v>-412.90730000000002</v>
      </c>
      <c r="K7748">
        <v>1.116357</v>
      </c>
      <c r="L7748">
        <v>131.07409999999999</v>
      </c>
      <c r="M7748">
        <v>-0.81155669999999902</v>
      </c>
      <c r="N7748">
        <v>0</v>
      </c>
      <c r="O7748">
        <v>-0.58417730000000001</v>
      </c>
      <c r="P7748">
        <v>-0.69325530000000002</v>
      </c>
      <c r="Q7748">
        <v>2.8496029999999999E-2</v>
      </c>
      <c r="R7748">
        <v>-0.72012860000000001</v>
      </c>
      <c r="S7748">
        <v>-1.6753849999999999</v>
      </c>
      <c r="T7748">
        <v>-0.38838699999999998</v>
      </c>
      <c r="U7748">
        <v>-2.5783390000000002</v>
      </c>
      <c r="V7748">
        <v>-0.180032</v>
      </c>
      <c r="W7748">
        <v>3.616051E-2</v>
      </c>
      <c r="X7748">
        <v>0.98299590000000003</v>
      </c>
      <c r="Y7748">
        <v>-0.36324440000000002</v>
      </c>
      <c r="Z7748">
        <v>5.4220339999999999E-2</v>
      </c>
      <c r="AA7748">
        <v>0.93011489999999997</v>
      </c>
      <c r="AB7748">
        <v>24</v>
      </c>
      <c r="AC7748">
        <v>-4.6274999999999897</v>
      </c>
      <c r="AD7748">
        <v>-1.116360002422</v>
      </c>
      <c r="AE7748">
        <v>-7.2649999999999801</v>
      </c>
      <c r="AF7748">
        <v>-3.1401132695860601</v>
      </c>
      <c r="AG7748">
        <v>-1.116360002422</v>
      </c>
      <c r="AH7748">
        <v>7.8678189139140304</v>
      </c>
      <c r="AI7748">
        <v>97.507263093192094</v>
      </c>
      <c r="AJ7748">
        <v>111.757361321348</v>
      </c>
      <c r="AK7748">
        <v>8.5445389262956493</v>
      </c>
      <c r="AL7748">
        <v>87.927703652616103</v>
      </c>
      <c r="AM7748">
        <v>100.37848622604901</v>
      </c>
      <c r="AN7748">
        <v>1.0000000214621301</v>
      </c>
    </row>
    <row r="7749" spans="1:40" x14ac:dyDescent="0.25">
      <c r="A7749" t="str">
        <f>"20190312150843902"</f>
        <v>20190312150843902</v>
      </c>
      <c r="B7749" t="str">
        <f>"1552374523898011"</f>
        <v>1552374523898011</v>
      </c>
      <c r="C7749" t="s">
        <v>40</v>
      </c>
      <c r="D7749">
        <v>4.3674900000000001</v>
      </c>
      <c r="E7749">
        <v>0.42690410000000001</v>
      </c>
      <c r="F7749" t="s">
        <v>77</v>
      </c>
      <c r="G7749">
        <v>-417.58870000000002</v>
      </c>
      <c r="H7749" s="1">
        <v>-2.9283009999999998E-6</v>
      </c>
      <c r="I7749">
        <v>123.7043</v>
      </c>
      <c r="J7749">
        <v>-413.09649999999999</v>
      </c>
      <c r="K7749">
        <v>1.116439</v>
      </c>
      <c r="L7749">
        <v>130.92439999999999</v>
      </c>
      <c r="M7749">
        <v>-0.80568379999999995</v>
      </c>
      <c r="N7749">
        <v>0</v>
      </c>
      <c r="O7749">
        <v>-0.59225019999999995</v>
      </c>
      <c r="P7749">
        <v>-0.68530800000000003</v>
      </c>
      <c r="Q7749">
        <v>2.7372899999999999E-2</v>
      </c>
      <c r="R7749">
        <v>-0.72773889999999997</v>
      </c>
      <c r="S7749">
        <v>-1.648193</v>
      </c>
      <c r="T7749">
        <v>-0.39304899999999998</v>
      </c>
      <c r="U7749">
        <v>-2.5947719999999999</v>
      </c>
      <c r="V7749">
        <v>-0.181034</v>
      </c>
      <c r="W7749">
        <v>3.5013019999999999E-2</v>
      </c>
      <c r="X7749">
        <v>0.98285339999999999</v>
      </c>
      <c r="Y7749">
        <v>-0.36361549999999998</v>
      </c>
      <c r="Z7749">
        <v>5.6022790000000003E-2</v>
      </c>
      <c r="AA7749">
        <v>0.929863</v>
      </c>
      <c r="AB7749">
        <v>24</v>
      </c>
      <c r="AC7749">
        <v>-4.49220000000002</v>
      </c>
      <c r="AD7749">
        <v>-1.1164419283010001</v>
      </c>
      <c r="AE7749">
        <v>-7.22009999999998</v>
      </c>
      <c r="AF7749">
        <v>-3.1032968637165199</v>
      </c>
      <c r="AG7749">
        <v>-1.1164419283010001</v>
      </c>
      <c r="AH7749">
        <v>7.76204708647629</v>
      </c>
      <c r="AI7749">
        <v>97.607123073506401</v>
      </c>
      <c r="AJ7749">
        <v>111.791723941143</v>
      </c>
      <c r="AK7749">
        <v>8.4336391300728692</v>
      </c>
      <c r="AL7749">
        <v>87.993491643245406</v>
      </c>
      <c r="AM7749">
        <v>100.43646373419401</v>
      </c>
      <c r="AN7749">
        <v>1.00000001330854</v>
      </c>
    </row>
    <row r="7750" spans="1:40" x14ac:dyDescent="0.25">
      <c r="A7750" t="str">
        <f>"20190312150843926"</f>
        <v>20190312150843926</v>
      </c>
      <c r="B7750" t="str">
        <f>"1552374523917530"</f>
        <v>1552374523917530</v>
      </c>
      <c r="C7750" t="s">
        <v>40</v>
      </c>
      <c r="D7750">
        <v>4.3686879999999997</v>
      </c>
      <c r="E7750">
        <v>0.4274868</v>
      </c>
      <c r="F7750" t="s">
        <v>77</v>
      </c>
      <c r="G7750">
        <v>-417.67630000000003</v>
      </c>
      <c r="H7750" s="1">
        <v>-2.8308780000000001E-6</v>
      </c>
      <c r="I7750">
        <v>123.5702</v>
      </c>
      <c r="J7750">
        <v>-413.28539999999998</v>
      </c>
      <c r="K7750">
        <v>1.116527</v>
      </c>
      <c r="L7750">
        <v>130.77160000000001</v>
      </c>
      <c r="M7750">
        <v>-0.79962310000000003</v>
      </c>
      <c r="N7750">
        <v>0</v>
      </c>
      <c r="O7750">
        <v>-0.60040740000000004</v>
      </c>
      <c r="P7750">
        <v>-0.67706730000000004</v>
      </c>
      <c r="Q7750">
        <v>2.6732740000000001E-2</v>
      </c>
      <c r="R7750">
        <v>-0.73543579999999997</v>
      </c>
      <c r="S7750">
        <v>-1.6240540000000001</v>
      </c>
      <c r="T7750">
        <v>-0.39590009999999998</v>
      </c>
      <c r="U7750">
        <v>-2.6078640000000002</v>
      </c>
      <c r="V7750">
        <v>-0.1821334</v>
      </c>
      <c r="W7750">
        <v>3.4343940000000003E-2</v>
      </c>
      <c r="X7750">
        <v>0.98267389999999999</v>
      </c>
      <c r="Y7750">
        <v>-0.3625043</v>
      </c>
      <c r="Z7750">
        <v>5.7708790000000003E-2</v>
      </c>
      <c r="AA7750">
        <v>0.93019370000000001</v>
      </c>
      <c r="AB7750">
        <v>24</v>
      </c>
      <c r="AC7750">
        <v>-4.3909000000000402</v>
      </c>
      <c r="AD7750">
        <v>-1.1165298308780001</v>
      </c>
      <c r="AE7750">
        <v>-7.2013999999999996</v>
      </c>
      <c r="AF7750">
        <v>-3.0684834996792199</v>
      </c>
      <c r="AG7750">
        <v>-1.1165298308780001</v>
      </c>
      <c r="AH7750">
        <v>7.7003464083717601</v>
      </c>
      <c r="AI7750">
        <v>97.671388604291707</v>
      </c>
      <c r="AJ7750">
        <v>111.726610534635</v>
      </c>
      <c r="AK7750">
        <v>8.3640638842591297</v>
      </c>
      <c r="AL7750">
        <v>88.031850223453006</v>
      </c>
      <c r="AM7750">
        <v>100.500313296355</v>
      </c>
      <c r="AN7750">
        <v>1.0000000376757401</v>
      </c>
    </row>
    <row r="7751" spans="1:40" x14ac:dyDescent="0.25">
      <c r="A7751" t="str">
        <f>"20190312150843946"</f>
        <v>20190312150843946</v>
      </c>
      <c r="B7751" t="str">
        <f>"1552374523938027"</f>
        <v>1552374523938027</v>
      </c>
      <c r="C7751" t="s">
        <v>40</v>
      </c>
      <c r="D7751">
        <v>4.4230720000000003</v>
      </c>
      <c r="E7751">
        <v>0.42807729999999999</v>
      </c>
      <c r="F7751" t="s">
        <v>77</v>
      </c>
      <c r="G7751">
        <v>-417.76479999999998</v>
      </c>
      <c r="H7751" s="1">
        <v>-2.7228200000000001E-6</v>
      </c>
      <c r="I7751">
        <v>123.4196</v>
      </c>
      <c r="J7751">
        <v>-413.46480000000003</v>
      </c>
      <c r="K7751">
        <v>1.1166100000000001</v>
      </c>
      <c r="L7751">
        <v>130.6234</v>
      </c>
      <c r="M7751">
        <v>-0.79368190000000005</v>
      </c>
      <c r="N7751">
        <v>0</v>
      </c>
      <c r="O7751">
        <v>-0.60823879999999997</v>
      </c>
      <c r="P7751">
        <v>-0.66882249999999999</v>
      </c>
      <c r="Q7751">
        <v>2.656642E-2</v>
      </c>
      <c r="R7751">
        <v>-0.74294749999999998</v>
      </c>
      <c r="S7751">
        <v>-1.5978699999999999</v>
      </c>
      <c r="T7751">
        <v>-0.39828449999999999</v>
      </c>
      <c r="U7751">
        <v>-2.6225890000000001</v>
      </c>
      <c r="V7751">
        <v>-0.18344279999999999</v>
      </c>
      <c r="W7751">
        <v>3.414474E-2</v>
      </c>
      <c r="X7751">
        <v>0.98243720000000001</v>
      </c>
      <c r="Y7751">
        <v>-0.36248720000000001</v>
      </c>
      <c r="Z7751">
        <v>5.9226559999999998E-2</v>
      </c>
      <c r="AA7751">
        <v>0.93010499999999996</v>
      </c>
      <c r="AB7751">
        <v>24</v>
      </c>
      <c r="AC7751">
        <v>-4.2999999999999501</v>
      </c>
      <c r="AD7751">
        <v>-1.11661272282</v>
      </c>
      <c r="AE7751">
        <v>-7.2038000000000002</v>
      </c>
      <c r="AF7751">
        <v>-3.0482781566443902</v>
      </c>
      <c r="AG7751">
        <v>-1.11661272282</v>
      </c>
      <c r="AH7751">
        <v>7.6592307669321604</v>
      </c>
      <c r="AI7751">
        <v>97.713947699538807</v>
      </c>
      <c r="AJ7751">
        <v>111.70193765225</v>
      </c>
      <c r="AK7751">
        <v>8.3188123932541593</v>
      </c>
      <c r="AL7751">
        <v>88.043270143111499</v>
      </c>
      <c r="AM7751">
        <v>100.576596085601</v>
      </c>
      <c r="AN7751">
        <v>0.99999998804267298</v>
      </c>
    </row>
    <row r="7752" spans="1:40" x14ac:dyDescent="0.25">
      <c r="A7752" t="str">
        <f>"20190312150843969"</f>
        <v>20190312150843969</v>
      </c>
      <c r="B7752" t="str">
        <f>"1552374523957547"</f>
        <v>1552374523957547</v>
      </c>
      <c r="C7752" t="s">
        <v>40</v>
      </c>
      <c r="D7752">
        <v>4.4449969999999999</v>
      </c>
      <c r="E7752">
        <v>0.42815019999999998</v>
      </c>
      <c r="F7752" t="s">
        <v>77</v>
      </c>
      <c r="G7752">
        <v>-417.85719999999998</v>
      </c>
      <c r="H7752" s="1">
        <v>-2.6086330000000002E-6</v>
      </c>
      <c r="I7752">
        <v>123.2602</v>
      </c>
      <c r="J7752">
        <v>-413.6465</v>
      </c>
      <c r="K7752">
        <v>1.116682</v>
      </c>
      <c r="L7752">
        <v>130.4699</v>
      </c>
      <c r="M7752">
        <v>-0.7874797</v>
      </c>
      <c r="N7752">
        <v>0</v>
      </c>
      <c r="O7752">
        <v>-0.61624719999999999</v>
      </c>
      <c r="P7752">
        <v>-0.66063130000000003</v>
      </c>
      <c r="Q7752">
        <v>2.6491069999999999E-2</v>
      </c>
      <c r="R7752">
        <v>-0.7502432</v>
      </c>
      <c r="S7752">
        <v>-1.5727230000000001</v>
      </c>
      <c r="T7752">
        <v>-0.39981030000000001</v>
      </c>
      <c r="U7752">
        <v>-2.6364290000000001</v>
      </c>
      <c r="V7752">
        <v>-0.18427760000000001</v>
      </c>
      <c r="W7752">
        <v>3.4047519999999998E-2</v>
      </c>
      <c r="X7752">
        <v>0.98228439999999995</v>
      </c>
      <c r="Y7752">
        <v>-0.36178860000000002</v>
      </c>
      <c r="Z7752">
        <v>6.0696680000000003E-2</v>
      </c>
      <c r="AA7752">
        <v>0.93028219999999995</v>
      </c>
      <c r="AB7752">
        <v>24</v>
      </c>
      <c r="AC7752">
        <v>-4.2106999999999699</v>
      </c>
      <c r="AD7752">
        <v>-1.116684608633</v>
      </c>
      <c r="AE7752">
        <v>-7.20969999999999</v>
      </c>
      <c r="AF7752">
        <v>-3.02866036738346</v>
      </c>
      <c r="AG7752">
        <v>-1.116684608633</v>
      </c>
      <c r="AH7752">
        <v>7.6228848756693797</v>
      </c>
      <c r="AI7752">
        <v>97.752551875001302</v>
      </c>
      <c r="AJ7752">
        <v>111.66849718040299</v>
      </c>
      <c r="AK7752">
        <v>8.2781726222534306</v>
      </c>
      <c r="AL7752">
        <v>88.048843810212105</v>
      </c>
      <c r="AM7752">
        <v>100.625249133941</v>
      </c>
      <c r="AN7752">
        <v>1.0000000549816299</v>
      </c>
    </row>
    <row r="7753" spans="1:40" x14ac:dyDescent="0.25">
      <c r="A7753" t="str">
        <f>"20190312150843992"</f>
        <v>20190312150843992</v>
      </c>
      <c r="B7753" t="str">
        <f>"1552374523987802"</f>
        <v>1552374523987802</v>
      </c>
      <c r="C7753" t="s">
        <v>40</v>
      </c>
      <c r="D7753">
        <v>4.346292</v>
      </c>
      <c r="E7753">
        <v>0.39499030000000002</v>
      </c>
      <c r="F7753" t="s">
        <v>77</v>
      </c>
      <c r="G7753">
        <v>-417.96480000000003</v>
      </c>
      <c r="H7753" s="1">
        <v>-2.4607500000000001E-6</v>
      </c>
      <c r="I7753">
        <v>123.05110000000001</v>
      </c>
      <c r="J7753">
        <v>-413.83359999999999</v>
      </c>
      <c r="K7753">
        <v>1.1167499999999999</v>
      </c>
      <c r="L7753">
        <v>130.30850000000001</v>
      </c>
      <c r="M7753">
        <v>-0.78090029999999999</v>
      </c>
      <c r="N7753">
        <v>0</v>
      </c>
      <c r="O7753">
        <v>-0.62456330000000004</v>
      </c>
      <c r="P7753">
        <v>-0.65178290000000005</v>
      </c>
      <c r="Q7753">
        <v>2.6336729999999999E-2</v>
      </c>
      <c r="R7753">
        <v>-0.75794859999999997</v>
      </c>
      <c r="S7753">
        <v>-1.5442199999999999</v>
      </c>
      <c r="T7753">
        <v>-0.39932810000000002</v>
      </c>
      <c r="U7753">
        <v>-2.6529850000000001</v>
      </c>
      <c r="V7753">
        <v>-0.1853939</v>
      </c>
      <c r="W7753">
        <v>3.3867380000000002E-2</v>
      </c>
      <c r="X7753">
        <v>0.98208050000000002</v>
      </c>
      <c r="Y7753">
        <v>-0.36192999999999997</v>
      </c>
      <c r="Z7753">
        <v>6.1852190000000001E-2</v>
      </c>
      <c r="AA7753">
        <v>0.93015099999999995</v>
      </c>
      <c r="AB7753">
        <v>24</v>
      </c>
      <c r="AC7753">
        <v>-4.13120000000003</v>
      </c>
      <c r="AD7753">
        <v>-1.1167524607499999</v>
      </c>
      <c r="AE7753">
        <v>-7.2573999999999996</v>
      </c>
      <c r="AF7753">
        <v>-3.03304657896228</v>
      </c>
      <c r="AG7753">
        <v>-1.1167524607499999</v>
      </c>
      <c r="AH7753">
        <v>7.6228848544991203</v>
      </c>
      <c r="AI7753">
        <v>97.751504395226405</v>
      </c>
      <c r="AJ7753">
        <v>111.696964932382</v>
      </c>
      <c r="AK7753">
        <v>8.2797875041390991</v>
      </c>
      <c r="AL7753">
        <v>88.059170926434902</v>
      </c>
      <c r="AM7753">
        <v>100.690303203955</v>
      </c>
      <c r="AN7753">
        <v>1.00000000303276</v>
      </c>
    </row>
    <row r="7754" spans="1:40" x14ac:dyDescent="0.25">
      <c r="A7754" t="str">
        <f>"20190312150844014"</f>
        <v>20190312150844014</v>
      </c>
      <c r="B7754" t="str">
        <f>"1552374524007323"</f>
        <v>1552374524007323</v>
      </c>
      <c r="C7754" t="s">
        <v>40</v>
      </c>
      <c r="D7754">
        <v>4.3607950000000004</v>
      </c>
      <c r="E7754">
        <v>0.39189580000000002</v>
      </c>
      <c r="F7754" t="s">
        <v>77</v>
      </c>
      <c r="G7754">
        <v>-416.73719999999997</v>
      </c>
      <c r="H7754" s="1">
        <v>-3.234901E-6</v>
      </c>
      <c r="I7754">
        <v>124.0001</v>
      </c>
      <c r="J7754">
        <v>-414.01089999999999</v>
      </c>
      <c r="K7754">
        <v>1.116808</v>
      </c>
      <c r="L7754">
        <v>130.1523</v>
      </c>
      <c r="M7754">
        <v>-0.77447580000000005</v>
      </c>
      <c r="N7754">
        <v>0</v>
      </c>
      <c r="O7754">
        <v>-0.63251190000000002</v>
      </c>
      <c r="P7754">
        <v>-0.64318929999999996</v>
      </c>
      <c r="Q7754">
        <v>2.6234440000000001E-2</v>
      </c>
      <c r="R7754">
        <v>-0.76525790000000005</v>
      </c>
      <c r="S7754">
        <v>-1.3109740000000001</v>
      </c>
      <c r="T7754">
        <v>-0.50421459999999996</v>
      </c>
      <c r="U7754">
        <v>-2.8482509999999999</v>
      </c>
      <c r="V7754">
        <v>-0.186444</v>
      </c>
      <c r="W7754">
        <v>3.3741569999999999E-2</v>
      </c>
      <c r="X7754">
        <v>0.98188600000000004</v>
      </c>
      <c r="Y7754">
        <v>-0.4400714</v>
      </c>
      <c r="Z7754">
        <v>7.2178599999999996E-2</v>
      </c>
      <c r="AA7754">
        <v>0.8950572</v>
      </c>
      <c r="AB7754">
        <v>24</v>
      </c>
      <c r="AC7754">
        <v>-2.7262999999999802</v>
      </c>
      <c r="AD7754">
        <v>-1.116811234901</v>
      </c>
      <c r="AE7754">
        <v>-6.1521999999999899</v>
      </c>
      <c r="AF7754">
        <v>-2.9589859595886598</v>
      </c>
      <c r="AG7754">
        <v>-1.116811234901</v>
      </c>
      <c r="AH7754">
        <v>5.8422213388753503</v>
      </c>
      <c r="AI7754">
        <v>99.677893189872293</v>
      </c>
      <c r="AJ7754">
        <v>116.861440085753</v>
      </c>
      <c r="AK7754">
        <v>6.6433737976915301</v>
      </c>
      <c r="AL7754">
        <v>88.066383401243996</v>
      </c>
      <c r="AM7754">
        <v>100.751527362953</v>
      </c>
      <c r="AN7754">
        <v>0.99999998783903199</v>
      </c>
    </row>
    <row r="7755" spans="1:40" x14ac:dyDescent="0.25">
      <c r="A7755" t="str">
        <f>"20190312150844036"</f>
        <v>20190312150844036</v>
      </c>
      <c r="B7755" t="str">
        <f>"1552374524027819"</f>
        <v>1552374524027819</v>
      </c>
      <c r="C7755" t="s">
        <v>40</v>
      </c>
      <c r="D7755">
        <v>4.4008640000000003</v>
      </c>
      <c r="E7755">
        <v>0.39153890000000002</v>
      </c>
      <c r="F7755" t="s">
        <v>77</v>
      </c>
      <c r="G7755">
        <v>-416.7749</v>
      </c>
      <c r="H7755" s="1">
        <v>-3.125049E-6</v>
      </c>
      <c r="I7755">
        <v>123.8356</v>
      </c>
      <c r="J7755">
        <v>-414.18700000000001</v>
      </c>
      <c r="K7755">
        <v>1.116873</v>
      </c>
      <c r="L7755">
        <v>129.99379999999999</v>
      </c>
      <c r="M7755">
        <v>-0.76790899999999995</v>
      </c>
      <c r="N7755">
        <v>0</v>
      </c>
      <c r="O7755">
        <v>-0.64046789999999998</v>
      </c>
      <c r="P7755">
        <v>-0.63490009999999997</v>
      </c>
      <c r="Q7755">
        <v>2.6045490000000001E-2</v>
      </c>
      <c r="R7755">
        <v>-0.77215529999999999</v>
      </c>
      <c r="S7755">
        <v>-1.259735</v>
      </c>
      <c r="T7755">
        <v>-0.50900449999999997</v>
      </c>
      <c r="U7755">
        <v>-2.8789370000000001</v>
      </c>
      <c r="V7755">
        <v>-0.1869093</v>
      </c>
      <c r="W7755">
        <v>3.3540460000000001E-2</v>
      </c>
      <c r="X7755">
        <v>0.98180440000000002</v>
      </c>
      <c r="Y7755">
        <v>-0.44771739999999999</v>
      </c>
      <c r="Z7755">
        <v>7.3653339999999998E-2</v>
      </c>
      <c r="AA7755">
        <v>0.89113659999999995</v>
      </c>
      <c r="AB7755">
        <v>24</v>
      </c>
      <c r="AC7755">
        <v>-2.5879000000000398</v>
      </c>
      <c r="AD7755">
        <v>-1.116876125049</v>
      </c>
      <c r="AE7755">
        <v>-6.1581999999999901</v>
      </c>
      <c r="AF7755">
        <v>-2.98811393296607</v>
      </c>
      <c r="AG7755">
        <v>-1.116876125049</v>
      </c>
      <c r="AH7755">
        <v>5.7704292926997898</v>
      </c>
      <c r="AI7755">
        <v>99.752399222027407</v>
      </c>
      <c r="AJ7755">
        <v>117.376574576453</v>
      </c>
      <c r="AK7755">
        <v>6.5934885589601402</v>
      </c>
      <c r="AL7755">
        <v>88.077912636291103</v>
      </c>
      <c r="AM7755">
        <v>100.778606511685</v>
      </c>
      <c r="AN7755">
        <v>0.99999996437143002</v>
      </c>
    </row>
    <row r="7756" spans="1:40" x14ac:dyDescent="0.25">
      <c r="A7756" t="str">
        <f>"20190312150844059"</f>
        <v>20190312150844059</v>
      </c>
      <c r="B7756" t="str">
        <f>"1552374524047339"</f>
        <v>1552374524047339</v>
      </c>
      <c r="C7756" t="s">
        <v>40</v>
      </c>
      <c r="D7756">
        <v>4.3472239999999998</v>
      </c>
      <c r="E7756">
        <v>0.39193169999999999</v>
      </c>
      <c r="F7756" t="s">
        <v>77</v>
      </c>
      <c r="G7756">
        <v>-416.78030000000001</v>
      </c>
      <c r="H7756" s="1">
        <v>-3.1443110000000002E-6</v>
      </c>
      <c r="I7756">
        <v>123.86709999999999</v>
      </c>
      <c r="J7756">
        <v>-414.36259999999999</v>
      </c>
      <c r="K7756">
        <v>1.1169279999999999</v>
      </c>
      <c r="L7756">
        <v>129.83240000000001</v>
      </c>
      <c r="M7756">
        <v>-0.76117489999999999</v>
      </c>
      <c r="N7756">
        <v>0</v>
      </c>
      <c r="O7756">
        <v>-0.64845659999999905</v>
      </c>
      <c r="P7756">
        <v>-0.62627109999999997</v>
      </c>
      <c r="Q7756">
        <v>2.6013919999999999E-2</v>
      </c>
      <c r="R7756">
        <v>-0.77917139999999996</v>
      </c>
      <c r="S7756">
        <v>-1.225525</v>
      </c>
      <c r="T7756">
        <v>-0.527815699999999</v>
      </c>
      <c r="U7756">
        <v>-2.8953859999999998</v>
      </c>
      <c r="V7756">
        <v>-0.18757760000000001</v>
      </c>
      <c r="W7756">
        <v>3.3492800000000003E-2</v>
      </c>
      <c r="X7756">
        <v>0.98167859999999996</v>
      </c>
      <c r="Y7756">
        <v>-0.4492391</v>
      </c>
      <c r="Z7756">
        <v>7.7756519999999996E-2</v>
      </c>
      <c r="AA7756">
        <v>0.89002139999999996</v>
      </c>
      <c r="AB7756">
        <v>24</v>
      </c>
      <c r="AC7756">
        <v>-2.4177000000000199</v>
      </c>
      <c r="AD7756">
        <v>-1.1169311443109999</v>
      </c>
      <c r="AE7756">
        <v>-5.9653000000000098</v>
      </c>
      <c r="AF7756">
        <v>-2.8861301129280701</v>
      </c>
      <c r="AG7756">
        <v>-1.1169311443109999</v>
      </c>
      <c r="AH7756">
        <v>5.5419848754326804</v>
      </c>
      <c r="AI7756">
        <v>100.134743106811</v>
      </c>
      <c r="AJ7756">
        <v>117.509397394525</v>
      </c>
      <c r="AK7756">
        <v>6.3475096352354399</v>
      </c>
      <c r="AL7756">
        <v>88.080644954215103</v>
      </c>
      <c r="AM7756">
        <v>100.817591563045</v>
      </c>
      <c r="AN7756">
        <v>0.99999999868577905</v>
      </c>
    </row>
    <row r="7757" spans="1:40" x14ac:dyDescent="0.25">
      <c r="A7757" t="str">
        <f>"20190312150844081"</f>
        <v>20190312150844081</v>
      </c>
      <c r="B7757" t="str">
        <f>"1552374524077594"</f>
        <v>1552374524077594</v>
      </c>
      <c r="C7757" t="s">
        <v>40</v>
      </c>
      <c r="D7757">
        <v>4.3806010000000004</v>
      </c>
      <c r="E7757">
        <v>0.3928355</v>
      </c>
      <c r="F7757" t="s">
        <v>77</v>
      </c>
      <c r="G7757">
        <v>-416.93830000000003</v>
      </c>
      <c r="H7757" s="1">
        <v>-2.936416E-6</v>
      </c>
      <c r="I7757">
        <v>123.5746</v>
      </c>
      <c r="J7757">
        <v>-414.5385</v>
      </c>
      <c r="K7757">
        <v>1.1169819999999999</v>
      </c>
      <c r="L7757">
        <v>129.66730000000001</v>
      </c>
      <c r="M7757">
        <v>-0.75423879999999999</v>
      </c>
      <c r="N7757">
        <v>0</v>
      </c>
      <c r="O7757">
        <v>-0.65651059999999895</v>
      </c>
      <c r="P7757">
        <v>-0.61750059999999996</v>
      </c>
      <c r="Q7757">
        <v>2.6134620000000001E-2</v>
      </c>
      <c r="R7757">
        <v>-0.78613619999999995</v>
      </c>
      <c r="S7757">
        <v>-1.1961360000000001</v>
      </c>
      <c r="T7757">
        <v>-0.51870240000000001</v>
      </c>
      <c r="U7757">
        <v>-2.9061430000000001</v>
      </c>
      <c r="V7757">
        <v>-0.1881475</v>
      </c>
      <c r="W7757">
        <v>3.3598589999999998E-2</v>
      </c>
      <c r="X7757">
        <v>0.98156600000000005</v>
      </c>
      <c r="Y7757">
        <v>-0.44862449999999998</v>
      </c>
      <c r="Z7757">
        <v>7.8096849999999995E-2</v>
      </c>
      <c r="AA7757">
        <v>0.89030159999999903</v>
      </c>
      <c r="AB7757">
        <v>24</v>
      </c>
      <c r="AC7757">
        <v>-2.3998000000000199</v>
      </c>
      <c r="AD7757">
        <v>-1.1169849364159901</v>
      </c>
      <c r="AE7757">
        <v>-6.0926999999999998</v>
      </c>
      <c r="AF7757">
        <v>-2.93464657798937</v>
      </c>
      <c r="AG7757">
        <v>-1.1169849364159901</v>
      </c>
      <c r="AH7757">
        <v>5.6460076522688301</v>
      </c>
      <c r="AI7757">
        <v>99.956257065616995</v>
      </c>
      <c r="AJ7757">
        <v>117.464226738859</v>
      </c>
      <c r="AK7757">
        <v>6.4604340640055398</v>
      </c>
      <c r="AL7757">
        <v>88.074580376373902</v>
      </c>
      <c r="AM7757">
        <v>100.850893814209</v>
      </c>
      <c r="AN7757">
        <v>1.0000000796811099</v>
      </c>
    </row>
    <row r="7758" spans="1:40" x14ac:dyDescent="0.25">
      <c r="A7758" t="str">
        <f>"20190312150844104"</f>
        <v>20190312150844104</v>
      </c>
      <c r="B7758" t="str">
        <f>"1552374524098091"</f>
        <v>1552374524098091</v>
      </c>
      <c r="C7758" t="s">
        <v>40</v>
      </c>
      <c r="D7758">
        <v>4.4012209999999996</v>
      </c>
      <c r="E7758">
        <v>0.39373789999999997</v>
      </c>
      <c r="F7758" t="s">
        <v>77</v>
      </c>
      <c r="G7758">
        <v>-417.06060000000002</v>
      </c>
      <c r="H7758" s="1">
        <v>-2.7949519999999999E-6</v>
      </c>
      <c r="I7758">
        <v>123.3788</v>
      </c>
      <c r="J7758">
        <v>-414.71550000000002</v>
      </c>
      <c r="K7758">
        <v>1.1170370000000001</v>
      </c>
      <c r="L7758">
        <v>129.4975</v>
      </c>
      <c r="M7758">
        <v>-0.74706850000000002</v>
      </c>
      <c r="N7758">
        <v>0</v>
      </c>
      <c r="O7758">
        <v>-0.66465850000000004</v>
      </c>
      <c r="P7758">
        <v>-0.60848359999999901</v>
      </c>
      <c r="Q7758">
        <v>2.590319E-2</v>
      </c>
      <c r="R7758">
        <v>-0.79314410000000002</v>
      </c>
      <c r="S7758">
        <v>-1.1691279999999999</v>
      </c>
      <c r="T7758">
        <v>-0.51777169999999995</v>
      </c>
      <c r="U7758">
        <v>-2.9149780000000001</v>
      </c>
      <c r="V7758">
        <v>-0.1887083</v>
      </c>
      <c r="W7758">
        <v>3.3352689999999997E-2</v>
      </c>
      <c r="X7758">
        <v>0.98146670000000003</v>
      </c>
      <c r="Y7758">
        <v>-0.44702199999999997</v>
      </c>
      <c r="Z7758">
        <v>7.9723539999999996E-2</v>
      </c>
      <c r="AA7758">
        <v>0.89096330000000001</v>
      </c>
      <c r="AB7758">
        <v>24</v>
      </c>
      <c r="AC7758">
        <v>-2.3451</v>
      </c>
      <c r="AD7758">
        <v>-1.1170397949519999</v>
      </c>
      <c r="AE7758">
        <v>-6.1186999999999996</v>
      </c>
      <c r="AF7758">
        <v>-2.9275015290297199</v>
      </c>
      <c r="AG7758">
        <v>-1.1170397949519999</v>
      </c>
      <c r="AH7758">
        <v>5.6548100769894898</v>
      </c>
      <c r="AI7758">
        <v>99.949804353481298</v>
      </c>
      <c r="AJ7758">
        <v>117.37065341047099</v>
      </c>
      <c r="AK7758">
        <v>6.4648990798619304</v>
      </c>
      <c r="AL7758">
        <v>88.088677258864493</v>
      </c>
      <c r="AM7758">
        <v>100.883540017351</v>
      </c>
      <c r="AN7758">
        <v>1.0000000538139999</v>
      </c>
    </row>
    <row r="7759" spans="1:40" x14ac:dyDescent="0.25">
      <c r="A7759" t="str">
        <f>"20190312150844126"</f>
        <v>20190312150844126</v>
      </c>
      <c r="B7759" t="str">
        <f>"1552374524117611"</f>
        <v>1552374524117611</v>
      </c>
      <c r="C7759" t="s">
        <v>40</v>
      </c>
      <c r="D7759">
        <v>4.3937599999999897</v>
      </c>
      <c r="E7759">
        <v>0.3944896</v>
      </c>
      <c r="F7759" t="s">
        <v>77</v>
      </c>
      <c r="G7759">
        <v>-417.18439999999998</v>
      </c>
      <c r="H7759" s="1">
        <v>-2.6474560000000001E-6</v>
      </c>
      <c r="I7759">
        <v>123.1739</v>
      </c>
      <c r="J7759">
        <v>-414.88810000000001</v>
      </c>
      <c r="K7759">
        <v>1.1170739999999999</v>
      </c>
      <c r="L7759">
        <v>129.32810000000001</v>
      </c>
      <c r="M7759">
        <v>-0.73988500000000001</v>
      </c>
      <c r="N7759">
        <v>0</v>
      </c>
      <c r="O7759">
        <v>-0.6726453</v>
      </c>
      <c r="P7759">
        <v>-0.59921559999999996</v>
      </c>
      <c r="Q7759">
        <v>2.609705E-2</v>
      </c>
      <c r="R7759">
        <v>-0.80016219999999905</v>
      </c>
      <c r="S7759">
        <v>-1.1414489999999999</v>
      </c>
      <c r="T7759">
        <v>-0.51644639999999997</v>
      </c>
      <c r="U7759">
        <v>-2.9236149999999999</v>
      </c>
      <c r="V7759">
        <v>-0.18958510000000001</v>
      </c>
      <c r="W7759">
        <v>3.3527590000000003E-2</v>
      </c>
      <c r="X7759">
        <v>0.98129169999999999</v>
      </c>
      <c r="Y7759">
        <v>-0.4456773</v>
      </c>
      <c r="Z7759">
        <v>8.1243140000000005E-2</v>
      </c>
      <c r="AA7759">
        <v>0.8914995</v>
      </c>
      <c r="AB7759">
        <v>25</v>
      </c>
      <c r="AC7759">
        <v>-2.2962999999999698</v>
      </c>
      <c r="AD7759">
        <v>-1.1170766474560001</v>
      </c>
      <c r="AE7759">
        <v>-6.1542000000000003</v>
      </c>
      <c r="AF7759">
        <v>-2.9244063171202299</v>
      </c>
      <c r="AG7759">
        <v>-1.1170766474560001</v>
      </c>
      <c r="AH7759">
        <v>5.6748160869159197</v>
      </c>
      <c r="AI7759">
        <v>99.925143405121702</v>
      </c>
      <c r="AJ7759">
        <v>117.26343615666001</v>
      </c>
      <c r="AK7759">
        <v>6.4810145937363899</v>
      </c>
      <c r="AL7759">
        <v>88.078650525978503</v>
      </c>
      <c r="AM7759">
        <v>100.934795353787</v>
      </c>
      <c r="AN7759">
        <v>1.00000000496105</v>
      </c>
    </row>
    <row r="7760" spans="1:40" x14ac:dyDescent="0.25">
      <c r="A7760" t="str">
        <f>"20190312150844148"</f>
        <v>20190312150844148</v>
      </c>
      <c r="B7760" t="str">
        <f>"1552374524138107"</f>
        <v>1552374524138107</v>
      </c>
      <c r="C7760" t="s">
        <v>40</v>
      </c>
      <c r="D7760">
        <v>4.4114779999999998</v>
      </c>
      <c r="E7760">
        <v>0.39513749999999997</v>
      </c>
      <c r="F7760" t="s">
        <v>77</v>
      </c>
      <c r="G7760">
        <v>-417.26650000000001</v>
      </c>
      <c r="H7760" s="1">
        <v>-2.5598909999999998E-6</v>
      </c>
      <c r="I7760">
        <v>123.05410000000001</v>
      </c>
      <c r="J7760">
        <v>-415.05739999999997</v>
      </c>
      <c r="K7760">
        <v>1.117105</v>
      </c>
      <c r="L7760">
        <v>129.15819999999999</v>
      </c>
      <c r="M7760">
        <v>-0.73265970000000002</v>
      </c>
      <c r="N7760">
        <v>0</v>
      </c>
      <c r="O7760">
        <v>-0.680508</v>
      </c>
      <c r="P7760">
        <v>-0.58980049999999995</v>
      </c>
      <c r="Q7760">
        <v>2.6001670000000001E-2</v>
      </c>
      <c r="R7760">
        <v>-0.80713029999999997</v>
      </c>
      <c r="S7760">
        <v>-1.112061</v>
      </c>
      <c r="T7760">
        <v>-0.52230790000000005</v>
      </c>
      <c r="U7760">
        <v>-2.933487</v>
      </c>
      <c r="V7760">
        <v>-0.19060579999999999</v>
      </c>
      <c r="W7760">
        <v>3.3412740000000003E-2</v>
      </c>
      <c r="X7760">
        <v>0.98109789999999997</v>
      </c>
      <c r="Y7760">
        <v>-0.44499929999999899</v>
      </c>
      <c r="Z7760">
        <v>8.3797880000000005E-2</v>
      </c>
      <c r="AA7760">
        <v>0.89160169999999905</v>
      </c>
      <c r="AB7760">
        <v>25</v>
      </c>
      <c r="AC7760">
        <v>-2.20910000000003</v>
      </c>
      <c r="AD7760">
        <v>-1.1171075598909901</v>
      </c>
      <c r="AE7760">
        <v>-6.1040999999999803</v>
      </c>
      <c r="AF7760">
        <v>-2.8836968080258698</v>
      </c>
      <c r="AG7760">
        <v>-1.1171075598909901</v>
      </c>
      <c r="AH7760">
        <v>5.6067138597781998</v>
      </c>
      <c r="AI7760">
        <v>100.047542198009</v>
      </c>
      <c r="AJ7760">
        <v>117.21808316394301</v>
      </c>
      <c r="AK7760">
        <v>6.4030365363953097</v>
      </c>
      <c r="AL7760">
        <v>88.085234694235396</v>
      </c>
      <c r="AM7760">
        <v>100.994354929227</v>
      </c>
      <c r="AN7760">
        <v>1.00000003578617</v>
      </c>
    </row>
    <row r="7761" spans="1:40" x14ac:dyDescent="0.25">
      <c r="A7761" t="str">
        <f>"20190312150844170"</f>
        <v>20190312150844170</v>
      </c>
      <c r="B7761" t="str">
        <f>"1552374524167387"</f>
        <v>1552374524167387</v>
      </c>
      <c r="C7761" t="s">
        <v>40</v>
      </c>
      <c r="D7761">
        <v>4.4148350000000001</v>
      </c>
      <c r="E7761">
        <v>0.39650259999999998</v>
      </c>
      <c r="F7761" t="s">
        <v>77</v>
      </c>
      <c r="G7761">
        <v>-417.37900000000002</v>
      </c>
      <c r="H7761" s="1">
        <v>-2.4110880000000002E-6</v>
      </c>
      <c r="I7761">
        <v>122.8447</v>
      </c>
      <c r="J7761">
        <v>-415.2242</v>
      </c>
      <c r="K7761">
        <v>1.1171199999999999</v>
      </c>
      <c r="L7761">
        <v>128.9872</v>
      </c>
      <c r="M7761">
        <v>-0.72536959999999995</v>
      </c>
      <c r="N7761">
        <v>0</v>
      </c>
      <c r="O7761">
        <v>-0.68827299999999902</v>
      </c>
      <c r="P7761">
        <v>-0.58059459999999996</v>
      </c>
      <c r="Q7761">
        <v>2.600746E-2</v>
      </c>
      <c r="R7761">
        <v>-0.81377719999999998</v>
      </c>
      <c r="S7761">
        <v>-1.0821529999999999</v>
      </c>
      <c r="T7761">
        <v>-0.52071080000000003</v>
      </c>
      <c r="U7761">
        <v>-2.9428860000000001</v>
      </c>
      <c r="V7761">
        <v>-0.1913019</v>
      </c>
      <c r="W7761">
        <v>3.3407489999999998E-2</v>
      </c>
      <c r="X7761">
        <v>0.98096260000000002</v>
      </c>
      <c r="Y7761">
        <v>-0.44441009999999997</v>
      </c>
      <c r="Z7761">
        <v>8.5181889999999996E-2</v>
      </c>
      <c r="AA7761">
        <v>0.89176440000000001</v>
      </c>
      <c r="AB7761">
        <v>25</v>
      </c>
      <c r="AC7761">
        <v>-2.1548000000000198</v>
      </c>
      <c r="AD7761">
        <v>-1.117122411088</v>
      </c>
      <c r="AE7761">
        <v>-6.1424999999999903</v>
      </c>
      <c r="AF7761">
        <v>-2.8876244270984799</v>
      </c>
      <c r="AG7761">
        <v>-1.117122411088</v>
      </c>
      <c r="AH7761">
        <v>5.6254116905006004</v>
      </c>
      <c r="AI7761">
        <v>100.01898832564601</v>
      </c>
      <c r="AJ7761">
        <v>117.17224058176301</v>
      </c>
      <c r="AK7761">
        <v>6.4211832243716396</v>
      </c>
      <c r="AL7761">
        <v>88.085535692246594</v>
      </c>
      <c r="AM7761">
        <v>101.035007614441</v>
      </c>
      <c r="AN7761">
        <v>1.00000004996523</v>
      </c>
    </row>
    <row r="7762" spans="1:40" x14ac:dyDescent="0.25">
      <c r="A7762" t="str">
        <f>"20190312150844192"</f>
        <v>20190312150844192</v>
      </c>
      <c r="B7762" t="str">
        <f>"1552374524187883"</f>
        <v>1552374524187883</v>
      </c>
      <c r="C7762" t="s">
        <v>40</v>
      </c>
      <c r="D7762">
        <v>4.4448949999999998</v>
      </c>
      <c r="E7762">
        <v>0.39729690000000001</v>
      </c>
      <c r="F7762" t="s">
        <v>77</v>
      </c>
      <c r="G7762">
        <v>-417.50110000000001</v>
      </c>
      <c r="H7762" s="1">
        <v>-2.2627989999999999E-6</v>
      </c>
      <c r="I7762">
        <v>122.63809999999999</v>
      </c>
      <c r="J7762">
        <v>-415.39359999999999</v>
      </c>
      <c r="K7762">
        <v>1.1171450000000001</v>
      </c>
      <c r="L7762">
        <v>128.8098</v>
      </c>
      <c r="M7762">
        <v>-0.71779040000000005</v>
      </c>
      <c r="N7762">
        <v>0</v>
      </c>
      <c r="O7762">
        <v>-0.6961735</v>
      </c>
      <c r="P7762">
        <v>-0.57162469999999999</v>
      </c>
      <c r="Q7762">
        <v>2.5569990000000001E-2</v>
      </c>
      <c r="R7762">
        <v>-0.82011659999999997</v>
      </c>
      <c r="S7762">
        <v>-1.057434</v>
      </c>
      <c r="T7762">
        <v>-0.51882419999999996</v>
      </c>
      <c r="U7762">
        <v>-2.948715</v>
      </c>
      <c r="V7762">
        <v>-0.19133649999999999</v>
      </c>
      <c r="W7762">
        <v>3.297286E-2</v>
      </c>
      <c r="X7762">
        <v>0.98097049999999997</v>
      </c>
      <c r="Y7762">
        <v>-0.44183889999999998</v>
      </c>
      <c r="Z7762">
        <v>8.6714879999999994E-2</v>
      </c>
      <c r="AA7762">
        <v>0.89289359999999995</v>
      </c>
      <c r="AB7762">
        <v>25</v>
      </c>
      <c r="AC7762">
        <v>-2.1075000000000101</v>
      </c>
      <c r="AD7762">
        <v>-1.117147262799</v>
      </c>
      <c r="AE7762">
        <v>-6.1717000000000004</v>
      </c>
      <c r="AF7762">
        <v>-2.87851283145547</v>
      </c>
      <c r="AG7762">
        <v>-1.117147262799</v>
      </c>
      <c r="AH7762">
        <v>5.6440483970136803</v>
      </c>
      <c r="AI7762">
        <v>99.9999305191308</v>
      </c>
      <c r="AJ7762">
        <v>117.021969484648</v>
      </c>
      <c r="AK7762">
        <v>6.4334389276238397</v>
      </c>
      <c r="AL7762">
        <v>88.110451777147901</v>
      </c>
      <c r="AM7762">
        <v>101.03686776689899</v>
      </c>
      <c r="AN7762">
        <v>0.99999999379953897</v>
      </c>
    </row>
    <row r="7763" spans="1:40" x14ac:dyDescent="0.25">
      <c r="A7763" t="str">
        <f>"20190312150844215"</f>
        <v>20190312150844215</v>
      </c>
      <c r="B7763" t="str">
        <f>"1552374524207403"</f>
        <v>1552374524207403</v>
      </c>
      <c r="C7763" t="s">
        <v>40</v>
      </c>
      <c r="D7763">
        <v>4.4189699999999998</v>
      </c>
      <c r="E7763">
        <v>0.39797440000000001</v>
      </c>
      <c r="F7763" t="s">
        <v>77</v>
      </c>
      <c r="G7763">
        <v>-417.60860000000002</v>
      </c>
      <c r="H7763" s="1">
        <v>-2.1254220000000002E-6</v>
      </c>
      <c r="I7763">
        <v>122.4455</v>
      </c>
      <c r="J7763">
        <v>-415.5591</v>
      </c>
      <c r="K7763">
        <v>1.1171610000000001</v>
      </c>
      <c r="L7763">
        <v>128.63290000000001</v>
      </c>
      <c r="M7763">
        <v>-0.71021959999999995</v>
      </c>
      <c r="N7763">
        <v>0</v>
      </c>
      <c r="O7763">
        <v>-0.70389519999999905</v>
      </c>
      <c r="P7763">
        <v>-0.56263350000000001</v>
      </c>
      <c r="Q7763">
        <v>2.5936319999999999E-2</v>
      </c>
      <c r="R7763">
        <v>-0.82629979999999903</v>
      </c>
      <c r="S7763">
        <v>-1.029083</v>
      </c>
      <c r="T7763">
        <v>-0.51903959999999905</v>
      </c>
      <c r="U7763">
        <v>-2.9569239999999999</v>
      </c>
      <c r="V7763">
        <v>-0.19144169999999999</v>
      </c>
      <c r="W7763">
        <v>3.3343640000000001E-2</v>
      </c>
      <c r="X7763">
        <v>0.98093739999999996</v>
      </c>
      <c r="Y7763">
        <v>-0.4405966</v>
      </c>
      <c r="Z7763">
        <v>8.8430049999999996E-2</v>
      </c>
      <c r="AA7763">
        <v>0.8933392</v>
      </c>
      <c r="AB7763">
        <v>25</v>
      </c>
      <c r="AC7763">
        <v>-2.0495000000000201</v>
      </c>
      <c r="AD7763">
        <v>-1.117163125422</v>
      </c>
      <c r="AE7763">
        <v>-6.18740000000001</v>
      </c>
      <c r="AF7763">
        <v>-2.8677120604072601</v>
      </c>
      <c r="AG7763">
        <v>-1.117163125422</v>
      </c>
      <c r="AH7763">
        <v>5.6453809028847699</v>
      </c>
      <c r="AI7763">
        <v>100.00581330019401</v>
      </c>
      <c r="AJ7763">
        <v>116.929428500347</v>
      </c>
      <c r="AK7763">
        <v>6.4297862677435802</v>
      </c>
      <c r="AL7763">
        <v>88.089195881067596</v>
      </c>
      <c r="AM7763">
        <v>101.04315035818701</v>
      </c>
      <c r="AN7763">
        <v>0.99999995277304798</v>
      </c>
    </row>
    <row r="7764" spans="1:40" x14ac:dyDescent="0.25">
      <c r="A7764" t="str">
        <f>"20190312150844237"</f>
        <v>20190312150844237</v>
      </c>
      <c r="B7764" t="str">
        <f>"1552374524227899"</f>
        <v>1552374524227899</v>
      </c>
      <c r="C7764" t="s">
        <v>40</v>
      </c>
      <c r="D7764">
        <v>4.4348839999999896</v>
      </c>
      <c r="E7764">
        <v>0.39887600000000001</v>
      </c>
      <c r="F7764" t="s">
        <v>77</v>
      </c>
      <c r="G7764">
        <v>-417.70639999999997</v>
      </c>
      <c r="H7764" s="1">
        <v>-2.0026530000000001E-6</v>
      </c>
      <c r="I7764">
        <v>122.27379999999999</v>
      </c>
      <c r="J7764">
        <v>-415.721</v>
      </c>
      <c r="K7764">
        <v>1.117183</v>
      </c>
      <c r="L7764">
        <v>128.45580000000001</v>
      </c>
      <c r="M7764">
        <v>-0.70264139999999997</v>
      </c>
      <c r="N7764">
        <v>0</v>
      </c>
      <c r="O7764">
        <v>-0.71145979999999998</v>
      </c>
      <c r="P7764">
        <v>-0.55380309999999999</v>
      </c>
      <c r="Q7764">
        <v>2.6083269999999999E-2</v>
      </c>
      <c r="R7764">
        <v>-0.83223919999999996</v>
      </c>
      <c r="S7764">
        <v>-1.001312</v>
      </c>
      <c r="T7764">
        <v>-0.52092649999999996</v>
      </c>
      <c r="U7764">
        <v>-2.965179</v>
      </c>
      <c r="V7764">
        <v>-0.19138359999999999</v>
      </c>
      <c r="W7764">
        <v>3.3501860000000001E-2</v>
      </c>
      <c r="X7764">
        <v>0.98094340000000002</v>
      </c>
      <c r="Y7764">
        <v>-0.43930849999999999</v>
      </c>
      <c r="Z7764">
        <v>9.0393589999999996E-2</v>
      </c>
      <c r="AA7764">
        <v>0.89377680000000004</v>
      </c>
      <c r="AB7764">
        <v>25</v>
      </c>
      <c r="AC7764">
        <v>-1.9853999999999601</v>
      </c>
      <c r="AD7764">
        <v>-1.1171850026529999</v>
      </c>
      <c r="AE7764">
        <v>-6.1820000000000102</v>
      </c>
      <c r="AF7764">
        <v>-2.8470856660374202</v>
      </c>
      <c r="AG7764">
        <v>-1.1171850026529999</v>
      </c>
      <c r="AH7764">
        <v>5.62702990819347</v>
      </c>
      <c r="AI7764">
        <v>100.04594530799601</v>
      </c>
      <c r="AJ7764">
        <v>116.83785817370099</v>
      </c>
      <c r="AK7764">
        <v>6.4044878567776404</v>
      </c>
      <c r="AL7764">
        <v>88.080125576037602</v>
      </c>
      <c r="AM7764">
        <v>101.03981539220101</v>
      </c>
      <c r="AN7764">
        <v>1.0000000054879801</v>
      </c>
    </row>
    <row r="7765" spans="1:40" x14ac:dyDescent="0.25">
      <c r="A7765" t="str">
        <f>"20190312150844260"</f>
        <v>20190312150844260</v>
      </c>
      <c r="B7765" t="str">
        <f>"1552374524247419"</f>
        <v>1552374524247419</v>
      </c>
      <c r="C7765" t="s">
        <v>40</v>
      </c>
      <c r="D7765">
        <v>4.4832589999999897</v>
      </c>
      <c r="E7765">
        <v>0.39973330000000001</v>
      </c>
      <c r="F7765" t="s">
        <v>77</v>
      </c>
      <c r="G7765">
        <v>-417.82819999999998</v>
      </c>
      <c r="H7765" s="1">
        <v>-1.837571E-6</v>
      </c>
      <c r="I7765">
        <v>122.0408</v>
      </c>
      <c r="J7765">
        <v>-415.88400000000001</v>
      </c>
      <c r="K7765">
        <v>1.1171990000000001</v>
      </c>
      <c r="L7765">
        <v>128.2739</v>
      </c>
      <c r="M7765">
        <v>-0.69484590000000002</v>
      </c>
      <c r="N7765">
        <v>0</v>
      </c>
      <c r="O7765">
        <v>-0.71907489999999996</v>
      </c>
      <c r="P7765">
        <v>-0.54503630000000003</v>
      </c>
      <c r="Q7765">
        <v>2.5943939999999999E-2</v>
      </c>
      <c r="R7765">
        <v>-0.83801109999999901</v>
      </c>
      <c r="S7765">
        <v>-0.9760742</v>
      </c>
      <c r="T7765">
        <v>-0.51747759999999998</v>
      </c>
      <c r="U7765">
        <v>-2.9714360000000002</v>
      </c>
      <c r="V7765">
        <v>-0.19099240000000001</v>
      </c>
      <c r="W7765">
        <v>3.3383669999999997E-2</v>
      </c>
      <c r="X7765">
        <v>0.98102370000000005</v>
      </c>
      <c r="Y7765">
        <v>-0.43696770000000001</v>
      </c>
      <c r="Z7765">
        <v>9.1555380000000006E-2</v>
      </c>
      <c r="AA7765">
        <v>0.89480539999999997</v>
      </c>
      <c r="AB7765">
        <v>25</v>
      </c>
      <c r="AC7765">
        <v>-1.94419999999996</v>
      </c>
      <c r="AD7765">
        <v>-1.1172008375710001</v>
      </c>
      <c r="AE7765">
        <v>-6.2330999999999896</v>
      </c>
      <c r="AF7765">
        <v>-2.84976164268291</v>
      </c>
      <c r="AG7765">
        <v>-1.1172008375710001</v>
      </c>
      <c r="AH7765">
        <v>5.6674095416676797</v>
      </c>
      <c r="AI7765">
        <v>99.988271846216904</v>
      </c>
      <c r="AJ7765">
        <v>116.694768006226</v>
      </c>
      <c r="AK7765">
        <v>6.4411807958294496</v>
      </c>
      <c r="AL7765">
        <v>88.086901207095494</v>
      </c>
      <c r="AM7765">
        <v>101.01692228864199</v>
      </c>
      <c r="AN7765">
        <v>1.0000000331210499</v>
      </c>
    </row>
    <row r="7766" spans="1:40" x14ac:dyDescent="0.25">
      <c r="A7766" t="str">
        <f>"20190312150844282"</f>
        <v>20190312150844282</v>
      </c>
      <c r="B7766" t="str">
        <f>"1552374524277679"</f>
        <v>1552374524277679</v>
      </c>
      <c r="C7766" t="s">
        <v>40</v>
      </c>
      <c r="D7766">
        <v>4.4648029999999999</v>
      </c>
      <c r="E7766">
        <v>0.4009605</v>
      </c>
      <c r="F7766" t="s">
        <v>77</v>
      </c>
      <c r="G7766">
        <v>-417.94349999999997</v>
      </c>
      <c r="H7766" s="1">
        <v>-1.6810920000000001E-6</v>
      </c>
      <c r="I7766">
        <v>121.8199</v>
      </c>
      <c r="J7766">
        <v>-416.04469999999998</v>
      </c>
      <c r="K7766">
        <v>1.117218</v>
      </c>
      <c r="L7766">
        <v>128.09059999999999</v>
      </c>
      <c r="M7766">
        <v>-0.68699049999999995</v>
      </c>
      <c r="N7766">
        <v>0</v>
      </c>
      <c r="O7766">
        <v>-0.72658299999999998</v>
      </c>
      <c r="P7766">
        <v>-0.53648819999999997</v>
      </c>
      <c r="Q7766">
        <v>2.5430709999999999E-2</v>
      </c>
      <c r="R7766">
        <v>-0.84352459999999996</v>
      </c>
      <c r="S7766">
        <v>-0.95025630000000005</v>
      </c>
      <c r="T7766">
        <v>-0.5154706</v>
      </c>
      <c r="U7766">
        <v>-2.9778440000000002</v>
      </c>
      <c r="V7766">
        <v>-0.1903087</v>
      </c>
      <c r="W7766">
        <v>3.2897559999999999E-2</v>
      </c>
      <c r="X7766">
        <v>0.98117290000000001</v>
      </c>
      <c r="Y7766">
        <v>-0.43483440000000001</v>
      </c>
      <c r="Z7766">
        <v>9.2912969999999998E-2</v>
      </c>
      <c r="AA7766">
        <v>0.89570430000000001</v>
      </c>
      <c r="AB7766">
        <v>25</v>
      </c>
      <c r="AC7766">
        <v>-1.8987999999999901</v>
      </c>
      <c r="AD7766">
        <v>-1.1172196810920001</v>
      </c>
      <c r="AE7766">
        <v>-6.2706999999999899</v>
      </c>
      <c r="AF7766">
        <v>-2.8457091083136601</v>
      </c>
      <c r="AG7766">
        <v>-1.1172196810920001</v>
      </c>
      <c r="AH7766">
        <v>5.6953934027582598</v>
      </c>
      <c r="AI7766">
        <v>99.952767038622994</v>
      </c>
      <c r="AJ7766">
        <v>116.54905276120699</v>
      </c>
      <c r="AK7766">
        <v>6.4640348202296201</v>
      </c>
      <c r="AL7766">
        <v>88.1147684184849</v>
      </c>
      <c r="AM7766">
        <v>100.97681576570901</v>
      </c>
      <c r="AN7766">
        <v>0.99999995522202501</v>
      </c>
    </row>
    <row r="7767" spans="1:40" x14ac:dyDescent="0.25">
      <c r="A7767" t="str">
        <f>"20190312150844305"</f>
        <v>20190312150844305</v>
      </c>
      <c r="B7767" t="str">
        <f>"1552374524298172"</f>
        <v>1552374524298172</v>
      </c>
      <c r="C7767" t="s">
        <v>40</v>
      </c>
      <c r="D7767">
        <v>4.486421</v>
      </c>
      <c r="E7767">
        <v>0.4017945</v>
      </c>
      <c r="F7767" t="s">
        <v>77</v>
      </c>
      <c r="G7767">
        <v>-418.0677</v>
      </c>
      <c r="H7767" s="1">
        <v>-1.516501E-6</v>
      </c>
      <c r="I7767">
        <v>121.5881</v>
      </c>
      <c r="J7767">
        <v>-416.20679999999999</v>
      </c>
      <c r="K7767">
        <v>1.1172329999999999</v>
      </c>
      <c r="L7767">
        <v>127.9014</v>
      </c>
      <c r="M7767">
        <v>-0.67887849999999905</v>
      </c>
      <c r="N7767">
        <v>0</v>
      </c>
      <c r="O7767">
        <v>-0.73416780000000004</v>
      </c>
      <c r="P7767">
        <v>-0.52744419999999903</v>
      </c>
      <c r="Q7767">
        <v>2.5603819999999999E-2</v>
      </c>
      <c r="R7767">
        <v>-0.84920390000000001</v>
      </c>
      <c r="S7767">
        <v>-0.92773439999999996</v>
      </c>
      <c r="T7767">
        <v>-0.51233660000000003</v>
      </c>
      <c r="U7767">
        <v>-2.981903</v>
      </c>
      <c r="V7767">
        <v>-0.1898967</v>
      </c>
      <c r="W7767">
        <v>3.3092009999999998E-2</v>
      </c>
      <c r="X7767">
        <v>0.98124619999999996</v>
      </c>
      <c r="Y7767">
        <v>-0.43138749999999998</v>
      </c>
      <c r="Z7767">
        <v>9.4190280000000001E-2</v>
      </c>
      <c r="AA7767">
        <v>0.89723629999999999</v>
      </c>
      <c r="AB7767">
        <v>25</v>
      </c>
      <c r="AC7767">
        <v>-1.86090000000001</v>
      </c>
      <c r="AD7767">
        <v>-1.117234516501</v>
      </c>
      <c r="AE7767">
        <v>-6.3132999999999901</v>
      </c>
      <c r="AF7767">
        <v>-2.8381517963520602</v>
      </c>
      <c r="AG7767">
        <v>-1.117234516501</v>
      </c>
      <c r="AH7767">
        <v>5.7335040590112696</v>
      </c>
      <c r="AI7767">
        <v>99.905994511104595</v>
      </c>
      <c r="AJ7767">
        <v>116.335950079396</v>
      </c>
      <c r="AK7767">
        <v>6.4943350220554796</v>
      </c>
      <c r="AL7767">
        <v>88.103621214939807</v>
      </c>
      <c r="AM7767">
        <v>100.952828963606</v>
      </c>
      <c r="AN7767">
        <v>0.99999997140558405</v>
      </c>
    </row>
    <row r="7768" spans="1:40" x14ac:dyDescent="0.25">
      <c r="A7768" t="str">
        <f>"20190312150844338"</f>
        <v>20190312150844338</v>
      </c>
      <c r="B7768" t="str">
        <f>"1552374524327451"</f>
        <v>1552374524327451</v>
      </c>
      <c r="C7768" t="s">
        <v>40</v>
      </c>
      <c r="D7768">
        <v>4.4706580000000002</v>
      </c>
      <c r="E7768">
        <v>0.4165933</v>
      </c>
      <c r="F7768" t="s">
        <v>77</v>
      </c>
      <c r="G7768">
        <v>-418.18400000000003</v>
      </c>
      <c r="H7768" s="1">
        <v>-1.347439E-6</v>
      </c>
      <c r="I7768">
        <v>121.3476</v>
      </c>
      <c r="J7768">
        <v>-416.43759999999997</v>
      </c>
      <c r="K7768">
        <v>1.1172629999999999</v>
      </c>
      <c r="L7768">
        <v>127.6242</v>
      </c>
      <c r="M7768">
        <v>-0.66699799999999998</v>
      </c>
      <c r="N7768">
        <v>0</v>
      </c>
      <c r="O7768">
        <v>-0.74497740000000001</v>
      </c>
      <c r="P7768">
        <v>-0.51401790000000003</v>
      </c>
      <c r="Q7768">
        <v>2.528275E-2</v>
      </c>
      <c r="R7768">
        <v>-0.85740709999999998</v>
      </c>
      <c r="S7768">
        <v>-0.90145869999999995</v>
      </c>
      <c r="T7768">
        <v>-0.50940129999999995</v>
      </c>
      <c r="U7768">
        <v>-2.9881899999999999</v>
      </c>
      <c r="V7768">
        <v>-0.1895771</v>
      </c>
      <c r="W7768">
        <v>3.2794139999999999E-2</v>
      </c>
      <c r="X7768">
        <v>0.98131809999999997</v>
      </c>
      <c r="Y7768">
        <v>-0.4247147</v>
      </c>
      <c r="Z7768">
        <v>9.6299010000000004E-2</v>
      </c>
      <c r="AA7768">
        <v>0.90019110000000002</v>
      </c>
      <c r="AB7768">
        <v>25</v>
      </c>
      <c r="AC7768">
        <v>-1.7464000000000499</v>
      </c>
      <c r="AD7768">
        <v>-1.1172643474389901</v>
      </c>
      <c r="AE7768">
        <v>-6.2766000000000002</v>
      </c>
      <c r="AF7768">
        <v>-2.80318889447872</v>
      </c>
      <c r="AG7768">
        <v>-1.1172643474389901</v>
      </c>
      <c r="AH7768">
        <v>5.6742541192122697</v>
      </c>
      <c r="AI7768">
        <v>100.011482028834</v>
      </c>
      <c r="AJ7768">
        <v>116.29024332935801</v>
      </c>
      <c r="AK7768">
        <v>6.4267649256515096</v>
      </c>
      <c r="AL7768">
        <v>88.120697368516801</v>
      </c>
      <c r="AM7768">
        <v>100.934057983869</v>
      </c>
      <c r="AN7768">
        <v>1.0000000729251699</v>
      </c>
    </row>
    <row r="7769" spans="1:40" x14ac:dyDescent="0.25">
      <c r="A7769" t="str">
        <f>"20190312150844360"</f>
        <v>20190312150844360</v>
      </c>
      <c r="B7769" t="str">
        <f>"1552374524347947"</f>
        <v>1552374524347947</v>
      </c>
      <c r="C7769" t="s">
        <v>40</v>
      </c>
      <c r="D7769">
        <v>4.515288</v>
      </c>
      <c r="E7769">
        <v>0.4171163</v>
      </c>
      <c r="F7769" t="s">
        <v>77</v>
      </c>
      <c r="G7769">
        <v>-418.82229999999998</v>
      </c>
      <c r="H7769" s="1">
        <v>-5.9618039999999995E-7</v>
      </c>
      <c r="I7769">
        <v>120.30549999999999</v>
      </c>
      <c r="J7769">
        <v>-416.5908</v>
      </c>
      <c r="K7769">
        <v>1.1172869999999999</v>
      </c>
      <c r="L7769">
        <v>127.4355</v>
      </c>
      <c r="M7769">
        <v>-0.65889690000000001</v>
      </c>
      <c r="N7769">
        <v>0</v>
      </c>
      <c r="O7769">
        <v>-0.75215169999999998</v>
      </c>
      <c r="P7769">
        <v>-0.50514289999999995</v>
      </c>
      <c r="Q7769">
        <v>2.5395750000000002E-2</v>
      </c>
      <c r="R7769">
        <v>-0.86266189999999998</v>
      </c>
      <c r="S7769">
        <v>-0.95736690000000002</v>
      </c>
      <c r="T7769">
        <v>-0.44853949999999998</v>
      </c>
      <c r="U7769">
        <v>-2.9381870000000001</v>
      </c>
      <c r="V7769">
        <v>-0.1890849</v>
      </c>
      <c r="W7769">
        <v>3.2927110000000002E-2</v>
      </c>
      <c r="X7769">
        <v>0.98140850000000002</v>
      </c>
      <c r="Y7769">
        <v>-0.39475739999999998</v>
      </c>
      <c r="Z7769">
        <v>8.8748480000000005E-2</v>
      </c>
      <c r="AA7769">
        <v>0.91448910000000005</v>
      </c>
      <c r="AB7769">
        <v>25</v>
      </c>
      <c r="AC7769">
        <v>-2.2314999999999801</v>
      </c>
      <c r="AD7769">
        <v>-1.1172875961803901</v>
      </c>
      <c r="AE7769">
        <v>-7.1300000000000097</v>
      </c>
      <c r="AF7769">
        <v>-2.9536357970312199</v>
      </c>
      <c r="AG7769">
        <v>-1.1172875961803901</v>
      </c>
      <c r="AH7769">
        <v>6.6840999087197499</v>
      </c>
      <c r="AI7769">
        <v>98.692845963288903</v>
      </c>
      <c r="AJ7769">
        <v>113.840147997592</v>
      </c>
      <c r="AK7769">
        <v>7.39252917368814</v>
      </c>
      <c r="AL7769">
        <v>88.113074436251395</v>
      </c>
      <c r="AM7769">
        <v>100.905370950273</v>
      </c>
      <c r="AN7769">
        <v>0.99999996892660503</v>
      </c>
    </row>
    <row r="7770" spans="1:40" x14ac:dyDescent="0.25">
      <c r="A7770" t="str">
        <f>"20190312150844382"</f>
        <v>20190312150844382</v>
      </c>
      <c r="B7770" t="str">
        <f>"1552374524377475"</f>
        <v>1552374524377475</v>
      </c>
      <c r="C7770" t="s">
        <v>40</v>
      </c>
      <c r="D7770">
        <v>4.4307749999999997</v>
      </c>
      <c r="E7770">
        <v>0.41856149999999998</v>
      </c>
      <c r="F7770" t="s">
        <v>77</v>
      </c>
      <c r="G7770">
        <v>-418.90609999999998</v>
      </c>
      <c r="H7770" s="1">
        <v>-4.6470189999999998E-7</v>
      </c>
      <c r="I7770">
        <v>120.10039999999999</v>
      </c>
      <c r="J7770">
        <v>-416.7439</v>
      </c>
      <c r="K7770">
        <v>1.117313</v>
      </c>
      <c r="L7770">
        <v>127.2427</v>
      </c>
      <c r="M7770">
        <v>-0.65061590000000002</v>
      </c>
      <c r="N7770">
        <v>0</v>
      </c>
      <c r="O7770">
        <v>-0.75932619999999995</v>
      </c>
      <c r="P7770">
        <v>-0.49595739999999999</v>
      </c>
      <c r="Q7770">
        <v>2.5981339999999999E-2</v>
      </c>
      <c r="R7770">
        <v>-0.86795829999999996</v>
      </c>
      <c r="S7770">
        <v>-0.92999270000000001</v>
      </c>
      <c r="T7770">
        <v>-0.44877689999999998</v>
      </c>
      <c r="U7770">
        <v>-2.9462739999999998</v>
      </c>
      <c r="V7770">
        <v>-0.1887498</v>
      </c>
      <c r="W7770">
        <v>3.352902E-2</v>
      </c>
      <c r="X7770">
        <v>0.98145260000000001</v>
      </c>
      <c r="Y7770">
        <v>-0.39317340000000001</v>
      </c>
      <c r="Z7770">
        <v>9.0170710000000001E-2</v>
      </c>
      <c r="AA7770">
        <v>0.91503219999999996</v>
      </c>
      <c r="AB7770">
        <v>25</v>
      </c>
      <c r="AC7770">
        <v>-2.1621999999999799</v>
      </c>
      <c r="AD7770">
        <v>-1.1173134647018901</v>
      </c>
      <c r="AE7770">
        <v>-7.1422999999999996</v>
      </c>
      <c r="AF7770">
        <v>-2.9393691476337098</v>
      </c>
      <c r="AG7770">
        <v>-1.1173134647018901</v>
      </c>
      <c r="AH7770">
        <v>6.6807488761016698</v>
      </c>
      <c r="AI7770">
        <v>98.703390738595402</v>
      </c>
      <c r="AJ7770">
        <v>113.74834227993399</v>
      </c>
      <c r="AK7770">
        <v>7.3838124238091796</v>
      </c>
      <c r="AL7770">
        <v>88.078568429966595</v>
      </c>
      <c r="AM7770">
        <v>100.886028959439</v>
      </c>
      <c r="AN7770">
        <v>0.99999994411447801</v>
      </c>
    </row>
    <row r="7771" spans="1:40" x14ac:dyDescent="0.25">
      <c r="A7771" t="str">
        <f>"20190312150844404"</f>
        <v>20190312150844404</v>
      </c>
      <c r="B7771" t="str">
        <f>"1552374524397971"</f>
        <v>1552374524397971</v>
      </c>
      <c r="C7771" t="s">
        <v>40</v>
      </c>
      <c r="D7771">
        <v>4.4883329999999999</v>
      </c>
      <c r="E7771">
        <v>0.4182998</v>
      </c>
      <c r="F7771" t="s">
        <v>77</v>
      </c>
      <c r="G7771">
        <v>-418.9622</v>
      </c>
      <c r="H7771" s="1">
        <v>-4.2455960000000002E-7</v>
      </c>
      <c r="I7771">
        <v>120.03440000000001</v>
      </c>
      <c r="J7771">
        <v>-416.89400000000001</v>
      </c>
      <c r="K7771">
        <v>1.117335</v>
      </c>
      <c r="L7771">
        <v>127.0493</v>
      </c>
      <c r="M7771">
        <v>-0.64230200000000004</v>
      </c>
      <c r="N7771">
        <v>0</v>
      </c>
      <c r="O7771">
        <v>-0.76637129999999998</v>
      </c>
      <c r="P7771">
        <v>-0.48695310000000003</v>
      </c>
      <c r="Q7771">
        <v>2.662919E-2</v>
      </c>
      <c r="R7771">
        <v>-0.87302230000000003</v>
      </c>
      <c r="S7771">
        <v>-0.90820310000000004</v>
      </c>
      <c r="T7771">
        <v>-0.45743450000000002</v>
      </c>
      <c r="U7771">
        <v>-2.9511409999999998</v>
      </c>
      <c r="V7771">
        <v>-0.18820590000000001</v>
      </c>
      <c r="W7771">
        <v>3.4196209999999998E-2</v>
      </c>
      <c r="X7771">
        <v>0.98153409999999996</v>
      </c>
      <c r="Y7771">
        <v>-0.38983509999999999</v>
      </c>
      <c r="Z7771">
        <v>9.3390730000000005E-2</v>
      </c>
      <c r="AA7771">
        <v>0.91613690000000003</v>
      </c>
      <c r="AB7771">
        <v>25</v>
      </c>
      <c r="AC7771">
        <v>-2.0681999999999898</v>
      </c>
      <c r="AD7771">
        <v>-1.1173354245596001</v>
      </c>
      <c r="AE7771">
        <v>-7.0148999999999901</v>
      </c>
      <c r="AF7771">
        <v>-2.8542335805042698</v>
      </c>
      <c r="AG7771">
        <v>-1.1173354245596001</v>
      </c>
      <c r="AH7771">
        <v>6.5519099533328404</v>
      </c>
      <c r="AI7771">
        <v>98.885950265202894</v>
      </c>
      <c r="AJ7771">
        <v>113.539570156096</v>
      </c>
      <c r="AK7771">
        <v>7.2334370682018099</v>
      </c>
      <c r="AL7771">
        <v>88.040319459993199</v>
      </c>
      <c r="AM7771">
        <v>100.854526263842</v>
      </c>
      <c r="AN7771">
        <v>1.00000001551799</v>
      </c>
    </row>
    <row r="7772" spans="1:40" x14ac:dyDescent="0.25">
      <c r="A7772" t="str">
        <f>"20190312150844427"</f>
        <v>20190312150844427</v>
      </c>
      <c r="B7772" t="str">
        <f>"1552374524417491"</f>
        <v>1552374524417491</v>
      </c>
      <c r="C7772" t="s">
        <v>40</v>
      </c>
      <c r="D7772">
        <v>4.4894290000000003</v>
      </c>
      <c r="E7772">
        <v>0.39975379999999999</v>
      </c>
      <c r="F7772" t="s">
        <v>77</v>
      </c>
      <c r="G7772">
        <v>-419.04340000000002</v>
      </c>
      <c r="H7772" s="1">
        <v>-3.0505370000000002E-7</v>
      </c>
      <c r="I7772">
        <v>119.77800000000001</v>
      </c>
      <c r="J7772">
        <v>-417.04059999999998</v>
      </c>
      <c r="K7772">
        <v>1.117356</v>
      </c>
      <c r="L7772">
        <v>126.85590000000001</v>
      </c>
      <c r="M7772">
        <v>-0.63398809999999906</v>
      </c>
      <c r="N7772">
        <v>0</v>
      </c>
      <c r="O7772">
        <v>-0.77326269999999997</v>
      </c>
      <c r="P7772">
        <v>-0.47813420000000001</v>
      </c>
      <c r="Q7772">
        <v>2.759089E-2</v>
      </c>
      <c r="R7772">
        <v>-0.87785329999999995</v>
      </c>
      <c r="S7772">
        <v>-0.87554929999999997</v>
      </c>
      <c r="T7772">
        <v>-0.45513579999999998</v>
      </c>
      <c r="U7772">
        <v>-2.9618679999999999</v>
      </c>
      <c r="V7772">
        <v>-0.18749270000000001</v>
      </c>
      <c r="W7772">
        <v>3.5180290000000003E-2</v>
      </c>
      <c r="X7772">
        <v>0.98163579999999995</v>
      </c>
      <c r="Y7772">
        <v>-0.39009749999999999</v>
      </c>
      <c r="Z7772">
        <v>9.413842E-2</v>
      </c>
      <c r="AA7772">
        <v>0.9159486</v>
      </c>
      <c r="AB7772">
        <v>25</v>
      </c>
      <c r="AC7772">
        <v>-2.0028000000000299</v>
      </c>
      <c r="AD7772">
        <v>-1.1173563050536901</v>
      </c>
      <c r="AE7772">
        <v>-7.0779000000000103</v>
      </c>
      <c r="AF7772">
        <v>-2.8725154602295802</v>
      </c>
      <c r="AG7772">
        <v>-1.1173563050536901</v>
      </c>
      <c r="AH7772">
        <v>6.5911607011882296</v>
      </c>
      <c r="AI7772">
        <v>98.833462035147406</v>
      </c>
      <c r="AJ7772">
        <v>113.548212357892</v>
      </c>
      <c r="AK7772">
        <v>7.2762098355248996</v>
      </c>
      <c r="AL7772">
        <v>87.983901852715505</v>
      </c>
      <c r="AM7772">
        <v>100.81327116630899</v>
      </c>
      <c r="AN7772">
        <v>1.0000000045997</v>
      </c>
    </row>
    <row r="7773" spans="1:40" x14ac:dyDescent="0.25">
      <c r="A7773" t="str">
        <f>"20190312150844449"</f>
        <v>20190312150844449</v>
      </c>
      <c r="B7773" t="str">
        <f>"1552374524437988"</f>
        <v>1552374524437988</v>
      </c>
      <c r="C7773" t="s">
        <v>40</v>
      </c>
      <c r="D7773">
        <v>4.5032610000000002</v>
      </c>
      <c r="E7773">
        <v>0.40076970000000001</v>
      </c>
      <c r="F7773" t="s">
        <v>77</v>
      </c>
      <c r="G7773">
        <v>-418.59230000000002</v>
      </c>
      <c r="H7773" s="1">
        <v>-5.9890599999999995E-7</v>
      </c>
      <c r="I7773">
        <v>120.2332</v>
      </c>
      <c r="J7773">
        <v>-417.18669999999997</v>
      </c>
      <c r="K7773">
        <v>1.1173759999999999</v>
      </c>
      <c r="L7773">
        <v>126.6587</v>
      </c>
      <c r="M7773">
        <v>-0.62550749999999999</v>
      </c>
      <c r="N7773">
        <v>0</v>
      </c>
      <c r="O7773">
        <v>-0.78013889999999997</v>
      </c>
      <c r="P7773">
        <v>-0.46912700000000002</v>
      </c>
      <c r="Q7773">
        <v>2.7871279999999998E-2</v>
      </c>
      <c r="R7773">
        <v>-0.882691</v>
      </c>
      <c r="S7773">
        <v>-0.71347050000000001</v>
      </c>
      <c r="T7773">
        <v>-0.51373179999999996</v>
      </c>
      <c r="U7773">
        <v>-3.0449519999999999</v>
      </c>
      <c r="V7773">
        <v>-0.18681990000000001</v>
      </c>
      <c r="W7773">
        <v>3.5480980000000002E-2</v>
      </c>
      <c r="X7773">
        <v>0.98175319999999999</v>
      </c>
      <c r="Y7773">
        <v>-0.43214609999999898</v>
      </c>
      <c r="Z7773">
        <v>0.1036482</v>
      </c>
      <c r="AA7773">
        <v>0.89582739999999905</v>
      </c>
      <c r="AB7773">
        <v>25</v>
      </c>
      <c r="AC7773">
        <v>-1.4056000000000399</v>
      </c>
      <c r="AD7773">
        <v>-1.1173765989059901</v>
      </c>
      <c r="AE7773">
        <v>-6.4255000000000004</v>
      </c>
      <c r="AF7773">
        <v>-2.8408316864815899</v>
      </c>
      <c r="AG7773">
        <v>-1.1173765989059901</v>
      </c>
      <c r="AH7773">
        <v>5.7270809817735602</v>
      </c>
      <c r="AI7773">
        <v>99.914164007072699</v>
      </c>
      <c r="AJ7773">
        <v>116.38301342259101</v>
      </c>
      <c r="AK7773">
        <v>6.4898622255401497</v>
      </c>
      <c r="AL7773">
        <v>87.966662732061096</v>
      </c>
      <c r="AM7773">
        <v>100.77412043046201</v>
      </c>
      <c r="AN7773">
        <v>0.99999996034400396</v>
      </c>
    </row>
    <row r="7774" spans="1:40" x14ac:dyDescent="0.25">
      <c r="A7774" t="str">
        <f>"20190312150844472"</f>
        <v>20190312150844472</v>
      </c>
      <c r="B7774" t="str">
        <f>"1552374524468247"</f>
        <v>1552374524468247</v>
      </c>
      <c r="C7774" t="s">
        <v>40</v>
      </c>
      <c r="D7774">
        <v>4.483301</v>
      </c>
      <c r="E7774">
        <v>0.40039150000000001</v>
      </c>
      <c r="F7774" t="s">
        <v>77</v>
      </c>
      <c r="G7774">
        <v>-418.6875</v>
      </c>
      <c r="H7774" s="1">
        <v>-4.9189899999999998E-7</v>
      </c>
      <c r="I7774">
        <v>120.0193</v>
      </c>
      <c r="J7774">
        <v>-417.33530000000002</v>
      </c>
      <c r="K7774">
        <v>1.1173930000000001</v>
      </c>
      <c r="L7774">
        <v>126.45350000000001</v>
      </c>
      <c r="M7774">
        <v>-0.61667749999999999</v>
      </c>
      <c r="N7774">
        <v>0</v>
      </c>
      <c r="O7774">
        <v>-0.78713690000000003</v>
      </c>
      <c r="P7774">
        <v>-0.45925329999999898</v>
      </c>
      <c r="Q7774">
        <v>2.7894909999999998E-2</v>
      </c>
      <c r="R7774">
        <v>-0.88786730000000003</v>
      </c>
      <c r="S7774">
        <v>-0.68911739999999999</v>
      </c>
      <c r="T7774">
        <v>-0.51306989999999997</v>
      </c>
      <c r="U7774">
        <v>-3.048645</v>
      </c>
      <c r="V7774">
        <v>-0.18670880000000001</v>
      </c>
      <c r="W7774">
        <v>3.5512910000000002E-2</v>
      </c>
      <c r="X7774">
        <v>0.98177320000000001</v>
      </c>
      <c r="Y7774">
        <v>-0.42906339999999998</v>
      </c>
      <c r="Z7774">
        <v>0.10521129999999999</v>
      </c>
      <c r="AA7774">
        <v>0.89712610000000004</v>
      </c>
      <c r="AB7774">
        <v>25</v>
      </c>
      <c r="AC7774">
        <v>-1.3521999999999801</v>
      </c>
      <c r="AD7774">
        <v>-1.1173934918990001</v>
      </c>
      <c r="AE7774">
        <v>-6.4341999999999997</v>
      </c>
      <c r="AF7774">
        <v>-2.8221268348814399</v>
      </c>
      <c r="AG7774">
        <v>-1.1173934918990001</v>
      </c>
      <c r="AH7774">
        <v>5.7332370392082996</v>
      </c>
      <c r="AI7774">
        <v>99.9185190783124</v>
      </c>
      <c r="AJ7774">
        <v>116.208241882804</v>
      </c>
      <c r="AK7774">
        <v>6.4871392027338297</v>
      </c>
      <c r="AL7774">
        <v>87.964832163086299</v>
      </c>
      <c r="AM7774">
        <v>100.76764878575101</v>
      </c>
      <c r="AN7774">
        <v>0.99999997950617303</v>
      </c>
    </row>
    <row r="7775" spans="1:40" x14ac:dyDescent="0.25">
      <c r="A7775" t="str">
        <f>"20190312150844494"</f>
        <v>20190312150844494</v>
      </c>
      <c r="B7775" t="str">
        <f>"1552374524487763"</f>
        <v>1552374524487763</v>
      </c>
      <c r="C7775" t="s">
        <v>40</v>
      </c>
      <c r="D7775">
        <v>4.455927</v>
      </c>
      <c r="E7775">
        <v>0.40080769999999999</v>
      </c>
      <c r="F7775" t="s">
        <v>77</v>
      </c>
      <c r="G7775">
        <v>-418.74020000000002</v>
      </c>
      <c r="H7775" s="1">
        <v>-4.177574E-7</v>
      </c>
      <c r="I7775">
        <v>119.86190000000001</v>
      </c>
      <c r="J7775">
        <v>-417.47809999999998</v>
      </c>
      <c r="K7775">
        <v>1.117405</v>
      </c>
      <c r="L7775">
        <v>126.2516</v>
      </c>
      <c r="M7775">
        <v>-0.60797979999999996</v>
      </c>
      <c r="N7775">
        <v>0</v>
      </c>
      <c r="O7775">
        <v>-0.79387410000000003</v>
      </c>
      <c r="P7775">
        <v>-0.4491946</v>
      </c>
      <c r="Q7775">
        <v>2.8426549999999998E-2</v>
      </c>
      <c r="R7775">
        <v>-0.89298180000000005</v>
      </c>
      <c r="S7775">
        <v>-0.6517944</v>
      </c>
      <c r="T7775">
        <v>-0.51838850000000003</v>
      </c>
      <c r="U7775">
        <v>-3.0580289999999999</v>
      </c>
      <c r="V7775">
        <v>-0.18699779999999999</v>
      </c>
      <c r="W7775">
        <v>3.6043770000000003E-2</v>
      </c>
      <c r="X7775">
        <v>0.98169890000000004</v>
      </c>
      <c r="Y7775">
        <v>-0.4302087</v>
      </c>
      <c r="Z7775">
        <v>0.1075897</v>
      </c>
      <c r="AA7775">
        <v>0.89629509999999901</v>
      </c>
      <c r="AB7775">
        <v>25</v>
      </c>
      <c r="AC7775">
        <v>-1.26210000000003</v>
      </c>
      <c r="AD7775">
        <v>-1.1174054177574</v>
      </c>
      <c r="AE7775">
        <v>-6.3896999999999897</v>
      </c>
      <c r="AF7775">
        <v>-2.8006083177305698</v>
      </c>
      <c r="AG7775">
        <v>-1.1174054177574</v>
      </c>
      <c r="AH7775">
        <v>5.6733273876724803</v>
      </c>
      <c r="AI7775">
        <v>100.015780597312</v>
      </c>
      <c r="AJ7775">
        <v>116.273008401647</v>
      </c>
      <c r="AK7775">
        <v>6.4248459487126999</v>
      </c>
      <c r="AL7775">
        <v>87.934396743447806</v>
      </c>
      <c r="AM7775">
        <v>100.784722148274</v>
      </c>
      <c r="AN7775">
        <v>1.00000003041093</v>
      </c>
    </row>
    <row r="7776" spans="1:40" x14ac:dyDescent="0.25">
      <c r="A7776" t="str">
        <f>"20190312150844517"</f>
        <v>20190312150844517</v>
      </c>
      <c r="B7776" t="str">
        <f>"1552374524508259"</f>
        <v>1552374524508259</v>
      </c>
      <c r="C7776" t="s">
        <v>40</v>
      </c>
      <c r="D7776">
        <v>4.490189</v>
      </c>
      <c r="E7776">
        <v>0.40131260000000002</v>
      </c>
      <c r="F7776" t="s">
        <v>77</v>
      </c>
      <c r="G7776">
        <v>-418.81889999999999</v>
      </c>
      <c r="H7776" s="1">
        <v>-3.0781670000000001E-7</v>
      </c>
      <c r="I7776">
        <v>119.6289</v>
      </c>
      <c r="J7776">
        <v>-417.6173</v>
      </c>
      <c r="K7776">
        <v>1.117418</v>
      </c>
      <c r="L7776">
        <v>126.0504</v>
      </c>
      <c r="M7776">
        <v>-0.59930950000000005</v>
      </c>
      <c r="N7776">
        <v>0</v>
      </c>
      <c r="O7776">
        <v>-0.80043969999999998</v>
      </c>
      <c r="P7776">
        <v>-0.43934190000000001</v>
      </c>
      <c r="Q7776">
        <v>2.8357569999999999E-2</v>
      </c>
      <c r="R7776">
        <v>-0.89787260000000002</v>
      </c>
      <c r="S7776">
        <v>-0.62030030000000003</v>
      </c>
      <c r="T7776">
        <v>-0.51695679999999999</v>
      </c>
      <c r="U7776">
        <v>-3.0639340000000002</v>
      </c>
      <c r="V7776">
        <v>-0.1871246</v>
      </c>
      <c r="W7776">
        <v>3.5977049999999997E-2</v>
      </c>
      <c r="X7776">
        <v>0.98167720000000003</v>
      </c>
      <c r="Y7776">
        <v>-0.42960029999999999</v>
      </c>
      <c r="Z7776">
        <v>0.1087407</v>
      </c>
      <c r="AA7776">
        <v>0.89644799999999902</v>
      </c>
      <c r="AB7776">
        <v>25</v>
      </c>
      <c r="AC7776">
        <v>-1.20159999999998</v>
      </c>
      <c r="AD7776">
        <v>-1.1174183078166999</v>
      </c>
      <c r="AE7776">
        <v>-6.4214999999999902</v>
      </c>
      <c r="AF7776">
        <v>-2.80478103814335</v>
      </c>
      <c r="AG7776">
        <v>-1.1174183078166999</v>
      </c>
      <c r="AH7776">
        <v>5.6939376108843502</v>
      </c>
      <c r="AI7776">
        <v>99.984459214553695</v>
      </c>
      <c r="AJ7776">
        <v>116.22443100102601</v>
      </c>
      <c r="AK7776">
        <v>6.4448697320594297</v>
      </c>
      <c r="AL7776">
        <v>87.938222027859396</v>
      </c>
      <c r="AM7776">
        <v>100.792096353489</v>
      </c>
      <c r="AN7776">
        <v>1.0000000445258499</v>
      </c>
    </row>
    <row r="7777" spans="1:40" x14ac:dyDescent="0.25">
      <c r="A7777" t="str">
        <f>"20190312150844540"</f>
        <v>20190312150844540</v>
      </c>
      <c r="B7777" t="str">
        <f>"1552374524527779"</f>
        <v>1552374524527779</v>
      </c>
      <c r="C7777" t="s">
        <v>40</v>
      </c>
      <c r="D7777">
        <v>4.4633570000000002</v>
      </c>
      <c r="E7777">
        <v>0.40218320000000002</v>
      </c>
      <c r="F7777" t="s">
        <v>42</v>
      </c>
      <c r="G7777">
        <v>-418.89060000000001</v>
      </c>
      <c r="H7777" s="1">
        <v>-4.3970590000000001E-6</v>
      </c>
      <c r="I7777">
        <v>119.4237</v>
      </c>
      <c r="J7777">
        <v>-417.75760000000002</v>
      </c>
      <c r="K7777">
        <v>1.1174189999999999</v>
      </c>
      <c r="L7777">
        <v>125.8428</v>
      </c>
      <c r="M7777">
        <v>-0.59036230000000001</v>
      </c>
      <c r="N7777">
        <v>0</v>
      </c>
      <c r="O7777">
        <v>-0.80706099999999903</v>
      </c>
      <c r="P7777">
        <v>-0.42891459999999998</v>
      </c>
      <c r="Q7777">
        <v>2.767097E-2</v>
      </c>
      <c r="R7777">
        <v>-0.90292130000000004</v>
      </c>
      <c r="S7777">
        <v>-0.58969119999999997</v>
      </c>
      <c r="T7777">
        <v>-0.51751369999999997</v>
      </c>
      <c r="U7777">
        <v>-3.0690309999999998</v>
      </c>
      <c r="V7777">
        <v>-0.1875665</v>
      </c>
      <c r="W7777">
        <v>3.5287029999999997E-2</v>
      </c>
      <c r="X7777">
        <v>0.98161790000000004</v>
      </c>
      <c r="Y7777">
        <v>-0.42847790000000002</v>
      </c>
      <c r="Z7777">
        <v>0.1103558</v>
      </c>
      <c r="AA7777">
        <v>0.89678780000000002</v>
      </c>
      <c r="AB7777">
        <v>25</v>
      </c>
      <c r="AC7777">
        <v>-1.13299999999998</v>
      </c>
      <c r="AD7777">
        <v>-1.117423397059</v>
      </c>
      <c r="AE7777">
        <v>-6.4191000000000003</v>
      </c>
      <c r="AF7777">
        <v>-2.79328618326893</v>
      </c>
      <c r="AG7777">
        <v>-1.117423397059</v>
      </c>
      <c r="AH7777">
        <v>5.6828460037947401</v>
      </c>
      <c r="AI7777">
        <v>100.00771964465299</v>
      </c>
      <c r="AJ7777">
        <v>116.175475883351</v>
      </c>
      <c r="AK7777">
        <v>6.43007165222767</v>
      </c>
      <c r="AL7777">
        <v>87.977782361105</v>
      </c>
      <c r="AM7777">
        <v>100.81761963268499</v>
      </c>
      <c r="AN7777">
        <v>1.0000000340044399</v>
      </c>
    </row>
    <row r="7778" spans="1:40" x14ac:dyDescent="0.25">
      <c r="A7778" t="str">
        <f>"20190312150844561"</f>
        <v>20190312150844561</v>
      </c>
      <c r="B7778" t="str">
        <f>"1552374524558036"</f>
        <v>1552374524558036</v>
      </c>
      <c r="C7778" t="s">
        <v>40</v>
      </c>
      <c r="D7778">
        <v>4.4869260000000004</v>
      </c>
      <c r="E7778">
        <v>0.40351540000000002</v>
      </c>
      <c r="F7778" t="s">
        <v>42</v>
      </c>
      <c r="G7778">
        <v>-418.9579</v>
      </c>
      <c r="H7778" s="1">
        <v>-4.313573E-6</v>
      </c>
      <c r="I7778">
        <v>119.2569</v>
      </c>
      <c r="J7778">
        <v>-417.89210000000003</v>
      </c>
      <c r="K7778">
        <v>1.1174200000000001</v>
      </c>
      <c r="L7778">
        <v>125.63890000000001</v>
      </c>
      <c r="M7778">
        <v>-0.58158520000000002</v>
      </c>
      <c r="N7778">
        <v>0</v>
      </c>
      <c r="O7778">
        <v>-0.81340849999999998</v>
      </c>
      <c r="P7778">
        <v>-0.4187495</v>
      </c>
      <c r="Q7778">
        <v>2.7041220000000001E-2</v>
      </c>
      <c r="R7778">
        <v>-0.90769900000000003</v>
      </c>
      <c r="S7778">
        <v>-0.55999759999999998</v>
      </c>
      <c r="T7778">
        <v>-0.52131740000000004</v>
      </c>
      <c r="U7778">
        <v>-3.0725250000000002</v>
      </c>
      <c r="V7778">
        <v>-0.18795590000000001</v>
      </c>
      <c r="W7778">
        <v>3.4652750000000003E-2</v>
      </c>
      <c r="X7778">
        <v>0.98156600000000005</v>
      </c>
      <c r="Y7778">
        <v>-0.42729709999999899</v>
      </c>
      <c r="Z7778">
        <v>0.1126491</v>
      </c>
      <c r="AA7778">
        <v>0.89706600000000003</v>
      </c>
      <c r="AB7778">
        <v>25</v>
      </c>
      <c r="AC7778">
        <v>-1.0657999999999599</v>
      </c>
      <c r="AD7778">
        <v>-1.117424313573</v>
      </c>
      <c r="AE7778">
        <v>-6.3819999999999997</v>
      </c>
      <c r="AF7778">
        <v>-2.7625324221774901</v>
      </c>
      <c r="AG7778">
        <v>-1.117424313573</v>
      </c>
      <c r="AH7778">
        <v>5.6430870963158597</v>
      </c>
      <c r="AI7778">
        <v>100.084554186513</v>
      </c>
      <c r="AJ7778">
        <v>116.083724458799</v>
      </c>
      <c r="AK7778">
        <v>6.3815871424554302</v>
      </c>
      <c r="AL7778">
        <v>88.014146146760794</v>
      </c>
      <c r="AM7778">
        <v>100.840105743604</v>
      </c>
      <c r="AN7778">
        <v>1.0000000228916801</v>
      </c>
    </row>
    <row r="7779" spans="1:40" x14ac:dyDescent="0.25">
      <c r="A7779" t="str">
        <f>"20190312150844584"</f>
        <v>20190312150844584</v>
      </c>
      <c r="B7779" t="str">
        <f>"1552374524577556"</f>
        <v>1552374524577556</v>
      </c>
      <c r="C7779" t="s">
        <v>40</v>
      </c>
      <c r="D7779">
        <v>4.51668</v>
      </c>
      <c r="E7779">
        <v>0.40453620000000001</v>
      </c>
      <c r="F7779" t="s">
        <v>42</v>
      </c>
      <c r="G7779">
        <v>-419.0326</v>
      </c>
      <c r="H7779" s="1">
        <v>-4.2273979999999999E-6</v>
      </c>
      <c r="I7779">
        <v>119.0869</v>
      </c>
      <c r="J7779">
        <v>-418.02629999999999</v>
      </c>
      <c r="K7779">
        <v>1.1174109999999999</v>
      </c>
      <c r="L7779">
        <v>125.431</v>
      </c>
      <c r="M7779">
        <v>-0.57264859999999995</v>
      </c>
      <c r="N7779">
        <v>0</v>
      </c>
      <c r="O7779">
        <v>-0.81972469999999997</v>
      </c>
      <c r="P7779">
        <v>-0.40769699999999998</v>
      </c>
      <c r="Q7779">
        <v>2.6939629999999999E-2</v>
      </c>
      <c r="R7779">
        <v>-0.91271979999999997</v>
      </c>
      <c r="S7779">
        <v>-0.53506469999999995</v>
      </c>
      <c r="T7779">
        <v>-0.52423509999999995</v>
      </c>
      <c r="U7779">
        <v>-3.0738370000000002</v>
      </c>
      <c r="V7779">
        <v>-0.18913179999999999</v>
      </c>
      <c r="W7779">
        <v>3.4528370000000003E-2</v>
      </c>
      <c r="X7779">
        <v>0.98134449999999995</v>
      </c>
      <c r="Y7779">
        <v>-0.42456769999999999</v>
      </c>
      <c r="Z7779">
        <v>0.1148974</v>
      </c>
      <c r="AA7779">
        <v>0.89807619999999899</v>
      </c>
      <c r="AB7779">
        <v>25</v>
      </c>
      <c r="AC7779">
        <v>-1.00630000000001</v>
      </c>
      <c r="AD7779">
        <v>-1.117415227398</v>
      </c>
      <c r="AE7779">
        <v>-6.3440999999999903</v>
      </c>
      <c r="AF7779">
        <v>-2.7257402305393499</v>
      </c>
      <c r="AG7779">
        <v>-1.117415227398</v>
      </c>
      <c r="AH7779">
        <v>5.6073434932203501</v>
      </c>
      <c r="AI7779">
        <v>100.16090619158101</v>
      </c>
      <c r="AJ7779">
        <v>115.92447383346</v>
      </c>
      <c r="AK7779">
        <v>6.3340806472417404</v>
      </c>
      <c r="AL7779">
        <v>88.021276890626197</v>
      </c>
      <c r="AM7779">
        <v>100.908705320016</v>
      </c>
      <c r="AN7779">
        <v>1.0000000368931701</v>
      </c>
    </row>
    <row r="7780" spans="1:40" x14ac:dyDescent="0.25">
      <c r="A7780" t="str">
        <f>"20190312150844606"</f>
        <v>20190312150844606</v>
      </c>
      <c r="B7780" t="str">
        <f>"1552374524598054"</f>
        <v>1552374524598054</v>
      </c>
      <c r="C7780" t="s">
        <v>40</v>
      </c>
      <c r="D7780">
        <v>4.5352759999999996</v>
      </c>
      <c r="E7780">
        <v>0.40525109999999998</v>
      </c>
      <c r="F7780" t="s">
        <v>42</v>
      </c>
      <c r="G7780">
        <v>-419.11059999999998</v>
      </c>
      <c r="H7780" s="1">
        <v>-4.1098010000000003E-6</v>
      </c>
      <c r="I7780">
        <v>118.845</v>
      </c>
      <c r="J7780">
        <v>-418.1585</v>
      </c>
      <c r="K7780">
        <v>1.1173869999999999</v>
      </c>
      <c r="L7780">
        <v>125.22069999999999</v>
      </c>
      <c r="M7780">
        <v>-0.56365489999999996</v>
      </c>
      <c r="N7780">
        <v>0</v>
      </c>
      <c r="O7780">
        <v>-0.82593490000000003</v>
      </c>
      <c r="P7780">
        <v>-0.39696300000000001</v>
      </c>
      <c r="Q7780">
        <v>2.6356620000000001E-2</v>
      </c>
      <c r="R7780">
        <v>-0.91745639999999995</v>
      </c>
      <c r="S7780">
        <v>-0.50643919999999998</v>
      </c>
      <c r="T7780">
        <v>-0.52190990000000004</v>
      </c>
      <c r="U7780">
        <v>-3.0760800000000001</v>
      </c>
      <c r="V7780">
        <v>-0.18991430000000001</v>
      </c>
      <c r="W7780">
        <v>3.3931719999999999E-2</v>
      </c>
      <c r="X7780">
        <v>0.98121420000000004</v>
      </c>
      <c r="Y7780">
        <v>-0.42292920000000001</v>
      </c>
      <c r="Z7780">
        <v>0.1159307</v>
      </c>
      <c r="AA7780">
        <v>0.89871630000000002</v>
      </c>
      <c r="AB7780">
        <v>25</v>
      </c>
      <c r="AC7780">
        <v>-0.95209999999997297</v>
      </c>
      <c r="AD7780">
        <v>-1.1173911098010001</v>
      </c>
      <c r="AE7780">
        <v>-6.3756999999999904</v>
      </c>
      <c r="AF7780">
        <v>-2.7256054029235899</v>
      </c>
      <c r="AG7780">
        <v>-1.1173911098010001</v>
      </c>
      <c r="AH7780">
        <v>5.6336657316729299</v>
      </c>
      <c r="AI7780">
        <v>100.123129570999</v>
      </c>
      <c r="AJ7780">
        <v>115.81800965796801</v>
      </c>
      <c r="AK7780">
        <v>6.3573325601964896</v>
      </c>
      <c r="AL7780">
        <v>88.055482496349498</v>
      </c>
      <c r="AM7780">
        <v>100.954168130976</v>
      </c>
      <c r="AN7780">
        <v>1.0000000546241401</v>
      </c>
    </row>
    <row r="7781" spans="1:40" x14ac:dyDescent="0.25">
      <c r="A7781" t="str">
        <f>"20190312150844628"</f>
        <v>20190312150844628</v>
      </c>
      <c r="B7781" t="str">
        <f>"1552374524617571"</f>
        <v>1552374524617571</v>
      </c>
      <c r="C7781" t="s">
        <v>40</v>
      </c>
      <c r="D7781">
        <v>4.5688680000000002</v>
      </c>
      <c r="E7781">
        <v>0.41443089999999999</v>
      </c>
      <c r="F7781" t="s">
        <v>42</v>
      </c>
      <c r="G7781">
        <v>-419.17759999999998</v>
      </c>
      <c r="H7781" s="1">
        <v>-4.0056929999999996E-6</v>
      </c>
      <c r="I7781">
        <v>118.6301</v>
      </c>
      <c r="J7781">
        <v>-418.2869</v>
      </c>
      <c r="K7781">
        <v>1.117351</v>
      </c>
      <c r="L7781">
        <v>125.0116</v>
      </c>
      <c r="M7781">
        <v>-0.55475929999999996</v>
      </c>
      <c r="N7781">
        <v>0</v>
      </c>
      <c r="O7781">
        <v>-0.83193619999999902</v>
      </c>
      <c r="P7781">
        <v>-0.3872853</v>
      </c>
      <c r="Q7781">
        <v>2.5773910000000001E-2</v>
      </c>
      <c r="R7781">
        <v>-0.92160019999999998</v>
      </c>
      <c r="S7781">
        <v>-0.47610469999999999</v>
      </c>
      <c r="T7781">
        <v>-0.52200279999999999</v>
      </c>
      <c r="U7781">
        <v>-3.0788730000000002</v>
      </c>
      <c r="V7781">
        <v>-0.18970790000000001</v>
      </c>
      <c r="W7781">
        <v>3.3353170000000001E-2</v>
      </c>
      <c r="X7781">
        <v>0.98127390000000003</v>
      </c>
      <c r="Y7781">
        <v>-0.42199629999999999</v>
      </c>
      <c r="Z7781">
        <v>0.1173858</v>
      </c>
      <c r="AA7781">
        <v>0.89896589999999998</v>
      </c>
      <c r="AB7781">
        <v>25</v>
      </c>
      <c r="AC7781">
        <v>-0.89069999999998095</v>
      </c>
      <c r="AD7781">
        <v>-1.1173550056929999</v>
      </c>
      <c r="AE7781">
        <v>-6.3815</v>
      </c>
      <c r="AF7781">
        <v>-2.7176408540388799</v>
      </c>
      <c r="AG7781">
        <v>-1.1173550056929999</v>
      </c>
      <c r="AH7781">
        <v>5.63406000588538</v>
      </c>
      <c r="AI7781">
        <v>100.127737091811</v>
      </c>
      <c r="AJ7781">
        <v>115.750766503539</v>
      </c>
      <c r="AK7781">
        <v>6.3542651951429896</v>
      </c>
      <c r="AL7781">
        <v>88.0886496273028</v>
      </c>
      <c r="AM7781">
        <v>100.941900942529</v>
      </c>
      <c r="AN7781">
        <v>0.999999994046334</v>
      </c>
    </row>
    <row r="7782" spans="1:40" x14ac:dyDescent="0.25">
      <c r="A7782" t="str">
        <f>"20190312150844650"</f>
        <v>20190312150844650</v>
      </c>
      <c r="B7782" t="str">
        <f>"1552374524647828"</f>
        <v>1552374524647828</v>
      </c>
      <c r="C7782" t="s">
        <v>40</v>
      </c>
      <c r="D7782">
        <v>4.5193339999999997</v>
      </c>
      <c r="E7782">
        <v>0.41604839999999998</v>
      </c>
      <c r="F7782" t="s">
        <v>42</v>
      </c>
      <c r="G7782">
        <v>-419.48140000000001</v>
      </c>
      <c r="H7782" s="1">
        <v>-3.6384799999999998E-6</v>
      </c>
      <c r="I7782">
        <v>117.8997</v>
      </c>
      <c r="J7782">
        <v>-418.41300000000001</v>
      </c>
      <c r="K7782">
        <v>1.117313</v>
      </c>
      <c r="L7782">
        <v>124.8014</v>
      </c>
      <c r="M7782">
        <v>-0.54585569999999894</v>
      </c>
      <c r="N7782">
        <v>0</v>
      </c>
      <c r="O7782">
        <v>-0.83780519999999903</v>
      </c>
      <c r="P7782">
        <v>-0.37753249999999999</v>
      </c>
      <c r="Q7782">
        <v>2.5070129999999999E-2</v>
      </c>
      <c r="R7782">
        <v>-0.92565710000000001</v>
      </c>
      <c r="S7782">
        <v>-0.51281739999999998</v>
      </c>
      <c r="T7782">
        <v>-0.47967939999999998</v>
      </c>
      <c r="U7782">
        <v>-3.053131</v>
      </c>
      <c r="V7782">
        <v>-0.1895995</v>
      </c>
      <c r="W7782">
        <v>3.264831E-2</v>
      </c>
      <c r="X7782">
        <v>0.98131849999999998</v>
      </c>
      <c r="Y7782">
        <v>-0.40047700000000003</v>
      </c>
      <c r="Z7782">
        <v>0.110970899999999</v>
      </c>
      <c r="AA7782">
        <v>0.90956230000000005</v>
      </c>
      <c r="AB7782">
        <v>25</v>
      </c>
      <c r="AC7782">
        <v>-1.06839999999999</v>
      </c>
      <c r="AD7782">
        <v>-1.11731663848</v>
      </c>
      <c r="AE7782">
        <v>-6.9016999999999999</v>
      </c>
      <c r="AF7782">
        <v>-2.8007149018209501</v>
      </c>
      <c r="AG7782">
        <v>-1.11731663848</v>
      </c>
      <c r="AH7782">
        <v>6.2069987131512399</v>
      </c>
      <c r="AI7782">
        <v>99.318023491677295</v>
      </c>
      <c r="AJ7782">
        <v>114.285794250246</v>
      </c>
      <c r="AK7782">
        <v>6.9006690586469501</v>
      </c>
      <c r="AL7782">
        <v>88.129057040173606</v>
      </c>
      <c r="AM7782">
        <v>100.93531443296</v>
      </c>
      <c r="AN7782">
        <v>0.99999994049417595</v>
      </c>
    </row>
    <row r="7783" spans="1:40" x14ac:dyDescent="0.25">
      <c r="A7783" t="str">
        <f>"20190312150844673"</f>
        <v>20190312150844673</v>
      </c>
      <c r="B7783" t="str">
        <f>"1552374524667347"</f>
        <v>1552374524667347</v>
      </c>
      <c r="C7783" t="s">
        <v>40</v>
      </c>
      <c r="D7783">
        <v>4.5497860000000001</v>
      </c>
      <c r="E7783">
        <v>0.4171859</v>
      </c>
      <c r="F7783" t="s">
        <v>42</v>
      </c>
      <c r="G7783">
        <v>-419.53930000000003</v>
      </c>
      <c r="H7783" s="1">
        <v>-3.5906719999999998E-6</v>
      </c>
      <c r="I7783">
        <v>117.8122</v>
      </c>
      <c r="J7783">
        <v>-418.54129999999998</v>
      </c>
      <c r="K7783">
        <v>1.1172580000000001</v>
      </c>
      <c r="L7783">
        <v>124.5826</v>
      </c>
      <c r="M7783">
        <v>-0.53664889999999998</v>
      </c>
      <c r="N7783">
        <v>0</v>
      </c>
      <c r="O7783">
        <v>-0.84373240000000005</v>
      </c>
      <c r="P7783">
        <v>-0.36723689999999998</v>
      </c>
      <c r="Q7783">
        <v>2.516355E-2</v>
      </c>
      <c r="R7783">
        <v>-0.92978700000000003</v>
      </c>
      <c r="S7783">
        <v>-0.49206539999999999</v>
      </c>
      <c r="T7783">
        <v>-0.48814689999999999</v>
      </c>
      <c r="U7783">
        <v>-3.0534970000000001</v>
      </c>
      <c r="V7783">
        <v>-0.1897403</v>
      </c>
      <c r="W7783">
        <v>3.2734569999999998E-2</v>
      </c>
      <c r="X7783">
        <v>0.98128850000000001</v>
      </c>
      <c r="Y7783">
        <v>-0.3965379</v>
      </c>
      <c r="Z7783">
        <v>0.1144022</v>
      </c>
      <c r="AA7783">
        <v>0.91086210000000001</v>
      </c>
      <c r="AB7783">
        <v>25</v>
      </c>
      <c r="AC7783">
        <v>-0.99800000000004696</v>
      </c>
      <c r="AD7783">
        <v>-1.117261590672</v>
      </c>
      <c r="AE7783">
        <v>-6.7703999999999898</v>
      </c>
      <c r="AF7783">
        <v>-2.71898624485023</v>
      </c>
      <c r="AG7783">
        <v>-1.117261590672</v>
      </c>
      <c r="AH7783">
        <v>6.0861535562868703</v>
      </c>
      <c r="AI7783">
        <v>99.514827061114602</v>
      </c>
      <c r="AJ7783">
        <v>114.072681256959</v>
      </c>
      <c r="AK7783">
        <v>6.7588774787222698</v>
      </c>
      <c r="AL7783">
        <v>88.124112224905105</v>
      </c>
      <c r="AM7783">
        <v>100.943565686676</v>
      </c>
      <c r="AN7783">
        <v>1.00000002687471</v>
      </c>
    </row>
    <row r="7784" spans="1:40" x14ac:dyDescent="0.25">
      <c r="A7784" t="str">
        <f>"20190312150844695"</f>
        <v>20190312150844695</v>
      </c>
      <c r="B7784" t="str">
        <f>"1552374524687843"</f>
        <v>1552374524687843</v>
      </c>
      <c r="C7784" t="s">
        <v>40</v>
      </c>
      <c r="D7784">
        <v>4.4990839999999999</v>
      </c>
      <c r="E7784">
        <v>0.41655550000000002</v>
      </c>
      <c r="F7784" t="s">
        <v>42</v>
      </c>
      <c r="G7784">
        <v>-419.6044</v>
      </c>
      <c r="H7784" s="1">
        <v>-3.5006E-6</v>
      </c>
      <c r="I7784">
        <v>117.6292</v>
      </c>
      <c r="J7784">
        <v>-418.66419999999999</v>
      </c>
      <c r="K7784">
        <v>1.1172200000000001</v>
      </c>
      <c r="L7784">
        <v>124.36790000000001</v>
      </c>
      <c r="M7784">
        <v>-0.52768159999999997</v>
      </c>
      <c r="N7784">
        <v>0</v>
      </c>
      <c r="O7784">
        <v>-0.84936959999999995</v>
      </c>
      <c r="P7784">
        <v>-0.3578423</v>
      </c>
      <c r="Q7784">
        <v>2.4537079999999999E-2</v>
      </c>
      <c r="R7784">
        <v>-0.9334597</v>
      </c>
      <c r="S7784">
        <v>-0.46713260000000001</v>
      </c>
      <c r="T7784">
        <v>-0.49092259999999999</v>
      </c>
      <c r="U7784">
        <v>-3.0553279999999998</v>
      </c>
      <c r="V7784">
        <v>-0.18923590000000001</v>
      </c>
      <c r="W7784">
        <v>3.2115489999999997E-2</v>
      </c>
      <c r="X7784">
        <v>0.98140629999999995</v>
      </c>
      <c r="Y7784">
        <v>-0.39418710000000001</v>
      </c>
      <c r="Z7784">
        <v>0.116394</v>
      </c>
      <c r="AA7784">
        <v>0.91162989999999999</v>
      </c>
      <c r="AB7784">
        <v>25</v>
      </c>
      <c r="AC7784">
        <v>-0.94020000000000403</v>
      </c>
      <c r="AD7784">
        <v>-1.1172235006</v>
      </c>
      <c r="AE7784">
        <v>-6.7386999999999997</v>
      </c>
      <c r="AF7784">
        <v>-2.6850851244356702</v>
      </c>
      <c r="AG7784">
        <v>-1.1172235006</v>
      </c>
      <c r="AH7784">
        <v>6.0568511193138201</v>
      </c>
      <c r="AI7784">
        <v>99.5716741626795</v>
      </c>
      <c r="AJ7784">
        <v>113.90836624040899</v>
      </c>
      <c r="AK7784">
        <v>6.7188775816569004</v>
      </c>
      <c r="AL7784">
        <v>88.159601467268104</v>
      </c>
      <c r="AM7784">
        <v>100.913894616696</v>
      </c>
      <c r="AN7784">
        <v>0.99999997811321895</v>
      </c>
    </row>
    <row r="7785" spans="1:40" x14ac:dyDescent="0.25">
      <c r="A7785" t="str">
        <f>"20190312150844719"</f>
        <v>20190312150844719</v>
      </c>
      <c r="B7785" t="str">
        <f>"1552374524707363"</f>
        <v>1552374524707363</v>
      </c>
      <c r="C7785" t="s">
        <v>40</v>
      </c>
      <c r="D7785">
        <v>4.5232580000000002</v>
      </c>
      <c r="E7785">
        <v>0.39696100000000001</v>
      </c>
      <c r="F7785" t="s">
        <v>42</v>
      </c>
      <c r="G7785">
        <v>-419.64159999999998</v>
      </c>
      <c r="H7785" s="1">
        <v>-3.4129450000000002E-6</v>
      </c>
      <c r="I7785">
        <v>117.4402</v>
      </c>
      <c r="J7785">
        <v>-418.78820000000002</v>
      </c>
      <c r="K7785">
        <v>1.117167</v>
      </c>
      <c r="L7785">
        <v>124.1461</v>
      </c>
      <c r="M7785">
        <v>-0.51849820000000002</v>
      </c>
      <c r="N7785">
        <v>0</v>
      </c>
      <c r="O7785">
        <v>-0.85500719999999997</v>
      </c>
      <c r="P7785">
        <v>-0.34850360000000002</v>
      </c>
      <c r="Q7785">
        <v>2.3796749999999998E-2</v>
      </c>
      <c r="R7785">
        <v>-0.93700550000000005</v>
      </c>
      <c r="S7785">
        <v>-0.4319153</v>
      </c>
      <c r="T7785">
        <v>-0.4936854</v>
      </c>
      <c r="U7785">
        <v>-3.0612490000000001</v>
      </c>
      <c r="V7785">
        <v>-0.1884517</v>
      </c>
      <c r="W7785">
        <v>3.1389630000000002E-2</v>
      </c>
      <c r="X7785">
        <v>0.98158069999999997</v>
      </c>
      <c r="Y7785">
        <v>-0.39483659999999998</v>
      </c>
      <c r="Z7785">
        <v>0.1181579</v>
      </c>
      <c r="AA7785">
        <v>0.91112170000000003</v>
      </c>
      <c r="AB7785">
        <v>25</v>
      </c>
      <c r="AC7785">
        <v>-0.85339999999996496</v>
      </c>
      <c r="AD7785">
        <v>-1.117170412945</v>
      </c>
      <c r="AE7785">
        <v>-6.7058999999999997</v>
      </c>
      <c r="AF7785">
        <v>-2.6744581662009099</v>
      </c>
      <c r="AG7785">
        <v>-1.117170412945</v>
      </c>
      <c r="AH7785">
        <v>6.0122524962319996</v>
      </c>
      <c r="AI7785">
        <v>99.635563441162304</v>
      </c>
      <c r="AJ7785">
        <v>113.98115508152399</v>
      </c>
      <c r="AK7785">
        <v>6.6744270385379396</v>
      </c>
      <c r="AL7785">
        <v>88.201211224694006</v>
      </c>
      <c r="AM7785">
        <v>100.867861365295</v>
      </c>
      <c r="AN7785">
        <v>1.00000001135845</v>
      </c>
    </row>
    <row r="7786" spans="1:40" x14ac:dyDescent="0.25">
      <c r="A7786" t="str">
        <f>"20190312150844740"</f>
        <v>20190312150844740</v>
      </c>
      <c r="B7786" t="str">
        <f>"1552374524737620"</f>
        <v>1552374524737620</v>
      </c>
      <c r="C7786" t="s">
        <v>40</v>
      </c>
      <c r="D7786">
        <v>4.5275359999999996</v>
      </c>
      <c r="E7786">
        <v>0.39647650000000001</v>
      </c>
      <c r="F7786" t="s">
        <v>42</v>
      </c>
      <c r="G7786">
        <v>-419.51909999999998</v>
      </c>
      <c r="H7786" s="1">
        <v>-2.5254870000000001E-6</v>
      </c>
      <c r="I7786">
        <v>115.32089999999999</v>
      </c>
      <c r="J7786">
        <v>-418.9067</v>
      </c>
      <c r="K7786">
        <v>1.1171040000000001</v>
      </c>
      <c r="L7786">
        <v>123.929</v>
      </c>
      <c r="M7786">
        <v>-0.50960300000000003</v>
      </c>
      <c r="N7786">
        <v>0</v>
      </c>
      <c r="O7786">
        <v>-0.86033869999999901</v>
      </c>
      <c r="P7786">
        <v>-0.33907979999999999</v>
      </c>
      <c r="Q7786">
        <v>2.392977E-2</v>
      </c>
      <c r="R7786">
        <v>-0.94045339999999999</v>
      </c>
      <c r="S7786">
        <v>-0.25805660000000002</v>
      </c>
      <c r="T7786">
        <v>-0.39441609999999999</v>
      </c>
      <c r="U7786">
        <v>-3.115723</v>
      </c>
      <c r="V7786">
        <v>-0.18812129999999999</v>
      </c>
      <c r="W7786">
        <v>3.1530700000000002E-2</v>
      </c>
      <c r="X7786">
        <v>0.98163959999999995</v>
      </c>
      <c r="Y7786">
        <v>-0.4370715</v>
      </c>
      <c r="Z7786">
        <v>9.3080860000000001E-2</v>
      </c>
      <c r="AA7786">
        <v>0.89459739999999999</v>
      </c>
      <c r="AB7786">
        <v>25</v>
      </c>
      <c r="AC7786">
        <v>-0.61239999999997896</v>
      </c>
      <c r="AD7786">
        <v>-1.1171065254870001</v>
      </c>
      <c r="AE7786">
        <v>-8.6081000000000092</v>
      </c>
      <c r="AF7786">
        <v>-3.7964625954542401</v>
      </c>
      <c r="AG7786">
        <v>-1.1171065254870001</v>
      </c>
      <c r="AH7786">
        <v>7.5912315765707197</v>
      </c>
      <c r="AI7786">
        <v>97.497932078833998</v>
      </c>
      <c r="AJ7786">
        <v>116.57016405621</v>
      </c>
      <c r="AK7786">
        <v>8.5608324406621303</v>
      </c>
      <c r="AL7786">
        <v>88.193124587741806</v>
      </c>
      <c r="AM7786">
        <v>100.848624516116</v>
      </c>
      <c r="AN7786">
        <v>1.0000000564221601</v>
      </c>
    </row>
    <row r="7787" spans="1:40" x14ac:dyDescent="0.25">
      <c r="A7787" t="str">
        <f>"20190312150844762"</f>
        <v>20190312150844762</v>
      </c>
      <c r="B7787" t="str">
        <f>"1552374524758119"</f>
        <v>1552374524758119</v>
      </c>
      <c r="C7787" t="s">
        <v>40</v>
      </c>
      <c r="D7787">
        <v>4.5576619999999997</v>
      </c>
      <c r="E7787">
        <v>0.39690569999999997</v>
      </c>
      <c r="F7787" t="s">
        <v>42</v>
      </c>
      <c r="G7787">
        <v>-419.52550000000002</v>
      </c>
      <c r="H7787" s="1">
        <v>-2.4968570000000001E-6</v>
      </c>
      <c r="I7787">
        <v>115.2568</v>
      </c>
      <c r="J7787">
        <v>-419.02409999999998</v>
      </c>
      <c r="K7787">
        <v>1.1170340000000001</v>
      </c>
      <c r="L7787">
        <v>123.7089</v>
      </c>
      <c r="M7787">
        <v>-0.50067569999999995</v>
      </c>
      <c r="N7787">
        <v>0</v>
      </c>
      <c r="O7787">
        <v>-0.86556460000000002</v>
      </c>
      <c r="P7787">
        <v>-0.3293199</v>
      </c>
      <c r="Q7787">
        <v>2.3112130000000002E-2</v>
      </c>
      <c r="R7787">
        <v>-0.94393550000000004</v>
      </c>
      <c r="S7787">
        <v>-0.22262570000000001</v>
      </c>
      <c r="T7787">
        <v>-0.40189049999999998</v>
      </c>
      <c r="U7787">
        <v>-3.1199189999999999</v>
      </c>
      <c r="V7787">
        <v>-0.1881256</v>
      </c>
      <c r="W7787">
        <v>3.0718559999999999E-2</v>
      </c>
      <c r="X7787">
        <v>0.98166450000000005</v>
      </c>
      <c r="Y7787">
        <v>-0.4379769</v>
      </c>
      <c r="Z7787">
        <v>9.5666420000000002E-2</v>
      </c>
      <c r="AA7787">
        <v>0.89388159999999905</v>
      </c>
      <c r="AB7787">
        <v>25</v>
      </c>
      <c r="AC7787">
        <v>-0.50140000000004603</v>
      </c>
      <c r="AD7787">
        <v>-1.1170364968569999</v>
      </c>
      <c r="AE7787">
        <v>-8.4520999999999997</v>
      </c>
      <c r="AF7787">
        <v>-3.7330240871503699</v>
      </c>
      <c r="AG7787">
        <v>-1.1170364968569999</v>
      </c>
      <c r="AH7787">
        <v>7.4378800664464597</v>
      </c>
      <c r="AI7787">
        <v>97.644841764499105</v>
      </c>
      <c r="AJ7787">
        <v>116.65177970513101</v>
      </c>
      <c r="AK7787">
        <v>8.3967433718911</v>
      </c>
      <c r="AL7787">
        <v>88.239679291133996</v>
      </c>
      <c r="AM7787">
        <v>100.848597952689</v>
      </c>
      <c r="AN7787">
        <v>1.00000003093204</v>
      </c>
    </row>
    <row r="7788" spans="1:40" x14ac:dyDescent="0.25">
      <c r="A7788" t="str">
        <f>"20190312150844785"</f>
        <v>20190312150844785</v>
      </c>
      <c r="B7788" t="str">
        <f>"1552374524777636"</f>
        <v>1552374524777636</v>
      </c>
      <c r="C7788" t="s">
        <v>40</v>
      </c>
      <c r="D7788">
        <v>4.5184100000000003</v>
      </c>
      <c r="E7788">
        <v>0.39780870000000002</v>
      </c>
      <c r="F7788" t="s">
        <v>42</v>
      </c>
      <c r="G7788">
        <v>-419.54950000000002</v>
      </c>
      <c r="H7788" s="1">
        <v>-2.485853E-6</v>
      </c>
      <c r="I7788">
        <v>115.2411</v>
      </c>
      <c r="J7788">
        <v>-419.14069999999998</v>
      </c>
      <c r="K7788">
        <v>1.116965</v>
      </c>
      <c r="L7788">
        <v>123.4851</v>
      </c>
      <c r="M7788">
        <v>-0.4917048</v>
      </c>
      <c r="N7788">
        <v>0</v>
      </c>
      <c r="O7788">
        <v>-0.87069219999999903</v>
      </c>
      <c r="P7788">
        <v>-0.31992290000000001</v>
      </c>
      <c r="Q7788">
        <v>2.215729E-2</v>
      </c>
      <c r="R7788">
        <v>-0.94718440000000004</v>
      </c>
      <c r="S7788">
        <v>-0.193634</v>
      </c>
      <c r="T7788">
        <v>-0.4116706</v>
      </c>
      <c r="U7788">
        <v>-3.1206969999999998</v>
      </c>
      <c r="V7788">
        <v>-0.18772739999999999</v>
      </c>
      <c r="W7788">
        <v>2.9779150000000001E-2</v>
      </c>
      <c r="X7788">
        <v>0.98176960000000002</v>
      </c>
      <c r="Y7788">
        <v>-0.43698480000000001</v>
      </c>
      <c r="Z7788">
        <v>9.8968050000000002E-2</v>
      </c>
      <c r="AA7788">
        <v>0.89400759999999901</v>
      </c>
      <c r="AB7788">
        <v>25</v>
      </c>
      <c r="AC7788">
        <v>-0.40880000000004202</v>
      </c>
      <c r="AD7788">
        <v>-1.1169674858530001</v>
      </c>
      <c r="AE7788">
        <v>-8.2439999999999998</v>
      </c>
      <c r="AF7788">
        <v>-3.6314013818522302</v>
      </c>
      <c r="AG7788">
        <v>-1.1169674858530001</v>
      </c>
      <c r="AH7788">
        <v>7.2467405231251396</v>
      </c>
      <c r="AI7788">
        <v>97.845962516157101</v>
      </c>
      <c r="AJ7788">
        <v>116.615826588033</v>
      </c>
      <c r="AK7788">
        <v>8.1822943341140597</v>
      </c>
      <c r="AL7788">
        <v>88.293528041601704</v>
      </c>
      <c r="AM7788">
        <v>100.82504669352301</v>
      </c>
      <c r="AN7788">
        <v>0.99999996098482002</v>
      </c>
    </row>
    <row r="7789" spans="1:40" x14ac:dyDescent="0.25">
      <c r="A7789" t="str">
        <f>"20190312150844806"</f>
        <v>20190312150844806</v>
      </c>
      <c r="B7789" t="str">
        <f>"1552374524798135"</f>
        <v>1552374524798135</v>
      </c>
      <c r="C7789" t="s">
        <v>40</v>
      </c>
      <c r="D7789">
        <v>4.5359030000000002</v>
      </c>
      <c r="E7789">
        <v>0.39884950000000002</v>
      </c>
      <c r="F7789" t="s">
        <v>41</v>
      </c>
      <c r="G7789">
        <v>-419.19709999999998</v>
      </c>
      <c r="H7789">
        <v>0.97798450000000003</v>
      </c>
      <c r="I7789">
        <v>122.4402</v>
      </c>
      <c r="J7789">
        <v>-419.25299999999999</v>
      </c>
      <c r="K7789">
        <v>1.116897</v>
      </c>
      <c r="L7789">
        <v>123.26390000000001</v>
      </c>
      <c r="M7789">
        <v>-0.48294619999999999</v>
      </c>
      <c r="N7789">
        <v>0</v>
      </c>
      <c r="O7789">
        <v>-0.8755811</v>
      </c>
      <c r="P7789">
        <v>-0.31069000000000002</v>
      </c>
      <c r="Q7789">
        <v>2.134985E-2</v>
      </c>
      <c r="R7789">
        <v>-0.95027150000000005</v>
      </c>
      <c r="S7789">
        <v>-0.1687012</v>
      </c>
      <c r="T7789">
        <v>-0.41502679999999997</v>
      </c>
      <c r="U7789">
        <v>-3.1200100000000002</v>
      </c>
      <c r="V7789">
        <v>-0.18742329999999999</v>
      </c>
      <c r="W7789">
        <v>2.898651E-2</v>
      </c>
      <c r="X7789">
        <v>0.98185149999999999</v>
      </c>
      <c r="Y7789">
        <v>-0.43508059999999998</v>
      </c>
      <c r="Z7789">
        <v>0.10080600000000001</v>
      </c>
      <c r="AA7789">
        <v>0.89473069999999899</v>
      </c>
      <c r="AB7789">
        <v>26</v>
      </c>
      <c r="AC7789">
        <v>5.5900000000065099E-2</v>
      </c>
      <c r="AD7789">
        <v>-0.13891249999999999</v>
      </c>
      <c r="AE7789">
        <v>-0.82370000000000199</v>
      </c>
      <c r="AF7789">
        <v>-0.43447450342057198</v>
      </c>
      <c r="AG7789">
        <v>-0.13891249999999999</v>
      </c>
      <c r="AH7789">
        <v>0.67514753568158903</v>
      </c>
      <c r="AI7789">
        <v>99.816188682737703</v>
      </c>
      <c r="AJ7789">
        <v>122.762305056228</v>
      </c>
      <c r="AK7789">
        <v>0.81479382159889102</v>
      </c>
      <c r="AL7789">
        <v>88.338962719067297</v>
      </c>
      <c r="AM7789">
        <v>100.80704422606399</v>
      </c>
      <c r="AN7789">
        <v>1.00000003959855</v>
      </c>
    </row>
    <row r="7790" spans="1:40" x14ac:dyDescent="0.25">
      <c r="A7790" t="str">
        <f>"20190312150844829"</f>
        <v>20190312150844829</v>
      </c>
      <c r="B7790" t="str">
        <f>"1552374524817651"</f>
        <v>1552374524817651</v>
      </c>
      <c r="C7790" t="s">
        <v>40</v>
      </c>
      <c r="D7790">
        <v>4.5025820000000003</v>
      </c>
      <c r="E7790">
        <v>0.39971230000000002</v>
      </c>
      <c r="F7790" t="s">
        <v>41</v>
      </c>
      <c r="G7790">
        <v>-419.30079999999998</v>
      </c>
      <c r="H7790">
        <v>0.98056840000000001</v>
      </c>
      <c r="I7790">
        <v>122.2424</v>
      </c>
      <c r="J7790">
        <v>-419.3646</v>
      </c>
      <c r="K7790">
        <v>1.1168309999999999</v>
      </c>
      <c r="L7790">
        <v>123.03870000000001</v>
      </c>
      <c r="M7790">
        <v>-0.4741109</v>
      </c>
      <c r="N7790">
        <v>0</v>
      </c>
      <c r="O7790">
        <v>-0.88039679999999998</v>
      </c>
      <c r="P7790">
        <v>-0.3016992</v>
      </c>
      <c r="Q7790">
        <v>2.0516590000000001E-2</v>
      </c>
      <c r="R7790">
        <v>-0.95318250000000004</v>
      </c>
      <c r="S7790">
        <v>-0.14562990000000001</v>
      </c>
      <c r="T7790">
        <v>-0.41619010000000001</v>
      </c>
      <c r="U7790">
        <v>-3.1187290000000001</v>
      </c>
      <c r="V7790">
        <v>-0.18680869999999999</v>
      </c>
      <c r="W7790">
        <v>2.8171459999999999E-2</v>
      </c>
      <c r="X7790">
        <v>0.98199230000000004</v>
      </c>
      <c r="Y7790">
        <v>-0.43261139999999998</v>
      </c>
      <c r="Z7790">
        <v>0.1021529</v>
      </c>
      <c r="AA7790">
        <v>0.89577459999999898</v>
      </c>
      <c r="AB7790">
        <v>26</v>
      </c>
      <c r="AC7790">
        <v>6.3800000000014706E-2</v>
      </c>
      <c r="AD7790">
        <v>-0.13626259999999901</v>
      </c>
      <c r="AE7790">
        <v>-0.79630000000000201</v>
      </c>
      <c r="AF7790">
        <v>-0.421467258392969</v>
      </c>
      <c r="AG7790">
        <v>-0.13626259999999901</v>
      </c>
      <c r="AH7790">
        <v>0.65188534192798797</v>
      </c>
      <c r="AI7790">
        <v>99.956036728057498</v>
      </c>
      <c r="AJ7790">
        <v>122.884117708923</v>
      </c>
      <c r="AK7790">
        <v>0.78813491552945103</v>
      </c>
      <c r="AL7790">
        <v>88.385680661265198</v>
      </c>
      <c r="AM7790">
        <v>100.770927825819</v>
      </c>
      <c r="AN7790">
        <v>0.99999999940675499</v>
      </c>
    </row>
    <row r="7791" spans="1:40" x14ac:dyDescent="0.25">
      <c r="A7791" t="str">
        <f>"20190312150844851"</f>
        <v>20190312150844851</v>
      </c>
      <c r="B7791" t="str">
        <f>"1552374524847907"</f>
        <v>1552374524847907</v>
      </c>
      <c r="C7791" t="s">
        <v>40</v>
      </c>
      <c r="D7791">
        <v>4.5670609999999998</v>
      </c>
      <c r="E7791">
        <v>0.40054010000000001</v>
      </c>
      <c r="F7791" t="s">
        <v>41</v>
      </c>
      <c r="G7791">
        <v>-419.40390000000002</v>
      </c>
      <c r="H7791">
        <v>0.98468860000000002</v>
      </c>
      <c r="I7791">
        <v>122.04259999999999</v>
      </c>
      <c r="J7791">
        <v>-419.4742</v>
      </c>
      <c r="K7791">
        <v>1.116784</v>
      </c>
      <c r="L7791">
        <v>122.8124</v>
      </c>
      <c r="M7791">
        <v>-0.46531929999999999</v>
      </c>
      <c r="N7791">
        <v>0</v>
      </c>
      <c r="O7791">
        <v>-0.88507519999999995</v>
      </c>
      <c r="P7791">
        <v>-0.29248659999999999</v>
      </c>
      <c r="Q7791">
        <v>2.062781E-2</v>
      </c>
      <c r="R7791">
        <v>-0.95604739999999999</v>
      </c>
      <c r="S7791">
        <v>-0.1225281</v>
      </c>
      <c r="T7791">
        <v>-0.41354550000000001</v>
      </c>
      <c r="U7791">
        <v>-3.1174620000000002</v>
      </c>
      <c r="V7791">
        <v>-0.18650220000000001</v>
      </c>
      <c r="W7791">
        <v>2.829396E-2</v>
      </c>
      <c r="X7791">
        <v>0.982047</v>
      </c>
      <c r="Y7791">
        <v>-0.43024889999999999</v>
      </c>
      <c r="Z7791">
        <v>0.10254539999999999</v>
      </c>
      <c r="AA7791">
        <v>0.89686699999999997</v>
      </c>
      <c r="AB7791">
        <v>26</v>
      </c>
      <c r="AC7791">
        <v>7.0299999999974702E-2</v>
      </c>
      <c r="AD7791">
        <v>-0.132095399999999</v>
      </c>
      <c r="AE7791">
        <v>-0.76980000000000304</v>
      </c>
      <c r="AF7791">
        <v>-0.40851919792382002</v>
      </c>
      <c r="AG7791">
        <v>-0.132095399999999</v>
      </c>
      <c r="AH7791">
        <v>0.63025315488148403</v>
      </c>
      <c r="AI7791">
        <v>99.974946479246498</v>
      </c>
      <c r="AJ7791">
        <v>122.950609541744</v>
      </c>
      <c r="AK7791">
        <v>0.76259830121207695</v>
      </c>
      <c r="AL7791">
        <v>88.378659072704295</v>
      </c>
      <c r="AM7791">
        <v>100.753083207492</v>
      </c>
      <c r="AN7791">
        <v>0.99999996449315998</v>
      </c>
    </row>
    <row r="7792" spans="1:40" x14ac:dyDescent="0.25">
      <c r="A7792" t="str">
        <f>"20190312150844874"</f>
        <v>20190312150844874</v>
      </c>
      <c r="B7792" t="str">
        <f>"1552374524867999"</f>
        <v>1552374524867999</v>
      </c>
      <c r="C7792" t="s">
        <v>40</v>
      </c>
      <c r="D7792">
        <v>4.586436</v>
      </c>
      <c r="E7792">
        <v>0.40764400000000001</v>
      </c>
      <c r="F7792" t="s">
        <v>41</v>
      </c>
      <c r="G7792">
        <v>-419.50659999999999</v>
      </c>
      <c r="H7792">
        <v>0.98463880000000004</v>
      </c>
      <c r="I7792">
        <v>121.803</v>
      </c>
      <c r="J7792">
        <v>-419.58260000000001</v>
      </c>
      <c r="K7792">
        <v>1.1167450000000001</v>
      </c>
      <c r="L7792">
        <v>122.5829</v>
      </c>
      <c r="M7792">
        <v>-0.45648699999999998</v>
      </c>
      <c r="N7792">
        <v>0</v>
      </c>
      <c r="O7792">
        <v>-0.88966290000000003</v>
      </c>
      <c r="P7792">
        <v>-0.28371170000000001</v>
      </c>
      <c r="Q7792">
        <v>2.0728159999999999E-2</v>
      </c>
      <c r="R7792">
        <v>-0.95868580000000003</v>
      </c>
      <c r="S7792">
        <v>-9.9273680000000003E-2</v>
      </c>
      <c r="T7792">
        <v>-0.40788629999999998</v>
      </c>
      <c r="U7792">
        <v>-3.1163639999999999</v>
      </c>
      <c r="V7792">
        <v>-0.18572559999999999</v>
      </c>
      <c r="W7792">
        <v>2.841407E-2</v>
      </c>
      <c r="X7792">
        <v>0.98219069999999997</v>
      </c>
      <c r="Y7792">
        <v>-0.42794339999999997</v>
      </c>
      <c r="Z7792">
        <v>0.1021565</v>
      </c>
      <c r="AA7792">
        <v>0.89801369999999903</v>
      </c>
      <c r="AB7792">
        <v>26</v>
      </c>
      <c r="AC7792">
        <v>7.60000000000218E-2</v>
      </c>
      <c r="AD7792">
        <v>-0.13210620000000001</v>
      </c>
      <c r="AE7792">
        <v>-0.77989999999999704</v>
      </c>
      <c r="AF7792">
        <v>-0.411945354909658</v>
      </c>
      <c r="AG7792">
        <v>-0.13210620000000001</v>
      </c>
      <c r="AH7792">
        <v>0.64097627076997998</v>
      </c>
      <c r="AI7792">
        <v>99.836260872755702</v>
      </c>
      <c r="AJ7792">
        <v>122.72821646644999</v>
      </c>
      <c r="AK7792">
        <v>0.77330563375697303</v>
      </c>
      <c r="AL7792">
        <v>88.371774508438904</v>
      </c>
      <c r="AM7792">
        <v>100.70781419007101</v>
      </c>
      <c r="AN7792">
        <v>0.99999996451790596</v>
      </c>
    </row>
    <row r="7793" spans="1:40" x14ac:dyDescent="0.25">
      <c r="A7793" t="str">
        <f>"20190312150844896"</f>
        <v>20190312150844896</v>
      </c>
      <c r="B7793" t="str">
        <f>"1552374524887527"</f>
        <v>1552374524887527</v>
      </c>
      <c r="C7793" t="s">
        <v>40</v>
      </c>
      <c r="D7793">
        <v>4.59572</v>
      </c>
      <c r="E7793">
        <v>0.4096532</v>
      </c>
      <c r="F7793" t="s">
        <v>42</v>
      </c>
      <c r="G7793">
        <v>-419.988</v>
      </c>
      <c r="H7793" s="1">
        <v>-1.3240289999999999E-6</v>
      </c>
      <c r="I7793">
        <v>112.6829</v>
      </c>
      <c r="J7793">
        <v>-419.68830000000003</v>
      </c>
      <c r="K7793">
        <v>1.116703</v>
      </c>
      <c r="L7793">
        <v>122.3537</v>
      </c>
      <c r="M7793">
        <v>-0.4477546</v>
      </c>
      <c r="N7793">
        <v>0</v>
      </c>
      <c r="O7793">
        <v>-0.89408980000000005</v>
      </c>
      <c r="P7793">
        <v>-0.27547139999999998</v>
      </c>
      <c r="Q7793">
        <v>2.0712990000000001E-2</v>
      </c>
      <c r="R7793">
        <v>-0.96108629999999995</v>
      </c>
      <c r="S7793">
        <v>-0.12689210000000001</v>
      </c>
      <c r="T7793">
        <v>-0.34960940000000001</v>
      </c>
      <c r="U7793">
        <v>-3.0992890000000002</v>
      </c>
      <c r="V7793">
        <v>-0.1845377</v>
      </c>
      <c r="W7793">
        <v>2.8426940000000001E-2</v>
      </c>
      <c r="X7793">
        <v>0.98241420000000002</v>
      </c>
      <c r="Y7793">
        <v>-0.41087899999999999</v>
      </c>
      <c r="Z7793">
        <v>8.9401640000000004E-2</v>
      </c>
      <c r="AA7793">
        <v>0.90729590000000004</v>
      </c>
      <c r="AB7793">
        <v>26</v>
      </c>
      <c r="AC7793">
        <v>-0.299700000000029</v>
      </c>
      <c r="AD7793">
        <v>-1.116704324029</v>
      </c>
      <c r="AE7793">
        <v>-9.6707999999999998</v>
      </c>
      <c r="AF7793">
        <v>-4.00902474077294</v>
      </c>
      <c r="AG7793">
        <v>-1.116704324029</v>
      </c>
      <c r="AH7793">
        <v>8.6658421633317495</v>
      </c>
      <c r="AI7793">
        <v>96.670655536381901</v>
      </c>
      <c r="AJ7793">
        <v>114.82638386338699</v>
      </c>
      <c r="AK7793">
        <v>9.6133307609388403</v>
      </c>
      <c r="AL7793">
        <v>88.371036801493801</v>
      </c>
      <c r="AM7793">
        <v>100.638530350446</v>
      </c>
      <c r="AN7793">
        <v>0.99999995700034505</v>
      </c>
    </row>
    <row r="7794" spans="1:40" x14ac:dyDescent="0.25">
      <c r="A7794" t="str">
        <f>"20190312150844919"</f>
        <v>20190312150844919</v>
      </c>
      <c r="B7794" t="str">
        <f>"1552374524908011"</f>
        <v>1552374524908011</v>
      </c>
      <c r="C7794" t="s">
        <v>40</v>
      </c>
      <c r="D7794">
        <v>4.564012</v>
      </c>
      <c r="E7794">
        <v>0.41082400000000002</v>
      </c>
      <c r="F7794" t="s">
        <v>42</v>
      </c>
      <c r="G7794">
        <v>-420.04520000000002</v>
      </c>
      <c r="H7794" s="1">
        <v>-1.3636810000000001E-6</v>
      </c>
      <c r="I7794">
        <v>112.7398</v>
      </c>
      <c r="J7794">
        <v>-419.79399999999998</v>
      </c>
      <c r="K7794">
        <v>1.11666</v>
      </c>
      <c r="L7794">
        <v>122.1186</v>
      </c>
      <c r="M7794">
        <v>-0.43887720000000002</v>
      </c>
      <c r="N7794">
        <v>0</v>
      </c>
      <c r="O7794">
        <v>-0.89848079999999997</v>
      </c>
      <c r="P7794">
        <v>-0.26676030000000001</v>
      </c>
      <c r="Q7794">
        <v>2.1280339999999998E-2</v>
      </c>
      <c r="R7794">
        <v>-0.96352800000000005</v>
      </c>
      <c r="S7794">
        <v>-0.1149597</v>
      </c>
      <c r="T7794">
        <v>-0.35964879999999999</v>
      </c>
      <c r="U7794">
        <v>-3.0962679999999998</v>
      </c>
      <c r="V7794">
        <v>-0.18370020000000001</v>
      </c>
      <c r="W7794">
        <v>2.9017020000000001E-2</v>
      </c>
      <c r="X7794">
        <v>0.98255400000000004</v>
      </c>
      <c r="Y7794">
        <v>-0.40530769999999999</v>
      </c>
      <c r="Z7794">
        <v>9.2925729999999998E-2</v>
      </c>
      <c r="AA7794">
        <v>0.90944519999999995</v>
      </c>
      <c r="AB7794">
        <v>26</v>
      </c>
      <c r="AC7794">
        <v>-0.25119999999998299</v>
      </c>
      <c r="AD7794">
        <v>-1.1166613636810001</v>
      </c>
      <c r="AE7794">
        <v>-9.3787999999999894</v>
      </c>
      <c r="AF7794">
        <v>-3.8363305398655299</v>
      </c>
      <c r="AG7794">
        <v>-1.1166613636810001</v>
      </c>
      <c r="AH7794">
        <v>8.4181768284949001</v>
      </c>
      <c r="AI7794">
        <v>96.882623768864207</v>
      </c>
      <c r="AJ7794">
        <v>114.49969755994201</v>
      </c>
      <c r="AK7794">
        <v>9.3182651672965005</v>
      </c>
      <c r="AL7794">
        <v>88.337213918091095</v>
      </c>
      <c r="AM7794">
        <v>100.58987070446901</v>
      </c>
      <c r="AN7794">
        <v>1.00000005692285</v>
      </c>
    </row>
    <row r="7795" spans="1:40" x14ac:dyDescent="0.25">
      <c r="A7795" t="str">
        <f>"20190312150844943"</f>
        <v>20190312150844943</v>
      </c>
      <c r="B7795" t="str">
        <f>"1552374524937291"</f>
        <v>1552374524937291</v>
      </c>
      <c r="C7795" t="s">
        <v>40</v>
      </c>
      <c r="D7795">
        <v>4.5811549999999999</v>
      </c>
      <c r="E7795">
        <v>0.41189629999999999</v>
      </c>
      <c r="F7795" t="s">
        <v>42</v>
      </c>
      <c r="G7795">
        <v>-420.08949999999999</v>
      </c>
      <c r="H7795" s="1">
        <v>-1.28827E-6</v>
      </c>
      <c r="I7795">
        <v>112.53660000000001</v>
      </c>
      <c r="J7795">
        <v>-419.89780000000002</v>
      </c>
      <c r="K7795">
        <v>1.1166240000000001</v>
      </c>
      <c r="L7795">
        <v>121.88200000000001</v>
      </c>
      <c r="M7795">
        <v>-0.43001420000000001</v>
      </c>
      <c r="N7795">
        <v>0</v>
      </c>
      <c r="O7795">
        <v>-0.90275640000000001</v>
      </c>
      <c r="P7795">
        <v>-0.25841609999999998</v>
      </c>
      <c r="Q7795">
        <v>2.2128620000000002E-2</v>
      </c>
      <c r="R7795">
        <v>-0.96578030000000004</v>
      </c>
      <c r="S7795">
        <v>-9.5428470000000001E-2</v>
      </c>
      <c r="T7795">
        <v>-0.3606935</v>
      </c>
      <c r="U7795">
        <v>-3.0950929999999999</v>
      </c>
      <c r="V7795">
        <v>-0.18253159999999999</v>
      </c>
      <c r="W7795">
        <v>2.989497E-2</v>
      </c>
      <c r="X7795">
        <v>0.98274539999999999</v>
      </c>
      <c r="Y7795">
        <v>-0.40203509999999998</v>
      </c>
      <c r="Z7795">
        <v>9.4049850000000004E-2</v>
      </c>
      <c r="AA7795">
        <v>0.91078119999999996</v>
      </c>
      <c r="AB7795">
        <v>26</v>
      </c>
      <c r="AC7795">
        <v>-0.19169999999996801</v>
      </c>
      <c r="AD7795">
        <v>-1.1166252882700001</v>
      </c>
      <c r="AE7795">
        <v>-9.3453999999999908</v>
      </c>
      <c r="AF7795">
        <v>-3.7917151744358</v>
      </c>
      <c r="AG7795">
        <v>-1.1166252882700001</v>
      </c>
      <c r="AH7795">
        <v>8.3996918656003601</v>
      </c>
      <c r="AI7795">
        <v>96.908484155880799</v>
      </c>
      <c r="AJ7795">
        <v>114.29495062571</v>
      </c>
      <c r="AK7795">
        <v>9.2832526323203997</v>
      </c>
      <c r="AL7795">
        <v>88.2868891684289</v>
      </c>
      <c r="AM7795">
        <v>100.52200953144499</v>
      </c>
      <c r="AN7795">
        <v>1.00000000772551</v>
      </c>
    </row>
    <row r="7796" spans="1:40" x14ac:dyDescent="0.25">
      <c r="A7796" t="str">
        <f>"20190312150844964"</f>
        <v>20190312150844964</v>
      </c>
      <c r="B7796" t="str">
        <f>"1552374524957788"</f>
        <v>1552374524957788</v>
      </c>
      <c r="C7796" t="s">
        <v>40</v>
      </c>
      <c r="D7796">
        <v>4.584149</v>
      </c>
      <c r="E7796">
        <v>0.4125181</v>
      </c>
      <c r="F7796" t="s">
        <v>42</v>
      </c>
      <c r="G7796">
        <v>-420.13709999999998</v>
      </c>
      <c r="H7796" s="1">
        <v>-1.1690839999999999E-6</v>
      </c>
      <c r="I7796">
        <v>112.22929999999999</v>
      </c>
      <c r="J7796">
        <v>-419.99509999999998</v>
      </c>
      <c r="K7796">
        <v>1.1165929999999999</v>
      </c>
      <c r="L7796">
        <v>121.6544</v>
      </c>
      <c r="M7796">
        <v>-0.42155579999999998</v>
      </c>
      <c r="N7796">
        <v>0</v>
      </c>
      <c r="O7796">
        <v>-0.90673709999999996</v>
      </c>
      <c r="P7796">
        <v>-0.25093009999999999</v>
      </c>
      <c r="Q7796">
        <v>2.267891E-2</v>
      </c>
      <c r="R7796">
        <v>-0.96773960000000003</v>
      </c>
      <c r="S7796">
        <v>-7.6690670000000002E-2</v>
      </c>
      <c r="T7796">
        <v>-0.35791119999999998</v>
      </c>
      <c r="U7796">
        <v>-3.093979</v>
      </c>
      <c r="V7796">
        <v>-0.18095359999999999</v>
      </c>
      <c r="W7796">
        <v>3.0481210000000002E-2</v>
      </c>
      <c r="X7796">
        <v>0.98301919999999998</v>
      </c>
      <c r="Y7796">
        <v>-0.39898030000000001</v>
      </c>
      <c r="Z7796">
        <v>9.412595E-2</v>
      </c>
      <c r="AA7796">
        <v>0.91211569999999997</v>
      </c>
      <c r="AB7796">
        <v>26</v>
      </c>
      <c r="AC7796">
        <v>-0.14199999999999499</v>
      </c>
      <c r="AD7796">
        <v>-1.116594169084</v>
      </c>
      <c r="AE7796">
        <v>-9.4251000000000005</v>
      </c>
      <c r="AF7796">
        <v>-3.7914747302094498</v>
      </c>
      <c r="AG7796">
        <v>-1.116594169084</v>
      </c>
      <c r="AH7796">
        <v>8.4873640149188496</v>
      </c>
      <c r="AI7796">
        <v>96.849495750669703</v>
      </c>
      <c r="AJ7796">
        <v>114.071267827594</v>
      </c>
      <c r="AK7796">
        <v>9.3625536628629593</v>
      </c>
      <c r="AL7796">
        <v>88.253284811115194</v>
      </c>
      <c r="AM7796">
        <v>100.43020964419399</v>
      </c>
      <c r="AN7796">
        <v>1.0000000285423301</v>
      </c>
    </row>
    <row r="7797" spans="1:40" x14ac:dyDescent="0.25">
      <c r="A7797" t="str">
        <f>"20190312150844987"</f>
        <v>20190312150844987</v>
      </c>
      <c r="B7797" t="str">
        <f>"1552374524978099"</f>
        <v>1552374524978099</v>
      </c>
      <c r="C7797" t="s">
        <v>40</v>
      </c>
      <c r="D7797">
        <v>4.5917250000000003</v>
      </c>
      <c r="E7797">
        <v>0.41377049999999999</v>
      </c>
      <c r="F7797" t="s">
        <v>42</v>
      </c>
      <c r="G7797">
        <v>-420.17610000000002</v>
      </c>
      <c r="H7797" s="1">
        <v>-1.0328000000000001E-6</v>
      </c>
      <c r="I7797">
        <v>111.8874</v>
      </c>
      <c r="J7797">
        <v>-420.09469999999999</v>
      </c>
      <c r="K7797">
        <v>1.116563</v>
      </c>
      <c r="L7797">
        <v>121.41500000000001</v>
      </c>
      <c r="M7797">
        <v>-0.4127247</v>
      </c>
      <c r="N7797">
        <v>0</v>
      </c>
      <c r="O7797">
        <v>-0.91079100000000002</v>
      </c>
      <c r="P7797">
        <v>-0.2428814</v>
      </c>
      <c r="Q7797">
        <v>2.3136839999999999E-2</v>
      </c>
      <c r="R7797">
        <v>-0.96978010000000003</v>
      </c>
      <c r="S7797">
        <v>-5.7342530000000003E-2</v>
      </c>
      <c r="T7797">
        <v>-0.3536454</v>
      </c>
      <c r="U7797">
        <v>-3.0933989999999998</v>
      </c>
      <c r="V7797">
        <v>-0.179567899999999</v>
      </c>
      <c r="W7797">
        <v>3.0970689999999999E-2</v>
      </c>
      <c r="X7797">
        <v>0.98325790000000002</v>
      </c>
      <c r="Y7797">
        <v>-0.3957715</v>
      </c>
      <c r="Z7797">
        <v>9.3800439999999999E-2</v>
      </c>
      <c r="AA7797">
        <v>0.91354610000000003</v>
      </c>
      <c r="AB7797">
        <v>26</v>
      </c>
      <c r="AC7797">
        <v>-8.1400000000030504E-2</v>
      </c>
      <c r="AD7797">
        <v>-1.1165640327999999</v>
      </c>
      <c r="AE7797">
        <v>-9.5275999999999996</v>
      </c>
      <c r="AF7797">
        <v>-3.8060957734148801</v>
      </c>
      <c r="AG7797">
        <v>-1.1165640327999999</v>
      </c>
      <c r="AH7797">
        <v>8.5937437340226293</v>
      </c>
      <c r="AI7797">
        <v>96.774852833624706</v>
      </c>
      <c r="AJ7797">
        <v>113.888144093105</v>
      </c>
      <c r="AK7797">
        <v>9.4649623159208893</v>
      </c>
      <c r="AL7797">
        <v>88.225226297060502</v>
      </c>
      <c r="AM7797">
        <v>100.349612133268</v>
      </c>
      <c r="AN7797">
        <v>0.99999995613094705</v>
      </c>
    </row>
    <row r="7798" spans="1:40" x14ac:dyDescent="0.25">
      <c r="A7798" t="str">
        <f>"20190312150845009"</f>
        <v>20190312150845009</v>
      </c>
      <c r="B7798" t="str">
        <f>"1552374524997605"</f>
        <v>1552374524997605</v>
      </c>
      <c r="C7798" t="s">
        <v>40</v>
      </c>
      <c r="D7798">
        <v>4.6079860000000004</v>
      </c>
      <c r="E7798">
        <v>0.4146956</v>
      </c>
      <c r="F7798" t="s">
        <v>42</v>
      </c>
      <c r="G7798">
        <v>-420.22629999999998</v>
      </c>
      <c r="H7798" s="1">
        <v>-9.2033010000000003E-7</v>
      </c>
      <c r="I7798">
        <v>111.59399999999999</v>
      </c>
      <c r="J7798">
        <v>-420.18779999999998</v>
      </c>
      <c r="K7798">
        <v>1.116536</v>
      </c>
      <c r="L7798">
        <v>121.18510000000001</v>
      </c>
      <c r="M7798">
        <v>-0.40429910000000002</v>
      </c>
      <c r="N7798">
        <v>0</v>
      </c>
      <c r="O7798">
        <v>-0.91456249999999994</v>
      </c>
      <c r="P7798">
        <v>-0.23489660000000001</v>
      </c>
      <c r="Q7798">
        <v>2.3925269999999998E-2</v>
      </c>
      <c r="R7798">
        <v>-0.97172639999999999</v>
      </c>
      <c r="S7798">
        <v>-4.144287E-2</v>
      </c>
      <c r="T7798">
        <v>-0.35147990000000001</v>
      </c>
      <c r="U7798">
        <v>-3.091507</v>
      </c>
      <c r="V7798">
        <v>-0.17858099999999999</v>
      </c>
      <c r="W7798">
        <v>3.1782350000000001E-2</v>
      </c>
      <c r="X7798">
        <v>0.98341179999999995</v>
      </c>
      <c r="Y7798">
        <v>-0.39198300000000003</v>
      </c>
      <c r="Z7798">
        <v>9.4015909999999994E-2</v>
      </c>
      <c r="AA7798">
        <v>0.91515590000000002</v>
      </c>
      <c r="AB7798">
        <v>26</v>
      </c>
      <c r="AC7798">
        <v>-3.8499999999999E-2</v>
      </c>
      <c r="AD7798">
        <v>-1.1165369203301001</v>
      </c>
      <c r="AE7798">
        <v>-9.5911000000000097</v>
      </c>
      <c r="AF7798">
        <v>-3.79130884261204</v>
      </c>
      <c r="AG7798">
        <v>-1.1165369203301001</v>
      </c>
      <c r="AH7798">
        <v>8.6702440937694103</v>
      </c>
      <c r="AI7798">
        <v>96.729247423983693</v>
      </c>
      <c r="AJ7798">
        <v>113.618710923734</v>
      </c>
      <c r="AK7798">
        <v>9.5285785970453993</v>
      </c>
      <c r="AL7798">
        <v>88.178698827130404</v>
      </c>
      <c r="AM7798">
        <v>100.292373846385</v>
      </c>
      <c r="AN7798">
        <v>1.00000002985588</v>
      </c>
    </row>
    <row r="7799" spans="1:40" x14ac:dyDescent="0.25">
      <c r="A7799" t="str">
        <f>"20190312150845030"</f>
        <v>20190312150845030</v>
      </c>
      <c r="B7799" t="str">
        <f>"1552374525027860"</f>
        <v>1552374525027860</v>
      </c>
      <c r="C7799" t="s">
        <v>40</v>
      </c>
      <c r="D7799">
        <v>4.5582960000000003</v>
      </c>
      <c r="E7799">
        <v>0.41580689999999998</v>
      </c>
      <c r="F7799" t="s">
        <v>42</v>
      </c>
      <c r="G7799">
        <v>-420.26170000000002</v>
      </c>
      <c r="H7799" s="1">
        <v>-8.076535E-7</v>
      </c>
      <c r="I7799">
        <v>111.3094</v>
      </c>
      <c r="J7799">
        <v>-420.28050000000002</v>
      </c>
      <c r="K7799">
        <v>1.116517</v>
      </c>
      <c r="L7799">
        <v>120.9502</v>
      </c>
      <c r="M7799">
        <v>-0.395729</v>
      </c>
      <c r="N7799">
        <v>0</v>
      </c>
      <c r="O7799">
        <v>-0.91830299999999998</v>
      </c>
      <c r="P7799">
        <v>-0.22663639999999999</v>
      </c>
      <c r="Q7799">
        <v>2.3946240000000001E-2</v>
      </c>
      <c r="R7799">
        <v>-0.97368500000000002</v>
      </c>
      <c r="S7799">
        <v>-2.3132320000000001E-2</v>
      </c>
      <c r="T7799">
        <v>-0.349387</v>
      </c>
      <c r="U7799">
        <v>-3.0903019999999999</v>
      </c>
      <c r="V7799">
        <v>-0.1777338</v>
      </c>
      <c r="W7799">
        <v>3.1820950000000001E-2</v>
      </c>
      <c r="X7799">
        <v>0.98356399999999999</v>
      </c>
      <c r="Y7799">
        <v>-0.38880009999999998</v>
      </c>
      <c r="Z7799">
        <v>9.4199900000000003E-2</v>
      </c>
      <c r="AA7799">
        <v>0.91649380000000003</v>
      </c>
      <c r="AB7799">
        <v>26</v>
      </c>
      <c r="AC7799">
        <v>1.87999999999988E-2</v>
      </c>
      <c r="AD7799">
        <v>-1.1165178076535001</v>
      </c>
      <c r="AE7799">
        <v>-9.6408000000000005</v>
      </c>
      <c r="AF7799">
        <v>-3.7819105280626002</v>
      </c>
      <c r="AG7799">
        <v>-1.1165178076535001</v>
      </c>
      <c r="AH7799">
        <v>8.7291800547577392</v>
      </c>
      <c r="AI7799">
        <v>96.693885841460599</v>
      </c>
      <c r="AJ7799">
        <v>113.42463567421601</v>
      </c>
      <c r="AK7799">
        <v>9.5785199110018304</v>
      </c>
      <c r="AL7799">
        <v>88.176486053423503</v>
      </c>
      <c r="AM7799">
        <v>100.243030861679</v>
      </c>
      <c r="AN7799">
        <v>1.0000000093086701</v>
      </c>
    </row>
    <row r="7800" spans="1:40" x14ac:dyDescent="0.25">
      <c r="A7800" t="str">
        <f>"20190312150845053"</f>
        <v>20190312150845053</v>
      </c>
      <c r="B7800" t="str">
        <f>"1552374525047381"</f>
        <v>1552374525047381</v>
      </c>
      <c r="C7800" t="s">
        <v>40</v>
      </c>
      <c r="D7800">
        <v>4.59701</v>
      </c>
      <c r="E7800">
        <v>0.41642760000000001</v>
      </c>
      <c r="F7800" t="s">
        <v>42</v>
      </c>
      <c r="G7800">
        <v>-420.30090000000001</v>
      </c>
      <c r="H7800" s="1">
        <v>-6.9408879999999998E-7</v>
      </c>
      <c r="I7800">
        <v>111.0204</v>
      </c>
      <c r="J7800">
        <v>-420.37310000000002</v>
      </c>
      <c r="K7800">
        <v>1.116501</v>
      </c>
      <c r="L7800">
        <v>120.7093</v>
      </c>
      <c r="M7800">
        <v>-0.3869763</v>
      </c>
      <c r="N7800">
        <v>0</v>
      </c>
      <c r="O7800">
        <v>-0.9220256</v>
      </c>
      <c r="P7800">
        <v>-0.21841769999999999</v>
      </c>
      <c r="Q7800">
        <v>2.3824600000000001E-2</v>
      </c>
      <c r="R7800">
        <v>-0.97556449999999995</v>
      </c>
      <c r="S7800">
        <v>-6.3476560000000001E-3</v>
      </c>
      <c r="T7800">
        <v>-0.34723110000000001</v>
      </c>
      <c r="U7800">
        <v>-3.08812</v>
      </c>
      <c r="V7800">
        <v>-0.1766701</v>
      </c>
      <c r="W7800">
        <v>3.1719909999999997E-2</v>
      </c>
      <c r="X7800">
        <v>0.98375889999999999</v>
      </c>
      <c r="Y7800">
        <v>-0.38501540000000001</v>
      </c>
      <c r="Z7800">
        <v>9.4398109999999993E-2</v>
      </c>
      <c r="AA7800">
        <v>0.91806980000000005</v>
      </c>
      <c r="AB7800">
        <v>26</v>
      </c>
      <c r="AC7800">
        <v>7.2200000000009298E-2</v>
      </c>
      <c r="AD7800">
        <v>-1.1165016940888</v>
      </c>
      <c r="AE7800">
        <v>-9.6889000000000003</v>
      </c>
      <c r="AF7800">
        <v>-3.76616174412182</v>
      </c>
      <c r="AG7800">
        <v>-1.1165016940888</v>
      </c>
      <c r="AH7800">
        <v>8.7892924915186601</v>
      </c>
      <c r="AI7800">
        <v>96.659815570665202</v>
      </c>
      <c r="AJ7800">
        <v>113.194857054324</v>
      </c>
      <c r="AK7800">
        <v>9.6271601636856605</v>
      </c>
      <c r="AL7800">
        <v>88.182278171587001</v>
      </c>
      <c r="AM7800">
        <v>100.181039716085</v>
      </c>
      <c r="AN7800">
        <v>1.00000002512681</v>
      </c>
    </row>
    <row r="7801" spans="1:40" x14ac:dyDescent="0.25">
      <c r="A7801" t="str">
        <f>"20190312150845076"</f>
        <v>20190312150845076</v>
      </c>
      <c r="B7801" t="str">
        <f>"1552374525067460"</f>
        <v>1552374525067460</v>
      </c>
      <c r="C7801" t="s">
        <v>40</v>
      </c>
      <c r="D7801">
        <v>4.5676030000000001</v>
      </c>
      <c r="E7801">
        <v>0.42502089999999998</v>
      </c>
      <c r="F7801" t="s">
        <v>42</v>
      </c>
      <c r="G7801">
        <v>-420.32319999999999</v>
      </c>
      <c r="H7801" s="1">
        <v>-5.9064289999999998E-7</v>
      </c>
      <c r="I7801">
        <v>110.7655</v>
      </c>
      <c r="J7801">
        <v>-420.46199999999999</v>
      </c>
      <c r="K7801">
        <v>1.1164940000000001</v>
      </c>
      <c r="L7801">
        <v>120.4713</v>
      </c>
      <c r="M7801">
        <v>-0.378363</v>
      </c>
      <c r="N7801">
        <v>0</v>
      </c>
      <c r="O7801">
        <v>-0.92559360000000002</v>
      </c>
      <c r="P7801">
        <v>-0.21032100000000001</v>
      </c>
      <c r="Q7801">
        <v>2.376054E-2</v>
      </c>
      <c r="R7801">
        <v>-0.97734379999999998</v>
      </c>
      <c r="S7801">
        <v>1.550293E-2</v>
      </c>
      <c r="T7801">
        <v>-0.34661969999999998</v>
      </c>
      <c r="U7801">
        <v>-3.0870669999999998</v>
      </c>
      <c r="V7801">
        <v>-0.17565430000000001</v>
      </c>
      <c r="W7801">
        <v>3.1675109999999999E-2</v>
      </c>
      <c r="X7801">
        <v>0.98394219999999999</v>
      </c>
      <c r="Y7801">
        <v>-0.38291069999999999</v>
      </c>
      <c r="Z7801">
        <v>9.4903769999999998E-2</v>
      </c>
      <c r="AA7801">
        <v>0.91889750000000003</v>
      </c>
      <c r="AB7801">
        <v>26</v>
      </c>
      <c r="AC7801">
        <v>0.138800000000003</v>
      </c>
      <c r="AD7801">
        <v>-1.11649459064289</v>
      </c>
      <c r="AE7801">
        <v>-9.7057999999999893</v>
      </c>
      <c r="AF7801">
        <v>-3.7513811347488799</v>
      </c>
      <c r="AG7801">
        <v>-1.11649459064289</v>
      </c>
      <c r="AH7801">
        <v>8.8150131001320506</v>
      </c>
      <c r="AI7801">
        <v>96.647476272773005</v>
      </c>
      <c r="AJ7801">
        <v>113.0530164333</v>
      </c>
      <c r="AK7801">
        <v>9.6448886227153707</v>
      </c>
      <c r="AL7801">
        <v>88.184846266059694</v>
      </c>
      <c r="AM7801">
        <v>100.12186900728599</v>
      </c>
      <c r="AN7801">
        <v>0.99999999932142103</v>
      </c>
    </row>
    <row r="7802" spans="1:40" x14ac:dyDescent="0.25">
      <c r="A7802" t="str">
        <f>"20190312150845097"</f>
        <v>20190312150845097</v>
      </c>
      <c r="B7802" t="str">
        <f>"1552374525087946"</f>
        <v>1552374525087946</v>
      </c>
      <c r="C7802" t="s">
        <v>40</v>
      </c>
      <c r="D7802">
        <v>4.5943170000000002</v>
      </c>
      <c r="E7802">
        <v>0.42461670000000001</v>
      </c>
      <c r="F7802" t="s">
        <v>42</v>
      </c>
      <c r="G7802">
        <v>-420.54239999999999</v>
      </c>
      <c r="H7802" s="1">
        <v>-5.825701E-7</v>
      </c>
      <c r="I7802">
        <v>110.61069999999999</v>
      </c>
      <c r="J7802">
        <v>-420.5489</v>
      </c>
      <c r="K7802">
        <v>1.11649</v>
      </c>
      <c r="L7802">
        <v>120.23220000000001</v>
      </c>
      <c r="M7802">
        <v>-0.36972749999999999</v>
      </c>
      <c r="N7802">
        <v>0</v>
      </c>
      <c r="O7802">
        <v>-0.92907669999999998</v>
      </c>
      <c r="P7802">
        <v>-0.2022014</v>
      </c>
      <c r="Q7802">
        <v>2.3693510000000001E-2</v>
      </c>
      <c r="R7802">
        <v>-0.97905730000000002</v>
      </c>
      <c r="S7802">
        <v>-2.502441E-2</v>
      </c>
      <c r="T7802">
        <v>-0.34790280000000001</v>
      </c>
      <c r="U7802">
        <v>-3.0726010000000001</v>
      </c>
      <c r="V7802">
        <v>-0.17465739999999999</v>
      </c>
      <c r="W7802">
        <v>3.1626019999999998E-2</v>
      </c>
      <c r="X7802">
        <v>0.98412120000000003</v>
      </c>
      <c r="Y7802">
        <v>-0.36212820000000001</v>
      </c>
      <c r="Z7802">
        <v>9.6759949999999997E-2</v>
      </c>
      <c r="AA7802">
        <v>0.92709260000000004</v>
      </c>
      <c r="AB7802">
        <v>26</v>
      </c>
      <c r="AC7802">
        <v>6.5000000000168196E-3</v>
      </c>
      <c r="AD7802">
        <v>-1.1164905825700999</v>
      </c>
      <c r="AE7802">
        <v>-9.6215000000000099</v>
      </c>
      <c r="AF7802">
        <v>-3.5162344468864699</v>
      </c>
      <c r="AG7802">
        <v>-1.1164905825700999</v>
      </c>
      <c r="AH7802">
        <v>8.8184899369170395</v>
      </c>
      <c r="AI7802">
        <v>96.707389333021894</v>
      </c>
      <c r="AJ7802">
        <v>111.73886579882701</v>
      </c>
      <c r="AK7802">
        <v>9.5590909962164208</v>
      </c>
      <c r="AL7802">
        <v>88.187660280558802</v>
      </c>
      <c r="AM7802">
        <v>100.06380836174399</v>
      </c>
      <c r="AN7802">
        <v>0.99999997440261901</v>
      </c>
    </row>
    <row r="7803" spans="1:40" x14ac:dyDescent="0.25">
      <c r="A7803" t="str">
        <f>"20190312150845121"</f>
        <v>20190312150845121</v>
      </c>
      <c r="B7803" t="str">
        <f>"1552374525118202"</f>
        <v>1552374525118202</v>
      </c>
      <c r="C7803" t="s">
        <v>40</v>
      </c>
      <c r="D7803">
        <v>4.5902669999999999</v>
      </c>
      <c r="E7803">
        <v>0.4253383</v>
      </c>
      <c r="F7803" t="s">
        <v>42</v>
      </c>
      <c r="G7803">
        <v>-420.53699999999998</v>
      </c>
      <c r="H7803" s="1">
        <v>-4.8272179999999898E-7</v>
      </c>
      <c r="I7803">
        <v>110.3813</v>
      </c>
      <c r="J7803">
        <v>-420.63630000000001</v>
      </c>
      <c r="K7803">
        <v>1.116493</v>
      </c>
      <c r="L7803">
        <v>119.9846</v>
      </c>
      <c r="M7803">
        <v>-0.36080069999999997</v>
      </c>
      <c r="N7803">
        <v>0</v>
      </c>
      <c r="O7803">
        <v>-0.93257979999999996</v>
      </c>
      <c r="P7803">
        <v>-0.19347520000000001</v>
      </c>
      <c r="Q7803">
        <v>2.3856249999999999E-2</v>
      </c>
      <c r="R7803">
        <v>-0.9808154</v>
      </c>
      <c r="S7803">
        <v>3.7231450000000002E-3</v>
      </c>
      <c r="T7803">
        <v>-0.34832940000000001</v>
      </c>
      <c r="U7803">
        <v>-3.0733489999999999</v>
      </c>
      <c r="V7803">
        <v>-0.17398440000000001</v>
      </c>
      <c r="W7803">
        <v>3.1800929999999998E-2</v>
      </c>
      <c r="X7803">
        <v>0.98423479999999997</v>
      </c>
      <c r="Y7803">
        <v>-0.36186449999999998</v>
      </c>
      <c r="Z7803">
        <v>9.7444249999999996E-2</v>
      </c>
      <c r="AA7803">
        <v>0.9271239</v>
      </c>
      <c r="AB7803">
        <v>26</v>
      </c>
      <c r="AC7803">
        <v>9.9300000000027894E-2</v>
      </c>
      <c r="AD7803">
        <v>-1.1164934827218</v>
      </c>
      <c r="AE7803">
        <v>-9.6033000000000008</v>
      </c>
      <c r="AF7803">
        <v>-3.5102500374089902</v>
      </c>
      <c r="AG7803">
        <v>-1.1164934827218</v>
      </c>
      <c r="AH7803">
        <v>8.8015855232274696</v>
      </c>
      <c r="AI7803">
        <v>96.719974429408694</v>
      </c>
      <c r="AJ7803">
        <v>111.743111686068</v>
      </c>
      <c r="AK7803">
        <v>9.5412955485498596</v>
      </c>
      <c r="AL7803">
        <v>88.177633689816602</v>
      </c>
      <c r="AM7803">
        <v>100.02468442663999</v>
      </c>
      <c r="AN7803">
        <v>1.0000000060616301</v>
      </c>
    </row>
    <row r="7804" spans="1:40" x14ac:dyDescent="0.25">
      <c r="A7804" t="str">
        <f>"20190312150845143"</f>
        <v>20190312150845143</v>
      </c>
      <c r="B7804" t="str">
        <f>"1552374525137722"</f>
        <v>1552374525137722</v>
      </c>
      <c r="C7804" t="s">
        <v>40</v>
      </c>
      <c r="D7804">
        <v>4.6117509999999999</v>
      </c>
      <c r="E7804">
        <v>0.42631999999999998</v>
      </c>
      <c r="F7804" t="s">
        <v>42</v>
      </c>
      <c r="G7804">
        <v>-420.55739999999997</v>
      </c>
      <c r="H7804" s="1">
        <v>-3.4777609999999899E-7</v>
      </c>
      <c r="I7804">
        <v>110.05410000000001</v>
      </c>
      <c r="J7804">
        <v>-420.72030000000001</v>
      </c>
      <c r="K7804">
        <v>1.1165020000000001</v>
      </c>
      <c r="L7804">
        <v>119.7396</v>
      </c>
      <c r="M7804">
        <v>-0.3519718</v>
      </c>
      <c r="N7804">
        <v>0</v>
      </c>
      <c r="O7804">
        <v>-0.93594770000000005</v>
      </c>
      <c r="P7804">
        <v>-0.1850108</v>
      </c>
      <c r="Q7804">
        <v>2.370825E-2</v>
      </c>
      <c r="R7804">
        <v>-0.98245059999999995</v>
      </c>
      <c r="S7804">
        <v>2.4414060000000001E-2</v>
      </c>
      <c r="T7804">
        <v>-0.34537370000000001</v>
      </c>
      <c r="U7804">
        <v>-3.0718990000000002</v>
      </c>
      <c r="V7804">
        <v>-0.1731694</v>
      </c>
      <c r="W7804">
        <v>3.1666060000000003E-2</v>
      </c>
      <c r="X7804">
        <v>0.98438289999999995</v>
      </c>
      <c r="Y7804">
        <v>-0.3593037</v>
      </c>
      <c r="Z7804">
        <v>9.728494E-2</v>
      </c>
      <c r="AA7804">
        <v>0.92813610000000002</v>
      </c>
      <c r="AB7804">
        <v>26</v>
      </c>
      <c r="AC7804">
        <v>0.16290000000003599</v>
      </c>
      <c r="AD7804">
        <v>-1.1165023477761</v>
      </c>
      <c r="AE7804">
        <v>-9.6854999999999905</v>
      </c>
      <c r="AF7804">
        <v>-3.51500263855276</v>
      </c>
      <c r="AG7804">
        <v>-1.1165023477761</v>
      </c>
      <c r="AH7804">
        <v>8.8902116847761103</v>
      </c>
      <c r="AI7804">
        <v>96.661427125723193</v>
      </c>
      <c r="AJ7804">
        <v>111.57279972389099</v>
      </c>
      <c r="AK7804">
        <v>9.6248472632947397</v>
      </c>
      <c r="AL7804">
        <v>88.185365121744397</v>
      </c>
      <c r="AM7804">
        <v>99.977200372844905</v>
      </c>
      <c r="AN7804">
        <v>1.0000000371323401</v>
      </c>
    </row>
    <row r="7805" spans="1:40" x14ac:dyDescent="0.25">
      <c r="A7805" t="str">
        <f>"20190312150845166"</f>
        <v>20190312150845166</v>
      </c>
      <c r="B7805" t="str">
        <f>"1552374525158218"</f>
        <v>1552374525158218</v>
      </c>
      <c r="C7805" t="s">
        <v>40</v>
      </c>
      <c r="D7805">
        <v>4.6220220000000003</v>
      </c>
      <c r="E7805">
        <v>0.42715160000000002</v>
      </c>
      <c r="F7805" t="s">
        <v>42</v>
      </c>
      <c r="G7805">
        <v>-420.57960000000003</v>
      </c>
      <c r="H7805" s="1">
        <v>-2.4975890000000001E-7</v>
      </c>
      <c r="I7805">
        <v>109.81180000000001</v>
      </c>
      <c r="J7805">
        <v>-420.79989999999998</v>
      </c>
      <c r="K7805">
        <v>1.1165119999999999</v>
      </c>
      <c r="L7805">
        <v>119.4997</v>
      </c>
      <c r="M7805">
        <v>-0.34333390000000003</v>
      </c>
      <c r="N7805">
        <v>0</v>
      </c>
      <c r="O7805">
        <v>-0.93915079999999995</v>
      </c>
      <c r="P7805">
        <v>-0.17676710000000001</v>
      </c>
      <c r="Q7805">
        <v>2.3841939999999999E-2</v>
      </c>
      <c r="R7805">
        <v>-0.98396410000000001</v>
      </c>
      <c r="S7805">
        <v>4.3518069999999999E-2</v>
      </c>
      <c r="T7805">
        <v>-0.34527419999999998</v>
      </c>
      <c r="U7805">
        <v>-3.0701139999999998</v>
      </c>
      <c r="V7805">
        <v>-0.17235510000000001</v>
      </c>
      <c r="W7805">
        <v>3.1813800000000003E-2</v>
      </c>
      <c r="X7805">
        <v>0.98452099999999998</v>
      </c>
      <c r="Y7805">
        <v>-0.35648580000000002</v>
      </c>
      <c r="Z7805">
        <v>9.7902420000000004E-2</v>
      </c>
      <c r="AA7805">
        <v>0.92915709999999996</v>
      </c>
      <c r="AB7805">
        <v>26</v>
      </c>
      <c r="AC7805">
        <v>0.22029999999995201</v>
      </c>
      <c r="AD7805">
        <v>-1.1165122497589</v>
      </c>
      <c r="AE7805">
        <v>-9.6879000000000008</v>
      </c>
      <c r="AF7805">
        <v>-3.4869963897844301</v>
      </c>
      <c r="AG7805">
        <v>-1.1165122497589</v>
      </c>
      <c r="AH7805">
        <v>8.9050759612148909</v>
      </c>
      <c r="AI7805">
        <v>96.659016099592293</v>
      </c>
      <c r="AJ7805">
        <v>111.384020404621</v>
      </c>
      <c r="AK7805">
        <v>9.6284018041022108</v>
      </c>
      <c r="AL7805">
        <v>88.176895906786299</v>
      </c>
      <c r="AM7805">
        <v>99.929855138611799</v>
      </c>
      <c r="AN7805">
        <v>0.99999999890372404</v>
      </c>
    </row>
    <row r="7806" spans="1:40" x14ac:dyDescent="0.25">
      <c r="A7806" t="str">
        <f>"20190312150845188"</f>
        <v>20190312150845188</v>
      </c>
      <c r="B7806" t="str">
        <f>"1552374525177269"</f>
        <v>1552374525177269</v>
      </c>
      <c r="C7806" t="s">
        <v>40</v>
      </c>
      <c r="D7806">
        <v>4.6385110000000003</v>
      </c>
      <c r="E7806">
        <v>0.42767889999999997</v>
      </c>
      <c r="F7806" t="s">
        <v>42</v>
      </c>
      <c r="G7806">
        <v>-420.59750000000003</v>
      </c>
      <c r="H7806" s="1">
        <v>-4.8281219999999997E-6</v>
      </c>
      <c r="I7806">
        <v>109.58280000000001</v>
      </c>
      <c r="J7806">
        <v>-420.87779999999998</v>
      </c>
      <c r="K7806">
        <v>1.116527</v>
      </c>
      <c r="L7806">
        <v>119.2569</v>
      </c>
      <c r="M7806">
        <v>-0.33459640000000002</v>
      </c>
      <c r="N7806">
        <v>0</v>
      </c>
      <c r="O7806">
        <v>-0.94229890000000005</v>
      </c>
      <c r="P7806">
        <v>-0.16815550000000001</v>
      </c>
      <c r="Q7806">
        <v>2.392992E-2</v>
      </c>
      <c r="R7806">
        <v>-0.98547010000000002</v>
      </c>
      <c r="S7806">
        <v>6.2622070000000002E-2</v>
      </c>
      <c r="T7806">
        <v>-0.3454777</v>
      </c>
      <c r="U7806">
        <v>-3.0685120000000001</v>
      </c>
      <c r="V7806">
        <v>-0.17182220000000001</v>
      </c>
      <c r="W7806">
        <v>3.1909600000000003E-2</v>
      </c>
      <c r="X7806">
        <v>0.98461100000000001</v>
      </c>
      <c r="Y7806">
        <v>-0.35359869999999999</v>
      </c>
      <c r="Z7806">
        <v>9.8590250000000004E-2</v>
      </c>
      <c r="AA7806">
        <v>0.93018699999999999</v>
      </c>
      <c r="AB7806">
        <v>26</v>
      </c>
      <c r="AC7806">
        <v>0.28029999999995397</v>
      </c>
      <c r="AD7806">
        <v>-1.116531828122</v>
      </c>
      <c r="AE7806">
        <v>-9.6740999999999904</v>
      </c>
      <c r="AF7806">
        <v>-3.45526474622985</v>
      </c>
      <c r="AG7806">
        <v>-1.116531828122</v>
      </c>
      <c r="AH7806">
        <v>8.9041307800817293</v>
      </c>
      <c r="AI7806">
        <v>96.667703202182594</v>
      </c>
      <c r="AJ7806">
        <v>111.20883696766199</v>
      </c>
      <c r="AK7806">
        <v>9.6160825047701799</v>
      </c>
      <c r="AL7806">
        <v>88.171404104681599</v>
      </c>
      <c r="AM7806">
        <v>99.898874613602104</v>
      </c>
      <c r="AN7806">
        <v>0.99999995615299897</v>
      </c>
    </row>
    <row r="7807" spans="1:40" x14ac:dyDescent="0.25">
      <c r="A7807" t="str">
        <f>"20190312150845209"</f>
        <v>20190312150845209</v>
      </c>
      <c r="B7807" t="str">
        <f>"1552374525197764"</f>
        <v>1552374525197764</v>
      </c>
      <c r="C7807" t="s">
        <v>40</v>
      </c>
      <c r="D7807">
        <v>4.6034680000000003</v>
      </c>
      <c r="E7807">
        <v>0.42865389999999998</v>
      </c>
      <c r="F7807" t="s">
        <v>42</v>
      </c>
      <c r="G7807">
        <v>-420.6001</v>
      </c>
      <c r="H7807" s="1">
        <v>-4.7056439999999998E-6</v>
      </c>
      <c r="I7807">
        <v>109.2627</v>
      </c>
      <c r="J7807">
        <v>-420.95299999999997</v>
      </c>
      <c r="K7807">
        <v>1.1165430000000001</v>
      </c>
      <c r="L7807">
        <v>119.0154</v>
      </c>
      <c r="M7807">
        <v>-0.3259013</v>
      </c>
      <c r="N7807">
        <v>0</v>
      </c>
      <c r="O7807">
        <v>-0.94534119999999999</v>
      </c>
      <c r="P7807">
        <v>-0.15941569999999999</v>
      </c>
      <c r="Q7807">
        <v>2.3941150000000001E-2</v>
      </c>
      <c r="R7807">
        <v>-0.9869213</v>
      </c>
      <c r="S7807">
        <v>8.5235599999999995E-2</v>
      </c>
      <c r="T7807">
        <v>-0.342647599999999</v>
      </c>
      <c r="U7807">
        <v>-3.0670929999999998</v>
      </c>
      <c r="V7807">
        <v>-0.171478399999999</v>
      </c>
      <c r="W7807">
        <v>3.1925330000000002E-2</v>
      </c>
      <c r="X7807">
        <v>0.9846705</v>
      </c>
      <c r="Y7807">
        <v>-0.35184890000000002</v>
      </c>
      <c r="Z7807">
        <v>9.836744E-2</v>
      </c>
      <c r="AA7807">
        <v>0.93087390000000003</v>
      </c>
      <c r="AB7807">
        <v>26</v>
      </c>
      <c r="AC7807">
        <v>0.35290000000003302</v>
      </c>
      <c r="AD7807">
        <v>-1.1165477056440001</v>
      </c>
      <c r="AE7807">
        <v>-9.7527000000000008</v>
      </c>
      <c r="AF7807">
        <v>-3.4668555576559901</v>
      </c>
      <c r="AG7807">
        <v>-1.1165477056440001</v>
      </c>
      <c r="AH7807">
        <v>8.9875117093391399</v>
      </c>
      <c r="AI7807">
        <v>96.611579781952599</v>
      </c>
      <c r="AJ7807">
        <v>111.09369298906201</v>
      </c>
      <c r="AK7807">
        <v>9.6974807533780201</v>
      </c>
      <c r="AL7807">
        <v>88.170502519527204</v>
      </c>
      <c r="AM7807">
        <v>99.878873326237596</v>
      </c>
      <c r="AN7807">
        <v>1.0000000309662</v>
      </c>
    </row>
    <row r="7808" spans="1:40" x14ac:dyDescent="0.25">
      <c r="A7808" t="str">
        <f>"20190312150845224"</f>
        <v>20190312150845224</v>
      </c>
      <c r="B7808" t="str">
        <f>"1552374525217284"</f>
        <v>1552374525217284</v>
      </c>
      <c r="C7808" t="s">
        <v>40</v>
      </c>
      <c r="D7808">
        <v>4.6357689999999998</v>
      </c>
      <c r="E7808">
        <v>0.43650480000000003</v>
      </c>
      <c r="F7808" t="s">
        <v>42</v>
      </c>
      <c r="G7808">
        <v>-420.61419999999998</v>
      </c>
      <c r="H7808" s="1">
        <v>-4.6501109999999998E-6</v>
      </c>
      <c r="I7808">
        <v>109.1116</v>
      </c>
      <c r="J7808">
        <v>-421.00189999999998</v>
      </c>
      <c r="K7808">
        <v>1.116552</v>
      </c>
      <c r="L7808">
        <v>118.8546</v>
      </c>
      <c r="M7808">
        <v>-0.32011000000000001</v>
      </c>
      <c r="N7808">
        <v>0</v>
      </c>
      <c r="O7808">
        <v>-0.94731799999999999</v>
      </c>
      <c r="P7808">
        <v>-0.15353449999999999</v>
      </c>
      <c r="Q7808">
        <v>2.4060189999999999E-2</v>
      </c>
      <c r="R7808">
        <v>-0.98785080000000003</v>
      </c>
      <c r="S7808">
        <v>0.10485839999999901</v>
      </c>
      <c r="T7808">
        <v>-0.34555340000000001</v>
      </c>
      <c r="U7808">
        <v>-3.0650789999999999</v>
      </c>
      <c r="V7808">
        <v>-0.17131950000000001</v>
      </c>
      <c r="W7808">
        <v>3.2046860000000003E-2</v>
      </c>
      <c r="X7808">
        <v>0.98469419999999996</v>
      </c>
      <c r="Y7808">
        <v>-0.3520876</v>
      </c>
      <c r="Z7808">
        <v>9.9569959999999999E-2</v>
      </c>
      <c r="AA7808">
        <v>0.93065580000000003</v>
      </c>
      <c r="AB7808">
        <v>26</v>
      </c>
      <c r="AC7808">
        <v>0.38769999999999499</v>
      </c>
      <c r="AD7808">
        <v>-1.116556650111</v>
      </c>
      <c r="AE7808">
        <v>-9.7430000000000092</v>
      </c>
      <c r="AF7808">
        <v>-3.4411899917458402</v>
      </c>
      <c r="AG7808">
        <v>-1.116556650111</v>
      </c>
      <c r="AH7808">
        <v>8.9882908850456698</v>
      </c>
      <c r="AI7808">
        <v>96.617405648511607</v>
      </c>
      <c r="AJ7808">
        <v>110.94947143904299</v>
      </c>
      <c r="AK7808">
        <v>9.6890587956928993</v>
      </c>
      <c r="AL7808">
        <v>88.163535778578407</v>
      </c>
      <c r="AM7808">
        <v>99.869666319611994</v>
      </c>
      <c r="AN7808">
        <v>1.00000001991487</v>
      </c>
    </row>
    <row r="7809" spans="1:40" x14ac:dyDescent="0.25">
      <c r="A7809" t="str">
        <f>"20190312150845243"</f>
        <v>20190312150845243</v>
      </c>
      <c r="B7809" t="str">
        <f>"1552374525237780"</f>
        <v>1552374525237780</v>
      </c>
      <c r="C7809" t="s">
        <v>40</v>
      </c>
      <c r="D7809">
        <v>4.677721</v>
      </c>
      <c r="E7809">
        <v>0.43826609999999999</v>
      </c>
      <c r="F7809" t="s">
        <v>42</v>
      </c>
      <c r="G7809">
        <v>-420.80079999999998</v>
      </c>
      <c r="H7809" s="1">
        <v>-4.5553360000000004E-6</v>
      </c>
      <c r="I7809">
        <v>108.7786</v>
      </c>
      <c r="J7809">
        <v>-421.0652</v>
      </c>
      <c r="K7809">
        <v>1.1165639999999999</v>
      </c>
      <c r="L7809">
        <v>118.64</v>
      </c>
      <c r="M7809">
        <v>-0.31237740000000003</v>
      </c>
      <c r="N7809">
        <v>0</v>
      </c>
      <c r="O7809">
        <v>-0.94989570000000001</v>
      </c>
      <c r="P7809">
        <v>-0.14594649999999901</v>
      </c>
      <c r="Q7809">
        <v>2.432428E-2</v>
      </c>
      <c r="R7809">
        <v>-0.98899360000000003</v>
      </c>
      <c r="S7809">
        <v>6.097412E-2</v>
      </c>
      <c r="T7809">
        <v>-0.33849319999999999</v>
      </c>
      <c r="U7809">
        <v>-3.0546419999999999</v>
      </c>
      <c r="V7809">
        <v>-0.1708546</v>
      </c>
      <c r="W7809">
        <v>3.2318029999999998E-2</v>
      </c>
      <c r="X7809">
        <v>0.98476609999999998</v>
      </c>
      <c r="Y7809">
        <v>-0.3311344</v>
      </c>
      <c r="Z7809">
        <v>9.8760390000000003E-2</v>
      </c>
      <c r="AA7809">
        <v>0.93840100000000004</v>
      </c>
      <c r="AB7809">
        <v>26</v>
      </c>
      <c r="AC7809">
        <v>0.26440000000002301</v>
      </c>
      <c r="AD7809">
        <v>-1.1165685553360001</v>
      </c>
      <c r="AE7809">
        <v>-9.8613999999999997</v>
      </c>
      <c r="AF7809">
        <v>-3.2896843612795701</v>
      </c>
      <c r="AG7809">
        <v>-1.1165685553360001</v>
      </c>
      <c r="AH7809">
        <v>9.1678107054994804</v>
      </c>
      <c r="AI7809">
        <v>96.539584369963805</v>
      </c>
      <c r="AJ7809">
        <v>109.739502893091</v>
      </c>
      <c r="AK7809">
        <v>9.8039533693037999</v>
      </c>
      <c r="AL7809">
        <v>88.147990812859504</v>
      </c>
      <c r="AM7809">
        <v>99.842703520986504</v>
      </c>
      <c r="AN7809">
        <v>1.0000000105567199</v>
      </c>
    </row>
    <row r="7810" spans="1:40" x14ac:dyDescent="0.25">
      <c r="A7810" t="str">
        <f>"20190312150845258"</f>
        <v>20190312150845258</v>
      </c>
      <c r="B7810" t="str">
        <f>"1552374525247541"</f>
        <v>1552374525247541</v>
      </c>
      <c r="C7810" t="s">
        <v>40</v>
      </c>
      <c r="D7810">
        <v>4.6847989999999999</v>
      </c>
      <c r="E7810">
        <v>0.43874180000000002</v>
      </c>
      <c r="F7810" t="s">
        <v>42</v>
      </c>
      <c r="G7810">
        <v>-420.8365</v>
      </c>
      <c r="H7810" s="1">
        <v>-4.5347839999999997E-6</v>
      </c>
      <c r="I7810">
        <v>108.714</v>
      </c>
      <c r="J7810">
        <v>-421.11340000000001</v>
      </c>
      <c r="K7810">
        <v>1.1165750000000001</v>
      </c>
      <c r="L7810">
        <v>118.4718</v>
      </c>
      <c r="M7810">
        <v>-0.30631700000000001</v>
      </c>
      <c r="N7810">
        <v>0</v>
      </c>
      <c r="O7810">
        <v>-0.95186749999999998</v>
      </c>
      <c r="P7810">
        <v>-0.1401242</v>
      </c>
      <c r="Q7810">
        <v>2.4232900000000002E-2</v>
      </c>
      <c r="R7810">
        <v>-0.98983750000000004</v>
      </c>
      <c r="S7810">
        <v>7.0343020000000006E-2</v>
      </c>
      <c r="T7810">
        <v>-0.34334100000000001</v>
      </c>
      <c r="U7810">
        <v>-3.0522</v>
      </c>
      <c r="V7810">
        <v>-0.17037369999999999</v>
      </c>
      <c r="W7810">
        <v>3.2235109999999997E-2</v>
      </c>
      <c r="X7810">
        <v>0.98485210000000001</v>
      </c>
      <c r="Y7810">
        <v>-0.32800940000000001</v>
      </c>
      <c r="Z7810">
        <v>0.10062359999999999</v>
      </c>
      <c r="AA7810">
        <v>0.93930009999999997</v>
      </c>
      <c r="AB7810">
        <v>26</v>
      </c>
      <c r="AC7810">
        <v>0.27690000000001103</v>
      </c>
      <c r="AD7810">
        <v>-1.116579534784</v>
      </c>
      <c r="AE7810">
        <v>-9.7577999999999996</v>
      </c>
      <c r="AF7810">
        <v>-3.2107364460524601</v>
      </c>
      <c r="AG7810">
        <v>-1.116579534784</v>
      </c>
      <c r="AH7810">
        <v>9.0849932339298896</v>
      </c>
      <c r="AI7810">
        <v>96.609949682671498</v>
      </c>
      <c r="AJ7810">
        <v>109.46396786864101</v>
      </c>
      <c r="AK7810">
        <v>9.7001381662355701</v>
      </c>
      <c r="AL7810">
        <v>88.152744197971799</v>
      </c>
      <c r="AM7810">
        <v>99.814698676968803</v>
      </c>
      <c r="AN7810">
        <v>0.99999997942140495</v>
      </c>
    </row>
    <row r="7811" spans="1:40" x14ac:dyDescent="0.25">
      <c r="A7811" t="str">
        <f>"20190312150845276"</f>
        <v>20190312150845276</v>
      </c>
      <c r="B7811" t="str">
        <f>"1552374525268040"</f>
        <v>1552374525268040</v>
      </c>
      <c r="C7811" t="s">
        <v>40</v>
      </c>
      <c r="D7811">
        <v>4.6790180000000001</v>
      </c>
      <c r="E7811">
        <v>0.4391118</v>
      </c>
      <c r="F7811" t="s">
        <v>42</v>
      </c>
      <c r="G7811">
        <v>-420.82929999999999</v>
      </c>
      <c r="H7811" s="1">
        <v>-4.2774629999999997E-6</v>
      </c>
      <c r="I7811">
        <v>108.1737</v>
      </c>
      <c r="J7811">
        <v>-421.16989999999998</v>
      </c>
      <c r="K7811">
        <v>1.1165860000000001</v>
      </c>
      <c r="L7811">
        <v>118.2702</v>
      </c>
      <c r="M7811">
        <v>-0.2990506</v>
      </c>
      <c r="N7811">
        <v>0</v>
      </c>
      <c r="O7811">
        <v>-0.95417529999999995</v>
      </c>
      <c r="P7811">
        <v>-0.13286990000000001</v>
      </c>
      <c r="Q7811">
        <v>2.4504049999999999E-2</v>
      </c>
      <c r="R7811">
        <v>-0.99083100000000002</v>
      </c>
      <c r="S7811">
        <v>8.4167480000000003E-2</v>
      </c>
      <c r="T7811">
        <v>-0.3307889</v>
      </c>
      <c r="U7811">
        <v>-3.050827</v>
      </c>
      <c r="V7811">
        <v>-0.1700815</v>
      </c>
      <c r="W7811">
        <v>3.251105E-2</v>
      </c>
      <c r="X7811">
        <v>0.98489360000000004</v>
      </c>
      <c r="Y7811">
        <v>-0.32508429999999999</v>
      </c>
      <c r="Z7811">
        <v>9.7450629999999996E-2</v>
      </c>
      <c r="AA7811">
        <v>0.9406506</v>
      </c>
      <c r="AB7811">
        <v>26</v>
      </c>
      <c r="AC7811">
        <v>0.34059999999999402</v>
      </c>
      <c r="AD7811">
        <v>-1.1165902774629901</v>
      </c>
      <c r="AE7811">
        <v>-10.096500000000001</v>
      </c>
      <c r="AF7811">
        <v>-3.3041881179112198</v>
      </c>
      <c r="AG7811">
        <v>-1.1165902774629901</v>
      </c>
      <c r="AH7811">
        <v>9.4174877159592896</v>
      </c>
      <c r="AI7811">
        <v>96.383661673595398</v>
      </c>
      <c r="AJ7811">
        <v>109.333760131126</v>
      </c>
      <c r="AK7811">
        <v>10.0425847194093</v>
      </c>
      <c r="AL7811">
        <v>88.1369258296764</v>
      </c>
      <c r="AM7811">
        <v>99.797787620181595</v>
      </c>
      <c r="AN7811">
        <v>1.00000004416765</v>
      </c>
    </row>
    <row r="7812" spans="1:40" x14ac:dyDescent="0.25">
      <c r="A7812" t="str">
        <f>"20190312150845299"</f>
        <v>20190312150845299</v>
      </c>
      <c r="B7812" t="str">
        <f>"1552374525287557"</f>
        <v>1552374525287557</v>
      </c>
      <c r="C7812" t="s">
        <v>40</v>
      </c>
      <c r="D7812">
        <v>4.6471939999999998</v>
      </c>
      <c r="E7812">
        <v>0.44387219999999999</v>
      </c>
      <c r="F7812" t="s">
        <v>42</v>
      </c>
      <c r="G7812">
        <v>-420.81400000000002</v>
      </c>
      <c r="H7812" s="1">
        <v>-4.0911830000000001E-6</v>
      </c>
      <c r="I7812">
        <v>107.78830000000001</v>
      </c>
      <c r="J7812">
        <v>-421.23700000000002</v>
      </c>
      <c r="K7812">
        <v>1.116601</v>
      </c>
      <c r="L7812">
        <v>118.0222</v>
      </c>
      <c r="M7812">
        <v>-0.29010960000000002</v>
      </c>
      <c r="N7812">
        <v>0</v>
      </c>
      <c r="O7812">
        <v>-0.95693119999999998</v>
      </c>
      <c r="P7812">
        <v>-0.1239966</v>
      </c>
      <c r="Q7812">
        <v>2.4412779999999999E-2</v>
      </c>
      <c r="R7812">
        <v>-0.99198229999999998</v>
      </c>
      <c r="S7812">
        <v>0.1035461</v>
      </c>
      <c r="T7812">
        <v>-0.32487059999999901</v>
      </c>
      <c r="U7812">
        <v>-3.0496979999999998</v>
      </c>
      <c r="V7812">
        <v>-0.16968179999999999</v>
      </c>
      <c r="W7812">
        <v>3.2427169999999998E-2</v>
      </c>
      <c r="X7812">
        <v>0.98496530000000004</v>
      </c>
      <c r="Y7812">
        <v>-0.32222469999999998</v>
      </c>
      <c r="Z7812">
        <v>9.6239569999999997E-2</v>
      </c>
      <c r="AA7812">
        <v>0.9417586</v>
      </c>
      <c r="AB7812">
        <v>26</v>
      </c>
      <c r="AC7812">
        <v>0.42299999999994498</v>
      </c>
      <c r="AD7812">
        <v>-1.1166050911830001</v>
      </c>
      <c r="AE7812">
        <v>-10.233899999999901</v>
      </c>
      <c r="AF7812">
        <v>-3.3343093454011798</v>
      </c>
      <c r="AG7812">
        <v>-1.1166050911830001</v>
      </c>
      <c r="AH7812">
        <v>9.5574140828945797</v>
      </c>
      <c r="AI7812">
        <v>96.294901377352801</v>
      </c>
      <c r="AJ7812">
        <v>109.232423701926</v>
      </c>
      <c r="AK7812">
        <v>10.1837414388031</v>
      </c>
      <c r="AL7812">
        <v>88.141734324073198</v>
      </c>
      <c r="AM7812">
        <v>99.774509197693604</v>
      </c>
      <c r="AN7812">
        <v>1.00000003840476</v>
      </c>
    </row>
    <row r="7813" spans="1:40" x14ac:dyDescent="0.25">
      <c r="A7813" t="str">
        <f>"20190312150845314"</f>
        <v>20190312150845314</v>
      </c>
      <c r="B7813" t="str">
        <f>"1552374525308052"</f>
        <v>1552374525308052</v>
      </c>
      <c r="C7813" t="s">
        <v>40</v>
      </c>
      <c r="D7813">
        <v>4.6746509999999999</v>
      </c>
      <c r="E7813">
        <v>0.44460759999999999</v>
      </c>
      <c r="F7813" t="s">
        <v>42</v>
      </c>
      <c r="G7813">
        <v>-420.80430000000001</v>
      </c>
      <c r="H7813" s="1">
        <v>-1.849177E-6</v>
      </c>
      <c r="I7813">
        <v>103.0508</v>
      </c>
      <c r="J7813">
        <v>-421.28190000000001</v>
      </c>
      <c r="K7813">
        <v>1.116611</v>
      </c>
      <c r="L7813">
        <v>117.8511</v>
      </c>
      <c r="M7813">
        <v>-0.28393970000000002</v>
      </c>
      <c r="N7813">
        <v>0</v>
      </c>
      <c r="O7813">
        <v>-0.95878030000000003</v>
      </c>
      <c r="P7813">
        <v>-0.1178934</v>
      </c>
      <c r="Q7813">
        <v>2.4679980000000001E-2</v>
      </c>
      <c r="R7813">
        <v>-0.99271989999999999</v>
      </c>
      <c r="S7813">
        <v>8.7890629999999997E-2</v>
      </c>
      <c r="T7813">
        <v>-0.2267914</v>
      </c>
      <c r="U7813">
        <v>-3.0408170000000001</v>
      </c>
      <c r="V7813">
        <v>-0.16939799999999999</v>
      </c>
      <c r="W7813">
        <v>3.2699310000000002E-2</v>
      </c>
      <c r="X7813">
        <v>0.98500509999999997</v>
      </c>
      <c r="Y7813">
        <v>-0.31145080000000003</v>
      </c>
      <c r="Z7813">
        <v>6.7917169999999999E-2</v>
      </c>
      <c r="AA7813">
        <v>0.94783200000000001</v>
      </c>
      <c r="AB7813">
        <v>26</v>
      </c>
      <c r="AC7813">
        <v>0.47759999999999497</v>
      </c>
      <c r="AD7813">
        <v>-1.116612849177</v>
      </c>
      <c r="AE7813">
        <v>-14.8003</v>
      </c>
      <c r="AF7813">
        <v>-4.63423198733999</v>
      </c>
      <c r="AG7813">
        <v>-1.116612849177</v>
      </c>
      <c r="AH7813">
        <v>13.975991403454</v>
      </c>
      <c r="AI7813">
        <v>94.336713207814</v>
      </c>
      <c r="AJ7813">
        <v>108.34475730654</v>
      </c>
      <c r="AK7813">
        <v>14.7665590466043</v>
      </c>
      <c r="AL7813">
        <v>88.126133481679602</v>
      </c>
      <c r="AM7813">
        <v>99.758088778471404</v>
      </c>
      <c r="AN7813">
        <v>0.99999998715224203</v>
      </c>
    </row>
    <row r="7814" spans="1:40" x14ac:dyDescent="0.25">
      <c r="A7814" t="str">
        <f>"20190312150845333"</f>
        <v>20190312150845333</v>
      </c>
      <c r="B7814" t="str">
        <f>"1552374525327572"</f>
        <v>1552374525327572</v>
      </c>
      <c r="C7814" t="s">
        <v>40</v>
      </c>
      <c r="D7814">
        <v>4.6623469999999996</v>
      </c>
      <c r="E7814">
        <v>0.44548480000000001</v>
      </c>
      <c r="F7814" t="s">
        <v>42</v>
      </c>
      <c r="G7814">
        <v>-420.78859999999997</v>
      </c>
      <c r="H7814" s="1">
        <v>-1.8202839999999999E-6</v>
      </c>
      <c r="I7814">
        <v>102.99850000000001</v>
      </c>
      <c r="J7814">
        <v>-421.33609999999999</v>
      </c>
      <c r="K7814">
        <v>1.116625</v>
      </c>
      <c r="L7814">
        <v>117.6386</v>
      </c>
      <c r="M7814">
        <v>-0.27627299999999999</v>
      </c>
      <c r="N7814">
        <v>0</v>
      </c>
      <c r="O7814">
        <v>-0.96101729999999996</v>
      </c>
      <c r="P7814">
        <v>-0.11034480000000001</v>
      </c>
      <c r="Q7814">
        <v>2.5026449999999999E-2</v>
      </c>
      <c r="R7814">
        <v>-0.99357830000000003</v>
      </c>
      <c r="S7814">
        <v>0.1009521</v>
      </c>
      <c r="T7814">
        <v>-0.2285227</v>
      </c>
      <c r="U7814">
        <v>-3.0396879999999999</v>
      </c>
      <c r="V7814">
        <v>-0.16902220000000001</v>
      </c>
      <c r="W7814">
        <v>3.3052930000000001E-2</v>
      </c>
      <c r="X7814">
        <v>0.98505790000000004</v>
      </c>
      <c r="Y7814">
        <v>-0.30793730000000002</v>
      </c>
      <c r="Z7814">
        <v>6.8747269999999999E-2</v>
      </c>
      <c r="AA7814">
        <v>0.94891959999999997</v>
      </c>
      <c r="AB7814">
        <v>26</v>
      </c>
      <c r="AC7814">
        <v>0.54750000000001298</v>
      </c>
      <c r="AD7814">
        <v>-1.116626820284</v>
      </c>
      <c r="AE7814">
        <v>-14.640099999999901</v>
      </c>
      <c r="AF7814">
        <v>-4.54469194599967</v>
      </c>
      <c r="AG7814">
        <v>-1.116626820284</v>
      </c>
      <c r="AH7814">
        <v>13.838566085398201</v>
      </c>
      <c r="AI7814">
        <v>94.383794396755903</v>
      </c>
      <c r="AJ7814">
        <v>108.180579480858</v>
      </c>
      <c r="AK7814">
        <v>14.6084561689367</v>
      </c>
      <c r="AL7814">
        <v>88.105861676938702</v>
      </c>
      <c r="AM7814">
        <v>99.736343921838795</v>
      </c>
      <c r="AN7814">
        <v>1.00000003331341</v>
      </c>
    </row>
    <row r="7815" spans="1:40" x14ac:dyDescent="0.25">
      <c r="A7815" t="str">
        <f>"20190312150845355"</f>
        <v>20190312150845355</v>
      </c>
      <c r="B7815" t="str">
        <f>"1552374525348069"</f>
        <v>1552374525348069</v>
      </c>
      <c r="C7815" t="s">
        <v>40</v>
      </c>
      <c r="D7815">
        <v>4.6460169999999996</v>
      </c>
      <c r="E7815">
        <v>0.44579839999999998</v>
      </c>
      <c r="F7815" t="s">
        <v>42</v>
      </c>
      <c r="G7815">
        <v>-420.77449999999999</v>
      </c>
      <c r="H7815" s="1">
        <v>-1.854249E-6</v>
      </c>
      <c r="I7815">
        <v>103.0783</v>
      </c>
      <c r="J7815">
        <v>-421.39749999999998</v>
      </c>
      <c r="K7815">
        <v>1.116641</v>
      </c>
      <c r="L7815">
        <v>117.3883</v>
      </c>
      <c r="M7815">
        <v>-0.2672448</v>
      </c>
      <c r="N7815">
        <v>0</v>
      </c>
      <c r="O7815">
        <v>-0.96356699999999995</v>
      </c>
      <c r="P7815">
        <v>-0.10203139999999999</v>
      </c>
      <c r="Q7815">
        <v>2.5173310000000001E-2</v>
      </c>
      <c r="R7815">
        <v>-0.99446279999999998</v>
      </c>
      <c r="S7815">
        <v>0.1171875</v>
      </c>
      <c r="T7815">
        <v>-0.23300589999999999</v>
      </c>
      <c r="U7815">
        <v>-3.038284</v>
      </c>
      <c r="V7815">
        <v>-0.16802120000000001</v>
      </c>
      <c r="W7815">
        <v>3.3218289999999998E-2</v>
      </c>
      <c r="X7815">
        <v>0.98522350000000003</v>
      </c>
      <c r="Y7815">
        <v>-0.30408359999999901</v>
      </c>
      <c r="Z7815">
        <v>7.0452829999999994E-2</v>
      </c>
      <c r="AA7815">
        <v>0.95003660000000001</v>
      </c>
      <c r="AB7815">
        <v>26</v>
      </c>
      <c r="AC7815">
        <v>0.62299999999999001</v>
      </c>
      <c r="AD7815">
        <v>-1.1166428542489999</v>
      </c>
      <c r="AE7815">
        <v>-14.31</v>
      </c>
      <c r="AF7815">
        <v>-4.3981086635325797</v>
      </c>
      <c r="AG7815">
        <v>-1.1166428542489999</v>
      </c>
      <c r="AH7815">
        <v>13.5406660792981</v>
      </c>
      <c r="AI7815">
        <v>94.484658489749094</v>
      </c>
      <c r="AJ7815">
        <v>107.99418056913299</v>
      </c>
      <c r="AK7815">
        <v>14.2807523944377</v>
      </c>
      <c r="AL7815">
        <v>88.096381905160797</v>
      </c>
      <c r="AM7815">
        <v>99.678180236119999</v>
      </c>
      <c r="AN7815">
        <v>0.99999996169610605</v>
      </c>
    </row>
    <row r="7816" spans="1:40" x14ac:dyDescent="0.25">
      <c r="A7816" t="str">
        <f>"20190312150845389"</f>
        <v>20190312150845389</v>
      </c>
      <c r="B7816" t="str">
        <f>"1552374525377349"</f>
        <v>1552374525377349</v>
      </c>
      <c r="C7816" t="s">
        <v>40</v>
      </c>
      <c r="D7816">
        <v>4.6306830000000003</v>
      </c>
      <c r="E7816">
        <v>0.45264490000000002</v>
      </c>
      <c r="F7816" t="s">
        <v>42</v>
      </c>
      <c r="G7816">
        <v>-420.73250000000002</v>
      </c>
      <c r="H7816" s="1">
        <v>-1.8055440000000001E-6</v>
      </c>
      <c r="I7816">
        <v>102.99890000000001</v>
      </c>
      <c r="J7816">
        <v>-421.48500000000001</v>
      </c>
      <c r="K7816">
        <v>1.1166670000000001</v>
      </c>
      <c r="L7816">
        <v>117.0136</v>
      </c>
      <c r="M7816">
        <v>-0.25372220000000001</v>
      </c>
      <c r="N7816">
        <v>0</v>
      </c>
      <c r="O7816">
        <v>-0.96721559999999995</v>
      </c>
      <c r="P7816">
        <v>-8.9301770000000003E-2</v>
      </c>
      <c r="Q7816">
        <v>2.5520939999999999E-2</v>
      </c>
      <c r="R7816">
        <v>-0.99567779999999995</v>
      </c>
      <c r="S7816">
        <v>0.14035029999999901</v>
      </c>
      <c r="T7816">
        <v>-0.23568210000000001</v>
      </c>
      <c r="U7816">
        <v>-3.0370789999999999</v>
      </c>
      <c r="V7816">
        <v>-0.16682900000000001</v>
      </c>
      <c r="W7816">
        <v>3.3588600000000003E-2</v>
      </c>
      <c r="X7816">
        <v>0.9854136</v>
      </c>
      <c r="Y7816">
        <v>-0.29797849999999998</v>
      </c>
      <c r="Z7816">
        <v>7.1771039999999994E-2</v>
      </c>
      <c r="AA7816">
        <v>0.95187069999999996</v>
      </c>
      <c r="AB7816">
        <v>26</v>
      </c>
      <c r="AC7816">
        <v>0.75249999999999695</v>
      </c>
      <c r="AD7816">
        <v>-1.1166688055439999</v>
      </c>
      <c r="AE7816">
        <v>-14.0146999999999</v>
      </c>
      <c r="AF7816">
        <v>-4.25697686742207</v>
      </c>
      <c r="AG7816">
        <v>-1.1166688055439999</v>
      </c>
      <c r="AH7816">
        <v>13.2810317590287</v>
      </c>
      <c r="AI7816">
        <v>94.577761642330401</v>
      </c>
      <c r="AJ7816">
        <v>107.77224378302699</v>
      </c>
      <c r="AK7816">
        <v>13.991233178507599</v>
      </c>
      <c r="AL7816">
        <v>88.075153000647404</v>
      </c>
      <c r="AM7816">
        <v>99.608974247911803</v>
      </c>
      <c r="AN7816">
        <v>1.00000003617795</v>
      </c>
    </row>
    <row r="7817" spans="1:40" x14ac:dyDescent="0.25">
      <c r="A7817" t="str">
        <f>"20190312150845411"</f>
        <v>20190312150845411</v>
      </c>
      <c r="B7817" t="str">
        <f>"1552374525407605"</f>
        <v>1552374525407605</v>
      </c>
      <c r="C7817" t="s">
        <v>40</v>
      </c>
      <c r="D7817">
        <v>4.6470060000000002</v>
      </c>
      <c r="E7817">
        <v>0.45343939999999999</v>
      </c>
      <c r="F7817" t="s">
        <v>42</v>
      </c>
      <c r="G7817">
        <v>-420.88819999999998</v>
      </c>
      <c r="H7817" s="1">
        <v>-1.5977280000000001E-6</v>
      </c>
      <c r="I7817">
        <v>102.4716</v>
      </c>
      <c r="J7817">
        <v>-421.541</v>
      </c>
      <c r="K7817">
        <v>1.1166830000000001</v>
      </c>
      <c r="L7817">
        <v>116.7595</v>
      </c>
      <c r="M7817">
        <v>-0.2445515</v>
      </c>
      <c r="N7817">
        <v>0</v>
      </c>
      <c r="O7817">
        <v>-0.96957470000000001</v>
      </c>
      <c r="P7817">
        <v>-8.0539230000000003E-2</v>
      </c>
      <c r="Q7817">
        <v>2.59279E-2</v>
      </c>
      <c r="R7817">
        <v>-0.99641420000000003</v>
      </c>
      <c r="S7817">
        <v>0.1243591</v>
      </c>
      <c r="T7817">
        <v>-0.23268069999999999</v>
      </c>
      <c r="U7817">
        <v>-3.0301209999999998</v>
      </c>
      <c r="V7817">
        <v>-0.16617109999999999</v>
      </c>
      <c r="W7817">
        <v>3.4007969999999998E-2</v>
      </c>
      <c r="X7817">
        <v>0.98551029999999995</v>
      </c>
      <c r="Y7817">
        <v>-0.28399849999999999</v>
      </c>
      <c r="Z7817">
        <v>7.1467030000000001E-2</v>
      </c>
      <c r="AA7817">
        <v>0.95615760000000005</v>
      </c>
      <c r="AB7817">
        <v>26</v>
      </c>
      <c r="AC7817">
        <v>0.65280000000001304</v>
      </c>
      <c r="AD7817">
        <v>-1.116684597728</v>
      </c>
      <c r="AE7817">
        <v>-14.2879</v>
      </c>
      <c r="AF7817">
        <v>-4.1023061419219999</v>
      </c>
      <c r="AG7817">
        <v>-1.116684597728</v>
      </c>
      <c r="AH7817">
        <v>13.6113911530651</v>
      </c>
      <c r="AI7817">
        <v>94.491385737529498</v>
      </c>
      <c r="AJ7817">
        <v>106.772161742072</v>
      </c>
      <c r="AK7817">
        <v>14.259939315950501</v>
      </c>
      <c r="AL7817">
        <v>88.051110993747599</v>
      </c>
      <c r="AM7817">
        <v>99.570861329187906</v>
      </c>
      <c r="AN7817">
        <v>0.99999996395240898</v>
      </c>
    </row>
    <row r="7818" spans="1:40" x14ac:dyDescent="0.25">
      <c r="A7818" t="str">
        <f>"20190312150845432"</f>
        <v>20190312150845432</v>
      </c>
      <c r="B7818" t="str">
        <f>"1552374525428104"</f>
        <v>1552374525428104</v>
      </c>
      <c r="C7818" t="s">
        <v>40</v>
      </c>
      <c r="D7818">
        <v>4.7476240000000001</v>
      </c>
      <c r="E7818">
        <v>0.45408199999999999</v>
      </c>
      <c r="F7818" t="s">
        <v>42</v>
      </c>
      <c r="G7818">
        <v>-420.86309999999997</v>
      </c>
      <c r="H7818" s="1">
        <v>-1.6352090000000001E-6</v>
      </c>
      <c r="I7818">
        <v>102.5651</v>
      </c>
      <c r="J7818">
        <v>-421.59469999999999</v>
      </c>
      <c r="K7818">
        <v>1.1166990000000001</v>
      </c>
      <c r="L7818">
        <v>116.50490000000001</v>
      </c>
      <c r="M7818">
        <v>-0.2353625</v>
      </c>
      <c r="N7818">
        <v>0</v>
      </c>
      <c r="O7818">
        <v>-0.97184599999999999</v>
      </c>
      <c r="P7818">
        <v>-7.2278369999999995E-2</v>
      </c>
      <c r="Q7818">
        <v>2.6519270000000001E-2</v>
      </c>
      <c r="R7818">
        <v>-0.99703189999999997</v>
      </c>
      <c r="S7818">
        <v>0.14465329999999901</v>
      </c>
      <c r="T7818">
        <v>-0.23826800000000001</v>
      </c>
      <c r="U7818">
        <v>-3.0286870000000001</v>
      </c>
      <c r="V7818">
        <v>-0.1650171</v>
      </c>
      <c r="W7818">
        <v>3.4621300000000001E-2</v>
      </c>
      <c r="X7818">
        <v>0.98568279999999997</v>
      </c>
      <c r="Y7818">
        <v>-0.28132740000000001</v>
      </c>
      <c r="Z7818">
        <v>7.3493859999999994E-2</v>
      </c>
      <c r="AA7818">
        <v>0.95679340000000002</v>
      </c>
      <c r="AB7818">
        <v>26</v>
      </c>
      <c r="AC7818">
        <v>0.73160000000001402</v>
      </c>
      <c r="AD7818">
        <v>-1.1167006352090001</v>
      </c>
      <c r="AE7818">
        <v>-13.9398</v>
      </c>
      <c r="AF7818">
        <v>-3.9667614919079002</v>
      </c>
      <c r="AG7818">
        <v>-1.1167006352090001</v>
      </c>
      <c r="AH7818">
        <v>13.2908902855789</v>
      </c>
      <c r="AI7818">
        <v>94.602993451970406</v>
      </c>
      <c r="AJ7818">
        <v>106.618111039646</v>
      </c>
      <c r="AK7818">
        <v>13.9150990519527</v>
      </c>
      <c r="AL7818">
        <v>88.015948996428094</v>
      </c>
      <c r="AM7818">
        <v>99.503978910932901</v>
      </c>
      <c r="AN7818">
        <v>0.99999992996096698</v>
      </c>
    </row>
    <row r="7819" spans="1:40" x14ac:dyDescent="0.25">
      <c r="A7819" t="str">
        <f>"20190312150845455"</f>
        <v>20190312150845455</v>
      </c>
      <c r="B7819" t="str">
        <f>"1552374525447624"</f>
        <v>1552374525447624</v>
      </c>
      <c r="C7819" t="s">
        <v>40</v>
      </c>
      <c r="D7819">
        <v>4.6060549999999996</v>
      </c>
      <c r="E7819">
        <v>0.45551029999999998</v>
      </c>
      <c r="F7819" t="s">
        <v>42</v>
      </c>
      <c r="G7819">
        <v>-420.81569999999999</v>
      </c>
      <c r="H7819" s="1">
        <v>-1.446968E-6</v>
      </c>
      <c r="I7819">
        <v>102.1935</v>
      </c>
      <c r="J7819">
        <v>-421.64679999999998</v>
      </c>
      <c r="K7819">
        <v>1.1167020000000001</v>
      </c>
      <c r="L7819">
        <v>116.2457</v>
      </c>
      <c r="M7819">
        <v>-0.2260191</v>
      </c>
      <c r="N7819">
        <v>0</v>
      </c>
      <c r="O7819">
        <v>-0.97406150000000002</v>
      </c>
      <c r="P7819">
        <v>-6.3689889999999999E-2</v>
      </c>
      <c r="Q7819">
        <v>2.7352560000000001E-2</v>
      </c>
      <c r="R7819">
        <v>-0.99759469999999995</v>
      </c>
      <c r="S7819">
        <v>0.16476440000000001</v>
      </c>
      <c r="T7819">
        <v>-0.23620569999999999</v>
      </c>
      <c r="U7819">
        <v>-3.027161</v>
      </c>
      <c r="V7819">
        <v>-0.16404859999999999</v>
      </c>
      <c r="W7819">
        <v>3.5474779999999997E-2</v>
      </c>
      <c r="X7819">
        <v>0.98581419999999997</v>
      </c>
      <c r="Y7819">
        <v>-0.27847709999999998</v>
      </c>
      <c r="Z7819">
        <v>7.317601E-2</v>
      </c>
      <c r="AA7819">
        <v>0.95765120000000004</v>
      </c>
      <c r="AB7819">
        <v>26</v>
      </c>
      <c r="AC7819">
        <v>0.83109999999999196</v>
      </c>
      <c r="AD7819">
        <v>-1.1167034469679999</v>
      </c>
      <c r="AE7819">
        <v>-14.052199999999999</v>
      </c>
      <c r="AF7819">
        <v>-3.9609195885078301</v>
      </c>
      <c r="AG7819">
        <v>-1.1167034469679999</v>
      </c>
      <c r="AH7819">
        <v>13.4162387497203</v>
      </c>
      <c r="AI7819">
        <v>94.564176697461207</v>
      </c>
      <c r="AJ7819">
        <v>106.448352064598</v>
      </c>
      <c r="AK7819">
        <v>14.033223890631501</v>
      </c>
      <c r="AL7819">
        <v>87.967018311114202</v>
      </c>
      <c r="AM7819">
        <v>99.447971245351496</v>
      </c>
      <c r="AN7819">
        <v>1.00000002004982</v>
      </c>
    </row>
    <row r="7820" spans="1:40" x14ac:dyDescent="0.25">
      <c r="A7820" t="str">
        <f>"20190312150845477"</f>
        <v>20190312150845477</v>
      </c>
      <c r="B7820" t="str">
        <f>"1552374525468116"</f>
        <v>1552374525468116</v>
      </c>
      <c r="C7820" t="s">
        <v>40</v>
      </c>
      <c r="D7820">
        <v>4.6486349999999996</v>
      </c>
      <c r="E7820">
        <v>0.45680510000000002</v>
      </c>
      <c r="F7820" t="s">
        <v>42</v>
      </c>
      <c r="G7820">
        <v>-420.77</v>
      </c>
      <c r="H7820" s="1">
        <v>-1.0591050000000001E-6</v>
      </c>
      <c r="I7820">
        <v>101.39870000000001</v>
      </c>
      <c r="J7820">
        <v>-421.69490000000002</v>
      </c>
      <c r="K7820">
        <v>1.1166879999999999</v>
      </c>
      <c r="L7820">
        <v>115.99460000000001</v>
      </c>
      <c r="M7820">
        <v>-0.21699499999999999</v>
      </c>
      <c r="N7820">
        <v>0</v>
      </c>
      <c r="O7820">
        <v>-0.97611119999999996</v>
      </c>
      <c r="P7820">
        <v>-5.5470110000000003E-2</v>
      </c>
      <c r="Q7820">
        <v>2.7328559999999998E-2</v>
      </c>
      <c r="R7820">
        <v>-0.99808629999999998</v>
      </c>
      <c r="S7820">
        <v>0.1786499</v>
      </c>
      <c r="T7820">
        <v>-0.2275132</v>
      </c>
      <c r="U7820">
        <v>-3.0248569999999999</v>
      </c>
      <c r="V7820">
        <v>-0.16304489999999999</v>
      </c>
      <c r="W7820">
        <v>3.5474319999999997E-2</v>
      </c>
      <c r="X7820">
        <v>0.98598070000000004</v>
      </c>
      <c r="Y7820">
        <v>-0.27401999999999999</v>
      </c>
      <c r="Z7820">
        <v>7.082099E-2</v>
      </c>
      <c r="AA7820">
        <v>0.95911279999999999</v>
      </c>
      <c r="AB7820">
        <v>26</v>
      </c>
      <c r="AC7820">
        <v>0.92490000000003603</v>
      </c>
      <c r="AD7820">
        <v>-1.1166890591049901</v>
      </c>
      <c r="AE7820">
        <v>-14.5959</v>
      </c>
      <c r="AF7820">
        <v>-4.0466950900231096</v>
      </c>
      <c r="AG7820">
        <v>-1.1166890591049901</v>
      </c>
      <c r="AH7820">
        <v>13.965946014442499</v>
      </c>
      <c r="AI7820">
        <v>94.391639842486995</v>
      </c>
      <c r="AJ7820">
        <v>106.159180915565</v>
      </c>
      <c r="AK7820">
        <v>14.583222678292501</v>
      </c>
      <c r="AL7820">
        <v>87.967044650689999</v>
      </c>
      <c r="AM7820">
        <v>99.389640868878303</v>
      </c>
      <c r="AN7820">
        <v>1.00000000378398</v>
      </c>
    </row>
    <row r="7821" spans="1:40" x14ac:dyDescent="0.25">
      <c r="A7821" t="str">
        <f>"20190312150845500"</f>
        <v>20190312150845500</v>
      </c>
      <c r="B7821" t="str">
        <f>"1552374525497397"</f>
        <v>1552374525497397</v>
      </c>
      <c r="C7821" t="s">
        <v>40</v>
      </c>
      <c r="D7821">
        <v>4.6158890000000001</v>
      </c>
      <c r="E7821">
        <v>0.45848250000000002</v>
      </c>
      <c r="F7821" t="s">
        <v>42</v>
      </c>
      <c r="G7821">
        <v>-420.73829999999998</v>
      </c>
      <c r="H7821" s="1">
        <v>-8.7178969999999997E-7</v>
      </c>
      <c r="I7821">
        <v>101.02030000000001</v>
      </c>
      <c r="J7821">
        <v>-421.74239999999998</v>
      </c>
      <c r="K7821">
        <v>1.116668</v>
      </c>
      <c r="L7821">
        <v>115.7343</v>
      </c>
      <c r="M7821">
        <v>-0.20768880000000001</v>
      </c>
      <c r="N7821">
        <v>0</v>
      </c>
      <c r="O7821">
        <v>-0.97813360000000005</v>
      </c>
      <c r="P7821">
        <v>-4.7287709999999997E-2</v>
      </c>
      <c r="Q7821">
        <v>2.625626E-2</v>
      </c>
      <c r="R7821">
        <v>-0.99853610000000004</v>
      </c>
      <c r="S7821">
        <v>0.19311519999999999</v>
      </c>
      <c r="T7821">
        <v>-0.2254119</v>
      </c>
      <c r="U7821">
        <v>-3.022659</v>
      </c>
      <c r="V7821">
        <v>-0.16172249999999999</v>
      </c>
      <c r="W7821">
        <v>3.4435920000000002E-2</v>
      </c>
      <c r="X7821">
        <v>0.98623530000000004</v>
      </c>
      <c r="Y7821">
        <v>-0.26947470000000001</v>
      </c>
      <c r="Z7821">
        <v>7.0484000000000005E-2</v>
      </c>
      <c r="AA7821">
        <v>0.96042459999999996</v>
      </c>
      <c r="AB7821">
        <v>26</v>
      </c>
      <c r="AC7821">
        <v>1.00409999999999</v>
      </c>
      <c r="AD7821">
        <v>-1.1166688717897</v>
      </c>
      <c r="AE7821">
        <v>-14.714</v>
      </c>
      <c r="AF7821">
        <v>-4.01530024331782</v>
      </c>
      <c r="AG7821">
        <v>-1.1166688717897</v>
      </c>
      <c r="AH7821">
        <v>14.1037144376672</v>
      </c>
      <c r="AI7821">
        <v>94.354644348725898</v>
      </c>
      <c r="AJ7821">
        <v>105.89155078261901</v>
      </c>
      <c r="AK7821">
        <v>14.7066089345055</v>
      </c>
      <c r="AL7821">
        <v>88.026577030036805</v>
      </c>
      <c r="AM7821">
        <v>99.312462382501593</v>
      </c>
      <c r="AN7821">
        <v>1.00000003327929</v>
      </c>
    </row>
    <row r="7822" spans="1:40" x14ac:dyDescent="0.25">
      <c r="A7822" t="str">
        <f>"20190312150845523"</f>
        <v>20190312150845523</v>
      </c>
      <c r="B7822" t="str">
        <f>"1552374525517892"</f>
        <v>1552374525517892</v>
      </c>
      <c r="C7822" t="s">
        <v>40</v>
      </c>
      <c r="D7822">
        <v>4.8296239999999999</v>
      </c>
      <c r="E7822">
        <v>0.45897009999999999</v>
      </c>
      <c r="F7822" t="s">
        <v>42</v>
      </c>
      <c r="G7822">
        <v>-420.70780000000002</v>
      </c>
      <c r="H7822" s="1">
        <v>-5.6819860000000002E-7</v>
      </c>
      <c r="I7822">
        <v>100.3952</v>
      </c>
      <c r="J7822">
        <v>-421.7885</v>
      </c>
      <c r="K7822">
        <v>1.1166229999999999</v>
      </c>
      <c r="L7822">
        <v>115.46680000000001</v>
      </c>
      <c r="M7822">
        <v>-0.19819580000000001</v>
      </c>
      <c r="N7822">
        <v>0</v>
      </c>
      <c r="O7822">
        <v>-0.98010129999999995</v>
      </c>
      <c r="P7822">
        <v>-3.9655759999999998E-2</v>
      </c>
      <c r="Q7822">
        <v>2.568991E-2</v>
      </c>
      <c r="R7822">
        <v>-0.99888319999999997</v>
      </c>
      <c r="S7822">
        <v>0.2036743</v>
      </c>
      <c r="T7822">
        <v>-0.2198397</v>
      </c>
      <c r="U7822">
        <v>-3.0198209999999999</v>
      </c>
      <c r="V7822">
        <v>-0.15968679999999999</v>
      </c>
      <c r="W7822">
        <v>3.3921239999999998E-2</v>
      </c>
      <c r="X7822">
        <v>0.98658480000000004</v>
      </c>
      <c r="Y7822">
        <v>-0.26354300000000003</v>
      </c>
      <c r="Z7822">
        <v>6.9080939999999993E-2</v>
      </c>
      <c r="AA7822">
        <v>0.962171</v>
      </c>
      <c r="AB7822">
        <v>26</v>
      </c>
      <c r="AC7822">
        <v>1.08069999999997</v>
      </c>
      <c r="AD7822">
        <v>-1.1166235681986001</v>
      </c>
      <c r="AE7822">
        <v>-15.0716</v>
      </c>
      <c r="AF7822">
        <v>-4.0245877808025501</v>
      </c>
      <c r="AG7822">
        <v>-1.1166235681986001</v>
      </c>
      <c r="AH7822">
        <v>14.4793064417671</v>
      </c>
      <c r="AI7822">
        <v>94.249368133624301</v>
      </c>
      <c r="AJ7822">
        <v>105.533508478182</v>
      </c>
      <c r="AK7822">
        <v>15.0696539453645</v>
      </c>
      <c r="AL7822">
        <v>88.056083285382499</v>
      </c>
      <c r="AM7822">
        <v>99.194053960431404</v>
      </c>
      <c r="AN7822">
        <v>1.0000000461042</v>
      </c>
    </row>
    <row r="7823" spans="1:40" x14ac:dyDescent="0.25">
      <c r="A7823" t="str">
        <f>"20190312150845546"</f>
        <v>20190312150845546</v>
      </c>
      <c r="B7823" t="str">
        <f>"1552374525537413"</f>
        <v>1552374525537413</v>
      </c>
      <c r="C7823" t="s">
        <v>40</v>
      </c>
      <c r="D7823">
        <v>4.8045359999999997</v>
      </c>
      <c r="E7823">
        <v>0.46980250000000001</v>
      </c>
      <c r="F7823" t="s">
        <v>42</v>
      </c>
      <c r="G7823">
        <v>-420.6395</v>
      </c>
      <c r="H7823" s="1">
        <v>-3.0843859999999998E-7</v>
      </c>
      <c r="I7823">
        <v>99.884180000000001</v>
      </c>
      <c r="J7823">
        <v>-421.83010000000002</v>
      </c>
      <c r="K7823">
        <v>1.1165609999999999</v>
      </c>
      <c r="L7823">
        <v>115.21169999999999</v>
      </c>
      <c r="M7823">
        <v>-0.18925400000000001</v>
      </c>
      <c r="N7823">
        <v>0</v>
      </c>
      <c r="O7823">
        <v>-0.98186719999999905</v>
      </c>
      <c r="P7823">
        <v>-3.205914E-2</v>
      </c>
      <c r="Q7823">
        <v>2.6642860000000001E-2</v>
      </c>
      <c r="R7823">
        <v>-0.99913110000000005</v>
      </c>
      <c r="S7823">
        <v>0.22253419999999999</v>
      </c>
      <c r="T7823">
        <v>-0.21624699999999999</v>
      </c>
      <c r="U7823">
        <v>-3.0177459999999998</v>
      </c>
      <c r="V7823">
        <v>-0.1582016</v>
      </c>
      <c r="W7823">
        <v>3.4920100000000003E-2</v>
      </c>
      <c r="X7823">
        <v>0.98678920000000003</v>
      </c>
      <c r="Y7823">
        <v>-0.26078299999999999</v>
      </c>
      <c r="Z7823">
        <v>6.8205160000000001E-2</v>
      </c>
      <c r="AA7823">
        <v>0.96298510000000004</v>
      </c>
      <c r="AB7823">
        <v>27</v>
      </c>
      <c r="AC7823">
        <v>1.1906000000000101</v>
      </c>
      <c r="AD7823">
        <v>-1.1165613084385999</v>
      </c>
      <c r="AE7823">
        <v>-15.3275199999999</v>
      </c>
      <c r="AF7823">
        <v>-4.0486930247740398</v>
      </c>
      <c r="AG7823">
        <v>-1.1165613084385999</v>
      </c>
      <c r="AH7823">
        <v>14.7473609469194</v>
      </c>
      <c r="AI7823">
        <v>94.175821615114003</v>
      </c>
      <c r="AJ7823">
        <v>105.351573922188</v>
      </c>
      <c r="AK7823">
        <v>15.3337301157637</v>
      </c>
      <c r="AL7823">
        <v>87.998818882975698</v>
      </c>
      <c r="AM7823">
        <v>99.108127861427704</v>
      </c>
      <c r="AN7823">
        <v>1.0000000424316</v>
      </c>
    </row>
    <row r="7824" spans="1:40" x14ac:dyDescent="0.25">
      <c r="A7824" t="str">
        <f>"20190312150845568"</f>
        <v>20190312150845568</v>
      </c>
      <c r="B7824" t="str">
        <f>"1552374525557909"</f>
        <v>1552374525557909</v>
      </c>
      <c r="C7824" t="s">
        <v>40</v>
      </c>
      <c r="D7824">
        <v>4.6205040000000004</v>
      </c>
      <c r="E7824">
        <v>0.47050789999999998</v>
      </c>
      <c r="F7824" t="s">
        <v>42</v>
      </c>
      <c r="G7824">
        <v>-420.38749999999999</v>
      </c>
      <c r="H7824" s="1">
        <v>-3.304207E-6</v>
      </c>
      <c r="I7824">
        <v>87.05095</v>
      </c>
      <c r="J7824">
        <v>-421.87079999999997</v>
      </c>
      <c r="K7824">
        <v>1.116474</v>
      </c>
      <c r="L7824">
        <v>114.9466</v>
      </c>
      <c r="M7824">
        <v>-0.18010019999999999</v>
      </c>
      <c r="N7824">
        <v>0</v>
      </c>
      <c r="O7824">
        <v>-0.9835874</v>
      </c>
      <c r="P7824">
        <v>-2.4296290000000002E-2</v>
      </c>
      <c r="Q7824">
        <v>2.7303899999999999E-2</v>
      </c>
      <c r="R7824">
        <v>-0.99933190000000005</v>
      </c>
      <c r="S7824">
        <v>0.15423580000000001</v>
      </c>
      <c r="T7824">
        <v>-0.11937490000000001</v>
      </c>
      <c r="U7824">
        <v>-3.010742</v>
      </c>
      <c r="V7824">
        <v>-0.15667529999999999</v>
      </c>
      <c r="W7824">
        <v>3.5633480000000002E-2</v>
      </c>
      <c r="X7824">
        <v>0.98700710000000003</v>
      </c>
      <c r="Y7824">
        <v>-0.23016020000000001</v>
      </c>
      <c r="Z7824">
        <v>3.8088579999999997E-2</v>
      </c>
      <c r="AA7824">
        <v>0.97240709999999997</v>
      </c>
      <c r="AB7824">
        <v>27</v>
      </c>
      <c r="AC7824">
        <v>1.4832999999999801</v>
      </c>
      <c r="AD7824">
        <v>-1.116477304207</v>
      </c>
      <c r="AE7824">
        <v>-27.89565</v>
      </c>
      <c r="AF7824">
        <v>-6.4730158342401003</v>
      </c>
      <c r="AG7824">
        <v>-1.116477304207</v>
      </c>
      <c r="AH7824">
        <v>27.128959644355799</v>
      </c>
      <c r="AI7824">
        <v>92.292367815557498</v>
      </c>
      <c r="AJ7824">
        <v>103.41995586904601</v>
      </c>
      <c r="AK7824">
        <v>27.912844837927501</v>
      </c>
      <c r="AL7824">
        <v>87.957919585595505</v>
      </c>
      <c r="AM7824">
        <v>99.019747465719902</v>
      </c>
      <c r="AN7824">
        <v>0.99999995498870398</v>
      </c>
    </row>
    <row r="7825" spans="1:40" x14ac:dyDescent="0.25">
      <c r="A7825" t="str">
        <f>"20190312150845589"</f>
        <v>20190312150845589</v>
      </c>
      <c r="B7825" t="str">
        <f>"1552374525577429"</f>
        <v>1552374525577429</v>
      </c>
      <c r="C7825" t="s">
        <v>40</v>
      </c>
      <c r="D7825">
        <v>4.5847730000000002</v>
      </c>
      <c r="E7825">
        <v>0.47159139999999999</v>
      </c>
      <c r="F7825" t="s">
        <v>42</v>
      </c>
      <c r="G7825">
        <v>-420.45170000000002</v>
      </c>
      <c r="H7825" s="1">
        <v>-3.7981210000000001E-7</v>
      </c>
      <c r="I7825">
        <v>90.194329999999994</v>
      </c>
      <c r="J7825">
        <v>-421.90640000000002</v>
      </c>
      <c r="K7825">
        <v>1.1163890000000001</v>
      </c>
      <c r="L7825">
        <v>114.7024</v>
      </c>
      <c r="M7825">
        <v>-0.17178009999999999</v>
      </c>
      <c r="N7825">
        <v>0</v>
      </c>
      <c r="O7825">
        <v>-0.98507469999999997</v>
      </c>
      <c r="P7825">
        <v>-1.7653490000000001E-2</v>
      </c>
      <c r="Q7825">
        <v>2.6523720000000001E-2</v>
      </c>
      <c r="R7825">
        <v>-0.99949219999999905</v>
      </c>
      <c r="S7825">
        <v>0.17257690000000001</v>
      </c>
      <c r="T7825">
        <v>-0.13576529999999901</v>
      </c>
      <c r="U7825">
        <v>-3.0099179999999999</v>
      </c>
      <c r="V7825">
        <v>-0.15487690000000001</v>
      </c>
      <c r="W7825">
        <v>3.4908189999999999E-2</v>
      </c>
      <c r="X7825">
        <v>0.98731679999999999</v>
      </c>
      <c r="Y7825">
        <v>-0.22784270000000001</v>
      </c>
      <c r="Z7825">
        <v>4.3425720000000001E-2</v>
      </c>
      <c r="AA7825">
        <v>0.97272910000000001</v>
      </c>
      <c r="AB7825">
        <v>27</v>
      </c>
      <c r="AC7825">
        <v>1.4547000000000001</v>
      </c>
      <c r="AD7825">
        <v>-1.1163893798120901</v>
      </c>
      <c r="AE7825">
        <v>-24.508069999999901</v>
      </c>
      <c r="AF7825">
        <v>-5.6316793136602001</v>
      </c>
      <c r="AG7825">
        <v>-1.1163893798120901</v>
      </c>
      <c r="AH7825">
        <v>23.844514979726199</v>
      </c>
      <c r="AI7825">
        <v>92.608929149816007</v>
      </c>
      <c r="AJ7825">
        <v>103.288791141153</v>
      </c>
      <c r="AK7825">
        <v>24.525966479583499</v>
      </c>
      <c r="AL7825">
        <v>87.999501506439003</v>
      </c>
      <c r="AM7825">
        <v>98.915135185610396</v>
      </c>
      <c r="AN7825">
        <v>0.99999994972246098</v>
      </c>
    </row>
    <row r="7826" spans="1:40" x14ac:dyDescent="0.25">
      <c r="A7826" t="str">
        <f>"20190312150845612"</f>
        <v>20190312150845612</v>
      </c>
      <c r="B7826" t="str">
        <f>"1552374525607700"</f>
        <v>1552374525607700</v>
      </c>
      <c r="C7826" t="s">
        <v>40</v>
      </c>
      <c r="D7826">
        <v>4.6518370000000004</v>
      </c>
      <c r="E7826">
        <v>0.4735878</v>
      </c>
      <c r="F7826" t="s">
        <v>42</v>
      </c>
      <c r="G7826">
        <v>-420.45060000000001</v>
      </c>
      <c r="H7826" s="1">
        <v>-6.4529759999999996E-7</v>
      </c>
      <c r="I7826">
        <v>90.813860000000005</v>
      </c>
      <c r="J7826">
        <v>-421.94279999999998</v>
      </c>
      <c r="K7826">
        <v>1.116293</v>
      </c>
      <c r="L7826">
        <v>114.437</v>
      </c>
      <c r="M7826">
        <v>-0.16289029999999999</v>
      </c>
      <c r="N7826">
        <v>0</v>
      </c>
      <c r="O7826">
        <v>-0.98658369999999995</v>
      </c>
      <c r="P7826">
        <v>-1.098176E-2</v>
      </c>
      <c r="Q7826">
        <v>2.6381129999999999E-2</v>
      </c>
      <c r="R7826">
        <v>-0.99959169999999997</v>
      </c>
      <c r="S7826">
        <v>0.1833496</v>
      </c>
      <c r="T7826">
        <v>-0.14059639999999901</v>
      </c>
      <c r="U7826">
        <v>-3.0084840000000002</v>
      </c>
      <c r="V7826">
        <v>-0.1525531</v>
      </c>
      <c r="W7826">
        <v>3.4831929999999997E-2</v>
      </c>
      <c r="X7826">
        <v>0.98768129999999998</v>
      </c>
      <c r="Y7826">
        <v>-0.2225521</v>
      </c>
      <c r="Z7826">
        <v>4.511855E-2</v>
      </c>
      <c r="AA7826">
        <v>0.97387619999999997</v>
      </c>
      <c r="AB7826">
        <v>27</v>
      </c>
      <c r="AC7826">
        <v>1.49219999999996</v>
      </c>
      <c r="AD7826">
        <v>-1.1162936452976</v>
      </c>
      <c r="AE7826">
        <v>-23.623139999999999</v>
      </c>
      <c r="AF7826">
        <v>-5.3086711164939704</v>
      </c>
      <c r="AG7826">
        <v>-1.1162936452976</v>
      </c>
      <c r="AH7826">
        <v>23.013332702460701</v>
      </c>
      <c r="AI7826">
        <v>92.706079192433904</v>
      </c>
      <c r="AJ7826">
        <v>102.989657524872</v>
      </c>
      <c r="AK7826">
        <v>23.644060197008798</v>
      </c>
      <c r="AL7826">
        <v>88.003873703981796</v>
      </c>
      <c r="AM7826">
        <v>98.780281348083903</v>
      </c>
      <c r="AN7826">
        <v>1.0000000310184101</v>
      </c>
    </row>
    <row r="7827" spans="1:40" x14ac:dyDescent="0.25">
      <c r="A7827" t="str">
        <f>"20190312150845635"</f>
        <v>20190312150845635</v>
      </c>
      <c r="B7827" t="str">
        <f>"1552374525628185"</f>
        <v>1552374525628185</v>
      </c>
      <c r="C7827" t="s">
        <v>40</v>
      </c>
      <c r="D7827">
        <v>4.6107870000000002</v>
      </c>
      <c r="E7827">
        <v>0.47465540000000001</v>
      </c>
      <c r="F7827" t="s">
        <v>42</v>
      </c>
      <c r="G7827">
        <v>-420.48180000000002</v>
      </c>
      <c r="H7827" s="1">
        <v>-7.5744699999999997E-7</v>
      </c>
      <c r="I7827">
        <v>91.055880000000002</v>
      </c>
      <c r="J7827">
        <v>-421.97620000000001</v>
      </c>
      <c r="K7827">
        <v>1.116182</v>
      </c>
      <c r="L7827">
        <v>114.1782</v>
      </c>
      <c r="M7827">
        <v>-0.15439720000000001</v>
      </c>
      <c r="N7827">
        <v>0</v>
      </c>
      <c r="O7827">
        <v>-0.98794850000000001</v>
      </c>
      <c r="P7827">
        <v>-4.0284300000000004E-3</v>
      </c>
      <c r="Q7827">
        <v>2.6645749999999999E-2</v>
      </c>
      <c r="R7827">
        <v>-0.99963670000000004</v>
      </c>
      <c r="S7827">
        <v>0.1878967</v>
      </c>
      <c r="T7827">
        <v>-0.14356820000000001</v>
      </c>
      <c r="U7827">
        <v>-3.0070800000000002</v>
      </c>
      <c r="V7827">
        <v>-0.15092030000000001</v>
      </c>
      <c r="W7827">
        <v>3.5151689999999999E-2</v>
      </c>
      <c r="X7827">
        <v>0.98792080000000004</v>
      </c>
      <c r="Y7827">
        <v>-0.2156516</v>
      </c>
      <c r="Z7827">
        <v>4.6223979999999998E-2</v>
      </c>
      <c r="AA7827">
        <v>0.97537569999999996</v>
      </c>
      <c r="AB7827">
        <v>27</v>
      </c>
      <c r="AC7827">
        <v>1.49439999999998</v>
      </c>
      <c r="AD7827">
        <v>-1.116182757447</v>
      </c>
      <c r="AE7827">
        <v>-23.122319999999998</v>
      </c>
      <c r="AF7827">
        <v>-5.0350284512248198</v>
      </c>
      <c r="AG7827">
        <v>-1.116182757447</v>
      </c>
      <c r="AH7827">
        <v>22.561921921302702</v>
      </c>
      <c r="AI7827">
        <v>92.764336297226507</v>
      </c>
      <c r="AJ7827">
        <v>102.58026571816799</v>
      </c>
      <c r="AK7827">
        <v>23.143847913336</v>
      </c>
      <c r="AL7827">
        <v>87.985541602881398</v>
      </c>
      <c r="AM7827">
        <v>98.685671979056593</v>
      </c>
      <c r="AN7827">
        <v>1.0000000426672899</v>
      </c>
    </row>
    <row r="7828" spans="1:40" x14ac:dyDescent="0.25">
      <c r="A7828" t="str">
        <f>"20190312150845656"</f>
        <v>20190312150845656</v>
      </c>
      <c r="B7828" t="str">
        <f>"1552374525647706"</f>
        <v>1552374525647706</v>
      </c>
      <c r="C7828" t="s">
        <v>40</v>
      </c>
      <c r="D7828">
        <v>4.6043979999999998</v>
      </c>
      <c r="E7828">
        <v>0.48318319999999998</v>
      </c>
      <c r="F7828" t="s">
        <v>42</v>
      </c>
      <c r="G7828">
        <v>-420.41309999999999</v>
      </c>
      <c r="H7828" s="1">
        <v>-6.0033180000000005E-7</v>
      </c>
      <c r="I7828">
        <v>90.732259999999997</v>
      </c>
      <c r="J7828">
        <v>-422.00779999999997</v>
      </c>
      <c r="K7828">
        <v>1.1160509999999999</v>
      </c>
      <c r="L7828">
        <v>113.9165</v>
      </c>
      <c r="M7828">
        <v>-0.1460195</v>
      </c>
      <c r="N7828">
        <v>0</v>
      </c>
      <c r="O7828">
        <v>-0.98922169999999998</v>
      </c>
      <c r="P7828">
        <v>2.6045719999999999E-3</v>
      </c>
      <c r="Q7828">
        <v>2.5995420000000002E-2</v>
      </c>
      <c r="R7828">
        <v>-0.99965870000000001</v>
      </c>
      <c r="S7828">
        <v>0.20037840000000001</v>
      </c>
      <c r="T7828">
        <v>-0.14309189999999999</v>
      </c>
      <c r="U7828">
        <v>-3.0057070000000001</v>
      </c>
      <c r="V7828">
        <v>-0.14908489999999999</v>
      </c>
      <c r="W7828">
        <v>3.456745E-2</v>
      </c>
      <c r="X7828">
        <v>0.98821999999999999</v>
      </c>
      <c r="Y7828">
        <v>-0.2114365</v>
      </c>
      <c r="Z7828">
        <v>4.6198459999999997E-2</v>
      </c>
      <c r="AA7828">
        <v>0.97629929999999998</v>
      </c>
      <c r="AB7828">
        <v>27</v>
      </c>
      <c r="AC7828">
        <v>1.59469999999998</v>
      </c>
      <c r="AD7828">
        <v>-1.1160516003318</v>
      </c>
      <c r="AE7828">
        <v>-23.184239999999999</v>
      </c>
      <c r="AF7828">
        <v>-4.9517369924086401</v>
      </c>
      <c r="AG7828">
        <v>-1.1160516003318</v>
      </c>
      <c r="AH7828">
        <v>22.650602702178801</v>
      </c>
      <c r="AI7828">
        <v>92.755843215026701</v>
      </c>
      <c r="AJ7828">
        <v>102.331646177194</v>
      </c>
      <c r="AK7828">
        <v>23.212390509995799</v>
      </c>
      <c r="AL7828">
        <v>88.019036345625295</v>
      </c>
      <c r="AM7828">
        <v>98.579064736100705</v>
      </c>
      <c r="AN7828">
        <v>0.99999999220375602</v>
      </c>
    </row>
    <row r="7829" spans="1:40" x14ac:dyDescent="0.25">
      <c r="A7829" t="str">
        <f>"20190312150845678"</f>
        <v>20190312150845678</v>
      </c>
      <c r="B7829" t="str">
        <f>"1552374525668197"</f>
        <v>1552374525668197</v>
      </c>
      <c r="C7829" t="s">
        <v>40</v>
      </c>
      <c r="D7829">
        <v>4.5903989999999997</v>
      </c>
      <c r="E7829">
        <v>0.4835122</v>
      </c>
      <c r="F7829" t="s">
        <v>42</v>
      </c>
      <c r="G7829">
        <v>-420.42829999999998</v>
      </c>
      <c r="H7829" s="1">
        <v>-1.3547799999999901E-6</v>
      </c>
      <c r="I7829">
        <v>82.481449999999995</v>
      </c>
      <c r="J7829">
        <v>-422.03719999999998</v>
      </c>
      <c r="K7829">
        <v>1.115904</v>
      </c>
      <c r="L7829">
        <v>113.6575</v>
      </c>
      <c r="M7829">
        <v>-0.137959</v>
      </c>
      <c r="N7829">
        <v>0</v>
      </c>
      <c r="O7829">
        <v>-0.99037799999999998</v>
      </c>
      <c r="P7829">
        <v>8.2743839999999992E-3</v>
      </c>
      <c r="Q7829">
        <v>2.5134409999999999E-2</v>
      </c>
      <c r="R7829">
        <v>-0.99964980000000003</v>
      </c>
      <c r="S7829">
        <v>0.1509094</v>
      </c>
      <c r="T7829">
        <v>-0.10663160000000001</v>
      </c>
      <c r="U7829">
        <v>-3.0034179999999999</v>
      </c>
      <c r="V7829">
        <v>-0.14661959999999999</v>
      </c>
      <c r="W7829">
        <v>3.379447E-2</v>
      </c>
      <c r="X7829">
        <v>0.98861549999999998</v>
      </c>
      <c r="Y7829">
        <v>-0.18746489999999999</v>
      </c>
      <c r="Z7829">
        <v>3.4635249999999999E-2</v>
      </c>
      <c r="AA7829">
        <v>0.98166050000000005</v>
      </c>
      <c r="AB7829">
        <v>27</v>
      </c>
      <c r="AC7829">
        <v>1.6089</v>
      </c>
      <c r="AD7829">
        <v>-1.11590535477999</v>
      </c>
      <c r="AE7829">
        <v>-31.17605</v>
      </c>
      <c r="AF7829">
        <v>-5.8872631542215998</v>
      </c>
      <c r="AG7829">
        <v>-1.11590535477999</v>
      </c>
      <c r="AH7829">
        <v>30.616810107938299</v>
      </c>
      <c r="AI7829">
        <v>92.049842922202302</v>
      </c>
      <c r="AJ7829">
        <v>100.88447143663301</v>
      </c>
      <c r="AK7829">
        <v>31.197662947622099</v>
      </c>
      <c r="AL7829">
        <v>88.063350729257493</v>
      </c>
      <c r="AM7829">
        <v>98.435931655003301</v>
      </c>
      <c r="AN7829">
        <v>0.99999999007349505</v>
      </c>
    </row>
    <row r="7830" spans="1:40" x14ac:dyDescent="0.25">
      <c r="A7830" t="str">
        <f>"20190312150845701"</f>
        <v>20190312150845701</v>
      </c>
      <c r="B7830" t="str">
        <f>"1552374525697476"</f>
        <v>1552374525697476</v>
      </c>
      <c r="C7830" t="s">
        <v>40</v>
      </c>
      <c r="D7830">
        <v>4.6484069999999997</v>
      </c>
      <c r="E7830">
        <v>0.48448360000000001</v>
      </c>
      <c r="F7830" t="s">
        <v>42</v>
      </c>
      <c r="G7830">
        <v>-420.51679999999999</v>
      </c>
      <c r="H7830" s="1">
        <v>-2.966205E-6</v>
      </c>
      <c r="I7830">
        <v>86.182859999999906</v>
      </c>
      <c r="J7830">
        <v>-422.0652</v>
      </c>
      <c r="K7830">
        <v>1.1157360000000001</v>
      </c>
      <c r="L7830">
        <v>113.3951</v>
      </c>
      <c r="M7830">
        <v>-0.13004959999999999</v>
      </c>
      <c r="N7830">
        <v>0</v>
      </c>
      <c r="O7830">
        <v>-0.99144770000000004</v>
      </c>
      <c r="P7830">
        <v>1.3450899999999899E-2</v>
      </c>
      <c r="Q7830">
        <v>2.5441720000000001E-2</v>
      </c>
      <c r="R7830">
        <v>-0.99958610000000003</v>
      </c>
      <c r="S7830">
        <v>0.16616819999999999</v>
      </c>
      <c r="T7830">
        <v>-0.12195930000000001</v>
      </c>
      <c r="U7830">
        <v>-3.0027469999999998</v>
      </c>
      <c r="V7830">
        <v>-0.14383609999999999</v>
      </c>
      <c r="W7830">
        <v>3.4205270000000003E-2</v>
      </c>
      <c r="X7830">
        <v>0.98901019999999995</v>
      </c>
      <c r="Y7830">
        <v>-0.1845987</v>
      </c>
      <c r="Z7830">
        <v>3.9685860000000003E-2</v>
      </c>
      <c r="AA7830">
        <v>0.98201240000000001</v>
      </c>
      <c r="AB7830">
        <v>27</v>
      </c>
      <c r="AC7830">
        <v>1.54840000000001</v>
      </c>
      <c r="AD7830">
        <v>-1.1157389662049999</v>
      </c>
      <c r="AE7830">
        <v>-27.212240000000001</v>
      </c>
      <c r="AF7830">
        <v>-5.0659104865743201</v>
      </c>
      <c r="AG7830">
        <v>-1.1157389662049999</v>
      </c>
      <c r="AH7830">
        <v>26.734932140145901</v>
      </c>
      <c r="AI7830">
        <v>92.348026165003603</v>
      </c>
      <c r="AJ7830">
        <v>100.729571796191</v>
      </c>
      <c r="AK7830">
        <v>27.2335256446333</v>
      </c>
      <c r="AL7830">
        <v>88.039800025814699</v>
      </c>
      <c r="AM7830">
        <v>98.274762203421105</v>
      </c>
      <c r="AN7830">
        <v>0.99999999993151101</v>
      </c>
    </row>
    <row r="7831" spans="1:40" x14ac:dyDescent="0.25">
      <c r="A7831" t="str">
        <f>"20190312150845723"</f>
        <v>20190312150845723</v>
      </c>
      <c r="B7831" t="str">
        <f>"1552374525717975"</f>
        <v>1552374525717975</v>
      </c>
      <c r="C7831" t="s">
        <v>40</v>
      </c>
      <c r="D7831">
        <v>4.6443760000000003</v>
      </c>
      <c r="E7831">
        <v>0.48562620000000001</v>
      </c>
      <c r="F7831" t="s">
        <v>42</v>
      </c>
      <c r="G7831">
        <v>-420.5335</v>
      </c>
      <c r="H7831" s="1">
        <v>-3.3323010000000001E-6</v>
      </c>
      <c r="I7831">
        <v>87.025890000000004</v>
      </c>
      <c r="J7831">
        <v>-422.09230000000002</v>
      </c>
      <c r="K7831">
        <v>1.1155389999999901</v>
      </c>
      <c r="L7831">
        <v>113.12269999999999</v>
      </c>
      <c r="M7831">
        <v>-0.1221262</v>
      </c>
      <c r="N7831">
        <v>0</v>
      </c>
      <c r="O7831">
        <v>-0.99245459999999996</v>
      </c>
      <c r="P7831">
        <v>1.8763499999999999E-2</v>
      </c>
      <c r="Q7831">
        <v>2.5336709999999998E-2</v>
      </c>
      <c r="R7831">
        <v>-0.99950269999999997</v>
      </c>
      <c r="S7831">
        <v>0.17437739999999999</v>
      </c>
      <c r="T7831">
        <v>-0.127027</v>
      </c>
      <c r="U7831">
        <v>-3.0021360000000001</v>
      </c>
      <c r="V7831">
        <v>-0.14117389999999999</v>
      </c>
      <c r="W7831">
        <v>3.4209070000000001E-2</v>
      </c>
      <c r="X7831">
        <v>0.98939359999999998</v>
      </c>
      <c r="Y7831">
        <v>-0.17942949999999999</v>
      </c>
      <c r="Z7831">
        <v>4.1421300000000001E-2</v>
      </c>
      <c r="AA7831">
        <v>0.98289839999999995</v>
      </c>
      <c r="AB7831">
        <v>27</v>
      </c>
      <c r="AC7831">
        <v>1.55880000000001</v>
      </c>
      <c r="AD7831">
        <v>-1.1155423323010001</v>
      </c>
      <c r="AE7831">
        <v>-26.096809999999898</v>
      </c>
      <c r="AF7831">
        <v>-4.7258197718831996</v>
      </c>
      <c r="AG7831">
        <v>-1.1155423323010001</v>
      </c>
      <c r="AH7831">
        <v>25.664331058138401</v>
      </c>
      <c r="AI7831">
        <v>92.447786787557007</v>
      </c>
      <c r="AJ7831">
        <v>100.433545147118</v>
      </c>
      <c r="AK7831">
        <v>26.119641955302601</v>
      </c>
      <c r="AL7831">
        <v>88.039582200215506</v>
      </c>
      <c r="AM7831">
        <v>98.120565393495198</v>
      </c>
      <c r="AN7831">
        <v>1.0000000131162099</v>
      </c>
    </row>
    <row r="7832" spans="1:40" x14ac:dyDescent="0.25">
      <c r="A7832" t="str">
        <f>"20190312150845747"</f>
        <v>20190312150845747</v>
      </c>
      <c r="B7832" t="str">
        <f>"1552374525737492"</f>
        <v>1552374525737492</v>
      </c>
      <c r="C7832" t="s">
        <v>40</v>
      </c>
      <c r="D7832">
        <v>4.6271339999999999</v>
      </c>
      <c r="E7832">
        <v>0.4868847</v>
      </c>
      <c r="F7832" t="s">
        <v>42</v>
      </c>
      <c r="G7832">
        <v>-420.50080000000003</v>
      </c>
      <c r="H7832" s="1">
        <v>-3.1386529999999999E-6</v>
      </c>
      <c r="I7832">
        <v>86.594769999999997</v>
      </c>
      <c r="J7832">
        <v>-422.11680000000001</v>
      </c>
      <c r="K7832">
        <v>1.1153379999999999</v>
      </c>
      <c r="L7832">
        <v>112.8566</v>
      </c>
      <c r="M7832">
        <v>-0.1147174</v>
      </c>
      <c r="N7832">
        <v>0</v>
      </c>
      <c r="O7832">
        <v>-0.99333850000000001</v>
      </c>
      <c r="P7832">
        <v>2.3315849999999999E-2</v>
      </c>
      <c r="Q7832">
        <v>2.3667980000000002E-2</v>
      </c>
      <c r="R7832">
        <v>-0.99944789999999994</v>
      </c>
      <c r="S7832">
        <v>0.18005370000000001</v>
      </c>
      <c r="T7832">
        <v>-0.12620990000000001</v>
      </c>
      <c r="U7832">
        <v>-3.001312</v>
      </c>
      <c r="V7832">
        <v>-0.1382621</v>
      </c>
      <c r="W7832">
        <v>3.265212E-2</v>
      </c>
      <c r="X7832">
        <v>0.98985730000000005</v>
      </c>
      <c r="Y7832">
        <v>-0.1739549</v>
      </c>
      <c r="Z7832">
        <v>4.1240609999999997E-2</v>
      </c>
      <c r="AA7832">
        <v>0.98388969999999998</v>
      </c>
      <c r="AB7832">
        <v>27</v>
      </c>
      <c r="AC7832">
        <v>1.6159999999999799</v>
      </c>
      <c r="AD7832">
        <v>-1.1153411386530001</v>
      </c>
      <c r="AE7832">
        <v>-26.26183</v>
      </c>
      <c r="AF7832">
        <v>-4.6099140484586298</v>
      </c>
      <c r="AG7832">
        <v>-1.1153411386530001</v>
      </c>
      <c r="AH7832">
        <v>25.856577144531801</v>
      </c>
      <c r="AI7832">
        <v>92.431663782381307</v>
      </c>
      <c r="AJ7832">
        <v>100.108926200601</v>
      </c>
      <c r="AK7832">
        <v>26.287979667917998</v>
      </c>
      <c r="AL7832">
        <v>88.128838778981901</v>
      </c>
      <c r="AM7832">
        <v>97.951561112087703</v>
      </c>
      <c r="AN7832">
        <v>1.00000002180009</v>
      </c>
    </row>
    <row r="7833" spans="1:40" x14ac:dyDescent="0.25">
      <c r="A7833" t="str">
        <f>"20190312150845768"</f>
        <v>20190312150845768</v>
      </c>
      <c r="B7833" t="str">
        <f>"1552374525757988"</f>
        <v>1552374525757988</v>
      </c>
      <c r="C7833" t="s">
        <v>40</v>
      </c>
      <c r="D7833">
        <v>4.6161779999999997</v>
      </c>
      <c r="E7833">
        <v>0.48739470000000001</v>
      </c>
      <c r="F7833" t="s">
        <v>42</v>
      </c>
      <c r="G7833">
        <v>-420.52760000000001</v>
      </c>
      <c r="H7833" s="1">
        <v>-3.2698969999999999E-6</v>
      </c>
      <c r="I7833">
        <v>86.88409</v>
      </c>
      <c r="J7833">
        <v>-422.13900000000001</v>
      </c>
      <c r="K7833">
        <v>1.1151390000000001</v>
      </c>
      <c r="L7833">
        <v>112.5988</v>
      </c>
      <c r="M7833">
        <v>-0.10783570000000001</v>
      </c>
      <c r="N7833">
        <v>0</v>
      </c>
      <c r="O7833">
        <v>-0.99410900000000002</v>
      </c>
      <c r="P7833">
        <v>2.5121009999999999E-2</v>
      </c>
      <c r="Q7833">
        <v>2.258595E-2</v>
      </c>
      <c r="R7833">
        <v>-0.99942940000000002</v>
      </c>
      <c r="S7833">
        <v>0.1835938</v>
      </c>
      <c r="T7833">
        <v>-0.1288483</v>
      </c>
      <c r="U7833">
        <v>-3.0004430000000002</v>
      </c>
      <c r="V7833">
        <v>-0.13316529999999999</v>
      </c>
      <c r="W7833">
        <v>3.1706570000000003E-2</v>
      </c>
      <c r="X7833">
        <v>0.99058650000000004</v>
      </c>
      <c r="Y7833">
        <v>-0.16830390000000001</v>
      </c>
      <c r="Z7833">
        <v>4.2182480000000001E-2</v>
      </c>
      <c r="AA7833">
        <v>0.98483220000000005</v>
      </c>
      <c r="AB7833">
        <v>27</v>
      </c>
      <c r="AC7833">
        <v>1.6113999999999999</v>
      </c>
      <c r="AD7833">
        <v>-1.1151422698969999</v>
      </c>
      <c r="AE7833">
        <v>-25.71471</v>
      </c>
      <c r="AF7833">
        <v>-4.3669504139835196</v>
      </c>
      <c r="AG7833">
        <v>-1.1151422698969999</v>
      </c>
      <c r="AH7833">
        <v>25.343491291381099</v>
      </c>
      <c r="AI7833">
        <v>92.482910419384893</v>
      </c>
      <c r="AJ7833">
        <v>99.776661187827003</v>
      </c>
      <c r="AK7833">
        <v>25.7411411758805</v>
      </c>
      <c r="AL7833">
        <v>88.183042761435303</v>
      </c>
      <c r="AM7833">
        <v>97.656414301073596</v>
      </c>
      <c r="AN7833">
        <v>0.99999995884375104</v>
      </c>
    </row>
    <row r="7834" spans="1:40" x14ac:dyDescent="0.25">
      <c r="A7834" t="str">
        <f>"20190312150845791"</f>
        <v>20190312150845791</v>
      </c>
      <c r="B7834" t="str">
        <f>"1552374525787269"</f>
        <v>1552374525787269</v>
      </c>
      <c r="C7834" t="s">
        <v>40</v>
      </c>
      <c r="D7834">
        <v>4.5911489999999997</v>
      </c>
      <c r="E7834">
        <v>0.49514999999999998</v>
      </c>
      <c r="F7834" t="s">
        <v>42</v>
      </c>
      <c r="G7834">
        <v>-420.5675</v>
      </c>
      <c r="H7834" s="1">
        <v>-3.3427549999999998E-6</v>
      </c>
      <c r="I7834">
        <v>87.029169999999993</v>
      </c>
      <c r="J7834">
        <v>-422.16050000000001</v>
      </c>
      <c r="K7834">
        <v>1.1149560000000001</v>
      </c>
      <c r="L7834">
        <v>112.3322</v>
      </c>
      <c r="M7834">
        <v>-0.10097730000000001</v>
      </c>
      <c r="N7834">
        <v>0</v>
      </c>
      <c r="O7834">
        <v>-0.99482910000000002</v>
      </c>
      <c r="P7834">
        <v>2.7262729999999999E-2</v>
      </c>
      <c r="Q7834">
        <v>2.3437800000000002E-2</v>
      </c>
      <c r="R7834">
        <v>-0.99935350000000001</v>
      </c>
      <c r="S7834">
        <v>0.1843872</v>
      </c>
      <c r="T7834">
        <v>-0.13083789999999901</v>
      </c>
      <c r="U7834">
        <v>-3.0000460000000002</v>
      </c>
      <c r="V7834">
        <v>-0.1284477</v>
      </c>
      <c r="W7834">
        <v>3.267929E-2</v>
      </c>
      <c r="X7834">
        <v>0.99117770000000005</v>
      </c>
      <c r="Y7834">
        <v>-0.16176779999999999</v>
      </c>
      <c r="Z7834">
        <v>4.2908799999999997E-2</v>
      </c>
      <c r="AA7834">
        <v>0.98589550000000004</v>
      </c>
      <c r="AB7834">
        <v>27</v>
      </c>
      <c r="AC7834">
        <v>1.59300000000001</v>
      </c>
      <c r="AD7834">
        <v>-1.114959342755</v>
      </c>
      <c r="AE7834">
        <v>-25.30303</v>
      </c>
      <c r="AF7834">
        <v>-4.13204865986933</v>
      </c>
      <c r="AG7834">
        <v>-1.114959342755</v>
      </c>
      <c r="AH7834">
        <v>24.964536355980801</v>
      </c>
      <c r="AI7834">
        <v>92.522948848812604</v>
      </c>
      <c r="AJ7834">
        <v>99.398205005122406</v>
      </c>
      <c r="AK7834">
        <v>25.328739327740202</v>
      </c>
      <c r="AL7834">
        <v>88.127281162465295</v>
      </c>
      <c r="AM7834">
        <v>97.383865873460607</v>
      </c>
      <c r="AN7834">
        <v>0.99999999030374198</v>
      </c>
    </row>
    <row r="7835" spans="1:40" x14ac:dyDescent="0.25">
      <c r="A7835" t="str">
        <f>"20190312150845813"</f>
        <v>20190312150845813</v>
      </c>
      <c r="B7835" t="str">
        <f>"1552374525807765"</f>
        <v>1552374525807765</v>
      </c>
      <c r="C7835" t="s">
        <v>40</v>
      </c>
      <c r="D7835">
        <v>4.624441</v>
      </c>
      <c r="E7835">
        <v>0.49824869999999999</v>
      </c>
      <c r="F7835" t="s">
        <v>42</v>
      </c>
      <c r="G7835">
        <v>-420.93110000000001</v>
      </c>
      <c r="H7835" s="1">
        <v>-1.9835079999999999E-6</v>
      </c>
      <c r="I7835">
        <v>83.635230000000007</v>
      </c>
      <c r="J7835">
        <v>-422.18060000000003</v>
      </c>
      <c r="K7835">
        <v>1.1147940000000001</v>
      </c>
      <c r="L7835">
        <v>112.06189999999999</v>
      </c>
      <c r="M7835">
        <v>-9.4293559999999998E-2</v>
      </c>
      <c r="N7835">
        <v>0</v>
      </c>
      <c r="O7835">
        <v>-0.99548510000000001</v>
      </c>
      <c r="P7835">
        <v>2.9168530000000002E-2</v>
      </c>
      <c r="Q7835">
        <v>2.4641219999999998E-2</v>
      </c>
      <c r="R7835">
        <v>-0.99927100000000002</v>
      </c>
      <c r="S7835">
        <v>0.12857060000000001</v>
      </c>
      <c r="T7835">
        <v>-0.1166037</v>
      </c>
      <c r="U7835">
        <v>-3.00116</v>
      </c>
      <c r="V7835">
        <v>-0.1236761</v>
      </c>
      <c r="W7835">
        <v>3.3996060000000002E-2</v>
      </c>
      <c r="X7835">
        <v>0.99174010000000001</v>
      </c>
      <c r="Y7835">
        <v>-0.136791</v>
      </c>
      <c r="Z7835">
        <v>3.8363920000000003E-2</v>
      </c>
      <c r="AA7835">
        <v>0.98985679999999998</v>
      </c>
      <c r="AB7835">
        <v>27</v>
      </c>
      <c r="AC7835">
        <v>1.24950000000001</v>
      </c>
      <c r="AD7835">
        <v>-1.1147959835079999</v>
      </c>
      <c r="AE7835">
        <v>-28.426669999999898</v>
      </c>
      <c r="AF7835">
        <v>-3.9185275444709999</v>
      </c>
      <c r="AG7835">
        <v>-1.1147959835079999</v>
      </c>
      <c r="AH7835">
        <v>28.1389788445716</v>
      </c>
      <c r="AI7835">
        <v>92.247068325246602</v>
      </c>
      <c r="AJ7835">
        <v>97.927809316898106</v>
      </c>
      <c r="AK7835">
        <v>28.432371667113401</v>
      </c>
      <c r="AL7835">
        <v>88.051793788967899</v>
      </c>
      <c r="AM7835">
        <v>97.108438993555097</v>
      </c>
      <c r="AN7835">
        <v>0.999999967877371</v>
      </c>
    </row>
    <row r="7836" spans="1:40" x14ac:dyDescent="0.25">
      <c r="A7836" t="str">
        <f>"20190312150845835"</f>
        <v>20190312150845835</v>
      </c>
      <c r="B7836" t="str">
        <f>"1552374525827285"</f>
        <v>1552374525827285</v>
      </c>
      <c r="C7836" t="s">
        <v>40</v>
      </c>
      <c r="D7836">
        <v>4.7954949999999998</v>
      </c>
      <c r="E7836">
        <v>0.4984731</v>
      </c>
      <c r="F7836" t="s">
        <v>42</v>
      </c>
      <c r="G7836">
        <v>-421.01650000000001</v>
      </c>
      <c r="H7836" s="1">
        <v>-3.8470569999999997E-7</v>
      </c>
      <c r="I7836">
        <v>79.855400000000003</v>
      </c>
      <c r="J7836">
        <v>-422.19850000000002</v>
      </c>
      <c r="K7836">
        <v>1.1146419999999999</v>
      </c>
      <c r="L7836">
        <v>111.8014</v>
      </c>
      <c r="M7836">
        <v>-8.8121119999999997E-2</v>
      </c>
      <c r="N7836">
        <v>0</v>
      </c>
      <c r="O7836">
        <v>-0.9960504</v>
      </c>
      <c r="P7836">
        <v>2.9520870000000001E-2</v>
      </c>
      <c r="Q7836">
        <v>2.5279030000000001E-2</v>
      </c>
      <c r="R7836">
        <v>-0.99924469999999999</v>
      </c>
      <c r="S7836">
        <v>0.10849</v>
      </c>
      <c r="T7836">
        <v>-0.1038975</v>
      </c>
      <c r="U7836">
        <v>-3.0016020000000001</v>
      </c>
      <c r="V7836">
        <v>-0.1178671</v>
      </c>
      <c r="W7836">
        <v>3.4757589999999998E-2</v>
      </c>
      <c r="X7836">
        <v>0.99242090000000005</v>
      </c>
      <c r="Y7836">
        <v>-0.12402729999999999</v>
      </c>
      <c r="Z7836">
        <v>3.424659E-2</v>
      </c>
      <c r="AA7836">
        <v>0.99168769999999995</v>
      </c>
      <c r="AB7836">
        <v>27</v>
      </c>
      <c r="AC7836">
        <v>1.1820000000000099</v>
      </c>
      <c r="AD7836">
        <v>-1.1146423847057001</v>
      </c>
      <c r="AE7836">
        <v>-31.946000000000002</v>
      </c>
      <c r="AF7836">
        <v>-3.9878367751154302</v>
      </c>
      <c r="AG7836">
        <v>-1.1146423847057001</v>
      </c>
      <c r="AH7836">
        <v>31.6790288151388</v>
      </c>
      <c r="AI7836">
        <v>91.999382873736707</v>
      </c>
      <c r="AJ7836">
        <v>97.174799101032704</v>
      </c>
      <c r="AK7836">
        <v>31.948491927806799</v>
      </c>
      <c r="AL7836">
        <v>88.008135577122403</v>
      </c>
      <c r="AM7836">
        <v>96.773134508190196</v>
      </c>
      <c r="AN7836">
        <v>0.99999999304091403</v>
      </c>
    </row>
    <row r="7837" spans="1:40" x14ac:dyDescent="0.25">
      <c r="A7837" t="str">
        <f>"20190312150845857"</f>
        <v>20190312150845857</v>
      </c>
      <c r="B7837" t="str">
        <f>"1552374525847781"</f>
        <v>1552374525847781</v>
      </c>
      <c r="C7837" t="s">
        <v>40</v>
      </c>
      <c r="D7837">
        <v>4.6080399999999999</v>
      </c>
      <c r="E7837">
        <v>0.49843490000000001</v>
      </c>
      <c r="F7837" t="s">
        <v>42</v>
      </c>
      <c r="G7837">
        <v>-421.03769999999997</v>
      </c>
      <c r="H7837" s="1">
        <v>-4.4431480000000003E-6</v>
      </c>
      <c r="I7837">
        <v>79.502269999999996</v>
      </c>
      <c r="J7837">
        <v>-422.21539999999999</v>
      </c>
      <c r="K7837">
        <v>1.1144689999999999</v>
      </c>
      <c r="L7837">
        <v>111.5369</v>
      </c>
      <c r="M7837">
        <v>-8.2132720000000006E-2</v>
      </c>
      <c r="N7837">
        <v>0</v>
      </c>
      <c r="O7837">
        <v>-0.9965619</v>
      </c>
      <c r="P7837">
        <v>2.990462E-2</v>
      </c>
      <c r="Q7837">
        <v>2.6593970000000001E-2</v>
      </c>
      <c r="R7837">
        <v>-0.9991989</v>
      </c>
      <c r="S7837">
        <v>0.10787960000000001</v>
      </c>
      <c r="T7837">
        <v>-0.10358829999999999</v>
      </c>
      <c r="U7837">
        <v>-3.0016780000000001</v>
      </c>
      <c r="V7837">
        <v>-0.112276</v>
      </c>
      <c r="W7837">
        <v>3.6192439999999999E-2</v>
      </c>
      <c r="X7837">
        <v>0.9930177</v>
      </c>
      <c r="Y7837">
        <v>-0.11785859999999999</v>
      </c>
      <c r="Z7837">
        <v>3.4183520000000002E-2</v>
      </c>
      <c r="AA7837">
        <v>0.99244180000000004</v>
      </c>
      <c r="AB7837">
        <v>27</v>
      </c>
      <c r="AC7837">
        <v>1.17770000000001</v>
      </c>
      <c r="AD7837">
        <v>-1.1144734431479999</v>
      </c>
      <c r="AE7837">
        <v>-32.03463</v>
      </c>
      <c r="AF7837">
        <v>-3.8003744200302099</v>
      </c>
      <c r="AG7837">
        <v>-1.1144734431479999</v>
      </c>
      <c r="AH7837">
        <v>31.791225915102199</v>
      </c>
      <c r="AI7837">
        <v>91.993557014619199</v>
      </c>
      <c r="AJ7837">
        <v>96.816881188516007</v>
      </c>
      <c r="AK7837">
        <v>32.036962121477202</v>
      </c>
      <c r="AL7837">
        <v>87.925872898921099</v>
      </c>
      <c r="AM7837">
        <v>96.450778097195993</v>
      </c>
      <c r="AN7837">
        <v>0.99999997270122098</v>
      </c>
    </row>
    <row r="7838" spans="1:40" x14ac:dyDescent="0.25">
      <c r="A7838" t="str">
        <f>"20190312150845879"</f>
        <v>20190312150845879</v>
      </c>
      <c r="B7838" t="str">
        <f>"1552374525867301"</f>
        <v>1552374525867301</v>
      </c>
      <c r="C7838" t="s">
        <v>40</v>
      </c>
      <c r="D7838">
        <v>4.5958990000000002</v>
      </c>
      <c r="E7838">
        <v>0.50149840000000001</v>
      </c>
      <c r="F7838" t="s">
        <v>42</v>
      </c>
      <c r="G7838">
        <v>-420.96620000000001</v>
      </c>
      <c r="H7838" s="1">
        <v>-3.5777250000000001E-6</v>
      </c>
      <c r="I7838">
        <v>77.329610000000002</v>
      </c>
      <c r="J7838">
        <v>-422.23110000000003</v>
      </c>
      <c r="K7838">
        <v>1.114279</v>
      </c>
      <c r="L7838">
        <v>111.2684</v>
      </c>
      <c r="M7838">
        <v>-7.6338409999999995E-2</v>
      </c>
      <c r="N7838">
        <v>0</v>
      </c>
      <c r="O7838">
        <v>-0.99702250000000003</v>
      </c>
      <c r="P7838">
        <v>3.2818340000000001E-2</v>
      </c>
      <c r="Q7838">
        <v>2.8363650000000001E-2</v>
      </c>
      <c r="R7838">
        <v>-0.99905880000000002</v>
      </c>
      <c r="S7838">
        <v>0.1096191</v>
      </c>
      <c r="T7838">
        <v>-9.7796079999999994E-2</v>
      </c>
      <c r="U7838">
        <v>-3.0017239999999998</v>
      </c>
      <c r="V7838">
        <v>-0.1093956</v>
      </c>
      <c r="W7838">
        <v>3.804987E-2</v>
      </c>
      <c r="X7838">
        <v>0.99326970000000003</v>
      </c>
      <c r="Y7838">
        <v>-0.11266080000000001</v>
      </c>
      <c r="Z7838">
        <v>3.2305680000000003E-2</v>
      </c>
      <c r="AA7838">
        <v>0.9931082</v>
      </c>
      <c r="AB7838">
        <v>27</v>
      </c>
      <c r="AC7838">
        <v>1.2649000000000099</v>
      </c>
      <c r="AD7838">
        <v>-1.1142825777249901</v>
      </c>
      <c r="AE7838">
        <v>-33.938789999999997</v>
      </c>
      <c r="AF7838">
        <v>-3.8480531838474201</v>
      </c>
      <c r="AG7838">
        <v>-1.1142825777249901</v>
      </c>
      <c r="AH7838">
        <v>33.706893626536903</v>
      </c>
      <c r="AI7838">
        <v>91.881184313287505</v>
      </c>
      <c r="AJ7838">
        <v>96.512816135366407</v>
      </c>
      <c r="AK7838">
        <v>33.944127870950098</v>
      </c>
      <c r="AL7838">
        <v>87.819376516809598</v>
      </c>
      <c r="AM7838">
        <v>96.285045791133101</v>
      </c>
      <c r="AN7838">
        <v>0.99999994342223197</v>
      </c>
    </row>
    <row r="7839" spans="1:40" x14ac:dyDescent="0.25">
      <c r="A7839" t="str">
        <f>"20190312150845902"</f>
        <v>20190312150845902</v>
      </c>
      <c r="B7839" t="str">
        <f>"1552374525897557"</f>
        <v>1552374525897557</v>
      </c>
      <c r="C7839" t="s">
        <v>40</v>
      </c>
      <c r="D7839">
        <v>4.5427200000000001</v>
      </c>
      <c r="E7839">
        <v>0.5020114</v>
      </c>
      <c r="F7839" t="s">
        <v>42</v>
      </c>
      <c r="G7839">
        <v>-421.1694</v>
      </c>
      <c r="H7839" s="1">
        <v>-3.670389E-6</v>
      </c>
      <c r="I7839">
        <v>77.419560000000004</v>
      </c>
      <c r="J7839">
        <v>-422.2457</v>
      </c>
      <c r="K7839">
        <v>1.1140760000000001</v>
      </c>
      <c r="L7839">
        <v>111.0009</v>
      </c>
      <c r="M7839">
        <v>-7.0855829999999995E-2</v>
      </c>
      <c r="N7839">
        <v>0</v>
      </c>
      <c r="O7839">
        <v>-0.99742719999999896</v>
      </c>
      <c r="P7839">
        <v>3.2612670000000003E-2</v>
      </c>
      <c r="Q7839">
        <v>2.9453409999999999E-2</v>
      </c>
      <c r="R7839">
        <v>-0.99903419999999998</v>
      </c>
      <c r="S7839">
        <v>9.4177250000000004E-2</v>
      </c>
      <c r="T7839">
        <v>-9.8841910000000005E-2</v>
      </c>
      <c r="U7839">
        <v>-3.002548</v>
      </c>
      <c r="V7839">
        <v>-0.1037159</v>
      </c>
      <c r="W7839">
        <v>3.9258710000000002E-2</v>
      </c>
      <c r="X7839">
        <v>0.99383189999999999</v>
      </c>
      <c r="Y7839">
        <v>-0.1020799</v>
      </c>
      <c r="Z7839">
        <v>3.2683459999999998E-2</v>
      </c>
      <c r="AA7839">
        <v>0.99423919999999999</v>
      </c>
      <c r="AB7839">
        <v>27</v>
      </c>
      <c r="AC7839">
        <v>1.0763</v>
      </c>
      <c r="AD7839">
        <v>-1.1140796703889999</v>
      </c>
      <c r="AE7839">
        <v>-33.581339999999997</v>
      </c>
      <c r="AF7839">
        <v>-3.4493765538713799</v>
      </c>
      <c r="AG7839">
        <v>-1.1140796703889999</v>
      </c>
      <c r="AH7839">
        <v>33.383953633813</v>
      </c>
      <c r="AI7839">
        <v>91.901234606425206</v>
      </c>
      <c r="AJ7839">
        <v>95.899117889707398</v>
      </c>
      <c r="AK7839">
        <v>33.580168736129799</v>
      </c>
      <c r="AL7839">
        <v>87.750063493893705</v>
      </c>
      <c r="AM7839">
        <v>95.957798468821096</v>
      </c>
      <c r="AN7839">
        <v>1.0000000398406399</v>
      </c>
    </row>
    <row r="7840" spans="1:40" x14ac:dyDescent="0.25">
      <c r="A7840" t="str">
        <f>"20190312150845915"</f>
        <v>20190312150845915</v>
      </c>
      <c r="B7840" t="str">
        <f>"1552374525907317"</f>
        <v>1552374525907317</v>
      </c>
      <c r="C7840" t="s">
        <v>40</v>
      </c>
      <c r="D7840">
        <v>4.5673870000000001</v>
      </c>
      <c r="E7840">
        <v>0.50488060000000001</v>
      </c>
      <c r="F7840" t="s">
        <v>42</v>
      </c>
      <c r="G7840">
        <v>-421.19420000000002</v>
      </c>
      <c r="H7840" s="1">
        <v>-2.9402639999999999E-6</v>
      </c>
      <c r="I7840">
        <v>75.702259999999995</v>
      </c>
      <c r="J7840">
        <v>-422.25299999999999</v>
      </c>
      <c r="K7840">
        <v>1.1139570000000001</v>
      </c>
      <c r="L7840">
        <v>110.85550000000001</v>
      </c>
      <c r="M7840">
        <v>-6.8028640000000001E-2</v>
      </c>
      <c r="N7840">
        <v>0</v>
      </c>
      <c r="O7840">
        <v>-0.99762390000000001</v>
      </c>
      <c r="P7840">
        <v>3.1967759999999998E-2</v>
      </c>
      <c r="Q7840">
        <v>2.9799619999999999E-2</v>
      </c>
      <c r="R7840">
        <v>-0.99904479999999996</v>
      </c>
      <c r="S7840">
        <v>8.9447020000000002E-2</v>
      </c>
      <c r="T7840">
        <v>-9.4772220000000004E-2</v>
      </c>
      <c r="U7840">
        <v>-3.002777</v>
      </c>
      <c r="V7840">
        <v>-0.10024710000000001</v>
      </c>
      <c r="W7840">
        <v>3.9671320000000003E-2</v>
      </c>
      <c r="X7840">
        <v>0.99417140000000004</v>
      </c>
      <c r="Y7840">
        <v>-9.7693669999999996E-2</v>
      </c>
      <c r="Z7840">
        <v>3.1353760000000001E-2</v>
      </c>
      <c r="AA7840">
        <v>0.99472249999999995</v>
      </c>
      <c r="AB7840">
        <v>27</v>
      </c>
      <c r="AC7840">
        <v>1.05880000000001</v>
      </c>
      <c r="AD7840">
        <v>-1.1139599402639999</v>
      </c>
      <c r="AE7840">
        <v>-35.153239999999997</v>
      </c>
      <c r="AF7840">
        <v>-3.4444601640419399</v>
      </c>
      <c r="AG7840">
        <v>-1.1139599402639999</v>
      </c>
      <c r="AH7840">
        <v>34.9646814728099</v>
      </c>
      <c r="AI7840">
        <v>91.816017252370003</v>
      </c>
      <c r="AJ7840">
        <v>95.626200347376198</v>
      </c>
      <c r="AK7840">
        <v>35.151588343419803</v>
      </c>
      <c r="AL7840">
        <v>87.7264042372977</v>
      </c>
      <c r="AM7840">
        <v>95.757947627188898</v>
      </c>
      <c r="AN7840">
        <v>1.00000003363345</v>
      </c>
    </row>
    <row r="7841" spans="1:40" x14ac:dyDescent="0.25">
      <c r="A7841" t="str">
        <f>"20190312150845927"</f>
        <v>20190312150845927</v>
      </c>
      <c r="B7841" t="str">
        <f>"1552374525918054"</f>
        <v>1552374525918054</v>
      </c>
      <c r="C7841" t="s">
        <v>40</v>
      </c>
      <c r="D7841">
        <v>4.736504</v>
      </c>
      <c r="E7841">
        <v>0.50683009999999995</v>
      </c>
      <c r="F7841" t="s">
        <v>42</v>
      </c>
      <c r="G7841">
        <v>-421.19760000000002</v>
      </c>
      <c r="H7841" s="1">
        <v>-9.7599069999999999E-7</v>
      </c>
      <c r="I7841">
        <v>61.121360000000003</v>
      </c>
      <c r="J7841">
        <v>-422.2604</v>
      </c>
      <c r="K7841">
        <v>1.1138380000000001</v>
      </c>
      <c r="L7841">
        <v>110.70310000000001</v>
      </c>
      <c r="M7841">
        <v>-6.5125440000000007E-2</v>
      </c>
      <c r="N7841">
        <v>0</v>
      </c>
      <c r="O7841">
        <v>-0.99781779999999998</v>
      </c>
      <c r="P7841">
        <v>3.1846020000000003E-2</v>
      </c>
      <c r="Q7841">
        <v>3.0455010000000001E-2</v>
      </c>
      <c r="R7841">
        <v>-0.9990289</v>
      </c>
      <c r="S7841">
        <v>6.3720700000000005E-2</v>
      </c>
      <c r="T7841">
        <v>-6.7258600000000002E-2</v>
      </c>
      <c r="U7841">
        <v>-3.002853</v>
      </c>
      <c r="V7841">
        <v>-9.7223649999999995E-2</v>
      </c>
      <c r="W7841">
        <v>4.0387909999999999E-2</v>
      </c>
      <c r="X7841">
        <v>0.99444279999999996</v>
      </c>
      <c r="Y7841">
        <v>-8.627957E-2</v>
      </c>
      <c r="Z7841">
        <v>2.227703E-2</v>
      </c>
      <c r="AA7841">
        <v>0.99602190000000002</v>
      </c>
      <c r="AB7841">
        <v>27</v>
      </c>
      <c r="AC7841">
        <v>1.06279999999998</v>
      </c>
      <c r="AD7841">
        <v>-1.1138389759906999</v>
      </c>
      <c r="AE7841">
        <v>-49.581740000000003</v>
      </c>
      <c r="AF7841">
        <v>-4.2876043701727999</v>
      </c>
      <c r="AG7841">
        <v>-1.1138389759906999</v>
      </c>
      <c r="AH7841">
        <v>49.382340322117898</v>
      </c>
      <c r="AI7841">
        <v>91.287269454843994</v>
      </c>
      <c r="AJ7841">
        <v>94.962241600644504</v>
      </c>
      <c r="AK7841">
        <v>49.580638602069598</v>
      </c>
      <c r="AL7841">
        <v>87.6853137632299</v>
      </c>
      <c r="AM7841">
        <v>95.583888364330605</v>
      </c>
      <c r="AN7841">
        <v>1.00000005193266</v>
      </c>
    </row>
    <row r="7842" spans="1:40" x14ac:dyDescent="0.25">
      <c r="A7842" t="str">
        <f>"20190312150845948"</f>
        <v>20190312150845948</v>
      </c>
      <c r="B7842" t="str">
        <f>"1552374525937573"</f>
        <v>1552374525937573</v>
      </c>
      <c r="C7842" t="s">
        <v>40</v>
      </c>
      <c r="D7842">
        <v>4.5468599999999997</v>
      </c>
      <c r="E7842">
        <v>0.50920679999999996</v>
      </c>
      <c r="F7842" t="s">
        <v>42</v>
      </c>
      <c r="G7842">
        <v>-421.34210000000002</v>
      </c>
      <c r="H7842" s="1">
        <v>-1.5789560000000001E-6</v>
      </c>
      <c r="I7842">
        <v>52.4373</v>
      </c>
      <c r="J7842">
        <v>-422.27159999999998</v>
      </c>
      <c r="K7842">
        <v>1.11364</v>
      </c>
      <c r="L7842">
        <v>110.4589</v>
      </c>
      <c r="M7842">
        <v>-6.0706870000000003E-2</v>
      </c>
      <c r="N7842">
        <v>0</v>
      </c>
      <c r="O7842">
        <v>-0.99809619999999999</v>
      </c>
      <c r="P7842">
        <v>2.9586669999999999E-2</v>
      </c>
      <c r="Q7842">
        <v>3.1964220000000002E-2</v>
      </c>
      <c r="R7842">
        <v>-0.99905100000000002</v>
      </c>
      <c r="S7842">
        <v>4.7332760000000001E-2</v>
      </c>
      <c r="T7842">
        <v>-5.7409880000000003E-2</v>
      </c>
      <c r="U7842">
        <v>-3.0031590000000001</v>
      </c>
      <c r="V7842">
        <v>-9.0557399999999996E-2</v>
      </c>
      <c r="W7842">
        <v>4.2008259999999999E-2</v>
      </c>
      <c r="X7842">
        <v>0.99500480000000002</v>
      </c>
      <c r="Y7842">
        <v>-7.6430029999999996E-2</v>
      </c>
      <c r="Z7842">
        <v>1.9030990000000001E-2</v>
      </c>
      <c r="AA7842">
        <v>0.99689329999999998</v>
      </c>
      <c r="AB7842">
        <v>27</v>
      </c>
      <c r="AC7842">
        <v>0.92949999999996102</v>
      </c>
      <c r="AD7842">
        <v>-1.1136415789559999</v>
      </c>
      <c r="AE7842">
        <v>-58.021599999999999</v>
      </c>
      <c r="AF7842">
        <v>-4.4486657344882898</v>
      </c>
      <c r="AG7842">
        <v>-1.1136415789559999</v>
      </c>
      <c r="AH7842">
        <v>57.836842794851798</v>
      </c>
      <c r="AI7842">
        <v>91.099839267892094</v>
      </c>
      <c r="AJ7842">
        <v>94.398388073381994</v>
      </c>
      <c r="AK7842">
        <v>58.018369581193802</v>
      </c>
      <c r="AL7842">
        <v>87.592395394627005</v>
      </c>
      <c r="AM7842">
        <v>95.200278101735407</v>
      </c>
      <c r="AN7842">
        <v>0.99999994431301198</v>
      </c>
    </row>
    <row r="7843" spans="1:40" x14ac:dyDescent="0.25">
      <c r="A7843" t="str">
        <f>"20190312150845969"</f>
        <v>20190312150845969</v>
      </c>
      <c r="B7843" t="str">
        <f>"1552374525958068"</f>
        <v>1552374525958068</v>
      </c>
      <c r="C7843" t="s">
        <v>40</v>
      </c>
      <c r="D7843">
        <v>4.4926700000000004</v>
      </c>
      <c r="E7843">
        <v>0.51087590000000005</v>
      </c>
      <c r="F7843" t="s">
        <v>73</v>
      </c>
      <c r="G7843">
        <v>-421.73169999999999</v>
      </c>
      <c r="H7843" s="1">
        <v>-3.9285419999999996E-6</v>
      </c>
      <c r="I7843">
        <v>33.342570000000002</v>
      </c>
      <c r="J7843">
        <v>-422.28280000000001</v>
      </c>
      <c r="K7843">
        <v>1.1134459999999999</v>
      </c>
      <c r="L7843">
        <v>110.1921</v>
      </c>
      <c r="M7843">
        <v>-5.6147799999999998E-2</v>
      </c>
      <c r="N7843">
        <v>0</v>
      </c>
      <c r="O7843">
        <v>-0.99836329999999995</v>
      </c>
      <c r="P7843">
        <v>2.7208079999999999E-2</v>
      </c>
      <c r="Q7843">
        <v>3.3497520000000003E-2</v>
      </c>
      <c r="R7843">
        <v>-0.99906859999999997</v>
      </c>
      <c r="S7843">
        <v>2.1026610000000001E-2</v>
      </c>
      <c r="T7843">
        <v>-4.3375490000000003E-2</v>
      </c>
      <c r="U7843">
        <v>-3.0036160000000001</v>
      </c>
      <c r="V7843">
        <v>-8.3628499999999995E-2</v>
      </c>
      <c r="W7843">
        <v>4.3646600000000001E-2</v>
      </c>
      <c r="X7843">
        <v>0.99554069999999995</v>
      </c>
      <c r="Y7843">
        <v>-6.3138230000000004E-2</v>
      </c>
      <c r="Z7843">
        <v>1.439083E-2</v>
      </c>
      <c r="AA7843">
        <v>0.99790100000000004</v>
      </c>
      <c r="AB7843">
        <v>27</v>
      </c>
      <c r="AC7843">
        <v>0.55110000000001902</v>
      </c>
      <c r="AD7843">
        <v>-1.1134499285420001</v>
      </c>
      <c r="AE7843">
        <v>-76.849529999999902</v>
      </c>
      <c r="AF7843">
        <v>-4.8643963842459401</v>
      </c>
      <c r="AG7843">
        <v>-1.1134499285420001</v>
      </c>
      <c r="AH7843">
        <v>76.681241899631104</v>
      </c>
      <c r="AI7843">
        <v>90.830236261708393</v>
      </c>
      <c r="AJ7843">
        <v>93.629785004425003</v>
      </c>
      <c r="AK7843">
        <v>76.843444627347196</v>
      </c>
      <c r="AL7843">
        <v>87.498439390942593</v>
      </c>
      <c r="AM7843">
        <v>94.801749437876794</v>
      </c>
      <c r="AN7843">
        <v>1.0000000185301401</v>
      </c>
    </row>
    <row r="7844" spans="1:40" x14ac:dyDescent="0.25">
      <c r="A7844" t="str">
        <f>"20190312150845993"</f>
        <v>20190312150845993</v>
      </c>
      <c r="B7844" t="str">
        <f>"1552374525987349"</f>
        <v>1552374525987349</v>
      </c>
      <c r="C7844" t="s">
        <v>40</v>
      </c>
      <c r="D7844">
        <v>4.5177909999999999</v>
      </c>
      <c r="E7844">
        <v>0.51246289999999906</v>
      </c>
      <c r="F7844" t="s">
        <v>73</v>
      </c>
      <c r="G7844">
        <v>-422.26929999999999</v>
      </c>
      <c r="H7844">
        <v>7.9986329999999994E-2</v>
      </c>
      <c r="I7844">
        <v>7.8256740000000002</v>
      </c>
      <c r="J7844">
        <v>-422.29329999999999</v>
      </c>
      <c r="K7844">
        <v>1.113273</v>
      </c>
      <c r="L7844">
        <v>109.9175</v>
      </c>
      <c r="M7844">
        <v>-5.1710069999999997E-2</v>
      </c>
      <c r="N7844">
        <v>0</v>
      </c>
      <c r="O7844">
        <v>-0.99860289999999996</v>
      </c>
      <c r="P7844">
        <v>2.367238E-2</v>
      </c>
      <c r="Q7844">
        <v>3.5325349999999998E-2</v>
      </c>
      <c r="R7844">
        <v>-0.99909570000000003</v>
      </c>
      <c r="S7844">
        <v>3.9672850000000001E-4</v>
      </c>
      <c r="T7844">
        <v>-3.0325410000000001E-2</v>
      </c>
      <c r="U7844">
        <v>-3.0037989999999999</v>
      </c>
      <c r="V7844">
        <v>-7.5666559999999994E-2</v>
      </c>
      <c r="W7844">
        <v>4.5577769999999997E-2</v>
      </c>
      <c r="X7844">
        <v>0.99609099999999995</v>
      </c>
      <c r="Y7844">
        <v>-5.184503E-2</v>
      </c>
      <c r="Z7844">
        <v>1.006812E-2</v>
      </c>
      <c r="AA7844">
        <v>0.99860439999999995</v>
      </c>
      <c r="AB7844">
        <v>27</v>
      </c>
      <c r="AC7844">
        <v>2.4000000000000899E-2</v>
      </c>
      <c r="AD7844">
        <v>-1.0332866700000001</v>
      </c>
      <c r="AE7844">
        <v>-102.091826</v>
      </c>
      <c r="AF7844">
        <v>-5.3029124736567397</v>
      </c>
      <c r="AG7844">
        <v>-1.0332866700000001</v>
      </c>
      <c r="AH7844">
        <v>101.94354122107799</v>
      </c>
      <c r="AI7844">
        <v>90.579938752010804</v>
      </c>
      <c r="AJ7844">
        <v>92.977735490907193</v>
      </c>
      <c r="AK7844">
        <v>102.086601269409</v>
      </c>
      <c r="AL7844">
        <v>87.387681218245504</v>
      </c>
      <c r="AM7844">
        <v>94.344045138449502</v>
      </c>
      <c r="AN7844">
        <v>1.0000000208507001</v>
      </c>
    </row>
    <row r="7845" spans="1:40" x14ac:dyDescent="0.25">
      <c r="A7845" t="str">
        <f>"20190312150846014"</f>
        <v>20190312150846014</v>
      </c>
      <c r="B7845" t="str">
        <f>"1552374526007845"</f>
        <v>1552374526007845</v>
      </c>
      <c r="C7845" t="s">
        <v>40</v>
      </c>
      <c r="D7845">
        <v>4.5204339999999998</v>
      </c>
      <c r="E7845">
        <v>0.51315459999999902</v>
      </c>
      <c r="F7845" t="s">
        <v>80</v>
      </c>
      <c r="G7845">
        <v>-423.13959999999997</v>
      </c>
      <c r="H7845">
        <v>0.38035550000000001</v>
      </c>
      <c r="I7845">
        <v>0.44545360000000001</v>
      </c>
      <c r="J7845">
        <v>-422.30250000000001</v>
      </c>
      <c r="K7845">
        <v>1.11313</v>
      </c>
      <c r="L7845">
        <v>109.65770000000001</v>
      </c>
      <c r="M7845">
        <v>-4.7745460000000003E-2</v>
      </c>
      <c r="N7845">
        <v>0</v>
      </c>
      <c r="O7845">
        <v>-0.99880029999999997</v>
      </c>
      <c r="P7845">
        <v>1.9224189999999999E-2</v>
      </c>
      <c r="Q7845">
        <v>3.605643E-2</v>
      </c>
      <c r="R7845">
        <v>-0.99916490000000002</v>
      </c>
      <c r="S7845">
        <v>-2.3223879999999999E-2</v>
      </c>
      <c r="T7845">
        <v>-2.0112399999999999E-2</v>
      </c>
      <c r="U7845">
        <v>-3.0039669999999998</v>
      </c>
      <c r="V7845">
        <v>-6.7258659999999998E-2</v>
      </c>
      <c r="W7845">
        <v>4.640325E-2</v>
      </c>
      <c r="X7845">
        <v>0.99665590000000004</v>
      </c>
      <c r="Y7845">
        <v>-4.002501E-2</v>
      </c>
      <c r="Z7845">
        <v>6.6808909999999996E-3</v>
      </c>
      <c r="AA7845">
        <v>0.99917630000000002</v>
      </c>
      <c r="AB7845">
        <v>27</v>
      </c>
      <c r="AC7845">
        <v>-0.83709999999996398</v>
      </c>
      <c r="AD7845">
        <v>-0.7327745</v>
      </c>
      <c r="AE7845">
        <v>-109.2122464</v>
      </c>
      <c r="AF7845">
        <v>-4.3783551808770298</v>
      </c>
      <c r="AG7845">
        <v>-0.7327745</v>
      </c>
      <c r="AH7845">
        <v>109.12273668503001</v>
      </c>
      <c r="AI7845">
        <v>90.384434110742404</v>
      </c>
      <c r="AJ7845">
        <v>92.297658511419499</v>
      </c>
      <c r="AK7845">
        <v>109.212996544313</v>
      </c>
      <c r="AL7845">
        <v>87.3403345064349</v>
      </c>
      <c r="AM7845">
        <v>93.860713904851906</v>
      </c>
      <c r="AN7845">
        <v>0.99999998598018403</v>
      </c>
    </row>
    <row r="7846" spans="1:40" x14ac:dyDescent="0.25">
      <c r="A7846" t="str">
        <f>"20190312150846027"</f>
        <v>20190312150846027</v>
      </c>
      <c r="B7846" t="str">
        <f>"1552374526017606"</f>
        <v>1552374526017606</v>
      </c>
      <c r="C7846" t="s">
        <v>40</v>
      </c>
      <c r="D7846">
        <v>4.512473</v>
      </c>
      <c r="E7846">
        <v>0.51345839999999998</v>
      </c>
      <c r="F7846" t="s">
        <v>80</v>
      </c>
      <c r="G7846">
        <v>-423.84809999999999</v>
      </c>
      <c r="H7846">
        <v>0.51030959999999903</v>
      </c>
      <c r="I7846">
        <v>0.43825150000000002</v>
      </c>
      <c r="J7846">
        <v>-422.30770000000001</v>
      </c>
      <c r="K7846">
        <v>1.1130409999999999</v>
      </c>
      <c r="L7846">
        <v>109.49930000000001</v>
      </c>
      <c r="M7846">
        <v>-4.5425729999999997E-2</v>
      </c>
      <c r="N7846">
        <v>0</v>
      </c>
      <c r="O7846">
        <v>-0.99890849999999998</v>
      </c>
      <c r="P7846">
        <v>1.7329089999999998E-2</v>
      </c>
      <c r="Q7846">
        <v>3.6747769999999999E-2</v>
      </c>
      <c r="R7846">
        <v>-0.99917420000000001</v>
      </c>
      <c r="S7846">
        <v>-4.2510989999999999E-2</v>
      </c>
      <c r="T7846">
        <v>-1.6580339999999999E-2</v>
      </c>
      <c r="U7846">
        <v>-3.0039220000000002</v>
      </c>
      <c r="V7846">
        <v>-6.3045240000000002E-2</v>
      </c>
      <c r="W7846">
        <v>4.7140590000000003E-2</v>
      </c>
      <c r="X7846">
        <v>0.99689669999999997</v>
      </c>
      <c r="Y7846">
        <v>-3.1288280000000002E-2</v>
      </c>
      <c r="Z7846">
        <v>5.5093090000000004E-3</v>
      </c>
      <c r="AA7846">
        <v>0.99949520000000003</v>
      </c>
      <c r="AB7846">
        <v>27</v>
      </c>
      <c r="AC7846">
        <v>-1.54039999999997</v>
      </c>
      <c r="AD7846">
        <v>-0.60273140000000003</v>
      </c>
      <c r="AE7846">
        <v>-109.0610485</v>
      </c>
      <c r="AF7846">
        <v>-3.41555685183187</v>
      </c>
      <c r="AG7846">
        <v>-0.60273140000000003</v>
      </c>
      <c r="AH7846">
        <v>109.015102469654</v>
      </c>
      <c r="AI7846">
        <v>90.316622888619506</v>
      </c>
      <c r="AJ7846">
        <v>91.794549482260194</v>
      </c>
      <c r="AK7846">
        <v>109.07026120908399</v>
      </c>
      <c r="AL7846">
        <v>87.298041744022996</v>
      </c>
      <c r="AM7846">
        <v>93.618651771828198</v>
      </c>
      <c r="AN7846">
        <v>0.99999998399154699</v>
      </c>
    </row>
    <row r="7847" spans="1:40" x14ac:dyDescent="0.25">
      <c r="A7847" t="str">
        <f>"20190312150846039"</f>
        <v>20190312150846039</v>
      </c>
      <c r="B7847" t="str">
        <f>"1552374526027366"</f>
        <v>1552374526027366</v>
      </c>
      <c r="C7847" t="s">
        <v>40</v>
      </c>
      <c r="D7847">
        <v>4.5369729999999997</v>
      </c>
      <c r="E7847">
        <v>0.51370159999999998</v>
      </c>
      <c r="F7847" t="s">
        <v>80</v>
      </c>
      <c r="G7847">
        <v>-424.14139999999998</v>
      </c>
      <c r="H7847">
        <v>0.62661169999999899</v>
      </c>
      <c r="I7847">
        <v>0.4352684</v>
      </c>
      <c r="J7847">
        <v>-422.31229999999999</v>
      </c>
      <c r="K7847">
        <v>1.112959</v>
      </c>
      <c r="L7847">
        <v>109.3477</v>
      </c>
      <c r="M7847">
        <v>-4.3299079999999997E-2</v>
      </c>
      <c r="N7847">
        <v>0</v>
      </c>
      <c r="O7847">
        <v>-0.99900299999999997</v>
      </c>
      <c r="P7847">
        <v>1.5259470000000001E-2</v>
      </c>
      <c r="Q7847">
        <v>3.7380860000000002E-2</v>
      </c>
      <c r="R7847">
        <v>-0.99918499999999999</v>
      </c>
      <c r="S7847">
        <v>-5.0506589999999997E-2</v>
      </c>
      <c r="T7847">
        <v>-1.339805E-2</v>
      </c>
      <c r="U7847">
        <v>-3.00386</v>
      </c>
      <c r="V7847">
        <v>-5.8849199999999997E-2</v>
      </c>
      <c r="W7847">
        <v>4.7816940000000002E-2</v>
      </c>
      <c r="X7847">
        <v>0.99712100000000004</v>
      </c>
      <c r="Y7847">
        <v>-2.649994E-2</v>
      </c>
      <c r="Z7847">
        <v>4.4528609999999998E-3</v>
      </c>
      <c r="AA7847">
        <v>0.9996389</v>
      </c>
      <c r="AB7847">
        <v>27</v>
      </c>
      <c r="AC7847">
        <v>-1.82909999999998</v>
      </c>
      <c r="AD7847">
        <v>-0.48634729999999998</v>
      </c>
      <c r="AE7847">
        <v>-108.912431599999</v>
      </c>
      <c r="AF7847">
        <v>-2.8886448375807601</v>
      </c>
      <c r="AG7847">
        <v>-0.48634729999999998</v>
      </c>
      <c r="AH7847">
        <v>108.88730890967</v>
      </c>
      <c r="AI7847">
        <v>90.255821017532696</v>
      </c>
      <c r="AJ7847">
        <v>91.519629322788305</v>
      </c>
      <c r="AK7847">
        <v>108.92670399990899</v>
      </c>
      <c r="AL7847">
        <v>87.259246002174095</v>
      </c>
      <c r="AM7847">
        <v>93.3776281809198</v>
      </c>
      <c r="AN7847">
        <v>0.999999988366301</v>
      </c>
    </row>
    <row r="7848" spans="1:40" x14ac:dyDescent="0.25">
      <c r="A7848" t="str">
        <f>"20190312150846058"</f>
        <v>20190312150846058</v>
      </c>
      <c r="B7848" t="str">
        <f>"1552374526047861"</f>
        <v>1552374526047861</v>
      </c>
      <c r="C7848" t="s">
        <v>40</v>
      </c>
      <c r="D7848">
        <v>4.7254559999999897</v>
      </c>
      <c r="E7848">
        <v>0.51400879999999904</v>
      </c>
      <c r="F7848" t="s">
        <v>80</v>
      </c>
      <c r="G7848">
        <v>-424.44690000000003</v>
      </c>
      <c r="H7848">
        <v>0.71037839999999997</v>
      </c>
      <c r="I7848">
        <v>0.43216320000000003</v>
      </c>
      <c r="J7848">
        <v>-422.31889999999999</v>
      </c>
      <c r="K7848">
        <v>1.11283</v>
      </c>
      <c r="L7848">
        <v>109.1206</v>
      </c>
      <c r="M7848">
        <v>-4.0242439999999997E-2</v>
      </c>
      <c r="N7848">
        <v>0</v>
      </c>
      <c r="O7848">
        <v>-0.99913070000000004</v>
      </c>
      <c r="P7848">
        <v>9.7729040000000007E-3</v>
      </c>
      <c r="Q7848">
        <v>3.871016E-2</v>
      </c>
      <c r="R7848">
        <v>-0.99920279999999995</v>
      </c>
      <c r="S7848">
        <v>-5.8868410000000003E-2</v>
      </c>
      <c r="T7848">
        <v>-1.110351E-2</v>
      </c>
      <c r="U7848">
        <v>-3.0037690000000001</v>
      </c>
      <c r="V7848">
        <v>-5.0309109999999997E-2</v>
      </c>
      <c r="W7848">
        <v>4.9224320000000002E-2</v>
      </c>
      <c r="X7848">
        <v>0.99751990000000001</v>
      </c>
      <c r="Y7848">
        <v>-2.065869E-2</v>
      </c>
      <c r="Z7848">
        <v>3.6912609999999999E-3</v>
      </c>
      <c r="AA7848">
        <v>0.9997798</v>
      </c>
      <c r="AB7848">
        <v>27</v>
      </c>
      <c r="AC7848">
        <v>-2.1280000000000401</v>
      </c>
      <c r="AD7848">
        <v>-0.40245159999999902</v>
      </c>
      <c r="AE7848">
        <v>-108.68843680000001</v>
      </c>
      <c r="AF7848">
        <v>-2.2478400263310698</v>
      </c>
      <c r="AG7848">
        <v>-0.40245159999999902</v>
      </c>
      <c r="AH7848">
        <v>108.68453415883199</v>
      </c>
      <c r="AI7848">
        <v>90.212116128746203</v>
      </c>
      <c r="AJ7848">
        <v>91.184836356503197</v>
      </c>
      <c r="AK7848">
        <v>108.70852182509201</v>
      </c>
      <c r="AL7848">
        <v>87.178513992914006</v>
      </c>
      <c r="AM7848">
        <v>92.887220008764899</v>
      </c>
      <c r="AN7848">
        <v>0.99999999556223196</v>
      </c>
    </row>
    <row r="7849" spans="1:40" x14ac:dyDescent="0.25">
      <c r="A7849" t="str">
        <f>"20190312150846071"</f>
        <v>20190312150846071</v>
      </c>
      <c r="B7849" t="str">
        <f>"1552374526067381"</f>
        <v>1552374526067381</v>
      </c>
      <c r="C7849" t="s">
        <v>40</v>
      </c>
      <c r="D7849">
        <v>4.5084819999999999</v>
      </c>
      <c r="E7849">
        <v>0.51416709999999999</v>
      </c>
      <c r="F7849" t="s">
        <v>80</v>
      </c>
      <c r="G7849">
        <v>-425.13080000000002</v>
      </c>
      <c r="H7849">
        <v>0.85470599999999997</v>
      </c>
      <c r="I7849">
        <v>0.4252071</v>
      </c>
      <c r="J7849">
        <v>-422.32299999999998</v>
      </c>
      <c r="K7849">
        <v>1.112741</v>
      </c>
      <c r="L7849">
        <v>108.9658</v>
      </c>
      <c r="M7849">
        <v>-3.8249140000000001E-2</v>
      </c>
      <c r="N7849">
        <v>0</v>
      </c>
      <c r="O7849">
        <v>-0.99920920000000002</v>
      </c>
      <c r="P7849">
        <v>8.0030540000000008E-3</v>
      </c>
      <c r="Q7849">
        <v>3.9442629999999999E-2</v>
      </c>
      <c r="R7849">
        <v>-0.99918989999999996</v>
      </c>
      <c r="S7849">
        <v>-7.7697749999999996E-2</v>
      </c>
      <c r="T7849">
        <v>-7.1330069999999898E-3</v>
      </c>
      <c r="U7849">
        <v>-3.0034329999999998</v>
      </c>
      <c r="V7849">
        <v>-4.6542670000000001E-2</v>
      </c>
      <c r="W7849">
        <v>4.9991099999999997E-2</v>
      </c>
      <c r="X7849">
        <v>0.99766460000000001</v>
      </c>
      <c r="Y7849">
        <v>-1.2396610000000001E-2</v>
      </c>
      <c r="Z7849">
        <v>2.37185E-3</v>
      </c>
      <c r="AA7849">
        <v>0.99992040000000004</v>
      </c>
      <c r="AB7849">
        <v>27</v>
      </c>
      <c r="AC7849">
        <v>-2.8077999999999799</v>
      </c>
      <c r="AD7849">
        <v>-0.25803500000000001</v>
      </c>
      <c r="AE7849">
        <v>-108.54059289999999</v>
      </c>
      <c r="AF7849">
        <v>-1.3460765457803401</v>
      </c>
      <c r="AG7849">
        <v>-0.25803500000000001</v>
      </c>
      <c r="AH7849">
        <v>108.56794629568201</v>
      </c>
      <c r="AI7849">
        <v>90.136164981772595</v>
      </c>
      <c r="AJ7849">
        <v>90.710343670091405</v>
      </c>
      <c r="AK7849">
        <v>108.57659723435</v>
      </c>
      <c r="AL7849">
        <v>87.134526565829802</v>
      </c>
      <c r="AM7849">
        <v>92.671004366659204</v>
      </c>
      <c r="AN7849">
        <v>0.999999992151549</v>
      </c>
    </row>
    <row r="7850" spans="1:40" x14ac:dyDescent="0.25">
      <c r="A7850" t="str">
        <f>"20190312150846083"</f>
        <v>20190312150846083</v>
      </c>
      <c r="B7850" t="str">
        <f>"1552374526078117"</f>
        <v>1552374526078117</v>
      </c>
      <c r="C7850" t="s">
        <v>40</v>
      </c>
      <c r="D7850">
        <v>4.5405360000000003</v>
      </c>
      <c r="E7850">
        <v>0.514235</v>
      </c>
      <c r="F7850" t="s">
        <v>80</v>
      </c>
      <c r="G7850">
        <v>-425.36369999999999</v>
      </c>
      <c r="H7850">
        <v>0.85487169999999901</v>
      </c>
      <c r="I7850">
        <v>0.4228401</v>
      </c>
      <c r="J7850">
        <v>-422.32690000000002</v>
      </c>
      <c r="K7850">
        <v>1.1126529999999999</v>
      </c>
      <c r="L7850">
        <v>108.81570000000001</v>
      </c>
      <c r="M7850">
        <v>-3.6367820000000002E-2</v>
      </c>
      <c r="N7850">
        <v>0</v>
      </c>
      <c r="O7850">
        <v>-0.99927940000000004</v>
      </c>
      <c r="P7850">
        <v>6.1784509999999997E-3</v>
      </c>
      <c r="Q7850">
        <v>4.0197620000000003E-2</v>
      </c>
      <c r="R7850">
        <v>-0.99917270000000002</v>
      </c>
      <c r="S7850">
        <v>-8.4136959999999997E-2</v>
      </c>
      <c r="T7850">
        <v>-7.1358680000000001E-3</v>
      </c>
      <c r="U7850">
        <v>-3.003387</v>
      </c>
      <c r="V7850">
        <v>-4.283286E-2</v>
      </c>
      <c r="W7850">
        <v>5.077926E-2</v>
      </c>
      <c r="X7850">
        <v>0.99779099999999998</v>
      </c>
      <c r="Y7850">
        <v>-8.3712719999999904E-3</v>
      </c>
      <c r="Z7850">
        <v>2.3730689999999998E-3</v>
      </c>
      <c r="AA7850">
        <v>0.99996220000000002</v>
      </c>
      <c r="AB7850">
        <v>27</v>
      </c>
      <c r="AC7850">
        <v>-3.0367999999999702</v>
      </c>
      <c r="AD7850">
        <v>-0.25778129999999999</v>
      </c>
      <c r="AE7850">
        <v>-108.3928599</v>
      </c>
      <c r="AF7850">
        <v>-0.90744877747339903</v>
      </c>
      <c r="AG7850">
        <v>-0.25778129999999999</v>
      </c>
      <c r="AH7850">
        <v>108.430982043817</v>
      </c>
      <c r="AI7850">
        <v>90.136208629913199</v>
      </c>
      <c r="AJ7850">
        <v>90.479491841777204</v>
      </c>
      <c r="AK7850">
        <v>108.43508556490799</v>
      </c>
      <c r="AL7850">
        <v>87.089311012684107</v>
      </c>
      <c r="AM7850">
        <v>92.458066148682605</v>
      </c>
      <c r="AN7850">
        <v>1.00000003341146</v>
      </c>
    </row>
    <row r="7851" spans="1:40" x14ac:dyDescent="0.25">
      <c r="A7851" t="str">
        <f>"20190312150846096"</f>
        <v>20190312150846096</v>
      </c>
      <c r="B7851" t="str">
        <f>"1552374526087877"</f>
        <v>1552374526087877</v>
      </c>
      <c r="C7851" t="s">
        <v>40</v>
      </c>
      <c r="D7851">
        <v>4.505833</v>
      </c>
      <c r="E7851">
        <v>0.51430609999999999</v>
      </c>
      <c r="F7851" t="s">
        <v>80</v>
      </c>
      <c r="G7851">
        <v>-425.58170000000001</v>
      </c>
      <c r="H7851">
        <v>0.90768959999999999</v>
      </c>
      <c r="I7851">
        <v>0.42062379999999999</v>
      </c>
      <c r="J7851">
        <v>-422.3304</v>
      </c>
      <c r="K7851">
        <v>1.112563</v>
      </c>
      <c r="L7851">
        <v>108.66540000000001</v>
      </c>
      <c r="M7851">
        <v>-3.4584080000000003E-2</v>
      </c>
      <c r="N7851">
        <v>0</v>
      </c>
      <c r="O7851">
        <v>-0.99934270000000003</v>
      </c>
      <c r="P7851">
        <v>4.776972E-3</v>
      </c>
      <c r="Q7851">
        <v>4.1152000000000001E-2</v>
      </c>
      <c r="R7851">
        <v>-0.99914179999999997</v>
      </c>
      <c r="S7851">
        <v>-9.017944E-2</v>
      </c>
      <c r="T7851">
        <v>-5.6796069999999997E-3</v>
      </c>
      <c r="U7851">
        <v>-3.0032649999999999</v>
      </c>
      <c r="V7851">
        <v>-3.964384E-2</v>
      </c>
      <c r="W7851">
        <v>5.1761199999999903E-2</v>
      </c>
      <c r="X7851">
        <v>0.99787230000000005</v>
      </c>
      <c r="Y7851">
        <v>-4.5749509999999998E-3</v>
      </c>
      <c r="Z7851">
        <v>1.889008E-3</v>
      </c>
      <c r="AA7851">
        <v>0.99998770000000003</v>
      </c>
      <c r="AB7851">
        <v>27</v>
      </c>
      <c r="AC7851">
        <v>-3.2513000000000098</v>
      </c>
      <c r="AD7851">
        <v>-0.20487339999999901</v>
      </c>
      <c r="AE7851">
        <v>-108.2447762</v>
      </c>
      <c r="AF7851">
        <v>-0.49441050788451402</v>
      </c>
      <c r="AG7851">
        <v>-0.20487339999999901</v>
      </c>
      <c r="AH7851">
        <v>108.29207791319899</v>
      </c>
      <c r="AI7851">
        <v>90.108394307699896</v>
      </c>
      <c r="AJ7851">
        <v>90.261583664993694</v>
      </c>
      <c r="AK7851">
        <v>108.293400323467</v>
      </c>
      <c r="AL7851">
        <v>87.032975779077105</v>
      </c>
      <c r="AM7851">
        <v>92.275071486325999</v>
      </c>
      <c r="AN7851">
        <v>0.999999991491337</v>
      </c>
    </row>
    <row r="7852" spans="1:40" x14ac:dyDescent="0.25">
      <c r="A7852" t="str">
        <f>"20190312150846108"</f>
        <v>20190312150846108</v>
      </c>
      <c r="B7852" t="str">
        <f>"1552374526097637"</f>
        <v>1552374526097637</v>
      </c>
      <c r="C7852" t="s">
        <v>40</v>
      </c>
      <c r="D7852">
        <v>4.6925549999999996</v>
      </c>
      <c r="E7852">
        <v>0.5139338</v>
      </c>
      <c r="F7852" t="s">
        <v>80</v>
      </c>
      <c r="G7852">
        <v>-425.73829999999998</v>
      </c>
      <c r="H7852">
        <v>0.99024579999999995</v>
      </c>
      <c r="I7852">
        <v>0.4826241</v>
      </c>
      <c r="J7852">
        <v>-422.3338</v>
      </c>
      <c r="K7852">
        <v>1.112476</v>
      </c>
      <c r="L7852">
        <v>108.51739999999999</v>
      </c>
      <c r="M7852">
        <v>-3.286679E-2</v>
      </c>
      <c r="N7852">
        <v>0</v>
      </c>
      <c r="O7852">
        <v>-0.99940090000000004</v>
      </c>
      <c r="P7852">
        <v>3.5568850000000001E-3</v>
      </c>
      <c r="Q7852">
        <v>4.240965E-2</v>
      </c>
      <c r="R7852">
        <v>-0.99909440000000005</v>
      </c>
      <c r="S7852">
        <v>-9.4604489999999999E-2</v>
      </c>
      <c r="T7852">
        <v>-3.396273E-3</v>
      </c>
      <c r="U7852">
        <v>-3.0031889999999999</v>
      </c>
      <c r="V7852">
        <v>-3.6702989999999998E-2</v>
      </c>
      <c r="W7852">
        <v>5.3043090000000001E-2</v>
      </c>
      <c r="X7852">
        <v>0.99791750000000001</v>
      </c>
      <c r="Y7852">
        <v>-1.38374299999999E-3</v>
      </c>
      <c r="Z7852">
        <v>1.1296909999999999E-3</v>
      </c>
      <c r="AA7852">
        <v>0.99999839999999995</v>
      </c>
      <c r="AB7852">
        <v>27</v>
      </c>
      <c r="AC7852">
        <v>-3.4044999999999801</v>
      </c>
      <c r="AD7852">
        <v>-0.122230199999999</v>
      </c>
      <c r="AE7852">
        <v>-108.0347759</v>
      </c>
      <c r="AF7852">
        <v>-0.14830446019885399</v>
      </c>
      <c r="AG7852">
        <v>-0.122230199999999</v>
      </c>
      <c r="AH7852">
        <v>108.08816563072</v>
      </c>
      <c r="AI7852">
        <v>90.064792153431895</v>
      </c>
      <c r="AJ7852">
        <v>90.078613734173004</v>
      </c>
      <c r="AK7852">
        <v>108.08833648386199</v>
      </c>
      <c r="AL7852">
        <v>86.959427886134407</v>
      </c>
      <c r="AM7852">
        <v>92.106365461476699</v>
      </c>
      <c r="AN7852">
        <v>1.0000000078389599</v>
      </c>
    </row>
    <row r="7853" spans="1:40" x14ac:dyDescent="0.25">
      <c r="A7853" t="str">
        <f>"20190312150846125"</f>
        <v>20190312150846125</v>
      </c>
      <c r="B7853" t="str">
        <f>"1552374526118138"</f>
        <v>1552374526118138</v>
      </c>
      <c r="C7853" t="s">
        <v>40</v>
      </c>
      <c r="D7853">
        <v>4.4637479999999998</v>
      </c>
      <c r="E7853">
        <v>0.46448519999999999</v>
      </c>
      <c r="F7853" t="s">
        <v>80</v>
      </c>
      <c r="G7853">
        <v>-425.77949999999998</v>
      </c>
      <c r="H7853">
        <v>1.146482</v>
      </c>
      <c r="I7853">
        <v>0.53297039999999996</v>
      </c>
      <c r="J7853">
        <v>-422.3383</v>
      </c>
      <c r="K7853">
        <v>1.112363</v>
      </c>
      <c r="L7853">
        <v>108.3045</v>
      </c>
      <c r="M7853">
        <v>-3.050862E-2</v>
      </c>
      <c r="N7853">
        <v>0</v>
      </c>
      <c r="O7853">
        <v>-0.99947580000000003</v>
      </c>
      <c r="P7853">
        <v>8.3376269999999996E-4</v>
      </c>
      <c r="Q7853">
        <v>4.4557119999999999E-2</v>
      </c>
      <c r="R7853">
        <v>-0.99900659999999997</v>
      </c>
      <c r="S7853">
        <v>-9.5825199999999999E-2</v>
      </c>
      <c r="T7853">
        <v>9.4497199999999998E-4</v>
      </c>
      <c r="U7853">
        <v>-3.0030060000000001</v>
      </c>
      <c r="V7853">
        <v>-3.1617260000000001E-2</v>
      </c>
      <c r="W7853">
        <v>5.5227610000000003E-2</v>
      </c>
      <c r="X7853">
        <v>0.99797309999999995</v>
      </c>
      <c r="Y7853">
        <v>0</v>
      </c>
      <c r="Z7853">
        <v>0</v>
      </c>
      <c r="AA7853">
        <v>1</v>
      </c>
      <c r="AB7853">
        <v>27</v>
      </c>
      <c r="AC7853">
        <v>-3.4411999999999798</v>
      </c>
      <c r="AD7853">
        <v>3.4118999999999997E-2</v>
      </c>
      <c r="AE7853">
        <v>-107.771529599999</v>
      </c>
      <c r="AF7853">
        <v>0.15144435061886399</v>
      </c>
      <c r="AG7853">
        <v>3.4118999999999997E-2</v>
      </c>
      <c r="AH7853">
        <v>107.82633809121199</v>
      </c>
      <c r="AI7853">
        <v>89.981870174371096</v>
      </c>
      <c r="AJ7853">
        <v>89.9195269303451</v>
      </c>
      <c r="AK7853">
        <v>107.826449842595</v>
      </c>
      <c r="AL7853">
        <v>86.834080328578906</v>
      </c>
      <c r="AM7853">
        <v>91.814607862190897</v>
      </c>
      <c r="AN7853">
        <v>1.0000000241799101</v>
      </c>
    </row>
    <row r="7854" spans="1:40" x14ac:dyDescent="0.25">
      <c r="A7854" t="str">
        <f>"20190312150846139"</f>
        <v>20190312150846139</v>
      </c>
      <c r="B7854" t="str">
        <f>"1552374526127893"</f>
        <v>1552374526127893</v>
      </c>
      <c r="C7854" t="s">
        <v>40</v>
      </c>
      <c r="D7854">
        <v>4.5214089999999896</v>
      </c>
      <c r="E7854">
        <v>0.45914090000000002</v>
      </c>
      <c r="F7854" t="s">
        <v>42</v>
      </c>
      <c r="G7854">
        <v>-419.50330000000002</v>
      </c>
      <c r="H7854" s="1">
        <v>-4.2652679999999996E-6</v>
      </c>
      <c r="I7854">
        <v>79.369839999999996</v>
      </c>
      <c r="J7854">
        <v>-422.3415</v>
      </c>
      <c r="K7854">
        <v>1.1122749999999999</v>
      </c>
      <c r="L7854">
        <v>108.1379</v>
      </c>
      <c r="M7854">
        <v>-2.8759590000000002E-2</v>
      </c>
      <c r="N7854">
        <v>0</v>
      </c>
      <c r="O7854">
        <v>-0.99952739999999995</v>
      </c>
      <c r="P7854">
        <v>4.2164310000000001E-4</v>
      </c>
      <c r="Q7854">
        <v>4.5836710000000003E-2</v>
      </c>
      <c r="R7854">
        <v>-0.99894879999999997</v>
      </c>
      <c r="S7854">
        <v>0.29470829999999998</v>
      </c>
      <c r="T7854">
        <v>-0.1156355</v>
      </c>
      <c r="U7854">
        <v>-3.007889</v>
      </c>
      <c r="V7854">
        <v>-2.9451250000000002E-2</v>
      </c>
      <c r="W7854">
        <v>5.6523049999999998E-2</v>
      </c>
      <c r="X7854">
        <v>0.99796680000000004</v>
      </c>
      <c r="Y7854">
        <v>-0.12602430000000001</v>
      </c>
      <c r="Z7854">
        <v>3.8147500000000001E-2</v>
      </c>
      <c r="AA7854">
        <v>0.99129339999999999</v>
      </c>
      <c r="AB7854">
        <v>27</v>
      </c>
      <c r="AC7854">
        <v>2.8381999999999699</v>
      </c>
      <c r="AD7854">
        <v>-1.11227926526799</v>
      </c>
      <c r="AE7854">
        <v>-28.768059999999998</v>
      </c>
      <c r="AF7854">
        <v>-3.6590151689345798</v>
      </c>
      <c r="AG7854">
        <v>-1.11227926526799</v>
      </c>
      <c r="AH7854">
        <v>28.632139581299299</v>
      </c>
      <c r="AI7854">
        <v>92.206735102413703</v>
      </c>
      <c r="AJ7854">
        <v>97.282582400176693</v>
      </c>
      <c r="AK7854">
        <v>28.886415045371098</v>
      </c>
      <c r="AL7854">
        <v>86.759740809206903</v>
      </c>
      <c r="AM7854">
        <v>91.690379592508293</v>
      </c>
      <c r="AN7854">
        <v>0.99999998260505196</v>
      </c>
    </row>
    <row r="7855" spans="1:40" x14ac:dyDescent="0.25">
      <c r="A7855" t="str">
        <f>"20190312150846160"</f>
        <v>20190312150846160</v>
      </c>
      <c r="B7855" t="str">
        <f>"1552374526147413"</f>
        <v>1552374526147413</v>
      </c>
      <c r="C7855" t="s">
        <v>40</v>
      </c>
      <c r="D7855">
        <v>4.4546570000000001</v>
      </c>
      <c r="E7855">
        <v>0.45359260000000001</v>
      </c>
      <c r="F7855" t="s">
        <v>42</v>
      </c>
      <c r="G7855">
        <v>-419.17430000000002</v>
      </c>
      <c r="H7855" s="1">
        <v>-2.8724000000000002E-7</v>
      </c>
      <c r="I7855">
        <v>79.846530000000001</v>
      </c>
      <c r="J7855">
        <v>-422.3458</v>
      </c>
      <c r="K7855">
        <v>1.112168</v>
      </c>
      <c r="L7855">
        <v>107.8954</v>
      </c>
      <c r="M7855">
        <v>-2.6314170000000001E-2</v>
      </c>
      <c r="N7855">
        <v>0</v>
      </c>
      <c r="O7855">
        <v>-0.99959500000000001</v>
      </c>
      <c r="P7855">
        <v>-1.477622E-3</v>
      </c>
      <c r="Q7855">
        <v>4.740635E-2</v>
      </c>
      <c r="R7855">
        <v>-0.99887479999999995</v>
      </c>
      <c r="S7855">
        <v>0.33679199999999998</v>
      </c>
      <c r="T7855">
        <v>-0.1182768</v>
      </c>
      <c r="U7855">
        <v>-3.0084379999999999</v>
      </c>
      <c r="V7855">
        <v>-2.5099260000000002E-2</v>
      </c>
      <c r="W7855">
        <v>5.8120680000000001E-2</v>
      </c>
      <c r="X7855">
        <v>0.99799400000000005</v>
      </c>
      <c r="Y7855">
        <v>-0.137283399999999</v>
      </c>
      <c r="Z7855">
        <v>3.8956780000000003E-2</v>
      </c>
      <c r="AA7855">
        <v>0.98976549999999996</v>
      </c>
      <c r="AB7855">
        <v>27</v>
      </c>
      <c r="AC7855">
        <v>3.17149999999998</v>
      </c>
      <c r="AD7855">
        <v>-1.1121682872399901</v>
      </c>
      <c r="AE7855">
        <v>-28.048869999999901</v>
      </c>
      <c r="AF7855">
        <v>-3.9024696680028201</v>
      </c>
      <c r="AG7855">
        <v>-1.1121682872399901</v>
      </c>
      <c r="AH7855">
        <v>27.912365771363302</v>
      </c>
      <c r="AI7855">
        <v>92.259787169736398</v>
      </c>
      <c r="AJ7855">
        <v>97.959017362681195</v>
      </c>
      <c r="AK7855">
        <v>28.205785767519298</v>
      </c>
      <c r="AL7855">
        <v>86.668052658424301</v>
      </c>
      <c r="AM7855">
        <v>91.440668563701607</v>
      </c>
      <c r="AN7855">
        <v>1.0000000051661</v>
      </c>
    </row>
    <row r="7856" spans="1:40" x14ac:dyDescent="0.25">
      <c r="A7856" t="str">
        <f>"20190312150846182"</f>
        <v>20190312150846182</v>
      </c>
      <c r="B7856" t="str">
        <f>"1552374526177669"</f>
        <v>1552374526177669</v>
      </c>
      <c r="C7856" t="s">
        <v>40</v>
      </c>
      <c r="D7856">
        <v>4.4133550000000001</v>
      </c>
      <c r="E7856">
        <v>0.45032949999999999</v>
      </c>
      <c r="F7856" t="s">
        <v>42</v>
      </c>
      <c r="G7856">
        <v>-418.82170000000002</v>
      </c>
      <c r="H7856" s="1">
        <v>-3.1863209999999998E-7</v>
      </c>
      <c r="I7856">
        <v>79.663110000000003</v>
      </c>
      <c r="J7856">
        <v>-422.3501</v>
      </c>
      <c r="K7856">
        <v>1.1120650000000001</v>
      </c>
      <c r="L7856">
        <v>107.6225</v>
      </c>
      <c r="M7856">
        <v>-2.3717370000000002E-2</v>
      </c>
      <c r="N7856">
        <v>0</v>
      </c>
      <c r="O7856">
        <v>-0.99965979999999999</v>
      </c>
      <c r="P7856">
        <v>-2.8597190000000001E-3</v>
      </c>
      <c r="Q7856">
        <v>4.9790689999999999E-2</v>
      </c>
      <c r="R7856">
        <v>-0.99875559999999997</v>
      </c>
      <c r="S7856">
        <v>0.37567139999999999</v>
      </c>
      <c r="T7856">
        <v>-0.1185573</v>
      </c>
      <c r="U7856">
        <v>-3.0095670000000001</v>
      </c>
      <c r="V7856">
        <v>-2.11153E-2</v>
      </c>
      <c r="W7856">
        <v>6.0528279999999997E-2</v>
      </c>
      <c r="X7856">
        <v>0.99794309999999997</v>
      </c>
      <c r="Y7856">
        <v>-0.1472715</v>
      </c>
      <c r="Z7856">
        <v>3.8980689999999998E-2</v>
      </c>
      <c r="AA7856">
        <v>0.98832770000000003</v>
      </c>
      <c r="AB7856">
        <v>27</v>
      </c>
      <c r="AC7856">
        <v>3.5283999999999698</v>
      </c>
      <c r="AD7856">
        <v>-1.1120653186320999</v>
      </c>
      <c r="AE7856">
        <v>-27.959389999999999</v>
      </c>
      <c r="AF7856">
        <v>-4.1840542143554602</v>
      </c>
      <c r="AG7856">
        <v>-1.1120653186320999</v>
      </c>
      <c r="AH7856">
        <v>27.824506695500101</v>
      </c>
      <c r="AI7856">
        <v>92.263309931163903</v>
      </c>
      <c r="AJ7856">
        <v>98.551664851037003</v>
      </c>
      <c r="AK7856">
        <v>28.1592999165373</v>
      </c>
      <c r="AL7856">
        <v>86.529863833505502</v>
      </c>
      <c r="AM7856">
        <v>91.212130309079399</v>
      </c>
      <c r="AN7856">
        <v>0.99999997970572896</v>
      </c>
    </row>
    <row r="7857" spans="1:40" x14ac:dyDescent="0.25">
      <c r="A7857" t="str">
        <f>"20190312150846197"</f>
        <v>20190312150846197</v>
      </c>
      <c r="B7857" t="str">
        <f>"1552374526187429"</f>
        <v>1552374526187429</v>
      </c>
      <c r="C7857" t="s">
        <v>40</v>
      </c>
      <c r="D7857">
        <v>4.4649429999999999</v>
      </c>
      <c r="E7857">
        <v>0.44956200000000002</v>
      </c>
      <c r="F7857" t="s">
        <v>42</v>
      </c>
      <c r="G7857">
        <v>-418.95440000000002</v>
      </c>
      <c r="H7857" s="1">
        <v>-1.1795520000000001E-6</v>
      </c>
      <c r="I7857">
        <v>81.950009999999907</v>
      </c>
      <c r="J7857">
        <v>-422.3528</v>
      </c>
      <c r="K7857">
        <v>1.112004</v>
      </c>
      <c r="L7857">
        <v>107.4375</v>
      </c>
      <c r="M7857">
        <v>-2.206108E-2</v>
      </c>
      <c r="N7857">
        <v>0</v>
      </c>
      <c r="O7857">
        <v>-0.99969770000000002</v>
      </c>
      <c r="P7857">
        <v>-2.8856429999999998E-3</v>
      </c>
      <c r="Q7857">
        <v>5.1394549999999997E-2</v>
      </c>
      <c r="R7857">
        <v>-0.99867430000000001</v>
      </c>
      <c r="S7857">
        <v>0.39831539999999999</v>
      </c>
      <c r="T7857">
        <v>-0.13044610000000001</v>
      </c>
      <c r="U7857">
        <v>-3.0113979999999998</v>
      </c>
      <c r="V7857">
        <v>-1.9429760000000001E-2</v>
      </c>
      <c r="W7857">
        <v>6.2141229999999999E-2</v>
      </c>
      <c r="X7857">
        <v>0.9978783</v>
      </c>
      <c r="Y7857">
        <v>-0.15284679999999901</v>
      </c>
      <c r="Z7857">
        <v>4.282064E-2</v>
      </c>
      <c r="AA7857">
        <v>0.98732169999999997</v>
      </c>
      <c r="AB7857">
        <v>27</v>
      </c>
      <c r="AC7857">
        <v>3.3983999999999801</v>
      </c>
      <c r="AD7857">
        <v>-1.1120051795520001</v>
      </c>
      <c r="AE7857">
        <v>-25.487490000000001</v>
      </c>
      <c r="AF7857">
        <v>-3.9524952324582401</v>
      </c>
      <c r="AG7857">
        <v>-1.1120051795520001</v>
      </c>
      <c r="AH7857">
        <v>25.358881290508702</v>
      </c>
      <c r="AI7857">
        <v>92.480936735176599</v>
      </c>
      <c r="AJ7857">
        <v>98.8589773759862</v>
      </c>
      <c r="AK7857">
        <v>25.6891345589545</v>
      </c>
      <c r="AL7857">
        <v>86.437274610353995</v>
      </c>
      <c r="AM7857">
        <v>91.115469282885201</v>
      </c>
      <c r="AN7857">
        <v>1.00000007482522</v>
      </c>
    </row>
    <row r="7858" spans="1:40" x14ac:dyDescent="0.25">
      <c r="A7858" t="str">
        <f>"20190312150846210"</f>
        <v>20190312150846210</v>
      </c>
      <c r="B7858" t="str">
        <f>"1552374526207925"</f>
        <v>1552374526207925</v>
      </c>
      <c r="C7858" t="s">
        <v>40</v>
      </c>
      <c r="D7858">
        <v>4.4102480000000002</v>
      </c>
      <c r="E7858">
        <v>0.44860670000000002</v>
      </c>
      <c r="F7858" t="s">
        <v>42</v>
      </c>
      <c r="G7858">
        <v>-419.11410000000001</v>
      </c>
      <c r="H7858" s="1">
        <v>-1.742091E-6</v>
      </c>
      <c r="I7858">
        <v>83.32732</v>
      </c>
      <c r="J7858">
        <v>-422.35489999999999</v>
      </c>
      <c r="K7858">
        <v>1.1119429999999999</v>
      </c>
      <c r="L7858">
        <v>107.2679</v>
      </c>
      <c r="M7858">
        <v>-2.059503E-2</v>
      </c>
      <c r="N7858">
        <v>0</v>
      </c>
      <c r="O7858">
        <v>-0.99972899999999998</v>
      </c>
      <c r="P7858">
        <v>-2.6807990000000002E-3</v>
      </c>
      <c r="Q7858">
        <v>5.2868030000000003E-2</v>
      </c>
      <c r="R7858">
        <v>-0.99859819999999999</v>
      </c>
      <c r="S7858">
        <v>0.40463260000000001</v>
      </c>
      <c r="T7858">
        <v>-0.1389328</v>
      </c>
      <c r="U7858">
        <v>-3.0122990000000001</v>
      </c>
      <c r="V7858">
        <v>-1.8166149999999999E-2</v>
      </c>
      <c r="W7858">
        <v>6.3620800000000005E-2</v>
      </c>
      <c r="X7858">
        <v>0.99780880000000005</v>
      </c>
      <c r="Y7858">
        <v>-0.15337729999999999</v>
      </c>
      <c r="Z7858">
        <v>4.558135E-2</v>
      </c>
      <c r="AA7858">
        <v>0.98711590000000005</v>
      </c>
      <c r="AB7858">
        <v>27</v>
      </c>
      <c r="AC7858">
        <v>3.2407999999999699</v>
      </c>
      <c r="AD7858">
        <v>-1.111944742091</v>
      </c>
      <c r="AE7858">
        <v>-23.940580000000001</v>
      </c>
      <c r="AF7858">
        <v>-3.7253068028804401</v>
      </c>
      <c r="AG7858">
        <v>-1.111944742091</v>
      </c>
      <c r="AH7858">
        <v>23.818296286700999</v>
      </c>
      <c r="AI7858">
        <v>92.640823648682002</v>
      </c>
      <c r="AJ7858">
        <v>98.889342633870001</v>
      </c>
      <c r="AK7858">
        <v>24.133494771502299</v>
      </c>
      <c r="AL7858">
        <v>86.352333153256794</v>
      </c>
      <c r="AM7858">
        <v>91.043014201229099</v>
      </c>
      <c r="AN7858">
        <v>1.0000000082779501</v>
      </c>
    </row>
    <row r="7859" spans="1:40" x14ac:dyDescent="0.25">
      <c r="A7859" t="str">
        <f>"20190312150846223"</f>
        <v>20190312150846223</v>
      </c>
      <c r="B7859" t="str">
        <f>"1552374526217685"</f>
        <v>1552374526217685</v>
      </c>
      <c r="C7859" t="s">
        <v>40</v>
      </c>
      <c r="D7859">
        <v>4.4958179999999999</v>
      </c>
      <c r="E7859">
        <v>0.44848139999999997</v>
      </c>
      <c r="F7859" t="s">
        <v>42</v>
      </c>
      <c r="G7859">
        <v>-419.1404</v>
      </c>
      <c r="H7859" s="1">
        <v>-1.960151E-6</v>
      </c>
      <c r="I7859">
        <v>83.846490000000003</v>
      </c>
      <c r="J7859">
        <v>-422.3569</v>
      </c>
      <c r="K7859">
        <v>1.1118870000000001</v>
      </c>
      <c r="L7859">
        <v>107.1082</v>
      </c>
      <c r="M7859">
        <v>-1.92541E-2</v>
      </c>
      <c r="N7859">
        <v>0</v>
      </c>
      <c r="O7859">
        <v>-0.99975570000000002</v>
      </c>
      <c r="P7859">
        <v>-3.1310880000000002E-3</v>
      </c>
      <c r="Q7859">
        <v>5.4026659999999997E-2</v>
      </c>
      <c r="R7859">
        <v>-0.99853460000000005</v>
      </c>
      <c r="S7859">
        <v>0.41351320000000003</v>
      </c>
      <c r="T7859">
        <v>-0.1430389</v>
      </c>
      <c r="U7859">
        <v>-3.0128940000000002</v>
      </c>
      <c r="V7859">
        <v>-1.6371159999999999E-2</v>
      </c>
      <c r="W7859">
        <v>6.4788540000000006E-2</v>
      </c>
      <c r="X7859">
        <v>0.99776469999999995</v>
      </c>
      <c r="Y7859">
        <v>-0.1548745</v>
      </c>
      <c r="Z7859">
        <v>4.6903510000000002E-2</v>
      </c>
      <c r="AA7859">
        <v>0.98682009999999998</v>
      </c>
      <c r="AB7859">
        <v>27</v>
      </c>
      <c r="AC7859">
        <v>3.2164999999999901</v>
      </c>
      <c r="AD7859">
        <v>-1.111888960151</v>
      </c>
      <c r="AE7859">
        <v>-23.261709999999901</v>
      </c>
      <c r="AF7859">
        <v>-3.6556178477179602</v>
      </c>
      <c r="AG7859">
        <v>-1.111888960151</v>
      </c>
      <c r="AH7859">
        <v>23.1435774794442</v>
      </c>
      <c r="AI7859">
        <v>92.716918768415894</v>
      </c>
      <c r="AJ7859">
        <v>98.975932781834203</v>
      </c>
      <c r="AK7859">
        <v>23.4568756968036</v>
      </c>
      <c r="AL7859">
        <v>86.285288152727205</v>
      </c>
      <c r="AM7859">
        <v>90.940015428749206</v>
      </c>
      <c r="AN7859">
        <v>0.99999998318058303</v>
      </c>
    </row>
    <row r="7860" spans="1:40" x14ac:dyDescent="0.25">
      <c r="A7860" t="str">
        <f>"20190312150846237"</f>
        <v>20190312150846237</v>
      </c>
      <c r="B7860" t="str">
        <f>"1552374526227445"</f>
        <v>1552374526227445</v>
      </c>
      <c r="C7860" t="s">
        <v>40</v>
      </c>
      <c r="D7860">
        <v>4.4242929999999996</v>
      </c>
      <c r="E7860">
        <v>0.44829409999999997</v>
      </c>
      <c r="F7860" t="s">
        <v>42</v>
      </c>
      <c r="G7860">
        <v>-419.08580000000001</v>
      </c>
      <c r="H7860" s="1">
        <v>-1.706664E-6</v>
      </c>
      <c r="I7860">
        <v>83.233040000000003</v>
      </c>
      <c r="J7860">
        <v>-422.35860000000002</v>
      </c>
      <c r="K7860">
        <v>1.111842</v>
      </c>
      <c r="L7860">
        <v>106.9478</v>
      </c>
      <c r="M7860">
        <v>-1.796886E-2</v>
      </c>
      <c r="N7860">
        <v>0</v>
      </c>
      <c r="O7860">
        <v>-0.99977969999999905</v>
      </c>
      <c r="P7860">
        <v>-3.7730070000000001E-3</v>
      </c>
      <c r="Q7860">
        <v>5.5789320000000003E-2</v>
      </c>
      <c r="R7860">
        <v>-0.99843550000000003</v>
      </c>
      <c r="S7860">
        <v>0.41284179999999998</v>
      </c>
      <c r="T7860">
        <v>-0.1403316</v>
      </c>
      <c r="U7860">
        <v>-3.01329</v>
      </c>
      <c r="V7860">
        <v>-1.4442089999999999E-2</v>
      </c>
      <c r="W7860">
        <v>6.6559489999999999E-2</v>
      </c>
      <c r="X7860">
        <v>0.99767790000000001</v>
      </c>
      <c r="Y7860">
        <v>-0.1533767</v>
      </c>
      <c r="Z7860">
        <v>4.601947E-2</v>
      </c>
      <c r="AA7860">
        <v>0.98709570000000002</v>
      </c>
      <c r="AB7860">
        <v>27</v>
      </c>
      <c r="AC7860">
        <v>3.2728000000000099</v>
      </c>
      <c r="AD7860">
        <v>-1.1118437066639999</v>
      </c>
      <c r="AE7860">
        <v>-23.714759999999998</v>
      </c>
      <c r="AF7860">
        <v>-3.6904633687670998</v>
      </c>
      <c r="AG7860">
        <v>-1.1118437066639999</v>
      </c>
      <c r="AH7860">
        <v>23.601210256257801</v>
      </c>
      <c r="AI7860">
        <v>92.664852826189701</v>
      </c>
      <c r="AJ7860">
        <v>98.887233505856997</v>
      </c>
      <c r="AK7860">
        <v>23.913862964070699</v>
      </c>
      <c r="AL7860">
        <v>86.183600580836099</v>
      </c>
      <c r="AM7860">
        <v>90.829338821556902</v>
      </c>
      <c r="AN7860">
        <v>0.99999996591051799</v>
      </c>
    </row>
    <row r="7861" spans="1:40" x14ac:dyDescent="0.25">
      <c r="A7861" t="str">
        <f>"20190312150846250"</f>
        <v>20190312150846250</v>
      </c>
      <c r="B7861" t="str">
        <f>"1552374526238181"</f>
        <v>1552374526238181</v>
      </c>
      <c r="C7861" t="s">
        <v>40</v>
      </c>
      <c r="D7861">
        <v>4.4105600000000003</v>
      </c>
      <c r="E7861">
        <v>0.4480363</v>
      </c>
      <c r="F7861" t="s">
        <v>42</v>
      </c>
      <c r="G7861">
        <v>-418.92399999999998</v>
      </c>
      <c r="H7861" s="1">
        <v>-1.1520069999999999E-6</v>
      </c>
      <c r="I7861">
        <v>81.873199999999997</v>
      </c>
      <c r="J7861">
        <v>-422.36009999999999</v>
      </c>
      <c r="K7861">
        <v>1.1117939999999999</v>
      </c>
      <c r="L7861">
        <v>106.7916</v>
      </c>
      <c r="M7861">
        <v>-1.6745289999999999E-2</v>
      </c>
      <c r="N7861">
        <v>0</v>
      </c>
      <c r="O7861">
        <v>-0.99980100000000005</v>
      </c>
      <c r="P7861">
        <v>-3.5488709999999999E-3</v>
      </c>
      <c r="Q7861">
        <v>5.6650770000000003E-2</v>
      </c>
      <c r="R7861">
        <v>-0.99838800000000005</v>
      </c>
      <c r="S7861">
        <v>0.41281129999999999</v>
      </c>
      <c r="T7861">
        <v>-0.13363320000000001</v>
      </c>
      <c r="U7861">
        <v>-3.0137330000000002</v>
      </c>
      <c r="V7861">
        <v>-1.343894E-2</v>
      </c>
      <c r="W7861">
        <v>6.7425390000000002E-2</v>
      </c>
      <c r="X7861">
        <v>0.99763380000000002</v>
      </c>
      <c r="Y7861">
        <v>-0.15215129999999999</v>
      </c>
      <c r="Z7861">
        <v>4.3826459999999998E-2</v>
      </c>
      <c r="AA7861">
        <v>0.98738499999999996</v>
      </c>
      <c r="AB7861">
        <v>27</v>
      </c>
      <c r="AC7861">
        <v>3.43609999999995</v>
      </c>
      <c r="AD7861">
        <v>-1.111795152007</v>
      </c>
      <c r="AE7861">
        <v>-24.918399999999998</v>
      </c>
      <c r="AF7861">
        <v>-3.8453962756015398</v>
      </c>
      <c r="AG7861">
        <v>-1.111795152007</v>
      </c>
      <c r="AH7861">
        <v>24.808897957429298</v>
      </c>
      <c r="AI7861">
        <v>92.535717906145507</v>
      </c>
      <c r="AJ7861">
        <v>98.810771534044406</v>
      </c>
      <c r="AK7861">
        <v>25.129754850347801</v>
      </c>
      <c r="AL7861">
        <v>86.133876563257502</v>
      </c>
      <c r="AM7861">
        <v>90.7717741450478</v>
      </c>
      <c r="AN7861">
        <v>0.99999999361370695</v>
      </c>
    </row>
    <row r="7862" spans="1:40" x14ac:dyDescent="0.25">
      <c r="A7862" t="str">
        <f>"20190312150846264"</f>
        <v>20190312150846264</v>
      </c>
      <c r="B7862" t="str">
        <f>"1552374526257702"</f>
        <v>1552374526257702</v>
      </c>
      <c r="C7862" t="s">
        <v>40</v>
      </c>
      <c r="D7862">
        <v>4.401389</v>
      </c>
      <c r="E7862">
        <v>0.44756380000000001</v>
      </c>
      <c r="F7862" t="s">
        <v>42</v>
      </c>
      <c r="G7862">
        <v>-418.9332</v>
      </c>
      <c r="H7862" s="1">
        <v>-1.1682520000000001E-6</v>
      </c>
      <c r="I7862">
        <v>81.914879999999997</v>
      </c>
      <c r="J7862">
        <v>-422.36160000000001</v>
      </c>
      <c r="K7862">
        <v>1.1117429999999999</v>
      </c>
      <c r="L7862">
        <v>106.6165</v>
      </c>
      <c r="M7862">
        <v>-1.5411950000000001E-2</v>
      </c>
      <c r="N7862">
        <v>0</v>
      </c>
      <c r="O7862">
        <v>-0.99982260000000001</v>
      </c>
      <c r="P7862">
        <v>-3.0367010000000002E-3</v>
      </c>
      <c r="Q7862">
        <v>5.7254029999999997E-2</v>
      </c>
      <c r="R7862">
        <v>-0.99835569999999896</v>
      </c>
      <c r="S7862">
        <v>0.4151917</v>
      </c>
      <c r="T7862">
        <v>-0.1347015</v>
      </c>
      <c r="U7862">
        <v>-3.0139770000000001</v>
      </c>
      <c r="V7862">
        <v>-1.261116E-2</v>
      </c>
      <c r="W7862">
        <v>6.8032919999999997E-2</v>
      </c>
      <c r="X7862">
        <v>0.99760340000000003</v>
      </c>
      <c r="Y7862">
        <v>-0.15158579999999999</v>
      </c>
      <c r="Z7862">
        <v>4.4173589999999999E-2</v>
      </c>
      <c r="AA7862">
        <v>0.98745660000000002</v>
      </c>
      <c r="AB7862">
        <v>27</v>
      </c>
      <c r="AC7862">
        <v>3.4284000000000101</v>
      </c>
      <c r="AD7862">
        <v>-1.111744168252</v>
      </c>
      <c r="AE7862">
        <v>-24.701619999999899</v>
      </c>
      <c r="AF7862">
        <v>-3.8011610044259001</v>
      </c>
      <c r="AG7862">
        <v>-1.111744168252</v>
      </c>
      <c r="AH7862">
        <v>24.596961833659901</v>
      </c>
      <c r="AI7862">
        <v>92.557599224594597</v>
      </c>
      <c r="AJ7862">
        <v>98.784871821760902</v>
      </c>
      <c r="AK7862">
        <v>24.9137578763969</v>
      </c>
      <c r="AL7862">
        <v>86.098987691969398</v>
      </c>
      <c r="AM7862">
        <v>90.724263526179001</v>
      </c>
      <c r="AN7862">
        <v>1.0000000316259099</v>
      </c>
    </row>
    <row r="7863" spans="1:40" x14ac:dyDescent="0.25">
      <c r="A7863" t="str">
        <f>"20190312150846278"</f>
        <v>20190312150846278</v>
      </c>
      <c r="B7863" t="str">
        <f>"1552374526267463"</f>
        <v>1552374526267463</v>
      </c>
      <c r="C7863" t="s">
        <v>40</v>
      </c>
      <c r="D7863">
        <v>4.4474359999999997</v>
      </c>
      <c r="E7863">
        <v>0.44738830000000002</v>
      </c>
      <c r="F7863" t="s">
        <v>42</v>
      </c>
      <c r="G7863">
        <v>-418.96559999999999</v>
      </c>
      <c r="H7863" s="1">
        <v>-1.32651E-6</v>
      </c>
      <c r="I7863">
        <v>82.297200000000004</v>
      </c>
      <c r="J7863">
        <v>-422.36279999999999</v>
      </c>
      <c r="K7863">
        <v>1.111696</v>
      </c>
      <c r="L7863">
        <v>106.4526</v>
      </c>
      <c r="M7863">
        <v>-1.421862E-2</v>
      </c>
      <c r="N7863">
        <v>0</v>
      </c>
      <c r="O7863">
        <v>-0.99984030000000002</v>
      </c>
      <c r="P7863">
        <v>-2.508316E-3</v>
      </c>
      <c r="Q7863">
        <v>5.8197609999999997E-2</v>
      </c>
      <c r="R7863">
        <v>-0.99830240000000003</v>
      </c>
      <c r="S7863">
        <v>0.42089840000000001</v>
      </c>
      <c r="T7863">
        <v>-0.1377891</v>
      </c>
      <c r="U7863">
        <v>-3.0141300000000002</v>
      </c>
      <c r="V7863">
        <v>-1.19425E-2</v>
      </c>
      <c r="W7863">
        <v>6.8979589999999993E-2</v>
      </c>
      <c r="X7863">
        <v>0.99754659999999995</v>
      </c>
      <c r="Y7863">
        <v>-0.15222739999999901</v>
      </c>
      <c r="Z7863">
        <v>4.5174949999999998E-2</v>
      </c>
      <c r="AA7863">
        <v>0.98731259999999998</v>
      </c>
      <c r="AB7863">
        <v>27</v>
      </c>
      <c r="AC7863">
        <v>3.39719999999999</v>
      </c>
      <c r="AD7863">
        <v>-1.1116973265100001</v>
      </c>
      <c r="AE7863">
        <v>-24.1554</v>
      </c>
      <c r="AF7863">
        <v>-3.7325805167864399</v>
      </c>
      <c r="AG7863">
        <v>-1.1116973265100001</v>
      </c>
      <c r="AH7863">
        <v>24.0546897146716</v>
      </c>
      <c r="AI7863">
        <v>92.614816873823997</v>
      </c>
      <c r="AJ7863">
        <v>98.820277795864101</v>
      </c>
      <c r="AK7863">
        <v>24.367932319529899</v>
      </c>
      <c r="AL7863">
        <v>86.044619695595003</v>
      </c>
      <c r="AM7863">
        <v>90.685904958432701</v>
      </c>
      <c r="AN7863">
        <v>1.00000001315718</v>
      </c>
    </row>
    <row r="7864" spans="1:40" x14ac:dyDescent="0.25">
      <c r="A7864" t="str">
        <f>"20190312150846293"</f>
        <v>20190312150846293</v>
      </c>
      <c r="B7864" t="str">
        <f>"1552374526287957"</f>
        <v>1552374526287957</v>
      </c>
      <c r="C7864" t="s">
        <v>40</v>
      </c>
      <c r="D7864">
        <v>4.390803</v>
      </c>
      <c r="E7864">
        <v>0.44716309999999898</v>
      </c>
      <c r="F7864" t="s">
        <v>42</v>
      </c>
      <c r="G7864">
        <v>-418.85669999999999</v>
      </c>
      <c r="H7864" s="1">
        <v>-1.0159789999999999E-6</v>
      </c>
      <c r="I7864">
        <v>81.528310000000005</v>
      </c>
      <c r="J7864">
        <v>-422.36410000000001</v>
      </c>
      <c r="K7864">
        <v>1.1116509999999999</v>
      </c>
      <c r="L7864">
        <v>106.2578</v>
      </c>
      <c r="M7864">
        <v>-1.283748E-2</v>
      </c>
      <c r="N7864">
        <v>0</v>
      </c>
      <c r="O7864">
        <v>-0.99985900000000005</v>
      </c>
      <c r="P7864">
        <v>-2.4119369999999998E-3</v>
      </c>
      <c r="Q7864">
        <v>5.932026E-2</v>
      </c>
      <c r="R7864">
        <v>-0.99823640000000002</v>
      </c>
      <c r="S7864">
        <v>0.42398069999999999</v>
      </c>
      <c r="T7864">
        <v>-0.13443339999999901</v>
      </c>
      <c r="U7864">
        <v>-3.014008</v>
      </c>
      <c r="V7864">
        <v>-1.065402E-2</v>
      </c>
      <c r="W7864">
        <v>7.0107909999999996E-2</v>
      </c>
      <c r="X7864">
        <v>0.99748250000000005</v>
      </c>
      <c r="Y7864">
        <v>-0.15186469999999999</v>
      </c>
      <c r="Z7864">
        <v>4.407809E-2</v>
      </c>
      <c r="AA7864">
        <v>0.98741789999999996</v>
      </c>
      <c r="AB7864">
        <v>27</v>
      </c>
      <c r="AC7864">
        <v>3.5074000000000098</v>
      </c>
      <c r="AD7864">
        <v>-1.111652015979</v>
      </c>
      <c r="AE7864">
        <v>-24.729489999999998</v>
      </c>
      <c r="AF7864">
        <v>-3.8170327992146298</v>
      </c>
      <c r="AG7864">
        <v>-1.111652015979</v>
      </c>
      <c r="AH7864">
        <v>24.633626915352799</v>
      </c>
      <c r="AI7864">
        <v>92.553426426882993</v>
      </c>
      <c r="AJ7864">
        <v>98.808054200617207</v>
      </c>
      <c r="AK7864">
        <v>24.952376331718401</v>
      </c>
      <c r="AL7864">
        <v>85.979814696630797</v>
      </c>
      <c r="AM7864">
        <v>90.611947747888806</v>
      </c>
      <c r="AN7864">
        <v>0.99999998249648903</v>
      </c>
    </row>
    <row r="7865" spans="1:40" x14ac:dyDescent="0.25">
      <c r="A7865" t="str">
        <f>"20190312150846306"</f>
        <v>20190312150846306</v>
      </c>
      <c r="B7865" t="str">
        <f>"1552374526297717"</f>
        <v>1552374526297717</v>
      </c>
      <c r="C7865" t="s">
        <v>40</v>
      </c>
      <c r="D7865">
        <v>4.4099810000000002</v>
      </c>
      <c r="E7865">
        <v>0.44712299999999999</v>
      </c>
      <c r="F7865" t="s">
        <v>42</v>
      </c>
      <c r="G7865">
        <v>-418.80220000000003</v>
      </c>
      <c r="H7865" s="1">
        <v>-8.4402789999999997E-7</v>
      </c>
      <c r="I7865">
        <v>81.104950000000002</v>
      </c>
      <c r="J7865">
        <v>-422.36500000000001</v>
      </c>
      <c r="K7865">
        <v>1.111613</v>
      </c>
      <c r="L7865">
        <v>106.1041</v>
      </c>
      <c r="M7865">
        <v>-1.1774929999999999E-2</v>
      </c>
      <c r="N7865">
        <v>0</v>
      </c>
      <c r="O7865">
        <v>-0.99987199999999998</v>
      </c>
      <c r="P7865">
        <v>-1.902988E-3</v>
      </c>
      <c r="Q7865">
        <v>6.0037420000000001E-2</v>
      </c>
      <c r="R7865">
        <v>-0.99819440000000004</v>
      </c>
      <c r="S7865">
        <v>0.42684939999999999</v>
      </c>
      <c r="T7865">
        <v>-0.13321659999999999</v>
      </c>
      <c r="U7865">
        <v>-3.0142359999999999</v>
      </c>
      <c r="V7865">
        <v>-1.009701E-2</v>
      </c>
      <c r="W7865">
        <v>7.0827559999999998E-2</v>
      </c>
      <c r="X7865">
        <v>0.99743749999999998</v>
      </c>
      <c r="Y7865">
        <v>-0.1517279</v>
      </c>
      <c r="Z7865">
        <v>4.3675070000000003E-2</v>
      </c>
      <c r="AA7865">
        <v>0.98745689999999997</v>
      </c>
      <c r="AB7865">
        <v>27</v>
      </c>
      <c r="AC7865">
        <v>3.5627999999999802</v>
      </c>
      <c r="AD7865">
        <v>-1.1116138440279</v>
      </c>
      <c r="AE7865">
        <v>-24.99915</v>
      </c>
      <c r="AF7865">
        <v>-3.8494737028230701</v>
      </c>
      <c r="AG7865">
        <v>-1.1116138440279</v>
      </c>
      <c r="AH7865">
        <v>24.9071955742927</v>
      </c>
      <c r="AI7865">
        <v>92.525482985493994</v>
      </c>
      <c r="AJ7865">
        <v>98.785702768691905</v>
      </c>
      <c r="AK7865">
        <v>25.2274161281536</v>
      </c>
      <c r="AL7865">
        <v>85.938479221030704</v>
      </c>
      <c r="AM7865">
        <v>90.579982504108798</v>
      </c>
      <c r="AN7865">
        <v>1.00000002963637</v>
      </c>
    </row>
    <row r="7866" spans="1:40" x14ac:dyDescent="0.25">
      <c r="A7866" t="str">
        <f>"20190312150846319"</f>
        <v>20190312150846319</v>
      </c>
      <c r="B7866" t="str">
        <f>"1552374526307478"</f>
        <v>1552374526307478</v>
      </c>
      <c r="C7866" t="s">
        <v>40</v>
      </c>
      <c r="D7866">
        <v>4.4749980000000003</v>
      </c>
      <c r="E7866">
        <v>0.44709510000000002</v>
      </c>
      <c r="F7866" t="s">
        <v>42</v>
      </c>
      <c r="G7866">
        <v>-418.80369999999999</v>
      </c>
      <c r="H7866" s="1">
        <v>-8.262004E-7</v>
      </c>
      <c r="I7866">
        <v>81.064009999999996</v>
      </c>
      <c r="J7866">
        <v>-422.36579999999998</v>
      </c>
      <c r="K7866">
        <v>1.1115790000000001</v>
      </c>
      <c r="L7866">
        <v>105.938</v>
      </c>
      <c r="M7866">
        <v>-1.0667060000000001E-2</v>
      </c>
      <c r="N7866">
        <v>0</v>
      </c>
      <c r="O7866">
        <v>-0.9998842</v>
      </c>
      <c r="P7866">
        <v>-1.2798670000000001E-3</v>
      </c>
      <c r="Q7866">
        <v>6.0488889999999997E-2</v>
      </c>
      <c r="R7866">
        <v>-0.99816800000000006</v>
      </c>
      <c r="S7866">
        <v>0.42871090000000001</v>
      </c>
      <c r="T7866">
        <v>-0.1338155</v>
      </c>
      <c r="U7866">
        <v>-3.014313</v>
      </c>
      <c r="V7866">
        <v>-9.6082359999999992E-3</v>
      </c>
      <c r="W7866">
        <v>7.1283689999999997E-2</v>
      </c>
      <c r="X7866">
        <v>0.99740980000000001</v>
      </c>
      <c r="Y7866">
        <v>-0.1512259</v>
      </c>
      <c r="Z7866">
        <v>4.3870550000000001E-2</v>
      </c>
      <c r="AA7866">
        <v>0.98752519999999999</v>
      </c>
      <c r="AB7866">
        <v>27</v>
      </c>
      <c r="AC7866">
        <v>3.5620999999999801</v>
      </c>
      <c r="AD7866">
        <v>-1.1115798262004</v>
      </c>
      <c r="AE7866">
        <v>-24.8739899999999</v>
      </c>
      <c r="AF7866">
        <v>-3.8197702834538401</v>
      </c>
      <c r="AG7866">
        <v>-1.1115798262004</v>
      </c>
      <c r="AH7866">
        <v>24.786070797821299</v>
      </c>
      <c r="AI7866">
        <v>92.537900175239102</v>
      </c>
      <c r="AJ7866">
        <v>98.760904380710201</v>
      </c>
      <c r="AK7866">
        <v>25.1032977977592</v>
      </c>
      <c r="AL7866">
        <v>85.912278533821507</v>
      </c>
      <c r="AM7866">
        <v>90.551923936853498</v>
      </c>
      <c r="AN7866">
        <v>0.99999999589754296</v>
      </c>
    </row>
    <row r="7867" spans="1:40" x14ac:dyDescent="0.25">
      <c r="A7867" t="str">
        <f>"20190312150846332"</f>
        <v>20190312150846332</v>
      </c>
      <c r="B7867" t="str">
        <f>"1552374526327973"</f>
        <v>1552374526327973</v>
      </c>
      <c r="C7867" t="s">
        <v>40</v>
      </c>
      <c r="D7867">
        <v>4.3916690000000003</v>
      </c>
      <c r="E7867">
        <v>0.44709929999999898</v>
      </c>
      <c r="F7867" t="s">
        <v>42</v>
      </c>
      <c r="G7867">
        <v>-418.76</v>
      </c>
      <c r="H7867" s="1">
        <v>-6.9655350000000002E-7</v>
      </c>
      <c r="I7867">
        <v>80.725409999999997</v>
      </c>
      <c r="J7867">
        <v>-422.3664</v>
      </c>
      <c r="K7867">
        <v>1.1115489999999999</v>
      </c>
      <c r="L7867">
        <v>105.7869</v>
      </c>
      <c r="M7867">
        <v>-9.6821570000000003E-3</v>
      </c>
      <c r="N7867">
        <v>0</v>
      </c>
      <c r="O7867">
        <v>-0.99989419999999996</v>
      </c>
      <c r="P7867">
        <v>-5.8545660000000003E-4</v>
      </c>
      <c r="Q7867">
        <v>6.1556039999999999E-2</v>
      </c>
      <c r="R7867">
        <v>-0.99810339999999997</v>
      </c>
      <c r="S7867">
        <v>0.43106080000000002</v>
      </c>
      <c r="T7867">
        <v>-0.13288649999999999</v>
      </c>
      <c r="U7867">
        <v>-3.0140989999999999</v>
      </c>
      <c r="V7867">
        <v>-9.3169220000000001E-3</v>
      </c>
      <c r="W7867">
        <v>7.2355719999999998E-2</v>
      </c>
      <c r="X7867">
        <v>0.99733539999999998</v>
      </c>
      <c r="Y7867">
        <v>-0.1510184</v>
      </c>
      <c r="Z7867">
        <v>4.3568610000000001E-2</v>
      </c>
      <c r="AA7867">
        <v>0.98757030000000001</v>
      </c>
      <c r="AB7867">
        <v>27</v>
      </c>
      <c r="AC7867">
        <v>3.6063999999999998</v>
      </c>
      <c r="AD7867">
        <v>-1.1115496965535001</v>
      </c>
      <c r="AE7867">
        <v>-25.061489999999999</v>
      </c>
      <c r="AF7867">
        <v>-3.8414909260221601</v>
      </c>
      <c r="AG7867">
        <v>-1.1115496965535001</v>
      </c>
      <c r="AH7867">
        <v>24.977257442519601</v>
      </c>
      <c r="AI7867">
        <v>92.518548195627702</v>
      </c>
      <c r="AJ7867">
        <v>98.743553714708597</v>
      </c>
      <c r="AK7867">
        <v>25.295374767188498</v>
      </c>
      <c r="AL7867">
        <v>85.850696841114598</v>
      </c>
      <c r="AM7867">
        <v>90.535230957131503</v>
      </c>
      <c r="AN7867">
        <v>1.0000000276727099</v>
      </c>
    </row>
    <row r="7868" spans="1:40" x14ac:dyDescent="0.25">
      <c r="A7868" t="str">
        <f>"20190312150846350"</f>
        <v>20190312150846350</v>
      </c>
      <c r="B7868" t="str">
        <f>"1552374526337734"</f>
        <v>1552374526337734</v>
      </c>
      <c r="C7868" t="s">
        <v>40</v>
      </c>
      <c r="D7868">
        <v>4.3929099999999996</v>
      </c>
      <c r="E7868">
        <v>0.44710640000000001</v>
      </c>
      <c r="F7868" t="s">
        <v>42</v>
      </c>
      <c r="G7868">
        <v>-418.67689999999999</v>
      </c>
      <c r="H7868" s="1">
        <v>-5.1045590000000004E-7</v>
      </c>
      <c r="I7868">
        <v>80.113579999999999</v>
      </c>
      <c r="J7868">
        <v>-422.36700000000002</v>
      </c>
      <c r="K7868">
        <v>1.111515</v>
      </c>
      <c r="L7868">
        <v>105.5689</v>
      </c>
      <c r="M7868">
        <v>-8.2974550000000005E-3</v>
      </c>
      <c r="N7868">
        <v>0</v>
      </c>
      <c r="O7868">
        <v>-0.99990650000000003</v>
      </c>
      <c r="P7868">
        <v>4.0367849999999999E-4</v>
      </c>
      <c r="Q7868">
        <v>6.3073660000000004E-2</v>
      </c>
      <c r="R7868">
        <v>-0.99800840000000002</v>
      </c>
      <c r="S7868">
        <v>0.43313600000000002</v>
      </c>
      <c r="T7868">
        <v>-0.1304942</v>
      </c>
      <c r="U7868">
        <v>-3.014008</v>
      </c>
      <c r="V7868">
        <v>-8.9197740000000001E-3</v>
      </c>
      <c r="W7868">
        <v>7.3881310000000006E-2</v>
      </c>
      <c r="X7868">
        <v>0.99722710000000003</v>
      </c>
      <c r="Y7868">
        <v>-0.15032470000000001</v>
      </c>
      <c r="Z7868">
        <v>4.2788020000000003E-2</v>
      </c>
      <c r="AA7868">
        <v>0.98771030000000004</v>
      </c>
      <c r="AB7868">
        <v>27</v>
      </c>
      <c r="AC7868">
        <v>3.69009999999997</v>
      </c>
      <c r="AD7868">
        <v>-1.11151551045589</v>
      </c>
      <c r="AE7868">
        <v>-25.45532</v>
      </c>
      <c r="AF7868">
        <v>-3.8939282056948099</v>
      </c>
      <c r="AG7868">
        <v>-1.11151551045589</v>
      </c>
      <c r="AH7868">
        <v>25.3764348992128</v>
      </c>
      <c r="AI7868">
        <v>92.479035635885495</v>
      </c>
      <c r="AJ7868">
        <v>98.723798697642806</v>
      </c>
      <c r="AK7868">
        <v>25.697501664463001</v>
      </c>
      <c r="AL7868">
        <v>85.763052033888101</v>
      </c>
      <c r="AM7868">
        <v>90.512472811585198</v>
      </c>
      <c r="AN7868">
        <v>0.99999994965496697</v>
      </c>
    </row>
    <row r="7869" spans="1:40" x14ac:dyDescent="0.25">
      <c r="A7869" t="str">
        <f>"20190312150846365"</f>
        <v>20190312150846365</v>
      </c>
      <c r="B7869" t="str">
        <f>"1552374526358229"</f>
        <v>1552374526358229</v>
      </c>
      <c r="C7869" t="s">
        <v>40</v>
      </c>
      <c r="D7869">
        <v>4.4081989999999998</v>
      </c>
      <c r="E7869">
        <v>0.44715500000000002</v>
      </c>
      <c r="F7869" t="s">
        <v>42</v>
      </c>
      <c r="G7869">
        <v>-418.5283</v>
      </c>
      <c r="H7869" s="1">
        <v>-4.2992019999999999E-6</v>
      </c>
      <c r="I7869">
        <v>79.045779999999993</v>
      </c>
      <c r="J7869">
        <v>-422.3673</v>
      </c>
      <c r="K7869">
        <v>1.1114850000000001</v>
      </c>
      <c r="L7869">
        <v>105.3875</v>
      </c>
      <c r="M7869">
        <v>-7.1757399999999999E-3</v>
      </c>
      <c r="N7869">
        <v>0</v>
      </c>
      <c r="O7869">
        <v>-0.99991549999999996</v>
      </c>
      <c r="P7869">
        <v>1.7341559999999999E-3</v>
      </c>
      <c r="Q7869">
        <v>6.3719940000000003E-2</v>
      </c>
      <c r="R7869">
        <v>-0.99796669999999998</v>
      </c>
      <c r="S7869">
        <v>0.43618770000000001</v>
      </c>
      <c r="T7869">
        <v>-0.12630069999999999</v>
      </c>
      <c r="U7869">
        <v>-3.0137939999999999</v>
      </c>
      <c r="V7869">
        <v>-9.1266539999999997E-3</v>
      </c>
      <c r="W7869">
        <v>7.4534210000000004E-2</v>
      </c>
      <c r="X7869">
        <v>0.99717670000000003</v>
      </c>
      <c r="Y7869">
        <v>-0.1502135</v>
      </c>
      <c r="Z7869">
        <v>4.141624E-2</v>
      </c>
      <c r="AA7869">
        <v>0.98778569999999999</v>
      </c>
      <c r="AB7869">
        <v>27</v>
      </c>
      <c r="AC7869">
        <v>3.8389999999999902</v>
      </c>
      <c r="AD7869">
        <v>-1.111489299202</v>
      </c>
      <c r="AE7869">
        <v>-26.341719999999899</v>
      </c>
      <c r="AF7869">
        <v>-4.0209235504395</v>
      </c>
      <c r="AG7869">
        <v>-1.111489299202</v>
      </c>
      <c r="AH7869">
        <v>26.267697593164701</v>
      </c>
      <c r="AI7869">
        <v>92.395098417599201</v>
      </c>
      <c r="AJ7869">
        <v>98.702985922860705</v>
      </c>
      <c r="AK7869">
        <v>26.596901539590501</v>
      </c>
      <c r="AL7869">
        <v>85.725540437680706</v>
      </c>
      <c r="AM7869">
        <v>90.524384649879593</v>
      </c>
      <c r="AN7869">
        <v>1.0000000076482201</v>
      </c>
    </row>
    <row r="7870" spans="1:40" x14ac:dyDescent="0.25">
      <c r="A7870" t="str">
        <f>"20190312150846380"</f>
        <v>20190312150846380</v>
      </c>
      <c r="B7870" t="str">
        <f>"1552374526367990"</f>
        <v>1552374526367990</v>
      </c>
      <c r="C7870" t="s">
        <v>40</v>
      </c>
      <c r="D7870">
        <v>4.4415889999999996</v>
      </c>
      <c r="E7870">
        <v>0.44722719999999999</v>
      </c>
      <c r="F7870" t="s">
        <v>42</v>
      </c>
      <c r="G7870">
        <v>-418.46710000000002</v>
      </c>
      <c r="H7870" s="1">
        <v>-4.1448069999999997E-6</v>
      </c>
      <c r="I7870">
        <v>78.660579999999996</v>
      </c>
      <c r="J7870">
        <v>-422.36750000000001</v>
      </c>
      <c r="K7870">
        <v>1.1114569999999999</v>
      </c>
      <c r="L7870">
        <v>105.1939</v>
      </c>
      <c r="M7870">
        <v>-6.0171579999999999E-3</v>
      </c>
      <c r="N7870">
        <v>0</v>
      </c>
      <c r="O7870">
        <v>-0.99992289999999995</v>
      </c>
      <c r="P7870">
        <v>3.1396520000000002E-3</v>
      </c>
      <c r="Q7870">
        <v>6.4218919999999999E-2</v>
      </c>
      <c r="R7870">
        <v>-0.99793140000000002</v>
      </c>
      <c r="S7870">
        <v>0.4397278</v>
      </c>
      <c r="T7870">
        <v>-0.12531519999999999</v>
      </c>
      <c r="U7870">
        <v>-3.0133359999999998</v>
      </c>
      <c r="V7870">
        <v>-9.3711739999999995E-3</v>
      </c>
      <c r="W7870">
        <v>7.5040620000000002E-2</v>
      </c>
      <c r="X7870">
        <v>0.99713649999999998</v>
      </c>
      <c r="Y7870">
        <v>-0.15022769999999999</v>
      </c>
      <c r="Z7870">
        <v>4.1096779999999999E-2</v>
      </c>
      <c r="AA7870">
        <v>0.98779689999999998</v>
      </c>
      <c r="AB7870">
        <v>28</v>
      </c>
      <c r="AC7870">
        <v>3.9003999999999901</v>
      </c>
      <c r="AD7870">
        <v>-1.111461144807</v>
      </c>
      <c r="AE7870">
        <v>-26.5333199999999</v>
      </c>
      <c r="AF7870">
        <v>-4.0530325132657898</v>
      </c>
      <c r="AG7870">
        <v>-1.111461144807</v>
      </c>
      <c r="AH7870">
        <v>26.4639146197161</v>
      </c>
      <c r="AI7870">
        <v>92.377272402874794</v>
      </c>
      <c r="AJ7870">
        <v>98.707371423332603</v>
      </c>
      <c r="AK7870">
        <v>26.795544320457999</v>
      </c>
      <c r="AL7870">
        <v>85.696444007767099</v>
      </c>
      <c r="AM7870">
        <v>90.538454777476602</v>
      </c>
      <c r="AN7870">
        <v>1.0000000565921801</v>
      </c>
    </row>
    <row r="7871" spans="1:40" x14ac:dyDescent="0.25">
      <c r="A7871" t="str">
        <f>"20190312150846395"</f>
        <v>20190312150846395</v>
      </c>
      <c r="B7871" t="str">
        <f>"1552374526387510"</f>
        <v>1552374526387510</v>
      </c>
      <c r="C7871" t="s">
        <v>40</v>
      </c>
      <c r="D7871">
        <v>4.3847160000000001</v>
      </c>
      <c r="E7871">
        <v>0.43460189999999999</v>
      </c>
      <c r="F7871" t="s">
        <v>42</v>
      </c>
      <c r="G7871">
        <v>-418.38630000000001</v>
      </c>
      <c r="H7871" s="1">
        <v>-3.9512569999999996E-6</v>
      </c>
      <c r="I7871">
        <v>78.176019999999994</v>
      </c>
      <c r="J7871">
        <v>-422.36739999999998</v>
      </c>
      <c r="K7871">
        <v>1.1114440000000001</v>
      </c>
      <c r="L7871">
        <v>105.0193</v>
      </c>
      <c r="M7871">
        <v>-4.9956080000000003E-3</v>
      </c>
      <c r="N7871">
        <v>0</v>
      </c>
      <c r="O7871">
        <v>-0.99992859999999995</v>
      </c>
      <c r="P7871">
        <v>4.2431049999999996E-3</v>
      </c>
      <c r="Q7871">
        <v>6.5353190000000005E-2</v>
      </c>
      <c r="R7871">
        <v>-0.99785360000000001</v>
      </c>
      <c r="S7871">
        <v>0.44393919999999998</v>
      </c>
      <c r="T7871">
        <v>-0.1239398</v>
      </c>
      <c r="U7871">
        <v>-3.0127869999999999</v>
      </c>
      <c r="V7871">
        <v>-9.4530859999999994E-3</v>
      </c>
      <c r="W7871">
        <v>7.6182219999999995E-2</v>
      </c>
      <c r="X7871">
        <v>0.99704910000000002</v>
      </c>
      <c r="Y7871">
        <v>-0.150597799999999</v>
      </c>
      <c r="Z7871">
        <v>4.064889E-2</v>
      </c>
      <c r="AA7871">
        <v>0.9877591</v>
      </c>
      <c r="AB7871">
        <v>28</v>
      </c>
      <c r="AC7871">
        <v>3.9810999999999601</v>
      </c>
      <c r="AD7871">
        <v>-1.1114479512569999</v>
      </c>
      <c r="AE7871">
        <v>-26.84328</v>
      </c>
      <c r="AF7871">
        <v>-4.1082651791268603</v>
      </c>
      <c r="AG7871">
        <v>-1.1114479512569999</v>
      </c>
      <c r="AH7871">
        <v>26.778135956060201</v>
      </c>
      <c r="AI7871">
        <v>92.349287181133803</v>
      </c>
      <c r="AJ7871">
        <v>98.722232295842005</v>
      </c>
      <c r="AK7871">
        <v>27.114234722957299</v>
      </c>
      <c r="AL7871">
        <v>85.630847117049001</v>
      </c>
      <c r="AM7871">
        <v>90.543208657576002</v>
      </c>
      <c r="AN7871">
        <v>0.99999999964493003</v>
      </c>
    </row>
    <row r="7872" spans="1:40" x14ac:dyDescent="0.25">
      <c r="A7872" t="str">
        <f>"20190312150846416"</f>
        <v>20190312150846416</v>
      </c>
      <c r="B7872" t="str">
        <f>"1552374526408005"</f>
        <v>1552374526408005</v>
      </c>
      <c r="C7872" t="s">
        <v>40</v>
      </c>
      <c r="D7872">
        <v>4.382511</v>
      </c>
      <c r="E7872">
        <v>0.43310419999999999</v>
      </c>
      <c r="F7872" t="s">
        <v>42</v>
      </c>
      <c r="G7872">
        <v>-419.71629999999999</v>
      </c>
      <c r="H7872" s="1">
        <v>-4.3612039999999999E-7</v>
      </c>
      <c r="I7872">
        <v>90.532060000000001</v>
      </c>
      <c r="J7872">
        <v>-422.36700000000002</v>
      </c>
      <c r="K7872">
        <v>1.11141</v>
      </c>
      <c r="L7872">
        <v>104.75060000000001</v>
      </c>
      <c r="M7872">
        <v>-3.467506E-3</v>
      </c>
      <c r="N7872">
        <v>0</v>
      </c>
      <c r="O7872">
        <v>-0.99993500000000002</v>
      </c>
      <c r="P7872">
        <v>6.3226119999999896E-3</v>
      </c>
      <c r="Q7872">
        <v>6.6406690000000004E-2</v>
      </c>
      <c r="R7872">
        <v>-0.99777309999999997</v>
      </c>
      <c r="S7872">
        <v>0.55252080000000003</v>
      </c>
      <c r="T7872">
        <v>-0.23163639999999999</v>
      </c>
      <c r="U7872">
        <v>-3.0192869999999998</v>
      </c>
      <c r="V7872">
        <v>-1.000234E-2</v>
      </c>
      <c r="W7872">
        <v>7.7245300000000003E-2</v>
      </c>
      <c r="X7872">
        <v>0.99696200000000001</v>
      </c>
      <c r="Y7872">
        <v>-0.18290770000000001</v>
      </c>
      <c r="Z7872">
        <v>7.5227189999999999E-2</v>
      </c>
      <c r="AA7872">
        <v>0.98024770000000006</v>
      </c>
      <c r="AB7872">
        <v>28</v>
      </c>
      <c r="AC7872">
        <v>2.6506999999999699</v>
      </c>
      <c r="AD7872">
        <v>-1.11141043612039</v>
      </c>
      <c r="AE7872">
        <v>-14.218540000000001</v>
      </c>
      <c r="AF7872">
        <v>-2.68414066092032</v>
      </c>
      <c r="AG7872">
        <v>-1.11141043612039</v>
      </c>
      <c r="AH7872">
        <v>14.1258530023527</v>
      </c>
      <c r="AI7872">
        <v>94.419952487983593</v>
      </c>
      <c r="AJ7872">
        <v>100.758861964912</v>
      </c>
      <c r="AK7872">
        <v>14.421496707665201</v>
      </c>
      <c r="AL7872">
        <v>85.569757345679704</v>
      </c>
      <c r="AM7872">
        <v>90.574818939695504</v>
      </c>
      <c r="AN7872">
        <v>1.00000005631078</v>
      </c>
    </row>
    <row r="7873" spans="1:40" x14ac:dyDescent="0.25">
      <c r="A7873" t="str">
        <f>"20190312150846430"</f>
        <v>20190312150846430</v>
      </c>
      <c r="B7873" t="str">
        <f>"1552374526427526"</f>
        <v>1552374526427526</v>
      </c>
      <c r="C7873" t="s">
        <v>40</v>
      </c>
      <c r="D7873">
        <v>4.3754249999999999</v>
      </c>
      <c r="E7873">
        <v>0.4337435</v>
      </c>
      <c r="F7873" t="s">
        <v>42</v>
      </c>
      <c r="G7873">
        <v>-419.63380000000001</v>
      </c>
      <c r="H7873" s="1">
        <v>-3.506782E-7</v>
      </c>
      <c r="I7873">
        <v>90.298789999999997</v>
      </c>
      <c r="J7873">
        <v>-422.36660000000001</v>
      </c>
      <c r="K7873">
        <v>1.1113900000000001</v>
      </c>
      <c r="L7873">
        <v>104.57850000000001</v>
      </c>
      <c r="M7873">
        <v>-2.5183689999999999E-3</v>
      </c>
      <c r="N7873">
        <v>0</v>
      </c>
      <c r="O7873">
        <v>-0.99993770000000004</v>
      </c>
      <c r="P7873">
        <v>8.0289239999999998E-3</v>
      </c>
      <c r="Q7873">
        <v>6.6771499999999998E-2</v>
      </c>
      <c r="R7873">
        <v>-0.99773630000000002</v>
      </c>
      <c r="S7873">
        <v>0.57089230000000002</v>
      </c>
      <c r="T7873">
        <v>-0.2321405</v>
      </c>
      <c r="U7873">
        <v>-3.0185550000000001</v>
      </c>
      <c r="V7873">
        <v>-1.0757890000000001E-2</v>
      </c>
      <c r="W7873">
        <v>7.7615149999999994E-2</v>
      </c>
      <c r="X7873">
        <v>0.99692539999999996</v>
      </c>
      <c r="Y7873">
        <v>-0.18777930000000001</v>
      </c>
      <c r="Z7873">
        <v>7.5331869999999995E-2</v>
      </c>
      <c r="AA7873">
        <v>0.97931809999999997</v>
      </c>
      <c r="AB7873">
        <v>28</v>
      </c>
      <c r="AC7873">
        <v>2.7327999999999899</v>
      </c>
      <c r="AD7873">
        <v>-1.1113903506781999</v>
      </c>
      <c r="AE7873">
        <v>-14.27971</v>
      </c>
      <c r="AF7873">
        <v>-2.7526698210252301</v>
      </c>
      <c r="AG7873">
        <v>-1.1113903506781999</v>
      </c>
      <c r="AH7873">
        <v>14.1898636826581</v>
      </c>
      <c r="AI7873">
        <v>94.3967906641045</v>
      </c>
      <c r="AJ7873">
        <v>100.978364588483</v>
      </c>
      <c r="AK7873">
        <v>14.4970552522774</v>
      </c>
      <c r="AL7873">
        <v>85.548502656290694</v>
      </c>
      <c r="AM7873">
        <v>90.618258667939998</v>
      </c>
      <c r="AN7873">
        <v>1.0000000484359599</v>
      </c>
    </row>
    <row r="7874" spans="1:40" x14ac:dyDescent="0.25">
      <c r="A7874" t="str">
        <f>"20190312150846444"</f>
        <v>20190312150846444</v>
      </c>
      <c r="B7874" t="str">
        <f>"1552374526438262"</f>
        <v>1552374526438262</v>
      </c>
      <c r="C7874" t="s">
        <v>40</v>
      </c>
      <c r="D7874">
        <v>4.4036410000000004</v>
      </c>
      <c r="E7874">
        <v>0.43372309999999997</v>
      </c>
      <c r="F7874" t="s">
        <v>42</v>
      </c>
      <c r="G7874">
        <v>-419.56799999999998</v>
      </c>
      <c r="H7874" s="1">
        <v>-1.6054659999999999E-7</v>
      </c>
      <c r="I7874">
        <v>89.782089999999997</v>
      </c>
      <c r="J7874">
        <v>-422.36610000000002</v>
      </c>
      <c r="K7874">
        <v>1.111364</v>
      </c>
      <c r="L7874">
        <v>104.41370000000001</v>
      </c>
      <c r="M7874">
        <v>-1.62677E-3</v>
      </c>
      <c r="N7874">
        <v>0</v>
      </c>
      <c r="O7874">
        <v>-0.99993929999999998</v>
      </c>
      <c r="P7874">
        <v>9.0932740000000001E-3</v>
      </c>
      <c r="Q7874">
        <v>6.706442E-2</v>
      </c>
      <c r="R7874">
        <v>-0.99770709999999996</v>
      </c>
      <c r="S7874">
        <v>0.57070919999999903</v>
      </c>
      <c r="T7874">
        <v>-0.22664309999999999</v>
      </c>
      <c r="U7874">
        <v>-3.017395</v>
      </c>
      <c r="V7874">
        <v>-1.092829E-2</v>
      </c>
      <c r="W7874">
        <v>7.7914639999999993E-2</v>
      </c>
      <c r="X7874">
        <v>0.99690009999999996</v>
      </c>
      <c r="Y7874">
        <v>-0.18693899999999999</v>
      </c>
      <c r="Z7874">
        <v>7.3592060000000001E-2</v>
      </c>
      <c r="AA7874">
        <v>0.97961120000000002</v>
      </c>
      <c r="AB7874">
        <v>28</v>
      </c>
      <c r="AC7874">
        <v>2.7980999999999701</v>
      </c>
      <c r="AD7874">
        <v>-1.1113641605466</v>
      </c>
      <c r="AE7874">
        <v>-14.63161</v>
      </c>
      <c r="AF7874">
        <v>-2.8062807163584398</v>
      </c>
      <c r="AG7874">
        <v>-1.1113641605466</v>
      </c>
      <c r="AH7874">
        <v>14.546077626020301</v>
      </c>
      <c r="AI7874">
        <v>94.290274057529899</v>
      </c>
      <c r="AJ7874">
        <v>100.919549965914</v>
      </c>
      <c r="AK7874">
        <v>14.855932015816499</v>
      </c>
      <c r="AL7874">
        <v>85.531290644477593</v>
      </c>
      <c r="AM7874">
        <v>90.628066758677704</v>
      </c>
      <c r="AN7874">
        <v>0.999999964014331</v>
      </c>
    </row>
    <row r="7875" spans="1:40" x14ac:dyDescent="0.25">
      <c r="A7875" t="str">
        <f>"20190312150846456"</f>
        <v>20190312150846456</v>
      </c>
      <c r="B7875" t="str">
        <f>"1552374526448025"</f>
        <v>1552374526448025</v>
      </c>
      <c r="C7875" t="s">
        <v>40</v>
      </c>
      <c r="D7875">
        <v>4.3444159999999998</v>
      </c>
      <c r="E7875">
        <v>0.43383389999999999</v>
      </c>
      <c r="F7875" t="s">
        <v>42</v>
      </c>
      <c r="G7875">
        <v>-419.57319999999999</v>
      </c>
      <c r="H7875" s="1">
        <v>-1.4541179999999999E-7</v>
      </c>
      <c r="I7875">
        <v>89.741669999999999</v>
      </c>
      <c r="J7875">
        <v>-422.3655</v>
      </c>
      <c r="K7875">
        <v>1.1113409999999999</v>
      </c>
      <c r="L7875">
        <v>104.2582</v>
      </c>
      <c r="M7875">
        <v>-8.1379629999999998E-4</v>
      </c>
      <c r="N7875">
        <v>0</v>
      </c>
      <c r="O7875">
        <v>-0.9999403</v>
      </c>
      <c r="P7875">
        <v>1.074108E-2</v>
      </c>
      <c r="Q7875">
        <v>6.7510689999999998E-2</v>
      </c>
      <c r="R7875">
        <v>-0.99766109999999997</v>
      </c>
      <c r="S7875">
        <v>0.57431030000000005</v>
      </c>
      <c r="T7875">
        <v>-0.2285314</v>
      </c>
      <c r="U7875">
        <v>-3.017029</v>
      </c>
      <c r="V7875">
        <v>-1.176118E-2</v>
      </c>
      <c r="W7875">
        <v>7.8365320000000002E-2</v>
      </c>
      <c r="X7875">
        <v>0.9968553</v>
      </c>
      <c r="Y7875">
        <v>-0.18728230000000001</v>
      </c>
      <c r="Z7875">
        <v>7.4200100000000005E-2</v>
      </c>
      <c r="AA7875">
        <v>0.97949969999999997</v>
      </c>
      <c r="AB7875">
        <v>28</v>
      </c>
      <c r="AC7875">
        <v>2.7923000000000102</v>
      </c>
      <c r="AD7875">
        <v>-1.1113411454117901</v>
      </c>
      <c r="AE7875">
        <v>-14.516529999999999</v>
      </c>
      <c r="AF7875">
        <v>-2.788353921093</v>
      </c>
      <c r="AG7875">
        <v>-1.1113411454117901</v>
      </c>
      <c r="AH7875">
        <v>14.432681365436601</v>
      </c>
      <c r="AI7875">
        <v>94.323546399227396</v>
      </c>
      <c r="AJ7875">
        <v>100.93466751047799</v>
      </c>
      <c r="AK7875">
        <v>14.741515801537499</v>
      </c>
      <c r="AL7875">
        <v>85.505389407814704</v>
      </c>
      <c r="AM7875">
        <v>90.675960404127807</v>
      </c>
      <c r="AN7875">
        <v>0.99999996893589105</v>
      </c>
    </row>
    <row r="7876" spans="1:40" x14ac:dyDescent="0.25">
      <c r="A7876" t="str">
        <f>"20190312150846468"</f>
        <v>20190312150846468</v>
      </c>
      <c r="B7876" t="str">
        <f>"1552374526457782"</f>
        <v>1552374526457782</v>
      </c>
      <c r="C7876" t="s">
        <v>40</v>
      </c>
      <c r="D7876">
        <v>4.2994979999999998</v>
      </c>
      <c r="E7876">
        <v>0.43369259999999898</v>
      </c>
      <c r="F7876" t="s">
        <v>42</v>
      </c>
      <c r="G7876">
        <v>-419.56959999999998</v>
      </c>
      <c r="H7876" s="1">
        <v>-1.2412589999999999E-7</v>
      </c>
      <c r="I7876">
        <v>89.676319999999905</v>
      </c>
      <c r="J7876">
        <v>-422.3648</v>
      </c>
      <c r="K7876">
        <v>1.1113150000000001</v>
      </c>
      <c r="L7876">
        <v>104.10890000000001</v>
      </c>
      <c r="M7876" s="1">
        <v>-4.5116089999999999E-5</v>
      </c>
      <c r="N7876">
        <v>0</v>
      </c>
      <c r="O7876">
        <v>-0.99994039999999995</v>
      </c>
      <c r="P7876">
        <v>1.177096E-2</v>
      </c>
      <c r="Q7876">
        <v>6.7635310000000004E-2</v>
      </c>
      <c r="R7876">
        <v>-0.99764079999999999</v>
      </c>
      <c r="S7876">
        <v>0.57833859999999904</v>
      </c>
      <c r="T7876">
        <v>-0.22988749999999999</v>
      </c>
      <c r="U7876">
        <v>-3.0163570000000002</v>
      </c>
      <c r="V7876">
        <v>-1.201964E-2</v>
      </c>
      <c r="W7876">
        <v>7.8495090000000003E-2</v>
      </c>
      <c r="X7876">
        <v>0.99684200000000001</v>
      </c>
      <c r="Y7876">
        <v>-0.1878232</v>
      </c>
      <c r="Z7876">
        <v>7.4641089999999993E-2</v>
      </c>
      <c r="AA7876">
        <v>0.97936259999999997</v>
      </c>
      <c r="AB7876">
        <v>28</v>
      </c>
      <c r="AC7876">
        <v>2.7952000000000199</v>
      </c>
      <c r="AD7876">
        <v>-1.1113151241259001</v>
      </c>
      <c r="AE7876">
        <v>-14.43258</v>
      </c>
      <c r="AF7876">
        <v>-2.7799644740070599</v>
      </c>
      <c r="AG7876">
        <v>-1.1113151241259001</v>
      </c>
      <c r="AH7876">
        <v>14.3504451709256</v>
      </c>
      <c r="AI7876">
        <v>94.3477045696158</v>
      </c>
      <c r="AJ7876">
        <v>100.963525506232</v>
      </c>
      <c r="AK7876">
        <v>14.659416781904801</v>
      </c>
      <c r="AL7876">
        <v>85.497931128338095</v>
      </c>
      <c r="AM7876">
        <v>90.690822889722895</v>
      </c>
      <c r="AN7876">
        <v>0.99999996193191798</v>
      </c>
    </row>
    <row r="7877" spans="1:40" x14ac:dyDescent="0.25">
      <c r="A7877" t="str">
        <f>"20190312150846483"</f>
        <v>20190312150846483</v>
      </c>
      <c r="B7877" t="str">
        <f>"1552374526478294"</f>
        <v>1552374526478294</v>
      </c>
      <c r="C7877" t="s">
        <v>40</v>
      </c>
      <c r="D7877">
        <v>4.3587540000000002</v>
      </c>
      <c r="E7877">
        <v>0.43396099999999999</v>
      </c>
      <c r="F7877" t="s">
        <v>42</v>
      </c>
      <c r="G7877">
        <v>-419.59059999999999</v>
      </c>
      <c r="H7877" s="1">
        <v>-1.430477E-7</v>
      </c>
      <c r="I7877">
        <v>89.748310000000004</v>
      </c>
      <c r="J7877">
        <v>-422.36380000000003</v>
      </c>
      <c r="K7877">
        <v>1.111286</v>
      </c>
      <c r="L7877">
        <v>103.9252</v>
      </c>
      <c r="M7877">
        <v>8.7610919999999998E-4</v>
      </c>
      <c r="N7877">
        <v>0</v>
      </c>
      <c r="O7877">
        <v>-0.99994019999999995</v>
      </c>
      <c r="P7877">
        <v>1.352099E-2</v>
      </c>
      <c r="Q7877">
        <v>6.8143179999999998E-2</v>
      </c>
      <c r="R7877">
        <v>-0.99758420000000003</v>
      </c>
      <c r="S7877">
        <v>0.58264159999999998</v>
      </c>
      <c r="T7877">
        <v>-0.23340060000000001</v>
      </c>
      <c r="U7877">
        <v>-3.0160520000000002</v>
      </c>
      <c r="V7877">
        <v>-1.284571E-2</v>
      </c>
      <c r="W7877">
        <v>7.9007519999999998E-2</v>
      </c>
      <c r="X7877">
        <v>0.99679119999999999</v>
      </c>
      <c r="Y7877">
        <v>-0.18826789999999999</v>
      </c>
      <c r="Z7877">
        <v>7.5769279999999994E-2</v>
      </c>
      <c r="AA7877">
        <v>0.97919060000000002</v>
      </c>
      <c r="AB7877">
        <v>28</v>
      </c>
      <c r="AC7877">
        <v>2.7732000000000299</v>
      </c>
      <c r="AD7877">
        <v>-1.1112861430476999</v>
      </c>
      <c r="AE7877">
        <v>-14.17689</v>
      </c>
      <c r="AF7877">
        <v>-2.7445352822591298</v>
      </c>
      <c r="AG7877">
        <v>-1.1112861430476999</v>
      </c>
      <c r="AH7877">
        <v>14.095893538077</v>
      </c>
      <c r="AI7877">
        <v>94.424981269513594</v>
      </c>
      <c r="AJ7877">
        <v>101.017902809323</v>
      </c>
      <c r="AK7877">
        <v>14.403528923291599</v>
      </c>
      <c r="AL7877">
        <v>85.4684795214568</v>
      </c>
      <c r="AM7877">
        <v>90.738333391752207</v>
      </c>
      <c r="AN7877">
        <v>0.99999994843969597</v>
      </c>
    </row>
    <row r="7878" spans="1:40" x14ac:dyDescent="0.25">
      <c r="A7878" t="str">
        <f>"20190312150846495"</f>
        <v>20190312150846495</v>
      </c>
      <c r="B7878" t="str">
        <f>"1552374526488038"</f>
        <v>1552374526488038</v>
      </c>
      <c r="C7878" t="s">
        <v>40</v>
      </c>
      <c r="D7878">
        <v>4.3518509999999999</v>
      </c>
      <c r="E7878">
        <v>0.43423040000000002</v>
      </c>
      <c r="F7878" t="s">
        <v>42</v>
      </c>
      <c r="G7878">
        <v>-419.58179999999999</v>
      </c>
      <c r="H7878" s="1">
        <v>-4.3534419999999996E-6</v>
      </c>
      <c r="I7878">
        <v>89.607830000000007</v>
      </c>
      <c r="J7878">
        <v>-422.36290000000002</v>
      </c>
      <c r="K7878">
        <v>1.1112660000000001</v>
      </c>
      <c r="L7878">
        <v>103.7698</v>
      </c>
      <c r="M7878">
        <v>1.6275249999999999E-3</v>
      </c>
      <c r="N7878">
        <v>0</v>
      </c>
      <c r="O7878">
        <v>-0.99993929999999998</v>
      </c>
      <c r="P7878">
        <v>1.483162E-2</v>
      </c>
      <c r="Q7878">
        <v>6.8445069999999997E-2</v>
      </c>
      <c r="R7878">
        <v>-0.99754520000000002</v>
      </c>
      <c r="S7878">
        <v>0.58590699999999996</v>
      </c>
      <c r="T7878">
        <v>-0.23404349999999999</v>
      </c>
      <c r="U7878">
        <v>-3.01532</v>
      </c>
      <c r="V7878">
        <v>-1.340244E-2</v>
      </c>
      <c r="W7878">
        <v>7.9314120000000002E-2</v>
      </c>
      <c r="X7878">
        <v>0.99675959999999997</v>
      </c>
      <c r="Y7878">
        <v>-0.18859310000000001</v>
      </c>
      <c r="Z7878">
        <v>7.5984570000000001E-2</v>
      </c>
      <c r="AA7878">
        <v>0.97911130000000002</v>
      </c>
      <c r="AB7878">
        <v>28</v>
      </c>
      <c r="AC7878">
        <v>2.7811000000000301</v>
      </c>
      <c r="AD7878">
        <v>-1.1112703534420001</v>
      </c>
      <c r="AE7878">
        <v>-14.161969999999901</v>
      </c>
      <c r="AF7878">
        <v>-2.7417907610748902</v>
      </c>
      <c r="AG7878">
        <v>-1.1112703534420001</v>
      </c>
      <c r="AH7878">
        <v>14.082984178478</v>
      </c>
      <c r="AI7878">
        <v>94.428972252111194</v>
      </c>
      <c r="AJ7878">
        <v>101.01699728629301</v>
      </c>
      <c r="AK7878">
        <v>14.390371146958501</v>
      </c>
      <c r="AL7878">
        <v>85.450857694472901</v>
      </c>
      <c r="AM7878">
        <v>90.770353227054002</v>
      </c>
      <c r="AN7878">
        <v>1.0000000276107399</v>
      </c>
    </row>
    <row r="7879" spans="1:40" x14ac:dyDescent="0.25">
      <c r="A7879" t="str">
        <f>"20190312150846518"</f>
        <v>20190312150846518</v>
      </c>
      <c r="B7879" t="str">
        <f>"1552374526507558"</f>
        <v>1552374526507558</v>
      </c>
      <c r="C7879" t="s">
        <v>40</v>
      </c>
      <c r="D7879">
        <v>4.3345840000000004</v>
      </c>
      <c r="E7879">
        <v>0.43452210000000002</v>
      </c>
      <c r="F7879" t="s">
        <v>42</v>
      </c>
      <c r="G7879">
        <v>-419.56490000000002</v>
      </c>
      <c r="H7879" s="1">
        <v>-4.2753999999999998E-6</v>
      </c>
      <c r="I7879">
        <v>89.418909999999997</v>
      </c>
      <c r="J7879">
        <v>-422.36099999999999</v>
      </c>
      <c r="K7879">
        <v>1.1112229999999901</v>
      </c>
      <c r="L7879">
        <v>103.5063</v>
      </c>
      <c r="M7879">
        <v>2.864531E-3</v>
      </c>
      <c r="N7879">
        <v>0</v>
      </c>
      <c r="O7879">
        <v>-0.99993620000000005</v>
      </c>
      <c r="P7879">
        <v>1.6791150000000001E-2</v>
      </c>
      <c r="Q7879">
        <v>6.9106870000000001E-2</v>
      </c>
      <c r="R7879">
        <v>-0.99746820000000003</v>
      </c>
      <c r="S7879">
        <v>0.58776859999999997</v>
      </c>
      <c r="T7879">
        <v>-0.2334436</v>
      </c>
      <c r="U7879">
        <v>-3.0146790000000001</v>
      </c>
      <c r="V7879">
        <v>-1.412127E-2</v>
      </c>
      <c r="W7879">
        <v>7.9982899999999996E-2</v>
      </c>
      <c r="X7879">
        <v>0.99669620000000003</v>
      </c>
      <c r="Y7879">
        <v>-0.18800249999999999</v>
      </c>
      <c r="Z7879">
        <v>7.5806269999999995E-2</v>
      </c>
      <c r="AA7879">
        <v>0.97923870000000002</v>
      </c>
      <c r="AB7879">
        <v>28</v>
      </c>
      <c r="AC7879">
        <v>2.7960999999999601</v>
      </c>
      <c r="AD7879">
        <v>-1.1112272754000001</v>
      </c>
      <c r="AE7879">
        <v>-14.087389999999999</v>
      </c>
      <c r="AF7879">
        <v>-2.7393336720083798</v>
      </c>
      <c r="AG7879">
        <v>-1.1112272754000001</v>
      </c>
      <c r="AH7879">
        <v>14.011464300527001</v>
      </c>
      <c r="AI7879">
        <v>94.450635051848096</v>
      </c>
      <c r="AJ7879">
        <v>101.062168805073</v>
      </c>
      <c r="AK7879">
        <v>14.3199129490767</v>
      </c>
      <c r="AL7879">
        <v>85.412417147938001</v>
      </c>
      <c r="AM7879">
        <v>90.811716791463496</v>
      </c>
      <c r="AN7879">
        <v>0.99999999482663104</v>
      </c>
    </row>
    <row r="7880" spans="1:40" x14ac:dyDescent="0.25">
      <c r="A7880" t="str">
        <f>"20190312150846532"</f>
        <v>20190312150846532</v>
      </c>
      <c r="B7880" t="str">
        <f>"1552374526528054"</f>
        <v>1552374526528054</v>
      </c>
      <c r="C7880" t="s">
        <v>40</v>
      </c>
      <c r="D7880">
        <v>4.3484669999999896</v>
      </c>
      <c r="E7880">
        <v>0.43490600000000001</v>
      </c>
      <c r="F7880" t="s">
        <v>42</v>
      </c>
      <c r="G7880">
        <v>-419.55099999999999</v>
      </c>
      <c r="H7880" s="1">
        <v>-4.1800230000000002E-6</v>
      </c>
      <c r="I7880">
        <v>89.190830000000005</v>
      </c>
      <c r="J7880">
        <v>-422.35969999999998</v>
      </c>
      <c r="K7880">
        <v>1.1111930000000001</v>
      </c>
      <c r="L7880">
        <v>103.3279</v>
      </c>
      <c r="M7880">
        <v>3.6698049999999999E-3</v>
      </c>
      <c r="N7880">
        <v>0</v>
      </c>
      <c r="O7880">
        <v>-0.99993339999999997</v>
      </c>
      <c r="P7880">
        <v>1.8019810000000001E-2</v>
      </c>
      <c r="Q7880">
        <v>6.9461239999999994E-2</v>
      </c>
      <c r="R7880">
        <v>-0.99742180000000003</v>
      </c>
      <c r="S7880">
        <v>0.59161379999999997</v>
      </c>
      <c r="T7880">
        <v>-0.2339504</v>
      </c>
      <c r="U7880">
        <v>-3.0138850000000001</v>
      </c>
      <c r="V7880">
        <v>-1.454241E-2</v>
      </c>
      <c r="W7880">
        <v>8.0342230000000001E-2</v>
      </c>
      <c r="X7880">
        <v>0.99666120000000002</v>
      </c>
      <c r="Y7880">
        <v>-0.18846080000000001</v>
      </c>
      <c r="Z7880">
        <v>7.5976559999999999E-2</v>
      </c>
      <c r="AA7880">
        <v>0.97913740000000005</v>
      </c>
      <c r="AB7880">
        <v>28</v>
      </c>
      <c r="AC7880">
        <v>2.80869999999998</v>
      </c>
      <c r="AD7880">
        <v>-1.1111971800230001</v>
      </c>
      <c r="AE7880">
        <v>-14.1370699999999</v>
      </c>
      <c r="AF7880">
        <v>-2.7405091617767199</v>
      </c>
      <c r="AG7880">
        <v>-1.1111971800230001</v>
      </c>
      <c r="AH7880">
        <v>14.0636936351877</v>
      </c>
      <c r="AI7880">
        <v>94.434586376249698</v>
      </c>
      <c r="AJ7880">
        <v>101.026708174397</v>
      </c>
      <c r="AK7880">
        <v>14.3712431022195</v>
      </c>
      <c r="AL7880">
        <v>85.391762385175795</v>
      </c>
      <c r="AM7880">
        <v>90.835950665555302</v>
      </c>
      <c r="AN7880">
        <v>0.99999995159770905</v>
      </c>
    </row>
    <row r="7881" spans="1:40" x14ac:dyDescent="0.25">
      <c r="A7881" t="str">
        <f>"20190312150846547"</f>
        <v>20190312150846547</v>
      </c>
      <c r="B7881" t="str">
        <f>"1552374526537814"</f>
        <v>1552374526537814</v>
      </c>
      <c r="C7881" t="s">
        <v>40</v>
      </c>
      <c r="D7881">
        <v>4.3631859999999998</v>
      </c>
      <c r="E7881">
        <v>0.43512659999999997</v>
      </c>
      <c r="F7881" t="s">
        <v>42</v>
      </c>
      <c r="G7881">
        <v>-419.55720000000002</v>
      </c>
      <c r="H7881" s="1">
        <v>-4.1257049999999997E-6</v>
      </c>
      <c r="I7881">
        <v>89.066810000000004</v>
      </c>
      <c r="J7881">
        <v>-422.35820000000001</v>
      </c>
      <c r="K7881">
        <v>1.111164</v>
      </c>
      <c r="L7881">
        <v>103.1461</v>
      </c>
      <c r="M7881">
        <v>4.4678169999999998E-3</v>
      </c>
      <c r="N7881">
        <v>0</v>
      </c>
      <c r="O7881">
        <v>-0.9999304</v>
      </c>
      <c r="P7881">
        <v>1.909216E-2</v>
      </c>
      <c r="Q7881">
        <v>6.9823750000000004E-2</v>
      </c>
      <c r="R7881">
        <v>-0.99737690000000001</v>
      </c>
      <c r="S7881">
        <v>0.59216309999999905</v>
      </c>
      <c r="T7881">
        <v>-0.23479810000000001</v>
      </c>
      <c r="U7881">
        <v>-3.0133969999999999</v>
      </c>
      <c r="V7881">
        <v>-1.481381E-2</v>
      </c>
      <c r="W7881">
        <v>8.0709630000000004E-2</v>
      </c>
      <c r="X7881">
        <v>0.99662759999999995</v>
      </c>
      <c r="Y7881">
        <v>-0.18787470000000001</v>
      </c>
      <c r="Z7881">
        <v>7.626492E-2</v>
      </c>
      <c r="AA7881">
        <v>0.97922759999999998</v>
      </c>
      <c r="AB7881">
        <v>28</v>
      </c>
      <c r="AC7881">
        <v>2.8009999999999802</v>
      </c>
      <c r="AD7881">
        <v>-1.1111681257049999</v>
      </c>
      <c r="AE7881">
        <v>-14.07929</v>
      </c>
      <c r="AF7881">
        <v>-2.7217570047097102</v>
      </c>
      <c r="AG7881">
        <v>-1.1111681257049999</v>
      </c>
      <c r="AH7881">
        <v>14.0077362481862</v>
      </c>
      <c r="AI7881">
        <v>94.452580207856201</v>
      </c>
      <c r="AJ7881">
        <v>100.99577834180801</v>
      </c>
      <c r="AK7881">
        <v>14.312907831570101</v>
      </c>
      <c r="AL7881">
        <v>85.370643709450903</v>
      </c>
      <c r="AM7881">
        <v>90.851578153921807</v>
      </c>
      <c r="AN7881">
        <v>1.0000000332115999</v>
      </c>
    </row>
    <row r="7882" spans="1:40" x14ac:dyDescent="0.25">
      <c r="A7882" t="str">
        <f>"20190312150846562"</f>
        <v>20190312150846562</v>
      </c>
      <c r="B7882" t="str">
        <f>"1552374526558310"</f>
        <v>1552374526558310</v>
      </c>
      <c r="C7882" t="s">
        <v>40</v>
      </c>
      <c r="D7882">
        <v>4.4335750000000003</v>
      </c>
      <c r="E7882">
        <v>0.43548379999999998</v>
      </c>
      <c r="F7882" t="s">
        <v>42</v>
      </c>
      <c r="G7882">
        <v>-419.54180000000002</v>
      </c>
      <c r="H7882" s="1">
        <v>-4.0349439999999996E-6</v>
      </c>
      <c r="I7882">
        <v>88.848849999999999</v>
      </c>
      <c r="J7882">
        <v>-422.35640000000001</v>
      </c>
      <c r="K7882">
        <v>1.111138</v>
      </c>
      <c r="L7882">
        <v>102.9577</v>
      </c>
      <c r="M7882">
        <v>5.2630439999999997E-3</v>
      </c>
      <c r="N7882">
        <v>0</v>
      </c>
      <c r="O7882">
        <v>-0.99992610000000004</v>
      </c>
      <c r="P7882">
        <v>2.1296929999999999E-2</v>
      </c>
      <c r="Q7882">
        <v>7.0164439999999995E-2</v>
      </c>
      <c r="R7882">
        <v>-0.99730810000000003</v>
      </c>
      <c r="S7882">
        <v>0.59350590000000003</v>
      </c>
      <c r="T7882">
        <v>-0.23416049999999999</v>
      </c>
      <c r="U7882">
        <v>-3.0129090000000001</v>
      </c>
      <c r="V7882">
        <v>-1.6220490000000001E-2</v>
      </c>
      <c r="W7882">
        <v>8.1052769999999996E-2</v>
      </c>
      <c r="X7882">
        <v>0.99657779999999996</v>
      </c>
      <c r="Y7882">
        <v>-0.18754680000000001</v>
      </c>
      <c r="Z7882">
        <v>7.606984E-2</v>
      </c>
      <c r="AA7882">
        <v>0.97930569999999895</v>
      </c>
      <c r="AB7882">
        <v>28</v>
      </c>
      <c r="AC7882">
        <v>2.81459999999998</v>
      </c>
      <c r="AD7882">
        <v>-1.111142034944</v>
      </c>
      <c r="AE7882">
        <v>-14.10885</v>
      </c>
      <c r="AF7882">
        <v>-2.7240521995522502</v>
      </c>
      <c r="AG7882">
        <v>-1.111142034944</v>
      </c>
      <c r="AH7882">
        <v>14.0397224724195</v>
      </c>
      <c r="AI7882">
        <v>94.442603954420406</v>
      </c>
      <c r="AJ7882">
        <v>100.98036268593199</v>
      </c>
      <c r="AK7882">
        <v>14.3446472285053</v>
      </c>
      <c r="AL7882">
        <v>85.350918380867995</v>
      </c>
      <c r="AM7882">
        <v>90.932474679086098</v>
      </c>
      <c r="AN7882">
        <v>0.99999998363667597</v>
      </c>
    </row>
    <row r="7883" spans="1:40" x14ac:dyDescent="0.25">
      <c r="A7883" t="str">
        <f>"20190312150846585"</f>
        <v>20190312150846585</v>
      </c>
      <c r="B7883" t="str">
        <f>"1552374526577830"</f>
        <v>1552374526577830</v>
      </c>
      <c r="C7883" t="s">
        <v>40</v>
      </c>
      <c r="D7883">
        <v>4.3326289999999998</v>
      </c>
      <c r="E7883">
        <v>0.43580239999999998</v>
      </c>
      <c r="F7883" t="s">
        <v>42</v>
      </c>
      <c r="G7883">
        <v>-419.49040000000002</v>
      </c>
      <c r="H7883" s="1">
        <v>-3.8903410000000003E-6</v>
      </c>
      <c r="I7883">
        <v>88.490549999999999</v>
      </c>
      <c r="J7883">
        <v>-422.3537</v>
      </c>
      <c r="K7883">
        <v>1.111097</v>
      </c>
      <c r="L7883">
        <v>102.676</v>
      </c>
      <c r="M7883">
        <v>6.4055900000000001E-3</v>
      </c>
      <c r="N7883">
        <v>0</v>
      </c>
      <c r="O7883">
        <v>-0.99991949999999996</v>
      </c>
      <c r="P7883">
        <v>2.3388929999999999E-2</v>
      </c>
      <c r="Q7883">
        <v>7.0424580000000001E-2</v>
      </c>
      <c r="R7883">
        <v>-0.99724290000000004</v>
      </c>
      <c r="S7883">
        <v>0.59661869999999995</v>
      </c>
      <c r="T7883">
        <v>-0.23130690000000001</v>
      </c>
      <c r="U7883">
        <v>-3.0116269999999998</v>
      </c>
      <c r="V7883">
        <v>-1.716529E-2</v>
      </c>
      <c r="W7883">
        <v>8.1319379999999997E-2</v>
      </c>
      <c r="X7883">
        <v>0.99654019999999999</v>
      </c>
      <c r="Y7883">
        <v>-0.18749099999999999</v>
      </c>
      <c r="Z7883">
        <v>7.5171589999999996E-2</v>
      </c>
      <c r="AA7883">
        <v>0.97938570000000003</v>
      </c>
      <c r="AB7883">
        <v>28</v>
      </c>
      <c r="AC7883">
        <v>2.8632999999999802</v>
      </c>
      <c r="AD7883">
        <v>-1.111100890341</v>
      </c>
      <c r="AE7883">
        <v>-14.185449999999999</v>
      </c>
      <c r="AF7883">
        <v>-2.75612251683902</v>
      </c>
      <c r="AG7883">
        <v>-1.111100890341</v>
      </c>
      <c r="AH7883">
        <v>14.1202634236967</v>
      </c>
      <c r="AI7883">
        <v>94.416240727912296</v>
      </c>
      <c r="AJ7883">
        <v>101.044650307041</v>
      </c>
      <c r="AK7883">
        <v>14.4295736482729</v>
      </c>
      <c r="AL7883">
        <v>85.335591907193006</v>
      </c>
      <c r="AM7883">
        <v>90.986815606142997</v>
      </c>
      <c r="AN7883">
        <v>0.999999929480201</v>
      </c>
    </row>
    <row r="7884" spans="1:40" x14ac:dyDescent="0.25">
      <c r="A7884" t="str">
        <f>"20190312150846607"</f>
        <v>20190312150846607</v>
      </c>
      <c r="B7884" t="str">
        <f>"1552374526598325"</f>
        <v>1552374526598325</v>
      </c>
      <c r="C7884" t="s">
        <v>40</v>
      </c>
      <c r="D7884">
        <v>4.3983319999999999</v>
      </c>
      <c r="E7884">
        <v>0.43570389999999998</v>
      </c>
      <c r="F7884" t="s">
        <v>42</v>
      </c>
      <c r="G7884">
        <v>-419.45049999999998</v>
      </c>
      <c r="H7884" s="1">
        <v>-3.7356310000000001E-6</v>
      </c>
      <c r="I7884">
        <v>88.113419999999905</v>
      </c>
      <c r="J7884">
        <v>-422.35070000000002</v>
      </c>
      <c r="K7884">
        <v>1.1110530000000001</v>
      </c>
      <c r="L7884">
        <v>102.4025</v>
      </c>
      <c r="M7884">
        <v>7.4473869999999998E-3</v>
      </c>
      <c r="N7884">
        <v>0</v>
      </c>
      <c r="O7884">
        <v>-0.99991240000000003</v>
      </c>
      <c r="P7884">
        <v>2.5857270000000002E-2</v>
      </c>
      <c r="Q7884">
        <v>7.0209740000000007E-2</v>
      </c>
      <c r="R7884">
        <v>-0.99719729999999995</v>
      </c>
      <c r="S7884">
        <v>0.60015869999999905</v>
      </c>
      <c r="T7884">
        <v>-0.2296917</v>
      </c>
      <c r="U7884">
        <v>-3.010437</v>
      </c>
      <c r="V7884">
        <v>-1.8585930000000001E-2</v>
      </c>
      <c r="W7884">
        <v>8.1109810000000004E-2</v>
      </c>
      <c r="X7884">
        <v>0.99653179999999997</v>
      </c>
      <c r="Y7884">
        <v>-0.18765680000000001</v>
      </c>
      <c r="Z7884">
        <v>7.4668029999999996E-2</v>
      </c>
      <c r="AA7884">
        <v>0.9793925</v>
      </c>
      <c r="AB7884">
        <v>28</v>
      </c>
      <c r="AC7884">
        <v>2.9002000000000399</v>
      </c>
      <c r="AD7884">
        <v>-1.1110567356309999</v>
      </c>
      <c r="AE7884">
        <v>-14.28908</v>
      </c>
      <c r="AF7884">
        <v>-2.77756828828071</v>
      </c>
      <c r="AG7884">
        <v>-1.1110567356309999</v>
      </c>
      <c r="AH7884">
        <v>14.2276676432302</v>
      </c>
      <c r="AI7884">
        <v>94.382831774430002</v>
      </c>
      <c r="AJ7884">
        <v>101.04651867212699</v>
      </c>
      <c r="AK7884">
        <v>14.538770898259401</v>
      </c>
      <c r="AL7884">
        <v>85.3476391986176</v>
      </c>
      <c r="AM7884">
        <v>91.068477594096294</v>
      </c>
      <c r="AN7884">
        <v>0.99999993324171799</v>
      </c>
    </row>
    <row r="7885" spans="1:40" x14ac:dyDescent="0.25">
      <c r="A7885" t="str">
        <f>"20190312150846618"</f>
        <v>20190312150846618</v>
      </c>
      <c r="B7885" t="str">
        <f>"1552374526608086"</f>
        <v>1552374526608086</v>
      </c>
      <c r="C7885" t="s">
        <v>40</v>
      </c>
      <c r="D7885">
        <v>4.350142</v>
      </c>
      <c r="E7885">
        <v>0.43577640000000001</v>
      </c>
      <c r="F7885" t="s">
        <v>42</v>
      </c>
      <c r="G7885">
        <v>-419.4255</v>
      </c>
      <c r="H7885" s="1">
        <v>-3.6614510000000001E-6</v>
      </c>
      <c r="I7885">
        <v>87.930160000000001</v>
      </c>
      <c r="J7885">
        <v>-422.34899999999999</v>
      </c>
      <c r="K7885">
        <v>1.11103</v>
      </c>
      <c r="L7885">
        <v>102.24890000000001</v>
      </c>
      <c r="M7885">
        <v>8.0094469999999994E-3</v>
      </c>
      <c r="N7885">
        <v>0</v>
      </c>
      <c r="O7885">
        <v>-0.99990769999999995</v>
      </c>
      <c r="P7885">
        <v>2.703523E-2</v>
      </c>
      <c r="Q7885">
        <v>7.0239419999999997E-2</v>
      </c>
      <c r="R7885">
        <v>-0.99716380000000004</v>
      </c>
      <c r="S7885">
        <v>0.60818479999999997</v>
      </c>
      <c r="T7885">
        <v>-0.2309997</v>
      </c>
      <c r="U7885">
        <v>-3.0089419999999998</v>
      </c>
      <c r="V7885">
        <v>-1.9198860000000002E-2</v>
      </c>
      <c r="W7885">
        <v>8.1142590000000001E-2</v>
      </c>
      <c r="X7885">
        <v>0.9965176</v>
      </c>
      <c r="Y7885">
        <v>-0.1897026</v>
      </c>
      <c r="Z7885">
        <v>7.5092400000000004E-2</v>
      </c>
      <c r="AA7885">
        <v>0.9789658</v>
      </c>
      <c r="AB7885">
        <v>28</v>
      </c>
      <c r="AC7885">
        <v>2.92349999999999</v>
      </c>
      <c r="AD7885">
        <v>-1.1110336614509999</v>
      </c>
      <c r="AE7885">
        <v>-14.31874</v>
      </c>
      <c r="AF7885">
        <v>-2.7925737882638302</v>
      </c>
      <c r="AG7885">
        <v>-1.1110336614509999</v>
      </c>
      <c r="AH7885">
        <v>14.259282841565099</v>
      </c>
      <c r="AI7885">
        <v>94.372553381596504</v>
      </c>
      <c r="AJ7885">
        <v>101.080705765429</v>
      </c>
      <c r="AK7885">
        <v>14.572577373804799</v>
      </c>
      <c r="AL7885">
        <v>85.345755243916699</v>
      </c>
      <c r="AM7885">
        <v>91.103721178512501</v>
      </c>
      <c r="AN7885">
        <v>1.0000000216234799</v>
      </c>
    </row>
    <row r="7886" spans="1:40" x14ac:dyDescent="0.25">
      <c r="A7886" t="str">
        <f>"20190312150846640"</f>
        <v>20190312150846640</v>
      </c>
      <c r="B7886" t="str">
        <f>"1552374526627606"</f>
        <v>1552374526627606</v>
      </c>
      <c r="C7886" t="s">
        <v>40</v>
      </c>
      <c r="D7886">
        <v>4.3657209999999997</v>
      </c>
      <c r="E7886">
        <v>0.43596180000000001</v>
      </c>
      <c r="F7886" t="s">
        <v>42</v>
      </c>
      <c r="G7886">
        <v>-419.41750000000002</v>
      </c>
      <c r="H7886" s="1">
        <v>-3.613897E-6</v>
      </c>
      <c r="I7886">
        <v>87.815989999999999</v>
      </c>
      <c r="J7886">
        <v>-422.34589999999997</v>
      </c>
      <c r="K7886">
        <v>1.1109990000000001</v>
      </c>
      <c r="L7886">
        <v>101.99379999999999</v>
      </c>
      <c r="M7886">
        <v>8.9116379999999995E-3</v>
      </c>
      <c r="N7886">
        <v>0</v>
      </c>
      <c r="O7886">
        <v>-0.99990020000000002</v>
      </c>
      <c r="P7886">
        <v>2.9509270000000001E-2</v>
      </c>
      <c r="Q7886">
        <v>7.0220899999999906E-2</v>
      </c>
      <c r="R7886">
        <v>-0.99709499999999995</v>
      </c>
      <c r="S7886">
        <v>0.61102290000000004</v>
      </c>
      <c r="T7886">
        <v>-0.231574</v>
      </c>
      <c r="U7886">
        <v>-3.00827</v>
      </c>
      <c r="V7886">
        <v>-2.0766469999999999E-2</v>
      </c>
      <c r="W7886">
        <v>8.1127379999999999E-2</v>
      </c>
      <c r="X7886">
        <v>0.99648740000000002</v>
      </c>
      <c r="Y7886">
        <v>-0.18974350000000001</v>
      </c>
      <c r="Z7886">
        <v>7.5286279999999997E-2</v>
      </c>
      <c r="AA7886">
        <v>0.97894300000000001</v>
      </c>
      <c r="AB7886">
        <v>28</v>
      </c>
      <c r="AC7886">
        <v>2.9283999999999502</v>
      </c>
      <c r="AD7886">
        <v>-1.1110026138969999</v>
      </c>
      <c r="AE7886">
        <v>-14.1778099999999</v>
      </c>
      <c r="AF7886">
        <v>-2.7855236406818502</v>
      </c>
      <c r="AG7886">
        <v>-1.1110026138969999</v>
      </c>
      <c r="AH7886">
        <v>14.1201864570964</v>
      </c>
      <c r="AI7886">
        <v>94.4141445652198</v>
      </c>
      <c r="AJ7886">
        <v>101.15958698121899</v>
      </c>
      <c r="AK7886">
        <v>14.435135411351499</v>
      </c>
      <c r="AL7886">
        <v>85.346629579416103</v>
      </c>
      <c r="AM7886">
        <v>91.193852412568305</v>
      </c>
      <c r="AN7886">
        <v>1.0000000182103399</v>
      </c>
    </row>
    <row r="7887" spans="1:40" x14ac:dyDescent="0.25">
      <c r="A7887" t="str">
        <f>"20190312150846652"</f>
        <v>20190312150846652</v>
      </c>
      <c r="B7887" t="str">
        <f>"1552374526648102"</f>
        <v>1552374526648102</v>
      </c>
      <c r="C7887" t="s">
        <v>40</v>
      </c>
      <c r="D7887">
        <v>4.3358189999999999</v>
      </c>
      <c r="E7887">
        <v>0.43625019999999998</v>
      </c>
      <c r="F7887" t="s">
        <v>42</v>
      </c>
      <c r="G7887">
        <v>-419.4</v>
      </c>
      <c r="H7887" s="1">
        <v>-3.537675E-6</v>
      </c>
      <c r="I7887">
        <v>87.631079999999997</v>
      </c>
      <c r="J7887">
        <v>-422.34390000000002</v>
      </c>
      <c r="K7887">
        <v>1.110978</v>
      </c>
      <c r="L7887">
        <v>101.83839999999999</v>
      </c>
      <c r="M7887">
        <v>9.4356170000000003E-3</v>
      </c>
      <c r="N7887">
        <v>0</v>
      </c>
      <c r="O7887">
        <v>-0.99989530000000004</v>
      </c>
      <c r="P7887">
        <v>3.0766410000000001E-2</v>
      </c>
      <c r="Q7887">
        <v>7.0042610000000005E-2</v>
      </c>
      <c r="R7887">
        <v>-0.99706939999999999</v>
      </c>
      <c r="S7887">
        <v>0.61672969999999905</v>
      </c>
      <c r="T7887">
        <v>-0.23259070000000001</v>
      </c>
      <c r="U7887">
        <v>-3.006866</v>
      </c>
      <c r="V7887">
        <v>-2.1496620000000001E-2</v>
      </c>
      <c r="W7887">
        <v>8.0951999999999996E-2</v>
      </c>
      <c r="X7887">
        <v>0.99648619999999999</v>
      </c>
      <c r="Y7887">
        <v>-0.1910965</v>
      </c>
      <c r="Z7887">
        <v>7.5624590000000005E-2</v>
      </c>
      <c r="AA7887">
        <v>0.97865369999999996</v>
      </c>
      <c r="AB7887">
        <v>28</v>
      </c>
      <c r="AC7887">
        <v>2.9439000000000402</v>
      </c>
      <c r="AD7887">
        <v>-1.1109815376750001</v>
      </c>
      <c r="AE7887">
        <v>-14.2073199999999</v>
      </c>
      <c r="AF7887">
        <v>-2.7933283054231501</v>
      </c>
      <c r="AG7887">
        <v>-1.1109815376750001</v>
      </c>
      <c r="AH7887">
        <v>14.151494185078199</v>
      </c>
      <c r="AI7887">
        <v>94.404238392572907</v>
      </c>
      <c r="AJ7887">
        <v>101.165933293264</v>
      </c>
      <c r="AK7887">
        <v>14.4672647957115</v>
      </c>
      <c r="AL7887">
        <v>85.356711369204604</v>
      </c>
      <c r="AM7887">
        <v>91.235817007117703</v>
      </c>
      <c r="AN7887">
        <v>1.00000003888293</v>
      </c>
    </row>
    <row r="7888" spans="1:40" x14ac:dyDescent="0.25">
      <c r="A7888" t="str">
        <f>"20190312150846665"</f>
        <v>20190312150846665</v>
      </c>
      <c r="B7888" t="str">
        <f>"1552374526657862"</f>
        <v>1552374526657862</v>
      </c>
      <c r="C7888" t="s">
        <v>40</v>
      </c>
      <c r="D7888">
        <v>4.3514710000000001</v>
      </c>
      <c r="E7888">
        <v>0.43637209999999899</v>
      </c>
      <c r="F7888" t="s">
        <v>42</v>
      </c>
      <c r="G7888">
        <v>-419.40940000000001</v>
      </c>
      <c r="H7888" s="1">
        <v>-3.5093879999999999E-6</v>
      </c>
      <c r="I7888">
        <v>87.569050000000004</v>
      </c>
      <c r="J7888">
        <v>-422.34190000000001</v>
      </c>
      <c r="K7888">
        <v>1.110949</v>
      </c>
      <c r="L7888">
        <v>101.6784</v>
      </c>
      <c r="M7888">
        <v>9.9618610000000007E-3</v>
      </c>
      <c r="N7888">
        <v>0</v>
      </c>
      <c r="O7888">
        <v>-0.99989019999999995</v>
      </c>
      <c r="P7888">
        <v>3.1772120000000001E-2</v>
      </c>
      <c r="Q7888">
        <v>7.0030469999999997E-2</v>
      </c>
      <c r="R7888">
        <v>-0.99703900000000001</v>
      </c>
      <c r="S7888">
        <v>0.61822509999999997</v>
      </c>
      <c r="T7888">
        <v>-0.23405570000000001</v>
      </c>
      <c r="U7888">
        <v>-3.006195</v>
      </c>
      <c r="V7888">
        <v>-2.1972749999999999E-2</v>
      </c>
      <c r="W7888">
        <v>8.0943459999999995E-2</v>
      </c>
      <c r="X7888">
        <v>0.99647649999999999</v>
      </c>
      <c r="Y7888">
        <v>-0.19108269999999999</v>
      </c>
      <c r="Z7888">
        <v>7.6110460000000005E-2</v>
      </c>
      <c r="AA7888">
        <v>0.97861869999999995</v>
      </c>
      <c r="AB7888">
        <v>28</v>
      </c>
      <c r="AC7888">
        <v>2.9325000000000001</v>
      </c>
      <c r="AD7888">
        <v>-1.1109525093879999</v>
      </c>
      <c r="AE7888">
        <v>-14.1093499999999</v>
      </c>
      <c r="AF7888">
        <v>-2.7752968653704602</v>
      </c>
      <c r="AG7888">
        <v>-1.1109525093879999</v>
      </c>
      <c r="AH7888">
        <v>14.0543389030112</v>
      </c>
      <c r="AI7888">
        <v>94.434379294313999</v>
      </c>
      <c r="AJ7888">
        <v>101.17042917276601</v>
      </c>
      <c r="AK7888">
        <v>14.3687483856369</v>
      </c>
      <c r="AL7888">
        <v>85.357202246019099</v>
      </c>
      <c r="AM7888">
        <v>91.263192715900303</v>
      </c>
      <c r="AN7888">
        <v>1.0000000302557901</v>
      </c>
    </row>
    <row r="7889" spans="1:40" x14ac:dyDescent="0.25">
      <c r="A7889" t="str">
        <f>"20190312150846679"</f>
        <v>20190312150846679</v>
      </c>
      <c r="B7889" t="str">
        <f>"1552374526667622"</f>
        <v>1552374526667622</v>
      </c>
      <c r="C7889" t="s">
        <v>40</v>
      </c>
      <c r="D7889">
        <v>4.3456780000000004</v>
      </c>
      <c r="E7889">
        <v>0.43647180000000002</v>
      </c>
      <c r="F7889" t="s">
        <v>42</v>
      </c>
      <c r="G7889">
        <v>-419.40019999999998</v>
      </c>
      <c r="H7889" s="1">
        <v>-3.4462460000000001E-6</v>
      </c>
      <c r="I7889">
        <v>87.41807</v>
      </c>
      <c r="J7889">
        <v>-422.33949999999999</v>
      </c>
      <c r="K7889">
        <v>1.1109209999999901</v>
      </c>
      <c r="L7889">
        <v>101.5047</v>
      </c>
      <c r="M7889">
        <v>1.050267E-2</v>
      </c>
      <c r="N7889">
        <v>0</v>
      </c>
      <c r="O7889">
        <v>-0.99988480000000002</v>
      </c>
      <c r="P7889">
        <v>3.2563429999999997E-2</v>
      </c>
      <c r="Q7889">
        <v>7.0213949999999997E-2</v>
      </c>
      <c r="R7889">
        <v>-0.99700089999999997</v>
      </c>
      <c r="S7889">
        <v>0.61999510000000002</v>
      </c>
      <c r="T7889">
        <v>-0.2341502</v>
      </c>
      <c r="U7889">
        <v>-3.005585</v>
      </c>
      <c r="V7889">
        <v>-2.221996E-2</v>
      </c>
      <c r="W7889">
        <v>8.1130709999999995E-2</v>
      </c>
      <c r="X7889">
        <v>0.9964558</v>
      </c>
      <c r="Y7889">
        <v>-0.19114329999999999</v>
      </c>
      <c r="Z7889">
        <v>7.6150519999999999E-2</v>
      </c>
      <c r="AA7889">
        <v>0.97860380000000002</v>
      </c>
      <c r="AB7889">
        <v>28</v>
      </c>
      <c r="AC7889">
        <v>2.9392999999999998</v>
      </c>
      <c r="AD7889">
        <v>-1.11092444624599</v>
      </c>
      <c r="AE7889">
        <v>-14.08663</v>
      </c>
      <c r="AF7889">
        <v>-2.7746448680018001</v>
      </c>
      <c r="AG7889">
        <v>-1.11092444624599</v>
      </c>
      <c r="AH7889">
        <v>14.0330880940709</v>
      </c>
      <c r="AI7889">
        <v>94.440743406447297</v>
      </c>
      <c r="AJ7889">
        <v>101.184356753945</v>
      </c>
      <c r="AK7889">
        <v>14.3478349838835</v>
      </c>
      <c r="AL7889">
        <v>85.346438255270797</v>
      </c>
      <c r="AM7889">
        <v>91.277426430769694</v>
      </c>
      <c r="AN7889">
        <v>1.00000004004057</v>
      </c>
    </row>
    <row r="7890" spans="1:40" x14ac:dyDescent="0.25">
      <c r="A7890" t="str">
        <f>"20190312150846691"</f>
        <v>20190312150846691</v>
      </c>
      <c r="B7890" t="str">
        <f>"1552374526687826"</f>
        <v>1552374526687826</v>
      </c>
      <c r="C7890" t="s">
        <v>40</v>
      </c>
      <c r="D7890">
        <v>4.3375050000000002</v>
      </c>
      <c r="E7890">
        <v>0.43668780000000001</v>
      </c>
      <c r="F7890" t="s">
        <v>42</v>
      </c>
      <c r="G7890">
        <v>-419.38459999999998</v>
      </c>
      <c r="H7890" s="1">
        <v>-3.364333E-6</v>
      </c>
      <c r="I7890">
        <v>87.220669999999998</v>
      </c>
      <c r="J7890">
        <v>-422.3374</v>
      </c>
      <c r="K7890">
        <v>1.1109</v>
      </c>
      <c r="L7890">
        <v>101.3503</v>
      </c>
      <c r="M7890">
        <v>1.096918E-2</v>
      </c>
      <c r="N7890">
        <v>0</v>
      </c>
      <c r="O7890">
        <v>-0.99987950000000003</v>
      </c>
      <c r="P7890">
        <v>3.352521E-2</v>
      </c>
      <c r="Q7890">
        <v>7.0050979999999999E-2</v>
      </c>
      <c r="R7890">
        <v>-0.99698030000000004</v>
      </c>
      <c r="S7890">
        <v>0.62167359999999905</v>
      </c>
      <c r="T7890">
        <v>-0.23372519999999999</v>
      </c>
      <c r="U7890">
        <v>-3.005188</v>
      </c>
      <c r="V7890">
        <v>-2.2712510000000002E-2</v>
      </c>
      <c r="W7890">
        <v>8.0971020000000005E-2</v>
      </c>
      <c r="X7890">
        <v>0.99645760000000005</v>
      </c>
      <c r="Y7890">
        <v>-0.1912372</v>
      </c>
      <c r="Z7890">
        <v>7.6017399999999999E-2</v>
      </c>
      <c r="AA7890">
        <v>0.97859580000000002</v>
      </c>
      <c r="AB7890">
        <v>28</v>
      </c>
      <c r="AC7890">
        <v>2.9528000000000199</v>
      </c>
      <c r="AD7890">
        <v>-1.110903364333</v>
      </c>
      <c r="AE7890">
        <v>-14.129630000000001</v>
      </c>
      <c r="AF7890">
        <v>-2.7811503346098299</v>
      </c>
      <c r="AG7890">
        <v>-1.110903364333</v>
      </c>
      <c r="AH7890">
        <v>14.077791666668499</v>
      </c>
      <c r="AI7890">
        <v>94.426753441904197</v>
      </c>
      <c r="AJ7890">
        <v>101.17521697944299</v>
      </c>
      <c r="AK7890">
        <v>14.3928149324136</v>
      </c>
      <c r="AL7890">
        <v>85.355617630335402</v>
      </c>
      <c r="AM7890">
        <v>91.305731096017993</v>
      </c>
      <c r="AN7890">
        <v>0.99999995639404904</v>
      </c>
    </row>
    <row r="7891" spans="1:40" x14ac:dyDescent="0.25">
      <c r="A7891" t="str">
        <f>"20190312150846706"</f>
        <v>20190312150846706</v>
      </c>
      <c r="B7891" t="str">
        <f>"1552374526697587"</f>
        <v>1552374526697587</v>
      </c>
      <c r="C7891" t="s">
        <v>40</v>
      </c>
      <c r="D7891">
        <v>4.374854</v>
      </c>
      <c r="E7891">
        <v>0.43672420000000001</v>
      </c>
      <c r="F7891" t="s">
        <v>42</v>
      </c>
      <c r="G7891">
        <v>-419.40820000000002</v>
      </c>
      <c r="H7891" s="1">
        <v>-3.3567169999999998E-6</v>
      </c>
      <c r="I7891">
        <v>87.212649999999996</v>
      </c>
      <c r="J7891">
        <v>-422.33479999999997</v>
      </c>
      <c r="K7891">
        <v>1.1108709999999999</v>
      </c>
      <c r="L7891">
        <v>101.1678</v>
      </c>
      <c r="M7891">
        <v>1.150547E-2</v>
      </c>
      <c r="N7891">
        <v>0</v>
      </c>
      <c r="O7891">
        <v>-0.99987349999999997</v>
      </c>
      <c r="P7891">
        <v>3.4889249999999997E-2</v>
      </c>
      <c r="Q7891">
        <v>6.9876750000000001E-2</v>
      </c>
      <c r="R7891">
        <v>-0.99694559999999999</v>
      </c>
      <c r="S7891">
        <v>0.62255859999999996</v>
      </c>
      <c r="T7891">
        <v>-0.23610449999999999</v>
      </c>
      <c r="U7891">
        <v>-3.0047299999999999</v>
      </c>
      <c r="V7891">
        <v>-2.353626E-2</v>
      </c>
      <c r="W7891">
        <v>8.0799930000000006E-2</v>
      </c>
      <c r="X7891">
        <v>0.99645240000000002</v>
      </c>
      <c r="Y7891">
        <v>-0.1910046</v>
      </c>
      <c r="Z7891">
        <v>7.6796809999999993E-2</v>
      </c>
      <c r="AA7891">
        <v>0.97858040000000002</v>
      </c>
      <c r="AB7891">
        <v>28</v>
      </c>
      <c r="AC7891">
        <v>2.9265999999999499</v>
      </c>
      <c r="AD7891">
        <v>-1.1108743567170001</v>
      </c>
      <c r="AE7891">
        <v>-13.95515</v>
      </c>
      <c r="AF7891">
        <v>-2.7491494571153501</v>
      </c>
      <c r="AG7891">
        <v>-1.1108743567170001</v>
      </c>
      <c r="AH7891">
        <v>13.903509738461301</v>
      </c>
      <c r="AI7891">
        <v>94.481753629304805</v>
      </c>
      <c r="AJ7891">
        <v>101.184852615827</v>
      </c>
      <c r="AK7891">
        <v>14.2161685281744</v>
      </c>
      <c r="AL7891">
        <v>85.365452723050097</v>
      </c>
      <c r="AM7891">
        <v>91.353077841929803</v>
      </c>
      <c r="AN7891">
        <v>0.99999998484427599</v>
      </c>
    </row>
    <row r="7892" spans="1:40" x14ac:dyDescent="0.25">
      <c r="A7892" t="str">
        <f>"20190312150846728"</f>
        <v>20190312150846728</v>
      </c>
      <c r="B7892" t="str">
        <f>"1552374526718083"</f>
        <v>1552374526718083</v>
      </c>
      <c r="C7892" t="s">
        <v>40</v>
      </c>
      <c r="D7892">
        <v>4.3236359999999996</v>
      </c>
      <c r="E7892">
        <v>0.43696570000000001</v>
      </c>
      <c r="F7892" t="s">
        <v>42</v>
      </c>
      <c r="G7892">
        <v>-419.42590000000001</v>
      </c>
      <c r="H7892" s="1">
        <v>-3.3519079999999998E-6</v>
      </c>
      <c r="I7892">
        <v>87.208759999999998</v>
      </c>
      <c r="J7892">
        <v>-422.33080000000001</v>
      </c>
      <c r="K7892">
        <v>1.110841</v>
      </c>
      <c r="L7892">
        <v>100.893</v>
      </c>
      <c r="M7892">
        <v>1.2276509999999999E-2</v>
      </c>
      <c r="N7892">
        <v>0</v>
      </c>
      <c r="O7892">
        <v>-0.99986430000000004</v>
      </c>
      <c r="P7892">
        <v>3.6484009999999997E-2</v>
      </c>
      <c r="Q7892">
        <v>6.9716620000000007E-2</v>
      </c>
      <c r="R7892">
        <v>-0.9968998</v>
      </c>
      <c r="S7892">
        <v>0.62600710000000004</v>
      </c>
      <c r="T7892">
        <v>-0.23906289999999999</v>
      </c>
      <c r="U7892">
        <v>-3.0040279999999999</v>
      </c>
      <c r="V7892">
        <v>-2.4356180000000002E-2</v>
      </c>
      <c r="W7892">
        <v>8.0644980000000005E-2</v>
      </c>
      <c r="X7892">
        <v>0.99644520000000003</v>
      </c>
      <c r="Y7892">
        <v>-0.19135489999999999</v>
      </c>
      <c r="Z7892">
        <v>7.77582E-2</v>
      </c>
      <c r="AA7892">
        <v>0.97843599999999997</v>
      </c>
      <c r="AB7892">
        <v>28</v>
      </c>
      <c r="AC7892">
        <v>2.9048999999999898</v>
      </c>
      <c r="AD7892">
        <v>-1.110844351908</v>
      </c>
      <c r="AE7892">
        <v>-13.6842399999999</v>
      </c>
      <c r="AF7892">
        <v>-2.7195281130678199</v>
      </c>
      <c r="AG7892">
        <v>-1.110844351908</v>
      </c>
      <c r="AH7892">
        <v>13.632909917526501</v>
      </c>
      <c r="AI7892">
        <v>94.568692723354303</v>
      </c>
      <c r="AJ7892">
        <v>101.28142416968301</v>
      </c>
      <c r="AK7892">
        <v>13.9458252230309</v>
      </c>
      <c r="AL7892">
        <v>85.374359547005795</v>
      </c>
      <c r="AM7892">
        <v>91.400205949307903</v>
      </c>
      <c r="AN7892">
        <v>0.99999993645321394</v>
      </c>
    </row>
    <row r="7893" spans="1:40" x14ac:dyDescent="0.25">
      <c r="A7893" t="str">
        <f>"20190312150846740"</f>
        <v>20190312150846740</v>
      </c>
      <c r="B7893" t="str">
        <f>"1552374526737603"</f>
        <v>1552374526737603</v>
      </c>
      <c r="C7893" t="s">
        <v>40</v>
      </c>
      <c r="D7893">
        <v>4.2927429999999998</v>
      </c>
      <c r="E7893">
        <v>0.43722729999999999</v>
      </c>
      <c r="F7893" t="s">
        <v>42</v>
      </c>
      <c r="G7893">
        <v>-419.41759999999999</v>
      </c>
      <c r="H7893" s="1">
        <v>-3.2506900000000002E-6</v>
      </c>
      <c r="I7893">
        <v>86.969409999999996</v>
      </c>
      <c r="J7893">
        <v>-422.32839999999999</v>
      </c>
      <c r="K7893">
        <v>1.110824</v>
      </c>
      <c r="L7893">
        <v>100.736</v>
      </c>
      <c r="M7893">
        <v>1.2703320000000001E-2</v>
      </c>
      <c r="N7893">
        <v>0</v>
      </c>
      <c r="O7893">
        <v>-0.99985900000000005</v>
      </c>
      <c r="P7893">
        <v>3.7548529999999997E-2</v>
      </c>
      <c r="Q7893">
        <v>6.9312330000000005E-2</v>
      </c>
      <c r="R7893">
        <v>-0.99688840000000001</v>
      </c>
      <c r="S7893">
        <v>0.62832639999999995</v>
      </c>
      <c r="T7893">
        <v>-0.23959250000000001</v>
      </c>
      <c r="U7893">
        <v>-3.0031129999999999</v>
      </c>
      <c r="V7893">
        <v>-2.4991309999999999E-2</v>
      </c>
      <c r="W7893">
        <v>8.0243839999999997E-2</v>
      </c>
      <c r="X7893">
        <v>0.99646190000000001</v>
      </c>
      <c r="Y7893">
        <v>-0.19171659999999999</v>
      </c>
      <c r="Z7893">
        <v>7.794305E-2</v>
      </c>
      <c r="AA7893">
        <v>0.97835050000000001</v>
      </c>
      <c r="AB7893">
        <v>28</v>
      </c>
      <c r="AC7893">
        <v>2.9107999999999898</v>
      </c>
      <c r="AD7893">
        <v>-1.1108272506899901</v>
      </c>
      <c r="AE7893">
        <v>-13.766590000000001</v>
      </c>
      <c r="AF7893">
        <v>-2.7187293104100099</v>
      </c>
      <c r="AG7893">
        <v>-1.1108272506899901</v>
      </c>
      <c r="AH7893">
        <v>13.716970288204401</v>
      </c>
      <c r="AI7893">
        <v>94.541850521031904</v>
      </c>
      <c r="AJ7893">
        <v>101.210836152694</v>
      </c>
      <c r="AK7893">
        <v>14.027854437926001</v>
      </c>
      <c r="AL7893">
        <v>85.397418102834493</v>
      </c>
      <c r="AM7893">
        <v>91.436679591688502</v>
      </c>
      <c r="AN7893">
        <v>0.99999997879253499</v>
      </c>
    </row>
    <row r="7894" spans="1:40" x14ac:dyDescent="0.25">
      <c r="A7894" t="str">
        <f>"20190312150846753"</f>
        <v>20190312150846753</v>
      </c>
      <c r="B7894" t="str">
        <f>"1552374526748339"</f>
        <v>1552374526748339</v>
      </c>
      <c r="C7894" t="s">
        <v>40</v>
      </c>
      <c r="D7894">
        <v>4.28817</v>
      </c>
      <c r="E7894">
        <v>0.43735190000000002</v>
      </c>
      <c r="F7894" t="s">
        <v>42</v>
      </c>
      <c r="G7894">
        <v>-419.42489999999998</v>
      </c>
      <c r="H7894" s="1">
        <v>-3.2091450000000001E-6</v>
      </c>
      <c r="I7894">
        <v>86.875579999999999</v>
      </c>
      <c r="J7894">
        <v>-422.3261</v>
      </c>
      <c r="K7894">
        <v>1.110811</v>
      </c>
      <c r="L7894">
        <v>100.59010000000001</v>
      </c>
      <c r="M7894">
        <v>1.3090650000000001E-2</v>
      </c>
      <c r="N7894">
        <v>0</v>
      </c>
      <c r="O7894">
        <v>-0.99985400000000002</v>
      </c>
      <c r="P7894">
        <v>3.8335649999999999E-2</v>
      </c>
      <c r="Q7894">
        <v>6.9243040000000006E-2</v>
      </c>
      <c r="R7894">
        <v>-0.99686339999999996</v>
      </c>
      <c r="S7894">
        <v>0.62893679999999996</v>
      </c>
      <c r="T7894">
        <v>-0.24062420000000001</v>
      </c>
      <c r="U7894">
        <v>-3.0024109999999999</v>
      </c>
      <c r="V7894">
        <v>-2.5390090000000001E-2</v>
      </c>
      <c r="W7894">
        <v>8.0176819999999996E-2</v>
      </c>
      <c r="X7894">
        <v>0.99645720000000004</v>
      </c>
      <c r="Y7894">
        <v>-0.19156719999999999</v>
      </c>
      <c r="Z7894">
        <v>7.8293360000000006E-2</v>
      </c>
      <c r="AA7894">
        <v>0.97835179999999999</v>
      </c>
      <c r="AB7894">
        <v>28</v>
      </c>
      <c r="AC7894">
        <v>2.90120000000001</v>
      </c>
      <c r="AD7894">
        <v>-1.110814209145</v>
      </c>
      <c r="AE7894">
        <v>-13.71452</v>
      </c>
      <c r="AF7894">
        <v>-2.70442674043943</v>
      </c>
      <c r="AG7894">
        <v>-1.110814209145</v>
      </c>
      <c r="AH7894">
        <v>13.6655161227129</v>
      </c>
      <c r="AI7894">
        <v>94.559086342004605</v>
      </c>
      <c r="AJ7894">
        <v>101.194277620664</v>
      </c>
      <c r="AK7894">
        <v>13.974768803159799</v>
      </c>
      <c r="AL7894">
        <v>85.401270416308805</v>
      </c>
      <c r="AM7894">
        <v>91.459601366262504</v>
      </c>
      <c r="AN7894">
        <v>0.99999996528367896</v>
      </c>
    </row>
    <row r="7895" spans="1:40" x14ac:dyDescent="0.25">
      <c r="A7895" t="str">
        <f>"20190312150846767"</f>
        <v>20190312150846767</v>
      </c>
      <c r="B7895" t="str">
        <f>"1552374526758101"</f>
        <v>1552374526758101</v>
      </c>
      <c r="C7895" t="s">
        <v>40</v>
      </c>
      <c r="D7895">
        <v>4.3172269999999999</v>
      </c>
      <c r="E7895">
        <v>0.4374922</v>
      </c>
      <c r="F7895" t="s">
        <v>42</v>
      </c>
      <c r="G7895">
        <v>-419.41559999999998</v>
      </c>
      <c r="H7895" s="1">
        <v>-3.1432120000000002E-6</v>
      </c>
      <c r="I7895">
        <v>86.718009999999893</v>
      </c>
      <c r="J7895">
        <v>-422.32330000000002</v>
      </c>
      <c r="K7895">
        <v>1.1108009999999999</v>
      </c>
      <c r="L7895">
        <v>100.4118</v>
      </c>
      <c r="M7895">
        <v>1.3557609999999999E-2</v>
      </c>
      <c r="N7895">
        <v>0</v>
      </c>
      <c r="O7895">
        <v>-0.99984770000000001</v>
      </c>
      <c r="P7895">
        <v>3.92022E-2</v>
      </c>
      <c r="Q7895">
        <v>6.9240979999999994E-2</v>
      </c>
      <c r="R7895">
        <v>-0.99682999999999999</v>
      </c>
      <c r="S7895">
        <v>0.62985230000000003</v>
      </c>
      <c r="T7895">
        <v>-0.24038019999999999</v>
      </c>
      <c r="U7895">
        <v>-3.0019230000000001</v>
      </c>
      <c r="V7895">
        <v>-2.5789220000000002E-2</v>
      </c>
      <c r="W7895">
        <v>8.0177300000000007E-2</v>
      </c>
      <c r="X7895">
        <v>0.99644699999999997</v>
      </c>
      <c r="Y7895">
        <v>-0.19142780000000001</v>
      </c>
      <c r="Z7895">
        <v>7.8224760000000004E-2</v>
      </c>
      <c r="AA7895">
        <v>0.97838460000000005</v>
      </c>
      <c r="AB7895">
        <v>28</v>
      </c>
      <c r="AC7895">
        <v>2.9077000000000299</v>
      </c>
      <c r="AD7895">
        <v>-1.1108041432119999</v>
      </c>
      <c r="AE7895">
        <v>-13.69379</v>
      </c>
      <c r="AF7895">
        <v>-2.7047370144961702</v>
      </c>
      <c r="AG7895">
        <v>-1.1108041432119999</v>
      </c>
      <c r="AH7895">
        <v>13.646037590476899</v>
      </c>
      <c r="AI7895">
        <v>94.565260908304893</v>
      </c>
      <c r="AJ7895">
        <v>101.211105613413</v>
      </c>
      <c r="AK7895">
        <v>13.9557812422978</v>
      </c>
      <c r="AL7895">
        <v>85.401243232327005</v>
      </c>
      <c r="AM7895">
        <v>91.482551180610301</v>
      </c>
      <c r="AN7895">
        <v>1.0000000535562401</v>
      </c>
    </row>
    <row r="7896" spans="1:40" x14ac:dyDescent="0.25">
      <c r="A7896" t="str">
        <f>"20190312150846780"</f>
        <v>20190312150846780</v>
      </c>
      <c r="B7896" t="str">
        <f>"1552374526777619"</f>
        <v>1552374526777619</v>
      </c>
      <c r="C7896" t="s">
        <v>40</v>
      </c>
      <c r="D7896">
        <v>4.3502159999999996</v>
      </c>
      <c r="E7896">
        <v>0.43762190000000001</v>
      </c>
      <c r="F7896" t="s">
        <v>42</v>
      </c>
      <c r="G7896">
        <v>-419.4</v>
      </c>
      <c r="H7896" s="1">
        <v>-3.0634670000000001E-6</v>
      </c>
      <c r="I7896">
        <v>86.525710000000004</v>
      </c>
      <c r="J7896">
        <v>-422.32049999999998</v>
      </c>
      <c r="K7896">
        <v>1.110795</v>
      </c>
      <c r="L7896">
        <v>100.241</v>
      </c>
      <c r="M7896">
        <v>1.399705E-2</v>
      </c>
      <c r="N7896">
        <v>0</v>
      </c>
      <c r="O7896">
        <v>-0.99984150000000005</v>
      </c>
      <c r="P7896">
        <v>4.0211770000000001E-2</v>
      </c>
      <c r="Q7896">
        <v>6.8821720000000003E-2</v>
      </c>
      <c r="R7896">
        <v>-0.99681869999999995</v>
      </c>
      <c r="S7896">
        <v>0.63183590000000001</v>
      </c>
      <c r="T7896">
        <v>-0.2400919</v>
      </c>
      <c r="U7896">
        <v>-3.0013730000000001</v>
      </c>
      <c r="V7896">
        <v>-2.6357889999999998E-2</v>
      </c>
      <c r="W7896">
        <v>7.9760919999999999E-2</v>
      </c>
      <c r="X7896">
        <v>0.9964655</v>
      </c>
      <c r="Y7896">
        <v>-0.19165309999999999</v>
      </c>
      <c r="Z7896">
        <v>7.8137760000000001E-2</v>
      </c>
      <c r="AA7896">
        <v>0.97834739999999998</v>
      </c>
      <c r="AB7896">
        <v>28</v>
      </c>
      <c r="AC7896">
        <v>2.9205000000000001</v>
      </c>
      <c r="AD7896">
        <v>-1.1107980634670001</v>
      </c>
      <c r="AE7896">
        <v>-13.7152899999999</v>
      </c>
      <c r="AF7896">
        <v>-2.7112162324537099</v>
      </c>
      <c r="AG7896">
        <v>-1.1107980634670001</v>
      </c>
      <c r="AH7896">
        <v>13.669056152018101</v>
      </c>
      <c r="AI7896">
        <v>94.557459217662398</v>
      </c>
      <c r="AJ7896">
        <v>101.218836164423</v>
      </c>
      <c r="AK7896">
        <v>13.9795444090266</v>
      </c>
      <c r="AL7896">
        <v>85.425176534241899</v>
      </c>
      <c r="AM7896">
        <v>91.515199257688707</v>
      </c>
      <c r="AN7896">
        <v>1.00000001770737</v>
      </c>
    </row>
    <row r="7897" spans="1:40" x14ac:dyDescent="0.25">
      <c r="A7897" t="str">
        <f>"20190312150846797"</f>
        <v>20190312150846797</v>
      </c>
      <c r="B7897" t="str">
        <f>"1552374526788354"</f>
        <v>1552374526788354</v>
      </c>
      <c r="C7897" t="s">
        <v>40</v>
      </c>
      <c r="D7897">
        <v>4.3115319999999997</v>
      </c>
      <c r="E7897">
        <v>0.43772680000000003</v>
      </c>
      <c r="F7897" t="s">
        <v>42</v>
      </c>
      <c r="G7897">
        <v>-419.4323</v>
      </c>
      <c r="H7897" s="1">
        <v>-3.0709269999999998E-6</v>
      </c>
      <c r="I7897">
        <v>86.556460000000001</v>
      </c>
      <c r="J7897">
        <v>-422.31720000000001</v>
      </c>
      <c r="K7897">
        <v>1.1107860000000001</v>
      </c>
      <c r="L7897">
        <v>100.0448</v>
      </c>
      <c r="M7897">
        <v>1.4496240000000001E-2</v>
      </c>
      <c r="N7897">
        <v>0</v>
      </c>
      <c r="O7897">
        <v>-0.99983429999999995</v>
      </c>
      <c r="P7897">
        <v>4.1519390000000003E-2</v>
      </c>
      <c r="Q7897">
        <v>6.8529789999999993E-2</v>
      </c>
      <c r="R7897">
        <v>-0.99678480000000003</v>
      </c>
      <c r="S7897">
        <v>0.63333130000000004</v>
      </c>
      <c r="T7897">
        <v>-0.2435851</v>
      </c>
      <c r="U7897">
        <v>-3.0008539999999999</v>
      </c>
      <c r="V7897">
        <v>-2.7166269999999999E-2</v>
      </c>
      <c r="W7897">
        <v>7.9471920000000001E-2</v>
      </c>
      <c r="X7897">
        <v>0.99646690000000004</v>
      </c>
      <c r="Y7897">
        <v>-0.1916455</v>
      </c>
      <c r="Z7897">
        <v>7.9275970000000001E-2</v>
      </c>
      <c r="AA7897">
        <v>0.9782573</v>
      </c>
      <c r="AB7897">
        <v>28</v>
      </c>
      <c r="AC7897">
        <v>2.8849000000000098</v>
      </c>
      <c r="AD7897">
        <v>-1.1107890709270001</v>
      </c>
      <c r="AE7897">
        <v>-13.4883399999999</v>
      </c>
      <c r="AF7897">
        <v>-2.67172819126321</v>
      </c>
      <c r="AG7897">
        <v>-1.1107890709270001</v>
      </c>
      <c r="AH7897">
        <v>13.441574572508699</v>
      </c>
      <c r="AI7897">
        <v>94.633848594638707</v>
      </c>
      <c r="AJ7897">
        <v>101.241933460216</v>
      </c>
      <c r="AK7897">
        <v>13.749469476179501</v>
      </c>
      <c r="AL7897">
        <v>85.441787835954798</v>
      </c>
      <c r="AM7897">
        <v>91.561644609133097</v>
      </c>
      <c r="AN7897">
        <v>1.0000000375449001</v>
      </c>
    </row>
    <row r="7898" spans="1:40" x14ac:dyDescent="0.25">
      <c r="A7898" t="str">
        <f>"20190312150846817"</f>
        <v>20190312150846817</v>
      </c>
      <c r="B7898" t="str">
        <f>"1552374526807874"</f>
        <v>1552374526807874</v>
      </c>
      <c r="C7898" t="s">
        <v>40</v>
      </c>
      <c r="D7898">
        <v>4.3706370000000003</v>
      </c>
      <c r="E7898">
        <v>0.43785550000000001</v>
      </c>
      <c r="F7898" t="s">
        <v>42</v>
      </c>
      <c r="G7898">
        <v>-419.42450000000002</v>
      </c>
      <c r="H7898" s="1">
        <v>-3.0121610000000001E-6</v>
      </c>
      <c r="I7898">
        <v>86.416219999999996</v>
      </c>
      <c r="J7898">
        <v>-422.31259999999997</v>
      </c>
      <c r="K7898">
        <v>1.1107750000000001</v>
      </c>
      <c r="L7898">
        <v>99.78134</v>
      </c>
      <c r="M7898">
        <v>1.5162480000000001E-2</v>
      </c>
      <c r="N7898">
        <v>0</v>
      </c>
      <c r="O7898">
        <v>-0.9998245</v>
      </c>
      <c r="P7898">
        <v>4.289755E-2</v>
      </c>
      <c r="Q7898">
        <v>6.8109119999999995E-2</v>
      </c>
      <c r="R7898">
        <v>-0.99675539999999996</v>
      </c>
      <c r="S7898">
        <v>0.63674929999999996</v>
      </c>
      <c r="T7898">
        <v>-0.2445108</v>
      </c>
      <c r="U7898">
        <v>-2.9999690000000001</v>
      </c>
      <c r="V7898">
        <v>-2.7878969999999999E-2</v>
      </c>
      <c r="W7898">
        <v>7.9054570000000005E-2</v>
      </c>
      <c r="X7898">
        <v>0.99648029999999999</v>
      </c>
      <c r="Y7898">
        <v>-0.19211159999999999</v>
      </c>
      <c r="Z7898">
        <v>7.958403E-2</v>
      </c>
      <c r="AA7898">
        <v>0.97814080000000003</v>
      </c>
      <c r="AB7898">
        <v>28</v>
      </c>
      <c r="AC7898">
        <v>2.8880999999999499</v>
      </c>
      <c r="AD7898">
        <v>-1.110778012161</v>
      </c>
      <c r="AE7898">
        <v>-13.365119999999999</v>
      </c>
      <c r="AF7898">
        <v>-2.66750404793315</v>
      </c>
      <c r="AG7898">
        <v>-1.110778012161</v>
      </c>
      <c r="AH7898">
        <v>13.3194795051066</v>
      </c>
      <c r="AI7898">
        <v>94.674747543462402</v>
      </c>
      <c r="AJ7898">
        <v>101.32485573100401</v>
      </c>
      <c r="AK7898">
        <v>13.6293044549234</v>
      </c>
      <c r="AL7898">
        <v>85.465775190659997</v>
      </c>
      <c r="AM7898">
        <v>91.602571316295297</v>
      </c>
      <c r="AN7898">
        <v>0.999999925147115</v>
      </c>
    </row>
    <row r="7899" spans="1:40" x14ac:dyDescent="0.25">
      <c r="A7899" t="str">
        <f>"20190312150846831"</f>
        <v>20190312150846831</v>
      </c>
      <c r="B7899" t="str">
        <f>"1552374526828371"</f>
        <v>1552374526828371</v>
      </c>
      <c r="C7899" t="s">
        <v>40</v>
      </c>
      <c r="D7899">
        <v>4.3505140000000004</v>
      </c>
      <c r="E7899">
        <v>0.4437026</v>
      </c>
      <c r="F7899" t="s">
        <v>42</v>
      </c>
      <c r="G7899">
        <v>-419.42079999999999</v>
      </c>
      <c r="H7899" s="1">
        <v>-2.9272009999999999E-6</v>
      </c>
      <c r="I7899">
        <v>86.216669999999993</v>
      </c>
      <c r="J7899">
        <v>-422.30970000000002</v>
      </c>
      <c r="K7899">
        <v>1.110768</v>
      </c>
      <c r="L7899">
        <v>99.61609</v>
      </c>
      <c r="M7899">
        <v>1.557935E-2</v>
      </c>
      <c r="N7899">
        <v>0</v>
      </c>
      <c r="O7899">
        <v>-0.99981810000000004</v>
      </c>
      <c r="P7899">
        <v>4.3824710000000003E-2</v>
      </c>
      <c r="Q7899">
        <v>6.8027669999999998E-2</v>
      </c>
      <c r="R7899">
        <v>-0.99672070000000001</v>
      </c>
      <c r="S7899">
        <v>0.63934329999999995</v>
      </c>
      <c r="T7899">
        <v>-0.24558269999999999</v>
      </c>
      <c r="U7899">
        <v>-2.9990230000000002</v>
      </c>
      <c r="V7899">
        <v>-2.8390410000000001E-2</v>
      </c>
      <c r="W7899">
        <v>7.8975190000000001E-2</v>
      </c>
      <c r="X7899">
        <v>0.99647220000000003</v>
      </c>
      <c r="Y7899">
        <v>-0.1925685</v>
      </c>
      <c r="Z7899">
        <v>7.9943719999999996E-2</v>
      </c>
      <c r="AA7899">
        <v>0.97802169999999999</v>
      </c>
      <c r="AB7899">
        <v>28</v>
      </c>
      <c r="AC7899">
        <v>2.8889000000000302</v>
      </c>
      <c r="AD7899">
        <v>-1.110770927201</v>
      </c>
      <c r="AE7899">
        <v>-13.399419999999999</v>
      </c>
      <c r="AF7899">
        <v>-2.6623000217224799</v>
      </c>
      <c r="AG7899">
        <v>-1.110770927201</v>
      </c>
      <c r="AH7899">
        <v>13.355104980776201</v>
      </c>
      <c r="AI7899">
        <v>94.663126896813495</v>
      </c>
      <c r="AJ7899">
        <v>101.27395244706101</v>
      </c>
      <c r="AK7899">
        <v>13.663106619869801</v>
      </c>
      <c r="AL7899">
        <v>85.470337801370107</v>
      </c>
      <c r="AM7899">
        <v>91.631968007529295</v>
      </c>
      <c r="AN7899">
        <v>0.99999997069417101</v>
      </c>
    </row>
    <row r="7900" spans="1:40" x14ac:dyDescent="0.25">
      <c r="A7900" t="str">
        <f>"20190312150846851"</f>
        <v>20190312150846851</v>
      </c>
      <c r="B7900" t="str">
        <f>"1552374526847891"</f>
        <v>1552374526847891</v>
      </c>
      <c r="C7900" t="s">
        <v>40</v>
      </c>
      <c r="D7900">
        <v>4.195818</v>
      </c>
      <c r="E7900">
        <v>0.4444227</v>
      </c>
      <c r="F7900" t="s">
        <v>42</v>
      </c>
      <c r="G7900">
        <v>-418.99770000000001</v>
      </c>
      <c r="H7900" s="1">
        <v>-1.583976E-6</v>
      </c>
      <c r="I7900">
        <v>82.910629999999998</v>
      </c>
      <c r="J7900">
        <v>-422.30500000000001</v>
      </c>
      <c r="K7900">
        <v>1.1107640000000001</v>
      </c>
      <c r="L7900">
        <v>99.360720000000001</v>
      </c>
      <c r="M7900">
        <v>1.6223390000000001E-2</v>
      </c>
      <c r="N7900">
        <v>0</v>
      </c>
      <c r="O7900">
        <v>-0.99980780000000002</v>
      </c>
      <c r="P7900">
        <v>4.5115629999999997E-2</v>
      </c>
      <c r="Q7900">
        <v>6.709524E-2</v>
      </c>
      <c r="R7900">
        <v>-0.99672640000000001</v>
      </c>
      <c r="S7900">
        <v>0.5942383</v>
      </c>
      <c r="T7900">
        <v>-0.19929769999999999</v>
      </c>
      <c r="U7900">
        <v>-2.9973450000000001</v>
      </c>
      <c r="V7900">
        <v>-2.903733E-2</v>
      </c>
      <c r="W7900">
        <v>7.8046340000000006E-2</v>
      </c>
      <c r="X7900">
        <v>0.99652680000000005</v>
      </c>
      <c r="Y7900">
        <v>-0.17811649999999901</v>
      </c>
      <c r="Z7900">
        <v>6.5170049999999993E-2</v>
      </c>
      <c r="AA7900">
        <v>0.98184899999999997</v>
      </c>
      <c r="AB7900">
        <v>28</v>
      </c>
      <c r="AC7900">
        <v>3.3072999999999899</v>
      </c>
      <c r="AD7900">
        <v>-1.11076558397599</v>
      </c>
      <c r="AE7900">
        <v>-16.450089999999999</v>
      </c>
      <c r="AF7900">
        <v>-3.0267084352218898</v>
      </c>
      <c r="AG7900">
        <v>-1.11076558397599</v>
      </c>
      <c r="AH7900">
        <v>16.4295847863918</v>
      </c>
      <c r="AI7900">
        <v>93.803929278593301</v>
      </c>
      <c r="AJ7900">
        <v>100.43817008113901</v>
      </c>
      <c r="AK7900">
        <v>16.742939418979802</v>
      </c>
      <c r="AL7900">
        <v>85.5237220397144</v>
      </c>
      <c r="AM7900">
        <v>91.669042754556997</v>
      </c>
      <c r="AN7900">
        <v>1.00000003041958</v>
      </c>
    </row>
    <row r="7901" spans="1:40" x14ac:dyDescent="0.25">
      <c r="A7901" t="str">
        <f>"20190312150846863"</f>
        <v>20190312150846863</v>
      </c>
      <c r="B7901" t="str">
        <f>"1552374526857651"</f>
        <v>1552374526857651</v>
      </c>
      <c r="C7901" t="s">
        <v>40</v>
      </c>
      <c r="D7901">
        <v>4.2207059999999998</v>
      </c>
      <c r="E7901">
        <v>0.44447969999999998</v>
      </c>
      <c r="F7901" t="s">
        <v>42</v>
      </c>
      <c r="G7901">
        <v>-418.91539999999998</v>
      </c>
      <c r="H7901" s="1">
        <v>-1.288091E-6</v>
      </c>
      <c r="I7901">
        <v>82.186890000000005</v>
      </c>
      <c r="J7901">
        <v>-422.30220000000003</v>
      </c>
      <c r="K7901">
        <v>1.1107659999999999</v>
      </c>
      <c r="L7901">
        <v>99.212400000000002</v>
      </c>
      <c r="M7901">
        <v>1.6597879999999999E-2</v>
      </c>
      <c r="N7901">
        <v>0</v>
      </c>
      <c r="O7901">
        <v>-0.99980159999999996</v>
      </c>
      <c r="P7901">
        <v>4.593175E-2</v>
      </c>
      <c r="Q7901">
        <v>6.6864770000000004E-2</v>
      </c>
      <c r="R7901">
        <v>-0.99670449999999999</v>
      </c>
      <c r="S7901">
        <v>0.59133910000000001</v>
      </c>
      <c r="T7901">
        <v>-0.19378480000000001</v>
      </c>
      <c r="U7901">
        <v>-2.9961549999999999</v>
      </c>
      <c r="V7901">
        <v>-2.9479769999999999E-2</v>
      </c>
      <c r="W7901">
        <v>7.7817670000000005E-2</v>
      </c>
      <c r="X7901">
        <v>0.99653170000000002</v>
      </c>
      <c r="Y7901">
        <v>-0.1769299</v>
      </c>
      <c r="Z7901">
        <v>6.3411510000000004E-2</v>
      </c>
      <c r="AA7901">
        <v>0.98217860000000001</v>
      </c>
      <c r="AB7901">
        <v>28</v>
      </c>
      <c r="AC7901">
        <v>3.3868000000000502</v>
      </c>
      <c r="AD7901">
        <v>-1.110767288091</v>
      </c>
      <c r="AE7901">
        <v>-17.025509999999901</v>
      </c>
      <c r="AF7901">
        <v>-3.0910727594796099</v>
      </c>
      <c r="AG7901">
        <v>-1.110767288091</v>
      </c>
      <c r="AH7901">
        <v>17.009736595712202</v>
      </c>
      <c r="AI7901">
        <v>93.676177710050496</v>
      </c>
      <c r="AJ7901">
        <v>100.29960779673399</v>
      </c>
      <c r="AK7901">
        <v>17.323962417074199</v>
      </c>
      <c r="AL7901">
        <v>85.536863866940095</v>
      </c>
      <c r="AM7901">
        <v>91.694450814279307</v>
      </c>
      <c r="AN7901">
        <v>1.00000003785418</v>
      </c>
    </row>
    <row r="7902" spans="1:40" x14ac:dyDescent="0.25">
      <c r="A7902" t="str">
        <f>"20190312150846875"</f>
        <v>20190312150846875</v>
      </c>
      <c r="B7902" t="str">
        <f>"1552374526867412"</f>
        <v>1552374526867412</v>
      </c>
      <c r="C7902" t="s">
        <v>40</v>
      </c>
      <c r="D7902">
        <v>4.2542559999999998</v>
      </c>
      <c r="E7902">
        <v>0.44448589999999999</v>
      </c>
      <c r="F7902" t="s">
        <v>42</v>
      </c>
      <c r="G7902">
        <v>-418.96429999999998</v>
      </c>
      <c r="H7902" s="1">
        <v>-1.35231599999999E-6</v>
      </c>
      <c r="I7902">
        <v>82.356800000000007</v>
      </c>
      <c r="J7902">
        <v>-422.29930000000002</v>
      </c>
      <c r="K7902">
        <v>1.1107629999999999</v>
      </c>
      <c r="L7902">
        <v>99.065340000000006</v>
      </c>
      <c r="M7902">
        <v>1.6970679999999998E-2</v>
      </c>
      <c r="N7902">
        <v>0</v>
      </c>
      <c r="O7902">
        <v>-0.99979510000000005</v>
      </c>
      <c r="P7902">
        <v>4.647159E-2</v>
      </c>
      <c r="Q7902">
        <v>6.6615480000000005E-2</v>
      </c>
      <c r="R7902">
        <v>-0.99669620000000003</v>
      </c>
      <c r="S7902">
        <v>0.593261699999999</v>
      </c>
      <c r="T7902">
        <v>-0.1974214</v>
      </c>
      <c r="U7902">
        <v>-2.995819</v>
      </c>
      <c r="V7902">
        <v>-2.9647130000000001E-2</v>
      </c>
      <c r="W7902">
        <v>7.7570470000000002E-2</v>
      </c>
      <c r="X7902">
        <v>0.99654600000000004</v>
      </c>
      <c r="Y7902">
        <v>-0.17717569999999999</v>
      </c>
      <c r="Z7902">
        <v>6.4597589999999996E-2</v>
      </c>
      <c r="AA7902">
        <v>0.98205699999999996</v>
      </c>
      <c r="AB7902">
        <v>28</v>
      </c>
      <c r="AC7902">
        <v>3.3350000000000302</v>
      </c>
      <c r="AD7902">
        <v>-1.110764352316</v>
      </c>
      <c r="AE7902">
        <v>-16.708539999999999</v>
      </c>
      <c r="AF7902">
        <v>-3.0380351172700002</v>
      </c>
      <c r="AG7902">
        <v>-1.110764352316</v>
      </c>
      <c r="AH7902">
        <v>16.691792124482401</v>
      </c>
      <c r="AI7902">
        <v>93.745807230885703</v>
      </c>
      <c r="AJ7902">
        <v>100.31535864320399</v>
      </c>
      <c r="AK7902">
        <v>17.0023345205026</v>
      </c>
      <c r="AL7902">
        <v>85.551070291288497</v>
      </c>
      <c r="AM7902">
        <v>91.7040403099559</v>
      </c>
      <c r="AN7902">
        <v>1.0000000301246199</v>
      </c>
    </row>
    <row r="7903" spans="1:40" x14ac:dyDescent="0.25">
      <c r="A7903" t="str">
        <f>"20190312150846887"</f>
        <v>20190312150846887</v>
      </c>
      <c r="B7903" t="str">
        <f>"1552374526878147"</f>
        <v>1552374526878147</v>
      </c>
      <c r="C7903" t="s">
        <v>40</v>
      </c>
      <c r="D7903">
        <v>4.2389140000000003</v>
      </c>
      <c r="E7903">
        <v>0.44452570000000002</v>
      </c>
      <c r="F7903" t="s">
        <v>42</v>
      </c>
      <c r="G7903">
        <v>-418.9896</v>
      </c>
      <c r="H7903" s="1">
        <v>-1.3685579999999901E-6</v>
      </c>
      <c r="I7903">
        <v>82.40513</v>
      </c>
      <c r="J7903">
        <v>-422.2962</v>
      </c>
      <c r="K7903">
        <v>1.1107610000000001</v>
      </c>
      <c r="L7903">
        <v>98.906589999999994</v>
      </c>
      <c r="M7903">
        <v>1.737356E-2</v>
      </c>
      <c r="N7903">
        <v>0</v>
      </c>
      <c r="O7903">
        <v>-0.99978820000000002</v>
      </c>
      <c r="P7903">
        <v>4.7064990000000001E-2</v>
      </c>
      <c r="Q7903">
        <v>6.6367110000000007E-2</v>
      </c>
      <c r="R7903">
        <v>-0.99668480000000004</v>
      </c>
      <c r="S7903">
        <v>0.59509279999999998</v>
      </c>
      <c r="T7903">
        <v>-0.19971800000000001</v>
      </c>
      <c r="U7903">
        <v>-2.9955440000000002</v>
      </c>
      <c r="V7903">
        <v>-2.9838730000000001E-2</v>
      </c>
      <c r="W7903">
        <v>7.7324210000000004E-2</v>
      </c>
      <c r="X7903">
        <v>0.99655939999999998</v>
      </c>
      <c r="Y7903">
        <v>-0.177364299999999</v>
      </c>
      <c r="Z7903">
        <v>6.5346039999999994E-2</v>
      </c>
      <c r="AA7903">
        <v>0.9819734</v>
      </c>
      <c r="AB7903">
        <v>28</v>
      </c>
      <c r="AC7903">
        <v>3.3066</v>
      </c>
      <c r="AD7903">
        <v>-1.1107623685579999</v>
      </c>
      <c r="AE7903">
        <v>-16.501460000000002</v>
      </c>
      <c r="AF7903">
        <v>-3.0062985026096398</v>
      </c>
      <c r="AG7903">
        <v>-1.1107623685579999</v>
      </c>
      <c r="AH7903">
        <v>16.484610988862599</v>
      </c>
      <c r="AI7903">
        <v>93.7925002297915</v>
      </c>
      <c r="AJ7903">
        <v>100.335448595825</v>
      </c>
      <c r="AK7903">
        <v>16.7932731526741</v>
      </c>
      <c r="AL7903">
        <v>85.565222369148699</v>
      </c>
      <c r="AM7903">
        <v>91.715023378991305</v>
      </c>
      <c r="AN7903">
        <v>1.0000000104942399</v>
      </c>
    </row>
    <row r="7904" spans="1:40" x14ac:dyDescent="0.25">
      <c r="A7904" t="str">
        <f>"20190312150846899"</f>
        <v>20190312150846899</v>
      </c>
      <c r="B7904" t="str">
        <f>"1552374526887907"</f>
        <v>1552374526887907</v>
      </c>
      <c r="C7904" t="s">
        <v>40</v>
      </c>
      <c r="D7904">
        <v>4.2566269999999999</v>
      </c>
      <c r="E7904">
        <v>0.4448743</v>
      </c>
      <c r="F7904" t="s">
        <v>42</v>
      </c>
      <c r="G7904">
        <v>-419.01830000000001</v>
      </c>
      <c r="H7904" s="1">
        <v>-1.3778139999999999E-6</v>
      </c>
      <c r="I7904">
        <v>82.438580000000002</v>
      </c>
      <c r="J7904">
        <v>-422.29309999999998</v>
      </c>
      <c r="K7904">
        <v>1.11076</v>
      </c>
      <c r="L7904">
        <v>98.753360000000001</v>
      </c>
      <c r="M7904">
        <v>1.7763259999999999E-2</v>
      </c>
      <c r="N7904">
        <v>0</v>
      </c>
      <c r="O7904">
        <v>-0.99978149999999999</v>
      </c>
      <c r="P7904">
        <v>4.7656440000000001E-2</v>
      </c>
      <c r="Q7904">
        <v>6.6145289999999995E-2</v>
      </c>
      <c r="R7904">
        <v>-0.9966718</v>
      </c>
      <c r="S7904">
        <v>0.59619140000000004</v>
      </c>
      <c r="T7904">
        <v>-0.20203019999999999</v>
      </c>
      <c r="U7904">
        <v>-2.9952700000000001</v>
      </c>
      <c r="V7904">
        <v>-3.0041200000000001E-2</v>
      </c>
      <c r="W7904">
        <v>7.7104590000000001E-2</v>
      </c>
      <c r="X7904">
        <v>0.99657030000000002</v>
      </c>
      <c r="Y7904">
        <v>-0.17733470000000001</v>
      </c>
      <c r="Z7904">
        <v>6.6102300000000003E-2</v>
      </c>
      <c r="AA7904">
        <v>0.98192820000000003</v>
      </c>
      <c r="AB7904">
        <v>28</v>
      </c>
      <c r="AC7904">
        <v>3.2747999999999702</v>
      </c>
      <c r="AD7904">
        <v>-1.110761377814</v>
      </c>
      <c r="AE7904">
        <v>-16.314779999999999</v>
      </c>
      <c r="AF7904">
        <v>-2.9712228355694301</v>
      </c>
      <c r="AG7904">
        <v>-1.110761377814</v>
      </c>
      <c r="AH7904">
        <v>16.297760881651001</v>
      </c>
      <c r="AI7904">
        <v>93.835889298817094</v>
      </c>
      <c r="AJ7904">
        <v>100.332046793576</v>
      </c>
      <c r="AK7904">
        <v>16.603582918530801</v>
      </c>
      <c r="AL7904">
        <v>85.577843200262095</v>
      </c>
      <c r="AM7904">
        <v>91.726634735186593</v>
      </c>
      <c r="AN7904">
        <v>0.999999977169298</v>
      </c>
    </row>
    <row r="7905" spans="1:40" x14ac:dyDescent="0.25">
      <c r="A7905" t="str">
        <f>"20190312150846912"</f>
        <v>20190312150846912</v>
      </c>
      <c r="B7905" t="str">
        <f>"1552374526907427"</f>
        <v>1552374526907427</v>
      </c>
      <c r="C7905" t="s">
        <v>40</v>
      </c>
      <c r="D7905">
        <v>4.3077889999999996</v>
      </c>
      <c r="E7905">
        <v>0.47619430000000001</v>
      </c>
      <c r="F7905" t="s">
        <v>42</v>
      </c>
      <c r="G7905">
        <v>-418.98259999999999</v>
      </c>
      <c r="H7905" s="1">
        <v>-1.233878E-6</v>
      </c>
      <c r="I7905">
        <v>82.088300000000004</v>
      </c>
      <c r="J7905">
        <v>-422.29</v>
      </c>
      <c r="K7905">
        <v>1.1107610000000001</v>
      </c>
      <c r="L7905">
        <v>98.604579999999999</v>
      </c>
      <c r="M7905">
        <v>1.8141959999999999E-2</v>
      </c>
      <c r="N7905">
        <v>0</v>
      </c>
      <c r="O7905">
        <v>-0.99977459999999996</v>
      </c>
      <c r="P7905">
        <v>4.8210759999999998E-2</v>
      </c>
      <c r="Q7905">
        <v>6.5826689999999993E-2</v>
      </c>
      <c r="R7905">
        <v>-0.99666589999999999</v>
      </c>
      <c r="S7905">
        <v>0.59490969999999999</v>
      </c>
      <c r="T7905">
        <v>-0.1996107</v>
      </c>
      <c r="U7905">
        <v>-2.994812</v>
      </c>
      <c r="V7905">
        <v>-3.0217290000000001E-2</v>
      </c>
      <c r="W7905">
        <v>7.6787930000000004E-2</v>
      </c>
      <c r="X7905">
        <v>0.99658939999999996</v>
      </c>
      <c r="Y7905">
        <v>-0.17659629999999901</v>
      </c>
      <c r="Z7905">
        <v>6.5330250000000006E-2</v>
      </c>
      <c r="AA7905">
        <v>0.98211289999999996</v>
      </c>
      <c r="AB7905">
        <v>28</v>
      </c>
      <c r="AC7905">
        <v>3.3074000000000199</v>
      </c>
      <c r="AD7905">
        <v>-1.1107622338779899</v>
      </c>
      <c r="AE7905">
        <v>-16.516279999999899</v>
      </c>
      <c r="AF7905">
        <v>-2.9941794132414898</v>
      </c>
      <c r="AG7905">
        <v>-1.1107622338779899</v>
      </c>
      <c r="AH7905">
        <v>16.5018091946075</v>
      </c>
      <c r="AI7905">
        <v>93.789173705921201</v>
      </c>
      <c r="AJ7905">
        <v>100.28417663867801</v>
      </c>
      <c r="AK7905">
        <v>16.807992437948101</v>
      </c>
      <c r="AL7905">
        <v>85.596040319426507</v>
      </c>
      <c r="AM7905">
        <v>91.736716160850506</v>
      </c>
      <c r="AN7905">
        <v>0.99999995150049303</v>
      </c>
    </row>
    <row r="7906" spans="1:40" x14ac:dyDescent="0.25">
      <c r="A7906" t="str">
        <f>"20190312150846924"</f>
        <v>20190312150846924</v>
      </c>
      <c r="B7906" t="str">
        <f>"1552374526918167"</f>
        <v>1552374526918167</v>
      </c>
      <c r="C7906" t="s">
        <v>40</v>
      </c>
      <c r="D7906">
        <v>4.3062690000000003</v>
      </c>
      <c r="E7906">
        <v>0.48833219999999999</v>
      </c>
      <c r="F7906" t="s">
        <v>42</v>
      </c>
      <c r="G7906">
        <v>-419.267</v>
      </c>
      <c r="H7906" s="1">
        <v>-1.2601879999999999E-6</v>
      </c>
      <c r="I7906">
        <v>72.267209999999906</v>
      </c>
      <c r="J7906">
        <v>-422.2867</v>
      </c>
      <c r="K7906">
        <v>1.1107590000000001</v>
      </c>
      <c r="L7906">
        <v>98.444670000000002</v>
      </c>
      <c r="M7906">
        <v>1.8549090000000001E-2</v>
      </c>
      <c r="N7906">
        <v>0</v>
      </c>
      <c r="O7906">
        <v>-0.99976699999999996</v>
      </c>
      <c r="P7906">
        <v>4.8366770000000003E-2</v>
      </c>
      <c r="Q7906">
        <v>6.5755170000000002E-2</v>
      </c>
      <c r="R7906">
        <v>-0.99666299999999997</v>
      </c>
      <c r="S7906">
        <v>0.3445435</v>
      </c>
      <c r="T7906">
        <v>-0.1265965</v>
      </c>
      <c r="U7906">
        <v>-3.0017399999999999</v>
      </c>
      <c r="V7906">
        <v>-2.9967480000000001E-2</v>
      </c>
      <c r="W7906">
        <v>7.6719469999999998E-2</v>
      </c>
      <c r="X7906">
        <v>0.99660219999999999</v>
      </c>
      <c r="Y7906">
        <v>-9.5483650000000003E-2</v>
      </c>
      <c r="Z7906">
        <v>4.1892510000000001E-2</v>
      </c>
      <c r="AA7906">
        <v>0.99454909999999996</v>
      </c>
      <c r="AB7906">
        <v>28</v>
      </c>
      <c r="AC7906">
        <v>3.0196999999999998</v>
      </c>
      <c r="AD7906">
        <v>-1.110760260188</v>
      </c>
      <c r="AE7906">
        <v>-26.17746</v>
      </c>
      <c r="AF7906">
        <v>-2.5290889966294801</v>
      </c>
      <c r="AG7906">
        <v>-1.110760260188</v>
      </c>
      <c r="AH7906">
        <v>26.182450103267399</v>
      </c>
      <c r="AI7906">
        <v>92.418009667036799</v>
      </c>
      <c r="AJ7906">
        <v>95.517357859903598</v>
      </c>
      <c r="AK7906">
        <v>26.327756701218799</v>
      </c>
      <c r="AL7906">
        <v>85.599974325491999</v>
      </c>
      <c r="AM7906">
        <v>91.722345093736493</v>
      </c>
      <c r="AN7906">
        <v>0.99999993598973302</v>
      </c>
    </row>
    <row r="7907" spans="1:40" x14ac:dyDescent="0.25">
      <c r="A7907" t="str">
        <f>"20190312150846936"</f>
        <v>20190312150846936</v>
      </c>
      <c r="B7907" t="str">
        <f>"1552374526927923"</f>
        <v>1552374526927923</v>
      </c>
      <c r="C7907" t="s">
        <v>40</v>
      </c>
      <c r="D7907">
        <v>4.4379169999999997</v>
      </c>
      <c r="E7907">
        <v>0.4969325</v>
      </c>
      <c r="F7907" t="s">
        <v>42</v>
      </c>
      <c r="G7907">
        <v>-420.04509999999999</v>
      </c>
      <c r="H7907" s="1">
        <v>-7.3066979999999998E-7</v>
      </c>
      <c r="I7907">
        <v>71.264340000000004</v>
      </c>
      <c r="J7907">
        <v>-422.28359999999998</v>
      </c>
      <c r="K7907">
        <v>1.110757</v>
      </c>
      <c r="L7907">
        <v>98.295869999999994</v>
      </c>
      <c r="M7907">
        <v>1.8928960000000002E-2</v>
      </c>
      <c r="N7907">
        <v>0</v>
      </c>
      <c r="O7907">
        <v>-0.99976010000000004</v>
      </c>
      <c r="P7907">
        <v>4.8733249999999999E-2</v>
      </c>
      <c r="Q7907">
        <v>6.5469669999999994E-2</v>
      </c>
      <c r="R7907">
        <v>-0.9966642</v>
      </c>
      <c r="S7907">
        <v>0.2479248</v>
      </c>
      <c r="T7907">
        <v>-0.1228496</v>
      </c>
      <c r="U7907">
        <v>-3.0061339999999999</v>
      </c>
      <c r="V7907">
        <v>-2.9954359999999999E-2</v>
      </c>
      <c r="W7907">
        <v>7.6436589999999999E-2</v>
      </c>
      <c r="X7907">
        <v>0.99662439999999997</v>
      </c>
      <c r="Y7907">
        <v>-6.3244980000000006E-2</v>
      </c>
      <c r="Z7907">
        <v>4.0711400000000002E-2</v>
      </c>
      <c r="AA7907">
        <v>0.99716729999999998</v>
      </c>
      <c r="AB7907">
        <v>28</v>
      </c>
      <c r="AC7907">
        <v>2.2384999999999802</v>
      </c>
      <c r="AD7907">
        <v>-1.1107577306698</v>
      </c>
      <c r="AE7907">
        <v>-27.031529999999901</v>
      </c>
      <c r="AF7907">
        <v>-1.72349877769687</v>
      </c>
      <c r="AG7907">
        <v>-1.1107577306698</v>
      </c>
      <c r="AH7907">
        <v>27.0237428225625</v>
      </c>
      <c r="AI7907">
        <v>92.348938303385395</v>
      </c>
      <c r="AJ7907">
        <v>93.649222237774495</v>
      </c>
      <c r="AK7907">
        <v>27.1014189095878</v>
      </c>
      <c r="AL7907">
        <v>85.616230194220407</v>
      </c>
      <c r="AM7907">
        <v>91.721553165597498</v>
      </c>
      <c r="AN7907">
        <v>1.0000000053245901</v>
      </c>
    </row>
    <row r="7908" spans="1:40" x14ac:dyDescent="0.25">
      <c r="A7908" t="str">
        <f>"20190312150846953"</f>
        <v>20190312150846953</v>
      </c>
      <c r="B7908" t="str">
        <f>"1552374526947443"</f>
        <v>1552374526947443</v>
      </c>
      <c r="C7908" t="s">
        <v>40</v>
      </c>
      <c r="D7908">
        <v>4.1912690000000001</v>
      </c>
      <c r="E7908">
        <v>0.50580199999999997</v>
      </c>
      <c r="F7908" t="s">
        <v>42</v>
      </c>
      <c r="G7908">
        <v>-420.38850000000002</v>
      </c>
      <c r="H7908" s="1">
        <v>-3.135212E-6</v>
      </c>
      <c r="I7908">
        <v>66.656409999999994</v>
      </c>
      <c r="J7908">
        <v>-422.27940000000001</v>
      </c>
      <c r="K7908">
        <v>1.1107499999999999</v>
      </c>
      <c r="L7908">
        <v>98.101140000000001</v>
      </c>
      <c r="M7908">
        <v>1.942559E-2</v>
      </c>
      <c r="N7908">
        <v>0</v>
      </c>
      <c r="O7908">
        <v>-0.99975029999999998</v>
      </c>
      <c r="P7908">
        <v>4.9140700000000002E-2</v>
      </c>
      <c r="Q7908">
        <v>6.5159099999999998E-2</v>
      </c>
      <c r="R7908">
        <v>-0.99666399999999999</v>
      </c>
      <c r="S7908">
        <v>0.1801758</v>
      </c>
      <c r="T7908">
        <v>-0.1056064</v>
      </c>
      <c r="U7908">
        <v>-3.0081479999999998</v>
      </c>
      <c r="V7908">
        <v>-2.9866190000000001E-2</v>
      </c>
      <c r="W7908">
        <v>7.6129929999999998E-2</v>
      </c>
      <c r="X7908">
        <v>0.99665049999999999</v>
      </c>
      <c r="Y7908">
        <v>-4.0348759999999997E-2</v>
      </c>
      <c r="Z7908">
        <v>3.5029619999999997E-2</v>
      </c>
      <c r="AA7908">
        <v>0.99857149999999995</v>
      </c>
      <c r="AB7908">
        <v>28</v>
      </c>
      <c r="AC7908">
        <v>1.89089999999998</v>
      </c>
      <c r="AD7908">
        <v>-1.1107531352119999</v>
      </c>
      <c r="AE7908">
        <v>-31.44473</v>
      </c>
      <c r="AF7908">
        <v>-1.27808443491332</v>
      </c>
      <c r="AG7908">
        <v>-1.1107531352119999</v>
      </c>
      <c r="AH7908">
        <v>31.4364453603194</v>
      </c>
      <c r="AI7908">
        <v>92.021937753797403</v>
      </c>
      <c r="AJ7908">
        <v>92.3281428906363</v>
      </c>
      <c r="AK7908">
        <v>31.482016600632399</v>
      </c>
      <c r="AL7908">
        <v>85.633851785555606</v>
      </c>
      <c r="AM7908">
        <v>91.716443923585899</v>
      </c>
      <c r="AN7908">
        <v>0.99999998734858497</v>
      </c>
    </row>
    <row r="7909" spans="1:40" x14ac:dyDescent="0.25">
      <c r="A7909" t="str">
        <f>"20190312150846967"</f>
        <v>20190312150846967</v>
      </c>
      <c r="B7909" t="str">
        <f>"1552374526958179"</f>
        <v>1552374526958179</v>
      </c>
      <c r="C7909" t="s">
        <v>40</v>
      </c>
      <c r="D7909">
        <v>4.1788600000000002</v>
      </c>
      <c r="E7909">
        <v>0.50834499999999905</v>
      </c>
      <c r="F7909" t="s">
        <v>42</v>
      </c>
      <c r="G7909">
        <v>-421.09649999999999</v>
      </c>
      <c r="H7909" s="1">
        <v>-3.0186230000000002E-6</v>
      </c>
      <c r="I7909">
        <v>65.945530000000005</v>
      </c>
      <c r="J7909">
        <v>-422.27519999999998</v>
      </c>
      <c r="K7909">
        <v>1.110743</v>
      </c>
      <c r="L7909">
        <v>97.912989999999994</v>
      </c>
      <c r="M7909">
        <v>1.990486E-2</v>
      </c>
      <c r="N7909">
        <v>0</v>
      </c>
      <c r="O7909">
        <v>-0.99974079999999999</v>
      </c>
      <c r="P7909">
        <v>4.9819799999999997E-2</v>
      </c>
      <c r="Q7909">
        <v>6.4779719999999999E-2</v>
      </c>
      <c r="R7909">
        <v>-0.99665530000000002</v>
      </c>
      <c r="S7909">
        <v>0.1107788</v>
      </c>
      <c r="T7909">
        <v>-0.1040224</v>
      </c>
      <c r="U7909">
        <v>-3.0113829999999999</v>
      </c>
      <c r="V7909">
        <v>-3.006665E-2</v>
      </c>
      <c r="W7909">
        <v>7.5756210000000004E-2</v>
      </c>
      <c r="X7909">
        <v>0.99667300000000003</v>
      </c>
      <c r="Y7909">
        <v>-1.6840029999999999E-2</v>
      </c>
      <c r="Z7909">
        <v>3.449812E-2</v>
      </c>
      <c r="AA7909">
        <v>0.99926289999999995</v>
      </c>
      <c r="AB7909">
        <v>28</v>
      </c>
      <c r="AC7909">
        <v>1.1786999999999901</v>
      </c>
      <c r="AD7909">
        <v>-1.110746018623</v>
      </c>
      <c r="AE7909">
        <v>-31.967459999999999</v>
      </c>
      <c r="AF7909">
        <v>-0.54146694788201</v>
      </c>
      <c r="AG7909">
        <v>-1.110746018623</v>
      </c>
      <c r="AH7909">
        <v>31.946073122437301</v>
      </c>
      <c r="AI7909">
        <v>91.991052339170693</v>
      </c>
      <c r="AJ7909">
        <v>90.971036421033205</v>
      </c>
      <c r="AK7909">
        <v>31.9699629514588</v>
      </c>
      <c r="AL7909">
        <v>85.655326599857901</v>
      </c>
      <c r="AM7909">
        <v>91.727918641581297</v>
      </c>
      <c r="AN7909">
        <v>1.0000000378623899</v>
      </c>
    </row>
    <row r="7910" spans="1:40" x14ac:dyDescent="0.25">
      <c r="A7910" t="str">
        <f>"20190312150846988"</f>
        <v>20190312150846988</v>
      </c>
      <c r="B7910" t="str">
        <f>"1552374526977699"</f>
        <v>1552374526977699</v>
      </c>
      <c r="C7910" t="s">
        <v>40</v>
      </c>
      <c r="D7910">
        <v>4.1738059999999999</v>
      </c>
      <c r="E7910">
        <v>0.51183970000000001</v>
      </c>
      <c r="F7910" t="s">
        <v>42</v>
      </c>
      <c r="G7910">
        <v>-421.2867</v>
      </c>
      <c r="H7910" s="1">
        <v>-2.873236E-6</v>
      </c>
      <c r="I7910">
        <v>65.488619999999997</v>
      </c>
      <c r="J7910">
        <v>-422.26960000000003</v>
      </c>
      <c r="K7910">
        <v>1.1107419999999999</v>
      </c>
      <c r="L7910">
        <v>97.664829999999995</v>
      </c>
      <c r="M7910">
        <v>2.0535149999999999E-2</v>
      </c>
      <c r="N7910">
        <v>0</v>
      </c>
      <c r="O7910">
        <v>-0.99972810000000001</v>
      </c>
      <c r="P7910">
        <v>5.041905E-2</v>
      </c>
      <c r="Q7910">
        <v>6.4782220000000001E-2</v>
      </c>
      <c r="R7910">
        <v>-0.99662519999999999</v>
      </c>
      <c r="S7910">
        <v>9.1827389999999995E-2</v>
      </c>
      <c r="T7910">
        <v>-0.1031866</v>
      </c>
      <c r="U7910">
        <v>-3.0121769999999999</v>
      </c>
      <c r="V7910">
        <v>-3.0037629999999999E-2</v>
      </c>
      <c r="W7910">
        <v>7.5769039999999996E-2</v>
      </c>
      <c r="X7910">
        <v>0.99667289999999997</v>
      </c>
      <c r="Y7910">
        <v>-9.9200999999999994E-3</v>
      </c>
      <c r="Z7910">
        <v>3.421681E-2</v>
      </c>
      <c r="AA7910">
        <v>0.99936519999999995</v>
      </c>
      <c r="AB7910">
        <v>28</v>
      </c>
      <c r="AC7910">
        <v>0.98290000000002897</v>
      </c>
      <c r="AD7910">
        <v>-1.1107448732359999</v>
      </c>
      <c r="AE7910">
        <v>-32.176209999999998</v>
      </c>
      <c r="AF7910">
        <v>-0.32152629463390198</v>
      </c>
      <c r="AG7910">
        <v>-1.1107448732359999</v>
      </c>
      <c r="AH7910">
        <v>32.151331146390604</v>
      </c>
      <c r="AI7910">
        <v>91.978534385139398</v>
      </c>
      <c r="AJ7910">
        <v>90.572961832229794</v>
      </c>
      <c r="AK7910">
        <v>32.1721187958833</v>
      </c>
      <c r="AL7910">
        <v>85.654589377273098</v>
      </c>
      <c r="AM7910">
        <v>91.726252056177302</v>
      </c>
      <c r="AN7910">
        <v>1.00000003811647</v>
      </c>
    </row>
    <row r="7911" spans="1:40" x14ac:dyDescent="0.25">
      <c r="A7911" t="str">
        <f>"20190312150847008"</f>
        <v>20190312150847008</v>
      </c>
      <c r="B7911" t="str">
        <f>"1552374526998196"</f>
        <v>1552374526998196</v>
      </c>
      <c r="C7911" t="s">
        <v>40</v>
      </c>
      <c r="D7911">
        <v>4.3822929999999998</v>
      </c>
      <c r="E7911">
        <v>0.51409389999999999</v>
      </c>
      <c r="F7911" t="s">
        <v>42</v>
      </c>
      <c r="G7911">
        <v>-421.54500000000002</v>
      </c>
      <c r="H7911" s="1">
        <v>-2.5680810000000001E-6</v>
      </c>
      <c r="I7911">
        <v>64.61712</v>
      </c>
      <c r="J7911">
        <v>-422.26330000000002</v>
      </c>
      <c r="K7911">
        <v>1.1107450000000001</v>
      </c>
      <c r="L7911">
        <v>97.398679999999999</v>
      </c>
      <c r="M7911">
        <v>2.1206039999999999E-2</v>
      </c>
      <c r="N7911">
        <v>0</v>
      </c>
      <c r="O7911">
        <v>-0.99971410000000005</v>
      </c>
      <c r="P7911">
        <v>5.1221959999999997E-2</v>
      </c>
      <c r="Q7911">
        <v>6.481605E-2</v>
      </c>
      <c r="R7911">
        <v>-0.99658199999999997</v>
      </c>
      <c r="S7911">
        <v>6.607056E-2</v>
      </c>
      <c r="T7911">
        <v>-0.1012813</v>
      </c>
      <c r="U7911">
        <v>-3.0133969999999999</v>
      </c>
      <c r="V7911">
        <v>-3.017154E-2</v>
      </c>
      <c r="W7911">
        <v>7.5816120000000001E-2</v>
      </c>
      <c r="X7911">
        <v>0.99666520000000003</v>
      </c>
      <c r="Y7911">
        <v>-7.0081099999999997E-4</v>
      </c>
      <c r="Z7911">
        <v>3.3576000000000002E-2</v>
      </c>
      <c r="AA7911">
        <v>0.99943590000000004</v>
      </c>
      <c r="AB7911">
        <v>28</v>
      </c>
      <c r="AC7911">
        <v>0.71829999999999905</v>
      </c>
      <c r="AD7911">
        <v>-1.1107475680809999</v>
      </c>
      <c r="AE7911">
        <v>-32.781559999999999</v>
      </c>
      <c r="AF7911">
        <v>-2.2902682915853699E-2</v>
      </c>
      <c r="AG7911">
        <v>-1.1107475680809999</v>
      </c>
      <c r="AH7911">
        <v>32.7518370004193</v>
      </c>
      <c r="AI7911">
        <v>91.942387225614496</v>
      </c>
      <c r="AJ7911">
        <v>90.040065748272298</v>
      </c>
      <c r="AK7911">
        <v>32.770674567285297</v>
      </c>
      <c r="AL7911">
        <v>85.651883785094199</v>
      </c>
      <c r="AM7911">
        <v>91.733956517246895</v>
      </c>
      <c r="AN7911">
        <v>0.99999996338443198</v>
      </c>
    </row>
    <row r="7912" spans="1:40" x14ac:dyDescent="0.25">
      <c r="A7912" t="str">
        <f>"20190312150847030"</f>
        <v>20190312150847030</v>
      </c>
      <c r="B7912" t="str">
        <f>"1552374527027475"</f>
        <v>1552374527027475</v>
      </c>
      <c r="C7912" t="s">
        <v>40</v>
      </c>
      <c r="D7912">
        <v>4.1719460000000002</v>
      </c>
      <c r="E7912">
        <v>0.51640359999999996</v>
      </c>
      <c r="F7912" t="s">
        <v>42</v>
      </c>
      <c r="G7912">
        <v>-421.6857</v>
      </c>
      <c r="H7912" s="1">
        <v>-1.7909209999999901E-6</v>
      </c>
      <c r="I7912">
        <v>62.718269999999997</v>
      </c>
      <c r="J7912">
        <v>-422.2568</v>
      </c>
      <c r="K7912">
        <v>1.1107450000000001</v>
      </c>
      <c r="L7912">
        <v>97.125919999999994</v>
      </c>
      <c r="M7912">
        <v>2.188499E-2</v>
      </c>
      <c r="N7912">
        <v>0</v>
      </c>
      <c r="O7912">
        <v>-0.99969909999999995</v>
      </c>
      <c r="P7912">
        <v>5.216469E-2</v>
      </c>
      <c r="Q7912">
        <v>6.45038E-2</v>
      </c>
      <c r="R7912">
        <v>-0.99655340000000003</v>
      </c>
      <c r="S7912">
        <v>5.0201419999999997E-2</v>
      </c>
      <c r="T7912">
        <v>-9.6531870000000006E-2</v>
      </c>
      <c r="U7912">
        <v>-3.0139770000000001</v>
      </c>
      <c r="V7912">
        <v>-3.043599E-2</v>
      </c>
      <c r="W7912">
        <v>7.5521820000000003E-2</v>
      </c>
      <c r="X7912">
        <v>0.99667950000000005</v>
      </c>
      <c r="Y7912">
        <v>5.2419190000000003E-3</v>
      </c>
      <c r="Z7912">
        <v>3.199772E-2</v>
      </c>
      <c r="AA7912">
        <v>0.99947419999999998</v>
      </c>
      <c r="AB7912">
        <v>28</v>
      </c>
      <c r="AC7912">
        <v>0.57110000000000105</v>
      </c>
      <c r="AD7912">
        <v>-1.110746790921</v>
      </c>
      <c r="AE7912">
        <v>-34.407649999999997</v>
      </c>
      <c r="AF7912">
        <v>0.18190458190806599</v>
      </c>
      <c r="AG7912">
        <v>-1.110746790921</v>
      </c>
      <c r="AH7912">
        <v>34.3760931225561</v>
      </c>
      <c r="AI7912">
        <v>91.850648904546802</v>
      </c>
      <c r="AJ7912">
        <v>89.6968164036888</v>
      </c>
      <c r="AK7912">
        <v>34.394514476600897</v>
      </c>
      <c r="AL7912">
        <v>85.668794402982499</v>
      </c>
      <c r="AM7912">
        <v>91.749119961659801</v>
      </c>
      <c r="AN7912">
        <v>0.99999996025182003</v>
      </c>
    </row>
    <row r="7913" spans="1:40" x14ac:dyDescent="0.25">
      <c r="A7913" t="str">
        <f>"20190312150847045"</f>
        <v>20190312150847045</v>
      </c>
      <c r="B7913" t="str">
        <f>"1552374527038212"</f>
        <v>1552374527038212</v>
      </c>
      <c r="C7913" t="s">
        <v>40</v>
      </c>
      <c r="D7913">
        <v>4.1887850000000002</v>
      </c>
      <c r="E7913">
        <v>0.51696339999999996</v>
      </c>
      <c r="F7913" t="s">
        <v>42</v>
      </c>
      <c r="G7913">
        <v>-421.79539999999997</v>
      </c>
      <c r="H7913" s="1">
        <v>-3.5726450000000001E-6</v>
      </c>
      <c r="I7913">
        <v>56.803469999999997</v>
      </c>
      <c r="J7913">
        <v>-422.25229999999999</v>
      </c>
      <c r="K7913">
        <v>1.110744</v>
      </c>
      <c r="L7913">
        <v>96.940830000000005</v>
      </c>
      <c r="M7913">
        <v>2.2338750000000001E-2</v>
      </c>
      <c r="N7913">
        <v>0</v>
      </c>
      <c r="O7913">
        <v>-0.99968900000000005</v>
      </c>
      <c r="P7913">
        <v>5.2796589999999997E-2</v>
      </c>
      <c r="Q7913">
        <v>6.419039E-2</v>
      </c>
      <c r="R7913">
        <v>-0.99654019999999999</v>
      </c>
      <c r="S7913">
        <v>3.4484859999999999E-2</v>
      </c>
      <c r="T7913">
        <v>-8.3024139999999996E-2</v>
      </c>
      <c r="U7913">
        <v>-3.0139469999999999</v>
      </c>
      <c r="V7913">
        <v>-3.0613950000000001E-2</v>
      </c>
      <c r="W7913">
        <v>7.5222739999999996E-2</v>
      </c>
      <c r="X7913">
        <v>0.99669669999999999</v>
      </c>
      <c r="Y7913">
        <v>1.0904840000000001E-2</v>
      </c>
      <c r="Z7913">
        <v>2.7524179999999999E-2</v>
      </c>
      <c r="AA7913">
        <v>0.9995617</v>
      </c>
      <c r="AB7913">
        <v>28</v>
      </c>
      <c r="AC7913">
        <v>0.45690000000001801</v>
      </c>
      <c r="AD7913">
        <v>-1.110747572645</v>
      </c>
      <c r="AE7913">
        <v>-40.137360000000001</v>
      </c>
      <c r="AF7913">
        <v>0.43955099658205898</v>
      </c>
      <c r="AG7913">
        <v>-1.110747572645</v>
      </c>
      <c r="AH7913">
        <v>40.106838958701701</v>
      </c>
      <c r="AI7913">
        <v>91.586289709432805</v>
      </c>
      <c r="AJ7913">
        <v>89.372091907377794</v>
      </c>
      <c r="AK7913">
        <v>40.124624565321</v>
      </c>
      <c r="AL7913">
        <v>85.685979450827602</v>
      </c>
      <c r="AM7913">
        <v>91.759310359504894</v>
      </c>
      <c r="AN7913">
        <v>0.99999999316929999</v>
      </c>
    </row>
    <row r="7914" spans="1:40" x14ac:dyDescent="0.25">
      <c r="A7914" t="str">
        <f>"20190312150847057"</f>
        <v>20190312150847057</v>
      </c>
      <c r="B7914" t="str">
        <f>"1552374527047971"</f>
        <v>1552374527047971</v>
      </c>
      <c r="C7914" t="s">
        <v>40</v>
      </c>
      <c r="D7914">
        <v>4.2122479999999998</v>
      </c>
      <c r="E7914">
        <v>0.51739679999999999</v>
      </c>
      <c r="F7914" t="s">
        <v>42</v>
      </c>
      <c r="G7914">
        <v>-421.81270000000001</v>
      </c>
      <c r="H7914" s="1">
        <v>-2.9553610000000001E-6</v>
      </c>
      <c r="I7914">
        <v>55.353859999999997</v>
      </c>
      <c r="J7914">
        <v>-422.24829999999997</v>
      </c>
      <c r="K7914">
        <v>1.1107370000000001</v>
      </c>
      <c r="L7914">
        <v>96.781710000000004</v>
      </c>
      <c r="M7914">
        <v>2.271722E-2</v>
      </c>
      <c r="N7914">
        <v>0</v>
      </c>
      <c r="O7914">
        <v>-0.99968020000000002</v>
      </c>
      <c r="P7914">
        <v>5.3177049999999997E-2</v>
      </c>
      <c r="Q7914">
        <v>6.4124860000000006E-2</v>
      </c>
      <c r="R7914">
        <v>-0.99652399999999997</v>
      </c>
      <c r="S7914">
        <v>3.1860350000000003E-2</v>
      </c>
      <c r="T7914">
        <v>-8.0498699999999895E-2</v>
      </c>
      <c r="U7914">
        <v>-3.013916</v>
      </c>
      <c r="V7914">
        <v>-3.0615489999999999E-2</v>
      </c>
      <c r="W7914">
        <v>7.5171370000000001E-2</v>
      </c>
      <c r="X7914">
        <v>0.99670049999999999</v>
      </c>
      <c r="Y7914">
        <v>1.215336E-2</v>
      </c>
      <c r="Z7914">
        <v>2.668742E-2</v>
      </c>
      <c r="AA7914">
        <v>0.99956999999999996</v>
      </c>
      <c r="AB7914">
        <v>28</v>
      </c>
      <c r="AC7914">
        <v>0.43559999999996502</v>
      </c>
      <c r="AD7914">
        <v>-1.110739955361</v>
      </c>
      <c r="AE7914">
        <v>-41.427849999999999</v>
      </c>
      <c r="AF7914">
        <v>0.50533287653159098</v>
      </c>
      <c r="AG7914">
        <v>-1.110739955361</v>
      </c>
      <c r="AH7914">
        <v>41.397298377643601</v>
      </c>
      <c r="AI7914">
        <v>91.536832381554603</v>
      </c>
      <c r="AJ7914">
        <v>89.300630615173105</v>
      </c>
      <c r="AK7914">
        <v>41.415280000649503</v>
      </c>
      <c r="AL7914">
        <v>85.688930969932898</v>
      </c>
      <c r="AM7914">
        <v>91.759392100361595</v>
      </c>
      <c r="AN7914">
        <v>0.99999996489793197</v>
      </c>
    </row>
    <row r="7915" spans="1:40" x14ac:dyDescent="0.25">
      <c r="A7915" t="str">
        <f>"20190312150847070"</f>
        <v>20190312150847070</v>
      </c>
      <c r="B7915" t="str">
        <f>"1552374527057730"</f>
        <v>1552374527057730</v>
      </c>
      <c r="C7915" t="s">
        <v>40</v>
      </c>
      <c r="D7915">
        <v>4.1918749999999996</v>
      </c>
      <c r="E7915">
        <v>0.51786189999999999</v>
      </c>
      <c r="F7915" t="s">
        <v>42</v>
      </c>
      <c r="G7915">
        <v>-421.82409999999999</v>
      </c>
      <c r="H7915" s="1">
        <v>-2.1839360000000001E-6</v>
      </c>
      <c r="I7915">
        <v>53.548580000000001</v>
      </c>
      <c r="J7915">
        <v>-422.24439999999998</v>
      </c>
      <c r="K7915">
        <v>1.110722</v>
      </c>
      <c r="L7915">
        <v>96.626069999999999</v>
      </c>
      <c r="M7915">
        <v>2.3078620000000001E-2</v>
      </c>
      <c r="N7915">
        <v>0</v>
      </c>
      <c r="O7915">
        <v>-0.9996718</v>
      </c>
      <c r="P7915">
        <v>5.3965010000000001E-2</v>
      </c>
      <c r="Q7915">
        <v>6.3825989999999999E-2</v>
      </c>
      <c r="R7915">
        <v>-0.99650079999999996</v>
      </c>
      <c r="S7915">
        <v>2.9571529999999999E-2</v>
      </c>
      <c r="T7915">
        <v>-7.7432269999999997E-2</v>
      </c>
      <c r="U7915">
        <v>-3.0138850000000001</v>
      </c>
      <c r="V7915">
        <v>-3.1041050000000001E-2</v>
      </c>
      <c r="W7915">
        <v>7.4885129999999994E-2</v>
      </c>
      <c r="X7915">
        <v>0.99670890000000001</v>
      </c>
      <c r="Y7915">
        <v>1.3273490000000001E-2</v>
      </c>
      <c r="Z7915">
        <v>2.5671360000000001E-2</v>
      </c>
      <c r="AA7915">
        <v>0.99958230000000003</v>
      </c>
      <c r="AB7915">
        <v>28</v>
      </c>
      <c r="AC7915">
        <v>0.42029999999999701</v>
      </c>
      <c r="AD7915">
        <v>-1.110724183936</v>
      </c>
      <c r="AE7915">
        <v>-43.077489999999997</v>
      </c>
      <c r="AF7915">
        <v>0.57366110986801</v>
      </c>
      <c r="AG7915">
        <v>-1.110724183936</v>
      </c>
      <c r="AH7915">
        <v>43.047099222910497</v>
      </c>
      <c r="AI7915">
        <v>91.477917098083907</v>
      </c>
      <c r="AJ7915">
        <v>89.236501052354896</v>
      </c>
      <c r="AK7915">
        <v>43.065247552857002</v>
      </c>
      <c r="AL7915">
        <v>85.705377737769098</v>
      </c>
      <c r="AM7915">
        <v>91.783817203812205</v>
      </c>
      <c r="AN7915">
        <v>0.99999998040971405</v>
      </c>
    </row>
    <row r="7916" spans="1:40" x14ac:dyDescent="0.25">
      <c r="A7916" t="str">
        <f>"20190312150847087"</f>
        <v>20190312150847087</v>
      </c>
      <c r="B7916" t="str">
        <f>"1552374527078227"</f>
        <v>1552374527078227</v>
      </c>
      <c r="C7916" t="s">
        <v>40</v>
      </c>
      <c r="D7916">
        <v>4.1731449999999999</v>
      </c>
      <c r="E7916">
        <v>0.51861599999999997</v>
      </c>
      <c r="F7916" t="s">
        <v>42</v>
      </c>
      <c r="G7916">
        <v>-421.83929999999998</v>
      </c>
      <c r="H7916" s="1">
        <v>-1.8717940000000001E-6</v>
      </c>
      <c r="I7916">
        <v>52.811500000000002</v>
      </c>
      <c r="J7916">
        <v>-422.23930000000001</v>
      </c>
      <c r="K7916">
        <v>1.1107</v>
      </c>
      <c r="L7916">
        <v>96.423339999999996</v>
      </c>
      <c r="M7916">
        <v>2.3531860000000002E-2</v>
      </c>
      <c r="N7916">
        <v>0</v>
      </c>
      <c r="O7916">
        <v>-0.99966100000000002</v>
      </c>
      <c r="P7916">
        <v>5.4919120000000002E-2</v>
      </c>
      <c r="Q7916">
        <v>6.3651819999999998E-2</v>
      </c>
      <c r="R7916">
        <v>-0.99646000000000001</v>
      </c>
      <c r="S7916">
        <v>2.786255E-2</v>
      </c>
      <c r="T7916">
        <v>-7.6404449999999999E-2</v>
      </c>
      <c r="U7916">
        <v>-3.013916</v>
      </c>
      <c r="V7916">
        <v>-3.1539970000000001E-2</v>
      </c>
      <c r="W7916">
        <v>7.4728210000000003E-2</v>
      </c>
      <c r="X7916">
        <v>0.99670510000000001</v>
      </c>
      <c r="Y7916">
        <v>1.429361E-2</v>
      </c>
      <c r="Z7916">
        <v>2.5330060000000001E-2</v>
      </c>
      <c r="AA7916">
        <v>0.99957689999999999</v>
      </c>
      <c r="AB7916">
        <v>28</v>
      </c>
      <c r="AC7916">
        <v>0.400000000000034</v>
      </c>
      <c r="AD7916">
        <v>-1.110701871794</v>
      </c>
      <c r="AE7916">
        <v>-43.611840000000001</v>
      </c>
      <c r="AF7916">
        <v>0.62603617509550602</v>
      </c>
      <c r="AG7916">
        <v>-1.110701871794</v>
      </c>
      <c r="AH7916">
        <v>43.580910360216798</v>
      </c>
      <c r="AI7916">
        <v>91.459772071249503</v>
      </c>
      <c r="AJ7916">
        <v>89.177007468429693</v>
      </c>
      <c r="AK7916">
        <v>43.599556508820001</v>
      </c>
      <c r="AL7916">
        <v>85.714394220630993</v>
      </c>
      <c r="AM7916">
        <v>91.812476270355305</v>
      </c>
      <c r="AN7916">
        <v>1.0000000657217001</v>
      </c>
    </row>
    <row r="7917" spans="1:40" x14ac:dyDescent="0.25">
      <c r="A7917" t="str">
        <f>"20190312150847099"</f>
        <v>20190312150847099</v>
      </c>
      <c r="B7917" t="str">
        <f>"1552374527087987"</f>
        <v>1552374527087987</v>
      </c>
      <c r="C7917" t="s">
        <v>40</v>
      </c>
      <c r="D7917">
        <v>4.1580879999999896</v>
      </c>
      <c r="E7917">
        <v>0.51894220000000002</v>
      </c>
      <c r="F7917" t="s">
        <v>42</v>
      </c>
      <c r="G7917">
        <v>-421.86290000000002</v>
      </c>
      <c r="H7917" s="1">
        <v>-6.8230819999999895E-7</v>
      </c>
      <c r="I7917">
        <v>50.024140000000003</v>
      </c>
      <c r="J7917">
        <v>-422.23489999999998</v>
      </c>
      <c r="K7917">
        <v>1.1106799999999999</v>
      </c>
      <c r="L7917">
        <v>96.255949999999999</v>
      </c>
      <c r="M7917">
        <v>2.3879310000000001E-2</v>
      </c>
      <c r="N7917">
        <v>0</v>
      </c>
      <c r="O7917">
        <v>-0.9996526</v>
      </c>
      <c r="P7917">
        <v>5.5699150000000003E-2</v>
      </c>
      <c r="Q7917">
        <v>6.339177E-2</v>
      </c>
      <c r="R7917">
        <v>-0.99643329999999997</v>
      </c>
      <c r="S7917">
        <v>2.444458E-2</v>
      </c>
      <c r="T7917">
        <v>-7.2146890000000005E-2</v>
      </c>
      <c r="U7917">
        <v>-3.013916</v>
      </c>
      <c r="V7917">
        <v>-3.1969240000000003E-2</v>
      </c>
      <c r="W7917">
        <v>7.4484739999999994E-2</v>
      </c>
      <c r="X7917">
        <v>0.99670959999999997</v>
      </c>
      <c r="Y7917">
        <v>1.5774340000000001E-2</v>
      </c>
      <c r="Z7917">
        <v>2.391896E-2</v>
      </c>
      <c r="AA7917">
        <v>0.99958939999999996</v>
      </c>
      <c r="AB7917">
        <v>28</v>
      </c>
      <c r="AC7917">
        <v>0.37199999999995698</v>
      </c>
      <c r="AD7917">
        <v>-1.1106806823081901</v>
      </c>
      <c r="AE7917">
        <v>-46.231810000000003</v>
      </c>
      <c r="AF7917">
        <v>0.73173621657246501</v>
      </c>
      <c r="AG7917">
        <v>-1.1106806823081901</v>
      </c>
      <c r="AH7917">
        <v>46.200845371319303</v>
      </c>
      <c r="AI7917">
        <v>91.376967982092907</v>
      </c>
      <c r="AJ7917">
        <v>89.092616347292406</v>
      </c>
      <c r="AK7917">
        <v>46.219986612863202</v>
      </c>
      <c r="AL7917">
        <v>85.728382803958397</v>
      </c>
      <c r="AM7917">
        <v>91.8371196254853</v>
      </c>
      <c r="AN7917">
        <v>1.0000000177656001</v>
      </c>
    </row>
    <row r="7918" spans="1:40" x14ac:dyDescent="0.25">
      <c r="A7918" t="str">
        <f>"20190312150847112"</f>
        <v>20190312150847112</v>
      </c>
      <c r="B7918" t="str">
        <f>"1552374527107507"</f>
        <v>1552374527107507</v>
      </c>
      <c r="C7918" t="s">
        <v>40</v>
      </c>
      <c r="D7918">
        <v>4.181146</v>
      </c>
      <c r="E7918">
        <v>0.51955399999999996</v>
      </c>
      <c r="F7918" t="s">
        <v>42</v>
      </c>
      <c r="G7918">
        <v>-421.86309999999997</v>
      </c>
      <c r="H7918" s="1">
        <v>-4.6223440000000001E-6</v>
      </c>
      <c r="I7918">
        <v>49.598619999999997</v>
      </c>
      <c r="J7918">
        <v>-422.23079999999999</v>
      </c>
      <c r="K7918">
        <v>1.1106549999999999</v>
      </c>
      <c r="L7918">
        <v>96.097899999999996</v>
      </c>
      <c r="M7918">
        <v>2.4186760000000002E-2</v>
      </c>
      <c r="N7918">
        <v>0</v>
      </c>
      <c r="O7918">
        <v>-0.99964520000000001</v>
      </c>
      <c r="P7918">
        <v>5.6224950000000003E-2</v>
      </c>
      <c r="Q7918">
        <v>6.3155950000000002E-2</v>
      </c>
      <c r="R7918">
        <v>-0.99641900000000005</v>
      </c>
      <c r="S7918">
        <v>2.401733E-2</v>
      </c>
      <c r="T7918">
        <v>-7.1747420000000006E-2</v>
      </c>
      <c r="U7918">
        <v>-3.0139469999999999</v>
      </c>
      <c r="V7918">
        <v>-3.2184110000000002E-2</v>
      </c>
      <c r="W7918">
        <v>7.4265540000000005E-2</v>
      </c>
      <c r="X7918">
        <v>0.99671900000000002</v>
      </c>
      <c r="Y7918">
        <v>1.6223609999999999E-2</v>
      </c>
      <c r="Z7918">
        <v>2.378601E-2</v>
      </c>
      <c r="AA7918">
        <v>0.99958539999999996</v>
      </c>
      <c r="AB7918">
        <v>28</v>
      </c>
      <c r="AC7918">
        <v>0.36770000000001302</v>
      </c>
      <c r="AD7918">
        <v>-1.110659622344</v>
      </c>
      <c r="AE7918">
        <v>-46.499279999999899</v>
      </c>
      <c r="AF7918">
        <v>0.75671281820093095</v>
      </c>
      <c r="AG7918">
        <v>-1.110659622344</v>
      </c>
      <c r="AH7918">
        <v>46.468060100488003</v>
      </c>
      <c r="AI7918">
        <v>91.369016986573797</v>
      </c>
      <c r="AJ7918">
        <v>89.067044787919102</v>
      </c>
      <c r="AK7918">
        <v>46.487490667796898</v>
      </c>
      <c r="AL7918">
        <v>85.740976742620404</v>
      </c>
      <c r="AM7918">
        <v>91.849441202146295</v>
      </c>
      <c r="AN7918">
        <v>0.99999997616449099</v>
      </c>
    </row>
    <row r="7919" spans="1:40" x14ac:dyDescent="0.25">
      <c r="A7919" t="str">
        <f>"20190312150847125"</f>
        <v>20190312150847125</v>
      </c>
      <c r="B7919" t="str">
        <f>"1552374527118242"</f>
        <v>1552374527118242</v>
      </c>
      <c r="C7919" t="s">
        <v>40</v>
      </c>
      <c r="D7919">
        <v>4.2305080000000004</v>
      </c>
      <c r="E7919">
        <v>0.51982259999999902</v>
      </c>
      <c r="F7919" t="s">
        <v>42</v>
      </c>
      <c r="G7919">
        <v>-421.8997</v>
      </c>
      <c r="H7919" s="1">
        <v>-4.0157280000000003E-6</v>
      </c>
      <c r="I7919">
        <v>47.796979999999998</v>
      </c>
      <c r="J7919">
        <v>-422.22660000000002</v>
      </c>
      <c r="K7919">
        <v>1.1106279999999999</v>
      </c>
      <c r="L7919">
        <v>95.937529999999995</v>
      </c>
      <c r="M7919">
        <v>2.4484189999999999E-2</v>
      </c>
      <c r="N7919">
        <v>0</v>
      </c>
      <c r="O7919">
        <v>-0.99963800000000003</v>
      </c>
      <c r="P7919">
        <v>5.6794829999999998E-2</v>
      </c>
      <c r="Q7919">
        <v>6.2899410000000003E-2</v>
      </c>
      <c r="R7919">
        <v>-0.99640289999999998</v>
      </c>
      <c r="S7919">
        <v>2.0660399999999999E-2</v>
      </c>
      <c r="T7919">
        <v>-6.9305779999999997E-2</v>
      </c>
      <c r="U7919">
        <v>-3.014008</v>
      </c>
      <c r="V7919">
        <v>-3.2452269999999998E-2</v>
      </c>
      <c r="W7919">
        <v>7.4027300000000004E-2</v>
      </c>
      <c r="X7919">
        <v>0.99672810000000001</v>
      </c>
      <c r="Y7919">
        <v>1.763437E-2</v>
      </c>
      <c r="Z7919">
        <v>2.2976090000000001E-2</v>
      </c>
      <c r="AA7919">
        <v>0.99958049999999998</v>
      </c>
      <c r="AB7919">
        <v>28</v>
      </c>
      <c r="AC7919">
        <v>0.32690000000002301</v>
      </c>
      <c r="AD7919">
        <v>-1.1106320157279901</v>
      </c>
      <c r="AE7919">
        <v>-48.140549999999998</v>
      </c>
      <c r="AF7919">
        <v>0.85150050808614397</v>
      </c>
      <c r="AG7919">
        <v>-1.1106320157279901</v>
      </c>
      <c r="AH7919">
        <v>48.108516148073903</v>
      </c>
      <c r="AI7919">
        <v>91.322287007758405</v>
      </c>
      <c r="AJ7919">
        <v>88.985994671936396</v>
      </c>
      <c r="AK7919">
        <v>48.128867455604201</v>
      </c>
      <c r="AL7919">
        <v>85.754664873236393</v>
      </c>
      <c r="AM7919">
        <v>91.864823011615997</v>
      </c>
      <c r="AN7919">
        <v>1.0000000481515201</v>
      </c>
    </row>
    <row r="7920" spans="1:40" x14ac:dyDescent="0.25">
      <c r="A7920" t="str">
        <f>"20190312150847137"</f>
        <v>20190312150847137</v>
      </c>
      <c r="B7920" t="str">
        <f>"1552374527128003"</f>
        <v>1552374527128003</v>
      </c>
      <c r="C7920" t="s">
        <v>40</v>
      </c>
      <c r="D7920">
        <v>4.173813</v>
      </c>
      <c r="E7920">
        <v>0.52007609999999904</v>
      </c>
      <c r="F7920" t="s">
        <v>42</v>
      </c>
      <c r="G7920">
        <v>-421.91050000000001</v>
      </c>
      <c r="H7920" s="1">
        <v>-4.2768299999999998E-6</v>
      </c>
      <c r="I7920">
        <v>48.558619999999998</v>
      </c>
      <c r="J7920">
        <v>-422.22230000000002</v>
      </c>
      <c r="K7920">
        <v>1.1105989999999999</v>
      </c>
      <c r="L7920">
        <v>95.775700000000001</v>
      </c>
      <c r="M7920">
        <v>2.4743850000000001E-2</v>
      </c>
      <c r="N7920">
        <v>0</v>
      </c>
      <c r="O7920">
        <v>-0.99963100000000005</v>
      </c>
      <c r="P7920">
        <v>5.7341599999999902E-2</v>
      </c>
      <c r="Q7920">
        <v>6.2692079999999997E-2</v>
      </c>
      <c r="R7920">
        <v>-0.99638419999999905</v>
      </c>
      <c r="S7920">
        <v>2.011108E-2</v>
      </c>
      <c r="T7920">
        <v>-7.0655700000000002E-2</v>
      </c>
      <c r="U7920">
        <v>-3.0141300000000002</v>
      </c>
      <c r="V7920">
        <v>-3.273409E-2</v>
      </c>
      <c r="W7920">
        <v>7.3838520000000005E-2</v>
      </c>
      <c r="X7920">
        <v>0.99673279999999997</v>
      </c>
      <c r="Y7920">
        <v>1.8076620000000002E-2</v>
      </c>
      <c r="Z7920">
        <v>2.3422129999999999E-2</v>
      </c>
      <c r="AA7920">
        <v>0.99956219999999996</v>
      </c>
      <c r="AB7920">
        <v>28</v>
      </c>
      <c r="AC7920">
        <v>0.31180000000000502</v>
      </c>
      <c r="AD7920">
        <v>-1.11060327682999</v>
      </c>
      <c r="AE7920">
        <v>-47.217079999999903</v>
      </c>
      <c r="AF7920">
        <v>0.85622751885144899</v>
      </c>
      <c r="AG7920">
        <v>-1.11060327682999</v>
      </c>
      <c r="AH7920">
        <v>47.184233634978099</v>
      </c>
      <c r="AI7920">
        <v>91.348133891885695</v>
      </c>
      <c r="AJ7920">
        <v>88.960397667837896</v>
      </c>
      <c r="AK7920">
        <v>47.2050682546137</v>
      </c>
      <c r="AL7920">
        <v>85.765510483952099</v>
      </c>
      <c r="AM7920">
        <v>91.880996945584101</v>
      </c>
      <c r="AN7920">
        <v>0.99999996113987799</v>
      </c>
    </row>
    <row r="7921" spans="1:40" x14ac:dyDescent="0.25">
      <c r="A7921" t="str">
        <f>"20190312150847154"</f>
        <v>20190312150847154</v>
      </c>
      <c r="B7921" t="str">
        <f>"1552374527147523"</f>
        <v>1552374527147523</v>
      </c>
      <c r="C7921" t="s">
        <v>40</v>
      </c>
      <c r="D7921">
        <v>4.2170389999999998</v>
      </c>
      <c r="E7921">
        <v>0.52056309999999995</v>
      </c>
      <c r="F7921" t="s">
        <v>42</v>
      </c>
      <c r="G7921">
        <v>-421.90539999999999</v>
      </c>
      <c r="H7921" s="1">
        <v>-4.491588E-6</v>
      </c>
      <c r="I7921">
        <v>49.192340000000002</v>
      </c>
      <c r="J7921">
        <v>-422.21719999999999</v>
      </c>
      <c r="K7921">
        <v>1.1105590000000001</v>
      </c>
      <c r="L7921">
        <v>95.581299999999999</v>
      </c>
      <c r="M7921">
        <v>2.502418E-2</v>
      </c>
      <c r="N7921">
        <v>0</v>
      </c>
      <c r="O7921">
        <v>-0.99962399999999996</v>
      </c>
      <c r="P7921">
        <v>5.7773650000000003E-2</v>
      </c>
      <c r="Q7921">
        <v>6.2032129999999998E-2</v>
      </c>
      <c r="R7921">
        <v>-0.99640070000000003</v>
      </c>
      <c r="S7921">
        <v>2.0507810000000001E-2</v>
      </c>
      <c r="T7921">
        <v>-7.1862700000000002E-2</v>
      </c>
      <c r="U7921">
        <v>-3.014221</v>
      </c>
      <c r="V7921">
        <v>-3.287727E-2</v>
      </c>
      <c r="W7921">
        <v>7.3201760000000005E-2</v>
      </c>
      <c r="X7921">
        <v>0.99677510000000002</v>
      </c>
      <c r="Y7921">
        <v>1.8225709999999999E-2</v>
      </c>
      <c r="Z7921">
        <v>2.382099E-2</v>
      </c>
      <c r="AA7921">
        <v>0.9995501</v>
      </c>
      <c r="AB7921">
        <v>28</v>
      </c>
      <c r="AC7921">
        <v>0.31180000000000502</v>
      </c>
      <c r="AD7921">
        <v>-1.1105634915880001</v>
      </c>
      <c r="AE7921">
        <v>-46.388959999999997</v>
      </c>
      <c r="AF7921">
        <v>0.84872985966834302</v>
      </c>
      <c r="AG7921">
        <v>-1.1105634915880001</v>
      </c>
      <c r="AH7921">
        <v>46.3556674326597</v>
      </c>
      <c r="AI7921">
        <v>91.372168247359497</v>
      </c>
      <c r="AJ7921">
        <v>88.951083893618602</v>
      </c>
      <c r="AK7921">
        <v>46.376735512225103</v>
      </c>
      <c r="AL7921">
        <v>85.802093338815496</v>
      </c>
      <c r="AM7921">
        <v>91.889138425287399</v>
      </c>
      <c r="AN7921">
        <v>1.0000000062648799</v>
      </c>
    </row>
    <row r="7922" spans="1:40" x14ac:dyDescent="0.25">
      <c r="A7922" t="str">
        <f>"20190312150847168"</f>
        <v>20190312150847168</v>
      </c>
      <c r="B7922" t="str">
        <f>"1552374527158259"</f>
        <v>1552374527158259</v>
      </c>
      <c r="C7922" t="s">
        <v>40</v>
      </c>
      <c r="D7922">
        <v>4.2094189999999996</v>
      </c>
      <c r="E7922">
        <v>0.5207773</v>
      </c>
      <c r="F7922" t="s">
        <v>42</v>
      </c>
      <c r="G7922">
        <v>-421.95909999999998</v>
      </c>
      <c r="H7922" s="1">
        <v>-1.068807E-6</v>
      </c>
      <c r="I7922">
        <v>50.865409999999997</v>
      </c>
      <c r="J7922">
        <v>-422.21249999999998</v>
      </c>
      <c r="K7922">
        <v>1.110517</v>
      </c>
      <c r="L7922">
        <v>95.403199999999998</v>
      </c>
      <c r="M7922">
        <v>2.524825E-2</v>
      </c>
      <c r="N7922">
        <v>0</v>
      </c>
      <c r="O7922">
        <v>-0.99961789999999995</v>
      </c>
      <c r="P7922">
        <v>5.8303130000000002E-2</v>
      </c>
      <c r="Q7922">
        <v>6.2323080000000003E-2</v>
      </c>
      <c r="R7922">
        <v>-0.99635169999999995</v>
      </c>
      <c r="S7922">
        <v>1.7395020000000001E-2</v>
      </c>
      <c r="T7922">
        <v>-7.4867729999999993E-2</v>
      </c>
      <c r="U7922">
        <v>-3.0144959999999998</v>
      </c>
      <c r="V7922">
        <v>-3.3176900000000002E-2</v>
      </c>
      <c r="W7922">
        <v>7.3513720000000005E-2</v>
      </c>
      <c r="X7922">
        <v>0.99674220000000002</v>
      </c>
      <c r="Y7922">
        <v>1.9482679999999999E-2</v>
      </c>
      <c r="Z7922">
        <v>2.4813809999999999E-2</v>
      </c>
      <c r="AA7922">
        <v>0.99950220000000001</v>
      </c>
      <c r="AB7922">
        <v>28</v>
      </c>
      <c r="AC7922">
        <v>0.25339999999999901</v>
      </c>
      <c r="AD7922">
        <v>-1.110518068807</v>
      </c>
      <c r="AE7922">
        <v>-44.537790000000001</v>
      </c>
      <c r="AF7922">
        <v>0.87071190346136695</v>
      </c>
      <c r="AG7922">
        <v>-1.110518068807</v>
      </c>
      <c r="AH7922">
        <v>44.502321376393702</v>
      </c>
      <c r="AI7922">
        <v>91.429197993689399</v>
      </c>
      <c r="AJ7922">
        <v>88.879120206231306</v>
      </c>
      <c r="AK7922">
        <v>44.524689751729902</v>
      </c>
      <c r="AL7922">
        <v>85.784171005375896</v>
      </c>
      <c r="AM7922">
        <v>91.906405491754498</v>
      </c>
      <c r="AN7922">
        <v>0.99999999349134405</v>
      </c>
    </row>
    <row r="7923" spans="1:40" x14ac:dyDescent="0.25">
      <c r="A7923" t="str">
        <f>"20190312150847182"</f>
        <v>20190312150847182</v>
      </c>
      <c r="B7923" t="str">
        <f>"1552374527177779"</f>
        <v>1552374527177779</v>
      </c>
      <c r="C7923" t="s">
        <v>40</v>
      </c>
      <c r="D7923">
        <v>4.196682</v>
      </c>
      <c r="E7923">
        <v>0.52123019999999998</v>
      </c>
      <c r="F7923" t="s">
        <v>42</v>
      </c>
      <c r="G7923">
        <v>-421.95209999999997</v>
      </c>
      <c r="H7923" s="1">
        <v>-7.1911929999999899E-7</v>
      </c>
      <c r="I7923">
        <v>50.054609999999997</v>
      </c>
      <c r="J7923">
        <v>-422.20749999999998</v>
      </c>
      <c r="K7923">
        <v>1.1104700000000001</v>
      </c>
      <c r="L7923">
        <v>95.213809999999995</v>
      </c>
      <c r="M7923">
        <v>2.5442349999999999E-2</v>
      </c>
      <c r="N7923">
        <v>0</v>
      </c>
      <c r="O7923">
        <v>-0.99961290000000003</v>
      </c>
      <c r="P7923">
        <v>5.8725220000000002E-2</v>
      </c>
      <c r="Q7923">
        <v>6.218709E-2</v>
      </c>
      <c r="R7923">
        <v>-0.99633539999999998</v>
      </c>
      <c r="S7923">
        <v>1.7303470000000001E-2</v>
      </c>
      <c r="T7923">
        <v>-7.3822620000000005E-2</v>
      </c>
      <c r="U7923">
        <v>-3.0145870000000001</v>
      </c>
      <c r="V7923">
        <v>-3.3396750000000003E-2</v>
      </c>
      <c r="W7923">
        <v>7.3400999999999994E-2</v>
      </c>
      <c r="X7923">
        <v>0.99674309999999999</v>
      </c>
      <c r="Y7923">
        <v>1.9707300000000001E-2</v>
      </c>
      <c r="Z7923">
        <v>2.4466660000000001E-2</v>
      </c>
      <c r="AA7923">
        <v>0.99950640000000002</v>
      </c>
      <c r="AB7923">
        <v>28</v>
      </c>
      <c r="AC7923">
        <v>0.25540000000000801</v>
      </c>
      <c r="AD7923">
        <v>-1.1104707191193</v>
      </c>
      <c r="AE7923">
        <v>-45.159199999999998</v>
      </c>
      <c r="AF7923">
        <v>0.89317161147881496</v>
      </c>
      <c r="AG7923">
        <v>-1.1104707191193</v>
      </c>
      <c r="AH7923">
        <v>45.123793755819001</v>
      </c>
      <c r="AI7923">
        <v>91.409455803553698</v>
      </c>
      <c r="AJ7923">
        <v>88.866046542861497</v>
      </c>
      <c r="AK7923">
        <v>45.146291804125603</v>
      </c>
      <c r="AL7923">
        <v>85.790646607347298</v>
      </c>
      <c r="AM7923">
        <v>91.919027329628506</v>
      </c>
      <c r="AN7923">
        <v>0.99999992855458297</v>
      </c>
    </row>
    <row r="7924" spans="1:40" x14ac:dyDescent="0.25">
      <c r="A7924" t="str">
        <f>"20190312150847199"</f>
        <v>20190312150847199</v>
      </c>
      <c r="B7924" t="str">
        <f>"1552374527187539"</f>
        <v>1552374527187539</v>
      </c>
      <c r="C7924" t="s">
        <v>40</v>
      </c>
      <c r="D7924">
        <v>4.2200519999999999</v>
      </c>
      <c r="E7924">
        <v>0.52142759999999999</v>
      </c>
      <c r="F7924" t="s">
        <v>42</v>
      </c>
      <c r="G7924">
        <v>-421.98590000000002</v>
      </c>
      <c r="H7924" s="1">
        <v>-1.016135E-6</v>
      </c>
      <c r="I7924">
        <v>50.726030000000002</v>
      </c>
      <c r="J7924">
        <v>-422.20209999999997</v>
      </c>
      <c r="K7924">
        <v>1.1104229999999999</v>
      </c>
      <c r="L7924">
        <v>95.011690000000002</v>
      </c>
      <c r="M7924">
        <v>2.5593890000000001E-2</v>
      </c>
      <c r="N7924">
        <v>0</v>
      </c>
      <c r="O7924">
        <v>-0.99960879999999996</v>
      </c>
      <c r="P7924">
        <v>5.9057350000000002E-2</v>
      </c>
      <c r="Q7924">
        <v>6.1966309999999997E-2</v>
      </c>
      <c r="R7924">
        <v>-0.99632949999999998</v>
      </c>
      <c r="S7924">
        <v>1.5014649999999999E-2</v>
      </c>
      <c r="T7924">
        <v>-7.5253959999999995E-2</v>
      </c>
      <c r="U7924">
        <v>-3.0148320000000002</v>
      </c>
      <c r="V7924">
        <v>-3.3568809999999998E-2</v>
      </c>
      <c r="W7924">
        <v>7.320699E-2</v>
      </c>
      <c r="X7924">
        <v>0.99675170000000002</v>
      </c>
      <c r="Y7924">
        <v>2.061818E-2</v>
      </c>
      <c r="Z7924">
        <v>2.4938410000000001E-2</v>
      </c>
      <c r="AA7924">
        <v>0.99947640000000004</v>
      </c>
      <c r="AB7924">
        <v>28</v>
      </c>
      <c r="AC7924">
        <v>0.21619999999995801</v>
      </c>
      <c r="AD7924">
        <v>-1.1104240161350001</v>
      </c>
      <c r="AE7924">
        <v>-44.28566</v>
      </c>
      <c r="AF7924">
        <v>0.91680884091867998</v>
      </c>
      <c r="AG7924">
        <v>-1.1104240161350001</v>
      </c>
      <c r="AH7924">
        <v>44.248865819504999</v>
      </c>
      <c r="AI7924">
        <v>91.437225892347797</v>
      </c>
      <c r="AJ7924">
        <v>88.813037094633799</v>
      </c>
      <c r="AK7924">
        <v>44.272290501610001</v>
      </c>
      <c r="AL7924">
        <v>85.801793017286201</v>
      </c>
      <c r="AM7924">
        <v>91.928890075555998</v>
      </c>
      <c r="AN7924">
        <v>1.0000000399212801</v>
      </c>
    </row>
    <row r="7925" spans="1:40" x14ac:dyDescent="0.25">
      <c r="A7925" t="str">
        <f>"20190312150847221"</f>
        <v>20190312150847221</v>
      </c>
      <c r="B7925" t="str">
        <f>"1552374527217795"</f>
        <v>1552374527217795</v>
      </c>
      <c r="C7925" t="s">
        <v>40</v>
      </c>
      <c r="D7925">
        <v>4.2345079999999999</v>
      </c>
      <c r="E7925">
        <v>0.52207740000000002</v>
      </c>
      <c r="F7925" t="s">
        <v>42</v>
      </c>
      <c r="G7925">
        <v>-421.99329999999998</v>
      </c>
      <c r="H7925" s="1">
        <v>-1.1827290000000001E-6</v>
      </c>
      <c r="I7925">
        <v>51.1098</v>
      </c>
      <c r="J7925">
        <v>-422.19479999999999</v>
      </c>
      <c r="K7925">
        <v>1.110357</v>
      </c>
      <c r="L7925">
        <v>94.730260000000001</v>
      </c>
      <c r="M7925">
        <v>2.573599E-2</v>
      </c>
      <c r="N7925">
        <v>0</v>
      </c>
      <c r="O7925">
        <v>-0.99960470000000001</v>
      </c>
      <c r="P7925">
        <v>5.8692569999999999E-2</v>
      </c>
      <c r="Q7925">
        <v>6.166671E-2</v>
      </c>
      <c r="R7925">
        <v>-0.99636950000000002</v>
      </c>
      <c r="S7925">
        <v>1.434326E-2</v>
      </c>
      <c r="T7925">
        <v>-7.6258179999999995E-2</v>
      </c>
      <c r="U7925">
        <v>-3.0149539999999999</v>
      </c>
      <c r="V7925">
        <v>-3.3049469999999997E-2</v>
      </c>
      <c r="W7925">
        <v>7.2945419999999997E-2</v>
      </c>
      <c r="X7925">
        <v>0.99678820000000001</v>
      </c>
      <c r="Y7925">
        <v>2.0983120000000001E-2</v>
      </c>
      <c r="Z7925">
        <v>2.5269739999999999E-2</v>
      </c>
      <c r="AA7925">
        <v>0.99946040000000003</v>
      </c>
      <c r="AB7925">
        <v>28</v>
      </c>
      <c r="AC7925">
        <v>0.20150000000001</v>
      </c>
      <c r="AD7925">
        <v>-1.1103581827290001</v>
      </c>
      <c r="AE7925">
        <v>-43.620459999999902</v>
      </c>
      <c r="AF7925">
        <v>0.92065785139637601</v>
      </c>
      <c r="AG7925">
        <v>-1.1103581827290001</v>
      </c>
      <c r="AH7925">
        <v>43.582956827884701</v>
      </c>
      <c r="AI7925">
        <v>91.459077187399501</v>
      </c>
      <c r="AJ7925">
        <v>88.789848855196794</v>
      </c>
      <c r="AK7925">
        <v>43.606818641521599</v>
      </c>
      <c r="AL7925">
        <v>85.816819919870298</v>
      </c>
      <c r="AM7925">
        <v>91.899000927088196</v>
      </c>
      <c r="AN7925">
        <v>1.0000000087127401</v>
      </c>
    </row>
    <row r="7926" spans="1:40" x14ac:dyDescent="0.25">
      <c r="A7926" t="str">
        <f>"20190312150847235"</f>
        <v>20190312150847235</v>
      </c>
      <c r="B7926" t="str">
        <f>"1552374527227555"</f>
        <v>1552374527227555</v>
      </c>
      <c r="C7926" t="s">
        <v>40</v>
      </c>
      <c r="D7926">
        <v>4.187786</v>
      </c>
      <c r="E7926">
        <v>0.52229060000000005</v>
      </c>
      <c r="F7926" t="s">
        <v>42</v>
      </c>
      <c r="G7926">
        <v>-422.07130000000001</v>
      </c>
      <c r="H7926" s="1">
        <v>-1.6170050000000001E-6</v>
      </c>
      <c r="I7926">
        <v>52.073709999999998</v>
      </c>
      <c r="J7926">
        <v>-422.1902</v>
      </c>
      <c r="K7926">
        <v>1.1103259999999999</v>
      </c>
      <c r="L7926">
        <v>94.556269999999998</v>
      </c>
      <c r="M7926">
        <v>2.578252E-2</v>
      </c>
      <c r="N7926">
        <v>0</v>
      </c>
      <c r="O7926">
        <v>-0.99960349999999998</v>
      </c>
      <c r="P7926">
        <v>5.864424E-2</v>
      </c>
      <c r="Q7926">
        <v>6.1367989999999997E-2</v>
      </c>
      <c r="R7926">
        <v>-0.99639120000000003</v>
      </c>
      <c r="S7926">
        <v>8.7280269999999993E-3</v>
      </c>
      <c r="T7926">
        <v>-7.8488589999999997E-2</v>
      </c>
      <c r="U7926">
        <v>-3.0152890000000001</v>
      </c>
      <c r="V7926">
        <v>-3.2947480000000001E-2</v>
      </c>
      <c r="W7926">
        <v>7.2669129999999998E-2</v>
      </c>
      <c r="X7926">
        <v>0.99681169999999997</v>
      </c>
      <c r="Y7926">
        <v>2.2891419999999999E-2</v>
      </c>
      <c r="Z7926">
        <v>2.6004949999999999E-2</v>
      </c>
      <c r="AA7926">
        <v>0.9993997</v>
      </c>
      <c r="AB7926">
        <v>28</v>
      </c>
      <c r="AC7926">
        <v>0.118899999999996</v>
      </c>
      <c r="AD7926">
        <v>-1.1103276170049901</v>
      </c>
      <c r="AE7926">
        <v>-42.482559999999999</v>
      </c>
      <c r="AF7926">
        <v>0.97585055366638396</v>
      </c>
      <c r="AG7926">
        <v>-1.1103276170049901</v>
      </c>
      <c r="AH7926">
        <v>42.442509660965897</v>
      </c>
      <c r="AI7926">
        <v>91.498162636018506</v>
      </c>
      <c r="AJ7926">
        <v>88.682870801739895</v>
      </c>
      <c r="AK7926">
        <v>42.46824387753</v>
      </c>
      <c r="AL7926">
        <v>85.832692059092693</v>
      </c>
      <c r="AM7926">
        <v>91.893100320637004</v>
      </c>
      <c r="AN7926">
        <v>0.99999995207509695</v>
      </c>
    </row>
    <row r="7927" spans="1:40" x14ac:dyDescent="0.25">
      <c r="A7927" t="str">
        <f>"20190312150847248"</f>
        <v>20190312150847248</v>
      </c>
      <c r="B7927" t="str">
        <f>"1552374527238291"</f>
        <v>1552374527238291</v>
      </c>
      <c r="C7927" t="s">
        <v>40</v>
      </c>
      <c r="D7927">
        <v>4.2263549999999999</v>
      </c>
      <c r="E7927">
        <v>0.52246729999999997</v>
      </c>
      <c r="F7927" t="s">
        <v>42</v>
      </c>
      <c r="G7927">
        <v>-422.09519999999998</v>
      </c>
      <c r="H7927" s="1">
        <v>-1.7895139999999999E-6</v>
      </c>
      <c r="I7927">
        <v>52.461039999999997</v>
      </c>
      <c r="J7927">
        <v>-422.1859</v>
      </c>
      <c r="K7927">
        <v>1.1102959999999999</v>
      </c>
      <c r="L7927">
        <v>94.391019999999997</v>
      </c>
      <c r="M7927">
        <v>2.5808979999999999E-2</v>
      </c>
      <c r="N7927">
        <v>0</v>
      </c>
      <c r="O7927">
        <v>-0.99960260000000001</v>
      </c>
      <c r="P7927">
        <v>5.8679820000000001E-2</v>
      </c>
      <c r="Q7927">
        <v>6.125829E-2</v>
      </c>
      <c r="R7927">
        <v>-0.99639580000000005</v>
      </c>
      <c r="S7927">
        <v>6.8054200000000004E-3</v>
      </c>
      <c r="T7927">
        <v>-7.9535369999999994E-2</v>
      </c>
      <c r="U7927">
        <v>-3.0153810000000001</v>
      </c>
      <c r="V7927">
        <v>-3.2951019999999998E-2</v>
      </c>
      <c r="W7927">
        <v>7.2579240000000003E-2</v>
      </c>
      <c r="X7927">
        <v>0.99681819999999999</v>
      </c>
      <c r="Y7927">
        <v>2.3555220000000002E-2</v>
      </c>
      <c r="Z7927">
        <v>2.6350519999999999E-2</v>
      </c>
      <c r="AA7927">
        <v>0.99937520000000002</v>
      </c>
      <c r="AB7927">
        <v>28</v>
      </c>
      <c r="AC7927">
        <v>9.0700000000026607E-2</v>
      </c>
      <c r="AD7927">
        <v>-1.110297789514</v>
      </c>
      <c r="AE7927">
        <v>-41.929979999999901</v>
      </c>
      <c r="AF7927">
        <v>0.99087501027641101</v>
      </c>
      <c r="AG7927">
        <v>-1.110297789514</v>
      </c>
      <c r="AH7927">
        <v>41.888980464680998</v>
      </c>
      <c r="AI7927">
        <v>91.517886259556505</v>
      </c>
      <c r="AJ7927">
        <v>88.644933107632596</v>
      </c>
      <c r="AK7927">
        <v>41.915406222984601</v>
      </c>
      <c r="AL7927">
        <v>85.837856295496707</v>
      </c>
      <c r="AM7927">
        <v>91.893291237591598</v>
      </c>
      <c r="AN7927">
        <v>1.0000000198246199</v>
      </c>
    </row>
    <row r="7928" spans="1:40" x14ac:dyDescent="0.25">
      <c r="A7928" t="str">
        <f>"20190312150847259"</f>
        <v>20190312150847259</v>
      </c>
      <c r="B7928" t="str">
        <f>"1552374527248051"</f>
        <v>1552374527248051</v>
      </c>
      <c r="C7928" t="s">
        <v>40</v>
      </c>
      <c r="D7928">
        <v>4.2244760000000001</v>
      </c>
      <c r="E7928">
        <v>0.52263959999999998</v>
      </c>
      <c r="F7928" t="s">
        <v>42</v>
      </c>
      <c r="G7928">
        <v>-422.10989999999998</v>
      </c>
      <c r="H7928" s="1">
        <v>-1.8892709999999999E-6</v>
      </c>
      <c r="I7928">
        <v>52.684440000000002</v>
      </c>
      <c r="J7928">
        <v>-422.18180000000001</v>
      </c>
      <c r="K7928">
        <v>1.1102719999999999</v>
      </c>
      <c r="L7928">
        <v>94.234309999999994</v>
      </c>
      <c r="M7928">
        <v>2.581176E-2</v>
      </c>
      <c r="N7928">
        <v>0</v>
      </c>
      <c r="O7928">
        <v>-0.99960230000000005</v>
      </c>
      <c r="P7928">
        <v>5.8929019999999999E-2</v>
      </c>
      <c r="Q7928">
        <v>6.1114250000000002E-2</v>
      </c>
      <c r="R7928">
        <v>-0.99639</v>
      </c>
      <c r="S7928">
        <v>5.493164E-3</v>
      </c>
      <c r="T7928">
        <v>-8.0276849999999997E-2</v>
      </c>
      <c r="U7928">
        <v>-3.0154719999999999</v>
      </c>
      <c r="V7928">
        <v>-3.3192779999999998E-2</v>
      </c>
      <c r="W7928">
        <v>7.2453190000000001E-2</v>
      </c>
      <c r="X7928">
        <v>0.99681929999999996</v>
      </c>
      <c r="Y7928">
        <v>2.3992980000000001E-2</v>
      </c>
      <c r="Z7928">
        <v>2.6595069999999998E-2</v>
      </c>
      <c r="AA7928">
        <v>0.99935830000000003</v>
      </c>
      <c r="AB7928">
        <v>28</v>
      </c>
      <c r="AC7928">
        <v>7.1900000000027803E-2</v>
      </c>
      <c r="AD7928">
        <v>-1.110273889271</v>
      </c>
      <c r="AE7928">
        <v>-41.549869999999899</v>
      </c>
      <c r="AF7928">
        <v>0.99995440710168704</v>
      </c>
      <c r="AG7928">
        <v>-1.110273889271</v>
      </c>
      <c r="AH7928">
        <v>41.508242310068802</v>
      </c>
      <c r="AI7928">
        <v>91.531753733019698</v>
      </c>
      <c r="AJ7928">
        <v>88.619982815577899</v>
      </c>
      <c r="AK7928">
        <v>41.535127261113203</v>
      </c>
      <c r="AL7928">
        <v>85.845097290023304</v>
      </c>
      <c r="AM7928">
        <v>91.907169897408494</v>
      </c>
      <c r="AN7928">
        <v>0.99999997111889605</v>
      </c>
    </row>
    <row r="7929" spans="1:40" x14ac:dyDescent="0.25">
      <c r="A7929" t="str">
        <f>"20190312150847273"</f>
        <v>20190312150847273</v>
      </c>
      <c r="B7929" t="str">
        <f>"1552374527267571"</f>
        <v>1552374527267571</v>
      </c>
      <c r="C7929" t="s">
        <v>40</v>
      </c>
      <c r="D7929">
        <v>4.8276760000000003</v>
      </c>
      <c r="E7929">
        <v>0.52296960000000003</v>
      </c>
      <c r="F7929" t="s">
        <v>42</v>
      </c>
      <c r="G7929">
        <v>-422.12119999999999</v>
      </c>
      <c r="H7929" s="1">
        <v>-1.890402E-6</v>
      </c>
      <c r="I7929">
        <v>52.680050000000001</v>
      </c>
      <c r="J7929">
        <v>-422.17770000000002</v>
      </c>
      <c r="K7929">
        <v>1.110244</v>
      </c>
      <c r="L7929">
        <v>94.077820000000003</v>
      </c>
      <c r="M7929">
        <v>2.5794709999999998E-2</v>
      </c>
      <c r="N7929">
        <v>0</v>
      </c>
      <c r="O7929">
        <v>-0.99960230000000005</v>
      </c>
      <c r="P7929">
        <v>5.898664E-2</v>
      </c>
      <c r="Q7929">
        <v>6.092761E-2</v>
      </c>
      <c r="R7929">
        <v>-0.99639759999999999</v>
      </c>
      <c r="S7929">
        <v>4.3945310000000001E-3</v>
      </c>
      <c r="T7929">
        <v>-8.0571770000000001E-2</v>
      </c>
      <c r="U7929">
        <v>-3.0155639999999999</v>
      </c>
      <c r="V7929">
        <v>-3.3262600000000003E-2</v>
      </c>
      <c r="W7929">
        <v>7.2283899999999998E-2</v>
      </c>
      <c r="X7929">
        <v>0.99682930000000003</v>
      </c>
      <c r="Y7929">
        <v>2.434008E-2</v>
      </c>
      <c r="Z7929">
        <v>2.669181E-2</v>
      </c>
      <c r="AA7929">
        <v>0.99934730000000005</v>
      </c>
      <c r="AB7929">
        <v>28</v>
      </c>
      <c r="AC7929">
        <v>5.6500000000028097E-2</v>
      </c>
      <c r="AD7929">
        <v>-1.1102458904020001</v>
      </c>
      <c r="AE7929">
        <v>-41.397769999999902</v>
      </c>
      <c r="AF7929">
        <v>1.0107046680540901</v>
      </c>
      <c r="AG7929">
        <v>-1.1102458904020001</v>
      </c>
      <c r="AH7929">
        <v>41.355705708390502</v>
      </c>
      <c r="AI7929">
        <v>91.537349005767894</v>
      </c>
      <c r="AJ7929">
        <v>88.600009705025798</v>
      </c>
      <c r="AK7929">
        <v>41.382950166731497</v>
      </c>
      <c r="AL7929">
        <v>85.854822545791194</v>
      </c>
      <c r="AM7929">
        <v>91.911159440804397</v>
      </c>
      <c r="AN7929">
        <v>1.0000000080482301</v>
      </c>
    </row>
    <row r="7930" spans="1:40" x14ac:dyDescent="0.25">
      <c r="A7930" t="str">
        <f>"20190312150847288"</f>
        <v>20190312150847288</v>
      </c>
      <c r="B7930" t="str">
        <f>"1552374527278307"</f>
        <v>1552374527278307</v>
      </c>
      <c r="C7930" t="s">
        <v>40</v>
      </c>
      <c r="D7930">
        <v>4.2406309999999996</v>
      </c>
      <c r="E7930">
        <v>0.52313799999999999</v>
      </c>
      <c r="F7930" t="s">
        <v>42</v>
      </c>
      <c r="G7930">
        <v>-422.14530000000002</v>
      </c>
      <c r="H7930" s="1">
        <v>-1.812247E-6</v>
      </c>
      <c r="I7930">
        <v>52.482909999999997</v>
      </c>
      <c r="J7930">
        <v>-422.17309999999998</v>
      </c>
      <c r="K7930">
        <v>1.1102160000000001</v>
      </c>
      <c r="L7930">
        <v>93.897919999999999</v>
      </c>
      <c r="M7930">
        <v>2.5757829999999999E-2</v>
      </c>
      <c r="N7930">
        <v>0</v>
      </c>
      <c r="O7930">
        <v>-0.99960329999999997</v>
      </c>
      <c r="P7930">
        <v>5.865161E-2</v>
      </c>
      <c r="Q7930">
        <v>6.071443E-2</v>
      </c>
      <c r="R7930">
        <v>-0.9964307</v>
      </c>
      <c r="S7930">
        <v>2.3498540000000002E-3</v>
      </c>
      <c r="T7930">
        <v>-8.0492620000000001E-2</v>
      </c>
      <c r="U7930">
        <v>-3.015625</v>
      </c>
      <c r="V7930">
        <v>-3.2958849999999998E-2</v>
      </c>
      <c r="W7930">
        <v>7.2089390000000003E-2</v>
      </c>
      <c r="X7930">
        <v>0.99685349999999995</v>
      </c>
      <c r="Y7930">
        <v>2.4980800000000001E-2</v>
      </c>
      <c r="Z7930">
        <v>2.666491E-2</v>
      </c>
      <c r="AA7930">
        <v>0.9993322</v>
      </c>
      <c r="AB7930">
        <v>28</v>
      </c>
      <c r="AC7930">
        <v>2.7799999999956498E-2</v>
      </c>
      <c r="AD7930">
        <v>-1.1102178122469999</v>
      </c>
      <c r="AE7930">
        <v>-41.415009999999903</v>
      </c>
      <c r="AF7930">
        <v>1.0382930985843599</v>
      </c>
      <c r="AG7930">
        <v>-1.1102178122469999</v>
      </c>
      <c r="AH7930">
        <v>41.372252309275197</v>
      </c>
      <c r="AI7930">
        <v>91.536670620508602</v>
      </c>
      <c r="AJ7930">
        <v>88.562386034005002</v>
      </c>
      <c r="AK7930">
        <v>41.400167841344903</v>
      </c>
      <c r="AL7930">
        <v>85.865996402707694</v>
      </c>
      <c r="AM7930">
        <v>91.893673792946998</v>
      </c>
      <c r="AN7930">
        <v>1.0000000332030701</v>
      </c>
    </row>
    <row r="7931" spans="1:40" x14ac:dyDescent="0.25">
      <c r="A7931" t="str">
        <f>"20190312150847302"</f>
        <v>20190312150847302</v>
      </c>
      <c r="B7931" t="str">
        <f>"1552374527297830"</f>
        <v>1552374527297830</v>
      </c>
      <c r="C7931" t="s">
        <v>40</v>
      </c>
      <c r="D7931">
        <v>4.2367739999999996</v>
      </c>
      <c r="E7931">
        <v>0.52350329999999901</v>
      </c>
      <c r="F7931" t="s">
        <v>42</v>
      </c>
      <c r="G7931">
        <v>-422.1841</v>
      </c>
      <c r="H7931" s="1">
        <v>-1.66092E-6</v>
      </c>
      <c r="I7931">
        <v>52.106119999999997</v>
      </c>
      <c r="J7931">
        <v>-422.16820000000001</v>
      </c>
      <c r="K7931">
        <v>1.1101920000000001</v>
      </c>
      <c r="L7931">
        <v>93.702789999999993</v>
      </c>
      <c r="M7931">
        <v>2.568703E-2</v>
      </c>
      <c r="N7931">
        <v>0</v>
      </c>
      <c r="O7931">
        <v>-0.99960499999999997</v>
      </c>
      <c r="P7931">
        <v>5.8488699999999998E-2</v>
      </c>
      <c r="Q7931">
        <v>6.0426710000000002E-2</v>
      </c>
      <c r="R7931">
        <v>-0.9964577</v>
      </c>
      <c r="S7931">
        <v>-7.9345700000000002E-4</v>
      </c>
      <c r="T7931">
        <v>-8.0112219999999998E-2</v>
      </c>
      <c r="U7931">
        <v>-3.0156559999999999</v>
      </c>
      <c r="V7931">
        <v>-3.2861559999999998E-2</v>
      </c>
      <c r="W7931">
        <v>7.1821129999999997E-2</v>
      </c>
      <c r="X7931">
        <v>0.99687610000000004</v>
      </c>
      <c r="Y7931">
        <v>2.595163E-2</v>
      </c>
      <c r="Z7931">
        <v>2.653846E-2</v>
      </c>
      <c r="AA7931">
        <v>0.9993109</v>
      </c>
      <c r="AB7931">
        <v>28</v>
      </c>
      <c r="AC7931">
        <v>-1.5899999999987799E-2</v>
      </c>
      <c r="AD7931">
        <v>-1.11019366092</v>
      </c>
      <c r="AE7931">
        <v>-41.596670000000003</v>
      </c>
      <c r="AF7931">
        <v>1.08368719169881</v>
      </c>
      <c r="AG7931">
        <v>-1.11019366092</v>
      </c>
      <c r="AH7931">
        <v>41.552934931711803</v>
      </c>
      <c r="AI7931">
        <v>91.529920254079997</v>
      </c>
      <c r="AJ7931">
        <v>88.506083114201402</v>
      </c>
      <c r="AK7931">
        <v>41.581886793810497</v>
      </c>
      <c r="AL7931">
        <v>85.881406614668904</v>
      </c>
      <c r="AM7931">
        <v>91.888045206264096</v>
      </c>
      <c r="AN7931">
        <v>1.00000005779565</v>
      </c>
    </row>
    <row r="7932" spans="1:40" x14ac:dyDescent="0.25">
      <c r="A7932" t="str">
        <f>"20190312150847321"</f>
        <v>20190312150847321</v>
      </c>
      <c r="B7932" t="str">
        <f>"1552374527317348"</f>
        <v>1552374527317348</v>
      </c>
      <c r="C7932" t="s">
        <v>40</v>
      </c>
      <c r="D7932">
        <v>4.2383540000000002</v>
      </c>
      <c r="E7932">
        <v>0.52377819999999997</v>
      </c>
      <c r="F7932" t="s">
        <v>42</v>
      </c>
      <c r="G7932">
        <v>-422.22570000000002</v>
      </c>
      <c r="H7932" s="1">
        <v>-1.443898E-6</v>
      </c>
      <c r="I7932">
        <v>51.574420000000003</v>
      </c>
      <c r="J7932">
        <v>-422.16239999999999</v>
      </c>
      <c r="K7932">
        <v>1.1101529999999999</v>
      </c>
      <c r="L7932">
        <v>93.475279999999998</v>
      </c>
      <c r="M7932">
        <v>2.5567639999999999E-2</v>
      </c>
      <c r="N7932">
        <v>0</v>
      </c>
      <c r="O7932">
        <v>-0.99960789999999999</v>
      </c>
      <c r="P7932">
        <v>5.7717209999999998E-2</v>
      </c>
      <c r="Q7932">
        <v>5.9906180000000003E-2</v>
      </c>
      <c r="R7932">
        <v>-0.99653420000000004</v>
      </c>
      <c r="S7932">
        <v>-4.1198729999999996E-3</v>
      </c>
      <c r="T7932">
        <v>-7.9472059999999997E-2</v>
      </c>
      <c r="U7932">
        <v>-3.015717</v>
      </c>
      <c r="V7932">
        <v>-3.2201029999999999E-2</v>
      </c>
      <c r="W7932">
        <v>7.1321750000000003E-2</v>
      </c>
      <c r="X7932">
        <v>0.99693350000000003</v>
      </c>
      <c r="Y7932">
        <v>2.69345E-2</v>
      </c>
      <c r="Z7932">
        <v>2.632578E-2</v>
      </c>
      <c r="AA7932">
        <v>0.99929049999999997</v>
      </c>
      <c r="AB7932">
        <v>28</v>
      </c>
      <c r="AC7932">
        <v>-6.3300000000026502E-2</v>
      </c>
      <c r="AD7932">
        <v>-1.110154443898</v>
      </c>
      <c r="AE7932">
        <v>-41.900860000000002</v>
      </c>
      <c r="AF7932">
        <v>1.1338592955395801</v>
      </c>
      <c r="AG7932">
        <v>-1.110154443898</v>
      </c>
      <c r="AH7932">
        <v>41.856160191110497</v>
      </c>
      <c r="AI7932">
        <v>91.518747670661298</v>
      </c>
      <c r="AJ7932">
        <v>88.448269799042805</v>
      </c>
      <c r="AK7932">
        <v>41.8862295478513</v>
      </c>
      <c r="AL7932">
        <v>85.910092517143696</v>
      </c>
      <c r="AM7932">
        <v>91.850014966625594</v>
      </c>
      <c r="AN7932">
        <v>1.00000005088918</v>
      </c>
    </row>
    <row r="7933" spans="1:40" x14ac:dyDescent="0.25">
      <c r="A7933" t="str">
        <f>"20190312150847335"</f>
        <v>20190312150847335</v>
      </c>
      <c r="B7933" t="str">
        <f>"1552374527328084"</f>
        <v>1552374527328084</v>
      </c>
      <c r="C7933" t="s">
        <v>40</v>
      </c>
      <c r="D7933">
        <v>4.244885</v>
      </c>
      <c r="E7933">
        <v>0.52377819999999997</v>
      </c>
      <c r="F7933" t="s">
        <v>42</v>
      </c>
      <c r="G7933">
        <v>-422.28289999999998</v>
      </c>
      <c r="H7933" s="1">
        <v>-1.2531900000000001E-6</v>
      </c>
      <c r="I7933">
        <v>51.094410000000003</v>
      </c>
      <c r="J7933">
        <v>-422.15789999999998</v>
      </c>
      <c r="K7933">
        <v>1.1101259999999999</v>
      </c>
      <c r="L7933">
        <v>93.295289999999994</v>
      </c>
      <c r="M7933">
        <v>2.5445249999999999E-2</v>
      </c>
      <c r="N7933">
        <v>0</v>
      </c>
      <c r="O7933">
        <v>-0.99961080000000002</v>
      </c>
      <c r="P7933">
        <v>5.771428E-2</v>
      </c>
      <c r="Q7933">
        <v>5.9551229999999997E-2</v>
      </c>
      <c r="R7933">
        <v>-0.99655539999999998</v>
      </c>
      <c r="S7933">
        <v>-8.5754390000000007E-3</v>
      </c>
      <c r="T7933">
        <v>-7.8994990000000001E-2</v>
      </c>
      <c r="U7933">
        <v>-3.0156860000000001</v>
      </c>
      <c r="V7933">
        <v>-3.231448E-2</v>
      </c>
      <c r="W7933">
        <v>7.0982619999999996E-2</v>
      </c>
      <c r="X7933">
        <v>0.99695400000000001</v>
      </c>
      <c r="Y7933">
        <v>2.8288509999999999E-2</v>
      </c>
      <c r="Z7933">
        <v>2.6167699999999999E-2</v>
      </c>
      <c r="AA7933">
        <v>0.99925719999999996</v>
      </c>
      <c r="AB7933">
        <v>28</v>
      </c>
      <c r="AC7933">
        <v>-0.125</v>
      </c>
      <c r="AD7933">
        <v>-1.1101272531899999</v>
      </c>
      <c r="AE7933">
        <v>-42.200879999999998</v>
      </c>
      <c r="AF7933">
        <v>1.1980126806346301</v>
      </c>
      <c r="AG7933">
        <v>-1.1101272531899999</v>
      </c>
      <c r="AH7933">
        <v>42.154862760765901</v>
      </c>
      <c r="AI7933">
        <v>91.507898548491497</v>
      </c>
      <c r="AJ7933">
        <v>88.372130868011993</v>
      </c>
      <c r="AK7933">
        <v>42.186491573491203</v>
      </c>
      <c r="AL7933">
        <v>85.929572472851802</v>
      </c>
      <c r="AM7933">
        <v>91.856490199259895</v>
      </c>
      <c r="AN7933">
        <v>1.0000000180378601</v>
      </c>
    </row>
    <row r="7934" spans="1:40" x14ac:dyDescent="0.25">
      <c r="A7934" t="str">
        <f>"20190312150847347"</f>
        <v>20190312150847347</v>
      </c>
      <c r="B7934" t="str">
        <f>"1552374527337844"</f>
        <v>1552374527337844</v>
      </c>
      <c r="C7934" t="s">
        <v>40</v>
      </c>
      <c r="D7934">
        <v>4.3366389999999999</v>
      </c>
      <c r="E7934">
        <v>0.53894659999999905</v>
      </c>
      <c r="F7934" t="s">
        <v>42</v>
      </c>
      <c r="G7934">
        <v>-422.27600000000001</v>
      </c>
      <c r="H7934" s="1">
        <v>-1.4046399999999999E-6</v>
      </c>
      <c r="I7934">
        <v>51.451709999999999</v>
      </c>
      <c r="J7934">
        <v>-422.15379999999999</v>
      </c>
      <c r="K7934">
        <v>1.110093</v>
      </c>
      <c r="L7934">
        <v>93.133150000000001</v>
      </c>
      <c r="M7934">
        <v>2.5318790000000001E-2</v>
      </c>
      <c r="N7934">
        <v>0</v>
      </c>
      <c r="O7934">
        <v>-0.99961390000000006</v>
      </c>
      <c r="P7934">
        <v>5.7420249999999999E-2</v>
      </c>
      <c r="Q7934">
        <v>5.9389240000000003E-2</v>
      </c>
      <c r="R7934">
        <v>-0.99658239999999998</v>
      </c>
      <c r="S7934">
        <v>-8.5144039999999997E-3</v>
      </c>
      <c r="T7934">
        <v>-8.0005759999999995E-2</v>
      </c>
      <c r="U7934">
        <v>-3.015625</v>
      </c>
      <c r="V7934">
        <v>-3.2141299999999998E-2</v>
      </c>
      <c r="W7934">
        <v>7.0834229999999998E-2</v>
      </c>
      <c r="X7934">
        <v>0.99697009999999997</v>
      </c>
      <c r="Y7934">
        <v>2.8141869999999999E-2</v>
      </c>
      <c r="Z7934">
        <v>2.6503019999999999E-2</v>
      </c>
      <c r="AA7934">
        <v>0.99925260000000005</v>
      </c>
      <c r="AB7934">
        <v>28</v>
      </c>
      <c r="AC7934">
        <v>-0.12220000000002</v>
      </c>
      <c r="AD7934">
        <v>-1.1100944046400001</v>
      </c>
      <c r="AE7934">
        <v>-41.681440000000002</v>
      </c>
      <c r="AF7934">
        <v>1.1767189347970599</v>
      </c>
      <c r="AG7934">
        <v>-1.1100944046400001</v>
      </c>
      <c r="AH7934">
        <v>41.635450117006599</v>
      </c>
      <c r="AI7934">
        <v>91.526662737723399</v>
      </c>
      <c r="AJ7934">
        <v>88.381113069201405</v>
      </c>
      <c r="AK7934">
        <v>41.666865534672397</v>
      </c>
      <c r="AL7934">
        <v>85.938095836178107</v>
      </c>
      <c r="AM7934">
        <v>91.846517990586705</v>
      </c>
      <c r="AN7934">
        <v>0.99999996579969497</v>
      </c>
    </row>
    <row r="7935" spans="1:40" x14ac:dyDescent="0.25">
      <c r="A7935" t="str">
        <f>"20190312150847360"</f>
        <v>20190312150847360</v>
      </c>
      <c r="B7935" t="str">
        <f>"1552374527358339"</f>
        <v>1552374527358339</v>
      </c>
      <c r="C7935" t="s">
        <v>40</v>
      </c>
      <c r="D7935">
        <v>4.345307</v>
      </c>
      <c r="E7935">
        <v>0.54127499999999995</v>
      </c>
      <c r="F7935" t="s">
        <v>73</v>
      </c>
      <c r="G7935">
        <v>-424.52780000000001</v>
      </c>
      <c r="H7935" s="1">
        <v>-1.7147559999999999E-6</v>
      </c>
      <c r="I7935">
        <v>38.306339999999999</v>
      </c>
      <c r="J7935">
        <v>-422.15</v>
      </c>
      <c r="K7935">
        <v>1.1100639999999999</v>
      </c>
      <c r="L7935">
        <v>92.975369999999998</v>
      </c>
      <c r="M7935">
        <v>2.5174140000000001E-2</v>
      </c>
      <c r="N7935">
        <v>0</v>
      </c>
      <c r="O7935">
        <v>-0.99961750000000005</v>
      </c>
      <c r="P7935">
        <v>5.6955029999999997E-2</v>
      </c>
      <c r="Q7935">
        <v>5.9288399999999998E-2</v>
      </c>
      <c r="R7935">
        <v>-0.99661489999999997</v>
      </c>
      <c r="S7935">
        <v>-0.1308289</v>
      </c>
      <c r="T7935">
        <v>-6.1176300000000003E-2</v>
      </c>
      <c r="U7935">
        <v>-3.0214539999999999</v>
      </c>
      <c r="V7935">
        <v>-3.1814910000000002E-2</v>
      </c>
      <c r="W7935">
        <v>7.0745290000000002E-2</v>
      </c>
      <c r="X7935">
        <v>0.99698690000000001</v>
      </c>
      <c r="Y7935">
        <v>6.8389110000000003E-2</v>
      </c>
      <c r="Z7935">
        <v>2.0200369999999999E-2</v>
      </c>
      <c r="AA7935">
        <v>0.99745419999999996</v>
      </c>
      <c r="AB7935">
        <v>28</v>
      </c>
      <c r="AC7935">
        <v>-2.3778000000000299</v>
      </c>
      <c r="AD7935">
        <v>-1.110065714756</v>
      </c>
      <c r="AE7935">
        <v>-54.6690299999999</v>
      </c>
      <c r="AF7935">
        <v>3.7518384125779098</v>
      </c>
      <c r="AG7935">
        <v>-1.110065714756</v>
      </c>
      <c r="AH7935">
        <v>54.569382543528398</v>
      </c>
      <c r="AI7935">
        <v>91.162622228877296</v>
      </c>
      <c r="AJ7935">
        <v>86.066901659404095</v>
      </c>
      <c r="AK7935">
        <v>54.709469459565398</v>
      </c>
      <c r="AL7935">
        <v>85.943204603867201</v>
      </c>
      <c r="AM7935">
        <v>91.827748887449005</v>
      </c>
      <c r="AN7935">
        <v>0.99999998166355097</v>
      </c>
    </row>
    <row r="7936" spans="1:40" x14ac:dyDescent="0.25">
      <c r="A7936" t="str">
        <f>"20190312150847373"</f>
        <v>20190312150847373</v>
      </c>
      <c r="B7936" t="str">
        <f>"1552374527368101"</f>
        <v>1552374527368101</v>
      </c>
      <c r="C7936" t="s">
        <v>40</v>
      </c>
      <c r="D7936">
        <v>4.3623940000000001</v>
      </c>
      <c r="E7936">
        <v>0.54162069999999995</v>
      </c>
      <c r="F7936" t="s">
        <v>42</v>
      </c>
      <c r="G7936">
        <v>-423.7919</v>
      </c>
      <c r="H7936" s="1">
        <v>-1.095947E-6</v>
      </c>
      <c r="I7936">
        <v>59.7919699999999</v>
      </c>
      <c r="J7936">
        <v>-422.14609999999999</v>
      </c>
      <c r="K7936">
        <v>1.1100369999999999</v>
      </c>
      <c r="L7936">
        <v>92.812470000000005</v>
      </c>
      <c r="M7936">
        <v>2.5005200000000002E-2</v>
      </c>
      <c r="N7936">
        <v>0</v>
      </c>
      <c r="O7936">
        <v>-0.99962139999999999</v>
      </c>
      <c r="P7936">
        <v>5.6412169999999998E-2</v>
      </c>
      <c r="Q7936">
        <v>5.9129099999999997E-2</v>
      </c>
      <c r="R7936">
        <v>-0.99665510000000002</v>
      </c>
      <c r="S7936">
        <v>-0.14965819999999999</v>
      </c>
      <c r="T7936">
        <v>-0.1011852</v>
      </c>
      <c r="U7936">
        <v>-3.02475</v>
      </c>
      <c r="V7936">
        <v>-3.1435390000000001E-2</v>
      </c>
      <c r="W7936">
        <v>7.0598300000000003E-2</v>
      </c>
      <c r="X7936">
        <v>0.99700940000000005</v>
      </c>
      <c r="Y7936">
        <v>7.4350760000000002E-2</v>
      </c>
      <c r="Z7936">
        <v>3.3351390000000002E-2</v>
      </c>
      <c r="AA7936">
        <v>0.99667430000000001</v>
      </c>
      <c r="AB7936">
        <v>28</v>
      </c>
      <c r="AC7936">
        <v>-1.6457999999999999</v>
      </c>
      <c r="AD7936">
        <v>-1.110038095947</v>
      </c>
      <c r="AE7936">
        <v>-33.020499999999998</v>
      </c>
      <c r="AF7936">
        <v>2.4682415545871201</v>
      </c>
      <c r="AG7936">
        <v>-1.110038095947</v>
      </c>
      <c r="AH7936">
        <v>32.9318941629191</v>
      </c>
      <c r="AI7936">
        <v>91.925147098154895</v>
      </c>
      <c r="AJ7936">
        <v>85.713702216254902</v>
      </c>
      <c r="AK7936">
        <v>33.042912312687498</v>
      </c>
      <c r="AL7936">
        <v>85.951647791843101</v>
      </c>
      <c r="AM7936">
        <v>91.805919470791494</v>
      </c>
      <c r="AN7936">
        <v>1.0000000236978499</v>
      </c>
    </row>
    <row r="7937" spans="1:40" x14ac:dyDescent="0.25">
      <c r="A7937" t="str">
        <f>"20190312150847388"</f>
        <v>20190312150847388</v>
      </c>
      <c r="B7937" t="str">
        <f>"1552374527377860"</f>
        <v>1552374527377860</v>
      </c>
      <c r="C7937" t="s">
        <v>40</v>
      </c>
      <c r="D7937">
        <v>4.6137689999999996</v>
      </c>
      <c r="E7937">
        <v>0.54189889999999996</v>
      </c>
      <c r="F7937" t="s">
        <v>42</v>
      </c>
      <c r="G7937">
        <v>-423.66120000000001</v>
      </c>
      <c r="H7937" s="1">
        <v>-2.4462910000000002E-6</v>
      </c>
      <c r="I7937">
        <v>63.020690000000002</v>
      </c>
      <c r="J7937">
        <v>-422.14159999999998</v>
      </c>
      <c r="K7937">
        <v>1.1100049999999999</v>
      </c>
      <c r="L7937">
        <v>92.623750000000001</v>
      </c>
      <c r="M7937">
        <v>2.479054E-2</v>
      </c>
      <c r="N7937">
        <v>0</v>
      </c>
      <c r="O7937">
        <v>-0.99962669999999998</v>
      </c>
      <c r="P7937">
        <v>5.6179239999999998E-2</v>
      </c>
      <c r="Q7937">
        <v>5.8949469999999997E-2</v>
      </c>
      <c r="R7937">
        <v>-0.99667910000000004</v>
      </c>
      <c r="S7937">
        <v>-0.1538696</v>
      </c>
      <c r="T7937">
        <v>-0.1127292</v>
      </c>
      <c r="U7937">
        <v>-3.0254819999999998</v>
      </c>
      <c r="V7937">
        <v>-3.1410569999999999E-2</v>
      </c>
      <c r="W7937">
        <v>7.0431339999999995E-2</v>
      </c>
      <c r="X7937">
        <v>0.99702199999999996</v>
      </c>
      <c r="Y7937">
        <v>7.5501730000000003E-2</v>
      </c>
      <c r="Z7937">
        <v>3.7139789999999999E-2</v>
      </c>
      <c r="AA7937">
        <v>0.99645379999999995</v>
      </c>
      <c r="AB7937">
        <v>28</v>
      </c>
      <c r="AC7937">
        <v>-1.51960000000002</v>
      </c>
      <c r="AD7937">
        <v>-1.1100074462909999</v>
      </c>
      <c r="AE7937">
        <v>-29.603059999999999</v>
      </c>
      <c r="AF7937">
        <v>2.2499021590954298</v>
      </c>
      <c r="AG7937">
        <v>-1.1100074462909999</v>
      </c>
      <c r="AH7937">
        <v>29.514898380151202</v>
      </c>
      <c r="AI7937">
        <v>92.147561515049304</v>
      </c>
      <c r="AJ7937">
        <v>85.640809314591095</v>
      </c>
      <c r="AK7937">
        <v>29.621333573068199</v>
      </c>
      <c r="AL7937">
        <v>85.961237804718195</v>
      </c>
      <c r="AM7937">
        <v>91.804471749880307</v>
      </c>
      <c r="AN7937">
        <v>1.0000000330229499</v>
      </c>
    </row>
    <row r="7938" spans="1:40" x14ac:dyDescent="0.25">
      <c r="A7938" t="str">
        <f>"20190312150847403"</f>
        <v>20190312150847403</v>
      </c>
      <c r="B7938" t="str">
        <f>"1552374527397380"</f>
        <v>1552374527397380</v>
      </c>
      <c r="C7938" t="s">
        <v>40</v>
      </c>
      <c r="D7938">
        <v>4.3302500000000004</v>
      </c>
      <c r="E7938">
        <v>0.54214790000000002</v>
      </c>
      <c r="F7938" t="s">
        <v>42</v>
      </c>
      <c r="G7938">
        <v>-423.70830000000001</v>
      </c>
      <c r="H7938" s="1">
        <v>-2.2080310000000001E-6</v>
      </c>
      <c r="I7938">
        <v>62.436129999999999</v>
      </c>
      <c r="J7938">
        <v>-422.13709999999998</v>
      </c>
      <c r="K7938">
        <v>1.10997099999999</v>
      </c>
      <c r="L7938">
        <v>92.435149999999993</v>
      </c>
      <c r="M7938">
        <v>2.4550829999999999E-2</v>
      </c>
      <c r="N7938">
        <v>0</v>
      </c>
      <c r="O7938">
        <v>-0.99963239999999998</v>
      </c>
      <c r="P7938">
        <v>5.5316549999999999E-2</v>
      </c>
      <c r="Q7938">
        <v>5.8669319999999997E-2</v>
      </c>
      <c r="R7938">
        <v>-0.99674390000000002</v>
      </c>
      <c r="S7938">
        <v>-0.15701289999999901</v>
      </c>
      <c r="T7938">
        <v>-0.1112455</v>
      </c>
      <c r="U7938">
        <v>-3.0254210000000001</v>
      </c>
      <c r="V7938">
        <v>-3.0780729999999999E-2</v>
      </c>
      <c r="W7938">
        <v>7.0163550000000005E-2</v>
      </c>
      <c r="X7938">
        <v>0.99706050000000002</v>
      </c>
      <c r="Y7938">
        <v>7.6297100000000007E-2</v>
      </c>
      <c r="Z7938">
        <v>3.6650620000000002E-2</v>
      </c>
      <c r="AA7938">
        <v>0.9964113</v>
      </c>
      <c r="AB7938">
        <v>28</v>
      </c>
      <c r="AC7938">
        <v>-1.5712000000000299</v>
      </c>
      <c r="AD7938">
        <v>-1.1099732080310001</v>
      </c>
      <c r="AE7938">
        <v>-29.999019999999899</v>
      </c>
      <c r="AF7938">
        <v>2.3041301447026998</v>
      </c>
      <c r="AG7938">
        <v>-1.1099732080310001</v>
      </c>
      <c r="AH7938">
        <v>29.9105635302213</v>
      </c>
      <c r="AI7938">
        <v>92.118983971668698</v>
      </c>
      <c r="AJ7938">
        <v>85.594977052132194</v>
      </c>
      <c r="AK7938">
        <v>30.0197079756229</v>
      </c>
      <c r="AL7938">
        <v>85.976618995893901</v>
      </c>
      <c r="AM7938">
        <v>91.768243724844893</v>
      </c>
      <c r="AN7938">
        <v>1.0000000088740899</v>
      </c>
    </row>
    <row r="7939" spans="1:40" x14ac:dyDescent="0.25">
      <c r="A7939" t="str">
        <f>"20190312150847422"</f>
        <v>20190312150847422</v>
      </c>
      <c r="B7939" t="str">
        <f>"1552374527417875"</f>
        <v>1552374527417875</v>
      </c>
      <c r="C7939" t="s">
        <v>40</v>
      </c>
      <c r="D7939">
        <v>4.3667629999999997</v>
      </c>
      <c r="E7939">
        <v>0.54248229999999997</v>
      </c>
      <c r="F7939" t="s">
        <v>42</v>
      </c>
      <c r="G7939">
        <v>-423.75639999999999</v>
      </c>
      <c r="H7939" s="1">
        <v>-2.1019020000000002E-6</v>
      </c>
      <c r="I7939">
        <v>62.158869999999901</v>
      </c>
      <c r="J7939">
        <v>-422.13150000000002</v>
      </c>
      <c r="K7939">
        <v>1.109936</v>
      </c>
      <c r="L7939">
        <v>92.194919999999996</v>
      </c>
      <c r="M7939">
        <v>2.4206169999999999E-2</v>
      </c>
      <c r="N7939">
        <v>0</v>
      </c>
      <c r="O7939">
        <v>-0.99964090000000005</v>
      </c>
      <c r="P7939">
        <v>5.5045740000000003E-2</v>
      </c>
      <c r="Q7939">
        <v>5.847538E-2</v>
      </c>
      <c r="R7939">
        <v>-0.9967703</v>
      </c>
      <c r="S7939">
        <v>-0.16180420000000001</v>
      </c>
      <c r="T7939">
        <v>-0.11091189999999999</v>
      </c>
      <c r="U7939">
        <v>-3.025299</v>
      </c>
      <c r="V7939">
        <v>-3.0847690000000001E-2</v>
      </c>
      <c r="W7939">
        <v>6.9983290000000004E-2</v>
      </c>
      <c r="X7939">
        <v>0.99707109999999999</v>
      </c>
      <c r="Y7939">
        <v>7.7529269999999997E-2</v>
      </c>
      <c r="Z7939">
        <v>3.6539540000000002E-2</v>
      </c>
      <c r="AA7939">
        <v>0.99632019999999999</v>
      </c>
      <c r="AB7939">
        <v>28</v>
      </c>
      <c r="AC7939">
        <v>-1.62489999999996</v>
      </c>
      <c r="AD7939">
        <v>-1.109938101902</v>
      </c>
      <c r="AE7939">
        <v>-30.036049999999999</v>
      </c>
      <c r="AF7939">
        <v>2.3483321537405999</v>
      </c>
      <c r="AG7939">
        <v>-1.109938101902</v>
      </c>
      <c r="AH7939">
        <v>29.947137319777902</v>
      </c>
      <c r="AI7939">
        <v>92.1161058487736</v>
      </c>
      <c r="AJ7939">
        <v>85.516274268663295</v>
      </c>
      <c r="AK7939">
        <v>30.0595685289057</v>
      </c>
      <c r="AL7939">
        <v>85.986972586986298</v>
      </c>
      <c r="AM7939">
        <v>91.772069062007901</v>
      </c>
      <c r="AN7939">
        <v>1.0000000096563799</v>
      </c>
    </row>
    <row r="7940" spans="1:40" x14ac:dyDescent="0.25">
      <c r="A7940" t="str">
        <f>"20190312150847445"</f>
        <v>20190312150847445</v>
      </c>
      <c r="B7940" t="str">
        <f>"1552374527438376"</f>
        <v>1552374527438376</v>
      </c>
      <c r="C7940" t="s">
        <v>40</v>
      </c>
      <c r="D7940">
        <v>4.3665180000000001</v>
      </c>
      <c r="E7940">
        <v>0.54276239999999998</v>
      </c>
      <c r="F7940" t="s">
        <v>42</v>
      </c>
      <c r="G7940">
        <v>-423.64980000000003</v>
      </c>
      <c r="H7940" s="1">
        <v>-3.0080159999999998E-6</v>
      </c>
      <c r="I7940">
        <v>64.337140000000005</v>
      </c>
      <c r="J7940">
        <v>-422.12520000000001</v>
      </c>
      <c r="K7940">
        <v>1.1098969999999999</v>
      </c>
      <c r="L7940">
        <v>91.915769999999995</v>
      </c>
      <c r="M7940">
        <v>2.3756929999999999E-2</v>
      </c>
      <c r="N7940">
        <v>0</v>
      </c>
      <c r="O7940">
        <v>-0.99965170000000003</v>
      </c>
      <c r="P7940">
        <v>5.437591E-2</v>
      </c>
      <c r="Q7940">
        <v>5.8309729999999997E-2</v>
      </c>
      <c r="R7940">
        <v>-0.99681690000000001</v>
      </c>
      <c r="S7940">
        <v>-0.16491700000000001</v>
      </c>
      <c r="T7940">
        <v>-0.1205615</v>
      </c>
      <c r="U7940">
        <v>-3.025909</v>
      </c>
      <c r="V7940">
        <v>-3.0618380000000001E-2</v>
      </c>
      <c r="W7940">
        <v>6.9832500000000006E-2</v>
      </c>
      <c r="X7940">
        <v>0.99708869999999905</v>
      </c>
      <c r="Y7940">
        <v>7.8085840000000004E-2</v>
      </c>
      <c r="Z7940">
        <v>3.9704429999999999E-2</v>
      </c>
      <c r="AA7940">
        <v>0.99615569999999998</v>
      </c>
      <c r="AB7940">
        <v>28</v>
      </c>
      <c r="AC7940">
        <v>-1.5246000000000199</v>
      </c>
      <c r="AD7940">
        <v>-1.109900008016</v>
      </c>
      <c r="AE7940">
        <v>-27.578629999999901</v>
      </c>
      <c r="AF7940">
        <v>2.1758830629202501</v>
      </c>
      <c r="AG7940">
        <v>-1.109900008016</v>
      </c>
      <c r="AH7940">
        <v>27.4902340708263</v>
      </c>
      <c r="AI7940">
        <v>92.304822798713403</v>
      </c>
      <c r="AJ7940">
        <v>85.474409420522505</v>
      </c>
      <c r="AK7940">
        <v>27.598538265642201</v>
      </c>
      <c r="AL7940">
        <v>85.995633245401095</v>
      </c>
      <c r="AM7940">
        <v>91.758873452245496</v>
      </c>
      <c r="AN7940">
        <v>0.99999996945888103</v>
      </c>
    </row>
    <row r="7941" spans="1:40" x14ac:dyDescent="0.25">
      <c r="A7941" t="str">
        <f>"20190312150847457"</f>
        <v>20190312150847457</v>
      </c>
      <c r="B7941" t="str">
        <f>"1552374527448131"</f>
        <v>1552374527448131</v>
      </c>
      <c r="C7941" t="s">
        <v>40</v>
      </c>
      <c r="D7941">
        <v>4.3724059999999998</v>
      </c>
      <c r="E7941">
        <v>0.54271840000000005</v>
      </c>
      <c r="F7941" t="s">
        <v>42</v>
      </c>
      <c r="G7941">
        <v>-423.58519999999999</v>
      </c>
      <c r="H7941" s="1">
        <v>-3.5866699999999999E-6</v>
      </c>
      <c r="I7941">
        <v>65.726079999999996</v>
      </c>
      <c r="J7941">
        <v>-422.12139999999999</v>
      </c>
      <c r="K7941">
        <v>1.109872</v>
      </c>
      <c r="L7941">
        <v>91.738770000000002</v>
      </c>
      <c r="M7941">
        <v>2.343713E-2</v>
      </c>
      <c r="N7941">
        <v>0</v>
      </c>
      <c r="O7941">
        <v>-0.99965890000000002</v>
      </c>
      <c r="P7941">
        <v>5.4229529999999998E-2</v>
      </c>
      <c r="Q7941">
        <v>5.8216339999999998E-2</v>
      </c>
      <c r="R7941">
        <v>-0.99683010000000005</v>
      </c>
      <c r="S7941">
        <v>-0.1687012</v>
      </c>
      <c r="T7941">
        <v>-0.12825139999999999</v>
      </c>
      <c r="U7941">
        <v>-3.0262760000000002</v>
      </c>
      <c r="V7941">
        <v>-3.0786870000000001E-2</v>
      </c>
      <c r="W7941">
        <v>6.974735E-2</v>
      </c>
      <c r="X7941">
        <v>0.99708949999999996</v>
      </c>
      <c r="Y7941">
        <v>7.8996440000000001E-2</v>
      </c>
      <c r="Z7941">
        <v>4.2224959999999999E-2</v>
      </c>
      <c r="AA7941">
        <v>0.99598019999999998</v>
      </c>
      <c r="AB7941">
        <v>28</v>
      </c>
      <c r="AC7941">
        <v>-1.46379999999999</v>
      </c>
      <c r="AD7941">
        <v>-1.1098755866700001</v>
      </c>
      <c r="AE7941">
        <v>-26.0126899999999</v>
      </c>
      <c r="AF7941">
        <v>2.0693458940984901</v>
      </c>
      <c r="AG7941">
        <v>-1.1098755866700001</v>
      </c>
      <c r="AH7941">
        <v>25.924189503163699</v>
      </c>
      <c r="AI7941">
        <v>92.4437067189223</v>
      </c>
      <c r="AJ7941">
        <v>85.436157246342702</v>
      </c>
      <c r="AK7941">
        <v>26.0303211206326</v>
      </c>
      <c r="AL7941">
        <v>86.000524018770307</v>
      </c>
      <c r="AM7941">
        <v>91.768544815734103</v>
      </c>
      <c r="AN7941">
        <v>0.99999999760333402</v>
      </c>
    </row>
    <row r="7942" spans="1:40" x14ac:dyDescent="0.25">
      <c r="A7942" t="str">
        <f>"20190312150847477"</f>
        <v>20190312150847477</v>
      </c>
      <c r="B7942" t="str">
        <f>"1552374527467651"</f>
        <v>1552374527467651</v>
      </c>
      <c r="C7942" t="s">
        <v>40</v>
      </c>
      <c r="D7942">
        <v>4.395092</v>
      </c>
      <c r="E7942">
        <v>0.54289969999999999</v>
      </c>
      <c r="F7942" t="s">
        <v>42</v>
      </c>
      <c r="G7942">
        <v>-423.54939999999999</v>
      </c>
      <c r="H7942" s="1">
        <v>-3.7628849999999998E-6</v>
      </c>
      <c r="I7942">
        <v>66.194050000000004</v>
      </c>
      <c r="J7942">
        <v>-422.11630000000002</v>
      </c>
      <c r="K7942">
        <v>1.1098429999999999</v>
      </c>
      <c r="L7942">
        <v>91.502870000000001</v>
      </c>
      <c r="M7942">
        <v>2.2988939999999999E-2</v>
      </c>
      <c r="N7942">
        <v>0</v>
      </c>
      <c r="O7942">
        <v>-0.99966920000000004</v>
      </c>
      <c r="P7942">
        <v>5.438494E-2</v>
      </c>
      <c r="Q7942">
        <v>5.8230150000000001E-2</v>
      </c>
      <c r="R7942">
        <v>-0.99682090000000001</v>
      </c>
      <c r="S7942">
        <v>-0.16918949999999999</v>
      </c>
      <c r="T7942">
        <v>-0.1314932</v>
      </c>
      <c r="U7942">
        <v>-3.0264280000000001</v>
      </c>
      <c r="V7942">
        <v>-3.138444E-2</v>
      </c>
      <c r="W7942">
        <v>6.9772559999999997E-2</v>
      </c>
      <c r="X7942">
        <v>0.99706910000000004</v>
      </c>
      <c r="Y7942">
        <v>7.8704360000000001E-2</v>
      </c>
      <c r="Z7942">
        <v>4.3289090000000002E-2</v>
      </c>
      <c r="AA7942">
        <v>0.99595769999999995</v>
      </c>
      <c r="AB7942">
        <v>28</v>
      </c>
      <c r="AC7942">
        <v>-1.4330999999999601</v>
      </c>
      <c r="AD7942">
        <v>-1.1098467628849999</v>
      </c>
      <c r="AE7942">
        <v>-25.308820000000001</v>
      </c>
      <c r="AF7942">
        <v>2.0107285492086602</v>
      </c>
      <c r="AG7942">
        <v>-1.1098467628849999</v>
      </c>
      <c r="AH7942">
        <v>25.220837847470499</v>
      </c>
      <c r="AI7942">
        <v>92.511724383379402</v>
      </c>
      <c r="AJ7942">
        <v>85.441741425816801</v>
      </c>
      <c r="AK7942">
        <v>25.325193994599299</v>
      </c>
      <c r="AL7942">
        <v>85.999076040967793</v>
      </c>
      <c r="AM7942">
        <v>91.802886513661306</v>
      </c>
      <c r="AN7942">
        <v>0.99999999168893805</v>
      </c>
    </row>
    <row r="7943" spans="1:40" x14ac:dyDescent="0.25">
      <c r="A7943" t="str">
        <f>"20190312150847492"</f>
        <v>20190312150847492</v>
      </c>
      <c r="B7943" t="str">
        <f>"1552374527488148"</f>
        <v>1552374527488148</v>
      </c>
      <c r="C7943" t="s">
        <v>40</v>
      </c>
      <c r="D7943">
        <v>4.5967729999999998</v>
      </c>
      <c r="E7943">
        <v>0.54296849999999997</v>
      </c>
      <c r="F7943" t="s">
        <v>42</v>
      </c>
      <c r="G7943">
        <v>-423.51490000000001</v>
      </c>
      <c r="H7943" s="1">
        <v>-3.9039580000000003E-6</v>
      </c>
      <c r="I7943">
        <v>66.626619999999903</v>
      </c>
      <c r="J7943">
        <v>-422.11250000000001</v>
      </c>
      <c r="K7943">
        <v>1.109818</v>
      </c>
      <c r="L7943">
        <v>91.322109999999995</v>
      </c>
      <c r="M7943">
        <v>2.2622110000000001E-2</v>
      </c>
      <c r="N7943">
        <v>0</v>
      </c>
      <c r="O7943">
        <v>-0.9996777</v>
      </c>
      <c r="P7943">
        <v>5.4478430000000001E-2</v>
      </c>
      <c r="Q7943">
        <v>5.8297290000000002E-2</v>
      </c>
      <c r="R7943">
        <v>-0.99681200000000003</v>
      </c>
      <c r="S7943">
        <v>-0.17016600000000001</v>
      </c>
      <c r="T7943">
        <v>-0.13503679999999901</v>
      </c>
      <c r="U7943">
        <v>-3.0267330000000001</v>
      </c>
      <c r="V7943">
        <v>-3.1840220000000002E-2</v>
      </c>
      <c r="W7943">
        <v>6.9847240000000005E-2</v>
      </c>
      <c r="X7943">
        <v>0.99704950000000003</v>
      </c>
      <c r="Y7943">
        <v>7.8650419999999999E-2</v>
      </c>
      <c r="Z7943">
        <v>4.444919E-2</v>
      </c>
      <c r="AA7943">
        <v>0.99591079999999998</v>
      </c>
      <c r="AB7943">
        <v>28</v>
      </c>
      <c r="AC7943">
        <v>-1.4024000000000001</v>
      </c>
      <c r="AD7943">
        <v>-1.109821903958</v>
      </c>
      <c r="AE7943">
        <v>-24.695489999999999</v>
      </c>
      <c r="AF7943">
        <v>1.9568029234179001</v>
      </c>
      <c r="AG7943">
        <v>-1.109821903958</v>
      </c>
      <c r="AH7943">
        <v>24.607902875911702</v>
      </c>
      <c r="AI7943">
        <v>92.574187651944001</v>
      </c>
      <c r="AJ7943">
        <v>85.453447382384795</v>
      </c>
      <c r="AK7943">
        <v>24.710517321373601</v>
      </c>
      <c r="AL7943">
        <v>85.994787045701401</v>
      </c>
      <c r="AM7943">
        <v>91.829087176567199</v>
      </c>
      <c r="AN7943">
        <v>1.0000000709977499</v>
      </c>
    </row>
    <row r="7944" spans="1:40" x14ac:dyDescent="0.25">
      <c r="A7944" t="str">
        <f>"20190312150847507"</f>
        <v>20190312150847507</v>
      </c>
      <c r="B7944" t="str">
        <f>"1552374527497907"</f>
        <v>1552374527497907</v>
      </c>
      <c r="C7944" t="s">
        <v>40</v>
      </c>
      <c r="D7944">
        <v>4.4423029999999999</v>
      </c>
      <c r="E7944">
        <v>0.54301069999999996</v>
      </c>
      <c r="F7944" t="s">
        <v>42</v>
      </c>
      <c r="G7944">
        <v>-423.52600000000001</v>
      </c>
      <c r="H7944" s="1">
        <v>-3.77223E-6</v>
      </c>
      <c r="I7944">
        <v>66.233729999999994</v>
      </c>
      <c r="J7944">
        <v>-422.10860000000002</v>
      </c>
      <c r="K7944">
        <v>1.1097889999999999</v>
      </c>
      <c r="L7944">
        <v>91.129519999999999</v>
      </c>
      <c r="M7944">
        <v>2.220867E-2</v>
      </c>
      <c r="N7944">
        <v>0</v>
      </c>
      <c r="O7944">
        <v>-0.99968699999999999</v>
      </c>
      <c r="P7944">
        <v>5.4213549999999999E-2</v>
      </c>
      <c r="Q7944">
        <v>5.80648E-2</v>
      </c>
      <c r="R7944">
        <v>-0.99684019999999995</v>
      </c>
      <c r="S7944">
        <v>-0.17053219999999999</v>
      </c>
      <c r="T7944">
        <v>-0.1338934</v>
      </c>
      <c r="U7944">
        <v>-3.026764</v>
      </c>
      <c r="V7944">
        <v>-3.1982869999999997E-2</v>
      </c>
      <c r="W7944">
        <v>6.9623199999999996E-2</v>
      </c>
      <c r="X7944">
        <v>0.99706050000000002</v>
      </c>
      <c r="Y7944">
        <v>7.8358639999999993E-2</v>
      </c>
      <c r="Z7944">
        <v>4.4074080000000002E-2</v>
      </c>
      <c r="AA7944">
        <v>0.99595049999999996</v>
      </c>
      <c r="AB7944">
        <v>28</v>
      </c>
      <c r="AC7944">
        <v>-1.41739999999998</v>
      </c>
      <c r="AD7944">
        <v>-1.1097927722299901</v>
      </c>
      <c r="AE7944">
        <v>-24.895789999999899</v>
      </c>
      <c r="AF7944">
        <v>1.96609511414646</v>
      </c>
      <c r="AG7944">
        <v>-1.1097927722299901</v>
      </c>
      <c r="AH7944">
        <v>24.809028031557599</v>
      </c>
      <c r="AI7944">
        <v>92.553334013847405</v>
      </c>
      <c r="AJ7944">
        <v>85.468826563119805</v>
      </c>
      <c r="AK7944">
        <v>24.911544349272599</v>
      </c>
      <c r="AL7944">
        <v>86.007654502978298</v>
      </c>
      <c r="AM7944">
        <v>91.837255961576005</v>
      </c>
      <c r="AN7944">
        <v>0.99999996730596197</v>
      </c>
    </row>
    <row r="7945" spans="1:40" x14ac:dyDescent="0.25">
      <c r="A7945" t="str">
        <f>"20190312150847522"</f>
        <v>20190312150847522</v>
      </c>
      <c r="B7945" t="str">
        <f>"1552374527517428"</f>
        <v>1552374527517428</v>
      </c>
      <c r="C7945" t="s">
        <v>40</v>
      </c>
      <c r="D7945">
        <v>4.3449289999999996</v>
      </c>
      <c r="E7945">
        <v>0.54312769999999899</v>
      </c>
      <c r="F7945" t="s">
        <v>42</v>
      </c>
      <c r="G7945">
        <v>-423.53879999999998</v>
      </c>
      <c r="H7945" s="1">
        <v>-3.6558190000000001E-6</v>
      </c>
      <c r="I7945">
        <v>65.916019999999904</v>
      </c>
      <c r="J7945">
        <v>-422.1046</v>
      </c>
      <c r="K7945">
        <v>1.109758</v>
      </c>
      <c r="L7945">
        <v>90.929199999999994</v>
      </c>
      <c r="M7945">
        <v>2.1745839999999999E-2</v>
      </c>
      <c r="N7945">
        <v>0</v>
      </c>
      <c r="O7945">
        <v>-0.9996969</v>
      </c>
      <c r="P7945">
        <v>5.4301290000000002E-2</v>
      </c>
      <c r="Q7945">
        <v>5.803287E-2</v>
      </c>
      <c r="R7945">
        <v>-0.99683699999999997</v>
      </c>
      <c r="S7945">
        <v>-0.17169189999999901</v>
      </c>
      <c r="T7945">
        <v>-0.1332187</v>
      </c>
      <c r="U7945">
        <v>-3.0266109999999999</v>
      </c>
      <c r="V7945">
        <v>-3.2527299999999898E-2</v>
      </c>
      <c r="W7945">
        <v>6.9599889999999998E-2</v>
      </c>
      <c r="X7945">
        <v>0.99704459999999995</v>
      </c>
      <c r="Y7945">
        <v>7.8280840000000004E-2</v>
      </c>
      <c r="Z7945">
        <v>4.3854959999999998E-2</v>
      </c>
      <c r="AA7945">
        <v>0.99596629999999997</v>
      </c>
      <c r="AB7945">
        <v>28</v>
      </c>
      <c r="AC7945">
        <v>-1.4341999999999699</v>
      </c>
      <c r="AD7945">
        <v>-1.109761655819</v>
      </c>
      <c r="AE7945">
        <v>-25.013179999999998</v>
      </c>
      <c r="AF7945">
        <v>1.9739567804226199</v>
      </c>
      <c r="AG7945">
        <v>-1.109761655819</v>
      </c>
      <c r="AH7945">
        <v>24.927167632489201</v>
      </c>
      <c r="AI7945">
        <v>92.541189537506398</v>
      </c>
      <c r="AJ7945">
        <v>85.472254679802205</v>
      </c>
      <c r="AK7945">
        <v>25.029817468010499</v>
      </c>
      <c r="AL7945">
        <v>86.008993654575093</v>
      </c>
      <c r="AM7945">
        <v>91.868538534898704</v>
      </c>
      <c r="AN7945">
        <v>1.00000005216122</v>
      </c>
    </row>
    <row r="7946" spans="1:40" x14ac:dyDescent="0.25">
      <c r="A7946" t="str">
        <f>"20190312150847545"</f>
        <v>20190312150847545</v>
      </c>
      <c r="B7946" t="str">
        <f>"1552374527537923"</f>
        <v>1552374527537923</v>
      </c>
      <c r="C7946" t="s">
        <v>40</v>
      </c>
      <c r="D7946">
        <v>4.6391640000000001</v>
      </c>
      <c r="E7946">
        <v>0.54324759999999905</v>
      </c>
      <c r="F7946" t="s">
        <v>42</v>
      </c>
      <c r="G7946">
        <v>-423.56540000000001</v>
      </c>
      <c r="H7946" s="1">
        <v>-3.3675310000000002E-6</v>
      </c>
      <c r="I7946">
        <v>65.227519999999998</v>
      </c>
      <c r="J7946">
        <v>-422.09910000000002</v>
      </c>
      <c r="K7946">
        <v>1.1097079999999999</v>
      </c>
      <c r="L7946">
        <v>90.642579999999995</v>
      </c>
      <c r="M7946">
        <v>2.1030030000000002E-2</v>
      </c>
      <c r="N7946">
        <v>0</v>
      </c>
      <c r="O7946">
        <v>-0.99971200000000005</v>
      </c>
      <c r="P7946">
        <v>5.4588619999999997E-2</v>
      </c>
      <c r="Q7946">
        <v>5.7856049999999999E-2</v>
      </c>
      <c r="R7946">
        <v>-0.99683140000000003</v>
      </c>
      <c r="S7946">
        <v>-0.1720276</v>
      </c>
      <c r="T7946">
        <v>-0.13068080000000001</v>
      </c>
      <c r="U7946">
        <v>-3.0265200000000001</v>
      </c>
      <c r="V7946">
        <v>-3.3521309999999999E-2</v>
      </c>
      <c r="W7946">
        <v>6.9435289999999997E-2</v>
      </c>
      <c r="X7946">
        <v>0.99702310000000005</v>
      </c>
      <c r="Y7946">
        <v>7.7680890000000002E-2</v>
      </c>
      <c r="Z7946">
        <v>4.3024229999999997E-2</v>
      </c>
      <c r="AA7946">
        <v>0.99604950000000003</v>
      </c>
      <c r="AB7946">
        <v>28</v>
      </c>
      <c r="AC7946">
        <v>-1.46629999999998</v>
      </c>
      <c r="AD7946">
        <v>-1.109711367531</v>
      </c>
      <c r="AE7946">
        <v>-25.41506</v>
      </c>
      <c r="AF7946">
        <v>1.9966967900177</v>
      </c>
      <c r="AG7946">
        <v>-1.109711367531</v>
      </c>
      <c r="AH7946">
        <v>25.3304677418536</v>
      </c>
      <c r="AI7946">
        <v>92.500739682773499</v>
      </c>
      <c r="AJ7946">
        <v>85.492928413091306</v>
      </c>
      <c r="AK7946">
        <v>25.433262736259</v>
      </c>
      <c r="AL7946">
        <v>86.018447201921404</v>
      </c>
      <c r="AM7946">
        <v>91.925638819204593</v>
      </c>
      <c r="AN7946">
        <v>0.99999999982755505</v>
      </c>
    </row>
    <row r="7947" spans="1:40" x14ac:dyDescent="0.25">
      <c r="A7947" t="str">
        <f>"20190312150847567"</f>
        <v>20190312150847567</v>
      </c>
      <c r="B7947" t="str">
        <f>"1552374527557444"</f>
        <v>1552374527557444</v>
      </c>
      <c r="C7947" t="s">
        <v>40</v>
      </c>
      <c r="D7947">
        <v>4.4082420000000004</v>
      </c>
      <c r="E7947">
        <v>0.54337259999999998</v>
      </c>
      <c r="F7947" t="s">
        <v>42</v>
      </c>
      <c r="G7947">
        <v>-423.55340000000001</v>
      </c>
      <c r="H7947" s="1">
        <v>-3.296604E-6</v>
      </c>
      <c r="I7947">
        <v>65.069630000000004</v>
      </c>
      <c r="J7947">
        <v>-422.09410000000003</v>
      </c>
      <c r="K7947">
        <v>1.109653</v>
      </c>
      <c r="L7947">
        <v>90.365480000000005</v>
      </c>
      <c r="M7947">
        <v>2.0268479999999998E-2</v>
      </c>
      <c r="N7947">
        <v>0</v>
      </c>
      <c r="O7947">
        <v>-0.9997277</v>
      </c>
      <c r="P7947">
        <v>5.4217460000000002E-2</v>
      </c>
      <c r="Q7947">
        <v>5.7747220000000002E-2</v>
      </c>
      <c r="R7947">
        <v>-0.99685820000000003</v>
      </c>
      <c r="S7947">
        <v>-0.1721191</v>
      </c>
      <c r="T7947">
        <v>-0.13133529999999999</v>
      </c>
      <c r="U7947">
        <v>-3.0265810000000002</v>
      </c>
      <c r="V7947">
        <v>-3.3900939999999997E-2</v>
      </c>
      <c r="W7947">
        <v>6.9337309999999999E-2</v>
      </c>
      <c r="X7947">
        <v>0.99701709999999999</v>
      </c>
      <c r="Y7947">
        <v>7.6949770000000001E-2</v>
      </c>
      <c r="Z7947">
        <v>4.3240630000000002E-2</v>
      </c>
      <c r="AA7947">
        <v>0.9960968</v>
      </c>
      <c r="AB7947">
        <v>28</v>
      </c>
      <c r="AC7947">
        <v>-1.4592999999999801</v>
      </c>
      <c r="AD7947">
        <v>-1.109656296604</v>
      </c>
      <c r="AE7947">
        <v>-25.295850000000002</v>
      </c>
      <c r="AF7947">
        <v>1.9679684430195501</v>
      </c>
      <c r="AG7947">
        <v>-1.109656296604</v>
      </c>
      <c r="AH7947">
        <v>25.212716564288499</v>
      </c>
      <c r="AI7947">
        <v>92.512430333736305</v>
      </c>
      <c r="AJ7947">
        <v>85.5368502564925</v>
      </c>
      <c r="AK7947">
        <v>25.313737642641101</v>
      </c>
      <c r="AL7947">
        <v>86.024074673548498</v>
      </c>
      <c r="AM7947">
        <v>91.9474417581784</v>
      </c>
      <c r="AN7947">
        <v>1.0000000169916601</v>
      </c>
    </row>
    <row r="7948" spans="1:40" x14ac:dyDescent="0.25">
      <c r="A7948" t="str">
        <f>"20190312150847589"</f>
        <v>20190312150847589</v>
      </c>
      <c r="B7948" t="str">
        <f>"1552374527577939"</f>
        <v>1552374527577939</v>
      </c>
      <c r="C7948" t="s">
        <v>40</v>
      </c>
      <c r="D7948">
        <v>4.3546360000000002</v>
      </c>
      <c r="E7948">
        <v>0.54348509999999906</v>
      </c>
      <c r="F7948" t="s">
        <v>42</v>
      </c>
      <c r="G7948">
        <v>-423.54180000000002</v>
      </c>
      <c r="H7948" s="1">
        <v>-3.3878310000000002E-6</v>
      </c>
      <c r="I7948">
        <v>65.289479999999998</v>
      </c>
      <c r="J7948">
        <v>-422.08929999999998</v>
      </c>
      <c r="K7948">
        <v>1.1095999999999999</v>
      </c>
      <c r="L7948">
        <v>90.083160000000007</v>
      </c>
      <c r="M7948">
        <v>1.9435729999999998E-2</v>
      </c>
      <c r="N7948">
        <v>0</v>
      </c>
      <c r="O7948">
        <v>-0.99974410000000002</v>
      </c>
      <c r="P7948">
        <v>5.3791369999999998E-2</v>
      </c>
      <c r="Q7948">
        <v>5.6985920000000002E-2</v>
      </c>
      <c r="R7948">
        <v>-0.9969249</v>
      </c>
      <c r="S7948">
        <v>-0.1747437</v>
      </c>
      <c r="T7948">
        <v>-0.13393820000000001</v>
      </c>
      <c r="U7948">
        <v>-3.0267330000000001</v>
      </c>
      <c r="V7948">
        <v>-3.4297300000000003E-2</v>
      </c>
      <c r="W7948">
        <v>6.8587599999999999E-2</v>
      </c>
      <c r="X7948">
        <v>0.99705540000000004</v>
      </c>
      <c r="Y7948">
        <v>7.6975169999999996E-2</v>
      </c>
      <c r="Z7948">
        <v>4.4093710000000001E-2</v>
      </c>
      <c r="AA7948">
        <v>0.99605750000000004</v>
      </c>
      <c r="AB7948">
        <v>28</v>
      </c>
      <c r="AC7948">
        <v>-1.4525000000000401</v>
      </c>
      <c r="AD7948">
        <v>-1.1096033878310001</v>
      </c>
      <c r="AE7948">
        <v>-24.793679999999899</v>
      </c>
      <c r="AF7948">
        <v>1.9302882542395801</v>
      </c>
      <c r="AG7948">
        <v>-1.1096033878310001</v>
      </c>
      <c r="AH7948">
        <v>24.7114391557527</v>
      </c>
      <c r="AI7948">
        <v>92.563194586208198</v>
      </c>
      <c r="AJ7948">
        <v>85.533516004069995</v>
      </c>
      <c r="AK7948">
        <v>24.811538798938098</v>
      </c>
      <c r="AL7948">
        <v>86.067132402814394</v>
      </c>
      <c r="AM7948">
        <v>91.970117222696999</v>
      </c>
      <c r="AN7948">
        <v>1.0000000171651</v>
      </c>
    </row>
    <row r="7949" spans="1:40" x14ac:dyDescent="0.25">
      <c r="A7949" t="str">
        <f>"20190312150847613"</f>
        <v>20190312150847613</v>
      </c>
      <c r="B7949" t="str">
        <f>"1552374527608195"</f>
        <v>1552374527608195</v>
      </c>
      <c r="C7949" t="s">
        <v>40</v>
      </c>
      <c r="D7949">
        <v>4.3828079999999998</v>
      </c>
      <c r="E7949">
        <v>0.54371759999999902</v>
      </c>
      <c r="F7949" t="s">
        <v>42</v>
      </c>
      <c r="G7949">
        <v>-423.55939999999998</v>
      </c>
      <c r="H7949" s="1">
        <v>-3.232656E-6</v>
      </c>
      <c r="I7949">
        <v>64.916889999999995</v>
      </c>
      <c r="J7949">
        <v>-422.0847</v>
      </c>
      <c r="K7949">
        <v>1.1095549999999901</v>
      </c>
      <c r="L7949">
        <v>89.794460000000001</v>
      </c>
      <c r="M7949">
        <v>1.8526020000000001E-2</v>
      </c>
      <c r="N7949">
        <v>0</v>
      </c>
      <c r="O7949">
        <v>-0.99976149999999997</v>
      </c>
      <c r="P7949">
        <v>5.2892599999999901E-2</v>
      </c>
      <c r="Q7949">
        <v>5.6891890000000001E-2</v>
      </c>
      <c r="R7949">
        <v>-0.99697880000000005</v>
      </c>
      <c r="S7949">
        <v>-0.17678829999999901</v>
      </c>
      <c r="T7949">
        <v>-0.1334379</v>
      </c>
      <c r="U7949">
        <v>-3.0264280000000001</v>
      </c>
      <c r="V7949">
        <v>-3.4298929999999998E-2</v>
      </c>
      <c r="W7949">
        <v>6.8502930000000004E-2</v>
      </c>
      <c r="X7949">
        <v>0.99706110000000003</v>
      </c>
      <c r="Y7949">
        <v>7.6744809999999997E-2</v>
      </c>
      <c r="Z7949">
        <v>4.3934399999999998E-2</v>
      </c>
      <c r="AA7949">
        <v>0.99608229999999998</v>
      </c>
      <c r="AB7949">
        <v>28</v>
      </c>
      <c r="AC7949">
        <v>-1.4746999999999799</v>
      </c>
      <c r="AD7949">
        <v>-1.1095582326559901</v>
      </c>
      <c r="AE7949">
        <v>-24.877569999999899</v>
      </c>
      <c r="AF7949">
        <v>1.9315312557865001</v>
      </c>
      <c r="AG7949">
        <v>-1.1095582326559901</v>
      </c>
      <c r="AH7949">
        <v>24.796823973212501</v>
      </c>
      <c r="AI7949">
        <v>92.554319721225696</v>
      </c>
      <c r="AJ7949">
        <v>85.545979099041006</v>
      </c>
      <c r="AK7949">
        <v>24.896674710133901</v>
      </c>
      <c r="AL7949">
        <v>86.071994819242093</v>
      </c>
      <c r="AM7949">
        <v>91.970199525497605</v>
      </c>
      <c r="AN7949">
        <v>0.99999995257546803</v>
      </c>
    </row>
    <row r="7950" spans="1:40" x14ac:dyDescent="0.25">
      <c r="A7950" t="str">
        <f>"20190312150847634"</f>
        <v>20190312150847634</v>
      </c>
      <c r="B7950" t="str">
        <f>"1552374527627715"</f>
        <v>1552374527627715</v>
      </c>
      <c r="C7950" t="s">
        <v>40</v>
      </c>
      <c r="D7950">
        <v>4.3965360000000002</v>
      </c>
      <c r="E7950">
        <v>0.54396140000000004</v>
      </c>
      <c r="F7950" t="s">
        <v>42</v>
      </c>
      <c r="G7950">
        <v>-423.60359999999997</v>
      </c>
      <c r="H7950" s="1">
        <v>-3.038731E-6</v>
      </c>
      <c r="I7950">
        <v>64.437419999999904</v>
      </c>
      <c r="J7950">
        <v>-422.0806</v>
      </c>
      <c r="K7950">
        <v>1.1095189999999999</v>
      </c>
      <c r="L7950">
        <v>89.519559999999998</v>
      </c>
      <c r="M7950">
        <v>1.7606259999999999E-2</v>
      </c>
      <c r="N7950">
        <v>0</v>
      </c>
      <c r="O7950">
        <v>-0.9997779</v>
      </c>
      <c r="P7950">
        <v>5.1549680000000001E-2</v>
      </c>
      <c r="Q7950">
        <v>5.640117E-2</v>
      </c>
      <c r="R7950">
        <v>-0.99707650000000003</v>
      </c>
      <c r="S7950">
        <v>-0.1812744</v>
      </c>
      <c r="T7950">
        <v>-0.13242200000000001</v>
      </c>
      <c r="U7950">
        <v>-3.0262760000000002</v>
      </c>
      <c r="V7950">
        <v>-3.3866439999999998E-2</v>
      </c>
      <c r="W7950">
        <v>6.8020540000000004E-2</v>
      </c>
      <c r="X7950">
        <v>0.99710889999999996</v>
      </c>
      <c r="Y7950">
        <v>7.7302770000000007E-2</v>
      </c>
      <c r="Z7950">
        <v>4.3601000000000001E-2</v>
      </c>
      <c r="AA7950">
        <v>0.99605379999999999</v>
      </c>
      <c r="AB7950">
        <v>28</v>
      </c>
      <c r="AC7950">
        <v>-1.5229999999999599</v>
      </c>
      <c r="AD7950">
        <v>-1.1095220387310001</v>
      </c>
      <c r="AE7950">
        <v>-25.082139999999999</v>
      </c>
      <c r="AF7950">
        <v>1.9605738810862601</v>
      </c>
      <c r="AG7950">
        <v>-1.1095220387310001</v>
      </c>
      <c r="AH7950">
        <v>25.0026904380316</v>
      </c>
      <c r="AI7950">
        <v>92.533130784181694</v>
      </c>
      <c r="AJ7950">
        <v>85.516353869374996</v>
      </c>
      <c r="AK7950">
        <v>25.103972160549901</v>
      </c>
      <c r="AL7950">
        <v>86.099698318515607</v>
      </c>
      <c r="AM7950">
        <v>91.945282453514395</v>
      </c>
      <c r="AN7950">
        <v>0.99999994403968595</v>
      </c>
    </row>
    <row r="7951" spans="1:40" x14ac:dyDescent="0.25">
      <c r="A7951" t="str">
        <f>"20190312150847648"</f>
        <v>20190312150847648</v>
      </c>
      <c r="B7951" t="str">
        <f>"1552374527637476"</f>
        <v>1552374527637476</v>
      </c>
      <c r="C7951" t="s">
        <v>40</v>
      </c>
      <c r="D7951">
        <v>4.3741209999999997</v>
      </c>
      <c r="E7951">
        <v>0.54403049999999997</v>
      </c>
      <c r="F7951" t="s">
        <v>42</v>
      </c>
      <c r="G7951">
        <v>-423.60509999999999</v>
      </c>
      <c r="H7951" s="1">
        <v>-3.21808E-6</v>
      </c>
      <c r="I7951">
        <v>64.854550000000003</v>
      </c>
      <c r="J7951">
        <v>-422.07810000000001</v>
      </c>
      <c r="K7951">
        <v>1.109494</v>
      </c>
      <c r="L7951">
        <v>89.342830000000006</v>
      </c>
      <c r="M7951">
        <v>1.6991180000000002E-2</v>
      </c>
      <c r="N7951">
        <v>0</v>
      </c>
      <c r="O7951">
        <v>-0.99978869999999997</v>
      </c>
      <c r="P7951">
        <v>5.0969069999999998E-2</v>
      </c>
      <c r="Q7951">
        <v>5.6410920000000003E-2</v>
      </c>
      <c r="R7951">
        <v>-0.9971061</v>
      </c>
      <c r="S7951">
        <v>-0.18704219999999999</v>
      </c>
      <c r="T7951">
        <v>-0.13612739999999901</v>
      </c>
      <c r="U7951">
        <v>-3.026154</v>
      </c>
      <c r="V7951">
        <v>-3.3894929999999997E-2</v>
      </c>
      <c r="W7951">
        <v>6.8035289999999998E-2</v>
      </c>
      <c r="X7951">
        <v>0.99710699999999997</v>
      </c>
      <c r="Y7951">
        <v>7.8579869999999996E-2</v>
      </c>
      <c r="Z7951">
        <v>4.481628E-2</v>
      </c>
      <c r="AA7951">
        <v>0.99590000000000001</v>
      </c>
      <c r="AB7951">
        <v>28</v>
      </c>
      <c r="AC7951">
        <v>-1.5269999999999799</v>
      </c>
      <c r="AD7951">
        <v>-1.10949721808</v>
      </c>
      <c r="AE7951">
        <v>-24.48828</v>
      </c>
      <c r="AF7951">
        <v>1.93892744019284</v>
      </c>
      <c r="AG7951">
        <v>-1.10949721808</v>
      </c>
      <c r="AH7951">
        <v>24.408885869557999</v>
      </c>
      <c r="AI7951">
        <v>92.594406616765397</v>
      </c>
      <c r="AJ7951">
        <v>85.458228725657406</v>
      </c>
      <c r="AK7951">
        <v>24.510898251356899</v>
      </c>
      <c r="AL7951">
        <v>86.0988515331873</v>
      </c>
      <c r="AM7951">
        <v>91.946921362333697</v>
      </c>
      <c r="AN7951">
        <v>1.0000000182070401</v>
      </c>
    </row>
    <row r="7952" spans="1:40" x14ac:dyDescent="0.25">
      <c r="A7952" t="str">
        <f>"20190312150847660"</f>
        <v>20190312150847660</v>
      </c>
      <c r="B7952" t="str">
        <f>"1552374527648212"</f>
        <v>1552374527648212</v>
      </c>
      <c r="C7952" t="s">
        <v>40</v>
      </c>
      <c r="D7952">
        <v>4.6536869999999997</v>
      </c>
      <c r="E7952">
        <v>0.54412320000000003</v>
      </c>
      <c r="F7952" t="s">
        <v>42</v>
      </c>
      <c r="G7952">
        <v>-423.61939999999998</v>
      </c>
      <c r="H7952" s="1">
        <v>-3.1609199999999998E-6</v>
      </c>
      <c r="I7952">
        <v>64.712479999999999</v>
      </c>
      <c r="J7952">
        <v>-422.07589999999999</v>
      </c>
      <c r="K7952">
        <v>1.1094729999999999</v>
      </c>
      <c r="L7952">
        <v>89.17801</v>
      </c>
      <c r="M7952">
        <v>1.6398429999999999E-2</v>
      </c>
      <c r="N7952">
        <v>0</v>
      </c>
      <c r="O7952">
        <v>-0.99979850000000003</v>
      </c>
      <c r="P7952">
        <v>5.0397949999999997E-2</v>
      </c>
      <c r="Q7952">
        <v>5.6162160000000003E-2</v>
      </c>
      <c r="R7952">
        <v>-0.99714919999999996</v>
      </c>
      <c r="S7952">
        <v>-0.18936159999999999</v>
      </c>
      <c r="T7952">
        <v>-0.13631309999999999</v>
      </c>
      <c r="U7952">
        <v>-3.0260929999999999</v>
      </c>
      <c r="V7952">
        <v>-3.3912150000000002E-2</v>
      </c>
      <c r="W7952">
        <v>6.7791710000000005E-2</v>
      </c>
      <c r="X7952">
        <v>0.99712299999999998</v>
      </c>
      <c r="Y7952">
        <v>7.8750269999999997E-2</v>
      </c>
      <c r="Z7952">
        <v>4.4877510000000002E-2</v>
      </c>
      <c r="AA7952">
        <v>0.99588370000000004</v>
      </c>
      <c r="AB7952">
        <v>28</v>
      </c>
      <c r="AC7952">
        <v>-1.5434999999999901</v>
      </c>
      <c r="AD7952">
        <v>-1.1094761609199999</v>
      </c>
      <c r="AE7952">
        <v>-24.465529999999902</v>
      </c>
      <c r="AF7952">
        <v>1.9405407196322799</v>
      </c>
      <c r="AG7952">
        <v>-1.1094761609199999</v>
      </c>
      <c r="AH7952">
        <v>24.3869744118307</v>
      </c>
      <c r="AI7952">
        <v>92.596657085836597</v>
      </c>
      <c r="AJ7952">
        <v>85.450398607003606</v>
      </c>
      <c r="AK7952">
        <v>24.4892048992916</v>
      </c>
      <c r="AL7952">
        <v>86.112839916839505</v>
      </c>
      <c r="AM7952">
        <v>91.947878483202302</v>
      </c>
      <c r="AN7952">
        <v>1.0000000134956699</v>
      </c>
    </row>
    <row r="7953" spans="1:40" x14ac:dyDescent="0.25">
      <c r="A7953" t="str">
        <f>"20190312150847677"</f>
        <v>20190312150847677</v>
      </c>
      <c r="B7953" t="str">
        <f>"1552374527667731"</f>
        <v>1552374527667731</v>
      </c>
      <c r="C7953" t="s">
        <v>40</v>
      </c>
      <c r="D7953">
        <v>4.6337080000000004</v>
      </c>
      <c r="E7953">
        <v>0.54423779999999999</v>
      </c>
      <c r="F7953" t="s">
        <v>42</v>
      </c>
      <c r="G7953">
        <v>-423.64319999999998</v>
      </c>
      <c r="H7953" s="1">
        <v>-3.0737560000000002E-6</v>
      </c>
      <c r="I7953">
        <v>64.494500000000002</v>
      </c>
      <c r="J7953">
        <v>-422.07319999999999</v>
      </c>
      <c r="K7953">
        <v>1.1094489999999999</v>
      </c>
      <c r="L7953">
        <v>88.962890000000002</v>
      </c>
      <c r="M7953">
        <v>1.560337E-2</v>
      </c>
      <c r="N7953">
        <v>0</v>
      </c>
      <c r="O7953">
        <v>-0.99981109999999895</v>
      </c>
      <c r="P7953">
        <v>4.919101E-2</v>
      </c>
      <c r="Q7953">
        <v>5.5883240000000001E-2</v>
      </c>
      <c r="R7953">
        <v>-0.99722509999999998</v>
      </c>
      <c r="S7953">
        <v>-0.1921387</v>
      </c>
      <c r="T7953">
        <v>-0.1360102</v>
      </c>
      <c r="U7953">
        <v>-3.0259399999999999</v>
      </c>
      <c r="V7953">
        <v>-3.3493879999999997E-2</v>
      </c>
      <c r="W7953">
        <v>6.7517209999999994E-2</v>
      </c>
      <c r="X7953">
        <v>0.99715569999999998</v>
      </c>
      <c r="Y7953">
        <v>7.8871300000000005E-2</v>
      </c>
      <c r="Z7953">
        <v>4.4779590000000001E-2</v>
      </c>
      <c r="AA7953">
        <v>0.99587859999999995</v>
      </c>
      <c r="AB7953">
        <v>28</v>
      </c>
      <c r="AC7953">
        <v>-1.5699999999999901</v>
      </c>
      <c r="AD7953">
        <v>-1.1094520737560001</v>
      </c>
      <c r="AE7953">
        <v>-24.468389999999999</v>
      </c>
      <c r="AF7953">
        <v>1.94763605774001</v>
      </c>
      <c r="AG7953">
        <v>-1.1094520737560001</v>
      </c>
      <c r="AH7953">
        <v>24.390971593055301</v>
      </c>
      <c r="AI7953">
        <v>92.596118781015406</v>
      </c>
      <c r="AJ7953">
        <v>85.434578929608804</v>
      </c>
      <c r="AK7953">
        <v>24.493747475031299</v>
      </c>
      <c r="AL7953">
        <v>86.128603486953693</v>
      </c>
      <c r="AM7953">
        <v>91.923808615447001</v>
      </c>
      <c r="AN7953">
        <v>0.99999995184306301</v>
      </c>
    </row>
    <row r="7954" spans="1:40" x14ac:dyDescent="0.25">
      <c r="A7954" t="str">
        <f>"20190312150847693"</f>
        <v>20190312150847693</v>
      </c>
      <c r="B7954" t="str">
        <f>"1552374527688228"</f>
        <v>1552374527688228</v>
      </c>
      <c r="C7954" t="s">
        <v>40</v>
      </c>
      <c r="D7954">
        <v>4.3865600000000002</v>
      </c>
      <c r="E7954">
        <v>0.54432480000000005</v>
      </c>
      <c r="F7954" t="s">
        <v>42</v>
      </c>
      <c r="G7954">
        <v>-423.67579999999998</v>
      </c>
      <c r="H7954" s="1">
        <v>-3.0033600000000001E-6</v>
      </c>
      <c r="I7954">
        <v>64.310180000000003</v>
      </c>
      <c r="J7954">
        <v>-422.07119999999998</v>
      </c>
      <c r="K7954">
        <v>1.1094299999999999</v>
      </c>
      <c r="L7954">
        <v>88.784940000000006</v>
      </c>
      <c r="M7954">
        <v>1.493123E-2</v>
      </c>
      <c r="N7954">
        <v>0</v>
      </c>
      <c r="O7954">
        <v>-0.99982139999999997</v>
      </c>
      <c r="P7954">
        <v>4.8379989999999998E-2</v>
      </c>
      <c r="Q7954">
        <v>5.5811670000000001E-2</v>
      </c>
      <c r="R7954">
        <v>-0.99726890000000001</v>
      </c>
      <c r="S7954">
        <v>-0.19668579999999999</v>
      </c>
      <c r="T7954">
        <v>-0.13616610000000001</v>
      </c>
      <c r="U7954">
        <v>-3.0256959999999999</v>
      </c>
      <c r="V7954">
        <v>-3.3350440000000002E-2</v>
      </c>
      <c r="W7954">
        <v>6.7449640000000005E-2</v>
      </c>
      <c r="X7954">
        <v>0.99716510000000003</v>
      </c>
      <c r="Y7954">
        <v>7.9696539999999996E-2</v>
      </c>
      <c r="Z7954">
        <v>4.4831490000000002E-2</v>
      </c>
      <c r="AA7954">
        <v>0.99581050000000004</v>
      </c>
      <c r="AB7954">
        <v>28</v>
      </c>
      <c r="AC7954">
        <v>-1.6046</v>
      </c>
      <c r="AD7954">
        <v>-1.1094330033599999</v>
      </c>
      <c r="AE7954">
        <v>-24.47476</v>
      </c>
      <c r="AF7954">
        <v>1.96586177423301</v>
      </c>
      <c r="AG7954">
        <v>-1.1094330033599999</v>
      </c>
      <c r="AH7954">
        <v>24.398152733752902</v>
      </c>
      <c r="AI7954">
        <v>92.595161710559694</v>
      </c>
      <c r="AJ7954">
        <v>85.393389897350204</v>
      </c>
      <c r="AK7954">
        <v>24.502353171152102</v>
      </c>
      <c r="AL7954">
        <v>86.132483883621703</v>
      </c>
      <c r="AM7954">
        <v>91.9155578709195</v>
      </c>
      <c r="AN7954">
        <v>0.99999997122116602</v>
      </c>
    </row>
    <row r="7955" spans="1:40" x14ac:dyDescent="0.25">
      <c r="A7955" t="str">
        <f>"20190312150847705"</f>
        <v>20190312150847705</v>
      </c>
      <c r="B7955" t="str">
        <f>"1552374527697988"</f>
        <v>1552374527697988</v>
      </c>
      <c r="C7955" t="s">
        <v>40</v>
      </c>
      <c r="D7955">
        <v>4.3516399999999997</v>
      </c>
      <c r="E7955">
        <v>0.54439280000000001</v>
      </c>
      <c r="F7955" t="s">
        <v>42</v>
      </c>
      <c r="G7955">
        <v>-423.71550000000002</v>
      </c>
      <c r="H7955" s="1">
        <v>-2.8348630000000002E-6</v>
      </c>
      <c r="I7955">
        <v>63.892769999999999</v>
      </c>
      <c r="J7955">
        <v>-422.0693</v>
      </c>
      <c r="K7955">
        <v>1.109415</v>
      </c>
      <c r="L7955">
        <v>88.61627</v>
      </c>
      <c r="M7955">
        <v>1.4284939999999999E-2</v>
      </c>
      <c r="N7955">
        <v>0</v>
      </c>
      <c r="O7955">
        <v>-0.99983100000000003</v>
      </c>
      <c r="P7955">
        <v>4.7718990000000003E-2</v>
      </c>
      <c r="Q7955">
        <v>5.5726619999999998E-2</v>
      </c>
      <c r="R7955">
        <v>-0.99730560000000001</v>
      </c>
      <c r="S7955">
        <v>-0.1998596</v>
      </c>
      <c r="T7955">
        <v>-0.13484299999999999</v>
      </c>
      <c r="U7955">
        <v>-3.025452</v>
      </c>
      <c r="V7955">
        <v>-3.3331600000000003E-2</v>
      </c>
      <c r="W7955">
        <v>6.7368289999999997E-2</v>
      </c>
      <c r="X7955">
        <v>0.99717129999999998</v>
      </c>
      <c r="Y7955">
        <v>8.0098829999999996E-2</v>
      </c>
      <c r="Z7955">
        <v>4.4398689999999998E-2</v>
      </c>
      <c r="AA7955">
        <v>0.99579759999999995</v>
      </c>
      <c r="AB7955">
        <v>28</v>
      </c>
      <c r="AC7955">
        <v>-1.6462000000000201</v>
      </c>
      <c r="AD7955">
        <v>-1.1094178348629999</v>
      </c>
      <c r="AE7955">
        <v>-24.723500000000001</v>
      </c>
      <c r="AF7955">
        <v>1.99522953620459</v>
      </c>
      <c r="AG7955">
        <v>-1.1094178348629999</v>
      </c>
      <c r="AH7955">
        <v>24.648047638420699</v>
      </c>
      <c r="AI7955">
        <v>92.568773839971399</v>
      </c>
      <c r="AJ7955">
        <v>85.372067090882098</v>
      </c>
      <c r="AK7955">
        <v>24.753545225286601</v>
      </c>
      <c r="AL7955">
        <v>86.137155794441895</v>
      </c>
      <c r="AM7955">
        <v>91.914464663882598</v>
      </c>
      <c r="AN7955">
        <v>1.00000004179988</v>
      </c>
    </row>
    <row r="7956" spans="1:40" x14ac:dyDescent="0.25">
      <c r="A7956" t="str">
        <f>"20190312150847717"</f>
        <v>20190312150847717</v>
      </c>
      <c r="B7956" t="str">
        <f>"1552374527707748"</f>
        <v>1552374527707748</v>
      </c>
      <c r="C7956" t="s">
        <v>40</v>
      </c>
      <c r="D7956">
        <v>4.4680099999999996</v>
      </c>
      <c r="E7956">
        <v>0.54439280000000001</v>
      </c>
      <c r="F7956" t="s">
        <v>42</v>
      </c>
      <c r="G7956">
        <v>-423.72770000000003</v>
      </c>
      <c r="H7956" s="1">
        <v>-2.8146929999999999E-6</v>
      </c>
      <c r="I7956">
        <v>63.8382199999999</v>
      </c>
      <c r="J7956">
        <v>-422.0677</v>
      </c>
      <c r="K7956">
        <v>1.1094010000000001</v>
      </c>
      <c r="L7956">
        <v>88.457890000000006</v>
      </c>
      <c r="M7956">
        <v>1.3666609999999999E-2</v>
      </c>
      <c r="N7956">
        <v>0</v>
      </c>
      <c r="O7956">
        <v>-0.99983920000000004</v>
      </c>
      <c r="P7956">
        <v>4.7109329999999998E-2</v>
      </c>
      <c r="Q7956">
        <v>5.5535510000000003E-2</v>
      </c>
      <c r="R7956">
        <v>-0.99734489999999998</v>
      </c>
      <c r="S7956">
        <v>-0.2024841</v>
      </c>
      <c r="T7956">
        <v>-0.1354581</v>
      </c>
      <c r="U7956">
        <v>-3.02536</v>
      </c>
      <c r="V7956">
        <v>-3.3336770000000002E-2</v>
      </c>
      <c r="W7956">
        <v>6.718085E-2</v>
      </c>
      <c r="X7956">
        <v>0.99718370000000001</v>
      </c>
      <c r="Y7956">
        <v>8.034384E-2</v>
      </c>
      <c r="Z7956">
        <v>4.4601010000000003E-2</v>
      </c>
      <c r="AA7956">
        <v>0.99576880000000001</v>
      </c>
      <c r="AB7956">
        <v>28</v>
      </c>
      <c r="AC7956">
        <v>-1.6600000000000199</v>
      </c>
      <c r="AD7956">
        <v>-1.1094038146930001</v>
      </c>
      <c r="AE7956">
        <v>-24.619669999999999</v>
      </c>
      <c r="AF7956">
        <v>1.9923078725471499</v>
      </c>
      <c r="AG7956">
        <v>-1.1094038146930001</v>
      </c>
      <c r="AH7956">
        <v>24.545067734430798</v>
      </c>
      <c r="AI7956">
        <v>92.579458400510404</v>
      </c>
      <c r="AJ7956">
        <v>85.359510629226406</v>
      </c>
      <c r="AK7956">
        <v>24.650769107085999</v>
      </c>
      <c r="AL7956">
        <v>86.147919420440701</v>
      </c>
      <c r="AM7956">
        <v>91.914737599392893</v>
      </c>
      <c r="AN7956">
        <v>0.99999996919322198</v>
      </c>
    </row>
    <row r="7957" spans="1:40" x14ac:dyDescent="0.25">
      <c r="A7957" t="str">
        <f>"20190312150847735"</f>
        <v>20190312150847735</v>
      </c>
      <c r="B7957" t="str">
        <f>"1552374527728244"</f>
        <v>1552374527728244</v>
      </c>
      <c r="C7957" t="s">
        <v>40</v>
      </c>
      <c r="D7957">
        <v>4.4313320000000003</v>
      </c>
      <c r="E7957">
        <v>0.56440000000000001</v>
      </c>
      <c r="F7957" t="s">
        <v>42</v>
      </c>
      <c r="G7957">
        <v>-423.73320000000001</v>
      </c>
      <c r="H7957" s="1">
        <v>-2.7935309999999998E-6</v>
      </c>
      <c r="I7957">
        <v>63.785420000000002</v>
      </c>
      <c r="J7957">
        <v>-422.06569999999999</v>
      </c>
      <c r="K7957">
        <v>1.1093900000000001</v>
      </c>
      <c r="L7957">
        <v>88.243009999999998</v>
      </c>
      <c r="M7957">
        <v>1.282033E-2</v>
      </c>
      <c r="N7957">
        <v>0</v>
      </c>
      <c r="O7957">
        <v>-0.99985069999999998</v>
      </c>
      <c r="P7957">
        <v>4.6102919999999999E-2</v>
      </c>
      <c r="Q7957">
        <v>5.5524289999999997E-2</v>
      </c>
      <c r="R7957">
        <v>-0.99739290000000003</v>
      </c>
      <c r="S7957">
        <v>-0.20422360000000001</v>
      </c>
      <c r="T7957">
        <v>-0.13602919999999999</v>
      </c>
      <c r="U7957">
        <v>-3.0252080000000001</v>
      </c>
      <c r="V7957">
        <v>-3.3172269999999997E-2</v>
      </c>
      <c r="W7957">
        <v>6.7172750000000003E-2</v>
      </c>
      <c r="X7957">
        <v>0.99718980000000002</v>
      </c>
      <c r="Y7957">
        <v>8.0072939999999995E-2</v>
      </c>
      <c r="Z7957">
        <v>4.4791339999999999E-2</v>
      </c>
      <c r="AA7957">
        <v>0.9957821</v>
      </c>
      <c r="AB7957">
        <v>28</v>
      </c>
      <c r="AC7957">
        <v>-1.66750000000001</v>
      </c>
      <c r="AD7957">
        <v>-1.109392793531</v>
      </c>
      <c r="AE7957">
        <v>-24.45759</v>
      </c>
      <c r="AF7957">
        <v>1.9768896955317501</v>
      </c>
      <c r="AG7957">
        <v>-1.109392793531</v>
      </c>
      <c r="AH7957">
        <v>24.384261489407798</v>
      </c>
      <c r="AI7957">
        <v>92.596440397446102</v>
      </c>
      <c r="AJ7957">
        <v>85.365032828293906</v>
      </c>
      <c r="AK7957">
        <v>24.4894069675534</v>
      </c>
      <c r="AL7957">
        <v>86.148384830605593</v>
      </c>
      <c r="AM7957">
        <v>91.905284677996093</v>
      </c>
      <c r="AN7957">
        <v>1.0000000375317699</v>
      </c>
    </row>
    <row r="7958" spans="1:40" x14ac:dyDescent="0.25">
      <c r="A7958" t="str">
        <f>"20190312150847748"</f>
        <v>20190312150847748</v>
      </c>
      <c r="B7958" t="str">
        <f>"1552374527738004"</f>
        <v>1552374527738004</v>
      </c>
      <c r="C7958" t="s">
        <v>40</v>
      </c>
      <c r="D7958">
        <v>4.4429480000000003</v>
      </c>
      <c r="E7958">
        <v>0.56497439999999999</v>
      </c>
      <c r="F7958" t="s">
        <v>42</v>
      </c>
      <c r="G7958">
        <v>-424.98059999999998</v>
      </c>
      <c r="H7958" s="1">
        <v>-3.2813889999999999E-6</v>
      </c>
      <c r="I7958">
        <v>64.149019999999993</v>
      </c>
      <c r="J7958">
        <v>-422.0641</v>
      </c>
      <c r="K7958">
        <v>1.1093789999999999</v>
      </c>
      <c r="L7958">
        <v>88.068479999999994</v>
      </c>
      <c r="M7958">
        <v>1.212677E-2</v>
      </c>
      <c r="N7958">
        <v>0</v>
      </c>
      <c r="O7958">
        <v>-0.9998591</v>
      </c>
      <c r="P7958">
        <v>4.5642990000000001E-2</v>
      </c>
      <c r="Q7958">
        <v>5.5491249999999999E-2</v>
      </c>
      <c r="R7958">
        <v>-0.99741539999999995</v>
      </c>
      <c r="S7958">
        <v>-0.36688229999999999</v>
      </c>
      <c r="T7958">
        <v>-0.13963390000000001</v>
      </c>
      <c r="U7958">
        <v>-3.0325929999999999</v>
      </c>
      <c r="V7958">
        <v>-3.3402010000000003E-2</v>
      </c>
      <c r="W7958">
        <v>6.7143259999999996E-2</v>
      </c>
      <c r="X7958">
        <v>0.99718410000000002</v>
      </c>
      <c r="Y7958">
        <v>0.13200990000000001</v>
      </c>
      <c r="Z7958">
        <v>4.5623329999999997E-2</v>
      </c>
      <c r="AA7958">
        <v>0.99019789999999996</v>
      </c>
      <c r="AB7958">
        <v>28</v>
      </c>
      <c r="AC7958">
        <v>-2.9164999999999801</v>
      </c>
      <c r="AD7958">
        <v>-1.109382281389</v>
      </c>
      <c r="AE7958">
        <v>-23.919460000000001</v>
      </c>
      <c r="AF7958">
        <v>3.1995890486857301</v>
      </c>
      <c r="AG7958">
        <v>-1.109382281389</v>
      </c>
      <c r="AH7958">
        <v>23.831817274613002</v>
      </c>
      <c r="AI7958">
        <v>92.641554812197001</v>
      </c>
      <c r="AJ7958">
        <v>82.353363353095205</v>
      </c>
      <c r="AK7958">
        <v>24.0712196146617</v>
      </c>
      <c r="AL7958">
        <v>86.150078240542598</v>
      </c>
      <c r="AM7958">
        <v>91.918481171089596</v>
      </c>
      <c r="AN7958">
        <v>1.0000000204641299</v>
      </c>
    </row>
    <row r="7959" spans="1:40" x14ac:dyDescent="0.25">
      <c r="A7959" t="str">
        <f>"20190312150847762"</f>
        <v>20190312150847762</v>
      </c>
      <c r="B7959" t="str">
        <f>"1552374527757524"</f>
        <v>1552374527757524</v>
      </c>
      <c r="C7959" t="s">
        <v>40</v>
      </c>
      <c r="D7959">
        <v>4.4370240000000001</v>
      </c>
      <c r="E7959">
        <v>0.56559680000000001</v>
      </c>
      <c r="F7959" t="s">
        <v>42</v>
      </c>
      <c r="G7959">
        <v>-425.06700000000001</v>
      </c>
      <c r="H7959" s="1">
        <v>-3.0879609999999999E-6</v>
      </c>
      <c r="I7959">
        <v>63.644550000000002</v>
      </c>
      <c r="J7959">
        <v>-422.06270000000001</v>
      </c>
      <c r="K7959">
        <v>1.10937</v>
      </c>
      <c r="L7959">
        <v>87.889099999999999</v>
      </c>
      <c r="M7959">
        <v>1.1408669999999999E-2</v>
      </c>
      <c r="N7959">
        <v>0</v>
      </c>
      <c r="O7959">
        <v>-0.99986770000000003</v>
      </c>
      <c r="P7959">
        <v>4.4783070000000001E-2</v>
      </c>
      <c r="Q7959">
        <v>5.5456329999999998E-2</v>
      </c>
      <c r="R7959">
        <v>-0.99745649999999997</v>
      </c>
      <c r="S7959">
        <v>-0.37283329999999998</v>
      </c>
      <c r="T7959">
        <v>-0.137742</v>
      </c>
      <c r="U7959">
        <v>-3.0325009999999999</v>
      </c>
      <c r="V7959">
        <v>-3.3258000000000003E-2</v>
      </c>
      <c r="W7959">
        <v>6.7110899999999904E-2</v>
      </c>
      <c r="X7959">
        <v>0.9971911</v>
      </c>
      <c r="Y7959">
        <v>0.13321949999999999</v>
      </c>
      <c r="Z7959">
        <v>4.4999409999999997E-2</v>
      </c>
      <c r="AA7959">
        <v>0.99006439999999996</v>
      </c>
      <c r="AB7959">
        <v>28</v>
      </c>
      <c r="AC7959">
        <v>-3.0042999999999398</v>
      </c>
      <c r="AD7959">
        <v>-1.109373087961</v>
      </c>
      <c r="AE7959">
        <v>-24.24455</v>
      </c>
      <c r="AF7959">
        <v>3.2739698724492499</v>
      </c>
      <c r="AG7959">
        <v>-1.109373087961</v>
      </c>
      <c r="AH7959">
        <v>24.158876625589201</v>
      </c>
      <c r="AI7959">
        <v>92.605387125887702</v>
      </c>
      <c r="AJ7959">
        <v>82.282389405277598</v>
      </c>
      <c r="AK7959">
        <v>24.404936123342701</v>
      </c>
      <c r="AL7959">
        <v>86.151936555114901</v>
      </c>
      <c r="AM7959">
        <v>91.910202540272806</v>
      </c>
      <c r="AN7959">
        <v>1.000000028691</v>
      </c>
    </row>
    <row r="7960" spans="1:40" x14ac:dyDescent="0.25">
      <c r="A7960" t="str">
        <f>"20190312150847775"</f>
        <v>20190312150847775</v>
      </c>
      <c r="B7960" t="str">
        <f>"1552374527768260"</f>
        <v>1552374527768260</v>
      </c>
      <c r="C7960" t="s">
        <v>40</v>
      </c>
      <c r="D7960">
        <v>4.4222849999999996</v>
      </c>
      <c r="E7960">
        <v>0.56560880000000002</v>
      </c>
      <c r="F7960" t="s">
        <v>42</v>
      </c>
      <c r="G7960">
        <v>-425.1782</v>
      </c>
      <c r="H7960" s="1">
        <v>-2.859495E-6</v>
      </c>
      <c r="I7960">
        <v>63.043019999999999</v>
      </c>
      <c r="J7960">
        <v>-422.0616</v>
      </c>
      <c r="K7960">
        <v>1.1093660000000001</v>
      </c>
      <c r="L7960">
        <v>87.73254</v>
      </c>
      <c r="M7960">
        <v>1.0778579999999999E-2</v>
      </c>
      <c r="N7960">
        <v>0</v>
      </c>
      <c r="O7960">
        <v>-0.99987440000000005</v>
      </c>
      <c r="P7960">
        <v>4.4191340000000003E-2</v>
      </c>
      <c r="Q7960">
        <v>5.5315320000000001E-2</v>
      </c>
      <c r="R7960">
        <v>-0.99749030000000005</v>
      </c>
      <c r="S7960">
        <v>-0.38021850000000001</v>
      </c>
      <c r="T7960">
        <v>-0.1353897</v>
      </c>
      <c r="U7960">
        <v>-3.032257</v>
      </c>
      <c r="V7960">
        <v>-3.3293509999999998E-2</v>
      </c>
      <c r="W7960">
        <v>6.6971500000000003E-2</v>
      </c>
      <c r="X7960">
        <v>0.99719919999999995</v>
      </c>
      <c r="Y7960">
        <v>0.13498350000000001</v>
      </c>
      <c r="Z7960">
        <v>4.4224550000000001E-2</v>
      </c>
      <c r="AA7960">
        <v>0.98986039999999997</v>
      </c>
      <c r="AB7960">
        <v>28</v>
      </c>
      <c r="AC7960">
        <v>-3.1166</v>
      </c>
      <c r="AD7960">
        <v>-1.109368859495</v>
      </c>
      <c r="AE7960">
        <v>-24.689520000000002</v>
      </c>
      <c r="AF7960">
        <v>3.3758460817737901</v>
      </c>
      <c r="AG7960">
        <v>-1.109368859495</v>
      </c>
      <c r="AH7960">
        <v>24.605592371664098</v>
      </c>
      <c r="AI7960">
        <v>92.557565365908204</v>
      </c>
      <c r="AJ7960">
        <v>82.187888107149405</v>
      </c>
      <c r="AK7960">
        <v>24.860857024542401</v>
      </c>
      <c r="AL7960">
        <v>86.159941263029395</v>
      </c>
      <c r="AM7960">
        <v>91.912225053894701</v>
      </c>
      <c r="AN7960">
        <v>0.99999994205050302</v>
      </c>
    </row>
    <row r="7961" spans="1:40" x14ac:dyDescent="0.25">
      <c r="A7961" t="str">
        <f>"20190312150847787"</f>
        <v>20190312150847787</v>
      </c>
      <c r="B7961" t="str">
        <f>"1552374527778020"</f>
        <v>1552374527778020</v>
      </c>
      <c r="C7961" t="s">
        <v>40</v>
      </c>
      <c r="D7961">
        <v>4.4806670000000004</v>
      </c>
      <c r="E7961">
        <v>0.56551949999999995</v>
      </c>
      <c r="F7961" t="s">
        <v>42</v>
      </c>
      <c r="G7961">
        <v>-425.2276</v>
      </c>
      <c r="H7961" s="1">
        <v>-2.7087060000000002E-6</v>
      </c>
      <c r="I7961">
        <v>62.660850000000003</v>
      </c>
      <c r="J7961">
        <v>-422.06049999999999</v>
      </c>
      <c r="K7961">
        <v>1.109362</v>
      </c>
      <c r="L7961">
        <v>87.56729</v>
      </c>
      <c r="M7961">
        <v>1.0112329999999999E-2</v>
      </c>
      <c r="N7961">
        <v>0</v>
      </c>
      <c r="O7961">
        <v>-0.99988160000000004</v>
      </c>
      <c r="P7961">
        <v>4.3400569999999999E-2</v>
      </c>
      <c r="Q7961">
        <v>5.5247879999999999E-2</v>
      </c>
      <c r="R7961">
        <v>-0.99752909999999995</v>
      </c>
      <c r="S7961">
        <v>-0.38287349999999998</v>
      </c>
      <c r="T7961">
        <v>-0.134156</v>
      </c>
      <c r="U7961">
        <v>-3.0319210000000001</v>
      </c>
      <c r="V7961">
        <v>-3.316765E-2</v>
      </c>
      <c r="W7961">
        <v>6.6906350000000003E-2</v>
      </c>
      <c r="X7961">
        <v>0.99720779999999998</v>
      </c>
      <c r="Y7961">
        <v>0.13519229999999999</v>
      </c>
      <c r="Z7961">
        <v>4.382461E-2</v>
      </c>
      <c r="AA7961">
        <v>0.98984970000000005</v>
      </c>
      <c r="AB7961">
        <v>28</v>
      </c>
      <c r="AC7961">
        <v>-3.1671</v>
      </c>
      <c r="AD7961">
        <v>-1.1093647087059999</v>
      </c>
      <c r="AE7961">
        <v>-24.90644</v>
      </c>
      <c r="AF7961">
        <v>3.4121553803015501</v>
      </c>
      <c r="AG7961">
        <v>-1.1093647087059999</v>
      </c>
      <c r="AH7961">
        <v>24.824670812519599</v>
      </c>
      <c r="AI7961">
        <v>92.534928942271094</v>
      </c>
      <c r="AJ7961">
        <v>82.173725225325995</v>
      </c>
      <c r="AK7961">
        <v>25.082618988977298</v>
      </c>
      <c r="AL7961">
        <v>86.163682599324005</v>
      </c>
      <c r="AM7961">
        <v>91.9049851578784</v>
      </c>
      <c r="AN7961">
        <v>0.99999997452884204</v>
      </c>
    </row>
    <row r="7962" spans="1:40" x14ac:dyDescent="0.25">
      <c r="A7962" t="str">
        <f>"20190312150847801"</f>
        <v>20190312150847801</v>
      </c>
      <c r="B7962" t="str">
        <f>"1552374527797540"</f>
        <v>1552374527797540</v>
      </c>
      <c r="C7962" t="s">
        <v>40</v>
      </c>
      <c r="D7962">
        <v>4.4827450000000004</v>
      </c>
      <c r="E7962">
        <v>0.56555769999999905</v>
      </c>
      <c r="F7962" t="s">
        <v>42</v>
      </c>
      <c r="G7962">
        <v>-425.26569999999998</v>
      </c>
      <c r="H7962" s="1">
        <v>-2.5604469999999999E-6</v>
      </c>
      <c r="I7962">
        <v>62.291629999999998</v>
      </c>
      <c r="J7962">
        <v>-422.05939999999998</v>
      </c>
      <c r="K7962">
        <v>1.1093580000000001</v>
      </c>
      <c r="L7962">
        <v>87.394840000000002</v>
      </c>
      <c r="M7962">
        <v>9.4153429999999996E-3</v>
      </c>
      <c r="N7962">
        <v>0</v>
      </c>
      <c r="O7962">
        <v>-0.9998882</v>
      </c>
      <c r="P7962">
        <v>4.2598789999999997E-2</v>
      </c>
      <c r="Q7962">
        <v>5.5346640000000003E-2</v>
      </c>
      <c r="R7962">
        <v>-0.99755830000000001</v>
      </c>
      <c r="S7962">
        <v>-0.38442989999999999</v>
      </c>
      <c r="T7962">
        <v>-0.1330556</v>
      </c>
      <c r="U7962">
        <v>-3.0315249999999998</v>
      </c>
      <c r="V7962">
        <v>-3.3059949999999998E-2</v>
      </c>
      <c r="W7962">
        <v>6.7006709999999997E-2</v>
      </c>
      <c r="X7962">
        <v>0.99720469999999894</v>
      </c>
      <c r="Y7962">
        <v>0.135019899999999</v>
      </c>
      <c r="Z7962">
        <v>4.3471009999999997E-2</v>
      </c>
      <c r="AA7962">
        <v>0.98988880000000001</v>
      </c>
      <c r="AB7962">
        <v>28</v>
      </c>
      <c r="AC7962">
        <v>-3.2062999999999899</v>
      </c>
      <c r="AD7962">
        <v>-1.109360560447</v>
      </c>
      <c r="AE7962">
        <v>-25.103210000000001</v>
      </c>
      <c r="AF7962">
        <v>3.4359267224540901</v>
      </c>
      <c r="AG7962">
        <v>-1.109360560447</v>
      </c>
      <c r="AH7962">
        <v>25.023821336463499</v>
      </c>
      <c r="AI7962">
        <v>92.514820224135505</v>
      </c>
      <c r="AJ7962">
        <v>82.181819624394294</v>
      </c>
      <c r="AK7962">
        <v>25.2829568597978</v>
      </c>
      <c r="AL7962">
        <v>86.157919700452098</v>
      </c>
      <c r="AM7962">
        <v>91.898809838535897</v>
      </c>
      <c r="AN7962">
        <v>1.0000000365905499</v>
      </c>
    </row>
    <row r="7963" spans="1:40" x14ac:dyDescent="0.25">
      <c r="A7963" t="str">
        <f>"20190312150847824"</f>
        <v>20190312150847824</v>
      </c>
      <c r="B7963" t="str">
        <f>"1552374527818036"</f>
        <v>1552374527818036</v>
      </c>
      <c r="C7963" t="s">
        <v>40</v>
      </c>
      <c r="D7963">
        <v>4.5062439999999997</v>
      </c>
      <c r="E7963">
        <v>0.56536169999999997</v>
      </c>
      <c r="F7963" t="s">
        <v>42</v>
      </c>
      <c r="G7963">
        <v>-425.24810000000002</v>
      </c>
      <c r="H7963" s="1">
        <v>-2.6172839999999999E-6</v>
      </c>
      <c r="I7963">
        <v>62.435009999999998</v>
      </c>
      <c r="J7963">
        <v>-422.05799999999999</v>
      </c>
      <c r="K7963">
        <v>1.109351</v>
      </c>
      <c r="L7963">
        <v>87.108919999999998</v>
      </c>
      <c r="M7963">
        <v>8.2592559999999995E-3</v>
      </c>
      <c r="N7963">
        <v>0</v>
      </c>
      <c r="O7963">
        <v>-0.99989870000000003</v>
      </c>
      <c r="P7963">
        <v>4.1305620000000001E-2</v>
      </c>
      <c r="Q7963">
        <v>5.5240450000000003E-2</v>
      </c>
      <c r="R7963">
        <v>-0.99761860000000002</v>
      </c>
      <c r="S7963">
        <v>-0.3872681</v>
      </c>
      <c r="T7963">
        <v>-0.13473189999999999</v>
      </c>
      <c r="U7963">
        <v>-3.0313720000000002</v>
      </c>
      <c r="V7963">
        <v>-3.2919909999999997E-2</v>
      </c>
      <c r="W7963">
        <v>6.6903009999999999E-2</v>
      </c>
      <c r="X7963">
        <v>0.99721630000000006</v>
      </c>
      <c r="Y7963">
        <v>0.13478950000000001</v>
      </c>
      <c r="Z7963">
        <v>4.4018620000000001E-2</v>
      </c>
      <c r="AA7963">
        <v>0.98989609999999995</v>
      </c>
      <c r="AB7963">
        <v>28</v>
      </c>
      <c r="AC7963">
        <v>-3.19009999999997</v>
      </c>
      <c r="AD7963">
        <v>-1.1093536172839999</v>
      </c>
      <c r="AE7963">
        <v>-24.673909999999999</v>
      </c>
      <c r="AF7963">
        <v>3.3870587919177599</v>
      </c>
      <c r="AG7963">
        <v>-1.1093536172839999</v>
      </c>
      <c r="AH7963">
        <v>24.597812822096699</v>
      </c>
      <c r="AI7963">
        <v>92.558166008382003</v>
      </c>
      <c r="AJ7963">
        <v>82.159814501944993</v>
      </c>
      <c r="AK7963">
        <v>24.8546822216457</v>
      </c>
      <c r="AL7963">
        <v>86.163874652751005</v>
      </c>
      <c r="AM7963">
        <v>91.890750464334999</v>
      </c>
      <c r="AN7963">
        <v>1.0000000411035701</v>
      </c>
    </row>
    <row r="7964" spans="1:40" x14ac:dyDescent="0.25">
      <c r="A7964" t="str">
        <f>"20190312150847846"</f>
        <v>20190312150847846</v>
      </c>
      <c r="B7964" t="str">
        <f>"1552374527837556"</f>
        <v>1552374527837556</v>
      </c>
      <c r="C7964" t="s">
        <v>40</v>
      </c>
      <c r="D7964">
        <v>4.4942630000000001</v>
      </c>
      <c r="E7964">
        <v>0.56521829999999995</v>
      </c>
      <c r="F7964" t="s">
        <v>42</v>
      </c>
      <c r="G7964">
        <v>-425.21609999999998</v>
      </c>
      <c r="H7964" s="1">
        <v>-2.6489440000000001E-6</v>
      </c>
      <c r="I7964">
        <v>62.5287199999999</v>
      </c>
      <c r="J7964">
        <v>-422.05689999999998</v>
      </c>
      <c r="K7964">
        <v>1.1093500000000001</v>
      </c>
      <c r="L7964">
        <v>86.827849999999998</v>
      </c>
      <c r="M7964">
        <v>7.123239E-3</v>
      </c>
      <c r="N7964">
        <v>0</v>
      </c>
      <c r="O7964">
        <v>-0.99990730000000005</v>
      </c>
      <c r="P7964">
        <v>4.0222819999999999E-2</v>
      </c>
      <c r="Q7964">
        <v>5.5187729999999997E-2</v>
      </c>
      <c r="R7964">
        <v>-0.99766569999999999</v>
      </c>
      <c r="S7964">
        <v>-0.38940429999999998</v>
      </c>
      <c r="T7964">
        <v>-0.13678850000000001</v>
      </c>
      <c r="U7964">
        <v>-3.030853</v>
      </c>
      <c r="V7964">
        <v>-3.297042E-2</v>
      </c>
      <c r="W7964">
        <v>6.6853049999999997E-2</v>
      </c>
      <c r="X7964">
        <v>0.99721800000000005</v>
      </c>
      <c r="Y7964">
        <v>0.1343676</v>
      </c>
      <c r="Z7964">
        <v>4.4696649999999997E-2</v>
      </c>
      <c r="AA7964">
        <v>0.989923</v>
      </c>
      <c r="AB7964">
        <v>28</v>
      </c>
      <c r="AC7964">
        <v>-3.15919999999999</v>
      </c>
      <c r="AD7964">
        <v>-1.109352648944</v>
      </c>
      <c r="AE7964">
        <v>-24.299130000000002</v>
      </c>
      <c r="AF7964">
        <v>3.3254041136882702</v>
      </c>
      <c r="AG7964">
        <v>-1.109352648944</v>
      </c>
      <c r="AH7964">
        <v>24.2263528189909</v>
      </c>
      <c r="AI7964">
        <v>92.597486282131101</v>
      </c>
      <c r="AJ7964">
        <v>82.1841994087046</v>
      </c>
      <c r="AK7964">
        <v>24.478667176324802</v>
      </c>
      <c r="AL7964">
        <v>86.166743642332804</v>
      </c>
      <c r="AM7964">
        <v>91.893646162829796</v>
      </c>
      <c r="AN7964">
        <v>1.00000005920663</v>
      </c>
    </row>
    <row r="7965" spans="1:40" x14ac:dyDescent="0.25">
      <c r="A7965" t="str">
        <f>"20190312150847860"</f>
        <v>20190312150847860</v>
      </c>
      <c r="B7965" t="str">
        <f>"1552374527848292"</f>
        <v>1552374527848292</v>
      </c>
      <c r="C7965" t="s">
        <v>40</v>
      </c>
      <c r="D7965">
        <v>4.4994110000000003</v>
      </c>
      <c r="E7965">
        <v>0.56529090000000004</v>
      </c>
      <c r="F7965" t="s">
        <v>42</v>
      </c>
      <c r="G7965">
        <v>-425.2235</v>
      </c>
      <c r="H7965" s="1">
        <v>-2.5523760000000001E-6</v>
      </c>
      <c r="I7965">
        <v>62.299019999999999</v>
      </c>
      <c r="J7965">
        <v>-422.0564</v>
      </c>
      <c r="K7965">
        <v>1.1093440000000001</v>
      </c>
      <c r="L7965">
        <v>86.641329999999996</v>
      </c>
      <c r="M7965">
        <v>6.3692369999999998E-3</v>
      </c>
      <c r="N7965">
        <v>0</v>
      </c>
      <c r="O7965">
        <v>-0.99991229999999998</v>
      </c>
      <c r="P7965">
        <v>3.9642169999999997E-2</v>
      </c>
      <c r="Q7965">
        <v>5.4941499999999997E-2</v>
      </c>
      <c r="R7965">
        <v>-0.99770250000000005</v>
      </c>
      <c r="S7965">
        <v>-0.39120480000000002</v>
      </c>
      <c r="T7965">
        <v>-0.137052799999999</v>
      </c>
      <c r="U7965">
        <v>-3.0303650000000002</v>
      </c>
      <c r="V7965">
        <v>-3.3142629999999999E-2</v>
      </c>
      <c r="W7965">
        <v>6.6608500000000001E-2</v>
      </c>
      <c r="X7965">
        <v>0.99722860000000002</v>
      </c>
      <c r="Y7965">
        <v>0.13421859999999999</v>
      </c>
      <c r="Z7965">
        <v>4.478907E-2</v>
      </c>
      <c r="AA7965">
        <v>0.98993900000000001</v>
      </c>
      <c r="AB7965">
        <v>28</v>
      </c>
      <c r="AC7965">
        <v>-3.1671</v>
      </c>
      <c r="AD7965">
        <v>-1.109346552376</v>
      </c>
      <c r="AE7965">
        <v>-24.342310000000001</v>
      </c>
      <c r="AF7965">
        <v>3.31531725296237</v>
      </c>
      <c r="AG7965">
        <v>-1.109346552376</v>
      </c>
      <c r="AH7965">
        <v>24.272071813539799</v>
      </c>
      <c r="AI7965">
        <v>92.592820694509996</v>
      </c>
      <c r="AJ7965">
        <v>82.222113125847301</v>
      </c>
      <c r="AK7965">
        <v>24.522549793663199</v>
      </c>
      <c r="AL7965">
        <v>86.180786412626304</v>
      </c>
      <c r="AM7965">
        <v>91.9035095162441</v>
      </c>
      <c r="AN7965">
        <v>1.00000000342676</v>
      </c>
    </row>
    <row r="7966" spans="1:40" x14ac:dyDescent="0.25">
      <c r="A7966" t="str">
        <f>"20190312150847873"</f>
        <v>20190312150847873</v>
      </c>
      <c r="B7966" t="str">
        <f>"1552374527867812"</f>
        <v>1552374527867812</v>
      </c>
      <c r="C7966" t="s">
        <v>40</v>
      </c>
      <c r="D7966">
        <v>4.5112259999999997</v>
      </c>
      <c r="E7966">
        <v>0.56531849999999995</v>
      </c>
      <c r="F7966" t="s">
        <v>42</v>
      </c>
      <c r="G7966">
        <v>-425.24380000000002</v>
      </c>
      <c r="H7966" s="1">
        <v>-2.483981E-6</v>
      </c>
      <c r="I7966">
        <v>62.126980000000003</v>
      </c>
      <c r="J7966">
        <v>-422.05610000000001</v>
      </c>
      <c r="K7966">
        <v>1.1093420000000001</v>
      </c>
      <c r="L7966">
        <v>86.480590000000007</v>
      </c>
      <c r="M7966">
        <v>5.7196019999999998E-3</v>
      </c>
      <c r="N7966">
        <v>0</v>
      </c>
      <c r="O7966">
        <v>-0.99991640000000004</v>
      </c>
      <c r="P7966">
        <v>3.9222609999999998E-2</v>
      </c>
      <c r="Q7966">
        <v>5.48248E-2</v>
      </c>
      <c r="R7966">
        <v>-0.99772570000000005</v>
      </c>
      <c r="S7966">
        <v>-0.3939819</v>
      </c>
      <c r="T7966">
        <v>-0.13712189999999999</v>
      </c>
      <c r="U7966">
        <v>-3.0301209999999998</v>
      </c>
      <c r="V7966">
        <v>-3.3371129999999999E-2</v>
      </c>
      <c r="W7966">
        <v>6.6493839999999999E-2</v>
      </c>
      <c r="X7966">
        <v>0.99722860000000002</v>
      </c>
      <c r="Y7966">
        <v>0.13447719999999999</v>
      </c>
      <c r="Z7966">
        <v>4.4812039999999997E-2</v>
      </c>
      <c r="AA7966">
        <v>0.98990290000000003</v>
      </c>
      <c r="AB7966">
        <v>28</v>
      </c>
      <c r="AC7966">
        <v>-3.1877</v>
      </c>
      <c r="AD7966">
        <v>-1.1093444839810001</v>
      </c>
      <c r="AE7966">
        <v>-24.35361</v>
      </c>
      <c r="AF7966">
        <v>3.3201770397571799</v>
      </c>
      <c r="AG7966">
        <v>-1.1093444839810001</v>
      </c>
      <c r="AH7966">
        <v>24.285435892004401</v>
      </c>
      <c r="AI7966">
        <v>92.591347631262096</v>
      </c>
      <c r="AJ7966">
        <v>82.215085429533403</v>
      </c>
      <c r="AK7966">
        <v>24.536434484743801</v>
      </c>
      <c r="AL7966">
        <v>86.187370423111901</v>
      </c>
      <c r="AM7966">
        <v>91.916623401097894</v>
      </c>
      <c r="AN7966">
        <v>0.99999997186668999</v>
      </c>
    </row>
    <row r="7967" spans="1:40" x14ac:dyDescent="0.25">
      <c r="A7967" t="str">
        <f>"20190312150847890"</f>
        <v>20190312150847890</v>
      </c>
      <c r="B7967" t="str">
        <f>"1552374527877572"</f>
        <v>1552374527877572</v>
      </c>
      <c r="C7967" t="s">
        <v>40</v>
      </c>
      <c r="D7967">
        <v>4.5518910000000004</v>
      </c>
      <c r="E7967">
        <v>0.565467099999999</v>
      </c>
      <c r="F7967" t="s">
        <v>42</v>
      </c>
      <c r="G7967">
        <v>-425.26979999999998</v>
      </c>
      <c r="H7967" s="1">
        <v>-2.3696830000000001E-6</v>
      </c>
      <c r="I7967">
        <v>61.844439999999999</v>
      </c>
      <c r="J7967">
        <v>-422.05579999999998</v>
      </c>
      <c r="K7967">
        <v>1.109345</v>
      </c>
      <c r="L7967">
        <v>86.266570000000002</v>
      </c>
      <c r="M7967">
        <v>4.85367E-3</v>
      </c>
      <c r="N7967">
        <v>0</v>
      </c>
      <c r="O7967">
        <v>-0.9999207</v>
      </c>
      <c r="P7967">
        <v>3.9013869999999999E-2</v>
      </c>
      <c r="Q7967">
        <v>5.4785399999999998E-2</v>
      </c>
      <c r="R7967">
        <v>-0.9977357</v>
      </c>
      <c r="S7967">
        <v>-0.39523320000000001</v>
      </c>
      <c r="T7967">
        <v>-0.13643279999999999</v>
      </c>
      <c r="U7967">
        <v>-3.0298769999999999</v>
      </c>
      <c r="V7967">
        <v>-3.4025989999999999E-2</v>
      </c>
      <c r="W7967">
        <v>6.6457680000000005E-2</v>
      </c>
      <c r="X7967">
        <v>0.99720889999999995</v>
      </c>
      <c r="Y7967">
        <v>0.1340325</v>
      </c>
      <c r="Z7967">
        <v>4.4591310000000002E-2</v>
      </c>
      <c r="AA7967">
        <v>0.9899732</v>
      </c>
      <c r="AB7967">
        <v>28</v>
      </c>
      <c r="AC7967">
        <v>-3.2139999999999902</v>
      </c>
      <c r="AD7967">
        <v>-1.1093473696830001</v>
      </c>
      <c r="AE7967">
        <v>-24.422129999999999</v>
      </c>
      <c r="AF7967">
        <v>3.3257617894656302</v>
      </c>
      <c r="AG7967">
        <v>-1.1093473696830001</v>
      </c>
      <c r="AH7967">
        <v>24.356840987880201</v>
      </c>
      <c r="AI7967">
        <v>92.583827152537793</v>
      </c>
      <c r="AJ7967">
        <v>82.224732004554696</v>
      </c>
      <c r="AK7967">
        <v>24.6078655306748</v>
      </c>
      <c r="AL7967">
        <v>86.1894469034861</v>
      </c>
      <c r="AM7967">
        <v>91.954244048005904</v>
      </c>
      <c r="AN7967">
        <v>0.99999999073283596</v>
      </c>
    </row>
    <row r="7968" spans="1:40" x14ac:dyDescent="0.25">
      <c r="A7968" t="str">
        <f>"20190312150847904"</f>
        <v>20190312150847904</v>
      </c>
      <c r="B7968" t="str">
        <f>"1552374527898068"</f>
        <v>1552374527898068</v>
      </c>
      <c r="C7968" t="s">
        <v>40</v>
      </c>
      <c r="D7968">
        <v>4.55044</v>
      </c>
      <c r="E7968">
        <v>0.56575439999999999</v>
      </c>
      <c r="F7968" t="s">
        <v>42</v>
      </c>
      <c r="G7968">
        <v>-425.2201</v>
      </c>
      <c r="H7968" s="1">
        <v>-2.4888889999999999E-6</v>
      </c>
      <c r="I7968">
        <v>62.153129999999997</v>
      </c>
      <c r="J7968">
        <v>-422.05560000000003</v>
      </c>
      <c r="K7968">
        <v>1.1093440000000001</v>
      </c>
      <c r="L7968">
        <v>86.083159999999907</v>
      </c>
      <c r="M7968">
        <v>4.1105509999999996E-3</v>
      </c>
      <c r="N7968">
        <v>0</v>
      </c>
      <c r="O7968">
        <v>-0.99992400000000004</v>
      </c>
      <c r="P7968">
        <v>3.8703260000000003E-2</v>
      </c>
      <c r="Q7968">
        <v>5.4554140000000001E-2</v>
      </c>
      <c r="R7968">
        <v>-0.9977606</v>
      </c>
      <c r="S7968">
        <v>-0.39761350000000001</v>
      </c>
      <c r="T7968">
        <v>-0.1393962</v>
      </c>
      <c r="U7968">
        <v>-3.0299990000000001</v>
      </c>
      <c r="V7968">
        <v>-3.445732E-2</v>
      </c>
      <c r="W7968">
        <v>6.6228350000000005E-2</v>
      </c>
      <c r="X7968">
        <v>0.99720940000000002</v>
      </c>
      <c r="Y7968">
        <v>0.1340499</v>
      </c>
      <c r="Z7968">
        <v>4.5553919999999998E-2</v>
      </c>
      <c r="AA7968">
        <v>0.989927</v>
      </c>
      <c r="AB7968">
        <v>28</v>
      </c>
      <c r="AC7968">
        <v>-3.1644999999999701</v>
      </c>
      <c r="AD7968">
        <v>-1.1093464888889999</v>
      </c>
      <c r="AE7968">
        <v>-23.930029999999899</v>
      </c>
      <c r="AF7968">
        <v>3.2559685139172898</v>
      </c>
      <c r="AG7968">
        <v>-1.1093464888889999</v>
      </c>
      <c r="AH7968">
        <v>23.866410324249799</v>
      </c>
      <c r="AI7968">
        <v>92.636887728418003</v>
      </c>
      <c r="AJ7968">
        <v>82.231397670609795</v>
      </c>
      <c r="AK7968">
        <v>24.113015621474801</v>
      </c>
      <c r="AL7968">
        <v>86.202615760830696</v>
      </c>
      <c r="AM7968">
        <v>91.978996429522297</v>
      </c>
      <c r="AN7968">
        <v>1.00000004434683</v>
      </c>
    </row>
    <row r="7969" spans="1:40" x14ac:dyDescent="0.25">
      <c r="A7969" t="str">
        <f>"20190312150847917"</f>
        <v>20190312150847917</v>
      </c>
      <c r="B7969" t="str">
        <f>"1552374527907828"</f>
        <v>1552374527907828</v>
      </c>
      <c r="C7969" t="s">
        <v>40</v>
      </c>
      <c r="D7969">
        <v>4.5368440000000003</v>
      </c>
      <c r="E7969">
        <v>0.56590419999999997</v>
      </c>
      <c r="F7969" t="s">
        <v>42</v>
      </c>
      <c r="G7969">
        <v>-425.14190000000002</v>
      </c>
      <c r="H7969" s="1">
        <v>-2.7118969999999999E-6</v>
      </c>
      <c r="I7969">
        <v>62.72148</v>
      </c>
      <c r="J7969">
        <v>-422.0557</v>
      </c>
      <c r="K7969">
        <v>1.10934</v>
      </c>
      <c r="L7969">
        <v>85.915409999999994</v>
      </c>
      <c r="M7969">
        <v>3.4285180000000002E-3</v>
      </c>
      <c r="N7969">
        <v>0</v>
      </c>
      <c r="O7969">
        <v>-0.9999266</v>
      </c>
      <c r="P7969">
        <v>3.8341479999999997E-2</v>
      </c>
      <c r="Q7969">
        <v>5.4563790000000001E-2</v>
      </c>
      <c r="R7969">
        <v>-0.9977741</v>
      </c>
      <c r="S7969">
        <v>-0.40029910000000002</v>
      </c>
      <c r="T7969">
        <v>-0.1438875</v>
      </c>
      <c r="U7969">
        <v>-3.0301209999999998</v>
      </c>
      <c r="V7969">
        <v>-3.477541E-2</v>
      </c>
      <c r="W7969">
        <v>6.6240240000000006E-2</v>
      </c>
      <c r="X7969">
        <v>0.99719749999999996</v>
      </c>
      <c r="Y7969">
        <v>0.13422239999999999</v>
      </c>
      <c r="Z7969">
        <v>4.7013489999999998E-2</v>
      </c>
      <c r="AA7969">
        <v>0.98983540000000003</v>
      </c>
      <c r="AB7969">
        <v>28</v>
      </c>
      <c r="AC7969">
        <v>-3.0862000000000198</v>
      </c>
      <c r="AD7969">
        <v>-1.1093427118970001</v>
      </c>
      <c r="AE7969">
        <v>-23.193929999999899</v>
      </c>
      <c r="AF7969">
        <v>3.1586080643646199</v>
      </c>
      <c r="AG7969">
        <v>-1.1093427118970001</v>
      </c>
      <c r="AH7969">
        <v>23.131217128367801</v>
      </c>
      <c r="AI7969">
        <v>92.720518032299296</v>
      </c>
      <c r="AJ7969">
        <v>82.224253169054506</v>
      </c>
      <c r="AK7969">
        <v>23.3722196634467</v>
      </c>
      <c r="AL7969">
        <v>86.201932755863595</v>
      </c>
      <c r="AM7969">
        <v>91.997274463762807</v>
      </c>
      <c r="AN7969">
        <v>0.99999997627108705</v>
      </c>
    </row>
    <row r="7970" spans="1:40" x14ac:dyDescent="0.25">
      <c r="A7970" t="str">
        <f>"20190312150847930"</f>
        <v>20190312150847930</v>
      </c>
      <c r="B7970" t="str">
        <f>"1552374527917588"</f>
        <v>1552374527917588</v>
      </c>
      <c r="C7970" t="s">
        <v>40</v>
      </c>
      <c r="D7970">
        <v>4.540095</v>
      </c>
      <c r="E7970">
        <v>0.56592419999999899</v>
      </c>
      <c r="F7970" t="s">
        <v>42</v>
      </c>
      <c r="G7970">
        <v>-425.11290000000002</v>
      </c>
      <c r="H7970" s="1">
        <v>-2.7819559999999998E-6</v>
      </c>
      <c r="I7970">
        <v>62.902729999999998</v>
      </c>
      <c r="J7970">
        <v>-422.05579999999998</v>
      </c>
      <c r="K7970">
        <v>1.1093409999999999</v>
      </c>
      <c r="L7970">
        <v>85.757599999999996</v>
      </c>
      <c r="M7970">
        <v>2.7856790000000001E-3</v>
      </c>
      <c r="N7970">
        <v>0</v>
      </c>
      <c r="O7970">
        <v>-0.9999285</v>
      </c>
      <c r="P7970">
        <v>3.8086519999999999E-2</v>
      </c>
      <c r="Q7970">
        <v>5.439811E-2</v>
      </c>
      <c r="R7970">
        <v>-0.99779260000000003</v>
      </c>
      <c r="S7970">
        <v>-0.40255740000000001</v>
      </c>
      <c r="T7970">
        <v>-0.1460707</v>
      </c>
      <c r="U7970">
        <v>-3.030151</v>
      </c>
      <c r="V7970">
        <v>-3.5162359999999997E-2</v>
      </c>
      <c r="W7970">
        <v>6.6076570000000001E-2</v>
      </c>
      <c r="X7970">
        <v>0.99719480000000005</v>
      </c>
      <c r="Y7970">
        <v>0.13430449999999999</v>
      </c>
      <c r="Z7970">
        <v>4.7722250000000001E-2</v>
      </c>
      <c r="AA7970">
        <v>0.98979030000000001</v>
      </c>
      <c r="AB7970">
        <v>28</v>
      </c>
      <c r="AC7970">
        <v>-3.0571000000000401</v>
      </c>
      <c r="AD7970">
        <v>-1.1093437819559999</v>
      </c>
      <c r="AE7970">
        <v>-22.854869999999899</v>
      </c>
      <c r="AF7970">
        <v>3.1135521938997699</v>
      </c>
      <c r="AG7970">
        <v>-1.1093437819559999</v>
      </c>
      <c r="AH7970">
        <v>22.793507136903401</v>
      </c>
      <c r="AI7970">
        <v>92.7607489756424</v>
      </c>
      <c r="AJ7970">
        <v>82.2216398721731</v>
      </c>
      <c r="AK7970">
        <v>23.031908702727399</v>
      </c>
      <c r="AL7970">
        <v>86.211330986867296</v>
      </c>
      <c r="AM7970">
        <v>92.019485530146696</v>
      </c>
      <c r="AN7970">
        <v>0.99999998690538705</v>
      </c>
    </row>
    <row r="7971" spans="1:40" x14ac:dyDescent="0.25">
      <c r="A7971" t="str">
        <f>"20190312150847945"</f>
        <v>20190312150847945</v>
      </c>
      <c r="B7971" t="str">
        <f>"1552374527938083"</f>
        <v>1552374527938083</v>
      </c>
      <c r="C7971" t="s">
        <v>40</v>
      </c>
      <c r="D7971">
        <v>4.5383719999999999</v>
      </c>
      <c r="E7971">
        <v>0.56619449999999905</v>
      </c>
      <c r="F7971" t="s">
        <v>42</v>
      </c>
      <c r="G7971">
        <v>-425.10120000000001</v>
      </c>
      <c r="H7971" s="1">
        <v>-2.7736640000000001E-6</v>
      </c>
      <c r="I7971">
        <v>62.890709999999999</v>
      </c>
      <c r="J7971">
        <v>-422.05610000000001</v>
      </c>
      <c r="K7971">
        <v>1.1093360000000001</v>
      </c>
      <c r="L7971">
        <v>85.553650000000005</v>
      </c>
      <c r="M7971">
        <v>1.9526610000000001E-3</v>
      </c>
      <c r="N7971">
        <v>0</v>
      </c>
      <c r="O7971">
        <v>-0.99993069999999895</v>
      </c>
      <c r="P7971">
        <v>3.7843109999999999E-2</v>
      </c>
      <c r="Q7971">
        <v>5.4389729999999997E-2</v>
      </c>
      <c r="R7971">
        <v>-0.99780270000000004</v>
      </c>
      <c r="S7971">
        <v>-0.4035339</v>
      </c>
      <c r="T7971">
        <v>-0.14699760000000001</v>
      </c>
      <c r="U7971">
        <v>-3.0300600000000002</v>
      </c>
      <c r="V7971">
        <v>-3.5749610000000001E-2</v>
      </c>
      <c r="W7971">
        <v>6.6071340000000006E-2</v>
      </c>
      <c r="X7971">
        <v>0.99717429999999996</v>
      </c>
      <c r="Y7971">
        <v>0.13379449999999901</v>
      </c>
      <c r="Z7971">
        <v>4.8026619999999999E-2</v>
      </c>
      <c r="AA7971">
        <v>0.98984470000000002</v>
      </c>
      <c r="AB7971">
        <v>28</v>
      </c>
      <c r="AC7971">
        <v>-3.0450999999999899</v>
      </c>
      <c r="AD7971">
        <v>-1.1093387736639999</v>
      </c>
      <c r="AE7971">
        <v>-22.662939999999999</v>
      </c>
      <c r="AF7971">
        <v>3.0820963194698501</v>
      </c>
      <c r="AG7971">
        <v>-1.1093387736639999</v>
      </c>
      <c r="AH7971">
        <v>22.603751073967</v>
      </c>
      <c r="AI7971">
        <v>92.783967510455497</v>
      </c>
      <c r="AJ7971">
        <v>82.2354147335775</v>
      </c>
      <c r="AK7971">
        <v>22.839866743287001</v>
      </c>
      <c r="AL7971">
        <v>86.211631427831506</v>
      </c>
      <c r="AM7971">
        <v>92.0532266984617</v>
      </c>
      <c r="AN7971">
        <v>1.0000000205825099</v>
      </c>
    </row>
    <row r="7972" spans="1:40" x14ac:dyDescent="0.25">
      <c r="A7972" t="str">
        <f>"20190312150847962"</f>
        <v>20190312150847962</v>
      </c>
      <c r="B7972" t="str">
        <f>"1552374527957604"</f>
        <v>1552374527957604</v>
      </c>
      <c r="C7972" t="s">
        <v>40</v>
      </c>
      <c r="D7972">
        <v>4.5410069999999996</v>
      </c>
      <c r="E7972">
        <v>0.56633959999999905</v>
      </c>
      <c r="F7972" t="s">
        <v>42</v>
      </c>
      <c r="G7972">
        <v>-425.07749999999999</v>
      </c>
      <c r="H7972" s="1">
        <v>-2.8254570000000002E-6</v>
      </c>
      <c r="I7972">
        <v>63.026130000000002</v>
      </c>
      <c r="J7972">
        <v>-422.0566</v>
      </c>
      <c r="K7972">
        <v>1.109327</v>
      </c>
      <c r="L7972">
        <v>85.339230000000001</v>
      </c>
      <c r="M7972">
        <v>1.0724840000000001E-3</v>
      </c>
      <c r="N7972">
        <v>0</v>
      </c>
      <c r="O7972">
        <v>-0.99993209999999999</v>
      </c>
      <c r="P7972">
        <v>3.7078840000000002E-2</v>
      </c>
      <c r="Q7972">
        <v>5.4534440000000003E-2</v>
      </c>
      <c r="R7972">
        <v>-0.99782369999999998</v>
      </c>
      <c r="S7972">
        <v>-0.4064026</v>
      </c>
      <c r="T7972">
        <v>-0.14921589999999901</v>
      </c>
      <c r="U7972">
        <v>-3.030151</v>
      </c>
      <c r="V7972">
        <v>-3.5862430000000001E-2</v>
      </c>
      <c r="W7972">
        <v>6.6217880000000007E-2</v>
      </c>
      <c r="X7972">
        <v>0.99716050000000001</v>
      </c>
      <c r="Y7972">
        <v>0.13383429999999999</v>
      </c>
      <c r="Z7972">
        <v>4.8745139999999999E-2</v>
      </c>
      <c r="AA7972">
        <v>0.98980409999999996</v>
      </c>
      <c r="AB7972">
        <v>28</v>
      </c>
      <c r="AC7972">
        <v>-3.0208999999999802</v>
      </c>
      <c r="AD7972">
        <v>-1.1093298254570001</v>
      </c>
      <c r="AE7972">
        <v>-22.313099999999999</v>
      </c>
      <c r="AF7972">
        <v>3.0374576696522202</v>
      </c>
      <c r="AG7972">
        <v>-1.1093298254570001</v>
      </c>
      <c r="AH7972">
        <v>22.2558267893011</v>
      </c>
      <c r="AI7972">
        <v>92.827348698817602</v>
      </c>
      <c r="AJ7972">
        <v>82.228333057681596</v>
      </c>
      <c r="AK7972">
        <v>22.489521734175401</v>
      </c>
      <c r="AL7972">
        <v>86.203216768846403</v>
      </c>
      <c r="AM7972">
        <v>92.059729258614297</v>
      </c>
      <c r="AN7972">
        <v>0.99999999213872404</v>
      </c>
    </row>
    <row r="7973" spans="1:40" x14ac:dyDescent="0.25">
      <c r="A7973" t="str">
        <f>"20190312150847975"</f>
        <v>20190312150847975</v>
      </c>
      <c r="B7973" t="str">
        <f>"1552374527967364"</f>
        <v>1552374527967364</v>
      </c>
      <c r="C7973" t="s">
        <v>40</v>
      </c>
      <c r="D7973">
        <v>4.530913</v>
      </c>
      <c r="E7973">
        <v>0.56634739999999995</v>
      </c>
      <c r="F7973" t="s">
        <v>42</v>
      </c>
      <c r="G7973">
        <v>-425.1277</v>
      </c>
      <c r="H7973" s="1">
        <v>-2.6779440000000002E-6</v>
      </c>
      <c r="I7973">
        <v>62.651150000000001</v>
      </c>
      <c r="J7973">
        <v>-422.05709999999999</v>
      </c>
      <c r="K7973">
        <v>1.1093249999999999</v>
      </c>
      <c r="L7973">
        <v>85.183589999999995</v>
      </c>
      <c r="M7973">
        <v>4.303156E-4</v>
      </c>
      <c r="N7973">
        <v>0</v>
      </c>
      <c r="O7973">
        <v>-0.99993209999999999</v>
      </c>
      <c r="P7973">
        <v>3.6615189999999999E-2</v>
      </c>
      <c r="Q7973">
        <v>5.4370519999999999E-2</v>
      </c>
      <c r="R7973">
        <v>-0.99784919999999999</v>
      </c>
      <c r="S7973">
        <v>-0.41012569999999998</v>
      </c>
      <c r="T7973">
        <v>-0.14814530000000001</v>
      </c>
      <c r="U7973">
        <v>-3.0298769999999999</v>
      </c>
      <c r="V7973">
        <v>-3.6039219999999997E-2</v>
      </c>
      <c r="W7973">
        <v>6.6055619999999995E-2</v>
      </c>
      <c r="X7973">
        <v>0.99716490000000002</v>
      </c>
      <c r="Y7973">
        <v>0.13440650000000001</v>
      </c>
      <c r="Z7973">
        <v>4.8394769999999997E-2</v>
      </c>
      <c r="AA7973">
        <v>0.98974379999999995</v>
      </c>
      <c r="AB7973">
        <v>28</v>
      </c>
      <c r="AC7973">
        <v>-3.07060000000001</v>
      </c>
      <c r="AD7973">
        <v>-1.109327677944</v>
      </c>
      <c r="AE7973">
        <v>-22.532439999999902</v>
      </c>
      <c r="AF7973">
        <v>3.0729838252652502</v>
      </c>
      <c r="AG7973">
        <v>-1.109327677944</v>
      </c>
      <c r="AH7973">
        <v>22.477627738812501</v>
      </c>
      <c r="AI7973">
        <v>92.799401034507596</v>
      </c>
      <c r="AJ7973">
        <v>82.215183502274797</v>
      </c>
      <c r="AK7973">
        <v>22.713819279285101</v>
      </c>
      <c r="AL7973">
        <v>86.212534026700894</v>
      </c>
      <c r="AM7973">
        <v>92.069865111382896</v>
      </c>
      <c r="AN7973">
        <v>1.0000000040518999</v>
      </c>
    </row>
    <row r="7974" spans="1:40" x14ac:dyDescent="0.25">
      <c r="A7974" t="str">
        <f>"20190312150847990"</f>
        <v>20190312150847990</v>
      </c>
      <c r="B7974" t="str">
        <f>"1552374527978100"</f>
        <v>1552374527978100</v>
      </c>
      <c r="C7974" t="s">
        <v>40</v>
      </c>
      <c r="D7974">
        <v>4.5090979999999998</v>
      </c>
      <c r="E7974">
        <v>0.56637749999999998</v>
      </c>
      <c r="F7974" t="s">
        <v>42</v>
      </c>
      <c r="G7974">
        <v>-425.12270000000001</v>
      </c>
      <c r="H7974" s="1">
        <v>-2.6552469999999998E-6</v>
      </c>
      <c r="I7974">
        <v>62.601309999999998</v>
      </c>
      <c r="J7974">
        <v>-422.05779999999999</v>
      </c>
      <c r="K7974">
        <v>1.1093230000000001</v>
      </c>
      <c r="L7974">
        <v>84.999269999999996</v>
      </c>
      <c r="M7974">
        <v>-3.3288239999999998E-4</v>
      </c>
      <c r="N7974">
        <v>0</v>
      </c>
      <c r="O7974">
        <v>-0.99993240000000005</v>
      </c>
      <c r="P7974">
        <v>3.5957019999999999E-2</v>
      </c>
      <c r="Q7974">
        <v>5.4295059999999999E-2</v>
      </c>
      <c r="R7974">
        <v>-0.99787740000000003</v>
      </c>
      <c r="S7974">
        <v>-0.41128540000000002</v>
      </c>
      <c r="T7974">
        <v>-0.14882860000000001</v>
      </c>
      <c r="U7974">
        <v>-3.0296630000000002</v>
      </c>
      <c r="V7974">
        <v>-3.6142100000000003E-2</v>
      </c>
      <c r="W7974">
        <v>6.5981890000000001E-2</v>
      </c>
      <c r="X7974">
        <v>0.997166</v>
      </c>
      <c r="Y7974">
        <v>0.13402999999999901</v>
      </c>
      <c r="Z7974">
        <v>4.862085E-2</v>
      </c>
      <c r="AA7974">
        <v>0.98978379999999999</v>
      </c>
      <c r="AB7974">
        <v>28</v>
      </c>
      <c r="AC7974">
        <v>-3.0649000000000202</v>
      </c>
      <c r="AD7974">
        <v>-1.1093256552470001</v>
      </c>
      <c r="AE7974">
        <v>-22.397960000000001</v>
      </c>
      <c r="AF7974">
        <v>3.0500990069000902</v>
      </c>
      <c r="AG7974">
        <v>-1.1093256552470001</v>
      </c>
      <c r="AH7974">
        <v>22.345173406713201</v>
      </c>
      <c r="AI7974">
        <v>92.816043737973601</v>
      </c>
      <c r="AJ7974">
        <v>82.227206896120293</v>
      </c>
      <c r="AK7974">
        <v>22.579647515790999</v>
      </c>
      <c r="AL7974">
        <v>86.216767462212104</v>
      </c>
      <c r="AM7974">
        <v>92.075766439149504</v>
      </c>
      <c r="AN7974">
        <v>0.99999994637818901</v>
      </c>
    </row>
    <row r="7975" spans="1:40" x14ac:dyDescent="0.25">
      <c r="A7975" t="str">
        <f>"20190312150848005"</f>
        <v>20190312150848005</v>
      </c>
      <c r="B7975" t="str">
        <f>"1552374527997620"</f>
        <v>1552374527997620</v>
      </c>
      <c r="C7975" t="s">
        <v>40</v>
      </c>
      <c r="D7975">
        <v>5.7722759999999997</v>
      </c>
      <c r="E7975">
        <v>0.56641699999999995</v>
      </c>
      <c r="F7975" t="s">
        <v>42</v>
      </c>
      <c r="G7975">
        <v>-425.14890000000003</v>
      </c>
      <c r="H7975" s="1">
        <v>-2.5591920000000002E-6</v>
      </c>
      <c r="I7975">
        <v>62.361159999999998</v>
      </c>
      <c r="J7975">
        <v>-422.05869999999999</v>
      </c>
      <c r="K7975">
        <v>1.1093200000000001</v>
      </c>
      <c r="L7975">
        <v>84.813959999999994</v>
      </c>
      <c r="M7975">
        <v>-1.1036150000000001E-3</v>
      </c>
      <c r="N7975">
        <v>0</v>
      </c>
      <c r="O7975">
        <v>-0.99993189999999998</v>
      </c>
      <c r="P7975">
        <v>3.5453129999999999E-2</v>
      </c>
      <c r="Q7975">
        <v>5.4436150000000003E-2</v>
      </c>
      <c r="R7975">
        <v>-0.99788779999999999</v>
      </c>
      <c r="S7975">
        <v>-0.41363529999999998</v>
      </c>
      <c r="T7975">
        <v>-0.1484463</v>
      </c>
      <c r="U7975">
        <v>-3.0293580000000002</v>
      </c>
      <c r="V7975">
        <v>-3.6406599999999997E-2</v>
      </c>
      <c r="W7975">
        <v>6.6125089999999997E-2</v>
      </c>
      <c r="X7975">
        <v>0.99714700000000001</v>
      </c>
      <c r="Y7975">
        <v>0.13403409999999999</v>
      </c>
      <c r="Z7975">
        <v>4.8498510000000002E-2</v>
      </c>
      <c r="AA7975">
        <v>0.98978920000000004</v>
      </c>
      <c r="AB7975">
        <v>28</v>
      </c>
      <c r="AC7975">
        <v>-3.09020000000003</v>
      </c>
      <c r="AD7975">
        <v>-1.109322559192</v>
      </c>
      <c r="AE7975">
        <v>-22.4528</v>
      </c>
      <c r="AF7975">
        <v>3.0580910535945001</v>
      </c>
      <c r="AG7975">
        <v>-1.109322559192</v>
      </c>
      <c r="AH7975">
        <v>22.4025281165328</v>
      </c>
      <c r="AI7975">
        <v>92.808835129880904</v>
      </c>
      <c r="AJ7975">
        <v>82.226797205742102</v>
      </c>
      <c r="AK7975">
        <v>22.6374862439373</v>
      </c>
      <c r="AL7975">
        <v>86.208545156410906</v>
      </c>
      <c r="AM7975">
        <v>92.090983964605698</v>
      </c>
      <c r="AN7975">
        <v>1.00000005383003</v>
      </c>
    </row>
    <row r="7976" spans="1:40" x14ac:dyDescent="0.25">
      <c r="A7976" t="str">
        <f>"20190312150848025"</f>
        <v>20190312150848025</v>
      </c>
      <c r="B7976" t="str">
        <f>"1552374528018116"</f>
        <v>1552374528018116</v>
      </c>
      <c r="C7976" t="s">
        <v>40</v>
      </c>
      <c r="D7976">
        <v>4.5372750000000002</v>
      </c>
      <c r="E7976">
        <v>0.56662679999999999</v>
      </c>
      <c r="F7976" t="s">
        <v>42</v>
      </c>
      <c r="G7976">
        <v>-425.18310000000002</v>
      </c>
      <c r="H7976" s="1">
        <v>-2.4293089999999998E-6</v>
      </c>
      <c r="I7976">
        <v>62.037190000000002</v>
      </c>
      <c r="J7976">
        <v>-422.06020000000001</v>
      </c>
      <c r="K7976">
        <v>1.1093120000000001</v>
      </c>
      <c r="L7976">
        <v>84.548950000000005</v>
      </c>
      <c r="M7976">
        <v>-2.2126070000000001E-3</v>
      </c>
      <c r="N7976">
        <v>0</v>
      </c>
      <c r="O7976">
        <v>-0.99992999999999999</v>
      </c>
      <c r="P7976">
        <v>3.4621440000000003E-2</v>
      </c>
      <c r="Q7976">
        <v>5.4861880000000002E-2</v>
      </c>
      <c r="R7976">
        <v>-0.9978939</v>
      </c>
      <c r="S7976">
        <v>-0.41552729999999999</v>
      </c>
      <c r="T7976">
        <v>-0.14753329999999901</v>
      </c>
      <c r="U7976">
        <v>-3.029175</v>
      </c>
      <c r="V7976">
        <v>-3.6679429999999999E-2</v>
      </c>
      <c r="W7976">
        <v>6.6553299999999996E-2</v>
      </c>
      <c r="X7976">
        <v>0.99710849999999995</v>
      </c>
      <c r="Y7976">
        <v>0.1335519</v>
      </c>
      <c r="Z7976">
        <v>4.8203219999999998E-2</v>
      </c>
      <c r="AA7976">
        <v>0.98986890000000005</v>
      </c>
      <c r="AB7976">
        <v>28</v>
      </c>
      <c r="AC7976">
        <v>-3.1229000000000098</v>
      </c>
      <c r="AD7976">
        <v>-1.10931442930899</v>
      </c>
      <c r="AE7976">
        <v>-22.511759999999999</v>
      </c>
      <c r="AF7976">
        <v>3.0657754498190202</v>
      </c>
      <c r="AG7976">
        <v>-1.10931442930899</v>
      </c>
      <c r="AH7976">
        <v>22.465094566432199</v>
      </c>
      <c r="AI7976">
        <v>92.801018642497993</v>
      </c>
      <c r="AJ7976">
        <v>82.228941283411103</v>
      </c>
      <c r="AK7976">
        <v>22.700441217970301</v>
      </c>
      <c r="AL7976">
        <v>86.183956318940901</v>
      </c>
      <c r="AM7976">
        <v>92.106720938975002</v>
      </c>
      <c r="AN7976">
        <v>1.0000000415491299</v>
      </c>
    </row>
    <row r="7977" spans="1:40" x14ac:dyDescent="0.25">
      <c r="A7977" t="str">
        <f>"20190312150848048"</f>
        <v>20190312150848048</v>
      </c>
      <c r="B7977" t="str">
        <f>"1552374528037636"</f>
        <v>1552374528037636</v>
      </c>
      <c r="C7977" t="s">
        <v>40</v>
      </c>
      <c r="D7977">
        <v>4.5531540000000001</v>
      </c>
      <c r="E7977">
        <v>0.56664099999999995</v>
      </c>
      <c r="F7977" t="s">
        <v>42</v>
      </c>
      <c r="G7977">
        <v>-427.83049999999997</v>
      </c>
      <c r="H7977" s="1">
        <v>-3.477188E-6</v>
      </c>
      <c r="I7977">
        <v>43.122990000000001</v>
      </c>
      <c r="J7977">
        <v>-422.06209999999999</v>
      </c>
      <c r="K7977">
        <v>1.109305</v>
      </c>
      <c r="L7977">
        <v>84.266750000000002</v>
      </c>
      <c r="M7977">
        <v>-3.3987790000000002E-3</v>
      </c>
      <c r="N7977">
        <v>0</v>
      </c>
      <c r="O7977">
        <v>-0.99992639999999999</v>
      </c>
      <c r="P7977">
        <v>3.3834259999999998E-2</v>
      </c>
      <c r="Q7977">
        <v>5.5320620000000001E-2</v>
      </c>
      <c r="R7977">
        <v>-0.99789530000000004</v>
      </c>
      <c r="S7977">
        <v>-0.42141719999999999</v>
      </c>
      <c r="T7977">
        <v>-8.1014749999999996E-2</v>
      </c>
      <c r="U7977">
        <v>-3.0253909999999999</v>
      </c>
      <c r="V7977">
        <v>-3.707386E-2</v>
      </c>
      <c r="W7977">
        <v>6.7014809999999994E-2</v>
      </c>
      <c r="X7977">
        <v>0.99706300000000003</v>
      </c>
      <c r="Y7977">
        <v>0.13454569999999999</v>
      </c>
      <c r="Z7977">
        <v>2.651883E-2</v>
      </c>
      <c r="AA7977">
        <v>0.99055249999999995</v>
      </c>
      <c r="AB7977">
        <v>28</v>
      </c>
      <c r="AC7977">
        <v>-5.7683999999999802</v>
      </c>
      <c r="AD7977">
        <v>-1.109308477188</v>
      </c>
      <c r="AE7977">
        <v>-41.14376</v>
      </c>
      <c r="AF7977">
        <v>5.6245088014424001</v>
      </c>
      <c r="AG7977">
        <v>-1.109308477188</v>
      </c>
      <c r="AH7977">
        <v>41.1338039213719</v>
      </c>
      <c r="AI7977">
        <v>91.530559650360203</v>
      </c>
      <c r="AJ7977">
        <v>82.213839066012</v>
      </c>
      <c r="AK7977">
        <v>41.5313795773381</v>
      </c>
      <c r="AL7977">
        <v>86.157454575764604</v>
      </c>
      <c r="AM7977">
        <v>92.129451771461802</v>
      </c>
      <c r="AN7977">
        <v>1.0000000409118099</v>
      </c>
    </row>
    <row r="7978" spans="1:40" x14ac:dyDescent="0.25">
      <c r="A7978" t="str">
        <f>"20190312150848068"</f>
        <v>20190312150848068</v>
      </c>
      <c r="B7978" t="str">
        <f>"1552374528058133"</f>
        <v>1552374528058133</v>
      </c>
      <c r="C7978" t="s">
        <v>40</v>
      </c>
      <c r="D7978">
        <v>4.5540050000000001</v>
      </c>
      <c r="E7978">
        <v>0.5674186</v>
      </c>
      <c r="F7978" t="s">
        <v>42</v>
      </c>
      <c r="G7978">
        <v>-425.33510000000001</v>
      </c>
      <c r="H7978" s="1">
        <v>-1.9414580000000001E-6</v>
      </c>
      <c r="I7978">
        <v>60.805700000000002</v>
      </c>
      <c r="J7978">
        <v>-422.0643</v>
      </c>
      <c r="K7978">
        <v>1.1093059999999999</v>
      </c>
      <c r="L7978">
        <v>83.990719999999996</v>
      </c>
      <c r="M7978">
        <v>-4.5630050000000002E-3</v>
      </c>
      <c r="N7978">
        <v>0</v>
      </c>
      <c r="O7978">
        <v>-0.99992190000000003</v>
      </c>
      <c r="P7978">
        <v>3.3439080000000003E-2</v>
      </c>
      <c r="Q7978">
        <v>5.503802E-2</v>
      </c>
      <c r="R7978">
        <v>-0.99792429999999999</v>
      </c>
      <c r="S7978">
        <v>-0.4225159</v>
      </c>
      <c r="T7978">
        <v>-0.14320079999999999</v>
      </c>
      <c r="U7978">
        <v>-3.0285950000000001</v>
      </c>
      <c r="V7978">
        <v>-3.784096E-2</v>
      </c>
      <c r="W7978">
        <v>6.6735530000000001E-2</v>
      </c>
      <c r="X7978">
        <v>0.99705279999999996</v>
      </c>
      <c r="Y7978">
        <v>0.13349839999999999</v>
      </c>
      <c r="Z7978">
        <v>4.679196E-2</v>
      </c>
      <c r="AA7978">
        <v>0.98994380000000004</v>
      </c>
      <c r="AB7978">
        <v>28</v>
      </c>
      <c r="AC7978">
        <v>-3.2707999999999999</v>
      </c>
      <c r="AD7978">
        <v>-1.1093079414579901</v>
      </c>
      <c r="AE7978">
        <v>-23.185019999999898</v>
      </c>
      <c r="AF7978">
        <v>3.1578773804156501</v>
      </c>
      <c r="AG7978">
        <v>-1.1093079414579901</v>
      </c>
      <c r="AH7978">
        <v>23.1477478118893</v>
      </c>
      <c r="AI7978">
        <v>92.718539990484004</v>
      </c>
      <c r="AJ7978">
        <v>82.231513815659795</v>
      </c>
      <c r="AK7978">
        <v>23.3884796945323</v>
      </c>
      <c r="AL7978">
        <v>86.173491608514098</v>
      </c>
      <c r="AM7978">
        <v>92.173492915959997</v>
      </c>
      <c r="AN7978">
        <v>0.99999992760296796</v>
      </c>
    </row>
    <row r="7979" spans="1:40" x14ac:dyDescent="0.25">
      <c r="A7979" t="str">
        <f>"20190312150848091"</f>
        <v>20190312150848091</v>
      </c>
      <c r="B7979" t="str">
        <f>"1552374528087412"</f>
        <v>1552374528087412</v>
      </c>
      <c r="C7979" t="s">
        <v>40</v>
      </c>
      <c r="D7979">
        <v>4.4783679999999997</v>
      </c>
      <c r="E7979">
        <v>0.53761800000000004</v>
      </c>
      <c r="F7979" t="s">
        <v>42</v>
      </c>
      <c r="G7979">
        <v>-425.34179999999998</v>
      </c>
      <c r="H7979" s="1">
        <v>-1.9824919999999999E-6</v>
      </c>
      <c r="I7979">
        <v>60.897190000000002</v>
      </c>
      <c r="J7979">
        <v>-422.06700000000001</v>
      </c>
      <c r="K7979">
        <v>1.109305</v>
      </c>
      <c r="L7979">
        <v>83.705869999999905</v>
      </c>
      <c r="M7979">
        <v>-5.7665290000000003E-3</v>
      </c>
      <c r="N7979">
        <v>0</v>
      </c>
      <c r="O7979">
        <v>-0.99991569999999996</v>
      </c>
      <c r="P7979">
        <v>3.3006689999999998E-2</v>
      </c>
      <c r="Q7979">
        <v>5.4810419999999999E-2</v>
      </c>
      <c r="R7979">
        <v>-0.99795140000000004</v>
      </c>
      <c r="S7979">
        <v>-0.4298401</v>
      </c>
      <c r="T7979">
        <v>-0.14548429999999901</v>
      </c>
      <c r="U7979">
        <v>-3.0286870000000001</v>
      </c>
      <c r="V7979">
        <v>-3.8609829999999998E-2</v>
      </c>
      <c r="W7979">
        <v>6.6511440000000005E-2</v>
      </c>
      <c r="X7979">
        <v>0.99703839999999999</v>
      </c>
      <c r="Y7979">
        <v>0.13464409999999999</v>
      </c>
      <c r="Z7979">
        <v>4.7522929999999998E-2</v>
      </c>
      <c r="AA7979">
        <v>0.98975380000000002</v>
      </c>
      <c r="AB7979">
        <v>28</v>
      </c>
      <c r="AC7979">
        <v>-3.2748000000000199</v>
      </c>
      <c r="AD7979">
        <v>-1.1093069824920001</v>
      </c>
      <c r="AE7979">
        <v>-22.808679999999899</v>
      </c>
      <c r="AF7979">
        <v>3.1359418182432299</v>
      </c>
      <c r="AG7979">
        <v>-1.1093069824920001</v>
      </c>
      <c r="AH7979">
        <v>22.7744038973754</v>
      </c>
      <c r="AI7979">
        <v>92.762561991449999</v>
      </c>
      <c r="AJ7979">
        <v>82.159908360310098</v>
      </c>
      <c r="AK7979">
        <v>23.0160414917422</v>
      </c>
      <c r="AL7979">
        <v>86.186360005322101</v>
      </c>
      <c r="AM7979">
        <v>92.217643286464593</v>
      </c>
      <c r="AN7979">
        <v>1.00000003084903</v>
      </c>
    </row>
    <row r="7980" spans="1:40" x14ac:dyDescent="0.25">
      <c r="A7980" t="str">
        <f>"20190312150848104"</f>
        <v>20190312150848104</v>
      </c>
      <c r="B7980" t="str">
        <f>"1552374528098148"</f>
        <v>1552374528098148</v>
      </c>
      <c r="C7980" t="s">
        <v>40</v>
      </c>
      <c r="D7980">
        <v>4.4681259999999998</v>
      </c>
      <c r="E7980">
        <v>0.53242860000000003</v>
      </c>
      <c r="F7980" t="s">
        <v>42</v>
      </c>
      <c r="G7980">
        <v>-424.66849999999999</v>
      </c>
      <c r="H7980" s="1">
        <v>-2.9083179999999998E-6</v>
      </c>
      <c r="I7980">
        <v>43.472900000000003</v>
      </c>
      <c r="J7980">
        <v>-422.06869999999998</v>
      </c>
      <c r="K7980">
        <v>1.109305</v>
      </c>
      <c r="L7980">
        <v>83.535609999999906</v>
      </c>
      <c r="M7980">
        <v>-6.4868749999999996E-3</v>
      </c>
      <c r="N7980">
        <v>0</v>
      </c>
      <c r="O7980">
        <v>-0.99991140000000001</v>
      </c>
      <c r="P7980">
        <v>3.294673E-2</v>
      </c>
      <c r="Q7980">
        <v>5.4376880000000002E-2</v>
      </c>
      <c r="R7980">
        <v>-0.99797709999999995</v>
      </c>
      <c r="S7980">
        <v>-0.19509889999999999</v>
      </c>
      <c r="T7980">
        <v>-8.3189250000000006E-2</v>
      </c>
      <c r="U7980">
        <v>-3.0171510000000001</v>
      </c>
      <c r="V7980">
        <v>-3.9269409999999998E-2</v>
      </c>
      <c r="W7980">
        <v>6.6080379999999994E-2</v>
      </c>
      <c r="X7980">
        <v>0.99704130000000002</v>
      </c>
      <c r="Y7980">
        <v>5.8028959999999997E-2</v>
      </c>
      <c r="Z7980">
        <v>2.7508850000000001E-2</v>
      </c>
      <c r="AA7980">
        <v>0.99793580000000004</v>
      </c>
      <c r="AB7980">
        <v>28</v>
      </c>
      <c r="AC7980">
        <v>-2.5998000000000099</v>
      </c>
      <c r="AD7980">
        <v>-1.109307908318</v>
      </c>
      <c r="AE7980">
        <v>-40.062709999999903</v>
      </c>
      <c r="AF7980">
        <v>2.3380608761570798</v>
      </c>
      <c r="AG7980">
        <v>-1.109307908318</v>
      </c>
      <c r="AH7980">
        <v>40.048156655767002</v>
      </c>
      <c r="AI7980">
        <v>91.583954468963398</v>
      </c>
      <c r="AJ7980">
        <v>86.658794163619802</v>
      </c>
      <c r="AK7980">
        <v>40.131682549090002</v>
      </c>
      <c r="AL7980">
        <v>86.211112369791195</v>
      </c>
      <c r="AM7980">
        <v>92.255482409922607</v>
      </c>
      <c r="AN7980">
        <v>1.0000000285441899</v>
      </c>
    </row>
    <row r="7981" spans="1:40" x14ac:dyDescent="0.25">
      <c r="A7981" t="str">
        <f>"20190312150848117"</f>
        <v>20190312150848117</v>
      </c>
      <c r="B7981" t="str">
        <f>"1552374528107908"</f>
        <v>1552374528107908</v>
      </c>
      <c r="C7981" t="s">
        <v>40</v>
      </c>
      <c r="D7981">
        <v>4.5394360000000002</v>
      </c>
      <c r="E7981">
        <v>0.525815699999999</v>
      </c>
      <c r="F7981" t="s">
        <v>73</v>
      </c>
      <c r="G7981">
        <v>-424.42039999999997</v>
      </c>
      <c r="H7981" s="1">
        <v>-1.991067E-6</v>
      </c>
      <c r="I7981">
        <v>37.50806</v>
      </c>
      <c r="J7981">
        <v>-422.07049999999998</v>
      </c>
      <c r="K7981">
        <v>1.1093059999999999</v>
      </c>
      <c r="L7981">
        <v>83.37012</v>
      </c>
      <c r="M7981">
        <v>-7.1868009999999996E-3</v>
      </c>
      <c r="N7981">
        <v>0</v>
      </c>
      <c r="O7981">
        <v>-0.99990670000000004</v>
      </c>
      <c r="P7981">
        <v>3.3122899999999997E-2</v>
      </c>
      <c r="Q7981">
        <v>5.3970980000000002E-2</v>
      </c>
      <c r="R7981">
        <v>-0.99799340000000003</v>
      </c>
      <c r="S7981">
        <v>-0.15405269999999999</v>
      </c>
      <c r="T7981">
        <v>-7.2666880000000003E-2</v>
      </c>
      <c r="U7981">
        <v>-3.0151059999999998</v>
      </c>
      <c r="V7981">
        <v>-4.014525E-2</v>
      </c>
      <c r="W7981">
        <v>6.5676899999999899E-2</v>
      </c>
      <c r="X7981">
        <v>0.99703310000000001</v>
      </c>
      <c r="Y7981">
        <v>4.383306E-2</v>
      </c>
      <c r="Z7981">
        <v>2.4065739999999999E-2</v>
      </c>
      <c r="AA7981">
        <v>0.998749</v>
      </c>
      <c r="AB7981">
        <v>28</v>
      </c>
      <c r="AC7981">
        <v>-2.3498999999999901</v>
      </c>
      <c r="AD7981">
        <v>-1.1093079910669901</v>
      </c>
      <c r="AE7981">
        <v>-45.86206</v>
      </c>
      <c r="AF7981">
        <v>2.0190374092912702</v>
      </c>
      <c r="AG7981">
        <v>-1.1093079910669901</v>
      </c>
      <c r="AH7981">
        <v>45.851009688671098</v>
      </c>
      <c r="AI7981">
        <v>91.384588326509601</v>
      </c>
      <c r="AJ7981">
        <v>87.478623954213404</v>
      </c>
      <c r="AK7981">
        <v>45.908846268990203</v>
      </c>
      <c r="AL7981">
        <v>86.234280478267195</v>
      </c>
      <c r="AM7981">
        <v>92.305752498435396</v>
      </c>
      <c r="AN7981">
        <v>1.00000004939339</v>
      </c>
    </row>
    <row r="7982" spans="1:40" x14ac:dyDescent="0.25">
      <c r="A7982" t="str">
        <f>"20190312150848131"</f>
        <v>20190312150848131</v>
      </c>
      <c r="B7982" t="str">
        <f>"1552374528127429"</f>
        <v>1552374528127429</v>
      </c>
      <c r="C7982" t="s">
        <v>40</v>
      </c>
      <c r="D7982">
        <v>4.6042969999999999</v>
      </c>
      <c r="E7982">
        <v>0.5150479</v>
      </c>
      <c r="F7982" t="s">
        <v>73</v>
      </c>
      <c r="G7982">
        <v>-423.55340000000001</v>
      </c>
      <c r="H7982" s="1">
        <v>-1.130759E-6</v>
      </c>
      <c r="I7982">
        <v>39.15654</v>
      </c>
      <c r="J7982">
        <v>-422.07240000000002</v>
      </c>
      <c r="K7982">
        <v>1.109307</v>
      </c>
      <c r="L7982">
        <v>83.204279999999997</v>
      </c>
      <c r="M7982">
        <v>-7.8879350000000004E-3</v>
      </c>
      <c r="N7982">
        <v>0</v>
      </c>
      <c r="O7982">
        <v>-0.99990120000000005</v>
      </c>
      <c r="P7982">
        <v>3.3262399999999998E-2</v>
      </c>
      <c r="Q7982">
        <v>5.3831329999999997E-2</v>
      </c>
      <c r="R7982">
        <v>-0.99799590000000005</v>
      </c>
      <c r="S7982">
        <v>-0.1010742</v>
      </c>
      <c r="T7982">
        <v>-7.5607659999999993E-2</v>
      </c>
      <c r="U7982">
        <v>-3.0134889999999999</v>
      </c>
      <c r="V7982">
        <v>-4.0984720000000002E-2</v>
      </c>
      <c r="W7982">
        <v>6.5540340000000002E-2</v>
      </c>
      <c r="X7982">
        <v>0.99700789999999995</v>
      </c>
      <c r="Y7982">
        <v>2.562613E-2</v>
      </c>
      <c r="Z7982">
        <v>2.5069520000000001E-2</v>
      </c>
      <c r="AA7982">
        <v>0.99935719999999995</v>
      </c>
      <c r="AB7982">
        <v>28</v>
      </c>
      <c r="AC7982">
        <v>-1.4809999999999901</v>
      </c>
      <c r="AD7982">
        <v>-1.109308130759</v>
      </c>
      <c r="AE7982">
        <v>-44.047739999999997</v>
      </c>
      <c r="AF7982">
        <v>1.1327670494092901</v>
      </c>
      <c r="AG7982">
        <v>-1.109308130759</v>
      </c>
      <c r="AH7982">
        <v>44.030157922520203</v>
      </c>
      <c r="AI7982">
        <v>91.442743423701302</v>
      </c>
      <c r="AJ7982">
        <v>88.526272434220303</v>
      </c>
      <c r="AK7982">
        <v>44.058694174921499</v>
      </c>
      <c r="AL7982">
        <v>86.242121565987503</v>
      </c>
      <c r="AM7982">
        <v>92.353973417265905</v>
      </c>
      <c r="AN7982">
        <v>1.0000000180516</v>
      </c>
    </row>
    <row r="7983" spans="1:40" x14ac:dyDescent="0.25">
      <c r="A7983" t="str">
        <f>"20190312150848144"</f>
        <v>20190312150848144</v>
      </c>
      <c r="B7983" t="str">
        <f>"1552374528138164"</f>
        <v>1552374528138164</v>
      </c>
      <c r="C7983" t="s">
        <v>40</v>
      </c>
      <c r="D7983">
        <v>4.8763740000000002</v>
      </c>
      <c r="E7983">
        <v>0.51243430000000001</v>
      </c>
      <c r="F7983" t="s">
        <v>42</v>
      </c>
      <c r="G7983">
        <v>-422.22480000000002</v>
      </c>
      <c r="H7983" s="1">
        <v>-8.3581009999999895E-7</v>
      </c>
      <c r="I7983">
        <v>50.157539999999997</v>
      </c>
      <c r="J7983">
        <v>-422.07470000000001</v>
      </c>
      <c r="K7983">
        <v>1.109305</v>
      </c>
      <c r="L7983">
        <v>83.019559999999998</v>
      </c>
      <c r="M7983">
        <v>-8.6690829999999993E-3</v>
      </c>
      <c r="N7983">
        <v>0</v>
      </c>
      <c r="O7983">
        <v>-0.99989470000000003</v>
      </c>
      <c r="P7983">
        <v>3.3701710000000003E-2</v>
      </c>
      <c r="Q7983">
        <v>5.4019530000000003E-2</v>
      </c>
      <c r="R7983">
        <v>-0.99797089999999999</v>
      </c>
      <c r="S7983">
        <v>-1.38855E-2</v>
      </c>
      <c r="T7983">
        <v>-0.101104</v>
      </c>
      <c r="U7983">
        <v>-3.0119319999999998</v>
      </c>
      <c r="V7983">
        <v>-4.220264E-2</v>
      </c>
      <c r="W7983">
        <v>6.5731609999999996E-2</v>
      </c>
      <c r="X7983">
        <v>0.99694450000000001</v>
      </c>
      <c r="Y7983">
        <v>-4.0622330000000002E-3</v>
      </c>
      <c r="Z7983">
        <v>3.3546729999999997E-2</v>
      </c>
      <c r="AA7983">
        <v>0.99942889999999995</v>
      </c>
      <c r="AB7983">
        <v>28</v>
      </c>
      <c r="AC7983">
        <v>-0.150100000000009</v>
      </c>
      <c r="AD7983">
        <v>-1.1093058358101</v>
      </c>
      <c r="AE7983">
        <v>-32.862019999999902</v>
      </c>
      <c r="AF7983">
        <v>-0.13465507755067599</v>
      </c>
      <c r="AG7983">
        <v>-1.1093058358101</v>
      </c>
      <c r="AH7983">
        <v>32.824683362084301</v>
      </c>
      <c r="AI7983">
        <v>91.935550380714602</v>
      </c>
      <c r="AJ7983">
        <v>90.235040328367006</v>
      </c>
      <c r="AK7983">
        <v>32.843698470914802</v>
      </c>
      <c r="AL7983">
        <v>86.231138933698304</v>
      </c>
      <c r="AM7983">
        <v>92.423996860338704</v>
      </c>
      <c r="AN7983">
        <v>1.0000000217281999</v>
      </c>
    </row>
    <row r="7984" spans="1:40" x14ac:dyDescent="0.25">
      <c r="A7984" t="str">
        <f>"20190312150848157"</f>
        <v>20190312150848157</v>
      </c>
      <c r="B7984" t="str">
        <f>"1552374528147924"</f>
        <v>1552374528147924</v>
      </c>
      <c r="C7984" t="s">
        <v>40</v>
      </c>
      <c r="D7984">
        <v>4.5458850000000002</v>
      </c>
      <c r="E7984">
        <v>0.51044959999999995</v>
      </c>
      <c r="F7984" t="s">
        <v>42</v>
      </c>
      <c r="G7984">
        <v>-421.98540000000003</v>
      </c>
      <c r="H7984" s="1">
        <v>-7.6396349999999996E-7</v>
      </c>
      <c r="I7984">
        <v>50.13852</v>
      </c>
      <c r="J7984">
        <v>-422.07679999999999</v>
      </c>
      <c r="K7984">
        <v>1.1093029999999999</v>
      </c>
      <c r="L7984">
        <v>82.855649999999997</v>
      </c>
      <c r="M7984">
        <v>-9.3619959999999992E-3</v>
      </c>
      <c r="N7984">
        <v>0</v>
      </c>
      <c r="O7984">
        <v>-0.99988849999999996</v>
      </c>
      <c r="P7984">
        <v>3.5249790000000003E-2</v>
      </c>
      <c r="Q7984">
        <v>5.3631379999999999E-2</v>
      </c>
      <c r="R7984">
        <v>-0.99793849999999995</v>
      </c>
      <c r="S7984">
        <v>8.178711E-3</v>
      </c>
      <c r="T7984">
        <v>-0.1015928</v>
      </c>
      <c r="U7984">
        <v>-3.0113219999999998</v>
      </c>
      <c r="V7984">
        <v>-4.444269E-2</v>
      </c>
      <c r="W7984">
        <v>6.5348580000000003E-2</v>
      </c>
      <c r="X7984">
        <v>0.99687230000000004</v>
      </c>
      <c r="Y7984">
        <v>-1.207691E-2</v>
      </c>
      <c r="Z7984">
        <v>3.3714250000000001E-2</v>
      </c>
      <c r="AA7984">
        <v>0.99935850000000004</v>
      </c>
      <c r="AB7984">
        <v>28</v>
      </c>
      <c r="AC7984">
        <v>9.1399999999964607E-2</v>
      </c>
      <c r="AD7984">
        <v>-1.1093037639634999</v>
      </c>
      <c r="AE7984">
        <v>-32.717129999999997</v>
      </c>
      <c r="AF7984">
        <v>-0.39725767557682501</v>
      </c>
      <c r="AG7984">
        <v>-1.1093037639634999</v>
      </c>
      <c r="AH7984">
        <v>32.677274419702599</v>
      </c>
      <c r="AI7984">
        <v>91.944144235082703</v>
      </c>
      <c r="AJ7984">
        <v>90.696510568306294</v>
      </c>
      <c r="AK7984">
        <v>32.698511158798901</v>
      </c>
      <c r="AL7984">
        <v>86.253132088894802</v>
      </c>
      <c r="AM7984">
        <v>92.552677553741105</v>
      </c>
      <c r="AN7984">
        <v>0.99999998605487095</v>
      </c>
    </row>
    <row r="7985" spans="1:40" x14ac:dyDescent="0.25">
      <c r="A7985" t="str">
        <f>"20190312150848173"</f>
        <v>20190312150848173</v>
      </c>
      <c r="B7985" t="str">
        <f>"1552374528167444"</f>
        <v>1552374528167444</v>
      </c>
      <c r="C7985" t="s">
        <v>40</v>
      </c>
      <c r="D7985">
        <v>4.6900250000000003</v>
      </c>
      <c r="E7985">
        <v>0.50784719999999905</v>
      </c>
      <c r="F7985" t="s">
        <v>42</v>
      </c>
      <c r="G7985">
        <v>-421.77229999999997</v>
      </c>
      <c r="H7985" s="1">
        <v>-9.8718780000000005E-7</v>
      </c>
      <c r="I7985">
        <v>50.791029999999999</v>
      </c>
      <c r="J7985">
        <v>-422.07940000000002</v>
      </c>
      <c r="K7985">
        <v>1.109302</v>
      </c>
      <c r="L7985">
        <v>82.670839999999998</v>
      </c>
      <c r="M7985">
        <v>-1.014295E-2</v>
      </c>
      <c r="N7985">
        <v>0</v>
      </c>
      <c r="O7985">
        <v>-0.99988089999999996</v>
      </c>
      <c r="P7985">
        <v>3.564076E-2</v>
      </c>
      <c r="Q7985">
        <v>5.3720339999999998E-2</v>
      </c>
      <c r="R7985">
        <v>-0.99792000000000003</v>
      </c>
      <c r="S7985">
        <v>2.8594970000000001E-2</v>
      </c>
      <c r="T7985">
        <v>-0.1041614</v>
      </c>
      <c r="U7985">
        <v>-3.0108030000000001</v>
      </c>
      <c r="V7985">
        <v>-4.561221E-2</v>
      </c>
      <c r="W7985">
        <v>6.5440410000000004E-2</v>
      </c>
      <c r="X7985">
        <v>0.99681350000000002</v>
      </c>
      <c r="Y7985">
        <v>-1.9634039999999998E-2</v>
      </c>
      <c r="Z7985">
        <v>3.4568410000000001E-2</v>
      </c>
      <c r="AA7985">
        <v>0.99920949999999997</v>
      </c>
      <c r="AB7985">
        <v>28</v>
      </c>
      <c r="AC7985">
        <v>0.307100000000048</v>
      </c>
      <c r="AD7985">
        <v>-1.1093029871878</v>
      </c>
      <c r="AE7985">
        <v>-31.879809999999999</v>
      </c>
      <c r="AF7985">
        <v>-0.62969903468779498</v>
      </c>
      <c r="AG7985">
        <v>-1.1093029871878</v>
      </c>
      <c r="AH7985">
        <v>31.836510976293798</v>
      </c>
      <c r="AI7985">
        <v>91.9952017539552</v>
      </c>
      <c r="AJ7985">
        <v>91.133113904705894</v>
      </c>
      <c r="AK7985">
        <v>31.862054314424601</v>
      </c>
      <c r="AL7985">
        <v>86.247859523816203</v>
      </c>
      <c r="AM7985">
        <v>92.619913803905305</v>
      </c>
      <c r="AN7985">
        <v>1.00000003737215</v>
      </c>
    </row>
    <row r="7986" spans="1:40" x14ac:dyDescent="0.25">
      <c r="A7986" t="str">
        <f>"20190312150848185"</f>
        <v>20190312150848185</v>
      </c>
      <c r="B7986" t="str">
        <f>"1552374528178180"</f>
        <v>1552374528178180</v>
      </c>
      <c r="C7986" t="s">
        <v>40</v>
      </c>
      <c r="D7986">
        <v>4.7604360000000003</v>
      </c>
      <c r="E7986">
        <v>0.50705649999999902</v>
      </c>
      <c r="F7986" t="s">
        <v>42</v>
      </c>
      <c r="G7986">
        <v>-421.54939999999999</v>
      </c>
      <c r="H7986" s="1">
        <v>-1.0136750000000001E-6</v>
      </c>
      <c r="I7986">
        <v>50.991</v>
      </c>
      <c r="J7986">
        <v>-422.08170000000001</v>
      </c>
      <c r="K7986">
        <v>1.109302</v>
      </c>
      <c r="L7986">
        <v>82.509159999999994</v>
      </c>
      <c r="M7986">
        <v>-1.0825639999999999E-2</v>
      </c>
      <c r="N7986">
        <v>0</v>
      </c>
      <c r="O7986">
        <v>-0.99987369999999998</v>
      </c>
      <c r="P7986">
        <v>3.7533370000000003E-2</v>
      </c>
      <c r="Q7986">
        <v>5.3682870000000001E-2</v>
      </c>
      <c r="R7986">
        <v>-0.99785259999999998</v>
      </c>
      <c r="S7986">
        <v>5.0354000000000003E-2</v>
      </c>
      <c r="T7986">
        <v>-0.10540289999999999</v>
      </c>
      <c r="U7986">
        <v>-3.010132</v>
      </c>
      <c r="V7986">
        <v>-4.818505E-2</v>
      </c>
      <c r="W7986">
        <v>6.5408540000000001E-2</v>
      </c>
      <c r="X7986">
        <v>0.99669450000000004</v>
      </c>
      <c r="Y7986">
        <v>-2.753947E-2</v>
      </c>
      <c r="Z7986">
        <v>3.4982449999999998E-2</v>
      </c>
      <c r="AA7986">
        <v>0.99900840000000002</v>
      </c>
      <c r="AB7986">
        <v>28</v>
      </c>
      <c r="AC7986">
        <v>0.53230000000001998</v>
      </c>
      <c r="AD7986">
        <v>-1.1093030136749999</v>
      </c>
      <c r="AE7986">
        <v>-31.518159999999899</v>
      </c>
      <c r="AF7986">
        <v>-0.87241577280973504</v>
      </c>
      <c r="AG7986">
        <v>-1.1093030136749999</v>
      </c>
      <c r="AH7986">
        <v>31.471576090058601</v>
      </c>
      <c r="AI7986">
        <v>92.017938424112899</v>
      </c>
      <c r="AJ7986">
        <v>91.5878754796571</v>
      </c>
      <c r="AK7986">
        <v>31.503202441166898</v>
      </c>
      <c r="AL7986">
        <v>86.249689325134</v>
      </c>
      <c r="AM7986">
        <v>92.767801108235702</v>
      </c>
      <c r="AN7986">
        <v>1.00000000123934</v>
      </c>
    </row>
    <row r="7987" spans="1:40" x14ac:dyDescent="0.25">
      <c r="A7987" t="str">
        <f>"20190312150848196"</f>
        <v>20190312150848196</v>
      </c>
      <c r="B7987" t="str">
        <f>"1552374528187940"</f>
        <v>1552374528187940</v>
      </c>
      <c r="C7987" t="s">
        <v>40</v>
      </c>
      <c r="D7987">
        <v>4.7164460000000004</v>
      </c>
      <c r="E7987">
        <v>0.50642359999999997</v>
      </c>
      <c r="F7987" t="s">
        <v>42</v>
      </c>
      <c r="G7987">
        <v>-421.43419999999998</v>
      </c>
      <c r="H7987" s="1">
        <v>-1.134857E-6</v>
      </c>
      <c r="I7987">
        <v>51.344940000000001</v>
      </c>
      <c r="J7987">
        <v>-422.084</v>
      </c>
      <c r="K7987">
        <v>1.109289</v>
      </c>
      <c r="L7987">
        <v>82.35342</v>
      </c>
      <c r="M7987">
        <v>-1.148302E-2</v>
      </c>
      <c r="N7987">
        <v>0</v>
      </c>
      <c r="O7987">
        <v>-0.99986629999999999</v>
      </c>
      <c r="P7987">
        <v>3.8424300000000002E-2</v>
      </c>
      <c r="Q7987">
        <v>5.3665919999999999E-2</v>
      </c>
      <c r="R7987">
        <v>-0.99781980000000003</v>
      </c>
      <c r="S7987">
        <v>6.2530520000000006E-2</v>
      </c>
      <c r="T7987">
        <v>-0.1071382</v>
      </c>
      <c r="U7987">
        <v>-3.0098880000000001</v>
      </c>
      <c r="V7987">
        <v>-4.9731539999999998E-2</v>
      </c>
      <c r="W7987">
        <v>6.5395220000000004E-2</v>
      </c>
      <c r="X7987">
        <v>0.99661940000000004</v>
      </c>
      <c r="Y7987">
        <v>-3.2237370000000001E-2</v>
      </c>
      <c r="Z7987">
        <v>3.5556280000000003E-2</v>
      </c>
      <c r="AA7987">
        <v>0.99884759999999995</v>
      </c>
      <c r="AB7987">
        <v>28</v>
      </c>
      <c r="AC7987">
        <v>0.64980000000002702</v>
      </c>
      <c r="AD7987">
        <v>-1.1092901348569999</v>
      </c>
      <c r="AE7987">
        <v>-31.008479999999999</v>
      </c>
      <c r="AF7987">
        <v>-1.00456723474007</v>
      </c>
      <c r="AG7987">
        <v>-1.1092901348569999</v>
      </c>
      <c r="AH7987">
        <v>30.9593698520641</v>
      </c>
      <c r="AI7987">
        <v>92.050980869014495</v>
      </c>
      <c r="AJ7987">
        <v>91.858476954899501</v>
      </c>
      <c r="AK7987">
        <v>30.995520024179299</v>
      </c>
      <c r="AL7987">
        <v>86.250454117692399</v>
      </c>
      <c r="AM7987">
        <v>92.856703209039097</v>
      </c>
      <c r="AN7987">
        <v>0.99999999466299005</v>
      </c>
    </row>
    <row r="7988" spans="1:40" x14ac:dyDescent="0.25">
      <c r="A7988" t="str">
        <f>"20190312150848215"</f>
        <v>20190312150848215</v>
      </c>
      <c r="B7988" t="str">
        <f>"1552374528207460"</f>
        <v>1552374528207460</v>
      </c>
      <c r="C7988" t="s">
        <v>40</v>
      </c>
      <c r="D7988">
        <v>4.8000999999999996</v>
      </c>
      <c r="E7988">
        <v>0.50539049999999996</v>
      </c>
      <c r="F7988" t="s">
        <v>42</v>
      </c>
      <c r="G7988">
        <v>-421.3544</v>
      </c>
      <c r="H7988" s="1">
        <v>-9.8362430000000005E-7</v>
      </c>
      <c r="I7988">
        <v>51.041899999999998</v>
      </c>
      <c r="J7988">
        <v>-422.08760000000001</v>
      </c>
      <c r="K7988">
        <v>1.1092879999999901</v>
      </c>
      <c r="L7988">
        <v>82.134640000000005</v>
      </c>
      <c r="M7988">
        <v>-1.2405390000000001E-2</v>
      </c>
      <c r="N7988">
        <v>0</v>
      </c>
      <c r="O7988">
        <v>-0.9998551</v>
      </c>
      <c r="P7988">
        <v>4.091119E-2</v>
      </c>
      <c r="Q7988">
        <v>5.3719320000000001E-2</v>
      </c>
      <c r="R7988">
        <v>-0.99771790000000005</v>
      </c>
      <c r="S7988">
        <v>7.012939E-2</v>
      </c>
      <c r="T7988">
        <v>-0.1066221</v>
      </c>
      <c r="U7988">
        <v>-3.0095830000000001</v>
      </c>
      <c r="V7988">
        <v>-5.3136490000000001E-2</v>
      </c>
      <c r="W7988">
        <v>6.5455169999999993E-2</v>
      </c>
      <c r="X7988">
        <v>0.99643979999999999</v>
      </c>
      <c r="Y7988">
        <v>-3.5682190000000003E-2</v>
      </c>
      <c r="Z7988">
        <v>3.5385170000000001E-2</v>
      </c>
      <c r="AA7988">
        <v>0.99873659999999997</v>
      </c>
      <c r="AB7988">
        <v>28</v>
      </c>
      <c r="AC7988">
        <v>0.73320000000000995</v>
      </c>
      <c r="AD7988">
        <v>-1.1092889836242901</v>
      </c>
      <c r="AE7988">
        <v>-31.092739999999999</v>
      </c>
      <c r="AF7988">
        <v>-1.1174657911451</v>
      </c>
      <c r="AG7988">
        <v>-1.1092889836242901</v>
      </c>
      <c r="AH7988">
        <v>31.0417618256071</v>
      </c>
      <c r="AI7988">
        <v>92.0452915422117</v>
      </c>
      <c r="AJ7988">
        <v>92.061688316102305</v>
      </c>
      <c r="AK7988">
        <v>31.081670307132601</v>
      </c>
      <c r="AL7988">
        <v>86.247012145360699</v>
      </c>
      <c r="AM7988">
        <v>93.052483102317495</v>
      </c>
      <c r="AN7988">
        <v>1.0000000704366401</v>
      </c>
    </row>
    <row r="7989" spans="1:40" x14ac:dyDescent="0.25">
      <c r="A7989" t="str">
        <f>"20190312150848237"</f>
        <v>20190312150848237</v>
      </c>
      <c r="B7989" t="str">
        <f>"1552374528227956"</f>
        <v>1552374528227956</v>
      </c>
      <c r="C7989" t="s">
        <v>40</v>
      </c>
      <c r="D7989">
        <v>4.5500600000000002</v>
      </c>
      <c r="E7989">
        <v>0.50438590000000005</v>
      </c>
      <c r="F7989" t="s">
        <v>42</v>
      </c>
      <c r="G7989">
        <v>-421.19549999999998</v>
      </c>
      <c r="H7989" s="1">
        <v>-8.845529E-7</v>
      </c>
      <c r="I7989">
        <v>50.909550000000003</v>
      </c>
      <c r="J7989">
        <v>-422.09249999999997</v>
      </c>
      <c r="K7989">
        <v>1.1092979999999999</v>
      </c>
      <c r="L7989">
        <v>81.843319999999906</v>
      </c>
      <c r="M7989">
        <v>-1.3629530000000001E-2</v>
      </c>
      <c r="N7989">
        <v>0</v>
      </c>
      <c r="O7989">
        <v>-0.99983940000000004</v>
      </c>
      <c r="P7989">
        <v>4.2918440000000002E-2</v>
      </c>
      <c r="Q7989">
        <v>5.3455309999999999E-2</v>
      </c>
      <c r="R7989">
        <v>-0.99764779999999997</v>
      </c>
      <c r="S7989">
        <v>8.5968020000000006E-2</v>
      </c>
      <c r="T7989">
        <v>-0.1068997</v>
      </c>
      <c r="U7989">
        <v>-3.0090940000000002</v>
      </c>
      <c r="V7989">
        <v>-5.6364310000000001E-2</v>
      </c>
      <c r="W7989">
        <v>6.5198220000000001E-2</v>
      </c>
      <c r="X7989">
        <v>0.99627920000000003</v>
      </c>
      <c r="Y7989">
        <v>-4.2162020000000001E-2</v>
      </c>
      <c r="Z7989">
        <v>3.5475199999999998E-2</v>
      </c>
      <c r="AA7989">
        <v>0.99848079999999995</v>
      </c>
      <c r="AB7989">
        <v>28</v>
      </c>
      <c r="AC7989">
        <v>0.89699999999999103</v>
      </c>
      <c r="AD7989">
        <v>-1.1092988845528999</v>
      </c>
      <c r="AE7989">
        <v>-30.9337699999999</v>
      </c>
      <c r="AF7989">
        <v>-1.3168659343728799</v>
      </c>
      <c r="AG7989">
        <v>-1.1092988845528999</v>
      </c>
      <c r="AH7989">
        <v>30.8789936158276</v>
      </c>
      <c r="AI7989">
        <v>92.055545651525904</v>
      </c>
      <c r="AJ7989">
        <v>92.441956840542204</v>
      </c>
      <c r="AK7989">
        <v>30.926961160623399</v>
      </c>
      <c r="AL7989">
        <v>86.261765523032594</v>
      </c>
      <c r="AM7989">
        <v>93.238046305914906</v>
      </c>
      <c r="AN7989">
        <v>0.99999999384279203</v>
      </c>
    </row>
    <row r="7990" spans="1:40" x14ac:dyDescent="0.25">
      <c r="A7990" t="str">
        <f>"20190312150848259"</f>
        <v>20190312150848259</v>
      </c>
      <c r="B7990" t="str">
        <f>"1552374528247476"</f>
        <v>1552374528247476</v>
      </c>
      <c r="C7990" t="s">
        <v>40</v>
      </c>
      <c r="D7990">
        <v>4.5931069999999998</v>
      </c>
      <c r="E7990">
        <v>0.50388959999999905</v>
      </c>
      <c r="F7990" t="s">
        <v>42</v>
      </c>
      <c r="G7990">
        <v>-421.11369999999999</v>
      </c>
      <c r="H7990" s="1">
        <v>-1.538586E-6</v>
      </c>
      <c r="I7990">
        <v>52.484839999999998</v>
      </c>
      <c r="J7990">
        <v>-422.09750000000003</v>
      </c>
      <c r="K7990">
        <v>1.1093059999999999</v>
      </c>
      <c r="L7990">
        <v>81.568969999999993</v>
      </c>
      <c r="M7990">
        <v>-1.477442E-2</v>
      </c>
      <c r="N7990">
        <v>0</v>
      </c>
      <c r="O7990">
        <v>-0.99982309999999996</v>
      </c>
      <c r="P7990">
        <v>4.5696380000000002E-2</v>
      </c>
      <c r="Q7990">
        <v>5.3604550000000001E-2</v>
      </c>
      <c r="R7990">
        <v>-0.99751639999999997</v>
      </c>
      <c r="S7990">
        <v>0.10031130000000001</v>
      </c>
      <c r="T7990">
        <v>-0.11368830000000001</v>
      </c>
      <c r="U7990">
        <v>-3.0088499999999998</v>
      </c>
      <c r="V7990">
        <v>-6.0282040000000002E-2</v>
      </c>
      <c r="W7990">
        <v>6.5354300000000004E-2</v>
      </c>
      <c r="X7990">
        <v>0.99603960000000002</v>
      </c>
      <c r="Y7990">
        <v>-4.8060079999999998E-2</v>
      </c>
      <c r="Z7990">
        <v>3.7719240000000001E-2</v>
      </c>
      <c r="AA7990">
        <v>0.99813200000000002</v>
      </c>
      <c r="AB7990">
        <v>28</v>
      </c>
      <c r="AC7990">
        <v>0.98380000000002998</v>
      </c>
      <c r="AD7990">
        <v>-1.1093075385859901</v>
      </c>
      <c r="AE7990">
        <v>-29.084129999999899</v>
      </c>
      <c r="AF7990">
        <v>-1.41137200698578</v>
      </c>
      <c r="AG7990">
        <v>-1.1093075385859901</v>
      </c>
      <c r="AH7990">
        <v>29.024243951216501</v>
      </c>
      <c r="AI7990">
        <v>92.1862004555596</v>
      </c>
      <c r="AJ7990">
        <v>92.783948857156005</v>
      </c>
      <c r="AK7990">
        <v>29.0797054850457</v>
      </c>
      <c r="AL7990">
        <v>86.252803695343999</v>
      </c>
      <c r="AM7990">
        <v>93.463415144138693</v>
      </c>
      <c r="AN7990">
        <v>0.99999999682160501</v>
      </c>
    </row>
    <row r="7991" spans="1:40" x14ac:dyDescent="0.25">
      <c r="A7991" t="str">
        <f>"20190312150848274"</f>
        <v>20190312150848274</v>
      </c>
      <c r="B7991" t="str">
        <f>"1552374528267971"</f>
        <v>1552374528267971</v>
      </c>
      <c r="C7991" t="s">
        <v>40</v>
      </c>
      <c r="D7991">
        <v>4.5686339999999896</v>
      </c>
      <c r="E7991">
        <v>0.50360519999999998</v>
      </c>
      <c r="F7991" t="s">
        <v>42</v>
      </c>
      <c r="G7991">
        <v>-421.03120000000001</v>
      </c>
      <c r="H7991" s="1">
        <v>-1.7553639999999901E-6</v>
      </c>
      <c r="I7991">
        <v>53.041350000000001</v>
      </c>
      <c r="J7991">
        <v>-422.10109999999997</v>
      </c>
      <c r="K7991">
        <v>1.1093120000000001</v>
      </c>
      <c r="L7991">
        <v>81.377319999999997</v>
      </c>
      <c r="M7991">
        <v>-1.556711E-2</v>
      </c>
      <c r="N7991">
        <v>0</v>
      </c>
      <c r="O7991">
        <v>-0.99981109999999895</v>
      </c>
      <c r="P7991">
        <v>4.6554159999999997E-2</v>
      </c>
      <c r="Q7991">
        <v>5.3486730000000003E-2</v>
      </c>
      <c r="R7991">
        <v>-0.99748309999999996</v>
      </c>
      <c r="S7991">
        <v>0.1124573</v>
      </c>
      <c r="T7991">
        <v>-0.11699080000000001</v>
      </c>
      <c r="U7991">
        <v>-3.0086059999999999</v>
      </c>
      <c r="V7991">
        <v>-6.1930010000000001E-2</v>
      </c>
      <c r="W7991">
        <v>6.5239610000000003E-2</v>
      </c>
      <c r="X7991">
        <v>0.995946</v>
      </c>
      <c r="Y7991">
        <v>-5.287708E-2</v>
      </c>
      <c r="Z7991">
        <v>3.8808250000000002E-2</v>
      </c>
      <c r="AA7991">
        <v>0.99784669999999998</v>
      </c>
      <c r="AB7991">
        <v>29</v>
      </c>
      <c r="AC7991">
        <v>1.0698999999999601</v>
      </c>
      <c r="AD7991">
        <v>-1.109313755364</v>
      </c>
      <c r="AE7991">
        <v>-28.33597</v>
      </c>
      <c r="AF7991">
        <v>-1.50860056212251</v>
      </c>
      <c r="AG7991">
        <v>-1.109313755364</v>
      </c>
      <c r="AH7991">
        <v>28.2726102546942</v>
      </c>
      <c r="AI7991">
        <v>92.243735499783597</v>
      </c>
      <c r="AJ7991">
        <v>93.054353685294501</v>
      </c>
      <c r="AK7991">
        <v>28.334553874690101</v>
      </c>
      <c r="AL7991">
        <v>86.259388953714193</v>
      </c>
      <c r="AM7991">
        <v>93.558190345223096</v>
      </c>
      <c r="AN7991">
        <v>0.99999998388377598</v>
      </c>
    </row>
    <row r="7992" spans="1:40" x14ac:dyDescent="0.25">
      <c r="A7992" t="str">
        <f>"20190312150848287"</f>
        <v>20190312150848287</v>
      </c>
      <c r="B7992" t="str">
        <f>"1552374528277732"</f>
        <v>1552374528277732</v>
      </c>
      <c r="C7992" t="s">
        <v>40</v>
      </c>
      <c r="D7992">
        <v>4.666499</v>
      </c>
      <c r="E7992">
        <v>0.50323240000000002</v>
      </c>
      <c r="F7992" t="s">
        <v>42</v>
      </c>
      <c r="G7992">
        <v>-420.99430000000001</v>
      </c>
      <c r="H7992" s="1">
        <v>-1.743755E-6</v>
      </c>
      <c r="I7992">
        <v>53.037140000000001</v>
      </c>
      <c r="J7992">
        <v>-422.1044</v>
      </c>
      <c r="K7992">
        <v>1.109316</v>
      </c>
      <c r="L7992">
        <v>81.21078</v>
      </c>
      <c r="M7992">
        <v>-1.625093E-2</v>
      </c>
      <c r="N7992">
        <v>0</v>
      </c>
      <c r="O7992">
        <v>-0.99980009999999997</v>
      </c>
      <c r="P7992">
        <v>4.7506619999999999E-2</v>
      </c>
      <c r="Q7992">
        <v>5.3642750000000003E-2</v>
      </c>
      <c r="R7992">
        <v>-0.99742960000000003</v>
      </c>
      <c r="S7992">
        <v>0.11749270000000001</v>
      </c>
      <c r="T7992">
        <v>-0.1177569</v>
      </c>
      <c r="U7992">
        <v>-3.0083920000000002</v>
      </c>
      <c r="V7992">
        <v>-6.3563889999999998E-2</v>
      </c>
      <c r="W7992">
        <v>6.5398059999999994E-2</v>
      </c>
      <c r="X7992">
        <v>0.99583270000000002</v>
      </c>
      <c r="Y7992">
        <v>-5.5229930000000003E-2</v>
      </c>
      <c r="Z7992">
        <v>3.906039E-2</v>
      </c>
      <c r="AA7992">
        <v>0.99770930000000002</v>
      </c>
      <c r="AB7992">
        <v>29</v>
      </c>
      <c r="AC7992">
        <v>1.1100999999999801</v>
      </c>
      <c r="AD7992">
        <v>-1.1093177437549999</v>
      </c>
      <c r="AE7992">
        <v>-28.173639999999999</v>
      </c>
      <c r="AF7992">
        <v>-1.56540914881378</v>
      </c>
      <c r="AG7992">
        <v>-1.1093177437549999</v>
      </c>
      <c r="AH7992">
        <v>28.108367760621601</v>
      </c>
      <c r="AI7992">
        <v>92.256554754449198</v>
      </c>
      <c r="AJ7992">
        <v>93.1876194939003</v>
      </c>
      <c r="AK7992">
        <v>28.173772019844101</v>
      </c>
      <c r="AL7992">
        <v>86.250291145159693</v>
      </c>
      <c r="AM7992">
        <v>93.652228547090601</v>
      </c>
      <c r="AN7992">
        <v>1.0000000203764901</v>
      </c>
    </row>
    <row r="7993" spans="1:40" x14ac:dyDescent="0.25">
      <c r="A7993" t="str">
        <f>"20190312150848304"</f>
        <v>20190312150848304</v>
      </c>
      <c r="B7993" t="str">
        <f>"1552374528298228"</f>
        <v>1552374528298228</v>
      </c>
      <c r="C7993" t="s">
        <v>40</v>
      </c>
      <c r="D7993">
        <v>4.4807639999999997</v>
      </c>
      <c r="E7993">
        <v>0.4640398</v>
      </c>
      <c r="F7993" t="s">
        <v>42</v>
      </c>
      <c r="G7993">
        <v>-420.94830000000002</v>
      </c>
      <c r="H7993" s="1">
        <v>-1.723388E-6</v>
      </c>
      <c r="I7993">
        <v>53.018180000000001</v>
      </c>
      <c r="J7993">
        <v>-422.10879999999997</v>
      </c>
      <c r="K7993">
        <v>1.109329</v>
      </c>
      <c r="L7993">
        <v>80.995180000000005</v>
      </c>
      <c r="M7993">
        <v>-1.712462E-2</v>
      </c>
      <c r="N7993">
        <v>0</v>
      </c>
      <c r="O7993">
        <v>-0.99978549999999999</v>
      </c>
      <c r="P7993">
        <v>4.922257E-2</v>
      </c>
      <c r="Q7993">
        <v>5.3426910000000001E-2</v>
      </c>
      <c r="R7993">
        <v>-0.99735830000000003</v>
      </c>
      <c r="S7993">
        <v>0.12335210000000001</v>
      </c>
      <c r="T7993">
        <v>-0.1183665</v>
      </c>
      <c r="U7993">
        <v>-3.0082089999999999</v>
      </c>
      <c r="V7993">
        <v>-6.6151580000000001E-2</v>
      </c>
      <c r="W7993">
        <v>6.5185380000000001E-2</v>
      </c>
      <c r="X7993">
        <v>0.99567810000000001</v>
      </c>
      <c r="Y7993">
        <v>-5.8044520000000002E-2</v>
      </c>
      <c r="Z7993">
        <v>3.9259139999999998E-2</v>
      </c>
      <c r="AA7993">
        <v>0.99754180000000003</v>
      </c>
      <c r="AB7993">
        <v>29</v>
      </c>
      <c r="AC7993">
        <v>1.1604999999999499</v>
      </c>
      <c r="AD7993">
        <v>-1.1093307233879901</v>
      </c>
      <c r="AE7993">
        <v>-27.977</v>
      </c>
      <c r="AF7993">
        <v>-1.63688864173826</v>
      </c>
      <c r="AG7993">
        <v>-1.1093307233879901</v>
      </c>
      <c r="AH7993">
        <v>27.9092177948718</v>
      </c>
      <c r="AI7993">
        <v>92.272283723657694</v>
      </c>
      <c r="AJ7993">
        <v>93.356578977933907</v>
      </c>
      <c r="AK7993">
        <v>27.979178990829801</v>
      </c>
      <c r="AL7993">
        <v>86.262502874766497</v>
      </c>
      <c r="AM7993">
        <v>93.801072131303002</v>
      </c>
      <c r="AN7993">
        <v>1.00000002206092</v>
      </c>
    </row>
    <row r="7994" spans="1:40" x14ac:dyDescent="0.25">
      <c r="A7994" t="str">
        <f>"20190312150848317"</f>
        <v>20190312150848317</v>
      </c>
      <c r="B7994" t="str">
        <f>"1552374528307988"</f>
        <v>1552374528307988</v>
      </c>
      <c r="C7994" t="s">
        <v>40</v>
      </c>
      <c r="D7994">
        <v>4.4356980000000004</v>
      </c>
      <c r="E7994">
        <v>0.45974090000000001</v>
      </c>
      <c r="F7994" t="s">
        <v>42</v>
      </c>
      <c r="G7994">
        <v>-419.29480000000001</v>
      </c>
      <c r="H7994" s="1">
        <v>-1.107501E-6</v>
      </c>
      <c r="I7994">
        <v>61.922809999999998</v>
      </c>
      <c r="J7994">
        <v>-422.11259999999999</v>
      </c>
      <c r="K7994">
        <v>1.1093379999999999</v>
      </c>
      <c r="L7994">
        <v>80.815430000000006</v>
      </c>
      <c r="M7994">
        <v>-1.7838980000000001E-2</v>
      </c>
      <c r="N7994">
        <v>0</v>
      </c>
      <c r="O7994">
        <v>-0.99977309999999997</v>
      </c>
      <c r="P7994">
        <v>4.9853399999999999E-2</v>
      </c>
      <c r="Q7994">
        <v>5.3590949999999998E-2</v>
      </c>
      <c r="R7994">
        <v>-0.99731800000000004</v>
      </c>
      <c r="S7994">
        <v>0.4419556</v>
      </c>
      <c r="T7994">
        <v>-0.17423</v>
      </c>
      <c r="U7994">
        <v>-2.9954830000000001</v>
      </c>
      <c r="V7994">
        <v>-6.7494879999999993E-2</v>
      </c>
      <c r="W7994">
        <v>6.535001E-2</v>
      </c>
      <c r="X7994">
        <v>0.99557720000000005</v>
      </c>
      <c r="Y7994">
        <v>-0.16334599999999999</v>
      </c>
      <c r="Z7994">
        <v>5.7352819999999999E-2</v>
      </c>
      <c r="AA7994">
        <v>0.98490040000000001</v>
      </c>
      <c r="AB7994">
        <v>29</v>
      </c>
      <c r="AC7994">
        <v>2.8177999999999699</v>
      </c>
      <c r="AD7994">
        <v>-1.109339107501</v>
      </c>
      <c r="AE7994">
        <v>-18.892620000000001</v>
      </c>
      <c r="AF7994">
        <v>-3.1437960983019102</v>
      </c>
      <c r="AG7994">
        <v>-1.109339107501</v>
      </c>
      <c r="AH7994">
        <v>18.776015634933401</v>
      </c>
      <c r="AI7994">
        <v>93.334945268344796</v>
      </c>
      <c r="AJ7994">
        <v>99.505250017497801</v>
      </c>
      <c r="AK7994">
        <v>19.069684063622901</v>
      </c>
      <c r="AL7994">
        <v>86.253050302521601</v>
      </c>
      <c r="AM7994">
        <v>93.878416842112202</v>
      </c>
      <c r="AN7994">
        <v>1.0000000718965201</v>
      </c>
    </row>
    <row r="7995" spans="1:40" x14ac:dyDescent="0.25">
      <c r="A7995" t="str">
        <f>"20190312150848337"</f>
        <v>20190312150848337</v>
      </c>
      <c r="B7995" t="str">
        <f>"1552374528327508"</f>
        <v>1552374528327508</v>
      </c>
      <c r="C7995" t="s">
        <v>40</v>
      </c>
      <c r="D7995">
        <v>4.4842060000000004</v>
      </c>
      <c r="E7995">
        <v>0.45625979999999999</v>
      </c>
      <c r="F7995" t="s">
        <v>42</v>
      </c>
      <c r="G7995">
        <v>-419.18470000000002</v>
      </c>
      <c r="H7995" s="1">
        <v>-1.3660529999999999E-6</v>
      </c>
      <c r="I7995">
        <v>62.479950000000002</v>
      </c>
      <c r="J7995">
        <v>-422.11799999999999</v>
      </c>
      <c r="K7995">
        <v>1.109354</v>
      </c>
      <c r="L7995">
        <v>80.571899999999999</v>
      </c>
      <c r="M7995">
        <v>-1.87855E-2</v>
      </c>
      <c r="N7995">
        <v>0</v>
      </c>
      <c r="O7995">
        <v>-0.99975579999999997</v>
      </c>
      <c r="P7995">
        <v>5.1606869999999999E-2</v>
      </c>
      <c r="Q7995">
        <v>5.3346039999999997E-2</v>
      </c>
      <c r="R7995">
        <v>-0.99724170000000001</v>
      </c>
      <c r="S7995">
        <v>0.47808840000000002</v>
      </c>
      <c r="T7995">
        <v>-0.18113779999999999</v>
      </c>
      <c r="U7995">
        <v>-2.9938959999999999</v>
      </c>
      <c r="V7995">
        <v>-7.0193160000000004E-2</v>
      </c>
      <c r="W7995">
        <v>6.5105919999999998E-2</v>
      </c>
      <c r="X7995">
        <v>0.99540649999999997</v>
      </c>
      <c r="Y7995">
        <v>-0.1759337</v>
      </c>
      <c r="Z7995">
        <v>5.952913E-2</v>
      </c>
      <c r="AA7995">
        <v>0.98260049999999999</v>
      </c>
      <c r="AB7995">
        <v>29</v>
      </c>
      <c r="AC7995">
        <v>2.9333000000000302</v>
      </c>
      <c r="AD7995">
        <v>-1.109355366053</v>
      </c>
      <c r="AE7995">
        <v>-18.091950000000001</v>
      </c>
      <c r="AF7995">
        <v>-3.2607258342847101</v>
      </c>
      <c r="AG7995">
        <v>-1.109355366053</v>
      </c>
      <c r="AH7995">
        <v>17.9678238010471</v>
      </c>
      <c r="AI7995">
        <v>93.4763882271574</v>
      </c>
      <c r="AJ7995">
        <v>100.28585799959301</v>
      </c>
      <c r="AK7995">
        <v>18.294963635931001</v>
      </c>
      <c r="AL7995">
        <v>86.2670651331523</v>
      </c>
      <c r="AM7995">
        <v>94.033653927760199</v>
      </c>
      <c r="AN7995">
        <v>0.99999998038603999</v>
      </c>
    </row>
    <row r="7996" spans="1:40" x14ac:dyDescent="0.25">
      <c r="A7996" t="str">
        <f>"20190312150848351"</f>
        <v>20190312150848351</v>
      </c>
      <c r="B7996" t="str">
        <f>"1552374528348004"</f>
        <v>1552374528348004</v>
      </c>
      <c r="C7996" t="s">
        <v>40</v>
      </c>
      <c r="D7996">
        <v>4.4311170000000004</v>
      </c>
      <c r="E7996">
        <v>0.45444879999999999</v>
      </c>
      <c r="F7996" t="s">
        <v>42</v>
      </c>
      <c r="G7996">
        <v>-419.32499999999999</v>
      </c>
      <c r="H7996" s="1">
        <v>-2.0937660000000001E-6</v>
      </c>
      <c r="I7996">
        <v>64.234279999999998</v>
      </c>
      <c r="J7996">
        <v>-422.12220000000002</v>
      </c>
      <c r="K7996">
        <v>1.1093710000000001</v>
      </c>
      <c r="L7996">
        <v>80.388120000000001</v>
      </c>
      <c r="M7996">
        <v>-1.947865E-2</v>
      </c>
      <c r="N7996">
        <v>0</v>
      </c>
      <c r="O7996">
        <v>-0.99974229999999997</v>
      </c>
      <c r="P7996">
        <v>5.189962E-2</v>
      </c>
      <c r="Q7996">
        <v>5.3562289999999999E-2</v>
      </c>
      <c r="R7996">
        <v>-0.99721479999999996</v>
      </c>
      <c r="S7996">
        <v>0.51162719999999995</v>
      </c>
      <c r="T7996">
        <v>-0.20320840000000001</v>
      </c>
      <c r="U7996">
        <v>-2.9926759999999999</v>
      </c>
      <c r="V7996">
        <v>-7.1178909999999998E-2</v>
      </c>
      <c r="W7996">
        <v>6.5320989999999995E-2</v>
      </c>
      <c r="X7996">
        <v>0.99532240000000005</v>
      </c>
      <c r="Y7996">
        <v>-0.18730920000000001</v>
      </c>
      <c r="Z7996">
        <v>6.664573E-2</v>
      </c>
      <c r="AA7996">
        <v>0.98003759999999995</v>
      </c>
      <c r="AB7996">
        <v>29</v>
      </c>
      <c r="AC7996">
        <v>2.7972000000000299</v>
      </c>
      <c r="AD7996">
        <v>-1.10937309376599</v>
      </c>
      <c r="AE7996">
        <v>-16.153839999999999</v>
      </c>
      <c r="AF7996">
        <v>-3.0971636138988701</v>
      </c>
      <c r="AG7996">
        <v>-1.10937309376599</v>
      </c>
      <c r="AH7996">
        <v>16.022916042931101</v>
      </c>
      <c r="AI7996">
        <v>93.888889778823298</v>
      </c>
      <c r="AJ7996">
        <v>100.940116648765</v>
      </c>
      <c r="AK7996">
        <v>16.357168753523698</v>
      </c>
      <c r="AL7996">
        <v>86.2547162207062</v>
      </c>
      <c r="AM7996">
        <v>94.090453605554202</v>
      </c>
      <c r="AN7996">
        <v>0.99999997445256295</v>
      </c>
    </row>
    <row r="7997" spans="1:40" x14ac:dyDescent="0.25">
      <c r="A7997" t="str">
        <f>"20190312150848371"</f>
        <v>20190312150848371</v>
      </c>
      <c r="B7997" t="str">
        <f>"1552374528367524"</f>
        <v>1552374528367524</v>
      </c>
      <c r="C7997" t="s">
        <v>40</v>
      </c>
      <c r="D7997">
        <v>4.7491349999999999</v>
      </c>
      <c r="E7997">
        <v>0.45381290000000002</v>
      </c>
      <c r="F7997" t="s">
        <v>42</v>
      </c>
      <c r="G7997">
        <v>-419.38900000000001</v>
      </c>
      <c r="H7997" s="1">
        <v>-2.3510320000000001E-6</v>
      </c>
      <c r="I7997">
        <v>64.860439999999997</v>
      </c>
      <c r="J7997">
        <v>-422.12790000000001</v>
      </c>
      <c r="K7997">
        <v>1.109399</v>
      </c>
      <c r="L7997">
        <v>80.142579999999995</v>
      </c>
      <c r="M7997">
        <v>-2.037286E-2</v>
      </c>
      <c r="N7997">
        <v>0</v>
      </c>
      <c r="O7997">
        <v>-0.99972450000000002</v>
      </c>
      <c r="P7997">
        <v>5.2765529999999998E-2</v>
      </c>
      <c r="Q7997">
        <v>5.3431359999999997E-2</v>
      </c>
      <c r="R7997">
        <v>-0.99717670000000003</v>
      </c>
      <c r="S7997">
        <v>0.52673340000000002</v>
      </c>
      <c r="T7997">
        <v>-0.21379380000000001</v>
      </c>
      <c r="U7997">
        <v>-2.992432</v>
      </c>
      <c r="V7997">
        <v>-7.2939770000000001E-2</v>
      </c>
      <c r="W7997">
        <v>6.5187289999999995E-2</v>
      </c>
      <c r="X7997">
        <v>0.99520370000000002</v>
      </c>
      <c r="Y7997">
        <v>-0.1929603</v>
      </c>
      <c r="Z7997">
        <v>7.0035589999999995E-2</v>
      </c>
      <c r="AA7997">
        <v>0.97870389999999996</v>
      </c>
      <c r="AB7997">
        <v>29</v>
      </c>
      <c r="AC7997">
        <v>2.7389000000000001</v>
      </c>
      <c r="AD7997">
        <v>-1.109401351032</v>
      </c>
      <c r="AE7997">
        <v>-15.28214</v>
      </c>
      <c r="AF7997">
        <v>-3.03420097033238</v>
      </c>
      <c r="AG7997">
        <v>-1.109401351032</v>
      </c>
      <c r="AH7997">
        <v>15.1458305572567</v>
      </c>
      <c r="AI7997">
        <v>94.107983639715599</v>
      </c>
      <c r="AJ7997">
        <v>101.328245315001</v>
      </c>
      <c r="AK7997">
        <v>15.486553204479399</v>
      </c>
      <c r="AL7997">
        <v>86.262393118987902</v>
      </c>
      <c r="AM7997">
        <v>94.191787162417199</v>
      </c>
      <c r="AN7997">
        <v>0.999999998659443</v>
      </c>
    </row>
    <row r="7998" spans="1:40" x14ac:dyDescent="0.25">
      <c r="A7998" t="str">
        <f>"20190312150848385"</f>
        <v>20190312150848385</v>
      </c>
      <c r="B7998" t="str">
        <f>"1552374528378260"</f>
        <v>1552374528378260</v>
      </c>
      <c r="C7998" t="s">
        <v>40</v>
      </c>
      <c r="D7998">
        <v>4.420966</v>
      </c>
      <c r="E7998">
        <v>0.45378109999999999</v>
      </c>
      <c r="F7998" t="s">
        <v>42</v>
      </c>
      <c r="G7998">
        <v>-419.30439999999999</v>
      </c>
      <c r="H7998" s="1">
        <v>-2.14137E-6</v>
      </c>
      <c r="I7998">
        <v>64.336740000000006</v>
      </c>
      <c r="J7998">
        <v>-422.13220000000001</v>
      </c>
      <c r="K7998">
        <v>1.1094219999999999</v>
      </c>
      <c r="L7998">
        <v>79.963619999999906</v>
      </c>
      <c r="M7998">
        <v>-2.100376E-2</v>
      </c>
      <c r="N7998">
        <v>0</v>
      </c>
      <c r="O7998">
        <v>-0.99971149999999998</v>
      </c>
      <c r="P7998">
        <v>5.3357179999999997E-2</v>
      </c>
      <c r="Q7998">
        <v>5.3343469999999997E-2</v>
      </c>
      <c r="R7998">
        <v>-0.99715010000000004</v>
      </c>
      <c r="S7998">
        <v>0.53439329999999996</v>
      </c>
      <c r="T7998">
        <v>-0.2099703</v>
      </c>
      <c r="U7998">
        <v>-2.9914860000000001</v>
      </c>
      <c r="V7998">
        <v>-7.4163530000000005E-2</v>
      </c>
      <c r="W7998">
        <v>6.5097349999999998E-2</v>
      </c>
      <c r="X7998">
        <v>0.99511919999999998</v>
      </c>
      <c r="Y7998">
        <v>-0.19607640000000001</v>
      </c>
      <c r="Z7998">
        <v>6.8772459999999994E-2</v>
      </c>
      <c r="AA7998">
        <v>0.97817399999999999</v>
      </c>
      <c r="AB7998">
        <v>29</v>
      </c>
      <c r="AC7998">
        <v>2.8278000000000199</v>
      </c>
      <c r="AD7998">
        <v>-1.1094241413699999</v>
      </c>
      <c r="AE7998">
        <v>-15.6268799999999</v>
      </c>
      <c r="AF7998">
        <v>-3.1400966175739899</v>
      </c>
      <c r="AG7998">
        <v>-1.1094241413699999</v>
      </c>
      <c r="AH7998">
        <v>15.4884435948389</v>
      </c>
      <c r="AI7998">
        <v>94.015630737805395</v>
      </c>
      <c r="AJ7998">
        <v>101.460696820549</v>
      </c>
      <c r="AK7998">
        <v>15.8424402692154</v>
      </c>
      <c r="AL7998">
        <v>86.267557492635405</v>
      </c>
      <c r="AM7998">
        <v>94.262219177838006</v>
      </c>
      <c r="AN7998">
        <v>1.00000005818386</v>
      </c>
    </row>
    <row r="7999" spans="1:40" x14ac:dyDescent="0.25">
      <c r="A7999" t="str">
        <f>"20190312150848397"</f>
        <v>20190312150848397</v>
      </c>
      <c r="B7999" t="str">
        <f>"1552374528388227"</f>
        <v>1552374528388227</v>
      </c>
      <c r="C7999" t="s">
        <v>40</v>
      </c>
      <c r="D7999">
        <v>4.3882070000000004</v>
      </c>
      <c r="E7999">
        <v>0.45371</v>
      </c>
      <c r="F7999" t="s">
        <v>42</v>
      </c>
      <c r="G7999">
        <v>-419.24160000000001</v>
      </c>
      <c r="H7999" s="1">
        <v>-1.9460020000000001E-6</v>
      </c>
      <c r="I7999">
        <v>63.855359999999997</v>
      </c>
      <c r="J7999">
        <v>-422.13659999999999</v>
      </c>
      <c r="K7999">
        <v>1.1094520000000001</v>
      </c>
      <c r="L7999">
        <v>79.78537</v>
      </c>
      <c r="M7999">
        <v>-2.1600640000000001E-2</v>
      </c>
      <c r="N7999">
        <v>0</v>
      </c>
      <c r="O7999">
        <v>-0.9996988</v>
      </c>
      <c r="P7999">
        <v>5.3306230000000003E-2</v>
      </c>
      <c r="Q7999">
        <v>5.290707E-2</v>
      </c>
      <c r="R7999">
        <v>-0.9971759</v>
      </c>
      <c r="S7999">
        <v>0.53671259999999998</v>
      </c>
      <c r="T7999">
        <v>-0.20599039999999999</v>
      </c>
      <c r="U7999">
        <v>-2.990875</v>
      </c>
      <c r="V7999">
        <v>-7.4712280000000006E-2</v>
      </c>
      <c r="W7999">
        <v>6.4657699999999999E-2</v>
      </c>
      <c r="X7999">
        <v>0.99510679999999996</v>
      </c>
      <c r="Y7999">
        <v>-0.19744680000000001</v>
      </c>
      <c r="Z7999">
        <v>6.7473309999999995E-2</v>
      </c>
      <c r="AA7999">
        <v>0.97798879999999999</v>
      </c>
      <c r="AB7999">
        <v>29</v>
      </c>
      <c r="AC7999">
        <v>2.89499999999998</v>
      </c>
      <c r="AD7999">
        <v>-1.1094539460019901</v>
      </c>
      <c r="AE7999">
        <v>-15.930009999999999</v>
      </c>
      <c r="AF7999">
        <v>-3.2233113909759301</v>
      </c>
      <c r="AG7999">
        <v>-1.1094539460019901</v>
      </c>
      <c r="AH7999">
        <v>15.789615634091399</v>
      </c>
      <c r="AI7999">
        <v>93.9383090304989</v>
      </c>
      <c r="AJ7999">
        <v>101.53789818181799</v>
      </c>
      <c r="AK7999">
        <v>16.1534078835965</v>
      </c>
      <c r="AL7999">
        <v>86.292800706788697</v>
      </c>
      <c r="AM7999">
        <v>94.293691941833202</v>
      </c>
      <c r="AN7999">
        <v>1.00000004317916</v>
      </c>
    </row>
    <row r="8000" spans="1:40" x14ac:dyDescent="0.25">
      <c r="A8000" t="str">
        <f>"20190312150848413"</f>
        <v>20190312150848413</v>
      </c>
      <c r="B8000" t="str">
        <f>"1552374528407748"</f>
        <v>1552374528407748</v>
      </c>
      <c r="C8000" t="s">
        <v>40</v>
      </c>
      <c r="D8000">
        <v>4.4239199999999999</v>
      </c>
      <c r="E8000">
        <v>0.45357809999999998</v>
      </c>
      <c r="F8000" t="s">
        <v>42</v>
      </c>
      <c r="G8000">
        <v>-419.31439999999998</v>
      </c>
      <c r="H8000" s="1">
        <v>-2.0244090000000001E-6</v>
      </c>
      <c r="I8000">
        <v>64.068219999999997</v>
      </c>
      <c r="J8000">
        <v>-422.14139999999998</v>
      </c>
      <c r="K8000">
        <v>1.1094809999999999</v>
      </c>
      <c r="L8000">
        <v>79.597020000000001</v>
      </c>
      <c r="M8000">
        <v>-2.2208260000000001E-2</v>
      </c>
      <c r="N8000">
        <v>0</v>
      </c>
      <c r="O8000">
        <v>-0.9996855</v>
      </c>
      <c r="P8000">
        <v>5.3542380000000001E-2</v>
      </c>
      <c r="Q8000">
        <v>5.272458E-2</v>
      </c>
      <c r="R8000">
        <v>-0.99717299999999998</v>
      </c>
      <c r="S8000">
        <v>0.53707890000000003</v>
      </c>
      <c r="T8000">
        <v>-0.21113090000000001</v>
      </c>
      <c r="U8000">
        <v>-2.9909970000000001</v>
      </c>
      <c r="V8000">
        <v>-7.5558739999999999E-2</v>
      </c>
      <c r="W8000">
        <v>6.4471619999999993E-2</v>
      </c>
      <c r="X8000">
        <v>0.99505489999999996</v>
      </c>
      <c r="Y8000">
        <v>-0.19813140000000001</v>
      </c>
      <c r="Z8000">
        <v>6.9139210000000006E-2</v>
      </c>
      <c r="AA8000">
        <v>0.97773399999999999</v>
      </c>
      <c r="AB8000">
        <v>29</v>
      </c>
      <c r="AC8000">
        <v>2.8269999999999902</v>
      </c>
      <c r="AD8000">
        <v>-1.1094830244089999</v>
      </c>
      <c r="AE8000">
        <v>-15.5288</v>
      </c>
      <c r="AF8000">
        <v>-3.15560220164476</v>
      </c>
      <c r="AG8000">
        <v>-1.1094830244089999</v>
      </c>
      <c r="AH8000">
        <v>15.386161138484701</v>
      </c>
      <c r="AI8000">
        <v>94.040593480296195</v>
      </c>
      <c r="AJ8000">
        <v>101.590269239908</v>
      </c>
      <c r="AK8000">
        <v>15.74556230866</v>
      </c>
      <c r="AL8000">
        <v>86.303484375725603</v>
      </c>
      <c r="AM8000">
        <v>94.342378341181501</v>
      </c>
      <c r="AN8000">
        <v>0.99999998349491004</v>
      </c>
    </row>
    <row r="8001" spans="1:40" x14ac:dyDescent="0.25">
      <c r="A8001" t="str">
        <f>"20190312150848427"</f>
        <v>20190312150848427</v>
      </c>
      <c r="B8001" t="str">
        <f>"1552374528417507"</f>
        <v>1552374528417507</v>
      </c>
      <c r="C8001" t="s">
        <v>40</v>
      </c>
      <c r="D8001">
        <v>4.398911</v>
      </c>
      <c r="E8001">
        <v>0.45363290000000001</v>
      </c>
      <c r="F8001" t="s">
        <v>42</v>
      </c>
      <c r="G8001">
        <v>-419.34519999999998</v>
      </c>
      <c r="H8001" s="1">
        <v>-2.0215980000000002E-6</v>
      </c>
      <c r="I8001">
        <v>64.074419999999904</v>
      </c>
      <c r="J8001">
        <v>-422.14569999999998</v>
      </c>
      <c r="K8001">
        <v>1.109504</v>
      </c>
      <c r="L8001">
        <v>79.422609999999906</v>
      </c>
      <c r="M8001">
        <v>-2.274905E-2</v>
      </c>
      <c r="N8001">
        <v>0</v>
      </c>
      <c r="O8001">
        <v>-0.99967320000000004</v>
      </c>
      <c r="P8001">
        <v>5.4763249999999999E-2</v>
      </c>
      <c r="Q8001">
        <v>5.2578100000000003E-2</v>
      </c>
      <c r="R8001">
        <v>-0.99711439999999996</v>
      </c>
      <c r="S8001">
        <v>0.53875729999999999</v>
      </c>
      <c r="T8001">
        <v>-0.21377399999999999</v>
      </c>
      <c r="U8001">
        <v>-2.990875</v>
      </c>
      <c r="V8001">
        <v>-7.7321109999999998E-2</v>
      </c>
      <c r="W8001">
        <v>6.4322219999999999E-2</v>
      </c>
      <c r="X8001">
        <v>0.99492919999999996</v>
      </c>
      <c r="Y8001">
        <v>-0.19918939999999999</v>
      </c>
      <c r="Z8001">
        <v>6.9990930000000007E-2</v>
      </c>
      <c r="AA8001">
        <v>0.97745839999999995</v>
      </c>
      <c r="AB8001">
        <v>29</v>
      </c>
      <c r="AC8001">
        <v>2.8004999999999902</v>
      </c>
      <c r="AD8001">
        <v>-1.1095060215979999</v>
      </c>
      <c r="AE8001">
        <v>-15.348190000000001</v>
      </c>
      <c r="AF8001">
        <v>-3.1331104568141201</v>
      </c>
      <c r="AG8001">
        <v>-1.1095060215979999</v>
      </c>
      <c r="AH8001">
        <v>15.203614695119599</v>
      </c>
      <c r="AI8001">
        <v>94.088238681965294</v>
      </c>
      <c r="AJ8001">
        <v>101.644315011868</v>
      </c>
      <c r="AK8001">
        <v>15.5626888597124</v>
      </c>
      <c r="AL8001">
        <v>86.312062258455001</v>
      </c>
      <c r="AM8001">
        <v>94.443820276202501</v>
      </c>
      <c r="AN8001">
        <v>1.000000007525</v>
      </c>
    </row>
    <row r="8002" spans="1:40" x14ac:dyDescent="0.25">
      <c r="A8002" t="str">
        <f>"20190312150848449"</f>
        <v>20190312150848449</v>
      </c>
      <c r="B8002" t="str">
        <f>"1552374528438003"</f>
        <v>1552374528438003</v>
      </c>
      <c r="C8002" t="s">
        <v>40</v>
      </c>
      <c r="D8002">
        <v>4.394209</v>
      </c>
      <c r="E8002">
        <v>0.45374379999999997</v>
      </c>
      <c r="F8002" t="s">
        <v>42</v>
      </c>
      <c r="G8002">
        <v>-419.37490000000003</v>
      </c>
      <c r="H8002" s="1">
        <v>-2.0446150000000001E-6</v>
      </c>
      <c r="I8002">
        <v>64.140360000000001</v>
      </c>
      <c r="J8002">
        <v>-422.15309999999999</v>
      </c>
      <c r="K8002">
        <v>1.1095549999999901</v>
      </c>
      <c r="L8002">
        <v>79.139219999999995</v>
      </c>
      <c r="M8002">
        <v>-2.3555880000000001E-2</v>
      </c>
      <c r="N8002">
        <v>0</v>
      </c>
      <c r="O8002">
        <v>-0.99965470000000001</v>
      </c>
      <c r="P8002">
        <v>5.5130739999999998E-2</v>
      </c>
      <c r="Q8002">
        <v>5.2086739999999999E-2</v>
      </c>
      <c r="R8002">
        <v>-0.99712009999999995</v>
      </c>
      <c r="S8002">
        <v>0.54217530000000003</v>
      </c>
      <c r="T8002">
        <v>-0.21710270000000001</v>
      </c>
      <c r="U8002">
        <v>-2.9903559999999998</v>
      </c>
      <c r="V8002">
        <v>-7.8501570000000007E-2</v>
      </c>
      <c r="W8002">
        <v>6.382256E-2</v>
      </c>
      <c r="X8002">
        <v>0.99486889999999994</v>
      </c>
      <c r="Y8002">
        <v>-0.2010777</v>
      </c>
      <c r="Z8002">
        <v>7.1064260000000004E-2</v>
      </c>
      <c r="AA8002">
        <v>0.97699420000000003</v>
      </c>
      <c r="AB8002">
        <v>29</v>
      </c>
      <c r="AC8002">
        <v>2.7781999999999698</v>
      </c>
      <c r="AD8002">
        <v>-1.1095570446149901</v>
      </c>
      <c r="AE8002">
        <v>-14.998859999999899</v>
      </c>
      <c r="AF8002">
        <v>-3.1142868213839101</v>
      </c>
      <c r="AG8002">
        <v>-1.1095570446149901</v>
      </c>
      <c r="AH8002">
        <v>14.8506762401323</v>
      </c>
      <c r="AI8002">
        <v>94.182233820821097</v>
      </c>
      <c r="AJ8002">
        <v>101.84368501249701</v>
      </c>
      <c r="AK8002">
        <v>15.214219796964001</v>
      </c>
      <c r="AL8002">
        <v>86.340749482519698</v>
      </c>
      <c r="AM8002">
        <v>94.511658341170303</v>
      </c>
      <c r="AN8002">
        <v>0.99999997192231305</v>
      </c>
    </row>
    <row r="8003" spans="1:40" x14ac:dyDescent="0.25">
      <c r="A8003" t="str">
        <f>"20190312150848472"</f>
        <v>20190312150848472</v>
      </c>
      <c r="B8003" t="str">
        <f>"1552374528468259"</f>
        <v>1552374528468259</v>
      </c>
      <c r="C8003" t="s">
        <v>40</v>
      </c>
      <c r="D8003">
        <v>4.4547540000000003</v>
      </c>
      <c r="E8003">
        <v>0.45405459999999898</v>
      </c>
      <c r="F8003" t="s">
        <v>42</v>
      </c>
      <c r="G8003">
        <v>-419.44819999999999</v>
      </c>
      <c r="H8003" s="1">
        <v>-2.063998E-6</v>
      </c>
      <c r="I8003">
        <v>64.21584</v>
      </c>
      <c r="J8003">
        <v>-422.16059999999999</v>
      </c>
      <c r="K8003">
        <v>1.1096140000000001</v>
      </c>
      <c r="L8003">
        <v>78.855990000000006</v>
      </c>
      <c r="M8003">
        <v>-2.4286680000000001E-2</v>
      </c>
      <c r="N8003">
        <v>0</v>
      </c>
      <c r="O8003">
        <v>-0.99963709999999995</v>
      </c>
      <c r="P8003">
        <v>5.5302959999999998E-2</v>
      </c>
      <c r="Q8003">
        <v>5.146556E-2</v>
      </c>
      <c r="R8003">
        <v>-0.99714259999999999</v>
      </c>
      <c r="S8003">
        <v>0.54199219999999904</v>
      </c>
      <c r="T8003">
        <v>-0.22232930000000001</v>
      </c>
      <c r="U8003">
        <v>-2.9902950000000001</v>
      </c>
      <c r="V8003">
        <v>-7.9411750000000003E-2</v>
      </c>
      <c r="W8003">
        <v>6.3192509999999993E-2</v>
      </c>
      <c r="X8003">
        <v>0.99483690000000002</v>
      </c>
      <c r="Y8003">
        <v>-0.20171739999999999</v>
      </c>
      <c r="Z8003">
        <v>7.2761010000000001E-2</v>
      </c>
      <c r="AA8003">
        <v>0.97673739999999998</v>
      </c>
      <c r="AB8003">
        <v>29</v>
      </c>
      <c r="AC8003">
        <v>2.7124000000000001</v>
      </c>
      <c r="AD8003">
        <v>-1.1096160639979999</v>
      </c>
      <c r="AE8003">
        <v>-14.64015</v>
      </c>
      <c r="AF8003">
        <v>-3.0502438999651198</v>
      </c>
      <c r="AG8003">
        <v>-1.1096160639979999</v>
      </c>
      <c r="AH8003">
        <v>14.4894784615754</v>
      </c>
      <c r="AI8003">
        <v>94.285639056570105</v>
      </c>
      <c r="AJ8003">
        <v>101.88800442236899</v>
      </c>
      <c r="AK8003">
        <v>14.8485764215703</v>
      </c>
      <c r="AL8003">
        <v>86.376921768833299</v>
      </c>
      <c r="AM8003">
        <v>94.563894854659097</v>
      </c>
      <c r="AN8003">
        <v>0.99999998847988603</v>
      </c>
    </row>
    <row r="8004" spans="1:40" x14ac:dyDescent="0.25">
      <c r="A8004" t="str">
        <f>"20190312150848487"</f>
        <v>20190312150848487</v>
      </c>
      <c r="B8004" t="str">
        <f>"1552374528478019"</f>
        <v>1552374528478019</v>
      </c>
      <c r="C8004" t="s">
        <v>40</v>
      </c>
      <c r="D8004">
        <v>4.4262139999999999</v>
      </c>
      <c r="E8004">
        <v>0.45406970000000002</v>
      </c>
      <c r="F8004" t="s">
        <v>42</v>
      </c>
      <c r="G8004">
        <v>-419.50490000000002</v>
      </c>
      <c r="H8004" s="1">
        <v>-2.0303639999999999E-6</v>
      </c>
      <c r="I8004">
        <v>64.160880000000006</v>
      </c>
      <c r="J8004">
        <v>-422.16590000000002</v>
      </c>
      <c r="K8004">
        <v>1.1096549999999901</v>
      </c>
      <c r="L8004">
        <v>78.657709999999994</v>
      </c>
      <c r="M8004">
        <v>-2.4757560000000001E-2</v>
      </c>
      <c r="N8004">
        <v>0</v>
      </c>
      <c r="O8004">
        <v>-0.99962549999999994</v>
      </c>
      <c r="P8004">
        <v>5.5421770000000002E-2</v>
      </c>
      <c r="Q8004">
        <v>5.133186E-2</v>
      </c>
      <c r="R8004">
        <v>-0.99714259999999999</v>
      </c>
      <c r="S8004">
        <v>0.54040529999999998</v>
      </c>
      <c r="T8004">
        <v>-0.22579250000000001</v>
      </c>
      <c r="U8004">
        <v>-2.990265</v>
      </c>
      <c r="V8004">
        <v>-8.0005889999999996E-2</v>
      </c>
      <c r="W8004">
        <v>6.3051640000000006E-2</v>
      </c>
      <c r="X8004">
        <v>0.99479819999999997</v>
      </c>
      <c r="Y8004">
        <v>-0.2016637</v>
      </c>
      <c r="Z8004">
        <v>7.3891419999999999E-2</v>
      </c>
      <c r="AA8004">
        <v>0.97666359999999997</v>
      </c>
      <c r="AB8004">
        <v>29</v>
      </c>
      <c r="AC8004">
        <v>2.661</v>
      </c>
      <c r="AD8004">
        <v>-1.1096570303640001</v>
      </c>
      <c r="AE8004">
        <v>-14.4968299999999</v>
      </c>
      <c r="AF8004">
        <v>-3.0020985023557398</v>
      </c>
      <c r="AG8004">
        <v>-1.1096570303640001</v>
      </c>
      <c r="AH8004">
        <v>14.345191152969599</v>
      </c>
      <c r="AI8004">
        <v>94.329815294664897</v>
      </c>
      <c r="AJ8004">
        <v>101.820021399084</v>
      </c>
      <c r="AK8004">
        <v>14.697906087539099</v>
      </c>
      <c r="AL8004">
        <v>86.3850090327971</v>
      </c>
      <c r="AM8004">
        <v>94.598073075393998</v>
      </c>
      <c r="AN8004">
        <v>0.999999955232309</v>
      </c>
    </row>
    <row r="8005" spans="1:40" x14ac:dyDescent="0.25">
      <c r="A8005" t="str">
        <f>"20190312150848500"</f>
        <v>20190312150848500</v>
      </c>
      <c r="B8005" t="str">
        <f>"1552374528487390"</f>
        <v>1552374528487390</v>
      </c>
      <c r="C8005" t="s">
        <v>40</v>
      </c>
      <c r="D8005">
        <v>4.4020070000000002</v>
      </c>
      <c r="E8005">
        <v>0.45410279999999997</v>
      </c>
      <c r="F8005" t="s">
        <v>42</v>
      </c>
      <c r="G8005">
        <v>-419.53919999999999</v>
      </c>
      <c r="H8005" s="1">
        <v>-2.003654E-6</v>
      </c>
      <c r="I8005">
        <v>64.112790000000004</v>
      </c>
      <c r="J8005">
        <v>-422.1705</v>
      </c>
      <c r="K8005">
        <v>1.109688</v>
      </c>
      <c r="L8005">
        <v>78.489289999999997</v>
      </c>
      <c r="M8005">
        <v>-2.512025E-2</v>
      </c>
      <c r="N8005">
        <v>0</v>
      </c>
      <c r="O8005">
        <v>-0.99961659999999997</v>
      </c>
      <c r="P8005">
        <v>5.5432490000000001E-2</v>
      </c>
      <c r="Q8005">
        <v>5.1097339999999998E-2</v>
      </c>
      <c r="R8005">
        <v>-0.99715430000000005</v>
      </c>
      <c r="S8005">
        <v>0.54003909999999999</v>
      </c>
      <c r="T8005">
        <v>-0.22813720000000001</v>
      </c>
      <c r="U8005">
        <v>-2.990326</v>
      </c>
      <c r="V8005">
        <v>-8.0384230000000001E-2</v>
      </c>
      <c r="W8005">
        <v>6.2810840000000007E-2</v>
      </c>
      <c r="X8005">
        <v>0.99478299999999997</v>
      </c>
      <c r="Y8005">
        <v>-0.2018896</v>
      </c>
      <c r="Z8005">
        <v>7.4650889999999998E-2</v>
      </c>
      <c r="AA8005">
        <v>0.97655919999999896</v>
      </c>
      <c r="AB8005">
        <v>29</v>
      </c>
      <c r="AC8005">
        <v>2.6313</v>
      </c>
      <c r="AD8005">
        <v>-1.1096900036540001</v>
      </c>
      <c r="AE8005">
        <v>-14.376499999999901</v>
      </c>
      <c r="AF8005">
        <v>-2.97448788115075</v>
      </c>
      <c r="AG8005">
        <v>-1.1096900036540001</v>
      </c>
      <c r="AH8005">
        <v>14.2238610830867</v>
      </c>
      <c r="AI8005">
        <v>94.366871811130494</v>
      </c>
      <c r="AJ8005">
        <v>101.811456958519</v>
      </c>
      <c r="AK8005">
        <v>14.573853785813499</v>
      </c>
      <c r="AL8005">
        <v>86.398833497852493</v>
      </c>
      <c r="AM8005">
        <v>94.619793297334297</v>
      </c>
      <c r="AN8005">
        <v>1.0000000215715901</v>
      </c>
    </row>
    <row r="8006" spans="1:40" x14ac:dyDescent="0.25">
      <c r="A8006" t="str">
        <f>"20190312150848516"</f>
        <v>20190312150848516</v>
      </c>
      <c r="B8006" t="str">
        <f>"1552374528507877"</f>
        <v>1552374528507877</v>
      </c>
      <c r="C8006" t="s">
        <v>40</v>
      </c>
      <c r="D8006">
        <v>4.442653</v>
      </c>
      <c r="E8006">
        <v>0.4541695</v>
      </c>
      <c r="F8006" t="s">
        <v>42</v>
      </c>
      <c r="G8006">
        <v>-419.57190000000003</v>
      </c>
      <c r="H8006" s="1">
        <v>-1.9920320000000002E-6</v>
      </c>
      <c r="I8006">
        <v>64.099239999999995</v>
      </c>
      <c r="J8006">
        <v>-422.17630000000003</v>
      </c>
      <c r="K8006">
        <v>1.1097360000000001</v>
      </c>
      <c r="L8006">
        <v>78.277559999999994</v>
      </c>
      <c r="M8006">
        <v>-2.5529059999999999E-2</v>
      </c>
      <c r="N8006">
        <v>0</v>
      </c>
      <c r="O8006">
        <v>-0.99960599999999999</v>
      </c>
      <c r="P8006">
        <v>5.5707010000000001E-2</v>
      </c>
      <c r="Q8006">
        <v>5.0683739999999998E-2</v>
      </c>
      <c r="R8006">
        <v>-0.99716000000000005</v>
      </c>
      <c r="S8006">
        <v>0.5400085</v>
      </c>
      <c r="T8006">
        <v>-0.23060169999999999</v>
      </c>
      <c r="U8006">
        <v>-2.9903559999999998</v>
      </c>
      <c r="V8006">
        <v>-8.1073210000000007E-2</v>
      </c>
      <c r="W8006">
        <v>6.238871E-2</v>
      </c>
      <c r="X8006">
        <v>0.99475369999999996</v>
      </c>
      <c r="Y8006">
        <v>-0.20226810000000001</v>
      </c>
      <c r="Z8006">
        <v>7.5447810000000004E-2</v>
      </c>
      <c r="AA8006">
        <v>0.97641960000000005</v>
      </c>
      <c r="AB8006">
        <v>29</v>
      </c>
      <c r="AC8006">
        <v>2.6043999999999898</v>
      </c>
      <c r="AD8006">
        <v>-1.1097379920320001</v>
      </c>
      <c r="AE8006">
        <v>-14.1783199999999</v>
      </c>
      <c r="AF8006">
        <v>-2.9480639379492799</v>
      </c>
      <c r="AG8006">
        <v>-1.1097379920320001</v>
      </c>
      <c r="AH8006">
        <v>14.0240957880638</v>
      </c>
      <c r="AI8006">
        <v>94.428050743392902</v>
      </c>
      <c r="AJ8006">
        <v>101.87153245857</v>
      </c>
      <c r="AK8006">
        <v>14.373512516639201</v>
      </c>
      <c r="AL8006">
        <v>86.423067468172206</v>
      </c>
      <c r="AM8006">
        <v>94.659352970427904</v>
      </c>
      <c r="AN8006">
        <v>1.00000007008942</v>
      </c>
    </row>
    <row r="8007" spans="1:40" x14ac:dyDescent="0.25">
      <c r="A8007" t="str">
        <f>"20190312150848539"</f>
        <v>20190312150848539</v>
      </c>
      <c r="B8007" t="str">
        <f>"1552374528527398"</f>
        <v>1552374528527398</v>
      </c>
      <c r="C8007" t="s">
        <v>40</v>
      </c>
      <c r="D8007">
        <v>4.4087750000000003</v>
      </c>
      <c r="E8007">
        <v>0.45403670000000002</v>
      </c>
      <c r="F8007" t="s">
        <v>42</v>
      </c>
      <c r="G8007">
        <v>-419.63</v>
      </c>
      <c r="H8007" s="1">
        <v>-2.020095E-6</v>
      </c>
      <c r="I8007">
        <v>64.188670000000002</v>
      </c>
      <c r="J8007">
        <v>-422.18400000000003</v>
      </c>
      <c r="K8007">
        <v>1.1098129999999999</v>
      </c>
      <c r="L8007">
        <v>77.999659999999906</v>
      </c>
      <c r="M8007">
        <v>-2.597855E-2</v>
      </c>
      <c r="N8007">
        <v>0</v>
      </c>
      <c r="O8007">
        <v>-0.9995946</v>
      </c>
      <c r="P8007">
        <v>5.55135E-2</v>
      </c>
      <c r="Q8007">
        <v>5.043802E-2</v>
      </c>
      <c r="R8007">
        <v>-0.99718320000000005</v>
      </c>
      <c r="S8007">
        <v>0.54043580000000002</v>
      </c>
      <c r="T8007">
        <v>-0.23553879999999999</v>
      </c>
      <c r="U8007">
        <v>-2.990326</v>
      </c>
      <c r="V8007">
        <v>-8.1339690000000006E-2</v>
      </c>
      <c r="W8007">
        <v>6.2129339999999998E-2</v>
      </c>
      <c r="X8007">
        <v>0.99474810000000002</v>
      </c>
      <c r="Y8007">
        <v>-0.20282339999999999</v>
      </c>
      <c r="Z8007">
        <v>7.7047379999999999E-2</v>
      </c>
      <c r="AA8007">
        <v>0.97617949999999998</v>
      </c>
      <c r="AB8007">
        <v>29</v>
      </c>
      <c r="AC8007">
        <v>2.55400000000003</v>
      </c>
      <c r="AD8007">
        <v>-1.1098150200950001</v>
      </c>
      <c r="AE8007">
        <v>-13.810989999999901</v>
      </c>
      <c r="AF8007">
        <v>-2.8938829665935302</v>
      </c>
      <c r="AG8007">
        <v>-1.1098150200950001</v>
      </c>
      <c r="AH8007">
        <v>13.654717281576399</v>
      </c>
      <c r="AI8007">
        <v>94.546081536492906</v>
      </c>
      <c r="AJ8007">
        <v>101.965803657812</v>
      </c>
      <c r="AK8007">
        <v>14.002055279242001</v>
      </c>
      <c r="AL8007">
        <v>86.437956877956296</v>
      </c>
      <c r="AM8007">
        <v>94.674626262785907</v>
      </c>
      <c r="AN8007">
        <v>0.99999999125587002</v>
      </c>
    </row>
    <row r="8008" spans="1:40" x14ac:dyDescent="0.25">
      <c r="A8008" t="str">
        <f>"20190312150848561"</f>
        <v>20190312150848561</v>
      </c>
      <c r="B8008" t="str">
        <f>"1552374528557655"</f>
        <v>1552374528557655</v>
      </c>
      <c r="C8008" t="s">
        <v>40</v>
      </c>
      <c r="D8008">
        <v>4.4209440000000004</v>
      </c>
      <c r="E8008">
        <v>0.45394469999999998</v>
      </c>
      <c r="F8008" t="s">
        <v>42</v>
      </c>
      <c r="G8008">
        <v>-419.67750000000001</v>
      </c>
      <c r="H8008" s="1">
        <v>-1.9938829999999998E-6</v>
      </c>
      <c r="I8008">
        <v>64.147189999999995</v>
      </c>
      <c r="J8008">
        <v>-422.19209999999998</v>
      </c>
      <c r="K8008">
        <v>1.109901</v>
      </c>
      <c r="L8008">
        <v>77.702060000000003</v>
      </c>
      <c r="M8008">
        <v>-2.6338509999999999E-2</v>
      </c>
      <c r="N8008">
        <v>0</v>
      </c>
      <c r="O8008">
        <v>-0.9995851</v>
      </c>
      <c r="P8008">
        <v>5.4991249999999998E-2</v>
      </c>
      <c r="Q8008">
        <v>5.039631E-2</v>
      </c>
      <c r="R8008">
        <v>-0.9972143</v>
      </c>
      <c r="S8008">
        <v>0.54110719999999901</v>
      </c>
      <c r="T8008">
        <v>-0.23958740000000001</v>
      </c>
      <c r="U8008">
        <v>-2.9904790000000001</v>
      </c>
      <c r="V8008">
        <v>-8.1190579999999998E-2</v>
      </c>
      <c r="W8008">
        <v>6.207033E-2</v>
      </c>
      <c r="X8008">
        <v>0.99476399999999998</v>
      </c>
      <c r="Y8008">
        <v>-0.20336129999999999</v>
      </c>
      <c r="Z8008">
        <v>7.8352469999999994E-2</v>
      </c>
      <c r="AA8008">
        <v>0.97596369999999999</v>
      </c>
      <c r="AB8008">
        <v>29</v>
      </c>
      <c r="AC8008">
        <v>2.51459999999997</v>
      </c>
      <c r="AD8008">
        <v>-1.1099029938830001</v>
      </c>
      <c r="AE8008">
        <v>-13.5548699999999</v>
      </c>
      <c r="AF8008">
        <v>-2.8522794291096698</v>
      </c>
      <c r="AG8008">
        <v>-1.1099029938830001</v>
      </c>
      <c r="AH8008">
        <v>13.397096519497801</v>
      </c>
      <c r="AI8008">
        <v>94.632580100659894</v>
      </c>
      <c r="AJ8008">
        <v>102.01897939471699</v>
      </c>
      <c r="AK8008">
        <v>13.7422551915722</v>
      </c>
      <c r="AL8008">
        <v>86.441344563646695</v>
      </c>
      <c r="AM8008">
        <v>94.666020470173606</v>
      </c>
      <c r="AN8008">
        <v>1.00000002592152</v>
      </c>
    </row>
    <row r="8009" spans="1:40" x14ac:dyDescent="0.25">
      <c r="A8009" t="str">
        <f>"20190312150848583"</f>
        <v>20190312150848583</v>
      </c>
      <c r="B8009" t="str">
        <f>"1552374528578153"</f>
        <v>1552374528578153</v>
      </c>
      <c r="C8009" t="s">
        <v>40</v>
      </c>
      <c r="D8009">
        <v>4.5561569999999998</v>
      </c>
      <c r="E8009">
        <v>0.45395580000000002</v>
      </c>
      <c r="F8009" t="s">
        <v>42</v>
      </c>
      <c r="G8009">
        <v>-419.72480000000002</v>
      </c>
      <c r="H8009" s="1">
        <v>-1.9375960000000002E-6</v>
      </c>
      <c r="I8009">
        <v>64.035550000000001</v>
      </c>
      <c r="J8009">
        <v>-422.19959999999998</v>
      </c>
      <c r="K8009">
        <v>1.1099909999999999</v>
      </c>
      <c r="L8009">
        <v>77.429990000000004</v>
      </c>
      <c r="M8009">
        <v>-2.655132E-2</v>
      </c>
      <c r="N8009">
        <v>0</v>
      </c>
      <c r="O8009">
        <v>-0.99957949999999995</v>
      </c>
      <c r="P8009">
        <v>5.4833640000000003E-2</v>
      </c>
      <c r="Q8009">
        <v>5.0225619999999999E-2</v>
      </c>
      <c r="R8009">
        <v>-0.9972316</v>
      </c>
      <c r="S8009">
        <v>0.53997799999999996</v>
      </c>
      <c r="T8009">
        <v>-0.24289910000000001</v>
      </c>
      <c r="U8009">
        <v>-2.990875</v>
      </c>
      <c r="V8009">
        <v>-8.1259349999999994E-2</v>
      </c>
      <c r="W8009">
        <v>6.1883290000000001E-2</v>
      </c>
      <c r="X8009">
        <v>0.99477000000000004</v>
      </c>
      <c r="Y8009">
        <v>-0.2031752</v>
      </c>
      <c r="Z8009">
        <v>7.9421729999999996E-2</v>
      </c>
      <c r="AA8009">
        <v>0.97591600000000001</v>
      </c>
      <c r="AB8009">
        <v>29</v>
      </c>
      <c r="AC8009">
        <v>2.4747999999999601</v>
      </c>
      <c r="AD8009">
        <v>-1.109992937596</v>
      </c>
      <c r="AE8009">
        <v>-13.394439999999999</v>
      </c>
      <c r="AF8009">
        <v>-2.81092514122613</v>
      </c>
      <c r="AG8009">
        <v>-1.109992937596</v>
      </c>
      <c r="AH8009">
        <v>13.236106651057399</v>
      </c>
      <c r="AI8009">
        <v>94.689562351200607</v>
      </c>
      <c r="AJ8009">
        <v>101.98966135938301</v>
      </c>
      <c r="AK8009">
        <v>13.5767412787184</v>
      </c>
      <c r="AL8009">
        <v>86.452081673445306</v>
      </c>
      <c r="AM8009">
        <v>94.669927164701207</v>
      </c>
      <c r="AN8009">
        <v>0.99999998822182301</v>
      </c>
    </row>
    <row r="8010" spans="1:40" x14ac:dyDescent="0.25">
      <c r="A8010" t="str">
        <f>"20190312150848596"</f>
        <v>20190312150848596</v>
      </c>
      <c r="B8010" t="str">
        <f>"1552374528587910"</f>
        <v>1552374528587910</v>
      </c>
      <c r="C8010" t="s">
        <v>40</v>
      </c>
      <c r="D8010">
        <v>4.459015</v>
      </c>
      <c r="E8010">
        <v>0.45388509999999999</v>
      </c>
      <c r="F8010" t="s">
        <v>42</v>
      </c>
      <c r="G8010">
        <v>-419.74880000000002</v>
      </c>
      <c r="H8010" s="1">
        <v>-1.854369E-6</v>
      </c>
      <c r="I8010">
        <v>63.851489999999998</v>
      </c>
      <c r="J8010">
        <v>-422.20440000000002</v>
      </c>
      <c r="K8010">
        <v>1.1100410000000001</v>
      </c>
      <c r="L8010">
        <v>77.251949999999994</v>
      </c>
      <c r="M8010">
        <v>-2.6629409999999999E-2</v>
      </c>
      <c r="N8010">
        <v>0</v>
      </c>
      <c r="O8010">
        <v>-0.9995773</v>
      </c>
      <c r="P8010">
        <v>5.4688760000000003E-2</v>
      </c>
      <c r="Q8010">
        <v>4.9933150000000003E-2</v>
      </c>
      <c r="R8010">
        <v>-0.99725410000000003</v>
      </c>
      <c r="S8010">
        <v>0.53982540000000001</v>
      </c>
      <c r="T8010">
        <v>-0.24450060000000001</v>
      </c>
      <c r="U8010">
        <v>-2.9909669999999999</v>
      </c>
      <c r="V8010">
        <v>-8.1201570000000001E-2</v>
      </c>
      <c r="W8010">
        <v>6.1580120000000002E-2</v>
      </c>
      <c r="X8010">
        <v>0.9947935</v>
      </c>
      <c r="Y8010">
        <v>-0.2031908</v>
      </c>
      <c r="Z8010">
        <v>7.9939570000000001E-2</v>
      </c>
      <c r="AA8010">
        <v>0.97587049999999997</v>
      </c>
      <c r="AB8010">
        <v>29</v>
      </c>
      <c r="AC8010">
        <v>2.4556</v>
      </c>
      <c r="AD8010">
        <v>-1.110042854369</v>
      </c>
      <c r="AE8010">
        <v>-13.400459999999899</v>
      </c>
      <c r="AF8010">
        <v>-2.79305686573429</v>
      </c>
      <c r="AG8010">
        <v>-1.110042854369</v>
      </c>
      <c r="AH8010">
        <v>13.2423966280043</v>
      </c>
      <c r="AI8010">
        <v>94.688925747454505</v>
      </c>
      <c r="AJ8010">
        <v>101.910133550176</v>
      </c>
      <c r="AK8010">
        <v>13.579191074844699</v>
      </c>
      <c r="AL8010">
        <v>86.469485116870899</v>
      </c>
      <c r="AM8010">
        <v>94.666511500325896</v>
      </c>
      <c r="AN8010">
        <v>0.99999995689596299</v>
      </c>
    </row>
    <row r="8011" spans="1:40" x14ac:dyDescent="0.25">
      <c r="A8011" t="str">
        <f>"20190312150848610"</f>
        <v>20190312150848610</v>
      </c>
      <c r="B8011" t="str">
        <f>"1552374528607430"</f>
        <v>1552374528607430</v>
      </c>
      <c r="C8011" t="s">
        <v>40</v>
      </c>
      <c r="D8011">
        <v>4.4510360000000002</v>
      </c>
      <c r="E8011">
        <v>0.45384400000000003</v>
      </c>
      <c r="F8011" t="s">
        <v>42</v>
      </c>
      <c r="G8011">
        <v>-419.77359999999999</v>
      </c>
      <c r="H8011" s="1">
        <v>-1.8206139999999999E-6</v>
      </c>
      <c r="I8011">
        <v>63.783050000000003</v>
      </c>
      <c r="J8011">
        <v>-422.209</v>
      </c>
      <c r="K8011">
        <v>1.110093</v>
      </c>
      <c r="L8011">
        <v>77.0809</v>
      </c>
      <c r="M8011">
        <v>-2.667288E-2</v>
      </c>
      <c r="N8011">
        <v>0</v>
      </c>
      <c r="O8011">
        <v>-0.99957609999999997</v>
      </c>
      <c r="P8011">
        <v>5.4529939999999999E-2</v>
      </c>
      <c r="Q8011">
        <v>4.9592549999999999E-2</v>
      </c>
      <c r="R8011">
        <v>-0.99727980000000005</v>
      </c>
      <c r="S8011">
        <v>0.53979489999999997</v>
      </c>
      <c r="T8011">
        <v>-0.24650130000000001</v>
      </c>
      <c r="U8011">
        <v>-2.9909669999999999</v>
      </c>
      <c r="V8011">
        <v>-8.109471E-2</v>
      </c>
      <c r="W8011">
        <v>6.1230310000000003E-2</v>
      </c>
      <c r="X8011">
        <v>0.99482389999999998</v>
      </c>
      <c r="Y8011">
        <v>-0.20321449999999999</v>
      </c>
      <c r="Z8011">
        <v>8.0589099999999997E-2</v>
      </c>
      <c r="AA8011">
        <v>0.97581209999999996</v>
      </c>
      <c r="AB8011">
        <v>29</v>
      </c>
      <c r="AC8011">
        <v>2.4354000000000098</v>
      </c>
      <c r="AD8011">
        <v>-1.110094820614</v>
      </c>
      <c r="AE8011">
        <v>-13.297849999999899</v>
      </c>
      <c r="AF8011">
        <v>-2.7705685871991701</v>
      </c>
      <c r="AG8011">
        <v>-1.110094820614</v>
      </c>
      <c r="AH8011">
        <v>13.139559402523901</v>
      </c>
      <c r="AI8011">
        <v>94.725736152043595</v>
      </c>
      <c r="AJ8011">
        <v>101.906801660944</v>
      </c>
      <c r="AK8011">
        <v>13.4742859588026</v>
      </c>
      <c r="AL8011">
        <v>86.489565966276103</v>
      </c>
      <c r="AM8011">
        <v>94.660255726361996</v>
      </c>
      <c r="AN8011">
        <v>1.0000000474319399</v>
      </c>
    </row>
    <row r="8012" spans="1:40" x14ac:dyDescent="0.25">
      <c r="A8012" t="str">
        <f>"20190312150848627"</f>
        <v>20190312150848627</v>
      </c>
      <c r="B8012" t="str">
        <f>"1552374528618165"</f>
        <v>1552374528618165</v>
      </c>
      <c r="C8012" t="s">
        <v>40</v>
      </c>
      <c r="D8012">
        <v>4.4184060000000001</v>
      </c>
      <c r="E8012">
        <v>0.45376820000000001</v>
      </c>
      <c r="F8012" t="s">
        <v>42</v>
      </c>
      <c r="G8012">
        <v>-419.80799999999999</v>
      </c>
      <c r="H8012" s="1">
        <v>-1.8135390000000001E-6</v>
      </c>
      <c r="I8012">
        <v>63.78078</v>
      </c>
      <c r="J8012">
        <v>-422.21510000000001</v>
      </c>
      <c r="K8012">
        <v>1.11016</v>
      </c>
      <c r="L8012">
        <v>76.854770000000002</v>
      </c>
      <c r="M8012">
        <v>-2.6671070000000002E-2</v>
      </c>
      <c r="N8012">
        <v>0</v>
      </c>
      <c r="O8012">
        <v>-0.99957629999999997</v>
      </c>
      <c r="P8012">
        <v>5.492321E-2</v>
      </c>
      <c r="Q8012">
        <v>4.9267810000000002E-2</v>
      </c>
      <c r="R8012">
        <v>-0.99727440000000001</v>
      </c>
      <c r="S8012">
        <v>0.53997799999999996</v>
      </c>
      <c r="T8012">
        <v>-0.24965129999999999</v>
      </c>
      <c r="U8012">
        <v>-2.9910890000000001</v>
      </c>
      <c r="V8012">
        <v>-8.1495810000000002E-2</v>
      </c>
      <c r="W8012">
        <v>6.0893339999999997E-2</v>
      </c>
      <c r="X8012">
        <v>0.99481180000000002</v>
      </c>
      <c r="Y8012">
        <v>-0.20324880000000001</v>
      </c>
      <c r="Z8012">
        <v>8.1607959999999993E-2</v>
      </c>
      <c r="AA8012">
        <v>0.97572029999999998</v>
      </c>
      <c r="AB8012">
        <v>29</v>
      </c>
      <c r="AC8012">
        <v>2.4070999999999501</v>
      </c>
      <c r="AD8012">
        <v>-1.1101618135389999</v>
      </c>
      <c r="AE8012">
        <v>-13.073989999999901</v>
      </c>
      <c r="AF8012">
        <v>-2.7358846704193698</v>
      </c>
      <c r="AG8012">
        <v>-1.1101618135389999</v>
      </c>
      <c r="AH8012">
        <v>12.915065199916199</v>
      </c>
      <c r="AI8012">
        <v>94.806839271010006</v>
      </c>
      <c r="AJ8012">
        <v>101.960531585859</v>
      </c>
      <c r="AK8012">
        <v>13.248261519918801</v>
      </c>
      <c r="AL8012">
        <v>86.508908998513505</v>
      </c>
      <c r="AM8012">
        <v>94.6832601031916</v>
      </c>
      <c r="AN8012">
        <v>1.00000004166157</v>
      </c>
    </row>
    <row r="8013" spans="1:40" x14ac:dyDescent="0.25">
      <c r="A8013" t="str">
        <f>"20190312150848650"</f>
        <v>20190312150848650</v>
      </c>
      <c r="B8013" t="str">
        <f>"1552374528647446"</f>
        <v>1552374528647446</v>
      </c>
      <c r="C8013" t="s">
        <v>40</v>
      </c>
      <c r="D8013">
        <v>4.4851349999999996</v>
      </c>
      <c r="E8013">
        <v>0.45344020000000002</v>
      </c>
      <c r="F8013" t="s">
        <v>42</v>
      </c>
      <c r="G8013">
        <v>-419.82819999999998</v>
      </c>
      <c r="H8013" s="1">
        <v>-1.7643509999999999E-6</v>
      </c>
      <c r="I8013">
        <v>63.674480000000003</v>
      </c>
      <c r="J8013">
        <v>-422.22269999999997</v>
      </c>
      <c r="K8013">
        <v>1.110236</v>
      </c>
      <c r="L8013">
        <v>76.570890000000006</v>
      </c>
      <c r="M8013">
        <v>-2.6567250000000001E-2</v>
      </c>
      <c r="N8013">
        <v>0</v>
      </c>
      <c r="O8013">
        <v>-0.9995792</v>
      </c>
      <c r="P8013">
        <v>5.5707550000000002E-2</v>
      </c>
      <c r="Q8013">
        <v>4.9332899999999999E-2</v>
      </c>
      <c r="R8013">
        <v>-0.9972278</v>
      </c>
      <c r="S8013">
        <v>0.54162600000000005</v>
      </c>
      <c r="T8013">
        <v>-0.2519132</v>
      </c>
      <c r="U8013">
        <v>-2.9908139999999999</v>
      </c>
      <c r="V8013">
        <v>-8.2186679999999998E-2</v>
      </c>
      <c r="W8013">
        <v>6.0943310000000001E-2</v>
      </c>
      <c r="X8013">
        <v>0.99475190000000002</v>
      </c>
      <c r="Y8013">
        <v>-0.20367260000000001</v>
      </c>
      <c r="Z8013">
        <v>8.2342349999999995E-2</v>
      </c>
      <c r="AA8013">
        <v>0.97557020000000005</v>
      </c>
      <c r="AB8013">
        <v>29</v>
      </c>
      <c r="AC8013">
        <v>2.3944999999999901</v>
      </c>
      <c r="AD8013">
        <v>-1.110237764351</v>
      </c>
      <c r="AE8013">
        <v>-12.896409999999999</v>
      </c>
      <c r="AF8013">
        <v>-2.7168358057045299</v>
      </c>
      <c r="AG8013">
        <v>-1.110237764351</v>
      </c>
      <c r="AH8013">
        <v>12.736985928395599</v>
      </c>
      <c r="AI8013">
        <v>94.872609127857899</v>
      </c>
      <c r="AJ8013">
        <v>102.04090634436901</v>
      </c>
      <c r="AK8013">
        <v>13.070754960165701</v>
      </c>
      <c r="AL8013">
        <v>86.506040595323398</v>
      </c>
      <c r="AM8013">
        <v>94.723066085683499</v>
      </c>
      <c r="AN8013">
        <v>1.0000000399783899</v>
      </c>
    </row>
    <row r="8014" spans="1:40" x14ac:dyDescent="0.25">
      <c r="A8014" t="str">
        <f>"20190312150848672"</f>
        <v>20190312150848672</v>
      </c>
      <c r="B8014" t="str">
        <f>"1552374528667941"</f>
        <v>1552374528667941</v>
      </c>
      <c r="C8014" t="s">
        <v>40</v>
      </c>
      <c r="D8014">
        <v>4.4361129999999998</v>
      </c>
      <c r="E8014">
        <v>0.4533142</v>
      </c>
      <c r="F8014" t="s">
        <v>42</v>
      </c>
      <c r="G8014">
        <v>-419.82350000000002</v>
      </c>
      <c r="H8014" s="1">
        <v>-1.668217E-6</v>
      </c>
      <c r="I8014">
        <v>63.448430000000002</v>
      </c>
      <c r="J8014">
        <v>-422.23020000000002</v>
      </c>
      <c r="K8014">
        <v>1.1103050000000001</v>
      </c>
      <c r="L8014">
        <v>76.282780000000002</v>
      </c>
      <c r="M8014">
        <v>-2.6360789999999999E-2</v>
      </c>
      <c r="N8014">
        <v>0</v>
      </c>
      <c r="O8014">
        <v>-0.99958449999999999</v>
      </c>
      <c r="P8014">
        <v>5.6671920000000001E-2</v>
      </c>
      <c r="Q8014">
        <v>4.8757799999999997E-2</v>
      </c>
      <c r="R8014">
        <v>-0.99720169999999997</v>
      </c>
      <c r="S8014">
        <v>0.54672240000000005</v>
      </c>
      <c r="T8014">
        <v>-0.25299929999999998</v>
      </c>
      <c r="U8014">
        <v>-2.990326</v>
      </c>
      <c r="V8014">
        <v>-8.2955680000000004E-2</v>
      </c>
      <c r="W8014">
        <v>6.0353599999999903E-2</v>
      </c>
      <c r="X8014">
        <v>0.99472400000000005</v>
      </c>
      <c r="Y8014">
        <v>-0.20510239999999999</v>
      </c>
      <c r="Z8014">
        <v>8.2683850000000003E-2</v>
      </c>
      <c r="AA8014">
        <v>0.97524169999999999</v>
      </c>
      <c r="AB8014">
        <v>29</v>
      </c>
      <c r="AC8014">
        <v>2.4066999999999998</v>
      </c>
      <c r="AD8014">
        <v>-1.110306668217</v>
      </c>
      <c r="AE8014">
        <v>-12.834350000000001</v>
      </c>
      <c r="AF8014">
        <v>-2.7245123414156098</v>
      </c>
      <c r="AG8014">
        <v>-1.110306668217</v>
      </c>
      <c r="AH8014">
        <v>12.674805660189399</v>
      </c>
      <c r="AI8014">
        <v>94.895051752861804</v>
      </c>
      <c r="AJ8014">
        <v>102.13141355389899</v>
      </c>
      <c r="AK8014">
        <v>13.011781081757499</v>
      </c>
      <c r="AL8014">
        <v>86.5398907278759</v>
      </c>
      <c r="AM8014">
        <v>94.767188986167099</v>
      </c>
      <c r="AN8014">
        <v>1.0000000190266101</v>
      </c>
    </row>
    <row r="8015" spans="1:40" x14ac:dyDescent="0.25">
      <c r="A8015" t="str">
        <f>"20190312150848688"</f>
        <v>20190312150848688</v>
      </c>
      <c r="B8015" t="str">
        <f>"1552374528677702"</f>
        <v>1552374528677702</v>
      </c>
      <c r="C8015" t="s">
        <v>40</v>
      </c>
      <c r="D8015">
        <v>4.4012260000000003</v>
      </c>
      <c r="E8015">
        <v>0.43118580000000001</v>
      </c>
      <c r="F8015" t="s">
        <v>42</v>
      </c>
      <c r="G8015">
        <v>-419.82859999999999</v>
      </c>
      <c r="H8015" s="1">
        <v>-1.577424E-6</v>
      </c>
      <c r="I8015">
        <v>63.238930000000003</v>
      </c>
      <c r="J8015">
        <v>-422.23509999999999</v>
      </c>
      <c r="K8015">
        <v>1.1103590000000001</v>
      </c>
      <c r="L8015">
        <v>76.087829999999997</v>
      </c>
      <c r="M8015">
        <v>-2.6168400000000001E-2</v>
      </c>
      <c r="N8015">
        <v>0</v>
      </c>
      <c r="O8015">
        <v>-0.99958930000000001</v>
      </c>
      <c r="P8015">
        <v>5.7203660000000003E-2</v>
      </c>
      <c r="Q8015">
        <v>4.8514109999999999E-2</v>
      </c>
      <c r="R8015">
        <v>-0.99718300000000004</v>
      </c>
      <c r="S8015">
        <v>0.55041499999999999</v>
      </c>
      <c r="T8015">
        <v>-0.2544749</v>
      </c>
      <c r="U8015">
        <v>-2.989563</v>
      </c>
      <c r="V8015">
        <v>-8.3302730000000005E-2</v>
      </c>
      <c r="W8015">
        <v>6.0099909999999999E-2</v>
      </c>
      <c r="X8015">
        <v>0.99471030000000005</v>
      </c>
      <c r="Y8015">
        <v>-0.20611599999999999</v>
      </c>
      <c r="Z8015">
        <v>8.3165970000000006E-2</v>
      </c>
      <c r="AA8015">
        <v>0.97498700000000005</v>
      </c>
      <c r="AB8015">
        <v>29</v>
      </c>
      <c r="AC8015">
        <v>2.4064999999999901</v>
      </c>
      <c r="AD8015">
        <v>-1.110360577424</v>
      </c>
      <c r="AE8015">
        <v>-12.8489</v>
      </c>
      <c r="AF8015">
        <v>-2.7222931364156602</v>
      </c>
      <c r="AG8015">
        <v>-1.110360577424</v>
      </c>
      <c r="AH8015">
        <v>12.689965453681699</v>
      </c>
      <c r="AI8015">
        <v>94.889899762636801</v>
      </c>
      <c r="AJ8015">
        <v>102.10777091369999</v>
      </c>
      <c r="AK8015">
        <v>13.026089349766799</v>
      </c>
      <c r="AL8015">
        <v>86.554452332551605</v>
      </c>
      <c r="AM8015">
        <v>94.787105937156298</v>
      </c>
      <c r="AN8015">
        <v>0.99999996246677403</v>
      </c>
    </row>
    <row r="8016" spans="1:40" x14ac:dyDescent="0.25">
      <c r="A8016" t="str">
        <f>"20190312150848701"</f>
        <v>20190312150848701</v>
      </c>
      <c r="B8016" t="str">
        <f>"1552374528698198"</f>
        <v>1552374528698198</v>
      </c>
      <c r="C8016" t="s">
        <v>40</v>
      </c>
      <c r="D8016">
        <v>4.4143249999999998</v>
      </c>
      <c r="E8016">
        <v>0.42663000000000001</v>
      </c>
      <c r="F8016" t="s">
        <v>42</v>
      </c>
      <c r="G8016">
        <v>-419.38499999999999</v>
      </c>
      <c r="H8016" s="1">
        <v>-2.169151E-6</v>
      </c>
      <c r="I8016">
        <v>64.434820000000002</v>
      </c>
      <c r="J8016">
        <v>-422.23950000000002</v>
      </c>
      <c r="K8016">
        <v>1.1104099999999999</v>
      </c>
      <c r="L8016">
        <v>75.912540000000007</v>
      </c>
      <c r="M8016">
        <v>-2.5950709999999998E-2</v>
      </c>
      <c r="N8016">
        <v>0</v>
      </c>
      <c r="O8016">
        <v>-0.99959529999999996</v>
      </c>
      <c r="P8016">
        <v>5.8221500000000002E-2</v>
      </c>
      <c r="Q8016">
        <v>4.7796980000000003E-2</v>
      </c>
      <c r="R8016">
        <v>-0.99715929999999997</v>
      </c>
      <c r="S8016">
        <v>0.72897339999999999</v>
      </c>
      <c r="T8016">
        <v>-0.2839952</v>
      </c>
      <c r="U8016">
        <v>-2.9804689999999998</v>
      </c>
      <c r="V8016">
        <v>-8.4109870000000003E-2</v>
      </c>
      <c r="W8016">
        <v>5.9372599999999998E-2</v>
      </c>
      <c r="X8016">
        <v>0.99468610000000002</v>
      </c>
      <c r="Y8016">
        <v>-0.2617042</v>
      </c>
      <c r="Z8016">
        <v>9.181309E-2</v>
      </c>
      <c r="AA8016">
        <v>0.96077120000000005</v>
      </c>
      <c r="AB8016">
        <v>29</v>
      </c>
      <c r="AC8016">
        <v>2.85450000000003</v>
      </c>
      <c r="AD8016">
        <v>-1.1104121691509901</v>
      </c>
      <c r="AE8016">
        <v>-11.47772</v>
      </c>
      <c r="AF8016">
        <v>-3.1238785895991898</v>
      </c>
      <c r="AG8016">
        <v>-1.1104121691509901</v>
      </c>
      <c r="AH8016">
        <v>11.3001683501888</v>
      </c>
      <c r="AI8016">
        <v>95.410495693778699</v>
      </c>
      <c r="AJ8016">
        <v>105.45321093550299</v>
      </c>
      <c r="AK8016">
        <v>11.776478139518799</v>
      </c>
      <c r="AL8016">
        <v>86.596198830000503</v>
      </c>
      <c r="AM8016">
        <v>94.833387696095102</v>
      </c>
      <c r="AN8016">
        <v>1.00000000669769</v>
      </c>
    </row>
    <row r="8017" spans="1:40" x14ac:dyDescent="0.25">
      <c r="A8017" t="str">
        <f>"20190312150848716"</f>
        <v>20190312150848716</v>
      </c>
      <c r="B8017" t="str">
        <f>"1552374528707958"</f>
        <v>1552374528707958</v>
      </c>
      <c r="C8017" t="s">
        <v>40</v>
      </c>
      <c r="D8017">
        <v>4.3673989999999998</v>
      </c>
      <c r="E8017">
        <v>0.42598409999999898</v>
      </c>
      <c r="F8017" t="s">
        <v>42</v>
      </c>
      <c r="G8017">
        <v>-419.7568</v>
      </c>
      <c r="H8017" s="1">
        <v>-2.903644E-6</v>
      </c>
      <c r="I8017">
        <v>66.30068</v>
      </c>
      <c r="J8017">
        <v>-422.2441</v>
      </c>
      <c r="K8017">
        <v>1.110466</v>
      </c>
      <c r="L8017">
        <v>75.725009999999997</v>
      </c>
      <c r="M8017">
        <v>-2.5666100000000001E-2</v>
      </c>
      <c r="N8017">
        <v>0</v>
      </c>
      <c r="O8017">
        <v>-0.9996024</v>
      </c>
      <c r="P8017">
        <v>5.883849E-2</v>
      </c>
      <c r="Q8017">
        <v>4.7889550000000003E-2</v>
      </c>
      <c r="R8017">
        <v>-0.99711819999999896</v>
      </c>
      <c r="S8017">
        <v>0.76974489999999995</v>
      </c>
      <c r="T8017">
        <v>-0.34427720000000001</v>
      </c>
      <c r="U8017">
        <v>-2.9801030000000002</v>
      </c>
      <c r="V8017">
        <v>-8.445047E-2</v>
      </c>
      <c r="W8017">
        <v>5.9453989999999998E-2</v>
      </c>
      <c r="X8017">
        <v>0.99465239999999999</v>
      </c>
      <c r="Y8017">
        <v>-0.27331549999999999</v>
      </c>
      <c r="Z8017">
        <v>0.1107259</v>
      </c>
      <c r="AA8017">
        <v>0.9555304</v>
      </c>
      <c r="AB8017">
        <v>29</v>
      </c>
      <c r="AC8017">
        <v>2.4872999999999998</v>
      </c>
      <c r="AD8017">
        <v>-1.1104689036440001</v>
      </c>
      <c r="AE8017">
        <v>-9.4243299999999905</v>
      </c>
      <c r="AF8017">
        <v>-2.6934227016169499</v>
      </c>
      <c r="AG8017">
        <v>-1.1104689036440001</v>
      </c>
      <c r="AH8017">
        <v>9.2374806655612396</v>
      </c>
      <c r="AI8017">
        <v>96.583249201253494</v>
      </c>
      <c r="AJ8017">
        <v>106.25538868868399</v>
      </c>
      <c r="AK8017">
        <v>9.6860061987469095</v>
      </c>
      <c r="AL8017">
        <v>86.591527346164597</v>
      </c>
      <c r="AM8017">
        <v>94.853030681472006</v>
      </c>
      <c r="AN8017">
        <v>1.0000000278179499</v>
      </c>
    </row>
    <row r="8018" spans="1:40" x14ac:dyDescent="0.25">
      <c r="A8018" t="str">
        <f>"20190312150848729"</f>
        <v>20190312150848729</v>
      </c>
      <c r="B8018" t="str">
        <f>"1552374528717718"</f>
        <v>1552374528717718</v>
      </c>
      <c r="C8018" t="s">
        <v>40</v>
      </c>
      <c r="D8018">
        <v>4.405392</v>
      </c>
      <c r="E8018">
        <v>0.42546299999999998</v>
      </c>
      <c r="F8018" t="s">
        <v>42</v>
      </c>
      <c r="G8018">
        <v>-419.77390000000003</v>
      </c>
      <c r="H8018" s="1">
        <v>-2.8813210000000002E-6</v>
      </c>
      <c r="I8018">
        <v>66.255690000000001</v>
      </c>
      <c r="J8018">
        <v>-422.2482</v>
      </c>
      <c r="K8018">
        <v>1.1105210000000001</v>
      </c>
      <c r="L8018">
        <v>75.556030000000007</v>
      </c>
      <c r="M8018">
        <v>-2.5372680000000002E-2</v>
      </c>
      <c r="N8018">
        <v>0</v>
      </c>
      <c r="O8018">
        <v>-0.99961009999999995</v>
      </c>
      <c r="P8018">
        <v>5.9627090000000001E-2</v>
      </c>
      <c r="Q8018">
        <v>4.7527930000000003E-2</v>
      </c>
      <c r="R8018">
        <v>-0.99708889999999994</v>
      </c>
      <c r="S8018">
        <v>0.77728269999999899</v>
      </c>
      <c r="T8018">
        <v>-0.34941640000000002</v>
      </c>
      <c r="U8018">
        <v>-2.979584</v>
      </c>
      <c r="V8018">
        <v>-8.4953650000000006E-2</v>
      </c>
      <c r="W8018">
        <v>5.9081269999999998E-2</v>
      </c>
      <c r="X8018">
        <v>0.99463170000000001</v>
      </c>
      <c r="Y8018">
        <v>-0.2752927</v>
      </c>
      <c r="Z8018">
        <v>0.1123102</v>
      </c>
      <c r="AA8018">
        <v>0.95477769999999995</v>
      </c>
      <c r="AB8018">
        <v>29</v>
      </c>
      <c r="AC8018">
        <v>2.4742999999999702</v>
      </c>
      <c r="AD8018">
        <v>-1.1105238813210001</v>
      </c>
      <c r="AE8018">
        <v>-9.3003400000000003</v>
      </c>
      <c r="AF8018">
        <v>-2.6738896721501799</v>
      </c>
      <c r="AG8018">
        <v>-1.1105238813210001</v>
      </c>
      <c r="AH8018">
        <v>9.1132143810250206</v>
      </c>
      <c r="AI8018">
        <v>96.669276573636694</v>
      </c>
      <c r="AJ8018">
        <v>106.352108683952</v>
      </c>
      <c r="AK8018">
        <v>9.5620931612454498</v>
      </c>
      <c r="AL8018">
        <v>86.612920034709106</v>
      </c>
      <c r="AM8018">
        <v>94.881908199178298</v>
      </c>
      <c r="AN8018">
        <v>0.99999996887901199</v>
      </c>
    </row>
    <row r="8019" spans="1:40" x14ac:dyDescent="0.25">
      <c r="A8019" t="str">
        <f>"20190312150848750"</f>
        <v>20190312150848750</v>
      </c>
      <c r="B8019" t="str">
        <f>"1552374528747974"</f>
        <v>1552374528747974</v>
      </c>
      <c r="C8019" t="s">
        <v>40</v>
      </c>
      <c r="D8019">
        <v>4.3762559999999997</v>
      </c>
      <c r="E8019">
        <v>0.42468240000000002</v>
      </c>
      <c r="F8019" t="s">
        <v>42</v>
      </c>
      <c r="G8019">
        <v>-419.76830000000001</v>
      </c>
      <c r="H8019" s="1">
        <v>-2.8250329999999999E-6</v>
      </c>
      <c r="I8019">
        <v>66.122190000000003</v>
      </c>
      <c r="J8019">
        <v>-422.25439999999998</v>
      </c>
      <c r="K8019">
        <v>1.110617</v>
      </c>
      <c r="L8019">
        <v>75.289580000000001</v>
      </c>
      <c r="M8019">
        <v>-2.4815E-2</v>
      </c>
      <c r="N8019">
        <v>0</v>
      </c>
      <c r="O8019">
        <v>-0.99962399999999996</v>
      </c>
      <c r="P8019">
        <v>6.0606559999999997E-2</v>
      </c>
      <c r="Q8019">
        <v>4.7443920000000001E-2</v>
      </c>
      <c r="R8019">
        <v>-0.99703350000000002</v>
      </c>
      <c r="S8019">
        <v>0.7829895</v>
      </c>
      <c r="T8019">
        <v>-0.35063650000000002</v>
      </c>
      <c r="U8019">
        <v>-2.9786380000000001</v>
      </c>
      <c r="V8019">
        <v>-8.5389549999999995E-2</v>
      </c>
      <c r="W8019">
        <v>5.8979410000000003E-2</v>
      </c>
      <c r="X8019">
        <v>0.9946005</v>
      </c>
      <c r="Y8019">
        <v>-0.27653149999999999</v>
      </c>
      <c r="Z8019">
        <v>0.1126867</v>
      </c>
      <c r="AA8019">
        <v>0.95437519999999998</v>
      </c>
      <c r="AB8019">
        <v>29</v>
      </c>
      <c r="AC8019">
        <v>2.48609999999996</v>
      </c>
      <c r="AD8019">
        <v>-1.1106198250329999</v>
      </c>
      <c r="AE8019">
        <v>-9.1673899999999904</v>
      </c>
      <c r="AF8019">
        <v>-2.6762499423981199</v>
      </c>
      <c r="AG8019">
        <v>-1.1106198250329999</v>
      </c>
      <c r="AH8019">
        <v>8.9800974492565402</v>
      </c>
      <c r="AI8019">
        <v>96.759403545062895</v>
      </c>
      <c r="AJ8019">
        <v>106.595116648884</v>
      </c>
      <c r="AK8019">
        <v>9.4359917522264798</v>
      </c>
      <c r="AL8019">
        <v>86.618766653626196</v>
      </c>
      <c r="AM8019">
        <v>94.906988615615603</v>
      </c>
      <c r="AN8019">
        <v>1.0000000503266899</v>
      </c>
    </row>
    <row r="8020" spans="1:40" x14ac:dyDescent="0.25">
      <c r="A8020" t="str">
        <f>"20190312150848772"</f>
        <v>20190312150848772</v>
      </c>
      <c r="B8020" t="str">
        <f>"1552374528767494"</f>
        <v>1552374528767494</v>
      </c>
      <c r="C8020" t="s">
        <v>40</v>
      </c>
      <c r="D8020">
        <v>4.3520190000000003</v>
      </c>
      <c r="E8020">
        <v>0.42388290000000001</v>
      </c>
      <c r="F8020" t="s">
        <v>42</v>
      </c>
      <c r="G8020">
        <v>-419.73669999999998</v>
      </c>
      <c r="H8020" s="1">
        <v>-2.706835E-6</v>
      </c>
      <c r="I8020">
        <v>65.833579999999998</v>
      </c>
      <c r="J8020">
        <v>-422.26080000000002</v>
      </c>
      <c r="K8020">
        <v>1.1107149999999999</v>
      </c>
      <c r="L8020">
        <v>74.999569999999906</v>
      </c>
      <c r="M8020">
        <v>-2.408867E-2</v>
      </c>
      <c r="N8020">
        <v>0</v>
      </c>
      <c r="O8020">
        <v>-0.99964169999999997</v>
      </c>
      <c r="P8020">
        <v>6.159415E-2</v>
      </c>
      <c r="Q8020">
        <v>4.7423420000000001E-2</v>
      </c>
      <c r="R8020">
        <v>-0.99697409999999997</v>
      </c>
      <c r="S8020">
        <v>0.79275509999999905</v>
      </c>
      <c r="T8020">
        <v>-0.3496978</v>
      </c>
      <c r="U8020">
        <v>-2.9773860000000001</v>
      </c>
      <c r="V8020">
        <v>-8.5666740000000005E-2</v>
      </c>
      <c r="W8020">
        <v>5.8938959999999999E-2</v>
      </c>
      <c r="X8020">
        <v>0.99457899999999999</v>
      </c>
      <c r="Y8020">
        <v>-0.27886660000000002</v>
      </c>
      <c r="Z8020">
        <v>0.1123527</v>
      </c>
      <c r="AA8020">
        <v>0.95373490000000005</v>
      </c>
      <c r="AB8020">
        <v>29</v>
      </c>
      <c r="AC8020">
        <v>2.52410000000003</v>
      </c>
      <c r="AD8020">
        <v>-1.11071770683499</v>
      </c>
      <c r="AE8020">
        <v>-9.1659899999999901</v>
      </c>
      <c r="AF8020">
        <v>-2.7072277933563198</v>
      </c>
      <c r="AG8020">
        <v>-1.11071770683499</v>
      </c>
      <c r="AH8020">
        <v>8.9799552362283599</v>
      </c>
      <c r="AI8020">
        <v>96.753739579704103</v>
      </c>
      <c r="AJ8020">
        <v>106.776721371202</v>
      </c>
      <c r="AK8020">
        <v>9.4447007466654505</v>
      </c>
      <c r="AL8020">
        <v>86.621088100090105</v>
      </c>
      <c r="AM8020">
        <v>94.922945334871002</v>
      </c>
      <c r="AN8020">
        <v>0.99999998929455403</v>
      </c>
    </row>
    <row r="8021" spans="1:40" x14ac:dyDescent="0.25">
      <c r="A8021" t="str">
        <f>"20190312150848795"</f>
        <v>20190312150848795</v>
      </c>
      <c r="B8021" t="str">
        <f>"1552374528788007"</f>
        <v>1552374528788007</v>
      </c>
      <c r="C8021" t="s">
        <v>40</v>
      </c>
      <c r="D8021">
        <v>4.3764129999999897</v>
      </c>
      <c r="E8021">
        <v>0.42338439999999999</v>
      </c>
      <c r="F8021" t="s">
        <v>42</v>
      </c>
      <c r="G8021">
        <v>-419.72160000000002</v>
      </c>
      <c r="H8021" s="1">
        <v>-2.59768E-6</v>
      </c>
      <c r="I8021">
        <v>65.572909999999993</v>
      </c>
      <c r="J8021">
        <v>-422.26679999999999</v>
      </c>
      <c r="K8021">
        <v>1.1108089999999999</v>
      </c>
      <c r="L8021">
        <v>74.712280000000007</v>
      </c>
      <c r="M8021">
        <v>-2.3251979999999998E-2</v>
      </c>
      <c r="N8021">
        <v>0</v>
      </c>
      <c r="O8021">
        <v>-0.99966160000000004</v>
      </c>
      <c r="P8021">
        <v>6.312661E-2</v>
      </c>
      <c r="Q8021">
        <v>4.7351320000000002E-2</v>
      </c>
      <c r="R8021">
        <v>-0.99688180000000004</v>
      </c>
      <c r="S8021">
        <v>0.80169679999999999</v>
      </c>
      <c r="T8021">
        <v>-0.3506843</v>
      </c>
      <c r="U8021">
        <v>-2.9762569999999999</v>
      </c>
      <c r="V8021">
        <v>-8.6377609999999994E-2</v>
      </c>
      <c r="W8021">
        <v>5.8847570000000002E-2</v>
      </c>
      <c r="X8021">
        <v>0.99452289999999999</v>
      </c>
      <c r="Y8021">
        <v>-0.28081800000000001</v>
      </c>
      <c r="Z8021">
        <v>0.1126345</v>
      </c>
      <c r="AA8021">
        <v>0.95312889999999995</v>
      </c>
      <c r="AB8021">
        <v>29</v>
      </c>
      <c r="AC8021">
        <v>2.5451999999999599</v>
      </c>
      <c r="AD8021">
        <v>-1.1108115976799999</v>
      </c>
      <c r="AE8021">
        <v>-9.1393700000000102</v>
      </c>
      <c r="AF8021">
        <v>-2.7197493817185801</v>
      </c>
      <c r="AG8021">
        <v>-1.1108115976799999</v>
      </c>
      <c r="AH8021">
        <v>8.9549495040486899</v>
      </c>
      <c r="AI8021">
        <v>96.768825289625497</v>
      </c>
      <c r="AJ8021">
        <v>106.894304550999</v>
      </c>
      <c r="AK8021">
        <v>9.42454559779733</v>
      </c>
      <c r="AL8021">
        <v>86.626333378146199</v>
      </c>
      <c r="AM8021">
        <v>94.963871702343596</v>
      </c>
      <c r="AN8021">
        <v>0.99999996331431196</v>
      </c>
    </row>
    <row r="8022" spans="1:40" x14ac:dyDescent="0.25">
      <c r="A8022" t="str">
        <f>"20190312150848818"</f>
        <v>20190312150848818</v>
      </c>
      <c r="B8022" t="str">
        <f>"1552374528807510"</f>
        <v>1552374528807510</v>
      </c>
      <c r="C8022" t="s">
        <v>40</v>
      </c>
      <c r="D8022">
        <v>4.3950480000000001</v>
      </c>
      <c r="E8022">
        <v>0.42322579999999999</v>
      </c>
      <c r="F8022" t="s">
        <v>42</v>
      </c>
      <c r="G8022">
        <v>-419.67899999999997</v>
      </c>
      <c r="H8022" s="1">
        <v>-2.4526419999999999E-6</v>
      </c>
      <c r="I8022">
        <v>65.217209999999994</v>
      </c>
      <c r="J8022">
        <v>-422.27249999999998</v>
      </c>
      <c r="K8022">
        <v>1.1108990000000001</v>
      </c>
      <c r="L8022">
        <v>74.422550000000001</v>
      </c>
      <c r="M8022">
        <v>-2.228494E-2</v>
      </c>
      <c r="N8022">
        <v>0</v>
      </c>
      <c r="O8022">
        <v>-0.9996834</v>
      </c>
      <c r="P8022">
        <v>6.4694840000000003E-2</v>
      </c>
      <c r="Q8022">
        <v>4.7106149999999999E-2</v>
      </c>
      <c r="R8022">
        <v>-0.99679269999999998</v>
      </c>
      <c r="S8022">
        <v>0.81069950000000002</v>
      </c>
      <c r="T8022">
        <v>-0.3479872</v>
      </c>
      <c r="U8022">
        <v>-2.974548</v>
      </c>
      <c r="V8022">
        <v>-8.6993050000000002E-2</v>
      </c>
      <c r="W8022">
        <v>5.8584810000000001E-2</v>
      </c>
      <c r="X8022">
        <v>0.99448479999999995</v>
      </c>
      <c r="Y8022">
        <v>-0.28273999999999999</v>
      </c>
      <c r="Z8022">
        <v>0.11176949999999999</v>
      </c>
      <c r="AA8022">
        <v>0.95266240000000002</v>
      </c>
      <c r="AB8022">
        <v>29</v>
      </c>
      <c r="AC8022">
        <v>2.5934999999999402</v>
      </c>
      <c r="AD8022">
        <v>-1.110901452642</v>
      </c>
      <c r="AE8022">
        <v>-9.2053399999999996</v>
      </c>
      <c r="AF8022">
        <v>-2.7607602241769098</v>
      </c>
      <c r="AG8022">
        <v>-1.110901452642</v>
      </c>
      <c r="AH8022">
        <v>9.02350242171938</v>
      </c>
      <c r="AI8022">
        <v>96.714258478461801</v>
      </c>
      <c r="AJ8022">
        <v>107.01160530108601</v>
      </c>
      <c r="AK8022">
        <v>9.5015522420105096</v>
      </c>
      <c r="AL8022">
        <v>86.641414540292899</v>
      </c>
      <c r="AM8022">
        <v>94.999251220893498</v>
      </c>
      <c r="AN8022">
        <v>0.99999999407103901</v>
      </c>
    </row>
    <row r="8023" spans="1:40" x14ac:dyDescent="0.25">
      <c r="A8023" t="str">
        <f>"20190312150848840"</f>
        <v>20190312150848840</v>
      </c>
      <c r="B8023" t="str">
        <f>"1552374528837766"</f>
        <v>1552374528837766</v>
      </c>
      <c r="C8023" t="s">
        <v>40</v>
      </c>
      <c r="D8023">
        <v>4.3613689999999998</v>
      </c>
      <c r="E8023">
        <v>0.4228037</v>
      </c>
      <c r="F8023" t="s">
        <v>42</v>
      </c>
      <c r="G8023">
        <v>-419.67070000000001</v>
      </c>
      <c r="H8023" s="1">
        <v>-2.3409100000000002E-6</v>
      </c>
      <c r="I8023">
        <v>64.953310000000002</v>
      </c>
      <c r="J8023">
        <v>-422.27780000000001</v>
      </c>
      <c r="K8023">
        <v>1.1109819999999999</v>
      </c>
      <c r="L8023">
        <v>74.133969999999906</v>
      </c>
      <c r="M8023">
        <v>-2.1196199999999998E-2</v>
      </c>
      <c r="N8023">
        <v>0</v>
      </c>
      <c r="O8023">
        <v>-0.99970729999999997</v>
      </c>
      <c r="P8023">
        <v>6.6269040000000001E-2</v>
      </c>
      <c r="Q8023">
        <v>4.7720390000000001E-2</v>
      </c>
      <c r="R8023">
        <v>-0.99666049999999995</v>
      </c>
      <c r="S8023">
        <v>0.81692500000000001</v>
      </c>
      <c r="T8023">
        <v>-0.34879640000000001</v>
      </c>
      <c r="U8023">
        <v>-2.9731139999999998</v>
      </c>
      <c r="V8023">
        <v>-8.7493559999999998E-2</v>
      </c>
      <c r="W8023">
        <v>5.9181249999999998E-2</v>
      </c>
      <c r="X8023">
        <v>0.9944056</v>
      </c>
      <c r="Y8023">
        <v>-0.28366039999999998</v>
      </c>
      <c r="Z8023">
        <v>0.11203589999999999</v>
      </c>
      <c r="AA8023">
        <v>0.95235749999999997</v>
      </c>
      <c r="AB8023">
        <v>29</v>
      </c>
      <c r="AC8023">
        <v>2.6071</v>
      </c>
      <c r="AD8023">
        <v>-1.11098434091</v>
      </c>
      <c r="AE8023">
        <v>-9.1806599999999801</v>
      </c>
      <c r="AF8023">
        <v>-2.7636707941129401</v>
      </c>
      <c r="AG8023">
        <v>-1.11098434091</v>
      </c>
      <c r="AH8023">
        <v>9.0013514165574104</v>
      </c>
      <c r="AI8023">
        <v>96.729116713626993</v>
      </c>
      <c r="AJ8023">
        <v>107.06797482309899</v>
      </c>
      <c r="AK8023">
        <v>9.4813759438353795</v>
      </c>
      <c r="AL8023">
        <v>86.607181736247895</v>
      </c>
      <c r="AM8023">
        <v>95.028265532962394</v>
      </c>
      <c r="AN8023">
        <v>1.0000000203521899</v>
      </c>
    </row>
    <row r="8024" spans="1:40" x14ac:dyDescent="0.25">
      <c r="A8024" t="str">
        <f>"20190312150848862"</f>
        <v>20190312150848862</v>
      </c>
      <c r="B8024" t="str">
        <f>"1552374528858261"</f>
        <v>1552374528858261</v>
      </c>
      <c r="C8024" t="s">
        <v>40</v>
      </c>
      <c r="D8024">
        <v>4.3487660000000004</v>
      </c>
      <c r="E8024">
        <v>0.4224523</v>
      </c>
      <c r="F8024" t="s">
        <v>42</v>
      </c>
      <c r="G8024">
        <v>-419.64589999999998</v>
      </c>
      <c r="H8024" s="1">
        <v>-2.2175689999999999E-6</v>
      </c>
      <c r="I8024">
        <v>64.65558</v>
      </c>
      <c r="J8024">
        <v>-422.28250000000003</v>
      </c>
      <c r="K8024">
        <v>1.1110599999999999</v>
      </c>
      <c r="L8024">
        <v>73.857240000000004</v>
      </c>
      <c r="M8024">
        <v>-2.0036910000000002E-2</v>
      </c>
      <c r="N8024">
        <v>0</v>
      </c>
      <c r="O8024">
        <v>-0.99973089999999998</v>
      </c>
      <c r="P8024">
        <v>6.8710880000000002E-2</v>
      </c>
      <c r="Q8024">
        <v>4.805918E-2</v>
      </c>
      <c r="R8024">
        <v>-0.99647839999999999</v>
      </c>
      <c r="S8024">
        <v>0.82519529999999996</v>
      </c>
      <c r="T8024">
        <v>-0.3483388</v>
      </c>
      <c r="U8024">
        <v>-2.9718629999999999</v>
      </c>
      <c r="V8024">
        <v>-8.8790069999999999E-2</v>
      </c>
      <c r="W8024">
        <v>5.9501600000000002E-2</v>
      </c>
      <c r="X8024">
        <v>0.99427149999999997</v>
      </c>
      <c r="Y8024">
        <v>-0.2851185</v>
      </c>
      <c r="Z8024">
        <v>0.111875</v>
      </c>
      <c r="AA8024">
        <v>0.95194089999999998</v>
      </c>
      <c r="AB8024">
        <v>29</v>
      </c>
      <c r="AC8024">
        <v>2.63660000000004</v>
      </c>
      <c r="AD8024">
        <v>-1.1110622175689999</v>
      </c>
      <c r="AE8024">
        <v>-9.2016600000000004</v>
      </c>
      <c r="AF8024">
        <v>-2.7829602049424</v>
      </c>
      <c r="AG8024">
        <v>-1.1110622175689999</v>
      </c>
      <c r="AH8024">
        <v>9.0253773188102109</v>
      </c>
      <c r="AI8024">
        <v>96.709366390121005</v>
      </c>
      <c r="AJ8024">
        <v>107.13706019944399</v>
      </c>
      <c r="AK8024">
        <v>9.5098245252210791</v>
      </c>
      <c r="AL8024">
        <v>86.588794446281398</v>
      </c>
      <c r="AM8024">
        <v>95.103070193027605</v>
      </c>
      <c r="AN8024">
        <v>0.99999996632270605</v>
      </c>
    </row>
    <row r="8025" spans="1:40" x14ac:dyDescent="0.25">
      <c r="A8025" t="str">
        <f>"20190312150848884"</f>
        <v>20190312150848884</v>
      </c>
      <c r="B8025" t="str">
        <f>"1552374528878089"</f>
        <v>1552374528878089</v>
      </c>
      <c r="C8025" t="s">
        <v>40</v>
      </c>
      <c r="D8025">
        <v>4.3272329999999997</v>
      </c>
      <c r="E8025">
        <v>0.4223442</v>
      </c>
      <c r="F8025" t="s">
        <v>42</v>
      </c>
      <c r="G8025">
        <v>-419.62049999999999</v>
      </c>
      <c r="H8025" s="1">
        <v>-2.1092029999999999E-6</v>
      </c>
      <c r="I8025">
        <v>64.392449999999997</v>
      </c>
      <c r="J8025">
        <v>-422.2869</v>
      </c>
      <c r="K8025">
        <v>1.111146</v>
      </c>
      <c r="L8025">
        <v>73.565640000000002</v>
      </c>
      <c r="M8025">
        <v>-1.8702489999999999E-2</v>
      </c>
      <c r="N8025">
        <v>0</v>
      </c>
      <c r="O8025">
        <v>-0.99975689999999995</v>
      </c>
      <c r="P8025">
        <v>7.1086540000000004E-2</v>
      </c>
      <c r="Q8025">
        <v>4.736812E-2</v>
      </c>
      <c r="R8025">
        <v>-0.99634509999999998</v>
      </c>
      <c r="S8025">
        <v>0.83526610000000001</v>
      </c>
      <c r="T8025">
        <v>-0.34862389999999999</v>
      </c>
      <c r="U8025">
        <v>-2.9698180000000001</v>
      </c>
      <c r="V8025">
        <v>-8.9845380000000002E-2</v>
      </c>
      <c r="W8025">
        <v>5.8790920000000003E-2</v>
      </c>
      <c r="X8025">
        <v>0.99421899999999996</v>
      </c>
      <c r="Y8025">
        <v>-0.28699980000000003</v>
      </c>
      <c r="Z8025">
        <v>0.1119614</v>
      </c>
      <c r="AA8025">
        <v>0.95136520000000002</v>
      </c>
      <c r="AB8025">
        <v>29</v>
      </c>
      <c r="AC8025">
        <v>2.6663999999999999</v>
      </c>
      <c r="AD8025">
        <v>-1.111148109203</v>
      </c>
      <c r="AE8025">
        <v>-9.17319</v>
      </c>
      <c r="AF8025">
        <v>-2.7996295635265001</v>
      </c>
      <c r="AG8025">
        <v>-1.111148109203</v>
      </c>
      <c r="AH8025">
        <v>8.9999500521235891</v>
      </c>
      <c r="AI8025">
        <v>96.723534860410894</v>
      </c>
      <c r="AJ8025">
        <v>107.27943837593401</v>
      </c>
      <c r="AK8025">
        <v>9.4906099253038807</v>
      </c>
      <c r="AL8025">
        <v>86.629584911260196</v>
      </c>
      <c r="AM8025">
        <v>95.163667721097994</v>
      </c>
      <c r="AN8025">
        <v>0.99999999227139502</v>
      </c>
    </row>
    <row r="8026" spans="1:40" x14ac:dyDescent="0.25">
      <c r="A8026" t="str">
        <f>"20190312150848907"</f>
        <v>20190312150848907</v>
      </c>
      <c r="B8026" t="str">
        <f>"1552374528897592"</f>
        <v>1552374528897592</v>
      </c>
      <c r="C8026" t="s">
        <v>40</v>
      </c>
      <c r="D8026">
        <v>4.4171750000000003</v>
      </c>
      <c r="E8026">
        <v>0.42225560000000001</v>
      </c>
      <c r="F8026" t="s">
        <v>42</v>
      </c>
      <c r="G8026">
        <v>-419.61649999999997</v>
      </c>
      <c r="H8026" s="1">
        <v>-2.014203E-6</v>
      </c>
      <c r="I8026">
        <v>64.169359999999998</v>
      </c>
      <c r="J8026">
        <v>-422.29059999999998</v>
      </c>
      <c r="K8026">
        <v>1.111226</v>
      </c>
      <c r="L8026">
        <v>73.285430000000005</v>
      </c>
      <c r="M8026">
        <v>-1.7311679999999999E-2</v>
      </c>
      <c r="N8026">
        <v>0</v>
      </c>
      <c r="O8026">
        <v>-0.9997819</v>
      </c>
      <c r="P8026">
        <v>7.2897790000000004E-2</v>
      </c>
      <c r="Q8026">
        <v>4.6943510000000001E-2</v>
      </c>
      <c r="R8026">
        <v>-0.99623430000000002</v>
      </c>
      <c r="S8026">
        <v>0.84335329999999997</v>
      </c>
      <c r="T8026">
        <v>-0.35092259999999997</v>
      </c>
      <c r="U8026">
        <v>-2.9675289999999999</v>
      </c>
      <c r="V8026">
        <v>-9.0281509999999995E-2</v>
      </c>
      <c r="W8026">
        <v>5.8349659999999998E-2</v>
      </c>
      <c r="X8026">
        <v>0.99420549999999996</v>
      </c>
      <c r="Y8026">
        <v>-0.2882364</v>
      </c>
      <c r="Z8026">
        <v>0.112715</v>
      </c>
      <c r="AA8026">
        <v>0.95090229999999998</v>
      </c>
      <c r="AB8026">
        <v>29</v>
      </c>
      <c r="AC8026">
        <v>2.6741000000000099</v>
      </c>
      <c r="AD8026">
        <v>-1.111228014203</v>
      </c>
      <c r="AE8026">
        <v>-9.1160700000000006</v>
      </c>
      <c r="AF8026">
        <v>-2.7933070952214698</v>
      </c>
      <c r="AG8026">
        <v>-1.111228014203</v>
      </c>
      <c r="AH8026">
        <v>8.9460101696886394</v>
      </c>
      <c r="AI8026">
        <v>96.761956994954303</v>
      </c>
      <c r="AJ8026">
        <v>107.340480553543</v>
      </c>
      <c r="AK8026">
        <v>9.4376104064501796</v>
      </c>
      <c r="AL8026">
        <v>86.654910767279304</v>
      </c>
      <c r="AM8026">
        <v>95.188666927535294</v>
      </c>
      <c r="AN8026">
        <v>1.0000000050501201</v>
      </c>
    </row>
    <row r="8027" spans="1:40" x14ac:dyDescent="0.25">
      <c r="A8027" t="str">
        <f>"20190312150848928"</f>
        <v>20190312150848928</v>
      </c>
      <c r="B8027" t="str">
        <f>"1552374528918088"</f>
        <v>1552374528918088</v>
      </c>
      <c r="C8027" t="s">
        <v>40</v>
      </c>
      <c r="D8027">
        <v>4.4182940000000004</v>
      </c>
      <c r="E8027">
        <v>0.4221435</v>
      </c>
      <c r="F8027" t="s">
        <v>42</v>
      </c>
      <c r="G8027">
        <v>-419.60899999999998</v>
      </c>
      <c r="H8027" s="1">
        <v>-1.914468E-6</v>
      </c>
      <c r="I8027">
        <v>63.933770000000003</v>
      </c>
      <c r="J8027">
        <v>-422.29390000000001</v>
      </c>
      <c r="K8027">
        <v>1.111302</v>
      </c>
      <c r="L8027">
        <v>73.003109999999893</v>
      </c>
      <c r="M8027">
        <v>-1.5830250000000001E-2</v>
      </c>
      <c r="N8027">
        <v>0</v>
      </c>
      <c r="O8027">
        <v>-0.99980619999999998</v>
      </c>
      <c r="P8027">
        <v>7.5165209999999996E-2</v>
      </c>
      <c r="Q8027">
        <v>4.6591790000000001E-2</v>
      </c>
      <c r="R8027">
        <v>-0.99608220000000003</v>
      </c>
      <c r="S8027">
        <v>0.85043329999999995</v>
      </c>
      <c r="T8027">
        <v>-0.352404299999999</v>
      </c>
      <c r="U8027">
        <v>-2.9656980000000002</v>
      </c>
      <c r="V8027">
        <v>-9.1081780000000001E-2</v>
      </c>
      <c r="W8027">
        <v>5.7982159999999998E-2</v>
      </c>
      <c r="X8027">
        <v>0.99415399999999998</v>
      </c>
      <c r="Y8027">
        <v>-0.28905639999999999</v>
      </c>
      <c r="Z8027">
        <v>0.113205</v>
      </c>
      <c r="AA8027">
        <v>0.95059510000000003</v>
      </c>
      <c r="AB8027">
        <v>29</v>
      </c>
      <c r="AC8027">
        <v>2.6848999999999701</v>
      </c>
      <c r="AD8027">
        <v>-1.1113039144679999</v>
      </c>
      <c r="AE8027">
        <v>-9.0693399999999897</v>
      </c>
      <c r="AF8027">
        <v>-2.78963304917762</v>
      </c>
      <c r="AG8027">
        <v>-1.1113039144679999</v>
      </c>
      <c r="AH8027">
        <v>8.9027968511338091</v>
      </c>
      <c r="AI8027">
        <v>96.792817600494701</v>
      </c>
      <c r="AJ8027">
        <v>107.398040525469</v>
      </c>
      <c r="AK8027">
        <v>9.3955755923697399</v>
      </c>
      <c r="AL8027">
        <v>86.676002654943701</v>
      </c>
      <c r="AM8027">
        <v>95.234675393175706</v>
      </c>
      <c r="AN8027">
        <v>0.99999999862111699</v>
      </c>
    </row>
    <row r="8028" spans="1:40" x14ac:dyDescent="0.25">
      <c r="A8028" t="str">
        <f>"20190312150848951"</f>
        <v>20190312150848951</v>
      </c>
      <c r="B8028" t="str">
        <f>"1552374528948344"</f>
        <v>1552374528948344</v>
      </c>
      <c r="C8028" t="s">
        <v>40</v>
      </c>
      <c r="D8028">
        <v>4.4001219999999996</v>
      </c>
      <c r="E8028">
        <v>0.42180489999999998</v>
      </c>
      <c r="F8028" t="s">
        <v>42</v>
      </c>
      <c r="G8028">
        <v>-419.59649999999999</v>
      </c>
      <c r="H8028" s="1">
        <v>-1.812455E-6</v>
      </c>
      <c r="I8028">
        <v>63.690820000000002</v>
      </c>
      <c r="J8028">
        <v>-422.29680000000002</v>
      </c>
      <c r="K8028">
        <v>1.1113649999999999</v>
      </c>
      <c r="L8028">
        <v>72.715549999999993</v>
      </c>
      <c r="M8028">
        <v>-1.4241190000000001E-2</v>
      </c>
      <c r="N8028">
        <v>0</v>
      </c>
      <c r="O8028">
        <v>-0.9998302</v>
      </c>
      <c r="P8028">
        <v>7.7670569999999994E-2</v>
      </c>
      <c r="Q8028">
        <v>4.6554930000000001E-2</v>
      </c>
      <c r="R8028">
        <v>-0.99589179999999999</v>
      </c>
      <c r="S8028">
        <v>0.858429</v>
      </c>
      <c r="T8028">
        <v>-0.35366350000000002</v>
      </c>
      <c r="U8028">
        <v>-2.963562</v>
      </c>
      <c r="V8028">
        <v>-9.2012090000000005E-2</v>
      </c>
      <c r="W8028">
        <v>5.7930750000000003E-2</v>
      </c>
      <c r="X8028">
        <v>0.99407129999999999</v>
      </c>
      <c r="Y8028">
        <v>-0.29007179999999999</v>
      </c>
      <c r="Z8028">
        <v>0.11362700000000001</v>
      </c>
      <c r="AA8028">
        <v>0.95023539999999995</v>
      </c>
      <c r="AB8028">
        <v>29</v>
      </c>
      <c r="AC8028">
        <v>2.7003000000000199</v>
      </c>
      <c r="AD8028">
        <v>-1.111366812455</v>
      </c>
      <c r="AE8028">
        <v>-9.0247299999999893</v>
      </c>
      <c r="AF8028">
        <v>-2.7897275661340699</v>
      </c>
      <c r="AG8028">
        <v>-1.111366812455</v>
      </c>
      <c r="AH8028">
        <v>8.8620062177052006</v>
      </c>
      <c r="AI8028">
        <v>96.821365292346002</v>
      </c>
      <c r="AJ8028">
        <v>107.47381378177199</v>
      </c>
      <c r="AK8028">
        <v>9.3569690759198494</v>
      </c>
      <c r="AL8028">
        <v>86.678953105284194</v>
      </c>
      <c r="AM8028">
        <v>95.2882782585136</v>
      </c>
      <c r="AN8028">
        <v>0.99999997299270904</v>
      </c>
    </row>
    <row r="8029" spans="1:40" x14ac:dyDescent="0.25">
      <c r="A8029" t="str">
        <f>"20190312150848973"</f>
        <v>20190312150848973</v>
      </c>
      <c r="B8029" t="str">
        <f>"1552374528967864"</f>
        <v>1552374528967864</v>
      </c>
      <c r="C8029" t="s">
        <v>40</v>
      </c>
      <c r="D8029">
        <v>4.3824550000000002</v>
      </c>
      <c r="E8029">
        <v>0.42154900000000001</v>
      </c>
      <c r="F8029" t="s">
        <v>42</v>
      </c>
      <c r="G8029">
        <v>-419.58179999999999</v>
      </c>
      <c r="H8029" s="1">
        <v>-1.7155600000000001E-6</v>
      </c>
      <c r="I8029">
        <v>63.458880000000001</v>
      </c>
      <c r="J8029">
        <v>-422.29899999999998</v>
      </c>
      <c r="K8029">
        <v>1.1114170000000001</v>
      </c>
      <c r="L8029">
        <v>72.427149999999997</v>
      </c>
      <c r="M8029">
        <v>-1.2563710000000001E-2</v>
      </c>
      <c r="N8029">
        <v>0</v>
      </c>
      <c r="O8029">
        <v>-0.99985259999999998</v>
      </c>
      <c r="P8029">
        <v>7.9866530000000005E-2</v>
      </c>
      <c r="Q8029">
        <v>4.6075690000000002E-2</v>
      </c>
      <c r="R8029">
        <v>-0.99574039999999997</v>
      </c>
      <c r="S8029">
        <v>0.86853029999999998</v>
      </c>
      <c r="T8029">
        <v>-0.35553400000000002</v>
      </c>
      <c r="U8029">
        <v>-2.9612729999999998</v>
      </c>
      <c r="V8029">
        <v>-9.2543710000000001E-2</v>
      </c>
      <c r="W8029">
        <v>5.7438999999999997E-2</v>
      </c>
      <c r="X8029">
        <v>0.99405049999999995</v>
      </c>
      <c r="Y8029">
        <v>-0.29163119999999998</v>
      </c>
      <c r="Z8029">
        <v>0.114227</v>
      </c>
      <c r="AA8029">
        <v>0.94968589999999997</v>
      </c>
      <c r="AB8029">
        <v>29</v>
      </c>
      <c r="AC8029">
        <v>2.71720000000004</v>
      </c>
      <c r="AD8029">
        <v>-1.1114187155599999</v>
      </c>
      <c r="AE8029">
        <v>-8.9682699999999897</v>
      </c>
      <c r="AF8029">
        <v>-2.79041565417889</v>
      </c>
      <c r="AG8029">
        <v>-1.1114187155599999</v>
      </c>
      <c r="AH8029">
        <v>8.8094998397361799</v>
      </c>
      <c r="AI8029">
        <v>96.858139885229804</v>
      </c>
      <c r="AJ8029">
        <v>107.57563706065299</v>
      </c>
      <c r="AK8029">
        <v>9.3074678893185201</v>
      </c>
      <c r="AL8029">
        <v>86.707175345749505</v>
      </c>
      <c r="AM8029">
        <v>95.318768372441696</v>
      </c>
      <c r="AN8029">
        <v>0.99999998676590596</v>
      </c>
    </row>
    <row r="8030" spans="1:40" x14ac:dyDescent="0.25">
      <c r="A8030" t="str">
        <f>"20190312150848996"</f>
        <v>20190312150848996</v>
      </c>
      <c r="B8030" t="str">
        <f>"1552374528988360"</f>
        <v>1552374528988360</v>
      </c>
      <c r="C8030" t="s">
        <v>40</v>
      </c>
      <c r="D8030">
        <v>4.4612049999999996</v>
      </c>
      <c r="E8030">
        <v>0.42161349999999997</v>
      </c>
      <c r="F8030" t="s">
        <v>42</v>
      </c>
      <c r="G8030">
        <v>-419.5772</v>
      </c>
      <c r="H8030" s="1">
        <v>-1.6222370000000001E-6</v>
      </c>
      <c r="I8030">
        <v>63.239409999999999</v>
      </c>
      <c r="J8030">
        <v>-422.30079999999998</v>
      </c>
      <c r="K8030">
        <v>1.11148</v>
      </c>
      <c r="L8030">
        <v>72.1387</v>
      </c>
      <c r="M8030">
        <v>-1.080242E-2</v>
      </c>
      <c r="N8030">
        <v>0</v>
      </c>
      <c r="O8030">
        <v>-0.99987329999999996</v>
      </c>
      <c r="P8030">
        <v>8.1647730000000002E-2</v>
      </c>
      <c r="Q8030">
        <v>4.5782030000000001E-2</v>
      </c>
      <c r="R8030">
        <v>-0.99560959999999998</v>
      </c>
      <c r="S8030">
        <v>0.87661739999999999</v>
      </c>
      <c r="T8030">
        <v>-0.3579521</v>
      </c>
      <c r="U8030">
        <v>-2.959076</v>
      </c>
      <c r="V8030">
        <v>-9.2578519999999997E-2</v>
      </c>
      <c r="W8030">
        <v>5.7134799999999999E-2</v>
      </c>
      <c r="X8030">
        <v>0.99406479999999997</v>
      </c>
      <c r="Y8030">
        <v>-0.29249969999999997</v>
      </c>
      <c r="Z8030">
        <v>0.1150192</v>
      </c>
      <c r="AA8030">
        <v>0.94932320000000003</v>
      </c>
      <c r="AB8030">
        <v>29</v>
      </c>
      <c r="AC8030">
        <v>2.72359999999997</v>
      </c>
      <c r="AD8030">
        <v>-1.1114816222370001</v>
      </c>
      <c r="AE8030">
        <v>-8.8992899999999899</v>
      </c>
      <c r="AF8030">
        <v>-2.7799314506633102</v>
      </c>
      <c r="AG8030">
        <v>-1.1114816222370001</v>
      </c>
      <c r="AH8030">
        <v>8.7446229857328799</v>
      </c>
      <c r="AI8030">
        <v>96.906647941175294</v>
      </c>
      <c r="AJ8030">
        <v>107.635554508868</v>
      </c>
      <c r="AK8030">
        <v>9.2429346762576206</v>
      </c>
      <c r="AL8030">
        <v>86.724633426637894</v>
      </c>
      <c r="AM8030">
        <v>95.320681426962096</v>
      </c>
      <c r="AN8030">
        <v>0.99999999716773502</v>
      </c>
    </row>
    <row r="8031" spans="1:40" x14ac:dyDescent="0.25">
      <c r="A8031" t="str">
        <f>"20190312150849019"</f>
        <v>20190312150849019</v>
      </c>
      <c r="B8031" t="str">
        <f>"1552374529007880"</f>
        <v>1552374529007880</v>
      </c>
      <c r="C8031" t="s">
        <v>40</v>
      </c>
      <c r="D8031">
        <v>4.4155160000000002</v>
      </c>
      <c r="E8031">
        <v>0.44207780000000002</v>
      </c>
      <c r="F8031" t="s">
        <v>42</v>
      </c>
      <c r="G8031">
        <v>-419.55239999999998</v>
      </c>
      <c r="H8031" s="1">
        <v>-1.4926070000000001E-6</v>
      </c>
      <c r="I8031">
        <v>62.927010000000003</v>
      </c>
      <c r="J8031">
        <v>-422.30189999999999</v>
      </c>
      <c r="K8031">
        <v>1.111537</v>
      </c>
      <c r="L8031">
        <v>71.851650000000006</v>
      </c>
      <c r="M8031">
        <v>-8.9647839999999999E-3</v>
      </c>
      <c r="N8031">
        <v>0</v>
      </c>
      <c r="O8031">
        <v>-0.99989119999999998</v>
      </c>
      <c r="P8031">
        <v>8.3819550000000007E-2</v>
      </c>
      <c r="Q8031">
        <v>4.5783320000000002E-2</v>
      </c>
      <c r="R8031">
        <v>-0.99542839999999999</v>
      </c>
      <c r="S8031">
        <v>0.8823242</v>
      </c>
      <c r="T8031">
        <v>-0.35682809999999998</v>
      </c>
      <c r="U8031">
        <v>-2.957306</v>
      </c>
      <c r="V8031">
        <v>-9.2929800000000007E-2</v>
      </c>
      <c r="W8031">
        <v>5.7122899999999997E-2</v>
      </c>
      <c r="X8031">
        <v>0.99403269999999999</v>
      </c>
      <c r="Y8031">
        <v>-0.29259200000000002</v>
      </c>
      <c r="Z8031">
        <v>0.1146991</v>
      </c>
      <c r="AA8031">
        <v>0.94933350000000005</v>
      </c>
      <c r="AB8031">
        <v>29</v>
      </c>
      <c r="AC8031">
        <v>2.74950000000001</v>
      </c>
      <c r="AD8031">
        <v>-1.111538492607</v>
      </c>
      <c r="AE8031">
        <v>-8.9246400000000001</v>
      </c>
      <c r="AF8031">
        <v>-2.7898773489400801</v>
      </c>
      <c r="AG8031">
        <v>-1.111538492607</v>
      </c>
      <c r="AH8031">
        <v>8.7753082800557198</v>
      </c>
      <c r="AI8031">
        <v>96.883034950414299</v>
      </c>
      <c r="AJ8031">
        <v>107.636687043385</v>
      </c>
      <c r="AK8031">
        <v>9.2749646281099398</v>
      </c>
      <c r="AL8031">
        <v>86.725316341723698</v>
      </c>
      <c r="AM8031">
        <v>95.340925171628299</v>
      </c>
      <c r="AN8031">
        <v>0.99999999105086901</v>
      </c>
    </row>
    <row r="8032" spans="1:40" x14ac:dyDescent="0.25">
      <c r="A8032" t="str">
        <f>"20190312150849042"</f>
        <v>20190312150849042</v>
      </c>
      <c r="B8032" t="str">
        <f>"1552374529038137"</f>
        <v>1552374529038137</v>
      </c>
      <c r="C8032" t="s">
        <v>40</v>
      </c>
      <c r="D8032">
        <v>4.4399509999999998</v>
      </c>
      <c r="E8032">
        <v>0.45189269999999998</v>
      </c>
      <c r="F8032" t="s">
        <v>42</v>
      </c>
      <c r="G8032">
        <v>-419.90260000000001</v>
      </c>
      <c r="H8032" s="1">
        <v>-1.0461020000000001E-6</v>
      </c>
      <c r="I8032">
        <v>62.030999999999999</v>
      </c>
      <c r="J8032">
        <v>-422.30250000000001</v>
      </c>
      <c r="K8032">
        <v>1.1116079999999999</v>
      </c>
      <c r="L8032">
        <v>71.56165</v>
      </c>
      <c r="M8032">
        <v>-7.0209809999999999E-3</v>
      </c>
      <c r="N8032">
        <v>0</v>
      </c>
      <c r="O8032">
        <v>-0.99990679999999998</v>
      </c>
      <c r="P8032">
        <v>8.6296189999999995E-2</v>
      </c>
      <c r="Q8032">
        <v>4.551823E-2</v>
      </c>
      <c r="R8032">
        <v>-0.99522920000000004</v>
      </c>
      <c r="S8032">
        <v>0.72515869999999905</v>
      </c>
      <c r="T8032">
        <v>-0.33594849999999998</v>
      </c>
      <c r="U8032">
        <v>-2.9681700000000002</v>
      </c>
      <c r="V8032">
        <v>-9.3480170000000001E-2</v>
      </c>
      <c r="W8032">
        <v>5.6842980000000001E-2</v>
      </c>
      <c r="X8032">
        <v>0.99399720000000003</v>
      </c>
      <c r="Y8032">
        <v>-0.24272659999999999</v>
      </c>
      <c r="Z8032">
        <v>0.1091937</v>
      </c>
      <c r="AA8032">
        <v>0.9639297</v>
      </c>
      <c r="AB8032">
        <v>29</v>
      </c>
      <c r="AC8032">
        <v>2.3999000000000001</v>
      </c>
      <c r="AD8032">
        <v>-1.1116090461019901</v>
      </c>
      <c r="AE8032">
        <v>-9.5306499999999907</v>
      </c>
      <c r="AF8032">
        <v>-2.4356022178593899</v>
      </c>
      <c r="AG8032">
        <v>-1.1116090461019901</v>
      </c>
      <c r="AH8032">
        <v>9.3933981242293196</v>
      </c>
      <c r="AI8032">
        <v>96.534824698148697</v>
      </c>
      <c r="AJ8032">
        <v>104.53603697197801</v>
      </c>
      <c r="AK8032">
        <v>9.7674848940396295</v>
      </c>
      <c r="AL8032">
        <v>86.741380871195901</v>
      </c>
      <c r="AM8032">
        <v>95.372562626411806</v>
      </c>
      <c r="AN8032">
        <v>1.0000000500831701</v>
      </c>
    </row>
    <row r="8033" spans="1:40" x14ac:dyDescent="0.25">
      <c r="A8033" t="str">
        <f>"20190312150849063"</f>
        <v>20190312150849063</v>
      </c>
      <c r="B8033" t="str">
        <f>"1552374529057656"</f>
        <v>1552374529057656</v>
      </c>
      <c r="C8033" t="s">
        <v>40</v>
      </c>
      <c r="D8033">
        <v>4.3900169999999896</v>
      </c>
      <c r="E8033">
        <v>0.45329009999999997</v>
      </c>
      <c r="F8033" t="s">
        <v>42</v>
      </c>
      <c r="G8033">
        <v>-419.89699999999999</v>
      </c>
      <c r="H8033" s="1">
        <v>-4.4203079999999999E-7</v>
      </c>
      <c r="I8033">
        <v>60.620559999999998</v>
      </c>
      <c r="J8033">
        <v>-422.3023</v>
      </c>
      <c r="K8033">
        <v>1.11168</v>
      </c>
      <c r="L8033">
        <v>71.275850000000005</v>
      </c>
      <c r="M8033">
        <v>-5.0158210000000002E-3</v>
      </c>
      <c r="N8033">
        <v>0</v>
      </c>
      <c r="O8033">
        <v>-0.9999188</v>
      </c>
      <c r="P8033">
        <v>8.8775179999999995E-2</v>
      </c>
      <c r="Q8033">
        <v>4.4892649999999999E-2</v>
      </c>
      <c r="R8033">
        <v>-0.99503980000000003</v>
      </c>
      <c r="S8033">
        <v>0.65332029999999996</v>
      </c>
      <c r="T8033">
        <v>-0.30190549999999999</v>
      </c>
      <c r="U8033">
        <v>-2.971527</v>
      </c>
      <c r="V8033">
        <v>-9.3971769999999996E-2</v>
      </c>
      <c r="W8033">
        <v>5.6202179999999997E-2</v>
      </c>
      <c r="X8033">
        <v>0.99398730000000002</v>
      </c>
      <c r="Y8033">
        <v>-0.21857940000000001</v>
      </c>
      <c r="Z8033">
        <v>9.8688330000000005E-2</v>
      </c>
      <c r="AA8033">
        <v>0.97081600000000001</v>
      </c>
      <c r="AB8033">
        <v>29</v>
      </c>
      <c r="AC8033">
        <v>2.4053000000000102</v>
      </c>
      <c r="AD8033">
        <v>-1.1116804420308</v>
      </c>
      <c r="AE8033">
        <v>-10.655290000000001</v>
      </c>
      <c r="AF8033">
        <v>-2.4335139345899002</v>
      </c>
      <c r="AG8033">
        <v>-1.1116804420308</v>
      </c>
      <c r="AH8033">
        <v>10.533987477584899</v>
      </c>
      <c r="AI8033">
        <v>95.870783884434104</v>
      </c>
      <c r="AJ8033">
        <v>103.00801049873</v>
      </c>
      <c r="AK8033">
        <v>10.8684274691858</v>
      </c>
      <c r="AL8033">
        <v>86.778154845169198</v>
      </c>
      <c r="AM8033">
        <v>95.400703081677406</v>
      </c>
      <c r="AN8033">
        <v>1.0000000655774799</v>
      </c>
    </row>
    <row r="8034" spans="1:40" x14ac:dyDescent="0.25">
      <c r="A8034" t="str">
        <f>"20190312150849085"</f>
        <v>20190312150849085</v>
      </c>
      <c r="B8034" t="str">
        <f>"1552374529078155"</f>
        <v>1552374529078155</v>
      </c>
      <c r="C8034" t="s">
        <v>40</v>
      </c>
      <c r="D8034">
        <v>4.428267</v>
      </c>
      <c r="E8034">
        <v>0.45407589999999998</v>
      </c>
      <c r="F8034" t="s">
        <v>42</v>
      </c>
      <c r="G8034">
        <v>-419.85140000000001</v>
      </c>
      <c r="H8034" s="1">
        <v>-2.1413919999999999E-7</v>
      </c>
      <c r="I8034">
        <v>60.070480000000003</v>
      </c>
      <c r="J8034">
        <v>-422.30160000000001</v>
      </c>
      <c r="K8034">
        <v>1.1117570000000001</v>
      </c>
      <c r="L8034">
        <v>70.992549999999994</v>
      </c>
      <c r="M8034">
        <v>-2.9299399999999998E-3</v>
      </c>
      <c r="N8034">
        <v>0</v>
      </c>
      <c r="O8034">
        <v>-0.99992709999999996</v>
      </c>
      <c r="P8034">
        <v>9.0937279999999995E-2</v>
      </c>
      <c r="Q8034">
        <v>4.491204E-2</v>
      </c>
      <c r="R8034">
        <v>-0.9948437</v>
      </c>
      <c r="S8034">
        <v>0.64968870000000001</v>
      </c>
      <c r="T8034">
        <v>-0.29467989999999999</v>
      </c>
      <c r="U8034">
        <v>-2.9702760000000001</v>
      </c>
      <c r="V8034">
        <v>-9.4068429999999995E-2</v>
      </c>
      <c r="W8034">
        <v>5.6207420000000001E-2</v>
      </c>
      <c r="X8034">
        <v>0.99397780000000002</v>
      </c>
      <c r="Y8034">
        <v>-0.21554380000000001</v>
      </c>
      <c r="Z8034">
        <v>9.6434939999999997E-2</v>
      </c>
      <c r="AA8034">
        <v>0.97172080000000005</v>
      </c>
      <c r="AB8034">
        <v>29</v>
      </c>
      <c r="AC8034">
        <v>2.4501999999999899</v>
      </c>
      <c r="AD8034">
        <v>-1.11175721413919</v>
      </c>
      <c r="AE8034">
        <v>-10.9220699999999</v>
      </c>
      <c r="AF8034">
        <v>-2.45794568046488</v>
      </c>
      <c r="AG8034">
        <v>-1.11175721413919</v>
      </c>
      <c r="AH8034">
        <v>10.808223317932899</v>
      </c>
      <c r="AI8034">
        <v>95.727679335507503</v>
      </c>
      <c r="AJ8034">
        <v>102.811984692321</v>
      </c>
      <c r="AK8034">
        <v>11.1398021688724</v>
      </c>
      <c r="AL8034">
        <v>86.777853945344106</v>
      </c>
      <c r="AM8034">
        <v>95.406276748608704</v>
      </c>
      <c r="AN8034">
        <v>1.0000000052392799</v>
      </c>
    </row>
    <row r="8035" spans="1:40" x14ac:dyDescent="0.25">
      <c r="A8035" t="str">
        <f>"20190312150849107"</f>
        <v>20190312150849107</v>
      </c>
      <c r="B8035" t="str">
        <f>"1552374529097672"</f>
        <v>1552374529097672</v>
      </c>
      <c r="C8035" t="s">
        <v>40</v>
      </c>
      <c r="D8035">
        <v>4.4160459999999997</v>
      </c>
      <c r="E8035">
        <v>0.45459749999999999</v>
      </c>
      <c r="F8035" t="s">
        <v>42</v>
      </c>
      <c r="G8035">
        <v>-419.81110000000001</v>
      </c>
      <c r="H8035" s="1">
        <v>-4.3150680000000004E-6</v>
      </c>
      <c r="I8035">
        <v>59.613199999999999</v>
      </c>
      <c r="J8035">
        <v>-422.3</v>
      </c>
      <c r="K8035">
        <v>1.111839</v>
      </c>
      <c r="L8035">
        <v>70.711730000000003</v>
      </c>
      <c r="M8035">
        <v>-7.6373209999999996E-4</v>
      </c>
      <c r="N8035">
        <v>0</v>
      </c>
      <c r="O8035">
        <v>-0.99993109999999996</v>
      </c>
      <c r="P8035">
        <v>9.3429129999999999E-2</v>
      </c>
      <c r="Q8035">
        <v>4.4588910000000002E-2</v>
      </c>
      <c r="R8035">
        <v>-0.99462740000000005</v>
      </c>
      <c r="S8035">
        <v>0.64984129999999996</v>
      </c>
      <c r="T8035">
        <v>-0.29009410000000002</v>
      </c>
      <c r="U8035">
        <v>-2.9692379999999998</v>
      </c>
      <c r="V8035">
        <v>-9.4414289999999998E-2</v>
      </c>
      <c r="W8035">
        <v>5.586986E-2</v>
      </c>
      <c r="X8035">
        <v>0.99396399999999996</v>
      </c>
      <c r="Y8035">
        <v>-0.21357660000000001</v>
      </c>
      <c r="Z8035">
        <v>9.5001199999999994E-2</v>
      </c>
      <c r="AA8035">
        <v>0.97229620000000005</v>
      </c>
      <c r="AB8035">
        <v>29</v>
      </c>
      <c r="AC8035">
        <v>2.4889000000000001</v>
      </c>
      <c r="AD8035">
        <v>-1.111843315068</v>
      </c>
      <c r="AE8035">
        <v>-11.09853</v>
      </c>
      <c r="AF8035">
        <v>-2.4737387029232001</v>
      </c>
      <c r="AG8035">
        <v>-1.111843315068</v>
      </c>
      <c r="AH8035">
        <v>10.9915971452896</v>
      </c>
      <c r="AI8035">
        <v>95.636017083065795</v>
      </c>
      <c r="AJ8035">
        <v>102.683505957835</v>
      </c>
      <c r="AK8035">
        <v>11.321253752652099</v>
      </c>
      <c r="AL8035">
        <v>86.797225023892096</v>
      </c>
      <c r="AM8035">
        <v>95.426110392969406</v>
      </c>
      <c r="AN8035">
        <v>0.99999996635431099</v>
      </c>
    </row>
    <row r="8036" spans="1:40" x14ac:dyDescent="0.25">
      <c r="A8036" t="str">
        <f>"20190312150849129"</f>
        <v>20190312150849129</v>
      </c>
      <c r="B8036" t="str">
        <f>"1552374529118173"</f>
        <v>1552374529118173</v>
      </c>
      <c r="C8036" t="s">
        <v>40</v>
      </c>
      <c r="D8036">
        <v>4.4227379999999998</v>
      </c>
      <c r="E8036">
        <v>0.45487030000000001</v>
      </c>
      <c r="F8036" t="s">
        <v>42</v>
      </c>
      <c r="G8036">
        <v>-419.7604</v>
      </c>
      <c r="H8036" s="1">
        <v>-4.1352980000000004E-6</v>
      </c>
      <c r="I8036">
        <v>59.173169999999899</v>
      </c>
      <c r="J8036">
        <v>-422.2978</v>
      </c>
      <c r="K8036">
        <v>1.111909</v>
      </c>
      <c r="L8036">
        <v>70.426969999999997</v>
      </c>
      <c r="M8036">
        <v>1.5147489999999999E-3</v>
      </c>
      <c r="N8036">
        <v>0</v>
      </c>
      <c r="O8036">
        <v>-0.99993010000000004</v>
      </c>
      <c r="P8036">
        <v>9.5500089999999996E-2</v>
      </c>
      <c r="Q8036">
        <v>4.4743079999999998E-2</v>
      </c>
      <c r="R8036">
        <v>-0.99442339999999996</v>
      </c>
      <c r="S8036">
        <v>0.65319819999999995</v>
      </c>
      <c r="T8036">
        <v>-0.28596240000000001</v>
      </c>
      <c r="U8036">
        <v>-2.9676819999999999</v>
      </c>
      <c r="V8036">
        <v>-9.4229660000000007E-2</v>
      </c>
      <c r="W8036">
        <v>5.6012689999999997E-2</v>
      </c>
      <c r="X8036">
        <v>0.99397349999999995</v>
      </c>
      <c r="Y8036">
        <v>-0.2125331</v>
      </c>
      <c r="Z8036">
        <v>9.3707509999999994E-2</v>
      </c>
      <c r="AA8036">
        <v>0.97265029999999997</v>
      </c>
      <c r="AB8036">
        <v>29</v>
      </c>
      <c r="AC8036">
        <v>2.5373999999999901</v>
      </c>
      <c r="AD8036">
        <v>-1.1119131352980001</v>
      </c>
      <c r="AE8036">
        <v>-11.2538</v>
      </c>
      <c r="AF8036">
        <v>-2.49715111240429</v>
      </c>
      <c r="AG8036">
        <v>-1.1119131352980001</v>
      </c>
      <c r="AH8036">
        <v>11.154011945228399</v>
      </c>
      <c r="AI8036">
        <v>95.556203879751493</v>
      </c>
      <c r="AJ8036">
        <v>102.61924529459699</v>
      </c>
      <c r="AK8036">
        <v>11.4840801535399</v>
      </c>
      <c r="AL8036">
        <v>86.789028690643406</v>
      </c>
      <c r="AM8036">
        <v>95.415511164370002</v>
      </c>
      <c r="AN8036">
        <v>0.99999998448350003</v>
      </c>
    </row>
    <row r="8037" spans="1:40" x14ac:dyDescent="0.25">
      <c r="A8037" t="str">
        <f>"20190312150849152"</f>
        <v>20190312150849152</v>
      </c>
      <c r="B8037" t="str">
        <f>"1552374529148431"</f>
        <v>1552374529148431</v>
      </c>
      <c r="C8037" t="s">
        <v>40</v>
      </c>
      <c r="D8037">
        <v>4.4235530000000001</v>
      </c>
      <c r="E8037">
        <v>0.4551849</v>
      </c>
      <c r="F8037" t="s">
        <v>42</v>
      </c>
      <c r="G8037">
        <v>-419.71210000000002</v>
      </c>
      <c r="H8037" s="1">
        <v>-3.9621980000000003E-6</v>
      </c>
      <c r="I8037">
        <v>58.74971</v>
      </c>
      <c r="J8037">
        <v>-422.29469999999998</v>
      </c>
      <c r="K8037">
        <v>1.1119699999999999</v>
      </c>
      <c r="L8037">
        <v>70.135219999999904</v>
      </c>
      <c r="M8037">
        <v>3.9323070000000003E-3</v>
      </c>
      <c r="N8037">
        <v>0</v>
      </c>
      <c r="O8037">
        <v>-0.99992349999999997</v>
      </c>
      <c r="P8037">
        <v>9.7779610000000003E-2</v>
      </c>
      <c r="Q8037">
        <v>4.4948889999999998E-2</v>
      </c>
      <c r="R8037">
        <v>-0.99419279999999999</v>
      </c>
      <c r="S8037">
        <v>0.65686040000000001</v>
      </c>
      <c r="T8037">
        <v>-0.28246749999999998</v>
      </c>
      <c r="U8037">
        <v>-2.9664609999999998</v>
      </c>
      <c r="V8037">
        <v>-9.4114390000000006E-2</v>
      </c>
      <c r="W8037">
        <v>5.6208840000000003E-2</v>
      </c>
      <c r="X8037">
        <v>0.99397340000000001</v>
      </c>
      <c r="Y8037">
        <v>-0.2114222</v>
      </c>
      <c r="Z8037">
        <v>9.2607579999999995E-2</v>
      </c>
      <c r="AA8037">
        <v>0.97299769999999997</v>
      </c>
      <c r="AB8037">
        <v>29</v>
      </c>
      <c r="AC8037">
        <v>2.58259999999995</v>
      </c>
      <c r="AD8037">
        <v>-1.111973962198</v>
      </c>
      <c r="AE8037">
        <v>-11.385509999999901</v>
      </c>
      <c r="AF8037">
        <v>-2.5149900907081602</v>
      </c>
      <c r="AG8037">
        <v>-1.111973962198</v>
      </c>
      <c r="AH8037">
        <v>11.2931289926309</v>
      </c>
      <c r="AI8037">
        <v>95.489844553060493</v>
      </c>
      <c r="AJ8037">
        <v>102.554941113761</v>
      </c>
      <c r="AK8037">
        <v>11.623098713044101</v>
      </c>
      <c r="AL8037">
        <v>86.777772555743297</v>
      </c>
      <c r="AM8037">
        <v>95.408926289806999</v>
      </c>
      <c r="AN8037">
        <v>1.0000000360033801</v>
      </c>
    </row>
    <row r="8038" spans="1:40" x14ac:dyDescent="0.25">
      <c r="A8038" t="str">
        <f>"20190312150849174"</f>
        <v>20190312150849174</v>
      </c>
      <c r="B8038" t="str">
        <f>"1552374529167944"</f>
        <v>1552374529167944</v>
      </c>
      <c r="C8038" t="s">
        <v>40</v>
      </c>
      <c r="D8038">
        <v>4.4426379999999996</v>
      </c>
      <c r="E8038">
        <v>0.45546759999999997</v>
      </c>
      <c r="F8038" t="s">
        <v>42</v>
      </c>
      <c r="G8038">
        <v>-419.67149999999998</v>
      </c>
      <c r="H8038" s="1">
        <v>-3.8069879999999998E-6</v>
      </c>
      <c r="I8038">
        <v>58.371110000000002</v>
      </c>
      <c r="J8038">
        <v>-422.291</v>
      </c>
      <c r="K8038">
        <v>1.1120300000000001</v>
      </c>
      <c r="L8038">
        <v>69.85172</v>
      </c>
      <c r="M8038">
        <v>6.3627240000000002E-3</v>
      </c>
      <c r="N8038">
        <v>0</v>
      </c>
      <c r="O8038">
        <v>-0.99991099999999999</v>
      </c>
      <c r="P8038">
        <v>0.10024379999999999</v>
      </c>
      <c r="Q8038">
        <v>4.5019940000000001E-2</v>
      </c>
      <c r="R8038">
        <v>-0.99394400000000005</v>
      </c>
      <c r="S8038">
        <v>0.66119380000000005</v>
      </c>
      <c r="T8038">
        <v>-0.28027629999999998</v>
      </c>
      <c r="U8038">
        <v>-2.965179</v>
      </c>
      <c r="V8038">
        <v>-9.417093E-2</v>
      </c>
      <c r="W8038">
        <v>5.6270260000000002E-2</v>
      </c>
      <c r="X8038">
        <v>0.99396459999999998</v>
      </c>
      <c r="Y8038">
        <v>-0.21050459999999999</v>
      </c>
      <c r="Z8038">
        <v>9.1927120000000001E-2</v>
      </c>
      <c r="AA8038">
        <v>0.97326109999999999</v>
      </c>
      <c r="AB8038">
        <v>29</v>
      </c>
      <c r="AC8038">
        <v>2.6195000000000102</v>
      </c>
      <c r="AD8038">
        <v>-1.11203380698799</v>
      </c>
      <c r="AE8038">
        <v>-11.48061</v>
      </c>
      <c r="AF8038">
        <v>-2.5238860828707699</v>
      </c>
      <c r="AG8038">
        <v>-1.11203380698799</v>
      </c>
      <c r="AH8038">
        <v>11.395421983661199</v>
      </c>
      <c r="AI8038">
        <v>95.442547081110803</v>
      </c>
      <c r="AJ8038">
        <v>102.488410682603</v>
      </c>
      <c r="AK8038">
        <v>11.724430149602201</v>
      </c>
      <c r="AL8038">
        <v>86.7742479678883</v>
      </c>
      <c r="AM8038">
        <v>95.412204089715004</v>
      </c>
      <c r="AN8038">
        <v>1.0000000661353401</v>
      </c>
    </row>
    <row r="8039" spans="1:40" x14ac:dyDescent="0.25">
      <c r="A8039" t="str">
        <f>"20190312150849197"</f>
        <v>20190312150849197</v>
      </c>
      <c r="B8039" t="str">
        <f>"1552374529187465"</f>
        <v>1552374529187465</v>
      </c>
      <c r="C8039" t="s">
        <v>40</v>
      </c>
      <c r="D8039">
        <v>4.4238369999999998</v>
      </c>
      <c r="E8039">
        <v>0.4558565</v>
      </c>
      <c r="F8039" t="s">
        <v>42</v>
      </c>
      <c r="G8039">
        <v>-419.63170000000002</v>
      </c>
      <c r="H8039" s="1">
        <v>-3.6670479999999998E-6</v>
      </c>
      <c r="I8039">
        <v>58.028469999999999</v>
      </c>
      <c r="J8039">
        <v>-422.28649999999999</v>
      </c>
      <c r="K8039">
        <v>1.11209</v>
      </c>
      <c r="L8039">
        <v>69.564480000000003</v>
      </c>
      <c r="M8039">
        <v>8.9009080000000008E-3</v>
      </c>
      <c r="N8039">
        <v>0</v>
      </c>
      <c r="O8039">
        <v>-0.99989150000000004</v>
      </c>
      <c r="P8039">
        <v>0.10230300000000001</v>
      </c>
      <c r="Q8039">
        <v>4.4847690000000003E-2</v>
      </c>
      <c r="R8039">
        <v>-0.99374200000000001</v>
      </c>
      <c r="S8039">
        <v>0.66659550000000001</v>
      </c>
      <c r="T8039">
        <v>-0.27874890000000002</v>
      </c>
      <c r="U8039">
        <v>-2.9636840000000002</v>
      </c>
      <c r="V8039">
        <v>-9.3714500000000006E-2</v>
      </c>
      <c r="W8039">
        <v>5.6091250000000002E-2</v>
      </c>
      <c r="X8039">
        <v>0.99401779999999995</v>
      </c>
      <c r="Y8039">
        <v>-0.2098265</v>
      </c>
      <c r="Z8039">
        <v>9.1461379999999995E-2</v>
      </c>
      <c r="AA8039">
        <v>0.97345139999999997</v>
      </c>
      <c r="AB8039">
        <v>29</v>
      </c>
      <c r="AC8039">
        <v>2.6547999999999599</v>
      </c>
      <c r="AD8039">
        <v>-1.1120936670479999</v>
      </c>
      <c r="AE8039">
        <v>-11.536009999999999</v>
      </c>
      <c r="AF8039">
        <v>-2.5296800581118801</v>
      </c>
      <c r="AG8039">
        <v>-1.1120936670479999</v>
      </c>
      <c r="AH8039">
        <v>11.458056953644</v>
      </c>
      <c r="AI8039">
        <v>95.414062383662596</v>
      </c>
      <c r="AJ8039">
        <v>102.449897199616</v>
      </c>
      <c r="AK8039">
        <v>11.786564498344999</v>
      </c>
      <c r="AL8039">
        <v>86.784520532752893</v>
      </c>
      <c r="AM8039">
        <v>95.385840155173895</v>
      </c>
      <c r="AN8039">
        <v>1.0000000112768199</v>
      </c>
    </row>
    <row r="8040" spans="1:40" x14ac:dyDescent="0.25">
      <c r="A8040" t="str">
        <f>"20190312150849219"</f>
        <v>20190312150849219</v>
      </c>
      <c r="B8040" t="str">
        <f>"1552374529207960"</f>
        <v>1552374529207960</v>
      </c>
      <c r="C8040" t="s">
        <v>40</v>
      </c>
      <c r="D8040">
        <v>4.4533170000000002</v>
      </c>
      <c r="E8040">
        <v>0.45616020000000002</v>
      </c>
      <c r="F8040" t="s">
        <v>42</v>
      </c>
      <c r="G8040">
        <v>-419.57310000000001</v>
      </c>
      <c r="H8040" s="1">
        <v>-3.4778369999999999E-6</v>
      </c>
      <c r="I8040">
        <v>57.563160000000003</v>
      </c>
      <c r="J8040">
        <v>-422.28120000000001</v>
      </c>
      <c r="K8040">
        <v>1.1121460000000001</v>
      </c>
      <c r="L8040">
        <v>69.280550000000005</v>
      </c>
      <c r="M8040">
        <v>1.1473209999999999E-2</v>
      </c>
      <c r="N8040">
        <v>0</v>
      </c>
      <c r="O8040">
        <v>-0.99986509999999995</v>
      </c>
      <c r="P8040">
        <v>0.1047913</v>
      </c>
      <c r="Q8040">
        <v>4.5146070000000003E-2</v>
      </c>
      <c r="R8040">
        <v>-0.99346889999999999</v>
      </c>
      <c r="S8040">
        <v>0.66976930000000001</v>
      </c>
      <c r="T8040">
        <v>-0.2745032</v>
      </c>
      <c r="U8040">
        <v>-2.9623409999999999</v>
      </c>
      <c r="V8040">
        <v>-9.3655139999999998E-2</v>
      </c>
      <c r="W8040">
        <v>5.6382130000000003E-2</v>
      </c>
      <c r="X8040">
        <v>0.99400690000000003</v>
      </c>
      <c r="Y8040">
        <v>-0.20842530000000001</v>
      </c>
      <c r="Z8040">
        <v>9.0119160000000004E-2</v>
      </c>
      <c r="AA8040">
        <v>0.97387749999999995</v>
      </c>
      <c r="AB8040">
        <v>29</v>
      </c>
      <c r="AC8040">
        <v>2.7081</v>
      </c>
      <c r="AD8040">
        <v>-1.11214947783699</v>
      </c>
      <c r="AE8040">
        <v>-11.71739</v>
      </c>
      <c r="AF8040">
        <v>-2.5516547588209799</v>
      </c>
      <c r="AG8040">
        <v>-1.11214947783699</v>
      </c>
      <c r="AH8040">
        <v>11.6480777029777</v>
      </c>
      <c r="AI8040">
        <v>95.328423749899301</v>
      </c>
      <c r="AJ8040">
        <v>102.35616281959599</v>
      </c>
      <c r="AK8040">
        <v>11.9760399399748</v>
      </c>
      <c r="AL8040">
        <v>86.767827797792904</v>
      </c>
      <c r="AM8040">
        <v>95.382507410435494</v>
      </c>
      <c r="AN8040">
        <v>0.99999997353968295</v>
      </c>
    </row>
    <row r="8041" spans="1:40" x14ac:dyDescent="0.25">
      <c r="A8041" t="str">
        <f>"20190312150849235"</f>
        <v>20190312150849235</v>
      </c>
      <c r="B8041" t="str">
        <f>"1552374529227481"</f>
        <v>1552374529227481</v>
      </c>
      <c r="C8041" t="s">
        <v>40</v>
      </c>
      <c r="D8041">
        <v>4.4464439999999996</v>
      </c>
      <c r="E8041">
        <v>0.4564378</v>
      </c>
      <c r="F8041" t="s">
        <v>42</v>
      </c>
      <c r="G8041">
        <v>-419.50459999999998</v>
      </c>
      <c r="H8041" s="1">
        <v>-3.2844650000000002E-6</v>
      </c>
      <c r="I8041">
        <v>57.084099999999999</v>
      </c>
      <c r="J8041">
        <v>-422.27690000000001</v>
      </c>
      <c r="K8041">
        <v>1.1121760000000001</v>
      </c>
      <c r="L8041">
        <v>69.076599999999999</v>
      </c>
      <c r="M8041">
        <v>1.3353220000000001E-2</v>
      </c>
      <c r="N8041">
        <v>0</v>
      </c>
      <c r="O8041">
        <v>-0.99984189999999995</v>
      </c>
      <c r="P8041">
        <v>0.10677590000000001</v>
      </c>
      <c r="Q8041">
        <v>4.5246309999999998E-2</v>
      </c>
      <c r="R8041">
        <v>-0.99325319999999995</v>
      </c>
      <c r="S8041">
        <v>0.67407229999999996</v>
      </c>
      <c r="T8041">
        <v>-0.26999430000000002</v>
      </c>
      <c r="U8041">
        <v>-2.9609070000000002</v>
      </c>
      <c r="V8041">
        <v>-9.37773999999999E-2</v>
      </c>
      <c r="W8041">
        <v>5.6476869999999998E-2</v>
      </c>
      <c r="X8041">
        <v>0.99399000000000004</v>
      </c>
      <c r="Y8041">
        <v>-0.2080629</v>
      </c>
      <c r="Z8041">
        <v>8.8678820000000005E-2</v>
      </c>
      <c r="AA8041">
        <v>0.97408720000000004</v>
      </c>
      <c r="AB8041">
        <v>29</v>
      </c>
      <c r="AC8041">
        <v>2.77230000000002</v>
      </c>
      <c r="AD8041">
        <v>-1.112179284465</v>
      </c>
      <c r="AE8041">
        <v>-11.9925</v>
      </c>
      <c r="AF8041">
        <v>-2.5907515080494101</v>
      </c>
      <c r="AG8041">
        <v>-1.112179284465</v>
      </c>
      <c r="AH8041">
        <v>11.931043315924599</v>
      </c>
      <c r="AI8041">
        <v>95.204958641498493</v>
      </c>
      <c r="AJ8041">
        <v>102.25122937323</v>
      </c>
      <c r="AK8041">
        <v>12.259638279481299</v>
      </c>
      <c r="AL8041">
        <v>86.762390949523805</v>
      </c>
      <c r="AM8041">
        <v>95.389583630124505</v>
      </c>
      <c r="AN8041">
        <v>0.99999997884787795</v>
      </c>
    </row>
    <row r="8042" spans="1:40" x14ac:dyDescent="0.25">
      <c r="A8042" t="str">
        <f>"20190312150849253"</f>
        <v>20190312150849253</v>
      </c>
      <c r="B8042" t="str">
        <f>"1552374529247976"</f>
        <v>1552374529247976</v>
      </c>
      <c r="C8042" t="s">
        <v>40</v>
      </c>
      <c r="D8042">
        <v>4.7830009999999996</v>
      </c>
      <c r="E8042">
        <v>0.45668900000000001</v>
      </c>
      <c r="F8042" t="s">
        <v>42</v>
      </c>
      <c r="G8042">
        <v>-419.44600000000003</v>
      </c>
      <c r="H8042" s="1">
        <v>-3.1407650000000002E-6</v>
      </c>
      <c r="I8042">
        <v>56.724899999999998</v>
      </c>
      <c r="J8042">
        <v>-422.2715</v>
      </c>
      <c r="K8042">
        <v>1.1122050000000001</v>
      </c>
      <c r="L8042">
        <v>68.843599999999995</v>
      </c>
      <c r="M8042">
        <v>1.552421E-2</v>
      </c>
      <c r="N8042">
        <v>0</v>
      </c>
      <c r="O8042">
        <v>-0.99981070000000005</v>
      </c>
      <c r="P8042">
        <v>0.10924059999999999</v>
      </c>
      <c r="Q8042">
        <v>4.4834020000000002E-2</v>
      </c>
      <c r="R8042">
        <v>-0.993004</v>
      </c>
      <c r="S8042">
        <v>0.67831419999999998</v>
      </c>
      <c r="T8042">
        <v>-0.2664897</v>
      </c>
      <c r="U8042">
        <v>-2.9595950000000002</v>
      </c>
      <c r="V8042">
        <v>-9.4088169999999999E-2</v>
      </c>
      <c r="W8042">
        <v>5.6058400000000001E-2</v>
      </c>
      <c r="X8042">
        <v>0.99398430000000004</v>
      </c>
      <c r="Y8042">
        <v>-0.20738190000000001</v>
      </c>
      <c r="Z8042">
        <v>8.7562970000000004E-2</v>
      </c>
      <c r="AA8042">
        <v>0.97433329999999996</v>
      </c>
      <c r="AB8042">
        <v>29</v>
      </c>
      <c r="AC8042">
        <v>2.8255000000000301</v>
      </c>
      <c r="AD8042">
        <v>-1.112208140765</v>
      </c>
      <c r="AE8042">
        <v>-12.118699999999899</v>
      </c>
      <c r="AF8042">
        <v>-2.6161141586571399</v>
      </c>
      <c r="AG8042">
        <v>-1.112208140765</v>
      </c>
      <c r="AH8042">
        <v>12.0647256910074</v>
      </c>
      <c r="AI8042">
        <v>95.148052248539102</v>
      </c>
      <c r="AJ8042">
        <v>102.234603935767</v>
      </c>
      <c r="AK8042">
        <v>12.395106544066699</v>
      </c>
      <c r="AL8042">
        <v>86.786405494774996</v>
      </c>
      <c r="AM8042">
        <v>95.407369365646403</v>
      </c>
      <c r="AN8042">
        <v>0.99999995829549804</v>
      </c>
    </row>
    <row r="8043" spans="1:40" x14ac:dyDescent="0.25">
      <c r="A8043" t="str">
        <f>"20190312150849270"</f>
        <v>20190312150849270</v>
      </c>
      <c r="B8043" t="str">
        <f>"1552374529257737"</f>
        <v>1552374529257737</v>
      </c>
      <c r="C8043" t="s">
        <v>40</v>
      </c>
      <c r="D8043">
        <v>4.4521249999999997</v>
      </c>
      <c r="E8043">
        <v>0.45684960000000002</v>
      </c>
      <c r="F8043" t="s">
        <v>42</v>
      </c>
      <c r="G8043">
        <v>-419.4092</v>
      </c>
      <c r="H8043" s="1">
        <v>-3.025733E-6</v>
      </c>
      <c r="I8043">
        <v>56.441549999999999</v>
      </c>
      <c r="J8043">
        <v>-422.26620000000003</v>
      </c>
      <c r="K8043">
        <v>1.112225</v>
      </c>
      <c r="L8043">
        <v>68.631039999999999</v>
      </c>
      <c r="M8043">
        <v>1.7521459999999999E-2</v>
      </c>
      <c r="N8043">
        <v>0</v>
      </c>
      <c r="O8043">
        <v>-0.99977760000000004</v>
      </c>
      <c r="P8043">
        <v>0.111505199999999</v>
      </c>
      <c r="Q8043">
        <v>4.4455269999999998E-2</v>
      </c>
      <c r="R8043">
        <v>-0.99276940000000002</v>
      </c>
      <c r="S8043">
        <v>0.68267819999999901</v>
      </c>
      <c r="T8043">
        <v>-0.26527240000000002</v>
      </c>
      <c r="U8043">
        <v>-2.958008</v>
      </c>
      <c r="V8043">
        <v>-9.4370309999999999E-2</v>
      </c>
      <c r="W8043">
        <v>5.5675620000000002E-2</v>
      </c>
      <c r="X8043">
        <v>0.9939791</v>
      </c>
      <c r="Y8043">
        <v>-0.2069143</v>
      </c>
      <c r="Z8043">
        <v>8.7197250000000004E-2</v>
      </c>
      <c r="AA8043">
        <v>0.97446549999999998</v>
      </c>
      <c r="AB8043">
        <v>29</v>
      </c>
      <c r="AC8043">
        <v>2.8570000000000202</v>
      </c>
      <c r="AD8043">
        <v>-1.1122280257329999</v>
      </c>
      <c r="AE8043">
        <v>-12.189489999999999</v>
      </c>
      <c r="AF8043">
        <v>-2.6222738148904399</v>
      </c>
      <c r="AG8043">
        <v>-1.1122280257329999</v>
      </c>
      <c r="AH8043">
        <v>12.141856391503801</v>
      </c>
      <c r="AI8043">
        <v>95.116529882074403</v>
      </c>
      <c r="AJ8043">
        <v>102.186977819444</v>
      </c>
      <c r="AK8043">
        <v>12.471489396755601</v>
      </c>
      <c r="AL8043">
        <v>86.808371583753001</v>
      </c>
      <c r="AM8043">
        <v>95.423515980139001</v>
      </c>
      <c r="AN8043">
        <v>0.99999999065434497</v>
      </c>
    </row>
    <row r="8044" spans="1:40" x14ac:dyDescent="0.25">
      <c r="A8044" t="str">
        <f>"20190312150849283"</f>
        <v>20190312150849283</v>
      </c>
      <c r="B8044" t="str">
        <f>"1552374529278233"</f>
        <v>1552374529278233</v>
      </c>
      <c r="C8044" t="s">
        <v>40</v>
      </c>
      <c r="D8044">
        <v>4.8351189999999997</v>
      </c>
      <c r="E8044">
        <v>0.4733619</v>
      </c>
      <c r="F8044" t="s">
        <v>42</v>
      </c>
      <c r="G8044">
        <v>-419.3784</v>
      </c>
      <c r="H8044" s="1">
        <v>-2.940988E-6</v>
      </c>
      <c r="I8044">
        <v>56.231290000000001</v>
      </c>
      <c r="J8044">
        <v>-422.26130000000001</v>
      </c>
      <c r="K8044">
        <v>1.1122379999999901</v>
      </c>
      <c r="L8044">
        <v>68.451969999999903</v>
      </c>
      <c r="M8044">
        <v>1.92126E-2</v>
      </c>
      <c r="N8044">
        <v>0</v>
      </c>
      <c r="O8044">
        <v>-0.99974609999999997</v>
      </c>
      <c r="P8044">
        <v>0.11320230000000001</v>
      </c>
      <c r="Q8044">
        <v>4.4382390000000001E-2</v>
      </c>
      <c r="R8044">
        <v>-0.99258040000000003</v>
      </c>
      <c r="S8044">
        <v>0.68850710000000004</v>
      </c>
      <c r="T8044">
        <v>-0.265181099999999</v>
      </c>
      <c r="U8044">
        <v>-2.9563899999999999</v>
      </c>
      <c r="V8044">
        <v>-9.4390130000000003E-2</v>
      </c>
      <c r="W8044">
        <v>5.5600869999999997E-2</v>
      </c>
      <c r="X8044">
        <v>0.99398140000000001</v>
      </c>
      <c r="Y8044">
        <v>-0.20719989999999999</v>
      </c>
      <c r="Z8044">
        <v>8.7187860000000006E-2</v>
      </c>
      <c r="AA8044">
        <v>0.97440570000000004</v>
      </c>
      <c r="AB8044">
        <v>29</v>
      </c>
      <c r="AC8044">
        <v>2.8828999999999998</v>
      </c>
      <c r="AD8044">
        <v>-1.1122409409880001</v>
      </c>
      <c r="AE8044">
        <v>-12.2206799999999</v>
      </c>
      <c r="AF8044">
        <v>-2.6269476303996</v>
      </c>
      <c r="AG8044">
        <v>-1.1122409409880001</v>
      </c>
      <c r="AH8044">
        <v>12.178256757888001</v>
      </c>
      <c r="AI8044">
        <v>95.101650421177595</v>
      </c>
      <c r="AJ8044">
        <v>102.17264864502</v>
      </c>
      <c r="AK8044">
        <v>12.5079123527756</v>
      </c>
      <c r="AL8044">
        <v>86.812661080802002</v>
      </c>
      <c r="AM8044">
        <v>95.424635775473106</v>
      </c>
      <c r="AN8044">
        <v>0.99999998846606597</v>
      </c>
    </row>
    <row r="8045" spans="1:40" x14ac:dyDescent="0.25">
      <c r="A8045" t="str">
        <f>"20190312150849297"</f>
        <v>20190312150849297</v>
      </c>
      <c r="B8045" t="str">
        <f>"1552374529287993"</f>
        <v>1552374529287993</v>
      </c>
      <c r="C8045" t="s">
        <v>40</v>
      </c>
      <c r="D8045">
        <v>4.7564330000000004</v>
      </c>
      <c r="E8045">
        <v>0.47826039999999997</v>
      </c>
      <c r="F8045" t="s">
        <v>42</v>
      </c>
      <c r="G8045">
        <v>-418.99</v>
      </c>
      <c r="H8045" s="1">
        <v>-8.2431519999999996E-7</v>
      </c>
      <c r="I8045">
        <v>51.136650000000003</v>
      </c>
      <c r="J8045">
        <v>-422.25619999999998</v>
      </c>
      <c r="K8045">
        <v>1.112249</v>
      </c>
      <c r="L8045">
        <v>68.274749999999997</v>
      </c>
      <c r="M8045">
        <v>2.0894679999999999E-2</v>
      </c>
      <c r="N8045">
        <v>0</v>
      </c>
      <c r="O8045">
        <v>-0.99971259999999995</v>
      </c>
      <c r="P8045">
        <v>0.1155168</v>
      </c>
      <c r="Q8045">
        <v>4.4150809999999999E-2</v>
      </c>
      <c r="R8045">
        <v>-0.99232419999999999</v>
      </c>
      <c r="S8045">
        <v>0.56054689999999996</v>
      </c>
      <c r="T8045">
        <v>-0.19058410000000001</v>
      </c>
      <c r="U8045">
        <v>-2.9670100000000001</v>
      </c>
      <c r="V8045">
        <v>-9.5035949999999994E-2</v>
      </c>
      <c r="W8045">
        <v>5.5365669999999999E-2</v>
      </c>
      <c r="X8045">
        <v>0.99393299999999996</v>
      </c>
      <c r="Y8045">
        <v>-0.1646994</v>
      </c>
      <c r="Z8045">
        <v>6.3088000000000005E-2</v>
      </c>
      <c r="AA8045">
        <v>0.98432419999999998</v>
      </c>
      <c r="AB8045">
        <v>29</v>
      </c>
      <c r="AC8045">
        <v>3.26619999999996</v>
      </c>
      <c r="AD8045">
        <v>-1.1122498243151999</v>
      </c>
      <c r="AE8045">
        <v>-17.138099999999898</v>
      </c>
      <c r="AF8045">
        <v>-2.89559842352265</v>
      </c>
      <c r="AG8045">
        <v>-1.1122498243151999</v>
      </c>
      <c r="AH8045">
        <v>17.132975426194498</v>
      </c>
      <c r="AI8045">
        <v>93.662558146802496</v>
      </c>
      <c r="AJ8045">
        <v>99.592757978918399</v>
      </c>
      <c r="AK8045">
        <v>17.4115030039506</v>
      </c>
      <c r="AL8045">
        <v>86.826157871491404</v>
      </c>
      <c r="AM8045">
        <v>95.461791970704397</v>
      </c>
      <c r="AN8045">
        <v>0.99999999884797497</v>
      </c>
    </row>
    <row r="8046" spans="1:40" x14ac:dyDescent="0.25">
      <c r="A8046" t="str">
        <f>"20190312150849313"</f>
        <v>20190312150849313</v>
      </c>
      <c r="B8046" t="str">
        <f>"1552374529307513"</f>
        <v>1552374529307513</v>
      </c>
      <c r="C8046" t="s">
        <v>40</v>
      </c>
      <c r="D8046">
        <v>4.4966160000000004</v>
      </c>
      <c r="E8046">
        <v>0.48480839999999997</v>
      </c>
      <c r="F8046" t="s">
        <v>42</v>
      </c>
      <c r="G8046">
        <v>-419.16109999999998</v>
      </c>
      <c r="H8046" s="1">
        <v>-6.8512680000000003E-7</v>
      </c>
      <c r="I8046">
        <v>50.882950000000001</v>
      </c>
      <c r="J8046">
        <v>-422.25009999999997</v>
      </c>
      <c r="K8046">
        <v>1.1122609999999999</v>
      </c>
      <c r="L8046">
        <v>68.078890000000001</v>
      </c>
      <c r="M8046">
        <v>2.2756760000000001E-2</v>
      </c>
      <c r="N8046">
        <v>0</v>
      </c>
      <c r="O8046">
        <v>-0.99967189999999995</v>
      </c>
      <c r="P8046">
        <v>0.11771230000000001</v>
      </c>
      <c r="Q8046">
        <v>4.4040370000000002E-2</v>
      </c>
      <c r="R8046">
        <v>-0.99207069999999997</v>
      </c>
      <c r="S8046">
        <v>0.52856449999999999</v>
      </c>
      <c r="T8046">
        <v>-0.1899469</v>
      </c>
      <c r="U8046">
        <v>-2.9701230000000001</v>
      </c>
      <c r="V8046">
        <v>-9.5384419999999998E-2</v>
      </c>
      <c r="W8046">
        <v>5.5252839999999998E-2</v>
      </c>
      <c r="X8046">
        <v>0.99390590000000001</v>
      </c>
      <c r="Y8046">
        <v>-0.15240890000000001</v>
      </c>
      <c r="Z8046">
        <v>6.2932329999999995E-2</v>
      </c>
      <c r="AA8046">
        <v>0.98631190000000002</v>
      </c>
      <c r="AB8046">
        <v>29</v>
      </c>
      <c r="AC8046">
        <v>3.0889999999999902</v>
      </c>
      <c r="AD8046">
        <v>-1.1122616851267999</v>
      </c>
      <c r="AE8046">
        <v>-17.19594</v>
      </c>
      <c r="AF8046">
        <v>-2.6859629839642101</v>
      </c>
      <c r="AG8046">
        <v>-1.1122616851267999</v>
      </c>
      <c r="AH8046">
        <v>17.192108227505301</v>
      </c>
      <c r="AI8046">
        <v>93.657408209106805</v>
      </c>
      <c r="AJ8046">
        <v>98.879670397498998</v>
      </c>
      <c r="AK8046">
        <v>17.4361724158051</v>
      </c>
      <c r="AL8046">
        <v>86.832632471911694</v>
      </c>
      <c r="AM8046">
        <v>95.481845608756004</v>
      </c>
      <c r="AN8046">
        <v>1.0000000009808001</v>
      </c>
    </row>
    <row r="8047" spans="1:40" x14ac:dyDescent="0.25">
      <c r="A8047" t="str">
        <f>"20190312150849326"</f>
        <v>20190312150849326</v>
      </c>
      <c r="B8047" t="str">
        <f>"1552374529318249"</f>
        <v>1552374529318249</v>
      </c>
      <c r="C8047" t="s">
        <v>40</v>
      </c>
      <c r="D8047">
        <v>4.8396699999999999</v>
      </c>
      <c r="E8047">
        <v>0.4861586</v>
      </c>
      <c r="F8047" t="s">
        <v>42</v>
      </c>
      <c r="G8047">
        <v>-419.71100000000001</v>
      </c>
      <c r="H8047" s="1">
        <v>-1.2710950000000001E-6</v>
      </c>
      <c r="I8047">
        <v>52.47625</v>
      </c>
      <c r="J8047">
        <v>-422.24509999999998</v>
      </c>
      <c r="K8047">
        <v>1.1122650000000001</v>
      </c>
      <c r="L8047">
        <v>67.919650000000004</v>
      </c>
      <c r="M8047">
        <v>2.4272080000000001E-2</v>
      </c>
      <c r="N8047">
        <v>0</v>
      </c>
      <c r="O8047">
        <v>-0.99963659999999999</v>
      </c>
      <c r="P8047">
        <v>0.119232</v>
      </c>
      <c r="Q8047">
        <v>4.4368449999999997E-2</v>
      </c>
      <c r="R8047">
        <v>-0.99187499999999995</v>
      </c>
      <c r="S8047">
        <v>0.48428339999999998</v>
      </c>
      <c r="T8047">
        <v>-0.212144</v>
      </c>
      <c r="U8047">
        <v>-2.9759220000000002</v>
      </c>
      <c r="V8047">
        <v>-9.5402580000000001E-2</v>
      </c>
      <c r="W8047">
        <v>5.5580869999999997E-2</v>
      </c>
      <c r="X8047">
        <v>0.99388589999999999</v>
      </c>
      <c r="Y8047">
        <v>-0.13621810000000001</v>
      </c>
      <c r="Z8047">
        <v>7.0283810000000002E-2</v>
      </c>
      <c r="AA8047">
        <v>0.98818260000000002</v>
      </c>
      <c r="AB8047">
        <v>29</v>
      </c>
      <c r="AC8047">
        <v>2.5340999999999601</v>
      </c>
      <c r="AD8047">
        <v>-1.112266271095</v>
      </c>
      <c r="AE8047">
        <v>-15.4434</v>
      </c>
      <c r="AF8047">
        <v>-2.1476360102029299</v>
      </c>
      <c r="AG8047">
        <v>-1.112266271095</v>
      </c>
      <c r="AH8047">
        <v>15.4224600809197</v>
      </c>
      <c r="AI8047">
        <v>94.085735096717102</v>
      </c>
      <c r="AJ8047">
        <v>97.927673277951499</v>
      </c>
      <c r="AK8047">
        <v>15.610949735288299</v>
      </c>
      <c r="AL8047">
        <v>86.813808915747998</v>
      </c>
      <c r="AM8047">
        <v>95.482992584132006</v>
      </c>
      <c r="AN8047">
        <v>1.0000000337997099</v>
      </c>
    </row>
    <row r="8048" spans="1:40" x14ac:dyDescent="0.25">
      <c r="A8048" t="str">
        <f>"20190312150849337"</f>
        <v>20190312150849337</v>
      </c>
      <c r="B8048" t="str">
        <f>"1552374529328009"</f>
        <v>1552374529328009</v>
      </c>
      <c r="C8048" t="s">
        <v>40</v>
      </c>
      <c r="D8048">
        <v>4.5341360000000002</v>
      </c>
      <c r="E8048">
        <v>0.48718889999999998</v>
      </c>
      <c r="F8048" t="s">
        <v>42</v>
      </c>
      <c r="G8048">
        <v>-419.64960000000002</v>
      </c>
      <c r="H8048" s="1">
        <v>-9.7284329999999997E-7</v>
      </c>
      <c r="I8048">
        <v>51.755600000000001</v>
      </c>
      <c r="J8048">
        <v>-422.23950000000002</v>
      </c>
      <c r="K8048">
        <v>1.112263</v>
      </c>
      <c r="L8048">
        <v>67.756469999999993</v>
      </c>
      <c r="M8048">
        <v>2.5825620000000001E-2</v>
      </c>
      <c r="N8048">
        <v>0</v>
      </c>
      <c r="O8048">
        <v>-0.99959730000000002</v>
      </c>
      <c r="P8048">
        <v>0.1210968</v>
      </c>
      <c r="Q8048">
        <v>4.4585220000000002E-2</v>
      </c>
      <c r="R8048">
        <v>-0.9916391</v>
      </c>
      <c r="S8048">
        <v>0.47790529999999998</v>
      </c>
      <c r="T8048">
        <v>-0.2048017</v>
      </c>
      <c r="U8048">
        <v>-2.9762879999999998</v>
      </c>
      <c r="V8048">
        <v>-9.572891E-2</v>
      </c>
      <c r="W8048">
        <v>5.5796070000000003E-2</v>
      </c>
      <c r="X8048">
        <v>0.99384240000000001</v>
      </c>
      <c r="Y8048">
        <v>-0.13262090000000001</v>
      </c>
      <c r="Z8048">
        <v>6.7878750000000002E-2</v>
      </c>
      <c r="AA8048">
        <v>0.98883980000000005</v>
      </c>
      <c r="AB8048">
        <v>29</v>
      </c>
      <c r="AC8048">
        <v>2.5899000000000001</v>
      </c>
      <c r="AD8048">
        <v>-1.1122639728432999</v>
      </c>
      <c r="AE8048">
        <v>-16.0008699999999</v>
      </c>
      <c r="AF8048">
        <v>-2.1655781261293301</v>
      </c>
      <c r="AG8048">
        <v>-1.1122639728432999</v>
      </c>
      <c r="AH8048">
        <v>15.987144787704</v>
      </c>
      <c r="AI8048">
        <v>93.943888817438406</v>
      </c>
      <c r="AJ8048">
        <v>97.714187951272194</v>
      </c>
      <c r="AK8048">
        <v>16.171445768040201</v>
      </c>
      <c r="AL8048">
        <v>86.801459499197094</v>
      </c>
      <c r="AM8048">
        <v>95.501871925885396</v>
      </c>
      <c r="AN8048">
        <v>0.99999997083749603</v>
      </c>
    </row>
    <row r="8049" spans="1:40" x14ac:dyDescent="0.25">
      <c r="A8049" t="str">
        <f>"20190312150849354"</f>
        <v>20190312150849354</v>
      </c>
      <c r="B8049" t="str">
        <f>"1552374529347529"</f>
        <v>1552374529347529</v>
      </c>
      <c r="C8049" t="s">
        <v>40</v>
      </c>
      <c r="D8049">
        <v>4.6067710000000002</v>
      </c>
      <c r="E8049">
        <v>0.48877389999999998</v>
      </c>
      <c r="F8049" t="s">
        <v>42</v>
      </c>
      <c r="G8049">
        <v>-419.65969999999999</v>
      </c>
      <c r="H8049" s="1">
        <v>-9.036624E-7</v>
      </c>
      <c r="I8049">
        <v>51.598529999999997</v>
      </c>
      <c r="J8049">
        <v>-422.23219999999998</v>
      </c>
      <c r="K8049">
        <v>1.1122700000000001</v>
      </c>
      <c r="L8049">
        <v>67.553340000000006</v>
      </c>
      <c r="M8049">
        <v>2.7758950000000001E-2</v>
      </c>
      <c r="N8049">
        <v>0</v>
      </c>
      <c r="O8049">
        <v>-0.99954549999999998</v>
      </c>
      <c r="P8049">
        <v>0.12363399999999999</v>
      </c>
      <c r="Q8049">
        <v>4.482295E-2</v>
      </c>
      <c r="R8049">
        <v>-0.9913151</v>
      </c>
      <c r="S8049">
        <v>0.47521970000000002</v>
      </c>
      <c r="T8049">
        <v>-0.2048913</v>
      </c>
      <c r="U8049">
        <v>-2.9764710000000001</v>
      </c>
      <c r="V8049">
        <v>-9.6352209999999994E-2</v>
      </c>
      <c r="W8049">
        <v>5.6030780000000002E-2</v>
      </c>
      <c r="X8049">
        <v>0.99376900000000001</v>
      </c>
      <c r="Y8049">
        <v>-0.12982360000000001</v>
      </c>
      <c r="Z8049">
        <v>6.791635E-2</v>
      </c>
      <c r="AA8049">
        <v>0.98920830000000004</v>
      </c>
      <c r="AB8049">
        <v>29</v>
      </c>
      <c r="AC8049">
        <v>2.57249999999999</v>
      </c>
      <c r="AD8049">
        <v>-1.1122709036623999</v>
      </c>
      <c r="AE8049">
        <v>-15.95481</v>
      </c>
      <c r="AF8049">
        <v>-2.1185538335546399</v>
      </c>
      <c r="AG8049">
        <v>-1.1122709036623999</v>
      </c>
      <c r="AH8049">
        <v>15.944548446028101</v>
      </c>
      <c r="AI8049">
        <v>93.955760587853206</v>
      </c>
      <c r="AJ8049">
        <v>97.568564384053801</v>
      </c>
      <c r="AK8049">
        <v>16.1230903382863</v>
      </c>
      <c r="AL8049">
        <v>86.787990664999299</v>
      </c>
      <c r="AM8049">
        <v>95.537879645974996</v>
      </c>
      <c r="AN8049">
        <v>1.0000000110201399</v>
      </c>
    </row>
    <row r="8050" spans="1:40" x14ac:dyDescent="0.25">
      <c r="A8050" t="str">
        <f>"20190312150849368"</f>
        <v>20190312150849368</v>
      </c>
      <c r="B8050" t="str">
        <f>"1552374529358265"</f>
        <v>1552374529358265</v>
      </c>
      <c r="C8050" t="s">
        <v>40</v>
      </c>
      <c r="D8050">
        <v>4.691065</v>
      </c>
      <c r="E8050">
        <v>0.48976019999999998</v>
      </c>
      <c r="F8050" t="s">
        <v>42</v>
      </c>
      <c r="G8050">
        <v>-419.74020000000002</v>
      </c>
      <c r="H8050" s="1">
        <v>-9.8349530000000009E-7</v>
      </c>
      <c r="I8050">
        <v>51.817889999999998</v>
      </c>
      <c r="J8050">
        <v>-422.2253</v>
      </c>
      <c r="K8050">
        <v>1.1122780000000001</v>
      </c>
      <c r="L8050">
        <v>67.367490000000004</v>
      </c>
      <c r="M8050">
        <v>2.952654E-2</v>
      </c>
      <c r="N8050">
        <v>0</v>
      </c>
      <c r="O8050">
        <v>-0.99949489999999996</v>
      </c>
      <c r="P8050">
        <v>0.1252857</v>
      </c>
      <c r="Q8050">
        <v>4.4991509999999998E-2</v>
      </c>
      <c r="R8050">
        <v>-0.99110030000000005</v>
      </c>
      <c r="S8050">
        <v>0.4714661</v>
      </c>
      <c r="T8050">
        <v>-0.21043049999999999</v>
      </c>
      <c r="U8050">
        <v>-2.9769899999999998</v>
      </c>
      <c r="V8050">
        <v>-9.625177E-2</v>
      </c>
      <c r="W8050">
        <v>5.6200260000000002E-2</v>
      </c>
      <c r="X8050">
        <v>0.99376920000000002</v>
      </c>
      <c r="Y8050">
        <v>-0.12680649999999999</v>
      </c>
      <c r="Z8050">
        <v>6.9746829999999996E-2</v>
      </c>
      <c r="AA8050">
        <v>0.98947229999999997</v>
      </c>
      <c r="AB8050">
        <v>29</v>
      </c>
      <c r="AC8050">
        <v>2.4850999999999801</v>
      </c>
      <c r="AD8050">
        <v>-1.1122789834953</v>
      </c>
      <c r="AE8050">
        <v>-15.5495999999999</v>
      </c>
      <c r="AF8050">
        <v>-2.01480635675229</v>
      </c>
      <c r="AG8050">
        <v>-1.1122789834953</v>
      </c>
      <c r="AH8050">
        <v>15.5386744482037</v>
      </c>
      <c r="AI8050">
        <v>94.060448429562499</v>
      </c>
      <c r="AJ8050">
        <v>97.387978689949193</v>
      </c>
      <c r="AK8050">
        <v>15.708182988480701</v>
      </c>
      <c r="AL8050">
        <v>86.778264969420505</v>
      </c>
      <c r="AM8050">
        <v>95.532141543127906</v>
      </c>
      <c r="AN8050">
        <v>1.0000000476604101</v>
      </c>
    </row>
    <row r="8051" spans="1:40" x14ac:dyDescent="0.25">
      <c r="A8051" t="str">
        <f>"20190312150849381"</f>
        <v>20190312150849381</v>
      </c>
      <c r="B8051" t="str">
        <f>"1552374529377785"</f>
        <v>1552374529377785</v>
      </c>
      <c r="C8051" t="s">
        <v>40</v>
      </c>
      <c r="D8051">
        <v>4.535012</v>
      </c>
      <c r="E8051">
        <v>0.49081730000000001</v>
      </c>
      <c r="F8051" t="s">
        <v>42</v>
      </c>
      <c r="G8051">
        <v>-419.78930000000003</v>
      </c>
      <c r="H8051" s="1">
        <v>-1.0078459999999999E-6</v>
      </c>
      <c r="I8051">
        <v>51.894970000000001</v>
      </c>
      <c r="J8051">
        <v>-422.21870000000001</v>
      </c>
      <c r="K8051">
        <v>1.112279</v>
      </c>
      <c r="L8051">
        <v>67.20111</v>
      </c>
      <c r="M8051">
        <v>3.1107429999999998E-2</v>
      </c>
      <c r="N8051">
        <v>0</v>
      </c>
      <c r="O8051">
        <v>-0.99944690000000003</v>
      </c>
      <c r="P8051">
        <v>0.12718479999999999</v>
      </c>
      <c r="Q8051">
        <v>4.5197029999999999E-2</v>
      </c>
      <c r="R8051">
        <v>-0.99084910000000004</v>
      </c>
      <c r="S8051">
        <v>0.46875</v>
      </c>
      <c r="T8051">
        <v>-0.21403649999999999</v>
      </c>
      <c r="U8051">
        <v>-2.9773860000000001</v>
      </c>
      <c r="V8051">
        <v>-9.6586169999999999E-2</v>
      </c>
      <c r="W8051">
        <v>5.6404509999999998E-2</v>
      </c>
      <c r="X8051">
        <v>0.99372510000000003</v>
      </c>
      <c r="Y8051">
        <v>-0.12432310000000001</v>
      </c>
      <c r="Z8051">
        <v>7.0937829999999993E-2</v>
      </c>
      <c r="AA8051">
        <v>0.98970279999999999</v>
      </c>
      <c r="AB8051">
        <v>29</v>
      </c>
      <c r="AC8051">
        <v>2.4293999999999798</v>
      </c>
      <c r="AD8051">
        <v>-1.112280007846</v>
      </c>
      <c r="AE8051">
        <v>-15.306139999999999</v>
      </c>
      <c r="AF8051">
        <v>-1.9420530173027599</v>
      </c>
      <c r="AG8051">
        <v>-1.112280007846</v>
      </c>
      <c r="AH8051">
        <v>15.2955218931794</v>
      </c>
      <c r="AI8051">
        <v>94.126178822498005</v>
      </c>
      <c r="AJ8051">
        <v>97.236053944136501</v>
      </c>
      <c r="AK8051">
        <v>15.458386937924599</v>
      </c>
      <c r="AL8051">
        <v>86.766543448928999</v>
      </c>
      <c r="AM8051">
        <v>95.551486397753607</v>
      </c>
      <c r="AN8051">
        <v>0.99999996567680804</v>
      </c>
    </row>
    <row r="8052" spans="1:40" x14ac:dyDescent="0.25">
      <c r="A8052" t="str">
        <f>"20190312150849394"</f>
        <v>20190312150849394</v>
      </c>
      <c r="B8052" t="str">
        <f>"1552374529387545"</f>
        <v>1552374529387545</v>
      </c>
      <c r="C8052" t="s">
        <v>40</v>
      </c>
      <c r="D8052">
        <v>4.5862629999999998</v>
      </c>
      <c r="E8052">
        <v>0.49110569999999998</v>
      </c>
      <c r="F8052" t="s">
        <v>42</v>
      </c>
      <c r="G8052">
        <v>-419.82479999999998</v>
      </c>
      <c r="H8052" s="1">
        <v>-1.0084379999999999E-6</v>
      </c>
      <c r="I8052">
        <v>51.911020000000001</v>
      </c>
      <c r="J8052">
        <v>-422.21190000000001</v>
      </c>
      <c r="K8052">
        <v>1.1122810000000001</v>
      </c>
      <c r="L8052">
        <v>67.033540000000002</v>
      </c>
      <c r="M8052">
        <v>3.2697219999999999E-2</v>
      </c>
      <c r="N8052">
        <v>0</v>
      </c>
      <c r="O8052">
        <v>-0.99939610000000001</v>
      </c>
      <c r="P8052">
        <v>0.1285394</v>
      </c>
      <c r="Q8052">
        <v>4.5487470000000002E-2</v>
      </c>
      <c r="R8052">
        <v>-0.99066069999999995</v>
      </c>
      <c r="S8052">
        <v>0.46621699999999999</v>
      </c>
      <c r="T8052">
        <v>-0.21661710000000001</v>
      </c>
      <c r="U8052">
        <v>-2.9777529999999999</v>
      </c>
      <c r="V8052">
        <v>-9.636612E-2</v>
      </c>
      <c r="W8052">
        <v>5.6696339999999998E-2</v>
      </c>
      <c r="X8052">
        <v>0.99372990000000005</v>
      </c>
      <c r="Y8052">
        <v>-0.12189469999999999</v>
      </c>
      <c r="Z8052">
        <v>7.1790080000000006E-2</v>
      </c>
      <c r="AA8052">
        <v>0.98994340000000003</v>
      </c>
      <c r="AB8052">
        <v>29</v>
      </c>
      <c r="AC8052">
        <v>2.38710000000003</v>
      </c>
      <c r="AD8052">
        <v>-1.1122820084379901</v>
      </c>
      <c r="AE8052">
        <v>-15.12252</v>
      </c>
      <c r="AF8052">
        <v>-1.88139434603134</v>
      </c>
      <c r="AG8052">
        <v>-1.1122820084379901</v>
      </c>
      <c r="AH8052">
        <v>15.1127205956914</v>
      </c>
      <c r="AI8052">
        <v>94.177196896538206</v>
      </c>
      <c r="AJ8052">
        <v>97.096287150170596</v>
      </c>
      <c r="AK8052">
        <v>15.269942362530699</v>
      </c>
      <c r="AL8052">
        <v>86.749796162088202</v>
      </c>
      <c r="AM8052">
        <v>95.538890730898999</v>
      </c>
      <c r="AN8052">
        <v>1.0000000091036301</v>
      </c>
    </row>
    <row r="8053" spans="1:40" x14ac:dyDescent="0.25">
      <c r="A8053" t="str">
        <f>"20190312150849407"</f>
        <v>20190312150849407</v>
      </c>
      <c r="B8053" t="str">
        <f>"1552374529398280"</f>
        <v>1552374529398280</v>
      </c>
      <c r="C8053" t="s">
        <v>40</v>
      </c>
      <c r="D8053">
        <v>4.5520399999999999</v>
      </c>
      <c r="E8053">
        <v>0.4913421</v>
      </c>
      <c r="F8053" t="s">
        <v>42</v>
      </c>
      <c r="G8053">
        <v>-419.80189999999999</v>
      </c>
      <c r="H8053" s="1">
        <v>-9.1928929999999997E-7</v>
      </c>
      <c r="I8053">
        <v>51.693759999999997</v>
      </c>
      <c r="J8053">
        <v>-422.20510000000002</v>
      </c>
      <c r="K8053">
        <v>1.1122879999999999</v>
      </c>
      <c r="L8053">
        <v>66.871830000000003</v>
      </c>
      <c r="M8053">
        <v>3.4230610000000002E-2</v>
      </c>
      <c r="N8053">
        <v>0</v>
      </c>
      <c r="O8053">
        <v>-0.99934460000000003</v>
      </c>
      <c r="P8053">
        <v>0.13020699999999999</v>
      </c>
      <c r="Q8053">
        <v>4.5180739999999997E-2</v>
      </c>
      <c r="R8053">
        <v>-0.99045709999999998</v>
      </c>
      <c r="S8053">
        <v>0.46777340000000001</v>
      </c>
      <c r="T8053">
        <v>-0.21589810000000001</v>
      </c>
      <c r="U8053">
        <v>-2.977509</v>
      </c>
      <c r="V8053">
        <v>-9.6512790000000001E-2</v>
      </c>
      <c r="W8053">
        <v>5.6389740000000001E-2</v>
      </c>
      <c r="X8053">
        <v>0.99373310000000004</v>
      </c>
      <c r="Y8053">
        <v>-0.12089179999999999</v>
      </c>
      <c r="Z8053">
        <v>7.1554839999999995E-2</v>
      </c>
      <c r="AA8053">
        <v>0.9900833</v>
      </c>
      <c r="AB8053">
        <v>29</v>
      </c>
      <c r="AC8053">
        <v>2.40320000000002</v>
      </c>
      <c r="AD8053">
        <v>-1.1122889192893</v>
      </c>
      <c r="AE8053">
        <v>-15.17807</v>
      </c>
      <c r="AF8053">
        <v>-1.87239135576058</v>
      </c>
      <c r="AG8053">
        <v>-1.1122889192893</v>
      </c>
      <c r="AH8053">
        <v>15.171956578841399</v>
      </c>
      <c r="AI8053">
        <v>94.161517408871802</v>
      </c>
      <c r="AJ8053">
        <v>97.035375237394007</v>
      </c>
      <c r="AK8053">
        <v>15.3274688862627</v>
      </c>
      <c r="AL8053">
        <v>86.767391160364397</v>
      </c>
      <c r="AM8053">
        <v>95.547250671116799</v>
      </c>
      <c r="AN8053">
        <v>0.99999999772323001</v>
      </c>
    </row>
    <row r="8054" spans="1:40" x14ac:dyDescent="0.25">
      <c r="A8054" t="str">
        <f>"20190312150849419"</f>
        <v>20190312150849419</v>
      </c>
      <c r="B8054" t="str">
        <f>"1552374529408041"</f>
        <v>1552374529408041</v>
      </c>
      <c r="C8054" t="s">
        <v>40</v>
      </c>
      <c r="D8054">
        <v>5.08263</v>
      </c>
      <c r="E8054">
        <v>0.49153770000000002</v>
      </c>
      <c r="F8054" t="s">
        <v>42</v>
      </c>
      <c r="G8054">
        <v>-419.79309999999998</v>
      </c>
      <c r="H8054" s="1">
        <v>-8.9373459999999995E-7</v>
      </c>
      <c r="I8054">
        <v>51.630540000000003</v>
      </c>
      <c r="J8054">
        <v>-422.19760000000002</v>
      </c>
      <c r="K8054">
        <v>1.112293</v>
      </c>
      <c r="L8054">
        <v>66.70129</v>
      </c>
      <c r="M8054">
        <v>3.5844889999999997E-2</v>
      </c>
      <c r="N8054">
        <v>0</v>
      </c>
      <c r="O8054">
        <v>-0.99928819999999996</v>
      </c>
      <c r="P8054">
        <v>0.1318377</v>
      </c>
      <c r="Q8054">
        <v>4.5395369999999997E-2</v>
      </c>
      <c r="R8054">
        <v>-0.99023159999999999</v>
      </c>
      <c r="S8054">
        <v>0.47109990000000002</v>
      </c>
      <c r="T8054">
        <v>-0.2172502</v>
      </c>
      <c r="U8054">
        <v>-2.9768979999999998</v>
      </c>
      <c r="V8054">
        <v>-9.6545259999999994E-2</v>
      </c>
      <c r="W8054">
        <v>5.6604460000000002E-2</v>
      </c>
      <c r="X8054">
        <v>0.99371770000000004</v>
      </c>
      <c r="Y8054">
        <v>-0.120393899999999</v>
      </c>
      <c r="Z8054">
        <v>7.2005E-2</v>
      </c>
      <c r="AA8054">
        <v>0.99011139999999997</v>
      </c>
      <c r="AB8054">
        <v>29</v>
      </c>
      <c r="AC8054">
        <v>2.40450000000004</v>
      </c>
      <c r="AD8054">
        <v>-1.1122938937346001</v>
      </c>
      <c r="AE8054">
        <v>-15.070749999999901</v>
      </c>
      <c r="AF8054">
        <v>-1.85286555518018</v>
      </c>
      <c r="AG8054">
        <v>-1.1122938937346001</v>
      </c>
      <c r="AH8054">
        <v>15.067222592517201</v>
      </c>
      <c r="AI8054">
        <v>94.190582549911099</v>
      </c>
      <c r="AJ8054">
        <v>97.010651118928493</v>
      </c>
      <c r="AK8054">
        <v>15.2214160025955</v>
      </c>
      <c r="AL8054">
        <v>86.755068805522001</v>
      </c>
      <c r="AM8054">
        <v>95.549190757428207</v>
      </c>
      <c r="AN8054">
        <v>0.99999995970682298</v>
      </c>
    </row>
    <row r="8055" spans="1:40" x14ac:dyDescent="0.25">
      <c r="A8055" t="str">
        <f>"20190312150849436"</f>
        <v>20190312150849436</v>
      </c>
      <c r="B8055" t="str">
        <f>"1552374529427561"</f>
        <v>1552374529427561</v>
      </c>
      <c r="C8055" t="s">
        <v>40</v>
      </c>
      <c r="D8055">
        <v>4.5713650000000001</v>
      </c>
      <c r="E8055">
        <v>0.49188589999999999</v>
      </c>
      <c r="F8055" t="s">
        <v>42</v>
      </c>
      <c r="G8055">
        <v>-419.72620000000001</v>
      </c>
      <c r="H8055" s="1">
        <v>-7.1584590000000005E-7</v>
      </c>
      <c r="I8055">
        <v>51.188189999999999</v>
      </c>
      <c r="J8055">
        <v>-422.18819999999999</v>
      </c>
      <c r="K8055">
        <v>1.1122909999999999</v>
      </c>
      <c r="L8055">
        <v>66.496979999999994</v>
      </c>
      <c r="M8055">
        <v>3.7773729999999998E-2</v>
      </c>
      <c r="N8055">
        <v>0</v>
      </c>
      <c r="O8055">
        <v>-0.99921709999999997</v>
      </c>
      <c r="P8055">
        <v>0.13351660000000001</v>
      </c>
      <c r="Q8055">
        <v>4.5471980000000002E-2</v>
      </c>
      <c r="R8055">
        <v>-0.99000279999999996</v>
      </c>
      <c r="S8055">
        <v>0.47415160000000001</v>
      </c>
      <c r="T8055">
        <v>-0.21339859999999999</v>
      </c>
      <c r="U8055">
        <v>-2.9762569999999999</v>
      </c>
      <c r="V8055">
        <v>-9.6312659999999994E-2</v>
      </c>
      <c r="W8055">
        <v>5.668397E-2</v>
      </c>
      <c r="X8055">
        <v>0.99373579999999995</v>
      </c>
      <c r="Y8055">
        <v>-0.1195151</v>
      </c>
      <c r="Z8055">
        <v>7.0740490000000003E-2</v>
      </c>
      <c r="AA8055">
        <v>0.99030899999999999</v>
      </c>
      <c r="AB8055">
        <v>29</v>
      </c>
      <c r="AC8055">
        <v>2.4619999999999802</v>
      </c>
      <c r="AD8055">
        <v>-1.11229171584589</v>
      </c>
      <c r="AE8055">
        <v>-15.30879</v>
      </c>
      <c r="AF8055">
        <v>-1.87229781191161</v>
      </c>
      <c r="AG8055">
        <v>-1.11229171584589</v>
      </c>
      <c r="AH8055">
        <v>15.312073009521701</v>
      </c>
      <c r="AI8055">
        <v>94.124143523379203</v>
      </c>
      <c r="AJ8055">
        <v>96.971288085366098</v>
      </c>
      <c r="AK8055">
        <v>15.4661653879218</v>
      </c>
      <c r="AL8055">
        <v>86.7505060897942</v>
      </c>
      <c r="AM8055">
        <v>95.535804409301804</v>
      </c>
      <c r="AN8055">
        <v>1.0000000205664299</v>
      </c>
    </row>
    <row r="8056" spans="1:40" x14ac:dyDescent="0.25">
      <c r="A8056" t="str">
        <f>"20190312150849454"</f>
        <v>20190312150849454</v>
      </c>
      <c r="B8056" t="str">
        <f>"1552374529448057"</f>
        <v>1552374529448057</v>
      </c>
      <c r="C8056" t="s">
        <v>40</v>
      </c>
      <c r="D8056">
        <v>4.7096669999999996</v>
      </c>
      <c r="E8056">
        <v>0.49231540000000001</v>
      </c>
      <c r="F8056" t="s">
        <v>42</v>
      </c>
      <c r="G8056">
        <v>-419.73149999999998</v>
      </c>
      <c r="H8056" s="1">
        <v>-6.9678749999999896E-7</v>
      </c>
      <c r="I8056">
        <v>51.145989999999998</v>
      </c>
      <c r="J8056">
        <v>-422.17700000000002</v>
      </c>
      <c r="K8056">
        <v>1.112287</v>
      </c>
      <c r="L8056">
        <v>66.262879999999996</v>
      </c>
      <c r="M8056">
        <v>3.997618E-2</v>
      </c>
      <c r="N8056">
        <v>0</v>
      </c>
      <c r="O8056">
        <v>-0.99913160000000001</v>
      </c>
      <c r="P8056">
        <v>0.13605320000000001</v>
      </c>
      <c r="Q8056">
        <v>4.5069709999999999E-2</v>
      </c>
      <c r="R8056">
        <v>-0.98967640000000001</v>
      </c>
      <c r="S8056">
        <v>0.47625729999999999</v>
      </c>
      <c r="T8056">
        <v>-0.21563180000000001</v>
      </c>
      <c r="U8056">
        <v>-2.9759829999999998</v>
      </c>
      <c r="V8056">
        <v>-9.6665490000000007E-2</v>
      </c>
      <c r="W8056">
        <v>5.6281680000000001E-2</v>
      </c>
      <c r="X8056">
        <v>0.99372439999999995</v>
      </c>
      <c r="Y8056">
        <v>-0.1180158</v>
      </c>
      <c r="Z8056">
        <v>7.1476789999999998E-2</v>
      </c>
      <c r="AA8056">
        <v>0.99043599999999998</v>
      </c>
      <c r="AB8056">
        <v>29</v>
      </c>
      <c r="AC8056">
        <v>2.44549999999998</v>
      </c>
      <c r="AD8056">
        <v>-1.1122876967874999</v>
      </c>
      <c r="AE8056">
        <v>-15.11689</v>
      </c>
      <c r="AF8056">
        <v>-1.8295353780511501</v>
      </c>
      <c r="AG8056">
        <v>-1.1122876967874999</v>
      </c>
      <c r="AH8056">
        <v>15.1227877924261</v>
      </c>
      <c r="AI8056">
        <v>94.176214056870506</v>
      </c>
      <c r="AJ8056">
        <v>96.898046989664806</v>
      </c>
      <c r="AK8056">
        <v>15.2736077674765</v>
      </c>
      <c r="AL8056">
        <v>86.7735924425468</v>
      </c>
      <c r="AM8056">
        <v>95.556020850160095</v>
      </c>
      <c r="AN8056">
        <v>1.0000000138079601</v>
      </c>
    </row>
    <row r="8057" spans="1:40" x14ac:dyDescent="0.25">
      <c r="A8057" t="str">
        <f>"20190312150849477"</f>
        <v>20190312150849477</v>
      </c>
      <c r="B8057" t="str">
        <f>"1552374529467576"</f>
        <v>1552374529467576</v>
      </c>
      <c r="C8057" t="s">
        <v>40</v>
      </c>
      <c r="D8057">
        <v>4.6673479999999996</v>
      </c>
      <c r="E8057">
        <v>0.49283900000000003</v>
      </c>
      <c r="F8057" t="s">
        <v>42</v>
      </c>
      <c r="G8057">
        <v>-419.71120000000002</v>
      </c>
      <c r="H8057" s="1">
        <v>-6.3154600000000001E-7</v>
      </c>
      <c r="I8057">
        <v>50.985529999999997</v>
      </c>
      <c r="J8057">
        <v>-422.16269999999997</v>
      </c>
      <c r="K8057">
        <v>1.112277</v>
      </c>
      <c r="L8057">
        <v>65.977509999999995</v>
      </c>
      <c r="M8057">
        <v>4.2647820000000003E-2</v>
      </c>
      <c r="N8057">
        <v>0</v>
      </c>
      <c r="O8057">
        <v>-0.99902080000000004</v>
      </c>
      <c r="P8057">
        <v>0.13932</v>
      </c>
      <c r="Q8057">
        <v>4.4759170000000001E-2</v>
      </c>
      <c r="R8057">
        <v>-0.98923539999999999</v>
      </c>
      <c r="S8057">
        <v>0.48019410000000001</v>
      </c>
      <c r="T8057">
        <v>-0.21661040000000001</v>
      </c>
      <c r="U8057">
        <v>-2.9751590000000001</v>
      </c>
      <c r="V8057">
        <v>-9.7286020000000001E-2</v>
      </c>
      <c r="W8057">
        <v>5.5970800000000001E-2</v>
      </c>
      <c r="X8057">
        <v>0.99368140000000005</v>
      </c>
      <c r="Y8057">
        <v>-0.1166769</v>
      </c>
      <c r="Z8057">
        <v>7.1805380000000002E-2</v>
      </c>
      <c r="AA8057">
        <v>0.99057079999999997</v>
      </c>
      <c r="AB8057">
        <v>29</v>
      </c>
      <c r="AC8057">
        <v>2.4514999999999501</v>
      </c>
      <c r="AD8057">
        <v>-1.1122776315459999</v>
      </c>
      <c r="AE8057">
        <v>-14.9919799999999</v>
      </c>
      <c r="AF8057">
        <v>-1.80019873604832</v>
      </c>
      <c r="AG8057">
        <v>-1.1122776315459999</v>
      </c>
      <c r="AH8057">
        <v>15.002467601251</v>
      </c>
      <c r="AI8057">
        <v>94.210040318127497</v>
      </c>
      <c r="AJ8057">
        <v>96.842406803385998</v>
      </c>
      <c r="AK8057">
        <v>15.1509706337743</v>
      </c>
      <c r="AL8057">
        <v>86.791432671772995</v>
      </c>
      <c r="AM8057">
        <v>95.591702039165398</v>
      </c>
      <c r="AN8057">
        <v>1.0000000124230199</v>
      </c>
    </row>
    <row r="8058" spans="1:40" x14ac:dyDescent="0.25">
      <c r="A8058" t="str">
        <f>"20190312150849498"</f>
        <v>20190312150849498</v>
      </c>
      <c r="B8058" t="str">
        <f>"1552374529488073"</f>
        <v>1552374529488073</v>
      </c>
      <c r="C8058" t="s">
        <v>40</v>
      </c>
      <c r="D8058">
        <v>4.6025580000000001</v>
      </c>
      <c r="E8058">
        <v>0.49338179999999998</v>
      </c>
      <c r="F8058" t="s">
        <v>42</v>
      </c>
      <c r="G8058">
        <v>-419.67899999999997</v>
      </c>
      <c r="H8058" s="1">
        <v>-5.4612849999999999E-7</v>
      </c>
      <c r="I8058">
        <v>50.773060000000001</v>
      </c>
      <c r="J8058">
        <v>-422.14780000000002</v>
      </c>
      <c r="K8058">
        <v>1.1122620000000001</v>
      </c>
      <c r="L8058">
        <v>65.693629999999999</v>
      </c>
      <c r="M8058">
        <v>4.5287540000000001E-2</v>
      </c>
      <c r="N8058">
        <v>0</v>
      </c>
      <c r="O8058">
        <v>-0.99890469999999998</v>
      </c>
      <c r="P8058">
        <v>0.14201949999999999</v>
      </c>
      <c r="Q8058">
        <v>4.5003840000000003E-2</v>
      </c>
      <c r="R8058">
        <v>-0.98884050000000001</v>
      </c>
      <c r="S8058">
        <v>0.48583979999999999</v>
      </c>
      <c r="T8058">
        <v>-0.21756880000000001</v>
      </c>
      <c r="U8058">
        <v>-2.974091</v>
      </c>
      <c r="V8058">
        <v>-9.7372790000000001E-2</v>
      </c>
      <c r="W8058">
        <v>5.6218360000000002E-2</v>
      </c>
      <c r="X8058">
        <v>0.99365890000000001</v>
      </c>
      <c r="Y8058">
        <v>-0.1159369</v>
      </c>
      <c r="Z8058">
        <v>7.2126579999999996E-2</v>
      </c>
      <c r="AA8058">
        <v>0.99063429999999997</v>
      </c>
      <c r="AB8058">
        <v>29</v>
      </c>
      <c r="AC8058">
        <v>2.4687999999999799</v>
      </c>
      <c r="AD8058">
        <v>-1.1122625461285001</v>
      </c>
      <c r="AE8058">
        <v>-14.9205699999999</v>
      </c>
      <c r="AF8058">
        <v>-1.7808712979171899</v>
      </c>
      <c r="AG8058">
        <v>-1.1122625461285001</v>
      </c>
      <c r="AH8058">
        <v>14.936283170661101</v>
      </c>
      <c r="AI8058">
        <v>94.228949595359396</v>
      </c>
      <c r="AJ8058">
        <v>96.799347032742105</v>
      </c>
      <c r="AK8058">
        <v>15.083142428069801</v>
      </c>
      <c r="AL8058">
        <v>86.777226077638403</v>
      </c>
      <c r="AM8058">
        <v>95.596783587147598</v>
      </c>
      <c r="AN8058">
        <v>0.99999998689134095</v>
      </c>
    </row>
    <row r="8059" spans="1:40" x14ac:dyDescent="0.25">
      <c r="A8059" t="str">
        <f>"20190312150849516"</f>
        <v>20190312150849516</v>
      </c>
      <c r="B8059" t="str">
        <f>"1552374529507595"</f>
        <v>1552374529507595</v>
      </c>
      <c r="C8059" t="s">
        <v>40</v>
      </c>
      <c r="D8059">
        <v>4.8034990000000004</v>
      </c>
      <c r="E8059">
        <v>0.4937531</v>
      </c>
      <c r="F8059" t="s">
        <v>42</v>
      </c>
      <c r="G8059">
        <v>-419.67779999999999</v>
      </c>
      <c r="H8059" s="1">
        <v>-5.1659079999999898E-7</v>
      </c>
      <c r="I8059">
        <v>50.703740000000003</v>
      </c>
      <c r="J8059">
        <v>-422.13600000000002</v>
      </c>
      <c r="K8059">
        <v>1.11225</v>
      </c>
      <c r="L8059">
        <v>65.480530000000002</v>
      </c>
      <c r="M8059">
        <v>4.7254909999999997E-2</v>
      </c>
      <c r="N8059">
        <v>0</v>
      </c>
      <c r="O8059">
        <v>-0.99881359999999997</v>
      </c>
      <c r="P8059">
        <v>0.14453579999999999</v>
      </c>
      <c r="Q8059">
        <v>4.4775540000000003E-2</v>
      </c>
      <c r="R8059">
        <v>-0.98848610000000003</v>
      </c>
      <c r="S8059">
        <v>0.4899597</v>
      </c>
      <c r="T8059">
        <v>-0.22063930000000001</v>
      </c>
      <c r="U8059">
        <v>-2.973541</v>
      </c>
      <c r="V8059">
        <v>-9.7941669999999995E-2</v>
      </c>
      <c r="W8059">
        <v>5.5990320000000003E-2</v>
      </c>
      <c r="X8059">
        <v>0.9936159</v>
      </c>
      <c r="Y8059">
        <v>-0.1153343</v>
      </c>
      <c r="Z8059">
        <v>7.3136779999999998E-2</v>
      </c>
      <c r="AA8059">
        <v>0.99063060000000003</v>
      </c>
      <c r="AB8059">
        <v>29</v>
      </c>
      <c r="AC8059">
        <v>2.45819999999997</v>
      </c>
      <c r="AD8059">
        <v>-1.1122505165908001</v>
      </c>
      <c r="AE8059">
        <v>-14.776789999999901</v>
      </c>
      <c r="AF8059">
        <v>-1.7474953003823901</v>
      </c>
      <c r="AG8059">
        <v>-1.1122505165908001</v>
      </c>
      <c r="AH8059">
        <v>14.794885562901399</v>
      </c>
      <c r="AI8059">
        <v>94.269727487126602</v>
      </c>
      <c r="AJ8059">
        <v>96.736270442724205</v>
      </c>
      <c r="AK8059">
        <v>14.9391927444512</v>
      </c>
      <c r="AL8059">
        <v>86.790312531375506</v>
      </c>
      <c r="AM8059">
        <v>95.629514252986297</v>
      </c>
      <c r="AN8059">
        <v>1.00000002169445</v>
      </c>
    </row>
    <row r="8060" spans="1:40" x14ac:dyDescent="0.25">
      <c r="A8060" t="str">
        <f>"20190312150849532"</f>
        <v>20190312150849532</v>
      </c>
      <c r="B8060" t="str">
        <f>"1552374529528089"</f>
        <v>1552374529528089</v>
      </c>
      <c r="C8060" t="s">
        <v>40</v>
      </c>
      <c r="D8060">
        <v>4.7816150000000004</v>
      </c>
      <c r="E8060">
        <v>0.4941506</v>
      </c>
      <c r="F8060" t="s">
        <v>42</v>
      </c>
      <c r="G8060">
        <v>-419.64490000000001</v>
      </c>
      <c r="H8060" s="1">
        <v>-4.3550590000000002E-7</v>
      </c>
      <c r="I8060">
        <v>50.50112</v>
      </c>
      <c r="J8060">
        <v>-422.12349999999998</v>
      </c>
      <c r="K8060">
        <v>1.1122369999999999</v>
      </c>
      <c r="L8060">
        <v>65.260530000000003</v>
      </c>
      <c r="M8060">
        <v>4.9272139999999999E-2</v>
      </c>
      <c r="N8060">
        <v>0</v>
      </c>
      <c r="O8060">
        <v>-0.9987161</v>
      </c>
      <c r="P8060">
        <v>0.1469443</v>
      </c>
      <c r="Q8060">
        <v>4.447044E-2</v>
      </c>
      <c r="R8060">
        <v>-0.98814469999999999</v>
      </c>
      <c r="S8060">
        <v>0.49435420000000002</v>
      </c>
      <c r="T8060">
        <v>-0.22072549999999999</v>
      </c>
      <c r="U8060">
        <v>-2.9726560000000002</v>
      </c>
      <c r="V8060">
        <v>-9.8352690000000006E-2</v>
      </c>
      <c r="W8060">
        <v>5.5686090000000001E-2</v>
      </c>
      <c r="X8060">
        <v>0.99359240000000004</v>
      </c>
      <c r="Y8060">
        <v>-0.1148005</v>
      </c>
      <c r="Z8060">
        <v>7.3169399999999996E-2</v>
      </c>
      <c r="AA8060">
        <v>0.99069019999999997</v>
      </c>
      <c r="AB8060">
        <v>29</v>
      </c>
      <c r="AC8060">
        <v>2.4785999999999699</v>
      </c>
      <c r="AD8060">
        <v>-1.1122374355058999</v>
      </c>
      <c r="AE8060">
        <v>-14.759410000000001</v>
      </c>
      <c r="AF8060">
        <v>-1.7387080380686799</v>
      </c>
      <c r="AG8060">
        <v>-1.1122374355058999</v>
      </c>
      <c r="AH8060">
        <v>14.781973445861199</v>
      </c>
      <c r="AI8060">
        <v>94.273636400645799</v>
      </c>
      <c r="AJ8060">
        <v>96.708507645035098</v>
      </c>
      <c r="AK8060">
        <v>14.9253782769057</v>
      </c>
      <c r="AL8060">
        <v>86.807770873929798</v>
      </c>
      <c r="AM8060">
        <v>95.653119091978397</v>
      </c>
      <c r="AN8060">
        <v>1.00000002479374</v>
      </c>
    </row>
    <row r="8061" spans="1:40" x14ac:dyDescent="0.25">
      <c r="A8061" t="str">
        <f>"20190312150849555"</f>
        <v>20190312150849555</v>
      </c>
      <c r="B8061" t="str">
        <f>"1552374529547610"</f>
        <v>1552374529547610</v>
      </c>
      <c r="C8061" t="s">
        <v>40</v>
      </c>
      <c r="D8061">
        <v>4.7166139999999999</v>
      </c>
      <c r="E8061">
        <v>0.4946044</v>
      </c>
      <c r="F8061" t="s">
        <v>42</v>
      </c>
      <c r="G8061">
        <v>-419.5926</v>
      </c>
      <c r="H8061" s="1">
        <v>-3.0416040000000001E-7</v>
      </c>
      <c r="I8061">
        <v>50.173319999999997</v>
      </c>
      <c r="J8061">
        <v>-422.10610000000003</v>
      </c>
      <c r="K8061">
        <v>1.112215</v>
      </c>
      <c r="L8061">
        <v>64.966920000000002</v>
      </c>
      <c r="M8061">
        <v>5.1938720000000001E-2</v>
      </c>
      <c r="N8061">
        <v>0</v>
      </c>
      <c r="O8061">
        <v>-0.99858089999999999</v>
      </c>
      <c r="P8061">
        <v>0.149955</v>
      </c>
      <c r="Q8061">
        <v>4.4833459999999999E-2</v>
      </c>
      <c r="R8061">
        <v>-0.98767579999999999</v>
      </c>
      <c r="S8061">
        <v>0.49850460000000002</v>
      </c>
      <c r="T8061">
        <v>-0.2190762</v>
      </c>
      <c r="U8061">
        <v>-2.9717099999999999</v>
      </c>
      <c r="V8061">
        <v>-9.8727319999999993E-2</v>
      </c>
      <c r="W8061">
        <v>5.6052200000000003E-2</v>
      </c>
      <c r="X8061">
        <v>0.99353460000000005</v>
      </c>
      <c r="Y8061">
        <v>-0.1135515</v>
      </c>
      <c r="Z8061">
        <v>7.2630500000000001E-2</v>
      </c>
      <c r="AA8061">
        <v>0.99087380000000003</v>
      </c>
      <c r="AB8061">
        <v>29</v>
      </c>
      <c r="AC8061">
        <v>2.5135000000000201</v>
      </c>
      <c r="AD8061">
        <v>-1.1122153041603999</v>
      </c>
      <c r="AE8061">
        <v>-14.7935999999999</v>
      </c>
      <c r="AF8061">
        <v>-1.7321769261528901</v>
      </c>
      <c r="AG8061">
        <v>-1.1122153041603999</v>
      </c>
      <c r="AH8061">
        <v>14.822754129326601</v>
      </c>
      <c r="AI8061">
        <v>94.262212875284504</v>
      </c>
      <c r="AJ8061">
        <v>96.665314642456195</v>
      </c>
      <c r="AK8061">
        <v>14.9650091802436</v>
      </c>
      <c r="AL8061">
        <v>86.786761316427999</v>
      </c>
      <c r="AM8061">
        <v>95.674839786309406</v>
      </c>
      <c r="AN8061">
        <v>0.99999996711818995</v>
      </c>
    </row>
    <row r="8062" spans="1:40" x14ac:dyDescent="0.25">
      <c r="A8062" t="str">
        <f>"20190312150849572"</f>
        <v>20190312150849572</v>
      </c>
      <c r="B8062" t="str">
        <f>"1552374529568106"</f>
        <v>1552374529568106</v>
      </c>
      <c r="C8062" t="s">
        <v>40</v>
      </c>
      <c r="D8062">
        <v>4.628349</v>
      </c>
      <c r="E8062">
        <v>0.49494480000000002</v>
      </c>
      <c r="F8062" t="s">
        <v>42</v>
      </c>
      <c r="G8062">
        <v>-419.53570000000002</v>
      </c>
      <c r="H8062" s="1">
        <v>-1.8097000000000001E-7</v>
      </c>
      <c r="I8062">
        <v>49.816850000000002</v>
      </c>
      <c r="J8062">
        <v>-422.09339999999997</v>
      </c>
      <c r="K8062">
        <v>1.112201</v>
      </c>
      <c r="L8062">
        <v>64.760530000000003</v>
      </c>
      <c r="M8062">
        <v>5.3796320000000002E-2</v>
      </c>
      <c r="N8062">
        <v>0</v>
      </c>
      <c r="O8062">
        <v>-0.9984826</v>
      </c>
      <c r="P8062">
        <v>0.1519093</v>
      </c>
      <c r="Q8062">
        <v>4.4803589999999997E-2</v>
      </c>
      <c r="R8062">
        <v>-0.9873788</v>
      </c>
      <c r="S8062">
        <v>0.50402829999999998</v>
      </c>
      <c r="T8062">
        <v>-0.21809780000000001</v>
      </c>
      <c r="U8062">
        <v>-2.970825</v>
      </c>
      <c r="V8062">
        <v>-9.8843520000000004E-2</v>
      </c>
      <c r="W8062">
        <v>5.6025070000000003E-2</v>
      </c>
      <c r="X8062">
        <v>0.99352459999999998</v>
      </c>
      <c r="Y8062">
        <v>-0.1135467</v>
      </c>
      <c r="Z8062">
        <v>7.2307289999999996E-2</v>
      </c>
      <c r="AA8062">
        <v>0.99089799999999995</v>
      </c>
      <c r="AB8062">
        <v>29</v>
      </c>
      <c r="AC8062">
        <v>2.5576999999999499</v>
      </c>
      <c r="AD8062">
        <v>-1.1122011809700001</v>
      </c>
      <c r="AE8062">
        <v>-14.943679999999899</v>
      </c>
      <c r="AF8062">
        <v>-1.7406575722564599</v>
      </c>
      <c r="AG8062">
        <v>-1.1122011809700001</v>
      </c>
      <c r="AH8062">
        <v>14.979030615406099</v>
      </c>
      <c r="AI8062">
        <v>94.218168636078104</v>
      </c>
      <c r="AJ8062">
        <v>96.628400223931393</v>
      </c>
      <c r="AK8062">
        <v>15.120788287258</v>
      </c>
      <c r="AL8062">
        <v>86.788318272181797</v>
      </c>
      <c r="AM8062">
        <v>95.6815320936783</v>
      </c>
      <c r="AN8062">
        <v>0.99999999035982701</v>
      </c>
    </row>
    <row r="8063" spans="1:40" x14ac:dyDescent="0.25">
      <c r="A8063" t="str">
        <f>"20190312150849588"</f>
        <v>20190312150849588</v>
      </c>
      <c r="B8063" t="str">
        <f>"1552374529577865"</f>
        <v>1552374529577865</v>
      </c>
      <c r="C8063" t="s">
        <v>40</v>
      </c>
      <c r="D8063">
        <v>4.8904239999999897</v>
      </c>
      <c r="E8063">
        <v>0.49517329999999998</v>
      </c>
      <c r="F8063" t="s">
        <v>42</v>
      </c>
      <c r="G8063">
        <v>-419.5197</v>
      </c>
      <c r="H8063" s="1">
        <v>-1.4360520000000001E-7</v>
      </c>
      <c r="I8063">
        <v>49.694499999999998</v>
      </c>
      <c r="J8063">
        <v>-422.07990000000001</v>
      </c>
      <c r="K8063">
        <v>1.1121859999999999</v>
      </c>
      <c r="L8063">
        <v>64.545810000000003</v>
      </c>
      <c r="M8063">
        <v>5.5713760000000001E-2</v>
      </c>
      <c r="N8063">
        <v>0</v>
      </c>
      <c r="O8063">
        <v>-0.99837739999999997</v>
      </c>
      <c r="P8063">
        <v>0.154160299999999</v>
      </c>
      <c r="Q8063">
        <v>4.4919510000000003E-2</v>
      </c>
      <c r="R8063">
        <v>-0.98702449999999997</v>
      </c>
      <c r="S8063">
        <v>0.50741579999999997</v>
      </c>
      <c r="T8063">
        <v>-0.21926889999999999</v>
      </c>
      <c r="U8063">
        <v>-2.9702449999999998</v>
      </c>
      <c r="V8063">
        <v>-9.9200079999999996E-2</v>
      </c>
      <c r="W8063">
        <v>5.6143140000000001E-2</v>
      </c>
      <c r="X8063">
        <v>0.99348239999999999</v>
      </c>
      <c r="Y8063">
        <v>-0.11276419999999999</v>
      </c>
      <c r="Z8063">
        <v>7.2692300000000001E-2</v>
      </c>
      <c r="AA8063">
        <v>0.99095919999999904</v>
      </c>
      <c r="AB8063">
        <v>29</v>
      </c>
      <c r="AC8063">
        <v>2.5602</v>
      </c>
      <c r="AD8063">
        <v>-1.1121861436051901</v>
      </c>
      <c r="AE8063">
        <v>-14.85131</v>
      </c>
      <c r="AF8063">
        <v>-1.71937888210809</v>
      </c>
      <c r="AG8063">
        <v>-1.1121861436051901</v>
      </c>
      <c r="AH8063">
        <v>14.8897924095498</v>
      </c>
      <c r="AI8063">
        <v>94.243654000023298</v>
      </c>
      <c r="AJ8063">
        <v>96.586979665169906</v>
      </c>
      <c r="AK8063">
        <v>15.0299414422596</v>
      </c>
      <c r="AL8063">
        <v>86.781542705351598</v>
      </c>
      <c r="AM8063">
        <v>95.702132979777005</v>
      </c>
      <c r="AN8063">
        <v>0.99999999357541203</v>
      </c>
    </row>
    <row r="8064" spans="1:40" x14ac:dyDescent="0.25">
      <c r="A8064" t="str">
        <f>"20190312150849610"</f>
        <v>20190312150849610</v>
      </c>
      <c r="B8064" t="str">
        <f>"1552374529598361"</f>
        <v>1552374529598361</v>
      </c>
      <c r="C8064" t="s">
        <v>40</v>
      </c>
      <c r="D8064">
        <v>4.6484730000000001</v>
      </c>
      <c r="E8064">
        <v>0.49555929999999998</v>
      </c>
      <c r="F8064" t="s">
        <v>42</v>
      </c>
      <c r="G8064">
        <v>-419.46710000000002</v>
      </c>
      <c r="H8064" s="1">
        <v>-4.2882220000000001E-6</v>
      </c>
      <c r="I8064">
        <v>49.408380000000001</v>
      </c>
      <c r="J8064">
        <v>-422.06150000000002</v>
      </c>
      <c r="K8064">
        <v>1.1121589999999999</v>
      </c>
      <c r="L8064">
        <v>64.26437</v>
      </c>
      <c r="M8064">
        <v>5.8199920000000002E-2</v>
      </c>
      <c r="N8064">
        <v>0</v>
      </c>
      <c r="O8064">
        <v>-0.99823580000000001</v>
      </c>
      <c r="P8064">
        <v>0.15680520000000001</v>
      </c>
      <c r="Q8064">
        <v>4.4492480000000001E-2</v>
      </c>
      <c r="R8064">
        <v>-0.98662720000000004</v>
      </c>
      <c r="S8064">
        <v>0.51251219999999997</v>
      </c>
      <c r="T8064">
        <v>-0.2181652</v>
      </c>
      <c r="U8064">
        <v>-2.9693299999999998</v>
      </c>
      <c r="V8064">
        <v>-9.9382449999999997E-2</v>
      </c>
      <c r="W8064">
        <v>5.5720369999999998E-2</v>
      </c>
      <c r="X8064">
        <v>0.99348800000000004</v>
      </c>
      <c r="Y8064">
        <v>-0.1119971</v>
      </c>
      <c r="Z8064">
        <v>7.2327610000000001E-2</v>
      </c>
      <c r="AA8064">
        <v>0.99107279999999998</v>
      </c>
      <c r="AB8064">
        <v>29</v>
      </c>
      <c r="AC8064">
        <v>2.5943999999999998</v>
      </c>
      <c r="AD8064">
        <v>-1.1121632882220001</v>
      </c>
      <c r="AE8064">
        <v>-14.855989999999901</v>
      </c>
      <c r="AF8064">
        <v>-1.71599204353246</v>
      </c>
      <c r="AG8064">
        <v>-1.1121632882220001</v>
      </c>
      <c r="AH8064">
        <v>14.900769877681499</v>
      </c>
      <c r="AI8064">
        <v>94.240602456327395</v>
      </c>
      <c r="AJ8064">
        <v>96.569317466039294</v>
      </c>
      <c r="AK8064">
        <v>15.040428146191701</v>
      </c>
      <c r="AL8064">
        <v>86.805803700502196</v>
      </c>
      <c r="AM8064">
        <v>95.712514557224793</v>
      </c>
      <c r="AN8064">
        <v>1.00000001857246</v>
      </c>
    </row>
    <row r="8065" spans="1:40" x14ac:dyDescent="0.25">
      <c r="A8065" t="str">
        <f>"20190312150849624"</f>
        <v>20190312150849624</v>
      </c>
      <c r="B8065" t="str">
        <f>"1552374529617880"</f>
        <v>1552374529617880</v>
      </c>
      <c r="C8065" t="s">
        <v>40</v>
      </c>
      <c r="D8065">
        <v>4.6274940000000004</v>
      </c>
      <c r="E8065">
        <v>0.49595929999999999</v>
      </c>
      <c r="F8065" t="s">
        <v>42</v>
      </c>
      <c r="G8065">
        <v>-419.42419999999998</v>
      </c>
      <c r="H8065" s="1">
        <v>-4.1774500000000001E-6</v>
      </c>
      <c r="I8065">
        <v>49.13241</v>
      </c>
      <c r="J8065">
        <v>-422.04910000000001</v>
      </c>
      <c r="K8065">
        <v>1.1121460000000001</v>
      </c>
      <c r="L8065">
        <v>64.079650000000001</v>
      </c>
      <c r="M8065">
        <v>5.9818429999999999E-2</v>
      </c>
      <c r="N8065">
        <v>0</v>
      </c>
      <c r="O8065">
        <v>-0.99814009999999997</v>
      </c>
      <c r="P8065">
        <v>0.15843750000000001</v>
      </c>
      <c r="Q8065">
        <v>4.4249490000000002E-2</v>
      </c>
      <c r="R8065">
        <v>-0.98637710000000001</v>
      </c>
      <c r="S8065">
        <v>0.51733399999999996</v>
      </c>
      <c r="T8065">
        <v>-0.21816240000000001</v>
      </c>
      <c r="U8065">
        <v>-2.9682919999999999</v>
      </c>
      <c r="V8065">
        <v>-9.9412189999999998E-2</v>
      </c>
      <c r="W8065">
        <v>5.5480410000000001E-2</v>
      </c>
      <c r="X8065">
        <v>0.9934984</v>
      </c>
      <c r="Y8065">
        <v>-0.1120068</v>
      </c>
      <c r="Z8065">
        <v>7.2331129999999993E-2</v>
      </c>
      <c r="AA8065">
        <v>0.99107149999999999</v>
      </c>
      <c r="AB8065">
        <v>29</v>
      </c>
      <c r="AC8065">
        <v>2.6249000000000202</v>
      </c>
      <c r="AD8065">
        <v>-1.11215017744999</v>
      </c>
      <c r="AE8065">
        <v>-14.947239999999899</v>
      </c>
      <c r="AF8065">
        <v>-1.7167966617246899</v>
      </c>
      <c r="AG8065">
        <v>-1.11215017744999</v>
      </c>
      <c r="AH8065">
        <v>14.996957124485901</v>
      </c>
      <c r="AI8065">
        <v>94.213778822389799</v>
      </c>
      <c r="AJ8065">
        <v>96.530582371511997</v>
      </c>
      <c r="AK8065">
        <v>15.135818173742001</v>
      </c>
      <c r="AL8065">
        <v>86.819573526099006</v>
      </c>
      <c r="AM8065">
        <v>95.714153283800798</v>
      </c>
      <c r="AN8065">
        <v>0.99999996510846101</v>
      </c>
    </row>
    <row r="8066" spans="1:40" x14ac:dyDescent="0.25">
      <c r="A8066" t="str">
        <f>"20190312150849636"</f>
        <v>20190312150849636</v>
      </c>
      <c r="B8066" t="str">
        <f>"1552374529627641"</f>
        <v>1552374529627641</v>
      </c>
      <c r="C8066" t="s">
        <v>40</v>
      </c>
      <c r="D8066">
        <v>4.5987210000000003</v>
      </c>
      <c r="E8066">
        <v>0.49613079999999998</v>
      </c>
      <c r="F8066" t="s">
        <v>42</v>
      </c>
      <c r="G8066">
        <v>-419.41199999999998</v>
      </c>
      <c r="H8066" s="1">
        <v>-4.1213900000000002E-6</v>
      </c>
      <c r="I8066">
        <v>48.996729999999999</v>
      </c>
      <c r="J8066">
        <v>-422.03800000000001</v>
      </c>
      <c r="K8066">
        <v>1.112133</v>
      </c>
      <c r="L8066">
        <v>63.919130000000003</v>
      </c>
      <c r="M8066">
        <v>6.1210479999999998E-2</v>
      </c>
      <c r="N8066">
        <v>0</v>
      </c>
      <c r="O8066">
        <v>-0.99805549999999998</v>
      </c>
      <c r="P8066">
        <v>0.15989239999999999</v>
      </c>
      <c r="Q8066">
        <v>4.4619569999999997E-2</v>
      </c>
      <c r="R8066">
        <v>-0.98612569999999999</v>
      </c>
      <c r="S8066">
        <v>0.51889039999999997</v>
      </c>
      <c r="T8066">
        <v>-0.2188398</v>
      </c>
      <c r="U8066">
        <v>-2.9678960000000001</v>
      </c>
      <c r="V8066">
        <v>-9.9493509999999993E-2</v>
      </c>
      <c r="W8066">
        <v>5.5852720000000002E-2</v>
      </c>
      <c r="X8066">
        <v>0.99346939999999995</v>
      </c>
      <c r="Y8066">
        <v>-0.1111448</v>
      </c>
      <c r="Z8066">
        <v>7.2555149999999999E-2</v>
      </c>
      <c r="AA8066">
        <v>0.99115220000000004</v>
      </c>
      <c r="AB8066">
        <v>29</v>
      </c>
      <c r="AC8066">
        <v>2.6260000000000301</v>
      </c>
      <c r="AD8066">
        <v>-1.11213712139</v>
      </c>
      <c r="AE8066">
        <v>-14.9224</v>
      </c>
      <c r="AF8066">
        <v>-1.6984541617819899</v>
      </c>
      <c r="AG8066">
        <v>-1.11213712139</v>
      </c>
      <c r="AH8066">
        <v>14.9744883556196</v>
      </c>
      <c r="AI8066">
        <v>94.220527443539694</v>
      </c>
      <c r="AJ8066">
        <v>96.471014878161398</v>
      </c>
      <c r="AK8066">
        <v>15.1114822909281</v>
      </c>
      <c r="AL8066">
        <v>86.798208610844696</v>
      </c>
      <c r="AM8066">
        <v>95.718962367529599</v>
      </c>
      <c r="AN8066">
        <v>0.99999996679993797</v>
      </c>
    </row>
    <row r="8067" spans="1:40" x14ac:dyDescent="0.25">
      <c r="A8067" t="str">
        <f>"20190312150849656"</f>
        <v>20190312150849656</v>
      </c>
      <c r="B8067" t="str">
        <f>"1552374529648136"</f>
        <v>1552374529648136</v>
      </c>
      <c r="C8067" t="s">
        <v>40</v>
      </c>
      <c r="D8067">
        <v>4.5678700000000001</v>
      </c>
      <c r="E8067">
        <v>0.49651190000000001</v>
      </c>
      <c r="F8067" t="s">
        <v>42</v>
      </c>
      <c r="G8067">
        <v>-419.38229999999999</v>
      </c>
      <c r="H8067" s="1">
        <v>-4.0559490000000003E-6</v>
      </c>
      <c r="I8067">
        <v>48.831859999999999</v>
      </c>
      <c r="J8067">
        <v>-422.0206</v>
      </c>
      <c r="K8067">
        <v>1.1121160000000001</v>
      </c>
      <c r="L8067">
        <v>63.672669999999997</v>
      </c>
      <c r="M8067">
        <v>6.3331899999999997E-2</v>
      </c>
      <c r="N8067">
        <v>0</v>
      </c>
      <c r="O8067">
        <v>-0.99792309999999995</v>
      </c>
      <c r="P8067">
        <v>0.16183549999999999</v>
      </c>
      <c r="Q8067">
        <v>4.4698080000000001E-2</v>
      </c>
      <c r="R8067">
        <v>-0.98580509999999999</v>
      </c>
      <c r="S8067">
        <v>0.52233890000000005</v>
      </c>
      <c r="T8067">
        <v>-0.2187383</v>
      </c>
      <c r="U8067">
        <v>-2.9674070000000001</v>
      </c>
      <c r="V8067">
        <v>-9.93372E-2</v>
      </c>
      <c r="W8067">
        <v>5.5936520000000003E-2</v>
      </c>
      <c r="X8067">
        <v>0.99348040000000004</v>
      </c>
      <c r="Y8067">
        <v>-0.1101779</v>
      </c>
      <c r="Z8067">
        <v>7.2515670000000004E-2</v>
      </c>
      <c r="AA8067">
        <v>0.99126300000000001</v>
      </c>
      <c r="AB8067">
        <v>29</v>
      </c>
      <c r="AC8067">
        <v>2.6383000000000099</v>
      </c>
      <c r="AD8067">
        <v>-1.1121200559490001</v>
      </c>
      <c r="AE8067">
        <v>-14.8408099999999</v>
      </c>
      <c r="AF8067">
        <v>-1.6838750015305499</v>
      </c>
      <c r="AG8067">
        <v>-1.1121200559490001</v>
      </c>
      <c r="AH8067">
        <v>14.8970219606393</v>
      </c>
      <c r="AI8067">
        <v>94.242513686148698</v>
      </c>
      <c r="AJ8067">
        <v>96.449017559733207</v>
      </c>
      <c r="AK8067">
        <v>15.0330805005293</v>
      </c>
      <c r="AL8067">
        <v>86.793399939448506</v>
      </c>
      <c r="AM8067">
        <v>95.709974164497794</v>
      </c>
      <c r="AN8067">
        <v>1.00000003937885</v>
      </c>
    </row>
    <row r="8068" spans="1:40" x14ac:dyDescent="0.25">
      <c r="A8068" t="str">
        <f>"20190312150849678"</f>
        <v>20190312150849678</v>
      </c>
      <c r="B8068" t="str">
        <f>"1552374529667657"</f>
        <v>1552374529667657</v>
      </c>
      <c r="C8068" t="s">
        <v>40</v>
      </c>
      <c r="D8068">
        <v>4.5718239999999897</v>
      </c>
      <c r="E8068">
        <v>0.49691540000000001</v>
      </c>
      <c r="F8068" t="s">
        <v>42</v>
      </c>
      <c r="G8068">
        <v>-419.35649999999998</v>
      </c>
      <c r="H8068" s="1">
        <v>-3.9716509999999997E-6</v>
      </c>
      <c r="I8068">
        <v>48.624699999999997</v>
      </c>
      <c r="J8068">
        <v>-422</v>
      </c>
      <c r="K8068">
        <v>1.112096</v>
      </c>
      <c r="L8068">
        <v>63.388669999999998</v>
      </c>
      <c r="M8068">
        <v>6.5742220000000004E-2</v>
      </c>
      <c r="N8068">
        <v>0</v>
      </c>
      <c r="O8068">
        <v>-0.99776730000000002</v>
      </c>
      <c r="P8068">
        <v>0.1644921</v>
      </c>
      <c r="Q8068">
        <v>4.5318070000000002E-2</v>
      </c>
      <c r="R8068">
        <v>-0.98533709999999997</v>
      </c>
      <c r="S8068">
        <v>0.52526859999999997</v>
      </c>
      <c r="T8068">
        <v>-0.2192701</v>
      </c>
      <c r="U8068">
        <v>-2.9669189999999999</v>
      </c>
      <c r="V8068">
        <v>-9.9616499999999997E-2</v>
      </c>
      <c r="W8068">
        <v>5.6561130000000001E-2</v>
      </c>
      <c r="X8068">
        <v>0.99341699999999999</v>
      </c>
      <c r="Y8068">
        <v>-0.1087519</v>
      </c>
      <c r="Z8068">
        <v>7.2685310000000003E-2</v>
      </c>
      <c r="AA8068">
        <v>0.99140799999999996</v>
      </c>
      <c r="AB8068">
        <v>29</v>
      </c>
      <c r="AC8068">
        <v>2.6435000000000102</v>
      </c>
      <c r="AD8068">
        <v>-1.1120999716509901</v>
      </c>
      <c r="AE8068">
        <v>-14.76397</v>
      </c>
      <c r="AF8068">
        <v>-1.65798204252167</v>
      </c>
      <c r="AG8068">
        <v>-1.1120999716509901</v>
      </c>
      <c r="AH8068">
        <v>14.824328472939801</v>
      </c>
      <c r="AI8068">
        <v>94.2637266870274</v>
      </c>
      <c r="AJ8068">
        <v>96.381552657621</v>
      </c>
      <c r="AK8068">
        <v>14.9581544808805</v>
      </c>
      <c r="AL8068">
        <v>86.757555456053595</v>
      </c>
      <c r="AM8068">
        <v>95.726285000004907</v>
      </c>
      <c r="AN8068">
        <v>0.999999972194063</v>
      </c>
    </row>
    <row r="8069" spans="1:40" x14ac:dyDescent="0.25">
      <c r="A8069" t="str">
        <f>"20190312150849694"</f>
        <v>20190312150849694</v>
      </c>
      <c r="B8069" t="str">
        <f>"1552374529688153"</f>
        <v>1552374529688153</v>
      </c>
      <c r="C8069" t="s">
        <v>40</v>
      </c>
      <c r="D8069">
        <v>4.6170980000000004</v>
      </c>
      <c r="E8069">
        <v>0.49730609999999997</v>
      </c>
      <c r="F8069" t="s">
        <v>42</v>
      </c>
      <c r="G8069">
        <v>-419.2953</v>
      </c>
      <c r="H8069" s="1">
        <v>-3.8218049999999999E-6</v>
      </c>
      <c r="I8069">
        <v>48.250129999999999</v>
      </c>
      <c r="J8069">
        <v>-421.98540000000003</v>
      </c>
      <c r="K8069">
        <v>1.1120730000000001</v>
      </c>
      <c r="L8069">
        <v>63.193480000000001</v>
      </c>
      <c r="M8069">
        <v>6.7371470000000003E-2</v>
      </c>
      <c r="N8069">
        <v>0</v>
      </c>
      <c r="O8069">
        <v>-0.99765839999999995</v>
      </c>
      <c r="P8069">
        <v>0.1665546</v>
      </c>
      <c r="Q8069">
        <v>4.5338290000000003E-2</v>
      </c>
      <c r="R8069">
        <v>-0.98498949999999996</v>
      </c>
      <c r="S8069">
        <v>0.52993769999999996</v>
      </c>
      <c r="T8069">
        <v>-0.21790039999999999</v>
      </c>
      <c r="U8069">
        <v>-2.9661870000000001</v>
      </c>
      <c r="V8069">
        <v>-0.10007199999999999</v>
      </c>
      <c r="W8069">
        <v>5.6583990000000001E-2</v>
      </c>
      <c r="X8069">
        <v>0.99336990000000003</v>
      </c>
      <c r="Y8069">
        <v>-0.1086893</v>
      </c>
      <c r="Z8069">
        <v>7.2229810000000005E-2</v>
      </c>
      <c r="AA8069">
        <v>0.9914482</v>
      </c>
      <c r="AB8069">
        <v>29</v>
      </c>
      <c r="AC8069">
        <v>2.6901000000000201</v>
      </c>
      <c r="AD8069">
        <v>-1.1120768218049999</v>
      </c>
      <c r="AE8069">
        <v>-14.943350000000001</v>
      </c>
      <c r="AF8069">
        <v>-1.6682128149576401</v>
      </c>
      <c r="AG8069">
        <v>-1.1120768218049999</v>
      </c>
      <c r="AH8069">
        <v>15.010121414616499</v>
      </c>
      <c r="AI8069">
        <v>94.211379373575397</v>
      </c>
      <c r="AJ8069">
        <v>96.341781221690098</v>
      </c>
      <c r="AK8069">
        <v>15.143427410435001</v>
      </c>
      <c r="AL8069">
        <v>86.756243519838193</v>
      </c>
      <c r="AM8069">
        <v>95.752564359851803</v>
      </c>
      <c r="AN8069">
        <v>0.99999995566716404</v>
      </c>
    </row>
    <row r="8070" spans="1:40" x14ac:dyDescent="0.25">
      <c r="A8070" t="str">
        <f>"20190312150849706"</f>
        <v>20190312150849706</v>
      </c>
      <c r="B8070" t="str">
        <f>"1552374529697913"</f>
        <v>1552374529697913</v>
      </c>
      <c r="C8070" t="s">
        <v>40</v>
      </c>
      <c r="D8070">
        <v>4.59328</v>
      </c>
      <c r="E8070">
        <v>0.49750050000000001</v>
      </c>
      <c r="F8070" t="s">
        <v>42</v>
      </c>
      <c r="G8070">
        <v>-419.27969999999999</v>
      </c>
      <c r="H8070" s="1">
        <v>-3.7785400000000002E-6</v>
      </c>
      <c r="I8070">
        <v>48.142809999999997</v>
      </c>
      <c r="J8070">
        <v>-421.97230000000002</v>
      </c>
      <c r="K8070">
        <v>1.112053</v>
      </c>
      <c r="L8070">
        <v>63.0205699999999</v>
      </c>
      <c r="M8070">
        <v>6.8798670000000006E-2</v>
      </c>
      <c r="N8070">
        <v>0</v>
      </c>
      <c r="O8070">
        <v>-0.99756120000000004</v>
      </c>
      <c r="P8070">
        <v>0.168436999999999</v>
      </c>
      <c r="Q8070">
        <v>4.5090819999999997E-2</v>
      </c>
      <c r="R8070">
        <v>-0.98468080000000002</v>
      </c>
      <c r="S8070">
        <v>0.53314209999999995</v>
      </c>
      <c r="T8070">
        <v>-0.2191275</v>
      </c>
      <c r="U8070">
        <v>-2.9656370000000001</v>
      </c>
      <c r="V8070">
        <v>-0.1005447</v>
      </c>
      <c r="W8070">
        <v>5.6338810000000003E-2</v>
      </c>
      <c r="X8070">
        <v>0.99333610000000006</v>
      </c>
      <c r="Y8070">
        <v>-0.1083317</v>
      </c>
      <c r="Z8070">
        <v>7.263153E-2</v>
      </c>
      <c r="AA8070">
        <v>0.9914579</v>
      </c>
      <c r="AB8070">
        <v>29</v>
      </c>
      <c r="AC8070">
        <v>2.6926000000000201</v>
      </c>
      <c r="AD8070">
        <v>-1.11205677854</v>
      </c>
      <c r="AE8070">
        <v>-14.877759999999901</v>
      </c>
      <c r="AF8070">
        <v>-1.65363240413267</v>
      </c>
      <c r="AG8070">
        <v>-1.11205677854</v>
      </c>
      <c r="AH8070">
        <v>14.9469034699295</v>
      </c>
      <c r="AI8070">
        <v>94.229284261359396</v>
      </c>
      <c r="AJ8070">
        <v>96.313174700881405</v>
      </c>
      <c r="AK8070">
        <v>15.0791609098811</v>
      </c>
      <c r="AL8070">
        <v>86.770313735795099</v>
      </c>
      <c r="AM8070">
        <v>95.779748971716401</v>
      </c>
      <c r="AN8070">
        <v>0.99999995288675703</v>
      </c>
    </row>
    <row r="8071" spans="1:40" x14ac:dyDescent="0.25">
      <c r="A8071" t="str">
        <f>"20190312150849718"</f>
        <v>20190312150849718</v>
      </c>
      <c r="B8071" t="str">
        <f>"1552374529707673"</f>
        <v>1552374529707673</v>
      </c>
      <c r="C8071" t="s">
        <v>40</v>
      </c>
      <c r="D8071">
        <v>4.6031529999999998</v>
      </c>
      <c r="E8071">
        <v>0.49771399999999999</v>
      </c>
      <c r="F8071" t="s">
        <v>42</v>
      </c>
      <c r="G8071">
        <v>-419.26319999999998</v>
      </c>
      <c r="H8071" s="1">
        <v>-3.751707E-6</v>
      </c>
      <c r="I8071">
        <v>48.073459999999997</v>
      </c>
      <c r="J8071">
        <v>-421.9599</v>
      </c>
      <c r="K8071">
        <v>1.112031</v>
      </c>
      <c r="L8071">
        <v>62.860320000000002</v>
      </c>
      <c r="M8071">
        <v>7.0098850000000004E-2</v>
      </c>
      <c r="N8071">
        <v>0</v>
      </c>
      <c r="O8071">
        <v>-0.99747059999999999</v>
      </c>
      <c r="P8071">
        <v>0.16985339999999999</v>
      </c>
      <c r="Q8071">
        <v>4.4476769999999999E-2</v>
      </c>
      <c r="R8071">
        <v>-0.98446540000000005</v>
      </c>
      <c r="S8071">
        <v>0.53735350000000004</v>
      </c>
      <c r="T8071">
        <v>-0.220585</v>
      </c>
      <c r="U8071">
        <v>-2.964874</v>
      </c>
      <c r="V8071">
        <v>-0.10067180000000001</v>
      </c>
      <c r="W8071">
        <v>5.5729889999999997E-2</v>
      </c>
      <c r="X8071">
        <v>0.99335759999999995</v>
      </c>
      <c r="Y8071">
        <v>-0.10843800000000001</v>
      </c>
      <c r="Z8071">
        <v>7.3110999999999995E-2</v>
      </c>
      <c r="AA8071">
        <v>0.99141109999999999</v>
      </c>
      <c r="AB8071">
        <v>29</v>
      </c>
      <c r="AC8071">
        <v>2.6967000000000199</v>
      </c>
      <c r="AD8071">
        <v>-1.1120347517069999</v>
      </c>
      <c r="AE8071">
        <v>-14.7868599999999</v>
      </c>
      <c r="AF8071">
        <v>-1.64445052121667</v>
      </c>
      <c r="AG8071">
        <v>-1.1120347517069999</v>
      </c>
      <c r="AH8071">
        <v>14.858200385172101</v>
      </c>
      <c r="AI8071">
        <v>94.254336891177104</v>
      </c>
      <c r="AJ8071">
        <v>96.315581081498195</v>
      </c>
      <c r="AK8071">
        <v>14.9902287338007</v>
      </c>
      <c r="AL8071">
        <v>86.805257261955902</v>
      </c>
      <c r="AM8071">
        <v>95.786881275434695</v>
      </c>
      <c r="AN8071">
        <v>0.999999976716205</v>
      </c>
    </row>
    <row r="8072" spans="1:40" x14ac:dyDescent="0.25">
      <c r="A8072" t="str">
        <f>"20190312150849734"</f>
        <v>20190312150849734</v>
      </c>
      <c r="B8072" t="str">
        <f>"1552374529728173"</f>
        <v>1552374529728173</v>
      </c>
      <c r="C8072" t="s">
        <v>40</v>
      </c>
      <c r="D8072">
        <v>4.6200539999999997</v>
      </c>
      <c r="E8072">
        <v>0.49810969999999999</v>
      </c>
      <c r="F8072" t="s">
        <v>42</v>
      </c>
      <c r="G8072">
        <v>-419.26889999999997</v>
      </c>
      <c r="H8072" s="1">
        <v>-3.7513310000000002E-6</v>
      </c>
      <c r="I8072">
        <v>48.074910000000003</v>
      </c>
      <c r="J8072">
        <v>-421.94549999999998</v>
      </c>
      <c r="K8072">
        <v>1.111999</v>
      </c>
      <c r="L8072">
        <v>62.677059999999997</v>
      </c>
      <c r="M8072">
        <v>7.1562459999999994E-2</v>
      </c>
      <c r="N8072">
        <v>0</v>
      </c>
      <c r="O8072">
        <v>-0.99736659999999999</v>
      </c>
      <c r="P8072">
        <v>0.1716848</v>
      </c>
      <c r="Q8072">
        <v>4.4113920000000001E-2</v>
      </c>
      <c r="R8072">
        <v>-0.98416360000000003</v>
      </c>
      <c r="S8072">
        <v>0.53952029999999995</v>
      </c>
      <c r="T8072">
        <v>-0.22295180000000001</v>
      </c>
      <c r="U8072">
        <v>-2.9643250000000001</v>
      </c>
      <c r="V8072">
        <v>-0.1010556</v>
      </c>
      <c r="W8072">
        <v>5.5371869999999997E-2</v>
      </c>
      <c r="X8072">
        <v>0.99333870000000002</v>
      </c>
      <c r="Y8072">
        <v>-0.1077027</v>
      </c>
      <c r="Z8072">
        <v>7.3891230000000002E-2</v>
      </c>
      <c r="AA8072">
        <v>0.99143340000000002</v>
      </c>
      <c r="AB8072">
        <v>29</v>
      </c>
      <c r="AC8072">
        <v>2.6766000000000001</v>
      </c>
      <c r="AD8072">
        <v>-1.112002751331</v>
      </c>
      <c r="AE8072">
        <v>-14.60215</v>
      </c>
      <c r="AF8072">
        <v>-1.6156333097709901</v>
      </c>
      <c r="AG8072">
        <v>-1.112002751331</v>
      </c>
      <c r="AH8072">
        <v>14.673931323276101</v>
      </c>
      <c r="AI8072">
        <v>94.307706380230002</v>
      </c>
      <c r="AJ8072">
        <v>96.283088632704903</v>
      </c>
      <c r="AK8072">
        <v>14.804427769786701</v>
      </c>
      <c r="AL8072">
        <v>86.825802176879904</v>
      </c>
      <c r="AM8072">
        <v>95.808902300834205</v>
      </c>
      <c r="AN8072">
        <v>1.00000002559817</v>
      </c>
    </row>
    <row r="8073" spans="1:40" x14ac:dyDescent="0.25">
      <c r="A8073" t="str">
        <f>"20190312150849756"</f>
        <v>20190312150849756</v>
      </c>
      <c r="B8073" t="str">
        <f>"1552374529747694"</f>
        <v>1552374529747694</v>
      </c>
      <c r="C8073" t="s">
        <v>40</v>
      </c>
      <c r="D8073">
        <v>4.6190089999999904</v>
      </c>
      <c r="E8073">
        <v>0.49852059999999998</v>
      </c>
      <c r="F8073" t="s">
        <v>42</v>
      </c>
      <c r="G8073">
        <v>-419.26850000000002</v>
      </c>
      <c r="H8073" s="1">
        <v>-3.746155E-6</v>
      </c>
      <c r="I8073">
        <v>48.06268</v>
      </c>
      <c r="J8073">
        <v>-421.92250000000001</v>
      </c>
      <c r="K8073">
        <v>1.111947</v>
      </c>
      <c r="L8073">
        <v>62.391080000000002</v>
      </c>
      <c r="M8073">
        <v>7.3792540000000004E-2</v>
      </c>
      <c r="N8073">
        <v>0</v>
      </c>
      <c r="O8073">
        <v>-0.99720410000000004</v>
      </c>
      <c r="P8073">
        <v>0.17442530000000001</v>
      </c>
      <c r="Q8073">
        <v>4.3658280000000001E-2</v>
      </c>
      <c r="R8073">
        <v>-0.98370210000000002</v>
      </c>
      <c r="S8073">
        <v>0.54287719999999995</v>
      </c>
      <c r="T8073">
        <v>-0.2255057</v>
      </c>
      <c r="U8073">
        <v>-2.9636840000000002</v>
      </c>
      <c r="V8073">
        <v>-0.1015914</v>
      </c>
      <c r="W8073">
        <v>5.492528E-2</v>
      </c>
      <c r="X8073">
        <v>0.99330879999999999</v>
      </c>
      <c r="Y8073">
        <v>-0.1065928</v>
      </c>
      <c r="Z8073">
        <v>7.4727459999999996E-2</v>
      </c>
      <c r="AA8073">
        <v>0.99149069999999995</v>
      </c>
      <c r="AB8073">
        <v>29</v>
      </c>
      <c r="AC8073">
        <v>2.6539999999999901</v>
      </c>
      <c r="AD8073">
        <v>-1.111950746155</v>
      </c>
      <c r="AE8073">
        <v>-14.3284</v>
      </c>
      <c r="AF8073">
        <v>-1.5801600129517599</v>
      </c>
      <c r="AG8073">
        <v>-1.111950746155</v>
      </c>
      <c r="AH8073">
        <v>14.4013339560634</v>
      </c>
      <c r="AI8073">
        <v>94.388905195858698</v>
      </c>
      <c r="AJ8073">
        <v>96.261626450070196</v>
      </c>
      <c r="AK8073">
        <v>14.53037369934</v>
      </c>
      <c r="AL8073">
        <v>86.851428772167395</v>
      </c>
      <c r="AM8073">
        <v>95.839663565416998</v>
      </c>
      <c r="AN8073">
        <v>0.99999998554723901</v>
      </c>
    </row>
    <row r="8074" spans="1:40" x14ac:dyDescent="0.25">
      <c r="A8074" t="str">
        <f>"20190312150849770"</f>
        <v>20190312150849770</v>
      </c>
      <c r="B8074" t="str">
        <f>"1552374529758425"</f>
        <v>1552374529758425</v>
      </c>
      <c r="C8074" t="s">
        <v>40</v>
      </c>
      <c r="D8074">
        <v>4.5982469999999998</v>
      </c>
      <c r="E8074">
        <v>0.49871850000000001</v>
      </c>
      <c r="F8074" t="s">
        <v>42</v>
      </c>
      <c r="G8074">
        <v>-419.24680000000001</v>
      </c>
      <c r="H8074" s="1">
        <v>-3.6915109999999998E-6</v>
      </c>
      <c r="I8074">
        <v>47.92633</v>
      </c>
      <c r="J8074">
        <v>-421.90769999999998</v>
      </c>
      <c r="K8074">
        <v>1.11191</v>
      </c>
      <c r="L8074">
        <v>62.209350000000001</v>
      </c>
      <c r="M8074">
        <v>7.5170349999999997E-2</v>
      </c>
      <c r="N8074">
        <v>0</v>
      </c>
      <c r="O8074">
        <v>-0.99710129999999997</v>
      </c>
      <c r="P8074">
        <v>0.17614379999999999</v>
      </c>
      <c r="Q8074">
        <v>4.3648550000000001E-2</v>
      </c>
      <c r="R8074">
        <v>-0.98339650000000001</v>
      </c>
      <c r="S8074">
        <v>0.54803469999999999</v>
      </c>
      <c r="T8074">
        <v>-0.22774549999999999</v>
      </c>
      <c r="U8074">
        <v>-2.9626160000000001</v>
      </c>
      <c r="V8074">
        <v>-0.1019495</v>
      </c>
      <c r="W8074">
        <v>5.4921940000000002E-2</v>
      </c>
      <c r="X8074">
        <v>0.9932723</v>
      </c>
      <c r="Y8074">
        <v>-0.1069417</v>
      </c>
      <c r="Z8074">
        <v>7.5467270000000003E-2</v>
      </c>
      <c r="AA8074">
        <v>0.99139710000000003</v>
      </c>
      <c r="AB8074">
        <v>29</v>
      </c>
      <c r="AC8074">
        <v>2.6608999999999599</v>
      </c>
      <c r="AD8074">
        <v>-1.1119136915109999</v>
      </c>
      <c r="AE8074">
        <v>-14.28302</v>
      </c>
      <c r="AF8074">
        <v>-1.5704383065227101</v>
      </c>
      <c r="AG8074">
        <v>-1.1119136915109999</v>
      </c>
      <c r="AH8074">
        <v>14.3585383842761</v>
      </c>
      <c r="AI8074">
        <v>94.401954997412304</v>
      </c>
      <c r="AJ8074">
        <v>96.241808554507401</v>
      </c>
      <c r="AK8074">
        <v>14.486899359928399</v>
      </c>
      <c r="AL8074">
        <v>86.8516204465393</v>
      </c>
      <c r="AM8074">
        <v>95.860318663414205</v>
      </c>
      <c r="AN8074">
        <v>0.999999990995451</v>
      </c>
    </row>
    <row r="8075" spans="1:40" x14ac:dyDescent="0.25">
      <c r="A8075" t="str">
        <f>"20190312150849782"</f>
        <v>20190312150849782</v>
      </c>
      <c r="B8075" t="str">
        <f>"1552374529777945"</f>
        <v>1552374529777945</v>
      </c>
      <c r="C8075" t="s">
        <v>40</v>
      </c>
      <c r="D8075">
        <v>4.5822430000000001</v>
      </c>
      <c r="E8075">
        <v>0.4991736</v>
      </c>
      <c r="F8075" t="s">
        <v>42</v>
      </c>
      <c r="G8075">
        <v>-419.2217</v>
      </c>
      <c r="H8075" s="1">
        <v>-3.6341480000000001E-6</v>
      </c>
      <c r="I8075">
        <v>47.782229999999998</v>
      </c>
      <c r="J8075">
        <v>-421.89319999999998</v>
      </c>
      <c r="K8075">
        <v>1.111874</v>
      </c>
      <c r="L8075">
        <v>62.03528</v>
      </c>
      <c r="M8075">
        <v>7.6463660000000003E-2</v>
      </c>
      <c r="N8075">
        <v>0</v>
      </c>
      <c r="O8075">
        <v>-0.99700299999999997</v>
      </c>
      <c r="P8075">
        <v>0.17795720000000001</v>
      </c>
      <c r="Q8075">
        <v>4.335104E-2</v>
      </c>
      <c r="R8075">
        <v>-0.98308320000000005</v>
      </c>
      <c r="S8075">
        <v>0.55145259999999996</v>
      </c>
      <c r="T8075">
        <v>-0.22828490000000001</v>
      </c>
      <c r="U8075">
        <v>-2.9620060000000001</v>
      </c>
      <c r="V8075">
        <v>-0.1024859</v>
      </c>
      <c r="W8075">
        <v>5.4630079999999998E-2</v>
      </c>
      <c r="X8075">
        <v>0.99323320000000004</v>
      </c>
      <c r="Y8075">
        <v>-0.106792</v>
      </c>
      <c r="Z8075">
        <v>7.5641799999999995E-2</v>
      </c>
      <c r="AA8075">
        <v>0.9913999</v>
      </c>
      <c r="AB8075">
        <v>29</v>
      </c>
      <c r="AC8075">
        <v>2.67149999999998</v>
      </c>
      <c r="AD8075">
        <v>-1.1118776341479999</v>
      </c>
      <c r="AE8075">
        <v>-14.25305</v>
      </c>
      <c r="AF8075">
        <v>-1.5645639359582599</v>
      </c>
      <c r="AG8075">
        <v>-1.1118776341479999</v>
      </c>
      <c r="AH8075">
        <v>14.3313494454663</v>
      </c>
      <c r="AI8075">
        <v>94.410226869576803</v>
      </c>
      <c r="AJ8075">
        <v>96.230348857326604</v>
      </c>
      <c r="AK8075">
        <v>14.459312193568699</v>
      </c>
      <c r="AL8075">
        <v>86.868367956780006</v>
      </c>
      <c r="AM8075">
        <v>95.891166306084202</v>
      </c>
      <c r="AN8075">
        <v>0.99999999746092805</v>
      </c>
    </row>
    <row r="8076" spans="1:40" x14ac:dyDescent="0.25">
      <c r="A8076" t="str">
        <f>"20190312150849800"</f>
        <v>20190312150849800</v>
      </c>
      <c r="B8076" t="str">
        <f>"1552374529787705"</f>
        <v>1552374529787705</v>
      </c>
      <c r="C8076" t="s">
        <v>40</v>
      </c>
      <c r="D8076">
        <v>4.613702</v>
      </c>
      <c r="E8076">
        <v>0.49937130000000002</v>
      </c>
      <c r="F8076" t="s">
        <v>42</v>
      </c>
      <c r="G8076">
        <v>-419.21339999999998</v>
      </c>
      <c r="H8076" s="1">
        <v>-3.6007090000000001E-6</v>
      </c>
      <c r="I8076">
        <v>47.700870000000002</v>
      </c>
      <c r="J8076">
        <v>-421.87529999999998</v>
      </c>
      <c r="K8076">
        <v>1.111823</v>
      </c>
      <c r="L8076">
        <v>61.822809999999997</v>
      </c>
      <c r="M8076">
        <v>7.7985719999999994E-2</v>
      </c>
      <c r="N8076">
        <v>0</v>
      </c>
      <c r="O8076">
        <v>-0.99688509999999997</v>
      </c>
      <c r="P8076">
        <v>0.17985909999999999</v>
      </c>
      <c r="Q8076">
        <v>4.3189560000000002E-2</v>
      </c>
      <c r="R8076">
        <v>-0.98274379999999995</v>
      </c>
      <c r="S8076">
        <v>0.55364990000000003</v>
      </c>
      <c r="T8076">
        <v>-0.22971610000000001</v>
      </c>
      <c r="U8076">
        <v>-2.9615170000000002</v>
      </c>
      <c r="V8076">
        <v>-0.10288410000000001</v>
      </c>
      <c r="W8076">
        <v>5.447772E-2</v>
      </c>
      <c r="X8076">
        <v>0.99320039999999998</v>
      </c>
      <c r="Y8076">
        <v>-0.1060077</v>
      </c>
      <c r="Z8076">
        <v>7.6110150000000001E-2</v>
      </c>
      <c r="AA8076">
        <v>0.9914482</v>
      </c>
      <c r="AB8076">
        <v>29</v>
      </c>
      <c r="AC8076">
        <v>2.6619000000000002</v>
      </c>
      <c r="AD8076">
        <v>-1.1118266007089901</v>
      </c>
      <c r="AE8076">
        <v>-14.121939999999899</v>
      </c>
      <c r="AF8076">
        <v>-1.5431690484323899</v>
      </c>
      <c r="AG8076">
        <v>-1.1118266007089901</v>
      </c>
      <c r="AH8076">
        <v>14.201522307466901</v>
      </c>
      <c r="AI8076">
        <v>94.450422104080005</v>
      </c>
      <c r="AJ8076">
        <v>96.201555166719302</v>
      </c>
      <c r="AK8076">
        <v>14.3283203813833</v>
      </c>
      <c r="AL8076">
        <v>86.877110560475103</v>
      </c>
      <c r="AM8076">
        <v>95.914087920164405</v>
      </c>
      <c r="AN8076">
        <v>0.99999999728468403</v>
      </c>
    </row>
    <row r="8077" spans="1:40" x14ac:dyDescent="0.25">
      <c r="A8077" t="str">
        <f>"20190312150849814"</f>
        <v>20190312150849814</v>
      </c>
      <c r="B8077" t="str">
        <f>"1552374529808201"</f>
        <v>1552374529808201</v>
      </c>
      <c r="C8077" t="s">
        <v>40</v>
      </c>
      <c r="D8077">
        <v>4.6117549999999996</v>
      </c>
      <c r="E8077">
        <v>0.49956410000000001</v>
      </c>
      <c r="F8077" t="s">
        <v>42</v>
      </c>
      <c r="G8077">
        <v>-419.18450000000001</v>
      </c>
      <c r="H8077" s="1">
        <v>-3.5395050000000001E-6</v>
      </c>
      <c r="I8077">
        <v>47.54627</v>
      </c>
      <c r="J8077">
        <v>-421.86040000000003</v>
      </c>
      <c r="K8077">
        <v>1.1117779999999999</v>
      </c>
      <c r="L8077">
        <v>61.649569999999997</v>
      </c>
      <c r="M8077">
        <v>7.918617E-2</v>
      </c>
      <c r="N8077">
        <v>0</v>
      </c>
      <c r="O8077">
        <v>-0.99679039999999997</v>
      </c>
      <c r="P8077">
        <v>0.18137619999999999</v>
      </c>
      <c r="Q8077">
        <v>4.2912180000000001E-2</v>
      </c>
      <c r="R8077">
        <v>-0.9824773</v>
      </c>
      <c r="S8077">
        <v>0.55801389999999995</v>
      </c>
      <c r="T8077">
        <v>-0.23057230000000001</v>
      </c>
      <c r="U8077">
        <v>-2.960693</v>
      </c>
      <c r="V8077">
        <v>-0.10321429999999999</v>
      </c>
      <c r="W8077">
        <v>5.4209180000000003E-2</v>
      </c>
      <c r="X8077">
        <v>0.99318079999999997</v>
      </c>
      <c r="Y8077">
        <v>-0.10626770000000001</v>
      </c>
      <c r="Z8077">
        <v>7.6390780000000005E-2</v>
      </c>
      <c r="AA8077">
        <v>0.99139880000000002</v>
      </c>
      <c r="AB8077">
        <v>29</v>
      </c>
      <c r="AC8077">
        <v>2.6759000000000102</v>
      </c>
      <c r="AD8077">
        <v>-1.1117815395049999</v>
      </c>
      <c r="AE8077">
        <v>-14.1032999999999</v>
      </c>
      <c r="AF8077">
        <v>-1.54138656124575</v>
      </c>
      <c r="AG8077">
        <v>-1.1117815395049999</v>
      </c>
      <c r="AH8077">
        <v>14.185823537875001</v>
      </c>
      <c r="AI8077">
        <v>94.455150084922906</v>
      </c>
      <c r="AJ8077">
        <v>96.201249298205695</v>
      </c>
      <c r="AK8077">
        <v>14.3125651149786</v>
      </c>
      <c r="AL8077">
        <v>86.8925194361004</v>
      </c>
      <c r="AM8077">
        <v>95.933049883128504</v>
      </c>
      <c r="AN8077">
        <v>0.99999996420470005</v>
      </c>
    </row>
    <row r="8078" spans="1:40" x14ac:dyDescent="0.25">
      <c r="A8078" t="str">
        <f>"20190312150849825"</f>
        <v>20190312150849825</v>
      </c>
      <c r="B8078" t="str">
        <f>"1552374529817962"</f>
        <v>1552374529817962</v>
      </c>
      <c r="C8078" t="s">
        <v>40</v>
      </c>
      <c r="D8078">
        <v>4.6146659999999997</v>
      </c>
      <c r="E8078">
        <v>0.50967600000000002</v>
      </c>
      <c r="F8078" t="s">
        <v>42</v>
      </c>
      <c r="G8078">
        <v>-419.17140000000001</v>
      </c>
      <c r="H8078" s="1">
        <v>-3.5025849999999999E-6</v>
      </c>
      <c r="I8078">
        <v>47.454749999999997</v>
      </c>
      <c r="J8078">
        <v>-421.84710000000001</v>
      </c>
      <c r="K8078">
        <v>1.1117349999999999</v>
      </c>
      <c r="L8078">
        <v>61.494810000000001</v>
      </c>
      <c r="M8078">
        <v>8.0237680000000006E-2</v>
      </c>
      <c r="N8078">
        <v>0</v>
      </c>
      <c r="O8078">
        <v>-0.99670639999999999</v>
      </c>
      <c r="P8078">
        <v>0.18248990000000001</v>
      </c>
      <c r="Q8078">
        <v>4.2635399999999997E-2</v>
      </c>
      <c r="R8078">
        <v>-0.98228320000000002</v>
      </c>
      <c r="S8078">
        <v>0.5607605</v>
      </c>
      <c r="T8078">
        <v>-0.2318453</v>
      </c>
      <c r="U8078">
        <v>-2.9601139999999999</v>
      </c>
      <c r="V8078">
        <v>-0.1032849</v>
      </c>
      <c r="W8078">
        <v>5.3941120000000002E-2</v>
      </c>
      <c r="X8078">
        <v>0.99318810000000002</v>
      </c>
      <c r="Y8078">
        <v>-0.1061363</v>
      </c>
      <c r="Z8078">
        <v>7.6809050000000004E-2</v>
      </c>
      <c r="AA8078">
        <v>0.99138059999999995</v>
      </c>
      <c r="AB8078">
        <v>29</v>
      </c>
      <c r="AC8078">
        <v>2.6757</v>
      </c>
      <c r="AD8078">
        <v>-1.111738502585</v>
      </c>
      <c r="AE8078">
        <v>-14.04006</v>
      </c>
      <c r="AF8078">
        <v>-1.5311878936961101</v>
      </c>
      <c r="AG8078">
        <v>-1.111738502585</v>
      </c>
      <c r="AH8078">
        <v>14.124037949140501</v>
      </c>
      <c r="AI8078">
        <v>94.474505610866998</v>
      </c>
      <c r="AJ8078">
        <v>96.187275619239699</v>
      </c>
      <c r="AK8078">
        <v>14.250226203562301</v>
      </c>
      <c r="AL8078">
        <v>86.907900785149394</v>
      </c>
      <c r="AM8078">
        <v>95.937035866293698</v>
      </c>
      <c r="AN8078">
        <v>1.0000000084882299</v>
      </c>
    </row>
    <row r="8079" spans="1:40" x14ac:dyDescent="0.25">
      <c r="A8079" t="str">
        <f>"20190312150849837"</f>
        <v>20190312150849837</v>
      </c>
      <c r="B8079" t="str">
        <f>"1552374529827722"</f>
        <v>1552374529827722</v>
      </c>
      <c r="C8079" t="s">
        <v>40</v>
      </c>
      <c r="D8079">
        <v>4.6106910000000001</v>
      </c>
      <c r="E8079">
        <v>0.50961270000000003</v>
      </c>
      <c r="F8079" t="s">
        <v>42</v>
      </c>
      <c r="G8079">
        <v>-419.61160000000001</v>
      </c>
      <c r="H8079" s="1">
        <v>-3.5698659999999998E-6</v>
      </c>
      <c r="I8079">
        <v>47.793599999999998</v>
      </c>
      <c r="J8079">
        <v>-421.8329</v>
      </c>
      <c r="K8079">
        <v>1.111691</v>
      </c>
      <c r="L8079">
        <v>61.332949999999997</v>
      </c>
      <c r="M8079">
        <v>8.1291680000000005E-2</v>
      </c>
      <c r="N8079">
        <v>0</v>
      </c>
      <c r="O8079">
        <v>-0.99662099999999998</v>
      </c>
      <c r="P8079">
        <v>0.18360570000000001</v>
      </c>
      <c r="Q8079">
        <v>4.2283559999999998E-2</v>
      </c>
      <c r="R8079">
        <v>-0.98209040000000003</v>
      </c>
      <c r="S8079">
        <v>0.485321</v>
      </c>
      <c r="T8079">
        <v>-0.2413498</v>
      </c>
      <c r="U8079">
        <v>-2.9744259999999998</v>
      </c>
      <c r="V8079">
        <v>-0.103355</v>
      </c>
      <c r="W8079">
        <v>5.3599229999999998E-2</v>
      </c>
      <c r="X8079">
        <v>0.99319930000000001</v>
      </c>
      <c r="Y8079">
        <v>-7.9750630000000003E-2</v>
      </c>
      <c r="Z8079">
        <v>7.9823270000000002E-2</v>
      </c>
      <c r="AA8079">
        <v>0.99361370000000004</v>
      </c>
      <c r="AB8079">
        <v>29</v>
      </c>
      <c r="AC8079">
        <v>2.2212999999999798</v>
      </c>
      <c r="AD8079">
        <v>-1.1116945698659999</v>
      </c>
      <c r="AE8079">
        <v>-13.539350000000001</v>
      </c>
      <c r="AF8079">
        <v>-1.1059738621222299</v>
      </c>
      <c r="AG8079">
        <v>-1.1116945698659999</v>
      </c>
      <c r="AH8079">
        <v>13.585926307388799</v>
      </c>
      <c r="AI8079">
        <v>94.662560122499698</v>
      </c>
      <c r="AJ8079">
        <v>94.653949228014795</v>
      </c>
      <c r="AK8079">
        <v>13.6761265214302</v>
      </c>
      <c r="AL8079">
        <v>86.927517966405603</v>
      </c>
      <c r="AM8079">
        <v>95.9409700363707</v>
      </c>
      <c r="AN8079">
        <v>0.99999999150104102</v>
      </c>
    </row>
    <row r="8080" spans="1:40" x14ac:dyDescent="0.25">
      <c r="A8080" t="str">
        <f>"20190312150849852"</f>
        <v>20190312150849852</v>
      </c>
      <c r="B8080" t="str">
        <f>"1552374529848218"</f>
        <v>1552374529848218</v>
      </c>
      <c r="C8080" t="s">
        <v>40</v>
      </c>
      <c r="D8080">
        <v>4.6327619999999996</v>
      </c>
      <c r="E8080">
        <v>0.51012950000000001</v>
      </c>
      <c r="F8080" t="s">
        <v>42</v>
      </c>
      <c r="G8080">
        <v>-419.57139999999998</v>
      </c>
      <c r="H8080" s="1">
        <v>-3.4814880000000001E-6</v>
      </c>
      <c r="I8080">
        <v>47.570970000000003</v>
      </c>
      <c r="J8080">
        <v>-421.81799999999998</v>
      </c>
      <c r="K8080">
        <v>1.1116459999999999</v>
      </c>
      <c r="L8080">
        <v>61.163820000000001</v>
      </c>
      <c r="M8080">
        <v>8.236752E-2</v>
      </c>
      <c r="N8080">
        <v>0</v>
      </c>
      <c r="O8080">
        <v>-0.9965328</v>
      </c>
      <c r="P8080">
        <v>0.1848822</v>
      </c>
      <c r="Q8080">
        <v>4.210183E-2</v>
      </c>
      <c r="R8080">
        <v>-0.98185889999999998</v>
      </c>
      <c r="S8080">
        <v>0.488678</v>
      </c>
      <c r="T8080">
        <v>-0.24021290000000001</v>
      </c>
      <c r="U8080">
        <v>-2.9736630000000002</v>
      </c>
      <c r="V8080">
        <v>-0.1035672</v>
      </c>
      <c r="W8080">
        <v>5.3427349999999998E-2</v>
      </c>
      <c r="X8080">
        <v>0.99318649999999997</v>
      </c>
      <c r="Y8080">
        <v>-7.9812270000000005E-2</v>
      </c>
      <c r="Z8080">
        <v>7.945178E-2</v>
      </c>
      <c r="AA8080">
        <v>0.99363849999999998</v>
      </c>
      <c r="AB8080">
        <v>29</v>
      </c>
      <c r="AC8080">
        <v>2.2466000000000501</v>
      </c>
      <c r="AD8080">
        <v>-1.11164948148799</v>
      </c>
      <c r="AE8080">
        <v>-13.592849999999901</v>
      </c>
      <c r="AF8080">
        <v>-1.11203860080095</v>
      </c>
      <c r="AG8080">
        <v>-1.11164948148799</v>
      </c>
      <c r="AH8080">
        <v>13.6428938271824</v>
      </c>
      <c r="AI8080">
        <v>94.642949725494901</v>
      </c>
      <c r="AJ8080">
        <v>94.659903707218803</v>
      </c>
      <c r="AK8080">
        <v>13.7332059767242</v>
      </c>
      <c r="AL8080">
        <v>86.937380230162901</v>
      </c>
      <c r="AM8080">
        <v>95.953156212934104</v>
      </c>
      <c r="AN8080">
        <v>1.00000003521305</v>
      </c>
    </row>
    <row r="8081" spans="1:40" x14ac:dyDescent="0.25">
      <c r="A8081" t="str">
        <f>"20190312150849867"</f>
        <v>20190312150849867</v>
      </c>
      <c r="B8081" t="str">
        <f>"1552374529857977"</f>
        <v>1552374529857977</v>
      </c>
      <c r="C8081" t="s">
        <v>40</v>
      </c>
      <c r="D8081">
        <v>4.641877</v>
      </c>
      <c r="E8081">
        <v>0.51056579999999996</v>
      </c>
      <c r="F8081" t="s">
        <v>42</v>
      </c>
      <c r="G8081">
        <v>-419.60169999999999</v>
      </c>
      <c r="H8081" s="1">
        <v>-3.5250210000000001E-6</v>
      </c>
      <c r="I8081">
        <v>47.685000000000002</v>
      </c>
      <c r="J8081">
        <v>-421.79919999999998</v>
      </c>
      <c r="K8081">
        <v>1.1115870000000001</v>
      </c>
      <c r="L8081">
        <v>60.952579999999998</v>
      </c>
      <c r="M8081">
        <v>8.3670880000000003E-2</v>
      </c>
      <c r="N8081">
        <v>0</v>
      </c>
      <c r="O8081">
        <v>-0.99642410000000003</v>
      </c>
      <c r="P8081">
        <v>0.18620300000000001</v>
      </c>
      <c r="Q8081">
        <v>4.1803E-2</v>
      </c>
      <c r="R8081">
        <v>-0.98162199999999999</v>
      </c>
      <c r="S8081">
        <v>0.48898320000000001</v>
      </c>
      <c r="T8081">
        <v>-0.24526690000000001</v>
      </c>
      <c r="U8081">
        <v>-2.9738769999999999</v>
      </c>
      <c r="V8081">
        <v>-0.1035953</v>
      </c>
      <c r="W8081">
        <v>5.3140699999999902E-2</v>
      </c>
      <c r="X8081">
        <v>0.9931989</v>
      </c>
      <c r="Y8081">
        <v>-7.8574710000000006E-2</v>
      </c>
      <c r="Z8081">
        <v>8.1096860000000007E-2</v>
      </c>
      <c r="AA8081">
        <v>0.99360420000000005</v>
      </c>
      <c r="AB8081">
        <v>29</v>
      </c>
      <c r="AC8081">
        <v>2.19749999999999</v>
      </c>
      <c r="AD8081">
        <v>-1.1115905250210001</v>
      </c>
      <c r="AE8081">
        <v>-13.267580000000001</v>
      </c>
      <c r="AF8081">
        <v>-1.0722805647521201</v>
      </c>
      <c r="AG8081">
        <v>-1.1115905250210001</v>
      </c>
      <c r="AH8081">
        <v>13.313967469661501</v>
      </c>
      <c r="AI8081">
        <v>94.757254865597901</v>
      </c>
      <c r="AJ8081">
        <v>94.604550130650495</v>
      </c>
      <c r="AK8081">
        <v>13.403251429711601</v>
      </c>
      <c r="AL8081">
        <v>86.953827284507398</v>
      </c>
      <c r="AM8081">
        <v>95.954686016775398</v>
      </c>
      <c r="AN8081">
        <v>0.99999998756989406</v>
      </c>
    </row>
    <row r="8082" spans="1:40" x14ac:dyDescent="0.25">
      <c r="A8082" t="str">
        <f>"20190312150849890"</f>
        <v>20190312150849890</v>
      </c>
      <c r="B8082" t="str">
        <f>"1552374529888233"</f>
        <v>1552374529888233</v>
      </c>
      <c r="C8082" t="s">
        <v>40</v>
      </c>
      <c r="D8082">
        <v>4.6227410000000004</v>
      </c>
      <c r="E8082">
        <v>0.51183780000000001</v>
      </c>
      <c r="F8082" t="s">
        <v>42</v>
      </c>
      <c r="G8082">
        <v>-419.57920000000001</v>
      </c>
      <c r="H8082" s="1">
        <v>-3.435477E-6</v>
      </c>
      <c r="I8082">
        <v>47.466970000000003</v>
      </c>
      <c r="J8082">
        <v>-421.7731</v>
      </c>
      <c r="K8082">
        <v>1.111523</v>
      </c>
      <c r="L8082">
        <v>60.664119999999997</v>
      </c>
      <c r="M8082">
        <v>8.5369619999999993E-2</v>
      </c>
      <c r="N8082">
        <v>0</v>
      </c>
      <c r="O8082">
        <v>-0.9962799</v>
      </c>
      <c r="P8082">
        <v>0.18759870000000001</v>
      </c>
      <c r="Q8082">
        <v>4.2250669999999997E-2</v>
      </c>
      <c r="R8082">
        <v>-0.98133689999999996</v>
      </c>
      <c r="S8082">
        <v>0.48953249999999998</v>
      </c>
      <c r="T8082">
        <v>-0.24512049999999999</v>
      </c>
      <c r="U8082">
        <v>-2.9737550000000001</v>
      </c>
      <c r="V8082">
        <v>-0.1033086</v>
      </c>
      <c r="W8082">
        <v>5.3604949999999998E-2</v>
      </c>
      <c r="X8082">
        <v>0.99320379999999997</v>
      </c>
      <c r="Y8082">
        <v>-7.7060909999999996E-2</v>
      </c>
      <c r="Z8082">
        <v>8.1038100000000002E-2</v>
      </c>
      <c r="AA8082">
        <v>0.99372760000000004</v>
      </c>
      <c r="AB8082">
        <v>29</v>
      </c>
      <c r="AC8082">
        <v>2.1938999999999802</v>
      </c>
      <c r="AD8082">
        <v>-1.111526435477</v>
      </c>
      <c r="AE8082">
        <v>-13.197149999999899</v>
      </c>
      <c r="AF8082">
        <v>-1.0519146806141699</v>
      </c>
      <c r="AG8082">
        <v>-1.111526435477</v>
      </c>
      <c r="AH8082">
        <v>13.244840929032399</v>
      </c>
      <c r="AI8082">
        <v>94.782116955888597</v>
      </c>
      <c r="AJ8082">
        <v>94.540939987237394</v>
      </c>
      <c r="AK8082">
        <v>13.332960164473199</v>
      </c>
      <c r="AL8082">
        <v>86.927189705548301</v>
      </c>
      <c r="AM8082">
        <v>95.938295258677996</v>
      </c>
      <c r="AN8082">
        <v>0.99999997291645004</v>
      </c>
    </row>
    <row r="8083" spans="1:40" x14ac:dyDescent="0.25">
      <c r="A8083" t="str">
        <f>"20190312150849903"</f>
        <v>20190312150849903</v>
      </c>
      <c r="B8083" t="str">
        <f>"1552374529897994"</f>
        <v>1552374529897994</v>
      </c>
      <c r="C8083" t="s">
        <v>40</v>
      </c>
      <c r="D8083">
        <v>4.6463640000000002</v>
      </c>
      <c r="E8083">
        <v>0.51223969999999996</v>
      </c>
      <c r="F8083" t="s">
        <v>42</v>
      </c>
      <c r="G8083">
        <v>-419.55079999999998</v>
      </c>
      <c r="H8083" s="1">
        <v>-3.2338339999999999E-6</v>
      </c>
      <c r="I8083">
        <v>46.985169999999997</v>
      </c>
      <c r="J8083">
        <v>-421.75709999999998</v>
      </c>
      <c r="K8083">
        <v>1.1114900000000001</v>
      </c>
      <c r="L8083">
        <v>60.490020000000001</v>
      </c>
      <c r="M8083">
        <v>8.6363250000000003E-2</v>
      </c>
      <c r="N8083">
        <v>0</v>
      </c>
      <c r="O8083">
        <v>-0.99619429999999998</v>
      </c>
      <c r="P8083">
        <v>0.18834709999999999</v>
      </c>
      <c r="Q8083">
        <v>4.2285669999999997E-2</v>
      </c>
      <c r="R8083">
        <v>-0.98119210000000001</v>
      </c>
      <c r="S8083">
        <v>0.48333739999999997</v>
      </c>
      <c r="T8083">
        <v>-0.24174850000000001</v>
      </c>
      <c r="U8083">
        <v>-2.9750670000000001</v>
      </c>
      <c r="V8083">
        <v>-0.103071</v>
      </c>
      <c r="W8083">
        <v>5.3649710000000003E-2</v>
      </c>
      <c r="X8083">
        <v>0.9932261</v>
      </c>
      <c r="Y8083">
        <v>-7.3995140000000001E-2</v>
      </c>
      <c r="Z8083">
        <v>7.9908270000000003E-2</v>
      </c>
      <c r="AA8083">
        <v>0.99405200000000005</v>
      </c>
      <c r="AB8083">
        <v>29</v>
      </c>
      <c r="AC8083">
        <v>2.2063000000000001</v>
      </c>
      <c r="AD8083">
        <v>-1.11149323383399</v>
      </c>
      <c r="AE8083">
        <v>-13.5048499999999</v>
      </c>
      <c r="AF8083">
        <v>-1.0248901396372301</v>
      </c>
      <c r="AG8083">
        <v>-1.11149323383399</v>
      </c>
      <c r="AH8083">
        <v>13.555505837305001</v>
      </c>
      <c r="AI8083">
        <v>94.674239780435101</v>
      </c>
      <c r="AJ8083">
        <v>94.3237316006486</v>
      </c>
      <c r="AK8083">
        <v>13.639558479378801</v>
      </c>
      <c r="AL8083">
        <v>86.924621546627804</v>
      </c>
      <c r="AM8083">
        <v>95.924602926305795</v>
      </c>
      <c r="AN8083">
        <v>1.00000000407264</v>
      </c>
    </row>
    <row r="8084" spans="1:40" x14ac:dyDescent="0.25">
      <c r="A8084" t="str">
        <f>"20190312150849916"</f>
        <v>20190312150849916</v>
      </c>
      <c r="B8084" t="str">
        <f>"1552374529907753"</f>
        <v>1552374529907753</v>
      </c>
      <c r="C8084" t="s">
        <v>40</v>
      </c>
      <c r="D8084">
        <v>4.6371359999999999</v>
      </c>
      <c r="E8084">
        <v>0.51242509999999997</v>
      </c>
      <c r="F8084" t="s">
        <v>42</v>
      </c>
      <c r="G8084">
        <v>-419.5376</v>
      </c>
      <c r="H8084" s="1">
        <v>-3.1583439999999998E-6</v>
      </c>
      <c r="I8084">
        <v>46.803759999999997</v>
      </c>
      <c r="J8084">
        <v>-421.74220000000003</v>
      </c>
      <c r="K8084">
        <v>1.1114630000000001</v>
      </c>
      <c r="L8084">
        <v>60.329099999999997</v>
      </c>
      <c r="M8084">
        <v>8.7249259999999995E-2</v>
      </c>
      <c r="N8084">
        <v>0</v>
      </c>
      <c r="O8084">
        <v>-0.99611719999999904</v>
      </c>
      <c r="P8084">
        <v>0.1894354</v>
      </c>
      <c r="Q8084">
        <v>4.2524060000000002E-2</v>
      </c>
      <c r="R8084">
        <v>-0.98097210000000001</v>
      </c>
      <c r="S8084">
        <v>0.48251339999999998</v>
      </c>
      <c r="T8084">
        <v>-0.24163190000000001</v>
      </c>
      <c r="U8084">
        <v>-2.975311</v>
      </c>
      <c r="V8084">
        <v>-0.10328710000000001</v>
      </c>
      <c r="W8084">
        <v>5.3893499999999997E-2</v>
      </c>
      <c r="X8084">
        <v>0.99319049999999998</v>
      </c>
      <c r="Y8084">
        <v>-7.2827589999999998E-2</v>
      </c>
      <c r="Z8084">
        <v>7.9859470000000002E-2</v>
      </c>
      <c r="AA8084">
        <v>0.99414219999999998</v>
      </c>
      <c r="AB8084">
        <v>29</v>
      </c>
      <c r="AC8084">
        <v>2.2046000000000201</v>
      </c>
      <c r="AD8084">
        <v>-1.111466158344</v>
      </c>
      <c r="AE8084">
        <v>-13.52534</v>
      </c>
      <c r="AF8084">
        <v>-1.0093942123219</v>
      </c>
      <c r="AG8084">
        <v>-1.111466158344</v>
      </c>
      <c r="AH8084">
        <v>13.5768059504292</v>
      </c>
      <c r="AI8084">
        <v>94.667262274206905</v>
      </c>
      <c r="AJ8084">
        <v>94.251944222546797</v>
      </c>
      <c r="AK8084">
        <v>13.6595714981335</v>
      </c>
      <c r="AL8084">
        <v>86.910633318711405</v>
      </c>
      <c r="AM8084">
        <v>95.9371471792591</v>
      </c>
      <c r="AN8084">
        <v>1.0000000518294501</v>
      </c>
    </row>
    <row r="8085" spans="1:40" x14ac:dyDescent="0.25">
      <c r="A8085" t="str">
        <f>"20190312150849930"</f>
        <v>20190312150849930</v>
      </c>
      <c r="B8085" t="str">
        <f>"1552374529917513"</f>
        <v>1552374529917513</v>
      </c>
      <c r="C8085" t="s">
        <v>40</v>
      </c>
      <c r="D8085">
        <v>4.6417039999999998</v>
      </c>
      <c r="E8085">
        <v>0.51249529999999999</v>
      </c>
      <c r="F8085" t="s">
        <v>42</v>
      </c>
      <c r="G8085">
        <v>-419.50409999999999</v>
      </c>
      <c r="H8085" s="1">
        <v>-3.0691590000000001E-6</v>
      </c>
      <c r="I8085">
        <v>46.582000000000001</v>
      </c>
      <c r="J8085">
        <v>-421.72629999999998</v>
      </c>
      <c r="K8085">
        <v>1.1114409999999999</v>
      </c>
      <c r="L8085">
        <v>60.157960000000003</v>
      </c>
      <c r="M8085">
        <v>8.8177459999999999E-2</v>
      </c>
      <c r="N8085">
        <v>0</v>
      </c>
      <c r="O8085">
        <v>-0.99603529999999996</v>
      </c>
      <c r="P8085">
        <v>0.19003320000000001</v>
      </c>
      <c r="Q8085">
        <v>4.2632450000000002E-2</v>
      </c>
      <c r="R8085">
        <v>-0.98085169999999999</v>
      </c>
      <c r="S8085">
        <v>0.484375</v>
      </c>
      <c r="T8085">
        <v>-0.24053959999999999</v>
      </c>
      <c r="U8085">
        <v>-2.975098</v>
      </c>
      <c r="V8085">
        <v>-0.1029634</v>
      </c>
      <c r="W8085">
        <v>5.4009679999999997E-2</v>
      </c>
      <c r="X8085">
        <v>0.99321780000000004</v>
      </c>
      <c r="Y8085">
        <v>-7.2520230000000005E-2</v>
      </c>
      <c r="Z8085">
        <v>7.949357E-2</v>
      </c>
      <c r="AA8085">
        <v>0.99419389999999996</v>
      </c>
      <c r="AB8085">
        <v>29</v>
      </c>
      <c r="AC8085">
        <v>2.22219999999998</v>
      </c>
      <c r="AD8085">
        <v>-1.111444069159</v>
      </c>
      <c r="AE8085">
        <v>-13.575959999999901</v>
      </c>
      <c r="AF8085">
        <v>-1.00977494686214</v>
      </c>
      <c r="AG8085">
        <v>-1.111444069159</v>
      </c>
      <c r="AH8085">
        <v>13.630061749586501</v>
      </c>
      <c r="AI8085">
        <v>94.649104006683004</v>
      </c>
      <c r="AJ8085">
        <v>94.236983202792302</v>
      </c>
      <c r="AK8085">
        <v>13.712532102413499</v>
      </c>
      <c r="AL8085">
        <v>86.903966989093902</v>
      </c>
      <c r="AM8085">
        <v>95.918511025650503</v>
      </c>
      <c r="AN8085">
        <v>1.0000000527550399</v>
      </c>
    </row>
    <row r="8086" spans="1:40" x14ac:dyDescent="0.25">
      <c r="A8086" t="str">
        <f>"20190312150849942"</f>
        <v>20190312150849942</v>
      </c>
      <c r="B8086" t="str">
        <f>"1552374529938010"</f>
        <v>1552374529938010</v>
      </c>
      <c r="C8086" t="s">
        <v>40</v>
      </c>
      <c r="D8086">
        <v>4.6620660000000003</v>
      </c>
      <c r="E8086">
        <v>0.51277200000000001</v>
      </c>
      <c r="F8086" t="s">
        <v>42</v>
      </c>
      <c r="G8086">
        <v>-419.49349999999998</v>
      </c>
      <c r="H8086" s="1">
        <v>-3.0297380000000002E-6</v>
      </c>
      <c r="I8086">
        <v>46.485729999999997</v>
      </c>
      <c r="J8086">
        <v>-421.70960000000002</v>
      </c>
      <c r="K8086">
        <v>1.111416</v>
      </c>
      <c r="L8086">
        <v>59.980559999999997</v>
      </c>
      <c r="M8086">
        <v>8.9119900000000002E-2</v>
      </c>
      <c r="N8086">
        <v>0</v>
      </c>
      <c r="O8086">
        <v>-0.99595149999999999</v>
      </c>
      <c r="P8086">
        <v>0.19111069999999999</v>
      </c>
      <c r="Q8086">
        <v>4.28884E-2</v>
      </c>
      <c r="R8086">
        <v>-0.98063120000000004</v>
      </c>
      <c r="S8086">
        <v>0.48583979999999999</v>
      </c>
      <c r="T8086">
        <v>-0.241842</v>
      </c>
      <c r="U8086">
        <v>-2.9749759999999998</v>
      </c>
      <c r="V8086">
        <v>-0.1031135</v>
      </c>
      <c r="W8086">
        <v>5.4271550000000002E-2</v>
      </c>
      <c r="X8086">
        <v>0.99318790000000001</v>
      </c>
      <c r="Y8086">
        <v>-7.2054359999999998E-2</v>
      </c>
      <c r="Z8086">
        <v>7.9912620000000004E-2</v>
      </c>
      <c r="AA8086">
        <v>0.99419420000000003</v>
      </c>
      <c r="AB8086">
        <v>29</v>
      </c>
      <c r="AC8086">
        <v>2.2161000000000399</v>
      </c>
      <c r="AD8086">
        <v>-1.111419029738</v>
      </c>
      <c r="AE8086">
        <v>-13.494829999999901</v>
      </c>
      <c r="AF8086">
        <v>-0.99794834627439699</v>
      </c>
      <c r="AG8086">
        <v>-1.111419029738</v>
      </c>
      <c r="AH8086">
        <v>13.549147307632101</v>
      </c>
      <c r="AI8086">
        <v>94.676787642450506</v>
      </c>
      <c r="AJ8086">
        <v>94.212454619151501</v>
      </c>
      <c r="AK8086">
        <v>13.6312342040407</v>
      </c>
      <c r="AL8086">
        <v>86.888940740918201</v>
      </c>
      <c r="AM8086">
        <v>95.927254815266807</v>
      </c>
      <c r="AN8086">
        <v>0.99999999986403099</v>
      </c>
    </row>
    <row r="8087" spans="1:40" x14ac:dyDescent="0.25">
      <c r="A8087" t="str">
        <f>"20190312150849957"</f>
        <v>20190312150849957</v>
      </c>
      <c r="B8087" t="str">
        <f>"1552374529947770"</f>
        <v>1552374529947770</v>
      </c>
      <c r="C8087" t="s">
        <v>40</v>
      </c>
      <c r="D8087">
        <v>4.6890299999999998</v>
      </c>
      <c r="E8087">
        <v>0.51322129999999999</v>
      </c>
      <c r="F8087" t="s">
        <v>42</v>
      </c>
      <c r="G8087">
        <v>-418.98469999999998</v>
      </c>
      <c r="H8087" s="1">
        <v>-1.750222E-6</v>
      </c>
      <c r="I8087">
        <v>43.292760000000001</v>
      </c>
      <c r="J8087">
        <v>-421.69290000000001</v>
      </c>
      <c r="K8087">
        <v>1.1113980000000001</v>
      </c>
      <c r="L8087">
        <v>59.805300000000003</v>
      </c>
      <c r="M8087">
        <v>9.0028810000000001E-2</v>
      </c>
      <c r="N8087">
        <v>0</v>
      </c>
      <c r="O8087">
        <v>-0.99586969999999997</v>
      </c>
      <c r="P8087">
        <v>0.19215479999999999</v>
      </c>
      <c r="Q8087">
        <v>4.3053590000000003E-2</v>
      </c>
      <c r="R8087">
        <v>-0.98041959999999995</v>
      </c>
      <c r="S8087">
        <v>0.4855042</v>
      </c>
      <c r="T8087">
        <v>-0.19802330000000001</v>
      </c>
      <c r="U8087">
        <v>-2.9732970000000001</v>
      </c>
      <c r="V8087">
        <v>-0.1032627</v>
      </c>
      <c r="W8087">
        <v>5.4441049999999998E-2</v>
      </c>
      <c r="X8087">
        <v>0.99316309999999997</v>
      </c>
      <c r="Y8087">
        <v>-7.1293540000000002E-2</v>
      </c>
      <c r="Z8087">
        <v>6.5533739999999993E-2</v>
      </c>
      <c r="AA8087">
        <v>0.99530019999999997</v>
      </c>
      <c r="AB8087">
        <v>29</v>
      </c>
      <c r="AC8087">
        <v>2.7082000000000299</v>
      </c>
      <c r="AD8087">
        <v>-1.1113997502220001</v>
      </c>
      <c r="AE8087">
        <v>-16.512540000000001</v>
      </c>
      <c r="AF8087">
        <v>-1.2051771114418499</v>
      </c>
      <c r="AG8087">
        <v>-1.1113997502220001</v>
      </c>
      <c r="AH8087">
        <v>16.616007508459798</v>
      </c>
      <c r="AI8087">
        <v>93.816663277322903</v>
      </c>
      <c r="AJ8087">
        <v>94.148460749275898</v>
      </c>
      <c r="AK8087">
        <v>16.6966873000584</v>
      </c>
      <c r="AL8087">
        <v>86.879214659600706</v>
      </c>
      <c r="AM8087">
        <v>95.935917224044601</v>
      </c>
      <c r="AN8087">
        <v>0.99999997816899999</v>
      </c>
    </row>
    <row r="8088" spans="1:40" x14ac:dyDescent="0.25">
      <c r="A8088" t="str">
        <f>"20190312150849971"</f>
        <v>20190312150849971</v>
      </c>
      <c r="B8088" t="str">
        <f>"1552374529958505"</f>
        <v>1552374529958505</v>
      </c>
      <c r="C8088" t="s">
        <v>40</v>
      </c>
      <c r="D8088">
        <v>4.6743790000000001</v>
      </c>
      <c r="E8088">
        <v>0.51369169999999997</v>
      </c>
      <c r="F8088" t="s">
        <v>42</v>
      </c>
      <c r="G8088">
        <v>-419.16149999999999</v>
      </c>
      <c r="H8088" s="1">
        <v>-2.154973E-6</v>
      </c>
      <c r="I8088">
        <v>44.309370000000001</v>
      </c>
      <c r="J8088">
        <v>-421.67619999999999</v>
      </c>
      <c r="K8088">
        <v>1.1113789999999999</v>
      </c>
      <c r="L8088">
        <v>59.630890000000001</v>
      </c>
      <c r="M8088">
        <v>9.0924550000000007E-2</v>
      </c>
      <c r="N8088">
        <v>0</v>
      </c>
      <c r="O8088">
        <v>-0.99578829999999996</v>
      </c>
      <c r="P8088">
        <v>0.19335849999999999</v>
      </c>
      <c r="Q8088">
        <v>4.2915590000000003E-2</v>
      </c>
      <c r="R8088">
        <v>-0.98018930000000004</v>
      </c>
      <c r="S8088">
        <v>0.48583979999999999</v>
      </c>
      <c r="T8088">
        <v>-0.21330569999999999</v>
      </c>
      <c r="U8088">
        <v>-2.9740600000000001</v>
      </c>
      <c r="V8088">
        <v>-0.1035855</v>
      </c>
      <c r="W8088">
        <v>5.4306790000000001E-2</v>
      </c>
      <c r="X8088">
        <v>0.99313689999999999</v>
      </c>
      <c r="Y8088">
        <v>-7.0409879999999994E-2</v>
      </c>
      <c r="Z8088">
        <v>7.0541969999999996E-2</v>
      </c>
      <c r="AA8088">
        <v>0.99502069999999998</v>
      </c>
      <c r="AB8088">
        <v>29</v>
      </c>
      <c r="AC8088">
        <v>2.5146999999999999</v>
      </c>
      <c r="AD8088">
        <v>-1.1113811549729999</v>
      </c>
      <c r="AE8088">
        <v>-15.32152</v>
      </c>
      <c r="AF8088">
        <v>-1.10541964462631</v>
      </c>
      <c r="AG8088">
        <v>-1.1113811549729999</v>
      </c>
      <c r="AH8088">
        <v>15.407766198778001</v>
      </c>
      <c r="AI8088">
        <v>94.115129160982093</v>
      </c>
      <c r="AJ8088">
        <v>94.103615366380694</v>
      </c>
      <c r="AK8088">
        <v>15.487297372316499</v>
      </c>
      <c r="AL8088">
        <v>86.886918789059493</v>
      </c>
      <c r="AM8088">
        <v>95.954495793409805</v>
      </c>
      <c r="AN8088">
        <v>1.0000000426959801</v>
      </c>
    </row>
    <row r="8089" spans="1:40" x14ac:dyDescent="0.25">
      <c r="A8089" t="str">
        <f>"20190312150849983"</f>
        <v>20190312150849983</v>
      </c>
      <c r="B8089" t="str">
        <f>"1552374529978026"</f>
        <v>1552374529978026</v>
      </c>
      <c r="C8089" t="s">
        <v>40</v>
      </c>
      <c r="D8089">
        <v>4.6778849999999998</v>
      </c>
      <c r="E8089">
        <v>0.51421399999999995</v>
      </c>
      <c r="F8089" t="s">
        <v>42</v>
      </c>
      <c r="G8089">
        <v>-419.26060000000001</v>
      </c>
      <c r="H8089" s="1">
        <v>-2.3724509999999999E-6</v>
      </c>
      <c r="I8089">
        <v>44.857280000000003</v>
      </c>
      <c r="J8089">
        <v>-421.6592</v>
      </c>
      <c r="K8089">
        <v>1.1113630000000001</v>
      </c>
      <c r="L8089">
        <v>59.454560000000001</v>
      </c>
      <c r="M8089">
        <v>9.1821529999999998E-2</v>
      </c>
      <c r="N8089">
        <v>0</v>
      </c>
      <c r="O8089">
        <v>-0.99570630000000004</v>
      </c>
      <c r="P8089">
        <v>0.19455790000000001</v>
      </c>
      <c r="Q8089">
        <v>4.2963559999999998E-2</v>
      </c>
      <c r="R8089">
        <v>-0.97994999999999999</v>
      </c>
      <c r="S8089">
        <v>0.48635859999999898</v>
      </c>
      <c r="T8089">
        <v>-0.2237633</v>
      </c>
      <c r="U8089">
        <v>-2.9744869999999999</v>
      </c>
      <c r="V8089">
        <v>-0.10390480000000001</v>
      </c>
      <c r="W8089">
        <v>5.435773E-2</v>
      </c>
      <c r="X8089">
        <v>0.99310069999999995</v>
      </c>
      <c r="Y8089">
        <v>-6.9617440000000003E-2</v>
      </c>
      <c r="Z8089">
        <v>7.3963199999999896E-2</v>
      </c>
      <c r="AA8089">
        <v>0.99482800000000005</v>
      </c>
      <c r="AB8089">
        <v>29</v>
      </c>
      <c r="AC8089">
        <v>2.3985999999999801</v>
      </c>
      <c r="AD8089">
        <v>-1.111365372451</v>
      </c>
      <c r="AE8089">
        <v>-14.59728</v>
      </c>
      <c r="AF8089">
        <v>-1.04214670306252</v>
      </c>
      <c r="AG8089">
        <v>-1.111365372451</v>
      </c>
      <c r="AH8089">
        <v>14.673046282176299</v>
      </c>
      <c r="AI8089">
        <v>94.320582225118002</v>
      </c>
      <c r="AJ8089">
        <v>94.062585656168395</v>
      </c>
      <c r="AK8089">
        <v>14.751931735900699</v>
      </c>
      <c r="AL8089">
        <v>86.8839956456994</v>
      </c>
      <c r="AM8089">
        <v>95.972934055428397</v>
      </c>
      <c r="AN8089">
        <v>0.99999998530714096</v>
      </c>
    </row>
    <row r="8090" spans="1:40" x14ac:dyDescent="0.25">
      <c r="A8090" t="str">
        <f>"20190312150849999"</f>
        <v>20190312150849999</v>
      </c>
      <c r="B8090" t="str">
        <f>"1552374529987786"</f>
        <v>1552374529987786</v>
      </c>
      <c r="C8090" t="s">
        <v>40</v>
      </c>
      <c r="D8090">
        <v>4.6819829999999998</v>
      </c>
      <c r="E8090">
        <v>0.51447860000000001</v>
      </c>
      <c r="F8090" t="s">
        <v>42</v>
      </c>
      <c r="G8090">
        <v>-419.33479999999997</v>
      </c>
      <c r="H8090" s="1">
        <v>-2.5136509999999999E-6</v>
      </c>
      <c r="I8090">
        <v>45.217109999999998</v>
      </c>
      <c r="J8090">
        <v>-421.64030000000002</v>
      </c>
      <c r="K8090">
        <v>1.111348</v>
      </c>
      <c r="L8090">
        <v>59.26126</v>
      </c>
      <c r="M8090">
        <v>9.2793790000000001E-2</v>
      </c>
      <c r="N8090">
        <v>0</v>
      </c>
      <c r="O8090">
        <v>-0.9956159</v>
      </c>
      <c r="P8090">
        <v>0.1958472</v>
      </c>
      <c r="Q8090">
        <v>4.3279070000000003E-2</v>
      </c>
      <c r="R8090">
        <v>-0.97967930000000003</v>
      </c>
      <c r="S8090">
        <v>0.48571779999999998</v>
      </c>
      <c r="T8090">
        <v>-0.23223640000000001</v>
      </c>
      <c r="U8090">
        <v>-2.9751280000000002</v>
      </c>
      <c r="V8090">
        <v>-0.1042421</v>
      </c>
      <c r="W8090">
        <v>5.4675309999999998E-2</v>
      </c>
      <c r="X8090">
        <v>0.99304800000000004</v>
      </c>
      <c r="Y8090">
        <v>-6.8366620000000003E-2</v>
      </c>
      <c r="Z8090">
        <v>7.6725580000000002E-2</v>
      </c>
      <c r="AA8090">
        <v>0.99470559999999997</v>
      </c>
      <c r="AB8090">
        <v>29</v>
      </c>
      <c r="AC8090">
        <v>2.3055000000000501</v>
      </c>
      <c r="AD8090">
        <v>-1.111350513651</v>
      </c>
      <c r="AE8090">
        <v>-14.04415</v>
      </c>
      <c r="AF8090">
        <v>-0.98623743486512705</v>
      </c>
      <c r="AG8090">
        <v>-1.111350513651</v>
      </c>
      <c r="AH8090">
        <v>14.111450194174299</v>
      </c>
      <c r="AI8090">
        <v>94.492135263689207</v>
      </c>
      <c r="AJ8090">
        <v>93.997853333301293</v>
      </c>
      <c r="AK8090">
        <v>14.189460554396801</v>
      </c>
      <c r="AL8090">
        <v>86.865772809808107</v>
      </c>
      <c r="AM8090">
        <v>95.992498472445007</v>
      </c>
      <c r="AN8090">
        <v>1.00000006762</v>
      </c>
    </row>
    <row r="8091" spans="1:40" x14ac:dyDescent="0.25">
      <c r="A8091" t="str">
        <f>"20190312150850013"</f>
        <v>20190312150850013</v>
      </c>
      <c r="B8091" t="str">
        <f>"1552374530008285"</f>
        <v>1552374530008285</v>
      </c>
      <c r="C8091" t="s">
        <v>40</v>
      </c>
      <c r="D8091">
        <v>4.6727589999999903</v>
      </c>
      <c r="E8091">
        <v>0.51488789999999995</v>
      </c>
      <c r="F8091" t="s">
        <v>42</v>
      </c>
      <c r="G8091">
        <v>-419.3365</v>
      </c>
      <c r="H8091" s="1">
        <v>-2.5084410000000001E-6</v>
      </c>
      <c r="I8091">
        <v>45.205669999999998</v>
      </c>
      <c r="J8091">
        <v>-421.62310000000002</v>
      </c>
      <c r="K8091">
        <v>1.1113379999999999</v>
      </c>
      <c r="L8091">
        <v>59.086239999999997</v>
      </c>
      <c r="M8091">
        <v>9.3670580000000003E-2</v>
      </c>
      <c r="N8091">
        <v>0</v>
      </c>
      <c r="O8091">
        <v>-0.99553389999999997</v>
      </c>
      <c r="P8091">
        <v>0.1970645</v>
      </c>
      <c r="Q8091">
        <v>4.3216339999999999E-2</v>
      </c>
      <c r="R8091">
        <v>-0.97943789999999997</v>
      </c>
      <c r="S8091">
        <v>0.48764039999999997</v>
      </c>
      <c r="T8091">
        <v>-0.23523820000000001</v>
      </c>
      <c r="U8091">
        <v>-2.9751280000000002</v>
      </c>
      <c r="V8091">
        <v>-0.1045999</v>
      </c>
      <c r="W8091">
        <v>5.4613420000000003E-2</v>
      </c>
      <c r="X8091">
        <v>0.9930137</v>
      </c>
      <c r="Y8091">
        <v>-6.8101819999999993E-2</v>
      </c>
      <c r="Z8091">
        <v>7.7698429999999999E-2</v>
      </c>
      <c r="AA8091">
        <v>0.99464819999999998</v>
      </c>
      <c r="AB8091">
        <v>29</v>
      </c>
      <c r="AC8091">
        <v>2.2866000000000199</v>
      </c>
      <c r="AD8091">
        <v>-1.111340508441</v>
      </c>
      <c r="AE8091">
        <v>-13.880570000000001</v>
      </c>
      <c r="AF8091">
        <v>-0.97019920249026903</v>
      </c>
      <c r="AG8091">
        <v>-1.111340508441</v>
      </c>
      <c r="AH8091">
        <v>13.946693314547201</v>
      </c>
      <c r="AI8091">
        <v>94.545042406888797</v>
      </c>
      <c r="AJ8091">
        <v>93.979359762696504</v>
      </c>
      <c r="AK8091">
        <v>14.0245006552195</v>
      </c>
      <c r="AL8091">
        <v>86.869323897452801</v>
      </c>
      <c r="AM8091">
        <v>96.013122828467004</v>
      </c>
      <c r="AN8091">
        <v>0.99999998655589795</v>
      </c>
    </row>
    <row r="8092" spans="1:40" x14ac:dyDescent="0.25">
      <c r="A8092" t="str">
        <f>"20190312150850026"</f>
        <v>20190312150850026</v>
      </c>
      <c r="B8092" t="str">
        <f>"1552374530018041"</f>
        <v>1552374530018041</v>
      </c>
      <c r="C8092" t="s">
        <v>40</v>
      </c>
      <c r="D8092">
        <v>4.6407439999999998</v>
      </c>
      <c r="E8092">
        <v>0.51511409999999902</v>
      </c>
      <c r="F8092" t="s">
        <v>42</v>
      </c>
      <c r="G8092">
        <v>-419.35149999999999</v>
      </c>
      <c r="H8092" s="1">
        <v>-2.5213470000000001E-6</v>
      </c>
      <c r="I8092">
        <v>45.241950000000003</v>
      </c>
      <c r="J8092">
        <v>-421.60469999999998</v>
      </c>
      <c r="K8092">
        <v>1.1113309999999901</v>
      </c>
      <c r="L8092">
        <v>58.901369999999901</v>
      </c>
      <c r="M8092">
        <v>9.4593609999999995E-2</v>
      </c>
      <c r="N8092">
        <v>0</v>
      </c>
      <c r="O8092">
        <v>-0.99544650000000001</v>
      </c>
      <c r="P8092">
        <v>0.19816300000000001</v>
      </c>
      <c r="Q8092">
        <v>4.3139469999999999E-2</v>
      </c>
      <c r="R8092">
        <v>-0.97921939999999996</v>
      </c>
      <c r="S8092">
        <v>0.4881897</v>
      </c>
      <c r="T8092">
        <v>-0.23883860000000001</v>
      </c>
      <c r="U8092">
        <v>-2.9752809999999998</v>
      </c>
      <c r="V8092">
        <v>-0.1047917</v>
      </c>
      <c r="W8092">
        <v>5.4538179999999999E-2</v>
      </c>
      <c r="X8092">
        <v>0.99299760000000004</v>
      </c>
      <c r="Y8092">
        <v>-6.7332459999999997E-2</v>
      </c>
      <c r="Z8092">
        <v>7.8866809999999996E-2</v>
      </c>
      <c r="AA8092">
        <v>0.99460859999999995</v>
      </c>
      <c r="AB8092">
        <v>29</v>
      </c>
      <c r="AC8092">
        <v>2.2531999999999899</v>
      </c>
      <c r="AD8092">
        <v>-1.1113335213469999</v>
      </c>
      <c r="AE8092">
        <v>-13.6594199999999</v>
      </c>
      <c r="AF8092">
        <v>-0.94482339693387996</v>
      </c>
      <c r="AG8092">
        <v>-1.1113335213469999</v>
      </c>
      <c r="AH8092">
        <v>13.7228831721939</v>
      </c>
      <c r="AI8092">
        <v>94.619047984875195</v>
      </c>
      <c r="AJ8092">
        <v>93.9386108689271</v>
      </c>
      <c r="AK8092">
        <v>13.8001911582683</v>
      </c>
      <c r="AL8092">
        <v>86.873641225693106</v>
      </c>
      <c r="AM8092">
        <v>96.024164762780103</v>
      </c>
      <c r="AN8092">
        <v>0.99999997353617998</v>
      </c>
    </row>
    <row r="8093" spans="1:40" x14ac:dyDescent="0.25">
      <c r="A8093" t="str">
        <f>"20190312150850038"</f>
        <v>20190312150850038</v>
      </c>
      <c r="B8093" t="str">
        <f>"1552374530027801"</f>
        <v>1552374530027801</v>
      </c>
      <c r="C8093" t="s">
        <v>40</v>
      </c>
      <c r="D8093">
        <v>4.6841499999999998</v>
      </c>
      <c r="E8093">
        <v>0.51534530000000001</v>
      </c>
      <c r="F8093" t="s">
        <v>42</v>
      </c>
      <c r="G8093">
        <v>-419.33760000000001</v>
      </c>
      <c r="H8093" s="1">
        <v>-2.474561E-6</v>
      </c>
      <c r="I8093">
        <v>45.12715</v>
      </c>
      <c r="J8093">
        <v>-421.58909999999997</v>
      </c>
      <c r="K8093">
        <v>1.111327</v>
      </c>
      <c r="L8093">
        <v>58.745480000000001</v>
      </c>
      <c r="M8093">
        <v>9.5369919999999997E-2</v>
      </c>
      <c r="N8093">
        <v>0</v>
      </c>
      <c r="O8093">
        <v>-0.99537249999999999</v>
      </c>
      <c r="P8093">
        <v>0.19926489999999999</v>
      </c>
      <c r="Q8093">
        <v>4.3042410000000003E-2</v>
      </c>
      <c r="R8093">
        <v>-0.97900010000000004</v>
      </c>
      <c r="S8093">
        <v>0.48968509999999998</v>
      </c>
      <c r="T8093">
        <v>-0.24004220000000001</v>
      </c>
      <c r="U8093">
        <v>-2.9751590000000001</v>
      </c>
      <c r="V8093">
        <v>-0.10513409999999999</v>
      </c>
      <c r="W8093">
        <v>5.4441059999999999E-2</v>
      </c>
      <c r="X8093">
        <v>0.99296680000000004</v>
      </c>
      <c r="Y8093">
        <v>-6.7042619999999997E-2</v>
      </c>
      <c r="Z8093">
        <v>7.9253690000000002E-2</v>
      </c>
      <c r="AA8093">
        <v>0.99459750000000002</v>
      </c>
      <c r="AB8093">
        <v>29</v>
      </c>
      <c r="AC8093">
        <v>2.2514999999999601</v>
      </c>
      <c r="AD8093">
        <v>-1.1113294745610001</v>
      </c>
      <c r="AE8093">
        <v>-13.61833</v>
      </c>
      <c r="AF8093">
        <v>-0.93629791721966904</v>
      </c>
      <c r="AG8093">
        <v>-1.1113294745610001</v>
      </c>
      <c r="AH8093">
        <v>13.682295711602199</v>
      </c>
      <c r="AI8093">
        <v>94.6328056748807</v>
      </c>
      <c r="AJ8093">
        <v>93.914724258786705</v>
      </c>
      <c r="AK8093">
        <v>13.7592486324852</v>
      </c>
      <c r="AL8093">
        <v>86.879214269414902</v>
      </c>
      <c r="AM8093">
        <v>96.043888954734797</v>
      </c>
      <c r="AN8093">
        <v>1.0000000369494799</v>
      </c>
    </row>
    <row r="8094" spans="1:40" x14ac:dyDescent="0.25">
      <c r="A8094" t="str">
        <f>"20190312150850051"</f>
        <v>20190312150850051</v>
      </c>
      <c r="B8094" t="str">
        <f>"1552374530048297"</f>
        <v>1552374530048297</v>
      </c>
      <c r="C8094" t="s">
        <v>40</v>
      </c>
      <c r="D8094">
        <v>4.6762379999999997</v>
      </c>
      <c r="E8094">
        <v>0.51580859999999995</v>
      </c>
      <c r="F8094" t="s">
        <v>42</v>
      </c>
      <c r="G8094">
        <v>-419.32420000000002</v>
      </c>
      <c r="H8094" s="1">
        <v>-2.434556E-6</v>
      </c>
      <c r="I8094">
        <v>45.02834</v>
      </c>
      <c r="J8094">
        <v>-421.57339999999999</v>
      </c>
      <c r="K8094">
        <v>1.1113230000000001</v>
      </c>
      <c r="L8094">
        <v>58.5899</v>
      </c>
      <c r="M8094">
        <v>9.6144160000000006E-2</v>
      </c>
      <c r="N8094">
        <v>0</v>
      </c>
      <c r="O8094">
        <v>-0.99529800000000002</v>
      </c>
      <c r="P8094">
        <v>0.20029259999999999</v>
      </c>
      <c r="Q8094">
        <v>4.2722959999999997E-2</v>
      </c>
      <c r="R8094">
        <v>-0.97880449999999997</v>
      </c>
      <c r="S8094">
        <v>0.49121090000000001</v>
      </c>
      <c r="T8094">
        <v>-0.2410252</v>
      </c>
      <c r="U8094">
        <v>-2.9749759999999998</v>
      </c>
      <c r="V8094">
        <v>-0.1054015</v>
      </c>
      <c r="W8094">
        <v>5.4121559999999999E-2</v>
      </c>
      <c r="X8094">
        <v>0.9929559</v>
      </c>
      <c r="Y8094">
        <v>-6.6768820000000006E-2</v>
      </c>
      <c r="Z8094">
        <v>7.9569550000000003E-2</v>
      </c>
      <c r="AA8094">
        <v>0.99459070000000005</v>
      </c>
      <c r="AB8094">
        <v>29</v>
      </c>
      <c r="AC8094">
        <v>2.2491999999999699</v>
      </c>
      <c r="AD8094">
        <v>-1.111325434556</v>
      </c>
      <c r="AE8094">
        <v>-13.56156</v>
      </c>
      <c r="AF8094">
        <v>-0.92875419198039599</v>
      </c>
      <c r="AG8094">
        <v>-1.111325434556</v>
      </c>
      <c r="AH8094">
        <v>13.625936410584</v>
      </c>
      <c r="AI8094">
        <v>94.651952213028807</v>
      </c>
      <c r="AJ8094">
        <v>93.8992928227525</v>
      </c>
      <c r="AK8094">
        <v>13.702692130960701</v>
      </c>
      <c r="AL8094">
        <v>86.897547244575406</v>
      </c>
      <c r="AM8094">
        <v>96.059212901167896</v>
      </c>
      <c r="AN8094">
        <v>1.0000000194019401</v>
      </c>
    </row>
    <row r="8095" spans="1:40" x14ac:dyDescent="0.25">
      <c r="A8095" t="str">
        <f>"20190312150850069"</f>
        <v>20190312150850069</v>
      </c>
      <c r="B8095" t="str">
        <f>"1552374530058057"</f>
        <v>1552374530058057</v>
      </c>
      <c r="C8095" t="s">
        <v>40</v>
      </c>
      <c r="D8095">
        <v>4.641769</v>
      </c>
      <c r="E8095">
        <v>0.51606260000000004</v>
      </c>
      <c r="F8095" t="s">
        <v>42</v>
      </c>
      <c r="G8095">
        <v>-419.28100000000001</v>
      </c>
      <c r="H8095" s="1">
        <v>-2.2936590000000001E-6</v>
      </c>
      <c r="I8095">
        <v>44.682040000000001</v>
      </c>
      <c r="J8095">
        <v>-421.55</v>
      </c>
      <c r="K8095">
        <v>1.11131</v>
      </c>
      <c r="L8095">
        <v>58.360410000000002</v>
      </c>
      <c r="M8095">
        <v>9.7286369999999997E-2</v>
      </c>
      <c r="N8095">
        <v>0</v>
      </c>
      <c r="O8095">
        <v>-0.99518700000000004</v>
      </c>
      <c r="P8095">
        <v>0.20229340000000001</v>
      </c>
      <c r="Q8095">
        <v>4.2630139999999997E-2</v>
      </c>
      <c r="R8095">
        <v>-0.97839699999999996</v>
      </c>
      <c r="S8095">
        <v>0.49035640000000003</v>
      </c>
      <c r="T8095">
        <v>-0.23771909999999999</v>
      </c>
      <c r="U8095">
        <v>-2.9749759999999998</v>
      </c>
      <c r="V8095">
        <v>-0.1062917</v>
      </c>
      <c r="W8095">
        <v>5.4026820000000003E-2</v>
      </c>
      <c r="X8095">
        <v>0.99286620000000003</v>
      </c>
      <c r="Y8095">
        <v>-6.535966E-2</v>
      </c>
      <c r="Z8095">
        <v>7.8477320000000003E-2</v>
      </c>
      <c r="AA8095">
        <v>0.99477110000000002</v>
      </c>
      <c r="AB8095">
        <v>29</v>
      </c>
      <c r="AC8095">
        <v>2.2690000000000001</v>
      </c>
      <c r="AD8095">
        <v>-1.1113122936589901</v>
      </c>
      <c r="AE8095">
        <v>-13.6783699999999</v>
      </c>
      <c r="AF8095">
        <v>-0.92150455598620296</v>
      </c>
      <c r="AG8095">
        <v>-1.1113122936589901</v>
      </c>
      <c r="AH8095">
        <v>13.745929056867601</v>
      </c>
      <c r="AI8095">
        <v>94.611812250261295</v>
      </c>
      <c r="AJ8095">
        <v>93.835276601074398</v>
      </c>
      <c r="AK8095">
        <v>13.821532161709801</v>
      </c>
      <c r="AL8095">
        <v>86.902983516504406</v>
      </c>
      <c r="AM8095">
        <v>96.110550139700393</v>
      </c>
      <c r="AN8095">
        <v>1.00000005693531</v>
      </c>
    </row>
    <row r="8096" spans="1:40" x14ac:dyDescent="0.25">
      <c r="A8096" t="str">
        <f>"20190312150850092"</f>
        <v>20190312150850092</v>
      </c>
      <c r="B8096" t="str">
        <f>"1552374530088314"</f>
        <v>1552374530088314</v>
      </c>
      <c r="C8096" t="s">
        <v>40</v>
      </c>
      <c r="D8096">
        <v>4.6752320000000003</v>
      </c>
      <c r="E8096">
        <v>0.51658720000000002</v>
      </c>
      <c r="F8096" t="s">
        <v>42</v>
      </c>
      <c r="G8096">
        <v>-419.22109999999998</v>
      </c>
      <c r="H8096" s="1">
        <v>-2.1581569999999998E-6</v>
      </c>
      <c r="I8096">
        <v>44.3414</v>
      </c>
      <c r="J8096">
        <v>-421.5204</v>
      </c>
      <c r="K8096">
        <v>1.1113090000000001</v>
      </c>
      <c r="L8096">
        <v>58.073700000000002</v>
      </c>
      <c r="M8096">
        <v>9.8714850000000007E-2</v>
      </c>
      <c r="N8096">
        <v>0</v>
      </c>
      <c r="O8096">
        <v>-0.99504630000000005</v>
      </c>
      <c r="P8096">
        <v>0.20487420000000001</v>
      </c>
      <c r="Q8096">
        <v>4.211264E-2</v>
      </c>
      <c r="R8096">
        <v>-0.97788229999999998</v>
      </c>
      <c r="S8096">
        <v>0.4941101</v>
      </c>
      <c r="T8096">
        <v>-0.23578099999999999</v>
      </c>
      <c r="U8096">
        <v>-2.974335</v>
      </c>
      <c r="V8096">
        <v>-0.10748249999999999</v>
      </c>
      <c r="W8096">
        <v>5.3506390000000001E-2</v>
      </c>
      <c r="X8096">
        <v>0.99276609999999998</v>
      </c>
      <c r="Y8096">
        <v>-6.5191849999999996E-2</v>
      </c>
      <c r="Z8096">
        <v>7.7833959999999994E-2</v>
      </c>
      <c r="AA8096">
        <v>0.99483259999999996</v>
      </c>
      <c r="AB8096">
        <v>29</v>
      </c>
      <c r="AC8096">
        <v>2.2993000000000099</v>
      </c>
      <c r="AD8096">
        <v>-1.1113111581569901</v>
      </c>
      <c r="AE8096">
        <v>-13.7323</v>
      </c>
      <c r="AF8096">
        <v>-0.92649022164374395</v>
      </c>
      <c r="AG8096">
        <v>-1.1113111581569901</v>
      </c>
      <c r="AH8096">
        <v>13.804268864543101</v>
      </c>
      <c r="AI8096">
        <v>94.592376841845194</v>
      </c>
      <c r="AJ8096">
        <v>93.839717090797294</v>
      </c>
      <c r="AK8096">
        <v>13.879886004778299</v>
      </c>
      <c r="AL8096">
        <v>86.9328449014467</v>
      </c>
      <c r="AM8096">
        <v>96.179099029112507</v>
      </c>
      <c r="AN8096">
        <v>0.99999997544314501</v>
      </c>
    </row>
    <row r="8097" spans="1:40" x14ac:dyDescent="0.25">
      <c r="A8097" t="str">
        <f>"20190312150850113"</f>
        <v>20190312150850113</v>
      </c>
      <c r="B8097" t="str">
        <f>"1552374530107833"</f>
        <v>1552374530107833</v>
      </c>
      <c r="C8097" t="s">
        <v>40</v>
      </c>
      <c r="D8097">
        <v>4.6552089999999904</v>
      </c>
      <c r="E8097">
        <v>0.51682090000000003</v>
      </c>
      <c r="F8097" t="s">
        <v>42</v>
      </c>
      <c r="G8097">
        <v>-419.13920000000002</v>
      </c>
      <c r="H8097" s="1">
        <v>-1.966901E-6</v>
      </c>
      <c r="I8097">
        <v>43.861719999999998</v>
      </c>
      <c r="J8097">
        <v>-421.49029999999999</v>
      </c>
      <c r="K8097">
        <v>1.111305</v>
      </c>
      <c r="L8097">
        <v>57.787019999999998</v>
      </c>
      <c r="M8097">
        <v>0.10014579999999999</v>
      </c>
      <c r="N8097">
        <v>0</v>
      </c>
      <c r="O8097">
        <v>-0.99490339999999999</v>
      </c>
      <c r="P8097">
        <v>0.20777509999999999</v>
      </c>
      <c r="Q8097">
        <v>4.1974869999999997E-2</v>
      </c>
      <c r="R8097">
        <v>-0.97727589999999998</v>
      </c>
      <c r="S8097">
        <v>0.49819950000000002</v>
      </c>
      <c r="T8097">
        <v>-0.23251240000000001</v>
      </c>
      <c r="U8097">
        <v>-2.9734799999999999</v>
      </c>
      <c r="V8097">
        <v>-0.1090004</v>
      </c>
      <c r="W8097">
        <v>5.3363059999999997E-2</v>
      </c>
      <c r="X8097">
        <v>0.9926083</v>
      </c>
      <c r="Y8097">
        <v>-6.5147869999999997E-2</v>
      </c>
      <c r="Z8097">
        <v>7.6758119999999999E-2</v>
      </c>
      <c r="AA8097">
        <v>0.99491909999999895</v>
      </c>
      <c r="AB8097">
        <v>29</v>
      </c>
      <c r="AC8097">
        <v>2.35109999999997</v>
      </c>
      <c r="AD8097">
        <v>-1.1113069669010001</v>
      </c>
      <c r="AE8097">
        <v>-13.9253</v>
      </c>
      <c r="AF8097">
        <v>-0.93880888741709301</v>
      </c>
      <c r="AG8097">
        <v>-1.1113069669010001</v>
      </c>
      <c r="AH8097">
        <v>14.0040364680452</v>
      </c>
      <c r="AI8097">
        <v>94.527147262454093</v>
      </c>
      <c r="AJ8097">
        <v>93.835281625589303</v>
      </c>
      <c r="AK8097">
        <v>14.0793963897646</v>
      </c>
      <c r="AL8097">
        <v>86.941068839184595</v>
      </c>
      <c r="AM8097">
        <v>96.266660996846895</v>
      </c>
      <c r="AN8097">
        <v>0.99999997030080601</v>
      </c>
    </row>
    <row r="8098" spans="1:40" x14ac:dyDescent="0.25">
      <c r="A8098" t="str">
        <f>"20190312150850127"</f>
        <v>20190312150850127</v>
      </c>
      <c r="B8098" t="str">
        <f>"1552374530117593"</f>
        <v>1552374530117593</v>
      </c>
      <c r="C8098" t="s">
        <v>40</v>
      </c>
      <c r="D8098">
        <v>4.6535739999999999</v>
      </c>
      <c r="E8098">
        <v>0.51726359999999905</v>
      </c>
      <c r="F8098" t="s">
        <v>42</v>
      </c>
      <c r="G8098">
        <v>-419.06729999999999</v>
      </c>
      <c r="H8098" s="1">
        <v>-1.83507E-6</v>
      </c>
      <c r="I8098">
        <v>43.524700000000003</v>
      </c>
      <c r="J8098">
        <v>-421.47230000000002</v>
      </c>
      <c r="K8098">
        <v>1.111305</v>
      </c>
      <c r="L8098">
        <v>57.616639999999997</v>
      </c>
      <c r="M8098">
        <v>0.10099760000000001</v>
      </c>
      <c r="N8098">
        <v>0</v>
      </c>
      <c r="O8098">
        <v>-0.99481739999999996</v>
      </c>
      <c r="P8098">
        <v>0.20920810000000001</v>
      </c>
      <c r="Q8098">
        <v>4.2001080000000003E-2</v>
      </c>
      <c r="R8098">
        <v>-0.97696910000000003</v>
      </c>
      <c r="S8098">
        <v>0.50497440000000005</v>
      </c>
      <c r="T8098">
        <v>-0.2316028</v>
      </c>
      <c r="U8098">
        <v>-2.9723510000000002</v>
      </c>
      <c r="V8098">
        <v>-0.1096066</v>
      </c>
      <c r="W8098">
        <v>5.338735E-2</v>
      </c>
      <c r="X8098">
        <v>0.99254030000000004</v>
      </c>
      <c r="Y8098">
        <v>-6.6563830000000004E-2</v>
      </c>
      <c r="Z8098">
        <v>7.646029E-2</v>
      </c>
      <c r="AA8098">
        <v>0.99484830000000002</v>
      </c>
      <c r="AB8098">
        <v>29</v>
      </c>
      <c r="AC8098">
        <v>2.4050000000000198</v>
      </c>
      <c r="AD8098">
        <v>-1.1113068350699999</v>
      </c>
      <c r="AE8098">
        <v>-14.091939999999999</v>
      </c>
      <c r="AF8098">
        <v>-0.96352786414022096</v>
      </c>
      <c r="AG8098">
        <v>-1.1113068350699999</v>
      </c>
      <c r="AH8098">
        <v>14.1771159560857</v>
      </c>
      <c r="AI8098">
        <v>94.471826346420002</v>
      </c>
      <c r="AJ8098">
        <v>93.888048537031594</v>
      </c>
      <c r="AK8098">
        <v>14.2532103632462</v>
      </c>
      <c r="AL8098">
        <v>86.939675325486505</v>
      </c>
      <c r="AM8098">
        <v>96.3016613576319</v>
      </c>
      <c r="AN8098">
        <v>1.00000003151383</v>
      </c>
    </row>
    <row r="8099" spans="1:40" x14ac:dyDescent="0.25">
      <c r="A8099" t="str">
        <f>"20190312150850139"</f>
        <v>20190312150850139</v>
      </c>
      <c r="B8099" t="str">
        <f>"1552374530128330"</f>
        <v>1552374530128330</v>
      </c>
      <c r="C8099" t="s">
        <v>40</v>
      </c>
      <c r="D8099">
        <v>4.6608809999999998</v>
      </c>
      <c r="E8099">
        <v>0.5174261</v>
      </c>
      <c r="F8099" t="s">
        <v>42</v>
      </c>
      <c r="G8099">
        <v>-419.01960000000003</v>
      </c>
      <c r="H8099" s="1">
        <v>-1.7089489999999999E-6</v>
      </c>
      <c r="I8099">
        <v>43.211010000000002</v>
      </c>
      <c r="J8099">
        <v>-421.45479999999998</v>
      </c>
      <c r="K8099">
        <v>1.111305</v>
      </c>
      <c r="L8099">
        <v>57.453310000000002</v>
      </c>
      <c r="M8099">
        <v>0.101815</v>
      </c>
      <c r="N8099">
        <v>0</v>
      </c>
      <c r="O8099">
        <v>-0.99473400000000001</v>
      </c>
      <c r="P8099">
        <v>0.21062339999999999</v>
      </c>
      <c r="Q8099">
        <v>4.2150430000000003E-2</v>
      </c>
      <c r="R8099">
        <v>-0.97665849999999998</v>
      </c>
      <c r="S8099">
        <v>0.50604249999999995</v>
      </c>
      <c r="T8099">
        <v>-0.2292894</v>
      </c>
      <c r="U8099">
        <v>-2.972229</v>
      </c>
      <c r="V8099">
        <v>-0.11023040000000001</v>
      </c>
      <c r="W8099">
        <v>5.3535430000000002E-2</v>
      </c>
      <c r="X8099">
        <v>0.99246319999999999</v>
      </c>
      <c r="Y8099">
        <v>-6.6108E-2</v>
      </c>
      <c r="Z8099">
        <v>7.5693490000000002E-2</v>
      </c>
      <c r="AA8099">
        <v>0.99493730000000002</v>
      </c>
      <c r="AB8099">
        <v>29</v>
      </c>
      <c r="AC8099">
        <v>2.4351999999999498</v>
      </c>
      <c r="AD8099">
        <v>-1.1113067089489901</v>
      </c>
      <c r="AE8099">
        <v>-14.2423</v>
      </c>
      <c r="AF8099">
        <v>-0.96664533610296399</v>
      </c>
      <c r="AG8099">
        <v>-1.1113067089489901</v>
      </c>
      <c r="AH8099">
        <v>14.331456498536699</v>
      </c>
      <c r="AI8099">
        <v>94.424012131307194</v>
      </c>
      <c r="AJ8099">
        <v>93.858710216123399</v>
      </c>
      <c r="AK8099">
        <v>14.4069445468709</v>
      </c>
      <c r="AL8099">
        <v>86.931178698780997</v>
      </c>
      <c r="AM8099">
        <v>96.337723105099997</v>
      </c>
      <c r="AN8099">
        <v>0.99999999335184198</v>
      </c>
    </row>
    <row r="8100" spans="1:40" x14ac:dyDescent="0.25">
      <c r="A8100" t="str">
        <f>"20190312150850152"</f>
        <v>20190312150850152</v>
      </c>
      <c r="B8100" t="str">
        <f>"1552374530147850"</f>
        <v>1552374530147850</v>
      </c>
      <c r="C8100" t="s">
        <v>40</v>
      </c>
      <c r="D8100">
        <v>4.9056810000000004</v>
      </c>
      <c r="E8100">
        <v>0.50214820000000004</v>
      </c>
      <c r="F8100" t="s">
        <v>42</v>
      </c>
      <c r="G8100">
        <v>-418.97460000000001</v>
      </c>
      <c r="H8100" s="1">
        <v>-1.6147899999999999E-6</v>
      </c>
      <c r="I8100">
        <v>42.972920000000002</v>
      </c>
      <c r="J8100">
        <v>-421.43709999999999</v>
      </c>
      <c r="K8100">
        <v>1.111307</v>
      </c>
      <c r="L8100">
        <v>57.288330000000002</v>
      </c>
      <c r="M8100">
        <v>0.10264089999999999</v>
      </c>
      <c r="N8100">
        <v>0</v>
      </c>
      <c r="O8100">
        <v>-0.9946488</v>
      </c>
      <c r="P8100">
        <v>0.21221680000000001</v>
      </c>
      <c r="Q8100">
        <v>4.2369770000000001E-2</v>
      </c>
      <c r="R8100">
        <v>-0.97630380000000005</v>
      </c>
      <c r="S8100">
        <v>0.50900270000000003</v>
      </c>
      <c r="T8100">
        <v>-0.22807050000000001</v>
      </c>
      <c r="U8100">
        <v>-2.9717709999999999</v>
      </c>
      <c r="V8100">
        <v>-0.111027399999999</v>
      </c>
      <c r="W8100">
        <v>5.3752090000000002E-2</v>
      </c>
      <c r="X8100">
        <v>0.99236259999999998</v>
      </c>
      <c r="Y8100">
        <v>-6.6273059999999995E-2</v>
      </c>
      <c r="Z8100">
        <v>7.5288530000000006E-2</v>
      </c>
      <c r="AA8100">
        <v>0.99495699999999998</v>
      </c>
      <c r="AB8100">
        <v>29</v>
      </c>
      <c r="AC8100">
        <v>2.4624999999999702</v>
      </c>
      <c r="AD8100">
        <v>-1.11130861479</v>
      </c>
      <c r="AE8100">
        <v>-14.31541</v>
      </c>
      <c r="AF8100">
        <v>-0.97434096179726604</v>
      </c>
      <c r="AG8100">
        <v>-1.11130861479</v>
      </c>
      <c r="AH8100">
        <v>14.4082280015951</v>
      </c>
      <c r="AI8100">
        <v>94.400488490024799</v>
      </c>
      <c r="AJ8100">
        <v>93.868675652694904</v>
      </c>
      <c r="AK8100">
        <v>14.483831719993599</v>
      </c>
      <c r="AL8100">
        <v>86.918746962509303</v>
      </c>
      <c r="AM8100">
        <v>96.383811673502294</v>
      </c>
      <c r="AN8100">
        <v>0.999999950304442</v>
      </c>
    </row>
    <row r="8101" spans="1:40" x14ac:dyDescent="0.25">
      <c r="A8101" t="str">
        <f>"20190312150850165"</f>
        <v>20190312150850165</v>
      </c>
      <c r="B8101" t="str">
        <f>"1552374530157610"</f>
        <v>1552374530157610</v>
      </c>
      <c r="C8101" t="s">
        <v>40</v>
      </c>
      <c r="D8101">
        <v>4.6134829999999996</v>
      </c>
      <c r="E8101">
        <v>0.49071730000000002</v>
      </c>
      <c r="F8101" t="s">
        <v>42</v>
      </c>
      <c r="G8101">
        <v>-418.37009999999998</v>
      </c>
      <c r="H8101" s="1">
        <v>-1.739009E-6</v>
      </c>
      <c r="I8101">
        <v>43.012500000000003</v>
      </c>
      <c r="J8101">
        <v>-421.41919999999999</v>
      </c>
      <c r="K8101">
        <v>1.1113090000000001</v>
      </c>
      <c r="L8101">
        <v>57.123080000000002</v>
      </c>
      <c r="M8101">
        <v>0.1034683</v>
      </c>
      <c r="N8101">
        <v>0</v>
      </c>
      <c r="O8101">
        <v>-0.99456310000000003</v>
      </c>
      <c r="P8101">
        <v>0.21359030000000001</v>
      </c>
      <c r="Q8101">
        <v>4.2456540000000001E-2</v>
      </c>
      <c r="R8101">
        <v>-0.97600030000000004</v>
      </c>
      <c r="S8101">
        <v>0.63275150000000002</v>
      </c>
      <c r="T8101">
        <v>-0.22927429999999999</v>
      </c>
      <c r="U8101">
        <v>-2.9452509999999998</v>
      </c>
      <c r="V8101">
        <v>-0.111599</v>
      </c>
      <c r="W8101">
        <v>5.3836830000000002E-2</v>
      </c>
      <c r="X8101">
        <v>0.99229400000000001</v>
      </c>
      <c r="Y8101">
        <v>-0.10714220000000001</v>
      </c>
      <c r="Z8101">
        <v>7.590566E-2</v>
      </c>
      <c r="AA8101">
        <v>0.9913419</v>
      </c>
      <c r="AB8101">
        <v>29</v>
      </c>
      <c r="AC8101">
        <v>3.0491000000000001</v>
      </c>
      <c r="AD8101">
        <v>-1.111310739009</v>
      </c>
      <c r="AE8101">
        <v>-14.110580000000001</v>
      </c>
      <c r="AF8101">
        <v>-1.5633690422253199</v>
      </c>
      <c r="AG8101">
        <v>-1.111310739009</v>
      </c>
      <c r="AH8101">
        <v>14.2658023506765</v>
      </c>
      <c r="AI8101">
        <v>94.427960981704402</v>
      </c>
      <c r="AJ8101">
        <v>96.254006718172604</v>
      </c>
      <c r="AK8101">
        <v>14.394174204496499</v>
      </c>
      <c r="AL8101">
        <v>86.9138850217347</v>
      </c>
      <c r="AM8101">
        <v>96.416843797614305</v>
      </c>
      <c r="AN8101">
        <v>1.0000000617507201</v>
      </c>
    </row>
    <row r="8102" spans="1:40" x14ac:dyDescent="0.25">
      <c r="A8102" t="str">
        <f>"20190312150850178"</f>
        <v>20190312150850178</v>
      </c>
      <c r="B8102" t="str">
        <f>"1552374530168345"</f>
        <v>1552374530168345</v>
      </c>
      <c r="C8102" t="s">
        <v>40</v>
      </c>
      <c r="D8102">
        <v>4.61327</v>
      </c>
      <c r="E8102">
        <v>0.49071730000000002</v>
      </c>
      <c r="F8102" t="s">
        <v>42</v>
      </c>
      <c r="G8102">
        <v>-418.14729999999997</v>
      </c>
      <c r="H8102" s="1">
        <v>-2.1830729999999998E-6</v>
      </c>
      <c r="I8102">
        <v>43.955489999999998</v>
      </c>
      <c r="J8102">
        <v>-421.40030000000002</v>
      </c>
      <c r="K8102">
        <v>1.111308</v>
      </c>
      <c r="L8102">
        <v>56.950069999999997</v>
      </c>
      <c r="M8102">
        <v>0.1043347</v>
      </c>
      <c r="N8102">
        <v>0</v>
      </c>
      <c r="O8102">
        <v>-0.99447260000000004</v>
      </c>
      <c r="P8102">
        <v>0.2150638</v>
      </c>
      <c r="Q8102">
        <v>4.2735790000000003E-2</v>
      </c>
      <c r="R8102">
        <v>-0.97566450000000005</v>
      </c>
      <c r="S8102">
        <v>0.72692869999999998</v>
      </c>
      <c r="T8102">
        <v>-0.24690029999999999</v>
      </c>
      <c r="U8102">
        <v>-2.925446</v>
      </c>
      <c r="V8102">
        <v>-0.1122351</v>
      </c>
      <c r="W8102">
        <v>5.4113950000000001E-2</v>
      </c>
      <c r="X8102">
        <v>0.99220710000000001</v>
      </c>
      <c r="Y8102">
        <v>-0.1377621</v>
      </c>
      <c r="Z8102">
        <v>8.1779790000000005E-2</v>
      </c>
      <c r="AA8102">
        <v>0.98708340000000006</v>
      </c>
      <c r="AB8102">
        <v>29</v>
      </c>
      <c r="AC8102">
        <v>3.2530000000000401</v>
      </c>
      <c r="AD8102">
        <v>-1.1113101830729999</v>
      </c>
      <c r="AE8102">
        <v>-12.9945799999999</v>
      </c>
      <c r="AF8102">
        <v>-1.8665175514115899</v>
      </c>
      <c r="AG8102">
        <v>-1.1113101830729999</v>
      </c>
      <c r="AH8102">
        <v>13.1724135209727</v>
      </c>
      <c r="AI8102">
        <v>94.774948385565693</v>
      </c>
      <c r="AJ8102">
        <v>98.065061112419997</v>
      </c>
      <c r="AK8102">
        <v>13.3503324325739</v>
      </c>
      <c r="AL8102">
        <v>86.897983793168294</v>
      </c>
      <c r="AM8102">
        <v>96.453671737051906</v>
      </c>
      <c r="AN8102">
        <v>0.99999998327351103</v>
      </c>
    </row>
    <row r="8103" spans="1:40" x14ac:dyDescent="0.25">
      <c r="A8103" t="str">
        <f>"20190312150850190"</f>
        <v>20190312150850190</v>
      </c>
      <c r="B8103" t="str">
        <f>"1552374530187866"</f>
        <v>1552374530187866</v>
      </c>
      <c r="C8103" t="s">
        <v>40</v>
      </c>
      <c r="D8103">
        <v>4.6847629999999896</v>
      </c>
      <c r="E8103">
        <v>0.44550600000000001</v>
      </c>
      <c r="F8103" t="s">
        <v>42</v>
      </c>
      <c r="G8103">
        <v>-418.09660000000002</v>
      </c>
      <c r="H8103" s="1">
        <v>-2.1005180000000001E-6</v>
      </c>
      <c r="I8103">
        <v>43.742080000000001</v>
      </c>
      <c r="J8103">
        <v>-421.38290000000001</v>
      </c>
      <c r="K8103">
        <v>1.1113010000000001</v>
      </c>
      <c r="L8103">
        <v>56.792630000000003</v>
      </c>
      <c r="M8103">
        <v>0.10512299999999999</v>
      </c>
      <c r="N8103">
        <v>0</v>
      </c>
      <c r="O8103">
        <v>-0.99438950000000004</v>
      </c>
      <c r="P8103">
        <v>0.21705869999999999</v>
      </c>
      <c r="Q8103">
        <v>4.2562059999999999E-2</v>
      </c>
      <c r="R8103">
        <v>-0.9752305</v>
      </c>
      <c r="S8103">
        <v>0.73147580000000001</v>
      </c>
      <c r="T8103">
        <v>-0.24605479999999999</v>
      </c>
      <c r="U8103">
        <v>-2.9243769999999998</v>
      </c>
      <c r="V8103">
        <v>-0.1134776</v>
      </c>
      <c r="W8103">
        <v>5.3935869999999997E-2</v>
      </c>
      <c r="X8103">
        <v>0.9920755</v>
      </c>
      <c r="Y8103">
        <v>-0.13851179999999999</v>
      </c>
      <c r="Z8103">
        <v>8.1500840000000005E-2</v>
      </c>
      <c r="AA8103">
        <v>0.98700149999999998</v>
      </c>
      <c r="AB8103">
        <v>29</v>
      </c>
      <c r="AC8103">
        <v>3.2862999999999798</v>
      </c>
      <c r="AD8103">
        <v>-1.1113031005180001</v>
      </c>
      <c r="AE8103">
        <v>-13.050549999999999</v>
      </c>
      <c r="AF8103">
        <v>-1.88323932583721</v>
      </c>
      <c r="AG8103">
        <v>-1.1113031005180001</v>
      </c>
      <c r="AH8103">
        <v>13.2334832602016</v>
      </c>
      <c r="AI8103">
        <v>94.7525825345313</v>
      </c>
      <c r="AJ8103">
        <v>98.099302991716399</v>
      </c>
      <c r="AK8103">
        <v>13.4129289917466</v>
      </c>
      <c r="AL8103">
        <v>86.908202064427002</v>
      </c>
      <c r="AM8103">
        <v>96.5253624952352</v>
      </c>
      <c r="AN8103">
        <v>1.0000000207373301</v>
      </c>
    </row>
    <row r="8104" spans="1:40" x14ac:dyDescent="0.25">
      <c r="A8104" t="str">
        <f>"20190312150850205"</f>
        <v>20190312150850205</v>
      </c>
      <c r="B8104" t="str">
        <f>"1552374530197626"</f>
        <v>1552374530197626</v>
      </c>
      <c r="C8104" t="s">
        <v>40</v>
      </c>
      <c r="D8104">
        <v>4.6343809999999896</v>
      </c>
      <c r="E8104">
        <v>0.44545410000000002</v>
      </c>
      <c r="F8104" t="s">
        <v>42</v>
      </c>
      <c r="G8104">
        <v>-416.75060000000002</v>
      </c>
      <c r="H8104" s="1">
        <v>-2.7523739999999998E-6</v>
      </c>
      <c r="I8104">
        <v>44.705039999999997</v>
      </c>
      <c r="J8104">
        <v>-421.36250000000001</v>
      </c>
      <c r="K8104">
        <v>1.1113010000000001</v>
      </c>
      <c r="L8104">
        <v>56.608179999999997</v>
      </c>
      <c r="M8104">
        <v>0.1060465</v>
      </c>
      <c r="N8104">
        <v>0</v>
      </c>
      <c r="O8104">
        <v>-0.99429160000000005</v>
      </c>
      <c r="P8104">
        <v>0.21854489999999999</v>
      </c>
      <c r="Q8104">
        <v>4.2808520000000003E-2</v>
      </c>
      <c r="R8104">
        <v>-0.97488759999999997</v>
      </c>
      <c r="S8104">
        <v>1.090271</v>
      </c>
      <c r="T8104">
        <v>-0.26155689999999998</v>
      </c>
      <c r="U8104">
        <v>-2.8449399999999998</v>
      </c>
      <c r="V8104">
        <v>-0.1140702</v>
      </c>
      <c r="W8104">
        <v>5.4180609999999997E-2</v>
      </c>
      <c r="X8104">
        <v>0.99199420000000005</v>
      </c>
      <c r="Y8104">
        <v>-0.25547009999999998</v>
      </c>
      <c r="Z8104">
        <v>8.6234699999999997E-2</v>
      </c>
      <c r="AA8104">
        <v>0.96296349999999997</v>
      </c>
      <c r="AB8104">
        <v>29</v>
      </c>
      <c r="AC8104">
        <v>4.6118999999999897</v>
      </c>
      <c r="AD8104">
        <v>-1.1113037523739999</v>
      </c>
      <c r="AE8104">
        <v>-11.903139999999899</v>
      </c>
      <c r="AF8104">
        <v>-3.2985182533936999</v>
      </c>
      <c r="AG8104">
        <v>-1.1113037523739999</v>
      </c>
      <c r="AH8104">
        <v>12.2324137834506</v>
      </c>
      <c r="AI8104">
        <v>95.012925984943806</v>
      </c>
      <c r="AJ8104">
        <v>105.09109157474001</v>
      </c>
      <c r="AK8104">
        <v>12.7179859123827</v>
      </c>
      <c r="AL8104">
        <v>86.894158962161399</v>
      </c>
      <c r="AM8104">
        <v>96.559675779772604</v>
      </c>
      <c r="AN8104">
        <v>1.00000002093082</v>
      </c>
    </row>
    <row r="8105" spans="1:40" x14ac:dyDescent="0.25">
      <c r="A8105" t="str">
        <f>"20190312150850218"</f>
        <v>20190312150850218</v>
      </c>
      <c r="B8105" t="str">
        <f>"1552374530208364"</f>
        <v>1552374530208364</v>
      </c>
      <c r="C8105" t="s">
        <v>40</v>
      </c>
      <c r="D8105">
        <v>4.6291099999999998</v>
      </c>
      <c r="E8105">
        <v>0.44574380000000002</v>
      </c>
      <c r="F8105" t="s">
        <v>42</v>
      </c>
      <c r="G8105">
        <v>-416.7774</v>
      </c>
      <c r="H8105" s="1">
        <v>-2.7462589999999998E-6</v>
      </c>
      <c r="I8105">
        <v>44.70187</v>
      </c>
      <c r="J8105">
        <v>-421.34300000000002</v>
      </c>
      <c r="K8105">
        <v>1.111299</v>
      </c>
      <c r="L8105">
        <v>56.434660000000001</v>
      </c>
      <c r="M8105">
        <v>0.1069152</v>
      </c>
      <c r="N8105">
        <v>0</v>
      </c>
      <c r="O8105">
        <v>-0.99419869999999999</v>
      </c>
      <c r="P8105">
        <v>0.21986939999999999</v>
      </c>
      <c r="Q8105">
        <v>4.2992549999999997E-2</v>
      </c>
      <c r="R8105">
        <v>-0.97458210000000001</v>
      </c>
      <c r="S8105">
        <v>1.0950009999999999</v>
      </c>
      <c r="T8105">
        <v>-0.26539970000000002</v>
      </c>
      <c r="U8105">
        <v>-2.843445</v>
      </c>
      <c r="V8105">
        <v>-0.114553</v>
      </c>
      <c r="W8105">
        <v>5.4362969999999997E-2</v>
      </c>
      <c r="X8105">
        <v>0.99192860000000005</v>
      </c>
      <c r="Y8105">
        <v>-0.25615139999999997</v>
      </c>
      <c r="Z8105">
        <v>8.7488850000000007E-2</v>
      </c>
      <c r="AA8105">
        <v>0.96266929999999995</v>
      </c>
      <c r="AB8105">
        <v>29</v>
      </c>
      <c r="AC8105">
        <v>4.5656000000000097</v>
      </c>
      <c r="AD8105">
        <v>-1.111301746259</v>
      </c>
      <c r="AE8105">
        <v>-11.73279</v>
      </c>
      <c r="AF8105">
        <v>-3.2595298683003402</v>
      </c>
      <c r="AG8105">
        <v>-1.111301746259</v>
      </c>
      <c r="AH8105">
        <v>12.059731219755999</v>
      </c>
      <c r="AI8105">
        <v>95.083523603290203</v>
      </c>
      <c r="AJ8105">
        <v>105.124640681605</v>
      </c>
      <c r="AK8105">
        <v>12.5417958692661</v>
      </c>
      <c r="AL8105">
        <v>86.883695125949103</v>
      </c>
      <c r="AM8105">
        <v>96.587627797483705</v>
      </c>
      <c r="AN8105">
        <v>1.0000000349070799</v>
      </c>
    </row>
    <row r="8106" spans="1:40" x14ac:dyDescent="0.25">
      <c r="A8106" t="str">
        <f>"20190312150850230"</f>
        <v>20190312150850230</v>
      </c>
      <c r="B8106" t="str">
        <f>"1552374530227882"</f>
        <v>1552374530227882</v>
      </c>
      <c r="C8106" t="s">
        <v>40</v>
      </c>
      <c r="D8106">
        <v>4.6084420000000001</v>
      </c>
      <c r="E8106">
        <v>0.4460655</v>
      </c>
      <c r="F8106" t="s">
        <v>42</v>
      </c>
      <c r="G8106">
        <v>-416.85520000000002</v>
      </c>
      <c r="H8106" s="1">
        <v>-2.7785869999999998E-6</v>
      </c>
      <c r="I8106">
        <v>44.809399999999997</v>
      </c>
      <c r="J8106">
        <v>-421.32569999999998</v>
      </c>
      <c r="K8106">
        <v>1.1113040000000001</v>
      </c>
      <c r="L8106">
        <v>56.28049</v>
      </c>
      <c r="M8106">
        <v>0.1076869</v>
      </c>
      <c r="N8106">
        <v>0</v>
      </c>
      <c r="O8106">
        <v>-0.99411539999999998</v>
      </c>
      <c r="P8106">
        <v>0.22099379999999999</v>
      </c>
      <c r="Q8106">
        <v>4.2966740000000003E-2</v>
      </c>
      <c r="R8106">
        <v>-0.97432879999999999</v>
      </c>
      <c r="S8106">
        <v>1.0973820000000001</v>
      </c>
      <c r="T8106">
        <v>-0.27173969999999997</v>
      </c>
      <c r="U8106">
        <v>-2.842651</v>
      </c>
      <c r="V8106">
        <v>-0.11492769999999999</v>
      </c>
      <c r="W8106">
        <v>5.4335830000000002E-2</v>
      </c>
      <c r="X8106">
        <v>0.99188670000000001</v>
      </c>
      <c r="Y8106">
        <v>-0.25612669999999998</v>
      </c>
      <c r="Z8106">
        <v>8.9560799999999996E-2</v>
      </c>
      <c r="AA8106">
        <v>0.96248529999999999</v>
      </c>
      <c r="AB8106">
        <v>29</v>
      </c>
      <c r="AC8106">
        <v>4.4704999999999497</v>
      </c>
      <c r="AD8106">
        <v>-1.1113067785870001</v>
      </c>
      <c r="AE8106">
        <v>-11.47109</v>
      </c>
      <c r="AF8106">
        <v>-3.18319173064081</v>
      </c>
      <c r="AG8106">
        <v>-1.1113067785870001</v>
      </c>
      <c r="AH8106">
        <v>11.7897593139254</v>
      </c>
      <c r="AI8106">
        <v>95.199695022661402</v>
      </c>
      <c r="AJ8106">
        <v>105.109379063047</v>
      </c>
      <c r="AK8106">
        <v>12.262387085328999</v>
      </c>
      <c r="AL8106">
        <v>86.885252301755401</v>
      </c>
      <c r="AM8106">
        <v>96.609262154710095</v>
      </c>
      <c r="AN8106">
        <v>0.99999999214298396</v>
      </c>
    </row>
    <row r="8107" spans="1:40" x14ac:dyDescent="0.25">
      <c r="A8107" t="str">
        <f>"20190312150850247"</f>
        <v>20190312150850247</v>
      </c>
      <c r="B8107" t="str">
        <f>"1552374530237642"</f>
        <v>1552374530237642</v>
      </c>
      <c r="C8107" t="s">
        <v>40</v>
      </c>
      <c r="D8107">
        <v>4.57545</v>
      </c>
      <c r="E8107">
        <v>0.44610060000000001</v>
      </c>
      <c r="F8107" t="s">
        <v>42</v>
      </c>
      <c r="G8107">
        <v>-417.02480000000003</v>
      </c>
      <c r="H8107" s="1">
        <v>-2.8949279999999999E-6</v>
      </c>
      <c r="I8107">
        <v>45.150730000000003</v>
      </c>
      <c r="J8107">
        <v>-421.30169999999998</v>
      </c>
      <c r="K8107">
        <v>1.111305</v>
      </c>
      <c r="L8107">
        <v>56.069029999999998</v>
      </c>
      <c r="M8107">
        <v>0.1087451</v>
      </c>
      <c r="N8107">
        <v>0</v>
      </c>
      <c r="O8107">
        <v>-0.9940002</v>
      </c>
      <c r="P8107">
        <v>0.22287370000000001</v>
      </c>
      <c r="Q8107">
        <v>4.3051440000000003E-2</v>
      </c>
      <c r="R8107">
        <v>-0.9738964</v>
      </c>
      <c r="S8107">
        <v>1.0983889999999901</v>
      </c>
      <c r="T8107">
        <v>-0.28381459999999997</v>
      </c>
      <c r="U8107">
        <v>-2.8424070000000001</v>
      </c>
      <c r="V8107">
        <v>-0.115787</v>
      </c>
      <c r="W8107">
        <v>5.441725E-2</v>
      </c>
      <c r="X8107">
        <v>0.99178230000000001</v>
      </c>
      <c r="Y8107">
        <v>-0.25529170000000001</v>
      </c>
      <c r="Z8107">
        <v>9.350108E-2</v>
      </c>
      <c r="AA8107">
        <v>0.96233239999999998</v>
      </c>
      <c r="AB8107">
        <v>29</v>
      </c>
      <c r="AC8107">
        <v>4.2768999999999497</v>
      </c>
      <c r="AD8107">
        <v>-1.111307894928</v>
      </c>
      <c r="AE8107">
        <v>-10.9183</v>
      </c>
      <c r="AF8107">
        <v>-3.03686298578062</v>
      </c>
      <c r="AG8107">
        <v>-1.111307894928</v>
      </c>
      <c r="AH8107">
        <v>11.217909108869399</v>
      </c>
      <c r="AI8107">
        <v>95.462213879757599</v>
      </c>
      <c r="AJ8107">
        <v>105.14778317866001</v>
      </c>
      <c r="AK8107">
        <v>11.674717418703899</v>
      </c>
      <c r="AL8107">
        <v>86.8805803871725</v>
      </c>
      <c r="AM8107">
        <v>96.658931295216206</v>
      </c>
      <c r="AN8107">
        <v>0.99999999852992605</v>
      </c>
    </row>
    <row r="8108" spans="1:40" x14ac:dyDescent="0.25">
      <c r="A8108" t="str">
        <f>"20190312150850262"</f>
        <v>20190312150850262</v>
      </c>
      <c r="B8108" t="str">
        <f>"1552374530258137"</f>
        <v>1552374530258137</v>
      </c>
      <c r="C8108" t="s">
        <v>40</v>
      </c>
      <c r="D8108">
        <v>4.6104589999999996</v>
      </c>
      <c r="E8108">
        <v>0.44636629999999999</v>
      </c>
      <c r="F8108" t="s">
        <v>42</v>
      </c>
      <c r="G8108">
        <v>-417.03469999999999</v>
      </c>
      <c r="H8108" s="1">
        <v>-2.866599E-6</v>
      </c>
      <c r="I8108">
        <v>45.088760000000001</v>
      </c>
      <c r="J8108">
        <v>-421.27960000000002</v>
      </c>
      <c r="K8108">
        <v>1.1113</v>
      </c>
      <c r="L8108">
        <v>55.876710000000003</v>
      </c>
      <c r="M8108">
        <v>0.10970779999999999</v>
      </c>
      <c r="N8108">
        <v>0</v>
      </c>
      <c r="O8108">
        <v>-0.99389419999999995</v>
      </c>
      <c r="P8108">
        <v>0.22430259999999999</v>
      </c>
      <c r="Q8108">
        <v>4.2896040000000003E-2</v>
      </c>
      <c r="R8108">
        <v>-0.97357519999999997</v>
      </c>
      <c r="S8108">
        <v>1.1038509999999999</v>
      </c>
      <c r="T8108">
        <v>-0.2874873</v>
      </c>
      <c r="U8108">
        <v>-2.8405149999999999</v>
      </c>
      <c r="V8108">
        <v>-0.1162808</v>
      </c>
      <c r="W8108">
        <v>5.4261080000000003E-2</v>
      </c>
      <c r="X8108">
        <v>0.99173310000000003</v>
      </c>
      <c r="Y8108">
        <v>-0.2561388</v>
      </c>
      <c r="Z8108">
        <v>9.4700580000000006E-2</v>
      </c>
      <c r="AA8108">
        <v>0.96199000000000001</v>
      </c>
      <c r="AB8108">
        <v>29</v>
      </c>
      <c r="AC8108">
        <v>4.2449000000000296</v>
      </c>
      <c r="AD8108">
        <v>-1.1113028665989999</v>
      </c>
      <c r="AE8108">
        <v>-10.787949999999899</v>
      </c>
      <c r="AF8108">
        <v>-3.0080286790272801</v>
      </c>
      <c r="AG8108">
        <v>-1.1113028665989999</v>
      </c>
      <c r="AH8108">
        <v>11.0866789116519</v>
      </c>
      <c r="AI8108">
        <v>95.525609020593294</v>
      </c>
      <c r="AJ8108">
        <v>105.179999739297</v>
      </c>
      <c r="AK8108">
        <v>11.541129922378801</v>
      </c>
      <c r="AL8108">
        <v>86.889541561475696</v>
      </c>
      <c r="AM8108">
        <v>96.687401916041196</v>
      </c>
      <c r="AN8108">
        <v>1.0000000154435</v>
      </c>
    </row>
    <row r="8109" spans="1:40" x14ac:dyDescent="0.25">
      <c r="A8109" t="str">
        <f>"20190312150850281"</f>
        <v>20190312150850281</v>
      </c>
      <c r="B8109" t="str">
        <f>"1552374530277657"</f>
        <v>1552374530277657</v>
      </c>
      <c r="C8109" t="s">
        <v>40</v>
      </c>
      <c r="D8109">
        <v>4.5959700000000003</v>
      </c>
      <c r="E8109">
        <v>0.44583</v>
      </c>
      <c r="F8109" t="s">
        <v>42</v>
      </c>
      <c r="G8109">
        <v>-417.05799999999999</v>
      </c>
      <c r="H8109" s="1">
        <v>-2.841262E-6</v>
      </c>
      <c r="I8109">
        <v>45.039349999999999</v>
      </c>
      <c r="J8109">
        <v>-421.2516</v>
      </c>
      <c r="K8109">
        <v>1.1113010000000001</v>
      </c>
      <c r="L8109">
        <v>55.634830000000001</v>
      </c>
      <c r="M8109">
        <v>0.11091860000000001</v>
      </c>
      <c r="N8109">
        <v>0</v>
      </c>
      <c r="O8109">
        <v>-0.99375979999999997</v>
      </c>
      <c r="P8109">
        <v>0.2260219</v>
      </c>
      <c r="Q8109">
        <v>4.2972620000000003E-2</v>
      </c>
      <c r="R8109">
        <v>-0.97317390000000004</v>
      </c>
      <c r="S8109">
        <v>1.106079</v>
      </c>
      <c r="T8109">
        <v>-0.29116429999999999</v>
      </c>
      <c r="U8109">
        <v>-2.8394170000000001</v>
      </c>
      <c r="V8109">
        <v>-0.1168255</v>
      </c>
      <c r="W8109">
        <v>5.4335349999999998E-2</v>
      </c>
      <c r="X8109">
        <v>0.99166500000000002</v>
      </c>
      <c r="Y8109">
        <v>-0.2557006</v>
      </c>
      <c r="Z8109">
        <v>9.5907690000000004E-2</v>
      </c>
      <c r="AA8109">
        <v>0.96198700000000004</v>
      </c>
      <c r="AB8109">
        <v>29</v>
      </c>
      <c r="AC8109">
        <v>4.1935999999999396</v>
      </c>
      <c r="AD8109">
        <v>-1.111303841262</v>
      </c>
      <c r="AE8109">
        <v>-10.59548</v>
      </c>
      <c r="AF8109">
        <v>-2.9642102192753099</v>
      </c>
      <c r="AG8109">
        <v>-1.111303841262</v>
      </c>
      <c r="AH8109">
        <v>10.8916820978231</v>
      </c>
      <c r="AI8109">
        <v>95.622732056481397</v>
      </c>
      <c r="AJ8109">
        <v>105.22451943149299</v>
      </c>
      <c r="AK8109">
        <v>11.3424105626494</v>
      </c>
      <c r="AL8109">
        <v>86.885279868812702</v>
      </c>
      <c r="AM8109">
        <v>96.718899500091297</v>
      </c>
      <c r="AN8109">
        <v>0.99999999996743605</v>
      </c>
    </row>
    <row r="8110" spans="1:40" x14ac:dyDescent="0.25">
      <c r="A8110" t="str">
        <f>"20190312150850303"</f>
        <v>20190312150850303</v>
      </c>
      <c r="B8110" t="str">
        <f>"1552374530297727"</f>
        <v>1552374530297727</v>
      </c>
      <c r="C8110" t="s">
        <v>40</v>
      </c>
      <c r="D8110">
        <v>4.6898109999999997</v>
      </c>
      <c r="E8110">
        <v>0.4473433</v>
      </c>
      <c r="F8110" t="s">
        <v>42</v>
      </c>
      <c r="G8110">
        <v>-418.16269999999997</v>
      </c>
      <c r="H8110" s="1">
        <v>-3.82832E-6</v>
      </c>
      <c r="I8110">
        <v>47.796979999999998</v>
      </c>
      <c r="J8110">
        <v>-421.21719999999999</v>
      </c>
      <c r="K8110">
        <v>1.1113010000000001</v>
      </c>
      <c r="L8110">
        <v>55.340760000000003</v>
      </c>
      <c r="M8110">
        <v>0.112391</v>
      </c>
      <c r="N8110">
        <v>0</v>
      </c>
      <c r="O8110">
        <v>-0.99359450000000005</v>
      </c>
      <c r="P8110">
        <v>0.2285094</v>
      </c>
      <c r="Q8110">
        <v>4.328071E-2</v>
      </c>
      <c r="R8110">
        <v>-0.97257939999999998</v>
      </c>
      <c r="S8110">
        <v>1.1194459999999999</v>
      </c>
      <c r="T8110">
        <v>-0.40274389999999999</v>
      </c>
      <c r="U8110">
        <v>-2.8404850000000001</v>
      </c>
      <c r="V8110">
        <v>-0.1178941</v>
      </c>
      <c r="W8110">
        <v>5.4640069999999999E-2</v>
      </c>
      <c r="X8110">
        <v>0.99152180000000001</v>
      </c>
      <c r="Y8110">
        <v>-0.2565557</v>
      </c>
      <c r="Z8110">
        <v>0.1318848</v>
      </c>
      <c r="AA8110">
        <v>0.95748920000000004</v>
      </c>
      <c r="AB8110">
        <v>29</v>
      </c>
      <c r="AC8110">
        <v>3.0545000000000102</v>
      </c>
      <c r="AD8110">
        <v>-1.11130482832</v>
      </c>
      <c r="AE8110">
        <v>-7.5437799999999902</v>
      </c>
      <c r="AF8110">
        <v>-2.1471987300550199</v>
      </c>
      <c r="AG8110">
        <v>-1.11130482832</v>
      </c>
      <c r="AH8110">
        <v>7.6958123747457403</v>
      </c>
      <c r="AI8110">
        <v>97.918548030523993</v>
      </c>
      <c r="AJ8110">
        <v>105.58956564341401</v>
      </c>
      <c r="AK8110">
        <v>8.0666590925293793</v>
      </c>
      <c r="AL8110">
        <v>86.867794780044207</v>
      </c>
      <c r="AM8110">
        <v>96.780757637389101</v>
      </c>
      <c r="AN8110">
        <v>1.0000000179698201</v>
      </c>
    </row>
    <row r="8111" spans="1:40" x14ac:dyDescent="0.25">
      <c r="A8111" t="str">
        <f>"20190312150850317"</f>
        <v>20190312150850317</v>
      </c>
      <c r="B8111" t="str">
        <f>"1552374530307487"</f>
        <v>1552374530307487</v>
      </c>
      <c r="C8111" t="s">
        <v>40</v>
      </c>
      <c r="D8111">
        <v>4.6808040000000002</v>
      </c>
      <c r="E8111">
        <v>0.44682709999999998</v>
      </c>
      <c r="F8111" t="s">
        <v>42</v>
      </c>
      <c r="G8111">
        <v>-417.5933</v>
      </c>
      <c r="H8111" s="1">
        <v>-3.1992089999999998E-6</v>
      </c>
      <c r="I8111">
        <v>46.095050000000001</v>
      </c>
      <c r="J8111">
        <v>-421.19580000000002</v>
      </c>
      <c r="K8111">
        <v>1.1113</v>
      </c>
      <c r="L8111">
        <v>55.160710000000002</v>
      </c>
      <c r="M8111">
        <v>0.1132928</v>
      </c>
      <c r="N8111">
        <v>0</v>
      </c>
      <c r="O8111">
        <v>-0.99349189999999998</v>
      </c>
      <c r="P8111">
        <v>0.22973730000000001</v>
      </c>
      <c r="Q8111">
        <v>4.3188659999999997E-2</v>
      </c>
      <c r="R8111">
        <v>-0.9722942</v>
      </c>
      <c r="S8111">
        <v>1.1125179999999999</v>
      </c>
      <c r="T8111">
        <v>-0.34116390000000002</v>
      </c>
      <c r="U8111">
        <v>-2.8383790000000002</v>
      </c>
      <c r="V8111">
        <v>-0.1182455</v>
      </c>
      <c r="W8111">
        <v>5.4547230000000002E-2</v>
      </c>
      <c r="X8111">
        <v>0.99148510000000001</v>
      </c>
      <c r="Y8111">
        <v>-0.25478309999999998</v>
      </c>
      <c r="Z8111">
        <v>0.1121395</v>
      </c>
      <c r="AA8111">
        <v>0.96047400000000005</v>
      </c>
      <c r="AB8111">
        <v>29</v>
      </c>
      <c r="AC8111">
        <v>3.60250000000002</v>
      </c>
      <c r="AD8111">
        <v>-1.1113031992089999</v>
      </c>
      <c r="AE8111">
        <v>-9.0656599999999905</v>
      </c>
      <c r="AF8111">
        <v>-2.5194610735244201</v>
      </c>
      <c r="AG8111">
        <v>-1.1113031992089999</v>
      </c>
      <c r="AH8111">
        <v>9.2948257967641297</v>
      </c>
      <c r="AI8111">
        <v>96.582660793985397</v>
      </c>
      <c r="AJ8111">
        <v>105.166199009575</v>
      </c>
      <c r="AK8111">
        <v>9.6941459393681999</v>
      </c>
      <c r="AL8111">
        <v>86.873122168471298</v>
      </c>
      <c r="AM8111">
        <v>96.801028996057099</v>
      </c>
      <c r="AN8111">
        <v>1.0000000510464599</v>
      </c>
    </row>
    <row r="8112" spans="1:40" x14ac:dyDescent="0.25">
      <c r="A8112" t="str">
        <f>"20190312150850331"</f>
        <v>20190312150850331</v>
      </c>
      <c r="B8112" t="str">
        <f>"1552374530327984"</f>
        <v>1552374530327984</v>
      </c>
      <c r="C8112" t="s">
        <v>40</v>
      </c>
      <c r="D8112">
        <v>4.6446249999999996</v>
      </c>
      <c r="E8112">
        <v>0.44701269999999999</v>
      </c>
      <c r="F8112" t="s">
        <v>42</v>
      </c>
      <c r="G8112">
        <v>-417.71159999999998</v>
      </c>
      <c r="H8112" s="1">
        <v>-3.283824E-6</v>
      </c>
      <c r="I8112">
        <v>46.341230000000003</v>
      </c>
      <c r="J8112">
        <v>-421.1746</v>
      </c>
      <c r="K8112">
        <v>1.111302</v>
      </c>
      <c r="L8112">
        <v>54.982999999999997</v>
      </c>
      <c r="M8112">
        <v>0.1141827</v>
      </c>
      <c r="N8112">
        <v>0</v>
      </c>
      <c r="O8112">
        <v>-0.99339</v>
      </c>
      <c r="P8112">
        <v>0.23094870000000001</v>
      </c>
      <c r="Q8112">
        <v>4.2855810000000001E-2</v>
      </c>
      <c r="R8112">
        <v>-0.97202160000000004</v>
      </c>
      <c r="S8112">
        <v>1.1206050000000001</v>
      </c>
      <c r="T8112">
        <v>-0.35742499999999999</v>
      </c>
      <c r="U8112">
        <v>-2.8365779999999998</v>
      </c>
      <c r="V8112">
        <v>-0.1185909</v>
      </c>
      <c r="W8112">
        <v>5.4213459999999998E-2</v>
      </c>
      <c r="X8112">
        <v>0.99146210000000001</v>
      </c>
      <c r="Y8112">
        <v>-0.25627250000000001</v>
      </c>
      <c r="Z8112">
        <v>0.11737789999999999</v>
      </c>
      <c r="AA8112">
        <v>0.95945130000000001</v>
      </c>
      <c r="AB8112">
        <v>29</v>
      </c>
      <c r="AC8112">
        <v>3.4630000000000201</v>
      </c>
      <c r="AD8112">
        <v>-1.1113052838240001</v>
      </c>
      <c r="AE8112">
        <v>-8.6417699999999993</v>
      </c>
      <c r="AF8112">
        <v>-2.41906961478659</v>
      </c>
      <c r="AG8112">
        <v>-1.1113052838240001</v>
      </c>
      <c r="AH8112">
        <v>8.8545168275948907</v>
      </c>
      <c r="AI8112">
        <v>96.903211849405494</v>
      </c>
      <c r="AJ8112">
        <v>105.28041985822701</v>
      </c>
      <c r="AK8112">
        <v>9.2460459378698694</v>
      </c>
      <c r="AL8112">
        <v>86.892273954992206</v>
      </c>
      <c r="AM8112">
        <v>96.820864932255503</v>
      </c>
      <c r="AN8112">
        <v>0.99999999827219499</v>
      </c>
    </row>
    <row r="8113" spans="1:40" x14ac:dyDescent="0.25">
      <c r="A8113" t="str">
        <f>"20190312150850345"</f>
        <v>20190312150850345</v>
      </c>
      <c r="B8113" t="str">
        <f>"1552374530337743"</f>
        <v>1552374530337743</v>
      </c>
      <c r="C8113" t="s">
        <v>40</v>
      </c>
      <c r="D8113">
        <v>4.6630219999999998</v>
      </c>
      <c r="E8113">
        <v>0.44677319999999998</v>
      </c>
      <c r="F8113" t="s">
        <v>42</v>
      </c>
      <c r="G8113">
        <v>-417.73349999999999</v>
      </c>
      <c r="H8113" s="1">
        <v>-3.2585019999999999E-6</v>
      </c>
      <c r="I8113">
        <v>46.291249999999998</v>
      </c>
      <c r="J8113">
        <v>-421.15199999999999</v>
      </c>
      <c r="K8113">
        <v>1.111302</v>
      </c>
      <c r="L8113">
        <v>54.794800000000002</v>
      </c>
      <c r="M8113">
        <v>0.1151247</v>
      </c>
      <c r="N8113">
        <v>0</v>
      </c>
      <c r="O8113">
        <v>-0.99328119999999998</v>
      </c>
      <c r="P8113">
        <v>0.23205439999999999</v>
      </c>
      <c r="Q8113">
        <v>4.2561769999999999E-2</v>
      </c>
      <c r="R8113">
        <v>-0.9717711</v>
      </c>
      <c r="S8113">
        <v>1.12262</v>
      </c>
      <c r="T8113">
        <v>-0.36255280000000001</v>
      </c>
      <c r="U8113">
        <v>-2.8356020000000002</v>
      </c>
      <c r="V8113">
        <v>-0.1187766</v>
      </c>
      <c r="W8113">
        <v>5.3919210000000002E-2</v>
      </c>
      <c r="X8113">
        <v>0.99145589999999995</v>
      </c>
      <c r="Y8113">
        <v>-0.25598530000000003</v>
      </c>
      <c r="Z8113">
        <v>0.1190451</v>
      </c>
      <c r="AA8113">
        <v>0.95932260000000003</v>
      </c>
      <c r="AB8113">
        <v>29</v>
      </c>
      <c r="AC8113">
        <v>3.4184999999999901</v>
      </c>
      <c r="AD8113">
        <v>-1.111305258502</v>
      </c>
      <c r="AE8113">
        <v>-8.5035500000000006</v>
      </c>
      <c r="AF8113">
        <v>-2.3817125351036101</v>
      </c>
      <c r="AG8113">
        <v>-1.111305258502</v>
      </c>
      <c r="AH8113">
        <v>8.7124839970855508</v>
      </c>
      <c r="AI8113">
        <v>97.014343850109199</v>
      </c>
      <c r="AJ8113">
        <v>105.289271628013</v>
      </c>
      <c r="AK8113">
        <v>9.1002709507418391</v>
      </c>
      <c r="AL8113">
        <v>86.909157882597796</v>
      </c>
      <c r="AM8113">
        <v>96.831487095114994</v>
      </c>
      <c r="AN8113">
        <v>0.99999998177969696</v>
      </c>
    </row>
    <row r="8114" spans="1:40" x14ac:dyDescent="0.25">
      <c r="A8114" t="str">
        <f>"20190312150850358"</f>
        <v>20190312150850358</v>
      </c>
      <c r="B8114" t="str">
        <f>"1552374530347503"</f>
        <v>1552374530347503</v>
      </c>
      <c r="C8114" t="s">
        <v>40</v>
      </c>
      <c r="D8114">
        <v>4.5944140000000004</v>
      </c>
      <c r="E8114">
        <v>0.44708920000000002</v>
      </c>
      <c r="F8114" t="s">
        <v>42</v>
      </c>
      <c r="G8114">
        <v>-417.77530000000002</v>
      </c>
      <c r="H8114" s="1">
        <v>-3.2601290000000001E-6</v>
      </c>
      <c r="I8114">
        <v>46.312350000000002</v>
      </c>
      <c r="J8114">
        <v>-421.13229999999999</v>
      </c>
      <c r="K8114">
        <v>1.111302</v>
      </c>
      <c r="L8114">
        <v>54.632420000000003</v>
      </c>
      <c r="M8114">
        <v>0.1159391</v>
      </c>
      <c r="N8114">
        <v>0</v>
      </c>
      <c r="O8114">
        <v>-0.99318649999999997</v>
      </c>
      <c r="P8114">
        <v>0.23329810000000001</v>
      </c>
      <c r="Q8114">
        <v>4.218649E-2</v>
      </c>
      <c r="R8114">
        <v>-0.97148950000000001</v>
      </c>
      <c r="S8114">
        <v>1.1281429999999999</v>
      </c>
      <c r="T8114">
        <v>-0.37128670000000003</v>
      </c>
      <c r="U8114">
        <v>-2.8339840000000001</v>
      </c>
      <c r="V8114">
        <v>-0.11923010000000001</v>
      </c>
      <c r="W8114">
        <v>5.3543050000000002E-2</v>
      </c>
      <c r="X8114">
        <v>0.99142189999999997</v>
      </c>
      <c r="Y8114">
        <v>-0.25686900000000001</v>
      </c>
      <c r="Z8114">
        <v>0.1218591</v>
      </c>
      <c r="AA8114">
        <v>0.95873280000000005</v>
      </c>
      <c r="AB8114">
        <v>29</v>
      </c>
      <c r="AC8114">
        <v>3.35699999999997</v>
      </c>
      <c r="AD8114">
        <v>-1.1113052601289899</v>
      </c>
      <c r="AE8114">
        <v>-8.3200699999999905</v>
      </c>
      <c r="AF8114">
        <v>-2.33386169950374</v>
      </c>
      <c r="AG8114">
        <v>-1.1113052601289899</v>
      </c>
      <c r="AH8114">
        <v>8.5224297688715307</v>
      </c>
      <c r="AI8114">
        <v>97.168287371323601</v>
      </c>
      <c r="AJ8114">
        <v>105.314940109837</v>
      </c>
      <c r="AK8114">
        <v>8.9058250027130299</v>
      </c>
      <c r="AL8114">
        <v>86.930741588521101</v>
      </c>
      <c r="AM8114">
        <v>96.857555369404196</v>
      </c>
      <c r="AN8114">
        <v>1.00000002937446</v>
      </c>
    </row>
    <row r="8115" spans="1:40" x14ac:dyDescent="0.25">
      <c r="A8115" t="str">
        <f>"20190312150850372"</f>
        <v>20190312150850372</v>
      </c>
      <c r="B8115" t="str">
        <f>"1552374530368000"</f>
        <v>1552374530368000</v>
      </c>
      <c r="C8115" t="s">
        <v>40</v>
      </c>
      <c r="D8115">
        <v>4.5990690000000001</v>
      </c>
      <c r="E8115">
        <v>0.44704650000000001</v>
      </c>
      <c r="F8115" t="s">
        <v>42</v>
      </c>
      <c r="G8115">
        <v>-417.69819999999999</v>
      </c>
      <c r="H8115" s="1">
        <v>-3.146106E-6</v>
      </c>
      <c r="I8115">
        <v>46.014679999999998</v>
      </c>
      <c r="J8115">
        <v>-421.11040000000003</v>
      </c>
      <c r="K8115">
        <v>1.111305</v>
      </c>
      <c r="L8115">
        <v>54.452669999999998</v>
      </c>
      <c r="M8115">
        <v>0.1168425</v>
      </c>
      <c r="N8115">
        <v>0</v>
      </c>
      <c r="O8115">
        <v>-0.99308059999999998</v>
      </c>
      <c r="P8115">
        <v>0.23432069999999999</v>
      </c>
      <c r="Q8115">
        <v>4.2380950000000001E-2</v>
      </c>
      <c r="R8115">
        <v>-0.97123499999999996</v>
      </c>
      <c r="S8115">
        <v>1.1288450000000001</v>
      </c>
      <c r="T8115">
        <v>-0.36530849999999998</v>
      </c>
      <c r="U8115">
        <v>-2.8328250000000001</v>
      </c>
      <c r="V8115">
        <v>-0.11937399999999999</v>
      </c>
      <c r="W8115">
        <v>5.3736369999999999E-2</v>
      </c>
      <c r="X8115">
        <v>0.99139409999999994</v>
      </c>
      <c r="Y8115">
        <v>-0.25641619999999998</v>
      </c>
      <c r="Z8115">
        <v>0.11995450000000001</v>
      </c>
      <c r="AA8115">
        <v>0.95909420000000001</v>
      </c>
      <c r="AB8115">
        <v>29</v>
      </c>
      <c r="AC8115">
        <v>3.4122000000000399</v>
      </c>
      <c r="AD8115">
        <v>-1.1113081461059999</v>
      </c>
      <c r="AE8115">
        <v>-8.4379899999999992</v>
      </c>
      <c r="AF8115">
        <v>-2.3675455257842799</v>
      </c>
      <c r="AG8115">
        <v>-1.1113081461059999</v>
      </c>
      <c r="AH8115">
        <v>8.6499512506336504</v>
      </c>
      <c r="AI8115">
        <v>97.0639576722279</v>
      </c>
      <c r="AJ8115">
        <v>105.307312548449</v>
      </c>
      <c r="AK8115">
        <v>9.0366993006628995</v>
      </c>
      <c r="AL8115">
        <v>86.9196491257849</v>
      </c>
      <c r="AM8115">
        <v>96.865943553681603</v>
      </c>
      <c r="AN8115">
        <v>1.00000000542579</v>
      </c>
    </row>
    <row r="8116" spans="1:40" x14ac:dyDescent="0.25">
      <c r="A8116" t="str">
        <f>"20190312150850385"</f>
        <v>20190312150850385</v>
      </c>
      <c r="B8116" t="str">
        <f>"1552374530377760"</f>
        <v>1552374530377760</v>
      </c>
      <c r="C8116" t="s">
        <v>40</v>
      </c>
      <c r="D8116">
        <v>4.590325</v>
      </c>
      <c r="E8116">
        <v>0.44714779999999998</v>
      </c>
      <c r="F8116" t="s">
        <v>42</v>
      </c>
      <c r="G8116">
        <v>-417.6678</v>
      </c>
      <c r="H8116" s="1">
        <v>-3.079221E-6</v>
      </c>
      <c r="I8116">
        <v>45.846159999999998</v>
      </c>
      <c r="J8116">
        <v>-421.09050000000002</v>
      </c>
      <c r="K8116">
        <v>1.1113090000000001</v>
      </c>
      <c r="L8116">
        <v>54.290309999999998</v>
      </c>
      <c r="M8116">
        <v>0.11766069999999999</v>
      </c>
      <c r="N8116">
        <v>0</v>
      </c>
      <c r="O8116">
        <v>-0.99298399999999998</v>
      </c>
      <c r="P8116">
        <v>0.2358498</v>
      </c>
      <c r="Q8116">
        <v>4.2507570000000001E-2</v>
      </c>
      <c r="R8116">
        <v>-0.97085949999999999</v>
      </c>
      <c r="S8116">
        <v>1.1326290000000001</v>
      </c>
      <c r="T8116">
        <v>-0.36562440000000002</v>
      </c>
      <c r="U8116">
        <v>-2.8315730000000001</v>
      </c>
      <c r="V8116">
        <v>-0.12011960000000001</v>
      </c>
      <c r="W8116">
        <v>5.3859690000000002E-2</v>
      </c>
      <c r="X8116">
        <v>0.9912974</v>
      </c>
      <c r="Y8116">
        <v>-0.25686710000000001</v>
      </c>
      <c r="Z8116">
        <v>0.1200522</v>
      </c>
      <c r="AA8116">
        <v>0.95896130000000002</v>
      </c>
      <c r="AB8116">
        <v>29</v>
      </c>
      <c r="AC8116">
        <v>3.4227000000000198</v>
      </c>
      <c r="AD8116">
        <v>-1.1113120792209901</v>
      </c>
      <c r="AE8116">
        <v>-8.4441500000000005</v>
      </c>
      <c r="AF8116">
        <v>-2.3700508415521901</v>
      </c>
      <c r="AG8116">
        <v>-1.1113120792209901</v>
      </c>
      <c r="AH8116">
        <v>8.6594121480832804</v>
      </c>
      <c r="AI8116">
        <v>97.056359757870297</v>
      </c>
      <c r="AJ8116">
        <v>105.306794314713</v>
      </c>
      <c r="AK8116">
        <v>9.0464122324453609</v>
      </c>
      <c r="AL8116">
        <v>86.912573331427694</v>
      </c>
      <c r="AM8116">
        <v>96.909081890601399</v>
      </c>
      <c r="AN8116">
        <v>1.0000000598789001</v>
      </c>
    </row>
    <row r="8117" spans="1:40" x14ac:dyDescent="0.25">
      <c r="A8117" t="str">
        <f>"20190312150850398"</f>
        <v>20190312150850398</v>
      </c>
      <c r="B8117" t="str">
        <f>"1552374530387520"</f>
        <v>1552374530387520</v>
      </c>
      <c r="C8117" t="s">
        <v>40</v>
      </c>
      <c r="D8117">
        <v>4.5878119999999996</v>
      </c>
      <c r="E8117">
        <v>0.44731969999999999</v>
      </c>
      <c r="F8117" t="s">
        <v>42</v>
      </c>
      <c r="G8117">
        <v>-417.60169999999999</v>
      </c>
      <c r="H8117" s="1">
        <v>-2.9844440000000001E-6</v>
      </c>
      <c r="I8117">
        <v>45.597920000000002</v>
      </c>
      <c r="J8117">
        <v>-421.0693</v>
      </c>
      <c r="K8117">
        <v>1.111316</v>
      </c>
      <c r="L8117">
        <v>54.12039</v>
      </c>
      <c r="M8117">
        <v>0.1185282</v>
      </c>
      <c r="N8117">
        <v>0</v>
      </c>
      <c r="O8117">
        <v>-0.99288089999999996</v>
      </c>
      <c r="P8117">
        <v>0.2372156</v>
      </c>
      <c r="Q8117">
        <v>4.2442630000000002E-2</v>
      </c>
      <c r="R8117">
        <v>-0.97052930000000004</v>
      </c>
      <c r="S8117">
        <v>1.135834</v>
      </c>
      <c r="T8117">
        <v>-0.36181039999999998</v>
      </c>
      <c r="U8117">
        <v>-2.829987</v>
      </c>
      <c r="V8117">
        <v>-0.1206494</v>
      </c>
      <c r="W8117">
        <v>5.3791119999999998E-2</v>
      </c>
      <c r="X8117">
        <v>0.99123669999999997</v>
      </c>
      <c r="Y8117">
        <v>-0.25719900000000001</v>
      </c>
      <c r="Z8117">
        <v>0.1188316</v>
      </c>
      <c r="AA8117">
        <v>0.9590244</v>
      </c>
      <c r="AB8117">
        <v>29</v>
      </c>
      <c r="AC8117">
        <v>3.4676</v>
      </c>
      <c r="AD8117">
        <v>-1.1113189844439999</v>
      </c>
      <c r="AE8117">
        <v>-8.5224699999999896</v>
      </c>
      <c r="AF8117">
        <v>-2.3979465023753499</v>
      </c>
      <c r="AG8117">
        <v>-1.1113189844439999</v>
      </c>
      <c r="AH8117">
        <v>8.7458308500548192</v>
      </c>
      <c r="AI8117">
        <v>96.986515325697695</v>
      </c>
      <c r="AJ8117">
        <v>105.332651765035</v>
      </c>
      <c r="AK8117">
        <v>9.1364508739012198</v>
      </c>
      <c r="AL8117">
        <v>86.916507556322699</v>
      </c>
      <c r="AM8117">
        <v>96.939679429630303</v>
      </c>
      <c r="AN8117">
        <v>0.99999997886905101</v>
      </c>
    </row>
    <row r="8118" spans="1:40" x14ac:dyDescent="0.25">
      <c r="A8118" t="str">
        <f>"20190312150850411"</f>
        <v>20190312150850411</v>
      </c>
      <c r="B8118" t="str">
        <f>"1552374530407760"</f>
        <v>1552374530407760</v>
      </c>
      <c r="C8118" t="s">
        <v>40</v>
      </c>
      <c r="D8118">
        <v>4.5873379999999999</v>
      </c>
      <c r="E8118">
        <v>0.44716919999999999</v>
      </c>
      <c r="F8118" t="s">
        <v>42</v>
      </c>
      <c r="G8118">
        <v>-417.55540000000002</v>
      </c>
      <c r="H8118" s="1">
        <v>-2.903048E-6</v>
      </c>
      <c r="I8118">
        <v>45.389060000000001</v>
      </c>
      <c r="J8118">
        <v>-421.04829999999998</v>
      </c>
      <c r="K8118">
        <v>1.111327</v>
      </c>
      <c r="L8118">
        <v>53.9518699999999</v>
      </c>
      <c r="M8118">
        <v>0.1193969</v>
      </c>
      <c r="N8118">
        <v>0</v>
      </c>
      <c r="O8118">
        <v>-0.99277700000000002</v>
      </c>
      <c r="P8118">
        <v>0.23860490000000001</v>
      </c>
      <c r="Q8118">
        <v>4.2672500000000002E-2</v>
      </c>
      <c r="R8118">
        <v>-0.97017909999999996</v>
      </c>
      <c r="S8118">
        <v>1.1383669999999999</v>
      </c>
      <c r="T8118">
        <v>-0.36002420000000002</v>
      </c>
      <c r="U8118">
        <v>-2.8286129999999998</v>
      </c>
      <c r="V8118">
        <v>-0.1212043</v>
      </c>
      <c r="W8118">
        <v>5.401682E-2</v>
      </c>
      <c r="X8118">
        <v>0.99115679999999995</v>
      </c>
      <c r="Y8118">
        <v>-0.25727929999999999</v>
      </c>
      <c r="Z8118">
        <v>0.11826739999999999</v>
      </c>
      <c r="AA8118">
        <v>0.95907260000000005</v>
      </c>
      <c r="AB8118">
        <v>29</v>
      </c>
      <c r="AC8118">
        <v>3.4928999999999601</v>
      </c>
      <c r="AD8118">
        <v>-1.1113299030479999</v>
      </c>
      <c r="AE8118">
        <v>-8.56280999999999</v>
      </c>
      <c r="AF8118">
        <v>-2.4106537159603998</v>
      </c>
      <c r="AG8118">
        <v>-1.1113299030479999</v>
      </c>
      <c r="AH8118">
        <v>8.7916552138129997</v>
      </c>
      <c r="AI8118">
        <v>96.950496005075493</v>
      </c>
      <c r="AJ8118">
        <v>105.33351861992701</v>
      </c>
      <c r="AK8118">
        <v>9.1836543320318693</v>
      </c>
      <c r="AL8118">
        <v>86.903557292772604</v>
      </c>
      <c r="AM8118">
        <v>96.971840015342394</v>
      </c>
      <c r="AN8118">
        <v>1.00000005068382</v>
      </c>
    </row>
    <row r="8119" spans="1:40" x14ac:dyDescent="0.25">
      <c r="A8119" t="str">
        <f>"20190312150850425"</f>
        <v>20190312150850425</v>
      </c>
      <c r="B8119" t="str">
        <f>"1552374530417520"</f>
        <v>1552374530417520</v>
      </c>
      <c r="C8119" t="s">
        <v>40</v>
      </c>
      <c r="D8119">
        <v>4.5644910000000003</v>
      </c>
      <c r="E8119">
        <v>0.44713009999999997</v>
      </c>
      <c r="F8119" t="s">
        <v>42</v>
      </c>
      <c r="G8119">
        <v>-417.53489999999999</v>
      </c>
      <c r="H8119" s="1">
        <v>-2.8557040000000001E-6</v>
      </c>
      <c r="I8119">
        <v>45.270220000000002</v>
      </c>
      <c r="J8119">
        <v>-421.0256</v>
      </c>
      <c r="K8119">
        <v>1.1113390000000001</v>
      </c>
      <c r="L8119">
        <v>53.770479999999999</v>
      </c>
      <c r="M8119">
        <v>0.120342</v>
      </c>
      <c r="N8119">
        <v>0</v>
      </c>
      <c r="O8119">
        <v>-0.99266259999999995</v>
      </c>
      <c r="P8119">
        <v>0.24030989999999999</v>
      </c>
      <c r="Q8119">
        <v>4.2888259999999997E-2</v>
      </c>
      <c r="R8119">
        <v>-0.96974839999999995</v>
      </c>
      <c r="S8119">
        <v>1.1439820000000001</v>
      </c>
      <c r="T8119">
        <v>-0.36185329999999999</v>
      </c>
      <c r="U8119">
        <v>-2.8267820000000001</v>
      </c>
      <c r="V8119">
        <v>-0.1220068</v>
      </c>
      <c r="W8119">
        <v>5.4225839999999997E-2</v>
      </c>
      <c r="X8119">
        <v>0.99104680000000001</v>
      </c>
      <c r="Y8119">
        <v>-0.25818679999999999</v>
      </c>
      <c r="Z8119">
        <v>0.1188526</v>
      </c>
      <c r="AA8119">
        <v>0.95875630000000001</v>
      </c>
      <c r="AB8119">
        <v>29</v>
      </c>
      <c r="AC8119">
        <v>3.4906999999999999</v>
      </c>
      <c r="AD8119">
        <v>-1.11134185570399</v>
      </c>
      <c r="AE8119">
        <v>-8.5002600000000008</v>
      </c>
      <c r="AF8119">
        <v>-2.4071101226738101</v>
      </c>
      <c r="AG8119">
        <v>-1.11134185570399</v>
      </c>
      <c r="AH8119">
        <v>8.7308776165115898</v>
      </c>
      <c r="AI8119">
        <v>96.9958148387487</v>
      </c>
      <c r="AJ8119">
        <v>105.413575463675</v>
      </c>
      <c r="AK8119">
        <v>9.1245538968993696</v>
      </c>
      <c r="AL8119">
        <v>86.891563377069005</v>
      </c>
      <c r="AM8119">
        <v>97.018313295921004</v>
      </c>
      <c r="AN8119">
        <v>0.99999993038009005</v>
      </c>
    </row>
    <row r="8120" spans="1:40" x14ac:dyDescent="0.25">
      <c r="A8120" t="str">
        <f>"20190312150850438"</f>
        <v>20190312150850438</v>
      </c>
      <c r="B8120" t="str">
        <f>"1552374530428256"</f>
        <v>1552374530428256</v>
      </c>
      <c r="C8120" t="s">
        <v>40</v>
      </c>
      <c r="D8120">
        <v>4.5825279999999999</v>
      </c>
      <c r="E8120">
        <v>0.44715690000000002</v>
      </c>
      <c r="F8120" t="s">
        <v>42</v>
      </c>
      <c r="G8120">
        <v>-417.49090000000001</v>
      </c>
      <c r="H8120" s="1">
        <v>-2.7813170000000002E-6</v>
      </c>
      <c r="I8120">
        <v>45.078620000000001</v>
      </c>
      <c r="J8120">
        <v>-421.0059</v>
      </c>
      <c r="K8120">
        <v>1.111359</v>
      </c>
      <c r="L8120">
        <v>53.61551</v>
      </c>
      <c r="M8120">
        <v>0.1211701</v>
      </c>
      <c r="N8120">
        <v>0</v>
      </c>
      <c r="O8120">
        <v>-0.9925619</v>
      </c>
      <c r="P8120">
        <v>0.24267459999999999</v>
      </c>
      <c r="Q8120">
        <v>4.2768819999999999E-2</v>
      </c>
      <c r="R8120">
        <v>-0.96916440000000004</v>
      </c>
      <c r="S8120">
        <v>1.148773</v>
      </c>
      <c r="T8120">
        <v>-0.36118719999999999</v>
      </c>
      <c r="U8120">
        <v>-2.8248600000000001</v>
      </c>
      <c r="V8120">
        <v>-0.1235996</v>
      </c>
      <c r="W8120">
        <v>5.4095379999999998E-2</v>
      </c>
      <c r="X8120">
        <v>0.99085659999999998</v>
      </c>
      <c r="Y8120">
        <v>-0.25901380000000002</v>
      </c>
      <c r="Z8120">
        <v>0.1186434</v>
      </c>
      <c r="AA8120">
        <v>0.95855919999999895</v>
      </c>
      <c r="AB8120">
        <v>29</v>
      </c>
      <c r="AC8120">
        <v>3.5149999999999801</v>
      </c>
      <c r="AD8120">
        <v>-1.111361781317</v>
      </c>
      <c r="AE8120">
        <v>-8.5368899999999996</v>
      </c>
      <c r="AF8120">
        <v>-2.4195477162058601</v>
      </c>
      <c r="AG8120">
        <v>-1.111361781317</v>
      </c>
      <c r="AH8120">
        <v>8.7727949051386194</v>
      </c>
      <c r="AI8120">
        <v>96.962663222700002</v>
      </c>
      <c r="AJ8120">
        <v>105.418922514296</v>
      </c>
      <c r="AK8120">
        <v>9.1679477860421592</v>
      </c>
      <c r="AL8120">
        <v>86.899049346592804</v>
      </c>
      <c r="AM8120">
        <v>97.110356571015799</v>
      </c>
      <c r="AN8120">
        <v>0.99999998651053201</v>
      </c>
    </row>
    <row r="8121" spans="1:40" x14ac:dyDescent="0.25">
      <c r="A8121" t="str">
        <f>"20190312150850450"</f>
        <v>20190312150850450</v>
      </c>
      <c r="B8121" t="str">
        <f>"1552374530447776"</f>
        <v>1552374530447776</v>
      </c>
      <c r="C8121" t="s">
        <v>40</v>
      </c>
      <c r="D8121">
        <v>4.5674549999999998</v>
      </c>
      <c r="E8121">
        <v>0.4473915</v>
      </c>
      <c r="F8121" t="s">
        <v>42</v>
      </c>
      <c r="G8121">
        <v>-417.45190000000002</v>
      </c>
      <c r="H8121" s="1">
        <v>-2.7261040000000001E-6</v>
      </c>
      <c r="I8121">
        <v>44.933799999999998</v>
      </c>
      <c r="J8121">
        <v>-420.98410000000001</v>
      </c>
      <c r="K8121">
        <v>1.11138</v>
      </c>
      <c r="L8121">
        <v>53.444789999999998</v>
      </c>
      <c r="M8121">
        <v>0.12209689999999999</v>
      </c>
      <c r="N8121">
        <v>0</v>
      </c>
      <c r="O8121">
        <v>-0.99244860000000001</v>
      </c>
      <c r="P8121">
        <v>0.24440899999999999</v>
      </c>
      <c r="Q8121">
        <v>4.2769849999999998E-2</v>
      </c>
      <c r="R8121">
        <v>-0.96872879999999995</v>
      </c>
      <c r="S8121">
        <v>1.155273</v>
      </c>
      <c r="T8121">
        <v>-0.36126399999999997</v>
      </c>
      <c r="U8121">
        <v>-2.8221129999999999</v>
      </c>
      <c r="V8121">
        <v>-0.1244514</v>
      </c>
      <c r="W8121">
        <v>5.4086809999999999E-2</v>
      </c>
      <c r="X8121">
        <v>0.99075040000000003</v>
      </c>
      <c r="Y8121">
        <v>-0.26032860000000002</v>
      </c>
      <c r="Z8121">
        <v>0.1186828</v>
      </c>
      <c r="AA8121">
        <v>0.95819799999999999</v>
      </c>
      <c r="AB8121">
        <v>29</v>
      </c>
      <c r="AC8121">
        <v>3.53219999999998</v>
      </c>
      <c r="AD8121">
        <v>-1.1113827261039999</v>
      </c>
      <c r="AE8121">
        <v>-8.5109899999999996</v>
      </c>
      <c r="AF8121">
        <v>-2.4311674238685002</v>
      </c>
      <c r="AG8121">
        <v>-1.1113827261039999</v>
      </c>
      <c r="AH8121">
        <v>8.7513052778829703</v>
      </c>
      <c r="AI8121">
        <v>96.976160814208797</v>
      </c>
      <c r="AJ8121">
        <v>105.525626207374</v>
      </c>
      <c r="AK8121">
        <v>9.1504694236669692</v>
      </c>
      <c r="AL8121">
        <v>86.899540961083702</v>
      </c>
      <c r="AM8121">
        <v>97.159611077404804</v>
      </c>
      <c r="AN8121">
        <v>0.99999994453904595</v>
      </c>
    </row>
    <row r="8122" spans="1:40" x14ac:dyDescent="0.25">
      <c r="A8122" t="str">
        <f>"20190312150850463"</f>
        <v>20190312150850463</v>
      </c>
      <c r="B8122" t="str">
        <f>"1552374530457537"</f>
        <v>1552374530457537</v>
      </c>
      <c r="C8122" t="s">
        <v>40</v>
      </c>
      <c r="D8122">
        <v>4.6004259999999997</v>
      </c>
      <c r="E8122">
        <v>0.44740540000000001</v>
      </c>
      <c r="F8122" t="s">
        <v>42</v>
      </c>
      <c r="G8122">
        <v>-417.37580000000003</v>
      </c>
      <c r="H8122" s="1">
        <v>-2.6217280000000002E-6</v>
      </c>
      <c r="I8122">
        <v>44.658999999999999</v>
      </c>
      <c r="J8122">
        <v>-420.96260000000001</v>
      </c>
      <c r="K8122">
        <v>1.111399</v>
      </c>
      <c r="L8122">
        <v>53.276859999999999</v>
      </c>
      <c r="M8122">
        <v>0.12302399999999999</v>
      </c>
      <c r="N8122">
        <v>0</v>
      </c>
      <c r="O8122">
        <v>-0.99233400000000005</v>
      </c>
      <c r="P8122">
        <v>0.24587200000000001</v>
      </c>
      <c r="Q8122">
        <v>4.226883E-2</v>
      </c>
      <c r="R8122">
        <v>-0.96838069999999998</v>
      </c>
      <c r="S8122">
        <v>1.158325</v>
      </c>
      <c r="T8122">
        <v>-0.356767</v>
      </c>
      <c r="U8122">
        <v>-2.8203429999999998</v>
      </c>
      <c r="V8122">
        <v>-0.1250222</v>
      </c>
      <c r="W8122">
        <v>5.3577319999999998E-2</v>
      </c>
      <c r="X8122">
        <v>0.99070630000000004</v>
      </c>
      <c r="Y8122">
        <v>-0.2605903</v>
      </c>
      <c r="Z8122">
        <v>0.1172464</v>
      </c>
      <c r="AA8122">
        <v>0.95830369999999998</v>
      </c>
      <c r="AB8122">
        <v>29</v>
      </c>
      <c r="AC8122">
        <v>3.5867999999999798</v>
      </c>
      <c r="AD8122">
        <v>-1.1114016217280001</v>
      </c>
      <c r="AE8122">
        <v>-8.6178600000000003</v>
      </c>
      <c r="AF8122">
        <v>-2.4643377962811202</v>
      </c>
      <c r="AG8122">
        <v>-1.1114016217280001</v>
      </c>
      <c r="AH8122">
        <v>8.8679655917855804</v>
      </c>
      <c r="AI8122">
        <v>96.885239347465401</v>
      </c>
      <c r="AJ8122">
        <v>105.530193078678</v>
      </c>
      <c r="AK8122">
        <v>9.2708677089068807</v>
      </c>
      <c r="AL8122">
        <v>86.928775230267306</v>
      </c>
      <c r="AM8122">
        <v>97.192422551228503</v>
      </c>
      <c r="AN8122">
        <v>1.00000002628545</v>
      </c>
    </row>
    <row r="8123" spans="1:40" x14ac:dyDescent="0.25">
      <c r="A8123" t="str">
        <f>"20190312150850482"</f>
        <v>20190312150850482</v>
      </c>
      <c r="B8123" t="str">
        <f>"1552374530478031"</f>
        <v>1552374530478031</v>
      </c>
      <c r="C8123" t="s">
        <v>40</v>
      </c>
      <c r="D8123">
        <v>4.5586070000000003</v>
      </c>
      <c r="E8123">
        <v>0.44762550000000001</v>
      </c>
      <c r="F8123" t="s">
        <v>42</v>
      </c>
      <c r="G8123">
        <v>-417.34210000000002</v>
      </c>
      <c r="H8123" s="1">
        <v>-2.5575940000000001E-6</v>
      </c>
      <c r="I8123">
        <v>44.495570000000001</v>
      </c>
      <c r="J8123">
        <v>-420.93150000000003</v>
      </c>
      <c r="K8123">
        <v>1.1114440000000001</v>
      </c>
      <c r="L8123">
        <v>53.038699999999999</v>
      </c>
      <c r="M8123">
        <v>0.1243981</v>
      </c>
      <c r="N8123">
        <v>0</v>
      </c>
      <c r="O8123">
        <v>-0.99216249999999995</v>
      </c>
      <c r="P8123">
        <v>0.24853810000000001</v>
      </c>
      <c r="Q8123">
        <v>4.1935029999999998E-2</v>
      </c>
      <c r="R8123">
        <v>-0.96771399999999996</v>
      </c>
      <c r="S8123">
        <v>1.162048</v>
      </c>
      <c r="T8123">
        <v>-0.3567207</v>
      </c>
      <c r="U8123">
        <v>-2.8184809999999998</v>
      </c>
      <c r="V8123">
        <v>-0.12638269999999999</v>
      </c>
      <c r="W8123">
        <v>5.3224970000000003E-2</v>
      </c>
      <c r="X8123">
        <v>0.99055260000000001</v>
      </c>
      <c r="Y8123">
        <v>-0.26055899999999999</v>
      </c>
      <c r="Z8123">
        <v>0.11724420000000001</v>
      </c>
      <c r="AA8123">
        <v>0.95831250000000001</v>
      </c>
      <c r="AB8123">
        <v>29</v>
      </c>
      <c r="AC8123">
        <v>3.5894000000000101</v>
      </c>
      <c r="AD8123">
        <v>-1.111446557594</v>
      </c>
      <c r="AE8123">
        <v>-8.5431299999999908</v>
      </c>
      <c r="AF8123">
        <v>-2.4632556995992001</v>
      </c>
      <c r="AG8123">
        <v>-1.111446557594</v>
      </c>
      <c r="AH8123">
        <v>8.7967560093740804</v>
      </c>
      <c r="AI8123">
        <v>96.936929912298496</v>
      </c>
      <c r="AJ8123">
        <v>105.643237076772</v>
      </c>
      <c r="AK8123">
        <v>9.2024919657913493</v>
      </c>
      <c r="AL8123">
        <v>86.9489920691165</v>
      </c>
      <c r="AM8123">
        <v>97.270974028797397</v>
      </c>
      <c r="AN8123">
        <v>0.99999996882877495</v>
      </c>
    </row>
    <row r="8124" spans="1:40" x14ac:dyDescent="0.25">
      <c r="A8124" t="str">
        <f>"20190312150850505"</f>
        <v>20190312150850505</v>
      </c>
      <c r="B8124" t="str">
        <f>"1552374530497551"</f>
        <v>1552374530497551</v>
      </c>
      <c r="C8124" t="s">
        <v>40</v>
      </c>
      <c r="D8124">
        <v>4.56799</v>
      </c>
      <c r="E8124">
        <v>0.44764700000000002</v>
      </c>
      <c r="F8124" t="s">
        <v>42</v>
      </c>
      <c r="G8124">
        <v>-417.27480000000003</v>
      </c>
      <c r="H8124" s="1">
        <v>-2.4513940000000002E-6</v>
      </c>
      <c r="I8124">
        <v>44.220190000000002</v>
      </c>
      <c r="J8124">
        <v>-420.89330000000001</v>
      </c>
      <c r="K8124">
        <v>1.111518</v>
      </c>
      <c r="L8124">
        <v>52.749079999999999</v>
      </c>
      <c r="M8124">
        <v>0.1261649</v>
      </c>
      <c r="N8124">
        <v>0</v>
      </c>
      <c r="O8124">
        <v>-0.99193940000000003</v>
      </c>
      <c r="P8124">
        <v>0.25162889999999999</v>
      </c>
      <c r="Q8124">
        <v>4.2066409999999999E-2</v>
      </c>
      <c r="R8124">
        <v>-0.96690929999999997</v>
      </c>
      <c r="S8124">
        <v>1.1675420000000001</v>
      </c>
      <c r="T8124">
        <v>-0.35486780000000001</v>
      </c>
      <c r="U8124">
        <v>-2.8156129999999999</v>
      </c>
      <c r="V8124">
        <v>-0.12779460000000001</v>
      </c>
      <c r="W8124">
        <v>5.3329260000000003E-2</v>
      </c>
      <c r="X8124">
        <v>0.99036590000000002</v>
      </c>
      <c r="Y8124">
        <v>-0.26080700000000001</v>
      </c>
      <c r="Z8124">
        <v>0.1166676</v>
      </c>
      <c r="AA8124">
        <v>0.95831540000000004</v>
      </c>
      <c r="AB8124">
        <v>29</v>
      </c>
      <c r="AC8124">
        <v>3.6184999999999801</v>
      </c>
      <c r="AD8124">
        <v>-1.111520451394</v>
      </c>
      <c r="AE8124">
        <v>-8.5288900000000005</v>
      </c>
      <c r="AF8124">
        <v>-2.47779612602345</v>
      </c>
      <c r="AG8124">
        <v>-1.111520451394</v>
      </c>
      <c r="AH8124">
        <v>8.7907576929565092</v>
      </c>
      <c r="AI8124">
        <v>96.938772110510001</v>
      </c>
      <c r="AJ8124">
        <v>105.74122136301</v>
      </c>
      <c r="AK8124">
        <v>9.2006723760972005</v>
      </c>
      <c r="AL8124">
        <v>86.943008419989596</v>
      </c>
      <c r="AM8124">
        <v>97.352689587529596</v>
      </c>
      <c r="AN8124">
        <v>1.0000000428220499</v>
      </c>
    </row>
    <row r="8125" spans="1:40" x14ac:dyDescent="0.25">
      <c r="A8125" t="str">
        <f>"20190312150850526"</f>
        <v>20190312150850526</v>
      </c>
      <c r="B8125" t="str">
        <f>"1552374530518048"</f>
        <v>1552374530518048</v>
      </c>
      <c r="C8125" t="s">
        <v>40</v>
      </c>
      <c r="D8125">
        <v>4.5858930000000004</v>
      </c>
      <c r="E8125">
        <v>0.44777109999999898</v>
      </c>
      <c r="F8125" t="s">
        <v>42</v>
      </c>
      <c r="G8125">
        <v>-417.21769999999998</v>
      </c>
      <c r="H8125" s="1">
        <v>-2.351791E-6</v>
      </c>
      <c r="I8125">
        <v>43.964419999999997</v>
      </c>
      <c r="J8125">
        <v>-420.8553</v>
      </c>
      <c r="K8125">
        <v>1.1116140000000001</v>
      </c>
      <c r="L8125">
        <v>52.466459999999998</v>
      </c>
      <c r="M8125">
        <v>0.1280172</v>
      </c>
      <c r="N8125">
        <v>0</v>
      </c>
      <c r="O8125">
        <v>-0.99170199999999997</v>
      </c>
      <c r="P8125">
        <v>0.25489469999999997</v>
      </c>
      <c r="Q8125">
        <v>4.2259449999999997E-2</v>
      </c>
      <c r="R8125">
        <v>-0.96604509999999999</v>
      </c>
      <c r="S8125">
        <v>1.176544</v>
      </c>
      <c r="T8125">
        <v>-0.35579499999999997</v>
      </c>
      <c r="U8125">
        <v>-2.8119510000000001</v>
      </c>
      <c r="V8125">
        <v>-0.1293059</v>
      </c>
      <c r="W8125">
        <v>5.3490200000000002E-2</v>
      </c>
      <c r="X8125">
        <v>0.99016099999999996</v>
      </c>
      <c r="Y8125">
        <v>-0.26204629999999901</v>
      </c>
      <c r="Z8125">
        <v>0.11697630000000001</v>
      </c>
      <c r="AA8125">
        <v>0.9579396</v>
      </c>
      <c r="AB8125">
        <v>29</v>
      </c>
      <c r="AC8125">
        <v>3.6376000000000199</v>
      </c>
      <c r="AD8125">
        <v>-1.1116163517909901</v>
      </c>
      <c r="AE8125">
        <v>-8.5020399999999903</v>
      </c>
      <c r="AF8125">
        <v>-2.48329970782149</v>
      </c>
      <c r="AG8125">
        <v>-1.1116163517909901</v>
      </c>
      <c r="AH8125">
        <v>8.7710438938645705</v>
      </c>
      <c r="AI8125">
        <v>96.952537747861697</v>
      </c>
      <c r="AJ8125">
        <v>105.80813109172099</v>
      </c>
      <c r="AK8125">
        <v>9.1833370481832102</v>
      </c>
      <c r="AL8125">
        <v>86.933773961408406</v>
      </c>
      <c r="AM8125">
        <v>97.440196419827103</v>
      </c>
      <c r="AN8125">
        <v>1.00000001159592</v>
      </c>
    </row>
    <row r="8126" spans="1:40" x14ac:dyDescent="0.25">
      <c r="A8126" t="str">
        <f>"20190312150850541"</f>
        <v>20190312150850541</v>
      </c>
      <c r="B8126" t="str">
        <f>"1552374530537569"</f>
        <v>1552374530537569</v>
      </c>
      <c r="C8126" t="s">
        <v>40</v>
      </c>
      <c r="D8126">
        <v>4.6191399999999998</v>
      </c>
      <c r="E8126">
        <v>0.44769179999999997</v>
      </c>
      <c r="F8126" t="s">
        <v>42</v>
      </c>
      <c r="G8126">
        <v>-417.13490000000002</v>
      </c>
      <c r="H8126" s="1">
        <v>-2.2297660000000001E-6</v>
      </c>
      <c r="I8126">
        <v>43.645760000000003</v>
      </c>
      <c r="J8126">
        <v>-420.82889999999998</v>
      </c>
      <c r="K8126">
        <v>1.111675</v>
      </c>
      <c r="L8126">
        <v>52.272860000000001</v>
      </c>
      <c r="M8126">
        <v>0.12934229999999999</v>
      </c>
      <c r="N8126">
        <v>0</v>
      </c>
      <c r="O8126">
        <v>-0.99152989999999996</v>
      </c>
      <c r="P8126">
        <v>0.25702760000000002</v>
      </c>
      <c r="Q8126">
        <v>4.2782140000000003E-2</v>
      </c>
      <c r="R8126">
        <v>-0.96545669999999995</v>
      </c>
      <c r="S8126">
        <v>1.184509</v>
      </c>
      <c r="T8126">
        <v>-0.35392610000000002</v>
      </c>
      <c r="U8126">
        <v>-2.808411</v>
      </c>
      <c r="V8126">
        <v>-0.13018289999999999</v>
      </c>
      <c r="W8126">
        <v>5.3991099999999903E-2</v>
      </c>
      <c r="X8126">
        <v>0.99001890000000003</v>
      </c>
      <c r="Y8126">
        <v>-0.2635229</v>
      </c>
      <c r="Z8126">
        <v>0.1163891</v>
      </c>
      <c r="AA8126">
        <v>0.95760599999999996</v>
      </c>
      <c r="AB8126">
        <v>29</v>
      </c>
      <c r="AC8126">
        <v>3.69399999999996</v>
      </c>
      <c r="AD8126">
        <v>-1.111677229766</v>
      </c>
      <c r="AE8126">
        <v>-8.6270999999999898</v>
      </c>
      <c r="AF8126">
        <v>-2.5117942542940299</v>
      </c>
      <c r="AG8126">
        <v>-1.111677229766</v>
      </c>
      <c r="AH8126">
        <v>8.9074572149696891</v>
      </c>
      <c r="AI8126">
        <v>96.849471144366206</v>
      </c>
      <c r="AJ8126">
        <v>105.747804329731</v>
      </c>
      <c r="AK8126">
        <v>9.3213588427653793</v>
      </c>
      <c r="AL8126">
        <v>86.9050330121526</v>
      </c>
      <c r="AM8126">
        <v>97.491150364225504</v>
      </c>
      <c r="AN8126">
        <v>1.00000002434441</v>
      </c>
    </row>
    <row r="8127" spans="1:40" x14ac:dyDescent="0.25">
      <c r="A8127" t="str">
        <f>"20190312150850560"</f>
        <v>20190312150850560</v>
      </c>
      <c r="B8127" t="str">
        <f>"1552374530558063"</f>
        <v>1552374530558063</v>
      </c>
      <c r="C8127" t="s">
        <v>40</v>
      </c>
      <c r="D8127">
        <v>4.6578030000000004</v>
      </c>
      <c r="E8127">
        <v>0.44801180000000002</v>
      </c>
      <c r="F8127" t="s">
        <v>42</v>
      </c>
      <c r="G8127">
        <v>-417.09269999999998</v>
      </c>
      <c r="H8127" s="1">
        <v>-2.1634529999999999E-6</v>
      </c>
      <c r="I8127">
        <v>43.473689999999998</v>
      </c>
      <c r="J8127">
        <v>-420.79629999999997</v>
      </c>
      <c r="K8127">
        <v>1.111753</v>
      </c>
      <c r="L8127">
        <v>52.036560000000001</v>
      </c>
      <c r="M8127">
        <v>0.13103480000000001</v>
      </c>
      <c r="N8127">
        <v>0</v>
      </c>
      <c r="O8127">
        <v>-0.99130750000000001</v>
      </c>
      <c r="P8127">
        <v>0.26052069999999999</v>
      </c>
      <c r="Q8127">
        <v>4.3042980000000002E-2</v>
      </c>
      <c r="R8127">
        <v>-0.96450849999999999</v>
      </c>
      <c r="S8127">
        <v>1.191406</v>
      </c>
      <c r="T8127">
        <v>-0.35448750000000001</v>
      </c>
      <c r="U8127">
        <v>-2.805847</v>
      </c>
      <c r="V8127">
        <v>-0.13209009999999999</v>
      </c>
      <c r="W8127">
        <v>5.4221560000000002E-2</v>
      </c>
      <c r="X8127">
        <v>0.98975360000000001</v>
      </c>
      <c r="Y8127">
        <v>-0.26417810000000003</v>
      </c>
      <c r="Z8127">
        <v>0.116565</v>
      </c>
      <c r="AA8127">
        <v>0.95740409999999998</v>
      </c>
      <c r="AB8127">
        <v>29</v>
      </c>
      <c r="AC8127">
        <v>3.70359999999999</v>
      </c>
      <c r="AD8127">
        <v>-1.1117551634530001</v>
      </c>
      <c r="AE8127">
        <v>-8.5628699999999895</v>
      </c>
      <c r="AF8127">
        <v>-2.5138522482179</v>
      </c>
      <c r="AG8127">
        <v>-1.1117551634530001</v>
      </c>
      <c r="AH8127">
        <v>8.8487071994580706</v>
      </c>
      <c r="AI8127">
        <v>96.891224475327306</v>
      </c>
      <c r="AJ8127">
        <v>105.859455992937</v>
      </c>
      <c r="AK8127">
        <v>9.2658011942344096</v>
      </c>
      <c r="AL8127">
        <v>86.891809119951006</v>
      </c>
      <c r="AM8127">
        <v>97.601636566442195</v>
      </c>
      <c r="AN8127">
        <v>0.99999998039990101</v>
      </c>
    </row>
    <row r="8128" spans="1:40" x14ac:dyDescent="0.25">
      <c r="A8128" t="str">
        <f>"20190312150850575"</f>
        <v>20190312150850575</v>
      </c>
      <c r="B8128" t="str">
        <f>"1552374530567823"</f>
        <v>1552374530567823</v>
      </c>
      <c r="C8128" t="s">
        <v>40</v>
      </c>
      <c r="D8128">
        <v>4.5643909999999996</v>
      </c>
      <c r="E8128">
        <v>0.44808550000000003</v>
      </c>
      <c r="F8128" t="s">
        <v>42</v>
      </c>
      <c r="G8128">
        <v>-417.00479999999999</v>
      </c>
      <c r="H8128" s="1">
        <v>-2.0507250000000002E-6</v>
      </c>
      <c r="I8128">
        <v>43.174579999999999</v>
      </c>
      <c r="J8128">
        <v>-420.76920000000001</v>
      </c>
      <c r="K8128">
        <v>1.1118250000000001</v>
      </c>
      <c r="L8128">
        <v>51.84348</v>
      </c>
      <c r="M8128">
        <v>0.13250139999999999</v>
      </c>
      <c r="N8128">
        <v>0</v>
      </c>
      <c r="O8128">
        <v>-0.99111249999999995</v>
      </c>
      <c r="P8128">
        <v>0.26254139999999998</v>
      </c>
      <c r="Q8128">
        <v>4.2779449999999997E-2</v>
      </c>
      <c r="R8128">
        <v>-0.96397219999999995</v>
      </c>
      <c r="S8128">
        <v>1.198914</v>
      </c>
      <c r="T8128">
        <v>-0.35154819999999998</v>
      </c>
      <c r="U8128">
        <v>-2.8022459999999998</v>
      </c>
      <c r="V8128">
        <v>-0.13270609999999999</v>
      </c>
      <c r="W8128">
        <v>5.3936820000000003E-2</v>
      </c>
      <c r="X8128">
        <v>0.98968679999999998</v>
      </c>
      <c r="Y8128">
        <v>-0.26540730000000001</v>
      </c>
      <c r="Z8128">
        <v>0.11563519999999899</v>
      </c>
      <c r="AA8128">
        <v>0.95717680000000005</v>
      </c>
      <c r="AB8128">
        <v>29</v>
      </c>
      <c r="AC8128">
        <v>3.7644000000000202</v>
      </c>
      <c r="AD8128">
        <v>-1.1118270507250001</v>
      </c>
      <c r="AE8128">
        <v>-8.6689000000000007</v>
      </c>
      <c r="AF8128">
        <v>-2.5472298906538899</v>
      </c>
      <c r="AG8128">
        <v>-1.1118270507250001</v>
      </c>
      <c r="AH8128">
        <v>8.96717505858118</v>
      </c>
      <c r="AI8128">
        <v>96.801531562509098</v>
      </c>
      <c r="AJ8128">
        <v>105.857811171272</v>
      </c>
      <c r="AK8128">
        <v>9.3880119321294497</v>
      </c>
      <c r="AL8128">
        <v>86.908147569795105</v>
      </c>
      <c r="AM8128">
        <v>97.637178631876495</v>
      </c>
      <c r="AN8128">
        <v>1.00000002581158</v>
      </c>
    </row>
    <row r="8129" spans="1:40" x14ac:dyDescent="0.25">
      <c r="A8129" t="str">
        <f>"20190312150850594"</f>
        <v>20190312150850594</v>
      </c>
      <c r="B8129" t="str">
        <f>"1552374530588323"</f>
        <v>1552374530588323</v>
      </c>
      <c r="C8129" t="s">
        <v>40</v>
      </c>
      <c r="D8129">
        <v>4.5921699999999896</v>
      </c>
      <c r="E8129">
        <v>0.4477873</v>
      </c>
      <c r="F8129" t="s">
        <v>42</v>
      </c>
      <c r="G8129">
        <v>-416.94850000000002</v>
      </c>
      <c r="H8129" s="1">
        <v>-1.9685549999999999E-6</v>
      </c>
      <c r="I8129">
        <v>42.95975</v>
      </c>
      <c r="J8129">
        <v>-420.73509999999999</v>
      </c>
      <c r="K8129">
        <v>1.1119250000000001</v>
      </c>
      <c r="L8129">
        <v>51.603520000000003</v>
      </c>
      <c r="M8129">
        <v>0.1344293</v>
      </c>
      <c r="N8129">
        <v>0</v>
      </c>
      <c r="O8129">
        <v>-0.99085299999999998</v>
      </c>
      <c r="P8129">
        <v>0.26615660000000002</v>
      </c>
      <c r="Q8129">
        <v>4.2563709999999998E-2</v>
      </c>
      <c r="R8129">
        <v>-0.96299000000000001</v>
      </c>
      <c r="S8129">
        <v>1.204102</v>
      </c>
      <c r="T8129">
        <v>-0.35039310000000001</v>
      </c>
      <c r="U8129">
        <v>-2.7997130000000001</v>
      </c>
      <c r="V8129">
        <v>-0.13450570000000001</v>
      </c>
      <c r="W8129">
        <v>5.368875E-2</v>
      </c>
      <c r="X8129">
        <v>0.98945729999999998</v>
      </c>
      <c r="Y8129">
        <v>-0.2653604</v>
      </c>
      <c r="Z8129">
        <v>0.1152707</v>
      </c>
      <c r="AA8129">
        <v>0.95723380000000002</v>
      </c>
      <c r="AB8129">
        <v>29</v>
      </c>
      <c r="AC8129">
        <v>3.78659999999996</v>
      </c>
      <c r="AD8129">
        <v>-1.111926968555</v>
      </c>
      <c r="AE8129">
        <v>-8.64377</v>
      </c>
      <c r="AF8129">
        <v>-2.5546996245403202</v>
      </c>
      <c r="AG8129">
        <v>-1.111926968555</v>
      </c>
      <c r="AH8129">
        <v>8.9501064505765893</v>
      </c>
      <c r="AI8129">
        <v>96.812540566719306</v>
      </c>
      <c r="AJ8129">
        <v>105.930754451437</v>
      </c>
      <c r="AK8129">
        <v>9.3737547029820991</v>
      </c>
      <c r="AL8129">
        <v>86.922381499571102</v>
      </c>
      <c r="AM8129">
        <v>97.741271219339595</v>
      </c>
      <c r="AN8129">
        <v>1.0000000068661701</v>
      </c>
    </row>
    <row r="8130" spans="1:40" x14ac:dyDescent="0.25">
      <c r="A8130" t="str">
        <f>"20190312150850608"</f>
        <v>20190312150850608</v>
      </c>
      <c r="B8130" t="str">
        <f>"1552374530598080"</f>
        <v>1552374530598080</v>
      </c>
      <c r="C8130" t="s">
        <v>40</v>
      </c>
      <c r="D8130">
        <v>4.5186199999999896</v>
      </c>
      <c r="E8130">
        <v>0.42441820000000002</v>
      </c>
      <c r="F8130" t="s">
        <v>42</v>
      </c>
      <c r="G8130">
        <v>-416.86779999999999</v>
      </c>
      <c r="H8130" s="1">
        <v>-1.8801129999999999E-6</v>
      </c>
      <c r="I8130">
        <v>42.720230000000001</v>
      </c>
      <c r="J8130">
        <v>-420.70830000000001</v>
      </c>
      <c r="K8130">
        <v>1.112009</v>
      </c>
      <c r="L8130">
        <v>51.417720000000003</v>
      </c>
      <c r="M8130">
        <v>0.13600119999999999</v>
      </c>
      <c r="N8130">
        <v>0</v>
      </c>
      <c r="O8130">
        <v>-0.99063809999999997</v>
      </c>
      <c r="P8130">
        <v>0.2681828</v>
      </c>
      <c r="Q8130">
        <v>4.2700189999999999E-2</v>
      </c>
      <c r="R8130">
        <v>-0.96242139999999998</v>
      </c>
      <c r="S8130">
        <v>1.216583</v>
      </c>
      <c r="T8130">
        <v>-0.34978870000000001</v>
      </c>
      <c r="U8130">
        <v>-2.794495</v>
      </c>
      <c r="V8130">
        <v>-0.13503090000000001</v>
      </c>
      <c r="W8130">
        <v>5.3803509999999999E-2</v>
      </c>
      <c r="X8130">
        <v>0.98937949999999997</v>
      </c>
      <c r="Y8130">
        <v>-0.26808779999999999</v>
      </c>
      <c r="Z8130">
        <v>0.1150906</v>
      </c>
      <c r="AA8130">
        <v>0.95649519999999999</v>
      </c>
      <c r="AB8130">
        <v>29</v>
      </c>
      <c r="AC8130">
        <v>3.84050000000002</v>
      </c>
      <c r="AD8130">
        <v>-1.112010880113</v>
      </c>
      <c r="AE8130">
        <v>-8.6974900000000002</v>
      </c>
      <c r="AF8130">
        <v>-2.5864781519808999</v>
      </c>
      <c r="AG8130">
        <v>-1.112010880113</v>
      </c>
      <c r="AH8130">
        <v>9.0156865395489501</v>
      </c>
      <c r="AI8130">
        <v>96.761385505112003</v>
      </c>
      <c r="AJ8130">
        <v>106.00746713725999</v>
      </c>
      <c r="AK8130">
        <v>9.4450537959065297</v>
      </c>
      <c r="AL8130">
        <v>86.915796630434102</v>
      </c>
      <c r="AM8130">
        <v>97.771733284812797</v>
      </c>
      <c r="AN8130">
        <v>0.99999997833168897</v>
      </c>
    </row>
    <row r="8131" spans="1:40" x14ac:dyDescent="0.25">
      <c r="A8131" t="str">
        <f>"20190312150850621"</f>
        <v>20190312150850621</v>
      </c>
      <c r="B8131" t="str">
        <f>"1552374530617600"</f>
        <v>1552374530617600</v>
      </c>
      <c r="C8131" t="s">
        <v>40</v>
      </c>
      <c r="D8131">
        <v>4.5293429999999999</v>
      </c>
      <c r="E8131">
        <v>0.42198469999999999</v>
      </c>
      <c r="F8131" t="s">
        <v>42</v>
      </c>
      <c r="G8131">
        <v>-416.71140000000003</v>
      </c>
      <c r="H8131" s="1">
        <v>-2.2884669999999999E-6</v>
      </c>
      <c r="I8131">
        <v>43.607480000000002</v>
      </c>
      <c r="J8131">
        <v>-420.68340000000001</v>
      </c>
      <c r="K8131">
        <v>1.11209</v>
      </c>
      <c r="L8131">
        <v>51.247590000000002</v>
      </c>
      <c r="M8131">
        <v>0.1375062</v>
      </c>
      <c r="N8131">
        <v>0</v>
      </c>
      <c r="O8131">
        <v>-0.99043040000000004</v>
      </c>
      <c r="P8131">
        <v>0.27010519999999999</v>
      </c>
      <c r="Q8131">
        <v>4.2713059999999997E-2</v>
      </c>
      <c r="R8131">
        <v>-0.96188309999999999</v>
      </c>
      <c r="S8131">
        <v>1.40387</v>
      </c>
      <c r="T8131">
        <v>-0.39058490000000001</v>
      </c>
      <c r="U8131">
        <v>-2.7432859999999999</v>
      </c>
      <c r="V8131">
        <v>-0.135515</v>
      </c>
      <c r="W8131">
        <v>5.3797310000000001E-2</v>
      </c>
      <c r="X8131">
        <v>0.98931369999999996</v>
      </c>
      <c r="Y8131">
        <v>-0.32509320000000003</v>
      </c>
      <c r="Z8131">
        <v>0.1274576</v>
      </c>
      <c r="AA8131">
        <v>0.93705329999999998</v>
      </c>
      <c r="AB8131">
        <v>29</v>
      </c>
      <c r="AC8131">
        <v>3.9719999999999702</v>
      </c>
      <c r="AD8131">
        <v>-1.1120922884669999</v>
      </c>
      <c r="AE8131">
        <v>-7.64011</v>
      </c>
      <c r="AF8131">
        <v>-2.8363201645019598</v>
      </c>
      <c r="AG8131">
        <v>-1.1120922884669999</v>
      </c>
      <c r="AH8131">
        <v>7.9806259769698498</v>
      </c>
      <c r="AI8131">
        <v>97.480320935699694</v>
      </c>
      <c r="AJ8131">
        <v>109.565249331971</v>
      </c>
      <c r="AK8131">
        <v>8.5423563680002399</v>
      </c>
      <c r="AL8131">
        <v>86.916152543309394</v>
      </c>
      <c r="AM8131">
        <v>97.799765807506802</v>
      </c>
      <c r="AN8131">
        <v>1.00000003139796</v>
      </c>
    </row>
    <row r="8132" spans="1:40" x14ac:dyDescent="0.25">
      <c r="A8132" t="str">
        <f>"20190312150850635"</f>
        <v>20190312150850635</v>
      </c>
      <c r="B8132" t="str">
        <f>"1552374530628337"</f>
        <v>1552374530628337</v>
      </c>
      <c r="C8132" t="s">
        <v>40</v>
      </c>
      <c r="D8132">
        <v>4.5644150000000003</v>
      </c>
      <c r="E8132">
        <v>0.42150270000000001</v>
      </c>
      <c r="F8132" t="s">
        <v>42</v>
      </c>
      <c r="G8132">
        <v>-416.59399999999999</v>
      </c>
      <c r="H8132" s="1">
        <v>-2.2261050000000001E-6</v>
      </c>
      <c r="I8132">
        <v>43.413530000000002</v>
      </c>
      <c r="J8132">
        <v>-420.65929999999997</v>
      </c>
      <c r="K8132">
        <v>1.112166</v>
      </c>
      <c r="L8132">
        <v>51.084870000000002</v>
      </c>
      <c r="M8132">
        <v>0.13901350000000001</v>
      </c>
      <c r="N8132">
        <v>0</v>
      </c>
      <c r="O8132">
        <v>-0.99021979999999998</v>
      </c>
      <c r="P8132">
        <v>0.27187840000000002</v>
      </c>
      <c r="Q8132">
        <v>4.2602389999999997E-2</v>
      </c>
      <c r="R8132">
        <v>-0.96138809999999997</v>
      </c>
      <c r="S8132">
        <v>1.4277949999999999</v>
      </c>
      <c r="T8132">
        <v>-0.3882738</v>
      </c>
      <c r="U8132">
        <v>-2.7351679999999998</v>
      </c>
      <c r="V8132">
        <v>-0.13584280000000001</v>
      </c>
      <c r="W8132">
        <v>5.3668279999999999E-2</v>
      </c>
      <c r="X8132">
        <v>0.98927569999999998</v>
      </c>
      <c r="Y8132">
        <v>-0.33129069999999999</v>
      </c>
      <c r="Z8132">
        <v>0.12662680000000001</v>
      </c>
      <c r="AA8132">
        <v>0.93499310000000002</v>
      </c>
      <c r="AB8132">
        <v>29</v>
      </c>
      <c r="AC8132">
        <v>4.0652999999999704</v>
      </c>
      <c r="AD8132">
        <v>-1.1121682261050001</v>
      </c>
      <c r="AE8132">
        <v>-7.6713399999999998</v>
      </c>
      <c r="AF8132">
        <v>-2.9115495086235699</v>
      </c>
      <c r="AG8132">
        <v>-1.1121682261050001</v>
      </c>
      <c r="AH8132">
        <v>8.03023986961567</v>
      </c>
      <c r="AI8132">
        <v>97.418375009766294</v>
      </c>
      <c r="AJ8132">
        <v>109.92928588281001</v>
      </c>
      <c r="AK8132">
        <v>8.6138720136700897</v>
      </c>
      <c r="AL8132">
        <v>86.9235559566538</v>
      </c>
      <c r="AM8132">
        <v>97.8186963640605</v>
      </c>
      <c r="AN8132">
        <v>0.99999998060024398</v>
      </c>
    </row>
    <row r="8133" spans="1:40" x14ac:dyDescent="0.25">
      <c r="A8133" t="str">
        <f>"20190312150850647"</f>
        <v>20190312150850647</v>
      </c>
      <c r="B8133" t="str">
        <f>"1552374530638096"</f>
        <v>1552374530638096</v>
      </c>
      <c r="C8133" t="s">
        <v>40</v>
      </c>
      <c r="D8133">
        <v>4.5634110000000003</v>
      </c>
      <c r="E8133">
        <v>0.421261</v>
      </c>
      <c r="F8133" t="s">
        <v>42</v>
      </c>
      <c r="G8133">
        <v>-416.60750000000002</v>
      </c>
      <c r="H8133" s="1">
        <v>-2.2097120000000001E-6</v>
      </c>
      <c r="I8133">
        <v>43.380929999999999</v>
      </c>
      <c r="J8133">
        <v>-420.63350000000003</v>
      </c>
      <c r="K8133">
        <v>1.1122510000000001</v>
      </c>
      <c r="L8133">
        <v>50.9129</v>
      </c>
      <c r="M8133">
        <v>0.1406522</v>
      </c>
      <c r="N8133">
        <v>0</v>
      </c>
      <c r="O8133">
        <v>-0.98998839999999999</v>
      </c>
      <c r="P8133">
        <v>0.27377240000000003</v>
      </c>
      <c r="Q8133">
        <v>4.2882509999999999E-2</v>
      </c>
      <c r="R8133">
        <v>-0.96083830000000003</v>
      </c>
      <c r="S8133">
        <v>1.4366760000000001</v>
      </c>
      <c r="T8133">
        <v>-0.39435219999999999</v>
      </c>
      <c r="U8133">
        <v>-2.7316590000000001</v>
      </c>
      <c r="V8133">
        <v>-0.13616919999999999</v>
      </c>
      <c r="W8133">
        <v>5.3929209999999998E-2</v>
      </c>
      <c r="X8133">
        <v>0.9892166</v>
      </c>
      <c r="Y8133">
        <v>-0.332491799999999</v>
      </c>
      <c r="Z8133">
        <v>0.1285549</v>
      </c>
      <c r="AA8133">
        <v>0.93430340000000001</v>
      </c>
      <c r="AB8133">
        <v>29</v>
      </c>
      <c r="AC8133">
        <v>4.0260000000000096</v>
      </c>
      <c r="AD8133">
        <v>-1.1122532097119999</v>
      </c>
      <c r="AE8133">
        <v>-7.5319700000000003</v>
      </c>
      <c r="AF8133">
        <v>-2.8777018094423399</v>
      </c>
      <c r="AG8133">
        <v>-1.1122532097119999</v>
      </c>
      <c r="AH8133">
        <v>7.8895766037088597</v>
      </c>
      <c r="AI8133">
        <v>97.544485764574901</v>
      </c>
      <c r="AJ8133">
        <v>110.039304900421</v>
      </c>
      <c r="AK8133">
        <v>8.4713454593926603</v>
      </c>
      <c r="AL8133">
        <v>86.908583979898197</v>
      </c>
      <c r="AM8133">
        <v>97.837712175559602</v>
      </c>
      <c r="AN8133">
        <v>0.99999994621771005</v>
      </c>
    </row>
    <row r="8134" spans="1:40" x14ac:dyDescent="0.25">
      <c r="A8134" t="str">
        <f>"20190312150850659"</f>
        <v>20190312150850659</v>
      </c>
      <c r="B8134" t="str">
        <f>"1552374530647856"</f>
        <v>1552374530647856</v>
      </c>
      <c r="C8134" t="s">
        <v>40</v>
      </c>
      <c r="D8134">
        <v>4.5392400000000004</v>
      </c>
      <c r="E8134">
        <v>0.42174640000000002</v>
      </c>
      <c r="F8134" t="s">
        <v>42</v>
      </c>
      <c r="G8134">
        <v>-416.60730000000001</v>
      </c>
      <c r="H8134" s="1">
        <v>-2.1787500000000001E-6</v>
      </c>
      <c r="I8134">
        <v>43.30865</v>
      </c>
      <c r="J8134">
        <v>-420.60939999999999</v>
      </c>
      <c r="K8134">
        <v>1.1123320000000001</v>
      </c>
      <c r="L8134">
        <v>50.754489999999997</v>
      </c>
      <c r="M8134">
        <v>0.14223479999999999</v>
      </c>
      <c r="N8134">
        <v>0</v>
      </c>
      <c r="O8134">
        <v>-0.98976180000000002</v>
      </c>
      <c r="P8134">
        <v>0.27568809999999999</v>
      </c>
      <c r="Q8134">
        <v>4.3257980000000001E-2</v>
      </c>
      <c r="R8134">
        <v>-0.9602733</v>
      </c>
      <c r="S8134">
        <v>1.4446410000000001</v>
      </c>
      <c r="T8134">
        <v>-0.39908359999999998</v>
      </c>
      <c r="U8134">
        <v>-2.7284549999999999</v>
      </c>
      <c r="V8134">
        <v>-0.136576</v>
      </c>
      <c r="W8134">
        <v>5.4284399999999997E-2</v>
      </c>
      <c r="X8134">
        <v>0.98914120000000005</v>
      </c>
      <c r="Y8134">
        <v>-0.33347890000000002</v>
      </c>
      <c r="Z8134">
        <v>0.1300521</v>
      </c>
      <c r="AA8134">
        <v>0.93374420000000002</v>
      </c>
      <c r="AB8134">
        <v>29</v>
      </c>
      <c r="AC8134">
        <v>4.00209999999998</v>
      </c>
      <c r="AD8134">
        <v>-1.1123341787499901</v>
      </c>
      <c r="AE8134">
        <v>-7.4458399999999996</v>
      </c>
      <c r="AF8134">
        <v>-2.8528748543816702</v>
      </c>
      <c r="AG8134">
        <v>-1.1123341787499901</v>
      </c>
      <c r="AH8134">
        <v>7.8042736276762597</v>
      </c>
      <c r="AI8134">
        <v>97.624576528787799</v>
      </c>
      <c r="AJ8134">
        <v>110.08003173630701</v>
      </c>
      <c r="AK8134">
        <v>8.3834878848616405</v>
      </c>
      <c r="AL8134">
        <v>86.888203580246596</v>
      </c>
      <c r="AM8134">
        <v>97.861426450808295</v>
      </c>
      <c r="AN8134">
        <v>1.00000005669839</v>
      </c>
    </row>
    <row r="8135" spans="1:40" x14ac:dyDescent="0.25">
      <c r="A8135" t="str">
        <f>"20190312150850675"</f>
        <v>20190312150850675</v>
      </c>
      <c r="B8135" t="str">
        <f>"1552374530668352"</f>
        <v>1552374530668352</v>
      </c>
      <c r="C8135" t="s">
        <v>40</v>
      </c>
      <c r="D8135">
        <v>4.5537729999999996</v>
      </c>
      <c r="E8135">
        <v>0.42173359999999899</v>
      </c>
      <c r="F8135" t="s">
        <v>42</v>
      </c>
      <c r="G8135">
        <v>-416.5949</v>
      </c>
      <c r="H8135" s="1">
        <v>-2.1270269999999998E-6</v>
      </c>
      <c r="I8135">
        <v>43.182949999999998</v>
      </c>
      <c r="J8135">
        <v>-420.58049999999997</v>
      </c>
      <c r="K8135">
        <v>1.112428</v>
      </c>
      <c r="L8135">
        <v>50.56747</v>
      </c>
      <c r="M8135">
        <v>0.14418039999999999</v>
      </c>
      <c r="N8135">
        <v>0</v>
      </c>
      <c r="O8135">
        <v>-0.98948040000000004</v>
      </c>
      <c r="P8135">
        <v>0.27771430000000003</v>
      </c>
      <c r="Q8135">
        <v>4.3157090000000002E-2</v>
      </c>
      <c r="R8135">
        <v>-0.95969400000000005</v>
      </c>
      <c r="S8135">
        <v>1.4459229999999901</v>
      </c>
      <c r="T8135">
        <v>-0.40063090000000001</v>
      </c>
      <c r="U8135">
        <v>-2.7270509999999999</v>
      </c>
      <c r="V8135">
        <v>-0.13673070000000001</v>
      </c>
      <c r="W8135">
        <v>5.4162040000000002E-2</v>
      </c>
      <c r="X8135">
        <v>0.98912650000000002</v>
      </c>
      <c r="Y8135">
        <v>-0.3321366</v>
      </c>
      <c r="Z8135">
        <v>0.1305685</v>
      </c>
      <c r="AA8135">
        <v>0.93415049999999999</v>
      </c>
      <c r="AB8135">
        <v>29</v>
      </c>
      <c r="AC8135">
        <v>3.9855999999999701</v>
      </c>
      <c r="AD8135">
        <v>-1.1124301270270001</v>
      </c>
      <c r="AE8135">
        <v>-7.3845200000000002</v>
      </c>
      <c r="AF8135">
        <v>-2.8294473671554998</v>
      </c>
      <c r="AG8135">
        <v>-1.1124301270270001</v>
      </c>
      <c r="AH8135">
        <v>7.7459096953756799</v>
      </c>
      <c r="AI8135">
        <v>97.682658517680494</v>
      </c>
      <c r="AJ8135">
        <v>110.06637778985601</v>
      </c>
      <c r="AK8135">
        <v>8.3212012474122705</v>
      </c>
      <c r="AL8135">
        <v>86.895224512524806</v>
      </c>
      <c r="AM8135">
        <v>97.870335082225495</v>
      </c>
      <c r="AN8135">
        <v>1.00000002195085</v>
      </c>
    </row>
    <row r="8136" spans="1:40" x14ac:dyDescent="0.25">
      <c r="A8136" t="str">
        <f>"20190312150850694"</f>
        <v>20190312150850694</v>
      </c>
      <c r="B8136" t="str">
        <f>"1552374530687872"</f>
        <v>1552374530687872</v>
      </c>
      <c r="C8136" t="s">
        <v>40</v>
      </c>
      <c r="D8136">
        <v>4.5760579999999997</v>
      </c>
      <c r="E8136">
        <v>0.42178640000000001</v>
      </c>
      <c r="F8136" t="s">
        <v>42</v>
      </c>
      <c r="G8136">
        <v>-416.57060000000001</v>
      </c>
      <c r="H8136" s="1">
        <v>-2.0706199999999998E-6</v>
      </c>
      <c r="I8136">
        <v>43.041449999999998</v>
      </c>
      <c r="J8136">
        <v>-420.54039999999998</v>
      </c>
      <c r="K8136">
        <v>1.112557</v>
      </c>
      <c r="L8136">
        <v>50.312959999999997</v>
      </c>
      <c r="M8136">
        <v>0.146952</v>
      </c>
      <c r="N8136">
        <v>0</v>
      </c>
      <c r="O8136">
        <v>-0.98907230000000002</v>
      </c>
      <c r="P8136">
        <v>0.28073809999999999</v>
      </c>
      <c r="Q8136">
        <v>4.274389E-2</v>
      </c>
      <c r="R8136">
        <v>-0.95883240000000003</v>
      </c>
      <c r="S8136">
        <v>1.4513849999999999</v>
      </c>
      <c r="T8136">
        <v>-0.40265069999999997</v>
      </c>
      <c r="U8136">
        <v>-2.724091</v>
      </c>
      <c r="V8136">
        <v>-0.13708960000000001</v>
      </c>
      <c r="W8136">
        <v>5.371828E-2</v>
      </c>
      <c r="X8136">
        <v>0.98910100000000001</v>
      </c>
      <c r="Y8136">
        <v>-0.33133639999999998</v>
      </c>
      <c r="Z8136">
        <v>0.13121910000000001</v>
      </c>
      <c r="AA8136">
        <v>0.93434349999999999</v>
      </c>
      <c r="AB8136">
        <v>29</v>
      </c>
      <c r="AC8136">
        <v>3.9697999999999598</v>
      </c>
      <c r="AD8136">
        <v>-1.1125590706199999</v>
      </c>
      <c r="AE8136">
        <v>-7.2715099999999904</v>
      </c>
      <c r="AF8136">
        <v>-2.8074271753097602</v>
      </c>
      <c r="AG8136">
        <v>-1.1125590706199999</v>
      </c>
      <c r="AH8136">
        <v>7.6382158322289397</v>
      </c>
      <c r="AI8136">
        <v>97.784915866159395</v>
      </c>
      <c r="AJ8136">
        <v>110.180910204453</v>
      </c>
      <c r="AK8136">
        <v>8.2135118025117198</v>
      </c>
      <c r="AL8136">
        <v>86.920687089281699</v>
      </c>
      <c r="AM8136">
        <v>97.890934646390406</v>
      </c>
      <c r="AN8136">
        <v>1.0000000001176499</v>
      </c>
    </row>
    <row r="8137" spans="1:40" x14ac:dyDescent="0.25">
      <c r="A8137" t="str">
        <f>"20190312150850710"</f>
        <v>20190312150850710</v>
      </c>
      <c r="B8137" t="str">
        <f>"1552374530707856"</f>
        <v>1552374530707856</v>
      </c>
      <c r="C8137" t="s">
        <v>40</v>
      </c>
      <c r="D8137">
        <v>4.5463509999999996</v>
      </c>
      <c r="E8137">
        <v>0.42159059999999998</v>
      </c>
      <c r="F8137" t="s">
        <v>42</v>
      </c>
      <c r="G8137">
        <v>-416.52730000000003</v>
      </c>
      <c r="H8137" s="1">
        <v>-2.0081389999999999E-6</v>
      </c>
      <c r="I8137">
        <v>42.8339</v>
      </c>
      <c r="J8137">
        <v>-420.50779999999997</v>
      </c>
      <c r="K8137">
        <v>1.1126609999999999</v>
      </c>
      <c r="L8137">
        <v>50.109470000000002</v>
      </c>
      <c r="M8137">
        <v>0.14927309999999999</v>
      </c>
      <c r="N8137">
        <v>0</v>
      </c>
      <c r="O8137">
        <v>-0.98872439999999995</v>
      </c>
      <c r="P8137">
        <v>0.28339320000000001</v>
      </c>
      <c r="Q8137">
        <v>4.224203E-2</v>
      </c>
      <c r="R8137">
        <v>-0.95807310000000001</v>
      </c>
      <c r="S8137">
        <v>1.4592590000000001</v>
      </c>
      <c r="T8137">
        <v>-0.40455459999999999</v>
      </c>
      <c r="U8137">
        <v>-2.7195740000000002</v>
      </c>
      <c r="V8137">
        <v>-0.13751559999999999</v>
      </c>
      <c r="W8137">
        <v>5.319165E-2</v>
      </c>
      <c r="X8137">
        <v>0.98907029999999996</v>
      </c>
      <c r="Y8137">
        <v>-0.33183119999999999</v>
      </c>
      <c r="Z8137">
        <v>0.1318529</v>
      </c>
      <c r="AA8137">
        <v>0.93407859999999998</v>
      </c>
      <c r="AB8137">
        <v>29</v>
      </c>
      <c r="AC8137">
        <v>3.9804999999999402</v>
      </c>
      <c r="AD8137">
        <v>-1.1126630081389901</v>
      </c>
      <c r="AE8137">
        <v>-7.2755700000000001</v>
      </c>
      <c r="AF8137">
        <v>-2.7993830750367401</v>
      </c>
      <c r="AG8137">
        <v>-1.1126630081389901</v>
      </c>
      <c r="AH8137">
        <v>7.6505555299632402</v>
      </c>
      <c r="AI8137">
        <v>97.777312430934103</v>
      </c>
      <c r="AJ8137">
        <v>110.097868828369</v>
      </c>
      <c r="AK8137">
        <v>8.2222603028324404</v>
      </c>
      <c r="AL8137">
        <v>86.950903891907402</v>
      </c>
      <c r="AM8137">
        <v>97.915387639419507</v>
      </c>
      <c r="AN8137">
        <v>0.99999997510758598</v>
      </c>
    </row>
    <row r="8138" spans="1:40" x14ac:dyDescent="0.25">
      <c r="A8138" t="str">
        <f>"20190312150850728"</f>
        <v>20190312150850728</v>
      </c>
      <c r="B8138" t="str">
        <f>"1552374530717618"</f>
        <v>1552374530717618</v>
      </c>
      <c r="C8138" t="s">
        <v>40</v>
      </c>
      <c r="D8138">
        <v>4.5498390000000004</v>
      </c>
      <c r="E8138">
        <v>0.42169380000000001</v>
      </c>
      <c r="F8138" t="s">
        <v>42</v>
      </c>
      <c r="G8138">
        <v>-416.49529999999999</v>
      </c>
      <c r="H8138" s="1">
        <v>-1.9676999999999998E-6</v>
      </c>
      <c r="I8138">
        <v>42.690010000000001</v>
      </c>
      <c r="J8138">
        <v>-420.47140000000002</v>
      </c>
      <c r="K8138">
        <v>1.112765</v>
      </c>
      <c r="L8138">
        <v>49.886809999999997</v>
      </c>
      <c r="M8138">
        <v>0.15191559999999901</v>
      </c>
      <c r="N8138">
        <v>0</v>
      </c>
      <c r="O8138">
        <v>-0.98832180000000003</v>
      </c>
      <c r="P8138">
        <v>0.28681200000000001</v>
      </c>
      <c r="Q8138">
        <v>4.1611490000000001E-2</v>
      </c>
      <c r="R8138">
        <v>-0.95708300000000002</v>
      </c>
      <c r="S8138">
        <v>1.468262</v>
      </c>
      <c r="T8138">
        <v>-0.40714699999999998</v>
      </c>
      <c r="U8138">
        <v>-2.7149350000000001</v>
      </c>
      <c r="V8138">
        <v>-0.13840939999999999</v>
      </c>
      <c r="W8138">
        <v>5.2530720000000003E-2</v>
      </c>
      <c r="X8138">
        <v>0.98898090000000005</v>
      </c>
      <c r="Y8138">
        <v>-0.3323238</v>
      </c>
      <c r="Z8138">
        <v>0.13268840000000001</v>
      </c>
      <c r="AA8138">
        <v>0.93378510000000003</v>
      </c>
      <c r="AB8138">
        <v>29</v>
      </c>
      <c r="AC8138">
        <v>3.9761000000000299</v>
      </c>
      <c r="AD8138">
        <v>-1.1127669677000001</v>
      </c>
      <c r="AE8138">
        <v>-7.1967999999999899</v>
      </c>
      <c r="AF8138">
        <v>-2.7855399402197101</v>
      </c>
      <c r="AG8138">
        <v>-1.1127669677000001</v>
      </c>
      <c r="AH8138">
        <v>7.5785212615896898</v>
      </c>
      <c r="AI8138">
        <v>97.846905529027595</v>
      </c>
      <c r="AJ8138">
        <v>110.181266618476</v>
      </c>
      <c r="AK8138">
        <v>8.1505501406549605</v>
      </c>
      <c r="AL8138">
        <v>86.988825275029001</v>
      </c>
      <c r="AM8138">
        <v>97.966887197858696</v>
      </c>
      <c r="AN8138">
        <v>0.99999992955844197</v>
      </c>
    </row>
    <row r="8139" spans="1:40" x14ac:dyDescent="0.25">
      <c r="A8139" t="str">
        <f>"20190312150850742"</f>
        <v>20190312150850742</v>
      </c>
      <c r="B8139" t="str">
        <f>"1552374530738112"</f>
        <v>1552374530738112</v>
      </c>
      <c r="C8139" t="s">
        <v>40</v>
      </c>
      <c r="D8139">
        <v>4.5768719999999998</v>
      </c>
      <c r="E8139">
        <v>0.42159790000000003</v>
      </c>
      <c r="F8139" t="s">
        <v>42</v>
      </c>
      <c r="G8139">
        <v>-416.4726</v>
      </c>
      <c r="H8139" s="1">
        <v>-1.9255009999999998E-6</v>
      </c>
      <c r="I8139">
        <v>42.548229999999997</v>
      </c>
      <c r="J8139">
        <v>-420.4391</v>
      </c>
      <c r="K8139">
        <v>1.1128549999999999</v>
      </c>
      <c r="L8139">
        <v>49.692439999999998</v>
      </c>
      <c r="M8139">
        <v>0.15430749999999999</v>
      </c>
      <c r="N8139">
        <v>0</v>
      </c>
      <c r="O8139">
        <v>-0.98795120000000003</v>
      </c>
      <c r="P8139">
        <v>0.28948689999999999</v>
      </c>
      <c r="Q8139">
        <v>4.1225379999999999E-2</v>
      </c>
      <c r="R8139">
        <v>-0.95629410000000004</v>
      </c>
      <c r="S8139">
        <v>1.4766539999999999</v>
      </c>
      <c r="T8139">
        <v>-0.41090880000000002</v>
      </c>
      <c r="U8139">
        <v>-2.7099000000000002</v>
      </c>
      <c r="V8139">
        <v>-0.138787299999999</v>
      </c>
      <c r="W8139">
        <v>5.2122149999999999E-2</v>
      </c>
      <c r="X8139">
        <v>0.98894970000000004</v>
      </c>
      <c r="Y8139">
        <v>-0.332922</v>
      </c>
      <c r="Z8139">
        <v>0.13392409999999999</v>
      </c>
      <c r="AA8139">
        <v>0.93339559999999999</v>
      </c>
      <c r="AB8139">
        <v>29</v>
      </c>
      <c r="AC8139">
        <v>3.9664999999999901</v>
      </c>
      <c r="AD8139">
        <v>-1.1128569255009999</v>
      </c>
      <c r="AE8139">
        <v>-7.1442100000000002</v>
      </c>
      <c r="AF8139">
        <v>-2.7652156486018602</v>
      </c>
      <c r="AG8139">
        <v>-1.1128569255009999</v>
      </c>
      <c r="AH8139">
        <v>7.53105464622372</v>
      </c>
      <c r="AI8139">
        <v>97.897335620130207</v>
      </c>
      <c r="AJ8139">
        <v>110.16197729822601</v>
      </c>
      <c r="AK8139">
        <v>8.0994846875783395</v>
      </c>
      <c r="AL8139">
        <v>87.012267150892498</v>
      </c>
      <c r="AM8139">
        <v>97.9886075841642</v>
      </c>
      <c r="AN8139">
        <v>1.00000007114599</v>
      </c>
    </row>
    <row r="8140" spans="1:40" x14ac:dyDescent="0.25">
      <c r="A8140" t="str">
        <f>"20190312150850755"</f>
        <v>20190312150850755</v>
      </c>
      <c r="B8140" t="str">
        <f>"1552374530747873"</f>
        <v>1552374530747873</v>
      </c>
      <c r="C8140" t="s">
        <v>40</v>
      </c>
      <c r="D8140">
        <v>4.6185980000000004</v>
      </c>
      <c r="E8140">
        <v>0.42159259999999898</v>
      </c>
      <c r="F8140" t="s">
        <v>42</v>
      </c>
      <c r="G8140">
        <v>-416.4479</v>
      </c>
      <c r="H8140" s="1">
        <v>-1.8883030000000001E-6</v>
      </c>
      <c r="I8140">
        <v>42.419649999999997</v>
      </c>
      <c r="J8140">
        <v>-420.4117</v>
      </c>
      <c r="K8140">
        <v>1.1129249999999999</v>
      </c>
      <c r="L8140">
        <v>49.530909999999999</v>
      </c>
      <c r="M8140">
        <v>0.15636749999999999</v>
      </c>
      <c r="N8140">
        <v>0</v>
      </c>
      <c r="O8140">
        <v>-0.98762689999999997</v>
      </c>
      <c r="P8140">
        <v>0.29198459999999898</v>
      </c>
      <c r="Q8140">
        <v>4.1096290000000001E-2</v>
      </c>
      <c r="R8140">
        <v>-0.9555399</v>
      </c>
      <c r="S8140">
        <v>1.4847410000000001</v>
      </c>
      <c r="T8140">
        <v>-0.41398699999999999</v>
      </c>
      <c r="U8140">
        <v>-2.705505</v>
      </c>
      <c r="V8140">
        <v>-0.139317</v>
      </c>
      <c r="W8140">
        <v>5.1973110000000003E-2</v>
      </c>
      <c r="X8140">
        <v>0.98888299999999996</v>
      </c>
      <c r="Y8140">
        <v>-0.33367619999999998</v>
      </c>
      <c r="Z8140">
        <v>0.1349223</v>
      </c>
      <c r="AA8140">
        <v>0.93298239999999999</v>
      </c>
      <c r="AB8140">
        <v>29</v>
      </c>
      <c r="AC8140">
        <v>3.9637999999999902</v>
      </c>
      <c r="AD8140">
        <v>-1.1129268883029999</v>
      </c>
      <c r="AE8140">
        <v>-7.1112599999999997</v>
      </c>
      <c r="AF8140">
        <v>-2.7515665074615998</v>
      </c>
      <c r="AG8140">
        <v>-1.1129268883029999</v>
      </c>
      <c r="AH8140">
        <v>7.5034089166065296</v>
      </c>
      <c r="AI8140">
        <v>97.927735611285101</v>
      </c>
      <c r="AJ8140">
        <v>110.138434246958</v>
      </c>
      <c r="AK8140">
        <v>8.0691306764423203</v>
      </c>
      <c r="AL8140">
        <v>87.020817918397498</v>
      </c>
      <c r="AM8140">
        <v>98.019235148052701</v>
      </c>
      <c r="AN8140">
        <v>1.0000000091705299</v>
      </c>
    </row>
    <row r="8141" spans="1:40" x14ac:dyDescent="0.25">
      <c r="A8141" t="str">
        <f>"20190312150850773"</f>
        <v>20190312150850773</v>
      </c>
      <c r="B8141" t="str">
        <f>"1552374530768369"</f>
        <v>1552374530768369</v>
      </c>
      <c r="C8141" t="s">
        <v>40</v>
      </c>
      <c r="D8141">
        <v>4.5742560000000001</v>
      </c>
      <c r="E8141">
        <v>0.42150199999999999</v>
      </c>
      <c r="F8141" t="s">
        <v>42</v>
      </c>
      <c r="G8141">
        <v>-416.45490000000001</v>
      </c>
      <c r="H8141" s="1">
        <v>-1.8686589999999999E-6</v>
      </c>
      <c r="I8141">
        <v>42.367379999999997</v>
      </c>
      <c r="J8141">
        <v>-420.37450000000001</v>
      </c>
      <c r="K8141">
        <v>1.1130180000000001</v>
      </c>
      <c r="L8141">
        <v>49.314300000000003</v>
      </c>
      <c r="M8141">
        <v>0.15919659999999999</v>
      </c>
      <c r="N8141">
        <v>0</v>
      </c>
      <c r="O8141">
        <v>-0.98717469999999996</v>
      </c>
      <c r="P8141">
        <v>0.2958075</v>
      </c>
      <c r="Q8141">
        <v>4.0783819999999998E-2</v>
      </c>
      <c r="R8141">
        <v>-0.95437669999999997</v>
      </c>
      <c r="S8141">
        <v>1.4922789999999999</v>
      </c>
      <c r="T8141">
        <v>-0.41972989999999999</v>
      </c>
      <c r="U8141">
        <v>-2.70166</v>
      </c>
      <c r="V8141">
        <v>-0.14045060000000001</v>
      </c>
      <c r="W8141">
        <v>5.1630719999999998E-2</v>
      </c>
      <c r="X8141">
        <v>0.98874059999999997</v>
      </c>
      <c r="Y8141">
        <v>-0.33341340000000003</v>
      </c>
      <c r="Z8141">
        <v>0.13675190000000001</v>
      </c>
      <c r="AA8141">
        <v>0.93280989999999997</v>
      </c>
      <c r="AB8141">
        <v>29</v>
      </c>
      <c r="AC8141">
        <v>3.9196</v>
      </c>
      <c r="AD8141">
        <v>-1.113019868659</v>
      </c>
      <c r="AE8141">
        <v>-6.9469200000000004</v>
      </c>
      <c r="AF8141">
        <v>-2.7108181095927599</v>
      </c>
      <c r="AG8141">
        <v>-1.113019868659</v>
      </c>
      <c r="AH8141">
        <v>7.3394366128061099</v>
      </c>
      <c r="AI8141">
        <v>98.0963515018002</v>
      </c>
      <c r="AJ8141">
        <v>110.271689800831</v>
      </c>
      <c r="AK8141">
        <v>7.9028272057995004</v>
      </c>
      <c r="AL8141">
        <v>87.040461880487896</v>
      </c>
      <c r="AM8141">
        <v>98.0847761535004</v>
      </c>
      <c r="AN8141">
        <v>1.0000000381882099</v>
      </c>
    </row>
    <row r="8142" spans="1:40" x14ac:dyDescent="0.25">
      <c r="A8142" t="str">
        <f>"20190312150850786"</f>
        <v>20190312150850786</v>
      </c>
      <c r="B8142" t="str">
        <f>"1552374530778129"</f>
        <v>1552374530778129</v>
      </c>
      <c r="C8142" t="s">
        <v>40</v>
      </c>
      <c r="D8142">
        <v>4.5631079999999997</v>
      </c>
      <c r="E8142">
        <v>0.4214157</v>
      </c>
      <c r="F8142" t="s">
        <v>42</v>
      </c>
      <c r="G8142">
        <v>-416.4101</v>
      </c>
      <c r="H8142" s="1">
        <v>-1.8269109999999999E-6</v>
      </c>
      <c r="I8142">
        <v>42.209710000000001</v>
      </c>
      <c r="J8142">
        <v>-420.3433</v>
      </c>
      <c r="K8142">
        <v>1.1130949999999999</v>
      </c>
      <c r="L8142">
        <v>49.135620000000003</v>
      </c>
      <c r="M8142">
        <v>0.16159109999999999</v>
      </c>
      <c r="N8142">
        <v>0</v>
      </c>
      <c r="O8142">
        <v>-0.98678529999999998</v>
      </c>
      <c r="P8142">
        <v>0.2983828</v>
      </c>
      <c r="Q8142">
        <v>4.0637560000000003E-2</v>
      </c>
      <c r="R8142">
        <v>-0.95358089999999995</v>
      </c>
      <c r="S8142">
        <v>1.5039670000000001</v>
      </c>
      <c r="T8142">
        <v>-0.42225309999999999</v>
      </c>
      <c r="U8142">
        <v>-2.6953130000000001</v>
      </c>
      <c r="V8142">
        <v>-0.14072899999999999</v>
      </c>
      <c r="W8142">
        <v>5.1464530000000001E-2</v>
      </c>
      <c r="X8142">
        <v>0.98870959999999997</v>
      </c>
      <c r="Y8142">
        <v>-0.33509250000000002</v>
      </c>
      <c r="Z8142">
        <v>0.1375779</v>
      </c>
      <c r="AA8142">
        <v>0.93208650000000004</v>
      </c>
      <c r="AB8142">
        <v>29</v>
      </c>
      <c r="AC8142">
        <v>3.9331999999999998</v>
      </c>
      <c r="AD8142">
        <v>-1.113096826911</v>
      </c>
      <c r="AE8142">
        <v>-6.92591</v>
      </c>
      <c r="AF8142">
        <v>-2.7093412397360801</v>
      </c>
      <c r="AG8142">
        <v>-1.113096826911</v>
      </c>
      <c r="AH8142">
        <v>7.3273829809782898</v>
      </c>
      <c r="AI8142">
        <v>98.108989964085097</v>
      </c>
      <c r="AJ8142">
        <v>110.29215822803</v>
      </c>
      <c r="AK8142">
        <v>7.8911378044832201</v>
      </c>
      <c r="AL8142">
        <v>87.049996314421705</v>
      </c>
      <c r="AM8142">
        <v>98.100839846314699</v>
      </c>
      <c r="AN8142">
        <v>0.99999996121063905</v>
      </c>
    </row>
    <row r="8143" spans="1:40" x14ac:dyDescent="0.25">
      <c r="A8143" t="str">
        <f>"20190312150850798"</f>
        <v>20190312150850798</v>
      </c>
      <c r="B8143" t="str">
        <f>"1552374530787889"</f>
        <v>1552374530787889</v>
      </c>
      <c r="C8143" t="s">
        <v>40</v>
      </c>
      <c r="D8143">
        <v>4.5589449999999996</v>
      </c>
      <c r="E8143">
        <v>0.4212784</v>
      </c>
      <c r="F8143" t="s">
        <v>42</v>
      </c>
      <c r="G8143">
        <v>-416.36309999999997</v>
      </c>
      <c r="H8143" s="1">
        <v>-1.7866650000000001E-6</v>
      </c>
      <c r="I8143">
        <v>42.054659999999998</v>
      </c>
      <c r="J8143">
        <v>-420.31470000000002</v>
      </c>
      <c r="K8143">
        <v>1.1131530000000001</v>
      </c>
      <c r="L8143">
        <v>48.975340000000003</v>
      </c>
      <c r="M8143">
        <v>0.163803799999999</v>
      </c>
      <c r="N8143">
        <v>0</v>
      </c>
      <c r="O8143">
        <v>-0.98642030000000003</v>
      </c>
      <c r="P8143">
        <v>0.30080259999999998</v>
      </c>
      <c r="Q8143">
        <v>4.0506019999999997E-2</v>
      </c>
      <c r="R8143">
        <v>-0.9528259</v>
      </c>
      <c r="S8143">
        <v>1.5124820000000001</v>
      </c>
      <c r="T8143">
        <v>-0.42298170000000002</v>
      </c>
      <c r="U8143">
        <v>-2.6907960000000002</v>
      </c>
      <c r="V8143">
        <v>-0.1410285</v>
      </c>
      <c r="W8143">
        <v>5.1315949999999999E-2</v>
      </c>
      <c r="X8143">
        <v>0.98867470000000002</v>
      </c>
      <c r="Y8143">
        <v>-0.3358758</v>
      </c>
      <c r="Z8143">
        <v>0.13781409999999999</v>
      </c>
      <c r="AA8143">
        <v>0.93176970000000003</v>
      </c>
      <c r="AB8143">
        <v>29</v>
      </c>
      <c r="AC8143">
        <v>3.95160000000004</v>
      </c>
      <c r="AD8143">
        <v>-1.113154786665</v>
      </c>
      <c r="AE8143">
        <v>-6.9206799999999999</v>
      </c>
      <c r="AF8143">
        <v>-2.7115989382702099</v>
      </c>
      <c r="AG8143">
        <v>-1.113154786665</v>
      </c>
      <c r="AH8143">
        <v>7.3314829835340998</v>
      </c>
      <c r="AI8143">
        <v>98.104668625170405</v>
      </c>
      <c r="AJ8143">
        <v>110.297257301222</v>
      </c>
      <c r="AK8143">
        <v>7.8957282829991904</v>
      </c>
      <c r="AL8143">
        <v>87.058520739117398</v>
      </c>
      <c r="AM8143">
        <v>98.118133264914405</v>
      </c>
      <c r="AN8143">
        <v>1.00000001347837</v>
      </c>
    </row>
    <row r="8144" spans="1:40" x14ac:dyDescent="0.25">
      <c r="A8144" t="str">
        <f>"20190312150850812"</f>
        <v>20190312150850812</v>
      </c>
      <c r="B8144" t="str">
        <f>"1552374530808385"</f>
        <v>1552374530808385</v>
      </c>
      <c r="C8144" t="s">
        <v>40</v>
      </c>
      <c r="D8144">
        <v>4.5893090000000001</v>
      </c>
      <c r="E8144">
        <v>0.42113099999999998</v>
      </c>
      <c r="F8144" t="s">
        <v>42</v>
      </c>
      <c r="G8144">
        <v>-416.2946</v>
      </c>
      <c r="H8144" s="1">
        <v>-1.7427150000000001E-6</v>
      </c>
      <c r="I8144">
        <v>41.871989999999997</v>
      </c>
      <c r="J8144">
        <v>-420.286</v>
      </c>
      <c r="K8144">
        <v>1.113216</v>
      </c>
      <c r="L8144">
        <v>48.816499999999998</v>
      </c>
      <c r="M8144">
        <v>0.16603479999999901</v>
      </c>
      <c r="N8144">
        <v>0</v>
      </c>
      <c r="O8144">
        <v>-0.98604709999999995</v>
      </c>
      <c r="P8144">
        <v>0.3030658</v>
      </c>
      <c r="Q8144">
        <v>4.0311590000000001E-2</v>
      </c>
      <c r="R8144">
        <v>-0.95211679999999999</v>
      </c>
      <c r="S8144">
        <v>1.5203549999999999</v>
      </c>
      <c r="T8144">
        <v>-0.42098609999999997</v>
      </c>
      <c r="U8144">
        <v>-2.6864319999999999</v>
      </c>
      <c r="V8144">
        <v>-0.14114649999999901</v>
      </c>
      <c r="W8144">
        <v>5.1106409999999998E-2</v>
      </c>
      <c r="X8144">
        <v>0.98866869999999996</v>
      </c>
      <c r="Y8144">
        <v>-0.33650839999999999</v>
      </c>
      <c r="Z8144">
        <v>0.13718279999999999</v>
      </c>
      <c r="AA8144">
        <v>0.93163459999999998</v>
      </c>
      <c r="AB8144">
        <v>29</v>
      </c>
      <c r="AC8144">
        <v>3.9913999999999898</v>
      </c>
      <c r="AD8144">
        <v>-1.1132177427150001</v>
      </c>
      <c r="AE8144">
        <v>-6.9445099999999904</v>
      </c>
      <c r="AF8144">
        <v>-2.73014291741586</v>
      </c>
      <c r="AG8144">
        <v>-1.1132177427150001</v>
      </c>
      <c r="AH8144">
        <v>7.36853520051804</v>
      </c>
      <c r="AI8144">
        <v>98.063200549235603</v>
      </c>
      <c r="AJ8144">
        <v>110.33035585175</v>
      </c>
      <c r="AK8144">
        <v>7.9365134091416296</v>
      </c>
      <c r="AL8144">
        <v>87.070542228207401</v>
      </c>
      <c r="AM8144">
        <v>98.124883783495207</v>
      </c>
      <c r="AN8144">
        <v>0.99999999898251402</v>
      </c>
    </row>
    <row r="8145" spans="1:40" x14ac:dyDescent="0.25">
      <c r="A8145" t="str">
        <f>"20190312150850824"</f>
        <v>20190312150850824</v>
      </c>
      <c r="B8145" t="str">
        <f>"1552374530818144"</f>
        <v>1552374530818144</v>
      </c>
      <c r="C8145" t="s">
        <v>40</v>
      </c>
      <c r="D8145">
        <v>4.5689669999999998</v>
      </c>
      <c r="E8145">
        <v>0.4210525</v>
      </c>
      <c r="F8145" t="s">
        <v>42</v>
      </c>
      <c r="G8145">
        <v>-416.23149999999998</v>
      </c>
      <c r="H8145" s="1">
        <v>-1.7011319999999999E-6</v>
      </c>
      <c r="I8145">
        <v>41.700420000000001</v>
      </c>
      <c r="J8145">
        <v>-420.2559</v>
      </c>
      <c r="K8145">
        <v>1.113283</v>
      </c>
      <c r="L8145">
        <v>48.651339999999998</v>
      </c>
      <c r="M8145">
        <v>0.16838410000000001</v>
      </c>
      <c r="N8145">
        <v>0</v>
      </c>
      <c r="O8145">
        <v>-0.98564879999999999</v>
      </c>
      <c r="P8145">
        <v>0.3054461</v>
      </c>
      <c r="Q8145">
        <v>3.995924E-2</v>
      </c>
      <c r="R8145">
        <v>-0.95137050000000001</v>
      </c>
      <c r="S8145">
        <v>1.5282290000000001</v>
      </c>
      <c r="T8145">
        <v>-0.41959400000000002</v>
      </c>
      <c r="U8145">
        <v>-2.6821899999999999</v>
      </c>
      <c r="V8145">
        <v>-0.141266</v>
      </c>
      <c r="W8145">
        <v>5.0738770000000002E-2</v>
      </c>
      <c r="X8145">
        <v>0.98867059999999996</v>
      </c>
      <c r="Y8145">
        <v>-0.33699649999999998</v>
      </c>
      <c r="Z8145">
        <v>0.13673660000000001</v>
      </c>
      <c r="AA8145">
        <v>0.93152369999999995</v>
      </c>
      <c r="AB8145">
        <v>29</v>
      </c>
      <c r="AC8145">
        <v>4.0244000000000097</v>
      </c>
      <c r="AD8145">
        <v>-1.113284701132</v>
      </c>
      <c r="AE8145">
        <v>-6.95092</v>
      </c>
      <c r="AF8145">
        <v>-2.7437081108408701</v>
      </c>
      <c r="AG8145">
        <v>-1.113284701132</v>
      </c>
      <c r="AH8145">
        <v>7.3874212376573398</v>
      </c>
      <c r="AI8145">
        <v>98.041033443870205</v>
      </c>
      <c r="AJ8145">
        <v>110.375132022223</v>
      </c>
      <c r="AK8145">
        <v>7.9587266296725696</v>
      </c>
      <c r="AL8145">
        <v>87.091633904393902</v>
      </c>
      <c r="AM8145">
        <v>98.131655239174506</v>
      </c>
      <c r="AN8145">
        <v>1.0000000304207299</v>
      </c>
    </row>
    <row r="8146" spans="1:40" x14ac:dyDescent="0.25">
      <c r="A8146" t="str">
        <f>"20190312150850836"</f>
        <v>20190312150850836</v>
      </c>
      <c r="B8146" t="str">
        <f>"1552374530827905"</f>
        <v>1552374530827905</v>
      </c>
      <c r="C8146" t="s">
        <v>40</v>
      </c>
      <c r="D8146">
        <v>4.5934939999999997</v>
      </c>
      <c r="E8146">
        <v>0.42097069999999998</v>
      </c>
      <c r="F8146" t="s">
        <v>42</v>
      </c>
      <c r="G8146">
        <v>-416.17340000000002</v>
      </c>
      <c r="H8146" s="1">
        <v>-1.659247E-6</v>
      </c>
      <c r="I8146">
        <v>41.53192</v>
      </c>
      <c r="J8146">
        <v>-420.22489999999999</v>
      </c>
      <c r="K8146">
        <v>1.113345</v>
      </c>
      <c r="L8146">
        <v>48.485080000000004</v>
      </c>
      <c r="M8146">
        <v>0.1708151</v>
      </c>
      <c r="N8146">
        <v>0</v>
      </c>
      <c r="O8146">
        <v>-0.9852301</v>
      </c>
      <c r="P8146">
        <v>0.30811110000000003</v>
      </c>
      <c r="Q8146">
        <v>3.9709309999999998E-2</v>
      </c>
      <c r="R8146">
        <v>-0.95052139999999996</v>
      </c>
      <c r="S8146">
        <v>1.535614</v>
      </c>
      <c r="T8146">
        <v>-0.41875370000000001</v>
      </c>
      <c r="U8146">
        <v>-2.6779169999999999</v>
      </c>
      <c r="V8146">
        <v>-0.1416017</v>
      </c>
      <c r="W8146">
        <v>5.0472089999999997E-2</v>
      </c>
      <c r="X8146">
        <v>0.98863619999999997</v>
      </c>
      <c r="Y8146">
        <v>-0.3372694</v>
      </c>
      <c r="Z8146">
        <v>0.13647429999999999</v>
      </c>
      <c r="AA8146">
        <v>0.93146340000000005</v>
      </c>
      <c r="AB8146">
        <v>29</v>
      </c>
      <c r="AC8146">
        <v>4.0514999999999697</v>
      </c>
      <c r="AD8146">
        <v>-1.113346659247</v>
      </c>
      <c r="AE8146">
        <v>-6.9531599999999898</v>
      </c>
      <c r="AF8146">
        <v>-2.7514925824406</v>
      </c>
      <c r="AG8146">
        <v>-1.113346659247</v>
      </c>
      <c r="AH8146">
        <v>7.4013981462841496</v>
      </c>
      <c r="AI8146">
        <v>98.025581304580996</v>
      </c>
      <c r="AJ8146">
        <v>110.392772528588</v>
      </c>
      <c r="AK8146">
        <v>7.97439318912107</v>
      </c>
      <c r="AL8146">
        <v>87.106933070323507</v>
      </c>
      <c r="AM8146">
        <v>98.150999491130705</v>
      </c>
      <c r="AN8146">
        <v>1.0000000046311399</v>
      </c>
    </row>
    <row r="8147" spans="1:40" x14ac:dyDescent="0.25">
      <c r="A8147" t="str">
        <f>"20190312150850850"</f>
        <v>20190312150850850</v>
      </c>
      <c r="B8147" t="str">
        <f>"1552374530847425"</f>
        <v>1552374530847425</v>
      </c>
      <c r="C8147" t="s">
        <v>40</v>
      </c>
      <c r="D8147">
        <v>4.612463</v>
      </c>
      <c r="E8147">
        <v>0.42079080000000002</v>
      </c>
      <c r="F8147" t="s">
        <v>42</v>
      </c>
      <c r="G8147">
        <v>-416.11529999999999</v>
      </c>
      <c r="H8147" s="1">
        <v>-1.619574E-6</v>
      </c>
      <c r="I8147">
        <v>41.36992</v>
      </c>
      <c r="J8147">
        <v>-420.19420000000002</v>
      </c>
      <c r="K8147">
        <v>1.1133999999999999</v>
      </c>
      <c r="L8147">
        <v>48.322360000000003</v>
      </c>
      <c r="M8147">
        <v>0.17322170000000001</v>
      </c>
      <c r="N8147">
        <v>0</v>
      </c>
      <c r="O8147">
        <v>-0.98480990000000002</v>
      </c>
      <c r="P8147">
        <v>0.31107940000000001</v>
      </c>
      <c r="Q8147">
        <v>3.9594490000000003E-2</v>
      </c>
      <c r="R8147">
        <v>-0.94955900000000004</v>
      </c>
      <c r="S8147">
        <v>1.543976</v>
      </c>
      <c r="T8147">
        <v>-0.41828300000000002</v>
      </c>
      <c r="U8147">
        <v>-2.6731569999999998</v>
      </c>
      <c r="V8147">
        <v>-0.14228099999999999</v>
      </c>
      <c r="W8147">
        <v>5.0338269999999997E-2</v>
      </c>
      <c r="X8147">
        <v>0.98854549999999997</v>
      </c>
      <c r="Y8147">
        <v>-0.33788559999999901</v>
      </c>
      <c r="Z8147">
        <v>0.13633010000000001</v>
      </c>
      <c r="AA8147">
        <v>0.93126120000000001</v>
      </c>
      <c r="AB8147">
        <v>29</v>
      </c>
      <c r="AC8147">
        <v>4.0789000000000302</v>
      </c>
      <c r="AD8147">
        <v>-1.113401619574</v>
      </c>
      <c r="AE8147">
        <v>-6.9524399999999904</v>
      </c>
      <c r="AF8147">
        <v>-2.7601673534532001</v>
      </c>
      <c r="AG8147">
        <v>-1.113401619574</v>
      </c>
      <c r="AH8147">
        <v>7.41250228879984</v>
      </c>
      <c r="AI8147">
        <v>98.012519958049296</v>
      </c>
      <c r="AJ8147">
        <v>110.423643847997</v>
      </c>
      <c r="AK8147">
        <v>7.9877016198028903</v>
      </c>
      <c r="AL8147">
        <v>87.114610180103099</v>
      </c>
      <c r="AM8147">
        <v>98.190313976935002</v>
      </c>
      <c r="AN8147">
        <v>1.0000000149789201</v>
      </c>
    </row>
    <row r="8148" spans="1:40" x14ac:dyDescent="0.25">
      <c r="A8148" t="str">
        <f>"20190312150850863"</f>
        <v>20190312150850863</v>
      </c>
      <c r="B8148" t="str">
        <f>"1552374530858161"</f>
        <v>1552374530858161</v>
      </c>
      <c r="C8148" t="s">
        <v>40</v>
      </c>
      <c r="D8148">
        <v>4.5702109999999996</v>
      </c>
      <c r="E8148">
        <v>0.42073919999999998</v>
      </c>
      <c r="F8148" t="s">
        <v>42</v>
      </c>
      <c r="G8148">
        <v>-416.04480000000001</v>
      </c>
      <c r="H8148" s="1">
        <v>-1.5795760000000001E-6</v>
      </c>
      <c r="I8148">
        <v>41.197279999999999</v>
      </c>
      <c r="J8148">
        <v>-420.16300000000001</v>
      </c>
      <c r="K8148">
        <v>1.1134500000000001</v>
      </c>
      <c r="L8148">
        <v>48.1586</v>
      </c>
      <c r="M8148">
        <v>0.17567369999999999</v>
      </c>
      <c r="N8148">
        <v>0</v>
      </c>
      <c r="O8148">
        <v>-0.98437540000000001</v>
      </c>
      <c r="P8148">
        <v>0.3136852</v>
      </c>
      <c r="Q8148">
        <v>3.9466660000000001E-2</v>
      </c>
      <c r="R8148">
        <v>-0.94870639999999995</v>
      </c>
      <c r="S8148">
        <v>1.5536190000000001</v>
      </c>
      <c r="T8148">
        <v>-0.41688229999999998</v>
      </c>
      <c r="U8148">
        <v>-2.667786</v>
      </c>
      <c r="V8148">
        <v>-0.14253850000000001</v>
      </c>
      <c r="W8148">
        <v>5.0195400000000001E-2</v>
      </c>
      <c r="X8148">
        <v>0.9885157</v>
      </c>
      <c r="Y8148">
        <v>-0.33890490000000001</v>
      </c>
      <c r="Z8148">
        <v>0.13588620000000001</v>
      </c>
      <c r="AA8148">
        <v>0.93095559999999999</v>
      </c>
      <c r="AB8148">
        <v>29</v>
      </c>
      <c r="AC8148">
        <v>4.1181999999999999</v>
      </c>
      <c r="AD8148">
        <v>-1.1134515795760001</v>
      </c>
      <c r="AE8148">
        <v>-6.9613199999999997</v>
      </c>
      <c r="AF8148">
        <v>-2.7784821501342201</v>
      </c>
      <c r="AG8148">
        <v>-1.1134515795760001</v>
      </c>
      <c r="AH8148">
        <v>7.43564261389555</v>
      </c>
      <c r="AI8148">
        <v>97.984893507061102</v>
      </c>
      <c r="AJ8148">
        <v>110.48924526821</v>
      </c>
      <c r="AK8148">
        <v>8.01551736073562</v>
      </c>
      <c r="AL8148">
        <v>87.122806477796004</v>
      </c>
      <c r="AM8148">
        <v>98.205179136882293</v>
      </c>
      <c r="AN8148">
        <v>1.0000000456549401</v>
      </c>
    </row>
    <row r="8149" spans="1:40" x14ac:dyDescent="0.25">
      <c r="A8149" t="str">
        <f>"20190312150850875"</f>
        <v>20190312150850875</v>
      </c>
      <c r="B8149" t="str">
        <f>"1552374530867921"</f>
        <v>1552374530867921</v>
      </c>
      <c r="C8149" t="s">
        <v>40</v>
      </c>
      <c r="D8149">
        <v>4.572025</v>
      </c>
      <c r="E8149">
        <v>0.42069319999999999</v>
      </c>
      <c r="F8149" t="s">
        <v>42</v>
      </c>
      <c r="G8149">
        <v>-415.99829999999997</v>
      </c>
      <c r="H8149" s="1">
        <v>-1.543067E-6</v>
      </c>
      <c r="I8149">
        <v>41.05359</v>
      </c>
      <c r="J8149">
        <v>-420.13220000000001</v>
      </c>
      <c r="K8149">
        <v>1.1134999999999999</v>
      </c>
      <c r="L8149">
        <v>48.000700000000002</v>
      </c>
      <c r="M8149">
        <v>0.1780871</v>
      </c>
      <c r="N8149">
        <v>0</v>
      </c>
      <c r="O8149">
        <v>-0.98394139999999997</v>
      </c>
      <c r="P8149">
        <v>0.31616660000000002</v>
      </c>
      <c r="Q8149">
        <v>3.9184869999999997E-2</v>
      </c>
      <c r="R8149">
        <v>-0.94789440000000003</v>
      </c>
      <c r="S8149">
        <v>1.561188</v>
      </c>
      <c r="T8149">
        <v>-0.4173847</v>
      </c>
      <c r="U8149">
        <v>-2.6633610000000001</v>
      </c>
      <c r="V8149">
        <v>-0.14270269999999999</v>
      </c>
      <c r="W8149">
        <v>4.9902990000000001E-2</v>
      </c>
      <c r="X8149">
        <v>0.98850669999999996</v>
      </c>
      <c r="Y8149">
        <v>-0.3392327</v>
      </c>
      <c r="Z8149">
        <v>0.136050799999999</v>
      </c>
      <c r="AA8149">
        <v>0.93081219999999998</v>
      </c>
      <c r="AB8149">
        <v>29</v>
      </c>
      <c r="AC8149">
        <v>4.1339000000000397</v>
      </c>
      <c r="AD8149">
        <v>-1.1135015430670001</v>
      </c>
      <c r="AE8149">
        <v>-6.9471100000000003</v>
      </c>
      <c r="AF8149">
        <v>-2.7778263956828799</v>
      </c>
      <c r="AG8149">
        <v>-1.1135015430670001</v>
      </c>
      <c r="AH8149">
        <v>7.4312989003809404</v>
      </c>
      <c r="AI8149">
        <v>97.989517775071704</v>
      </c>
      <c r="AJ8149">
        <v>110.49578960411699</v>
      </c>
      <c r="AK8149">
        <v>8.0112675974385095</v>
      </c>
      <c r="AL8149">
        <v>87.139581035013194</v>
      </c>
      <c r="AM8149">
        <v>98.214576100763395</v>
      </c>
      <c r="AN8149">
        <v>0.99999993247155705</v>
      </c>
    </row>
    <row r="8150" spans="1:40" x14ac:dyDescent="0.25">
      <c r="A8150" t="str">
        <f>"20190312150850896"</f>
        <v>20190312150850896</v>
      </c>
      <c r="B8150" t="str">
        <f>"1552374530887440"</f>
        <v>1552374530887440</v>
      </c>
      <c r="C8150" t="s">
        <v>40</v>
      </c>
      <c r="D8150">
        <v>4.5907839999999904</v>
      </c>
      <c r="E8150">
        <v>0.42060409999999998</v>
      </c>
      <c r="F8150" t="s">
        <v>42</v>
      </c>
      <c r="G8150">
        <v>-415.94850000000002</v>
      </c>
      <c r="H8150" s="1">
        <v>-1.5066999999999999E-6</v>
      </c>
      <c r="I8150">
        <v>40.907820000000001</v>
      </c>
      <c r="J8150">
        <v>-420.08240000000001</v>
      </c>
      <c r="K8150">
        <v>1.113572</v>
      </c>
      <c r="L8150">
        <v>47.748139999999999</v>
      </c>
      <c r="M8150">
        <v>0.18199889999999999</v>
      </c>
      <c r="N8150">
        <v>0</v>
      </c>
      <c r="O8150">
        <v>-0.98322529999999997</v>
      </c>
      <c r="P8150">
        <v>0.32025090000000001</v>
      </c>
      <c r="Q8150">
        <v>3.8926540000000003E-2</v>
      </c>
      <c r="R8150">
        <v>-0.94653290000000001</v>
      </c>
      <c r="S8150">
        <v>1.5684199999999999</v>
      </c>
      <c r="T8150">
        <v>-0.41743720000000001</v>
      </c>
      <c r="U8150">
        <v>-2.659027</v>
      </c>
      <c r="V8150">
        <v>-0.1430389</v>
      </c>
      <c r="W8150">
        <v>4.9630100000000003E-2</v>
      </c>
      <c r="X8150">
        <v>0.98847189999999996</v>
      </c>
      <c r="Y8150">
        <v>-0.33803749999999999</v>
      </c>
      <c r="Z8150">
        <v>0.13605159999999999</v>
      </c>
      <c r="AA8150">
        <v>0.93124680000000004</v>
      </c>
      <c r="AB8150">
        <v>29</v>
      </c>
      <c r="AC8150">
        <v>4.1338999999999801</v>
      </c>
      <c r="AD8150">
        <v>-1.1135735067000001</v>
      </c>
      <c r="AE8150">
        <v>-6.8403199999999904</v>
      </c>
      <c r="AF8150">
        <v>-2.76613076350732</v>
      </c>
      <c r="AG8150">
        <v>-1.1135735067000001</v>
      </c>
      <c r="AH8150">
        <v>7.3360703024700404</v>
      </c>
      <c r="AI8150">
        <v>98.083823689991803</v>
      </c>
      <c r="AJ8150">
        <v>110.65939876856</v>
      </c>
      <c r="AK8150">
        <v>7.9189300311613202</v>
      </c>
      <c r="AL8150">
        <v>87.155236030391507</v>
      </c>
      <c r="AM8150">
        <v>98.233950068158194</v>
      </c>
      <c r="AN8150">
        <v>0.99999998541441404</v>
      </c>
    </row>
    <row r="8151" spans="1:40" x14ac:dyDescent="0.25">
      <c r="A8151" t="str">
        <f>"20190312150850911"</f>
        <v>20190312150850911</v>
      </c>
      <c r="B8151" t="str">
        <f>"1552374530907937"</f>
        <v>1552374530907937</v>
      </c>
      <c r="C8151" t="s">
        <v>40</v>
      </c>
      <c r="D8151">
        <v>4.611834</v>
      </c>
      <c r="E8151">
        <v>0.42062319999999997</v>
      </c>
      <c r="F8151" t="s">
        <v>42</v>
      </c>
      <c r="G8151">
        <v>-415.86290000000002</v>
      </c>
      <c r="H8151" s="1">
        <v>-1.447878E-6</v>
      </c>
      <c r="I8151">
        <v>40.668059999999997</v>
      </c>
      <c r="J8151">
        <v>-420.04270000000002</v>
      </c>
      <c r="K8151">
        <v>1.1136280000000001</v>
      </c>
      <c r="L8151">
        <v>47.551029999999997</v>
      </c>
      <c r="M8151">
        <v>0.18510190000000001</v>
      </c>
      <c r="N8151">
        <v>0</v>
      </c>
      <c r="O8151">
        <v>-0.98264560000000001</v>
      </c>
      <c r="P8151">
        <v>0.32309589999999999</v>
      </c>
      <c r="Q8151">
        <v>3.8617499999999999E-2</v>
      </c>
      <c r="R8151">
        <v>-0.94557809999999998</v>
      </c>
      <c r="S8151">
        <v>1.580414</v>
      </c>
      <c r="T8151">
        <v>-0.41709570000000001</v>
      </c>
      <c r="U8151">
        <v>-2.6518860000000002</v>
      </c>
      <c r="V8151">
        <v>-0.14289260000000001</v>
      </c>
      <c r="W8151">
        <v>4.9316249999999999E-2</v>
      </c>
      <c r="X8151">
        <v>0.98850879999999997</v>
      </c>
      <c r="Y8151">
        <v>-0.33928740000000002</v>
      </c>
      <c r="Z8151">
        <v>0.135956299999999</v>
      </c>
      <c r="AA8151">
        <v>0.93080609999999997</v>
      </c>
      <c r="AB8151">
        <v>29</v>
      </c>
      <c r="AC8151">
        <v>4.1798000000000002</v>
      </c>
      <c r="AD8151">
        <v>-1.113629447878</v>
      </c>
      <c r="AE8151">
        <v>-6.8829699999999896</v>
      </c>
      <c r="AF8151">
        <v>-2.7802447754456798</v>
      </c>
      <c r="AG8151">
        <v>-1.113629447878</v>
      </c>
      <c r="AH8151">
        <v>7.3963020618334898</v>
      </c>
      <c r="AI8151">
        <v>98.022284503102497</v>
      </c>
      <c r="AJ8151">
        <v>110.601069723937</v>
      </c>
      <c r="AK8151">
        <v>7.9796751655976799</v>
      </c>
      <c r="AL8151">
        <v>87.173240449513301</v>
      </c>
      <c r="AM8151">
        <v>98.225340841442105</v>
      </c>
      <c r="AN8151">
        <v>1.0000000176631301</v>
      </c>
    </row>
    <row r="8152" spans="1:40" x14ac:dyDescent="0.25">
      <c r="A8152" t="str">
        <f>"20190312150850929"</f>
        <v>20190312150850929</v>
      </c>
      <c r="B8152" t="str">
        <f>"1552374530917696"</f>
        <v>1552374530917696</v>
      </c>
      <c r="C8152" t="s">
        <v>40</v>
      </c>
      <c r="D8152">
        <v>4.5874269999999999</v>
      </c>
      <c r="E8152">
        <v>0.42063660000000003</v>
      </c>
      <c r="F8152" t="s">
        <v>42</v>
      </c>
      <c r="G8152">
        <v>-415.80509999999998</v>
      </c>
      <c r="H8152" s="1">
        <v>-1.4023840000000001E-6</v>
      </c>
      <c r="I8152">
        <v>40.489109999999997</v>
      </c>
      <c r="J8152">
        <v>-419.99579999999997</v>
      </c>
      <c r="K8152">
        <v>1.113685</v>
      </c>
      <c r="L8152">
        <v>47.322719999999997</v>
      </c>
      <c r="M8152">
        <v>0.18874589999999999</v>
      </c>
      <c r="N8152">
        <v>0</v>
      </c>
      <c r="O8152">
        <v>-0.98195200000000005</v>
      </c>
      <c r="P8152">
        <v>0.3269088</v>
      </c>
      <c r="Q8152">
        <v>3.7896859999999997E-2</v>
      </c>
      <c r="R8152">
        <v>-0.94429569999999996</v>
      </c>
      <c r="S8152">
        <v>1.588379</v>
      </c>
      <c r="T8152">
        <v>-0.41741929999999999</v>
      </c>
      <c r="U8152">
        <v>-2.6470030000000002</v>
      </c>
      <c r="V8152">
        <v>-0.14321020000000001</v>
      </c>
      <c r="W8152">
        <v>4.8587560000000002E-2</v>
      </c>
      <c r="X8152">
        <v>0.98849889999999996</v>
      </c>
      <c r="Y8152">
        <v>-0.33861170000000002</v>
      </c>
      <c r="Z8152">
        <v>0.13604869999999999</v>
      </c>
      <c r="AA8152">
        <v>0.93103860000000005</v>
      </c>
      <c r="AB8152">
        <v>29</v>
      </c>
      <c r="AC8152">
        <v>4.1906999999999899</v>
      </c>
      <c r="AD8152">
        <v>-1.1136864023840001</v>
      </c>
      <c r="AE8152">
        <v>-6.8336100000000002</v>
      </c>
      <c r="AF8152">
        <v>-2.7719536197619901</v>
      </c>
      <c r="AG8152">
        <v>-1.1136864023840001</v>
      </c>
      <c r="AH8152">
        <v>7.35974750998788</v>
      </c>
      <c r="AI8152">
        <v>98.060072610918198</v>
      </c>
      <c r="AJ8152">
        <v>110.63823328428199</v>
      </c>
      <c r="AK8152">
        <v>7.9429155656937098</v>
      </c>
      <c r="AL8152">
        <v>87.215041358518704</v>
      </c>
      <c r="AM8152">
        <v>98.243453332030597</v>
      </c>
      <c r="AN8152">
        <v>0.99999999383600102</v>
      </c>
    </row>
    <row r="8153" spans="1:40" x14ac:dyDescent="0.25">
      <c r="A8153" t="str">
        <f>"20190312150850942"</f>
        <v>20190312150850942</v>
      </c>
      <c r="B8153" t="str">
        <f>"1552374530938192"</f>
        <v>1552374530938192</v>
      </c>
      <c r="C8153" t="s">
        <v>40</v>
      </c>
      <c r="D8153">
        <v>4.5990199999999897</v>
      </c>
      <c r="E8153">
        <v>0.42067389999999999</v>
      </c>
      <c r="F8153" t="s">
        <v>42</v>
      </c>
      <c r="G8153">
        <v>-415.7577</v>
      </c>
      <c r="H8153" s="1">
        <v>-1.358348E-6</v>
      </c>
      <c r="I8153">
        <v>40.322710000000001</v>
      </c>
      <c r="J8153">
        <v>-419.96120000000002</v>
      </c>
      <c r="K8153">
        <v>1.113723</v>
      </c>
      <c r="L8153">
        <v>47.157350000000001</v>
      </c>
      <c r="M8153">
        <v>0.19141649999999999</v>
      </c>
      <c r="N8153">
        <v>0</v>
      </c>
      <c r="O8153">
        <v>-0.98143469999999999</v>
      </c>
      <c r="P8153">
        <v>0.32942169999999998</v>
      </c>
      <c r="Q8153">
        <v>3.7385050000000003E-2</v>
      </c>
      <c r="R8153">
        <v>-0.94344280000000003</v>
      </c>
      <c r="S8153">
        <v>1.5985720000000001</v>
      </c>
      <c r="T8153">
        <v>-0.42007860000000002</v>
      </c>
      <c r="U8153">
        <v>-2.6403810000000001</v>
      </c>
      <c r="V8153">
        <v>-0.14314869999999999</v>
      </c>
      <c r="W8153">
        <v>4.807413E-2</v>
      </c>
      <c r="X8153">
        <v>0.98853290000000005</v>
      </c>
      <c r="Y8153">
        <v>-0.33965620000000002</v>
      </c>
      <c r="Z8153">
        <v>0.1369272</v>
      </c>
      <c r="AA8153">
        <v>0.93052919999999995</v>
      </c>
      <c r="AB8153">
        <v>29</v>
      </c>
      <c r="AC8153">
        <v>4.2035000000000204</v>
      </c>
      <c r="AD8153">
        <v>-1.1137243583480001</v>
      </c>
      <c r="AE8153">
        <v>-6.8346399999999896</v>
      </c>
      <c r="AF8153">
        <v>-2.7641488286120999</v>
      </c>
      <c r="AG8153">
        <v>-1.1137243583480001</v>
      </c>
      <c r="AH8153">
        <v>7.3709108717235798</v>
      </c>
      <c r="AI8153">
        <v>98.052559000337794</v>
      </c>
      <c r="AJ8153">
        <v>110.556435382495</v>
      </c>
      <c r="AK8153">
        <v>7.9505488975282796</v>
      </c>
      <c r="AL8153">
        <v>87.244493120039394</v>
      </c>
      <c r="AM8153">
        <v>98.239682377545094</v>
      </c>
      <c r="AN8153">
        <v>0.99999998333467799</v>
      </c>
    </row>
    <row r="8154" spans="1:40" x14ac:dyDescent="0.25">
      <c r="A8154" t="str">
        <f>"20190312150850954"</f>
        <v>20190312150850954</v>
      </c>
      <c r="B8154" t="str">
        <f>"1552374530947953"</f>
        <v>1552374530947953</v>
      </c>
      <c r="C8154" t="s">
        <v>40</v>
      </c>
      <c r="D8154">
        <v>4.5994210000000004</v>
      </c>
      <c r="E8154">
        <v>0.42063309999999998</v>
      </c>
      <c r="F8154" t="s">
        <v>42</v>
      </c>
      <c r="G8154">
        <v>-415.7131</v>
      </c>
      <c r="H8154" s="1">
        <v>-1.3214589999999999E-6</v>
      </c>
      <c r="I8154">
        <v>40.179430000000004</v>
      </c>
      <c r="J8154">
        <v>-419.92720000000003</v>
      </c>
      <c r="K8154">
        <v>1.1137549999999901</v>
      </c>
      <c r="L8154">
        <v>46.996769999999998</v>
      </c>
      <c r="M8154">
        <v>0.19403680000000001</v>
      </c>
      <c r="N8154">
        <v>0</v>
      </c>
      <c r="O8154">
        <v>-0.98092009999999996</v>
      </c>
      <c r="P8154">
        <v>0.33210269999999997</v>
      </c>
      <c r="Q8154">
        <v>3.6975029999999999E-2</v>
      </c>
      <c r="R8154">
        <v>-0.94251870000000004</v>
      </c>
      <c r="S8154">
        <v>1.604889</v>
      </c>
      <c r="T8154">
        <v>-0.42075099999999999</v>
      </c>
      <c r="U8154">
        <v>-2.6361690000000002</v>
      </c>
      <c r="V8154">
        <v>-0.143317</v>
      </c>
      <c r="W8154">
        <v>4.7660719999999997E-2</v>
      </c>
      <c r="X8154">
        <v>0.98852850000000003</v>
      </c>
      <c r="Y8154">
        <v>-0.33941830000000001</v>
      </c>
      <c r="Z8154">
        <v>0.1371465</v>
      </c>
      <c r="AA8154">
        <v>0.93058370000000001</v>
      </c>
      <c r="AB8154">
        <v>29</v>
      </c>
      <c r="AC8154">
        <v>4.2141000000000197</v>
      </c>
      <c r="AD8154">
        <v>-1.1137563214589901</v>
      </c>
      <c r="AE8154">
        <v>-6.8173399999999997</v>
      </c>
      <c r="AF8154">
        <v>-2.75782795132965</v>
      </c>
      <c r="AG8154">
        <v>-1.1137563214589901</v>
      </c>
      <c r="AH8154">
        <v>7.3633076494944198</v>
      </c>
      <c r="AI8154">
        <v>98.062224890504396</v>
      </c>
      <c r="AJ8154">
        <v>110.532762426559</v>
      </c>
      <c r="AK8154">
        <v>7.9413076815992998</v>
      </c>
      <c r="AL8154">
        <v>87.268206863676696</v>
      </c>
      <c r="AM8154">
        <v>98.249272744765406</v>
      </c>
      <c r="AN8154">
        <v>0.99999995101608297</v>
      </c>
    </row>
    <row r="8155" spans="1:40" x14ac:dyDescent="0.25">
      <c r="A8155" t="str">
        <f>"20190312150850967"</f>
        <v>20190312150850967</v>
      </c>
      <c r="B8155" t="str">
        <f>"1552374530957712"</f>
        <v>1552374530957712</v>
      </c>
      <c r="C8155" t="s">
        <v>40</v>
      </c>
      <c r="D8155">
        <v>4.6194240000000004</v>
      </c>
      <c r="E8155">
        <v>0.42065999999999998</v>
      </c>
      <c r="F8155" t="s">
        <v>42</v>
      </c>
      <c r="G8155">
        <v>-415.68990000000002</v>
      </c>
      <c r="H8155" s="1">
        <v>-1.2942949999999999E-6</v>
      </c>
      <c r="I8155">
        <v>40.081499999999998</v>
      </c>
      <c r="J8155">
        <v>-419.89280000000002</v>
      </c>
      <c r="K8155">
        <v>1.1137859999999999</v>
      </c>
      <c r="L8155">
        <v>46.83643</v>
      </c>
      <c r="M8155">
        <v>0.19666890000000001</v>
      </c>
      <c r="N8155">
        <v>0</v>
      </c>
      <c r="O8155">
        <v>-0.98039569999999998</v>
      </c>
      <c r="P8155">
        <v>0.33461570000000002</v>
      </c>
      <c r="Q8155">
        <v>3.6401959999999997E-2</v>
      </c>
      <c r="R8155">
        <v>-0.94165180000000004</v>
      </c>
      <c r="S8155">
        <v>1.612366</v>
      </c>
      <c r="T8155">
        <v>-0.4238133</v>
      </c>
      <c r="U8155">
        <v>-2.6314389999999999</v>
      </c>
      <c r="V8155">
        <v>-0.14329500000000001</v>
      </c>
      <c r="W8155">
        <v>4.7085809999999999E-2</v>
      </c>
      <c r="X8155">
        <v>0.98855930000000003</v>
      </c>
      <c r="Y8155">
        <v>-0.33949220000000002</v>
      </c>
      <c r="Z8155">
        <v>0.13812659999999999</v>
      </c>
      <c r="AA8155">
        <v>0.93041180000000001</v>
      </c>
      <c r="AB8155">
        <v>29</v>
      </c>
      <c r="AC8155">
        <v>4.2028999999999996</v>
      </c>
      <c r="AD8155">
        <v>-1.113787294295</v>
      </c>
      <c r="AE8155">
        <v>-6.7549299999999999</v>
      </c>
      <c r="AF8155">
        <v>-2.7385494420126499</v>
      </c>
      <c r="AG8155">
        <v>-1.113787294295</v>
      </c>
      <c r="AH8155">
        <v>7.3064239437371503</v>
      </c>
      <c r="AI8155">
        <v>98.123650539030905</v>
      </c>
      <c r="AJ8155">
        <v>110.546697784896</v>
      </c>
      <c r="AK8155">
        <v>7.8818783312670098</v>
      </c>
      <c r="AL8155">
        <v>87.301183966496893</v>
      </c>
      <c r="AM8155">
        <v>98.2477704128234</v>
      </c>
      <c r="AN8155">
        <v>1.00000001007242</v>
      </c>
    </row>
    <row r="8156" spans="1:40" x14ac:dyDescent="0.25">
      <c r="A8156" t="str">
        <f>"20190312150850979"</f>
        <v>20190312150850979</v>
      </c>
      <c r="B8156" t="str">
        <f>"1552374530967473"</f>
        <v>1552374530967473</v>
      </c>
      <c r="C8156" t="s">
        <v>40</v>
      </c>
      <c r="D8156">
        <v>4.6217370000000004</v>
      </c>
      <c r="E8156">
        <v>0.42066480000000001</v>
      </c>
      <c r="F8156" t="s">
        <v>42</v>
      </c>
      <c r="G8156">
        <v>-415.65280000000001</v>
      </c>
      <c r="H8156" s="1">
        <v>-1.2614919999999999E-6</v>
      </c>
      <c r="I8156">
        <v>39.95608</v>
      </c>
      <c r="J8156">
        <v>-419.85939999999999</v>
      </c>
      <c r="K8156">
        <v>1.113818</v>
      </c>
      <c r="L8156">
        <v>46.682949999999998</v>
      </c>
      <c r="M8156">
        <v>0.19921530000000001</v>
      </c>
      <c r="N8156">
        <v>0</v>
      </c>
      <c r="O8156">
        <v>-0.97988120000000001</v>
      </c>
      <c r="P8156">
        <v>0.33702959999999998</v>
      </c>
      <c r="Q8156">
        <v>3.5705720000000003E-2</v>
      </c>
      <c r="R8156">
        <v>-0.94081689999999996</v>
      </c>
      <c r="S8156">
        <v>1.618927</v>
      </c>
      <c r="T8156">
        <v>-0.42526979999999998</v>
      </c>
      <c r="U8156">
        <v>-2.627075</v>
      </c>
      <c r="V8156">
        <v>-0.14325450000000001</v>
      </c>
      <c r="W8156">
        <v>4.6388489999999998E-2</v>
      </c>
      <c r="X8156">
        <v>0.98859810000000004</v>
      </c>
      <c r="Y8156">
        <v>-0.339391</v>
      </c>
      <c r="Z8156">
        <v>0.13859540000000001</v>
      </c>
      <c r="AA8156">
        <v>0.93037899999999996</v>
      </c>
      <c r="AB8156">
        <v>29</v>
      </c>
      <c r="AC8156">
        <v>4.2065999999999697</v>
      </c>
      <c r="AD8156">
        <v>-1.1138192614919999</v>
      </c>
      <c r="AE8156">
        <v>-6.7268699999999901</v>
      </c>
      <c r="AF8156">
        <v>-2.72830454318022</v>
      </c>
      <c r="AG8156">
        <v>-1.1138192614919999</v>
      </c>
      <c r="AH8156">
        <v>7.2864876114024204</v>
      </c>
      <c r="AI8156">
        <v>98.146814795029499</v>
      </c>
      <c r="AJ8156">
        <v>110.527579982848</v>
      </c>
      <c r="AK8156">
        <v>7.8598435568864398</v>
      </c>
      <c r="AL8156">
        <v>87.341181070750594</v>
      </c>
      <c r="AM8156">
        <v>98.245152206475694</v>
      </c>
      <c r="AN8156">
        <v>0.99999997354916903</v>
      </c>
    </row>
    <row r="8157" spans="1:40" x14ac:dyDescent="0.25">
      <c r="A8157" t="str">
        <f>"20190312150850994"</f>
        <v>20190312150850994</v>
      </c>
      <c r="B8157" t="str">
        <f>"1552374530987974"</f>
        <v>1552374530987974</v>
      </c>
      <c r="C8157" t="s">
        <v>40</v>
      </c>
      <c r="D8157">
        <v>4.5848449999999996</v>
      </c>
      <c r="E8157">
        <v>0.42061219999999999</v>
      </c>
      <c r="F8157" t="s">
        <v>42</v>
      </c>
      <c r="G8157">
        <v>-415.62599999999998</v>
      </c>
      <c r="H8157" s="1">
        <v>-1.2335670000000001E-6</v>
      </c>
      <c r="I8157">
        <v>39.853020000000001</v>
      </c>
      <c r="J8157">
        <v>-419.81970000000001</v>
      </c>
      <c r="K8157">
        <v>1.1138539999999999</v>
      </c>
      <c r="L8157">
        <v>46.503450000000001</v>
      </c>
      <c r="M8157">
        <v>0.20222080000000001</v>
      </c>
      <c r="N8157">
        <v>0</v>
      </c>
      <c r="O8157">
        <v>-0.97926519999999995</v>
      </c>
      <c r="P8157">
        <v>0.33994249999999998</v>
      </c>
      <c r="Q8157">
        <v>3.4953499999999998E-2</v>
      </c>
      <c r="R8157">
        <v>-0.93979679999999999</v>
      </c>
      <c r="S8157">
        <v>1.62558</v>
      </c>
      <c r="T8157">
        <v>-0.42769459999999998</v>
      </c>
      <c r="U8157">
        <v>-2.62262</v>
      </c>
      <c r="V8157">
        <v>-0.14327590000000001</v>
      </c>
      <c r="W8157">
        <v>4.5633979999999998E-2</v>
      </c>
      <c r="X8157">
        <v>0.98863009999999996</v>
      </c>
      <c r="Y8157">
        <v>-0.33886319999999998</v>
      </c>
      <c r="Z8157">
        <v>0.13936509999999999</v>
      </c>
      <c r="AA8157">
        <v>0.93045639999999996</v>
      </c>
      <c r="AB8157">
        <v>29</v>
      </c>
      <c r="AC8157">
        <v>4.19370000000003</v>
      </c>
      <c r="AD8157">
        <v>-1.113855233567</v>
      </c>
      <c r="AE8157">
        <v>-6.6504300000000001</v>
      </c>
      <c r="AF8157">
        <v>-2.7077452264036599</v>
      </c>
      <c r="AG8157">
        <v>-1.113855233567</v>
      </c>
      <c r="AH8157">
        <v>7.2162913526836396</v>
      </c>
      <c r="AI8157">
        <v>98.223130719161503</v>
      </c>
      <c r="AJ8157">
        <v>110.56743219602799</v>
      </c>
      <c r="AK8157">
        <v>7.7876452525312798</v>
      </c>
      <c r="AL8157">
        <v>87.384457106537994</v>
      </c>
      <c r="AM8157">
        <v>98.246103718428401</v>
      </c>
      <c r="AN8157">
        <v>0.99999995913872897</v>
      </c>
    </row>
    <row r="8158" spans="1:40" x14ac:dyDescent="0.25">
      <c r="A8158" t="str">
        <f>"20190312150851007"</f>
        <v>20190312150851007</v>
      </c>
      <c r="B8158" t="str">
        <f>"1552374530997729"</f>
        <v>1552374530997729</v>
      </c>
      <c r="C8158" t="s">
        <v>40</v>
      </c>
      <c r="D8158">
        <v>4.6031420000000001</v>
      </c>
      <c r="E8158">
        <v>0.42061920000000003</v>
      </c>
      <c r="F8158" t="s">
        <v>42</v>
      </c>
      <c r="G8158">
        <v>-415.58240000000001</v>
      </c>
      <c r="H8158" s="1">
        <v>-1.1988339999999999E-6</v>
      </c>
      <c r="I8158">
        <v>39.71687</v>
      </c>
      <c r="J8158">
        <v>-419.78050000000002</v>
      </c>
      <c r="K8158">
        <v>1.113885</v>
      </c>
      <c r="L8158">
        <v>46.32837</v>
      </c>
      <c r="M8158">
        <v>0.20517560000000001</v>
      </c>
      <c r="N8158">
        <v>0</v>
      </c>
      <c r="O8158">
        <v>-0.97865040000000003</v>
      </c>
      <c r="P8158">
        <v>0.34289530000000001</v>
      </c>
      <c r="Q8158">
        <v>3.3827080000000002E-2</v>
      </c>
      <c r="R8158">
        <v>-0.9387645</v>
      </c>
      <c r="S8158">
        <v>1.6340330000000001</v>
      </c>
      <c r="T8158">
        <v>-0.42953370000000002</v>
      </c>
      <c r="U8158">
        <v>-2.6170960000000001</v>
      </c>
      <c r="V8158">
        <v>-0.14338509999999999</v>
      </c>
      <c r="W8158">
        <v>4.4504540000000002E-2</v>
      </c>
      <c r="X8158">
        <v>0.98866580000000004</v>
      </c>
      <c r="Y8158">
        <v>-0.33902690000000002</v>
      </c>
      <c r="Z8158">
        <v>0.13995360000000001</v>
      </c>
      <c r="AA8158">
        <v>0.93030840000000004</v>
      </c>
      <c r="AB8158">
        <v>29</v>
      </c>
      <c r="AC8158">
        <v>4.1981000000000099</v>
      </c>
      <c r="AD8158">
        <v>-1.1138861988339901</v>
      </c>
      <c r="AE8158">
        <v>-6.6115000000000004</v>
      </c>
      <c r="AF8158">
        <v>-2.6975867151113899</v>
      </c>
      <c r="AG8158">
        <v>-1.1138861988339901</v>
      </c>
      <c r="AH8158">
        <v>7.1868513056063996</v>
      </c>
      <c r="AI8158">
        <v>98.256247638160303</v>
      </c>
      <c r="AJ8158">
        <v>110.57363888446299</v>
      </c>
      <c r="AK8158">
        <v>7.7568388044611796</v>
      </c>
      <c r="AL8158">
        <v>87.449235191828905</v>
      </c>
      <c r="AM8158">
        <v>98.2520082100379</v>
      </c>
      <c r="AN8158">
        <v>1.00000000253613</v>
      </c>
    </row>
    <row r="8159" spans="1:40" x14ac:dyDescent="0.25">
      <c r="A8159" t="str">
        <f>"20190312150851021"</f>
        <v>20190312150851021</v>
      </c>
      <c r="B8159" t="str">
        <f>"1552374531018224"</f>
        <v>1552374531018224</v>
      </c>
      <c r="C8159" t="s">
        <v>40</v>
      </c>
      <c r="D8159">
        <v>4.6009929999999999</v>
      </c>
      <c r="E8159">
        <v>0.42067379999999999</v>
      </c>
      <c r="F8159" t="s">
        <v>73</v>
      </c>
      <c r="G8159">
        <v>-415.55349999999999</v>
      </c>
      <c r="H8159" s="1">
        <v>-1.1769840000000001E-6</v>
      </c>
      <c r="I8159">
        <v>39.605780000000003</v>
      </c>
      <c r="J8159">
        <v>-419.74169999999998</v>
      </c>
      <c r="K8159">
        <v>1.11392</v>
      </c>
      <c r="L8159">
        <v>46.157679999999999</v>
      </c>
      <c r="M8159">
        <v>0.2080872</v>
      </c>
      <c r="N8159">
        <v>0</v>
      </c>
      <c r="O8159">
        <v>-0.97803530000000005</v>
      </c>
      <c r="P8159">
        <v>0.345518099999999</v>
      </c>
      <c r="Q8159">
        <v>3.3611769999999999E-2</v>
      </c>
      <c r="R8159">
        <v>-0.93781009999999998</v>
      </c>
      <c r="S8159">
        <v>1.6420589999999999</v>
      </c>
      <c r="T8159">
        <v>-0.43270419999999998</v>
      </c>
      <c r="U8159">
        <v>-2.6114809999999999</v>
      </c>
      <c r="V8159">
        <v>-0.1432068</v>
      </c>
      <c r="W8159">
        <v>4.4287800000000002E-2</v>
      </c>
      <c r="X8159">
        <v>0.98870130000000001</v>
      </c>
      <c r="Y8159">
        <v>-0.33910230000000002</v>
      </c>
      <c r="Z8159">
        <v>0.14097760000000001</v>
      </c>
      <c r="AA8159">
        <v>0.93012629999999996</v>
      </c>
      <c r="AB8159">
        <v>29</v>
      </c>
      <c r="AC8159">
        <v>4.1881999999999904</v>
      </c>
      <c r="AD8159">
        <v>-1.1139211769840001</v>
      </c>
      <c r="AE8159">
        <v>-6.5518999999999998</v>
      </c>
      <c r="AF8159">
        <v>-2.6780866348343402</v>
      </c>
      <c r="AG8159">
        <v>-1.1139211769840001</v>
      </c>
      <c r="AH8159">
        <v>7.1336506696801596</v>
      </c>
      <c r="AI8159">
        <v>98.317042291648093</v>
      </c>
      <c r="AJ8159">
        <v>110.576939084839</v>
      </c>
      <c r="AK8159">
        <v>7.7007753044248703</v>
      </c>
      <c r="AL8159">
        <v>87.461665548018303</v>
      </c>
      <c r="AM8159">
        <v>98.241595991992895</v>
      </c>
      <c r="AN8159">
        <v>0.99999992870838195</v>
      </c>
    </row>
    <row r="8160" spans="1:40" x14ac:dyDescent="0.25">
      <c r="A8160" t="str">
        <f>"20190312150851040"</f>
        <v>20190312150851040</v>
      </c>
      <c r="B8160" t="str">
        <f>"1552374531027985"</f>
        <v>1552374531027985</v>
      </c>
      <c r="C8160" t="s">
        <v>40</v>
      </c>
      <c r="D8160">
        <v>4.6481440000000003</v>
      </c>
      <c r="E8160">
        <v>0.42069689999999998</v>
      </c>
      <c r="F8160" t="s">
        <v>73</v>
      </c>
      <c r="G8160">
        <v>-415.4984</v>
      </c>
      <c r="H8160" s="1">
        <v>-1.290362E-6</v>
      </c>
      <c r="I8160">
        <v>39.45046</v>
      </c>
      <c r="J8160">
        <v>-419.68639999999999</v>
      </c>
      <c r="K8160">
        <v>1.1139680000000001</v>
      </c>
      <c r="L8160">
        <v>45.918460000000003</v>
      </c>
      <c r="M8160">
        <v>0.21221429999999999</v>
      </c>
      <c r="N8160">
        <v>0</v>
      </c>
      <c r="O8160">
        <v>-0.97714780000000001</v>
      </c>
      <c r="P8160">
        <v>0.34896969999999999</v>
      </c>
      <c r="Q8160">
        <v>3.347166E-2</v>
      </c>
      <c r="R8160">
        <v>-0.93653620000000004</v>
      </c>
      <c r="S8160">
        <v>1.6492</v>
      </c>
      <c r="T8160">
        <v>-0.43293880000000001</v>
      </c>
      <c r="U8160">
        <v>-2.6068419999999999</v>
      </c>
      <c r="V8160">
        <v>-0.14267779999999899</v>
      </c>
      <c r="W8160">
        <v>4.4148229999999997E-2</v>
      </c>
      <c r="X8160">
        <v>0.98878410000000005</v>
      </c>
      <c r="Y8160">
        <v>-0.33769900000000003</v>
      </c>
      <c r="Z8160">
        <v>0.14101369999999999</v>
      </c>
      <c r="AA8160">
        <v>0.93063130000000005</v>
      </c>
      <c r="AB8160">
        <v>29</v>
      </c>
      <c r="AC8160">
        <v>4.1879999999999802</v>
      </c>
      <c r="AD8160">
        <v>-1.113969290362</v>
      </c>
      <c r="AE8160">
        <v>-6.4679999999999902</v>
      </c>
      <c r="AF8160">
        <v>-2.6642110198754598</v>
      </c>
      <c r="AG8160">
        <v>-1.113969290362</v>
      </c>
      <c r="AH8160">
        <v>7.0618826027701402</v>
      </c>
      <c r="AI8160">
        <v>98.395674018849803</v>
      </c>
      <c r="AJ8160">
        <v>110.669805870961</v>
      </c>
      <c r="AK8160">
        <v>7.6294910599333603</v>
      </c>
      <c r="AL8160">
        <v>87.469670352133207</v>
      </c>
      <c r="AM8160">
        <v>98.210889554406606</v>
      </c>
      <c r="AN8160">
        <v>1.00000000861889</v>
      </c>
    </row>
    <row r="8161" spans="1:40" x14ac:dyDescent="0.25">
      <c r="A8161" t="str">
        <f>"20190312150851054"</f>
        <v>20190312150851054</v>
      </c>
      <c r="B8161" t="str">
        <f>"1552374531048481"</f>
        <v>1552374531048481</v>
      </c>
      <c r="C8161" t="s">
        <v>40</v>
      </c>
      <c r="D8161">
        <v>4.6128239999999998</v>
      </c>
      <c r="E8161">
        <v>0.42073300000000002</v>
      </c>
      <c r="F8161" t="s">
        <v>73</v>
      </c>
      <c r="G8161">
        <v>-415.4205</v>
      </c>
      <c r="H8161" s="1">
        <v>-1.450474E-6</v>
      </c>
      <c r="I8161">
        <v>39.231180000000002</v>
      </c>
      <c r="J8161">
        <v>-419.6472</v>
      </c>
      <c r="K8161">
        <v>1.114007</v>
      </c>
      <c r="L8161">
        <v>45.752470000000002</v>
      </c>
      <c r="M8161">
        <v>0.21511350000000001</v>
      </c>
      <c r="N8161">
        <v>0</v>
      </c>
      <c r="O8161">
        <v>-0.97651359999999998</v>
      </c>
      <c r="P8161">
        <v>0.351672599999999</v>
      </c>
      <c r="Q8161">
        <v>3.318956E-2</v>
      </c>
      <c r="R8161">
        <v>-0.93553470000000005</v>
      </c>
      <c r="S8161">
        <v>1.6589659999999999</v>
      </c>
      <c r="T8161">
        <v>-0.43321189999999998</v>
      </c>
      <c r="U8161">
        <v>-2.600616</v>
      </c>
      <c r="V8161">
        <v>-0.142597</v>
      </c>
      <c r="W8161">
        <v>4.3862390000000001E-2</v>
      </c>
      <c r="X8161">
        <v>0.98880849999999998</v>
      </c>
      <c r="Y8161">
        <v>-0.33839629999999998</v>
      </c>
      <c r="Z8161">
        <v>0.14109650000000001</v>
      </c>
      <c r="AA8161">
        <v>0.93036540000000001</v>
      </c>
      <c r="AB8161">
        <v>29</v>
      </c>
      <c r="AC8161">
        <v>4.2266999999999904</v>
      </c>
      <c r="AD8161">
        <v>-1.114008450474</v>
      </c>
      <c r="AE8161">
        <v>-6.5212899999999996</v>
      </c>
      <c r="AF8161">
        <v>-2.66994787363863</v>
      </c>
      <c r="AG8161">
        <v>-1.114008450474</v>
      </c>
      <c r="AH8161">
        <v>7.13134117769106</v>
      </c>
      <c r="AI8161">
        <v>98.323090967790407</v>
      </c>
      <c r="AJ8161">
        <v>110.525715058985</v>
      </c>
      <c r="AK8161">
        <v>7.69582116920001</v>
      </c>
      <c r="AL8161">
        <v>87.486063715889401</v>
      </c>
      <c r="AM8161">
        <v>98.206103244984206</v>
      </c>
      <c r="AN8161">
        <v>1.00000003166888</v>
      </c>
    </row>
    <row r="8162" spans="1:40" x14ac:dyDescent="0.25">
      <c r="A8162" t="str">
        <f>"20190312150851066"</f>
        <v>20190312150851066</v>
      </c>
      <c r="B8162" t="str">
        <f>"1552374531058241"</f>
        <v>1552374531058241</v>
      </c>
      <c r="C8162" t="s">
        <v>40</v>
      </c>
      <c r="D8162">
        <v>4.6073190000000004</v>
      </c>
      <c r="E8162">
        <v>0.42076400000000003</v>
      </c>
      <c r="F8162" t="s">
        <v>73</v>
      </c>
      <c r="G8162">
        <v>-415.34750000000003</v>
      </c>
      <c r="H8162" s="1">
        <v>-1.581017E-6</v>
      </c>
      <c r="I8162">
        <v>39.056379999999997</v>
      </c>
      <c r="J8162">
        <v>-419.60930000000002</v>
      </c>
      <c r="K8162">
        <v>1.1140460000000001</v>
      </c>
      <c r="L8162">
        <v>45.592930000000003</v>
      </c>
      <c r="M8162">
        <v>0.21791830000000001</v>
      </c>
      <c r="N8162">
        <v>0</v>
      </c>
      <c r="O8162">
        <v>-0.97589139999999996</v>
      </c>
      <c r="P8162">
        <v>0.35401630000000001</v>
      </c>
      <c r="Q8162">
        <v>3.3126450000000002E-2</v>
      </c>
      <c r="R8162">
        <v>-0.93465240000000005</v>
      </c>
      <c r="S8162">
        <v>1.66668699999999</v>
      </c>
      <c r="T8162">
        <v>-0.43181350000000002</v>
      </c>
      <c r="U8162">
        <v>-2.5955509999999999</v>
      </c>
      <c r="V8162">
        <v>-0.14223720000000001</v>
      </c>
      <c r="W8162">
        <v>4.379856E-2</v>
      </c>
      <c r="X8162">
        <v>0.98886309999999999</v>
      </c>
      <c r="Y8162">
        <v>-0.3385164</v>
      </c>
      <c r="Z8162">
        <v>0.14063889999999901</v>
      </c>
      <c r="AA8162">
        <v>0.93039099999999997</v>
      </c>
      <c r="AB8162">
        <v>29</v>
      </c>
      <c r="AC8162">
        <v>4.2617999999999903</v>
      </c>
      <c r="AD8162">
        <v>-1.1140475810170001</v>
      </c>
      <c r="AE8162">
        <v>-6.5365499999999903</v>
      </c>
      <c r="AF8162">
        <v>-2.68019189115468</v>
      </c>
      <c r="AG8162">
        <v>-1.1140475810170001</v>
      </c>
      <c r="AH8162">
        <v>7.1622393862673199</v>
      </c>
      <c r="AI8162">
        <v>98.288467754635505</v>
      </c>
      <c r="AJ8162">
        <v>110.516423911274</v>
      </c>
      <c r="AK8162">
        <v>7.7280142088624499</v>
      </c>
      <c r="AL8162">
        <v>87.489724300458306</v>
      </c>
      <c r="AM8162">
        <v>98.185232748553702</v>
      </c>
      <c r="AN8162">
        <v>0.99999998273176105</v>
      </c>
    </row>
    <row r="8163" spans="1:40" x14ac:dyDescent="0.25">
      <c r="A8163" t="str">
        <f>"20190312150851078"</f>
        <v>20190312150851078</v>
      </c>
      <c r="B8163" t="str">
        <f>"1552374531068000"</f>
        <v>1552374531068000</v>
      </c>
      <c r="C8163" t="s">
        <v>40</v>
      </c>
      <c r="D8163">
        <v>4.6417159999999997</v>
      </c>
      <c r="E8163">
        <v>0.42075970000000001</v>
      </c>
      <c r="F8163" t="s">
        <v>73</v>
      </c>
      <c r="G8163">
        <v>-415.28379999999999</v>
      </c>
      <c r="H8163" s="1">
        <v>-1.7006169999999999E-6</v>
      </c>
      <c r="I8163">
        <v>38.894869999999997</v>
      </c>
      <c r="J8163">
        <v>-419.57049999999998</v>
      </c>
      <c r="K8163">
        <v>1.1140840000000001</v>
      </c>
      <c r="L8163">
        <v>45.43262</v>
      </c>
      <c r="M8163">
        <v>0.220773</v>
      </c>
      <c r="N8163">
        <v>0</v>
      </c>
      <c r="O8163">
        <v>-0.97524949999999999</v>
      </c>
      <c r="P8163">
        <v>0.3562303</v>
      </c>
      <c r="Q8163">
        <v>3.2698789999999998E-2</v>
      </c>
      <c r="R8163">
        <v>-0.93382609999999999</v>
      </c>
      <c r="S8163">
        <v>1.67337</v>
      </c>
      <c r="T8163">
        <v>-0.43098150000000002</v>
      </c>
      <c r="U8163">
        <v>-2.5912169999999999</v>
      </c>
      <c r="V8163">
        <v>-0.1416839</v>
      </c>
      <c r="W8163">
        <v>4.3372679999999997E-2</v>
      </c>
      <c r="X8163">
        <v>0.98896130000000004</v>
      </c>
      <c r="Y8163">
        <v>-0.33819100000000002</v>
      </c>
      <c r="Z8163">
        <v>0.1403499</v>
      </c>
      <c r="AA8163">
        <v>0.93055299999999996</v>
      </c>
      <c r="AB8163">
        <v>29</v>
      </c>
      <c r="AC8163">
        <v>4.28669999999999</v>
      </c>
      <c r="AD8163">
        <v>-1.114085700617</v>
      </c>
      <c r="AE8163">
        <v>-6.5377499999999902</v>
      </c>
      <c r="AF8163">
        <v>-2.6829598247255402</v>
      </c>
      <c r="AG8163">
        <v>-1.114085700617</v>
      </c>
      <c r="AH8163">
        <v>7.1771126572793502</v>
      </c>
      <c r="AI8163">
        <v>98.272851867973202</v>
      </c>
      <c r="AJ8163">
        <v>110.496829624</v>
      </c>
      <c r="AK8163">
        <v>7.7427647816971703</v>
      </c>
      <c r="AL8163">
        <v>87.514148643585102</v>
      </c>
      <c r="AM8163">
        <v>98.153022569079198</v>
      </c>
      <c r="AN8163">
        <v>0.99999998489364095</v>
      </c>
    </row>
    <row r="8164" spans="1:40" x14ac:dyDescent="0.25">
      <c r="A8164" t="str">
        <f>"20190312150851093"</f>
        <v>20190312150851093</v>
      </c>
      <c r="B8164" t="str">
        <f>"1552374531088497"</f>
        <v>1552374531088497</v>
      </c>
      <c r="C8164" t="s">
        <v>40</v>
      </c>
      <c r="D8164">
        <v>4.6439190000000004</v>
      </c>
      <c r="E8164">
        <v>0.42083490000000001</v>
      </c>
      <c r="F8164" t="s">
        <v>73</v>
      </c>
      <c r="G8164">
        <v>-415.23259999999999</v>
      </c>
      <c r="H8164" s="1">
        <v>-1.804093E-6</v>
      </c>
      <c r="I8164">
        <v>38.753509999999999</v>
      </c>
      <c r="J8164">
        <v>-419.52730000000003</v>
      </c>
      <c r="K8164">
        <v>1.114125</v>
      </c>
      <c r="L8164">
        <v>45.256900000000002</v>
      </c>
      <c r="M8164">
        <v>0.2239276</v>
      </c>
      <c r="N8164">
        <v>0</v>
      </c>
      <c r="O8164">
        <v>-0.97452969999999906</v>
      </c>
      <c r="P8164">
        <v>0.3590757</v>
      </c>
      <c r="Q8164">
        <v>3.2062849999999997E-2</v>
      </c>
      <c r="R8164">
        <v>-0.93275739999999996</v>
      </c>
      <c r="S8164">
        <v>1.6800539999999999</v>
      </c>
      <c r="T8164">
        <v>-0.43148110000000001</v>
      </c>
      <c r="U8164">
        <v>-2.586792</v>
      </c>
      <c r="V8164">
        <v>-0.1414916</v>
      </c>
      <c r="W8164">
        <v>4.2733359999999998E-2</v>
      </c>
      <c r="X8164">
        <v>0.98901669999999997</v>
      </c>
      <c r="Y8164">
        <v>-0.33755669999999999</v>
      </c>
      <c r="Z8164">
        <v>0.1404802</v>
      </c>
      <c r="AA8164">
        <v>0.93076349999999997</v>
      </c>
      <c r="AB8164">
        <v>29</v>
      </c>
      <c r="AC8164">
        <v>4.2947000000000299</v>
      </c>
      <c r="AD8164">
        <v>-1.1141268040929999</v>
      </c>
      <c r="AE8164">
        <v>-6.5033899999999996</v>
      </c>
      <c r="AF8164">
        <v>-2.6745679461692702</v>
      </c>
      <c r="AG8164">
        <v>-1.1141268040929999</v>
      </c>
      <c r="AH8164">
        <v>7.1537919136428698</v>
      </c>
      <c r="AI8164">
        <v>98.299625221371898</v>
      </c>
      <c r="AJ8164">
        <v>110.4991198762</v>
      </c>
      <c r="AK8164">
        <v>7.7182466258844498</v>
      </c>
      <c r="AL8164">
        <v>87.550813071254296</v>
      </c>
      <c r="AM8164">
        <v>98.141655412872495</v>
      </c>
      <c r="AN8164">
        <v>1.00000002290316</v>
      </c>
    </row>
    <row r="8165" spans="1:40" x14ac:dyDescent="0.25">
      <c r="A8165" t="str">
        <f>"20190312150851108"</f>
        <v>20190312150851108</v>
      </c>
      <c r="B8165" t="str">
        <f>"1552374531098256"</f>
        <v>1552374531098256</v>
      </c>
      <c r="C8165" t="s">
        <v>40</v>
      </c>
      <c r="D8165">
        <v>4.6264200000000004</v>
      </c>
      <c r="E8165">
        <v>0.4208672</v>
      </c>
      <c r="F8165" t="s">
        <v>73</v>
      </c>
      <c r="G8165">
        <v>-415.19580000000002</v>
      </c>
      <c r="H8165" s="1">
        <v>-1.8921240000000001E-6</v>
      </c>
      <c r="I8165">
        <v>38.630400000000002</v>
      </c>
      <c r="J8165">
        <v>-419.48050000000001</v>
      </c>
      <c r="K8165">
        <v>1.1141669999999999</v>
      </c>
      <c r="L8165">
        <v>45.068330000000003</v>
      </c>
      <c r="M8165">
        <v>0.2273406</v>
      </c>
      <c r="N8165">
        <v>0</v>
      </c>
      <c r="O8165">
        <v>-0.97373900000000002</v>
      </c>
      <c r="P8165">
        <v>0.36223549999999999</v>
      </c>
      <c r="Q8165">
        <v>3.1616770000000002E-2</v>
      </c>
      <c r="R8165">
        <v>-0.93155010000000005</v>
      </c>
      <c r="S8165">
        <v>1.6874690000000001</v>
      </c>
      <c r="T8165">
        <v>-0.43404530000000002</v>
      </c>
      <c r="U8165">
        <v>-2.5815730000000001</v>
      </c>
      <c r="V8165">
        <v>-0.141376</v>
      </c>
      <c r="W8165">
        <v>4.2282670000000001E-2</v>
      </c>
      <c r="X8165">
        <v>0.98905259999999995</v>
      </c>
      <c r="Y8165">
        <v>-0.3369335</v>
      </c>
      <c r="Z8165">
        <v>0.1412775</v>
      </c>
      <c r="AA8165">
        <v>0.93086869999999999</v>
      </c>
      <c r="AB8165">
        <v>29</v>
      </c>
      <c r="AC8165">
        <v>4.2846999999999804</v>
      </c>
      <c r="AD8165">
        <v>-1.1141688921239901</v>
      </c>
      <c r="AE8165">
        <v>-6.4379299999999899</v>
      </c>
      <c r="AF8165">
        <v>-2.6536957004252901</v>
      </c>
      <c r="AG8165">
        <v>-1.1141688921239901</v>
      </c>
      <c r="AH8165">
        <v>7.0961938240805003</v>
      </c>
      <c r="AI8165">
        <v>98.366100823489006</v>
      </c>
      <c r="AJ8165">
        <v>110.50380783412901</v>
      </c>
      <c r="AK8165">
        <v>7.6576393215893104</v>
      </c>
      <c r="AL8165">
        <v>87.576659064027993</v>
      </c>
      <c r="AM8165">
        <v>98.1348013458867</v>
      </c>
      <c r="AN8165">
        <v>1.00000002156254</v>
      </c>
    </row>
    <row r="8166" spans="1:40" x14ac:dyDescent="0.25">
      <c r="A8166" t="str">
        <f>"20190312150851121"</f>
        <v>20190312150851121</v>
      </c>
      <c r="B8166" t="str">
        <f>"1552374531117776"</f>
        <v>1552374531117776</v>
      </c>
      <c r="C8166" t="s">
        <v>40</v>
      </c>
      <c r="D8166">
        <v>4.6017109999999999</v>
      </c>
      <c r="E8166">
        <v>0.42093359999999902</v>
      </c>
      <c r="F8166" t="s">
        <v>73</v>
      </c>
      <c r="G8166">
        <v>-415.13249999999999</v>
      </c>
      <c r="H8166" s="1">
        <v>-2.0136570000000002E-6</v>
      </c>
      <c r="I8166">
        <v>38.465719999999997</v>
      </c>
      <c r="J8166">
        <v>-419.43779999999998</v>
      </c>
      <c r="K8166">
        <v>1.1142019999999999</v>
      </c>
      <c r="L8166">
        <v>44.89969</v>
      </c>
      <c r="M8166">
        <v>0.23042489999999999</v>
      </c>
      <c r="N8166">
        <v>0</v>
      </c>
      <c r="O8166">
        <v>-0.97301369999999998</v>
      </c>
      <c r="P8166">
        <v>0.36544880000000002</v>
      </c>
      <c r="Q8166">
        <v>3.0416039999999998E-2</v>
      </c>
      <c r="R8166">
        <v>-0.93033429999999995</v>
      </c>
      <c r="S8166">
        <v>1.6961360000000001</v>
      </c>
      <c r="T8166">
        <v>-0.4346333</v>
      </c>
      <c r="U8166">
        <v>-2.575653</v>
      </c>
      <c r="V8166">
        <v>-0.14163919999999999</v>
      </c>
      <c r="W8166">
        <v>4.1073989999999998E-2</v>
      </c>
      <c r="X8166">
        <v>0.98906579999999999</v>
      </c>
      <c r="Y8166">
        <v>-0.33710699999999999</v>
      </c>
      <c r="Z8166">
        <v>0.1414521</v>
      </c>
      <c r="AA8166">
        <v>0.93077929999999998</v>
      </c>
      <c r="AB8166">
        <v>29</v>
      </c>
      <c r="AC8166">
        <v>4.3052999999999804</v>
      </c>
      <c r="AD8166">
        <v>-1.1142040136569999</v>
      </c>
      <c r="AE8166">
        <v>-6.4339699999999898</v>
      </c>
      <c r="AF8166">
        <v>-2.6518388285142702</v>
      </c>
      <c r="AG8166">
        <v>-1.1142040136569999</v>
      </c>
      <c r="AH8166">
        <v>7.1057370290914603</v>
      </c>
      <c r="AI8166">
        <v>98.357345456295505</v>
      </c>
      <c r="AJ8166">
        <v>110.465416966837</v>
      </c>
      <c r="AK8166">
        <v>7.6658462339827098</v>
      </c>
      <c r="AL8166">
        <v>87.645971378956304</v>
      </c>
      <c r="AM8166">
        <v>98.149635356250101</v>
      </c>
      <c r="AN8166">
        <v>0.999999946180398</v>
      </c>
    </row>
    <row r="8167" spans="1:40" x14ac:dyDescent="0.25">
      <c r="A8167" t="str">
        <f>"20190312150851136"</f>
        <v>20190312150851136</v>
      </c>
      <c r="B8167" t="str">
        <f>"1552374531127537"</f>
        <v>1552374531127537</v>
      </c>
      <c r="C8167" t="s">
        <v>40</v>
      </c>
      <c r="D8167">
        <v>4.6767940000000001</v>
      </c>
      <c r="E8167">
        <v>0.42097220000000002</v>
      </c>
      <c r="F8167" t="s">
        <v>73</v>
      </c>
      <c r="G8167">
        <v>-415.10129999999998</v>
      </c>
      <c r="H8167" s="1">
        <v>-2.0883419999999999E-6</v>
      </c>
      <c r="I8167">
        <v>38.3613</v>
      </c>
      <c r="J8167">
        <v>-419.3922</v>
      </c>
      <c r="K8167">
        <v>1.114233</v>
      </c>
      <c r="L8167">
        <v>44.721679999999999</v>
      </c>
      <c r="M8167">
        <v>0.23371339999999999</v>
      </c>
      <c r="N8167">
        <v>0</v>
      </c>
      <c r="O8167">
        <v>-0.97222909999999996</v>
      </c>
      <c r="P8167">
        <v>0.36896630000000002</v>
      </c>
      <c r="Q8167">
        <v>2.985022E-2</v>
      </c>
      <c r="R8167">
        <v>-0.9289636</v>
      </c>
      <c r="S8167">
        <v>1.704224</v>
      </c>
      <c r="T8167">
        <v>-0.4378707</v>
      </c>
      <c r="U8167">
        <v>-2.5695190000000001</v>
      </c>
      <c r="V8167">
        <v>-0.14203070000000001</v>
      </c>
      <c r="W8167">
        <v>4.0498449999999998E-2</v>
      </c>
      <c r="X8167">
        <v>0.98903350000000001</v>
      </c>
      <c r="Y8167">
        <v>-0.33690150000000002</v>
      </c>
      <c r="Z8167">
        <v>0.14248369999999999</v>
      </c>
      <c r="AA8167">
        <v>0.93069639999999998</v>
      </c>
      <c r="AB8167">
        <v>29</v>
      </c>
      <c r="AC8167">
        <v>4.2909000000000201</v>
      </c>
      <c r="AD8167">
        <v>-1.114235088342</v>
      </c>
      <c r="AE8167">
        <v>-6.3603799999999904</v>
      </c>
      <c r="AF8167">
        <v>-2.6299640728751599</v>
      </c>
      <c r="AG8167">
        <v>-1.114235088342</v>
      </c>
      <c r="AH8167">
        <v>7.0386722177738097</v>
      </c>
      <c r="AI8167">
        <v>98.434845235456706</v>
      </c>
      <c r="AJ8167">
        <v>110.48794632791299</v>
      </c>
      <c r="AK8167">
        <v>7.5961264764330698</v>
      </c>
      <c r="AL8167">
        <v>87.678975107218307</v>
      </c>
      <c r="AM8167">
        <v>98.172120918264199</v>
      </c>
      <c r="AN8167">
        <v>1.0000000541585601</v>
      </c>
    </row>
    <row r="8168" spans="1:40" x14ac:dyDescent="0.25">
      <c r="A8168" t="str">
        <f>"20190312150851149"</f>
        <v>20190312150851149</v>
      </c>
      <c r="B8168" t="str">
        <f>"1552374531138273"</f>
        <v>1552374531138273</v>
      </c>
      <c r="C8168" t="s">
        <v>40</v>
      </c>
      <c r="D8168">
        <v>4.6179370000000004</v>
      </c>
      <c r="E8168">
        <v>0.42100710000000002</v>
      </c>
      <c r="F8168" t="s">
        <v>73</v>
      </c>
      <c r="G8168">
        <v>-415.04149999999998</v>
      </c>
      <c r="H8168" s="1">
        <v>-2.1949669999999999E-6</v>
      </c>
      <c r="I8168">
        <v>38.21855</v>
      </c>
      <c r="J8168">
        <v>-419.34739999999999</v>
      </c>
      <c r="K8168">
        <v>1.114266</v>
      </c>
      <c r="L8168">
        <v>44.549590000000002</v>
      </c>
      <c r="M8168">
        <v>0.23691499999999999</v>
      </c>
      <c r="N8168">
        <v>0</v>
      </c>
      <c r="O8168">
        <v>-0.97145389999999998</v>
      </c>
      <c r="P8168">
        <v>0.37224119999999999</v>
      </c>
      <c r="Q8168">
        <v>2.9807710000000001E-2</v>
      </c>
      <c r="R8168">
        <v>-0.92765730000000002</v>
      </c>
      <c r="S8168">
        <v>1.714386</v>
      </c>
      <c r="T8168">
        <v>-0.43907010000000002</v>
      </c>
      <c r="U8168">
        <v>-2.562592</v>
      </c>
      <c r="V8168">
        <v>-0.1422649</v>
      </c>
      <c r="W8168">
        <v>4.0447940000000002E-2</v>
      </c>
      <c r="X8168">
        <v>0.98900189999999999</v>
      </c>
      <c r="Y8168">
        <v>-0.33748519999999999</v>
      </c>
      <c r="Z8168">
        <v>0.14285400000000001</v>
      </c>
      <c r="AA8168">
        <v>0.93042809999999998</v>
      </c>
      <c r="AB8168">
        <v>29</v>
      </c>
      <c r="AC8168">
        <v>4.3059000000000003</v>
      </c>
      <c r="AD8168">
        <v>-1.1142681949669999</v>
      </c>
      <c r="AE8168">
        <v>-6.3310399999999998</v>
      </c>
      <c r="AF8168">
        <v>-2.6276132474764502</v>
      </c>
      <c r="AG8168">
        <v>-1.1142681949669999</v>
      </c>
      <c r="AH8168">
        <v>7.0222519107652301</v>
      </c>
      <c r="AI8168">
        <v>98.453058484898193</v>
      </c>
      <c r="AJ8168">
        <v>110.515037386339</v>
      </c>
      <c r="AK8168">
        <v>7.58010335594936</v>
      </c>
      <c r="AL8168">
        <v>87.681871475623694</v>
      </c>
      <c r="AM8168">
        <v>98.185671783316096</v>
      </c>
      <c r="AN8168">
        <v>1.0000000479129301</v>
      </c>
    </row>
    <row r="8169" spans="1:40" x14ac:dyDescent="0.25">
      <c r="A8169" t="str">
        <f>"20190312150851163"</f>
        <v>20190312150851163</v>
      </c>
      <c r="B8169" t="str">
        <f>"1552374531157793"</f>
        <v>1552374531157793</v>
      </c>
      <c r="C8169" t="s">
        <v>40</v>
      </c>
      <c r="D8169">
        <v>4.6440929999999998</v>
      </c>
      <c r="E8169">
        <v>0.42099199999999998</v>
      </c>
      <c r="F8169" t="s">
        <v>73</v>
      </c>
      <c r="G8169">
        <v>-414.9701</v>
      </c>
      <c r="H8169" s="1">
        <v>-2.317154E-6</v>
      </c>
      <c r="I8169">
        <v>38.056220000000003</v>
      </c>
      <c r="J8169">
        <v>-419.29969999999997</v>
      </c>
      <c r="K8169">
        <v>1.1143050000000001</v>
      </c>
      <c r="L8169">
        <v>44.368589999999998</v>
      </c>
      <c r="M8169">
        <v>0.24030969999999999</v>
      </c>
      <c r="N8169">
        <v>0</v>
      </c>
      <c r="O8169">
        <v>-0.97061960000000003</v>
      </c>
      <c r="P8169">
        <v>0.3758917</v>
      </c>
      <c r="Q8169">
        <v>3.0059579999999999E-2</v>
      </c>
      <c r="R8169">
        <v>-0.92617620000000001</v>
      </c>
      <c r="S8169">
        <v>1.7233889999999901</v>
      </c>
      <c r="T8169">
        <v>-0.43869590000000003</v>
      </c>
      <c r="U8169">
        <v>-2.5564879999999999</v>
      </c>
      <c r="V8169">
        <v>-0.14271059999999999</v>
      </c>
      <c r="W8169">
        <v>4.0689030000000001E-2</v>
      </c>
      <c r="X8169">
        <v>0.98892780000000002</v>
      </c>
      <c r="Y8169">
        <v>-0.33749249999999997</v>
      </c>
      <c r="Z8169">
        <v>0.1427042</v>
      </c>
      <c r="AA8169">
        <v>0.93044850000000001</v>
      </c>
      <c r="AB8169">
        <v>29</v>
      </c>
      <c r="AC8169">
        <v>4.3295999999999699</v>
      </c>
      <c r="AD8169">
        <v>-1.1143073171540001</v>
      </c>
      <c r="AE8169">
        <v>-6.3123699999999996</v>
      </c>
      <c r="AF8169">
        <v>-2.6299366537630999</v>
      </c>
      <c r="AG8169">
        <v>-1.1143073171540001</v>
      </c>
      <c r="AH8169">
        <v>7.0191375244369203</v>
      </c>
      <c r="AI8169">
        <v>98.455687190968902</v>
      </c>
      <c r="AJ8169">
        <v>110.540013738377</v>
      </c>
      <c r="AK8169">
        <v>7.57803003338124</v>
      </c>
      <c r="AL8169">
        <v>87.668046667645598</v>
      </c>
      <c r="AM8169">
        <v>98.211574288098305</v>
      </c>
      <c r="AN8169">
        <v>1.0000000530637601</v>
      </c>
    </row>
    <row r="8170" spans="1:40" x14ac:dyDescent="0.25">
      <c r="A8170" t="str">
        <f>"20190312150851177"</f>
        <v>20190312150851177</v>
      </c>
      <c r="B8170" t="str">
        <f>"1552374531167553"</f>
        <v>1552374531167553</v>
      </c>
      <c r="C8170" t="s">
        <v>40</v>
      </c>
      <c r="D8170">
        <v>4.6610589999999998</v>
      </c>
      <c r="E8170">
        <v>0.41184700000000002</v>
      </c>
      <c r="F8170" t="s">
        <v>73</v>
      </c>
      <c r="G8170">
        <v>-414.88459999999998</v>
      </c>
      <c r="H8170" s="1">
        <v>-2.4534199999999998E-6</v>
      </c>
      <c r="I8170">
        <v>37.877650000000003</v>
      </c>
      <c r="J8170">
        <v>-419.2527</v>
      </c>
      <c r="K8170">
        <v>1.1143419999999999</v>
      </c>
      <c r="L8170">
        <v>44.193359999999998</v>
      </c>
      <c r="M8170">
        <v>0.2436335</v>
      </c>
      <c r="N8170">
        <v>0</v>
      </c>
      <c r="O8170">
        <v>-0.9697905</v>
      </c>
      <c r="P8170">
        <v>0.3789206</v>
      </c>
      <c r="Q8170">
        <v>3.015263E-2</v>
      </c>
      <c r="R8170">
        <v>-0.92493809999999999</v>
      </c>
      <c r="S8170">
        <v>1.73419199999999</v>
      </c>
      <c r="T8170">
        <v>-0.4376755</v>
      </c>
      <c r="U8170">
        <v>-2.5495000000000001</v>
      </c>
      <c r="V8170">
        <v>-0.14256379999999999</v>
      </c>
      <c r="W8170">
        <v>4.0778120000000001E-2</v>
      </c>
      <c r="X8170">
        <v>0.98894519999999997</v>
      </c>
      <c r="Y8170">
        <v>-0.3381827</v>
      </c>
      <c r="Z8170">
        <v>0.14234559999999999</v>
      </c>
      <c r="AA8170">
        <v>0.93025279999999999</v>
      </c>
      <c r="AB8170">
        <v>29</v>
      </c>
      <c r="AC8170">
        <v>4.3681000000000196</v>
      </c>
      <c r="AD8170">
        <v>-1.11434445342</v>
      </c>
      <c r="AE8170">
        <v>-6.3157099999999904</v>
      </c>
      <c r="AF8170">
        <v>-2.6419892339495701</v>
      </c>
      <c r="AG8170">
        <v>-1.11434445342</v>
      </c>
      <c r="AH8170">
        <v>7.0413888982028503</v>
      </c>
      <c r="AI8170">
        <v>98.428186858313794</v>
      </c>
      <c r="AJ8170">
        <v>110.56651976443899</v>
      </c>
      <c r="AK8170">
        <v>7.6028302814746302</v>
      </c>
      <c r="AL8170">
        <v>87.662937706772496</v>
      </c>
      <c r="AM8170">
        <v>98.203100060662806</v>
      </c>
      <c r="AN8170">
        <v>0.99999995037210598</v>
      </c>
    </row>
    <row r="8171" spans="1:40" x14ac:dyDescent="0.25">
      <c r="A8171" t="str">
        <f>"20190312150851191"</f>
        <v>20190312150851191</v>
      </c>
      <c r="B8171" t="str">
        <f>"1552374531188049"</f>
        <v>1552374531188049</v>
      </c>
      <c r="C8171" t="s">
        <v>40</v>
      </c>
      <c r="D8171">
        <v>4.6993989999999997</v>
      </c>
      <c r="E8171">
        <v>0.40897830000000002</v>
      </c>
      <c r="F8171" t="s">
        <v>73</v>
      </c>
      <c r="G8171">
        <v>-415.28980000000001</v>
      </c>
      <c r="H8171" s="1">
        <v>-1.826601E-6</v>
      </c>
      <c r="I8171">
        <v>38.694159999999997</v>
      </c>
      <c r="J8171">
        <v>-419.2072</v>
      </c>
      <c r="K8171">
        <v>1.114376</v>
      </c>
      <c r="L8171">
        <v>44.025570000000002</v>
      </c>
      <c r="M8171">
        <v>0.24683569999999999</v>
      </c>
      <c r="N8171">
        <v>0</v>
      </c>
      <c r="O8171">
        <v>-0.96898039999999996</v>
      </c>
      <c r="P8171">
        <v>0.3819284</v>
      </c>
      <c r="Q8171">
        <v>3.0439770000000001E-2</v>
      </c>
      <c r="R8171">
        <v>-0.92369069999999998</v>
      </c>
      <c r="S8171">
        <v>1.8138430000000001</v>
      </c>
      <c r="T8171">
        <v>-0.51003779999999999</v>
      </c>
      <c r="U8171">
        <v>-2.5169980000000001</v>
      </c>
      <c r="V8171">
        <v>-0.1425235</v>
      </c>
      <c r="W8171">
        <v>4.1060649999999997E-2</v>
      </c>
      <c r="X8171">
        <v>0.98893929999999997</v>
      </c>
      <c r="Y8171">
        <v>-0.35814859999999998</v>
      </c>
      <c r="Z8171">
        <v>0.16474510000000001</v>
      </c>
      <c r="AA8171">
        <v>0.91901500000000003</v>
      </c>
      <c r="AB8171">
        <v>29</v>
      </c>
      <c r="AC8171">
        <v>3.9173999999999798</v>
      </c>
      <c r="AD8171">
        <v>-1.114377826601</v>
      </c>
      <c r="AE8171">
        <v>-5.33141</v>
      </c>
      <c r="AF8171">
        <v>-2.4116629020332199</v>
      </c>
      <c r="AG8171">
        <v>-1.114377826601</v>
      </c>
      <c r="AH8171">
        <v>5.96422669773031</v>
      </c>
      <c r="AI8171">
        <v>99.827184029906704</v>
      </c>
      <c r="AJ8171">
        <v>112.01617568851501</v>
      </c>
      <c r="AK8171">
        <v>6.5291619673111398</v>
      </c>
      <c r="AL8171">
        <v>87.646736316786303</v>
      </c>
      <c r="AM8171">
        <v>98.2008610101296</v>
      </c>
      <c r="AN8171">
        <v>0.99999993205757898</v>
      </c>
    </row>
    <row r="8172" spans="1:40" x14ac:dyDescent="0.25">
      <c r="A8172" t="str">
        <f>"20190312150851203"</f>
        <v>20190312150851203</v>
      </c>
      <c r="B8172" t="str">
        <f>"1552374531197809"</f>
        <v>1552374531197809</v>
      </c>
      <c r="C8172" t="s">
        <v>40</v>
      </c>
      <c r="D8172">
        <v>4.6551460000000002</v>
      </c>
      <c r="E8172">
        <v>0.4085782</v>
      </c>
      <c r="F8172" t="s">
        <v>73</v>
      </c>
      <c r="G8172">
        <v>-415.30630000000002</v>
      </c>
      <c r="H8172" s="1">
        <v>-1.797295E-6</v>
      </c>
      <c r="I8172">
        <v>38.733330000000002</v>
      </c>
      <c r="J8172">
        <v>-419.1626</v>
      </c>
      <c r="K8172">
        <v>1.1144069999999999</v>
      </c>
      <c r="L8172">
        <v>43.863219999999998</v>
      </c>
      <c r="M8172">
        <v>0.24995100000000001</v>
      </c>
      <c r="N8172">
        <v>0</v>
      </c>
      <c r="O8172">
        <v>-0.96818139999999997</v>
      </c>
      <c r="P8172">
        <v>0.38466240000000002</v>
      </c>
      <c r="Q8172">
        <v>3.1180860000000001E-2</v>
      </c>
      <c r="R8172">
        <v>-0.92253070000000004</v>
      </c>
      <c r="S8172">
        <v>1.844543</v>
      </c>
      <c r="T8172">
        <v>-0.52694739999999995</v>
      </c>
      <c r="U8172">
        <v>-2.5025019999999998</v>
      </c>
      <c r="V8172">
        <v>-0.14228859999999999</v>
      </c>
      <c r="W8172">
        <v>4.1799120000000002E-2</v>
      </c>
      <c r="X8172">
        <v>0.98894230000000005</v>
      </c>
      <c r="Y8172">
        <v>-0.3644908</v>
      </c>
      <c r="Z8172">
        <v>0.1698404</v>
      </c>
      <c r="AA8172">
        <v>0.91558759999999995</v>
      </c>
      <c r="AB8172">
        <v>29</v>
      </c>
      <c r="AC8172">
        <v>3.8562999999999699</v>
      </c>
      <c r="AD8172">
        <v>-1.1144087972950001</v>
      </c>
      <c r="AE8172">
        <v>-5.1298899999999898</v>
      </c>
      <c r="AF8172">
        <v>-2.3798015812253399</v>
      </c>
      <c r="AG8172">
        <v>-1.1144087972950001</v>
      </c>
      <c r="AH8172">
        <v>5.75739012291851</v>
      </c>
      <c r="AI8172">
        <v>100.14192653398899</v>
      </c>
      <c r="AJ8172">
        <v>112.457621771886</v>
      </c>
      <c r="AK8172">
        <v>6.3287363320785204</v>
      </c>
      <c r="AL8172">
        <v>87.604389004147293</v>
      </c>
      <c r="AM8172">
        <v>98.187503667745602</v>
      </c>
      <c r="AN8172">
        <v>1.00000004242601</v>
      </c>
    </row>
    <row r="8173" spans="1:40" x14ac:dyDescent="0.25">
      <c r="A8173" t="str">
        <f>"20190312150851217"</f>
        <v>20190312150851217</v>
      </c>
      <c r="B8173" t="str">
        <f>"1552374531208545"</f>
        <v>1552374531208545</v>
      </c>
      <c r="C8173" t="s">
        <v>40</v>
      </c>
      <c r="D8173">
        <v>4.6983980000000001</v>
      </c>
      <c r="E8173">
        <v>0.4085782</v>
      </c>
      <c r="F8173" t="s">
        <v>73</v>
      </c>
      <c r="G8173">
        <v>-415.26029999999997</v>
      </c>
      <c r="H8173" s="1">
        <v>-1.884893E-6</v>
      </c>
      <c r="I8173">
        <v>38.614789999999999</v>
      </c>
      <c r="J8173">
        <v>-419.11869999999999</v>
      </c>
      <c r="K8173">
        <v>1.11443799999999</v>
      </c>
      <c r="L8173">
        <v>43.706119999999999</v>
      </c>
      <c r="M8173">
        <v>0.25299670000000002</v>
      </c>
      <c r="N8173">
        <v>0</v>
      </c>
      <c r="O8173">
        <v>-0.96738979999999997</v>
      </c>
      <c r="P8173">
        <v>0.38719969999999998</v>
      </c>
      <c r="Q8173">
        <v>3.1377139999999998E-2</v>
      </c>
      <c r="R8173">
        <v>-0.921462</v>
      </c>
      <c r="S8173">
        <v>1.8558349999999999</v>
      </c>
      <c r="T8173">
        <v>-0.52998080000000003</v>
      </c>
      <c r="U8173">
        <v>-2.4960019999999998</v>
      </c>
      <c r="V8173">
        <v>-0.14190449999999999</v>
      </c>
      <c r="W8173">
        <v>4.1995400000000002E-2</v>
      </c>
      <c r="X8173">
        <v>0.98898909999999995</v>
      </c>
      <c r="Y8173">
        <v>-0.36528699999999997</v>
      </c>
      <c r="Z8173">
        <v>0.17069779999999901</v>
      </c>
      <c r="AA8173">
        <v>0.9151108</v>
      </c>
      <c r="AB8173">
        <v>29</v>
      </c>
      <c r="AC8173">
        <v>3.8584000000000098</v>
      </c>
      <c r="AD8173">
        <v>-1.11443988489299</v>
      </c>
      <c r="AE8173">
        <v>-5.0913299999999904</v>
      </c>
      <c r="AF8173">
        <v>-2.3724664838084002</v>
      </c>
      <c r="AG8173">
        <v>-1.11443988489299</v>
      </c>
      <c r="AH8173">
        <v>5.7275914872208098</v>
      </c>
      <c r="AI8173">
        <v>100.190799634095</v>
      </c>
      <c r="AJ8173">
        <v>112.50017427103499</v>
      </c>
      <c r="AK8173">
        <v>6.2988790842751401</v>
      </c>
      <c r="AL8173">
        <v>87.593132931845602</v>
      </c>
      <c r="AM8173">
        <v>98.165319227741904</v>
      </c>
      <c r="AN8173">
        <v>0.99999997033010901</v>
      </c>
    </row>
    <row r="8174" spans="1:40" x14ac:dyDescent="0.25">
      <c r="A8174" t="str">
        <f>"20190312150851230"</f>
        <v>20190312150851230</v>
      </c>
      <c r="B8174" t="str">
        <f>"1552374531218304"</f>
        <v>1552374531218304</v>
      </c>
      <c r="C8174" t="s">
        <v>40</v>
      </c>
      <c r="D8174">
        <v>4.6630649999999996</v>
      </c>
      <c r="E8174">
        <v>0.40834120000000002</v>
      </c>
      <c r="F8174" t="s">
        <v>73</v>
      </c>
      <c r="G8174">
        <v>-415.1909</v>
      </c>
      <c r="H8174" s="1">
        <v>-2.0044630000000001E-6</v>
      </c>
      <c r="I8174">
        <v>38.455719999999999</v>
      </c>
      <c r="J8174">
        <v>-419.07299999999998</v>
      </c>
      <c r="K8174">
        <v>1.1144620000000001</v>
      </c>
      <c r="L8174">
        <v>43.54401</v>
      </c>
      <c r="M8174">
        <v>0.25615080000000001</v>
      </c>
      <c r="N8174">
        <v>0</v>
      </c>
      <c r="O8174">
        <v>-0.96655959999999996</v>
      </c>
      <c r="P8174">
        <v>0.38976260000000001</v>
      </c>
      <c r="Q8174">
        <v>3.1695630000000002E-2</v>
      </c>
      <c r="R8174">
        <v>-0.92037009999999997</v>
      </c>
      <c r="S8174">
        <v>1.8633120000000001</v>
      </c>
      <c r="T8174">
        <v>-0.52867649999999999</v>
      </c>
      <c r="U8174">
        <v>-2.490723</v>
      </c>
      <c r="V8174">
        <v>-0.14143989999999901</v>
      </c>
      <c r="W8174">
        <v>4.2314589999999999E-2</v>
      </c>
      <c r="X8174">
        <v>0.98904210000000004</v>
      </c>
      <c r="Y8174">
        <v>-0.36499710000000002</v>
      </c>
      <c r="Z8174">
        <v>0.17023279999999999</v>
      </c>
      <c r="AA8174">
        <v>0.91531300000000004</v>
      </c>
      <c r="AB8174">
        <v>29</v>
      </c>
      <c r="AC8174">
        <v>3.8821000000000301</v>
      </c>
      <c r="AD8174">
        <v>-1.1144640044630001</v>
      </c>
      <c r="AE8174">
        <v>-5.0882899999999998</v>
      </c>
      <c r="AF8174">
        <v>-2.3770184388832898</v>
      </c>
      <c r="AG8174">
        <v>-1.1144640044630001</v>
      </c>
      <c r="AH8174">
        <v>5.7389633614487998</v>
      </c>
      <c r="AI8174">
        <v>100.17134107984501</v>
      </c>
      <c r="AJ8174">
        <v>112.498823847403</v>
      </c>
      <c r="AK8174">
        <v>6.3109386892986503</v>
      </c>
      <c r="AL8174">
        <v>87.574828547267103</v>
      </c>
      <c r="AM8174">
        <v>98.138514160890196</v>
      </c>
      <c r="AN8174">
        <v>1.00000002270564</v>
      </c>
    </row>
    <row r="8175" spans="1:40" x14ac:dyDescent="0.25">
      <c r="A8175" t="str">
        <f>"20190312150851242"</f>
        <v>20190312150851242</v>
      </c>
      <c r="B8175" t="str">
        <f>"1552374531237825"</f>
        <v>1552374531237825</v>
      </c>
      <c r="C8175" t="s">
        <v>40</v>
      </c>
      <c r="D8175">
        <v>4.6528559999999999</v>
      </c>
      <c r="E8175">
        <v>0.4080416</v>
      </c>
      <c r="F8175" t="s">
        <v>73</v>
      </c>
      <c r="G8175">
        <v>-415.1524</v>
      </c>
      <c r="H8175" s="1">
        <v>-2.0880409999999998E-6</v>
      </c>
      <c r="I8175">
        <v>38.340350000000001</v>
      </c>
      <c r="J8175">
        <v>-419.02679999999998</v>
      </c>
      <c r="K8175">
        <v>1.1144889999999901</v>
      </c>
      <c r="L8175">
        <v>43.381900000000002</v>
      </c>
      <c r="M8175">
        <v>0.25932119999999997</v>
      </c>
      <c r="N8175">
        <v>0</v>
      </c>
      <c r="O8175">
        <v>-0.96571370000000001</v>
      </c>
      <c r="P8175">
        <v>0.39236549999999998</v>
      </c>
      <c r="Q8175">
        <v>3.1590739999999999E-2</v>
      </c>
      <c r="R8175">
        <v>-0.91926680000000005</v>
      </c>
      <c r="S8175">
        <v>1.8722840000000001</v>
      </c>
      <c r="T8175">
        <v>-0.53221459999999998</v>
      </c>
      <c r="U8175">
        <v>-2.4850159999999999</v>
      </c>
      <c r="V8175">
        <v>-0.14099389999999901</v>
      </c>
      <c r="W8175">
        <v>4.2210730000000002E-2</v>
      </c>
      <c r="X8175">
        <v>0.98911020000000005</v>
      </c>
      <c r="Y8175">
        <v>-0.3649577</v>
      </c>
      <c r="Z8175">
        <v>0.1712581</v>
      </c>
      <c r="AA8175">
        <v>0.91513750000000005</v>
      </c>
      <c r="AB8175">
        <v>29</v>
      </c>
      <c r="AC8175">
        <v>3.8743999999999699</v>
      </c>
      <c r="AD8175">
        <v>-1.1144910880409999</v>
      </c>
      <c r="AE8175">
        <v>-5.04155</v>
      </c>
      <c r="AF8175">
        <v>-2.3617999758544199</v>
      </c>
      <c r="AG8175">
        <v>-1.1144910880409999</v>
      </c>
      <c r="AH8175">
        <v>5.6987620926329399</v>
      </c>
      <c r="AI8175">
        <v>100.240932696146</v>
      </c>
      <c r="AJ8175">
        <v>112.51111607033999</v>
      </c>
      <c r="AK8175">
        <v>6.26865846092279</v>
      </c>
      <c r="AL8175">
        <v>87.580784569473806</v>
      </c>
      <c r="AM8175">
        <v>98.112642173292599</v>
      </c>
      <c r="AN8175">
        <v>1.0000000066541901</v>
      </c>
    </row>
    <row r="8176" spans="1:40" x14ac:dyDescent="0.25">
      <c r="A8176" t="str">
        <f>"20190312150851254"</f>
        <v>20190312150851254</v>
      </c>
      <c r="B8176" t="str">
        <f>"1552374531248561"</f>
        <v>1552374531248561</v>
      </c>
      <c r="C8176" t="s">
        <v>40</v>
      </c>
      <c r="D8176">
        <v>4.6893070000000003</v>
      </c>
      <c r="E8176">
        <v>0.40785969999999999</v>
      </c>
      <c r="F8176" t="s">
        <v>73</v>
      </c>
      <c r="G8176">
        <v>-415.13170000000002</v>
      </c>
      <c r="H8176" s="1">
        <v>-2.149886E-6</v>
      </c>
      <c r="I8176">
        <v>38.251739999999998</v>
      </c>
      <c r="J8176">
        <v>-418.98500000000001</v>
      </c>
      <c r="K8176">
        <v>1.114511</v>
      </c>
      <c r="L8176">
        <v>43.238160000000001</v>
      </c>
      <c r="M8176">
        <v>0.26215169999999999</v>
      </c>
      <c r="N8176">
        <v>0</v>
      </c>
      <c r="O8176">
        <v>-0.96494899999999995</v>
      </c>
      <c r="P8176">
        <v>0.39526349999999999</v>
      </c>
      <c r="Q8176">
        <v>3.1100139999999998E-2</v>
      </c>
      <c r="R8176">
        <v>-0.91804110000000005</v>
      </c>
      <c r="S8176">
        <v>1.881958</v>
      </c>
      <c r="T8176">
        <v>-0.53847939999999905</v>
      </c>
      <c r="U8176">
        <v>-2.4786990000000002</v>
      </c>
      <c r="V8176">
        <v>-0.14120669999999999</v>
      </c>
      <c r="W8176">
        <v>4.1714309999999998E-2</v>
      </c>
      <c r="X8176">
        <v>0.98910089999999995</v>
      </c>
      <c r="Y8176">
        <v>-0.36541829999999997</v>
      </c>
      <c r="Z8176">
        <v>0.17315150000000001</v>
      </c>
      <c r="AA8176">
        <v>0.9145972</v>
      </c>
      <c r="AB8176">
        <v>29</v>
      </c>
      <c r="AC8176">
        <v>3.8532999999999902</v>
      </c>
      <c r="AD8176">
        <v>-1.1145131498859999</v>
      </c>
      <c r="AE8176">
        <v>-4.9864199999999901</v>
      </c>
      <c r="AF8176">
        <v>-2.3380884510935398</v>
      </c>
      <c r="AG8176">
        <v>-1.1145131498859999</v>
      </c>
      <c r="AH8176">
        <v>5.6456396822653501</v>
      </c>
      <c r="AI8176">
        <v>100.336501025224</v>
      </c>
      <c r="AJ8176">
        <v>112.496430345883</v>
      </c>
      <c r="AK8176">
        <v>6.2114446458432697</v>
      </c>
      <c r="AL8176">
        <v>87.609252406789906</v>
      </c>
      <c r="AM8176">
        <v>98.1247984757225</v>
      </c>
      <c r="AN8176">
        <v>1.00000000308223</v>
      </c>
    </row>
    <row r="8177" spans="1:40" x14ac:dyDescent="0.25">
      <c r="A8177" t="str">
        <f>"20190312150851266"</f>
        <v>20190312150851266</v>
      </c>
      <c r="B8177" t="str">
        <f>"1552374531258321"</f>
        <v>1552374531258321</v>
      </c>
      <c r="C8177" t="s">
        <v>40</v>
      </c>
      <c r="D8177">
        <v>4.9249340000000004</v>
      </c>
      <c r="E8177">
        <v>0.40820319999999999</v>
      </c>
      <c r="F8177" t="s">
        <v>73</v>
      </c>
      <c r="G8177">
        <v>-415.1028</v>
      </c>
      <c r="H8177" s="1">
        <v>-2.213751E-6</v>
      </c>
      <c r="I8177">
        <v>38.163339999999998</v>
      </c>
      <c r="J8177">
        <v>-418.94510000000002</v>
      </c>
      <c r="K8177">
        <v>1.1145290000000001</v>
      </c>
      <c r="L8177">
        <v>43.101100000000002</v>
      </c>
      <c r="M8177">
        <v>0.26485409999999998</v>
      </c>
      <c r="N8177">
        <v>0</v>
      </c>
      <c r="O8177">
        <v>-0.96421069999999998</v>
      </c>
      <c r="P8177">
        <v>0.39759679999999997</v>
      </c>
      <c r="Q8177">
        <v>3.0600700000000002E-2</v>
      </c>
      <c r="R8177">
        <v>-0.91705009999999998</v>
      </c>
      <c r="S8177">
        <v>1.8910830000000001</v>
      </c>
      <c r="T8177">
        <v>-0.54289449999999995</v>
      </c>
      <c r="U8177">
        <v>-2.4720149999999999</v>
      </c>
      <c r="V8177">
        <v>-0.1409427</v>
      </c>
      <c r="W8177">
        <v>4.1214529999999999E-2</v>
      </c>
      <c r="X8177">
        <v>0.98915949999999997</v>
      </c>
      <c r="Y8177">
        <v>-0.36599110000000001</v>
      </c>
      <c r="Z8177">
        <v>0.17449879999999901</v>
      </c>
      <c r="AA8177">
        <v>0.91411189999999998</v>
      </c>
      <c r="AB8177">
        <v>29</v>
      </c>
      <c r="AC8177">
        <v>3.8423000000000198</v>
      </c>
      <c r="AD8177">
        <v>-1.1145312137509999</v>
      </c>
      <c r="AE8177">
        <v>-4.9377599999999902</v>
      </c>
      <c r="AF8177">
        <v>-2.32345058586175</v>
      </c>
      <c r="AG8177">
        <v>-1.1145312137509999</v>
      </c>
      <c r="AH8177">
        <v>5.6013750849411004</v>
      </c>
      <c r="AI8177">
        <v>100.414192346468</v>
      </c>
      <c r="AJ8177">
        <v>112.52867553957699</v>
      </c>
      <c r="AK8177">
        <v>6.1657120670337502</v>
      </c>
      <c r="AL8177">
        <v>87.637912330838901</v>
      </c>
      <c r="AM8177">
        <v>98.109336559780502</v>
      </c>
      <c r="AN8177">
        <v>0.99999999930332995</v>
      </c>
    </row>
    <row r="8178" spans="1:40" x14ac:dyDescent="0.25">
      <c r="A8178" t="str">
        <f>"20190312150851276"</f>
        <v>20190312150851276</v>
      </c>
      <c r="B8178" t="str">
        <f>"1552374531268081"</f>
        <v>1552374531268081</v>
      </c>
      <c r="C8178" t="s">
        <v>40</v>
      </c>
      <c r="D8178">
        <v>4.6624869999999996</v>
      </c>
      <c r="E8178">
        <v>0.40840670000000001</v>
      </c>
      <c r="F8178" t="s">
        <v>73</v>
      </c>
      <c r="G8178">
        <v>-415.0437</v>
      </c>
      <c r="H8178" s="1">
        <v>-2.3215749999999999E-6</v>
      </c>
      <c r="I8178">
        <v>38.018439999999998</v>
      </c>
      <c r="J8178">
        <v>-418.90129999999999</v>
      </c>
      <c r="K8178">
        <v>1.11454599999999</v>
      </c>
      <c r="L8178">
        <v>42.953519999999997</v>
      </c>
      <c r="M8178">
        <v>0.26778350000000001</v>
      </c>
      <c r="N8178">
        <v>0</v>
      </c>
      <c r="O8178">
        <v>-0.96340139999999996</v>
      </c>
      <c r="P8178">
        <v>0.40036169999999999</v>
      </c>
      <c r="Q8178">
        <v>3.0156889999999999E-2</v>
      </c>
      <c r="R8178">
        <v>-0.91586089999999998</v>
      </c>
      <c r="S8178">
        <v>1.8944700000000001</v>
      </c>
      <c r="T8178">
        <v>-0.54120959999999996</v>
      </c>
      <c r="U8178">
        <v>-2.4681090000000001</v>
      </c>
      <c r="V8178">
        <v>-0.1409137</v>
      </c>
      <c r="W8178">
        <v>4.076859E-2</v>
      </c>
      <c r="X8178">
        <v>0.98918209999999995</v>
      </c>
      <c r="Y8178">
        <v>-0.36471419999999999</v>
      </c>
      <c r="Z8178">
        <v>0.1739551</v>
      </c>
      <c r="AA8178">
        <v>0.91472569999999997</v>
      </c>
      <c r="AB8178">
        <v>29</v>
      </c>
      <c r="AC8178">
        <v>3.8575999999999899</v>
      </c>
      <c r="AD8178">
        <v>-1.1145483215749901</v>
      </c>
      <c r="AE8178">
        <v>-4.9350799999999904</v>
      </c>
      <c r="AF8178">
        <v>-2.3215627011080802</v>
      </c>
      <c r="AG8178">
        <v>-1.1145483215749901</v>
      </c>
      <c r="AH8178">
        <v>5.6102761541325696</v>
      </c>
      <c r="AI8178">
        <v>100.40176423459199</v>
      </c>
      <c r="AJ8178">
        <v>112.48003709621101</v>
      </c>
      <c r="AK8178">
        <v>6.1730924067221302</v>
      </c>
      <c r="AL8178">
        <v>87.663484277683906</v>
      </c>
      <c r="AM8178">
        <v>98.107507416333206</v>
      </c>
      <c r="AN8178">
        <v>0.99999998786934396</v>
      </c>
    </row>
    <row r="8179" spans="1:40" x14ac:dyDescent="0.25">
      <c r="A8179" t="str">
        <f>"20190312150851290"</f>
        <v>20190312150851290</v>
      </c>
      <c r="B8179" t="str">
        <f>"1552374531277841"</f>
        <v>1552374531277841</v>
      </c>
      <c r="C8179" t="s">
        <v>40</v>
      </c>
      <c r="D8179">
        <v>4.6326169999999998</v>
      </c>
      <c r="E8179">
        <v>0.4085049</v>
      </c>
      <c r="F8179" t="s">
        <v>73</v>
      </c>
      <c r="G8179">
        <v>-414.99509999999998</v>
      </c>
      <c r="H8179" s="1">
        <v>-2.4159360000000002E-6</v>
      </c>
      <c r="I8179">
        <v>37.890349999999998</v>
      </c>
      <c r="J8179">
        <v>-418.85430000000002</v>
      </c>
      <c r="K8179">
        <v>1.1145640000000001</v>
      </c>
      <c r="L8179">
        <v>42.796259999999997</v>
      </c>
      <c r="M8179">
        <v>0.27091150000000003</v>
      </c>
      <c r="N8179">
        <v>0</v>
      </c>
      <c r="O8179">
        <v>-0.96252629999999995</v>
      </c>
      <c r="P8179">
        <v>0.40306310000000001</v>
      </c>
      <c r="Q8179">
        <v>3.02043E-2</v>
      </c>
      <c r="R8179">
        <v>-0.91467350000000003</v>
      </c>
      <c r="S8179">
        <v>1.900085</v>
      </c>
      <c r="T8179">
        <v>-0.54214549999999995</v>
      </c>
      <c r="U8179">
        <v>-2.46286</v>
      </c>
      <c r="V8179">
        <v>-0.14062330000000001</v>
      </c>
      <c r="W8179">
        <v>4.0817190000000003E-2</v>
      </c>
      <c r="X8179">
        <v>0.98922149999999998</v>
      </c>
      <c r="Y8179">
        <v>-0.36391479999999998</v>
      </c>
      <c r="Z8179">
        <v>0.17422109999999999</v>
      </c>
      <c r="AA8179">
        <v>0.91499350000000002</v>
      </c>
      <c r="AB8179">
        <v>29</v>
      </c>
      <c r="AC8179">
        <v>3.8592000000000399</v>
      </c>
      <c r="AD8179">
        <v>-1.11456641593599</v>
      </c>
      <c r="AE8179">
        <v>-4.9059099999999898</v>
      </c>
      <c r="AF8179">
        <v>-2.3119771944888798</v>
      </c>
      <c r="AG8179">
        <v>-1.11456641593599</v>
      </c>
      <c r="AH8179">
        <v>5.5897755376206204</v>
      </c>
      <c r="AI8179">
        <v>100.439952688296</v>
      </c>
      <c r="AJ8179">
        <v>112.470390129188</v>
      </c>
      <c r="AK8179">
        <v>6.1508607043527697</v>
      </c>
      <c r="AL8179">
        <v>87.6606975653836</v>
      </c>
      <c r="AM8179">
        <v>98.0907026480497</v>
      </c>
      <c r="AN8179">
        <v>1.00000006578231</v>
      </c>
    </row>
    <row r="8180" spans="1:40" x14ac:dyDescent="0.25">
      <c r="A8180" t="str">
        <f>"20190312150851305"</f>
        <v>20190312150851305</v>
      </c>
      <c r="B8180" t="str">
        <f>"1552374531298337"</f>
        <v>1552374531298337</v>
      </c>
      <c r="C8180" t="s">
        <v>40</v>
      </c>
      <c r="D8180">
        <v>4.665368</v>
      </c>
      <c r="E8180">
        <v>0.40784379999999998</v>
      </c>
      <c r="F8180" t="s">
        <v>73</v>
      </c>
      <c r="G8180">
        <v>-414.93349999999998</v>
      </c>
      <c r="H8180" s="1">
        <v>-2.5262870000000001E-6</v>
      </c>
      <c r="I8180">
        <v>37.7425</v>
      </c>
      <c r="J8180">
        <v>-418.8</v>
      </c>
      <c r="K8180">
        <v>1.114584</v>
      </c>
      <c r="L8180">
        <v>42.616790000000002</v>
      </c>
      <c r="M8180">
        <v>0.27449220000000002</v>
      </c>
      <c r="N8180">
        <v>0</v>
      </c>
      <c r="O8180">
        <v>-0.96151129999999996</v>
      </c>
      <c r="P8180">
        <v>0.4063445</v>
      </c>
      <c r="Q8180">
        <v>3.0158520000000001E-2</v>
      </c>
      <c r="R8180">
        <v>-0.91322230000000004</v>
      </c>
      <c r="S8180">
        <v>1.9066160000000001</v>
      </c>
      <c r="T8180">
        <v>-0.54199960000000003</v>
      </c>
      <c r="U8180">
        <v>-2.4575809999999998</v>
      </c>
      <c r="V8180">
        <v>-0.14049389999999901</v>
      </c>
      <c r="W8180">
        <v>4.0769550000000002E-2</v>
      </c>
      <c r="X8180">
        <v>0.98924179999999995</v>
      </c>
      <c r="Y8180">
        <v>-0.36293570000000003</v>
      </c>
      <c r="Z8180">
        <v>0.1741045</v>
      </c>
      <c r="AA8180">
        <v>0.91540440000000001</v>
      </c>
      <c r="AB8180">
        <v>29</v>
      </c>
      <c r="AC8180">
        <v>3.86650000000003</v>
      </c>
      <c r="AD8180">
        <v>-1.1145865262870001</v>
      </c>
      <c r="AE8180">
        <v>-4.8742900000000002</v>
      </c>
      <c r="AF8180">
        <v>-2.3059022833363798</v>
      </c>
      <c r="AG8180">
        <v>-1.1145865262870001</v>
      </c>
      <c r="AH8180">
        <v>5.5696879323588098</v>
      </c>
      <c r="AI8180">
        <v>100.47550655017299</v>
      </c>
      <c r="AJ8180">
        <v>112.49000702659499</v>
      </c>
      <c r="AK8180">
        <v>6.1303272448328396</v>
      </c>
      <c r="AL8180">
        <v>87.663429292576694</v>
      </c>
      <c r="AM8180">
        <v>98.083192430045798</v>
      </c>
      <c r="AN8180">
        <v>1.00000001550582</v>
      </c>
    </row>
    <row r="8181" spans="1:40" x14ac:dyDescent="0.25">
      <c r="A8181" t="str">
        <f>"20190312150851319"</f>
        <v>20190312150851319</v>
      </c>
      <c r="B8181" t="str">
        <f>"1552374531308097"</f>
        <v>1552374531308097</v>
      </c>
      <c r="C8181" t="s">
        <v>40</v>
      </c>
      <c r="D8181">
        <v>4.6844970000000004</v>
      </c>
      <c r="E8181">
        <v>0.40753410000000001</v>
      </c>
      <c r="F8181" t="s">
        <v>73</v>
      </c>
      <c r="G8181">
        <v>-414.88529999999997</v>
      </c>
      <c r="H8181" s="1">
        <v>-2.6137640000000001E-6</v>
      </c>
      <c r="I8181">
        <v>37.625100000000003</v>
      </c>
      <c r="J8181">
        <v>-418.74270000000001</v>
      </c>
      <c r="K8181">
        <v>1.1146020000000001</v>
      </c>
      <c r="L8181">
        <v>42.430630000000001</v>
      </c>
      <c r="M8181">
        <v>0.27822350000000001</v>
      </c>
      <c r="N8181">
        <v>0</v>
      </c>
      <c r="O8181">
        <v>-0.96043809999999996</v>
      </c>
      <c r="P8181">
        <v>0.40954119999999999</v>
      </c>
      <c r="Q8181">
        <v>3.0578850000000001E-2</v>
      </c>
      <c r="R8181">
        <v>-0.91177920000000001</v>
      </c>
      <c r="S8181">
        <v>1.92038</v>
      </c>
      <c r="T8181">
        <v>-0.54675260000000003</v>
      </c>
      <c r="U8181">
        <v>-2.448639</v>
      </c>
      <c r="V8181">
        <v>-0.140127799999999</v>
      </c>
      <c r="W8181">
        <v>4.1192619999999999E-2</v>
      </c>
      <c r="X8181">
        <v>0.98927619999999905</v>
      </c>
      <c r="Y8181">
        <v>-0.3639812</v>
      </c>
      <c r="Z8181">
        <v>0.1754792</v>
      </c>
      <c r="AA8181">
        <v>0.91472659999999995</v>
      </c>
      <c r="AB8181">
        <v>29</v>
      </c>
      <c r="AC8181">
        <v>3.8574000000000401</v>
      </c>
      <c r="AD8181">
        <v>-1.114604613764</v>
      </c>
      <c r="AE8181">
        <v>-4.8055299999999903</v>
      </c>
      <c r="AF8181">
        <v>-2.2929428213969398</v>
      </c>
      <c r="AG8181">
        <v>-1.114604613764</v>
      </c>
      <c r="AH8181">
        <v>5.50882984803797</v>
      </c>
      <c r="AI8181">
        <v>100.58066092454401</v>
      </c>
      <c r="AJ8181">
        <v>112.59856636126401</v>
      </c>
      <c r="AK8181">
        <v>6.0701842247047004</v>
      </c>
      <c r="AL8181">
        <v>87.639168787985099</v>
      </c>
      <c r="AM8181">
        <v>98.062129824735706</v>
      </c>
      <c r="AN8181">
        <v>1.00000001608087</v>
      </c>
    </row>
    <row r="8182" spans="1:40" x14ac:dyDescent="0.25">
      <c r="A8182" t="str">
        <f>"20190312150851332"</f>
        <v>20190312150851332</v>
      </c>
      <c r="B8182" t="str">
        <f>"1552374531328593"</f>
        <v>1552374531328593</v>
      </c>
      <c r="C8182" t="s">
        <v>40</v>
      </c>
      <c r="D8182">
        <v>4.6645510000000003</v>
      </c>
      <c r="E8182">
        <v>0.40706530000000002</v>
      </c>
      <c r="F8182" t="s">
        <v>73</v>
      </c>
      <c r="G8182">
        <v>-414.82350000000002</v>
      </c>
      <c r="H8182" s="1">
        <v>-2.7251840000000002E-6</v>
      </c>
      <c r="I8182">
        <v>37.475639999999999</v>
      </c>
      <c r="J8182">
        <v>-418.6936</v>
      </c>
      <c r="K8182">
        <v>1.114614</v>
      </c>
      <c r="L8182">
        <v>42.273130000000002</v>
      </c>
      <c r="M8182">
        <v>0.28138649999999998</v>
      </c>
      <c r="N8182">
        <v>0</v>
      </c>
      <c r="O8182">
        <v>-0.95951609999999998</v>
      </c>
      <c r="P8182">
        <v>0.41263610000000001</v>
      </c>
      <c r="Q8182">
        <v>3.0500800000000002E-2</v>
      </c>
      <c r="R8182">
        <v>-0.91038529999999995</v>
      </c>
      <c r="S8182">
        <v>1.931</v>
      </c>
      <c r="T8182">
        <v>-0.54917050000000001</v>
      </c>
      <c r="U8182">
        <v>-2.4413450000000001</v>
      </c>
      <c r="V8182">
        <v>-0.14022870000000001</v>
      </c>
      <c r="W8182">
        <v>4.1112580000000003E-2</v>
      </c>
      <c r="X8182">
        <v>0.98926519999999996</v>
      </c>
      <c r="Y8182">
        <v>-0.36462020000000001</v>
      </c>
      <c r="Z8182">
        <v>0.17615159999999999</v>
      </c>
      <c r="AA8182">
        <v>0.91434280000000001</v>
      </c>
      <c r="AB8182">
        <v>29</v>
      </c>
      <c r="AC8182">
        <v>3.8700999999999701</v>
      </c>
      <c r="AD8182">
        <v>-1.114616725184</v>
      </c>
      <c r="AE8182">
        <v>-4.79748999999999</v>
      </c>
      <c r="AF8182">
        <v>-2.2888093257536299</v>
      </c>
      <c r="AG8182">
        <v>-1.114616725184</v>
      </c>
      <c r="AH8182">
        <v>5.5124373219936098</v>
      </c>
      <c r="AI8182">
        <v>100.57775084051001</v>
      </c>
      <c r="AJ8182">
        <v>112.548626957946</v>
      </c>
      <c r="AK8182">
        <v>6.0719011687135396</v>
      </c>
      <c r="AL8182">
        <v>87.643758555204201</v>
      </c>
      <c r="AM8182">
        <v>98.067947140956505</v>
      </c>
      <c r="AN8182">
        <v>0.99999998423449299</v>
      </c>
    </row>
    <row r="8183" spans="1:40" x14ac:dyDescent="0.25">
      <c r="A8183" t="str">
        <f>"20190312150851346"</f>
        <v>20190312150851346</v>
      </c>
      <c r="B8183" t="str">
        <f>"1552374531338353"</f>
        <v>1552374531338353</v>
      </c>
      <c r="C8183" t="s">
        <v>40</v>
      </c>
      <c r="D8183">
        <v>4.6554419999999999</v>
      </c>
      <c r="E8183">
        <v>0.40684949999999998</v>
      </c>
      <c r="F8183" t="s">
        <v>73</v>
      </c>
      <c r="G8183">
        <v>-414.78769999999997</v>
      </c>
      <c r="H8183" s="1">
        <v>-2.7949760000000001E-6</v>
      </c>
      <c r="I8183">
        <v>37.380850000000002</v>
      </c>
      <c r="J8183">
        <v>-418.64120000000003</v>
      </c>
      <c r="K8183">
        <v>1.1146240000000001</v>
      </c>
      <c r="L8183">
        <v>42.106319999999997</v>
      </c>
      <c r="M8183">
        <v>0.28474110000000002</v>
      </c>
      <c r="N8183">
        <v>0</v>
      </c>
      <c r="O8183">
        <v>-0.95852599999999999</v>
      </c>
      <c r="P8183">
        <v>0.41572300000000001</v>
      </c>
      <c r="Q8183">
        <v>3.0496200000000001E-2</v>
      </c>
      <c r="R8183">
        <v>-0.90897989999999995</v>
      </c>
      <c r="S8183">
        <v>1.9427490000000001</v>
      </c>
      <c r="T8183">
        <v>-0.55438759999999998</v>
      </c>
      <c r="U8183">
        <v>-2.433319</v>
      </c>
      <c r="V8183">
        <v>-0.14012629999999901</v>
      </c>
      <c r="W8183">
        <v>4.1108289999999999E-2</v>
      </c>
      <c r="X8183">
        <v>0.98927989999999999</v>
      </c>
      <c r="Y8183">
        <v>-0.36536109999999999</v>
      </c>
      <c r="Z8183">
        <v>0.1776827</v>
      </c>
      <c r="AA8183">
        <v>0.91375059999999997</v>
      </c>
      <c r="AB8183">
        <v>29</v>
      </c>
      <c r="AC8183">
        <v>3.8535000000000501</v>
      </c>
      <c r="AD8183">
        <v>-1.114626794976</v>
      </c>
      <c r="AE8183">
        <v>-4.7254699999999996</v>
      </c>
      <c r="AF8183">
        <v>-2.2723868452745002</v>
      </c>
      <c r="AG8183">
        <v>-1.114626794976</v>
      </c>
      <c r="AH8183">
        <v>5.4452017823892502</v>
      </c>
      <c r="AI8183">
        <v>100.697625467946</v>
      </c>
      <c r="AJ8183">
        <v>112.65171064900601</v>
      </c>
      <c r="AK8183">
        <v>6.0046946065216398</v>
      </c>
      <c r="AL8183">
        <v>87.644004589812198</v>
      </c>
      <c r="AM8183">
        <v>98.062014901797795</v>
      </c>
      <c r="AN8183">
        <v>0.99999999600121103</v>
      </c>
    </row>
    <row r="8184" spans="1:40" x14ac:dyDescent="0.25">
      <c r="A8184" t="str">
        <f>"20190312150851357"</f>
        <v>20190312150851357</v>
      </c>
      <c r="B8184" t="str">
        <f>"1552374531348113"</f>
        <v>1552374531348113</v>
      </c>
      <c r="C8184" t="s">
        <v>40</v>
      </c>
      <c r="D8184">
        <v>4.6606110000000003</v>
      </c>
      <c r="E8184">
        <v>0.40666039999999998</v>
      </c>
      <c r="F8184" t="s">
        <v>73</v>
      </c>
      <c r="G8184">
        <v>-414.73129999999998</v>
      </c>
      <c r="H8184" s="1">
        <v>-2.8940679999999999E-6</v>
      </c>
      <c r="I8184">
        <v>37.248550000000002</v>
      </c>
      <c r="J8184">
        <v>-418.59300000000002</v>
      </c>
      <c r="K8184">
        <v>1.11463</v>
      </c>
      <c r="L8184">
        <v>41.955570000000002</v>
      </c>
      <c r="M8184">
        <v>0.2877789</v>
      </c>
      <c r="N8184">
        <v>0</v>
      </c>
      <c r="O8184">
        <v>-0.95761819999999997</v>
      </c>
      <c r="P8184">
        <v>0.4185779</v>
      </c>
      <c r="Q8184">
        <v>3.0265400000000001E-2</v>
      </c>
      <c r="R8184">
        <v>-0.90767640000000005</v>
      </c>
      <c r="S8184">
        <v>1.952637</v>
      </c>
      <c r="T8184">
        <v>-0.55665739999999997</v>
      </c>
      <c r="U8184">
        <v>-2.4260250000000001</v>
      </c>
      <c r="V8184">
        <v>-0.1400951</v>
      </c>
      <c r="W8184">
        <v>4.0877700000000003E-2</v>
      </c>
      <c r="X8184">
        <v>0.98929389999999995</v>
      </c>
      <c r="Y8184">
        <v>-0.36594290000000002</v>
      </c>
      <c r="Z8184">
        <v>0.17832339999999999</v>
      </c>
      <c r="AA8184">
        <v>0.91339289999999995</v>
      </c>
      <c r="AB8184">
        <v>29</v>
      </c>
      <c r="AC8184">
        <v>3.8617000000000399</v>
      </c>
      <c r="AD8184">
        <v>-1.1146328940679999</v>
      </c>
      <c r="AE8184">
        <v>-4.70702</v>
      </c>
      <c r="AF8184">
        <v>-2.2676273526974602</v>
      </c>
      <c r="AG8184">
        <v>-1.1146328940679999</v>
      </c>
      <c r="AH8184">
        <v>5.4370379901753498</v>
      </c>
      <c r="AI8184">
        <v>100.71429904211701</v>
      </c>
      <c r="AJ8184">
        <v>112.639570108933</v>
      </c>
      <c r="AK8184">
        <v>5.9954918401954398</v>
      </c>
      <c r="AL8184">
        <v>87.657227599372902</v>
      </c>
      <c r="AM8184">
        <v>98.0601308700262</v>
      </c>
      <c r="AN8184">
        <v>1.00000002198925</v>
      </c>
    </row>
    <row r="8185" spans="1:40" x14ac:dyDescent="0.25">
      <c r="A8185" t="str">
        <f>"20190312150851369"</f>
        <v>20190312150851369</v>
      </c>
      <c r="B8185" t="str">
        <f>"1552374531357873"</f>
        <v>1552374531357873</v>
      </c>
      <c r="C8185" t="s">
        <v>40</v>
      </c>
      <c r="D8185">
        <v>4.6918600000000001</v>
      </c>
      <c r="E8185">
        <v>0.40650039999999998</v>
      </c>
      <c r="F8185" t="s">
        <v>73</v>
      </c>
      <c r="G8185">
        <v>-414.6848</v>
      </c>
      <c r="H8185" s="1">
        <v>-2.9675E-6</v>
      </c>
      <c r="I8185">
        <v>37.136220000000002</v>
      </c>
      <c r="J8185">
        <v>-418.5471</v>
      </c>
      <c r="K8185">
        <v>1.1146339999999999</v>
      </c>
      <c r="L8185">
        <v>41.812899999999999</v>
      </c>
      <c r="M8185">
        <v>0.29065669999999999</v>
      </c>
      <c r="N8185">
        <v>0</v>
      </c>
      <c r="O8185">
        <v>-0.95674859999999995</v>
      </c>
      <c r="P8185">
        <v>0.42125639999999998</v>
      </c>
      <c r="Q8185">
        <v>3.0119300000000002E-2</v>
      </c>
      <c r="R8185">
        <v>-0.90644119999999995</v>
      </c>
      <c r="S8185">
        <v>1.961792</v>
      </c>
      <c r="T8185">
        <v>-0.5595038</v>
      </c>
      <c r="U8185">
        <v>-2.4191280000000002</v>
      </c>
      <c r="V8185">
        <v>-0.14003929999999901</v>
      </c>
      <c r="W8185">
        <v>4.0731900000000001E-2</v>
      </c>
      <c r="X8185">
        <v>0.98930779999999996</v>
      </c>
      <c r="Y8185">
        <v>-0.36641289999999999</v>
      </c>
      <c r="Z8185">
        <v>0.1791469</v>
      </c>
      <c r="AA8185">
        <v>0.9130433</v>
      </c>
      <c r="AB8185">
        <v>29</v>
      </c>
      <c r="AC8185">
        <v>3.8622999999999998</v>
      </c>
      <c r="AD8185">
        <v>-1.1146369675000001</v>
      </c>
      <c r="AE8185">
        <v>-4.6766799999999904</v>
      </c>
      <c r="AF8185">
        <v>-2.2598006592231199</v>
      </c>
      <c r="AG8185">
        <v>-1.1146369675000001</v>
      </c>
      <c r="AH8185">
        <v>5.4145733166562797</v>
      </c>
      <c r="AI8185">
        <v>100.756691276978</v>
      </c>
      <c r="AJ8185">
        <v>112.653473948022</v>
      </c>
      <c r="AK8185">
        <v>5.9721619862650304</v>
      </c>
      <c r="AL8185">
        <v>87.665588254903298</v>
      </c>
      <c r="AM8185">
        <v>98.056850959649097</v>
      </c>
      <c r="AN8185">
        <v>1.0000000081814699</v>
      </c>
    </row>
    <row r="8186" spans="1:40" x14ac:dyDescent="0.25">
      <c r="A8186" t="str">
        <f>"20190312150851382"</f>
        <v>20190312150851382</v>
      </c>
      <c r="B8186" t="str">
        <f>"1552374531378369"</f>
        <v>1552374531378369</v>
      </c>
      <c r="C8186" t="s">
        <v>40</v>
      </c>
      <c r="D8186">
        <v>4.672663</v>
      </c>
      <c r="E8186">
        <v>0.40623189999999998</v>
      </c>
      <c r="F8186" t="s">
        <v>73</v>
      </c>
      <c r="G8186">
        <v>-414.64580000000001</v>
      </c>
      <c r="H8186" s="1">
        <v>-3.031857E-6</v>
      </c>
      <c r="I8186">
        <v>37.03436</v>
      </c>
      <c r="J8186">
        <v>-418.4973</v>
      </c>
      <c r="K8186">
        <v>1.1146400000000001</v>
      </c>
      <c r="L8186">
        <v>41.659849999999999</v>
      </c>
      <c r="M8186">
        <v>0.29374509999999998</v>
      </c>
      <c r="N8186">
        <v>0</v>
      </c>
      <c r="O8186">
        <v>-0.95580509999999996</v>
      </c>
      <c r="P8186">
        <v>0.42438670000000001</v>
      </c>
      <c r="Q8186">
        <v>2.9604539999999999E-2</v>
      </c>
      <c r="R8186">
        <v>-0.90499719999999995</v>
      </c>
      <c r="S8186">
        <v>1.96991</v>
      </c>
      <c r="T8186">
        <v>-0.56282480000000001</v>
      </c>
      <c r="U8186">
        <v>-2.4128720000000001</v>
      </c>
      <c r="V8186">
        <v>-0.14025360000000001</v>
      </c>
      <c r="W8186">
        <v>4.0214489999999999E-2</v>
      </c>
      <c r="X8186">
        <v>0.98929860000000003</v>
      </c>
      <c r="Y8186">
        <v>-0.36630289999999999</v>
      </c>
      <c r="Z8186">
        <v>0.18010100000000001</v>
      </c>
      <c r="AA8186">
        <v>0.91289969999999998</v>
      </c>
      <c r="AB8186">
        <v>29</v>
      </c>
      <c r="AC8186">
        <v>3.8514999999999802</v>
      </c>
      <c r="AD8186">
        <v>-1.11464303185699</v>
      </c>
      <c r="AE8186">
        <v>-4.6254899999999903</v>
      </c>
      <c r="AF8186">
        <v>-2.2457289564756802</v>
      </c>
      <c r="AG8186">
        <v>-1.11464303185699</v>
      </c>
      <c r="AH8186">
        <v>5.3687308803412499</v>
      </c>
      <c r="AI8186">
        <v>100.842877883841</v>
      </c>
      <c r="AJ8186">
        <v>112.699456673149</v>
      </c>
      <c r="AK8186">
        <v>5.92528471045489</v>
      </c>
      <c r="AL8186">
        <v>87.695257953140199</v>
      </c>
      <c r="AM8186">
        <v>98.069092031534694</v>
      </c>
      <c r="AN8186">
        <v>0.99999999874043999</v>
      </c>
    </row>
    <row r="8187" spans="1:40" x14ac:dyDescent="0.25">
      <c r="A8187" t="str">
        <f>"20190312150851394"</f>
        <v>20190312150851394</v>
      </c>
      <c r="B8187" t="str">
        <f>"1552374531388129"</f>
        <v>1552374531388129</v>
      </c>
      <c r="C8187" t="s">
        <v>40</v>
      </c>
      <c r="D8187">
        <v>4.667548</v>
      </c>
      <c r="E8187">
        <v>0.40610170000000001</v>
      </c>
      <c r="F8187" t="s">
        <v>73</v>
      </c>
      <c r="G8187">
        <v>-414.60820000000001</v>
      </c>
      <c r="H8187" s="1">
        <v>-3.0944579999999999E-6</v>
      </c>
      <c r="I8187">
        <v>36.93515</v>
      </c>
      <c r="J8187">
        <v>-418.4479</v>
      </c>
      <c r="K8187">
        <v>1.1146430000000001</v>
      </c>
      <c r="L8187">
        <v>41.510190000000001</v>
      </c>
      <c r="M8187">
        <v>0.29677039999999999</v>
      </c>
      <c r="N8187">
        <v>0</v>
      </c>
      <c r="O8187">
        <v>-0.95487</v>
      </c>
      <c r="P8187">
        <v>0.42738989999999999</v>
      </c>
      <c r="Q8187">
        <v>2.8974989999999999E-2</v>
      </c>
      <c r="R8187">
        <v>-0.90360320000000005</v>
      </c>
      <c r="S8187">
        <v>1.9797359999999999</v>
      </c>
      <c r="T8187">
        <v>-0.56740469999999998</v>
      </c>
      <c r="U8187">
        <v>-2.40509</v>
      </c>
      <c r="V8187">
        <v>-0.1403935</v>
      </c>
      <c r="W8187">
        <v>3.958366E-2</v>
      </c>
      <c r="X8187">
        <v>0.98930419999999997</v>
      </c>
      <c r="Y8187">
        <v>-0.36687029999999998</v>
      </c>
      <c r="Z8187">
        <v>0.1814674</v>
      </c>
      <c r="AA8187">
        <v>0.91240109999999996</v>
      </c>
      <c r="AB8187">
        <v>29</v>
      </c>
      <c r="AC8187">
        <v>3.8396999999999899</v>
      </c>
      <c r="AD8187">
        <v>-1.1146460944579999</v>
      </c>
      <c r="AE8187">
        <v>-4.5750400000000004</v>
      </c>
      <c r="AF8187">
        <v>-2.2311471344976099</v>
      </c>
      <c r="AG8187">
        <v>-1.1146460944579999</v>
      </c>
      <c r="AH8187">
        <v>5.3231037342569199</v>
      </c>
      <c r="AI8187">
        <v>100.930400639852</v>
      </c>
      <c r="AJ8187">
        <v>112.740703390485</v>
      </c>
      <c r="AK8187">
        <v>5.8784255389795801</v>
      </c>
      <c r="AL8187">
        <v>87.7314306582917</v>
      </c>
      <c r="AM8187">
        <v>98.076989503925901</v>
      </c>
      <c r="AN8187">
        <v>1.00000000055944</v>
      </c>
    </row>
    <row r="8188" spans="1:40" x14ac:dyDescent="0.25">
      <c r="A8188" t="str">
        <f>"20190312150851408"</f>
        <v>20190312150851408</v>
      </c>
      <c r="B8188" t="str">
        <f>"1552374531397889"</f>
        <v>1552374531397889</v>
      </c>
      <c r="C8188" t="s">
        <v>40</v>
      </c>
      <c r="D8188">
        <v>4.6782620000000001</v>
      </c>
      <c r="E8188">
        <v>0.40602490000000002</v>
      </c>
      <c r="F8188" t="s">
        <v>73</v>
      </c>
      <c r="G8188">
        <v>-414.57060000000001</v>
      </c>
      <c r="H8188" s="1">
        <v>-3.1576130000000002E-6</v>
      </c>
      <c r="I8188">
        <v>36.834940000000003</v>
      </c>
      <c r="J8188">
        <v>-418.3895</v>
      </c>
      <c r="K8188">
        <v>1.114649</v>
      </c>
      <c r="L8188">
        <v>41.334560000000003</v>
      </c>
      <c r="M8188">
        <v>0.30032300000000001</v>
      </c>
      <c r="N8188">
        <v>0</v>
      </c>
      <c r="O8188">
        <v>-0.95375869999999996</v>
      </c>
      <c r="P8188">
        <v>0.43090250000000002</v>
      </c>
      <c r="Q8188">
        <v>2.795976E-2</v>
      </c>
      <c r="R8188">
        <v>-0.90196560000000003</v>
      </c>
      <c r="S8188">
        <v>1.988556</v>
      </c>
      <c r="T8188">
        <v>-0.57166079999999997</v>
      </c>
      <c r="U8188">
        <v>-2.3977659999999998</v>
      </c>
      <c r="V8188">
        <v>-0.1405401</v>
      </c>
      <c r="W8188">
        <v>3.8566379999999997E-2</v>
      </c>
      <c r="X8188">
        <v>0.98932359999999997</v>
      </c>
      <c r="Y8188">
        <v>-0.36661959999999999</v>
      </c>
      <c r="Z8188">
        <v>0.1827076</v>
      </c>
      <c r="AA8188">
        <v>0.91225429999999996</v>
      </c>
      <c r="AB8188">
        <v>29</v>
      </c>
      <c r="AC8188">
        <v>3.8188999999999802</v>
      </c>
      <c r="AD8188">
        <v>-1.114652157613</v>
      </c>
      <c r="AE8188">
        <v>-4.4996199999999904</v>
      </c>
      <c r="AF8188">
        <v>-2.2122291380588899</v>
      </c>
      <c r="AG8188">
        <v>-1.114652157613</v>
      </c>
      <c r="AH8188">
        <v>5.2515356276562501</v>
      </c>
      <c r="AI8188">
        <v>101.067623778232</v>
      </c>
      <c r="AJ8188">
        <v>112.84344201790699</v>
      </c>
      <c r="AK8188">
        <v>5.8064648143505497</v>
      </c>
      <c r="AL8188">
        <v>87.789761136623198</v>
      </c>
      <c r="AM8188">
        <v>98.085155642828198</v>
      </c>
      <c r="AN8188">
        <v>1.00000003544563</v>
      </c>
    </row>
    <row r="8189" spans="1:40" x14ac:dyDescent="0.25">
      <c r="A8189" t="str">
        <f>"20190312150851420"</f>
        <v>20190312150851420</v>
      </c>
      <c r="B8189" t="str">
        <f>"1552374531407649"</f>
        <v>1552374531407649</v>
      </c>
      <c r="C8189" t="s">
        <v>40</v>
      </c>
      <c r="D8189">
        <v>4.6641339999999998</v>
      </c>
      <c r="E8189">
        <v>0.40590389999999998</v>
      </c>
      <c r="F8189" t="s">
        <v>73</v>
      </c>
      <c r="G8189">
        <v>-414.52499999999998</v>
      </c>
      <c r="H8189" s="1">
        <v>-3.2339949999999999E-6</v>
      </c>
      <c r="I8189">
        <v>36.713760000000001</v>
      </c>
      <c r="J8189">
        <v>-418.34160000000003</v>
      </c>
      <c r="K8189">
        <v>1.1146560000000001</v>
      </c>
      <c r="L8189">
        <v>41.192410000000002</v>
      </c>
      <c r="M8189">
        <v>0.30320239999999998</v>
      </c>
      <c r="N8189">
        <v>0</v>
      </c>
      <c r="O8189">
        <v>-0.95284709999999995</v>
      </c>
      <c r="P8189">
        <v>0.43359700000000001</v>
      </c>
      <c r="Q8189">
        <v>2.7592709999999999E-2</v>
      </c>
      <c r="R8189">
        <v>-0.90068440000000005</v>
      </c>
      <c r="S8189">
        <v>1.99823</v>
      </c>
      <c r="T8189">
        <v>-0.57636140000000002</v>
      </c>
      <c r="U8189">
        <v>-2.389313</v>
      </c>
      <c r="V8189">
        <v>-0.14050299999999999</v>
      </c>
      <c r="W8189">
        <v>3.8199009999999999E-2</v>
      </c>
      <c r="X8189">
        <v>0.98934310000000003</v>
      </c>
      <c r="Y8189">
        <v>-0.36739880000000003</v>
      </c>
      <c r="Z8189">
        <v>0.18414359999999999</v>
      </c>
      <c r="AA8189">
        <v>0.91165200000000002</v>
      </c>
      <c r="AB8189">
        <v>29</v>
      </c>
      <c r="AC8189">
        <v>3.81660000000005</v>
      </c>
      <c r="AD8189">
        <v>-1.1146592339950001</v>
      </c>
      <c r="AE8189">
        <v>-4.4786499999999902</v>
      </c>
      <c r="AF8189">
        <v>-2.1999288674290201</v>
      </c>
      <c r="AG8189">
        <v>-1.1146592339950001</v>
      </c>
      <c r="AH8189">
        <v>5.2371511925854897</v>
      </c>
      <c r="AI8189">
        <v>101.10194742125699</v>
      </c>
      <c r="AJ8189">
        <v>112.78543149945099</v>
      </c>
      <c r="AK8189">
        <v>5.7887740363290696</v>
      </c>
      <c r="AL8189">
        <v>87.810825360320806</v>
      </c>
      <c r="AM8189">
        <v>98.082892308652404</v>
      </c>
      <c r="AN8189">
        <v>1.00000001344579</v>
      </c>
    </row>
    <row r="8190" spans="1:40" x14ac:dyDescent="0.25">
      <c r="A8190" t="str">
        <f>"20190312150851433"</f>
        <v>20190312150851433</v>
      </c>
      <c r="B8190" t="str">
        <f>"1552374531428145"</f>
        <v>1552374531428145</v>
      </c>
      <c r="C8190" t="s">
        <v>40</v>
      </c>
      <c r="D8190">
        <v>4.6785269999999999</v>
      </c>
      <c r="E8190">
        <v>0.40570030000000001</v>
      </c>
      <c r="F8190" t="s">
        <v>73</v>
      </c>
      <c r="G8190">
        <v>-414.47620000000001</v>
      </c>
      <c r="H8190" s="1">
        <v>-3.305626E-6</v>
      </c>
      <c r="I8190">
        <v>36.602559999999997</v>
      </c>
      <c r="J8190">
        <v>-418.29169999999999</v>
      </c>
      <c r="K8190">
        <v>1.114663</v>
      </c>
      <c r="L8190">
        <v>41.045960000000001</v>
      </c>
      <c r="M8190">
        <v>0.306174</v>
      </c>
      <c r="N8190">
        <v>0</v>
      </c>
      <c r="O8190">
        <v>-0.95189650000000003</v>
      </c>
      <c r="P8190">
        <v>0.43670740000000002</v>
      </c>
      <c r="Q8190">
        <v>2.7590670000000001E-2</v>
      </c>
      <c r="R8190">
        <v>-0.89918069999999894</v>
      </c>
      <c r="S8190">
        <v>2.0065309999999998</v>
      </c>
      <c r="T8190">
        <v>-0.57862130000000001</v>
      </c>
      <c r="U8190">
        <v>-2.3825989999999999</v>
      </c>
      <c r="V8190">
        <v>-0.14083609999999999</v>
      </c>
      <c r="W8190">
        <v>3.819235E-2</v>
      </c>
      <c r="X8190">
        <v>0.98929599999999995</v>
      </c>
      <c r="Y8190">
        <v>-0.36754779999999998</v>
      </c>
      <c r="Z8190">
        <v>0.18477080000000001</v>
      </c>
      <c r="AA8190">
        <v>0.91146490000000002</v>
      </c>
      <c r="AB8190">
        <v>29</v>
      </c>
      <c r="AC8190">
        <v>3.8154999999999801</v>
      </c>
      <c r="AD8190">
        <v>-1.114666305626</v>
      </c>
      <c r="AE8190">
        <v>-4.4433999999999996</v>
      </c>
      <c r="AF8190">
        <v>-2.19227015117949</v>
      </c>
      <c r="AG8190">
        <v>-1.114666305626</v>
      </c>
      <c r="AH8190">
        <v>5.2095691826025101</v>
      </c>
      <c r="AI8190">
        <v>101.156394102495</v>
      </c>
      <c r="AJ8190">
        <v>112.82213769034701</v>
      </c>
      <c r="AK8190">
        <v>5.7609148975637803</v>
      </c>
      <c r="AL8190">
        <v>87.8112072413319</v>
      </c>
      <c r="AM8190">
        <v>98.102181450120895</v>
      </c>
      <c r="AN8190">
        <v>1.0000000191388601</v>
      </c>
    </row>
    <row r="8191" spans="1:40" x14ac:dyDescent="0.25">
      <c r="A8191" t="str">
        <f>"20190312150851444"</f>
        <v>20190312150851444</v>
      </c>
      <c r="B8191" t="str">
        <f>"1552374531437905"</f>
        <v>1552374531437905</v>
      </c>
      <c r="C8191" t="s">
        <v>40</v>
      </c>
      <c r="D8191">
        <v>4.6674480000000003</v>
      </c>
      <c r="E8191">
        <v>0.40558349999999999</v>
      </c>
      <c r="F8191" t="s">
        <v>73</v>
      </c>
      <c r="G8191">
        <v>-414.41820000000001</v>
      </c>
      <c r="H8191" s="1">
        <v>-3.383104E-6</v>
      </c>
      <c r="I8191">
        <v>36.484450000000002</v>
      </c>
      <c r="J8191">
        <v>-418.24110000000002</v>
      </c>
      <c r="K8191">
        <v>1.114671</v>
      </c>
      <c r="L8191">
        <v>40.898220000000002</v>
      </c>
      <c r="M8191">
        <v>0.30917339999999999</v>
      </c>
      <c r="N8191">
        <v>0</v>
      </c>
      <c r="O8191">
        <v>-0.95092650000000001</v>
      </c>
      <c r="P8191">
        <v>0.43966189999999999</v>
      </c>
      <c r="Q8191">
        <v>2.7944420000000001E-2</v>
      </c>
      <c r="R8191">
        <v>-0.89772839999999998</v>
      </c>
      <c r="S8191">
        <v>2.016632</v>
      </c>
      <c r="T8191">
        <v>-0.5803043</v>
      </c>
      <c r="U8191">
        <v>-2.3747560000000001</v>
      </c>
      <c r="V8191">
        <v>-0.14097850000000001</v>
      </c>
      <c r="W8191">
        <v>3.8543040000000001E-2</v>
      </c>
      <c r="X8191">
        <v>0.98926210000000003</v>
      </c>
      <c r="Y8191">
        <v>-0.36830400000000002</v>
      </c>
      <c r="Z8191">
        <v>0.1852162</v>
      </c>
      <c r="AA8191">
        <v>0.91106920000000002</v>
      </c>
      <c r="AB8191">
        <v>29</v>
      </c>
      <c r="AC8191">
        <v>3.8229000000000002</v>
      </c>
      <c r="AD8191">
        <v>-1.114674383104</v>
      </c>
      <c r="AE8191">
        <v>-4.4137700000000004</v>
      </c>
      <c r="AF8191">
        <v>-2.19100464950882</v>
      </c>
      <c r="AG8191">
        <v>-1.114674383104</v>
      </c>
      <c r="AH8191">
        <v>5.19037122492617</v>
      </c>
      <c r="AI8191">
        <v>101.191571110702</v>
      </c>
      <c r="AJ8191">
        <v>112.886003724727</v>
      </c>
      <c r="AK8191">
        <v>5.7430787742341796</v>
      </c>
      <c r="AL8191">
        <v>87.791099343266893</v>
      </c>
      <c r="AM8191">
        <v>98.110538888724804</v>
      </c>
      <c r="AN8191">
        <v>1.00000000294555</v>
      </c>
    </row>
    <row r="8192" spans="1:40" x14ac:dyDescent="0.25">
      <c r="A8192" t="str">
        <f>"20190312150851456"</f>
        <v>20190312150851456</v>
      </c>
      <c r="B8192" t="str">
        <f>"1552374531447665"</f>
        <v>1552374531447665</v>
      </c>
      <c r="C8192" t="s">
        <v>40</v>
      </c>
      <c r="D8192">
        <v>4.6757369999999998</v>
      </c>
      <c r="E8192">
        <v>0.40544140000000001</v>
      </c>
      <c r="F8192" t="s">
        <v>73</v>
      </c>
      <c r="G8192">
        <v>-414.35539999999997</v>
      </c>
      <c r="H8192" s="1">
        <v>-3.4678999999999999E-6</v>
      </c>
      <c r="I8192">
        <v>36.354840000000003</v>
      </c>
      <c r="J8192">
        <v>-418.19110000000001</v>
      </c>
      <c r="K8192">
        <v>1.1146830000000001</v>
      </c>
      <c r="L8192">
        <v>40.754550000000002</v>
      </c>
      <c r="M8192">
        <v>0.31210270000000001</v>
      </c>
      <c r="N8192">
        <v>0</v>
      </c>
      <c r="O8192">
        <v>-0.9499689</v>
      </c>
      <c r="P8192">
        <v>0.44290299999999999</v>
      </c>
      <c r="Q8192">
        <v>2.8193530000000001E-2</v>
      </c>
      <c r="R8192">
        <v>-0.89612639999999999</v>
      </c>
      <c r="S8192">
        <v>2.0252080000000001</v>
      </c>
      <c r="T8192">
        <v>-0.58096159999999997</v>
      </c>
      <c r="U8192">
        <v>-2.3679809999999999</v>
      </c>
      <c r="V8192">
        <v>-0.1415102</v>
      </c>
      <c r="W8192">
        <v>3.8783669999999999E-2</v>
      </c>
      <c r="X8192">
        <v>0.98917679999999997</v>
      </c>
      <c r="Y8192">
        <v>-0.3686219</v>
      </c>
      <c r="Z8192">
        <v>0.18533740000000001</v>
      </c>
      <c r="AA8192">
        <v>0.91091599999999995</v>
      </c>
      <c r="AB8192">
        <v>29</v>
      </c>
      <c r="AC8192">
        <v>3.8357000000000299</v>
      </c>
      <c r="AD8192">
        <v>-1.1146864678999999</v>
      </c>
      <c r="AE8192">
        <v>-4.39970999999999</v>
      </c>
      <c r="AF8192">
        <v>-2.1909040620983302</v>
      </c>
      <c r="AG8192">
        <v>-1.1146864678999999</v>
      </c>
      <c r="AH8192">
        <v>5.1879236888636502</v>
      </c>
      <c r="AI8192">
        <v>101.19613297108501</v>
      </c>
      <c r="AJ8192">
        <v>112.894744994136</v>
      </c>
      <c r="AK8192">
        <v>5.74083083991429</v>
      </c>
      <c r="AL8192">
        <v>87.777301994061801</v>
      </c>
      <c r="AM8192">
        <v>98.141411092499496</v>
      </c>
      <c r="AN8192">
        <v>1.00000002571047</v>
      </c>
    </row>
    <row r="8193" spans="1:40" x14ac:dyDescent="0.25">
      <c r="A8193" t="str">
        <f>"20190312150851467"</f>
        <v>20190312150851467</v>
      </c>
      <c r="B8193" t="str">
        <f>"1552374531458401"</f>
        <v>1552374531458401</v>
      </c>
      <c r="C8193" t="s">
        <v>40</v>
      </c>
      <c r="D8193">
        <v>4.7014370000000003</v>
      </c>
      <c r="E8193">
        <v>0.4053445</v>
      </c>
      <c r="F8193" t="s">
        <v>73</v>
      </c>
      <c r="G8193">
        <v>-414.28620000000001</v>
      </c>
      <c r="H8193" s="1">
        <v>-3.554431E-6</v>
      </c>
      <c r="I8193">
        <v>36.224710000000002</v>
      </c>
      <c r="J8193">
        <v>-418.1438</v>
      </c>
      <c r="K8193">
        <v>1.1146929999999999</v>
      </c>
      <c r="L8193">
        <v>40.619660000000003</v>
      </c>
      <c r="M8193">
        <v>0.31485550000000001</v>
      </c>
      <c r="N8193">
        <v>0</v>
      </c>
      <c r="O8193">
        <v>-0.94906020000000002</v>
      </c>
      <c r="P8193">
        <v>0.44576729999999998</v>
      </c>
      <c r="Q8193">
        <v>2.8405819999999998E-2</v>
      </c>
      <c r="R8193">
        <v>-0.89469829999999995</v>
      </c>
      <c r="S8193">
        <v>2.034729</v>
      </c>
      <c r="T8193">
        <v>-0.58082739999999999</v>
      </c>
      <c r="U8193">
        <v>-2.3603519999999998</v>
      </c>
      <c r="V8193">
        <v>-0.141812299999999</v>
      </c>
      <c r="W8193">
        <v>3.8989500000000003E-2</v>
      </c>
      <c r="X8193">
        <v>0.98912540000000004</v>
      </c>
      <c r="Y8193">
        <v>-0.36951010000000001</v>
      </c>
      <c r="Z8193">
        <v>0.1852346</v>
      </c>
      <c r="AA8193">
        <v>0.91057699999999997</v>
      </c>
      <c r="AB8193">
        <v>29</v>
      </c>
      <c r="AC8193">
        <v>3.8575999999999899</v>
      </c>
      <c r="AD8193">
        <v>-1.1146965544309999</v>
      </c>
      <c r="AE8193">
        <v>-4.3949499999999997</v>
      </c>
      <c r="AF8193">
        <v>-2.1976400569128098</v>
      </c>
      <c r="AG8193">
        <v>-1.1146965544309999</v>
      </c>
      <c r="AH8193">
        <v>5.1972217215070904</v>
      </c>
      <c r="AI8193">
        <v>101.174594461681</v>
      </c>
      <c r="AJ8193">
        <v>112.921023574583</v>
      </c>
      <c r="AK8193">
        <v>5.7518070074293401</v>
      </c>
      <c r="AL8193">
        <v>87.765499782325307</v>
      </c>
      <c r="AM8193">
        <v>98.158976117646105</v>
      </c>
      <c r="AN8193">
        <v>0.99999998323334904</v>
      </c>
    </row>
    <row r="8194" spans="1:40" x14ac:dyDescent="0.25">
      <c r="A8194" t="str">
        <f>"20190312150851478"</f>
        <v>20190312150851478</v>
      </c>
      <c r="B8194" t="str">
        <f>"1552374531468161"</f>
        <v>1552374531468161</v>
      </c>
      <c r="C8194" t="s">
        <v>40</v>
      </c>
      <c r="D8194">
        <v>4.6953630000000004</v>
      </c>
      <c r="E8194">
        <v>0.4052712</v>
      </c>
      <c r="F8194" t="s">
        <v>73</v>
      </c>
      <c r="G8194">
        <v>-414.22699999999998</v>
      </c>
      <c r="H8194" s="1">
        <v>-3.6317829999999999E-6</v>
      </c>
      <c r="I8194">
        <v>36.107280000000003</v>
      </c>
      <c r="J8194">
        <v>-418.09359999999998</v>
      </c>
      <c r="K8194">
        <v>1.1147089999999999</v>
      </c>
      <c r="L8194">
        <v>40.477870000000003</v>
      </c>
      <c r="M8194">
        <v>0.31775979999999998</v>
      </c>
      <c r="N8194">
        <v>0</v>
      </c>
      <c r="O8194">
        <v>-0.94809189999999999</v>
      </c>
      <c r="P8194">
        <v>0.4487951</v>
      </c>
      <c r="Q8194">
        <v>2.8480749999999999E-2</v>
      </c>
      <c r="R8194">
        <v>-0.89318109999999995</v>
      </c>
      <c r="S8194">
        <v>2.0430299999999999</v>
      </c>
      <c r="T8194">
        <v>-0.58142169999999904</v>
      </c>
      <c r="U8194">
        <v>-2.3536380000000001</v>
      </c>
      <c r="V8194">
        <v>-0.14213689999999901</v>
      </c>
      <c r="W8194">
        <v>3.9057639999999998E-2</v>
      </c>
      <c r="X8194">
        <v>0.98907610000000001</v>
      </c>
      <c r="Y8194">
        <v>-0.36977480000000001</v>
      </c>
      <c r="Z8194">
        <v>0.1853351</v>
      </c>
      <c r="AA8194">
        <v>0.91044899999999995</v>
      </c>
      <c r="AB8194">
        <v>29</v>
      </c>
      <c r="AC8194">
        <v>3.8666</v>
      </c>
      <c r="AD8194">
        <v>-1.1147126317829901</v>
      </c>
      <c r="AE8194">
        <v>-4.37059</v>
      </c>
      <c r="AF8194">
        <v>-2.1970935260322699</v>
      </c>
      <c r="AG8194">
        <v>-1.1147126317829901</v>
      </c>
      <c r="AH8194">
        <v>5.1836243230331096</v>
      </c>
      <c r="AI8194">
        <v>101.199389605908</v>
      </c>
      <c r="AJ8194">
        <v>112.96979388711399</v>
      </c>
      <c r="AK8194">
        <v>5.7393174973972299</v>
      </c>
      <c r="AL8194">
        <v>87.761592630001303</v>
      </c>
      <c r="AM8194">
        <v>98.177801323322598</v>
      </c>
      <c r="AN8194">
        <v>0.99999996458759399</v>
      </c>
    </row>
    <row r="8195" spans="1:40" x14ac:dyDescent="0.25">
      <c r="A8195" t="str">
        <f>"20190312150851492"</f>
        <v>20190312150851492</v>
      </c>
      <c r="B8195" t="str">
        <f>"1552374531487681"</f>
        <v>1552374531487681</v>
      </c>
      <c r="C8195" t="s">
        <v>40</v>
      </c>
      <c r="D8195">
        <v>4.6673070000000001</v>
      </c>
      <c r="E8195">
        <v>0.40501340000000002</v>
      </c>
      <c r="F8195" t="s">
        <v>73</v>
      </c>
      <c r="G8195">
        <v>-414.16829999999999</v>
      </c>
      <c r="H8195" s="1">
        <v>-3.7102090000000001E-6</v>
      </c>
      <c r="I8195">
        <v>35.987650000000002</v>
      </c>
      <c r="J8195">
        <v>-418.03519999999997</v>
      </c>
      <c r="K8195">
        <v>1.11473</v>
      </c>
      <c r="L8195">
        <v>40.314970000000002</v>
      </c>
      <c r="M8195">
        <v>0.3211097</v>
      </c>
      <c r="N8195">
        <v>0</v>
      </c>
      <c r="O8195">
        <v>-0.94696250000000004</v>
      </c>
      <c r="P8195">
        <v>0.45207930000000002</v>
      </c>
      <c r="Q8195">
        <v>2.8531069999999999E-2</v>
      </c>
      <c r="R8195">
        <v>-0.89152169999999897</v>
      </c>
      <c r="S8195">
        <v>2.051361</v>
      </c>
      <c r="T8195">
        <v>-0.58255590000000002</v>
      </c>
      <c r="U8195">
        <v>-2.346619</v>
      </c>
      <c r="V8195">
        <v>-0.14228289999999999</v>
      </c>
      <c r="W8195">
        <v>3.9103369999999998E-2</v>
      </c>
      <c r="X8195">
        <v>0.98905330000000002</v>
      </c>
      <c r="Y8195">
        <v>-0.36964469999999999</v>
      </c>
      <c r="Z8195">
        <v>0.185586</v>
      </c>
      <c r="AA8195">
        <v>0.9104508</v>
      </c>
      <c r="AB8195">
        <v>29</v>
      </c>
      <c r="AC8195">
        <v>3.8668999999999798</v>
      </c>
      <c r="AD8195">
        <v>-1.114733710209</v>
      </c>
      <c r="AE8195">
        <v>-4.3273199999999896</v>
      </c>
      <c r="AF8195">
        <v>-2.1915740186077799</v>
      </c>
      <c r="AG8195">
        <v>-1.114733710209</v>
      </c>
      <c r="AH8195">
        <v>5.1498965123037301</v>
      </c>
      <c r="AI8195">
        <v>101.26434071872799</v>
      </c>
      <c r="AJ8195">
        <v>113.052513190805</v>
      </c>
      <c r="AK8195">
        <v>5.7067558219316696</v>
      </c>
      <c r="AL8195">
        <v>87.758970488798496</v>
      </c>
      <c r="AM8195">
        <v>98.186273746809704</v>
      </c>
      <c r="AN8195">
        <v>0.99999996370932698</v>
      </c>
    </row>
    <row r="8196" spans="1:40" x14ac:dyDescent="0.25">
      <c r="A8196" t="str">
        <f>"20190312150851511"</f>
        <v>20190312150851511</v>
      </c>
      <c r="B8196" t="str">
        <f>"1552374531508177"</f>
        <v>1552374531508177</v>
      </c>
      <c r="C8196" t="s">
        <v>40</v>
      </c>
      <c r="D8196">
        <v>4.6506410000000002</v>
      </c>
      <c r="E8196">
        <v>0.40472659999999999</v>
      </c>
      <c r="F8196" t="s">
        <v>73</v>
      </c>
      <c r="G8196">
        <v>-414.09359999999998</v>
      </c>
      <c r="H8196" s="1">
        <v>-3.8041410000000002E-6</v>
      </c>
      <c r="I8196">
        <v>35.846220000000002</v>
      </c>
      <c r="J8196">
        <v>-417.95609999999999</v>
      </c>
      <c r="K8196">
        <v>1.1147629999999999</v>
      </c>
      <c r="L8196">
        <v>40.096530000000001</v>
      </c>
      <c r="M8196">
        <v>0.32562770000000002</v>
      </c>
      <c r="N8196">
        <v>0</v>
      </c>
      <c r="O8196">
        <v>-0.94541810000000004</v>
      </c>
      <c r="P8196">
        <v>0.45657629999999999</v>
      </c>
      <c r="Q8196">
        <v>2.831823E-2</v>
      </c>
      <c r="R8196">
        <v>-0.88923349999999901</v>
      </c>
      <c r="S8196">
        <v>2.0622250000000002</v>
      </c>
      <c r="T8196">
        <v>-0.58321199999999995</v>
      </c>
      <c r="U8196">
        <v>-2.3379819999999998</v>
      </c>
      <c r="V8196">
        <v>-0.14255390000000001</v>
      </c>
      <c r="W8196">
        <v>3.8884200000000001E-2</v>
      </c>
      <c r="X8196">
        <v>0.98902299999999999</v>
      </c>
      <c r="Y8196">
        <v>-0.36925910000000001</v>
      </c>
      <c r="Z8196">
        <v>0.1856178</v>
      </c>
      <c r="AA8196">
        <v>0.91060079999999999</v>
      </c>
      <c r="AB8196">
        <v>29</v>
      </c>
      <c r="AC8196">
        <v>3.86250000000001</v>
      </c>
      <c r="AD8196">
        <v>-1.1147668041409999</v>
      </c>
      <c r="AE8196">
        <v>-4.25030999999999</v>
      </c>
      <c r="AF8196">
        <v>-2.1854898149072799</v>
      </c>
      <c r="AG8196">
        <v>-1.1147668041409999</v>
      </c>
      <c r="AH8196">
        <v>5.0848783441146397</v>
      </c>
      <c r="AI8196">
        <v>101.387918485189</v>
      </c>
      <c r="AJ8196">
        <v>113.258119692585</v>
      </c>
      <c r="AK8196">
        <v>5.6458000790963396</v>
      </c>
      <c r="AL8196">
        <v>87.771537744306897</v>
      </c>
      <c r="AM8196">
        <v>98.201901706687096</v>
      </c>
      <c r="AN8196">
        <v>1.00000004497192</v>
      </c>
    </row>
    <row r="8197" spans="1:40" x14ac:dyDescent="0.25">
      <c r="A8197" t="str">
        <f>"20190312150851526"</f>
        <v>20190312150851526</v>
      </c>
      <c r="B8197" t="str">
        <f>"1552374531517938"</f>
        <v>1552374531517938</v>
      </c>
      <c r="C8197" t="s">
        <v>40</v>
      </c>
      <c r="D8197">
        <v>4.6928330000000003</v>
      </c>
      <c r="E8197">
        <v>0.40462920000000002</v>
      </c>
      <c r="F8197" t="s">
        <v>73</v>
      </c>
      <c r="G8197">
        <v>-413.99200000000002</v>
      </c>
      <c r="H8197" s="1">
        <v>-3.9298489999999999E-6</v>
      </c>
      <c r="I8197">
        <v>35.65757</v>
      </c>
      <c r="J8197">
        <v>-417.88940000000002</v>
      </c>
      <c r="K8197">
        <v>1.114792</v>
      </c>
      <c r="L8197">
        <v>39.91498</v>
      </c>
      <c r="M8197">
        <v>0.32940550000000002</v>
      </c>
      <c r="N8197">
        <v>0</v>
      </c>
      <c r="O8197">
        <v>-0.94410839999999996</v>
      </c>
      <c r="P8197">
        <v>0.45994360000000001</v>
      </c>
      <c r="Q8197">
        <v>2.8308670000000001E-2</v>
      </c>
      <c r="R8197">
        <v>-0.88749699999999998</v>
      </c>
      <c r="S8197">
        <v>2.077026</v>
      </c>
      <c r="T8197">
        <v>-0.58409390000000005</v>
      </c>
      <c r="U8197">
        <v>-2.3258359999999998</v>
      </c>
      <c r="V8197">
        <v>-0.14235059999999999</v>
      </c>
      <c r="W8197">
        <v>3.887562E-2</v>
      </c>
      <c r="X8197">
        <v>0.98905259999999995</v>
      </c>
      <c r="Y8197">
        <v>-0.37111280000000002</v>
      </c>
      <c r="Z8197">
        <v>0.18580830000000001</v>
      </c>
      <c r="AA8197">
        <v>0.90980799999999995</v>
      </c>
      <c r="AB8197">
        <v>29</v>
      </c>
      <c r="AC8197">
        <v>3.8974000000000601</v>
      </c>
      <c r="AD8197">
        <v>-1.114795929849</v>
      </c>
      <c r="AE8197">
        <v>-4.2574100000000001</v>
      </c>
      <c r="AF8197">
        <v>-2.1954293488677301</v>
      </c>
      <c r="AG8197">
        <v>-1.114795929849</v>
      </c>
      <c r="AH8197">
        <v>5.1129527978880702</v>
      </c>
      <c r="AI8197">
        <v>101.32896304194399</v>
      </c>
      <c r="AJ8197">
        <v>113.237998783829</v>
      </c>
      <c r="AK8197">
        <v>5.6749419648582498</v>
      </c>
      <c r="AL8197">
        <v>87.772029672565495</v>
      </c>
      <c r="AM8197">
        <v>98.190121765984898</v>
      </c>
      <c r="AN8197">
        <v>1.0000000263587501</v>
      </c>
    </row>
    <row r="8198" spans="1:40" x14ac:dyDescent="0.25">
      <c r="A8198" t="str">
        <f>"20190312150851541"</f>
        <v>20190312150851541</v>
      </c>
      <c r="B8198" t="str">
        <f>"1552374531538434"</f>
        <v>1552374531538434</v>
      </c>
      <c r="C8198" t="s">
        <v>40</v>
      </c>
      <c r="D8198">
        <v>4.687602</v>
      </c>
      <c r="E8198">
        <v>0.40447610000000001</v>
      </c>
      <c r="F8198" t="s">
        <v>73</v>
      </c>
      <c r="G8198">
        <v>-413.9162</v>
      </c>
      <c r="H8198" s="1">
        <v>-4.031637E-6</v>
      </c>
      <c r="I8198">
        <v>35.50217</v>
      </c>
      <c r="J8198">
        <v>-417.81729999999999</v>
      </c>
      <c r="K8198">
        <v>1.114822</v>
      </c>
      <c r="L8198">
        <v>39.721769999999999</v>
      </c>
      <c r="M8198">
        <v>0.333462799999999</v>
      </c>
      <c r="N8198">
        <v>0</v>
      </c>
      <c r="O8198">
        <v>-0.94268269999999998</v>
      </c>
      <c r="P8198">
        <v>0.46388649999999998</v>
      </c>
      <c r="Q8198">
        <v>2.8223350000000001E-2</v>
      </c>
      <c r="R8198">
        <v>-0.88544519999999904</v>
      </c>
      <c r="S8198">
        <v>2.0866699999999998</v>
      </c>
      <c r="T8198">
        <v>-0.58548029999999995</v>
      </c>
      <c r="U8198">
        <v>-2.3175659999999998</v>
      </c>
      <c r="V8198">
        <v>-0.14249779999999901</v>
      </c>
      <c r="W8198">
        <v>3.8787479999999999E-2</v>
      </c>
      <c r="X8198">
        <v>0.98903479999999999</v>
      </c>
      <c r="Y8198">
        <v>-0.37079250000000002</v>
      </c>
      <c r="Z8198">
        <v>0.18609510000000001</v>
      </c>
      <c r="AA8198">
        <v>0.90987989999999996</v>
      </c>
      <c r="AB8198">
        <v>29</v>
      </c>
      <c r="AC8198">
        <v>3.90109999999998</v>
      </c>
      <c r="AD8198">
        <v>-1.114826031637</v>
      </c>
      <c r="AE8198">
        <v>-4.2195999999999998</v>
      </c>
      <c r="AF8198">
        <v>-2.1882383618455301</v>
      </c>
      <c r="AG8198">
        <v>-1.114826031637</v>
      </c>
      <c r="AH8198">
        <v>5.0875476896091998</v>
      </c>
      <c r="AI8198">
        <v>101.38142236022701</v>
      </c>
      <c r="AJ8198">
        <v>113.27333940614599</v>
      </c>
      <c r="AK8198">
        <v>5.6492801048554702</v>
      </c>
      <c r="AL8198">
        <v>87.777083394654895</v>
      </c>
      <c r="AM8198">
        <v>98.198621369999799</v>
      </c>
      <c r="AN8198">
        <v>0.99999996361031396</v>
      </c>
    </row>
    <row r="8199" spans="1:40" x14ac:dyDescent="0.25">
      <c r="A8199" t="str">
        <f>"20190312150851556"</f>
        <v>20190312150851556</v>
      </c>
      <c r="B8199" t="str">
        <f>"1552374531548194"</f>
        <v>1552374531548194</v>
      </c>
      <c r="C8199" t="s">
        <v>40</v>
      </c>
      <c r="D8199">
        <v>4.6927329999999996</v>
      </c>
      <c r="E8199">
        <v>0.40443580000000001</v>
      </c>
      <c r="F8199" t="s">
        <v>73</v>
      </c>
      <c r="G8199">
        <v>-413.84379999999999</v>
      </c>
      <c r="H8199" s="1">
        <v>-4.1297959999999997E-6</v>
      </c>
      <c r="I8199">
        <v>35.352049999999998</v>
      </c>
      <c r="J8199">
        <v>-417.75290000000001</v>
      </c>
      <c r="K8199">
        <v>1.114851</v>
      </c>
      <c r="L8199">
        <v>39.551540000000003</v>
      </c>
      <c r="M8199">
        <v>0.33706659999999999</v>
      </c>
      <c r="N8199">
        <v>0</v>
      </c>
      <c r="O8199">
        <v>-0.94140029999999997</v>
      </c>
      <c r="P8199">
        <v>0.46760489999999999</v>
      </c>
      <c r="Q8199">
        <v>2.8427009999999999E-2</v>
      </c>
      <c r="R8199">
        <v>-0.88348040000000005</v>
      </c>
      <c r="S8199">
        <v>2.098328</v>
      </c>
      <c r="T8199">
        <v>-0.58872380000000002</v>
      </c>
      <c r="U8199">
        <v>-2.3075869999999998</v>
      </c>
      <c r="V8199">
        <v>-0.14288010000000001</v>
      </c>
      <c r="W8199">
        <v>3.8984730000000002E-2</v>
      </c>
      <c r="X8199">
        <v>0.98897190000000001</v>
      </c>
      <c r="Y8199">
        <v>-0.37160120000000002</v>
      </c>
      <c r="Z8199">
        <v>0.1869942</v>
      </c>
      <c r="AA8199">
        <v>0.90936550000000005</v>
      </c>
      <c r="AB8199">
        <v>29</v>
      </c>
      <c r="AC8199">
        <v>3.90910000000002</v>
      </c>
      <c r="AD8199">
        <v>-1.1148551297959901</v>
      </c>
      <c r="AE8199">
        <v>-4.1994899999999999</v>
      </c>
      <c r="AF8199">
        <v>-2.18229080726306</v>
      </c>
      <c r="AG8199">
        <v>-1.1148551297959901</v>
      </c>
      <c r="AH8199">
        <v>5.0796265331476196</v>
      </c>
      <c r="AI8199">
        <v>101.401010494819</v>
      </c>
      <c r="AJ8199">
        <v>113.249152724436</v>
      </c>
      <c r="AK8199">
        <v>5.6398493636049096</v>
      </c>
      <c r="AL8199">
        <v>87.765773274011593</v>
      </c>
      <c r="AM8199">
        <v>98.220832499518295</v>
      </c>
      <c r="AN8199">
        <v>0.99999997556939602</v>
      </c>
    </row>
    <row r="8200" spans="1:40" x14ac:dyDescent="0.25">
      <c r="A8200" t="str">
        <f>"20190312150851577"</f>
        <v>20190312150851577</v>
      </c>
      <c r="B8200" t="str">
        <f>"1552374531567713"</f>
        <v>1552374531567713</v>
      </c>
      <c r="C8200" t="s">
        <v>40</v>
      </c>
      <c r="D8200">
        <v>4.6686560000000004</v>
      </c>
      <c r="E8200">
        <v>0.40077190000000001</v>
      </c>
      <c r="F8200" t="s">
        <v>73</v>
      </c>
      <c r="G8200">
        <v>-413.76179999999999</v>
      </c>
      <c r="H8200" s="1">
        <v>-4.2310650000000001E-6</v>
      </c>
      <c r="I8200">
        <v>35.200139999999998</v>
      </c>
      <c r="J8200">
        <v>-417.65140000000002</v>
      </c>
      <c r="K8200">
        <v>1.1149119999999999</v>
      </c>
      <c r="L8200">
        <v>39.286679999999997</v>
      </c>
      <c r="M8200">
        <v>0.3427248</v>
      </c>
      <c r="N8200">
        <v>0</v>
      </c>
      <c r="O8200">
        <v>-0.93935500000000005</v>
      </c>
      <c r="P8200">
        <v>0.4728984</v>
      </c>
      <c r="Q8200">
        <v>2.862102E-2</v>
      </c>
      <c r="R8200">
        <v>-0.880652199999999</v>
      </c>
      <c r="S8200">
        <v>2.108368</v>
      </c>
      <c r="T8200">
        <v>-0.58894179999999996</v>
      </c>
      <c r="U8200">
        <v>-2.2987060000000001</v>
      </c>
      <c r="V8200">
        <v>-0.1428739</v>
      </c>
      <c r="W8200">
        <v>3.9175799999999997E-2</v>
      </c>
      <c r="X8200">
        <v>0.98896530000000005</v>
      </c>
      <c r="Y8200">
        <v>-0.36995129999999998</v>
      </c>
      <c r="Z8200">
        <v>0.1868206</v>
      </c>
      <c r="AA8200">
        <v>0.91007369999999999</v>
      </c>
      <c r="AB8200">
        <v>29</v>
      </c>
      <c r="AC8200">
        <v>3.8896000000000299</v>
      </c>
      <c r="AD8200">
        <v>-1.114916231065</v>
      </c>
      <c r="AE8200">
        <v>-4.0865399999999896</v>
      </c>
      <c r="AF8200">
        <v>-2.1686341556967399</v>
      </c>
      <c r="AG8200">
        <v>-1.114916231065</v>
      </c>
      <c r="AH8200">
        <v>4.9777658943758203</v>
      </c>
      <c r="AI8200">
        <v>101.60373245546801</v>
      </c>
      <c r="AJ8200">
        <v>113.54103067406101</v>
      </c>
      <c r="AK8200">
        <v>5.5429383545875597</v>
      </c>
      <c r="AL8200">
        <v>87.754817521048295</v>
      </c>
      <c r="AM8200">
        <v>98.220534758925197</v>
      </c>
      <c r="AN8200">
        <v>1.0000000296054601</v>
      </c>
    </row>
    <row r="8201" spans="1:40" x14ac:dyDescent="0.25">
      <c r="A8201" t="str">
        <f>"20190312150851590"</f>
        <v>20190312150851590</v>
      </c>
      <c r="B8201" t="str">
        <f>"1552374531578449"</f>
        <v>1552374531578449</v>
      </c>
      <c r="C8201" t="s">
        <v>40</v>
      </c>
      <c r="D8201">
        <v>4.708907</v>
      </c>
      <c r="E8201">
        <v>0.40087790000000001</v>
      </c>
      <c r="F8201" t="s">
        <v>73</v>
      </c>
      <c r="G8201">
        <v>-413.96929999999998</v>
      </c>
      <c r="H8201" s="1">
        <v>-4.0773760000000003E-6</v>
      </c>
      <c r="I8201">
        <v>35.397030000000001</v>
      </c>
      <c r="J8201">
        <v>-417.59210000000002</v>
      </c>
      <c r="K8201">
        <v>1.1149439999999999</v>
      </c>
      <c r="L8201">
        <v>39.134369999999997</v>
      </c>
      <c r="M8201">
        <v>0.3460125</v>
      </c>
      <c r="N8201">
        <v>0</v>
      </c>
      <c r="O8201">
        <v>-0.9381486</v>
      </c>
      <c r="P8201">
        <v>0.4758947</v>
      </c>
      <c r="Q8201">
        <v>2.8551190000000001E-2</v>
      </c>
      <c r="R8201">
        <v>-0.87903899999999902</v>
      </c>
      <c r="S8201">
        <v>2.1512760000000002</v>
      </c>
      <c r="T8201">
        <v>-0.65139659999999999</v>
      </c>
      <c r="U8201">
        <v>-2.2725520000000001</v>
      </c>
      <c r="V8201">
        <v>-0.14277989999999999</v>
      </c>
      <c r="W8201">
        <v>3.9104800000000002E-2</v>
      </c>
      <c r="X8201">
        <v>0.98898169999999996</v>
      </c>
      <c r="Y8201">
        <v>-0.37833329999999998</v>
      </c>
      <c r="Z8201">
        <v>0.2055081</v>
      </c>
      <c r="AA8201">
        <v>0.9025687</v>
      </c>
      <c r="AB8201">
        <v>29</v>
      </c>
      <c r="AC8201">
        <v>3.6228000000000402</v>
      </c>
      <c r="AD8201">
        <v>-1.1149480773759901</v>
      </c>
      <c r="AE8201">
        <v>-3.7373400000000001</v>
      </c>
      <c r="AF8201">
        <v>-2.01333882904891</v>
      </c>
      <c r="AG8201">
        <v>-1.1149480773759901</v>
      </c>
      <c r="AH8201">
        <v>4.5512476895724898</v>
      </c>
      <c r="AI8201">
        <v>102.627708712467</v>
      </c>
      <c r="AJ8201">
        <v>113.863196631466</v>
      </c>
      <c r="AK8201">
        <v>5.1000488220838998</v>
      </c>
      <c r="AL8201">
        <v>87.758888673329594</v>
      </c>
      <c r="AM8201">
        <v>98.215065756880804</v>
      </c>
      <c r="AN8201">
        <v>1.00000004408096</v>
      </c>
    </row>
    <row r="8202" spans="1:40" x14ac:dyDescent="0.25">
      <c r="A8202" t="str">
        <f>"20190312150851601"</f>
        <v>20190312150851601</v>
      </c>
      <c r="B8202" t="str">
        <f>"1552374531597969"</f>
        <v>1552374531597969</v>
      </c>
      <c r="C8202" t="s">
        <v>40</v>
      </c>
      <c r="D8202">
        <v>4.7211049999999997</v>
      </c>
      <c r="E8202">
        <v>0.40102090000000001</v>
      </c>
      <c r="F8202" t="s">
        <v>73</v>
      </c>
      <c r="G8202">
        <v>-413.88159999999999</v>
      </c>
      <c r="H8202" s="1">
        <v>-4.1831270000000003E-6</v>
      </c>
      <c r="I8202">
        <v>35.239240000000002</v>
      </c>
      <c r="J8202">
        <v>-417.53789999999998</v>
      </c>
      <c r="K8202">
        <v>1.11497</v>
      </c>
      <c r="L8202">
        <v>38.996220000000001</v>
      </c>
      <c r="M8202">
        <v>0.34901349999999998</v>
      </c>
      <c r="N8202">
        <v>0</v>
      </c>
      <c r="O8202">
        <v>-0.93703630000000004</v>
      </c>
      <c r="P8202">
        <v>0.47874080000000002</v>
      </c>
      <c r="Q8202">
        <v>2.8298210000000001E-2</v>
      </c>
      <c r="R8202">
        <v>-0.87750010000000001</v>
      </c>
      <c r="S8202">
        <v>2.1581419999999998</v>
      </c>
      <c r="T8202">
        <v>-0.64848099999999997</v>
      </c>
      <c r="U8202">
        <v>-2.2655029999999998</v>
      </c>
      <c r="V8202">
        <v>-0.14281669999999999</v>
      </c>
      <c r="W8202">
        <v>3.8848939999999998E-2</v>
      </c>
      <c r="X8202">
        <v>0.98898640000000004</v>
      </c>
      <c r="Y8202">
        <v>-0.37835770000000002</v>
      </c>
      <c r="Z8202">
        <v>0.20454729999999999</v>
      </c>
      <c r="AA8202">
        <v>0.90277669999999999</v>
      </c>
      <c r="AB8202">
        <v>29</v>
      </c>
      <c r="AC8202">
        <v>3.6562999999999799</v>
      </c>
      <c r="AD8202">
        <v>-1.1149741831269999</v>
      </c>
      <c r="AE8202">
        <v>-3.7569799999999902</v>
      </c>
      <c r="AF8202">
        <v>-2.0234815701228301</v>
      </c>
      <c r="AG8202">
        <v>-1.1149741831269999</v>
      </c>
      <c r="AH8202">
        <v>4.5893011464589604</v>
      </c>
      <c r="AI8202">
        <v>102.53314234421499</v>
      </c>
      <c r="AJ8202">
        <v>113.79329591811199</v>
      </c>
      <c r="AK8202">
        <v>5.1380278421351502</v>
      </c>
      <c r="AL8202">
        <v>87.7735593644163</v>
      </c>
      <c r="AM8202">
        <v>98.217115674650699</v>
      </c>
      <c r="AN8202">
        <v>0.99999997466148605</v>
      </c>
    </row>
    <row r="8203" spans="1:40" x14ac:dyDescent="0.25">
      <c r="A8203" t="str">
        <f>"20190312150851614"</f>
        <v>20190312150851614</v>
      </c>
      <c r="B8203" t="str">
        <f>"1552374531607729"</f>
        <v>1552374531607729</v>
      </c>
      <c r="C8203" t="s">
        <v>40</v>
      </c>
      <c r="D8203">
        <v>4.7039010000000001</v>
      </c>
      <c r="E8203">
        <v>0.4009529</v>
      </c>
      <c r="F8203" t="s">
        <v>73</v>
      </c>
      <c r="G8203">
        <v>-413.82870000000003</v>
      </c>
      <c r="H8203" s="1">
        <v>-4.25735E-6</v>
      </c>
      <c r="I8203">
        <v>35.124969999999998</v>
      </c>
      <c r="J8203">
        <v>-417.47859999999997</v>
      </c>
      <c r="K8203">
        <v>1.1150009999999999</v>
      </c>
      <c r="L8203">
        <v>38.847290000000001</v>
      </c>
      <c r="M8203">
        <v>0.35227920000000001</v>
      </c>
      <c r="N8203">
        <v>0</v>
      </c>
      <c r="O8203">
        <v>-0.93581340000000002</v>
      </c>
      <c r="P8203">
        <v>0.4816667</v>
      </c>
      <c r="Q8203">
        <v>2.8155469999999998E-2</v>
      </c>
      <c r="R8203">
        <v>-0.87590219999999896</v>
      </c>
      <c r="S8203">
        <v>2.1643680000000001</v>
      </c>
      <c r="T8203">
        <v>-0.65060790000000002</v>
      </c>
      <c r="U8203">
        <v>-2.2589419999999998</v>
      </c>
      <c r="V8203">
        <v>-0.14266760000000001</v>
      </c>
      <c r="W8203">
        <v>3.870647E-2</v>
      </c>
      <c r="X8203">
        <v>0.98901360000000005</v>
      </c>
      <c r="Y8203">
        <v>-0.37765979999999999</v>
      </c>
      <c r="Z8203">
        <v>0.20508100000000001</v>
      </c>
      <c r="AA8203">
        <v>0.90294779999999997</v>
      </c>
      <c r="AB8203">
        <v>29</v>
      </c>
      <c r="AC8203">
        <v>3.6498999999999402</v>
      </c>
      <c r="AD8203">
        <v>-1.11500525735</v>
      </c>
      <c r="AE8203">
        <v>-3.7223199999999901</v>
      </c>
      <c r="AF8203">
        <v>-2.0124310232620202</v>
      </c>
      <c r="AG8203">
        <v>-1.11500525735</v>
      </c>
      <c r="AH8203">
        <v>4.5609053860531397</v>
      </c>
      <c r="AI8203">
        <v>102.607573033343</v>
      </c>
      <c r="AJ8203">
        <v>113.808749896688</v>
      </c>
      <c r="AK8203">
        <v>5.1083239215846596</v>
      </c>
      <c r="AL8203">
        <v>87.781728645645899</v>
      </c>
      <c r="AM8203">
        <v>98.208431330468301</v>
      </c>
      <c r="AN8203">
        <v>1.00000006794728</v>
      </c>
    </row>
    <row r="8204" spans="1:40" x14ac:dyDescent="0.25">
      <c r="A8204" t="str">
        <f>"20190312150851626"</f>
        <v>20190312150851626</v>
      </c>
      <c r="B8204" t="str">
        <f>"1552374531618465"</f>
        <v>1552374531618465</v>
      </c>
      <c r="C8204" t="s">
        <v>40</v>
      </c>
      <c r="D8204">
        <v>4.7059059999999997</v>
      </c>
      <c r="E8204">
        <v>0.40096500000000002</v>
      </c>
      <c r="F8204" t="s">
        <v>73</v>
      </c>
      <c r="G8204">
        <v>-413.76310000000001</v>
      </c>
      <c r="H8204" s="1">
        <v>-4.3415559999999997E-6</v>
      </c>
      <c r="I8204">
        <v>34.997599999999998</v>
      </c>
      <c r="J8204">
        <v>-417.41950000000003</v>
      </c>
      <c r="K8204">
        <v>1.115032</v>
      </c>
      <c r="L8204">
        <v>38.699649999999998</v>
      </c>
      <c r="M8204">
        <v>0.35553000000000001</v>
      </c>
      <c r="N8204">
        <v>0</v>
      </c>
      <c r="O8204">
        <v>-0.93458289999999999</v>
      </c>
      <c r="P8204">
        <v>0.48472609999999999</v>
      </c>
      <c r="Q8204">
        <v>2.7863789999999999E-2</v>
      </c>
      <c r="R8204">
        <v>-0.87422199999999906</v>
      </c>
      <c r="S8204">
        <v>2.1727289999999999</v>
      </c>
      <c r="T8204">
        <v>-0.65202329999999997</v>
      </c>
      <c r="U8204">
        <v>-2.2511899999999998</v>
      </c>
      <c r="V8204">
        <v>-0.14268429999999999</v>
      </c>
      <c r="W8204">
        <v>3.8411540000000001E-2</v>
      </c>
      <c r="X8204">
        <v>0.98902259999999997</v>
      </c>
      <c r="Y8204">
        <v>-0.37769039999999998</v>
      </c>
      <c r="Z8204">
        <v>0.20538439999999999</v>
      </c>
      <c r="AA8204">
        <v>0.9028661</v>
      </c>
      <c r="AB8204">
        <v>29</v>
      </c>
      <c r="AC8204">
        <v>3.6564000000000099</v>
      </c>
      <c r="AD8204">
        <v>-1.1150363415560001</v>
      </c>
      <c r="AE8204">
        <v>-3.7020499999999998</v>
      </c>
      <c r="AF8204">
        <v>-2.0089265897196902</v>
      </c>
      <c r="AG8204">
        <v>-1.1150363415560001</v>
      </c>
      <c r="AH8204">
        <v>4.5511981310428</v>
      </c>
      <c r="AI8204">
        <v>102.63316947841</v>
      </c>
      <c r="AJ8204">
        <v>113.816955512988</v>
      </c>
      <c r="AK8204">
        <v>5.0982836831507203</v>
      </c>
      <c r="AL8204">
        <v>87.798639270362898</v>
      </c>
      <c r="AM8204">
        <v>98.209305389027406</v>
      </c>
      <c r="AN8204">
        <v>0.99999997959121001</v>
      </c>
    </row>
    <row r="8205" spans="1:40" x14ac:dyDescent="0.25">
      <c r="A8205" t="str">
        <f>"20190312150851637"</f>
        <v>20190312150851637</v>
      </c>
      <c r="B8205" t="str">
        <f>"1552374531628225"</f>
        <v>1552374531628225</v>
      </c>
      <c r="C8205" t="s">
        <v>40</v>
      </c>
      <c r="D8205">
        <v>4.6979579999999999</v>
      </c>
      <c r="E8205">
        <v>0.40097189999999999</v>
      </c>
      <c r="F8205" t="s">
        <v>73</v>
      </c>
      <c r="G8205">
        <v>-413.70069999999998</v>
      </c>
      <c r="H8205" s="1">
        <v>-4.4232030000000001E-6</v>
      </c>
      <c r="I8205">
        <v>34.873640000000002</v>
      </c>
      <c r="J8205">
        <v>-417.36110000000002</v>
      </c>
      <c r="K8205">
        <v>1.1150639999999901</v>
      </c>
      <c r="L8205">
        <v>38.55594</v>
      </c>
      <c r="M8205">
        <v>0.35872749999999998</v>
      </c>
      <c r="N8205">
        <v>0</v>
      </c>
      <c r="O8205">
        <v>-0.93336039999999998</v>
      </c>
      <c r="P8205">
        <v>0.48770839999999999</v>
      </c>
      <c r="Q8205">
        <v>2.7672720000000001E-2</v>
      </c>
      <c r="R8205">
        <v>-0.87256829999999996</v>
      </c>
      <c r="S8205">
        <v>2.1805729999999999</v>
      </c>
      <c r="T8205">
        <v>-0.65381069999999997</v>
      </c>
      <c r="U8205">
        <v>-2.2434080000000001</v>
      </c>
      <c r="V8205">
        <v>-0.14267360000000001</v>
      </c>
      <c r="W8205">
        <v>3.8217599999999997E-2</v>
      </c>
      <c r="X8205">
        <v>0.98903169999999996</v>
      </c>
      <c r="Y8205">
        <v>-0.37764700000000001</v>
      </c>
      <c r="Z8205">
        <v>0.2058178</v>
      </c>
      <c r="AA8205">
        <v>0.90278550000000002</v>
      </c>
      <c r="AB8205">
        <v>29</v>
      </c>
      <c r="AC8205">
        <v>3.6604000000000299</v>
      </c>
      <c r="AD8205">
        <v>-1.1150684232029999</v>
      </c>
      <c r="AE8205">
        <v>-3.6822999999999899</v>
      </c>
      <c r="AF8205">
        <v>-2.0032925309876002</v>
      </c>
      <c r="AG8205">
        <v>-1.1150684232029999</v>
      </c>
      <c r="AH8205">
        <v>4.5409214807662099</v>
      </c>
      <c r="AI8205">
        <v>102.662285988176</v>
      </c>
      <c r="AJ8205">
        <v>113.805360697423</v>
      </c>
      <c r="AK8205">
        <v>5.0868975267464496</v>
      </c>
      <c r="AL8205">
        <v>87.8097594729674</v>
      </c>
      <c r="AM8205">
        <v>98.208623658860802</v>
      </c>
      <c r="AN8205">
        <v>1.0000000223458001</v>
      </c>
    </row>
    <row r="8206" spans="1:40" x14ac:dyDescent="0.25">
      <c r="A8206" t="str">
        <f>"20190312150851649"</f>
        <v>20190312150851649</v>
      </c>
      <c r="B8206" t="str">
        <f>"1552374531637985"</f>
        <v>1552374531637985</v>
      </c>
      <c r="C8206" t="s">
        <v>40</v>
      </c>
      <c r="D8206">
        <v>4.6853059999999997</v>
      </c>
      <c r="E8206">
        <v>0.40082020000000002</v>
      </c>
      <c r="F8206" t="s">
        <v>73</v>
      </c>
      <c r="G8206">
        <v>-413.63279999999997</v>
      </c>
      <c r="H8206" s="1">
        <v>-4.5075660000000002E-6</v>
      </c>
      <c r="I8206">
        <v>34.74689</v>
      </c>
      <c r="J8206">
        <v>-417.3057</v>
      </c>
      <c r="K8206">
        <v>1.115094</v>
      </c>
      <c r="L8206">
        <v>38.420529999999999</v>
      </c>
      <c r="M8206">
        <v>0.36175449999999998</v>
      </c>
      <c r="N8206">
        <v>0</v>
      </c>
      <c r="O8206">
        <v>-0.93219110000000005</v>
      </c>
      <c r="P8206">
        <v>0.49025479999999999</v>
      </c>
      <c r="Q8206">
        <v>2.713078E-2</v>
      </c>
      <c r="R8206">
        <v>-0.87115699999999996</v>
      </c>
      <c r="S8206">
        <v>2.1883539999999999</v>
      </c>
      <c r="T8206">
        <v>-0.65449860000000004</v>
      </c>
      <c r="U8206">
        <v>-2.2357480000000001</v>
      </c>
      <c r="V8206">
        <v>-0.14234260000000001</v>
      </c>
      <c r="W8206">
        <v>3.7678209999999997E-2</v>
      </c>
      <c r="X8206">
        <v>0.98910010000000004</v>
      </c>
      <c r="Y8206">
        <v>-0.3777816</v>
      </c>
      <c r="Z8206">
        <v>0.20592369999999999</v>
      </c>
      <c r="AA8206">
        <v>0.90270510000000004</v>
      </c>
      <c r="AB8206">
        <v>29</v>
      </c>
      <c r="AC8206">
        <v>3.6729000000000198</v>
      </c>
      <c r="AD8206">
        <v>-1.115098507566</v>
      </c>
      <c r="AE8206">
        <v>-3.67363999999999</v>
      </c>
      <c r="AF8206">
        <v>-2.0027667434349201</v>
      </c>
      <c r="AG8206">
        <v>-1.115098507566</v>
      </c>
      <c r="AH8206">
        <v>4.5442009956136102</v>
      </c>
      <c r="AI8206">
        <v>102.65573509503299</v>
      </c>
      <c r="AJ8206">
        <v>113.78453784918101</v>
      </c>
      <c r="AK8206">
        <v>5.0896249369399102</v>
      </c>
      <c r="AL8206">
        <v>87.840686547862006</v>
      </c>
      <c r="AM8206">
        <v>98.189279769581006</v>
      </c>
      <c r="AN8206">
        <v>1.00000003555178</v>
      </c>
    </row>
    <row r="8207" spans="1:40" x14ac:dyDescent="0.25">
      <c r="A8207" t="str">
        <f>"20190312150851661"</f>
        <v>20190312150851661</v>
      </c>
      <c r="B8207" t="str">
        <f>"1552374531658482"</f>
        <v>1552374531658482</v>
      </c>
      <c r="C8207" t="s">
        <v>40</v>
      </c>
      <c r="D8207">
        <v>4.7286640000000002</v>
      </c>
      <c r="E8207">
        <v>0.40065230000000002</v>
      </c>
      <c r="F8207" t="s">
        <v>73</v>
      </c>
      <c r="G8207">
        <v>-413.58909999999997</v>
      </c>
      <c r="H8207" s="1">
        <v>-4.5709130000000003E-6</v>
      </c>
      <c r="I8207">
        <v>34.648800000000001</v>
      </c>
      <c r="J8207">
        <v>-417.24590000000001</v>
      </c>
      <c r="K8207">
        <v>1.1151249999999999</v>
      </c>
      <c r="L8207">
        <v>38.275849999999998</v>
      </c>
      <c r="M8207">
        <v>0.36500840000000001</v>
      </c>
      <c r="N8207">
        <v>0</v>
      </c>
      <c r="O8207">
        <v>-0.93092169999999996</v>
      </c>
      <c r="P8207">
        <v>0.49320049999999999</v>
      </c>
      <c r="Q8207">
        <v>2.679726E-2</v>
      </c>
      <c r="R8207">
        <v>-0.86950269999999996</v>
      </c>
      <c r="S8207">
        <v>2.1958920000000002</v>
      </c>
      <c r="T8207">
        <v>-0.65883530000000001</v>
      </c>
      <c r="U8207">
        <v>-2.2284549999999999</v>
      </c>
      <c r="V8207">
        <v>-0.14223069999999999</v>
      </c>
      <c r="W8207">
        <v>3.7343229999999998E-2</v>
      </c>
      <c r="X8207">
        <v>0.98912889999999998</v>
      </c>
      <c r="Y8207">
        <v>-0.3773956</v>
      </c>
      <c r="Z8207">
        <v>0.2070921</v>
      </c>
      <c r="AA8207">
        <v>0.90259929999999999</v>
      </c>
      <c r="AB8207">
        <v>29</v>
      </c>
      <c r="AC8207">
        <v>3.6568000000000298</v>
      </c>
      <c r="AD8207">
        <v>-1.115129570913</v>
      </c>
      <c r="AE8207">
        <v>-3.6270499999999899</v>
      </c>
      <c r="AF8207">
        <v>-1.98729401506893</v>
      </c>
      <c r="AG8207">
        <v>-1.115129570913</v>
      </c>
      <c r="AH8207">
        <v>4.5006513088513396</v>
      </c>
      <c r="AI8207">
        <v>102.770768707081</v>
      </c>
      <c r="AJ8207">
        <v>113.824190665926</v>
      </c>
      <c r="AK8207">
        <v>5.0446718095549796</v>
      </c>
      <c r="AL8207">
        <v>87.859893002968093</v>
      </c>
      <c r="AM8207">
        <v>98.182694107177497</v>
      </c>
      <c r="AN8207">
        <v>1.00000003483226</v>
      </c>
    </row>
    <row r="8208" spans="1:40" x14ac:dyDescent="0.25">
      <c r="A8208" t="str">
        <f>"20190312150851674"</f>
        <v>20190312150851674</v>
      </c>
      <c r="B8208" t="str">
        <f>"1552374531668241"</f>
        <v>1552374531668241</v>
      </c>
      <c r="C8208" t="s">
        <v>40</v>
      </c>
      <c r="D8208">
        <v>4.6896370000000003</v>
      </c>
      <c r="E8208">
        <v>0.4005513</v>
      </c>
      <c r="F8208" t="s">
        <v>73</v>
      </c>
      <c r="G8208">
        <v>-413.52080000000001</v>
      </c>
      <c r="H8208" s="1">
        <v>-4.6507250000000003E-6</v>
      </c>
      <c r="I8208">
        <v>34.524279999999997</v>
      </c>
      <c r="J8208">
        <v>-417.18490000000003</v>
      </c>
      <c r="K8208">
        <v>1.115151</v>
      </c>
      <c r="L8208">
        <v>38.130130000000001</v>
      </c>
      <c r="M8208">
        <v>0.36831360000000002</v>
      </c>
      <c r="N8208">
        <v>0</v>
      </c>
      <c r="O8208">
        <v>-0.92961890000000003</v>
      </c>
      <c r="P8208">
        <v>0.49597999999999998</v>
      </c>
      <c r="Q8208">
        <v>2.6725269999999999E-2</v>
      </c>
      <c r="R8208">
        <v>-0.86792289999999905</v>
      </c>
      <c r="S8208">
        <v>2.2044980000000001</v>
      </c>
      <c r="T8208">
        <v>-0.65992669999999998</v>
      </c>
      <c r="U8208">
        <v>-2.220154</v>
      </c>
      <c r="V8208">
        <v>-0.14188199999999901</v>
      </c>
      <c r="W8208">
        <v>3.727366E-2</v>
      </c>
      <c r="X8208">
        <v>0.98918159999999999</v>
      </c>
      <c r="Y8208">
        <v>-0.37752849999999999</v>
      </c>
      <c r="Z8208">
        <v>0.20729030000000001</v>
      </c>
      <c r="AA8208">
        <v>0.90249820000000003</v>
      </c>
      <c r="AB8208">
        <v>29</v>
      </c>
      <c r="AC8208">
        <v>3.6641000000000101</v>
      </c>
      <c r="AD8208">
        <v>-1.115155650725</v>
      </c>
      <c r="AE8208">
        <v>-3.6058500000000002</v>
      </c>
      <c r="AF8208">
        <v>-1.9848927471475899</v>
      </c>
      <c r="AG8208">
        <v>-1.115155650725</v>
      </c>
      <c r="AH8208">
        <v>4.4906557691831699</v>
      </c>
      <c r="AI8208">
        <v>102.796498869685</v>
      </c>
      <c r="AJ8208">
        <v>113.845673062438</v>
      </c>
      <c r="AK8208">
        <v>5.03481485064954</v>
      </c>
      <c r="AL8208">
        <v>87.863881842731203</v>
      </c>
      <c r="AM8208">
        <v>98.162474656215196</v>
      </c>
      <c r="AN8208">
        <v>1.00000003271617</v>
      </c>
    </row>
    <row r="8209" spans="1:40" x14ac:dyDescent="0.25">
      <c r="A8209" t="str">
        <f>"20190312150851686"</f>
        <v>20190312150851686</v>
      </c>
      <c r="B8209" t="str">
        <f>"1552374531678001"</f>
        <v>1552374531678001</v>
      </c>
      <c r="C8209" t="s">
        <v>40</v>
      </c>
      <c r="D8209">
        <v>4.676253</v>
      </c>
      <c r="E8209">
        <v>0.40038679999999999</v>
      </c>
      <c r="F8209" t="s">
        <v>73</v>
      </c>
      <c r="G8209">
        <v>-413.46440000000001</v>
      </c>
      <c r="H8209" s="1">
        <v>-4.7217110000000001E-6</v>
      </c>
      <c r="I8209">
        <v>34.409509999999997</v>
      </c>
      <c r="J8209">
        <v>-417.11930000000001</v>
      </c>
      <c r="K8209">
        <v>1.1151899999999999</v>
      </c>
      <c r="L8209">
        <v>37.974550000000001</v>
      </c>
      <c r="M8209">
        <v>0.3718573</v>
      </c>
      <c r="N8209">
        <v>0</v>
      </c>
      <c r="O8209">
        <v>-0.928207</v>
      </c>
      <c r="P8209">
        <v>0.49955729999999998</v>
      </c>
      <c r="Q8209">
        <v>2.6413820000000001E-2</v>
      </c>
      <c r="R8209">
        <v>-0.86587819999999904</v>
      </c>
      <c r="S8209">
        <v>2.2125240000000002</v>
      </c>
      <c r="T8209">
        <v>-0.66316339999999996</v>
      </c>
      <c r="U8209">
        <v>-2.2125849999999998</v>
      </c>
      <c r="V8209">
        <v>-0.14218599999999901</v>
      </c>
      <c r="W8209">
        <v>3.6954880000000002E-2</v>
      </c>
      <c r="X8209">
        <v>0.98914990000000003</v>
      </c>
      <c r="Y8209">
        <v>-0.37705440000000001</v>
      </c>
      <c r="Z8209">
        <v>0.2080871</v>
      </c>
      <c r="AA8209">
        <v>0.90251300000000001</v>
      </c>
      <c r="AB8209">
        <v>29</v>
      </c>
      <c r="AC8209">
        <v>3.6548999999999898</v>
      </c>
      <c r="AD8209">
        <v>-1.1151947217110001</v>
      </c>
      <c r="AE8209">
        <v>-3.5650400000000002</v>
      </c>
      <c r="AF8209">
        <v>-1.9728545009726299</v>
      </c>
      <c r="AG8209">
        <v>-1.1151947217110001</v>
      </c>
      <c r="AH8209">
        <v>4.4559675077699499</v>
      </c>
      <c r="AI8209">
        <v>102.88982730636801</v>
      </c>
      <c r="AJ8209">
        <v>113.881097453998</v>
      </c>
      <c r="AK8209">
        <v>4.9991459850300002</v>
      </c>
      <c r="AL8209">
        <v>87.882159163237304</v>
      </c>
      <c r="AM8209">
        <v>98.179985957109295</v>
      </c>
      <c r="AN8209">
        <v>1.0000000232109101</v>
      </c>
    </row>
    <row r="8210" spans="1:40" x14ac:dyDescent="0.25">
      <c r="A8210" t="str">
        <f>"20190312150851699"</f>
        <v>20190312150851699</v>
      </c>
      <c r="B8210" t="str">
        <f>"1552374531687836"</f>
        <v>1552374531687836</v>
      </c>
      <c r="C8210" t="s">
        <v>40</v>
      </c>
      <c r="D8210">
        <v>4.6874349999999998</v>
      </c>
      <c r="E8210">
        <v>0.40022799999999997</v>
      </c>
      <c r="F8210" t="s">
        <v>73</v>
      </c>
      <c r="G8210">
        <v>-413.40370000000001</v>
      </c>
      <c r="H8210" s="1">
        <v>-4.7944579999999997E-6</v>
      </c>
      <c r="I8210">
        <v>34.293120000000002</v>
      </c>
      <c r="J8210">
        <v>-417.05549999999999</v>
      </c>
      <c r="K8210">
        <v>1.115224</v>
      </c>
      <c r="L8210">
        <v>37.82535</v>
      </c>
      <c r="M8210">
        <v>0.37528479999999997</v>
      </c>
      <c r="N8210">
        <v>0</v>
      </c>
      <c r="O8210">
        <v>-0.92682620000000004</v>
      </c>
      <c r="P8210">
        <v>0.50222089999999997</v>
      </c>
      <c r="Q8210">
        <v>2.6277559999999998E-2</v>
      </c>
      <c r="R8210">
        <v>-0.86434009999999994</v>
      </c>
      <c r="S8210">
        <v>2.2229610000000002</v>
      </c>
      <c r="T8210">
        <v>-0.66720459999999904</v>
      </c>
      <c r="U8210">
        <v>-2.2025450000000002</v>
      </c>
      <c r="V8210">
        <v>-0.1415759</v>
      </c>
      <c r="W8210">
        <v>3.6824309999999999E-2</v>
      </c>
      <c r="X8210">
        <v>0.98924230000000002</v>
      </c>
      <c r="Y8210">
        <v>-0.37763920000000001</v>
      </c>
      <c r="Z8210">
        <v>0.20917240000000001</v>
      </c>
      <c r="AA8210">
        <v>0.90201750000000003</v>
      </c>
      <c r="AB8210">
        <v>29</v>
      </c>
      <c r="AC8210">
        <v>3.65179999999997</v>
      </c>
      <c r="AD8210">
        <v>-1.1152287944579999</v>
      </c>
      <c r="AE8210">
        <v>-3.53222999999999</v>
      </c>
      <c r="AF8210">
        <v>-1.9644939234279</v>
      </c>
      <c r="AG8210">
        <v>-1.1152287944579999</v>
      </c>
      <c r="AH8210">
        <v>4.4310807119623998</v>
      </c>
      <c r="AI8210">
        <v>102.957385306136</v>
      </c>
      <c r="AJ8210">
        <v>113.90982626006</v>
      </c>
      <c r="AK8210">
        <v>4.9736754935458602</v>
      </c>
      <c r="AL8210">
        <v>87.889645418074593</v>
      </c>
      <c r="AM8210">
        <v>98.1446081851456</v>
      </c>
      <c r="AN8210">
        <v>1.0000000466885299</v>
      </c>
    </row>
    <row r="8211" spans="1:40" x14ac:dyDescent="0.25">
      <c r="A8211" t="str">
        <f>"20190312150851715"</f>
        <v>20190312150851715</v>
      </c>
      <c r="B8211" t="str">
        <f>"1552374531708257"</f>
        <v>1552374531708257</v>
      </c>
      <c r="C8211" t="s">
        <v>40</v>
      </c>
      <c r="D8211">
        <v>4.656536</v>
      </c>
      <c r="E8211">
        <v>0.39999709999999999</v>
      </c>
      <c r="F8211" t="s">
        <v>73</v>
      </c>
      <c r="G8211">
        <v>-413.33460000000002</v>
      </c>
      <c r="H8211" s="1">
        <v>-4.8753609999999999E-6</v>
      </c>
      <c r="I8211">
        <v>34.16442</v>
      </c>
      <c r="J8211">
        <v>-416.98200000000003</v>
      </c>
      <c r="K8211">
        <v>1.1152599999999999</v>
      </c>
      <c r="L8211">
        <v>37.655209999999997</v>
      </c>
      <c r="M8211">
        <v>0.37922109999999998</v>
      </c>
      <c r="N8211">
        <v>0</v>
      </c>
      <c r="O8211">
        <v>-0.92522260000000001</v>
      </c>
      <c r="P8211">
        <v>0.50619250000000005</v>
      </c>
      <c r="Q8211">
        <v>2.625363E-2</v>
      </c>
      <c r="R8211">
        <v>-0.86202099999999904</v>
      </c>
      <c r="S8211">
        <v>2.230896</v>
      </c>
      <c r="T8211">
        <v>-0.66863819999999996</v>
      </c>
      <c r="U8211">
        <v>-2.1949160000000001</v>
      </c>
      <c r="V8211">
        <v>-0.14192469999999999</v>
      </c>
      <c r="W8211">
        <v>3.6791440000000002E-2</v>
      </c>
      <c r="X8211">
        <v>0.98919349999999995</v>
      </c>
      <c r="Y8211">
        <v>-0.37684400000000001</v>
      </c>
      <c r="Z8211">
        <v>0.20938519999999999</v>
      </c>
      <c r="AA8211">
        <v>0.90230069999999996</v>
      </c>
      <c r="AB8211">
        <v>29</v>
      </c>
      <c r="AC8211">
        <v>3.6473999999999398</v>
      </c>
      <c r="AD8211">
        <v>-1.1152648753609999</v>
      </c>
      <c r="AE8211">
        <v>-3.4907899999999898</v>
      </c>
      <c r="AF8211">
        <v>-1.9556047911843</v>
      </c>
      <c r="AG8211">
        <v>-1.1152648753609999</v>
      </c>
      <c r="AH8211">
        <v>4.3986409296064899</v>
      </c>
      <c r="AI8211">
        <v>103.044258129152</v>
      </c>
      <c r="AJ8211">
        <v>113.969594302563</v>
      </c>
      <c r="AK8211">
        <v>4.9412799828714897</v>
      </c>
      <c r="AL8211">
        <v>87.891529920415095</v>
      </c>
      <c r="AM8211">
        <v>98.164801171161699</v>
      </c>
      <c r="AN8211">
        <v>1.0000000054847999</v>
      </c>
    </row>
    <row r="8212" spans="1:40" x14ac:dyDescent="0.25">
      <c r="A8212" t="str">
        <f>"20190312150851728"</f>
        <v>20190312150851728</v>
      </c>
      <c r="B8212" t="str">
        <f>"1552374531718017"</f>
        <v>1552374531718017</v>
      </c>
      <c r="C8212" t="s">
        <v>40</v>
      </c>
      <c r="D8212">
        <v>4.6703099999999997</v>
      </c>
      <c r="E8212">
        <v>0.40013009999999999</v>
      </c>
      <c r="F8212" t="s">
        <v>73</v>
      </c>
      <c r="G8212">
        <v>-413.25330000000002</v>
      </c>
      <c r="H8212" s="1">
        <v>-4.9646449999999996E-6</v>
      </c>
      <c r="I8212">
        <v>34.024560000000001</v>
      </c>
      <c r="J8212">
        <v>-416.91090000000003</v>
      </c>
      <c r="K8212">
        <v>1.115294</v>
      </c>
      <c r="L8212">
        <v>37.492280000000001</v>
      </c>
      <c r="M8212">
        <v>0.38300899999999999</v>
      </c>
      <c r="N8212">
        <v>0</v>
      </c>
      <c r="O8212">
        <v>-0.92366079999999995</v>
      </c>
      <c r="P8212">
        <v>0.50960550000000004</v>
      </c>
      <c r="Q8212">
        <v>2.6174920000000001E-2</v>
      </c>
      <c r="R8212">
        <v>-0.8600101</v>
      </c>
      <c r="S8212">
        <v>2.242645</v>
      </c>
      <c r="T8212">
        <v>-0.67079529999999998</v>
      </c>
      <c r="U8212">
        <v>-2.183716</v>
      </c>
      <c r="V8212">
        <v>-0.14179349999999999</v>
      </c>
      <c r="W8212">
        <v>3.6710899999999998E-2</v>
      </c>
      <c r="X8212">
        <v>0.98921530000000002</v>
      </c>
      <c r="Y8212">
        <v>-0.37765169999999998</v>
      </c>
      <c r="Z8212">
        <v>0.20987230000000001</v>
      </c>
      <c r="AA8212">
        <v>0.90184969999999998</v>
      </c>
      <c r="AB8212">
        <v>29</v>
      </c>
      <c r="AC8212">
        <v>3.6576</v>
      </c>
      <c r="AD8212">
        <v>-1.115298964645</v>
      </c>
      <c r="AE8212">
        <v>-3.4677199999999999</v>
      </c>
      <c r="AF8212">
        <v>-1.9546604078480101</v>
      </c>
      <c r="AG8212">
        <v>-1.115298964645</v>
      </c>
      <c r="AH8212">
        <v>4.3893193417207899</v>
      </c>
      <c r="AI8212">
        <v>103.067978294451</v>
      </c>
      <c r="AJ8212">
        <v>114.004461226289</v>
      </c>
      <c r="AK8212">
        <v>4.9326172945152598</v>
      </c>
      <c r="AL8212">
        <v>87.896147626837305</v>
      </c>
      <c r="AM8212">
        <v>98.157177632089798</v>
      </c>
      <c r="AN8212">
        <v>0.99999999828757502</v>
      </c>
    </row>
    <row r="8213" spans="1:40" x14ac:dyDescent="0.25">
      <c r="A8213" t="str">
        <f>"20190312150851741"</f>
        <v>20190312150851741</v>
      </c>
      <c r="B8213" t="str">
        <f>"1552374531738513"</f>
        <v>1552374531738513</v>
      </c>
      <c r="C8213" t="s">
        <v>40</v>
      </c>
      <c r="D8213">
        <v>4.6142890000000003</v>
      </c>
      <c r="E8213">
        <v>0.3998004</v>
      </c>
      <c r="F8213" t="s">
        <v>73</v>
      </c>
      <c r="G8213">
        <v>-413.16820000000001</v>
      </c>
      <c r="H8213" s="1">
        <v>-5.0600080000000001E-6</v>
      </c>
      <c r="I8213">
        <v>33.874459999999999</v>
      </c>
      <c r="J8213">
        <v>-416.83789999999999</v>
      </c>
      <c r="K8213">
        <v>1.115335</v>
      </c>
      <c r="L8213">
        <v>37.327150000000003</v>
      </c>
      <c r="M8213">
        <v>0.38687880000000002</v>
      </c>
      <c r="N8213">
        <v>0</v>
      </c>
      <c r="O8213">
        <v>-0.92204649999999999</v>
      </c>
      <c r="P8213">
        <v>0.5131791</v>
      </c>
      <c r="Q8213">
        <v>2.6200149999999998E-2</v>
      </c>
      <c r="R8213">
        <v>-0.85788120000000001</v>
      </c>
      <c r="S8213">
        <v>2.2503660000000001</v>
      </c>
      <c r="T8213">
        <v>-0.67059829999999998</v>
      </c>
      <c r="U8213">
        <v>-2.1752929999999999</v>
      </c>
      <c r="V8213">
        <v>-0.14176459999999999</v>
      </c>
      <c r="W8213">
        <v>3.6732340000000002E-2</v>
      </c>
      <c r="X8213">
        <v>0.98921870000000001</v>
      </c>
      <c r="Y8213">
        <v>-0.37710159999999998</v>
      </c>
      <c r="Z8213">
        <v>0.20963809999999999</v>
      </c>
      <c r="AA8213">
        <v>0.90213429999999994</v>
      </c>
      <c r="AB8213">
        <v>29</v>
      </c>
      <c r="AC8213">
        <v>3.66969999999997</v>
      </c>
      <c r="AD8213">
        <v>-1.1153400600079999</v>
      </c>
      <c r="AE8213">
        <v>-3.45269</v>
      </c>
      <c r="AF8213">
        <v>-1.9523561171672701</v>
      </c>
      <c r="AG8213">
        <v>-1.1153400600079999</v>
      </c>
      <c r="AH8213">
        <v>4.3885888647799502</v>
      </c>
      <c r="AI8213">
        <v>103.07265844152801</v>
      </c>
      <c r="AJ8213">
        <v>113.98289644680401</v>
      </c>
      <c r="AK8213">
        <v>4.9310637880450896</v>
      </c>
      <c r="AL8213">
        <v>87.894918488348495</v>
      </c>
      <c r="AM8213">
        <v>98.1555097707204</v>
      </c>
      <c r="AN8213">
        <v>1.0000000515223599</v>
      </c>
    </row>
    <row r="8214" spans="1:40" x14ac:dyDescent="0.25">
      <c r="A8214" t="str">
        <f>"20190312150851756"</f>
        <v>20190312150851756</v>
      </c>
      <c r="B8214" t="str">
        <f>"1552374531748273"</f>
        <v>1552374531748273</v>
      </c>
      <c r="C8214" t="s">
        <v>40</v>
      </c>
      <c r="D8214">
        <v>4.6442350000000001</v>
      </c>
      <c r="E8214">
        <v>0.3997001</v>
      </c>
      <c r="F8214" t="s">
        <v>73</v>
      </c>
      <c r="G8214">
        <v>-413.0933</v>
      </c>
      <c r="H8214" s="1">
        <v>-5.1433259999999998E-6</v>
      </c>
      <c r="I8214">
        <v>33.743519999999997</v>
      </c>
      <c r="J8214">
        <v>-416.76549999999997</v>
      </c>
      <c r="K8214">
        <v>1.115367</v>
      </c>
      <c r="L8214">
        <v>37.165590000000002</v>
      </c>
      <c r="M8214">
        <v>0.39069389999999998</v>
      </c>
      <c r="N8214">
        <v>0</v>
      </c>
      <c r="O8214">
        <v>-0.92043640000000004</v>
      </c>
      <c r="P8214">
        <v>0.51735399999999998</v>
      </c>
      <c r="Q8214">
        <v>2.66015E-2</v>
      </c>
      <c r="R8214">
        <v>-0.85535810000000001</v>
      </c>
      <c r="S8214">
        <v>2.2618100000000001</v>
      </c>
      <c r="T8214">
        <v>-0.67368719999999904</v>
      </c>
      <c r="U8214">
        <v>-2.1645810000000001</v>
      </c>
      <c r="V8214">
        <v>-0.14250260000000001</v>
      </c>
      <c r="W8214">
        <v>3.7118789999999999E-2</v>
      </c>
      <c r="X8214">
        <v>0.98909820000000004</v>
      </c>
      <c r="Y8214">
        <v>-0.37766179999999999</v>
      </c>
      <c r="Z8214">
        <v>0.210367</v>
      </c>
      <c r="AA8214">
        <v>0.90173020000000004</v>
      </c>
      <c r="AB8214">
        <v>29</v>
      </c>
      <c r="AC8214">
        <v>3.6721999999999699</v>
      </c>
      <c r="AD8214">
        <v>-1.115372143326</v>
      </c>
      <c r="AE8214">
        <v>-3.42206999999999</v>
      </c>
      <c r="AF8214">
        <v>-1.9470651392118801</v>
      </c>
      <c r="AG8214">
        <v>-1.115372143326</v>
      </c>
      <c r="AH8214">
        <v>4.36913000453068</v>
      </c>
      <c r="AI8214">
        <v>103.12560486833399</v>
      </c>
      <c r="AJ8214">
        <v>114.019730984028</v>
      </c>
      <c r="AK8214">
        <v>4.9116610908054401</v>
      </c>
      <c r="AL8214">
        <v>87.872761362701794</v>
      </c>
      <c r="AM8214">
        <v>98.198375388870303</v>
      </c>
      <c r="AN8214">
        <v>1.0000000224105301</v>
      </c>
    </row>
    <row r="8215" spans="1:40" x14ac:dyDescent="0.25">
      <c r="A8215" t="str">
        <f>"20190312150851766"</f>
        <v>20190312150851766</v>
      </c>
      <c r="B8215" t="str">
        <f>"1552374531758033"</f>
        <v>1552374531758033</v>
      </c>
      <c r="C8215" t="s">
        <v>40</v>
      </c>
      <c r="D8215">
        <v>4.6781199999999998</v>
      </c>
      <c r="E8215">
        <v>0.39968229999999999</v>
      </c>
      <c r="F8215" t="s">
        <v>73</v>
      </c>
      <c r="G8215">
        <v>-413.00569999999999</v>
      </c>
      <c r="H8215" s="1">
        <v>-5.2338779999999998E-6</v>
      </c>
      <c r="I8215">
        <v>33.603940000000001</v>
      </c>
      <c r="J8215">
        <v>-416.70519999999999</v>
      </c>
      <c r="K8215">
        <v>1.115399</v>
      </c>
      <c r="L8215">
        <v>37.031739999999999</v>
      </c>
      <c r="M8215">
        <v>0.39386719999999997</v>
      </c>
      <c r="N8215">
        <v>0</v>
      </c>
      <c r="O8215">
        <v>-0.91908290000000004</v>
      </c>
      <c r="P8215">
        <v>0.52043589999999995</v>
      </c>
      <c r="Q8215">
        <v>2.6519859999999999E-2</v>
      </c>
      <c r="R8215">
        <v>-0.85348889999999999</v>
      </c>
      <c r="S8215">
        <v>2.273193</v>
      </c>
      <c r="T8215">
        <v>-0.67435669999999903</v>
      </c>
      <c r="U8215">
        <v>-2.153381</v>
      </c>
      <c r="V8215">
        <v>-0.1426578</v>
      </c>
      <c r="W8215">
        <v>3.7031590000000003E-2</v>
      </c>
      <c r="X8215">
        <v>0.98907909999999999</v>
      </c>
      <c r="Y8215">
        <v>-0.37905489999999997</v>
      </c>
      <c r="Z8215">
        <v>0.21045420000000001</v>
      </c>
      <c r="AA8215">
        <v>0.90112510000000001</v>
      </c>
      <c r="AB8215">
        <v>29</v>
      </c>
      <c r="AC8215">
        <v>3.6995</v>
      </c>
      <c r="AD8215">
        <v>-1.1154042338779999</v>
      </c>
      <c r="AE8215">
        <v>-3.4277999999999902</v>
      </c>
      <c r="AF8215">
        <v>-1.95460506316808</v>
      </c>
      <c r="AG8215">
        <v>-1.1154042338779999</v>
      </c>
      <c r="AH8215">
        <v>4.3930306493485496</v>
      </c>
      <c r="AI8215">
        <v>103.060328667219</v>
      </c>
      <c r="AJ8215">
        <v>113.985867886146</v>
      </c>
      <c r="AK8215">
        <v>4.9359219852050904</v>
      </c>
      <c r="AL8215">
        <v>87.877761000190603</v>
      </c>
      <c r="AM8215">
        <v>98.207339020106403</v>
      </c>
      <c r="AN8215">
        <v>1.00000002630778</v>
      </c>
    </row>
    <row r="8216" spans="1:40" x14ac:dyDescent="0.25">
      <c r="A8216" t="str">
        <f>"20190312150851777"</f>
        <v>20190312150851777</v>
      </c>
      <c r="B8216" t="str">
        <f>"1552374531767793"</f>
        <v>1552374531767793</v>
      </c>
      <c r="C8216" t="s">
        <v>40</v>
      </c>
      <c r="D8216">
        <v>4.640911</v>
      </c>
      <c r="E8216">
        <v>0.399644</v>
      </c>
      <c r="F8216" t="s">
        <v>73</v>
      </c>
      <c r="G8216">
        <v>-412.9486</v>
      </c>
      <c r="H8216" s="1">
        <v>-5.2996680000000002E-6</v>
      </c>
      <c r="I8216">
        <v>33.499659999999999</v>
      </c>
      <c r="J8216">
        <v>-416.64449999999999</v>
      </c>
      <c r="K8216">
        <v>1.1154250000000001</v>
      </c>
      <c r="L8216">
        <v>36.89902</v>
      </c>
      <c r="M8216">
        <v>0.39703820000000001</v>
      </c>
      <c r="N8216">
        <v>0</v>
      </c>
      <c r="O8216">
        <v>-0.91771760000000002</v>
      </c>
      <c r="P8216">
        <v>0.52381160000000004</v>
      </c>
      <c r="Q8216">
        <v>2.6614140000000001E-2</v>
      </c>
      <c r="R8216">
        <v>-0.85141840000000002</v>
      </c>
      <c r="S8216">
        <v>2.2812809999999999</v>
      </c>
      <c r="T8216">
        <v>-0.67736180000000001</v>
      </c>
      <c r="U8216">
        <v>-2.1449579999999999</v>
      </c>
      <c r="V8216">
        <v>-0.14316479999999901</v>
      </c>
      <c r="W8216">
        <v>3.7114029999999999E-2</v>
      </c>
      <c r="X8216">
        <v>0.98900270000000001</v>
      </c>
      <c r="Y8216">
        <v>-0.37909769999999998</v>
      </c>
      <c r="Z8216">
        <v>0.2112021</v>
      </c>
      <c r="AA8216">
        <v>0.90093210000000001</v>
      </c>
      <c r="AB8216">
        <v>29</v>
      </c>
      <c r="AC8216">
        <v>3.6958999999999902</v>
      </c>
      <c r="AD8216">
        <v>-1.1154302996679999</v>
      </c>
      <c r="AE8216">
        <v>-3.3993600000000002</v>
      </c>
      <c r="AF8216">
        <v>-1.9462427647431999</v>
      </c>
      <c r="AG8216">
        <v>-1.1154302996679999</v>
      </c>
      <c r="AH8216">
        <v>4.3717109668526701</v>
      </c>
      <c r="AI8216">
        <v>103.120908330498</v>
      </c>
      <c r="AJ8216">
        <v>113.998158461862</v>
      </c>
      <c r="AK8216">
        <v>4.9136445160830098</v>
      </c>
      <c r="AL8216">
        <v>87.873034179675997</v>
      </c>
      <c r="AM8216">
        <v>98.236735613186994</v>
      </c>
      <c r="AN8216">
        <v>0.999999975894585</v>
      </c>
    </row>
    <row r="8217" spans="1:40" x14ac:dyDescent="0.25">
      <c r="A8217" t="str">
        <f>"20190312150851790"</f>
        <v>20190312150851790</v>
      </c>
      <c r="B8217" t="str">
        <f>"1552374531778530"</f>
        <v>1552374531778530</v>
      </c>
      <c r="C8217" t="s">
        <v>40</v>
      </c>
      <c r="D8217">
        <v>4.619332</v>
      </c>
      <c r="E8217">
        <v>0.39956150000000001</v>
      </c>
      <c r="F8217" t="s">
        <v>73</v>
      </c>
      <c r="G8217">
        <v>-412.88600000000002</v>
      </c>
      <c r="H8217" s="1">
        <v>-5.3678630000000003E-6</v>
      </c>
      <c r="I8217">
        <v>33.393090000000001</v>
      </c>
      <c r="J8217">
        <v>-416.58249999999998</v>
      </c>
      <c r="K8217">
        <v>1.1154500000000001</v>
      </c>
      <c r="L8217">
        <v>36.764279999999999</v>
      </c>
      <c r="M8217">
        <v>0.40027220000000002</v>
      </c>
      <c r="N8217">
        <v>0</v>
      </c>
      <c r="O8217">
        <v>-0.9163114</v>
      </c>
      <c r="P8217">
        <v>0.52683990000000003</v>
      </c>
      <c r="Q8217">
        <v>2.6743340000000001E-2</v>
      </c>
      <c r="R8217">
        <v>-0.84954399999999997</v>
      </c>
      <c r="S8217">
        <v>2.2898860000000001</v>
      </c>
      <c r="T8217">
        <v>-0.67956629999999996</v>
      </c>
      <c r="U8217">
        <v>-2.1359560000000002</v>
      </c>
      <c r="V8217">
        <v>-0.1432042</v>
      </c>
      <c r="W8217">
        <v>3.7237920000000001E-2</v>
      </c>
      <c r="X8217">
        <v>0.98899239999999999</v>
      </c>
      <c r="Y8217">
        <v>-0.37933470000000002</v>
      </c>
      <c r="Z8217">
        <v>0.2117107</v>
      </c>
      <c r="AA8217">
        <v>0.90071290000000004</v>
      </c>
      <c r="AB8217">
        <v>29</v>
      </c>
      <c r="AC8217">
        <v>3.6965000000000101</v>
      </c>
      <c r="AD8217">
        <v>-1.1154553678629999</v>
      </c>
      <c r="AE8217">
        <v>-3.3711899999999901</v>
      </c>
      <c r="AF8217">
        <v>-1.9413993542741701</v>
      </c>
      <c r="AG8217">
        <v>-1.1154553678629999</v>
      </c>
      <c r="AH8217">
        <v>4.3526433234038899</v>
      </c>
      <c r="AI8217">
        <v>103.172712726131</v>
      </c>
      <c r="AJ8217">
        <v>114.038193700417</v>
      </c>
      <c r="AK8217">
        <v>4.8947702735923198</v>
      </c>
      <c r="AL8217">
        <v>87.865931024347404</v>
      </c>
      <c r="AM8217">
        <v>98.239055936004206</v>
      </c>
      <c r="AN8217">
        <v>1.00000003642066</v>
      </c>
    </row>
    <row r="8218" spans="1:40" x14ac:dyDescent="0.25">
      <c r="A8218" t="str">
        <f>"20190312150851800"</f>
        <v>20190312150851800</v>
      </c>
      <c r="B8218" t="str">
        <f>"1552374531798049"</f>
        <v>1552374531798049</v>
      </c>
      <c r="C8218" t="s">
        <v>40</v>
      </c>
      <c r="D8218">
        <v>4.6166980000000004</v>
      </c>
      <c r="E8218">
        <v>0.39939720000000001</v>
      </c>
      <c r="F8218" t="s">
        <v>73</v>
      </c>
      <c r="G8218">
        <v>-412.81599999999997</v>
      </c>
      <c r="H8218" s="1">
        <v>-5.4419579999999998E-6</v>
      </c>
      <c r="I8218">
        <v>33.278089999999999</v>
      </c>
      <c r="J8218">
        <v>-416.52249999999998</v>
      </c>
      <c r="K8218">
        <v>1.1154790000000001</v>
      </c>
      <c r="L8218">
        <v>36.635129999999997</v>
      </c>
      <c r="M8218">
        <v>0.4033873</v>
      </c>
      <c r="N8218">
        <v>0</v>
      </c>
      <c r="O8218">
        <v>-0.91494450000000005</v>
      </c>
      <c r="P8218">
        <v>0.52987059999999997</v>
      </c>
      <c r="Q8218">
        <v>2.6720560000000001E-2</v>
      </c>
      <c r="R8218">
        <v>-0.84765759999999901</v>
      </c>
      <c r="S8218">
        <v>2.2984309999999999</v>
      </c>
      <c r="T8218">
        <v>-0.6806951</v>
      </c>
      <c r="U8218">
        <v>-2.1274109999999999</v>
      </c>
      <c r="V8218">
        <v>-0.14337369999999999</v>
      </c>
      <c r="W8218">
        <v>3.7207909999999997E-2</v>
      </c>
      <c r="X8218">
        <v>0.98896899999999999</v>
      </c>
      <c r="Y8218">
        <v>-0.37963429999999998</v>
      </c>
      <c r="Z8218">
        <v>0.21188219999999999</v>
      </c>
      <c r="AA8218">
        <v>0.90054639999999997</v>
      </c>
      <c r="AB8218">
        <v>29</v>
      </c>
      <c r="AC8218">
        <v>3.7065000000000001</v>
      </c>
      <c r="AD8218">
        <v>-1.1154844419579999</v>
      </c>
      <c r="AE8218">
        <v>-3.3570399999999898</v>
      </c>
      <c r="AF8218">
        <v>-1.9406524066641799</v>
      </c>
      <c r="AG8218">
        <v>-1.1154844419579999</v>
      </c>
      <c r="AH8218">
        <v>4.3505465259133</v>
      </c>
      <c r="AI8218">
        <v>103.178966681589</v>
      </c>
      <c r="AJ8218">
        <v>114.04026185562699</v>
      </c>
      <c r="AK8218">
        <v>4.8926161077564796</v>
      </c>
      <c r="AL8218">
        <v>87.8676517233597</v>
      </c>
      <c r="AM8218">
        <v>98.248866257458999</v>
      </c>
      <c r="AN8218">
        <v>1.0000000646896201</v>
      </c>
    </row>
    <row r="8219" spans="1:40" x14ac:dyDescent="0.25">
      <c r="A8219" t="str">
        <f>"20190312150851812"</f>
        <v>20190312150851812</v>
      </c>
      <c r="B8219" t="str">
        <f>"1552374531807810"</f>
        <v>1552374531807810</v>
      </c>
      <c r="C8219" t="s">
        <v>40</v>
      </c>
      <c r="D8219">
        <v>4.6282519999999998</v>
      </c>
      <c r="E8219">
        <v>0.3992812</v>
      </c>
      <c r="F8219" t="s">
        <v>73</v>
      </c>
      <c r="G8219">
        <v>-412.7654</v>
      </c>
      <c r="H8219" s="1">
        <v>-5.4966309999999998E-6</v>
      </c>
      <c r="I8219">
        <v>33.186039999999998</v>
      </c>
      <c r="J8219">
        <v>-416.46199999999999</v>
      </c>
      <c r="K8219">
        <v>1.115505</v>
      </c>
      <c r="L8219">
        <v>36.50647</v>
      </c>
      <c r="M8219">
        <v>0.40651169999999998</v>
      </c>
      <c r="N8219">
        <v>0</v>
      </c>
      <c r="O8219">
        <v>-0.91356020000000004</v>
      </c>
      <c r="P8219">
        <v>0.53314859999999997</v>
      </c>
      <c r="Q8219">
        <v>2.6826869999999999E-2</v>
      </c>
      <c r="R8219">
        <v>-0.84559609999999996</v>
      </c>
      <c r="S8219">
        <v>2.3074949999999999</v>
      </c>
      <c r="T8219">
        <v>-0.68509379999999998</v>
      </c>
      <c r="U8219">
        <v>-2.1183169999999998</v>
      </c>
      <c r="V8219">
        <v>-0.14382819999999999</v>
      </c>
      <c r="W8219">
        <v>3.7303200000000002E-2</v>
      </c>
      <c r="X8219">
        <v>0.98889939999999998</v>
      </c>
      <c r="Y8219">
        <v>-0.37996809999999998</v>
      </c>
      <c r="Z8219">
        <v>0.2130252</v>
      </c>
      <c r="AA8219">
        <v>0.90013580000000004</v>
      </c>
      <c r="AB8219">
        <v>29</v>
      </c>
      <c r="AC8219">
        <v>3.6965999999999801</v>
      </c>
      <c r="AD8219">
        <v>-1.1155104966310001</v>
      </c>
      <c r="AE8219">
        <v>-3.3204299999999898</v>
      </c>
      <c r="AF8219">
        <v>-1.93015281913713</v>
      </c>
      <c r="AG8219">
        <v>-1.1155104966310001</v>
      </c>
      <c r="AH8219">
        <v>4.3188126439841703</v>
      </c>
      <c r="AI8219">
        <v>103.268652895559</v>
      </c>
      <c r="AJ8219">
        <v>114.080702028386</v>
      </c>
      <c r="AK8219">
        <v>4.86024651917519</v>
      </c>
      <c r="AL8219">
        <v>87.862188187922698</v>
      </c>
      <c r="AM8219">
        <v>98.275228263164095</v>
      </c>
      <c r="AN8219">
        <v>1.0000000515829099</v>
      </c>
    </row>
    <row r="8220" spans="1:40" x14ac:dyDescent="0.25">
      <c r="A8220" t="str">
        <f>"20190312150851823"</f>
        <v>20190312150851823</v>
      </c>
      <c r="B8220" t="str">
        <f>"1552374531818545"</f>
        <v>1552374531818545</v>
      </c>
      <c r="C8220" t="s">
        <v>40</v>
      </c>
      <c r="D8220">
        <v>4.6153339999999998</v>
      </c>
      <c r="E8220">
        <v>0.3992812</v>
      </c>
      <c r="F8220" t="s">
        <v>73</v>
      </c>
      <c r="G8220">
        <v>-412.70119999999997</v>
      </c>
      <c r="H8220" s="1">
        <v>-5.5461839999999999E-6</v>
      </c>
      <c r="I8220">
        <v>33.081600000000002</v>
      </c>
      <c r="J8220">
        <v>-416.3963</v>
      </c>
      <c r="K8220">
        <v>1.1155349999999999</v>
      </c>
      <c r="L8220">
        <v>36.367370000000001</v>
      </c>
      <c r="M8220">
        <v>0.40989769999999998</v>
      </c>
      <c r="N8220">
        <v>0</v>
      </c>
      <c r="O8220">
        <v>-0.91204609999999997</v>
      </c>
      <c r="P8220">
        <v>0.53649539999999996</v>
      </c>
      <c r="Q8220">
        <v>2.6717390000000001E-2</v>
      </c>
      <c r="R8220">
        <v>-0.84348049999999997</v>
      </c>
      <c r="S8220">
        <v>2.3161619999999998</v>
      </c>
      <c r="T8220">
        <v>-0.68700190000000005</v>
      </c>
      <c r="U8220">
        <v>-2.1092529999999998</v>
      </c>
      <c r="V8220">
        <v>-0.14407879999999901</v>
      </c>
      <c r="W8220">
        <v>3.7184549999999997E-2</v>
      </c>
      <c r="X8220">
        <v>0.9888673</v>
      </c>
      <c r="Y8220">
        <v>-0.38007570000000002</v>
      </c>
      <c r="Z8220">
        <v>0.2134096</v>
      </c>
      <c r="AA8220">
        <v>0.8999994</v>
      </c>
      <c r="AB8220">
        <v>29</v>
      </c>
      <c r="AC8220">
        <v>3.69510000000002</v>
      </c>
      <c r="AD8220">
        <v>-1.115540546184</v>
      </c>
      <c r="AE8220">
        <v>-3.2857699999999901</v>
      </c>
      <c r="AF8220">
        <v>-1.9254311935028801</v>
      </c>
      <c r="AG8220">
        <v>-1.115540546184</v>
      </c>
      <c r="AH8220">
        <v>4.2932264080610203</v>
      </c>
      <c r="AI8220">
        <v>103.33775304757999</v>
      </c>
      <c r="AJ8220">
        <v>114.15533607617699</v>
      </c>
      <c r="AK8220">
        <v>4.8356497993513701</v>
      </c>
      <c r="AL8220">
        <v>87.868990865275507</v>
      </c>
      <c r="AM8220">
        <v>98.289711817760093</v>
      </c>
      <c r="AN8220">
        <v>0.99999996418871495</v>
      </c>
    </row>
    <row r="8221" spans="1:40" x14ac:dyDescent="0.25">
      <c r="A8221" t="str">
        <f>"20190312150851835"</f>
        <v>20190312150851835</v>
      </c>
      <c r="B8221" t="str">
        <f>"1552374531828305"</f>
        <v>1552374531828305</v>
      </c>
      <c r="C8221" t="s">
        <v>40</v>
      </c>
      <c r="D8221">
        <v>4.600854</v>
      </c>
      <c r="E8221">
        <v>0.39883380000000002</v>
      </c>
      <c r="F8221" t="s">
        <v>73</v>
      </c>
      <c r="G8221">
        <v>-412.62400000000002</v>
      </c>
      <c r="H8221" s="1">
        <v>-5.6046209999999996E-6</v>
      </c>
      <c r="I8221">
        <v>32.959049999999998</v>
      </c>
      <c r="J8221">
        <v>-416.33629999999999</v>
      </c>
      <c r="K8221">
        <v>1.1155600000000001</v>
      </c>
      <c r="L8221">
        <v>36.242310000000003</v>
      </c>
      <c r="M8221">
        <v>0.4129736</v>
      </c>
      <c r="N8221">
        <v>0</v>
      </c>
      <c r="O8221">
        <v>-0.91065759999999996</v>
      </c>
      <c r="P8221">
        <v>0.53968989999999994</v>
      </c>
      <c r="Q8221">
        <v>2.6664710000000001E-2</v>
      </c>
      <c r="R8221">
        <v>-0.84144189999999996</v>
      </c>
      <c r="S8221">
        <v>2.324341</v>
      </c>
      <c r="T8221">
        <v>-0.68735000000000002</v>
      </c>
      <c r="U8221">
        <v>-2.1000670000000001</v>
      </c>
      <c r="V8221">
        <v>-0.14449210000000001</v>
      </c>
      <c r="W8221">
        <v>3.7121179999999997E-2</v>
      </c>
      <c r="X8221">
        <v>0.98880939999999995</v>
      </c>
      <c r="Y8221">
        <v>-0.38049500000000003</v>
      </c>
      <c r="Z8221">
        <v>0.21338270000000001</v>
      </c>
      <c r="AA8221">
        <v>0.89982859999999998</v>
      </c>
      <c r="AB8221">
        <v>29</v>
      </c>
      <c r="AC8221">
        <v>3.7122999999999702</v>
      </c>
      <c r="AD8221">
        <v>-1.1155656046210001</v>
      </c>
      <c r="AE8221">
        <v>-3.2832599999999901</v>
      </c>
      <c r="AF8221">
        <v>-1.92724011468112</v>
      </c>
      <c r="AG8221">
        <v>-1.1155656046210001</v>
      </c>
      <c r="AH8221">
        <v>4.3052171008412801</v>
      </c>
      <c r="AI8221">
        <v>103.306184602454</v>
      </c>
      <c r="AJ8221">
        <v>114.11578325707301</v>
      </c>
      <c r="AK8221">
        <v>4.8470233508026004</v>
      </c>
      <c r="AL8221">
        <v>87.872624260769797</v>
      </c>
      <c r="AM8221">
        <v>98.313639538064606</v>
      </c>
      <c r="AN8221">
        <v>0.99999998924768096</v>
      </c>
    </row>
    <row r="8222" spans="1:40" x14ac:dyDescent="0.25">
      <c r="A8222" t="str">
        <f>"20190312150851845"</f>
        <v>20190312150851845</v>
      </c>
      <c r="B8222" t="str">
        <f>"1552374531838066"</f>
        <v>1552374531838066</v>
      </c>
      <c r="C8222" t="s">
        <v>40</v>
      </c>
      <c r="D8222">
        <v>4.6095329999999999</v>
      </c>
      <c r="E8222">
        <v>0.3987001</v>
      </c>
      <c r="F8222" t="s">
        <v>73</v>
      </c>
      <c r="G8222">
        <v>-412.56279999999998</v>
      </c>
      <c r="H8222" s="1">
        <v>-5.6492769999999999E-6</v>
      </c>
      <c r="I8222">
        <v>32.866309999999999</v>
      </c>
      <c r="J8222">
        <v>-416.27600000000001</v>
      </c>
      <c r="K8222">
        <v>1.1155870000000001</v>
      </c>
      <c r="L8222">
        <v>36.11694</v>
      </c>
      <c r="M8222">
        <v>0.41605730000000002</v>
      </c>
      <c r="N8222">
        <v>0</v>
      </c>
      <c r="O8222">
        <v>-0.90925259999999997</v>
      </c>
      <c r="P8222">
        <v>0.5428018</v>
      </c>
      <c r="Q8222">
        <v>2.6564689999999998E-2</v>
      </c>
      <c r="R8222">
        <v>-0.83944059999999898</v>
      </c>
      <c r="S8222">
        <v>2.3353269999999999</v>
      </c>
      <c r="T8222">
        <v>-0.69039649999999997</v>
      </c>
      <c r="U8222">
        <v>-2.0893250000000001</v>
      </c>
      <c r="V8222">
        <v>-0.14480299999999999</v>
      </c>
      <c r="W8222">
        <v>3.7011589999999997E-2</v>
      </c>
      <c r="X8222">
        <v>0.98876799999999998</v>
      </c>
      <c r="Y8222">
        <v>-0.38163900000000001</v>
      </c>
      <c r="Z8222">
        <v>0.2141219</v>
      </c>
      <c r="AA8222">
        <v>0.89916819999999897</v>
      </c>
      <c r="AB8222">
        <v>29</v>
      </c>
      <c r="AC8222">
        <v>3.71320000000002</v>
      </c>
      <c r="AD8222">
        <v>-1.1155926492770001</v>
      </c>
      <c r="AE8222">
        <v>-3.2506300000000001</v>
      </c>
      <c r="AF8222">
        <v>-1.92554807902736</v>
      </c>
      <c r="AG8222">
        <v>-1.1155926492770001</v>
      </c>
      <c r="AH8222">
        <v>4.2820786053033801</v>
      </c>
      <c r="AI8222">
        <v>103.366077272544</v>
      </c>
      <c r="AJ8222">
        <v>114.21230686191799</v>
      </c>
      <c r="AK8222">
        <v>4.8258138739246599</v>
      </c>
      <c r="AL8222">
        <v>87.878907565841999</v>
      </c>
      <c r="AM8222">
        <v>98.331620902797098</v>
      </c>
      <c r="AN8222">
        <v>0.99999996221366305</v>
      </c>
    </row>
    <row r="8223" spans="1:40" x14ac:dyDescent="0.25">
      <c r="A8223" t="str">
        <f>"20190312150851856"</f>
        <v>20190312150851856</v>
      </c>
      <c r="B8223" t="str">
        <f>"1552374531847826"</f>
        <v>1552374531847826</v>
      </c>
      <c r="C8223" t="s">
        <v>40</v>
      </c>
      <c r="D8223">
        <v>4.6257169999999999</v>
      </c>
      <c r="E8223">
        <v>0.3986188</v>
      </c>
      <c r="F8223" t="s">
        <v>73</v>
      </c>
      <c r="G8223">
        <v>-412.50080000000003</v>
      </c>
      <c r="H8223" s="1">
        <v>-5.6964649999999997E-6</v>
      </c>
      <c r="I8223">
        <v>32.767200000000003</v>
      </c>
      <c r="J8223">
        <v>-416.21129999999999</v>
      </c>
      <c r="K8223">
        <v>1.1156109999999999</v>
      </c>
      <c r="L8223">
        <v>35.984470000000002</v>
      </c>
      <c r="M8223">
        <v>0.41935</v>
      </c>
      <c r="N8223">
        <v>0</v>
      </c>
      <c r="O8223">
        <v>-0.90773870000000001</v>
      </c>
      <c r="P8223">
        <v>0.54588099999999995</v>
      </c>
      <c r="Q8223">
        <v>2.618001E-2</v>
      </c>
      <c r="R8223">
        <v>-0.83745400000000003</v>
      </c>
      <c r="S8223">
        <v>2.344147</v>
      </c>
      <c r="T8223">
        <v>-0.69270390000000004</v>
      </c>
      <c r="U8223">
        <v>-2.0799560000000001</v>
      </c>
      <c r="V8223">
        <v>-0.14484279999999999</v>
      </c>
      <c r="W8223">
        <v>3.6620840000000002E-2</v>
      </c>
      <c r="X8223">
        <v>0.98877669999999995</v>
      </c>
      <c r="Y8223">
        <v>-0.3818935</v>
      </c>
      <c r="Z8223">
        <v>0.21462200000000001</v>
      </c>
      <c r="AA8223">
        <v>0.89894089999999904</v>
      </c>
      <c r="AB8223">
        <v>29</v>
      </c>
      <c r="AC8223">
        <v>3.7104999999999602</v>
      </c>
      <c r="AD8223">
        <v>-1.1156166964650001</v>
      </c>
      <c r="AE8223">
        <v>-3.2172699999999899</v>
      </c>
      <c r="AF8223">
        <v>-1.92007751616651</v>
      </c>
      <c r="AG8223">
        <v>-1.1156166964650001</v>
      </c>
      <c r="AH8223">
        <v>4.2571072593193504</v>
      </c>
      <c r="AI8223">
        <v>103.435362613899</v>
      </c>
      <c r="AJ8223">
        <v>114.276740726425</v>
      </c>
      <c r="AK8223">
        <v>4.8014852388473699</v>
      </c>
      <c r="AL8223">
        <v>87.901311039775706</v>
      </c>
      <c r="AM8223">
        <v>98.333806443904905</v>
      </c>
      <c r="AN8223">
        <v>0.99999994254851599</v>
      </c>
    </row>
    <row r="8224" spans="1:40" x14ac:dyDescent="0.25">
      <c r="A8224" t="str">
        <f>"20190312150851868"</f>
        <v>20190312150851868</v>
      </c>
      <c r="B8224" t="str">
        <f>"1552374531858562"</f>
        <v>1552374531858562</v>
      </c>
      <c r="C8224" t="s">
        <v>40</v>
      </c>
      <c r="D8224">
        <v>4.588476</v>
      </c>
      <c r="E8224">
        <v>0.39845770000000003</v>
      </c>
      <c r="F8224" t="s">
        <v>73</v>
      </c>
      <c r="G8224">
        <v>-412.44869999999997</v>
      </c>
      <c r="H8224" s="1">
        <v>-5.740509E-6</v>
      </c>
      <c r="I8224">
        <v>32.672330000000002</v>
      </c>
      <c r="J8224">
        <v>-416.14830000000001</v>
      </c>
      <c r="K8224">
        <v>1.115639</v>
      </c>
      <c r="L8224">
        <v>35.856200000000001</v>
      </c>
      <c r="M8224">
        <v>0.4225448</v>
      </c>
      <c r="N8224">
        <v>0</v>
      </c>
      <c r="O8224">
        <v>-0.90625599999999995</v>
      </c>
      <c r="P8224">
        <v>0.54907490000000003</v>
      </c>
      <c r="Q8224">
        <v>2.601415E-2</v>
      </c>
      <c r="R8224">
        <v>-0.83536829999999995</v>
      </c>
      <c r="S8224">
        <v>2.3523860000000001</v>
      </c>
      <c r="T8224">
        <v>-0.69748129999999997</v>
      </c>
      <c r="U8224">
        <v>-2.0707399999999998</v>
      </c>
      <c r="V8224">
        <v>-0.1451337</v>
      </c>
      <c r="W8224">
        <v>3.6445959999999999E-2</v>
      </c>
      <c r="X8224">
        <v>0.98874059999999997</v>
      </c>
      <c r="Y8224">
        <v>-0.38196360000000001</v>
      </c>
      <c r="Z8224">
        <v>0.2158658</v>
      </c>
      <c r="AA8224">
        <v>0.89861329999999995</v>
      </c>
      <c r="AB8224">
        <v>29</v>
      </c>
      <c r="AC8224">
        <v>3.69960000000003</v>
      </c>
      <c r="AD8224">
        <v>-1.115644740509</v>
      </c>
      <c r="AE8224">
        <v>-3.18386999999999</v>
      </c>
      <c r="AF8224">
        <v>-1.9079354738279299</v>
      </c>
      <c r="AG8224">
        <v>-1.115644740509</v>
      </c>
      <c r="AH8224">
        <v>4.2281022481818002</v>
      </c>
      <c r="AI8224">
        <v>103.523397092564</v>
      </c>
      <c r="AJ8224">
        <v>114.28732527031799</v>
      </c>
      <c r="AK8224">
        <v>4.7709254427622696</v>
      </c>
      <c r="AL8224">
        <v>87.911337815987594</v>
      </c>
      <c r="AM8224">
        <v>98.350608739758101</v>
      </c>
      <c r="AN8224">
        <v>1.0000000364821799</v>
      </c>
    </row>
    <row r="8225" spans="1:40" x14ac:dyDescent="0.25">
      <c r="A8225" t="str">
        <f>"20190312150851879"</f>
        <v>20190312150851879</v>
      </c>
      <c r="B8225" t="str">
        <f>"1552374531868322"</f>
        <v>1552374531868322</v>
      </c>
      <c r="C8225" t="s">
        <v>40</v>
      </c>
      <c r="D8225">
        <v>4.6033150000000003</v>
      </c>
      <c r="E8225">
        <v>0.3983409</v>
      </c>
      <c r="F8225" t="s">
        <v>73</v>
      </c>
      <c r="G8225">
        <v>-412.38729999999998</v>
      </c>
      <c r="H8225" s="1">
        <v>-5.7870520000000004E-6</v>
      </c>
      <c r="I8225">
        <v>32.574689999999997</v>
      </c>
      <c r="J8225">
        <v>-416.08199999999999</v>
      </c>
      <c r="K8225">
        <v>1.1156649999999999</v>
      </c>
      <c r="L8225">
        <v>35.722410000000004</v>
      </c>
      <c r="M8225">
        <v>0.4258982</v>
      </c>
      <c r="N8225">
        <v>0</v>
      </c>
      <c r="O8225">
        <v>-0.90468479999999996</v>
      </c>
      <c r="P8225">
        <v>0.55237619999999998</v>
      </c>
      <c r="Q8225">
        <v>2.6016069999999999E-2</v>
      </c>
      <c r="R8225">
        <v>-0.83318919999999996</v>
      </c>
      <c r="S8225">
        <v>2.3618160000000001</v>
      </c>
      <c r="T8225">
        <v>-0.70058409999999904</v>
      </c>
      <c r="U8225">
        <v>-2.0606689999999999</v>
      </c>
      <c r="V8225">
        <v>-0.145387299999999</v>
      </c>
      <c r="W8225">
        <v>3.6438329999999998E-2</v>
      </c>
      <c r="X8225">
        <v>0.98870360000000002</v>
      </c>
      <c r="Y8225">
        <v>-0.38236579999999998</v>
      </c>
      <c r="Z8225">
        <v>0.21659030000000001</v>
      </c>
      <c r="AA8225">
        <v>0.89826779999999995</v>
      </c>
      <c r="AB8225">
        <v>29</v>
      </c>
      <c r="AC8225">
        <v>3.6947000000000099</v>
      </c>
      <c r="AD8225">
        <v>-1.115670787052</v>
      </c>
      <c r="AE8225">
        <v>-3.1477199999999899</v>
      </c>
      <c r="AF8225">
        <v>-1.9016163284213401</v>
      </c>
      <c r="AG8225">
        <v>-1.115670787052</v>
      </c>
      <c r="AH8225">
        <v>4.1997165087064401</v>
      </c>
      <c r="AI8225">
        <v>103.604118248855</v>
      </c>
      <c r="AJ8225">
        <v>114.360844346506</v>
      </c>
      <c r="AK8225">
        <v>4.7432567629321198</v>
      </c>
      <c r="AL8225">
        <v>87.911775225902602</v>
      </c>
      <c r="AM8225">
        <v>98.365302536517902</v>
      </c>
      <c r="AN8225">
        <v>1.00000001377371</v>
      </c>
    </row>
    <row r="8226" spans="1:40" x14ac:dyDescent="0.25">
      <c r="A8226" t="str">
        <f>"20190312150851890"</f>
        <v>20190312150851890</v>
      </c>
      <c r="B8226" t="str">
        <f>"1552374531887842"</f>
        <v>1552374531887842</v>
      </c>
      <c r="C8226" t="s">
        <v>40</v>
      </c>
      <c r="D8226">
        <v>4.7018079999999998</v>
      </c>
      <c r="E8226">
        <v>0.39841850000000001</v>
      </c>
      <c r="F8226" t="s">
        <v>73</v>
      </c>
      <c r="G8226">
        <v>-412.31869999999998</v>
      </c>
      <c r="H8226" s="1">
        <v>-5.8384029999999997E-6</v>
      </c>
      <c r="I8226">
        <v>32.467329999999997</v>
      </c>
      <c r="J8226">
        <v>-416.01760000000002</v>
      </c>
      <c r="K8226">
        <v>1.115693</v>
      </c>
      <c r="L8226">
        <v>35.593899999999998</v>
      </c>
      <c r="M8226">
        <v>0.4291374</v>
      </c>
      <c r="N8226">
        <v>0</v>
      </c>
      <c r="O8226">
        <v>-0.90315279999999998</v>
      </c>
      <c r="P8226">
        <v>0.55551740000000005</v>
      </c>
      <c r="Q8226">
        <v>2.5720860000000002E-2</v>
      </c>
      <c r="R8226">
        <v>-0.83110759999999995</v>
      </c>
      <c r="S8226">
        <v>2.370911</v>
      </c>
      <c r="T8226">
        <v>-0.70287900000000003</v>
      </c>
      <c r="U8226">
        <v>-2.0507200000000001</v>
      </c>
      <c r="V8226">
        <v>-0.145570899999999</v>
      </c>
      <c r="W8226">
        <v>3.613574E-2</v>
      </c>
      <c r="X8226">
        <v>0.98868769999999995</v>
      </c>
      <c r="Y8226">
        <v>-0.38282759999999999</v>
      </c>
      <c r="Z8226">
        <v>0.2170878</v>
      </c>
      <c r="AA8226">
        <v>0.8979509</v>
      </c>
      <c r="AB8226">
        <v>29</v>
      </c>
      <c r="AC8226">
        <v>3.6989000000000298</v>
      </c>
      <c r="AD8226">
        <v>-1.115698838403</v>
      </c>
      <c r="AE8226">
        <v>-3.1265700000000001</v>
      </c>
      <c r="AF8226">
        <v>-1.8983614698879301</v>
      </c>
      <c r="AG8226">
        <v>-1.115698838403</v>
      </c>
      <c r="AH8226">
        <v>4.1891499245706196</v>
      </c>
      <c r="AI8226">
        <v>103.63568146105</v>
      </c>
      <c r="AJ8226">
        <v>114.378203716149</v>
      </c>
      <c r="AK8226">
        <v>4.7326036448131799</v>
      </c>
      <c r="AL8226">
        <v>87.929123801166597</v>
      </c>
      <c r="AM8226">
        <v>98.375849545021495</v>
      </c>
      <c r="AN8226">
        <v>1.0000000233817199</v>
      </c>
    </row>
    <row r="8227" spans="1:40" x14ac:dyDescent="0.25">
      <c r="A8227" t="str">
        <f>"20190312150851904"</f>
        <v>20190312150851904</v>
      </c>
      <c r="B8227" t="str">
        <f>"1552374531898577"</f>
        <v>1552374531898577</v>
      </c>
      <c r="C8227" t="s">
        <v>40</v>
      </c>
      <c r="D8227">
        <v>4.6587630000000004</v>
      </c>
      <c r="E8227">
        <v>0.42312430000000001</v>
      </c>
      <c r="F8227" t="s">
        <v>73</v>
      </c>
      <c r="G8227">
        <v>-412.24610000000001</v>
      </c>
      <c r="H8227" s="1">
        <v>-5.8919609999999996E-6</v>
      </c>
      <c r="I8227">
        <v>32.355739999999997</v>
      </c>
      <c r="J8227">
        <v>-415.94040000000001</v>
      </c>
      <c r="K8227">
        <v>1.115726</v>
      </c>
      <c r="L8227">
        <v>35.441009999999999</v>
      </c>
      <c r="M8227">
        <v>0.43300349999999999</v>
      </c>
      <c r="N8227">
        <v>0</v>
      </c>
      <c r="O8227">
        <v>-0.90130540000000003</v>
      </c>
      <c r="P8227">
        <v>0.55928669999999903</v>
      </c>
      <c r="Q8227">
        <v>2.587482E-2</v>
      </c>
      <c r="R8227">
        <v>-0.82857069999999999</v>
      </c>
      <c r="S8227">
        <v>2.3781129999999999</v>
      </c>
      <c r="T8227">
        <v>-0.70351039999999998</v>
      </c>
      <c r="U8227">
        <v>-2.0418400000000001</v>
      </c>
      <c r="V8227">
        <v>-0.14583279999999901</v>
      </c>
      <c r="W8227">
        <v>3.6279180000000001E-2</v>
      </c>
      <c r="X8227">
        <v>0.98864379999999996</v>
      </c>
      <c r="Y8227">
        <v>-0.38215189999999999</v>
      </c>
      <c r="Z8227">
        <v>0.21703539999999999</v>
      </c>
      <c r="AA8227">
        <v>0.89825140000000003</v>
      </c>
      <c r="AB8227">
        <v>29</v>
      </c>
      <c r="AC8227">
        <v>3.6942999999999899</v>
      </c>
      <c r="AD8227">
        <v>-1.115731891961</v>
      </c>
      <c r="AE8227">
        <v>-3.0852699999999902</v>
      </c>
      <c r="AF8227">
        <v>-1.8922371395748401</v>
      </c>
      <c r="AG8227">
        <v>-1.115731891961</v>
      </c>
      <c r="AH8227">
        <v>4.15736362425503</v>
      </c>
      <c r="AI8227">
        <v>103.72648668113401</v>
      </c>
      <c r="AJ8227">
        <v>114.472804395357</v>
      </c>
      <c r="AK8227">
        <v>4.70203055619635</v>
      </c>
      <c r="AL8227">
        <v>87.920899799297004</v>
      </c>
      <c r="AM8227">
        <v>98.391071668425994</v>
      </c>
      <c r="AN8227">
        <v>0.99999997386787498</v>
      </c>
    </row>
    <row r="8228" spans="1:40" x14ac:dyDescent="0.25">
      <c r="A8228" t="str">
        <f>"20190312150851917"</f>
        <v>20190312150851917</v>
      </c>
      <c r="B8228" t="str">
        <f>"1552374531908337"</f>
        <v>1552374531908337</v>
      </c>
      <c r="C8228" t="s">
        <v>40</v>
      </c>
      <c r="D8228">
        <v>4.64642</v>
      </c>
      <c r="E8228">
        <v>0.42648829999999999</v>
      </c>
      <c r="F8228" t="s">
        <v>73</v>
      </c>
      <c r="G8228">
        <v>-410.3</v>
      </c>
      <c r="H8228" s="1">
        <v>-7.0955409999999997E-6</v>
      </c>
      <c r="I8228">
        <v>29.978670000000001</v>
      </c>
      <c r="J8228">
        <v>-415.8646</v>
      </c>
      <c r="K8228">
        <v>1.1157570000000001</v>
      </c>
      <c r="L8228">
        <v>35.29318</v>
      </c>
      <c r="M8228">
        <v>0.43677939999999998</v>
      </c>
      <c r="N8228">
        <v>0</v>
      </c>
      <c r="O8228">
        <v>-0.89948150000000004</v>
      </c>
      <c r="P8228">
        <v>0.56276250000000005</v>
      </c>
      <c r="Q8228">
        <v>2.5805229999999998E-2</v>
      </c>
      <c r="R8228">
        <v>-0.826215699999999</v>
      </c>
      <c r="S8228">
        <v>2.2114560000000001</v>
      </c>
      <c r="T8228">
        <v>-0.43744830000000001</v>
      </c>
      <c r="U8228">
        <v>-2.141632</v>
      </c>
      <c r="V8228">
        <v>-0.1458402</v>
      </c>
      <c r="W8228">
        <v>3.6203880000000001E-2</v>
      </c>
      <c r="X8228">
        <v>0.98864549999999995</v>
      </c>
      <c r="Y8228">
        <v>-0.33488489999999999</v>
      </c>
      <c r="Z8228">
        <v>0.1373434</v>
      </c>
      <c r="AA8228">
        <v>0.93219569999999996</v>
      </c>
      <c r="AB8228">
        <v>29</v>
      </c>
      <c r="AC8228">
        <v>5.56459999999998</v>
      </c>
      <c r="AD8228">
        <v>-1.115764095541</v>
      </c>
      <c r="AE8228">
        <v>-5.3145099999999896</v>
      </c>
      <c r="AF8228">
        <v>-2.62892076506717</v>
      </c>
      <c r="AG8228">
        <v>-1.115764095541</v>
      </c>
      <c r="AH8228">
        <v>7.0628669256113898</v>
      </c>
      <c r="AI8228">
        <v>98.4216137832085</v>
      </c>
      <c r="AJ8228">
        <v>110.416133640336</v>
      </c>
      <c r="AK8228">
        <v>7.6184147376468703</v>
      </c>
      <c r="AL8228">
        <v>87.925217071891694</v>
      </c>
      <c r="AM8228">
        <v>98.391477170381606</v>
      </c>
      <c r="AN8228">
        <v>1.0000000047666699</v>
      </c>
    </row>
    <row r="8229" spans="1:40" x14ac:dyDescent="0.25">
      <c r="A8229" t="str">
        <f>"20190312150851930"</f>
        <v>20190312150851930</v>
      </c>
      <c r="B8229" t="str">
        <f>"1552374531918098"</f>
        <v>1552374531918098</v>
      </c>
      <c r="C8229" t="s">
        <v>40</v>
      </c>
      <c r="D8229">
        <v>4.5948039999999999</v>
      </c>
      <c r="E8229">
        <v>0.4292435</v>
      </c>
      <c r="F8229" t="s">
        <v>73</v>
      </c>
      <c r="G8229">
        <v>-409.673</v>
      </c>
      <c r="H8229" s="1">
        <v>-3.1727830000000001E-6</v>
      </c>
      <c r="I8229">
        <v>29.238040000000002</v>
      </c>
      <c r="J8229">
        <v>-415.7878</v>
      </c>
      <c r="K8229">
        <v>1.115788</v>
      </c>
      <c r="L8229">
        <v>35.144710000000003</v>
      </c>
      <c r="M8229">
        <v>0.44058700000000001</v>
      </c>
      <c r="N8229">
        <v>0</v>
      </c>
      <c r="O8229">
        <v>-0.89762240000000004</v>
      </c>
      <c r="P8229">
        <v>0.56625519999999996</v>
      </c>
      <c r="Q8229">
        <v>2.6014329999999999E-2</v>
      </c>
      <c r="R8229">
        <v>-0.82381930000000003</v>
      </c>
      <c r="S8229">
        <v>2.1960139999999999</v>
      </c>
      <c r="T8229">
        <v>-0.39573370000000002</v>
      </c>
      <c r="U8229">
        <v>-2.1476139999999999</v>
      </c>
      <c r="V8229">
        <v>-0.1458448</v>
      </c>
      <c r="W8229">
        <v>3.640641E-2</v>
      </c>
      <c r="X8229">
        <v>0.9886374</v>
      </c>
      <c r="Y8229">
        <v>-0.32764910000000003</v>
      </c>
      <c r="Z8229">
        <v>0.1243384</v>
      </c>
      <c r="AA8229">
        <v>0.93658209999999997</v>
      </c>
      <c r="AB8229">
        <v>29</v>
      </c>
      <c r="AC8229">
        <v>6.1147999999999998</v>
      </c>
      <c r="AD8229">
        <v>-1.1157911727830001</v>
      </c>
      <c r="AE8229">
        <v>-5.9066699999999903</v>
      </c>
      <c r="AF8229">
        <v>-2.8377273466519499</v>
      </c>
      <c r="AG8229">
        <v>-1.1157911727830001</v>
      </c>
      <c r="AH8229">
        <v>7.8612810907230104</v>
      </c>
      <c r="AI8229">
        <v>97.604213841023395</v>
      </c>
      <c r="AJ8229">
        <v>109.848324169149</v>
      </c>
      <c r="AK8229">
        <v>8.4319290095775798</v>
      </c>
      <c r="AL8229">
        <v>87.913605335551907</v>
      </c>
      <c r="AM8229">
        <v>98.3918058554179</v>
      </c>
      <c r="AN8229">
        <v>1.00000002052744</v>
      </c>
    </row>
    <row r="8230" spans="1:40" x14ac:dyDescent="0.25">
      <c r="A8230" t="str">
        <f>"20190312150851943"</f>
        <v>20190312150851943</v>
      </c>
      <c r="B8230" t="str">
        <f>"1552374531938594"</f>
        <v>1552374531938594</v>
      </c>
      <c r="C8230" t="s">
        <v>40</v>
      </c>
      <c r="D8230">
        <v>4.5834820000000001</v>
      </c>
      <c r="E8230">
        <v>0.43190640000000002</v>
      </c>
      <c r="F8230" t="s">
        <v>73</v>
      </c>
      <c r="G8230">
        <v>-409.13479999999998</v>
      </c>
      <c r="H8230" s="1">
        <v>-3.3297769999999999E-6</v>
      </c>
      <c r="I8230">
        <v>28.598590000000002</v>
      </c>
      <c r="J8230">
        <v>-415.70729999999998</v>
      </c>
      <c r="K8230">
        <v>1.1158250000000001</v>
      </c>
      <c r="L8230">
        <v>34.990109999999902</v>
      </c>
      <c r="M8230">
        <v>0.44457180000000002</v>
      </c>
      <c r="N8230">
        <v>0</v>
      </c>
      <c r="O8230">
        <v>-0.89565569999999906</v>
      </c>
      <c r="P8230">
        <v>0.56997449999999905</v>
      </c>
      <c r="Q8230">
        <v>2.5903840000000001E-2</v>
      </c>
      <c r="R8230">
        <v>-0.82125459999999995</v>
      </c>
      <c r="S8230">
        <v>2.1858219999999999</v>
      </c>
      <c r="T8230">
        <v>-0.36658770000000002</v>
      </c>
      <c r="U8230">
        <v>-2.1506959999999999</v>
      </c>
      <c r="V8230">
        <v>-0.1459213</v>
      </c>
      <c r="W8230">
        <v>3.6287750000000001E-2</v>
      </c>
      <c r="X8230">
        <v>0.98863049999999997</v>
      </c>
      <c r="Y8230">
        <v>-0.3214515</v>
      </c>
      <c r="Z8230">
        <v>0.11515450000000001</v>
      </c>
      <c r="AA8230">
        <v>0.93989809999999996</v>
      </c>
      <c r="AB8230">
        <v>29</v>
      </c>
      <c r="AC8230">
        <v>6.57249999999999</v>
      </c>
      <c r="AD8230">
        <v>-1.115828329777</v>
      </c>
      <c r="AE8230">
        <v>-6.3915199999999901</v>
      </c>
      <c r="AF8230">
        <v>-3.0009907906505</v>
      </c>
      <c r="AG8230">
        <v>-1.115828329777</v>
      </c>
      <c r="AH8230">
        <v>8.5210006311959603</v>
      </c>
      <c r="AI8230">
        <v>97.041176930081804</v>
      </c>
      <c r="AJ8230">
        <v>109.401631827518</v>
      </c>
      <c r="AK8230">
        <v>9.1026628161183698</v>
      </c>
      <c r="AL8230">
        <v>87.920408601119902</v>
      </c>
      <c r="AM8230">
        <v>98.396202645613201</v>
      </c>
      <c r="AN8230">
        <v>1.000000046062</v>
      </c>
    </row>
    <row r="8231" spans="1:40" x14ac:dyDescent="0.25">
      <c r="A8231" t="str">
        <f>"20190312150851957"</f>
        <v>20190312150851957</v>
      </c>
      <c r="B8231" t="str">
        <f>"1552374531948353"</f>
        <v>1552374531948353</v>
      </c>
      <c r="C8231" t="s">
        <v>40</v>
      </c>
      <c r="D8231">
        <v>4.6656309999999896</v>
      </c>
      <c r="E8231">
        <v>0.43234260000000002</v>
      </c>
      <c r="F8231" t="s">
        <v>73</v>
      </c>
      <c r="G8231">
        <v>-408.63850000000002</v>
      </c>
      <c r="H8231" s="1">
        <v>-3.472662E-6</v>
      </c>
      <c r="I8231">
        <v>27.998380000000001</v>
      </c>
      <c r="J8231">
        <v>-415.62540000000001</v>
      </c>
      <c r="K8231">
        <v>1.1158600000000001</v>
      </c>
      <c r="L8231">
        <v>34.835569999999997</v>
      </c>
      <c r="M8231">
        <v>0.44859300000000002</v>
      </c>
      <c r="N8231">
        <v>0</v>
      </c>
      <c r="O8231">
        <v>-0.89364829999999995</v>
      </c>
      <c r="P8231">
        <v>0.57380679999999995</v>
      </c>
      <c r="Q8231">
        <v>2.564054E-2</v>
      </c>
      <c r="R8231">
        <v>-0.81858949999999997</v>
      </c>
      <c r="S8231">
        <v>2.176758</v>
      </c>
      <c r="T8231">
        <v>-0.34361029999999998</v>
      </c>
      <c r="U8231">
        <v>-2.1530459999999998</v>
      </c>
      <c r="V8231">
        <v>-0.14609440000000001</v>
      </c>
      <c r="W8231">
        <v>3.6015650000000003E-2</v>
      </c>
      <c r="X8231">
        <v>0.98861489999999996</v>
      </c>
      <c r="Y8231">
        <v>-0.315355</v>
      </c>
      <c r="Z8231">
        <v>0.1078689</v>
      </c>
      <c r="AA8231">
        <v>0.94282319999999997</v>
      </c>
      <c r="AB8231">
        <v>29</v>
      </c>
      <c r="AC8231">
        <v>6.9868999999999897</v>
      </c>
      <c r="AD8231">
        <v>-1.115863472662</v>
      </c>
      <c r="AE8231">
        <v>-6.8371899999999997</v>
      </c>
      <c r="AF8231">
        <v>-3.1361033035787602</v>
      </c>
      <c r="AG8231">
        <v>-1.115863472662</v>
      </c>
      <c r="AH8231">
        <v>9.1261345234823796</v>
      </c>
      <c r="AI8231">
        <v>96.596054066165706</v>
      </c>
      <c r="AJ8231">
        <v>108.964762331849</v>
      </c>
      <c r="AK8231">
        <v>9.7142486359489393</v>
      </c>
      <c r="AL8231">
        <v>87.936009009888906</v>
      </c>
      <c r="AM8231">
        <v>98.4061512114191</v>
      </c>
      <c r="AN8231">
        <v>1.0000000606291399</v>
      </c>
    </row>
    <row r="8232" spans="1:40" x14ac:dyDescent="0.25">
      <c r="A8232" t="str">
        <f>"20190312150851968"</f>
        <v>20190312150851968</v>
      </c>
      <c r="B8232" t="str">
        <f>"1552374531958114"</f>
        <v>1552374531958114</v>
      </c>
      <c r="C8232" t="s">
        <v>40</v>
      </c>
      <c r="D8232">
        <v>4.6739610000000003</v>
      </c>
      <c r="E8232">
        <v>0.432668</v>
      </c>
      <c r="F8232" t="s">
        <v>73</v>
      </c>
      <c r="G8232">
        <v>-408.62979999999999</v>
      </c>
      <c r="H8232" s="1">
        <v>-3.4714260000000002E-6</v>
      </c>
      <c r="I8232">
        <v>27.966760000000001</v>
      </c>
      <c r="J8232">
        <v>-415.55579999999998</v>
      </c>
      <c r="K8232">
        <v>1.1158870000000001</v>
      </c>
      <c r="L8232">
        <v>34.70523</v>
      </c>
      <c r="M8232">
        <v>0.45199590000000001</v>
      </c>
      <c r="N8232">
        <v>0</v>
      </c>
      <c r="O8232">
        <v>-0.8919319</v>
      </c>
      <c r="P8232">
        <v>0.57660900000000004</v>
      </c>
      <c r="Q8232">
        <v>2.5744139999999999E-2</v>
      </c>
      <c r="R8232">
        <v>-0.81661470000000003</v>
      </c>
      <c r="S8232">
        <v>2.1842649999999999</v>
      </c>
      <c r="T8232">
        <v>-0.34841139999999998</v>
      </c>
      <c r="U8232">
        <v>-2.1446839999999998</v>
      </c>
      <c r="V8232">
        <v>-0.14571999999999999</v>
      </c>
      <c r="W8232">
        <v>3.6119539999999999E-2</v>
      </c>
      <c r="X8232">
        <v>0.9886663</v>
      </c>
      <c r="Y8232">
        <v>-0.3150751</v>
      </c>
      <c r="Z8232">
        <v>0.1092397</v>
      </c>
      <c r="AA8232">
        <v>0.94275889999999996</v>
      </c>
      <c r="AB8232">
        <v>29</v>
      </c>
      <c r="AC8232">
        <v>6.9259999999999797</v>
      </c>
      <c r="AD8232">
        <v>-1.1158904714260001</v>
      </c>
      <c r="AE8232">
        <v>-6.7384700000000004</v>
      </c>
      <c r="AF8232">
        <v>-3.0907888220233901</v>
      </c>
      <c r="AG8232">
        <v>-1.1158904714260001</v>
      </c>
      <c r="AH8232">
        <v>9.0211972727863703</v>
      </c>
      <c r="AI8232">
        <v>96.674335937506001</v>
      </c>
      <c r="AJ8232">
        <v>108.912179713246</v>
      </c>
      <c r="AK8232">
        <v>9.6010513654022507</v>
      </c>
      <c r="AL8232">
        <v>87.930052542740995</v>
      </c>
      <c r="AM8232">
        <v>98.384485467348796</v>
      </c>
      <c r="AN8232">
        <v>0.99999999616275004</v>
      </c>
    </row>
    <row r="8233" spans="1:40" x14ac:dyDescent="0.25">
      <c r="A8233" t="str">
        <f>"20190312150851979"</f>
        <v>20190312150851979</v>
      </c>
      <c r="B8233" t="str">
        <f>"1552374531967874"</f>
        <v>1552374531967874</v>
      </c>
      <c r="C8233" t="s">
        <v>40</v>
      </c>
      <c r="D8233">
        <v>4.6234769999999896</v>
      </c>
      <c r="E8233">
        <v>0.43338680000000002</v>
      </c>
      <c r="F8233" t="s">
        <v>73</v>
      </c>
      <c r="G8233">
        <v>-408.58</v>
      </c>
      <c r="H8233" s="1">
        <v>-3.483179E-6</v>
      </c>
      <c r="I8233">
        <v>27.891929999999999</v>
      </c>
      <c r="J8233">
        <v>-415.48570000000001</v>
      </c>
      <c r="K8233">
        <v>1.1159159999999999</v>
      </c>
      <c r="L8233">
        <v>34.575069999999997</v>
      </c>
      <c r="M8233">
        <v>0.45541419999999999</v>
      </c>
      <c r="N8233">
        <v>0</v>
      </c>
      <c r="O8233">
        <v>-0.89019119999999996</v>
      </c>
      <c r="P8233">
        <v>0.57986070000000001</v>
      </c>
      <c r="Q8233">
        <v>2.583767E-2</v>
      </c>
      <c r="R8233">
        <v>-0.81430590000000003</v>
      </c>
      <c r="S8233">
        <v>2.189667</v>
      </c>
      <c r="T8233">
        <v>-0.3502691</v>
      </c>
      <c r="U8233">
        <v>-2.1386409999999998</v>
      </c>
      <c r="V8233">
        <v>-0.14587510000000001</v>
      </c>
      <c r="W8233">
        <v>3.6205309999999997E-2</v>
      </c>
      <c r="X8233">
        <v>0.98864030000000003</v>
      </c>
      <c r="Y8233">
        <v>-0.313888</v>
      </c>
      <c r="Z8233">
        <v>0.1096616</v>
      </c>
      <c r="AA8233">
        <v>0.94310590000000005</v>
      </c>
      <c r="AB8233">
        <v>29</v>
      </c>
      <c r="AC8233">
        <v>6.9057000000000199</v>
      </c>
      <c r="AD8233">
        <v>-1.11591948317899</v>
      </c>
      <c r="AE8233">
        <v>-6.6831399999999999</v>
      </c>
      <c r="AF8233">
        <v>-3.0627433937016799</v>
      </c>
      <c r="AG8233">
        <v>-1.11591948317899</v>
      </c>
      <c r="AH8233">
        <v>8.9739392616351399</v>
      </c>
      <c r="AI8233">
        <v>96.712026326913403</v>
      </c>
      <c r="AJ8233">
        <v>108.844418088545</v>
      </c>
      <c r="AK8233">
        <v>9.5476310810649991</v>
      </c>
      <c r="AL8233">
        <v>87.925135087795297</v>
      </c>
      <c r="AM8233">
        <v>98.393500191415299</v>
      </c>
      <c r="AN8233">
        <v>1.00000000602814</v>
      </c>
    </row>
    <row r="8234" spans="1:40" x14ac:dyDescent="0.25">
      <c r="A8234" t="str">
        <f>"20190312150851993"</f>
        <v>20190312150851993</v>
      </c>
      <c r="B8234" t="str">
        <f>"1552374531988369"</f>
        <v>1552374531988369</v>
      </c>
      <c r="C8234" t="s">
        <v>40</v>
      </c>
      <c r="D8234">
        <v>4.6402950000000001</v>
      </c>
      <c r="E8234">
        <v>0.43462830000000002</v>
      </c>
      <c r="F8234" t="s">
        <v>73</v>
      </c>
      <c r="G8234">
        <v>-408.40660000000003</v>
      </c>
      <c r="H8234" s="1">
        <v>-3.5344439999999999E-6</v>
      </c>
      <c r="I8234">
        <v>27.689900000000002</v>
      </c>
      <c r="J8234">
        <v>-415.4083</v>
      </c>
      <c r="K8234">
        <v>1.115947</v>
      </c>
      <c r="L8234">
        <v>34.433010000000003</v>
      </c>
      <c r="M8234">
        <v>0.45916829999999997</v>
      </c>
      <c r="N8234">
        <v>0</v>
      </c>
      <c r="O8234">
        <v>-0.88826070000000001</v>
      </c>
      <c r="P8234">
        <v>0.58333279999999998</v>
      </c>
      <c r="Q8234">
        <v>2.588381E-2</v>
      </c>
      <c r="R8234">
        <v>-0.81182100000000001</v>
      </c>
      <c r="S8234">
        <v>2.1933289999999999</v>
      </c>
      <c r="T8234">
        <v>-0.3457517</v>
      </c>
      <c r="U8234">
        <v>-2.13327</v>
      </c>
      <c r="V8234">
        <v>-0.14592769999999999</v>
      </c>
      <c r="W8234">
        <v>3.6243909999999997E-2</v>
      </c>
      <c r="X8234">
        <v>0.98863109999999998</v>
      </c>
      <c r="Y8234">
        <v>-0.31198399999999998</v>
      </c>
      <c r="Z8234">
        <v>0.108101</v>
      </c>
      <c r="AA8234">
        <v>0.94391749999999996</v>
      </c>
      <c r="AB8234">
        <v>29</v>
      </c>
      <c r="AC8234">
        <v>7.0016999999999703</v>
      </c>
      <c r="AD8234">
        <v>-1.1159505344439999</v>
      </c>
      <c r="AE8234">
        <v>-6.7431099999999899</v>
      </c>
      <c r="AF8234">
        <v>-3.0827305171080899</v>
      </c>
      <c r="AG8234">
        <v>-1.1159505344439999</v>
      </c>
      <c r="AH8234">
        <v>9.0855821760709095</v>
      </c>
      <c r="AI8234">
        <v>96.634468444239303</v>
      </c>
      <c r="AJ8234">
        <v>108.74203195712199</v>
      </c>
      <c r="AK8234">
        <v>9.6590049443290393</v>
      </c>
      <c r="AL8234">
        <v>87.922921970917898</v>
      </c>
      <c r="AM8234">
        <v>98.396560623887794</v>
      </c>
      <c r="AN8234">
        <v>0.99999998326329398</v>
      </c>
    </row>
    <row r="8235" spans="1:40" x14ac:dyDescent="0.25">
      <c r="A8235" t="str">
        <f>"20190312150852012"</f>
        <v>20190312150852012</v>
      </c>
      <c r="B8235" t="str">
        <f>"1552374532007889"</f>
        <v>1552374532007889</v>
      </c>
      <c r="C8235" t="s">
        <v>40</v>
      </c>
      <c r="D8235">
        <v>4.6709849999999999</v>
      </c>
      <c r="E8235">
        <v>0.43535239999999997</v>
      </c>
      <c r="F8235" t="s">
        <v>73</v>
      </c>
      <c r="G8235">
        <v>-408.22269999999997</v>
      </c>
      <c r="H8235" s="1">
        <v>-3.5858049999999898E-6</v>
      </c>
      <c r="I8235">
        <v>27.458279999999998</v>
      </c>
      <c r="J8235">
        <v>-415.28710000000001</v>
      </c>
      <c r="K8235">
        <v>1.1159950000000001</v>
      </c>
      <c r="L8235">
        <v>34.213470000000001</v>
      </c>
      <c r="M8235">
        <v>0.46500439999999998</v>
      </c>
      <c r="N8235">
        <v>0</v>
      </c>
      <c r="O8235">
        <v>-0.88521930000000004</v>
      </c>
      <c r="P8235">
        <v>0.58846529999999997</v>
      </c>
      <c r="Q8235">
        <v>2.6088650000000001E-2</v>
      </c>
      <c r="R8235">
        <v>-0.80810159999999998</v>
      </c>
      <c r="S8235">
        <v>2.1940919999999999</v>
      </c>
      <c r="T8235">
        <v>-0.34074989999999999</v>
      </c>
      <c r="U8235">
        <v>-2.1297000000000001</v>
      </c>
      <c r="V8235">
        <v>-0.1456952</v>
      </c>
      <c r="W8235">
        <v>3.6443570000000002E-2</v>
      </c>
      <c r="X8235">
        <v>0.98865809999999998</v>
      </c>
      <c r="Y8235">
        <v>-0.30683280000000002</v>
      </c>
      <c r="Z8235">
        <v>0.1062452</v>
      </c>
      <c r="AA8235">
        <v>0.94581479999999996</v>
      </c>
      <c r="AB8235">
        <v>29</v>
      </c>
      <c r="AC8235">
        <v>7.0644000000000302</v>
      </c>
      <c r="AD8235">
        <v>-1.1159985858050001</v>
      </c>
      <c r="AE8235">
        <v>-6.7551899999999998</v>
      </c>
      <c r="AF8235">
        <v>-3.0725414517359999</v>
      </c>
      <c r="AG8235">
        <v>-1.1159985858050001</v>
      </c>
      <c r="AH8235">
        <v>9.1462996540725499</v>
      </c>
      <c r="AI8235">
        <v>96.597764575357303</v>
      </c>
      <c r="AJ8235">
        <v>108.568885367734</v>
      </c>
      <c r="AK8235">
        <v>9.7129172331613294</v>
      </c>
      <c r="AL8235">
        <v>87.911474834345995</v>
      </c>
      <c r="AM8235">
        <v>98.383147337981796</v>
      </c>
      <c r="AN8235">
        <v>1.0000000318964899</v>
      </c>
    </row>
    <row r="8236" spans="1:40" x14ac:dyDescent="0.25">
      <c r="A8236" t="str">
        <f>"20190312150852023"</f>
        <v>20190312150852023</v>
      </c>
      <c r="B8236" t="str">
        <f>"1552374532017650"</f>
        <v>1552374532017650</v>
      </c>
      <c r="C8236" t="s">
        <v>40</v>
      </c>
      <c r="D8236">
        <v>4.6413099999999998</v>
      </c>
      <c r="E8236">
        <v>0.43570589999999998</v>
      </c>
      <c r="F8236" t="s">
        <v>73</v>
      </c>
      <c r="G8236">
        <v>-407.96499999999997</v>
      </c>
      <c r="H8236" s="1">
        <v>-3.6639210000000001E-6</v>
      </c>
      <c r="I8236">
        <v>27.16864</v>
      </c>
      <c r="J8236">
        <v>-415.2131</v>
      </c>
      <c r="K8236">
        <v>1.1160219999999901</v>
      </c>
      <c r="L8236">
        <v>34.080410000000001</v>
      </c>
      <c r="M8236">
        <v>0.46855720000000001</v>
      </c>
      <c r="N8236">
        <v>0</v>
      </c>
      <c r="O8236">
        <v>-0.88334389999999996</v>
      </c>
      <c r="P8236">
        <v>0.59171549999999995</v>
      </c>
      <c r="Q8236">
        <v>2.6250619999999999E-2</v>
      </c>
      <c r="R8236">
        <v>-0.80571939999999997</v>
      </c>
      <c r="S8236">
        <v>2.2026979999999998</v>
      </c>
      <c r="T8236">
        <v>-0.33572069999999998</v>
      </c>
      <c r="U8236">
        <v>-2.1192630000000001</v>
      </c>
      <c r="V8236">
        <v>-0.1457127</v>
      </c>
      <c r="W8236">
        <v>3.6599859999999998E-2</v>
      </c>
      <c r="X8236">
        <v>0.98864969999999996</v>
      </c>
      <c r="Y8236">
        <v>-0.30731839999999999</v>
      </c>
      <c r="Z8236">
        <v>0.1045999</v>
      </c>
      <c r="AA8236">
        <v>0.94584049999999997</v>
      </c>
      <c r="AB8236">
        <v>29</v>
      </c>
      <c r="AC8236">
        <v>7.2481000000000204</v>
      </c>
      <c r="AD8236">
        <v>-1.11602566392099</v>
      </c>
      <c r="AE8236">
        <v>-6.91176999999999</v>
      </c>
      <c r="AF8236">
        <v>-3.1254463359964002</v>
      </c>
      <c r="AG8236">
        <v>-1.11602566392099</v>
      </c>
      <c r="AH8236">
        <v>9.3858253133447604</v>
      </c>
      <c r="AI8236">
        <v>96.436608684541795</v>
      </c>
      <c r="AJ8236">
        <v>108.417574319396</v>
      </c>
      <c r="AK8236">
        <v>9.9552822609078699</v>
      </c>
      <c r="AL8236">
        <v>87.902514000769301</v>
      </c>
      <c r="AM8236">
        <v>98.384210180364903</v>
      </c>
      <c r="AN8236">
        <v>0.99999998500169895</v>
      </c>
    </row>
    <row r="8237" spans="1:40" x14ac:dyDescent="0.25">
      <c r="A8237" t="str">
        <f>"20190312150852035"</f>
        <v>20190312150852035</v>
      </c>
      <c r="B8237" t="str">
        <f>"1552374532028386"</f>
        <v>1552374532028386</v>
      </c>
      <c r="C8237" t="s">
        <v>40</v>
      </c>
      <c r="D8237">
        <v>4.6459199999999896</v>
      </c>
      <c r="E8237">
        <v>0.43601810000000002</v>
      </c>
      <c r="F8237" t="s">
        <v>73</v>
      </c>
      <c r="G8237">
        <v>-407.94279999999998</v>
      </c>
      <c r="H8237" s="1">
        <v>-3.6680840000000001E-6</v>
      </c>
      <c r="I8237">
        <v>27.129429999999999</v>
      </c>
      <c r="J8237">
        <v>-415.1431</v>
      </c>
      <c r="K8237">
        <v>1.1160479999999999</v>
      </c>
      <c r="L8237">
        <v>33.956850000000003</v>
      </c>
      <c r="M8237">
        <v>0.47188950000000002</v>
      </c>
      <c r="N8237">
        <v>0</v>
      </c>
      <c r="O8237">
        <v>-0.88156819999999902</v>
      </c>
      <c r="P8237">
        <v>0.59482349999999995</v>
      </c>
      <c r="Q8237">
        <v>2.6214970000000001E-2</v>
      </c>
      <c r="R8237">
        <v>-0.80342899999999995</v>
      </c>
      <c r="S8237">
        <v>2.2091059999999998</v>
      </c>
      <c r="T8237">
        <v>-0.33911029999999998</v>
      </c>
      <c r="U8237">
        <v>-2.1120909999999999</v>
      </c>
      <c r="V8237">
        <v>-0.14580019999999999</v>
      </c>
      <c r="W8237">
        <v>3.655746E-2</v>
      </c>
      <c r="X8237">
        <v>0.98863840000000003</v>
      </c>
      <c r="Y8237">
        <v>-0.3066197</v>
      </c>
      <c r="Z8237">
        <v>0.1055002</v>
      </c>
      <c r="AA8237">
        <v>0.94596729999999996</v>
      </c>
      <c r="AB8237">
        <v>29</v>
      </c>
      <c r="AC8237">
        <v>7.2003000000000199</v>
      </c>
      <c r="AD8237">
        <v>-1.116051668084</v>
      </c>
      <c r="AE8237">
        <v>-6.82742</v>
      </c>
      <c r="AF8237">
        <v>-3.0869618582969398</v>
      </c>
      <c r="AG8237">
        <v>-1.116051668084</v>
      </c>
      <c r="AH8237">
        <v>9.2996771561731304</v>
      </c>
      <c r="AI8237">
        <v>96.497908994510695</v>
      </c>
      <c r="AJ8237">
        <v>108.36321987418199</v>
      </c>
      <c r="AK8237">
        <v>9.8619927017546303</v>
      </c>
      <c r="AL8237">
        <v>87.904945033853195</v>
      </c>
      <c r="AM8237">
        <v>98.389267765307906</v>
      </c>
      <c r="AN8237">
        <v>1.0000000160781199</v>
      </c>
    </row>
    <row r="8238" spans="1:40" x14ac:dyDescent="0.25">
      <c r="A8238" t="str">
        <f>"20190312150852045"</f>
        <v>20190312150852045</v>
      </c>
      <c r="B8238" t="str">
        <f>"1552374532038146"</f>
        <v>1552374532038146</v>
      </c>
      <c r="C8238" t="s">
        <v>40</v>
      </c>
      <c r="D8238">
        <v>4.6562469999999996</v>
      </c>
      <c r="E8238">
        <v>0.43633699999999997</v>
      </c>
      <c r="F8238" t="s">
        <v>73</v>
      </c>
      <c r="G8238">
        <v>-407.91149999999999</v>
      </c>
      <c r="H8238" s="1">
        <v>-3.6756910000000002E-6</v>
      </c>
      <c r="I8238">
        <v>27.083600000000001</v>
      </c>
      <c r="J8238">
        <v>-415.07459999999998</v>
      </c>
      <c r="K8238">
        <v>1.11607099999999</v>
      </c>
      <c r="L8238">
        <v>33.836179999999999</v>
      </c>
      <c r="M8238">
        <v>0.47514329999999999</v>
      </c>
      <c r="N8238">
        <v>0</v>
      </c>
      <c r="O8238">
        <v>-0.87981860000000001</v>
      </c>
      <c r="P8238">
        <v>0.59799190000000002</v>
      </c>
      <c r="Q8238">
        <v>2.6169830000000002E-2</v>
      </c>
      <c r="R8238">
        <v>-0.80107499999999998</v>
      </c>
      <c r="S8238">
        <v>2.2149960000000002</v>
      </c>
      <c r="T8238">
        <v>-0.34183809999999998</v>
      </c>
      <c r="U8238">
        <v>-2.1052249999999999</v>
      </c>
      <c r="V8238">
        <v>-0.14605309999999999</v>
      </c>
      <c r="W8238">
        <v>3.6503140000000003E-2</v>
      </c>
      <c r="X8238">
        <v>0.98860309999999996</v>
      </c>
      <c r="Y8238">
        <v>-0.305836</v>
      </c>
      <c r="Z8238">
        <v>0.1061974</v>
      </c>
      <c r="AA8238">
        <v>0.94614299999999996</v>
      </c>
      <c r="AB8238">
        <v>29</v>
      </c>
      <c r="AC8238">
        <v>7.1630999999999796</v>
      </c>
      <c r="AD8238">
        <v>-1.1160746756909901</v>
      </c>
      <c r="AE8238">
        <v>-6.7525799999999903</v>
      </c>
      <c r="AF8238">
        <v>-3.05476484085318</v>
      </c>
      <c r="AG8238">
        <v>-1.1160746756909901</v>
      </c>
      <c r="AH8238">
        <v>9.2266856054048798</v>
      </c>
      <c r="AI8238">
        <v>96.5506772184158</v>
      </c>
      <c r="AJ8238">
        <v>108.318639678333</v>
      </c>
      <c r="AK8238">
        <v>9.78309450918354</v>
      </c>
      <c r="AL8238">
        <v>87.908059465741701</v>
      </c>
      <c r="AM8238">
        <v>98.403907659850205</v>
      </c>
      <c r="AN8238">
        <v>1.00000003828953</v>
      </c>
    </row>
    <row r="8239" spans="1:40" x14ac:dyDescent="0.25">
      <c r="A8239" t="str">
        <f>"20190312150852057"</f>
        <v>20190312150852057</v>
      </c>
      <c r="B8239" t="str">
        <f>"1552374532047905"</f>
        <v>1552374532047905</v>
      </c>
      <c r="C8239" t="s">
        <v>40</v>
      </c>
      <c r="D8239">
        <v>4.6903410000000001</v>
      </c>
      <c r="E8239">
        <v>0.43656450000000002</v>
      </c>
      <c r="F8239" t="s">
        <v>73</v>
      </c>
      <c r="G8239">
        <v>-407.87119999999999</v>
      </c>
      <c r="H8239" s="1">
        <v>-3.6871069999999998E-6</v>
      </c>
      <c r="I8239">
        <v>27.03396</v>
      </c>
      <c r="J8239">
        <v>-414.9984</v>
      </c>
      <c r="K8239">
        <v>1.1160939999999999</v>
      </c>
      <c r="L8239">
        <v>33.703609999999998</v>
      </c>
      <c r="M8239">
        <v>0.47874879999999997</v>
      </c>
      <c r="N8239">
        <v>0</v>
      </c>
      <c r="O8239">
        <v>-0.87786189999999997</v>
      </c>
      <c r="P8239">
        <v>0.60117189999999998</v>
      </c>
      <c r="Q8239">
        <v>2.5737429999999999E-2</v>
      </c>
      <c r="R8239">
        <v>-0.79870529999999995</v>
      </c>
      <c r="S8239">
        <v>2.2215579999999999</v>
      </c>
      <c r="T8239">
        <v>-0.34420319999999999</v>
      </c>
      <c r="U8239">
        <v>-2.097839</v>
      </c>
      <c r="V8239">
        <v>-0.14591680000000001</v>
      </c>
      <c r="W8239">
        <v>3.6068059999999999E-2</v>
      </c>
      <c r="X8239">
        <v>0.98863920000000005</v>
      </c>
      <c r="Y8239">
        <v>-0.30493490000000001</v>
      </c>
      <c r="Z8239">
        <v>0.10675460000000001</v>
      </c>
      <c r="AA8239">
        <v>0.94637099999999996</v>
      </c>
      <c r="AB8239">
        <v>29</v>
      </c>
      <c r="AC8239">
        <v>7.12720000000001</v>
      </c>
      <c r="AD8239">
        <v>-1.1160976871070001</v>
      </c>
      <c r="AE8239">
        <v>-6.6696499999999999</v>
      </c>
      <c r="AF8239">
        <v>-3.0243137166959402</v>
      </c>
      <c r="AG8239">
        <v>-1.1160976871070001</v>
      </c>
      <c r="AH8239">
        <v>9.1483008269928394</v>
      </c>
      <c r="AI8239">
        <v>96.607406339254098</v>
      </c>
      <c r="AJ8239">
        <v>108.29323915110599</v>
      </c>
      <c r="AK8239">
        <v>9.6996678048951104</v>
      </c>
      <c r="AL8239">
        <v>87.933004148746704</v>
      </c>
      <c r="AM8239">
        <v>98.395874578783605</v>
      </c>
      <c r="AN8239">
        <v>1.00000004262552</v>
      </c>
    </row>
    <row r="8240" spans="1:40" x14ac:dyDescent="0.25">
      <c r="A8240" t="str">
        <f>"20190312150852068"</f>
        <v>20190312150852068</v>
      </c>
      <c r="B8240" t="str">
        <f>"1552374532057665"</f>
        <v>1552374532057665</v>
      </c>
      <c r="C8240" t="s">
        <v>40</v>
      </c>
      <c r="D8240">
        <v>4.6242409999999996</v>
      </c>
      <c r="E8240">
        <v>0.43697989999999998</v>
      </c>
      <c r="F8240" t="s">
        <v>73</v>
      </c>
      <c r="G8240">
        <v>-407.86279999999999</v>
      </c>
      <c r="H8240" s="1">
        <v>-3.6874059999999998E-6</v>
      </c>
      <c r="I8240">
        <v>27.011790000000001</v>
      </c>
      <c r="J8240">
        <v>-414.93009999999998</v>
      </c>
      <c r="K8240">
        <v>1.116117</v>
      </c>
      <c r="L8240">
        <v>33.585749999999997</v>
      </c>
      <c r="M8240">
        <v>0.48196319999999998</v>
      </c>
      <c r="N8240">
        <v>0</v>
      </c>
      <c r="O8240">
        <v>-0.87610119999999903</v>
      </c>
      <c r="P8240">
        <v>0.60435319999999904</v>
      </c>
      <c r="Q8240">
        <v>2.5588389999999999E-2</v>
      </c>
      <c r="R8240">
        <v>-0.7963055</v>
      </c>
      <c r="S8240">
        <v>2.2285159999999999</v>
      </c>
      <c r="T8240">
        <v>-0.3485702</v>
      </c>
      <c r="U8240">
        <v>-2.0899350000000001</v>
      </c>
      <c r="V8240">
        <v>-0.14623449999999999</v>
      </c>
      <c r="W8240">
        <v>3.5908900000000001E-2</v>
      </c>
      <c r="X8240">
        <v>0.98859799999999998</v>
      </c>
      <c r="Y8240">
        <v>-0.3045947</v>
      </c>
      <c r="Z8240">
        <v>0.1079551</v>
      </c>
      <c r="AA8240">
        <v>0.94634439999999997</v>
      </c>
      <c r="AB8240">
        <v>29</v>
      </c>
      <c r="AC8240">
        <v>7.0672999999999799</v>
      </c>
      <c r="AD8240">
        <v>-1.1161206874059999</v>
      </c>
      <c r="AE8240">
        <v>-6.5739599999999898</v>
      </c>
      <c r="AF8240">
        <v>-2.9836074239772801</v>
      </c>
      <c r="AG8240">
        <v>-1.1161206874059999</v>
      </c>
      <c r="AH8240">
        <v>9.0454082394908308</v>
      </c>
      <c r="AI8240">
        <v>96.683485588602593</v>
      </c>
      <c r="AJ8240">
        <v>108.25502222498601</v>
      </c>
      <c r="AK8240">
        <v>9.5899451963145594</v>
      </c>
      <c r="AL8240">
        <v>87.942129151293599</v>
      </c>
      <c r="AM8240">
        <v>98.414238882657003</v>
      </c>
      <c r="AN8240">
        <v>0.99999999184672905</v>
      </c>
    </row>
    <row r="8241" spans="1:40" x14ac:dyDescent="0.25">
      <c r="A8241" t="str">
        <f>"20190312150852079"</f>
        <v>20190312150852079</v>
      </c>
      <c r="B8241" t="str">
        <f>"1552374532068401"</f>
        <v>1552374532068401</v>
      </c>
      <c r="C8241" t="s">
        <v>40</v>
      </c>
      <c r="D8241">
        <v>4.6288999999999998</v>
      </c>
      <c r="E8241">
        <v>0.43740780000000001</v>
      </c>
      <c r="F8241" t="s">
        <v>73</v>
      </c>
      <c r="G8241">
        <v>-407.74579999999997</v>
      </c>
      <c r="H8241" s="1">
        <v>-3.7240950000000001E-6</v>
      </c>
      <c r="I8241">
        <v>26.887119999999999</v>
      </c>
      <c r="J8241">
        <v>-414.858</v>
      </c>
      <c r="K8241">
        <v>1.1161449999999999</v>
      </c>
      <c r="L8241">
        <v>33.46255</v>
      </c>
      <c r="M8241">
        <v>0.48534119999999997</v>
      </c>
      <c r="N8241">
        <v>0</v>
      </c>
      <c r="O8241">
        <v>-0.87423410000000001</v>
      </c>
      <c r="P8241">
        <v>0.60747640000000003</v>
      </c>
      <c r="Q8241">
        <v>2.5261760000000001E-2</v>
      </c>
      <c r="R8241">
        <v>-0.79393590000000003</v>
      </c>
      <c r="S8241">
        <v>2.23407</v>
      </c>
      <c r="T8241">
        <v>-0.34707399999999999</v>
      </c>
      <c r="U8241">
        <v>-2.0830380000000002</v>
      </c>
      <c r="V8241">
        <v>-0.14629420000000001</v>
      </c>
      <c r="W8241">
        <v>3.5576290000000003E-2</v>
      </c>
      <c r="X8241">
        <v>0.98860119999999896</v>
      </c>
      <c r="Y8241">
        <v>-0.30370439999999999</v>
      </c>
      <c r="Z8241">
        <v>0.10734299999999999</v>
      </c>
      <c r="AA8241">
        <v>0.94670010000000004</v>
      </c>
      <c r="AB8241">
        <v>29</v>
      </c>
      <c r="AC8241">
        <v>7.1122000000000298</v>
      </c>
      <c r="AD8241">
        <v>-1.1161487240950001</v>
      </c>
      <c r="AE8241">
        <v>-6.5754299999999999</v>
      </c>
      <c r="AF8241">
        <v>-2.9869780890143698</v>
      </c>
      <c r="AG8241">
        <v>-1.1161487240950001</v>
      </c>
      <c r="AH8241">
        <v>9.0804634752970799</v>
      </c>
      <c r="AI8241">
        <v>96.659850894067901</v>
      </c>
      <c r="AJ8241">
        <v>108.208390665655</v>
      </c>
      <c r="AK8241">
        <v>9.6240658250427096</v>
      </c>
      <c r="AL8241">
        <v>87.961198500102498</v>
      </c>
      <c r="AM8241">
        <v>98.417597919314503</v>
      </c>
      <c r="AN8241">
        <v>0.99999999900262104</v>
      </c>
    </row>
    <row r="8242" spans="1:40" x14ac:dyDescent="0.25">
      <c r="A8242" t="str">
        <f>"20190312150852090"</f>
        <v>20190312150852090</v>
      </c>
      <c r="B8242" t="str">
        <f>"1552374532087922"</f>
        <v>1552374532087922</v>
      </c>
      <c r="C8242" t="s">
        <v>40</v>
      </c>
      <c r="D8242">
        <v>4.7388170000000001</v>
      </c>
      <c r="E8242">
        <v>0.43815229999999999</v>
      </c>
      <c r="F8242" t="s">
        <v>73</v>
      </c>
      <c r="G8242">
        <v>-407.6542</v>
      </c>
      <c r="H8242" s="1">
        <v>-3.7517660000000001E-6</v>
      </c>
      <c r="I8242">
        <v>26.783539999999999</v>
      </c>
      <c r="J8242">
        <v>-414.78629999999998</v>
      </c>
      <c r="K8242">
        <v>1.1161650000000001</v>
      </c>
      <c r="L8242">
        <v>33.341090000000001</v>
      </c>
      <c r="M8242">
        <v>0.48868879999999998</v>
      </c>
      <c r="N8242">
        <v>0</v>
      </c>
      <c r="O8242">
        <v>-0.87236729999999996</v>
      </c>
      <c r="P8242">
        <v>0.61059580000000002</v>
      </c>
      <c r="Q8242">
        <v>2.5241110000000001E-2</v>
      </c>
      <c r="R8242">
        <v>-0.79153999999999902</v>
      </c>
      <c r="S8242">
        <v>2.2393800000000001</v>
      </c>
      <c r="T8242">
        <v>-0.34696510000000003</v>
      </c>
      <c r="U8242">
        <v>-2.0762330000000002</v>
      </c>
      <c r="V8242">
        <v>-0.14639659999999999</v>
      </c>
      <c r="W8242">
        <v>3.5548650000000001E-2</v>
      </c>
      <c r="X8242">
        <v>0.98858699999999999</v>
      </c>
      <c r="Y8242">
        <v>-0.30273050000000001</v>
      </c>
      <c r="Z8242">
        <v>0.10715570000000001</v>
      </c>
      <c r="AA8242">
        <v>0.94703320000000002</v>
      </c>
      <c r="AB8242">
        <v>29</v>
      </c>
      <c r="AC8242">
        <v>7.1320999999999799</v>
      </c>
      <c r="AD8242">
        <v>-1.1161687517659999</v>
      </c>
      <c r="AE8242">
        <v>-6.5575499999999902</v>
      </c>
      <c r="AF8242">
        <v>-2.9779253783230302</v>
      </c>
      <c r="AG8242">
        <v>-1.1161687517659999</v>
      </c>
      <c r="AH8242">
        <v>9.0861074493762608</v>
      </c>
      <c r="AI8242">
        <v>96.658217242758596</v>
      </c>
      <c r="AJ8242">
        <v>108.14629304659501</v>
      </c>
      <c r="AK8242">
        <v>9.62658926218886</v>
      </c>
      <c r="AL8242">
        <v>87.962783086048105</v>
      </c>
      <c r="AM8242">
        <v>98.423524650052201</v>
      </c>
      <c r="AN8242">
        <v>0.99999996378869005</v>
      </c>
    </row>
    <row r="8243" spans="1:40" x14ac:dyDescent="0.25">
      <c r="A8243" t="str">
        <f>"20190312150852101"</f>
        <v>20190312150852101</v>
      </c>
      <c r="B8243" t="str">
        <f>"1552374532097681"</f>
        <v>1552374532097681</v>
      </c>
      <c r="C8243" t="s">
        <v>40</v>
      </c>
      <c r="D8243">
        <v>4.6829919999999996</v>
      </c>
      <c r="E8243">
        <v>0.43839879999999998</v>
      </c>
      <c r="F8243" t="s">
        <v>73</v>
      </c>
      <c r="G8243">
        <v>-407.63569999999999</v>
      </c>
      <c r="H8243" s="1">
        <v>-3.7529859999999999E-6</v>
      </c>
      <c r="I8243">
        <v>26.73836</v>
      </c>
      <c r="J8243">
        <v>-414.71469999999999</v>
      </c>
      <c r="K8243">
        <v>1.1161920000000001</v>
      </c>
      <c r="L8243">
        <v>33.220700000000001</v>
      </c>
      <c r="M8243">
        <v>0.49201729999999999</v>
      </c>
      <c r="N8243">
        <v>0</v>
      </c>
      <c r="O8243">
        <v>-0.870494199999999</v>
      </c>
      <c r="P8243">
        <v>0.61367349999999998</v>
      </c>
      <c r="Q8243">
        <v>2.5095269999999999E-2</v>
      </c>
      <c r="R8243">
        <v>-0.78916109999999995</v>
      </c>
      <c r="S8243">
        <v>2.2428590000000002</v>
      </c>
      <c r="T8243">
        <v>-0.35010269999999999</v>
      </c>
      <c r="U8243">
        <v>-2.0710449999999998</v>
      </c>
      <c r="V8243">
        <v>-0.1464686</v>
      </c>
      <c r="W8243">
        <v>3.5396160000000003E-2</v>
      </c>
      <c r="X8243">
        <v>0.98858179999999996</v>
      </c>
      <c r="Y8243">
        <v>-0.30092849999999999</v>
      </c>
      <c r="Z8243">
        <v>0.1079402</v>
      </c>
      <c r="AA8243">
        <v>0.94751830000000004</v>
      </c>
      <c r="AB8243">
        <v>29</v>
      </c>
      <c r="AC8243">
        <v>7.0789999999999997</v>
      </c>
      <c r="AD8243">
        <v>-1.116195752986</v>
      </c>
      <c r="AE8243">
        <v>-6.4823399999999998</v>
      </c>
      <c r="AF8243">
        <v>-2.93337378457616</v>
      </c>
      <c r="AG8243">
        <v>-1.116195752986</v>
      </c>
      <c r="AH8243">
        <v>9.0047849948638099</v>
      </c>
      <c r="AI8243">
        <v>96.721868991030206</v>
      </c>
      <c r="AJ8243">
        <v>108.04339391081101</v>
      </c>
      <c r="AK8243">
        <v>9.5360750585734806</v>
      </c>
      <c r="AL8243">
        <v>87.971525608298705</v>
      </c>
      <c r="AM8243">
        <v>98.427651674644594</v>
      </c>
      <c r="AN8243">
        <v>0.99999995710997103</v>
      </c>
    </row>
    <row r="8244" spans="1:40" x14ac:dyDescent="0.25">
      <c r="A8244" t="str">
        <f>"20190312150852114"</f>
        <v>20190312150852114</v>
      </c>
      <c r="B8244" t="str">
        <f>"1552374532108272"</f>
        <v>1552374532108272</v>
      </c>
      <c r="C8244" t="s">
        <v>40</v>
      </c>
      <c r="D8244">
        <v>4.6303769999999904</v>
      </c>
      <c r="E8244">
        <v>0.43872670000000002</v>
      </c>
      <c r="F8244" t="s">
        <v>73</v>
      </c>
      <c r="G8244">
        <v>-407.57810000000001</v>
      </c>
      <c r="H8244" s="1">
        <v>-3.7705350000000001E-6</v>
      </c>
      <c r="I8244">
        <v>26.673950000000001</v>
      </c>
      <c r="J8244">
        <v>-414.63679999999999</v>
      </c>
      <c r="K8244">
        <v>1.1162240000000001</v>
      </c>
      <c r="L8244">
        <v>33.0914</v>
      </c>
      <c r="M8244">
        <v>0.49562099999999998</v>
      </c>
      <c r="N8244">
        <v>0</v>
      </c>
      <c r="O8244">
        <v>-0.86844759999999999</v>
      </c>
      <c r="P8244">
        <v>0.61706380000000005</v>
      </c>
      <c r="Q8244">
        <v>2.487466E-2</v>
      </c>
      <c r="R8244">
        <v>-0.78652010000000006</v>
      </c>
      <c r="S8244">
        <v>2.24939</v>
      </c>
      <c r="T8244">
        <v>-0.35181489999999999</v>
      </c>
      <c r="U8244">
        <v>-2.0634769999999998</v>
      </c>
      <c r="V8244">
        <v>-0.14662059999999999</v>
      </c>
      <c r="W8244">
        <v>3.5166950000000002E-2</v>
      </c>
      <c r="X8244">
        <v>0.98856750000000004</v>
      </c>
      <c r="Y8244">
        <v>-0.30004199999999998</v>
      </c>
      <c r="Z8244">
        <v>0.1082769</v>
      </c>
      <c r="AA8244">
        <v>0.94776099999999996</v>
      </c>
      <c r="AB8244">
        <v>29</v>
      </c>
      <c r="AC8244">
        <v>7.0586999999999804</v>
      </c>
      <c r="AD8244">
        <v>-1.1162277705350001</v>
      </c>
      <c r="AE8244">
        <v>-6.4174499999999899</v>
      </c>
      <c r="AF8244">
        <v>-2.9098840065282401</v>
      </c>
      <c r="AG8244">
        <v>-1.1162277705350001</v>
      </c>
      <c r="AH8244">
        <v>8.9498498253953098</v>
      </c>
      <c r="AI8244">
        <v>96.764172342757604</v>
      </c>
      <c r="AJ8244">
        <v>108.011010151493</v>
      </c>
      <c r="AK8244">
        <v>9.47698270887369</v>
      </c>
      <c r="AL8244">
        <v>87.984666659290198</v>
      </c>
      <c r="AM8244">
        <v>98.436392078969206</v>
      </c>
      <c r="AN8244">
        <v>1.00000000838645</v>
      </c>
    </row>
    <row r="8245" spans="1:40" x14ac:dyDescent="0.25">
      <c r="A8245" t="str">
        <f>"20190312150852126"</f>
        <v>20190312150852126</v>
      </c>
      <c r="B8245" t="str">
        <f>"1552374532118032"</f>
        <v>1552374532118032</v>
      </c>
      <c r="C8245" t="s">
        <v>40</v>
      </c>
      <c r="D8245">
        <v>4.639081</v>
      </c>
      <c r="E8245">
        <v>0.43903730000000002</v>
      </c>
      <c r="F8245" t="s">
        <v>73</v>
      </c>
      <c r="G8245">
        <v>-407.47590000000002</v>
      </c>
      <c r="H8245" s="1">
        <v>-3.8029469999999999E-6</v>
      </c>
      <c r="I8245">
        <v>26.56709</v>
      </c>
      <c r="J8245">
        <v>-414.54989999999998</v>
      </c>
      <c r="K8245">
        <v>1.11626</v>
      </c>
      <c r="L8245">
        <v>32.948</v>
      </c>
      <c r="M8245">
        <v>0.49962879999999898</v>
      </c>
      <c r="N8245">
        <v>0</v>
      </c>
      <c r="O8245">
        <v>-0.86614780000000002</v>
      </c>
      <c r="P8245">
        <v>0.62068999999999996</v>
      </c>
      <c r="Q8245">
        <v>2.487849E-2</v>
      </c>
      <c r="R8245">
        <v>-0.78366130000000001</v>
      </c>
      <c r="S8245">
        <v>2.2560120000000001</v>
      </c>
      <c r="T8245">
        <v>-0.35166199999999997</v>
      </c>
      <c r="U8245">
        <v>-2.05545</v>
      </c>
      <c r="V8245">
        <v>-0.14662210000000001</v>
      </c>
      <c r="W8245">
        <v>3.516408E-2</v>
      </c>
      <c r="X8245">
        <v>0.98856739999999999</v>
      </c>
      <c r="Y8245">
        <v>-0.29887829999999999</v>
      </c>
      <c r="Z8245">
        <v>0.1080216</v>
      </c>
      <c r="AA8245">
        <v>0.94815769999999999</v>
      </c>
      <c r="AB8245">
        <v>29</v>
      </c>
      <c r="AC8245">
        <v>7.0739999999999501</v>
      </c>
      <c r="AD8245">
        <v>-1.116263802947</v>
      </c>
      <c r="AE8245">
        <v>-6.3809099999999903</v>
      </c>
      <c r="AF8245">
        <v>-2.8994689498386501</v>
      </c>
      <c r="AG8245">
        <v>-1.116263802947</v>
      </c>
      <c r="AH8245">
        <v>8.9391765364622806</v>
      </c>
      <c r="AI8245">
        <v>96.773921749412196</v>
      </c>
      <c r="AJ8245">
        <v>107.970743629819</v>
      </c>
      <c r="AK8245">
        <v>9.4637118626301096</v>
      </c>
      <c r="AL8245">
        <v>87.984831240567004</v>
      </c>
      <c r="AM8245">
        <v>98.436477986392703</v>
      </c>
      <c r="AN8245">
        <v>1.0000000285366999</v>
      </c>
    </row>
    <row r="8246" spans="1:40" x14ac:dyDescent="0.25">
      <c r="A8246" t="str">
        <f>"20190312150852140"</f>
        <v>20190312150852140</v>
      </c>
      <c r="B8246" t="str">
        <f>"1552374532127793"</f>
        <v>1552374532127793</v>
      </c>
      <c r="C8246" t="s">
        <v>40</v>
      </c>
      <c r="D8246">
        <v>4.6448280000000004</v>
      </c>
      <c r="E8246">
        <v>0.439388</v>
      </c>
      <c r="F8246" t="s">
        <v>73</v>
      </c>
      <c r="G8246">
        <v>-407.32920000000001</v>
      </c>
      <c r="H8246" s="1">
        <v>-3.8505230000000002E-6</v>
      </c>
      <c r="I8246">
        <v>26.419750000000001</v>
      </c>
      <c r="J8246">
        <v>-414.45440000000002</v>
      </c>
      <c r="K8246">
        <v>1.1162989999999999</v>
      </c>
      <c r="L8246">
        <v>32.7926</v>
      </c>
      <c r="M8246">
        <v>0.50401079999999998</v>
      </c>
      <c r="N8246">
        <v>0</v>
      </c>
      <c r="O8246">
        <v>-0.86360539999999997</v>
      </c>
      <c r="P8246">
        <v>0.62462890000000004</v>
      </c>
      <c r="Q8246">
        <v>2.464746E-2</v>
      </c>
      <c r="R8246">
        <v>-0.78053319999999904</v>
      </c>
      <c r="S8246">
        <v>2.26355</v>
      </c>
      <c r="T8246">
        <v>-0.34992699999999999</v>
      </c>
      <c r="U8246">
        <v>-2.046478</v>
      </c>
      <c r="V8246">
        <v>-0.14658840000000001</v>
      </c>
      <c r="W8246">
        <v>3.4927710000000001E-2</v>
      </c>
      <c r="X8246">
        <v>0.98858080000000004</v>
      </c>
      <c r="Y8246">
        <v>-0.29774460000000003</v>
      </c>
      <c r="Z8246">
        <v>0.1072632</v>
      </c>
      <c r="AA8246">
        <v>0.94860040000000001</v>
      </c>
      <c r="AB8246">
        <v>29</v>
      </c>
      <c r="AC8246">
        <v>7.1252000000000004</v>
      </c>
      <c r="AD8246">
        <v>-1.1163028505229999</v>
      </c>
      <c r="AE8246">
        <v>-6.3728499999999997</v>
      </c>
      <c r="AF8246">
        <v>-2.9020357922575402</v>
      </c>
      <c r="AG8246">
        <v>-1.1163028505229999</v>
      </c>
      <c r="AH8246">
        <v>8.9731646494838806</v>
      </c>
      <c r="AI8246">
        <v>96.750582416976101</v>
      </c>
      <c r="AJ8246">
        <v>107.921868315727</v>
      </c>
      <c r="AK8246">
        <v>9.4966113756632495</v>
      </c>
      <c r="AL8246">
        <v>87.998382613192703</v>
      </c>
      <c r="AM8246">
        <v>98.4344541367836</v>
      </c>
      <c r="AN8246">
        <v>1.0000000510345199</v>
      </c>
    </row>
    <row r="8247" spans="1:40" x14ac:dyDescent="0.25">
      <c r="A8247" t="str">
        <f>"20190312150852155"</f>
        <v>20190312150852155</v>
      </c>
      <c r="B8247" t="str">
        <f>"1552374532148289"</f>
        <v>1552374532148289</v>
      </c>
      <c r="C8247" t="s">
        <v>40</v>
      </c>
      <c r="D8247">
        <v>4.6840419999999998</v>
      </c>
      <c r="E8247">
        <v>0.43976389999999999</v>
      </c>
      <c r="F8247" t="s">
        <v>73</v>
      </c>
      <c r="G8247">
        <v>-407.2</v>
      </c>
      <c r="H8247" s="1">
        <v>-3.8922440000000001E-6</v>
      </c>
      <c r="I8247">
        <v>26.28895</v>
      </c>
      <c r="J8247">
        <v>-414.35890000000001</v>
      </c>
      <c r="K8247">
        <v>1.116339</v>
      </c>
      <c r="L8247">
        <v>32.639009999999999</v>
      </c>
      <c r="M8247">
        <v>0.50837270000000001</v>
      </c>
      <c r="N8247">
        <v>0</v>
      </c>
      <c r="O8247">
        <v>-0.86104449999999999</v>
      </c>
      <c r="P8247">
        <v>0.62869969999999997</v>
      </c>
      <c r="Q8247">
        <v>2.434801E-2</v>
      </c>
      <c r="R8247">
        <v>-0.77726700000000004</v>
      </c>
      <c r="S8247">
        <v>2.2716980000000002</v>
      </c>
      <c r="T8247">
        <v>-0.34957090000000002</v>
      </c>
      <c r="U8247">
        <v>-2.0366209999999998</v>
      </c>
      <c r="V8247">
        <v>-0.1467483</v>
      </c>
      <c r="W8247">
        <v>3.4621300000000001E-2</v>
      </c>
      <c r="X8247">
        <v>0.9885678</v>
      </c>
      <c r="Y8247">
        <v>-0.29691190000000001</v>
      </c>
      <c r="Z8247">
        <v>0.10693370000000001</v>
      </c>
      <c r="AA8247">
        <v>0.94889860000000004</v>
      </c>
      <c r="AB8247">
        <v>29</v>
      </c>
      <c r="AC8247">
        <v>7.1589000000000098</v>
      </c>
      <c r="AD8247">
        <v>-1.116342892244</v>
      </c>
      <c r="AE8247">
        <v>-6.3500599999999903</v>
      </c>
      <c r="AF8247">
        <v>-2.8967466709225702</v>
      </c>
      <c r="AG8247">
        <v>-1.116342892244</v>
      </c>
      <c r="AH8247">
        <v>8.9855160597629702</v>
      </c>
      <c r="AI8247">
        <v>96.743646460869499</v>
      </c>
      <c r="AJ8247">
        <v>107.86826029814399</v>
      </c>
      <c r="AK8247">
        <v>9.5066745809890296</v>
      </c>
      <c r="AL8247">
        <v>88.015949128659898</v>
      </c>
      <c r="AM8247">
        <v>98.443631397065701</v>
      </c>
      <c r="AN8247">
        <v>0.99999999658171002</v>
      </c>
    </row>
    <row r="8248" spans="1:40" x14ac:dyDescent="0.25">
      <c r="A8248" t="str">
        <f>"20190312150852166"</f>
        <v>20190312150852166</v>
      </c>
      <c r="B8248" t="str">
        <f>"1552374532158048"</f>
        <v>1552374532158048</v>
      </c>
      <c r="C8248" t="s">
        <v>40</v>
      </c>
      <c r="D8248">
        <v>4.6832050000000001</v>
      </c>
      <c r="E8248">
        <v>0.44000909999999899</v>
      </c>
      <c r="F8248" t="s">
        <v>73</v>
      </c>
      <c r="G8248">
        <v>-407.16109999999998</v>
      </c>
      <c r="H8248" s="1">
        <v>-3.9033039999999997E-6</v>
      </c>
      <c r="I8248">
        <v>26.24099</v>
      </c>
      <c r="J8248">
        <v>-414.2722</v>
      </c>
      <c r="K8248">
        <v>1.1163749999999999</v>
      </c>
      <c r="L8248">
        <v>32.500819999999997</v>
      </c>
      <c r="M8248">
        <v>0.51231380000000004</v>
      </c>
      <c r="N8248">
        <v>0</v>
      </c>
      <c r="O8248">
        <v>-0.85870539999999995</v>
      </c>
      <c r="P8248">
        <v>0.63205900000000004</v>
      </c>
      <c r="Q8248">
        <v>2.4338370000000002E-2</v>
      </c>
      <c r="R8248">
        <v>-0.7745377</v>
      </c>
      <c r="S8248">
        <v>2.2799680000000002</v>
      </c>
      <c r="T8248">
        <v>-0.35361399999999998</v>
      </c>
      <c r="U8248">
        <v>-2.0266419999999998</v>
      </c>
      <c r="V8248">
        <v>-0.1465004</v>
      </c>
      <c r="W8248">
        <v>3.461272E-2</v>
      </c>
      <c r="X8248">
        <v>0.98860479999999995</v>
      </c>
      <c r="Y8248">
        <v>-0.29646329999999999</v>
      </c>
      <c r="Z8248">
        <v>0.1079605</v>
      </c>
      <c r="AA8248">
        <v>0.94892259999999995</v>
      </c>
      <c r="AB8248">
        <v>29</v>
      </c>
      <c r="AC8248">
        <v>7.11110000000002</v>
      </c>
      <c r="AD8248">
        <v>-1.1163789033039999</v>
      </c>
      <c r="AE8248">
        <v>-6.25983</v>
      </c>
      <c r="AF8248">
        <v>-2.8598623901709002</v>
      </c>
      <c r="AG8248">
        <v>-1.1163789033039999</v>
      </c>
      <c r="AH8248">
        <v>8.8956602557054403</v>
      </c>
      <c r="AI8248">
        <v>96.813097275900105</v>
      </c>
      <c r="AJ8248">
        <v>107.82205887839901</v>
      </c>
      <c r="AK8248">
        <v>9.4105199713615004</v>
      </c>
      <c r="AL8248">
        <v>88.016440887326596</v>
      </c>
      <c r="AM8248">
        <v>98.4292618330322</v>
      </c>
      <c r="AN8248">
        <v>0.99999992908449598</v>
      </c>
    </row>
    <row r="8249" spans="1:40" x14ac:dyDescent="0.25">
      <c r="A8249" t="str">
        <f>"20190312150852179"</f>
        <v>20190312150852179</v>
      </c>
      <c r="B8249" t="str">
        <f>"1552374532167809"</f>
        <v>1552374532167809</v>
      </c>
      <c r="C8249" t="s">
        <v>40</v>
      </c>
      <c r="D8249">
        <v>4.6314460000000004</v>
      </c>
      <c r="E8249">
        <v>0.44031429999999999</v>
      </c>
      <c r="F8249" t="s">
        <v>73</v>
      </c>
      <c r="G8249">
        <v>-407.07760000000002</v>
      </c>
      <c r="H8249" s="1">
        <v>-3.9297020000000003E-6</v>
      </c>
      <c r="I8249">
        <v>26.153320000000001</v>
      </c>
      <c r="J8249">
        <v>-414.18430000000001</v>
      </c>
      <c r="K8249">
        <v>1.116414</v>
      </c>
      <c r="L8249">
        <v>32.362549999999999</v>
      </c>
      <c r="M8249">
        <v>0.51629440000000004</v>
      </c>
      <c r="N8249">
        <v>0</v>
      </c>
      <c r="O8249">
        <v>-0.85631769999999996</v>
      </c>
      <c r="P8249">
        <v>0.63569869999999995</v>
      </c>
      <c r="Q8249">
        <v>2.3789149999999998E-2</v>
      </c>
      <c r="R8249">
        <v>-0.7715708</v>
      </c>
      <c r="S8249">
        <v>2.2872309999999998</v>
      </c>
      <c r="T8249">
        <v>-0.3549098</v>
      </c>
      <c r="U8249">
        <v>-2.017944</v>
      </c>
      <c r="V8249">
        <v>-0.1465523</v>
      </c>
      <c r="W8249">
        <v>3.4059440000000003E-2</v>
      </c>
      <c r="X8249">
        <v>0.98861639999999995</v>
      </c>
      <c r="Y8249">
        <v>-0.29553160000000001</v>
      </c>
      <c r="Z8249">
        <v>0.10812860000000001</v>
      </c>
      <c r="AA8249">
        <v>0.94919399999999998</v>
      </c>
      <c r="AB8249">
        <v>29</v>
      </c>
      <c r="AC8249">
        <v>7.1066999999999796</v>
      </c>
      <c r="AD8249">
        <v>-1.116417929702</v>
      </c>
      <c r="AE8249">
        <v>-6.20922999999999</v>
      </c>
      <c r="AF8249">
        <v>-2.84028315673911</v>
      </c>
      <c r="AG8249">
        <v>-1.116417929702</v>
      </c>
      <c r="AH8249">
        <v>8.8629061589344893</v>
      </c>
      <c r="AI8249">
        <v>96.840287612669897</v>
      </c>
      <c r="AJ8249">
        <v>107.76902333987</v>
      </c>
      <c r="AK8249">
        <v>9.3736173906499403</v>
      </c>
      <c r="AL8249">
        <v>88.048160349096705</v>
      </c>
      <c r="AM8249">
        <v>98.432107585383605</v>
      </c>
      <c r="AN8249">
        <v>1.0000000042186801</v>
      </c>
    </row>
    <row r="8250" spans="1:40" x14ac:dyDescent="0.25">
      <c r="A8250" t="str">
        <f>"20190312150852191"</f>
        <v>20190312150852191</v>
      </c>
      <c r="B8250" t="str">
        <f>"1552374532188307"</f>
        <v>1552374532188307</v>
      </c>
      <c r="C8250" t="s">
        <v>40</v>
      </c>
      <c r="D8250">
        <v>4.6238979999999996</v>
      </c>
      <c r="E8250">
        <v>0.44082460000000001</v>
      </c>
      <c r="F8250" t="s">
        <v>73</v>
      </c>
      <c r="G8250">
        <v>-406.98439999999999</v>
      </c>
      <c r="H8250" s="1">
        <v>-3.9600719999999996E-6</v>
      </c>
      <c r="I8250">
        <v>26.06035</v>
      </c>
      <c r="J8250">
        <v>-414.10919999999999</v>
      </c>
      <c r="K8250">
        <v>1.1164459999999901</v>
      </c>
      <c r="L8250">
        <v>32.245539999999998</v>
      </c>
      <c r="M8250">
        <v>0.51968519999999996</v>
      </c>
      <c r="N8250">
        <v>0</v>
      </c>
      <c r="O8250">
        <v>-0.85426399999999902</v>
      </c>
      <c r="P8250">
        <v>0.6384763</v>
      </c>
      <c r="Q8250">
        <v>2.347248E-2</v>
      </c>
      <c r="R8250">
        <v>-0.76928339999999995</v>
      </c>
      <c r="S8250">
        <v>2.2946469999999999</v>
      </c>
      <c r="T8250">
        <v>-0.35580830000000002</v>
      </c>
      <c r="U8250">
        <v>-2.0085449999999998</v>
      </c>
      <c r="V8250">
        <v>-0.14618989999999901</v>
      </c>
      <c r="W8250">
        <v>3.3747289999999999E-2</v>
      </c>
      <c r="X8250">
        <v>0.98868080000000003</v>
      </c>
      <c r="Y8250">
        <v>-0.29544930000000003</v>
      </c>
      <c r="Z8250">
        <v>0.10824159999999999</v>
      </c>
      <c r="AA8250">
        <v>0.94920680000000002</v>
      </c>
      <c r="AB8250">
        <v>29</v>
      </c>
      <c r="AC8250">
        <v>7.1247999999999898</v>
      </c>
      <c r="AD8250">
        <v>-1.1164499600719999</v>
      </c>
      <c r="AE8250">
        <v>-6.1851900000000004</v>
      </c>
      <c r="AF8250">
        <v>-2.83267520195239</v>
      </c>
      <c r="AG8250">
        <v>-1.1164499600719999</v>
      </c>
      <c r="AH8250">
        <v>8.8630569872893208</v>
      </c>
      <c r="AI8250">
        <v>96.842066050929006</v>
      </c>
      <c r="AJ8250">
        <v>107.724127197418</v>
      </c>
      <c r="AK8250">
        <v>9.3714613840659204</v>
      </c>
      <c r="AL8250">
        <v>88.066055593926905</v>
      </c>
      <c r="AM8250">
        <v>98.411014963500406</v>
      </c>
      <c r="AN8250">
        <v>1.0000000453664899</v>
      </c>
    </row>
    <row r="8251" spans="1:40" x14ac:dyDescent="0.25">
      <c r="A8251" t="str">
        <f>"20190312150852201"</f>
        <v>20190312150852201</v>
      </c>
      <c r="B8251" t="str">
        <f>"1552374532198065"</f>
        <v>1552374532198065</v>
      </c>
      <c r="C8251" t="s">
        <v>40</v>
      </c>
      <c r="D8251">
        <v>4.7148019999999997</v>
      </c>
      <c r="E8251">
        <v>0.4411986</v>
      </c>
      <c r="F8251" t="s">
        <v>73</v>
      </c>
      <c r="G8251">
        <v>-406.94200000000001</v>
      </c>
      <c r="H8251" s="1">
        <v>-3.9709670000000003E-6</v>
      </c>
      <c r="I8251">
        <v>26.00188</v>
      </c>
      <c r="J8251">
        <v>-414.0292</v>
      </c>
      <c r="K8251">
        <v>1.1164829999999999</v>
      </c>
      <c r="L8251">
        <v>32.121670000000002</v>
      </c>
      <c r="M8251">
        <v>0.52328710000000001</v>
      </c>
      <c r="N8251">
        <v>0</v>
      </c>
      <c r="O8251">
        <v>-0.85206229999999905</v>
      </c>
      <c r="P8251">
        <v>0.64157730000000002</v>
      </c>
      <c r="Q8251">
        <v>2.327744E-2</v>
      </c>
      <c r="R8251">
        <v>-0.76670519999999998</v>
      </c>
      <c r="S8251">
        <v>2.2988590000000002</v>
      </c>
      <c r="T8251">
        <v>-0.35810150000000002</v>
      </c>
      <c r="U8251">
        <v>-2.0026549999999999</v>
      </c>
      <c r="V8251">
        <v>-0.1460051</v>
      </c>
      <c r="W8251">
        <v>3.3552850000000002E-2</v>
      </c>
      <c r="X8251">
        <v>0.98871469999999995</v>
      </c>
      <c r="Y8251">
        <v>-0.29360849999999999</v>
      </c>
      <c r="Z8251">
        <v>0.1087038</v>
      </c>
      <c r="AA8251">
        <v>0.94972500000000004</v>
      </c>
      <c r="AB8251">
        <v>29</v>
      </c>
      <c r="AC8251">
        <v>7.0872000000000499</v>
      </c>
      <c r="AD8251">
        <v>-1.116486970967</v>
      </c>
      <c r="AE8251">
        <v>-6.1197900000000001</v>
      </c>
      <c r="AF8251">
        <v>-2.79679452639229</v>
      </c>
      <c r="AG8251">
        <v>-1.116486970967</v>
      </c>
      <c r="AH8251">
        <v>8.7987080513912908</v>
      </c>
      <c r="AI8251">
        <v>96.895290159284897</v>
      </c>
      <c r="AJ8251">
        <v>107.63359888981201</v>
      </c>
      <c r="AK8251">
        <v>9.2997777474956305</v>
      </c>
      <c r="AL8251">
        <v>88.077202449701105</v>
      </c>
      <c r="AM8251">
        <v>98.400250417055304</v>
      </c>
      <c r="AN8251">
        <v>1.0000000204826101</v>
      </c>
    </row>
    <row r="8252" spans="1:40" x14ac:dyDescent="0.25">
      <c r="A8252" t="str">
        <f>"20190312150852214"</f>
        <v>20190312150852214</v>
      </c>
      <c r="B8252" t="str">
        <f>"1552374532208473"</f>
        <v>1552374532208473</v>
      </c>
      <c r="C8252" t="s">
        <v>40</v>
      </c>
      <c r="D8252">
        <v>4.632657</v>
      </c>
      <c r="E8252">
        <v>0.4415347</v>
      </c>
      <c r="F8252" t="s">
        <v>73</v>
      </c>
      <c r="G8252">
        <v>-406.81659999999999</v>
      </c>
      <c r="H8252" s="1">
        <v>-4.0119959999999998E-6</v>
      </c>
      <c r="I8252">
        <v>25.877600000000001</v>
      </c>
      <c r="J8252">
        <v>-413.94740000000002</v>
      </c>
      <c r="K8252">
        <v>1.1165229999999999</v>
      </c>
      <c r="L8252">
        <v>31.996860000000002</v>
      </c>
      <c r="M8252">
        <v>0.52695999999999998</v>
      </c>
      <c r="N8252">
        <v>0</v>
      </c>
      <c r="O8252">
        <v>-0.84979559999999998</v>
      </c>
      <c r="P8252">
        <v>0.64487359999999905</v>
      </c>
      <c r="Q8252">
        <v>2.334176E-2</v>
      </c>
      <c r="R8252">
        <v>-0.76393299999999997</v>
      </c>
      <c r="S8252">
        <v>2.3046570000000002</v>
      </c>
      <c r="T8252">
        <v>-0.35675259999999998</v>
      </c>
      <c r="U8252">
        <v>-1.9951779999999999</v>
      </c>
      <c r="V8252">
        <v>-0.14600099999999999</v>
      </c>
      <c r="W8252">
        <v>3.3613850000000001E-2</v>
      </c>
      <c r="X8252">
        <v>0.98871319999999996</v>
      </c>
      <c r="Y8252">
        <v>-0.29247800000000002</v>
      </c>
      <c r="Z8252">
        <v>0.1080821</v>
      </c>
      <c r="AA8252">
        <v>0.95014460000000001</v>
      </c>
      <c r="AB8252">
        <v>29</v>
      </c>
      <c r="AC8252">
        <v>7.1308000000000202</v>
      </c>
      <c r="AD8252">
        <v>-1.116527011996</v>
      </c>
      <c r="AE8252">
        <v>-6.1192599999999899</v>
      </c>
      <c r="AF8252">
        <v>-2.79586955595915</v>
      </c>
      <c r="AG8252">
        <v>-1.116527011996</v>
      </c>
      <c r="AH8252">
        <v>8.8337606538573201</v>
      </c>
      <c r="AI8252">
        <v>96.871113840651702</v>
      </c>
      <c r="AJ8252">
        <v>107.562486869669</v>
      </c>
      <c r="AK8252">
        <v>9.3326762738291507</v>
      </c>
      <c r="AL8252">
        <v>88.073705370843797</v>
      </c>
      <c r="AM8252">
        <v>98.400030455553406</v>
      </c>
      <c r="AN8252">
        <v>0.99999998738353102</v>
      </c>
    </row>
    <row r="8253" spans="1:40" x14ac:dyDescent="0.25">
      <c r="A8253" t="str">
        <f>"20190312150852226"</f>
        <v>20190312150852226</v>
      </c>
      <c r="B8253" t="str">
        <f>"1552374532218234"</f>
        <v>1552374532218234</v>
      </c>
      <c r="C8253" t="s">
        <v>40</v>
      </c>
      <c r="D8253">
        <v>4.6478299999999999</v>
      </c>
      <c r="E8253">
        <v>0.44189309999999998</v>
      </c>
      <c r="F8253" t="s">
        <v>73</v>
      </c>
      <c r="G8253">
        <v>-406.67939999999999</v>
      </c>
      <c r="H8253" s="1">
        <v>-4.0576970000000003E-6</v>
      </c>
      <c r="I8253">
        <v>25.74672</v>
      </c>
      <c r="J8253">
        <v>-413.86410000000001</v>
      </c>
      <c r="K8253">
        <v>1.116565</v>
      </c>
      <c r="L8253">
        <v>31.870419999999999</v>
      </c>
      <c r="M8253">
        <v>0.53068979999999999</v>
      </c>
      <c r="N8253">
        <v>0</v>
      </c>
      <c r="O8253">
        <v>-0.84747129999999904</v>
      </c>
      <c r="P8253">
        <v>0.64803569999999999</v>
      </c>
      <c r="Q8253">
        <v>2.320552E-2</v>
      </c>
      <c r="R8253">
        <v>-0.76125669999999901</v>
      </c>
      <c r="S8253">
        <v>2.3108219999999999</v>
      </c>
      <c r="T8253">
        <v>-0.35499639999999999</v>
      </c>
      <c r="U8253">
        <v>-1.9872129999999999</v>
      </c>
      <c r="V8253">
        <v>-0.14575460000000001</v>
      </c>
      <c r="W8253">
        <v>3.3478029999999999E-2</v>
      </c>
      <c r="X8253">
        <v>0.98875420000000003</v>
      </c>
      <c r="Y8253">
        <v>-0.29147430000000002</v>
      </c>
      <c r="Z8253">
        <v>0.1073384</v>
      </c>
      <c r="AA8253">
        <v>0.95053730000000003</v>
      </c>
      <c r="AB8253">
        <v>29</v>
      </c>
      <c r="AC8253">
        <v>7.1847000000000198</v>
      </c>
      <c r="AD8253">
        <v>-1.116569057697</v>
      </c>
      <c r="AE8253">
        <v>-6.1237000000000004</v>
      </c>
      <c r="AF8253">
        <v>-2.8000985220564698</v>
      </c>
      <c r="AG8253">
        <v>-1.116569057697</v>
      </c>
      <c r="AH8253">
        <v>8.8790187903926192</v>
      </c>
      <c r="AI8253">
        <v>96.838889805636398</v>
      </c>
      <c r="AJ8253">
        <v>107.503255432458</v>
      </c>
      <c r="AK8253">
        <v>9.3767933150930904</v>
      </c>
      <c r="AL8253">
        <v>88.081491738159698</v>
      </c>
      <c r="AM8253">
        <v>98.385713032162002</v>
      </c>
      <c r="AN8253">
        <v>1.0000000249657399</v>
      </c>
    </row>
    <row r="8254" spans="1:40" x14ac:dyDescent="0.25">
      <c r="A8254" t="str">
        <f>"20190312150852237"</f>
        <v>20190312150852237</v>
      </c>
      <c r="B8254" t="str">
        <f>"1552374532227994"</f>
        <v>1552374532227994</v>
      </c>
      <c r="C8254" t="s">
        <v>40</v>
      </c>
      <c r="D8254">
        <v>4.6062089999999998</v>
      </c>
      <c r="E8254">
        <v>0.4422198</v>
      </c>
      <c r="F8254" t="s">
        <v>73</v>
      </c>
      <c r="G8254">
        <v>-406.55</v>
      </c>
      <c r="H8254" s="1">
        <v>-4.1005550000000004E-6</v>
      </c>
      <c r="I8254">
        <v>25.621680000000001</v>
      </c>
      <c r="J8254">
        <v>-413.77839999999998</v>
      </c>
      <c r="K8254">
        <v>1.1166119999999999</v>
      </c>
      <c r="L8254">
        <v>31.742100000000001</v>
      </c>
      <c r="M8254">
        <v>0.53452580000000005</v>
      </c>
      <c r="N8254">
        <v>0</v>
      </c>
      <c r="O8254">
        <v>-0.84505680000000005</v>
      </c>
      <c r="P8254">
        <v>0.65129150000000002</v>
      </c>
      <c r="Q8254">
        <v>2.3477100000000001E-2</v>
      </c>
      <c r="R8254">
        <v>-0.75846469999999999</v>
      </c>
      <c r="S8254">
        <v>2.3168329999999999</v>
      </c>
      <c r="T8254">
        <v>-0.3536878</v>
      </c>
      <c r="U8254">
        <v>-1.9793700000000001</v>
      </c>
      <c r="V8254">
        <v>-0.14552179999999901</v>
      </c>
      <c r="W8254">
        <v>3.3749199999999903E-2</v>
      </c>
      <c r="X8254">
        <v>0.98877919999999997</v>
      </c>
      <c r="Y8254">
        <v>-0.29026790000000002</v>
      </c>
      <c r="Z8254">
        <v>0.1067147</v>
      </c>
      <c r="AA8254">
        <v>0.95097659999999995</v>
      </c>
      <c r="AB8254">
        <v>29</v>
      </c>
      <c r="AC8254">
        <v>7.2283999999999597</v>
      </c>
      <c r="AD8254">
        <v>-1.1166161005549999</v>
      </c>
      <c r="AE8254">
        <v>-6.1204200000000002</v>
      </c>
      <c r="AF8254">
        <v>-2.7982235014537302</v>
      </c>
      <c r="AG8254">
        <v>-1.1166161005549999</v>
      </c>
      <c r="AH8254">
        <v>8.9127229476959204</v>
      </c>
      <c r="AI8254">
        <v>96.816267585617496</v>
      </c>
      <c r="AJ8254">
        <v>107.430114683253</v>
      </c>
      <c r="AK8254">
        <v>9.4081622340652693</v>
      </c>
      <c r="AL8254">
        <v>88.0659459209364</v>
      </c>
      <c r="AM8254">
        <v>98.372300643262307</v>
      </c>
      <c r="AN8254">
        <v>0.99999995456425805</v>
      </c>
    </row>
    <row r="8255" spans="1:40" x14ac:dyDescent="0.25">
      <c r="A8255" t="str">
        <f>"20190312150852249"</f>
        <v>20190312150852249</v>
      </c>
      <c r="B8255" t="str">
        <f>"1552374532237754"</f>
        <v>1552374532237754</v>
      </c>
      <c r="C8255" t="s">
        <v>40</v>
      </c>
      <c r="D8255">
        <v>4.7010860000000001</v>
      </c>
      <c r="E8255">
        <v>0.4425674</v>
      </c>
      <c r="F8255" t="s">
        <v>73</v>
      </c>
      <c r="G8255">
        <v>-406.38510000000002</v>
      </c>
      <c r="H8255" s="1">
        <v>-4.1567000000000004E-6</v>
      </c>
      <c r="I8255">
        <v>25.470669999999998</v>
      </c>
      <c r="J8255">
        <v>-413.70179999999999</v>
      </c>
      <c r="K8255">
        <v>1.1166560000000001</v>
      </c>
      <c r="L8255">
        <v>31.628229999999999</v>
      </c>
      <c r="M8255">
        <v>0.53794449999999905</v>
      </c>
      <c r="N8255">
        <v>0</v>
      </c>
      <c r="O8255">
        <v>-0.84288459999999998</v>
      </c>
      <c r="P8255">
        <v>0.65425800000000001</v>
      </c>
      <c r="Q8255">
        <v>2.3596849999999999E-2</v>
      </c>
      <c r="R8255">
        <v>-0.75590389999999996</v>
      </c>
      <c r="S8255">
        <v>2.3235779999999999</v>
      </c>
      <c r="T8255">
        <v>-0.350929299999999</v>
      </c>
      <c r="U8255">
        <v>-1.9709779999999999</v>
      </c>
      <c r="V8255">
        <v>-0.14539769999999999</v>
      </c>
      <c r="W8255">
        <v>3.386691E-2</v>
      </c>
      <c r="X8255">
        <v>0.98879349999999999</v>
      </c>
      <c r="Y8255">
        <v>-0.28984090000000001</v>
      </c>
      <c r="Z8255">
        <v>0.1056983</v>
      </c>
      <c r="AA8255">
        <v>0.95122030000000002</v>
      </c>
      <c r="AB8255">
        <v>29</v>
      </c>
      <c r="AC8255">
        <v>7.31669999999996</v>
      </c>
      <c r="AD8255">
        <v>-1.1166601567000001</v>
      </c>
      <c r="AE8255">
        <v>-6.1575599999999904</v>
      </c>
      <c r="AF8255">
        <v>-2.8165345489009499</v>
      </c>
      <c r="AG8255">
        <v>-1.1166601567000001</v>
      </c>
      <c r="AH8255">
        <v>9.0040553005099397</v>
      </c>
      <c r="AI8255">
        <v>96.750227781117999</v>
      </c>
      <c r="AJ8255">
        <v>107.370065629507</v>
      </c>
      <c r="AK8255">
        <v>9.5001478212370607</v>
      </c>
      <c r="AL8255">
        <v>88.059197908122599</v>
      </c>
      <c r="AM8255">
        <v>98.365142609413894</v>
      </c>
      <c r="AN8255">
        <v>1.0000000222002401</v>
      </c>
    </row>
    <row r="8256" spans="1:40" x14ac:dyDescent="0.25">
      <c r="A8256" t="str">
        <f>"20190312150852260"</f>
        <v>20190312150852260</v>
      </c>
      <c r="B8256" t="str">
        <f>"1552374532248490"</f>
        <v>1552374532248490</v>
      </c>
      <c r="C8256" t="s">
        <v>40</v>
      </c>
      <c r="D8256">
        <v>4.7429389999999998</v>
      </c>
      <c r="E8256">
        <v>0.4429227</v>
      </c>
      <c r="F8256" t="s">
        <v>73</v>
      </c>
      <c r="G8256">
        <v>-406.24220000000003</v>
      </c>
      <c r="H8256" s="1">
        <v>-4.2049729999999999E-6</v>
      </c>
      <c r="I8256">
        <v>25.338100000000001</v>
      </c>
      <c r="J8256">
        <v>-413.61590000000001</v>
      </c>
      <c r="K8256">
        <v>1.1167069999999999</v>
      </c>
      <c r="L8256">
        <v>31.501919999999998</v>
      </c>
      <c r="M8256">
        <v>0.54176569999999902</v>
      </c>
      <c r="N8256">
        <v>0</v>
      </c>
      <c r="O8256">
        <v>-0.84043319999999999</v>
      </c>
      <c r="P8256">
        <v>0.65776820000000003</v>
      </c>
      <c r="Q8256">
        <v>2.367499E-2</v>
      </c>
      <c r="R8256">
        <v>-0.75284830000000003</v>
      </c>
      <c r="S8256">
        <v>2.3289490000000002</v>
      </c>
      <c r="T8256">
        <v>-0.34863159999999999</v>
      </c>
      <c r="U8256">
        <v>-1.9638370000000001</v>
      </c>
      <c r="V8256">
        <v>-0.1455166</v>
      </c>
      <c r="W8256">
        <v>3.3938389999999999E-2</v>
      </c>
      <c r="X8256">
        <v>0.98877349999999997</v>
      </c>
      <c r="Y8256">
        <v>-0.28836089999999998</v>
      </c>
      <c r="Z8256">
        <v>0.104769</v>
      </c>
      <c r="AA8256">
        <v>0.95177279999999997</v>
      </c>
      <c r="AB8256">
        <v>29</v>
      </c>
      <c r="AC8256">
        <v>7.3736999999999799</v>
      </c>
      <c r="AD8256">
        <v>-1.1167112049729999</v>
      </c>
      <c r="AE8256">
        <v>-6.1638200000000003</v>
      </c>
      <c r="AF8256">
        <v>-2.8199147207783102</v>
      </c>
      <c r="AG8256">
        <v>-1.1167112049729999</v>
      </c>
      <c r="AH8256">
        <v>9.0536035979406293</v>
      </c>
      <c r="AI8256">
        <v>96.7164608697435</v>
      </c>
      <c r="AJ8256">
        <v>107.30018007850801</v>
      </c>
      <c r="AK8256">
        <v>9.5481255257991897</v>
      </c>
      <c r="AL8256">
        <v>88.055099938414102</v>
      </c>
      <c r="AM8256">
        <v>98.372053290345605</v>
      </c>
      <c r="AN8256">
        <v>0.99999996474679997</v>
      </c>
    </row>
    <row r="8257" spans="1:40" x14ac:dyDescent="0.25">
      <c r="A8257" t="str">
        <f>"20190312150852270"</f>
        <v>20190312150852270</v>
      </c>
      <c r="B8257" t="str">
        <f>"1552374532258250"</f>
        <v>1552374532258250</v>
      </c>
      <c r="C8257" t="s">
        <v>40</v>
      </c>
      <c r="D8257">
        <v>4.6519539999999999</v>
      </c>
      <c r="E8257">
        <v>0.44327</v>
      </c>
      <c r="F8257" t="s">
        <v>73</v>
      </c>
      <c r="G8257">
        <v>-406.10879999999997</v>
      </c>
      <c r="H8257" s="1">
        <v>-4.2509420000000001E-6</v>
      </c>
      <c r="I8257">
        <v>25.219090000000001</v>
      </c>
      <c r="J8257">
        <v>-413.54649999999998</v>
      </c>
      <c r="K8257">
        <v>1.1167469999999999</v>
      </c>
      <c r="L8257">
        <v>31.400759999999998</v>
      </c>
      <c r="M8257">
        <v>0.54485220000000001</v>
      </c>
      <c r="N8257">
        <v>0</v>
      </c>
      <c r="O8257">
        <v>-0.83843559999999995</v>
      </c>
      <c r="P8257">
        <v>0.66048600000000002</v>
      </c>
      <c r="Q8257">
        <v>2.3496659999999999E-2</v>
      </c>
      <c r="R8257">
        <v>-0.750471</v>
      </c>
      <c r="S8257">
        <v>2.3358759999999998</v>
      </c>
      <c r="T8257">
        <v>-0.34746860000000002</v>
      </c>
      <c r="U8257">
        <v>-1.9549259999999999</v>
      </c>
      <c r="V8257">
        <v>-0.1454529</v>
      </c>
      <c r="W8257">
        <v>3.3757309999999999E-2</v>
      </c>
      <c r="X8257">
        <v>0.98878909999999998</v>
      </c>
      <c r="Y8257">
        <v>-0.28840660000000001</v>
      </c>
      <c r="Z8257">
        <v>0.10426530000000001</v>
      </c>
      <c r="AA8257">
        <v>0.95181420000000005</v>
      </c>
      <c r="AB8257">
        <v>29</v>
      </c>
      <c r="AC8257">
        <v>7.4377000000000004</v>
      </c>
      <c r="AD8257">
        <v>-1.1167512509419999</v>
      </c>
      <c r="AE8257">
        <v>-6.1816699999999898</v>
      </c>
      <c r="AF8257">
        <v>-2.83042796362674</v>
      </c>
      <c r="AG8257">
        <v>-1.1167512509419999</v>
      </c>
      <c r="AH8257">
        <v>9.1145954637046795</v>
      </c>
      <c r="AI8257">
        <v>96.673905634151495</v>
      </c>
      <c r="AJ8257">
        <v>107.25155284304</v>
      </c>
      <c r="AK8257">
        <v>9.6090741635574197</v>
      </c>
      <c r="AL8257">
        <v>88.065481061968995</v>
      </c>
      <c r="AM8257">
        <v>98.368310169614105</v>
      </c>
      <c r="AN8257">
        <v>0.99999999318782795</v>
      </c>
    </row>
    <row r="8258" spans="1:40" x14ac:dyDescent="0.25">
      <c r="A8258" t="str">
        <f>"20190312150852281"</f>
        <v>20190312150852281</v>
      </c>
      <c r="B8258" t="str">
        <f>"1552374532277772"</f>
        <v>1552374532277772</v>
      </c>
      <c r="C8258" t="s">
        <v>40</v>
      </c>
      <c r="D8258">
        <v>4.6251300000000004</v>
      </c>
      <c r="E8258">
        <v>0.45612570000000002</v>
      </c>
      <c r="F8258" t="s">
        <v>73</v>
      </c>
      <c r="G8258">
        <v>-406.00310000000002</v>
      </c>
      <c r="H8258" s="1">
        <v>-4.2868869999999998E-6</v>
      </c>
      <c r="I8258">
        <v>25.122219999999999</v>
      </c>
      <c r="J8258">
        <v>-413.46179999999998</v>
      </c>
      <c r="K8258">
        <v>1.116792</v>
      </c>
      <c r="L8258">
        <v>31.278230000000001</v>
      </c>
      <c r="M8258">
        <v>0.54860810000000004</v>
      </c>
      <c r="N8258">
        <v>0</v>
      </c>
      <c r="O8258">
        <v>-0.83598249999999996</v>
      </c>
      <c r="P8258">
        <v>0.66408159999999905</v>
      </c>
      <c r="Q8258">
        <v>2.3370459999999999E-2</v>
      </c>
      <c r="R8258">
        <v>-0.74729519999999905</v>
      </c>
      <c r="S8258">
        <v>2.3407290000000001</v>
      </c>
      <c r="T8258">
        <v>-0.34653</v>
      </c>
      <c r="U8258">
        <v>-1.948242</v>
      </c>
      <c r="V8258">
        <v>-0.14576430000000001</v>
      </c>
      <c r="W8258">
        <v>3.3620039999999997E-2</v>
      </c>
      <c r="X8258">
        <v>0.98874799999999996</v>
      </c>
      <c r="Y8258">
        <v>-0.28672789999999998</v>
      </c>
      <c r="Z8258">
        <v>0.10373599999999999</v>
      </c>
      <c r="AA8258">
        <v>0.95237910000000003</v>
      </c>
      <c r="AB8258">
        <v>29</v>
      </c>
      <c r="AC8258">
        <v>7.4586999999999604</v>
      </c>
      <c r="AD8258">
        <v>-1.1167962868870001</v>
      </c>
      <c r="AE8258">
        <v>-6.1560099999999904</v>
      </c>
      <c r="AF8258">
        <v>-2.8207226301693602</v>
      </c>
      <c r="AG8258">
        <v>-1.1167962868870001</v>
      </c>
      <c r="AH8258">
        <v>9.1173869553491294</v>
      </c>
      <c r="AI8258">
        <v>96.674315829063204</v>
      </c>
      <c r="AJ8258">
        <v>107.190938195881</v>
      </c>
      <c r="AK8258">
        <v>9.6088737631589591</v>
      </c>
      <c r="AL8258">
        <v>88.073350674165496</v>
      </c>
      <c r="AM8258">
        <v>98.386315005608793</v>
      </c>
      <c r="AN8258">
        <v>1.0000000728740399</v>
      </c>
    </row>
    <row r="8259" spans="1:40" x14ac:dyDescent="0.25">
      <c r="A8259" t="str">
        <f>"20190312150852293"</f>
        <v>20190312150852293</v>
      </c>
      <c r="B8259" t="str">
        <f>"1552374532288506"</f>
        <v>1552374532288506</v>
      </c>
      <c r="C8259" t="s">
        <v>40</v>
      </c>
      <c r="D8259">
        <v>4.6241450000000004</v>
      </c>
      <c r="E8259">
        <v>0.45612570000000002</v>
      </c>
      <c r="F8259" t="s">
        <v>73</v>
      </c>
      <c r="G8259">
        <v>-405.21249999999998</v>
      </c>
      <c r="H8259" s="1">
        <v>-4.4839350000000003E-6</v>
      </c>
      <c r="I8259">
        <v>23.994340000000001</v>
      </c>
      <c r="J8259">
        <v>-413.37959999999998</v>
      </c>
      <c r="K8259">
        <v>1.1168359999999999</v>
      </c>
      <c r="L8259">
        <v>31.161069999999999</v>
      </c>
      <c r="M8259">
        <v>0.55224259999999903</v>
      </c>
      <c r="N8259">
        <v>0</v>
      </c>
      <c r="O8259">
        <v>-0.83358600000000005</v>
      </c>
      <c r="P8259">
        <v>0.66747179999999995</v>
      </c>
      <c r="Q8259">
        <v>2.304639E-2</v>
      </c>
      <c r="R8259">
        <v>-0.74427840000000001</v>
      </c>
      <c r="S8259">
        <v>2.271423</v>
      </c>
      <c r="T8259">
        <v>-0.30750949999999999</v>
      </c>
      <c r="U8259">
        <v>-2.0056150000000001</v>
      </c>
      <c r="V8259">
        <v>-0.1459474</v>
      </c>
      <c r="W8259">
        <v>3.3286919999999998E-2</v>
      </c>
      <c r="X8259">
        <v>0.98873219999999995</v>
      </c>
      <c r="Y8259">
        <v>-0.25564199999999998</v>
      </c>
      <c r="Z8259">
        <v>9.1507229999999995E-2</v>
      </c>
      <c r="AA8259">
        <v>0.96243109999999998</v>
      </c>
      <c r="AB8259">
        <v>29</v>
      </c>
      <c r="AC8259">
        <v>8.1670999999999996</v>
      </c>
      <c r="AD8259">
        <v>-1.1168404839349999</v>
      </c>
      <c r="AE8259">
        <v>-7.1667300000000003</v>
      </c>
      <c r="AF8259">
        <v>-2.8206383693053798</v>
      </c>
      <c r="AG8259">
        <v>-1.1168404839349999</v>
      </c>
      <c r="AH8259">
        <v>10.3755414055871</v>
      </c>
      <c r="AI8259">
        <v>95.930146691995901</v>
      </c>
      <c r="AJ8259">
        <v>105.208568020334</v>
      </c>
      <c r="AK8259">
        <v>10.809958045062301</v>
      </c>
      <c r="AL8259">
        <v>88.092447617695598</v>
      </c>
      <c r="AM8259">
        <v>98.396831545122893</v>
      </c>
      <c r="AN8259">
        <v>1.00000001296334</v>
      </c>
    </row>
    <row r="8260" spans="1:40" x14ac:dyDescent="0.25">
      <c r="A8260" t="str">
        <f>"20190312150852304"</f>
        <v>20190312150852304</v>
      </c>
      <c r="B8260" t="str">
        <f>"1552374532298266"</f>
        <v>1552374532298266</v>
      </c>
      <c r="C8260" t="s">
        <v>40</v>
      </c>
      <c r="D8260">
        <v>4.6421890000000001</v>
      </c>
      <c r="E8260">
        <v>0.4368032</v>
      </c>
      <c r="F8260" t="s">
        <v>73</v>
      </c>
      <c r="G8260">
        <v>-405.125</v>
      </c>
      <c r="H8260" s="1">
        <v>-4.5181260000000003E-6</v>
      </c>
      <c r="I8260">
        <v>23.939080000000001</v>
      </c>
      <c r="J8260">
        <v>-413.29520000000002</v>
      </c>
      <c r="K8260">
        <v>1.116884</v>
      </c>
      <c r="L8260">
        <v>31.04111</v>
      </c>
      <c r="M8260">
        <v>0.55596849999999998</v>
      </c>
      <c r="N8260">
        <v>0</v>
      </c>
      <c r="O8260">
        <v>-0.83110539999999999</v>
      </c>
      <c r="P8260">
        <v>0.67090419999999995</v>
      </c>
      <c r="Q8260">
        <v>2.246946E-2</v>
      </c>
      <c r="R8260">
        <v>-0.74120369999999902</v>
      </c>
      <c r="S8260">
        <v>2.2804869999999999</v>
      </c>
      <c r="T8260">
        <v>-0.30854799999999999</v>
      </c>
      <c r="U8260">
        <v>-1.995209</v>
      </c>
      <c r="V8260">
        <v>-0.14607519999999999</v>
      </c>
      <c r="W8260">
        <v>3.2702160000000001E-2</v>
      </c>
      <c r="X8260">
        <v>0.98873279999999997</v>
      </c>
      <c r="Y8260">
        <v>-0.25568259999999998</v>
      </c>
      <c r="Z8260">
        <v>9.1615429999999998E-2</v>
      </c>
      <c r="AA8260">
        <v>0.96240999999999999</v>
      </c>
      <c r="AB8260">
        <v>29</v>
      </c>
      <c r="AC8260">
        <v>8.1702000000000208</v>
      </c>
      <c r="AD8260">
        <v>-1.116888518126</v>
      </c>
      <c r="AE8260">
        <v>-7.1020299999999903</v>
      </c>
      <c r="AF8260">
        <v>-2.8120904753522802</v>
      </c>
      <c r="AG8260">
        <v>-1.116888518126</v>
      </c>
      <c r="AH8260">
        <v>10.335741027733899</v>
      </c>
      <c r="AI8260">
        <v>95.952743740877196</v>
      </c>
      <c r="AJ8260">
        <v>105.220295462626</v>
      </c>
      <c r="AK8260">
        <v>10.7695327380472</v>
      </c>
      <c r="AL8260">
        <v>88.1259700739717</v>
      </c>
      <c r="AM8260">
        <v>98.404074306599</v>
      </c>
      <c r="AN8260">
        <v>0.99999997255977202</v>
      </c>
    </row>
    <row r="8261" spans="1:40" x14ac:dyDescent="0.25">
      <c r="A8261" t="str">
        <f>"20190312150852316"</f>
        <v>20190312150852316</v>
      </c>
      <c r="B8261" t="str">
        <f>"1552374532308026"</f>
        <v>1552374532308026</v>
      </c>
      <c r="C8261" t="s">
        <v>40</v>
      </c>
      <c r="D8261">
        <v>4.5763689999999997</v>
      </c>
      <c r="E8261">
        <v>0.43095889999999998</v>
      </c>
      <c r="F8261" t="s">
        <v>73</v>
      </c>
      <c r="G8261">
        <v>-405.69670000000002</v>
      </c>
      <c r="H8261" s="1">
        <v>-4.4373709999999999E-6</v>
      </c>
      <c r="I8261">
        <v>25.101559999999999</v>
      </c>
      <c r="J8261">
        <v>-413.20639999999997</v>
      </c>
      <c r="K8261">
        <v>1.116933</v>
      </c>
      <c r="L8261">
        <v>30.916989999999998</v>
      </c>
      <c r="M8261">
        <v>0.55988769999999999</v>
      </c>
      <c r="N8261">
        <v>0</v>
      </c>
      <c r="O8261">
        <v>-0.82846989999999998</v>
      </c>
      <c r="P8261">
        <v>0.67445359999999999</v>
      </c>
      <c r="Q8261">
        <v>2.2420410000000002E-2</v>
      </c>
      <c r="R8261">
        <v>-0.73797709999999905</v>
      </c>
      <c r="S8261">
        <v>2.4057620000000002</v>
      </c>
      <c r="T8261">
        <v>-0.35361870000000001</v>
      </c>
      <c r="U8261">
        <v>-1.8805240000000001</v>
      </c>
      <c r="V8261">
        <v>-0.146152799999999</v>
      </c>
      <c r="W8261">
        <v>3.2645449999999999E-2</v>
      </c>
      <c r="X8261">
        <v>0.98872320000000002</v>
      </c>
      <c r="Y8261">
        <v>-0.30273640000000002</v>
      </c>
      <c r="Z8261">
        <v>0.10544290000000001</v>
      </c>
      <c r="AA8261">
        <v>0.9472235</v>
      </c>
      <c r="AB8261">
        <v>29</v>
      </c>
      <c r="AC8261">
        <v>7.5096999999999499</v>
      </c>
      <c r="AD8261">
        <v>-1.1169374373709999</v>
      </c>
      <c r="AE8261">
        <v>-5.8154300000000001</v>
      </c>
      <c r="AF8261">
        <v>-2.9253611822241301</v>
      </c>
      <c r="AG8261">
        <v>-1.1169374373709999</v>
      </c>
      <c r="AH8261">
        <v>8.9001573784650301</v>
      </c>
      <c r="AI8261">
        <v>96.7987959748164</v>
      </c>
      <c r="AJ8261">
        <v>108.19499387307999</v>
      </c>
      <c r="AK8261">
        <v>9.4349397797182597</v>
      </c>
      <c r="AL8261">
        <v>88.129221041776105</v>
      </c>
      <c r="AM8261">
        <v>98.408555494825507</v>
      </c>
      <c r="AN8261">
        <v>0.99999996628589005</v>
      </c>
    </row>
    <row r="8262" spans="1:40" x14ac:dyDescent="0.25">
      <c r="A8262" t="str">
        <f>"20190312150852330"</f>
        <v>20190312150852330</v>
      </c>
      <c r="B8262" t="str">
        <f>"1552374532317785"</f>
        <v>1552374532317785</v>
      </c>
      <c r="C8262" t="s">
        <v>40</v>
      </c>
      <c r="D8262">
        <v>4.5898949999999896</v>
      </c>
      <c r="E8262">
        <v>0.42590670000000003</v>
      </c>
      <c r="F8262" t="s">
        <v>73</v>
      </c>
      <c r="G8262">
        <v>-405.82100000000003</v>
      </c>
      <c r="H8262" s="1">
        <v>-4.4242230000000003E-6</v>
      </c>
      <c r="I8262">
        <v>25.378889999999998</v>
      </c>
      <c r="J8262">
        <v>-413.10660000000001</v>
      </c>
      <c r="K8262">
        <v>1.116989</v>
      </c>
      <c r="L8262">
        <v>30.778590000000001</v>
      </c>
      <c r="M8262">
        <v>0.56427839999999996</v>
      </c>
      <c r="N8262">
        <v>0</v>
      </c>
      <c r="O8262">
        <v>-0.82548559999999904</v>
      </c>
      <c r="P8262">
        <v>0.67843929999999997</v>
      </c>
      <c r="Q8262">
        <v>2.208452E-2</v>
      </c>
      <c r="R8262">
        <v>-0.73432489999999995</v>
      </c>
      <c r="S8262">
        <v>2.4501040000000001</v>
      </c>
      <c r="T8262">
        <v>-0.37054130000000002</v>
      </c>
      <c r="U8262">
        <v>-1.83725</v>
      </c>
      <c r="V8262">
        <v>-0.14625009999999999</v>
      </c>
      <c r="W8262">
        <v>3.2300870000000002E-2</v>
      </c>
      <c r="X8262">
        <v>0.98872020000000005</v>
      </c>
      <c r="Y8262">
        <v>-0.31613279999999999</v>
      </c>
      <c r="Z8262">
        <v>0.1103329</v>
      </c>
      <c r="AA8262">
        <v>0.94227740000000004</v>
      </c>
      <c r="AB8262">
        <v>29</v>
      </c>
      <c r="AC8262">
        <v>7.2856000000000396</v>
      </c>
      <c r="AD8262">
        <v>-1.116993424223</v>
      </c>
      <c r="AE8262">
        <v>-5.3997000000000002</v>
      </c>
      <c r="AF8262">
        <v>-2.9231174989209801</v>
      </c>
      <c r="AG8262">
        <v>-1.116993424223</v>
      </c>
      <c r="AH8262">
        <v>8.4411150756594697</v>
      </c>
      <c r="AI8262">
        <v>97.127407097079001</v>
      </c>
      <c r="AJ8262">
        <v>109.100723247068</v>
      </c>
      <c r="AK8262">
        <v>9.0024837652050795</v>
      </c>
      <c r="AL8262">
        <v>88.148974568971994</v>
      </c>
      <c r="AM8262">
        <v>98.414098474455798</v>
      </c>
      <c r="AN8262">
        <v>1.0000000359204</v>
      </c>
    </row>
    <row r="8263" spans="1:40" x14ac:dyDescent="0.25">
      <c r="A8263" t="str">
        <f>"20190312150852344"</f>
        <v>20190312150852344</v>
      </c>
      <c r="B8263" t="str">
        <f>"1552374532338282"</f>
        <v>1552374532338282</v>
      </c>
      <c r="C8263" t="s">
        <v>40</v>
      </c>
      <c r="D8263">
        <v>4.6230209999999996</v>
      </c>
      <c r="E8263">
        <v>0.42208079999999998</v>
      </c>
      <c r="F8263" t="s">
        <v>73</v>
      </c>
      <c r="G8263">
        <v>-405.89640000000003</v>
      </c>
      <c r="H8263" s="1">
        <v>-4.4218209999999997E-6</v>
      </c>
      <c r="I8263">
        <v>25.578499999999998</v>
      </c>
      <c r="J8263">
        <v>-413.00119999999998</v>
      </c>
      <c r="K8263">
        <v>1.1170500000000001</v>
      </c>
      <c r="L8263">
        <v>30.633939999999999</v>
      </c>
      <c r="M8263">
        <v>0.56890419999999997</v>
      </c>
      <c r="N8263">
        <v>0</v>
      </c>
      <c r="O8263">
        <v>-0.82230409999999898</v>
      </c>
      <c r="P8263">
        <v>0.68257579999999995</v>
      </c>
      <c r="Q8263">
        <v>2.1750410000000001E-2</v>
      </c>
      <c r="R8263">
        <v>-0.73049119999999901</v>
      </c>
      <c r="S8263">
        <v>2.4904169999999999</v>
      </c>
      <c r="T8263">
        <v>-0.38580959999999997</v>
      </c>
      <c r="U8263">
        <v>-1.7961119999999999</v>
      </c>
      <c r="V8263">
        <v>-0.1462762</v>
      </c>
      <c r="W8263">
        <v>3.1958210000000001E-2</v>
      </c>
      <c r="X8263">
        <v>0.98872749999999998</v>
      </c>
      <c r="Y8263">
        <v>-0.32782699999999998</v>
      </c>
      <c r="Z8263">
        <v>0.11467769999999999</v>
      </c>
      <c r="AA8263">
        <v>0.93775180000000002</v>
      </c>
      <c r="AB8263">
        <v>29</v>
      </c>
      <c r="AC8263">
        <v>7.1047999999999503</v>
      </c>
      <c r="AD8263">
        <v>-1.1170544218209999</v>
      </c>
      <c r="AE8263">
        <v>-5.0554399999999999</v>
      </c>
      <c r="AF8263">
        <v>-2.9185917476554302</v>
      </c>
      <c r="AG8263">
        <v>-1.1170544218209999</v>
      </c>
      <c r="AH8263">
        <v>8.0673399232828409</v>
      </c>
      <c r="AI8263">
        <v>97.418585850106098</v>
      </c>
      <c r="AJ8263">
        <v>109.88904470195</v>
      </c>
      <c r="AK8263">
        <v>8.6514716556540492</v>
      </c>
      <c r="AL8263">
        <v>88.168617728633393</v>
      </c>
      <c r="AM8263">
        <v>98.415517320404504</v>
      </c>
      <c r="AN8263">
        <v>1.0000000615645399</v>
      </c>
    </row>
    <row r="8264" spans="1:40" x14ac:dyDescent="0.25">
      <c r="A8264" t="str">
        <f>"20190312150852359"</f>
        <v>20190312150852359</v>
      </c>
      <c r="B8264" t="str">
        <f>"1552374532348043"</f>
        <v>1552374532348043</v>
      </c>
      <c r="C8264" t="s">
        <v>40</v>
      </c>
      <c r="D8264">
        <v>4.616854</v>
      </c>
      <c r="E8264">
        <v>0.421068</v>
      </c>
      <c r="F8264" t="s">
        <v>73</v>
      </c>
      <c r="G8264">
        <v>-406.00790000000001</v>
      </c>
      <c r="H8264" s="1">
        <v>-4.3968209999999999E-6</v>
      </c>
      <c r="I8264">
        <v>25.75338</v>
      </c>
      <c r="J8264">
        <v>-412.88220000000001</v>
      </c>
      <c r="K8264">
        <v>1.1171169999999999</v>
      </c>
      <c r="L8264">
        <v>30.473389999999998</v>
      </c>
      <c r="M8264">
        <v>0.5741096</v>
      </c>
      <c r="N8264">
        <v>0</v>
      </c>
      <c r="O8264">
        <v>-0.81867809999999996</v>
      </c>
      <c r="P8264">
        <v>0.68729580000000001</v>
      </c>
      <c r="Q8264">
        <v>2.1572020000000001E-2</v>
      </c>
      <c r="R8264">
        <v>-0.72605759999999997</v>
      </c>
      <c r="S8264">
        <v>2.5233460000000001</v>
      </c>
      <c r="T8264">
        <v>-0.40305809999999997</v>
      </c>
      <c r="U8264">
        <v>-1.7610169999999901</v>
      </c>
      <c r="V8264">
        <v>-0.14641100000000001</v>
      </c>
      <c r="W8264">
        <v>3.1769480000000003E-2</v>
      </c>
      <c r="X8264">
        <v>0.98871359999999997</v>
      </c>
      <c r="Y8264">
        <v>-0.3358082</v>
      </c>
      <c r="Z8264">
        <v>0.1194601</v>
      </c>
      <c r="AA8264">
        <v>0.93432440000000005</v>
      </c>
      <c r="AB8264">
        <v>29</v>
      </c>
      <c r="AC8264">
        <v>6.8742999999999999</v>
      </c>
      <c r="AD8264">
        <v>-1.1171213968210001</v>
      </c>
      <c r="AE8264">
        <v>-4.7200100000000003</v>
      </c>
      <c r="AF8264">
        <v>-2.8668237073526801</v>
      </c>
      <c r="AG8264">
        <v>-1.1171213968210001</v>
      </c>
      <c r="AH8264">
        <v>7.6736898845772696</v>
      </c>
      <c r="AI8264">
        <v>97.765642232476395</v>
      </c>
      <c r="AJ8264">
        <v>110.485250293265</v>
      </c>
      <c r="AK8264">
        <v>8.2675362006427395</v>
      </c>
      <c r="AL8264">
        <v>88.179436599896306</v>
      </c>
      <c r="AM8264">
        <v>98.423278103606293</v>
      </c>
      <c r="AN8264">
        <v>1.00000003180271</v>
      </c>
    </row>
    <row r="8265" spans="1:40" x14ac:dyDescent="0.25">
      <c r="A8265" t="str">
        <f>"20190312150852370"</f>
        <v>20190312150852370</v>
      </c>
      <c r="B8265" t="str">
        <f>"1552374532367562"</f>
        <v>1552374532367562</v>
      </c>
      <c r="C8265" t="s">
        <v>40</v>
      </c>
      <c r="D8265">
        <v>4.6348900000000004</v>
      </c>
      <c r="E8265">
        <v>0.41966320000000001</v>
      </c>
      <c r="F8265" t="s">
        <v>73</v>
      </c>
      <c r="G8265">
        <v>-405.96780000000001</v>
      </c>
      <c r="H8265" s="1">
        <v>-4.414667E-6</v>
      </c>
      <c r="I8265">
        <v>25.740359999999999</v>
      </c>
      <c r="J8265">
        <v>-412.7978</v>
      </c>
      <c r="K8265">
        <v>1.1171610000000001</v>
      </c>
      <c r="L8265">
        <v>30.360690000000002</v>
      </c>
      <c r="M8265">
        <v>0.57778999999999903</v>
      </c>
      <c r="N8265">
        <v>0</v>
      </c>
      <c r="O8265">
        <v>-0.8160849</v>
      </c>
      <c r="P8265">
        <v>0.69084449999999997</v>
      </c>
      <c r="Q8265">
        <v>2.1387750000000001E-2</v>
      </c>
      <c r="R8265">
        <v>-0.72268719999999997</v>
      </c>
      <c r="S8265">
        <v>2.540619</v>
      </c>
      <c r="T8265">
        <v>-0.4104756</v>
      </c>
      <c r="U8265">
        <v>-1.7391049999999999</v>
      </c>
      <c r="V8265">
        <v>-0.14680000000000001</v>
      </c>
      <c r="W8265">
        <v>3.1571689999999999E-2</v>
      </c>
      <c r="X8265">
        <v>0.98866220000000005</v>
      </c>
      <c r="Y8265">
        <v>-0.33977030000000003</v>
      </c>
      <c r="Z8265">
        <v>0.12147139999999999</v>
      </c>
      <c r="AA8265">
        <v>0.93263110000000005</v>
      </c>
      <c r="AB8265">
        <v>29</v>
      </c>
      <c r="AC8265">
        <v>6.8299999999999796</v>
      </c>
      <c r="AD8265">
        <v>-1.117165414667</v>
      </c>
      <c r="AE8265">
        <v>-4.62033</v>
      </c>
      <c r="AF8265">
        <v>-2.8521668792494501</v>
      </c>
      <c r="AG8265">
        <v>-1.117165414667</v>
      </c>
      <c r="AH8265">
        <v>7.5784203964785402</v>
      </c>
      <c r="AI8265">
        <v>97.855309999703096</v>
      </c>
      <c r="AJ8265">
        <v>110.624016021397</v>
      </c>
      <c r="AK8265">
        <v>8.17406693002801</v>
      </c>
      <c r="AL8265">
        <v>88.190774723294197</v>
      </c>
      <c r="AM8265">
        <v>98.445768349603</v>
      </c>
      <c r="AN8265">
        <v>0.99999997865914703</v>
      </c>
    </row>
    <row r="8266" spans="1:40" x14ac:dyDescent="0.25">
      <c r="A8266" t="str">
        <f>"20190312150852382"</f>
        <v>20190312150852382</v>
      </c>
      <c r="B8266" t="str">
        <f>"1552374532378298"</f>
        <v>1552374532378298</v>
      </c>
      <c r="C8266" t="s">
        <v>40</v>
      </c>
      <c r="D8266">
        <v>4.5861809999999998</v>
      </c>
      <c r="E8266">
        <v>0.4196761</v>
      </c>
      <c r="F8266" t="s">
        <v>73</v>
      </c>
      <c r="G8266">
        <v>-405.91809999999998</v>
      </c>
      <c r="H8266" s="1">
        <v>-4.438893E-6</v>
      </c>
      <c r="I8266">
        <v>25.735749999999999</v>
      </c>
      <c r="J8266">
        <v>-412.70940000000002</v>
      </c>
      <c r="K8266">
        <v>1.1172040000000001</v>
      </c>
      <c r="L8266">
        <v>30.243559999999999</v>
      </c>
      <c r="M8266">
        <v>0.58163589999999998</v>
      </c>
      <c r="N8266">
        <v>0</v>
      </c>
      <c r="O8266">
        <v>-0.81334790000000001</v>
      </c>
      <c r="P8266">
        <v>0.69403740000000003</v>
      </c>
      <c r="Q8266">
        <v>2.125293E-2</v>
      </c>
      <c r="R8266">
        <v>-0.71962539999999997</v>
      </c>
      <c r="S8266">
        <v>2.5570979999999999</v>
      </c>
      <c r="T8266">
        <v>-0.41523470000000001</v>
      </c>
      <c r="U8266">
        <v>-1.719025</v>
      </c>
      <c r="V8266">
        <v>-0.14650969999999999</v>
      </c>
      <c r="W8266">
        <v>3.143634E-2</v>
      </c>
      <c r="X8266">
        <v>0.98870959999999997</v>
      </c>
      <c r="Y8266">
        <v>-0.3430126</v>
      </c>
      <c r="Z8266">
        <v>0.1226337</v>
      </c>
      <c r="AA8266">
        <v>0.93129119999999999</v>
      </c>
      <c r="AB8266">
        <v>29</v>
      </c>
      <c r="AC8266">
        <v>6.7913000000000299</v>
      </c>
      <c r="AD8266">
        <v>-1.1172084388929999</v>
      </c>
      <c r="AE8266">
        <v>-4.5078099999999903</v>
      </c>
      <c r="AF8266">
        <v>-2.84851367769379</v>
      </c>
      <c r="AG8266">
        <v>-1.1172084388929999</v>
      </c>
      <c r="AH8266">
        <v>7.4766561837576297</v>
      </c>
      <c r="AI8266">
        <v>97.949116815723798</v>
      </c>
      <c r="AJ8266">
        <v>110.85622274529</v>
      </c>
      <c r="AK8266">
        <v>8.0785253950249896</v>
      </c>
      <c r="AL8266">
        <v>88.198533604897705</v>
      </c>
      <c r="AM8266">
        <v>98.428908549662694</v>
      </c>
      <c r="AN8266">
        <v>1.0000000043994199</v>
      </c>
    </row>
    <row r="8267" spans="1:40" x14ac:dyDescent="0.25">
      <c r="A8267" t="str">
        <f>"20190312150852393"</f>
        <v>20190312150852393</v>
      </c>
      <c r="B8267" t="str">
        <f>"1552374532388058"</f>
        <v>1552374532388058</v>
      </c>
      <c r="C8267" t="s">
        <v>40</v>
      </c>
      <c r="D8267">
        <v>4.5717230000000004</v>
      </c>
      <c r="E8267">
        <v>0.4196105</v>
      </c>
      <c r="F8267" t="s">
        <v>73</v>
      </c>
      <c r="G8267">
        <v>-405.91570000000002</v>
      </c>
      <c r="H8267" s="1">
        <v>-4.4374559999999999E-6</v>
      </c>
      <c r="I8267">
        <v>25.721109999999999</v>
      </c>
      <c r="J8267">
        <v>-412.62029999999999</v>
      </c>
      <c r="K8267">
        <v>1.117251</v>
      </c>
      <c r="L8267">
        <v>30.127230000000001</v>
      </c>
      <c r="M8267">
        <v>0.58549669999999998</v>
      </c>
      <c r="N8267">
        <v>0</v>
      </c>
      <c r="O8267">
        <v>-0.81057290000000004</v>
      </c>
      <c r="P8267">
        <v>0.69768169999999996</v>
      </c>
      <c r="Q8267">
        <v>2.1036260000000001E-2</v>
      </c>
      <c r="R8267">
        <v>-0.71609929999999999</v>
      </c>
      <c r="S8267">
        <v>2.5650330000000001</v>
      </c>
      <c r="T8267">
        <v>-0.4218191</v>
      </c>
      <c r="U8267">
        <v>-1.7075199999999999</v>
      </c>
      <c r="V8267">
        <v>-0.14682379999999901</v>
      </c>
      <c r="W8267">
        <v>3.120757E-2</v>
      </c>
      <c r="X8267">
        <v>0.98867020000000005</v>
      </c>
      <c r="Y8267">
        <v>-0.34255839999999999</v>
      </c>
      <c r="Z8267">
        <v>0.1242418</v>
      </c>
      <c r="AA8267">
        <v>0.93124530000000005</v>
      </c>
      <c r="AB8267">
        <v>29</v>
      </c>
      <c r="AC8267">
        <v>6.7045999999999699</v>
      </c>
      <c r="AD8267">
        <v>-1.117255437456</v>
      </c>
      <c r="AE8267">
        <v>-4.4061199999999898</v>
      </c>
      <c r="AF8267">
        <v>-2.8007190147187102</v>
      </c>
      <c r="AG8267">
        <v>-1.117255437456</v>
      </c>
      <c r="AH8267">
        <v>7.3549845938464404</v>
      </c>
      <c r="AI8267">
        <v>98.079749090618705</v>
      </c>
      <c r="AJ8267">
        <v>110.846431129108</v>
      </c>
      <c r="AK8267">
        <v>7.9490933500400196</v>
      </c>
      <c r="AL8267">
        <v>88.211647501954801</v>
      </c>
      <c r="AM8267">
        <v>98.447050503768196</v>
      </c>
      <c r="AN8267">
        <v>0.99999995251989104</v>
      </c>
    </row>
    <row r="8268" spans="1:40" x14ac:dyDescent="0.25">
      <c r="A8268" t="str">
        <f>"20190312150852404"</f>
        <v>20190312150852404</v>
      </c>
      <c r="B8268" t="str">
        <f>"1552374532397818"</f>
        <v>1552374532397818</v>
      </c>
      <c r="C8268" t="s">
        <v>40</v>
      </c>
      <c r="D8268">
        <v>4.6488569999999996</v>
      </c>
      <c r="E8268">
        <v>0.41969339999999999</v>
      </c>
      <c r="F8268" t="s">
        <v>73</v>
      </c>
      <c r="G8268">
        <v>-405.86680000000001</v>
      </c>
      <c r="H8268" s="1">
        <v>-4.455235E-6</v>
      </c>
      <c r="I8268">
        <v>25.68261</v>
      </c>
      <c r="J8268">
        <v>-412.53199999999998</v>
      </c>
      <c r="K8268">
        <v>1.1172949999999999</v>
      </c>
      <c r="L8268">
        <v>30.012270000000001</v>
      </c>
      <c r="M8268">
        <v>0.58931519999999904</v>
      </c>
      <c r="N8268">
        <v>0</v>
      </c>
      <c r="O8268">
        <v>-0.80780090000000004</v>
      </c>
      <c r="P8268">
        <v>0.70126699999999997</v>
      </c>
      <c r="Q8268">
        <v>2.0923819999999999E-2</v>
      </c>
      <c r="R8268">
        <v>-0.71259189999999994</v>
      </c>
      <c r="S8268">
        <v>2.574036</v>
      </c>
      <c r="T8268">
        <v>-0.42583270000000001</v>
      </c>
      <c r="U8268">
        <v>-1.6940310000000001</v>
      </c>
      <c r="V8268">
        <v>-0.1471199</v>
      </c>
      <c r="W8268">
        <v>3.108317E-2</v>
      </c>
      <c r="X8268">
        <v>0.98863020000000001</v>
      </c>
      <c r="Y8268">
        <v>-0.34290219999999999</v>
      </c>
      <c r="Z8268">
        <v>0.1251353</v>
      </c>
      <c r="AA8268">
        <v>0.93099900000000002</v>
      </c>
      <c r="AB8268">
        <v>29</v>
      </c>
      <c r="AC8268">
        <v>6.6651999999999703</v>
      </c>
      <c r="AD8268">
        <v>-1.117299455235</v>
      </c>
      <c r="AE8268">
        <v>-4.3296599999999996</v>
      </c>
      <c r="AF8268">
        <v>-2.7779573278858001</v>
      </c>
      <c r="AG8268">
        <v>-1.117299455235</v>
      </c>
      <c r="AH8268">
        <v>7.2821143514384401</v>
      </c>
      <c r="AI8268">
        <v>98.158000423786504</v>
      </c>
      <c r="AJ8268">
        <v>110.880690103967</v>
      </c>
      <c r="AK8268">
        <v>7.8736646115800797</v>
      </c>
      <c r="AL8268">
        <v>88.218778731181004</v>
      </c>
      <c r="AM8268">
        <v>98.464176679457296</v>
      </c>
      <c r="AN8268">
        <v>1.0000000503926401</v>
      </c>
    </row>
    <row r="8269" spans="1:40" x14ac:dyDescent="0.25">
      <c r="A8269" t="str">
        <f>"20190312150852415"</f>
        <v>20190312150852415</v>
      </c>
      <c r="B8269" t="str">
        <f>"1552374532407578"</f>
        <v>1552374532407578</v>
      </c>
      <c r="C8269" t="s">
        <v>40</v>
      </c>
      <c r="D8269">
        <v>4.577337</v>
      </c>
      <c r="E8269">
        <v>0.41973129999999997</v>
      </c>
      <c r="F8269" t="s">
        <v>73</v>
      </c>
      <c r="G8269">
        <v>-405.75189999999998</v>
      </c>
      <c r="H8269" s="1">
        <v>-4.4977350000000001E-6</v>
      </c>
      <c r="I8269">
        <v>25.596430000000002</v>
      </c>
      <c r="J8269">
        <v>-412.44450000000001</v>
      </c>
      <c r="K8269">
        <v>1.1173360000000001</v>
      </c>
      <c r="L8269">
        <v>29.900510000000001</v>
      </c>
      <c r="M8269">
        <v>0.593082199999999</v>
      </c>
      <c r="N8269">
        <v>0</v>
      </c>
      <c r="O8269">
        <v>-0.80503910000000001</v>
      </c>
      <c r="P8269">
        <v>0.70456839999999998</v>
      </c>
      <c r="Q8269">
        <v>2.0712339999999999E-2</v>
      </c>
      <c r="R8269">
        <v>-0.70933440000000003</v>
      </c>
      <c r="S8269">
        <v>2.581909</v>
      </c>
      <c r="T8269">
        <v>-0.4254752</v>
      </c>
      <c r="U8269">
        <v>-1.6815800000000001</v>
      </c>
      <c r="V8269">
        <v>-0.14708840000000001</v>
      </c>
      <c r="W8269">
        <v>3.0867269999999999E-2</v>
      </c>
      <c r="X8269">
        <v>0.98864160000000001</v>
      </c>
      <c r="Y8269">
        <v>-0.34300140000000001</v>
      </c>
      <c r="Z8269">
        <v>0.1247612</v>
      </c>
      <c r="AA8269">
        <v>0.93101270000000003</v>
      </c>
      <c r="AB8269">
        <v>29</v>
      </c>
      <c r="AC8269">
        <v>6.6926000000000201</v>
      </c>
      <c r="AD8269">
        <v>-1.1173404977349899</v>
      </c>
      <c r="AE8269">
        <v>-4.3040799999999901</v>
      </c>
      <c r="AF8269">
        <v>-2.7805401269674199</v>
      </c>
      <c r="AG8269">
        <v>-1.1173404977349899</v>
      </c>
      <c r="AH8269">
        <v>7.2910665575144797</v>
      </c>
      <c r="AI8269">
        <v>98.148719203729499</v>
      </c>
      <c r="AJ8269">
        <v>110.874980547058</v>
      </c>
      <c r="AK8269">
        <v>7.8828614558205201</v>
      </c>
      <c r="AL8269">
        <v>88.231154737984099</v>
      </c>
      <c r="AM8269">
        <v>98.462294482399798</v>
      </c>
      <c r="AN8269">
        <v>0.99999999951118601</v>
      </c>
    </row>
    <row r="8270" spans="1:40" x14ac:dyDescent="0.25">
      <c r="A8270" t="str">
        <f>"20190312150852426"</f>
        <v>20190312150852426</v>
      </c>
      <c r="B8270" t="str">
        <f>"1552374532418314"</f>
        <v>1552374532418314</v>
      </c>
      <c r="C8270" t="s">
        <v>40</v>
      </c>
      <c r="D8270">
        <v>4.625515</v>
      </c>
      <c r="E8270">
        <v>0.41990499999999997</v>
      </c>
      <c r="F8270" t="s">
        <v>73</v>
      </c>
      <c r="G8270">
        <v>-405.6952</v>
      </c>
      <c r="H8270" s="1">
        <v>-4.5178030000000001E-6</v>
      </c>
      <c r="I8270">
        <v>25.548950000000001</v>
      </c>
      <c r="J8270">
        <v>-412.36439999999999</v>
      </c>
      <c r="K8270">
        <v>1.1173679999999999</v>
      </c>
      <c r="L8270">
        <v>29.798400000000001</v>
      </c>
      <c r="M8270">
        <v>0.5965203</v>
      </c>
      <c r="N8270">
        <v>0</v>
      </c>
      <c r="O8270">
        <v>-0.80249459999999995</v>
      </c>
      <c r="P8270">
        <v>0.70773900000000001</v>
      </c>
      <c r="Q8270">
        <v>2.0712410000000001E-2</v>
      </c>
      <c r="R8270">
        <v>-0.70617069999999904</v>
      </c>
      <c r="S8270">
        <v>2.5896300000000001</v>
      </c>
      <c r="T8270">
        <v>-0.42871169999999997</v>
      </c>
      <c r="U8270">
        <v>-1.6696470000000001</v>
      </c>
      <c r="V8270">
        <v>-0.14729159999999999</v>
      </c>
      <c r="W8270">
        <v>3.0858210000000001E-2</v>
      </c>
      <c r="X8270">
        <v>0.98861160000000003</v>
      </c>
      <c r="Y8270">
        <v>-0.34318009999999999</v>
      </c>
      <c r="Z8270">
        <v>0.12544050000000001</v>
      </c>
      <c r="AA8270">
        <v>0.93085560000000001</v>
      </c>
      <c r="AB8270">
        <v>29</v>
      </c>
      <c r="AC8270">
        <v>6.6691999999999796</v>
      </c>
      <c r="AD8270">
        <v>-1.1173725178030001</v>
      </c>
      <c r="AE8270">
        <v>-4.2494500000000004</v>
      </c>
      <c r="AF8270">
        <v>-2.7622007219883198</v>
      </c>
      <c r="AG8270">
        <v>-1.1173725178030001</v>
      </c>
      <c r="AH8270">
        <v>7.2444527644727996</v>
      </c>
      <c r="AI8270">
        <v>98.200881503476396</v>
      </c>
      <c r="AJ8270">
        <v>110.871095526774</v>
      </c>
      <c r="AK8270">
        <v>7.83328603006247</v>
      </c>
      <c r="AL8270">
        <v>88.231674033130403</v>
      </c>
      <c r="AM8270">
        <v>98.474068786501803</v>
      </c>
      <c r="AN8270">
        <v>0.99999997010476105</v>
      </c>
    </row>
    <row r="8271" spans="1:40" x14ac:dyDescent="0.25">
      <c r="A8271" t="str">
        <f>"20190312150852436"</f>
        <v>20190312150852436</v>
      </c>
      <c r="B8271" t="str">
        <f>"1552374532428075"</f>
        <v>1552374532428075</v>
      </c>
      <c r="C8271" t="s">
        <v>40</v>
      </c>
      <c r="D8271">
        <v>4.6289129999999998</v>
      </c>
      <c r="E8271">
        <v>0.42000029999999999</v>
      </c>
      <c r="F8271" t="s">
        <v>73</v>
      </c>
      <c r="G8271">
        <v>-405.61250000000001</v>
      </c>
      <c r="H8271" s="1">
        <v>-4.5476789999999997E-6</v>
      </c>
      <c r="I8271">
        <v>25.482959999999999</v>
      </c>
      <c r="J8271">
        <v>-412.27319999999997</v>
      </c>
      <c r="K8271">
        <v>1.1174090000000001</v>
      </c>
      <c r="L8271">
        <v>29.683959999999999</v>
      </c>
      <c r="M8271">
        <v>0.60041709999999904</v>
      </c>
      <c r="N8271">
        <v>0</v>
      </c>
      <c r="O8271">
        <v>-0.79958300000000004</v>
      </c>
      <c r="P8271">
        <v>0.71154709999999999</v>
      </c>
      <c r="Q8271">
        <v>2.0378420000000001E-2</v>
      </c>
      <c r="R8271">
        <v>-0.70234280000000004</v>
      </c>
      <c r="S8271">
        <v>2.5959469999999998</v>
      </c>
      <c r="T8271">
        <v>-0.4296024</v>
      </c>
      <c r="U8271">
        <v>-1.6591800000000001</v>
      </c>
      <c r="V8271">
        <v>-0.14781929999999999</v>
      </c>
      <c r="W8271">
        <v>3.0508859999999999E-2</v>
      </c>
      <c r="X8271">
        <v>0.98854370000000003</v>
      </c>
      <c r="Y8271">
        <v>-0.34229929999999997</v>
      </c>
      <c r="Z8271">
        <v>0.12536620000000001</v>
      </c>
      <c r="AA8271">
        <v>0.93118979999999996</v>
      </c>
      <c r="AB8271">
        <v>29</v>
      </c>
      <c r="AC8271">
        <v>6.6606999999999603</v>
      </c>
      <c r="AD8271">
        <v>-1.1174135476789999</v>
      </c>
      <c r="AE8271">
        <v>-4.2009999999999899</v>
      </c>
      <c r="AF8271">
        <v>-2.7483269865122701</v>
      </c>
      <c r="AG8271">
        <v>-1.1174135476789999</v>
      </c>
      <c r="AH8271">
        <v>7.2136151916196498</v>
      </c>
      <c r="AI8271">
        <v>98.236550857746593</v>
      </c>
      <c r="AJ8271">
        <v>110.856421658431</v>
      </c>
      <c r="AK8271">
        <v>7.7998819474459999</v>
      </c>
      <c r="AL8271">
        <v>88.251699780762905</v>
      </c>
      <c r="AM8271">
        <v>98.504561173567794</v>
      </c>
      <c r="AN8271">
        <v>0.99999999140033902</v>
      </c>
    </row>
    <row r="8272" spans="1:40" x14ac:dyDescent="0.25">
      <c r="A8272" t="str">
        <f>"20190312150852448"</f>
        <v>20190312150852448</v>
      </c>
      <c r="B8272" t="str">
        <f>"1552374532437834"</f>
        <v>1552374532437834</v>
      </c>
      <c r="C8272" t="s">
        <v>40</v>
      </c>
      <c r="D8272">
        <v>4.5863060000000004</v>
      </c>
      <c r="E8272">
        <v>0.4202536</v>
      </c>
      <c r="F8272" t="s">
        <v>73</v>
      </c>
      <c r="G8272">
        <v>-405.53199999999998</v>
      </c>
      <c r="H8272" s="1">
        <v>-4.5779620000000003E-6</v>
      </c>
      <c r="I8272">
        <v>25.425599999999999</v>
      </c>
      <c r="J8272">
        <v>-412.18639999999999</v>
      </c>
      <c r="K8272">
        <v>1.1174470000000001</v>
      </c>
      <c r="L8272">
        <v>29.57565</v>
      </c>
      <c r="M8272">
        <v>0.60411329999999996</v>
      </c>
      <c r="N8272">
        <v>0</v>
      </c>
      <c r="O8272">
        <v>-0.79679409999999995</v>
      </c>
      <c r="P8272">
        <v>0.714889</v>
      </c>
      <c r="Q8272">
        <v>2.0319569999999999E-2</v>
      </c>
      <c r="R8272">
        <v>-0.69894299999999998</v>
      </c>
      <c r="S8272">
        <v>2.604584</v>
      </c>
      <c r="T8272">
        <v>-0.43173240000000002</v>
      </c>
      <c r="U8272">
        <v>-1.64529399999999</v>
      </c>
      <c r="V8272">
        <v>-0.1479577</v>
      </c>
      <c r="W8272">
        <v>3.0442130000000001E-2</v>
      </c>
      <c r="X8272">
        <v>0.98852510000000005</v>
      </c>
      <c r="Y8272">
        <v>-0.34283360000000002</v>
      </c>
      <c r="Z8272">
        <v>0.12571579999999999</v>
      </c>
      <c r="AA8272">
        <v>0.9309461</v>
      </c>
      <c r="AB8272">
        <v>29</v>
      </c>
      <c r="AC8272">
        <v>6.6544000000000096</v>
      </c>
      <c r="AD8272">
        <v>-1.11745157796199</v>
      </c>
      <c r="AE8272">
        <v>-4.1500500000000002</v>
      </c>
      <c r="AF8272">
        <v>-2.7396953859703701</v>
      </c>
      <c r="AG8272">
        <v>-1.11745157796199</v>
      </c>
      <c r="AH8272">
        <v>7.1815510562846798</v>
      </c>
      <c r="AI8272">
        <v>98.271739747088205</v>
      </c>
      <c r="AJ8272">
        <v>110.881390865783</v>
      </c>
      <c r="AK8272">
        <v>7.7671941144161396</v>
      </c>
      <c r="AL8272">
        <v>88.255524987590704</v>
      </c>
      <c r="AM8272">
        <v>98.512565028688897</v>
      </c>
      <c r="AN8272">
        <v>1.0000000387991099</v>
      </c>
    </row>
    <row r="8273" spans="1:40" x14ac:dyDescent="0.25">
      <c r="A8273" t="str">
        <f>"20190312150852459"</f>
        <v>20190312150852459</v>
      </c>
      <c r="B8273" t="str">
        <f>"1552374532447595"</f>
        <v>1552374532447595</v>
      </c>
      <c r="C8273" t="s">
        <v>40</v>
      </c>
      <c r="D8273">
        <v>4.6486510000000001</v>
      </c>
      <c r="E8273">
        <v>0.42058220000000002</v>
      </c>
      <c r="F8273" t="s">
        <v>73</v>
      </c>
      <c r="G8273">
        <v>-405.45030000000003</v>
      </c>
      <c r="H8273" s="1">
        <v>-4.6071329999999998E-6</v>
      </c>
      <c r="I8273">
        <v>25.358630000000002</v>
      </c>
      <c r="J8273">
        <v>-412.09699999999998</v>
      </c>
      <c r="K8273">
        <v>1.1174820000000001</v>
      </c>
      <c r="L8273">
        <v>29.465479999999999</v>
      </c>
      <c r="M8273">
        <v>0.60790059999999901</v>
      </c>
      <c r="N8273">
        <v>0</v>
      </c>
      <c r="O8273">
        <v>-0.79390830000000001</v>
      </c>
      <c r="P8273">
        <v>0.71856129999999996</v>
      </c>
      <c r="Q8273">
        <v>2.0147749999999999E-2</v>
      </c>
      <c r="R8273">
        <v>-0.69517180000000001</v>
      </c>
      <c r="S8273">
        <v>2.6107480000000001</v>
      </c>
      <c r="T8273">
        <v>-0.43310080000000001</v>
      </c>
      <c r="U8273">
        <v>-1.6344299999999901</v>
      </c>
      <c r="V8273">
        <v>-0.14845529999999901</v>
      </c>
      <c r="W8273">
        <v>3.0255770000000001E-2</v>
      </c>
      <c r="X8273">
        <v>0.98845620000000001</v>
      </c>
      <c r="Y8273">
        <v>-0.34210770000000001</v>
      </c>
      <c r="Z8273">
        <v>0.12579109999999999</v>
      </c>
      <c r="AA8273">
        <v>0.93120289999999994</v>
      </c>
      <c r="AB8273">
        <v>29</v>
      </c>
      <c r="AC8273">
        <v>6.6466999999999503</v>
      </c>
      <c r="AD8273">
        <v>-1.1174866071330001</v>
      </c>
      <c r="AE8273">
        <v>-4.1068499999999997</v>
      </c>
      <c r="AF8273">
        <v>-2.7248046409740199</v>
      </c>
      <c r="AG8273">
        <v>-1.1174866071330001</v>
      </c>
      <c r="AH8273">
        <v>7.1552305505932496</v>
      </c>
      <c r="AI8273">
        <v>98.303847397960894</v>
      </c>
      <c r="AJ8273">
        <v>110.84748266178801</v>
      </c>
      <c r="AK8273">
        <v>7.7376133840311603</v>
      </c>
      <c r="AL8273">
        <v>88.2662075229252</v>
      </c>
      <c r="AM8273">
        <v>98.541358864834606</v>
      </c>
      <c r="AN8273">
        <v>1.00000002351741</v>
      </c>
    </row>
    <row r="8274" spans="1:40" x14ac:dyDescent="0.25">
      <c r="A8274" t="str">
        <f>"20190312150852470"</f>
        <v>20190312150852470</v>
      </c>
      <c r="B8274" t="str">
        <f>"1552374532468089"</f>
        <v>1552374532468089</v>
      </c>
      <c r="C8274" t="s">
        <v>40</v>
      </c>
      <c r="D8274">
        <v>4.6120830000000002</v>
      </c>
      <c r="E8274">
        <v>0.42098279999999899</v>
      </c>
      <c r="F8274" t="s">
        <v>73</v>
      </c>
      <c r="G8274">
        <v>-405.39620000000002</v>
      </c>
      <c r="H8274" s="1">
        <v>-4.6261270000000002E-6</v>
      </c>
      <c r="I8274">
        <v>25.31222</v>
      </c>
      <c r="J8274">
        <v>-412.01139999999998</v>
      </c>
      <c r="K8274">
        <v>1.117515</v>
      </c>
      <c r="L8274">
        <v>29.360990000000001</v>
      </c>
      <c r="M8274">
        <v>0.61151029999999995</v>
      </c>
      <c r="N8274">
        <v>0</v>
      </c>
      <c r="O8274">
        <v>-0.79113120000000003</v>
      </c>
      <c r="P8274">
        <v>0.7219563</v>
      </c>
      <c r="Q8274">
        <v>2.0006679999999999E-2</v>
      </c>
      <c r="R8274">
        <v>-0.69164930000000002</v>
      </c>
      <c r="S8274">
        <v>2.6176149999999998</v>
      </c>
      <c r="T8274">
        <v>-0.43653619999999999</v>
      </c>
      <c r="U8274">
        <v>-1.6224369999999999</v>
      </c>
      <c r="V8274">
        <v>-0.14879020000000001</v>
      </c>
      <c r="W8274">
        <v>3.0103729999999999E-2</v>
      </c>
      <c r="X8274">
        <v>0.98841049999999997</v>
      </c>
      <c r="Y8274">
        <v>-0.34189789999999998</v>
      </c>
      <c r="Z8274">
        <v>0.12648709999999999</v>
      </c>
      <c r="AA8274">
        <v>0.93118570000000001</v>
      </c>
      <c r="AB8274">
        <v>29</v>
      </c>
      <c r="AC8274">
        <v>6.6151999999999598</v>
      </c>
      <c r="AD8274">
        <v>-1.117519626127</v>
      </c>
      <c r="AE8274">
        <v>-4.0487700000000002</v>
      </c>
      <c r="AF8274">
        <v>-2.7017646952584</v>
      </c>
      <c r="AG8274">
        <v>-1.117519626127</v>
      </c>
      <c r="AH8274">
        <v>7.1015393187411</v>
      </c>
      <c r="AI8274">
        <v>98.366988648320103</v>
      </c>
      <c r="AJ8274">
        <v>110.82920510939501</v>
      </c>
      <c r="AK8274">
        <v>7.6798595871897</v>
      </c>
      <c r="AL8274">
        <v>88.274922766794106</v>
      </c>
      <c r="AM8274">
        <v>98.560732077502095</v>
      </c>
      <c r="AN8274">
        <v>1.0000000373430999</v>
      </c>
    </row>
    <row r="8275" spans="1:40" x14ac:dyDescent="0.25">
      <c r="A8275" t="str">
        <f>"20190312150852481"</f>
        <v>20190312150852481</v>
      </c>
      <c r="B8275" t="str">
        <f>"1552374532477851"</f>
        <v>1552374532477851</v>
      </c>
      <c r="C8275" t="s">
        <v>40</v>
      </c>
      <c r="D8275">
        <v>4.6604239999999999</v>
      </c>
      <c r="E8275">
        <v>0.42128090000000001</v>
      </c>
      <c r="F8275" t="s">
        <v>73</v>
      </c>
      <c r="G8275">
        <v>-405.30739999999997</v>
      </c>
      <c r="H8275" s="1">
        <v>-4.6581829999999999E-6</v>
      </c>
      <c r="I8275">
        <v>25.241379999999999</v>
      </c>
      <c r="J8275">
        <v>-411.91419999999999</v>
      </c>
      <c r="K8275">
        <v>1.117556</v>
      </c>
      <c r="L8275">
        <v>29.243289999999998</v>
      </c>
      <c r="M8275">
        <v>0.61559219999999903</v>
      </c>
      <c r="N8275">
        <v>0</v>
      </c>
      <c r="O8275">
        <v>-0.78795879999999996</v>
      </c>
      <c r="P8275">
        <v>0.72561489999999995</v>
      </c>
      <c r="Q8275">
        <v>1.9485800000000001E-2</v>
      </c>
      <c r="R8275">
        <v>-0.68782519999999903</v>
      </c>
      <c r="S8275">
        <v>2.6231689999999999</v>
      </c>
      <c r="T8275">
        <v>-0.43726739999999997</v>
      </c>
      <c r="U8275">
        <v>-1.6119380000000001</v>
      </c>
      <c r="V8275">
        <v>-0.1489075</v>
      </c>
      <c r="W8275">
        <v>2.9575629999999999E-2</v>
      </c>
      <c r="X8275">
        <v>0.98840870000000003</v>
      </c>
      <c r="Y8275">
        <v>-0.34062809999999999</v>
      </c>
      <c r="Z8275">
        <v>0.12632470000000001</v>
      </c>
      <c r="AA8275">
        <v>0.93167299999999997</v>
      </c>
      <c r="AB8275">
        <v>29</v>
      </c>
      <c r="AC8275">
        <v>6.6068000000000202</v>
      </c>
      <c r="AD8275">
        <v>-1.117560658183</v>
      </c>
      <c r="AE8275">
        <v>-4.0019099999999996</v>
      </c>
      <c r="AF8275">
        <v>-2.6863389744316999</v>
      </c>
      <c r="AG8275">
        <v>-1.117560658183</v>
      </c>
      <c r="AH8275">
        <v>7.07298286401653</v>
      </c>
      <c r="AI8275">
        <v>98.402366389378798</v>
      </c>
      <c r="AJ8275">
        <v>110.79691927854</v>
      </c>
      <c r="AK8275">
        <v>7.6480354016531997</v>
      </c>
      <c r="AL8275">
        <v>88.305194015705695</v>
      </c>
      <c r="AM8275">
        <v>98.5673962612087</v>
      </c>
      <c r="AN8275">
        <v>0.99999995984091705</v>
      </c>
    </row>
    <row r="8276" spans="1:40" x14ac:dyDescent="0.25">
      <c r="A8276" t="str">
        <f>"20190312150852493"</f>
        <v>20190312150852493</v>
      </c>
      <c r="B8276" t="str">
        <f>"1552374532487610"</f>
        <v>1552374532487610</v>
      </c>
      <c r="C8276" t="s">
        <v>40</v>
      </c>
      <c r="D8276">
        <v>4.6668469999999997</v>
      </c>
      <c r="E8276">
        <v>0.42148580000000002</v>
      </c>
      <c r="F8276" t="s">
        <v>73</v>
      </c>
      <c r="G8276">
        <v>-405.2081</v>
      </c>
      <c r="H8276" s="1">
        <v>-4.6944159999999999E-6</v>
      </c>
      <c r="I8276">
        <v>25.164069999999999</v>
      </c>
      <c r="J8276">
        <v>-411.82299999999998</v>
      </c>
      <c r="K8276">
        <v>1.1175870000000001</v>
      </c>
      <c r="L8276">
        <v>29.134429999999998</v>
      </c>
      <c r="M8276">
        <v>0.61939999999999995</v>
      </c>
      <c r="N8276">
        <v>0</v>
      </c>
      <c r="O8276">
        <v>-0.78496909999999998</v>
      </c>
      <c r="P8276">
        <v>0.72931000000000001</v>
      </c>
      <c r="Q8276">
        <v>1.968025E-2</v>
      </c>
      <c r="R8276">
        <v>-0.68390050000000002</v>
      </c>
      <c r="S8276">
        <v>2.629791</v>
      </c>
      <c r="T8276">
        <v>-0.43824479999999999</v>
      </c>
      <c r="U8276">
        <v>-1.59964</v>
      </c>
      <c r="V8276">
        <v>-0.1494567</v>
      </c>
      <c r="W8276">
        <v>2.9754840000000001E-2</v>
      </c>
      <c r="X8276">
        <v>0.98832050000000005</v>
      </c>
      <c r="Y8276">
        <v>-0.34028649999999999</v>
      </c>
      <c r="Z8276">
        <v>0.12629269999999901</v>
      </c>
      <c r="AA8276">
        <v>0.93180220000000002</v>
      </c>
      <c r="AB8276">
        <v>29</v>
      </c>
      <c r="AC8276">
        <v>6.6149000000000298</v>
      </c>
      <c r="AD8276">
        <v>-1.117591694416</v>
      </c>
      <c r="AE8276">
        <v>-3.9703599999999901</v>
      </c>
      <c r="AF8276">
        <v>-2.6772978269909</v>
      </c>
      <c r="AG8276">
        <v>-1.117591694416</v>
      </c>
      <c r="AH8276">
        <v>7.0662012707599198</v>
      </c>
      <c r="AI8276">
        <v>98.413061159026796</v>
      </c>
      <c r="AJ8276">
        <v>110.75108945682101</v>
      </c>
      <c r="AK8276">
        <v>7.63859510962107</v>
      </c>
      <c r="AL8276">
        <v>88.294921642722898</v>
      </c>
      <c r="AM8276">
        <v>98.599278923637499</v>
      </c>
      <c r="AN8276">
        <v>1.00000003319928</v>
      </c>
    </row>
    <row r="8277" spans="1:40" x14ac:dyDescent="0.25">
      <c r="A8277" t="str">
        <f>"20190312150852505"</f>
        <v>20190312150852505</v>
      </c>
      <c r="B8277" t="str">
        <f>"1552374532498346"</f>
        <v>1552374532498346</v>
      </c>
      <c r="C8277" t="s">
        <v>40</v>
      </c>
      <c r="D8277">
        <v>4.6411449999999999</v>
      </c>
      <c r="E8277">
        <v>0.42168280000000002</v>
      </c>
      <c r="F8277" t="s">
        <v>73</v>
      </c>
      <c r="G8277">
        <v>-405.10079999999999</v>
      </c>
      <c r="H8277" s="1">
        <v>-4.7352379999999998E-6</v>
      </c>
      <c r="I8277">
        <v>25.090070000000001</v>
      </c>
      <c r="J8277">
        <v>-411.7269</v>
      </c>
      <c r="K8277">
        <v>1.1176219999999999</v>
      </c>
      <c r="L8277">
        <v>29.02026</v>
      </c>
      <c r="M8277">
        <v>0.623394</v>
      </c>
      <c r="N8277">
        <v>0</v>
      </c>
      <c r="O8277">
        <v>-0.78180079999999996</v>
      </c>
      <c r="P8277">
        <v>0.73314279999999998</v>
      </c>
      <c r="Q8277">
        <v>1.9598669999999999E-2</v>
      </c>
      <c r="R8277">
        <v>-0.67979259999999997</v>
      </c>
      <c r="S8277">
        <v>2.6373600000000001</v>
      </c>
      <c r="T8277">
        <v>-0.43846679999999999</v>
      </c>
      <c r="U8277">
        <v>-1.5867309999999999</v>
      </c>
      <c r="V8277">
        <v>-0.1499732</v>
      </c>
      <c r="W8277">
        <v>2.9658090000000002E-2</v>
      </c>
      <c r="X8277">
        <v>0.98824509999999999</v>
      </c>
      <c r="Y8277">
        <v>-0.34004489999999998</v>
      </c>
      <c r="Z8277">
        <v>0.12600690000000001</v>
      </c>
      <c r="AA8277">
        <v>0.93192909999999995</v>
      </c>
      <c r="AB8277">
        <v>29</v>
      </c>
      <c r="AC8277">
        <v>6.6261000000000001</v>
      </c>
      <c r="AD8277">
        <v>-1.1176267352379901</v>
      </c>
      <c r="AE8277">
        <v>-3.9301899999999899</v>
      </c>
      <c r="AF8277">
        <v>-2.6741822540759599</v>
      </c>
      <c r="AG8277">
        <v>-1.1176267352379901</v>
      </c>
      <c r="AH8277">
        <v>7.0554143874778701</v>
      </c>
      <c r="AI8277">
        <v>98.425620691217304</v>
      </c>
      <c r="AJ8277">
        <v>110.757987748855</v>
      </c>
      <c r="AK8277">
        <v>7.6275299033411397</v>
      </c>
      <c r="AL8277">
        <v>88.300467349917099</v>
      </c>
      <c r="AM8277">
        <v>98.629198632001803</v>
      </c>
      <c r="AN8277">
        <v>0.999999970347348</v>
      </c>
    </row>
    <row r="8278" spans="1:40" x14ac:dyDescent="0.25">
      <c r="A8278" t="str">
        <f>"20190312150852516"</f>
        <v>20190312150852516</v>
      </c>
      <c r="B8278" t="str">
        <f>"1552374532508106"</f>
        <v>1552374532508106</v>
      </c>
      <c r="C8278" t="s">
        <v>40</v>
      </c>
      <c r="D8278">
        <v>4.6492719999999998</v>
      </c>
      <c r="E8278">
        <v>0.4219176</v>
      </c>
      <c r="F8278" t="s">
        <v>73</v>
      </c>
      <c r="G8278">
        <v>-404.98309999999998</v>
      </c>
      <c r="H8278" s="1">
        <v>-4.7800269999999997E-6</v>
      </c>
      <c r="I8278">
        <v>25.009</v>
      </c>
      <c r="J8278">
        <v>-411.62619999999998</v>
      </c>
      <c r="K8278">
        <v>1.117659</v>
      </c>
      <c r="L8278">
        <v>28.902709999999999</v>
      </c>
      <c r="M8278">
        <v>0.62755190000000005</v>
      </c>
      <c r="N8278">
        <v>0</v>
      </c>
      <c r="O8278">
        <v>-0.77846689999999996</v>
      </c>
      <c r="P8278">
        <v>0.73701969999999895</v>
      </c>
      <c r="Q8278">
        <v>1.9527159999999998E-2</v>
      </c>
      <c r="R8278">
        <v>-0.67558890000000005</v>
      </c>
      <c r="S8278">
        <v>2.6449280000000002</v>
      </c>
      <c r="T8278">
        <v>-0.43833149999999999</v>
      </c>
      <c r="U8278">
        <v>-1.5732120000000001</v>
      </c>
      <c r="V8278">
        <v>-0.15035899999999999</v>
      </c>
      <c r="W8278">
        <v>2.9573720000000001E-2</v>
      </c>
      <c r="X8278">
        <v>0.98818899999999998</v>
      </c>
      <c r="Y8278">
        <v>-0.3397597</v>
      </c>
      <c r="Z8278">
        <v>0.1256081</v>
      </c>
      <c r="AA8278">
        <v>0.93208690000000005</v>
      </c>
      <c r="AB8278">
        <v>29</v>
      </c>
      <c r="AC8278">
        <v>6.6430999999999996</v>
      </c>
      <c r="AD8278">
        <v>-1.117663780027</v>
      </c>
      <c r="AE8278">
        <v>-3.8937099999999898</v>
      </c>
      <c r="AF8278">
        <v>-2.6718659061085801</v>
      </c>
      <c r="AG8278">
        <v>-1.117663780027</v>
      </c>
      <c r="AH8278">
        <v>7.05204479124692</v>
      </c>
      <c r="AI8278">
        <v>98.430269892658401</v>
      </c>
      <c r="AJ8278">
        <v>110.75060489025</v>
      </c>
      <c r="AK8278">
        <v>7.6236064617189196</v>
      </c>
      <c r="AL8278">
        <v>88.305303510265901</v>
      </c>
      <c r="AM8278">
        <v>98.651545165099904</v>
      </c>
      <c r="AN8278">
        <v>0.99999996675831804</v>
      </c>
    </row>
    <row r="8279" spans="1:40" x14ac:dyDescent="0.25">
      <c r="A8279" t="str">
        <f>"20190312150852531"</f>
        <v>20190312150852531</v>
      </c>
      <c r="B8279" t="str">
        <f>"1552374532517868"</f>
        <v>1552374532517868</v>
      </c>
      <c r="C8279" t="s">
        <v>40</v>
      </c>
      <c r="D8279">
        <v>4.6503269999999999</v>
      </c>
      <c r="E8279">
        <v>0.42222189999999998</v>
      </c>
      <c r="F8279" t="s">
        <v>73</v>
      </c>
      <c r="G8279">
        <v>-404.86149999999998</v>
      </c>
      <c r="H8279" s="1">
        <v>-4.8227009999999998E-6</v>
      </c>
      <c r="I8279">
        <v>24.925170000000001</v>
      </c>
      <c r="J8279">
        <v>-411.5145</v>
      </c>
      <c r="K8279">
        <v>1.117696</v>
      </c>
      <c r="L8279">
        <v>28.773319999999998</v>
      </c>
      <c r="M8279">
        <v>0.63213439999999999</v>
      </c>
      <c r="N8279">
        <v>0</v>
      </c>
      <c r="O8279">
        <v>-0.77475039999999995</v>
      </c>
      <c r="P8279">
        <v>0.74152019999999996</v>
      </c>
      <c r="Q8279">
        <v>1.9642960000000001E-2</v>
      </c>
      <c r="R8279">
        <v>-0.67064319999999999</v>
      </c>
      <c r="S8279">
        <v>2.652466</v>
      </c>
      <c r="T8279">
        <v>-0.43823830000000003</v>
      </c>
      <c r="U8279">
        <v>-1.559601</v>
      </c>
      <c r="V8279">
        <v>-0.15114259999999999</v>
      </c>
      <c r="W8279">
        <v>2.9669049999999999E-2</v>
      </c>
      <c r="X8279">
        <v>0.98806660000000002</v>
      </c>
      <c r="Y8279">
        <v>-0.33896320000000002</v>
      </c>
      <c r="Z8279">
        <v>0.12515219999999999</v>
      </c>
      <c r="AA8279">
        <v>0.93243810000000005</v>
      </c>
      <c r="AB8279">
        <v>29</v>
      </c>
      <c r="AC8279">
        <v>6.6530000000000102</v>
      </c>
      <c r="AD8279">
        <v>-1.1177008227009999</v>
      </c>
      <c r="AE8279">
        <v>-3.84815</v>
      </c>
      <c r="AF8279">
        <v>-2.6657190541927198</v>
      </c>
      <c r="AG8279">
        <v>-1.1177008227009999</v>
      </c>
      <c r="AH8279">
        <v>7.0386917327439997</v>
      </c>
      <c r="AI8279">
        <v>98.446734465203903</v>
      </c>
      <c r="AJ8279">
        <v>110.74286214140299</v>
      </c>
      <c r="AK8279">
        <v>7.6091060259107604</v>
      </c>
      <c r="AL8279">
        <v>88.299839114586305</v>
      </c>
      <c r="AM8279">
        <v>98.697006224347405</v>
      </c>
      <c r="AN8279">
        <v>0.99999997204911095</v>
      </c>
    </row>
    <row r="8280" spans="1:40" x14ac:dyDescent="0.25">
      <c r="A8280" t="str">
        <f>"20190312150852546"</f>
        <v>20190312150852546</v>
      </c>
      <c r="B8280" t="str">
        <f>"1552374532538362"</f>
        <v>1552374532538362</v>
      </c>
      <c r="C8280" t="s">
        <v>40</v>
      </c>
      <c r="D8280">
        <v>4.650156</v>
      </c>
      <c r="E8280">
        <v>0.42275160000000001</v>
      </c>
      <c r="F8280" t="s">
        <v>73</v>
      </c>
      <c r="G8280">
        <v>-404.71100000000001</v>
      </c>
      <c r="H8280" s="1">
        <v>-4.8751199999999998E-6</v>
      </c>
      <c r="I8280">
        <v>24.82602</v>
      </c>
      <c r="J8280">
        <v>-411.38310000000001</v>
      </c>
      <c r="K8280">
        <v>1.1177360000000001</v>
      </c>
      <c r="L8280">
        <v>28.62302</v>
      </c>
      <c r="M8280">
        <v>0.63748190000000005</v>
      </c>
      <c r="N8280">
        <v>0</v>
      </c>
      <c r="O8280">
        <v>-0.77035609999999999</v>
      </c>
      <c r="P8280">
        <v>0.74657369999999901</v>
      </c>
      <c r="Q8280">
        <v>1.962856E-2</v>
      </c>
      <c r="R8280">
        <v>-0.66501309999999902</v>
      </c>
      <c r="S8280">
        <v>2.6610109999999998</v>
      </c>
      <c r="T8280">
        <v>-0.43715999999999999</v>
      </c>
      <c r="U8280">
        <v>-1.543884</v>
      </c>
      <c r="V8280">
        <v>-0.15178259999999999</v>
      </c>
      <c r="W8280">
        <v>2.9636160000000002E-2</v>
      </c>
      <c r="X8280">
        <v>0.98796949999999994</v>
      </c>
      <c r="Y8280">
        <v>-0.33795779999999997</v>
      </c>
      <c r="Z8280">
        <v>0.1243374</v>
      </c>
      <c r="AA8280">
        <v>0.93291190000000002</v>
      </c>
      <c r="AB8280">
        <v>29</v>
      </c>
      <c r="AC8280">
        <v>6.6721000000000004</v>
      </c>
      <c r="AD8280">
        <v>-1.11774087512</v>
      </c>
      <c r="AE8280">
        <v>-3.7970000000000002</v>
      </c>
      <c r="AF8280">
        <v>-2.6631469762604798</v>
      </c>
      <c r="AG8280">
        <v>-1.11774087512</v>
      </c>
      <c r="AH8280">
        <v>7.0299610999826596</v>
      </c>
      <c r="AI8280">
        <v>98.457083240545501</v>
      </c>
      <c r="AJ8280">
        <v>110.748096801877</v>
      </c>
      <c r="AK8280">
        <v>7.60013483751103</v>
      </c>
      <c r="AL8280">
        <v>88.301724443027894</v>
      </c>
      <c r="AM8280">
        <v>98.734111433149295</v>
      </c>
      <c r="AN8280">
        <v>0.999999996286277</v>
      </c>
    </row>
    <row r="8281" spans="1:40" x14ac:dyDescent="0.25">
      <c r="A8281" t="str">
        <f>"20190312150852560"</f>
        <v>20190312150852560</v>
      </c>
      <c r="B8281" t="str">
        <f>"1552374532557882"</f>
        <v>1552374532557882</v>
      </c>
      <c r="C8281" t="s">
        <v>40</v>
      </c>
      <c r="D8281">
        <v>4.69733</v>
      </c>
      <c r="E8281">
        <v>0.42329929999999899</v>
      </c>
      <c r="F8281" t="s">
        <v>73</v>
      </c>
      <c r="G8281">
        <v>-404.53640000000001</v>
      </c>
      <c r="H8281" s="1">
        <v>-4.9352669999999997E-6</v>
      </c>
      <c r="I8281">
        <v>24.706890000000001</v>
      </c>
      <c r="J8281">
        <v>-411.25760000000002</v>
      </c>
      <c r="K8281">
        <v>1.1177729999999999</v>
      </c>
      <c r="L8281">
        <v>28.481750000000002</v>
      </c>
      <c r="M8281">
        <v>0.64254049999999996</v>
      </c>
      <c r="N8281">
        <v>0</v>
      </c>
      <c r="O8281">
        <v>-0.76614199999999999</v>
      </c>
      <c r="P8281">
        <v>0.75231959999999998</v>
      </c>
      <c r="Q8281">
        <v>1.9806790000000001E-2</v>
      </c>
      <c r="R8281">
        <v>-0.65850089999999994</v>
      </c>
      <c r="S8281">
        <v>2.6696780000000002</v>
      </c>
      <c r="T8281">
        <v>-0.43582949999999998</v>
      </c>
      <c r="U8281">
        <v>-1.5269779999999999</v>
      </c>
      <c r="V8281">
        <v>-0.1538648</v>
      </c>
      <c r="W8281">
        <v>2.9767709999999999E-2</v>
      </c>
      <c r="X8281">
        <v>0.98764339999999995</v>
      </c>
      <c r="Y8281">
        <v>-0.33760600000000002</v>
      </c>
      <c r="Z8281">
        <v>0.1235193</v>
      </c>
      <c r="AA8281">
        <v>0.93314799999999998</v>
      </c>
      <c r="AB8281">
        <v>29</v>
      </c>
      <c r="AC8281">
        <v>6.7211999999999996</v>
      </c>
      <c r="AD8281">
        <v>-1.1177779352670001</v>
      </c>
      <c r="AE8281">
        <v>-3.7748599999999999</v>
      </c>
      <c r="AF8281">
        <v>-2.6680253639837201</v>
      </c>
      <c r="AG8281">
        <v>-1.1177779352670001</v>
      </c>
      <c r="AH8281">
        <v>7.0628280641020602</v>
      </c>
      <c r="AI8281">
        <v>98.421513188503496</v>
      </c>
      <c r="AJ8281">
        <v>110.694356557909</v>
      </c>
      <c r="AK8281">
        <v>7.6322557031652103</v>
      </c>
      <c r="AL8281">
        <v>88.294183844545003</v>
      </c>
      <c r="AM8281">
        <v>98.854920050372996</v>
      </c>
      <c r="AN8281">
        <v>0.99999998940062196</v>
      </c>
    </row>
    <row r="8282" spans="1:40" x14ac:dyDescent="0.25">
      <c r="A8282" t="str">
        <f>"20190312150852576"</f>
        <v>20190312150852576</v>
      </c>
      <c r="B8282" t="str">
        <f>"1552374532567642"</f>
        <v>1552374532567642</v>
      </c>
      <c r="C8282" t="s">
        <v>40</v>
      </c>
      <c r="D8282">
        <v>4.7935480000000004</v>
      </c>
      <c r="E8282">
        <v>0.42374460000000003</v>
      </c>
      <c r="F8282" t="s">
        <v>73</v>
      </c>
      <c r="G8282">
        <v>-404.37599999999998</v>
      </c>
      <c r="H8282" s="1">
        <v>-4.9927700000000003E-6</v>
      </c>
      <c r="I8282">
        <v>24.61035</v>
      </c>
      <c r="J8282">
        <v>-411.13010000000003</v>
      </c>
      <c r="K8282">
        <v>1.1178030000000001</v>
      </c>
      <c r="L8282">
        <v>28.34018</v>
      </c>
      <c r="M8282">
        <v>0.64763199999999999</v>
      </c>
      <c r="N8282">
        <v>0</v>
      </c>
      <c r="O8282">
        <v>-0.76184289999999999</v>
      </c>
      <c r="P8282">
        <v>0.75751579999999996</v>
      </c>
      <c r="Q8282">
        <v>1.9993279999999999E-2</v>
      </c>
      <c r="R8282">
        <v>-0.6525109</v>
      </c>
      <c r="S8282">
        <v>2.6796570000000002</v>
      </c>
      <c r="T8282">
        <v>-0.43525799999999998</v>
      </c>
      <c r="U8282">
        <v>-1.5075069999999999</v>
      </c>
      <c r="V8282">
        <v>-0.15512139999999999</v>
      </c>
      <c r="W8282">
        <v>2.992452E-2</v>
      </c>
      <c r="X8282">
        <v>0.98744209999999999</v>
      </c>
      <c r="Y8282">
        <v>-0.33802349999999998</v>
      </c>
      <c r="Z8282">
        <v>0.122942</v>
      </c>
      <c r="AA8282">
        <v>0.93307300000000004</v>
      </c>
      <c r="AB8282">
        <v>29</v>
      </c>
      <c r="AC8282">
        <v>6.75410000000005</v>
      </c>
      <c r="AD8282">
        <v>-1.11780799277</v>
      </c>
      <c r="AE8282">
        <v>-3.7298300000000002</v>
      </c>
      <c r="AF8282">
        <v>-2.6741072865763398</v>
      </c>
      <c r="AG8282">
        <v>-1.11780799277</v>
      </c>
      <c r="AH8282">
        <v>7.0679694900539403</v>
      </c>
      <c r="AI8282">
        <v>98.414091054776904</v>
      </c>
      <c r="AJ8282">
        <v>110.723718351252</v>
      </c>
      <c r="AK8282">
        <v>7.6391450569520298</v>
      </c>
      <c r="AL8282">
        <v>88.285195329801297</v>
      </c>
      <c r="AM8282">
        <v>98.927867900428197</v>
      </c>
      <c r="AN8282">
        <v>1.0000000132438001</v>
      </c>
    </row>
    <row r="8283" spans="1:40" x14ac:dyDescent="0.25">
      <c r="A8283" t="str">
        <f>"20190312150852588"</f>
        <v>20190312150852588</v>
      </c>
      <c r="B8283" t="str">
        <f>"1552374532578379"</f>
        <v>1552374532578379</v>
      </c>
      <c r="C8283" t="s">
        <v>40</v>
      </c>
      <c r="D8283">
        <v>4.6696920000000004</v>
      </c>
      <c r="E8283">
        <v>0.4241162</v>
      </c>
      <c r="F8283" t="s">
        <v>73</v>
      </c>
      <c r="G8283">
        <v>-404.17320000000001</v>
      </c>
      <c r="H8283" s="1">
        <v>-5.0653989999999996E-6</v>
      </c>
      <c r="I8283">
        <v>24.487660000000002</v>
      </c>
      <c r="J8283">
        <v>-411.02440000000001</v>
      </c>
      <c r="K8283">
        <v>1.1178250000000001</v>
      </c>
      <c r="L8283">
        <v>28.223939999999999</v>
      </c>
      <c r="M8283">
        <v>0.65181869999999997</v>
      </c>
      <c r="N8283">
        <v>0</v>
      </c>
      <c r="O8283">
        <v>-0.75826369999999998</v>
      </c>
      <c r="P8283">
        <v>0.76164889999999996</v>
      </c>
      <c r="Q8283">
        <v>1.9977809999999999E-2</v>
      </c>
      <c r="R8283">
        <v>-0.64768210000000004</v>
      </c>
      <c r="S8283">
        <v>2.6890260000000001</v>
      </c>
      <c r="T8283">
        <v>-0.43206369999999999</v>
      </c>
      <c r="U8283">
        <v>-1.4891049999999999</v>
      </c>
      <c r="V8283">
        <v>-0.1559606</v>
      </c>
      <c r="W8283">
        <v>2.9889249999999999E-2</v>
      </c>
      <c r="X8283">
        <v>0.98731089999999999</v>
      </c>
      <c r="Y8283">
        <v>-0.33924919999999997</v>
      </c>
      <c r="Z8283">
        <v>0.1217506</v>
      </c>
      <c r="AA8283">
        <v>0.93278439999999996</v>
      </c>
      <c r="AB8283">
        <v>29</v>
      </c>
      <c r="AC8283">
        <v>6.8512000000000004</v>
      </c>
      <c r="AD8283">
        <v>-1.1178300653990001</v>
      </c>
      <c r="AE8283">
        <v>-3.7362799999999998</v>
      </c>
      <c r="AF8283">
        <v>-2.7043821039235798</v>
      </c>
      <c r="AG8283">
        <v>-1.1178300653990001</v>
      </c>
      <c r="AH8283">
        <v>7.1526794510194804</v>
      </c>
      <c r="AI8283">
        <v>98.316678798819595</v>
      </c>
      <c r="AJ8283">
        <v>110.711282868436</v>
      </c>
      <c r="AK8283">
        <v>7.7281336652628099</v>
      </c>
      <c r="AL8283">
        <v>88.287216938717094</v>
      </c>
      <c r="AM8283">
        <v>98.976556337364201</v>
      </c>
      <c r="AN8283">
        <v>0.99999994463836395</v>
      </c>
    </row>
    <row r="8284" spans="1:40" x14ac:dyDescent="0.25">
      <c r="A8284" t="str">
        <f>"20190312150852605"</f>
        <v>20190312150852605</v>
      </c>
      <c r="B8284" t="str">
        <f>"1552374532597898"</f>
        <v>1552374532597898</v>
      </c>
      <c r="C8284" t="s">
        <v>40</v>
      </c>
      <c r="D8284">
        <v>4.6666049999999997</v>
      </c>
      <c r="E8284">
        <v>0.42482619999999999</v>
      </c>
      <c r="F8284" t="s">
        <v>73</v>
      </c>
      <c r="G8284">
        <v>-404.03219999999999</v>
      </c>
      <c r="H8284" s="1">
        <v>-5.1156139999999997E-6</v>
      </c>
      <c r="I8284">
        <v>24.400749999999999</v>
      </c>
      <c r="J8284">
        <v>-410.87569999999999</v>
      </c>
      <c r="K8284">
        <v>1.117847</v>
      </c>
      <c r="L8284">
        <v>28.062709999999999</v>
      </c>
      <c r="M8284">
        <v>0.65764429999999996</v>
      </c>
      <c r="N8284">
        <v>0</v>
      </c>
      <c r="O8284">
        <v>-0.75321669999999996</v>
      </c>
      <c r="P8284">
        <v>0.76786359999999998</v>
      </c>
      <c r="Q8284">
        <v>2.0100960000000001E-2</v>
      </c>
      <c r="R8284">
        <v>-0.64029809999999998</v>
      </c>
      <c r="S8284">
        <v>2.6963810000000001</v>
      </c>
      <c r="T8284">
        <v>-0.43106870000000003</v>
      </c>
      <c r="U8284">
        <v>-1.474335</v>
      </c>
      <c r="V8284">
        <v>-0.15788489999999999</v>
      </c>
      <c r="W8284">
        <v>2.9969320000000001E-2</v>
      </c>
      <c r="X8284">
        <v>0.98700259999999995</v>
      </c>
      <c r="Y8284">
        <v>-0.33709679999999997</v>
      </c>
      <c r="Z8284">
        <v>0.1208356</v>
      </c>
      <c r="AA8284">
        <v>0.93368329999999999</v>
      </c>
      <c r="AB8284">
        <v>29</v>
      </c>
      <c r="AC8284">
        <v>6.8434999999999997</v>
      </c>
      <c r="AD8284">
        <v>-1.117852115614</v>
      </c>
      <c r="AE8284">
        <v>-3.6619600000000001</v>
      </c>
      <c r="AF8284">
        <v>-2.6907894627531399</v>
      </c>
      <c r="AG8284">
        <v>-1.117852115614</v>
      </c>
      <c r="AH8284">
        <v>7.1119316084316297</v>
      </c>
      <c r="AI8284">
        <v>98.3631239335662</v>
      </c>
      <c r="AJ8284">
        <v>110.72406702858</v>
      </c>
      <c r="AK8284">
        <v>7.6856692934483597</v>
      </c>
      <c r="AL8284">
        <v>88.282627247865804</v>
      </c>
      <c r="AM8284">
        <v>99.088266658149294</v>
      </c>
      <c r="AN8284">
        <v>0.99999996709801497</v>
      </c>
    </row>
    <row r="8285" spans="1:40" x14ac:dyDescent="0.25">
      <c r="A8285" t="str">
        <f>"20190312150852616"</f>
        <v>20190312150852616</v>
      </c>
      <c r="B8285" t="str">
        <f>"1552374532607658"</f>
        <v>1552374532607658</v>
      </c>
      <c r="C8285" t="s">
        <v>40</v>
      </c>
      <c r="D8285">
        <v>4.6925330000000001</v>
      </c>
      <c r="E8285">
        <v>0.4251318</v>
      </c>
      <c r="F8285" t="s">
        <v>73</v>
      </c>
      <c r="G8285">
        <v>-403.8356</v>
      </c>
      <c r="H8285" s="1">
        <v>-5.186761E-6</v>
      </c>
      <c r="I8285">
        <v>24.285769999999999</v>
      </c>
      <c r="J8285">
        <v>-410.77629999999999</v>
      </c>
      <c r="K8285">
        <v>1.1178600000000001</v>
      </c>
      <c r="L8285">
        <v>27.956759999999999</v>
      </c>
      <c r="M8285">
        <v>0.66149199999999997</v>
      </c>
      <c r="N8285">
        <v>0</v>
      </c>
      <c r="O8285">
        <v>-0.74983949999999999</v>
      </c>
      <c r="P8285">
        <v>0.77158800000000005</v>
      </c>
      <c r="Q8285">
        <v>2.014695E-2</v>
      </c>
      <c r="R8285">
        <v>-0.63580380000000003</v>
      </c>
      <c r="S8285">
        <v>2.7071230000000002</v>
      </c>
      <c r="T8285">
        <v>-0.42984250000000002</v>
      </c>
      <c r="U8285">
        <v>-1.452332</v>
      </c>
      <c r="V8285">
        <v>-0.1585954</v>
      </c>
      <c r="W8285">
        <v>2.9999830000000002E-2</v>
      </c>
      <c r="X8285">
        <v>0.98688779999999998</v>
      </c>
      <c r="Y8285">
        <v>-0.33976849999999997</v>
      </c>
      <c r="Z8285">
        <v>0.120299</v>
      </c>
      <c r="AA8285">
        <v>0.93278369999999999</v>
      </c>
      <c r="AB8285">
        <v>29</v>
      </c>
      <c r="AC8285">
        <v>6.9406999999999899</v>
      </c>
      <c r="AD8285">
        <v>-1.1178651867610001</v>
      </c>
      <c r="AE8285">
        <v>-3.6709900000000002</v>
      </c>
      <c r="AF8285">
        <v>-2.7211578701066101</v>
      </c>
      <c r="AG8285">
        <v>-1.1178651867610001</v>
      </c>
      <c r="AH8285">
        <v>7.1985779603191897</v>
      </c>
      <c r="AI8285">
        <v>98.264858579609296</v>
      </c>
      <c r="AJ8285">
        <v>110.70725653035301</v>
      </c>
      <c r="AK8285">
        <v>7.77649325728561</v>
      </c>
      <c r="AL8285">
        <v>88.280878441408404</v>
      </c>
      <c r="AM8285">
        <v>99.129521795516595</v>
      </c>
      <c r="AN8285">
        <v>1.00000001024501</v>
      </c>
    </row>
    <row r="8286" spans="1:40" x14ac:dyDescent="0.25">
      <c r="A8286" t="str">
        <f>"20190312150852627"</f>
        <v>20190312150852627</v>
      </c>
      <c r="B8286" t="str">
        <f>"1552374532618394"</f>
        <v>1552374532618394</v>
      </c>
      <c r="C8286" t="s">
        <v>40</v>
      </c>
      <c r="D8286">
        <v>4.7271530000000004</v>
      </c>
      <c r="E8286">
        <v>0.42544900000000002</v>
      </c>
      <c r="F8286" t="s">
        <v>73</v>
      </c>
      <c r="G8286">
        <v>-403.71699999999998</v>
      </c>
      <c r="H8286" s="1">
        <v>-5.2292819999999898E-6</v>
      </c>
      <c r="I8286">
        <v>24.214479999999998</v>
      </c>
      <c r="J8286">
        <v>-410.68220000000002</v>
      </c>
      <c r="K8286">
        <v>1.117869</v>
      </c>
      <c r="L8286">
        <v>27.8569</v>
      </c>
      <c r="M8286">
        <v>0.66511309999999901</v>
      </c>
      <c r="N8286">
        <v>0</v>
      </c>
      <c r="O8286">
        <v>-0.74662949999999995</v>
      </c>
      <c r="P8286">
        <v>0.77523310000000001</v>
      </c>
      <c r="Q8286">
        <v>2.015461E-2</v>
      </c>
      <c r="R8286">
        <v>-0.63135399999999997</v>
      </c>
      <c r="S8286">
        <v>2.7138369999999998</v>
      </c>
      <c r="T8286">
        <v>-0.42974570000000001</v>
      </c>
      <c r="U8286">
        <v>-1.43866</v>
      </c>
      <c r="V8286">
        <v>-0.15949839999999901</v>
      </c>
      <c r="W8286">
        <v>2.998791E-2</v>
      </c>
      <c r="X8286">
        <v>0.98674260000000003</v>
      </c>
      <c r="Y8286">
        <v>-0.33987139999999999</v>
      </c>
      <c r="Z8286">
        <v>0.1199423</v>
      </c>
      <c r="AA8286">
        <v>0.93279219999999896</v>
      </c>
      <c r="AB8286">
        <v>29</v>
      </c>
      <c r="AC8286">
        <v>6.9652000000000296</v>
      </c>
      <c r="AD8286">
        <v>-1.1178742292820001</v>
      </c>
      <c r="AE8286">
        <v>-3.64242</v>
      </c>
      <c r="AF8286">
        <v>-2.7229601850338199</v>
      </c>
      <c r="AG8286">
        <v>-1.1178742292820001</v>
      </c>
      <c r="AH8286">
        <v>7.2070293023914598</v>
      </c>
      <c r="AI8286">
        <v>98.255886456835498</v>
      </c>
      <c r="AJ8286">
        <v>110.69757032852699</v>
      </c>
      <c r="AK8286">
        <v>7.7849487042177401</v>
      </c>
      <c r="AL8286">
        <v>88.281561673696103</v>
      </c>
      <c r="AM8286">
        <v>99.181948066286907</v>
      </c>
      <c r="AN8286">
        <v>0.99999998650174304</v>
      </c>
    </row>
    <row r="8287" spans="1:40" x14ac:dyDescent="0.25">
      <c r="A8287" t="str">
        <f>"20190312150852637"</f>
        <v>20190312150852637</v>
      </c>
      <c r="B8287" t="str">
        <f>"1552374532628155"</f>
        <v>1552374532628155</v>
      </c>
      <c r="C8287" t="s">
        <v>40</v>
      </c>
      <c r="D8287">
        <v>4.6595190000000004</v>
      </c>
      <c r="E8287">
        <v>0.42582900000000001</v>
      </c>
      <c r="F8287" t="s">
        <v>73</v>
      </c>
      <c r="G8287">
        <v>-403.60980000000001</v>
      </c>
      <c r="H8287" s="1">
        <v>-5.2681910000000002E-6</v>
      </c>
      <c r="I8287">
        <v>24.152339999999999</v>
      </c>
      <c r="J8287">
        <v>-410.58510000000001</v>
      </c>
      <c r="K8287">
        <v>1.1178779999999999</v>
      </c>
      <c r="L8287">
        <v>27.755279999999999</v>
      </c>
      <c r="M8287">
        <v>0.66881109999999999</v>
      </c>
      <c r="N8287">
        <v>0</v>
      </c>
      <c r="O8287">
        <v>-0.74331859999999905</v>
      </c>
      <c r="P8287">
        <v>0.77880159999999998</v>
      </c>
      <c r="Q8287">
        <v>2.0263159999999999E-2</v>
      </c>
      <c r="R8287">
        <v>-0.62694309999999998</v>
      </c>
      <c r="S8287">
        <v>2.720459</v>
      </c>
      <c r="T8287">
        <v>-0.4299983</v>
      </c>
      <c r="U8287">
        <v>-1.4249879999999999</v>
      </c>
      <c r="V8287">
        <v>-0.16020229999999999</v>
      </c>
      <c r="W8287">
        <v>3.008133E-2</v>
      </c>
      <c r="X8287">
        <v>0.98662570000000005</v>
      </c>
      <c r="Y8287">
        <v>-0.33983449999999998</v>
      </c>
      <c r="Z8287">
        <v>0.11966259999999999</v>
      </c>
      <c r="AA8287">
        <v>0.93284160000000005</v>
      </c>
      <c r="AB8287">
        <v>29</v>
      </c>
      <c r="AC8287">
        <v>6.9752999999999998</v>
      </c>
      <c r="AD8287">
        <v>-1.117883268191</v>
      </c>
      <c r="AE8287">
        <v>-3.6029399999999998</v>
      </c>
      <c r="AF8287">
        <v>-2.7202656433077701</v>
      </c>
      <c r="AG8287">
        <v>-1.117883268191</v>
      </c>
      <c r="AH8287">
        <v>7.1979734610407897</v>
      </c>
      <c r="AI8287">
        <v>98.2659235220531</v>
      </c>
      <c r="AJ8287">
        <v>110.702633749444</v>
      </c>
      <c r="AK8287">
        <v>7.7756240982515097</v>
      </c>
      <c r="AL8287">
        <v>88.276206653487705</v>
      </c>
      <c r="AM8287">
        <v>99.222849089897593</v>
      </c>
      <c r="AN8287">
        <v>0.99999996762017396</v>
      </c>
    </row>
    <row r="8288" spans="1:40" x14ac:dyDescent="0.25">
      <c r="A8288" t="str">
        <f>"20190312150852649"</f>
        <v>20190312150852649</v>
      </c>
      <c r="B8288" t="str">
        <f>"1552374532637914"</f>
        <v>1552374532637914</v>
      </c>
      <c r="C8288" t="s">
        <v>40</v>
      </c>
      <c r="D8288">
        <v>4.7265889999999997</v>
      </c>
      <c r="E8288">
        <v>0.4262089</v>
      </c>
      <c r="F8288" t="s">
        <v>73</v>
      </c>
      <c r="G8288">
        <v>-403.48950000000002</v>
      </c>
      <c r="H8288" s="1">
        <v>-5.3114480000000001E-6</v>
      </c>
      <c r="I8288">
        <v>24.080719999999999</v>
      </c>
      <c r="J8288">
        <v>-410.4923</v>
      </c>
      <c r="K8288">
        <v>1.1178859999999999</v>
      </c>
      <c r="L8288">
        <v>27.658940000000001</v>
      </c>
      <c r="M8288">
        <v>0.67231549999999995</v>
      </c>
      <c r="N8288">
        <v>0</v>
      </c>
      <c r="O8288">
        <v>-0.74015019999999998</v>
      </c>
      <c r="P8288">
        <v>0.78211350000000002</v>
      </c>
      <c r="Q8288">
        <v>2.0222609999999999E-2</v>
      </c>
      <c r="R8288">
        <v>-0.62280800000000003</v>
      </c>
      <c r="S8288">
        <v>2.7265929999999998</v>
      </c>
      <c r="T8288">
        <v>-0.42956670000000002</v>
      </c>
      <c r="U8288">
        <v>-1.412018</v>
      </c>
      <c r="V8288">
        <v>-0.160769</v>
      </c>
      <c r="W8288">
        <v>3.0028900000000001E-2</v>
      </c>
      <c r="X8288">
        <v>0.9865351</v>
      </c>
      <c r="Y8288">
        <v>-0.33979110000000001</v>
      </c>
      <c r="Z8288">
        <v>0.1192112</v>
      </c>
      <c r="AA8288">
        <v>0.93291519999999994</v>
      </c>
      <c r="AB8288">
        <v>29</v>
      </c>
      <c r="AC8288">
        <v>7.0027999999999704</v>
      </c>
      <c r="AD8288">
        <v>-1.117891311448</v>
      </c>
      <c r="AE8288">
        <v>-3.57822</v>
      </c>
      <c r="AF8288">
        <v>-2.7226489936811298</v>
      </c>
      <c r="AG8288">
        <v>-1.117891311448</v>
      </c>
      <c r="AH8288">
        <v>7.2114113822642398</v>
      </c>
      <c r="AI8288">
        <v>98.251796748811103</v>
      </c>
      <c r="AJ8288">
        <v>110.68389437384999</v>
      </c>
      <c r="AK8288">
        <v>7.7888993221927096</v>
      </c>
      <c r="AL8288">
        <v>88.279212007047605</v>
      </c>
      <c r="AM8288">
        <v>99.255745681024493</v>
      </c>
      <c r="AN8288">
        <v>0.99999995486410898</v>
      </c>
    </row>
    <row r="8289" spans="1:40" x14ac:dyDescent="0.25">
      <c r="A8289" t="str">
        <f>"20190312150852660"</f>
        <v>20190312150852660</v>
      </c>
      <c r="B8289" t="str">
        <f>"1552374532658410"</f>
        <v>1552374532658410</v>
      </c>
      <c r="C8289" t="s">
        <v>40</v>
      </c>
      <c r="D8289">
        <v>4.729609</v>
      </c>
      <c r="E8289">
        <v>0.42654140000000001</v>
      </c>
      <c r="F8289" t="s">
        <v>73</v>
      </c>
      <c r="G8289">
        <v>-403.37860000000001</v>
      </c>
      <c r="H8289" s="1">
        <v>-5.3511289999999996E-6</v>
      </c>
      <c r="I8289">
        <v>24.013310000000001</v>
      </c>
      <c r="J8289">
        <v>-410.38679999999999</v>
      </c>
      <c r="K8289">
        <v>1.117899</v>
      </c>
      <c r="L8289">
        <v>27.55048</v>
      </c>
      <c r="M8289">
        <v>0.67626549999999996</v>
      </c>
      <c r="N8289">
        <v>0</v>
      </c>
      <c r="O8289">
        <v>-0.73654310000000001</v>
      </c>
      <c r="P8289">
        <v>0.7856976</v>
      </c>
      <c r="Q8289">
        <v>2.0098749999999999E-2</v>
      </c>
      <c r="R8289">
        <v>-0.61828450000000001</v>
      </c>
      <c r="S8289">
        <v>2.7319339999999999</v>
      </c>
      <c r="T8289">
        <v>-0.42931180000000002</v>
      </c>
      <c r="U8289">
        <v>-1.4000549999999901</v>
      </c>
      <c r="V8289">
        <v>-0.16118450000000001</v>
      </c>
      <c r="W8289">
        <v>2.98964E-2</v>
      </c>
      <c r="X8289">
        <v>0.9864714</v>
      </c>
      <c r="Y8289">
        <v>-0.33878190000000002</v>
      </c>
      <c r="Z8289">
        <v>0.1187155</v>
      </c>
      <c r="AA8289">
        <v>0.93334530000000004</v>
      </c>
      <c r="AB8289">
        <v>29</v>
      </c>
      <c r="AC8289">
        <v>7.00819999999998</v>
      </c>
      <c r="AD8289">
        <v>-1.1179043511290001</v>
      </c>
      <c r="AE8289">
        <v>-3.5371700000000001</v>
      </c>
      <c r="AF8289">
        <v>-2.71495371700968</v>
      </c>
      <c r="AG8289">
        <v>-1.1179043511290001</v>
      </c>
      <c r="AH8289">
        <v>7.1993102409302203</v>
      </c>
      <c r="AI8289">
        <v>98.266739936812201</v>
      </c>
      <c r="AJ8289">
        <v>110.66211308610301</v>
      </c>
      <c r="AK8289">
        <v>7.7750081523391703</v>
      </c>
      <c r="AL8289">
        <v>88.2868072376762</v>
      </c>
      <c r="AM8289">
        <v>99.279839923928805</v>
      </c>
      <c r="AN8289">
        <v>1.0000000303955801</v>
      </c>
    </row>
    <row r="8290" spans="1:40" x14ac:dyDescent="0.25">
      <c r="A8290" t="str">
        <f>"20190312150852672"</f>
        <v>20190312150852672</v>
      </c>
      <c r="B8290" t="str">
        <f>"1552374532668170"</f>
        <v>1552374532668170</v>
      </c>
      <c r="C8290" t="s">
        <v>40</v>
      </c>
      <c r="D8290">
        <v>4.7389070000000002</v>
      </c>
      <c r="E8290">
        <v>0.43946360000000001</v>
      </c>
      <c r="F8290" t="s">
        <v>73</v>
      </c>
      <c r="G8290">
        <v>-403.26749999999998</v>
      </c>
      <c r="H8290" s="1">
        <v>-5.3910100000000004E-6</v>
      </c>
      <c r="I8290">
        <v>23.9468</v>
      </c>
      <c r="J8290">
        <v>-410.29199999999997</v>
      </c>
      <c r="K8290">
        <v>1.1179030000000001</v>
      </c>
      <c r="L8290">
        <v>27.454190000000001</v>
      </c>
      <c r="M8290">
        <v>0.67977949999999998</v>
      </c>
      <c r="N8290">
        <v>0</v>
      </c>
      <c r="O8290">
        <v>-0.73330099999999998</v>
      </c>
      <c r="P8290">
        <v>0.78887209999999997</v>
      </c>
      <c r="Q8290">
        <v>2.0052210000000001E-2</v>
      </c>
      <c r="R8290">
        <v>-0.61423030000000001</v>
      </c>
      <c r="S8290">
        <v>2.738464</v>
      </c>
      <c r="T8290">
        <v>-0.43000699999999997</v>
      </c>
      <c r="U8290">
        <v>-1.386169</v>
      </c>
      <c r="V8290">
        <v>-0.16154789999999999</v>
      </c>
      <c r="W8290">
        <v>2.9842540000000001E-2</v>
      </c>
      <c r="X8290">
        <v>0.98641350000000005</v>
      </c>
      <c r="Y8290">
        <v>-0.33894849999999999</v>
      </c>
      <c r="Z8290">
        <v>0.11856949999999999</v>
      </c>
      <c r="AA8290">
        <v>0.93330340000000001</v>
      </c>
      <c r="AB8290">
        <v>29</v>
      </c>
      <c r="AC8290">
        <v>7.0244999999999802</v>
      </c>
      <c r="AD8290">
        <v>-1.1179083910100001</v>
      </c>
      <c r="AE8290">
        <v>-3.50739</v>
      </c>
      <c r="AF8290">
        <v>-2.71207443148172</v>
      </c>
      <c r="AG8290">
        <v>-1.1179083910100001</v>
      </c>
      <c r="AH8290">
        <v>7.2017081837072299</v>
      </c>
      <c r="AI8290">
        <v>98.265467883455202</v>
      </c>
      <c r="AJ8290">
        <v>110.635754756399</v>
      </c>
      <c r="AK8290">
        <v>7.7762245116677997</v>
      </c>
      <c r="AL8290">
        <v>88.289894423297</v>
      </c>
      <c r="AM8290">
        <v>99.300933064897805</v>
      </c>
      <c r="AN8290">
        <v>0.99999994708515405</v>
      </c>
    </row>
    <row r="8291" spans="1:40" x14ac:dyDescent="0.25">
      <c r="A8291" t="str">
        <f>"20190312150852682"</f>
        <v>20190312150852682</v>
      </c>
      <c r="B8291" t="str">
        <f>"1552374532677931"</f>
        <v>1552374532677931</v>
      </c>
      <c r="C8291" t="s">
        <v>40</v>
      </c>
      <c r="D8291">
        <v>4.7166870000000003</v>
      </c>
      <c r="E8291">
        <v>0.43651970000000001</v>
      </c>
      <c r="F8291" t="s">
        <v>73</v>
      </c>
      <c r="G8291">
        <v>-403.83819999999997</v>
      </c>
      <c r="H8291" s="1">
        <v>-5.1275469999999999E-6</v>
      </c>
      <c r="I8291">
        <v>23.96</v>
      </c>
      <c r="J8291">
        <v>-410.19049999999999</v>
      </c>
      <c r="K8291">
        <v>1.117909</v>
      </c>
      <c r="L8291">
        <v>27.351649999999999</v>
      </c>
      <c r="M8291">
        <v>0.68351410000000001</v>
      </c>
      <c r="N8291">
        <v>0</v>
      </c>
      <c r="O8291">
        <v>-0.72982139999999995</v>
      </c>
      <c r="P8291">
        <v>0.79219430000000002</v>
      </c>
      <c r="Q8291">
        <v>1.976588E-2</v>
      </c>
      <c r="R8291">
        <v>-0.60994919999999997</v>
      </c>
      <c r="S8291">
        <v>2.6834410000000002</v>
      </c>
      <c r="T8291">
        <v>-0.46481499999999998</v>
      </c>
      <c r="U8291">
        <v>-1.45285</v>
      </c>
      <c r="V8291">
        <v>-0.16185459999999999</v>
      </c>
      <c r="W8291">
        <v>2.9550369999999999E-2</v>
      </c>
      <c r="X8291">
        <v>0.98637209999999997</v>
      </c>
      <c r="Y8291">
        <v>-0.3069462</v>
      </c>
      <c r="Z8291">
        <v>0.12652579999999999</v>
      </c>
      <c r="AA8291">
        <v>0.94327899999999998</v>
      </c>
      <c r="AB8291">
        <v>29</v>
      </c>
      <c r="AC8291">
        <v>6.3523000000000103</v>
      </c>
      <c r="AD8291">
        <v>-1.1179141275469999</v>
      </c>
      <c r="AE8291">
        <v>-3.3916499999999901</v>
      </c>
      <c r="AF8291">
        <v>-2.26344970299307</v>
      </c>
      <c r="AG8291">
        <v>-1.1179141275469999</v>
      </c>
      <c r="AH8291">
        <v>6.6573174366711996</v>
      </c>
      <c r="AI8291">
        <v>99.033554840183896</v>
      </c>
      <c r="AJ8291">
        <v>108.777738326695</v>
      </c>
      <c r="AK8291">
        <v>7.1198884827752096</v>
      </c>
      <c r="AL8291">
        <v>88.306642055099005</v>
      </c>
      <c r="AM8291">
        <v>99.318665768279402</v>
      </c>
      <c r="AN8291">
        <v>1.0000000277833501</v>
      </c>
    </row>
    <row r="8292" spans="1:40" x14ac:dyDescent="0.25">
      <c r="A8292" t="str">
        <f>"20190312150852694"</f>
        <v>20190312150852694</v>
      </c>
      <c r="B8292" t="str">
        <f>"1552374532687690"</f>
        <v>1552374532687690</v>
      </c>
      <c r="C8292" t="s">
        <v>40</v>
      </c>
      <c r="D8292">
        <v>4.7780589999999998</v>
      </c>
      <c r="E8292">
        <v>0.43151260000000002</v>
      </c>
      <c r="F8292" t="s">
        <v>73</v>
      </c>
      <c r="G8292">
        <v>-403.58080000000001</v>
      </c>
      <c r="H8292" s="1">
        <v>-5.2338849999999998E-6</v>
      </c>
      <c r="I8292">
        <v>23.883780000000002</v>
      </c>
      <c r="J8292">
        <v>-410.08969999999999</v>
      </c>
      <c r="K8292">
        <v>1.117907</v>
      </c>
      <c r="L8292">
        <v>27.251529999999999</v>
      </c>
      <c r="M8292">
        <v>0.68717530000000004</v>
      </c>
      <c r="N8292">
        <v>0</v>
      </c>
      <c r="O8292">
        <v>-0.72637499999999999</v>
      </c>
      <c r="P8292">
        <v>0.79537269999999904</v>
      </c>
      <c r="Q8292">
        <v>2.00492E-2</v>
      </c>
      <c r="R8292">
        <v>-0.60578889999999996</v>
      </c>
      <c r="S8292">
        <v>2.7054749999999999</v>
      </c>
      <c r="T8292">
        <v>-0.4575825</v>
      </c>
      <c r="U8292">
        <v>-1.4194639999999901</v>
      </c>
      <c r="V8292">
        <v>-0.1620644</v>
      </c>
      <c r="W8292">
        <v>2.9829189999999998E-2</v>
      </c>
      <c r="X8292">
        <v>0.98632929999999996</v>
      </c>
      <c r="Y8292">
        <v>-0.31475350000000002</v>
      </c>
      <c r="Z8292">
        <v>0.12444819999999999</v>
      </c>
      <c r="AA8292">
        <v>0.94097980000000003</v>
      </c>
      <c r="AB8292">
        <v>29</v>
      </c>
      <c r="AC8292">
        <v>6.5088999999999801</v>
      </c>
      <c r="AD8292">
        <v>-1.1179122338850001</v>
      </c>
      <c r="AE8292">
        <v>-3.36775</v>
      </c>
      <c r="AF8292">
        <v>-2.35898071326503</v>
      </c>
      <c r="AG8292">
        <v>-1.1179122338850001</v>
      </c>
      <c r="AH8292">
        <v>6.76223956419053</v>
      </c>
      <c r="AI8292">
        <v>98.871809763589795</v>
      </c>
      <c r="AJ8292">
        <v>109.23112510639599</v>
      </c>
      <c r="AK8292">
        <v>7.2486137772493997</v>
      </c>
      <c r="AL8292">
        <v>88.290659871434997</v>
      </c>
      <c r="AM8292">
        <v>99.330930326144397</v>
      </c>
      <c r="AN8292">
        <v>1.0000000691809501</v>
      </c>
    </row>
    <row r="8293" spans="1:40" x14ac:dyDescent="0.25">
      <c r="A8293" t="str">
        <f>"20190312150852705"</f>
        <v>20190312150852705</v>
      </c>
      <c r="B8293" t="str">
        <f>"1552374532698426"</f>
        <v>1552374532698426</v>
      </c>
      <c r="C8293" t="s">
        <v>40</v>
      </c>
      <c r="D8293">
        <v>4.7742940000000003</v>
      </c>
      <c r="E8293">
        <v>0.42791499999999999</v>
      </c>
      <c r="F8293" t="s">
        <v>73</v>
      </c>
      <c r="G8293">
        <v>-403.4545</v>
      </c>
      <c r="H8293" s="1">
        <v>-5.2994849999999996E-6</v>
      </c>
      <c r="I8293">
        <v>23.921859999999999</v>
      </c>
      <c r="J8293">
        <v>-409.98570000000001</v>
      </c>
      <c r="K8293">
        <v>1.117909</v>
      </c>
      <c r="L8293">
        <v>27.14847</v>
      </c>
      <c r="M8293">
        <v>0.69093280000000001</v>
      </c>
      <c r="N8293">
        <v>0</v>
      </c>
      <c r="O8293">
        <v>-0.7228019</v>
      </c>
      <c r="P8293">
        <v>0.7987071</v>
      </c>
      <c r="Q8293">
        <v>1.9911720000000001E-2</v>
      </c>
      <c r="R8293">
        <v>-0.6013906</v>
      </c>
      <c r="S8293">
        <v>2.737244</v>
      </c>
      <c r="T8293">
        <v>-0.46117520000000001</v>
      </c>
      <c r="U8293">
        <v>-1.37359599999999</v>
      </c>
      <c r="V8293">
        <v>-0.16239289999999901</v>
      </c>
      <c r="W8293">
        <v>2.968573E-2</v>
      </c>
      <c r="X8293">
        <v>0.98627949999999998</v>
      </c>
      <c r="Y8293">
        <v>-0.32667750000000001</v>
      </c>
      <c r="Z8293">
        <v>0.1253484</v>
      </c>
      <c r="AA8293">
        <v>0.93678680000000003</v>
      </c>
      <c r="AB8293">
        <v>29</v>
      </c>
      <c r="AC8293">
        <v>6.5312000000000099</v>
      </c>
      <c r="AD8293">
        <v>-1.117914299485</v>
      </c>
      <c r="AE8293">
        <v>-3.2266099999999902</v>
      </c>
      <c r="AF8293">
        <v>-2.4342771818690201</v>
      </c>
      <c r="AG8293">
        <v>-1.117914299485</v>
      </c>
      <c r="AH8293">
        <v>6.6879006645947801</v>
      </c>
      <c r="AI8293">
        <v>98.926710226525302</v>
      </c>
      <c r="AJ8293">
        <v>110.000608294743</v>
      </c>
      <c r="AK8293">
        <v>7.2044051162221896</v>
      </c>
      <c r="AL8293">
        <v>88.298883003694797</v>
      </c>
      <c r="AM8293">
        <v>99.349973970472803</v>
      </c>
      <c r="AN8293">
        <v>0.99999997432814602</v>
      </c>
    </row>
    <row r="8294" spans="1:40" x14ac:dyDescent="0.25">
      <c r="A8294" t="str">
        <f>"20190312150852715"</f>
        <v>20190312150852715</v>
      </c>
      <c r="B8294" t="str">
        <f>"1552374532708187"</f>
        <v>1552374532708187</v>
      </c>
      <c r="C8294" t="s">
        <v>40</v>
      </c>
      <c r="D8294">
        <v>4.7352780000000001</v>
      </c>
      <c r="E8294">
        <v>0.4254347</v>
      </c>
      <c r="F8294" t="s">
        <v>73</v>
      </c>
      <c r="G8294">
        <v>-403.31270000000001</v>
      </c>
      <c r="H8294" s="1">
        <v>-5.3656050000000003E-6</v>
      </c>
      <c r="I8294">
        <v>23.922070000000001</v>
      </c>
      <c r="J8294">
        <v>-409.88400000000001</v>
      </c>
      <c r="K8294">
        <v>1.117907</v>
      </c>
      <c r="L8294">
        <v>27.049469999999999</v>
      </c>
      <c r="M8294">
        <v>0.69455549999999999</v>
      </c>
      <c r="N8294">
        <v>0</v>
      </c>
      <c r="O8294">
        <v>-0.71932130000000005</v>
      </c>
      <c r="P8294">
        <v>0.80188490000000001</v>
      </c>
      <c r="Q8294">
        <v>1.9881610000000001E-2</v>
      </c>
      <c r="R8294">
        <v>-0.59714769999999995</v>
      </c>
      <c r="S8294">
        <v>2.7621150000000001</v>
      </c>
      <c r="T8294">
        <v>-0.46273069999999999</v>
      </c>
      <c r="U8294">
        <v>-1.33548</v>
      </c>
      <c r="V8294">
        <v>-0.1626668</v>
      </c>
      <c r="W8294">
        <v>2.965046E-2</v>
      </c>
      <c r="X8294">
        <v>0.98623539999999998</v>
      </c>
      <c r="Y8294">
        <v>-0.33566859999999998</v>
      </c>
      <c r="Z8294">
        <v>0.12563179999999999</v>
      </c>
      <c r="AA8294">
        <v>0.93356479999999997</v>
      </c>
      <c r="AB8294">
        <v>29</v>
      </c>
      <c r="AC8294">
        <v>6.5712999999999999</v>
      </c>
      <c r="AD8294">
        <v>-1.1179123656050001</v>
      </c>
      <c r="AE8294">
        <v>-3.12739999999999</v>
      </c>
      <c r="AF8294">
        <v>-2.49604210393119</v>
      </c>
      <c r="AG8294">
        <v>-1.1179123656050001</v>
      </c>
      <c r="AH8294">
        <v>6.6572288497128502</v>
      </c>
      <c r="AI8294">
        <v>98.935794532183195</v>
      </c>
      <c r="AJ8294">
        <v>110.552885755232</v>
      </c>
      <c r="AK8294">
        <v>7.1971279132178099</v>
      </c>
      <c r="AL8294">
        <v>88.300904676030598</v>
      </c>
      <c r="AM8294">
        <v>99.365876288184396</v>
      </c>
      <c r="AN8294">
        <v>0.99999995090680405</v>
      </c>
    </row>
    <row r="8295" spans="1:40" x14ac:dyDescent="0.25">
      <c r="A8295" t="str">
        <f>"20190312150852728"</f>
        <v>20190312150852728</v>
      </c>
      <c r="B8295" t="str">
        <f>"1552374532717946"</f>
        <v>1552374532717946</v>
      </c>
      <c r="C8295" t="s">
        <v>40</v>
      </c>
      <c r="D8295">
        <v>4.721228</v>
      </c>
      <c r="E8295">
        <v>0.42386629999999997</v>
      </c>
      <c r="F8295" t="s">
        <v>73</v>
      </c>
      <c r="G8295">
        <v>-403.19740000000002</v>
      </c>
      <c r="H8295" s="1">
        <v>-5.4175850000000002E-6</v>
      </c>
      <c r="I8295">
        <v>23.91245</v>
      </c>
      <c r="J8295">
        <v>-409.77409999999998</v>
      </c>
      <c r="K8295">
        <v>1.117904</v>
      </c>
      <c r="L8295">
        <v>26.94312</v>
      </c>
      <c r="M8295">
        <v>0.69844030000000001</v>
      </c>
      <c r="N8295">
        <v>0</v>
      </c>
      <c r="O8295">
        <v>-0.71555000000000002</v>
      </c>
      <c r="P8295">
        <v>0.805087</v>
      </c>
      <c r="Q8295">
        <v>1.982807E-2</v>
      </c>
      <c r="R8295">
        <v>-0.59282590000000002</v>
      </c>
      <c r="S8295">
        <v>2.7810969999999999</v>
      </c>
      <c r="T8295">
        <v>-0.46496169999999998</v>
      </c>
      <c r="U8295">
        <v>-1.3047489999999999</v>
      </c>
      <c r="V8295">
        <v>-0.16263179999999999</v>
      </c>
      <c r="W8295">
        <v>2.9598510000000001E-2</v>
      </c>
      <c r="X8295">
        <v>0.98624279999999998</v>
      </c>
      <c r="Y8295">
        <v>-0.34141519999999997</v>
      </c>
      <c r="Z8295">
        <v>0.125941</v>
      </c>
      <c r="AA8295">
        <v>0.93143679999999995</v>
      </c>
      <c r="AB8295">
        <v>29</v>
      </c>
      <c r="AC8295">
        <v>6.5766999999999598</v>
      </c>
      <c r="AD8295">
        <v>-1.117909417585</v>
      </c>
      <c r="AE8295">
        <v>-3.0306700000000002</v>
      </c>
      <c r="AF8295">
        <v>-2.5291589833973598</v>
      </c>
      <c r="AG8295">
        <v>-1.117909417585</v>
      </c>
      <c r="AH8295">
        <v>6.6051835657259499</v>
      </c>
      <c r="AI8295">
        <v>98.981675242562204</v>
      </c>
      <c r="AJ8295">
        <v>110.952101756082</v>
      </c>
      <c r="AK8295">
        <v>7.1606435860305897</v>
      </c>
      <c r="AL8295">
        <v>88.303882611636595</v>
      </c>
      <c r="AM8295">
        <v>99.363827772011902</v>
      </c>
      <c r="AN8295">
        <v>1.0000000173586401</v>
      </c>
    </row>
    <row r="8296" spans="1:40" x14ac:dyDescent="0.25">
      <c r="A8296" t="str">
        <f>"20190312150852741"</f>
        <v>20190312150852741</v>
      </c>
      <c r="B8296" t="str">
        <f>"1552374532738442"</f>
        <v>1552374532738442</v>
      </c>
      <c r="C8296" t="s">
        <v>40</v>
      </c>
      <c r="D8296">
        <v>4.7657350000000003</v>
      </c>
      <c r="E8296">
        <v>0.42183619999999999</v>
      </c>
      <c r="F8296" t="s">
        <v>73</v>
      </c>
      <c r="G8296">
        <v>-403.07830000000001</v>
      </c>
      <c r="H8296" s="1">
        <v>-5.4669309999999999E-6</v>
      </c>
      <c r="I8296">
        <v>23.8781</v>
      </c>
      <c r="J8296">
        <v>-409.65910000000002</v>
      </c>
      <c r="K8296">
        <v>1.1179030000000001</v>
      </c>
      <c r="L8296">
        <v>26.833100000000002</v>
      </c>
      <c r="M8296">
        <v>0.702461</v>
      </c>
      <c r="N8296">
        <v>0</v>
      </c>
      <c r="O8296">
        <v>-0.71160290000000004</v>
      </c>
      <c r="P8296">
        <v>0.80831980000000003</v>
      </c>
      <c r="Q8296">
        <v>1.9464200000000001E-2</v>
      </c>
      <c r="R8296">
        <v>-0.58842209999999995</v>
      </c>
      <c r="S8296">
        <v>2.7955320000000001</v>
      </c>
      <c r="T8296">
        <v>-0.46673379999999998</v>
      </c>
      <c r="U8296">
        <v>-1.279663</v>
      </c>
      <c r="V8296">
        <v>-0.16245760000000001</v>
      </c>
      <c r="W8296">
        <v>2.9239129999999999E-2</v>
      </c>
      <c r="X8296">
        <v>0.9862822</v>
      </c>
      <c r="Y8296">
        <v>-0.34481810000000002</v>
      </c>
      <c r="Z8296">
        <v>0.1260262</v>
      </c>
      <c r="AA8296">
        <v>0.93017090000000002</v>
      </c>
      <c r="AB8296">
        <v>29</v>
      </c>
      <c r="AC8296">
        <v>6.5808000000000098</v>
      </c>
      <c r="AD8296">
        <v>-1.117908466931</v>
      </c>
      <c r="AE8296">
        <v>-2.9550000000000001</v>
      </c>
      <c r="AF8296">
        <v>-2.5462179440917199</v>
      </c>
      <c r="AG8296">
        <v>-1.117908466931</v>
      </c>
      <c r="AH8296">
        <v>6.5683732076409997</v>
      </c>
      <c r="AI8296">
        <v>99.017052664358602</v>
      </c>
      <c r="AJ8296">
        <v>111.188731000993</v>
      </c>
      <c r="AK8296">
        <v>7.1327744780069198</v>
      </c>
      <c r="AL8296">
        <v>88.324482436078398</v>
      </c>
      <c r="AM8296">
        <v>99.353608177990395</v>
      </c>
      <c r="AN8296">
        <v>0.99999998827887804</v>
      </c>
    </row>
    <row r="8297" spans="1:40" x14ac:dyDescent="0.25">
      <c r="A8297" t="str">
        <f>"20190312150852755"</f>
        <v>20190312150852755</v>
      </c>
      <c r="B8297" t="str">
        <f>"1552374532748202"</f>
        <v>1552374532748202</v>
      </c>
      <c r="C8297" t="s">
        <v>40</v>
      </c>
      <c r="D8297">
        <v>4.7034699999999896</v>
      </c>
      <c r="E8297">
        <v>0.4213518</v>
      </c>
      <c r="F8297" t="s">
        <v>73</v>
      </c>
      <c r="G8297">
        <v>-402.95679999999999</v>
      </c>
      <c r="H8297" s="1">
        <v>-5.5187719999999996E-6</v>
      </c>
      <c r="I8297">
        <v>23.851400000000002</v>
      </c>
      <c r="J8297">
        <v>-409.55029999999999</v>
      </c>
      <c r="K8297">
        <v>1.117902</v>
      </c>
      <c r="L8297">
        <v>26.730440000000002</v>
      </c>
      <c r="M8297">
        <v>0.70622030000000002</v>
      </c>
      <c r="N8297">
        <v>0</v>
      </c>
      <c r="O8297">
        <v>-0.70787239999999996</v>
      </c>
      <c r="P8297">
        <v>0.8113899</v>
      </c>
      <c r="Q8297">
        <v>1.90086E-2</v>
      </c>
      <c r="R8297">
        <v>-0.584196099999999</v>
      </c>
      <c r="S8297">
        <v>2.8120120000000002</v>
      </c>
      <c r="T8297">
        <v>-0.46903149999999899</v>
      </c>
      <c r="U8297">
        <v>-1.251007</v>
      </c>
      <c r="V8297">
        <v>-0.16237879999999999</v>
      </c>
      <c r="W8297">
        <v>2.8785370000000001E-2</v>
      </c>
      <c r="X8297">
        <v>0.98630850000000003</v>
      </c>
      <c r="Y8297">
        <v>-0.349721</v>
      </c>
      <c r="Z8297">
        <v>0.1263379</v>
      </c>
      <c r="AA8297">
        <v>0.92829629999999996</v>
      </c>
      <c r="AB8297">
        <v>29</v>
      </c>
      <c r="AC8297">
        <v>6.5934999999999997</v>
      </c>
      <c r="AD8297">
        <v>-1.117907518772</v>
      </c>
      <c r="AE8297">
        <v>-2.8790399999999998</v>
      </c>
      <c r="AF8297">
        <v>-2.5722418633520898</v>
      </c>
      <c r="AG8297">
        <v>-1.117907518772</v>
      </c>
      <c r="AH8297">
        <v>6.53719652555192</v>
      </c>
      <c r="AI8297">
        <v>99.041753705290105</v>
      </c>
      <c r="AJ8297">
        <v>111.478537470125</v>
      </c>
      <c r="AK8297">
        <v>7.1134438802731896</v>
      </c>
      <c r="AL8297">
        <v>88.350491879137905</v>
      </c>
      <c r="AM8297">
        <v>99.348906443246804</v>
      </c>
      <c r="AN8297">
        <v>0.99999996469386199</v>
      </c>
    </row>
    <row r="8298" spans="1:40" x14ac:dyDescent="0.25">
      <c r="A8298" t="str">
        <f>"20190312150852767"</f>
        <v>20190312150852767</v>
      </c>
      <c r="B8298" t="str">
        <f>"1552374532757963"</f>
        <v>1552374532757963</v>
      </c>
      <c r="C8298" t="s">
        <v>40</v>
      </c>
      <c r="D8298">
        <v>4.7370299999999999</v>
      </c>
      <c r="E8298">
        <v>0.42103780000000002</v>
      </c>
      <c r="F8298" t="s">
        <v>73</v>
      </c>
      <c r="G8298">
        <v>-402.83429999999998</v>
      </c>
      <c r="H8298" s="1">
        <v>-5.5657839999999997E-6</v>
      </c>
      <c r="I8298">
        <v>23.79485</v>
      </c>
      <c r="J8298">
        <v>-409.41059999999999</v>
      </c>
      <c r="K8298">
        <v>1.117909</v>
      </c>
      <c r="L8298">
        <v>26.59967</v>
      </c>
      <c r="M8298">
        <v>0.71100149999999995</v>
      </c>
      <c r="N8298">
        <v>0</v>
      </c>
      <c r="O8298">
        <v>-0.70306969999999902</v>
      </c>
      <c r="P8298">
        <v>0.81528829999999997</v>
      </c>
      <c r="Q8298">
        <v>1.8895619999999998E-2</v>
      </c>
      <c r="R8298">
        <v>-0.57874669999999995</v>
      </c>
      <c r="S8298">
        <v>2.8206479999999998</v>
      </c>
      <c r="T8298">
        <v>-0.46950720000000001</v>
      </c>
      <c r="U8298">
        <v>-1.23291</v>
      </c>
      <c r="V8298">
        <v>-0.16230269999999999</v>
      </c>
      <c r="W8298">
        <v>2.8674789999999999E-2</v>
      </c>
      <c r="X8298">
        <v>0.98632430000000004</v>
      </c>
      <c r="Y8298">
        <v>-0.34946050000000001</v>
      </c>
      <c r="Z8298">
        <v>0.12583339999999901</v>
      </c>
      <c r="AA8298">
        <v>0.92846289999999998</v>
      </c>
      <c r="AB8298">
        <v>29</v>
      </c>
      <c r="AC8298">
        <v>6.5762999999999998</v>
      </c>
      <c r="AD8298">
        <v>-1.1179145657839999</v>
      </c>
      <c r="AE8298">
        <v>-2.8048199999999901</v>
      </c>
      <c r="AF8298">
        <v>-2.56683147883132</v>
      </c>
      <c r="AG8298">
        <v>-1.1179145657839999</v>
      </c>
      <c r="AH8298">
        <v>6.4896389621455803</v>
      </c>
      <c r="AI8298">
        <v>99.100700067577904</v>
      </c>
      <c r="AJ8298">
        <v>111.58016569839801</v>
      </c>
      <c r="AK8298">
        <v>7.0677981490779302</v>
      </c>
      <c r="AL8298">
        <v>88.356830349722003</v>
      </c>
      <c r="AM8298">
        <v>99.344455260848505</v>
      </c>
      <c r="AN8298">
        <v>1.0000000173896599</v>
      </c>
    </row>
    <row r="8299" spans="1:40" x14ac:dyDescent="0.25">
      <c r="A8299" t="str">
        <f>"20190312150852779"</f>
        <v>20190312150852779</v>
      </c>
      <c r="B8299" t="str">
        <f>"1552374532767722"</f>
        <v>1552374532767722</v>
      </c>
      <c r="C8299" t="s">
        <v>40</v>
      </c>
      <c r="D8299">
        <v>4.7200879999999996</v>
      </c>
      <c r="E8299">
        <v>0.42087360000000001</v>
      </c>
      <c r="F8299" t="s">
        <v>73</v>
      </c>
      <c r="G8299">
        <v>-402.7328</v>
      </c>
      <c r="H8299" s="1">
        <v>-5.603391E-6</v>
      </c>
      <c r="I8299">
        <v>23.740659999999998</v>
      </c>
      <c r="J8299">
        <v>-409.29739999999998</v>
      </c>
      <c r="K8299">
        <v>1.1179110000000001</v>
      </c>
      <c r="L8299">
        <v>26.4953</v>
      </c>
      <c r="M8299">
        <v>0.71482270000000003</v>
      </c>
      <c r="N8299">
        <v>0</v>
      </c>
      <c r="O8299">
        <v>-0.69918440000000004</v>
      </c>
      <c r="P8299">
        <v>0.81829229999999997</v>
      </c>
      <c r="Q8299">
        <v>1.884562E-2</v>
      </c>
      <c r="R8299">
        <v>-0.57449359999999905</v>
      </c>
      <c r="S8299">
        <v>2.8304140000000002</v>
      </c>
      <c r="T8299">
        <v>-0.47383969999999997</v>
      </c>
      <c r="U8299">
        <v>-1.2118230000000001</v>
      </c>
      <c r="V8299">
        <v>-0.1620635</v>
      </c>
      <c r="W8299">
        <v>2.8629990000000001E-2</v>
      </c>
      <c r="X8299">
        <v>0.98636489999999999</v>
      </c>
      <c r="Y8299">
        <v>-0.35121289999999999</v>
      </c>
      <c r="Z8299">
        <v>0.12657550000000001</v>
      </c>
      <c r="AA8299">
        <v>0.92770050000000004</v>
      </c>
      <c r="AB8299">
        <v>29</v>
      </c>
      <c r="AC8299">
        <v>6.56459999999998</v>
      </c>
      <c r="AD8299">
        <v>-1.117916603391</v>
      </c>
      <c r="AE8299">
        <v>-2.75463999999999</v>
      </c>
      <c r="AF8299">
        <v>-2.5579345094222301</v>
      </c>
      <c r="AG8299">
        <v>-1.117916603391</v>
      </c>
      <c r="AH8299">
        <v>6.4597996650547298</v>
      </c>
      <c r="AI8299">
        <v>99.140663392935906</v>
      </c>
      <c r="AJ8299">
        <v>111.60244509286601</v>
      </c>
      <c r="AK8299">
        <v>7.0371711787671902</v>
      </c>
      <c r="AL8299">
        <v>88.359398201991795</v>
      </c>
      <c r="AM8299">
        <v>99.330548571034299</v>
      </c>
      <c r="AN8299">
        <v>0.999999985155829</v>
      </c>
    </row>
    <row r="8300" spans="1:40" x14ac:dyDescent="0.25">
      <c r="A8300" t="str">
        <f>"20190312150852795"</f>
        <v>20190312150852795</v>
      </c>
      <c r="B8300" t="str">
        <f>"1552374532788219"</f>
        <v>1552374532788219</v>
      </c>
      <c r="C8300" t="s">
        <v>40</v>
      </c>
      <c r="D8300">
        <v>4.7528480000000002</v>
      </c>
      <c r="E8300">
        <v>0.42109069999999998</v>
      </c>
      <c r="F8300" t="s">
        <v>73</v>
      </c>
      <c r="G8300">
        <v>-402.61410000000001</v>
      </c>
      <c r="H8300" s="1">
        <v>-5.6476409999999996E-6</v>
      </c>
      <c r="I8300">
        <v>23.678470000000001</v>
      </c>
      <c r="J8300">
        <v>-409.15769999999998</v>
      </c>
      <c r="K8300">
        <v>1.1179110000000001</v>
      </c>
      <c r="L8300">
        <v>26.368040000000001</v>
      </c>
      <c r="M8300">
        <v>0.71948529999999999</v>
      </c>
      <c r="N8300">
        <v>0</v>
      </c>
      <c r="O8300">
        <v>-0.69438549999999999</v>
      </c>
      <c r="P8300">
        <v>0.82217039999999997</v>
      </c>
      <c r="Q8300">
        <v>1.926891E-2</v>
      </c>
      <c r="R8300">
        <v>-0.56891550000000002</v>
      </c>
      <c r="S8300">
        <v>2.837494</v>
      </c>
      <c r="T8300">
        <v>-0.47462549999999998</v>
      </c>
      <c r="U8300">
        <v>-1.1959229999999901</v>
      </c>
      <c r="V8300">
        <v>-0.1621716</v>
      </c>
      <c r="W8300">
        <v>2.9051810000000001E-2</v>
      </c>
      <c r="X8300">
        <v>0.98633479999999996</v>
      </c>
      <c r="Y8300">
        <v>-0.350226599999999</v>
      </c>
      <c r="Z8300">
        <v>0.12611040000000001</v>
      </c>
      <c r="AA8300">
        <v>0.92813659999999998</v>
      </c>
      <c r="AB8300">
        <v>29</v>
      </c>
      <c r="AC8300">
        <v>6.5435999999999597</v>
      </c>
      <c r="AD8300">
        <v>-1.1179166476410001</v>
      </c>
      <c r="AE8300">
        <v>-2.6895699999999998</v>
      </c>
      <c r="AF8300">
        <v>-2.5453427319158699</v>
      </c>
      <c r="AG8300">
        <v>-1.1179166476410001</v>
      </c>
      <c r="AH8300">
        <v>6.4159826362202601</v>
      </c>
      <c r="AI8300">
        <v>99.199726559384999</v>
      </c>
      <c r="AJ8300">
        <v>111.639172199177</v>
      </c>
      <c r="AK8300">
        <v>6.9923773097759696</v>
      </c>
      <c r="AL8300">
        <v>88.335219640218497</v>
      </c>
      <c r="AM8300">
        <v>99.336942607653299</v>
      </c>
      <c r="AN8300">
        <v>0.99999998660093803</v>
      </c>
    </row>
    <row r="8301" spans="1:40" x14ac:dyDescent="0.25">
      <c r="A8301" t="str">
        <f>"20190312150852806"</f>
        <v>20190312150852806</v>
      </c>
      <c r="B8301" t="str">
        <f>"1552374532797978"</f>
        <v>1552374532797978</v>
      </c>
      <c r="C8301" t="s">
        <v>40</v>
      </c>
      <c r="D8301">
        <v>4.6973940000000001</v>
      </c>
      <c r="E8301">
        <v>0.42121120000000001</v>
      </c>
      <c r="F8301" t="s">
        <v>73</v>
      </c>
      <c r="G8301">
        <v>-402.47579999999999</v>
      </c>
      <c r="H8301" s="1">
        <v>-5.6981450000000003E-6</v>
      </c>
      <c r="I8301">
        <v>23.600200000000001</v>
      </c>
      <c r="J8301">
        <v>-409.0521</v>
      </c>
      <c r="K8301">
        <v>1.1179110000000001</v>
      </c>
      <c r="L8301">
        <v>26.272670000000002</v>
      </c>
      <c r="M8301">
        <v>0.72297299999999998</v>
      </c>
      <c r="N8301">
        <v>0</v>
      </c>
      <c r="O8301">
        <v>-0.69075330000000001</v>
      </c>
      <c r="P8301">
        <v>0.82512439999999998</v>
      </c>
      <c r="Q8301">
        <v>1.9321229999999998E-2</v>
      </c>
      <c r="R8301">
        <v>-0.56462060000000003</v>
      </c>
      <c r="S8301">
        <v>2.8446660000000001</v>
      </c>
      <c r="T8301">
        <v>-0.47592790000000001</v>
      </c>
      <c r="U8301">
        <v>-1.178345</v>
      </c>
      <c r="V8301">
        <v>-0.1623482</v>
      </c>
      <c r="W8301">
        <v>2.910043E-2</v>
      </c>
      <c r="X8301">
        <v>0.98630430000000002</v>
      </c>
      <c r="Y8301">
        <v>-0.35121239999999998</v>
      </c>
      <c r="Z8301">
        <v>0.12606220000000001</v>
      </c>
      <c r="AA8301">
        <v>0.9277706</v>
      </c>
      <c r="AB8301">
        <v>29</v>
      </c>
      <c r="AC8301">
        <v>6.5762999999999998</v>
      </c>
      <c r="AD8301">
        <v>-1.1179166981449999</v>
      </c>
      <c r="AE8301">
        <v>-2.6724700000000001</v>
      </c>
      <c r="AF8301">
        <v>-2.54751711083208</v>
      </c>
      <c r="AG8301">
        <v>-1.1179166981449999</v>
      </c>
      <c r="AH8301">
        <v>6.4413121379677296</v>
      </c>
      <c r="AI8301">
        <v>99.167936826627098</v>
      </c>
      <c r="AJ8301">
        <v>111.578629072683</v>
      </c>
      <c r="AK8301">
        <v>7.0164152694024704</v>
      </c>
      <c r="AL8301">
        <v>88.332432717783206</v>
      </c>
      <c r="AM8301">
        <v>99.347214855054204</v>
      </c>
      <c r="AN8301">
        <v>0.99999997263395701</v>
      </c>
    </row>
    <row r="8302" spans="1:40" x14ac:dyDescent="0.25">
      <c r="A8302" t="str">
        <f>"20190312150852817"</f>
        <v>20190312150852817</v>
      </c>
      <c r="B8302" t="str">
        <f>"1552374532807738"</f>
        <v>1552374532807738</v>
      </c>
      <c r="C8302" t="s">
        <v>40</v>
      </c>
      <c r="D8302">
        <v>4.7833880000000004</v>
      </c>
      <c r="E8302">
        <v>0.42141250000000002</v>
      </c>
      <c r="F8302" t="s">
        <v>73</v>
      </c>
      <c r="G8302">
        <v>-402.37</v>
      </c>
      <c r="H8302" s="1">
        <v>-5.7373650000000004E-6</v>
      </c>
      <c r="I8302">
        <v>23.54383</v>
      </c>
      <c r="J8302">
        <v>-408.94200000000001</v>
      </c>
      <c r="K8302">
        <v>1.1179110000000001</v>
      </c>
      <c r="L8302">
        <v>26.174679999999999</v>
      </c>
      <c r="M8302">
        <v>0.72656869999999996</v>
      </c>
      <c r="N8302">
        <v>0</v>
      </c>
      <c r="O8302">
        <v>-0.68697010000000003</v>
      </c>
      <c r="P8302">
        <v>0.82796440000000004</v>
      </c>
      <c r="Q8302">
        <v>1.9339289999999999E-2</v>
      </c>
      <c r="R8302">
        <v>-0.56044719999999904</v>
      </c>
      <c r="S8302">
        <v>2.8504330000000002</v>
      </c>
      <c r="T8302">
        <v>-0.47687849999999998</v>
      </c>
      <c r="U8302">
        <v>-1.1640629999999901</v>
      </c>
      <c r="V8302">
        <v>-0.16217970000000001</v>
      </c>
      <c r="W8302">
        <v>2.9122350000000002E-2</v>
      </c>
      <c r="X8302">
        <v>0.98633139999999997</v>
      </c>
      <c r="Y8302">
        <v>-0.35097450000000002</v>
      </c>
      <c r="Z8302">
        <v>0.1258223</v>
      </c>
      <c r="AA8302">
        <v>0.92789310000000003</v>
      </c>
      <c r="AB8302">
        <v>29</v>
      </c>
      <c r="AC8302">
        <v>6.5719999999999397</v>
      </c>
      <c r="AD8302">
        <v>-1.1179167373649901</v>
      </c>
      <c r="AE8302">
        <v>-2.6308499999999899</v>
      </c>
      <c r="AF8302">
        <v>-2.54014777464067</v>
      </c>
      <c r="AG8302">
        <v>-1.1179167373649901</v>
      </c>
      <c r="AH8302">
        <v>6.4227108467117002</v>
      </c>
      <c r="AI8302">
        <v>99.194042326860298</v>
      </c>
      <c r="AJ8302">
        <v>111.578531962176</v>
      </c>
      <c r="AK8302">
        <v>6.9966637170269204</v>
      </c>
      <c r="AL8302">
        <v>88.3311763049104</v>
      </c>
      <c r="AM8302">
        <v>99.3374323678228</v>
      </c>
      <c r="AN8302">
        <v>0.99999999849378596</v>
      </c>
    </row>
    <row r="8303" spans="1:40" x14ac:dyDescent="0.25">
      <c r="A8303" t="str">
        <f>"20190312150852828"</f>
        <v>20190312150852828</v>
      </c>
      <c r="B8303" t="str">
        <f>"1552374532818474"</f>
        <v>1552374532818474</v>
      </c>
      <c r="C8303" t="s">
        <v>40</v>
      </c>
      <c r="D8303">
        <v>4.7479519999999997</v>
      </c>
      <c r="E8303">
        <v>0.42158030000000002</v>
      </c>
      <c r="F8303" t="s">
        <v>73</v>
      </c>
      <c r="G8303">
        <v>-402.26569999999998</v>
      </c>
      <c r="H8303" s="1">
        <v>-5.7752539999999996E-6</v>
      </c>
      <c r="I8303">
        <v>23.483779999999999</v>
      </c>
      <c r="J8303">
        <v>-408.84120000000001</v>
      </c>
      <c r="K8303">
        <v>1.117915</v>
      </c>
      <c r="L8303">
        <v>26.085599999999999</v>
      </c>
      <c r="M8303">
        <v>0.72983129999999996</v>
      </c>
      <c r="N8303">
        <v>0</v>
      </c>
      <c r="O8303">
        <v>-0.68350319999999998</v>
      </c>
      <c r="P8303">
        <v>0.83056939999999901</v>
      </c>
      <c r="Q8303">
        <v>1.930339E-2</v>
      </c>
      <c r="R8303">
        <v>-0.55658079999999999</v>
      </c>
      <c r="S8303">
        <v>2.8554689999999998</v>
      </c>
      <c r="T8303">
        <v>-0.47813729999999899</v>
      </c>
      <c r="U8303">
        <v>-1.150909</v>
      </c>
      <c r="V8303">
        <v>-0.162082</v>
      </c>
      <c r="W8303">
        <v>2.9088989999999999E-2</v>
      </c>
      <c r="X8303">
        <v>0.98634849999999996</v>
      </c>
      <c r="Y8303">
        <v>-0.3507499</v>
      </c>
      <c r="Z8303">
        <v>0.12570719999999999</v>
      </c>
      <c r="AA8303">
        <v>0.92799370000000003</v>
      </c>
      <c r="AB8303">
        <v>29</v>
      </c>
      <c r="AC8303">
        <v>6.5755000000000301</v>
      </c>
      <c r="AD8303">
        <v>-1.1179207752539999</v>
      </c>
      <c r="AE8303">
        <v>-2.60182</v>
      </c>
      <c r="AF8303">
        <v>-2.5324166521063902</v>
      </c>
      <c r="AG8303">
        <v>-1.1179207752539999</v>
      </c>
      <c r="AH8303">
        <v>6.4175315899293599</v>
      </c>
      <c r="AI8303">
        <v>99.204105216230403</v>
      </c>
      <c r="AJ8303">
        <v>111.53464547220401</v>
      </c>
      <c r="AK8303">
        <v>6.9891052837506704</v>
      </c>
      <c r="AL8303">
        <v>88.333088594385103</v>
      </c>
      <c r="AM8303">
        <v>99.331747371688905</v>
      </c>
      <c r="AN8303">
        <v>1.00000005375773</v>
      </c>
    </row>
    <row r="8304" spans="1:40" x14ac:dyDescent="0.25">
      <c r="A8304" t="str">
        <f>"20190312150852838"</f>
        <v>20190312150852838</v>
      </c>
      <c r="B8304" t="str">
        <f>"1552374532828234"</f>
        <v>1552374532828234</v>
      </c>
      <c r="C8304" t="s">
        <v>40</v>
      </c>
      <c r="D8304">
        <v>4.7599260000000001</v>
      </c>
      <c r="E8304">
        <v>0.4217417</v>
      </c>
      <c r="F8304" t="s">
        <v>73</v>
      </c>
      <c r="G8304">
        <v>-402.17899999999997</v>
      </c>
      <c r="H8304" s="1">
        <v>-5.8067559999999997E-6</v>
      </c>
      <c r="I8304">
        <v>23.433679999999999</v>
      </c>
      <c r="J8304">
        <v>-408.73500000000001</v>
      </c>
      <c r="K8304">
        <v>1.1179129999999999</v>
      </c>
      <c r="L8304">
        <v>25.992740000000001</v>
      </c>
      <c r="M8304">
        <v>0.73323570000000005</v>
      </c>
      <c r="N8304">
        <v>0</v>
      </c>
      <c r="O8304">
        <v>-0.67984990000000001</v>
      </c>
      <c r="P8304">
        <v>0.8332465</v>
      </c>
      <c r="Q8304">
        <v>1.9357849999999999E-2</v>
      </c>
      <c r="R8304">
        <v>-0.55256289999999997</v>
      </c>
      <c r="S8304">
        <v>2.8602289999999999</v>
      </c>
      <c r="T8304">
        <v>-0.47994439999999999</v>
      </c>
      <c r="U8304">
        <v>-1.1385190000000001</v>
      </c>
      <c r="V8304">
        <v>-0.16192000000000001</v>
      </c>
      <c r="W8304">
        <v>2.9147610000000001E-2</v>
      </c>
      <c r="X8304">
        <v>0.98637330000000001</v>
      </c>
      <c r="Y8304">
        <v>-0.350047099999999</v>
      </c>
      <c r="Z8304">
        <v>0.12567249999999999</v>
      </c>
      <c r="AA8304">
        <v>0.92826370000000002</v>
      </c>
      <c r="AB8304">
        <v>29</v>
      </c>
      <c r="AC8304">
        <v>6.5559999999999796</v>
      </c>
      <c r="AD8304">
        <v>-1.117918806756</v>
      </c>
      <c r="AE8304">
        <v>-2.5590599999999899</v>
      </c>
      <c r="AF8304">
        <v>-2.5174013206280899</v>
      </c>
      <c r="AG8304">
        <v>-1.117918806756</v>
      </c>
      <c r="AH8304">
        <v>6.3862857216428601</v>
      </c>
      <c r="AI8304">
        <v>99.249649868630499</v>
      </c>
      <c r="AJ8304">
        <v>111.51379583186601</v>
      </c>
      <c r="AK8304">
        <v>6.9549764331777704</v>
      </c>
      <c r="AL8304">
        <v>88.329728365057704</v>
      </c>
      <c r="AM8304">
        <v>99.322353895200493</v>
      </c>
      <c r="AN8304">
        <v>0.9999999782608</v>
      </c>
    </row>
    <row r="8305" spans="1:40" x14ac:dyDescent="0.25">
      <c r="A8305" t="str">
        <f>"20190312150852850"</f>
        <v>20190312150852850</v>
      </c>
      <c r="B8305" t="str">
        <f>"1552374532847754"</f>
        <v>1552374532847754</v>
      </c>
      <c r="C8305" t="s">
        <v>40</v>
      </c>
      <c r="D8305">
        <v>4.7954569999999999</v>
      </c>
      <c r="E8305">
        <v>0.42203160000000001</v>
      </c>
      <c r="F8305" t="s">
        <v>73</v>
      </c>
      <c r="G8305">
        <v>-402.06950000000001</v>
      </c>
      <c r="H8305" s="1">
        <v>-5.8471149999999997E-6</v>
      </c>
      <c r="I8305">
        <v>23.373799999999999</v>
      </c>
      <c r="J8305">
        <v>-408.63170000000002</v>
      </c>
      <c r="K8305">
        <v>1.1179110000000001</v>
      </c>
      <c r="L8305">
        <v>25.903379999999999</v>
      </c>
      <c r="M8305">
        <v>0.73651049999999996</v>
      </c>
      <c r="N8305">
        <v>0</v>
      </c>
      <c r="O8305">
        <v>-0.67630069999999998</v>
      </c>
      <c r="P8305">
        <v>0.83583059999999998</v>
      </c>
      <c r="Q8305">
        <v>1.939397E-2</v>
      </c>
      <c r="R8305">
        <v>-0.54864499999999905</v>
      </c>
      <c r="S8305">
        <v>2.8650509999999998</v>
      </c>
      <c r="T8305">
        <v>-0.48051769999999999</v>
      </c>
      <c r="U8305">
        <v>-1.125702</v>
      </c>
      <c r="V8305">
        <v>-0.16178709999999999</v>
      </c>
      <c r="W8305">
        <v>2.9186699999999999E-2</v>
      </c>
      <c r="X8305">
        <v>0.98639399999999999</v>
      </c>
      <c r="Y8305">
        <v>-0.3496745</v>
      </c>
      <c r="Z8305">
        <v>0.12535189999999999</v>
      </c>
      <c r="AA8305">
        <v>0.92844740000000003</v>
      </c>
      <c r="AB8305">
        <v>29</v>
      </c>
      <c r="AC8305">
        <v>6.5622000000000096</v>
      </c>
      <c r="AD8305">
        <v>-1.1179168471150001</v>
      </c>
      <c r="AE8305">
        <v>-2.5295799999999899</v>
      </c>
      <c r="AF8305">
        <v>-2.5117131684062901</v>
      </c>
      <c r="AG8305">
        <v>-1.1179168471150001</v>
      </c>
      <c r="AH8305">
        <v>6.3831577191915096</v>
      </c>
      <c r="AI8305">
        <v>99.256252558545398</v>
      </c>
      <c r="AJ8305">
        <v>111.479176066131</v>
      </c>
      <c r="AK8305">
        <v>6.95004630095967</v>
      </c>
      <c r="AL8305">
        <v>88.327487799918501</v>
      </c>
      <c r="AM8305">
        <v>99.314644448717203</v>
      </c>
      <c r="AN8305">
        <v>1.00000002620964</v>
      </c>
    </row>
    <row r="8306" spans="1:40" x14ac:dyDescent="0.25">
      <c r="A8306" t="str">
        <f>"20190312150852861"</f>
        <v>20190312150852861</v>
      </c>
      <c r="B8306" t="str">
        <f>"1552374532858491"</f>
        <v>1552374532858491</v>
      </c>
      <c r="C8306" t="s">
        <v>40</v>
      </c>
      <c r="D8306">
        <v>4.8126959999999999</v>
      </c>
      <c r="E8306">
        <v>0.42215130000000001</v>
      </c>
      <c r="F8306" t="s">
        <v>73</v>
      </c>
      <c r="G8306">
        <v>-401.93560000000002</v>
      </c>
      <c r="H8306" s="1">
        <v>-5.8968699999999998E-6</v>
      </c>
      <c r="I8306">
        <v>23.303170000000001</v>
      </c>
      <c r="J8306">
        <v>-408.52179999999998</v>
      </c>
      <c r="K8306">
        <v>1.1179059999999901</v>
      </c>
      <c r="L8306">
        <v>25.809080000000002</v>
      </c>
      <c r="M8306">
        <v>0.73996269999999997</v>
      </c>
      <c r="N8306">
        <v>0</v>
      </c>
      <c r="O8306">
        <v>-0.67252190000000001</v>
      </c>
      <c r="P8306">
        <v>0.83864019999999995</v>
      </c>
      <c r="Q8306">
        <v>1.9502579999999999E-2</v>
      </c>
      <c r="R8306">
        <v>-0.54433690000000001</v>
      </c>
      <c r="S8306">
        <v>2.869049</v>
      </c>
      <c r="T8306">
        <v>-0.478991</v>
      </c>
      <c r="U8306">
        <v>-1.1141049999999999</v>
      </c>
      <c r="V8306">
        <v>-0.16181389999999901</v>
      </c>
      <c r="W8306">
        <v>2.929584E-2</v>
      </c>
      <c r="X8306">
        <v>0.9863864</v>
      </c>
      <c r="Y8306">
        <v>-0.34869519999999998</v>
      </c>
      <c r="Z8306">
        <v>0.12443410000000001</v>
      </c>
      <c r="AA8306">
        <v>0.92893899999999996</v>
      </c>
      <c r="AB8306">
        <v>29</v>
      </c>
      <c r="AC8306">
        <v>6.5861999999999599</v>
      </c>
      <c r="AD8306">
        <v>-1.1179118968699999</v>
      </c>
      <c r="AE8306">
        <v>-2.5059099999999899</v>
      </c>
      <c r="AF8306">
        <v>-2.5120808448438998</v>
      </c>
      <c r="AG8306">
        <v>-1.1179118968699999</v>
      </c>
      <c r="AH8306">
        <v>6.3983511051153297</v>
      </c>
      <c r="AI8306">
        <v>99.237321656683093</v>
      </c>
      <c r="AJ8306">
        <v>111.43565619913601</v>
      </c>
      <c r="AK8306">
        <v>6.9641348381924404</v>
      </c>
      <c r="AL8306">
        <v>88.321231915747504</v>
      </c>
      <c r="AM8306">
        <v>99.316230889447695</v>
      </c>
      <c r="AN8306">
        <v>1.0000000572897301</v>
      </c>
    </row>
    <row r="8307" spans="1:40" x14ac:dyDescent="0.25">
      <c r="A8307" t="str">
        <f>"20190312150852874"</f>
        <v>20190312150852874</v>
      </c>
      <c r="B8307" t="str">
        <f>"1552374532868250"</f>
        <v>1552374532868250</v>
      </c>
      <c r="C8307" t="s">
        <v>40</v>
      </c>
      <c r="D8307">
        <v>4.787039</v>
      </c>
      <c r="E8307">
        <v>0.42228680000000002</v>
      </c>
      <c r="F8307" t="s">
        <v>73</v>
      </c>
      <c r="G8307">
        <v>-401.8021</v>
      </c>
      <c r="H8307" s="1">
        <v>-5.947329E-6</v>
      </c>
      <c r="I8307">
        <v>23.23724</v>
      </c>
      <c r="J8307">
        <v>-408.4074</v>
      </c>
      <c r="K8307">
        <v>1.1178999999999999</v>
      </c>
      <c r="L8307">
        <v>25.712309999999999</v>
      </c>
      <c r="M8307">
        <v>0.74351020000000001</v>
      </c>
      <c r="N8307">
        <v>0</v>
      </c>
      <c r="O8307">
        <v>-0.66859749999999996</v>
      </c>
      <c r="P8307">
        <v>0.84151830000000005</v>
      </c>
      <c r="Q8307">
        <v>1.9672519999999999E-2</v>
      </c>
      <c r="R8307">
        <v>-0.53987030000000003</v>
      </c>
      <c r="S8307">
        <v>2.8743289999999999</v>
      </c>
      <c r="T8307">
        <v>-0.47818310000000003</v>
      </c>
      <c r="U8307">
        <v>-1.100098</v>
      </c>
      <c r="V8307">
        <v>-0.16183989999999901</v>
      </c>
      <c r="W8307">
        <v>2.9467440000000001E-2</v>
      </c>
      <c r="X8307">
        <v>0.9863769</v>
      </c>
      <c r="Y8307">
        <v>-0.34834209999999999</v>
      </c>
      <c r="Z8307">
        <v>0.123707</v>
      </c>
      <c r="AA8307">
        <v>0.92916860000000001</v>
      </c>
      <c r="AB8307">
        <v>29</v>
      </c>
      <c r="AC8307">
        <v>6.6052999999999997</v>
      </c>
      <c r="AD8307">
        <v>-1.1179059473289901</v>
      </c>
      <c r="AE8307">
        <v>-2.4750700000000001</v>
      </c>
      <c r="AF8307">
        <v>-2.5131439274217802</v>
      </c>
      <c r="AG8307">
        <v>-1.1179059473289901</v>
      </c>
      <c r="AH8307">
        <v>6.4056029380171502</v>
      </c>
      <c r="AI8307">
        <v>99.227854724405503</v>
      </c>
      <c r="AJ8307">
        <v>111.421828204901</v>
      </c>
      <c r="AK8307">
        <v>6.9711803237719003</v>
      </c>
      <c r="AL8307">
        <v>88.311395509135707</v>
      </c>
      <c r="AM8307">
        <v>99.317789722308703</v>
      </c>
      <c r="AN8307">
        <v>0.99999993605288395</v>
      </c>
    </row>
    <row r="8308" spans="1:40" x14ac:dyDescent="0.25">
      <c r="A8308" t="str">
        <f>"20190312150852885"</f>
        <v>20190312150852885</v>
      </c>
      <c r="B8308" t="str">
        <f>"1552374532878011"</f>
        <v>1552374532878011</v>
      </c>
      <c r="C8308" t="s">
        <v>40</v>
      </c>
      <c r="D8308">
        <v>4.7753069999999997</v>
      </c>
      <c r="E8308">
        <v>0.4225102</v>
      </c>
      <c r="F8308" t="s">
        <v>73</v>
      </c>
      <c r="G8308">
        <v>-401.64400000000001</v>
      </c>
      <c r="H8308" s="1">
        <v>-5.996213E-6</v>
      </c>
      <c r="I8308">
        <v>23.162019999999998</v>
      </c>
      <c r="J8308">
        <v>-408.29140000000001</v>
      </c>
      <c r="K8308">
        <v>1.1178920000000001</v>
      </c>
      <c r="L8308">
        <v>25.614650000000001</v>
      </c>
      <c r="M8308">
        <v>0.74707849999999998</v>
      </c>
      <c r="N8308">
        <v>0</v>
      </c>
      <c r="O8308">
        <v>-0.66460830000000004</v>
      </c>
      <c r="P8308">
        <v>0.84444050000000004</v>
      </c>
      <c r="Q8308">
        <v>1.9762720000000001E-2</v>
      </c>
      <c r="R8308">
        <v>-0.53528540000000002</v>
      </c>
      <c r="S8308">
        <v>2.8795169999999999</v>
      </c>
      <c r="T8308">
        <v>-0.47594880000000001</v>
      </c>
      <c r="U8308">
        <v>-1.085785</v>
      </c>
      <c r="V8308">
        <v>-0.16192500000000001</v>
      </c>
      <c r="W8308">
        <v>2.955752E-2</v>
      </c>
      <c r="X8308">
        <v>0.98636029999999997</v>
      </c>
      <c r="Y8308">
        <v>-0.34806809999999899</v>
      </c>
      <c r="Z8308">
        <v>0.122619699999999</v>
      </c>
      <c r="AA8308">
        <v>0.9294154</v>
      </c>
      <c r="AB8308">
        <v>29</v>
      </c>
      <c r="AC8308">
        <v>6.6474000000000002</v>
      </c>
      <c r="AD8308">
        <v>-1.117897996213</v>
      </c>
      <c r="AE8308">
        <v>-2.4526299999999899</v>
      </c>
      <c r="AF8308">
        <v>-2.5230243837821398</v>
      </c>
      <c r="AG8308">
        <v>-1.117897996213</v>
      </c>
      <c r="AH8308">
        <v>6.4365050903970999</v>
      </c>
      <c r="AI8308">
        <v>99.185313289766299</v>
      </c>
      <c r="AJ8308">
        <v>111.40451884616</v>
      </c>
      <c r="AK8308">
        <v>7.00313827864366</v>
      </c>
      <c r="AL8308">
        <v>88.306232159131696</v>
      </c>
      <c r="AM8308">
        <v>99.322757423356094</v>
      </c>
      <c r="AN8308">
        <v>0.99999999701482001</v>
      </c>
    </row>
    <row r="8309" spans="1:40" x14ac:dyDescent="0.25">
      <c r="A8309" t="str">
        <f>"20190312150852895"</f>
        <v>20190312150852895</v>
      </c>
      <c r="B8309" t="str">
        <f>"1552374532887771"</f>
        <v>1552374532887771</v>
      </c>
      <c r="C8309" t="s">
        <v>40</v>
      </c>
      <c r="D8309">
        <v>4.8240800000000004</v>
      </c>
      <c r="E8309">
        <v>0.42270020000000003</v>
      </c>
      <c r="F8309" t="s">
        <v>73</v>
      </c>
      <c r="G8309">
        <v>-401.49489999999997</v>
      </c>
      <c r="H8309" s="1">
        <v>-6.0380030000000003E-6</v>
      </c>
      <c r="I8309">
        <v>23.089659999999999</v>
      </c>
      <c r="J8309">
        <v>-408.19060000000002</v>
      </c>
      <c r="K8309">
        <v>1.1178859999999999</v>
      </c>
      <c r="L8309">
        <v>25.531220000000001</v>
      </c>
      <c r="M8309">
        <v>0.75013299999999905</v>
      </c>
      <c r="N8309">
        <v>0</v>
      </c>
      <c r="O8309">
        <v>-0.66115880000000005</v>
      </c>
      <c r="P8309">
        <v>0.84704290000000004</v>
      </c>
      <c r="Q8309">
        <v>1.9739639999999999E-2</v>
      </c>
      <c r="R8309">
        <v>-0.53115829999999997</v>
      </c>
      <c r="S8309">
        <v>2.8844910000000001</v>
      </c>
      <c r="T8309">
        <v>-0.47444340000000002</v>
      </c>
      <c r="U8309">
        <v>-1.071625</v>
      </c>
      <c r="V8309">
        <v>-0.16219229999999901</v>
      </c>
      <c r="W8309">
        <v>2.95313E-2</v>
      </c>
      <c r="X8309">
        <v>0.98631720000000001</v>
      </c>
      <c r="Y8309">
        <v>-0.34838370000000002</v>
      </c>
      <c r="Z8309">
        <v>0.1218293</v>
      </c>
      <c r="AA8309">
        <v>0.92940109999999998</v>
      </c>
      <c r="AB8309">
        <v>29</v>
      </c>
      <c r="AC8309">
        <v>6.6957000000000404</v>
      </c>
      <c r="AD8309">
        <v>-1.117892038003</v>
      </c>
      <c r="AE8309">
        <v>-2.4415599999999902</v>
      </c>
      <c r="AF8309">
        <v>-2.5333186657912301</v>
      </c>
      <c r="AG8309">
        <v>-1.117892038003</v>
      </c>
      <c r="AH8309">
        <v>6.4781052776471704</v>
      </c>
      <c r="AI8309">
        <v>99.130104325205807</v>
      </c>
      <c r="AJ8309">
        <v>111.358409738644</v>
      </c>
      <c r="AK8309">
        <v>7.0450858092259496</v>
      </c>
      <c r="AL8309">
        <v>88.3077351654441</v>
      </c>
      <c r="AM8309">
        <v>99.338277102867707</v>
      </c>
      <c r="AN8309">
        <v>1.0000000294374001</v>
      </c>
    </row>
    <row r="8310" spans="1:40" x14ac:dyDescent="0.25">
      <c r="A8310" t="str">
        <f>"20190312150852907"</f>
        <v>20190312150852907</v>
      </c>
      <c r="B8310" t="str">
        <f>"1552374532898506"</f>
        <v>1552374532898506</v>
      </c>
      <c r="C8310" t="s">
        <v>40</v>
      </c>
      <c r="D8310">
        <v>4.7837249999999996</v>
      </c>
      <c r="E8310">
        <v>0.42292410000000003</v>
      </c>
      <c r="F8310" t="s">
        <v>73</v>
      </c>
      <c r="G8310">
        <v>-401.37299999999999</v>
      </c>
      <c r="H8310" s="1">
        <v>-6.0723929999999997E-6</v>
      </c>
      <c r="I8310">
        <v>23.03257</v>
      </c>
      <c r="J8310">
        <v>-408.07709999999997</v>
      </c>
      <c r="K8310">
        <v>1.117875</v>
      </c>
      <c r="L8310">
        <v>25.43768</v>
      </c>
      <c r="M8310">
        <v>0.75354429999999994</v>
      </c>
      <c r="N8310">
        <v>0</v>
      </c>
      <c r="O8310">
        <v>-0.65726790000000002</v>
      </c>
      <c r="P8310">
        <v>0.8498812</v>
      </c>
      <c r="Q8310">
        <v>1.961367E-2</v>
      </c>
      <c r="R8310">
        <v>-0.52660929999999995</v>
      </c>
      <c r="S8310">
        <v>2.8888240000000001</v>
      </c>
      <c r="T8310">
        <v>-0.47368189999999999</v>
      </c>
      <c r="U8310">
        <v>-1.058746</v>
      </c>
      <c r="V8310">
        <v>-0.16237489999999999</v>
      </c>
      <c r="W8310">
        <v>2.940452E-2</v>
      </c>
      <c r="X8310">
        <v>0.98629089999999997</v>
      </c>
      <c r="Y8310">
        <v>-0.34772009999999998</v>
      </c>
      <c r="Z8310">
        <v>0.1211127</v>
      </c>
      <c r="AA8310">
        <v>0.92974319999999999</v>
      </c>
      <c r="AB8310">
        <v>29</v>
      </c>
      <c r="AC8310">
        <v>6.7040999999999196</v>
      </c>
      <c r="AD8310">
        <v>-1.1178810723929999</v>
      </c>
      <c r="AE8310">
        <v>-2.4051100000000001</v>
      </c>
      <c r="AF8310">
        <v>-2.5318833996236498</v>
      </c>
      <c r="AG8310">
        <v>-1.1178810723929999</v>
      </c>
      <c r="AH8310">
        <v>6.4737292129952904</v>
      </c>
      <c r="AI8310">
        <v>99.135953962443196</v>
      </c>
      <c r="AJ8310">
        <v>111.360528678753</v>
      </c>
      <c r="AK8310">
        <v>7.04054412417769</v>
      </c>
      <c r="AL8310">
        <v>88.315002208015301</v>
      </c>
      <c r="AM8310">
        <v>99.348849744827206</v>
      </c>
      <c r="AN8310">
        <v>0.99999998668462498</v>
      </c>
    </row>
    <row r="8311" spans="1:40" x14ac:dyDescent="0.25">
      <c r="A8311" t="str">
        <f>"20190312150852918"</f>
        <v>20190312150852918</v>
      </c>
      <c r="B8311" t="str">
        <f>"1552374532908267"</f>
        <v>1552374532908267</v>
      </c>
      <c r="C8311" t="s">
        <v>40</v>
      </c>
      <c r="D8311">
        <v>4.8125080000000002</v>
      </c>
      <c r="E8311">
        <v>0.42319269999999998</v>
      </c>
      <c r="F8311" t="s">
        <v>73</v>
      </c>
      <c r="G8311">
        <v>-401.24239999999998</v>
      </c>
      <c r="H8311" s="1">
        <v>-6.1090170000000001E-6</v>
      </c>
      <c r="I8311">
        <v>22.969629999999999</v>
      </c>
      <c r="J8311">
        <v>-407.96839999999997</v>
      </c>
      <c r="K8311">
        <v>1.117864</v>
      </c>
      <c r="L8311">
        <v>25.349399999999999</v>
      </c>
      <c r="M8311">
        <v>0.75676599999999905</v>
      </c>
      <c r="N8311">
        <v>0</v>
      </c>
      <c r="O8311">
        <v>-0.65355629999999998</v>
      </c>
      <c r="P8311">
        <v>0.85258799999999901</v>
      </c>
      <c r="Q8311">
        <v>1.9460399999999999E-2</v>
      </c>
      <c r="R8311">
        <v>-0.52222199999999996</v>
      </c>
      <c r="S8311">
        <v>2.893402</v>
      </c>
      <c r="T8311">
        <v>-0.4732459</v>
      </c>
      <c r="U8311">
        <v>-1.0448299999999999</v>
      </c>
      <c r="V8311">
        <v>-0.16260939999999999</v>
      </c>
      <c r="W8311">
        <v>2.924962E-2</v>
      </c>
      <c r="X8311">
        <v>0.98625689999999999</v>
      </c>
      <c r="Y8311">
        <v>-0.34760039999999998</v>
      </c>
      <c r="Z8311">
        <v>0.12053800000000001</v>
      </c>
      <c r="AA8311">
        <v>0.92986270000000004</v>
      </c>
      <c r="AB8311">
        <v>29</v>
      </c>
      <c r="AC8311">
        <v>6.7259999999999902</v>
      </c>
      <c r="AD8311">
        <v>-1.117870109017</v>
      </c>
      <c r="AE8311">
        <v>-2.3797700000000002</v>
      </c>
      <c r="AF8311">
        <v>-2.5329280499179698</v>
      </c>
      <c r="AG8311">
        <v>-1.117870109017</v>
      </c>
      <c r="AH8311">
        <v>6.4866401857615497</v>
      </c>
      <c r="AI8311">
        <v>99.119864260287002</v>
      </c>
      <c r="AJ8311">
        <v>111.32984090635</v>
      </c>
      <c r="AK8311">
        <v>7.0527908650570099</v>
      </c>
      <c r="AL8311">
        <v>88.323881190998407</v>
      </c>
      <c r="AM8311">
        <v>99.362429406791506</v>
      </c>
      <c r="AN8311">
        <v>1.0000000150180499</v>
      </c>
    </row>
    <row r="8312" spans="1:40" x14ac:dyDescent="0.25">
      <c r="A8312" t="str">
        <f>"20190312150852930"</f>
        <v>20190312150852930</v>
      </c>
      <c r="B8312" t="str">
        <f>"1552374532918027"</f>
        <v>1552374532918027</v>
      </c>
      <c r="C8312" t="s">
        <v>40</v>
      </c>
      <c r="D8312">
        <v>4.8041099999999997</v>
      </c>
      <c r="E8312">
        <v>0.42340670000000002</v>
      </c>
      <c r="F8312" t="s">
        <v>73</v>
      </c>
      <c r="G8312">
        <v>-401.10969999999998</v>
      </c>
      <c r="H8312" s="1">
        <v>-6.1464360000000003E-6</v>
      </c>
      <c r="I8312">
        <v>22.907299999999999</v>
      </c>
      <c r="J8312">
        <v>-407.85199999999998</v>
      </c>
      <c r="K8312">
        <v>1.1178440000000001</v>
      </c>
      <c r="L8312">
        <v>25.255549999999999</v>
      </c>
      <c r="M8312">
        <v>0.76018090000000005</v>
      </c>
      <c r="N8312">
        <v>0</v>
      </c>
      <c r="O8312">
        <v>-0.64958099999999996</v>
      </c>
      <c r="P8312">
        <v>0.85537129999999995</v>
      </c>
      <c r="Q8312">
        <v>1.9451E-2</v>
      </c>
      <c r="R8312">
        <v>-0.5176499</v>
      </c>
      <c r="S8312">
        <v>2.8975219999999999</v>
      </c>
      <c r="T8312">
        <v>-0.47225050000000002</v>
      </c>
      <c r="U8312">
        <v>-1.031677</v>
      </c>
      <c r="V8312">
        <v>-0.16271859999999999</v>
      </c>
      <c r="W8312">
        <v>2.9241509999999998E-2</v>
      </c>
      <c r="X8312">
        <v>0.98623910000000004</v>
      </c>
      <c r="Y8312">
        <v>-0.34694340000000001</v>
      </c>
      <c r="Z8312">
        <v>0.1197589</v>
      </c>
      <c r="AA8312">
        <v>0.93020860000000005</v>
      </c>
      <c r="AB8312">
        <v>29</v>
      </c>
      <c r="AC8312">
        <v>6.7423000000000002</v>
      </c>
      <c r="AD8312">
        <v>-1.117850146436</v>
      </c>
      <c r="AE8312">
        <v>-2.3482500000000002</v>
      </c>
      <c r="AF8312">
        <v>-2.5327063951912701</v>
      </c>
      <c r="AG8312">
        <v>-1.117850146436</v>
      </c>
      <c r="AH8312">
        <v>6.4921563046657402</v>
      </c>
      <c r="AI8312">
        <v>99.113196006982506</v>
      </c>
      <c r="AJ8312">
        <v>111.311646825124</v>
      </c>
      <c r="AK8312">
        <v>7.0577818128885896</v>
      </c>
      <c r="AL8312">
        <v>88.324346009182804</v>
      </c>
      <c r="AM8312">
        <v>99.368771383409694</v>
      </c>
      <c r="AN8312">
        <v>0.99999998553092495</v>
      </c>
    </row>
    <row r="8313" spans="1:40" x14ac:dyDescent="0.25">
      <c r="A8313" t="str">
        <f>"20190312150852942"</f>
        <v>20190312150852942</v>
      </c>
      <c r="B8313" t="str">
        <f>"1552374532938523"</f>
        <v>1552374532938523</v>
      </c>
      <c r="C8313" t="s">
        <v>40</v>
      </c>
      <c r="D8313">
        <v>4.7878299999999996</v>
      </c>
      <c r="E8313">
        <v>0.4239232</v>
      </c>
      <c r="F8313" t="s">
        <v>73</v>
      </c>
      <c r="G8313">
        <v>-400.95479999999998</v>
      </c>
      <c r="H8313" s="1">
        <v>-6.1903720000000001E-6</v>
      </c>
      <c r="I8313">
        <v>22.83691</v>
      </c>
      <c r="J8313">
        <v>-407.7321</v>
      </c>
      <c r="K8313">
        <v>1.117828</v>
      </c>
      <c r="L8313">
        <v>25.159759999999999</v>
      </c>
      <c r="M8313">
        <v>0.76365669999999897</v>
      </c>
      <c r="N8313">
        <v>0</v>
      </c>
      <c r="O8313">
        <v>-0.64549140000000005</v>
      </c>
      <c r="P8313">
        <v>0.85820869999999905</v>
      </c>
      <c r="Q8313">
        <v>1.9211180000000001E-2</v>
      </c>
      <c r="R8313">
        <v>-0.51294169999999994</v>
      </c>
      <c r="S8313">
        <v>2.902069</v>
      </c>
      <c r="T8313">
        <v>-0.47034690000000001</v>
      </c>
      <c r="U8313">
        <v>-1.0176700000000001</v>
      </c>
      <c r="V8313">
        <v>-0.16284289999999901</v>
      </c>
      <c r="W8313">
        <v>2.9004149999999999E-2</v>
      </c>
      <c r="X8313">
        <v>0.98622560000000004</v>
      </c>
      <c r="Y8313">
        <v>-0.346495099999999</v>
      </c>
      <c r="Z8313">
        <v>0.1187462</v>
      </c>
      <c r="AA8313">
        <v>0.93050549999999999</v>
      </c>
      <c r="AB8313">
        <v>29</v>
      </c>
      <c r="AC8313">
        <v>6.7773000000000199</v>
      </c>
      <c r="AD8313">
        <v>-1.1178341903719999</v>
      </c>
      <c r="AE8313">
        <v>-2.3228499999999999</v>
      </c>
      <c r="AF8313">
        <v>-2.53923211833553</v>
      </c>
      <c r="AG8313">
        <v>-1.1178341903719999</v>
      </c>
      <c r="AH8313">
        <v>6.51682488602221</v>
      </c>
      <c r="AI8313">
        <v>99.080583894024699</v>
      </c>
      <c r="AJ8313">
        <v>111.288003774852</v>
      </c>
      <c r="AK8313">
        <v>7.0828143857530099</v>
      </c>
      <c r="AL8313">
        <v>88.337951518036206</v>
      </c>
      <c r="AM8313">
        <v>99.375927176613601</v>
      </c>
      <c r="AN8313">
        <v>0.99999999244649596</v>
      </c>
    </row>
    <row r="8314" spans="1:40" x14ac:dyDescent="0.25">
      <c r="A8314" t="str">
        <f>"20190312150852954"</f>
        <v>20190312150852954</v>
      </c>
      <c r="B8314" t="str">
        <f>"1552374532948282"</f>
        <v>1552374532948282</v>
      </c>
      <c r="C8314" t="s">
        <v>40</v>
      </c>
      <c r="D8314">
        <v>4.8322510000000003</v>
      </c>
      <c r="E8314">
        <v>0.4241897</v>
      </c>
      <c r="F8314" t="s">
        <v>73</v>
      </c>
      <c r="G8314">
        <v>-400.8039</v>
      </c>
      <c r="H8314" s="1">
        <v>-6.2325330000000003E-6</v>
      </c>
      <c r="I8314">
        <v>22.76257</v>
      </c>
      <c r="J8314">
        <v>-407.61709999999999</v>
      </c>
      <c r="K8314">
        <v>1.1178049999999999</v>
      </c>
      <c r="L8314">
        <v>25.069269999999999</v>
      </c>
      <c r="M8314">
        <v>0.766934</v>
      </c>
      <c r="N8314">
        <v>0</v>
      </c>
      <c r="O8314">
        <v>-0.64159379999999999</v>
      </c>
      <c r="P8314">
        <v>0.86086890000000005</v>
      </c>
      <c r="Q8314">
        <v>1.9147109999999998E-2</v>
      </c>
      <c r="R8314">
        <v>-0.50846610000000003</v>
      </c>
      <c r="S8314">
        <v>2.9053040000000001</v>
      </c>
      <c r="T8314">
        <v>-0.4687577</v>
      </c>
      <c r="U8314">
        <v>-1.0052490000000001</v>
      </c>
      <c r="V8314">
        <v>-0.16295279999999901</v>
      </c>
      <c r="W8314">
        <v>2.8941709999999999E-2</v>
      </c>
      <c r="X8314">
        <v>0.98620929999999996</v>
      </c>
      <c r="Y8314">
        <v>-0.34570489999999998</v>
      </c>
      <c r="Z8314">
        <v>0.1178413</v>
      </c>
      <c r="AA8314">
        <v>0.93091429999999997</v>
      </c>
      <c r="AB8314">
        <v>29</v>
      </c>
      <c r="AC8314">
        <v>6.8131999999999904</v>
      </c>
      <c r="AD8314">
        <v>-1.1178112325330001</v>
      </c>
      <c r="AE8314">
        <v>-2.3067000000000002</v>
      </c>
      <c r="AF8314">
        <v>-2.54107558609451</v>
      </c>
      <c r="AG8314">
        <v>-1.1178112325330001</v>
      </c>
      <c r="AH8314">
        <v>6.5476854582547199</v>
      </c>
      <c r="AI8314">
        <v>99.042980835323604</v>
      </c>
      <c r="AJ8314">
        <v>111.210615767278</v>
      </c>
      <c r="AK8314">
        <v>7.1118740108400997</v>
      </c>
      <c r="AL8314">
        <v>88.341530598994098</v>
      </c>
      <c r="AM8314">
        <v>99.382294675567195</v>
      </c>
      <c r="AN8314">
        <v>1.0000000105060201</v>
      </c>
    </row>
    <row r="8315" spans="1:40" x14ac:dyDescent="0.25">
      <c r="A8315" t="str">
        <f>"20190312150852966"</f>
        <v>20190312150852966</v>
      </c>
      <c r="B8315" t="str">
        <f>"1552374532958042"</f>
        <v>1552374532958042</v>
      </c>
      <c r="C8315" t="s">
        <v>40</v>
      </c>
      <c r="D8315">
        <v>4.7727139999999997</v>
      </c>
      <c r="E8315">
        <v>0.4244695</v>
      </c>
      <c r="F8315" t="s">
        <v>73</v>
      </c>
      <c r="G8315">
        <v>-400.67570000000001</v>
      </c>
      <c r="H8315" s="1">
        <v>-6.268729E-6</v>
      </c>
      <c r="I8315">
        <v>22.702909999999999</v>
      </c>
      <c r="J8315">
        <v>-407.48689999999999</v>
      </c>
      <c r="K8315">
        <v>1.117777</v>
      </c>
      <c r="L8315">
        <v>24.967500000000001</v>
      </c>
      <c r="M8315">
        <v>0.77060280000000003</v>
      </c>
      <c r="N8315">
        <v>0</v>
      </c>
      <c r="O8315">
        <v>-0.6371831</v>
      </c>
      <c r="P8315">
        <v>0.86366699999999996</v>
      </c>
      <c r="Q8315">
        <v>1.9173719999999998E-2</v>
      </c>
      <c r="R8315">
        <v>-0.50369830000000004</v>
      </c>
      <c r="S8315">
        <v>2.9094540000000002</v>
      </c>
      <c r="T8315">
        <v>-0.468526</v>
      </c>
      <c r="U8315">
        <v>-0.99185179999999995</v>
      </c>
      <c r="V8315">
        <v>-0.16274620000000001</v>
      </c>
      <c r="W8315">
        <v>2.8976979999999999E-2</v>
      </c>
      <c r="X8315">
        <v>0.98624239999999996</v>
      </c>
      <c r="Y8315">
        <v>-0.34463739999999998</v>
      </c>
      <c r="Z8315">
        <v>0.11716650000000001</v>
      </c>
      <c r="AA8315">
        <v>0.93139519999999998</v>
      </c>
      <c r="AB8315">
        <v>29</v>
      </c>
      <c r="AC8315">
        <v>6.8111999999999799</v>
      </c>
      <c r="AD8315">
        <v>-1.1177832687289999</v>
      </c>
      <c r="AE8315">
        <v>-2.2645900000000001</v>
      </c>
      <c r="AF8315">
        <v>-2.5336573325271199</v>
      </c>
      <c r="AG8315">
        <v>-1.1177832687289999</v>
      </c>
      <c r="AH8315">
        <v>6.5338015982749003</v>
      </c>
      <c r="AI8315">
        <v>99.062588722920594</v>
      </c>
      <c r="AJ8315">
        <v>111.19514219328499</v>
      </c>
      <c r="AK8315">
        <v>7.0964372920599104</v>
      </c>
      <c r="AL8315">
        <v>88.339508963453397</v>
      </c>
      <c r="AM8315">
        <v>99.370301516301893</v>
      </c>
      <c r="AN8315">
        <v>1.00000003127105</v>
      </c>
    </row>
    <row r="8316" spans="1:40" x14ac:dyDescent="0.25">
      <c r="A8316" t="str">
        <f>"20190312150852979"</f>
        <v>20190312150852979</v>
      </c>
      <c r="B8316" t="str">
        <f>"1552374532967803"</f>
        <v>1552374532967803</v>
      </c>
      <c r="C8316" t="s">
        <v>40</v>
      </c>
      <c r="D8316">
        <v>4.83249</v>
      </c>
      <c r="E8316">
        <v>0.4247436</v>
      </c>
      <c r="F8316" t="s">
        <v>73</v>
      </c>
      <c r="G8316">
        <v>-400.52120000000002</v>
      </c>
      <c r="H8316" s="1">
        <v>-6.3122000000000003E-6</v>
      </c>
      <c r="I8316">
        <v>22.629760000000001</v>
      </c>
      <c r="J8316">
        <v>-407.36090000000002</v>
      </c>
      <c r="K8316">
        <v>1.1177459999999999</v>
      </c>
      <c r="L8316">
        <v>24.870419999999999</v>
      </c>
      <c r="M8316">
        <v>0.77408859999999902</v>
      </c>
      <c r="N8316">
        <v>0</v>
      </c>
      <c r="O8316">
        <v>-0.63294379999999995</v>
      </c>
      <c r="P8316">
        <v>0.86610759999999898</v>
      </c>
      <c r="Q8316">
        <v>1.8680329999999998E-2</v>
      </c>
      <c r="R8316">
        <v>-0.49950859999999903</v>
      </c>
      <c r="S8316">
        <v>2.9136350000000002</v>
      </c>
      <c r="T8316">
        <v>-0.46755390000000002</v>
      </c>
      <c r="U8316">
        <v>-0.97784420000000005</v>
      </c>
      <c r="V8316">
        <v>-0.16210550000000001</v>
      </c>
      <c r="W8316">
        <v>2.8501289999999999E-2</v>
      </c>
      <c r="X8316">
        <v>0.98636170000000001</v>
      </c>
      <c r="Y8316">
        <v>-0.34400710000000001</v>
      </c>
      <c r="Z8316">
        <v>0.1163628</v>
      </c>
      <c r="AA8316">
        <v>0.93172889999999997</v>
      </c>
      <c r="AB8316">
        <v>29</v>
      </c>
      <c r="AC8316">
        <v>6.8396999999999899</v>
      </c>
      <c r="AD8316">
        <v>-1.1177523121999999</v>
      </c>
      <c r="AE8316">
        <v>-2.2406600000000001</v>
      </c>
      <c r="AF8316">
        <v>-2.5337853635419001</v>
      </c>
      <c r="AG8316">
        <v>-1.1177523121999999</v>
      </c>
      <c r="AH8316">
        <v>6.5552132183082801</v>
      </c>
      <c r="AI8316">
        <v>99.036961044842101</v>
      </c>
      <c r="AJ8316">
        <v>111.133003397571</v>
      </c>
      <c r="AK8316">
        <v>7.1161969363847204</v>
      </c>
      <c r="AL8316">
        <v>88.366775138148199</v>
      </c>
      <c r="AM8316">
        <v>99.332953858581007</v>
      </c>
      <c r="AN8316">
        <v>0.99999995994440105</v>
      </c>
    </row>
    <row r="8317" spans="1:40" x14ac:dyDescent="0.25">
      <c r="A8317" t="str">
        <f>"20190312150852994"</f>
        <v>20190312150852994</v>
      </c>
      <c r="B8317" t="str">
        <f>"1552374532988298"</f>
        <v>1552374532988298</v>
      </c>
      <c r="C8317" t="s">
        <v>40</v>
      </c>
      <c r="D8317">
        <v>4.819026</v>
      </c>
      <c r="E8317">
        <v>0.42536350000000001</v>
      </c>
      <c r="F8317" t="s">
        <v>73</v>
      </c>
      <c r="G8317">
        <v>-400.39240000000001</v>
      </c>
      <c r="H8317" s="1">
        <v>-6.3479629999999997E-6</v>
      </c>
      <c r="I8317">
        <v>22.56439</v>
      </c>
      <c r="J8317">
        <v>-407.21260000000001</v>
      </c>
      <c r="K8317">
        <v>1.1177010000000001</v>
      </c>
      <c r="L8317">
        <v>24.757480000000001</v>
      </c>
      <c r="M8317">
        <v>0.77812099999999995</v>
      </c>
      <c r="N8317">
        <v>0</v>
      </c>
      <c r="O8317">
        <v>-0.62798009999999904</v>
      </c>
      <c r="P8317">
        <v>0.86906830000000002</v>
      </c>
      <c r="Q8317">
        <v>1.8802289999999999E-2</v>
      </c>
      <c r="R8317">
        <v>-0.49433490000000002</v>
      </c>
      <c r="S8317">
        <v>2.9171749999999999</v>
      </c>
      <c r="T8317">
        <v>-0.46791909999999998</v>
      </c>
      <c r="U8317">
        <v>-0.96536250000000001</v>
      </c>
      <c r="V8317">
        <v>-0.16167590000000001</v>
      </c>
      <c r="W8317">
        <v>2.8636660000000001E-2</v>
      </c>
      <c r="X8317">
        <v>0.98642830000000004</v>
      </c>
      <c r="Y8317">
        <v>-0.34199109999999899</v>
      </c>
      <c r="Z8317">
        <v>0.11570519999999999</v>
      </c>
      <c r="AA8317">
        <v>0.93255259999999995</v>
      </c>
      <c r="AB8317">
        <v>29</v>
      </c>
      <c r="AC8317">
        <v>6.8201999999999998</v>
      </c>
      <c r="AD8317">
        <v>-1.117707347963</v>
      </c>
      <c r="AE8317">
        <v>-2.19308999999999</v>
      </c>
      <c r="AF8317">
        <v>-2.5154505695373</v>
      </c>
      <c r="AG8317">
        <v>-1.117707347963</v>
      </c>
      <c r="AH8317">
        <v>6.52587857887087</v>
      </c>
      <c r="AI8317">
        <v>99.079764473222596</v>
      </c>
      <c r="AJ8317">
        <v>111.079544282852</v>
      </c>
      <c r="AK8317">
        <v>7.0826444573790202</v>
      </c>
      <c r="AL8317">
        <v>88.359015862407702</v>
      </c>
      <c r="AM8317">
        <v>99.308036370372804</v>
      </c>
      <c r="AN8317">
        <v>0.99999997298882704</v>
      </c>
    </row>
    <row r="8318" spans="1:40" x14ac:dyDescent="0.25">
      <c r="A8318" t="str">
        <f>"20190312150853007"</f>
        <v>20190312150853007</v>
      </c>
      <c r="B8318" t="str">
        <f>"1552374532998059"</f>
        <v>1552374532998059</v>
      </c>
      <c r="C8318" t="s">
        <v>40</v>
      </c>
      <c r="D8318">
        <v>4.7848600000000001</v>
      </c>
      <c r="E8318">
        <v>0.42567189999999999</v>
      </c>
      <c r="F8318" t="s">
        <v>73</v>
      </c>
      <c r="G8318">
        <v>-400.2183</v>
      </c>
      <c r="H8318" s="1">
        <v>-6.3963330000000003E-6</v>
      </c>
      <c r="I8318">
        <v>22.47627</v>
      </c>
      <c r="J8318">
        <v>-407.0736</v>
      </c>
      <c r="K8318">
        <v>1.117653</v>
      </c>
      <c r="L8318">
        <v>24.652650000000001</v>
      </c>
      <c r="M8318">
        <v>0.78184019999999899</v>
      </c>
      <c r="N8318">
        <v>0</v>
      </c>
      <c r="O8318">
        <v>-0.6233438</v>
      </c>
      <c r="P8318">
        <v>0.87161480000000002</v>
      </c>
      <c r="Q8318">
        <v>1.8978040000000002E-2</v>
      </c>
      <c r="R8318">
        <v>-0.48982409999999998</v>
      </c>
      <c r="S8318">
        <v>2.9202880000000002</v>
      </c>
      <c r="T8318">
        <v>-0.46666839999999998</v>
      </c>
      <c r="U8318">
        <v>-0.95245360000000001</v>
      </c>
      <c r="V8318">
        <v>-0.16092239999999999</v>
      </c>
      <c r="W8318">
        <v>2.883256E-2</v>
      </c>
      <c r="X8318">
        <v>0.98654589999999998</v>
      </c>
      <c r="Y8318">
        <v>-0.340537799999999</v>
      </c>
      <c r="Z8318">
        <v>0.1147487</v>
      </c>
      <c r="AA8318">
        <v>0.93320239999999999</v>
      </c>
      <c r="AB8318">
        <v>29</v>
      </c>
      <c r="AC8318">
        <v>6.8552999999999997</v>
      </c>
      <c r="AD8318">
        <v>-1.1176593963329999</v>
      </c>
      <c r="AE8318">
        <v>-2.17638</v>
      </c>
      <c r="AF8318">
        <v>-2.5112060714348199</v>
      </c>
      <c r="AG8318">
        <v>-1.1176593963329999</v>
      </c>
      <c r="AH8318">
        <v>6.55857829963107</v>
      </c>
      <c r="AI8318">
        <v>99.042506990550805</v>
      </c>
      <c r="AJ8318">
        <v>110.95128260622199</v>
      </c>
      <c r="AK8318">
        <v>7.1112775063144698</v>
      </c>
      <c r="AL8318">
        <v>88.347787149261507</v>
      </c>
      <c r="AM8318">
        <v>99.264324458832405</v>
      </c>
      <c r="AN8318">
        <v>1.00000007407235</v>
      </c>
    </row>
    <row r="8319" spans="1:40" x14ac:dyDescent="0.25">
      <c r="A8319" t="str">
        <f>"20190312150853018"</f>
        <v>20190312150853018</v>
      </c>
      <c r="B8319" t="str">
        <f>"1552374533007819"</f>
        <v>1552374533007819</v>
      </c>
      <c r="C8319" t="s">
        <v>40</v>
      </c>
      <c r="D8319">
        <v>4.8054100000000002</v>
      </c>
      <c r="E8319">
        <v>0.42567189999999999</v>
      </c>
      <c r="F8319" t="s">
        <v>73</v>
      </c>
      <c r="G8319">
        <v>-400.05939999999998</v>
      </c>
      <c r="H8319" s="1">
        <v>-6.4407269999999997E-6</v>
      </c>
      <c r="I8319">
        <v>22.39798</v>
      </c>
      <c r="J8319">
        <v>-406.96280000000002</v>
      </c>
      <c r="K8319">
        <v>1.1176109999999999</v>
      </c>
      <c r="L8319">
        <v>24.570219999999999</v>
      </c>
      <c r="M8319">
        <v>0.78474739999999998</v>
      </c>
      <c r="N8319">
        <v>0</v>
      </c>
      <c r="O8319">
        <v>-0.61968000000000001</v>
      </c>
      <c r="P8319">
        <v>0.87375859999999905</v>
      </c>
      <c r="Q8319">
        <v>1.9089399999999999E-2</v>
      </c>
      <c r="R8319">
        <v>-0.4859849</v>
      </c>
      <c r="S8319">
        <v>2.9238279999999999</v>
      </c>
      <c r="T8319">
        <v>-0.4658911</v>
      </c>
      <c r="U8319">
        <v>-0.93984990000000002</v>
      </c>
      <c r="V8319">
        <v>-0.1606456</v>
      </c>
      <c r="W8319">
        <v>2.89541E-2</v>
      </c>
      <c r="X8319">
        <v>0.98658729999999994</v>
      </c>
      <c r="Y8319">
        <v>-0.34019169999999999</v>
      </c>
      <c r="Z8319">
        <v>0.11408450000000001</v>
      </c>
      <c r="AA8319">
        <v>0.93340999999999996</v>
      </c>
      <c r="AB8319">
        <v>29</v>
      </c>
      <c r="AC8319">
        <v>6.9034000000000297</v>
      </c>
      <c r="AD8319">
        <v>-1.1176174407269901</v>
      </c>
      <c r="AE8319">
        <v>-2.1722399999999999</v>
      </c>
      <c r="AF8319">
        <v>-2.5135126388658402</v>
      </c>
      <c r="AG8319">
        <v>-1.1176174407269901</v>
      </c>
      <c r="AH8319">
        <v>6.6065331462690002</v>
      </c>
      <c r="AI8319">
        <v>98.9847640512738</v>
      </c>
      <c r="AJ8319">
        <v>110.82975005875301</v>
      </c>
      <c r="AK8319">
        <v>7.1563324924367802</v>
      </c>
      <c r="AL8319">
        <v>88.340820264116502</v>
      </c>
      <c r="AM8319">
        <v>99.2482832548841</v>
      </c>
      <c r="AN8319">
        <v>0.999999924613727</v>
      </c>
    </row>
    <row r="8320" spans="1:40" x14ac:dyDescent="0.25">
      <c r="A8320" t="str">
        <f>"20190312150853029"</f>
        <v>20190312150853029</v>
      </c>
      <c r="B8320" t="str">
        <f>"1552374533018554"</f>
        <v>1552374533018554</v>
      </c>
      <c r="C8320" t="s">
        <v>40</v>
      </c>
      <c r="D8320">
        <v>4.8325709999999997</v>
      </c>
      <c r="E8320">
        <v>0.43692170000000002</v>
      </c>
      <c r="F8320" t="s">
        <v>42</v>
      </c>
      <c r="G8320">
        <v>-399.93819999999999</v>
      </c>
      <c r="H8320" s="1">
        <v>-7.3588730000000001E-7</v>
      </c>
      <c r="I8320">
        <v>22.345659999999999</v>
      </c>
      <c r="J8320">
        <v>-406.85239999999999</v>
      </c>
      <c r="K8320">
        <v>1.11757</v>
      </c>
      <c r="L8320">
        <v>24.488710000000001</v>
      </c>
      <c r="M8320">
        <v>0.78760540000000001</v>
      </c>
      <c r="N8320">
        <v>0</v>
      </c>
      <c r="O8320">
        <v>-0.61604389999999998</v>
      </c>
      <c r="P8320">
        <v>0.87580219999999898</v>
      </c>
      <c r="Q8320">
        <v>1.9094670000000001E-2</v>
      </c>
      <c r="R8320">
        <v>-0.48229270000000002</v>
      </c>
      <c r="S8320">
        <v>2.9279169999999999</v>
      </c>
      <c r="T8320">
        <v>-0.46583020000000003</v>
      </c>
      <c r="U8320">
        <v>-0.92721560000000003</v>
      </c>
      <c r="V8320">
        <v>-0.16024330000000001</v>
      </c>
      <c r="W8320">
        <v>2.8972689999999999E-2</v>
      </c>
      <c r="X8320">
        <v>0.98665230000000004</v>
      </c>
      <c r="Y8320">
        <v>-0.33992840000000002</v>
      </c>
      <c r="Z8320">
        <v>0.1135813</v>
      </c>
      <c r="AA8320">
        <v>0.93356729999999999</v>
      </c>
      <c r="AB8320">
        <v>29</v>
      </c>
      <c r="AC8320">
        <v>6.9141999999999904</v>
      </c>
      <c r="AD8320">
        <v>-1.1175707358872999</v>
      </c>
      <c r="AE8320">
        <v>-2.1430499999999899</v>
      </c>
      <c r="AF8320">
        <v>-2.5119152282277502</v>
      </c>
      <c r="AG8320">
        <v>-1.1175707358872999</v>
      </c>
      <c r="AH8320">
        <v>6.6089130668657701</v>
      </c>
      <c r="AI8320">
        <v>98.982323751994997</v>
      </c>
      <c r="AJ8320">
        <v>110.81079279318701</v>
      </c>
      <c r="AK8320">
        <v>7.1579616085100097</v>
      </c>
      <c r="AL8320">
        <v>88.339754890921398</v>
      </c>
      <c r="AM8320">
        <v>99.224924449772999</v>
      </c>
      <c r="AN8320">
        <v>1.0000000465279999</v>
      </c>
    </row>
    <row r="8321" spans="1:40" x14ac:dyDescent="0.25">
      <c r="A8321" t="str">
        <f>"20190312150853041"</f>
        <v>20190312150853041</v>
      </c>
      <c r="B8321" t="str">
        <f>"1552374533038075"</f>
        <v>1552374533038075</v>
      </c>
      <c r="C8321" t="s">
        <v>40</v>
      </c>
      <c r="D8321">
        <v>4.8201369999999999</v>
      </c>
      <c r="E8321">
        <v>0.43649890000000002</v>
      </c>
      <c r="F8321" t="s">
        <v>42</v>
      </c>
      <c r="G8321">
        <v>-399.73739999999998</v>
      </c>
      <c r="H8321" s="1">
        <v>-7.496993E-7</v>
      </c>
      <c r="I8321">
        <v>22.040759999999999</v>
      </c>
      <c r="J8321">
        <v>-406.73559999999998</v>
      </c>
      <c r="K8321">
        <v>1.1175250000000001</v>
      </c>
      <c r="L8321">
        <v>24.403230000000001</v>
      </c>
      <c r="M8321">
        <v>0.79058499999999998</v>
      </c>
      <c r="N8321">
        <v>0</v>
      </c>
      <c r="O8321">
        <v>-0.61221530000000002</v>
      </c>
      <c r="P8321">
        <v>0.87789740000000005</v>
      </c>
      <c r="Q8321">
        <v>1.8558499999999999E-2</v>
      </c>
      <c r="R8321">
        <v>-0.478489</v>
      </c>
      <c r="S8321">
        <v>2.8880919999999999</v>
      </c>
      <c r="T8321">
        <v>-0.45363550000000002</v>
      </c>
      <c r="U8321">
        <v>-0.99365230000000004</v>
      </c>
      <c r="V8321">
        <v>-0.15972999999999901</v>
      </c>
      <c r="W8321">
        <v>2.8452669999999999E-2</v>
      </c>
      <c r="X8321">
        <v>0.98675060000000003</v>
      </c>
      <c r="Y8321">
        <v>-0.31284590000000001</v>
      </c>
      <c r="Z8321">
        <v>0.1090395</v>
      </c>
      <c r="AA8321">
        <v>0.94352420000000004</v>
      </c>
      <c r="AB8321">
        <v>29</v>
      </c>
      <c r="AC8321">
        <v>6.99819999999999</v>
      </c>
      <c r="AD8321">
        <v>-1.1175257496993001</v>
      </c>
      <c r="AE8321">
        <v>-2.3624699999999899</v>
      </c>
      <c r="AF8321">
        <v>-2.3627870706875198</v>
      </c>
      <c r="AG8321">
        <v>-1.1175257496993001</v>
      </c>
      <c r="AH8321">
        <v>6.8234007105657204</v>
      </c>
      <c r="AI8321">
        <v>98.797439868606403</v>
      </c>
      <c r="AJ8321">
        <v>109.099795504496</v>
      </c>
      <c r="AK8321">
        <v>7.3068751049677703</v>
      </c>
      <c r="AL8321">
        <v>88.369562033339193</v>
      </c>
      <c r="AM8321">
        <v>99.194979873423804</v>
      </c>
      <c r="AN8321">
        <v>0.99999998696524395</v>
      </c>
    </row>
    <row r="8322" spans="1:40" x14ac:dyDescent="0.25">
      <c r="A8322" t="str">
        <f>"20190312150853052"</f>
        <v>20190312150853052</v>
      </c>
      <c r="B8322" t="str">
        <f>"1552374533047835"</f>
        <v>1552374533047835</v>
      </c>
      <c r="C8322" t="s">
        <v>40</v>
      </c>
      <c r="D8322">
        <v>4.8258890000000001</v>
      </c>
      <c r="E8322">
        <v>0.43658720000000001</v>
      </c>
      <c r="F8322" t="s">
        <v>42</v>
      </c>
      <c r="G8322">
        <v>-399.58960000000002</v>
      </c>
      <c r="H8322" s="1">
        <v>-8.0565559999999995E-7</v>
      </c>
      <c r="I8322">
        <v>21.988510000000002</v>
      </c>
      <c r="J8322">
        <v>-406.61720000000003</v>
      </c>
      <c r="K8322">
        <v>1.1174759999999999</v>
      </c>
      <c r="L8322">
        <v>24.317599999999999</v>
      </c>
      <c r="M8322">
        <v>0.79354780000000003</v>
      </c>
      <c r="N8322">
        <v>0</v>
      </c>
      <c r="O8322">
        <v>-0.60837079999999999</v>
      </c>
      <c r="P8322">
        <v>0.87993679999999996</v>
      </c>
      <c r="Q8322">
        <v>1.810171E-2</v>
      </c>
      <c r="R8322">
        <v>-0.47474650000000002</v>
      </c>
      <c r="S8322">
        <v>2.8938600000000001</v>
      </c>
      <c r="T8322">
        <v>-0.4525573</v>
      </c>
      <c r="U8322">
        <v>-0.97787480000000004</v>
      </c>
      <c r="V8322">
        <v>-0.15913629999999901</v>
      </c>
      <c r="W8322">
        <v>2.8013679999999999E-2</v>
      </c>
      <c r="X8322">
        <v>0.98685909999999999</v>
      </c>
      <c r="Y8322">
        <v>-0.31350609999999901</v>
      </c>
      <c r="Z8322">
        <v>0.10831979999999999</v>
      </c>
      <c r="AA8322">
        <v>0.94338789999999995</v>
      </c>
      <c r="AB8322">
        <v>29</v>
      </c>
      <c r="AC8322">
        <v>7.0275999999999996</v>
      </c>
      <c r="AD8322">
        <v>-1.1174768056555999</v>
      </c>
      <c r="AE8322">
        <v>-2.3290899999999901</v>
      </c>
      <c r="AF8322">
        <v>-2.37327558152999</v>
      </c>
      <c r="AG8322">
        <v>-1.1174768056555999</v>
      </c>
      <c r="AH8322">
        <v>6.8384724117145099</v>
      </c>
      <c r="AI8322">
        <v>98.775914092842498</v>
      </c>
      <c r="AJ8322">
        <v>109.139209397833</v>
      </c>
      <c r="AK8322">
        <v>7.3243358963693996</v>
      </c>
      <c r="AL8322">
        <v>88.394724368868296</v>
      </c>
      <c r="AM8322">
        <v>99.160393517921705</v>
      </c>
      <c r="AN8322">
        <v>1.0000000057488201</v>
      </c>
    </row>
    <row r="8323" spans="1:40" x14ac:dyDescent="0.25">
      <c r="A8323" t="str">
        <f>"20190312150853063"</f>
        <v>20190312150853063</v>
      </c>
      <c r="B8323" t="str">
        <f>"1552374533058570"</f>
        <v>1552374533058570</v>
      </c>
      <c r="C8323" t="s">
        <v>40</v>
      </c>
      <c r="D8323">
        <v>4.8275430000000004</v>
      </c>
      <c r="E8323">
        <v>0.43711240000000001</v>
      </c>
      <c r="F8323" t="s">
        <v>42</v>
      </c>
      <c r="G8323">
        <v>-399.56130000000002</v>
      </c>
      <c r="H8323" s="1">
        <v>-8.132338E-7</v>
      </c>
      <c r="I8323">
        <v>21.966819999999998</v>
      </c>
      <c r="J8323">
        <v>-406.50139999999999</v>
      </c>
      <c r="K8323">
        <v>1.1174249999999999</v>
      </c>
      <c r="L8323">
        <v>24.23441</v>
      </c>
      <c r="M8323">
        <v>0.79640699999999998</v>
      </c>
      <c r="N8323">
        <v>0</v>
      </c>
      <c r="O8323">
        <v>-0.60462329999999997</v>
      </c>
      <c r="P8323">
        <v>0.88171669999999902</v>
      </c>
      <c r="Q8323">
        <v>1.78105E-2</v>
      </c>
      <c r="R8323">
        <v>-0.47144330000000001</v>
      </c>
      <c r="S8323">
        <v>2.897888</v>
      </c>
      <c r="T8323">
        <v>-0.458957</v>
      </c>
      <c r="U8323">
        <v>-0.96548460000000003</v>
      </c>
      <c r="V8323">
        <v>-0.15817929999999999</v>
      </c>
      <c r="W8323">
        <v>2.7748660000000001E-2</v>
      </c>
      <c r="X8323">
        <v>0.98702040000000002</v>
      </c>
      <c r="Y8323">
        <v>-0.31285220000000002</v>
      </c>
      <c r="Z8323">
        <v>0.1093051</v>
      </c>
      <c r="AA8323">
        <v>0.94349130000000003</v>
      </c>
      <c r="AB8323">
        <v>29</v>
      </c>
      <c r="AC8323">
        <v>6.94009999999997</v>
      </c>
      <c r="AD8323">
        <v>-1.1174258132338</v>
      </c>
      <c r="AE8323">
        <v>-2.26758999999999</v>
      </c>
      <c r="AF8323">
        <v>-2.3357099686444802</v>
      </c>
      <c r="AG8323">
        <v>-1.1174258132338</v>
      </c>
      <c r="AH8323">
        <v>6.7408613031250004</v>
      </c>
      <c r="AI8323">
        <v>98.902057651566693</v>
      </c>
      <c r="AJ8323">
        <v>109.111212674477</v>
      </c>
      <c r="AK8323">
        <v>7.2210381950017704</v>
      </c>
      <c r="AL8323">
        <v>88.409914752050298</v>
      </c>
      <c r="AM8323">
        <v>99.104768040424105</v>
      </c>
      <c r="AN8323">
        <v>0.99999997454822198</v>
      </c>
    </row>
    <row r="8324" spans="1:40" x14ac:dyDescent="0.25">
      <c r="A8324" t="str">
        <f>"20190312150853075"</f>
        <v>20190312150853075</v>
      </c>
      <c r="B8324" t="str">
        <f>"1552374533068330"</f>
        <v>1552374533068330</v>
      </c>
      <c r="C8324" t="s">
        <v>40</v>
      </c>
      <c r="D8324">
        <v>4.8288039999999999</v>
      </c>
      <c r="E8324">
        <v>0.43738870000000002</v>
      </c>
      <c r="F8324" t="s">
        <v>42</v>
      </c>
      <c r="G8324">
        <v>-399.42430000000002</v>
      </c>
      <c r="H8324" s="1">
        <v>-8.5944769999999905E-7</v>
      </c>
      <c r="I8324">
        <v>21.896920000000001</v>
      </c>
      <c r="J8324">
        <v>-406.38420000000002</v>
      </c>
      <c r="K8324">
        <v>1.1173729999999999</v>
      </c>
      <c r="L8324">
        <v>24.15137</v>
      </c>
      <c r="M8324">
        <v>0.79923459999999902</v>
      </c>
      <c r="N8324">
        <v>0</v>
      </c>
      <c r="O8324">
        <v>-0.60088050000000004</v>
      </c>
      <c r="P8324">
        <v>0.88346409999999997</v>
      </c>
      <c r="Q8324">
        <v>1.7756689999999999E-2</v>
      </c>
      <c r="R8324">
        <v>-0.46816210000000003</v>
      </c>
      <c r="S8324">
        <v>2.8996279999999999</v>
      </c>
      <c r="T8324">
        <v>-0.4578255</v>
      </c>
      <c r="U8324">
        <v>-0.95770259999999996</v>
      </c>
      <c r="V8324">
        <v>-0.1572141</v>
      </c>
      <c r="W8324">
        <v>2.7721490000000001E-2</v>
      </c>
      <c r="X8324">
        <v>0.98717540000000004</v>
      </c>
      <c r="Y8324">
        <v>-0.31094719999999998</v>
      </c>
      <c r="Z8324">
        <v>0.10845730000000001</v>
      </c>
      <c r="AA8324">
        <v>0.94421860000000002</v>
      </c>
      <c r="AB8324">
        <v>29</v>
      </c>
      <c r="AC8324">
        <v>6.9599000000000002</v>
      </c>
      <c r="AD8324">
        <v>-1.1173738594476901</v>
      </c>
      <c r="AE8324">
        <v>-2.2544499999999901</v>
      </c>
      <c r="AF8324">
        <v>-2.32616962106498</v>
      </c>
      <c r="AG8324">
        <v>-1.1173738594476901</v>
      </c>
      <c r="AH8324">
        <v>6.7601310262937098</v>
      </c>
      <c r="AI8324">
        <v>98.883148355642206</v>
      </c>
      <c r="AJ8324">
        <v>108.98840488764</v>
      </c>
      <c r="AK8324">
        <v>7.2359492079755201</v>
      </c>
      <c r="AL8324">
        <v>88.411472137503296</v>
      </c>
      <c r="AM8324">
        <v>99.048736073039393</v>
      </c>
      <c r="AN8324">
        <v>1.0000000123058901</v>
      </c>
    </row>
    <row r="8325" spans="1:40" x14ac:dyDescent="0.25">
      <c r="A8325" t="str">
        <f>"20190312150853085"</f>
        <v>20190312150853085</v>
      </c>
      <c r="B8325" t="str">
        <f>"1552374533078091"</f>
        <v>1552374533078091</v>
      </c>
      <c r="C8325" t="s">
        <v>40</v>
      </c>
      <c r="D8325">
        <v>4.8366170000000004</v>
      </c>
      <c r="E8325">
        <v>0.43762420000000002</v>
      </c>
      <c r="F8325" t="s">
        <v>42</v>
      </c>
      <c r="G8325">
        <v>-399.27659999999997</v>
      </c>
      <c r="H8325" s="1">
        <v>-9.1123730000000005E-7</v>
      </c>
      <c r="I8325">
        <v>21.829229999999999</v>
      </c>
      <c r="J8325">
        <v>-406.27269999999999</v>
      </c>
      <c r="K8325">
        <v>1.1173230000000001</v>
      </c>
      <c r="L8325">
        <v>24.072659999999999</v>
      </c>
      <c r="M8325">
        <v>0.80189600000000005</v>
      </c>
      <c r="N8325">
        <v>0</v>
      </c>
      <c r="O8325">
        <v>-0.59732459999999998</v>
      </c>
      <c r="P8325">
        <v>0.88532979999999994</v>
      </c>
      <c r="Q8325">
        <v>1.7933290000000001E-2</v>
      </c>
      <c r="R8325">
        <v>-0.46461750000000002</v>
      </c>
      <c r="S8325">
        <v>2.902374</v>
      </c>
      <c r="T8325">
        <v>-0.4562793</v>
      </c>
      <c r="U8325">
        <v>-0.94824219999999904</v>
      </c>
      <c r="V8325">
        <v>-0.15678249999999999</v>
      </c>
      <c r="W8325">
        <v>2.7914540000000002E-2</v>
      </c>
      <c r="X8325">
        <v>0.98723859999999997</v>
      </c>
      <c r="Y8325">
        <v>-0.309878599999999</v>
      </c>
      <c r="Z8325">
        <v>0.10757659999999999</v>
      </c>
      <c r="AA8325">
        <v>0.94467060000000003</v>
      </c>
      <c r="AB8325">
        <v>29</v>
      </c>
      <c r="AC8325">
        <v>6.99610000000001</v>
      </c>
      <c r="AD8325">
        <v>-1.1173239112372999</v>
      </c>
      <c r="AE8325">
        <v>-2.24343</v>
      </c>
      <c r="AF8325">
        <v>-2.3263392102365801</v>
      </c>
      <c r="AG8325">
        <v>-1.1173239112372999</v>
      </c>
      <c r="AH8325">
        <v>6.7936542240034798</v>
      </c>
      <c r="AI8325">
        <v>98.844090352266704</v>
      </c>
      <c r="AJ8325">
        <v>108.90265322202301</v>
      </c>
      <c r="AK8325">
        <v>7.2673244429450898</v>
      </c>
      <c r="AL8325">
        <v>88.400406907242399</v>
      </c>
      <c r="AM8325">
        <v>99.023735718699001</v>
      </c>
      <c r="AN8325">
        <v>1.0000000135898099</v>
      </c>
    </row>
    <row r="8326" spans="1:40" x14ac:dyDescent="0.25">
      <c r="A8326" t="str">
        <f>"20190312150853096"</f>
        <v>20190312150853096</v>
      </c>
      <c r="B8326" t="str">
        <f>"1552374533087851"</f>
        <v>1552374533087851</v>
      </c>
      <c r="C8326" t="s">
        <v>40</v>
      </c>
      <c r="D8326">
        <v>4.8482719999999997</v>
      </c>
      <c r="E8326">
        <v>0.43795040000000002</v>
      </c>
      <c r="F8326" t="s">
        <v>42</v>
      </c>
      <c r="G8326">
        <v>-399.16719999999998</v>
      </c>
      <c r="H8326" s="1">
        <v>-9.4923840000000001E-7</v>
      </c>
      <c r="I8326">
        <v>21.777670000000001</v>
      </c>
      <c r="J8326">
        <v>-406.15350000000001</v>
      </c>
      <c r="K8326">
        <v>1.1172690000000001</v>
      </c>
      <c r="L8326">
        <v>23.989809999999999</v>
      </c>
      <c r="M8326">
        <v>0.80467</v>
      </c>
      <c r="N8326">
        <v>0</v>
      </c>
      <c r="O8326">
        <v>-0.59358239999999995</v>
      </c>
      <c r="P8326">
        <v>0.88730409999999904</v>
      </c>
      <c r="Q8326">
        <v>1.8385149999999999E-2</v>
      </c>
      <c r="R8326">
        <v>-0.46081830000000001</v>
      </c>
      <c r="S8326">
        <v>2.9053339999999999</v>
      </c>
      <c r="T8326">
        <v>-0.45685510000000001</v>
      </c>
      <c r="U8326">
        <v>-0.93838500000000002</v>
      </c>
      <c r="V8326">
        <v>-0.15641369999999999</v>
      </c>
      <c r="W8326">
        <v>2.8381650000000001E-2</v>
      </c>
      <c r="X8326">
        <v>0.98728380000000004</v>
      </c>
      <c r="Y8326">
        <v>-0.30866349999999998</v>
      </c>
      <c r="Z8326">
        <v>0.1071517</v>
      </c>
      <c r="AA8326">
        <v>0.94511659999999997</v>
      </c>
      <c r="AB8326">
        <v>29</v>
      </c>
      <c r="AC8326">
        <v>6.9863000000000204</v>
      </c>
      <c r="AD8326">
        <v>-1.1172699492384</v>
      </c>
      <c r="AE8326">
        <v>-2.2121400000000002</v>
      </c>
      <c r="AF8326">
        <v>-2.3133258131107599</v>
      </c>
      <c r="AG8326">
        <v>-1.1172699492384</v>
      </c>
      <c r="AH8326">
        <v>6.7777811850959298</v>
      </c>
      <c r="AI8326">
        <v>98.867038542305707</v>
      </c>
      <c r="AJ8326">
        <v>108.84529622445299</v>
      </c>
      <c r="AK8326">
        <v>7.24831609755784</v>
      </c>
      <c r="AL8326">
        <v>88.373632897997197</v>
      </c>
      <c r="AM8326">
        <v>99.002451797581301</v>
      </c>
      <c r="AN8326">
        <v>1.00000003267342</v>
      </c>
    </row>
    <row r="8327" spans="1:40" x14ac:dyDescent="0.25">
      <c r="A8327" t="str">
        <f>"20190312150853109"</f>
        <v>20190312150853109</v>
      </c>
      <c r="B8327" t="str">
        <f>"1552374533097611"</f>
        <v>1552374533097611</v>
      </c>
      <c r="C8327" t="s">
        <v>40</v>
      </c>
      <c r="D8327">
        <v>4.8422900000000002</v>
      </c>
      <c r="E8327">
        <v>0.43766280000000002</v>
      </c>
      <c r="F8327" t="s">
        <v>42</v>
      </c>
      <c r="G8327">
        <v>-399.04390000000001</v>
      </c>
      <c r="H8327" s="1">
        <v>-9.9219489999999993E-7</v>
      </c>
      <c r="I8327">
        <v>21.720179999999999</v>
      </c>
      <c r="J8327">
        <v>-406.03100000000001</v>
      </c>
      <c r="K8327">
        <v>1.1172070000000001</v>
      </c>
      <c r="L8327">
        <v>23.905059999999999</v>
      </c>
      <c r="M8327">
        <v>0.80748359999999997</v>
      </c>
      <c r="N8327">
        <v>0</v>
      </c>
      <c r="O8327">
        <v>-0.58974959999999998</v>
      </c>
      <c r="P8327">
        <v>0.88921679999999903</v>
      </c>
      <c r="Q8327">
        <v>1.8728439999999999E-2</v>
      </c>
      <c r="R8327">
        <v>-0.45710210000000001</v>
      </c>
      <c r="S8327">
        <v>2.908325</v>
      </c>
      <c r="T8327">
        <v>-0.45704220000000001</v>
      </c>
      <c r="U8327">
        <v>-0.92843629999999999</v>
      </c>
      <c r="V8327">
        <v>-0.1558467</v>
      </c>
      <c r="W8327">
        <v>2.8745329999999999E-2</v>
      </c>
      <c r="X8327">
        <v>0.98736290000000004</v>
      </c>
      <c r="Y8327">
        <v>-0.30740339999999999</v>
      </c>
      <c r="Z8327">
        <v>0.10661859999999999</v>
      </c>
      <c r="AA8327">
        <v>0.94558750000000003</v>
      </c>
      <c r="AB8327">
        <v>29</v>
      </c>
      <c r="AC8327">
        <v>6.9870999999999901</v>
      </c>
      <c r="AD8327">
        <v>-1.1172079921948901</v>
      </c>
      <c r="AE8327">
        <v>-2.1848800000000002</v>
      </c>
      <c r="AF8327">
        <v>-2.3029456823468499</v>
      </c>
      <c r="AG8327">
        <v>-1.1172079921948901</v>
      </c>
      <c r="AH8327">
        <v>6.7733282580515697</v>
      </c>
      <c r="AI8327">
        <v>98.875777846335396</v>
      </c>
      <c r="AJ8327">
        <v>108.778139943</v>
      </c>
      <c r="AK8327">
        <v>7.2408347726615103</v>
      </c>
      <c r="AL8327">
        <v>88.352786997102399</v>
      </c>
      <c r="AM8327">
        <v>98.969642545884795</v>
      </c>
      <c r="AN8327">
        <v>0.99999999209705404</v>
      </c>
    </row>
    <row r="8328" spans="1:40" x14ac:dyDescent="0.25">
      <c r="A8328" t="str">
        <f>"20190312150853119"</f>
        <v>20190312150853119</v>
      </c>
      <c r="B8328" t="str">
        <f>"1552374533108346"</f>
        <v>1552374533108346</v>
      </c>
      <c r="C8328" t="s">
        <v>40</v>
      </c>
      <c r="D8328">
        <v>4.9461149999999998</v>
      </c>
      <c r="E8328">
        <v>0.43766280000000002</v>
      </c>
      <c r="F8328" t="s">
        <v>42</v>
      </c>
      <c r="G8328">
        <v>-398.83659999999998</v>
      </c>
      <c r="H8328" s="1">
        <v>-1.0706759999999999E-6</v>
      </c>
      <c r="I8328">
        <v>21.646809999999999</v>
      </c>
      <c r="J8328">
        <v>-405.91079999999999</v>
      </c>
      <c r="K8328">
        <v>1.1171489999999999</v>
      </c>
      <c r="L8328">
        <v>23.82281</v>
      </c>
      <c r="M8328">
        <v>0.81019010000000002</v>
      </c>
      <c r="N8328">
        <v>0</v>
      </c>
      <c r="O8328">
        <v>-0.58602639999999995</v>
      </c>
      <c r="P8328">
        <v>0.89111649999999998</v>
      </c>
      <c r="Q8328">
        <v>1.864472E-2</v>
      </c>
      <c r="R8328">
        <v>-0.4533915</v>
      </c>
      <c r="S8328">
        <v>2.913208</v>
      </c>
      <c r="T8328">
        <v>-0.45238850000000003</v>
      </c>
      <c r="U8328">
        <v>-0.91442869999999998</v>
      </c>
      <c r="V8328">
        <v>-0.15541240000000001</v>
      </c>
      <c r="W8328">
        <v>2.8679079999999999E-2</v>
      </c>
      <c r="X8328">
        <v>0.98743329999999996</v>
      </c>
      <c r="Y8328">
        <v>-0.3078359</v>
      </c>
      <c r="Z8328">
        <v>0.1050778</v>
      </c>
      <c r="AA8328">
        <v>0.94561919999999999</v>
      </c>
      <c r="AB8328">
        <v>29</v>
      </c>
      <c r="AC8328">
        <v>7.07420000000001</v>
      </c>
      <c r="AD8328">
        <v>-1.117150070676</v>
      </c>
      <c r="AE8328">
        <v>-2.1759999999999899</v>
      </c>
      <c r="AF8328">
        <v>-2.32981139123034</v>
      </c>
      <c r="AG8328">
        <v>-1.117150070676</v>
      </c>
      <c r="AH8328">
        <v>6.85113078256569</v>
      </c>
      <c r="AI8328">
        <v>98.775954665474003</v>
      </c>
      <c r="AJ8328">
        <v>108.781233556909</v>
      </c>
      <c r="AK8328">
        <v>7.3221607739066501</v>
      </c>
      <c r="AL8328">
        <v>88.356584442199605</v>
      </c>
      <c r="AM8328">
        <v>98.944424027396707</v>
      </c>
      <c r="AN8328">
        <v>1.0000000128261399</v>
      </c>
    </row>
    <row r="8329" spans="1:40" x14ac:dyDescent="0.25">
      <c r="A8329" t="str">
        <f>"20190312150853133"</f>
        <v>20190312150853133</v>
      </c>
      <c r="B8329" t="str">
        <f>"1552374533128246"</f>
        <v>1552374533128246</v>
      </c>
      <c r="C8329" t="s">
        <v>40</v>
      </c>
      <c r="D8329">
        <v>4.8940469999999996</v>
      </c>
      <c r="E8329">
        <v>0.39821679999999998</v>
      </c>
      <c r="F8329" t="s">
        <v>42</v>
      </c>
      <c r="G8329">
        <v>-398.7133</v>
      </c>
      <c r="H8329" s="1">
        <v>-1.1154599999999999E-6</v>
      </c>
      <c r="I8329">
        <v>21.596119999999999</v>
      </c>
      <c r="J8329">
        <v>-405.78100000000001</v>
      </c>
      <c r="K8329">
        <v>1.1170850000000001</v>
      </c>
      <c r="L8329">
        <v>23.734919999999999</v>
      </c>
      <c r="M8329">
        <v>0.81305309999999997</v>
      </c>
      <c r="N8329">
        <v>0</v>
      </c>
      <c r="O8329">
        <v>-0.58204800000000001</v>
      </c>
      <c r="P8329">
        <v>0.89311079999999998</v>
      </c>
      <c r="Q8329">
        <v>1.8396949999999999E-2</v>
      </c>
      <c r="R8329">
        <v>-0.44946039999999998</v>
      </c>
      <c r="S8329">
        <v>2.9168699999999999</v>
      </c>
      <c r="T8329">
        <v>-0.45274249999999999</v>
      </c>
      <c r="U8329">
        <v>-0.90240480000000001</v>
      </c>
      <c r="V8329">
        <v>-0.15491759999999999</v>
      </c>
      <c r="W8329">
        <v>2.845029E-2</v>
      </c>
      <c r="X8329">
        <v>0.98751770000000005</v>
      </c>
      <c r="Y8329">
        <v>-0.30710300000000001</v>
      </c>
      <c r="Z8329">
        <v>0.1045973</v>
      </c>
      <c r="AA8329">
        <v>0.94591080000000005</v>
      </c>
      <c r="AB8329">
        <v>29</v>
      </c>
      <c r="AC8329">
        <v>7.0677000000000003</v>
      </c>
      <c r="AD8329">
        <v>-1.11708611546</v>
      </c>
      <c r="AE8329">
        <v>-2.1387999999999998</v>
      </c>
      <c r="AF8329">
        <v>-2.3218415534032699</v>
      </c>
      <c r="AG8329">
        <v>-1.11708611546</v>
      </c>
      <c r="AH8329">
        <v>6.8354423324292002</v>
      </c>
      <c r="AI8329">
        <v>98.796303440951704</v>
      </c>
      <c r="AJ8329">
        <v>108.761435272577</v>
      </c>
      <c r="AK8329">
        <v>7.30493678743552</v>
      </c>
      <c r="AL8329">
        <v>88.369698546839103</v>
      </c>
      <c r="AM8329">
        <v>98.915655329881702</v>
      </c>
      <c r="AN8329">
        <v>1.0000000448020601</v>
      </c>
    </row>
    <row r="8330" spans="1:40" x14ac:dyDescent="0.25">
      <c r="A8330" t="str">
        <f>"20190312150853146"</f>
        <v>20190312150853146</v>
      </c>
      <c r="B8330" t="str">
        <f>"1552374533138007"</f>
        <v>1552374533138007</v>
      </c>
      <c r="C8330" t="s">
        <v>40</v>
      </c>
      <c r="D8330">
        <v>4.9131119999999999</v>
      </c>
      <c r="E8330">
        <v>0.39434859999999999</v>
      </c>
      <c r="F8330" t="s">
        <v>42</v>
      </c>
      <c r="G8330">
        <v>-398.23129999999998</v>
      </c>
      <c r="H8330" s="1">
        <v>-1.5135239999999901E-6</v>
      </c>
      <c r="I8330">
        <v>22.235790000000001</v>
      </c>
      <c r="J8330">
        <v>-405.63670000000002</v>
      </c>
      <c r="K8330">
        <v>1.117011</v>
      </c>
      <c r="L8330">
        <v>23.638000000000002</v>
      </c>
      <c r="M8330">
        <v>0.81618000000000002</v>
      </c>
      <c r="N8330">
        <v>0</v>
      </c>
      <c r="O8330">
        <v>-0.57765569999999999</v>
      </c>
      <c r="P8330">
        <v>0.89524649999999995</v>
      </c>
      <c r="Q8330">
        <v>1.8444869999999999E-2</v>
      </c>
      <c r="R8330">
        <v>-0.44518980000000002</v>
      </c>
      <c r="S8330">
        <v>3.0623779999999998</v>
      </c>
      <c r="T8330">
        <v>-0.45312459999999999</v>
      </c>
      <c r="U8330">
        <v>-0.60809329999999995</v>
      </c>
      <c r="V8330">
        <v>-0.15430369999999999</v>
      </c>
      <c r="W8330">
        <v>2.8521310000000001E-2</v>
      </c>
      <c r="X8330">
        <v>0.98761169999999998</v>
      </c>
      <c r="Y8330">
        <v>-0.39832590000000001</v>
      </c>
      <c r="Z8330">
        <v>0.1078186</v>
      </c>
      <c r="AA8330">
        <v>0.9108851</v>
      </c>
      <c r="AB8330">
        <v>29</v>
      </c>
      <c r="AC8330">
        <v>7.4054000000000402</v>
      </c>
      <c r="AD8330">
        <v>-1.1170125135240001</v>
      </c>
      <c r="AE8330">
        <v>-1.40221</v>
      </c>
      <c r="AF8330">
        <v>-3.0662248705400699</v>
      </c>
      <c r="AG8330">
        <v>-1.1170125135240001</v>
      </c>
      <c r="AH8330">
        <v>6.70737252098818</v>
      </c>
      <c r="AI8330">
        <v>98.612524677776705</v>
      </c>
      <c r="AJ8330">
        <v>114.567153178689</v>
      </c>
      <c r="AK8330">
        <v>7.4591083949353498</v>
      </c>
      <c r="AL8330">
        <v>88.365627648547701</v>
      </c>
      <c r="AM8330">
        <v>98.880057258977502</v>
      </c>
      <c r="AN8330">
        <v>0.99999998346734797</v>
      </c>
    </row>
    <row r="8331" spans="1:40" x14ac:dyDescent="0.25">
      <c r="A8331" t="str">
        <f>"20190312150853158"</f>
        <v>20190312150853158</v>
      </c>
      <c r="B8331" t="str">
        <f>"1552374533147766"</f>
        <v>1552374533147766</v>
      </c>
      <c r="C8331" t="s">
        <v>40</v>
      </c>
      <c r="D8331">
        <v>4.9222729999999997</v>
      </c>
      <c r="E8331">
        <v>0.39156160000000001</v>
      </c>
      <c r="F8331" t="s">
        <v>42</v>
      </c>
      <c r="G8331">
        <v>-397.96660000000003</v>
      </c>
      <c r="H8331" s="1">
        <v>-1.6368879999999901E-6</v>
      </c>
      <c r="I8331">
        <v>22.229150000000001</v>
      </c>
      <c r="J8331">
        <v>-405.50439999999998</v>
      </c>
      <c r="K8331">
        <v>1.116943</v>
      </c>
      <c r="L8331">
        <v>23.550319999999999</v>
      </c>
      <c r="M8331">
        <v>0.81897119999999901</v>
      </c>
      <c r="N8331">
        <v>0</v>
      </c>
      <c r="O8331">
        <v>-0.57369179999999997</v>
      </c>
      <c r="P8331">
        <v>0.89713449999999995</v>
      </c>
      <c r="Q8331">
        <v>1.8445070000000001E-2</v>
      </c>
      <c r="R8331">
        <v>-0.4413726</v>
      </c>
      <c r="S8331">
        <v>3.0790099999999998</v>
      </c>
      <c r="T8331">
        <v>-0.4483994</v>
      </c>
      <c r="U8331">
        <v>-0.56555180000000005</v>
      </c>
      <c r="V8331">
        <v>-0.153717299999999</v>
      </c>
      <c r="W8331">
        <v>2.854371E-2</v>
      </c>
      <c r="X8331">
        <v>0.98770250000000004</v>
      </c>
      <c r="Y8331">
        <v>-0.40715489999999999</v>
      </c>
      <c r="Z8331">
        <v>0.1065383</v>
      </c>
      <c r="AA8331">
        <v>0.90712429999999999</v>
      </c>
      <c r="AB8331">
        <v>29</v>
      </c>
      <c r="AC8331">
        <v>7.5377999999999403</v>
      </c>
      <c r="AD8331">
        <v>-1.1169446368880001</v>
      </c>
      <c r="AE8331">
        <v>-1.32117</v>
      </c>
      <c r="AF8331">
        <v>-3.1750036831049502</v>
      </c>
      <c r="AG8331">
        <v>-1.1169446368880001</v>
      </c>
      <c r="AH8331">
        <v>6.7871690299729801</v>
      </c>
      <c r="AI8331">
        <v>98.478276185527704</v>
      </c>
      <c r="AJ8331">
        <v>115.069957616609</v>
      </c>
      <c r="AK8331">
        <v>7.5758746789415197</v>
      </c>
      <c r="AL8331">
        <v>88.364343711181903</v>
      </c>
      <c r="AM8331">
        <v>98.846044788088506</v>
      </c>
      <c r="AN8331">
        <v>0.99999999010305196</v>
      </c>
    </row>
    <row r="8332" spans="1:40" x14ac:dyDescent="0.25">
      <c r="A8332" t="str">
        <f>"20190312150853171"</f>
        <v>20190312150853171</v>
      </c>
      <c r="B8332" t="str">
        <f>"1552374533168262"</f>
        <v>1552374533168262</v>
      </c>
      <c r="C8332" t="s">
        <v>40</v>
      </c>
      <c r="D8332">
        <v>4.9582300000000004</v>
      </c>
      <c r="E8332">
        <v>0.38970900000000003</v>
      </c>
      <c r="F8332" t="s">
        <v>42</v>
      </c>
      <c r="G8332">
        <v>-397.82310000000001</v>
      </c>
      <c r="H8332" s="1">
        <v>-1.7044980000000001E-6</v>
      </c>
      <c r="I8332">
        <v>22.228269999999998</v>
      </c>
      <c r="J8332">
        <v>-405.37439999999998</v>
      </c>
      <c r="K8332">
        <v>1.1168720000000001</v>
      </c>
      <c r="L8332">
        <v>23.464939999999999</v>
      </c>
      <c r="M8332">
        <v>0.82166260000000002</v>
      </c>
      <c r="N8332">
        <v>0</v>
      </c>
      <c r="O8332">
        <v>-0.56983070000000002</v>
      </c>
      <c r="P8332">
        <v>0.89906019999999898</v>
      </c>
      <c r="Q8332">
        <v>1.8652729999999999E-2</v>
      </c>
      <c r="R8332">
        <v>-0.43742760000000003</v>
      </c>
      <c r="S8332">
        <v>3.091431</v>
      </c>
      <c r="T8332">
        <v>-0.44952629999999999</v>
      </c>
      <c r="U8332">
        <v>-0.53207399999999905</v>
      </c>
      <c r="V8332">
        <v>-0.15340210000000001</v>
      </c>
      <c r="W8332">
        <v>2.8767729999999998E-2</v>
      </c>
      <c r="X8332">
        <v>0.98774499999999998</v>
      </c>
      <c r="Y8332">
        <v>-0.4130026</v>
      </c>
      <c r="Z8332">
        <v>0.1065184</v>
      </c>
      <c r="AA8332">
        <v>0.90447920000000004</v>
      </c>
      <c r="AB8332">
        <v>29</v>
      </c>
      <c r="AC8332">
        <v>7.5512999999999604</v>
      </c>
      <c r="AD8332">
        <v>-1.1168737044979999</v>
      </c>
      <c r="AE8332">
        <v>-1.2366699999999899</v>
      </c>
      <c r="AF8332">
        <v>-3.2185367447039002</v>
      </c>
      <c r="AG8332">
        <v>-1.1168737044979999</v>
      </c>
      <c r="AH8332">
        <v>6.7657380903816202</v>
      </c>
      <c r="AI8332">
        <v>98.478647545418994</v>
      </c>
      <c r="AJ8332">
        <v>115.44095184573</v>
      </c>
      <c r="AK8332">
        <v>7.5750641948731401</v>
      </c>
      <c r="AL8332">
        <v>88.351503030260503</v>
      </c>
      <c r="AM8332">
        <v>98.827817966264305</v>
      </c>
      <c r="AN8332">
        <v>0.99999998579938099</v>
      </c>
    </row>
    <row r="8333" spans="1:40" x14ac:dyDescent="0.25">
      <c r="A8333" t="str">
        <f>"20190312150853186"</f>
        <v>20190312150853186</v>
      </c>
      <c r="B8333" t="str">
        <f>"1552374533178023"</f>
        <v>1552374533178023</v>
      </c>
      <c r="C8333" t="s">
        <v>40</v>
      </c>
      <c r="D8333">
        <v>4.9466919999999996</v>
      </c>
      <c r="E8333">
        <v>0.3895479</v>
      </c>
      <c r="F8333" t="s">
        <v>41</v>
      </c>
      <c r="G8333">
        <v>-404.37849999999997</v>
      </c>
      <c r="H8333">
        <v>0.97067170000000003</v>
      </c>
      <c r="I8333">
        <v>23.302659999999999</v>
      </c>
      <c r="J8333">
        <v>-405.20909999999998</v>
      </c>
      <c r="K8333">
        <v>1.116789</v>
      </c>
      <c r="L8333">
        <v>23.357299999999999</v>
      </c>
      <c r="M8333">
        <v>0.82501539999999995</v>
      </c>
      <c r="N8333">
        <v>0</v>
      </c>
      <c r="O8333">
        <v>-0.56496610000000003</v>
      </c>
      <c r="P8333">
        <v>0.90133209999999997</v>
      </c>
      <c r="Q8333">
        <v>1.8815930000000002E-2</v>
      </c>
      <c r="R8333">
        <v>-0.43272050000000001</v>
      </c>
      <c r="S8333">
        <v>3.1005859999999998</v>
      </c>
      <c r="T8333">
        <v>-0.45515480000000003</v>
      </c>
      <c r="U8333">
        <v>-0.50491330000000001</v>
      </c>
      <c r="V8333">
        <v>-0.15272579999999999</v>
      </c>
      <c r="W8333">
        <v>2.8957440000000001E-2</v>
      </c>
      <c r="X8333">
        <v>0.98784430000000001</v>
      </c>
      <c r="Y8333">
        <v>-0.41560469999999999</v>
      </c>
      <c r="Z8333">
        <v>0.1072689</v>
      </c>
      <c r="AA8333">
        <v>0.90319769999999999</v>
      </c>
      <c r="AB8333">
        <v>29</v>
      </c>
      <c r="AC8333">
        <v>0.830600000000004</v>
      </c>
      <c r="AD8333">
        <v>-0.14611730000000001</v>
      </c>
      <c r="AE8333">
        <v>-5.4639999999999099E-2</v>
      </c>
      <c r="AF8333">
        <v>-0.41153561286305002</v>
      </c>
      <c r="AG8333">
        <v>-0.14611730000000001</v>
      </c>
      <c r="AH8333">
        <v>0.694777205989208</v>
      </c>
      <c r="AI8333">
        <v>100.25654060809499</v>
      </c>
      <c r="AJ8333">
        <v>120.63942348869401</v>
      </c>
      <c r="AK8333">
        <v>0.82062609754749305</v>
      </c>
      <c r="AL8333">
        <v>88.340628994464893</v>
      </c>
      <c r="AM8333">
        <v>98.788638283164602</v>
      </c>
      <c r="AN8333">
        <v>1.00000003217974</v>
      </c>
    </row>
    <row r="8334" spans="1:40" x14ac:dyDescent="0.25">
      <c r="A8334" t="str">
        <f>"20190312150853197"</f>
        <v>20190312150853197</v>
      </c>
      <c r="B8334" t="str">
        <f>"1552374533187782"</f>
        <v>1552374533187782</v>
      </c>
      <c r="C8334" t="s">
        <v>40</v>
      </c>
      <c r="D8334">
        <v>4.8895799999999996</v>
      </c>
      <c r="E8334">
        <v>0.38946429999999999</v>
      </c>
      <c r="F8334" t="s">
        <v>42</v>
      </c>
      <c r="G8334">
        <v>-397.75310000000002</v>
      </c>
      <c r="H8334" s="1">
        <v>-1.7270769999999999E-6</v>
      </c>
      <c r="I8334">
        <v>22.188759999999998</v>
      </c>
      <c r="J8334">
        <v>-405.08980000000003</v>
      </c>
      <c r="K8334">
        <v>1.11673</v>
      </c>
      <c r="L8334">
        <v>23.280670000000001</v>
      </c>
      <c r="M8334">
        <v>0.82737039999999995</v>
      </c>
      <c r="N8334">
        <v>0</v>
      </c>
      <c r="O8334">
        <v>-0.56151180000000001</v>
      </c>
      <c r="P8334">
        <v>0.90303389999999994</v>
      </c>
      <c r="Q8334">
        <v>1.8955119999999999E-2</v>
      </c>
      <c r="R8334">
        <v>-0.429151</v>
      </c>
      <c r="S8334">
        <v>3.1044619999999998</v>
      </c>
      <c r="T8334">
        <v>-0.46499459999999998</v>
      </c>
      <c r="U8334">
        <v>-0.48654170000000002</v>
      </c>
      <c r="V8334">
        <v>-0.1525</v>
      </c>
      <c r="W8334">
        <v>2.9111390000000001E-2</v>
      </c>
      <c r="X8334">
        <v>0.98787460000000005</v>
      </c>
      <c r="Y8334">
        <v>-0.41681940000000001</v>
      </c>
      <c r="Z8334">
        <v>0.10918460000000001</v>
      </c>
      <c r="AA8334">
        <v>0.90240810000000005</v>
      </c>
      <c r="AB8334">
        <v>29</v>
      </c>
      <c r="AC8334">
        <v>7.3367000000000004</v>
      </c>
      <c r="AD8334">
        <v>-1.1167317270770001</v>
      </c>
      <c r="AE8334">
        <v>-1.0919099999999899</v>
      </c>
      <c r="AF8334">
        <v>-3.1452010851207199</v>
      </c>
      <c r="AG8334">
        <v>-1.1167317270770001</v>
      </c>
      <c r="AH8334">
        <v>6.5356922924693599</v>
      </c>
      <c r="AI8334">
        <v>98.752868731266204</v>
      </c>
      <c r="AJ8334">
        <v>115.698468200191</v>
      </c>
      <c r="AK8334">
        <v>7.33857297830773</v>
      </c>
      <c r="AL8334">
        <v>88.3318044924372</v>
      </c>
      <c r="AM8334">
        <v>98.775582011161006</v>
      </c>
      <c r="AN8334">
        <v>0.99999997417644504</v>
      </c>
    </row>
    <row r="8335" spans="1:40" x14ac:dyDescent="0.25">
      <c r="A8335" t="str">
        <f>"20190312150853209"</f>
        <v>20190312150853209</v>
      </c>
      <c r="B8335" t="str">
        <f>"1552374533198518"</f>
        <v>1552374533198518</v>
      </c>
      <c r="C8335" t="s">
        <v>40</v>
      </c>
      <c r="D8335">
        <v>4.8873730000000002</v>
      </c>
      <c r="E8335">
        <v>0.3896192</v>
      </c>
      <c r="F8335" t="s">
        <v>42</v>
      </c>
      <c r="G8335">
        <v>-397.61520000000002</v>
      </c>
      <c r="H8335" s="1">
        <v>-1.7797169999999999E-6</v>
      </c>
      <c r="I8335">
        <v>22.141719999999999</v>
      </c>
      <c r="J8335">
        <v>-404.96879999999999</v>
      </c>
      <c r="K8335">
        <v>1.1166659999999999</v>
      </c>
      <c r="L8335">
        <v>23.20346</v>
      </c>
      <c r="M8335">
        <v>0.82972089999999998</v>
      </c>
      <c r="N8335">
        <v>0</v>
      </c>
      <c r="O8335">
        <v>-0.558033</v>
      </c>
      <c r="P8335">
        <v>0.90472770000000002</v>
      </c>
      <c r="Q8335">
        <v>1.9173829999999999E-2</v>
      </c>
      <c r="R8335">
        <v>-0.42555890000000002</v>
      </c>
      <c r="S8335">
        <v>3.1068730000000002</v>
      </c>
      <c r="T8335">
        <v>-0.4641826</v>
      </c>
      <c r="U8335">
        <v>-0.47341919999999998</v>
      </c>
      <c r="V8335">
        <v>-0.1522742</v>
      </c>
      <c r="W8335">
        <v>2.9344459999999999E-2</v>
      </c>
      <c r="X8335">
        <v>0.98790259999999996</v>
      </c>
      <c r="Y8335">
        <v>-0.4169136</v>
      </c>
      <c r="Z8335">
        <v>0.10855670000000001</v>
      </c>
      <c r="AA8335">
        <v>0.90244029999999997</v>
      </c>
      <c r="AB8335">
        <v>29</v>
      </c>
      <c r="AC8335">
        <v>7.3535999999999699</v>
      </c>
      <c r="AD8335">
        <v>-1.1166677797169999</v>
      </c>
      <c r="AE8335">
        <v>-1.0617399999999999</v>
      </c>
      <c r="AF8335">
        <v>-3.1516737140869902</v>
      </c>
      <c r="AG8335">
        <v>-1.1166677797169999</v>
      </c>
      <c r="AH8335">
        <v>6.5465875623402301</v>
      </c>
      <c r="AI8335">
        <v>98.737402612976993</v>
      </c>
      <c r="AJ8335">
        <v>115.70720437069301</v>
      </c>
      <c r="AK8335">
        <v>7.3510409359295998</v>
      </c>
      <c r="AL8335">
        <v>88.318444964827194</v>
      </c>
      <c r="AM8335">
        <v>98.7625457054869</v>
      </c>
      <c r="AN8335">
        <v>1.00000003820254</v>
      </c>
    </row>
    <row r="8336" spans="1:40" x14ac:dyDescent="0.25">
      <c r="A8336" t="str">
        <f>"20190312150853219"</f>
        <v>20190312150853219</v>
      </c>
      <c r="B8336" t="str">
        <f>"1552374533208278"</f>
        <v>1552374533208278</v>
      </c>
      <c r="C8336" t="s">
        <v>40</v>
      </c>
      <c r="D8336">
        <v>4.9025850000000002</v>
      </c>
      <c r="E8336">
        <v>0.38959969999999999</v>
      </c>
      <c r="F8336" t="s">
        <v>42</v>
      </c>
      <c r="G8336">
        <v>-397.49970000000002</v>
      </c>
      <c r="H8336" s="1">
        <v>-1.8214470000000001E-6</v>
      </c>
      <c r="I8336">
        <v>22.093250000000001</v>
      </c>
      <c r="J8336">
        <v>-404.85250000000002</v>
      </c>
      <c r="K8336">
        <v>1.1166069999999999</v>
      </c>
      <c r="L8336">
        <v>23.12997</v>
      </c>
      <c r="M8336">
        <v>0.83193669999999997</v>
      </c>
      <c r="N8336">
        <v>0</v>
      </c>
      <c r="O8336">
        <v>-0.55472449999999995</v>
      </c>
      <c r="P8336">
        <v>0.90627780000000002</v>
      </c>
      <c r="Q8336">
        <v>1.904194E-2</v>
      </c>
      <c r="R8336">
        <v>-0.42225370000000001</v>
      </c>
      <c r="S8336">
        <v>3.1084290000000001</v>
      </c>
      <c r="T8336">
        <v>-0.4647231</v>
      </c>
      <c r="U8336">
        <v>-0.46203610000000001</v>
      </c>
      <c r="V8336">
        <v>-0.15194079999999999</v>
      </c>
      <c r="W8336">
        <v>2.922816E-2</v>
      </c>
      <c r="X8336">
        <v>0.98795739999999999</v>
      </c>
      <c r="Y8336">
        <v>-0.41661520000000002</v>
      </c>
      <c r="Z8336">
        <v>0.10825269999999999</v>
      </c>
      <c r="AA8336">
        <v>0.90261460000000004</v>
      </c>
      <c r="AB8336">
        <v>29</v>
      </c>
      <c r="AC8336">
        <v>7.3528000000000002</v>
      </c>
      <c r="AD8336">
        <v>-1.11660882144699</v>
      </c>
      <c r="AE8336">
        <v>-1.0367199999999901</v>
      </c>
      <c r="AF8336">
        <v>-3.1454277212975699</v>
      </c>
      <c r="AG8336">
        <v>-1.11660882144699</v>
      </c>
      <c r="AH8336">
        <v>6.5447086126436602</v>
      </c>
      <c r="AI8336">
        <v>98.742161652214506</v>
      </c>
      <c r="AJ8336">
        <v>115.66922925118701</v>
      </c>
      <c r="AK8336">
        <v>7.3466823556250596</v>
      </c>
      <c r="AL8336">
        <v>88.325111356557201</v>
      </c>
      <c r="AM8336">
        <v>98.743179661675399</v>
      </c>
      <c r="AN8336">
        <v>1.00000005812819</v>
      </c>
    </row>
    <row r="8337" spans="1:40" x14ac:dyDescent="0.25">
      <c r="A8337" t="str">
        <f>"20190312150853230"</f>
        <v>20190312150853230</v>
      </c>
      <c r="B8337" t="str">
        <f>"1552374533227798"</f>
        <v>1552374533227798</v>
      </c>
      <c r="C8337" t="s">
        <v>40</v>
      </c>
      <c r="D8337">
        <v>4.8968720000000001</v>
      </c>
      <c r="E8337">
        <v>0.39010280000000003</v>
      </c>
      <c r="F8337" t="s">
        <v>42</v>
      </c>
      <c r="G8337">
        <v>-397.39</v>
      </c>
      <c r="H8337" s="1">
        <v>-1.861627E-6</v>
      </c>
      <c r="I8337">
        <v>22.049420000000001</v>
      </c>
      <c r="J8337">
        <v>-404.73169999999999</v>
      </c>
      <c r="K8337">
        <v>1.1165389999999999</v>
      </c>
      <c r="L8337">
        <v>23.05423</v>
      </c>
      <c r="M8337">
        <v>0.83419529999999997</v>
      </c>
      <c r="N8337">
        <v>0</v>
      </c>
      <c r="O8337">
        <v>-0.55132219999999998</v>
      </c>
      <c r="P8337">
        <v>0.90784319999999996</v>
      </c>
      <c r="Q8337">
        <v>1.8902410000000001E-2</v>
      </c>
      <c r="R8337">
        <v>-0.41888370000000003</v>
      </c>
      <c r="S8337">
        <v>3.1101990000000002</v>
      </c>
      <c r="T8337">
        <v>-0.46537440000000002</v>
      </c>
      <c r="U8337">
        <v>-0.45034790000000002</v>
      </c>
      <c r="V8337">
        <v>-0.15157100000000001</v>
      </c>
      <c r="W8337">
        <v>2.910662E-2</v>
      </c>
      <c r="X8337">
        <v>0.9880177</v>
      </c>
      <c r="Y8337">
        <v>-0.41631839999999998</v>
      </c>
      <c r="Z8337">
        <v>0.1079536</v>
      </c>
      <c r="AA8337">
        <v>0.90278740000000002</v>
      </c>
      <c r="AB8337">
        <v>29</v>
      </c>
      <c r="AC8337">
        <v>7.3417000000000003</v>
      </c>
      <c r="AD8337">
        <v>-1.1165408616270001</v>
      </c>
      <c r="AE8337">
        <v>-1.00480999999999</v>
      </c>
      <c r="AF8337">
        <v>-3.1384403296789598</v>
      </c>
      <c r="AG8337">
        <v>-1.1165408616270001</v>
      </c>
      <c r="AH8337">
        <v>6.5306568944955501</v>
      </c>
      <c r="AI8337">
        <v>98.760276003743897</v>
      </c>
      <c r="AJ8337">
        <v>115.66756113760999</v>
      </c>
      <c r="AK8337">
        <v>7.3311629822464299</v>
      </c>
      <c r="AL8337">
        <v>88.332077901274204</v>
      </c>
      <c r="AM8337">
        <v>98.721703624664599</v>
      </c>
      <c r="AN8337">
        <v>0.99999996944105596</v>
      </c>
    </row>
    <row r="8338" spans="1:40" x14ac:dyDescent="0.25">
      <c r="A8338" t="str">
        <f>"20190312150853241"</f>
        <v>20190312150853241</v>
      </c>
      <c r="B8338" t="str">
        <f>"1552374533238534"</f>
        <v>1552374533238534</v>
      </c>
      <c r="C8338" t="s">
        <v>40</v>
      </c>
      <c r="D8338">
        <v>4.8884290000000004</v>
      </c>
      <c r="E8338">
        <v>0.3903874</v>
      </c>
      <c r="F8338" t="s">
        <v>42</v>
      </c>
      <c r="G8338">
        <v>-397.28829999999999</v>
      </c>
      <c r="H8338" s="1">
        <v>-1.8953789999999999E-6</v>
      </c>
      <c r="I8338">
        <v>21.995650000000001</v>
      </c>
      <c r="J8338">
        <v>-404.61250000000001</v>
      </c>
      <c r="K8338">
        <v>1.116476</v>
      </c>
      <c r="L8338">
        <v>22.98001</v>
      </c>
      <c r="M8338">
        <v>0.83638679999999999</v>
      </c>
      <c r="N8338">
        <v>0</v>
      </c>
      <c r="O8338">
        <v>-0.54799219999999904</v>
      </c>
      <c r="P8338">
        <v>0.9092711</v>
      </c>
      <c r="Q8338">
        <v>1.8718220000000001E-2</v>
      </c>
      <c r="R8338">
        <v>-0.41578340000000003</v>
      </c>
      <c r="S8338">
        <v>3.1101679999999998</v>
      </c>
      <c r="T8338">
        <v>-0.46654079999999898</v>
      </c>
      <c r="U8338">
        <v>-0.44232179999999999</v>
      </c>
      <c r="V8338">
        <v>-0.1509984</v>
      </c>
      <c r="W8338">
        <v>2.894362E-2</v>
      </c>
      <c r="X8338">
        <v>0.98811020000000005</v>
      </c>
      <c r="Y8338">
        <v>-0.41497590000000001</v>
      </c>
      <c r="Z8338">
        <v>0.1077457</v>
      </c>
      <c r="AA8338">
        <v>0.90343010000000001</v>
      </c>
      <c r="AB8338">
        <v>29</v>
      </c>
      <c r="AC8338">
        <v>7.32420000000001</v>
      </c>
      <c r="AD8338">
        <v>-1.116477895379</v>
      </c>
      <c r="AE8338">
        <v>-0.98435999999999801</v>
      </c>
      <c r="AF8338">
        <v>-3.1193582340206998</v>
      </c>
      <c r="AG8338">
        <v>-1.116477895379</v>
      </c>
      <c r="AH8338">
        <v>6.5170743272740799</v>
      </c>
      <c r="AI8338">
        <v>98.784255379883007</v>
      </c>
      <c r="AJ8338">
        <v>115.577825784018</v>
      </c>
      <c r="AK8338">
        <v>7.3108943686964603</v>
      </c>
      <c r="AL8338">
        <v>88.341421115100502</v>
      </c>
      <c r="AM8338">
        <v>98.688457855397004</v>
      </c>
      <c r="AN8338">
        <v>1.0000000086426499</v>
      </c>
    </row>
    <row r="8339" spans="1:40" x14ac:dyDescent="0.25">
      <c r="A8339" t="str">
        <f>"20190312150853254"</f>
        <v>20190312150853254</v>
      </c>
      <c r="B8339" t="str">
        <f>"1552374533248294"</f>
        <v>1552374533248294</v>
      </c>
      <c r="C8339" t="s">
        <v>40</v>
      </c>
      <c r="D8339">
        <v>4.9168770000000004</v>
      </c>
      <c r="E8339">
        <v>0.39065539999999999</v>
      </c>
      <c r="F8339" t="s">
        <v>42</v>
      </c>
      <c r="G8339">
        <v>-397.1601</v>
      </c>
      <c r="H8339" s="1">
        <v>-1.9414839999999999E-6</v>
      </c>
      <c r="I8339">
        <v>21.94106</v>
      </c>
      <c r="J8339">
        <v>-404.48630000000003</v>
      </c>
      <c r="K8339">
        <v>1.1164069999999999</v>
      </c>
      <c r="L8339">
        <v>22.90231</v>
      </c>
      <c r="M8339">
        <v>0.83865049999999997</v>
      </c>
      <c r="N8339">
        <v>0</v>
      </c>
      <c r="O8339">
        <v>-0.5445217</v>
      </c>
      <c r="P8339">
        <v>0.91075640000000002</v>
      </c>
      <c r="Q8339">
        <v>1.8415419999999998E-2</v>
      </c>
      <c r="R8339">
        <v>-0.41253319999999999</v>
      </c>
      <c r="S8339">
        <v>3.1106569999999998</v>
      </c>
      <c r="T8339">
        <v>-0.46601680000000001</v>
      </c>
      <c r="U8339">
        <v>-0.43365480000000001</v>
      </c>
      <c r="V8339">
        <v>-0.15042610000000001</v>
      </c>
      <c r="W8339">
        <v>2.866287E-2</v>
      </c>
      <c r="X8339">
        <v>0.98820569999999996</v>
      </c>
      <c r="Y8339">
        <v>-0.41376859999999999</v>
      </c>
      <c r="Z8339">
        <v>0.1071269</v>
      </c>
      <c r="AA8339">
        <v>0.90405720000000001</v>
      </c>
      <c r="AB8339">
        <v>29</v>
      </c>
      <c r="AC8339">
        <v>7.3262000000000196</v>
      </c>
      <c r="AD8339">
        <v>-1.1164089414839999</v>
      </c>
      <c r="AE8339">
        <v>-0.96124999999999905</v>
      </c>
      <c r="AF8339">
        <v>-3.1123294680701901</v>
      </c>
      <c r="AG8339">
        <v>-1.1164089414839999</v>
      </c>
      <c r="AH8339">
        <v>6.5192566632173099</v>
      </c>
      <c r="AI8339">
        <v>98.784992988369297</v>
      </c>
      <c r="AJ8339">
        <v>115.52006949824199</v>
      </c>
      <c r="AK8339">
        <v>7.3098338615420504</v>
      </c>
      <c r="AL8339">
        <v>88.357513631079698</v>
      </c>
      <c r="AM8339">
        <v>98.655203537115398</v>
      </c>
      <c r="AN8339">
        <v>1.00000003859516</v>
      </c>
    </row>
    <row r="8340" spans="1:40" x14ac:dyDescent="0.25">
      <c r="A8340" t="str">
        <f>"20190312150853264"</f>
        <v>20190312150853264</v>
      </c>
      <c r="B8340" t="str">
        <f>"1552374533258054"</f>
        <v>1552374533258054</v>
      </c>
      <c r="C8340" t="s">
        <v>40</v>
      </c>
      <c r="D8340">
        <v>4.912801</v>
      </c>
      <c r="E8340">
        <v>0.39090000000000003</v>
      </c>
      <c r="F8340" t="s">
        <v>42</v>
      </c>
      <c r="G8340">
        <v>-397.04</v>
      </c>
      <c r="H8340" s="1">
        <v>-1.9837569999999998E-6</v>
      </c>
      <c r="I8340">
        <v>21.886669999999999</v>
      </c>
      <c r="J8340">
        <v>-404.36489999999998</v>
      </c>
      <c r="K8340">
        <v>1.1163449999999999</v>
      </c>
      <c r="L8340">
        <v>22.82788</v>
      </c>
      <c r="M8340">
        <v>0.84080109999999997</v>
      </c>
      <c r="N8340">
        <v>0</v>
      </c>
      <c r="O8340">
        <v>-0.54119549999999905</v>
      </c>
      <c r="P8340">
        <v>0.91210069999999999</v>
      </c>
      <c r="Q8340">
        <v>1.815808E-2</v>
      </c>
      <c r="R8340">
        <v>-0.4095644</v>
      </c>
      <c r="S8340">
        <v>3.111145</v>
      </c>
      <c r="T8340">
        <v>-0.46644770000000002</v>
      </c>
      <c r="U8340">
        <v>-0.42434690000000003</v>
      </c>
      <c r="V8340">
        <v>-0.14972449999999901</v>
      </c>
      <c r="W8340">
        <v>2.8429800000000002E-2</v>
      </c>
      <c r="X8340">
        <v>0.9883189</v>
      </c>
      <c r="Y8340">
        <v>-0.41286600000000001</v>
      </c>
      <c r="Z8340">
        <v>0.1067661</v>
      </c>
      <c r="AA8340">
        <v>0.90451239999999999</v>
      </c>
      <c r="AB8340">
        <v>29</v>
      </c>
      <c r="AC8340">
        <v>7.3248999999999498</v>
      </c>
      <c r="AD8340">
        <v>-1.1163469837569999</v>
      </c>
      <c r="AE8340">
        <v>-0.94120999999999799</v>
      </c>
      <c r="AF8340">
        <v>-3.10220305078581</v>
      </c>
      <c r="AG8340">
        <v>-1.1163469837569999</v>
      </c>
      <c r="AH8340">
        <v>6.5197246456471198</v>
      </c>
      <c r="AI8340">
        <v>98.789225148216005</v>
      </c>
      <c r="AJ8340">
        <v>115.445951106018</v>
      </c>
      <c r="AK8340">
        <v>7.3059362036296598</v>
      </c>
      <c r="AL8340">
        <v>88.370872880321002</v>
      </c>
      <c r="AM8340">
        <v>98.614470090692194</v>
      </c>
      <c r="AN8340">
        <v>0.99999996376274902</v>
      </c>
    </row>
    <row r="8341" spans="1:40" x14ac:dyDescent="0.25">
      <c r="A8341" t="str">
        <f>"20190312150853275"</f>
        <v>20190312150853275</v>
      </c>
      <c r="B8341" t="str">
        <f>"1552374533267815"</f>
        <v>1552374533267815</v>
      </c>
      <c r="C8341" t="s">
        <v>40</v>
      </c>
      <c r="D8341">
        <v>4.8937200000000001</v>
      </c>
      <c r="E8341">
        <v>0.3912236</v>
      </c>
      <c r="F8341" t="s">
        <v>42</v>
      </c>
      <c r="G8341">
        <v>-396.91210000000001</v>
      </c>
      <c r="H8341" s="1">
        <v>-2.0296149999999998E-6</v>
      </c>
      <c r="I8341">
        <v>21.83183</v>
      </c>
      <c r="J8341">
        <v>-404.24329999999998</v>
      </c>
      <c r="K8341">
        <v>1.116276</v>
      </c>
      <c r="L8341">
        <v>22.754359999999998</v>
      </c>
      <c r="M8341">
        <v>0.84289069999999899</v>
      </c>
      <c r="N8341">
        <v>0</v>
      </c>
      <c r="O8341">
        <v>-0.53793519999999995</v>
      </c>
      <c r="P8341">
        <v>0.91328359999999997</v>
      </c>
      <c r="Q8341">
        <v>1.80419E-2</v>
      </c>
      <c r="R8341">
        <v>-0.40692430000000002</v>
      </c>
      <c r="S8341">
        <v>3.1116329999999999</v>
      </c>
      <c r="T8341">
        <v>-0.46608919999999998</v>
      </c>
      <c r="U8341">
        <v>-0.41586299999999998</v>
      </c>
      <c r="V8341">
        <v>-0.14874979999999999</v>
      </c>
      <c r="W8341">
        <v>2.8342570000000001E-2</v>
      </c>
      <c r="X8341">
        <v>0.98846860000000003</v>
      </c>
      <c r="Y8341">
        <v>-0.41184359999999998</v>
      </c>
      <c r="Z8341">
        <v>0.1062207</v>
      </c>
      <c r="AA8341">
        <v>0.90504249999999997</v>
      </c>
      <c r="AB8341">
        <v>29</v>
      </c>
      <c r="AC8341">
        <v>7.33119999999996</v>
      </c>
      <c r="AD8341">
        <v>-1.1162780296149999</v>
      </c>
      <c r="AE8341">
        <v>-0.92253000000000096</v>
      </c>
      <c r="AF8341">
        <v>-3.09572003786342</v>
      </c>
      <c r="AG8341">
        <v>-1.1162780296149999</v>
      </c>
      <c r="AH8341">
        <v>6.5272285416161697</v>
      </c>
      <c r="AI8341">
        <v>98.783904946881705</v>
      </c>
      <c r="AJ8341">
        <v>115.373950289801</v>
      </c>
      <c r="AK8341">
        <v>7.3098749391982798</v>
      </c>
      <c r="AL8341">
        <v>88.375872846726594</v>
      </c>
      <c r="AM8341">
        <v>98.557946468384003</v>
      </c>
      <c r="AN8341">
        <v>0.99999998873010199</v>
      </c>
    </row>
    <row r="8342" spans="1:40" x14ac:dyDescent="0.25">
      <c r="A8342" t="str">
        <f>"20190312150853287"</f>
        <v>20190312150853287</v>
      </c>
      <c r="B8342" t="str">
        <f>"1552374533277575"</f>
        <v>1552374533277575</v>
      </c>
      <c r="C8342" t="s">
        <v>40</v>
      </c>
      <c r="D8342">
        <v>4.880611</v>
      </c>
      <c r="E8342">
        <v>0.39161629999999997</v>
      </c>
      <c r="F8342" t="s">
        <v>42</v>
      </c>
      <c r="G8342">
        <v>-396.76940000000002</v>
      </c>
      <c r="H8342" s="1">
        <v>-2.0810960000000002E-6</v>
      </c>
      <c r="I8342">
        <v>21.771799999999999</v>
      </c>
      <c r="J8342">
        <v>-404.12119999999999</v>
      </c>
      <c r="K8342">
        <v>1.1162099999999999</v>
      </c>
      <c r="L8342">
        <v>22.680759999999999</v>
      </c>
      <c r="M8342">
        <v>0.84496819999999895</v>
      </c>
      <c r="N8342">
        <v>0</v>
      </c>
      <c r="O8342">
        <v>-0.53466669999999905</v>
      </c>
      <c r="P8342">
        <v>0.91453709999999999</v>
      </c>
      <c r="Q8342">
        <v>1.7838159999999999E-2</v>
      </c>
      <c r="R8342">
        <v>-0.40410849999999998</v>
      </c>
      <c r="S8342">
        <v>3.1117249999999999</v>
      </c>
      <c r="T8342">
        <v>-0.46475739999999999</v>
      </c>
      <c r="U8342">
        <v>-0.40908810000000001</v>
      </c>
      <c r="V8342">
        <v>-0.14796099999999901</v>
      </c>
      <c r="W8342">
        <v>2.816478E-2</v>
      </c>
      <c r="X8342">
        <v>0.98859209999999997</v>
      </c>
      <c r="Y8342">
        <v>-0.4103618</v>
      </c>
      <c r="Z8342">
        <v>0.1054274</v>
      </c>
      <c r="AA8342">
        <v>0.9058081</v>
      </c>
      <c r="AB8342">
        <v>29</v>
      </c>
      <c r="AC8342">
        <v>7.3517999999999599</v>
      </c>
      <c r="AD8342">
        <v>-1.1162120810959999</v>
      </c>
      <c r="AE8342">
        <v>-0.90895999999999999</v>
      </c>
      <c r="AF8342">
        <v>-3.0927534830397199</v>
      </c>
      <c r="AG8342">
        <v>-1.1162120810959999</v>
      </c>
      <c r="AH8342">
        <v>6.5498516118986299</v>
      </c>
      <c r="AI8342">
        <v>98.760497359853602</v>
      </c>
      <c r="AJ8342">
        <v>115.276062795765</v>
      </c>
      <c r="AK8342">
        <v>7.3288204818190303</v>
      </c>
      <c r="AL8342">
        <v>88.386063592366199</v>
      </c>
      <c r="AM8342">
        <v>98.512183624585106</v>
      </c>
      <c r="AN8342">
        <v>1.0000000262679201</v>
      </c>
    </row>
    <row r="8343" spans="1:40" x14ac:dyDescent="0.25">
      <c r="A8343" t="str">
        <f>"20190312150853298"</f>
        <v>20190312150853298</v>
      </c>
      <c r="B8343" t="str">
        <f>"1552374533288311"</f>
        <v>1552374533288311</v>
      </c>
      <c r="C8343" t="s">
        <v>40</v>
      </c>
      <c r="D8343">
        <v>4.9016080000000004</v>
      </c>
      <c r="E8343">
        <v>0.39188050000000002</v>
      </c>
      <c r="F8343" t="s">
        <v>42</v>
      </c>
      <c r="G8343">
        <v>-396.64049999999997</v>
      </c>
      <c r="H8343" s="1">
        <v>-2.126651E-6</v>
      </c>
      <c r="I8343">
        <v>21.713889999999999</v>
      </c>
      <c r="J8343">
        <v>-403.9957</v>
      </c>
      <c r="K8343">
        <v>1.1161430000000001</v>
      </c>
      <c r="L8343">
        <v>22.60596</v>
      </c>
      <c r="M8343">
        <v>0.84705209999999997</v>
      </c>
      <c r="N8343">
        <v>0</v>
      </c>
      <c r="O8343">
        <v>-0.53135940000000004</v>
      </c>
      <c r="P8343">
        <v>0.91569920000000005</v>
      </c>
      <c r="Q8343">
        <v>1.8067079999999999E-2</v>
      </c>
      <c r="R8343">
        <v>-0.40145789999999998</v>
      </c>
      <c r="S8343">
        <v>3.111755</v>
      </c>
      <c r="T8343">
        <v>-0.46431349999999999</v>
      </c>
      <c r="U8343">
        <v>-0.40219120000000003</v>
      </c>
      <c r="V8343">
        <v>-0.14695569999999999</v>
      </c>
      <c r="W8343">
        <v>2.842217E-2</v>
      </c>
      <c r="X8343">
        <v>0.98873469999999997</v>
      </c>
      <c r="Y8343">
        <v>-0.40884300000000001</v>
      </c>
      <c r="Z8343">
        <v>0.1048283</v>
      </c>
      <c r="AA8343">
        <v>0.90656409999999998</v>
      </c>
      <c r="AB8343">
        <v>29</v>
      </c>
      <c r="AC8343">
        <v>7.3552000000000204</v>
      </c>
      <c r="AD8343">
        <v>-1.1161451266509901</v>
      </c>
      <c r="AE8343">
        <v>-0.89207000000000003</v>
      </c>
      <c r="AF8343">
        <v>-3.0829134727978902</v>
      </c>
      <c r="AG8343">
        <v>-1.1161451266509901</v>
      </c>
      <c r="AH8343">
        <v>6.5560018393323602</v>
      </c>
      <c r="AI8343">
        <v>98.758350250416996</v>
      </c>
      <c r="AJ8343">
        <v>115.184923657833</v>
      </c>
      <c r="AK8343">
        <v>7.3301634048522297</v>
      </c>
      <c r="AL8343">
        <v>88.371310368017305</v>
      </c>
      <c r="AM8343">
        <v>98.453985773869704</v>
      </c>
      <c r="AN8343">
        <v>1.00000005224704</v>
      </c>
    </row>
    <row r="8344" spans="1:40" x14ac:dyDescent="0.25">
      <c r="A8344" t="str">
        <f>"20190312150853309"</f>
        <v>20190312150853309</v>
      </c>
      <c r="B8344" t="str">
        <f>"1552374533298070"</f>
        <v>1552374533298070</v>
      </c>
      <c r="C8344" t="s">
        <v>40</v>
      </c>
      <c r="D8344">
        <v>4.8756069999999996</v>
      </c>
      <c r="E8344">
        <v>0.39221299999999998</v>
      </c>
      <c r="F8344" t="s">
        <v>42</v>
      </c>
      <c r="G8344">
        <v>-396.49959999999999</v>
      </c>
      <c r="H8344" s="1">
        <v>-2.177389E-6</v>
      </c>
      <c r="I8344">
        <v>21.654330000000002</v>
      </c>
      <c r="J8344">
        <v>-403.87619999999998</v>
      </c>
      <c r="K8344">
        <v>1.11608</v>
      </c>
      <c r="L8344">
        <v>22.535250000000001</v>
      </c>
      <c r="M8344">
        <v>0.8490046</v>
      </c>
      <c r="N8344">
        <v>0</v>
      </c>
      <c r="O8344">
        <v>-0.52823430000000005</v>
      </c>
      <c r="P8344">
        <v>0.91698060000000003</v>
      </c>
      <c r="Q8344">
        <v>1.800935E-2</v>
      </c>
      <c r="R8344">
        <v>-0.39852549999999998</v>
      </c>
      <c r="S8344">
        <v>3.1120909999999999</v>
      </c>
      <c r="T8344">
        <v>-0.46338390000000002</v>
      </c>
      <c r="U8344">
        <v>-0.3950806</v>
      </c>
      <c r="V8344">
        <v>-0.1464712</v>
      </c>
      <c r="W8344">
        <v>2.8383559999999999E-2</v>
      </c>
      <c r="X8344">
        <v>0.98880760000000001</v>
      </c>
      <c r="Y8344">
        <v>-0.40761770000000003</v>
      </c>
      <c r="Z8344">
        <v>0.1041556</v>
      </c>
      <c r="AA8344">
        <v>0.90719320000000003</v>
      </c>
      <c r="AB8344">
        <v>29</v>
      </c>
      <c r="AC8344">
        <v>7.3765999999999901</v>
      </c>
      <c r="AD8344">
        <v>-1.116082177389</v>
      </c>
      <c r="AE8344">
        <v>-0.88092000000000303</v>
      </c>
      <c r="AF8344">
        <v>-3.0794172786106402</v>
      </c>
      <c r="AG8344">
        <v>-1.116082177389</v>
      </c>
      <c r="AH8344">
        <v>6.58012397424661</v>
      </c>
      <c r="AI8344">
        <v>98.7337067967526</v>
      </c>
      <c r="AJ8344">
        <v>115.079017289281</v>
      </c>
      <c r="AK8344">
        <v>7.3502708602435902</v>
      </c>
      <c r="AL8344">
        <v>88.373523291551706</v>
      </c>
      <c r="AM8344">
        <v>98.425902220912604</v>
      </c>
      <c r="AN8344">
        <v>0.99999995436273503</v>
      </c>
    </row>
    <row r="8345" spans="1:40" x14ac:dyDescent="0.25">
      <c r="A8345" t="str">
        <f>"20190312150853320"</f>
        <v>20190312150853320</v>
      </c>
      <c r="B8345" t="str">
        <f>"1552374533307830"</f>
        <v>1552374533307830</v>
      </c>
      <c r="C8345" t="s">
        <v>40</v>
      </c>
      <c r="D8345">
        <v>4.9351529999999997</v>
      </c>
      <c r="E8345">
        <v>0.39256079999999999</v>
      </c>
      <c r="F8345" t="s">
        <v>42</v>
      </c>
      <c r="G8345">
        <v>-396.38150000000002</v>
      </c>
      <c r="H8345" s="1">
        <v>-2.2192420000000002E-6</v>
      </c>
      <c r="I8345">
        <v>21.601769999999998</v>
      </c>
      <c r="J8345">
        <v>-403.75850000000003</v>
      </c>
      <c r="K8345">
        <v>1.11602</v>
      </c>
      <c r="L8345">
        <v>22.466159999999999</v>
      </c>
      <c r="M8345">
        <v>0.85089269999999995</v>
      </c>
      <c r="N8345">
        <v>0</v>
      </c>
      <c r="O8345">
        <v>-0.52518799999999999</v>
      </c>
      <c r="P8345">
        <v>0.91809030000000003</v>
      </c>
      <c r="Q8345">
        <v>1.8036659999999999E-2</v>
      </c>
      <c r="R8345">
        <v>-0.3959607</v>
      </c>
      <c r="S8345">
        <v>3.1122130000000001</v>
      </c>
      <c r="T8345">
        <v>-0.46346120000000002</v>
      </c>
      <c r="U8345">
        <v>-0.38763429999999999</v>
      </c>
      <c r="V8345">
        <v>-0.14568689999999901</v>
      </c>
      <c r="W8345">
        <v>2.8434089999999999E-2</v>
      </c>
      <c r="X8345">
        <v>0.98892210000000003</v>
      </c>
      <c r="Y8345">
        <v>-0.4065281</v>
      </c>
      <c r="Z8345">
        <v>0.1037341</v>
      </c>
      <c r="AA8345">
        <v>0.90773020000000004</v>
      </c>
      <c r="AB8345">
        <v>29</v>
      </c>
      <c r="AC8345">
        <v>7.3769999999999998</v>
      </c>
      <c r="AD8345">
        <v>-1.116022219242</v>
      </c>
      <c r="AE8345">
        <v>-0.86438999999999999</v>
      </c>
      <c r="AF8345">
        <v>-3.0697531254577402</v>
      </c>
      <c r="AG8345">
        <v>-1.116022219242</v>
      </c>
      <c r="AH8345">
        <v>6.5829167463957301</v>
      </c>
      <c r="AI8345">
        <v>98.7350916307593</v>
      </c>
      <c r="AJ8345">
        <v>115.000633653625</v>
      </c>
      <c r="AK8345">
        <v>7.34871980246061</v>
      </c>
      <c r="AL8345">
        <v>88.370627114552093</v>
      </c>
      <c r="AM8345">
        <v>98.380470519041296</v>
      </c>
      <c r="AN8345">
        <v>1.0000000450870701</v>
      </c>
    </row>
    <row r="8346" spans="1:40" x14ac:dyDescent="0.25">
      <c r="A8346" t="str">
        <f>"20190312150853331"</f>
        <v>20190312150853331</v>
      </c>
      <c r="B8346" t="str">
        <f>"1552374533328326"</f>
        <v>1552374533328326</v>
      </c>
      <c r="C8346" t="s">
        <v>40</v>
      </c>
      <c r="D8346">
        <v>4.961735</v>
      </c>
      <c r="E8346">
        <v>0.39317419999999997</v>
      </c>
      <c r="F8346" t="s">
        <v>42</v>
      </c>
      <c r="G8346">
        <v>-396.25020000000001</v>
      </c>
      <c r="H8346" s="1">
        <v>-2.2664E-6</v>
      </c>
      <c r="I8346">
        <v>21.545680000000001</v>
      </c>
      <c r="J8346">
        <v>-403.63780000000003</v>
      </c>
      <c r="K8346">
        <v>1.11596299999999</v>
      </c>
      <c r="L8346">
        <v>22.395869999999999</v>
      </c>
      <c r="M8346">
        <v>0.85279329999999998</v>
      </c>
      <c r="N8346">
        <v>0</v>
      </c>
      <c r="O8346">
        <v>-0.52209589999999995</v>
      </c>
      <c r="P8346">
        <v>0.9192922</v>
      </c>
      <c r="Q8346">
        <v>1.8060570000000001E-2</v>
      </c>
      <c r="R8346">
        <v>-0.39316099999999998</v>
      </c>
      <c r="S8346">
        <v>3.1121829999999999</v>
      </c>
      <c r="T8346">
        <v>-0.46258539999999998</v>
      </c>
      <c r="U8346">
        <v>-0.3815308</v>
      </c>
      <c r="V8346">
        <v>-0.1451066</v>
      </c>
      <c r="W8346">
        <v>2.847794E-2</v>
      </c>
      <c r="X8346">
        <v>0.9890061</v>
      </c>
      <c r="Y8346">
        <v>-0.40504970000000001</v>
      </c>
      <c r="Z8346">
        <v>0.10306650000000001</v>
      </c>
      <c r="AA8346">
        <v>0.90846689999999997</v>
      </c>
      <c r="AB8346">
        <v>29</v>
      </c>
      <c r="AC8346">
        <v>7.3876000000000097</v>
      </c>
      <c r="AD8346">
        <v>-1.1159652663999899</v>
      </c>
      <c r="AE8346">
        <v>-0.850190000000004</v>
      </c>
      <c r="AF8346">
        <v>-3.0632624834314202</v>
      </c>
      <c r="AG8346">
        <v>-1.1159652663999899</v>
      </c>
      <c r="AH8346">
        <v>6.5959688939451304</v>
      </c>
      <c r="AI8346">
        <v>98.723897424701804</v>
      </c>
      <c r="AJ8346">
        <v>114.910830907066</v>
      </c>
      <c r="AK8346">
        <v>7.35770080718844</v>
      </c>
      <c r="AL8346">
        <v>88.368113590468795</v>
      </c>
      <c r="AM8346">
        <v>98.346861720637605</v>
      </c>
      <c r="AN8346">
        <v>0.99999999213370605</v>
      </c>
    </row>
    <row r="8347" spans="1:40" x14ac:dyDescent="0.25">
      <c r="A8347" t="str">
        <f>"20190312150853342"</f>
        <v>20190312150853342</v>
      </c>
      <c r="B8347" t="str">
        <f>"1552374533338088"</f>
        <v>1552374533338088</v>
      </c>
      <c r="C8347" t="s">
        <v>40</v>
      </c>
      <c r="D8347">
        <v>4.9815149999999999</v>
      </c>
      <c r="E8347">
        <v>0.39358460000000001</v>
      </c>
      <c r="F8347" t="s">
        <v>42</v>
      </c>
      <c r="G8347">
        <v>-396.11849999999998</v>
      </c>
      <c r="H8347" s="1">
        <v>-2.3127650000000002E-6</v>
      </c>
      <c r="I8347">
        <v>21.486090000000001</v>
      </c>
      <c r="J8347">
        <v>-403.50349999999997</v>
      </c>
      <c r="K8347">
        <v>1.115901</v>
      </c>
      <c r="L8347">
        <v>22.31812</v>
      </c>
      <c r="M8347">
        <v>0.854877199999999</v>
      </c>
      <c r="N8347">
        <v>0</v>
      </c>
      <c r="O8347">
        <v>-0.51867730000000001</v>
      </c>
      <c r="P8347">
        <v>0.92051570000000005</v>
      </c>
      <c r="Q8347">
        <v>1.785871E-2</v>
      </c>
      <c r="R8347">
        <v>-0.39029760000000002</v>
      </c>
      <c r="S8347">
        <v>3.11145</v>
      </c>
      <c r="T8347">
        <v>-0.46178259999999999</v>
      </c>
      <c r="U8347">
        <v>-0.37646479999999999</v>
      </c>
      <c r="V8347">
        <v>-0.14421970000000001</v>
      </c>
      <c r="W8347">
        <v>2.8303479999999999E-2</v>
      </c>
      <c r="X8347">
        <v>0.98914080000000004</v>
      </c>
      <c r="Y8347">
        <v>-0.40290979999999998</v>
      </c>
      <c r="Z8347">
        <v>0.1023447</v>
      </c>
      <c r="AA8347">
        <v>0.90949950000000002</v>
      </c>
      <c r="AB8347">
        <v>29</v>
      </c>
      <c r="AC8347">
        <v>7.38499999999999</v>
      </c>
      <c r="AD8347">
        <v>-1.115903312765</v>
      </c>
      <c r="AE8347">
        <v>-0.83202999999999905</v>
      </c>
      <c r="AF8347">
        <v>-3.0506161912315202</v>
      </c>
      <c r="AG8347">
        <v>-1.115903312765</v>
      </c>
      <c r="AH8347">
        <v>6.5966296940008897</v>
      </c>
      <c r="AI8347">
        <v>98.728996134024598</v>
      </c>
      <c r="AJ8347">
        <v>114.818215583826</v>
      </c>
      <c r="AK8347">
        <v>7.35302812924159</v>
      </c>
      <c r="AL8347">
        <v>88.378113400019899</v>
      </c>
      <c r="AM8347">
        <v>98.295443406185996</v>
      </c>
      <c r="AN8347">
        <v>0.99999996553641901</v>
      </c>
    </row>
    <row r="8348" spans="1:40" x14ac:dyDescent="0.25">
      <c r="A8348" t="str">
        <f>"20190312150853355"</f>
        <v>20190312150853355</v>
      </c>
      <c r="B8348" t="str">
        <f>"1552374533347846"</f>
        <v>1552374533347846</v>
      </c>
      <c r="C8348" t="s">
        <v>40</v>
      </c>
      <c r="D8348">
        <v>4.9585379999999999</v>
      </c>
      <c r="E8348">
        <v>0.39389970000000002</v>
      </c>
      <c r="F8348" t="s">
        <v>42</v>
      </c>
      <c r="G8348">
        <v>-395.99579999999997</v>
      </c>
      <c r="H8348" s="1">
        <v>-2.3549090000000001E-6</v>
      </c>
      <c r="I8348">
        <v>21.42642</v>
      </c>
      <c r="J8348">
        <v>-403.37740000000002</v>
      </c>
      <c r="K8348">
        <v>1.115847</v>
      </c>
      <c r="L8348">
        <v>22.24606</v>
      </c>
      <c r="M8348">
        <v>0.85678460000000001</v>
      </c>
      <c r="N8348">
        <v>0</v>
      </c>
      <c r="O8348">
        <v>-0.51552029999999904</v>
      </c>
      <c r="P8348">
        <v>0.92162929999999998</v>
      </c>
      <c r="Q8348">
        <v>1.7508909999999999E-2</v>
      </c>
      <c r="R8348">
        <v>-0.38767659999999998</v>
      </c>
      <c r="S8348">
        <v>3.1113279999999999</v>
      </c>
      <c r="T8348">
        <v>-0.46245170000000002</v>
      </c>
      <c r="U8348">
        <v>-0.36953740000000002</v>
      </c>
      <c r="V8348">
        <v>-0.14338010000000001</v>
      </c>
      <c r="W8348">
        <v>2.7979360000000002E-2</v>
      </c>
      <c r="X8348">
        <v>0.98927209999999999</v>
      </c>
      <c r="Y8348">
        <v>-0.4015473</v>
      </c>
      <c r="Z8348">
        <v>0.10202079999999999</v>
      </c>
      <c r="AA8348">
        <v>0.91013820000000001</v>
      </c>
      <c r="AB8348">
        <v>29</v>
      </c>
      <c r="AC8348">
        <v>7.3816000000000397</v>
      </c>
      <c r="AD8348">
        <v>-1.1158493549090001</v>
      </c>
      <c r="AE8348">
        <v>-0.81963999999999904</v>
      </c>
      <c r="AF8348">
        <v>-3.03485087368162</v>
      </c>
      <c r="AG8348">
        <v>-1.1158493549090001</v>
      </c>
      <c r="AH8348">
        <v>6.5985694611278198</v>
      </c>
      <c r="AI8348">
        <v>98.734308685905404</v>
      </c>
      <c r="AJ8348">
        <v>114.69891076228301</v>
      </c>
      <c r="AK8348">
        <v>7.3482350630383104</v>
      </c>
      <c r="AL8348">
        <v>88.396691510250804</v>
      </c>
      <c r="AM8348">
        <v>98.2467367198727</v>
      </c>
      <c r="AN8348">
        <v>0.99999999275021401</v>
      </c>
    </row>
    <row r="8349" spans="1:40" x14ac:dyDescent="0.25">
      <c r="A8349" t="str">
        <f>"20190312150853368"</f>
        <v>20190312150853368</v>
      </c>
      <c r="B8349" t="str">
        <f>"1552374533358583"</f>
        <v>1552374533358583</v>
      </c>
      <c r="C8349" t="s">
        <v>40</v>
      </c>
      <c r="D8349">
        <v>4.9580549999999999</v>
      </c>
      <c r="E8349">
        <v>0.39430670000000001</v>
      </c>
      <c r="F8349" t="s">
        <v>42</v>
      </c>
      <c r="G8349">
        <v>-395.88560000000001</v>
      </c>
      <c r="H8349" s="1">
        <v>-2.392748E-6</v>
      </c>
      <c r="I8349">
        <v>21.372859999999999</v>
      </c>
      <c r="J8349">
        <v>-403.23200000000003</v>
      </c>
      <c r="K8349">
        <v>1.1157840000000001</v>
      </c>
      <c r="L8349">
        <v>22.163360000000001</v>
      </c>
      <c r="M8349">
        <v>0.85895499999999902</v>
      </c>
      <c r="N8349">
        <v>0</v>
      </c>
      <c r="O8349">
        <v>-0.51189629999999997</v>
      </c>
      <c r="P8349">
        <v>0.92287050000000004</v>
      </c>
      <c r="Q8349">
        <v>1.7548319999999999E-2</v>
      </c>
      <c r="R8349">
        <v>-0.38471100000000003</v>
      </c>
      <c r="S8349">
        <v>3.1113590000000002</v>
      </c>
      <c r="T8349">
        <v>-0.46341399999999999</v>
      </c>
      <c r="U8349">
        <v>-0.36264039999999997</v>
      </c>
      <c r="V8349">
        <v>-0.1423777</v>
      </c>
      <c r="W8349">
        <v>2.8048960000000001E-2</v>
      </c>
      <c r="X8349">
        <v>0.98941489999999999</v>
      </c>
      <c r="Y8349">
        <v>-0.39969120000000002</v>
      </c>
      <c r="Z8349">
        <v>0.101657</v>
      </c>
      <c r="AA8349">
        <v>0.91099549999999996</v>
      </c>
      <c r="AB8349">
        <v>29</v>
      </c>
      <c r="AC8349">
        <v>7.3463999999999503</v>
      </c>
      <c r="AD8349">
        <v>-1.1157863927480001</v>
      </c>
      <c r="AE8349">
        <v>-0.79050000000000098</v>
      </c>
      <c r="AF8349">
        <v>-3.0131236344158401</v>
      </c>
      <c r="AG8349">
        <v>-1.1157863927480001</v>
      </c>
      <c r="AH8349">
        <v>6.5656884452411601</v>
      </c>
      <c r="AI8349">
        <v>98.780180739566504</v>
      </c>
      <c r="AJ8349">
        <v>114.651321603225</v>
      </c>
      <c r="AK8349">
        <v>7.3097303692058402</v>
      </c>
      <c r="AL8349">
        <v>88.392702168264506</v>
      </c>
      <c r="AM8349">
        <v>98.1887008998402</v>
      </c>
      <c r="AN8349">
        <v>0.99999999897819003</v>
      </c>
    </row>
    <row r="8350" spans="1:40" x14ac:dyDescent="0.25">
      <c r="A8350" t="str">
        <f>"20190312150853382"</f>
        <v>20190312150853382</v>
      </c>
      <c r="B8350" t="str">
        <f>"1552374533378102"</f>
        <v>1552374533378102</v>
      </c>
      <c r="C8350" t="s">
        <v>40</v>
      </c>
      <c r="D8350">
        <v>4.9664359999999999</v>
      </c>
      <c r="E8350">
        <v>0.3949646</v>
      </c>
      <c r="F8350" t="s">
        <v>42</v>
      </c>
      <c r="G8350">
        <v>-395.75310000000002</v>
      </c>
      <c r="H8350" s="1">
        <v>-2.4383009999999998E-6</v>
      </c>
      <c r="I8350">
        <v>21.308759999999999</v>
      </c>
      <c r="J8350">
        <v>-403.07639999999998</v>
      </c>
      <c r="K8350">
        <v>1.1157239999999999</v>
      </c>
      <c r="L8350">
        <v>22.075810000000001</v>
      </c>
      <c r="M8350">
        <v>0.86122999999999905</v>
      </c>
      <c r="N8350">
        <v>0</v>
      </c>
      <c r="O8350">
        <v>-0.50805959999999994</v>
      </c>
      <c r="P8350">
        <v>0.92432749999999997</v>
      </c>
      <c r="Q8350">
        <v>1.7430109999999999E-2</v>
      </c>
      <c r="R8350">
        <v>-0.38120229999999999</v>
      </c>
      <c r="S8350">
        <v>3.1113590000000002</v>
      </c>
      <c r="T8350">
        <v>-0.46418939999999997</v>
      </c>
      <c r="U8350">
        <v>-0.35552979999999901</v>
      </c>
      <c r="V8350">
        <v>-0.14171810000000001</v>
      </c>
      <c r="W8350">
        <v>2.7956479999999999E-2</v>
      </c>
      <c r="X8350">
        <v>0.98951219999999995</v>
      </c>
      <c r="Y8350">
        <v>-0.39769009999999999</v>
      </c>
      <c r="Z8350">
        <v>0.10121239999999999</v>
      </c>
      <c r="AA8350">
        <v>0.91192030000000002</v>
      </c>
      <c r="AB8350">
        <v>29</v>
      </c>
      <c r="AC8350">
        <v>7.3232999999999597</v>
      </c>
      <c r="AD8350">
        <v>-1.1157264383009999</v>
      </c>
      <c r="AE8350">
        <v>-0.76705000000000101</v>
      </c>
      <c r="AF8350">
        <v>-2.9916223936383002</v>
      </c>
      <c r="AG8350">
        <v>-1.1157264383009999</v>
      </c>
      <c r="AH8350">
        <v>6.5469676034972304</v>
      </c>
      <c r="AI8350">
        <v>98.810900282770703</v>
      </c>
      <c r="AJ8350">
        <v>114.557926161946</v>
      </c>
      <c r="AK8350">
        <v>7.2840534616712</v>
      </c>
      <c r="AL8350">
        <v>88.398002945166994</v>
      </c>
      <c r="AM8350">
        <v>98.150484929905303</v>
      </c>
      <c r="AN8350">
        <v>0.99999998929522005</v>
      </c>
    </row>
    <row r="8351" spans="1:40" x14ac:dyDescent="0.25">
      <c r="A8351" t="str">
        <f>"20190312150853393"</f>
        <v>20190312150853393</v>
      </c>
      <c r="B8351" t="str">
        <f>"1552374533387862"</f>
        <v>1552374533387862</v>
      </c>
      <c r="C8351" t="s">
        <v>40</v>
      </c>
      <c r="D8351">
        <v>4.9057740000000001</v>
      </c>
      <c r="E8351">
        <v>0.39529409999999998</v>
      </c>
      <c r="F8351" t="s">
        <v>42</v>
      </c>
      <c r="G8351">
        <v>-395.64179999999999</v>
      </c>
      <c r="H8351" s="1">
        <v>-2.4734879999999998E-6</v>
      </c>
      <c r="I8351">
        <v>21.24315</v>
      </c>
      <c r="J8351">
        <v>-402.94409999999999</v>
      </c>
      <c r="K8351">
        <v>1.1156809999999999</v>
      </c>
      <c r="L8351">
        <v>22.00217</v>
      </c>
      <c r="M8351">
        <v>0.86312630000000001</v>
      </c>
      <c r="N8351">
        <v>0</v>
      </c>
      <c r="O8351">
        <v>-0.50483140000000004</v>
      </c>
      <c r="P8351">
        <v>0.92557849999999997</v>
      </c>
      <c r="Q8351">
        <v>1.7244789999999999E-2</v>
      </c>
      <c r="R8351">
        <v>-0.37816369999999999</v>
      </c>
      <c r="S8351">
        <v>3.110687</v>
      </c>
      <c r="T8351">
        <v>-0.46682990000000002</v>
      </c>
      <c r="U8351">
        <v>-0.3483887</v>
      </c>
      <c r="V8351">
        <v>-0.14125960000000001</v>
      </c>
      <c r="W8351">
        <v>2.7789660000000001E-2</v>
      </c>
      <c r="X8351">
        <v>0.98958250000000003</v>
      </c>
      <c r="Y8351">
        <v>-0.39624169999999997</v>
      </c>
      <c r="Z8351">
        <v>0.1013042</v>
      </c>
      <c r="AA8351">
        <v>0.91254040000000003</v>
      </c>
      <c r="AB8351">
        <v>29</v>
      </c>
      <c r="AC8351">
        <v>7.3022999999999998</v>
      </c>
      <c r="AD8351">
        <v>-1.1156834734879999</v>
      </c>
      <c r="AE8351">
        <v>-0.75901999999999903</v>
      </c>
      <c r="AF8351">
        <v>-2.9631105582841899</v>
      </c>
      <c r="AG8351">
        <v>-1.1156834734879999</v>
      </c>
      <c r="AH8351">
        <v>6.5355818761871198</v>
      </c>
      <c r="AI8351">
        <v>98.837362794060795</v>
      </c>
      <c r="AJ8351">
        <v>114.38865047394501</v>
      </c>
      <c r="AK8351">
        <v>7.2621349652822502</v>
      </c>
      <c r="AL8351">
        <v>88.407564810361905</v>
      </c>
      <c r="AM8351">
        <v>98.123898849813997</v>
      </c>
      <c r="AN8351">
        <v>1.0000000320506599</v>
      </c>
    </row>
    <row r="8352" spans="1:40" x14ac:dyDescent="0.25">
      <c r="A8352" t="str">
        <f>"20190312150853409"</f>
        <v>20190312150853409</v>
      </c>
      <c r="B8352" t="str">
        <f>"1552374533398599"</f>
        <v>1552374533398599</v>
      </c>
      <c r="C8352" t="s">
        <v>40</v>
      </c>
      <c r="D8352">
        <v>4.9391800000000003</v>
      </c>
      <c r="E8352">
        <v>0.3955978</v>
      </c>
      <c r="F8352" t="s">
        <v>42</v>
      </c>
      <c r="G8352">
        <v>-395.51749999999998</v>
      </c>
      <c r="H8352" s="1">
        <v>-2.5178650000000002E-6</v>
      </c>
      <c r="I8352">
        <v>21.189240000000002</v>
      </c>
      <c r="J8352">
        <v>-402.77249999999998</v>
      </c>
      <c r="K8352">
        <v>1.1156269999999999</v>
      </c>
      <c r="L8352">
        <v>21.90738</v>
      </c>
      <c r="M8352">
        <v>0.86555149999999903</v>
      </c>
      <c r="N8352">
        <v>0</v>
      </c>
      <c r="O8352">
        <v>-0.50066189999999999</v>
      </c>
      <c r="P8352">
        <v>0.92699279999999995</v>
      </c>
      <c r="Q8352">
        <v>1.719818E-2</v>
      </c>
      <c r="R8352">
        <v>-0.3746853</v>
      </c>
      <c r="S8352">
        <v>3.1108090000000002</v>
      </c>
      <c r="T8352">
        <v>-0.4673331</v>
      </c>
      <c r="U8352">
        <v>-0.34051510000000001</v>
      </c>
      <c r="V8352">
        <v>-0.1401984</v>
      </c>
      <c r="W8352">
        <v>2.7774409999999999E-2</v>
      </c>
      <c r="X8352">
        <v>0.9897338</v>
      </c>
      <c r="Y8352">
        <v>-0.39414949999999999</v>
      </c>
      <c r="Z8352">
        <v>0.10074</v>
      </c>
      <c r="AA8352">
        <v>0.9135084</v>
      </c>
      <c r="AB8352">
        <v>29</v>
      </c>
      <c r="AC8352">
        <v>7.2549999999999901</v>
      </c>
      <c r="AD8352">
        <v>-1.115629517865</v>
      </c>
      <c r="AE8352">
        <v>-0.718140000000001</v>
      </c>
      <c r="AF8352">
        <v>-2.9420591072337601</v>
      </c>
      <c r="AG8352">
        <v>-1.115629517865</v>
      </c>
      <c r="AH8352">
        <v>6.4877240905361901</v>
      </c>
      <c r="AI8352">
        <v>98.900761082509405</v>
      </c>
      <c r="AJ8352">
        <v>114.393385373359</v>
      </c>
      <c r="AK8352">
        <v>7.2104718906956702</v>
      </c>
      <c r="AL8352">
        <v>88.408438860589698</v>
      </c>
      <c r="AM8352">
        <v>98.0624579855901</v>
      </c>
      <c r="AN8352">
        <v>1.0000000020379201</v>
      </c>
    </row>
    <row r="8353" spans="1:40" x14ac:dyDescent="0.25">
      <c r="A8353" t="str">
        <f>"20190312150853422"</f>
        <v>20190312150853422</v>
      </c>
      <c r="B8353" t="str">
        <f>"1552374533418118"</f>
        <v>1552374533418118</v>
      </c>
      <c r="C8353" t="s">
        <v>40</v>
      </c>
      <c r="D8353">
        <v>4.95329</v>
      </c>
      <c r="E8353">
        <v>0.39590379999999997</v>
      </c>
      <c r="F8353" t="s">
        <v>42</v>
      </c>
      <c r="G8353">
        <v>-395.33920000000001</v>
      </c>
      <c r="H8353" s="1">
        <v>-2.582934E-6</v>
      </c>
      <c r="I8353">
        <v>21.11694</v>
      </c>
      <c r="J8353">
        <v>-402.61470000000003</v>
      </c>
      <c r="K8353">
        <v>1.1155889999999999</v>
      </c>
      <c r="L8353">
        <v>21.821110000000001</v>
      </c>
      <c r="M8353">
        <v>0.86774240000000002</v>
      </c>
      <c r="N8353">
        <v>0</v>
      </c>
      <c r="O8353">
        <v>-0.49685499999999999</v>
      </c>
      <c r="P8353">
        <v>0.92844400000000005</v>
      </c>
      <c r="Q8353">
        <v>1.7039579999999999E-2</v>
      </c>
      <c r="R8353">
        <v>-0.37108170000000001</v>
      </c>
      <c r="S8353">
        <v>3.1112060000000001</v>
      </c>
      <c r="T8353">
        <v>-0.46695009999999998</v>
      </c>
      <c r="U8353">
        <v>-0.330841099999999</v>
      </c>
      <c r="V8353">
        <v>-0.1396915</v>
      </c>
      <c r="W8353">
        <v>2.7637129999999999E-2</v>
      </c>
      <c r="X8353">
        <v>0.9898093</v>
      </c>
      <c r="Y8353">
        <v>-0.39300580000000002</v>
      </c>
      <c r="Z8353">
        <v>0.1000986</v>
      </c>
      <c r="AA8353">
        <v>0.91407150000000004</v>
      </c>
      <c r="AB8353">
        <v>29</v>
      </c>
      <c r="AC8353">
        <v>7.2755000000000196</v>
      </c>
      <c r="AD8353">
        <v>-1.115591582934</v>
      </c>
      <c r="AE8353">
        <v>-0.70417000000000096</v>
      </c>
      <c r="AF8353">
        <v>-2.9356855780436</v>
      </c>
      <c r="AG8353">
        <v>-1.115591582934</v>
      </c>
      <c r="AH8353">
        <v>6.5119706385599203</v>
      </c>
      <c r="AI8353">
        <v>98.876593353556103</v>
      </c>
      <c r="AJ8353">
        <v>114.266504052421</v>
      </c>
      <c r="AK8353">
        <v>7.2296995781645697</v>
      </c>
      <c r="AL8353">
        <v>88.416307423925602</v>
      </c>
      <c r="AM8353">
        <v>98.033083894388</v>
      </c>
      <c r="AN8353">
        <v>0.99999998824668801</v>
      </c>
    </row>
    <row r="8354" spans="1:40" x14ac:dyDescent="0.25">
      <c r="A8354" t="str">
        <f>"20190312150853433"</f>
        <v>20190312150853433</v>
      </c>
      <c r="B8354" t="str">
        <f>"1552374533427878"</f>
        <v>1552374533427878</v>
      </c>
      <c r="C8354" t="s">
        <v>40</v>
      </c>
      <c r="D8354">
        <v>4.9097099999999996</v>
      </c>
      <c r="E8354">
        <v>0.40817490000000001</v>
      </c>
      <c r="F8354" t="s">
        <v>42</v>
      </c>
      <c r="G8354">
        <v>-395.1782</v>
      </c>
      <c r="H8354" s="1">
        <v>-2.6423929999999999E-6</v>
      </c>
      <c r="I8354">
        <v>21.05433</v>
      </c>
      <c r="J8354">
        <v>-402.49680000000001</v>
      </c>
      <c r="K8354">
        <v>1.115569</v>
      </c>
      <c r="L8354">
        <v>21.757449999999999</v>
      </c>
      <c r="M8354">
        <v>0.86935399999999996</v>
      </c>
      <c r="N8354">
        <v>0</v>
      </c>
      <c r="O8354">
        <v>-0.49402970000000002</v>
      </c>
      <c r="P8354">
        <v>0.92948129999999995</v>
      </c>
      <c r="Q8354">
        <v>1.7070760000000001E-2</v>
      </c>
      <c r="R8354">
        <v>-0.36847419999999997</v>
      </c>
      <c r="S8354">
        <v>3.1115719999999998</v>
      </c>
      <c r="T8354">
        <v>-0.46678510000000001</v>
      </c>
      <c r="U8354">
        <v>-0.32083129999999999</v>
      </c>
      <c r="V8354">
        <v>-0.1392486</v>
      </c>
      <c r="W8354">
        <v>2.768431E-2</v>
      </c>
      <c r="X8354">
        <v>0.98987040000000004</v>
      </c>
      <c r="Y8354">
        <v>-0.3929745</v>
      </c>
      <c r="Z8354">
        <v>9.9714059999999993E-2</v>
      </c>
      <c r="AA8354">
        <v>0.91412700000000002</v>
      </c>
      <c r="AB8354">
        <v>29</v>
      </c>
      <c r="AC8354">
        <v>7.3186</v>
      </c>
      <c r="AD8354">
        <v>-1.115571642393</v>
      </c>
      <c r="AE8354">
        <v>-0.70311999999999797</v>
      </c>
      <c r="AF8354">
        <v>-2.93696761198877</v>
      </c>
      <c r="AG8354">
        <v>-1.115571642393</v>
      </c>
      <c r="AH8354">
        <v>6.5593363953929797</v>
      </c>
      <c r="AI8354">
        <v>98.823277790602603</v>
      </c>
      <c r="AJ8354">
        <v>114.120628881014</v>
      </c>
      <c r="AK8354">
        <v>7.27290676353749</v>
      </c>
      <c r="AL8354">
        <v>88.413603194855497</v>
      </c>
      <c r="AM8354">
        <v>98.007457559557494</v>
      </c>
      <c r="AN8354">
        <v>1.0000000012091399</v>
      </c>
    </row>
    <row r="8355" spans="1:40" x14ac:dyDescent="0.25">
      <c r="A8355" t="str">
        <f>"20190312150853443"</f>
        <v>20190312150853443</v>
      </c>
      <c r="B8355" t="str">
        <f>"1552374533437639"</f>
        <v>1552374533437639</v>
      </c>
      <c r="C8355" t="s">
        <v>40</v>
      </c>
      <c r="D8355">
        <v>4.9304059999999996</v>
      </c>
      <c r="E8355">
        <v>0.40759630000000002</v>
      </c>
      <c r="F8355" t="s">
        <v>42</v>
      </c>
      <c r="G8355">
        <v>-395.27910000000003</v>
      </c>
      <c r="H8355" s="1">
        <v>-2.5305359999999999E-6</v>
      </c>
      <c r="I8355">
        <v>20.81317</v>
      </c>
      <c r="J8355">
        <v>-402.38010000000003</v>
      </c>
      <c r="K8355">
        <v>1.1155489999999999</v>
      </c>
      <c r="L8355">
        <v>21.69455</v>
      </c>
      <c r="M8355">
        <v>0.87093809999999905</v>
      </c>
      <c r="N8355">
        <v>0</v>
      </c>
      <c r="O8355">
        <v>-0.49123139999999998</v>
      </c>
      <c r="P8355">
        <v>0.93055849999999996</v>
      </c>
      <c r="Q8355">
        <v>1.713104E-2</v>
      </c>
      <c r="R8355">
        <v>-0.36574230000000002</v>
      </c>
      <c r="S8355">
        <v>3.0767820000000001</v>
      </c>
      <c r="T8355">
        <v>-0.47554809999999997</v>
      </c>
      <c r="U8355">
        <v>-0.40252690000000002</v>
      </c>
      <c r="V8355">
        <v>-0.13897129999999999</v>
      </c>
      <c r="W8355">
        <v>2.7758669999999999E-2</v>
      </c>
      <c r="X8355">
        <v>0.98990730000000005</v>
      </c>
      <c r="Y8355">
        <v>-0.36469000000000001</v>
      </c>
      <c r="Z8355">
        <v>9.9878579999999995E-2</v>
      </c>
      <c r="AA8355">
        <v>0.92575669999999999</v>
      </c>
      <c r="AB8355">
        <v>29</v>
      </c>
      <c r="AC8355">
        <v>7.1009999999999902</v>
      </c>
      <c r="AD8355">
        <v>-1.115551530536</v>
      </c>
      <c r="AE8355">
        <v>-0.88137999999999905</v>
      </c>
      <c r="AF8355">
        <v>-2.6562612699072599</v>
      </c>
      <c r="AG8355">
        <v>-1.115551530536</v>
      </c>
      <c r="AH8355">
        <v>6.4609816588742497</v>
      </c>
      <c r="AI8355">
        <v>99.0729981968164</v>
      </c>
      <c r="AJ8355">
        <v>112.348714617037</v>
      </c>
      <c r="AK8355">
        <v>7.0742111325292001</v>
      </c>
      <c r="AL8355">
        <v>88.409341063499099</v>
      </c>
      <c r="AM8355">
        <v>97.991423657086699</v>
      </c>
      <c r="AN8355">
        <v>1.0000000142885701</v>
      </c>
    </row>
    <row r="8356" spans="1:40" x14ac:dyDescent="0.25">
      <c r="A8356" t="str">
        <f>"20190312150853458"</f>
        <v>20190312150853458</v>
      </c>
      <c r="B8356" t="str">
        <f>"1552374533448374"</f>
        <v>1552374533448374</v>
      </c>
      <c r="C8356" t="s">
        <v>40</v>
      </c>
      <c r="D8356">
        <v>4.8707349999999998</v>
      </c>
      <c r="E8356">
        <v>0.40821560000000001</v>
      </c>
      <c r="F8356" t="s">
        <v>42</v>
      </c>
      <c r="G8356">
        <v>-394.95150000000001</v>
      </c>
      <c r="H8356" s="1">
        <v>-2.6698280000000002E-6</v>
      </c>
      <c r="I8356">
        <v>20.754770000000001</v>
      </c>
      <c r="J8356">
        <v>-402.22269999999997</v>
      </c>
      <c r="K8356">
        <v>1.115529</v>
      </c>
      <c r="L8356">
        <v>21.610900000000001</v>
      </c>
      <c r="M8356">
        <v>0.87304459999999995</v>
      </c>
      <c r="N8356">
        <v>0</v>
      </c>
      <c r="O8356">
        <v>-0.48747770000000001</v>
      </c>
      <c r="P8356">
        <v>0.93209529999999996</v>
      </c>
      <c r="Q8356">
        <v>1.755723E-2</v>
      </c>
      <c r="R8356">
        <v>-0.36178719999999998</v>
      </c>
      <c r="S8356">
        <v>3.079285</v>
      </c>
      <c r="T8356">
        <v>-0.4624181</v>
      </c>
      <c r="U8356">
        <v>-0.38955689999999998</v>
      </c>
      <c r="V8356">
        <v>-0.1389138</v>
      </c>
      <c r="W8356">
        <v>2.819814E-2</v>
      </c>
      <c r="X8356">
        <v>0.98990290000000003</v>
      </c>
      <c r="Y8356">
        <v>-0.36517369999999999</v>
      </c>
      <c r="Z8356">
        <v>9.6667429999999999E-2</v>
      </c>
      <c r="AA8356">
        <v>0.92590689999999998</v>
      </c>
      <c r="AB8356">
        <v>29</v>
      </c>
      <c r="AC8356">
        <v>7.2711999999999604</v>
      </c>
      <c r="AD8356">
        <v>-1.115531669828</v>
      </c>
      <c r="AE8356">
        <v>-0.85612999999999995</v>
      </c>
      <c r="AF8356">
        <v>-2.7338628988037801</v>
      </c>
      <c r="AG8356">
        <v>-1.115531669828</v>
      </c>
      <c r="AH8356">
        <v>6.61245344916615</v>
      </c>
      <c r="AI8356">
        <v>98.861222485851997</v>
      </c>
      <c r="AJ8356">
        <v>112.462233653577</v>
      </c>
      <c r="AK8356">
        <v>7.2417510225935304</v>
      </c>
      <c r="AL8356">
        <v>88.3841513470162</v>
      </c>
      <c r="AM8356">
        <v>97.988194907441397</v>
      </c>
      <c r="AN8356">
        <v>0.99999996517915402</v>
      </c>
    </row>
    <row r="8357" spans="1:40" x14ac:dyDescent="0.25">
      <c r="A8357" t="str">
        <f>"20190312150853467"</f>
        <v>20190312150853467</v>
      </c>
      <c r="B8357" t="str">
        <f>"1552374533458134"</f>
        <v>1552374533458134</v>
      </c>
      <c r="C8357" t="s">
        <v>40</v>
      </c>
      <c r="D8357">
        <v>4.9246129999999999</v>
      </c>
      <c r="E8357">
        <v>0.40806170000000003</v>
      </c>
      <c r="F8357" t="s">
        <v>42</v>
      </c>
      <c r="G8357">
        <v>-394.55040000000002</v>
      </c>
      <c r="H8357" s="1">
        <v>-2.8342279999999998E-6</v>
      </c>
      <c r="I8357">
        <v>20.66001</v>
      </c>
      <c r="J8357">
        <v>-402.10539999999997</v>
      </c>
      <c r="K8357">
        <v>1.1155200000000001</v>
      </c>
      <c r="L8357">
        <v>21.54898</v>
      </c>
      <c r="M8357">
        <v>0.87460000000000004</v>
      </c>
      <c r="N8357">
        <v>0</v>
      </c>
      <c r="O8357">
        <v>-0.48468159999999999</v>
      </c>
      <c r="P8357">
        <v>0.9331853</v>
      </c>
      <c r="Q8357">
        <v>1.784202E-2</v>
      </c>
      <c r="R8357">
        <v>-0.35895199999999999</v>
      </c>
      <c r="S8357">
        <v>3.0788880000000001</v>
      </c>
      <c r="T8357">
        <v>-0.4476618</v>
      </c>
      <c r="U8357">
        <v>-0.38159179999999998</v>
      </c>
      <c r="V8357">
        <v>-0.1387555</v>
      </c>
      <c r="W8357">
        <v>2.8494140000000001E-2</v>
      </c>
      <c r="X8357">
        <v>0.98991669999999998</v>
      </c>
      <c r="Y8357">
        <v>-0.36512149999999999</v>
      </c>
      <c r="Z8357">
        <v>9.3296329999999997E-2</v>
      </c>
      <c r="AA8357">
        <v>0.92627320000000002</v>
      </c>
      <c r="AB8357">
        <v>29</v>
      </c>
      <c r="AC8357">
        <v>7.55499999999995</v>
      </c>
      <c r="AD8357">
        <v>-1.1155228342279999</v>
      </c>
      <c r="AE8357">
        <v>-0.88897000000000004</v>
      </c>
      <c r="AF8357">
        <v>-2.8237828489121402</v>
      </c>
      <c r="AG8357">
        <v>-1.1155228342279999</v>
      </c>
      <c r="AH8357">
        <v>6.8908487804881302</v>
      </c>
      <c r="AI8357">
        <v>98.519293964168497</v>
      </c>
      <c r="AJ8357">
        <v>112.283199150079</v>
      </c>
      <c r="AK8357">
        <v>7.5300689032072796</v>
      </c>
      <c r="AL8357">
        <v>88.367185098338496</v>
      </c>
      <c r="AM8357">
        <v>97.979099420387399</v>
      </c>
      <c r="AN8357">
        <v>1.0000000388667301</v>
      </c>
    </row>
    <row r="8358" spans="1:40" x14ac:dyDescent="0.25">
      <c r="A8358" t="str">
        <f>"20190312150853478"</f>
        <v>20190312150853478</v>
      </c>
      <c r="B8358" t="str">
        <f>"1552374533467894"</f>
        <v>1552374533467894</v>
      </c>
      <c r="C8358" t="s">
        <v>40</v>
      </c>
      <c r="D8358">
        <v>4.9457849999999999</v>
      </c>
      <c r="E8358">
        <v>0.40784100000000001</v>
      </c>
      <c r="F8358" t="s">
        <v>42</v>
      </c>
      <c r="G8358">
        <v>-394.2912</v>
      </c>
      <c r="H8358" s="1">
        <v>-2.942614E-6</v>
      </c>
      <c r="I8358">
        <v>20.606809999999999</v>
      </c>
      <c r="J8358">
        <v>-401.98930000000001</v>
      </c>
      <c r="K8358">
        <v>1.1155120000000001</v>
      </c>
      <c r="L8358">
        <v>21.488189999999999</v>
      </c>
      <c r="M8358">
        <v>0.87612500000000004</v>
      </c>
      <c r="N8358">
        <v>0</v>
      </c>
      <c r="O8358">
        <v>-0.48191919999999999</v>
      </c>
      <c r="P8358">
        <v>0.9342937</v>
      </c>
      <c r="Q8358">
        <v>1.7682170000000001E-2</v>
      </c>
      <c r="R8358">
        <v>-0.35606579999999999</v>
      </c>
      <c r="S8358">
        <v>3.0803219999999998</v>
      </c>
      <c r="T8358">
        <v>-0.43973449999999997</v>
      </c>
      <c r="U8358">
        <v>-0.37139889999999998</v>
      </c>
      <c r="V8358">
        <v>-0.13869049999999999</v>
      </c>
      <c r="W8358">
        <v>2.8343520000000001E-2</v>
      </c>
      <c r="X8358">
        <v>0.98993010000000004</v>
      </c>
      <c r="Y8358">
        <v>-0.36557610000000001</v>
      </c>
      <c r="Z8358">
        <v>9.1339890000000007E-2</v>
      </c>
      <c r="AA8358">
        <v>0.92628889999999997</v>
      </c>
      <c r="AB8358">
        <v>29</v>
      </c>
      <c r="AC8358">
        <v>7.6981000000000099</v>
      </c>
      <c r="AD8358">
        <v>-1.1155149426140001</v>
      </c>
      <c r="AE8358">
        <v>-0.88137999999999905</v>
      </c>
      <c r="AF8358">
        <v>-2.8782404399531698</v>
      </c>
      <c r="AG8358">
        <v>-1.1155149426140001</v>
      </c>
      <c r="AH8358">
        <v>7.0242330330422096</v>
      </c>
      <c r="AI8358">
        <v>98.359852291043893</v>
      </c>
      <c r="AJ8358">
        <v>112.281791203632</v>
      </c>
      <c r="AK8358">
        <v>7.6725804863721203</v>
      </c>
      <c r="AL8358">
        <v>88.375818422567903</v>
      </c>
      <c r="AM8358">
        <v>97.975303149968994</v>
      </c>
      <c r="AN8358">
        <v>1.0000000064011201</v>
      </c>
    </row>
    <row r="8359" spans="1:40" x14ac:dyDescent="0.25">
      <c r="A8359" t="str">
        <f>"20190312150853491"</f>
        <v>20190312150853491</v>
      </c>
      <c r="B8359" t="str">
        <f>"1552374533488390"</f>
        <v>1552374533488390</v>
      </c>
      <c r="C8359" t="s">
        <v>40</v>
      </c>
      <c r="D8359">
        <v>4.9641129999999896</v>
      </c>
      <c r="E8359">
        <v>0.40803099999999998</v>
      </c>
      <c r="F8359" t="s">
        <v>42</v>
      </c>
      <c r="G8359">
        <v>-394.25490000000002</v>
      </c>
      <c r="H8359" s="1">
        <v>-2.9537939999999998E-6</v>
      </c>
      <c r="I8359">
        <v>20.584389999999999</v>
      </c>
      <c r="J8359">
        <v>-401.84750000000003</v>
      </c>
      <c r="K8359">
        <v>1.1155029999999999</v>
      </c>
      <c r="L8359">
        <v>21.414639999999999</v>
      </c>
      <c r="M8359">
        <v>0.87797000000000003</v>
      </c>
      <c r="N8359">
        <v>0</v>
      </c>
      <c r="O8359">
        <v>-0.47854960000000002</v>
      </c>
      <c r="P8359">
        <v>0.9355291</v>
      </c>
      <c r="Q8359">
        <v>1.7622099999999901E-2</v>
      </c>
      <c r="R8359">
        <v>-0.35281020000000002</v>
      </c>
      <c r="S8359">
        <v>3.0821839999999998</v>
      </c>
      <c r="T8359">
        <v>-0.44453779999999998</v>
      </c>
      <c r="U8359">
        <v>-0.3601685</v>
      </c>
      <c r="V8359">
        <v>-0.13833329999999999</v>
      </c>
      <c r="W8359">
        <v>2.829777E-2</v>
      </c>
      <c r="X8359">
        <v>0.98998140000000001</v>
      </c>
      <c r="Y8359">
        <v>-0.36526439999999999</v>
      </c>
      <c r="Z8359">
        <v>9.1860910000000004E-2</v>
      </c>
      <c r="AA8359">
        <v>0.92636039999999997</v>
      </c>
      <c r="AB8359">
        <v>29</v>
      </c>
      <c r="AC8359">
        <v>7.5926</v>
      </c>
      <c r="AD8359">
        <v>-1.115505953794</v>
      </c>
      <c r="AE8359">
        <v>-0.83024999999999904</v>
      </c>
      <c r="AF8359">
        <v>-2.84406668539145</v>
      </c>
      <c r="AG8359">
        <v>-1.115505953794</v>
      </c>
      <c r="AH8359">
        <v>6.9164217341581802</v>
      </c>
      <c r="AI8359">
        <v>98.483963257825195</v>
      </c>
      <c r="AJ8359">
        <v>112.352706249203</v>
      </c>
      <c r="AK8359">
        <v>7.5610818305741798</v>
      </c>
      <c r="AL8359">
        <v>88.378440776761096</v>
      </c>
      <c r="AM8359">
        <v>97.954618949436593</v>
      </c>
      <c r="AN8359">
        <v>1.00000001901091</v>
      </c>
    </row>
    <row r="8360" spans="1:40" x14ac:dyDescent="0.25">
      <c r="A8360" t="str">
        <f>"20190312150853502"</f>
        <v>20190312150853502</v>
      </c>
      <c r="B8360" t="str">
        <f>"1552374533498150"</f>
        <v>1552374533498150</v>
      </c>
      <c r="C8360" t="s">
        <v>40</v>
      </c>
      <c r="D8360">
        <v>4.9171870000000002</v>
      </c>
      <c r="E8360">
        <v>0.40814030000000001</v>
      </c>
      <c r="F8360" t="s">
        <v>42</v>
      </c>
      <c r="G8360">
        <v>-394.11799999999999</v>
      </c>
      <c r="H8360" s="1">
        <v>-3.005476E-6</v>
      </c>
      <c r="I8360">
        <v>20.535319999999999</v>
      </c>
      <c r="J8360">
        <v>-401.72829999999999</v>
      </c>
      <c r="K8360">
        <v>1.115489</v>
      </c>
      <c r="L8360">
        <v>21.353120000000001</v>
      </c>
      <c r="M8360">
        <v>0.87950910000000004</v>
      </c>
      <c r="N8360">
        <v>0</v>
      </c>
      <c r="O8360">
        <v>-0.47571479999999999</v>
      </c>
      <c r="P8360">
        <v>0.93667699999999998</v>
      </c>
      <c r="Q8360">
        <v>1.753236E-2</v>
      </c>
      <c r="R8360">
        <v>-0.34975539999999999</v>
      </c>
      <c r="S8360">
        <v>3.0828549999999999</v>
      </c>
      <c r="T8360">
        <v>-0.4449089</v>
      </c>
      <c r="U8360">
        <v>-0.35070800000000002</v>
      </c>
      <c r="V8360">
        <v>-0.13836950000000001</v>
      </c>
      <c r="W8360">
        <v>2.8215299999999999E-2</v>
      </c>
      <c r="X8360">
        <v>0.98997869999999999</v>
      </c>
      <c r="Y8360">
        <v>-0.36510910000000002</v>
      </c>
      <c r="Z8360">
        <v>9.157651E-2</v>
      </c>
      <c r="AA8360">
        <v>0.92644970000000004</v>
      </c>
      <c r="AB8360">
        <v>29</v>
      </c>
      <c r="AC8360">
        <v>7.6102999999999303</v>
      </c>
      <c r="AD8360">
        <v>-1.115492005476</v>
      </c>
      <c r="AE8360">
        <v>-0.81779999999999797</v>
      </c>
      <c r="AF8360">
        <v>-2.8409603072025398</v>
      </c>
      <c r="AG8360">
        <v>-1.115492005476</v>
      </c>
      <c r="AH8360">
        <v>6.9356226521176101</v>
      </c>
      <c r="AI8360">
        <v>98.465359146862994</v>
      </c>
      <c r="AJ8360">
        <v>112.274920714605</v>
      </c>
      <c r="AK8360">
        <v>7.5774823954891604</v>
      </c>
      <c r="AL8360">
        <v>88.383167855287695</v>
      </c>
      <c r="AM8360">
        <v>97.956695334739393</v>
      </c>
      <c r="AN8360">
        <v>1.0000000240690099</v>
      </c>
    </row>
    <row r="8361" spans="1:40" x14ac:dyDescent="0.25">
      <c r="A8361" t="str">
        <f>"20190312150853513"</f>
        <v>20190312150853513</v>
      </c>
      <c r="B8361" t="str">
        <f>"1552374533507911"</f>
        <v>1552374533507911</v>
      </c>
      <c r="C8361" t="s">
        <v>40</v>
      </c>
      <c r="D8361">
        <v>4.9503789999999999</v>
      </c>
      <c r="E8361">
        <v>0.40814030000000001</v>
      </c>
      <c r="F8361" t="s">
        <v>42</v>
      </c>
      <c r="G8361">
        <v>-394.03590000000003</v>
      </c>
      <c r="H8361" s="1">
        <v>-3.0352740000000001E-6</v>
      </c>
      <c r="I8361">
        <v>20.501560000000001</v>
      </c>
      <c r="J8361">
        <v>-401.60079999999999</v>
      </c>
      <c r="K8361">
        <v>1.1154820000000001</v>
      </c>
      <c r="L8361">
        <v>21.288150000000002</v>
      </c>
      <c r="M8361">
        <v>0.88114059999999905</v>
      </c>
      <c r="N8361">
        <v>0</v>
      </c>
      <c r="O8361">
        <v>-0.47268579999999999</v>
      </c>
      <c r="P8361">
        <v>0.93776420000000005</v>
      </c>
      <c r="Q8361">
        <v>1.7021959999999999E-2</v>
      </c>
      <c r="R8361">
        <v>-0.34685480000000002</v>
      </c>
      <c r="S8361">
        <v>3.08371</v>
      </c>
      <c r="T8361">
        <v>-0.44717649999999998</v>
      </c>
      <c r="U8361">
        <v>-0.3413696</v>
      </c>
      <c r="V8361">
        <v>-0.13802449999999999</v>
      </c>
      <c r="W8361">
        <v>2.7716729999999998E-2</v>
      </c>
      <c r="X8361">
        <v>0.9900409</v>
      </c>
      <c r="Y8361">
        <v>-0.36466159999999997</v>
      </c>
      <c r="Z8361">
        <v>9.1623599999999999E-2</v>
      </c>
      <c r="AA8361">
        <v>0.92662129999999998</v>
      </c>
      <c r="AB8361">
        <v>29</v>
      </c>
      <c r="AC8361">
        <v>7.5648999999999598</v>
      </c>
      <c r="AD8361">
        <v>-1.11548503527399</v>
      </c>
      <c r="AE8361">
        <v>-0.78659000000000001</v>
      </c>
      <c r="AF8361">
        <v>-2.8222461913975199</v>
      </c>
      <c r="AG8361">
        <v>-1.11548503527399</v>
      </c>
      <c r="AH8361">
        <v>6.8899058769624597</v>
      </c>
      <c r="AI8361">
        <v>98.520649973440996</v>
      </c>
      <c r="AJ8361">
        <v>112.275008498788</v>
      </c>
      <c r="AK8361">
        <v>7.52862427155054</v>
      </c>
      <c r="AL8361">
        <v>88.411744921619501</v>
      </c>
      <c r="AM8361">
        <v>97.936617557074499</v>
      </c>
      <c r="AN8361">
        <v>0.99999998169747595</v>
      </c>
    </row>
    <row r="8362" spans="1:40" x14ac:dyDescent="0.25">
      <c r="A8362" t="str">
        <f>"20190312150853526"</f>
        <v>20190312150853526</v>
      </c>
      <c r="B8362" t="str">
        <f>"1552374533518647"</f>
        <v>1552374533518647</v>
      </c>
      <c r="C8362" t="s">
        <v>40</v>
      </c>
      <c r="D8362">
        <v>4.977284</v>
      </c>
      <c r="E8362">
        <v>0.40863850000000002</v>
      </c>
      <c r="F8362" t="s">
        <v>42</v>
      </c>
      <c r="G8362">
        <v>-393.93220000000002</v>
      </c>
      <c r="H8362" s="1">
        <v>-3.0741949999999998E-6</v>
      </c>
      <c r="I8362">
        <v>20.463509999999999</v>
      </c>
      <c r="J8362">
        <v>-401.4547</v>
      </c>
      <c r="K8362">
        <v>1.115475</v>
      </c>
      <c r="L8362">
        <v>21.214110000000002</v>
      </c>
      <c r="M8362">
        <v>0.8829939</v>
      </c>
      <c r="N8362">
        <v>0</v>
      </c>
      <c r="O8362">
        <v>-0.46921469999999998</v>
      </c>
      <c r="P8362">
        <v>0.93898000000000004</v>
      </c>
      <c r="Q8362">
        <v>1.6788609999999999E-2</v>
      </c>
      <c r="R8362">
        <v>-0.34356150000000002</v>
      </c>
      <c r="S8362">
        <v>3.0845639999999999</v>
      </c>
      <c r="T8362">
        <v>-0.44868459999999899</v>
      </c>
      <c r="U8362">
        <v>-0.33169559999999998</v>
      </c>
      <c r="V8362">
        <v>-0.13760139999999901</v>
      </c>
      <c r="W8362">
        <v>2.749795E-2</v>
      </c>
      <c r="X8362">
        <v>0.99010589999999998</v>
      </c>
      <c r="Y8362">
        <v>-0.36388999999999999</v>
      </c>
      <c r="Z8362">
        <v>9.1432830000000007E-2</v>
      </c>
      <c r="AA8362">
        <v>0.92694339999999997</v>
      </c>
      <c r="AB8362">
        <v>29</v>
      </c>
      <c r="AC8362">
        <v>7.5224999999999698</v>
      </c>
      <c r="AD8362">
        <v>-1.1154780741949999</v>
      </c>
      <c r="AE8362">
        <v>-0.75060000000000204</v>
      </c>
      <c r="AF8362">
        <v>-2.80602838529679</v>
      </c>
      <c r="AG8362">
        <v>-1.1154780741949999</v>
      </c>
      <c r="AH8362">
        <v>6.8460209984288198</v>
      </c>
      <c r="AI8362">
        <v>98.573646505031405</v>
      </c>
      <c r="AJ8362">
        <v>112.28760885873901</v>
      </c>
      <c r="AK8362">
        <v>7.4823853244823901</v>
      </c>
      <c r="AL8362">
        <v>88.424284881921295</v>
      </c>
      <c r="AM8362">
        <v>97.912084405223695</v>
      </c>
      <c r="AN8362">
        <v>0.99999998787548605</v>
      </c>
    </row>
    <row r="8363" spans="1:40" x14ac:dyDescent="0.25">
      <c r="A8363" t="str">
        <f>"20190312150853537"</f>
        <v>20190312150853537</v>
      </c>
      <c r="B8363" t="str">
        <f>"1552374533528407"</f>
        <v>1552374533528407</v>
      </c>
      <c r="C8363" t="s">
        <v>40</v>
      </c>
      <c r="D8363">
        <v>4.958933</v>
      </c>
      <c r="E8363">
        <v>0.40897</v>
      </c>
      <c r="F8363" t="s">
        <v>42</v>
      </c>
      <c r="G8363">
        <v>-393.81810000000002</v>
      </c>
      <c r="H8363" s="1">
        <v>-3.1139910000000001E-6</v>
      </c>
      <c r="I8363">
        <v>20.410430000000002</v>
      </c>
      <c r="J8363">
        <v>-401.32560000000001</v>
      </c>
      <c r="K8363">
        <v>1.115472</v>
      </c>
      <c r="L8363">
        <v>21.149539999999998</v>
      </c>
      <c r="M8363">
        <v>0.88461659999999998</v>
      </c>
      <c r="N8363">
        <v>0</v>
      </c>
      <c r="O8363">
        <v>-0.46614830000000002</v>
      </c>
      <c r="P8363">
        <v>0.94005349999999999</v>
      </c>
      <c r="Q8363">
        <v>1.6757580000000001E-2</v>
      </c>
      <c r="R8363">
        <v>-0.34061560000000002</v>
      </c>
      <c r="S8363">
        <v>3.0842290000000001</v>
      </c>
      <c r="T8363">
        <v>-0.45051249999999998</v>
      </c>
      <c r="U8363">
        <v>-0.32458500000000001</v>
      </c>
      <c r="V8363">
        <v>-0.13727049999999999</v>
      </c>
      <c r="W8363">
        <v>2.74784E-2</v>
      </c>
      <c r="X8363">
        <v>0.99015240000000004</v>
      </c>
      <c r="Y8363">
        <v>-0.36273610000000001</v>
      </c>
      <c r="Z8363">
        <v>9.1353119999999996E-2</v>
      </c>
      <c r="AA8363">
        <v>0.92740350000000005</v>
      </c>
      <c r="AB8363">
        <v>29</v>
      </c>
      <c r="AC8363">
        <v>7.5074999999999896</v>
      </c>
      <c r="AD8363">
        <v>-1.115475113991</v>
      </c>
      <c r="AE8363">
        <v>-0.73911000000000004</v>
      </c>
      <c r="AF8363">
        <v>-2.78511086067796</v>
      </c>
      <c r="AG8363">
        <v>-1.115475113991</v>
      </c>
      <c r="AH8363">
        <v>6.8368654342259303</v>
      </c>
      <c r="AI8363">
        <v>98.592372258683895</v>
      </c>
      <c r="AJ8363">
        <v>112.16434221805901</v>
      </c>
      <c r="AK8363">
        <v>7.4661808310482796</v>
      </c>
      <c r="AL8363">
        <v>88.425405478887896</v>
      </c>
      <c r="AM8363">
        <v>97.892931738621101</v>
      </c>
      <c r="AN8363">
        <v>1.0000000139312799</v>
      </c>
    </row>
    <row r="8364" spans="1:40" x14ac:dyDescent="0.25">
      <c r="A8364" t="str">
        <f>"20190312150853550"</f>
        <v>20190312150853550</v>
      </c>
      <c r="B8364" t="str">
        <f>"1552374533538166"</f>
        <v>1552374533538166</v>
      </c>
      <c r="C8364" t="s">
        <v>40</v>
      </c>
      <c r="D8364">
        <v>4.9244309999999896</v>
      </c>
      <c r="E8364">
        <v>0.40941240000000001</v>
      </c>
      <c r="F8364" t="s">
        <v>42</v>
      </c>
      <c r="G8364">
        <v>-393.73469999999998</v>
      </c>
      <c r="H8364" s="1">
        <v>-3.1423200000000001E-6</v>
      </c>
      <c r="I8364">
        <v>20.368729999999999</v>
      </c>
      <c r="J8364">
        <v>-401.17689999999999</v>
      </c>
      <c r="K8364">
        <v>1.115464</v>
      </c>
      <c r="L8364">
        <v>21.075710000000001</v>
      </c>
      <c r="M8364">
        <v>0.88646999999999998</v>
      </c>
      <c r="N8364">
        <v>0</v>
      </c>
      <c r="O8364">
        <v>-0.46261400000000003</v>
      </c>
      <c r="P8364">
        <v>0.94126889999999996</v>
      </c>
      <c r="Q8364">
        <v>1.6528000000000001E-2</v>
      </c>
      <c r="R8364">
        <v>-0.33725319999999998</v>
      </c>
      <c r="S8364">
        <v>3.084381</v>
      </c>
      <c r="T8364">
        <v>-0.45324520000000001</v>
      </c>
      <c r="U8364">
        <v>-0.31726070000000001</v>
      </c>
      <c r="V8364">
        <v>-0.1368558</v>
      </c>
      <c r="W8364">
        <v>2.7261520000000001E-2</v>
      </c>
      <c r="X8364">
        <v>0.99021579999999998</v>
      </c>
      <c r="Y8364">
        <v>-0.36115520000000001</v>
      </c>
      <c r="Z8364">
        <v>9.1343510000000003E-2</v>
      </c>
      <c r="AA8364">
        <v>0.92802119999999999</v>
      </c>
      <c r="AB8364">
        <v>29</v>
      </c>
      <c r="AC8364">
        <v>7.4422000000000104</v>
      </c>
      <c r="AD8364">
        <v>-1.11546714232</v>
      </c>
      <c r="AE8364">
        <v>-0.70698000000000105</v>
      </c>
      <c r="AF8364">
        <v>-2.7550346282864702</v>
      </c>
      <c r="AG8364">
        <v>-1.11546714232</v>
      </c>
      <c r="AH8364">
        <v>6.7740770479756502</v>
      </c>
      <c r="AI8364">
        <v>98.672728460386296</v>
      </c>
      <c r="AJ8364">
        <v>112.131702502435</v>
      </c>
      <c r="AK8364">
        <v>7.3974727171219499</v>
      </c>
      <c r="AL8364">
        <v>88.437836446861098</v>
      </c>
      <c r="AM8364">
        <v>97.868888509641494</v>
      </c>
      <c r="AN8364">
        <v>1.00000001551799</v>
      </c>
    </row>
    <row r="8365" spans="1:40" x14ac:dyDescent="0.25">
      <c r="A8365" t="str">
        <f>"20190312150853568"</f>
        <v>20190312150853568</v>
      </c>
      <c r="B8365" t="str">
        <f>"1552374533558663"</f>
        <v>1552374533558663</v>
      </c>
      <c r="C8365" t="s">
        <v>40</v>
      </c>
      <c r="D8365">
        <v>4.9516400000000003</v>
      </c>
      <c r="E8365">
        <v>0.410327</v>
      </c>
      <c r="F8365" t="s">
        <v>42</v>
      </c>
      <c r="G8365">
        <v>-393.5831</v>
      </c>
      <c r="H8365" s="1">
        <v>-3.1992900000000002E-6</v>
      </c>
      <c r="I8365">
        <v>20.313590000000001</v>
      </c>
      <c r="J8365">
        <v>-400.98360000000002</v>
      </c>
      <c r="K8365">
        <v>1.115459</v>
      </c>
      <c r="L8365">
        <v>20.980709999999998</v>
      </c>
      <c r="M8365">
        <v>0.88885550000000002</v>
      </c>
      <c r="N8365">
        <v>0</v>
      </c>
      <c r="O8365">
        <v>-0.45801320000000001</v>
      </c>
      <c r="P8365">
        <v>0.94272429999999996</v>
      </c>
      <c r="Q8365">
        <v>1.6176139999999999E-2</v>
      </c>
      <c r="R8365">
        <v>-0.33318059999999899</v>
      </c>
      <c r="S8365">
        <v>3.0842290000000001</v>
      </c>
      <c r="T8365">
        <v>-0.4530498</v>
      </c>
      <c r="U8365">
        <v>-0.30953979999999998</v>
      </c>
      <c r="V8365">
        <v>-0.13600279999999901</v>
      </c>
      <c r="W8365">
        <v>2.6931670000000001E-2</v>
      </c>
      <c r="X8365">
        <v>0.99034230000000001</v>
      </c>
      <c r="Y8365">
        <v>-0.35869889999999999</v>
      </c>
      <c r="Z8365">
        <v>9.0552670000000002E-2</v>
      </c>
      <c r="AA8365">
        <v>0.92905070000000001</v>
      </c>
      <c r="AB8365">
        <v>29</v>
      </c>
      <c r="AC8365">
        <v>7.4005000000000196</v>
      </c>
      <c r="AD8365">
        <v>-1.11546219929</v>
      </c>
      <c r="AE8365">
        <v>-0.66712000000000404</v>
      </c>
      <c r="AF8365">
        <v>-2.7351383967175802</v>
      </c>
      <c r="AG8365">
        <v>-1.11546219929</v>
      </c>
      <c r="AH8365">
        <v>6.7323560511983098</v>
      </c>
      <c r="AI8365">
        <v>98.726915010052494</v>
      </c>
      <c r="AJ8365">
        <v>112.110315803585</v>
      </c>
      <c r="AK8365">
        <v>7.3518607146320596</v>
      </c>
      <c r="AL8365">
        <v>88.456742337039898</v>
      </c>
      <c r="AM8365">
        <v>97.819465180635902</v>
      </c>
      <c r="AN8365">
        <v>0.99999997381305905</v>
      </c>
    </row>
    <row r="8366" spans="1:40" x14ac:dyDescent="0.25">
      <c r="A8366" t="str">
        <f>"20190312150853582"</f>
        <v>20190312150853582</v>
      </c>
      <c r="B8366" t="str">
        <f>"1552374533578184"</f>
        <v>1552374533578184</v>
      </c>
      <c r="C8366" t="s">
        <v>40</v>
      </c>
      <c r="D8366">
        <v>4.9119659999999996</v>
      </c>
      <c r="E8366">
        <v>0.4108136</v>
      </c>
      <c r="F8366" t="s">
        <v>42</v>
      </c>
      <c r="G8366">
        <v>-393.48939999999999</v>
      </c>
      <c r="H8366" s="1">
        <v>-3.2251299999999998E-6</v>
      </c>
      <c r="I8366">
        <v>20.24417</v>
      </c>
      <c r="J8366">
        <v>-400.81439999999998</v>
      </c>
      <c r="K8366">
        <v>1.1154539999999999</v>
      </c>
      <c r="L8366">
        <v>20.898710000000001</v>
      </c>
      <c r="M8366">
        <v>0.89091880000000001</v>
      </c>
      <c r="N8366">
        <v>0</v>
      </c>
      <c r="O8366">
        <v>-0.45398709999999998</v>
      </c>
      <c r="P8366">
        <v>0.94411929999999999</v>
      </c>
      <c r="Q8366">
        <v>1.5797680000000001E-2</v>
      </c>
      <c r="R8366">
        <v>-0.32922570000000001</v>
      </c>
      <c r="S8366">
        <v>3.0830380000000002</v>
      </c>
      <c r="T8366">
        <v>-0.4588932</v>
      </c>
      <c r="U8366">
        <v>-0.30300899999999997</v>
      </c>
      <c r="V8366">
        <v>-0.13567119999999999</v>
      </c>
      <c r="W8366">
        <v>2.6565120000000001E-2</v>
      </c>
      <c r="X8366">
        <v>0.99039770000000005</v>
      </c>
      <c r="Y8366">
        <v>-0.35623939999999998</v>
      </c>
      <c r="Z8366">
        <v>9.1046559999999999E-2</v>
      </c>
      <c r="AA8366">
        <v>0.92994840000000001</v>
      </c>
      <c r="AB8366">
        <v>29</v>
      </c>
      <c r="AC8366">
        <v>7.3249999999999797</v>
      </c>
      <c r="AD8366">
        <v>-1.1154572251299999</v>
      </c>
      <c r="AE8366">
        <v>-0.65454000000000001</v>
      </c>
      <c r="AF8366">
        <v>-2.68085694971795</v>
      </c>
      <c r="AG8366">
        <v>-1.1154572251299999</v>
      </c>
      <c r="AH8366">
        <v>6.6702232319423898</v>
      </c>
      <c r="AI8366">
        <v>98.820017581998201</v>
      </c>
      <c r="AJ8366">
        <v>111.89589136649199</v>
      </c>
      <c r="AK8366">
        <v>7.2748276110083703</v>
      </c>
      <c r="AL8366">
        <v>88.477751650761306</v>
      </c>
      <c r="AM8366">
        <v>97.800203908635297</v>
      </c>
      <c r="AN8366">
        <v>0.99999999213767199</v>
      </c>
    </row>
    <row r="8367" spans="1:40" x14ac:dyDescent="0.25">
      <c r="A8367" t="str">
        <f>"20190312150853596"</f>
        <v>20190312150853596</v>
      </c>
      <c r="B8367" t="str">
        <f>"1552374533587944"</f>
        <v>1552374533587944</v>
      </c>
      <c r="C8367" t="s">
        <v>40</v>
      </c>
      <c r="D8367">
        <v>4.9383410000000003</v>
      </c>
      <c r="E8367">
        <v>0.4105259</v>
      </c>
      <c r="F8367" t="s">
        <v>42</v>
      </c>
      <c r="G8367">
        <v>-393.274</v>
      </c>
      <c r="H8367" s="1">
        <v>-3.3098160000000001E-6</v>
      </c>
      <c r="I8367">
        <v>20.17971</v>
      </c>
      <c r="J8367">
        <v>-400.66</v>
      </c>
      <c r="K8367">
        <v>1.115448</v>
      </c>
      <c r="L8367">
        <v>20.824829999999999</v>
      </c>
      <c r="M8367">
        <v>0.89278139999999995</v>
      </c>
      <c r="N8367">
        <v>0</v>
      </c>
      <c r="O8367">
        <v>-0.45031290000000002</v>
      </c>
      <c r="P8367">
        <v>0.94536690000000001</v>
      </c>
      <c r="Q8367">
        <v>1.5846760000000001E-2</v>
      </c>
      <c r="R8367">
        <v>-0.3256231</v>
      </c>
      <c r="S8367">
        <v>3.082703</v>
      </c>
      <c r="T8367">
        <v>-0.45602530000000002</v>
      </c>
      <c r="U8367">
        <v>-0.29394530000000002</v>
      </c>
      <c r="V8367">
        <v>-0.13536779999999901</v>
      </c>
      <c r="W8367">
        <v>2.6624700000000001E-2</v>
      </c>
      <c r="X8367">
        <v>0.99043760000000003</v>
      </c>
      <c r="Y8367">
        <v>-0.35524289999999997</v>
      </c>
      <c r="Z8367">
        <v>8.9959919999999999E-2</v>
      </c>
      <c r="AA8367">
        <v>0.93043520000000002</v>
      </c>
      <c r="AB8367">
        <v>29</v>
      </c>
      <c r="AC8367">
        <v>7.3860000000000197</v>
      </c>
      <c r="AD8367">
        <v>-1.1154513098159999</v>
      </c>
      <c r="AE8367">
        <v>-0.64511999999999803</v>
      </c>
      <c r="AF8367">
        <v>-2.6894046260247699</v>
      </c>
      <c r="AG8367">
        <v>-1.1154513098159999</v>
      </c>
      <c r="AH8367">
        <v>6.7327427910600397</v>
      </c>
      <c r="AI8367">
        <v>98.746658906912103</v>
      </c>
      <c r="AJ8367">
        <v>111.77431542548899</v>
      </c>
      <c r="AK8367">
        <v>7.33532237584856</v>
      </c>
      <c r="AL8367">
        <v>88.474336738302895</v>
      </c>
      <c r="AM8367">
        <v>97.782664726852005</v>
      </c>
      <c r="AN8367">
        <v>0.99999997771034399</v>
      </c>
    </row>
    <row r="8368" spans="1:40" x14ac:dyDescent="0.25">
      <c r="A8368" t="str">
        <f>"20190312150853611"</f>
        <v>20190312150853611</v>
      </c>
      <c r="B8368" t="str">
        <f>"1552374533608439"</f>
        <v>1552374533608439</v>
      </c>
      <c r="C8368" t="s">
        <v>40</v>
      </c>
      <c r="D8368">
        <v>4.970993</v>
      </c>
      <c r="E8368">
        <v>0.39723209999999998</v>
      </c>
      <c r="F8368" t="s">
        <v>42</v>
      </c>
      <c r="G8368">
        <v>-393.02260000000001</v>
      </c>
      <c r="H8368" s="1">
        <v>-3.4155639999999998E-6</v>
      </c>
      <c r="I8368">
        <v>20.130590000000002</v>
      </c>
      <c r="J8368">
        <v>-400.48050000000001</v>
      </c>
      <c r="K8368">
        <v>1.115445</v>
      </c>
      <c r="L8368">
        <v>20.73969</v>
      </c>
      <c r="M8368">
        <v>0.89492519999999998</v>
      </c>
      <c r="N8368">
        <v>0</v>
      </c>
      <c r="O8368">
        <v>-0.44603700000000002</v>
      </c>
      <c r="P8368">
        <v>0.94677690000000003</v>
      </c>
      <c r="Q8368">
        <v>1.5278299999999899E-2</v>
      </c>
      <c r="R8368">
        <v>-0.32152819999999999</v>
      </c>
      <c r="S8368">
        <v>3.0843509999999998</v>
      </c>
      <c r="T8368">
        <v>-0.45047199999999998</v>
      </c>
      <c r="U8368">
        <v>-0.28036499999999998</v>
      </c>
      <c r="V8368">
        <v>-0.13491349999999999</v>
      </c>
      <c r="W8368">
        <v>2.6068899999999999E-2</v>
      </c>
      <c r="X8368">
        <v>0.99051440000000002</v>
      </c>
      <c r="Y8368">
        <v>-0.35513499999999998</v>
      </c>
      <c r="Z8368">
        <v>8.8297639999999997E-2</v>
      </c>
      <c r="AA8368">
        <v>0.93063560000000001</v>
      </c>
      <c r="AB8368">
        <v>29</v>
      </c>
      <c r="AC8368">
        <v>7.4578999999999898</v>
      </c>
      <c r="AD8368">
        <v>-1.1154484155640001</v>
      </c>
      <c r="AE8368">
        <v>-0.60910000000000097</v>
      </c>
      <c r="AF8368">
        <v>-2.7211539231269102</v>
      </c>
      <c r="AG8368">
        <v>-1.1154484155640001</v>
      </c>
      <c r="AH8368">
        <v>6.7954912792288704</v>
      </c>
      <c r="AI8368">
        <v>98.664209172614306</v>
      </c>
      <c r="AJ8368">
        <v>111.82290215492</v>
      </c>
      <c r="AK8368">
        <v>7.4045665347276604</v>
      </c>
      <c r="AL8368">
        <v>88.506192837831406</v>
      </c>
      <c r="AM8368">
        <v>97.756270172144895</v>
      </c>
      <c r="AN8368">
        <v>1.00000000831841</v>
      </c>
    </row>
    <row r="8369" spans="1:40" x14ac:dyDescent="0.25">
      <c r="A8369" t="str">
        <f>"20190312150853625"</f>
        <v>20190312150853625</v>
      </c>
      <c r="B8369" t="str">
        <f>"1552374533617803"</f>
        <v>1552374533617803</v>
      </c>
      <c r="C8369" t="s">
        <v>40</v>
      </c>
      <c r="D8369">
        <v>4.9806970000000002</v>
      </c>
      <c r="E8369">
        <v>0.39740829999999999</v>
      </c>
      <c r="F8369" t="s">
        <v>42</v>
      </c>
      <c r="G8369">
        <v>-390.0283</v>
      </c>
      <c r="H8369" s="1">
        <v>-4.7975689999999998E-6</v>
      </c>
      <c r="I8369">
        <v>20.16403</v>
      </c>
      <c r="J8369">
        <v>-400.32429999999999</v>
      </c>
      <c r="K8369">
        <v>1.11544</v>
      </c>
      <c r="L8369">
        <v>20.666350000000001</v>
      </c>
      <c r="M8369">
        <v>0.89677119999999999</v>
      </c>
      <c r="N8369">
        <v>0</v>
      </c>
      <c r="O8369">
        <v>-0.44231379999999998</v>
      </c>
      <c r="P8369">
        <v>0.94815389999999999</v>
      </c>
      <c r="Q8369">
        <v>1.5073949999999999E-2</v>
      </c>
      <c r="R8369">
        <v>-0.31745469999999998</v>
      </c>
      <c r="S8369">
        <v>3.1157530000000002</v>
      </c>
      <c r="T8369">
        <v>-0.3325109</v>
      </c>
      <c r="U8369">
        <v>-0.17160029999999901</v>
      </c>
      <c r="V8369">
        <v>-0.13505400000000001</v>
      </c>
      <c r="W8369">
        <v>2.5868220000000001E-2</v>
      </c>
      <c r="X8369">
        <v>0.99050050000000001</v>
      </c>
      <c r="Y8369">
        <v>-0.3878259</v>
      </c>
      <c r="Z8369">
        <v>6.6234559999999998E-2</v>
      </c>
      <c r="AA8369">
        <v>0.91934979999999999</v>
      </c>
      <c r="AB8369">
        <v>29</v>
      </c>
      <c r="AC8369">
        <v>10.2959999999999</v>
      </c>
      <c r="AD8369">
        <v>-1.1154447975690001</v>
      </c>
      <c r="AE8369">
        <v>-0.50232000000000099</v>
      </c>
      <c r="AF8369">
        <v>-4.0564274811904397</v>
      </c>
      <c r="AG8369">
        <v>-1.1154447975690001</v>
      </c>
      <c r="AH8369">
        <v>9.3466537900876201</v>
      </c>
      <c r="AI8369">
        <v>96.247633710409204</v>
      </c>
      <c r="AJ8369">
        <v>113.46073898536299</v>
      </c>
      <c r="AK8369">
        <v>10.2498174656107</v>
      </c>
      <c r="AL8369">
        <v>88.517694812655606</v>
      </c>
      <c r="AM8369">
        <v>97.764356769602202</v>
      </c>
      <c r="AN8369">
        <v>0.99999999411110896</v>
      </c>
    </row>
    <row r="8370" spans="1:40" x14ac:dyDescent="0.25">
      <c r="A8370" t="str">
        <f>"20190312150853636"</f>
        <v>20190312150853636</v>
      </c>
      <c r="B8370" t="str">
        <f>"1552374533628539"</f>
        <v>1552374533628539</v>
      </c>
      <c r="C8370" t="s">
        <v>40</v>
      </c>
      <c r="D8370">
        <v>4.9597810000000004</v>
      </c>
      <c r="E8370">
        <v>0.3975417</v>
      </c>
      <c r="F8370" t="s">
        <v>41</v>
      </c>
      <c r="G8370">
        <v>-399.19959999999998</v>
      </c>
      <c r="H8370">
        <v>0.99188019999999999</v>
      </c>
      <c r="I8370">
        <v>20.60885</v>
      </c>
      <c r="J8370">
        <v>-400.19099999999997</v>
      </c>
      <c r="K8370">
        <v>1.1154329999999999</v>
      </c>
      <c r="L8370">
        <v>20.60474</v>
      </c>
      <c r="M8370">
        <v>0.89832939999999994</v>
      </c>
      <c r="N8370">
        <v>0</v>
      </c>
      <c r="O8370">
        <v>-0.43914059999999999</v>
      </c>
      <c r="P8370">
        <v>0.94926969999999999</v>
      </c>
      <c r="Q8370">
        <v>1.481116E-2</v>
      </c>
      <c r="R8370">
        <v>-0.31411529999999999</v>
      </c>
      <c r="S8370">
        <v>3.1162109999999998</v>
      </c>
      <c r="T8370">
        <v>-0.34233400000000003</v>
      </c>
      <c r="U8370">
        <v>-0.15914919999999999</v>
      </c>
      <c r="V8370">
        <v>-0.13503699999999999</v>
      </c>
      <c r="W8370">
        <v>2.5609380000000001E-2</v>
      </c>
      <c r="X8370">
        <v>0.99050959999999999</v>
      </c>
      <c r="Y8370">
        <v>-0.38798680000000002</v>
      </c>
      <c r="Z8370">
        <v>6.7880969999999999E-2</v>
      </c>
      <c r="AA8370">
        <v>0.91916180000000003</v>
      </c>
      <c r="AB8370">
        <v>29</v>
      </c>
      <c r="AC8370">
        <v>0.99139999999999795</v>
      </c>
      <c r="AD8370">
        <v>-0.12355279999999901</v>
      </c>
      <c r="AE8370">
        <v>4.1100000000007198E-3</v>
      </c>
      <c r="AF8370">
        <v>-0.43237597584258702</v>
      </c>
      <c r="AG8370">
        <v>-0.12355279999999901</v>
      </c>
      <c r="AH8370">
        <v>0.87527600644541603</v>
      </c>
      <c r="AI8370">
        <v>97.212951007191705</v>
      </c>
      <c r="AJ8370">
        <v>116.288826192728</v>
      </c>
      <c r="AK8370">
        <v>0.98403372215219598</v>
      </c>
      <c r="AL8370">
        <v>88.532530248870501</v>
      </c>
      <c r="AM8370">
        <v>97.7633208918853</v>
      </c>
      <c r="AN8370">
        <v>1.0000000497025701</v>
      </c>
    </row>
    <row r="8371" spans="1:40" x14ac:dyDescent="0.25">
      <c r="A8371" t="str">
        <f>"20190312150853647"</f>
        <v>20190312150853647</v>
      </c>
      <c r="B8371" t="str">
        <f>"1552374533638299"</f>
        <v>1552374533638299</v>
      </c>
      <c r="C8371" t="s">
        <v>40</v>
      </c>
      <c r="D8371">
        <v>5.0434269999999897</v>
      </c>
      <c r="E8371">
        <v>0.39855620000000003</v>
      </c>
      <c r="F8371" t="s">
        <v>81</v>
      </c>
      <c r="G8371">
        <v>-389.84370000000001</v>
      </c>
      <c r="H8371" s="1">
        <v>-2.052938E-7</v>
      </c>
      <c r="I8371">
        <v>20.10859</v>
      </c>
      <c r="J8371">
        <v>-400.06490000000002</v>
      </c>
      <c r="K8371">
        <v>1.1154309999999901</v>
      </c>
      <c r="L8371">
        <v>20.54663</v>
      </c>
      <c r="M8371">
        <v>0.89979259999999905</v>
      </c>
      <c r="N8371">
        <v>0</v>
      </c>
      <c r="O8371">
        <v>-0.43613420000000003</v>
      </c>
      <c r="P8371">
        <v>0.95029430000000004</v>
      </c>
      <c r="Q8371">
        <v>1.450417E-2</v>
      </c>
      <c r="R8371">
        <v>-0.31101499999999999</v>
      </c>
      <c r="S8371">
        <v>3.1161189999999999</v>
      </c>
      <c r="T8371">
        <v>-0.33591520000000002</v>
      </c>
      <c r="U8371">
        <v>-0.14941409999999999</v>
      </c>
      <c r="V8371">
        <v>-0.13495579999999999</v>
      </c>
      <c r="W8371">
        <v>2.5307159999999999E-2</v>
      </c>
      <c r="X8371">
        <v>0.99052839999999998</v>
      </c>
      <c r="Y8371">
        <v>-0.3879648</v>
      </c>
      <c r="Z8371">
        <v>6.633588E-2</v>
      </c>
      <c r="AA8371">
        <v>0.91928390000000004</v>
      </c>
      <c r="AB8371">
        <v>29</v>
      </c>
      <c r="AC8371">
        <v>10.2212</v>
      </c>
      <c r="AD8371">
        <v>-1.11543120529379</v>
      </c>
      <c r="AE8371">
        <v>-0.43803999999999998</v>
      </c>
      <c r="AF8371">
        <v>-4.0162527624362996</v>
      </c>
      <c r="AG8371">
        <v>-1.11543120529379</v>
      </c>
      <c r="AH8371">
        <v>9.2784603227795692</v>
      </c>
      <c r="AI8371">
        <v>96.295706085652895</v>
      </c>
      <c r="AJ8371">
        <v>113.405744116618</v>
      </c>
      <c r="AK8371">
        <v>10.171740214285601</v>
      </c>
      <c r="AL8371">
        <v>88.5498517434782</v>
      </c>
      <c r="AM8371">
        <v>97.758564088547701</v>
      </c>
      <c r="AN8371">
        <v>1.0000000157537301</v>
      </c>
    </row>
    <row r="8372" spans="1:40" x14ac:dyDescent="0.25">
      <c r="A8372" t="str">
        <f>"20190312150853656"</f>
        <v>20190312150853656</v>
      </c>
      <c r="B8372" t="str">
        <f>"1552374533648059"</f>
        <v>1552374533648059</v>
      </c>
      <c r="C8372" t="s">
        <v>40</v>
      </c>
      <c r="D8372">
        <v>4.9773620000000003</v>
      </c>
      <c r="E8372">
        <v>0.39893040000000002</v>
      </c>
      <c r="F8372" t="s">
        <v>81</v>
      </c>
      <c r="G8372">
        <v>-389.54880000000003</v>
      </c>
      <c r="H8372" s="1">
        <v>-3.28935E-7</v>
      </c>
      <c r="I8372">
        <v>20.049330000000001</v>
      </c>
      <c r="J8372">
        <v>-399.9434</v>
      </c>
      <c r="K8372">
        <v>1.1154280000000001</v>
      </c>
      <c r="L8372">
        <v>20.49136</v>
      </c>
      <c r="M8372">
        <v>0.90118980000000004</v>
      </c>
      <c r="N8372">
        <v>0</v>
      </c>
      <c r="O8372">
        <v>-0.43323980000000001</v>
      </c>
      <c r="P8372">
        <v>0.95124330000000001</v>
      </c>
      <c r="Q8372">
        <v>1.438876E-2</v>
      </c>
      <c r="R8372">
        <v>-0.30810530000000003</v>
      </c>
      <c r="S8372">
        <v>3.1137700000000001</v>
      </c>
      <c r="T8372">
        <v>-0.33027279999999998</v>
      </c>
      <c r="U8372">
        <v>-0.1472473</v>
      </c>
      <c r="V8372">
        <v>-0.13480220000000001</v>
      </c>
      <c r="W8372">
        <v>2.5196570000000001E-2</v>
      </c>
      <c r="X8372">
        <v>0.99055210000000005</v>
      </c>
      <c r="Y8372">
        <v>-0.38578380000000001</v>
      </c>
      <c r="Z8372">
        <v>6.4885670000000006E-2</v>
      </c>
      <c r="AA8372">
        <v>0.92030469999999998</v>
      </c>
      <c r="AB8372">
        <v>29</v>
      </c>
      <c r="AC8372">
        <v>10.394599999999899</v>
      </c>
      <c r="AD8372">
        <v>-1.115428328935</v>
      </c>
      <c r="AE8372">
        <v>-0.44203000000000198</v>
      </c>
      <c r="AF8372">
        <v>-4.0586786554505396</v>
      </c>
      <c r="AG8372">
        <v>-1.115428328935</v>
      </c>
      <c r="AH8372">
        <v>9.4511439170995697</v>
      </c>
      <c r="AI8372">
        <v>96.189189894007896</v>
      </c>
      <c r="AJ8372">
        <v>113.24051515726801</v>
      </c>
      <c r="AK8372">
        <v>10.3460704679085</v>
      </c>
      <c r="AL8372">
        <v>88.556190055400094</v>
      </c>
      <c r="AM8372">
        <v>97.749657875857693</v>
      </c>
      <c r="AN8372">
        <v>0.99999998153950698</v>
      </c>
    </row>
    <row r="8373" spans="1:40" x14ac:dyDescent="0.25">
      <c r="A8373" t="str">
        <f>"20190312150853667"</f>
        <v>20190312150853667</v>
      </c>
      <c r="B8373" t="str">
        <f>"1552374533657819"</f>
        <v>1552374533657819</v>
      </c>
      <c r="C8373" t="s">
        <v>40</v>
      </c>
      <c r="D8373">
        <v>4.9533110000000002</v>
      </c>
      <c r="E8373">
        <v>0.39924949999999998</v>
      </c>
      <c r="F8373" t="s">
        <v>81</v>
      </c>
      <c r="G8373">
        <v>-389.43779999999998</v>
      </c>
      <c r="H8373" s="1">
        <v>-3.727656E-7</v>
      </c>
      <c r="I8373">
        <v>20.016929999999999</v>
      </c>
      <c r="J8373">
        <v>-399.83319999999998</v>
      </c>
      <c r="K8373">
        <v>1.115424</v>
      </c>
      <c r="L8373">
        <v>20.441469999999999</v>
      </c>
      <c r="M8373">
        <v>0.9024489</v>
      </c>
      <c r="N8373">
        <v>0</v>
      </c>
      <c r="O8373">
        <v>-0.43061100000000002</v>
      </c>
      <c r="P8373">
        <v>0.95216579999999995</v>
      </c>
      <c r="Q8373">
        <v>1.43517E-2</v>
      </c>
      <c r="R8373">
        <v>-0.30524469999999998</v>
      </c>
      <c r="S8373">
        <v>3.1132200000000001</v>
      </c>
      <c r="T8373">
        <v>-0.3305458</v>
      </c>
      <c r="U8373">
        <v>-0.14059449999999901</v>
      </c>
      <c r="V8373">
        <v>-0.13489209999999999</v>
      </c>
      <c r="W8373">
        <v>2.516034E-2</v>
      </c>
      <c r="X8373">
        <v>0.9905408</v>
      </c>
      <c r="Y8373">
        <v>-0.38506069999999998</v>
      </c>
      <c r="Z8373">
        <v>6.4666760000000004E-2</v>
      </c>
      <c r="AA8373">
        <v>0.92062290000000002</v>
      </c>
      <c r="AB8373">
        <v>29</v>
      </c>
      <c r="AC8373">
        <v>10.395399999999899</v>
      </c>
      <c r="AD8373">
        <v>-1.1154243727655999</v>
      </c>
      <c r="AE8373">
        <v>-0.42454000000000303</v>
      </c>
      <c r="AF8373">
        <v>-4.0470585345273102</v>
      </c>
      <c r="AG8373">
        <v>-1.1154243727655999</v>
      </c>
      <c r="AH8373">
        <v>9.4562044800087097</v>
      </c>
      <c r="AI8373">
        <v>96.189124805358404</v>
      </c>
      <c r="AJ8373">
        <v>113.16991600623101</v>
      </c>
      <c r="AK8373">
        <v>10.3461421544934</v>
      </c>
      <c r="AL8373">
        <v>88.558266564879105</v>
      </c>
      <c r="AM8373">
        <v>97.754850670090505</v>
      </c>
      <c r="AN8373">
        <v>0.99999999890798197</v>
      </c>
    </row>
    <row r="8374" spans="1:40" x14ac:dyDescent="0.25">
      <c r="A8374" t="str">
        <f>"20190312150853677"</f>
        <v>20190312150853677</v>
      </c>
      <c r="B8374" t="str">
        <f>"1552374533668556"</f>
        <v>1552374533668556</v>
      </c>
      <c r="C8374" t="s">
        <v>40</v>
      </c>
      <c r="D8374">
        <v>4.952807</v>
      </c>
      <c r="E8374">
        <v>0.39967269999999999</v>
      </c>
      <c r="F8374" t="s">
        <v>81</v>
      </c>
      <c r="G8374">
        <v>-389.32940000000002</v>
      </c>
      <c r="H8374" s="1">
        <v>-4.1684080000000001E-7</v>
      </c>
      <c r="I8374">
        <v>19.990010000000002</v>
      </c>
      <c r="J8374">
        <v>-399.70659999999998</v>
      </c>
      <c r="K8374">
        <v>1.1154250000000001</v>
      </c>
      <c r="L8374">
        <v>20.384799999999998</v>
      </c>
      <c r="M8374">
        <v>0.90388239999999997</v>
      </c>
      <c r="N8374">
        <v>0</v>
      </c>
      <c r="O8374">
        <v>-0.42759350000000002</v>
      </c>
      <c r="P8374">
        <v>0.95319690000000001</v>
      </c>
      <c r="Q8374">
        <v>1.405289E-2</v>
      </c>
      <c r="R8374">
        <v>-0.30202410000000002</v>
      </c>
      <c r="S8374">
        <v>3.1127929999999999</v>
      </c>
      <c r="T8374">
        <v>-0.33055620000000002</v>
      </c>
      <c r="U8374">
        <v>-0.13378909999999999</v>
      </c>
      <c r="V8374">
        <v>-0.13492950000000001</v>
      </c>
      <c r="W8374">
        <v>2.4863369999999999E-2</v>
      </c>
      <c r="X8374">
        <v>0.99054319999999896</v>
      </c>
      <c r="Y8374">
        <v>-0.38400380000000001</v>
      </c>
      <c r="Z8374">
        <v>6.4338199999999998E-2</v>
      </c>
      <c r="AA8374">
        <v>0.92108719999999999</v>
      </c>
      <c r="AB8374">
        <v>29</v>
      </c>
      <c r="AC8374">
        <v>10.377199999999901</v>
      </c>
      <c r="AD8374">
        <v>-1.1154254168408</v>
      </c>
      <c r="AE8374">
        <v>-0.39478999999999598</v>
      </c>
      <c r="AF8374">
        <v>-4.0341647083171104</v>
      </c>
      <c r="AG8374">
        <v>-1.1154254168408</v>
      </c>
      <c r="AH8374">
        <v>9.4404298341181505</v>
      </c>
      <c r="AI8374">
        <v>96.200839076038207</v>
      </c>
      <c r="AJ8374">
        <v>113.138399360389</v>
      </c>
      <c r="AK8374">
        <v>10.3266826332212</v>
      </c>
      <c r="AL8374">
        <v>88.575287010523994</v>
      </c>
      <c r="AM8374">
        <v>97.7569560306477</v>
      </c>
      <c r="AN8374">
        <v>0.99999999410212304</v>
      </c>
    </row>
    <row r="8375" spans="1:40" x14ac:dyDescent="0.25">
      <c r="A8375" t="str">
        <f>"20190312150853690"</f>
        <v>20190312150853690</v>
      </c>
      <c r="B8375" t="str">
        <f>"1552374533678315"</f>
        <v>1552374533678315</v>
      </c>
      <c r="C8375" t="s">
        <v>40</v>
      </c>
      <c r="D8375">
        <v>4.9608189999999999</v>
      </c>
      <c r="E8375">
        <v>0.40016699999999999</v>
      </c>
      <c r="F8375" t="s">
        <v>81</v>
      </c>
      <c r="G8375">
        <v>-389.17110000000002</v>
      </c>
      <c r="H8375" s="1">
        <v>-4.8268389999999999E-7</v>
      </c>
      <c r="I8375">
        <v>19.956140000000001</v>
      </c>
      <c r="J8375">
        <v>-399.56819999999999</v>
      </c>
      <c r="K8375">
        <v>1.1154230000000001</v>
      </c>
      <c r="L8375">
        <v>20.323329999999999</v>
      </c>
      <c r="M8375">
        <v>0.90543629999999997</v>
      </c>
      <c r="N8375">
        <v>0</v>
      </c>
      <c r="O8375">
        <v>-0.42429319999999998</v>
      </c>
      <c r="P8375">
        <v>0.95421259999999997</v>
      </c>
      <c r="Q8375">
        <v>1.4112710000000001E-2</v>
      </c>
      <c r="R8375">
        <v>-0.29879620000000001</v>
      </c>
      <c r="S8375">
        <v>3.1120299999999999</v>
      </c>
      <c r="T8375">
        <v>-0.32947969999999999</v>
      </c>
      <c r="U8375">
        <v>-0.12661739999999999</v>
      </c>
      <c r="V8375">
        <v>-0.13466800000000001</v>
      </c>
      <c r="W8375">
        <v>2.4930580000000001E-2</v>
      </c>
      <c r="X8375">
        <v>0.99057709999999999</v>
      </c>
      <c r="Y8375">
        <v>-0.38279839999999998</v>
      </c>
      <c r="Z8375">
        <v>6.3771560000000005E-2</v>
      </c>
      <c r="AA8375">
        <v>0.92162820000000001</v>
      </c>
      <c r="AB8375">
        <v>29</v>
      </c>
      <c r="AC8375">
        <v>10.397099999999901</v>
      </c>
      <c r="AD8375">
        <v>-1.11542348268389</v>
      </c>
      <c r="AE8375">
        <v>-0.36719000000000002</v>
      </c>
      <c r="AF8375">
        <v>-4.0329198922527096</v>
      </c>
      <c r="AG8375">
        <v>-1.11542348268389</v>
      </c>
      <c r="AH8375">
        <v>9.4617119133666794</v>
      </c>
      <c r="AI8375">
        <v>96.189411624414404</v>
      </c>
      <c r="AJ8375">
        <v>113.085436413994</v>
      </c>
      <c r="AK8375">
        <v>10.34565632208</v>
      </c>
      <c r="AL8375">
        <v>88.571434972029394</v>
      </c>
      <c r="AM8375">
        <v>97.741843428879207</v>
      </c>
      <c r="AN8375">
        <v>0.999999997543773</v>
      </c>
    </row>
    <row r="8376" spans="1:40" x14ac:dyDescent="0.25">
      <c r="A8376" t="str">
        <f>"20190312150853699"</f>
        <v>20190312150853699</v>
      </c>
      <c r="B8376" t="str">
        <f>"1552374533688074"</f>
        <v>1552374533688074</v>
      </c>
      <c r="C8376" t="s">
        <v>40</v>
      </c>
      <c r="D8376">
        <v>4.9446250000000003</v>
      </c>
      <c r="E8376">
        <v>0.40040409999999999</v>
      </c>
      <c r="F8376" t="s">
        <v>81</v>
      </c>
      <c r="G8376">
        <v>-388.98450000000003</v>
      </c>
      <c r="H8376" s="1">
        <v>-5.5999880000000003E-7</v>
      </c>
      <c r="I8376">
        <v>19.915240000000001</v>
      </c>
      <c r="J8376">
        <v>-399.44720000000001</v>
      </c>
      <c r="K8376">
        <v>1.1154250000000001</v>
      </c>
      <c r="L8376">
        <v>20.270050000000001</v>
      </c>
      <c r="M8376">
        <v>0.90678369999999997</v>
      </c>
      <c r="N8376">
        <v>0</v>
      </c>
      <c r="O8376">
        <v>-0.42140559999999999</v>
      </c>
      <c r="P8376">
        <v>0.95511469999999998</v>
      </c>
      <c r="Q8376">
        <v>1.403598E-2</v>
      </c>
      <c r="R8376">
        <v>-0.29590359999999899</v>
      </c>
      <c r="S8376">
        <v>3.111237</v>
      </c>
      <c r="T8376">
        <v>-0.32789469999999998</v>
      </c>
      <c r="U8376">
        <v>-0.1199646</v>
      </c>
      <c r="V8376">
        <v>-0.13451289999999999</v>
      </c>
      <c r="W8376">
        <v>2.485907E-2</v>
      </c>
      <c r="X8376">
        <v>0.99060000000000004</v>
      </c>
      <c r="Y8376">
        <v>-0.38187520000000003</v>
      </c>
      <c r="Z8376">
        <v>6.3163529999999996E-2</v>
      </c>
      <c r="AA8376">
        <v>0.92205300000000001</v>
      </c>
      <c r="AB8376">
        <v>29</v>
      </c>
      <c r="AC8376">
        <v>10.4626999999999</v>
      </c>
      <c r="AD8376">
        <v>-1.1154255599988001</v>
      </c>
      <c r="AE8376">
        <v>-0.35481000000000001</v>
      </c>
      <c r="AF8376">
        <v>-4.0417485181168704</v>
      </c>
      <c r="AG8376">
        <v>-1.1154255599988001</v>
      </c>
      <c r="AH8376">
        <v>9.5295143271972602</v>
      </c>
      <c r="AI8376">
        <v>96.150350635463496</v>
      </c>
      <c r="AJ8376">
        <v>112.98323526533601</v>
      </c>
      <c r="AK8376">
        <v>10.4111261915249</v>
      </c>
      <c r="AL8376">
        <v>88.575533505157793</v>
      </c>
      <c r="AM8376">
        <v>97.732858328127705</v>
      </c>
      <c r="AN8376">
        <v>1.00000002681383</v>
      </c>
    </row>
    <row r="8377" spans="1:40" x14ac:dyDescent="0.25">
      <c r="A8377" t="str">
        <f>"20190312150853711"</f>
        <v>20190312150853711</v>
      </c>
      <c r="B8377" t="str">
        <f>"1552374533708571"</f>
        <v>1552374533708571</v>
      </c>
      <c r="C8377" t="s">
        <v>40</v>
      </c>
      <c r="D8377">
        <v>4.9527609999999997</v>
      </c>
      <c r="E8377">
        <v>0.40114749999999999</v>
      </c>
      <c r="F8377" t="s">
        <v>81</v>
      </c>
      <c r="G8377">
        <v>-388.86720000000003</v>
      </c>
      <c r="H8377" s="1">
        <v>-6.0813160000000001E-7</v>
      </c>
      <c r="I8377">
        <v>19.887810000000002</v>
      </c>
      <c r="J8377">
        <v>-399.3252</v>
      </c>
      <c r="K8377">
        <v>1.1154230000000001</v>
      </c>
      <c r="L8377">
        <v>20.216889999999999</v>
      </c>
      <c r="M8377">
        <v>0.90812999999999999</v>
      </c>
      <c r="N8377">
        <v>0</v>
      </c>
      <c r="O8377">
        <v>-0.41849619999999998</v>
      </c>
      <c r="P8377">
        <v>0.95602659999999995</v>
      </c>
      <c r="Q8377">
        <v>1.3783790000000001E-2</v>
      </c>
      <c r="R8377">
        <v>-0.29295589999999999</v>
      </c>
      <c r="S8377">
        <v>3.1109619999999998</v>
      </c>
      <c r="T8377">
        <v>-0.327984</v>
      </c>
      <c r="U8377">
        <v>-0.1123962</v>
      </c>
      <c r="V8377">
        <v>-0.13439089999999901</v>
      </c>
      <c r="W8377">
        <v>2.4613099999999999E-2</v>
      </c>
      <c r="X8377">
        <v>0.99062269999999997</v>
      </c>
      <c r="Y8377">
        <v>-0.3811678</v>
      </c>
      <c r="Z8377">
        <v>6.2876570000000007E-2</v>
      </c>
      <c r="AA8377">
        <v>0.9223652</v>
      </c>
      <c r="AB8377">
        <v>29</v>
      </c>
      <c r="AC8377">
        <v>10.457999999999901</v>
      </c>
      <c r="AD8377">
        <v>-1.1154236081316</v>
      </c>
      <c r="AE8377">
        <v>-0.32907999999999699</v>
      </c>
      <c r="AF8377">
        <v>-4.0322886202216797</v>
      </c>
      <c r="AG8377">
        <v>-1.1154236081316</v>
      </c>
      <c r="AH8377">
        <v>9.5274419996032798</v>
      </c>
      <c r="AI8377">
        <v>96.153642691527594</v>
      </c>
      <c r="AJ8377">
        <v>112.939484780456</v>
      </c>
      <c r="AK8377">
        <v>10.405559686924599</v>
      </c>
      <c r="AL8377">
        <v>88.589630860433303</v>
      </c>
      <c r="AM8377">
        <v>97.7257546541382</v>
      </c>
      <c r="AN8377">
        <v>1.0000000262248501</v>
      </c>
    </row>
    <row r="8378" spans="1:40" x14ac:dyDescent="0.25">
      <c r="A8378" t="str">
        <f>"20190312150853723"</f>
        <v>20190312150853723</v>
      </c>
      <c r="B8378" t="str">
        <f>"1552374533718266"</f>
        <v>1552374533718266</v>
      </c>
      <c r="C8378" t="s">
        <v>40</v>
      </c>
      <c r="D8378">
        <v>4.9447169999999998</v>
      </c>
      <c r="E8378">
        <v>0.40155540000000001</v>
      </c>
      <c r="F8378" t="s">
        <v>81</v>
      </c>
      <c r="G8378">
        <v>-388.7953</v>
      </c>
      <c r="H8378" s="1">
        <v>-6.3189369999999995E-7</v>
      </c>
      <c r="I8378">
        <v>19.84919</v>
      </c>
      <c r="J8378">
        <v>-399.1771</v>
      </c>
      <c r="K8378">
        <v>1.1154219999999999</v>
      </c>
      <c r="L8378">
        <v>20.152709999999999</v>
      </c>
      <c r="M8378">
        <v>0.90975150000000005</v>
      </c>
      <c r="N8378">
        <v>0</v>
      </c>
      <c r="O8378">
        <v>-0.41495979999999999</v>
      </c>
      <c r="P8378">
        <v>0.95719770000000004</v>
      </c>
      <c r="Q8378">
        <v>1.3625750000000001E-2</v>
      </c>
      <c r="R8378">
        <v>-0.28911500000000001</v>
      </c>
      <c r="S8378">
        <v>3.1094970000000002</v>
      </c>
      <c r="T8378">
        <v>-0.32938489999999998</v>
      </c>
      <c r="U8378">
        <v>-0.1085815</v>
      </c>
      <c r="V8378">
        <v>-0.134513299999999</v>
      </c>
      <c r="W8378">
        <v>2.4459129999999999E-2</v>
      </c>
      <c r="X8378">
        <v>0.99060990000000004</v>
      </c>
      <c r="Y8378">
        <v>-0.37868000000000002</v>
      </c>
      <c r="Z8378">
        <v>6.2702359999999999E-2</v>
      </c>
      <c r="AA8378">
        <v>0.92340129999999998</v>
      </c>
      <c r="AB8378">
        <v>29</v>
      </c>
      <c r="AC8378">
        <v>10.381799999999901</v>
      </c>
      <c r="AD8378">
        <v>-1.1154226318936999</v>
      </c>
      <c r="AE8378">
        <v>-0.30351999999999801</v>
      </c>
      <c r="AF8378">
        <v>-3.98625005638119</v>
      </c>
      <c r="AG8378">
        <v>-1.1154226318936999</v>
      </c>
      <c r="AH8378">
        <v>9.4624398117605804</v>
      </c>
      <c r="AI8378">
        <v>96.199897031472304</v>
      </c>
      <c r="AJ8378">
        <v>112.844273507813</v>
      </c>
      <c r="AK8378">
        <v>10.3282198055101</v>
      </c>
      <c r="AL8378">
        <v>88.598455346955703</v>
      </c>
      <c r="AM8378">
        <v>97.732804698885104</v>
      </c>
      <c r="AN8378">
        <v>1.00000002544762</v>
      </c>
    </row>
    <row r="8379" spans="1:40" x14ac:dyDescent="0.25">
      <c r="A8379" t="str">
        <f>"20190312150853735"</f>
        <v>20190312150853735</v>
      </c>
      <c r="B8379" t="str">
        <f>"1552374533728026"</f>
        <v>1552374533728026</v>
      </c>
      <c r="C8379" t="s">
        <v>40</v>
      </c>
      <c r="D8379">
        <v>4.9488899999999996</v>
      </c>
      <c r="E8379">
        <v>0.40200530000000001</v>
      </c>
      <c r="F8379" t="s">
        <v>81</v>
      </c>
      <c r="G8379">
        <v>-388.6277</v>
      </c>
      <c r="H8379" s="1">
        <v>-7.0207339999999998E-7</v>
      </c>
      <c r="I8379">
        <v>19.81532</v>
      </c>
      <c r="J8379">
        <v>-399.04059999999998</v>
      </c>
      <c r="K8379">
        <v>1.115418</v>
      </c>
      <c r="L8379">
        <v>20.094539999999999</v>
      </c>
      <c r="M8379">
        <v>0.91122919999999996</v>
      </c>
      <c r="N8379">
        <v>0</v>
      </c>
      <c r="O8379">
        <v>-0.41170420000000002</v>
      </c>
      <c r="P8379">
        <v>0.95814900000000003</v>
      </c>
      <c r="Q8379">
        <v>1.353624E-2</v>
      </c>
      <c r="R8379">
        <v>-0.28595039999999999</v>
      </c>
      <c r="S8379">
        <v>3.1088260000000001</v>
      </c>
      <c r="T8379">
        <v>-0.328708099999999</v>
      </c>
      <c r="U8379">
        <v>-9.9426269999999997E-2</v>
      </c>
      <c r="V8379">
        <v>-0.1342438</v>
      </c>
      <c r="W8379">
        <v>2.4380010000000001E-2</v>
      </c>
      <c r="X8379">
        <v>0.99064839999999998</v>
      </c>
      <c r="Y8379">
        <v>-0.37811929999999999</v>
      </c>
      <c r="Z8379">
        <v>6.2251399999999998E-2</v>
      </c>
      <c r="AA8379">
        <v>0.92366150000000002</v>
      </c>
      <c r="AB8379">
        <v>29</v>
      </c>
      <c r="AC8379">
        <v>10.412899999999899</v>
      </c>
      <c r="AD8379">
        <v>-1.1154187020733899</v>
      </c>
      <c r="AE8379">
        <v>-0.27921999999999803</v>
      </c>
      <c r="AF8379">
        <v>-3.98720770146898</v>
      </c>
      <c r="AG8379">
        <v>-1.1154187020733899</v>
      </c>
      <c r="AH8379">
        <v>9.4953914902615395</v>
      </c>
      <c r="AI8379">
        <v>96.181509504904</v>
      </c>
      <c r="AJ8379">
        <v>112.778011226248</v>
      </c>
      <c r="AK8379">
        <v>10.3587858211722</v>
      </c>
      <c r="AL8379">
        <v>88.602989930141007</v>
      </c>
      <c r="AM8379">
        <v>97.717202456224598</v>
      </c>
      <c r="AN8379">
        <v>1.0000000175743</v>
      </c>
    </row>
    <row r="8380" spans="1:40" x14ac:dyDescent="0.25">
      <c r="A8380" t="str">
        <f>"20190312150853747"</f>
        <v>20190312150853747</v>
      </c>
      <c r="B8380" t="str">
        <f>"1552374533737786"</f>
        <v>1552374533737786</v>
      </c>
      <c r="C8380" t="s">
        <v>40</v>
      </c>
      <c r="D8380">
        <v>5.1222430000000001</v>
      </c>
      <c r="E8380">
        <v>0.40200530000000001</v>
      </c>
      <c r="F8380" t="s">
        <v>81</v>
      </c>
      <c r="G8380">
        <v>-388.5607</v>
      </c>
      <c r="H8380" s="1">
        <v>-7.2494290000000002E-7</v>
      </c>
      <c r="I8380">
        <v>19.782139999999998</v>
      </c>
      <c r="J8380">
        <v>-398.90359999999998</v>
      </c>
      <c r="K8380">
        <v>1.1154189999999999</v>
      </c>
      <c r="L8380">
        <v>20.036470000000001</v>
      </c>
      <c r="M8380">
        <v>0.9126997</v>
      </c>
      <c r="N8380">
        <v>0</v>
      </c>
      <c r="O8380">
        <v>-0.40843380000000001</v>
      </c>
      <c r="P8380">
        <v>0.95913619999999999</v>
      </c>
      <c r="Q8380">
        <v>1.328523E-2</v>
      </c>
      <c r="R8380">
        <v>-0.28263329999999998</v>
      </c>
      <c r="S8380">
        <v>3.1080320000000001</v>
      </c>
      <c r="T8380">
        <v>-0.3308006</v>
      </c>
      <c r="U8380">
        <v>-9.2651369999999997E-2</v>
      </c>
      <c r="V8380">
        <v>-0.1341166</v>
      </c>
      <c r="W8380">
        <v>2.413736E-2</v>
      </c>
      <c r="X8380">
        <v>0.99067159999999999</v>
      </c>
      <c r="Y8380">
        <v>-0.37677490000000002</v>
      </c>
      <c r="Z8380">
        <v>6.227647E-2</v>
      </c>
      <c r="AA8380">
        <v>0.92420899999999995</v>
      </c>
      <c r="AB8380">
        <v>29</v>
      </c>
      <c r="AC8380">
        <v>10.342899999999901</v>
      </c>
      <c r="AD8380">
        <v>-1.1154197249428901</v>
      </c>
      <c r="AE8380">
        <v>-0.254330000000003</v>
      </c>
      <c r="AF8380">
        <v>-3.9467108221537002</v>
      </c>
      <c r="AG8380">
        <v>-1.1154197249428901</v>
      </c>
      <c r="AH8380">
        <v>9.4349423199632199</v>
      </c>
      <c r="AI8380">
        <v>96.224335791877806</v>
      </c>
      <c r="AJ8380">
        <v>112.699942919371</v>
      </c>
      <c r="AK8380">
        <v>10.2877997675659</v>
      </c>
      <c r="AL8380">
        <v>88.616896883851396</v>
      </c>
      <c r="AM8380">
        <v>97.709799786549993</v>
      </c>
      <c r="AN8380">
        <v>1.0000000467949399</v>
      </c>
    </row>
    <row r="8381" spans="1:40" x14ac:dyDescent="0.25">
      <c r="A8381" t="str">
        <f>"20190312150853760"</f>
        <v>20190312150853760</v>
      </c>
      <c r="B8381" t="str">
        <f>"1552374533748523"</f>
        <v>1552374533748523</v>
      </c>
      <c r="C8381" t="s">
        <v>40</v>
      </c>
      <c r="D8381">
        <v>4.975282</v>
      </c>
      <c r="E8381">
        <v>0.41293590000000002</v>
      </c>
      <c r="F8381" t="s">
        <v>81</v>
      </c>
      <c r="G8381">
        <v>-388.45650000000001</v>
      </c>
      <c r="H8381" s="1">
        <v>-7.6849349999999996E-7</v>
      </c>
      <c r="I8381">
        <v>19.760850000000001</v>
      </c>
      <c r="J8381">
        <v>-398.75360000000001</v>
      </c>
      <c r="K8381">
        <v>1.1154189999999999</v>
      </c>
      <c r="L8381">
        <v>19.973690000000001</v>
      </c>
      <c r="M8381">
        <v>0.91429309999999997</v>
      </c>
      <c r="N8381">
        <v>0</v>
      </c>
      <c r="O8381">
        <v>-0.4048544</v>
      </c>
      <c r="P8381">
        <v>0.96018079999999995</v>
      </c>
      <c r="Q8381">
        <v>1.3328019999999999E-2</v>
      </c>
      <c r="R8381">
        <v>-0.27906140000000001</v>
      </c>
      <c r="S8381">
        <v>3.108215</v>
      </c>
      <c r="T8381">
        <v>-0.33186159999999998</v>
      </c>
      <c r="U8381">
        <v>-8.2000729999999994E-2</v>
      </c>
      <c r="V8381">
        <v>-0.13392319999999999</v>
      </c>
      <c r="W8381">
        <v>2.4189800000000001E-2</v>
      </c>
      <c r="X8381">
        <v>0.99069640000000003</v>
      </c>
      <c r="Y8381">
        <v>-0.37630980000000003</v>
      </c>
      <c r="Z8381">
        <v>6.2104630000000001E-2</v>
      </c>
      <c r="AA8381">
        <v>0.92441010000000001</v>
      </c>
      <c r="AB8381">
        <v>29</v>
      </c>
      <c r="AC8381">
        <v>10.2971</v>
      </c>
      <c r="AD8381">
        <v>-1.1154197684935001</v>
      </c>
      <c r="AE8381">
        <v>-0.212839999999996</v>
      </c>
      <c r="AF8381">
        <v>-3.9284710756277299</v>
      </c>
      <c r="AG8381">
        <v>-1.1154197684935001</v>
      </c>
      <c r="AH8381">
        <v>9.3913505610660408</v>
      </c>
      <c r="AI8381">
        <v>96.2530003132525</v>
      </c>
      <c r="AJ8381">
        <v>112.699917114432</v>
      </c>
      <c r="AK8381">
        <v>10.240825729052499</v>
      </c>
      <c r="AL8381">
        <v>88.6138913002207</v>
      </c>
      <c r="AM8381">
        <v>97.6986250551616</v>
      </c>
      <c r="AN8381">
        <v>0.99999996344761899</v>
      </c>
    </row>
    <row r="8382" spans="1:40" x14ac:dyDescent="0.25">
      <c r="A8382" t="str">
        <f>"20190312150853774"</f>
        <v>20190312150853774</v>
      </c>
      <c r="B8382" t="str">
        <f>"1552374533768042"</f>
        <v>1552374533768042</v>
      </c>
      <c r="C8382" t="s">
        <v>40</v>
      </c>
      <c r="D8382">
        <v>4.9393599999999998</v>
      </c>
      <c r="E8382">
        <v>0.41170000000000001</v>
      </c>
      <c r="F8382" t="s">
        <v>81</v>
      </c>
      <c r="G8382">
        <v>-387.52839999999998</v>
      </c>
      <c r="H8382" s="1">
        <v>-1.205687E-6</v>
      </c>
      <c r="I8382">
        <v>19.40822</v>
      </c>
      <c r="J8382">
        <v>-398.58420000000001</v>
      </c>
      <c r="K8382">
        <v>1.115421</v>
      </c>
      <c r="L8382">
        <v>19.903590000000001</v>
      </c>
      <c r="M8382">
        <v>0.91607349999999999</v>
      </c>
      <c r="N8382">
        <v>0</v>
      </c>
      <c r="O8382">
        <v>-0.40080890000000002</v>
      </c>
      <c r="P8382">
        <v>0.96133389999999996</v>
      </c>
      <c r="Q8382">
        <v>1.3249520000000001E-2</v>
      </c>
      <c r="R8382">
        <v>-0.275066799999999</v>
      </c>
      <c r="S8382">
        <v>3.0835270000000001</v>
      </c>
      <c r="T8382">
        <v>-0.30640260000000002</v>
      </c>
      <c r="U8382">
        <v>-0.15533449999999999</v>
      </c>
      <c r="V8382">
        <v>-0.13366259999999999</v>
      </c>
      <c r="W8382">
        <v>2.4122580000000001E-2</v>
      </c>
      <c r="X8382">
        <v>0.99073330000000004</v>
      </c>
      <c r="Y8382">
        <v>-0.35065390000000002</v>
      </c>
      <c r="Z8382">
        <v>5.6105849999999999E-2</v>
      </c>
      <c r="AA8382">
        <v>0.93482299999999996</v>
      </c>
      <c r="AB8382">
        <v>29</v>
      </c>
      <c r="AC8382">
        <v>11.0558</v>
      </c>
      <c r="AD8382">
        <v>-1.115422205687</v>
      </c>
      <c r="AE8382">
        <v>-0.49536999999999698</v>
      </c>
      <c r="AF8382">
        <v>-3.9377872693555802</v>
      </c>
      <c r="AG8382">
        <v>-1.115422205687</v>
      </c>
      <c r="AH8382">
        <v>10.2234540337073</v>
      </c>
      <c r="AI8382">
        <v>95.813421560442194</v>
      </c>
      <c r="AJ8382">
        <v>111.065283075867</v>
      </c>
      <c r="AK8382">
        <v>11.0122362694852</v>
      </c>
      <c r="AL8382">
        <v>88.617743939710095</v>
      </c>
      <c r="AM8382">
        <v>97.6835407450384</v>
      </c>
      <c r="AN8382">
        <v>1.00000003061675</v>
      </c>
    </row>
    <row r="8383" spans="1:40" x14ac:dyDescent="0.25">
      <c r="A8383" t="str">
        <f>"20190312150853790"</f>
        <v>20190312150853790</v>
      </c>
      <c r="B8383" t="str">
        <f>"1552374533777802"</f>
        <v>1552374533777802</v>
      </c>
      <c r="C8383" t="s">
        <v>40</v>
      </c>
      <c r="D8383">
        <v>4.9259589999999998</v>
      </c>
      <c r="E8383">
        <v>0.41139579999999998</v>
      </c>
      <c r="F8383" t="s">
        <v>81</v>
      </c>
      <c r="G8383">
        <v>-387.71620000000001</v>
      </c>
      <c r="H8383" s="1">
        <v>-1.111789E-6</v>
      </c>
      <c r="I8383">
        <v>19.43712</v>
      </c>
      <c r="J8383">
        <v>-398.39699999999999</v>
      </c>
      <c r="K8383">
        <v>1.115421</v>
      </c>
      <c r="L8383">
        <v>19.82715</v>
      </c>
      <c r="M8383">
        <v>0.91801659999999996</v>
      </c>
      <c r="N8383">
        <v>0</v>
      </c>
      <c r="O8383">
        <v>-0.39633819999999997</v>
      </c>
      <c r="P8383">
        <v>0.96248389999999995</v>
      </c>
      <c r="Q8383">
        <v>1.345709E-2</v>
      </c>
      <c r="R8383">
        <v>-0.27100550000000001</v>
      </c>
      <c r="S8383">
        <v>3.0871580000000001</v>
      </c>
      <c r="T8383">
        <v>-0.3168473</v>
      </c>
      <c r="U8383">
        <v>-0.13250729999999999</v>
      </c>
      <c r="V8383">
        <v>-0.133017</v>
      </c>
      <c r="W8383">
        <v>2.4347589999999999E-2</v>
      </c>
      <c r="X8383">
        <v>0.99081459999999999</v>
      </c>
      <c r="Y8383">
        <v>-0.35281269999999998</v>
      </c>
      <c r="Z8383">
        <v>5.7652050000000003E-2</v>
      </c>
      <c r="AA8383">
        <v>0.93391619999999997</v>
      </c>
      <c r="AB8383">
        <v>29</v>
      </c>
      <c r="AC8383">
        <v>10.6807999999999</v>
      </c>
      <c r="AD8383">
        <v>-1.115422111789</v>
      </c>
      <c r="AE8383">
        <v>-0.39002999999999899</v>
      </c>
      <c r="AF8383">
        <v>-3.8337127769838699</v>
      </c>
      <c r="AG8383">
        <v>-1.115422111789</v>
      </c>
      <c r="AH8383">
        <v>9.8532226156833005</v>
      </c>
      <c r="AI8383">
        <v>96.022402607654101</v>
      </c>
      <c r="AJ8383">
        <v>111.26012196208499</v>
      </c>
      <c r="AK8383">
        <v>10.631439980458399</v>
      </c>
      <c r="AL8383">
        <v>88.604847915843493</v>
      </c>
      <c r="AM8383">
        <v>97.646248839585198</v>
      </c>
      <c r="AN8383">
        <v>0.99999994950048199</v>
      </c>
    </row>
    <row r="8384" spans="1:40" x14ac:dyDescent="0.25">
      <c r="A8384" t="str">
        <f>"20190312150853802"</f>
        <v>20190312150853802</v>
      </c>
      <c r="B8384" t="str">
        <f>"1552374533798298"</f>
        <v>1552374533798298</v>
      </c>
      <c r="C8384" t="s">
        <v>40</v>
      </c>
      <c r="D8384">
        <v>4.8862420000000002</v>
      </c>
      <c r="E8384">
        <v>0.4110798</v>
      </c>
      <c r="F8384" t="s">
        <v>81</v>
      </c>
      <c r="G8384">
        <v>-387.53399999999999</v>
      </c>
      <c r="H8384" s="1">
        <v>-1.2018610000000001E-6</v>
      </c>
      <c r="I8384">
        <v>19.414950000000001</v>
      </c>
      <c r="J8384">
        <v>-398.25139999999999</v>
      </c>
      <c r="K8384">
        <v>1.115421</v>
      </c>
      <c r="L8384">
        <v>19.768249999999998</v>
      </c>
      <c r="M8384">
        <v>0.91951139999999998</v>
      </c>
      <c r="N8384">
        <v>0</v>
      </c>
      <c r="O8384">
        <v>-0.39285759999999997</v>
      </c>
      <c r="P8384">
        <v>0.96346189999999998</v>
      </c>
      <c r="Q8384">
        <v>1.336968E-2</v>
      </c>
      <c r="R8384">
        <v>-0.26751190000000002</v>
      </c>
      <c r="S8384">
        <v>3.0883790000000002</v>
      </c>
      <c r="T8384">
        <v>-0.31711590000000001</v>
      </c>
      <c r="U8384">
        <v>-0.1171875</v>
      </c>
      <c r="V8384">
        <v>-0.13285710000000001</v>
      </c>
      <c r="W8384">
        <v>2.4267980000000001E-2</v>
      </c>
      <c r="X8384">
        <v>0.99083810000000005</v>
      </c>
      <c r="Y8384">
        <v>-0.35391869999999997</v>
      </c>
      <c r="Z8384">
        <v>5.7419159999999997E-2</v>
      </c>
      <c r="AA8384">
        <v>0.93351200000000001</v>
      </c>
      <c r="AB8384">
        <v>29</v>
      </c>
      <c r="AC8384">
        <v>10.7173999999999</v>
      </c>
      <c r="AD8384">
        <v>-1.1154222018610001</v>
      </c>
      <c r="AE8384">
        <v>-0.35329999999999701</v>
      </c>
      <c r="AF8384">
        <v>-3.8442677844588302</v>
      </c>
      <c r="AG8384">
        <v>-1.1154222018610001</v>
      </c>
      <c r="AH8384">
        <v>9.8873943150207708</v>
      </c>
      <c r="AI8384">
        <v>96.002299256772503</v>
      </c>
      <c r="AJ8384">
        <v>111.246327493709</v>
      </c>
      <c r="AK8384">
        <v>10.6669174473105</v>
      </c>
      <c r="AL8384">
        <v>88.609410710101301</v>
      </c>
      <c r="AM8384">
        <v>97.636986823743598</v>
      </c>
      <c r="AN8384">
        <v>1.00000004214264</v>
      </c>
    </row>
    <row r="8385" spans="1:40" x14ac:dyDescent="0.25">
      <c r="A8385" t="str">
        <f>"20190312150853816"</f>
        <v>20190312150853816</v>
      </c>
      <c r="B8385" t="str">
        <f>"1552374533808058"</f>
        <v>1552374533808058</v>
      </c>
      <c r="C8385" t="s">
        <v>40</v>
      </c>
      <c r="D8385">
        <v>4.8906029999999996</v>
      </c>
      <c r="E8385">
        <v>0.4117304</v>
      </c>
      <c r="F8385" t="s">
        <v>81</v>
      </c>
      <c r="G8385">
        <v>-382.0883</v>
      </c>
      <c r="H8385" s="1">
        <v>-3.8137450000000002E-6</v>
      </c>
      <c r="I8385">
        <v>19.202719999999999</v>
      </c>
      <c r="J8385">
        <v>-398.08600000000001</v>
      </c>
      <c r="K8385">
        <v>1.115421</v>
      </c>
      <c r="L8385">
        <v>19.702449999999999</v>
      </c>
      <c r="M8385">
        <v>0.92119079999999998</v>
      </c>
      <c r="N8385">
        <v>0</v>
      </c>
      <c r="O8385">
        <v>-0.388903</v>
      </c>
      <c r="P8385">
        <v>0.96452899999999997</v>
      </c>
      <c r="Q8385">
        <v>1.3297099999999999E-2</v>
      </c>
      <c r="R8385">
        <v>-0.26364120000000002</v>
      </c>
      <c r="S8385">
        <v>3.0867309999999999</v>
      </c>
      <c r="T8385">
        <v>-0.21301639999999999</v>
      </c>
      <c r="U8385">
        <v>-0.10800170000000001</v>
      </c>
      <c r="V8385">
        <v>-0.13257720000000001</v>
      </c>
      <c r="W8385">
        <v>2.420601E-2</v>
      </c>
      <c r="X8385">
        <v>0.99087709999999996</v>
      </c>
      <c r="Y8385">
        <v>-0.35475950000000001</v>
      </c>
      <c r="Z8385">
        <v>3.8428179999999999E-2</v>
      </c>
      <c r="AA8385">
        <v>0.93416750000000004</v>
      </c>
      <c r="AB8385">
        <v>29</v>
      </c>
      <c r="AC8385">
        <v>15.9977</v>
      </c>
      <c r="AD8385">
        <v>-1.115424813745</v>
      </c>
      <c r="AE8385">
        <v>-0.49972999999999601</v>
      </c>
      <c r="AF8385">
        <v>-5.73382594827389</v>
      </c>
      <c r="AG8385">
        <v>-1.115424813745</v>
      </c>
      <c r="AH8385">
        <v>14.860317674707099</v>
      </c>
      <c r="AI8385">
        <v>94.005800465850598</v>
      </c>
      <c r="AJ8385">
        <v>111.099015304196</v>
      </c>
      <c r="AK8385">
        <v>15.9671529683106</v>
      </c>
      <c r="AL8385">
        <v>88.612962364347993</v>
      </c>
      <c r="AM8385">
        <v>97.6207902780354</v>
      </c>
      <c r="AN8385">
        <v>1.0000000360921799</v>
      </c>
    </row>
    <row r="8386" spans="1:40" x14ac:dyDescent="0.25">
      <c r="A8386" t="str">
        <f>"20190312150853828"</f>
        <v>20190312150853828</v>
      </c>
      <c r="B8386" t="str">
        <f>"1552374533817818"</f>
        <v>1552374533817818</v>
      </c>
      <c r="C8386" t="s">
        <v>40</v>
      </c>
      <c r="D8386">
        <v>4.9192980000000004</v>
      </c>
      <c r="E8386">
        <v>0.41184890000000002</v>
      </c>
      <c r="F8386" t="s">
        <v>81</v>
      </c>
      <c r="G8386">
        <v>-384.01679999999999</v>
      </c>
      <c r="H8386" s="1">
        <v>-2.893801E-6</v>
      </c>
      <c r="I8386">
        <v>19.24952</v>
      </c>
      <c r="J8386">
        <v>-397.94420000000002</v>
      </c>
      <c r="K8386">
        <v>1.115424</v>
      </c>
      <c r="L8386">
        <v>19.646550000000001</v>
      </c>
      <c r="M8386">
        <v>0.92261709999999997</v>
      </c>
      <c r="N8386">
        <v>0</v>
      </c>
      <c r="O8386">
        <v>-0.38550689999999999</v>
      </c>
      <c r="P8386">
        <v>0.96546370000000004</v>
      </c>
      <c r="Q8386">
        <v>1.308286E-2</v>
      </c>
      <c r="R8386">
        <v>-0.26020959999999999</v>
      </c>
      <c r="S8386">
        <v>3.0865480000000001</v>
      </c>
      <c r="T8386">
        <v>-0.24470500000000001</v>
      </c>
      <c r="U8386">
        <v>-9.9365229999999999E-2</v>
      </c>
      <c r="V8386">
        <v>-0.13244979999999901</v>
      </c>
      <c r="W8386">
        <v>2.3998169999999999E-2</v>
      </c>
      <c r="X8386">
        <v>0.99089910000000003</v>
      </c>
      <c r="Y8386">
        <v>-0.35338940000000002</v>
      </c>
      <c r="Z8386">
        <v>4.3831849999999999E-2</v>
      </c>
      <c r="AA8386">
        <v>0.93444890000000003</v>
      </c>
      <c r="AB8386">
        <v>29</v>
      </c>
      <c r="AC8386">
        <v>13.9274</v>
      </c>
      <c r="AD8386">
        <v>-1.1154268938009999</v>
      </c>
      <c r="AE8386">
        <v>-0.39702999999999999</v>
      </c>
      <c r="AF8386">
        <v>-4.9713464098456601</v>
      </c>
      <c r="AG8386">
        <v>-1.1154268938009999</v>
      </c>
      <c r="AH8386">
        <v>12.9209590624061</v>
      </c>
      <c r="AI8386">
        <v>94.606326450998594</v>
      </c>
      <c r="AJ8386">
        <v>111.044258309913</v>
      </c>
      <c r="AK8386">
        <v>13.889191674625099</v>
      </c>
      <c r="AL8386">
        <v>88.624874052488096</v>
      </c>
      <c r="AM8386">
        <v>97.613385972175607</v>
      </c>
      <c r="AN8386">
        <v>0.99999994403209702</v>
      </c>
    </row>
    <row r="8387" spans="1:40" x14ac:dyDescent="0.25">
      <c r="A8387" t="str">
        <f>"20190312150853846"</f>
        <v>20190312150853846</v>
      </c>
      <c r="B8387" t="str">
        <f>"1552374533838314"</f>
        <v>1552374533838314</v>
      </c>
      <c r="C8387" t="s">
        <v>40</v>
      </c>
      <c r="D8387">
        <v>5.2208300000000003</v>
      </c>
      <c r="E8387">
        <v>0.41363250000000001</v>
      </c>
      <c r="F8387" t="s">
        <v>81</v>
      </c>
      <c r="G8387">
        <v>-383.73910000000001</v>
      </c>
      <c r="H8387" s="1">
        <v>-3.0277089999999999E-6</v>
      </c>
      <c r="I8387">
        <v>19.234739999999999</v>
      </c>
      <c r="J8387">
        <v>-397.74040000000002</v>
      </c>
      <c r="K8387">
        <v>1.115435</v>
      </c>
      <c r="L8387">
        <v>19.567170000000001</v>
      </c>
      <c r="M8387">
        <v>0.92464539999999995</v>
      </c>
      <c r="N8387">
        <v>0</v>
      </c>
      <c r="O8387">
        <v>-0.38061620000000002</v>
      </c>
      <c r="P8387">
        <v>0.96659980000000001</v>
      </c>
      <c r="Q8387">
        <v>1.3002629999999999E-2</v>
      </c>
      <c r="R8387">
        <v>-0.2559612</v>
      </c>
      <c r="S8387">
        <v>3.086487</v>
      </c>
      <c r="T8387">
        <v>-0.24235899999999999</v>
      </c>
      <c r="U8387">
        <v>-8.9477539999999994E-2</v>
      </c>
      <c r="V8387">
        <v>-0.1315607</v>
      </c>
      <c r="W8387">
        <v>2.3936200000000001E-2</v>
      </c>
      <c r="X8387">
        <v>0.99101910000000004</v>
      </c>
      <c r="Y8387">
        <v>-0.351491</v>
      </c>
      <c r="Z8387">
        <v>4.2987890000000001E-2</v>
      </c>
      <c r="AA8387">
        <v>0.93520380000000003</v>
      </c>
      <c r="AB8387">
        <v>29</v>
      </c>
      <c r="AC8387">
        <v>14.001300000000001</v>
      </c>
      <c r="AD8387">
        <v>-1.1154380277089999</v>
      </c>
      <c r="AE8387">
        <v>-0.332430000000002</v>
      </c>
      <c r="AF8387">
        <v>-4.9904932541201799</v>
      </c>
      <c r="AG8387">
        <v>-1.1154380277089999</v>
      </c>
      <c r="AH8387">
        <v>12.9914188038404</v>
      </c>
      <c r="AI8387">
        <v>94.582432561256098</v>
      </c>
      <c r="AJ8387">
        <v>111.01366300744699</v>
      </c>
      <c r="AK8387">
        <v>13.9615968803664</v>
      </c>
      <c r="AL8387">
        <v>88.628425780134606</v>
      </c>
      <c r="AM8387">
        <v>97.561967706579907</v>
      </c>
      <c r="AN8387">
        <v>1.0000000080098701</v>
      </c>
    </row>
    <row r="8388" spans="1:40" x14ac:dyDescent="0.25">
      <c r="A8388" t="str">
        <f>"20190312150853860"</f>
        <v>20190312150853860</v>
      </c>
      <c r="B8388" t="str">
        <f>"1552374533858811"</f>
        <v>1552374533858811</v>
      </c>
      <c r="C8388" t="s">
        <v>40</v>
      </c>
      <c r="D8388">
        <v>4.8535320000000004</v>
      </c>
      <c r="E8388">
        <v>0.41482740000000001</v>
      </c>
      <c r="F8388" t="s">
        <v>81</v>
      </c>
      <c r="G8388">
        <v>-383.52370000000002</v>
      </c>
      <c r="H8388" s="1">
        <v>-3.143744E-6</v>
      </c>
      <c r="I8388">
        <v>19.154450000000001</v>
      </c>
      <c r="J8388">
        <v>-397.55930000000001</v>
      </c>
      <c r="K8388">
        <v>1.1154440000000001</v>
      </c>
      <c r="L8388">
        <v>19.49783</v>
      </c>
      <c r="M8388">
        <v>0.92642559999999996</v>
      </c>
      <c r="N8388">
        <v>0</v>
      </c>
      <c r="O8388">
        <v>-0.37626209999999999</v>
      </c>
      <c r="P8388">
        <v>0.96769320000000003</v>
      </c>
      <c r="Q8388">
        <v>1.306387E-2</v>
      </c>
      <c r="R8388">
        <v>-0.25179240000000003</v>
      </c>
      <c r="S8388">
        <v>3.083221</v>
      </c>
      <c r="T8388">
        <v>-0.24190999999999999</v>
      </c>
      <c r="U8388">
        <v>-8.950806E-2</v>
      </c>
      <c r="V8388">
        <v>-0.1311706</v>
      </c>
      <c r="W8388">
        <v>2.4007219999999999E-2</v>
      </c>
      <c r="X8388">
        <v>0.99106910000000004</v>
      </c>
      <c r="Y8388">
        <v>-0.34707739999999998</v>
      </c>
      <c r="Z8388">
        <v>4.246159E-2</v>
      </c>
      <c r="AA8388">
        <v>0.93687469999999995</v>
      </c>
      <c r="AB8388">
        <v>29</v>
      </c>
      <c r="AC8388">
        <v>14.035599999999899</v>
      </c>
      <c r="AD8388">
        <v>-1.1154471437439999</v>
      </c>
      <c r="AE8388">
        <v>-0.34337999999999902</v>
      </c>
      <c r="AF8388">
        <v>-4.9322186258288996</v>
      </c>
      <c r="AG8388">
        <v>-1.1154471437439999</v>
      </c>
      <c r="AH8388">
        <v>13.050828184474399</v>
      </c>
      <c r="AI8388">
        <v>94.571099025566696</v>
      </c>
      <c r="AJ8388">
        <v>110.702772108066</v>
      </c>
      <c r="AK8388">
        <v>13.996253756063901</v>
      </c>
      <c r="AL8388">
        <v>88.624355476543101</v>
      </c>
      <c r="AM8388">
        <v>97.539427509584698</v>
      </c>
      <c r="AN8388">
        <v>1.00000001694564</v>
      </c>
    </row>
    <row r="8389" spans="1:40" x14ac:dyDescent="0.25">
      <c r="A8389" t="str">
        <f>"20190312150853872"</f>
        <v>20190312150853872</v>
      </c>
      <c r="B8389" t="str">
        <f>"1552374533868570"</f>
        <v>1552374533868570</v>
      </c>
      <c r="C8389" t="s">
        <v>40</v>
      </c>
      <c r="D8389">
        <v>4.8772949999999904</v>
      </c>
      <c r="E8389">
        <v>0.4154465</v>
      </c>
      <c r="F8389" t="s">
        <v>81</v>
      </c>
      <c r="G8389">
        <v>-383.49759999999998</v>
      </c>
      <c r="H8389" s="1">
        <v>-3.1641459999999999E-6</v>
      </c>
      <c r="I8389">
        <v>19.10913</v>
      </c>
      <c r="J8389">
        <v>-397.4323</v>
      </c>
      <c r="K8389">
        <v>1.115453</v>
      </c>
      <c r="L8389">
        <v>19.44989</v>
      </c>
      <c r="M8389">
        <v>0.92766139999999997</v>
      </c>
      <c r="N8389">
        <v>0</v>
      </c>
      <c r="O8389">
        <v>-0.37320510000000001</v>
      </c>
      <c r="P8389">
        <v>0.96845020000000004</v>
      </c>
      <c r="Q8389">
        <v>1.3008789999999999E-2</v>
      </c>
      <c r="R8389">
        <v>-0.2488688</v>
      </c>
      <c r="S8389">
        <v>3.081299</v>
      </c>
      <c r="T8389">
        <v>-0.2444249</v>
      </c>
      <c r="U8389">
        <v>-8.5174559999999996E-2</v>
      </c>
      <c r="V8389">
        <v>-0.130895699999999</v>
      </c>
      <c r="W8389">
        <v>2.3958130000000001E-2</v>
      </c>
      <c r="X8389">
        <v>0.99110659999999895</v>
      </c>
      <c r="Y8389">
        <v>-0.34525230000000001</v>
      </c>
      <c r="Z8389">
        <v>4.2631839999999997E-2</v>
      </c>
      <c r="AA8389">
        <v>0.93754110000000002</v>
      </c>
      <c r="AB8389">
        <v>29</v>
      </c>
      <c r="AC8389">
        <v>13.934699999999999</v>
      </c>
      <c r="AD8389">
        <v>-1.1154561641459999</v>
      </c>
      <c r="AE8389">
        <v>-0.34075999999999901</v>
      </c>
      <c r="AF8389">
        <v>-4.8537045377024501</v>
      </c>
      <c r="AG8389">
        <v>-1.1154561641459999</v>
      </c>
      <c r="AH8389">
        <v>12.971844535446399</v>
      </c>
      <c r="AI8389">
        <v>94.604512895637001</v>
      </c>
      <c r="AJ8389">
        <v>110.514455529391</v>
      </c>
      <c r="AK8389">
        <v>13.895014963836299</v>
      </c>
      <c r="AL8389">
        <v>88.627168890871005</v>
      </c>
      <c r="AM8389">
        <v>97.523526588947107</v>
      </c>
      <c r="AN8389">
        <v>0.99999998441757298</v>
      </c>
    </row>
    <row r="8390" spans="1:40" x14ac:dyDescent="0.25">
      <c r="A8390" t="str">
        <f>"20190312150853882"</f>
        <v>20190312150853882</v>
      </c>
      <c r="B8390" t="str">
        <f>"1552374533878330"</f>
        <v>1552374533878330</v>
      </c>
      <c r="C8390" t="s">
        <v>40</v>
      </c>
      <c r="D8390">
        <v>4.8506910000000003</v>
      </c>
      <c r="E8390">
        <v>0.41589140000000002</v>
      </c>
      <c r="F8390" t="s">
        <v>81</v>
      </c>
      <c r="G8390">
        <v>-383.96609999999998</v>
      </c>
      <c r="H8390" s="1">
        <v>-2.9444539999999999E-6</v>
      </c>
      <c r="I8390">
        <v>19.099039999999999</v>
      </c>
      <c r="J8390">
        <v>-397.30500000000001</v>
      </c>
      <c r="K8390">
        <v>1.1154599999999999</v>
      </c>
      <c r="L8390">
        <v>19.402069999999998</v>
      </c>
      <c r="M8390">
        <v>0.92889080000000002</v>
      </c>
      <c r="N8390">
        <v>0</v>
      </c>
      <c r="O8390">
        <v>-0.37013400000000002</v>
      </c>
      <c r="P8390">
        <v>0.96924270000000001</v>
      </c>
      <c r="Q8390">
        <v>1.2872349999999999E-2</v>
      </c>
      <c r="R8390">
        <v>-0.24576980000000001</v>
      </c>
      <c r="S8390">
        <v>3.0805660000000001</v>
      </c>
      <c r="T8390">
        <v>-0.25517440000000002</v>
      </c>
      <c r="U8390">
        <v>-8.0261230000000003E-2</v>
      </c>
      <c r="V8390">
        <v>-0.13078600000000001</v>
      </c>
      <c r="W8390">
        <v>2.3825599999999999E-2</v>
      </c>
      <c r="X8390">
        <v>0.99112429999999996</v>
      </c>
      <c r="Y8390">
        <v>-0.34345360000000003</v>
      </c>
      <c r="Z8390">
        <v>4.4201369999999997E-2</v>
      </c>
      <c r="AA8390">
        <v>0.93812890000000004</v>
      </c>
      <c r="AB8390">
        <v>29</v>
      </c>
      <c r="AC8390">
        <v>13.338900000000001</v>
      </c>
      <c r="AD8390">
        <v>-1.1154629444540001</v>
      </c>
      <c r="AE8390">
        <v>-0.30303000000000302</v>
      </c>
      <c r="AF8390">
        <v>-4.6237596559360297</v>
      </c>
      <c r="AG8390">
        <v>-1.1154629444540001</v>
      </c>
      <c r="AH8390">
        <v>12.4167733754271</v>
      </c>
      <c r="AI8390">
        <v>94.8122455068427</v>
      </c>
      <c r="AJ8390">
        <v>110.42433079918101</v>
      </c>
      <c r="AK8390">
        <v>13.2966037766426</v>
      </c>
      <c r="AL8390">
        <v>88.6347645003829</v>
      </c>
      <c r="AM8390">
        <v>97.517160760247606</v>
      </c>
      <c r="AN8390">
        <v>1.0000000075309201</v>
      </c>
    </row>
    <row r="8391" spans="1:40" x14ac:dyDescent="0.25">
      <c r="A8391" t="str">
        <f>"20190312150853892"</f>
        <v>20190312150853892</v>
      </c>
      <c r="B8391" t="str">
        <f>"1552374533888090"</f>
        <v>1552374533888090</v>
      </c>
      <c r="C8391" t="s">
        <v>40</v>
      </c>
      <c r="D8391">
        <v>4.8617610000000004</v>
      </c>
      <c r="E8391">
        <v>0.41635139999999998</v>
      </c>
      <c r="F8391" t="s">
        <v>81</v>
      </c>
      <c r="G8391">
        <v>-383.86219999999997</v>
      </c>
      <c r="H8391" s="1">
        <v>-2.997052E-6</v>
      </c>
      <c r="I8391">
        <v>19.07931</v>
      </c>
      <c r="J8391">
        <v>-397.18090000000001</v>
      </c>
      <c r="K8391">
        <v>1.1154679999999999</v>
      </c>
      <c r="L8391">
        <v>19.35614</v>
      </c>
      <c r="M8391">
        <v>0.93008150000000001</v>
      </c>
      <c r="N8391">
        <v>0</v>
      </c>
      <c r="O8391">
        <v>-0.36713190000000001</v>
      </c>
      <c r="P8391">
        <v>0.96999780000000002</v>
      </c>
      <c r="Q8391">
        <v>1.29179E-2</v>
      </c>
      <c r="R8391">
        <v>-0.24277109999999999</v>
      </c>
      <c r="S8391">
        <v>3.0797729999999999</v>
      </c>
      <c r="T8391">
        <v>-0.25555539999999999</v>
      </c>
      <c r="U8391">
        <v>-7.3944090000000004E-2</v>
      </c>
      <c r="V8391">
        <v>-0.13065109999999999</v>
      </c>
      <c r="W8391">
        <v>2.387423E-2</v>
      </c>
      <c r="X8391">
        <v>0.99114089999999999</v>
      </c>
      <c r="Y8391">
        <v>-0.34234369999999997</v>
      </c>
      <c r="Z8391">
        <v>4.400275E-2</v>
      </c>
      <c r="AA8391">
        <v>0.93854389999999999</v>
      </c>
      <c r="AB8391">
        <v>29</v>
      </c>
      <c r="AC8391">
        <v>13.3187</v>
      </c>
      <c r="AD8391">
        <v>-1.115470997052</v>
      </c>
      <c r="AE8391">
        <v>-0.27683000000000002</v>
      </c>
      <c r="AF8391">
        <v>-4.6003667029238198</v>
      </c>
      <c r="AG8391">
        <v>-1.115470997052</v>
      </c>
      <c r="AH8391">
        <v>12.403161269393699</v>
      </c>
      <c r="AI8391">
        <v>94.819850271521005</v>
      </c>
      <c r="AJ8391">
        <v>110.349956099712</v>
      </c>
      <c r="AK8391">
        <v>13.2757696131419</v>
      </c>
      <c r="AL8391">
        <v>88.631977384702097</v>
      </c>
      <c r="AM8391">
        <v>97.509371338949194</v>
      </c>
      <c r="AN8391">
        <v>0.99999998622105601</v>
      </c>
    </row>
    <row r="8392" spans="1:40" x14ac:dyDescent="0.25">
      <c r="A8392" t="str">
        <f>"20190312150853903"</f>
        <v>20190312150853903</v>
      </c>
      <c r="B8392" t="str">
        <f>"1552374533897850"</f>
        <v>1552374533897850</v>
      </c>
      <c r="C8392" t="s">
        <v>40</v>
      </c>
      <c r="D8392">
        <v>4.8673339999999996</v>
      </c>
      <c r="E8392">
        <v>0.41680820000000002</v>
      </c>
      <c r="F8392" t="s">
        <v>81</v>
      </c>
      <c r="G8392">
        <v>-383.709</v>
      </c>
      <c r="H8392" s="1">
        <v>-3.073212E-6</v>
      </c>
      <c r="I8392">
        <v>19.058260000000001</v>
      </c>
      <c r="J8392">
        <v>-397.04750000000001</v>
      </c>
      <c r="K8392">
        <v>1.115478</v>
      </c>
      <c r="L8392">
        <v>19.306979999999999</v>
      </c>
      <c r="M8392">
        <v>0.93135000000000001</v>
      </c>
      <c r="N8392">
        <v>0</v>
      </c>
      <c r="O8392">
        <v>-0.36390159999999999</v>
      </c>
      <c r="P8392">
        <v>0.97082409999999997</v>
      </c>
      <c r="Q8392">
        <v>1.3043859999999999E-2</v>
      </c>
      <c r="R8392">
        <v>-0.2394375</v>
      </c>
      <c r="S8392">
        <v>3.0791629999999999</v>
      </c>
      <c r="T8392">
        <v>-0.25495519999999999</v>
      </c>
      <c r="U8392">
        <v>-6.8084720000000001E-2</v>
      </c>
      <c r="V8392">
        <v>-0.1306167</v>
      </c>
      <c r="W8392">
        <v>2.4001979999999999E-2</v>
      </c>
      <c r="X8392">
        <v>0.99114239999999998</v>
      </c>
      <c r="Y8392">
        <v>-0.34089049999999999</v>
      </c>
      <c r="Z8392">
        <v>4.360058E-2</v>
      </c>
      <c r="AA8392">
        <v>0.93909140000000002</v>
      </c>
      <c r="AB8392">
        <v>29</v>
      </c>
      <c r="AC8392">
        <v>13.3385</v>
      </c>
      <c r="AD8392">
        <v>-1.115481073212</v>
      </c>
      <c r="AE8392">
        <v>-0.248719999999998</v>
      </c>
      <c r="AF8392">
        <v>-4.5905384810307996</v>
      </c>
      <c r="AG8392">
        <v>-1.115481073212</v>
      </c>
      <c r="AH8392">
        <v>12.427455934190901</v>
      </c>
      <c r="AI8392">
        <v>94.812878794280394</v>
      </c>
      <c r="AJ8392">
        <v>110.27356563407901</v>
      </c>
      <c r="AK8392">
        <v>13.2950743723672</v>
      </c>
      <c r="AL8392">
        <v>88.624655820849298</v>
      </c>
      <c r="AM8392">
        <v>97.507405470092195</v>
      </c>
      <c r="AN8392">
        <v>1.00000003722028</v>
      </c>
    </row>
    <row r="8393" spans="1:40" x14ac:dyDescent="0.25">
      <c r="A8393" t="str">
        <f>"20190312150853915"</f>
        <v>20190312150853915</v>
      </c>
      <c r="B8393" t="str">
        <f>"1552374533908586"</f>
        <v>1552374533908586</v>
      </c>
      <c r="C8393" t="s">
        <v>40</v>
      </c>
      <c r="D8393">
        <v>4.8867209999999996</v>
      </c>
      <c r="E8393">
        <v>0.4171242</v>
      </c>
      <c r="F8393" t="s">
        <v>81</v>
      </c>
      <c r="G8393">
        <v>-383.39589999999998</v>
      </c>
      <c r="H8393" s="1">
        <v>-3.225267E-6</v>
      </c>
      <c r="I8393">
        <v>19.035489999999999</v>
      </c>
      <c r="J8393">
        <v>-396.92219999999998</v>
      </c>
      <c r="K8393">
        <v>1.1154869999999999</v>
      </c>
      <c r="L8393">
        <v>19.26172</v>
      </c>
      <c r="M8393">
        <v>0.93253339999999996</v>
      </c>
      <c r="N8393">
        <v>0</v>
      </c>
      <c r="O8393">
        <v>-0.36085800000000001</v>
      </c>
      <c r="P8393">
        <v>0.97162839999999995</v>
      </c>
      <c r="Q8393">
        <v>1.313479E-2</v>
      </c>
      <c r="R8393">
        <v>-0.236148</v>
      </c>
      <c r="S8393">
        <v>3.0783689999999999</v>
      </c>
      <c r="T8393">
        <v>-0.25153589999999998</v>
      </c>
      <c r="U8393">
        <v>-6.1218259999999997E-2</v>
      </c>
      <c r="V8393">
        <v>-0.1307384</v>
      </c>
      <c r="W8393">
        <v>2.4092079999999998E-2</v>
      </c>
      <c r="X8393">
        <v>0.99112420000000001</v>
      </c>
      <c r="Y8393">
        <v>-0.33998450000000002</v>
      </c>
      <c r="Z8393">
        <v>4.2761830000000001E-2</v>
      </c>
      <c r="AA8393">
        <v>0.93945829999999997</v>
      </c>
      <c r="AB8393">
        <v>29</v>
      </c>
      <c r="AC8393">
        <v>13.5262999999999</v>
      </c>
      <c r="AD8393">
        <v>-1.115490225267</v>
      </c>
      <c r="AE8393">
        <v>-0.22623000000000101</v>
      </c>
      <c r="AF8393">
        <v>-4.6389464004055299</v>
      </c>
      <c r="AG8393">
        <v>-1.115490225267</v>
      </c>
      <c r="AH8393">
        <v>12.610656752711799</v>
      </c>
      <c r="AI8393">
        <v>94.745661303897293</v>
      </c>
      <c r="AJ8393">
        <v>110.196510976898</v>
      </c>
      <c r="AK8393">
        <v>13.483056251578001</v>
      </c>
      <c r="AL8393">
        <v>88.619492021520699</v>
      </c>
      <c r="AM8393">
        <v>97.514456885064902</v>
      </c>
      <c r="AN8393">
        <v>1.0000000686894599</v>
      </c>
    </row>
    <row r="8394" spans="1:40" x14ac:dyDescent="0.25">
      <c r="A8394" t="str">
        <f>"20190312150853926"</f>
        <v>20190312150853926</v>
      </c>
      <c r="B8394" t="str">
        <f>"1552374533918346"</f>
        <v>1552374533918346</v>
      </c>
      <c r="C8394" t="s">
        <v>40</v>
      </c>
      <c r="D8394">
        <v>4.8727510000000001</v>
      </c>
      <c r="E8394">
        <v>0.41748550000000001</v>
      </c>
      <c r="F8394" t="s">
        <v>81</v>
      </c>
      <c r="G8394">
        <v>-383.2396</v>
      </c>
      <c r="H8394" s="1">
        <v>-3.3010790000000001E-6</v>
      </c>
      <c r="I8394">
        <v>19.02459</v>
      </c>
      <c r="J8394">
        <v>-396.78649999999999</v>
      </c>
      <c r="K8394">
        <v>1.1154980000000001</v>
      </c>
      <c r="L8394">
        <v>19.212800000000001</v>
      </c>
      <c r="M8394">
        <v>0.933805</v>
      </c>
      <c r="N8394">
        <v>0</v>
      </c>
      <c r="O8394">
        <v>-0.3575546</v>
      </c>
      <c r="P8394">
        <v>0.97245630000000005</v>
      </c>
      <c r="Q8394">
        <v>1.3213559999999999E-2</v>
      </c>
      <c r="R8394">
        <v>-0.23271049999999999</v>
      </c>
      <c r="S8394">
        <v>3.078033</v>
      </c>
      <c r="T8394">
        <v>-0.25094</v>
      </c>
      <c r="U8394">
        <v>-5.334473E-2</v>
      </c>
      <c r="V8394">
        <v>-0.1307362</v>
      </c>
      <c r="W8394">
        <v>2.4170730000000001E-2</v>
      </c>
      <c r="X8394">
        <v>0.99112250000000002</v>
      </c>
      <c r="Y8394">
        <v>-0.33908110000000002</v>
      </c>
      <c r="Z8394">
        <v>4.2379269999999997E-2</v>
      </c>
      <c r="AA8394">
        <v>0.93980209999999997</v>
      </c>
      <c r="AB8394">
        <v>29</v>
      </c>
      <c r="AC8394">
        <v>13.5468999999999</v>
      </c>
      <c r="AD8394">
        <v>-1.11550130107899</v>
      </c>
      <c r="AE8394">
        <v>-0.18821000000000099</v>
      </c>
      <c r="AF8394">
        <v>-4.6369506229671904</v>
      </c>
      <c r="AG8394">
        <v>-1.11550130107899</v>
      </c>
      <c r="AH8394">
        <v>12.6328542002669</v>
      </c>
      <c r="AI8394">
        <v>94.738635602432396</v>
      </c>
      <c r="AJ8394">
        <v>110.155907271041</v>
      </c>
      <c r="AK8394">
        <v>13.5031351721645</v>
      </c>
      <c r="AL8394">
        <v>88.614984292790794</v>
      </c>
      <c r="AM8394">
        <v>97.514344622073693</v>
      </c>
      <c r="AN8394">
        <v>0.99999999409271101</v>
      </c>
    </row>
    <row r="8395" spans="1:40" x14ac:dyDescent="0.25">
      <c r="A8395" t="str">
        <f>"20190312150853936"</f>
        <v>20190312150853936</v>
      </c>
      <c r="B8395" t="str">
        <f>"1552374533928106"</f>
        <v>1552374533928106</v>
      </c>
      <c r="C8395" t="s">
        <v>40</v>
      </c>
      <c r="D8395">
        <v>4.8821019999999997</v>
      </c>
      <c r="E8395">
        <v>0.41791469999999997</v>
      </c>
      <c r="F8395" t="s">
        <v>81</v>
      </c>
      <c r="G8395">
        <v>-383.05380000000002</v>
      </c>
      <c r="H8395" s="1">
        <v>-3.3914210000000002E-6</v>
      </c>
      <c r="I8395">
        <v>19.010570000000001</v>
      </c>
      <c r="J8395">
        <v>-396.65559999999999</v>
      </c>
      <c r="K8395">
        <v>1.1155120000000001</v>
      </c>
      <c r="L8395">
        <v>19.166440000000001</v>
      </c>
      <c r="M8395">
        <v>0.93502339999999995</v>
      </c>
      <c r="N8395">
        <v>0</v>
      </c>
      <c r="O8395">
        <v>-0.3543559</v>
      </c>
      <c r="P8395">
        <v>0.97326310000000005</v>
      </c>
      <c r="Q8395">
        <v>1.336883E-2</v>
      </c>
      <c r="R8395">
        <v>-0.22930439999999999</v>
      </c>
      <c r="S8395">
        <v>3.077515</v>
      </c>
      <c r="T8395">
        <v>-0.2499846</v>
      </c>
      <c r="U8395">
        <v>-4.5318600000000001E-2</v>
      </c>
      <c r="V8395">
        <v>-0.13081599999999999</v>
      </c>
      <c r="W8395">
        <v>2.4324700000000001E-2</v>
      </c>
      <c r="X8395">
        <v>0.99110819999999999</v>
      </c>
      <c r="Y8395">
        <v>-0.338339</v>
      </c>
      <c r="Z8395">
        <v>4.1954440000000003E-2</v>
      </c>
      <c r="AA8395">
        <v>0.94008860000000005</v>
      </c>
      <c r="AB8395">
        <v>29</v>
      </c>
      <c r="AC8395">
        <v>13.6017999999999</v>
      </c>
      <c r="AD8395">
        <v>-1.1155153914210001</v>
      </c>
      <c r="AE8395">
        <v>-0.15586999999999601</v>
      </c>
      <c r="AF8395">
        <v>-4.6432905143026701</v>
      </c>
      <c r="AG8395">
        <v>-1.1155153914210001</v>
      </c>
      <c r="AH8395">
        <v>12.6889418494011</v>
      </c>
      <c r="AI8395">
        <v>94.719548074397494</v>
      </c>
      <c r="AJ8395">
        <v>110.09919242179301</v>
      </c>
      <c r="AK8395">
        <v>13.5577935758807</v>
      </c>
      <c r="AL8395">
        <v>88.606159861995593</v>
      </c>
      <c r="AM8395">
        <v>97.518986080647096</v>
      </c>
      <c r="AN8395">
        <v>0.99999999049666499</v>
      </c>
    </row>
    <row r="8396" spans="1:40" x14ac:dyDescent="0.25">
      <c r="A8396" t="str">
        <f>"20190312150853948"</f>
        <v>20190312150853948</v>
      </c>
      <c r="B8396" t="str">
        <f>"1552374533937869"</f>
        <v>1552374533937869</v>
      </c>
      <c r="C8396" t="s">
        <v>40</v>
      </c>
      <c r="D8396">
        <v>4.8862779999999999</v>
      </c>
      <c r="E8396">
        <v>0.4186202</v>
      </c>
      <c r="F8396" t="s">
        <v>81</v>
      </c>
      <c r="G8396">
        <v>-382.90179999999998</v>
      </c>
      <c r="H8396" s="1">
        <v>-3.4656509999999998E-6</v>
      </c>
      <c r="I8396">
        <v>18.997019999999999</v>
      </c>
      <c r="J8396">
        <v>-396.52710000000002</v>
      </c>
      <c r="K8396">
        <v>1.1155219999999999</v>
      </c>
      <c r="L8396">
        <v>19.121220000000001</v>
      </c>
      <c r="M8396">
        <v>0.93620999999999999</v>
      </c>
      <c r="N8396">
        <v>0</v>
      </c>
      <c r="O8396">
        <v>-0.3512091</v>
      </c>
      <c r="P8396">
        <v>0.9740953</v>
      </c>
      <c r="Q8396">
        <v>1.3546539999999999E-2</v>
      </c>
      <c r="R8396">
        <v>-0.22573170000000001</v>
      </c>
      <c r="S8396">
        <v>3.0769039999999999</v>
      </c>
      <c r="T8396">
        <v>-0.24955569999999999</v>
      </c>
      <c r="U8396">
        <v>-3.7902829999999998E-2</v>
      </c>
      <c r="V8396">
        <v>-0.1311213</v>
      </c>
      <c r="W8396">
        <v>2.4497749999999999E-2</v>
      </c>
      <c r="X8396">
        <v>0.99106360000000004</v>
      </c>
      <c r="Y8396">
        <v>-0.33745760000000002</v>
      </c>
      <c r="Z8396">
        <v>4.1617769999999998E-2</v>
      </c>
      <c r="AA8396">
        <v>0.94042029999999999</v>
      </c>
      <c r="AB8396">
        <v>29</v>
      </c>
      <c r="AC8396">
        <v>13.625299999999999</v>
      </c>
      <c r="AD8396">
        <v>-1.1155254656510001</v>
      </c>
      <c r="AE8396">
        <v>-0.12419999999999801</v>
      </c>
      <c r="AF8396">
        <v>-4.6383445821300198</v>
      </c>
      <c r="AG8396">
        <v>-1.1155254656510001</v>
      </c>
      <c r="AH8396">
        <v>12.7155806299312</v>
      </c>
      <c r="AI8396">
        <v>94.711494325822898</v>
      </c>
      <c r="AJ8396">
        <v>110.040779535355</v>
      </c>
      <c r="AK8396">
        <v>13.581039293197399</v>
      </c>
      <c r="AL8396">
        <v>88.596241881050503</v>
      </c>
      <c r="AM8396">
        <v>97.536667766614002</v>
      </c>
      <c r="AN8396">
        <v>0.99999999715685595</v>
      </c>
    </row>
    <row r="8397" spans="1:40" x14ac:dyDescent="0.25">
      <c r="A8397" t="str">
        <f>"20190312150853960"</f>
        <v>20190312150853960</v>
      </c>
      <c r="B8397" t="str">
        <f>"1552374533948602"</f>
        <v>1552374533948602</v>
      </c>
      <c r="C8397" t="s">
        <v>40</v>
      </c>
      <c r="D8397">
        <v>4.912941</v>
      </c>
      <c r="E8397">
        <v>0.41912270000000001</v>
      </c>
      <c r="F8397" t="s">
        <v>81</v>
      </c>
      <c r="G8397">
        <v>-382.84960000000001</v>
      </c>
      <c r="H8397" s="1">
        <v>-3.4935870000000002E-6</v>
      </c>
      <c r="I8397">
        <v>18.978729999999999</v>
      </c>
      <c r="J8397">
        <v>-396.37700000000001</v>
      </c>
      <c r="K8397">
        <v>1.1155360000000001</v>
      </c>
      <c r="L8397">
        <v>19.06915</v>
      </c>
      <c r="M8397">
        <v>0.93758359999999996</v>
      </c>
      <c r="N8397">
        <v>0</v>
      </c>
      <c r="O8397">
        <v>-0.34752499999999997</v>
      </c>
      <c r="P8397">
        <v>0.97498180000000001</v>
      </c>
      <c r="Q8397">
        <v>1.364055E-2</v>
      </c>
      <c r="R8397">
        <v>-0.22186549999999999</v>
      </c>
      <c r="S8397">
        <v>3.0758359999999998</v>
      </c>
      <c r="T8397">
        <v>-0.25086190000000003</v>
      </c>
      <c r="U8397">
        <v>-3.2043460000000003E-2</v>
      </c>
      <c r="V8397">
        <v>-0.13115739999999901</v>
      </c>
      <c r="W8397">
        <v>2.4590219999999999E-2</v>
      </c>
      <c r="X8397">
        <v>0.99105659999999896</v>
      </c>
      <c r="Y8397">
        <v>-0.33553810000000001</v>
      </c>
      <c r="Z8397">
        <v>4.1489640000000001E-2</v>
      </c>
      <c r="AA8397">
        <v>0.94111250000000002</v>
      </c>
      <c r="AB8397">
        <v>29</v>
      </c>
      <c r="AC8397">
        <v>13.527399999999901</v>
      </c>
      <c r="AD8397">
        <v>-1.115539493587</v>
      </c>
      <c r="AE8397">
        <v>-9.0420000000001693E-2</v>
      </c>
      <c r="AF8397">
        <v>-4.5855279832990998</v>
      </c>
      <c r="AG8397">
        <v>-1.115539493587</v>
      </c>
      <c r="AH8397">
        <v>12.629646146219599</v>
      </c>
      <c r="AI8397">
        <v>94.746046039596393</v>
      </c>
      <c r="AJ8397">
        <v>109.954770980021</v>
      </c>
      <c r="AK8397">
        <v>13.482561219074499</v>
      </c>
      <c r="AL8397">
        <v>88.590942237189793</v>
      </c>
      <c r="AM8397">
        <v>97.538771516475606</v>
      </c>
      <c r="AN8397">
        <v>1.0000000634489801</v>
      </c>
    </row>
    <row r="8398" spans="1:40" x14ac:dyDescent="0.25">
      <c r="A8398" t="str">
        <f>"20190312150853973"</f>
        <v>20190312150853973</v>
      </c>
      <c r="B8398" t="str">
        <f>"1552374533968122"</f>
        <v>1552374533968122</v>
      </c>
      <c r="C8398" t="s">
        <v>40</v>
      </c>
      <c r="D8398">
        <v>4.8986879999999999</v>
      </c>
      <c r="E8398">
        <v>0.4197186</v>
      </c>
      <c r="F8398" t="s">
        <v>81</v>
      </c>
      <c r="G8398">
        <v>-382.75389999999999</v>
      </c>
      <c r="H8398" s="1">
        <v>-3.541375E-6</v>
      </c>
      <c r="I8398">
        <v>18.96424</v>
      </c>
      <c r="J8398">
        <v>-396.22840000000002</v>
      </c>
      <c r="K8398">
        <v>1.1155520000000001</v>
      </c>
      <c r="L8398">
        <v>19.018280000000001</v>
      </c>
      <c r="M8398">
        <v>0.93893260000000001</v>
      </c>
      <c r="N8398">
        <v>0</v>
      </c>
      <c r="O8398">
        <v>-0.34386359999999999</v>
      </c>
      <c r="P8398">
        <v>0.97587729999999995</v>
      </c>
      <c r="Q8398">
        <v>1.360604E-2</v>
      </c>
      <c r="R8398">
        <v>-0.2178959</v>
      </c>
      <c r="S8398">
        <v>3.0750730000000002</v>
      </c>
      <c r="T8398">
        <v>-0.2518048</v>
      </c>
      <c r="U8398">
        <v>-2.368164E-2</v>
      </c>
      <c r="V8398">
        <v>-0.1313243</v>
      </c>
      <c r="W8398">
        <v>2.4553040000000002E-2</v>
      </c>
      <c r="X8398">
        <v>0.99103529999999995</v>
      </c>
      <c r="Y8398">
        <v>-0.33441779999999999</v>
      </c>
      <c r="Z8398">
        <v>4.132922E-2</v>
      </c>
      <c r="AA8398">
        <v>0.94151819999999997</v>
      </c>
      <c r="AB8398">
        <v>29</v>
      </c>
      <c r="AC8398">
        <v>13.474500000000001</v>
      </c>
      <c r="AD8398">
        <v>-1.115555541375</v>
      </c>
      <c r="AE8398">
        <v>-5.4039999999996903E-2</v>
      </c>
      <c r="AF8398">
        <v>-4.55182595699078</v>
      </c>
      <c r="AG8398">
        <v>-1.115555541375</v>
      </c>
      <c r="AH8398">
        <v>12.585006152432801</v>
      </c>
      <c r="AI8398">
        <v>94.764982995240501</v>
      </c>
      <c r="AJ8398">
        <v>109.884369796241</v>
      </c>
      <c r="AK8398">
        <v>13.4292949764833</v>
      </c>
      <c r="AL8398">
        <v>88.593072970403796</v>
      </c>
      <c r="AM8398">
        <v>97.548414545931394</v>
      </c>
      <c r="AN8398">
        <v>0.99999994469490905</v>
      </c>
    </row>
    <row r="8399" spans="1:40" x14ac:dyDescent="0.25">
      <c r="A8399" t="str">
        <f>"20190312150853986"</f>
        <v>20190312150853986</v>
      </c>
      <c r="B8399" t="str">
        <f>"1552374533977884"</f>
        <v>1552374533977884</v>
      </c>
      <c r="C8399" t="s">
        <v>40</v>
      </c>
      <c r="D8399">
        <v>4.8729589999999998</v>
      </c>
      <c r="E8399">
        <v>0.4203402</v>
      </c>
      <c r="F8399" t="s">
        <v>81</v>
      </c>
      <c r="G8399">
        <v>-382.61799999999999</v>
      </c>
      <c r="H8399" s="1">
        <v>-3.6083689999999998E-6</v>
      </c>
      <c r="I8399">
        <v>18.948699999999999</v>
      </c>
      <c r="J8399">
        <v>-396.07170000000002</v>
      </c>
      <c r="K8399">
        <v>1.115567</v>
      </c>
      <c r="L8399">
        <v>18.965119999999999</v>
      </c>
      <c r="M8399">
        <v>0.94034119999999999</v>
      </c>
      <c r="N8399">
        <v>0</v>
      </c>
      <c r="O8399">
        <v>-0.33999289999999999</v>
      </c>
      <c r="P8399">
        <v>0.97676669999999999</v>
      </c>
      <c r="Q8399">
        <v>1.365659E-2</v>
      </c>
      <c r="R8399">
        <v>-0.2138709</v>
      </c>
      <c r="S8399">
        <v>3.0741580000000002</v>
      </c>
      <c r="T8399">
        <v>-0.2519689</v>
      </c>
      <c r="U8399">
        <v>-1.5716549999999999E-2</v>
      </c>
      <c r="V8399">
        <v>-0.1313289</v>
      </c>
      <c r="W8399">
        <v>2.4602619999999999E-2</v>
      </c>
      <c r="X8399">
        <v>0.99103350000000001</v>
      </c>
      <c r="Y8399">
        <v>-0.3329877</v>
      </c>
      <c r="Z8399">
        <v>4.1012090000000001E-2</v>
      </c>
      <c r="AA8399">
        <v>0.94203879999999995</v>
      </c>
      <c r="AB8399">
        <v>29</v>
      </c>
      <c r="AC8399">
        <v>13.4536999999999</v>
      </c>
      <c r="AD8399">
        <v>-1.115570608369</v>
      </c>
      <c r="AE8399">
        <v>-1.6420000000003598E-2</v>
      </c>
      <c r="AF8399">
        <v>-4.5279618288492296</v>
      </c>
      <c r="AG8399">
        <v>-1.115570608369</v>
      </c>
      <c r="AH8399">
        <v>12.5712495825742</v>
      </c>
      <c r="AI8399">
        <v>94.772516106931405</v>
      </c>
      <c r="AJ8399">
        <v>109.80820412713</v>
      </c>
      <c r="AK8399">
        <v>13.4083277172489</v>
      </c>
      <c r="AL8399">
        <v>88.590231441834206</v>
      </c>
      <c r="AM8399">
        <v>97.548689453649502</v>
      </c>
      <c r="AN8399">
        <v>0.99999998350416197</v>
      </c>
    </row>
    <row r="8400" spans="1:40" x14ac:dyDescent="0.25">
      <c r="A8400" t="str">
        <f>"20190312150854004"</f>
        <v>20190312150854004</v>
      </c>
      <c r="B8400" t="str">
        <f>"1552374533998378"</f>
        <v>1552374533998378</v>
      </c>
      <c r="C8400" t="s">
        <v>40</v>
      </c>
      <c r="D8400">
        <v>4.8651809999999998</v>
      </c>
      <c r="E8400">
        <v>0.42143350000000002</v>
      </c>
      <c r="F8400" t="s">
        <v>81</v>
      </c>
      <c r="G8400">
        <v>-382.47190000000001</v>
      </c>
      <c r="H8400" s="1">
        <v>-3.6806879999999999E-6</v>
      </c>
      <c r="I8400">
        <v>18.930409999999998</v>
      </c>
      <c r="J8400">
        <v>-395.86360000000002</v>
      </c>
      <c r="K8400">
        <v>1.1155839999999999</v>
      </c>
      <c r="L8400">
        <v>18.895900000000001</v>
      </c>
      <c r="M8400">
        <v>0.94218999999999997</v>
      </c>
      <c r="N8400">
        <v>0</v>
      </c>
      <c r="O8400">
        <v>-0.3348353</v>
      </c>
      <c r="P8400">
        <v>0.97789599999999999</v>
      </c>
      <c r="Q8400">
        <v>1.3723610000000001E-2</v>
      </c>
      <c r="R8400">
        <v>-0.2086421</v>
      </c>
      <c r="S8400">
        <v>3.0731510000000002</v>
      </c>
      <c r="T8400">
        <v>-0.2520868</v>
      </c>
      <c r="U8400">
        <v>-7.8430180000000002E-3</v>
      </c>
      <c r="V8400">
        <v>-0.13120200000000001</v>
      </c>
      <c r="W8400">
        <v>2.4670310000000001E-2</v>
      </c>
      <c r="X8400">
        <v>0.99104859999999995</v>
      </c>
      <c r="Y8400">
        <v>-0.33025680000000002</v>
      </c>
      <c r="Z8400">
        <v>4.0533699999999999E-2</v>
      </c>
      <c r="AA8400">
        <v>0.94302030000000003</v>
      </c>
      <c r="AB8400">
        <v>29</v>
      </c>
      <c r="AC8400">
        <v>13.3917</v>
      </c>
      <c r="AD8400">
        <v>-1.1155876806879901</v>
      </c>
      <c r="AE8400">
        <v>3.4510000000000901E-2</v>
      </c>
      <c r="AF8400">
        <v>-4.4857683985718397</v>
      </c>
      <c r="AG8400">
        <v>-1.1155876806879901</v>
      </c>
      <c r="AH8400">
        <v>12.520115891970599</v>
      </c>
      <c r="AI8400">
        <v>94.794872838282004</v>
      </c>
      <c r="AJ8400">
        <v>109.71183493545701</v>
      </c>
      <c r="AK8400">
        <v>13.3461588461739</v>
      </c>
      <c r="AL8400">
        <v>88.586351877260697</v>
      </c>
      <c r="AM8400">
        <v>97.541365746213003</v>
      </c>
      <c r="AN8400">
        <v>0.99999995828072696</v>
      </c>
    </row>
    <row r="8401" spans="1:40" x14ac:dyDescent="0.25">
      <c r="A8401" t="str">
        <f>"20190312150854016"</f>
        <v>20190312150854016</v>
      </c>
      <c r="B8401" t="str">
        <f>"1552374534008139"</f>
        <v>1552374534008139</v>
      </c>
      <c r="C8401" t="s">
        <v>40</v>
      </c>
      <c r="D8401">
        <v>4.8923579999999998</v>
      </c>
      <c r="E8401">
        <v>0.42197689999999999</v>
      </c>
      <c r="F8401" t="s">
        <v>81</v>
      </c>
      <c r="G8401">
        <v>-382.3107</v>
      </c>
      <c r="H8401" s="1">
        <v>-3.762946E-6</v>
      </c>
      <c r="I8401">
        <v>18.89631</v>
      </c>
      <c r="J8401">
        <v>-395.70179999999999</v>
      </c>
      <c r="K8401">
        <v>1.115599</v>
      </c>
      <c r="L8401">
        <v>18.843109999999999</v>
      </c>
      <c r="M8401">
        <v>0.94361209999999995</v>
      </c>
      <c r="N8401">
        <v>0</v>
      </c>
      <c r="O8401">
        <v>-0.3308065</v>
      </c>
      <c r="P8401">
        <v>0.97875330000000005</v>
      </c>
      <c r="Q8401">
        <v>1.373869E-2</v>
      </c>
      <c r="R8401">
        <v>-0.2045815</v>
      </c>
      <c r="S8401">
        <v>3.0713499999999998</v>
      </c>
      <c r="T8401">
        <v>-0.2528127</v>
      </c>
      <c r="U8401" s="1">
        <v>9.1552730000000004E-5</v>
      </c>
      <c r="V8401">
        <v>-0.1310819</v>
      </c>
      <c r="W8401">
        <v>2.4686039999999999E-2</v>
      </c>
      <c r="X8401">
        <v>0.9910641</v>
      </c>
      <c r="Y8401">
        <v>-0.3286636</v>
      </c>
      <c r="Z8401">
        <v>4.029543E-2</v>
      </c>
      <c r="AA8401">
        <v>0.94358699999999995</v>
      </c>
      <c r="AB8401">
        <v>29</v>
      </c>
      <c r="AC8401">
        <v>13.3910999999999</v>
      </c>
      <c r="AD8401">
        <v>-1.1156027629459999</v>
      </c>
      <c r="AE8401">
        <v>5.3200000000000303E-2</v>
      </c>
      <c r="AF8401">
        <v>-4.4495475422333399</v>
      </c>
      <c r="AG8401">
        <v>-1.1156027629459999</v>
      </c>
      <c r="AH8401">
        <v>12.532455963995</v>
      </c>
      <c r="AI8401">
        <v>94.795132919822194</v>
      </c>
      <c r="AJ8401">
        <v>109.54699659979801</v>
      </c>
      <c r="AK8401">
        <v>13.345617083700599</v>
      </c>
      <c r="AL8401">
        <v>88.585450339215299</v>
      </c>
      <c r="AM8401">
        <v>97.534425373827901</v>
      </c>
      <c r="AN8401">
        <v>0.99999995769364902</v>
      </c>
    </row>
    <row r="8402" spans="1:40" x14ac:dyDescent="0.25">
      <c r="A8402" t="str">
        <f>"20190312150854029"</f>
        <v>20190312150854029</v>
      </c>
      <c r="B8402" t="str">
        <f>"1552374534017898"</f>
        <v>1552374534017898</v>
      </c>
      <c r="C8402" t="s">
        <v>40</v>
      </c>
      <c r="D8402">
        <v>4.8593000000000002</v>
      </c>
      <c r="E8402">
        <v>0.4225199</v>
      </c>
      <c r="F8402" t="s">
        <v>81</v>
      </c>
      <c r="G8402">
        <v>-382.16570000000002</v>
      </c>
      <c r="H8402" s="1">
        <v>-3.8342079999999999E-6</v>
      </c>
      <c r="I8402">
        <v>18.881049999999998</v>
      </c>
      <c r="J8402">
        <v>-395.55259999999998</v>
      </c>
      <c r="K8402">
        <v>1.1156109999999999</v>
      </c>
      <c r="L8402">
        <v>18.794889999999999</v>
      </c>
      <c r="M8402">
        <v>0.94491000000000003</v>
      </c>
      <c r="N8402">
        <v>0</v>
      </c>
      <c r="O8402">
        <v>-0.32707979999999998</v>
      </c>
      <c r="P8402">
        <v>0.97954030000000003</v>
      </c>
      <c r="Q8402">
        <v>1.410252E-2</v>
      </c>
      <c r="R8402">
        <v>-0.20075380000000001</v>
      </c>
      <c r="S8402">
        <v>3.070465</v>
      </c>
      <c r="T8402">
        <v>-0.25305709999999998</v>
      </c>
      <c r="U8402">
        <v>8.6059569999999991E-3</v>
      </c>
      <c r="V8402">
        <v>-0.13104859999999999</v>
      </c>
      <c r="W8402">
        <v>2.5049269999999998E-2</v>
      </c>
      <c r="X8402">
        <v>0.99105940000000003</v>
      </c>
      <c r="Y8402">
        <v>-0.3275652</v>
      </c>
      <c r="Z8402">
        <v>4.001068E-2</v>
      </c>
      <c r="AA8402">
        <v>0.94398110000000002</v>
      </c>
      <c r="AB8402">
        <v>29</v>
      </c>
      <c r="AC8402">
        <v>13.386899999999899</v>
      </c>
      <c r="AD8402">
        <v>-1.1156148342079999</v>
      </c>
      <c r="AE8402">
        <v>8.6159999999999501E-2</v>
      </c>
      <c r="AF8402">
        <v>-4.4296015096663801</v>
      </c>
      <c r="AG8402">
        <v>-1.1156148342079999</v>
      </c>
      <c r="AH8402">
        <v>12.535216174581601</v>
      </c>
      <c r="AI8402">
        <v>94.7966412967765</v>
      </c>
      <c r="AJ8402">
        <v>109.46201080933901</v>
      </c>
      <c r="AK8402">
        <v>13.341574514885201</v>
      </c>
      <c r="AL8402">
        <v>88.564632368973705</v>
      </c>
      <c r="AM8402">
        <v>97.532568624267796</v>
      </c>
      <c r="AN8402">
        <v>0.99999996790892598</v>
      </c>
    </row>
    <row r="8403" spans="1:40" x14ac:dyDescent="0.25">
      <c r="A8403" t="str">
        <f>"20190312150854040"</f>
        <v>20190312150854040</v>
      </c>
      <c r="B8403" t="str">
        <f>"1552374534038394"</f>
        <v>1552374534038394</v>
      </c>
      <c r="C8403" t="s">
        <v>40</v>
      </c>
      <c r="D8403">
        <v>4.8339169999999996</v>
      </c>
      <c r="E8403">
        <v>0.4235083</v>
      </c>
      <c r="F8403" t="s">
        <v>81</v>
      </c>
      <c r="G8403">
        <v>-381.97199999999998</v>
      </c>
      <c r="H8403" s="1">
        <v>-3.9282010000000002E-6</v>
      </c>
      <c r="I8403">
        <v>18.86712</v>
      </c>
      <c r="J8403">
        <v>-395.41149999999999</v>
      </c>
      <c r="K8403">
        <v>1.115626</v>
      </c>
      <c r="L8403">
        <v>18.749970000000001</v>
      </c>
      <c r="M8403">
        <v>0.94612439999999998</v>
      </c>
      <c r="N8403">
        <v>0</v>
      </c>
      <c r="O8403">
        <v>-0.32355060000000002</v>
      </c>
      <c r="P8403">
        <v>0.9802651</v>
      </c>
      <c r="Q8403">
        <v>1.393636E-2</v>
      </c>
      <c r="R8403">
        <v>-0.1971965</v>
      </c>
      <c r="S8403">
        <v>3.0696409999999998</v>
      </c>
      <c r="T8403">
        <v>-0.2521659</v>
      </c>
      <c r="U8403">
        <v>1.6326899999999998E-2</v>
      </c>
      <c r="V8403">
        <v>-0.13094610000000001</v>
      </c>
      <c r="W8403">
        <v>2.4883869999999999E-2</v>
      </c>
      <c r="X8403">
        <v>0.99107710000000004</v>
      </c>
      <c r="Y8403">
        <v>-0.32644479999999998</v>
      </c>
      <c r="Z8403">
        <v>3.9560570000000003E-2</v>
      </c>
      <c r="AA8403">
        <v>0.94438800000000001</v>
      </c>
      <c r="AB8403">
        <v>29</v>
      </c>
      <c r="AC8403">
        <v>13.439500000000001</v>
      </c>
      <c r="AD8403">
        <v>-1.115629928201</v>
      </c>
      <c r="AE8403">
        <v>0.11714999999999801</v>
      </c>
      <c r="AF8403">
        <v>-4.4290439840453102</v>
      </c>
      <c r="AG8403">
        <v>-1.115629928201</v>
      </c>
      <c r="AH8403">
        <v>12.591810312318501</v>
      </c>
      <c r="AI8403">
        <v>94.777680794391003</v>
      </c>
      <c r="AJ8403">
        <v>109.37881535734699</v>
      </c>
      <c r="AK8403">
        <v>13.394579041191101</v>
      </c>
      <c r="AL8403">
        <v>88.574112025067905</v>
      </c>
      <c r="AM8403">
        <v>97.5266116987179</v>
      </c>
      <c r="AN8403">
        <v>0.99999995311789702</v>
      </c>
    </row>
    <row r="8404" spans="1:40" x14ac:dyDescent="0.25">
      <c r="A8404" t="str">
        <f>"20190312150854058"</f>
        <v>20190312150854058</v>
      </c>
      <c r="B8404" t="str">
        <f>"1552374534048158"</f>
        <v>1552374534048158</v>
      </c>
      <c r="C8404" t="s">
        <v>40</v>
      </c>
      <c r="D8404">
        <v>4.8869740000000004</v>
      </c>
      <c r="E8404">
        <v>0.4235083</v>
      </c>
      <c r="F8404" t="s">
        <v>81</v>
      </c>
      <c r="G8404">
        <v>-381.92090000000002</v>
      </c>
      <c r="H8404" s="1">
        <v>-3.9577490000000001E-6</v>
      </c>
      <c r="I8404">
        <v>18.836790000000001</v>
      </c>
      <c r="J8404">
        <v>-395.19380000000001</v>
      </c>
      <c r="K8404">
        <v>1.1156459999999999</v>
      </c>
      <c r="L8404">
        <v>18.68188</v>
      </c>
      <c r="M8404">
        <v>0.94797589999999998</v>
      </c>
      <c r="N8404">
        <v>0</v>
      </c>
      <c r="O8404">
        <v>-0.3180847</v>
      </c>
      <c r="P8404">
        <v>0.98132189999999997</v>
      </c>
      <c r="Q8404">
        <v>1.425683E-2</v>
      </c>
      <c r="R8404">
        <v>-0.19184409999999999</v>
      </c>
      <c r="S8404">
        <v>3.0679630000000002</v>
      </c>
      <c r="T8404">
        <v>-0.25371129999999997</v>
      </c>
      <c r="U8404">
        <v>1.9744870000000001E-2</v>
      </c>
      <c r="V8404">
        <v>-0.1306388</v>
      </c>
      <c r="W8404">
        <v>2.520706E-2</v>
      </c>
      <c r="X8404">
        <v>0.99110949999999998</v>
      </c>
      <c r="Y8404">
        <v>-0.32204829999999901</v>
      </c>
      <c r="Z8404">
        <v>3.9211070000000001E-2</v>
      </c>
      <c r="AA8404">
        <v>0.9459109</v>
      </c>
      <c r="AB8404">
        <v>29</v>
      </c>
      <c r="AC8404">
        <v>13.2728999999999</v>
      </c>
      <c r="AD8404">
        <v>-1.115649957749</v>
      </c>
      <c r="AE8404">
        <v>0.15491000000000099</v>
      </c>
      <c r="AF8404">
        <v>-4.3384672924742098</v>
      </c>
      <c r="AG8404">
        <v>-1.115649957749</v>
      </c>
      <c r="AH8404">
        <v>12.4462185084396</v>
      </c>
      <c r="AI8404">
        <v>94.838139791530494</v>
      </c>
      <c r="AJ8404">
        <v>109.21738713262501</v>
      </c>
      <c r="AK8404">
        <v>13.227824024983001</v>
      </c>
      <c r="AL8404">
        <v>88.555588809924799</v>
      </c>
      <c r="AM8404">
        <v>97.508907617462896</v>
      </c>
      <c r="AN8404">
        <v>0.99999996646476597</v>
      </c>
    </row>
    <row r="8405" spans="1:40" x14ac:dyDescent="0.25">
      <c r="A8405" t="str">
        <f>"20190312150854070"</f>
        <v>20190312150854070</v>
      </c>
      <c r="B8405" t="str">
        <f>"1552374534057914"</f>
        <v>1552374534057914</v>
      </c>
      <c r="C8405" t="s">
        <v>40</v>
      </c>
      <c r="D8405">
        <v>4.8641819999999996</v>
      </c>
      <c r="E8405">
        <v>0.43680449999999998</v>
      </c>
      <c r="F8405" t="s">
        <v>81</v>
      </c>
      <c r="G8405">
        <v>-381.64749999999998</v>
      </c>
      <c r="H8405" s="1">
        <v>-4.0858900000000003E-6</v>
      </c>
      <c r="I8405">
        <v>18.84318</v>
      </c>
      <c r="J8405">
        <v>-395.05579999999998</v>
      </c>
      <c r="K8405">
        <v>1.1156569999999999</v>
      </c>
      <c r="L8405">
        <v>18.639430000000001</v>
      </c>
      <c r="M8405">
        <v>0.9491349</v>
      </c>
      <c r="N8405">
        <v>0</v>
      </c>
      <c r="O8405">
        <v>-0.31460919999999998</v>
      </c>
      <c r="P8405">
        <v>0.98197920000000005</v>
      </c>
      <c r="Q8405">
        <v>1.4213770000000001E-2</v>
      </c>
      <c r="R8405">
        <v>-0.18845390000000001</v>
      </c>
      <c r="S8405">
        <v>3.0678709999999998</v>
      </c>
      <c r="T8405">
        <v>-0.25266270000000002</v>
      </c>
      <c r="U8405">
        <v>3.6529539999999999E-2</v>
      </c>
      <c r="V8405">
        <v>-0.1304305</v>
      </c>
      <c r="W8405">
        <v>2.5166060000000001E-2</v>
      </c>
      <c r="X8405">
        <v>0.99113799999999996</v>
      </c>
      <c r="Y8405">
        <v>-0.32377889999999998</v>
      </c>
      <c r="Z8405">
        <v>3.8852270000000001E-2</v>
      </c>
      <c r="AA8405">
        <v>0.94533469999999997</v>
      </c>
      <c r="AB8405">
        <v>29</v>
      </c>
      <c r="AC8405">
        <v>13.408299999999899</v>
      </c>
      <c r="AD8405">
        <v>-1.11566108588999</v>
      </c>
      <c r="AE8405">
        <v>0.20375000000000201</v>
      </c>
      <c r="AF8405">
        <v>-4.3817928244570297</v>
      </c>
      <c r="AG8405">
        <v>-1.11566108588999</v>
      </c>
      <c r="AH8405">
        <v>12.576172921187601</v>
      </c>
      <c r="AI8405">
        <v>94.788659088062204</v>
      </c>
      <c r="AJ8405">
        <v>109.209369352309</v>
      </c>
      <c r="AK8405">
        <v>13.364315671168599</v>
      </c>
      <c r="AL8405">
        <v>88.557938717049595</v>
      </c>
      <c r="AM8405">
        <v>97.496858043744695</v>
      </c>
      <c r="AN8405">
        <v>0.99999999047508603</v>
      </c>
    </row>
    <row r="8406" spans="1:40" x14ac:dyDescent="0.25">
      <c r="A8406" t="str">
        <f>"20190312150854082"</f>
        <v>20190312150854082</v>
      </c>
      <c r="B8406" t="str">
        <f>"1552374534078410"</f>
        <v>1552374534078410</v>
      </c>
      <c r="C8406" t="s">
        <v>40</v>
      </c>
      <c r="D8406">
        <v>4.8678429999999997</v>
      </c>
      <c r="E8406">
        <v>0.43659700000000001</v>
      </c>
      <c r="F8406" t="s">
        <v>81</v>
      </c>
      <c r="G8406">
        <v>-382.9074</v>
      </c>
      <c r="H8406" s="1">
        <v>-3.5660499999999999E-6</v>
      </c>
      <c r="I8406">
        <v>18.416139999999999</v>
      </c>
      <c r="J8406">
        <v>-394.91570000000002</v>
      </c>
      <c r="K8406">
        <v>1.115666</v>
      </c>
      <c r="L8406">
        <v>18.596800000000002</v>
      </c>
      <c r="M8406">
        <v>0.95030000000000003</v>
      </c>
      <c r="N8406">
        <v>0</v>
      </c>
      <c r="O8406">
        <v>-0.31107210000000002</v>
      </c>
      <c r="P8406">
        <v>0.98267530000000003</v>
      </c>
      <c r="Q8406">
        <v>1.4333250000000001E-2</v>
      </c>
      <c r="R8406">
        <v>-0.1847808</v>
      </c>
      <c r="S8406">
        <v>3.04834</v>
      </c>
      <c r="T8406">
        <v>-0.27994639999999998</v>
      </c>
      <c r="U8406">
        <v>-5.603027E-2</v>
      </c>
      <c r="V8406">
        <v>-0.13044720000000001</v>
      </c>
      <c r="W8406">
        <v>2.5284279999999999E-2</v>
      </c>
      <c r="X8406">
        <v>0.99113280000000004</v>
      </c>
      <c r="Y8406">
        <v>-0.29108329999999999</v>
      </c>
      <c r="Z8406">
        <v>4.1460539999999997E-2</v>
      </c>
      <c r="AA8406">
        <v>0.95579890000000001</v>
      </c>
      <c r="AB8406">
        <v>29</v>
      </c>
      <c r="AC8406">
        <v>12.0083</v>
      </c>
      <c r="AD8406">
        <v>-1.11566956605</v>
      </c>
      <c r="AE8406">
        <v>-0.18066000000000301</v>
      </c>
      <c r="AF8406">
        <v>-3.5335636830585599</v>
      </c>
      <c r="AG8406">
        <v>-1.11566956605</v>
      </c>
      <c r="AH8406">
        <v>11.3704993867438</v>
      </c>
      <c r="AI8406">
        <v>95.3529508365542</v>
      </c>
      <c r="AJ8406">
        <v>107.263463901156</v>
      </c>
      <c r="AK8406">
        <v>11.959057119471501</v>
      </c>
      <c r="AL8406">
        <v>88.551163063359297</v>
      </c>
      <c r="AM8406">
        <v>97.497845892553201</v>
      </c>
      <c r="AN8406">
        <v>0.99999999701939901</v>
      </c>
    </row>
    <row r="8407" spans="1:40" x14ac:dyDescent="0.25">
      <c r="A8407" t="str">
        <f>"20190312150854094"</f>
        <v>20190312150854094</v>
      </c>
      <c r="B8407" t="str">
        <f>"1552374534088171"</f>
        <v>1552374534088171</v>
      </c>
      <c r="C8407" t="s">
        <v>40</v>
      </c>
      <c r="D8407">
        <v>4.8628330000000002</v>
      </c>
      <c r="E8407">
        <v>0.4357587</v>
      </c>
      <c r="F8407" t="s">
        <v>81</v>
      </c>
      <c r="G8407">
        <v>-382.76650000000001</v>
      </c>
      <c r="H8407" s="1">
        <v>-3.6310020000000001E-6</v>
      </c>
      <c r="I8407">
        <v>18.425460000000001</v>
      </c>
      <c r="J8407">
        <v>-394.77510000000001</v>
      </c>
      <c r="K8407">
        <v>1.115677</v>
      </c>
      <c r="L8407">
        <v>18.554780000000001</v>
      </c>
      <c r="M8407">
        <v>0.95145769999999996</v>
      </c>
      <c r="N8407">
        <v>0</v>
      </c>
      <c r="O8407">
        <v>-0.30751289999999998</v>
      </c>
      <c r="P8407">
        <v>0.98336109999999999</v>
      </c>
      <c r="Q8407">
        <v>1.457287E-2</v>
      </c>
      <c r="R8407">
        <v>-0.1810765</v>
      </c>
      <c r="S8407">
        <v>3.048889</v>
      </c>
      <c r="T8407">
        <v>-0.27998079999999997</v>
      </c>
      <c r="U8407">
        <v>-4.2999269999999999E-2</v>
      </c>
      <c r="V8407">
        <v>-0.1304747</v>
      </c>
      <c r="W8407">
        <v>2.552215E-2</v>
      </c>
      <c r="X8407">
        <v>0.99112310000000003</v>
      </c>
      <c r="Y8407">
        <v>-0.29160360000000002</v>
      </c>
      <c r="Z8407">
        <v>4.1175099999999999E-2</v>
      </c>
      <c r="AA8407">
        <v>0.95565259999999996</v>
      </c>
      <c r="AB8407">
        <v>29</v>
      </c>
      <c r="AC8407">
        <v>12.008599999999999</v>
      </c>
      <c r="AD8407">
        <v>-1.115680631002</v>
      </c>
      <c r="AE8407">
        <v>-0.12931999999999599</v>
      </c>
      <c r="AF8407">
        <v>-3.53950148672239</v>
      </c>
      <c r="AG8407">
        <v>-1.115680631002</v>
      </c>
      <c r="AH8407">
        <v>11.3682673397324</v>
      </c>
      <c r="AI8407">
        <v>95.3531679569695</v>
      </c>
      <c r="AJ8407">
        <v>107.293937683338</v>
      </c>
      <c r="AK8407">
        <v>11.958692083690901</v>
      </c>
      <c r="AL8407">
        <v>88.537529740531795</v>
      </c>
      <c r="AM8407">
        <v>97.499481108796004</v>
      </c>
      <c r="AN8407">
        <v>1.00000001341716</v>
      </c>
    </row>
    <row r="8408" spans="1:40" x14ac:dyDescent="0.25">
      <c r="A8408" t="str">
        <f>"20190312150854104"</f>
        <v>20190312150854104</v>
      </c>
      <c r="B8408" t="str">
        <f>"1552374534097930"</f>
        <v>1552374534097930</v>
      </c>
      <c r="C8408" t="s">
        <v>40</v>
      </c>
      <c r="D8408">
        <v>4.8914819999999999</v>
      </c>
      <c r="E8408">
        <v>0.43517440000000002</v>
      </c>
      <c r="F8408" t="s">
        <v>81</v>
      </c>
      <c r="G8408">
        <v>-382.91950000000003</v>
      </c>
      <c r="H8408" s="1">
        <v>-3.5527380000000001E-6</v>
      </c>
      <c r="I8408">
        <v>18.458939999999998</v>
      </c>
      <c r="J8408">
        <v>-394.64299999999997</v>
      </c>
      <c r="K8408">
        <v>1.1156870000000001</v>
      </c>
      <c r="L8408">
        <v>18.515560000000001</v>
      </c>
      <c r="M8408">
        <v>0.95253259999999995</v>
      </c>
      <c r="N8408">
        <v>0</v>
      </c>
      <c r="O8408">
        <v>-0.30416720000000003</v>
      </c>
      <c r="P8408">
        <v>0.98399170000000002</v>
      </c>
      <c r="Q8408">
        <v>1.5033380000000001E-2</v>
      </c>
      <c r="R8408">
        <v>-0.17757970000000001</v>
      </c>
      <c r="S8408">
        <v>3.050446</v>
      </c>
      <c r="T8408">
        <v>-0.28706589999999998</v>
      </c>
      <c r="U8408">
        <v>-2.4658200000000002E-2</v>
      </c>
      <c r="V8408">
        <v>-0.130519</v>
      </c>
      <c r="W8408">
        <v>2.5981190000000001E-2</v>
      </c>
      <c r="X8408">
        <v>0.99110529999999997</v>
      </c>
      <c r="Y8408">
        <v>-0.29387419999999997</v>
      </c>
      <c r="Z8408">
        <v>4.200371E-2</v>
      </c>
      <c r="AA8408">
        <v>0.95492080000000001</v>
      </c>
      <c r="AB8408">
        <v>29</v>
      </c>
      <c r="AC8408">
        <v>11.7235</v>
      </c>
      <c r="AD8408">
        <v>-1.1156905527380001</v>
      </c>
      <c r="AE8408">
        <v>-5.66200000000023E-2</v>
      </c>
      <c r="AF8408">
        <v>-3.4807362577441601</v>
      </c>
      <c r="AG8408">
        <v>-1.1156905527380001</v>
      </c>
      <c r="AH8408">
        <v>11.0847651480164</v>
      </c>
      <c r="AI8408">
        <v>95.485167834478503</v>
      </c>
      <c r="AJ8408">
        <v>107.43285320283699</v>
      </c>
      <c r="AK8408">
        <v>11.671859692959</v>
      </c>
      <c r="AL8408">
        <v>88.511219901702802</v>
      </c>
      <c r="AM8408">
        <v>97.502131604865099</v>
      </c>
      <c r="AN8408">
        <v>0.99999997364145199</v>
      </c>
    </row>
    <row r="8409" spans="1:40" x14ac:dyDescent="0.25">
      <c r="A8409" t="str">
        <f>"20190312150854126"</f>
        <v>20190312150854126</v>
      </c>
      <c r="B8409" t="str">
        <f>"1552374534118430"</f>
        <v>1552374534118430</v>
      </c>
      <c r="C8409" t="s">
        <v>40</v>
      </c>
      <c r="D8409">
        <v>4.831283</v>
      </c>
      <c r="E8409">
        <v>0.43423980000000001</v>
      </c>
      <c r="F8409" t="s">
        <v>81</v>
      </c>
      <c r="G8409">
        <v>-382.93799999999999</v>
      </c>
      <c r="H8409" s="1">
        <v>-3.5400520000000002E-6</v>
      </c>
      <c r="I8409">
        <v>18.481030000000001</v>
      </c>
      <c r="J8409">
        <v>-394.38170000000002</v>
      </c>
      <c r="K8409">
        <v>1.1157140000000001</v>
      </c>
      <c r="L8409">
        <v>18.43985</v>
      </c>
      <c r="M8409">
        <v>0.95462829999999999</v>
      </c>
      <c r="N8409">
        <v>0</v>
      </c>
      <c r="O8409">
        <v>-0.29752410000000001</v>
      </c>
      <c r="P8409">
        <v>0.98523640000000001</v>
      </c>
      <c r="Q8409">
        <v>1.5953559999999999E-2</v>
      </c>
      <c r="R8409">
        <v>-0.17045360000000001</v>
      </c>
      <c r="S8409">
        <v>3.0516359999999998</v>
      </c>
      <c r="T8409">
        <v>-0.2908751</v>
      </c>
      <c r="U8409">
        <v>-9.0026859999999993E-3</v>
      </c>
      <c r="V8409">
        <v>-0.13079660000000001</v>
      </c>
      <c r="W8409">
        <v>2.6894959999999999E-2</v>
      </c>
      <c r="X8409">
        <v>0.99104429999999999</v>
      </c>
      <c r="Y8409">
        <v>-0.29209020000000002</v>
      </c>
      <c r="Z8409">
        <v>4.1855000000000003E-2</v>
      </c>
      <c r="AA8409">
        <v>0.9554745</v>
      </c>
      <c r="AB8409">
        <v>29</v>
      </c>
      <c r="AC8409">
        <v>11.4436999999999</v>
      </c>
      <c r="AD8409">
        <v>-1.1157175400520001</v>
      </c>
      <c r="AE8409">
        <v>4.1180000000000598E-2</v>
      </c>
      <c r="AF8409">
        <v>-3.4119391489111499</v>
      </c>
      <c r="AG8409">
        <v>-1.1157175400520001</v>
      </c>
      <c r="AH8409">
        <v>10.810367177982499</v>
      </c>
      <c r="AI8409">
        <v>95.621080190165301</v>
      </c>
      <c r="AJ8409">
        <v>107.516598844448</v>
      </c>
      <c r="AK8409">
        <v>11.390794217606301</v>
      </c>
      <c r="AL8409">
        <v>88.458846385996097</v>
      </c>
      <c r="AM8409">
        <v>97.518362959927501</v>
      </c>
      <c r="AN8409">
        <v>0.99999994700372397</v>
      </c>
    </row>
    <row r="8410" spans="1:40" x14ac:dyDescent="0.25">
      <c r="A8410" t="str">
        <f>"20190312150854136"</f>
        <v>20190312150854136</v>
      </c>
      <c r="B8410" t="str">
        <f>"1552374534128186"</f>
        <v>1552374534128186</v>
      </c>
      <c r="C8410" t="s">
        <v>40</v>
      </c>
      <c r="D8410">
        <v>4.8553790000000001</v>
      </c>
      <c r="E8410">
        <v>0.43401519999999999</v>
      </c>
      <c r="F8410" t="s">
        <v>81</v>
      </c>
      <c r="G8410">
        <v>-382.65660000000003</v>
      </c>
      <c r="H8410" s="1">
        <v>-3.6663960000000001E-6</v>
      </c>
      <c r="I8410">
        <v>18.518719999999998</v>
      </c>
      <c r="J8410">
        <v>-394.24889999999999</v>
      </c>
      <c r="K8410">
        <v>1.115723</v>
      </c>
      <c r="L8410">
        <v>18.40231</v>
      </c>
      <c r="M8410">
        <v>0.95567599999999997</v>
      </c>
      <c r="N8410">
        <v>0</v>
      </c>
      <c r="O8410">
        <v>-0.29414190000000001</v>
      </c>
      <c r="P8410">
        <v>0.9858266</v>
      </c>
      <c r="Q8410">
        <v>1.630937E-2</v>
      </c>
      <c r="R8410">
        <v>-0.1669737</v>
      </c>
      <c r="S8410">
        <v>3.0531920000000001</v>
      </c>
      <c r="T8410">
        <v>-0.29053250000000003</v>
      </c>
      <c r="U8410">
        <v>2.053833E-2</v>
      </c>
      <c r="V8410">
        <v>-0.13079060000000001</v>
      </c>
      <c r="W8410">
        <v>2.7250079999999999E-2</v>
      </c>
      <c r="X8410">
        <v>0.99103549999999996</v>
      </c>
      <c r="Y8410">
        <v>-0.2979427</v>
      </c>
      <c r="Z8410">
        <v>4.1762399999999998E-2</v>
      </c>
      <c r="AA8410">
        <v>0.95366980000000001</v>
      </c>
      <c r="AB8410">
        <v>29</v>
      </c>
      <c r="AC8410">
        <v>11.5922999999999</v>
      </c>
      <c r="AD8410">
        <v>-1.1157266663959999</v>
      </c>
      <c r="AE8410">
        <v>0.116410000000001</v>
      </c>
      <c r="AF8410">
        <v>-3.4890028047199402</v>
      </c>
      <c r="AG8410">
        <v>-1.1157266663959999</v>
      </c>
      <c r="AH8410">
        <v>10.9437793841367</v>
      </c>
      <c r="AI8410">
        <v>95.547953513417397</v>
      </c>
      <c r="AJ8410">
        <v>107.682880015541</v>
      </c>
      <c r="AK8410">
        <v>11.540549977107</v>
      </c>
      <c r="AL8410">
        <v>88.438492215967699</v>
      </c>
      <c r="AM8410">
        <v>97.518088010488697</v>
      </c>
      <c r="AN8410">
        <v>1.0000000550843</v>
      </c>
    </row>
    <row r="8411" spans="1:40" x14ac:dyDescent="0.25">
      <c r="A8411" t="str">
        <f>"20190312150854148"</f>
        <v>20190312150854148</v>
      </c>
      <c r="B8411" t="str">
        <f>"1552374534137947"</f>
        <v>1552374534137947</v>
      </c>
      <c r="C8411" t="s">
        <v>40</v>
      </c>
      <c r="D8411">
        <v>4.8708130000000001</v>
      </c>
      <c r="E8411">
        <v>0.43376819999999999</v>
      </c>
      <c r="F8411" t="s">
        <v>81</v>
      </c>
      <c r="G8411">
        <v>-382.52249999999998</v>
      </c>
      <c r="H8411" s="1">
        <v>-3.7278929999999999E-6</v>
      </c>
      <c r="I8411">
        <v>18.52947</v>
      </c>
      <c r="J8411">
        <v>-394.11590000000001</v>
      </c>
      <c r="K8411">
        <v>1.1157300000000001</v>
      </c>
      <c r="L8411">
        <v>18.364989999999999</v>
      </c>
      <c r="M8411">
        <v>0.95671340000000005</v>
      </c>
      <c r="N8411">
        <v>0</v>
      </c>
      <c r="O8411">
        <v>-0.290749599999999</v>
      </c>
      <c r="P8411">
        <v>0.9863999</v>
      </c>
      <c r="Q8411">
        <v>1.6471400000000001E-2</v>
      </c>
      <c r="R8411">
        <v>-0.1635374</v>
      </c>
      <c r="S8411">
        <v>3.0535580000000002</v>
      </c>
      <c r="T8411">
        <v>-0.29053469999999998</v>
      </c>
      <c r="U8411">
        <v>3.311157E-2</v>
      </c>
      <c r="V8411">
        <v>-0.1307305</v>
      </c>
      <c r="W8411">
        <v>2.7411660000000001E-2</v>
      </c>
      <c r="X8411">
        <v>0.99103889999999994</v>
      </c>
      <c r="Y8411">
        <v>-0.29849680000000001</v>
      </c>
      <c r="Z8411">
        <v>4.1476329999999999E-2</v>
      </c>
      <c r="AA8411">
        <v>0.95350900000000005</v>
      </c>
      <c r="AB8411">
        <v>29</v>
      </c>
      <c r="AC8411">
        <v>11.593400000000001</v>
      </c>
      <c r="AD8411">
        <v>-1.115733727893</v>
      </c>
      <c r="AE8411">
        <v>0.16448000000000099</v>
      </c>
      <c r="AF8411">
        <v>-3.4960526939849199</v>
      </c>
      <c r="AG8411">
        <v>-1.115733727893</v>
      </c>
      <c r="AH8411">
        <v>10.9433098075737</v>
      </c>
      <c r="AI8411">
        <v>95.547174443432198</v>
      </c>
      <c r="AJ8411">
        <v>107.717090506882</v>
      </c>
      <c r="AK8411">
        <v>11.542238766167401</v>
      </c>
      <c r="AL8411">
        <v>88.429230789987201</v>
      </c>
      <c r="AM8411">
        <v>97.514647354449906</v>
      </c>
      <c r="AN8411">
        <v>0.99999998202370699</v>
      </c>
    </row>
    <row r="8412" spans="1:40" x14ac:dyDescent="0.25">
      <c r="A8412" t="str">
        <f>"20190312150854160"</f>
        <v>20190312150854160</v>
      </c>
      <c r="B8412" t="str">
        <f>"1552374534158442"</f>
        <v>1552374534158442</v>
      </c>
      <c r="C8412" t="s">
        <v>40</v>
      </c>
      <c r="D8412">
        <v>4.845777</v>
      </c>
      <c r="E8412">
        <v>0.4337705</v>
      </c>
      <c r="F8412" t="s">
        <v>81</v>
      </c>
      <c r="G8412">
        <v>-382.70859999999999</v>
      </c>
      <c r="H8412" s="1">
        <v>-3.6386019999999998E-6</v>
      </c>
      <c r="I8412">
        <v>18.536999999999999</v>
      </c>
      <c r="J8412">
        <v>-393.9572</v>
      </c>
      <c r="K8412">
        <v>1.1157379999999999</v>
      </c>
      <c r="L8412">
        <v>18.321169999999999</v>
      </c>
      <c r="M8412">
        <v>0.95793689999999998</v>
      </c>
      <c r="N8412">
        <v>0</v>
      </c>
      <c r="O8412">
        <v>-0.28669260000000002</v>
      </c>
      <c r="P8412">
        <v>0.98707679999999998</v>
      </c>
      <c r="Q8412">
        <v>1.6753549999999999E-2</v>
      </c>
      <c r="R8412">
        <v>-0.15937089999999901</v>
      </c>
      <c r="S8412">
        <v>3.0539860000000001</v>
      </c>
      <c r="T8412">
        <v>-0.29870469999999999</v>
      </c>
      <c r="U8412">
        <v>4.605103E-2</v>
      </c>
      <c r="V8412">
        <v>-0.1307181</v>
      </c>
      <c r="W8412">
        <v>2.7693369999999998E-2</v>
      </c>
      <c r="X8412">
        <v>0.99103269999999999</v>
      </c>
      <c r="Y8412">
        <v>-0.29836289999999999</v>
      </c>
      <c r="Z8412">
        <v>4.224493E-2</v>
      </c>
      <c r="AA8412">
        <v>0.95351710000000001</v>
      </c>
      <c r="AB8412">
        <v>29</v>
      </c>
      <c r="AC8412">
        <v>11.2486</v>
      </c>
      <c r="AD8412">
        <v>-1.11574163860199</v>
      </c>
      <c r="AE8412">
        <v>0.215829999999996</v>
      </c>
      <c r="AF8412">
        <v>-3.3984998110652</v>
      </c>
      <c r="AG8412">
        <v>-1.11574163860199</v>
      </c>
      <c r="AH8412">
        <v>10.610102677109399</v>
      </c>
      <c r="AI8412">
        <v>95.718901703169905</v>
      </c>
      <c r="AJ8412">
        <v>107.760673397356</v>
      </c>
      <c r="AK8412">
        <v>11.196828086057399</v>
      </c>
      <c r="AL8412">
        <v>88.413083859846793</v>
      </c>
      <c r="AM8412">
        <v>97.513989193576194</v>
      </c>
      <c r="AN8412">
        <v>0.99999997843942801</v>
      </c>
    </row>
    <row r="8413" spans="1:40" x14ac:dyDescent="0.25">
      <c r="A8413" t="str">
        <f>"20190312150854173"</f>
        <v>20190312150854173</v>
      </c>
      <c r="B8413" t="str">
        <f>"1552374534168202"</f>
        <v>1552374534168202</v>
      </c>
      <c r="C8413" t="s">
        <v>40</v>
      </c>
      <c r="D8413">
        <v>4.8308980000000004</v>
      </c>
      <c r="E8413">
        <v>0.43394189999999999</v>
      </c>
      <c r="F8413" t="s">
        <v>81</v>
      </c>
      <c r="G8413">
        <v>-382.49439999999998</v>
      </c>
      <c r="H8413" s="1">
        <v>-3.7390440000000001E-6</v>
      </c>
      <c r="I8413">
        <v>18.54156</v>
      </c>
      <c r="J8413">
        <v>-393.81139999999999</v>
      </c>
      <c r="K8413">
        <v>1.1157440000000001</v>
      </c>
      <c r="L8413">
        <v>18.28171</v>
      </c>
      <c r="M8413">
        <v>0.95904400000000001</v>
      </c>
      <c r="N8413">
        <v>0</v>
      </c>
      <c r="O8413">
        <v>-0.28296670000000002</v>
      </c>
      <c r="P8413">
        <v>0.98769090000000004</v>
      </c>
      <c r="Q8413">
        <v>1.6938419999999999E-2</v>
      </c>
      <c r="R8413">
        <v>-0.15549839999999901</v>
      </c>
      <c r="S8413">
        <v>3.053833</v>
      </c>
      <c r="T8413">
        <v>-0.29724800000000001</v>
      </c>
      <c r="U8413">
        <v>5.8715820000000002E-2</v>
      </c>
      <c r="V8413">
        <v>-0.13075429999999999</v>
      </c>
      <c r="W8413">
        <v>2.7876399999999999E-2</v>
      </c>
      <c r="X8413">
        <v>0.99102279999999998</v>
      </c>
      <c r="Y8413">
        <v>-0.29865160000000002</v>
      </c>
      <c r="Z8413">
        <v>4.1708179999999997E-2</v>
      </c>
      <c r="AA8413">
        <v>0.95345040000000003</v>
      </c>
      <c r="AB8413">
        <v>29</v>
      </c>
      <c r="AC8413">
        <v>11.317</v>
      </c>
      <c r="AD8413">
        <v>-1.115747739044</v>
      </c>
      <c r="AE8413">
        <v>0.25985000000000003</v>
      </c>
      <c r="AF8413">
        <v>-3.4186139125303798</v>
      </c>
      <c r="AG8413">
        <v>-1.115747739044</v>
      </c>
      <c r="AH8413">
        <v>10.677130784416899</v>
      </c>
      <c r="AI8413">
        <v>95.683474836731193</v>
      </c>
      <c r="AJ8413">
        <v>107.75407593643899</v>
      </c>
      <c r="AK8413">
        <v>11.266451787837701</v>
      </c>
      <c r="AL8413">
        <v>88.402592973908298</v>
      </c>
      <c r="AM8413">
        <v>97.5161204941069</v>
      </c>
      <c r="AN8413">
        <v>0.99999998538264401</v>
      </c>
    </row>
    <row r="8414" spans="1:40" x14ac:dyDescent="0.25">
      <c r="A8414" t="str">
        <f>"20190312150854186"</f>
        <v>20190312150854186</v>
      </c>
      <c r="B8414" t="str">
        <f>"1552374534177963"</f>
        <v>1552374534177963</v>
      </c>
      <c r="C8414" t="s">
        <v>40</v>
      </c>
      <c r="D8414">
        <v>4.8562180000000001</v>
      </c>
      <c r="E8414">
        <v>0.43415399999999998</v>
      </c>
      <c r="F8414" t="s">
        <v>81</v>
      </c>
      <c r="G8414">
        <v>-382.34070000000003</v>
      </c>
      <c r="H8414" s="1">
        <v>-3.81163E-6</v>
      </c>
      <c r="I8414">
        <v>18.541840000000001</v>
      </c>
      <c r="J8414">
        <v>-393.65589999999997</v>
      </c>
      <c r="K8414">
        <v>1.115753</v>
      </c>
      <c r="L8414">
        <v>18.23996</v>
      </c>
      <c r="M8414">
        <v>0.9602098</v>
      </c>
      <c r="N8414">
        <v>0</v>
      </c>
      <c r="O8414">
        <v>-0.27898529999999999</v>
      </c>
      <c r="P8414">
        <v>0.98829509999999998</v>
      </c>
      <c r="Q8414">
        <v>1.7004970000000001E-2</v>
      </c>
      <c r="R8414">
        <v>-0.1516034</v>
      </c>
      <c r="S8414">
        <v>3.053375</v>
      </c>
      <c r="T8414">
        <v>-0.29699959999999997</v>
      </c>
      <c r="U8414">
        <v>6.9244379999999994E-2</v>
      </c>
      <c r="V8414">
        <v>-0.1305509</v>
      </c>
      <c r="W8414">
        <v>2.7945520000000001E-2</v>
      </c>
      <c r="X8414">
        <v>0.99104769999999998</v>
      </c>
      <c r="Y8414">
        <v>-0.29800890000000002</v>
      </c>
      <c r="Z8414">
        <v>4.1275720000000002E-2</v>
      </c>
      <c r="AA8414">
        <v>0.95367029999999997</v>
      </c>
      <c r="AB8414">
        <v>29</v>
      </c>
      <c r="AC8414">
        <v>11.3151999999999</v>
      </c>
      <c r="AD8414">
        <v>-1.1157568116299901</v>
      </c>
      <c r="AE8414">
        <v>0.30187999999999998</v>
      </c>
      <c r="AF8414">
        <v>-3.41375641039811</v>
      </c>
      <c r="AG8414">
        <v>-1.1157568116299901</v>
      </c>
      <c r="AH8414">
        <v>10.6778812030533</v>
      </c>
      <c r="AI8414">
        <v>95.683906297742297</v>
      </c>
      <c r="AJ8414">
        <v>107.72926213534301</v>
      </c>
      <c r="AK8414">
        <v>11.265690972095401</v>
      </c>
      <c r="AL8414">
        <v>88.398631196140997</v>
      </c>
      <c r="AM8414">
        <v>97.504375460217204</v>
      </c>
      <c r="AN8414">
        <v>1.0000000166270799</v>
      </c>
    </row>
    <row r="8415" spans="1:40" x14ac:dyDescent="0.25">
      <c r="A8415" t="str">
        <f>"20190312150854199"</f>
        <v>20190312150854199</v>
      </c>
      <c r="B8415" t="str">
        <f>"1552374534188699"</f>
        <v>1552374534188699</v>
      </c>
      <c r="C8415" t="s">
        <v>40</v>
      </c>
      <c r="D8415">
        <v>4.8865210000000001</v>
      </c>
      <c r="E8415">
        <v>0.43432579999999998</v>
      </c>
      <c r="F8415" t="s">
        <v>81</v>
      </c>
      <c r="G8415">
        <v>-382.18939999999998</v>
      </c>
      <c r="H8415" s="1">
        <v>-3.8837039999999999E-6</v>
      </c>
      <c r="I8415">
        <v>18.538900000000002</v>
      </c>
      <c r="J8415">
        <v>-393.48649999999998</v>
      </c>
      <c r="K8415">
        <v>1.1157570000000001</v>
      </c>
      <c r="L8415">
        <v>18.19556</v>
      </c>
      <c r="M8415">
        <v>0.96146140000000002</v>
      </c>
      <c r="N8415">
        <v>0</v>
      </c>
      <c r="O8415">
        <v>-0.27464100000000002</v>
      </c>
      <c r="P8415">
        <v>0.98895759999999999</v>
      </c>
      <c r="Q8415">
        <v>1.718134E-2</v>
      </c>
      <c r="R8415">
        <v>-0.14719939999999901</v>
      </c>
      <c r="S8415">
        <v>3.0528559999999998</v>
      </c>
      <c r="T8415">
        <v>-0.29705799999999999</v>
      </c>
      <c r="U8415">
        <v>7.9589839999999995E-2</v>
      </c>
      <c r="V8415">
        <v>-0.1304864</v>
      </c>
      <c r="W8415">
        <v>2.8122830000000001E-2</v>
      </c>
      <c r="X8415">
        <v>0.99105109999999996</v>
      </c>
      <c r="Y8415">
        <v>-0.29695250000000001</v>
      </c>
      <c r="Z8415">
        <v>4.0831550000000001E-2</v>
      </c>
      <c r="AA8415">
        <v>0.9540189</v>
      </c>
      <c r="AB8415">
        <v>29</v>
      </c>
      <c r="AC8415">
        <v>11.2971</v>
      </c>
      <c r="AD8415">
        <v>-1.1157608837039901</v>
      </c>
      <c r="AE8415">
        <v>0.34334000000000098</v>
      </c>
      <c r="AF8415">
        <v>-3.39990302765381</v>
      </c>
      <c r="AG8415">
        <v>-1.1157608837039901</v>
      </c>
      <c r="AH8415">
        <v>10.664384448021799</v>
      </c>
      <c r="AI8415">
        <v>95.692538513325601</v>
      </c>
      <c r="AJ8415">
        <v>107.682755866983</v>
      </c>
      <c r="AK8415">
        <v>11.248704752204301</v>
      </c>
      <c r="AL8415">
        <v>88.3884679612095</v>
      </c>
      <c r="AM8415">
        <v>97.500684633433295</v>
      </c>
      <c r="AN8415">
        <v>0.999999938481687</v>
      </c>
    </row>
    <row r="8416" spans="1:40" x14ac:dyDescent="0.25">
      <c r="A8416" t="str">
        <f>"20190312150854215"</f>
        <v>20190312150854215</v>
      </c>
      <c r="B8416" t="str">
        <f>"1552374534208222"</f>
        <v>1552374534208222</v>
      </c>
      <c r="C8416" t="s">
        <v>40</v>
      </c>
      <c r="D8416">
        <v>4.8146079999999998</v>
      </c>
      <c r="E8416">
        <v>0.43497750000000002</v>
      </c>
      <c r="F8416" t="s">
        <v>81</v>
      </c>
      <c r="G8416">
        <v>-382.14260000000002</v>
      </c>
      <c r="H8416" s="1">
        <v>-3.9061160000000002E-6</v>
      </c>
      <c r="I8416">
        <v>18.537050000000001</v>
      </c>
      <c r="J8416">
        <v>-393.30099999999999</v>
      </c>
      <c r="K8416">
        <v>1.115764</v>
      </c>
      <c r="L8416">
        <v>18.147919999999999</v>
      </c>
      <c r="M8416">
        <v>0.96280679999999996</v>
      </c>
      <c r="N8416">
        <v>0</v>
      </c>
      <c r="O8416">
        <v>-0.26988630000000002</v>
      </c>
      <c r="P8416">
        <v>0.98961449999999995</v>
      </c>
      <c r="Q8416">
        <v>1.7760209999999998E-2</v>
      </c>
      <c r="R8416">
        <v>-0.1426443</v>
      </c>
      <c r="S8416">
        <v>3.052368</v>
      </c>
      <c r="T8416">
        <v>-0.3002264</v>
      </c>
      <c r="U8416">
        <v>9.1888429999999993E-2</v>
      </c>
      <c r="V8416">
        <v>-0.1301572</v>
      </c>
      <c r="W8416">
        <v>2.870673E-2</v>
      </c>
      <c r="X8416">
        <v>0.99107769999999995</v>
      </c>
      <c r="Y8416">
        <v>-0.29605029999999999</v>
      </c>
      <c r="Z8416">
        <v>4.0775119999999998E-2</v>
      </c>
      <c r="AA8416">
        <v>0.95430170000000003</v>
      </c>
      <c r="AB8416">
        <v>29</v>
      </c>
      <c r="AC8416">
        <v>11.158399999999901</v>
      </c>
      <c r="AD8416">
        <v>-1.115767906116</v>
      </c>
      <c r="AE8416">
        <v>0.38912999999999798</v>
      </c>
      <c r="AF8416">
        <v>-3.3529503139885399</v>
      </c>
      <c r="AG8416">
        <v>-1.115767906116</v>
      </c>
      <c r="AH8416">
        <v>10.534038556578601</v>
      </c>
      <c r="AI8416">
        <v>95.763389788913202</v>
      </c>
      <c r="AJ8416">
        <v>107.656104124839</v>
      </c>
      <c r="AK8416">
        <v>11.1109487506639</v>
      </c>
      <c r="AL8416">
        <v>88.354999524228504</v>
      </c>
      <c r="AM8416">
        <v>97.4817775158985</v>
      </c>
      <c r="AN8416">
        <v>0.99999999024821096</v>
      </c>
    </row>
    <row r="8417" spans="1:40" x14ac:dyDescent="0.25">
      <c r="A8417" t="str">
        <f>"20190312150854226"</f>
        <v>20190312150854226</v>
      </c>
      <c r="B8417" t="str">
        <f>"1552374534217978"</f>
        <v>1552374534217978</v>
      </c>
      <c r="C8417" t="s">
        <v>40</v>
      </c>
      <c r="D8417">
        <v>4.8237399999999999</v>
      </c>
      <c r="E8417">
        <v>0.43521530000000003</v>
      </c>
      <c r="F8417" t="s">
        <v>81</v>
      </c>
      <c r="G8417">
        <v>-381.75240000000002</v>
      </c>
      <c r="H8417" s="1">
        <v>-4.0920550000000004E-6</v>
      </c>
      <c r="I8417">
        <v>18.528739999999999</v>
      </c>
      <c r="J8417">
        <v>-393.15960000000001</v>
      </c>
      <c r="K8417">
        <v>1.115764</v>
      </c>
      <c r="L8417">
        <v>18.111999999999998</v>
      </c>
      <c r="M8417">
        <v>0.96381700000000003</v>
      </c>
      <c r="N8417">
        <v>0</v>
      </c>
      <c r="O8417">
        <v>-0.26625579999999999</v>
      </c>
      <c r="P8417">
        <v>0.99011700000000002</v>
      </c>
      <c r="Q8417">
        <v>1.800962E-2</v>
      </c>
      <c r="R8417">
        <v>-0.13908190000000001</v>
      </c>
      <c r="S8417">
        <v>3.0512700000000001</v>
      </c>
      <c r="T8417">
        <v>-0.2947979</v>
      </c>
      <c r="U8417">
        <v>0.1006165</v>
      </c>
      <c r="V8417">
        <v>-0.12999140000000001</v>
      </c>
      <c r="W8417">
        <v>2.8958390000000001E-2</v>
      </c>
      <c r="X8417">
        <v>0.99109210000000003</v>
      </c>
      <c r="Y8417">
        <v>-0.2953055</v>
      </c>
      <c r="Z8417">
        <v>3.9679909999999999E-2</v>
      </c>
      <c r="AA8417">
        <v>0.9545785</v>
      </c>
      <c r="AB8417">
        <v>29</v>
      </c>
      <c r="AC8417">
        <v>11.4071999999999</v>
      </c>
      <c r="AD8417">
        <v>-1.1157680920549999</v>
      </c>
      <c r="AE8417">
        <v>0.416739999999997</v>
      </c>
      <c r="AF8417">
        <v>-3.40662855870477</v>
      </c>
      <c r="AG8417">
        <v>-1.1157680920549999</v>
      </c>
      <c r="AH8417">
        <v>10.781378591378299</v>
      </c>
      <c r="AI8417">
        <v>95.635777956136593</v>
      </c>
      <c r="AJ8417">
        <v>107.5351490555</v>
      </c>
      <c r="AK8417">
        <v>11.361697976220899</v>
      </c>
      <c r="AL8417">
        <v>88.340574406809907</v>
      </c>
      <c r="AM8417">
        <v>97.472247323540898</v>
      </c>
      <c r="AN8417">
        <v>0.99999995155388</v>
      </c>
    </row>
    <row r="8418" spans="1:40" x14ac:dyDescent="0.25">
      <c r="A8418" t="str">
        <f>"20190312150854237"</f>
        <v>20190312150854237</v>
      </c>
      <c r="B8418" t="str">
        <f>"1552374534228716"</f>
        <v>1552374534228716</v>
      </c>
      <c r="C8418" t="s">
        <v>40</v>
      </c>
      <c r="D8418">
        <v>4.865354</v>
      </c>
      <c r="E8418">
        <v>0.43543029999999999</v>
      </c>
      <c r="F8418" t="s">
        <v>81</v>
      </c>
      <c r="G8418">
        <v>-381.59559999999999</v>
      </c>
      <c r="H8418" s="1">
        <v>-4.1664389999999996E-6</v>
      </c>
      <c r="I8418">
        <v>18.527180000000001</v>
      </c>
      <c r="J8418">
        <v>-393.01979999999998</v>
      </c>
      <c r="K8418">
        <v>1.115767</v>
      </c>
      <c r="L8418">
        <v>18.07733</v>
      </c>
      <c r="M8418">
        <v>0.96480080000000001</v>
      </c>
      <c r="N8418">
        <v>0</v>
      </c>
      <c r="O8418">
        <v>-0.26266899999999999</v>
      </c>
      <c r="P8418">
        <v>0.99059940000000002</v>
      </c>
      <c r="Q8418">
        <v>1.842719E-2</v>
      </c>
      <c r="R8418">
        <v>-0.13554859999999999</v>
      </c>
      <c r="S8418">
        <v>3.0506899999999999</v>
      </c>
      <c r="T8418">
        <v>-0.29435109999999998</v>
      </c>
      <c r="U8418">
        <v>0.1095276</v>
      </c>
      <c r="V8418">
        <v>-0.12984369999999901</v>
      </c>
      <c r="W8418">
        <v>2.9378310000000001E-2</v>
      </c>
      <c r="X8418">
        <v>0.99109910000000001</v>
      </c>
      <c r="Y8418">
        <v>-0.29457179999999999</v>
      </c>
      <c r="Z8418">
        <v>3.9256390000000002E-2</v>
      </c>
      <c r="AA8418">
        <v>0.95482270000000002</v>
      </c>
      <c r="AB8418">
        <v>29</v>
      </c>
      <c r="AC8418">
        <v>11.4241999999999</v>
      </c>
      <c r="AD8418">
        <v>-1.115771166439</v>
      </c>
      <c r="AE8418">
        <v>0.44984999999999697</v>
      </c>
      <c r="AF8418">
        <v>-3.40267368395692</v>
      </c>
      <c r="AG8418">
        <v>-1.115771166439</v>
      </c>
      <c r="AH8418">
        <v>10.801933001942601</v>
      </c>
      <c r="AI8418">
        <v>95.626689746650399</v>
      </c>
      <c r="AJ8418">
        <v>107.484739953253</v>
      </c>
      <c r="AK8418">
        <v>11.380021532220701</v>
      </c>
      <c r="AL8418">
        <v>88.316504515632403</v>
      </c>
      <c r="AM8418">
        <v>97.463800797584597</v>
      </c>
      <c r="AN8418">
        <v>0.99999994877447596</v>
      </c>
    </row>
    <row r="8419" spans="1:40" x14ac:dyDescent="0.25">
      <c r="A8419" t="str">
        <f>"20190312150854249"</f>
        <v>20190312150854249</v>
      </c>
      <c r="B8419" t="str">
        <f>"1552374534238475"</f>
        <v>1552374534238475</v>
      </c>
      <c r="C8419" t="s">
        <v>40</v>
      </c>
      <c r="D8419">
        <v>4.8532349999999997</v>
      </c>
      <c r="E8419">
        <v>0.43553999999999998</v>
      </c>
      <c r="F8419" t="s">
        <v>81</v>
      </c>
      <c r="G8419">
        <v>-381.3578</v>
      </c>
      <c r="H8419" s="1">
        <v>-4.2781709999999998E-6</v>
      </c>
      <c r="I8419">
        <v>18.531110000000002</v>
      </c>
      <c r="J8419">
        <v>-392.88420000000002</v>
      </c>
      <c r="K8419">
        <v>1.115769</v>
      </c>
      <c r="L8419">
        <v>18.0441</v>
      </c>
      <c r="M8419">
        <v>0.9657422</v>
      </c>
      <c r="N8419">
        <v>0</v>
      </c>
      <c r="O8419">
        <v>-0.25918669999999999</v>
      </c>
      <c r="P8419">
        <v>0.99101779999999995</v>
      </c>
      <c r="Q8419">
        <v>1.8794700000000001E-2</v>
      </c>
      <c r="R8419">
        <v>-0.13240399999999999</v>
      </c>
      <c r="S8419">
        <v>3.0501100000000001</v>
      </c>
      <c r="T8419">
        <v>-0.2918211</v>
      </c>
      <c r="U8419">
        <v>0.11868289999999999</v>
      </c>
      <c r="V8419">
        <v>-0.12941739999999999</v>
      </c>
      <c r="W8419">
        <v>2.9752460000000001E-2</v>
      </c>
      <c r="X8419">
        <v>0.99114380000000002</v>
      </c>
      <c r="Y8419">
        <v>-0.29405619999999999</v>
      </c>
      <c r="Z8419">
        <v>3.8579450000000001E-2</v>
      </c>
      <c r="AA8419">
        <v>0.9550092</v>
      </c>
      <c r="AB8419">
        <v>29</v>
      </c>
      <c r="AC8419">
        <v>11.526400000000001</v>
      </c>
      <c r="AD8419">
        <v>-1.1157732781709999</v>
      </c>
      <c r="AE8419">
        <v>0.487010000000001</v>
      </c>
      <c r="AF8419">
        <v>-3.42605295877024</v>
      </c>
      <c r="AG8419">
        <v>-1.1157732781709999</v>
      </c>
      <c r="AH8419">
        <v>10.904212091180099</v>
      </c>
      <c r="AI8419">
        <v>95.575542626895697</v>
      </c>
      <c r="AJ8419">
        <v>107.44247731780101</v>
      </c>
      <c r="AK8419">
        <v>11.484103370051001</v>
      </c>
      <c r="AL8419">
        <v>88.295058099629699</v>
      </c>
      <c r="AM8419">
        <v>97.439238996135799</v>
      </c>
      <c r="AN8419">
        <v>1.0000000522886201</v>
      </c>
    </row>
    <row r="8420" spans="1:40" x14ac:dyDescent="0.25">
      <c r="A8420" t="str">
        <f>"20190312150854259"</f>
        <v>20190312150854259</v>
      </c>
      <c r="B8420" t="str">
        <f>"1552374534248236"</f>
        <v>1552374534248236</v>
      </c>
      <c r="C8420" t="s">
        <v>40</v>
      </c>
      <c r="D8420">
        <v>4.8208760000000002</v>
      </c>
      <c r="E8420">
        <v>0.43590069999999997</v>
      </c>
      <c r="F8420" t="s">
        <v>81</v>
      </c>
      <c r="G8420">
        <v>-381.34129999999999</v>
      </c>
      <c r="H8420" s="1">
        <v>-4.2866919999999998E-6</v>
      </c>
      <c r="I8420">
        <v>18.527010000000001</v>
      </c>
      <c r="J8420">
        <v>-392.74079999999998</v>
      </c>
      <c r="K8420">
        <v>1.115775</v>
      </c>
      <c r="L8420">
        <v>18.009519999999998</v>
      </c>
      <c r="M8420">
        <v>0.96672309999999995</v>
      </c>
      <c r="N8420">
        <v>0</v>
      </c>
      <c r="O8420">
        <v>-0.25550319999999999</v>
      </c>
      <c r="P8420">
        <v>0.99147819999999998</v>
      </c>
      <c r="Q8420">
        <v>1.9596809999999999E-2</v>
      </c>
      <c r="R8420">
        <v>-0.1287905</v>
      </c>
      <c r="S8420">
        <v>3.0498349999999999</v>
      </c>
      <c r="T8420">
        <v>-0.29480620000000002</v>
      </c>
      <c r="U8420">
        <v>0.12759400000000001</v>
      </c>
      <c r="V8420">
        <v>-0.12925929999999999</v>
      </c>
      <c r="W8420">
        <v>3.055652E-2</v>
      </c>
      <c r="X8420">
        <v>0.99113989999999996</v>
      </c>
      <c r="Y8420">
        <v>-0.29317330000000003</v>
      </c>
      <c r="Z8420">
        <v>3.8586580000000002E-2</v>
      </c>
      <c r="AA8420">
        <v>0.95528029999999997</v>
      </c>
      <c r="AB8420">
        <v>28</v>
      </c>
      <c r="AC8420">
        <v>11.3994999999999</v>
      </c>
      <c r="AD8420">
        <v>-1.115779286692</v>
      </c>
      <c r="AE8420">
        <v>0.51748999999999801</v>
      </c>
      <c r="AF8420">
        <v>-3.38083586752564</v>
      </c>
      <c r="AG8420">
        <v>-1.115779286692</v>
      </c>
      <c r="AH8420">
        <v>10.785716323088799</v>
      </c>
      <c r="AI8420">
        <v>95.637620162796495</v>
      </c>
      <c r="AJ8420">
        <v>107.40385636593901</v>
      </c>
      <c r="AK8420">
        <v>11.358111250639499</v>
      </c>
      <c r="AL8420">
        <v>88.248967777994295</v>
      </c>
      <c r="AM8420">
        <v>97.430281529606901</v>
      </c>
      <c r="AN8420">
        <v>0.99999998446150495</v>
      </c>
    </row>
    <row r="8421" spans="1:40" x14ac:dyDescent="0.25">
      <c r="A8421" t="str">
        <f>"20190312150854272"</f>
        <v>20190312150854272</v>
      </c>
      <c r="B8421" t="str">
        <f>"1552374534267755"</f>
        <v>1552374534267755</v>
      </c>
      <c r="C8421" t="s">
        <v>40</v>
      </c>
      <c r="D8421">
        <v>4.8322710000000004</v>
      </c>
      <c r="E8421">
        <v>0.43654870000000001</v>
      </c>
      <c r="F8421" t="s">
        <v>81</v>
      </c>
      <c r="G8421">
        <v>-381.06150000000002</v>
      </c>
      <c r="H8421" s="1">
        <v>-4.4184909999999997E-6</v>
      </c>
      <c r="I8421">
        <v>18.529679999999999</v>
      </c>
      <c r="J8421">
        <v>-392.60090000000002</v>
      </c>
      <c r="K8421">
        <v>1.1157779999999999</v>
      </c>
      <c r="L8421">
        <v>17.976410000000001</v>
      </c>
      <c r="M8421">
        <v>0.96766589999999997</v>
      </c>
      <c r="N8421">
        <v>0</v>
      </c>
      <c r="O8421">
        <v>-0.25190980000000002</v>
      </c>
      <c r="P8421">
        <v>0.99190769999999995</v>
      </c>
      <c r="Q8421">
        <v>2.0016610000000001E-2</v>
      </c>
      <c r="R8421">
        <v>-0.1253736</v>
      </c>
      <c r="S8421">
        <v>3.049255</v>
      </c>
      <c r="T8421">
        <v>-0.29130919999999999</v>
      </c>
      <c r="U8421">
        <v>0.13580320000000001</v>
      </c>
      <c r="V8421">
        <v>-0.12899479999999999</v>
      </c>
      <c r="W8421">
        <v>3.0980230000000001E-2</v>
      </c>
      <c r="X8421">
        <v>0.99116119999999996</v>
      </c>
      <c r="Y8421">
        <v>-0.29227730000000002</v>
      </c>
      <c r="Z8421">
        <v>3.7760809999999999E-2</v>
      </c>
      <c r="AA8421">
        <v>0.95558790000000005</v>
      </c>
      <c r="AB8421">
        <v>28</v>
      </c>
      <c r="AC8421">
        <v>11.539400000000001</v>
      </c>
      <c r="AD8421">
        <v>-1.1157824184909999</v>
      </c>
      <c r="AE8421">
        <v>0.55326999999999704</v>
      </c>
      <c r="AF8421">
        <v>-3.4107351957404801</v>
      </c>
      <c r="AG8421">
        <v>-1.1157824184909999</v>
      </c>
      <c r="AH8421">
        <v>10.925896582905001</v>
      </c>
      <c r="AI8421">
        <v>95.567787144358803</v>
      </c>
      <c r="AJ8421">
        <v>107.336788309855</v>
      </c>
      <c r="AK8421">
        <v>11.5001435261136</v>
      </c>
      <c r="AL8421">
        <v>88.224679473020899</v>
      </c>
      <c r="AM8421">
        <v>97.415088936177995</v>
      </c>
      <c r="AN8421">
        <v>0.99999997873166602</v>
      </c>
    </row>
    <row r="8422" spans="1:40" x14ac:dyDescent="0.25">
      <c r="A8422" t="str">
        <f>"20190312150854283"</f>
        <v>20190312150854283</v>
      </c>
      <c r="B8422" t="str">
        <f>"1552374534278490"</f>
        <v>1552374534278490</v>
      </c>
      <c r="C8422" t="s">
        <v>40</v>
      </c>
      <c r="D8422">
        <v>4.8912190000000004</v>
      </c>
      <c r="E8422">
        <v>0.43686829999999999</v>
      </c>
      <c r="F8422" t="s">
        <v>81</v>
      </c>
      <c r="G8422">
        <v>-380.94060000000002</v>
      </c>
      <c r="H8422" s="1">
        <v>-4.4779790000000002E-6</v>
      </c>
      <c r="I8422">
        <v>18.516559999999998</v>
      </c>
      <c r="J8422">
        <v>-392.45749999999998</v>
      </c>
      <c r="K8422">
        <v>1.11578</v>
      </c>
      <c r="L8422">
        <v>17.94284</v>
      </c>
      <c r="M8422">
        <v>0.96861750000000002</v>
      </c>
      <c r="N8422">
        <v>0</v>
      </c>
      <c r="O8422">
        <v>-0.24822530000000001</v>
      </c>
      <c r="P8422">
        <v>0.99232229999999999</v>
      </c>
      <c r="Q8422">
        <v>2.0382649999999999E-2</v>
      </c>
      <c r="R8422">
        <v>-0.121988</v>
      </c>
      <c r="S8422">
        <v>3.0482179999999999</v>
      </c>
      <c r="T8422">
        <v>-0.29168549999999999</v>
      </c>
      <c r="U8422">
        <v>0.14120479999999899</v>
      </c>
      <c r="V8422">
        <v>-0.1286081</v>
      </c>
      <c r="W8422">
        <v>3.1352449999999997E-2</v>
      </c>
      <c r="X8422">
        <v>0.99119979999999996</v>
      </c>
      <c r="Y8422">
        <v>-0.29036119999999999</v>
      </c>
      <c r="Z8422">
        <v>3.7386669999999997E-2</v>
      </c>
      <c r="AA8422">
        <v>0.95618650000000005</v>
      </c>
      <c r="AB8422">
        <v>28</v>
      </c>
      <c r="AC8422">
        <v>11.5168999999999</v>
      </c>
      <c r="AD8422">
        <v>-1.115784477979</v>
      </c>
      <c r="AE8422">
        <v>0.57372000000000101</v>
      </c>
      <c r="AF8422">
        <v>-3.3831059165622102</v>
      </c>
      <c r="AG8422">
        <v>-1.115784477979</v>
      </c>
      <c r="AH8422">
        <v>10.9117974246128</v>
      </c>
      <c r="AI8422">
        <v>95.578292215984206</v>
      </c>
      <c r="AJ8422">
        <v>107.22558571182699</v>
      </c>
      <c r="AK8422">
        <v>11.4785758559049</v>
      </c>
      <c r="AL8422">
        <v>88.2033425669877</v>
      </c>
      <c r="AM8422">
        <v>97.392821575746396</v>
      </c>
      <c r="AN8422">
        <v>1.00000003151332</v>
      </c>
    </row>
    <row r="8423" spans="1:40" x14ac:dyDescent="0.25">
      <c r="A8423" t="str">
        <f>"20190312150854295"</f>
        <v>20190312150854295</v>
      </c>
      <c r="B8423" t="str">
        <f>"1552374534288250"</f>
        <v>1552374534288250</v>
      </c>
      <c r="C8423" t="s">
        <v>40</v>
      </c>
      <c r="D8423">
        <v>4.8116539999999999</v>
      </c>
      <c r="E8423">
        <v>0.43725619999999998</v>
      </c>
      <c r="F8423" t="s">
        <v>81</v>
      </c>
      <c r="G8423">
        <v>-380.68669999999997</v>
      </c>
      <c r="H8423" s="1">
        <v>-4.5975980000000002E-6</v>
      </c>
      <c r="I8423">
        <v>18.518650000000001</v>
      </c>
      <c r="J8423">
        <v>-392.32690000000002</v>
      </c>
      <c r="K8423">
        <v>1.11578</v>
      </c>
      <c r="L8423">
        <v>17.91309</v>
      </c>
      <c r="M8423">
        <v>0.96947070000000002</v>
      </c>
      <c r="N8423">
        <v>0</v>
      </c>
      <c r="O8423">
        <v>-0.2448719</v>
      </c>
      <c r="P8423">
        <v>0.99268250000000002</v>
      </c>
      <c r="Q8423">
        <v>2.1206289999999999E-2</v>
      </c>
      <c r="R8423">
        <v>-0.11887880000000001</v>
      </c>
      <c r="S8423">
        <v>3.047485</v>
      </c>
      <c r="T8423">
        <v>-0.28888000000000003</v>
      </c>
      <c r="U8423">
        <v>0.1490784</v>
      </c>
      <c r="V8423">
        <v>-0.12828999999999999</v>
      </c>
      <c r="W8423">
        <v>3.2180779999999999E-2</v>
      </c>
      <c r="X8423">
        <v>0.9912145</v>
      </c>
      <c r="Y8423">
        <v>-0.2895913</v>
      </c>
      <c r="Z8423">
        <v>3.6690470000000003E-2</v>
      </c>
      <c r="AA8423">
        <v>0.95644689999999999</v>
      </c>
      <c r="AB8423">
        <v>28</v>
      </c>
      <c r="AC8423">
        <v>11.6402</v>
      </c>
      <c r="AD8423">
        <v>-1.1157845975980001</v>
      </c>
      <c r="AE8423">
        <v>0.60555999999999999</v>
      </c>
      <c r="AF8423">
        <v>-3.4064972392997199</v>
      </c>
      <c r="AG8423">
        <v>-1.1157845975980001</v>
      </c>
      <c r="AH8423">
        <v>11.0363307717659</v>
      </c>
      <c r="AI8423">
        <v>95.517872679931401</v>
      </c>
      <c r="AJ8423">
        <v>107.153475488249</v>
      </c>
      <c r="AK8423">
        <v>11.603869855070799</v>
      </c>
      <c r="AL8423">
        <v>88.155858834574602</v>
      </c>
      <c r="AM8423">
        <v>97.374629499156796</v>
      </c>
      <c r="AN8423">
        <v>1.00000005585582</v>
      </c>
    </row>
    <row r="8424" spans="1:40" x14ac:dyDescent="0.25">
      <c r="A8424" t="str">
        <f>"20190312150854305"</f>
        <v>20190312150854305</v>
      </c>
      <c r="B8424" t="str">
        <f>"1552374534298010"</f>
        <v>1552374534298010</v>
      </c>
      <c r="C8424" t="s">
        <v>40</v>
      </c>
      <c r="D8424">
        <v>4.9498660000000001</v>
      </c>
      <c r="E8424">
        <v>0.43768190000000001</v>
      </c>
      <c r="F8424" t="s">
        <v>81</v>
      </c>
      <c r="G8424">
        <v>-380.43560000000002</v>
      </c>
      <c r="H8424" s="1">
        <v>-4.716137E-6</v>
      </c>
      <c r="I8424">
        <v>18.519559999999998</v>
      </c>
      <c r="J8424">
        <v>-392.18830000000003</v>
      </c>
      <c r="K8424">
        <v>1.1157820000000001</v>
      </c>
      <c r="L8424">
        <v>17.88165</v>
      </c>
      <c r="M8424">
        <v>0.97036429999999996</v>
      </c>
      <c r="N8424">
        <v>0</v>
      </c>
      <c r="O8424">
        <v>-0.24130650000000001</v>
      </c>
      <c r="P8424">
        <v>0.99303660000000005</v>
      </c>
      <c r="Q8424">
        <v>2.1996479999999999E-2</v>
      </c>
      <c r="R8424">
        <v>-0.1157354</v>
      </c>
      <c r="S8424">
        <v>3.046875</v>
      </c>
      <c r="T8424">
        <v>-0.28589389999999998</v>
      </c>
      <c r="U8424">
        <v>0.15539549999999999</v>
      </c>
      <c r="V8424">
        <v>-0.12779080000000001</v>
      </c>
      <c r="W8424">
        <v>3.297858E-2</v>
      </c>
      <c r="X8424">
        <v>0.99125269999999999</v>
      </c>
      <c r="Y8424">
        <v>-0.288132</v>
      </c>
      <c r="Z8424">
        <v>3.5924579999999998E-2</v>
      </c>
      <c r="AA8424">
        <v>0.95691660000000001</v>
      </c>
      <c r="AB8424">
        <v>28</v>
      </c>
      <c r="AC8424">
        <v>11.752700000000001</v>
      </c>
      <c r="AD8424">
        <v>-1.1157867161370001</v>
      </c>
      <c r="AE8424">
        <v>0.63791000000000098</v>
      </c>
      <c r="AF8424">
        <v>-3.42451610014465</v>
      </c>
      <c r="AG8424">
        <v>-1.1157867161370001</v>
      </c>
      <c r="AH8424">
        <v>11.1511785797071</v>
      </c>
      <c r="AI8424">
        <v>95.463785593940003</v>
      </c>
      <c r="AJ8424">
        <v>107.071671242807</v>
      </c>
      <c r="AK8424">
        <v>11.718407495584801</v>
      </c>
      <c r="AL8424">
        <v>88.110123869753707</v>
      </c>
      <c r="AM8424">
        <v>97.345967514046706</v>
      </c>
      <c r="AN8424">
        <v>0.99999999528037298</v>
      </c>
    </row>
    <row r="8425" spans="1:40" x14ac:dyDescent="0.25">
      <c r="A8425" t="str">
        <f>"20190312150854317"</f>
        <v>20190312150854317</v>
      </c>
      <c r="B8425" t="str">
        <f>"1552374534308747"</f>
        <v>1552374534308747</v>
      </c>
      <c r="C8425" t="s">
        <v>40</v>
      </c>
      <c r="D8425">
        <v>4.8660059999999996</v>
      </c>
      <c r="E8425">
        <v>0.43803180000000003</v>
      </c>
      <c r="F8425" t="s">
        <v>81</v>
      </c>
      <c r="G8425">
        <v>-380.13909999999998</v>
      </c>
      <c r="H8425" s="1">
        <v>-4.8560419999999996E-6</v>
      </c>
      <c r="I8425">
        <v>18.521070000000002</v>
      </c>
      <c r="J8425">
        <v>-392.03919999999999</v>
      </c>
      <c r="K8425">
        <v>1.115785</v>
      </c>
      <c r="L8425">
        <v>17.848790000000001</v>
      </c>
      <c r="M8425">
        <v>0.97130839999999996</v>
      </c>
      <c r="N8425">
        <v>0</v>
      </c>
      <c r="O8425">
        <v>-0.23747789999999999</v>
      </c>
      <c r="P8425">
        <v>0.99339809999999995</v>
      </c>
      <c r="Q8425">
        <v>2.247149E-2</v>
      </c>
      <c r="R8425">
        <v>-0.1124966</v>
      </c>
      <c r="S8425">
        <v>3.0461429999999998</v>
      </c>
      <c r="T8425">
        <v>-0.28208109999999997</v>
      </c>
      <c r="U8425">
        <v>0.16165160000000001</v>
      </c>
      <c r="V8425">
        <v>-0.12711800000000001</v>
      </c>
      <c r="W8425">
        <v>3.3463260000000002E-2</v>
      </c>
      <c r="X8425">
        <v>0.99132290000000001</v>
      </c>
      <c r="Y8425">
        <v>-0.28641290000000003</v>
      </c>
      <c r="Z8425">
        <v>3.5029449999999997E-2</v>
      </c>
      <c r="AA8425">
        <v>0.95746569999999998</v>
      </c>
      <c r="AB8425">
        <v>28</v>
      </c>
      <c r="AC8425">
        <v>11.9001</v>
      </c>
      <c r="AD8425">
        <v>-1.1157898560420001</v>
      </c>
      <c r="AE8425">
        <v>0.67227999999999999</v>
      </c>
      <c r="AF8425">
        <v>-3.4490616965897298</v>
      </c>
      <c r="AG8425">
        <v>-1.1157898560420001</v>
      </c>
      <c r="AH8425">
        <v>11.300915582199</v>
      </c>
      <c r="AI8425">
        <v>95.394682078302395</v>
      </c>
      <c r="AJ8425">
        <v>106.97229243915299</v>
      </c>
      <c r="AK8425">
        <v>11.868096165169799</v>
      </c>
      <c r="AL8425">
        <v>88.082338296487094</v>
      </c>
      <c r="AM8425">
        <v>97.307199320537094</v>
      </c>
      <c r="AN8425">
        <v>0.99999993387911601</v>
      </c>
    </row>
    <row r="8426" spans="1:40" x14ac:dyDescent="0.25">
      <c r="A8426" t="str">
        <f>"20190312150854329"</f>
        <v>20190312150854329</v>
      </c>
      <c r="B8426" t="str">
        <f>"1552374534318506"</f>
        <v>1552374534318506</v>
      </c>
      <c r="C8426" t="s">
        <v>40</v>
      </c>
      <c r="D8426">
        <v>4.8471039999999999</v>
      </c>
      <c r="E8426">
        <v>0.4383782</v>
      </c>
      <c r="F8426" t="s">
        <v>82</v>
      </c>
      <c r="G8426">
        <v>-379.92739999999998</v>
      </c>
      <c r="H8426" s="1">
        <v>-3.0396690000000002E-7</v>
      </c>
      <c r="I8426">
        <v>18.519369999999999</v>
      </c>
      <c r="J8426">
        <v>-391.9049</v>
      </c>
      <c r="K8426">
        <v>1.115788</v>
      </c>
      <c r="L8426">
        <v>17.819489999999998</v>
      </c>
      <c r="M8426">
        <v>0.97214590000000001</v>
      </c>
      <c r="N8426">
        <v>0</v>
      </c>
      <c r="O8426">
        <v>-0.2340257</v>
      </c>
      <c r="P8426">
        <v>0.9936855</v>
      </c>
      <c r="Q8426">
        <v>2.321635E-2</v>
      </c>
      <c r="R8426">
        <v>-0.1097731</v>
      </c>
      <c r="S8426">
        <v>3.0453800000000002</v>
      </c>
      <c r="T8426">
        <v>-0.28055160000000001</v>
      </c>
      <c r="U8426">
        <v>0.1686096</v>
      </c>
      <c r="V8426">
        <v>-0.12631869999999901</v>
      </c>
      <c r="W8426">
        <v>3.4220510000000003E-2</v>
      </c>
      <c r="X8426">
        <v>0.99139929999999998</v>
      </c>
      <c r="Y8426">
        <v>-0.28524729999999998</v>
      </c>
      <c r="Z8426">
        <v>3.4483590000000001E-2</v>
      </c>
      <c r="AA8426">
        <v>0.95783339999999995</v>
      </c>
      <c r="AB8426">
        <v>28</v>
      </c>
      <c r="AC8426">
        <v>11.977499999999999</v>
      </c>
      <c r="AD8426">
        <v>-1.1157883039668901</v>
      </c>
      <c r="AE8426">
        <v>0.69988000000000306</v>
      </c>
      <c r="AF8426">
        <v>-3.4538432692219301</v>
      </c>
      <c r="AG8426">
        <v>-1.1157883039668901</v>
      </c>
      <c r="AH8426">
        <v>11.3825863413267</v>
      </c>
      <c r="AI8426">
        <v>95.358818876659399</v>
      </c>
      <c r="AJ8426">
        <v>106.879486994046</v>
      </c>
      <c r="AK8426">
        <v>11.947271181545</v>
      </c>
      <c r="AL8426">
        <v>88.038926355532993</v>
      </c>
      <c r="AM8426">
        <v>97.261191032928807</v>
      </c>
      <c r="AN8426">
        <v>1.0000000146574199</v>
      </c>
    </row>
    <row r="8427" spans="1:40" x14ac:dyDescent="0.25">
      <c r="A8427" t="str">
        <f>"20190312150854339"</f>
        <v>20190312150854339</v>
      </c>
      <c r="B8427" t="str">
        <f>"1552374534328267"</f>
        <v>1552374534328267</v>
      </c>
      <c r="C8427" t="s">
        <v>40</v>
      </c>
      <c r="D8427">
        <v>4.8388679999999997</v>
      </c>
      <c r="E8427">
        <v>0.4387819</v>
      </c>
      <c r="F8427" t="s">
        <v>82</v>
      </c>
      <c r="G8427">
        <v>-379.78199999999998</v>
      </c>
      <c r="H8427" s="1">
        <v>-3.6150499999999998E-7</v>
      </c>
      <c r="I8427">
        <v>18.512920000000001</v>
      </c>
      <c r="J8427">
        <v>-391.75510000000003</v>
      </c>
      <c r="K8427">
        <v>1.1157969999999999</v>
      </c>
      <c r="L8427">
        <v>17.787479999999999</v>
      </c>
      <c r="M8427">
        <v>0.97306479999999995</v>
      </c>
      <c r="N8427">
        <v>0</v>
      </c>
      <c r="O8427">
        <v>-0.2301753</v>
      </c>
      <c r="P8427">
        <v>0.99402699999999999</v>
      </c>
      <c r="Q8427">
        <v>2.388434E-2</v>
      </c>
      <c r="R8427">
        <v>-0.10649</v>
      </c>
      <c r="S8427">
        <v>3.0448300000000001</v>
      </c>
      <c r="T8427">
        <v>-0.280246</v>
      </c>
      <c r="U8427">
        <v>0.17416379999999901</v>
      </c>
      <c r="V8427">
        <v>-0.12567420000000001</v>
      </c>
      <c r="W8427">
        <v>3.4898180000000001E-2</v>
      </c>
      <c r="X8427">
        <v>0.99145760000000005</v>
      </c>
      <c r="Y8427">
        <v>-0.2832344</v>
      </c>
      <c r="Z8427">
        <v>3.401233E-2</v>
      </c>
      <c r="AA8427">
        <v>0.95844739999999995</v>
      </c>
      <c r="AB8427">
        <v>28</v>
      </c>
      <c r="AC8427">
        <v>11.973100000000001</v>
      </c>
      <c r="AD8427">
        <v>-1.1157973615050001</v>
      </c>
      <c r="AE8427">
        <v>0.72544000000000197</v>
      </c>
      <c r="AF8427">
        <v>-3.4323958321038202</v>
      </c>
      <c r="AG8427">
        <v>-1.1157973615050001</v>
      </c>
      <c r="AH8427">
        <v>11.3860435741282</v>
      </c>
      <c r="AI8427">
        <v>95.360161181292895</v>
      </c>
      <c r="AJ8427">
        <v>106.77576966700499</v>
      </c>
      <c r="AK8427">
        <v>11.944385006024</v>
      </c>
      <c r="AL8427">
        <v>88.000075547612198</v>
      </c>
      <c r="AM8427">
        <v>97.224115267722397</v>
      </c>
      <c r="AN8427">
        <v>1.00000003005535</v>
      </c>
    </row>
    <row r="8428" spans="1:40" x14ac:dyDescent="0.25">
      <c r="A8428" t="str">
        <f>"20190312150854353"</f>
        <v>20190312150854353</v>
      </c>
      <c r="B8428" t="str">
        <f>"1552374534348763"</f>
        <v>1552374534348763</v>
      </c>
      <c r="C8428" t="s">
        <v>40</v>
      </c>
      <c r="D8428">
        <v>4.9125189999999996</v>
      </c>
      <c r="E8428">
        <v>0.43961420000000001</v>
      </c>
      <c r="F8428" t="s">
        <v>82</v>
      </c>
      <c r="G8428">
        <v>-379.54430000000002</v>
      </c>
      <c r="H8428" s="1">
        <v>-4.5277650000000002E-7</v>
      </c>
      <c r="I8428">
        <v>18.51304</v>
      </c>
      <c r="J8428">
        <v>-391.60649999999998</v>
      </c>
      <c r="K8428">
        <v>1.115799</v>
      </c>
      <c r="L8428">
        <v>17.756439999999898</v>
      </c>
      <c r="M8428">
        <v>0.97395969999999998</v>
      </c>
      <c r="N8428">
        <v>0</v>
      </c>
      <c r="O8428">
        <v>-0.2263578</v>
      </c>
      <c r="P8428">
        <v>0.99433530000000003</v>
      </c>
      <c r="Q8428">
        <v>2.441105E-2</v>
      </c>
      <c r="R8428">
        <v>-0.1034456</v>
      </c>
      <c r="S8428">
        <v>3.0440670000000001</v>
      </c>
      <c r="T8428">
        <v>-0.27816059999999998</v>
      </c>
      <c r="U8428">
        <v>0.1808777</v>
      </c>
      <c r="V8428">
        <v>-0.12482650000000001</v>
      </c>
      <c r="W8428">
        <v>3.5437139999999999E-2</v>
      </c>
      <c r="X8428">
        <v>0.99154560000000003</v>
      </c>
      <c r="Y8428">
        <v>-0.28164929999999999</v>
      </c>
      <c r="Z8428">
        <v>3.3353790000000001E-2</v>
      </c>
      <c r="AA8428">
        <v>0.9589375</v>
      </c>
      <c r="AB8428">
        <v>28</v>
      </c>
      <c r="AC8428">
        <v>12.062199999999899</v>
      </c>
      <c r="AD8428">
        <v>-1.1157994527765001</v>
      </c>
      <c r="AE8428">
        <v>0.75660000000000205</v>
      </c>
      <c r="AF8428">
        <v>-3.4382507849610402</v>
      </c>
      <c r="AG8428">
        <v>-1.1157994527765001</v>
      </c>
      <c r="AH8428">
        <v>11.479939212136999</v>
      </c>
      <c r="AI8428">
        <v>95.319431786577496</v>
      </c>
      <c r="AJ8428">
        <v>106.672999330249</v>
      </c>
      <c r="AK8428">
        <v>12.0355964203467</v>
      </c>
      <c r="AL8428">
        <v>87.969176365141706</v>
      </c>
      <c r="AM8428">
        <v>97.175266464291695</v>
      </c>
      <c r="AN8428">
        <v>1.0000000614364899</v>
      </c>
    </row>
    <row r="8429" spans="1:40" x14ac:dyDescent="0.25">
      <c r="A8429" t="str">
        <f>"20190312150854368"</f>
        <v>20190312150854368</v>
      </c>
      <c r="B8429" t="str">
        <f>"1552374534358523"</f>
        <v>1552374534358523</v>
      </c>
      <c r="C8429" t="s">
        <v>40</v>
      </c>
      <c r="D8429">
        <v>4.8039459999999998</v>
      </c>
      <c r="E8429">
        <v>0.44010709999999997</v>
      </c>
      <c r="F8429" t="s">
        <v>82</v>
      </c>
      <c r="G8429">
        <v>-379.27949999999998</v>
      </c>
      <c r="H8429" s="1">
        <v>-5.580425E-7</v>
      </c>
      <c r="I8429">
        <v>18.499580000000002</v>
      </c>
      <c r="J8429">
        <v>-391.41969999999998</v>
      </c>
      <c r="K8429">
        <v>1.115801</v>
      </c>
      <c r="L8429">
        <v>17.71808</v>
      </c>
      <c r="M8429">
        <v>0.97506360000000003</v>
      </c>
      <c r="N8429">
        <v>0</v>
      </c>
      <c r="O8429">
        <v>-0.22155549999999999</v>
      </c>
      <c r="P8429">
        <v>0.9947085</v>
      </c>
      <c r="Q8429">
        <v>2.5117239999999999E-2</v>
      </c>
      <c r="R8429">
        <v>-9.9621370000000001E-2</v>
      </c>
      <c r="S8429">
        <v>3.0428769999999998</v>
      </c>
      <c r="T8429">
        <v>-0.2754298</v>
      </c>
      <c r="U8429">
        <v>0.1834412</v>
      </c>
      <c r="V8429">
        <v>-0.12375800000000001</v>
      </c>
      <c r="W8429">
        <v>3.615956E-2</v>
      </c>
      <c r="X8429">
        <v>0.99165340000000002</v>
      </c>
      <c r="Y8429">
        <v>-0.27782279999999998</v>
      </c>
      <c r="Z8429">
        <v>3.2441150000000002E-2</v>
      </c>
      <c r="AA8429">
        <v>0.96008439999999995</v>
      </c>
      <c r="AB8429">
        <v>28</v>
      </c>
      <c r="AC8429">
        <v>12.140199999999901</v>
      </c>
      <c r="AD8429">
        <v>-1.1158015580425</v>
      </c>
      <c r="AE8429">
        <v>0.78149999999999697</v>
      </c>
      <c r="AF8429">
        <v>-3.4232256306089299</v>
      </c>
      <c r="AG8429">
        <v>-1.1158015580425</v>
      </c>
      <c r="AH8429">
        <v>11.567963116869601</v>
      </c>
      <c r="AI8429">
        <v>95.284332873195098</v>
      </c>
      <c r="AJ8429">
        <v>106.48469397530999</v>
      </c>
      <c r="AK8429">
        <v>12.115331506328801</v>
      </c>
      <c r="AL8429">
        <v>87.927758097614102</v>
      </c>
      <c r="AM8429">
        <v>97.113713621080294</v>
      </c>
      <c r="AN8429">
        <v>1.00000001103747</v>
      </c>
    </row>
    <row r="8430" spans="1:40" x14ac:dyDescent="0.25">
      <c r="A8430" t="str">
        <f>"20190312150854382"</f>
        <v>20190312150854382</v>
      </c>
      <c r="B8430" t="str">
        <f>"1552374534378044"</f>
        <v>1552374534378044</v>
      </c>
      <c r="C8430" t="s">
        <v>40</v>
      </c>
      <c r="D8430">
        <v>4.876633</v>
      </c>
      <c r="E8430">
        <v>0.45437250000000001</v>
      </c>
      <c r="F8430" t="s">
        <v>82</v>
      </c>
      <c r="G8430">
        <v>-378.93180000000001</v>
      </c>
      <c r="H8430" s="1">
        <v>-6.9099130000000003E-7</v>
      </c>
      <c r="I8430">
        <v>18.501719999999999</v>
      </c>
      <c r="J8430">
        <v>-391.23649999999998</v>
      </c>
      <c r="K8430">
        <v>1.1158090000000001</v>
      </c>
      <c r="L8430">
        <v>17.6814</v>
      </c>
      <c r="M8430">
        <v>0.97612209999999999</v>
      </c>
      <c r="N8430">
        <v>0</v>
      </c>
      <c r="O8430">
        <v>-0.21684349999999999</v>
      </c>
      <c r="P8430">
        <v>0.99496910000000005</v>
      </c>
      <c r="Q8430">
        <v>2.6496749999999999E-2</v>
      </c>
      <c r="R8430">
        <v>-9.6614850000000002E-2</v>
      </c>
      <c r="S8430">
        <v>3.0419309999999999</v>
      </c>
      <c r="T8430">
        <v>-0.27179720000000002</v>
      </c>
      <c r="U8430">
        <v>0.19088749999999999</v>
      </c>
      <c r="V8430">
        <v>-0.1219759</v>
      </c>
      <c r="W8430">
        <v>3.756528E-2</v>
      </c>
      <c r="X8430">
        <v>0.99182190000000003</v>
      </c>
      <c r="Y8430">
        <v>-0.27562350000000002</v>
      </c>
      <c r="Z8430">
        <v>3.151255E-2</v>
      </c>
      <c r="AA8430">
        <v>0.96074899999999996</v>
      </c>
      <c r="AB8430">
        <v>28</v>
      </c>
      <c r="AC8430">
        <v>12.304699999999899</v>
      </c>
      <c r="AD8430">
        <v>-1.1158096909913</v>
      </c>
      <c r="AE8430">
        <v>0.82032000000000205</v>
      </c>
      <c r="AF8430">
        <v>-3.4410411334378601</v>
      </c>
      <c r="AG8430">
        <v>-1.1158096909913</v>
      </c>
      <c r="AH8430">
        <v>11.737886875677001</v>
      </c>
      <c r="AI8430">
        <v>95.212180279262697</v>
      </c>
      <c r="AJ8430">
        <v>106.33885684577</v>
      </c>
      <c r="AK8430">
        <v>12.2826619124159</v>
      </c>
      <c r="AL8430">
        <v>87.847161415456796</v>
      </c>
      <c r="AM8430">
        <v>97.011124746869299</v>
      </c>
      <c r="AN8430">
        <v>0.99999997588094802</v>
      </c>
    </row>
    <row r="8431" spans="1:40" x14ac:dyDescent="0.25">
      <c r="A8431" t="str">
        <f>"20190312150854395"</f>
        <v>20190312150854395</v>
      </c>
      <c r="B8431" t="str">
        <f>"1552374534387802"</f>
        <v>1552374534387802</v>
      </c>
      <c r="C8431" t="s">
        <v>40</v>
      </c>
      <c r="D8431">
        <v>4.9550900000000002</v>
      </c>
      <c r="E8431">
        <v>0.45442300000000002</v>
      </c>
      <c r="F8431" t="s">
        <v>82</v>
      </c>
      <c r="G8431">
        <v>-379.45370000000003</v>
      </c>
      <c r="H8431" s="1">
        <v>-6.1864140000000004E-7</v>
      </c>
      <c r="I8431">
        <v>18.020430000000001</v>
      </c>
      <c r="J8431">
        <v>-391.0856</v>
      </c>
      <c r="K8431">
        <v>1.115818</v>
      </c>
      <c r="L8431">
        <v>17.652100000000001</v>
      </c>
      <c r="M8431">
        <v>0.97697590000000001</v>
      </c>
      <c r="N8431">
        <v>0</v>
      </c>
      <c r="O8431">
        <v>-0.2129646</v>
      </c>
      <c r="P8431">
        <v>0.99523320000000004</v>
      </c>
      <c r="Q8431">
        <v>2.7348870000000001E-2</v>
      </c>
      <c r="R8431">
        <v>-9.361158E-2</v>
      </c>
      <c r="S8431">
        <v>3.0312809999999999</v>
      </c>
      <c r="T8431">
        <v>-0.28705570000000002</v>
      </c>
      <c r="U8431">
        <v>8.7219240000000003E-2</v>
      </c>
      <c r="V8431">
        <v>-0.1210355</v>
      </c>
      <c r="W8431">
        <v>3.8431069999999998E-2</v>
      </c>
      <c r="X8431">
        <v>0.99190400000000001</v>
      </c>
      <c r="Y8431">
        <v>-0.2389829</v>
      </c>
      <c r="Z8431">
        <v>3.1306180000000003E-2</v>
      </c>
      <c r="AA8431">
        <v>0.97051900000000002</v>
      </c>
      <c r="AB8431">
        <v>28</v>
      </c>
      <c r="AC8431">
        <v>11.6318999999999</v>
      </c>
      <c r="AD8431">
        <v>-1.1158186186413901</v>
      </c>
      <c r="AE8431">
        <v>0.36832999999999599</v>
      </c>
      <c r="AF8431">
        <v>-2.8114203770407702</v>
      </c>
      <c r="AG8431">
        <v>-1.1158186186413901</v>
      </c>
      <c r="AH8431">
        <v>11.183760473970599</v>
      </c>
      <c r="AI8431">
        <v>95.526780349242799</v>
      </c>
      <c r="AJ8431">
        <v>104.110861257493</v>
      </c>
      <c r="AK8431">
        <v>11.585578710849701</v>
      </c>
      <c r="AL8431">
        <v>87.797519595130794</v>
      </c>
      <c r="AM8431">
        <v>96.957032548161905</v>
      </c>
      <c r="AN8431">
        <v>1.00000004230879</v>
      </c>
    </row>
    <row r="8432" spans="1:40" x14ac:dyDescent="0.25">
      <c r="A8432" t="str">
        <f>"20190312150854408"</f>
        <v>20190312150854408</v>
      </c>
      <c r="B8432" t="str">
        <f>"1552374534398538"</f>
        <v>1552374534398538</v>
      </c>
      <c r="C8432" t="s">
        <v>40</v>
      </c>
      <c r="D8432">
        <v>4.8488379999999998</v>
      </c>
      <c r="E8432">
        <v>0.45422289999999998</v>
      </c>
      <c r="F8432" t="s">
        <v>82</v>
      </c>
      <c r="G8432">
        <v>-379.07889999999998</v>
      </c>
      <c r="H8432" s="1">
        <v>-7.5978169999999896E-7</v>
      </c>
      <c r="I8432">
        <v>18.030830000000002</v>
      </c>
      <c r="J8432">
        <v>-390.92259999999999</v>
      </c>
      <c r="K8432">
        <v>1.115821</v>
      </c>
      <c r="L8432">
        <v>17.62088</v>
      </c>
      <c r="M8432">
        <v>0.97788010000000003</v>
      </c>
      <c r="N8432">
        <v>0</v>
      </c>
      <c r="O8432">
        <v>-0.20877299999999999</v>
      </c>
      <c r="P8432">
        <v>0.9955195</v>
      </c>
      <c r="Q8432">
        <v>2.8152659999999999E-2</v>
      </c>
      <c r="R8432">
        <v>-9.0269169999999996E-2</v>
      </c>
      <c r="S8432">
        <v>3.0311279999999998</v>
      </c>
      <c r="T8432">
        <v>-0.2816922</v>
      </c>
      <c r="U8432">
        <v>9.5611570000000007E-2</v>
      </c>
      <c r="V8432">
        <v>-0.1201183</v>
      </c>
      <c r="W8432">
        <v>3.9248699999999997E-2</v>
      </c>
      <c r="X8432">
        <v>0.99198339999999996</v>
      </c>
      <c r="Y8432">
        <v>-0.23760429999999999</v>
      </c>
      <c r="Z8432">
        <v>3.0279070000000002E-2</v>
      </c>
      <c r="AA8432">
        <v>0.97089000000000003</v>
      </c>
      <c r="AB8432">
        <v>28</v>
      </c>
      <c r="AC8432">
        <v>11.8437</v>
      </c>
      <c r="AD8432">
        <v>-1.1158217597817</v>
      </c>
      <c r="AE8432">
        <v>0.40994999999999798</v>
      </c>
      <c r="AF8432">
        <v>-2.8485099035035901</v>
      </c>
      <c r="AG8432">
        <v>-1.1158217597817</v>
      </c>
      <c r="AH8432">
        <v>11.396047123850501</v>
      </c>
      <c r="AI8432">
        <v>95.426278606557602</v>
      </c>
      <c r="AJ8432">
        <v>104.03386858804799</v>
      </c>
      <c r="AK8432">
        <v>11.799532063559999</v>
      </c>
      <c r="AL8432">
        <v>87.7506373011812</v>
      </c>
      <c r="AM8432">
        <v>96.904276091805301</v>
      </c>
      <c r="AN8432">
        <v>0.99999996616106901</v>
      </c>
    </row>
    <row r="8433" spans="1:40" x14ac:dyDescent="0.25">
      <c r="A8433" t="str">
        <f>"20190312150854419"</f>
        <v>20190312150854419</v>
      </c>
      <c r="B8433" t="str">
        <f>"1552374534408299"</f>
        <v>1552374534408299</v>
      </c>
      <c r="C8433" t="s">
        <v>40</v>
      </c>
      <c r="D8433">
        <v>4.8548530000000003</v>
      </c>
      <c r="E8433">
        <v>0.4543681</v>
      </c>
      <c r="F8433" t="s">
        <v>82</v>
      </c>
      <c r="G8433">
        <v>-378.89010000000002</v>
      </c>
      <c r="H8433" s="1">
        <v>-8.2812030000000001E-7</v>
      </c>
      <c r="I8433">
        <v>18.04645</v>
      </c>
      <c r="J8433">
        <v>-390.78410000000002</v>
      </c>
      <c r="K8433">
        <v>1.1158239999999999</v>
      </c>
      <c r="L8433">
        <v>17.595029999999898</v>
      </c>
      <c r="M8433">
        <v>0.97863420000000001</v>
      </c>
      <c r="N8433">
        <v>0</v>
      </c>
      <c r="O8433">
        <v>-0.20520930000000001</v>
      </c>
      <c r="P8433">
        <v>0.99573029999999996</v>
      </c>
      <c r="Q8433">
        <v>2.9276030000000001E-2</v>
      </c>
      <c r="R8433">
        <v>-8.7544570000000002E-2</v>
      </c>
      <c r="S8433">
        <v>3.0311889999999999</v>
      </c>
      <c r="T8433">
        <v>-0.28109440000000002</v>
      </c>
      <c r="U8433">
        <v>0.10720830000000001</v>
      </c>
      <c r="V8433">
        <v>-0.11922729999999999</v>
      </c>
      <c r="W8433">
        <v>4.0385049999999999E-2</v>
      </c>
      <c r="X8433">
        <v>0.99204530000000002</v>
      </c>
      <c r="Y8433">
        <v>-0.23779929999999999</v>
      </c>
      <c r="Z8433">
        <v>2.9898709999999998E-2</v>
      </c>
      <c r="AA8433">
        <v>0.97085399999999999</v>
      </c>
      <c r="AB8433">
        <v>28</v>
      </c>
      <c r="AC8433">
        <v>11.894</v>
      </c>
      <c r="AD8433">
        <v>-1.11582482812029</v>
      </c>
      <c r="AE8433">
        <v>0.45142000000000199</v>
      </c>
      <c r="AF8433">
        <v>-2.85765691358062</v>
      </c>
      <c r="AG8433">
        <v>-1.11582482812029</v>
      </c>
      <c r="AH8433">
        <v>11.447581792313301</v>
      </c>
      <c r="AI8433">
        <v>95.402422110798895</v>
      </c>
      <c r="AJ8433">
        <v>104.016275517945</v>
      </c>
      <c r="AK8433">
        <v>11.8515145434872</v>
      </c>
      <c r="AL8433">
        <v>87.685477617886903</v>
      </c>
      <c r="AM8433">
        <v>96.853127675918401</v>
      </c>
      <c r="AN8433">
        <v>0.99999998929044098</v>
      </c>
    </row>
    <row r="8434" spans="1:40" x14ac:dyDescent="0.25">
      <c r="A8434" t="str">
        <f>"20190312150854430"</f>
        <v>20190312150854430</v>
      </c>
      <c r="B8434" t="str">
        <f>"1552374534427819"</f>
        <v>1552374534427819</v>
      </c>
      <c r="C8434" t="s">
        <v>40</v>
      </c>
      <c r="D8434">
        <v>4.877802</v>
      </c>
      <c r="E8434">
        <v>0.45456269999999999</v>
      </c>
      <c r="F8434" t="s">
        <v>82</v>
      </c>
      <c r="G8434">
        <v>-378.72379999999998</v>
      </c>
      <c r="H8434" s="1">
        <v>-8.9115309999999995E-7</v>
      </c>
      <c r="I8434">
        <v>18.04964</v>
      </c>
      <c r="J8434">
        <v>-390.6497</v>
      </c>
      <c r="K8434">
        <v>1.115829</v>
      </c>
      <c r="L8434">
        <v>17.570429999999899</v>
      </c>
      <c r="M8434">
        <v>0.97935240000000001</v>
      </c>
      <c r="N8434">
        <v>0</v>
      </c>
      <c r="O8434">
        <v>-0.20175380000000001</v>
      </c>
      <c r="P8434">
        <v>0.9959403</v>
      </c>
      <c r="Q8434">
        <v>3.0108599999999999E-2</v>
      </c>
      <c r="R8434">
        <v>-8.4831089999999998E-2</v>
      </c>
      <c r="S8434">
        <v>3.031158</v>
      </c>
      <c r="T8434">
        <v>-0.280445</v>
      </c>
      <c r="U8434">
        <v>0.11425780000000001</v>
      </c>
      <c r="V8434">
        <v>-0.1184346</v>
      </c>
      <c r="W8434">
        <v>4.1228830000000001E-2</v>
      </c>
      <c r="X8434">
        <v>0.99210549999999997</v>
      </c>
      <c r="Y8434">
        <v>-0.2366557</v>
      </c>
      <c r="Z8434">
        <v>2.946294E-2</v>
      </c>
      <c r="AA8434">
        <v>0.97114679999999998</v>
      </c>
      <c r="AB8434">
        <v>28</v>
      </c>
      <c r="AC8434">
        <v>11.9259</v>
      </c>
      <c r="AD8434">
        <v>-1.1158298911530999</v>
      </c>
      <c r="AE8434">
        <v>0.47921000000000102</v>
      </c>
      <c r="AF8434">
        <v>-2.8507318372534902</v>
      </c>
      <c r="AG8434">
        <v>-1.1158298911530999</v>
      </c>
      <c r="AH8434">
        <v>11.4835612085605</v>
      </c>
      <c r="AI8434">
        <v>95.3873583177905</v>
      </c>
      <c r="AJ8434">
        <v>103.941542682028</v>
      </c>
      <c r="AK8434">
        <v>11.8846088023408</v>
      </c>
      <c r="AL8434">
        <v>87.637092180567507</v>
      </c>
      <c r="AM8434">
        <v>96.807583505186898</v>
      </c>
      <c r="AN8434">
        <v>0.99999994701528705</v>
      </c>
    </row>
    <row r="8435" spans="1:40" x14ac:dyDescent="0.25">
      <c r="A8435" t="str">
        <f>"20190312150854441"</f>
        <v>20190312150854441</v>
      </c>
      <c r="B8435" t="str">
        <f>"1552374534438554"</f>
        <v>1552374534438554</v>
      </c>
      <c r="C8435" t="s">
        <v>40</v>
      </c>
      <c r="D8435">
        <v>4.9794179999999999</v>
      </c>
      <c r="E8435">
        <v>0.45461699999999999</v>
      </c>
      <c r="F8435" t="s">
        <v>82</v>
      </c>
      <c r="G8435">
        <v>-378.32319999999999</v>
      </c>
      <c r="H8435" s="1">
        <v>-1.0490160000000001E-6</v>
      </c>
      <c r="I8435">
        <v>18.06082</v>
      </c>
      <c r="J8435">
        <v>-390.50389999999999</v>
      </c>
      <c r="K8435">
        <v>1.1158300000000001</v>
      </c>
      <c r="L8435">
        <v>17.544250000000002</v>
      </c>
      <c r="M8435">
        <v>0.98011740000000003</v>
      </c>
      <c r="N8435">
        <v>0</v>
      </c>
      <c r="O8435">
        <v>-0.19800419999999999</v>
      </c>
      <c r="P8435">
        <v>0.99617169999999999</v>
      </c>
      <c r="Q8435">
        <v>3.119222E-2</v>
      </c>
      <c r="R8435">
        <v>-8.1666069999999993E-2</v>
      </c>
      <c r="S8435">
        <v>3.0307919999999999</v>
      </c>
      <c r="T8435">
        <v>-0.2743565</v>
      </c>
      <c r="U8435">
        <v>0.120575</v>
      </c>
      <c r="V8435">
        <v>-0.11779770000000001</v>
      </c>
      <c r="W8435">
        <v>4.2321739999999997E-2</v>
      </c>
      <c r="X8435">
        <v>0.99213530000000005</v>
      </c>
      <c r="Y8435">
        <v>-0.2350652</v>
      </c>
      <c r="Z8435">
        <v>2.842335E-2</v>
      </c>
      <c r="AA8435">
        <v>0.97156390000000004</v>
      </c>
      <c r="AB8435">
        <v>28</v>
      </c>
      <c r="AC8435">
        <v>12.1807</v>
      </c>
      <c r="AD8435">
        <v>-1.1158310490159999</v>
      </c>
      <c r="AE8435">
        <v>0.51656999999999798</v>
      </c>
      <c r="AF8435">
        <v>-2.8941254723844199</v>
      </c>
      <c r="AG8435">
        <v>-1.1158310490159999</v>
      </c>
      <c r="AH8435">
        <v>11.7388721772693</v>
      </c>
      <c r="AI8435">
        <v>95.272940945360901</v>
      </c>
      <c r="AJ8435">
        <v>103.84962017187399</v>
      </c>
      <c r="AK8435">
        <v>12.1417528048515</v>
      </c>
      <c r="AL8435">
        <v>87.574418315998102</v>
      </c>
      <c r="AM8435">
        <v>96.771114026792304</v>
      </c>
      <c r="AN8435">
        <v>0.999999940654002</v>
      </c>
    </row>
    <row r="8436" spans="1:40" x14ac:dyDescent="0.25">
      <c r="A8436" t="str">
        <f>"20190312150854453"</f>
        <v>20190312150854453</v>
      </c>
      <c r="B8436" t="str">
        <f>"1552374534448315"</f>
        <v>1552374534448315</v>
      </c>
      <c r="C8436" t="s">
        <v>40</v>
      </c>
      <c r="D8436">
        <v>4.8196070000000004</v>
      </c>
      <c r="E8436">
        <v>0.4549551</v>
      </c>
      <c r="F8436" t="s">
        <v>82</v>
      </c>
      <c r="G8436">
        <v>-378.06119999999999</v>
      </c>
      <c r="H8436" s="1">
        <v>-1.170061E-6</v>
      </c>
      <c r="I8436">
        <v>18.076750000000001</v>
      </c>
      <c r="J8436">
        <v>-390.37009999999998</v>
      </c>
      <c r="K8436">
        <v>1.115834</v>
      </c>
      <c r="L8436">
        <v>17.52084</v>
      </c>
      <c r="M8436">
        <v>0.98080639999999997</v>
      </c>
      <c r="N8436">
        <v>0</v>
      </c>
      <c r="O8436">
        <v>-0.19456280000000001</v>
      </c>
      <c r="P8436">
        <v>0.99634650000000002</v>
      </c>
      <c r="Q8436">
        <v>3.195692E-2</v>
      </c>
      <c r="R8436">
        <v>-7.9199140000000001E-2</v>
      </c>
      <c r="S8436">
        <v>3.0306700000000002</v>
      </c>
      <c r="T8436">
        <v>-0.27178170000000001</v>
      </c>
      <c r="U8436">
        <v>0.1296997</v>
      </c>
      <c r="V8436">
        <v>-0.11677700000000001</v>
      </c>
      <c r="W8436">
        <v>4.3101140000000003E-2</v>
      </c>
      <c r="X8436">
        <v>0.99222250000000001</v>
      </c>
      <c r="Y8436">
        <v>-0.2346249</v>
      </c>
      <c r="Z8436">
        <v>2.7834770000000002E-2</v>
      </c>
      <c r="AA8436">
        <v>0.97168739999999998</v>
      </c>
      <c r="AB8436">
        <v>28</v>
      </c>
      <c r="AC8436">
        <v>12.3088999999999</v>
      </c>
      <c r="AD8436">
        <v>-1.1158351700610001</v>
      </c>
      <c r="AE8436">
        <v>0.55591000000000002</v>
      </c>
      <c r="AF8436">
        <v>-2.9164173508551099</v>
      </c>
      <c r="AG8436">
        <v>-1.1158351700610001</v>
      </c>
      <c r="AH8436">
        <v>11.868137627419401</v>
      </c>
      <c r="AI8436">
        <v>95.2168183040191</v>
      </c>
      <c r="AJ8436">
        <v>103.806024180199</v>
      </c>
      <c r="AK8436">
        <v>12.272052356247601</v>
      </c>
      <c r="AL8436">
        <v>87.529721420945407</v>
      </c>
      <c r="AM8436">
        <v>96.712396489306897</v>
      </c>
      <c r="AN8436">
        <v>1.00000003275227</v>
      </c>
    </row>
    <row r="8437" spans="1:40" x14ac:dyDescent="0.25">
      <c r="A8437" t="str">
        <f>"20190312150854463"</f>
        <v>20190312150854463</v>
      </c>
      <c r="B8437" t="str">
        <f>"1552374534458075"</f>
        <v>1552374534458075</v>
      </c>
      <c r="C8437" t="s">
        <v>40</v>
      </c>
      <c r="D8437">
        <v>4.8682189999999999</v>
      </c>
      <c r="E8437">
        <v>0.45520569999999999</v>
      </c>
      <c r="F8437" t="s">
        <v>82</v>
      </c>
      <c r="G8437">
        <v>-377.73669999999998</v>
      </c>
      <c r="H8437" s="1">
        <v>-1.3226329999999999E-6</v>
      </c>
      <c r="I8437">
        <v>18.081299999999999</v>
      </c>
      <c r="J8437">
        <v>-390.22649999999999</v>
      </c>
      <c r="K8437">
        <v>1.115831</v>
      </c>
      <c r="L8437">
        <v>17.495999999999999</v>
      </c>
      <c r="M8437">
        <v>0.98153199999999996</v>
      </c>
      <c r="N8437">
        <v>0</v>
      </c>
      <c r="O8437">
        <v>-0.19086880000000001</v>
      </c>
      <c r="P8437">
        <v>0.996529</v>
      </c>
      <c r="Q8437">
        <v>3.2881050000000002E-2</v>
      </c>
      <c r="R8437">
        <v>-7.6479569999999997E-2</v>
      </c>
      <c r="S8437">
        <v>3.0302730000000002</v>
      </c>
      <c r="T8437">
        <v>-0.26764559999999998</v>
      </c>
      <c r="U8437">
        <v>0.13442989999999999</v>
      </c>
      <c r="V8437">
        <v>-0.115756</v>
      </c>
      <c r="W8437">
        <v>4.4040559999999999E-2</v>
      </c>
      <c r="X8437">
        <v>0.99230090000000004</v>
      </c>
      <c r="Y8437">
        <v>-0.23255890000000001</v>
      </c>
      <c r="Z8437">
        <v>2.7003590000000001E-2</v>
      </c>
      <c r="AA8437">
        <v>0.97220740000000005</v>
      </c>
      <c r="AB8437">
        <v>28</v>
      </c>
      <c r="AC8437">
        <v>12.489800000000001</v>
      </c>
      <c r="AD8437">
        <v>-1.115832322633</v>
      </c>
      <c r="AE8437">
        <v>0.58530000000000004</v>
      </c>
      <c r="AF8437">
        <v>-2.93526983898591</v>
      </c>
      <c r="AG8437">
        <v>-1.115832322633</v>
      </c>
      <c r="AH8437">
        <v>12.052433052550001</v>
      </c>
      <c r="AI8437">
        <v>95.140052064845193</v>
      </c>
      <c r="AJ8437">
        <v>103.68745020036999</v>
      </c>
      <c r="AK8437">
        <v>12.454799608427701</v>
      </c>
      <c r="AL8437">
        <v>87.475845497454301</v>
      </c>
      <c r="AM8437">
        <v>96.6537164956803</v>
      </c>
      <c r="AN8437">
        <v>1.00000004930096</v>
      </c>
    </row>
    <row r="8438" spans="1:40" x14ac:dyDescent="0.25">
      <c r="A8438" t="str">
        <f>"20190312150854476"</f>
        <v>20190312150854476</v>
      </c>
      <c r="B8438" t="str">
        <f>"1552374534467835"</f>
        <v>1552374534467835</v>
      </c>
      <c r="C8438" t="s">
        <v>40</v>
      </c>
      <c r="D8438">
        <v>5.0032759999999996</v>
      </c>
      <c r="E8438">
        <v>0.45542300000000002</v>
      </c>
      <c r="F8438" t="s">
        <v>82</v>
      </c>
      <c r="G8438">
        <v>-377.48050000000001</v>
      </c>
      <c r="H8438" s="1">
        <v>-1.4425909999999999E-6</v>
      </c>
      <c r="I8438">
        <v>18.087820000000001</v>
      </c>
      <c r="J8438">
        <v>-390.07979999999998</v>
      </c>
      <c r="K8438">
        <v>1.115831</v>
      </c>
      <c r="L8438">
        <v>17.47156</v>
      </c>
      <c r="M8438">
        <v>0.98225790000000002</v>
      </c>
      <c r="N8438">
        <v>0</v>
      </c>
      <c r="O8438">
        <v>-0.18709680000000001</v>
      </c>
      <c r="P8438">
        <v>0.99671180000000004</v>
      </c>
      <c r="Q8438">
        <v>3.3821009999999999E-2</v>
      </c>
      <c r="R8438">
        <v>-7.3633509999999999E-2</v>
      </c>
      <c r="S8438">
        <v>3.0299990000000001</v>
      </c>
      <c r="T8438">
        <v>-0.26525659999999901</v>
      </c>
      <c r="U8438">
        <v>0.14068599999999901</v>
      </c>
      <c r="V8438">
        <v>-0.11478339999999899</v>
      </c>
      <c r="W8438">
        <v>4.4994239999999998E-2</v>
      </c>
      <c r="X8438">
        <v>0.992371</v>
      </c>
      <c r="Y8438">
        <v>-0.23088030000000001</v>
      </c>
      <c r="Z8438">
        <v>2.6366580000000001E-2</v>
      </c>
      <c r="AA8438">
        <v>0.97262479999999996</v>
      </c>
      <c r="AB8438">
        <v>28</v>
      </c>
      <c r="AC8438">
        <v>12.5992999999999</v>
      </c>
      <c r="AD8438">
        <v>-1.115832442591</v>
      </c>
      <c r="AE8438">
        <v>0.61626000000000003</v>
      </c>
      <c r="AF8438">
        <v>-2.9398547700498399</v>
      </c>
      <c r="AG8438">
        <v>-1.115832442591</v>
      </c>
      <c r="AH8438">
        <v>12.166271076907501</v>
      </c>
      <c r="AI8438">
        <v>95.094419658228801</v>
      </c>
      <c r="AJ8438">
        <v>103.584534392137</v>
      </c>
      <c r="AK8438">
        <v>12.5660646196699</v>
      </c>
      <c r="AL8438">
        <v>87.421149193354694</v>
      </c>
      <c r="AM8438">
        <v>96.597843983887003</v>
      </c>
      <c r="AN8438">
        <v>0.99999995609486703</v>
      </c>
    </row>
    <row r="8439" spans="1:40" x14ac:dyDescent="0.25">
      <c r="A8439" t="str">
        <f>"20190312150854487"</f>
        <v>20190312150854487</v>
      </c>
      <c r="B8439" t="str">
        <f>"1552374534478570"</f>
        <v>1552374534478570</v>
      </c>
      <c r="C8439" t="s">
        <v>40</v>
      </c>
      <c r="D8439">
        <v>4.8519459999999999</v>
      </c>
      <c r="E8439">
        <v>0.45542569999999999</v>
      </c>
      <c r="F8439" t="s">
        <v>82</v>
      </c>
      <c r="G8439">
        <v>-377.3365</v>
      </c>
      <c r="H8439" s="1">
        <v>-1.509718E-6</v>
      </c>
      <c r="I8439">
        <v>18.09319</v>
      </c>
      <c r="J8439">
        <v>-389.94029999999998</v>
      </c>
      <c r="K8439">
        <v>1.115828</v>
      </c>
      <c r="L8439">
        <v>17.44858</v>
      </c>
      <c r="M8439">
        <v>0.98293419999999998</v>
      </c>
      <c r="N8439">
        <v>0</v>
      </c>
      <c r="O8439">
        <v>-0.1835107</v>
      </c>
      <c r="P8439">
        <v>0.99685270000000004</v>
      </c>
      <c r="Q8439">
        <v>3.4759419999999999E-2</v>
      </c>
      <c r="R8439">
        <v>-7.125165E-2</v>
      </c>
      <c r="S8439">
        <v>3.0298159999999998</v>
      </c>
      <c r="T8439">
        <v>-0.2652968</v>
      </c>
      <c r="U8439">
        <v>0.1477966</v>
      </c>
      <c r="V8439">
        <v>-0.113539</v>
      </c>
      <c r="W8439">
        <v>4.5951220000000001E-2</v>
      </c>
      <c r="X8439">
        <v>0.99247030000000003</v>
      </c>
      <c r="Y8439">
        <v>-0.22962840000000001</v>
      </c>
      <c r="Z8439">
        <v>2.6007120000000002E-2</v>
      </c>
      <c r="AA8439">
        <v>0.97293079999999998</v>
      </c>
      <c r="AB8439">
        <v>28</v>
      </c>
      <c r="AC8439">
        <v>12.6037999999999</v>
      </c>
      <c r="AD8439">
        <v>-1.115829509718</v>
      </c>
      <c r="AE8439">
        <v>0.64461000000000002</v>
      </c>
      <c r="AF8439">
        <v>-2.9239260088233401</v>
      </c>
      <c r="AG8439">
        <v>-1.115829509718</v>
      </c>
      <c r="AH8439">
        <v>12.176235061557399</v>
      </c>
      <c r="AI8439">
        <v>95.091995801943398</v>
      </c>
      <c r="AJ8439">
        <v>103.50298355455</v>
      </c>
      <c r="AK8439">
        <v>12.571997417838199</v>
      </c>
      <c r="AL8439">
        <v>87.366261501237304</v>
      </c>
      <c r="AM8439">
        <v>96.526287995665996</v>
      </c>
      <c r="AN8439">
        <v>0.99999995776128803</v>
      </c>
    </row>
    <row r="8440" spans="1:40" x14ac:dyDescent="0.25">
      <c r="A8440" t="str">
        <f>"20190312150854505"</f>
        <v>20190312150854505</v>
      </c>
      <c r="B8440" t="str">
        <f>"1552374534498094"</f>
        <v>1552374534498094</v>
      </c>
      <c r="C8440" t="s">
        <v>40</v>
      </c>
      <c r="D8440">
        <v>4.8005190000000004</v>
      </c>
      <c r="E8440">
        <v>0.4556905</v>
      </c>
      <c r="F8440" t="s">
        <v>82</v>
      </c>
      <c r="G8440">
        <v>-377.18389999999999</v>
      </c>
      <c r="H8440" s="1">
        <v>-1.580326E-6</v>
      </c>
      <c r="I8440">
        <v>18.101690000000001</v>
      </c>
      <c r="J8440">
        <v>-389.71800000000002</v>
      </c>
      <c r="K8440">
        <v>1.115828</v>
      </c>
      <c r="L8440">
        <v>17.413119999999999</v>
      </c>
      <c r="M8440">
        <v>0.98398289999999999</v>
      </c>
      <c r="N8440">
        <v>0</v>
      </c>
      <c r="O8440">
        <v>-0.17780190000000001</v>
      </c>
      <c r="P8440">
        <v>0.99705960000000005</v>
      </c>
      <c r="Q8440">
        <v>3.605059E-2</v>
      </c>
      <c r="R8440">
        <v>-6.7622180000000004E-2</v>
      </c>
      <c r="S8440">
        <v>3.029785</v>
      </c>
      <c r="T8440">
        <v>-0.26502249999999999</v>
      </c>
      <c r="U8440">
        <v>0.155120799999999</v>
      </c>
      <c r="V8440">
        <v>-0.111398</v>
      </c>
      <c r="W8440">
        <v>4.7273959999999997E-2</v>
      </c>
      <c r="X8440">
        <v>0.99265080000000006</v>
      </c>
      <c r="Y8440">
        <v>-0.22636339999999999</v>
      </c>
      <c r="Z8440">
        <v>2.5344490000000001E-2</v>
      </c>
      <c r="AA8440">
        <v>0.97371319999999995</v>
      </c>
      <c r="AB8440">
        <v>28</v>
      </c>
      <c r="AC8440">
        <v>12.5341</v>
      </c>
      <c r="AD8440">
        <v>-1.1158295803260001</v>
      </c>
      <c r="AE8440">
        <v>0.68856999999999402</v>
      </c>
      <c r="AF8440">
        <v>-2.8835822680448602</v>
      </c>
      <c r="AG8440">
        <v>-1.1158295803260001</v>
      </c>
      <c r="AH8440">
        <v>12.116179218981699</v>
      </c>
      <c r="AI8440">
        <v>95.119564974519605</v>
      </c>
      <c r="AJ8440">
        <v>103.38702759277299</v>
      </c>
      <c r="AK8440">
        <v>12.504476047216</v>
      </c>
      <c r="AL8440">
        <v>87.290391655761397</v>
      </c>
      <c r="AM8440">
        <v>96.403099381379803</v>
      </c>
      <c r="AN8440">
        <v>0.99999997621935999</v>
      </c>
    </row>
    <row r="8441" spans="1:40" x14ac:dyDescent="0.25">
      <c r="A8441" t="str">
        <f>"20190312150854517"</f>
        <v>20190312150854517</v>
      </c>
      <c r="B8441" t="str">
        <f>"1552374534507851"</f>
        <v>1552374534507851</v>
      </c>
      <c r="C8441" t="s">
        <v>40</v>
      </c>
      <c r="D8441">
        <v>4.811312</v>
      </c>
      <c r="E8441">
        <v>0.4557775</v>
      </c>
      <c r="F8441" t="s">
        <v>82</v>
      </c>
      <c r="G8441">
        <v>-376.94670000000002</v>
      </c>
      <c r="H8441" s="1">
        <v>-1.691935E-6</v>
      </c>
      <c r="I8441">
        <v>18.10474</v>
      </c>
      <c r="J8441">
        <v>-389.55610000000001</v>
      </c>
      <c r="K8441">
        <v>1.1158220000000001</v>
      </c>
      <c r="L8441">
        <v>17.388310000000001</v>
      </c>
      <c r="M8441">
        <v>0.98472420000000005</v>
      </c>
      <c r="N8441">
        <v>0</v>
      </c>
      <c r="O8441">
        <v>-0.1736491</v>
      </c>
      <c r="P8441">
        <v>0.99722140000000004</v>
      </c>
      <c r="Q8441">
        <v>3.666146E-2</v>
      </c>
      <c r="R8441">
        <v>-6.4849229999999994E-2</v>
      </c>
      <c r="S8441">
        <v>3.029541</v>
      </c>
      <c r="T8441">
        <v>-0.26468940000000002</v>
      </c>
      <c r="U8441">
        <v>0.1640625</v>
      </c>
      <c r="V8441">
        <v>-0.10997369999999999</v>
      </c>
      <c r="W8441">
        <v>4.7906480000000001E-2</v>
      </c>
      <c r="X8441">
        <v>0.99277930000000003</v>
      </c>
      <c r="Y8441">
        <v>-0.2251493</v>
      </c>
      <c r="Z8441">
        <v>2.4902500000000001E-2</v>
      </c>
      <c r="AA8441">
        <v>0.97400600000000004</v>
      </c>
      <c r="AB8441">
        <v>28</v>
      </c>
      <c r="AC8441">
        <v>12.6093999999999</v>
      </c>
      <c r="AD8441">
        <v>-1.115823691935</v>
      </c>
      <c r="AE8441">
        <v>0.71642999999999901</v>
      </c>
      <c r="AF8441">
        <v>-2.8729100990101002</v>
      </c>
      <c r="AG8441">
        <v>-1.115823691935</v>
      </c>
      <c r="AH8441">
        <v>12.1981702513388</v>
      </c>
      <c r="AI8441">
        <v>95.088114933522604</v>
      </c>
      <c r="AJ8441">
        <v>103.252769306438</v>
      </c>
      <c r="AK8441">
        <v>12.5814956356199</v>
      </c>
      <c r="AL8441">
        <v>87.254109861862503</v>
      </c>
      <c r="AM8441">
        <v>96.321086792307895</v>
      </c>
      <c r="AN8441">
        <v>0.99999999201308498</v>
      </c>
    </row>
    <row r="8442" spans="1:40" x14ac:dyDescent="0.25">
      <c r="A8442" t="str">
        <f>"20190312150854530"</f>
        <v>20190312150854530</v>
      </c>
      <c r="B8442" t="str">
        <f>"1552374534518587"</f>
        <v>1552374534518587</v>
      </c>
      <c r="C8442" t="s">
        <v>40</v>
      </c>
      <c r="D8442">
        <v>5.2042900000000003</v>
      </c>
      <c r="E8442">
        <v>0.45611489999999999</v>
      </c>
      <c r="F8442" t="s">
        <v>82</v>
      </c>
      <c r="G8442">
        <v>-376.76440000000002</v>
      </c>
      <c r="H8442" s="1">
        <v>-1.776504E-6</v>
      </c>
      <c r="I8442">
        <v>18.113689999999998</v>
      </c>
      <c r="J8442">
        <v>-389.40839999999997</v>
      </c>
      <c r="K8442">
        <v>1.1158170000000001</v>
      </c>
      <c r="L8442">
        <v>17.366150000000001</v>
      </c>
      <c r="M8442">
        <v>0.98538389999999998</v>
      </c>
      <c r="N8442">
        <v>0</v>
      </c>
      <c r="O8442">
        <v>-0.16986670000000001</v>
      </c>
      <c r="P8442">
        <v>0.9973767</v>
      </c>
      <c r="Q8442">
        <v>3.7160110000000003E-2</v>
      </c>
      <c r="R8442">
        <v>-6.2119929999999997E-2</v>
      </c>
      <c r="S8442">
        <v>3.0292970000000001</v>
      </c>
      <c r="T8442">
        <v>-0.2642465</v>
      </c>
      <c r="U8442">
        <v>0.171783399999999</v>
      </c>
      <c r="V8442">
        <v>-0.1088807</v>
      </c>
      <c r="W8442">
        <v>4.8421819999999997E-2</v>
      </c>
      <c r="X8442">
        <v>0.99287479999999995</v>
      </c>
      <c r="Y8442">
        <v>-0.2239121</v>
      </c>
      <c r="Z8442">
        <v>2.4482110000000001E-2</v>
      </c>
      <c r="AA8442">
        <v>0.9743018</v>
      </c>
      <c r="AB8442">
        <v>28</v>
      </c>
      <c r="AC8442">
        <v>12.643999999999901</v>
      </c>
      <c r="AD8442">
        <v>-1.115818776504</v>
      </c>
      <c r="AE8442">
        <v>0.74753999999999698</v>
      </c>
      <c r="AF8442">
        <v>-2.8624302361045899</v>
      </c>
      <c r="AG8442">
        <v>-1.115818776504</v>
      </c>
      <c r="AH8442">
        <v>12.2382446696106</v>
      </c>
      <c r="AI8442">
        <v>95.073345472092498</v>
      </c>
      <c r="AJ8442">
        <v>103.16438709699</v>
      </c>
      <c r="AK8442">
        <v>12.617970953834799</v>
      </c>
      <c r="AL8442">
        <v>87.224548835444594</v>
      </c>
      <c r="AM8442">
        <v>96.258166971947702</v>
      </c>
      <c r="AN8442">
        <v>1.0000000239798199</v>
      </c>
    </row>
    <row r="8443" spans="1:40" x14ac:dyDescent="0.25">
      <c r="A8443" t="str">
        <f>"20190312150854542"</f>
        <v>20190312150854542</v>
      </c>
      <c r="B8443" t="str">
        <f>"1552374534538107"</f>
        <v>1552374534538107</v>
      </c>
      <c r="C8443" t="s">
        <v>40</v>
      </c>
      <c r="D8443">
        <v>5.228332</v>
      </c>
      <c r="E8443">
        <v>0.45684760000000002</v>
      </c>
      <c r="F8443" t="s">
        <v>82</v>
      </c>
      <c r="G8443">
        <v>-376.49680000000001</v>
      </c>
      <c r="H8443" s="1">
        <v>-1.9016740000000001E-6</v>
      </c>
      <c r="I8443">
        <v>18.12125</v>
      </c>
      <c r="J8443">
        <v>-389.24740000000003</v>
      </c>
      <c r="K8443">
        <v>1.1158090000000001</v>
      </c>
      <c r="L8443">
        <v>17.342559999999999</v>
      </c>
      <c r="M8443">
        <v>0.98608580000000001</v>
      </c>
      <c r="N8443">
        <v>0</v>
      </c>
      <c r="O8443">
        <v>-0.1657428</v>
      </c>
      <c r="P8443">
        <v>0.99754399999999999</v>
      </c>
      <c r="Q8443">
        <v>3.7275330000000002E-2</v>
      </c>
      <c r="R8443">
        <v>-5.9301069999999997E-2</v>
      </c>
      <c r="S8443">
        <v>3.0286870000000001</v>
      </c>
      <c r="T8443">
        <v>-0.261737</v>
      </c>
      <c r="U8443">
        <v>0.177124</v>
      </c>
      <c r="V8443">
        <v>-0.107532</v>
      </c>
      <c r="W8443">
        <v>4.8557549999999998E-2</v>
      </c>
      <c r="X8443">
        <v>0.99301510000000004</v>
      </c>
      <c r="Y8443">
        <v>-0.22161040000000001</v>
      </c>
      <c r="Z8443">
        <v>2.3803020000000001E-2</v>
      </c>
      <c r="AA8443">
        <v>0.97484479999999996</v>
      </c>
      <c r="AB8443">
        <v>28</v>
      </c>
      <c r="AC8443">
        <v>12.7506</v>
      </c>
      <c r="AD8443">
        <v>-1.1158109016740001</v>
      </c>
      <c r="AE8443">
        <v>0.77869000000000099</v>
      </c>
      <c r="AF8443">
        <v>-2.8595941232111</v>
      </c>
      <c r="AG8443">
        <v>-1.1158109016740001</v>
      </c>
      <c r="AH8443">
        <v>12.350911798638201</v>
      </c>
      <c r="AI8443">
        <v>95.029878439363998</v>
      </c>
      <c r="AJ8443">
        <v>103.03593984891801</v>
      </c>
      <c r="AK8443">
        <v>12.726638785458499</v>
      </c>
      <c r="AL8443">
        <v>87.216762792020802</v>
      </c>
      <c r="AM8443">
        <v>96.180384594647606</v>
      </c>
      <c r="AN8443">
        <v>0.999999977757006</v>
      </c>
    </row>
    <row r="8444" spans="1:40" x14ac:dyDescent="0.25">
      <c r="A8444" t="str">
        <f>"20190312150854562"</f>
        <v>20190312150854562</v>
      </c>
      <c r="B8444" t="str">
        <f>"1552374534558603"</f>
        <v>1552374534558603</v>
      </c>
      <c r="C8444" t="s">
        <v>40</v>
      </c>
      <c r="D8444">
        <v>5.1126670000000001</v>
      </c>
      <c r="E8444">
        <v>0.4572386</v>
      </c>
      <c r="F8444" t="s">
        <v>82</v>
      </c>
      <c r="G8444">
        <v>-376.20280000000002</v>
      </c>
      <c r="H8444" s="1">
        <v>-2.041483E-6</v>
      </c>
      <c r="I8444">
        <v>18.116589999999999</v>
      </c>
      <c r="J8444">
        <v>-389.01029999999997</v>
      </c>
      <c r="K8444">
        <v>1.1157900000000001</v>
      </c>
      <c r="L8444">
        <v>17.309200000000001</v>
      </c>
      <c r="M8444">
        <v>0.9870833</v>
      </c>
      <c r="N8444">
        <v>0</v>
      </c>
      <c r="O8444">
        <v>-0.15969559999999999</v>
      </c>
      <c r="P8444">
        <v>0.99771270000000001</v>
      </c>
      <c r="Q8444">
        <v>3.7643160000000002E-2</v>
      </c>
      <c r="R8444">
        <v>-5.6148400000000001E-2</v>
      </c>
      <c r="S8444">
        <v>3.0277400000000001</v>
      </c>
      <c r="T8444">
        <v>-0.25898680000000002</v>
      </c>
      <c r="U8444">
        <v>0.17965699999999901</v>
      </c>
      <c r="V8444">
        <v>-0.1045818</v>
      </c>
      <c r="W8444">
        <v>4.8970960000000001E-2</v>
      </c>
      <c r="X8444">
        <v>0.99330989999999997</v>
      </c>
      <c r="Y8444">
        <v>-0.21653210000000001</v>
      </c>
      <c r="Z8444">
        <v>2.28323E-2</v>
      </c>
      <c r="AA8444">
        <v>0.97600849999999995</v>
      </c>
      <c r="AB8444">
        <v>28</v>
      </c>
      <c r="AC8444">
        <v>12.8074999999999</v>
      </c>
      <c r="AD8444">
        <v>-1.115792041483</v>
      </c>
      <c r="AE8444">
        <v>0.80738999999999705</v>
      </c>
      <c r="AF8444">
        <v>-2.8211677892760298</v>
      </c>
      <c r="AG8444">
        <v>-1.115792041483</v>
      </c>
      <c r="AH8444">
        <v>12.420262374462</v>
      </c>
      <c r="AI8444">
        <v>95.006610493554703</v>
      </c>
      <c r="AJ8444">
        <v>102.797163600236</v>
      </c>
      <c r="AK8444">
        <v>12.7854173582861</v>
      </c>
      <c r="AL8444">
        <v>87.193048084061701</v>
      </c>
      <c r="AM8444">
        <v>96.010310287186499</v>
      </c>
      <c r="AN8444">
        <v>1.0000000326262799</v>
      </c>
    </row>
    <row r="8445" spans="1:40" x14ac:dyDescent="0.25">
      <c r="A8445" t="str">
        <f>"20190312150854578"</f>
        <v>20190312150854578</v>
      </c>
      <c r="B8445" t="str">
        <f>"1552374534568363"</f>
        <v>1552374534568363</v>
      </c>
      <c r="C8445" t="s">
        <v>40</v>
      </c>
      <c r="D8445">
        <v>5.2764319999999998</v>
      </c>
      <c r="E8445">
        <v>0.45750229999999997</v>
      </c>
      <c r="F8445" t="s">
        <v>82</v>
      </c>
      <c r="G8445">
        <v>-375.55869999999999</v>
      </c>
      <c r="H8445" s="1">
        <v>-2.3428030000000001E-6</v>
      </c>
      <c r="I8445">
        <v>18.134070000000001</v>
      </c>
      <c r="J8445">
        <v>-388.8263</v>
      </c>
      <c r="K8445">
        <v>1.1157699999999999</v>
      </c>
      <c r="L8445">
        <v>17.284420000000001</v>
      </c>
      <c r="M8445">
        <v>0.98782800000000004</v>
      </c>
      <c r="N8445">
        <v>0</v>
      </c>
      <c r="O8445">
        <v>-0.1550232</v>
      </c>
      <c r="P8445">
        <v>0.99787530000000002</v>
      </c>
      <c r="Q8445">
        <v>3.794927E-2</v>
      </c>
      <c r="R8445">
        <v>-5.2958610000000003E-2</v>
      </c>
      <c r="S8445">
        <v>3.0268250000000001</v>
      </c>
      <c r="T8445">
        <v>-0.25107190000000001</v>
      </c>
      <c r="U8445">
        <v>0.18560789999999999</v>
      </c>
      <c r="V8445">
        <v>-0.1030563</v>
      </c>
      <c r="W8445">
        <v>4.9301959999999999E-2</v>
      </c>
      <c r="X8445">
        <v>0.99345289999999997</v>
      </c>
      <c r="Y8445">
        <v>-0.213949</v>
      </c>
      <c r="Z8445">
        <v>2.165214E-2</v>
      </c>
      <c r="AA8445">
        <v>0.97660480000000005</v>
      </c>
      <c r="AB8445">
        <v>28</v>
      </c>
      <c r="AC8445">
        <v>13.2676</v>
      </c>
      <c r="AD8445">
        <v>-1.115772342803</v>
      </c>
      <c r="AE8445">
        <v>0.84965000000000002</v>
      </c>
      <c r="AF8445">
        <v>-2.87607322506737</v>
      </c>
      <c r="AG8445">
        <v>-1.115772342803</v>
      </c>
      <c r="AH8445">
        <v>12.8846995832884</v>
      </c>
      <c r="AI8445">
        <v>94.830971750582194</v>
      </c>
      <c r="AJ8445">
        <v>102.58306504582499</v>
      </c>
      <c r="AK8445">
        <v>13.2488576288111</v>
      </c>
      <c r="AL8445">
        <v>87.174060080932406</v>
      </c>
      <c r="AM8445">
        <v>95.922421217278895</v>
      </c>
      <c r="AN8445">
        <v>0.99999997437397004</v>
      </c>
    </row>
    <row r="8446" spans="1:40" x14ac:dyDescent="0.25">
      <c r="A8446" t="str">
        <f>"20190312150854596"</f>
        <v>20190312150854596</v>
      </c>
      <c r="B8446" t="str">
        <f>"1552374534587883"</f>
        <v>1552374534587883</v>
      </c>
      <c r="C8446" t="s">
        <v>40</v>
      </c>
      <c r="D8446">
        <v>4.7846140000000004</v>
      </c>
      <c r="E8446">
        <v>0.4581749</v>
      </c>
      <c r="F8446" t="s">
        <v>82</v>
      </c>
      <c r="G8446">
        <v>-375.15350000000001</v>
      </c>
      <c r="H8446" s="1">
        <v>-2.5304700000000002E-6</v>
      </c>
      <c r="I8446">
        <v>18.156169999999999</v>
      </c>
      <c r="J8446">
        <v>-388.59129999999999</v>
      </c>
      <c r="K8446">
        <v>1.115745</v>
      </c>
      <c r="L8446">
        <v>17.253910000000001</v>
      </c>
      <c r="M8446">
        <v>0.98874150000000005</v>
      </c>
      <c r="N8446">
        <v>0</v>
      </c>
      <c r="O8446">
        <v>-0.14908560000000001</v>
      </c>
      <c r="P8446">
        <v>0.99798730000000002</v>
      </c>
      <c r="Q8446">
        <v>3.8557260000000003E-2</v>
      </c>
      <c r="R8446">
        <v>-5.0349320000000003E-2</v>
      </c>
      <c r="S8446">
        <v>3.0260310000000001</v>
      </c>
      <c r="T8446">
        <v>-0.24693960000000001</v>
      </c>
      <c r="U8446">
        <v>0.1929321</v>
      </c>
      <c r="V8446">
        <v>-9.9684309999999998E-2</v>
      </c>
      <c r="W8446">
        <v>4.9962039999999999E-2</v>
      </c>
      <c r="X8446">
        <v>0.99376399999999998</v>
      </c>
      <c r="Y8446">
        <v>-0.21052209999999999</v>
      </c>
      <c r="Z8446">
        <v>2.068188E-2</v>
      </c>
      <c r="AA8446">
        <v>0.97737030000000003</v>
      </c>
      <c r="AB8446">
        <v>28</v>
      </c>
      <c r="AC8446">
        <v>13.4377999999999</v>
      </c>
      <c r="AD8446">
        <v>-1.11574753047</v>
      </c>
      <c r="AE8446">
        <v>0.90225999999999795</v>
      </c>
      <c r="AF8446">
        <v>-2.8759832122090998</v>
      </c>
      <c r="AG8446">
        <v>-1.11574753047</v>
      </c>
      <c r="AH8446">
        <v>13.0634174861998</v>
      </c>
      <c r="AI8446">
        <v>94.768149660254394</v>
      </c>
      <c r="AJ8446">
        <v>102.41591644777</v>
      </c>
      <c r="AK8446">
        <v>13.422706448679</v>
      </c>
      <c r="AL8446">
        <v>87.136193765442698</v>
      </c>
      <c r="AM8446">
        <v>95.728169477938195</v>
      </c>
      <c r="AN8446">
        <v>1.0000000273985601</v>
      </c>
    </row>
    <row r="8447" spans="1:40" x14ac:dyDescent="0.25">
      <c r="A8447" t="str">
        <f>"20190312150854618"</f>
        <v>20190312150854618</v>
      </c>
      <c r="B8447" t="str">
        <f>"1552374534608379"</f>
        <v>1552374534608379</v>
      </c>
      <c r="C8447" t="s">
        <v>40</v>
      </c>
      <c r="D8447">
        <v>4.8060790000000004</v>
      </c>
      <c r="E8447">
        <v>0.46897440000000001</v>
      </c>
      <c r="F8447" t="s">
        <v>82</v>
      </c>
      <c r="G8447">
        <v>-374.62049999999999</v>
      </c>
      <c r="H8447" s="1">
        <v>-2.7827090000000001E-6</v>
      </c>
      <c r="I8447">
        <v>18.15447</v>
      </c>
      <c r="J8447">
        <v>-388.31869999999998</v>
      </c>
      <c r="K8447">
        <v>1.115702</v>
      </c>
      <c r="L8447">
        <v>17.220179999999999</v>
      </c>
      <c r="M8447">
        <v>0.98974870000000004</v>
      </c>
      <c r="N8447">
        <v>0</v>
      </c>
      <c r="O8447">
        <v>-0.14224609999999999</v>
      </c>
      <c r="P8447">
        <v>0.99811649999999996</v>
      </c>
      <c r="Q8447">
        <v>3.942623E-2</v>
      </c>
      <c r="R8447">
        <v>-4.7000149999999997E-2</v>
      </c>
      <c r="S8447">
        <v>3.0252080000000001</v>
      </c>
      <c r="T8447">
        <v>-0.24160209999999999</v>
      </c>
      <c r="U8447">
        <v>0.19500729999999999</v>
      </c>
      <c r="V8447">
        <v>-9.6147010000000005E-2</v>
      </c>
      <c r="W8447">
        <v>5.0886399999999998E-2</v>
      </c>
      <c r="X8447">
        <v>0.99406559999999999</v>
      </c>
      <c r="Y8447">
        <v>-0.2045363</v>
      </c>
      <c r="Z8447">
        <v>1.9461389999999999E-2</v>
      </c>
      <c r="AA8447">
        <v>0.97866549999999997</v>
      </c>
      <c r="AB8447">
        <v>28</v>
      </c>
      <c r="AC8447">
        <v>13.6981999999999</v>
      </c>
      <c r="AD8447">
        <v>-1.1157047827090001</v>
      </c>
      <c r="AE8447">
        <v>0.93428999999999995</v>
      </c>
      <c r="AF8447">
        <v>-2.8546131916064001</v>
      </c>
      <c r="AG8447">
        <v>-1.1157047827090001</v>
      </c>
      <c r="AH8447">
        <v>13.337901406795201</v>
      </c>
      <c r="AI8447">
        <v>94.676200655041896</v>
      </c>
      <c r="AJ8447">
        <v>102.080346314083</v>
      </c>
      <c r="AK8447">
        <v>13.6855115934057</v>
      </c>
      <c r="AL8447">
        <v>87.083164430904702</v>
      </c>
      <c r="AM8447">
        <v>95.524520140593907</v>
      </c>
      <c r="AN8447">
        <v>1.0000000451701201</v>
      </c>
    </row>
    <row r="8448" spans="1:40" x14ac:dyDescent="0.25">
      <c r="A8448" t="str">
        <f>"20190312150854629"</f>
        <v>20190312150854629</v>
      </c>
      <c r="B8448" t="str">
        <f>"1552374534618139"</f>
        <v>1552374534618139</v>
      </c>
      <c r="C8448" t="s">
        <v>40</v>
      </c>
      <c r="D8448">
        <v>4.8206629999999997</v>
      </c>
      <c r="E8448">
        <v>0.4690048</v>
      </c>
      <c r="F8448" t="s">
        <v>82</v>
      </c>
      <c r="G8448">
        <v>-372.3766</v>
      </c>
      <c r="H8448" s="1">
        <v>-3.8988599999999998E-6</v>
      </c>
      <c r="I8448">
        <v>17.84178</v>
      </c>
      <c r="J8448">
        <v>-388.17559999999997</v>
      </c>
      <c r="K8448">
        <v>1.1156759999999999</v>
      </c>
      <c r="L8448">
        <v>17.203250000000001</v>
      </c>
      <c r="M8448">
        <v>0.99025479999999999</v>
      </c>
      <c r="N8448">
        <v>0</v>
      </c>
      <c r="O8448">
        <v>-0.13867959999999999</v>
      </c>
      <c r="P8448">
        <v>0.99820140000000002</v>
      </c>
      <c r="Q8448">
        <v>3.96093E-2</v>
      </c>
      <c r="R8448">
        <v>-4.5004059999999999E-2</v>
      </c>
      <c r="S8448">
        <v>3.0195919999999998</v>
      </c>
      <c r="T8448">
        <v>-0.21132609999999999</v>
      </c>
      <c r="U8448">
        <v>0.1177368</v>
      </c>
      <c r="V8448">
        <v>-9.455086E-2</v>
      </c>
      <c r="W8448">
        <v>5.109499E-2</v>
      </c>
      <c r="X8448">
        <v>0.99420790000000003</v>
      </c>
      <c r="Y8448">
        <v>-0.17640149999999999</v>
      </c>
      <c r="Z8448">
        <v>1.5836599999999999E-2</v>
      </c>
      <c r="AA8448">
        <v>0.98419089999999998</v>
      </c>
      <c r="AB8448">
        <v>28</v>
      </c>
      <c r="AC8448">
        <v>15.7989999999999</v>
      </c>
      <c r="AD8448">
        <v>-1.1156798988600001</v>
      </c>
      <c r="AE8448">
        <v>0.63852999999999904</v>
      </c>
      <c r="AF8448">
        <v>-2.8095493395569999</v>
      </c>
      <c r="AG8448">
        <v>-1.1156798988600001</v>
      </c>
      <c r="AH8448">
        <v>15.480682786245101</v>
      </c>
      <c r="AI8448">
        <v>94.056100635903604</v>
      </c>
      <c r="AJ8448">
        <v>100.286501161712</v>
      </c>
      <c r="AK8448">
        <v>15.7730735323358</v>
      </c>
      <c r="AL8448">
        <v>87.071197275337596</v>
      </c>
      <c r="AM8448">
        <v>95.432587223461496</v>
      </c>
      <c r="AN8448">
        <v>0.999999955776123</v>
      </c>
    </row>
    <row r="8449" spans="1:40" x14ac:dyDescent="0.25">
      <c r="A8449" t="str">
        <f>"20190312150854640"</f>
        <v>20190312150854640</v>
      </c>
      <c r="B8449" t="str">
        <f>"1552374534638635"</f>
        <v>1552374534638635</v>
      </c>
      <c r="C8449" t="s">
        <v>40</v>
      </c>
      <c r="D8449">
        <v>4.8811210000000003</v>
      </c>
      <c r="E8449">
        <v>0.46952100000000002</v>
      </c>
      <c r="F8449" t="s">
        <v>82</v>
      </c>
      <c r="G8449">
        <v>-372.81810000000002</v>
      </c>
      <c r="H8449" s="1">
        <v>-3.6919420000000001E-6</v>
      </c>
      <c r="I8449">
        <v>17.831679999999999</v>
      </c>
      <c r="J8449">
        <v>-388.0333</v>
      </c>
      <c r="K8449">
        <v>1.1156469999999901</v>
      </c>
      <c r="L8449">
        <v>17.186889999999998</v>
      </c>
      <c r="M8449">
        <v>0.99074269999999998</v>
      </c>
      <c r="N8449">
        <v>0</v>
      </c>
      <c r="O8449">
        <v>-0.1351492</v>
      </c>
      <c r="P8449">
        <v>0.99827069999999996</v>
      </c>
      <c r="Q8449">
        <v>4.0274869999999997E-2</v>
      </c>
      <c r="R8449">
        <v>-4.2820440000000001E-2</v>
      </c>
      <c r="S8449">
        <v>3.0196529999999999</v>
      </c>
      <c r="T8449">
        <v>-0.2193698</v>
      </c>
      <c r="U8449">
        <v>0.1235657</v>
      </c>
      <c r="V8449">
        <v>-9.3183059999999998E-2</v>
      </c>
      <c r="W8449">
        <v>5.1782630000000003E-2</v>
      </c>
      <c r="X8449">
        <v>0.99430149999999995</v>
      </c>
      <c r="Y8449">
        <v>-0.1747435</v>
      </c>
      <c r="Z8449">
        <v>1.612251E-2</v>
      </c>
      <c r="AA8449">
        <v>0.98448199999999997</v>
      </c>
      <c r="AB8449">
        <v>28</v>
      </c>
      <c r="AC8449">
        <v>15.2151999999999</v>
      </c>
      <c r="AD8449">
        <v>-1.11565069194199</v>
      </c>
      <c r="AE8449">
        <v>0.64478999999999997</v>
      </c>
      <c r="AF8449">
        <v>-2.68097510577747</v>
      </c>
      <c r="AG8449">
        <v>-1.11565069194199</v>
      </c>
      <c r="AH8449">
        <v>14.9084198483276</v>
      </c>
      <c r="AI8449">
        <v>94.212352420494994</v>
      </c>
      <c r="AJ8449">
        <v>100.19451637165101</v>
      </c>
      <c r="AK8449">
        <v>15.1885906639897</v>
      </c>
      <c r="AL8449">
        <v>87.031746301522006</v>
      </c>
      <c r="AM8449">
        <v>95.353956823129806</v>
      </c>
      <c r="AN8449">
        <v>0.99999999817146501</v>
      </c>
    </row>
    <row r="8450" spans="1:40" x14ac:dyDescent="0.25">
      <c r="A8450" t="str">
        <f>"20190312150854652"</f>
        <v>20190312150854652</v>
      </c>
      <c r="B8450" t="str">
        <f>"1552374534648395"</f>
        <v>1552374534648395</v>
      </c>
      <c r="C8450" t="s">
        <v>40</v>
      </c>
      <c r="D8450">
        <v>4.8242659999999997</v>
      </c>
      <c r="E8450">
        <v>0.46981050000000002</v>
      </c>
      <c r="F8450" t="s">
        <v>82</v>
      </c>
      <c r="G8450">
        <v>-372.98899999999998</v>
      </c>
      <c r="H8450" s="1">
        <v>-3.6142219999999998E-6</v>
      </c>
      <c r="I8450">
        <v>17.814529999999898</v>
      </c>
      <c r="J8450">
        <v>-387.89449999999999</v>
      </c>
      <c r="K8450">
        <v>1.1156189999999999</v>
      </c>
      <c r="L8450">
        <v>17.171479999999999</v>
      </c>
      <c r="M8450">
        <v>0.99120339999999996</v>
      </c>
      <c r="N8450">
        <v>0</v>
      </c>
      <c r="O8450">
        <v>-0.13172919999999999</v>
      </c>
      <c r="P8450">
        <v>0.99834310000000004</v>
      </c>
      <c r="Q8450">
        <v>4.0573659999999998E-2</v>
      </c>
      <c r="R8450">
        <v>-4.080889E-2</v>
      </c>
      <c r="S8450">
        <v>3.0196230000000002</v>
      </c>
      <c r="T8450">
        <v>-0.22392819999999999</v>
      </c>
      <c r="U8450">
        <v>0.12597659999999999</v>
      </c>
      <c r="V8450">
        <v>-9.1752909999999993E-2</v>
      </c>
      <c r="W8450">
        <v>5.2104060000000001E-2</v>
      </c>
      <c r="X8450">
        <v>0.99441769999999996</v>
      </c>
      <c r="Y8450">
        <v>-0.17211270000000001</v>
      </c>
      <c r="Z8450">
        <v>1.6107460000000001E-2</v>
      </c>
      <c r="AA8450">
        <v>0.98494550000000003</v>
      </c>
      <c r="AB8450">
        <v>28</v>
      </c>
      <c r="AC8450">
        <v>14.9054999999999</v>
      </c>
      <c r="AD8450">
        <v>-1.115622614222</v>
      </c>
      <c r="AE8450">
        <v>0.64304999999999801</v>
      </c>
      <c r="AF8450">
        <v>-2.58663190433376</v>
      </c>
      <c r="AG8450">
        <v>-1.115622614222</v>
      </c>
      <c r="AH8450">
        <v>14.609184603534301</v>
      </c>
      <c r="AI8450">
        <v>94.300259794131094</v>
      </c>
      <c r="AJ8450">
        <v>100.04045996630001</v>
      </c>
      <c r="AK8450">
        <v>14.8782913402724</v>
      </c>
      <c r="AL8450">
        <v>87.0133048165806</v>
      </c>
      <c r="AM8450">
        <v>95.271639685033307</v>
      </c>
      <c r="AN8450">
        <v>0.99999999581762</v>
      </c>
    </row>
    <row r="8451" spans="1:40" x14ac:dyDescent="0.25">
      <c r="A8451" t="str">
        <f>"20190312150854663"</f>
        <v>20190312150854663</v>
      </c>
      <c r="B8451" t="str">
        <f>"1552374534658155"</f>
        <v>1552374534658155</v>
      </c>
      <c r="C8451" t="s">
        <v>40</v>
      </c>
      <c r="D8451">
        <v>4.8287380000000004</v>
      </c>
      <c r="E8451">
        <v>0.47008680000000003</v>
      </c>
      <c r="F8451" t="s">
        <v>82</v>
      </c>
      <c r="G8451">
        <v>-373.17059999999998</v>
      </c>
      <c r="H8451" s="1">
        <v>-3.5302629999999999E-6</v>
      </c>
      <c r="I8451">
        <v>17.803909999999998</v>
      </c>
      <c r="J8451">
        <v>-387.75080000000003</v>
      </c>
      <c r="K8451">
        <v>1.1155900000000001</v>
      </c>
      <c r="L8451">
        <v>17.155819999999999</v>
      </c>
      <c r="M8451">
        <v>0.99166620000000005</v>
      </c>
      <c r="N8451">
        <v>0</v>
      </c>
      <c r="O8451">
        <v>-0.12819829999999999</v>
      </c>
      <c r="P8451">
        <v>0.99839999999999995</v>
      </c>
      <c r="Q8451">
        <v>4.1332340000000002E-2</v>
      </c>
      <c r="R8451">
        <v>-3.8589989999999998E-2</v>
      </c>
      <c r="S8451">
        <v>3.0195919999999998</v>
      </c>
      <c r="T8451">
        <v>-0.22879269999999999</v>
      </c>
      <c r="U8451">
        <v>0.1296997</v>
      </c>
      <c r="V8451">
        <v>-9.0422829999999996E-2</v>
      </c>
      <c r="W8451">
        <v>5.2884519999999997E-2</v>
      </c>
      <c r="X8451">
        <v>0.99449829999999995</v>
      </c>
      <c r="Y8451">
        <v>-0.16979739999999999</v>
      </c>
      <c r="Z8451">
        <v>1.6103079999999999E-2</v>
      </c>
      <c r="AA8451">
        <v>0.98534739999999998</v>
      </c>
      <c r="AB8451">
        <v>28</v>
      </c>
      <c r="AC8451">
        <v>14.5802</v>
      </c>
      <c r="AD8451">
        <v>-1.11559353026299</v>
      </c>
      <c r="AE8451">
        <v>0.64808999999999894</v>
      </c>
      <c r="AF8451">
        <v>-2.4974585952805901</v>
      </c>
      <c r="AG8451">
        <v>-1.11559353026299</v>
      </c>
      <c r="AH8451">
        <v>14.293267715058899</v>
      </c>
      <c r="AI8451">
        <v>94.396560945300294</v>
      </c>
      <c r="AJ8451">
        <v>99.911218803316999</v>
      </c>
      <c r="AK8451">
        <v>14.552640665331101</v>
      </c>
      <c r="AL8451">
        <v>86.968525916730002</v>
      </c>
      <c r="AM8451">
        <v>95.195222796229103</v>
      </c>
      <c r="AN8451">
        <v>0.99999996467186303</v>
      </c>
    </row>
    <row r="8452" spans="1:40" x14ac:dyDescent="0.25">
      <c r="A8452" t="str">
        <f>"20190312150854676"</f>
        <v>20190312150854676</v>
      </c>
      <c r="B8452" t="str">
        <f>"1552374534667916"</f>
        <v>1552374534667916</v>
      </c>
      <c r="C8452" t="s">
        <v>40</v>
      </c>
      <c r="D8452">
        <v>4.8352430000000002</v>
      </c>
      <c r="E8452">
        <v>0.47032869999999999</v>
      </c>
      <c r="F8452" t="s">
        <v>82</v>
      </c>
      <c r="G8452">
        <v>-373.05689999999998</v>
      </c>
      <c r="H8452" s="1">
        <v>-3.5832919999999998E-6</v>
      </c>
      <c r="I8452">
        <v>17.807929999999999</v>
      </c>
      <c r="J8452">
        <v>-387.59120000000001</v>
      </c>
      <c r="K8452">
        <v>1.115556</v>
      </c>
      <c r="L8452">
        <v>17.139279999999999</v>
      </c>
      <c r="M8452">
        <v>0.99215969999999998</v>
      </c>
      <c r="N8452">
        <v>0</v>
      </c>
      <c r="O8452">
        <v>-0.124322699999999</v>
      </c>
      <c r="P8452">
        <v>0.99847260000000004</v>
      </c>
      <c r="Q8452">
        <v>4.2002930000000001E-2</v>
      </c>
      <c r="R8452">
        <v>-3.589606E-2</v>
      </c>
      <c r="S8452">
        <v>3.0194700000000001</v>
      </c>
      <c r="T8452">
        <v>-0.2292458</v>
      </c>
      <c r="U8452">
        <v>0.1340027</v>
      </c>
      <c r="V8452">
        <v>-8.9220209999999994E-2</v>
      </c>
      <c r="W8452">
        <v>5.3574959999999998E-2</v>
      </c>
      <c r="X8452">
        <v>0.99456999999999995</v>
      </c>
      <c r="Y8452">
        <v>-0.16736489999999901</v>
      </c>
      <c r="Z8452">
        <v>1.5750750000000001E-2</v>
      </c>
      <c r="AA8452">
        <v>0.98576920000000001</v>
      </c>
      <c r="AB8452">
        <v>28</v>
      </c>
      <c r="AC8452">
        <v>14.5343</v>
      </c>
      <c r="AD8452">
        <v>-1.115559583292</v>
      </c>
      <c r="AE8452">
        <v>0.66864999999999897</v>
      </c>
      <c r="AF8452">
        <v>-2.4561136726023798</v>
      </c>
      <c r="AG8452">
        <v>-1.115559583292</v>
      </c>
      <c r="AH8452">
        <v>14.254588922179099</v>
      </c>
      <c r="AI8452">
        <v>94.410105073657107</v>
      </c>
      <c r="AJ8452">
        <v>99.776262641062402</v>
      </c>
      <c r="AK8452">
        <v>14.507593628749399</v>
      </c>
      <c r="AL8452">
        <v>86.928910572915299</v>
      </c>
      <c r="AM8452">
        <v>95.1261295778299</v>
      </c>
      <c r="AN8452">
        <v>1.0000000035557199</v>
      </c>
    </row>
    <row r="8453" spans="1:40" x14ac:dyDescent="0.25">
      <c r="A8453" t="str">
        <f>"20190312150854687"</f>
        <v>20190312150854687</v>
      </c>
      <c r="B8453" t="str">
        <f>"1552374534678652"</f>
        <v>1552374534678652</v>
      </c>
      <c r="C8453" t="s">
        <v>40</v>
      </c>
      <c r="D8453">
        <v>4.8706800000000001</v>
      </c>
      <c r="E8453">
        <v>0.47070469999999998</v>
      </c>
      <c r="F8453" t="s">
        <v>82</v>
      </c>
      <c r="G8453">
        <v>-373.0385</v>
      </c>
      <c r="H8453" s="1">
        <v>-3.590745E-6</v>
      </c>
      <c r="I8453">
        <v>17.815159999999999</v>
      </c>
      <c r="J8453">
        <v>-387.45089999999999</v>
      </c>
      <c r="K8453">
        <v>1.115526</v>
      </c>
      <c r="L8453">
        <v>17.125060000000001</v>
      </c>
      <c r="M8453">
        <v>0.99257870000000004</v>
      </c>
      <c r="N8453">
        <v>0</v>
      </c>
      <c r="O8453">
        <v>-0.1209302</v>
      </c>
      <c r="P8453">
        <v>0.9985058</v>
      </c>
      <c r="Q8453">
        <v>4.2927609999999998E-2</v>
      </c>
      <c r="R8453">
        <v>-3.3815060000000001E-2</v>
      </c>
      <c r="S8453">
        <v>3.0193789999999998</v>
      </c>
      <c r="T8453">
        <v>-0.2314534</v>
      </c>
      <c r="U8453">
        <v>0.1402283</v>
      </c>
      <c r="V8453">
        <v>-8.7894369999999999E-2</v>
      </c>
      <c r="W8453">
        <v>5.4520569999999997E-2</v>
      </c>
      <c r="X8453">
        <v>0.99463670000000004</v>
      </c>
      <c r="Y8453">
        <v>-0.16602210000000001</v>
      </c>
      <c r="Z8453">
        <v>1.559222E-2</v>
      </c>
      <c r="AA8453">
        <v>0.98599870000000001</v>
      </c>
      <c r="AB8453">
        <v>28</v>
      </c>
      <c r="AC8453">
        <v>14.4123999999999</v>
      </c>
      <c r="AD8453">
        <v>-1.115529590745</v>
      </c>
      <c r="AE8453">
        <v>0.69010000000000105</v>
      </c>
      <c r="AF8453">
        <v>-2.41364462626083</v>
      </c>
      <c r="AG8453">
        <v>-1.115529590745</v>
      </c>
      <c r="AH8453">
        <v>14.138640542530601</v>
      </c>
      <c r="AI8453">
        <v>94.447181785999007</v>
      </c>
      <c r="AJ8453">
        <v>99.687724917804402</v>
      </c>
      <c r="AK8453">
        <v>14.3864951618035</v>
      </c>
      <c r="AL8453">
        <v>86.874651912341207</v>
      </c>
      <c r="AM8453">
        <v>95.050013682186403</v>
      </c>
      <c r="AN8453">
        <v>1.0000000389088499</v>
      </c>
    </row>
    <row r="8454" spans="1:40" x14ac:dyDescent="0.25">
      <c r="A8454" t="str">
        <f>"20190312150854699"</f>
        <v>20190312150854699</v>
      </c>
      <c r="B8454" t="str">
        <f>"1552374534688411"</f>
        <v>1552374534688411</v>
      </c>
      <c r="C8454" t="s">
        <v>40</v>
      </c>
      <c r="D8454">
        <v>4.8557139999999999</v>
      </c>
      <c r="E8454">
        <v>0.47106110000000001</v>
      </c>
      <c r="F8454" t="s">
        <v>82</v>
      </c>
      <c r="G8454">
        <v>-372.91460000000001</v>
      </c>
      <c r="H8454" s="1">
        <v>-3.6490289999999999E-6</v>
      </c>
      <c r="I8454">
        <v>17.81664</v>
      </c>
      <c r="J8454">
        <v>-387.30119999999999</v>
      </c>
      <c r="K8454">
        <v>1.1154900000000001</v>
      </c>
      <c r="L8454">
        <v>17.110529999999901</v>
      </c>
      <c r="M8454">
        <v>0.99300909999999998</v>
      </c>
      <c r="N8454">
        <v>0</v>
      </c>
      <c r="O8454">
        <v>-0.117345699999999</v>
      </c>
      <c r="P8454">
        <v>0.99856049999999996</v>
      </c>
      <c r="Q8454">
        <v>4.349571E-2</v>
      </c>
      <c r="R8454">
        <v>-3.138386E-2</v>
      </c>
      <c r="S8454">
        <v>3.0193180000000002</v>
      </c>
      <c r="T8454">
        <v>-0.23170470000000001</v>
      </c>
      <c r="U8454">
        <v>0.1436462</v>
      </c>
      <c r="V8454">
        <v>-8.6722880000000002E-2</v>
      </c>
      <c r="W8454">
        <v>5.5107620000000003E-2</v>
      </c>
      <c r="X8454">
        <v>0.99470720000000001</v>
      </c>
      <c r="Y8454">
        <v>-0.16359209999999999</v>
      </c>
      <c r="Z8454">
        <v>1.524266E-2</v>
      </c>
      <c r="AA8454">
        <v>0.98641029999999996</v>
      </c>
      <c r="AB8454">
        <v>28</v>
      </c>
      <c r="AC8454">
        <v>14.3865999999999</v>
      </c>
      <c r="AD8454">
        <v>-1.1154936490289999</v>
      </c>
      <c r="AE8454">
        <v>0.70611000000000201</v>
      </c>
      <c r="AF8454">
        <v>-2.37532784227855</v>
      </c>
      <c r="AG8454">
        <v>-1.1154936490289999</v>
      </c>
      <c r="AH8454">
        <v>14.119639773850301</v>
      </c>
      <c r="AI8454">
        <v>94.454814646780903</v>
      </c>
      <c r="AJ8454">
        <v>99.549375981816993</v>
      </c>
      <c r="AK8454">
        <v>14.3614322329851</v>
      </c>
      <c r="AL8454">
        <v>86.840965850264993</v>
      </c>
      <c r="AM8454">
        <v>94.982694925989307</v>
      </c>
      <c r="AN8454">
        <v>1.0000000607146899</v>
      </c>
    </row>
    <row r="8455" spans="1:40" x14ac:dyDescent="0.25">
      <c r="A8455" t="str">
        <f>"20190312150854710"</f>
        <v>20190312150854710</v>
      </c>
      <c r="B8455" t="str">
        <f>"1552374534707931"</f>
        <v>1552374534707931</v>
      </c>
      <c r="C8455" t="s">
        <v>40</v>
      </c>
      <c r="D8455">
        <v>4.8783339999999997</v>
      </c>
      <c r="E8455">
        <v>0.47161120000000001</v>
      </c>
      <c r="F8455" t="s">
        <v>82</v>
      </c>
      <c r="G8455">
        <v>-372.85059999999999</v>
      </c>
      <c r="H8455" s="1">
        <v>-3.678684E-6</v>
      </c>
      <c r="I8455">
        <v>17.81983</v>
      </c>
      <c r="J8455">
        <v>-387.15690000000001</v>
      </c>
      <c r="K8455">
        <v>1.1154520000000001</v>
      </c>
      <c r="L8455">
        <v>17.09695</v>
      </c>
      <c r="M8455">
        <v>0.99340819999999996</v>
      </c>
      <c r="N8455">
        <v>0</v>
      </c>
      <c r="O8455">
        <v>-0.1139183</v>
      </c>
      <c r="P8455">
        <v>0.99859779999999998</v>
      </c>
      <c r="Q8455">
        <v>4.4195159999999997E-2</v>
      </c>
      <c r="R8455">
        <v>-2.9142709999999999E-2</v>
      </c>
      <c r="S8455">
        <v>3.0191349999999999</v>
      </c>
      <c r="T8455">
        <v>-0.23305919999999999</v>
      </c>
      <c r="U8455">
        <v>0.1481934</v>
      </c>
      <c r="V8455">
        <v>-8.5522230000000005E-2</v>
      </c>
      <c r="W8455">
        <v>5.582749E-2</v>
      </c>
      <c r="X8455">
        <v>0.99477090000000001</v>
      </c>
      <c r="Y8455">
        <v>-0.16167909999999999</v>
      </c>
      <c r="Z8455">
        <v>1.499531E-2</v>
      </c>
      <c r="AA8455">
        <v>0.98672939999999998</v>
      </c>
      <c r="AB8455">
        <v>28</v>
      </c>
      <c r="AC8455">
        <v>14.3063</v>
      </c>
      <c r="AD8455">
        <v>-1.115455678684</v>
      </c>
      <c r="AE8455">
        <v>0.72287999999999997</v>
      </c>
      <c r="AF8455">
        <v>-2.33390315101652</v>
      </c>
      <c r="AG8455">
        <v>-1.115455678684</v>
      </c>
      <c r="AH8455">
        <v>14.045627122854601</v>
      </c>
      <c r="AI8455">
        <v>94.479538598650507</v>
      </c>
      <c r="AJ8455">
        <v>99.434399131418004</v>
      </c>
      <c r="AK8455">
        <v>14.281841147544799</v>
      </c>
      <c r="AL8455">
        <v>86.799656394933507</v>
      </c>
      <c r="AM8455">
        <v>94.913738154955098</v>
      </c>
      <c r="AN8455">
        <v>0.99999995197533997</v>
      </c>
    </row>
    <row r="8456" spans="1:40" x14ac:dyDescent="0.25">
      <c r="A8456" t="str">
        <f>"20190312150854728"</f>
        <v>20190312150854728</v>
      </c>
      <c r="B8456" t="str">
        <f>"1552374534717691"</f>
        <v>1552374534717691</v>
      </c>
      <c r="C8456" t="s">
        <v>40</v>
      </c>
      <c r="D8456">
        <v>4.8999899999999998</v>
      </c>
      <c r="E8456">
        <v>0.47199590000000002</v>
      </c>
      <c r="F8456" t="s">
        <v>82</v>
      </c>
      <c r="G8456">
        <v>-372.01990000000001</v>
      </c>
      <c r="H8456" s="1">
        <v>-4.0659509999999998E-6</v>
      </c>
      <c r="I8456">
        <v>17.850519999999999</v>
      </c>
      <c r="J8456">
        <v>-386.93630000000002</v>
      </c>
      <c r="K8456">
        <v>1.115399</v>
      </c>
      <c r="L8456">
        <v>17.077089999999998</v>
      </c>
      <c r="M8456">
        <v>0.99398929999999996</v>
      </c>
      <c r="N8456">
        <v>0</v>
      </c>
      <c r="O8456">
        <v>-0.1087316</v>
      </c>
      <c r="P8456">
        <v>0.99864219999999904</v>
      </c>
      <c r="Q8456">
        <v>4.4997540000000003E-2</v>
      </c>
      <c r="R8456">
        <v>-2.625332E-2</v>
      </c>
      <c r="S8456">
        <v>3.0184630000000001</v>
      </c>
      <c r="T8456">
        <v>-0.22243270000000001</v>
      </c>
      <c r="U8456">
        <v>0.1502686</v>
      </c>
      <c r="V8456">
        <v>-8.3204189999999997E-2</v>
      </c>
      <c r="W8456">
        <v>5.6669200000000003E-2</v>
      </c>
      <c r="X8456">
        <v>0.99492000000000003</v>
      </c>
      <c r="Y8456">
        <v>-0.15731300000000001</v>
      </c>
      <c r="Z8456">
        <v>1.377572E-2</v>
      </c>
      <c r="AA8456">
        <v>0.98745269999999996</v>
      </c>
      <c r="AB8456">
        <v>28</v>
      </c>
      <c r="AC8456">
        <v>14.916399999999999</v>
      </c>
      <c r="AD8456">
        <v>-1.1154030659509999</v>
      </c>
      <c r="AE8456">
        <v>0.77343000000000095</v>
      </c>
      <c r="AF8456">
        <v>-2.37760076851422</v>
      </c>
      <c r="AG8456">
        <v>-1.1154030659509999</v>
      </c>
      <c r="AH8456">
        <v>14.662080676746401</v>
      </c>
      <c r="AI8456">
        <v>94.294456869878204</v>
      </c>
      <c r="AJ8456">
        <v>99.210897325886606</v>
      </c>
      <c r="AK8456">
        <v>14.8954261162745</v>
      </c>
      <c r="AL8456">
        <v>86.751353874706894</v>
      </c>
      <c r="AM8456">
        <v>94.780466348043802</v>
      </c>
      <c r="AN8456">
        <v>1.0000000709310899</v>
      </c>
    </row>
    <row r="8457" spans="1:40" x14ac:dyDescent="0.25">
      <c r="A8457" t="str">
        <f>"20190312150854740"</f>
        <v>20190312150854740</v>
      </c>
      <c r="B8457" t="str">
        <f>"1552374534728427"</f>
        <v>1552374534728427</v>
      </c>
      <c r="C8457" t="s">
        <v>40</v>
      </c>
      <c r="D8457">
        <v>4.8538949999999996</v>
      </c>
      <c r="E8457">
        <v>0.47199590000000002</v>
      </c>
      <c r="F8457" t="s">
        <v>82</v>
      </c>
      <c r="G8457">
        <v>-371.39060000000001</v>
      </c>
      <c r="H8457" s="1">
        <v>-4.3582769999999998E-6</v>
      </c>
      <c r="I8457">
        <v>17.879579999999901</v>
      </c>
      <c r="J8457">
        <v>-386.79169999999999</v>
      </c>
      <c r="K8457">
        <v>1.115356</v>
      </c>
      <c r="L8457">
        <v>17.06467</v>
      </c>
      <c r="M8457">
        <v>0.99435119999999999</v>
      </c>
      <c r="N8457">
        <v>0</v>
      </c>
      <c r="O8457">
        <v>-0.1053723</v>
      </c>
      <c r="P8457">
        <v>0.99867159999999999</v>
      </c>
      <c r="Q8457">
        <v>4.5557880000000002E-2</v>
      </c>
      <c r="R8457">
        <v>-2.4079779999999999E-2</v>
      </c>
      <c r="S8457">
        <v>3.0179749999999999</v>
      </c>
      <c r="T8457">
        <v>-0.2165386</v>
      </c>
      <c r="U8457">
        <v>0.15579219999999999</v>
      </c>
      <c r="V8457">
        <v>-8.2005399999999895E-2</v>
      </c>
      <c r="W8457">
        <v>5.7252379999999999E-2</v>
      </c>
      <c r="X8457">
        <v>0.99498609999999998</v>
      </c>
      <c r="Y8457">
        <v>-0.15583659999999999</v>
      </c>
      <c r="Z8457">
        <v>1.3120639999999999E-2</v>
      </c>
      <c r="AA8457">
        <v>0.98769569999999995</v>
      </c>
      <c r="AB8457">
        <v>28</v>
      </c>
      <c r="AC8457">
        <v>15.4010999999999</v>
      </c>
      <c r="AD8457">
        <v>-1.115360358277</v>
      </c>
      <c r="AE8457">
        <v>0.81490999999999703</v>
      </c>
      <c r="AF8457">
        <v>-2.4206930786862699</v>
      </c>
      <c r="AG8457">
        <v>-1.115360358277</v>
      </c>
      <c r="AH8457">
        <v>15.1502320494473</v>
      </c>
      <c r="AI8457">
        <v>94.157968147258401</v>
      </c>
      <c r="AJ8457">
        <v>99.077945504918901</v>
      </c>
      <c r="AK8457">
        <v>15.382890328612399</v>
      </c>
      <c r="AL8457">
        <v>86.717885650907306</v>
      </c>
      <c r="AM8457">
        <v>94.711591064738201</v>
      </c>
      <c r="AN8457">
        <v>1.0000000299190099</v>
      </c>
    </row>
    <row r="8458" spans="1:40" x14ac:dyDescent="0.25">
      <c r="A8458" t="str">
        <f>"20190312150854750"</f>
        <v>20190312150854750</v>
      </c>
      <c r="B8458" t="str">
        <f>"1552374534747947"</f>
        <v>1552374534747947</v>
      </c>
      <c r="C8458" t="s">
        <v>40</v>
      </c>
      <c r="D8458">
        <v>4.8291190000000004</v>
      </c>
      <c r="E8458">
        <v>0.46155420000000003</v>
      </c>
      <c r="F8458" t="s">
        <v>82</v>
      </c>
      <c r="G8458">
        <v>-371.1223</v>
      </c>
      <c r="H8458" s="1">
        <v>-4.4801069999999997E-6</v>
      </c>
      <c r="I8458">
        <v>17.90784</v>
      </c>
      <c r="J8458">
        <v>-386.65769999999998</v>
      </c>
      <c r="K8458">
        <v>1.1153169999999999</v>
      </c>
      <c r="L8458">
        <v>17.053619999999999</v>
      </c>
      <c r="M8458">
        <v>0.99467340000000004</v>
      </c>
      <c r="N8458">
        <v>0</v>
      </c>
      <c r="O8458">
        <v>-0.10228429999999999</v>
      </c>
      <c r="P8458">
        <v>0.99869779999999997</v>
      </c>
      <c r="Q8458">
        <v>4.6001630000000002E-2</v>
      </c>
      <c r="R8458">
        <v>-2.206114E-2</v>
      </c>
      <c r="S8458">
        <v>3.0177309999999999</v>
      </c>
      <c r="T8458">
        <v>-0.21480299999999999</v>
      </c>
      <c r="U8458">
        <v>0.162384</v>
      </c>
      <c r="V8458">
        <v>-8.0923350000000005E-2</v>
      </c>
      <c r="W8458">
        <v>5.7717480000000002E-2</v>
      </c>
      <c r="X8458">
        <v>0.99504780000000004</v>
      </c>
      <c r="Y8458">
        <v>-0.1549461</v>
      </c>
      <c r="Z8458">
        <v>1.2765840000000001E-2</v>
      </c>
      <c r="AA8458">
        <v>0.98784050000000001</v>
      </c>
      <c r="AB8458">
        <v>28</v>
      </c>
      <c r="AC8458">
        <v>15.5353999999999</v>
      </c>
      <c r="AD8458">
        <v>-1.1153214801069999</v>
      </c>
      <c r="AE8458">
        <v>0.85421999999999698</v>
      </c>
      <c r="AF8458">
        <v>-2.4264274759591902</v>
      </c>
      <c r="AG8458">
        <v>-1.1153214801069999</v>
      </c>
      <c r="AH8458">
        <v>15.287967701789899</v>
      </c>
      <c r="AI8458">
        <v>94.121172654382207</v>
      </c>
      <c r="AJ8458">
        <v>99.018466769962004</v>
      </c>
      <c r="AK8458">
        <v>15.519453880567101</v>
      </c>
      <c r="AL8458">
        <v>86.691193179771503</v>
      </c>
      <c r="AM8458">
        <v>94.649409618693099</v>
      </c>
      <c r="AN8458">
        <v>1.0000000101788</v>
      </c>
    </row>
    <row r="8459" spans="1:40" x14ac:dyDescent="0.25">
      <c r="A8459" t="str">
        <f>"20190312150854762"</f>
        <v>20190312150854762</v>
      </c>
      <c r="B8459" t="str">
        <f>"1552374534757707"</f>
        <v>1552374534757707</v>
      </c>
      <c r="C8459" t="s">
        <v>40</v>
      </c>
      <c r="D8459">
        <v>4.824484</v>
      </c>
      <c r="E8459">
        <v>0.44300879999999998</v>
      </c>
      <c r="F8459" t="s">
        <v>83</v>
      </c>
      <c r="G8459">
        <v>-367.62630000000001</v>
      </c>
      <c r="H8459" s="1">
        <v>-1.2967250000000001E-6</v>
      </c>
      <c r="I8459">
        <v>18.634160000000001</v>
      </c>
      <c r="J8459">
        <v>-386.50940000000003</v>
      </c>
      <c r="K8459">
        <v>1.1152770000000001</v>
      </c>
      <c r="L8459">
        <v>17.041689999999999</v>
      </c>
      <c r="M8459">
        <v>0.99501640000000002</v>
      </c>
      <c r="N8459">
        <v>0</v>
      </c>
      <c r="O8459">
        <v>-9.8892519999999998E-2</v>
      </c>
      <c r="P8459">
        <v>0.99871069999999995</v>
      </c>
      <c r="Q8459">
        <v>4.6749319999999997E-2</v>
      </c>
      <c r="R8459">
        <v>-1.97898E-2</v>
      </c>
      <c r="S8459">
        <v>3.0176090000000002</v>
      </c>
      <c r="T8459">
        <v>-0.17684459999999999</v>
      </c>
      <c r="U8459">
        <v>0.25061040000000001</v>
      </c>
      <c r="V8459">
        <v>-7.9792349999999998E-2</v>
      </c>
      <c r="W8459">
        <v>5.8487699999999997E-2</v>
      </c>
      <c r="X8459">
        <v>0.99509420000000004</v>
      </c>
      <c r="Y8459">
        <v>-0.1804433</v>
      </c>
      <c r="Z8459">
        <v>1.10537E-2</v>
      </c>
      <c r="AA8459">
        <v>0.98352320000000004</v>
      </c>
      <c r="AB8459">
        <v>28</v>
      </c>
      <c r="AC8459">
        <v>18.883099999999999</v>
      </c>
      <c r="AD8459">
        <v>-1.1152782967249999</v>
      </c>
      <c r="AE8459">
        <v>1.5924700000000001</v>
      </c>
      <c r="AF8459">
        <v>-3.44029564183599</v>
      </c>
      <c r="AG8459">
        <v>-1.1152782967249999</v>
      </c>
      <c r="AH8459">
        <v>18.568709335741602</v>
      </c>
      <c r="AI8459">
        <v>93.379801706904004</v>
      </c>
      <c r="AJ8459">
        <v>100.496386746581</v>
      </c>
      <c r="AK8459">
        <v>18.9176226354592</v>
      </c>
      <c r="AL8459">
        <v>86.646988273318897</v>
      </c>
      <c r="AM8459">
        <v>94.584494698789101</v>
      </c>
      <c r="AN8459">
        <v>1.00000004852172</v>
      </c>
    </row>
    <row r="8460" spans="1:40" x14ac:dyDescent="0.25">
      <c r="A8460" t="str">
        <f>"20190312150854775"</f>
        <v>20190312150854775</v>
      </c>
      <c r="B8460" t="str">
        <f>"1552374534768443"</f>
        <v>1552374534768443</v>
      </c>
      <c r="C8460" t="s">
        <v>40</v>
      </c>
      <c r="D8460">
        <v>4.813021</v>
      </c>
      <c r="E8460">
        <v>0.44281140000000002</v>
      </c>
      <c r="F8460" t="s">
        <v>82</v>
      </c>
      <c r="G8460">
        <v>-370.27010000000001</v>
      </c>
      <c r="H8460" s="1">
        <v>-4.6490309999999997E-6</v>
      </c>
      <c r="I8460">
        <v>19.226500000000001</v>
      </c>
      <c r="J8460">
        <v>-386.35669999999999</v>
      </c>
      <c r="K8460">
        <v>1.115227</v>
      </c>
      <c r="L8460">
        <v>17.030149999999999</v>
      </c>
      <c r="M8460">
        <v>0.99535220000000002</v>
      </c>
      <c r="N8460">
        <v>0</v>
      </c>
      <c r="O8460">
        <v>-9.5453060000000006E-2</v>
      </c>
      <c r="P8460">
        <v>0.99874059999999998</v>
      </c>
      <c r="Q8460">
        <v>4.711448E-2</v>
      </c>
      <c r="R8460">
        <v>-1.725287E-2</v>
      </c>
      <c r="S8460">
        <v>3.0216370000000001</v>
      </c>
      <c r="T8460">
        <v>-0.20751890000000001</v>
      </c>
      <c r="U8460">
        <v>0.40652470000000002</v>
      </c>
      <c r="V8460">
        <v>-7.8875689999999998E-2</v>
      </c>
      <c r="W8460">
        <v>5.8873750000000002E-2</v>
      </c>
      <c r="X8460">
        <v>0.99514449999999999</v>
      </c>
      <c r="Y8460">
        <v>-0.22658909999999999</v>
      </c>
      <c r="Z8460">
        <v>1.425893E-2</v>
      </c>
      <c r="AA8460">
        <v>0.97388609999999998</v>
      </c>
      <c r="AB8460">
        <v>28</v>
      </c>
      <c r="AC8460">
        <v>16.086599999999901</v>
      </c>
      <c r="AD8460">
        <v>-1.1152316490309999</v>
      </c>
      <c r="AE8460">
        <v>2.1963499999999998</v>
      </c>
      <c r="AF8460">
        <v>-3.7044811682449299</v>
      </c>
      <c r="AG8460">
        <v>-1.1152316490309999</v>
      </c>
      <c r="AH8460">
        <v>15.7292556601287</v>
      </c>
      <c r="AI8460">
        <v>93.947926336482297</v>
      </c>
      <c r="AJ8460">
        <v>103.252530104973</v>
      </c>
      <c r="AK8460">
        <v>16.1980371026422</v>
      </c>
      <c r="AL8460">
        <v>86.624831009563806</v>
      </c>
      <c r="AM8460">
        <v>94.531820260446494</v>
      </c>
      <c r="AN8460">
        <v>1.0000000343961399</v>
      </c>
    </row>
    <row r="8461" spans="1:40" x14ac:dyDescent="0.25">
      <c r="A8461" t="str">
        <f>"20190312150854790"</f>
        <v>20190312150854790</v>
      </c>
      <c r="B8461" t="str">
        <f>"1552374534787964"</f>
        <v>1552374534787964</v>
      </c>
      <c r="C8461" t="s">
        <v>40</v>
      </c>
      <c r="D8461">
        <v>4.827045</v>
      </c>
      <c r="E8461">
        <v>0.4433087</v>
      </c>
      <c r="F8461" t="s">
        <v>82</v>
      </c>
      <c r="G8461">
        <v>-370.25369999999998</v>
      </c>
      <c r="H8461" s="1">
        <v>-4.6530969999999997E-6</v>
      </c>
      <c r="I8461">
        <v>19.24727</v>
      </c>
      <c r="J8461">
        <v>-386.16300000000001</v>
      </c>
      <c r="K8461">
        <v>1.1151610000000001</v>
      </c>
      <c r="L8461">
        <v>17.016020000000001</v>
      </c>
      <c r="M8461">
        <v>0.99575659999999999</v>
      </c>
      <c r="N8461">
        <v>0</v>
      </c>
      <c r="O8461">
        <v>-9.1139800000000007E-2</v>
      </c>
      <c r="P8461">
        <v>0.99876339999999997</v>
      </c>
      <c r="Q8461">
        <v>4.7733940000000002E-2</v>
      </c>
      <c r="R8461">
        <v>-1.389672E-2</v>
      </c>
      <c r="S8461">
        <v>3.0208740000000001</v>
      </c>
      <c r="T8461">
        <v>-0.20921390000000001</v>
      </c>
      <c r="U8461">
        <v>0.41592410000000002</v>
      </c>
      <c r="V8461">
        <v>-7.7902280000000004E-2</v>
      </c>
      <c r="W8461">
        <v>5.9516819999999998E-2</v>
      </c>
      <c r="X8461">
        <v>0.99518289999999998</v>
      </c>
      <c r="Y8461">
        <v>-0.2253782</v>
      </c>
      <c r="Z8461">
        <v>1.4037320000000001E-2</v>
      </c>
      <c r="AA8461">
        <v>0.97417019999999999</v>
      </c>
      <c r="AB8461">
        <v>28</v>
      </c>
      <c r="AC8461">
        <v>15.9093</v>
      </c>
      <c r="AD8461">
        <v>-1.115165653097</v>
      </c>
      <c r="AE8461">
        <v>2.2312500000000002</v>
      </c>
      <c r="AF8461">
        <v>-3.6544412480521098</v>
      </c>
      <c r="AG8461">
        <v>-1.115165653097</v>
      </c>
      <c r="AH8461">
        <v>15.5647048010141</v>
      </c>
      <c r="AI8461">
        <v>93.989937138120894</v>
      </c>
      <c r="AJ8461">
        <v>103.21316292405599</v>
      </c>
      <c r="AK8461">
        <v>16.0268078796753</v>
      </c>
      <c r="AL8461">
        <v>86.587921008118499</v>
      </c>
      <c r="AM8461">
        <v>94.475949451063002</v>
      </c>
      <c r="AN8461">
        <v>1.00000001077226</v>
      </c>
    </row>
    <row r="8462" spans="1:40" x14ac:dyDescent="0.25">
      <c r="A8462" t="str">
        <f>"20190312150854803"</f>
        <v>20190312150854803</v>
      </c>
      <c r="B8462" t="str">
        <f>"1552374534797724"</f>
        <v>1552374534797724</v>
      </c>
      <c r="C8462" t="s">
        <v>40</v>
      </c>
      <c r="D8462">
        <v>4.7798600000000002</v>
      </c>
      <c r="E8462">
        <v>0.44376850000000001</v>
      </c>
      <c r="F8462" t="s">
        <v>83</v>
      </c>
      <c r="G8462">
        <v>-369.72149999999999</v>
      </c>
      <c r="H8462" s="1">
        <v>-1.879512E-7</v>
      </c>
      <c r="I8462">
        <v>19.313580000000002</v>
      </c>
      <c r="J8462">
        <v>-385.99360000000001</v>
      </c>
      <c r="K8462">
        <v>1.115102</v>
      </c>
      <c r="L8462">
        <v>17.00421</v>
      </c>
      <c r="M8462">
        <v>0.99609009999999998</v>
      </c>
      <c r="N8462">
        <v>0</v>
      </c>
      <c r="O8462">
        <v>-8.7417480000000006E-2</v>
      </c>
      <c r="P8462">
        <v>0.99878670000000003</v>
      </c>
      <c r="Q8462">
        <v>4.7975129999999998E-2</v>
      </c>
      <c r="R8462">
        <v>-1.1122190000000001E-2</v>
      </c>
      <c r="S8462">
        <v>3.019409</v>
      </c>
      <c r="T8462">
        <v>-0.2047939</v>
      </c>
      <c r="U8462">
        <v>0.42193599999999998</v>
      </c>
      <c r="V8462">
        <v>-7.6939610000000005E-2</v>
      </c>
      <c r="W8462">
        <v>5.9780519999999997E-2</v>
      </c>
      <c r="X8462">
        <v>0.99524199999999996</v>
      </c>
      <c r="Y8462">
        <v>-0.2237469</v>
      </c>
      <c r="Z8462">
        <v>1.3440300000000001E-2</v>
      </c>
      <c r="AA8462">
        <v>0.97455460000000005</v>
      </c>
      <c r="AB8462">
        <v>28</v>
      </c>
      <c r="AC8462">
        <v>16.272099999999998</v>
      </c>
      <c r="AD8462">
        <v>-1.1151021879512</v>
      </c>
      <c r="AE8462">
        <v>2.3093699999999902</v>
      </c>
      <c r="AF8462">
        <v>-3.7060489148655802</v>
      </c>
      <c r="AG8462">
        <v>-1.1151021879512</v>
      </c>
      <c r="AH8462">
        <v>15.9345471072784</v>
      </c>
      <c r="AI8462">
        <v>93.899301810447298</v>
      </c>
      <c r="AJ8462">
        <v>103.093053842107</v>
      </c>
      <c r="AK8462">
        <v>16.397806041145401</v>
      </c>
      <c r="AL8462">
        <v>86.572785214278099</v>
      </c>
      <c r="AM8462">
        <v>94.420597480447896</v>
      </c>
      <c r="AN8462">
        <v>1.0000000263612101</v>
      </c>
    </row>
    <row r="8463" spans="1:40" x14ac:dyDescent="0.25">
      <c r="A8463" t="str">
        <f>"20190312150854819"</f>
        <v>20190312150854819</v>
      </c>
      <c r="B8463" t="str">
        <f>"1552374534808459"</f>
        <v>1552374534808459</v>
      </c>
      <c r="C8463" t="s">
        <v>40</v>
      </c>
      <c r="D8463">
        <v>4.8131959999999996</v>
      </c>
      <c r="E8463">
        <v>0.44420920000000003</v>
      </c>
      <c r="F8463" t="s">
        <v>83</v>
      </c>
      <c r="G8463">
        <v>-369.37139999999999</v>
      </c>
      <c r="H8463" s="1">
        <v>-3.4431370000000002E-7</v>
      </c>
      <c r="I8463">
        <v>19.352879999999999</v>
      </c>
      <c r="J8463">
        <v>-385.7989</v>
      </c>
      <c r="K8463">
        <v>1.1150249999999999</v>
      </c>
      <c r="L8463">
        <v>16.991610000000001</v>
      </c>
      <c r="M8463">
        <v>0.99644920000000003</v>
      </c>
      <c r="N8463">
        <v>0</v>
      </c>
      <c r="O8463">
        <v>-8.3225629999999995E-2</v>
      </c>
      <c r="P8463">
        <v>0.99880590000000002</v>
      </c>
      <c r="Q8463">
        <v>4.7972130000000002E-2</v>
      </c>
      <c r="R8463">
        <v>-9.2478379999999995E-3</v>
      </c>
      <c r="S8463">
        <v>3.0181269999999998</v>
      </c>
      <c r="T8463">
        <v>-0.20247100000000001</v>
      </c>
      <c r="U8463">
        <v>0.42645260000000001</v>
      </c>
      <c r="V8463">
        <v>-7.4606729999999996E-2</v>
      </c>
      <c r="W8463">
        <v>5.9818129999999997E-2</v>
      </c>
      <c r="X8463">
        <v>0.99541729999999995</v>
      </c>
      <c r="Y8463">
        <v>-0.22116330000000001</v>
      </c>
      <c r="Z8463">
        <v>1.2926750000000001E-2</v>
      </c>
      <c r="AA8463">
        <v>0.97515110000000005</v>
      </c>
      <c r="AB8463">
        <v>28</v>
      </c>
      <c r="AC8463">
        <v>16.427499999999998</v>
      </c>
      <c r="AD8463">
        <v>-1.1150253443136999</v>
      </c>
      <c r="AE8463">
        <v>2.36126999999999</v>
      </c>
      <c r="AF8463">
        <v>-3.7036592237677999</v>
      </c>
      <c r="AG8463">
        <v>-1.1150253443136999</v>
      </c>
      <c r="AH8463">
        <v>16.101286678468298</v>
      </c>
      <c r="AI8463">
        <v>93.860939772929797</v>
      </c>
      <c r="AJ8463">
        <v>102.95399230170599</v>
      </c>
      <c r="AK8463">
        <v>16.559341951493199</v>
      </c>
      <c r="AL8463">
        <v>86.570626321611599</v>
      </c>
      <c r="AM8463">
        <v>94.286316193734194</v>
      </c>
      <c r="AN8463">
        <v>0.99999998698863901</v>
      </c>
    </row>
    <row r="8464" spans="1:40" x14ac:dyDescent="0.25">
      <c r="A8464" t="str">
        <f>"20190312150854831"</f>
        <v>20190312150854831</v>
      </c>
      <c r="B8464" t="str">
        <f>"1552374534827979"</f>
        <v>1552374534827979</v>
      </c>
      <c r="C8464" t="s">
        <v>40</v>
      </c>
      <c r="D8464">
        <v>4.8154719999999998</v>
      </c>
      <c r="E8464">
        <v>0.44522060000000002</v>
      </c>
      <c r="F8464" t="s">
        <v>83</v>
      </c>
      <c r="G8464">
        <v>-369.35180000000003</v>
      </c>
      <c r="H8464" s="1">
        <v>-3.5807879999999998E-7</v>
      </c>
      <c r="I8464">
        <v>19.32743</v>
      </c>
      <c r="J8464">
        <v>-385.64679999999998</v>
      </c>
      <c r="K8464">
        <v>1.1149610000000001</v>
      </c>
      <c r="L8464">
        <v>16.982209999999998</v>
      </c>
      <c r="M8464">
        <v>0.99671350000000003</v>
      </c>
      <c r="N8464">
        <v>0</v>
      </c>
      <c r="O8464">
        <v>-7.9999979999999998E-2</v>
      </c>
      <c r="P8464">
        <v>0.99882969999999904</v>
      </c>
      <c r="Q8464">
        <v>4.7839649999999997E-2</v>
      </c>
      <c r="R8464">
        <v>-7.1122249999999998E-3</v>
      </c>
      <c r="S8464">
        <v>3.0173649999999999</v>
      </c>
      <c r="T8464">
        <v>-0.2045611</v>
      </c>
      <c r="U8464">
        <v>0.42852780000000001</v>
      </c>
      <c r="V8464">
        <v>-7.3501709999999998E-2</v>
      </c>
      <c r="W8464">
        <v>5.9708169999999998E-2</v>
      </c>
      <c r="X8464">
        <v>0.99550609999999995</v>
      </c>
      <c r="Y8464">
        <v>-0.2186968</v>
      </c>
      <c r="Z8464">
        <v>1.2762030000000001E-2</v>
      </c>
      <c r="AA8464">
        <v>0.97570939999999995</v>
      </c>
      <c r="AB8464">
        <v>28</v>
      </c>
      <c r="AC8464">
        <v>16.294999999999899</v>
      </c>
      <c r="AD8464">
        <v>-1.1149613580788</v>
      </c>
      <c r="AE8464">
        <v>2.3452199999999901</v>
      </c>
      <c r="AF8464">
        <v>-3.6247814047204701</v>
      </c>
      <c r="AG8464">
        <v>-1.1149613580788</v>
      </c>
      <c r="AH8464">
        <v>15.981826113209801</v>
      </c>
      <c r="AI8464">
        <v>93.892196792144006</v>
      </c>
      <c r="AJ8464">
        <v>102.77886049774899</v>
      </c>
      <c r="AK8464">
        <v>16.425618556842601</v>
      </c>
      <c r="AL8464">
        <v>86.576937826528393</v>
      </c>
      <c r="AM8464">
        <v>94.222686489591993</v>
      </c>
      <c r="AN8464">
        <v>0.99999998103744103</v>
      </c>
    </row>
    <row r="8465" spans="1:40" x14ac:dyDescent="0.25">
      <c r="A8465" t="str">
        <f>"20190312150854845"</f>
        <v>20190312150854845</v>
      </c>
      <c r="B8465" t="str">
        <f>"1552374534838716"</f>
        <v>1552374534838716</v>
      </c>
      <c r="C8465" t="s">
        <v>40</v>
      </c>
      <c r="D8465">
        <v>4.858752</v>
      </c>
      <c r="E8465">
        <v>0.44536290000000001</v>
      </c>
      <c r="F8465" t="s">
        <v>83</v>
      </c>
      <c r="G8465">
        <v>-369.40699999999998</v>
      </c>
      <c r="H8465" s="1">
        <v>-3.4028950000000002E-7</v>
      </c>
      <c r="I8465">
        <v>19.280560000000001</v>
      </c>
      <c r="J8465">
        <v>-385.48500000000001</v>
      </c>
      <c r="K8465">
        <v>1.114892</v>
      </c>
      <c r="L8465">
        <v>16.972529999999999</v>
      </c>
      <c r="M8465">
        <v>0.99698019999999998</v>
      </c>
      <c r="N8465">
        <v>0</v>
      </c>
      <c r="O8465">
        <v>-7.6603060000000001E-2</v>
      </c>
      <c r="P8465">
        <v>0.9988475</v>
      </c>
      <c r="Q8465">
        <v>4.771326E-2</v>
      </c>
      <c r="R8465">
        <v>-5.2142710000000004E-3</v>
      </c>
      <c r="S8465">
        <v>3.0164789999999999</v>
      </c>
      <c r="T8465">
        <v>-0.20710029999999999</v>
      </c>
      <c r="U8465">
        <v>0.42691040000000002</v>
      </c>
      <c r="V8465">
        <v>-7.1989189999999995E-2</v>
      </c>
      <c r="W8465">
        <v>5.9610120000000003E-2</v>
      </c>
      <c r="X8465">
        <v>0.99562249999999997</v>
      </c>
      <c r="Y8465">
        <v>-0.2148969</v>
      </c>
      <c r="Z8465">
        <v>1.256271E-2</v>
      </c>
      <c r="AA8465">
        <v>0.97655590000000003</v>
      </c>
      <c r="AB8465">
        <v>28</v>
      </c>
      <c r="AC8465">
        <v>16.077999999999999</v>
      </c>
      <c r="AD8465">
        <v>-1.1148923402894999</v>
      </c>
      <c r="AE8465">
        <v>2.30803</v>
      </c>
      <c r="AF8465">
        <v>-3.5164042623673</v>
      </c>
      <c r="AG8465">
        <v>-1.1148923402894999</v>
      </c>
      <c r="AH8465">
        <v>15.7795904982602</v>
      </c>
      <c r="AI8465">
        <v>93.945013231248595</v>
      </c>
      <c r="AJ8465">
        <v>102.56281148570299</v>
      </c>
      <c r="AK8465">
        <v>16.205047366780899</v>
      </c>
      <c r="AL8465">
        <v>86.582565719797898</v>
      </c>
      <c r="AM8465">
        <v>94.1356147800999</v>
      </c>
      <c r="AN8465">
        <v>0.99999998619476005</v>
      </c>
    </row>
    <row r="8466" spans="1:40" x14ac:dyDescent="0.25">
      <c r="A8466" t="str">
        <f>"20190312150854858"</f>
        <v>20190312150854858</v>
      </c>
      <c r="B8466" t="str">
        <f>"1552374534848475"</f>
        <v>1552374534848475</v>
      </c>
      <c r="C8466" t="s">
        <v>40</v>
      </c>
      <c r="D8466">
        <v>4.8160530000000001</v>
      </c>
      <c r="E8466">
        <v>0.44559369999999998</v>
      </c>
      <c r="F8466" t="s">
        <v>83</v>
      </c>
      <c r="G8466">
        <v>-369.27100000000002</v>
      </c>
      <c r="H8466" s="1">
        <v>-4.0252500000000001E-7</v>
      </c>
      <c r="I8466">
        <v>19.292190000000002</v>
      </c>
      <c r="J8466">
        <v>-385.30799999999999</v>
      </c>
      <c r="K8466">
        <v>1.114814</v>
      </c>
      <c r="L8466">
        <v>16.96283</v>
      </c>
      <c r="M8466">
        <v>0.99725209999999997</v>
      </c>
      <c r="N8466">
        <v>0</v>
      </c>
      <c r="O8466">
        <v>-7.2978840000000003E-2</v>
      </c>
      <c r="P8466">
        <v>0.99885360000000001</v>
      </c>
      <c r="Q8466">
        <v>4.7777750000000001E-2</v>
      </c>
      <c r="R8466">
        <v>-3.0238000000000001E-3</v>
      </c>
      <c r="S8466">
        <v>3.0155940000000001</v>
      </c>
      <c r="T8466">
        <v>-0.20735590000000001</v>
      </c>
      <c r="U8466">
        <v>0.431427</v>
      </c>
      <c r="V8466">
        <v>-7.0541699999999902E-2</v>
      </c>
      <c r="W8466">
        <v>5.9701509999999999E-2</v>
      </c>
      <c r="X8466">
        <v>0.99572059999999996</v>
      </c>
      <c r="Y8466">
        <v>-0.21283189999999999</v>
      </c>
      <c r="Z8466">
        <v>1.2262220000000001E-2</v>
      </c>
      <c r="AA8466">
        <v>0.97701190000000004</v>
      </c>
      <c r="AB8466">
        <v>28</v>
      </c>
      <c r="AC8466">
        <v>16.036999999999999</v>
      </c>
      <c r="AD8466">
        <v>-1.114814402525</v>
      </c>
      <c r="AE8466">
        <v>2.3293599999999901</v>
      </c>
      <c r="AF8466">
        <v>-3.47714874326853</v>
      </c>
      <c r="AG8466">
        <v>-1.114814402525</v>
      </c>
      <c r="AH8466">
        <v>15.749686838013499</v>
      </c>
      <c r="AI8466">
        <v>93.953928317129893</v>
      </c>
      <c r="AJ8466">
        <v>102.449806262648</v>
      </c>
      <c r="AK8466">
        <v>16.1674367179955</v>
      </c>
      <c r="AL8466">
        <v>86.577320017713703</v>
      </c>
      <c r="AM8466">
        <v>94.052341742164202</v>
      </c>
      <c r="AN8466">
        <v>0.999999957499764</v>
      </c>
    </row>
    <row r="8467" spans="1:40" x14ac:dyDescent="0.25">
      <c r="A8467" t="str">
        <f>"20190312150854874"</f>
        <v>20190312150854874</v>
      </c>
      <c r="B8467" t="str">
        <f>"1552374534867995"</f>
        <v>1552374534867995</v>
      </c>
      <c r="C8467" t="s">
        <v>40</v>
      </c>
      <c r="D8467">
        <v>4.8442290000000003</v>
      </c>
      <c r="E8467">
        <v>0.4462544</v>
      </c>
      <c r="F8467" t="s">
        <v>83</v>
      </c>
      <c r="G8467">
        <v>-369.1327</v>
      </c>
      <c r="H8467" s="1">
        <v>-4.6600690000000001E-7</v>
      </c>
      <c r="I8467">
        <v>19.302990000000001</v>
      </c>
      <c r="J8467">
        <v>-385.1121</v>
      </c>
      <c r="K8467">
        <v>1.11473</v>
      </c>
      <c r="L8467">
        <v>16.95261</v>
      </c>
      <c r="M8467">
        <v>0.99753340000000001</v>
      </c>
      <c r="N8467">
        <v>0</v>
      </c>
      <c r="O8467">
        <v>-6.9028740000000005E-2</v>
      </c>
      <c r="P8467">
        <v>0.99883440000000001</v>
      </c>
      <c r="Q8467">
        <v>4.8245240000000002E-2</v>
      </c>
      <c r="R8467">
        <v>-1.549901E-3</v>
      </c>
      <c r="S8467">
        <v>3.0147400000000002</v>
      </c>
      <c r="T8467">
        <v>-0.20777760000000001</v>
      </c>
      <c r="U8467">
        <v>0.43615720000000002</v>
      </c>
      <c r="V8467">
        <v>-6.8056690000000003E-2</v>
      </c>
      <c r="W8467">
        <v>6.0207480000000001E-2</v>
      </c>
      <c r="X8467">
        <v>0.9958631</v>
      </c>
      <c r="Y8467">
        <v>-0.2105146</v>
      </c>
      <c r="Z8467">
        <v>1.1939190000000001E-2</v>
      </c>
      <c r="AA8467">
        <v>0.97751779999999999</v>
      </c>
      <c r="AB8467">
        <v>28</v>
      </c>
      <c r="AC8467">
        <v>15.979399999999901</v>
      </c>
      <c r="AD8467">
        <v>-1.1147304660069</v>
      </c>
      <c r="AE8467">
        <v>2.3503799999999901</v>
      </c>
      <c r="AF8467">
        <v>-3.4315538582188601</v>
      </c>
      <c r="AG8467">
        <v>-1.1147304660069</v>
      </c>
      <c r="AH8467">
        <v>15.7042142775438</v>
      </c>
      <c r="AI8467">
        <v>93.966918567433098</v>
      </c>
      <c r="AJ8467">
        <v>102.326054115419</v>
      </c>
      <c r="AK8467">
        <v>16.1133650107205</v>
      </c>
      <c r="AL8467">
        <v>86.548277917899298</v>
      </c>
      <c r="AM8467">
        <v>93.909480827832297</v>
      </c>
      <c r="AN8467">
        <v>0.999999983821658</v>
      </c>
    </row>
    <row r="8468" spans="1:40" x14ac:dyDescent="0.25">
      <c r="A8468" t="str">
        <f>"20190312150854886"</f>
        <v>20190312150854886</v>
      </c>
      <c r="B8468" t="str">
        <f>"1552374534877755"</f>
        <v>1552374534877755</v>
      </c>
      <c r="C8468" t="s">
        <v>40</v>
      </c>
      <c r="D8468">
        <v>4.8210769999999998</v>
      </c>
      <c r="E8468">
        <v>0.44650980000000001</v>
      </c>
      <c r="F8468" t="s">
        <v>83</v>
      </c>
      <c r="G8468">
        <v>-369.0369</v>
      </c>
      <c r="H8468" s="1">
        <v>-5.1636959999999999E-7</v>
      </c>
      <c r="I8468">
        <v>19.274239999999999</v>
      </c>
      <c r="J8468">
        <v>-384.964</v>
      </c>
      <c r="K8468">
        <v>1.1146670000000001</v>
      </c>
      <c r="L8468">
        <v>16.945250000000001</v>
      </c>
      <c r="M8468">
        <v>0.99773330000000005</v>
      </c>
      <c r="N8468">
        <v>0</v>
      </c>
      <c r="O8468">
        <v>-6.6079390000000002E-2</v>
      </c>
      <c r="P8468">
        <v>0.99882559999999998</v>
      </c>
      <c r="Q8468">
        <v>4.8454709999999998E-2</v>
      </c>
      <c r="R8468">
        <v>-1.2055489999999999E-4</v>
      </c>
      <c r="S8468">
        <v>3.0142820000000001</v>
      </c>
      <c r="T8468">
        <v>-0.2090245</v>
      </c>
      <c r="U8468">
        <v>0.43533329999999998</v>
      </c>
      <c r="V8468">
        <v>-6.6528509999999999E-2</v>
      </c>
      <c r="W8468">
        <v>6.0442129999999997E-2</v>
      </c>
      <c r="X8468">
        <v>0.99595219999999995</v>
      </c>
      <c r="Y8468">
        <v>-0.2073895</v>
      </c>
      <c r="Z8468">
        <v>1.1701629999999999E-2</v>
      </c>
      <c r="AA8468">
        <v>0.97818850000000002</v>
      </c>
      <c r="AB8468">
        <v>28</v>
      </c>
      <c r="AC8468">
        <v>15.9270999999999</v>
      </c>
      <c r="AD8468">
        <v>-1.1146675163696</v>
      </c>
      <c r="AE8468">
        <v>2.3289899999999899</v>
      </c>
      <c r="AF8468">
        <v>-3.3603228168318702</v>
      </c>
      <c r="AG8468">
        <v>-1.1146675163696</v>
      </c>
      <c r="AH8468">
        <v>15.663260619207399</v>
      </c>
      <c r="AI8468">
        <v>93.980295053007794</v>
      </c>
      <c r="AJ8468">
        <v>102.108430523398</v>
      </c>
      <c r="AK8468">
        <v>16.058393018312401</v>
      </c>
      <c r="AL8468">
        <v>86.5348091254221</v>
      </c>
      <c r="AM8468">
        <v>93.821617575108405</v>
      </c>
      <c r="AN8468">
        <v>1.0000000392032899</v>
      </c>
    </row>
    <row r="8469" spans="1:40" x14ac:dyDescent="0.25">
      <c r="A8469" t="str">
        <f>"20190312150854897"</f>
        <v>20190312150854897</v>
      </c>
      <c r="B8469" t="str">
        <f>"1552374534888491"</f>
        <v>1552374534888491</v>
      </c>
      <c r="C8469" t="s">
        <v>40</v>
      </c>
      <c r="D8469">
        <v>4.7968539999999997</v>
      </c>
      <c r="E8469">
        <v>0.4467854</v>
      </c>
      <c r="F8469" t="s">
        <v>83</v>
      </c>
      <c r="G8469">
        <v>-369.05459999999999</v>
      </c>
      <c r="H8469" s="1">
        <v>-5.1134109999999999E-7</v>
      </c>
      <c r="I8469">
        <v>19.25553</v>
      </c>
      <c r="J8469">
        <v>-384.82100000000003</v>
      </c>
      <c r="K8469">
        <v>1.114606</v>
      </c>
      <c r="L8469">
        <v>16.938690000000001</v>
      </c>
      <c r="M8469">
        <v>0.9979133</v>
      </c>
      <c r="N8469">
        <v>0</v>
      </c>
      <c r="O8469">
        <v>-6.3301250000000003E-2</v>
      </c>
      <c r="P8469">
        <v>0.99880559999999996</v>
      </c>
      <c r="Q8469">
        <v>4.8844230000000002E-2</v>
      </c>
      <c r="R8469">
        <v>1.287439E-3</v>
      </c>
      <c r="S8469">
        <v>3.0138240000000001</v>
      </c>
      <c r="T8469">
        <v>-0.21115909999999999</v>
      </c>
      <c r="U8469">
        <v>0.4376526</v>
      </c>
      <c r="V8469">
        <v>-6.515195E-2</v>
      </c>
      <c r="W8469">
        <v>6.0854310000000002E-2</v>
      </c>
      <c r="X8469">
        <v>0.99601810000000002</v>
      </c>
      <c r="Y8469">
        <v>-0.2054222</v>
      </c>
      <c r="Z8469">
        <v>1.1559969999999999E-2</v>
      </c>
      <c r="AA8469">
        <v>0.97860519999999995</v>
      </c>
      <c r="AB8469">
        <v>28</v>
      </c>
      <c r="AC8469">
        <v>15.7663999999999</v>
      </c>
      <c r="AD8469">
        <v>-1.1146065113410999</v>
      </c>
      <c r="AE8469">
        <v>2.3168399999999898</v>
      </c>
      <c r="AF8469">
        <v>-3.2941907404222199</v>
      </c>
      <c r="AG8469">
        <v>-1.1146065113410999</v>
      </c>
      <c r="AH8469">
        <v>15.5122159477219</v>
      </c>
      <c r="AI8469">
        <v>94.020484461282507</v>
      </c>
      <c r="AJ8469">
        <v>101.989282780186</v>
      </c>
      <c r="AK8469">
        <v>15.8972602645288</v>
      </c>
      <c r="AL8469">
        <v>86.511149400334702</v>
      </c>
      <c r="AM8469">
        <v>93.7425236072704</v>
      </c>
      <c r="AN8469">
        <v>1.00000003958099</v>
      </c>
    </row>
    <row r="8470" spans="1:40" x14ac:dyDescent="0.25">
      <c r="A8470" t="str">
        <f>"20190312150854908"</f>
        <v>20190312150854908</v>
      </c>
      <c r="B8470" t="str">
        <f>"1552374534898251"</f>
        <v>1552374534898251</v>
      </c>
      <c r="C8470" t="s">
        <v>40</v>
      </c>
      <c r="D8470">
        <v>4.8829859999999998</v>
      </c>
      <c r="E8470">
        <v>0.4467854</v>
      </c>
      <c r="F8470" t="s">
        <v>83</v>
      </c>
      <c r="G8470">
        <v>-369.01060000000001</v>
      </c>
      <c r="H8470" s="1">
        <v>-5.3395579999999996E-7</v>
      </c>
      <c r="I8470">
        <v>19.245329999999999</v>
      </c>
      <c r="J8470">
        <v>-384.68759999999997</v>
      </c>
      <c r="K8470">
        <v>1.114547</v>
      </c>
      <c r="L8470">
        <v>16.932770000000001</v>
      </c>
      <c r="M8470">
        <v>0.99807270000000003</v>
      </c>
      <c r="N8470">
        <v>0</v>
      </c>
      <c r="O8470">
        <v>-6.073638E-2</v>
      </c>
      <c r="P8470">
        <v>0.9988013</v>
      </c>
      <c r="Q8470">
        <v>4.8883349999999999E-2</v>
      </c>
      <c r="R8470">
        <v>2.5304490000000002E-3</v>
      </c>
      <c r="S8470">
        <v>3.0133969999999999</v>
      </c>
      <c r="T8470">
        <v>-0.21243919999999999</v>
      </c>
      <c r="U8470">
        <v>0.43963619999999998</v>
      </c>
      <c r="V8470">
        <v>-6.3822309999999993E-2</v>
      </c>
      <c r="W8470">
        <v>6.0916659999999997E-2</v>
      </c>
      <c r="X8470">
        <v>0.99610030000000005</v>
      </c>
      <c r="Y8470">
        <v>-0.2035604</v>
      </c>
      <c r="Z8470">
        <v>1.138597E-2</v>
      </c>
      <c r="AA8470">
        <v>0.97899619999999998</v>
      </c>
      <c r="AB8470">
        <v>28</v>
      </c>
      <c r="AC8470">
        <v>15.6769999999999</v>
      </c>
      <c r="AD8470">
        <v>-1.1145475339558</v>
      </c>
      <c r="AE8470">
        <v>2.3125599999999902</v>
      </c>
      <c r="AF8470">
        <v>-3.2444815821345898</v>
      </c>
      <c r="AG8470">
        <v>-1.1145475339558</v>
      </c>
      <c r="AH8470">
        <v>15.431250230056699</v>
      </c>
      <c r="AI8470">
        <v>94.043013661828894</v>
      </c>
      <c r="AJ8470">
        <v>101.873715060135</v>
      </c>
      <c r="AK8470">
        <v>15.8079840778286</v>
      </c>
      <c r="AL8470">
        <v>86.507570115518007</v>
      </c>
      <c r="AM8470">
        <v>93.666053853354299</v>
      </c>
      <c r="AN8470">
        <v>0.99999996718968998</v>
      </c>
    </row>
    <row r="8471" spans="1:40" x14ac:dyDescent="0.25">
      <c r="A8471" t="str">
        <f>"20190312150854919"</f>
        <v>20190312150854919</v>
      </c>
      <c r="B8471" t="str">
        <f>"1552374534908012"</f>
        <v>1552374534908012</v>
      </c>
      <c r="C8471" t="s">
        <v>40</v>
      </c>
      <c r="D8471">
        <v>4.8416389999999998</v>
      </c>
      <c r="E8471">
        <v>0.44720080000000001</v>
      </c>
      <c r="F8471" t="s">
        <v>83</v>
      </c>
      <c r="G8471">
        <v>-368.88010000000003</v>
      </c>
      <c r="H8471" s="1">
        <v>-5.9322549999999995E-7</v>
      </c>
      <c r="I8471">
        <v>19.258949999999999</v>
      </c>
      <c r="J8471">
        <v>-384.53750000000002</v>
      </c>
      <c r="K8471">
        <v>1.1144780000000001</v>
      </c>
      <c r="L8471">
        <v>16.926539999999999</v>
      </c>
      <c r="M8471">
        <v>0.99824100000000004</v>
      </c>
      <c r="N8471">
        <v>0</v>
      </c>
      <c r="O8471">
        <v>-5.7904160000000003E-2</v>
      </c>
      <c r="P8471">
        <v>0.99879189999999995</v>
      </c>
      <c r="Q8471">
        <v>4.8975949999999997E-2</v>
      </c>
      <c r="R8471">
        <v>4.0149690000000002E-3</v>
      </c>
      <c r="S8471">
        <v>3.012848</v>
      </c>
      <c r="T8471">
        <v>-0.2124277</v>
      </c>
      <c r="U8471">
        <v>0.44335940000000001</v>
      </c>
      <c r="V8471">
        <v>-6.2465720000000002E-2</v>
      </c>
      <c r="W8471">
        <v>6.1033740000000003E-2</v>
      </c>
      <c r="X8471">
        <v>0.99617920000000004</v>
      </c>
      <c r="Y8471">
        <v>-0.20200309999999999</v>
      </c>
      <c r="Z8471">
        <v>1.113333E-2</v>
      </c>
      <c r="AA8471">
        <v>0.97932160000000001</v>
      </c>
      <c r="AB8471">
        <v>28</v>
      </c>
      <c r="AC8471">
        <v>15.6573999999999</v>
      </c>
      <c r="AD8471">
        <v>-1.1144785932254999</v>
      </c>
      <c r="AE8471">
        <v>2.3324099999999901</v>
      </c>
      <c r="AF8471">
        <v>-3.2192419026190402</v>
      </c>
      <c r="AG8471">
        <v>-1.1144785932254999</v>
      </c>
      <c r="AH8471">
        <v>15.419630835310601</v>
      </c>
      <c r="AI8471">
        <v>94.0469973831419</v>
      </c>
      <c r="AJ8471">
        <v>101.792569956622</v>
      </c>
      <c r="AK8471">
        <v>15.7914722575065</v>
      </c>
      <c r="AL8471">
        <v>86.500849678885402</v>
      </c>
      <c r="AM8471">
        <v>93.588051531532997</v>
      </c>
      <c r="AN8471">
        <v>1.0000000410530701</v>
      </c>
    </row>
    <row r="8472" spans="1:40" x14ac:dyDescent="0.25">
      <c r="A8472" t="str">
        <f>"20190312150854932"</f>
        <v>20190312150854932</v>
      </c>
      <c r="B8472" t="str">
        <f>"1552374534928507"</f>
        <v>1552374534928507</v>
      </c>
      <c r="C8472" t="s">
        <v>40</v>
      </c>
      <c r="D8472">
        <v>4.8412989999999896</v>
      </c>
      <c r="E8472">
        <v>0.44763720000000001</v>
      </c>
      <c r="F8472" t="s">
        <v>83</v>
      </c>
      <c r="G8472">
        <v>-369.22890000000001</v>
      </c>
      <c r="H8472" s="1">
        <v>-4.4134880000000001E-7</v>
      </c>
      <c r="I8472">
        <v>19.18572</v>
      </c>
      <c r="J8472">
        <v>-384.38900000000001</v>
      </c>
      <c r="K8472">
        <v>1.1144099999999999</v>
      </c>
      <c r="L8472">
        <v>16.920750000000002</v>
      </c>
      <c r="M8472">
        <v>0.99839659999999997</v>
      </c>
      <c r="N8472">
        <v>0</v>
      </c>
      <c r="O8472">
        <v>-5.5155879999999997E-2</v>
      </c>
      <c r="P8472">
        <v>0.99878080000000002</v>
      </c>
      <c r="Q8472">
        <v>4.902397E-2</v>
      </c>
      <c r="R8472">
        <v>5.7870500000000002E-3</v>
      </c>
      <c r="S8472">
        <v>3.0125730000000002</v>
      </c>
      <c r="T8472">
        <v>-0.21931639999999999</v>
      </c>
      <c r="U8472">
        <v>0.44458009999999898</v>
      </c>
      <c r="V8472">
        <v>-6.1479779999999998E-2</v>
      </c>
      <c r="W8472">
        <v>6.1102759999999999E-2</v>
      </c>
      <c r="X8472">
        <v>0.99623629999999996</v>
      </c>
      <c r="Y8472">
        <v>-0.19967940000000001</v>
      </c>
      <c r="Z8472">
        <v>1.1211209999999999E-2</v>
      </c>
      <c r="AA8472">
        <v>0.97979709999999998</v>
      </c>
      <c r="AB8472">
        <v>28</v>
      </c>
      <c r="AC8472">
        <v>15.1601</v>
      </c>
      <c r="AD8472">
        <v>-1.1144104413488001</v>
      </c>
      <c r="AE8472">
        <v>2.2649699999999902</v>
      </c>
      <c r="AF8472">
        <v>-3.0814704337115599</v>
      </c>
      <c r="AG8472">
        <v>-1.1144104413488001</v>
      </c>
      <c r="AH8472">
        <v>14.9331508687781</v>
      </c>
      <c r="AI8472">
        <v>94.180132058971395</v>
      </c>
      <c r="AJ8472">
        <v>101.659390558056</v>
      </c>
      <c r="AK8472">
        <v>15.288438950243201</v>
      </c>
      <c r="AL8472">
        <v>86.496887719142094</v>
      </c>
      <c r="AM8472">
        <v>93.531361385147093</v>
      </c>
      <c r="AN8472">
        <v>1.00000003803307</v>
      </c>
    </row>
    <row r="8473" spans="1:40" x14ac:dyDescent="0.25">
      <c r="A8473" t="str">
        <f>"20190312150854945"</f>
        <v>20190312150854945</v>
      </c>
      <c r="B8473" t="str">
        <f>"1552374534938267"</f>
        <v>1552374534938267</v>
      </c>
      <c r="C8473" t="s">
        <v>40</v>
      </c>
      <c r="D8473">
        <v>4.7959319999999996</v>
      </c>
      <c r="E8473">
        <v>0.44781919999999997</v>
      </c>
      <c r="F8473" t="s">
        <v>83</v>
      </c>
      <c r="G8473">
        <v>-369.83980000000003</v>
      </c>
      <c r="H8473" s="1">
        <v>-2.0512870000000001E-7</v>
      </c>
      <c r="I8473">
        <v>19.078279999999999</v>
      </c>
      <c r="J8473">
        <v>-384.23079999999999</v>
      </c>
      <c r="K8473">
        <v>1.114336</v>
      </c>
      <c r="L8473">
        <v>16.914860000000001</v>
      </c>
      <c r="M8473">
        <v>0.99855229999999995</v>
      </c>
      <c r="N8473">
        <v>0</v>
      </c>
      <c r="O8473">
        <v>-5.2263289999999997E-2</v>
      </c>
      <c r="P8473">
        <v>0.99875519999999995</v>
      </c>
      <c r="Q8473">
        <v>4.929683E-2</v>
      </c>
      <c r="R8473">
        <v>7.6340669999999996E-3</v>
      </c>
      <c r="S8473">
        <v>3.0124209999999998</v>
      </c>
      <c r="T8473">
        <v>-0.230738</v>
      </c>
      <c r="U8473">
        <v>0.44671630000000001</v>
      </c>
      <c r="V8473">
        <v>-6.0425960000000001E-2</v>
      </c>
      <c r="W8473">
        <v>6.1397840000000002E-2</v>
      </c>
      <c r="X8473">
        <v>0.99628260000000002</v>
      </c>
      <c r="Y8473">
        <v>-0.19747190000000001</v>
      </c>
      <c r="Z8473">
        <v>1.148922E-2</v>
      </c>
      <c r="AA8473">
        <v>0.98024120000000003</v>
      </c>
      <c r="AB8473">
        <v>28</v>
      </c>
      <c r="AC8473">
        <v>14.390999999999901</v>
      </c>
      <c r="AD8473">
        <v>-1.1143362051287</v>
      </c>
      <c r="AE8473">
        <v>2.1634199999999901</v>
      </c>
      <c r="AF8473">
        <v>-2.89566647085441</v>
      </c>
      <c r="AG8473">
        <v>-1.1143362051287</v>
      </c>
      <c r="AH8473">
        <v>14.1751389844915</v>
      </c>
      <c r="AI8473">
        <v>94.404306083040396</v>
      </c>
      <c r="AJ8473">
        <v>101.545411423131</v>
      </c>
      <c r="AK8473">
        <v>14.510726884554799</v>
      </c>
      <c r="AL8473">
        <v>86.479948962141407</v>
      </c>
      <c r="AM8473">
        <v>93.470818962806007</v>
      </c>
      <c r="AN8473">
        <v>1.0000000052306699</v>
      </c>
    </row>
    <row r="8474" spans="1:40" x14ac:dyDescent="0.25">
      <c r="A8474" t="str">
        <f>"20190312150854956"</f>
        <v>20190312150854956</v>
      </c>
      <c r="B8474" t="str">
        <f>"1552374534948027"</f>
        <v>1552374534948027</v>
      </c>
      <c r="C8474" t="s">
        <v>40</v>
      </c>
      <c r="D8474">
        <v>5.0783269999999998</v>
      </c>
      <c r="E8474">
        <v>0.44807150000000001</v>
      </c>
      <c r="F8474" t="s">
        <v>83</v>
      </c>
      <c r="G8474">
        <v>-369.74079999999998</v>
      </c>
      <c r="H8474" s="1">
        <v>-2.4161639999999998E-7</v>
      </c>
      <c r="I8474">
        <v>19.083950000000002</v>
      </c>
      <c r="J8474">
        <v>-384.07279999999997</v>
      </c>
      <c r="K8474">
        <v>1.114255</v>
      </c>
      <c r="L8474">
        <v>16.909579999999998</v>
      </c>
      <c r="M8474">
        <v>0.99869450000000004</v>
      </c>
      <c r="N8474">
        <v>0</v>
      </c>
      <c r="O8474">
        <v>-4.9471340000000003E-2</v>
      </c>
      <c r="P8474">
        <v>0.99872300000000003</v>
      </c>
      <c r="Q8474">
        <v>4.9675839999999999E-2</v>
      </c>
      <c r="R8474">
        <v>9.2314319999999995E-3</v>
      </c>
      <c r="S8474">
        <v>3.0116879999999999</v>
      </c>
      <c r="T8474">
        <v>-0.2316098</v>
      </c>
      <c r="U8474">
        <v>0.45083620000000002</v>
      </c>
      <c r="V8474">
        <v>-5.9224430000000002E-2</v>
      </c>
      <c r="W8474">
        <v>6.1800479999999998E-2</v>
      </c>
      <c r="X8474">
        <v>0.99632980000000004</v>
      </c>
      <c r="Y8474">
        <v>-0.19608429999999999</v>
      </c>
      <c r="Z8474">
        <v>1.126774E-2</v>
      </c>
      <c r="AA8474">
        <v>0.98052229999999996</v>
      </c>
      <c r="AB8474">
        <v>28</v>
      </c>
      <c r="AC8474">
        <v>14.331999999999899</v>
      </c>
      <c r="AD8474">
        <v>-1.1142552416164</v>
      </c>
      <c r="AE8474">
        <v>2.1743700000000001</v>
      </c>
      <c r="AF8474">
        <v>-2.8638668036419701</v>
      </c>
      <c r="AG8474">
        <v>-1.1142552416164</v>
      </c>
      <c r="AH8474">
        <v>14.123423146453799</v>
      </c>
      <c r="AI8474">
        <v>94.421343491508907</v>
      </c>
      <c r="AJ8474">
        <v>101.462690903867</v>
      </c>
      <c r="AK8474">
        <v>14.453870733691399</v>
      </c>
      <c r="AL8474">
        <v>86.456835305277906</v>
      </c>
      <c r="AM8474">
        <v>93.4018069813268</v>
      </c>
      <c r="AN8474">
        <v>0.99999995140254605</v>
      </c>
    </row>
    <row r="8475" spans="1:40" x14ac:dyDescent="0.25">
      <c r="A8475" t="str">
        <f>"20190312150854976"</f>
        <v>20190312150854976</v>
      </c>
      <c r="B8475" t="str">
        <f>"1552374534968523"</f>
        <v>1552374534968523</v>
      </c>
      <c r="C8475" t="s">
        <v>40</v>
      </c>
      <c r="D8475">
        <v>4.79711</v>
      </c>
      <c r="E8475">
        <v>0.4485712</v>
      </c>
      <c r="F8475" t="s">
        <v>83</v>
      </c>
      <c r="G8475">
        <v>-369.43740000000003</v>
      </c>
      <c r="H8475" s="1">
        <v>-3.5533949999999999E-7</v>
      </c>
      <c r="I8475">
        <v>19.11469</v>
      </c>
      <c r="J8475">
        <v>-383.84140000000002</v>
      </c>
      <c r="K8475">
        <v>1.114139</v>
      </c>
      <c r="L8475">
        <v>16.9024</v>
      </c>
      <c r="M8475">
        <v>0.99888489999999996</v>
      </c>
      <c r="N8475">
        <v>0</v>
      </c>
      <c r="O8475">
        <v>-4.546364E-2</v>
      </c>
      <c r="P8475">
        <v>0.99867329999999999</v>
      </c>
      <c r="Q8475">
        <v>5.0126690000000002E-2</v>
      </c>
      <c r="R8475">
        <v>1.1798579999999999E-2</v>
      </c>
      <c r="S8475">
        <v>3.011047</v>
      </c>
      <c r="T8475">
        <v>-0.22924420000000001</v>
      </c>
      <c r="U8475">
        <v>0.45367429999999997</v>
      </c>
      <c r="V8475">
        <v>-5.7771719999999999E-2</v>
      </c>
      <c r="W8475">
        <v>6.2281629999999998E-2</v>
      </c>
      <c r="X8475">
        <v>0.99638519999999997</v>
      </c>
      <c r="Y8475">
        <v>-0.19311780000000001</v>
      </c>
      <c r="Z8475">
        <v>1.0739159999999999E-2</v>
      </c>
      <c r="AA8475">
        <v>0.98111680000000001</v>
      </c>
      <c r="AB8475">
        <v>28</v>
      </c>
      <c r="AC8475">
        <v>14.4039999999999</v>
      </c>
      <c r="AD8475">
        <v>-1.1141393553395</v>
      </c>
      <c r="AE8475">
        <v>2.2122899999999901</v>
      </c>
      <c r="AF8475">
        <v>-2.8482652278148501</v>
      </c>
      <c r="AG8475">
        <v>-1.1141393553395</v>
      </c>
      <c r="AH8475">
        <v>14.2054853229582</v>
      </c>
      <c r="AI8475">
        <v>94.397373142484099</v>
      </c>
      <c r="AJ8475">
        <v>101.337729538053</v>
      </c>
      <c r="AK8475">
        <v>14.5309922087886</v>
      </c>
      <c r="AL8475">
        <v>86.429214475051694</v>
      </c>
      <c r="AM8475">
        <v>93.3183691294401</v>
      </c>
      <c r="AN8475">
        <v>1.00000001992312</v>
      </c>
    </row>
    <row r="8476" spans="1:40" x14ac:dyDescent="0.25">
      <c r="A8476" t="str">
        <f>"20190312150854990"</f>
        <v>20190312150854990</v>
      </c>
      <c r="B8476" t="str">
        <f>"1552374534978283"</f>
        <v>1552374534978283</v>
      </c>
      <c r="C8476" t="s">
        <v>40</v>
      </c>
      <c r="D8476">
        <v>4.836176</v>
      </c>
      <c r="E8476">
        <v>0.44881209999999999</v>
      </c>
      <c r="F8476" t="s">
        <v>83</v>
      </c>
      <c r="G8476">
        <v>-369.11200000000002</v>
      </c>
      <c r="H8476" s="1">
        <v>-5.0435279999999998E-7</v>
      </c>
      <c r="I8476">
        <v>19.141860000000001</v>
      </c>
      <c r="J8476">
        <v>-383.65910000000002</v>
      </c>
      <c r="K8476">
        <v>1.114045</v>
      </c>
      <c r="L8476">
        <v>16.897279999999999</v>
      </c>
      <c r="M8476">
        <v>0.99902000000000002</v>
      </c>
      <c r="N8476">
        <v>0</v>
      </c>
      <c r="O8476">
        <v>-4.2391329999999998E-2</v>
      </c>
      <c r="P8476">
        <v>0.99864900000000001</v>
      </c>
      <c r="Q8476">
        <v>5.0049030000000001E-2</v>
      </c>
      <c r="R8476">
        <v>1.3981469999999999E-2</v>
      </c>
      <c r="S8476">
        <v>3.0100099999999999</v>
      </c>
      <c r="T8476">
        <v>-0.22767850000000001</v>
      </c>
      <c r="U8476">
        <v>0.45764159999999998</v>
      </c>
      <c r="V8476">
        <v>-5.6869660000000002E-2</v>
      </c>
      <c r="W8476">
        <v>6.2225000000000003E-2</v>
      </c>
      <c r="X8476">
        <v>0.99644060000000001</v>
      </c>
      <c r="Y8476">
        <v>-0.19143660000000001</v>
      </c>
      <c r="Z8476">
        <v>1.037452E-2</v>
      </c>
      <c r="AA8476">
        <v>0.98145009999999999</v>
      </c>
      <c r="AB8476">
        <v>28</v>
      </c>
      <c r="AC8476">
        <v>14.5471</v>
      </c>
      <c r="AD8476">
        <v>-1.1140455043527999</v>
      </c>
      <c r="AE8476">
        <v>2.24458</v>
      </c>
      <c r="AF8476">
        <v>-2.8429969883908499</v>
      </c>
      <c r="AG8476">
        <v>-1.1140455043527999</v>
      </c>
      <c r="AH8476">
        <v>14.356622094425299</v>
      </c>
      <c r="AI8476">
        <v>94.352952846878097</v>
      </c>
      <c r="AJ8476">
        <v>101.201187671554</v>
      </c>
      <c r="AK8476">
        <v>14.677749392325399</v>
      </c>
      <c r="AL8476">
        <v>86.432465330477299</v>
      </c>
      <c r="AM8476">
        <v>93.266487275056505</v>
      </c>
      <c r="AN8476">
        <v>0.99999998909093701</v>
      </c>
    </row>
    <row r="8477" spans="1:40" x14ac:dyDescent="0.25">
      <c r="A8477" t="str">
        <f>"20190312150855005"</f>
        <v>20190312150855005</v>
      </c>
      <c r="B8477" t="str">
        <f>"1552374534997805"</f>
        <v>1552374534997805</v>
      </c>
      <c r="C8477" t="s">
        <v>40</v>
      </c>
      <c r="D8477">
        <v>4.8122980000000002</v>
      </c>
      <c r="E8477">
        <v>0.44925809999999999</v>
      </c>
      <c r="F8477" t="s">
        <v>83</v>
      </c>
      <c r="G8477">
        <v>-369.06740000000002</v>
      </c>
      <c r="H8477" s="1">
        <v>-5.2586519999999904E-7</v>
      </c>
      <c r="I8477">
        <v>19.139399999999998</v>
      </c>
      <c r="J8477">
        <v>-383.46839999999997</v>
      </c>
      <c r="K8477">
        <v>1.1139399999999999</v>
      </c>
      <c r="L8477">
        <v>16.892399999999999</v>
      </c>
      <c r="M8477">
        <v>0.99914809999999998</v>
      </c>
      <c r="N8477">
        <v>0</v>
      </c>
      <c r="O8477">
        <v>-3.9257680000000003E-2</v>
      </c>
      <c r="P8477">
        <v>0.99861060000000001</v>
      </c>
      <c r="Q8477">
        <v>4.9926320000000003E-2</v>
      </c>
      <c r="R8477">
        <v>1.6867159999999999E-2</v>
      </c>
      <c r="S8477">
        <v>3.0090940000000002</v>
      </c>
      <c r="T8477">
        <v>-0.2297391</v>
      </c>
      <c r="U8477">
        <v>0.4623718</v>
      </c>
      <c r="V8477">
        <v>-5.6607289999999998E-2</v>
      </c>
      <c r="W8477">
        <v>6.211792E-2</v>
      </c>
      <c r="X8477">
        <v>0.99646219999999996</v>
      </c>
      <c r="Y8477">
        <v>-0.18991140000000001</v>
      </c>
      <c r="Z8477">
        <v>1.0174529999999999E-2</v>
      </c>
      <c r="AA8477">
        <v>0.98174850000000002</v>
      </c>
      <c r="AB8477">
        <v>28</v>
      </c>
      <c r="AC8477">
        <v>14.4009999999999</v>
      </c>
      <c r="AD8477">
        <v>-1.1139405258652</v>
      </c>
      <c r="AE8477">
        <v>2.2469999999999999</v>
      </c>
      <c r="AF8477">
        <v>-2.7943412405938601</v>
      </c>
      <c r="AG8477">
        <v>-1.1139405258652</v>
      </c>
      <c r="AH8477">
        <v>14.218625665859699</v>
      </c>
      <c r="AI8477">
        <v>94.395869455900197</v>
      </c>
      <c r="AJ8477">
        <v>101.118460354044</v>
      </c>
      <c r="AK8477">
        <v>14.5333589472597</v>
      </c>
      <c r="AL8477">
        <v>86.438612381428896</v>
      </c>
      <c r="AM8477">
        <v>93.251379309969593</v>
      </c>
      <c r="AN8477">
        <v>0.99999996864755403</v>
      </c>
    </row>
    <row r="8478" spans="1:40" x14ac:dyDescent="0.25">
      <c r="A8478" t="str">
        <f>"20190312150855020"</f>
        <v>20190312150855020</v>
      </c>
      <c r="B8478" t="str">
        <f>"1552374535008539"</f>
        <v>1552374535008539</v>
      </c>
      <c r="C8478" t="s">
        <v>40</v>
      </c>
      <c r="D8478">
        <v>4.832808</v>
      </c>
      <c r="E8478">
        <v>0.4495557</v>
      </c>
      <c r="F8478" t="s">
        <v>83</v>
      </c>
      <c r="G8478">
        <v>-369.03460000000001</v>
      </c>
      <c r="H8478" s="1">
        <v>-5.4190549999999999E-7</v>
      </c>
      <c r="I8478">
        <v>19.136479999999999</v>
      </c>
      <c r="J8478">
        <v>-383.27839999999998</v>
      </c>
      <c r="K8478">
        <v>1.113836</v>
      </c>
      <c r="L8478">
        <v>16.888089999999998</v>
      </c>
      <c r="M8478">
        <v>0.99926190000000004</v>
      </c>
      <c r="N8478">
        <v>0</v>
      </c>
      <c r="O8478">
        <v>-3.6247929999999998E-2</v>
      </c>
      <c r="P8478">
        <v>0.99861369999999905</v>
      </c>
      <c r="Q8478">
        <v>4.9202179999999998E-2</v>
      </c>
      <c r="R8478">
        <v>1.8706090000000002E-2</v>
      </c>
      <c r="S8478">
        <v>3.0079039999999999</v>
      </c>
      <c r="T8478">
        <v>-0.2321376</v>
      </c>
      <c r="U8478">
        <v>0.46765139999999999</v>
      </c>
      <c r="V8478">
        <v>-5.5419870000000003E-2</v>
      </c>
      <c r="W8478">
        <v>6.1419260000000003E-2</v>
      </c>
      <c r="X8478">
        <v>0.99657229999999997</v>
      </c>
      <c r="Y8478">
        <v>-0.188694</v>
      </c>
      <c r="Z8478">
        <v>1.0005699999999999E-2</v>
      </c>
      <c r="AA8478">
        <v>0.981985</v>
      </c>
      <c r="AB8478">
        <v>28</v>
      </c>
      <c r="AC8478">
        <v>14.243799999999901</v>
      </c>
      <c r="AD8478">
        <v>-1.1138365419055001</v>
      </c>
      <c r="AE8478">
        <v>2.2483900000000001</v>
      </c>
      <c r="AF8478">
        <v>-2.7468736284798898</v>
      </c>
      <c r="AG8478">
        <v>-1.1138365419055001</v>
      </c>
      <c r="AH8478">
        <v>14.068992433548299</v>
      </c>
      <c r="AI8478">
        <v>94.443094834907001</v>
      </c>
      <c r="AJ8478">
        <v>101.04762649346399</v>
      </c>
      <c r="AK8478">
        <v>14.377847358633399</v>
      </c>
      <c r="AL8478">
        <v>86.478719412059903</v>
      </c>
      <c r="AM8478">
        <v>93.182967712605404</v>
      </c>
      <c r="AN8478">
        <v>1.00000001830852</v>
      </c>
    </row>
    <row r="8479" spans="1:40" x14ac:dyDescent="0.25">
      <c r="A8479" t="str">
        <f>"20190312150855041"</f>
        <v>20190312150855041</v>
      </c>
      <c r="B8479" t="str">
        <f>"1552374535037821"</f>
        <v>1552374535037821</v>
      </c>
      <c r="C8479" t="s">
        <v>40</v>
      </c>
      <c r="D8479">
        <v>4.8581180000000002</v>
      </c>
      <c r="E8479">
        <v>0.45003520000000002</v>
      </c>
      <c r="F8479" t="s">
        <v>83</v>
      </c>
      <c r="G8479">
        <v>-368.99799999999999</v>
      </c>
      <c r="H8479" s="1">
        <v>-5.6123439999999998E-7</v>
      </c>
      <c r="I8479">
        <v>19.12501</v>
      </c>
      <c r="J8479">
        <v>-383.0127</v>
      </c>
      <c r="K8479">
        <v>1.1136980000000001</v>
      </c>
      <c r="L8479">
        <v>16.882899999999999</v>
      </c>
      <c r="M8479">
        <v>0.99940150000000005</v>
      </c>
      <c r="N8479">
        <v>0</v>
      </c>
      <c r="O8479">
        <v>-3.2167710000000002E-2</v>
      </c>
      <c r="P8479">
        <v>0.99856489999999998</v>
      </c>
      <c r="Q8479">
        <v>4.9123340000000001E-2</v>
      </c>
      <c r="R8479">
        <v>2.1338699999999999E-2</v>
      </c>
      <c r="S8479">
        <v>3.0068969999999999</v>
      </c>
      <c r="T8479">
        <v>-0.2345312</v>
      </c>
      <c r="U8479">
        <v>0.47100829999999999</v>
      </c>
      <c r="V8479">
        <v>-5.3955860000000001E-2</v>
      </c>
      <c r="W8479">
        <v>6.1374989999999997E-2</v>
      </c>
      <c r="X8479">
        <v>0.99665530000000002</v>
      </c>
      <c r="Y8479">
        <v>-0.18581120000000001</v>
      </c>
      <c r="Z8479">
        <v>9.683311E-3</v>
      </c>
      <c r="AA8479">
        <v>0.98253769999999996</v>
      </c>
      <c r="AB8479">
        <v>28</v>
      </c>
      <c r="AC8479">
        <v>14.0146999999999</v>
      </c>
      <c r="AD8479">
        <v>-1.1136985612343999</v>
      </c>
      <c r="AE8479">
        <v>2.2421099999999998</v>
      </c>
      <c r="AF8479">
        <v>-2.6753338879079598</v>
      </c>
      <c r="AG8479">
        <v>-1.1136985612343999</v>
      </c>
      <c r="AH8479">
        <v>13.8500374563195</v>
      </c>
      <c r="AI8479">
        <v>94.514239490954694</v>
      </c>
      <c r="AJ8479">
        <v>100.932853552704</v>
      </c>
      <c r="AK8479">
        <v>14.1499566585392</v>
      </c>
      <c r="AL8479">
        <v>86.481260469649996</v>
      </c>
      <c r="AM8479">
        <v>93.098792748502703</v>
      </c>
      <c r="AN8479">
        <v>0.99999995562196298</v>
      </c>
    </row>
    <row r="8480" spans="1:40" x14ac:dyDescent="0.25">
      <c r="A8480" t="str">
        <f>"20190312150855055"</f>
        <v>20190312150855055</v>
      </c>
      <c r="B8480" t="str">
        <f>"1552374535048555"</f>
        <v>1552374535048555</v>
      </c>
      <c r="C8480" t="s">
        <v>40</v>
      </c>
      <c r="D8480">
        <v>4.8171980000000003</v>
      </c>
      <c r="E8480">
        <v>0.4499107</v>
      </c>
      <c r="F8480" t="s">
        <v>83</v>
      </c>
      <c r="G8480">
        <v>-369.31400000000002</v>
      </c>
      <c r="H8480" s="1">
        <v>-4.2505540000000001E-7</v>
      </c>
      <c r="I8480">
        <v>19.050660000000001</v>
      </c>
      <c r="J8480">
        <v>-382.85019999999997</v>
      </c>
      <c r="K8480">
        <v>1.113615</v>
      </c>
      <c r="L8480">
        <v>16.880220000000001</v>
      </c>
      <c r="M8480">
        <v>0.99947569999999997</v>
      </c>
      <c r="N8480">
        <v>0</v>
      </c>
      <c r="O8480">
        <v>-2.977165E-2</v>
      </c>
      <c r="P8480">
        <v>0.99851820000000002</v>
      </c>
      <c r="Q8480">
        <v>4.9301699999999997E-2</v>
      </c>
      <c r="R8480">
        <v>2.3042529999999999E-2</v>
      </c>
      <c r="S8480">
        <v>3.0061339999999999</v>
      </c>
      <c r="T8480">
        <v>-0.24439730000000001</v>
      </c>
      <c r="U8480">
        <v>0.47570800000000002</v>
      </c>
      <c r="V8480">
        <v>-5.3254210000000003E-2</v>
      </c>
      <c r="W8480">
        <v>6.1573460000000003E-2</v>
      </c>
      <c r="X8480">
        <v>0.99668089999999998</v>
      </c>
      <c r="Y8480">
        <v>-0.18494769999999999</v>
      </c>
      <c r="Z8480">
        <v>9.8624149999999994E-3</v>
      </c>
      <c r="AA8480">
        <v>0.98269890000000004</v>
      </c>
      <c r="AB8480">
        <v>28</v>
      </c>
      <c r="AC8480">
        <v>13.5361999999999</v>
      </c>
      <c r="AD8480">
        <v>-1.11361542505539</v>
      </c>
      <c r="AE8480">
        <v>2.1704400000000001</v>
      </c>
      <c r="AF8480">
        <v>-2.5556417157873099</v>
      </c>
      <c r="AG8480">
        <v>-1.11361542505539</v>
      </c>
      <c r="AH8480">
        <v>13.3773043765372</v>
      </c>
      <c r="AI8480">
        <v>94.674552451794199</v>
      </c>
      <c r="AJ8480">
        <v>100.815638987612</v>
      </c>
      <c r="AK8480">
        <v>13.6646886637389</v>
      </c>
      <c r="AL8480">
        <v>86.469867793679498</v>
      </c>
      <c r="AM8480">
        <v>93.058494191502803</v>
      </c>
      <c r="AN8480">
        <v>1.00000005914195</v>
      </c>
    </row>
    <row r="8481" spans="1:40" x14ac:dyDescent="0.25">
      <c r="A8481" t="str">
        <f>"20190312150855067"</f>
        <v>20190312150855067</v>
      </c>
      <c r="B8481" t="str">
        <f>"1552374535058315"</f>
        <v>1552374535058315</v>
      </c>
      <c r="C8481" t="s">
        <v>40</v>
      </c>
      <c r="D8481">
        <v>4.7820260000000001</v>
      </c>
      <c r="E8481">
        <v>0.44974710000000001</v>
      </c>
      <c r="F8481" t="s">
        <v>83</v>
      </c>
      <c r="G8481">
        <v>-369.17329999999998</v>
      </c>
      <c r="H8481" s="1">
        <v>-4.8760920000000002E-7</v>
      </c>
      <c r="I8481">
        <v>19.07282</v>
      </c>
      <c r="J8481">
        <v>-382.69850000000002</v>
      </c>
      <c r="K8481">
        <v>1.1135429999999999</v>
      </c>
      <c r="L8481">
        <v>16.877870000000001</v>
      </c>
      <c r="M8481">
        <v>0.9995387</v>
      </c>
      <c r="N8481">
        <v>0</v>
      </c>
      <c r="O8481">
        <v>-2.7576440000000001E-2</v>
      </c>
      <c r="P8481">
        <v>0.99848840000000005</v>
      </c>
      <c r="Q8481">
        <v>4.9280669999999999E-2</v>
      </c>
      <c r="R8481">
        <v>2.4340500000000001E-2</v>
      </c>
      <c r="S8481">
        <v>3.0054020000000001</v>
      </c>
      <c r="T8481">
        <v>-0.2447107</v>
      </c>
      <c r="U8481">
        <v>0.4818115</v>
      </c>
      <c r="V8481">
        <v>-5.2348350000000002E-2</v>
      </c>
      <c r="W8481">
        <v>6.1573460000000003E-2</v>
      </c>
      <c r="X8481">
        <v>0.99672879999999997</v>
      </c>
      <c r="Y8481">
        <v>-0.18477879999999999</v>
      </c>
      <c r="Z8481">
        <v>9.6915439999999999E-3</v>
      </c>
      <c r="AA8481">
        <v>0.98273239999999995</v>
      </c>
      <c r="AB8481">
        <v>28</v>
      </c>
      <c r="AC8481">
        <v>13.5252</v>
      </c>
      <c r="AD8481">
        <v>-1.1135434876092001</v>
      </c>
      <c r="AE8481">
        <v>2.1949499999999902</v>
      </c>
      <c r="AF8481">
        <v>-2.55027898042121</v>
      </c>
      <c r="AG8481">
        <v>-1.1135434876092001</v>
      </c>
      <c r="AH8481">
        <v>13.371212101306</v>
      </c>
      <c r="AI8481">
        <v>94.676641357178994</v>
      </c>
      <c r="AJ8481">
        <v>100.798279419793</v>
      </c>
      <c r="AK8481">
        <v>13.657716318436499</v>
      </c>
      <c r="AL8481">
        <v>86.469867481202002</v>
      </c>
      <c r="AM8481">
        <v>93.006420919472603</v>
      </c>
      <c r="AN8481">
        <v>0.99999997073676605</v>
      </c>
    </row>
    <row r="8482" spans="1:40" x14ac:dyDescent="0.25">
      <c r="A8482" t="str">
        <f>"20190312150855077"</f>
        <v>20190312150855077</v>
      </c>
      <c r="B8482" t="str">
        <f>"1552374535068075"</f>
        <v>1552374535068075</v>
      </c>
      <c r="C8482" t="s">
        <v>40</v>
      </c>
      <c r="D8482">
        <v>4.7850449999999896</v>
      </c>
      <c r="E8482">
        <v>0.44956970000000002</v>
      </c>
      <c r="F8482" t="s">
        <v>83</v>
      </c>
      <c r="G8482">
        <v>-369.17630000000003</v>
      </c>
      <c r="H8482" s="1">
        <v>-4.86595E-7</v>
      </c>
      <c r="I8482">
        <v>19.070620000000002</v>
      </c>
      <c r="J8482">
        <v>-382.55349999999999</v>
      </c>
      <c r="K8482">
        <v>1.113467</v>
      </c>
      <c r="L8482">
        <v>16.87604</v>
      </c>
      <c r="M8482">
        <v>0.99959240000000005</v>
      </c>
      <c r="N8482">
        <v>0</v>
      </c>
      <c r="O8482">
        <v>-2.5551239999999999E-2</v>
      </c>
      <c r="P8482">
        <v>0.99843999999999999</v>
      </c>
      <c r="Q8482">
        <v>4.9623279999999999E-2</v>
      </c>
      <c r="R8482">
        <v>2.559844E-2</v>
      </c>
      <c r="S8482">
        <v>3.0049130000000002</v>
      </c>
      <c r="T8482">
        <v>-0.2474519</v>
      </c>
      <c r="U8482">
        <v>0.48727419999999999</v>
      </c>
      <c r="V8482">
        <v>-5.1574370000000001E-2</v>
      </c>
      <c r="W8482">
        <v>6.1934210000000003E-2</v>
      </c>
      <c r="X8482">
        <v>0.99674680000000004</v>
      </c>
      <c r="Y8482">
        <v>-0.18454609999999999</v>
      </c>
      <c r="Z8482">
        <v>9.6248619999999997E-3</v>
      </c>
      <c r="AA8482">
        <v>0.98277669999999995</v>
      </c>
      <c r="AB8482">
        <v>28</v>
      </c>
      <c r="AC8482">
        <v>13.377199999999901</v>
      </c>
      <c r="AD8482">
        <v>-1.1134674865950001</v>
      </c>
      <c r="AE8482">
        <v>2.1945800000000002</v>
      </c>
      <c r="AF8482">
        <v>-2.5187022477313001</v>
      </c>
      <c r="AG8482">
        <v>-1.1134674865950001</v>
      </c>
      <c r="AH8482">
        <v>13.227511122913601</v>
      </c>
      <c r="AI8482">
        <v>94.727169951102496</v>
      </c>
      <c r="AJ8482">
        <v>100.780854918392</v>
      </c>
      <c r="AK8482">
        <v>13.511133237565</v>
      </c>
      <c r="AL8482">
        <v>86.449158509921901</v>
      </c>
      <c r="AM8482">
        <v>92.961996786431797</v>
      </c>
      <c r="AN8482">
        <v>0.99999997265972995</v>
      </c>
    </row>
    <row r="8483" spans="1:40" x14ac:dyDescent="0.25">
      <c r="A8483" t="str">
        <f>"20190312150855089"</f>
        <v>20190312150855089</v>
      </c>
      <c r="B8483" t="str">
        <f>"1552374535077835"</f>
        <v>1552374535077835</v>
      </c>
      <c r="C8483" t="s">
        <v>40</v>
      </c>
      <c r="D8483">
        <v>4.7997350000000001</v>
      </c>
      <c r="E8483">
        <v>0.44947999999999999</v>
      </c>
      <c r="F8483" t="s">
        <v>83</v>
      </c>
      <c r="G8483">
        <v>-369.12169999999998</v>
      </c>
      <c r="H8483" s="1">
        <v>-5.1101709999999899E-7</v>
      </c>
      <c r="I8483">
        <v>19.07837</v>
      </c>
      <c r="J8483">
        <v>-382.41370000000001</v>
      </c>
      <c r="K8483">
        <v>1.1133959999999901</v>
      </c>
      <c r="L8483">
        <v>16.874420000000001</v>
      </c>
      <c r="M8483">
        <v>0.99963950000000001</v>
      </c>
      <c r="N8483">
        <v>0</v>
      </c>
      <c r="O8483">
        <v>-2.363761E-2</v>
      </c>
      <c r="P8483">
        <v>0.99838950000000004</v>
      </c>
      <c r="Q8483">
        <v>5.0168780000000003E-2</v>
      </c>
      <c r="R8483">
        <v>2.648988E-2</v>
      </c>
      <c r="S8483">
        <v>3.0043950000000001</v>
      </c>
      <c r="T8483">
        <v>-0.24905930000000001</v>
      </c>
      <c r="U8483">
        <v>0.49261470000000002</v>
      </c>
      <c r="V8483">
        <v>-5.0547380000000003E-2</v>
      </c>
      <c r="W8483">
        <v>6.2498650000000003E-2</v>
      </c>
      <c r="X8483">
        <v>0.99676419999999999</v>
      </c>
      <c r="Y8483">
        <v>-0.18439140000000001</v>
      </c>
      <c r="Z8483">
        <v>9.5236499999999998E-3</v>
      </c>
      <c r="AA8483">
        <v>0.98280670000000003</v>
      </c>
      <c r="AB8483">
        <v>28</v>
      </c>
      <c r="AC8483">
        <v>13.292</v>
      </c>
      <c r="AD8483">
        <v>-1.11339651101709</v>
      </c>
      <c r="AE8483">
        <v>2.2039499999999901</v>
      </c>
      <c r="AF8483">
        <v>-2.50047560474313</v>
      </c>
      <c r="AG8483">
        <v>-1.11339651101709</v>
      </c>
      <c r="AH8483">
        <v>13.146411839574901</v>
      </c>
      <c r="AI8483">
        <v>94.756080509242594</v>
      </c>
      <c r="AJ8483">
        <v>100.76914465418101</v>
      </c>
      <c r="AK8483">
        <v>13.428334755150299</v>
      </c>
      <c r="AL8483">
        <v>86.416755783109707</v>
      </c>
      <c r="AM8483">
        <v>92.903066472935393</v>
      </c>
      <c r="AN8483">
        <v>0.999999994639163</v>
      </c>
    </row>
    <row r="8484" spans="1:40" x14ac:dyDescent="0.25">
      <c r="A8484" t="str">
        <f>"20190312150855101"</f>
        <v>20190312150855101</v>
      </c>
      <c r="B8484" t="str">
        <f>"1552374535098331"</f>
        <v>1552374535098331</v>
      </c>
      <c r="C8484" t="s">
        <v>40</v>
      </c>
      <c r="D8484">
        <v>4.8161579999999997</v>
      </c>
      <c r="E8484">
        <v>0.44936160000000003</v>
      </c>
      <c r="F8484" t="s">
        <v>83</v>
      </c>
      <c r="G8484">
        <v>-368.92939999999999</v>
      </c>
      <c r="H8484" s="1">
        <v>-5.979849E-7</v>
      </c>
      <c r="I8484">
        <v>19.100760000000001</v>
      </c>
      <c r="J8484">
        <v>-382.26139999999998</v>
      </c>
      <c r="K8484">
        <v>1.1133249999999999</v>
      </c>
      <c r="L8484">
        <v>16.872889999999899</v>
      </c>
      <c r="M8484">
        <v>0.9996855</v>
      </c>
      <c r="N8484">
        <v>0</v>
      </c>
      <c r="O8484">
        <v>-2.1600419999999999E-2</v>
      </c>
      <c r="P8484">
        <v>0.99834769999999995</v>
      </c>
      <c r="Q8484">
        <v>5.0455989999999999E-2</v>
      </c>
      <c r="R8484">
        <v>2.7500009999999998E-2</v>
      </c>
      <c r="S8484">
        <v>3.0041500000000001</v>
      </c>
      <c r="T8484">
        <v>-0.24805170000000001</v>
      </c>
      <c r="U8484">
        <v>0.4960022</v>
      </c>
      <c r="V8484">
        <v>-4.9513580000000001E-2</v>
      </c>
      <c r="W8484">
        <v>6.280608E-2</v>
      </c>
      <c r="X8484">
        <v>0.99679680000000004</v>
      </c>
      <c r="Y8484">
        <v>-0.18349579999999999</v>
      </c>
      <c r="Z8484">
        <v>9.2815510000000007E-3</v>
      </c>
      <c r="AA8484">
        <v>0.98297670000000004</v>
      </c>
      <c r="AB8484">
        <v>28</v>
      </c>
      <c r="AC8484">
        <v>13.331999999999899</v>
      </c>
      <c r="AD8484">
        <v>-1.1133255979848999</v>
      </c>
      <c r="AE8484">
        <v>2.2278699999999998</v>
      </c>
      <c r="AF8484">
        <v>-2.4984008820888</v>
      </c>
      <c r="AG8484">
        <v>-1.1133255979848999</v>
      </c>
      <c r="AH8484">
        <v>13.1912711401351</v>
      </c>
      <c r="AI8484">
        <v>94.740374976471401</v>
      </c>
      <c r="AJ8484">
        <v>100.724675277852</v>
      </c>
      <c r="AK8484">
        <v>13.4718645757487</v>
      </c>
      <c r="AL8484">
        <v>86.399106793486098</v>
      </c>
      <c r="AM8484">
        <v>92.843698296067501</v>
      </c>
      <c r="AN8484">
        <v>1.0000000293898099</v>
      </c>
    </row>
    <row r="8485" spans="1:40" x14ac:dyDescent="0.25">
      <c r="A8485" t="str">
        <f>"20190312150855114"</f>
        <v>20190312150855114</v>
      </c>
      <c r="B8485" t="str">
        <f>"1552374535108092"</f>
        <v>1552374535108092</v>
      </c>
      <c r="C8485" t="s">
        <v>40</v>
      </c>
      <c r="D8485">
        <v>4.7681630000000004</v>
      </c>
      <c r="E8485">
        <v>0.44932139999999998</v>
      </c>
      <c r="F8485" t="s">
        <v>83</v>
      </c>
      <c r="G8485">
        <v>-368.90100000000001</v>
      </c>
      <c r="H8485" s="1">
        <v>-6.1214500000000001E-7</v>
      </c>
      <c r="I8485">
        <v>19.096489999999999</v>
      </c>
      <c r="J8485">
        <v>-382.10590000000002</v>
      </c>
      <c r="K8485">
        <v>1.1132489999999999</v>
      </c>
      <c r="L8485">
        <v>16.871670000000002</v>
      </c>
      <c r="M8485">
        <v>0.99972680000000003</v>
      </c>
      <c r="N8485">
        <v>0</v>
      </c>
      <c r="O8485">
        <v>-1.9590900000000001E-2</v>
      </c>
      <c r="P8485">
        <v>0.99828989999999995</v>
      </c>
      <c r="Q8485">
        <v>5.0905770000000003E-2</v>
      </c>
      <c r="R8485">
        <v>2.8737240000000001E-2</v>
      </c>
      <c r="S8485">
        <v>3.0038450000000001</v>
      </c>
      <c r="T8485">
        <v>-0.25031219999999998</v>
      </c>
      <c r="U8485">
        <v>0.49993900000000002</v>
      </c>
      <c r="V8485">
        <v>-4.8735470000000003E-2</v>
      </c>
      <c r="W8485">
        <v>6.3272919999999996E-2</v>
      </c>
      <c r="X8485">
        <v>0.99680559999999996</v>
      </c>
      <c r="Y8485">
        <v>-0.1827867</v>
      </c>
      <c r="Z8485">
        <v>9.1703510000000002E-3</v>
      </c>
      <c r="AA8485">
        <v>0.98310980000000003</v>
      </c>
      <c r="AB8485">
        <v>28</v>
      </c>
      <c r="AC8485">
        <v>13.2049</v>
      </c>
      <c r="AD8485">
        <v>-1.113249612145</v>
      </c>
      <c r="AE8485">
        <v>2.22481999999999</v>
      </c>
      <c r="AF8485">
        <v>-2.4660661765908398</v>
      </c>
      <c r="AG8485">
        <v>-1.113249612145</v>
      </c>
      <c r="AH8485">
        <v>13.0684558171722</v>
      </c>
      <c r="AI8485">
        <v>94.784996928543904</v>
      </c>
      <c r="AJ8485">
        <v>100.686266271536</v>
      </c>
      <c r="AK8485">
        <v>13.3456114334132</v>
      </c>
      <c r="AL8485">
        <v>86.372305441660302</v>
      </c>
      <c r="AM8485">
        <v>92.799056306922196</v>
      </c>
      <c r="AN8485">
        <v>1.0000000063164001</v>
      </c>
    </row>
    <row r="8486" spans="1:40" x14ac:dyDescent="0.25">
      <c r="A8486" t="str">
        <f>"20190312150855130"</f>
        <v>20190312150855130</v>
      </c>
      <c r="B8486" t="str">
        <f>"1552374535117851"</f>
        <v>1552374535117851</v>
      </c>
      <c r="C8486" t="s">
        <v>40</v>
      </c>
      <c r="D8486">
        <v>4.7585850000000001</v>
      </c>
      <c r="E8486">
        <v>0.44937690000000002</v>
      </c>
      <c r="F8486" t="s">
        <v>83</v>
      </c>
      <c r="G8486">
        <v>-368.70530000000002</v>
      </c>
      <c r="H8486" s="1">
        <v>-7.0049230000000003E-7</v>
      </c>
      <c r="I8486">
        <v>19.120049999999999</v>
      </c>
      <c r="J8486">
        <v>-381.89769999999999</v>
      </c>
      <c r="K8486">
        <v>1.1131500000000001</v>
      </c>
      <c r="L8486">
        <v>16.870360000000002</v>
      </c>
      <c r="M8486">
        <v>0.99977479999999996</v>
      </c>
      <c r="N8486">
        <v>0</v>
      </c>
      <c r="O8486">
        <v>-1.6969689999999999E-2</v>
      </c>
      <c r="P8486">
        <v>0.99823309999999998</v>
      </c>
      <c r="Q8486">
        <v>5.1636139999999997E-2</v>
      </c>
      <c r="R8486">
        <v>2.9399430000000001E-2</v>
      </c>
      <c r="S8486">
        <v>3.0033569999999998</v>
      </c>
      <c r="T8486">
        <v>-0.24950169999999999</v>
      </c>
      <c r="U8486">
        <v>0.50390630000000003</v>
      </c>
      <c r="V8486">
        <v>-4.6770060000000002E-2</v>
      </c>
      <c r="W8486">
        <v>6.4031469999999993E-2</v>
      </c>
      <c r="X8486">
        <v>0.9968513</v>
      </c>
      <c r="Y8486">
        <v>-0.18151590000000001</v>
      </c>
      <c r="Z8486">
        <v>8.8728780000000007E-3</v>
      </c>
      <c r="AA8486">
        <v>0.983348</v>
      </c>
      <c r="AB8486">
        <v>28</v>
      </c>
      <c r="AC8486">
        <v>13.1923999999999</v>
      </c>
      <c r="AD8486">
        <v>-1.1131507004923</v>
      </c>
      <c r="AE8486">
        <v>2.24968999999999</v>
      </c>
      <c r="AF8486">
        <v>-2.45626150739725</v>
      </c>
      <c r="AG8486">
        <v>-1.1131507004923</v>
      </c>
      <c r="AH8486">
        <v>13.061951472673201</v>
      </c>
      <c r="AI8486">
        <v>94.787514444028702</v>
      </c>
      <c r="AJ8486">
        <v>100.649931706399</v>
      </c>
      <c r="AK8486">
        <v>13.3374248394957</v>
      </c>
      <c r="AL8486">
        <v>86.328755357741898</v>
      </c>
      <c r="AM8486">
        <v>92.686221468383494</v>
      </c>
      <c r="AN8486">
        <v>0.99999999098722703</v>
      </c>
    </row>
    <row r="8487" spans="1:40" x14ac:dyDescent="0.25">
      <c r="A8487" t="str">
        <f>"20190312150855143"</f>
        <v>20190312150855143</v>
      </c>
      <c r="B8487" t="str">
        <f>"1552374535138347"</f>
        <v>1552374535138347</v>
      </c>
      <c r="C8487" t="s">
        <v>40</v>
      </c>
      <c r="D8487">
        <v>4.7640669999999998</v>
      </c>
      <c r="E8487">
        <v>0.44948480000000002</v>
      </c>
      <c r="F8487" t="s">
        <v>83</v>
      </c>
      <c r="G8487">
        <v>-368.44209999999998</v>
      </c>
      <c r="H8487" s="1">
        <v>-8.2253469999999899E-7</v>
      </c>
      <c r="I8487">
        <v>19.13345</v>
      </c>
      <c r="J8487">
        <v>-381.7346</v>
      </c>
      <c r="K8487">
        <v>1.1130719999999901</v>
      </c>
      <c r="L8487">
        <v>16.869599999999998</v>
      </c>
      <c r="M8487">
        <v>0.99980659999999999</v>
      </c>
      <c r="N8487">
        <v>0</v>
      </c>
      <c r="O8487">
        <v>-1.4975250000000001E-2</v>
      </c>
      <c r="P8487">
        <v>0.99820399999999998</v>
      </c>
      <c r="Q8487">
        <v>5.1542850000000001E-2</v>
      </c>
      <c r="R8487">
        <v>3.0530560000000002E-2</v>
      </c>
      <c r="S8487">
        <v>3.0033259999999999</v>
      </c>
      <c r="T8487">
        <v>-0.2484577</v>
      </c>
      <c r="U8487">
        <v>0.50512699999999999</v>
      </c>
      <c r="V8487">
        <v>-4.5897559999999997E-2</v>
      </c>
      <c r="W8487">
        <v>6.3954849999999994E-2</v>
      </c>
      <c r="X8487">
        <v>0.99689680000000003</v>
      </c>
      <c r="Y8487">
        <v>-0.17996199999999901</v>
      </c>
      <c r="Z8487">
        <v>8.608269E-3</v>
      </c>
      <c r="AA8487">
        <v>0.98363590000000001</v>
      </c>
      <c r="AB8487">
        <v>28</v>
      </c>
      <c r="AC8487">
        <v>13.2925</v>
      </c>
      <c r="AD8487">
        <v>-1.11307282253469</v>
      </c>
      <c r="AE8487">
        <v>2.2638500000000001</v>
      </c>
      <c r="AF8487">
        <v>-2.4460031866255298</v>
      </c>
      <c r="AG8487">
        <v>-1.11307282253469</v>
      </c>
      <c r="AH8487">
        <v>13.1673793194509</v>
      </c>
      <c r="AI8487">
        <v>94.750978264371</v>
      </c>
      <c r="AJ8487">
        <v>100.523445772416</v>
      </c>
      <c r="AK8487">
        <v>13.438814711110201</v>
      </c>
      <c r="AL8487">
        <v>86.333154481064199</v>
      </c>
      <c r="AM8487">
        <v>92.636060959008901</v>
      </c>
      <c r="AN8487">
        <v>1.0000000193513501</v>
      </c>
    </row>
    <row r="8488" spans="1:40" x14ac:dyDescent="0.25">
      <c r="A8488" t="str">
        <f>"20190312150855155"</f>
        <v>20190312150855155</v>
      </c>
      <c r="B8488" t="str">
        <f>"1552374535148108"</f>
        <v>1552374535148108</v>
      </c>
      <c r="C8488" t="s">
        <v>40</v>
      </c>
      <c r="D8488">
        <v>4.8511470000000001</v>
      </c>
      <c r="E8488">
        <v>0.44943909999999998</v>
      </c>
      <c r="F8488" t="s">
        <v>83</v>
      </c>
      <c r="G8488">
        <v>-368.36599999999999</v>
      </c>
      <c r="H8488" s="1">
        <v>-8.5919030000000004E-7</v>
      </c>
      <c r="I8488">
        <v>19.12961</v>
      </c>
      <c r="J8488">
        <v>-381.5881</v>
      </c>
      <c r="K8488">
        <v>1.113003</v>
      </c>
      <c r="L8488">
        <v>16.869289999999999</v>
      </c>
      <c r="M8488">
        <v>0.99983100000000003</v>
      </c>
      <c r="N8488">
        <v>0</v>
      </c>
      <c r="O8488">
        <v>-1.32567E-2</v>
      </c>
      <c r="P8488">
        <v>0.99818569999999995</v>
      </c>
      <c r="Q8488">
        <v>5.1482060000000003E-2</v>
      </c>
      <c r="R8488">
        <v>3.122919E-2</v>
      </c>
      <c r="S8488">
        <v>3.002777</v>
      </c>
      <c r="T8488">
        <v>-0.25001139999999999</v>
      </c>
      <c r="U8488">
        <v>0.50762940000000001</v>
      </c>
      <c r="V8488">
        <v>-4.486946E-2</v>
      </c>
      <c r="W8488">
        <v>6.3909170000000001E-2</v>
      </c>
      <c r="X8488">
        <v>0.99694649999999996</v>
      </c>
      <c r="Y8488">
        <v>-0.17909839999999999</v>
      </c>
      <c r="Z8488">
        <v>8.4853259999999996E-3</v>
      </c>
      <c r="AA8488">
        <v>0.98379459999999996</v>
      </c>
      <c r="AB8488">
        <v>28</v>
      </c>
      <c r="AC8488">
        <v>13.222099999999999</v>
      </c>
      <c r="AD8488">
        <v>-1.1130038591903</v>
      </c>
      <c r="AE8488">
        <v>2.2603200000000001</v>
      </c>
      <c r="AF8488">
        <v>-2.4187646024141798</v>
      </c>
      <c r="AG8488">
        <v>-1.1130038591903</v>
      </c>
      <c r="AH8488">
        <v>13.1007767083233</v>
      </c>
      <c r="AI8488">
        <v>94.775691484976093</v>
      </c>
      <c r="AJ8488">
        <v>100.460584393498</v>
      </c>
      <c r="AK8488">
        <v>13.3686031489386</v>
      </c>
      <c r="AL8488">
        <v>86.335776999332893</v>
      </c>
      <c r="AM8488">
        <v>92.576965716460293</v>
      </c>
      <c r="AN8488">
        <v>0.99999998715651495</v>
      </c>
    </row>
    <row r="8489" spans="1:40" x14ac:dyDescent="0.25">
      <c r="A8489" t="str">
        <f>"20190312150855166"</f>
        <v>20190312150855166</v>
      </c>
      <c r="B8489" t="str">
        <f>"1552374535157867"</f>
        <v>1552374535157867</v>
      </c>
      <c r="C8489" t="s">
        <v>40</v>
      </c>
      <c r="D8489">
        <v>4.8083159999999996</v>
      </c>
      <c r="E8489">
        <v>0.44948880000000002</v>
      </c>
      <c r="F8489" t="s">
        <v>83</v>
      </c>
      <c r="G8489">
        <v>-368.38670000000002</v>
      </c>
      <c r="H8489" s="1">
        <v>-8.5254269999999903E-7</v>
      </c>
      <c r="I8489">
        <v>19.111820000000002</v>
      </c>
      <c r="J8489">
        <v>-381.44299999999998</v>
      </c>
      <c r="K8489">
        <v>1.1129359999999999</v>
      </c>
      <c r="L8489">
        <v>16.869050000000001</v>
      </c>
      <c r="M8489">
        <v>0.99985190000000002</v>
      </c>
      <c r="N8489">
        <v>0</v>
      </c>
      <c r="O8489">
        <v>-1.1575709999999999E-2</v>
      </c>
      <c r="P8489">
        <v>0.99817789999999995</v>
      </c>
      <c r="Q8489">
        <v>5.1267630000000002E-2</v>
      </c>
      <c r="R8489">
        <v>3.1822330000000003E-2</v>
      </c>
      <c r="S8489">
        <v>3.0025330000000001</v>
      </c>
      <c r="T8489">
        <v>-0.25314160000000002</v>
      </c>
      <c r="U8489">
        <v>0.5100403</v>
      </c>
      <c r="V8489">
        <v>-4.3773289999999999E-2</v>
      </c>
      <c r="W8489">
        <v>6.3710249999999996E-2</v>
      </c>
      <c r="X8489">
        <v>0.99700800000000001</v>
      </c>
      <c r="Y8489">
        <v>-0.17821809999999999</v>
      </c>
      <c r="Z8489">
        <v>8.4139829999999999E-3</v>
      </c>
      <c r="AA8489">
        <v>0.98395500000000002</v>
      </c>
      <c r="AB8489">
        <v>28</v>
      </c>
      <c r="AC8489">
        <v>13.0563</v>
      </c>
      <c r="AD8489">
        <v>-1.1129368525426999</v>
      </c>
      <c r="AE8489">
        <v>2.2427700000000002</v>
      </c>
      <c r="AF8489">
        <v>-2.3769914987488598</v>
      </c>
      <c r="AG8489">
        <v>-1.1129368525426999</v>
      </c>
      <c r="AH8489">
        <v>12.9381460403077</v>
      </c>
      <c r="AI8489">
        <v>94.835926995979705</v>
      </c>
      <c r="AJ8489">
        <v>100.410270194934</v>
      </c>
      <c r="AK8489">
        <v>13.201679437980699</v>
      </c>
      <c r="AL8489">
        <v>86.347197686561202</v>
      </c>
      <c r="AM8489">
        <v>92.513936827639398</v>
      </c>
      <c r="AN8489">
        <v>1.0000000244682401</v>
      </c>
    </row>
    <row r="8490" spans="1:40" x14ac:dyDescent="0.25">
      <c r="A8490" t="str">
        <f>"20190312150855179"</f>
        <v>20190312150855179</v>
      </c>
      <c r="B8490" t="str">
        <f>"1552374535168604"</f>
        <v>1552374535168604</v>
      </c>
      <c r="C8490" t="s">
        <v>40</v>
      </c>
      <c r="D8490">
        <v>4.8098729999999996</v>
      </c>
      <c r="E8490">
        <v>0.44948260000000001</v>
      </c>
      <c r="F8490" t="s">
        <v>83</v>
      </c>
      <c r="G8490">
        <v>-368.29109999999997</v>
      </c>
      <c r="H8490" s="1">
        <v>-8.9803380000000002E-7</v>
      </c>
      <c r="I8490">
        <v>19.110060000000001</v>
      </c>
      <c r="J8490">
        <v>-381.28879999999998</v>
      </c>
      <c r="K8490">
        <v>1.112865</v>
      </c>
      <c r="L8490">
        <v>16.869109999999999</v>
      </c>
      <c r="M8490">
        <v>0.99987020000000004</v>
      </c>
      <c r="N8490">
        <v>0</v>
      </c>
      <c r="O8490">
        <v>-9.8563769999999995E-3</v>
      </c>
      <c r="P8490">
        <v>0.99817469999999997</v>
      </c>
      <c r="Q8490">
        <v>5.0999469999999998E-2</v>
      </c>
      <c r="R8490">
        <v>3.2349139999999998E-2</v>
      </c>
      <c r="S8490">
        <v>3.0022280000000001</v>
      </c>
      <c r="T8490">
        <v>-0.25405499999999998</v>
      </c>
      <c r="U8490">
        <v>0.51156619999999997</v>
      </c>
      <c r="V8490">
        <v>-4.2572110000000003E-2</v>
      </c>
      <c r="W8490">
        <v>6.3457570000000005E-2</v>
      </c>
      <c r="X8490">
        <v>0.99707610000000002</v>
      </c>
      <c r="Y8490">
        <v>-0.177034</v>
      </c>
      <c r="Z8490">
        <v>8.2508040000000005E-3</v>
      </c>
      <c r="AA8490">
        <v>0.98417010000000005</v>
      </c>
      <c r="AB8490">
        <v>28</v>
      </c>
      <c r="AC8490">
        <v>12.9977</v>
      </c>
      <c r="AD8490">
        <v>-1.1128658980338</v>
      </c>
      <c r="AE8490">
        <v>2.2409500000000002</v>
      </c>
      <c r="AF8490">
        <v>-2.3522158725182298</v>
      </c>
      <c r="AG8490">
        <v>-1.1128658980338</v>
      </c>
      <c r="AH8490">
        <v>12.8832605950009</v>
      </c>
      <c r="AI8490">
        <v>94.857099369931007</v>
      </c>
      <c r="AJ8490">
        <v>100.347050616836</v>
      </c>
      <c r="AK8490">
        <v>13.143431575377701</v>
      </c>
      <c r="AL8490">
        <v>86.361704443753894</v>
      </c>
      <c r="AM8490">
        <v>92.444870157000693</v>
      </c>
      <c r="AN8490">
        <v>0.99999999846568299</v>
      </c>
    </row>
    <row r="8491" spans="1:40" x14ac:dyDescent="0.25">
      <c r="A8491" t="str">
        <f>"20190312150855192"</f>
        <v>20190312150855192</v>
      </c>
      <c r="B8491" t="str">
        <f>"1552374535188124"</f>
        <v>1552374535188124</v>
      </c>
      <c r="C8491" t="s">
        <v>40</v>
      </c>
      <c r="D8491">
        <v>4.7983149999999997</v>
      </c>
      <c r="E8491">
        <v>0.44954319999999998</v>
      </c>
      <c r="F8491" t="s">
        <v>83</v>
      </c>
      <c r="G8491">
        <v>-368.22980000000001</v>
      </c>
      <c r="H8491" s="1">
        <v>-9.284897E-7</v>
      </c>
      <c r="I8491">
        <v>19.101859999999999</v>
      </c>
      <c r="J8491">
        <v>-381.12939999999998</v>
      </c>
      <c r="K8491">
        <v>1.1127929999999999</v>
      </c>
      <c r="L8491">
        <v>16.869350000000001</v>
      </c>
      <c r="M8491">
        <v>0.99988580000000005</v>
      </c>
      <c r="N8491">
        <v>0</v>
      </c>
      <c r="O8491">
        <v>-8.1246689999999993E-3</v>
      </c>
      <c r="P8491">
        <v>0.99814519999999995</v>
      </c>
      <c r="Q8491">
        <v>5.1147249999999998E-2</v>
      </c>
      <c r="R8491">
        <v>3.3017530000000003E-2</v>
      </c>
      <c r="S8491">
        <v>3.0018919999999998</v>
      </c>
      <c r="T8491">
        <v>-0.25581540000000003</v>
      </c>
      <c r="U8491">
        <v>0.51324459999999905</v>
      </c>
      <c r="V8491">
        <v>-4.1501429999999999E-2</v>
      </c>
      <c r="W8491">
        <v>6.3619839999999997E-2</v>
      </c>
      <c r="X8491">
        <v>0.99711090000000002</v>
      </c>
      <c r="Y8491">
        <v>-0.1758835</v>
      </c>
      <c r="Z8491">
        <v>8.1134069999999996E-3</v>
      </c>
      <c r="AA8491">
        <v>0.98437759999999996</v>
      </c>
      <c r="AB8491">
        <v>28</v>
      </c>
      <c r="AC8491">
        <v>12.8995999999999</v>
      </c>
      <c r="AD8491">
        <v>-1.1127939284896999</v>
      </c>
      <c r="AE8491">
        <v>2.23251</v>
      </c>
      <c r="AF8491">
        <v>-2.3204834534568501</v>
      </c>
      <c r="AG8491">
        <v>-1.1127939284896999</v>
      </c>
      <c r="AH8491">
        <v>12.7886317644257</v>
      </c>
      <c r="AI8491">
        <v>94.893520150145704</v>
      </c>
      <c r="AJ8491">
        <v>100.284365160162</v>
      </c>
      <c r="AK8491">
        <v>13.045001195520401</v>
      </c>
      <c r="AL8491">
        <v>86.352388237952496</v>
      </c>
      <c r="AM8491">
        <v>92.383370900455105</v>
      </c>
      <c r="AN8491">
        <v>0.99999999981623999</v>
      </c>
    </row>
    <row r="8492" spans="1:40" x14ac:dyDescent="0.25">
      <c r="A8492" t="str">
        <f>"20190312150855211"</f>
        <v>20190312150855211</v>
      </c>
      <c r="B8492" t="str">
        <f>"1552374535197883"</f>
        <v>1552374535197883</v>
      </c>
      <c r="C8492" t="s">
        <v>40</v>
      </c>
      <c r="D8492">
        <v>4.8074110000000001</v>
      </c>
      <c r="E8492">
        <v>0.44958019999999999</v>
      </c>
      <c r="F8492" t="s">
        <v>83</v>
      </c>
      <c r="G8492">
        <v>-368.1472</v>
      </c>
      <c r="H8492" s="1">
        <v>-9.6859339999999991E-7</v>
      </c>
      <c r="I8492">
        <v>19.095790000000001</v>
      </c>
      <c r="J8492">
        <v>-380.89870000000002</v>
      </c>
      <c r="K8492">
        <v>1.1126959999999999</v>
      </c>
      <c r="L8492">
        <v>16.87012</v>
      </c>
      <c r="M8492">
        <v>0.99990259999999997</v>
      </c>
      <c r="N8492">
        <v>0</v>
      </c>
      <c r="O8492">
        <v>-5.7006460000000002E-3</v>
      </c>
      <c r="P8492">
        <v>0.99816009999999999</v>
      </c>
      <c r="Q8492">
        <v>5.0816640000000003E-2</v>
      </c>
      <c r="R8492">
        <v>3.3084620000000002E-2</v>
      </c>
      <c r="S8492">
        <v>3.00177</v>
      </c>
      <c r="T8492">
        <v>-0.2573028</v>
      </c>
      <c r="U8492">
        <v>0.51480099999999995</v>
      </c>
      <c r="V8492">
        <v>-3.9132390000000003E-2</v>
      </c>
      <c r="W8492">
        <v>6.3313830000000001E-2</v>
      </c>
      <c r="X8492">
        <v>0.99722619999999895</v>
      </c>
      <c r="Y8492">
        <v>-0.17400739999999901</v>
      </c>
      <c r="Z8492">
        <v>7.8747209999999995E-3</v>
      </c>
      <c r="AA8492">
        <v>0.98471280000000005</v>
      </c>
      <c r="AB8492">
        <v>28</v>
      </c>
      <c r="AC8492">
        <v>12.7515</v>
      </c>
      <c r="AD8492">
        <v>-1.1126969685933901</v>
      </c>
      <c r="AE8492">
        <v>2.22567</v>
      </c>
      <c r="AF8492">
        <v>-2.28147322902135</v>
      </c>
      <c r="AG8492">
        <v>-1.1126969685933901</v>
      </c>
      <c r="AH8492">
        <v>12.645166179850399</v>
      </c>
      <c r="AI8492">
        <v>94.949221760411803</v>
      </c>
      <c r="AJ8492">
        <v>100.22742297340901</v>
      </c>
      <c r="AK8492">
        <v>12.897419988303501</v>
      </c>
      <c r="AL8492">
        <v>86.369956882736901</v>
      </c>
      <c r="AM8492">
        <v>92.247204284948296</v>
      </c>
      <c r="AN8492">
        <v>1.0000000394913999</v>
      </c>
    </row>
    <row r="8493" spans="1:40" x14ac:dyDescent="0.25">
      <c r="A8493" t="str">
        <f>"20190312150855225"</f>
        <v>20190312150855225</v>
      </c>
      <c r="B8493" t="str">
        <f>"1552374535218380"</f>
        <v>1552374535218380</v>
      </c>
      <c r="C8493" t="s">
        <v>40</v>
      </c>
      <c r="D8493">
        <v>4.7913430000000004</v>
      </c>
      <c r="E8493">
        <v>0.44968279999999999</v>
      </c>
      <c r="F8493" t="s">
        <v>83</v>
      </c>
      <c r="G8493">
        <v>-368.0163</v>
      </c>
      <c r="H8493" s="1">
        <v>-1.0333140000000001E-6</v>
      </c>
      <c r="I8493">
        <v>19.079879999999999</v>
      </c>
      <c r="J8493">
        <v>-380.71960000000001</v>
      </c>
      <c r="K8493">
        <v>1.112619</v>
      </c>
      <c r="L8493">
        <v>16.870940000000001</v>
      </c>
      <c r="M8493">
        <v>0.99991129999999995</v>
      </c>
      <c r="N8493">
        <v>0</v>
      </c>
      <c r="O8493">
        <v>-3.879501E-3</v>
      </c>
      <c r="P8493">
        <v>0.99812719999999999</v>
      </c>
      <c r="Q8493">
        <v>5.1049839999999999E-2</v>
      </c>
      <c r="R8493">
        <v>3.3709500000000003E-2</v>
      </c>
      <c r="S8493">
        <v>3.001709</v>
      </c>
      <c r="T8493">
        <v>-0.25926759999999999</v>
      </c>
      <c r="U8493">
        <v>0.51489259999999903</v>
      </c>
      <c r="V8493">
        <v>-3.7928719999999999E-2</v>
      </c>
      <c r="W8493">
        <v>6.3560359999999996E-2</v>
      </c>
      <c r="X8493">
        <v>0.99725699999999995</v>
      </c>
      <c r="Y8493">
        <v>-0.1722495</v>
      </c>
      <c r="Z8493">
        <v>7.7036259999999999E-3</v>
      </c>
      <c r="AA8493">
        <v>0.98502330000000005</v>
      </c>
      <c r="AB8493">
        <v>28</v>
      </c>
      <c r="AC8493">
        <v>12.7033</v>
      </c>
      <c r="AD8493">
        <v>-1.1126200333139999</v>
      </c>
      <c r="AE8493">
        <v>2.2089399999999899</v>
      </c>
      <c r="AF8493">
        <v>-2.2415194638731601</v>
      </c>
      <c r="AG8493">
        <v>-1.1126200333139999</v>
      </c>
      <c r="AH8493">
        <v>12.6008083627146</v>
      </c>
      <c r="AI8493">
        <v>94.968390868784098</v>
      </c>
      <c r="AJ8493">
        <v>100.086661771549</v>
      </c>
      <c r="AK8493">
        <v>12.8468947313859</v>
      </c>
      <c r="AL8493">
        <v>86.355803159878604</v>
      </c>
      <c r="AM8493">
        <v>92.178083136634996</v>
      </c>
      <c r="AN8493">
        <v>1.00000001560658</v>
      </c>
    </row>
    <row r="8494" spans="1:40" x14ac:dyDescent="0.25">
      <c r="A8494" t="str">
        <f>"20190312150855238"</f>
        <v>20190312150855238</v>
      </c>
      <c r="B8494" t="str">
        <f>"1552374535227855"</f>
        <v>1552374535227855</v>
      </c>
      <c r="C8494" t="s">
        <v>40</v>
      </c>
      <c r="D8494">
        <v>5.2737910000000001</v>
      </c>
      <c r="E8494">
        <v>0.44978750000000001</v>
      </c>
      <c r="F8494" t="s">
        <v>83</v>
      </c>
      <c r="G8494">
        <v>-367.88589999999999</v>
      </c>
      <c r="H8494" s="1">
        <v>-1.095535E-6</v>
      </c>
      <c r="I8494">
        <v>19.076519999999999</v>
      </c>
      <c r="J8494">
        <v>-380.54160000000002</v>
      </c>
      <c r="K8494">
        <v>1.1125480000000001</v>
      </c>
      <c r="L8494">
        <v>16.872160000000001</v>
      </c>
      <c r="M8494">
        <v>0.99991649999999999</v>
      </c>
      <c r="N8494">
        <v>0</v>
      </c>
      <c r="O8494">
        <v>-2.1484590000000001E-3</v>
      </c>
      <c r="P8494">
        <v>0.99811680000000003</v>
      </c>
      <c r="Q8494">
        <v>5.0896900000000002E-2</v>
      </c>
      <c r="R8494">
        <v>3.4242429999999997E-2</v>
      </c>
      <c r="S8494">
        <v>3.0015260000000001</v>
      </c>
      <c r="T8494">
        <v>-0.260218</v>
      </c>
      <c r="U8494">
        <v>0.51583859999999904</v>
      </c>
      <c r="V8494">
        <v>-3.6721650000000002E-2</v>
      </c>
      <c r="W8494">
        <v>6.3419980000000001E-2</v>
      </c>
      <c r="X8494">
        <v>0.99731110000000001</v>
      </c>
      <c r="Y8494">
        <v>-0.1708625</v>
      </c>
      <c r="Z8494">
        <v>7.5237069999999897E-3</v>
      </c>
      <c r="AA8494">
        <v>0.98526610000000003</v>
      </c>
      <c r="AB8494">
        <v>28</v>
      </c>
      <c r="AC8494">
        <v>12.6557</v>
      </c>
      <c r="AD8494">
        <v>-1.1125490955349999</v>
      </c>
      <c r="AE8494">
        <v>2.2043599999999999</v>
      </c>
      <c r="AF8494">
        <v>-2.2149344123382102</v>
      </c>
      <c r="AG8494">
        <v>-1.1125490955349999</v>
      </c>
      <c r="AH8494">
        <v>12.556753380011999</v>
      </c>
      <c r="AI8494">
        <v>94.986690499484098</v>
      </c>
      <c r="AJ8494">
        <v>100.00371726220099</v>
      </c>
      <c r="AK8494">
        <v>12.799052909781199</v>
      </c>
      <c r="AL8494">
        <v>86.363862551277094</v>
      </c>
      <c r="AM8494">
        <v>92.108715621683004</v>
      </c>
      <c r="AN8494">
        <v>1.0000000018125601</v>
      </c>
    </row>
    <row r="8495" spans="1:40" x14ac:dyDescent="0.25">
      <c r="A8495" t="str">
        <f>"20190312150855254"</f>
        <v>20190312150855254</v>
      </c>
      <c r="B8495" t="str">
        <f>"1552374535248351"</f>
        <v>1552374535248351</v>
      </c>
      <c r="C8495" t="s">
        <v>40</v>
      </c>
      <c r="D8495">
        <v>5.075234</v>
      </c>
      <c r="E8495">
        <v>0.44997769999999998</v>
      </c>
      <c r="F8495" t="s">
        <v>83</v>
      </c>
      <c r="G8495">
        <v>-367.72320000000002</v>
      </c>
      <c r="H8495" s="1">
        <v>-1.172126E-6</v>
      </c>
      <c r="I8495">
        <v>19.078320000000001</v>
      </c>
      <c r="J8495">
        <v>-380.35109999999997</v>
      </c>
      <c r="K8495">
        <v>1.112471</v>
      </c>
      <c r="L8495">
        <v>16.87369</v>
      </c>
      <c r="M8495">
        <v>0.9999188</v>
      </c>
      <c r="N8495">
        <v>0</v>
      </c>
      <c r="O8495">
        <v>-3.4760219999999998E-4</v>
      </c>
      <c r="P8495">
        <v>0.99815969999999998</v>
      </c>
      <c r="Q8495">
        <v>5.0666570000000001E-2</v>
      </c>
      <c r="R8495">
        <v>3.3319550000000003E-2</v>
      </c>
      <c r="S8495">
        <v>3.0012509999999999</v>
      </c>
      <c r="T8495">
        <v>-0.26048759999999999</v>
      </c>
      <c r="U8495">
        <v>0.51654049999999996</v>
      </c>
      <c r="V8495">
        <v>-3.3988480000000001E-2</v>
      </c>
      <c r="W8495">
        <v>6.321011E-2</v>
      </c>
      <c r="X8495">
        <v>0.99742129999999996</v>
      </c>
      <c r="Y8495">
        <v>-0.1693376</v>
      </c>
      <c r="Z8495">
        <v>7.31153599999999E-3</v>
      </c>
      <c r="AA8495">
        <v>0.98553100000000005</v>
      </c>
      <c r="AB8495">
        <v>28</v>
      </c>
      <c r="AC8495">
        <v>12.627899999999901</v>
      </c>
      <c r="AD8495">
        <v>-1.112472172126</v>
      </c>
      <c r="AE8495">
        <v>2.2046299999999999</v>
      </c>
      <c r="AF8495">
        <v>-2.1925070258489701</v>
      </c>
      <c r="AG8495">
        <v>-1.112472172126</v>
      </c>
      <c r="AH8495">
        <v>12.532743532779699</v>
      </c>
      <c r="AI8495">
        <v>94.997081521076197</v>
      </c>
      <c r="AJ8495">
        <v>99.923037953581499</v>
      </c>
      <c r="AK8495">
        <v>12.7716225222399</v>
      </c>
      <c r="AL8495">
        <v>86.3759113566895</v>
      </c>
      <c r="AM8495">
        <v>91.951675996853794</v>
      </c>
      <c r="AN8495">
        <v>0.99999999223630598</v>
      </c>
    </row>
    <row r="8496" spans="1:40" x14ac:dyDescent="0.25">
      <c r="A8496" t="str">
        <f>"20190312150855266"</f>
        <v>20190312150855266</v>
      </c>
      <c r="B8496" t="str">
        <f>"1552374535258111"</f>
        <v>1552374535258111</v>
      </c>
      <c r="C8496" t="s">
        <v>40</v>
      </c>
      <c r="D8496">
        <v>4.8415589999999904</v>
      </c>
      <c r="E8496">
        <v>0.45005289999999998</v>
      </c>
      <c r="F8496" t="s">
        <v>83</v>
      </c>
      <c r="G8496">
        <v>-367.5686</v>
      </c>
      <c r="H8496" s="1">
        <v>-1.2494649999999999E-6</v>
      </c>
      <c r="I8496">
        <v>19.054210000000001</v>
      </c>
      <c r="J8496">
        <v>-380.19830000000002</v>
      </c>
      <c r="K8496">
        <v>1.1124099999999999</v>
      </c>
      <c r="L8496">
        <v>16.875060000000001</v>
      </c>
      <c r="M8496">
        <v>0.99991830000000004</v>
      </c>
      <c r="N8496">
        <v>0</v>
      </c>
      <c r="O8496">
        <v>1.0607289999999901E-3</v>
      </c>
      <c r="P8496">
        <v>0.9981698</v>
      </c>
      <c r="Q8496">
        <v>5.0661490000000003E-2</v>
      </c>
      <c r="R8496">
        <v>3.3022870000000003E-2</v>
      </c>
      <c r="S8496">
        <v>3.001709</v>
      </c>
      <c r="T8496">
        <v>-0.26124259999999999</v>
      </c>
      <c r="U8496">
        <v>0.51205440000000002</v>
      </c>
      <c r="V8496">
        <v>-3.2276699999999998E-2</v>
      </c>
      <c r="W8496">
        <v>6.3217720000000005E-2</v>
      </c>
      <c r="X8496">
        <v>0.99747770000000002</v>
      </c>
      <c r="Y8496">
        <v>-0.16650499999999999</v>
      </c>
      <c r="Z8496">
        <v>7.0888399999999999E-3</v>
      </c>
      <c r="AA8496">
        <v>0.98601510000000003</v>
      </c>
      <c r="AB8496">
        <v>28</v>
      </c>
      <c r="AC8496">
        <v>12.6297</v>
      </c>
      <c r="AD8496">
        <v>-1.112411249465</v>
      </c>
      <c r="AE8496">
        <v>2.1791499999999999</v>
      </c>
      <c r="AF8496">
        <v>-2.1495570347814201</v>
      </c>
      <c r="AG8496">
        <v>-1.112411249465</v>
      </c>
      <c r="AH8496">
        <v>12.5375513217065</v>
      </c>
      <c r="AI8496">
        <v>94.997822413580906</v>
      </c>
      <c r="AJ8496">
        <v>99.728744007474603</v>
      </c>
      <c r="AK8496">
        <v>12.7690347081578</v>
      </c>
      <c r="AL8496">
        <v>86.375474540063706</v>
      </c>
      <c r="AM8496">
        <v>91.853348342684598</v>
      </c>
      <c r="AN8496">
        <v>1.0000000137410801</v>
      </c>
    </row>
    <row r="8497" spans="1:40" x14ac:dyDescent="0.25">
      <c r="A8497" t="str">
        <f>"20190312150855277"</f>
        <v>20190312150855277</v>
      </c>
      <c r="B8497" t="str">
        <f>"1552374535267871"</f>
        <v>1552374535267871</v>
      </c>
      <c r="C8497" t="s">
        <v>40</v>
      </c>
      <c r="D8497">
        <v>4.8229410000000001</v>
      </c>
      <c r="E8497">
        <v>0.45013419999999998</v>
      </c>
      <c r="F8497" t="s">
        <v>83</v>
      </c>
      <c r="G8497">
        <v>-367.42149999999998</v>
      </c>
      <c r="H8497" s="1">
        <v>-1.3201240000000001E-6</v>
      </c>
      <c r="I8497">
        <v>19.04786</v>
      </c>
      <c r="J8497">
        <v>-380.0444</v>
      </c>
      <c r="K8497">
        <v>1.1123510000000001</v>
      </c>
      <c r="L8497">
        <v>16.876709999999999</v>
      </c>
      <c r="M8497">
        <v>0.99991600000000003</v>
      </c>
      <c r="N8497">
        <v>0</v>
      </c>
      <c r="O8497">
        <v>2.4202899999999999E-3</v>
      </c>
      <c r="P8497">
        <v>0.99818090000000004</v>
      </c>
      <c r="Q8497">
        <v>5.0521570000000002E-2</v>
      </c>
      <c r="R8497">
        <v>3.2904969999999999E-2</v>
      </c>
      <c r="S8497">
        <v>3.0018919999999998</v>
      </c>
      <c r="T8497">
        <v>-0.26135989999999998</v>
      </c>
      <c r="U8497">
        <v>0.51049800000000001</v>
      </c>
      <c r="V8497">
        <v>-3.0791510000000001E-2</v>
      </c>
      <c r="W8497">
        <v>6.3088279999999997E-2</v>
      </c>
      <c r="X8497">
        <v>0.9975328</v>
      </c>
      <c r="Y8497">
        <v>-0.1646685</v>
      </c>
      <c r="Z8497">
        <v>6.8953510000000001E-3</v>
      </c>
      <c r="AA8497">
        <v>0.9863248</v>
      </c>
      <c r="AB8497">
        <v>28</v>
      </c>
      <c r="AC8497">
        <v>12.6229</v>
      </c>
      <c r="AD8497">
        <v>-1.112352320124</v>
      </c>
      <c r="AE8497">
        <v>2.1711499999999999</v>
      </c>
      <c r="AF8497">
        <v>-2.12456594357324</v>
      </c>
      <c r="AG8497">
        <v>-1.112352320124</v>
      </c>
      <c r="AH8497">
        <v>12.5335860364985</v>
      </c>
      <c r="AI8497">
        <v>95.000730601444999</v>
      </c>
      <c r="AJ8497">
        <v>99.620746863278399</v>
      </c>
      <c r="AK8497">
        <v>12.7609516520904</v>
      </c>
      <c r="AL8497">
        <v>86.382905572352101</v>
      </c>
      <c r="AM8497">
        <v>91.768025635835897</v>
      </c>
      <c r="AN8497">
        <v>0.99999996761863796</v>
      </c>
    </row>
    <row r="8498" spans="1:40" x14ac:dyDescent="0.25">
      <c r="A8498" t="str">
        <f>"20190312150855289"</f>
        <v>20190312150855289</v>
      </c>
      <c r="B8498" t="str">
        <f>"1552374535278608"</f>
        <v>1552374535278608</v>
      </c>
      <c r="C8498" t="s">
        <v>40</v>
      </c>
      <c r="D8498">
        <v>4.860703</v>
      </c>
      <c r="E8498">
        <v>0.45024639999999999</v>
      </c>
      <c r="F8498" t="s">
        <v>83</v>
      </c>
      <c r="G8498">
        <v>-367.29930000000002</v>
      </c>
      <c r="H8498" s="1">
        <v>-1.3793249999999999E-6</v>
      </c>
      <c r="I8498">
        <v>19.039819999999999</v>
      </c>
      <c r="J8498">
        <v>-379.9153</v>
      </c>
      <c r="K8498">
        <v>1.112301</v>
      </c>
      <c r="L8498">
        <v>16.878139999999998</v>
      </c>
      <c r="M8498">
        <v>0.99991260000000004</v>
      </c>
      <c r="N8498">
        <v>0</v>
      </c>
      <c r="O8498">
        <v>3.5355059999999999E-3</v>
      </c>
      <c r="P8498">
        <v>0.99820549999999997</v>
      </c>
      <c r="Q8498">
        <v>5.0491469999999997E-2</v>
      </c>
      <c r="R8498">
        <v>3.2196990000000002E-2</v>
      </c>
      <c r="S8498">
        <v>3.0019230000000001</v>
      </c>
      <c r="T8498">
        <v>-0.26199939999999999</v>
      </c>
      <c r="U8498">
        <v>0.50949100000000003</v>
      </c>
      <c r="V8498">
        <v>-2.8962580000000002E-2</v>
      </c>
      <c r="W8498">
        <v>6.3069719999999996E-2</v>
      </c>
      <c r="X8498">
        <v>0.99758880000000005</v>
      </c>
      <c r="Y8498">
        <v>-0.1632516</v>
      </c>
      <c r="Z8498">
        <v>6.7545449999999998E-3</v>
      </c>
      <c r="AA8498">
        <v>0.98656140000000003</v>
      </c>
      <c r="AB8498">
        <v>28</v>
      </c>
      <c r="AC8498">
        <v>12.6159999999999</v>
      </c>
      <c r="AD8498">
        <v>-1.112302379325</v>
      </c>
      <c r="AE8498">
        <v>2.16168</v>
      </c>
      <c r="AF8498">
        <v>-2.1011916897002498</v>
      </c>
      <c r="AG8498">
        <v>-1.112302379325</v>
      </c>
      <c r="AH8498">
        <v>12.5289515060136</v>
      </c>
      <c r="AI8498">
        <v>95.003818879745893</v>
      </c>
      <c r="AJ8498">
        <v>99.520302872078005</v>
      </c>
      <c r="AK8498">
        <v>12.7525232381658</v>
      </c>
      <c r="AL8498">
        <v>86.383971283740394</v>
      </c>
      <c r="AM8498">
        <v>91.662977363990905</v>
      </c>
      <c r="AN8498">
        <v>1.0000000172532799</v>
      </c>
    </row>
    <row r="8499" spans="1:40" x14ac:dyDescent="0.25">
      <c r="A8499" t="str">
        <f>"20190312150855301"</f>
        <v>20190312150855301</v>
      </c>
      <c r="B8499" t="str">
        <f>"1552374535288367"</f>
        <v>1552374535288367</v>
      </c>
      <c r="C8499" t="s">
        <v>40</v>
      </c>
      <c r="D8499">
        <v>5.5350149999999996</v>
      </c>
      <c r="E8499">
        <v>0.45024639999999999</v>
      </c>
      <c r="F8499" t="s">
        <v>83</v>
      </c>
      <c r="G8499">
        <v>-367.22829999999999</v>
      </c>
      <c r="H8499" s="1">
        <v>-1.4167619999999999E-6</v>
      </c>
      <c r="I8499">
        <v>19.018059999999998</v>
      </c>
      <c r="J8499">
        <v>-379.76679999999999</v>
      </c>
      <c r="K8499">
        <v>1.1122430000000001</v>
      </c>
      <c r="L8499">
        <v>16.88</v>
      </c>
      <c r="M8499">
        <v>0.9999074</v>
      </c>
      <c r="N8499">
        <v>0</v>
      </c>
      <c r="O8499">
        <v>4.7803380000000003E-3</v>
      </c>
      <c r="P8499">
        <v>0.99823209999999996</v>
      </c>
      <c r="Q8499">
        <v>5.0349739999999997E-2</v>
      </c>
      <c r="R8499">
        <v>3.158068E-2</v>
      </c>
      <c r="S8499">
        <v>3.0023499999999999</v>
      </c>
      <c r="T8499">
        <v>-0.26322459999999998</v>
      </c>
      <c r="U8499">
        <v>0.50640870000000004</v>
      </c>
      <c r="V8499">
        <v>-2.7093300000000001E-2</v>
      </c>
      <c r="W8499">
        <v>6.2938850000000005E-2</v>
      </c>
      <c r="X8499">
        <v>0.99764960000000003</v>
      </c>
      <c r="Y8499">
        <v>-0.16102279999999999</v>
      </c>
      <c r="Z8499">
        <v>6.5806450000000004E-3</v>
      </c>
      <c r="AA8499">
        <v>0.98692880000000005</v>
      </c>
      <c r="AB8499">
        <v>28</v>
      </c>
      <c r="AC8499">
        <v>12.538500000000001</v>
      </c>
      <c r="AD8499">
        <v>-1.112244416762</v>
      </c>
      <c r="AE8499">
        <v>2.1380599999999998</v>
      </c>
      <c r="AF8499">
        <v>-2.0623229256759998</v>
      </c>
      <c r="AG8499">
        <v>-1.112244416762</v>
      </c>
      <c r="AH8499">
        <v>12.4533538930974</v>
      </c>
      <c r="AI8499">
        <v>95.035485863502998</v>
      </c>
      <c r="AJ8499">
        <v>99.4030610142363</v>
      </c>
      <c r="AK8499">
        <v>12.671869896708699</v>
      </c>
      <c r="AL8499">
        <v>86.391484573481605</v>
      </c>
      <c r="AM8499">
        <v>91.555606589675804</v>
      </c>
      <c r="AN8499">
        <v>1.00000003506218</v>
      </c>
    </row>
    <row r="8500" spans="1:40" x14ac:dyDescent="0.25">
      <c r="A8500" t="str">
        <f>"20190312150855312"</f>
        <v>20190312150855312</v>
      </c>
      <c r="B8500" t="str">
        <f>"1552374535307887"</f>
        <v>1552374535307887</v>
      </c>
      <c r="C8500" t="s">
        <v>40</v>
      </c>
      <c r="D8500">
        <v>5.0829199999999997</v>
      </c>
      <c r="E8500">
        <v>0.50261629999999902</v>
      </c>
      <c r="F8500" t="s">
        <v>83</v>
      </c>
      <c r="G8500">
        <v>-367.09879999999998</v>
      </c>
      <c r="H8500" s="1">
        <v>-1.4797479999999901E-6</v>
      </c>
      <c r="I8500">
        <v>19.008130000000001</v>
      </c>
      <c r="J8500">
        <v>-379.61669999999998</v>
      </c>
      <c r="K8500">
        <v>1.1121810000000001</v>
      </c>
      <c r="L8500">
        <v>16.881989999999998</v>
      </c>
      <c r="M8500">
        <v>0.99990089999999998</v>
      </c>
      <c r="N8500">
        <v>0</v>
      </c>
      <c r="O8500">
        <v>5.9939199999999998E-3</v>
      </c>
      <c r="P8500">
        <v>0.99825229999999998</v>
      </c>
      <c r="Q8500">
        <v>5.0526010000000003E-2</v>
      </c>
      <c r="R8500">
        <v>3.0652410000000001E-2</v>
      </c>
      <c r="S8500">
        <v>3.0026860000000002</v>
      </c>
      <c r="T8500">
        <v>-0.2636328</v>
      </c>
      <c r="U8500">
        <v>0.50442500000000001</v>
      </c>
      <c r="V8500">
        <v>-2.4945559999999999E-2</v>
      </c>
      <c r="W8500">
        <v>6.3127310000000006E-2</v>
      </c>
      <c r="X8500">
        <v>0.99769370000000002</v>
      </c>
      <c r="Y8500">
        <v>-0.1591823</v>
      </c>
      <c r="Z8500">
        <v>6.4047690000000003E-3</v>
      </c>
      <c r="AA8500">
        <v>0.98722849999999995</v>
      </c>
      <c r="AB8500">
        <v>28</v>
      </c>
      <c r="AC8500">
        <v>12.5178999999999</v>
      </c>
      <c r="AD8500">
        <v>-1.11218247974799</v>
      </c>
      <c r="AE8500">
        <v>2.1261399999999901</v>
      </c>
      <c r="AF8500">
        <v>-2.0354474189443601</v>
      </c>
      <c r="AG8500">
        <v>-1.11218247974799</v>
      </c>
      <c r="AH8500">
        <v>12.435012216836199</v>
      </c>
      <c r="AI8500">
        <v>95.044137391188798</v>
      </c>
      <c r="AJ8500">
        <v>99.296123280638696</v>
      </c>
      <c r="AK8500">
        <v>12.649487139659501</v>
      </c>
      <c r="AL8500">
        <v>86.380665072712006</v>
      </c>
      <c r="AM8500">
        <v>91.4322808440552</v>
      </c>
      <c r="AN8500">
        <v>1.0000000286256101</v>
      </c>
    </row>
    <row r="8501" spans="1:40" x14ac:dyDescent="0.25">
      <c r="A8501" t="str">
        <f>"20190312150855331"</f>
        <v>20190312150855331</v>
      </c>
      <c r="B8501" t="str">
        <f>"1552374535328071"</f>
        <v>1552374535328071</v>
      </c>
      <c r="C8501" t="s">
        <v>40</v>
      </c>
      <c r="D8501">
        <v>4.9104539999999997</v>
      </c>
      <c r="E8501">
        <v>0.51495469999999999</v>
      </c>
      <c r="F8501" t="s">
        <v>83</v>
      </c>
      <c r="G8501">
        <v>-360.59699999999998</v>
      </c>
      <c r="H8501" s="1">
        <v>-4.839231E-6</v>
      </c>
      <c r="I8501">
        <v>17.395620000000001</v>
      </c>
      <c r="J8501">
        <v>-379.37819999999999</v>
      </c>
      <c r="K8501">
        <v>1.112088</v>
      </c>
      <c r="L8501">
        <v>16.885470000000002</v>
      </c>
      <c r="M8501">
        <v>0.9998882</v>
      </c>
      <c r="N8501">
        <v>0</v>
      </c>
      <c r="O8501">
        <v>7.8476819999999999E-3</v>
      </c>
      <c r="P8501">
        <v>0.99831219999999998</v>
      </c>
      <c r="Q8501">
        <v>5.0529930000000001E-2</v>
      </c>
      <c r="R8501">
        <v>2.862439E-2</v>
      </c>
      <c r="S8501">
        <v>3.0116269999999998</v>
      </c>
      <c r="T8501">
        <v>-0.17610609999999999</v>
      </c>
      <c r="U8501">
        <v>8.1329349999999995E-2</v>
      </c>
      <c r="V8501">
        <v>-2.1051429999999999E-2</v>
      </c>
      <c r="W8501">
        <v>6.3150609999999996E-2</v>
      </c>
      <c r="X8501">
        <v>0.9977819</v>
      </c>
      <c r="Y8501">
        <v>-1.9129730000000001E-2</v>
      </c>
      <c r="Z8501">
        <v>1.0028750000000001E-4</v>
      </c>
      <c r="AA8501">
        <v>0.99981699999999996</v>
      </c>
      <c r="AB8501">
        <v>28</v>
      </c>
      <c r="AC8501">
        <v>18.781199999999998</v>
      </c>
      <c r="AD8501">
        <v>-1.1120928392310001</v>
      </c>
      <c r="AE8501">
        <v>0.51014999999999899</v>
      </c>
      <c r="AF8501">
        <v>-0.36146702533098801</v>
      </c>
      <c r="AG8501">
        <v>-1.1120928392310001</v>
      </c>
      <c r="AH8501">
        <v>18.7190412649683</v>
      </c>
      <c r="AI8501">
        <v>93.399297229503205</v>
      </c>
      <c r="AJ8501">
        <v>91.106251173841997</v>
      </c>
      <c r="AK8501">
        <v>18.755530245051901</v>
      </c>
      <c r="AL8501">
        <v>86.379327094819104</v>
      </c>
      <c r="AM8501">
        <v>91.208660100650604</v>
      </c>
      <c r="AN8501">
        <v>0.99999994110801105</v>
      </c>
    </row>
    <row r="8502" spans="1:40" x14ac:dyDescent="0.25">
      <c r="A8502" t="str">
        <f>"20190312150855343"</f>
        <v>20190312150855343</v>
      </c>
      <c r="B8502" t="str">
        <f>"1552374535337831"</f>
        <v>1552374535337831</v>
      </c>
      <c r="C8502" t="s">
        <v>40</v>
      </c>
      <c r="D8502">
        <v>4.8887099999999997</v>
      </c>
      <c r="E8502">
        <v>0.51776670000000002</v>
      </c>
      <c r="F8502" t="s">
        <v>42</v>
      </c>
      <c r="G8502">
        <v>-359.39249999999998</v>
      </c>
      <c r="H8502" s="1">
        <v>-9.6100289999999992E-7</v>
      </c>
      <c r="I8502">
        <v>16.72897</v>
      </c>
      <c r="J8502">
        <v>-379.23020000000002</v>
      </c>
      <c r="K8502">
        <v>1.112031</v>
      </c>
      <c r="L8502">
        <v>16.88776</v>
      </c>
      <c r="M8502">
        <v>0.99987890000000001</v>
      </c>
      <c r="N8502">
        <v>0</v>
      </c>
      <c r="O8502">
        <v>8.9583649999999994E-3</v>
      </c>
      <c r="P8502">
        <v>0.99834069999999997</v>
      </c>
      <c r="Q8502">
        <v>5.0396719999999999E-2</v>
      </c>
      <c r="R8502">
        <v>2.7859760000000001E-2</v>
      </c>
      <c r="S8502">
        <v>3.0142519999999999</v>
      </c>
      <c r="T8502">
        <v>-0.16772590000000001</v>
      </c>
      <c r="U8502">
        <v>-2.3590090000000001E-2</v>
      </c>
      <c r="V8502">
        <v>-1.9167940000000001E-2</v>
      </c>
      <c r="W8502">
        <v>6.3025949999999997E-2</v>
      </c>
      <c r="X8502">
        <v>0.99782780000000004</v>
      </c>
      <c r="Y8502">
        <v>1.6744680000000001E-2</v>
      </c>
      <c r="Z8502">
        <v>-9.6363429999999999E-4</v>
      </c>
      <c r="AA8502">
        <v>0.99985930000000001</v>
      </c>
      <c r="AB8502">
        <v>28</v>
      </c>
      <c r="AC8502">
        <v>19.837700000000002</v>
      </c>
      <c r="AD8502">
        <v>-1.1120319610028999</v>
      </c>
      <c r="AE8502">
        <v>-0.15878999999999899</v>
      </c>
      <c r="AF8502">
        <v>0.33545732479804302</v>
      </c>
      <c r="AG8502">
        <v>-1.1120319610028999</v>
      </c>
      <c r="AH8502">
        <v>19.773350802068801</v>
      </c>
      <c r="AI8502">
        <v>93.218400109952995</v>
      </c>
      <c r="AJ8502">
        <v>89.028063302804597</v>
      </c>
      <c r="AK8502">
        <v>19.8074367004095</v>
      </c>
      <c r="AL8502">
        <v>86.386484054547907</v>
      </c>
      <c r="AM8502">
        <v>91.100497506629097</v>
      </c>
      <c r="AN8502">
        <v>0.99999999937504302</v>
      </c>
    </row>
    <row r="8503" spans="1:40" x14ac:dyDescent="0.25">
      <c r="A8503" t="str">
        <f>"20190312150855355"</f>
        <v>20190312150855355</v>
      </c>
      <c r="B8503" t="str">
        <f>"1552374535348567"</f>
        <v>1552374535348567</v>
      </c>
      <c r="C8503" t="s">
        <v>40</v>
      </c>
      <c r="D8503">
        <v>4.8898039999999998</v>
      </c>
      <c r="E8503">
        <v>0.51991869999999996</v>
      </c>
      <c r="F8503" t="s">
        <v>42</v>
      </c>
      <c r="G8503">
        <v>-358.96269999999998</v>
      </c>
      <c r="H8503" s="1">
        <v>-1.15152E-6</v>
      </c>
      <c r="I8503">
        <v>16.56269</v>
      </c>
      <c r="J8503">
        <v>-379.0865</v>
      </c>
      <c r="K8503">
        <v>1.1119760000000001</v>
      </c>
      <c r="L8503">
        <v>16.890170000000001</v>
      </c>
      <c r="M8503">
        <v>0.99986929999999996</v>
      </c>
      <c r="N8503">
        <v>0</v>
      </c>
      <c r="O8503">
        <v>9.9827170000000003E-3</v>
      </c>
      <c r="P8503">
        <v>0.99835399999999996</v>
      </c>
      <c r="Q8503">
        <v>5.0653950000000003E-2</v>
      </c>
      <c r="R8503">
        <v>2.690679E-2</v>
      </c>
      <c r="S8503">
        <v>3.0146790000000001</v>
      </c>
      <c r="T8503">
        <v>-0.16540859999999999</v>
      </c>
      <c r="U8503">
        <v>-4.8339840000000002E-2</v>
      </c>
      <c r="V8503">
        <v>-1.718447E-2</v>
      </c>
      <c r="W8503">
        <v>6.3291479999999997E-2</v>
      </c>
      <c r="X8503">
        <v>0.99784709999999999</v>
      </c>
      <c r="Y8503">
        <v>2.5960150000000001E-2</v>
      </c>
      <c r="Z8503">
        <v>-1.2589369999999999E-3</v>
      </c>
      <c r="AA8503">
        <v>0.99966219999999995</v>
      </c>
      <c r="AB8503">
        <v>28</v>
      </c>
      <c r="AC8503">
        <v>20.123799999999999</v>
      </c>
      <c r="AD8503">
        <v>-1.1119771515200001</v>
      </c>
      <c r="AE8503">
        <v>-0.32748000000000099</v>
      </c>
      <c r="AF8503">
        <v>0.52676218111235695</v>
      </c>
      <c r="AG8503">
        <v>-1.1119771515200001</v>
      </c>
      <c r="AH8503">
        <v>20.058299582166399</v>
      </c>
      <c r="AI8503">
        <v>93.171981657938005</v>
      </c>
      <c r="AJ8503">
        <v>88.495669377675398</v>
      </c>
      <c r="AK8503">
        <v>20.0960034262758</v>
      </c>
      <c r="AL8503">
        <v>86.371239786917499</v>
      </c>
      <c r="AM8503">
        <v>90.986624387267398</v>
      </c>
      <c r="AN8503">
        <v>0.99999997621408998</v>
      </c>
    </row>
    <row r="8504" spans="1:40" x14ac:dyDescent="0.25">
      <c r="A8504" t="str">
        <f>"20190312150855367"</f>
        <v>20190312150855367</v>
      </c>
      <c r="B8504" t="str">
        <f>"1552374535358328"</f>
        <v>1552374535358328</v>
      </c>
      <c r="C8504" t="s">
        <v>40</v>
      </c>
      <c r="D8504">
        <v>4.9008209999999996</v>
      </c>
      <c r="E8504">
        <v>0.52154350000000005</v>
      </c>
      <c r="F8504" t="s">
        <v>42</v>
      </c>
      <c r="G8504">
        <v>-358.33420000000001</v>
      </c>
      <c r="H8504" s="1">
        <v>-1.403884E-6</v>
      </c>
      <c r="I8504">
        <v>16.418089999999999</v>
      </c>
      <c r="J8504">
        <v>-378.9461</v>
      </c>
      <c r="K8504">
        <v>1.1119209999999999</v>
      </c>
      <c r="L8504">
        <v>16.89255</v>
      </c>
      <c r="M8504">
        <v>0.99985900000000005</v>
      </c>
      <c r="N8504">
        <v>0</v>
      </c>
      <c r="O8504">
        <v>1.0967380000000001E-2</v>
      </c>
      <c r="P8504">
        <v>0.99836380000000002</v>
      </c>
      <c r="Q8504">
        <v>5.092298E-2</v>
      </c>
      <c r="R8504">
        <v>2.6018050000000001E-2</v>
      </c>
      <c r="S8504">
        <v>3.0149539999999999</v>
      </c>
      <c r="T8504">
        <v>-0.16155169999999999</v>
      </c>
      <c r="U8504">
        <v>-6.8572999999999995E-2</v>
      </c>
      <c r="V8504">
        <v>-1.530567E-2</v>
      </c>
      <c r="W8504">
        <v>6.3567960000000007E-2</v>
      </c>
      <c r="X8504">
        <v>0.99786010000000003</v>
      </c>
      <c r="Y8504">
        <v>3.3638519999999998E-2</v>
      </c>
      <c r="Z8504">
        <v>-1.487702E-3</v>
      </c>
      <c r="AA8504">
        <v>0.99943300000000002</v>
      </c>
      <c r="AB8504">
        <v>28</v>
      </c>
      <c r="AC8504">
        <v>20.611899999999899</v>
      </c>
      <c r="AD8504">
        <v>-1.1119224038840001</v>
      </c>
      <c r="AE8504">
        <v>-0.47445999999999999</v>
      </c>
      <c r="AF8504">
        <v>0.69847669424146797</v>
      </c>
      <c r="AG8504">
        <v>-1.1119224038840001</v>
      </c>
      <c r="AH8504">
        <v>20.545697066764401</v>
      </c>
      <c r="AI8504">
        <v>93.096010550361797</v>
      </c>
      <c r="AJ8504">
        <v>88.052908126195504</v>
      </c>
      <c r="AK8504">
        <v>20.5876154297653</v>
      </c>
      <c r="AL8504">
        <v>86.355366641699405</v>
      </c>
      <c r="AM8504">
        <v>90.878761992936305</v>
      </c>
      <c r="AN8504">
        <v>0.99999996412235903</v>
      </c>
    </row>
    <row r="8505" spans="1:40" x14ac:dyDescent="0.25">
      <c r="A8505" t="str">
        <f>"20190312150855377"</f>
        <v>20190312150855377</v>
      </c>
      <c r="B8505" t="str">
        <f>"1552374535368087"</f>
        <v>1552374535368087</v>
      </c>
      <c r="C8505" t="s">
        <v>40</v>
      </c>
      <c r="D8505">
        <v>4.8907319999999999</v>
      </c>
      <c r="E8505">
        <v>0.52280839999999995</v>
      </c>
      <c r="F8505" t="s">
        <v>42</v>
      </c>
      <c r="G8505">
        <v>-357.73329999999999</v>
      </c>
      <c r="H8505" s="1">
        <v>-1.639947E-6</v>
      </c>
      <c r="I8505">
        <v>16.29945</v>
      </c>
      <c r="J8505">
        <v>-378.79880000000003</v>
      </c>
      <c r="K8505">
        <v>1.111866</v>
      </c>
      <c r="L8505">
        <v>16.895229999999898</v>
      </c>
      <c r="M8505">
        <v>0.99984779999999995</v>
      </c>
      <c r="N8505">
        <v>0</v>
      </c>
      <c r="O8505">
        <v>1.194543E-2</v>
      </c>
      <c r="P8505">
        <v>0.99839029999999995</v>
      </c>
      <c r="Q8505">
        <v>5.0891810000000003E-2</v>
      </c>
      <c r="R8505">
        <v>2.5043559999999999E-2</v>
      </c>
      <c r="S8505">
        <v>3.0151669999999999</v>
      </c>
      <c r="T8505">
        <v>-0.1580471</v>
      </c>
      <c r="U8505">
        <v>-8.4289550000000005E-2</v>
      </c>
      <c r="V8505">
        <v>-1.334482E-2</v>
      </c>
      <c r="W8505">
        <v>6.3543230000000006E-2</v>
      </c>
      <c r="X8505">
        <v>0.9978899</v>
      </c>
      <c r="Y8505">
        <v>3.9813000000000001E-2</v>
      </c>
      <c r="Z8505">
        <v>-1.66819E-3</v>
      </c>
      <c r="AA8505">
        <v>0.99920580000000003</v>
      </c>
      <c r="AB8505">
        <v>28</v>
      </c>
      <c r="AC8505">
        <v>21.0655</v>
      </c>
      <c r="AD8505">
        <v>-1.111867639947</v>
      </c>
      <c r="AE8505">
        <v>-0.59577999999999698</v>
      </c>
      <c r="AF8505">
        <v>0.84504198033745703</v>
      </c>
      <c r="AG8505">
        <v>-1.111867639947</v>
      </c>
      <c r="AH8505">
        <v>20.9984269531043</v>
      </c>
      <c r="AI8505">
        <v>93.028536713380603</v>
      </c>
      <c r="AJ8505">
        <v>87.695483235871393</v>
      </c>
      <c r="AK8505">
        <v>21.044815991168701</v>
      </c>
      <c r="AL8505">
        <v>86.356786711440407</v>
      </c>
      <c r="AM8505">
        <v>90.766172990883902</v>
      </c>
      <c r="AN8505">
        <v>1.0000000394108299</v>
      </c>
    </row>
    <row r="8506" spans="1:40" x14ac:dyDescent="0.25">
      <c r="A8506" t="str">
        <f>"20190312150855390"</f>
        <v>20190312150855390</v>
      </c>
      <c r="B8506" t="str">
        <f>"1552374535377846"</f>
        <v>1552374535377846</v>
      </c>
      <c r="C8506" t="s">
        <v>40</v>
      </c>
      <c r="D8506">
        <v>4.9341280000000003</v>
      </c>
      <c r="E8506">
        <v>0.52386880000000002</v>
      </c>
      <c r="F8506" t="s">
        <v>42</v>
      </c>
      <c r="G8506">
        <v>-357.59500000000003</v>
      </c>
      <c r="H8506" s="1">
        <v>-1.710409E-6</v>
      </c>
      <c r="I8506">
        <v>16.21144</v>
      </c>
      <c r="J8506">
        <v>-378.65359999999998</v>
      </c>
      <c r="K8506">
        <v>1.11181</v>
      </c>
      <c r="L8506">
        <v>16.897950000000002</v>
      </c>
      <c r="M8506">
        <v>0.99983630000000001</v>
      </c>
      <c r="N8506">
        <v>0</v>
      </c>
      <c r="O8506">
        <v>1.288016E-2</v>
      </c>
      <c r="P8506">
        <v>0.99839690000000003</v>
      </c>
      <c r="Q8506">
        <v>5.1157920000000003E-2</v>
      </c>
      <c r="R8506">
        <v>2.422382E-2</v>
      </c>
      <c r="S8506">
        <v>3.0153500000000002</v>
      </c>
      <c r="T8506">
        <v>-0.1581167</v>
      </c>
      <c r="U8506">
        <v>-9.7228999999999996E-2</v>
      </c>
      <c r="V8506">
        <v>-1.158355E-2</v>
      </c>
      <c r="W8506">
        <v>6.3815410000000003E-2</v>
      </c>
      <c r="X8506">
        <v>0.99789450000000002</v>
      </c>
      <c r="Y8506">
        <v>4.5020289999999998E-2</v>
      </c>
      <c r="Z8506">
        <v>-1.854091E-3</v>
      </c>
      <c r="AA8506">
        <v>0.99898430000000005</v>
      </c>
      <c r="AB8506">
        <v>28</v>
      </c>
      <c r="AC8506">
        <v>21.058599999999899</v>
      </c>
      <c r="AD8506">
        <v>-1.111811710409</v>
      </c>
      <c r="AE8506">
        <v>-0.68651000000000195</v>
      </c>
      <c r="AF8506">
        <v>0.95505376560913802</v>
      </c>
      <c r="AG8506">
        <v>-1.111811710409</v>
      </c>
      <c r="AH8506">
        <v>20.9895650106426</v>
      </c>
      <c r="AI8506">
        <v>93.028980496700797</v>
      </c>
      <c r="AJ8506">
        <v>87.394761025588494</v>
      </c>
      <c r="AK8506">
        <v>21.040677087741201</v>
      </c>
      <c r="AL8506">
        <v>86.341160120588</v>
      </c>
      <c r="AM8506">
        <v>90.665059001246703</v>
      </c>
      <c r="AN8506">
        <v>1.0000000091571599</v>
      </c>
    </row>
    <row r="8507" spans="1:40" x14ac:dyDescent="0.25">
      <c r="A8507" t="str">
        <f>"20190312150855403"</f>
        <v>20190312150855403</v>
      </c>
      <c r="B8507" t="str">
        <f>"1552374535398343"</f>
        <v>1552374535398343</v>
      </c>
      <c r="C8507" t="s">
        <v>40</v>
      </c>
      <c r="D8507">
        <v>4.9192099999999996</v>
      </c>
      <c r="E8507">
        <v>0.52536890000000003</v>
      </c>
      <c r="F8507" t="s">
        <v>42</v>
      </c>
      <c r="G8507">
        <v>-357.1832</v>
      </c>
      <c r="H8507" s="1">
        <v>-1.8729290000000001E-6</v>
      </c>
      <c r="I8507">
        <v>16.12734</v>
      </c>
      <c r="J8507">
        <v>-378.4871</v>
      </c>
      <c r="K8507">
        <v>1.1117520000000001</v>
      </c>
      <c r="L8507">
        <v>16.901209999999999</v>
      </c>
      <c r="M8507">
        <v>0.9998224</v>
      </c>
      <c r="N8507">
        <v>0</v>
      </c>
      <c r="O8507">
        <v>1.3913439999999999E-2</v>
      </c>
      <c r="P8507">
        <v>0.99840819999999997</v>
      </c>
      <c r="Q8507">
        <v>5.1198500000000001E-2</v>
      </c>
      <c r="R8507">
        <v>2.36735E-2</v>
      </c>
      <c r="S8507">
        <v>3.0154109999999998</v>
      </c>
      <c r="T8507">
        <v>-0.1561485</v>
      </c>
      <c r="U8507">
        <v>-0.1082153</v>
      </c>
      <c r="V8507">
        <v>-9.9918479999999994E-3</v>
      </c>
      <c r="W8507">
        <v>6.3860630000000002E-2</v>
      </c>
      <c r="X8507">
        <v>0.99790880000000004</v>
      </c>
      <c r="Y8507">
        <v>4.9681370000000002E-2</v>
      </c>
      <c r="Z8507">
        <v>-2.0049220000000001E-3</v>
      </c>
      <c r="AA8507">
        <v>0.99876310000000001</v>
      </c>
      <c r="AB8507">
        <v>28</v>
      </c>
      <c r="AC8507">
        <v>21.303899999999999</v>
      </c>
      <c r="AD8507">
        <v>-1.111753872929</v>
      </c>
      <c r="AE8507">
        <v>-0.77386999999999795</v>
      </c>
      <c r="AF8507">
        <v>1.06732672044679</v>
      </c>
      <c r="AG8507">
        <v>-1.111753872929</v>
      </c>
      <c r="AH8507">
        <v>21.233320480080401</v>
      </c>
      <c r="AI8507">
        <v>92.993436088367901</v>
      </c>
      <c r="AJ8507">
        <v>87.122358301888994</v>
      </c>
      <c r="AK8507">
        <v>21.2891775701165</v>
      </c>
      <c r="AL8507">
        <v>86.338563858376801</v>
      </c>
      <c r="AM8507">
        <v>90.573671250548998</v>
      </c>
      <c r="AN8507">
        <v>0.99999999510394599</v>
      </c>
    </row>
    <row r="8508" spans="1:40" x14ac:dyDescent="0.25">
      <c r="A8508" t="str">
        <f>"20190312150855416"</f>
        <v>20190312150855416</v>
      </c>
      <c r="B8508" t="str">
        <f>"1552374535408103"</f>
        <v>1552374535408103</v>
      </c>
      <c r="C8508" t="s">
        <v>40</v>
      </c>
      <c r="D8508">
        <v>4.9097839999999904</v>
      </c>
      <c r="E8508">
        <v>0.52578539999999996</v>
      </c>
      <c r="F8508" t="s">
        <v>42</v>
      </c>
      <c r="G8508">
        <v>-357.15899999999999</v>
      </c>
      <c r="H8508" s="1">
        <v>-1.904748E-6</v>
      </c>
      <c r="I8508">
        <v>16.038679999999999</v>
      </c>
      <c r="J8508">
        <v>-378.322</v>
      </c>
      <c r="K8508">
        <v>1.1116900000000001</v>
      </c>
      <c r="L8508">
        <v>16.90457</v>
      </c>
      <c r="M8508">
        <v>0.99980860000000005</v>
      </c>
      <c r="N8508">
        <v>0</v>
      </c>
      <c r="O8508">
        <v>1.4872689999999999E-2</v>
      </c>
      <c r="P8508">
        <v>0.9984229</v>
      </c>
      <c r="Q8508">
        <v>5.120835E-2</v>
      </c>
      <c r="R8508">
        <v>2.30163E-2</v>
      </c>
      <c r="S8508">
        <v>3.0157470000000002</v>
      </c>
      <c r="T8508">
        <v>-0.1571997</v>
      </c>
      <c r="U8508">
        <v>-0.12194820000000001</v>
      </c>
      <c r="V8508">
        <v>-8.3663580000000008E-3</v>
      </c>
      <c r="W8508">
        <v>6.3874429999999996E-2</v>
      </c>
      <c r="X8508">
        <v>0.99792289999999995</v>
      </c>
      <c r="Y8508">
        <v>5.516646E-2</v>
      </c>
      <c r="Z8508">
        <v>-2.2107670000000002E-3</v>
      </c>
      <c r="AA8508">
        <v>0.99847470000000005</v>
      </c>
      <c r="AB8508">
        <v>28</v>
      </c>
      <c r="AC8508">
        <v>21.162999999999901</v>
      </c>
      <c r="AD8508">
        <v>-1.1116919047480001</v>
      </c>
      <c r="AE8508">
        <v>-0.86589000000000005</v>
      </c>
      <c r="AF8508">
        <v>1.1773270961050899</v>
      </c>
      <c r="AG8508">
        <v>-1.1116919047480001</v>
      </c>
      <c r="AH8508">
        <v>21.089682164883399</v>
      </c>
      <c r="AI8508">
        <v>93.012734480742793</v>
      </c>
      <c r="AJ8508">
        <v>86.804791528082106</v>
      </c>
      <c r="AK8508">
        <v>21.151752924949399</v>
      </c>
      <c r="AL8508">
        <v>86.337771674362401</v>
      </c>
      <c r="AM8508">
        <v>90.480343494284895</v>
      </c>
      <c r="AN8508">
        <v>1.0000000265491999</v>
      </c>
    </row>
    <row r="8509" spans="1:40" x14ac:dyDescent="0.25">
      <c r="A8509" t="str">
        <f>"20190312150855434"</f>
        <v>20190312150855434</v>
      </c>
      <c r="B8509" t="str">
        <f>"1552374535428180"</f>
        <v>1552374535428180</v>
      </c>
      <c r="C8509" t="s">
        <v>40</v>
      </c>
      <c r="D8509">
        <v>5.2775610000000004</v>
      </c>
      <c r="E8509">
        <v>0.52653859999999997</v>
      </c>
      <c r="F8509" t="s">
        <v>42</v>
      </c>
      <c r="G8509">
        <v>-357.28620000000001</v>
      </c>
      <c r="H8509" s="1">
        <v>-1.8671849999999999E-6</v>
      </c>
      <c r="I8509">
        <v>16.01727</v>
      </c>
      <c r="J8509">
        <v>-378.11169999999998</v>
      </c>
      <c r="K8509">
        <v>1.1116090000000001</v>
      </c>
      <c r="L8509">
        <v>16.90897</v>
      </c>
      <c r="M8509">
        <v>0.99979070000000003</v>
      </c>
      <c r="N8509">
        <v>0</v>
      </c>
      <c r="O8509">
        <v>1.603599E-2</v>
      </c>
      <c r="P8509">
        <v>0.99844690000000003</v>
      </c>
      <c r="Q8509">
        <v>5.145483E-2</v>
      </c>
      <c r="R8509">
        <v>2.136072E-2</v>
      </c>
      <c r="S8509">
        <v>3.0158689999999999</v>
      </c>
      <c r="T8509">
        <v>-0.1593812</v>
      </c>
      <c r="U8509">
        <v>-0.12719730000000001</v>
      </c>
      <c r="V8509">
        <v>-5.5368539999999999E-3</v>
      </c>
      <c r="W8509">
        <v>6.4127589999999998E-2</v>
      </c>
      <c r="X8509">
        <v>0.99792639999999999</v>
      </c>
      <c r="Y8509">
        <v>5.8052930000000003E-2</v>
      </c>
      <c r="Z8509">
        <v>-2.3788360000000001E-3</v>
      </c>
      <c r="AA8509">
        <v>0.9983107</v>
      </c>
      <c r="AB8509">
        <v>28</v>
      </c>
      <c r="AC8509">
        <v>20.825499999999899</v>
      </c>
      <c r="AD8509">
        <v>-1.111610867185</v>
      </c>
      <c r="AE8509">
        <v>-0.89170000000000005</v>
      </c>
      <c r="AF8509">
        <v>1.22209423349722</v>
      </c>
      <c r="AG8509">
        <v>-1.111610867185</v>
      </c>
      <c r="AH8509">
        <v>20.749511081186501</v>
      </c>
      <c r="AI8509">
        <v>93.061272938677305</v>
      </c>
      <c r="AJ8509">
        <v>86.629316029406795</v>
      </c>
      <c r="AK8509">
        <v>20.8151724264747</v>
      </c>
      <c r="AL8509">
        <v>86.323236970799599</v>
      </c>
      <c r="AM8509">
        <v>90.317894296334003</v>
      </c>
      <c r="AN8509">
        <v>1.0000000521841901</v>
      </c>
    </row>
    <row r="8510" spans="1:40" x14ac:dyDescent="0.25">
      <c r="A8510" t="str">
        <f>"20190312150855446"</f>
        <v>20190312150855446</v>
      </c>
      <c r="B8510" t="str">
        <f>"1552374535437940"</f>
        <v>1552374535437940</v>
      </c>
      <c r="C8510" t="s">
        <v>40</v>
      </c>
      <c r="D8510">
        <v>4.9180820000000001</v>
      </c>
      <c r="E8510">
        <v>0.5268081</v>
      </c>
      <c r="F8510" t="s">
        <v>42</v>
      </c>
      <c r="G8510">
        <v>-356.81950000000001</v>
      </c>
      <c r="H8510" s="1">
        <v>-2.0487579999999999E-6</v>
      </c>
      <c r="I8510">
        <v>15.931760000000001</v>
      </c>
      <c r="J8510">
        <v>-377.94549999999998</v>
      </c>
      <c r="K8510">
        <v>1.111545</v>
      </c>
      <c r="L8510">
        <v>16.912569999999999</v>
      </c>
      <c r="M8510">
        <v>0.99977629999999995</v>
      </c>
      <c r="N8510">
        <v>0</v>
      </c>
      <c r="O8510">
        <v>1.6908119999999999E-2</v>
      </c>
      <c r="P8510">
        <v>0.99845989999999996</v>
      </c>
      <c r="Q8510">
        <v>5.1517109999999998E-2</v>
      </c>
      <c r="R8510">
        <v>2.0590230000000001E-2</v>
      </c>
      <c r="S8510">
        <v>3.0157780000000001</v>
      </c>
      <c r="T8510">
        <v>-0.157445899999999</v>
      </c>
      <c r="U8510">
        <v>-0.1383972</v>
      </c>
      <c r="V8510">
        <v>-3.8861130000000001E-3</v>
      </c>
      <c r="W8510">
        <v>6.4192780000000005E-2</v>
      </c>
      <c r="X8510">
        <v>0.99792990000000004</v>
      </c>
      <c r="Y8510">
        <v>6.2619859999999999E-2</v>
      </c>
      <c r="Z8510">
        <v>-2.5144310000000001E-3</v>
      </c>
      <c r="AA8510">
        <v>0.99803430000000004</v>
      </c>
      <c r="AB8510">
        <v>28</v>
      </c>
      <c r="AC8510">
        <v>21.125999999999902</v>
      </c>
      <c r="AD8510">
        <v>-1.1115470487579999</v>
      </c>
      <c r="AE8510">
        <v>-0.98081000000000096</v>
      </c>
      <c r="AF8510">
        <v>1.3342139242764699</v>
      </c>
      <c r="AG8510">
        <v>-1.1115470487579999</v>
      </c>
      <c r="AH8510">
        <v>21.0482508851278</v>
      </c>
      <c r="AI8510">
        <v>93.016908065650696</v>
      </c>
      <c r="AJ8510">
        <v>86.372967703727497</v>
      </c>
      <c r="AK8510">
        <v>21.1197663093279</v>
      </c>
      <c r="AL8510">
        <v>86.319493771209494</v>
      </c>
      <c r="AM8510">
        <v>90.223118625983403</v>
      </c>
      <c r="AN8510">
        <v>0.99999995009619203</v>
      </c>
    </row>
    <row r="8511" spans="1:40" x14ac:dyDescent="0.25">
      <c r="A8511" t="str">
        <f>"20190312150855458"</f>
        <v>20190312150855458</v>
      </c>
      <c r="B8511" t="str">
        <f>"1552374535448675"</f>
        <v>1552374535448675</v>
      </c>
      <c r="C8511" t="s">
        <v>40</v>
      </c>
      <c r="D8511">
        <v>4.8809779999999998</v>
      </c>
      <c r="E8511">
        <v>0.52700419999999903</v>
      </c>
      <c r="F8511" t="s">
        <v>42</v>
      </c>
      <c r="G8511">
        <v>-356.2724</v>
      </c>
      <c r="H8511" s="1">
        <v>-2.2475699999999999E-6</v>
      </c>
      <c r="I8511">
        <v>15.88425</v>
      </c>
      <c r="J8511">
        <v>-377.79149999999998</v>
      </c>
      <c r="K8511">
        <v>1.1114889999999999</v>
      </c>
      <c r="L8511">
        <v>16.915990000000001</v>
      </c>
      <c r="M8511">
        <v>0.99976339999999997</v>
      </c>
      <c r="N8511">
        <v>0</v>
      </c>
      <c r="O8511">
        <v>1.7661820000000002E-2</v>
      </c>
      <c r="P8511">
        <v>0.99847209999999997</v>
      </c>
      <c r="Q8511">
        <v>5.1491660000000002E-2</v>
      </c>
      <c r="R8511">
        <v>2.0064789999999999E-2</v>
      </c>
      <c r="S8511">
        <v>3.0155639999999999</v>
      </c>
      <c r="T8511">
        <v>-0.15465909999999999</v>
      </c>
      <c r="U8511">
        <v>-0.14306640000000001</v>
      </c>
      <c r="V8511">
        <v>-2.5989400000000001E-3</v>
      </c>
      <c r="W8511">
        <v>6.4168989999999995E-2</v>
      </c>
      <c r="X8511">
        <v>0.99793569999999998</v>
      </c>
      <c r="Y8511">
        <v>6.4917059999999999E-2</v>
      </c>
      <c r="Z8511">
        <v>-2.5675229999999999E-3</v>
      </c>
      <c r="AA8511">
        <v>0.99788739999999998</v>
      </c>
      <c r="AB8511">
        <v>28</v>
      </c>
      <c r="AC8511">
        <v>21.519099999999899</v>
      </c>
      <c r="AD8511">
        <v>-1.1114912475699901</v>
      </c>
      <c r="AE8511">
        <v>-1.0317400000000001</v>
      </c>
      <c r="AF8511">
        <v>1.40792860061063</v>
      </c>
      <c r="AG8511">
        <v>-1.1114912475699901</v>
      </c>
      <c r="AH8511">
        <v>21.440449945803898</v>
      </c>
      <c r="AI8511">
        <v>92.961239229152895</v>
      </c>
      <c r="AJ8511">
        <v>86.242955969192195</v>
      </c>
      <c r="AK8511">
        <v>21.515356599795599</v>
      </c>
      <c r="AL8511">
        <v>86.320859976137996</v>
      </c>
      <c r="AM8511">
        <v>90.149215983107993</v>
      </c>
      <c r="AN8511">
        <v>1.00000003755061</v>
      </c>
    </row>
    <row r="8512" spans="1:40" x14ac:dyDescent="0.25">
      <c r="A8512" t="str">
        <f>"20190312150855469"</f>
        <v>20190312150855469</v>
      </c>
      <c r="B8512" t="str">
        <f>"1552374535458436"</f>
        <v>1552374535458436</v>
      </c>
      <c r="C8512" t="s">
        <v>40</v>
      </c>
      <c r="D8512">
        <v>4.9021160000000004</v>
      </c>
      <c r="E8512">
        <v>0.52712539999999997</v>
      </c>
      <c r="F8512" t="s">
        <v>42</v>
      </c>
      <c r="G8512">
        <v>-355.90859999999998</v>
      </c>
      <c r="H8512" s="1">
        <v>-2.4048849999999998E-6</v>
      </c>
      <c r="I8512">
        <v>15.8539799999999</v>
      </c>
      <c r="J8512">
        <v>-377.65780000000001</v>
      </c>
      <c r="K8512">
        <v>1.1114459999999999</v>
      </c>
      <c r="L8512">
        <v>16.919039999999999</v>
      </c>
      <c r="M8512">
        <v>0.99975199999999997</v>
      </c>
      <c r="N8512">
        <v>0</v>
      </c>
      <c r="O8512">
        <v>1.829182E-2</v>
      </c>
      <c r="P8512">
        <v>0.9984885</v>
      </c>
      <c r="Q8512">
        <v>5.1483559999999998E-2</v>
      </c>
      <c r="R8512">
        <v>1.92377E-2</v>
      </c>
      <c r="S8512">
        <v>3.0154420000000002</v>
      </c>
      <c r="T8512">
        <v>-0.1531621</v>
      </c>
      <c r="U8512">
        <v>-0.14633180000000001</v>
      </c>
      <c r="V8512">
        <v>-1.1342629999999999E-3</v>
      </c>
      <c r="W8512">
        <v>6.4162789999999997E-2</v>
      </c>
      <c r="X8512">
        <v>0.99793880000000001</v>
      </c>
      <c r="Y8512">
        <v>6.6624890000000006E-2</v>
      </c>
      <c r="Z8512">
        <v>-2.6180280000000001E-3</v>
      </c>
      <c r="AA8512">
        <v>0.99777470000000001</v>
      </c>
      <c r="AB8512">
        <v>28</v>
      </c>
      <c r="AC8512">
        <v>21.749199999999998</v>
      </c>
      <c r="AD8512">
        <v>-1.111448404885</v>
      </c>
      <c r="AE8512">
        <v>-1.0650599999999999</v>
      </c>
      <c r="AF8512">
        <v>1.45894538828595</v>
      </c>
      <c r="AG8512">
        <v>-1.111448404885</v>
      </c>
      <c r="AH8512">
        <v>21.669622014274001</v>
      </c>
      <c r="AI8512">
        <v>92.929542707600007</v>
      </c>
      <c r="AJ8512">
        <v>86.148273744053995</v>
      </c>
      <c r="AK8512">
        <v>21.747099977795401</v>
      </c>
      <c r="AL8512">
        <v>86.321215802827794</v>
      </c>
      <c r="AM8512">
        <v>90.0651226856519</v>
      </c>
      <c r="AN8512">
        <v>0.99999999935928796</v>
      </c>
    </row>
    <row r="8513" spans="1:40" x14ac:dyDescent="0.25">
      <c r="A8513" t="str">
        <f>"20190312150855480"</f>
        <v>20190312150855480</v>
      </c>
      <c r="B8513" t="str">
        <f>"1552374535477957"</f>
        <v>1552374535477957</v>
      </c>
      <c r="C8513" t="s">
        <v>40</v>
      </c>
      <c r="D8513">
        <v>5.218763</v>
      </c>
      <c r="E8513">
        <v>0.52729919999999997</v>
      </c>
      <c r="F8513" t="s">
        <v>42</v>
      </c>
      <c r="G8513">
        <v>-355.60809999999998</v>
      </c>
      <c r="H8513" s="1">
        <v>-2.5393340000000001E-6</v>
      </c>
      <c r="I8513">
        <v>15.822760000000001</v>
      </c>
      <c r="J8513">
        <v>-377.51249999999999</v>
      </c>
      <c r="K8513">
        <v>1.111397</v>
      </c>
      <c r="L8513">
        <v>16.922360000000001</v>
      </c>
      <c r="M8513">
        <v>0.99973979999999996</v>
      </c>
      <c r="N8513">
        <v>0</v>
      </c>
      <c r="O8513">
        <v>1.89479E-2</v>
      </c>
      <c r="P8513">
        <v>0.99849330000000003</v>
      </c>
      <c r="Q8513">
        <v>5.1706990000000001E-2</v>
      </c>
      <c r="R8513">
        <v>1.8380569999999999E-2</v>
      </c>
      <c r="S8513">
        <v>3.0152589999999999</v>
      </c>
      <c r="T8513">
        <v>-0.15198819999999999</v>
      </c>
      <c r="U8513">
        <v>-0.14990229999999999</v>
      </c>
      <c r="V8513">
        <v>3.8567099999999997E-4</v>
      </c>
      <c r="W8513">
        <v>6.4387410000000006E-2</v>
      </c>
      <c r="X8513">
        <v>0.9979249</v>
      </c>
      <c r="Y8513">
        <v>6.845967E-2</v>
      </c>
      <c r="Z8513">
        <v>-2.677292E-3</v>
      </c>
      <c r="AA8513">
        <v>0.99765029999999999</v>
      </c>
      <c r="AB8513">
        <v>28</v>
      </c>
      <c r="AC8513">
        <v>21.904399999999999</v>
      </c>
      <c r="AD8513">
        <v>-1.1113995393339999</v>
      </c>
      <c r="AE8513">
        <v>-1.0995999999999999</v>
      </c>
      <c r="AF8513">
        <v>1.5105992932738199</v>
      </c>
      <c r="AG8513">
        <v>-1.1113995393339999</v>
      </c>
      <c r="AH8513">
        <v>21.823588494292</v>
      </c>
      <c r="AI8513">
        <v>92.908409290212802</v>
      </c>
      <c r="AJ8513">
        <v>86.040379344379105</v>
      </c>
      <c r="AK8513">
        <v>21.9040209534474</v>
      </c>
      <c r="AL8513">
        <v>86.308319347833702</v>
      </c>
      <c r="AM8513">
        <v>89.977856731022101</v>
      </c>
      <c r="AN8513">
        <v>0.99999999667431905</v>
      </c>
    </row>
    <row r="8514" spans="1:40" x14ac:dyDescent="0.25">
      <c r="A8514" t="str">
        <f>"20190312150855493"</f>
        <v>20190312150855493</v>
      </c>
      <c r="B8514" t="str">
        <f>"1552374535487715"</f>
        <v>1552374535487715</v>
      </c>
      <c r="C8514" t="s">
        <v>40</v>
      </c>
      <c r="D8514">
        <v>4.9433490000000004</v>
      </c>
      <c r="E8514">
        <v>0.52736249999999996</v>
      </c>
      <c r="F8514" t="s">
        <v>42</v>
      </c>
      <c r="G8514">
        <v>-354.96679999999998</v>
      </c>
      <c r="H8514" s="1">
        <v>-2.8235210000000001E-6</v>
      </c>
      <c r="I8514">
        <v>15.77145</v>
      </c>
      <c r="J8514">
        <v>-377.35629999999998</v>
      </c>
      <c r="K8514">
        <v>1.1113440000000001</v>
      </c>
      <c r="L8514">
        <v>16.92606</v>
      </c>
      <c r="M8514">
        <v>0.99972740000000004</v>
      </c>
      <c r="N8514">
        <v>0</v>
      </c>
      <c r="O8514">
        <v>1.9604650000000001E-2</v>
      </c>
      <c r="P8514">
        <v>0.9984883</v>
      </c>
      <c r="Q8514">
        <v>5.2113640000000003E-2</v>
      </c>
      <c r="R8514">
        <v>1.7491360000000001E-2</v>
      </c>
      <c r="S8514">
        <v>3.015015</v>
      </c>
      <c r="T8514">
        <v>-0.14862690000000001</v>
      </c>
      <c r="U8514">
        <v>-0.15390009999999901</v>
      </c>
      <c r="V8514">
        <v>1.938108E-3</v>
      </c>
      <c r="W8514">
        <v>6.479472E-2</v>
      </c>
      <c r="X8514">
        <v>0.99789669999999997</v>
      </c>
      <c r="Y8514">
        <v>7.0440069999999994E-2</v>
      </c>
      <c r="Z8514">
        <v>-2.6993730000000001E-3</v>
      </c>
      <c r="AA8514">
        <v>0.99751230000000002</v>
      </c>
      <c r="AB8514">
        <v>28</v>
      </c>
      <c r="AC8514">
        <v>22.389500000000002</v>
      </c>
      <c r="AD8514">
        <v>-1.111346823521</v>
      </c>
      <c r="AE8514">
        <v>-1.1546099999999999</v>
      </c>
      <c r="AF8514">
        <v>1.58945590321775</v>
      </c>
      <c r="AG8514">
        <v>-1.111346823521</v>
      </c>
      <c r="AH8514">
        <v>22.3077420667788</v>
      </c>
      <c r="AI8514">
        <v>92.844853582283505</v>
      </c>
      <c r="AJ8514">
        <v>85.924487976208397</v>
      </c>
      <c r="AK8514">
        <v>22.3918917902967</v>
      </c>
      <c r="AL8514">
        <v>86.284933262521406</v>
      </c>
      <c r="AM8514">
        <v>89.888720677184693</v>
      </c>
      <c r="AN8514">
        <v>0.99999996793669299</v>
      </c>
    </row>
    <row r="8515" spans="1:40" x14ac:dyDescent="0.25">
      <c r="A8515" t="str">
        <f>"20190312150855511"</f>
        <v>20190312150855511</v>
      </c>
      <c r="B8515" t="str">
        <f>"1552374535508212"</f>
        <v>1552374535508212</v>
      </c>
      <c r="C8515" t="s">
        <v>40</v>
      </c>
      <c r="D8515">
        <v>4.8838299999999997</v>
      </c>
      <c r="E8515">
        <v>0.52768990000000005</v>
      </c>
      <c r="F8515" t="s">
        <v>42</v>
      </c>
      <c r="G8515">
        <v>-354.53539999999998</v>
      </c>
      <c r="H8515" s="1">
        <v>-3.014751E-6</v>
      </c>
      <c r="I8515">
        <v>15.73681</v>
      </c>
      <c r="J8515">
        <v>-377.1431</v>
      </c>
      <c r="K8515">
        <v>1.1112679999999999</v>
      </c>
      <c r="L8515">
        <v>16.931149999999999</v>
      </c>
      <c r="M8515">
        <v>0.9997106</v>
      </c>
      <c r="N8515">
        <v>0</v>
      </c>
      <c r="O8515">
        <v>2.044466E-2</v>
      </c>
      <c r="P8515">
        <v>0.99850479999999997</v>
      </c>
      <c r="Q8515">
        <v>5.242819E-2</v>
      </c>
      <c r="R8515">
        <v>1.549271E-2</v>
      </c>
      <c r="S8515">
        <v>3.0149539999999999</v>
      </c>
      <c r="T8515">
        <v>-0.14682439999999999</v>
      </c>
      <c r="U8515">
        <v>-0.15710450000000001</v>
      </c>
      <c r="V8515">
        <v>4.786663E-3</v>
      </c>
      <c r="W8515">
        <v>6.5111630000000004E-2</v>
      </c>
      <c r="X8515">
        <v>0.99786649999999999</v>
      </c>
      <c r="Y8515">
        <v>7.2335860000000002E-2</v>
      </c>
      <c r="Z8515">
        <v>-2.7536230000000002E-3</v>
      </c>
      <c r="AA8515">
        <v>0.9973765</v>
      </c>
      <c r="AB8515">
        <v>28</v>
      </c>
      <c r="AC8515">
        <v>22.607700000000001</v>
      </c>
      <c r="AD8515">
        <v>-1.1112710147510001</v>
      </c>
      <c r="AE8515">
        <v>-1.19433999999999</v>
      </c>
      <c r="AF8515">
        <v>1.65235296442824</v>
      </c>
      <c r="AG8515">
        <v>-1.1112710147510001</v>
      </c>
      <c r="AH8515">
        <v>22.524283081031498</v>
      </c>
      <c r="AI8515">
        <v>92.816930150641895</v>
      </c>
      <c r="AJ8515">
        <v>85.804369462410094</v>
      </c>
      <c r="AK8515">
        <v>22.6121321838902</v>
      </c>
      <c r="AL8515">
        <v>86.266737330100398</v>
      </c>
      <c r="AM8515">
        <v>89.725160144849198</v>
      </c>
      <c r="AN8515">
        <v>0.99999999416309104</v>
      </c>
    </row>
    <row r="8516" spans="1:40" x14ac:dyDescent="0.25">
      <c r="A8516" t="str">
        <f>"20190312150855523"</f>
        <v>20190312150855523</v>
      </c>
      <c r="B8516" t="str">
        <f>"1552374535517972"</f>
        <v>1552374535517972</v>
      </c>
      <c r="C8516" t="s">
        <v>40</v>
      </c>
      <c r="D8516">
        <v>4.8932510000000002</v>
      </c>
      <c r="E8516">
        <v>0.52776999999999996</v>
      </c>
      <c r="F8516" t="s">
        <v>42</v>
      </c>
      <c r="G8516">
        <v>-353.72550000000001</v>
      </c>
      <c r="H8516" s="1">
        <v>-3.3789329999999998E-6</v>
      </c>
      <c r="I8516">
        <v>15.642390000000001</v>
      </c>
      <c r="J8516">
        <v>-376.9853</v>
      </c>
      <c r="K8516">
        <v>1.1112150000000001</v>
      </c>
      <c r="L8516">
        <v>16.935029999999902</v>
      </c>
      <c r="M8516">
        <v>0.99969839999999999</v>
      </c>
      <c r="N8516">
        <v>0</v>
      </c>
      <c r="O8516">
        <v>2.1024009999999999E-2</v>
      </c>
      <c r="P8516">
        <v>0.99850490000000003</v>
      </c>
      <c r="Q8516">
        <v>5.2691000000000002E-2</v>
      </c>
      <c r="R8516">
        <v>1.455264E-2</v>
      </c>
      <c r="S8516">
        <v>3.0145870000000001</v>
      </c>
      <c r="T8516">
        <v>-0.14305619999999999</v>
      </c>
      <c r="U8516">
        <v>-0.1658936</v>
      </c>
      <c r="V8516">
        <v>6.313524E-3</v>
      </c>
      <c r="W8516">
        <v>6.5373799999999996E-2</v>
      </c>
      <c r="X8516">
        <v>0.99784090000000003</v>
      </c>
      <c r="Y8516">
        <v>7.5820239999999997E-2</v>
      </c>
      <c r="Z8516">
        <v>-2.793186E-3</v>
      </c>
      <c r="AA8516">
        <v>0.99711760000000005</v>
      </c>
      <c r="AB8516">
        <v>28</v>
      </c>
      <c r="AC8516">
        <v>23.259799999999899</v>
      </c>
      <c r="AD8516">
        <v>-1.1112183789329999</v>
      </c>
      <c r="AE8516">
        <v>-1.29263999999999</v>
      </c>
      <c r="AF8516">
        <v>1.77736378640422</v>
      </c>
      <c r="AG8516">
        <v>-1.1112183789329999</v>
      </c>
      <c r="AH8516">
        <v>23.174748821693299</v>
      </c>
      <c r="AI8516">
        <v>92.737177350394006</v>
      </c>
      <c r="AJ8516">
        <v>85.614343789997207</v>
      </c>
      <c r="AK8516">
        <v>23.269353477556599</v>
      </c>
      <c r="AL8516">
        <v>86.251684150304001</v>
      </c>
      <c r="AM8516">
        <v>89.637483839375804</v>
      </c>
      <c r="AN8516">
        <v>1.0000000280122701</v>
      </c>
    </row>
    <row r="8517" spans="1:40" x14ac:dyDescent="0.25">
      <c r="A8517" t="str">
        <f>"20190312150855537"</f>
        <v>20190312150855537</v>
      </c>
      <c r="B8517" t="str">
        <f>"1552374535528440"</f>
        <v>1552374535528440</v>
      </c>
      <c r="C8517" t="s">
        <v>40</v>
      </c>
      <c r="D8517">
        <v>4.9293979999999999</v>
      </c>
      <c r="E8517">
        <v>0.52787759999999995</v>
      </c>
      <c r="F8517" t="s">
        <v>42</v>
      </c>
      <c r="G8517">
        <v>-353.32530000000003</v>
      </c>
      <c r="H8517" s="1">
        <v>-3.5574680000000002E-6</v>
      </c>
      <c r="I8517">
        <v>15.60385</v>
      </c>
      <c r="J8517">
        <v>-376.82150000000001</v>
      </c>
      <c r="K8517">
        <v>1.111165</v>
      </c>
      <c r="L8517">
        <v>16.93909</v>
      </c>
      <c r="M8517">
        <v>0.99968690000000004</v>
      </c>
      <c r="N8517">
        <v>0</v>
      </c>
      <c r="O8517">
        <v>2.1565959999999999E-2</v>
      </c>
      <c r="P8517">
        <v>0.99850300000000003</v>
      </c>
      <c r="Q8517">
        <v>5.2954349999999997E-2</v>
      </c>
      <c r="R8517">
        <v>1.370236E-2</v>
      </c>
      <c r="S8517">
        <v>3.0143740000000001</v>
      </c>
      <c r="T8517">
        <v>-0.14157359999999999</v>
      </c>
      <c r="U8517">
        <v>-0.16958619999999999</v>
      </c>
      <c r="V8517">
        <v>7.7133009999999997E-3</v>
      </c>
      <c r="W8517">
        <v>6.5635979999999997E-2</v>
      </c>
      <c r="X8517">
        <v>0.99781379999999997</v>
      </c>
      <c r="Y8517">
        <v>7.7581960000000005E-2</v>
      </c>
      <c r="Z8517">
        <v>-2.8311149999999999E-3</v>
      </c>
      <c r="AA8517">
        <v>0.99698200000000003</v>
      </c>
      <c r="AB8517">
        <v>28</v>
      </c>
      <c r="AC8517">
        <v>23.496199999999899</v>
      </c>
      <c r="AD8517">
        <v>-1.1111685574679999</v>
      </c>
      <c r="AE8517">
        <v>-1.33524</v>
      </c>
      <c r="AF8517">
        <v>1.83759181369331</v>
      </c>
      <c r="AG8517">
        <v>-1.1111685574679999</v>
      </c>
      <c r="AH8517">
        <v>23.4097496454641</v>
      </c>
      <c r="AI8517">
        <v>92.709243601527803</v>
      </c>
      <c r="AJ8517">
        <v>85.511664860475705</v>
      </c>
      <c r="AK8517">
        <v>23.508037300042002</v>
      </c>
      <c r="AL8517">
        <v>86.236629822835596</v>
      </c>
      <c r="AM8517">
        <v>89.557100943200396</v>
      </c>
      <c r="AN8517">
        <v>0.99999997817665798</v>
      </c>
    </row>
    <row r="8518" spans="1:40" x14ac:dyDescent="0.25">
      <c r="A8518" t="str">
        <f>"20190312150855548"</f>
        <v>20190312150855548</v>
      </c>
      <c r="B8518" t="str">
        <f>"1552374535538200"</f>
        <v>1552374535538200</v>
      </c>
      <c r="C8518" t="s">
        <v>40</v>
      </c>
      <c r="D8518">
        <v>4.9265150000000002</v>
      </c>
      <c r="E8518">
        <v>0.52801569999999998</v>
      </c>
      <c r="F8518" t="s">
        <v>42</v>
      </c>
      <c r="G8518">
        <v>-353.07490000000001</v>
      </c>
      <c r="H8518" s="1">
        <v>-3.6697720000000001E-6</v>
      </c>
      <c r="I8518">
        <v>15.57633</v>
      </c>
      <c r="J8518">
        <v>-376.66410000000002</v>
      </c>
      <c r="K8518">
        <v>1.111113</v>
      </c>
      <c r="L8518">
        <v>16.943020000000001</v>
      </c>
      <c r="M8518">
        <v>0.99967629999999996</v>
      </c>
      <c r="N8518">
        <v>0</v>
      </c>
      <c r="O8518">
        <v>2.2058950000000001E-2</v>
      </c>
      <c r="P8518">
        <v>0.99850850000000002</v>
      </c>
      <c r="Q8518">
        <v>5.3141649999999999E-2</v>
      </c>
      <c r="R8518">
        <v>1.253021E-2</v>
      </c>
      <c r="S8518">
        <v>3.0143430000000002</v>
      </c>
      <c r="T8518">
        <v>-0.14104910000000001</v>
      </c>
      <c r="U8518">
        <v>-0.17297360000000001</v>
      </c>
      <c r="V8518">
        <v>9.3861740000000006E-3</v>
      </c>
      <c r="W8518">
        <v>6.5822950000000005E-2</v>
      </c>
      <c r="X8518">
        <v>0.99778719999999999</v>
      </c>
      <c r="Y8518">
        <v>7.918936E-2</v>
      </c>
      <c r="Z8518">
        <v>-2.881177E-3</v>
      </c>
      <c r="AA8518">
        <v>0.99685539999999995</v>
      </c>
      <c r="AB8518">
        <v>28</v>
      </c>
      <c r="AC8518">
        <v>23.589200000000002</v>
      </c>
      <c r="AD8518">
        <v>-1.1111166697720001</v>
      </c>
      <c r="AE8518">
        <v>-1.36669</v>
      </c>
      <c r="AF8518">
        <v>1.8825893177534601</v>
      </c>
      <c r="AG8518">
        <v>-1.1111166697720001</v>
      </c>
      <c r="AH8518">
        <v>23.501341684256701</v>
      </c>
      <c r="AI8518">
        <v>92.698233048709994</v>
      </c>
      <c r="AJ8518">
        <v>85.420066248191304</v>
      </c>
      <c r="AK8518">
        <v>23.6027918635349</v>
      </c>
      <c r="AL8518">
        <v>86.225894205426002</v>
      </c>
      <c r="AM8518">
        <v>89.461035084837206</v>
      </c>
      <c r="AN8518">
        <v>1.0000000287464399</v>
      </c>
    </row>
    <row r="8519" spans="1:40" x14ac:dyDescent="0.25">
      <c r="A8519" t="str">
        <f>"20190312150855568"</f>
        <v>20190312150855568</v>
      </c>
      <c r="B8519" t="str">
        <f>"1552374535557720"</f>
        <v>1552374535557720</v>
      </c>
      <c r="C8519" t="s">
        <v>40</v>
      </c>
      <c r="D8519">
        <v>4.9067850000000002</v>
      </c>
      <c r="E8519">
        <v>0.52811549999999996</v>
      </c>
      <c r="F8519" t="s">
        <v>42</v>
      </c>
      <c r="G8519">
        <v>-353.0283</v>
      </c>
      <c r="H8519" s="1">
        <v>-3.6943700000000002E-6</v>
      </c>
      <c r="I8519">
        <v>15.550420000000001</v>
      </c>
      <c r="J8519">
        <v>-376.42759999999998</v>
      </c>
      <c r="K8519">
        <v>1.111035</v>
      </c>
      <c r="L8519">
        <v>16.949010000000001</v>
      </c>
      <c r="M8519">
        <v>0.99966140000000003</v>
      </c>
      <c r="N8519">
        <v>0</v>
      </c>
      <c r="O8519">
        <v>2.272542E-2</v>
      </c>
      <c r="P8519">
        <v>0.99851380000000001</v>
      </c>
      <c r="Q8519">
        <v>5.3580849999999999E-2</v>
      </c>
      <c r="R8519">
        <v>9.9733659999999991E-3</v>
      </c>
      <c r="S8519">
        <v>3.0141909999999998</v>
      </c>
      <c r="T8519">
        <v>-0.1416965</v>
      </c>
      <c r="U8519">
        <v>-0.17758180000000001</v>
      </c>
      <c r="V8519">
        <v>1.2620320000000001E-2</v>
      </c>
      <c r="W8519">
        <v>6.6261169999999994E-2</v>
      </c>
      <c r="X8519">
        <v>0.99772249999999996</v>
      </c>
      <c r="Y8519">
        <v>8.1371379999999993E-2</v>
      </c>
      <c r="Z8519">
        <v>-2.976916E-3</v>
      </c>
      <c r="AA8519">
        <v>0.99667939999999999</v>
      </c>
      <c r="AB8519">
        <v>28</v>
      </c>
      <c r="AC8519">
        <v>23.399299999999901</v>
      </c>
      <c r="AD8519">
        <v>-1.1110386943699999</v>
      </c>
      <c r="AE8519">
        <v>-1.39859</v>
      </c>
      <c r="AF8519">
        <v>1.9257043151436899</v>
      </c>
      <c r="AG8519">
        <v>-1.1110386943699999</v>
      </c>
      <c r="AH8519">
        <v>23.309106327700601</v>
      </c>
      <c r="AI8519">
        <v>92.719710992904496</v>
      </c>
      <c r="AJ8519">
        <v>85.277179434082896</v>
      </c>
      <c r="AK8519">
        <v>23.414892309933901</v>
      </c>
      <c r="AL8519">
        <v>86.200731009077899</v>
      </c>
      <c r="AM8519">
        <v>89.275296978026404</v>
      </c>
      <c r="AN8519">
        <v>1.00000000106646</v>
      </c>
    </row>
    <row r="8520" spans="1:40" x14ac:dyDescent="0.25">
      <c r="A8520" t="str">
        <f>"20190312150855580"</f>
        <v>20190312150855580</v>
      </c>
      <c r="B8520" t="str">
        <f>"1552374535568457"</f>
        <v>1552374535568457</v>
      </c>
      <c r="C8520" t="s">
        <v>40</v>
      </c>
      <c r="D8520">
        <v>4.9139869999999997</v>
      </c>
      <c r="E8520">
        <v>0.52812169999999903</v>
      </c>
      <c r="F8520" t="s">
        <v>42</v>
      </c>
      <c r="G8520">
        <v>-352.5376</v>
      </c>
      <c r="H8520" s="1">
        <v>-3.9185190000000001E-6</v>
      </c>
      <c r="I8520">
        <v>15.4733</v>
      </c>
      <c r="J8520">
        <v>-376.26940000000002</v>
      </c>
      <c r="K8520">
        <v>1.1109830000000001</v>
      </c>
      <c r="L8520">
        <v>16.953029999999998</v>
      </c>
      <c r="M8520">
        <v>0.99965210000000004</v>
      </c>
      <c r="N8520">
        <v>0</v>
      </c>
      <c r="O8520">
        <v>2.3125489999999999E-2</v>
      </c>
      <c r="P8520">
        <v>0.99851829999999997</v>
      </c>
      <c r="Q8520">
        <v>5.3736970000000002E-2</v>
      </c>
      <c r="R8520">
        <v>8.5815049999999997E-3</v>
      </c>
      <c r="S8520">
        <v>3.013855</v>
      </c>
      <c r="T8520">
        <v>-0.14016380000000001</v>
      </c>
      <c r="U8520">
        <v>-0.18615719999999999</v>
      </c>
      <c r="V8520">
        <v>1.4419599999999999E-2</v>
      </c>
      <c r="W8520">
        <v>6.6415810000000006E-2</v>
      </c>
      <c r="X8520">
        <v>0.99768780000000001</v>
      </c>
      <c r="Y8520">
        <v>8.460049E-2</v>
      </c>
      <c r="Z8520">
        <v>-3.0383939999999998E-3</v>
      </c>
      <c r="AA8520">
        <v>0.99641029999999997</v>
      </c>
      <c r="AB8520">
        <v>28</v>
      </c>
      <c r="AC8520">
        <v>23.7318</v>
      </c>
      <c r="AD8520">
        <v>-1.110986918519</v>
      </c>
      <c r="AE8520">
        <v>-1.47972999999999</v>
      </c>
      <c r="AF8520">
        <v>2.0237698016133501</v>
      </c>
      <c r="AG8520">
        <v>-1.110986918519</v>
      </c>
      <c r="AH8520">
        <v>23.639622760879501</v>
      </c>
      <c r="AI8520">
        <v>92.6809472304775</v>
      </c>
      <c r="AJ8520">
        <v>85.106883189785293</v>
      </c>
      <c r="AK8520">
        <v>23.7520883380753</v>
      </c>
      <c r="AL8520">
        <v>86.191851093407806</v>
      </c>
      <c r="AM8520">
        <v>89.171960705062105</v>
      </c>
      <c r="AN8520">
        <v>0.99999996547547698</v>
      </c>
    </row>
    <row r="8521" spans="1:40" x14ac:dyDescent="0.25">
      <c r="A8521" t="str">
        <f>"20190312150855593"</f>
        <v>20190312150855593</v>
      </c>
      <c r="B8521" t="str">
        <f>"1552374535587976"</f>
        <v>1552374535587976</v>
      </c>
      <c r="C8521" t="s">
        <v>40</v>
      </c>
      <c r="D8521">
        <v>4.9060420000000002</v>
      </c>
      <c r="E8521">
        <v>0.52812919999999997</v>
      </c>
      <c r="F8521" t="s">
        <v>42</v>
      </c>
      <c r="G8521">
        <v>-352.52339999999998</v>
      </c>
      <c r="H8521" s="1">
        <v>-3.9282750000000001E-6</v>
      </c>
      <c r="I8521">
        <v>15.45271</v>
      </c>
      <c r="J8521">
        <v>-376.1071</v>
      </c>
      <c r="K8521">
        <v>1.1109340000000001</v>
      </c>
      <c r="L8521">
        <v>16.957239999999999</v>
      </c>
      <c r="M8521">
        <v>0.99964350000000002</v>
      </c>
      <c r="N8521">
        <v>0</v>
      </c>
      <c r="O8521">
        <v>2.3498999999999999E-2</v>
      </c>
      <c r="P8521">
        <v>0.99852529999999995</v>
      </c>
      <c r="Q8521">
        <v>5.3743050000000001E-2</v>
      </c>
      <c r="R8521">
        <v>7.6892790000000003E-3</v>
      </c>
      <c r="S8521">
        <v>3.0136720000000001</v>
      </c>
      <c r="T8521">
        <v>-0.1409984</v>
      </c>
      <c r="U8521">
        <v>-0.19039919999999999</v>
      </c>
      <c r="V8521">
        <v>1.5692859999999999E-2</v>
      </c>
      <c r="W8521">
        <v>6.6419140000000002E-2</v>
      </c>
      <c r="X8521">
        <v>0.99766840000000001</v>
      </c>
      <c r="Y8521">
        <v>8.6369730000000006E-2</v>
      </c>
      <c r="Z8521">
        <v>-3.1152990000000002E-3</v>
      </c>
      <c r="AA8521">
        <v>0.99625830000000004</v>
      </c>
      <c r="AB8521">
        <v>28</v>
      </c>
      <c r="AC8521">
        <v>23.5837</v>
      </c>
      <c r="AD8521">
        <v>-1.110937928275</v>
      </c>
      <c r="AE8521">
        <v>-1.5045299999999899</v>
      </c>
      <c r="AF8521">
        <v>2.05381344307966</v>
      </c>
      <c r="AG8521">
        <v>-1.110937928275</v>
      </c>
      <c r="AH8521">
        <v>23.489916112461898</v>
      </c>
      <c r="AI8521">
        <v>92.697467474198206</v>
      </c>
      <c r="AJ8521">
        <v>85.003117610820695</v>
      </c>
      <c r="AK8521">
        <v>23.6056876983059</v>
      </c>
      <c r="AL8521">
        <v>86.191660016245095</v>
      </c>
      <c r="AM8521">
        <v>89.098838348109595</v>
      </c>
      <c r="AN8521">
        <v>1.0000000021859301</v>
      </c>
    </row>
    <row r="8522" spans="1:40" x14ac:dyDescent="0.25">
      <c r="A8522" t="str">
        <f>"20190312150855612"</f>
        <v>20190312150855612</v>
      </c>
      <c r="B8522" t="str">
        <f>"1552374535608472"</f>
        <v>1552374535608472</v>
      </c>
      <c r="C8522" t="s">
        <v>40</v>
      </c>
      <c r="D8522">
        <v>4.8593859999999998</v>
      </c>
      <c r="E8522">
        <v>0.52811750000000002</v>
      </c>
      <c r="F8522" t="s">
        <v>42</v>
      </c>
      <c r="G8522">
        <v>-352.63920000000002</v>
      </c>
      <c r="H8522" s="1">
        <v>-3.8786840000000002E-6</v>
      </c>
      <c r="I8522">
        <v>15.452360000000001</v>
      </c>
      <c r="J8522">
        <v>-375.88060000000002</v>
      </c>
      <c r="K8522">
        <v>1.110868</v>
      </c>
      <c r="L8522">
        <v>16.963069999999998</v>
      </c>
      <c r="M8522">
        <v>0.99963230000000003</v>
      </c>
      <c r="N8522">
        <v>0</v>
      </c>
      <c r="O8522">
        <v>2.396879E-2</v>
      </c>
      <c r="P8522">
        <v>0.99853579999999997</v>
      </c>
      <c r="Q8522">
        <v>5.3844379999999997E-2</v>
      </c>
      <c r="R8522">
        <v>5.2125490000000003E-3</v>
      </c>
      <c r="S8522">
        <v>3.013611</v>
      </c>
      <c r="T8522">
        <v>-0.14265999999999901</v>
      </c>
      <c r="U8522">
        <v>-0.1932373</v>
      </c>
      <c r="V8522">
        <v>1.8648680000000001E-2</v>
      </c>
      <c r="W8522">
        <v>6.6518090000000002E-2</v>
      </c>
      <c r="X8522">
        <v>0.99761089999999997</v>
      </c>
      <c r="Y8522">
        <v>8.7768659999999998E-2</v>
      </c>
      <c r="Z8522">
        <v>-3.2072099999999998E-3</v>
      </c>
      <c r="AA8522">
        <v>0.99613569999999996</v>
      </c>
      <c r="AB8522">
        <v>28</v>
      </c>
      <c r="AC8522">
        <v>23.241399999999999</v>
      </c>
      <c r="AD8522">
        <v>-1.1108718786839999</v>
      </c>
      <c r="AE8522">
        <v>-1.51071</v>
      </c>
      <c r="AF8522">
        <v>2.0626963972354599</v>
      </c>
      <c r="AG8522">
        <v>-1.1108718786839999</v>
      </c>
      <c r="AH8522">
        <v>23.1458533267318</v>
      </c>
      <c r="AI8522">
        <v>92.7369392244522</v>
      </c>
      <c r="AJ8522">
        <v>84.907406914995306</v>
      </c>
      <c r="AK8522">
        <v>23.264119991536401</v>
      </c>
      <c r="AL8522">
        <v>86.185977905281504</v>
      </c>
      <c r="AM8522">
        <v>88.929075228186903</v>
      </c>
      <c r="AN8522">
        <v>0.99999996868089902</v>
      </c>
    </row>
    <row r="8523" spans="1:40" x14ac:dyDescent="0.25">
      <c r="A8523" t="str">
        <f>"20190312150855626"</f>
        <v>20190312150855626</v>
      </c>
      <c r="B8523" t="str">
        <f>"1552374535618232"</f>
        <v>1552374535618232</v>
      </c>
      <c r="C8523" t="s">
        <v>40</v>
      </c>
      <c r="D8523">
        <v>4.8890120000000001</v>
      </c>
      <c r="E8523">
        <v>0.52808569999999999</v>
      </c>
      <c r="F8523" t="s">
        <v>42</v>
      </c>
      <c r="G8523">
        <v>-352.61169999999998</v>
      </c>
      <c r="H8523" s="1">
        <v>-3.8974369999999997E-6</v>
      </c>
      <c r="I8523">
        <v>15.413</v>
      </c>
      <c r="J8523">
        <v>-375.71390000000002</v>
      </c>
      <c r="K8523">
        <v>1.1108209999999901</v>
      </c>
      <c r="L8523">
        <v>16.96744</v>
      </c>
      <c r="M8523">
        <v>0.99962490000000004</v>
      </c>
      <c r="N8523">
        <v>0</v>
      </c>
      <c r="O8523">
        <v>2.427808E-2</v>
      </c>
      <c r="P8523">
        <v>0.9985271</v>
      </c>
      <c r="Q8523">
        <v>5.4093639999999998E-2</v>
      </c>
      <c r="R8523">
        <v>4.1899679999999996E-3</v>
      </c>
      <c r="S8523">
        <v>3.0131839999999999</v>
      </c>
      <c r="T8523">
        <v>-0.14385120000000001</v>
      </c>
      <c r="U8523">
        <v>-0.20071410000000001</v>
      </c>
      <c r="V8523">
        <v>1.9987020000000001E-2</v>
      </c>
      <c r="W8523">
        <v>6.6764080000000003E-2</v>
      </c>
      <c r="X8523">
        <v>0.99756860000000003</v>
      </c>
      <c r="Y8523">
        <v>9.0541179999999999E-2</v>
      </c>
      <c r="Z8523">
        <v>-3.314979E-3</v>
      </c>
      <c r="AA8523">
        <v>0.99588719999999997</v>
      </c>
      <c r="AB8523">
        <v>28</v>
      </c>
      <c r="AC8523">
        <v>23.1022</v>
      </c>
      <c r="AD8523">
        <v>-1.1108248974370001</v>
      </c>
      <c r="AE8523">
        <v>-1.5544399999999901</v>
      </c>
      <c r="AF8523">
        <v>2.1100474528678399</v>
      </c>
      <c r="AG8523">
        <v>-1.1108248974370001</v>
      </c>
      <c r="AH8523">
        <v>23.0047007856848</v>
      </c>
      <c r="AI8523">
        <v>92.752948223439105</v>
      </c>
      <c r="AJ8523">
        <v>84.759354592269204</v>
      </c>
      <c r="AK8523">
        <v>23.1279590635448</v>
      </c>
      <c r="AL8523">
        <v>86.171852502248896</v>
      </c>
      <c r="AM8523">
        <v>88.852190523805902</v>
      </c>
      <c r="AN8523">
        <v>1.0000000175263399</v>
      </c>
    </row>
    <row r="8524" spans="1:40" x14ac:dyDescent="0.25">
      <c r="A8524" t="str">
        <f>"20190312150855638"</f>
        <v>20190312150855638</v>
      </c>
      <c r="B8524" t="str">
        <f>"1552374535628500"</f>
        <v>1552374535628500</v>
      </c>
      <c r="C8524" t="s">
        <v>40</v>
      </c>
      <c r="D8524">
        <v>4.941408</v>
      </c>
      <c r="E8524">
        <v>0.52814159999999999</v>
      </c>
      <c r="F8524" t="s">
        <v>42</v>
      </c>
      <c r="G8524">
        <v>-352.4753</v>
      </c>
      <c r="H8524" s="1">
        <v>-3.958856E-6</v>
      </c>
      <c r="I8524">
        <v>15.39672</v>
      </c>
      <c r="J8524">
        <v>-375.5428</v>
      </c>
      <c r="K8524">
        <v>1.110778</v>
      </c>
      <c r="L8524">
        <v>16.971920000000001</v>
      </c>
      <c r="M8524">
        <v>0.99961860000000002</v>
      </c>
      <c r="N8524">
        <v>0</v>
      </c>
      <c r="O8524">
        <v>2.454537E-2</v>
      </c>
      <c r="P8524">
        <v>0.99853159999999996</v>
      </c>
      <c r="Q8524">
        <v>5.4094209999999997E-2</v>
      </c>
      <c r="R8524">
        <v>2.9672740000000002E-3</v>
      </c>
      <c r="S8524">
        <v>3.0130620000000001</v>
      </c>
      <c r="T8524">
        <v>-0.14402690000000001</v>
      </c>
      <c r="U8524">
        <v>-0.20364380000000001</v>
      </c>
      <c r="V8524">
        <v>2.1483579999999999E-2</v>
      </c>
      <c r="W8524">
        <v>6.6761230000000005E-2</v>
      </c>
      <c r="X8524">
        <v>0.99753769999999997</v>
      </c>
      <c r="Y8524">
        <v>9.1772060000000003E-2</v>
      </c>
      <c r="Z8524">
        <v>-3.3611800000000001E-3</v>
      </c>
      <c r="AA8524">
        <v>0.99577439999999995</v>
      </c>
      <c r="AB8524">
        <v>28</v>
      </c>
      <c r="AC8524">
        <v>23.0674999999999</v>
      </c>
      <c r="AD8524">
        <v>-1.110781958856</v>
      </c>
      <c r="AE8524">
        <v>-1.5751999999999899</v>
      </c>
      <c r="AF8524">
        <v>2.1360410311639302</v>
      </c>
      <c r="AG8524">
        <v>-1.110781958856</v>
      </c>
      <c r="AH8524">
        <v>22.968869884251198</v>
      </c>
      <c r="AI8524">
        <v>92.756808363763994</v>
      </c>
      <c r="AJ8524">
        <v>84.686933314212894</v>
      </c>
      <c r="AK8524">
        <v>23.094707004129699</v>
      </c>
      <c r="AL8524">
        <v>86.1720162253566</v>
      </c>
      <c r="AM8524">
        <v>88.7662338924154</v>
      </c>
      <c r="AN8524">
        <v>1.0000000344810001</v>
      </c>
    </row>
    <row r="8525" spans="1:40" x14ac:dyDescent="0.25">
      <c r="A8525" t="str">
        <f>"20190312150855656"</f>
        <v>20190312150855656</v>
      </c>
      <c r="B8525" t="str">
        <f>"1552374535648024"</f>
        <v>1552374535648024</v>
      </c>
      <c r="C8525" t="s">
        <v>40</v>
      </c>
      <c r="D8525">
        <v>4.8454100000000002</v>
      </c>
      <c r="E8525">
        <v>0.52815540000000005</v>
      </c>
      <c r="F8525" t="s">
        <v>42</v>
      </c>
      <c r="G8525">
        <v>-352.57010000000002</v>
      </c>
      <c r="H8525" s="1">
        <v>-3.9197659999999996E-6</v>
      </c>
      <c r="I8525">
        <v>15.38768</v>
      </c>
      <c r="J8525">
        <v>-375.32459999999998</v>
      </c>
      <c r="K8525">
        <v>1.110719</v>
      </c>
      <c r="L8525">
        <v>16.97766</v>
      </c>
      <c r="M8525">
        <v>0.99961100000000003</v>
      </c>
      <c r="N8525">
        <v>0</v>
      </c>
      <c r="O8525">
        <v>2.484476E-2</v>
      </c>
      <c r="P8525">
        <v>0.99853179999999997</v>
      </c>
      <c r="Q8525">
        <v>5.41687E-2</v>
      </c>
      <c r="R8525">
        <v>3.6772779999999999E-4</v>
      </c>
      <c r="S8525">
        <v>3.0128780000000002</v>
      </c>
      <c r="T8525">
        <v>-0.1456797</v>
      </c>
      <c r="U8525">
        <v>-0.2077637</v>
      </c>
      <c r="V8525">
        <v>2.4390149999999999E-2</v>
      </c>
      <c r="W8525">
        <v>6.6831630000000003E-2</v>
      </c>
      <c r="X8525">
        <v>0.99746610000000002</v>
      </c>
      <c r="Y8525">
        <v>9.3424240000000006E-2</v>
      </c>
      <c r="Z8525">
        <v>-3.4540870000000002E-3</v>
      </c>
      <c r="AA8525">
        <v>0.99562039999999996</v>
      </c>
      <c r="AB8525">
        <v>28</v>
      </c>
      <c r="AC8525">
        <v>22.754499999999901</v>
      </c>
      <c r="AD8525">
        <v>-1.110722919766</v>
      </c>
      <c r="AE8525">
        <v>-1.5899799999999999</v>
      </c>
      <c r="AF8525">
        <v>2.1497671671973402</v>
      </c>
      <c r="AG8525">
        <v>-1.110722919766</v>
      </c>
      <c r="AH8525">
        <v>22.6542522555362</v>
      </c>
      <c r="AI8525">
        <v>92.794392718034402</v>
      </c>
      <c r="AJ8525">
        <v>84.579170112600096</v>
      </c>
      <c r="AK8525">
        <v>22.783115448399901</v>
      </c>
      <c r="AL8525">
        <v>86.167973377889297</v>
      </c>
      <c r="AM8525">
        <v>88.599276465014597</v>
      </c>
      <c r="AN8525">
        <v>0.99999998341734397</v>
      </c>
    </row>
    <row r="8526" spans="1:40" x14ac:dyDescent="0.25">
      <c r="A8526" t="str">
        <f>"20190312150855667"</f>
        <v>20190312150855667</v>
      </c>
      <c r="B8526" t="str">
        <f>"1552374535657780"</f>
        <v>1552374535657780</v>
      </c>
      <c r="C8526" t="s">
        <v>40</v>
      </c>
      <c r="D8526">
        <v>4.8796470000000003</v>
      </c>
      <c r="E8526">
        <v>0.52843300000000004</v>
      </c>
      <c r="F8526" t="s">
        <v>42</v>
      </c>
      <c r="G8526">
        <v>-352.1617</v>
      </c>
      <c r="H8526" s="1">
        <v>-4.1074120000000002E-6</v>
      </c>
      <c r="I8526">
        <v>15.317589999999999</v>
      </c>
      <c r="J8526">
        <v>-375.18299999999999</v>
      </c>
      <c r="K8526">
        <v>1.1106879999999999</v>
      </c>
      <c r="L8526">
        <v>16.981379999999898</v>
      </c>
      <c r="M8526">
        <v>0.99960680000000002</v>
      </c>
      <c r="N8526">
        <v>0</v>
      </c>
      <c r="O8526">
        <v>2.501521E-2</v>
      </c>
      <c r="P8526">
        <v>0.99853720000000001</v>
      </c>
      <c r="Q8526">
        <v>5.4062079999999998E-2</v>
      </c>
      <c r="R8526">
        <v>-9.1564599999999999E-4</v>
      </c>
      <c r="S8526">
        <v>3.0123289999999998</v>
      </c>
      <c r="T8526">
        <v>-0.14444949999999901</v>
      </c>
      <c r="U8526">
        <v>-0.2158813</v>
      </c>
      <c r="V8526">
        <v>2.5848909999999999E-2</v>
      </c>
      <c r="W8526">
        <v>6.6722210000000004E-2</v>
      </c>
      <c r="X8526">
        <v>0.99743669999999995</v>
      </c>
      <c r="Y8526">
        <v>9.6274750000000006E-2</v>
      </c>
      <c r="Z8526">
        <v>-3.501643E-3</v>
      </c>
      <c r="AA8526">
        <v>0.99534860000000003</v>
      </c>
      <c r="AB8526">
        <v>28</v>
      </c>
      <c r="AC8526">
        <v>23.0213</v>
      </c>
      <c r="AD8526">
        <v>-1.110692107412</v>
      </c>
      <c r="AE8526">
        <v>-1.6637899999999901</v>
      </c>
      <c r="AF8526">
        <v>2.2340250096437999</v>
      </c>
      <c r="AG8526">
        <v>-1.110692107412</v>
      </c>
      <c r="AH8526">
        <v>22.919399046965601</v>
      </c>
      <c r="AI8526">
        <v>92.761361592505594</v>
      </c>
      <c r="AJ8526">
        <v>84.432789336039505</v>
      </c>
      <c r="AK8526">
        <v>23.054790334662101</v>
      </c>
      <c r="AL8526">
        <v>86.174256751325203</v>
      </c>
      <c r="AM8526">
        <v>88.515492737362493</v>
      </c>
      <c r="AN8526">
        <v>0.99999999498118097</v>
      </c>
    </row>
    <row r="8527" spans="1:40" x14ac:dyDescent="0.25">
      <c r="A8527" t="str">
        <f>"20190312150855679"</f>
        <v>20190312150855679</v>
      </c>
      <c r="B8527" t="str">
        <f>"1552374535668517"</f>
        <v>1552374535668517</v>
      </c>
      <c r="C8527" t="s">
        <v>40</v>
      </c>
      <c r="D8527">
        <v>4.8626659999999999</v>
      </c>
      <c r="E8527">
        <v>0.52843300000000004</v>
      </c>
      <c r="F8527" t="s">
        <v>42</v>
      </c>
      <c r="G8527">
        <v>-352.08179999999999</v>
      </c>
      <c r="H8527" s="1">
        <v>-4.1486000000000004E-6</v>
      </c>
      <c r="I8527">
        <v>15.27854</v>
      </c>
      <c r="J8527">
        <v>-375.03919999999999</v>
      </c>
      <c r="K8527">
        <v>1.1106560000000001</v>
      </c>
      <c r="L8527">
        <v>16.985139999999902</v>
      </c>
      <c r="M8527">
        <v>0.99960320000000003</v>
      </c>
      <c r="N8527">
        <v>0</v>
      </c>
      <c r="O8527">
        <v>2.516171E-2</v>
      </c>
      <c r="P8527">
        <v>0.99853400000000003</v>
      </c>
      <c r="Q8527">
        <v>5.4079910000000002E-2</v>
      </c>
      <c r="R8527">
        <v>-2.3248230000000002E-3</v>
      </c>
      <c r="S8527">
        <v>3.012054</v>
      </c>
      <c r="T8527">
        <v>-0.14481840000000001</v>
      </c>
      <c r="U8527">
        <v>-0.2220154</v>
      </c>
      <c r="V8527">
        <v>2.7409389999999999E-2</v>
      </c>
      <c r="W8527">
        <v>6.6736480000000001E-2</v>
      </c>
      <c r="X8527">
        <v>0.99739409999999895</v>
      </c>
      <c r="Y8527">
        <v>9.8439860000000004E-2</v>
      </c>
      <c r="Z8527">
        <v>-3.569624E-3</v>
      </c>
      <c r="AA8527">
        <v>0.99513660000000004</v>
      </c>
      <c r="AB8527">
        <v>28</v>
      </c>
      <c r="AC8527">
        <v>22.9574</v>
      </c>
      <c r="AD8527">
        <v>-1.1106601485999901</v>
      </c>
      <c r="AE8527">
        <v>-1.7065999999999899</v>
      </c>
      <c r="AF8527">
        <v>2.2784498412434</v>
      </c>
      <c r="AG8527">
        <v>-1.1106601485999901</v>
      </c>
      <c r="AH8527">
        <v>22.8539891507005</v>
      </c>
      <c r="AI8527">
        <v>92.768572996257404</v>
      </c>
      <c r="AJ8527">
        <v>84.306656470457696</v>
      </c>
      <c r="AK8527">
        <v>22.994123591585002</v>
      </c>
      <c r="AL8527">
        <v>86.1734373776832</v>
      </c>
      <c r="AM8527">
        <v>88.425850714887602</v>
      </c>
      <c r="AN8527">
        <v>1.0000000115688801</v>
      </c>
    </row>
    <row r="8528" spans="1:40" x14ac:dyDescent="0.25">
      <c r="A8528" t="str">
        <f>"20190312150855690"</f>
        <v>20190312150855690</v>
      </c>
      <c r="B8528" t="str">
        <f>"1552374535688036"</f>
        <v>1552374535688036</v>
      </c>
      <c r="C8528" t="s">
        <v>40</v>
      </c>
      <c r="D8528">
        <v>4.8383430000000001</v>
      </c>
      <c r="E8528">
        <v>0.54314079999999998</v>
      </c>
      <c r="F8528" t="s">
        <v>42</v>
      </c>
      <c r="G8528">
        <v>-351.93369999999999</v>
      </c>
      <c r="H8528" s="1">
        <v>-4.2173439999999998E-6</v>
      </c>
      <c r="I8528">
        <v>15.24926</v>
      </c>
      <c r="J8528">
        <v>-374.8965</v>
      </c>
      <c r="K8528">
        <v>1.1106229999999999</v>
      </c>
      <c r="L8528">
        <v>16.988889999999898</v>
      </c>
      <c r="M8528">
        <v>0.99959989999999999</v>
      </c>
      <c r="N8528">
        <v>0</v>
      </c>
      <c r="O8528">
        <v>2.5287899999999999E-2</v>
      </c>
      <c r="P8528">
        <v>0.99851979999999996</v>
      </c>
      <c r="Q8528">
        <v>5.4273120000000001E-2</v>
      </c>
      <c r="R8528">
        <v>-3.5335950000000001E-3</v>
      </c>
      <c r="S8528">
        <v>3.011749</v>
      </c>
      <c r="T8528">
        <v>-0.14477209999999999</v>
      </c>
      <c r="U8528">
        <v>-0.22625729999999999</v>
      </c>
      <c r="V8528">
        <v>2.8748599999999999E-2</v>
      </c>
      <c r="W8528">
        <v>6.6926310000000003E-2</v>
      </c>
      <c r="X8528">
        <v>0.99734370000000006</v>
      </c>
      <c r="Y8528">
        <v>9.9964819999999996E-2</v>
      </c>
      <c r="Z8528">
        <v>-3.6112969999999999E-3</v>
      </c>
      <c r="AA8528">
        <v>0.99498439999999999</v>
      </c>
      <c r="AB8528">
        <v>28</v>
      </c>
      <c r="AC8528">
        <v>22.962800000000001</v>
      </c>
      <c r="AD8528">
        <v>-1.1106272173439999</v>
      </c>
      <c r="AE8528">
        <v>-1.73962999999999</v>
      </c>
      <c r="AF8528">
        <v>2.31441797335179</v>
      </c>
      <c r="AG8528">
        <v>-1.1106272173439999</v>
      </c>
      <c r="AH8528">
        <v>22.858293040467299</v>
      </c>
      <c r="AI8528">
        <v>92.767543210354802</v>
      </c>
      <c r="AJ8528">
        <v>84.218465846176599</v>
      </c>
      <c r="AK8528">
        <v>23.001990872425701</v>
      </c>
      <c r="AL8528">
        <v>86.162536636741194</v>
      </c>
      <c r="AM8528">
        <v>88.348896706941105</v>
      </c>
      <c r="AN8528">
        <v>1.0000000344509301</v>
      </c>
    </row>
    <row r="8529" spans="1:40" x14ac:dyDescent="0.25">
      <c r="A8529" t="str">
        <f>"20190312150855702"</f>
        <v>20190312150855702</v>
      </c>
      <c r="B8529" t="str">
        <f>"1552374535697797"</f>
        <v>1552374535697797</v>
      </c>
      <c r="C8529" t="s">
        <v>40</v>
      </c>
      <c r="D8529">
        <v>4.8357479999999997</v>
      </c>
      <c r="E8529">
        <v>0.54314079999999998</v>
      </c>
      <c r="F8529" t="s">
        <v>42</v>
      </c>
      <c r="G8529">
        <v>-355.48520000000002</v>
      </c>
      <c r="H8529" s="1">
        <v>-2.8159239999999998E-6</v>
      </c>
      <c r="I8529">
        <v>14.75502</v>
      </c>
      <c r="J8529">
        <v>-374.75020000000001</v>
      </c>
      <c r="K8529">
        <v>1.11059</v>
      </c>
      <c r="L8529">
        <v>16.992739999999898</v>
      </c>
      <c r="M8529">
        <v>0.99959710000000002</v>
      </c>
      <c r="N8529">
        <v>0</v>
      </c>
      <c r="O8529">
        <v>2.5402279999999999E-2</v>
      </c>
      <c r="P8529">
        <v>0.99851380000000001</v>
      </c>
      <c r="Q8529">
        <v>5.4318369999999998E-2</v>
      </c>
      <c r="R8529">
        <v>-4.4278449999999997E-3</v>
      </c>
      <c r="S8529">
        <v>3.0126040000000001</v>
      </c>
      <c r="T8529">
        <v>-0.17236699999999999</v>
      </c>
      <c r="U8529">
        <v>-0.34667969999999998</v>
      </c>
      <c r="V8529">
        <v>2.9761969999999999E-2</v>
      </c>
      <c r="W8529">
        <v>6.696771E-2</v>
      </c>
      <c r="X8529">
        <v>0.99731119999999995</v>
      </c>
      <c r="Y8529">
        <v>0.13925679999999999</v>
      </c>
      <c r="Z8529">
        <v>-5.4154679999999997E-3</v>
      </c>
      <c r="AA8529">
        <v>0.9902415</v>
      </c>
      <c r="AB8529">
        <v>28</v>
      </c>
      <c r="AC8529">
        <v>19.264999999999901</v>
      </c>
      <c r="AD8529">
        <v>-1.1105928159239999</v>
      </c>
      <c r="AE8529">
        <v>-2.2377199999999902</v>
      </c>
      <c r="AF8529">
        <v>2.7175010708231899</v>
      </c>
      <c r="AG8529">
        <v>-1.1105928159239999</v>
      </c>
      <c r="AH8529">
        <v>19.1391758309313</v>
      </c>
      <c r="AI8529">
        <v>93.288084418851895</v>
      </c>
      <c r="AJ8529">
        <v>81.918800395794506</v>
      </c>
      <c r="AK8529">
        <v>19.363013194232298</v>
      </c>
      <c r="AL8529">
        <v>86.160159276792598</v>
      </c>
      <c r="AM8529">
        <v>88.290674627977694</v>
      </c>
      <c r="AN8529">
        <v>1.00000003934318</v>
      </c>
    </row>
    <row r="8530" spans="1:40" x14ac:dyDescent="0.25">
      <c r="A8530" t="str">
        <f>"20190312150855714"</f>
        <v>20190312150855714</v>
      </c>
      <c r="B8530" t="str">
        <f>"1552374535708532"</f>
        <v>1552374535708532</v>
      </c>
      <c r="C8530" t="s">
        <v>40</v>
      </c>
      <c r="D8530">
        <v>4.8097099999999999</v>
      </c>
      <c r="E8530">
        <v>0.54483159999999997</v>
      </c>
      <c r="F8530" t="s">
        <v>42</v>
      </c>
      <c r="G8530">
        <v>-355.31939999999997</v>
      </c>
      <c r="H8530" s="1">
        <v>-2.876697E-6</v>
      </c>
      <c r="I8530">
        <v>14.738619999999999</v>
      </c>
      <c r="J8530">
        <v>-374.60680000000002</v>
      </c>
      <c r="K8530">
        <v>1.11056</v>
      </c>
      <c r="L8530">
        <v>16.99652</v>
      </c>
      <c r="M8530">
        <v>0.99959500000000001</v>
      </c>
      <c r="N8530">
        <v>0</v>
      </c>
      <c r="O8530">
        <v>2.5487739999999998E-2</v>
      </c>
      <c r="P8530">
        <v>0.99850340000000004</v>
      </c>
      <c r="Q8530">
        <v>5.4330009999999998E-2</v>
      </c>
      <c r="R8530">
        <v>-6.2846610000000004E-3</v>
      </c>
      <c r="S8530">
        <v>3.0122070000000001</v>
      </c>
      <c r="T8530">
        <v>-0.17216709999999999</v>
      </c>
      <c r="U8530">
        <v>-0.34942630000000002</v>
      </c>
      <c r="V8530">
        <v>3.170804E-2</v>
      </c>
      <c r="W8530">
        <v>6.6975800000000002E-2</v>
      </c>
      <c r="X8530">
        <v>0.99725059999999999</v>
      </c>
      <c r="Y8530">
        <v>0.14024610000000001</v>
      </c>
      <c r="Z8530">
        <v>-5.4426469999999897E-3</v>
      </c>
      <c r="AA8530">
        <v>0.99010169999999997</v>
      </c>
      <c r="AB8530">
        <v>28</v>
      </c>
      <c r="AC8530">
        <v>19.287400000000002</v>
      </c>
      <c r="AD8530">
        <v>-1.1105628766969999</v>
      </c>
      <c r="AE8530">
        <v>-2.2578999999999998</v>
      </c>
      <c r="AF8530">
        <v>2.73983707575871</v>
      </c>
      <c r="AG8530">
        <v>-1.1105628766969999</v>
      </c>
      <c r="AH8530">
        <v>19.160912112728099</v>
      </c>
      <c r="AI8530">
        <v>93.283814470718497</v>
      </c>
      <c r="AJ8530">
        <v>81.862384387563395</v>
      </c>
      <c r="AK8530">
        <v>19.387640653171001</v>
      </c>
      <c r="AL8530">
        <v>86.159694399606195</v>
      </c>
      <c r="AM8530">
        <v>88.178867950588696</v>
      </c>
      <c r="AN8530">
        <v>0.99999995839331901</v>
      </c>
    </row>
    <row r="8531" spans="1:40" x14ac:dyDescent="0.25">
      <c r="A8531" t="str">
        <f>"20190312150855727"</f>
        <v>20190312150855727</v>
      </c>
      <c r="B8531" t="str">
        <f>"1552374535718292"</f>
        <v>1552374535718292</v>
      </c>
      <c r="C8531" t="s">
        <v>40</v>
      </c>
      <c r="D8531">
        <v>4.7324679999999999</v>
      </c>
      <c r="E8531">
        <v>0.54369489999999998</v>
      </c>
      <c r="F8531" t="s">
        <v>41</v>
      </c>
      <c r="G8531">
        <v>-373.74239999999998</v>
      </c>
      <c r="H8531">
        <v>1.04379</v>
      </c>
      <c r="I8531">
        <v>16.89115</v>
      </c>
      <c r="J8531">
        <v>-374.45190000000002</v>
      </c>
      <c r="K8531">
        <v>1.1105290000000001</v>
      </c>
      <c r="L8531">
        <v>17.00055</v>
      </c>
      <c r="M8531">
        <v>0.99959290000000001</v>
      </c>
      <c r="N8531">
        <v>0</v>
      </c>
      <c r="O8531">
        <v>2.5569830000000002E-2</v>
      </c>
      <c r="P8531">
        <v>0.99849520000000003</v>
      </c>
      <c r="Q8531">
        <v>5.4302019999999999E-2</v>
      </c>
      <c r="R8531">
        <v>-7.6829969999999996E-3</v>
      </c>
      <c r="S8531">
        <v>3.0148619999999999</v>
      </c>
      <c r="T8531">
        <v>-0.23283490000000001</v>
      </c>
      <c r="U8531">
        <v>-0.3670349</v>
      </c>
      <c r="V8531">
        <v>3.3192529999999998E-2</v>
      </c>
      <c r="W8531">
        <v>6.6943920000000004E-2</v>
      </c>
      <c r="X8531">
        <v>0.99720450000000005</v>
      </c>
      <c r="Y8531">
        <v>0.1456916</v>
      </c>
      <c r="Z8531">
        <v>-7.5622140000000003E-3</v>
      </c>
      <c r="AA8531">
        <v>0.98930110000000004</v>
      </c>
      <c r="AB8531">
        <v>28</v>
      </c>
      <c r="AC8531">
        <v>0.70950000000004798</v>
      </c>
      <c r="AD8531">
        <v>-6.6739000000000104E-2</v>
      </c>
      <c r="AE8531">
        <v>-0.1094</v>
      </c>
      <c r="AF8531">
        <v>0.12641490540584499</v>
      </c>
      <c r="AG8531">
        <v>-6.6739000000000104E-2</v>
      </c>
      <c r="AH8531">
        <v>0.70041692096067198</v>
      </c>
      <c r="AI8531">
        <v>95.356940912502694</v>
      </c>
      <c r="AJ8531">
        <v>79.769099721619895</v>
      </c>
      <c r="AK8531">
        <v>0.71485570963502598</v>
      </c>
      <c r="AL8531">
        <v>86.161525348672399</v>
      </c>
      <c r="AM8531">
        <v>88.093580608353804</v>
      </c>
      <c r="AN8531">
        <v>1.0000000236465001</v>
      </c>
    </row>
    <row r="8532" spans="1:40" x14ac:dyDescent="0.25">
      <c r="A8532" t="str">
        <f>"20190312150855738"</f>
        <v>20190312150855738</v>
      </c>
      <c r="B8532" t="str">
        <f>"1552374535728052"</f>
        <v>1552374535728052</v>
      </c>
      <c r="C8532" t="s">
        <v>40</v>
      </c>
      <c r="D8532">
        <v>4.7690839999999897</v>
      </c>
      <c r="E8532">
        <v>0.54336430000000002</v>
      </c>
      <c r="F8532" t="s">
        <v>41</v>
      </c>
      <c r="G8532">
        <v>-373.49549999999999</v>
      </c>
      <c r="H8532">
        <v>1.039102</v>
      </c>
      <c r="I8532">
        <v>16.885159999999999</v>
      </c>
      <c r="J8532">
        <v>-374.29719999999998</v>
      </c>
      <c r="K8532">
        <v>1.1105020000000001</v>
      </c>
      <c r="L8532">
        <v>17.004579999999901</v>
      </c>
      <c r="M8532">
        <v>0.99959149999999997</v>
      </c>
      <c r="N8532">
        <v>0</v>
      </c>
      <c r="O8532">
        <v>2.5627279999999999E-2</v>
      </c>
      <c r="P8532">
        <v>0.99847580000000002</v>
      </c>
      <c r="Q8532">
        <v>5.4470650000000002E-2</v>
      </c>
      <c r="R8532">
        <v>-8.9062350000000002E-3</v>
      </c>
      <c r="S8532">
        <v>3.0139770000000001</v>
      </c>
      <c r="T8532">
        <v>-0.22508719999999999</v>
      </c>
      <c r="U8532">
        <v>-0.36245729999999998</v>
      </c>
      <c r="V8532">
        <v>3.447704E-2</v>
      </c>
      <c r="W8532">
        <v>6.7108059999999997E-2</v>
      </c>
      <c r="X8532">
        <v>0.99714990000000003</v>
      </c>
      <c r="Y8532">
        <v>0.14433840000000001</v>
      </c>
      <c r="Z8532">
        <v>-7.2680490000000004E-3</v>
      </c>
      <c r="AA8532">
        <v>0.98950170000000004</v>
      </c>
      <c r="AB8532">
        <v>28</v>
      </c>
      <c r="AC8532">
        <v>0.80169999999998198</v>
      </c>
      <c r="AD8532">
        <v>-7.1400000000000102E-2</v>
      </c>
      <c r="AE8532">
        <v>-0.119419999999998</v>
      </c>
      <c r="AF8532">
        <v>0.13885037822332599</v>
      </c>
      <c r="AG8532">
        <v>-7.1400000000000102E-2</v>
      </c>
      <c r="AH8532">
        <v>0.79222858938990404</v>
      </c>
      <c r="AI8532">
        <v>95.072983545979199</v>
      </c>
      <c r="AJ8532">
        <v>80.058992461045406</v>
      </c>
      <c r="AK8532">
        <v>0.80746735251617396</v>
      </c>
      <c r="AL8532">
        <v>86.152099688437005</v>
      </c>
      <c r="AM8532">
        <v>88.019753827510101</v>
      </c>
      <c r="AN8532">
        <v>1.0000000405370599</v>
      </c>
    </row>
    <row r="8533" spans="1:40" x14ac:dyDescent="0.25">
      <c r="A8533" t="str">
        <f>"20190312150855750"</f>
        <v>20190312150855750</v>
      </c>
      <c r="B8533" t="str">
        <f>"1552374535737812"</f>
        <v>1552374535737812</v>
      </c>
      <c r="C8533" t="s">
        <v>40</v>
      </c>
      <c r="D8533">
        <v>4.7991659999999996</v>
      </c>
      <c r="E8533">
        <v>0.54353209999999996</v>
      </c>
      <c r="F8533" t="s">
        <v>42</v>
      </c>
      <c r="G8533">
        <v>-359.36509999999998</v>
      </c>
      <c r="H8533" s="1">
        <v>-1.376314E-6</v>
      </c>
      <c r="I8533">
        <v>15.20322</v>
      </c>
      <c r="J8533">
        <v>-374.15809999999999</v>
      </c>
      <c r="K8533">
        <v>1.1104799999999999</v>
      </c>
      <c r="L8533">
        <v>17.008209999999998</v>
      </c>
      <c r="M8533">
        <v>0.99959050000000005</v>
      </c>
      <c r="N8533">
        <v>0</v>
      </c>
      <c r="O8533">
        <v>2.566771E-2</v>
      </c>
      <c r="P8533">
        <v>0.99845390000000001</v>
      </c>
      <c r="Q8533">
        <v>5.4557630000000003E-2</v>
      </c>
      <c r="R8533">
        <v>-1.0648100000000001E-2</v>
      </c>
      <c r="S8533">
        <v>3.01355</v>
      </c>
      <c r="T8533">
        <v>-0.22411739999999999</v>
      </c>
      <c r="U8533">
        <v>-0.3635254</v>
      </c>
      <c r="V8533">
        <v>3.626186E-2</v>
      </c>
      <c r="W8533">
        <v>6.7191319999999999E-2</v>
      </c>
      <c r="X8533">
        <v>0.99708090000000005</v>
      </c>
      <c r="Y8533">
        <v>0.14474339999999999</v>
      </c>
      <c r="Z8533">
        <v>-7.2556649999999997E-3</v>
      </c>
      <c r="AA8533">
        <v>0.98944259999999995</v>
      </c>
      <c r="AB8533">
        <v>28</v>
      </c>
      <c r="AC8533">
        <v>14.792999999999999</v>
      </c>
      <c r="AD8533">
        <v>-1.110481376314</v>
      </c>
      <c r="AE8533">
        <v>-1.8049900000000001</v>
      </c>
      <c r="AF8533">
        <v>2.17206753094858</v>
      </c>
      <c r="AG8533">
        <v>-1.110481376314</v>
      </c>
      <c r="AH8533">
        <v>14.6603892651765</v>
      </c>
      <c r="AI8533">
        <v>94.285115829196698</v>
      </c>
      <c r="AJ8533">
        <v>81.572426706089402</v>
      </c>
      <c r="AK8533">
        <v>14.8619668837151</v>
      </c>
      <c r="AL8533">
        <v>86.147318134043502</v>
      </c>
      <c r="AM8533">
        <v>87.917183779824498</v>
      </c>
      <c r="AN8533">
        <v>0.99999995855940504</v>
      </c>
    </row>
    <row r="8534" spans="1:40" x14ac:dyDescent="0.25">
      <c r="A8534" t="str">
        <f>"20190312150855768"</f>
        <v>20190312150855768</v>
      </c>
      <c r="B8534" t="str">
        <f>"1552374535758311"</f>
        <v>1552374535758311</v>
      </c>
      <c r="C8534" t="s">
        <v>40</v>
      </c>
      <c r="D8534">
        <v>4.7801600000000004</v>
      </c>
      <c r="E8534">
        <v>0.54362519999999903</v>
      </c>
      <c r="F8534" t="s">
        <v>42</v>
      </c>
      <c r="G8534">
        <v>-358.98129999999998</v>
      </c>
      <c r="H8534" s="1">
        <v>-1.5228620000000001E-6</v>
      </c>
      <c r="I8534">
        <v>15.14334</v>
      </c>
      <c r="J8534">
        <v>-373.93430000000001</v>
      </c>
      <c r="K8534">
        <v>1.110449</v>
      </c>
      <c r="L8534">
        <v>17.01407</v>
      </c>
      <c r="M8534">
        <v>0.99958930000000001</v>
      </c>
      <c r="N8534">
        <v>0</v>
      </c>
      <c r="O8534">
        <v>2.5709840000000001E-2</v>
      </c>
      <c r="P8534">
        <v>0.99841009999999997</v>
      </c>
      <c r="Q8534">
        <v>5.4730389999999997E-2</v>
      </c>
      <c r="R8534">
        <v>-1.3489569999999999E-2</v>
      </c>
      <c r="S8534">
        <v>3.012756</v>
      </c>
      <c r="T8534">
        <v>-0.22044130000000001</v>
      </c>
      <c r="U8534">
        <v>-0.37017820000000001</v>
      </c>
      <c r="V8534">
        <v>3.9148450000000001E-2</v>
      </c>
      <c r="W8534">
        <v>6.7358310000000005E-2</v>
      </c>
      <c r="X8534">
        <v>0.99696050000000003</v>
      </c>
      <c r="Y8534">
        <v>0.14697769999999999</v>
      </c>
      <c r="Z8534">
        <v>-7.2222980000000003E-3</v>
      </c>
      <c r="AA8534">
        <v>0.98911349999999998</v>
      </c>
      <c r="AB8534">
        <v>28</v>
      </c>
      <c r="AC8534">
        <v>14.952999999999999</v>
      </c>
      <c r="AD8534">
        <v>-1.1104505228620001</v>
      </c>
      <c r="AE8534">
        <v>-1.87073</v>
      </c>
      <c r="AF8534">
        <v>2.24240538884797</v>
      </c>
      <c r="AG8534">
        <v>-1.1104505228620001</v>
      </c>
      <c r="AH8534">
        <v>14.8194871604288</v>
      </c>
      <c r="AI8534">
        <v>94.237211682149393</v>
      </c>
      <c r="AJ8534">
        <v>81.395582701297101</v>
      </c>
      <c r="AK8534">
        <v>15.0292608597287</v>
      </c>
      <c r="AL8534">
        <v>86.137728710889206</v>
      </c>
      <c r="AM8534">
        <v>87.751275871573398</v>
      </c>
      <c r="AN8534">
        <v>0.99999999081185398</v>
      </c>
    </row>
    <row r="8535" spans="1:40" x14ac:dyDescent="0.25">
      <c r="A8535" t="str">
        <f>"20190312150855779"</f>
        <v>20190312150855779</v>
      </c>
      <c r="B8535" t="str">
        <f>"1552374535768068"</f>
        <v>1552374535768068</v>
      </c>
      <c r="C8535" t="s">
        <v>40</v>
      </c>
      <c r="D8535">
        <v>4.7612269999999999</v>
      </c>
      <c r="E8535">
        <v>0.54369499999999904</v>
      </c>
      <c r="F8535" t="s">
        <v>42</v>
      </c>
      <c r="G8535">
        <v>-358.44900000000001</v>
      </c>
      <c r="H8535" s="1">
        <v>-1.7255860000000001E-6</v>
      </c>
      <c r="I8535">
        <v>15.06218</v>
      </c>
      <c r="J8535">
        <v>-373.78820000000002</v>
      </c>
      <c r="K8535">
        <v>1.1104339999999999</v>
      </c>
      <c r="L8535">
        <v>17.017849999999999</v>
      </c>
      <c r="M8535">
        <v>0.99958910000000001</v>
      </c>
      <c r="N8535">
        <v>0</v>
      </c>
      <c r="O8535">
        <v>2.5722209999999999E-2</v>
      </c>
      <c r="P8535">
        <v>0.99839420000000001</v>
      </c>
      <c r="Q8535">
        <v>5.4634099999999998E-2</v>
      </c>
      <c r="R8535">
        <v>-1.4983649999999999E-2</v>
      </c>
      <c r="S8535">
        <v>3.0115050000000001</v>
      </c>
      <c r="T8535">
        <v>-0.21595510000000001</v>
      </c>
      <c r="U8535">
        <v>-0.37957760000000001</v>
      </c>
      <c r="V8535">
        <v>4.0657020000000002E-2</v>
      </c>
      <c r="W8535">
        <v>6.7258380000000006E-2</v>
      </c>
      <c r="X8535">
        <v>0.99690690000000004</v>
      </c>
      <c r="Y8535">
        <v>0.15008929999999901</v>
      </c>
      <c r="Z8535">
        <v>-7.1891350000000001E-3</v>
      </c>
      <c r="AA8535">
        <v>0.98864629999999998</v>
      </c>
      <c r="AB8535">
        <v>28</v>
      </c>
      <c r="AC8535">
        <v>15.3392</v>
      </c>
      <c r="AD8535">
        <v>-1.110435725586</v>
      </c>
      <c r="AE8535">
        <v>-1.95567</v>
      </c>
      <c r="AF8535">
        <v>2.3375582364756999</v>
      </c>
      <c r="AG8535">
        <v>-1.110435725586</v>
      </c>
      <c r="AH8535">
        <v>15.205404760748699</v>
      </c>
      <c r="AI8535">
        <v>94.128509376173398</v>
      </c>
      <c r="AJ8535">
        <v>81.260223650747307</v>
      </c>
      <c r="AK8535">
        <v>15.424058478486501</v>
      </c>
      <c r="AL8535">
        <v>86.1434674244977</v>
      </c>
      <c r="AM8535">
        <v>87.664590918306601</v>
      </c>
      <c r="AN8535">
        <v>1.00000002511155</v>
      </c>
    </row>
    <row r="8536" spans="1:40" x14ac:dyDescent="0.25">
      <c r="A8536" t="str">
        <f>"20190312150855790"</f>
        <v>20190312150855790</v>
      </c>
      <c r="B8536" t="str">
        <f>"1552374535777829"</f>
        <v>1552374535777829</v>
      </c>
      <c r="C8536" t="s">
        <v>40</v>
      </c>
      <c r="D8536">
        <v>4.764507</v>
      </c>
      <c r="E8536">
        <v>0.54368709999999998</v>
      </c>
      <c r="F8536" t="s">
        <v>42</v>
      </c>
      <c r="G8536">
        <v>-358.27800000000002</v>
      </c>
      <c r="H8536" s="1">
        <v>-1.7907090000000001E-6</v>
      </c>
      <c r="I8536">
        <v>15.036149999999999</v>
      </c>
      <c r="J8536">
        <v>-373.6567</v>
      </c>
      <c r="K8536">
        <v>1.1104210000000001</v>
      </c>
      <c r="L8536">
        <v>17.021239999999999</v>
      </c>
      <c r="M8536">
        <v>0.9995889</v>
      </c>
      <c r="N8536">
        <v>0</v>
      </c>
      <c r="O8536">
        <v>2.572702E-2</v>
      </c>
      <c r="P8536">
        <v>0.99836910000000001</v>
      </c>
      <c r="Q8536">
        <v>5.4653359999999998E-2</v>
      </c>
      <c r="R8536">
        <v>-1.6503199999999999E-2</v>
      </c>
      <c r="S8536">
        <v>3.0108640000000002</v>
      </c>
      <c r="T8536">
        <v>-0.21555920000000001</v>
      </c>
      <c r="U8536">
        <v>-0.38467410000000002</v>
      </c>
      <c r="V8536">
        <v>4.2182299999999999E-2</v>
      </c>
      <c r="W8536">
        <v>6.7275520000000005E-2</v>
      </c>
      <c r="X8536">
        <v>0.99684229999999996</v>
      </c>
      <c r="Y8536">
        <v>0.15176419999999999</v>
      </c>
      <c r="Z8536">
        <v>-7.2367330000000004E-3</v>
      </c>
      <c r="AA8536">
        <v>0.98839030000000005</v>
      </c>
      <c r="AB8536">
        <v>28</v>
      </c>
      <c r="AC8536">
        <v>15.378699999999901</v>
      </c>
      <c r="AD8536">
        <v>-1.1104227907090001</v>
      </c>
      <c r="AE8536">
        <v>-1.98509</v>
      </c>
      <c r="AF8536">
        <v>2.36796933930904</v>
      </c>
      <c r="AG8536">
        <v>-1.1104227907090001</v>
      </c>
      <c r="AH8536">
        <v>15.2443589702512</v>
      </c>
      <c r="AI8536">
        <v>94.116956079459101</v>
      </c>
      <c r="AJ8536">
        <v>81.170572499239299</v>
      </c>
      <c r="AK8536">
        <v>15.467087572646401</v>
      </c>
      <c r="AL8536">
        <v>86.142482880593505</v>
      </c>
      <c r="AM8536">
        <v>87.576921916026805</v>
      </c>
      <c r="AN8536">
        <v>0.99999995654692397</v>
      </c>
    </row>
    <row r="8537" spans="1:40" x14ac:dyDescent="0.25">
      <c r="A8537" t="str">
        <f>"20190312150855804"</f>
        <v>20190312150855804</v>
      </c>
      <c r="B8537" t="str">
        <f>"1552374535798324"</f>
        <v>1552374535798324</v>
      </c>
      <c r="C8537" t="s">
        <v>40</v>
      </c>
      <c r="D8537">
        <v>4.7566949999999997</v>
      </c>
      <c r="E8537">
        <v>0.54167500000000002</v>
      </c>
      <c r="F8537" t="s">
        <v>42</v>
      </c>
      <c r="G8537">
        <v>-358.04840000000002</v>
      </c>
      <c r="H8537" s="1">
        <v>-1.8778799999999999E-6</v>
      </c>
      <c r="I8537">
        <v>15.00221</v>
      </c>
      <c r="J8537">
        <v>-373.48919999999998</v>
      </c>
      <c r="K8537">
        <v>1.1104050000000001</v>
      </c>
      <c r="L8537">
        <v>17.025569999999998</v>
      </c>
      <c r="M8537">
        <v>0.9995889</v>
      </c>
      <c r="N8537">
        <v>0</v>
      </c>
      <c r="O8537">
        <v>2.5726969999999998E-2</v>
      </c>
      <c r="P8537">
        <v>0.99834940000000005</v>
      </c>
      <c r="Q8537">
        <v>5.4660350000000003E-2</v>
      </c>
      <c r="R8537">
        <v>-1.7625330000000002E-2</v>
      </c>
      <c r="S8537">
        <v>3.0102229999999999</v>
      </c>
      <c r="T8537">
        <v>-0.2141565</v>
      </c>
      <c r="U8537">
        <v>-0.38937379999999999</v>
      </c>
      <c r="V8537">
        <v>4.3306049999999999E-2</v>
      </c>
      <c r="W8537">
        <v>6.7281240000000006E-2</v>
      </c>
      <c r="X8537">
        <v>0.9967937</v>
      </c>
      <c r="Y8537">
        <v>0.15331029999999901</v>
      </c>
      <c r="Z8537">
        <v>-7.2452690000000004E-3</v>
      </c>
      <c r="AA8537">
        <v>0.98815160000000002</v>
      </c>
      <c r="AB8537">
        <v>28</v>
      </c>
      <c r="AC8537">
        <v>15.4407999999999</v>
      </c>
      <c r="AD8537">
        <v>-1.11040687787999</v>
      </c>
      <c r="AE8537">
        <v>-2.0233599999999998</v>
      </c>
      <c r="AF8537">
        <v>2.4077254061704498</v>
      </c>
      <c r="AG8537">
        <v>-1.11040687787999</v>
      </c>
      <c r="AH8537">
        <v>15.305810073054399</v>
      </c>
      <c r="AI8537">
        <v>94.099194302094801</v>
      </c>
      <c r="AJ8537">
        <v>81.060179691637302</v>
      </c>
      <c r="AK8537">
        <v>15.5337686045073</v>
      </c>
      <c r="AL8537">
        <v>86.142154301097193</v>
      </c>
      <c r="AM8537">
        <v>87.512329244148106</v>
      </c>
      <c r="AN8537">
        <v>0.99999992979111196</v>
      </c>
    </row>
    <row r="8538" spans="1:40" x14ac:dyDescent="0.25">
      <c r="A8538" t="str">
        <f>"20190312150855817"</f>
        <v>20190312150855817</v>
      </c>
      <c r="B8538" t="str">
        <f>"1552374535808086"</f>
        <v>1552374535808086</v>
      </c>
      <c r="C8538" t="s">
        <v>40</v>
      </c>
      <c r="D8538">
        <v>4.7658659999999999</v>
      </c>
      <c r="E8538">
        <v>0.54141909999999904</v>
      </c>
      <c r="F8538" t="s">
        <v>42</v>
      </c>
      <c r="G8538">
        <v>-352.03969999999998</v>
      </c>
      <c r="H8538" s="1">
        <v>-4.3351589999999999E-6</v>
      </c>
      <c r="I8538">
        <v>14.328810000000001</v>
      </c>
      <c r="J8538">
        <v>-373.32389999999998</v>
      </c>
      <c r="K8538">
        <v>1.110398</v>
      </c>
      <c r="L8538">
        <v>17.029820000000001</v>
      </c>
      <c r="M8538">
        <v>0.99958910000000001</v>
      </c>
      <c r="N8538">
        <v>0</v>
      </c>
      <c r="O8538">
        <v>2.5719120000000002E-2</v>
      </c>
      <c r="P8538">
        <v>0.99830819999999998</v>
      </c>
      <c r="Q8538">
        <v>5.4974599999999998E-2</v>
      </c>
      <c r="R8538">
        <v>-1.8940800000000001E-2</v>
      </c>
      <c r="S8538">
        <v>3.0068049999999999</v>
      </c>
      <c r="T8538">
        <v>-0.15565780000000001</v>
      </c>
      <c r="U8538">
        <v>-0.3780212</v>
      </c>
      <c r="V8538">
        <v>4.4613609999999998E-2</v>
      </c>
      <c r="W8538">
        <v>6.759714E-2</v>
      </c>
      <c r="X8538">
        <v>0.99671469999999995</v>
      </c>
      <c r="Y8538">
        <v>0.14998710000000001</v>
      </c>
      <c r="Z8538">
        <v>-5.1903990000000001E-3</v>
      </c>
      <c r="AA8538">
        <v>0.98867430000000001</v>
      </c>
      <c r="AB8538">
        <v>28</v>
      </c>
      <c r="AC8538">
        <v>21.284199999999998</v>
      </c>
      <c r="AD8538">
        <v>-1.110402335159</v>
      </c>
      <c r="AE8538">
        <v>-2.7010099999999899</v>
      </c>
      <c r="AF8538">
        <v>3.2388954166933801</v>
      </c>
      <c r="AG8538">
        <v>-1.110402335159</v>
      </c>
      <c r="AH8538">
        <v>21.1510299339581</v>
      </c>
      <c r="AI8538">
        <v>92.970632367177402</v>
      </c>
      <c r="AJ8538">
        <v>81.293824791666196</v>
      </c>
      <c r="AK8538">
        <v>21.426374031398701</v>
      </c>
      <c r="AL8538">
        <v>86.124013420363596</v>
      </c>
      <c r="AM8538">
        <v>87.437113649384699</v>
      </c>
      <c r="AN8538">
        <v>0.99999997036474997</v>
      </c>
    </row>
    <row r="8539" spans="1:40" x14ac:dyDescent="0.25">
      <c r="A8539" t="str">
        <f>"20190312150855835"</f>
        <v>20190312150855835</v>
      </c>
      <c r="B8539" t="str">
        <f>"1552374535828121"</f>
        <v>1552374535828121</v>
      </c>
      <c r="C8539" t="s">
        <v>40</v>
      </c>
      <c r="D8539">
        <v>4.7479319999999996</v>
      </c>
      <c r="E8539">
        <v>0.54094419999999899</v>
      </c>
      <c r="F8539" t="s">
        <v>42</v>
      </c>
      <c r="G8539">
        <v>-352.46100000000001</v>
      </c>
      <c r="H8539" s="1">
        <v>-4.1428980000000001E-6</v>
      </c>
      <c r="I8539">
        <v>14.39381</v>
      </c>
      <c r="J8539">
        <v>-373.09519999999998</v>
      </c>
      <c r="K8539">
        <v>1.1103909999999999</v>
      </c>
      <c r="L8539">
        <v>17.035740000000001</v>
      </c>
      <c r="M8539">
        <v>0.99958950000000002</v>
      </c>
      <c r="N8539">
        <v>0</v>
      </c>
      <c r="O8539">
        <v>2.57053E-2</v>
      </c>
      <c r="P8539">
        <v>0.998224</v>
      </c>
      <c r="Q8539">
        <v>5.5544629999999998E-2</v>
      </c>
      <c r="R8539">
        <v>-2.1543400000000001E-2</v>
      </c>
      <c r="S8539">
        <v>3.0067140000000001</v>
      </c>
      <c r="T8539">
        <v>-0.16002829999999901</v>
      </c>
      <c r="U8539">
        <v>-0.37988280000000002</v>
      </c>
      <c r="V8539">
        <v>4.7200699999999998E-2</v>
      </c>
      <c r="W8539">
        <v>6.8169439999999998E-2</v>
      </c>
      <c r="X8539">
        <v>0.99655660000000001</v>
      </c>
      <c r="Y8539">
        <v>0.1505657</v>
      </c>
      <c r="Z8539">
        <v>-5.350484E-3</v>
      </c>
      <c r="AA8539">
        <v>0.98858550000000001</v>
      </c>
      <c r="AB8539">
        <v>28</v>
      </c>
      <c r="AC8539">
        <v>20.6341999999999</v>
      </c>
      <c r="AD8539">
        <v>-1.1103951428979999</v>
      </c>
      <c r="AE8539">
        <v>-2.6419299999999999</v>
      </c>
      <c r="AF8539">
        <v>3.1624971442363599</v>
      </c>
      <c r="AG8539">
        <v>-1.1103951428979999</v>
      </c>
      <c r="AH8539">
        <v>20.501052651392701</v>
      </c>
      <c r="AI8539">
        <v>93.064100215038707</v>
      </c>
      <c r="AJ8539">
        <v>81.230662787275094</v>
      </c>
      <c r="AK8539">
        <v>20.773240608432999</v>
      </c>
      <c r="AL8539">
        <v>86.091147416628999</v>
      </c>
      <c r="AM8539">
        <v>87.288281136406596</v>
      </c>
      <c r="AN8539">
        <v>1.0000000178169799</v>
      </c>
    </row>
    <row r="8540" spans="1:40" x14ac:dyDescent="0.25">
      <c r="A8540" t="str">
        <f>"20190312150855849"</f>
        <v>20190312150855849</v>
      </c>
      <c r="B8540" t="str">
        <f>"1552374535837869"</f>
        <v>1552374535837869</v>
      </c>
      <c r="C8540" t="s">
        <v>40</v>
      </c>
      <c r="D8540">
        <v>4.7364290000000002</v>
      </c>
      <c r="E8540">
        <v>0.54099909999999996</v>
      </c>
      <c r="F8540" t="s">
        <v>42</v>
      </c>
      <c r="G8540">
        <v>-352.43459999999999</v>
      </c>
      <c r="H8540" s="1">
        <v>-4.153581E-6</v>
      </c>
      <c r="I8540">
        <v>14.397410000000001</v>
      </c>
      <c r="J8540">
        <v>-372.93259999999998</v>
      </c>
      <c r="K8540">
        <v>1.1103909999999999</v>
      </c>
      <c r="L8540">
        <v>17.039919999999999</v>
      </c>
      <c r="M8540">
        <v>0.99958959999999997</v>
      </c>
      <c r="N8540">
        <v>0</v>
      </c>
      <c r="O8540">
        <v>2.5695900000000001E-2</v>
      </c>
      <c r="P8540">
        <v>0.99820880000000001</v>
      </c>
      <c r="Q8540">
        <v>5.5285920000000002E-2</v>
      </c>
      <c r="R8540">
        <v>-2.2868960000000001E-2</v>
      </c>
      <c r="S8540">
        <v>3.0060120000000001</v>
      </c>
      <c r="T8540">
        <v>-0.16155700000000001</v>
      </c>
      <c r="U8540">
        <v>-0.38385010000000003</v>
      </c>
      <c r="V8540">
        <v>4.8517009999999999E-2</v>
      </c>
      <c r="W8540">
        <v>6.7914450000000001E-2</v>
      </c>
      <c r="X8540">
        <v>0.99651080000000003</v>
      </c>
      <c r="Y8540">
        <v>0.15186240000000001</v>
      </c>
      <c r="Z8540">
        <v>-5.4365079999999996E-3</v>
      </c>
      <c r="AA8540">
        <v>0.98838669999999995</v>
      </c>
      <c r="AB8540">
        <v>28</v>
      </c>
      <c r="AC8540">
        <v>20.497999999999902</v>
      </c>
      <c r="AD8540">
        <v>-1.1103951535809999</v>
      </c>
      <c r="AE8540">
        <v>-2.6425100000000001</v>
      </c>
      <c r="AF8540">
        <v>3.1592748175901999</v>
      </c>
      <c r="AG8540">
        <v>-1.1103951535809999</v>
      </c>
      <c r="AH8540">
        <v>20.364540923171798</v>
      </c>
      <c r="AI8540">
        <v>93.084193260147501</v>
      </c>
      <c r="AJ8540">
        <v>81.181653922846493</v>
      </c>
      <c r="AK8540">
        <v>20.638035802413398</v>
      </c>
      <c r="AL8540">
        <v>86.105791227510394</v>
      </c>
      <c r="AM8540">
        <v>87.2126477849542</v>
      </c>
      <c r="AN8540">
        <v>1.00000002364739</v>
      </c>
    </row>
    <row r="8541" spans="1:40" x14ac:dyDescent="0.25">
      <c r="A8541" t="str">
        <f>"20190312150855860"</f>
        <v>20190312150855860</v>
      </c>
      <c r="B8541" t="str">
        <f>"1552374535848605"</f>
        <v>1552374535848605</v>
      </c>
      <c r="C8541" t="s">
        <v>40</v>
      </c>
      <c r="D8541">
        <v>4.7518919999999998</v>
      </c>
      <c r="E8541">
        <v>0.54089809999999905</v>
      </c>
      <c r="F8541" t="s">
        <v>42</v>
      </c>
      <c r="G8541">
        <v>-352.32029999999997</v>
      </c>
      <c r="H8541" s="1">
        <v>-4.206099E-6</v>
      </c>
      <c r="I8541">
        <v>14.377750000000001</v>
      </c>
      <c r="J8541">
        <v>-372.78710000000001</v>
      </c>
      <c r="K8541">
        <v>1.11039</v>
      </c>
      <c r="L8541">
        <v>17.04364</v>
      </c>
      <c r="M8541">
        <v>0.99958959999999997</v>
      </c>
      <c r="N8541">
        <v>0</v>
      </c>
      <c r="O8541">
        <v>2.5689679999999999E-2</v>
      </c>
      <c r="P8541">
        <v>0.99817509999999998</v>
      </c>
      <c r="Q8541">
        <v>5.5397830000000002E-2</v>
      </c>
      <c r="R8541">
        <v>-2.4032250000000002E-2</v>
      </c>
      <c r="S8541">
        <v>3.0054319999999999</v>
      </c>
      <c r="T8541">
        <v>-0.161904399999999</v>
      </c>
      <c r="U8541">
        <v>-0.38815309999999997</v>
      </c>
      <c r="V8541">
        <v>4.9673340000000003E-2</v>
      </c>
      <c r="W8541">
        <v>6.8029110000000004E-2</v>
      </c>
      <c r="X8541">
        <v>0.99644600000000005</v>
      </c>
      <c r="Y8541">
        <v>0.15326909999999999</v>
      </c>
      <c r="Z8541">
        <v>-5.486108E-3</v>
      </c>
      <c r="AA8541">
        <v>0.98816930000000003</v>
      </c>
      <c r="AB8541">
        <v>28</v>
      </c>
      <c r="AC8541">
        <v>20.466799999999999</v>
      </c>
      <c r="AD8541">
        <v>-1.110394206099</v>
      </c>
      <c r="AE8541">
        <v>-2.6658899999999899</v>
      </c>
      <c r="AF8541">
        <v>3.1816291277789999</v>
      </c>
      <c r="AG8541">
        <v>-1.110394206099</v>
      </c>
      <c r="AH8541">
        <v>20.332703263052</v>
      </c>
      <c r="AI8541">
        <v>93.088381162637603</v>
      </c>
      <c r="AJ8541">
        <v>81.106566118317801</v>
      </c>
      <c r="AK8541">
        <v>20.610059708380099</v>
      </c>
      <c r="AL8541">
        <v>86.099206433644696</v>
      </c>
      <c r="AM8541">
        <v>87.146138697985094</v>
      </c>
      <c r="AN8541">
        <v>1.0000000157150699</v>
      </c>
    </row>
    <row r="8542" spans="1:40" x14ac:dyDescent="0.25">
      <c r="A8542" t="str">
        <f>"20190312150855871"</f>
        <v>20190312150855871</v>
      </c>
      <c r="B8542" t="str">
        <f>"1552374535858365"</f>
        <v>1552374535858365</v>
      </c>
      <c r="C8542" t="s">
        <v>40</v>
      </c>
      <c r="D8542">
        <v>4.7583080000000004</v>
      </c>
      <c r="E8542">
        <v>0.54069579999999995</v>
      </c>
      <c r="F8542" t="s">
        <v>42</v>
      </c>
      <c r="G8542">
        <v>-352.27850000000001</v>
      </c>
      <c r="H8542" s="1">
        <v>-4.2244569999999998E-6</v>
      </c>
      <c r="I8542">
        <v>14.3752</v>
      </c>
      <c r="J8542">
        <v>-372.65730000000002</v>
      </c>
      <c r="K8542">
        <v>1.1103889999999901</v>
      </c>
      <c r="L8542">
        <v>17.046970000000002</v>
      </c>
      <c r="M8542">
        <v>0.99958970000000003</v>
      </c>
      <c r="N8542">
        <v>0</v>
      </c>
      <c r="O8542">
        <v>2.5684599999999998E-2</v>
      </c>
      <c r="P8542">
        <v>0.99813980000000002</v>
      </c>
      <c r="Q8542">
        <v>5.5651869999999999E-2</v>
      </c>
      <c r="R8542">
        <v>-2.4894719999999999E-2</v>
      </c>
      <c r="S8542">
        <v>3.005096</v>
      </c>
      <c r="T8542">
        <v>-0.1627046</v>
      </c>
      <c r="U8542">
        <v>-0.39099119999999998</v>
      </c>
      <c r="V8542">
        <v>5.0530199999999997E-2</v>
      </c>
      <c r="W8542">
        <v>6.8285509999999994E-2</v>
      </c>
      <c r="X8542">
        <v>0.99638530000000003</v>
      </c>
      <c r="Y8542">
        <v>0.154192</v>
      </c>
      <c r="Z8542">
        <v>-5.5380550000000001E-3</v>
      </c>
      <c r="AA8542">
        <v>0.98802540000000005</v>
      </c>
      <c r="AB8542">
        <v>28</v>
      </c>
      <c r="AC8542">
        <v>20.378799999999998</v>
      </c>
      <c r="AD8542">
        <v>-1.1103932244569901</v>
      </c>
      <c r="AE8542">
        <v>-2.67177</v>
      </c>
      <c r="AF8542">
        <v>3.1850554904450701</v>
      </c>
      <c r="AG8542">
        <v>-1.1103932244569901</v>
      </c>
      <c r="AH8542">
        <v>20.244359065647402</v>
      </c>
      <c r="AI8542">
        <v>93.101425596240801</v>
      </c>
      <c r="AJ8542">
        <v>81.058917162836096</v>
      </c>
      <c r="AK8542">
        <v>20.523440880344499</v>
      </c>
      <c r="AL8542">
        <v>86.084481253778506</v>
      </c>
      <c r="AM8542">
        <v>87.096816831608706</v>
      </c>
      <c r="AN8542">
        <v>0.99999993902204298</v>
      </c>
    </row>
    <row r="8543" spans="1:40" x14ac:dyDescent="0.25">
      <c r="A8543" t="str">
        <f>"20190312150855882"</f>
        <v>20190312150855882</v>
      </c>
      <c r="B8543" t="str">
        <f>"1552374535877885"</f>
        <v>1552374535877885</v>
      </c>
      <c r="C8543" t="s">
        <v>40</v>
      </c>
      <c r="D8543">
        <v>4.7563050000000002</v>
      </c>
      <c r="E8543">
        <v>0.54000190000000003</v>
      </c>
      <c r="F8543" t="s">
        <v>42</v>
      </c>
      <c r="G8543">
        <v>-352.06970000000001</v>
      </c>
      <c r="H8543" s="1">
        <v>-4.3166910000000001E-6</v>
      </c>
      <c r="I8543">
        <v>14.36026</v>
      </c>
      <c r="J8543">
        <v>-372.50850000000003</v>
      </c>
      <c r="K8543">
        <v>1.11039</v>
      </c>
      <c r="L8543">
        <v>17.05078</v>
      </c>
      <c r="M8543">
        <v>0.99958990000000003</v>
      </c>
      <c r="N8543">
        <v>0</v>
      </c>
      <c r="O8543">
        <v>2.5679230000000001E-2</v>
      </c>
      <c r="P8543">
        <v>0.99809289999999995</v>
      </c>
      <c r="Q8543">
        <v>5.5985060000000003E-2</v>
      </c>
      <c r="R8543">
        <v>-2.600864E-2</v>
      </c>
      <c r="S8543">
        <v>3.0048219999999999</v>
      </c>
      <c r="T8543">
        <v>-0.16206499999999999</v>
      </c>
      <c r="U8543">
        <v>-0.39212039999999998</v>
      </c>
      <c r="V8543">
        <v>5.1637469999999998E-2</v>
      </c>
      <c r="W8543">
        <v>6.8621370000000001E-2</v>
      </c>
      <c r="X8543">
        <v>0.99630549999999996</v>
      </c>
      <c r="Y8543">
        <v>0.1545648</v>
      </c>
      <c r="Z8543">
        <v>-5.5263980000000001E-3</v>
      </c>
      <c r="AA8543">
        <v>0.98796719999999905</v>
      </c>
      <c r="AB8543">
        <v>28</v>
      </c>
      <c r="AC8543">
        <v>20.438800000000001</v>
      </c>
      <c r="AD8543">
        <v>-1.110394316691</v>
      </c>
      <c r="AE8543">
        <v>-2.6905199999999998</v>
      </c>
      <c r="AF8543">
        <v>3.2052283044745198</v>
      </c>
      <c r="AG8543">
        <v>-1.110394316691</v>
      </c>
      <c r="AH8543">
        <v>20.304056093082099</v>
      </c>
      <c r="AI8543">
        <v>93.092075704164998</v>
      </c>
      <c r="AJ8543">
        <v>81.029232633071402</v>
      </c>
      <c r="AK8543">
        <v>20.585459864996199</v>
      </c>
      <c r="AL8543">
        <v>86.065192828264998</v>
      </c>
      <c r="AM8543">
        <v>87.033074514739795</v>
      </c>
      <c r="AN8543">
        <v>0.99999998502946297</v>
      </c>
    </row>
    <row r="8544" spans="1:40" x14ac:dyDescent="0.25">
      <c r="A8544" t="str">
        <f>"20190312150855894"</f>
        <v>20190312150855894</v>
      </c>
      <c r="B8544" t="str">
        <f>"1552374535888621"</f>
        <v>1552374535888621</v>
      </c>
      <c r="C8544" t="s">
        <v>40</v>
      </c>
      <c r="D8544">
        <v>4.7650649999999999</v>
      </c>
      <c r="E8544">
        <v>0.53966519999999996</v>
      </c>
      <c r="F8544" t="s">
        <v>42</v>
      </c>
      <c r="G8544">
        <v>-352.1497</v>
      </c>
      <c r="H8544" s="1">
        <v>-4.2737070000000002E-6</v>
      </c>
      <c r="I8544">
        <v>14.40921</v>
      </c>
      <c r="J8544">
        <v>-372.36939999999998</v>
      </c>
      <c r="K8544">
        <v>1.1103889999999901</v>
      </c>
      <c r="L8544">
        <v>17.054349999999999</v>
      </c>
      <c r="M8544">
        <v>0.99958999999999998</v>
      </c>
      <c r="N8544">
        <v>0</v>
      </c>
      <c r="O8544">
        <v>2.5666629999999999E-2</v>
      </c>
      <c r="P8544">
        <v>0.99804349999999997</v>
      </c>
      <c r="Q8544">
        <v>5.645675E-2</v>
      </c>
      <c r="R8544">
        <v>-2.6867039999999998E-2</v>
      </c>
      <c r="S8544">
        <v>3.004791</v>
      </c>
      <c r="T8544">
        <v>-0.16388520000000001</v>
      </c>
      <c r="U8544">
        <v>-0.38986209999999999</v>
      </c>
      <c r="V8544">
        <v>5.2482590000000003E-2</v>
      </c>
      <c r="W8544">
        <v>6.9095660000000003E-2</v>
      </c>
      <c r="X8544">
        <v>0.99622860000000002</v>
      </c>
      <c r="Y8544">
        <v>0.1538187</v>
      </c>
      <c r="Z8544">
        <v>-5.5677679999999998E-3</v>
      </c>
      <c r="AA8544">
        <v>0.98808339999999995</v>
      </c>
      <c r="AB8544">
        <v>28</v>
      </c>
      <c r="AC8544">
        <v>20.2196999999999</v>
      </c>
      <c r="AD8544">
        <v>-1.1103932737069999</v>
      </c>
      <c r="AE8544">
        <v>-2.64514</v>
      </c>
      <c r="AF8544">
        <v>3.1539301767850199</v>
      </c>
      <c r="AG8544">
        <v>-1.1103932737069999</v>
      </c>
      <c r="AH8544">
        <v>20.085585280346798</v>
      </c>
      <c r="AI8544">
        <v>93.126040059357805</v>
      </c>
      <c r="AJ8544">
        <v>81.076024646303196</v>
      </c>
      <c r="AK8544">
        <v>20.3619985472059</v>
      </c>
      <c r="AL8544">
        <v>86.037953528100303</v>
      </c>
      <c r="AM8544">
        <v>86.984373157678604</v>
      </c>
      <c r="AN8544">
        <v>1.00000002797095</v>
      </c>
    </row>
    <row r="8545" spans="1:40" x14ac:dyDescent="0.25">
      <c r="A8545" t="str">
        <f>"20190312150855906"</f>
        <v>20190312150855906</v>
      </c>
      <c r="B8545" t="str">
        <f>"1552374535898382"</f>
        <v>1552374535898382</v>
      </c>
      <c r="C8545" t="s">
        <v>40</v>
      </c>
      <c r="D8545">
        <v>4.7495810000000001</v>
      </c>
      <c r="E8545">
        <v>0.53936399999999995</v>
      </c>
      <c r="F8545" t="s">
        <v>42</v>
      </c>
      <c r="G8545">
        <v>-351.98360000000002</v>
      </c>
      <c r="H8545" s="1">
        <v>-4.3450419999999998E-6</v>
      </c>
      <c r="I8545">
        <v>14.4087</v>
      </c>
      <c r="J8545">
        <v>-372.2167</v>
      </c>
      <c r="K8545">
        <v>1.1103860000000001</v>
      </c>
      <c r="L8545">
        <v>17.058229999999998</v>
      </c>
      <c r="M8545">
        <v>0.99959050000000005</v>
      </c>
      <c r="N8545">
        <v>0</v>
      </c>
      <c r="O8545">
        <v>2.5647909999999999E-2</v>
      </c>
      <c r="P8545">
        <v>0.99799420000000005</v>
      </c>
      <c r="Q8545">
        <v>5.6828660000000003E-2</v>
      </c>
      <c r="R8545">
        <v>-2.7894780000000001E-2</v>
      </c>
      <c r="S8545">
        <v>3.0046080000000002</v>
      </c>
      <c r="T8545">
        <v>-0.16365759999999999</v>
      </c>
      <c r="U8545">
        <v>-0.38992310000000002</v>
      </c>
      <c r="V8545">
        <v>5.349098E-2</v>
      </c>
      <c r="W8545">
        <v>6.9470019999999993E-2</v>
      </c>
      <c r="X8545">
        <v>0.9961489</v>
      </c>
      <c r="Y8545">
        <v>0.1538283</v>
      </c>
      <c r="Z8545">
        <v>-5.5596200000000004E-3</v>
      </c>
      <c r="AA8545">
        <v>0.98808189999999996</v>
      </c>
      <c r="AB8545">
        <v>28</v>
      </c>
      <c r="AC8545">
        <v>20.233099999999901</v>
      </c>
      <c r="AD8545">
        <v>-1.1103903450420001</v>
      </c>
      <c r="AE8545">
        <v>-2.6495299999999902</v>
      </c>
      <c r="AF8545">
        <v>3.15828501026215</v>
      </c>
      <c r="AG8545">
        <v>-1.1103903450420001</v>
      </c>
      <c r="AH8545">
        <v>20.098969044445901</v>
      </c>
      <c r="AI8545">
        <v>93.123900770948296</v>
      </c>
      <c r="AJ8545">
        <v>81.069756009408195</v>
      </c>
      <c r="AK8545">
        <v>20.3758751363961</v>
      </c>
      <c r="AL8545">
        <v>86.016452502669296</v>
      </c>
      <c r="AM8545">
        <v>86.926296117840394</v>
      </c>
      <c r="AN8545">
        <v>0.99999999979568499</v>
      </c>
    </row>
    <row r="8546" spans="1:40" x14ac:dyDescent="0.25">
      <c r="A8546" t="str">
        <f>"20190312150855923"</f>
        <v>20190312150855923</v>
      </c>
      <c r="B8546" t="str">
        <f>"1552374535917901"</f>
        <v>1552374535917901</v>
      </c>
      <c r="C8546" t="s">
        <v>40</v>
      </c>
      <c r="D8546">
        <v>5.2353750000000003</v>
      </c>
      <c r="E8546">
        <v>0.53885169999999905</v>
      </c>
      <c r="F8546" t="s">
        <v>42</v>
      </c>
      <c r="G8546">
        <v>-351.64850000000001</v>
      </c>
      <c r="H8546" s="1">
        <v>-4.493138E-6</v>
      </c>
      <c r="I8546">
        <v>14.38433</v>
      </c>
      <c r="J8546">
        <v>-371.9941</v>
      </c>
      <c r="K8546">
        <v>1.110374</v>
      </c>
      <c r="L8546">
        <v>17.0639</v>
      </c>
      <c r="M8546">
        <v>0.99959180000000003</v>
      </c>
      <c r="N8546">
        <v>0</v>
      </c>
      <c r="O8546">
        <v>2.559583E-2</v>
      </c>
      <c r="P8546">
        <v>0.99791819999999998</v>
      </c>
      <c r="Q8546">
        <v>5.7376690000000001E-2</v>
      </c>
      <c r="R8546">
        <v>-2.9449400000000001E-2</v>
      </c>
      <c r="S8546">
        <v>3.0043950000000001</v>
      </c>
      <c r="T8546">
        <v>-0.16219439999999999</v>
      </c>
      <c r="U8546">
        <v>-0.39056400000000002</v>
      </c>
      <c r="V8546">
        <v>5.499399E-2</v>
      </c>
      <c r="W8546">
        <v>7.0019919999999999E-2</v>
      </c>
      <c r="X8546">
        <v>0.99602849999999998</v>
      </c>
      <c r="Y8546">
        <v>0.15399749999999901</v>
      </c>
      <c r="Z8546">
        <v>-5.5120430000000003E-3</v>
      </c>
      <c r="AA8546">
        <v>0.98805589999999999</v>
      </c>
      <c r="AB8546">
        <v>28</v>
      </c>
      <c r="AC8546">
        <v>20.345599999999902</v>
      </c>
      <c r="AD8546">
        <v>-1.1103784931380001</v>
      </c>
      <c r="AE8546">
        <v>-2.67957</v>
      </c>
      <c r="AF8546">
        <v>3.1901564770774402</v>
      </c>
      <c r="AG8546">
        <v>-1.1103784931380001</v>
      </c>
      <c r="AH8546">
        <v>20.211168760606601</v>
      </c>
      <c r="AI8546">
        <v>93.106224100554996</v>
      </c>
      <c r="AJ8546">
        <v>81.030362507249706</v>
      </c>
      <c r="AK8546">
        <v>20.491495343580599</v>
      </c>
      <c r="AL8546">
        <v>85.984868443447198</v>
      </c>
      <c r="AM8546">
        <v>86.839721453183799</v>
      </c>
      <c r="AN8546">
        <v>0.99999995047258605</v>
      </c>
    </row>
    <row r="8547" spans="1:40" x14ac:dyDescent="0.25">
      <c r="A8547" t="str">
        <f>"20190312150855935"</f>
        <v>20190312150855935</v>
      </c>
      <c r="B8547" t="str">
        <f>"1552374535928637"</f>
        <v>1552374535928637</v>
      </c>
      <c r="C8547" t="s">
        <v>40</v>
      </c>
      <c r="D8547">
        <v>4.762321</v>
      </c>
      <c r="E8547">
        <v>0.53870699999999905</v>
      </c>
      <c r="F8547" t="s">
        <v>42</v>
      </c>
      <c r="G8547">
        <v>-351.34210000000002</v>
      </c>
      <c r="H8547" s="1">
        <v>-4.6263479999999997E-6</v>
      </c>
      <c r="I8547">
        <v>14.374169999999999</v>
      </c>
      <c r="J8547">
        <v>-371.85860000000002</v>
      </c>
      <c r="K8547">
        <v>1.110358</v>
      </c>
      <c r="L8547">
        <v>17.067350000000001</v>
      </c>
      <c r="M8547">
        <v>0.99959310000000001</v>
      </c>
      <c r="N8547">
        <v>0</v>
      </c>
      <c r="O8547">
        <v>2.5544310000000001E-2</v>
      </c>
      <c r="P8547">
        <v>0.99787219999999999</v>
      </c>
      <c r="Q8547">
        <v>5.7660669999999997E-2</v>
      </c>
      <c r="R8547">
        <v>-3.0440999999999999E-2</v>
      </c>
      <c r="S8547">
        <v>3.0040279999999999</v>
      </c>
      <c r="T8547">
        <v>-0.1615154</v>
      </c>
      <c r="U8547">
        <v>-0.39123540000000001</v>
      </c>
      <c r="V8547">
        <v>5.5935430000000001E-2</v>
      </c>
      <c r="W8547">
        <v>7.0303889999999994E-2</v>
      </c>
      <c r="X8547">
        <v>0.99595610000000001</v>
      </c>
      <c r="Y8547">
        <v>0.15418109999999999</v>
      </c>
      <c r="Z8547">
        <v>-5.4917369999999896E-3</v>
      </c>
      <c r="AA8547">
        <v>0.98802730000000005</v>
      </c>
      <c r="AB8547">
        <v>28</v>
      </c>
      <c r="AC8547">
        <v>20.516500000000001</v>
      </c>
      <c r="AD8547">
        <v>-1.110362626348</v>
      </c>
      <c r="AE8547">
        <v>-2.6931799999999999</v>
      </c>
      <c r="AF8547">
        <v>3.2071883052388102</v>
      </c>
      <c r="AG8547">
        <v>-1.110362626348</v>
      </c>
      <c r="AH8547">
        <v>20.382314220546199</v>
      </c>
      <c r="AI8547">
        <v>93.080379908984497</v>
      </c>
      <c r="AJ8547">
        <v>81.057742387149204</v>
      </c>
      <c r="AK8547">
        <v>20.662954652525698</v>
      </c>
      <c r="AL8547">
        <v>85.968558088898206</v>
      </c>
      <c r="AM8547">
        <v>86.785500084495894</v>
      </c>
      <c r="AN8547">
        <v>0.99999998120281297</v>
      </c>
    </row>
    <row r="8548" spans="1:40" x14ac:dyDescent="0.25">
      <c r="A8548" t="str">
        <f>"20190312150855947"</f>
        <v>20190312150855947</v>
      </c>
      <c r="B8548" t="str">
        <f>"1552374535938399"</f>
        <v>1552374535938399</v>
      </c>
      <c r="C8548" t="s">
        <v>40</v>
      </c>
      <c r="D8548">
        <v>4.8024870000000002</v>
      </c>
      <c r="E8548">
        <v>0.53852239999999996</v>
      </c>
      <c r="F8548" t="s">
        <v>42</v>
      </c>
      <c r="G8548">
        <v>-351.1241</v>
      </c>
      <c r="H8548" s="1">
        <v>-4.7235120000000001E-6</v>
      </c>
      <c r="I8548">
        <v>14.353730000000001</v>
      </c>
      <c r="J8548">
        <v>-371.71600000000001</v>
      </c>
      <c r="K8548">
        <v>1.110341</v>
      </c>
      <c r="L8548">
        <v>17.070920000000001</v>
      </c>
      <c r="M8548">
        <v>0.99959450000000005</v>
      </c>
      <c r="N8548">
        <v>0</v>
      </c>
      <c r="O8548">
        <v>2.5483929999999998E-2</v>
      </c>
      <c r="P8548">
        <v>0.99783889999999997</v>
      </c>
      <c r="Q8548">
        <v>5.7696980000000002E-2</v>
      </c>
      <c r="R8548">
        <v>-3.1441419999999998E-2</v>
      </c>
      <c r="S8548">
        <v>3.0036930000000002</v>
      </c>
      <c r="T8548">
        <v>-0.16085260000000001</v>
      </c>
      <c r="U8548">
        <v>-0.39309690000000003</v>
      </c>
      <c r="V8548">
        <v>5.6877589999999999E-2</v>
      </c>
      <c r="W8548">
        <v>7.0340029999999998E-2</v>
      </c>
      <c r="X8548">
        <v>0.99590020000000001</v>
      </c>
      <c r="Y8548">
        <v>0.15473889999999901</v>
      </c>
      <c r="Z8548">
        <v>-5.4812659999999899E-3</v>
      </c>
      <c r="AA8548">
        <v>0.98794020000000005</v>
      </c>
      <c r="AB8548">
        <v>28</v>
      </c>
      <c r="AC8548">
        <v>20.591899999999999</v>
      </c>
      <c r="AD8548">
        <v>-1.110345723512</v>
      </c>
      <c r="AE8548">
        <v>-2.71719</v>
      </c>
      <c r="AF8548">
        <v>3.2318763451285202</v>
      </c>
      <c r="AG8548">
        <v>-1.110345723512</v>
      </c>
      <c r="AH8548">
        <v>20.457498301542799</v>
      </c>
      <c r="AI8548">
        <v>93.068737981189898</v>
      </c>
      <c r="AJ8548">
        <v>81.022604972130793</v>
      </c>
      <c r="AK8548">
        <v>20.740952945647201</v>
      </c>
      <c r="AL8548">
        <v>85.966482332965796</v>
      </c>
      <c r="AM8548">
        <v>86.731289346786099</v>
      </c>
      <c r="AN8548">
        <v>0.99999999421232399</v>
      </c>
    </row>
    <row r="8549" spans="1:40" x14ac:dyDescent="0.25">
      <c r="A8549" t="str">
        <f>"20190312150855957"</f>
        <v>20190312150855957</v>
      </c>
      <c r="B8549" t="str">
        <f>"1552374535948157"</f>
        <v>1552374535948157</v>
      </c>
      <c r="C8549" t="s">
        <v>40</v>
      </c>
      <c r="D8549">
        <v>4.9785820000000003</v>
      </c>
      <c r="E8549">
        <v>0.53837659999999998</v>
      </c>
      <c r="F8549" t="s">
        <v>42</v>
      </c>
      <c r="G8549">
        <v>-350.94569999999999</v>
      </c>
      <c r="H8549" s="1">
        <v>-4.8022850000000004E-6</v>
      </c>
      <c r="I8549">
        <v>14.341139999999999</v>
      </c>
      <c r="J8549">
        <v>-371.57299999999998</v>
      </c>
      <c r="K8549">
        <v>1.1103179999999999</v>
      </c>
      <c r="L8549">
        <v>17.074490000000001</v>
      </c>
      <c r="M8549">
        <v>0.9995967</v>
      </c>
      <c r="N8549">
        <v>0</v>
      </c>
      <c r="O8549">
        <v>2.5398839999999999E-2</v>
      </c>
      <c r="P8549">
        <v>0.99779249999999997</v>
      </c>
      <c r="Q8549">
        <v>5.8007290000000003E-2</v>
      </c>
      <c r="R8549">
        <v>-3.233105E-2</v>
      </c>
      <c r="S8549">
        <v>3.003387</v>
      </c>
      <c r="T8549">
        <v>-0.160556</v>
      </c>
      <c r="U8549">
        <v>-0.39471440000000002</v>
      </c>
      <c r="V8549">
        <v>5.7685130000000001E-2</v>
      </c>
      <c r="W8549">
        <v>7.0648719999999998E-2</v>
      </c>
      <c r="X8549">
        <v>0.99583189999999999</v>
      </c>
      <c r="Y8549">
        <v>0.1551912</v>
      </c>
      <c r="Z8549">
        <v>-5.4790359999999996E-3</v>
      </c>
      <c r="AA8549">
        <v>0.98786929999999995</v>
      </c>
      <c r="AB8549">
        <v>28</v>
      </c>
      <c r="AC8549">
        <v>20.627300000000002</v>
      </c>
      <c r="AD8549">
        <v>-1.110322802285</v>
      </c>
      <c r="AE8549">
        <v>-2.7333500000000002</v>
      </c>
      <c r="AF8549">
        <v>3.2471737112994399</v>
      </c>
      <c r="AG8549">
        <v>-1.110322802285</v>
      </c>
      <c r="AH8549">
        <v>20.492862860327701</v>
      </c>
      <c r="AI8549">
        <v>93.063165612168405</v>
      </c>
      <c r="AJ8549">
        <v>80.996118589747496</v>
      </c>
      <c r="AK8549">
        <v>20.7782189335088</v>
      </c>
      <c r="AL8549">
        <v>85.9487515886577</v>
      </c>
      <c r="AM8549">
        <v>86.684756576638307</v>
      </c>
      <c r="AN8549">
        <v>0.99999999445918197</v>
      </c>
    </row>
    <row r="8550" spans="1:40" x14ac:dyDescent="0.25">
      <c r="A8550" t="str">
        <f>"20190312150855968"</f>
        <v>20190312150855968</v>
      </c>
      <c r="B8550" t="str">
        <f>"1552374535958893"</f>
        <v>1552374535958893</v>
      </c>
      <c r="C8550" t="s">
        <v>40</v>
      </c>
      <c r="D8550">
        <v>4.7240729999999997</v>
      </c>
      <c r="E8550">
        <v>0.53856719999999902</v>
      </c>
      <c r="F8550" t="s">
        <v>42</v>
      </c>
      <c r="G8550">
        <v>-350.82049999999998</v>
      </c>
      <c r="H8550" s="1">
        <v>-4.8569710000000001E-6</v>
      </c>
      <c r="I8550">
        <v>14.335660000000001</v>
      </c>
      <c r="J8550">
        <v>-371.44389999999999</v>
      </c>
      <c r="K8550">
        <v>1.11029</v>
      </c>
      <c r="L8550">
        <v>17.0777</v>
      </c>
      <c r="M8550">
        <v>0.99959900000000002</v>
      </c>
      <c r="N8550">
        <v>0</v>
      </c>
      <c r="O8550">
        <v>2.5309950000000001E-2</v>
      </c>
      <c r="P8550">
        <v>0.99776109999999896</v>
      </c>
      <c r="Q8550">
        <v>5.7989369999999998E-2</v>
      </c>
      <c r="R8550">
        <v>-3.3327089999999997E-2</v>
      </c>
      <c r="S8550">
        <v>3.0031430000000001</v>
      </c>
      <c r="T8550">
        <v>-0.1606776</v>
      </c>
      <c r="U8550">
        <v>-0.39633180000000001</v>
      </c>
      <c r="V8550">
        <v>5.8595139999999997E-2</v>
      </c>
      <c r="W8550">
        <v>7.0628739999999995E-2</v>
      </c>
      <c r="X8550">
        <v>0.9957802</v>
      </c>
      <c r="Y8550">
        <v>0.15563569999999999</v>
      </c>
      <c r="Z8550">
        <v>-5.4905300000000004E-3</v>
      </c>
      <c r="AA8550">
        <v>0.98779919999999999</v>
      </c>
      <c r="AB8550">
        <v>28</v>
      </c>
      <c r="AC8550">
        <v>20.6234</v>
      </c>
      <c r="AD8550">
        <v>-1.1102948569710001</v>
      </c>
      <c r="AE8550">
        <v>-2.7420399999999998</v>
      </c>
      <c r="AF8550">
        <v>3.2539134915362999</v>
      </c>
      <c r="AG8550">
        <v>-1.1102948569710001</v>
      </c>
      <c r="AH8550">
        <v>20.489032224954201</v>
      </c>
      <c r="AI8550">
        <v>93.063490589989499</v>
      </c>
      <c r="AJ8550">
        <v>80.9760783255673</v>
      </c>
      <c r="AK8550">
        <v>20.775493957906999</v>
      </c>
      <c r="AL8550">
        <v>85.949899280225296</v>
      </c>
      <c r="AM8550">
        <v>86.632402046182506</v>
      </c>
      <c r="AN8550">
        <v>1.0000000080288201</v>
      </c>
    </row>
    <row r="8551" spans="1:40" x14ac:dyDescent="0.25">
      <c r="A8551" t="str">
        <f>"20190312150855979"</f>
        <v>20190312150855979</v>
      </c>
      <c r="B8551" t="str">
        <f>"1552374535968653"</f>
        <v>1552374535968653</v>
      </c>
      <c r="C8551" t="s">
        <v>40</v>
      </c>
      <c r="D8551">
        <v>4.9036150000000003</v>
      </c>
      <c r="E8551">
        <v>0.53842219999999996</v>
      </c>
      <c r="F8551" t="s">
        <v>42</v>
      </c>
      <c r="G8551">
        <v>-350.52679999999998</v>
      </c>
      <c r="H8551" s="1">
        <v>-4.9919800000000001E-6</v>
      </c>
      <c r="I8551">
        <v>14.28492</v>
      </c>
      <c r="J8551">
        <v>-371.30799999999999</v>
      </c>
      <c r="K8551">
        <v>1.110263</v>
      </c>
      <c r="L8551">
        <v>17.08099</v>
      </c>
      <c r="M8551">
        <v>0.99960170000000004</v>
      </c>
      <c r="N8551">
        <v>0</v>
      </c>
      <c r="O8551">
        <v>2.519882E-2</v>
      </c>
      <c r="P8551">
        <v>0.99772559999999999</v>
      </c>
      <c r="Q8551">
        <v>5.8052890000000003E-2</v>
      </c>
      <c r="R8551">
        <v>-3.4258480000000001E-2</v>
      </c>
      <c r="S8551">
        <v>3.0025629999999999</v>
      </c>
      <c r="T8551">
        <v>-0.1593782</v>
      </c>
      <c r="U8551">
        <v>-0.40087889999999998</v>
      </c>
      <c r="V8551">
        <v>5.9419230000000003E-2</v>
      </c>
      <c r="W8551">
        <v>7.0690100000000006E-2</v>
      </c>
      <c r="X8551">
        <v>0.99572700000000003</v>
      </c>
      <c r="Y8551">
        <v>0.15702289999999999</v>
      </c>
      <c r="Z8551">
        <v>-5.4774510000000004E-3</v>
      </c>
      <c r="AA8551">
        <v>0.98757980000000001</v>
      </c>
      <c r="AB8551">
        <v>28</v>
      </c>
      <c r="AC8551">
        <v>20.781199999999998</v>
      </c>
      <c r="AD8551">
        <v>-1.11026799198</v>
      </c>
      <c r="AE8551">
        <v>-2.7960699999999901</v>
      </c>
      <c r="AF8551">
        <v>3.3096070351190598</v>
      </c>
      <c r="AG8551">
        <v>-1.11026799198</v>
      </c>
      <c r="AH8551">
        <v>20.646251999212598</v>
      </c>
      <c r="AI8551">
        <v>93.0394302818477</v>
      </c>
      <c r="AJ8551">
        <v>80.892929439238202</v>
      </c>
      <c r="AK8551">
        <v>20.939291185613602</v>
      </c>
      <c r="AL8551">
        <v>85.946374756316203</v>
      </c>
      <c r="AM8551">
        <v>86.584968980286902</v>
      </c>
      <c r="AN8551">
        <v>0.99999999683040097</v>
      </c>
    </row>
    <row r="8552" spans="1:40" x14ac:dyDescent="0.25">
      <c r="A8552" t="str">
        <f>"20190312150855992"</f>
        <v>20190312150855992</v>
      </c>
      <c r="B8552" t="str">
        <f>"1552374535988173"</f>
        <v>1552374535988173</v>
      </c>
      <c r="C8552" t="s">
        <v>40</v>
      </c>
      <c r="D8552">
        <v>4.8602660000000002</v>
      </c>
      <c r="E8552">
        <v>0.53810859999999905</v>
      </c>
      <c r="F8552" t="s">
        <v>42</v>
      </c>
      <c r="G8552">
        <v>-350.46600000000001</v>
      </c>
      <c r="H8552" s="1">
        <v>-5.0178139999999996E-6</v>
      </c>
      <c r="I8552">
        <v>14.28619</v>
      </c>
      <c r="J8552">
        <v>-371.15679999999998</v>
      </c>
      <c r="K8552">
        <v>1.110231</v>
      </c>
      <c r="L8552">
        <v>17.084689999999998</v>
      </c>
      <c r="M8552">
        <v>0.99960539999999998</v>
      </c>
      <c r="N8552">
        <v>0</v>
      </c>
      <c r="O8552">
        <v>2.5050969999999999E-2</v>
      </c>
      <c r="P8552">
        <v>0.9976836</v>
      </c>
      <c r="Q8552">
        <v>5.8081019999999997E-2</v>
      </c>
      <c r="R8552">
        <v>-3.5415429999999998E-2</v>
      </c>
      <c r="S8552">
        <v>3.0023499999999999</v>
      </c>
      <c r="T8552">
        <v>-0.15993750000000001</v>
      </c>
      <c r="U8552">
        <v>-0.4025879</v>
      </c>
      <c r="V8552">
        <v>6.043308E-2</v>
      </c>
      <c r="W8552">
        <v>7.0714830000000006E-2</v>
      </c>
      <c r="X8552">
        <v>0.9956642</v>
      </c>
      <c r="Y8552">
        <v>0.1574361</v>
      </c>
      <c r="Z8552">
        <v>-5.4999389999999997E-3</v>
      </c>
      <c r="AA8552">
        <v>0.9875138</v>
      </c>
      <c r="AB8552">
        <v>28</v>
      </c>
      <c r="AC8552">
        <v>20.6907999999999</v>
      </c>
      <c r="AD8552">
        <v>-1.1102360178140001</v>
      </c>
      <c r="AE8552">
        <v>-2.79849999999999</v>
      </c>
      <c r="AF8552">
        <v>3.3066385565243901</v>
      </c>
      <c r="AG8552">
        <v>-1.1102360178140001</v>
      </c>
      <c r="AH8552">
        <v>20.556072503802699</v>
      </c>
      <c r="AI8552">
        <v>93.052384816425302</v>
      </c>
      <c r="AJ8552">
        <v>80.861715713341397</v>
      </c>
      <c r="AK8552">
        <v>20.8499064587911</v>
      </c>
      <c r="AL8552">
        <v>85.944954174993896</v>
      </c>
      <c r="AM8552">
        <v>86.526622392081705</v>
      </c>
      <c r="AN8552">
        <v>0.99999997175092703</v>
      </c>
    </row>
    <row r="8553" spans="1:40" x14ac:dyDescent="0.25">
      <c r="A8553" t="str">
        <f>"20190312150856004"</f>
        <v>20190312150856004</v>
      </c>
      <c r="B8553" t="str">
        <f>"1552374535997934"</f>
        <v>1552374535997934</v>
      </c>
      <c r="C8553" t="s">
        <v>40</v>
      </c>
      <c r="D8553">
        <v>4.7120790000000001</v>
      </c>
      <c r="E8553">
        <v>0.53794900000000001</v>
      </c>
      <c r="F8553" t="s">
        <v>42</v>
      </c>
      <c r="G8553">
        <v>-350.60849999999999</v>
      </c>
      <c r="H8553" s="1">
        <v>-4.9503739999999998E-6</v>
      </c>
      <c r="I8553">
        <v>14.321870000000001</v>
      </c>
      <c r="J8553">
        <v>-371.00490000000002</v>
      </c>
      <c r="K8553">
        <v>1.1101989999999999</v>
      </c>
      <c r="L8553">
        <v>17.08832</v>
      </c>
      <c r="M8553">
        <v>0.99960939999999998</v>
      </c>
      <c r="N8553">
        <v>0</v>
      </c>
      <c r="O8553">
        <v>2.4887650000000001E-2</v>
      </c>
      <c r="P8553">
        <v>0.99764470000000005</v>
      </c>
      <c r="Q8553">
        <v>5.8081319999999999E-2</v>
      </c>
      <c r="R8553">
        <v>-3.6494600000000002E-2</v>
      </c>
      <c r="S8553">
        <v>3.0020449999999999</v>
      </c>
      <c r="T8553">
        <v>-0.16220190000000001</v>
      </c>
      <c r="U8553">
        <v>-0.40362550000000003</v>
      </c>
      <c r="V8553">
        <v>6.1353610000000003E-2</v>
      </c>
      <c r="W8553">
        <v>7.0711990000000002E-2</v>
      </c>
      <c r="X8553">
        <v>0.99560820000000005</v>
      </c>
      <c r="Y8553">
        <v>0.157615899999999</v>
      </c>
      <c r="Z8553">
        <v>-5.5741799999999998E-3</v>
      </c>
      <c r="AA8553">
        <v>0.98748480000000005</v>
      </c>
      <c r="AB8553">
        <v>28</v>
      </c>
      <c r="AC8553">
        <v>20.3964</v>
      </c>
      <c r="AD8553">
        <v>-1.110203950374</v>
      </c>
      <c r="AE8553">
        <v>-2.7664499999999901</v>
      </c>
      <c r="AF8553">
        <v>3.2637573672896099</v>
      </c>
      <c r="AG8553">
        <v>-1.110203950374</v>
      </c>
      <c r="AH8553">
        <v>20.2622771828648</v>
      </c>
      <c r="AI8553">
        <v>93.096363671353203</v>
      </c>
      <c r="AJ8553">
        <v>80.849647118803404</v>
      </c>
      <c r="AK8553">
        <v>20.553455709422899</v>
      </c>
      <c r="AL8553">
        <v>85.945117700190906</v>
      </c>
      <c r="AM8553">
        <v>86.473649796875605</v>
      </c>
      <c r="AN8553">
        <v>1.0000000694485101</v>
      </c>
    </row>
    <row r="8554" spans="1:40" x14ac:dyDescent="0.25">
      <c r="A8554" t="str">
        <f>"20190312150856018"</f>
        <v>20190312150856018</v>
      </c>
      <c r="B8554" t="str">
        <f>"1552374536008670"</f>
        <v>1552374536008670</v>
      </c>
      <c r="C8554" t="s">
        <v>40</v>
      </c>
      <c r="D8554">
        <v>4.7395899999999997</v>
      </c>
      <c r="E8554">
        <v>0.53783530000000002</v>
      </c>
      <c r="F8554" t="s">
        <v>42</v>
      </c>
      <c r="G8554">
        <v>-350.51150000000001</v>
      </c>
      <c r="H8554" s="1">
        <v>-4.9924249999999999E-6</v>
      </c>
      <c r="I8554">
        <v>14.319229999999999</v>
      </c>
      <c r="J8554">
        <v>-370.8408</v>
      </c>
      <c r="K8554">
        <v>1.1101620000000001</v>
      </c>
      <c r="L8554">
        <v>17.09216</v>
      </c>
      <c r="M8554">
        <v>0.99961480000000003</v>
      </c>
      <c r="N8554">
        <v>0</v>
      </c>
      <c r="O8554">
        <v>2.4665610000000001E-2</v>
      </c>
      <c r="P8554">
        <v>0.99759620000000004</v>
      </c>
      <c r="Q8554">
        <v>5.814602E-2</v>
      </c>
      <c r="R8554">
        <v>-3.769289E-2</v>
      </c>
      <c r="S8554">
        <v>3.0016780000000001</v>
      </c>
      <c r="T8554">
        <v>-0.1626127</v>
      </c>
      <c r="U8554">
        <v>-0.40557860000000001</v>
      </c>
      <c r="V8554">
        <v>6.233553E-2</v>
      </c>
      <c r="W8554">
        <v>7.0771899999999999E-2</v>
      </c>
      <c r="X8554">
        <v>0.99554290000000001</v>
      </c>
      <c r="Y8554">
        <v>0.15804190000000001</v>
      </c>
      <c r="Z8554">
        <v>-5.5882190000000002E-3</v>
      </c>
      <c r="AA8554">
        <v>0.98741659999999998</v>
      </c>
      <c r="AB8554">
        <v>28</v>
      </c>
      <c r="AC8554">
        <v>20.3292999999999</v>
      </c>
      <c r="AD8554">
        <v>-1.1101669924249999</v>
      </c>
      <c r="AE8554">
        <v>-2.7729300000000001</v>
      </c>
      <c r="AF8554">
        <v>3.264005377723</v>
      </c>
      <c r="AG8554">
        <v>-1.1101669924249999</v>
      </c>
      <c r="AH8554">
        <v>20.195585890543899</v>
      </c>
      <c r="AI8554">
        <v>93.106200184936</v>
      </c>
      <c r="AJ8554">
        <v>80.819258132971996</v>
      </c>
      <c r="AK8554">
        <v>20.487749786621499</v>
      </c>
      <c r="AL8554">
        <v>85.941676299758896</v>
      </c>
      <c r="AM8554">
        <v>86.417124577834599</v>
      </c>
      <c r="AN8554">
        <v>1.0000000229352</v>
      </c>
    </row>
    <row r="8555" spans="1:40" x14ac:dyDescent="0.25">
      <c r="A8555" t="str">
        <f>"20190312150856032"</f>
        <v>20190312150856032</v>
      </c>
      <c r="B8555" t="str">
        <f>"1552374536028189"</f>
        <v>1552374536028189</v>
      </c>
      <c r="C8555" t="s">
        <v>40</v>
      </c>
      <c r="D8555">
        <v>4.6730850000000004</v>
      </c>
      <c r="E8555">
        <v>0.53786719999999999</v>
      </c>
      <c r="F8555" t="s">
        <v>42</v>
      </c>
      <c r="G8555">
        <v>-350.45859999999999</v>
      </c>
      <c r="H8555" s="1">
        <v>-5.0150579999999997E-6</v>
      </c>
      <c r="I8555">
        <v>14.31955</v>
      </c>
      <c r="J8555">
        <v>-370.66050000000001</v>
      </c>
      <c r="K8555">
        <v>1.11012</v>
      </c>
      <c r="L8555">
        <v>17.096339999999898</v>
      </c>
      <c r="M8555">
        <v>0.99962150000000005</v>
      </c>
      <c r="N8555">
        <v>0</v>
      </c>
      <c r="O8555">
        <v>2.4393560000000002E-2</v>
      </c>
      <c r="P8555">
        <v>0.99755020000000005</v>
      </c>
      <c r="Q8555">
        <v>5.8013410000000001E-2</v>
      </c>
      <c r="R8555">
        <v>-3.9092120000000001E-2</v>
      </c>
      <c r="S8555">
        <v>3.0013429999999999</v>
      </c>
      <c r="T8555">
        <v>-0.16347600000000001</v>
      </c>
      <c r="U8555">
        <v>-0.40826420000000002</v>
      </c>
      <c r="V8555">
        <v>6.3469040000000004E-2</v>
      </c>
      <c r="W8555">
        <v>7.0633509999999997E-2</v>
      </c>
      <c r="X8555">
        <v>0.99548110000000001</v>
      </c>
      <c r="Y8555">
        <v>0.15865209999999999</v>
      </c>
      <c r="Z8555">
        <v>-5.6199120000000003E-3</v>
      </c>
      <c r="AA8555">
        <v>0.98731860000000005</v>
      </c>
      <c r="AB8555">
        <v>28</v>
      </c>
      <c r="AC8555">
        <v>20.201899999999998</v>
      </c>
      <c r="AD8555">
        <v>-1.110125015058</v>
      </c>
      <c r="AE8555">
        <v>-2.7767899999999899</v>
      </c>
      <c r="AF8555">
        <v>3.2591406816112301</v>
      </c>
      <c r="AG8555">
        <v>-1.110125015058</v>
      </c>
      <c r="AH8555">
        <v>20.068669293193398</v>
      </c>
      <c r="AI8555">
        <v>93.125303417137999</v>
      </c>
      <c r="AJ8555">
        <v>80.775727204784502</v>
      </c>
      <c r="AK8555">
        <v>20.361872770723998</v>
      </c>
      <c r="AL8555">
        <v>85.949625327890203</v>
      </c>
      <c r="AM8555">
        <v>86.351922033109901</v>
      </c>
      <c r="AN8555">
        <v>1.00000001611532</v>
      </c>
    </row>
    <row r="8556" spans="1:40" x14ac:dyDescent="0.25">
      <c r="A8556" t="str">
        <f>"20190312150856048"</f>
        <v>20190312150856048</v>
      </c>
      <c r="B8556" t="str">
        <f>"1552374536037950"</f>
        <v>1552374536037950</v>
      </c>
      <c r="C8556" t="s">
        <v>40</v>
      </c>
      <c r="D8556">
        <v>4.6746829999999999</v>
      </c>
      <c r="E8556">
        <v>0.53794330000000001</v>
      </c>
      <c r="F8556" t="s">
        <v>42</v>
      </c>
      <c r="G8556">
        <v>-350.14760000000001</v>
      </c>
      <c r="H8556" s="1">
        <v>-5.1565069999999997E-6</v>
      </c>
      <c r="I8556">
        <v>14.274419999999999</v>
      </c>
      <c r="J8556">
        <v>-370.4606</v>
      </c>
      <c r="K8556">
        <v>1.110074</v>
      </c>
      <c r="L8556">
        <v>17.10089</v>
      </c>
      <c r="M8556">
        <v>0.99962989999999996</v>
      </c>
      <c r="N8556">
        <v>0</v>
      </c>
      <c r="O8556">
        <v>2.4052420000000001E-2</v>
      </c>
      <c r="P8556">
        <v>0.99746469999999998</v>
      </c>
      <c r="Q8556">
        <v>5.7851060000000003E-2</v>
      </c>
      <c r="R8556">
        <v>-4.1443870000000001E-2</v>
      </c>
      <c r="S8556">
        <v>3.0006409999999999</v>
      </c>
      <c r="T8556">
        <v>-0.16239010000000001</v>
      </c>
      <c r="U8556">
        <v>-0.4127808</v>
      </c>
      <c r="V8556">
        <v>6.5485619999999994E-2</v>
      </c>
      <c r="W8556">
        <v>7.0463219999999993E-2</v>
      </c>
      <c r="X8556">
        <v>0.99536250000000004</v>
      </c>
      <c r="Y8556">
        <v>0.159807</v>
      </c>
      <c r="Z8556">
        <v>-5.5960760000000002E-3</v>
      </c>
      <c r="AA8556">
        <v>0.98713240000000002</v>
      </c>
      <c r="AB8556">
        <v>28</v>
      </c>
      <c r="AC8556">
        <v>20.312999999999899</v>
      </c>
      <c r="AD8556">
        <v>-1.1100791565070001</v>
      </c>
      <c r="AE8556">
        <v>-2.8264699999999898</v>
      </c>
      <c r="AF8556">
        <v>3.3045868078842799</v>
      </c>
      <c r="AG8556">
        <v>-1.1100791565070001</v>
      </c>
      <c r="AH8556">
        <v>20.180011022571801</v>
      </c>
      <c r="AI8556">
        <v>93.107297454982799</v>
      </c>
      <c r="AJ8556">
        <v>80.700046258025793</v>
      </c>
      <c r="AK8556">
        <v>20.478901693588799</v>
      </c>
      <c r="AL8556">
        <v>85.959406407166696</v>
      </c>
      <c r="AM8556">
        <v>86.235893778355603</v>
      </c>
      <c r="AN8556">
        <v>0.99999996910290101</v>
      </c>
    </row>
    <row r="8557" spans="1:40" x14ac:dyDescent="0.25">
      <c r="A8557" t="str">
        <f>"20190312150856063"</f>
        <v>20190312150856063</v>
      </c>
      <c r="B8557" t="str">
        <f>"1552374536057976"</f>
        <v>1552374536057976</v>
      </c>
      <c r="C8557" t="s">
        <v>40</v>
      </c>
      <c r="D8557">
        <v>4.6277739999999996</v>
      </c>
      <c r="E8557">
        <v>0.53802700000000003</v>
      </c>
      <c r="F8557" t="s">
        <v>42</v>
      </c>
      <c r="G8557">
        <v>-349.77050000000003</v>
      </c>
      <c r="H8557" s="1">
        <v>-1.505284E-6</v>
      </c>
      <c r="I8557">
        <v>14.20004</v>
      </c>
      <c r="J8557">
        <v>-370.2706</v>
      </c>
      <c r="K8557">
        <v>1.1100319999999999</v>
      </c>
      <c r="L8557">
        <v>17.105070000000001</v>
      </c>
      <c r="M8557">
        <v>0.99963840000000004</v>
      </c>
      <c r="N8557">
        <v>0</v>
      </c>
      <c r="O8557">
        <v>2.3691130000000001E-2</v>
      </c>
      <c r="P8557">
        <v>0.99742690000000001</v>
      </c>
      <c r="Q8557">
        <v>5.7785009999999998E-2</v>
      </c>
      <c r="R8557">
        <v>-4.2435550000000002E-2</v>
      </c>
      <c r="S8557">
        <v>2.9995120000000002</v>
      </c>
      <c r="T8557">
        <v>-0.16093060000000001</v>
      </c>
      <c r="U8557">
        <v>-0.42053220000000002</v>
      </c>
      <c r="V8557">
        <v>6.6122929999999996E-2</v>
      </c>
      <c r="W8557">
        <v>7.0390919999999996E-2</v>
      </c>
      <c r="X8557">
        <v>0.99532549999999997</v>
      </c>
      <c r="Y8557">
        <v>0.1620047</v>
      </c>
      <c r="Z8557">
        <v>-5.5862869999999997E-3</v>
      </c>
      <c r="AA8557">
        <v>0.98677409999999999</v>
      </c>
      <c r="AB8557">
        <v>28</v>
      </c>
      <c r="AC8557">
        <v>20.5000999999999</v>
      </c>
      <c r="AD8557">
        <v>-1.11003350528399</v>
      </c>
      <c r="AE8557">
        <v>-2.90503</v>
      </c>
      <c r="AF8557">
        <v>3.3802087445519602</v>
      </c>
      <c r="AG8557">
        <v>-1.11003350528399</v>
      </c>
      <c r="AH8557">
        <v>20.366976299176201</v>
      </c>
      <c r="AI8557">
        <v>93.077612182047503</v>
      </c>
      <c r="AJ8557">
        <v>80.576788575400599</v>
      </c>
      <c r="AK8557">
        <v>20.675388971209301</v>
      </c>
      <c r="AL8557">
        <v>85.963559277086205</v>
      </c>
      <c r="AM8557">
        <v>86.199227249288498</v>
      </c>
      <c r="AN8557">
        <v>0.99999998722023997</v>
      </c>
    </row>
    <row r="8558" spans="1:40" x14ac:dyDescent="0.25">
      <c r="A8558" t="str">
        <f>"20190312150856081"</f>
        <v>20190312150856081</v>
      </c>
      <c r="B8558" t="str">
        <f>"1552374536078473"</f>
        <v>1552374536078473</v>
      </c>
      <c r="C8558" t="s">
        <v>40</v>
      </c>
      <c r="D8558">
        <v>4.6597269999999904</v>
      </c>
      <c r="E8558">
        <v>0.53805599999999998</v>
      </c>
      <c r="F8558" t="s">
        <v>42</v>
      </c>
      <c r="G8558">
        <v>-349.18029999999999</v>
      </c>
      <c r="H8558" s="1">
        <v>-1.7271350000000001E-6</v>
      </c>
      <c r="I8558">
        <v>14.12106</v>
      </c>
      <c r="J8558">
        <v>-370.053</v>
      </c>
      <c r="K8558">
        <v>1.10999</v>
      </c>
      <c r="L8558">
        <v>17.10971</v>
      </c>
      <c r="M8558">
        <v>0.99964920000000002</v>
      </c>
      <c r="N8558">
        <v>0</v>
      </c>
      <c r="O8558">
        <v>2.3232300000000001E-2</v>
      </c>
      <c r="P8558">
        <v>0.99735229999999997</v>
      </c>
      <c r="Q8558">
        <v>5.7326700000000001E-2</v>
      </c>
      <c r="R8558">
        <v>-4.4751890000000003E-2</v>
      </c>
      <c r="S8558">
        <v>2.99884</v>
      </c>
      <c r="T8558">
        <v>-0.15783610000000001</v>
      </c>
      <c r="U8558">
        <v>-0.42428589999999999</v>
      </c>
      <c r="V8558">
        <v>6.7986409999999997E-2</v>
      </c>
      <c r="W8558">
        <v>6.9924299999999995E-2</v>
      </c>
      <c r="X8558">
        <v>0.99523289999999998</v>
      </c>
      <c r="Y8558">
        <v>0.16280269999999999</v>
      </c>
      <c r="Z8558">
        <v>-5.4766110000000002E-3</v>
      </c>
      <c r="AA8558">
        <v>0.98664339999999995</v>
      </c>
      <c r="AB8558">
        <v>28</v>
      </c>
      <c r="AC8558">
        <v>20.872699999999998</v>
      </c>
      <c r="AD8558">
        <v>-1.1099917271349999</v>
      </c>
      <c r="AE8558">
        <v>-2.9886499999999998</v>
      </c>
      <c r="AF8558">
        <v>3.4632060129866802</v>
      </c>
      <c r="AG8558">
        <v>-1.1099917271349999</v>
      </c>
      <c r="AH8558">
        <v>20.740151404601701</v>
      </c>
      <c r="AI8558">
        <v>93.021730915570103</v>
      </c>
      <c r="AJ8558">
        <v>80.520169467360404</v>
      </c>
      <c r="AK8558">
        <v>21.0565846662866</v>
      </c>
      <c r="AL8558">
        <v>85.990360896977094</v>
      </c>
      <c r="AM8558">
        <v>86.092078522630999</v>
      </c>
      <c r="AN8558">
        <v>1.00000004245879</v>
      </c>
    </row>
    <row r="8559" spans="1:40" x14ac:dyDescent="0.25">
      <c r="A8559" t="str">
        <f>"20190312150856093"</f>
        <v>20190312150856093</v>
      </c>
      <c r="B8559" t="str">
        <f>"1552374536088232"</f>
        <v>1552374536088232</v>
      </c>
      <c r="C8559" t="s">
        <v>40</v>
      </c>
      <c r="D8559">
        <v>4.6613110000000004</v>
      </c>
      <c r="E8559">
        <v>0.53803059999999903</v>
      </c>
      <c r="F8559" t="s">
        <v>42</v>
      </c>
      <c r="G8559">
        <v>-348.80840000000001</v>
      </c>
      <c r="H8559" s="1">
        <v>-1.8722799999999999E-6</v>
      </c>
      <c r="I8559">
        <v>14.05119</v>
      </c>
      <c r="J8559">
        <v>-369.90629999999999</v>
      </c>
      <c r="K8559">
        <v>1.1099619999999999</v>
      </c>
      <c r="L8559">
        <v>17.11279</v>
      </c>
      <c r="M8559">
        <v>0.99965680000000001</v>
      </c>
      <c r="N8559">
        <v>0</v>
      </c>
      <c r="O8559">
        <v>2.2898430000000001E-2</v>
      </c>
      <c r="P8559">
        <v>0.99728870000000003</v>
      </c>
      <c r="Q8559">
        <v>5.7349450000000003E-2</v>
      </c>
      <c r="R8559">
        <v>-4.6110949999999998E-2</v>
      </c>
      <c r="S8559">
        <v>2.9976500000000001</v>
      </c>
      <c r="T8559">
        <v>-0.1566215</v>
      </c>
      <c r="U8559">
        <v>-0.43154910000000002</v>
      </c>
      <c r="V8559">
        <v>6.901591E-2</v>
      </c>
      <c r="W8559">
        <v>6.9941439999999994E-2</v>
      </c>
      <c r="X8559">
        <v>0.99516079999999996</v>
      </c>
      <c r="Y8559">
        <v>0.1648715</v>
      </c>
      <c r="Z8559">
        <v>-5.4721169999999899E-3</v>
      </c>
      <c r="AA8559">
        <v>0.98629990000000001</v>
      </c>
      <c r="AB8559">
        <v>28</v>
      </c>
      <c r="AC8559">
        <v>21.0978999999999</v>
      </c>
      <c r="AD8559">
        <v>-1.10996387227999</v>
      </c>
      <c r="AE8559">
        <v>-3.0615999999999999</v>
      </c>
      <c r="AF8559">
        <v>3.5343642543815101</v>
      </c>
      <c r="AG8559">
        <v>-1.10996387227999</v>
      </c>
      <c r="AH8559">
        <v>20.965423718094499</v>
      </c>
      <c r="AI8559">
        <v>92.988467999766897</v>
      </c>
      <c r="AJ8559">
        <v>80.431013062198701</v>
      </c>
      <c r="AK8559">
        <v>21.290202961917899</v>
      </c>
      <c r="AL8559">
        <v>85.989376304138801</v>
      </c>
      <c r="AM8559">
        <v>86.032802955281198</v>
      </c>
      <c r="AN8559">
        <v>1.00000000935952</v>
      </c>
    </row>
    <row r="8560" spans="1:40" x14ac:dyDescent="0.25">
      <c r="A8560" t="str">
        <f>"20190312150856102"</f>
        <v>20190312150856102</v>
      </c>
      <c r="B8560" t="str">
        <f>"1552374536097992"</f>
        <v>1552374536097992</v>
      </c>
      <c r="C8560" t="s">
        <v>40</v>
      </c>
      <c r="D8560">
        <v>4.6569390000000004</v>
      </c>
      <c r="E8560">
        <v>0.53803809999999996</v>
      </c>
      <c r="F8560" t="s">
        <v>42</v>
      </c>
      <c r="G8560">
        <v>-348.49799999999999</v>
      </c>
      <c r="H8560" s="1">
        <v>-1.990876E-6</v>
      </c>
      <c r="I8560">
        <v>14.002520000000001</v>
      </c>
      <c r="J8560">
        <v>-369.77550000000002</v>
      </c>
      <c r="K8560">
        <v>1.1099399999999999</v>
      </c>
      <c r="L8560">
        <v>17.115479999999899</v>
      </c>
      <c r="M8560">
        <v>0.99966390000000005</v>
      </c>
      <c r="N8560">
        <v>0</v>
      </c>
      <c r="O8560">
        <v>2.2592560000000001E-2</v>
      </c>
      <c r="P8560">
        <v>0.99725019999999998</v>
      </c>
      <c r="Q8560">
        <v>5.7057330000000003E-2</v>
      </c>
      <c r="R8560">
        <v>-4.7292140000000003E-2</v>
      </c>
      <c r="S8560">
        <v>2.9969480000000002</v>
      </c>
      <c r="T8560">
        <v>-0.15538339999999901</v>
      </c>
      <c r="U8560">
        <v>-0.43539430000000001</v>
      </c>
      <c r="V8560">
        <v>6.9894730000000002E-2</v>
      </c>
      <c r="W8560">
        <v>6.9644609999999996E-2</v>
      </c>
      <c r="X8560">
        <v>0.99512029999999996</v>
      </c>
      <c r="Y8560">
        <v>0.16584479999999999</v>
      </c>
      <c r="Z8560">
        <v>-5.4389900000000003E-3</v>
      </c>
      <c r="AA8560">
        <v>0.98613689999999998</v>
      </c>
      <c r="AB8560">
        <v>28</v>
      </c>
      <c r="AC8560">
        <v>21.2774999999999</v>
      </c>
      <c r="AD8560">
        <v>-1.109941990876</v>
      </c>
      <c r="AE8560">
        <v>-3.11295999999999</v>
      </c>
      <c r="AF8560">
        <v>3.5833706617882402</v>
      </c>
      <c r="AG8560">
        <v>-1.109941990876</v>
      </c>
      <c r="AH8560">
        <v>21.145397847734301</v>
      </c>
      <c r="AI8560">
        <v>92.962590540378798</v>
      </c>
      <c r="AJ8560">
        <v>80.381839601870794</v>
      </c>
      <c r="AK8560">
        <v>21.475576049592799</v>
      </c>
      <c r="AL8560">
        <v>86.006425059062806</v>
      </c>
      <c r="AM8560">
        <v>85.982287726260097</v>
      </c>
      <c r="AN8560">
        <v>1.00000002822795</v>
      </c>
    </row>
    <row r="8561" spans="1:40" x14ac:dyDescent="0.25">
      <c r="A8561" t="str">
        <f>"20190312150856114"</f>
        <v>20190312150856114</v>
      </c>
      <c r="B8561" t="str">
        <f>"1552374536108729"</f>
        <v>1552374536108729</v>
      </c>
      <c r="C8561" t="s">
        <v>40</v>
      </c>
      <c r="D8561">
        <v>4.6630419999999999</v>
      </c>
      <c r="E8561">
        <v>0.5380933</v>
      </c>
      <c r="F8561" t="s">
        <v>42</v>
      </c>
      <c r="G8561">
        <v>-348.36079999999998</v>
      </c>
      <c r="H8561" s="1">
        <v>-2.043916E-6</v>
      </c>
      <c r="I8561">
        <v>13.978569999999999</v>
      </c>
      <c r="J8561">
        <v>-369.64069999999998</v>
      </c>
      <c r="K8561">
        <v>1.109917</v>
      </c>
      <c r="L8561">
        <v>17.11816</v>
      </c>
      <c r="M8561">
        <v>0.99967150000000005</v>
      </c>
      <c r="N8561">
        <v>0</v>
      </c>
      <c r="O8561">
        <v>2.2253160000000001E-2</v>
      </c>
      <c r="P8561">
        <v>0.99718839999999997</v>
      </c>
      <c r="Q8561">
        <v>5.7191020000000002E-2</v>
      </c>
      <c r="R8561">
        <v>-4.8422369999999999E-2</v>
      </c>
      <c r="S8561">
        <v>2.9963380000000002</v>
      </c>
      <c r="T8561">
        <v>-0.15530269999999999</v>
      </c>
      <c r="U8561">
        <v>-0.43890380000000001</v>
      </c>
      <c r="V8561">
        <v>7.0689130000000003E-2</v>
      </c>
      <c r="W8561">
        <v>6.977303E-2</v>
      </c>
      <c r="X8561">
        <v>0.99505509999999997</v>
      </c>
      <c r="Y8561">
        <v>0.16666909999999999</v>
      </c>
      <c r="Z8561">
        <v>-5.4405469999999996E-3</v>
      </c>
      <c r="AA8561">
        <v>0.98599789999999998</v>
      </c>
      <c r="AB8561">
        <v>28</v>
      </c>
      <c r="AC8561">
        <v>21.279900000000001</v>
      </c>
      <c r="AD8561">
        <v>-1.109919043916</v>
      </c>
      <c r="AE8561">
        <v>-3.1395899999999899</v>
      </c>
      <c r="AF8561">
        <v>3.60280321537534</v>
      </c>
      <c r="AG8561">
        <v>-1.109919043916</v>
      </c>
      <c r="AH8561">
        <v>21.148450132068501</v>
      </c>
      <c r="AI8561">
        <v>92.961665884783102</v>
      </c>
      <c r="AJ8561">
        <v>80.332031839699098</v>
      </c>
      <c r="AK8561">
        <v>21.481830794449401</v>
      </c>
      <c r="AL8561">
        <v>85.9990488407269</v>
      </c>
      <c r="AM8561">
        <v>85.936510505002204</v>
      </c>
      <c r="AN8561">
        <v>0.999999940425772</v>
      </c>
    </row>
    <row r="8562" spans="1:40" x14ac:dyDescent="0.25">
      <c r="A8562" t="str">
        <f>"20190312150856125"</f>
        <v>20190312150856125</v>
      </c>
      <c r="B8562" t="str">
        <f>"1552374536118488"</f>
        <v>1552374536118488</v>
      </c>
      <c r="C8562" t="s">
        <v>40</v>
      </c>
      <c r="D8562">
        <v>4.7374989999999997</v>
      </c>
      <c r="E8562">
        <v>0.53821269999999999</v>
      </c>
      <c r="F8562" t="s">
        <v>42</v>
      </c>
      <c r="G8562">
        <v>-348.01350000000002</v>
      </c>
      <c r="H8562" s="1">
        <v>-2.1775369999999999E-6</v>
      </c>
      <c r="I8562">
        <v>13.920669999999999</v>
      </c>
      <c r="J8562">
        <v>-369.50760000000002</v>
      </c>
      <c r="K8562">
        <v>1.1098950000000001</v>
      </c>
      <c r="L8562">
        <v>17.12079</v>
      </c>
      <c r="M8562">
        <v>0.99967890000000004</v>
      </c>
      <c r="N8562">
        <v>0</v>
      </c>
      <c r="O8562">
        <v>2.191419E-2</v>
      </c>
      <c r="P8562">
        <v>0.99713189999999996</v>
      </c>
      <c r="Q8562">
        <v>5.7120520000000001E-2</v>
      </c>
      <c r="R8562">
        <v>-4.9650670000000001E-2</v>
      </c>
      <c r="S8562">
        <v>2.9957889999999998</v>
      </c>
      <c r="T8562">
        <v>-0.1537451</v>
      </c>
      <c r="U8562">
        <v>-0.44290160000000001</v>
      </c>
      <c r="V8562">
        <v>7.1581919999999993E-2</v>
      </c>
      <c r="W8562">
        <v>6.9697410000000001E-2</v>
      </c>
      <c r="X8562">
        <v>0.99499660000000001</v>
      </c>
      <c r="Y8562">
        <v>0.16765250000000001</v>
      </c>
      <c r="Z8562">
        <v>-5.3942909999999998E-3</v>
      </c>
      <c r="AA8562">
        <v>0.98583140000000002</v>
      </c>
      <c r="AB8562">
        <v>28</v>
      </c>
      <c r="AC8562">
        <v>21.4941</v>
      </c>
      <c r="AD8562">
        <v>-1.1098971775369999</v>
      </c>
      <c r="AE8562">
        <v>-3.2001199999999899</v>
      </c>
      <c r="AF8562">
        <v>3.6608656131475699</v>
      </c>
      <c r="AG8562">
        <v>-1.1098971775369999</v>
      </c>
      <c r="AH8562">
        <v>21.363076304958799</v>
      </c>
      <c r="AI8562">
        <v>92.931416801767398</v>
      </c>
      <c r="AJ8562">
        <v>80.276006664262198</v>
      </c>
      <c r="AK8562">
        <v>21.702876260848999</v>
      </c>
      <c r="AL8562">
        <v>86.0033922282596</v>
      </c>
      <c r="AM8562">
        <v>85.885123510241897</v>
      </c>
      <c r="AN8562">
        <v>0.99999996712157602</v>
      </c>
    </row>
    <row r="8563" spans="1:40" x14ac:dyDescent="0.25">
      <c r="A8563" t="str">
        <f>"20190312150856136"</f>
        <v>20190312150856136</v>
      </c>
      <c r="B8563" t="str">
        <f>"1552374536128248"</f>
        <v>1552374536128248</v>
      </c>
      <c r="C8563" t="s">
        <v>40</v>
      </c>
      <c r="D8563">
        <v>4.9680790000000004</v>
      </c>
      <c r="E8563">
        <v>0.53829680000000002</v>
      </c>
      <c r="F8563" t="s">
        <v>42</v>
      </c>
      <c r="G8563">
        <v>-347.94709999999998</v>
      </c>
      <c r="H8563" s="1">
        <v>-2.2058020000000002E-6</v>
      </c>
      <c r="I8563">
        <v>13.899369999999999</v>
      </c>
      <c r="J8563">
        <v>-369.36450000000002</v>
      </c>
      <c r="K8563">
        <v>1.1098749999999999</v>
      </c>
      <c r="L8563">
        <v>17.1235</v>
      </c>
      <c r="M8563">
        <v>0.99968729999999995</v>
      </c>
      <c r="N8563">
        <v>0</v>
      </c>
      <c r="O8563">
        <v>2.152652E-2</v>
      </c>
      <c r="P8563">
        <v>0.99706790000000001</v>
      </c>
      <c r="Q8563">
        <v>5.7159519999999998E-2</v>
      </c>
      <c r="R8563">
        <v>-5.0879750000000001E-2</v>
      </c>
      <c r="S8563">
        <v>2.995209</v>
      </c>
      <c r="T8563">
        <v>-0.15418789999999999</v>
      </c>
      <c r="U8563">
        <v>-0.44750980000000001</v>
      </c>
      <c r="V8563">
        <v>7.2426749999999998E-2</v>
      </c>
      <c r="W8563">
        <v>6.9731180000000004E-2</v>
      </c>
      <c r="X8563">
        <v>0.99493310000000001</v>
      </c>
      <c r="Y8563">
        <v>0.16877929999999999</v>
      </c>
      <c r="Z8563">
        <v>-5.4192160000000001E-3</v>
      </c>
      <c r="AA8563">
        <v>0.98563900000000004</v>
      </c>
      <c r="AB8563">
        <v>28</v>
      </c>
      <c r="AC8563">
        <v>21.417400000000001</v>
      </c>
      <c r="AD8563">
        <v>-1.1098772058020001</v>
      </c>
      <c r="AE8563">
        <v>-3.2241299999999899</v>
      </c>
      <c r="AF8563">
        <v>3.6748123659772598</v>
      </c>
      <c r="AG8563">
        <v>-1.1098772058020001</v>
      </c>
      <c r="AH8563">
        <v>21.287127718604101</v>
      </c>
      <c r="AI8563">
        <v>92.941183089650295</v>
      </c>
      <c r="AJ8563">
        <v>80.205522742297902</v>
      </c>
      <c r="AK8563">
        <v>21.630484965558701</v>
      </c>
      <c r="AL8563">
        <v>86.001452652329903</v>
      </c>
      <c r="AM8563">
        <v>85.836463572062996</v>
      </c>
      <c r="AN8563">
        <v>0.99999997252768202</v>
      </c>
    </row>
    <row r="8564" spans="1:40" x14ac:dyDescent="0.25">
      <c r="A8564" t="str">
        <f>"20190312150856147"</f>
        <v>20190312150856147</v>
      </c>
      <c r="B8564" t="str">
        <f>"1552374536138008"</f>
        <v>1552374536138008</v>
      </c>
      <c r="C8564" t="s">
        <v>40</v>
      </c>
      <c r="D8564">
        <v>4.7500109999999998</v>
      </c>
      <c r="E8564">
        <v>0.53834019999999905</v>
      </c>
      <c r="F8564" t="s">
        <v>42</v>
      </c>
      <c r="G8564">
        <v>-347.73820000000001</v>
      </c>
      <c r="H8564" s="1">
        <v>-2.287763E-6</v>
      </c>
      <c r="I8564">
        <v>13.858510000000001</v>
      </c>
      <c r="J8564">
        <v>-369.23140000000001</v>
      </c>
      <c r="K8564">
        <v>1.109855</v>
      </c>
      <c r="L8564">
        <v>17.125979999999998</v>
      </c>
      <c r="M8564">
        <v>0.99969520000000001</v>
      </c>
      <c r="N8564">
        <v>0</v>
      </c>
      <c r="O8564">
        <v>2.11603E-2</v>
      </c>
      <c r="P8564">
        <v>0.9969884</v>
      </c>
      <c r="Q8564">
        <v>5.7473290000000003E-2</v>
      </c>
      <c r="R8564">
        <v>-5.2072029999999998E-2</v>
      </c>
      <c r="S8564">
        <v>2.9945680000000001</v>
      </c>
      <c r="T8564">
        <v>-0.15368289999999901</v>
      </c>
      <c r="U8564">
        <v>-0.45208739999999997</v>
      </c>
      <c r="V8564">
        <v>7.3255810000000005E-2</v>
      </c>
      <c r="W8564">
        <v>7.0039879999999999E-2</v>
      </c>
      <c r="X8564">
        <v>0.99485080000000004</v>
      </c>
      <c r="Y8564">
        <v>0.16992299999999999</v>
      </c>
      <c r="Z8564">
        <v>-5.4125019999999996E-3</v>
      </c>
      <c r="AA8564">
        <v>0.9854425</v>
      </c>
      <c r="AB8564">
        <v>28</v>
      </c>
      <c r="AC8564">
        <v>21.493200000000002</v>
      </c>
      <c r="AD8564">
        <v>-1.109857287763</v>
      </c>
      <c r="AE8564">
        <v>-3.2674699999999901</v>
      </c>
      <c r="AF8564">
        <v>3.7119036294346199</v>
      </c>
      <c r="AG8564">
        <v>-1.109857287763</v>
      </c>
      <c r="AH8564">
        <v>21.3635626473021</v>
      </c>
      <c r="AI8564">
        <v>92.9300757670092</v>
      </c>
      <c r="AJ8564">
        <v>80.143300798623102</v>
      </c>
      <c r="AK8564">
        <v>21.712020190175998</v>
      </c>
      <c r="AL8564">
        <v>85.983722431033001</v>
      </c>
      <c r="AM8564">
        <v>85.788627458699395</v>
      </c>
      <c r="AN8564">
        <v>1.0000000563749001</v>
      </c>
    </row>
    <row r="8565" spans="1:40" x14ac:dyDescent="0.25">
      <c r="A8565" t="str">
        <f>"20190312150856158"</f>
        <v>20190312150856158</v>
      </c>
      <c r="B8565" t="str">
        <f>"1552374536148745"</f>
        <v>1552374536148745</v>
      </c>
      <c r="C8565" t="s">
        <v>40</v>
      </c>
      <c r="D8565">
        <v>5.2340739999999997</v>
      </c>
      <c r="E8565">
        <v>0.53841729999999999</v>
      </c>
      <c r="F8565" t="s">
        <v>42</v>
      </c>
      <c r="G8565">
        <v>-347.47809999999998</v>
      </c>
      <c r="H8565" s="1">
        <v>-2.3886369999999998E-6</v>
      </c>
      <c r="I8565">
        <v>13.811979999999901</v>
      </c>
      <c r="J8565">
        <v>-369.09289999999999</v>
      </c>
      <c r="K8565">
        <v>1.109836</v>
      </c>
      <c r="L8565">
        <v>17.128509999999999</v>
      </c>
      <c r="M8565">
        <v>0.99970349999999997</v>
      </c>
      <c r="N8565">
        <v>0</v>
      </c>
      <c r="O8565">
        <v>2.0765490000000001E-2</v>
      </c>
      <c r="P8565">
        <v>0.99690630000000002</v>
      </c>
      <c r="Q8565">
        <v>5.7611450000000002E-2</v>
      </c>
      <c r="R8565">
        <v>-5.3469849999999999E-2</v>
      </c>
      <c r="S8565">
        <v>2.994049</v>
      </c>
      <c r="T8565">
        <v>-0.15275720000000001</v>
      </c>
      <c r="U8565">
        <v>-0.45611570000000001</v>
      </c>
      <c r="V8565">
        <v>7.4261750000000001E-2</v>
      </c>
      <c r="W8565">
        <v>7.0172590000000007E-2</v>
      </c>
      <c r="X8565">
        <v>0.99476679999999995</v>
      </c>
      <c r="Y8565">
        <v>0.17085729999999999</v>
      </c>
      <c r="Z8565">
        <v>-5.3839789999999997E-3</v>
      </c>
      <c r="AA8565">
        <v>0.98528110000000002</v>
      </c>
      <c r="AB8565">
        <v>28</v>
      </c>
      <c r="AC8565">
        <v>21.614799999999999</v>
      </c>
      <c r="AD8565">
        <v>-1.109838388637</v>
      </c>
      <c r="AE8565">
        <v>-3.3165300000000002</v>
      </c>
      <c r="AF8565">
        <v>3.7550208078275</v>
      </c>
      <c r="AG8565">
        <v>-1.109838388637</v>
      </c>
      <c r="AH8565">
        <v>21.485920321487399</v>
      </c>
      <c r="AI8565">
        <v>92.912868589439896</v>
      </c>
      <c r="AJ8565">
        <v>80.086731593474696</v>
      </c>
      <c r="AK8565">
        <v>21.839796120326199</v>
      </c>
      <c r="AL8565">
        <v>85.976099698824498</v>
      </c>
      <c r="AM8565">
        <v>85.730650596457096</v>
      </c>
      <c r="AN8565">
        <v>0.99999999314130505</v>
      </c>
    </row>
    <row r="8566" spans="1:40" x14ac:dyDescent="0.25">
      <c r="A8566" t="str">
        <f>"20190312150856170"</f>
        <v>20190312150856170</v>
      </c>
      <c r="B8566" t="str">
        <f>"1552374536158505"</f>
        <v>1552374536158505</v>
      </c>
      <c r="C8566" t="s">
        <v>40</v>
      </c>
      <c r="D8566">
        <v>4.7170139999999998</v>
      </c>
      <c r="E8566">
        <v>0.53847900000000004</v>
      </c>
      <c r="F8566" t="s">
        <v>42</v>
      </c>
      <c r="G8566">
        <v>-347.29469999999998</v>
      </c>
      <c r="H8566" s="1">
        <v>-2.4618580000000002E-6</v>
      </c>
      <c r="I8566">
        <v>13.771369999999999</v>
      </c>
      <c r="J8566">
        <v>-368.95510000000002</v>
      </c>
      <c r="K8566">
        <v>1.1098209999999999</v>
      </c>
      <c r="L8566">
        <v>17.13092</v>
      </c>
      <c r="M8566">
        <v>0.99971169999999998</v>
      </c>
      <c r="N8566">
        <v>0</v>
      </c>
      <c r="O8566">
        <v>2.0364980000000001E-2</v>
      </c>
      <c r="P8566">
        <v>0.9968378</v>
      </c>
      <c r="Q8566">
        <v>5.7666920000000003E-2</v>
      </c>
      <c r="R8566">
        <v>-5.4674059999999997E-2</v>
      </c>
      <c r="S8566">
        <v>2.9933779999999999</v>
      </c>
      <c r="T8566">
        <v>-0.1524056</v>
      </c>
      <c r="U8566">
        <v>-0.46099849999999998</v>
      </c>
      <c r="V8566">
        <v>7.5068239999999994E-2</v>
      </c>
      <c r="W8566">
        <v>7.022349E-2</v>
      </c>
      <c r="X8566">
        <v>0.99470270000000005</v>
      </c>
      <c r="Y8566">
        <v>0.17206569999999999</v>
      </c>
      <c r="Z8566">
        <v>-5.3824299999999997E-3</v>
      </c>
      <c r="AA8566">
        <v>0.98507080000000002</v>
      </c>
      <c r="AB8566">
        <v>28</v>
      </c>
      <c r="AC8566">
        <v>21.660399999999999</v>
      </c>
      <c r="AD8566">
        <v>-1.1098234618579901</v>
      </c>
      <c r="AE8566">
        <v>-3.3595499999999898</v>
      </c>
      <c r="AF8566">
        <v>3.7902856645161198</v>
      </c>
      <c r="AG8566">
        <v>-1.1098234618579901</v>
      </c>
      <c r="AH8566">
        <v>21.532284209345299</v>
      </c>
      <c r="AI8566">
        <v>92.905945500189205</v>
      </c>
      <c r="AJ8566">
        <v>80.016612729869095</v>
      </c>
      <c r="AK8566">
        <v>21.891487770527299</v>
      </c>
      <c r="AL8566">
        <v>85.973176240931593</v>
      </c>
      <c r="AM8566">
        <v>85.684182213563005</v>
      </c>
      <c r="AN8566">
        <v>1.0000000202958801</v>
      </c>
    </row>
    <row r="8567" spans="1:40" x14ac:dyDescent="0.25">
      <c r="A8567" t="str">
        <f>"20190312150856181"</f>
        <v>20190312150856181</v>
      </c>
      <c r="B8567" t="str">
        <f>"1552374536178024"</f>
        <v>1552374536178024</v>
      </c>
      <c r="C8567" t="s">
        <v>40</v>
      </c>
      <c r="D8567">
        <v>4.8600760000000003</v>
      </c>
      <c r="E8567">
        <v>0.538578</v>
      </c>
      <c r="F8567" t="s">
        <v>42</v>
      </c>
      <c r="G8567">
        <v>-347.18209999999999</v>
      </c>
      <c r="H8567" s="1">
        <v>-2.5070610000000001E-6</v>
      </c>
      <c r="I8567">
        <v>13.745509999999999</v>
      </c>
      <c r="J8567">
        <v>-368.80849999999998</v>
      </c>
      <c r="K8567">
        <v>1.1098059999999901</v>
      </c>
      <c r="L8567">
        <v>17.13345</v>
      </c>
      <c r="M8567">
        <v>0.99972030000000001</v>
      </c>
      <c r="N8567">
        <v>0</v>
      </c>
      <c r="O8567">
        <v>1.9929860000000001E-2</v>
      </c>
      <c r="P8567">
        <v>0.99675080000000005</v>
      </c>
      <c r="Q8567">
        <v>5.7938780000000002E-2</v>
      </c>
      <c r="R8567">
        <v>-5.5957409999999999E-2</v>
      </c>
      <c r="S8567">
        <v>2.9928279999999998</v>
      </c>
      <c r="T8567">
        <v>-0.15255170000000001</v>
      </c>
      <c r="U8567">
        <v>-0.46533200000000002</v>
      </c>
      <c r="V8567">
        <v>7.5919159999999999E-2</v>
      </c>
      <c r="W8567">
        <v>7.0490330000000004E-2</v>
      </c>
      <c r="X8567">
        <v>0.99461929999999998</v>
      </c>
      <c r="Y8567">
        <v>0.17305589999999901</v>
      </c>
      <c r="Z8567">
        <v>-5.3909889999999997E-3</v>
      </c>
      <c r="AA8567">
        <v>0.98489729999999998</v>
      </c>
      <c r="AB8567">
        <v>28</v>
      </c>
      <c r="AC8567">
        <v>21.626399999999901</v>
      </c>
      <c r="AD8567">
        <v>-1.10980850706099</v>
      </c>
      <c r="AE8567">
        <v>-3.3879399999999902</v>
      </c>
      <c r="AF8567">
        <v>3.80852367820399</v>
      </c>
      <c r="AG8567">
        <v>-1.10980850706099</v>
      </c>
      <c r="AH8567">
        <v>21.499315736525102</v>
      </c>
      <c r="AI8567">
        <v>92.909798555635305</v>
      </c>
      <c r="AJ8567">
        <v>79.954479810459404</v>
      </c>
      <c r="AK8567">
        <v>21.862230093670199</v>
      </c>
      <c r="AL8567">
        <v>85.957849690299099</v>
      </c>
      <c r="AM8567">
        <v>85.635084603074404</v>
      </c>
      <c r="AN8567">
        <v>1.0000000787055401</v>
      </c>
    </row>
    <row r="8568" spans="1:40" x14ac:dyDescent="0.25">
      <c r="A8568" t="str">
        <f>"20190312150856193"</f>
        <v>20190312150856193</v>
      </c>
      <c r="B8568" t="str">
        <f>"1552374536188761"</f>
        <v>1552374536188761</v>
      </c>
      <c r="C8568" t="s">
        <v>40</v>
      </c>
      <c r="D8568">
        <v>4.8527889999999996</v>
      </c>
      <c r="E8568">
        <v>0.53863899999999998</v>
      </c>
      <c r="F8568" t="s">
        <v>42</v>
      </c>
      <c r="G8568">
        <v>-347.01080000000002</v>
      </c>
      <c r="H8568" s="1">
        <v>-2.5749780000000001E-6</v>
      </c>
      <c r="I8568">
        <v>13.70931</v>
      </c>
      <c r="J8568">
        <v>-368.66669999999999</v>
      </c>
      <c r="K8568">
        <v>1.1097939999999999</v>
      </c>
      <c r="L8568">
        <v>17.135829999999999</v>
      </c>
      <c r="M8568">
        <v>0.99972899999999998</v>
      </c>
      <c r="N8568">
        <v>0</v>
      </c>
      <c r="O8568">
        <v>1.94977E-2</v>
      </c>
      <c r="P8568">
        <v>0.99666270000000001</v>
      </c>
      <c r="Q8568">
        <v>5.8282760000000003E-2</v>
      </c>
      <c r="R8568">
        <v>-5.7156400000000003E-2</v>
      </c>
      <c r="S8568">
        <v>2.9922490000000002</v>
      </c>
      <c r="T8568">
        <v>-0.15234739999999999</v>
      </c>
      <c r="U8568">
        <v>-0.4700317</v>
      </c>
      <c r="V8568">
        <v>7.6688859999999998E-2</v>
      </c>
      <c r="W8568">
        <v>7.082948E-2</v>
      </c>
      <c r="X8568">
        <v>0.99453610000000003</v>
      </c>
      <c r="Y8568">
        <v>0.17416879999999901</v>
      </c>
      <c r="Z8568">
        <v>-5.3904360000000002E-3</v>
      </c>
      <c r="AA8568">
        <v>0.98470100000000005</v>
      </c>
      <c r="AB8568">
        <v>28</v>
      </c>
      <c r="AC8568">
        <v>21.6558999999999</v>
      </c>
      <c r="AD8568">
        <v>-1.1097965749780001</v>
      </c>
      <c r="AE8568">
        <v>-3.4265199999999898</v>
      </c>
      <c r="AF8568">
        <v>3.8383088005249202</v>
      </c>
      <c r="AG8568">
        <v>-1.1097965749780001</v>
      </c>
      <c r="AH8568">
        <v>21.529806486945901</v>
      </c>
      <c r="AI8568">
        <v>92.905087656340001</v>
      </c>
      <c r="AJ8568">
        <v>79.891575530733903</v>
      </c>
      <c r="AK8568">
        <v>21.897416063347698</v>
      </c>
      <c r="AL8568">
        <v>85.938368918695005</v>
      </c>
      <c r="AM8568">
        <v>85.590637508625704</v>
      </c>
      <c r="AN8568">
        <v>1.0000000253441801</v>
      </c>
    </row>
    <row r="8569" spans="1:40" x14ac:dyDescent="0.25">
      <c r="A8569" t="str">
        <f>"20190312150856206"</f>
        <v>20190312150856206</v>
      </c>
      <c r="B8569" t="str">
        <f>"1552374536198522"</f>
        <v>1552374536198522</v>
      </c>
      <c r="C8569" t="s">
        <v>40</v>
      </c>
      <c r="D8569">
        <v>4.7127400000000002</v>
      </c>
      <c r="E8569">
        <v>0.53870759999999995</v>
      </c>
      <c r="F8569" t="s">
        <v>42</v>
      </c>
      <c r="G8569">
        <v>-346.75779999999997</v>
      </c>
      <c r="H8569" s="1">
        <v>-2.673479E-6</v>
      </c>
      <c r="I8569">
        <v>13.66278</v>
      </c>
      <c r="J8569">
        <v>-368.5093</v>
      </c>
      <c r="K8569">
        <v>1.109782</v>
      </c>
      <c r="L8569">
        <v>17.138400000000001</v>
      </c>
      <c r="M8569">
        <v>0.99973829999999997</v>
      </c>
      <c r="N8569">
        <v>0</v>
      </c>
      <c r="O8569">
        <v>1.9013149999999999E-2</v>
      </c>
      <c r="P8569">
        <v>0.99657399999999996</v>
      </c>
      <c r="Q8569">
        <v>5.8494549999999999E-2</v>
      </c>
      <c r="R8569">
        <v>-5.847132E-2</v>
      </c>
      <c r="S8569">
        <v>2.99173</v>
      </c>
      <c r="T8569">
        <v>-0.15154579999999901</v>
      </c>
      <c r="U8569">
        <v>-0.47424319999999998</v>
      </c>
      <c r="V8569">
        <v>7.7521880000000001E-2</v>
      </c>
      <c r="W8569">
        <v>7.1036379999999996E-2</v>
      </c>
      <c r="X8569">
        <v>0.99445669999999997</v>
      </c>
      <c r="Y8569">
        <v>0.17507210000000001</v>
      </c>
      <c r="Z8569">
        <v>-5.3607719999999998E-3</v>
      </c>
      <c r="AA8569">
        <v>0.984541</v>
      </c>
      <c r="AB8569">
        <v>28</v>
      </c>
      <c r="AC8569">
        <v>21.7515</v>
      </c>
      <c r="AD8569">
        <v>-1.109784673479</v>
      </c>
      <c r="AE8569">
        <v>-3.4756200000000002</v>
      </c>
      <c r="AF8569">
        <v>3.8787440529032802</v>
      </c>
      <c r="AG8569">
        <v>-1.109784673479</v>
      </c>
      <c r="AH8569">
        <v>21.626583973147198</v>
      </c>
      <c r="AI8569">
        <v>92.891542545112301</v>
      </c>
      <c r="AJ8569">
        <v>79.832062212229701</v>
      </c>
      <c r="AK8569">
        <v>21.999668447433699</v>
      </c>
      <c r="AL8569">
        <v>85.926484255087303</v>
      </c>
      <c r="AM8569">
        <v>85.542579071312701</v>
      </c>
      <c r="AN8569">
        <v>0.999999968668563</v>
      </c>
    </row>
    <row r="8570" spans="1:40" x14ac:dyDescent="0.25">
      <c r="A8570" t="str">
        <f>"20190312150856227"</f>
        <v>20190312150856227</v>
      </c>
      <c r="B8570" t="str">
        <f>"1552374536218041"</f>
        <v>1552374536218041</v>
      </c>
      <c r="C8570" t="s">
        <v>40</v>
      </c>
      <c r="D8570">
        <v>4.7179359999999999</v>
      </c>
      <c r="E8570">
        <v>0.53889290000000001</v>
      </c>
      <c r="F8570" t="s">
        <v>42</v>
      </c>
      <c r="G8570">
        <v>-346.4708</v>
      </c>
      <c r="H8570" s="1">
        <v>-2.7851529999999998E-6</v>
      </c>
      <c r="I8570">
        <v>13.61004</v>
      </c>
      <c r="J8570">
        <v>-368.24700000000001</v>
      </c>
      <c r="K8570">
        <v>1.1097669999999999</v>
      </c>
      <c r="L8570">
        <v>17.14246</v>
      </c>
      <c r="M8570">
        <v>0.99975369999999997</v>
      </c>
      <c r="N8570">
        <v>0</v>
      </c>
      <c r="O8570">
        <v>1.8186440000000002E-2</v>
      </c>
      <c r="P8570">
        <v>0.99643630000000005</v>
      </c>
      <c r="Q8570">
        <v>5.8826070000000001E-2</v>
      </c>
      <c r="R8570">
        <v>-6.0450789999999997E-2</v>
      </c>
      <c r="S8570">
        <v>2.991028</v>
      </c>
      <c r="T8570">
        <v>-0.150618</v>
      </c>
      <c r="U8570">
        <v>-0.47885129999999998</v>
      </c>
      <c r="V8570">
        <v>7.8678670000000006E-2</v>
      </c>
      <c r="W8570">
        <v>7.1361709999999995E-2</v>
      </c>
      <c r="X8570">
        <v>0.99434259999999997</v>
      </c>
      <c r="Y8570">
        <v>0.17577609999999999</v>
      </c>
      <c r="Z8570">
        <v>-5.304825E-3</v>
      </c>
      <c r="AA8570">
        <v>0.98441590000000001</v>
      </c>
      <c r="AB8570">
        <v>28</v>
      </c>
      <c r="AC8570">
        <v>21.7761999999999</v>
      </c>
      <c r="AD8570">
        <v>-1.109769785153</v>
      </c>
      <c r="AE8570">
        <v>-3.5324199999999899</v>
      </c>
      <c r="AF8570">
        <v>3.9179844793045602</v>
      </c>
      <c r="AG8570">
        <v>-1.109769785153</v>
      </c>
      <c r="AH8570">
        <v>21.653554342191299</v>
      </c>
      <c r="AI8570">
        <v>92.887109318646196</v>
      </c>
      <c r="AJ8570">
        <v>79.743891752570505</v>
      </c>
      <c r="AK8570">
        <v>22.033125221047101</v>
      </c>
      <c r="AL8570">
        <v>85.907796988021005</v>
      </c>
      <c r="AM8570">
        <v>85.475822067289101</v>
      </c>
      <c r="AN8570">
        <v>1.00000001647092</v>
      </c>
    </row>
    <row r="8571" spans="1:40" x14ac:dyDescent="0.25">
      <c r="A8571" t="str">
        <f>"20190312150856242"</f>
        <v>20190312150856242</v>
      </c>
      <c r="B8571" t="str">
        <f>"1552374536238537"</f>
        <v>1552374536238537</v>
      </c>
      <c r="C8571" t="s">
        <v>40</v>
      </c>
      <c r="D8571">
        <v>4.7483950000000004</v>
      </c>
      <c r="E8571">
        <v>0.54251260000000001</v>
      </c>
      <c r="F8571" t="s">
        <v>42</v>
      </c>
      <c r="G8571">
        <v>-346.07470000000001</v>
      </c>
      <c r="H8571" s="1">
        <v>-2.9397380000000002E-6</v>
      </c>
      <c r="I8571">
        <v>13.53566</v>
      </c>
      <c r="J8571">
        <v>-368.06189999999998</v>
      </c>
      <c r="K8571">
        <v>1.1097600000000001</v>
      </c>
      <c r="L8571">
        <v>17.14517</v>
      </c>
      <c r="M8571">
        <v>0.99976410000000004</v>
      </c>
      <c r="N8571">
        <v>0</v>
      </c>
      <c r="O8571">
        <v>1.7595050000000001E-2</v>
      </c>
      <c r="P8571">
        <v>0.9963748</v>
      </c>
      <c r="Q8571">
        <v>5.8636430000000003E-2</v>
      </c>
      <c r="R8571">
        <v>-6.1638129999999999E-2</v>
      </c>
      <c r="S8571">
        <v>2.9900820000000001</v>
      </c>
      <c r="T8571">
        <v>-0.14965980000000001</v>
      </c>
      <c r="U8571">
        <v>-0.48638920000000002</v>
      </c>
      <c r="V8571">
        <v>7.9277E-2</v>
      </c>
      <c r="W8571">
        <v>7.1168609999999993E-2</v>
      </c>
      <c r="X8571">
        <v>0.99430890000000005</v>
      </c>
      <c r="Y8571">
        <v>0.17766219999999999</v>
      </c>
      <c r="Z8571">
        <v>-5.2891719999999904E-3</v>
      </c>
      <c r="AA8571">
        <v>0.98407730000000004</v>
      </c>
      <c r="AB8571">
        <v>28</v>
      </c>
      <c r="AC8571">
        <v>21.987199999999898</v>
      </c>
      <c r="AD8571">
        <v>-1.109762939738</v>
      </c>
      <c r="AE8571">
        <v>-3.60950999999999</v>
      </c>
      <c r="AF8571">
        <v>3.9859604876540402</v>
      </c>
      <c r="AG8571">
        <v>-1.109762939738</v>
      </c>
      <c r="AH8571">
        <v>21.8660383453044</v>
      </c>
      <c r="AI8571">
        <v>92.858405271128902</v>
      </c>
      <c r="AJ8571">
        <v>79.668986670343301</v>
      </c>
      <c r="AK8571">
        <v>22.254057780770601</v>
      </c>
      <c r="AL8571">
        <v>85.918888942942203</v>
      </c>
      <c r="AM8571">
        <v>85.441407527497802</v>
      </c>
      <c r="AN8571">
        <v>1.00000000119877</v>
      </c>
    </row>
    <row r="8572" spans="1:40" x14ac:dyDescent="0.25">
      <c r="A8572" t="str">
        <f>"20190312150856260"</f>
        <v>20190312150856260</v>
      </c>
      <c r="B8572" t="str">
        <f>"1552374536248296"</f>
        <v>1552374536248296</v>
      </c>
      <c r="C8572" t="s">
        <v>40</v>
      </c>
      <c r="D8572">
        <v>4.7777500000000002</v>
      </c>
      <c r="E8572">
        <v>0.54268309999999997</v>
      </c>
      <c r="F8572" t="s">
        <v>42</v>
      </c>
      <c r="G8572">
        <v>-352.19049999999999</v>
      </c>
      <c r="H8572" s="1">
        <v>-4.2585750000000001E-6</v>
      </c>
      <c r="I8572">
        <v>14.395709999999999</v>
      </c>
      <c r="J8572">
        <v>-367.84710000000001</v>
      </c>
      <c r="K8572">
        <v>1.1097539999999999</v>
      </c>
      <c r="L8572">
        <v>17.148160000000001</v>
      </c>
      <c r="M8572">
        <v>0.9997762</v>
      </c>
      <c r="N8572">
        <v>0</v>
      </c>
      <c r="O8572">
        <v>1.6902730000000001E-2</v>
      </c>
      <c r="P8572">
        <v>0.99622599999999994</v>
      </c>
      <c r="Q8572">
        <v>5.906223E-2</v>
      </c>
      <c r="R8572">
        <v>-6.3605519999999999E-2</v>
      </c>
      <c r="S8572">
        <v>2.9911799999999999</v>
      </c>
      <c r="T8572">
        <v>-0.20915030000000001</v>
      </c>
      <c r="U8572">
        <v>-0.51815800000000001</v>
      </c>
      <c r="V8572">
        <v>8.0554340000000002E-2</v>
      </c>
      <c r="W8572">
        <v>7.1589050000000001E-2</v>
      </c>
      <c r="X8572">
        <v>0.99417599999999995</v>
      </c>
      <c r="Y8572">
        <v>0.1868348</v>
      </c>
      <c r="Z8572">
        <v>-7.648172E-3</v>
      </c>
      <c r="AA8572">
        <v>0.98236159999999995</v>
      </c>
      <c r="AB8572">
        <v>28</v>
      </c>
      <c r="AC8572">
        <v>15.656599999999999</v>
      </c>
      <c r="AD8572">
        <v>-1.1097582585750001</v>
      </c>
      <c r="AE8572">
        <v>-2.7524500000000001</v>
      </c>
      <c r="AF8572">
        <v>3.0020866887186801</v>
      </c>
      <c r="AG8572">
        <v>-1.1097582585750001</v>
      </c>
      <c r="AH8572">
        <v>15.5321390394825</v>
      </c>
      <c r="AI8572">
        <v>94.012772325811795</v>
      </c>
      <c r="AJ8572">
        <v>79.060636347197104</v>
      </c>
      <c r="AK8572">
        <v>15.8584813592246</v>
      </c>
      <c r="AL8572">
        <v>85.894737718335804</v>
      </c>
      <c r="AM8572">
        <v>85.367658409239695</v>
      </c>
      <c r="AN8572">
        <v>0.999999956374368</v>
      </c>
    </row>
    <row r="8573" spans="1:40" x14ac:dyDescent="0.25">
      <c r="A8573" t="str">
        <f>"20190312150856273"</f>
        <v>20190312150856273</v>
      </c>
      <c r="B8573" t="str">
        <f>"1552374536268793"</f>
        <v>1552374536268793</v>
      </c>
      <c r="C8573" t="s">
        <v>40</v>
      </c>
      <c r="D8573">
        <v>4.7457909999999996</v>
      </c>
      <c r="E8573">
        <v>0.5425664</v>
      </c>
      <c r="F8573" t="s">
        <v>42</v>
      </c>
      <c r="G8573">
        <v>-351.73880000000003</v>
      </c>
      <c r="H8573" s="1">
        <v>-4.4663260000000002E-6</v>
      </c>
      <c r="I8573">
        <v>14.31696</v>
      </c>
      <c r="J8573">
        <v>-367.69029999999998</v>
      </c>
      <c r="K8573">
        <v>1.1097520000000001</v>
      </c>
      <c r="L8573">
        <v>17.150269999999999</v>
      </c>
      <c r="M8573">
        <v>0.99978460000000002</v>
      </c>
      <c r="N8573">
        <v>0</v>
      </c>
      <c r="O8573">
        <v>1.6395900000000001E-2</v>
      </c>
      <c r="P8573">
        <v>0.99612900000000004</v>
      </c>
      <c r="Q8573">
        <v>5.9187009999999998E-2</v>
      </c>
      <c r="R8573">
        <v>-6.499373E-2</v>
      </c>
      <c r="S8573">
        <v>2.990021</v>
      </c>
      <c r="T8573">
        <v>-0.2059935</v>
      </c>
      <c r="U8573">
        <v>-0.52551269999999894</v>
      </c>
      <c r="V8573">
        <v>8.143686E-2</v>
      </c>
      <c r="W8573">
        <v>7.1710330000000003E-2</v>
      </c>
      <c r="X8573">
        <v>0.99409539999999996</v>
      </c>
      <c r="Y8573">
        <v>0.1887567</v>
      </c>
      <c r="Z8573">
        <v>-7.5652899999999997E-3</v>
      </c>
      <c r="AA8573">
        <v>0.9819947</v>
      </c>
      <c r="AB8573">
        <v>28</v>
      </c>
      <c r="AC8573">
        <v>15.9514999999999</v>
      </c>
      <c r="AD8573">
        <v>-1.109756466326</v>
      </c>
      <c r="AE8573">
        <v>-2.83331</v>
      </c>
      <c r="AF8573">
        <v>3.0800377707181901</v>
      </c>
      <c r="AG8573">
        <v>-1.109756466326</v>
      </c>
      <c r="AH8573">
        <v>15.8286283074734</v>
      </c>
      <c r="AI8573">
        <v>93.936883830674105</v>
      </c>
      <c r="AJ8573">
        <v>78.988615338490703</v>
      </c>
      <c r="AK8573">
        <v>16.1636526249406</v>
      </c>
      <c r="AL8573">
        <v>85.887771155757406</v>
      </c>
      <c r="AM8573">
        <v>85.316754892003203</v>
      </c>
      <c r="AN8573">
        <v>0.99999999894826397</v>
      </c>
    </row>
    <row r="8574" spans="1:40" x14ac:dyDescent="0.25">
      <c r="A8574" t="str">
        <f>"20190312150856285"</f>
        <v>20190312150856285</v>
      </c>
      <c r="B8574" t="str">
        <f>"1552374536278553"</f>
        <v>1552374536278553</v>
      </c>
      <c r="C8574" t="s">
        <v>40</v>
      </c>
      <c r="D8574">
        <v>4.7809109999999997</v>
      </c>
      <c r="E8574">
        <v>0.542267099999999</v>
      </c>
      <c r="F8574" t="s">
        <v>42</v>
      </c>
      <c r="G8574">
        <v>-351.54919999999998</v>
      </c>
      <c r="H8574" s="1">
        <v>-4.5514810000000001E-6</v>
      </c>
      <c r="I8574">
        <v>14.295400000000001</v>
      </c>
      <c r="J8574">
        <v>-367.53370000000001</v>
      </c>
      <c r="K8574">
        <v>1.1097509999999999</v>
      </c>
      <c r="L8574">
        <v>17.15231</v>
      </c>
      <c r="M8574">
        <v>0.99979289999999998</v>
      </c>
      <c r="N8574">
        <v>0</v>
      </c>
      <c r="O8574">
        <v>1.5888719999999999E-2</v>
      </c>
      <c r="P8574">
        <v>0.99603120000000001</v>
      </c>
      <c r="Q8574">
        <v>5.947703E-2</v>
      </c>
      <c r="R8574">
        <v>-6.6213579999999994E-2</v>
      </c>
      <c r="S8574">
        <v>2.9893800000000001</v>
      </c>
      <c r="T8574">
        <v>-0.20553070000000001</v>
      </c>
      <c r="U8574">
        <v>-0.52871699999999999</v>
      </c>
      <c r="V8574">
        <v>8.2151130000000003E-2</v>
      </c>
      <c r="W8574">
        <v>7.1997599999999995E-2</v>
      </c>
      <c r="X8574">
        <v>0.99401589999999995</v>
      </c>
      <c r="Y8574">
        <v>0.18931719999999999</v>
      </c>
      <c r="Z8574">
        <v>-7.5337440000000002E-3</v>
      </c>
      <c r="AA8574">
        <v>0.98188710000000001</v>
      </c>
      <c r="AB8574">
        <v>28</v>
      </c>
      <c r="AC8574">
        <v>15.984500000000001</v>
      </c>
      <c r="AD8574">
        <v>-1.109755551481</v>
      </c>
      <c r="AE8574">
        <v>-2.8569099999999898</v>
      </c>
      <c r="AF8574">
        <v>3.09608160880029</v>
      </c>
      <c r="AG8574">
        <v>-1.109755551481</v>
      </c>
      <c r="AH8574">
        <v>15.8629911895453</v>
      </c>
      <c r="AI8574">
        <v>93.927945453412505</v>
      </c>
      <c r="AJ8574">
        <v>78.9560542521603</v>
      </c>
      <c r="AK8574">
        <v>16.200363211730298</v>
      </c>
      <c r="AL8574">
        <v>85.8712692953697</v>
      </c>
      <c r="AM8574">
        <v>85.275487868932103</v>
      </c>
      <c r="AN8574">
        <v>1.0000000360094199</v>
      </c>
    </row>
    <row r="8575" spans="1:40" x14ac:dyDescent="0.25">
      <c r="A8575" t="str">
        <f>"20190312150856297"</f>
        <v>20190312150856297</v>
      </c>
      <c r="B8575" t="str">
        <f>"1552374536288313"</f>
        <v>1552374536288313</v>
      </c>
      <c r="C8575" t="s">
        <v>40</v>
      </c>
      <c r="D8575">
        <v>4.7336790000000004</v>
      </c>
      <c r="E8575">
        <v>0.54193469999999999</v>
      </c>
      <c r="F8575" t="s">
        <v>42</v>
      </c>
      <c r="G8575">
        <v>-351.74950000000001</v>
      </c>
      <c r="H8575" s="1">
        <v>-4.4552569999999901E-6</v>
      </c>
      <c r="I8575">
        <v>14.353669999999999</v>
      </c>
      <c r="J8575">
        <v>-367.3818</v>
      </c>
      <c r="K8575">
        <v>1.1097539999999999</v>
      </c>
      <c r="L8575">
        <v>17.154170000000001</v>
      </c>
      <c r="M8575">
        <v>0.99980049999999998</v>
      </c>
      <c r="N8575">
        <v>0</v>
      </c>
      <c r="O8575">
        <v>1.5396470000000001E-2</v>
      </c>
      <c r="P8575">
        <v>0.99592610000000004</v>
      </c>
      <c r="Q8575">
        <v>5.9904079999999998E-2</v>
      </c>
      <c r="R8575">
        <v>-6.740119E-2</v>
      </c>
      <c r="S8575">
        <v>2.989258</v>
      </c>
      <c r="T8575">
        <v>-0.2101682</v>
      </c>
      <c r="U8575">
        <v>-0.52999879999999999</v>
      </c>
      <c r="V8575">
        <v>8.2847740000000003E-2</v>
      </c>
      <c r="W8575">
        <v>7.2421340000000001E-2</v>
      </c>
      <c r="X8575">
        <v>0.99392720000000001</v>
      </c>
      <c r="Y8575">
        <v>0.1892288</v>
      </c>
      <c r="Z8575">
        <v>-7.6659519999999898E-3</v>
      </c>
      <c r="AA8575">
        <v>0.98190310000000003</v>
      </c>
      <c r="AB8575">
        <v>28</v>
      </c>
      <c r="AC8575">
        <v>15.632299999999899</v>
      </c>
      <c r="AD8575">
        <v>-1.1097584552569999</v>
      </c>
      <c r="AE8575">
        <v>-2.8004999999999902</v>
      </c>
      <c r="AF8575">
        <v>3.0260931325812699</v>
      </c>
      <c r="AG8575">
        <v>-1.1097584552569999</v>
      </c>
      <c r="AH8575">
        <v>15.511581507918001</v>
      </c>
      <c r="AI8575">
        <v>94.016722163043596</v>
      </c>
      <c r="AJ8575">
        <v>78.9610414964596</v>
      </c>
      <c r="AK8575">
        <v>15.8429152731703</v>
      </c>
      <c r="AL8575">
        <v>85.846926832416798</v>
      </c>
      <c r="AM8575">
        <v>85.235186247873401</v>
      </c>
      <c r="AN8575">
        <v>0.99999993870516901</v>
      </c>
    </row>
    <row r="8576" spans="1:40" x14ac:dyDescent="0.25">
      <c r="A8576" t="str">
        <f>"20190312150856307"</f>
        <v>20190312150856307</v>
      </c>
      <c r="B8576" t="str">
        <f>"1552374536298073"</f>
        <v>1552374536298073</v>
      </c>
      <c r="C8576" t="s">
        <v>40</v>
      </c>
      <c r="D8576">
        <v>4.7593819999999996</v>
      </c>
      <c r="E8576">
        <v>0.54169160000000005</v>
      </c>
      <c r="F8576" t="s">
        <v>42</v>
      </c>
      <c r="G8576">
        <v>-351.67349999999999</v>
      </c>
      <c r="H8576" s="1">
        <v>-4.4861330000000004E-6</v>
      </c>
      <c r="I8576">
        <v>14.36321</v>
      </c>
      <c r="J8576">
        <v>-367.25259999999997</v>
      </c>
      <c r="K8576">
        <v>1.1097539999999999</v>
      </c>
      <c r="L8576">
        <v>17.1557</v>
      </c>
      <c r="M8576">
        <v>0.99980690000000005</v>
      </c>
      <c r="N8576">
        <v>0</v>
      </c>
      <c r="O8576">
        <v>1.497777E-2</v>
      </c>
      <c r="P8576">
        <v>0.99586600000000003</v>
      </c>
      <c r="Q8576">
        <v>5.992041E-2</v>
      </c>
      <c r="R8576">
        <v>-6.8270230000000001E-2</v>
      </c>
      <c r="S8576">
        <v>2.9890750000000001</v>
      </c>
      <c r="T8576">
        <v>-0.2111722</v>
      </c>
      <c r="U8576">
        <v>-0.53106690000000001</v>
      </c>
      <c r="V8576">
        <v>8.3299230000000002E-2</v>
      </c>
      <c r="W8576">
        <v>7.2436089999999995E-2</v>
      </c>
      <c r="X8576">
        <v>0.99388840000000001</v>
      </c>
      <c r="Y8576">
        <v>0.18916459999999999</v>
      </c>
      <c r="Z8576">
        <v>-7.6711280000000001E-3</v>
      </c>
      <c r="AA8576">
        <v>0.98191539999999999</v>
      </c>
      <c r="AB8576">
        <v>28</v>
      </c>
      <c r="AC8576">
        <v>15.579099999999899</v>
      </c>
      <c r="AD8576">
        <v>-1.1097584861329901</v>
      </c>
      <c r="AE8576">
        <v>-2.7924899999999901</v>
      </c>
      <c r="AF8576">
        <v>3.0107341006132202</v>
      </c>
      <c r="AG8576">
        <v>-1.1097584861329901</v>
      </c>
      <c r="AH8576">
        <v>15.459519897319201</v>
      </c>
      <c r="AI8576">
        <v>94.030458376660704</v>
      </c>
      <c r="AJ8576">
        <v>78.979617295152906</v>
      </c>
      <c r="AK8576">
        <v>15.789010075927701</v>
      </c>
      <c r="AL8576">
        <v>85.846079542216998</v>
      </c>
      <c r="AM8576">
        <v>85.209154127420007</v>
      </c>
      <c r="AN8576">
        <v>0.99999995025381905</v>
      </c>
    </row>
    <row r="8577" spans="1:40" x14ac:dyDescent="0.25">
      <c r="A8577" t="str">
        <f>"20190312150856318"</f>
        <v>20190312150856318</v>
      </c>
      <c r="B8577" t="str">
        <f>"1552374536308808"</f>
        <v>1552374536308808</v>
      </c>
      <c r="C8577" t="s">
        <v>40</v>
      </c>
      <c r="D8577">
        <v>4.7596249999999998</v>
      </c>
      <c r="E8577">
        <v>0.54149029999999998</v>
      </c>
      <c r="F8577" t="s">
        <v>42</v>
      </c>
      <c r="G8577">
        <v>-351.67450000000002</v>
      </c>
      <c r="H8577" s="1">
        <v>-4.4821499999999999E-6</v>
      </c>
      <c r="I8577">
        <v>14.3832</v>
      </c>
      <c r="J8577">
        <v>-367.11349999999999</v>
      </c>
      <c r="K8577">
        <v>1.1097509999999999</v>
      </c>
      <c r="L8577">
        <v>17.157319999999999</v>
      </c>
      <c r="M8577">
        <v>0.99981350000000002</v>
      </c>
      <c r="N8577">
        <v>0</v>
      </c>
      <c r="O8577">
        <v>1.4527490000000001E-2</v>
      </c>
      <c r="P8577">
        <v>0.9957916</v>
      </c>
      <c r="Q8577">
        <v>6.0095910000000002E-2</v>
      </c>
      <c r="R8577">
        <v>-6.9193589999999999E-2</v>
      </c>
      <c r="S8577">
        <v>2.9888309999999998</v>
      </c>
      <c r="T8577">
        <v>-0.2129202</v>
      </c>
      <c r="U8577">
        <v>-0.53192139999999999</v>
      </c>
      <c r="V8577">
        <v>8.3773420000000001E-2</v>
      </c>
      <c r="W8577">
        <v>7.2610149999999998E-2</v>
      </c>
      <c r="X8577">
        <v>0.99383589999999999</v>
      </c>
      <c r="Y8577">
        <v>0.18900169999999999</v>
      </c>
      <c r="Z8577">
        <v>-7.6973409999999999E-3</v>
      </c>
      <c r="AA8577">
        <v>0.9819466</v>
      </c>
      <c r="AB8577">
        <v>28</v>
      </c>
      <c r="AC8577">
        <v>15.438999999999901</v>
      </c>
      <c r="AD8577">
        <v>-1.10975548215</v>
      </c>
      <c r="AE8577">
        <v>-2.7741199999999999</v>
      </c>
      <c r="AF8577">
        <v>2.98320392404929</v>
      </c>
      <c r="AG8577">
        <v>-1.10975548215</v>
      </c>
      <c r="AH8577">
        <v>15.320385516419201</v>
      </c>
      <c r="AI8577">
        <v>94.066949878507302</v>
      </c>
      <c r="AJ8577">
        <v>78.981180443980605</v>
      </c>
      <c r="AK8577">
        <v>15.6475325612166</v>
      </c>
      <c r="AL8577">
        <v>85.8360805483414</v>
      </c>
      <c r="AM8577">
        <v>85.181756418401207</v>
      </c>
      <c r="AN8577">
        <v>1.0000000079551601</v>
      </c>
    </row>
    <row r="8578" spans="1:40" x14ac:dyDescent="0.25">
      <c r="A8578" t="str">
        <f>"20190312150856330"</f>
        <v>20190312150856330</v>
      </c>
      <c r="B8578" t="str">
        <f>"1552374536318569"</f>
        <v>1552374536318569</v>
      </c>
      <c r="C8578" t="s">
        <v>40</v>
      </c>
      <c r="D8578">
        <v>4.8207979999999999</v>
      </c>
      <c r="E8578">
        <v>0.54151110000000002</v>
      </c>
      <c r="F8578" t="s">
        <v>42</v>
      </c>
      <c r="G8578">
        <v>-351.61579999999998</v>
      </c>
      <c r="H8578" s="1">
        <v>-4.5057800000000004E-6</v>
      </c>
      <c r="I8578">
        <v>14.392060000000001</v>
      </c>
      <c r="J8578">
        <v>-366.97739999999999</v>
      </c>
      <c r="K8578">
        <v>1.1097539999999999</v>
      </c>
      <c r="L8578">
        <v>17.158809999999999</v>
      </c>
      <c r="M8578">
        <v>0.99981989999999998</v>
      </c>
      <c r="N8578">
        <v>0</v>
      </c>
      <c r="O8578">
        <v>1.408734E-2</v>
      </c>
      <c r="P8578">
        <v>0.9957047</v>
      </c>
      <c r="Q8578">
        <v>6.0335109999999997E-2</v>
      </c>
      <c r="R8578">
        <v>-7.0228849999999995E-2</v>
      </c>
      <c r="S8578">
        <v>2.988556</v>
      </c>
      <c r="T8578">
        <v>-0.214004</v>
      </c>
      <c r="U8578">
        <v>-0.53323359999999997</v>
      </c>
      <c r="V8578">
        <v>8.4369990000000006E-2</v>
      </c>
      <c r="W8578">
        <v>7.284699E-2</v>
      </c>
      <c r="X8578">
        <v>0.99376810000000004</v>
      </c>
      <c r="Y8578">
        <v>0.18899879999999999</v>
      </c>
      <c r="Z8578">
        <v>-7.7054760000000002E-3</v>
      </c>
      <c r="AA8578">
        <v>0.98194709999999996</v>
      </c>
      <c r="AB8578">
        <v>28</v>
      </c>
      <c r="AC8578">
        <v>15.361599999999999</v>
      </c>
      <c r="AD8578">
        <v>-1.1097585057799999</v>
      </c>
      <c r="AE8578">
        <v>-2.7667499999999898</v>
      </c>
      <c r="AF8578">
        <v>2.9678943343769801</v>
      </c>
      <c r="AG8578">
        <v>-1.1097585057799999</v>
      </c>
      <c r="AH8578">
        <v>15.244037751665701</v>
      </c>
      <c r="AI8578">
        <v>94.087283111242897</v>
      </c>
      <c r="AJ8578">
        <v>78.982784893661503</v>
      </c>
      <c r="AK8578">
        <v>15.569863444981999</v>
      </c>
      <c r="AL8578">
        <v>85.822474583937407</v>
      </c>
      <c r="AM8578">
        <v>85.147278367467095</v>
      </c>
      <c r="AN8578">
        <v>1.00000000787113</v>
      </c>
    </row>
    <row r="8579" spans="1:40" x14ac:dyDescent="0.25">
      <c r="A8579" t="str">
        <f>"20190312150856341"</f>
        <v>20190312150856341</v>
      </c>
      <c r="B8579" t="str">
        <f>"1552374536338088"</f>
        <v>1552374536338088</v>
      </c>
      <c r="C8579" t="s">
        <v>40</v>
      </c>
      <c r="D8579">
        <v>5.1346590000000001</v>
      </c>
      <c r="E8579">
        <v>0.5412633</v>
      </c>
      <c r="F8579" t="s">
        <v>42</v>
      </c>
      <c r="G8579">
        <v>-351.41399999999999</v>
      </c>
      <c r="H8579" s="1">
        <v>-4.5972840000000004E-6</v>
      </c>
      <c r="I8579">
        <v>14.3643</v>
      </c>
      <c r="J8579">
        <v>-366.8313</v>
      </c>
      <c r="K8579">
        <v>1.109756</v>
      </c>
      <c r="L8579">
        <v>17.160399999999999</v>
      </c>
      <c r="M8579">
        <v>0.9998264</v>
      </c>
      <c r="N8579">
        <v>0</v>
      </c>
      <c r="O8579">
        <v>1.361513E-2</v>
      </c>
      <c r="P8579">
        <v>0.99560059999999995</v>
      </c>
      <c r="Q8579">
        <v>6.0531830000000002E-2</v>
      </c>
      <c r="R8579">
        <v>-7.1522730000000007E-2</v>
      </c>
      <c r="S8579">
        <v>2.9880070000000001</v>
      </c>
      <c r="T8579">
        <v>-0.213061</v>
      </c>
      <c r="U8579">
        <v>-0.53649899999999995</v>
      </c>
      <c r="V8579">
        <v>8.5192680000000007E-2</v>
      </c>
      <c r="W8579">
        <v>7.3041010000000003E-2</v>
      </c>
      <c r="X8579">
        <v>0.9936836</v>
      </c>
      <c r="Y8579">
        <v>0.18961</v>
      </c>
      <c r="Z8579">
        <v>-7.6604680000000001E-3</v>
      </c>
      <c r="AA8579">
        <v>0.98182959999999997</v>
      </c>
      <c r="AB8579">
        <v>28</v>
      </c>
      <c r="AC8579">
        <v>15.417299999999999</v>
      </c>
      <c r="AD8579">
        <v>-1.1097605972839999</v>
      </c>
      <c r="AE8579">
        <v>-2.7960999999999898</v>
      </c>
      <c r="AF8579">
        <v>2.99076362273534</v>
      </c>
      <c r="AG8579">
        <v>-1.1097605972839999</v>
      </c>
      <c r="AH8579">
        <v>15.3010431344207</v>
      </c>
      <c r="AI8579">
        <v>94.0715278768009</v>
      </c>
      <c r="AJ8579">
        <v>78.940324229429294</v>
      </c>
      <c r="AK8579">
        <v>15.630040199301</v>
      </c>
      <c r="AL8579">
        <v>85.811328076395597</v>
      </c>
      <c r="AM8579">
        <v>85.099774207057393</v>
      </c>
      <c r="AN8579">
        <v>0.99999993938817899</v>
      </c>
    </row>
    <row r="8580" spans="1:40" x14ac:dyDescent="0.25">
      <c r="A8580" t="str">
        <f>"20190312150856359"</f>
        <v>20190312150856359</v>
      </c>
      <c r="B8580" t="str">
        <f>"1552374536348825"</f>
        <v>1552374536348825</v>
      </c>
      <c r="C8580" t="s">
        <v>40</v>
      </c>
      <c r="D8580">
        <v>4.8079729999999996</v>
      </c>
      <c r="E8580">
        <v>0.53941660000000002</v>
      </c>
      <c r="F8580" t="s">
        <v>42</v>
      </c>
      <c r="G8580">
        <v>-351.25310000000002</v>
      </c>
      <c r="H8580" s="1">
        <v>-4.6682469999999999E-6</v>
      </c>
      <c r="I8580">
        <v>14.35338</v>
      </c>
      <c r="J8580">
        <v>-366.61700000000002</v>
      </c>
      <c r="K8580">
        <v>1.109761</v>
      </c>
      <c r="L8580">
        <v>17.16254</v>
      </c>
      <c r="M8580">
        <v>0.99983560000000005</v>
      </c>
      <c r="N8580">
        <v>0</v>
      </c>
      <c r="O8580">
        <v>1.2924369999999999E-2</v>
      </c>
      <c r="P8580">
        <v>0.99546069999999998</v>
      </c>
      <c r="Q8580">
        <v>6.0635550000000003E-2</v>
      </c>
      <c r="R8580">
        <v>-7.3355879999999998E-2</v>
      </c>
      <c r="S8580">
        <v>2.9875180000000001</v>
      </c>
      <c r="T8580">
        <v>-0.21282429999999999</v>
      </c>
      <c r="U8580">
        <v>-0.53829959999999999</v>
      </c>
      <c r="V8580">
        <v>8.6336769999999993E-2</v>
      </c>
      <c r="W8580">
        <v>7.3140419999999998E-2</v>
      </c>
      <c r="X8580">
        <v>0.99357759999999995</v>
      </c>
      <c r="Y8580">
        <v>0.18953590000000001</v>
      </c>
      <c r="Z8580">
        <v>-7.6014050000000003E-3</v>
      </c>
      <c r="AA8580">
        <v>0.98184439999999995</v>
      </c>
      <c r="AB8580">
        <v>28</v>
      </c>
      <c r="AC8580">
        <v>15.3638999999999</v>
      </c>
      <c r="AD8580">
        <v>-1.1097656682470001</v>
      </c>
      <c r="AE8580">
        <v>-2.8091599999999999</v>
      </c>
      <c r="AF8580">
        <v>2.9924024280278099</v>
      </c>
      <c r="AG8580">
        <v>-1.1097656682470001</v>
      </c>
      <c r="AH8580">
        <v>15.249318015458501</v>
      </c>
      <c r="AI8580">
        <v>94.0847186490941</v>
      </c>
      <c r="AJ8580">
        <v>78.8978104746014</v>
      </c>
      <c r="AK8580">
        <v>15.579722464353299</v>
      </c>
      <c r="AL8580">
        <v>85.805617294771196</v>
      </c>
      <c r="AM8580">
        <v>85.033766675767296</v>
      </c>
      <c r="AN8580">
        <v>1.0000000030567799</v>
      </c>
    </row>
    <row r="8581" spans="1:40" x14ac:dyDescent="0.25">
      <c r="A8581" t="str">
        <f>"20190312150856371"</f>
        <v>20190312150856371</v>
      </c>
      <c r="B8581" t="str">
        <f>"1552374536358585"</f>
        <v>1552374536358585</v>
      </c>
      <c r="C8581" t="s">
        <v>40</v>
      </c>
      <c r="D8581">
        <v>4.7989459999999999</v>
      </c>
      <c r="E8581">
        <v>0.53916450000000005</v>
      </c>
      <c r="F8581" t="s">
        <v>42</v>
      </c>
      <c r="G8581">
        <v>-348.18209999999999</v>
      </c>
      <c r="H8581" s="1">
        <v>-2.127348E-6</v>
      </c>
      <c r="I8581">
        <v>13.89367</v>
      </c>
      <c r="J8581">
        <v>-366.47899999999998</v>
      </c>
      <c r="K8581">
        <v>1.1097600000000001</v>
      </c>
      <c r="L8581">
        <v>17.163820000000001</v>
      </c>
      <c r="M8581">
        <v>0.99984119999999999</v>
      </c>
      <c r="N8581">
        <v>0</v>
      </c>
      <c r="O8581">
        <v>1.2480349999999999E-2</v>
      </c>
      <c r="P8581">
        <v>0.99539219999999895</v>
      </c>
      <c r="Q8581">
        <v>6.0731019999999997E-2</v>
      </c>
      <c r="R8581">
        <v>-7.4203069999999996E-2</v>
      </c>
      <c r="S8581">
        <v>2.9855960000000001</v>
      </c>
      <c r="T8581">
        <v>-0.17972949999999999</v>
      </c>
      <c r="U8581">
        <v>-0.52938839999999998</v>
      </c>
      <c r="V8581">
        <v>8.6741520000000003E-2</v>
      </c>
      <c r="W8581">
        <v>7.3234090000000002E-2</v>
      </c>
      <c r="X8581">
        <v>0.99353550000000002</v>
      </c>
      <c r="Y8581">
        <v>0.1865174</v>
      </c>
      <c r="Z8581">
        <v>-6.3107789999999999E-3</v>
      </c>
      <c r="AA8581">
        <v>0.98243139999999995</v>
      </c>
      <c r="AB8581">
        <v>28</v>
      </c>
      <c r="AC8581">
        <v>18.296900000000001</v>
      </c>
      <c r="AD8581">
        <v>-1.1097621273480001</v>
      </c>
      <c r="AE8581">
        <v>-3.2701499999999899</v>
      </c>
      <c r="AF8581">
        <v>3.4858387532067701</v>
      </c>
      <c r="AG8581">
        <v>-1.1097621273480001</v>
      </c>
      <c r="AH8581">
        <v>18.1898137393555</v>
      </c>
      <c r="AI8581">
        <v>93.429048336690698</v>
      </c>
      <c r="AJ8581">
        <v>79.151542769500495</v>
      </c>
      <c r="AK8581">
        <v>18.554028340635401</v>
      </c>
      <c r="AL8581">
        <v>85.800236192397406</v>
      </c>
      <c r="AM8581">
        <v>85.010391685521597</v>
      </c>
      <c r="AN8581">
        <v>1.0000000564951399</v>
      </c>
    </row>
    <row r="8582" spans="1:40" x14ac:dyDescent="0.25">
      <c r="A8582" t="str">
        <f>"20190312150856381"</f>
        <v>20190312150856381</v>
      </c>
      <c r="B8582" t="str">
        <f>"1552374536368344"</f>
        <v>1552374536368344</v>
      </c>
      <c r="C8582" t="s">
        <v>40</v>
      </c>
      <c r="D8582">
        <v>4.7976519999999896</v>
      </c>
      <c r="E8582">
        <v>0.53868130000000003</v>
      </c>
      <c r="F8582" t="s">
        <v>42</v>
      </c>
      <c r="G8582">
        <v>-347.82130000000001</v>
      </c>
      <c r="H8582" s="1">
        <v>-2.2613700000000001E-6</v>
      </c>
      <c r="I8582">
        <v>13.851419999999999</v>
      </c>
      <c r="J8582">
        <v>-366.34480000000002</v>
      </c>
      <c r="K8582">
        <v>1.1097600000000001</v>
      </c>
      <c r="L8582">
        <v>17.165040000000001</v>
      </c>
      <c r="M8582">
        <v>0.99984660000000003</v>
      </c>
      <c r="N8582">
        <v>0</v>
      </c>
      <c r="O8582">
        <v>1.2048959999999999E-2</v>
      </c>
      <c r="P8582">
        <v>0.99532699999999996</v>
      </c>
      <c r="Q8582">
        <v>6.0702810000000003E-2</v>
      </c>
      <c r="R8582">
        <v>-7.5095339999999997E-2</v>
      </c>
      <c r="S8582">
        <v>2.9852289999999999</v>
      </c>
      <c r="T8582">
        <v>-0.17756150000000001</v>
      </c>
      <c r="U8582">
        <v>-0.52996829999999995</v>
      </c>
      <c r="V8582">
        <v>8.7203580000000003E-2</v>
      </c>
      <c r="W8582">
        <v>7.3204119999999998E-2</v>
      </c>
      <c r="X8582">
        <v>0.99349719999999997</v>
      </c>
      <c r="Y8582">
        <v>0.18630869999999999</v>
      </c>
      <c r="Z8582">
        <v>-6.2038299999999996E-3</v>
      </c>
      <c r="AA8582">
        <v>0.9824716</v>
      </c>
      <c r="AB8582">
        <v>28</v>
      </c>
      <c r="AC8582">
        <v>18.523499999999999</v>
      </c>
      <c r="AD8582">
        <v>-1.10976226137</v>
      </c>
      <c r="AE8582">
        <v>-3.3136199999999998</v>
      </c>
      <c r="AF8582">
        <v>3.5243286325902798</v>
      </c>
      <c r="AG8582">
        <v>-1.10976226137</v>
      </c>
      <c r="AH8582">
        <v>18.418167224429599</v>
      </c>
      <c r="AI8582">
        <v>93.386812657489997</v>
      </c>
      <c r="AJ8582">
        <v>79.167360133848106</v>
      </c>
      <c r="AK8582">
        <v>18.785136371458901</v>
      </c>
      <c r="AL8582">
        <v>85.801957717966502</v>
      </c>
      <c r="AM8582">
        <v>84.983755594716598</v>
      </c>
      <c r="AN8582">
        <v>0.99999999697881503</v>
      </c>
    </row>
    <row r="8583" spans="1:40" x14ac:dyDescent="0.25">
      <c r="A8583" t="str">
        <f>"20190312150856392"</f>
        <v>20190312150856392</v>
      </c>
      <c r="B8583" t="str">
        <f>"1552374536388841"</f>
        <v>1552374536388841</v>
      </c>
      <c r="C8583" t="s">
        <v>40</v>
      </c>
      <c r="D8583">
        <v>4.7279809999999998</v>
      </c>
      <c r="E8583">
        <v>0.53997510000000004</v>
      </c>
      <c r="F8583" t="s">
        <v>42</v>
      </c>
      <c r="G8583">
        <v>-346.98540000000003</v>
      </c>
      <c r="H8583" s="1">
        <v>-2.5769310000000001E-6</v>
      </c>
      <c r="I8583">
        <v>13.73452</v>
      </c>
      <c r="J8583">
        <v>-366.21100000000001</v>
      </c>
      <c r="K8583">
        <v>1.109756</v>
      </c>
      <c r="L8583">
        <v>17.166170000000001</v>
      </c>
      <c r="M8583">
        <v>0.99985159999999995</v>
      </c>
      <c r="N8583">
        <v>0</v>
      </c>
      <c r="O8583">
        <v>1.161912E-2</v>
      </c>
      <c r="P8583">
        <v>0.99527080000000001</v>
      </c>
      <c r="Q8583">
        <v>6.0699059999999999E-2</v>
      </c>
      <c r="R8583">
        <v>-7.5841560000000002E-2</v>
      </c>
      <c r="S8583">
        <v>2.9846499999999998</v>
      </c>
      <c r="T8583">
        <v>-0.17109199999999999</v>
      </c>
      <c r="U8583">
        <v>-0.52886959999999905</v>
      </c>
      <c r="V8583">
        <v>8.7521550000000004E-2</v>
      </c>
      <c r="W8583">
        <v>7.3198429999999995E-2</v>
      </c>
      <c r="X8583">
        <v>0.99346970000000001</v>
      </c>
      <c r="Y8583">
        <v>0.1855945</v>
      </c>
      <c r="Z8583">
        <v>-5.9347540000000004E-3</v>
      </c>
      <c r="AA8583">
        <v>0.9826085</v>
      </c>
      <c r="AB8583">
        <v>28</v>
      </c>
      <c r="AC8583">
        <v>19.225599999999901</v>
      </c>
      <c r="AD8583">
        <v>-1.1097585769310001</v>
      </c>
      <c r="AE8583">
        <v>-3.4316499999999901</v>
      </c>
      <c r="AF8583">
        <v>3.64305727715728</v>
      </c>
      <c r="AG8583">
        <v>-1.1097585769310001</v>
      </c>
      <c r="AH8583">
        <v>19.122677683645399</v>
      </c>
      <c r="AI8583">
        <v>93.262805103902807</v>
      </c>
      <c r="AJ8583">
        <v>79.213844527179106</v>
      </c>
      <c r="AK8583">
        <v>19.498211000404901</v>
      </c>
      <c r="AL8583">
        <v>85.802284781885703</v>
      </c>
      <c r="AM8583">
        <v>84.965420075802498</v>
      </c>
      <c r="AN8583">
        <v>1.00000003834347</v>
      </c>
    </row>
    <row r="8584" spans="1:40" x14ac:dyDescent="0.25">
      <c r="A8584" t="str">
        <f>"20190312150856402"</f>
        <v>20190312150856402</v>
      </c>
      <c r="B8584" t="str">
        <f>"1552374536398601"</f>
        <v>1552374536398601</v>
      </c>
      <c r="C8584" t="s">
        <v>40</v>
      </c>
      <c r="D8584">
        <v>4.720275</v>
      </c>
      <c r="E8584">
        <v>0.54027019999999903</v>
      </c>
      <c r="F8584" t="s">
        <v>42</v>
      </c>
      <c r="G8584">
        <v>-345.64190000000002</v>
      </c>
      <c r="H8584" s="1">
        <v>-3.1147399999999998E-6</v>
      </c>
      <c r="I8584">
        <v>13.43146</v>
      </c>
      <c r="J8584">
        <v>-366.07830000000001</v>
      </c>
      <c r="K8584">
        <v>1.109756</v>
      </c>
      <c r="L8584">
        <v>17.167300000000001</v>
      </c>
      <c r="M8584">
        <v>0.99985650000000004</v>
      </c>
      <c r="N8584">
        <v>0</v>
      </c>
      <c r="O8584">
        <v>1.1193389999999999E-2</v>
      </c>
      <c r="P8584">
        <v>0.99522109999999997</v>
      </c>
      <c r="Q8584">
        <v>6.0544870000000001E-2</v>
      </c>
      <c r="R8584">
        <v>-7.6611869999999999E-2</v>
      </c>
      <c r="S8584">
        <v>2.982758</v>
      </c>
      <c r="T8584">
        <v>-0.1609284</v>
      </c>
      <c r="U8584">
        <v>-0.54156490000000002</v>
      </c>
      <c r="V8584">
        <v>8.7867630000000002E-2</v>
      </c>
      <c r="W8584">
        <v>7.3043380000000005E-2</v>
      </c>
      <c r="X8584">
        <v>0.99345050000000001</v>
      </c>
      <c r="Y8584">
        <v>0.18936500000000001</v>
      </c>
      <c r="Z8584">
        <v>-5.6621650000000003E-3</v>
      </c>
      <c r="AA8584">
        <v>0.98189040000000005</v>
      </c>
      <c r="AB8584">
        <v>27</v>
      </c>
      <c r="AC8584">
        <v>20.4363999999999</v>
      </c>
      <c r="AD8584">
        <v>-1.1097591147400001</v>
      </c>
      <c r="AE8584">
        <v>-3.73584</v>
      </c>
      <c r="AF8584">
        <v>3.9530969736499699</v>
      </c>
      <c r="AG8584">
        <v>-1.1097591147400001</v>
      </c>
      <c r="AH8584">
        <v>20.335273342788</v>
      </c>
      <c r="AI8584">
        <v>93.066420481621094</v>
      </c>
      <c r="AJ8584">
        <v>78.999130518703396</v>
      </c>
      <c r="AK8584">
        <v>20.745647324239702</v>
      </c>
      <c r="AL8584">
        <v>85.811192074733896</v>
      </c>
      <c r="AM8584">
        <v>84.945517950362003</v>
      </c>
      <c r="AN8584">
        <v>0.999999975856945</v>
      </c>
    </row>
    <row r="8585" spans="1:40" x14ac:dyDescent="0.25">
      <c r="A8585" t="str">
        <f>"20190312150856415"</f>
        <v>20190312150856415</v>
      </c>
      <c r="B8585" t="str">
        <f>"1552374536408364"</f>
        <v>1552374536408364</v>
      </c>
      <c r="C8585" t="s">
        <v>40</v>
      </c>
      <c r="D8585">
        <v>4.7659589999999996</v>
      </c>
      <c r="E8585">
        <v>0.54049769999999997</v>
      </c>
      <c r="F8585" t="s">
        <v>42</v>
      </c>
      <c r="G8585">
        <v>-344.99439999999998</v>
      </c>
      <c r="H8585" s="1">
        <v>-3.3691500000000002E-6</v>
      </c>
      <c r="I8585">
        <v>13.30349</v>
      </c>
      <c r="J8585">
        <v>-365.93349999999998</v>
      </c>
      <c r="K8585">
        <v>1.109753</v>
      </c>
      <c r="L8585">
        <v>17.168369999999999</v>
      </c>
      <c r="M8585">
        <v>0.99986160000000002</v>
      </c>
      <c r="N8585">
        <v>0</v>
      </c>
      <c r="O8585">
        <v>1.072904E-2</v>
      </c>
      <c r="P8585">
        <v>0.99514349999999996</v>
      </c>
      <c r="Q8585">
        <v>6.0585590000000002E-2</v>
      </c>
      <c r="R8585">
        <v>-7.7583550000000001E-2</v>
      </c>
      <c r="S8585">
        <v>2.981903</v>
      </c>
      <c r="T8585">
        <v>-0.1569535</v>
      </c>
      <c r="U8585">
        <v>-0.54644780000000004</v>
      </c>
      <c r="V8585">
        <v>8.8376529999999995E-2</v>
      </c>
      <c r="W8585">
        <v>7.3081919999999995E-2</v>
      </c>
      <c r="X8585">
        <v>0.99340249999999997</v>
      </c>
      <c r="Y8585">
        <v>0.19052720000000001</v>
      </c>
      <c r="Z8585">
        <v>-5.5293319999999997E-3</v>
      </c>
      <c r="AA8585">
        <v>0.98166629999999999</v>
      </c>
      <c r="AB8585">
        <v>27</v>
      </c>
      <c r="AC8585">
        <v>20.9391</v>
      </c>
      <c r="AD8585">
        <v>-1.1097563691500001</v>
      </c>
      <c r="AE8585">
        <v>-3.8648799999999999</v>
      </c>
      <c r="AF8585">
        <v>4.0782540427699097</v>
      </c>
      <c r="AG8585">
        <v>-1.1097563691500001</v>
      </c>
      <c r="AH8585">
        <v>20.839816018769199</v>
      </c>
      <c r="AI8585">
        <v>92.991580983070406</v>
      </c>
      <c r="AJ8585">
        <v>78.927417611634397</v>
      </c>
      <c r="AK8585">
        <v>21.2640929017061</v>
      </c>
      <c r="AL8585">
        <v>85.808977879967102</v>
      </c>
      <c r="AM8585">
        <v>84.916152684384102</v>
      </c>
      <c r="AN8585">
        <v>0.99999995254598695</v>
      </c>
    </row>
    <row r="8586" spans="1:40" x14ac:dyDescent="0.25">
      <c r="A8586" t="str">
        <f>"20190312150856428"</f>
        <v>20190312150856428</v>
      </c>
      <c r="B8586" t="str">
        <f>"1552374536418121"</f>
        <v>1552374536418121</v>
      </c>
      <c r="C8586" t="s">
        <v>40</v>
      </c>
      <c r="D8586">
        <v>4.7416010000000002</v>
      </c>
      <c r="E8586">
        <v>0.54070569999999996</v>
      </c>
      <c r="F8586" t="s">
        <v>42</v>
      </c>
      <c r="G8586">
        <v>-344.60149999999999</v>
      </c>
      <c r="H8586" s="1">
        <v>-3.5240250000000001E-6</v>
      </c>
      <c r="I8586">
        <v>13.223979999999999</v>
      </c>
      <c r="J8586">
        <v>-365.77319999999997</v>
      </c>
      <c r="K8586">
        <v>1.1097509999999999</v>
      </c>
      <c r="L8586">
        <v>17.169560000000001</v>
      </c>
      <c r="M8586">
        <v>0.99986710000000001</v>
      </c>
      <c r="N8586">
        <v>0</v>
      </c>
      <c r="O8586">
        <v>1.0214930000000001E-2</v>
      </c>
      <c r="P8586">
        <v>0.99507109999999999</v>
      </c>
      <c r="Q8586">
        <v>6.0475370000000001E-2</v>
      </c>
      <c r="R8586">
        <v>-7.8592019999999999E-2</v>
      </c>
      <c r="S8586">
        <v>2.9811100000000001</v>
      </c>
      <c r="T8586">
        <v>-0.15508620000000001</v>
      </c>
      <c r="U8586">
        <v>-0.55120849999999999</v>
      </c>
      <c r="V8586">
        <v>8.8872779999999998E-2</v>
      </c>
      <c r="W8586">
        <v>7.2969679999999995E-2</v>
      </c>
      <c r="X8586">
        <v>0.99336650000000004</v>
      </c>
      <c r="Y8586">
        <v>0.1915905</v>
      </c>
      <c r="Z8586">
        <v>-5.4651739999999997E-3</v>
      </c>
      <c r="AA8586">
        <v>0.98145970000000005</v>
      </c>
      <c r="AB8586">
        <v>27</v>
      </c>
      <c r="AC8586">
        <v>21.171699999999898</v>
      </c>
      <c r="AD8586">
        <v>-1.109754524025</v>
      </c>
      <c r="AE8586">
        <v>-3.9455800000000001</v>
      </c>
      <c r="AF8586">
        <v>4.1506377752391304</v>
      </c>
      <c r="AG8586">
        <v>-1.109754524025</v>
      </c>
      <c r="AH8586">
        <v>21.074329269039801</v>
      </c>
      <c r="AI8586">
        <v>92.957643858944607</v>
      </c>
      <c r="AJ8586">
        <v>78.858069285222996</v>
      </c>
      <c r="AK8586">
        <v>21.507828881240901</v>
      </c>
      <c r="AL8586">
        <v>85.815426065729</v>
      </c>
      <c r="AM8586">
        <v>84.887572536396902</v>
      </c>
      <c r="AN8586">
        <v>0.99999997427324006</v>
      </c>
    </row>
    <row r="8587" spans="1:40" x14ac:dyDescent="0.25">
      <c r="A8587" t="str">
        <f>"20190312150856439"</f>
        <v>20190312150856439</v>
      </c>
      <c r="B8587" t="str">
        <f>"1552374536428859"</f>
        <v>1552374536428859</v>
      </c>
      <c r="C8587" t="s">
        <v>40</v>
      </c>
      <c r="D8587">
        <v>4.7357120000000004</v>
      </c>
      <c r="E8587">
        <v>0.54084390000000004</v>
      </c>
      <c r="F8587" t="s">
        <v>42</v>
      </c>
      <c r="G8587">
        <v>-344.2731</v>
      </c>
      <c r="H8587" s="1">
        <v>-3.653214E-6</v>
      </c>
      <c r="I8587">
        <v>13.158429999999999</v>
      </c>
      <c r="J8587">
        <v>-365.6259</v>
      </c>
      <c r="K8587">
        <v>1.109748</v>
      </c>
      <c r="L8587">
        <v>17.170529999999999</v>
      </c>
      <c r="M8587">
        <v>0.99987170000000003</v>
      </c>
      <c r="N8587">
        <v>0</v>
      </c>
      <c r="O8587">
        <v>9.7427720000000002E-3</v>
      </c>
      <c r="P8587">
        <v>0.9950078</v>
      </c>
      <c r="Q8587">
        <v>6.0502050000000002E-2</v>
      </c>
      <c r="R8587">
        <v>-7.9368240000000007E-2</v>
      </c>
      <c r="S8587">
        <v>2.980286</v>
      </c>
      <c r="T8587">
        <v>-0.1538311</v>
      </c>
      <c r="U8587">
        <v>-0.55599980000000004</v>
      </c>
      <c r="V8587">
        <v>8.9178770000000004E-2</v>
      </c>
      <c r="W8587">
        <v>7.2994409999999996E-2</v>
      </c>
      <c r="X8587">
        <v>0.99333729999999998</v>
      </c>
      <c r="Y8587">
        <v>0.19270409999999999</v>
      </c>
      <c r="Z8587">
        <v>-5.4260019999999897E-3</v>
      </c>
      <c r="AA8587">
        <v>0.9812419</v>
      </c>
      <c r="AB8587">
        <v>27</v>
      </c>
      <c r="AC8587">
        <v>21.352799999999998</v>
      </c>
      <c r="AD8587">
        <v>-1.1097516532139999</v>
      </c>
      <c r="AE8587">
        <v>-4.0121000000000002</v>
      </c>
      <c r="AF8587">
        <v>4.2089806059296802</v>
      </c>
      <c r="AG8587">
        <v>-1.1097516532139999</v>
      </c>
      <c r="AH8587">
        <v>21.257234179120999</v>
      </c>
      <c r="AI8587">
        <v>92.931648175624403</v>
      </c>
      <c r="AJ8587">
        <v>78.800168861504602</v>
      </c>
      <c r="AK8587">
        <v>21.698319552879902</v>
      </c>
      <c r="AL8587">
        <v>85.814005519985997</v>
      </c>
      <c r="AM8587">
        <v>84.869914155780904</v>
      </c>
      <c r="AN8587">
        <v>1.00000001424062</v>
      </c>
    </row>
    <row r="8588" spans="1:40" x14ac:dyDescent="0.25">
      <c r="A8588" t="str">
        <f>"20190312150856452"</f>
        <v>20190312150856452</v>
      </c>
      <c r="B8588" t="str">
        <f>"1552374536448377"</f>
        <v>1552374536448377</v>
      </c>
      <c r="C8588" t="s">
        <v>40</v>
      </c>
      <c r="D8588">
        <v>5.3875739999999999</v>
      </c>
      <c r="E8588">
        <v>0.54041039999999996</v>
      </c>
      <c r="F8588" t="s">
        <v>42</v>
      </c>
      <c r="G8588">
        <v>-343.83769999999998</v>
      </c>
      <c r="H8588" s="1">
        <v>-3.822485E-6</v>
      </c>
      <c r="I8588">
        <v>13.07912</v>
      </c>
      <c r="J8588">
        <v>-365.4853</v>
      </c>
      <c r="K8588">
        <v>1.109748</v>
      </c>
      <c r="L8588">
        <v>17.171420000000001</v>
      </c>
      <c r="M8588">
        <v>0.99987610000000005</v>
      </c>
      <c r="N8588">
        <v>0</v>
      </c>
      <c r="O8588">
        <v>9.2917739999999992E-3</v>
      </c>
      <c r="P8588">
        <v>0.99493770000000004</v>
      </c>
      <c r="Q8588">
        <v>6.0383689999999997E-2</v>
      </c>
      <c r="R8588">
        <v>-8.0328990000000003E-2</v>
      </c>
      <c r="S8588">
        <v>2.9796450000000001</v>
      </c>
      <c r="T8588">
        <v>-0.15176389999999901</v>
      </c>
      <c r="U8588">
        <v>-0.55950929999999999</v>
      </c>
      <c r="V8588">
        <v>8.9690160000000005E-2</v>
      </c>
      <c r="W8588">
        <v>7.2874099999999997E-2</v>
      </c>
      <c r="X8588">
        <v>0.99330010000000002</v>
      </c>
      <c r="Y8588">
        <v>0.1934227</v>
      </c>
      <c r="Z8588">
        <v>-5.349098E-3</v>
      </c>
      <c r="AA8588">
        <v>0.98110090000000005</v>
      </c>
      <c r="AB8588">
        <v>27</v>
      </c>
      <c r="AC8588">
        <v>21.647600000000001</v>
      </c>
      <c r="AD8588">
        <v>-1.109751822485</v>
      </c>
      <c r="AE8588">
        <v>-4.0922999999999998</v>
      </c>
      <c r="AF8588">
        <v>4.2824181002128396</v>
      </c>
      <c r="AG8588">
        <v>-1.109751822485</v>
      </c>
      <c r="AH8588">
        <v>21.553947320631298</v>
      </c>
      <c r="AI8588">
        <v>92.890984963987506</v>
      </c>
      <c r="AJ8588">
        <v>78.762603326256396</v>
      </c>
      <c r="AK8588">
        <v>22.003256554271498</v>
      </c>
      <c r="AL8588">
        <v>85.820917223277604</v>
      </c>
      <c r="AM8588">
        <v>84.840462144096605</v>
      </c>
      <c r="AN8588">
        <v>1.00000002395582</v>
      </c>
    </row>
    <row r="8589" spans="1:40" x14ac:dyDescent="0.25">
      <c r="A8589" t="str">
        <f>"20190312150856470"</f>
        <v>20190312150856470</v>
      </c>
      <c r="B8589" t="str">
        <f>"1552374536458137"</f>
        <v>1552374536458137</v>
      </c>
      <c r="C8589" t="s">
        <v>40</v>
      </c>
      <c r="D8589">
        <v>5.336843</v>
      </c>
      <c r="E8589">
        <v>0.54009249999999998</v>
      </c>
      <c r="F8589" t="s">
        <v>42</v>
      </c>
      <c r="G8589">
        <v>-343.70949999999999</v>
      </c>
      <c r="H8589" s="1">
        <v>-3.8645610000000002E-6</v>
      </c>
      <c r="I8589">
        <v>13.084989999999999</v>
      </c>
      <c r="J8589">
        <v>-365.25319999999999</v>
      </c>
      <c r="K8589">
        <v>1.109747</v>
      </c>
      <c r="L8589">
        <v>17.17276</v>
      </c>
      <c r="M8589">
        <v>0.99988279999999996</v>
      </c>
      <c r="N8589">
        <v>0</v>
      </c>
      <c r="O8589">
        <v>8.5475429999999995E-3</v>
      </c>
      <c r="P8589">
        <v>0.99482340000000002</v>
      </c>
      <c r="Q8589">
        <v>5.9785489999999997E-2</v>
      </c>
      <c r="R8589">
        <v>-8.2172339999999996E-2</v>
      </c>
      <c r="S8589">
        <v>2.9793090000000002</v>
      </c>
      <c r="T8589">
        <v>-0.1518332</v>
      </c>
      <c r="U8589">
        <v>-0.55908199999999997</v>
      </c>
      <c r="V8589">
        <v>9.0791419999999998E-2</v>
      </c>
      <c r="W8589">
        <v>7.2272000000000003E-2</v>
      </c>
      <c r="X8589">
        <v>0.99324400000000002</v>
      </c>
      <c r="Y8589">
        <v>0.19257830000000001</v>
      </c>
      <c r="Z8589">
        <v>-5.2932889999999996E-3</v>
      </c>
      <c r="AA8589">
        <v>0.98126729999999995</v>
      </c>
      <c r="AB8589">
        <v>27</v>
      </c>
      <c r="AC8589">
        <v>21.543700000000001</v>
      </c>
      <c r="AD8589">
        <v>-1.1097508645609999</v>
      </c>
      <c r="AE8589">
        <v>-4.0877699999999999</v>
      </c>
      <c r="AF8589">
        <v>4.2608681145441496</v>
      </c>
      <c r="AG8589">
        <v>-1.1097508645609999</v>
      </c>
      <c r="AH8589">
        <v>21.4530233963855</v>
      </c>
      <c r="AI8589">
        <v>92.904598314132002</v>
      </c>
      <c r="AJ8589">
        <v>78.766452354392001</v>
      </c>
      <c r="AK8589">
        <v>21.900199928694601</v>
      </c>
      <c r="AL8589">
        <v>85.855506052567094</v>
      </c>
      <c r="AM8589">
        <v>84.777165659698397</v>
      </c>
      <c r="AN8589">
        <v>0.99999998373280796</v>
      </c>
    </row>
    <row r="8590" spans="1:40" x14ac:dyDescent="0.25">
      <c r="A8590" t="str">
        <f>"20190312150856481"</f>
        <v>20190312150856481</v>
      </c>
      <c r="B8590" t="str">
        <f>"1552374536468872"</f>
        <v>1552374536468872</v>
      </c>
      <c r="C8590" t="s">
        <v>40</v>
      </c>
      <c r="D8590">
        <v>5.1474330000000004</v>
      </c>
      <c r="E8590">
        <v>0.53979650000000001</v>
      </c>
      <c r="F8590" t="s">
        <v>42</v>
      </c>
      <c r="G8590">
        <v>-343.9819</v>
      </c>
      <c r="H8590" s="1">
        <v>-3.752783E-6</v>
      </c>
      <c r="I8590">
        <v>13.1566299999999</v>
      </c>
      <c r="J8590">
        <v>-365.11790000000002</v>
      </c>
      <c r="K8590">
        <v>1.1097429999999999</v>
      </c>
      <c r="L8590">
        <v>17.17343</v>
      </c>
      <c r="M8590">
        <v>0.99988630000000001</v>
      </c>
      <c r="N8590">
        <v>0</v>
      </c>
      <c r="O8590">
        <v>8.1135909999999999E-3</v>
      </c>
      <c r="P8590">
        <v>0.99474549999999995</v>
      </c>
      <c r="Q8590">
        <v>5.975366E-2</v>
      </c>
      <c r="R8590">
        <v>-8.3133159999999998E-2</v>
      </c>
      <c r="S8590">
        <v>2.9785159999999999</v>
      </c>
      <c r="T8590">
        <v>-0.155393</v>
      </c>
      <c r="U8590">
        <v>-0.56234740000000005</v>
      </c>
      <c r="V8590">
        <v>9.131997E-2</v>
      </c>
      <c r="W8590">
        <v>7.2238239999999995E-2</v>
      </c>
      <c r="X8590">
        <v>0.99319800000000003</v>
      </c>
      <c r="Y8590">
        <v>0.19322639999999999</v>
      </c>
      <c r="Z8590">
        <v>-5.4124169999999897E-3</v>
      </c>
      <c r="AA8590">
        <v>0.98113919999999999</v>
      </c>
      <c r="AB8590">
        <v>27</v>
      </c>
      <c r="AC8590">
        <v>21.135999999999999</v>
      </c>
      <c r="AD8590">
        <v>-1.1097467527829901</v>
      </c>
      <c r="AE8590">
        <v>-4.0167999999999999</v>
      </c>
      <c r="AF8590">
        <v>4.1770566496852304</v>
      </c>
      <c r="AG8590">
        <v>-1.1097467527829901</v>
      </c>
      <c r="AH8590">
        <v>21.046712230540098</v>
      </c>
      <c r="AI8590">
        <v>92.960645904561105</v>
      </c>
      <c r="AJ8590">
        <v>78.774604043919197</v>
      </c>
      <c r="AK8590">
        <v>21.485889225842101</v>
      </c>
      <c r="AL8590">
        <v>85.857445427239497</v>
      </c>
      <c r="AM8590">
        <v>84.746688162187695</v>
      </c>
      <c r="AN8590">
        <v>0.99999998372154897</v>
      </c>
    </row>
    <row r="8591" spans="1:40" x14ac:dyDescent="0.25">
      <c r="A8591" t="str">
        <f>"20190312150856492"</f>
        <v>20190312150856492</v>
      </c>
      <c r="B8591" t="str">
        <f>"1552374536488393"</f>
        <v>1552374536488393</v>
      </c>
      <c r="C8591" t="s">
        <v>40</v>
      </c>
      <c r="D8591">
        <v>4.7503880000000001</v>
      </c>
      <c r="E8591">
        <v>0.53947719999999999</v>
      </c>
      <c r="F8591" t="s">
        <v>42</v>
      </c>
      <c r="G8591">
        <v>-343.93490000000003</v>
      </c>
      <c r="H8591" s="1">
        <v>-3.7654590000000001E-6</v>
      </c>
      <c r="I8591">
        <v>13.169169999999999</v>
      </c>
      <c r="J8591">
        <v>-364.98289999999997</v>
      </c>
      <c r="K8591">
        <v>1.1097459999999999</v>
      </c>
      <c r="L8591">
        <v>17.174039999999898</v>
      </c>
      <c r="M8591">
        <v>0.99988969999999999</v>
      </c>
      <c r="N8591">
        <v>0</v>
      </c>
      <c r="O8591">
        <v>7.6810699999999999E-3</v>
      </c>
      <c r="P8591">
        <v>0.99469010000000002</v>
      </c>
      <c r="Q8591">
        <v>5.9501199999999997E-2</v>
      </c>
      <c r="R8591">
        <v>-8.3972190000000002E-2</v>
      </c>
      <c r="S8591">
        <v>2.97818</v>
      </c>
      <c r="T8591">
        <v>-0.15602240000000001</v>
      </c>
      <c r="U8591">
        <v>-0.56295779999999995</v>
      </c>
      <c r="V8591">
        <v>9.1728019999999993E-2</v>
      </c>
      <c r="W8591">
        <v>7.1983800000000001E-2</v>
      </c>
      <c r="X8591">
        <v>0.99317889999999998</v>
      </c>
      <c r="Y8591">
        <v>0.19301499999999999</v>
      </c>
      <c r="Z8591">
        <v>-5.4068700000000003E-3</v>
      </c>
      <c r="AA8591">
        <v>0.98118090000000002</v>
      </c>
      <c r="AB8591">
        <v>27</v>
      </c>
      <c r="AC8591">
        <v>21.047999999999899</v>
      </c>
      <c r="AD8591">
        <v>-1.1097497654589901</v>
      </c>
      <c r="AE8591">
        <v>-4.0048699999999897</v>
      </c>
      <c r="AF8591">
        <v>4.1552883851216897</v>
      </c>
      <c r="AG8591">
        <v>-1.1097497654589901</v>
      </c>
      <c r="AH8591">
        <v>20.960382954056101</v>
      </c>
      <c r="AI8591">
        <v>92.972951341651594</v>
      </c>
      <c r="AJ8591">
        <v>78.786793894609403</v>
      </c>
      <c r="AK8591">
        <v>21.397093720553499</v>
      </c>
      <c r="AL8591">
        <v>85.872061935810194</v>
      </c>
      <c r="AM8591">
        <v>84.723245809711898</v>
      </c>
      <c r="AN8591">
        <v>1.00000001226038</v>
      </c>
    </row>
    <row r="8592" spans="1:40" x14ac:dyDescent="0.25">
      <c r="A8592" t="str">
        <f>"20190312150856503"</f>
        <v>20190312150856503</v>
      </c>
      <c r="B8592" t="str">
        <f>"1552374536498153"</f>
        <v>1552374536498153</v>
      </c>
      <c r="C8592" t="s">
        <v>40</v>
      </c>
      <c r="D8592">
        <v>4.7614020000000004</v>
      </c>
      <c r="E8592">
        <v>0.53953399999999996</v>
      </c>
      <c r="F8592" t="s">
        <v>42</v>
      </c>
      <c r="G8592">
        <v>-343.88099999999997</v>
      </c>
      <c r="H8592" s="1">
        <v>-3.779638E-6</v>
      </c>
      <c r="I8592">
        <v>13.184710000000001</v>
      </c>
      <c r="J8592">
        <v>-364.84649999999999</v>
      </c>
      <c r="K8592">
        <v>1.109745</v>
      </c>
      <c r="L8592">
        <v>17.174620000000001</v>
      </c>
      <c r="M8592">
        <v>0.99989309999999998</v>
      </c>
      <c r="N8592">
        <v>0</v>
      </c>
      <c r="O8592">
        <v>7.2437219999999898E-3</v>
      </c>
      <c r="P8592">
        <v>0.99461290000000002</v>
      </c>
      <c r="Q8592">
        <v>5.9455349999999997E-2</v>
      </c>
      <c r="R8592">
        <v>-8.4914820000000002E-2</v>
      </c>
      <c r="S8592">
        <v>2.977875</v>
      </c>
      <c r="T8592">
        <v>-0.15660639999999901</v>
      </c>
      <c r="U8592">
        <v>-0.56295779999999995</v>
      </c>
      <c r="V8592">
        <v>9.2235250000000005E-2</v>
      </c>
      <c r="W8592">
        <v>7.1935289999999999E-2</v>
      </c>
      <c r="X8592">
        <v>0.99313549999999995</v>
      </c>
      <c r="Y8592">
        <v>0.1926032</v>
      </c>
      <c r="Z8592">
        <v>-5.3941079999999999E-3</v>
      </c>
      <c r="AA8592">
        <v>0.98126190000000002</v>
      </c>
      <c r="AB8592">
        <v>27</v>
      </c>
      <c r="AC8592">
        <v>20.965499999999999</v>
      </c>
      <c r="AD8592">
        <v>-1.1097487796379999</v>
      </c>
      <c r="AE8592">
        <v>-3.9899100000000001</v>
      </c>
      <c r="AF8592">
        <v>4.1305173676368696</v>
      </c>
      <c r="AG8592">
        <v>-1.1097487796379999</v>
      </c>
      <c r="AH8592">
        <v>20.879589736763499</v>
      </c>
      <c r="AI8592">
        <v>92.984669748094603</v>
      </c>
      <c r="AJ8592">
        <v>78.809909716067295</v>
      </c>
      <c r="AK8592">
        <v>21.3131411024705</v>
      </c>
      <c r="AL8592">
        <v>85.874848834736895</v>
      </c>
      <c r="AM8592">
        <v>84.694002386604097</v>
      </c>
      <c r="AN8592">
        <v>1.0000000743250901</v>
      </c>
    </row>
    <row r="8593" spans="1:40" x14ac:dyDescent="0.25">
      <c r="A8593" t="str">
        <f>"20190312150856516"</f>
        <v>20190312150856516</v>
      </c>
      <c r="B8593" t="str">
        <f>"1552374536507912"</f>
        <v>1552374536507912</v>
      </c>
      <c r="C8593" t="s">
        <v>40</v>
      </c>
      <c r="D8593">
        <v>4.7533949999999896</v>
      </c>
      <c r="E8593">
        <v>0.53956090000000001</v>
      </c>
      <c r="F8593" t="s">
        <v>42</v>
      </c>
      <c r="G8593">
        <v>-343.70639999999997</v>
      </c>
      <c r="H8593" s="1">
        <v>-3.8474090000000002E-6</v>
      </c>
      <c r="I8593">
        <v>13.153359999999999</v>
      </c>
      <c r="J8593">
        <v>-364.69150000000002</v>
      </c>
      <c r="K8593">
        <v>1.1097429999999999</v>
      </c>
      <c r="L8593">
        <v>17.1752</v>
      </c>
      <c r="M8593">
        <v>0.99989660000000002</v>
      </c>
      <c r="N8593">
        <v>0</v>
      </c>
      <c r="O8593">
        <v>6.7465340000000002E-3</v>
      </c>
      <c r="P8593">
        <v>0.99452220000000002</v>
      </c>
      <c r="Q8593">
        <v>5.9513980000000001E-2</v>
      </c>
      <c r="R8593">
        <v>-8.5929459999999999E-2</v>
      </c>
      <c r="S8593">
        <v>2.9772340000000002</v>
      </c>
      <c r="T8593">
        <v>-0.1562895</v>
      </c>
      <c r="U8593">
        <v>-0.56631469999999995</v>
      </c>
      <c r="V8593">
        <v>9.2754890000000007E-2</v>
      </c>
      <c r="W8593">
        <v>7.1991890000000003E-2</v>
      </c>
      <c r="X8593">
        <v>0.99308289999999999</v>
      </c>
      <c r="Y8593">
        <v>0.1932227</v>
      </c>
      <c r="Z8593">
        <v>-5.3740280000000003E-3</v>
      </c>
      <c r="AA8593">
        <v>0.98114020000000002</v>
      </c>
      <c r="AB8593">
        <v>27</v>
      </c>
      <c r="AC8593">
        <v>20.985099999999999</v>
      </c>
      <c r="AD8593">
        <v>-1.109746847409</v>
      </c>
      <c r="AE8593">
        <v>-4.0218399999999903</v>
      </c>
      <c r="AF8593">
        <v>4.1521362178041299</v>
      </c>
      <c r="AG8593">
        <v>-1.109746847409</v>
      </c>
      <c r="AH8593">
        <v>20.901106146671101</v>
      </c>
      <c r="AI8593">
        <v>92.981126033887406</v>
      </c>
      <c r="AJ8593">
        <v>78.764114382383596</v>
      </c>
      <c r="AK8593">
        <v>21.3384163280911</v>
      </c>
      <c r="AL8593">
        <v>85.871597049239597</v>
      </c>
      <c r="AM8593">
        <v>84.664000237184894</v>
      </c>
      <c r="AN8593">
        <v>0.99999997405854602</v>
      </c>
    </row>
    <row r="8594" spans="1:40" x14ac:dyDescent="0.25">
      <c r="A8594" t="str">
        <f>"20190312150856527"</f>
        <v>20190312150856527</v>
      </c>
      <c r="B8594" t="str">
        <f>"1552374536518649"</f>
        <v>1552374536518649</v>
      </c>
      <c r="C8594" t="s">
        <v>40</v>
      </c>
      <c r="D8594">
        <v>4.7607850000000003</v>
      </c>
      <c r="E8594">
        <v>0.53960010000000003</v>
      </c>
      <c r="F8594" t="s">
        <v>42</v>
      </c>
      <c r="G8594">
        <v>-343.56709999999998</v>
      </c>
      <c r="H8594" s="1">
        <v>-3.9005780000000002E-6</v>
      </c>
      <c r="I8594">
        <v>13.131690000000001</v>
      </c>
      <c r="J8594">
        <v>-364.55099999999999</v>
      </c>
      <c r="K8594">
        <v>1.109739</v>
      </c>
      <c r="L8594">
        <v>17.175689999999999</v>
      </c>
      <c r="M8594">
        <v>0.9998996</v>
      </c>
      <c r="N8594">
        <v>0</v>
      </c>
      <c r="O8594">
        <v>6.2958939999999998E-3</v>
      </c>
      <c r="P8594">
        <v>0.99443760000000003</v>
      </c>
      <c r="Q8594">
        <v>5.9624419999999997E-2</v>
      </c>
      <c r="R8594">
        <v>-8.6828119999999995E-2</v>
      </c>
      <c r="S8594">
        <v>2.9766539999999999</v>
      </c>
      <c r="T8594">
        <v>-0.1563755</v>
      </c>
      <c r="U8594">
        <v>-0.56976319999999903</v>
      </c>
      <c r="V8594">
        <v>9.320515E-2</v>
      </c>
      <c r="W8594">
        <v>7.2099839999999998E-2</v>
      </c>
      <c r="X8594">
        <v>0.9930329</v>
      </c>
      <c r="Y8594">
        <v>0.19391169999999999</v>
      </c>
      <c r="Z8594">
        <v>-5.3718990000000003E-3</v>
      </c>
      <c r="AA8594">
        <v>0.98100430000000005</v>
      </c>
      <c r="AB8594">
        <v>27</v>
      </c>
      <c r="AC8594">
        <v>20.983899999999998</v>
      </c>
      <c r="AD8594">
        <v>-1.109742900578</v>
      </c>
      <c r="AE8594">
        <v>-4.0439999999999996</v>
      </c>
      <c r="AF8594">
        <v>4.1648115942246999</v>
      </c>
      <c r="AG8594">
        <v>-1.109742900578</v>
      </c>
      <c r="AH8594">
        <v>20.9016556406905</v>
      </c>
      <c r="AI8594">
        <v>92.980694860909495</v>
      </c>
      <c r="AJ8594">
        <v>78.730979385750203</v>
      </c>
      <c r="AK8594">
        <v>21.3414243536551</v>
      </c>
      <c r="AL8594">
        <v>85.865395811848103</v>
      </c>
      <c r="AM8594">
        <v>84.637979899721799</v>
      </c>
      <c r="AN8594">
        <v>0.99999996369847799</v>
      </c>
    </row>
    <row r="8595" spans="1:40" x14ac:dyDescent="0.25">
      <c r="A8595" t="str">
        <f>"20190312150856539"</f>
        <v>20190312150856539</v>
      </c>
      <c r="B8595" t="str">
        <f>"1552374536528409"</f>
        <v>1552374536528409</v>
      </c>
      <c r="C8595" t="s">
        <v>40</v>
      </c>
      <c r="D8595">
        <v>4.7570819999999996</v>
      </c>
      <c r="E8595">
        <v>0.53965059999999998</v>
      </c>
      <c r="F8595" t="s">
        <v>42</v>
      </c>
      <c r="G8595">
        <v>-343.40890000000002</v>
      </c>
      <c r="H8595" s="1">
        <v>-3.9646220000000003E-6</v>
      </c>
      <c r="I8595">
        <v>13.106389999999999</v>
      </c>
      <c r="J8595">
        <v>-364.40969999999999</v>
      </c>
      <c r="K8595">
        <v>1.1097399999999999</v>
      </c>
      <c r="L8595">
        <v>17.17606</v>
      </c>
      <c r="M8595">
        <v>0.99990219999999996</v>
      </c>
      <c r="N8595">
        <v>0</v>
      </c>
      <c r="O8595">
        <v>5.8429869999999896E-3</v>
      </c>
      <c r="P8595">
        <v>0.99435810000000002</v>
      </c>
      <c r="Q8595">
        <v>5.9454880000000002E-2</v>
      </c>
      <c r="R8595">
        <v>-8.7849330000000003E-2</v>
      </c>
      <c r="S8595">
        <v>2.9761350000000002</v>
      </c>
      <c r="T8595">
        <v>-0.15621640000000001</v>
      </c>
      <c r="U8595">
        <v>-0.57281490000000002</v>
      </c>
      <c r="V8595">
        <v>9.3775289999999997E-2</v>
      </c>
      <c r="W8595">
        <v>7.1928629999999993E-2</v>
      </c>
      <c r="X8595">
        <v>0.99299170000000003</v>
      </c>
      <c r="Y8595">
        <v>0.19446949999999999</v>
      </c>
      <c r="Z8595">
        <v>-5.3577919999999897E-3</v>
      </c>
      <c r="AA8595">
        <v>0.98089400000000004</v>
      </c>
      <c r="AB8595">
        <v>27</v>
      </c>
      <c r="AC8595">
        <v>21.000799999999899</v>
      </c>
      <c r="AD8595">
        <v>-1.109743964622</v>
      </c>
      <c r="AE8595">
        <v>-4.0696699999999897</v>
      </c>
      <c r="AF8595">
        <v>4.1810652880243904</v>
      </c>
      <c r="AG8595">
        <v>-1.109743964622</v>
      </c>
      <c r="AH8595">
        <v>20.920357358501001</v>
      </c>
      <c r="AI8595">
        <v>92.977696323782098</v>
      </c>
      <c r="AJ8595">
        <v>78.697984290096301</v>
      </c>
      <c r="AK8595">
        <v>21.362916247954601</v>
      </c>
      <c r="AL8595">
        <v>85.875231209988002</v>
      </c>
      <c r="AM8595">
        <v>84.605150599978401</v>
      </c>
      <c r="AN8595">
        <v>1.0000000245485701</v>
      </c>
    </row>
    <row r="8596" spans="1:40" x14ac:dyDescent="0.25">
      <c r="A8596" t="str">
        <f>"20190312150856550"</f>
        <v>20190312150856550</v>
      </c>
      <c r="B8596" t="str">
        <f>"1552374536538169"</f>
        <v>1552374536538169</v>
      </c>
      <c r="C8596" t="s">
        <v>40</v>
      </c>
      <c r="D8596">
        <v>4.7596699999999998</v>
      </c>
      <c r="E8596">
        <v>0.53972399999999998</v>
      </c>
      <c r="F8596" t="s">
        <v>42</v>
      </c>
      <c r="G8596">
        <v>-343.23750000000001</v>
      </c>
      <c r="H8596" s="1">
        <v>-4.0437389999999999E-6</v>
      </c>
      <c r="I8596">
        <v>13.074769999999999</v>
      </c>
      <c r="J8596">
        <v>-364.26710000000003</v>
      </c>
      <c r="K8596">
        <v>1.1097379999999999</v>
      </c>
      <c r="L8596">
        <v>17.176389999999898</v>
      </c>
      <c r="M8596">
        <v>0.99990489999999999</v>
      </c>
      <c r="N8596">
        <v>0</v>
      </c>
      <c r="O8596">
        <v>5.3852539999999999E-3</v>
      </c>
      <c r="P8596">
        <v>0.99428209999999995</v>
      </c>
      <c r="Q8596">
        <v>5.9353120000000002E-2</v>
      </c>
      <c r="R8596">
        <v>-8.8773119999999997E-2</v>
      </c>
      <c r="S8596">
        <v>2.975403</v>
      </c>
      <c r="T8596">
        <v>-0.15595590000000001</v>
      </c>
      <c r="U8596">
        <v>-0.57635499999999995</v>
      </c>
      <c r="V8596">
        <v>9.424362E-2</v>
      </c>
      <c r="W8596">
        <v>7.1824470000000001E-2</v>
      </c>
      <c r="X8596">
        <v>0.99295489999999997</v>
      </c>
      <c r="Y8596">
        <v>0.19519069999999999</v>
      </c>
      <c r="Z8596">
        <v>-5.3445169999999896E-3</v>
      </c>
      <c r="AA8596">
        <v>0.98075069999999998</v>
      </c>
      <c r="AB8596">
        <v>27</v>
      </c>
      <c r="AC8596">
        <v>21.029599999999999</v>
      </c>
      <c r="AD8596">
        <v>-1.109742043739</v>
      </c>
      <c r="AE8596">
        <v>-4.1016199999999898</v>
      </c>
      <c r="AF8596">
        <v>4.2035426521022297</v>
      </c>
      <c r="AG8596">
        <v>-1.109742043739</v>
      </c>
      <c r="AH8596">
        <v>20.951000290437001</v>
      </c>
      <c r="AI8596">
        <v>92.972897843158904</v>
      </c>
      <c r="AJ8596">
        <v>78.654986558463094</v>
      </c>
      <c r="AK8596">
        <v>21.397329539023701</v>
      </c>
      <c r="AL8596">
        <v>85.881214611494897</v>
      </c>
      <c r="AM8596">
        <v>84.578168202582702</v>
      </c>
      <c r="AN8596">
        <v>1.00000002391774</v>
      </c>
    </row>
    <row r="8597" spans="1:40" x14ac:dyDescent="0.25">
      <c r="A8597" t="str">
        <f>"20190312150856562"</f>
        <v>20190312150856562</v>
      </c>
      <c r="B8597" t="str">
        <f>"1552374536558665"</f>
        <v>1552374536558665</v>
      </c>
      <c r="C8597" t="s">
        <v>40</v>
      </c>
      <c r="D8597">
        <v>4.7810230000000002</v>
      </c>
      <c r="E8597">
        <v>0.53977600000000003</v>
      </c>
      <c r="F8597" t="s">
        <v>42</v>
      </c>
      <c r="G8597">
        <v>-343.08589999999998</v>
      </c>
      <c r="H8597" s="1">
        <v>-4.1136199999999996E-6</v>
      </c>
      <c r="I8597">
        <v>13.04754</v>
      </c>
      <c r="J8597">
        <v>-364.11900000000003</v>
      </c>
      <c r="K8597">
        <v>1.1097399999999999</v>
      </c>
      <c r="L8597">
        <v>17.1767</v>
      </c>
      <c r="M8597">
        <v>0.99990730000000005</v>
      </c>
      <c r="N8597">
        <v>0</v>
      </c>
      <c r="O8597">
        <v>4.909938E-3</v>
      </c>
      <c r="P8597">
        <v>0.9942105</v>
      </c>
      <c r="Q8597">
        <v>5.917787E-2</v>
      </c>
      <c r="R8597">
        <v>-8.9685230000000005E-2</v>
      </c>
      <c r="S8597">
        <v>2.9747919999999999</v>
      </c>
      <c r="T8597">
        <v>-0.15585760000000001</v>
      </c>
      <c r="U8597">
        <v>-0.5798645</v>
      </c>
      <c r="V8597">
        <v>9.468269E-2</v>
      </c>
      <c r="W8597">
        <v>7.1647080000000002E-2</v>
      </c>
      <c r="X8597">
        <v>0.99292590000000003</v>
      </c>
      <c r="Y8597">
        <v>0.195877</v>
      </c>
      <c r="Z8597">
        <v>-5.3347730000000001E-3</v>
      </c>
      <c r="AA8597">
        <v>0.98061390000000004</v>
      </c>
      <c r="AB8597">
        <v>27</v>
      </c>
      <c r="AC8597">
        <v>21.033100000000001</v>
      </c>
      <c r="AD8597">
        <v>-1.1097441136199999</v>
      </c>
      <c r="AE8597">
        <v>-4.1291599999999997</v>
      </c>
      <c r="AF8597">
        <v>4.2210751764673198</v>
      </c>
      <c r="AG8597">
        <v>-1.1097441136199999</v>
      </c>
      <c r="AH8597">
        <v>20.956397265765499</v>
      </c>
      <c r="AI8597">
        <v>92.971689191652601</v>
      </c>
      <c r="AJ8597">
        <v>78.611759260739802</v>
      </c>
      <c r="AK8597">
        <v>21.406064421179501</v>
      </c>
      <c r="AL8597">
        <v>85.891404378937594</v>
      </c>
      <c r="AM8597">
        <v>84.552901962618805</v>
      </c>
      <c r="AN8597">
        <v>0.99999997937448604</v>
      </c>
    </row>
    <row r="8598" spans="1:40" x14ac:dyDescent="0.25">
      <c r="A8598" t="str">
        <f>"20190312150856575"</f>
        <v>20190312150856575</v>
      </c>
      <c r="B8598" t="str">
        <f>"1552374536568425"</f>
        <v>1552374536568425</v>
      </c>
      <c r="C8598" t="s">
        <v>40</v>
      </c>
      <c r="D8598">
        <v>4.7576309999999999</v>
      </c>
      <c r="E8598">
        <v>0.53987209999999997</v>
      </c>
      <c r="F8598" t="s">
        <v>42</v>
      </c>
      <c r="G8598">
        <v>-342.95440000000002</v>
      </c>
      <c r="H8598" s="1">
        <v>-4.1735680000000001E-6</v>
      </c>
      <c r="I8598">
        <v>13.02764</v>
      </c>
      <c r="J8598">
        <v>-363.9785</v>
      </c>
      <c r="K8598">
        <v>1.109739</v>
      </c>
      <c r="L8598">
        <v>17.176850000000002</v>
      </c>
      <c r="M8598">
        <v>0.99990950000000001</v>
      </c>
      <c r="N8598">
        <v>0</v>
      </c>
      <c r="O8598">
        <v>4.4595349999999997E-3</v>
      </c>
      <c r="P8598">
        <v>0.99412719999999999</v>
      </c>
      <c r="Q8598">
        <v>5.903075E-2</v>
      </c>
      <c r="R8598">
        <v>-9.0702119999999997E-2</v>
      </c>
      <c r="S8598">
        <v>2.9741819999999999</v>
      </c>
      <c r="T8598">
        <v>-0.155948</v>
      </c>
      <c r="U8598">
        <v>-0.58303830000000001</v>
      </c>
      <c r="V8598">
        <v>9.5251199999999994E-2</v>
      </c>
      <c r="W8598">
        <v>7.1497720000000001E-2</v>
      </c>
      <c r="X8598">
        <v>0.9928823</v>
      </c>
      <c r="Y8598">
        <v>0.1964805</v>
      </c>
      <c r="Z8598">
        <v>-5.3306719999999998E-3</v>
      </c>
      <c r="AA8598">
        <v>0.98049319999999895</v>
      </c>
      <c r="AB8598">
        <v>27</v>
      </c>
      <c r="AC8598">
        <v>21.024099999999901</v>
      </c>
      <c r="AD8598">
        <v>-1.1097431735679999</v>
      </c>
      <c r="AE8598">
        <v>-4.1492100000000001</v>
      </c>
      <c r="AF8598">
        <v>4.2315860037929598</v>
      </c>
      <c r="AG8598">
        <v>-1.1097431735679999</v>
      </c>
      <c r="AH8598">
        <v>20.949205643822602</v>
      </c>
      <c r="AI8598">
        <v>92.972376680124896</v>
      </c>
      <c r="AJ8598">
        <v>78.580329289928898</v>
      </c>
      <c r="AK8598">
        <v>21.401099670950298</v>
      </c>
      <c r="AL8598">
        <v>85.899984117094704</v>
      </c>
      <c r="AM8598">
        <v>84.520154885331706</v>
      </c>
      <c r="AN8598">
        <v>0.99999998835996395</v>
      </c>
    </row>
    <row r="8599" spans="1:40" x14ac:dyDescent="0.25">
      <c r="A8599" t="str">
        <f>"20190312150856594"</f>
        <v>20190312150856594</v>
      </c>
      <c r="B8599" t="str">
        <f>"1552374536587945"</f>
        <v>1552374536587945</v>
      </c>
      <c r="C8599" t="s">
        <v>40</v>
      </c>
      <c r="D8599">
        <v>4.8386139999999997</v>
      </c>
      <c r="E8599">
        <v>0.54003769999999995</v>
      </c>
      <c r="F8599" t="s">
        <v>42</v>
      </c>
      <c r="G8599">
        <v>-342.92079999999999</v>
      </c>
      <c r="H8599" s="1">
        <v>-4.189474E-6</v>
      </c>
      <c r="I8599">
        <v>13.019030000000001</v>
      </c>
      <c r="J8599">
        <v>-363.7371</v>
      </c>
      <c r="K8599">
        <v>1.1097379999999999</v>
      </c>
      <c r="L8599">
        <v>17.177029999999998</v>
      </c>
      <c r="M8599">
        <v>0.99991260000000004</v>
      </c>
      <c r="N8599">
        <v>0</v>
      </c>
      <c r="O8599">
        <v>3.6850139999999999E-3</v>
      </c>
      <c r="P8599">
        <v>0.99395359999999999</v>
      </c>
      <c r="Q8599">
        <v>5.8901149999999999E-2</v>
      </c>
      <c r="R8599">
        <v>-9.266713E-2</v>
      </c>
      <c r="S8599">
        <v>2.9734799999999999</v>
      </c>
      <c r="T8599">
        <v>-0.1567026</v>
      </c>
      <c r="U8599">
        <v>-0.58709719999999999</v>
      </c>
      <c r="V8599">
        <v>9.6445230000000007E-2</v>
      </c>
      <c r="W8599">
        <v>7.1364540000000004E-2</v>
      </c>
      <c r="X8599">
        <v>0.99277660000000001</v>
      </c>
      <c r="Y8599">
        <v>0.1970509</v>
      </c>
      <c r="Z8599">
        <v>-5.331438E-3</v>
      </c>
      <c r="AA8599">
        <v>0.98037870000000005</v>
      </c>
      <c r="AB8599">
        <v>27</v>
      </c>
      <c r="AC8599">
        <v>20.816299999999998</v>
      </c>
      <c r="AD8599">
        <v>-1.1097421894739901</v>
      </c>
      <c r="AE8599">
        <v>-4.1579999999999897</v>
      </c>
      <c r="AF8599">
        <v>4.2231442832452402</v>
      </c>
      <c r="AG8599">
        <v>-1.1097421894739901</v>
      </c>
      <c r="AH8599">
        <v>20.7441405551393</v>
      </c>
      <c r="AI8599">
        <v>93.0007761375158</v>
      </c>
      <c r="AJ8599">
        <v>78.492835987780396</v>
      </c>
      <c r="AK8599">
        <v>21.198722667547202</v>
      </c>
      <c r="AL8599">
        <v>85.907634271802095</v>
      </c>
      <c r="AM8599">
        <v>84.451300750357802</v>
      </c>
      <c r="AN8599">
        <v>0.99999997873336199</v>
      </c>
    </row>
    <row r="8600" spans="1:40" x14ac:dyDescent="0.25">
      <c r="A8600" t="str">
        <f>"20190312150856605"</f>
        <v>20190312150856605</v>
      </c>
      <c r="B8600" t="str">
        <f>"1552374536598681"</f>
        <v>1552374536598681</v>
      </c>
      <c r="C8600" t="s">
        <v>40</v>
      </c>
      <c r="D8600">
        <v>4.9006730000000003</v>
      </c>
      <c r="E8600">
        <v>0.55276630000000004</v>
      </c>
      <c r="F8600" t="s">
        <v>42</v>
      </c>
      <c r="G8600">
        <v>-342.71289999999999</v>
      </c>
      <c r="H8600" s="1">
        <v>-4.2869460000000004E-6</v>
      </c>
      <c r="I8600">
        <v>12.972569999999999</v>
      </c>
      <c r="J8600">
        <v>-363.59840000000003</v>
      </c>
      <c r="K8600">
        <v>1.1097399999999999</v>
      </c>
      <c r="L8600">
        <v>17.17709</v>
      </c>
      <c r="M8600">
        <v>0.99991399999999997</v>
      </c>
      <c r="N8600">
        <v>0</v>
      </c>
      <c r="O8600">
        <v>3.2402020000000002E-3</v>
      </c>
      <c r="P8600">
        <v>0.99382820000000005</v>
      </c>
      <c r="Q8600">
        <v>5.8965150000000001E-2</v>
      </c>
      <c r="R8600">
        <v>-9.396061E-2</v>
      </c>
      <c r="S8600">
        <v>2.972137</v>
      </c>
      <c r="T8600">
        <v>-0.15688099999999999</v>
      </c>
      <c r="U8600">
        <v>-0.59436040000000001</v>
      </c>
      <c r="V8600">
        <v>9.7296679999999997E-2</v>
      </c>
      <c r="W8600">
        <v>7.1427329999999997E-2</v>
      </c>
      <c r="X8600">
        <v>0.99268900000000004</v>
      </c>
      <c r="Y8600">
        <v>0.1990006</v>
      </c>
      <c r="Z8600">
        <v>-5.3662839999999998E-3</v>
      </c>
      <c r="AA8600">
        <v>0.97998470000000004</v>
      </c>
      <c r="AB8600">
        <v>27</v>
      </c>
      <c r="AC8600">
        <v>20.8855</v>
      </c>
      <c r="AD8600">
        <v>-1.1097442869459999</v>
      </c>
      <c r="AE8600">
        <v>-4.2045199999999996</v>
      </c>
      <c r="AF8600">
        <v>4.2606161668210003</v>
      </c>
      <c r="AG8600">
        <v>-1.1097442869459999</v>
      </c>
      <c r="AH8600">
        <v>20.815286986138702</v>
      </c>
      <c r="AI8600">
        <v>92.989897835772993</v>
      </c>
      <c r="AJ8600">
        <v>78.432091703184298</v>
      </c>
      <c r="AK8600">
        <v>21.275820896470702</v>
      </c>
      <c r="AL8600">
        <v>85.9040274667164</v>
      </c>
      <c r="AM8600">
        <v>84.402133949569802</v>
      </c>
      <c r="AN8600">
        <v>0.999999979065475</v>
      </c>
    </row>
    <row r="8601" spans="1:40" x14ac:dyDescent="0.25">
      <c r="A8601" t="str">
        <f>"20190312150856616"</f>
        <v>20190312150856616</v>
      </c>
      <c r="B8601" t="str">
        <f>"1552374536608442"</f>
        <v>1552374536608442</v>
      </c>
      <c r="C8601" t="s">
        <v>40</v>
      </c>
      <c r="D8601">
        <v>4.88802</v>
      </c>
      <c r="E8601">
        <v>0.55505170000000004</v>
      </c>
      <c r="F8601" t="s">
        <v>42</v>
      </c>
      <c r="G8601">
        <v>-342.96800000000002</v>
      </c>
      <c r="H8601" s="1">
        <v>-4.3241160000000003E-6</v>
      </c>
      <c r="I8601">
        <v>12.306100000000001</v>
      </c>
      <c r="J8601">
        <v>-363.4597</v>
      </c>
      <c r="K8601">
        <v>1.109742</v>
      </c>
      <c r="L8601">
        <v>17.177029999999998</v>
      </c>
      <c r="M8601">
        <v>0.99991529999999995</v>
      </c>
      <c r="N8601">
        <v>0</v>
      </c>
      <c r="O8601">
        <v>2.7958560000000002E-3</v>
      </c>
      <c r="P8601">
        <v>0.99369260000000004</v>
      </c>
      <c r="Q8601">
        <v>5.9266590000000001E-2</v>
      </c>
      <c r="R8601">
        <v>-9.5197480000000001E-2</v>
      </c>
      <c r="S8601">
        <v>2.9620060000000001</v>
      </c>
      <c r="T8601">
        <v>-0.15933139999999901</v>
      </c>
      <c r="U8601">
        <v>-0.69934079999999998</v>
      </c>
      <c r="V8601">
        <v>9.8091949999999997E-2</v>
      </c>
      <c r="W8601">
        <v>7.1729349999999997E-2</v>
      </c>
      <c r="X8601">
        <v>0.99258900000000005</v>
      </c>
      <c r="Y8601">
        <v>0.23218449999999999</v>
      </c>
      <c r="Z8601">
        <v>-6.3041240000000004E-3</v>
      </c>
      <c r="AA8601">
        <v>0.97265140000000005</v>
      </c>
      <c r="AB8601">
        <v>27</v>
      </c>
      <c r="AC8601">
        <v>20.491699999999899</v>
      </c>
      <c r="AD8601">
        <v>-1.1097463241159999</v>
      </c>
      <c r="AE8601">
        <v>-4.8709299999999898</v>
      </c>
      <c r="AF8601">
        <v>4.9145645538903304</v>
      </c>
      <c r="AG8601">
        <v>-1.1097463241159999</v>
      </c>
      <c r="AH8601">
        <v>20.4213106297248</v>
      </c>
      <c r="AI8601">
        <v>93.024359479338699</v>
      </c>
      <c r="AJ8601">
        <v>76.468590814869401</v>
      </c>
      <c r="AK8601">
        <v>21.0336494573328</v>
      </c>
      <c r="AL8601">
        <v>85.886678690430003</v>
      </c>
      <c r="AM8601">
        <v>84.356108179433505</v>
      </c>
      <c r="AN8601">
        <v>1.00000002661361</v>
      </c>
    </row>
    <row r="8602" spans="1:40" x14ac:dyDescent="0.25">
      <c r="A8602" t="str">
        <f>"20190312150856628"</f>
        <v>20190312150856628</v>
      </c>
      <c r="B8602" t="str">
        <f>"1552374536618201"</f>
        <v>1552374536618201</v>
      </c>
      <c r="C8602" t="s">
        <v>40</v>
      </c>
      <c r="D8602">
        <v>4.9172750000000001</v>
      </c>
      <c r="E8602">
        <v>0.55522479999999996</v>
      </c>
      <c r="F8602" t="s">
        <v>42</v>
      </c>
      <c r="G8602">
        <v>-343.03269999999998</v>
      </c>
      <c r="H8602" s="1">
        <v>-4.3304960000000002E-6</v>
      </c>
      <c r="I8602">
        <v>12.19946</v>
      </c>
      <c r="J8602">
        <v>-363.3168</v>
      </c>
      <c r="K8602">
        <v>1.109748</v>
      </c>
      <c r="L8602">
        <v>17.176939999999998</v>
      </c>
      <c r="M8602">
        <v>0.99991649999999999</v>
      </c>
      <c r="N8602">
        <v>0</v>
      </c>
      <c r="O8602">
        <v>2.3380369999999998E-3</v>
      </c>
      <c r="P8602">
        <v>0.99354030000000004</v>
      </c>
      <c r="Q8602">
        <v>5.9566510000000003E-2</v>
      </c>
      <c r="R8602">
        <v>-9.6592430000000007E-2</v>
      </c>
      <c r="S8602">
        <v>2.9595639999999999</v>
      </c>
      <c r="T8602">
        <v>-0.16078509999999999</v>
      </c>
      <c r="U8602">
        <v>-0.72116089999999999</v>
      </c>
      <c r="V8602">
        <v>9.9031969999999997E-2</v>
      </c>
      <c r="W8602">
        <v>7.2029930000000006E-2</v>
      </c>
      <c r="X8602">
        <v>0.99247379999999996</v>
      </c>
      <c r="Y8602">
        <v>0.2386798</v>
      </c>
      <c r="Z8602">
        <v>-6.5105400000000004E-3</v>
      </c>
      <c r="AA8602">
        <v>0.97107650000000001</v>
      </c>
      <c r="AB8602">
        <v>27</v>
      </c>
      <c r="AC8602">
        <v>20.284099999999999</v>
      </c>
      <c r="AD8602">
        <v>-1.109752330496</v>
      </c>
      <c r="AE8602">
        <v>-4.9774799999999901</v>
      </c>
      <c r="AF8602">
        <v>5.0107486951752396</v>
      </c>
      <c r="AG8602">
        <v>-1.109752330496</v>
      </c>
      <c r="AH8602">
        <v>20.215333505352699</v>
      </c>
      <c r="AI8602">
        <v>93.050069792310495</v>
      </c>
      <c r="AJ8602">
        <v>76.078744639964299</v>
      </c>
      <c r="AK8602">
        <v>20.856626320042199</v>
      </c>
      <c r="AL8602">
        <v>85.869411715225894</v>
      </c>
      <c r="AM8602">
        <v>84.301719678648197</v>
      </c>
      <c r="AN8602">
        <v>0.99999994279216098</v>
      </c>
    </row>
    <row r="8603" spans="1:40" x14ac:dyDescent="0.25">
      <c r="A8603" t="str">
        <f>"20190312150856650"</f>
        <v>20190312150856650</v>
      </c>
      <c r="B8603" t="str">
        <f>"1552374536638697"</f>
        <v>1552374536638697</v>
      </c>
      <c r="C8603" t="s">
        <v>40</v>
      </c>
      <c r="D8603">
        <v>4.8601640000000002</v>
      </c>
      <c r="E8603">
        <v>0.55525599999999997</v>
      </c>
      <c r="F8603" t="s">
        <v>42</v>
      </c>
      <c r="G8603">
        <v>-342.95260000000002</v>
      </c>
      <c r="H8603" s="1">
        <v>-4.364198E-6</v>
      </c>
      <c r="I8603">
        <v>12.175129999999999</v>
      </c>
      <c r="J8603">
        <v>-363.05270000000002</v>
      </c>
      <c r="K8603">
        <v>1.1097549999999901</v>
      </c>
      <c r="L8603">
        <v>17.176570000000002</v>
      </c>
      <c r="M8603">
        <v>0.99991790000000003</v>
      </c>
      <c r="N8603">
        <v>0</v>
      </c>
      <c r="O8603">
        <v>1.491411E-3</v>
      </c>
      <c r="P8603">
        <v>0.99332019999999999</v>
      </c>
      <c r="Q8603">
        <v>5.9856189999999997E-2</v>
      </c>
      <c r="R8603">
        <v>-9.8653110000000002E-2</v>
      </c>
      <c r="S8603">
        <v>2.9585270000000001</v>
      </c>
      <c r="T8603">
        <v>-0.1612256</v>
      </c>
      <c r="U8603">
        <v>-0.72665409999999997</v>
      </c>
      <c r="V8603">
        <v>0.1002514</v>
      </c>
      <c r="W8603">
        <v>7.232384E-2</v>
      </c>
      <c r="X8603">
        <v>0.99233009999999999</v>
      </c>
      <c r="Y8603">
        <v>0.23963499999999999</v>
      </c>
      <c r="Z8603">
        <v>-6.5093449999999997E-3</v>
      </c>
      <c r="AA8603">
        <v>0.97084119999999996</v>
      </c>
      <c r="AB8603">
        <v>27</v>
      </c>
      <c r="AC8603">
        <v>20.100100000000001</v>
      </c>
      <c r="AD8603">
        <v>-1.1097593641979999</v>
      </c>
      <c r="AE8603">
        <v>-5.0014399999999997</v>
      </c>
      <c r="AF8603">
        <v>5.0170125754197201</v>
      </c>
      <c r="AG8603">
        <v>-1.1097593641979999</v>
      </c>
      <c r="AH8603">
        <v>20.035105208902401</v>
      </c>
      <c r="AI8603">
        <v>93.075642738685602</v>
      </c>
      <c r="AJ8603">
        <v>75.941590355828197</v>
      </c>
      <c r="AK8603">
        <v>20.6835060316217</v>
      </c>
      <c r="AL8603">
        <v>85.852528338880205</v>
      </c>
      <c r="AM8603">
        <v>84.231194537674995</v>
      </c>
      <c r="AN8603">
        <v>1.0000000542001499</v>
      </c>
    </row>
    <row r="8604" spans="1:40" x14ac:dyDescent="0.25">
      <c r="A8604" t="str">
        <f>"20190312150856663"</f>
        <v>20190312150856663</v>
      </c>
      <c r="B8604" t="str">
        <f>"1552374536658217"</f>
        <v>1552374536658217</v>
      </c>
      <c r="C8604" t="s">
        <v>40</v>
      </c>
      <c r="D8604">
        <v>4.9307119999999998</v>
      </c>
      <c r="E8604">
        <v>0.55428869999999997</v>
      </c>
      <c r="F8604" t="s">
        <v>42</v>
      </c>
      <c r="G8604">
        <v>-342.6223</v>
      </c>
      <c r="H8604" s="1">
        <v>-4.49369E-6</v>
      </c>
      <c r="I8604">
        <v>12.111039999999999</v>
      </c>
      <c r="J8604">
        <v>-362.89640000000003</v>
      </c>
      <c r="K8604">
        <v>1.1097619999999999</v>
      </c>
      <c r="L8604">
        <v>17.176269999999999</v>
      </c>
      <c r="M8604">
        <v>0.99991859999999999</v>
      </c>
      <c r="N8604">
        <v>0</v>
      </c>
      <c r="O8604">
        <v>9.9066900000000001E-4</v>
      </c>
      <c r="P8604">
        <v>0.99317800000000001</v>
      </c>
      <c r="Q8604">
        <v>6.0413519999999998E-2</v>
      </c>
      <c r="R8604">
        <v>-9.9740700000000002E-2</v>
      </c>
      <c r="S8604">
        <v>2.9570310000000002</v>
      </c>
      <c r="T8604">
        <v>-0.16062270000000001</v>
      </c>
      <c r="U8604">
        <v>-0.73315430000000004</v>
      </c>
      <c r="V8604">
        <v>0.1008423</v>
      </c>
      <c r="W8604">
        <v>7.2884080000000004E-2</v>
      </c>
      <c r="X8604">
        <v>0.99222920000000003</v>
      </c>
      <c r="Y8604">
        <v>0.24127460000000001</v>
      </c>
      <c r="Z8604">
        <v>-6.5035960000000004E-3</v>
      </c>
      <c r="AA8604">
        <v>0.97043509999999999</v>
      </c>
      <c r="AB8604">
        <v>27</v>
      </c>
      <c r="AC8604">
        <v>20.274100000000001</v>
      </c>
      <c r="AD8604">
        <v>-1.10976649369</v>
      </c>
      <c r="AE8604">
        <v>-5.0652299999999997</v>
      </c>
      <c r="AF8604">
        <v>5.0710126465954701</v>
      </c>
      <c r="AG8604">
        <v>-1.10976649369</v>
      </c>
      <c r="AH8604">
        <v>20.212069021768801</v>
      </c>
      <c r="AI8604">
        <v>93.048441067424093</v>
      </c>
      <c r="AJ8604">
        <v>75.915755216525298</v>
      </c>
      <c r="AK8604">
        <v>20.868025423436499</v>
      </c>
      <c r="AL8604">
        <v>85.820343878427906</v>
      </c>
      <c r="AM8604">
        <v>84.196837456643905</v>
      </c>
      <c r="AN8604">
        <v>1.0000000219596801</v>
      </c>
    </row>
    <row r="8605" spans="1:40" x14ac:dyDescent="0.25">
      <c r="A8605" t="str">
        <f>"20190312150856674"</f>
        <v>20190312150856674</v>
      </c>
      <c r="B8605" t="str">
        <f>"1552374536667978"</f>
        <v>1552374536667978</v>
      </c>
      <c r="C8605" t="s">
        <v>40</v>
      </c>
      <c r="D8605">
        <v>4.8896119999999996</v>
      </c>
      <c r="E8605">
        <v>0.55410150000000002</v>
      </c>
      <c r="F8605" t="s">
        <v>42</v>
      </c>
      <c r="G8605">
        <v>-341.82240000000002</v>
      </c>
      <c r="H8605" s="1">
        <v>-4.8446939999999998E-6</v>
      </c>
      <c r="I8605">
        <v>11.98179</v>
      </c>
      <c r="J8605">
        <v>-362.75060000000002</v>
      </c>
      <c r="K8605">
        <v>1.1097669999999999</v>
      </c>
      <c r="L8605">
        <v>17.175899999999999</v>
      </c>
      <c r="M8605">
        <v>0.99991890000000005</v>
      </c>
      <c r="N8605">
        <v>0</v>
      </c>
      <c r="O8605">
        <v>5.231837E-4</v>
      </c>
      <c r="P8605">
        <v>0.99304809999999999</v>
      </c>
      <c r="Q8605">
        <v>6.1231109999999998E-2</v>
      </c>
      <c r="R8605">
        <v>-0.1005286</v>
      </c>
      <c r="S8605">
        <v>2.9568789999999998</v>
      </c>
      <c r="T8605">
        <v>-0.1557103</v>
      </c>
      <c r="U8605">
        <v>-0.72882080000000005</v>
      </c>
      <c r="V8605">
        <v>0.1011674</v>
      </c>
      <c r="W8605">
        <v>7.370488E-2</v>
      </c>
      <c r="X8605">
        <v>0.99213549999999995</v>
      </c>
      <c r="Y8605">
        <v>0.2395149</v>
      </c>
      <c r="Z8605">
        <v>-6.2365049999999998E-3</v>
      </c>
      <c r="AA8605">
        <v>0.97087259999999997</v>
      </c>
      <c r="AB8605">
        <v>27</v>
      </c>
      <c r="AC8605">
        <v>20.9282</v>
      </c>
      <c r="AD8605">
        <v>-1.1097718446939999</v>
      </c>
      <c r="AE8605">
        <v>-5.1941099999999896</v>
      </c>
      <c r="AF8605">
        <v>5.1913088924278297</v>
      </c>
      <c r="AG8605">
        <v>-1.1097718446939999</v>
      </c>
      <c r="AH8605">
        <v>20.8701991123909</v>
      </c>
      <c r="AI8605">
        <v>92.953986000112707</v>
      </c>
      <c r="AJ8605">
        <v>76.031579047013807</v>
      </c>
      <c r="AK8605">
        <v>21.534774030732699</v>
      </c>
      <c r="AL8605">
        <v>85.773188795003804</v>
      </c>
      <c r="AM8605">
        <v>84.177711210927299</v>
      </c>
      <c r="AN8605">
        <v>1.00000005125941</v>
      </c>
    </row>
    <row r="8606" spans="1:40" x14ac:dyDescent="0.25">
      <c r="A8606" t="str">
        <f>"20190312150856686"</f>
        <v>20190312150856686</v>
      </c>
      <c r="B8606" t="str">
        <f>"1552374536678713"</f>
        <v>1552374536678713</v>
      </c>
      <c r="C8606" t="s">
        <v>40</v>
      </c>
      <c r="D8606">
        <v>4.9118490000000001</v>
      </c>
      <c r="E8606">
        <v>0.55410150000000002</v>
      </c>
      <c r="F8606" t="s">
        <v>42</v>
      </c>
      <c r="G8606">
        <v>-341.33170000000001</v>
      </c>
      <c r="H8606" s="1">
        <v>-5.0716849999999999E-6</v>
      </c>
      <c r="I8606">
        <v>11.888960000000001</v>
      </c>
      <c r="J8606">
        <v>-362.61079999999998</v>
      </c>
      <c r="K8606">
        <v>1.109775</v>
      </c>
      <c r="L8606">
        <v>17.175509999999999</v>
      </c>
      <c r="M8606">
        <v>0.99991890000000005</v>
      </c>
      <c r="N8606">
        <v>0</v>
      </c>
      <c r="O8606" s="1">
        <v>7.548519E-5</v>
      </c>
      <c r="P8606">
        <v>0.99294550000000004</v>
      </c>
      <c r="Q8606">
        <v>6.1723670000000001E-2</v>
      </c>
      <c r="R8606">
        <v>-0.101239</v>
      </c>
      <c r="S8606">
        <v>2.9565429999999999</v>
      </c>
      <c r="T8606">
        <v>-0.153186299999999</v>
      </c>
      <c r="U8606">
        <v>-0.72976680000000005</v>
      </c>
      <c r="V8606">
        <v>0.1014338</v>
      </c>
      <c r="W8606">
        <v>7.4200379999999996E-2</v>
      </c>
      <c r="X8606">
        <v>0.99207129999999999</v>
      </c>
      <c r="Y8606">
        <v>0.2394095</v>
      </c>
      <c r="Z8606">
        <v>-6.1104569999999997E-3</v>
      </c>
      <c r="AA8606">
        <v>0.97089950000000003</v>
      </c>
      <c r="AB8606">
        <v>27</v>
      </c>
      <c r="AC8606">
        <v>21.2790999999999</v>
      </c>
      <c r="AD8606">
        <v>-1.1097800716849999</v>
      </c>
      <c r="AE8606">
        <v>-5.2865499999999903</v>
      </c>
      <c r="AF8606">
        <v>5.2746434358466603</v>
      </c>
      <c r="AG8606">
        <v>-1.1097800716849999</v>
      </c>
      <c r="AH8606">
        <v>21.224326942689199</v>
      </c>
      <c r="AI8606">
        <v>92.904957411207107</v>
      </c>
      <c r="AJ8606">
        <v>76.043660790690893</v>
      </c>
      <c r="AK8606">
        <v>21.898071361491901</v>
      </c>
      <c r="AL8606">
        <v>85.744720516337594</v>
      </c>
      <c r="AM8606">
        <v>84.162110200419804</v>
      </c>
      <c r="AN8606">
        <v>0.99999998822913705</v>
      </c>
    </row>
    <row r="8607" spans="1:40" x14ac:dyDescent="0.25">
      <c r="A8607" t="str">
        <f>"20190312150856697"</f>
        <v>20190312150856697</v>
      </c>
      <c r="B8607" t="str">
        <f>"1552374536688473"</f>
        <v>1552374536688473</v>
      </c>
      <c r="C8607" t="s">
        <v>40</v>
      </c>
      <c r="D8607">
        <v>4.8782839999999998</v>
      </c>
      <c r="E8607">
        <v>0.55771949999999904</v>
      </c>
      <c r="F8607" t="s">
        <v>42</v>
      </c>
      <c r="G8607">
        <v>-340.97129999999999</v>
      </c>
      <c r="H8607" s="1">
        <v>-5.2389400000000002E-6</v>
      </c>
      <c r="I8607">
        <v>11.81748</v>
      </c>
      <c r="J8607">
        <v>-362.46940000000001</v>
      </c>
      <c r="K8607">
        <v>1.1097760000000001</v>
      </c>
      <c r="L8607">
        <v>17.17502</v>
      </c>
      <c r="M8607">
        <v>0.99991890000000005</v>
      </c>
      <c r="N8607">
        <v>0</v>
      </c>
      <c r="O8607">
        <v>-3.7740929999999998E-4</v>
      </c>
      <c r="P8607">
        <v>0.99284649999999997</v>
      </c>
      <c r="Q8607">
        <v>6.2388760000000001E-2</v>
      </c>
      <c r="R8607">
        <v>-0.1018028</v>
      </c>
      <c r="S8607">
        <v>2.9561160000000002</v>
      </c>
      <c r="T8607">
        <v>-0.15160409999999999</v>
      </c>
      <c r="U8607">
        <v>-0.73193359999999996</v>
      </c>
      <c r="V8607">
        <v>0.10154879999999999</v>
      </c>
      <c r="W8607">
        <v>7.4870859999999997E-2</v>
      </c>
      <c r="X8607">
        <v>0.99200920000000004</v>
      </c>
      <c r="Y8607">
        <v>0.23967949999999999</v>
      </c>
      <c r="Z8607">
        <v>-6.0316930000000003E-3</v>
      </c>
      <c r="AA8607">
        <v>0.97083339999999996</v>
      </c>
      <c r="AB8607">
        <v>27</v>
      </c>
      <c r="AC8607">
        <v>21.498100000000001</v>
      </c>
      <c r="AD8607">
        <v>-1.1097812389399999</v>
      </c>
      <c r="AE8607">
        <v>-5.3575400000000002</v>
      </c>
      <c r="AF8607">
        <v>5.3360370685171299</v>
      </c>
      <c r="AG8607">
        <v>-1.1097812389399999</v>
      </c>
      <c r="AH8607">
        <v>21.446311049849701</v>
      </c>
      <c r="AI8607">
        <v>92.874747693594301</v>
      </c>
      <c r="AJ8607">
        <v>76.027995021057393</v>
      </c>
      <c r="AK8607">
        <v>22.128017616628</v>
      </c>
      <c r="AL8607">
        <v>85.706197857913097</v>
      </c>
      <c r="AM8607">
        <v>84.155173984505495</v>
      </c>
      <c r="AN8607">
        <v>1.0000000286716</v>
      </c>
    </row>
    <row r="8608" spans="1:40" x14ac:dyDescent="0.25">
      <c r="A8608" t="str">
        <f>"20190312150856708"</f>
        <v>20190312150856708</v>
      </c>
      <c r="B8608" t="str">
        <f>"1552374536698450"</f>
        <v>1552374536698450</v>
      </c>
      <c r="C8608" t="s">
        <v>40</v>
      </c>
      <c r="D8608">
        <v>4.8882779999999997</v>
      </c>
      <c r="E8608">
        <v>0.557882199999999</v>
      </c>
      <c r="F8608" t="s">
        <v>42</v>
      </c>
      <c r="G8608">
        <v>-348.94450000000001</v>
      </c>
      <c r="H8608" s="1">
        <v>-1.9216400000000002E-6</v>
      </c>
      <c r="I8608">
        <v>13.69159</v>
      </c>
      <c r="J8608">
        <v>-362.33589999999998</v>
      </c>
      <c r="K8608">
        <v>1.10978</v>
      </c>
      <c r="L8608">
        <v>17.174499999999998</v>
      </c>
      <c r="M8608">
        <v>0.99991850000000004</v>
      </c>
      <c r="N8608">
        <v>0</v>
      </c>
      <c r="O8608">
        <v>-8.0491549999999997E-4</v>
      </c>
      <c r="P8608">
        <v>0.99276790000000004</v>
      </c>
      <c r="Q8608">
        <v>6.2760899999999994E-2</v>
      </c>
      <c r="R8608">
        <v>-0.10233929999999999</v>
      </c>
      <c r="S8608">
        <v>2.9587400000000001</v>
      </c>
      <c r="T8608">
        <v>-0.24277750000000001</v>
      </c>
      <c r="U8608">
        <v>-0.76202389999999998</v>
      </c>
      <c r="V8608">
        <v>0.1016614</v>
      </c>
      <c r="W8608">
        <v>7.5248399999999993E-2</v>
      </c>
      <c r="X8608">
        <v>0.99196899999999999</v>
      </c>
      <c r="Y8608">
        <v>0.24785270000000001</v>
      </c>
      <c r="Z8608">
        <v>-9.9245549999999998E-3</v>
      </c>
      <c r="AA8608">
        <v>0.96874689999999997</v>
      </c>
      <c r="AB8608">
        <v>27</v>
      </c>
      <c r="AC8608">
        <v>13.3913999999999</v>
      </c>
      <c r="AD8608">
        <v>-1.10978192164</v>
      </c>
      <c r="AE8608">
        <v>-3.4829099999999902</v>
      </c>
      <c r="AF8608">
        <v>3.4499364730817099</v>
      </c>
      <c r="AG8608">
        <v>-1.10978192164</v>
      </c>
      <c r="AH8608">
        <v>13.308588517635201</v>
      </c>
      <c r="AI8608">
        <v>94.614930005850198</v>
      </c>
      <c r="AJ8608">
        <v>75.467313158779007</v>
      </c>
      <c r="AK8608">
        <v>13.7931941882086</v>
      </c>
      <c r="AL8608">
        <v>85.684504786913607</v>
      </c>
      <c r="AM8608">
        <v>84.148502548991004</v>
      </c>
      <c r="AN8608">
        <v>0.99999992945675698</v>
      </c>
    </row>
    <row r="8609" spans="1:40" x14ac:dyDescent="0.25">
      <c r="A8609" t="str">
        <f>"20190312150856717"</f>
        <v>20190312150856717</v>
      </c>
      <c r="B8609" t="str">
        <f>"1552374536708211"</f>
        <v>1552374536708211</v>
      </c>
      <c r="C8609" t="s">
        <v>40</v>
      </c>
      <c r="D8609">
        <v>4.8938100000000002</v>
      </c>
      <c r="E8609">
        <v>0.557952</v>
      </c>
      <c r="F8609" t="s">
        <v>42</v>
      </c>
      <c r="G8609">
        <v>-349.00380000000001</v>
      </c>
      <c r="H8609" s="1">
        <v>-1.8918560000000001E-6</v>
      </c>
      <c r="I8609">
        <v>13.72776</v>
      </c>
      <c r="J8609">
        <v>-362.20749999999998</v>
      </c>
      <c r="K8609">
        <v>1.1097859999999999</v>
      </c>
      <c r="L8609">
        <v>17.173950000000001</v>
      </c>
      <c r="M8609">
        <v>0.99991790000000003</v>
      </c>
      <c r="N8609">
        <v>0</v>
      </c>
      <c r="O8609">
        <v>-1.215381E-3</v>
      </c>
      <c r="P8609">
        <v>0.99268800000000001</v>
      </c>
      <c r="Q8609">
        <v>6.3176079999999996E-2</v>
      </c>
      <c r="R8609">
        <v>-0.1028573</v>
      </c>
      <c r="S8609">
        <v>2.9585880000000002</v>
      </c>
      <c r="T8609">
        <v>-0.24627650000000001</v>
      </c>
      <c r="U8609">
        <v>-0.76486209999999999</v>
      </c>
      <c r="V8609">
        <v>0.1017725</v>
      </c>
      <c r="W8609">
        <v>7.5670150000000005E-2</v>
      </c>
      <c r="X8609">
        <v>0.99192559999999996</v>
      </c>
      <c r="Y8609">
        <v>0.24831590000000001</v>
      </c>
      <c r="Z8609">
        <v>-1.005182E-2</v>
      </c>
      <c r="AA8609">
        <v>0.96862700000000002</v>
      </c>
      <c r="AB8609">
        <v>27</v>
      </c>
      <c r="AC8609">
        <v>13.2036999999999</v>
      </c>
      <c r="AD8609">
        <v>-1.109787891856</v>
      </c>
      <c r="AE8609">
        <v>-3.4461900000000001</v>
      </c>
      <c r="AF8609">
        <v>3.4076005637762798</v>
      </c>
      <c r="AG8609">
        <v>-1.109787891856</v>
      </c>
      <c r="AH8609">
        <v>13.121095370358599</v>
      </c>
      <c r="AI8609">
        <v>94.680067860050102</v>
      </c>
      <c r="AJ8609">
        <v>75.441672214031897</v>
      </c>
      <c r="AK8609">
        <v>13.601709983866099</v>
      </c>
      <c r="AL8609">
        <v>85.660271524170398</v>
      </c>
      <c r="AM8609">
        <v>84.141897705325206</v>
      </c>
      <c r="AN8609">
        <v>1.00000000464631</v>
      </c>
    </row>
    <row r="8610" spans="1:40" x14ac:dyDescent="0.25">
      <c r="A8610" t="str">
        <f>"20190312150856729"</f>
        <v>20190312150856729</v>
      </c>
      <c r="B8610" t="str">
        <f>"1552374536717970"</f>
        <v>1552374536717970</v>
      </c>
      <c r="C8610" t="s">
        <v>40</v>
      </c>
      <c r="D8610">
        <v>4.888655</v>
      </c>
      <c r="E8610">
        <v>0.55822399999999905</v>
      </c>
      <c r="F8610" t="s">
        <v>42</v>
      </c>
      <c r="G8610">
        <v>-349.20490000000001</v>
      </c>
      <c r="H8610" s="1">
        <v>-1.8032440000000001E-6</v>
      </c>
      <c r="I8610">
        <v>13.803610000000001</v>
      </c>
      <c r="J8610">
        <v>-362.0829</v>
      </c>
      <c r="K8610">
        <v>1.109788</v>
      </c>
      <c r="L8610">
        <v>17.173369999999998</v>
      </c>
      <c r="M8610">
        <v>0.99991719999999895</v>
      </c>
      <c r="N8610">
        <v>0</v>
      </c>
      <c r="O8610">
        <v>-1.613806E-3</v>
      </c>
      <c r="P8610">
        <v>0.99262360000000005</v>
      </c>
      <c r="Q8610">
        <v>6.3470769999999996E-2</v>
      </c>
      <c r="R8610">
        <v>-0.10329530000000001</v>
      </c>
      <c r="S8610">
        <v>2.958771</v>
      </c>
      <c r="T8610">
        <v>-0.25253429999999999</v>
      </c>
      <c r="U8610">
        <v>-0.76690669999999905</v>
      </c>
      <c r="V8610">
        <v>0.1018153</v>
      </c>
      <c r="W8610">
        <v>7.5971590000000006E-2</v>
      </c>
      <c r="X8610">
        <v>0.99189819999999995</v>
      </c>
      <c r="Y8610">
        <v>0.24850269999999999</v>
      </c>
      <c r="Z8610">
        <v>-1.027931E-2</v>
      </c>
      <c r="AA8610">
        <v>0.96857669999999996</v>
      </c>
      <c r="AB8610">
        <v>27</v>
      </c>
      <c r="AC8610">
        <v>12.877999999999901</v>
      </c>
      <c r="AD8610">
        <v>-1.1097898032439999</v>
      </c>
      <c r="AE8610">
        <v>-3.3697599999999999</v>
      </c>
      <c r="AF8610">
        <v>3.3258546415803001</v>
      </c>
      <c r="AG8610">
        <v>-1.1097898032439999</v>
      </c>
      <c r="AH8610">
        <v>12.794492422980399</v>
      </c>
      <c r="AI8610">
        <v>94.798713031395906</v>
      </c>
      <c r="AJ8610">
        <v>75.428776224676298</v>
      </c>
      <c r="AK8610">
        <v>13.2661968501153</v>
      </c>
      <c r="AL8610">
        <v>85.642950572550504</v>
      </c>
      <c r="AM8610">
        <v>84.139290485046203</v>
      </c>
      <c r="AN8610">
        <v>1.0000000384822201</v>
      </c>
    </row>
    <row r="8611" spans="1:40" x14ac:dyDescent="0.25">
      <c r="A8611" t="str">
        <f>"20190312150856739"</f>
        <v>20190312150856739</v>
      </c>
      <c r="B8611" t="str">
        <f>"1552374536728707"</f>
        <v>1552374536728707</v>
      </c>
      <c r="C8611" t="s">
        <v>40</v>
      </c>
      <c r="D8611">
        <v>4.9149070000000004</v>
      </c>
      <c r="E8611">
        <v>0.55818840000000003</v>
      </c>
      <c r="F8611" t="s">
        <v>42</v>
      </c>
      <c r="G8611">
        <v>-349.23230000000001</v>
      </c>
      <c r="H8611" s="1">
        <v>-1.787568E-6</v>
      </c>
      <c r="I8611">
        <v>13.827400000000001</v>
      </c>
      <c r="J8611">
        <v>-361.95170000000002</v>
      </c>
      <c r="K8611">
        <v>1.109791</v>
      </c>
      <c r="L8611">
        <v>17.172699999999999</v>
      </c>
      <c r="M8611">
        <v>0.99991640000000004</v>
      </c>
      <c r="N8611">
        <v>0</v>
      </c>
      <c r="O8611">
        <v>-2.0335729999999999E-3</v>
      </c>
      <c r="P8611">
        <v>0.99255760000000004</v>
      </c>
      <c r="Q8611">
        <v>6.3760549999999999E-2</v>
      </c>
      <c r="R8611">
        <v>-0.10374940000000001</v>
      </c>
      <c r="S8611">
        <v>2.9584959999999998</v>
      </c>
      <c r="T8611">
        <v>-0.25549759999999999</v>
      </c>
      <c r="U8611">
        <v>-0.77029419999999904</v>
      </c>
      <c r="V8611">
        <v>0.10185329999999999</v>
      </c>
      <c r="W8611">
        <v>7.6269229999999993E-2</v>
      </c>
      <c r="X8611">
        <v>0.99187139999999996</v>
      </c>
      <c r="Y8611">
        <v>0.24913640000000001</v>
      </c>
      <c r="Z8611">
        <v>-1.039024E-2</v>
      </c>
      <c r="AA8611">
        <v>0.96841270000000002</v>
      </c>
      <c r="AB8611">
        <v>27</v>
      </c>
      <c r="AC8611">
        <v>12.7194</v>
      </c>
      <c r="AD8611">
        <v>-1.109792787568</v>
      </c>
      <c r="AE8611">
        <v>-3.3452999999999902</v>
      </c>
      <c r="AF8611">
        <v>3.2959567138886299</v>
      </c>
      <c r="AG8611">
        <v>-1.109792787568</v>
      </c>
      <c r="AH8611">
        <v>12.636202726846999</v>
      </c>
      <c r="AI8611">
        <v>94.857502489976397</v>
      </c>
      <c r="AJ8611">
        <v>75.381010951179704</v>
      </c>
      <c r="AK8611">
        <v>13.1060516573506</v>
      </c>
      <c r="AL8611">
        <v>85.625847187968503</v>
      </c>
      <c r="AM8611">
        <v>84.136961047348805</v>
      </c>
      <c r="AN8611">
        <v>0.99999998215182095</v>
      </c>
    </row>
    <row r="8612" spans="1:40" x14ac:dyDescent="0.25">
      <c r="A8612" t="str">
        <f>"20190312150856750"</f>
        <v>20190312150856750</v>
      </c>
      <c r="B8612" t="str">
        <f>"1552374536738466"</f>
        <v>1552374536738466</v>
      </c>
      <c r="C8612" t="s">
        <v>40</v>
      </c>
      <c r="D8612">
        <v>4.8859120000000003</v>
      </c>
      <c r="E8612">
        <v>0.55823089999999997</v>
      </c>
      <c r="F8612" t="s">
        <v>42</v>
      </c>
      <c r="G8612">
        <v>-349.34480000000002</v>
      </c>
      <c r="H8612" s="1">
        <v>-1.7336020000000001E-6</v>
      </c>
      <c r="I8612">
        <v>13.88641</v>
      </c>
      <c r="J8612">
        <v>-361.82330000000002</v>
      </c>
      <c r="K8612">
        <v>1.1097919999999999</v>
      </c>
      <c r="L8612">
        <v>17.172000000000001</v>
      </c>
      <c r="M8612">
        <v>0.99991540000000001</v>
      </c>
      <c r="N8612">
        <v>0</v>
      </c>
      <c r="O8612">
        <v>-2.444636E-3</v>
      </c>
      <c r="P8612">
        <v>0.992475</v>
      </c>
      <c r="Q8612">
        <v>6.4056580000000002E-2</v>
      </c>
      <c r="R8612">
        <v>-0.1043559</v>
      </c>
      <c r="S8612">
        <v>2.958618</v>
      </c>
      <c r="T8612">
        <v>-0.2604474</v>
      </c>
      <c r="U8612">
        <v>-0.7712097</v>
      </c>
      <c r="V8612">
        <v>0.1020523</v>
      </c>
      <c r="W8612">
        <v>7.6572559999999998E-2</v>
      </c>
      <c r="X8612">
        <v>0.99182760000000003</v>
      </c>
      <c r="Y8612">
        <v>0.2489778</v>
      </c>
      <c r="Z8612">
        <v>-1.0547600000000001E-2</v>
      </c>
      <c r="AA8612">
        <v>0.96845170000000003</v>
      </c>
      <c r="AB8612">
        <v>27</v>
      </c>
      <c r="AC8612">
        <v>12.478499999999899</v>
      </c>
      <c r="AD8612">
        <v>-1.1097937336020001</v>
      </c>
      <c r="AE8612">
        <v>-3.28559</v>
      </c>
      <c r="AF8612">
        <v>3.2311716732846398</v>
      </c>
      <c r="AG8612">
        <v>-1.1097937336020001</v>
      </c>
      <c r="AH8612">
        <v>12.394812348008999</v>
      </c>
      <c r="AI8612">
        <v>94.951818076075398</v>
      </c>
      <c r="AJ8612">
        <v>75.388897549387906</v>
      </c>
      <c r="AK8612">
        <v>12.857040314774499</v>
      </c>
      <c r="AL8612">
        <v>85.608416801797603</v>
      </c>
      <c r="AM8612">
        <v>84.1253283245711</v>
      </c>
      <c r="AN8612">
        <v>1.0000000085009999</v>
      </c>
    </row>
    <row r="8613" spans="1:40" x14ac:dyDescent="0.25">
      <c r="A8613" t="str">
        <f>"20190312150856760"</f>
        <v>20190312150856760</v>
      </c>
      <c r="B8613" t="str">
        <f>"1552374536748226"</f>
        <v>1552374536748226</v>
      </c>
      <c r="C8613" t="s">
        <v>40</v>
      </c>
      <c r="D8613">
        <v>4.8613499999999998</v>
      </c>
      <c r="E8613">
        <v>0.55805269999999996</v>
      </c>
      <c r="F8613" t="s">
        <v>42</v>
      </c>
      <c r="G8613">
        <v>-348.96190000000001</v>
      </c>
      <c r="H8613" s="1">
        <v>-1.884517E-6</v>
      </c>
      <c r="I8613">
        <v>13.808879999999901</v>
      </c>
      <c r="J8613">
        <v>-361.68990000000002</v>
      </c>
      <c r="K8613">
        <v>1.1097969999999999</v>
      </c>
      <c r="L8613">
        <v>17.171229999999898</v>
      </c>
      <c r="M8613">
        <v>0.99991419999999998</v>
      </c>
      <c r="N8613">
        <v>0</v>
      </c>
      <c r="O8613">
        <v>-2.871555E-3</v>
      </c>
      <c r="P8613">
        <v>0.99240510000000004</v>
      </c>
      <c r="Q8613">
        <v>6.4385310000000001E-2</v>
      </c>
      <c r="R8613">
        <v>-0.1048185</v>
      </c>
      <c r="S8613">
        <v>2.9578859999999998</v>
      </c>
      <c r="T8613">
        <v>-0.25523269999999998</v>
      </c>
      <c r="U8613">
        <v>-0.7734375</v>
      </c>
      <c r="V8613">
        <v>0.1020916</v>
      </c>
      <c r="W8613">
        <v>7.6908699999999997E-2</v>
      </c>
      <c r="X8613">
        <v>0.99179759999999995</v>
      </c>
      <c r="Y8613">
        <v>0.24934110000000001</v>
      </c>
      <c r="Z8613">
        <v>-1.03179E-2</v>
      </c>
      <c r="AA8613">
        <v>0.96836069999999996</v>
      </c>
      <c r="AB8613">
        <v>27</v>
      </c>
      <c r="AC8613">
        <v>12.728</v>
      </c>
      <c r="AD8613">
        <v>-1.1097988845169999</v>
      </c>
      <c r="AE8613">
        <v>-3.3623500000000002</v>
      </c>
      <c r="AF8613">
        <v>3.3023152433204999</v>
      </c>
      <c r="AG8613">
        <v>-1.1097988845169999</v>
      </c>
      <c r="AH8613">
        <v>12.647719200965</v>
      </c>
      <c r="AI8613">
        <v>94.852814131825696</v>
      </c>
      <c r="AJ8613">
        <v>75.366782998164695</v>
      </c>
      <c r="AK8613">
        <v>13.118755296018</v>
      </c>
      <c r="AL8613">
        <v>85.589100668988806</v>
      </c>
      <c r="AM8613">
        <v>84.122905318156995</v>
      </c>
      <c r="AN8613">
        <v>1.000000061146</v>
      </c>
    </row>
    <row r="8614" spans="1:40" x14ac:dyDescent="0.25">
      <c r="A8614" t="str">
        <f>"20190312150856773"</f>
        <v>20190312150856773</v>
      </c>
      <c r="B8614" t="str">
        <f>"1552374536768723"</f>
        <v>1552374536768723</v>
      </c>
      <c r="C8614" t="s">
        <v>40</v>
      </c>
      <c r="D8614">
        <v>4.8690069999999999</v>
      </c>
      <c r="E8614">
        <v>0.55793090000000001</v>
      </c>
      <c r="F8614" t="s">
        <v>42</v>
      </c>
      <c r="G8614">
        <v>-348.98700000000002</v>
      </c>
      <c r="H8614" s="1">
        <v>-1.8649980000000001E-6</v>
      </c>
      <c r="I8614">
        <v>13.85014</v>
      </c>
      <c r="J8614">
        <v>-361.55579999999998</v>
      </c>
      <c r="K8614">
        <v>1.109799</v>
      </c>
      <c r="L8614">
        <v>17.170349999999999</v>
      </c>
      <c r="M8614">
        <v>0.99991289999999999</v>
      </c>
      <c r="N8614">
        <v>0</v>
      </c>
      <c r="O8614">
        <v>-3.3010959999999999E-3</v>
      </c>
      <c r="P8614">
        <v>0.99232770000000003</v>
      </c>
      <c r="Q8614">
        <v>6.4386260000000001E-2</v>
      </c>
      <c r="R8614">
        <v>-0.1055492</v>
      </c>
      <c r="S8614">
        <v>2.9580690000000001</v>
      </c>
      <c r="T8614">
        <v>-0.25843310000000003</v>
      </c>
      <c r="U8614">
        <v>-0.77334590000000003</v>
      </c>
      <c r="V8614">
        <v>0.1023961</v>
      </c>
      <c r="W8614">
        <v>7.6916300000000007E-2</v>
      </c>
      <c r="X8614">
        <v>0.99176560000000002</v>
      </c>
      <c r="Y8614">
        <v>0.24886420000000001</v>
      </c>
      <c r="Z8614">
        <v>-1.0388939999999999E-2</v>
      </c>
      <c r="AA8614">
        <v>0.96848270000000003</v>
      </c>
      <c r="AB8614">
        <v>27</v>
      </c>
      <c r="AC8614">
        <v>12.5688</v>
      </c>
      <c r="AD8614">
        <v>-1.109800864998</v>
      </c>
      <c r="AE8614">
        <v>-3.3202099999999901</v>
      </c>
      <c r="AF8614">
        <v>3.2549755052910601</v>
      </c>
      <c r="AG8614">
        <v>-1.109800864998</v>
      </c>
      <c r="AH8614">
        <v>12.488675510566299</v>
      </c>
      <c r="AI8614">
        <v>94.914878876819799</v>
      </c>
      <c r="AJ8614">
        <v>75.391754835500393</v>
      </c>
      <c r="AK8614">
        <v>12.9535145620103</v>
      </c>
      <c r="AL8614">
        <v>85.588663842424694</v>
      </c>
      <c r="AM8614">
        <v>84.105310595008106</v>
      </c>
      <c r="AN8614">
        <v>1.00000004192212</v>
      </c>
    </row>
    <row r="8615" spans="1:40" x14ac:dyDescent="0.25">
      <c r="A8615" t="str">
        <f>"20190312150856785"</f>
        <v>20190312150856785</v>
      </c>
      <c r="B8615" t="str">
        <f>"1552374536778482"</f>
        <v>1552374536778482</v>
      </c>
      <c r="C8615" t="s">
        <v>40</v>
      </c>
      <c r="D8615">
        <v>5.7717289999999997</v>
      </c>
      <c r="E8615">
        <v>0.55793090000000001</v>
      </c>
      <c r="F8615" t="s">
        <v>42</v>
      </c>
      <c r="G8615">
        <v>-348.66890000000001</v>
      </c>
      <c r="H8615" s="1">
        <v>-1.9879200000000002E-6</v>
      </c>
      <c r="I8615">
        <v>13.79508</v>
      </c>
      <c r="J8615">
        <v>-361.40649999999999</v>
      </c>
      <c r="K8615">
        <v>1.109801</v>
      </c>
      <c r="L8615">
        <v>17.169339999999998</v>
      </c>
      <c r="M8615">
        <v>0.99991099999999999</v>
      </c>
      <c r="N8615">
        <v>0</v>
      </c>
      <c r="O8615">
        <v>-3.7879440000000001E-3</v>
      </c>
      <c r="P8615">
        <v>0.99225059999999998</v>
      </c>
      <c r="Q8615">
        <v>6.4418840000000005E-2</v>
      </c>
      <c r="R8615">
        <v>-0.10624989999999999</v>
      </c>
      <c r="S8615">
        <v>2.957306</v>
      </c>
      <c r="T8615">
        <v>-0.25467709999999999</v>
      </c>
      <c r="U8615">
        <v>-0.77453609999999995</v>
      </c>
      <c r="V8615">
        <v>0.1026135</v>
      </c>
      <c r="W8615">
        <v>7.6953389999999997E-2</v>
      </c>
      <c r="X8615">
        <v>0.99174019999999996</v>
      </c>
      <c r="Y8615">
        <v>0.24884539999999999</v>
      </c>
      <c r="Z8615">
        <v>-1.019858E-2</v>
      </c>
      <c r="AA8615">
        <v>0.9684895</v>
      </c>
      <c r="AB8615">
        <v>27</v>
      </c>
      <c r="AC8615">
        <v>12.737599999999899</v>
      </c>
      <c r="AD8615">
        <v>-1.10980298792</v>
      </c>
      <c r="AE8615">
        <v>-3.37426</v>
      </c>
      <c r="AF8615">
        <v>3.3025557786647401</v>
      </c>
      <c r="AG8615">
        <v>-1.10980298792</v>
      </c>
      <c r="AH8615">
        <v>12.660483760275699</v>
      </c>
      <c r="AI8615">
        <v>94.848250543128898</v>
      </c>
      <c r="AJ8615">
        <v>75.379884962461105</v>
      </c>
      <c r="AK8615">
        <v>13.131122815182</v>
      </c>
      <c r="AL8615">
        <v>85.586532192771998</v>
      </c>
      <c r="AM8615">
        <v>84.092733600147</v>
      </c>
      <c r="AN8615">
        <v>0.99999998945539004</v>
      </c>
    </row>
    <row r="8616" spans="1:40" x14ac:dyDescent="0.25">
      <c r="A8616" t="str">
        <f>"20190312150856796"</f>
        <v>20190312150856796</v>
      </c>
      <c r="B8616" t="str">
        <f>"1552374536788242"</f>
        <v>1552374536788242</v>
      </c>
      <c r="C8616" t="s">
        <v>40</v>
      </c>
      <c r="D8616">
        <v>4.8820209999999999</v>
      </c>
      <c r="E8616">
        <v>0.55796840000000003</v>
      </c>
      <c r="F8616" t="s">
        <v>42</v>
      </c>
      <c r="G8616">
        <v>-348.51979999999998</v>
      </c>
      <c r="H8616" s="1">
        <v>-2.0414000000000001E-6</v>
      </c>
      <c r="I8616">
        <v>13.78472</v>
      </c>
      <c r="J8616">
        <v>-361.2679</v>
      </c>
      <c r="K8616">
        <v>1.109774</v>
      </c>
      <c r="L8616">
        <v>17.168429999999901</v>
      </c>
      <c r="M8616">
        <v>0.99990950000000001</v>
      </c>
      <c r="N8616">
        <v>0</v>
      </c>
      <c r="O8616">
        <v>-4.7195650000000002E-3</v>
      </c>
      <c r="P8616">
        <v>0.99208879999999999</v>
      </c>
      <c r="Q8616">
        <v>6.479232E-2</v>
      </c>
      <c r="R8616">
        <v>-0.1075272</v>
      </c>
      <c r="S8616">
        <v>2.9568479999999999</v>
      </c>
      <c r="T8616">
        <v>-0.25464399999999998</v>
      </c>
      <c r="U8616">
        <v>-0.77658079999999996</v>
      </c>
      <c r="V8616">
        <v>0.1029607</v>
      </c>
      <c r="W8616">
        <v>7.7136899999999994E-2</v>
      </c>
      <c r="X8616">
        <v>0.99168999999999996</v>
      </c>
      <c r="Y8616">
        <v>0.24861069999999999</v>
      </c>
      <c r="Z8616">
        <v>-1.010925E-2</v>
      </c>
      <c r="AA8616">
        <v>0.96855069999999999</v>
      </c>
      <c r="AB8616">
        <v>27</v>
      </c>
      <c r="AC8616">
        <v>12.748100000000001</v>
      </c>
      <c r="AD8616">
        <v>-1.1097760414</v>
      </c>
      <c r="AE8616">
        <v>-3.38370999999999</v>
      </c>
      <c r="AF8616">
        <v>3.3001381889565802</v>
      </c>
      <c r="AG8616">
        <v>-1.1097760414</v>
      </c>
      <c r="AH8616">
        <v>12.6741998730297</v>
      </c>
      <c r="AI8616">
        <v>94.843468126646798</v>
      </c>
      <c r="AJ8616">
        <v>75.405264794046502</v>
      </c>
      <c r="AK8616">
        <v>13.1437383323688</v>
      </c>
      <c r="AL8616">
        <v>85.575986684968598</v>
      </c>
      <c r="AM8616">
        <v>84.072590105570896</v>
      </c>
      <c r="AN8616">
        <v>1.00000003159304</v>
      </c>
    </row>
    <row r="8617" spans="1:40" x14ac:dyDescent="0.25">
      <c r="A8617" t="str">
        <f>"20190312150856806"</f>
        <v>20190312150856806</v>
      </c>
      <c r="B8617" t="str">
        <f>"1552374536798002"</f>
        <v>1552374536798002</v>
      </c>
      <c r="C8617" t="s">
        <v>40</v>
      </c>
      <c r="D8617">
        <v>4.8576949999999997</v>
      </c>
      <c r="E8617">
        <v>0.557778</v>
      </c>
      <c r="F8617" t="s">
        <v>42</v>
      </c>
      <c r="G8617">
        <v>-348.23419999999999</v>
      </c>
      <c r="H8617" s="1">
        <v>-2.1540769999999998E-6</v>
      </c>
      <c r="I8617">
        <v>13.72655</v>
      </c>
      <c r="J8617">
        <v>-361.14069999999998</v>
      </c>
      <c r="K8617">
        <v>1.1097459999999999</v>
      </c>
      <c r="L8617">
        <v>17.167570000000001</v>
      </c>
      <c r="M8617">
        <v>0.9999072</v>
      </c>
      <c r="N8617">
        <v>0</v>
      </c>
      <c r="O8617">
        <v>-5.5081289999999996E-3</v>
      </c>
      <c r="P8617">
        <v>0.99195469999999997</v>
      </c>
      <c r="Q8617">
        <v>6.4984459999999994E-2</v>
      </c>
      <c r="R8617">
        <v>-0.1086428</v>
      </c>
      <c r="S8617">
        <v>2.9557500000000001</v>
      </c>
      <c r="T8617">
        <v>-0.25167119999999998</v>
      </c>
      <c r="U8617">
        <v>-0.78051759999999903</v>
      </c>
      <c r="V8617">
        <v>0.10329190000000001</v>
      </c>
      <c r="W8617">
        <v>7.7196310000000004E-2</v>
      </c>
      <c r="X8617">
        <v>0.9916509</v>
      </c>
      <c r="Y8617">
        <v>0.24916199999999999</v>
      </c>
      <c r="Z8617">
        <v>-9.9507090000000003E-3</v>
      </c>
      <c r="AA8617">
        <v>0.96841069999999996</v>
      </c>
      <c r="AB8617">
        <v>27</v>
      </c>
      <c r="AC8617">
        <v>12.9064999999999</v>
      </c>
      <c r="AD8617">
        <v>-1.109748154077</v>
      </c>
      <c r="AE8617">
        <v>-3.44102</v>
      </c>
      <c r="AF8617">
        <v>3.3467703692082602</v>
      </c>
      <c r="AG8617">
        <v>-1.109748154077</v>
      </c>
      <c r="AH8617">
        <v>12.8366536395148</v>
      </c>
      <c r="AI8617">
        <v>94.781946369082604</v>
      </c>
      <c r="AJ8617">
        <v>75.387157965399695</v>
      </c>
      <c r="AK8617">
        <v>13.312103121992299</v>
      </c>
      <c r="AL8617">
        <v>85.572572409947895</v>
      </c>
      <c r="AM8617">
        <v>84.053426665647606</v>
      </c>
      <c r="AN8617">
        <v>0.99999999717701804</v>
      </c>
    </row>
    <row r="8618" spans="1:40" x14ac:dyDescent="0.25">
      <c r="A8618" t="str">
        <f>"20190312150856816"</f>
        <v>20190312150856816</v>
      </c>
      <c r="B8618" t="str">
        <f>"1552374536808739"</f>
        <v>1552374536808739</v>
      </c>
      <c r="C8618" t="s">
        <v>40</v>
      </c>
      <c r="D8618">
        <v>4.8742489999999998</v>
      </c>
      <c r="E8618">
        <v>0.557759</v>
      </c>
      <c r="F8618" t="s">
        <v>42</v>
      </c>
      <c r="G8618">
        <v>-348.07209999999998</v>
      </c>
      <c r="H8618" s="1">
        <v>-2.2142509999999998E-6</v>
      </c>
      <c r="I8618">
        <v>13.70772</v>
      </c>
      <c r="J8618">
        <v>-361.00920000000002</v>
      </c>
      <c r="K8618">
        <v>1.1096710000000001</v>
      </c>
      <c r="L8618">
        <v>17.166529999999899</v>
      </c>
      <c r="M8618">
        <v>0.9999034</v>
      </c>
      <c r="N8618">
        <v>0</v>
      </c>
      <c r="O8618">
        <v>-6.0079679999999998E-3</v>
      </c>
      <c r="P8618">
        <v>0.99182049999999999</v>
      </c>
      <c r="Q8618">
        <v>6.5340490000000001E-2</v>
      </c>
      <c r="R8618">
        <v>-0.1096497</v>
      </c>
      <c r="S8618">
        <v>2.9550779999999999</v>
      </c>
      <c r="T8618">
        <v>-0.25093500000000002</v>
      </c>
      <c r="U8618">
        <v>-0.78231809999999902</v>
      </c>
      <c r="V8618">
        <v>0.1038178</v>
      </c>
      <c r="W8618">
        <v>7.7611340000000001E-2</v>
      </c>
      <c r="X8618">
        <v>0.99156359999999999</v>
      </c>
      <c r="Y8618">
        <v>0.2492896</v>
      </c>
      <c r="Z8618">
        <v>-9.8867920000000001E-3</v>
      </c>
      <c r="AA8618">
        <v>0.96837850000000003</v>
      </c>
      <c r="AB8618">
        <v>27</v>
      </c>
      <c r="AC8618">
        <v>12.937099999999999</v>
      </c>
      <c r="AD8618">
        <v>-1.109673214251</v>
      </c>
      <c r="AE8618">
        <v>-3.4588099999999899</v>
      </c>
      <c r="AF8618">
        <v>3.3579585047474301</v>
      </c>
      <c r="AG8618">
        <v>-1.109673214251</v>
      </c>
      <c r="AH8618">
        <v>12.869282175286701</v>
      </c>
      <c r="AI8618">
        <v>94.769316157739297</v>
      </c>
      <c r="AJ8618">
        <v>75.375981124916606</v>
      </c>
      <c r="AK8618">
        <v>13.346373427608899</v>
      </c>
      <c r="AL8618">
        <v>85.548721461283094</v>
      </c>
      <c r="AM8618">
        <v>84.0228465121601</v>
      </c>
      <c r="AN8618">
        <v>1.0000000142691901</v>
      </c>
    </row>
    <row r="8619" spans="1:40" x14ac:dyDescent="0.25">
      <c r="A8619" t="str">
        <f>"20190312150856830"</f>
        <v>20190312150856830</v>
      </c>
      <c r="B8619" t="str">
        <f>"1552374536818498"</f>
        <v>1552374536818498</v>
      </c>
      <c r="C8619" t="s">
        <v>40</v>
      </c>
      <c r="D8619">
        <v>4.8789239999999996</v>
      </c>
      <c r="E8619">
        <v>0.55770280000000005</v>
      </c>
      <c r="F8619" t="s">
        <v>42</v>
      </c>
      <c r="G8619">
        <v>-347.74939999999998</v>
      </c>
      <c r="H8619" s="1">
        <v>-2.3417310000000002E-6</v>
      </c>
      <c r="I8619">
        <v>13.641310000000001</v>
      </c>
      <c r="J8619">
        <v>-360.85980000000001</v>
      </c>
      <c r="K8619">
        <v>1.109578</v>
      </c>
      <c r="L8619">
        <v>17.165310000000002</v>
      </c>
      <c r="M8619">
        <v>0.99989910000000004</v>
      </c>
      <c r="N8619">
        <v>0</v>
      </c>
      <c r="O8619">
        <v>-6.4053579999999999E-3</v>
      </c>
      <c r="P8619">
        <v>0.99173929999999999</v>
      </c>
      <c r="Q8619">
        <v>6.5016210000000005E-2</v>
      </c>
      <c r="R8619">
        <v>-0.1105733</v>
      </c>
      <c r="S8619">
        <v>2.9541629999999999</v>
      </c>
      <c r="T8619">
        <v>-0.24722540000000001</v>
      </c>
      <c r="U8619">
        <v>-0.78536989999999995</v>
      </c>
      <c r="V8619">
        <v>0.1043665</v>
      </c>
      <c r="W8619">
        <v>7.7403139999999995E-2</v>
      </c>
      <c r="X8619">
        <v>0.99152229999999997</v>
      </c>
      <c r="Y8619">
        <v>0.24993650000000001</v>
      </c>
      <c r="Z8619">
        <v>-9.7367080000000002E-3</v>
      </c>
      <c r="AA8619">
        <v>0.96821330000000005</v>
      </c>
      <c r="AB8619">
        <v>27</v>
      </c>
      <c r="AC8619">
        <v>13.1104</v>
      </c>
      <c r="AD8619">
        <v>-1.109580341731</v>
      </c>
      <c r="AE8619">
        <v>-3.524</v>
      </c>
      <c r="AF8619">
        <v>3.4171171149195501</v>
      </c>
      <c r="AG8619">
        <v>-1.109580341731</v>
      </c>
      <c r="AH8619">
        <v>13.045558367662499</v>
      </c>
      <c r="AI8619">
        <v>94.703614442168302</v>
      </c>
      <c r="AJ8619">
        <v>75.321867269767097</v>
      </c>
      <c r="AK8619">
        <v>13.531239818875401</v>
      </c>
      <c r="AL8619">
        <v>85.560686558504401</v>
      </c>
      <c r="AM8619">
        <v>83.991237993128394</v>
      </c>
      <c r="AN8619">
        <v>1.00000004190069</v>
      </c>
    </row>
    <row r="8620" spans="1:40" x14ac:dyDescent="0.25">
      <c r="A8620" t="str">
        <f>"20190312150856841"</f>
        <v>20190312150856841</v>
      </c>
      <c r="B8620" t="str">
        <f>"1552374536838019"</f>
        <v>1552374536838019</v>
      </c>
      <c r="C8620" t="s">
        <v>40</v>
      </c>
      <c r="D8620">
        <v>4.8378610000000002</v>
      </c>
      <c r="E8620">
        <v>0.55793599999999999</v>
      </c>
      <c r="F8620" t="s">
        <v>42</v>
      </c>
      <c r="G8620">
        <v>-347.80869999999999</v>
      </c>
      <c r="H8620" s="1">
        <v>-2.3101539999999999E-6</v>
      </c>
      <c r="I8620">
        <v>13.68413</v>
      </c>
      <c r="J8620">
        <v>-360.70920000000001</v>
      </c>
      <c r="K8620">
        <v>1.1094649999999999</v>
      </c>
      <c r="L8620">
        <v>17.163910000000001</v>
      </c>
      <c r="M8620">
        <v>0.99989519999999998</v>
      </c>
      <c r="N8620">
        <v>0</v>
      </c>
      <c r="O8620">
        <v>-6.5480769999999898E-3</v>
      </c>
      <c r="P8620">
        <v>0.99166609999999999</v>
      </c>
      <c r="Q8620">
        <v>6.5156149999999996E-2</v>
      </c>
      <c r="R8620">
        <v>-0.11114449999999999</v>
      </c>
      <c r="S8620">
        <v>2.9536129999999998</v>
      </c>
      <c r="T8620">
        <v>-0.25111030000000001</v>
      </c>
      <c r="U8620">
        <v>-0.78781129999999999</v>
      </c>
      <c r="V8620">
        <v>0.104822</v>
      </c>
      <c r="W8620">
        <v>7.7735429999999994E-2</v>
      </c>
      <c r="X8620">
        <v>0.9914482</v>
      </c>
      <c r="Y8620">
        <v>0.25056349999999999</v>
      </c>
      <c r="Z8620">
        <v>-9.9041809999999997E-3</v>
      </c>
      <c r="AA8620">
        <v>0.96804950000000001</v>
      </c>
      <c r="AB8620">
        <v>27</v>
      </c>
      <c r="AC8620">
        <v>12.900499999999999</v>
      </c>
      <c r="AD8620">
        <v>-1.109467310154</v>
      </c>
      <c r="AE8620">
        <v>-3.4797799999999999</v>
      </c>
      <c r="AF8620">
        <v>3.3719762106485698</v>
      </c>
      <c r="AG8620">
        <v>-1.109467310154</v>
      </c>
      <c r="AH8620">
        <v>12.8345213534108</v>
      </c>
      <c r="AI8620">
        <v>94.779192969660002</v>
      </c>
      <c r="AJ8620">
        <v>75.279525230304102</v>
      </c>
      <c r="AK8620">
        <v>13.316383880342199</v>
      </c>
      <c r="AL8620">
        <v>85.541589979347904</v>
      </c>
      <c r="AM8620">
        <v>83.9647585910825</v>
      </c>
      <c r="AN8620">
        <v>0.999999991022262</v>
      </c>
    </row>
    <row r="8621" spans="1:40" x14ac:dyDescent="0.25">
      <c r="A8621" t="str">
        <f>"20190312150856854"</f>
        <v>20190312150856854</v>
      </c>
      <c r="B8621" t="str">
        <f>"1552374536848754"</f>
        <v>1552374536848754</v>
      </c>
      <c r="C8621" t="s">
        <v>40</v>
      </c>
      <c r="D8621">
        <v>4.8502580000000002</v>
      </c>
      <c r="E8621">
        <v>0.55796579999999996</v>
      </c>
      <c r="F8621" t="s">
        <v>42</v>
      </c>
      <c r="G8621">
        <v>-347.66449999999998</v>
      </c>
      <c r="H8621" s="1">
        <v>-2.3637720000000002E-6</v>
      </c>
      <c r="I8621">
        <v>13.667009999999999</v>
      </c>
      <c r="J8621">
        <v>-360.56220000000002</v>
      </c>
      <c r="K8621">
        <v>1.1093900000000001</v>
      </c>
      <c r="L8621">
        <v>17.162410000000001</v>
      </c>
      <c r="M8621">
        <v>0.99989240000000001</v>
      </c>
      <c r="N8621">
        <v>0</v>
      </c>
      <c r="O8621">
        <v>-6.6123019999999996E-3</v>
      </c>
      <c r="P8621">
        <v>0.99161659999999996</v>
      </c>
      <c r="Q8621">
        <v>6.5103770000000005E-2</v>
      </c>
      <c r="R8621">
        <v>-0.1116143</v>
      </c>
      <c r="S8621">
        <v>2.9530029999999998</v>
      </c>
      <c r="T8621">
        <v>-0.25115730000000003</v>
      </c>
      <c r="U8621">
        <v>-0.79159550000000001</v>
      </c>
      <c r="V8621">
        <v>0.1052439</v>
      </c>
      <c r="W8621">
        <v>7.783574E-2</v>
      </c>
      <c r="X8621">
        <v>0.99139569999999999</v>
      </c>
      <c r="Y8621">
        <v>0.25170479999999901</v>
      </c>
      <c r="Z8621">
        <v>-9.9486550000000007E-3</v>
      </c>
      <c r="AA8621">
        <v>0.96775290000000003</v>
      </c>
      <c r="AB8621">
        <v>27</v>
      </c>
      <c r="AC8621">
        <v>12.8977</v>
      </c>
      <c r="AD8621">
        <v>-1.10939236377199</v>
      </c>
      <c r="AE8621">
        <v>-3.4954000000000001</v>
      </c>
      <c r="AF8621">
        <v>3.3866906116441</v>
      </c>
      <c r="AG8621">
        <v>-1.10939236377199</v>
      </c>
      <c r="AH8621">
        <v>12.8320897228819</v>
      </c>
      <c r="AI8621">
        <v>94.778371459519306</v>
      </c>
      <c r="AJ8621">
        <v>75.215417588160605</v>
      </c>
      <c r="AK8621">
        <v>13.3177682579284</v>
      </c>
      <c r="AL8621">
        <v>85.535825470046106</v>
      </c>
      <c r="AM8621">
        <v>83.940329104981302</v>
      </c>
      <c r="AN8621">
        <v>1.0000000574435199</v>
      </c>
    </row>
    <row r="8622" spans="1:40" x14ac:dyDescent="0.25">
      <c r="A8622" t="str">
        <f>"20190312150856868"</f>
        <v>20190312150856868</v>
      </c>
      <c r="B8622" t="str">
        <f>"1552374536858515"</f>
        <v>1552374536858515</v>
      </c>
      <c r="C8622" t="s">
        <v>40</v>
      </c>
      <c r="D8622">
        <v>4.8552179999999998</v>
      </c>
      <c r="E8622">
        <v>0.55798199999999998</v>
      </c>
      <c r="F8622" t="s">
        <v>42</v>
      </c>
      <c r="G8622">
        <v>-347.47649999999999</v>
      </c>
      <c r="H8622" s="1">
        <v>-2.43345E-6</v>
      </c>
      <c r="I8622">
        <v>13.64559</v>
      </c>
      <c r="J8622">
        <v>-360.39839999999998</v>
      </c>
      <c r="K8622">
        <v>1.1093309999999901</v>
      </c>
      <c r="L8622">
        <v>17.160710000000002</v>
      </c>
      <c r="M8622">
        <v>0.99988969999999999</v>
      </c>
      <c r="N8622">
        <v>0</v>
      </c>
      <c r="O8622">
        <v>-6.7113590000000001E-3</v>
      </c>
      <c r="P8622">
        <v>0.9915351</v>
      </c>
      <c r="Q8622">
        <v>6.5139909999999995E-2</v>
      </c>
      <c r="R8622">
        <v>-0.112317</v>
      </c>
      <c r="S8622">
        <v>2.952423</v>
      </c>
      <c r="T8622">
        <v>-0.25030429999999998</v>
      </c>
      <c r="U8622">
        <v>-0.79345699999999997</v>
      </c>
      <c r="V8622">
        <v>0.10585849999999999</v>
      </c>
      <c r="W8622">
        <v>7.8008289999999994E-2</v>
      </c>
      <c r="X8622">
        <v>0.99131659999999999</v>
      </c>
      <c r="Y8622">
        <v>0.2522295</v>
      </c>
      <c r="Z8622">
        <v>-9.9296469999999998E-3</v>
      </c>
      <c r="AA8622">
        <v>0.96761649999999999</v>
      </c>
      <c r="AB8622">
        <v>27</v>
      </c>
      <c r="AC8622">
        <v>12.9218999999999</v>
      </c>
      <c r="AD8622">
        <v>-1.10933343344999</v>
      </c>
      <c r="AE8622">
        <v>-3.51512</v>
      </c>
      <c r="AF8622">
        <v>3.4049440707163501</v>
      </c>
      <c r="AG8622">
        <v>-1.10933343344999</v>
      </c>
      <c r="AH8622">
        <v>12.8569742734998</v>
      </c>
      <c r="AI8622">
        <v>94.767847472872404</v>
      </c>
      <c r="AJ8622">
        <v>75.166742995141405</v>
      </c>
      <c r="AK8622">
        <v>13.346387236279</v>
      </c>
      <c r="AL8622">
        <v>85.525908488085904</v>
      </c>
      <c r="AM8622">
        <v>83.904724950390701</v>
      </c>
      <c r="AN8622">
        <v>0.99999995838326605</v>
      </c>
    </row>
    <row r="8623" spans="1:40" x14ac:dyDescent="0.25">
      <c r="A8623" t="str">
        <f>"20190312150856883"</f>
        <v>20190312150856883</v>
      </c>
      <c r="B8623" t="str">
        <f>"1552374536878036"</f>
        <v>1552374536878036</v>
      </c>
      <c r="C8623" t="s">
        <v>40</v>
      </c>
      <c r="D8623">
        <v>4.7667630000000001</v>
      </c>
      <c r="E8623">
        <v>0.55789219999999995</v>
      </c>
      <c r="F8623" t="s">
        <v>42</v>
      </c>
      <c r="G8623">
        <v>-347.334</v>
      </c>
      <c r="H8623" s="1">
        <v>-2.4838260000000001E-6</v>
      </c>
      <c r="I8623">
        <v>13.63856</v>
      </c>
      <c r="J8623">
        <v>-360.20010000000002</v>
      </c>
      <c r="K8623">
        <v>1.1093299999999999</v>
      </c>
      <c r="L8623">
        <v>17.15851</v>
      </c>
      <c r="M8623">
        <v>0.99988659999999996</v>
      </c>
      <c r="N8623">
        <v>0</v>
      </c>
      <c r="O8623">
        <v>-7.0557980000000003E-3</v>
      </c>
      <c r="P8623">
        <v>0.99135989999999996</v>
      </c>
      <c r="Q8623">
        <v>6.5570550000000005E-2</v>
      </c>
      <c r="R8623">
        <v>-0.113608</v>
      </c>
      <c r="S8623">
        <v>2.9519039999999999</v>
      </c>
      <c r="T8623">
        <v>-0.25065290000000001</v>
      </c>
      <c r="U8623">
        <v>-0.79580689999999998</v>
      </c>
      <c r="V8623">
        <v>0.1068021</v>
      </c>
      <c r="W8623">
        <v>7.8507919999999995E-2</v>
      </c>
      <c r="X8623">
        <v>0.99117599999999995</v>
      </c>
      <c r="Y8623">
        <v>0.2526545</v>
      </c>
      <c r="Z8623">
        <v>-9.9331260000000005E-3</v>
      </c>
      <c r="AA8623">
        <v>0.96750559999999997</v>
      </c>
      <c r="AB8623">
        <v>27</v>
      </c>
      <c r="AC8623">
        <v>12.866099999999999</v>
      </c>
      <c r="AD8623">
        <v>-1.1093324838259999</v>
      </c>
      <c r="AE8623">
        <v>-3.5199500000000001</v>
      </c>
      <c r="AF8623">
        <v>3.4055196528004101</v>
      </c>
      <c r="AG8623">
        <v>-1.1093324838259999</v>
      </c>
      <c r="AH8623">
        <v>12.802073153560301</v>
      </c>
      <c r="AI8623">
        <v>94.786800178420407</v>
      </c>
      <c r="AJ8623">
        <v>75.103547001859198</v>
      </c>
      <c r="AK8623">
        <v>13.2936548659272</v>
      </c>
      <c r="AL8623">
        <v>85.497194021285694</v>
      </c>
      <c r="AM8623">
        <v>83.849941818441494</v>
      </c>
      <c r="AN8623">
        <v>1.00000002252156</v>
      </c>
    </row>
    <row r="8624" spans="1:40" x14ac:dyDescent="0.25">
      <c r="A8624" t="str">
        <f>"20190312150856895"</f>
        <v>20190312150856895</v>
      </c>
      <c r="B8624" t="str">
        <f>"1552374536888770"</f>
        <v>1552374536888770</v>
      </c>
      <c r="C8624" t="s">
        <v>40</v>
      </c>
      <c r="D8624">
        <v>4.8273239999999999</v>
      </c>
      <c r="E8624">
        <v>0.55783079999999996</v>
      </c>
      <c r="F8624" t="s">
        <v>42</v>
      </c>
      <c r="G8624">
        <v>-347.07279999999997</v>
      </c>
      <c r="H8624" s="1">
        <v>-2.582343E-6</v>
      </c>
      <c r="I8624">
        <v>13.60234</v>
      </c>
      <c r="J8624">
        <v>-360.05410000000001</v>
      </c>
      <c r="K8624">
        <v>1.1093729999999999</v>
      </c>
      <c r="L8624">
        <v>17.156860000000002</v>
      </c>
      <c r="M8624">
        <v>0.99988299999999997</v>
      </c>
      <c r="N8624">
        <v>0</v>
      </c>
      <c r="O8624">
        <v>-7.5453439999999998E-3</v>
      </c>
      <c r="P8624">
        <v>0.99124270000000003</v>
      </c>
      <c r="Q8624">
        <v>6.5737470000000006E-2</v>
      </c>
      <c r="R8624">
        <v>-0.1145273</v>
      </c>
      <c r="S8624">
        <v>2.9510190000000001</v>
      </c>
      <c r="T8624">
        <v>-0.2493785</v>
      </c>
      <c r="U8624">
        <v>-0.79940800000000001</v>
      </c>
      <c r="V8624">
        <v>0.107222</v>
      </c>
      <c r="W8624">
        <v>7.868522E-2</v>
      </c>
      <c r="X8624">
        <v>0.99111660000000001</v>
      </c>
      <c r="Y8624">
        <v>0.25336150000000002</v>
      </c>
      <c r="Z8624">
        <v>-9.8728459999999994E-3</v>
      </c>
      <c r="AA8624">
        <v>0.96732130000000005</v>
      </c>
      <c r="AB8624">
        <v>27</v>
      </c>
      <c r="AC8624">
        <v>12.981299999999999</v>
      </c>
      <c r="AD8624">
        <v>-1.109375582343</v>
      </c>
      <c r="AE8624">
        <v>-3.5545200000000001</v>
      </c>
      <c r="AF8624">
        <v>3.4331372158788001</v>
      </c>
      <c r="AG8624">
        <v>-1.109375582343</v>
      </c>
      <c r="AH8624">
        <v>12.919975290258201</v>
      </c>
      <c r="AI8624">
        <v>94.743841529564804</v>
      </c>
      <c r="AJ8624">
        <v>75.119062343508602</v>
      </c>
      <c r="AK8624">
        <v>13.4142799593058</v>
      </c>
      <c r="AL8624">
        <v>85.487003936263093</v>
      </c>
      <c r="AM8624">
        <v>83.825581642827103</v>
      </c>
      <c r="AN8624">
        <v>1.000000017963</v>
      </c>
    </row>
    <row r="8625" spans="1:40" x14ac:dyDescent="0.25">
      <c r="A8625" t="str">
        <f>"20190312150856907"</f>
        <v>20190312150856907</v>
      </c>
      <c r="B8625" t="str">
        <f>"1552374536898530"</f>
        <v>1552374536898530</v>
      </c>
      <c r="C8625" t="s">
        <v>40</v>
      </c>
      <c r="D8625">
        <v>4.8451089999999999</v>
      </c>
      <c r="E8625">
        <v>0.55783090000000002</v>
      </c>
      <c r="F8625" t="s">
        <v>42</v>
      </c>
      <c r="G8625">
        <v>-346.88130000000001</v>
      </c>
      <c r="H8625" s="1">
        <v>-2.6541550000000002E-6</v>
      </c>
      <c r="I8625">
        <v>13.577439999999999</v>
      </c>
      <c r="J8625">
        <v>-359.91550000000001</v>
      </c>
      <c r="K8625">
        <v>1.109418</v>
      </c>
      <c r="L8625">
        <v>17.1553</v>
      </c>
      <c r="M8625">
        <v>0.99987939999999997</v>
      </c>
      <c r="N8625">
        <v>0</v>
      </c>
      <c r="O8625">
        <v>-8.0527150000000002E-3</v>
      </c>
      <c r="P8625">
        <v>0.99109849999999999</v>
      </c>
      <c r="Q8625">
        <v>6.5805630000000004E-2</v>
      </c>
      <c r="R8625">
        <v>-0.1157305</v>
      </c>
      <c r="S8625">
        <v>2.950348</v>
      </c>
      <c r="T8625">
        <v>-0.2484681</v>
      </c>
      <c r="U8625">
        <v>-0.80166630000000005</v>
      </c>
      <c r="V8625">
        <v>0.1079085</v>
      </c>
      <c r="W8625">
        <v>7.8757480000000005E-2</v>
      </c>
      <c r="X8625">
        <v>0.99103640000000004</v>
      </c>
      <c r="Y8625">
        <v>0.25362249999999997</v>
      </c>
      <c r="Z8625">
        <v>-9.807016E-3</v>
      </c>
      <c r="AA8625">
        <v>0.96725360000000005</v>
      </c>
      <c r="AB8625">
        <v>27</v>
      </c>
      <c r="AC8625">
        <v>13.034199999999901</v>
      </c>
      <c r="AD8625">
        <v>-1.109420654155</v>
      </c>
      <c r="AE8625">
        <v>-3.5778599999999998</v>
      </c>
      <c r="AF8625">
        <v>3.44953409461997</v>
      </c>
      <c r="AG8625">
        <v>-1.109420654155</v>
      </c>
      <c r="AH8625">
        <v>12.975176022226499</v>
      </c>
      <c r="AI8625">
        <v>94.723786674286799</v>
      </c>
      <c r="AJ8625">
        <v>75.111932175513203</v>
      </c>
      <c r="AK8625">
        <v>13.4716477264503</v>
      </c>
      <c r="AL8625">
        <v>85.482851070406696</v>
      </c>
      <c r="AM8625">
        <v>83.785858642399702</v>
      </c>
      <c r="AN8625">
        <v>1.00000006557657</v>
      </c>
    </row>
    <row r="8626" spans="1:40" x14ac:dyDescent="0.25">
      <c r="A8626" t="str">
        <f>"20190312150856917"</f>
        <v>20190312150856917</v>
      </c>
      <c r="B8626" t="str">
        <f>"1552374536908290"</f>
        <v>1552374536908290</v>
      </c>
      <c r="C8626" t="s">
        <v>40</v>
      </c>
      <c r="D8626">
        <v>4.8164790000000002</v>
      </c>
      <c r="E8626">
        <v>0.5578746</v>
      </c>
      <c r="F8626" t="s">
        <v>42</v>
      </c>
      <c r="G8626">
        <v>-346.73599999999999</v>
      </c>
      <c r="H8626" s="1">
        <v>-2.7092269999999999E-6</v>
      </c>
      <c r="I8626">
        <v>13.556240000000001</v>
      </c>
      <c r="J8626">
        <v>-359.79050000000001</v>
      </c>
      <c r="K8626">
        <v>1.109456</v>
      </c>
      <c r="L8626">
        <v>17.153870000000001</v>
      </c>
      <c r="M8626">
        <v>0.99987510000000002</v>
      </c>
      <c r="N8626">
        <v>0</v>
      </c>
      <c r="O8626">
        <v>-8.5882790000000007E-3</v>
      </c>
      <c r="P8626">
        <v>0.99099760000000003</v>
      </c>
      <c r="Q8626">
        <v>6.6016770000000002E-2</v>
      </c>
      <c r="R8626">
        <v>-0.11647250000000001</v>
      </c>
      <c r="S8626">
        <v>2.949341</v>
      </c>
      <c r="T8626">
        <v>-0.2482692</v>
      </c>
      <c r="U8626">
        <v>-0.80538940000000003</v>
      </c>
      <c r="V8626">
        <v>0.10810930000000001</v>
      </c>
      <c r="W8626">
        <v>7.8967109999999993E-2</v>
      </c>
      <c r="X8626">
        <v>0.99099780000000004</v>
      </c>
      <c r="Y8626">
        <v>0.25432529999999998</v>
      </c>
      <c r="Z8626">
        <v>-9.7856409999999994E-3</v>
      </c>
      <c r="AA8626">
        <v>0.96706919999999996</v>
      </c>
      <c r="AB8626">
        <v>27</v>
      </c>
      <c r="AC8626">
        <v>13.054500000000001</v>
      </c>
      <c r="AD8626">
        <v>-1.1094587092270001</v>
      </c>
      <c r="AE8626">
        <v>-3.5976300000000001</v>
      </c>
      <c r="AF8626">
        <v>3.46213076867088</v>
      </c>
      <c r="AG8626">
        <v>-1.1094587092270001</v>
      </c>
      <c r="AH8626">
        <v>12.9976664774839</v>
      </c>
      <c r="AI8626">
        <v>94.715216874782897</v>
      </c>
      <c r="AJ8626">
        <v>75.084690558148793</v>
      </c>
      <c r="AK8626">
        <v>13.496539628614601</v>
      </c>
      <c r="AL8626">
        <v>85.470802481741103</v>
      </c>
      <c r="AM8626">
        <v>83.774145276189699</v>
      </c>
      <c r="AN8626">
        <v>1.0000000324065399</v>
      </c>
    </row>
    <row r="8627" spans="1:40" x14ac:dyDescent="0.25">
      <c r="A8627" t="str">
        <f>"20190312150856927"</f>
        <v>20190312150856927</v>
      </c>
      <c r="B8627" t="str">
        <f>"1552374536918051"</f>
        <v>1552374536918051</v>
      </c>
      <c r="C8627" t="s">
        <v>40</v>
      </c>
      <c r="D8627">
        <v>4.7978199999999998</v>
      </c>
      <c r="E8627">
        <v>0.55774749999999995</v>
      </c>
      <c r="F8627" t="s">
        <v>42</v>
      </c>
      <c r="G8627">
        <v>-346.58109999999999</v>
      </c>
      <c r="H8627" s="1">
        <v>-2.7676800000000001E-6</v>
      </c>
      <c r="I8627">
        <v>13.53473</v>
      </c>
      <c r="J8627">
        <v>-359.65809999999999</v>
      </c>
      <c r="K8627">
        <v>1.1094869999999999</v>
      </c>
      <c r="L8627">
        <v>17.15231</v>
      </c>
      <c r="M8627">
        <v>0.99987020000000004</v>
      </c>
      <c r="N8627">
        <v>0</v>
      </c>
      <c r="O8627">
        <v>-9.1513529999999992E-3</v>
      </c>
      <c r="P8627">
        <v>0.99086419999999997</v>
      </c>
      <c r="Q8627">
        <v>6.6061529999999993E-2</v>
      </c>
      <c r="R8627">
        <v>-0.11757529999999999</v>
      </c>
      <c r="S8627">
        <v>2.9487920000000001</v>
      </c>
      <c r="T8627">
        <v>-0.24766769999999999</v>
      </c>
      <c r="U8627">
        <v>-0.80789180000000005</v>
      </c>
      <c r="V8627">
        <v>0.1086454</v>
      </c>
      <c r="W8627">
        <v>7.9007040000000001E-2</v>
      </c>
      <c r="X8627">
        <v>0.99093600000000004</v>
      </c>
      <c r="Y8627">
        <v>0.25459490000000001</v>
      </c>
      <c r="Z8627">
        <v>-9.7274579999999996E-3</v>
      </c>
      <c r="AA8627">
        <v>0.96699889999999999</v>
      </c>
      <c r="AB8627">
        <v>27</v>
      </c>
      <c r="AC8627">
        <v>13.0769999999999</v>
      </c>
      <c r="AD8627">
        <v>-1.10948976768</v>
      </c>
      <c r="AE8627">
        <v>-3.6175799999999998</v>
      </c>
      <c r="AF8627">
        <v>3.4745130598809499</v>
      </c>
      <c r="AG8627">
        <v>-1.10948976768</v>
      </c>
      <c r="AH8627">
        <v>13.0224848852392</v>
      </c>
      <c r="AI8627">
        <v>94.705885311530395</v>
      </c>
      <c r="AJ8627">
        <v>75.0609821831451</v>
      </c>
      <c r="AK8627">
        <v>13.5236208588585</v>
      </c>
      <c r="AL8627">
        <v>85.468507551342995</v>
      </c>
      <c r="AM8627">
        <v>83.743129213799904</v>
      </c>
      <c r="AN8627">
        <v>1.00000004570335</v>
      </c>
    </row>
    <row r="8628" spans="1:40" x14ac:dyDescent="0.25">
      <c r="A8628" t="str">
        <f>"20190312150856938"</f>
        <v>20190312150856938</v>
      </c>
      <c r="B8628" t="str">
        <f>"1552374536928787"</f>
        <v>1552374536928787</v>
      </c>
      <c r="C8628" t="s">
        <v>40</v>
      </c>
      <c r="D8628">
        <v>4.8435730000000001</v>
      </c>
      <c r="E8628">
        <v>0.55776510000000001</v>
      </c>
      <c r="F8628" t="s">
        <v>42</v>
      </c>
      <c r="G8628">
        <v>-346.43790000000001</v>
      </c>
      <c r="H8628" s="1">
        <v>-2.8207829999999999E-6</v>
      </c>
      <c r="I8628">
        <v>13.5183</v>
      </c>
      <c r="J8628">
        <v>-359.52710000000002</v>
      </c>
      <c r="K8628">
        <v>1.109497</v>
      </c>
      <c r="L8628">
        <v>17.150729999999999</v>
      </c>
      <c r="M8628">
        <v>0.99986540000000002</v>
      </c>
      <c r="N8628">
        <v>0</v>
      </c>
      <c r="O8628">
        <v>-9.6997850000000007E-3</v>
      </c>
      <c r="P8628">
        <v>0.99077550000000003</v>
      </c>
      <c r="Q8628">
        <v>6.6189709999999999E-2</v>
      </c>
      <c r="R8628">
        <v>-0.11824900000000001</v>
      </c>
      <c r="S8628">
        <v>2.9479980000000001</v>
      </c>
      <c r="T8628">
        <v>-0.2474065</v>
      </c>
      <c r="U8628">
        <v>-0.81033330000000003</v>
      </c>
      <c r="V8628">
        <v>0.1087722</v>
      </c>
      <c r="W8628">
        <v>7.9127299999999998E-2</v>
      </c>
      <c r="X8628">
        <v>0.99091240000000003</v>
      </c>
      <c r="Y8628">
        <v>0.25487799999999999</v>
      </c>
      <c r="Z8628">
        <v>-9.6852680000000003E-3</v>
      </c>
      <c r="AA8628">
        <v>0.96692469999999997</v>
      </c>
      <c r="AB8628">
        <v>27</v>
      </c>
      <c r="AC8628">
        <v>13.0892</v>
      </c>
      <c r="AD8628">
        <v>-1.109499820783</v>
      </c>
      <c r="AE8628">
        <v>-3.6324299999999998</v>
      </c>
      <c r="AF8628">
        <v>3.4820558887345499</v>
      </c>
      <c r="AG8628">
        <v>-1.109499820783</v>
      </c>
      <c r="AH8628">
        <v>13.036848960131</v>
      </c>
      <c r="AI8628">
        <v>94.700434109671804</v>
      </c>
      <c r="AJ8628">
        <v>75.045760211487007</v>
      </c>
      <c r="AK8628">
        <v>13.539391931466399</v>
      </c>
      <c r="AL8628">
        <v>85.461595099074401</v>
      </c>
      <c r="AM8628">
        <v>83.735736837320005</v>
      </c>
      <c r="AN8628">
        <v>0.999999952785943</v>
      </c>
    </row>
    <row r="8629" spans="1:40" x14ac:dyDescent="0.25">
      <c r="A8629" t="str">
        <f>"20190312150856950"</f>
        <v>20190312150856950</v>
      </c>
      <c r="B8629" t="str">
        <f>"1552374536938547"</f>
        <v>1552374536938547</v>
      </c>
      <c r="C8629" t="s">
        <v>40</v>
      </c>
      <c r="D8629">
        <v>4.8682619999999996</v>
      </c>
      <c r="E8629">
        <v>0.55779330000000005</v>
      </c>
      <c r="F8629" t="s">
        <v>42</v>
      </c>
      <c r="G8629">
        <v>-346.29289999999997</v>
      </c>
      <c r="H8629" s="1">
        <v>-2.8745670000000001E-6</v>
      </c>
      <c r="I8629">
        <v>13.501519999999999</v>
      </c>
      <c r="J8629">
        <v>-359.39350000000002</v>
      </c>
      <c r="K8629">
        <v>1.109494</v>
      </c>
      <c r="L8629">
        <v>17.149049999999999</v>
      </c>
      <c r="M8629">
        <v>0.99986030000000004</v>
      </c>
      <c r="N8629">
        <v>0</v>
      </c>
      <c r="O8629">
        <v>-1.022289E-2</v>
      </c>
      <c r="P8629">
        <v>0.99068089999999998</v>
      </c>
      <c r="Q8629">
        <v>6.6481589999999993E-2</v>
      </c>
      <c r="R8629">
        <v>-0.11887780000000001</v>
      </c>
      <c r="S8629">
        <v>2.9474490000000002</v>
      </c>
      <c r="T8629">
        <v>-0.24710209999999999</v>
      </c>
      <c r="U8629">
        <v>-0.81271359999999904</v>
      </c>
      <c r="V8629">
        <v>0.1088821</v>
      </c>
      <c r="W8629">
        <v>7.940585E-2</v>
      </c>
      <c r="X8629">
        <v>0.99087809999999998</v>
      </c>
      <c r="Y8629">
        <v>0.25514690000000001</v>
      </c>
      <c r="Z8629">
        <v>-9.6422020000000008E-3</v>
      </c>
      <c r="AA8629">
        <v>0.9668542</v>
      </c>
      <c r="AB8629">
        <v>27</v>
      </c>
      <c r="AC8629">
        <v>13.1006</v>
      </c>
      <c r="AD8629">
        <v>-1.109496874567</v>
      </c>
      <c r="AE8629">
        <v>-3.6475299999999899</v>
      </c>
      <c r="AF8629">
        <v>3.4901694329977602</v>
      </c>
      <c r="AG8629">
        <v>-1.109496874567</v>
      </c>
      <c r="AH8629">
        <v>13.0503376132328</v>
      </c>
      <c r="AI8629">
        <v>94.695182096224201</v>
      </c>
      <c r="AJ8629">
        <v>75.027276399043203</v>
      </c>
      <c r="AK8629">
        <v>13.554467079345599</v>
      </c>
      <c r="AL8629">
        <v>85.445585220113102</v>
      </c>
      <c r="AM8629">
        <v>83.729242685554198</v>
      </c>
      <c r="AN8629">
        <v>1.00000000488712</v>
      </c>
    </row>
    <row r="8630" spans="1:40" x14ac:dyDescent="0.25">
      <c r="A8630" t="str">
        <f>"20190312150856960"</f>
        <v>20190312150856960</v>
      </c>
      <c r="B8630" t="str">
        <f>"1552374536958067"</f>
        <v>1552374536958067</v>
      </c>
      <c r="C8630" t="s">
        <v>40</v>
      </c>
      <c r="D8630">
        <v>5.0594479999999997</v>
      </c>
      <c r="E8630">
        <v>0.55806869999999997</v>
      </c>
      <c r="F8630" t="s">
        <v>42</v>
      </c>
      <c r="G8630">
        <v>-346.07510000000002</v>
      </c>
      <c r="H8630" s="1">
        <v>-2.9581070000000001E-6</v>
      </c>
      <c r="I8630">
        <v>13.46613</v>
      </c>
      <c r="J8630">
        <v>-359.25599999999997</v>
      </c>
      <c r="K8630">
        <v>1.10948</v>
      </c>
      <c r="L8630">
        <v>17.14725</v>
      </c>
      <c r="M8630">
        <v>0.99985520000000006</v>
      </c>
      <c r="N8630">
        <v>0</v>
      </c>
      <c r="O8630">
        <v>-1.0726599999999999E-2</v>
      </c>
      <c r="P8630">
        <v>0.99061679999999996</v>
      </c>
      <c r="Q8630">
        <v>6.6479899999999995E-2</v>
      </c>
      <c r="R8630">
        <v>-0.11941110000000001</v>
      </c>
      <c r="S8630">
        <v>2.9468990000000002</v>
      </c>
      <c r="T8630">
        <v>-0.2454925</v>
      </c>
      <c r="U8630">
        <v>-0.81488039999999995</v>
      </c>
      <c r="V8630">
        <v>0.1089184</v>
      </c>
      <c r="W8630">
        <v>7.9386849999999995E-2</v>
      </c>
      <c r="X8630">
        <v>0.99087559999999997</v>
      </c>
      <c r="Y8630">
        <v>0.25537769999999999</v>
      </c>
      <c r="Z8630">
        <v>-9.5487290000000006E-3</v>
      </c>
      <c r="AA8630">
        <v>0.96679420000000005</v>
      </c>
      <c r="AB8630">
        <v>27</v>
      </c>
      <c r="AC8630">
        <v>13.1808999999999</v>
      </c>
      <c r="AD8630">
        <v>-1.109482958107</v>
      </c>
      <c r="AE8630">
        <v>-3.6811199999999902</v>
      </c>
      <c r="AF8630">
        <v>3.5163978857992602</v>
      </c>
      <c r="AG8630">
        <v>-1.109482958107</v>
      </c>
      <c r="AH8630">
        <v>13.133311495654199</v>
      </c>
      <c r="AI8630">
        <v>94.665235279228597</v>
      </c>
      <c r="AJ8630">
        <v>75.010837241692698</v>
      </c>
      <c r="AK8630">
        <v>13.6411098290229</v>
      </c>
      <c r="AL8630">
        <v>85.446677138485498</v>
      </c>
      <c r="AM8630">
        <v>83.727153051969495</v>
      </c>
      <c r="AN8630">
        <v>0.99999997224341997</v>
      </c>
    </row>
    <row r="8631" spans="1:40" x14ac:dyDescent="0.25">
      <c r="A8631" t="str">
        <f>"20190312150856972"</f>
        <v>20190312150856972</v>
      </c>
      <c r="B8631" t="str">
        <f>"1552374536967826"</f>
        <v>1552374536967826</v>
      </c>
      <c r="C8631" t="s">
        <v>40</v>
      </c>
      <c r="D8631">
        <v>4.8331999999999997</v>
      </c>
      <c r="E8631">
        <v>0.55808480000000005</v>
      </c>
      <c r="F8631" t="s">
        <v>42</v>
      </c>
      <c r="G8631">
        <v>-345.9375</v>
      </c>
      <c r="H8631" s="1">
        <v>-3.0103970000000001E-6</v>
      </c>
      <c r="I8631">
        <v>13.445589999999999</v>
      </c>
      <c r="J8631">
        <v>-359.12189999999998</v>
      </c>
      <c r="K8631">
        <v>1.109461</v>
      </c>
      <c r="L8631">
        <v>17.145389999999999</v>
      </c>
      <c r="M8631">
        <v>0.99985060000000003</v>
      </c>
      <c r="N8631">
        <v>0</v>
      </c>
      <c r="O8631">
        <v>-1.117288E-2</v>
      </c>
      <c r="P8631">
        <v>0.99053480000000005</v>
      </c>
      <c r="Q8631">
        <v>6.6559850000000004E-2</v>
      </c>
      <c r="R8631">
        <v>-0.120046</v>
      </c>
      <c r="S8631">
        <v>2.946167</v>
      </c>
      <c r="T8631">
        <v>-0.2454269</v>
      </c>
      <c r="U8631">
        <v>-0.81881709999999996</v>
      </c>
      <c r="V8631">
        <v>0.109115</v>
      </c>
      <c r="W8631">
        <v>7.944387E-2</v>
      </c>
      <c r="X8631">
        <v>0.99084939999999999</v>
      </c>
      <c r="Y8631">
        <v>0.25620680000000001</v>
      </c>
      <c r="Z8631">
        <v>-9.5442400000000007E-3</v>
      </c>
      <c r="AA8631">
        <v>0.96657479999999996</v>
      </c>
      <c r="AB8631">
        <v>27</v>
      </c>
      <c r="AC8631">
        <v>13.184399999999901</v>
      </c>
      <c r="AD8631">
        <v>-1.1094640103969999</v>
      </c>
      <c r="AE8631">
        <v>-3.6998000000000002</v>
      </c>
      <c r="AF8631">
        <v>3.5290826646297502</v>
      </c>
      <c r="AG8631">
        <v>-1.1094640103969999</v>
      </c>
      <c r="AH8631">
        <v>13.138672223385599</v>
      </c>
      <c r="AI8631">
        <v>94.662266518928107</v>
      </c>
      <c r="AJ8631">
        <v>74.965071393240393</v>
      </c>
      <c r="AK8631">
        <v>13.649543678735901</v>
      </c>
      <c r="AL8631">
        <v>85.443399783480302</v>
      </c>
      <c r="AM8631">
        <v>83.715756100360906</v>
      </c>
      <c r="AN8631">
        <v>0.99999997259296802</v>
      </c>
    </row>
    <row r="8632" spans="1:40" x14ac:dyDescent="0.25">
      <c r="A8632" t="str">
        <f>"20190312150856984"</f>
        <v>20190312150856984</v>
      </c>
      <c r="B8632" t="str">
        <f>"1552374536978562"</f>
        <v>1552374536978562</v>
      </c>
      <c r="C8632" t="s">
        <v>40</v>
      </c>
      <c r="D8632">
        <v>4.8372419999999998</v>
      </c>
      <c r="E8632">
        <v>0.55814589999999997</v>
      </c>
      <c r="F8632" t="s">
        <v>42</v>
      </c>
      <c r="G8632">
        <v>-345.82350000000002</v>
      </c>
      <c r="H8632" s="1">
        <v>-3.0509849999999999E-6</v>
      </c>
      <c r="I8632">
        <v>13.43892</v>
      </c>
      <c r="J8632">
        <v>-358.9794</v>
      </c>
      <c r="K8632">
        <v>1.1094379999999999</v>
      </c>
      <c r="L8632">
        <v>17.143339999999998</v>
      </c>
      <c r="M8632">
        <v>0.99984569999999995</v>
      </c>
      <c r="N8632">
        <v>0</v>
      </c>
      <c r="O8632">
        <v>-1.16296E-2</v>
      </c>
      <c r="P8632">
        <v>0.99047940000000001</v>
      </c>
      <c r="Q8632">
        <v>6.683973E-2</v>
      </c>
      <c r="R8632">
        <v>-0.1203472</v>
      </c>
      <c r="S8632">
        <v>2.9456790000000002</v>
      </c>
      <c r="T8632">
        <v>-0.24575250000000001</v>
      </c>
      <c r="U8632">
        <v>-0.82098389999999999</v>
      </c>
      <c r="V8632">
        <v>0.10896889999999899</v>
      </c>
      <c r="W8632">
        <v>7.9699610000000004E-2</v>
      </c>
      <c r="X8632">
        <v>0.99084499999999998</v>
      </c>
      <c r="Y8632">
        <v>0.2564651</v>
      </c>
      <c r="Z8632">
        <v>-9.5307150000000004E-3</v>
      </c>
      <c r="AA8632">
        <v>0.96650650000000005</v>
      </c>
      <c r="AB8632">
        <v>27</v>
      </c>
      <c r="AC8632">
        <v>13.1558999999999</v>
      </c>
      <c r="AD8632">
        <v>-1.1094410509849999</v>
      </c>
      <c r="AE8632">
        <v>-3.7044199999999901</v>
      </c>
      <c r="AF8632">
        <v>3.52791231810781</v>
      </c>
      <c r="AG8632">
        <v>-1.1094410509849999</v>
      </c>
      <c r="AH8632">
        <v>13.1116996280221</v>
      </c>
      <c r="AI8632">
        <v>94.671178581369503</v>
      </c>
      <c r="AJ8632">
        <v>74.9403157679982</v>
      </c>
      <c r="AK8632">
        <v>13.6232775757283</v>
      </c>
      <c r="AL8632">
        <v>85.428700620481806</v>
      </c>
      <c r="AM8632">
        <v>83.724075583103996</v>
      </c>
      <c r="AN8632">
        <v>1.0000000315131801</v>
      </c>
    </row>
    <row r="8633" spans="1:40" x14ac:dyDescent="0.25">
      <c r="A8633" t="str">
        <f>"20190312150856996"</f>
        <v>20190312150856996</v>
      </c>
      <c r="B8633" t="str">
        <f>"1552374536988322"</f>
        <v>1552374536988322</v>
      </c>
      <c r="C8633" t="s">
        <v>40</v>
      </c>
      <c r="D8633">
        <v>4.8219839999999996</v>
      </c>
      <c r="E8633">
        <v>0.55814770000000002</v>
      </c>
      <c r="F8633" t="s">
        <v>42</v>
      </c>
      <c r="G8633">
        <v>-345.72019999999998</v>
      </c>
      <c r="H8633" s="1">
        <v>-3.0856990000000001E-6</v>
      </c>
      <c r="I8633">
        <v>13.4406</v>
      </c>
      <c r="J8633">
        <v>-358.84070000000003</v>
      </c>
      <c r="K8633">
        <v>1.109421</v>
      </c>
      <c r="L8633">
        <v>17.141200000000001</v>
      </c>
      <c r="M8633">
        <v>0.99984099999999998</v>
      </c>
      <c r="N8633">
        <v>0</v>
      </c>
      <c r="O8633">
        <v>-1.204934E-2</v>
      </c>
      <c r="P8633">
        <v>0.99040640000000002</v>
      </c>
      <c r="Q8633">
        <v>6.7144830000000003E-2</v>
      </c>
      <c r="R8633">
        <v>-0.12077649999999999</v>
      </c>
      <c r="S8633">
        <v>2.9455260000000001</v>
      </c>
      <c r="T8633">
        <v>-0.24646090000000001</v>
      </c>
      <c r="U8633">
        <v>-0.8225403</v>
      </c>
      <c r="V8633">
        <v>0.1089861</v>
      </c>
      <c r="W8633">
        <v>7.9981449999999996E-2</v>
      </c>
      <c r="X8633">
        <v>0.99082029999999999</v>
      </c>
      <c r="Y8633">
        <v>0.25654280000000002</v>
      </c>
      <c r="Z8633">
        <v>-9.5267170000000005E-3</v>
      </c>
      <c r="AA8633">
        <v>0.96648590000000001</v>
      </c>
      <c r="AB8633">
        <v>27</v>
      </c>
      <c r="AC8633">
        <v>13.1205</v>
      </c>
      <c r="AD8633">
        <v>-1.1094240856990001</v>
      </c>
      <c r="AE8633">
        <v>-3.7006000000000001</v>
      </c>
      <c r="AF8633">
        <v>3.5189186611458299</v>
      </c>
      <c r="AG8633">
        <v>-1.1094240856990001</v>
      </c>
      <c r="AH8633">
        <v>13.0775291738645</v>
      </c>
      <c r="AI8633">
        <v>94.683240516003494</v>
      </c>
      <c r="AJ8633">
        <v>74.939496840430394</v>
      </c>
      <c r="AK8633">
        <v>13.588060186758399</v>
      </c>
      <c r="AL8633">
        <v>85.412500217020394</v>
      </c>
      <c r="AM8633">
        <v>83.722937650595398</v>
      </c>
      <c r="AN8633">
        <v>0.99999993461469905</v>
      </c>
    </row>
    <row r="8634" spans="1:40" x14ac:dyDescent="0.25">
      <c r="A8634" t="str">
        <f>"20190312150857006"</f>
        <v>20190312150857006</v>
      </c>
      <c r="B8634" t="str">
        <f>"1552374536998083"</f>
        <v>1552374536998083</v>
      </c>
      <c r="C8634" t="s">
        <v>40</v>
      </c>
      <c r="D8634">
        <v>4.8592170000000001</v>
      </c>
      <c r="E8634">
        <v>0.5581334</v>
      </c>
      <c r="F8634" t="s">
        <v>42</v>
      </c>
      <c r="G8634">
        <v>-345.53879999999998</v>
      </c>
      <c r="H8634" s="1">
        <v>-3.1529150000000001E-6</v>
      </c>
      <c r="I8634">
        <v>13.419829999999999</v>
      </c>
      <c r="J8634">
        <v>-358.70400000000001</v>
      </c>
      <c r="K8634">
        <v>1.1094139999999999</v>
      </c>
      <c r="L8634">
        <v>17.139099999999999</v>
      </c>
      <c r="M8634">
        <v>0.99983599999999995</v>
      </c>
      <c r="N8634">
        <v>0</v>
      </c>
      <c r="O8634">
        <v>-1.246484E-2</v>
      </c>
      <c r="P8634">
        <v>0.99039489999999997</v>
      </c>
      <c r="Q8634">
        <v>6.716453E-2</v>
      </c>
      <c r="R8634">
        <v>-0.12085940000000001</v>
      </c>
      <c r="S8634">
        <v>2.9452210000000001</v>
      </c>
      <c r="T8634">
        <v>-0.24564169999999999</v>
      </c>
      <c r="U8634">
        <v>-0.82394409999999896</v>
      </c>
      <c r="V8634">
        <v>0.10865950000000001</v>
      </c>
      <c r="W8634">
        <v>7.9980990000000002E-2</v>
      </c>
      <c r="X8634">
        <v>0.99085630000000002</v>
      </c>
      <c r="Y8634">
        <v>0.25660090000000002</v>
      </c>
      <c r="Z8634">
        <v>-9.4639600000000004E-3</v>
      </c>
      <c r="AA8634">
        <v>0.96647110000000003</v>
      </c>
      <c r="AB8634">
        <v>27</v>
      </c>
      <c r="AC8634">
        <v>13.1652</v>
      </c>
      <c r="AD8634">
        <v>-1.1094171529150001</v>
      </c>
      <c r="AE8634">
        <v>-3.7192699999999999</v>
      </c>
      <c r="AF8634">
        <v>3.53163930692196</v>
      </c>
      <c r="AG8634">
        <v>-1.1094171529150001</v>
      </c>
      <c r="AH8634">
        <v>13.1242311365235</v>
      </c>
      <c r="AI8634">
        <v>94.666606444775496</v>
      </c>
      <c r="AJ8634">
        <v>74.938869840568202</v>
      </c>
      <c r="AK8634">
        <v>13.636301754444601</v>
      </c>
      <c r="AL8634">
        <v>85.412527080099693</v>
      </c>
      <c r="AM8634">
        <v>83.741824293090403</v>
      </c>
      <c r="AN8634">
        <v>1.0000000264756499</v>
      </c>
    </row>
    <row r="8635" spans="1:40" x14ac:dyDescent="0.25">
      <c r="A8635" t="str">
        <f>"20190312150857017"</f>
        <v>20190312150857017</v>
      </c>
      <c r="B8635" t="str">
        <f>"1552374537007844"</f>
        <v>1552374537007844</v>
      </c>
      <c r="C8635" t="s">
        <v>40</v>
      </c>
      <c r="D8635">
        <v>4.6962869999999999</v>
      </c>
      <c r="E8635">
        <v>0.5581334</v>
      </c>
      <c r="F8635" t="s">
        <v>42</v>
      </c>
      <c r="G8635">
        <v>-345.37270000000001</v>
      </c>
      <c r="H8635" s="1">
        <v>-3.2126279999999999E-6</v>
      </c>
      <c r="I8635">
        <v>13.40795</v>
      </c>
      <c r="J8635">
        <v>-358.56939999999997</v>
      </c>
      <c r="K8635">
        <v>1.1094200000000001</v>
      </c>
      <c r="L8635">
        <v>17.136900000000001</v>
      </c>
      <c r="M8635">
        <v>0.99983100000000003</v>
      </c>
      <c r="N8635">
        <v>0</v>
      </c>
      <c r="O8635">
        <v>-1.2880020000000001E-2</v>
      </c>
      <c r="P8635">
        <v>0.99036360000000001</v>
      </c>
      <c r="Q8635">
        <v>6.7544419999999994E-2</v>
      </c>
      <c r="R8635">
        <v>-0.12090480000000001</v>
      </c>
      <c r="S8635">
        <v>2.9450989999999999</v>
      </c>
      <c r="T8635">
        <v>-0.24508730000000001</v>
      </c>
      <c r="U8635">
        <v>-0.82424929999999996</v>
      </c>
      <c r="V8635">
        <v>0.1082938</v>
      </c>
      <c r="W8635">
        <v>8.0346029999999999E-2</v>
      </c>
      <c r="X8635">
        <v>0.99086680000000005</v>
      </c>
      <c r="Y8635">
        <v>0.2563086</v>
      </c>
      <c r="Z8635">
        <v>-9.3971890000000002E-3</v>
      </c>
      <c r="AA8635">
        <v>0.96654929999999994</v>
      </c>
      <c r="AB8635">
        <v>27</v>
      </c>
      <c r="AC8635">
        <v>13.1966999999999</v>
      </c>
      <c r="AD8635">
        <v>-1.1094232126279999</v>
      </c>
      <c r="AE8635">
        <v>-3.7289500000000002</v>
      </c>
      <c r="AF8635">
        <v>3.5355126766415199</v>
      </c>
      <c r="AG8635">
        <v>-1.1094232126279999</v>
      </c>
      <c r="AH8635">
        <v>13.157523587738901</v>
      </c>
      <c r="AI8635">
        <v>94.655325007387404</v>
      </c>
      <c r="AJ8635">
        <v>74.959521463184799</v>
      </c>
      <c r="AK8635">
        <v>13.6693488035574</v>
      </c>
      <c r="AL8635">
        <v>85.3915442871278</v>
      </c>
      <c r="AM8635">
        <v>83.762785844276607</v>
      </c>
      <c r="AN8635">
        <v>1.0000000234987201</v>
      </c>
    </row>
    <row r="8636" spans="1:40" x14ac:dyDescent="0.25">
      <c r="A8636" t="str">
        <f>"20190312150857029"</f>
        <v>20190312150857029</v>
      </c>
      <c r="B8636" t="str">
        <f>"1552374537018578"</f>
        <v>1552374537018578</v>
      </c>
      <c r="C8636" t="s">
        <v>40</v>
      </c>
      <c r="D8636">
        <v>5.002167</v>
      </c>
      <c r="E8636">
        <v>0.53859230000000002</v>
      </c>
      <c r="F8636" t="s">
        <v>42</v>
      </c>
      <c r="G8636">
        <v>-345.16410000000002</v>
      </c>
      <c r="H8636" s="1">
        <v>-3.290222E-6</v>
      </c>
      <c r="I8636">
        <v>13.383089999999999</v>
      </c>
      <c r="J8636">
        <v>-358.4375</v>
      </c>
      <c r="K8636">
        <v>1.1094360000000001</v>
      </c>
      <c r="L8636">
        <v>17.134740000000001</v>
      </c>
      <c r="M8636">
        <v>0.99982570000000004</v>
      </c>
      <c r="N8636">
        <v>0</v>
      </c>
      <c r="O8636">
        <v>-1.329499E-2</v>
      </c>
      <c r="P8636">
        <v>0.99036489999999999</v>
      </c>
      <c r="Q8636">
        <v>6.7641049999999994E-2</v>
      </c>
      <c r="R8636">
        <v>-0.12083960000000001</v>
      </c>
      <c r="S8636">
        <v>2.9450989999999999</v>
      </c>
      <c r="T8636">
        <v>-0.2437358</v>
      </c>
      <c r="U8636">
        <v>-0.82467649999999904</v>
      </c>
      <c r="V8636">
        <v>0.10781590000000001</v>
      </c>
      <c r="W8636">
        <v>8.0432530000000002E-2</v>
      </c>
      <c r="X8636">
        <v>0.99091189999999996</v>
      </c>
      <c r="Y8636">
        <v>0.25604829999999901</v>
      </c>
      <c r="Z8636">
        <v>-9.3011959999999994E-3</v>
      </c>
      <c r="AA8636">
        <v>0.96661929999999996</v>
      </c>
      <c r="AB8636">
        <v>27</v>
      </c>
      <c r="AC8636">
        <v>13.273399999999899</v>
      </c>
      <c r="AD8636">
        <v>-1.1094392902220001</v>
      </c>
      <c r="AE8636">
        <v>-3.7516500000000002</v>
      </c>
      <c r="AF8636">
        <v>3.5518551050582801</v>
      </c>
      <c r="AG8636">
        <v>-1.1094392902220001</v>
      </c>
      <c r="AH8636">
        <v>13.2364770164221</v>
      </c>
      <c r="AI8636">
        <v>94.628169359689394</v>
      </c>
      <c r="AJ8636">
        <v>74.979195722725606</v>
      </c>
      <c r="AK8636">
        <v>13.749576503743199</v>
      </c>
      <c r="AL8636">
        <v>85.386572125664898</v>
      </c>
      <c r="AM8636">
        <v>83.7903755470862</v>
      </c>
      <c r="AN8636">
        <v>1.00000002686831</v>
      </c>
    </row>
    <row r="8637" spans="1:40" x14ac:dyDescent="0.25">
      <c r="A8637" t="str">
        <f>"20190312150857041"</f>
        <v>20190312150857041</v>
      </c>
      <c r="B8637" t="str">
        <f>"1552374537028338"</f>
        <v>1552374537028338</v>
      </c>
      <c r="C8637" t="s">
        <v>40</v>
      </c>
      <c r="D8637">
        <v>4.7844980000000001</v>
      </c>
      <c r="E8637">
        <v>0.53207340000000003</v>
      </c>
      <c r="F8637" t="s">
        <v>42</v>
      </c>
      <c r="G8637">
        <v>-337.47640000000001</v>
      </c>
      <c r="H8637" s="1">
        <v>-2.7675920000000002E-6</v>
      </c>
      <c r="I8637">
        <v>12.38993</v>
      </c>
      <c r="J8637">
        <v>-358.28710000000001</v>
      </c>
      <c r="K8637">
        <v>1.109464</v>
      </c>
      <c r="L8637">
        <v>17.13214</v>
      </c>
      <c r="M8637">
        <v>0.99981940000000002</v>
      </c>
      <c r="N8637">
        <v>0</v>
      </c>
      <c r="O8637">
        <v>-1.378062E-2</v>
      </c>
      <c r="P8637">
        <v>0.99034089999999997</v>
      </c>
      <c r="Q8637">
        <v>6.7616380000000004E-2</v>
      </c>
      <c r="R8637">
        <v>-0.1210504</v>
      </c>
      <c r="S8637">
        <v>2.958221</v>
      </c>
      <c r="T8637">
        <v>-0.15657399999999999</v>
      </c>
      <c r="U8637">
        <v>-0.66961669999999995</v>
      </c>
      <c r="V8637">
        <v>0.10754229999999999</v>
      </c>
      <c r="W8637">
        <v>8.0400199999999894E-2</v>
      </c>
      <c r="X8637">
        <v>0.99094420000000005</v>
      </c>
      <c r="Y8637">
        <v>0.20705270000000001</v>
      </c>
      <c r="Z8637">
        <v>-4.6878370000000003E-3</v>
      </c>
      <c r="AA8637">
        <v>0.97831860000000004</v>
      </c>
      <c r="AB8637">
        <v>27</v>
      </c>
      <c r="AC8637">
        <v>20.810700000000001</v>
      </c>
      <c r="AD8637">
        <v>-1.109466767592</v>
      </c>
      <c r="AE8637">
        <v>-4.74221</v>
      </c>
      <c r="AF8637">
        <v>4.4429462932073998</v>
      </c>
      <c r="AG8637">
        <v>-1.109466767592</v>
      </c>
      <c r="AH8637">
        <v>20.817831948198499</v>
      </c>
      <c r="AI8637">
        <v>92.983572597788694</v>
      </c>
      <c r="AJ8637">
        <v>77.952663355310406</v>
      </c>
      <c r="AK8637">
        <v>21.315553365938001</v>
      </c>
      <c r="AL8637">
        <v>85.388430267786205</v>
      </c>
      <c r="AM8637">
        <v>83.806211141758794</v>
      </c>
      <c r="AN8637">
        <v>0.99999997298148402</v>
      </c>
    </row>
    <row r="8638" spans="1:40" x14ac:dyDescent="0.25">
      <c r="A8638" t="str">
        <f>"20190312150857053"</f>
        <v>20190312150857053</v>
      </c>
      <c r="B8638" t="str">
        <f>"1552374537047858"</f>
        <v>1552374537047858</v>
      </c>
      <c r="C8638" t="s">
        <v>40</v>
      </c>
      <c r="D8638">
        <v>4.7998190000000003</v>
      </c>
      <c r="E8638">
        <v>0.52669239999999995</v>
      </c>
      <c r="F8638" t="s">
        <v>42</v>
      </c>
      <c r="G8638">
        <v>-337.60019999999997</v>
      </c>
      <c r="H8638" s="1">
        <v>-2.612318E-6</v>
      </c>
      <c r="I8638">
        <v>12.81523</v>
      </c>
      <c r="J8638">
        <v>-358.14370000000002</v>
      </c>
      <c r="K8638">
        <v>1.1094949999999999</v>
      </c>
      <c r="L8638">
        <v>17.129639999999998</v>
      </c>
      <c r="M8638">
        <v>0.99981279999999995</v>
      </c>
      <c r="N8638">
        <v>0</v>
      </c>
      <c r="O8638">
        <v>-1.425441E-2</v>
      </c>
      <c r="P8638">
        <v>0.99030560000000001</v>
      </c>
      <c r="Q8638">
        <v>6.771713E-2</v>
      </c>
      <c r="R8638">
        <v>-0.1212823</v>
      </c>
      <c r="S8638">
        <v>2.9645389999999998</v>
      </c>
      <c r="T8638">
        <v>-0.15899150000000001</v>
      </c>
      <c r="U8638">
        <v>-0.6186218</v>
      </c>
      <c r="V8638">
        <v>0.1073012</v>
      </c>
      <c r="W8638">
        <v>8.0496680000000001E-2</v>
      </c>
      <c r="X8638">
        <v>0.99096249999999997</v>
      </c>
      <c r="Y8638">
        <v>0.190056</v>
      </c>
      <c r="Z8638">
        <v>-4.2830709999999899E-3</v>
      </c>
      <c r="AA8638">
        <v>0.98176390000000002</v>
      </c>
      <c r="AB8638">
        <v>27</v>
      </c>
      <c r="AC8638">
        <v>20.543500000000002</v>
      </c>
      <c r="AD8638">
        <v>-1.109497612318</v>
      </c>
      <c r="AE8638">
        <v>-4.3144099999999899</v>
      </c>
      <c r="AF8638">
        <v>4.0099090871107199</v>
      </c>
      <c r="AG8638">
        <v>-1.109497612318</v>
      </c>
      <c r="AH8638">
        <v>20.545521734429201</v>
      </c>
      <c r="AI8638">
        <v>93.033945058870103</v>
      </c>
      <c r="AJ8638">
        <v>78.956301412026903</v>
      </c>
      <c r="AK8638">
        <v>20.962557553374499</v>
      </c>
      <c r="AL8638">
        <v>85.382884380245798</v>
      </c>
      <c r="AM8638">
        <v>83.820102723346196</v>
      </c>
      <c r="AN8638">
        <v>0.99999996970935501</v>
      </c>
    </row>
    <row r="8639" spans="1:40" x14ac:dyDescent="0.25">
      <c r="A8639" t="str">
        <f>"20190312150857066"</f>
        <v>20190312150857066</v>
      </c>
      <c r="B8639" t="str">
        <f>"1552374537058594"</f>
        <v>1552374537058594</v>
      </c>
      <c r="C8639" t="s">
        <v>40</v>
      </c>
      <c r="D8639">
        <v>4.8186200000000001</v>
      </c>
      <c r="E8639">
        <v>0.52542789999999995</v>
      </c>
      <c r="F8639" t="s">
        <v>42</v>
      </c>
      <c r="G8639">
        <v>-340.22989999999999</v>
      </c>
      <c r="H8639" s="1">
        <v>-5.2316050000000004E-6</v>
      </c>
      <c r="I8639">
        <v>13.651949999999999</v>
      </c>
      <c r="J8639">
        <v>-357.9932</v>
      </c>
      <c r="K8639">
        <v>1.109529</v>
      </c>
      <c r="L8639">
        <v>17.126919999999998</v>
      </c>
      <c r="M8639">
        <v>0.99980570000000002</v>
      </c>
      <c r="N8639">
        <v>0</v>
      </c>
      <c r="O8639">
        <v>-1.4756170000000001E-2</v>
      </c>
      <c r="P8639">
        <v>0.99028240000000001</v>
      </c>
      <c r="Q8639">
        <v>6.7653720000000001E-2</v>
      </c>
      <c r="R8639">
        <v>-0.121508199999999</v>
      </c>
      <c r="S8639">
        <v>2.9712830000000001</v>
      </c>
      <c r="T8639">
        <v>-0.18402750000000001</v>
      </c>
      <c r="U8639">
        <v>-0.57681269999999996</v>
      </c>
      <c r="V8639">
        <v>0.1070253</v>
      </c>
      <c r="W8639">
        <v>8.0431089999999997E-2</v>
      </c>
      <c r="X8639">
        <v>0.99099769999999998</v>
      </c>
      <c r="Y8639">
        <v>0.1757666</v>
      </c>
      <c r="Z8639">
        <v>-4.4833590000000001E-3</v>
      </c>
      <c r="AA8639">
        <v>0.98442169999999896</v>
      </c>
      <c r="AB8639">
        <v>27</v>
      </c>
      <c r="AC8639">
        <v>17.763300000000001</v>
      </c>
      <c r="AD8639">
        <v>-1.1095342316050001</v>
      </c>
      <c r="AE8639">
        <v>-3.4749699999999999</v>
      </c>
      <c r="AF8639">
        <v>3.2004246357680302</v>
      </c>
      <c r="AG8639">
        <v>-1.1095342316050001</v>
      </c>
      <c r="AH8639">
        <v>17.745962974800499</v>
      </c>
      <c r="AI8639">
        <v>93.521002348208697</v>
      </c>
      <c r="AJ8639">
        <v>79.776790235553904</v>
      </c>
      <c r="AK8639">
        <v>18.066349547247299</v>
      </c>
      <c r="AL8639">
        <v>85.386654813647993</v>
      </c>
      <c r="AM8639">
        <v>83.836087665327199</v>
      </c>
      <c r="AN8639">
        <v>1.00000000824198</v>
      </c>
    </row>
    <row r="8640" spans="1:40" x14ac:dyDescent="0.25">
      <c r="A8640" t="str">
        <f>"20190312150857078"</f>
        <v>20190312150857078</v>
      </c>
      <c r="B8640" t="str">
        <f>"1552374537068355"</f>
        <v>1552374537068355</v>
      </c>
      <c r="C8640" t="s">
        <v>40</v>
      </c>
      <c r="D8640">
        <v>4.7787559999999996</v>
      </c>
      <c r="E8640">
        <v>0.52449349999999995</v>
      </c>
      <c r="F8640" t="s">
        <v>42</v>
      </c>
      <c r="G8640">
        <v>-340.83330000000001</v>
      </c>
      <c r="H8640" s="1">
        <v>-4.9372169999999998E-6</v>
      </c>
      <c r="I8640">
        <v>13.852270000000001</v>
      </c>
      <c r="J8640">
        <v>-357.84199999999998</v>
      </c>
      <c r="K8640">
        <v>1.1095630000000001</v>
      </c>
      <c r="L8640">
        <v>17.124179999999999</v>
      </c>
      <c r="M8640">
        <v>0.99979810000000002</v>
      </c>
      <c r="N8640">
        <v>0</v>
      </c>
      <c r="O8640">
        <v>-1.5261210000000001E-2</v>
      </c>
      <c r="P8640">
        <v>0.99026890000000001</v>
      </c>
      <c r="Q8640">
        <v>6.7689189999999996E-2</v>
      </c>
      <c r="R8640">
        <v>-0.12159739999999999</v>
      </c>
      <c r="S8640">
        <v>2.9729610000000002</v>
      </c>
      <c r="T8640">
        <v>-0.1922277</v>
      </c>
      <c r="U8640">
        <v>-0.56732179999999999</v>
      </c>
      <c r="V8640">
        <v>0.1066101</v>
      </c>
      <c r="W8640">
        <v>8.0464850000000004E-2</v>
      </c>
      <c r="X8640">
        <v>0.99103969999999997</v>
      </c>
      <c r="Y8640">
        <v>0.1721152</v>
      </c>
      <c r="Z8640">
        <v>-4.5323569999999999E-3</v>
      </c>
      <c r="AA8640">
        <v>0.98506640000000001</v>
      </c>
      <c r="AB8640">
        <v>27</v>
      </c>
      <c r="AC8640">
        <v>17.008699999999902</v>
      </c>
      <c r="AD8640">
        <v>-1.10956793721699</v>
      </c>
      <c r="AE8640">
        <v>-3.2719099999999899</v>
      </c>
      <c r="AF8640">
        <v>2.99962355824192</v>
      </c>
      <c r="AG8640">
        <v>-1.10956793721699</v>
      </c>
      <c r="AH8640">
        <v>16.986945627110501</v>
      </c>
      <c r="AI8640">
        <v>93.680405658833493</v>
      </c>
      <c r="AJ8640">
        <v>79.985716095704802</v>
      </c>
      <c r="AK8640">
        <v>17.2854043700709</v>
      </c>
      <c r="AL8640">
        <v>85.384714162803903</v>
      </c>
      <c r="AM8640">
        <v>83.860075510464497</v>
      </c>
      <c r="AN8640">
        <v>0.99999999624181102</v>
      </c>
    </row>
    <row r="8641" spans="1:40" x14ac:dyDescent="0.25">
      <c r="A8641" t="str">
        <f>"20190312150857090"</f>
        <v>20190312150857090</v>
      </c>
      <c r="B8641" t="str">
        <f>"1552374537087874"</f>
        <v>1552374537087874</v>
      </c>
      <c r="C8641" t="s">
        <v>40</v>
      </c>
      <c r="D8641">
        <v>4.7931429999999997</v>
      </c>
      <c r="E8641">
        <v>0.52349699999999999</v>
      </c>
      <c r="F8641" t="s">
        <v>42</v>
      </c>
      <c r="G8641">
        <v>-341.15969999999999</v>
      </c>
      <c r="H8641" s="1">
        <v>-4.7742190000000003E-6</v>
      </c>
      <c r="I8641">
        <v>13.981859999999999</v>
      </c>
      <c r="J8641">
        <v>-357.69819999999999</v>
      </c>
      <c r="K8641">
        <v>1.109591</v>
      </c>
      <c r="L8641">
        <v>17.121459999999999</v>
      </c>
      <c r="M8641">
        <v>0.99979079999999998</v>
      </c>
      <c r="N8641">
        <v>0</v>
      </c>
      <c r="O8641">
        <v>-1.5738539999999999E-2</v>
      </c>
      <c r="P8641">
        <v>0.99024250000000003</v>
      </c>
      <c r="Q8641">
        <v>6.7576440000000002E-2</v>
      </c>
      <c r="R8641">
        <v>-0.12187389999999999</v>
      </c>
      <c r="S8641">
        <v>2.9742130000000002</v>
      </c>
      <c r="T8641">
        <v>-0.19781879999999999</v>
      </c>
      <c r="U8641">
        <v>-0.56021119999999902</v>
      </c>
      <c r="V8641">
        <v>0.10641</v>
      </c>
      <c r="W8641">
        <v>8.0350290000000005E-2</v>
      </c>
      <c r="X8641">
        <v>0.99107049999999997</v>
      </c>
      <c r="Y8641">
        <v>0.16928309999999999</v>
      </c>
      <c r="Z8641">
        <v>-4.538327E-3</v>
      </c>
      <c r="AA8641">
        <v>0.98555700000000002</v>
      </c>
      <c r="AB8641">
        <v>27</v>
      </c>
      <c r="AC8641">
        <v>16.538499999999999</v>
      </c>
      <c r="AD8641">
        <v>-1.1095957742189999</v>
      </c>
      <c r="AE8641">
        <v>-3.13959999999999</v>
      </c>
      <c r="AF8641">
        <v>2.8664431174487399</v>
      </c>
      <c r="AG8641">
        <v>-1.1095957742189999</v>
      </c>
      <c r="AH8641">
        <v>16.514118926955501</v>
      </c>
      <c r="AI8641">
        <v>93.787504028816699</v>
      </c>
      <c r="AJ8641">
        <v>80.1529773916794</v>
      </c>
      <c r="AK8641">
        <v>16.7977326702554</v>
      </c>
      <c r="AL8641">
        <v>85.391299291110599</v>
      </c>
      <c r="AM8641">
        <v>83.871700966201203</v>
      </c>
      <c r="AN8641">
        <v>0.99999999658666705</v>
      </c>
    </row>
    <row r="8642" spans="1:40" x14ac:dyDescent="0.25">
      <c r="A8642" t="str">
        <f>"20190312150857100"</f>
        <v>20190312150857100</v>
      </c>
      <c r="B8642" t="str">
        <f>"1552374537087874"</f>
        <v>1552374537087874</v>
      </c>
      <c r="C8642" t="s">
        <v>40</v>
      </c>
      <c r="D8642">
        <v>4.7931429999999997</v>
      </c>
      <c r="E8642">
        <v>0.52349699999999999</v>
      </c>
      <c r="F8642" t="s">
        <v>42</v>
      </c>
      <c r="G8642">
        <v>-341.5095</v>
      </c>
      <c r="H8642" s="1">
        <v>-4.6012769999999999E-6</v>
      </c>
      <c r="I8642">
        <v>14.110829999999901</v>
      </c>
      <c r="J8642">
        <v>-357.56369999999998</v>
      </c>
      <c r="K8642">
        <v>1.109612</v>
      </c>
      <c r="L8642">
        <v>17.118870000000001</v>
      </c>
      <c r="M8642">
        <v>0.99978389999999995</v>
      </c>
      <c r="N8642">
        <v>0</v>
      </c>
      <c r="O8642">
        <v>-1.618149E-2</v>
      </c>
      <c r="P8642">
        <v>0.99024990000000002</v>
      </c>
      <c r="Q8642">
        <v>6.7302139999999996E-2</v>
      </c>
      <c r="R8642">
        <v>-0.12196609999999999</v>
      </c>
      <c r="S8642">
        <v>2.9753720000000001</v>
      </c>
      <c r="T8642">
        <v>-0.20393500000000001</v>
      </c>
      <c r="U8642">
        <v>-0.55331419999999998</v>
      </c>
      <c r="V8642">
        <v>0.1060601</v>
      </c>
      <c r="W8642">
        <v>8.0074619999999999E-2</v>
      </c>
      <c r="X8642">
        <v>0.99113039999999997</v>
      </c>
      <c r="Y8642">
        <v>0.16655539999999999</v>
      </c>
      <c r="Z8642">
        <v>-4.5548969999999996E-3</v>
      </c>
      <c r="AA8642">
        <v>0.98602160000000005</v>
      </c>
      <c r="AB8642">
        <v>27</v>
      </c>
      <c r="AC8642">
        <v>16.054199999999899</v>
      </c>
      <c r="AD8642">
        <v>-1.1096166012769999</v>
      </c>
      <c r="AE8642">
        <v>-3.0080399999999998</v>
      </c>
      <c r="AF8642">
        <v>2.7352197120287398</v>
      </c>
      <c r="AG8642">
        <v>-1.1096166012769999</v>
      </c>
      <c r="AH8642">
        <v>16.026810668698701</v>
      </c>
      <c r="AI8642">
        <v>93.904281582700193</v>
      </c>
      <c r="AJ8642">
        <v>80.314913138085402</v>
      </c>
      <c r="AK8642">
        <v>16.296359596094302</v>
      </c>
      <c r="AL8642">
        <v>85.407145459720596</v>
      </c>
      <c r="AM8642">
        <v>83.892065972117706</v>
      </c>
      <c r="AN8642">
        <v>1.00000007969215</v>
      </c>
    </row>
    <row r="8643" spans="1:40" x14ac:dyDescent="0.25">
      <c r="A8643" t="str">
        <f>"20190312150857112"</f>
        <v>20190312150857112</v>
      </c>
      <c r="B8643" t="str">
        <f>"1552374537108371"</f>
        <v>1552374537108371</v>
      </c>
      <c r="C8643" t="s">
        <v>40</v>
      </c>
      <c r="D8643">
        <v>4.8180370000000003</v>
      </c>
      <c r="E8643">
        <v>0.52288990000000002</v>
      </c>
      <c r="F8643" t="s">
        <v>42</v>
      </c>
      <c r="G8643">
        <v>-341.43290000000002</v>
      </c>
      <c r="H8643" s="1">
        <v>-4.6329729999999998E-6</v>
      </c>
      <c r="I8643">
        <v>14.117279999999999</v>
      </c>
      <c r="J8643">
        <v>-357.43669999999997</v>
      </c>
      <c r="K8643">
        <v>1.109631</v>
      </c>
      <c r="L8643">
        <v>17.11636</v>
      </c>
      <c r="M8643">
        <v>0.99977720000000003</v>
      </c>
      <c r="N8643">
        <v>0</v>
      </c>
      <c r="O8643">
        <v>-1.6593299999999998E-2</v>
      </c>
      <c r="P8643">
        <v>0.99026670000000006</v>
      </c>
      <c r="Q8643">
        <v>6.7091830000000005E-2</v>
      </c>
      <c r="R8643">
        <v>-0.1219454</v>
      </c>
      <c r="S8643">
        <v>2.9752809999999998</v>
      </c>
      <c r="T8643">
        <v>-0.20466570000000001</v>
      </c>
      <c r="U8643">
        <v>-0.55361939999999998</v>
      </c>
      <c r="V8643">
        <v>0.1056286</v>
      </c>
      <c r="W8643">
        <v>7.9864069999999995E-2</v>
      </c>
      <c r="X8643">
        <v>0.9911934</v>
      </c>
      <c r="Y8643">
        <v>0.1662516</v>
      </c>
      <c r="Z8643">
        <v>-4.5328959999999998E-3</v>
      </c>
      <c r="AA8643">
        <v>0.98607299999999998</v>
      </c>
      <c r="AB8643">
        <v>27</v>
      </c>
      <c r="AC8643">
        <v>16.003799999999899</v>
      </c>
      <c r="AD8643">
        <v>-1.1096356329729999</v>
      </c>
      <c r="AE8643">
        <v>-2.9990800000000002</v>
      </c>
      <c r="AF8643">
        <v>2.7204538310266702</v>
      </c>
      <c r="AG8643">
        <v>-1.1096356329729999</v>
      </c>
      <c r="AH8643">
        <v>15.977161630717299</v>
      </c>
      <c r="AI8643">
        <v>93.916698135629005</v>
      </c>
      <c r="AJ8643">
        <v>80.336841531537701</v>
      </c>
      <c r="AK8643">
        <v>16.245056295955902</v>
      </c>
      <c r="AL8643">
        <v>85.419247541364399</v>
      </c>
      <c r="AM8643">
        <v>83.917112830676402</v>
      </c>
      <c r="AN8643">
        <v>1.0000000135092399</v>
      </c>
    </row>
    <row r="8644" spans="1:40" x14ac:dyDescent="0.25">
      <c r="A8644" t="str">
        <f>"20190312150857122"</f>
        <v>20190312150857122</v>
      </c>
      <c r="B8644" t="str">
        <f>"1552374537118131"</f>
        <v>1552374537118131</v>
      </c>
      <c r="C8644" t="s">
        <v>40</v>
      </c>
      <c r="D8644">
        <v>4.7932519999999998</v>
      </c>
      <c r="E8644">
        <v>0.52259860000000002</v>
      </c>
      <c r="F8644" t="s">
        <v>42</v>
      </c>
      <c r="G8644">
        <v>-341.66370000000001</v>
      </c>
      <c r="H8644" s="1">
        <v>-4.5181169999999998E-6</v>
      </c>
      <c r="I8644">
        <v>14.206709999999999</v>
      </c>
      <c r="J8644">
        <v>-357.30650000000003</v>
      </c>
      <c r="K8644">
        <v>1.1096469999999901</v>
      </c>
      <c r="L8644">
        <v>17.113769999999999</v>
      </c>
      <c r="M8644">
        <v>0.99977000000000005</v>
      </c>
      <c r="N8644">
        <v>0</v>
      </c>
      <c r="O8644">
        <v>-1.7012989999999999E-2</v>
      </c>
      <c r="P8644">
        <v>0.99022600000000005</v>
      </c>
      <c r="Q8644">
        <v>6.7382629999999999E-2</v>
      </c>
      <c r="R8644">
        <v>-0.12211470000000001</v>
      </c>
      <c r="S8644">
        <v>2.9760740000000001</v>
      </c>
      <c r="T8644">
        <v>-0.2093672</v>
      </c>
      <c r="U8644">
        <v>-0.54898069999999999</v>
      </c>
      <c r="V8644">
        <v>0.10538119999999999</v>
      </c>
      <c r="W8644">
        <v>8.0154489999999995E-2</v>
      </c>
      <c r="X8644">
        <v>0.99119630000000003</v>
      </c>
      <c r="Y8644">
        <v>0.1642941</v>
      </c>
      <c r="Z8644">
        <v>-4.53879E-3</v>
      </c>
      <c r="AA8644">
        <v>0.98640099999999997</v>
      </c>
      <c r="AB8644">
        <v>27</v>
      </c>
      <c r="AC8644">
        <v>15.642799999999999</v>
      </c>
      <c r="AD8644">
        <v>-1.1096515181169999</v>
      </c>
      <c r="AE8644">
        <v>-2.90706</v>
      </c>
      <c r="AF8644">
        <v>2.62770439782145</v>
      </c>
      <c r="AG8644">
        <v>-1.1096515181169999</v>
      </c>
      <c r="AH8644">
        <v>15.614050025232</v>
      </c>
      <c r="AI8644">
        <v>94.008848464665107</v>
      </c>
      <c r="AJ8644">
        <v>80.447148516294206</v>
      </c>
      <c r="AK8644">
        <v>15.872451451632701</v>
      </c>
      <c r="AL8644">
        <v>85.402554225088906</v>
      </c>
      <c r="AM8644">
        <v>83.931271158456198</v>
      </c>
      <c r="AN8644">
        <v>1.0000000223571399</v>
      </c>
    </row>
    <row r="8645" spans="1:40" x14ac:dyDescent="0.25">
      <c r="A8645" t="str">
        <f>"20190312150857133"</f>
        <v>20190312150857133</v>
      </c>
      <c r="B8645" t="str">
        <f>"1552374537127891"</f>
        <v>1552374537127891</v>
      </c>
      <c r="C8645" t="s">
        <v>40</v>
      </c>
      <c r="D8645">
        <v>4.7753569999999996</v>
      </c>
      <c r="E8645">
        <v>0.52238669999999998</v>
      </c>
      <c r="F8645" t="s">
        <v>42</v>
      </c>
      <c r="G8645">
        <v>-341.54599999999999</v>
      </c>
      <c r="H8645" s="1">
        <v>-4.5670730000000002E-6</v>
      </c>
      <c r="I8645">
        <v>14.21527</v>
      </c>
      <c r="J8645">
        <v>-357.18110000000001</v>
      </c>
      <c r="K8645">
        <v>1.1096549999999901</v>
      </c>
      <c r="L8645">
        <v>17.111149999999999</v>
      </c>
      <c r="M8645">
        <v>0.99976339999999997</v>
      </c>
      <c r="N8645">
        <v>0</v>
      </c>
      <c r="O8645">
        <v>-1.74125999999999E-2</v>
      </c>
      <c r="P8645">
        <v>0.99022410000000005</v>
      </c>
      <c r="Q8645">
        <v>6.7126710000000006E-2</v>
      </c>
      <c r="R8645">
        <v>-0.12227250000000001</v>
      </c>
      <c r="S8645">
        <v>2.9763489999999999</v>
      </c>
      <c r="T8645">
        <v>-0.20955650000000001</v>
      </c>
      <c r="U8645">
        <v>-0.5473633</v>
      </c>
      <c r="V8645">
        <v>0.1051411</v>
      </c>
      <c r="W8645">
        <v>7.9899709999999999E-2</v>
      </c>
      <c r="X8645">
        <v>0.99124230000000002</v>
      </c>
      <c r="Y8645">
        <v>0.1633676</v>
      </c>
      <c r="Z8645">
        <v>-4.482542E-3</v>
      </c>
      <c r="AA8645">
        <v>0.98655510000000002</v>
      </c>
      <c r="AB8645">
        <v>27</v>
      </c>
      <c r="AC8645">
        <v>15.6351</v>
      </c>
      <c r="AD8645">
        <v>-1.1096595670729901</v>
      </c>
      <c r="AE8645">
        <v>-2.8958799999999898</v>
      </c>
      <c r="AF8645">
        <v>2.61045705833825</v>
      </c>
      <c r="AG8645">
        <v>-1.1096595670729901</v>
      </c>
      <c r="AH8645">
        <v>15.607151312026501</v>
      </c>
      <c r="AI8645">
        <v>94.011316096321195</v>
      </c>
      <c r="AJ8645">
        <v>80.504586673503098</v>
      </c>
      <c r="AK8645">
        <v>15.862818239036701</v>
      </c>
      <c r="AL8645">
        <v>85.417198708873997</v>
      </c>
      <c r="AM8645">
        <v>83.945274189215695</v>
      </c>
      <c r="AN8645">
        <v>0.99999995593829105</v>
      </c>
    </row>
    <row r="8646" spans="1:40" x14ac:dyDescent="0.25">
      <c r="A8646" t="str">
        <f>"20190312150857143"</f>
        <v>20190312150857143</v>
      </c>
      <c r="B8646" t="str">
        <f>"1552374537138627"</f>
        <v>1552374537138627</v>
      </c>
      <c r="C8646" t="s">
        <v>40</v>
      </c>
      <c r="D8646">
        <v>4.8047519999999997</v>
      </c>
      <c r="E8646">
        <v>0.52225310000000003</v>
      </c>
      <c r="F8646" t="s">
        <v>42</v>
      </c>
      <c r="G8646">
        <v>-341.5634</v>
      </c>
      <c r="H8646" s="1">
        <v>-4.5543349999999997E-6</v>
      </c>
      <c r="I8646">
        <v>14.245150000000001</v>
      </c>
      <c r="J8646">
        <v>-357.04629999999997</v>
      </c>
      <c r="K8646">
        <v>1.1096710000000001</v>
      </c>
      <c r="L8646">
        <v>17.108370000000001</v>
      </c>
      <c r="M8646">
        <v>0.99975570000000002</v>
      </c>
      <c r="N8646">
        <v>0</v>
      </c>
      <c r="O8646">
        <v>-1.7841070000000001E-2</v>
      </c>
      <c r="P8646">
        <v>0.99020859999999999</v>
      </c>
      <c r="Q8646">
        <v>6.7057450000000005E-2</v>
      </c>
      <c r="R8646">
        <v>-0.1224367</v>
      </c>
      <c r="S8646">
        <v>2.9765320000000002</v>
      </c>
      <c r="T8646">
        <v>-0.21148629999999999</v>
      </c>
      <c r="U8646">
        <v>-0.54620360000000001</v>
      </c>
      <c r="V8646">
        <v>0.1048795</v>
      </c>
      <c r="W8646">
        <v>7.9831739999999998E-2</v>
      </c>
      <c r="X8646">
        <v>0.99127549999999998</v>
      </c>
      <c r="Y8646">
        <v>0.1625587</v>
      </c>
      <c r="Z8646">
        <v>-4.465012E-3</v>
      </c>
      <c r="AA8646">
        <v>0.98668880000000003</v>
      </c>
      <c r="AB8646">
        <v>27</v>
      </c>
      <c r="AC8646">
        <v>15.4828999999999</v>
      </c>
      <c r="AD8646">
        <v>-1.1096755543350001</v>
      </c>
      <c r="AE8646">
        <v>-2.8632200000000001</v>
      </c>
      <c r="AF8646">
        <v>2.57372579629225</v>
      </c>
      <c r="AG8646">
        <v>-1.1096755543350001</v>
      </c>
      <c r="AH8646">
        <v>15.4547605809485</v>
      </c>
      <c r="AI8646">
        <v>94.051273473874602</v>
      </c>
      <c r="AJ8646">
        <v>80.545136166436095</v>
      </c>
      <c r="AK8646">
        <v>15.706847835413299</v>
      </c>
      <c r="AL8646">
        <v>85.421105631946006</v>
      </c>
      <c r="AM8646">
        <v>83.960428162678696</v>
      </c>
      <c r="AN8646">
        <v>0.99999996656596302</v>
      </c>
    </row>
    <row r="8647" spans="1:40" x14ac:dyDescent="0.25">
      <c r="A8647" t="str">
        <f>"20190312150857155"</f>
        <v>20190312150857155</v>
      </c>
      <c r="B8647" t="str">
        <f>"1552374537148386"</f>
        <v>1552374537148386</v>
      </c>
      <c r="C8647" t="s">
        <v>40</v>
      </c>
      <c r="D8647">
        <v>4.7773050000000001</v>
      </c>
      <c r="E8647">
        <v>0.52210630000000002</v>
      </c>
      <c r="F8647" t="s">
        <v>42</v>
      </c>
      <c r="G8647">
        <v>-341.50889999999998</v>
      </c>
      <c r="H8647" s="1">
        <v>-4.5750799999999999E-6</v>
      </c>
      <c r="I8647">
        <v>14.259880000000001</v>
      </c>
      <c r="J8647">
        <v>-356.91430000000003</v>
      </c>
      <c r="K8647">
        <v>1.109683</v>
      </c>
      <c r="L8647">
        <v>17.105529999999899</v>
      </c>
      <c r="M8647">
        <v>0.99974810000000003</v>
      </c>
      <c r="N8647">
        <v>0</v>
      </c>
      <c r="O8647">
        <v>-1.8258960000000001E-2</v>
      </c>
      <c r="P8647">
        <v>0.99016139999999997</v>
      </c>
      <c r="Q8647">
        <v>6.7192119999999994E-2</v>
      </c>
      <c r="R8647">
        <v>-0.1227428</v>
      </c>
      <c r="S8647">
        <v>2.9765929999999998</v>
      </c>
      <c r="T8647">
        <v>-0.21258740000000001</v>
      </c>
      <c r="U8647">
        <v>-0.54568479999999997</v>
      </c>
      <c r="V8647">
        <v>0.1047713</v>
      </c>
      <c r="W8647">
        <v>7.9968650000000002E-2</v>
      </c>
      <c r="X8647">
        <v>0.99127600000000005</v>
      </c>
      <c r="Y8647">
        <v>0.16197510000000001</v>
      </c>
      <c r="Z8647">
        <v>-4.4380000000000001E-3</v>
      </c>
      <c r="AA8647">
        <v>0.98678489999999996</v>
      </c>
      <c r="AB8647">
        <v>27</v>
      </c>
      <c r="AC8647">
        <v>15.4054</v>
      </c>
      <c r="AD8647">
        <v>-1.1096875750799999</v>
      </c>
      <c r="AE8647">
        <v>-2.8456499999999898</v>
      </c>
      <c r="AF8647">
        <v>2.5510651029715801</v>
      </c>
      <c r="AG8647">
        <v>-1.1096875750799999</v>
      </c>
      <c r="AH8647">
        <v>15.377637636500801</v>
      </c>
      <c r="AI8647">
        <v>94.0719865171625</v>
      </c>
      <c r="AJ8647">
        <v>80.580730803571399</v>
      </c>
      <c r="AK8647">
        <v>15.6272543638802</v>
      </c>
      <c r="AL8647">
        <v>85.413236532540097</v>
      </c>
      <c r="AM8647">
        <v>83.966615987111396</v>
      </c>
      <c r="AN8647">
        <v>1.0000000592312499</v>
      </c>
    </row>
    <row r="8648" spans="1:40" x14ac:dyDescent="0.25">
      <c r="A8648" t="str">
        <f>"20190312150857165"</f>
        <v>20190312150857165</v>
      </c>
      <c r="B8648" t="str">
        <f>"1552374537158147"</f>
        <v>1552374537158147</v>
      </c>
      <c r="C8648" t="s">
        <v>40</v>
      </c>
      <c r="D8648">
        <v>4.7748470000000003</v>
      </c>
      <c r="E8648">
        <v>0.52199149999999905</v>
      </c>
      <c r="F8648" t="s">
        <v>42</v>
      </c>
      <c r="G8648">
        <v>-341.39080000000001</v>
      </c>
      <c r="H8648" s="1">
        <v>-4.6255629999999998E-6</v>
      </c>
      <c r="I8648">
        <v>14.260899999999999</v>
      </c>
      <c r="J8648">
        <v>-356.78309999999999</v>
      </c>
      <c r="K8648">
        <v>1.109699</v>
      </c>
      <c r="L8648">
        <v>17.102689999999999</v>
      </c>
      <c r="M8648">
        <v>0.99974050000000003</v>
      </c>
      <c r="N8648">
        <v>0</v>
      </c>
      <c r="O8648">
        <v>-1.8674340000000001E-2</v>
      </c>
      <c r="P8648">
        <v>0.99015379999999997</v>
      </c>
      <c r="Q8648">
        <v>6.7088720000000004E-2</v>
      </c>
      <c r="R8648">
        <v>-0.12286080000000001</v>
      </c>
      <c r="S8648">
        <v>2.9766240000000002</v>
      </c>
      <c r="T8648">
        <v>-0.21278240000000001</v>
      </c>
      <c r="U8648">
        <v>-0.545440699999999</v>
      </c>
      <c r="V8648">
        <v>0.104476399999999</v>
      </c>
      <c r="W8648">
        <v>7.9868339999999996E-2</v>
      </c>
      <c r="X8648">
        <v>0.9913151</v>
      </c>
      <c r="Y8648">
        <v>0.16148660000000001</v>
      </c>
      <c r="Z8648">
        <v>-4.3953689999999997E-3</v>
      </c>
      <c r="AA8648">
        <v>0.98686510000000005</v>
      </c>
      <c r="AB8648">
        <v>27</v>
      </c>
      <c r="AC8648">
        <v>15.392299999999899</v>
      </c>
      <c r="AD8648">
        <v>-1.109703625563</v>
      </c>
      <c r="AE8648">
        <v>-2.84179</v>
      </c>
      <c r="AF8648">
        <v>2.5410566857197199</v>
      </c>
      <c r="AG8648">
        <v>-1.109703625563</v>
      </c>
      <c r="AH8648">
        <v>15.365456763369901</v>
      </c>
      <c r="AI8648">
        <v>94.075602825550106</v>
      </c>
      <c r="AJ8648">
        <v>80.609720482762995</v>
      </c>
      <c r="AK8648">
        <v>15.6136373969559</v>
      </c>
      <c r="AL8648">
        <v>85.419001806790703</v>
      </c>
      <c r="AM8648">
        <v>83.983708995296098</v>
      </c>
      <c r="AN8648">
        <v>0.99999994868966102</v>
      </c>
    </row>
    <row r="8649" spans="1:40" x14ac:dyDescent="0.25">
      <c r="A8649" t="str">
        <f>"20190312150857175"</f>
        <v>20190312150857175</v>
      </c>
      <c r="B8649" t="str">
        <f>"1552374537167907"</f>
        <v>1552374537167907</v>
      </c>
      <c r="C8649" t="s">
        <v>40</v>
      </c>
      <c r="D8649">
        <v>4.8253459999999997</v>
      </c>
      <c r="E8649">
        <v>0.52196359999999997</v>
      </c>
      <c r="F8649" t="s">
        <v>42</v>
      </c>
      <c r="G8649">
        <v>-341.27769999999998</v>
      </c>
      <c r="H8649" s="1">
        <v>-4.6734339999999997E-6</v>
      </c>
      <c r="I8649">
        <v>14.26458</v>
      </c>
      <c r="J8649">
        <v>-356.6567</v>
      </c>
      <c r="K8649">
        <v>1.1097109999999999</v>
      </c>
      <c r="L8649">
        <v>17.099879999999999</v>
      </c>
      <c r="M8649">
        <v>0.99973290000000004</v>
      </c>
      <c r="N8649">
        <v>0</v>
      </c>
      <c r="O8649">
        <v>-1.9075910000000001E-2</v>
      </c>
      <c r="P8649">
        <v>0.99013839999999997</v>
      </c>
      <c r="Q8649">
        <v>6.6995810000000003E-2</v>
      </c>
      <c r="R8649">
        <v>-0.1230348</v>
      </c>
      <c r="S8649">
        <v>2.9766539999999999</v>
      </c>
      <c r="T8649">
        <v>-0.2130359</v>
      </c>
      <c r="U8649">
        <v>-0.54483029999999999</v>
      </c>
      <c r="V8649">
        <v>0.10425130000000001</v>
      </c>
      <c r="W8649">
        <v>7.9778979999999999E-2</v>
      </c>
      <c r="X8649">
        <v>0.99134610000000001</v>
      </c>
      <c r="Y8649">
        <v>0.16089419999999999</v>
      </c>
      <c r="Z8649">
        <v>-4.3511899999999996E-3</v>
      </c>
      <c r="AA8649">
        <v>0.98696209999999995</v>
      </c>
      <c r="AB8649">
        <v>27</v>
      </c>
      <c r="AC8649">
        <v>15.379</v>
      </c>
      <c r="AD8649">
        <v>-1.1097156734339999</v>
      </c>
      <c r="AE8649">
        <v>-2.8353000000000002</v>
      </c>
      <c r="AF8649">
        <v>2.5286572953583</v>
      </c>
      <c r="AG8649">
        <v>-1.1097156734339999</v>
      </c>
      <c r="AH8649">
        <v>15.3529802008995</v>
      </c>
      <c r="AI8649">
        <v>94.079387537605598</v>
      </c>
      <c r="AJ8649">
        <v>80.647270924695704</v>
      </c>
      <c r="AK8649">
        <v>15.5993454235249</v>
      </c>
      <c r="AL8649">
        <v>85.424138633610397</v>
      </c>
      <c r="AM8649">
        <v>83.996763009318201</v>
      </c>
      <c r="AN8649">
        <v>1.0000000545933601</v>
      </c>
    </row>
    <row r="8650" spans="1:40" x14ac:dyDescent="0.25">
      <c r="A8650" t="str">
        <f>"20190312150857186"</f>
        <v>20190312150857186</v>
      </c>
      <c r="B8650" t="str">
        <f>"1552374537178643"</f>
        <v>1552374537178643</v>
      </c>
      <c r="C8650" t="s">
        <v>40</v>
      </c>
      <c r="D8650">
        <v>4.7452680000000003</v>
      </c>
      <c r="E8650">
        <v>0.52177589999999996</v>
      </c>
      <c r="F8650" t="s">
        <v>42</v>
      </c>
      <c r="G8650">
        <v>-341.26499999999999</v>
      </c>
      <c r="H8650" s="1">
        <v>-4.676047E-6</v>
      </c>
      <c r="I8650">
        <v>14.280530000000001</v>
      </c>
      <c r="J8650">
        <v>-356.54340000000002</v>
      </c>
      <c r="K8650">
        <v>1.109721</v>
      </c>
      <c r="L8650">
        <v>17.09732</v>
      </c>
      <c r="M8650">
        <v>0.9997258</v>
      </c>
      <c r="N8650">
        <v>0</v>
      </c>
      <c r="O8650">
        <v>-1.943659E-2</v>
      </c>
      <c r="P8650">
        <v>0.99006709999999998</v>
      </c>
      <c r="Q8650">
        <v>6.7223950000000005E-2</v>
      </c>
      <c r="R8650">
        <v>-0.123484</v>
      </c>
      <c r="S8650">
        <v>2.9766539999999999</v>
      </c>
      <c r="T8650">
        <v>-0.2146113</v>
      </c>
      <c r="U8650">
        <v>-0.54522709999999996</v>
      </c>
      <c r="V8650">
        <v>0.10434400000000001</v>
      </c>
      <c r="W8650">
        <v>8.0009040000000003E-2</v>
      </c>
      <c r="X8650">
        <v>0.99131769999999997</v>
      </c>
      <c r="Y8650">
        <v>0.16066179999999999</v>
      </c>
      <c r="Z8650">
        <v>-4.3492000000000001E-3</v>
      </c>
      <c r="AA8650">
        <v>0.98699990000000004</v>
      </c>
      <c r="AB8650">
        <v>27</v>
      </c>
      <c r="AC8650">
        <v>15.2784</v>
      </c>
      <c r="AD8650">
        <v>-1.109725676047</v>
      </c>
      <c r="AE8650">
        <v>-2.8167900000000001</v>
      </c>
      <c r="AF8650">
        <v>2.5064838418545201</v>
      </c>
      <c r="AG8650">
        <v>-1.109725676047</v>
      </c>
      <c r="AH8650">
        <v>15.252445431854399</v>
      </c>
      <c r="AI8650">
        <v>94.106462898289706</v>
      </c>
      <c r="AJ8650">
        <v>80.667808675162703</v>
      </c>
      <c r="AK8650">
        <v>15.496807541466501</v>
      </c>
      <c r="AL8650">
        <v>85.410914412829001</v>
      </c>
      <c r="AM8650">
        <v>83.991293101680697</v>
      </c>
      <c r="AN8650">
        <v>0.99999994957550398</v>
      </c>
    </row>
    <row r="8651" spans="1:40" x14ac:dyDescent="0.25">
      <c r="A8651" t="str">
        <f>"20190312150857196"</f>
        <v>20190312150857196</v>
      </c>
      <c r="B8651" t="str">
        <f>"1552374537188403"</f>
        <v>1552374537188403</v>
      </c>
      <c r="C8651" t="s">
        <v>40</v>
      </c>
      <c r="D8651">
        <v>4.778016</v>
      </c>
      <c r="E8651">
        <v>0.52173400000000003</v>
      </c>
      <c r="F8651" t="s">
        <v>42</v>
      </c>
      <c r="G8651">
        <v>-341.2294</v>
      </c>
      <c r="H8651" s="1">
        <v>-4.68908E-6</v>
      </c>
      <c r="I8651">
        <v>14.29311</v>
      </c>
      <c r="J8651">
        <v>-356.4187</v>
      </c>
      <c r="K8651">
        <v>1.1097349999999999</v>
      </c>
      <c r="L8651">
        <v>17.094449999999998</v>
      </c>
      <c r="M8651">
        <v>0.99971810000000005</v>
      </c>
      <c r="N8651">
        <v>0</v>
      </c>
      <c r="O8651">
        <v>-1.983482E-2</v>
      </c>
      <c r="P8651">
        <v>0.99002319999999999</v>
      </c>
      <c r="Q8651">
        <v>6.7284220000000006E-2</v>
      </c>
      <c r="R8651">
        <v>-0.1238012</v>
      </c>
      <c r="S8651">
        <v>2.9767760000000001</v>
      </c>
      <c r="T8651">
        <v>-0.21571219999999999</v>
      </c>
      <c r="U8651">
        <v>-0.54507450000000002</v>
      </c>
      <c r="V8651">
        <v>0.1042664</v>
      </c>
      <c r="W8651">
        <v>8.0072249999999998E-2</v>
      </c>
      <c r="X8651">
        <v>0.9913208</v>
      </c>
      <c r="Y8651">
        <v>0.16021099999999999</v>
      </c>
      <c r="Z8651">
        <v>-4.3265630000000003E-3</v>
      </c>
      <c r="AA8651">
        <v>0.98707330000000004</v>
      </c>
      <c r="AB8651">
        <v>27</v>
      </c>
      <c r="AC8651">
        <v>15.189299999999999</v>
      </c>
      <c r="AD8651">
        <v>-1.10973968908</v>
      </c>
      <c r="AE8651">
        <v>-2.8013399999999899</v>
      </c>
      <c r="AF8651">
        <v>2.4866493670512102</v>
      </c>
      <c r="AG8651">
        <v>-1.10973968908</v>
      </c>
      <c r="AH8651">
        <v>15.163601576026</v>
      </c>
      <c r="AI8651">
        <v>94.130718838259597</v>
      </c>
      <c r="AJ8651">
        <v>80.6870681614148</v>
      </c>
      <c r="AK8651">
        <v>15.406159807318501</v>
      </c>
      <c r="AL8651">
        <v>85.407281265894198</v>
      </c>
      <c r="AM8651">
        <v>83.995747723443898</v>
      </c>
      <c r="AN8651">
        <v>0.999999987950831</v>
      </c>
    </row>
    <row r="8652" spans="1:40" x14ac:dyDescent="0.25">
      <c r="A8652" t="str">
        <f>"20190312150857207"</f>
        <v>20190312150857207</v>
      </c>
      <c r="B8652" t="str">
        <f>"1552374537198163"</f>
        <v>1552374537198163</v>
      </c>
      <c r="C8652" t="s">
        <v>40</v>
      </c>
      <c r="D8652">
        <v>4.763833</v>
      </c>
      <c r="E8652">
        <v>0.52162659999999905</v>
      </c>
      <c r="F8652" t="s">
        <v>42</v>
      </c>
      <c r="G8652">
        <v>-341.09820000000002</v>
      </c>
      <c r="H8652" s="1">
        <v>-4.7465960000000003E-6</v>
      </c>
      <c r="I8652">
        <v>14.286210000000001</v>
      </c>
      <c r="J8652">
        <v>-356.28129999999999</v>
      </c>
      <c r="K8652">
        <v>1.1097459999999999</v>
      </c>
      <c r="L8652">
        <v>17.091279999999902</v>
      </c>
      <c r="M8652">
        <v>0.99970930000000002</v>
      </c>
      <c r="N8652">
        <v>0</v>
      </c>
      <c r="O8652">
        <v>-2.0274179999999999E-2</v>
      </c>
      <c r="P8652">
        <v>0.98994309999999996</v>
      </c>
      <c r="Q8652">
        <v>6.732921E-2</v>
      </c>
      <c r="R8652">
        <v>-0.1244184</v>
      </c>
      <c r="S8652">
        <v>2.9765929999999998</v>
      </c>
      <c r="T8652">
        <v>-0.21560989999999999</v>
      </c>
      <c r="U8652">
        <v>-0.54559329999999995</v>
      </c>
      <c r="V8652">
        <v>0.1044484</v>
      </c>
      <c r="W8652">
        <v>8.0119300000000004E-2</v>
      </c>
      <c r="X8652">
        <v>0.99129780000000001</v>
      </c>
      <c r="Y8652">
        <v>0.1599565</v>
      </c>
      <c r="Z8652">
        <v>-4.2840909999999899E-3</v>
      </c>
      <c r="AA8652">
        <v>0.98711479999999996</v>
      </c>
      <c r="AB8652">
        <v>27</v>
      </c>
      <c r="AC8652">
        <v>15.1830999999999</v>
      </c>
      <c r="AD8652">
        <v>-1.1097507465959999</v>
      </c>
      <c r="AE8652">
        <v>-2.80506999999999</v>
      </c>
      <c r="AF8652">
        <v>2.4838108776059999</v>
      </c>
      <c r="AG8652">
        <v>-1.1097507465959999</v>
      </c>
      <c r="AH8652">
        <v>15.158545090579301</v>
      </c>
      <c r="AI8652">
        <v>94.132220125404899</v>
      </c>
      <c r="AJ8652">
        <v>80.6944640663353</v>
      </c>
      <c r="AK8652">
        <v>15.400725712069899</v>
      </c>
      <c r="AL8652">
        <v>85.404576632901296</v>
      </c>
      <c r="AM8652">
        <v>83.985205360748907</v>
      </c>
      <c r="AN8652">
        <v>0.99999994938994297</v>
      </c>
    </row>
    <row r="8653" spans="1:40" x14ac:dyDescent="0.25">
      <c r="A8653" t="str">
        <f>"20190312150857218"</f>
        <v>20190312150857218</v>
      </c>
      <c r="B8653" t="str">
        <f>"1552374537207923"</f>
        <v>1552374537207923</v>
      </c>
      <c r="C8653" t="s">
        <v>40</v>
      </c>
      <c r="D8653">
        <v>4.7752990000000004</v>
      </c>
      <c r="E8653">
        <v>0.52153539999999998</v>
      </c>
      <c r="F8653" t="s">
        <v>42</v>
      </c>
      <c r="G8653">
        <v>-341.04860000000002</v>
      </c>
      <c r="H8653" s="1">
        <v>-4.7664739999999997E-6</v>
      </c>
      <c r="I8653">
        <v>14.294219999999999</v>
      </c>
      <c r="J8653">
        <v>-356.14800000000002</v>
      </c>
      <c r="K8653">
        <v>1.109756</v>
      </c>
      <c r="L8653">
        <v>17.088100000000001</v>
      </c>
      <c r="M8653">
        <v>0.99970040000000004</v>
      </c>
      <c r="N8653">
        <v>0</v>
      </c>
      <c r="O8653">
        <v>-2.0701150000000001E-2</v>
      </c>
      <c r="P8653">
        <v>0.98987440000000004</v>
      </c>
      <c r="Q8653">
        <v>6.7469199999999993E-2</v>
      </c>
      <c r="R8653">
        <v>-0.1248877</v>
      </c>
      <c r="S8653">
        <v>2.9765320000000002</v>
      </c>
      <c r="T8653">
        <v>-0.2168495</v>
      </c>
      <c r="U8653">
        <v>-0.54653929999999995</v>
      </c>
      <c r="V8653">
        <v>0.104495</v>
      </c>
      <c r="W8653">
        <v>8.0262379999999994E-2</v>
      </c>
      <c r="X8653">
        <v>0.99128139999999998</v>
      </c>
      <c r="Y8653">
        <v>0.15983939999999999</v>
      </c>
      <c r="Z8653">
        <v>-4.2736220000000004E-3</v>
      </c>
      <c r="AA8653">
        <v>0.98713379999999995</v>
      </c>
      <c r="AB8653">
        <v>27</v>
      </c>
      <c r="AC8653">
        <v>15.099399999999999</v>
      </c>
      <c r="AD8653">
        <v>-1.1097607664739999</v>
      </c>
      <c r="AE8653">
        <v>-2.7938800000000001</v>
      </c>
      <c r="AF8653">
        <v>2.46779033979066</v>
      </c>
      <c r="AG8653">
        <v>-1.1097607664739999</v>
      </c>
      <c r="AH8653">
        <v>15.075267249403399</v>
      </c>
      <c r="AI8653">
        <v>94.155108774831504</v>
      </c>
      <c r="AJ8653">
        <v>80.703254834603399</v>
      </c>
      <c r="AK8653">
        <v>15.3161757877384</v>
      </c>
      <c r="AL8653">
        <v>85.3963526578722</v>
      </c>
      <c r="AM8653">
        <v>83.982442701595801</v>
      </c>
      <c r="AN8653">
        <v>1.00000003432711</v>
      </c>
    </row>
    <row r="8654" spans="1:40" x14ac:dyDescent="0.25">
      <c r="A8654" t="str">
        <f>"20190312150857229"</f>
        <v>20190312150857229</v>
      </c>
      <c r="B8654" t="str">
        <f>"1552374537218659"</f>
        <v>1552374537218659</v>
      </c>
      <c r="C8654" t="s">
        <v>40</v>
      </c>
      <c r="D8654">
        <v>4.7842339999999997</v>
      </c>
      <c r="E8654">
        <v>0.52155819999999997</v>
      </c>
      <c r="F8654" t="s">
        <v>42</v>
      </c>
      <c r="G8654">
        <v>-340.96570000000003</v>
      </c>
      <c r="H8654" s="1">
        <v>-4.8016129999999996E-6</v>
      </c>
      <c r="I8654">
        <v>14.2965</v>
      </c>
      <c r="J8654">
        <v>-356.0204</v>
      </c>
      <c r="K8654">
        <v>1.109766</v>
      </c>
      <c r="L8654">
        <v>17.08502</v>
      </c>
      <c r="M8654">
        <v>0.99969200000000003</v>
      </c>
      <c r="N8654">
        <v>0</v>
      </c>
      <c r="O8654">
        <v>-2.1110360000000002E-2</v>
      </c>
      <c r="P8654">
        <v>0.98980559999999995</v>
      </c>
      <c r="Q8654">
        <v>6.7392510000000003E-2</v>
      </c>
      <c r="R8654">
        <v>-0.12547369999999999</v>
      </c>
      <c r="S8654">
        <v>2.9764710000000001</v>
      </c>
      <c r="T8654">
        <v>-0.2175668</v>
      </c>
      <c r="U8654">
        <v>-0.54727169999999903</v>
      </c>
      <c r="V8654">
        <v>0.1046755</v>
      </c>
      <c r="W8654">
        <v>8.018728E-2</v>
      </c>
      <c r="X8654">
        <v>0.99126840000000005</v>
      </c>
      <c r="Y8654">
        <v>0.15967300000000001</v>
      </c>
      <c r="Z8654">
        <v>-4.2520980000000002E-3</v>
      </c>
      <c r="AA8654">
        <v>0.98716079999999995</v>
      </c>
      <c r="AB8654">
        <v>27</v>
      </c>
      <c r="AC8654">
        <v>15.054699999999899</v>
      </c>
      <c r="AD8654">
        <v>-1.1097708016129999</v>
      </c>
      <c r="AE8654">
        <v>-2.7885200000000001</v>
      </c>
      <c r="AF8654">
        <v>2.45715193570424</v>
      </c>
      <c r="AG8654">
        <v>-1.1097708016129999</v>
      </c>
      <c r="AH8654">
        <v>15.031245265559299</v>
      </c>
      <c r="AI8654">
        <v>94.167423641722394</v>
      </c>
      <c r="AJ8654">
        <v>80.715996266860301</v>
      </c>
      <c r="AK8654">
        <v>15.271133589247601</v>
      </c>
      <c r="AL8654">
        <v>85.400669328901202</v>
      </c>
      <c r="AM8654">
        <v>83.9720462359832</v>
      </c>
      <c r="AN8654">
        <v>1.0000000005062999</v>
      </c>
    </row>
    <row r="8655" spans="1:40" x14ac:dyDescent="0.25">
      <c r="A8655" t="str">
        <f>"20190312150857241"</f>
        <v>20190312150857241</v>
      </c>
      <c r="B8655" t="str">
        <f>"1552374537228418"</f>
        <v>1552374537228418</v>
      </c>
      <c r="C8655" t="s">
        <v>40</v>
      </c>
      <c r="D8655">
        <v>4.7948309999999896</v>
      </c>
      <c r="E8655">
        <v>0.52153190000000005</v>
      </c>
      <c r="F8655" t="s">
        <v>42</v>
      </c>
      <c r="G8655">
        <v>-340.94569999999999</v>
      </c>
      <c r="H8655" s="1">
        <v>-4.8090339999999997E-6</v>
      </c>
      <c r="I8655">
        <v>14.303050000000001</v>
      </c>
      <c r="J8655">
        <v>-355.87400000000002</v>
      </c>
      <c r="K8655">
        <v>1.1097760000000001</v>
      </c>
      <c r="L8655">
        <v>17.081389999999999</v>
      </c>
      <c r="M8655">
        <v>0.99968179999999995</v>
      </c>
      <c r="N8655">
        <v>0</v>
      </c>
      <c r="O8655">
        <v>-2.1579770000000002E-2</v>
      </c>
      <c r="P8655">
        <v>0.98973540000000004</v>
      </c>
      <c r="Q8655">
        <v>6.7328579999999999E-2</v>
      </c>
      <c r="R8655">
        <v>-0.12605999999999901</v>
      </c>
      <c r="S8655">
        <v>2.9761660000000001</v>
      </c>
      <c r="T8655">
        <v>-0.2191004</v>
      </c>
      <c r="U8655">
        <v>-0.54922490000000002</v>
      </c>
      <c r="V8655">
        <v>0.1047969</v>
      </c>
      <c r="W8655">
        <v>8.0126439999999993E-2</v>
      </c>
      <c r="X8655">
        <v>0.99126049999999999</v>
      </c>
      <c r="Y8655">
        <v>0.15984979999999999</v>
      </c>
      <c r="Z8655">
        <v>-4.2544310000000004E-3</v>
      </c>
      <c r="AA8655">
        <v>0.98713220000000002</v>
      </c>
      <c r="AB8655">
        <v>27</v>
      </c>
      <c r="AC8655">
        <v>14.9283</v>
      </c>
      <c r="AD8655">
        <v>-1.109780809034</v>
      </c>
      <c r="AE8655">
        <v>-2.7783399999999898</v>
      </c>
      <c r="AF8655">
        <v>2.44246961532233</v>
      </c>
      <c r="AG8655">
        <v>-1.109780809034</v>
      </c>
      <c r="AH8655">
        <v>14.905167754649099</v>
      </c>
      <c r="AI8655">
        <v>94.202320947866099</v>
      </c>
      <c r="AJ8655">
        <v>80.6938051868852</v>
      </c>
      <c r="AK8655">
        <v>15.144678836479301</v>
      </c>
      <c r="AL8655">
        <v>85.404166490322893</v>
      </c>
      <c r="AM8655">
        <v>83.9650589889564</v>
      </c>
      <c r="AN8655">
        <v>1.0000000077484601</v>
      </c>
    </row>
    <row r="8656" spans="1:40" x14ac:dyDescent="0.25">
      <c r="A8656" t="str">
        <f>"20190312150857253"</f>
        <v>20190312150857253</v>
      </c>
      <c r="B8656" t="str">
        <f>"1552374537248555"</f>
        <v>1552374537248555</v>
      </c>
      <c r="C8656" t="s">
        <v>40</v>
      </c>
      <c r="D8656">
        <v>4.7674000000000003</v>
      </c>
      <c r="E8656">
        <v>0.52151570000000003</v>
      </c>
      <c r="F8656" t="s">
        <v>42</v>
      </c>
      <c r="G8656">
        <v>-340.8596</v>
      </c>
      <c r="H8656" s="1">
        <v>-4.8461010000000003E-6</v>
      </c>
      <c r="I8656">
        <v>14.30247</v>
      </c>
      <c r="J8656">
        <v>-355.7373</v>
      </c>
      <c r="K8656">
        <v>1.1097840000000001</v>
      </c>
      <c r="L8656">
        <v>17.077970000000001</v>
      </c>
      <c r="M8656">
        <v>0.99967220000000001</v>
      </c>
      <c r="N8656">
        <v>0</v>
      </c>
      <c r="O8656">
        <v>-2.201819E-2</v>
      </c>
      <c r="P8656">
        <v>0.98968029999999996</v>
      </c>
      <c r="Q8656">
        <v>6.7289849999999998E-2</v>
      </c>
      <c r="R8656">
        <v>-0.1265115</v>
      </c>
      <c r="S8656">
        <v>2.9759519999999999</v>
      </c>
      <c r="T8656">
        <v>-0.21996489999999999</v>
      </c>
      <c r="U8656">
        <v>-0.55078130000000003</v>
      </c>
      <c r="V8656">
        <v>0.104814</v>
      </c>
      <c r="W8656">
        <v>8.0089839999999995E-2</v>
      </c>
      <c r="X8656">
        <v>0.99126170000000002</v>
      </c>
      <c r="Y8656">
        <v>0.15992679999999901</v>
      </c>
      <c r="Z8656">
        <v>-4.2420409999999898E-3</v>
      </c>
      <c r="AA8656">
        <v>0.98711970000000004</v>
      </c>
      <c r="AB8656">
        <v>27</v>
      </c>
      <c r="AC8656">
        <v>14.877700000000001</v>
      </c>
      <c r="AD8656">
        <v>-1.1097888461009999</v>
      </c>
      <c r="AE8656">
        <v>-2.7754999999999899</v>
      </c>
      <c r="AF8656">
        <v>2.4341303663523801</v>
      </c>
      <c r="AG8656">
        <v>-1.1097888461009999</v>
      </c>
      <c r="AH8656">
        <v>14.855330047354601</v>
      </c>
      <c r="AI8656">
        <v>94.216406639946499</v>
      </c>
      <c r="AJ8656">
        <v>80.694453026821293</v>
      </c>
      <c r="AK8656">
        <v>15.094285433208301</v>
      </c>
      <c r="AL8656">
        <v>85.406270505961899</v>
      </c>
      <c r="AM8656">
        <v>83.964088772906194</v>
      </c>
      <c r="AN8656">
        <v>1.00000005747705</v>
      </c>
    </row>
    <row r="8657" spans="1:40" x14ac:dyDescent="0.25">
      <c r="A8657" t="str">
        <f>"20190312150857265"</f>
        <v>20190312150857265</v>
      </c>
      <c r="B8657" t="str">
        <f>"1552374537258316"</f>
        <v>1552374537258316</v>
      </c>
      <c r="C8657" t="s">
        <v>40</v>
      </c>
      <c r="D8657">
        <v>4.7745639999999998</v>
      </c>
      <c r="E8657">
        <v>0.52155699999999905</v>
      </c>
      <c r="F8657" t="s">
        <v>42</v>
      </c>
      <c r="G8657">
        <v>-340.79360000000003</v>
      </c>
      <c r="H8657" s="1">
        <v>-4.8738330000000001E-6</v>
      </c>
      <c r="I8657">
        <v>14.30552</v>
      </c>
      <c r="J8657">
        <v>-355.59399999999999</v>
      </c>
      <c r="K8657">
        <v>1.109788</v>
      </c>
      <c r="L8657">
        <v>17.074339999999999</v>
      </c>
      <c r="M8657">
        <v>0.99966200000000005</v>
      </c>
      <c r="N8657">
        <v>0</v>
      </c>
      <c r="O8657">
        <v>-2.2477480000000001E-2</v>
      </c>
      <c r="P8657">
        <v>0.98962439999999996</v>
      </c>
      <c r="Q8657">
        <v>6.7274909999999993E-2</v>
      </c>
      <c r="R8657">
        <v>-0.1269576</v>
      </c>
      <c r="S8657">
        <v>2.9757389999999999</v>
      </c>
      <c r="T8657">
        <v>-0.22099299999999999</v>
      </c>
      <c r="U8657">
        <v>-0.55206299999999997</v>
      </c>
      <c r="V8657">
        <v>0.104805</v>
      </c>
      <c r="W8657">
        <v>8.0077480000000006E-2</v>
      </c>
      <c r="X8657">
        <v>0.99126360000000002</v>
      </c>
      <c r="Y8657">
        <v>0.15989500000000001</v>
      </c>
      <c r="Z8657">
        <v>-4.2270420000000003E-3</v>
      </c>
      <c r="AA8657">
        <v>0.98712500000000003</v>
      </c>
      <c r="AB8657">
        <v>27</v>
      </c>
      <c r="AC8657">
        <v>14.8003999999999</v>
      </c>
      <c r="AD8657">
        <v>-1.1097928738330001</v>
      </c>
      <c r="AE8657">
        <v>-2.7688199999999901</v>
      </c>
      <c r="AF8657">
        <v>2.42225740820657</v>
      </c>
      <c r="AG8657">
        <v>-1.1097928738330001</v>
      </c>
      <c r="AH8657">
        <v>14.7786170224585</v>
      </c>
      <c r="AI8657">
        <v>94.238197214993093</v>
      </c>
      <c r="AJ8657">
        <v>80.691821824282897</v>
      </c>
      <c r="AK8657">
        <v>15.0168735851016</v>
      </c>
      <c r="AL8657">
        <v>85.406980734784597</v>
      </c>
      <c r="AM8657">
        <v>83.964614712192898</v>
      </c>
      <c r="AN8657">
        <v>1.0000000077565501</v>
      </c>
    </row>
    <row r="8658" spans="1:40" x14ac:dyDescent="0.25">
      <c r="A8658" t="str">
        <f>"20190312150857276"</f>
        <v>20190312150857276</v>
      </c>
      <c r="B8658" t="str">
        <f>"1552374537268075"</f>
        <v>1552374537268075</v>
      </c>
      <c r="C8658" t="s">
        <v>40</v>
      </c>
      <c r="D8658">
        <v>4.7991619999999999</v>
      </c>
      <c r="E8658">
        <v>0.52157109999999995</v>
      </c>
      <c r="F8658" t="s">
        <v>42</v>
      </c>
      <c r="G8658">
        <v>-340.6533</v>
      </c>
      <c r="H8658" s="1">
        <v>-4.9360909999999996E-6</v>
      </c>
      <c r="I8658">
        <v>14.29391</v>
      </c>
      <c r="J8658">
        <v>-355.45249999999999</v>
      </c>
      <c r="K8658">
        <v>1.1097919999999999</v>
      </c>
      <c r="L8658">
        <v>17.070650000000001</v>
      </c>
      <c r="M8658">
        <v>0.99965170000000003</v>
      </c>
      <c r="N8658">
        <v>0</v>
      </c>
      <c r="O8658">
        <v>-2.2930820000000001E-2</v>
      </c>
      <c r="P8658">
        <v>0.98958970000000002</v>
      </c>
      <c r="Q8658">
        <v>6.7277680000000006E-2</v>
      </c>
      <c r="R8658">
        <v>-0.12722530000000001</v>
      </c>
      <c r="S8658">
        <v>2.9754640000000001</v>
      </c>
      <c r="T8658">
        <v>-0.22101750000000001</v>
      </c>
      <c r="U8658">
        <v>-0.55371090000000001</v>
      </c>
      <c r="V8658">
        <v>0.1046236</v>
      </c>
      <c r="W8658">
        <v>8.0082710000000001E-2</v>
      </c>
      <c r="X8658">
        <v>0.99128229999999995</v>
      </c>
      <c r="Y8658">
        <v>0.159993</v>
      </c>
      <c r="Z8658">
        <v>-4.1979840000000001E-3</v>
      </c>
      <c r="AA8658">
        <v>0.98710920000000002</v>
      </c>
      <c r="AB8658">
        <v>27</v>
      </c>
      <c r="AC8658">
        <v>14.7991999999999</v>
      </c>
      <c r="AD8658">
        <v>-1.1097969360910001</v>
      </c>
      <c r="AE8658">
        <v>-2.7767400000000002</v>
      </c>
      <c r="AF8658">
        <v>2.4234580158152998</v>
      </c>
      <c r="AG8658">
        <v>-1.1097969360910001</v>
      </c>
      <c r="AH8658">
        <v>14.7787038042381</v>
      </c>
      <c r="AI8658">
        <v>94.238133755716504</v>
      </c>
      <c r="AJ8658">
        <v>80.687342701675306</v>
      </c>
      <c r="AK8658">
        <v>15.017152996729299</v>
      </c>
      <c r="AL8658">
        <v>85.406679930330498</v>
      </c>
      <c r="AM8658">
        <v>83.975096877119498</v>
      </c>
      <c r="AN8658">
        <v>0.999999968205596</v>
      </c>
    </row>
    <row r="8659" spans="1:40" x14ac:dyDescent="0.25">
      <c r="A8659" t="str">
        <f>"20190312150857288"</f>
        <v>20190312150857288</v>
      </c>
      <c r="B8659" t="str">
        <f>"1552374537277835"</f>
        <v>1552374537277835</v>
      </c>
      <c r="C8659" t="s">
        <v>40</v>
      </c>
      <c r="D8659">
        <v>4.7838750000000001</v>
      </c>
      <c r="E8659">
        <v>0.52131620000000001</v>
      </c>
      <c r="F8659" t="s">
        <v>42</v>
      </c>
      <c r="G8659">
        <v>-340.5566</v>
      </c>
      <c r="H8659" s="1">
        <v>-4.9776389999999996E-6</v>
      </c>
      <c r="I8659">
        <v>14.2935</v>
      </c>
      <c r="J8659">
        <v>-355.31169999999997</v>
      </c>
      <c r="K8659">
        <v>1.1097969999999999</v>
      </c>
      <c r="L8659">
        <v>17.066929999999999</v>
      </c>
      <c r="M8659">
        <v>0.99964109999999995</v>
      </c>
      <c r="N8659">
        <v>0</v>
      </c>
      <c r="O8659">
        <v>-2.3381889999999999E-2</v>
      </c>
      <c r="P8659">
        <v>0.98951109999999998</v>
      </c>
      <c r="Q8659">
        <v>6.7570039999999998E-2</v>
      </c>
      <c r="R8659">
        <v>-0.12768019999999999</v>
      </c>
      <c r="S8659">
        <v>2.9752809999999998</v>
      </c>
      <c r="T8659">
        <v>-0.22166959999999999</v>
      </c>
      <c r="U8659">
        <v>-0.5546875</v>
      </c>
      <c r="V8659">
        <v>0.10463260000000001</v>
      </c>
      <c r="W8659">
        <v>8.0376920000000004E-2</v>
      </c>
      <c r="X8659">
        <v>0.99125750000000001</v>
      </c>
      <c r="Y8659">
        <v>0.15987100000000001</v>
      </c>
      <c r="Z8659">
        <v>-4.172734E-3</v>
      </c>
      <c r="AA8659">
        <v>0.98712909999999998</v>
      </c>
      <c r="AB8659">
        <v>27</v>
      </c>
      <c r="AC8659">
        <v>14.755099999999899</v>
      </c>
      <c r="AD8659">
        <v>-1.109801977639</v>
      </c>
      <c r="AE8659">
        <v>-2.7734299999999901</v>
      </c>
      <c r="AF8659">
        <v>2.4144469589164501</v>
      </c>
      <c r="AG8659">
        <v>-1.109801977639</v>
      </c>
      <c r="AH8659">
        <v>14.735401557646499</v>
      </c>
      <c r="AI8659">
        <v>94.250649461342405</v>
      </c>
      <c r="AJ8659">
        <v>80.694575872763494</v>
      </c>
      <c r="AK8659">
        <v>14.9730849731137</v>
      </c>
      <c r="AL8659">
        <v>85.389768249456097</v>
      </c>
      <c r="AM8659">
        <v>83.974432772314003</v>
      </c>
      <c r="AN8659">
        <v>0.99999993077884497</v>
      </c>
    </row>
    <row r="8660" spans="1:40" x14ac:dyDescent="0.25">
      <c r="A8660" t="str">
        <f>"20190312150857299"</f>
        <v>20190312150857299</v>
      </c>
      <c r="B8660" t="str">
        <f>"1552374537288572"</f>
        <v>1552374537288572</v>
      </c>
      <c r="C8660" t="s">
        <v>40</v>
      </c>
      <c r="D8660">
        <v>4.8177830000000004</v>
      </c>
      <c r="E8660">
        <v>0.52131620000000001</v>
      </c>
      <c r="F8660" t="s">
        <v>42</v>
      </c>
      <c r="G8660">
        <v>-340.42880000000002</v>
      </c>
      <c r="H8660" s="1">
        <v>-5.0321259999999999E-6</v>
      </c>
      <c r="I8660">
        <v>14.295540000000001</v>
      </c>
      <c r="J8660">
        <v>-355.173</v>
      </c>
      <c r="K8660">
        <v>1.1098030000000001</v>
      </c>
      <c r="L8660">
        <v>17.063199999999998</v>
      </c>
      <c r="M8660">
        <v>0.99963060000000004</v>
      </c>
      <c r="N8660">
        <v>0</v>
      </c>
      <c r="O8660">
        <v>-2.3826159999999999E-2</v>
      </c>
      <c r="P8660">
        <v>0.98947640000000003</v>
      </c>
      <c r="Q8660">
        <v>6.763595E-2</v>
      </c>
      <c r="R8660">
        <v>-0.127914</v>
      </c>
      <c r="S8660">
        <v>2.9754330000000002</v>
      </c>
      <c r="T8660">
        <v>-0.2218745</v>
      </c>
      <c r="U8660">
        <v>-0.55404659999999994</v>
      </c>
      <c r="V8660">
        <v>0.10442609999999999</v>
      </c>
      <c r="W8660">
        <v>8.0444890000000005E-2</v>
      </c>
      <c r="X8660">
        <v>0.99127379999999998</v>
      </c>
      <c r="Y8660">
        <v>0.15922</v>
      </c>
      <c r="Z8660">
        <v>-4.1196549999999998E-3</v>
      </c>
      <c r="AA8660">
        <v>0.98723450000000001</v>
      </c>
      <c r="AB8660">
        <v>27</v>
      </c>
      <c r="AC8660">
        <v>14.7441999999999</v>
      </c>
      <c r="AD8660">
        <v>-1.109808032126</v>
      </c>
      <c r="AE8660">
        <v>-2.7676599999999998</v>
      </c>
      <c r="AF8660">
        <v>2.4023984871585702</v>
      </c>
      <c r="AG8660">
        <v>-1.109808032126</v>
      </c>
      <c r="AH8660">
        <v>14.725372153146701</v>
      </c>
      <c r="AI8660">
        <v>94.254033956594199</v>
      </c>
      <c r="AJ8660">
        <v>80.734007631949794</v>
      </c>
      <c r="AK8660">
        <v>14.961275928474199</v>
      </c>
      <c r="AL8660">
        <v>85.385861378271201</v>
      </c>
      <c r="AM8660">
        <v>83.986335595737302</v>
      </c>
      <c r="AN8660">
        <v>0.99999996862738005</v>
      </c>
    </row>
    <row r="8661" spans="1:40" x14ac:dyDescent="0.25">
      <c r="A8661" t="str">
        <f>"20190312150857311"</f>
        <v>20190312150857311</v>
      </c>
      <c r="B8661" t="str">
        <f>"1552374537298332"</f>
        <v>1552374537298332</v>
      </c>
      <c r="C8661" t="s">
        <v>40</v>
      </c>
      <c r="D8661">
        <v>4.7494779999999999</v>
      </c>
      <c r="E8661">
        <v>0.49417</v>
      </c>
      <c r="F8661" t="s">
        <v>42</v>
      </c>
      <c r="G8661">
        <v>-340.28039999999999</v>
      </c>
      <c r="H8661" s="1">
        <v>-5.097419E-6</v>
      </c>
      <c r="I8661">
        <v>14.286379999999999</v>
      </c>
      <c r="J8661">
        <v>-355.04300000000001</v>
      </c>
      <c r="K8661">
        <v>1.1098079999999999</v>
      </c>
      <c r="L8661">
        <v>17.059629999999999</v>
      </c>
      <c r="M8661">
        <v>0.99962059999999997</v>
      </c>
      <c r="N8661">
        <v>0</v>
      </c>
      <c r="O8661">
        <v>-2.424254E-2</v>
      </c>
      <c r="P8661">
        <v>0.98943809999999999</v>
      </c>
      <c r="Q8661">
        <v>6.7819249999999998E-2</v>
      </c>
      <c r="R8661">
        <v>-0.1281128</v>
      </c>
      <c r="S8661">
        <v>2.975311</v>
      </c>
      <c r="T8661">
        <v>-0.22172220000000001</v>
      </c>
      <c r="U8661">
        <v>-0.55474849999999998</v>
      </c>
      <c r="V8661">
        <v>0.10421279999999999</v>
      </c>
      <c r="W8661">
        <v>8.0630240000000006E-2</v>
      </c>
      <c r="X8661">
        <v>0.99128119999999997</v>
      </c>
      <c r="Y8661">
        <v>0.1590433</v>
      </c>
      <c r="Z8661">
        <v>-4.0797109999999998E-3</v>
      </c>
      <c r="AA8661">
        <v>0.98726320000000001</v>
      </c>
      <c r="AB8661">
        <v>27</v>
      </c>
      <c r="AC8661">
        <v>14.762600000000001</v>
      </c>
      <c r="AD8661">
        <v>-1.1098130974189999</v>
      </c>
      <c r="AE8661">
        <v>-2.7732499999999898</v>
      </c>
      <c r="AF8661">
        <v>2.4014120308217501</v>
      </c>
      <c r="AG8661">
        <v>-1.1098130974189999</v>
      </c>
      <c r="AH8661">
        <v>14.745004231531</v>
      </c>
      <c r="AI8661">
        <v>94.248601005988405</v>
      </c>
      <c r="AJ8661">
        <v>80.749865233249196</v>
      </c>
      <c r="AK8661">
        <v>14.9804410696362</v>
      </c>
      <c r="AL8661">
        <v>85.375207049685699</v>
      </c>
      <c r="AM8661">
        <v>83.998573797920997</v>
      </c>
      <c r="AN8661">
        <v>0.99999998037986804</v>
      </c>
    </row>
    <row r="8662" spans="1:40" x14ac:dyDescent="0.25">
      <c r="A8662" t="str">
        <f>"20190312150857321"</f>
        <v>20190312150857321</v>
      </c>
      <c r="B8662" t="str">
        <f>"1552374537317852"</f>
        <v>1552374537317852</v>
      </c>
      <c r="C8662" t="s">
        <v>40</v>
      </c>
      <c r="D8662">
        <v>4.741352</v>
      </c>
      <c r="E8662">
        <v>0.4900272</v>
      </c>
      <c r="F8662" t="s">
        <v>41</v>
      </c>
      <c r="G8662">
        <v>-354.1515</v>
      </c>
      <c r="H8662">
        <v>1.041596</v>
      </c>
      <c r="I8662">
        <v>16.958379999999998</v>
      </c>
      <c r="J8662">
        <v>-354.9151</v>
      </c>
      <c r="K8662">
        <v>1.1098110000000001</v>
      </c>
      <c r="L8662">
        <v>17.056090000000001</v>
      </c>
      <c r="M8662">
        <v>0.99961049999999996</v>
      </c>
      <c r="N8662">
        <v>0</v>
      </c>
      <c r="O8662">
        <v>-2.4652719999999999E-2</v>
      </c>
      <c r="P8662">
        <v>0.98940819999999996</v>
      </c>
      <c r="Q8662">
        <v>6.8059300000000003E-2</v>
      </c>
      <c r="R8662">
        <v>-0.12821749999999901</v>
      </c>
      <c r="S8662">
        <v>3.0036930000000002</v>
      </c>
      <c r="T8662">
        <v>-0.2298992</v>
      </c>
      <c r="U8662">
        <v>-0.3405762</v>
      </c>
      <c r="V8662">
        <v>0.10391110000000001</v>
      </c>
      <c r="W8662">
        <v>8.0872159999999998E-2</v>
      </c>
      <c r="X8662">
        <v>0.99129319999999999</v>
      </c>
      <c r="Y8662">
        <v>8.7949159999999998E-2</v>
      </c>
      <c r="Z8662">
        <v>-1.4726540000000001E-3</v>
      </c>
      <c r="AA8662">
        <v>0.99612389999999995</v>
      </c>
      <c r="AB8662">
        <v>27</v>
      </c>
      <c r="AC8662">
        <v>0.76359999999999595</v>
      </c>
      <c r="AD8662">
        <v>-6.8215000000000095E-2</v>
      </c>
      <c r="AE8662">
        <v>-9.7710000000002795E-2</v>
      </c>
      <c r="AF8662">
        <v>7.8239542151804994E-2</v>
      </c>
      <c r="AG8662">
        <v>-6.8215000000000095E-2</v>
      </c>
      <c r="AH8662">
        <v>0.75981095060727999</v>
      </c>
      <c r="AI8662">
        <v>95.103357370300401</v>
      </c>
      <c r="AJ8662">
        <v>84.120838298972799</v>
      </c>
      <c r="AK8662">
        <v>0.766868562951868</v>
      </c>
      <c r="AL8662">
        <v>85.361300804129897</v>
      </c>
      <c r="AM8662">
        <v>84.015893811852195</v>
      </c>
      <c r="AN8662">
        <v>1.0000000156662501</v>
      </c>
    </row>
    <row r="8663" spans="1:40" x14ac:dyDescent="0.25">
      <c r="A8663" t="str">
        <f>"20190312150857332"</f>
        <v>20190312150857332</v>
      </c>
      <c r="B8663" t="str">
        <f>"1552374537328588"</f>
        <v>1552374537328588</v>
      </c>
      <c r="C8663" t="s">
        <v>40</v>
      </c>
      <c r="D8663">
        <v>4.7850429999999999</v>
      </c>
      <c r="E8663">
        <v>0.48837710000000001</v>
      </c>
      <c r="F8663" t="s">
        <v>41</v>
      </c>
      <c r="G8663">
        <v>-354.14240000000001</v>
      </c>
      <c r="H8663">
        <v>1.0522</v>
      </c>
      <c r="I8663">
        <v>16.976779999999899</v>
      </c>
      <c r="J8663">
        <v>-354.7808</v>
      </c>
      <c r="K8663">
        <v>1.109823</v>
      </c>
      <c r="L8663">
        <v>17.052309999999999</v>
      </c>
      <c r="M8663">
        <v>0.99959980000000004</v>
      </c>
      <c r="N8663">
        <v>0</v>
      </c>
      <c r="O8663">
        <v>-2.508316E-2</v>
      </c>
      <c r="P8663">
        <v>0.98935379999999995</v>
      </c>
      <c r="Q8663">
        <v>6.8235009999999999E-2</v>
      </c>
      <c r="R8663">
        <v>-0.12854309999999999</v>
      </c>
      <c r="S8663">
        <v>3.0075989999999999</v>
      </c>
      <c r="T8663">
        <v>-0.22426979999999999</v>
      </c>
      <c r="U8663">
        <v>-0.30801390000000001</v>
      </c>
      <c r="V8663">
        <v>0.1038109</v>
      </c>
      <c r="W8663">
        <v>8.1048969999999998E-2</v>
      </c>
      <c r="X8663">
        <v>0.99128930000000004</v>
      </c>
      <c r="Y8663">
        <v>7.6750319999999997E-2</v>
      </c>
      <c r="Z8663">
        <v>-9.8779199999999992E-4</v>
      </c>
      <c r="AA8663">
        <v>0.99704990000000004</v>
      </c>
      <c r="AB8663">
        <v>27</v>
      </c>
      <c r="AC8663">
        <v>0.63839999999998998</v>
      </c>
      <c r="AD8663">
        <v>-5.7622999999999903E-2</v>
      </c>
      <c r="AE8663">
        <v>-7.5530000000004094E-2</v>
      </c>
      <c r="AF8663">
        <v>5.9017584626534697E-2</v>
      </c>
      <c r="AG8663">
        <v>-5.7622999999999903E-2</v>
      </c>
      <c r="AH8663">
        <v>0.63499183604824705</v>
      </c>
      <c r="AI8663">
        <v>95.163032867215605</v>
      </c>
      <c r="AJ8663">
        <v>84.690054526839404</v>
      </c>
      <c r="AK8663">
        <v>0.64032657079967803</v>
      </c>
      <c r="AL8663">
        <v>85.351137167167394</v>
      </c>
      <c r="AM8663">
        <v>84.021599038787201</v>
      </c>
      <c r="AN8663">
        <v>1.00000005739567</v>
      </c>
    </row>
    <row r="8664" spans="1:40" x14ac:dyDescent="0.25">
      <c r="A8664" t="str">
        <f>"20190312150857342"</f>
        <v>20190312150857342</v>
      </c>
      <c r="B8664" t="str">
        <f>"1552374537338052"</f>
        <v>1552374537338052</v>
      </c>
      <c r="C8664" t="s">
        <v>40</v>
      </c>
      <c r="D8664">
        <v>4.7568460000000004</v>
      </c>
      <c r="E8664">
        <v>0.48739909999999997</v>
      </c>
      <c r="F8664" t="s">
        <v>41</v>
      </c>
      <c r="G8664">
        <v>-353.9092</v>
      </c>
      <c r="H8664">
        <v>1.045245</v>
      </c>
      <c r="I8664">
        <v>16.966349999999998</v>
      </c>
      <c r="J8664">
        <v>-354.65699999999998</v>
      </c>
      <c r="K8664">
        <v>1.109826</v>
      </c>
      <c r="L8664">
        <v>17.0488</v>
      </c>
      <c r="M8664">
        <v>0.99958970000000003</v>
      </c>
      <c r="N8664">
        <v>0</v>
      </c>
      <c r="O8664">
        <v>-2.5479990000000001E-2</v>
      </c>
      <c r="P8664">
        <v>0.98930289999999999</v>
      </c>
      <c r="Q8664">
        <v>6.8304999999999894E-2</v>
      </c>
      <c r="R8664">
        <v>-0.12889489999999901</v>
      </c>
      <c r="S8664">
        <v>3.0092159999999999</v>
      </c>
      <c r="T8664">
        <v>-0.2229044</v>
      </c>
      <c r="U8664">
        <v>-0.29583739999999997</v>
      </c>
      <c r="V8664">
        <v>0.10377020000000001</v>
      </c>
      <c r="W8664">
        <v>8.112026E-2</v>
      </c>
      <c r="X8664">
        <v>0.99128760000000005</v>
      </c>
      <c r="Y8664">
        <v>7.232007E-2</v>
      </c>
      <c r="Z8664">
        <v>-7.8871639999999999E-4</v>
      </c>
      <c r="AA8664">
        <v>0.99738119999999997</v>
      </c>
      <c r="AB8664">
        <v>27</v>
      </c>
      <c r="AC8664">
        <v>0.74779999999998303</v>
      </c>
      <c r="AD8664">
        <v>-6.4581E-2</v>
      </c>
      <c r="AE8664">
        <v>-8.2450000000001397E-2</v>
      </c>
      <c r="AF8664">
        <v>6.2904137041858904E-2</v>
      </c>
      <c r="AG8664">
        <v>-6.4581E-2</v>
      </c>
      <c r="AH8664">
        <v>0.74417457722975799</v>
      </c>
      <c r="AI8664">
        <v>94.942282081085494</v>
      </c>
      <c r="AJ8664">
        <v>85.168345846566197</v>
      </c>
      <c r="AK8664">
        <v>0.74961552639541196</v>
      </c>
      <c r="AL8664">
        <v>85.347038455820197</v>
      </c>
      <c r="AM8664">
        <v>84.023915784704201</v>
      </c>
      <c r="AN8664">
        <v>0.99999992845213104</v>
      </c>
    </row>
    <row r="8665" spans="1:40" x14ac:dyDescent="0.25">
      <c r="A8665" t="str">
        <f>"20190312150857353"</f>
        <v>20190312150857353</v>
      </c>
      <c r="B8665" t="str">
        <f>"1552374537348787"</f>
        <v>1552374537348787</v>
      </c>
      <c r="C8665" t="s">
        <v>40</v>
      </c>
      <c r="D8665">
        <v>4.9651069999999997</v>
      </c>
      <c r="E8665">
        <v>0.48710229999999999</v>
      </c>
      <c r="F8665" t="s">
        <v>41</v>
      </c>
      <c r="G8665">
        <v>-353.89530000000002</v>
      </c>
      <c r="H8665">
        <v>1.053026</v>
      </c>
      <c r="I8665">
        <v>16.9754</v>
      </c>
      <c r="J8665">
        <v>-354.53919999999999</v>
      </c>
      <c r="K8665">
        <v>1.109829</v>
      </c>
      <c r="L8665">
        <v>17.045379999999899</v>
      </c>
      <c r="M8665">
        <v>0.99958009999999997</v>
      </c>
      <c r="N8665">
        <v>0</v>
      </c>
      <c r="O8665">
        <v>-2.585763E-2</v>
      </c>
      <c r="P8665">
        <v>0.98927220000000005</v>
      </c>
      <c r="Q8665">
        <v>6.849848E-2</v>
      </c>
      <c r="R8665">
        <v>-0.1290298</v>
      </c>
      <c r="S8665">
        <v>3.010284</v>
      </c>
      <c r="T8665">
        <v>-0.22439110000000001</v>
      </c>
      <c r="U8665">
        <v>-0.28897089999999998</v>
      </c>
      <c r="V8665">
        <v>0.103531</v>
      </c>
      <c r="W8665">
        <v>8.1316540000000007E-2</v>
      </c>
      <c r="X8665">
        <v>0.99129659999999997</v>
      </c>
      <c r="Y8665">
        <v>6.9661490000000006E-2</v>
      </c>
      <c r="Z8665">
        <v>-6.6700729999999897E-4</v>
      </c>
      <c r="AA8665">
        <v>0.99757050000000003</v>
      </c>
      <c r="AB8665">
        <v>27</v>
      </c>
      <c r="AC8665">
        <v>0.64389999999997305</v>
      </c>
      <c r="AD8665">
        <v>-5.6803000000000103E-2</v>
      </c>
      <c r="AE8665">
        <v>-6.9979999999997405E-2</v>
      </c>
      <c r="AF8665">
        <v>5.2898580706780302E-2</v>
      </c>
      <c r="AG8665">
        <v>-5.6803000000000103E-2</v>
      </c>
      <c r="AH8665">
        <v>0.64056746996833402</v>
      </c>
      <c r="AI8665">
        <v>95.050406853625901</v>
      </c>
      <c r="AJ8665">
        <v>85.279180008832299</v>
      </c>
      <c r="AK8665">
        <v>0.64525306991243703</v>
      </c>
      <c r="AL8665">
        <v>85.335755490097995</v>
      </c>
      <c r="AM8665">
        <v>84.037645609839899</v>
      </c>
      <c r="AN8665">
        <v>0.99999999840506504</v>
      </c>
    </row>
    <row r="8666" spans="1:40" x14ac:dyDescent="0.25">
      <c r="A8666" t="str">
        <f>"20190312150857363"</f>
        <v>20190312150857363</v>
      </c>
      <c r="B8666" t="str">
        <f>"1552374537358546"</f>
        <v>1552374537358546</v>
      </c>
      <c r="C8666" t="s">
        <v>40</v>
      </c>
      <c r="D8666">
        <v>4.7391920000000001</v>
      </c>
      <c r="E8666">
        <v>0.4868693</v>
      </c>
      <c r="F8666" t="s">
        <v>41</v>
      </c>
      <c r="G8666">
        <v>-353.66829999999999</v>
      </c>
      <c r="H8666">
        <v>1.046805</v>
      </c>
      <c r="I8666">
        <v>16.96236</v>
      </c>
      <c r="J8666">
        <v>-354.40679999999998</v>
      </c>
      <c r="K8666">
        <v>1.109837</v>
      </c>
      <c r="L8666">
        <v>17.041529999999899</v>
      </c>
      <c r="M8666">
        <v>0.99956889999999998</v>
      </c>
      <c r="N8666">
        <v>0</v>
      </c>
      <c r="O8666">
        <v>-2.6282119999999999E-2</v>
      </c>
      <c r="P8666">
        <v>0.98927410000000005</v>
      </c>
      <c r="Q8666">
        <v>6.8303879999999997E-2</v>
      </c>
      <c r="R8666">
        <v>-0.1291175</v>
      </c>
      <c r="S8666">
        <v>3.0101930000000001</v>
      </c>
      <c r="T8666">
        <v>-0.2178522</v>
      </c>
      <c r="U8666">
        <v>-0.28704829999999998</v>
      </c>
      <c r="V8666">
        <v>0.10319689999999999</v>
      </c>
      <c r="W8666">
        <v>8.1125959999999997E-2</v>
      </c>
      <c r="X8666">
        <v>0.99134710000000004</v>
      </c>
      <c r="Y8666">
        <v>6.8620020000000004E-2</v>
      </c>
      <c r="Z8666">
        <v>-5.7951659999999996E-4</v>
      </c>
      <c r="AA8666">
        <v>0.99764269999999999</v>
      </c>
      <c r="AB8666">
        <v>27</v>
      </c>
      <c r="AC8666">
        <v>0.73849999999998694</v>
      </c>
      <c r="AD8666">
        <v>-6.3032000000000199E-2</v>
      </c>
      <c r="AE8666">
        <v>-7.9169999999997701E-2</v>
      </c>
      <c r="AF8666">
        <v>5.9304522949091103E-2</v>
      </c>
      <c r="AG8666">
        <v>-6.3032000000000199E-2</v>
      </c>
      <c r="AH8666">
        <v>0.73503202096602205</v>
      </c>
      <c r="AI8666">
        <v>94.885557445158696</v>
      </c>
      <c r="AJ8666">
        <v>85.3872017786165</v>
      </c>
      <c r="AK8666">
        <v>0.74010954007607199</v>
      </c>
      <c r="AL8666">
        <v>85.3467113432948</v>
      </c>
      <c r="AM8666">
        <v>84.057049087478802</v>
      </c>
      <c r="AN8666">
        <v>1.0000000471169599</v>
      </c>
    </row>
    <row r="8667" spans="1:40" x14ac:dyDescent="0.25">
      <c r="A8667" t="str">
        <f>"20190312150857375"</f>
        <v>20190312150857375</v>
      </c>
      <c r="B8667" t="str">
        <f>"1552374537368307"</f>
        <v>1552374537368307</v>
      </c>
      <c r="C8667" t="s">
        <v>40</v>
      </c>
      <c r="D8667">
        <v>4.7416700000000001</v>
      </c>
      <c r="E8667">
        <v>0.48680030000000002</v>
      </c>
      <c r="F8667" t="s">
        <v>42</v>
      </c>
      <c r="G8667">
        <v>-338.51710000000003</v>
      </c>
      <c r="H8667" s="1">
        <v>-1.57682E-6</v>
      </c>
      <c r="I8667">
        <v>15.534230000000001</v>
      </c>
      <c r="J8667">
        <v>-354.27300000000002</v>
      </c>
      <c r="K8667">
        <v>1.109842</v>
      </c>
      <c r="L8667">
        <v>17.03754</v>
      </c>
      <c r="M8667">
        <v>0.99955749999999999</v>
      </c>
      <c r="N8667">
        <v>0</v>
      </c>
      <c r="O8667">
        <v>-2.6711039999999998E-2</v>
      </c>
      <c r="P8667">
        <v>0.98925450000000004</v>
      </c>
      <c r="Q8667">
        <v>6.8226399999999895E-2</v>
      </c>
      <c r="R8667">
        <v>-0.12930949999999999</v>
      </c>
      <c r="S8667">
        <v>3.0097659999999999</v>
      </c>
      <c r="T8667">
        <v>-0.2102214</v>
      </c>
      <c r="U8667">
        <v>-0.28549190000000002</v>
      </c>
      <c r="V8667">
        <v>0.102963</v>
      </c>
      <c r="W8667">
        <v>8.1053719999999996E-2</v>
      </c>
      <c r="X8667">
        <v>0.99137730000000002</v>
      </c>
      <c r="Y8667">
        <v>6.7704769999999997E-2</v>
      </c>
      <c r="Z8667">
        <v>-4.9767210000000004E-4</v>
      </c>
      <c r="AA8667">
        <v>0.99770530000000002</v>
      </c>
      <c r="AB8667">
        <v>27</v>
      </c>
      <c r="AC8667">
        <v>15.755899999999899</v>
      </c>
      <c r="AD8667">
        <v>-1.1098435768199999</v>
      </c>
      <c r="AE8667">
        <v>-1.5033099999999999</v>
      </c>
      <c r="AF8667">
        <v>1.0765873960127801</v>
      </c>
      <c r="AG8667">
        <v>-1.1098435768199999</v>
      </c>
      <c r="AH8667">
        <v>15.7131738059614</v>
      </c>
      <c r="AI8667">
        <v>94.030753467743494</v>
      </c>
      <c r="AJ8667">
        <v>86.080507676780897</v>
      </c>
      <c r="AK8667">
        <v>15.7890666045404</v>
      </c>
      <c r="AL8667">
        <v>85.3508639299572</v>
      </c>
      <c r="AM8667">
        <v>84.070602292776101</v>
      </c>
      <c r="AN8667">
        <v>1.0000000179250601</v>
      </c>
    </row>
    <row r="8668" spans="1:40" x14ac:dyDescent="0.25">
      <c r="A8668" t="str">
        <f>"20190312150857385"</f>
        <v>20190312150857385</v>
      </c>
      <c r="B8668" t="str">
        <f>"1552374537378066"</f>
        <v>1552374537378066</v>
      </c>
      <c r="C8668" t="s">
        <v>40</v>
      </c>
      <c r="D8668">
        <v>4.7592249999999998</v>
      </c>
      <c r="E8668">
        <v>0.48686980000000002</v>
      </c>
      <c r="F8668" t="s">
        <v>41</v>
      </c>
      <c r="G8668">
        <v>-353.42439999999999</v>
      </c>
      <c r="H8668">
        <v>1.0517970000000001</v>
      </c>
      <c r="I8668">
        <v>16.95675</v>
      </c>
      <c r="J8668">
        <v>-354.14109999999999</v>
      </c>
      <c r="K8668">
        <v>1.109845</v>
      </c>
      <c r="L8668">
        <v>17.033539999999999</v>
      </c>
      <c r="M8668">
        <v>0.99954609999999999</v>
      </c>
      <c r="N8668">
        <v>0</v>
      </c>
      <c r="O8668">
        <v>-2.713399E-2</v>
      </c>
      <c r="P8668">
        <v>0.98921099999999995</v>
      </c>
      <c r="Q8668">
        <v>6.8389909999999998E-2</v>
      </c>
      <c r="R8668">
        <v>-0.12955710000000001</v>
      </c>
      <c r="S8668">
        <v>3.0094599999999998</v>
      </c>
      <c r="T8668">
        <v>-0.205792</v>
      </c>
      <c r="U8668">
        <v>-0.28561399999999998</v>
      </c>
      <c r="V8668">
        <v>0.1027917</v>
      </c>
      <c r="W8668">
        <v>8.1222440000000007E-2</v>
      </c>
      <c r="X8668">
        <v>0.99138119999999996</v>
      </c>
      <c r="Y8668">
        <v>6.7338149999999999E-2</v>
      </c>
      <c r="Z8668">
        <v>-4.4596600000000001E-4</v>
      </c>
      <c r="AA8668">
        <v>0.99773009999999995</v>
      </c>
      <c r="AB8668">
        <v>27</v>
      </c>
      <c r="AC8668">
        <v>0.716700000000003</v>
      </c>
      <c r="AD8668">
        <v>-5.80480000000001E-2</v>
      </c>
      <c r="AE8668">
        <v>-7.6789999999998998E-2</v>
      </c>
      <c r="AF8668">
        <v>5.69438163291884E-2</v>
      </c>
      <c r="AG8668">
        <v>-5.80480000000001E-2</v>
      </c>
      <c r="AH8668">
        <v>0.71388994447037701</v>
      </c>
      <c r="AI8668">
        <v>94.633967742138694</v>
      </c>
      <c r="AJ8668">
        <v>85.439427176222296</v>
      </c>
      <c r="AK8668">
        <v>0.71850610389755998</v>
      </c>
      <c r="AL8668">
        <v>85.341164695259593</v>
      </c>
      <c r="AM8668">
        <v>84.080420072136306</v>
      </c>
      <c r="AN8668">
        <v>0.99999995103093997</v>
      </c>
    </row>
    <row r="8669" spans="1:40" x14ac:dyDescent="0.25">
      <c r="A8669" t="str">
        <f>"20190312150857397"</f>
        <v>20190312150857397</v>
      </c>
      <c r="B8669" t="str">
        <f>"1552374537387827"</f>
        <v>1552374537387827</v>
      </c>
      <c r="C8669" t="s">
        <v>40</v>
      </c>
      <c r="D8669">
        <v>4.8859339999999998</v>
      </c>
      <c r="E8669">
        <v>0.48688789999999998</v>
      </c>
      <c r="F8669" t="s">
        <v>41</v>
      </c>
      <c r="G8669">
        <v>-353.1909</v>
      </c>
      <c r="H8669">
        <v>1.0460529999999999</v>
      </c>
      <c r="I8669">
        <v>16.942959999999999</v>
      </c>
      <c r="J8669">
        <v>-354.00409999999999</v>
      </c>
      <c r="K8669">
        <v>1.1098509999999999</v>
      </c>
      <c r="L8669">
        <v>17.02936</v>
      </c>
      <c r="M8669">
        <v>0.99953389999999998</v>
      </c>
      <c r="N8669">
        <v>0</v>
      </c>
      <c r="O8669">
        <v>-2.7573159999999999E-2</v>
      </c>
      <c r="P8669">
        <v>0.98919009999999996</v>
      </c>
      <c r="Q8669">
        <v>6.8340570000000003E-2</v>
      </c>
      <c r="R8669">
        <v>-0.12973989999999999</v>
      </c>
      <c r="S8669">
        <v>3.0090940000000002</v>
      </c>
      <c r="T8669">
        <v>-0.20205699999999999</v>
      </c>
      <c r="U8669">
        <v>-0.28701779999999999</v>
      </c>
      <c r="V8669">
        <v>0.10253909999999999</v>
      </c>
      <c r="W8669">
        <v>8.1179660000000001E-2</v>
      </c>
      <c r="X8669">
        <v>0.99141089999999998</v>
      </c>
      <c r="Y8669">
        <v>6.737667E-2</v>
      </c>
      <c r="Z8669">
        <v>-4.0986050000000002E-4</v>
      </c>
      <c r="AA8669">
        <v>0.99772749999999999</v>
      </c>
      <c r="AB8669">
        <v>27</v>
      </c>
      <c r="AC8669">
        <v>0.81319999999999404</v>
      </c>
      <c r="AD8669">
        <v>-6.3797999999999799E-2</v>
      </c>
      <c r="AE8669">
        <v>-8.6400000000001101E-2</v>
      </c>
      <c r="AF8669">
        <v>6.3555912742855103E-2</v>
      </c>
      <c r="AG8669">
        <v>-6.3797999999999799E-2</v>
      </c>
      <c r="AH8669">
        <v>0.81034140545619004</v>
      </c>
      <c r="AI8669">
        <v>94.487872842336103</v>
      </c>
      <c r="AJ8669">
        <v>85.5154133803306</v>
      </c>
      <c r="AK8669">
        <v>0.81532983034186302</v>
      </c>
      <c r="AL8669">
        <v>85.343624104395502</v>
      </c>
      <c r="AM8669">
        <v>84.095039562222098</v>
      </c>
      <c r="AN8669">
        <v>0.99999998843266702</v>
      </c>
    </row>
    <row r="8670" spans="1:40" x14ac:dyDescent="0.25">
      <c r="A8670" t="str">
        <f>"20190312150857408"</f>
        <v>20190312150857408</v>
      </c>
      <c r="B8670" t="str">
        <f>"1552374537398563"</f>
        <v>1552374537398563</v>
      </c>
      <c r="C8670" t="s">
        <v>40</v>
      </c>
      <c r="D8670">
        <v>4.7208360000000003</v>
      </c>
      <c r="E8670">
        <v>0.4868729</v>
      </c>
      <c r="F8670" t="s">
        <v>42</v>
      </c>
      <c r="G8670">
        <v>-337.29239999999999</v>
      </c>
      <c r="H8670" s="1">
        <v>-2.020962E-6</v>
      </c>
      <c r="I8670">
        <v>15.43139</v>
      </c>
      <c r="J8670">
        <v>-353.87450000000001</v>
      </c>
      <c r="K8670">
        <v>1.109856</v>
      </c>
      <c r="L8670">
        <v>17.02533</v>
      </c>
      <c r="M8670">
        <v>0.99952240000000003</v>
      </c>
      <c r="N8670">
        <v>0</v>
      </c>
      <c r="O8670">
        <v>-2.7989199999999999E-2</v>
      </c>
      <c r="P8670">
        <v>0.98913759999999995</v>
      </c>
      <c r="Q8670">
        <v>6.8223909999999999E-2</v>
      </c>
      <c r="R8670">
        <v>-0.13020180000000001</v>
      </c>
      <c r="S8670">
        <v>3.0088499999999998</v>
      </c>
      <c r="T8670">
        <v>-0.19982249999999999</v>
      </c>
      <c r="U8670">
        <v>-0.28768919999999998</v>
      </c>
      <c r="V8670">
        <v>0.1025887</v>
      </c>
      <c r="W8670">
        <v>8.1068929999999997E-2</v>
      </c>
      <c r="X8670">
        <v>0.99141480000000004</v>
      </c>
      <c r="Y8670">
        <v>6.71929E-2</v>
      </c>
      <c r="Z8670">
        <v>-3.7177260000000002E-4</v>
      </c>
      <c r="AA8670">
        <v>0.99773990000000001</v>
      </c>
      <c r="AB8670">
        <v>27</v>
      </c>
      <c r="AC8670">
        <v>16.582100000000001</v>
      </c>
      <c r="AD8670">
        <v>-1.1098580209619999</v>
      </c>
      <c r="AE8670">
        <v>-1.5939399999999999</v>
      </c>
      <c r="AF8670">
        <v>1.1241659934267001</v>
      </c>
      <c r="AG8670">
        <v>-1.1098580209619999</v>
      </c>
      <c r="AH8670">
        <v>16.546772269528098</v>
      </c>
      <c r="AI8670">
        <v>93.828509739016397</v>
      </c>
      <c r="AJ8670">
        <v>86.113372378230096</v>
      </c>
      <c r="AK8670">
        <v>16.622009702412502</v>
      </c>
      <c r="AL8670">
        <v>85.349989310210006</v>
      </c>
      <c r="AM8670">
        <v>84.092226500049804</v>
      </c>
      <c r="AN8670">
        <v>0.99999995921903595</v>
      </c>
    </row>
    <row r="8671" spans="1:40" x14ac:dyDescent="0.25">
      <c r="A8671" t="str">
        <f>"20190312150857419"</f>
        <v>20190312150857419</v>
      </c>
      <c r="B8671" t="str">
        <f>"1552374537408322"</f>
        <v>1552374537408322</v>
      </c>
      <c r="C8671" t="s">
        <v>40</v>
      </c>
      <c r="D8671">
        <v>4.7530839999999897</v>
      </c>
      <c r="E8671">
        <v>0.4867997</v>
      </c>
      <c r="F8671" t="s">
        <v>41</v>
      </c>
      <c r="G8671">
        <v>-352.9495</v>
      </c>
      <c r="H8671">
        <v>1.0488470000000001</v>
      </c>
      <c r="I8671">
        <v>16.93618</v>
      </c>
      <c r="J8671">
        <v>-353.74009999999998</v>
      </c>
      <c r="K8671">
        <v>1.1098589999999999</v>
      </c>
      <c r="L8671">
        <v>17.021090000000001</v>
      </c>
      <c r="M8671">
        <v>0.99951020000000002</v>
      </c>
      <c r="N8671">
        <v>0</v>
      </c>
      <c r="O8671">
        <v>-2.8420150000000002E-2</v>
      </c>
      <c r="P8671">
        <v>0.98910640000000005</v>
      </c>
      <c r="Q8671">
        <v>6.8420540000000002E-2</v>
      </c>
      <c r="R8671">
        <v>-0.13033699999999901</v>
      </c>
      <c r="S8671">
        <v>3.0086059999999999</v>
      </c>
      <c r="T8671">
        <v>-0.1983839</v>
      </c>
      <c r="U8671">
        <v>-0.28897089999999998</v>
      </c>
      <c r="V8671">
        <v>0.1022969</v>
      </c>
      <c r="W8671">
        <v>8.1271869999999996E-2</v>
      </c>
      <c r="X8671">
        <v>0.99142839999999999</v>
      </c>
      <c r="Y8671">
        <v>6.7193729999999993E-2</v>
      </c>
      <c r="Z8671">
        <v>-3.4085949999999897E-4</v>
      </c>
      <c r="AA8671">
        <v>0.99773990000000001</v>
      </c>
      <c r="AB8671">
        <v>27</v>
      </c>
      <c r="AC8671">
        <v>0.79059999999998298</v>
      </c>
      <c r="AD8671">
        <v>-6.1011999999999997E-2</v>
      </c>
      <c r="AE8671">
        <v>-8.4910000000000693E-2</v>
      </c>
      <c r="AF8671">
        <v>6.2039534621969997E-2</v>
      </c>
      <c r="AG8671">
        <v>-6.1011999999999997E-2</v>
      </c>
      <c r="AH8671">
        <v>0.78805423189457902</v>
      </c>
      <c r="AI8671">
        <v>94.4134680306924</v>
      </c>
      <c r="AJ8671">
        <v>85.498676130751903</v>
      </c>
      <c r="AK8671">
        <v>0.79284351571231604</v>
      </c>
      <c r="AL8671">
        <v>85.338323504353298</v>
      </c>
      <c r="AM8671">
        <v>84.108992277057794</v>
      </c>
      <c r="AN8671">
        <v>1.0000000224647301</v>
      </c>
    </row>
    <row r="8672" spans="1:40" x14ac:dyDescent="0.25">
      <c r="A8672" t="str">
        <f>"20190312150857430"</f>
        <v>20190312150857430</v>
      </c>
      <c r="B8672" t="str">
        <f>"1552374537418083"</f>
        <v>1552374537418083</v>
      </c>
      <c r="C8672" t="s">
        <v>40</v>
      </c>
      <c r="D8672">
        <v>4.901033</v>
      </c>
      <c r="E8672">
        <v>0.48707050000000002</v>
      </c>
      <c r="F8672" t="s">
        <v>42</v>
      </c>
      <c r="G8672">
        <v>-337.0283</v>
      </c>
      <c r="H8672" s="1">
        <v>-2.1147030000000001E-6</v>
      </c>
      <c r="I8672">
        <v>15.416829999999999</v>
      </c>
      <c r="J8672">
        <v>-353.61130000000003</v>
      </c>
      <c r="K8672">
        <v>1.109864</v>
      </c>
      <c r="L8672">
        <v>17.016970000000001</v>
      </c>
      <c r="M8672">
        <v>0.9994982</v>
      </c>
      <c r="N8672">
        <v>0</v>
      </c>
      <c r="O8672">
        <v>-2.8833210000000001E-2</v>
      </c>
      <c r="P8672">
        <v>0.98903980000000002</v>
      </c>
      <c r="Q8672">
        <v>6.8580479999999999E-2</v>
      </c>
      <c r="R8672">
        <v>-0.1307566</v>
      </c>
      <c r="S8672">
        <v>3.0088200000000001</v>
      </c>
      <c r="T8672">
        <v>-0.19982079999999999</v>
      </c>
      <c r="U8672">
        <v>-0.28881839999999998</v>
      </c>
      <c r="V8672">
        <v>0.1023082</v>
      </c>
      <c r="W8672">
        <v>8.1437250000000003E-2</v>
      </c>
      <c r="X8672">
        <v>0.99141369999999895</v>
      </c>
      <c r="Y8672">
        <v>6.6725240000000005E-2</v>
      </c>
      <c r="Z8672">
        <v>-3.0047990000000002E-4</v>
      </c>
      <c r="AA8672">
        <v>0.99777130000000003</v>
      </c>
      <c r="AB8672">
        <v>27</v>
      </c>
      <c r="AC8672">
        <v>16.582999999999998</v>
      </c>
      <c r="AD8672">
        <v>-1.109866114703</v>
      </c>
      <c r="AE8672">
        <v>-1.6001399999999999</v>
      </c>
      <c r="AF8672">
        <v>1.1163380209710001</v>
      </c>
      <c r="AG8672">
        <v>-1.109866114703</v>
      </c>
      <c r="AH8672">
        <v>16.548801306195202</v>
      </c>
      <c r="AI8672">
        <v>93.828193364998896</v>
      </c>
      <c r="AJ8672">
        <v>86.140826077775102</v>
      </c>
      <c r="AK8672">
        <v>16.6235025804299</v>
      </c>
      <c r="AL8672">
        <v>85.3288165857618</v>
      </c>
      <c r="AM8672">
        <v>84.108259374301099</v>
      </c>
      <c r="AN8672">
        <v>1.0000000590112399</v>
      </c>
    </row>
    <row r="8673" spans="1:40" x14ac:dyDescent="0.25">
      <c r="A8673" t="str">
        <f>"20190312150857442"</f>
        <v>20190312150857442</v>
      </c>
      <c r="B8673" t="str">
        <f>"1552374537438328"</f>
        <v>1552374537438328</v>
      </c>
      <c r="C8673" t="s">
        <v>40</v>
      </c>
      <c r="D8673">
        <v>4.7309530000000004</v>
      </c>
      <c r="E8673">
        <v>0.48710439999999999</v>
      </c>
      <c r="F8673" t="s">
        <v>41</v>
      </c>
      <c r="G8673">
        <v>-352.7097</v>
      </c>
      <c r="H8673">
        <v>1.0499889999999901</v>
      </c>
      <c r="I8673">
        <v>16.929349999999999</v>
      </c>
      <c r="J8673">
        <v>-353.4631</v>
      </c>
      <c r="K8673">
        <v>1.109872</v>
      </c>
      <c r="L8673">
        <v>17.01221</v>
      </c>
      <c r="M8673">
        <v>0.99948419999999905</v>
      </c>
      <c r="N8673">
        <v>0</v>
      </c>
      <c r="O8673">
        <v>-2.9307670000000001E-2</v>
      </c>
      <c r="P8673">
        <v>0.98899349999999997</v>
      </c>
      <c r="Q8673">
        <v>6.8377579999999993E-2</v>
      </c>
      <c r="R8673">
        <v>-0.131210299999999</v>
      </c>
      <c r="S8673">
        <v>3.0085139999999999</v>
      </c>
      <c r="T8673">
        <v>-0.199797</v>
      </c>
      <c r="U8673">
        <v>-0.29220580000000002</v>
      </c>
      <c r="V8673">
        <v>0.1022916</v>
      </c>
      <c r="W8673">
        <v>8.1240499999999993E-2</v>
      </c>
      <c r="X8673">
        <v>0.99143150000000002</v>
      </c>
      <c r="Y8673">
        <v>6.7373909999999995E-2</v>
      </c>
      <c r="Z8673">
        <v>-2.9055999999999998E-4</v>
      </c>
      <c r="AA8673">
        <v>0.99772780000000005</v>
      </c>
      <c r="AB8673">
        <v>27</v>
      </c>
      <c r="AC8673">
        <v>0.75339999999999896</v>
      </c>
      <c r="AD8673">
        <v>-5.9883000000000103E-2</v>
      </c>
      <c r="AE8673">
        <v>-8.28600000000001E-2</v>
      </c>
      <c r="AF8673">
        <v>6.0365289073994202E-2</v>
      </c>
      <c r="AG8673">
        <v>-5.9883000000000103E-2</v>
      </c>
      <c r="AH8673">
        <v>0.750818235047643</v>
      </c>
      <c r="AI8673">
        <v>94.545480214633798</v>
      </c>
      <c r="AJ8673">
        <v>85.403344582835203</v>
      </c>
      <c r="AK8673">
        <v>0.75561760427748403</v>
      </c>
      <c r="AL8673">
        <v>85.340126753268095</v>
      </c>
      <c r="AM8673">
        <v>84.109313633198695</v>
      </c>
      <c r="AN8673">
        <v>1.0000000047315201</v>
      </c>
    </row>
    <row r="8674" spans="1:40" x14ac:dyDescent="0.25">
      <c r="A8674" t="str">
        <f>"20190312150857454"</f>
        <v>20190312150857454</v>
      </c>
      <c r="B8674" t="str">
        <f>"1552374537448089"</f>
        <v>1552374537448089</v>
      </c>
      <c r="C8674" t="s">
        <v>40</v>
      </c>
      <c r="D8674">
        <v>4.8613850000000003</v>
      </c>
      <c r="E8674">
        <v>0.48710439999999999</v>
      </c>
      <c r="F8674" t="s">
        <v>42</v>
      </c>
      <c r="G8674">
        <v>-336.49459999999999</v>
      </c>
      <c r="H8674" s="1">
        <v>-2.3127790000000002E-6</v>
      </c>
      <c r="I8674">
        <v>15.354979999999999</v>
      </c>
      <c r="J8674">
        <v>-353.32029999999997</v>
      </c>
      <c r="K8674">
        <v>1.1098749999999999</v>
      </c>
      <c r="L8674">
        <v>17.007479999999902</v>
      </c>
      <c r="M8674">
        <v>0.99947090000000005</v>
      </c>
      <c r="N8674">
        <v>0</v>
      </c>
      <c r="O8674">
        <v>-2.976328E-2</v>
      </c>
      <c r="P8674">
        <v>0.98893869999999895</v>
      </c>
      <c r="Q8674">
        <v>6.8562219999999993E-2</v>
      </c>
      <c r="R8674">
        <v>-0.13152839999999999</v>
      </c>
      <c r="S8674">
        <v>3.0079959999999999</v>
      </c>
      <c r="T8674">
        <v>-0.19674710000000001</v>
      </c>
      <c r="U8674">
        <v>-0.29376219999999997</v>
      </c>
      <c r="V8674">
        <v>0.10215870000000001</v>
      </c>
      <c r="W8674">
        <v>8.143061E-2</v>
      </c>
      <c r="X8674">
        <v>0.99142960000000002</v>
      </c>
      <c r="Y8674">
        <v>6.7450350000000006E-2</v>
      </c>
      <c r="Z8674">
        <v>-2.5900149999999998E-4</v>
      </c>
      <c r="AA8674">
        <v>0.99772260000000002</v>
      </c>
      <c r="AB8674">
        <v>27</v>
      </c>
      <c r="AC8674">
        <v>16.825699999999902</v>
      </c>
      <c r="AD8674">
        <v>-1.109877312779</v>
      </c>
      <c r="AE8674">
        <v>-1.6524999999999901</v>
      </c>
      <c r="AF8674">
        <v>1.1459978993383799</v>
      </c>
      <c r="AG8674">
        <v>-1.109877312779</v>
      </c>
      <c r="AH8674">
        <v>16.7950529978955</v>
      </c>
      <c r="AI8674">
        <v>93.772067654475606</v>
      </c>
      <c r="AJ8674">
        <v>86.096515862747097</v>
      </c>
      <c r="AK8674">
        <v>16.870653337580901</v>
      </c>
      <c r="AL8674">
        <v>85.329198011843005</v>
      </c>
      <c r="AM8674">
        <v>84.116902061964396</v>
      </c>
      <c r="AN8674">
        <v>0.99999999799341099</v>
      </c>
    </row>
    <row r="8675" spans="1:40" x14ac:dyDescent="0.25">
      <c r="A8675" t="str">
        <f>"20190312150857468"</f>
        <v>20190312150857468</v>
      </c>
      <c r="B8675" t="str">
        <f>"1552374537457849"</f>
        <v>1552374537457849</v>
      </c>
      <c r="C8675" t="s">
        <v>40</v>
      </c>
      <c r="D8675">
        <v>4.7598609999999999</v>
      </c>
      <c r="E8675">
        <v>0.48702610000000002</v>
      </c>
      <c r="F8675" t="s">
        <v>42</v>
      </c>
      <c r="G8675">
        <v>-336.30560000000003</v>
      </c>
      <c r="H8675" s="1">
        <v>-2.381125E-6</v>
      </c>
      <c r="I8675">
        <v>15.339869999999999</v>
      </c>
      <c r="J8675">
        <v>-353.166</v>
      </c>
      <c r="K8675">
        <v>1.1098779999999999</v>
      </c>
      <c r="L8675">
        <v>17.002379999999999</v>
      </c>
      <c r="M8675">
        <v>0.99945589999999995</v>
      </c>
      <c r="N8675">
        <v>0</v>
      </c>
      <c r="O8675">
        <v>-3.025417E-2</v>
      </c>
      <c r="P8675">
        <v>0.98890639999999996</v>
      </c>
      <c r="Q8675">
        <v>6.8471439999999995E-2</v>
      </c>
      <c r="R8675">
        <v>-0.13181699999999999</v>
      </c>
      <c r="S8675">
        <v>3.0079959999999999</v>
      </c>
      <c r="T8675">
        <v>-0.19621350000000001</v>
      </c>
      <c r="U8675">
        <v>-0.2947998</v>
      </c>
      <c r="V8675">
        <v>0.1019602</v>
      </c>
      <c r="W8675">
        <v>8.1346959999999996E-2</v>
      </c>
      <c r="X8675">
        <v>0.99145689999999997</v>
      </c>
      <c r="Y8675">
        <v>6.7302979999999998E-2</v>
      </c>
      <c r="Z8675">
        <v>-2.21628E-4</v>
      </c>
      <c r="AA8675">
        <v>0.99773259999999997</v>
      </c>
      <c r="AB8675">
        <v>27</v>
      </c>
      <c r="AC8675">
        <v>16.860399999999899</v>
      </c>
      <c r="AD8675">
        <v>-1.109880381125</v>
      </c>
      <c r="AE8675">
        <v>-1.6625099999999899</v>
      </c>
      <c r="AF8675">
        <v>1.1466863376360801</v>
      </c>
      <c r="AG8675">
        <v>-1.109880381125</v>
      </c>
      <c r="AH8675">
        <v>16.8307527569158</v>
      </c>
      <c r="AI8675">
        <v>93.764126559985201</v>
      </c>
      <c r="AJ8675">
        <v>86.102437257380203</v>
      </c>
      <c r="AK8675">
        <v>16.906240338459501</v>
      </c>
      <c r="AL8675">
        <v>85.334006754486296</v>
      </c>
      <c r="AM8675">
        <v>84.128413851069297</v>
      </c>
      <c r="AN8675">
        <v>0.99999999742144496</v>
      </c>
    </row>
    <row r="8676" spans="1:40" x14ac:dyDescent="0.25">
      <c r="A8676" t="str">
        <f>"20190312150857480"</f>
        <v>20190312150857480</v>
      </c>
      <c r="B8676" t="str">
        <f>"1552374537468585"</f>
        <v>1552374537468585</v>
      </c>
      <c r="C8676" t="s">
        <v>40</v>
      </c>
      <c r="D8676">
        <v>4.7737759999999998</v>
      </c>
      <c r="E8676">
        <v>0.48692190000000002</v>
      </c>
      <c r="F8676" t="s">
        <v>41</v>
      </c>
      <c r="G8676">
        <v>-352.23430000000002</v>
      </c>
      <c r="H8676">
        <v>1.04847</v>
      </c>
      <c r="I8676">
        <v>16.910799999999998</v>
      </c>
      <c r="J8676">
        <v>-353.0138</v>
      </c>
      <c r="K8676">
        <v>1.1098840000000001</v>
      </c>
      <c r="L8676">
        <v>16.997219999999999</v>
      </c>
      <c r="M8676">
        <v>0.99944129999999998</v>
      </c>
      <c r="N8676">
        <v>0</v>
      </c>
      <c r="O8676">
        <v>-3.0735869999999998E-2</v>
      </c>
      <c r="P8676">
        <v>0.98885060000000002</v>
      </c>
      <c r="Q8676">
        <v>6.8354230000000002E-2</v>
      </c>
      <c r="R8676">
        <v>-0.1322979</v>
      </c>
      <c r="S8676">
        <v>3.0080870000000002</v>
      </c>
      <c r="T8676">
        <v>-0.1982604</v>
      </c>
      <c r="U8676">
        <v>-0.29504390000000003</v>
      </c>
      <c r="V8676">
        <v>0.1019635</v>
      </c>
      <c r="W8676">
        <v>8.1235269999999998E-2</v>
      </c>
      <c r="X8676">
        <v>0.99146570000000001</v>
      </c>
      <c r="Y8676">
        <v>6.6899650000000005E-2</v>
      </c>
      <c r="Z8676">
        <v>-1.7907700000000001E-4</v>
      </c>
      <c r="AA8676">
        <v>0.99775970000000003</v>
      </c>
      <c r="AB8676">
        <v>27</v>
      </c>
      <c r="AC8676">
        <v>0.77949999999998398</v>
      </c>
      <c r="AD8676">
        <v>-6.1414000000000003E-2</v>
      </c>
      <c r="AE8676">
        <v>-8.6420000000003896E-2</v>
      </c>
      <c r="AF8676">
        <v>6.2038074002872798E-2</v>
      </c>
      <c r="AG8676">
        <v>-6.1414000000000003E-2</v>
      </c>
      <c r="AH8676">
        <v>0.77702342630622701</v>
      </c>
      <c r="AI8676">
        <v>94.504845347579405</v>
      </c>
      <c r="AJ8676">
        <v>85.435149515002607</v>
      </c>
      <c r="AK8676">
        <v>0.78191163634432104</v>
      </c>
      <c r="AL8676">
        <v>85.340427285395094</v>
      </c>
      <c r="AM8676">
        <v>84.128276893866698</v>
      </c>
      <c r="AN8676">
        <v>0.99999997935035601</v>
      </c>
    </row>
    <row r="8677" spans="1:40" x14ac:dyDescent="0.25">
      <c r="A8677" t="str">
        <f>"20190312150857492"</f>
        <v>20190312150857492</v>
      </c>
      <c r="B8677" t="str">
        <f>"1552374537488104"</f>
        <v>1552374537488104</v>
      </c>
      <c r="C8677" t="s">
        <v>40</v>
      </c>
      <c r="D8677">
        <v>4.7421769999999999</v>
      </c>
      <c r="E8677">
        <v>0.4868304</v>
      </c>
      <c r="F8677" t="s">
        <v>42</v>
      </c>
      <c r="G8677">
        <v>-336.28809999999999</v>
      </c>
      <c r="H8677" s="1">
        <v>-2.383549E-6</v>
      </c>
      <c r="I8677">
        <v>15.35319</v>
      </c>
      <c r="J8677">
        <v>-352.87490000000003</v>
      </c>
      <c r="K8677">
        <v>1.109888</v>
      </c>
      <c r="L8677">
        <v>16.992460000000001</v>
      </c>
      <c r="M8677">
        <v>0.99942759999999997</v>
      </c>
      <c r="N8677">
        <v>0</v>
      </c>
      <c r="O8677">
        <v>-3.1172490000000001E-2</v>
      </c>
      <c r="P8677">
        <v>0.98877539999999997</v>
      </c>
      <c r="Q8677">
        <v>6.8471210000000005E-2</v>
      </c>
      <c r="R8677">
        <v>-0.13279769999999999</v>
      </c>
      <c r="S8677">
        <v>3.0080260000000001</v>
      </c>
      <c r="T8677">
        <v>-0.19960639999999999</v>
      </c>
      <c r="U8677">
        <v>-0.29565429999999998</v>
      </c>
      <c r="V8677">
        <v>0.10203139999999999</v>
      </c>
      <c r="W8677">
        <v>8.1356940000000003E-2</v>
      </c>
      <c r="X8677">
        <v>0.99144880000000002</v>
      </c>
      <c r="Y8677">
        <v>6.6666619999999996E-2</v>
      </c>
      <c r="Z8677">
        <v>-1.4374569999999999E-4</v>
      </c>
      <c r="AA8677">
        <v>0.99777530000000003</v>
      </c>
      <c r="AB8677">
        <v>27</v>
      </c>
      <c r="AC8677">
        <v>16.5868</v>
      </c>
      <c r="AD8677">
        <v>-1.1098903835489999</v>
      </c>
      <c r="AE8677">
        <v>-1.63927</v>
      </c>
      <c r="AF8677">
        <v>1.11642624814361</v>
      </c>
      <c r="AG8677">
        <v>-1.1098903835489999</v>
      </c>
      <c r="AH8677">
        <v>16.556428055726599</v>
      </c>
      <c r="AI8677">
        <v>93.826525157191696</v>
      </c>
      <c r="AJ8677">
        <v>86.142294505023798</v>
      </c>
      <c r="AK8677">
        <v>16.631102615145199</v>
      </c>
      <c r="AL8677">
        <v>85.333433243156904</v>
      </c>
      <c r="AM8677">
        <v>84.124294662282395</v>
      </c>
      <c r="AN8677">
        <v>1.0000000406467799</v>
      </c>
    </row>
    <row r="8678" spans="1:40" x14ac:dyDescent="0.25">
      <c r="A8678" t="str">
        <f>"20190312150857501"</f>
        <v>20190312150857501</v>
      </c>
      <c r="B8678" t="str">
        <f>"1552374537497865"</f>
        <v>1552374537497865</v>
      </c>
      <c r="C8678" t="s">
        <v>40</v>
      </c>
      <c r="D8678">
        <v>4.7476479999999999</v>
      </c>
      <c r="E8678">
        <v>0.48673889999999997</v>
      </c>
      <c r="F8678" t="s">
        <v>41</v>
      </c>
      <c r="G8678">
        <v>-351.99369999999999</v>
      </c>
      <c r="H8678">
        <v>1.0510729999999999</v>
      </c>
      <c r="I8678">
        <v>16.905449999999998</v>
      </c>
      <c r="J8678">
        <v>-352.75199999999899</v>
      </c>
      <c r="K8678">
        <v>1.1098870000000001</v>
      </c>
      <c r="L8678">
        <v>16.988250000000001</v>
      </c>
      <c r="M8678">
        <v>0.99941550000000001</v>
      </c>
      <c r="N8678">
        <v>0</v>
      </c>
      <c r="O8678">
        <v>-3.1558210000000003E-2</v>
      </c>
      <c r="P8678">
        <v>0.98873999999999995</v>
      </c>
      <c r="Q8678">
        <v>6.8439050000000001E-2</v>
      </c>
      <c r="R8678">
        <v>-0.133077799999999</v>
      </c>
      <c r="S8678">
        <v>3.0081790000000002</v>
      </c>
      <c r="T8678">
        <v>-0.20072190000000001</v>
      </c>
      <c r="U8678">
        <v>-0.29641719999999999</v>
      </c>
      <c r="V8678">
        <v>0.1019289</v>
      </c>
      <c r="W8678">
        <v>8.1329360000000003E-2</v>
      </c>
      <c r="X8678">
        <v>0.99146160000000005</v>
      </c>
      <c r="Y8678">
        <v>6.6527550000000005E-2</v>
      </c>
      <c r="Z8678">
        <v>-1.1429660000000001E-4</v>
      </c>
      <c r="AA8678">
        <v>0.99778460000000002</v>
      </c>
      <c r="AB8678">
        <v>27</v>
      </c>
      <c r="AC8678">
        <v>0.758299999999962</v>
      </c>
      <c r="AD8678">
        <v>-5.8814000000000102E-2</v>
      </c>
      <c r="AE8678">
        <v>-8.2800000000002399E-2</v>
      </c>
      <c r="AF8678">
        <v>5.8478455249985101E-2</v>
      </c>
      <c r="AG8678">
        <v>-5.8814000000000102E-2</v>
      </c>
      <c r="AH8678">
        <v>0.75604102513913995</v>
      </c>
      <c r="AI8678">
        <v>94.435005184413299</v>
      </c>
      <c r="AJ8678">
        <v>85.577077729995395</v>
      </c>
      <c r="AK8678">
        <v>0.76057665492563298</v>
      </c>
      <c r="AL8678">
        <v>85.335018687661005</v>
      </c>
      <c r="AM8678">
        <v>84.130231369466102</v>
      </c>
      <c r="AN8678">
        <v>1.00000003486388</v>
      </c>
    </row>
    <row r="8679" spans="1:40" x14ac:dyDescent="0.25">
      <c r="A8679" t="str">
        <f>"20190312150857514"</f>
        <v>20190312150857514</v>
      </c>
      <c r="B8679" t="str">
        <f>"1552374537508601"</f>
        <v>1552374537508601</v>
      </c>
      <c r="C8679" t="s">
        <v>40</v>
      </c>
      <c r="D8679">
        <v>4.857221</v>
      </c>
      <c r="E8679">
        <v>0.48671720000000002</v>
      </c>
      <c r="F8679" t="s">
        <v>42</v>
      </c>
      <c r="G8679">
        <v>-336.20240000000001</v>
      </c>
      <c r="H8679" s="1">
        <v>-2.4117079999999999E-6</v>
      </c>
      <c r="I8679">
        <v>15.356949999999999</v>
      </c>
      <c r="J8679">
        <v>-352.61860000000001</v>
      </c>
      <c r="K8679">
        <v>1.1098939999999999</v>
      </c>
      <c r="L8679">
        <v>16.983550000000001</v>
      </c>
      <c r="M8679">
        <v>0.99940220000000002</v>
      </c>
      <c r="N8679">
        <v>0</v>
      </c>
      <c r="O8679">
        <v>-3.1970480000000003E-2</v>
      </c>
      <c r="P8679">
        <v>0.98868049999999996</v>
      </c>
      <c r="Q8679">
        <v>6.847251E-2</v>
      </c>
      <c r="R8679">
        <v>-0.1334996</v>
      </c>
      <c r="S8679">
        <v>3.0082399999999998</v>
      </c>
      <c r="T8679">
        <v>-0.2017458</v>
      </c>
      <c r="U8679">
        <v>-0.29650880000000002</v>
      </c>
      <c r="V8679">
        <v>0.10194209999999999</v>
      </c>
      <c r="W8679">
        <v>8.1366910000000001E-2</v>
      </c>
      <c r="X8679">
        <v>0.99145709999999998</v>
      </c>
      <c r="Y8679">
        <v>6.6145040000000002E-2</v>
      </c>
      <c r="Z8679" s="1">
        <v>-7.4573330000000002E-5</v>
      </c>
      <c r="AA8679">
        <v>0.99780999999999997</v>
      </c>
      <c r="AB8679">
        <v>27</v>
      </c>
      <c r="AC8679">
        <v>16.4162</v>
      </c>
      <c r="AD8679">
        <v>-1.1098964117079999</v>
      </c>
      <c r="AE8679">
        <v>-1.6266</v>
      </c>
      <c r="AF8679">
        <v>1.0959282481056001</v>
      </c>
      <c r="AG8679">
        <v>-1.1098964117079999</v>
      </c>
      <c r="AH8679">
        <v>16.385642480778699</v>
      </c>
      <c r="AI8679">
        <v>93.866450421384897</v>
      </c>
      <c r="AJ8679">
        <v>86.173559712105401</v>
      </c>
      <c r="AK8679">
        <v>16.459714708269399</v>
      </c>
      <c r="AL8679">
        <v>85.332859789857594</v>
      </c>
      <c r="AM8679">
        <v>84.129450072130197</v>
      </c>
      <c r="AN8679">
        <v>0.99999997346788305</v>
      </c>
    </row>
    <row r="8680" spans="1:40" x14ac:dyDescent="0.25">
      <c r="A8680" t="str">
        <f>"20190312150857526"</f>
        <v>20190312150857526</v>
      </c>
      <c r="B8680" t="str">
        <f>"1552374537518361"</f>
        <v>1552374537518361</v>
      </c>
      <c r="C8680" t="s">
        <v>40</v>
      </c>
      <c r="D8680">
        <v>4.7414209999999999</v>
      </c>
      <c r="E8680">
        <v>0.4867475</v>
      </c>
      <c r="F8680" t="s">
        <v>41</v>
      </c>
      <c r="G8680">
        <v>-351.75470000000001</v>
      </c>
      <c r="H8680">
        <v>1.0522389999999999</v>
      </c>
      <c r="I8680">
        <v>16.898060000000001</v>
      </c>
      <c r="J8680">
        <v>-352.47719999999998</v>
      </c>
      <c r="K8680">
        <v>1.1099000000000001</v>
      </c>
      <c r="L8680">
        <v>16.978579999999901</v>
      </c>
      <c r="M8680">
        <v>0.99938830000000001</v>
      </c>
      <c r="N8680">
        <v>0</v>
      </c>
      <c r="O8680">
        <v>-3.2405730000000001E-2</v>
      </c>
      <c r="P8680">
        <v>0.98861030000000005</v>
      </c>
      <c r="Q8680">
        <v>6.8330210000000002E-2</v>
      </c>
      <c r="R8680">
        <v>-0.13409360000000001</v>
      </c>
      <c r="S8680">
        <v>3.008057</v>
      </c>
      <c r="T8680">
        <v>-0.2007458</v>
      </c>
      <c r="U8680">
        <v>-0.29757689999999998</v>
      </c>
      <c r="V8680">
        <v>0.1021045</v>
      </c>
      <c r="W8680">
        <v>8.1229560000000006E-2</v>
      </c>
      <c r="X8680">
        <v>0.99145170000000005</v>
      </c>
      <c r="Y8680">
        <v>6.6069160000000002E-2</v>
      </c>
      <c r="Z8680" s="1">
        <v>-4.2774949999999999E-5</v>
      </c>
      <c r="AA8680">
        <v>0.99781509999999995</v>
      </c>
      <c r="AB8680">
        <v>27</v>
      </c>
      <c r="AC8680">
        <v>0.72249999999996795</v>
      </c>
      <c r="AD8680">
        <v>-5.7661000000000101E-2</v>
      </c>
      <c r="AE8680">
        <v>-8.0519999999996303E-2</v>
      </c>
      <c r="AF8680">
        <v>5.6705796276929399E-2</v>
      </c>
      <c r="AG8680">
        <v>-5.7661000000000101E-2</v>
      </c>
      <c r="AH8680">
        <v>0.72019915226916498</v>
      </c>
      <c r="AI8680">
        <v>94.563420381663505</v>
      </c>
      <c r="AJ8680">
        <v>85.498031763456396</v>
      </c>
      <c r="AK8680">
        <v>0.72472557370471202</v>
      </c>
      <c r="AL8680">
        <v>85.340755727706593</v>
      </c>
      <c r="AM8680">
        <v>84.120131597524704</v>
      </c>
      <c r="AN8680">
        <v>1.0000000218854601</v>
      </c>
    </row>
    <row r="8681" spans="1:40" x14ac:dyDescent="0.25">
      <c r="A8681" t="str">
        <f>"20190312150857536"</f>
        <v>20190312150857536</v>
      </c>
      <c r="B8681" t="str">
        <f>"1552374537528121"</f>
        <v>1552374537528121</v>
      </c>
      <c r="C8681" t="s">
        <v>40</v>
      </c>
      <c r="D8681">
        <v>4.7785390000000003</v>
      </c>
      <c r="E8681">
        <v>0.48674390000000001</v>
      </c>
      <c r="F8681" t="s">
        <v>41</v>
      </c>
      <c r="G8681">
        <v>-351.52249999999998</v>
      </c>
      <c r="H8681">
        <v>1.046438</v>
      </c>
      <c r="I8681">
        <v>16.883299999999998</v>
      </c>
      <c r="J8681">
        <v>-352.34089999999998</v>
      </c>
      <c r="K8681">
        <v>1.10991</v>
      </c>
      <c r="L8681">
        <v>16.973689999999898</v>
      </c>
      <c r="M8681">
        <v>0.99937480000000001</v>
      </c>
      <c r="N8681">
        <v>0</v>
      </c>
      <c r="O8681">
        <v>-3.2816390000000001E-2</v>
      </c>
      <c r="P8681">
        <v>0.98857669999999997</v>
      </c>
      <c r="Q8681">
        <v>6.8374169999999998E-2</v>
      </c>
      <c r="R8681">
        <v>-0.13431850000000001</v>
      </c>
      <c r="S8681">
        <v>3.0077509999999998</v>
      </c>
      <c r="T8681">
        <v>-0.19993030000000001</v>
      </c>
      <c r="U8681">
        <v>-0.29956050000000001</v>
      </c>
      <c r="V8681">
        <v>0.1019211</v>
      </c>
      <c r="W8681">
        <v>8.1278999999999907E-2</v>
      </c>
      <c r="X8681">
        <v>0.99146650000000003</v>
      </c>
      <c r="Y8681">
        <v>6.6321660000000004E-2</v>
      </c>
      <c r="Z8681" s="1">
        <v>-2.3802980000000001E-5</v>
      </c>
      <c r="AA8681">
        <v>0.99779830000000003</v>
      </c>
      <c r="AB8681">
        <v>27</v>
      </c>
      <c r="AC8681">
        <v>0.81839999999999602</v>
      </c>
      <c r="AD8681">
        <v>-6.3471999999999903E-2</v>
      </c>
      <c r="AE8681">
        <v>-9.0389999999999304E-2</v>
      </c>
      <c r="AF8681">
        <v>6.3107036984634393E-2</v>
      </c>
      <c r="AG8681">
        <v>-6.3471999999999903E-2</v>
      </c>
      <c r="AH8681">
        <v>0.81607614890434499</v>
      </c>
      <c r="AI8681">
        <v>94.434158591221305</v>
      </c>
      <c r="AJ8681">
        <v>85.578126724773796</v>
      </c>
      <c r="AK8681">
        <v>0.82096983727267803</v>
      </c>
      <c r="AL8681">
        <v>85.337913541052799</v>
      </c>
      <c r="AM8681">
        <v>84.130706216037595</v>
      </c>
      <c r="AN8681">
        <v>1.00000000354423</v>
      </c>
    </row>
    <row r="8682" spans="1:40" x14ac:dyDescent="0.25">
      <c r="A8682" t="str">
        <f>"20190312150857547"</f>
        <v>20190312150857547</v>
      </c>
      <c r="B8682" t="str">
        <f>"1552374537538106"</f>
        <v>1552374537538106</v>
      </c>
      <c r="C8682" t="s">
        <v>40</v>
      </c>
      <c r="D8682">
        <v>4.7728199999999896</v>
      </c>
      <c r="E8682">
        <v>0.48672070000000001</v>
      </c>
      <c r="F8682" t="s">
        <v>42</v>
      </c>
      <c r="G8682">
        <v>-335.53640000000001</v>
      </c>
      <c r="H8682" s="1">
        <v>-2.6635200000000001E-6</v>
      </c>
      <c r="I8682">
        <v>15.295949999999999</v>
      </c>
      <c r="J8682">
        <v>-352.21080000000001</v>
      </c>
      <c r="K8682">
        <v>1.109918</v>
      </c>
      <c r="L8682">
        <v>16.968989999999899</v>
      </c>
      <c r="M8682">
        <v>0.99936190000000003</v>
      </c>
      <c r="N8682">
        <v>0</v>
      </c>
      <c r="O8682">
        <v>-3.3204869999999997E-2</v>
      </c>
      <c r="P8682">
        <v>0.9885505</v>
      </c>
      <c r="Q8682">
        <v>6.821671E-2</v>
      </c>
      <c r="R8682">
        <v>-0.1345895</v>
      </c>
      <c r="S8682">
        <v>3.0075989999999999</v>
      </c>
      <c r="T8682">
        <v>-0.19864809999999999</v>
      </c>
      <c r="U8682">
        <v>-0.30026249999999999</v>
      </c>
      <c r="V8682">
        <v>0.1018053</v>
      </c>
      <c r="W8682">
        <v>8.1125970000000006E-2</v>
      </c>
      <c r="X8682">
        <v>0.99149089999999995</v>
      </c>
      <c r="Y8682">
        <v>6.6171419999999995E-2</v>
      </c>
      <c r="Z8682" s="1">
        <v>6.8284569999999998E-6</v>
      </c>
      <c r="AA8682">
        <v>0.99780829999999998</v>
      </c>
      <c r="AB8682">
        <v>27</v>
      </c>
      <c r="AC8682">
        <v>16.674399999999899</v>
      </c>
      <c r="AD8682">
        <v>-1.1099206635200001</v>
      </c>
      <c r="AE8682">
        <v>-1.6730399999999901</v>
      </c>
      <c r="AF8682">
        <v>1.11351342735976</v>
      </c>
      <c r="AG8682">
        <v>-1.1099206635200001</v>
      </c>
      <c r="AH8682">
        <v>16.6477336609967</v>
      </c>
      <c r="AI8682">
        <v>93.805841897592899</v>
      </c>
      <c r="AJ8682">
        <v>86.173369147501205</v>
      </c>
      <c r="AK8682">
        <v>16.721808277806101</v>
      </c>
      <c r="AL8682">
        <v>85.346710424891299</v>
      </c>
      <c r="AM8682">
        <v>84.137471545973199</v>
      </c>
      <c r="AN8682">
        <v>0.99999997344966995</v>
      </c>
    </row>
    <row r="8683" spans="1:40" x14ac:dyDescent="0.25">
      <c r="A8683" t="str">
        <f>"20190312150857566"</f>
        <v>20190312150857566</v>
      </c>
      <c r="B8683" t="str">
        <f>"1552374537558578"</f>
        <v>1552374537558578</v>
      </c>
      <c r="C8683" t="s">
        <v>40</v>
      </c>
      <c r="D8683">
        <v>4.756291</v>
      </c>
      <c r="E8683">
        <v>0.48663620000000002</v>
      </c>
      <c r="F8683" t="s">
        <v>41</v>
      </c>
      <c r="G8683">
        <v>-351.28269999999998</v>
      </c>
      <c r="H8683">
        <v>1.0487839999999999</v>
      </c>
      <c r="I8683">
        <v>16.876010000000001</v>
      </c>
      <c r="J8683">
        <v>-352.00069999999999</v>
      </c>
      <c r="K8683">
        <v>1.1099330000000001</v>
      </c>
      <c r="L8683">
        <v>16.96133</v>
      </c>
      <c r="M8683">
        <v>0.99934120000000004</v>
      </c>
      <c r="N8683">
        <v>0</v>
      </c>
      <c r="O8683">
        <v>-3.3819479999999999E-2</v>
      </c>
      <c r="P8683">
        <v>0.98854540000000002</v>
      </c>
      <c r="Q8683">
        <v>6.7957770000000001E-2</v>
      </c>
      <c r="R8683">
        <v>-0.13475989999999999</v>
      </c>
      <c r="S8683">
        <v>3.0074770000000002</v>
      </c>
      <c r="T8683">
        <v>-0.19810990000000001</v>
      </c>
      <c r="U8683">
        <v>-0.30099490000000001</v>
      </c>
      <c r="V8683">
        <v>0.1013617</v>
      </c>
      <c r="W8683">
        <v>8.0875959999999997E-2</v>
      </c>
      <c r="X8683">
        <v>0.99155680000000002</v>
      </c>
      <c r="Y8683">
        <v>6.5804829999999995E-2</v>
      </c>
      <c r="Z8683" s="1">
        <v>5.9133630000000001E-5</v>
      </c>
      <c r="AA8683">
        <v>0.99783250000000001</v>
      </c>
      <c r="AB8683">
        <v>27</v>
      </c>
      <c r="AC8683">
        <v>0.71800000000001696</v>
      </c>
      <c r="AD8683">
        <v>-6.1149000000000099E-2</v>
      </c>
      <c r="AE8683">
        <v>-8.5319999999999396E-2</v>
      </c>
      <c r="AF8683">
        <v>6.0553600546550103E-2</v>
      </c>
      <c r="AG8683">
        <v>-6.1149000000000099E-2</v>
      </c>
      <c r="AH8683">
        <v>0.71535853651807502</v>
      </c>
      <c r="AI8683">
        <v>94.868451999669006</v>
      </c>
      <c r="AJ8683">
        <v>85.1615665954061</v>
      </c>
      <c r="AK8683">
        <v>0.72051632494304596</v>
      </c>
      <c r="AL8683">
        <v>85.361082298214896</v>
      </c>
      <c r="AM8683">
        <v>84.163225053339104</v>
      </c>
      <c r="AN8683">
        <v>1.0000000013795201</v>
      </c>
    </row>
    <row r="8684" spans="1:40" x14ac:dyDescent="0.25">
      <c r="A8684" t="str">
        <f>"20190312150857577"</f>
        <v>20190312150857577</v>
      </c>
      <c r="B8684" t="str">
        <f>"1552374537568338"</f>
        <v>1552374537568338</v>
      </c>
      <c r="C8684" t="s">
        <v>40</v>
      </c>
      <c r="D8684">
        <v>5.1160439999999996</v>
      </c>
      <c r="E8684">
        <v>0.48662549999999999</v>
      </c>
      <c r="F8684" t="s">
        <v>41</v>
      </c>
      <c r="G8684">
        <v>-351.04719999999998</v>
      </c>
      <c r="H8684">
        <v>1.0468420000000001</v>
      </c>
      <c r="I8684">
        <v>16.865760000000002</v>
      </c>
      <c r="J8684">
        <v>-351.86250000000001</v>
      </c>
      <c r="K8684">
        <v>1.109944</v>
      </c>
      <c r="L8684">
        <v>16.956209999999999</v>
      </c>
      <c r="M8684">
        <v>0.99932779999999999</v>
      </c>
      <c r="N8684">
        <v>0</v>
      </c>
      <c r="O8684">
        <v>-3.4211470000000001E-2</v>
      </c>
      <c r="P8684">
        <v>0.98850839999999995</v>
      </c>
      <c r="Q8684">
        <v>6.803273E-2</v>
      </c>
      <c r="R8684">
        <v>-0.13499220000000001</v>
      </c>
      <c r="S8684">
        <v>3.0074160000000001</v>
      </c>
      <c r="T8684">
        <v>-0.1989408</v>
      </c>
      <c r="U8684">
        <v>-0.30090329999999998</v>
      </c>
      <c r="V8684">
        <v>0.1012038</v>
      </c>
      <c r="W8684">
        <v>8.095629E-2</v>
      </c>
      <c r="X8684">
        <v>0.99156639999999996</v>
      </c>
      <c r="Y8684">
        <v>6.5386559999999996E-2</v>
      </c>
      <c r="Z8684" s="1">
        <v>9.8974679999999998E-5</v>
      </c>
      <c r="AA8684">
        <v>0.99785999999999997</v>
      </c>
      <c r="AB8684">
        <v>27</v>
      </c>
      <c r="AC8684">
        <v>0.815300000000036</v>
      </c>
      <c r="AD8684">
        <v>-6.3101999999999894E-2</v>
      </c>
      <c r="AE8684">
        <v>-9.0450000000000599E-2</v>
      </c>
      <c r="AF8684">
        <v>6.2134330718575E-2</v>
      </c>
      <c r="AG8684">
        <v>-6.3101999999999894E-2</v>
      </c>
      <c r="AH8684">
        <v>0.81310579083985202</v>
      </c>
      <c r="AI8684">
        <v>94.424760860339404</v>
      </c>
      <c r="AJ8684">
        <v>85.630175523404901</v>
      </c>
      <c r="AK8684">
        <v>0.81791415475901097</v>
      </c>
      <c r="AL8684">
        <v>85.356464709411</v>
      </c>
      <c r="AM8684">
        <v>84.172310912920295</v>
      </c>
      <c r="AN8684">
        <v>1.0000000278169801</v>
      </c>
    </row>
    <row r="8685" spans="1:40" x14ac:dyDescent="0.25">
      <c r="A8685" t="str">
        <f>"20190312150857587"</f>
        <v>20190312150857587</v>
      </c>
      <c r="B8685" t="str">
        <f>"1552374537578099"</f>
        <v>1552374537578099</v>
      </c>
      <c r="C8685" t="s">
        <v>40</v>
      </c>
      <c r="D8685">
        <v>4.9608800000000004</v>
      </c>
      <c r="E8685">
        <v>0.48663380000000001</v>
      </c>
      <c r="F8685" t="s">
        <v>42</v>
      </c>
      <c r="G8685">
        <v>-334.9796</v>
      </c>
      <c r="H8685" s="1">
        <v>-2.9081199999999999E-6</v>
      </c>
      <c r="I8685">
        <v>15.263640000000001</v>
      </c>
      <c r="J8685">
        <v>-351.73680000000002</v>
      </c>
      <c r="K8685">
        <v>1.109955</v>
      </c>
      <c r="L8685">
        <v>16.951509999999999</v>
      </c>
      <c r="M8685">
        <v>0.99931590000000003</v>
      </c>
      <c r="N8685">
        <v>0</v>
      </c>
      <c r="O8685">
        <v>-3.4564020000000001E-2</v>
      </c>
      <c r="P8685">
        <v>0.98850669999999996</v>
      </c>
      <c r="Q8685">
        <v>6.8137760000000006E-2</v>
      </c>
      <c r="R8685">
        <v>-0.1349525</v>
      </c>
      <c r="S8685">
        <v>3.007355</v>
      </c>
      <c r="T8685">
        <v>-0.19771549999999999</v>
      </c>
      <c r="U8685">
        <v>-0.30148320000000001</v>
      </c>
      <c r="V8685">
        <v>0.1008121</v>
      </c>
      <c r="W8685">
        <v>8.1066559999999996E-2</v>
      </c>
      <c r="X8685">
        <v>0.99159730000000001</v>
      </c>
      <c r="Y8685">
        <v>6.5228930000000004E-2</v>
      </c>
      <c r="Z8685">
        <v>1.265951E-4</v>
      </c>
      <c r="AA8685">
        <v>0.99787029999999999</v>
      </c>
      <c r="AB8685">
        <v>27</v>
      </c>
      <c r="AC8685">
        <v>16.757200000000001</v>
      </c>
      <c r="AD8685">
        <v>-1.1099579081199999</v>
      </c>
      <c r="AE8685">
        <v>-1.68787</v>
      </c>
      <c r="AF8685">
        <v>1.10282500881504</v>
      </c>
      <c r="AG8685">
        <v>-1.1099579081199999</v>
      </c>
      <c r="AH8685">
        <v>16.732853359589601</v>
      </c>
      <c r="AI8685">
        <v>93.786909175165505</v>
      </c>
      <c r="AJ8685">
        <v>86.229216660446198</v>
      </c>
      <c r="AK8685">
        <v>16.805850502470701</v>
      </c>
      <c r="AL8685">
        <v>85.350125907495794</v>
      </c>
      <c r="AM8685">
        <v>84.194891765716207</v>
      </c>
      <c r="AN8685">
        <v>1.0000000360119601</v>
      </c>
    </row>
    <row r="8686" spans="1:40" x14ac:dyDescent="0.25">
      <c r="A8686" t="str">
        <f>"20190312150857599"</f>
        <v>20190312150857599</v>
      </c>
      <c r="B8686" t="str">
        <f>"1552374537587859"</f>
        <v>1552374537587859</v>
      </c>
      <c r="C8686" t="s">
        <v>40</v>
      </c>
      <c r="D8686">
        <v>4.732399</v>
      </c>
      <c r="E8686">
        <v>0.48665069999999999</v>
      </c>
      <c r="F8686" t="s">
        <v>41</v>
      </c>
      <c r="G8686">
        <v>-350.80790000000002</v>
      </c>
      <c r="H8686">
        <v>1.049193</v>
      </c>
      <c r="I8686">
        <v>16.858339999999998</v>
      </c>
      <c r="J8686">
        <v>-351.5915</v>
      </c>
      <c r="K8686">
        <v>1.1099600000000001</v>
      </c>
      <c r="L8686">
        <v>16.946079999999998</v>
      </c>
      <c r="M8686">
        <v>0.99930189999999997</v>
      </c>
      <c r="N8686">
        <v>0</v>
      </c>
      <c r="O8686">
        <v>-3.4961350000000002E-2</v>
      </c>
      <c r="P8686">
        <v>0.98848340000000001</v>
      </c>
      <c r="Q8686">
        <v>6.8060679999999998E-2</v>
      </c>
      <c r="R8686">
        <v>-0.13515929999999901</v>
      </c>
      <c r="S8686">
        <v>3.0073240000000001</v>
      </c>
      <c r="T8686">
        <v>-0.1966919</v>
      </c>
      <c r="U8686">
        <v>-0.30142210000000003</v>
      </c>
      <c r="V8686">
        <v>0.1006225</v>
      </c>
      <c r="W8686">
        <v>8.099431E-2</v>
      </c>
      <c r="X8686">
        <v>0.99162240000000001</v>
      </c>
      <c r="Y8686">
        <v>6.4815490000000003E-2</v>
      </c>
      <c r="Z8686">
        <v>1.6527790000000001E-4</v>
      </c>
      <c r="AA8686">
        <v>0.99789729999999999</v>
      </c>
      <c r="AB8686">
        <v>27</v>
      </c>
      <c r="AC8686">
        <v>0.78359999999997798</v>
      </c>
      <c r="AD8686">
        <v>-6.0767000000000002E-2</v>
      </c>
      <c r="AE8686">
        <v>-8.7740000000000096E-2</v>
      </c>
      <c r="AF8686">
        <v>5.9932306280466703E-2</v>
      </c>
      <c r="AG8686">
        <v>-6.0767000000000002E-2</v>
      </c>
      <c r="AH8686">
        <v>0.78154680437970903</v>
      </c>
      <c r="AI8686">
        <v>94.432966614221996</v>
      </c>
      <c r="AJ8686">
        <v>85.614899942759294</v>
      </c>
      <c r="AK8686">
        <v>0.78619330769298201</v>
      </c>
      <c r="AL8686">
        <v>85.354278900733206</v>
      </c>
      <c r="AM8686">
        <v>84.2058808987926</v>
      </c>
      <c r="AN8686">
        <v>0.999999974970192</v>
      </c>
    </row>
    <row r="8687" spans="1:40" x14ac:dyDescent="0.25">
      <c r="A8687" t="str">
        <f>"20190312150857612"</f>
        <v>20190312150857612</v>
      </c>
      <c r="B8687" t="str">
        <f>"1552374537608354"</f>
        <v>1552374537608354</v>
      </c>
      <c r="C8687" t="s">
        <v>40</v>
      </c>
      <c r="D8687">
        <v>4.9438060000000004</v>
      </c>
      <c r="E8687">
        <v>0.48642809999999997</v>
      </c>
      <c r="F8687" t="s">
        <v>42</v>
      </c>
      <c r="G8687">
        <v>-334.6551</v>
      </c>
      <c r="H8687" s="1">
        <v>-3.0508099999999902E-6</v>
      </c>
      <c r="I8687">
        <v>15.24409</v>
      </c>
      <c r="J8687">
        <v>-351.45069999999998</v>
      </c>
      <c r="K8687">
        <v>1.109972</v>
      </c>
      <c r="L8687">
        <v>16.9407</v>
      </c>
      <c r="M8687">
        <v>0.99928870000000003</v>
      </c>
      <c r="N8687">
        <v>0</v>
      </c>
      <c r="O8687">
        <v>-3.53365E-2</v>
      </c>
      <c r="P8687">
        <v>0.98846179999999995</v>
      </c>
      <c r="Q8687">
        <v>6.8287890000000004E-2</v>
      </c>
      <c r="R8687">
        <v>-0.13520409999999999</v>
      </c>
      <c r="S8687">
        <v>3.0072019999999999</v>
      </c>
      <c r="T8687">
        <v>-0.1970828</v>
      </c>
      <c r="U8687">
        <v>-0.30218509999999998</v>
      </c>
      <c r="V8687">
        <v>0.1002929</v>
      </c>
      <c r="W8687">
        <v>8.1226709999999994E-2</v>
      </c>
      <c r="X8687">
        <v>0.99163679999999998</v>
      </c>
      <c r="Y8687">
        <v>6.4696329999999996E-2</v>
      </c>
      <c r="Z8687">
        <v>1.9396659999999999E-4</v>
      </c>
      <c r="AA8687">
        <v>0.99790500000000004</v>
      </c>
      <c r="AB8687">
        <v>27</v>
      </c>
      <c r="AC8687">
        <v>16.795599999999901</v>
      </c>
      <c r="AD8687">
        <v>-1.1099750508099999</v>
      </c>
      <c r="AE8687">
        <v>-1.69660999999999</v>
      </c>
      <c r="AF8687">
        <v>1.0972571527944901</v>
      </c>
      <c r="AG8687">
        <v>-1.1099750508099999</v>
      </c>
      <c r="AH8687">
        <v>16.7725517033344</v>
      </c>
      <c r="AI8687">
        <v>93.778150430490996</v>
      </c>
      <c r="AJ8687">
        <v>86.2570545113647</v>
      </c>
      <c r="AK8687">
        <v>16.8450143518433</v>
      </c>
      <c r="AL8687">
        <v>85.340919430268897</v>
      </c>
      <c r="AM8687">
        <v>84.224814965680807</v>
      </c>
      <c r="AN8687">
        <v>0.99999999366103698</v>
      </c>
    </row>
    <row r="8688" spans="1:40" x14ac:dyDescent="0.25">
      <c r="A8688" t="str">
        <f>"20190312150857622"</f>
        <v>20190312150857622</v>
      </c>
      <c r="B8688" t="str">
        <f>"1552374537618114"</f>
        <v>1552374537618114</v>
      </c>
      <c r="C8688" t="s">
        <v>40</v>
      </c>
      <c r="D8688">
        <v>5.0207750000000004</v>
      </c>
      <c r="E8688">
        <v>0.48642809999999997</v>
      </c>
      <c r="F8688" t="s">
        <v>41</v>
      </c>
      <c r="G8688">
        <v>-350.5677</v>
      </c>
      <c r="H8688">
        <v>1.052462</v>
      </c>
      <c r="I8688">
        <v>16.852229999999999</v>
      </c>
      <c r="J8688">
        <v>-351.31450000000001</v>
      </c>
      <c r="K8688">
        <v>1.1099859999999999</v>
      </c>
      <c r="L8688">
        <v>16.93552</v>
      </c>
      <c r="M8688">
        <v>0.99927600000000005</v>
      </c>
      <c r="N8688">
        <v>0</v>
      </c>
      <c r="O8688">
        <v>-3.5693299999999997E-2</v>
      </c>
      <c r="P8688">
        <v>0.98846990000000001</v>
      </c>
      <c r="Q8688">
        <v>6.8070870000000006E-2</v>
      </c>
      <c r="R8688">
        <v>-0.1352546</v>
      </c>
      <c r="S8688">
        <v>3.0074770000000002</v>
      </c>
      <c r="T8688">
        <v>-0.1958231</v>
      </c>
      <c r="U8688">
        <v>-0.30059809999999998</v>
      </c>
      <c r="V8688">
        <v>9.9985950000000004E-2</v>
      </c>
      <c r="W8688">
        <v>8.1015219999999999E-2</v>
      </c>
      <c r="X8688">
        <v>0.99168509999999999</v>
      </c>
      <c r="Y8688">
        <v>6.3813019999999998E-2</v>
      </c>
      <c r="Z8688">
        <v>2.444983E-4</v>
      </c>
      <c r="AA8688">
        <v>0.99796180000000001</v>
      </c>
      <c r="AB8688">
        <v>27</v>
      </c>
      <c r="AC8688">
        <v>0.74680000000000701</v>
      </c>
      <c r="AD8688">
        <v>-5.7524000000000103E-2</v>
      </c>
      <c r="AE8688">
        <v>-8.3290000000001599E-2</v>
      </c>
      <c r="AF8688">
        <v>5.6249211060953597E-2</v>
      </c>
      <c r="AG8688">
        <v>-5.7524000000000103E-2</v>
      </c>
      <c r="AH8688">
        <v>0.74493167032194196</v>
      </c>
      <c r="AI8688">
        <v>94.403160837684894</v>
      </c>
      <c r="AJ8688">
        <v>85.681834687910396</v>
      </c>
      <c r="AK8688">
        <v>0.74926375714405002</v>
      </c>
      <c r="AL8688">
        <v>85.353076997558503</v>
      </c>
      <c r="AM8688">
        <v>84.242649735632895</v>
      </c>
      <c r="AN8688">
        <v>0.99999999681552998</v>
      </c>
    </row>
    <row r="8689" spans="1:40" x14ac:dyDescent="0.25">
      <c r="A8689" t="str">
        <f>"20190312150857633"</f>
        <v>20190312150857633</v>
      </c>
      <c r="B8689" t="str">
        <f>"1552374537627875"</f>
        <v>1552374537627875</v>
      </c>
      <c r="C8689" t="s">
        <v>40</v>
      </c>
      <c r="D8689">
        <v>4.7097930000000003</v>
      </c>
      <c r="E8689">
        <v>0.46397240000000001</v>
      </c>
      <c r="F8689" t="s">
        <v>42</v>
      </c>
      <c r="G8689">
        <v>-334.32279999999997</v>
      </c>
      <c r="H8689" s="1">
        <v>-3.1946190000000002E-6</v>
      </c>
      <c r="I8689">
        <v>15.236890000000001</v>
      </c>
      <c r="J8689">
        <v>-351.1918</v>
      </c>
      <c r="K8689">
        <v>1.109999</v>
      </c>
      <c r="L8689">
        <v>16.930789999999998</v>
      </c>
      <c r="M8689">
        <v>0.99926490000000001</v>
      </c>
      <c r="N8689">
        <v>0</v>
      </c>
      <c r="O8689">
        <v>-3.6001599999999898E-2</v>
      </c>
      <c r="P8689">
        <v>0.98850289999999996</v>
      </c>
      <c r="Q8689">
        <v>6.8158300000000005E-2</v>
      </c>
      <c r="R8689">
        <v>-0.1349687</v>
      </c>
      <c r="S8689">
        <v>3.0073850000000002</v>
      </c>
      <c r="T8689">
        <v>-0.19645869999999999</v>
      </c>
      <c r="U8689">
        <v>-0.30062870000000003</v>
      </c>
      <c r="V8689">
        <v>9.9390770000000003E-2</v>
      </c>
      <c r="W8689">
        <v>8.110742E-2</v>
      </c>
      <c r="X8689">
        <v>0.99173739999999999</v>
      </c>
      <c r="Y8689">
        <v>6.3519019999999995E-2</v>
      </c>
      <c r="Z8689">
        <v>2.7490920000000001E-4</v>
      </c>
      <c r="AA8689">
        <v>0.9979806</v>
      </c>
      <c r="AB8689">
        <v>27</v>
      </c>
      <c r="AC8689">
        <v>16.869</v>
      </c>
      <c r="AD8689">
        <v>-1.110002194619</v>
      </c>
      <c r="AE8689">
        <v>-1.69389999999999</v>
      </c>
      <c r="AF8689">
        <v>1.08080504641203</v>
      </c>
      <c r="AG8689">
        <v>-1.110002194619</v>
      </c>
      <c r="AH8689">
        <v>16.846835412731298</v>
      </c>
      <c r="AI8689">
        <v>93.761937008945395</v>
      </c>
      <c r="AJ8689">
        <v>86.329232356252206</v>
      </c>
      <c r="AK8689">
        <v>16.917922681111399</v>
      </c>
      <c r="AL8689">
        <v>85.347776921138603</v>
      </c>
      <c r="AM8689">
        <v>84.276992771605094</v>
      </c>
      <c r="AN8689">
        <v>1.0000000046494999</v>
      </c>
    </row>
    <row r="8690" spans="1:40" x14ac:dyDescent="0.25">
      <c r="A8690" t="str">
        <f>"20190312150857646"</f>
        <v>20190312150857646</v>
      </c>
      <c r="B8690" t="str">
        <f>"1552374537638610"</f>
        <v>1552374537638610</v>
      </c>
      <c r="C8690" t="s">
        <v>40</v>
      </c>
      <c r="D8690">
        <v>4.7310379999999999</v>
      </c>
      <c r="E8690">
        <v>0.46226729999999999</v>
      </c>
      <c r="F8690" t="s">
        <v>42</v>
      </c>
      <c r="G8690">
        <v>-335.24639999999999</v>
      </c>
      <c r="H8690" s="1">
        <v>-2.6120889999999999E-6</v>
      </c>
      <c r="I8690">
        <v>16.287289999999999</v>
      </c>
      <c r="J8690">
        <v>-351.04919999999998</v>
      </c>
      <c r="K8690">
        <v>1.1100159999999999</v>
      </c>
      <c r="L8690">
        <v>16.925229999999999</v>
      </c>
      <c r="M8690">
        <v>0.99925220000000003</v>
      </c>
      <c r="N8690">
        <v>0</v>
      </c>
      <c r="O8690">
        <v>-3.6356239999999998E-2</v>
      </c>
      <c r="P8690">
        <v>0.988514</v>
      </c>
      <c r="Q8690">
        <v>6.7843479999999998E-2</v>
      </c>
      <c r="R8690">
        <v>-0.135047</v>
      </c>
      <c r="S8690">
        <v>3.0327760000000001</v>
      </c>
      <c r="T8690">
        <v>-0.21111949999999999</v>
      </c>
      <c r="U8690">
        <v>-0.1223755</v>
      </c>
      <c r="V8690">
        <v>9.9113179999999995E-2</v>
      </c>
      <c r="W8690">
        <v>8.0797549999999996E-2</v>
      </c>
      <c r="X8690">
        <v>0.99179050000000002</v>
      </c>
      <c r="Y8690">
        <v>4.0397100000000002E-3</v>
      </c>
      <c r="Z8690">
        <v>2.3857280000000002E-3</v>
      </c>
      <c r="AA8690">
        <v>0.99998900000000002</v>
      </c>
      <c r="AB8690">
        <v>27</v>
      </c>
      <c r="AC8690">
        <v>15.8027999999999</v>
      </c>
      <c r="AD8690">
        <v>-1.1100186120890001</v>
      </c>
      <c r="AE8690">
        <v>-0.63793999999999995</v>
      </c>
      <c r="AF8690">
        <v>6.2629505247622494E-2</v>
      </c>
      <c r="AG8690">
        <v>-1.1100186120890001</v>
      </c>
      <c r="AH8690">
        <v>15.7380220972827</v>
      </c>
      <c r="AI8690">
        <v>94.034416322163693</v>
      </c>
      <c r="AJ8690">
        <v>89.771992480430598</v>
      </c>
      <c r="AK8690">
        <v>15.7772432100373</v>
      </c>
      <c r="AL8690">
        <v>85.365589749682002</v>
      </c>
      <c r="AM8690">
        <v>84.293174523617907</v>
      </c>
      <c r="AN8690">
        <v>1.00000003121298</v>
      </c>
    </row>
    <row r="8691" spans="1:40" x14ac:dyDescent="0.25">
      <c r="A8691" t="str">
        <f>"20190312150857659"</f>
        <v>20190312150857659</v>
      </c>
      <c r="B8691" t="str">
        <f>"1552374537648370"</f>
        <v>1552374537648370</v>
      </c>
      <c r="C8691" t="s">
        <v>40</v>
      </c>
      <c r="D8691">
        <v>4.8102460000000002</v>
      </c>
      <c r="E8691">
        <v>0.46226729999999999</v>
      </c>
      <c r="F8691" t="s">
        <v>42</v>
      </c>
      <c r="G8691">
        <v>-334.78410000000002</v>
      </c>
      <c r="H8691" s="1">
        <v>-2.800993E-6</v>
      </c>
      <c r="I8691">
        <v>16.34047</v>
      </c>
      <c r="J8691">
        <v>-350.89350000000002</v>
      </c>
      <c r="K8691">
        <v>1.1100289999999999</v>
      </c>
      <c r="L8691">
        <v>16.919160000000002</v>
      </c>
      <c r="M8691">
        <v>0.99923839999999997</v>
      </c>
      <c r="N8691">
        <v>0</v>
      </c>
      <c r="O8691">
        <v>-3.6728520000000001E-2</v>
      </c>
      <c r="P8691">
        <v>0.98851310000000003</v>
      </c>
      <c r="Q8691">
        <v>6.8086480000000005E-2</v>
      </c>
      <c r="R8691">
        <v>-0.1349312</v>
      </c>
      <c r="S8691">
        <v>3.0341800000000001</v>
      </c>
      <c r="T8691">
        <v>-0.2070681</v>
      </c>
      <c r="U8691">
        <v>-0.10906979999999999</v>
      </c>
      <c r="V8691">
        <v>9.8624920000000005E-2</v>
      </c>
      <c r="W8691">
        <v>8.104517E-2</v>
      </c>
      <c r="X8691">
        <v>0.99181900000000001</v>
      </c>
      <c r="Y8691">
        <v>-7.2144539999999995E-4</v>
      </c>
      <c r="Z8691">
        <v>2.5267890000000002E-3</v>
      </c>
      <c r="AA8691">
        <v>0.99999649999999995</v>
      </c>
      <c r="AB8691">
        <v>26</v>
      </c>
      <c r="AC8691">
        <v>16.109399999999901</v>
      </c>
      <c r="AD8691">
        <v>-1.1100318009929999</v>
      </c>
      <c r="AE8691">
        <v>-0.57869000000000104</v>
      </c>
      <c r="AF8691">
        <v>-1.3362950362855199E-2</v>
      </c>
      <c r="AG8691">
        <v>-1.1100318009929999</v>
      </c>
      <c r="AH8691">
        <v>16.0437074584882</v>
      </c>
      <c r="AI8691">
        <v>93.957870827555297</v>
      </c>
      <c r="AJ8691">
        <v>90.047722166622904</v>
      </c>
      <c r="AK8691">
        <v>16.0820675965875</v>
      </c>
      <c r="AL8691">
        <v>85.351355629288406</v>
      </c>
      <c r="AM8691">
        <v>84.321265891781707</v>
      </c>
      <c r="AN8691">
        <v>1.0000000615931599</v>
      </c>
    </row>
    <row r="8692" spans="1:40" x14ac:dyDescent="0.25">
      <c r="A8692" t="str">
        <f>"20190312150857670"</f>
        <v>20190312150857670</v>
      </c>
      <c r="B8692" t="str">
        <f>"1552374537667891"</f>
        <v>1552374537667891</v>
      </c>
      <c r="C8692" t="s">
        <v>40</v>
      </c>
      <c r="D8692">
        <v>4.7089930000000004</v>
      </c>
      <c r="E8692">
        <v>0.455343</v>
      </c>
      <c r="F8692" t="s">
        <v>42</v>
      </c>
      <c r="G8692">
        <v>-334.57049999999998</v>
      </c>
      <c r="H8692" s="1">
        <v>-2.8937419999999998E-6</v>
      </c>
      <c r="I8692">
        <v>16.334119999999999</v>
      </c>
      <c r="J8692">
        <v>-350.75630000000001</v>
      </c>
      <c r="K8692">
        <v>1.1100429999999999</v>
      </c>
      <c r="L8692">
        <v>16.91376</v>
      </c>
      <c r="M8692">
        <v>0.99922659999999996</v>
      </c>
      <c r="N8692">
        <v>0</v>
      </c>
      <c r="O8692">
        <v>-3.7050050000000001E-2</v>
      </c>
      <c r="P8692">
        <v>0.9885564</v>
      </c>
      <c r="Q8692">
        <v>6.8051109999999998E-2</v>
      </c>
      <c r="R8692">
        <v>-0.13463129999999901</v>
      </c>
      <c r="S8692">
        <v>3.0342099999999999</v>
      </c>
      <c r="T8692">
        <v>-0.20633850000000001</v>
      </c>
      <c r="U8692">
        <v>-0.1087341</v>
      </c>
      <c r="V8692">
        <v>9.8002000000000006E-2</v>
      </c>
      <c r="W8692">
        <v>8.1014740000000002E-2</v>
      </c>
      <c r="X8692">
        <v>0.99188319999999996</v>
      </c>
      <c r="Y8692">
        <v>-1.152946E-3</v>
      </c>
      <c r="Z8692">
        <v>2.5543549999999999E-3</v>
      </c>
      <c r="AA8692">
        <v>0.99999610000000005</v>
      </c>
      <c r="AB8692">
        <v>26</v>
      </c>
      <c r="AC8692">
        <v>16.1858</v>
      </c>
      <c r="AD8692">
        <v>-1.1100458937419999</v>
      </c>
      <c r="AE8692">
        <v>-0.57963999999999705</v>
      </c>
      <c r="AF8692">
        <v>-2.03989489356982E-2</v>
      </c>
      <c r="AG8692">
        <v>-1.1100458937419999</v>
      </c>
      <c r="AH8692">
        <v>16.1204385972827</v>
      </c>
      <c r="AI8692">
        <v>93.939139408207097</v>
      </c>
      <c r="AJ8692">
        <v>90.072502559383096</v>
      </c>
      <c r="AK8692">
        <v>16.158624897313999</v>
      </c>
      <c r="AL8692">
        <v>85.353104750699501</v>
      </c>
      <c r="AM8692">
        <v>84.357263729622801</v>
      </c>
      <c r="AN8692">
        <v>1.0000000312717501</v>
      </c>
    </row>
    <row r="8693" spans="1:40" x14ac:dyDescent="0.25">
      <c r="A8693" t="str">
        <f>"20190312150857684"</f>
        <v>20190312150857684</v>
      </c>
      <c r="B8693" t="str">
        <f>"1552374537678625"</f>
        <v>1552374537678625</v>
      </c>
      <c r="C8693" t="s">
        <v>40</v>
      </c>
      <c r="D8693">
        <v>4.9837020000000001</v>
      </c>
      <c r="E8693">
        <v>0.45629560000000002</v>
      </c>
      <c r="F8693" t="s">
        <v>41</v>
      </c>
      <c r="G8693">
        <v>-349.87209999999999</v>
      </c>
      <c r="H8693">
        <v>1.0230250000000001</v>
      </c>
      <c r="I8693">
        <v>16.89836</v>
      </c>
      <c r="J8693">
        <v>-350.59750000000003</v>
      </c>
      <c r="K8693">
        <v>1.1100570000000001</v>
      </c>
      <c r="L8693">
        <v>16.90747</v>
      </c>
      <c r="M8693">
        <v>0.99921300000000002</v>
      </c>
      <c r="N8693">
        <v>0</v>
      </c>
      <c r="O8693">
        <v>-3.7415660000000003E-2</v>
      </c>
      <c r="P8693">
        <v>0.98857980000000001</v>
      </c>
      <c r="Q8693">
        <v>6.7982509999999996E-2</v>
      </c>
      <c r="R8693">
        <v>-0.13449340000000001</v>
      </c>
      <c r="S8693">
        <v>3.0481259999999999</v>
      </c>
      <c r="T8693">
        <v>-0.29990119999999998</v>
      </c>
      <c r="U8693">
        <v>-5.3466800000000002E-2</v>
      </c>
      <c r="V8693">
        <v>9.7497399999999998E-2</v>
      </c>
      <c r="W8693">
        <v>8.0950099999999997E-2</v>
      </c>
      <c r="X8693">
        <v>0.99193819999999999</v>
      </c>
      <c r="Y8693">
        <v>-1.961208E-2</v>
      </c>
      <c r="Z8693">
        <v>4.6339129999999999E-3</v>
      </c>
      <c r="AA8693">
        <v>0.99979689999999999</v>
      </c>
      <c r="AB8693">
        <v>26</v>
      </c>
      <c r="AC8693">
        <v>0.72540000000003502</v>
      </c>
      <c r="AD8693">
        <v>-8.7031999999999998E-2</v>
      </c>
      <c r="AE8693">
        <v>-9.1099999999997294E-3</v>
      </c>
      <c r="AF8693">
        <v>-1.77840974166475E-2</v>
      </c>
      <c r="AG8693">
        <v>-8.7031999999999998E-2</v>
      </c>
      <c r="AH8693">
        <v>0.71494309171461201</v>
      </c>
      <c r="AI8693">
        <v>96.938498730411396</v>
      </c>
      <c r="AJ8693">
        <v>91.424929693499706</v>
      </c>
      <c r="AK8693">
        <v>0.72044046772469195</v>
      </c>
      <c r="AL8693">
        <v>85.356820535073794</v>
      </c>
      <c r="AM8693">
        <v>84.386440688579796</v>
      </c>
      <c r="AN8693">
        <v>1.0000000271580001</v>
      </c>
    </row>
    <row r="8694" spans="1:40" x14ac:dyDescent="0.25">
      <c r="A8694" t="str">
        <f>"20190312150857699"</f>
        <v>20190312150857699</v>
      </c>
      <c r="B8694" t="str">
        <f>"1552374537688386"</f>
        <v>1552374537688386</v>
      </c>
      <c r="C8694" t="s">
        <v>40</v>
      </c>
      <c r="D8694">
        <v>4.6809880000000001</v>
      </c>
      <c r="E8694">
        <v>0.45707540000000002</v>
      </c>
      <c r="F8694" t="s">
        <v>42</v>
      </c>
      <c r="G8694">
        <v>-338.53199999999998</v>
      </c>
      <c r="H8694" s="1">
        <v>-1.2701220000000001E-6</v>
      </c>
      <c r="I8694">
        <v>16.66789</v>
      </c>
      <c r="J8694">
        <v>-350.42410000000001</v>
      </c>
      <c r="K8694">
        <v>1.1100669999999999</v>
      </c>
      <c r="L8694">
        <v>16.900539999999999</v>
      </c>
      <c r="M8694">
        <v>0.99919860000000005</v>
      </c>
      <c r="N8694">
        <v>0</v>
      </c>
      <c r="O8694">
        <v>-3.7800599999999997E-2</v>
      </c>
      <c r="P8694">
        <v>0.98868509999999998</v>
      </c>
      <c r="Q8694">
        <v>6.8028549999999993E-2</v>
      </c>
      <c r="R8694">
        <v>-0.133694799999999</v>
      </c>
      <c r="S8694">
        <v>3.0456850000000002</v>
      </c>
      <c r="T8694">
        <v>-0.28021040000000003</v>
      </c>
      <c r="U8694">
        <v>-6.045532E-2</v>
      </c>
      <c r="V8694">
        <v>9.6310560000000003E-2</v>
      </c>
      <c r="W8694">
        <v>8.1001920000000005E-2</v>
      </c>
      <c r="X8694">
        <v>0.99204990000000004</v>
      </c>
      <c r="Y8694">
        <v>-1.7730679999999999E-2</v>
      </c>
      <c r="Z8694">
        <v>4.2832679999999998E-3</v>
      </c>
      <c r="AA8694">
        <v>0.99983359999999999</v>
      </c>
      <c r="AB8694">
        <v>26</v>
      </c>
      <c r="AC8694">
        <v>11.892099999999999</v>
      </c>
      <c r="AD8694">
        <v>-1.1100682701219999</v>
      </c>
      <c r="AE8694">
        <v>-0.232649999999999</v>
      </c>
      <c r="AF8694">
        <v>-0.215209304969258</v>
      </c>
      <c r="AG8694">
        <v>-1.1100682701219999</v>
      </c>
      <c r="AH8694">
        <v>11.789706482226</v>
      </c>
      <c r="AI8694">
        <v>95.377976865017601</v>
      </c>
      <c r="AJ8694">
        <v>91.045761031202204</v>
      </c>
      <c r="AK8694">
        <v>11.843806210265299</v>
      </c>
      <c r="AL8694">
        <v>85.353841650046505</v>
      </c>
      <c r="AM8694">
        <v>84.454966725190403</v>
      </c>
      <c r="AN8694">
        <v>1.0000000195506</v>
      </c>
    </row>
    <row r="8695" spans="1:40" x14ac:dyDescent="0.25">
      <c r="A8695" t="str">
        <f>"20190312150857709"</f>
        <v>20190312150857709</v>
      </c>
      <c r="B8695" t="str">
        <f>"1552374537698146"</f>
        <v>1552374537698146</v>
      </c>
      <c r="C8695" t="s">
        <v>40</v>
      </c>
      <c r="D8695">
        <v>4.9677540000000002</v>
      </c>
      <c r="E8695">
        <v>0.45772829999999898</v>
      </c>
      <c r="F8695" t="s">
        <v>42</v>
      </c>
      <c r="G8695">
        <v>-338.23099999999999</v>
      </c>
      <c r="H8695" s="1">
        <v>-1.37923E-6</v>
      </c>
      <c r="I8695">
        <v>16.64283</v>
      </c>
      <c r="J8695">
        <v>-350.29169999999999</v>
      </c>
      <c r="K8695">
        <v>1.1100779999999999</v>
      </c>
      <c r="L8695">
        <v>16.895199999999999</v>
      </c>
      <c r="M8695">
        <v>0.99918759999999995</v>
      </c>
      <c r="N8695">
        <v>0</v>
      </c>
      <c r="O8695">
        <v>-3.8088789999999997E-2</v>
      </c>
      <c r="P8695">
        <v>0.9887186</v>
      </c>
      <c r="Q8695">
        <v>6.8169469999999996E-2</v>
      </c>
      <c r="R8695">
        <v>-0.13337399999999999</v>
      </c>
      <c r="S8695">
        <v>3.044708</v>
      </c>
      <c r="T8695">
        <v>-0.2771903</v>
      </c>
      <c r="U8695">
        <v>-6.4331050000000001E-2</v>
      </c>
      <c r="V8695">
        <v>9.570062E-2</v>
      </c>
      <c r="W8695">
        <v>8.1145449999999994E-2</v>
      </c>
      <c r="X8695">
        <v>0.99209720000000001</v>
      </c>
      <c r="Y8695">
        <v>-1.6748249999999999E-2</v>
      </c>
      <c r="Z8695">
        <v>4.2201119999999998E-3</v>
      </c>
      <c r="AA8695">
        <v>0.99985080000000004</v>
      </c>
      <c r="AB8695">
        <v>26</v>
      </c>
      <c r="AC8695">
        <v>12.060699999999899</v>
      </c>
      <c r="AD8695">
        <v>-1.1100793792299899</v>
      </c>
      <c r="AE8695">
        <v>-0.25236999999999898</v>
      </c>
      <c r="AF8695">
        <v>-0.20549039999697599</v>
      </c>
      <c r="AG8695">
        <v>-1.1100793792299899</v>
      </c>
      <c r="AH8695">
        <v>11.9602822201224</v>
      </c>
      <c r="AI8695">
        <v>95.301870106216199</v>
      </c>
      <c r="AJ8695">
        <v>90.984305733468403</v>
      </c>
      <c r="AK8695">
        <v>12.013444689915501</v>
      </c>
      <c r="AL8695">
        <v>85.345590844524494</v>
      </c>
      <c r="AM8695">
        <v>84.490128005151107</v>
      </c>
      <c r="AN8695">
        <v>1.0000000234859601</v>
      </c>
    </row>
    <row r="8696" spans="1:40" x14ac:dyDescent="0.25">
      <c r="A8696" t="str">
        <f>"20190312150857720"</f>
        <v>20190312150857720</v>
      </c>
      <c r="B8696" t="str">
        <f>"1552374537707906"</f>
        <v>1552374537707906</v>
      </c>
      <c r="C8696" t="s">
        <v>40</v>
      </c>
      <c r="D8696">
        <v>4.7118289999999998</v>
      </c>
      <c r="E8696">
        <v>0.4580475</v>
      </c>
      <c r="F8696" t="s">
        <v>41</v>
      </c>
      <c r="G8696">
        <v>-349.3954</v>
      </c>
      <c r="H8696">
        <v>1.029039</v>
      </c>
      <c r="I8696">
        <v>16.8749</v>
      </c>
      <c r="J8696">
        <v>-350.16579999999999</v>
      </c>
      <c r="K8696">
        <v>1.1100859999999999</v>
      </c>
      <c r="L8696">
        <v>16.890139999999999</v>
      </c>
      <c r="M8696">
        <v>0.99917730000000005</v>
      </c>
      <c r="N8696">
        <v>0</v>
      </c>
      <c r="O8696">
        <v>-3.8357339999999997E-2</v>
      </c>
      <c r="P8696">
        <v>0.98869209999999996</v>
      </c>
      <c r="Q8696">
        <v>6.8488320000000005E-2</v>
      </c>
      <c r="R8696">
        <v>-0.1334082</v>
      </c>
      <c r="S8696">
        <v>3.0439759999999998</v>
      </c>
      <c r="T8696">
        <v>-0.27517069999999999</v>
      </c>
      <c r="U8696">
        <v>-6.8420410000000001E-2</v>
      </c>
      <c r="V8696">
        <v>9.546752E-2</v>
      </c>
      <c r="W8696">
        <v>8.1466250000000004E-2</v>
      </c>
      <c r="X8696">
        <v>0.99209329999999996</v>
      </c>
      <c r="Y8696">
        <v>-1.5675749999999999E-2</v>
      </c>
      <c r="Z8696">
        <v>4.1662460000000002E-3</v>
      </c>
      <c r="AA8696">
        <v>0.99986850000000005</v>
      </c>
      <c r="AB8696">
        <v>26</v>
      </c>
      <c r="AC8696">
        <v>0.77039999999999498</v>
      </c>
      <c r="AD8696">
        <v>-8.1046999999999994E-2</v>
      </c>
      <c r="AE8696">
        <v>-1.52399999999985E-2</v>
      </c>
      <c r="AF8696">
        <v>-1.41675399651091E-2</v>
      </c>
      <c r="AG8696">
        <v>-8.1046999999999994E-2</v>
      </c>
      <c r="AH8696">
        <v>0.76198772905222201</v>
      </c>
      <c r="AI8696">
        <v>96.070260848265207</v>
      </c>
      <c r="AJ8696">
        <v>91.065170338560307</v>
      </c>
      <c r="AK8696">
        <v>0.76641674996298503</v>
      </c>
      <c r="AL8696">
        <v>85.327148989212901</v>
      </c>
      <c r="AM8696">
        <v>84.503444752684601</v>
      </c>
      <c r="AN8696">
        <v>0.99999995658444996</v>
      </c>
    </row>
    <row r="8697" spans="1:40" x14ac:dyDescent="0.25">
      <c r="A8697" t="str">
        <f>"20190312150857733"</f>
        <v>20190312150857733</v>
      </c>
      <c r="B8697" t="str">
        <f>"1552374537728402"</f>
        <v>1552374537728402</v>
      </c>
      <c r="C8697" t="s">
        <v>40</v>
      </c>
      <c r="D8697">
        <v>4.6605569999999998</v>
      </c>
      <c r="E8697">
        <v>0.45861239999999998</v>
      </c>
      <c r="F8697" t="s">
        <v>42</v>
      </c>
      <c r="G8697">
        <v>-337.50650000000002</v>
      </c>
      <c r="H8697" s="1">
        <v>-1.638358E-6</v>
      </c>
      <c r="I8697">
        <v>16.59554</v>
      </c>
      <c r="J8697">
        <v>-350.0258</v>
      </c>
      <c r="K8697">
        <v>1.1100969999999999</v>
      </c>
      <c r="L8697">
        <v>16.884399999999999</v>
      </c>
      <c r="M8697">
        <v>0.9991662</v>
      </c>
      <c r="N8697">
        <v>0</v>
      </c>
      <c r="O8697">
        <v>-3.8648149999999999E-2</v>
      </c>
      <c r="P8697">
        <v>0.98870040000000003</v>
      </c>
      <c r="Q8697">
        <v>6.8489449999999993E-2</v>
      </c>
      <c r="R8697">
        <v>-0.13334570000000001</v>
      </c>
      <c r="S8697">
        <v>3.0432739999999998</v>
      </c>
      <c r="T8697">
        <v>-0.26686310000000002</v>
      </c>
      <c r="U8697">
        <v>-7.0800779999999994E-2</v>
      </c>
      <c r="V8697">
        <v>9.5114080000000004E-2</v>
      </c>
      <c r="W8697">
        <v>8.1470050000000002E-2</v>
      </c>
      <c r="X8697">
        <v>0.99212699999999998</v>
      </c>
      <c r="Y8697">
        <v>-1.519364E-2</v>
      </c>
      <c r="Z8697">
        <v>4.0461680000000002E-3</v>
      </c>
      <c r="AA8697">
        <v>0.9998764</v>
      </c>
      <c r="AB8697">
        <v>26</v>
      </c>
      <c r="AC8697">
        <v>12.5192999999999</v>
      </c>
      <c r="AD8697">
        <v>-1.1100986383579901</v>
      </c>
      <c r="AE8697">
        <v>-0.28885999999999901</v>
      </c>
      <c r="AF8697">
        <v>-0.19372320064002699</v>
      </c>
      <c r="AG8697">
        <v>-1.1100986383579901</v>
      </c>
      <c r="AH8697">
        <v>12.423481658352999</v>
      </c>
      <c r="AI8697">
        <v>95.105479065745101</v>
      </c>
      <c r="AJ8697">
        <v>90.893358448602797</v>
      </c>
      <c r="AK8697">
        <v>12.4744837240177</v>
      </c>
      <c r="AL8697">
        <v>85.326930839360898</v>
      </c>
      <c r="AM8697">
        <v>84.523855057875394</v>
      </c>
      <c r="AN8697">
        <v>1.0000000206951201</v>
      </c>
    </row>
    <row r="8698" spans="1:40" x14ac:dyDescent="0.25">
      <c r="A8698" t="str">
        <f>"20190312150857743"</f>
        <v>20190312150857743</v>
      </c>
      <c r="B8698" t="str">
        <f>"1552374537738162"</f>
        <v>1552374537738162</v>
      </c>
      <c r="C8698" t="s">
        <v>40</v>
      </c>
      <c r="D8698">
        <v>4.7469270000000003</v>
      </c>
      <c r="E8698">
        <v>0.45883170000000001</v>
      </c>
      <c r="F8698" t="s">
        <v>41</v>
      </c>
      <c r="G8698">
        <v>-349.15609999999998</v>
      </c>
      <c r="H8698">
        <v>1.033531</v>
      </c>
      <c r="I8698">
        <v>16.862829999999999</v>
      </c>
      <c r="J8698">
        <v>-349.8981</v>
      </c>
      <c r="K8698">
        <v>1.110106</v>
      </c>
      <c r="L8698">
        <v>16.879179999999899</v>
      </c>
      <c r="M8698">
        <v>0.99915609999999999</v>
      </c>
      <c r="N8698">
        <v>0</v>
      </c>
      <c r="O8698">
        <v>-3.8910260000000002E-2</v>
      </c>
      <c r="P8698">
        <v>0.98868469999999997</v>
      </c>
      <c r="Q8698">
        <v>6.8841230000000003E-2</v>
      </c>
      <c r="R8698">
        <v>-0.13328229999999999</v>
      </c>
      <c r="S8698">
        <v>3.0427550000000001</v>
      </c>
      <c r="T8698">
        <v>-0.26786459999999901</v>
      </c>
      <c r="U8698">
        <v>-7.5012209999999996E-2</v>
      </c>
      <c r="V8698">
        <v>9.4789330000000005E-2</v>
      </c>
      <c r="W8698">
        <v>8.1823629999999994E-2</v>
      </c>
      <c r="X8698">
        <v>0.99212900000000004</v>
      </c>
      <c r="Y8698">
        <v>-1.4070559999999999E-2</v>
      </c>
      <c r="Z8698">
        <v>4.0355729999999998E-3</v>
      </c>
      <c r="AA8698">
        <v>0.99989289999999997</v>
      </c>
      <c r="AB8698">
        <v>26</v>
      </c>
      <c r="AC8698">
        <v>0.74200000000001798</v>
      </c>
      <c r="AD8698">
        <v>-7.6575000000000004E-2</v>
      </c>
      <c r="AE8698">
        <v>-1.6349999999999199E-2</v>
      </c>
      <c r="AF8698">
        <v>-1.2404249430206101E-2</v>
      </c>
      <c r="AG8698">
        <v>-7.6575000000000004E-2</v>
      </c>
      <c r="AH8698">
        <v>0.73425788062347197</v>
      </c>
      <c r="AI8698">
        <v>95.952952054860901</v>
      </c>
      <c r="AJ8698">
        <v>90.967839174734095</v>
      </c>
      <c r="AK8698">
        <v>0.738344249850027</v>
      </c>
      <c r="AL8698">
        <v>85.306604416078898</v>
      </c>
      <c r="AM8698">
        <v>84.542450229244295</v>
      </c>
      <c r="AN8698">
        <v>1.0000000380746099</v>
      </c>
    </row>
    <row r="8699" spans="1:40" x14ac:dyDescent="0.25">
      <c r="A8699" t="str">
        <f>"20190312150857755"</f>
        <v>20190312150857755</v>
      </c>
      <c r="B8699" t="str">
        <f>"1552374537747922"</f>
        <v>1552374537747922</v>
      </c>
      <c r="C8699" t="s">
        <v>40</v>
      </c>
      <c r="D8699">
        <v>4.7199519999999904</v>
      </c>
      <c r="E8699">
        <v>0.45904869999999998</v>
      </c>
      <c r="F8699" t="s">
        <v>42</v>
      </c>
      <c r="G8699">
        <v>-336.9905</v>
      </c>
      <c r="H8699" s="1">
        <v>-1.8248370000000001E-6</v>
      </c>
      <c r="I8699">
        <v>16.55462</v>
      </c>
      <c r="J8699">
        <v>-349.75490000000002</v>
      </c>
      <c r="K8699">
        <v>1.110115</v>
      </c>
      <c r="L8699">
        <v>16.873290000000001</v>
      </c>
      <c r="M8699">
        <v>0.99914480000000006</v>
      </c>
      <c r="N8699">
        <v>0</v>
      </c>
      <c r="O8699">
        <v>-3.9192959999999999E-2</v>
      </c>
      <c r="P8699">
        <v>0.98867910000000003</v>
      </c>
      <c r="Q8699">
        <v>6.8940479999999998E-2</v>
      </c>
      <c r="R8699">
        <v>-0.13326969999999999</v>
      </c>
      <c r="S8699">
        <v>3.0422359999999999</v>
      </c>
      <c r="T8699">
        <v>-0.26164520000000002</v>
      </c>
      <c r="U8699">
        <v>-7.6477050000000005E-2</v>
      </c>
      <c r="V8699">
        <v>9.4494419999999996E-2</v>
      </c>
      <c r="W8699">
        <v>8.1924849999999994E-2</v>
      </c>
      <c r="X8699">
        <v>0.99214880000000005</v>
      </c>
      <c r="Y8699">
        <v>-1.387711E-2</v>
      </c>
      <c r="Z8699">
        <v>3.9588050000000001E-3</v>
      </c>
      <c r="AA8699">
        <v>0.99989589999999995</v>
      </c>
      <c r="AB8699">
        <v>26</v>
      </c>
      <c r="AC8699">
        <v>12.7644</v>
      </c>
      <c r="AD8699">
        <v>-1.1101168248369999</v>
      </c>
      <c r="AE8699">
        <v>-0.31867000000000001</v>
      </c>
      <c r="AF8699">
        <v>-0.18052831383843099</v>
      </c>
      <c r="AG8699">
        <v>-1.1101168248369999</v>
      </c>
      <c r="AH8699">
        <v>12.6712989081253</v>
      </c>
      <c r="AI8699">
        <v>95.006323381936795</v>
      </c>
      <c r="AJ8699">
        <v>90.816239186818294</v>
      </c>
      <c r="AK8699">
        <v>12.7211149611951</v>
      </c>
      <c r="AL8699">
        <v>85.300785499217795</v>
      </c>
      <c r="AM8699">
        <v>84.559435723944105</v>
      </c>
      <c r="AN8699">
        <v>1.00000005890004</v>
      </c>
    </row>
    <row r="8700" spans="1:40" x14ac:dyDescent="0.25">
      <c r="A8700" t="str">
        <f>"20190312150857766"</f>
        <v>20190312150857766</v>
      </c>
      <c r="B8700" t="str">
        <f>"1552374537758658"</f>
        <v>1552374537758658</v>
      </c>
      <c r="C8700" t="s">
        <v>40</v>
      </c>
      <c r="D8700">
        <v>5.1421539999999997</v>
      </c>
      <c r="E8700">
        <v>0.45906649999999999</v>
      </c>
      <c r="F8700" t="s">
        <v>42</v>
      </c>
      <c r="G8700">
        <v>-336.6798</v>
      </c>
      <c r="H8700" s="1">
        <v>-1.952815E-6</v>
      </c>
      <c r="I8700">
        <v>16.53726</v>
      </c>
      <c r="J8700">
        <v>-349.62849999999997</v>
      </c>
      <c r="K8700">
        <v>1.1101190000000001</v>
      </c>
      <c r="L8700">
        <v>16.868069999999999</v>
      </c>
      <c r="M8700">
        <v>0.99913510000000005</v>
      </c>
      <c r="N8700">
        <v>0</v>
      </c>
      <c r="O8700">
        <v>-3.9439309999999998E-2</v>
      </c>
      <c r="P8700">
        <v>0.98870400000000003</v>
      </c>
      <c r="Q8700">
        <v>6.8755440000000001E-2</v>
      </c>
      <c r="R8700">
        <v>-0.13318060000000001</v>
      </c>
      <c r="S8700">
        <v>3.041779</v>
      </c>
      <c r="T8700">
        <v>-0.25825789999999998</v>
      </c>
      <c r="U8700">
        <v>-7.8155520000000006E-2</v>
      </c>
      <c r="V8700">
        <v>9.415743E-2</v>
      </c>
      <c r="W8700">
        <v>8.1742350000000005E-2</v>
      </c>
      <c r="X8700">
        <v>0.99219579999999996</v>
      </c>
      <c r="Y8700">
        <v>-1.357365E-2</v>
      </c>
      <c r="Z8700">
        <v>3.9162909999999997E-3</v>
      </c>
      <c r="AA8700">
        <v>0.99990020000000002</v>
      </c>
      <c r="AB8700">
        <v>26</v>
      </c>
      <c r="AC8700">
        <v>12.948699999999899</v>
      </c>
      <c r="AD8700">
        <v>-1.110120952815</v>
      </c>
      <c r="AE8700">
        <v>-0.33080999999999899</v>
      </c>
      <c r="AF8700">
        <v>-0.17886574208839701</v>
      </c>
      <c r="AG8700">
        <v>-1.110120952815</v>
      </c>
      <c r="AH8700">
        <v>12.8572325737778</v>
      </c>
      <c r="AI8700">
        <v>94.934326376206201</v>
      </c>
      <c r="AJ8700">
        <v>90.797029299077096</v>
      </c>
      <c r="AK8700">
        <v>12.906308183976799</v>
      </c>
      <c r="AL8700">
        <v>85.311276747123898</v>
      </c>
      <c r="AM8700">
        <v>84.578977567664595</v>
      </c>
      <c r="AN8700">
        <v>0.99999996947268299</v>
      </c>
    </row>
    <row r="8701" spans="1:40" x14ac:dyDescent="0.25">
      <c r="A8701" t="str">
        <f>"20190312150857777"</f>
        <v>20190312150857777</v>
      </c>
      <c r="B8701" t="str">
        <f>"1552374537768418"</f>
        <v>1552374537768418</v>
      </c>
      <c r="C8701" t="s">
        <v>40</v>
      </c>
      <c r="D8701">
        <v>4.7328270000000003</v>
      </c>
      <c r="E8701">
        <v>0.45903260000000001</v>
      </c>
      <c r="F8701" t="s">
        <v>41</v>
      </c>
      <c r="G8701">
        <v>-348.68699999999899</v>
      </c>
      <c r="H8701">
        <v>1.030753</v>
      </c>
      <c r="I8701">
        <v>16.843689999999999</v>
      </c>
      <c r="J8701">
        <v>-349.49759999999998</v>
      </c>
      <c r="K8701">
        <v>1.1101289999999999</v>
      </c>
      <c r="L8701">
        <v>16.86261</v>
      </c>
      <c r="M8701">
        <v>0.99912540000000005</v>
      </c>
      <c r="N8701">
        <v>0</v>
      </c>
      <c r="O8701">
        <v>-3.9684329999999997E-2</v>
      </c>
      <c r="P8701">
        <v>0.98868560000000005</v>
      </c>
      <c r="Q8701">
        <v>6.8984210000000004E-2</v>
      </c>
      <c r="R8701">
        <v>-0.1331994</v>
      </c>
      <c r="S8701">
        <v>3.041595</v>
      </c>
      <c r="T8701">
        <v>-0.25635960000000002</v>
      </c>
      <c r="U8701">
        <v>-7.8063960000000002E-2</v>
      </c>
      <c r="V8701">
        <v>9.3931559999999997E-2</v>
      </c>
      <c r="W8701">
        <v>8.197285E-2</v>
      </c>
      <c r="X8701">
        <v>0.99219820000000003</v>
      </c>
      <c r="Y8701">
        <v>-1.3848320000000001E-2</v>
      </c>
      <c r="Z8701">
        <v>3.9199889999999996E-3</v>
      </c>
      <c r="AA8701">
        <v>0.99989640000000002</v>
      </c>
      <c r="AB8701">
        <v>26</v>
      </c>
      <c r="AC8701">
        <v>0.81060000000002197</v>
      </c>
      <c r="AD8701">
        <v>-7.9376000000000099E-2</v>
      </c>
      <c r="AE8701">
        <v>-1.89200000000013E-2</v>
      </c>
      <c r="AF8701">
        <v>-1.31398893346623E-2</v>
      </c>
      <c r="AG8701">
        <v>-7.9376000000000099E-2</v>
      </c>
      <c r="AH8701">
        <v>0.803016456557477</v>
      </c>
      <c r="AI8701">
        <v>95.644443431895297</v>
      </c>
      <c r="AJ8701">
        <v>90.937456528115803</v>
      </c>
      <c r="AK8701">
        <v>0.80703694808221305</v>
      </c>
      <c r="AL8701">
        <v>85.298025635034193</v>
      </c>
      <c r="AM8701">
        <v>84.591917623680203</v>
      </c>
      <c r="AN8701">
        <v>0.99999997709219701</v>
      </c>
    </row>
    <row r="8702" spans="1:40" x14ac:dyDescent="0.25">
      <c r="A8702" t="str">
        <f>"20190312150857788"</f>
        <v>20190312150857788</v>
      </c>
      <c r="B8702" t="str">
        <f>"1552374537778178"</f>
        <v>1552374537778178</v>
      </c>
      <c r="C8702" t="s">
        <v>40</v>
      </c>
      <c r="D8702">
        <v>4.7464589999999998</v>
      </c>
      <c r="E8702">
        <v>0.45895380000000002</v>
      </c>
      <c r="F8702" t="s">
        <v>42</v>
      </c>
      <c r="G8702">
        <v>-336.38339999999999</v>
      </c>
      <c r="H8702" s="1">
        <v>-2.081835E-6</v>
      </c>
      <c r="I8702">
        <v>16.526759999999999</v>
      </c>
      <c r="J8702">
        <v>-349.36070000000001</v>
      </c>
      <c r="K8702">
        <v>1.110141</v>
      </c>
      <c r="L8702">
        <v>16.856839999999998</v>
      </c>
      <c r="M8702">
        <v>0.99911550000000005</v>
      </c>
      <c r="N8702">
        <v>0</v>
      </c>
      <c r="O8702">
        <v>-3.9935180000000001E-2</v>
      </c>
      <c r="P8702">
        <v>0.98859819999999998</v>
      </c>
      <c r="Q8702">
        <v>6.9125149999999996E-2</v>
      </c>
      <c r="R8702">
        <v>-0.13377439999999999</v>
      </c>
      <c r="S8702">
        <v>3.0418400000000001</v>
      </c>
      <c r="T8702">
        <v>-0.25749490000000003</v>
      </c>
      <c r="U8702">
        <v>-7.7880859999999996E-2</v>
      </c>
      <c r="V8702">
        <v>9.4258079999999994E-2</v>
      </c>
      <c r="W8702">
        <v>8.2114469999999995E-2</v>
      </c>
      <c r="X8702">
        <v>0.99215560000000003</v>
      </c>
      <c r="Y8702">
        <v>-1.4157909999999999E-2</v>
      </c>
      <c r="Z8702">
        <v>3.9712319999999999E-3</v>
      </c>
      <c r="AA8702">
        <v>0.99989189999999994</v>
      </c>
      <c r="AB8702">
        <v>26</v>
      </c>
      <c r="AC8702">
        <v>12.9773</v>
      </c>
      <c r="AD8702">
        <v>-1.110143081835</v>
      </c>
      <c r="AE8702">
        <v>-0.33007999999999799</v>
      </c>
      <c r="AF8702">
        <v>-0.187110727924862</v>
      </c>
      <c r="AG8702">
        <v>-1.110143081835</v>
      </c>
      <c r="AH8702">
        <v>12.8858915054095</v>
      </c>
      <c r="AI8702">
        <v>94.923461423675704</v>
      </c>
      <c r="AJ8702">
        <v>90.831909971314005</v>
      </c>
      <c r="AK8702">
        <v>12.934976922122299</v>
      </c>
      <c r="AL8702">
        <v>85.289884318188001</v>
      </c>
      <c r="AM8702">
        <v>84.572998749483205</v>
      </c>
      <c r="AN8702">
        <v>1.00000005322001</v>
      </c>
    </row>
    <row r="8703" spans="1:40" x14ac:dyDescent="0.25">
      <c r="A8703" t="str">
        <f>"20190312150857799"</f>
        <v>20190312150857799</v>
      </c>
      <c r="B8703" t="str">
        <f>"1552374537787939"</f>
        <v>1552374537787939</v>
      </c>
      <c r="C8703" t="s">
        <v>40</v>
      </c>
      <c r="D8703">
        <v>4.8195059999999996</v>
      </c>
      <c r="E8703">
        <v>0.45864300000000002</v>
      </c>
      <c r="F8703" t="s">
        <v>41</v>
      </c>
      <c r="G8703">
        <v>-348.45</v>
      </c>
      <c r="H8703">
        <v>1.032737</v>
      </c>
      <c r="I8703">
        <v>16.833020000000001</v>
      </c>
      <c r="J8703">
        <v>-349.23110000000003</v>
      </c>
      <c r="K8703">
        <v>1.1101510000000001</v>
      </c>
      <c r="L8703">
        <v>16.851410000000001</v>
      </c>
      <c r="M8703">
        <v>0.99910620000000006</v>
      </c>
      <c r="N8703">
        <v>0</v>
      </c>
      <c r="O8703">
        <v>-4.0164680000000001E-2</v>
      </c>
      <c r="P8703">
        <v>0.98855230000000005</v>
      </c>
      <c r="Q8703">
        <v>6.8896970000000002E-2</v>
      </c>
      <c r="R8703">
        <v>-0.13422879999999901</v>
      </c>
      <c r="S8703">
        <v>3.0419309999999999</v>
      </c>
      <c r="T8703">
        <v>-0.2584748</v>
      </c>
      <c r="U8703">
        <v>-7.8948969999999993E-2</v>
      </c>
      <c r="V8703">
        <v>9.4483280000000003E-2</v>
      </c>
      <c r="W8703">
        <v>8.1887799999999997E-2</v>
      </c>
      <c r="X8703">
        <v>0.9921529</v>
      </c>
      <c r="Y8703">
        <v>-1.403567E-2</v>
      </c>
      <c r="Z8703">
        <v>4.0004120000000001E-3</v>
      </c>
      <c r="AA8703">
        <v>0.99989349999999999</v>
      </c>
      <c r="AB8703">
        <v>26</v>
      </c>
      <c r="AC8703">
        <v>0.78110000000003699</v>
      </c>
      <c r="AD8703">
        <v>-7.7414000000000094E-2</v>
      </c>
      <c r="AE8703">
        <v>-1.8390000000000101E-2</v>
      </c>
      <c r="AF8703">
        <v>-1.2873812943136999E-2</v>
      </c>
      <c r="AG8703">
        <v>-7.7414000000000094E-2</v>
      </c>
      <c r="AH8703">
        <v>0.77361361817338803</v>
      </c>
      <c r="AI8703">
        <v>95.713667183235202</v>
      </c>
      <c r="AJ8703">
        <v>90.953379120033105</v>
      </c>
      <c r="AK8703">
        <v>0.77758388144239099</v>
      </c>
      <c r="AL8703">
        <v>85.302915372930698</v>
      </c>
      <c r="AM8703">
        <v>84.560095612536699</v>
      </c>
      <c r="AN8703">
        <v>1.0000000394834001</v>
      </c>
    </row>
    <row r="8704" spans="1:40" x14ac:dyDescent="0.25">
      <c r="A8704" t="str">
        <f>"20190312150857810"</f>
        <v>20190312150857810</v>
      </c>
      <c r="B8704" t="str">
        <f>"1552374537798675"</f>
        <v>1552374537798675</v>
      </c>
      <c r="C8704" t="s">
        <v>40</v>
      </c>
      <c r="D8704">
        <v>4.732653</v>
      </c>
      <c r="E8704">
        <v>0.45863159999999997</v>
      </c>
      <c r="F8704" t="s">
        <v>42</v>
      </c>
      <c r="G8704">
        <v>-336.54730000000001</v>
      </c>
      <c r="H8704" s="1">
        <v>-2.011448E-6</v>
      </c>
      <c r="I8704">
        <v>16.527190000000001</v>
      </c>
      <c r="J8704">
        <v>-349.11219999999997</v>
      </c>
      <c r="K8704">
        <v>1.11016</v>
      </c>
      <c r="L8704">
        <v>16.846409999999999</v>
      </c>
      <c r="M8704">
        <v>0.99909820000000005</v>
      </c>
      <c r="N8704">
        <v>0</v>
      </c>
      <c r="O8704">
        <v>-4.0367729999999998E-2</v>
      </c>
      <c r="P8704">
        <v>0.98851469999999997</v>
      </c>
      <c r="Q8704">
        <v>6.8856399999999998E-2</v>
      </c>
      <c r="R8704">
        <v>-0.13452800000000001</v>
      </c>
      <c r="S8704">
        <v>3.0427550000000001</v>
      </c>
      <c r="T8704">
        <v>-0.26631840000000001</v>
      </c>
      <c r="U8704">
        <v>-7.7758789999999994E-2</v>
      </c>
      <c r="V8704">
        <v>9.4579700000000003E-2</v>
      </c>
      <c r="W8704">
        <v>8.1849290000000005E-2</v>
      </c>
      <c r="X8704">
        <v>0.9921468</v>
      </c>
      <c r="Y8704">
        <v>-1.4621840000000001E-2</v>
      </c>
      <c r="Z8704">
        <v>4.1635880000000002E-3</v>
      </c>
      <c r="AA8704">
        <v>0.99988440000000001</v>
      </c>
      <c r="AB8704">
        <v>26</v>
      </c>
      <c r="AC8704">
        <v>12.5648999999999</v>
      </c>
      <c r="AD8704">
        <v>-1.110162011448</v>
      </c>
      <c r="AE8704">
        <v>-0.319220000000001</v>
      </c>
      <c r="AF8704">
        <v>-0.18684303040763101</v>
      </c>
      <c r="AG8704">
        <v>-1.110162011448</v>
      </c>
      <c r="AH8704">
        <v>12.470257873525201</v>
      </c>
      <c r="AI8704">
        <v>95.0867649915713</v>
      </c>
      <c r="AJ8704">
        <v>90.858403747574201</v>
      </c>
      <c r="AK8704">
        <v>12.5209704672558</v>
      </c>
      <c r="AL8704">
        <v>85.305128840874801</v>
      </c>
      <c r="AM8704">
        <v>84.554544274463595</v>
      </c>
      <c r="AN8704">
        <v>0.99999994933791503</v>
      </c>
    </row>
    <row r="8705" spans="1:40" x14ac:dyDescent="0.25">
      <c r="A8705" t="str">
        <f>"20190312150857821"</f>
        <v>20190312150857821</v>
      </c>
      <c r="B8705" t="str">
        <f>"1552374537818194"</f>
        <v>1552374537818194</v>
      </c>
      <c r="C8705" t="s">
        <v>40</v>
      </c>
      <c r="D8705">
        <v>4.7407059999999897</v>
      </c>
      <c r="E8705">
        <v>0.45859889999999998</v>
      </c>
      <c r="F8705" t="s">
        <v>41</v>
      </c>
      <c r="G8705">
        <v>-348.21609999999998</v>
      </c>
      <c r="H8705">
        <v>1.031301</v>
      </c>
      <c r="I8705">
        <v>16.82291</v>
      </c>
      <c r="J8705">
        <v>-348.98309999999998</v>
      </c>
      <c r="K8705">
        <v>1.1101719999999999</v>
      </c>
      <c r="L8705">
        <v>16.84094</v>
      </c>
      <c r="M8705">
        <v>0.99908949999999996</v>
      </c>
      <c r="N8705">
        <v>0</v>
      </c>
      <c r="O8705">
        <v>-4.0580749999999999E-2</v>
      </c>
      <c r="P8705">
        <v>0.9884423</v>
      </c>
      <c r="Q8705">
        <v>6.8607230000000005E-2</v>
      </c>
      <c r="R8705">
        <v>-0.135186</v>
      </c>
      <c r="S8705">
        <v>3.042786</v>
      </c>
      <c r="T8705">
        <v>-0.26773150000000001</v>
      </c>
      <c r="U8705">
        <v>-7.8552250000000004E-2</v>
      </c>
      <c r="V8705">
        <v>9.5025609999999996E-2</v>
      </c>
      <c r="W8705">
        <v>8.1601220000000002E-2</v>
      </c>
      <c r="X8705">
        <v>0.99212469999999997</v>
      </c>
      <c r="Y8705">
        <v>-1.4571880000000001E-2</v>
      </c>
      <c r="Z8705">
        <v>4.2020319999999996E-3</v>
      </c>
      <c r="AA8705">
        <v>0.99988500000000002</v>
      </c>
      <c r="AB8705">
        <v>26</v>
      </c>
      <c r="AC8705">
        <v>0.76699999999999502</v>
      </c>
      <c r="AD8705">
        <v>-7.88709999999999E-2</v>
      </c>
      <c r="AE8705">
        <v>-1.8029999999999501E-2</v>
      </c>
      <c r="AF8705">
        <v>-1.2975855942495699E-2</v>
      </c>
      <c r="AG8705">
        <v>-7.88709999999999E-2</v>
      </c>
      <c r="AH8705">
        <v>0.75907767721657504</v>
      </c>
      <c r="AI8705">
        <v>95.931098720366194</v>
      </c>
      <c r="AJ8705">
        <v>90.979332418370902</v>
      </c>
      <c r="AK8705">
        <v>0.76327447718822095</v>
      </c>
      <c r="AL8705">
        <v>85.319390255994094</v>
      </c>
      <c r="AM8705">
        <v>84.5289051465233</v>
      </c>
      <c r="AN8705">
        <v>1.00000002300572</v>
      </c>
    </row>
    <row r="8706" spans="1:40" x14ac:dyDescent="0.25">
      <c r="A8706" t="str">
        <f>"20190312150857832"</f>
        <v>20190312150857832</v>
      </c>
      <c r="B8706" t="str">
        <f>"1552374537827954"</f>
        <v>1552374537827954</v>
      </c>
      <c r="C8706" t="s">
        <v>40</v>
      </c>
      <c r="D8706">
        <v>4.7496169999999998</v>
      </c>
      <c r="E8706">
        <v>0.45846940000000003</v>
      </c>
      <c r="F8706" t="s">
        <v>42</v>
      </c>
      <c r="G8706">
        <v>-336.5301</v>
      </c>
      <c r="H8706" s="1">
        <v>-2.0215390000000001E-6</v>
      </c>
      <c r="I8706">
        <v>16.511900000000001</v>
      </c>
      <c r="J8706">
        <v>-348.84840000000003</v>
      </c>
      <c r="K8706">
        <v>1.110185</v>
      </c>
      <c r="L8706">
        <v>16.835239999999999</v>
      </c>
      <c r="M8706">
        <v>0.99908110000000006</v>
      </c>
      <c r="N8706">
        <v>0</v>
      </c>
      <c r="O8706">
        <v>-4.0788499999999998E-2</v>
      </c>
      <c r="P8706">
        <v>0.98842180000000002</v>
      </c>
      <c r="Q8706">
        <v>6.8330420000000003E-2</v>
      </c>
      <c r="R8706">
        <v>-0.13547519999999999</v>
      </c>
      <c r="S8706">
        <v>3.0429080000000002</v>
      </c>
      <c r="T8706">
        <v>-0.27127299999999999</v>
      </c>
      <c r="U8706">
        <v>-8.0383300000000005E-2</v>
      </c>
      <c r="V8706">
        <v>9.5105540000000002E-2</v>
      </c>
      <c r="W8706">
        <v>8.1326519999999999E-2</v>
      </c>
      <c r="X8706">
        <v>0.99213960000000001</v>
      </c>
      <c r="Y8706">
        <v>-1.417467E-2</v>
      </c>
      <c r="Z8706">
        <v>4.2579799999999998E-3</v>
      </c>
      <c r="AA8706">
        <v>0.99989039999999996</v>
      </c>
      <c r="AB8706">
        <v>26</v>
      </c>
      <c r="AC8706">
        <v>12.318300000000001</v>
      </c>
      <c r="AD8706">
        <v>-1.110187021539</v>
      </c>
      <c r="AE8706">
        <v>-0.32333999999999802</v>
      </c>
      <c r="AF8706">
        <v>-0.17797304561894201</v>
      </c>
      <c r="AG8706">
        <v>-1.110187021539</v>
      </c>
      <c r="AH8706">
        <v>12.222031334878601</v>
      </c>
      <c r="AI8706">
        <v>95.189665844589598</v>
      </c>
      <c r="AJ8706">
        <v>90.834262607873995</v>
      </c>
      <c r="AK8706">
        <v>12.273640029694301</v>
      </c>
      <c r="AL8706">
        <v>85.335181908174604</v>
      </c>
      <c r="AM8706">
        <v>84.524412872812604</v>
      </c>
      <c r="AN8706">
        <v>1.00000002624108</v>
      </c>
    </row>
    <row r="8707" spans="1:40" x14ac:dyDescent="0.25">
      <c r="A8707" t="str">
        <f>"20190312150857844"</f>
        <v>20190312150857844</v>
      </c>
      <c r="B8707" t="str">
        <f>"1552374537838690"</f>
        <v>1552374537838690</v>
      </c>
      <c r="C8707" t="s">
        <v>40</v>
      </c>
      <c r="D8707">
        <v>4.755128</v>
      </c>
      <c r="E8707">
        <v>0.45845920000000001</v>
      </c>
      <c r="F8707" t="s">
        <v>41</v>
      </c>
      <c r="G8707">
        <v>-347.98090000000002</v>
      </c>
      <c r="H8707">
        <v>1.031701</v>
      </c>
      <c r="I8707">
        <v>16.812259999999998</v>
      </c>
      <c r="J8707">
        <v>-348.70870000000002</v>
      </c>
      <c r="K8707">
        <v>1.110201</v>
      </c>
      <c r="L8707">
        <v>16.829279999999901</v>
      </c>
      <c r="M8707">
        <v>0.99907250000000003</v>
      </c>
      <c r="N8707">
        <v>0</v>
      </c>
      <c r="O8707">
        <v>-4.0998130000000001E-2</v>
      </c>
      <c r="P8707">
        <v>0.9883691</v>
      </c>
      <c r="Q8707">
        <v>6.8295869999999995E-2</v>
      </c>
      <c r="R8707">
        <v>-0.13587589999999999</v>
      </c>
      <c r="S8707">
        <v>3.0431210000000002</v>
      </c>
      <c r="T8707">
        <v>-0.27526909999999999</v>
      </c>
      <c r="U8707">
        <v>-8.0352779999999999E-2</v>
      </c>
      <c r="V8707">
        <v>9.5296439999999996E-2</v>
      </c>
      <c r="W8707">
        <v>8.1294199999999997E-2</v>
      </c>
      <c r="X8707">
        <v>0.99212389999999995</v>
      </c>
      <c r="Y8707">
        <v>-1.438821E-2</v>
      </c>
      <c r="Z8707">
        <v>4.3486920000000004E-3</v>
      </c>
      <c r="AA8707">
        <v>0.99988699999999997</v>
      </c>
      <c r="AB8707">
        <v>26</v>
      </c>
      <c r="AC8707">
        <v>0.727800000000002</v>
      </c>
      <c r="AD8707">
        <v>-7.85E-2</v>
      </c>
      <c r="AE8707">
        <v>-1.7019999999995102E-2</v>
      </c>
      <c r="AF8707">
        <v>-1.26878126233215E-2</v>
      </c>
      <c r="AG8707">
        <v>-7.85E-2</v>
      </c>
      <c r="AH8707">
        <v>0.719519774317113</v>
      </c>
      <c r="AI8707">
        <v>96.225414491173794</v>
      </c>
      <c r="AJ8707">
        <v>91.0102332219315</v>
      </c>
      <c r="AK8707">
        <v>0.723900501603994</v>
      </c>
      <c r="AL8707">
        <v>85.337039716941305</v>
      </c>
      <c r="AM8707">
        <v>84.513402740172594</v>
      </c>
      <c r="AN8707">
        <v>0.99999999569076103</v>
      </c>
    </row>
    <row r="8708" spans="1:40" x14ac:dyDescent="0.25">
      <c r="A8708" t="str">
        <f>"20190312150857856"</f>
        <v>20190312150857856</v>
      </c>
      <c r="B8708" t="str">
        <f>"1552374537848449"</f>
        <v>1552374537848449</v>
      </c>
      <c r="C8708" t="s">
        <v>40</v>
      </c>
      <c r="D8708">
        <v>4.7597139999999998</v>
      </c>
      <c r="E8708">
        <v>0.45847789999999999</v>
      </c>
      <c r="F8708" t="s">
        <v>42</v>
      </c>
      <c r="G8708">
        <v>-336.49</v>
      </c>
      <c r="H8708" s="1">
        <v>-2.0406119999999999E-6</v>
      </c>
      <c r="I8708">
        <v>16.50142</v>
      </c>
      <c r="J8708">
        <v>-348.5736</v>
      </c>
      <c r="K8708">
        <v>1.1102190000000001</v>
      </c>
      <c r="L8708">
        <v>16.823550000000001</v>
      </c>
      <c r="M8708">
        <v>0.99906519999999999</v>
      </c>
      <c r="N8708">
        <v>0</v>
      </c>
      <c r="O8708">
        <v>-4.1178430000000002E-2</v>
      </c>
      <c r="P8708">
        <v>0.98829999999999996</v>
      </c>
      <c r="Q8708">
        <v>6.8070489999999997E-2</v>
      </c>
      <c r="R8708">
        <v>-0.13649040000000001</v>
      </c>
      <c r="S8708">
        <v>3.0431520000000001</v>
      </c>
      <c r="T8708">
        <v>-0.27650239999999998</v>
      </c>
      <c r="U8708">
        <v>-8.1634520000000002E-2</v>
      </c>
      <c r="V8708">
        <v>9.5730579999999996E-2</v>
      </c>
      <c r="W8708">
        <v>8.1073690000000004E-2</v>
      </c>
      <c r="X8708">
        <v>0.99210019999999999</v>
      </c>
      <c r="Y8708">
        <v>-1.414631E-2</v>
      </c>
      <c r="Z8708">
        <v>4.3733859999999999E-3</v>
      </c>
      <c r="AA8708">
        <v>0.99989039999999996</v>
      </c>
      <c r="AB8708">
        <v>26</v>
      </c>
      <c r="AC8708">
        <v>12.083599999999899</v>
      </c>
      <c r="AD8708">
        <v>-1.1102210406119899</v>
      </c>
      <c r="AE8708">
        <v>-0.32213000000000103</v>
      </c>
      <c r="AF8708">
        <v>-0.174299685935286</v>
      </c>
      <c r="AG8708">
        <v>-1.1102210406119899</v>
      </c>
      <c r="AH8708">
        <v>11.9855096123477</v>
      </c>
      <c r="AI8708">
        <v>95.291665488411098</v>
      </c>
      <c r="AJ8708">
        <v>90.833167114114602</v>
      </c>
      <c r="AK8708">
        <v>12.0380817328682</v>
      </c>
      <c r="AL8708">
        <v>85.349716090685007</v>
      </c>
      <c r="AM8708">
        <v>84.488430270245203</v>
      </c>
      <c r="AN8708">
        <v>1.0000000469986901</v>
      </c>
    </row>
    <row r="8709" spans="1:40" x14ac:dyDescent="0.25">
      <c r="A8709" t="str">
        <f>"20190312150857878"</f>
        <v>20190312150857878</v>
      </c>
      <c r="B8709" t="str">
        <f>"1552374537867970"</f>
        <v>1552374537867970</v>
      </c>
      <c r="C8709" t="s">
        <v>40</v>
      </c>
      <c r="D8709">
        <v>4.886501</v>
      </c>
      <c r="E8709">
        <v>0.49034489999999997</v>
      </c>
      <c r="F8709" t="s">
        <v>41</v>
      </c>
      <c r="G8709">
        <v>-347.74419999999998</v>
      </c>
      <c r="H8709">
        <v>1.0344059999999999</v>
      </c>
      <c r="I8709">
        <v>16.800539999999899</v>
      </c>
      <c r="J8709">
        <v>-348.3098</v>
      </c>
      <c r="K8709">
        <v>1.110255</v>
      </c>
      <c r="L8709">
        <v>16.81223</v>
      </c>
      <c r="M8709">
        <v>0.99905169999999999</v>
      </c>
      <c r="N8709">
        <v>0</v>
      </c>
      <c r="O8709">
        <v>-4.1502070000000002E-2</v>
      </c>
      <c r="P8709">
        <v>0.98822239999999995</v>
      </c>
      <c r="Q8709">
        <v>6.7890240000000004E-2</v>
      </c>
      <c r="R8709">
        <v>-0.13714279999999901</v>
      </c>
      <c r="S8709">
        <v>3.0431819999999998</v>
      </c>
      <c r="T8709">
        <v>-0.27821889999999999</v>
      </c>
      <c r="U8709">
        <v>-8.3709720000000001E-2</v>
      </c>
      <c r="V8709">
        <v>9.6055940000000006E-2</v>
      </c>
      <c r="W8709">
        <v>8.0904950000000003E-2</v>
      </c>
      <c r="X8709">
        <v>0.99208249999999998</v>
      </c>
      <c r="Y8709">
        <v>-1.37865E-2</v>
      </c>
      <c r="Z8709">
        <v>4.4134120000000002E-3</v>
      </c>
      <c r="AA8709">
        <v>0.99989519999999998</v>
      </c>
      <c r="AB8709">
        <v>26</v>
      </c>
      <c r="AC8709">
        <v>0.56560000000001698</v>
      </c>
      <c r="AD8709">
        <v>-7.5849E-2</v>
      </c>
      <c r="AE8709">
        <v>-1.16900000000015E-2</v>
      </c>
      <c r="AF8709">
        <v>-1.1587382507034101E-2</v>
      </c>
      <c r="AG8709">
        <v>-7.5849E-2</v>
      </c>
      <c r="AH8709">
        <v>0.55561010406046196</v>
      </c>
      <c r="AI8709">
        <v>97.7719992104211</v>
      </c>
      <c r="AJ8709">
        <v>91.194744083813106</v>
      </c>
      <c r="AK8709">
        <v>0.56088316605906596</v>
      </c>
      <c r="AL8709">
        <v>85.359415922296094</v>
      </c>
      <c r="AM8709">
        <v>84.469715946295494</v>
      </c>
      <c r="AN8709">
        <v>1.0000000206750099</v>
      </c>
    </row>
    <row r="8710" spans="1:40" x14ac:dyDescent="0.25">
      <c r="A8710" t="str">
        <f>"20190312150857891"</f>
        <v>20190312150857891</v>
      </c>
      <c r="B8710" t="str">
        <f>"1552374537888466"</f>
        <v>1552374537888466</v>
      </c>
      <c r="C8710" t="s">
        <v>40</v>
      </c>
      <c r="D8710">
        <v>4.7943290000000003</v>
      </c>
      <c r="E8710">
        <v>0.50307049999999998</v>
      </c>
      <c r="F8710" t="s">
        <v>41</v>
      </c>
      <c r="G8710">
        <v>-347.51100000000002</v>
      </c>
      <c r="H8710">
        <v>1.0446879999999901</v>
      </c>
      <c r="I8710">
        <v>16.722460000000002</v>
      </c>
      <c r="J8710">
        <v>-348.16430000000003</v>
      </c>
      <c r="K8710">
        <v>1.110277</v>
      </c>
      <c r="L8710">
        <v>16.805999999999901</v>
      </c>
      <c r="M8710">
        <v>0.99904519999999997</v>
      </c>
      <c r="N8710">
        <v>0</v>
      </c>
      <c r="O8710">
        <v>-4.1659809999999999E-2</v>
      </c>
      <c r="P8710">
        <v>0.98820819999999998</v>
      </c>
      <c r="Q8710">
        <v>6.7654179999999994E-2</v>
      </c>
      <c r="R8710">
        <v>-0.1373607</v>
      </c>
      <c r="S8710">
        <v>3.0058590000000001</v>
      </c>
      <c r="T8710">
        <v>-0.24665090000000001</v>
      </c>
      <c r="U8710">
        <v>-0.3375244</v>
      </c>
      <c r="V8710">
        <v>9.6113630000000005E-2</v>
      </c>
      <c r="W8710">
        <v>8.0677769999999996E-2</v>
      </c>
      <c r="X8710">
        <v>0.99209539999999996</v>
      </c>
      <c r="Y8710">
        <v>6.9993440000000004E-2</v>
      </c>
      <c r="Z8710">
        <v>5.4170909999999995E-4</v>
      </c>
      <c r="AA8710">
        <v>0.99754730000000003</v>
      </c>
      <c r="AB8710">
        <v>26</v>
      </c>
      <c r="AC8710">
        <v>0.65330000000005795</v>
      </c>
      <c r="AD8710">
        <v>-6.5589000000000106E-2</v>
      </c>
      <c r="AE8710">
        <v>-8.3539999999995701E-2</v>
      </c>
      <c r="AF8710">
        <v>5.5696395171110399E-2</v>
      </c>
      <c r="AG8710">
        <v>-6.5589000000000106E-2</v>
      </c>
      <c r="AH8710">
        <v>0.649769357243278</v>
      </c>
      <c r="AI8710">
        <v>95.743106382690797</v>
      </c>
      <c r="AJ8710">
        <v>85.1007430813616</v>
      </c>
      <c r="AK8710">
        <v>0.65544200580097101</v>
      </c>
      <c r="AL8710">
        <v>85.372475006366898</v>
      </c>
      <c r="AM8710">
        <v>84.466486641253894</v>
      </c>
      <c r="AN8710">
        <v>1.0000000075725499</v>
      </c>
    </row>
    <row r="8711" spans="1:40" x14ac:dyDescent="0.25">
      <c r="A8711" t="str">
        <f>"20190312150857901"</f>
        <v>20190312150857901</v>
      </c>
      <c r="B8711" t="str">
        <f>"1552374537898227"</f>
        <v>1552374537898227</v>
      </c>
      <c r="C8711" t="s">
        <v>40</v>
      </c>
      <c r="D8711">
        <v>4.7900580000000001</v>
      </c>
      <c r="E8711">
        <v>0.50585789999999997</v>
      </c>
      <c r="F8711" t="s">
        <v>41</v>
      </c>
      <c r="G8711">
        <v>-347.27690000000001</v>
      </c>
      <c r="H8711">
        <v>1.045401</v>
      </c>
      <c r="I8711">
        <v>16.675519999999999</v>
      </c>
      <c r="J8711">
        <v>-348.03629999999998</v>
      </c>
      <c r="K8711">
        <v>1.1102989999999999</v>
      </c>
      <c r="L8711">
        <v>16.800539999999899</v>
      </c>
      <c r="M8711">
        <v>0.99903960000000003</v>
      </c>
      <c r="N8711">
        <v>0</v>
      </c>
      <c r="O8711">
        <v>-4.1789350000000003E-2</v>
      </c>
      <c r="P8711">
        <v>0.98816139999999997</v>
      </c>
      <c r="Q8711">
        <v>6.7808880000000002E-2</v>
      </c>
      <c r="R8711">
        <v>-0.13762070000000001</v>
      </c>
      <c r="S8711">
        <v>2.9898380000000002</v>
      </c>
      <c r="T8711">
        <v>-0.2185841</v>
      </c>
      <c r="U8711">
        <v>-0.438446</v>
      </c>
      <c r="V8711">
        <v>9.6243250000000002E-2</v>
      </c>
      <c r="W8711">
        <v>8.0840319999999993E-2</v>
      </c>
      <c r="X8711">
        <v>0.9920696</v>
      </c>
      <c r="Y8711">
        <v>0.1034552</v>
      </c>
      <c r="Z8711">
        <v>-7.244714E-4</v>
      </c>
      <c r="AA8711">
        <v>0.99463389999999996</v>
      </c>
      <c r="AB8711">
        <v>26</v>
      </c>
      <c r="AC8711">
        <v>0.75939999999997099</v>
      </c>
      <c r="AD8711">
        <v>-6.48979999999999E-2</v>
      </c>
      <c r="AE8711">
        <v>-0.125019999999995</v>
      </c>
      <c r="AF8711">
        <v>9.2515341445679605E-2</v>
      </c>
      <c r="AG8711">
        <v>-6.48979999999999E-2</v>
      </c>
      <c r="AH8711">
        <v>0.75856757863644797</v>
      </c>
      <c r="AI8711">
        <v>94.854144645984107</v>
      </c>
      <c r="AJ8711">
        <v>83.046514106056094</v>
      </c>
      <c r="AK8711">
        <v>0.76693911763918698</v>
      </c>
      <c r="AL8711">
        <v>85.363131049010804</v>
      </c>
      <c r="AM8711">
        <v>84.458927286824803</v>
      </c>
      <c r="AN8711">
        <v>1.00000000587621</v>
      </c>
    </row>
    <row r="8712" spans="1:40" x14ac:dyDescent="0.25">
      <c r="A8712" t="str">
        <f>"20190312150857912"</f>
        <v>20190312150857912</v>
      </c>
      <c r="B8712" t="str">
        <f>"1552374537907987"</f>
        <v>1552374537907987</v>
      </c>
      <c r="C8712" t="s">
        <v>40</v>
      </c>
      <c r="D8712">
        <v>4.7971760000000003</v>
      </c>
      <c r="E8712">
        <v>0.50752089999999905</v>
      </c>
      <c r="F8712" t="s">
        <v>42</v>
      </c>
      <c r="G8712">
        <v>-332.65800000000002</v>
      </c>
      <c r="H8712" s="1">
        <v>-4.052671E-6</v>
      </c>
      <c r="I8712">
        <v>14.426019999999999</v>
      </c>
      <c r="J8712">
        <v>-347.91399999999999</v>
      </c>
      <c r="K8712">
        <v>1.1103160000000001</v>
      </c>
      <c r="L8712">
        <v>16.795259999999999</v>
      </c>
      <c r="M8712">
        <v>0.99903509999999995</v>
      </c>
      <c r="N8712">
        <v>0</v>
      </c>
      <c r="O8712">
        <v>-4.1899850000000002E-2</v>
      </c>
      <c r="P8712">
        <v>0.98810790000000004</v>
      </c>
      <c r="Q8712">
        <v>6.7727490000000001E-2</v>
      </c>
      <c r="R8712">
        <v>-0.13804439999999901</v>
      </c>
      <c r="S8712">
        <v>2.9865110000000001</v>
      </c>
      <c r="T8712">
        <v>-0.2156237</v>
      </c>
      <c r="U8712">
        <v>-0.46112059999999999</v>
      </c>
      <c r="V8712">
        <v>9.6555580000000002E-2</v>
      </c>
      <c r="W8712">
        <v>8.0766169999999998E-2</v>
      </c>
      <c r="X8712">
        <v>0.99204530000000002</v>
      </c>
      <c r="Y8712">
        <v>0.110871</v>
      </c>
      <c r="Z8712">
        <v>-9.7307610000000005E-4</v>
      </c>
      <c r="AA8712">
        <v>0.99383429999999995</v>
      </c>
      <c r="AB8712">
        <v>26</v>
      </c>
      <c r="AC8712">
        <v>15.255999999999901</v>
      </c>
      <c r="AD8712">
        <v>-1.110320052671</v>
      </c>
      <c r="AE8712">
        <v>-2.3692399999999898</v>
      </c>
      <c r="AF8712">
        <v>1.7189887664101899</v>
      </c>
      <c r="AG8712">
        <v>-1.110320052671</v>
      </c>
      <c r="AH8712">
        <v>15.262938382725499</v>
      </c>
      <c r="AI8712">
        <v>94.134669622441294</v>
      </c>
      <c r="AJ8712">
        <v>83.574139679223094</v>
      </c>
      <c r="AK8712">
        <v>15.399513663531099</v>
      </c>
      <c r="AL8712">
        <v>85.367393514681297</v>
      </c>
      <c r="AM8712">
        <v>84.440922457340506</v>
      </c>
      <c r="AN8712">
        <v>1.00000001574884</v>
      </c>
    </row>
    <row r="8713" spans="1:40" x14ac:dyDescent="0.25">
      <c r="A8713" t="str">
        <f>"20190312150857922"</f>
        <v>20190312150857922</v>
      </c>
      <c r="B8713" t="str">
        <f>"1552374537918723"</f>
        <v>1552374537918723</v>
      </c>
      <c r="C8713" t="s">
        <v>40</v>
      </c>
      <c r="D8713">
        <v>4.8067859999999998</v>
      </c>
      <c r="E8713">
        <v>0.50897150000000002</v>
      </c>
      <c r="F8713" t="s">
        <v>41</v>
      </c>
      <c r="G8713">
        <v>-347.03980000000001</v>
      </c>
      <c r="H8713">
        <v>1.0486660000000001</v>
      </c>
      <c r="I8713">
        <v>16.65587</v>
      </c>
      <c r="J8713">
        <v>-347.7867</v>
      </c>
      <c r="K8713">
        <v>1.110333</v>
      </c>
      <c r="L8713">
        <v>16.78979</v>
      </c>
      <c r="M8713">
        <v>0.99903019999999998</v>
      </c>
      <c r="N8713">
        <v>0</v>
      </c>
      <c r="O8713">
        <v>-4.2009989999999997E-2</v>
      </c>
      <c r="P8713">
        <v>0.98809570000000002</v>
      </c>
      <c r="Q8713">
        <v>6.7884529999999998E-2</v>
      </c>
      <c r="R8713">
        <v>-0.13805339999999999</v>
      </c>
      <c r="S8713">
        <v>2.98407</v>
      </c>
      <c r="T8713">
        <v>-0.2104675</v>
      </c>
      <c r="U8713">
        <v>-0.47546389999999999</v>
      </c>
      <c r="V8713">
        <v>9.6452679999999999E-2</v>
      </c>
      <c r="W8713">
        <v>8.0931100000000006E-2</v>
      </c>
      <c r="X8713">
        <v>0.99204179999999997</v>
      </c>
      <c r="Y8713">
        <v>0.11554209999999999</v>
      </c>
      <c r="Z8713">
        <v>-1.1061549999999999E-3</v>
      </c>
      <c r="AA8713">
        <v>0.99330200000000002</v>
      </c>
      <c r="AB8713">
        <v>26</v>
      </c>
      <c r="AC8713">
        <v>0.74689999999998202</v>
      </c>
      <c r="AD8713">
        <v>-6.1667000000000097E-2</v>
      </c>
      <c r="AE8713">
        <v>-0.13391999999999901</v>
      </c>
      <c r="AF8713">
        <v>0.10174976086111701</v>
      </c>
      <c r="AG8713">
        <v>-6.1667000000000097E-2</v>
      </c>
      <c r="AH8713">
        <v>0.74693387498400599</v>
      </c>
      <c r="AI8713">
        <v>94.676648271922701</v>
      </c>
      <c r="AJ8713">
        <v>82.242730770542394</v>
      </c>
      <c r="AK8713">
        <v>0.75635047849718295</v>
      </c>
      <c r="AL8713">
        <v>85.3579123687324</v>
      </c>
      <c r="AM8713">
        <v>84.446790286791099</v>
      </c>
      <c r="AN8713">
        <v>0.99999994768681399</v>
      </c>
    </row>
    <row r="8714" spans="1:40" x14ac:dyDescent="0.25">
      <c r="A8714" t="str">
        <f>"20190312150857933"</f>
        <v>20190312150857933</v>
      </c>
      <c r="B8714" t="str">
        <f>"1552374537928482"</f>
        <v>1552374537928482</v>
      </c>
      <c r="C8714" t="s">
        <v>40</v>
      </c>
      <c r="D8714">
        <v>4.7944239999999896</v>
      </c>
      <c r="E8714">
        <v>0.5099745</v>
      </c>
      <c r="F8714" t="s">
        <v>42</v>
      </c>
      <c r="G8714">
        <v>-331.73649999999998</v>
      </c>
      <c r="H8714" s="1">
        <v>-4.4936779999999997E-6</v>
      </c>
      <c r="I8714">
        <v>14.168419999999999</v>
      </c>
      <c r="J8714">
        <v>-347.6651</v>
      </c>
      <c r="K8714">
        <v>1.110352</v>
      </c>
      <c r="L8714">
        <v>16.784579999999998</v>
      </c>
      <c r="M8714">
        <v>0.99902639999999998</v>
      </c>
      <c r="N8714">
        <v>0</v>
      </c>
      <c r="O8714">
        <v>-4.2099770000000002E-2</v>
      </c>
      <c r="P8714">
        <v>0.98807480000000003</v>
      </c>
      <c r="Q8714">
        <v>6.7920789999999995E-2</v>
      </c>
      <c r="R8714">
        <v>-0.1381838</v>
      </c>
      <c r="S8714">
        <v>2.9822690000000001</v>
      </c>
      <c r="T8714">
        <v>-0.20631089999999999</v>
      </c>
      <c r="U8714">
        <v>-0.48706050000000001</v>
      </c>
      <c r="V8714">
        <v>9.6491729999999998E-2</v>
      </c>
      <c r="W8714">
        <v>8.0974359999999995E-2</v>
      </c>
      <c r="X8714">
        <v>0.99203459999999999</v>
      </c>
      <c r="Y8714">
        <v>0.119308</v>
      </c>
      <c r="Z8714">
        <v>-1.207835E-3</v>
      </c>
      <c r="AA8714">
        <v>0.99285659999999998</v>
      </c>
      <c r="AB8714">
        <v>26</v>
      </c>
      <c r="AC8714">
        <v>15.928599999999999</v>
      </c>
      <c r="AD8714">
        <v>-1.1103564936779999</v>
      </c>
      <c r="AE8714">
        <v>-2.61615999999999</v>
      </c>
      <c r="AF8714">
        <v>1.93404030488878</v>
      </c>
      <c r="AG8714">
        <v>-1.1103564936779999</v>
      </c>
      <c r="AH8714">
        <v>15.94915944702</v>
      </c>
      <c r="AI8714">
        <v>93.953551467064997</v>
      </c>
      <c r="AJ8714">
        <v>83.085909234348307</v>
      </c>
      <c r="AK8714">
        <v>16.104319001760199</v>
      </c>
      <c r="AL8714">
        <v>85.355426180631895</v>
      </c>
      <c r="AM8714">
        <v>84.444515998546507</v>
      </c>
      <c r="AN8714">
        <v>1.0000000742664701</v>
      </c>
    </row>
    <row r="8715" spans="1:40" x14ac:dyDescent="0.25">
      <c r="A8715" t="str">
        <f>"20190312150857945"</f>
        <v>20190312150857945</v>
      </c>
      <c r="B8715" t="str">
        <f>"1552374537938242"</f>
        <v>1552374537938242</v>
      </c>
      <c r="C8715" t="s">
        <v>40</v>
      </c>
      <c r="D8715">
        <v>4.8200649999999996</v>
      </c>
      <c r="E8715">
        <v>0.51074929999999996</v>
      </c>
      <c r="F8715" t="s">
        <v>41</v>
      </c>
      <c r="G8715">
        <v>-346.7962</v>
      </c>
      <c r="H8715">
        <v>1.0504070000000001</v>
      </c>
      <c r="I8715">
        <v>16.63983</v>
      </c>
      <c r="J8715">
        <v>-347.53500000000003</v>
      </c>
      <c r="K8715">
        <v>1.1103719999999999</v>
      </c>
      <c r="L8715">
        <v>16.77899</v>
      </c>
      <c r="M8715">
        <v>0.99902239999999998</v>
      </c>
      <c r="N8715">
        <v>0</v>
      </c>
      <c r="O8715">
        <v>-4.2193010000000003E-2</v>
      </c>
      <c r="P8715">
        <v>0.98805770000000004</v>
      </c>
      <c r="Q8715">
        <v>6.8059480000000006E-2</v>
      </c>
      <c r="R8715">
        <v>-0.1382399</v>
      </c>
      <c r="S8715">
        <v>2.9811100000000001</v>
      </c>
      <c r="T8715">
        <v>-0.2056413</v>
      </c>
      <c r="U8715">
        <v>-0.49526979999999998</v>
      </c>
      <c r="V8715">
        <v>9.6452910000000003E-2</v>
      </c>
      <c r="W8715">
        <v>8.112026E-2</v>
      </c>
      <c r="X8715">
        <v>0.99202639999999997</v>
      </c>
      <c r="Y8715">
        <v>0.1219335</v>
      </c>
      <c r="Z8715">
        <v>-1.287627E-3</v>
      </c>
      <c r="AA8715">
        <v>0.99253740000000001</v>
      </c>
      <c r="AB8715">
        <v>26</v>
      </c>
      <c r="AC8715">
        <v>0.73880000000002599</v>
      </c>
      <c r="AD8715">
        <v>-5.9964999999999997E-2</v>
      </c>
      <c r="AE8715">
        <v>-0.13916000000000001</v>
      </c>
      <c r="AF8715">
        <v>0.107179260256739</v>
      </c>
      <c r="AG8715">
        <v>-5.9964999999999997E-2</v>
      </c>
      <c r="AH8715">
        <v>0.73931049111702796</v>
      </c>
      <c r="AI8715">
        <v>94.5893055628718</v>
      </c>
      <c r="AJ8715">
        <v>81.751188597781507</v>
      </c>
      <c r="AK8715">
        <v>0.74944192392064901</v>
      </c>
      <c r="AL8715">
        <v>85.347038879759396</v>
      </c>
      <c r="AM8715">
        <v>84.4466914593079</v>
      </c>
      <c r="AN8715">
        <v>1.00000001936344</v>
      </c>
    </row>
    <row r="8716" spans="1:40" x14ac:dyDescent="0.25">
      <c r="A8716" t="str">
        <f>"20190312150857956"</f>
        <v>20190312150857956</v>
      </c>
      <c r="B8716" t="str">
        <f>"1552374537948002"</f>
        <v>1552374537948002</v>
      </c>
      <c r="C8716" t="s">
        <v>40</v>
      </c>
      <c r="D8716">
        <v>4.7744019999999896</v>
      </c>
      <c r="E8716">
        <v>0.51141510000000001</v>
      </c>
      <c r="F8716" t="s">
        <v>41</v>
      </c>
      <c r="G8716">
        <v>-346.57409999999999</v>
      </c>
      <c r="H8716">
        <v>1.044783</v>
      </c>
      <c r="I8716">
        <v>16.617179999999902</v>
      </c>
      <c r="J8716">
        <v>-347.39010000000002</v>
      </c>
      <c r="K8716">
        <v>1.1103889999999901</v>
      </c>
      <c r="L8716">
        <v>16.772770000000001</v>
      </c>
      <c r="M8716">
        <v>0.99901890000000004</v>
      </c>
      <c r="N8716">
        <v>0</v>
      </c>
      <c r="O8716">
        <v>-4.2277559999999999E-2</v>
      </c>
      <c r="P8716">
        <v>0.98801910000000004</v>
      </c>
      <c r="Q8716">
        <v>6.8241910000000003E-2</v>
      </c>
      <c r="R8716">
        <v>-0.13842560000000001</v>
      </c>
      <c r="S8716">
        <v>2.9801030000000002</v>
      </c>
      <c r="T8716">
        <v>-0.2034318</v>
      </c>
      <c r="U8716">
        <v>-0.50164790000000004</v>
      </c>
      <c r="V8716">
        <v>9.6553299999999995E-2</v>
      </c>
      <c r="W8716">
        <v>8.1309909999999999E-2</v>
      </c>
      <c r="X8716">
        <v>0.99200109999999997</v>
      </c>
      <c r="Y8716">
        <v>0.12396939999999999</v>
      </c>
      <c r="Z8716">
        <v>-1.3372709999999999E-3</v>
      </c>
      <c r="AA8716">
        <v>0.99228510000000003</v>
      </c>
      <c r="AB8716">
        <v>26</v>
      </c>
      <c r="AC8716">
        <v>0.81600000000003003</v>
      </c>
      <c r="AD8716">
        <v>-6.5605999999999803E-2</v>
      </c>
      <c r="AE8716">
        <v>-0.155590000000003</v>
      </c>
      <c r="AF8716">
        <v>0.12019965244481701</v>
      </c>
      <c r="AG8716">
        <v>-6.5605999999999803E-2</v>
      </c>
      <c r="AH8716">
        <v>0.81675447444038896</v>
      </c>
      <c r="AI8716">
        <v>94.543704675009806</v>
      </c>
      <c r="AJ8716">
        <v>81.628023312847205</v>
      </c>
      <c r="AK8716">
        <v>0.82815455997190002</v>
      </c>
      <c r="AL8716">
        <v>85.336136685827299</v>
      </c>
      <c r="AM8716">
        <v>84.440806768363402</v>
      </c>
      <c r="AN8716">
        <v>1.00000001180315</v>
      </c>
    </row>
    <row r="8717" spans="1:40" x14ac:dyDescent="0.25">
      <c r="A8717" t="str">
        <f>"20190312150857966"</f>
        <v>20190312150857966</v>
      </c>
      <c r="B8717" t="str">
        <f>"1552374537958739"</f>
        <v>1552374537958739</v>
      </c>
      <c r="C8717" t="s">
        <v>40</v>
      </c>
      <c r="D8717">
        <v>4.8444779999999996</v>
      </c>
      <c r="E8717">
        <v>0.51194479999999998</v>
      </c>
      <c r="F8717" t="s">
        <v>42</v>
      </c>
      <c r="G8717">
        <v>-331.0326</v>
      </c>
      <c r="H8717" s="1">
        <v>-4.8279330000000002E-6</v>
      </c>
      <c r="I8717">
        <v>13.98654</v>
      </c>
      <c r="J8717">
        <v>-347.27800000000002</v>
      </c>
      <c r="K8717">
        <v>1.110395</v>
      </c>
      <c r="L8717">
        <v>16.767910000000001</v>
      </c>
      <c r="M8717">
        <v>0.99901600000000002</v>
      </c>
      <c r="N8717">
        <v>0</v>
      </c>
      <c r="O8717">
        <v>-4.2340099999999999E-2</v>
      </c>
      <c r="P8717">
        <v>0.98801220000000001</v>
      </c>
      <c r="Q8717">
        <v>6.8240910000000002E-2</v>
      </c>
      <c r="R8717">
        <v>-0.13847400000000001</v>
      </c>
      <c r="S8717">
        <v>2.9792480000000001</v>
      </c>
      <c r="T8717">
        <v>-0.20223859999999999</v>
      </c>
      <c r="U8717">
        <v>-0.50744630000000002</v>
      </c>
      <c r="V8717">
        <v>9.6537739999999997E-2</v>
      </c>
      <c r="W8717">
        <v>8.1314650000000002E-2</v>
      </c>
      <c r="X8717">
        <v>0.99200219999999995</v>
      </c>
      <c r="Y8717">
        <v>0.1258291</v>
      </c>
      <c r="Z8717">
        <v>-1.388036E-3</v>
      </c>
      <c r="AA8717">
        <v>0.99205089999999996</v>
      </c>
      <c r="AB8717">
        <v>26</v>
      </c>
      <c r="AC8717">
        <v>16.2454</v>
      </c>
      <c r="AD8717">
        <v>-1.1103998279330001</v>
      </c>
      <c r="AE8717">
        <v>-2.7813699999999999</v>
      </c>
      <c r="AF8717">
        <v>2.0815356764952999</v>
      </c>
      <c r="AG8717">
        <v>-1.1103998279330001</v>
      </c>
      <c r="AH8717">
        <v>16.274733856497399</v>
      </c>
      <c r="AI8717">
        <v>93.8717111637541</v>
      </c>
      <c r="AJ8717">
        <v>82.711450622767103</v>
      </c>
      <c r="AK8717">
        <v>16.444839331845699</v>
      </c>
      <c r="AL8717">
        <v>85.335864081762296</v>
      </c>
      <c r="AM8717">
        <v>84.441703171539899</v>
      </c>
      <c r="AN8717">
        <v>0.99999998617688401</v>
      </c>
    </row>
    <row r="8718" spans="1:40" x14ac:dyDescent="0.25">
      <c r="A8718" t="str">
        <f>"20190312150857977"</f>
        <v>20190312150857977</v>
      </c>
      <c r="B8718" t="str">
        <f>"1552374537968499"</f>
        <v>1552374537968499</v>
      </c>
      <c r="C8718" t="s">
        <v>40</v>
      </c>
      <c r="D8718">
        <v>4.78233</v>
      </c>
      <c r="E8718">
        <v>0.5124377</v>
      </c>
      <c r="F8718" t="s">
        <v>41</v>
      </c>
      <c r="G8718">
        <v>-346.32889999999998</v>
      </c>
      <c r="H8718">
        <v>1.0459590000000001</v>
      </c>
      <c r="I8718">
        <v>16.604510000000001</v>
      </c>
      <c r="J8718">
        <v>-347.14319999999998</v>
      </c>
      <c r="K8718">
        <v>1.1104099999999999</v>
      </c>
      <c r="L8718">
        <v>16.762149999999998</v>
      </c>
      <c r="M8718">
        <v>0.99901320000000005</v>
      </c>
      <c r="N8718">
        <v>0</v>
      </c>
      <c r="O8718">
        <v>-4.240443E-2</v>
      </c>
      <c r="P8718">
        <v>0.98799590000000004</v>
      </c>
      <c r="Q8718">
        <v>6.8171640000000006E-2</v>
      </c>
      <c r="R8718">
        <v>-0.13862389999999999</v>
      </c>
      <c r="S8718">
        <v>2.9786679999999999</v>
      </c>
      <c r="T8718">
        <v>-0.20222470000000001</v>
      </c>
      <c r="U8718">
        <v>-0.51174929999999996</v>
      </c>
      <c r="V8718">
        <v>9.6622029999999998E-2</v>
      </c>
      <c r="W8718">
        <v>8.1251429999999999E-2</v>
      </c>
      <c r="X8718">
        <v>0.99199919999999997</v>
      </c>
      <c r="Y8718">
        <v>0.12718660000000001</v>
      </c>
      <c r="Z8718">
        <v>-1.4294329999999999E-3</v>
      </c>
      <c r="AA8718">
        <v>0.99187780000000003</v>
      </c>
      <c r="AB8718">
        <v>26</v>
      </c>
      <c r="AC8718">
        <v>0.81430000000000202</v>
      </c>
      <c r="AD8718">
        <v>-6.4450999999999994E-2</v>
      </c>
      <c r="AE8718">
        <v>-0.157639999999997</v>
      </c>
      <c r="AF8718">
        <v>0.122227202147564</v>
      </c>
      <c r="AG8718">
        <v>-6.4450999999999994E-2</v>
      </c>
      <c r="AH8718">
        <v>0.81532947583193904</v>
      </c>
      <c r="AI8718">
        <v>94.470033218007501</v>
      </c>
      <c r="AJ8718">
        <v>81.474197851485201</v>
      </c>
      <c r="AK8718">
        <v>0.82695560612780505</v>
      </c>
      <c r="AL8718">
        <v>85.339498468014597</v>
      </c>
      <c r="AM8718">
        <v>84.436863768103905</v>
      </c>
      <c r="AN8718">
        <v>1.0000000121795001</v>
      </c>
    </row>
    <row r="8719" spans="1:40" x14ac:dyDescent="0.25">
      <c r="A8719" t="str">
        <f>"20190312150857990"</f>
        <v>20190312150857990</v>
      </c>
      <c r="B8719" t="str">
        <f>"1552374537978259"</f>
        <v>1552374537978259</v>
      </c>
      <c r="C8719" t="s">
        <v>40</v>
      </c>
      <c r="D8719">
        <v>4.8219719999999997</v>
      </c>
      <c r="E8719">
        <v>0.51293610000000001</v>
      </c>
      <c r="F8719" t="s">
        <v>42</v>
      </c>
      <c r="G8719">
        <v>-330.74959999999999</v>
      </c>
      <c r="H8719" s="1">
        <v>-4.9610079999999998E-6</v>
      </c>
      <c r="I8719">
        <v>13.92055</v>
      </c>
      <c r="J8719">
        <v>-346.99740000000003</v>
      </c>
      <c r="K8719">
        <v>1.110422</v>
      </c>
      <c r="L8719">
        <v>16.755859999999998</v>
      </c>
      <c r="M8719">
        <v>0.99901070000000003</v>
      </c>
      <c r="N8719">
        <v>0</v>
      </c>
      <c r="O8719">
        <v>-4.24678E-2</v>
      </c>
      <c r="P8719">
        <v>0.98797520000000005</v>
      </c>
      <c r="Q8719">
        <v>6.8209119999999998E-2</v>
      </c>
      <c r="R8719">
        <v>-0.13875499999999999</v>
      </c>
      <c r="S8719">
        <v>2.9779659999999999</v>
      </c>
      <c r="T8719">
        <v>-0.20171230000000001</v>
      </c>
      <c r="U8719">
        <v>-0.51617429999999997</v>
      </c>
      <c r="V8719">
        <v>9.6688399999999994E-2</v>
      </c>
      <c r="W8719">
        <v>8.1294199999999997E-2</v>
      </c>
      <c r="X8719">
        <v>0.99198920000000002</v>
      </c>
      <c r="Y8719">
        <v>0.1285917</v>
      </c>
      <c r="Z8719">
        <v>-1.4689309999999999E-3</v>
      </c>
      <c r="AA8719">
        <v>0.99169649999999998</v>
      </c>
      <c r="AB8719">
        <v>26</v>
      </c>
      <c r="AC8719">
        <v>16.247800000000002</v>
      </c>
      <c r="AD8719">
        <v>-1.110426961008</v>
      </c>
      <c r="AE8719">
        <v>-2.8353100000000002</v>
      </c>
      <c r="AF8719">
        <v>2.1330147884352999</v>
      </c>
      <c r="AG8719">
        <v>-1.110426961008</v>
      </c>
      <c r="AH8719">
        <v>16.279766769297499</v>
      </c>
      <c r="AI8719">
        <v>93.869078202167898</v>
      </c>
      <c r="AJ8719">
        <v>82.535487414874794</v>
      </c>
      <c r="AK8719">
        <v>16.456415350438199</v>
      </c>
      <c r="AL8719">
        <v>85.3370396589536</v>
      </c>
      <c r="AM8719">
        <v>84.433010660843905</v>
      </c>
      <c r="AN8719">
        <v>0.99999998328241901</v>
      </c>
    </row>
    <row r="8720" spans="1:40" x14ac:dyDescent="0.25">
      <c r="A8720" t="str">
        <f>"20190312150858001"</f>
        <v>20190312150858001</v>
      </c>
      <c r="B8720" t="str">
        <f>"1552374537998755"</f>
        <v>1552374537998755</v>
      </c>
      <c r="C8720" t="s">
        <v>40</v>
      </c>
      <c r="D8720">
        <v>4.8187699999999998</v>
      </c>
      <c r="E8720">
        <v>0.51363530000000002</v>
      </c>
      <c r="F8720" t="s">
        <v>42</v>
      </c>
      <c r="G8720">
        <v>-330.47699999999998</v>
      </c>
      <c r="H8720" s="1">
        <v>-5.0872329999999996E-6</v>
      </c>
      <c r="I8720">
        <v>13.86834</v>
      </c>
      <c r="J8720">
        <v>-346.87020000000001</v>
      </c>
      <c r="K8720">
        <v>1.110436</v>
      </c>
      <c r="L8720">
        <v>16.750399999999999</v>
      </c>
      <c r="M8720">
        <v>0.99900840000000002</v>
      </c>
      <c r="N8720">
        <v>0</v>
      </c>
      <c r="O8720">
        <v>-4.2517260000000001E-2</v>
      </c>
      <c r="P8720">
        <v>0.98793909999999996</v>
      </c>
      <c r="Q8720">
        <v>6.8228059999999993E-2</v>
      </c>
      <c r="R8720">
        <v>-0.13900270000000001</v>
      </c>
      <c r="S8720">
        <v>2.9772029999999998</v>
      </c>
      <c r="T8720">
        <v>-0.20011380000000001</v>
      </c>
      <c r="U8720">
        <v>-0.52035520000000002</v>
      </c>
      <c r="V8720">
        <v>9.6886449999999999E-2</v>
      </c>
      <c r="W8720">
        <v>8.131845E-2</v>
      </c>
      <c r="X8720">
        <v>0.99196790000000001</v>
      </c>
      <c r="Y8720">
        <v>0.1299371</v>
      </c>
      <c r="Z8720">
        <v>-1.499069E-3</v>
      </c>
      <c r="AA8720">
        <v>0.99152110000000004</v>
      </c>
      <c r="AB8720">
        <v>26</v>
      </c>
      <c r="AC8720">
        <v>16.3932</v>
      </c>
      <c r="AD8720">
        <v>-1.1104410872329999</v>
      </c>
      <c r="AE8720">
        <v>-2.8820599999999899</v>
      </c>
      <c r="AF8720">
        <v>2.1727281270144698</v>
      </c>
      <c r="AG8720">
        <v>-1.1104410872329999</v>
      </c>
      <c r="AH8720">
        <v>16.427803789813499</v>
      </c>
      <c r="AI8720">
        <v>93.833753863008596</v>
      </c>
      <c r="AJ8720">
        <v>82.465833639002895</v>
      </c>
      <c r="AK8720">
        <v>16.608027103745499</v>
      </c>
      <c r="AL8720">
        <v>85.335645673592595</v>
      </c>
      <c r="AM8720">
        <v>84.421560440649898</v>
      </c>
      <c r="AN8720">
        <v>0.99999999456720701</v>
      </c>
    </row>
    <row r="8721" spans="1:40" x14ac:dyDescent="0.25">
      <c r="A8721" t="str">
        <f>"20190312150858011"</f>
        <v>20190312150858011</v>
      </c>
      <c r="B8721" t="str">
        <f>"1552374538008514"</f>
        <v>1552374538008514</v>
      </c>
      <c r="C8721" t="s">
        <v>40</v>
      </c>
      <c r="D8721">
        <v>4.8361109999999998</v>
      </c>
      <c r="E8721">
        <v>0.51391949999999997</v>
      </c>
      <c r="F8721" t="s">
        <v>42</v>
      </c>
      <c r="G8721">
        <v>-330.33780000000002</v>
      </c>
      <c r="H8721" s="1">
        <v>-5.1546359999999999E-6</v>
      </c>
      <c r="I8721">
        <v>13.824999999999999</v>
      </c>
      <c r="J8721">
        <v>-346.7568</v>
      </c>
      <c r="K8721">
        <v>1.1104459999999901</v>
      </c>
      <c r="L8721">
        <v>16.745509999999999</v>
      </c>
      <c r="M8721">
        <v>0.99900690000000003</v>
      </c>
      <c r="N8721">
        <v>0</v>
      </c>
      <c r="O8721">
        <v>-4.2555660000000002E-2</v>
      </c>
      <c r="P8721">
        <v>0.98792199999999997</v>
      </c>
      <c r="Q8721">
        <v>6.8401550000000005E-2</v>
      </c>
      <c r="R8721">
        <v>-0.13903850000000001</v>
      </c>
      <c r="S8721">
        <v>2.976318</v>
      </c>
      <c r="T8721">
        <v>-0.19991139999999999</v>
      </c>
      <c r="U8721">
        <v>-0.52664180000000005</v>
      </c>
      <c r="V8721">
        <v>9.6883570000000002E-2</v>
      </c>
      <c r="W8721">
        <v>8.1495700000000004E-2</v>
      </c>
      <c r="X8721">
        <v>0.99195359999999999</v>
      </c>
      <c r="Y8721">
        <v>0.13197619999999999</v>
      </c>
      <c r="Z8721">
        <v>-1.5630819999999999E-3</v>
      </c>
      <c r="AA8721">
        <v>0.99125160000000001</v>
      </c>
      <c r="AB8721">
        <v>26</v>
      </c>
      <c r="AC8721">
        <v>16.418999999999901</v>
      </c>
      <c r="AD8721">
        <v>-1.1104511546360001</v>
      </c>
      <c r="AE8721">
        <v>-2.9205099999999899</v>
      </c>
      <c r="AF8721">
        <v>2.2092860142072999</v>
      </c>
      <c r="AG8721">
        <v>-1.1104511546360001</v>
      </c>
      <c r="AH8721">
        <v>16.455457971287</v>
      </c>
      <c r="AI8721">
        <v>93.826365984917501</v>
      </c>
      <c r="AJ8721">
        <v>82.353277605539702</v>
      </c>
      <c r="AK8721">
        <v>16.640196618555802</v>
      </c>
      <c r="AL8721">
        <v>85.325456014616606</v>
      </c>
      <c r="AM8721">
        <v>84.4216453075896</v>
      </c>
      <c r="AN8721">
        <v>0.99999995990369595</v>
      </c>
    </row>
    <row r="8722" spans="1:40" x14ac:dyDescent="0.25">
      <c r="A8722" t="str">
        <f>"20190312150858022"</f>
        <v>20190312150858022</v>
      </c>
      <c r="B8722" t="str">
        <f>"1552374538018274"</f>
        <v>1552374538018274</v>
      </c>
      <c r="C8722" t="s">
        <v>40</v>
      </c>
      <c r="D8722">
        <v>4.818956</v>
      </c>
      <c r="E8722">
        <v>0.51419939999999997</v>
      </c>
      <c r="F8722" t="s">
        <v>42</v>
      </c>
      <c r="G8722">
        <v>-330.19119999999998</v>
      </c>
      <c r="H8722" s="1">
        <v>-5.2218980000000003E-6</v>
      </c>
      <c r="I8722">
        <v>13.80036</v>
      </c>
      <c r="J8722">
        <v>-346.62740000000002</v>
      </c>
      <c r="K8722">
        <v>1.110455</v>
      </c>
      <c r="L8722">
        <v>16.739929999999902</v>
      </c>
      <c r="M8722">
        <v>0.99900509999999998</v>
      </c>
      <c r="N8722">
        <v>0</v>
      </c>
      <c r="O8722">
        <v>-4.2596549999999997E-2</v>
      </c>
      <c r="P8722">
        <v>0.98789579999999999</v>
      </c>
      <c r="Q8722">
        <v>6.8491739999999995E-2</v>
      </c>
      <c r="R8722">
        <v>-0.13918029999999901</v>
      </c>
      <c r="S8722">
        <v>2.976013</v>
      </c>
      <c r="T8722">
        <v>-0.1994927</v>
      </c>
      <c r="U8722">
        <v>-0.52908330000000003</v>
      </c>
      <c r="V8722">
        <v>9.6984169999999995E-2</v>
      </c>
      <c r="W8722">
        <v>8.1589809999999999E-2</v>
      </c>
      <c r="X8722">
        <v>0.99193609999999999</v>
      </c>
      <c r="Y8722">
        <v>0.13274059999999999</v>
      </c>
      <c r="Z8722">
        <v>-1.582558E-3</v>
      </c>
      <c r="AA8722">
        <v>0.99114950000000002</v>
      </c>
      <c r="AB8722">
        <v>26</v>
      </c>
      <c r="AC8722">
        <v>16.436199999999999</v>
      </c>
      <c r="AD8722">
        <v>-1.110460221898</v>
      </c>
      <c r="AE8722">
        <v>-2.93956999999999</v>
      </c>
      <c r="AF8722">
        <v>2.2268652904853701</v>
      </c>
      <c r="AG8722">
        <v>-1.110460221898</v>
      </c>
      <c r="AH8722">
        <v>16.473640647493902</v>
      </c>
      <c r="AI8722">
        <v>93.821722967766107</v>
      </c>
      <c r="AJ8722">
        <v>82.301565411004404</v>
      </c>
      <c r="AK8722">
        <v>16.6605188127246</v>
      </c>
      <c r="AL8722">
        <v>85.320046203954107</v>
      </c>
      <c r="AM8722">
        <v>84.415791666158995</v>
      </c>
      <c r="AN8722">
        <v>1.0000000264048099</v>
      </c>
    </row>
    <row r="8723" spans="1:40" x14ac:dyDescent="0.25">
      <c r="A8723" t="str">
        <f>"20190312150858033"</f>
        <v>20190312150858033</v>
      </c>
      <c r="B8723" t="str">
        <f>"1552374538028034"</f>
        <v>1552374538028034</v>
      </c>
      <c r="C8723" t="s">
        <v>40</v>
      </c>
      <c r="D8723">
        <v>4.8128419999999998</v>
      </c>
      <c r="E8723">
        <v>0.51446239999999999</v>
      </c>
      <c r="F8723" t="s">
        <v>42</v>
      </c>
      <c r="G8723">
        <v>-329.98469999999998</v>
      </c>
      <c r="H8723" s="1">
        <v>-5.3167560000000001E-6</v>
      </c>
      <c r="I8723">
        <v>13.76491</v>
      </c>
      <c r="J8723">
        <v>-346.49590000000001</v>
      </c>
      <c r="K8723">
        <v>1.1104620000000001</v>
      </c>
      <c r="L8723">
        <v>16.734279999999998</v>
      </c>
      <c r="M8723">
        <v>0.99900350000000004</v>
      </c>
      <c r="N8723">
        <v>0</v>
      </c>
      <c r="O8723">
        <v>-4.2631019999999999E-2</v>
      </c>
      <c r="P8723">
        <v>0.98790449999999996</v>
      </c>
      <c r="Q8723">
        <v>6.8729899999999997E-2</v>
      </c>
      <c r="R8723">
        <v>-0.13900090000000001</v>
      </c>
      <c r="S8723">
        <v>2.9755549999999999</v>
      </c>
      <c r="T8723">
        <v>-0.19853970000000001</v>
      </c>
      <c r="U8723">
        <v>-0.53189090000000006</v>
      </c>
      <c r="V8723">
        <v>9.6768690000000004E-2</v>
      </c>
      <c r="W8723">
        <v>8.1832189999999999E-2</v>
      </c>
      <c r="X8723">
        <v>0.99193719999999996</v>
      </c>
      <c r="Y8723">
        <v>0.13363910000000001</v>
      </c>
      <c r="Z8723">
        <v>-1.6025690000000001E-3</v>
      </c>
      <c r="AA8723">
        <v>0.99102880000000004</v>
      </c>
      <c r="AB8723">
        <v>26</v>
      </c>
      <c r="AC8723">
        <v>16.511199999999999</v>
      </c>
      <c r="AD8723">
        <v>-1.110467316756</v>
      </c>
      <c r="AE8723">
        <v>-2.9693699999999899</v>
      </c>
      <c r="AF8723">
        <v>2.25284824259065</v>
      </c>
      <c r="AG8723">
        <v>-1.110467316756</v>
      </c>
      <c r="AH8723">
        <v>16.5502688254874</v>
      </c>
      <c r="AI8723">
        <v>93.803627673313301</v>
      </c>
      <c r="AJ8723">
        <v>82.248451744776204</v>
      </c>
      <c r="AK8723">
        <v>16.739768847317698</v>
      </c>
      <c r="AL8723">
        <v>85.306112359296094</v>
      </c>
      <c r="AM8723">
        <v>84.428126671861094</v>
      </c>
      <c r="AN8723">
        <v>1.0000000477141699</v>
      </c>
    </row>
    <row r="8724" spans="1:40" x14ac:dyDescent="0.25">
      <c r="A8724" t="str">
        <f>"20190312150858046"</f>
        <v>20190312150858046</v>
      </c>
      <c r="B8724" t="str">
        <f>"1552374538037795"</f>
        <v>1552374538037795</v>
      </c>
      <c r="C8724" t="s">
        <v>40</v>
      </c>
      <c r="D8724">
        <v>4.8622019999999999</v>
      </c>
      <c r="E8724">
        <v>0.5146657</v>
      </c>
      <c r="F8724" t="s">
        <v>42</v>
      </c>
      <c r="G8724">
        <v>-329.84129999999999</v>
      </c>
      <c r="H8724" s="1">
        <v>-1.606184E-6</v>
      </c>
      <c r="I8724">
        <v>13.749470000000001</v>
      </c>
      <c r="J8724">
        <v>-346.3544</v>
      </c>
      <c r="K8724">
        <v>1.1104719999999999</v>
      </c>
      <c r="L8724">
        <v>16.728179999999998</v>
      </c>
      <c r="M8724">
        <v>0.9990021</v>
      </c>
      <c r="N8724">
        <v>0</v>
      </c>
      <c r="O8724">
        <v>-4.2665590000000003E-2</v>
      </c>
      <c r="P8724">
        <v>0.98790630000000001</v>
      </c>
      <c r="Q8724">
        <v>6.8745810000000004E-2</v>
      </c>
      <c r="R8724">
        <v>-0.1389802</v>
      </c>
      <c r="S8724">
        <v>2.9754939999999999</v>
      </c>
      <c r="T8724">
        <v>-0.1983943</v>
      </c>
      <c r="U8724">
        <v>-0.53326419999999997</v>
      </c>
      <c r="V8724">
        <v>9.6712220000000002E-2</v>
      </c>
      <c r="W8724">
        <v>8.1852149999999999E-2</v>
      </c>
      <c r="X8724">
        <v>0.99194099999999996</v>
      </c>
      <c r="Y8724">
        <v>0.1340509</v>
      </c>
      <c r="Z8724">
        <v>-1.6127019999999999E-3</v>
      </c>
      <c r="AA8724">
        <v>0.99097310000000005</v>
      </c>
      <c r="AB8724">
        <v>26</v>
      </c>
      <c r="AC8724">
        <v>16.513100000000001</v>
      </c>
      <c r="AD8724">
        <v>-1.1104736061839999</v>
      </c>
      <c r="AE8724">
        <v>-2.9787099999999902</v>
      </c>
      <c r="AF8724">
        <v>2.2614896816996399</v>
      </c>
      <c r="AG8724">
        <v>-1.1104736061839999</v>
      </c>
      <c r="AH8724">
        <v>16.552663071302</v>
      </c>
      <c r="AI8724">
        <v>93.802845560462202</v>
      </c>
      <c r="AJ8724">
        <v>82.220193700418207</v>
      </c>
      <c r="AK8724">
        <v>16.743301405711801</v>
      </c>
      <c r="AL8724">
        <v>85.304964603854998</v>
      </c>
      <c r="AM8724">
        <v>84.431378930233805</v>
      </c>
      <c r="AN8724">
        <v>0.99999998771897503</v>
      </c>
    </row>
    <row r="8725" spans="1:40" x14ac:dyDescent="0.25">
      <c r="A8725" t="str">
        <f>"20190312150858058"</f>
        <v>20190312150858058</v>
      </c>
      <c r="B8725" t="str">
        <f>"1552374538048530"</f>
        <v>1552374538048530</v>
      </c>
      <c r="C8725" t="s">
        <v>40</v>
      </c>
      <c r="D8725">
        <v>4.8483970000000003</v>
      </c>
      <c r="E8725">
        <v>0.51482039999999996</v>
      </c>
      <c r="F8725" t="s">
        <v>42</v>
      </c>
      <c r="G8725">
        <v>-329.71480000000003</v>
      </c>
      <c r="H8725" s="1">
        <v>-1.6580700000000001E-6</v>
      </c>
      <c r="I8725">
        <v>13.737</v>
      </c>
      <c r="J8725">
        <v>-346.20319999999998</v>
      </c>
      <c r="K8725">
        <v>1.1104810000000001</v>
      </c>
      <c r="L8725">
        <v>16.721710000000002</v>
      </c>
      <c r="M8725">
        <v>0.99900080000000002</v>
      </c>
      <c r="N8725">
        <v>0</v>
      </c>
      <c r="O8725">
        <v>-4.2695049999999998E-2</v>
      </c>
      <c r="P8725">
        <v>0.98791960000000001</v>
      </c>
      <c r="Q8725">
        <v>6.8670140000000005E-2</v>
      </c>
      <c r="R8725">
        <v>-0.13892289999999999</v>
      </c>
      <c r="S8725">
        <v>2.975311</v>
      </c>
      <c r="T8725">
        <v>-0.19856299999999999</v>
      </c>
      <c r="U8725">
        <v>-0.53485109999999902</v>
      </c>
      <c r="V8725">
        <v>9.6623539999999994E-2</v>
      </c>
      <c r="W8725">
        <v>8.1780389999999994E-2</v>
      </c>
      <c r="X8725">
        <v>0.99195560000000005</v>
      </c>
      <c r="Y8725">
        <v>0.134543</v>
      </c>
      <c r="Z8725">
        <v>-1.6284310000000001E-3</v>
      </c>
      <c r="AA8725">
        <v>0.99090639999999997</v>
      </c>
      <c r="AB8725">
        <v>26</v>
      </c>
      <c r="AC8725">
        <v>16.488399999999899</v>
      </c>
      <c r="AD8725">
        <v>-1.11048265807</v>
      </c>
      <c r="AE8725">
        <v>-2.9847100000000002</v>
      </c>
      <c r="AF8725">
        <v>2.26799235739725</v>
      </c>
      <c r="AG8725">
        <v>-1.11048265807</v>
      </c>
      <c r="AH8725">
        <v>16.528213734085298</v>
      </c>
      <c r="AI8725">
        <v>93.808181401195498</v>
      </c>
      <c r="AJ8725">
        <v>82.186700289962801</v>
      </c>
      <c r="AK8725">
        <v>16.7200122699325</v>
      </c>
      <c r="AL8725">
        <v>85.309090162084104</v>
      </c>
      <c r="AM8725">
        <v>84.436534383856298</v>
      </c>
      <c r="AN8725">
        <v>1.00000002652102</v>
      </c>
    </row>
    <row r="8726" spans="1:40" x14ac:dyDescent="0.25">
      <c r="A8726" t="str">
        <f>"20190312150858070"</f>
        <v>20190312150858070</v>
      </c>
      <c r="B8726" t="str">
        <f>"1552374538058290"</f>
        <v>1552374538058290</v>
      </c>
      <c r="C8726" t="s">
        <v>40</v>
      </c>
      <c r="D8726">
        <v>4.8108060000000004</v>
      </c>
      <c r="E8726">
        <v>0.5150264</v>
      </c>
      <c r="F8726" t="s">
        <v>42</v>
      </c>
      <c r="G8726">
        <v>-329.65010000000001</v>
      </c>
      <c r="H8726" s="1">
        <v>-1.681955E-6</v>
      </c>
      <c r="I8726">
        <v>13.740679999999999</v>
      </c>
      <c r="J8726">
        <v>-346.0693</v>
      </c>
      <c r="K8726">
        <v>1.1104860000000001</v>
      </c>
      <c r="L8726">
        <v>16.715969999999999</v>
      </c>
      <c r="M8726">
        <v>0.99899979999999999</v>
      </c>
      <c r="N8726">
        <v>0</v>
      </c>
      <c r="O8726">
        <v>-4.271784E-2</v>
      </c>
      <c r="P8726">
        <v>0.98787389999999997</v>
      </c>
      <c r="Q8726">
        <v>6.8952579999999999E-2</v>
      </c>
      <c r="R8726">
        <v>-0.13910819999999999</v>
      </c>
      <c r="S8726">
        <v>2.9751889999999999</v>
      </c>
      <c r="T8726">
        <v>-0.1995931</v>
      </c>
      <c r="U8726">
        <v>-0.53579709999999903</v>
      </c>
      <c r="V8726">
        <v>9.6786709999999998E-2</v>
      </c>
      <c r="W8726">
        <v>8.206505E-2</v>
      </c>
      <c r="X8726">
        <v>0.99191620000000003</v>
      </c>
      <c r="Y8726">
        <v>0.13483010000000001</v>
      </c>
      <c r="Z8726">
        <v>-1.64491299999999E-3</v>
      </c>
      <c r="AA8726">
        <v>0.99086739999999995</v>
      </c>
      <c r="AB8726">
        <v>26</v>
      </c>
      <c r="AC8726">
        <v>16.419199999999901</v>
      </c>
      <c r="AD8726">
        <v>-1.110487681955</v>
      </c>
      <c r="AE8726">
        <v>-2.9752900000000002</v>
      </c>
      <c r="AF8726">
        <v>2.2611054968510298</v>
      </c>
      <c r="AG8726">
        <v>-1.110487681955</v>
      </c>
      <c r="AH8726">
        <v>16.458426532807401</v>
      </c>
      <c r="AI8726">
        <v>93.824214368746496</v>
      </c>
      <c r="AJ8726">
        <v>82.177511406523493</v>
      </c>
      <c r="AK8726">
        <v>16.6500926392462</v>
      </c>
      <c r="AL8726">
        <v>85.292725419788795</v>
      </c>
      <c r="AM8726">
        <v>84.426978381985805</v>
      </c>
      <c r="AN8726">
        <v>1.0000000437432801</v>
      </c>
    </row>
    <row r="8727" spans="1:40" x14ac:dyDescent="0.25">
      <c r="A8727" t="str">
        <f>"20190312150858082"</f>
        <v>20190312150858082</v>
      </c>
      <c r="B8727" t="str">
        <f>"1552374538078787"</f>
        <v>1552374538078787</v>
      </c>
      <c r="C8727" t="s">
        <v>40</v>
      </c>
      <c r="D8727">
        <v>4.8040070000000004</v>
      </c>
      <c r="E8727">
        <v>0.51533399999999996</v>
      </c>
      <c r="F8727" t="s">
        <v>42</v>
      </c>
      <c r="G8727">
        <v>-329.43779999999998</v>
      </c>
      <c r="H8727" s="1">
        <v>-1.7720679999999999E-6</v>
      </c>
      <c r="I8727">
        <v>13.708299999999999</v>
      </c>
      <c r="J8727">
        <v>-345.91860000000003</v>
      </c>
      <c r="K8727">
        <v>1.110492</v>
      </c>
      <c r="L8727">
        <v>16.709499999999998</v>
      </c>
      <c r="M8727">
        <v>0.99899879999999996</v>
      </c>
      <c r="N8727">
        <v>0</v>
      </c>
      <c r="O8727">
        <v>-4.2740279999999999E-2</v>
      </c>
      <c r="P8727">
        <v>0.98783129999999997</v>
      </c>
      <c r="Q8727">
        <v>6.9254060000000006E-2</v>
      </c>
      <c r="R8727">
        <v>-0.13926089999999999</v>
      </c>
      <c r="S8727">
        <v>2.974945</v>
      </c>
      <c r="T8727">
        <v>-0.1986378</v>
      </c>
      <c r="U8727">
        <v>-0.53799439999999998</v>
      </c>
      <c r="V8727">
        <v>9.6917550000000005E-2</v>
      </c>
      <c r="W8727">
        <v>8.2369189999999995E-2</v>
      </c>
      <c r="X8727">
        <v>0.99187820000000004</v>
      </c>
      <c r="Y8727">
        <v>0.13553119999999999</v>
      </c>
      <c r="Z8727">
        <v>-1.658805E-3</v>
      </c>
      <c r="AA8727">
        <v>0.99077170000000003</v>
      </c>
      <c r="AB8727">
        <v>26</v>
      </c>
      <c r="AC8727">
        <v>16.480799999999999</v>
      </c>
      <c r="AD8727">
        <v>-1.1104937720679999</v>
      </c>
      <c r="AE8727">
        <v>-3.0011999999999901</v>
      </c>
      <c r="AF8727">
        <v>2.2839647056264001</v>
      </c>
      <c r="AG8727">
        <v>-1.1104937720679999</v>
      </c>
      <c r="AH8727">
        <v>16.521417781171401</v>
      </c>
      <c r="AI8727">
        <v>93.809255949609096</v>
      </c>
      <c r="AJ8727">
        <v>82.129166076844299</v>
      </c>
      <c r="AK8727">
        <v>16.7154699812586</v>
      </c>
      <c r="AL8727">
        <v>85.275240216752294</v>
      </c>
      <c r="AM8727">
        <v>84.419279634670602</v>
      </c>
      <c r="AN8727">
        <v>1.00000002929724</v>
      </c>
    </row>
    <row r="8728" spans="1:40" x14ac:dyDescent="0.25">
      <c r="A8728" t="str">
        <f>"20190312150858096"</f>
        <v>20190312150858096</v>
      </c>
      <c r="B8728" t="str">
        <f>"1552374538088546"</f>
        <v>1552374538088546</v>
      </c>
      <c r="C8728" t="s">
        <v>40</v>
      </c>
      <c r="D8728">
        <v>4.7933519999999996</v>
      </c>
      <c r="E8728">
        <v>0.51552229999999999</v>
      </c>
      <c r="F8728" t="s">
        <v>42</v>
      </c>
      <c r="G8728">
        <v>-329.27449999999999</v>
      </c>
      <c r="H8728" s="1">
        <v>-1.841297E-6</v>
      </c>
      <c r="I8728">
        <v>13.683859999999999</v>
      </c>
      <c r="J8728">
        <v>-345.77510000000001</v>
      </c>
      <c r="K8728">
        <v>1.1104989999999999</v>
      </c>
      <c r="L8728">
        <v>16.703309999999998</v>
      </c>
      <c r="M8728">
        <v>0.9989981</v>
      </c>
      <c r="N8728">
        <v>0</v>
      </c>
      <c r="O8728">
        <v>-4.2754970000000003E-2</v>
      </c>
      <c r="P8728">
        <v>0.98785109999999998</v>
      </c>
      <c r="Q8728">
        <v>6.9195489999999998E-2</v>
      </c>
      <c r="R8728">
        <v>-0.13914969999999999</v>
      </c>
      <c r="S8728">
        <v>2.97464</v>
      </c>
      <c r="T8728">
        <v>-0.19846730000000001</v>
      </c>
      <c r="U8728">
        <v>-0.54074100000000003</v>
      </c>
      <c r="V8728">
        <v>9.6789700000000006E-2</v>
      </c>
      <c r="W8728">
        <v>8.2313579999999997E-2</v>
      </c>
      <c r="X8728">
        <v>0.99189530000000004</v>
      </c>
      <c r="Y8728">
        <v>0.1364185</v>
      </c>
      <c r="Z8728">
        <v>-1.6857910000000001E-3</v>
      </c>
      <c r="AA8728">
        <v>0.99064989999999997</v>
      </c>
      <c r="AB8728">
        <v>26</v>
      </c>
      <c r="AC8728">
        <v>16.500599999999999</v>
      </c>
      <c r="AD8728">
        <v>-1.1105008412970001</v>
      </c>
      <c r="AE8728">
        <v>-3.01945</v>
      </c>
      <c r="AF8728">
        <v>2.3010594957067299</v>
      </c>
      <c r="AG8728">
        <v>-1.1105008412970001</v>
      </c>
      <c r="AH8728">
        <v>16.5421189542615</v>
      </c>
      <c r="AI8728">
        <v>93.804083078116093</v>
      </c>
      <c r="AJ8728">
        <v>82.080798336364595</v>
      </c>
      <c r="AK8728">
        <v>16.7382731014355</v>
      </c>
      <c r="AL8728">
        <v>85.278437289383703</v>
      </c>
      <c r="AM8728">
        <v>84.426690608233997</v>
      </c>
      <c r="AN8728">
        <v>1.0000000288202899</v>
      </c>
    </row>
    <row r="8729" spans="1:40" x14ac:dyDescent="0.25">
      <c r="A8729" t="str">
        <f>"20190312150858108"</f>
        <v>20190312150858108</v>
      </c>
      <c r="B8729" t="str">
        <f>"1552374538098306"</f>
        <v>1552374538098306</v>
      </c>
      <c r="C8729" t="s">
        <v>40</v>
      </c>
      <c r="D8729">
        <v>4.8163159999999996</v>
      </c>
      <c r="E8729">
        <v>0.51568649999999905</v>
      </c>
      <c r="F8729" t="s">
        <v>42</v>
      </c>
      <c r="G8729">
        <v>-329.11919999999998</v>
      </c>
      <c r="H8729" s="1">
        <v>-1.9046229999999999E-6</v>
      </c>
      <c r="I8729">
        <v>13.66995</v>
      </c>
      <c r="J8729">
        <v>-345.62689999999998</v>
      </c>
      <c r="K8729">
        <v>1.110501</v>
      </c>
      <c r="L8729">
        <v>16.696929999999998</v>
      </c>
      <c r="M8729">
        <v>0.99899769999999999</v>
      </c>
      <c r="N8729">
        <v>0</v>
      </c>
      <c r="O8729">
        <v>-4.2767289999999999E-2</v>
      </c>
      <c r="P8729">
        <v>0.98783799999999999</v>
      </c>
      <c r="Q8729">
        <v>6.9195519999999996E-2</v>
      </c>
      <c r="R8729">
        <v>-0.13924400000000001</v>
      </c>
      <c r="S8729">
        <v>2.9745180000000002</v>
      </c>
      <c r="T8729">
        <v>-0.19832040000000001</v>
      </c>
      <c r="U8729">
        <v>-0.54171749999999996</v>
      </c>
      <c r="V8729">
        <v>9.687105E-2</v>
      </c>
      <c r="W8729">
        <v>8.2315970000000002E-2</v>
      </c>
      <c r="X8729">
        <v>0.99188719999999997</v>
      </c>
      <c r="Y8729">
        <v>0.13672790000000001</v>
      </c>
      <c r="Z8729">
        <v>-1.6939779999999901E-3</v>
      </c>
      <c r="AA8729">
        <v>0.99060720000000002</v>
      </c>
      <c r="AB8729">
        <v>26</v>
      </c>
      <c r="AC8729">
        <v>16.5077</v>
      </c>
      <c r="AD8729">
        <v>-1.1105029046229999</v>
      </c>
      <c r="AE8729">
        <v>-3.0269799999999898</v>
      </c>
      <c r="AF8729">
        <v>2.3080534855594799</v>
      </c>
      <c r="AG8729">
        <v>-1.1105029046229999</v>
      </c>
      <c r="AH8729">
        <v>16.549602018911798</v>
      </c>
      <c r="AI8729">
        <v>93.802188788911494</v>
      </c>
      <c r="AJ8729">
        <v>82.060580636851398</v>
      </c>
      <c r="AK8729">
        <v>16.746631141150502</v>
      </c>
      <c r="AL8729">
        <v>85.278300073414698</v>
      </c>
      <c r="AM8729">
        <v>84.421990607529807</v>
      </c>
      <c r="AN8729">
        <v>1.0000000683844801</v>
      </c>
    </row>
    <row r="8730" spans="1:40" x14ac:dyDescent="0.25">
      <c r="A8730" t="str">
        <f>"20190312150858122"</f>
        <v>20190312150858122</v>
      </c>
      <c r="B8730" t="str">
        <f>"1552374538117827"</f>
        <v>1552374538117827</v>
      </c>
      <c r="C8730" t="s">
        <v>40</v>
      </c>
      <c r="D8730">
        <v>4.7796880000000002</v>
      </c>
      <c r="E8730">
        <v>0.51603160000000003</v>
      </c>
      <c r="F8730" t="s">
        <v>42</v>
      </c>
      <c r="G8730">
        <v>-328.97410000000002</v>
      </c>
      <c r="H8730" s="1">
        <v>-1.9645239999999998E-6</v>
      </c>
      <c r="I8730">
        <v>13.654260000000001</v>
      </c>
      <c r="J8730">
        <v>-345.4572</v>
      </c>
      <c r="K8730">
        <v>1.1105080000000001</v>
      </c>
      <c r="L8730">
        <v>16.689640000000001</v>
      </c>
      <c r="M8730">
        <v>0.99899709999999997</v>
      </c>
      <c r="N8730">
        <v>0</v>
      </c>
      <c r="O8730">
        <v>-4.2776010000000003E-2</v>
      </c>
      <c r="P8730">
        <v>0.98782049999999999</v>
      </c>
      <c r="Q8730">
        <v>6.9042190000000003E-2</v>
      </c>
      <c r="R8730">
        <v>-0.13944200000000001</v>
      </c>
      <c r="S8730">
        <v>2.9742130000000002</v>
      </c>
      <c r="T8730">
        <v>-0.19833790000000001</v>
      </c>
      <c r="U8730">
        <v>-0.54342650000000003</v>
      </c>
      <c r="V8730">
        <v>9.7059850000000003E-2</v>
      </c>
      <c r="W8730">
        <v>8.2164849999999998E-2</v>
      </c>
      <c r="X8730">
        <v>0.99188120000000002</v>
      </c>
      <c r="Y8730">
        <v>0.13728679999999999</v>
      </c>
      <c r="Z8730">
        <v>-1.712107E-3</v>
      </c>
      <c r="AA8730">
        <v>0.99052980000000002</v>
      </c>
      <c r="AB8730">
        <v>26</v>
      </c>
      <c r="AC8730">
        <v>16.483099999999901</v>
      </c>
      <c r="AD8730">
        <v>-1.110509964524</v>
      </c>
      <c r="AE8730">
        <v>-3.03538</v>
      </c>
      <c r="AF8730">
        <v>2.3172849062643999</v>
      </c>
      <c r="AG8730">
        <v>-1.110509964524</v>
      </c>
      <c r="AH8730">
        <v>16.5253136456252</v>
      </c>
      <c r="AI8730">
        <v>93.807387209059698</v>
      </c>
      <c r="AJ8730">
        <v>82.017668735583797</v>
      </c>
      <c r="AK8730">
        <v>16.723906027133602</v>
      </c>
      <c r="AL8730">
        <v>85.286987699355905</v>
      </c>
      <c r="AM8730">
        <v>84.411154331879203</v>
      </c>
      <c r="AN8730">
        <v>0.99999999598549205</v>
      </c>
    </row>
    <row r="8731" spans="1:40" x14ac:dyDescent="0.25">
      <c r="A8731" t="str">
        <f>"20190312150858135"</f>
        <v>20190312150858135</v>
      </c>
      <c r="B8731" t="str">
        <f>"1552374538128563"</f>
        <v>1552374538128563</v>
      </c>
      <c r="C8731" t="s">
        <v>40</v>
      </c>
      <c r="D8731">
        <v>4.8000049999999996</v>
      </c>
      <c r="E8731">
        <v>0.51615540000000004</v>
      </c>
      <c r="F8731" t="s">
        <v>42</v>
      </c>
      <c r="G8731">
        <v>-328.89440000000002</v>
      </c>
      <c r="H8731" s="1">
        <v>-1.9980109999999999E-6</v>
      </c>
      <c r="I8731">
        <v>13.64349</v>
      </c>
      <c r="J8731">
        <v>-345.31699999999898</v>
      </c>
      <c r="K8731">
        <v>1.1105149999999999</v>
      </c>
      <c r="L8731">
        <v>16.68365</v>
      </c>
      <c r="M8731">
        <v>0.99899720000000003</v>
      </c>
      <c r="N8731">
        <v>0</v>
      </c>
      <c r="O8731">
        <v>-4.2779169999999998E-2</v>
      </c>
      <c r="P8731">
        <v>0.98779399999999995</v>
      </c>
      <c r="Q8731">
        <v>6.8993390000000002E-2</v>
      </c>
      <c r="R8731">
        <v>-0.13965529999999901</v>
      </c>
      <c r="S8731">
        <v>2.9736940000000001</v>
      </c>
      <c r="T8731">
        <v>-0.19938139999999999</v>
      </c>
      <c r="U8731">
        <v>-0.54690550000000004</v>
      </c>
      <c r="V8731">
        <v>9.7270110000000007E-2</v>
      </c>
      <c r="W8731">
        <v>8.2117800000000005E-2</v>
      </c>
      <c r="X8731">
        <v>0.99186450000000004</v>
      </c>
      <c r="Y8731">
        <v>0.13843069999999999</v>
      </c>
      <c r="Z8731">
        <v>-1.7590069999999999E-3</v>
      </c>
      <c r="AA8731">
        <v>0.99037059999999999</v>
      </c>
      <c r="AB8731">
        <v>26</v>
      </c>
      <c r="AC8731">
        <v>16.4225999999999</v>
      </c>
      <c r="AD8731">
        <v>-1.1105169980109999</v>
      </c>
      <c r="AE8731">
        <v>-3.04015999999999</v>
      </c>
      <c r="AF8731">
        <v>2.32449301602764</v>
      </c>
      <c r="AG8731">
        <v>-1.1105169980109999</v>
      </c>
      <c r="AH8731">
        <v>16.4648371063446</v>
      </c>
      <c r="AI8731">
        <v>93.8208539330072</v>
      </c>
      <c r="AJ8731">
        <v>81.964134306167793</v>
      </c>
      <c r="AK8731">
        <v>16.6651545664268</v>
      </c>
      <c r="AL8731">
        <v>85.289692610676298</v>
      </c>
      <c r="AM8731">
        <v>84.399030455479306</v>
      </c>
      <c r="AN8731">
        <v>0.99999999686825103</v>
      </c>
    </row>
    <row r="8732" spans="1:40" x14ac:dyDescent="0.25">
      <c r="A8732" t="str">
        <f>"20190312150858146"</f>
        <v>20190312150858146</v>
      </c>
      <c r="B8732" t="str">
        <f>"1552374538138323"</f>
        <v>1552374538138323</v>
      </c>
      <c r="C8732" t="s">
        <v>40</v>
      </c>
      <c r="D8732">
        <v>4.7625599999999997</v>
      </c>
      <c r="E8732">
        <v>0.51623439999999998</v>
      </c>
      <c r="F8732" t="s">
        <v>42</v>
      </c>
      <c r="G8732">
        <v>-328.77069999999998</v>
      </c>
      <c r="H8732" s="1">
        <v>-2.048562E-6</v>
      </c>
      <c r="I8732">
        <v>13.63195</v>
      </c>
      <c r="J8732">
        <v>-345.19310000000002</v>
      </c>
      <c r="K8732">
        <v>1.110517</v>
      </c>
      <c r="L8732">
        <v>16.678339999999999</v>
      </c>
      <c r="M8732">
        <v>0.99899700000000002</v>
      </c>
      <c r="N8732">
        <v>0</v>
      </c>
      <c r="O8732">
        <v>-4.2781020000000003E-2</v>
      </c>
      <c r="P8732">
        <v>0.98776379999999997</v>
      </c>
      <c r="Q8732">
        <v>6.9027989999999997E-2</v>
      </c>
      <c r="R8732">
        <v>-0.13984959999999999</v>
      </c>
      <c r="S8732">
        <v>2.9734189999999998</v>
      </c>
      <c r="T8732">
        <v>-0.19956360000000001</v>
      </c>
      <c r="U8732">
        <v>-0.54840089999999997</v>
      </c>
      <c r="V8732">
        <v>9.7462989999999999E-2</v>
      </c>
      <c r="W8732">
        <v>8.215343E-2</v>
      </c>
      <c r="X8732">
        <v>0.99184260000000002</v>
      </c>
      <c r="Y8732">
        <v>0.13892539999999901</v>
      </c>
      <c r="Z8732">
        <v>-1.77702E-3</v>
      </c>
      <c r="AA8732">
        <v>0.99030130000000005</v>
      </c>
      <c r="AB8732">
        <v>26</v>
      </c>
      <c r="AC8732">
        <v>16.4224</v>
      </c>
      <c r="AD8732">
        <v>-1.110519048562</v>
      </c>
      <c r="AE8732">
        <v>-3.0463899999999899</v>
      </c>
      <c r="AF8732">
        <v>2.33066897266874</v>
      </c>
      <c r="AG8732">
        <v>-1.110519048562</v>
      </c>
      <c r="AH8732">
        <v>16.464915738040101</v>
      </c>
      <c r="AI8732">
        <v>93.820645088014402</v>
      </c>
      <c r="AJ8732">
        <v>81.943101730711305</v>
      </c>
      <c r="AK8732">
        <v>16.666094943871599</v>
      </c>
      <c r="AL8732">
        <v>85.287644169899394</v>
      </c>
      <c r="AM8732">
        <v>84.387871820940106</v>
      </c>
      <c r="AN8732">
        <v>0.99999998182763195</v>
      </c>
    </row>
    <row r="8733" spans="1:40" x14ac:dyDescent="0.25">
      <c r="A8733" t="str">
        <f>"20190312150858156"</f>
        <v>20190312150858156</v>
      </c>
      <c r="B8733" t="str">
        <f>"1552374538148082"</f>
        <v>1552374538148082</v>
      </c>
      <c r="C8733" t="s">
        <v>40</v>
      </c>
      <c r="D8733">
        <v>4.7904609999999996</v>
      </c>
      <c r="E8733">
        <v>0.51634590000000002</v>
      </c>
      <c r="F8733" t="s">
        <v>42</v>
      </c>
      <c r="G8733">
        <v>-328.69560000000001</v>
      </c>
      <c r="H8733" s="1">
        <v>-2.0783320000000001E-6</v>
      </c>
      <c r="I8733">
        <v>13.628439999999999</v>
      </c>
      <c r="J8733">
        <v>-345.0634</v>
      </c>
      <c r="K8733">
        <v>1.110519</v>
      </c>
      <c r="L8733">
        <v>16.672789999999999</v>
      </c>
      <c r="M8733">
        <v>0.99899689999999997</v>
      </c>
      <c r="N8733">
        <v>0</v>
      </c>
      <c r="O8733">
        <v>-4.2780619999999998E-2</v>
      </c>
      <c r="P8733">
        <v>0.9877032</v>
      </c>
      <c r="Q8733">
        <v>6.8853360000000002E-2</v>
      </c>
      <c r="R8733">
        <v>-0.14036370000000001</v>
      </c>
      <c r="S8733">
        <v>2.973328</v>
      </c>
      <c r="T8733">
        <v>-0.20014789999999999</v>
      </c>
      <c r="U8733">
        <v>-0.54968260000000002</v>
      </c>
      <c r="V8733">
        <v>9.7978960000000004E-2</v>
      </c>
      <c r="W8733">
        <v>8.1978570000000001E-2</v>
      </c>
      <c r="X8733">
        <v>0.99180630000000003</v>
      </c>
      <c r="Y8733">
        <v>0.13934189999999999</v>
      </c>
      <c r="Z8733">
        <v>-1.796115E-3</v>
      </c>
      <c r="AA8733">
        <v>0.99024270000000003</v>
      </c>
      <c r="AB8733">
        <v>26</v>
      </c>
      <c r="AC8733">
        <v>16.3677999999999</v>
      </c>
      <c r="AD8733">
        <v>-1.1105210783319901</v>
      </c>
      <c r="AE8733">
        <v>-3.0443500000000001</v>
      </c>
      <c r="AF8733">
        <v>2.3309053038252099</v>
      </c>
      <c r="AG8733">
        <v>-1.1105210783319901</v>
      </c>
      <c r="AH8733">
        <v>16.4100479825096</v>
      </c>
      <c r="AI8733">
        <v>93.833129468965794</v>
      </c>
      <c r="AJ8733">
        <v>81.915709749280197</v>
      </c>
      <c r="AK8733">
        <v>16.611924975423101</v>
      </c>
      <c r="AL8733">
        <v>85.297697138271104</v>
      </c>
      <c r="AM8733">
        <v>84.358147175897798</v>
      </c>
      <c r="AN8733">
        <v>1.0000000496307999</v>
      </c>
    </row>
    <row r="8734" spans="1:40" x14ac:dyDescent="0.25">
      <c r="A8734" t="str">
        <f>"20190312150858167"</f>
        <v>20190312150858167</v>
      </c>
      <c r="B8734" t="str">
        <f>"1552374538157842"</f>
        <v>1552374538157842</v>
      </c>
      <c r="C8734" t="s">
        <v>40</v>
      </c>
      <c r="D8734">
        <v>4.804144</v>
      </c>
      <c r="E8734">
        <v>0.51648279999999902</v>
      </c>
      <c r="F8734" t="s">
        <v>42</v>
      </c>
      <c r="G8734">
        <v>-328.65949999999998</v>
      </c>
      <c r="H8734" s="1">
        <v>-2.0926140000000001E-6</v>
      </c>
      <c r="I8734">
        <v>13.626950000000001</v>
      </c>
      <c r="J8734">
        <v>-344.9359</v>
      </c>
      <c r="K8734">
        <v>1.1105229999999999</v>
      </c>
      <c r="L8734">
        <v>16.66733</v>
      </c>
      <c r="M8734">
        <v>0.99899700000000002</v>
      </c>
      <c r="N8734">
        <v>0</v>
      </c>
      <c r="O8734">
        <v>-4.2779989999999997E-2</v>
      </c>
      <c r="P8734">
        <v>0.98768880000000003</v>
      </c>
      <c r="Q8734">
        <v>6.8669350000000004E-2</v>
      </c>
      <c r="R8734">
        <v>-0.14055419999999999</v>
      </c>
      <c r="S8734">
        <v>2.9729000000000001</v>
      </c>
      <c r="T8734">
        <v>-0.20126150000000001</v>
      </c>
      <c r="U8734">
        <v>-0.55200199999999999</v>
      </c>
      <c r="V8734">
        <v>9.817041E-2</v>
      </c>
      <c r="W8734">
        <v>8.1795599999999996E-2</v>
      </c>
      <c r="X8734">
        <v>0.99180250000000003</v>
      </c>
      <c r="Y8734">
        <v>0.14011080000000001</v>
      </c>
      <c r="Z8734">
        <v>-1.832045E-3</v>
      </c>
      <c r="AA8734">
        <v>0.99013410000000002</v>
      </c>
      <c r="AB8734">
        <v>26</v>
      </c>
      <c r="AC8734">
        <v>16.276399999999999</v>
      </c>
      <c r="AD8734">
        <v>-1.110525092614</v>
      </c>
      <c r="AE8734">
        <v>-3.0403799999999901</v>
      </c>
      <c r="AF8734">
        <v>2.3307466750250798</v>
      </c>
      <c r="AG8734">
        <v>-1.110525092614</v>
      </c>
      <c r="AH8734">
        <v>16.318172044479699</v>
      </c>
      <c r="AI8734">
        <v>93.854236265568701</v>
      </c>
      <c r="AJ8734">
        <v>81.871345460977906</v>
      </c>
      <c r="AK8734">
        <v>16.5211496245783</v>
      </c>
      <c r="AL8734">
        <v>85.308215988484406</v>
      </c>
      <c r="AM8734">
        <v>84.347172858480505</v>
      </c>
      <c r="AN8734">
        <v>1.0000000742925801</v>
      </c>
    </row>
    <row r="8735" spans="1:40" x14ac:dyDescent="0.25">
      <c r="A8735" t="str">
        <f>"20190312150858178"</f>
        <v>20190312150858178</v>
      </c>
      <c r="B8735" t="str">
        <f>"1552374538168579"</f>
        <v>1552374538168579</v>
      </c>
      <c r="C8735" t="s">
        <v>40</v>
      </c>
      <c r="D8735">
        <v>4.7640539999999998</v>
      </c>
      <c r="E8735">
        <v>0.51655309999999999</v>
      </c>
      <c r="F8735" t="s">
        <v>42</v>
      </c>
      <c r="G8735">
        <v>-328.58629999999999</v>
      </c>
      <c r="H8735" s="1">
        <v>-2.1219130000000001E-6</v>
      </c>
      <c r="I8735">
        <v>13.62237</v>
      </c>
      <c r="J8735">
        <v>-344.80599999999998</v>
      </c>
      <c r="K8735">
        <v>1.1105229999999999</v>
      </c>
      <c r="L8735">
        <v>16.661770000000001</v>
      </c>
      <c r="M8735">
        <v>0.99899700000000002</v>
      </c>
      <c r="N8735">
        <v>0</v>
      </c>
      <c r="O8735">
        <v>-4.2777830000000003E-2</v>
      </c>
      <c r="P8735">
        <v>0.98760110000000001</v>
      </c>
      <c r="Q8735">
        <v>6.8884780000000007E-2</v>
      </c>
      <c r="R8735">
        <v>-0.14106369999999999</v>
      </c>
      <c r="S8735">
        <v>2.9725950000000001</v>
      </c>
      <c r="T8735">
        <v>-0.20191049999999999</v>
      </c>
      <c r="U8735">
        <v>-0.55361939999999998</v>
      </c>
      <c r="V8735">
        <v>9.8684999999999995E-2</v>
      </c>
      <c r="W8735">
        <v>8.2009929999999995E-2</v>
      </c>
      <c r="X8735">
        <v>0.99173370000000005</v>
      </c>
      <c r="Y8735">
        <v>0.1406492</v>
      </c>
      <c r="Z8735">
        <v>-1.856297E-3</v>
      </c>
      <c r="AA8735">
        <v>0.99005779999999999</v>
      </c>
      <c r="AB8735">
        <v>26</v>
      </c>
      <c r="AC8735">
        <v>16.2196999999999</v>
      </c>
      <c r="AD8735">
        <v>-1.1105251219129999</v>
      </c>
      <c r="AE8735">
        <v>-3.0393999999999899</v>
      </c>
      <c r="AF8735">
        <v>2.3321511354200699</v>
      </c>
      <c r="AG8735">
        <v>-1.1105251219129999</v>
      </c>
      <c r="AH8735">
        <v>16.261236559908099</v>
      </c>
      <c r="AI8735">
        <v>93.867373173035404</v>
      </c>
      <c r="AJ8735">
        <v>81.8384180452653</v>
      </c>
      <c r="AK8735">
        <v>16.465114922834001</v>
      </c>
      <c r="AL8735">
        <v>85.295894249236994</v>
      </c>
      <c r="AM8735">
        <v>84.317343639819001</v>
      </c>
      <c r="AN8735">
        <v>1.00000004477964</v>
      </c>
    </row>
    <row r="8736" spans="1:40" x14ac:dyDescent="0.25">
      <c r="A8736" t="str">
        <f>"20190312150858190"</f>
        <v>20190312150858190</v>
      </c>
      <c r="B8736" t="str">
        <f>"1552374538178338"</f>
        <v>1552374538178338</v>
      </c>
      <c r="C8736" t="s">
        <v>40</v>
      </c>
      <c r="D8736">
        <v>4.7905470000000001</v>
      </c>
      <c r="E8736">
        <v>0.51667289999999999</v>
      </c>
      <c r="F8736" t="s">
        <v>42</v>
      </c>
      <c r="G8736">
        <v>-328.28530000000001</v>
      </c>
      <c r="H8736" s="1">
        <v>-2.2506309999999999E-6</v>
      </c>
      <c r="I8736">
        <v>13.573040000000001</v>
      </c>
      <c r="J8736">
        <v>-344.68009999999998</v>
      </c>
      <c r="K8736">
        <v>1.1105240000000001</v>
      </c>
      <c r="L8736">
        <v>16.65634</v>
      </c>
      <c r="M8736">
        <v>0.99899729999999998</v>
      </c>
      <c r="N8736">
        <v>0</v>
      </c>
      <c r="O8736">
        <v>-4.2775069999999998E-2</v>
      </c>
      <c r="P8736">
        <v>0.98756120000000003</v>
      </c>
      <c r="Q8736">
        <v>6.8749749999999998E-2</v>
      </c>
      <c r="R8736">
        <v>-0.14140990000000001</v>
      </c>
      <c r="S8736">
        <v>2.972229</v>
      </c>
      <c r="T8736">
        <v>-0.19979469999999999</v>
      </c>
      <c r="U8736">
        <v>-0.55569460000000004</v>
      </c>
      <c r="V8736">
        <v>9.9034999999999998E-2</v>
      </c>
      <c r="W8736">
        <v>8.1874479999999999E-2</v>
      </c>
      <c r="X8736">
        <v>0.99170990000000003</v>
      </c>
      <c r="Y8736">
        <v>0.1413449</v>
      </c>
      <c r="Z8736">
        <v>-1.8603440000000001E-3</v>
      </c>
      <c r="AA8736">
        <v>0.98995860000000002</v>
      </c>
      <c r="AB8736">
        <v>26</v>
      </c>
      <c r="AC8736">
        <v>16.394799999999901</v>
      </c>
      <c r="AD8736">
        <v>-1.1105262506309901</v>
      </c>
      <c r="AE8736">
        <v>-3.0832999999999999</v>
      </c>
      <c r="AF8736">
        <v>2.3686308904434998</v>
      </c>
      <c r="AG8736">
        <v>-1.1105262506309901</v>
      </c>
      <c r="AH8736">
        <v>16.438842899055899</v>
      </c>
      <c r="AI8736">
        <v>93.825358731084805</v>
      </c>
      <c r="AJ8736">
        <v>81.8008282153708</v>
      </c>
      <c r="AK8736">
        <v>16.645697243081901</v>
      </c>
      <c r="AL8736">
        <v>85.303680673295204</v>
      </c>
      <c r="AM8736">
        <v>84.297185964704894</v>
      </c>
      <c r="AN8736">
        <v>0.99999994372913803</v>
      </c>
    </row>
    <row r="8737" spans="1:40" x14ac:dyDescent="0.25">
      <c r="A8737" t="str">
        <f>"20190312150858200"</f>
        <v>20190312150858200</v>
      </c>
      <c r="B8737" t="str">
        <f>"1552374538188099"</f>
        <v>1552374538188099</v>
      </c>
      <c r="C8737" t="s">
        <v>40</v>
      </c>
      <c r="D8737">
        <v>4.7969609999999996</v>
      </c>
      <c r="E8737">
        <v>0.51675409999999999</v>
      </c>
      <c r="F8737" t="s">
        <v>42</v>
      </c>
      <c r="G8737">
        <v>-328.18810000000002</v>
      </c>
      <c r="H8737" s="1">
        <v>-2.2911520000000001E-6</v>
      </c>
      <c r="I8737">
        <v>13.561070000000001</v>
      </c>
      <c r="J8737">
        <v>-344.55220000000003</v>
      </c>
      <c r="K8737">
        <v>1.110525</v>
      </c>
      <c r="L8737">
        <v>16.650879999999901</v>
      </c>
      <c r="M8737">
        <v>0.99899740000000004</v>
      </c>
      <c r="N8737">
        <v>0</v>
      </c>
      <c r="O8737">
        <v>-4.2771490000000002E-2</v>
      </c>
      <c r="P8737">
        <v>0.98751880000000003</v>
      </c>
      <c r="Q8737">
        <v>6.886805E-2</v>
      </c>
      <c r="R8737">
        <v>-0.14164789999999999</v>
      </c>
      <c r="S8737">
        <v>2.9718629999999999</v>
      </c>
      <c r="T8737">
        <v>-0.2001175</v>
      </c>
      <c r="U8737">
        <v>-0.55776979999999998</v>
      </c>
      <c r="V8737">
        <v>9.9278340000000007E-2</v>
      </c>
      <c r="W8737">
        <v>8.1992330000000002E-2</v>
      </c>
      <c r="X8737">
        <v>0.99167590000000005</v>
      </c>
      <c r="Y8737">
        <v>0.1420361</v>
      </c>
      <c r="Z8737">
        <v>-1.8867420000000001E-3</v>
      </c>
      <c r="AA8737">
        <v>0.98985970000000001</v>
      </c>
      <c r="AB8737">
        <v>26</v>
      </c>
      <c r="AC8737">
        <v>16.364100000000001</v>
      </c>
      <c r="AD8737">
        <v>-1.1105272911520001</v>
      </c>
      <c r="AE8737">
        <v>-3.0898099999999902</v>
      </c>
      <c r="AF8737">
        <v>2.3764359932726902</v>
      </c>
      <c r="AG8737">
        <v>-1.1105272911520001</v>
      </c>
      <c r="AH8737">
        <v>16.408322909136299</v>
      </c>
      <c r="AI8737">
        <v>93.832054321994804</v>
      </c>
      <c r="AJ8737">
        <v>81.759089143678807</v>
      </c>
      <c r="AK8737">
        <v>16.6166717360909</v>
      </c>
      <c r="AL8737">
        <v>85.296905902319494</v>
      </c>
      <c r="AM8737">
        <v>84.283071515157005</v>
      </c>
      <c r="AN8737">
        <v>1.00000001080639</v>
      </c>
    </row>
    <row r="8738" spans="1:40" x14ac:dyDescent="0.25">
      <c r="A8738" t="str">
        <f>"20190312150858212"</f>
        <v>20190312150858212</v>
      </c>
      <c r="B8738" t="str">
        <f>"1552374538208595"</f>
        <v>1552374538208595</v>
      </c>
      <c r="C8738" t="s">
        <v>40</v>
      </c>
      <c r="D8738">
        <v>4.7715940000000003</v>
      </c>
      <c r="E8738">
        <v>0.51688149999999999</v>
      </c>
      <c r="F8738" t="s">
        <v>42</v>
      </c>
      <c r="G8738">
        <v>-328.04669999999999</v>
      </c>
      <c r="H8738" s="1">
        <v>-2.349618E-6</v>
      </c>
      <c r="I8738">
        <v>13.545389999999999</v>
      </c>
      <c r="J8738">
        <v>-344.42200000000003</v>
      </c>
      <c r="K8738">
        <v>1.110528</v>
      </c>
      <c r="L8738">
        <v>16.645289999999999</v>
      </c>
      <c r="M8738">
        <v>0.99899769999999999</v>
      </c>
      <c r="N8738">
        <v>0</v>
      </c>
      <c r="O8738">
        <v>-4.2764910000000003E-2</v>
      </c>
      <c r="P8738">
        <v>0.98744719999999997</v>
      </c>
      <c r="Q8738">
        <v>6.8913920000000004E-2</v>
      </c>
      <c r="R8738">
        <v>-0.14212369999999999</v>
      </c>
      <c r="S8738">
        <v>2.9716490000000002</v>
      </c>
      <c r="T8738">
        <v>-0.19993910000000001</v>
      </c>
      <c r="U8738">
        <v>-0.55911250000000001</v>
      </c>
      <c r="V8738">
        <v>9.9763009999999999E-2</v>
      </c>
      <c r="W8738">
        <v>8.2037479999999996E-2</v>
      </c>
      <c r="X8738">
        <v>0.99162349999999999</v>
      </c>
      <c r="Y8738">
        <v>0.1424869</v>
      </c>
      <c r="Z8738">
        <v>-1.9005820000000001E-3</v>
      </c>
      <c r="AA8738">
        <v>0.98979490000000003</v>
      </c>
      <c r="AB8738">
        <v>26</v>
      </c>
      <c r="AC8738">
        <v>16.3752999999999</v>
      </c>
      <c r="AD8738">
        <v>-1.1105303496179999</v>
      </c>
      <c r="AE8738">
        <v>-3.0998999999999999</v>
      </c>
      <c r="AF8738">
        <v>2.38611959371466</v>
      </c>
      <c r="AG8738">
        <v>-1.1105303496179999</v>
      </c>
      <c r="AH8738">
        <v>16.4199890052226</v>
      </c>
      <c r="AI8738">
        <v>93.829086246766494</v>
      </c>
      <c r="AJ8738">
        <v>81.731769967421599</v>
      </c>
      <c r="AK8738">
        <v>16.6295785666554</v>
      </c>
      <c r="AL8738">
        <v>85.294310136531394</v>
      </c>
      <c r="AM8738">
        <v>84.2550465533606</v>
      </c>
      <c r="AN8738">
        <v>0.99999998602063001</v>
      </c>
    </row>
    <row r="8739" spans="1:40" x14ac:dyDescent="0.25">
      <c r="A8739" t="str">
        <f>"20190312150858223"</f>
        <v>20190312150858223</v>
      </c>
      <c r="B8739" t="str">
        <f>"1552374538218354"</f>
        <v>1552374538218354</v>
      </c>
      <c r="C8739" t="s">
        <v>40</v>
      </c>
      <c r="D8739">
        <v>4.7269240000000003</v>
      </c>
      <c r="E8739">
        <v>0.52840229999999999</v>
      </c>
      <c r="F8739" t="s">
        <v>42</v>
      </c>
      <c r="G8739">
        <v>-327.89350000000002</v>
      </c>
      <c r="H8739" s="1">
        <v>-2.414941E-6</v>
      </c>
      <c r="I8739">
        <v>13.521100000000001</v>
      </c>
      <c r="J8739">
        <v>-344.28800000000001</v>
      </c>
      <c r="K8739">
        <v>1.110525</v>
      </c>
      <c r="L8739">
        <v>16.639589999999998</v>
      </c>
      <c r="M8739">
        <v>0.99899800000000005</v>
      </c>
      <c r="N8739">
        <v>0</v>
      </c>
      <c r="O8739">
        <v>-4.275702E-2</v>
      </c>
      <c r="P8739">
        <v>0.98739069999999995</v>
      </c>
      <c r="Q8739">
        <v>6.8973709999999994E-2</v>
      </c>
      <c r="R8739">
        <v>-0.1424858</v>
      </c>
      <c r="S8739">
        <v>2.971222</v>
      </c>
      <c r="T8739">
        <v>-0.19963230000000001</v>
      </c>
      <c r="U8739">
        <v>-0.56161499999999998</v>
      </c>
      <c r="V8739">
        <v>0.1001349</v>
      </c>
      <c r="W8739">
        <v>8.20969E-2</v>
      </c>
      <c r="X8739">
        <v>0.99158109999999999</v>
      </c>
      <c r="Y8739">
        <v>0.14332429999999999</v>
      </c>
      <c r="Z8739">
        <v>-1.9261840000000001E-3</v>
      </c>
      <c r="AA8739">
        <v>0.9896739</v>
      </c>
      <c r="AB8739">
        <v>26</v>
      </c>
      <c r="AC8739">
        <v>16.394499999999901</v>
      </c>
      <c r="AD8739">
        <v>-1.110527414941</v>
      </c>
      <c r="AE8739">
        <v>-3.1184899999999902</v>
      </c>
      <c r="AF8739">
        <v>2.4039512424971998</v>
      </c>
      <c r="AG8739">
        <v>-1.110527414941</v>
      </c>
      <c r="AH8739">
        <v>16.440053939991</v>
      </c>
      <c r="AI8739">
        <v>93.823922904084199</v>
      </c>
      <c r="AJ8739">
        <v>81.680867871661505</v>
      </c>
      <c r="AK8739">
        <v>16.651955628857898</v>
      </c>
      <c r="AL8739">
        <v>85.290894110135397</v>
      </c>
      <c r="AM8739">
        <v>84.233530036400595</v>
      </c>
      <c r="AN8739">
        <v>0.99999998853241401</v>
      </c>
    </row>
    <row r="8740" spans="1:40" x14ac:dyDescent="0.25">
      <c r="A8740" t="str">
        <f>"20190312150858235"</f>
        <v>20190312150858235</v>
      </c>
      <c r="B8740" t="str">
        <f>"1552374538228115"</f>
        <v>1552374538228115</v>
      </c>
      <c r="C8740" t="s">
        <v>40</v>
      </c>
      <c r="D8740">
        <v>4.7725720000000003</v>
      </c>
      <c r="E8740">
        <v>0.5288389</v>
      </c>
      <c r="F8740" t="s">
        <v>42</v>
      </c>
      <c r="G8740">
        <v>-329.21839999999997</v>
      </c>
      <c r="H8740" s="1">
        <v>-1.9622079999999998E-6</v>
      </c>
      <c r="I8740">
        <v>13.31039</v>
      </c>
      <c r="J8740">
        <v>-344.14830000000001</v>
      </c>
      <c r="K8740">
        <v>1.110528</v>
      </c>
      <c r="L8740">
        <v>16.633610000000001</v>
      </c>
      <c r="M8740">
        <v>0.99899859999999896</v>
      </c>
      <c r="N8740">
        <v>0</v>
      </c>
      <c r="O8740">
        <v>-4.2743490000000002E-2</v>
      </c>
      <c r="P8740">
        <v>0.98734189999999999</v>
      </c>
      <c r="Q8740">
        <v>6.9062410000000005E-2</v>
      </c>
      <c r="R8740">
        <v>-0.14278250000000001</v>
      </c>
      <c r="S8740">
        <v>2.9591980000000002</v>
      </c>
      <c r="T8740">
        <v>-0.2180724</v>
      </c>
      <c r="U8740">
        <v>-0.65374759999999998</v>
      </c>
      <c r="V8740">
        <v>0.1004459</v>
      </c>
      <c r="W8740">
        <v>8.2185279999999999E-2</v>
      </c>
      <c r="X8740">
        <v>0.99154229999999999</v>
      </c>
      <c r="Y8740">
        <v>0.17344389999999901</v>
      </c>
      <c r="Z8740">
        <v>-3.2021710000000002E-3</v>
      </c>
      <c r="AA8740">
        <v>0.98483849999999995</v>
      </c>
      <c r="AB8740">
        <v>26</v>
      </c>
      <c r="AC8740">
        <v>14.9299</v>
      </c>
      <c r="AD8740">
        <v>-1.110529962208</v>
      </c>
      <c r="AE8740">
        <v>-3.3232200000000001</v>
      </c>
      <c r="AF8740">
        <v>2.6679062659410002</v>
      </c>
      <c r="AG8740">
        <v>-1.110529962208</v>
      </c>
      <c r="AH8740">
        <v>14.979345636865601</v>
      </c>
      <c r="AI8740">
        <v>94.174547081083901</v>
      </c>
      <c r="AJ8740">
        <v>79.901192230748507</v>
      </c>
      <c r="AK8740">
        <v>15.2555496901781</v>
      </c>
      <c r="AL8740">
        <v>85.2858130319933</v>
      </c>
      <c r="AM8740">
        <v>84.215516919216597</v>
      </c>
      <c r="AN8740">
        <v>0.99999996588238804</v>
      </c>
    </row>
    <row r="8741" spans="1:40" x14ac:dyDescent="0.25">
      <c r="A8741" t="str">
        <f>"20190312150858247"</f>
        <v>20190312150858247</v>
      </c>
      <c r="B8741" t="str">
        <f>"1552374538238851"</f>
        <v>1552374538238851</v>
      </c>
      <c r="C8741" t="s">
        <v>40</v>
      </c>
      <c r="D8741">
        <v>4.7614850000000004</v>
      </c>
      <c r="E8741">
        <v>0.52906089999999995</v>
      </c>
      <c r="F8741" t="s">
        <v>42</v>
      </c>
      <c r="G8741">
        <v>-329.49650000000003</v>
      </c>
      <c r="H8741" s="1">
        <v>-1.8383189999999999E-6</v>
      </c>
      <c r="I8741">
        <v>13.374610000000001</v>
      </c>
      <c r="J8741">
        <v>-344.02030000000002</v>
      </c>
      <c r="K8741">
        <v>1.11053</v>
      </c>
      <c r="L8741">
        <v>16.62811</v>
      </c>
      <c r="M8741">
        <v>0.99899919999999998</v>
      </c>
      <c r="N8741">
        <v>0</v>
      </c>
      <c r="O8741">
        <v>-4.27296E-2</v>
      </c>
      <c r="P8741">
        <v>0.98729100000000003</v>
      </c>
      <c r="Q8741">
        <v>6.9027160000000004E-2</v>
      </c>
      <c r="R8741">
        <v>-0.14315020000000001</v>
      </c>
      <c r="S8741">
        <v>2.959015</v>
      </c>
      <c r="T8741">
        <v>-0.2242778</v>
      </c>
      <c r="U8741">
        <v>-0.6581726</v>
      </c>
      <c r="V8741">
        <v>0.1008286</v>
      </c>
      <c r="W8741">
        <v>8.2150119999999993E-2</v>
      </c>
      <c r="X8741">
        <v>0.99150640000000001</v>
      </c>
      <c r="Y8741">
        <v>0.1748509</v>
      </c>
      <c r="Z8741">
        <v>-3.3463799999999999E-3</v>
      </c>
      <c r="AA8741">
        <v>0.98458920000000005</v>
      </c>
      <c r="AB8741">
        <v>26</v>
      </c>
      <c r="AC8741">
        <v>14.5237999999999</v>
      </c>
      <c r="AD8741">
        <v>-1.1105318383189999</v>
      </c>
      <c r="AE8741">
        <v>-3.2534999999999901</v>
      </c>
      <c r="AF8741">
        <v>2.6153175566059401</v>
      </c>
      <c r="AG8741">
        <v>-1.1105318383189999</v>
      </c>
      <c r="AH8741">
        <v>14.5684600005423</v>
      </c>
      <c r="AI8741">
        <v>94.2908112812909</v>
      </c>
      <c r="AJ8741">
        <v>79.822714559527597</v>
      </c>
      <c r="AK8741">
        <v>14.842950975908099</v>
      </c>
      <c r="AL8741">
        <v>85.287834524446396</v>
      </c>
      <c r="AM8741">
        <v>84.193419475166493</v>
      </c>
      <c r="AN8741">
        <v>0.99999999501746695</v>
      </c>
    </row>
    <row r="8742" spans="1:40" x14ac:dyDescent="0.25">
      <c r="A8742" t="str">
        <f>"20190312150858259"</f>
        <v>20190312150858259</v>
      </c>
      <c r="B8742" t="str">
        <f>"1552374538248610"</f>
        <v>1552374538248610</v>
      </c>
      <c r="C8742" t="s">
        <v>40</v>
      </c>
      <c r="D8742">
        <v>4.7627199999999998</v>
      </c>
      <c r="E8742">
        <v>0.5294044</v>
      </c>
      <c r="F8742" t="s">
        <v>42</v>
      </c>
      <c r="G8742">
        <v>-329.57089999999999</v>
      </c>
      <c r="H8742" s="1">
        <v>-1.802972E-6</v>
      </c>
      <c r="I8742">
        <v>13.4001</v>
      </c>
      <c r="J8742">
        <v>-343.87549999999999</v>
      </c>
      <c r="K8742">
        <v>1.1105339999999999</v>
      </c>
      <c r="L8742">
        <v>16.621949999999998</v>
      </c>
      <c r="M8742">
        <v>0.99900009999999995</v>
      </c>
      <c r="N8742">
        <v>0</v>
      </c>
      <c r="O8742">
        <v>-4.270997E-2</v>
      </c>
      <c r="P8742">
        <v>0.98724630000000002</v>
      </c>
      <c r="Q8742">
        <v>6.9088090000000005E-2</v>
      </c>
      <c r="R8742">
        <v>-0.143429799999999</v>
      </c>
      <c r="S8742">
        <v>2.95871</v>
      </c>
      <c r="T8742">
        <v>-0.22739699999999999</v>
      </c>
      <c r="U8742">
        <v>-0.66098020000000002</v>
      </c>
      <c r="V8742">
        <v>0.1011283</v>
      </c>
      <c r="W8742">
        <v>8.2210480000000002E-2</v>
      </c>
      <c r="X8742">
        <v>0.99147090000000004</v>
      </c>
      <c r="Y8742">
        <v>0.17576910000000001</v>
      </c>
      <c r="Z8742">
        <v>-3.4290900000000001E-3</v>
      </c>
      <c r="AA8742">
        <v>0.98442549999999995</v>
      </c>
      <c r="AB8742">
        <v>26</v>
      </c>
      <c r="AC8742">
        <v>14.304599999999899</v>
      </c>
      <c r="AD8742">
        <v>-1.1105358029719901</v>
      </c>
      <c r="AE8742">
        <v>-3.2218499999999901</v>
      </c>
      <c r="AF8742">
        <v>2.5930330853761401</v>
      </c>
      <c r="AG8742">
        <v>-1.1105358029719901</v>
      </c>
      <c r="AH8742">
        <v>14.346865874366699</v>
      </c>
      <c r="AI8742">
        <v>94.355923827064004</v>
      </c>
      <c r="AJ8742">
        <v>79.755038547404496</v>
      </c>
      <c r="AK8742">
        <v>14.6215481659298</v>
      </c>
      <c r="AL8742">
        <v>85.284364535377904</v>
      </c>
      <c r="AM8742">
        <v>84.176071531787599</v>
      </c>
      <c r="AN8742">
        <v>1.0000000208147599</v>
      </c>
    </row>
    <row r="8743" spans="1:40" x14ac:dyDescent="0.25">
      <c r="A8743" t="str">
        <f>"20190312150858271"</f>
        <v>20190312150858271</v>
      </c>
      <c r="B8743" t="str">
        <f>"1552374538258371"</f>
        <v>1552374538258371</v>
      </c>
      <c r="C8743" t="s">
        <v>40</v>
      </c>
      <c r="D8743">
        <v>5.3174979999999996</v>
      </c>
      <c r="E8743">
        <v>0.52951099999999995</v>
      </c>
      <c r="F8743" t="s">
        <v>42</v>
      </c>
      <c r="G8743">
        <v>-329.5419</v>
      </c>
      <c r="H8743" s="1">
        <v>-1.8136380000000001E-6</v>
      </c>
      <c r="I8743">
        <v>13.40185</v>
      </c>
      <c r="J8743">
        <v>-343.74439999999998</v>
      </c>
      <c r="K8743">
        <v>1.1105400000000001</v>
      </c>
      <c r="L8743">
        <v>16.616389999999999</v>
      </c>
      <c r="M8743">
        <v>0.99900100000000003</v>
      </c>
      <c r="N8743">
        <v>0</v>
      </c>
      <c r="O8743">
        <v>-4.2689739999999997E-2</v>
      </c>
      <c r="P8743">
        <v>0.98722799999999999</v>
      </c>
      <c r="Q8743">
        <v>6.9126800000000002E-2</v>
      </c>
      <c r="R8743">
        <v>-0.14353629999999901</v>
      </c>
      <c r="S8743">
        <v>2.9582519999999999</v>
      </c>
      <c r="T8743">
        <v>-0.22919829999999999</v>
      </c>
      <c r="U8743">
        <v>-0.66458130000000004</v>
      </c>
      <c r="V8743">
        <v>0.1012547</v>
      </c>
      <c r="W8743">
        <v>8.2249899999999904E-2</v>
      </c>
      <c r="X8743">
        <v>0.99145470000000002</v>
      </c>
      <c r="Y8743">
        <v>0.176953</v>
      </c>
      <c r="Z8743">
        <v>-3.5030410000000001E-3</v>
      </c>
      <c r="AA8743">
        <v>0.98421309999999995</v>
      </c>
      <c r="AB8743">
        <v>26</v>
      </c>
      <c r="AC8743">
        <v>14.202499999999899</v>
      </c>
      <c r="AD8743">
        <v>-1.1105418136380001</v>
      </c>
      <c r="AE8743">
        <v>-3.2145399999999902</v>
      </c>
      <c r="AF8743">
        <v>2.5901898760247599</v>
      </c>
      <c r="AG8743">
        <v>-1.1105418136380001</v>
      </c>
      <c r="AH8743">
        <v>14.2439438975593</v>
      </c>
      <c r="AI8743">
        <v>94.3864509216708</v>
      </c>
      <c r="AJ8743">
        <v>79.693666537081796</v>
      </c>
      <c r="AK8743">
        <v>14.5200662694947</v>
      </c>
      <c r="AL8743">
        <v>85.2820981208869</v>
      </c>
      <c r="AM8743">
        <v>84.168747726074599</v>
      </c>
      <c r="AN8743">
        <v>0.99999999123709504</v>
      </c>
    </row>
    <row r="8744" spans="1:40" x14ac:dyDescent="0.25">
      <c r="A8744" t="str">
        <f>"20190312150858282"</f>
        <v>20190312150858282</v>
      </c>
      <c r="B8744" t="str">
        <f>"1552374538278866"</f>
        <v>1552374538278866</v>
      </c>
      <c r="C8744" t="s">
        <v>40</v>
      </c>
      <c r="D8744">
        <v>4.8174739999999998</v>
      </c>
      <c r="E8744">
        <v>0.52965640000000003</v>
      </c>
      <c r="F8744" t="s">
        <v>42</v>
      </c>
      <c r="G8744">
        <v>-328.94560000000001</v>
      </c>
      <c r="H8744" s="1">
        <v>-2.0736860000000002E-6</v>
      </c>
      <c r="I8744">
        <v>13.28506</v>
      </c>
      <c r="J8744">
        <v>-343.60539999999997</v>
      </c>
      <c r="K8744">
        <v>1.110547</v>
      </c>
      <c r="L8744">
        <v>16.610440000000001</v>
      </c>
      <c r="M8744">
        <v>0.9990019</v>
      </c>
      <c r="N8744">
        <v>0</v>
      </c>
      <c r="O8744">
        <v>-4.266677E-2</v>
      </c>
      <c r="P8744">
        <v>0.98722670000000001</v>
      </c>
      <c r="Q8744">
        <v>6.8767690000000006E-2</v>
      </c>
      <c r="R8744">
        <v>-0.14371809999999999</v>
      </c>
      <c r="S8744">
        <v>2.9575499999999999</v>
      </c>
      <c r="T8744">
        <v>-0.22194349999999999</v>
      </c>
      <c r="U8744">
        <v>-0.66577149999999996</v>
      </c>
      <c r="V8744">
        <v>0.1014581</v>
      </c>
      <c r="W8744">
        <v>8.1891099999999994E-2</v>
      </c>
      <c r="X8744">
        <v>0.9914636</v>
      </c>
      <c r="Y8744">
        <v>0.1774249</v>
      </c>
      <c r="Z8744">
        <v>-3.4122649999999998E-3</v>
      </c>
      <c r="AA8744">
        <v>0.98412840000000001</v>
      </c>
      <c r="AB8744">
        <v>26</v>
      </c>
      <c r="AC8744">
        <v>14.659799999999899</v>
      </c>
      <c r="AD8744">
        <v>-1.110549073686</v>
      </c>
      <c r="AE8744">
        <v>-3.3253799999999898</v>
      </c>
      <c r="AF8744">
        <v>2.68217113822242</v>
      </c>
      <c r="AG8744">
        <v>-1.110549073686</v>
      </c>
      <c r="AH8744">
        <v>14.708067713542601</v>
      </c>
      <c r="AI8744">
        <v>94.248191333400101</v>
      </c>
      <c r="AJ8744">
        <v>79.665076087025199</v>
      </c>
      <c r="AK8744">
        <v>14.9918183395455</v>
      </c>
      <c r="AL8744">
        <v>85.302725399527404</v>
      </c>
      <c r="AM8744">
        <v>84.157166980547899</v>
      </c>
      <c r="AN8744">
        <v>0.999999984219889</v>
      </c>
    </row>
    <row r="8745" spans="1:40" x14ac:dyDescent="0.25">
      <c r="A8745" t="str">
        <f>"20190312150858295"</f>
        <v>20190312150858295</v>
      </c>
      <c r="B8745" t="str">
        <f>"1552374538288626"</f>
        <v>1552374538288626</v>
      </c>
      <c r="C8745" t="s">
        <v>40</v>
      </c>
      <c r="D8745">
        <v>4.7723829999999996</v>
      </c>
      <c r="E8745">
        <v>0.52969429999999995</v>
      </c>
      <c r="F8745" t="s">
        <v>42</v>
      </c>
      <c r="G8745">
        <v>-328.38569999999999</v>
      </c>
      <c r="H8745" s="1">
        <v>-2.3179080000000001E-6</v>
      </c>
      <c r="I8745">
        <v>13.17531</v>
      </c>
      <c r="J8745">
        <v>-343.4622</v>
      </c>
      <c r="K8745">
        <v>1.1105499999999999</v>
      </c>
      <c r="L8745">
        <v>16.604369999999999</v>
      </c>
      <c r="M8745">
        <v>0.99900310000000003</v>
      </c>
      <c r="N8745">
        <v>0</v>
      </c>
      <c r="O8745">
        <v>-4.263927E-2</v>
      </c>
      <c r="P8745">
        <v>0.98719069999999998</v>
      </c>
      <c r="Q8745">
        <v>6.897035E-2</v>
      </c>
      <c r="R8745">
        <v>-0.143868</v>
      </c>
      <c r="S8745">
        <v>2.9566650000000001</v>
      </c>
      <c r="T8745">
        <v>-0.2157414</v>
      </c>
      <c r="U8745">
        <v>-0.66732789999999997</v>
      </c>
      <c r="V8745">
        <v>0.101636</v>
      </c>
      <c r="W8745">
        <v>8.2093089999999994E-2</v>
      </c>
      <c r="X8745">
        <v>0.99142870000000005</v>
      </c>
      <c r="Y8745">
        <v>0.17802609999999999</v>
      </c>
      <c r="Z8745">
        <v>-3.3415530000000001E-3</v>
      </c>
      <c r="AA8745">
        <v>0.98402009999999995</v>
      </c>
      <c r="AB8745">
        <v>26</v>
      </c>
      <c r="AC8745">
        <v>15.076499999999999</v>
      </c>
      <c r="AD8745">
        <v>-1.1105523179079999</v>
      </c>
      <c r="AE8745">
        <v>-3.42905999999999</v>
      </c>
      <c r="AF8745">
        <v>2.7687495183520001</v>
      </c>
      <c r="AG8745">
        <v>-1.1105523179079999</v>
      </c>
      <c r="AH8745">
        <v>15.130949605624201</v>
      </c>
      <c r="AI8745">
        <v>94.129436093951995</v>
      </c>
      <c r="AJ8745">
        <v>79.630405858736495</v>
      </c>
      <c r="AK8745">
        <v>15.422222158759199</v>
      </c>
      <c r="AL8745">
        <v>85.291113245618504</v>
      </c>
      <c r="AM8745">
        <v>84.146788422086303</v>
      </c>
      <c r="AN8745">
        <v>1.00000000955271</v>
      </c>
    </row>
    <row r="8746" spans="1:40" x14ac:dyDescent="0.25">
      <c r="A8746" t="str">
        <f>"20190312150858308"</f>
        <v>20190312150858308</v>
      </c>
      <c r="B8746" t="str">
        <f>"1552374538298386"</f>
        <v>1552374538298386</v>
      </c>
      <c r="C8746" t="s">
        <v>40</v>
      </c>
      <c r="D8746">
        <v>4.7548560000000002</v>
      </c>
      <c r="E8746">
        <v>0.52978019999999904</v>
      </c>
      <c r="F8746" t="s">
        <v>42</v>
      </c>
      <c r="G8746">
        <v>-327.9828</v>
      </c>
      <c r="H8746" s="1">
        <v>-2.49091E-6</v>
      </c>
      <c r="I8746">
        <v>13.106579999999999</v>
      </c>
      <c r="J8746">
        <v>-343.31990000000002</v>
      </c>
      <c r="K8746">
        <v>1.110554</v>
      </c>
      <c r="L8746">
        <v>16.598329999999901</v>
      </c>
      <c r="M8746">
        <v>0.99900429999999996</v>
      </c>
      <c r="N8746">
        <v>0</v>
      </c>
      <c r="O8746">
        <v>-4.2610599999999998E-2</v>
      </c>
      <c r="P8746">
        <v>0.98717809999999995</v>
      </c>
      <c r="Q8746">
        <v>6.892529E-2</v>
      </c>
      <c r="R8746">
        <v>-0.14397460000000001</v>
      </c>
      <c r="S8746">
        <v>2.9563600000000001</v>
      </c>
      <c r="T8746">
        <v>-0.2121006</v>
      </c>
      <c r="U8746">
        <v>-0.66802980000000001</v>
      </c>
      <c r="V8746">
        <v>0.10177079999999999</v>
      </c>
      <c r="W8746">
        <v>8.204794E-2</v>
      </c>
      <c r="X8746">
        <v>0.99141860000000004</v>
      </c>
      <c r="Y8746">
        <v>0.1783091</v>
      </c>
      <c r="Z8746">
        <v>-3.2975859999999999E-3</v>
      </c>
      <c r="AA8746">
        <v>0.98396899999999998</v>
      </c>
      <c r="AB8746">
        <v>26</v>
      </c>
      <c r="AC8746">
        <v>15.3371</v>
      </c>
      <c r="AD8746">
        <v>-1.1105564909100001</v>
      </c>
      <c r="AE8746">
        <v>-3.4917499999999899</v>
      </c>
      <c r="AF8746">
        <v>2.8209361215050301</v>
      </c>
      <c r="AG8746">
        <v>-1.1105564909100001</v>
      </c>
      <c r="AH8746">
        <v>15.395224078503</v>
      </c>
      <c r="AI8746">
        <v>94.058626138728201</v>
      </c>
      <c r="AJ8746">
        <v>79.616621105605802</v>
      </c>
      <c r="AK8746">
        <v>15.6908871880602</v>
      </c>
      <c r="AL8746">
        <v>85.293708862830997</v>
      </c>
      <c r="AM8746">
        <v>84.139020011103099</v>
      </c>
      <c r="AN8746">
        <v>1.00000000030842</v>
      </c>
    </row>
    <row r="8747" spans="1:40" x14ac:dyDescent="0.25">
      <c r="A8747" t="str">
        <f>"20190312150858318"</f>
        <v>20190312150858318</v>
      </c>
      <c r="B8747" t="str">
        <f>"1552374538308147"</f>
        <v>1552374538308147</v>
      </c>
      <c r="C8747" t="s">
        <v>40</v>
      </c>
      <c r="D8747">
        <v>4.778079</v>
      </c>
      <c r="E8747">
        <v>0.52978479999999994</v>
      </c>
      <c r="F8747" t="s">
        <v>42</v>
      </c>
      <c r="G8747">
        <v>-327.73680000000002</v>
      </c>
      <c r="H8747" s="1">
        <v>-2.59472E-6</v>
      </c>
      <c r="I8747">
        <v>13.07147</v>
      </c>
      <c r="J8747">
        <v>-343.18959999999998</v>
      </c>
      <c r="K8747">
        <v>1.110557</v>
      </c>
      <c r="L8747">
        <v>16.5928</v>
      </c>
      <c r="M8747">
        <v>0.99900549999999999</v>
      </c>
      <c r="N8747">
        <v>0</v>
      </c>
      <c r="O8747">
        <v>-4.2582189999999999E-2</v>
      </c>
      <c r="P8747">
        <v>0.987182</v>
      </c>
      <c r="Q8747">
        <v>6.8794040000000001E-2</v>
      </c>
      <c r="R8747">
        <v>-0.144011</v>
      </c>
      <c r="S8747">
        <v>2.9560849999999999</v>
      </c>
      <c r="T8747">
        <v>-0.21067040000000001</v>
      </c>
      <c r="U8747">
        <v>-0.66903690000000005</v>
      </c>
      <c r="V8747">
        <v>0.1018347</v>
      </c>
      <c r="W8747">
        <v>8.1916299999999997E-2</v>
      </c>
      <c r="X8747">
        <v>0.99142300000000005</v>
      </c>
      <c r="Y8747">
        <v>0.17867910000000001</v>
      </c>
      <c r="Z8747">
        <v>-3.2905819999999998E-3</v>
      </c>
      <c r="AA8747">
        <v>0.9839019</v>
      </c>
      <c r="AB8747">
        <v>26</v>
      </c>
      <c r="AC8747">
        <v>15.4527999999999</v>
      </c>
      <c r="AD8747">
        <v>-1.11055959472</v>
      </c>
      <c r="AE8747">
        <v>-3.5213299999999998</v>
      </c>
      <c r="AF8747">
        <v>2.8460895429522499</v>
      </c>
      <c r="AG8747">
        <v>-1.11055959472</v>
      </c>
      <c r="AH8747">
        <v>15.512573316692</v>
      </c>
      <c r="AI8747">
        <v>94.027868570960905</v>
      </c>
      <c r="AJ8747">
        <v>79.603574735137897</v>
      </c>
      <c r="AK8747">
        <v>15.810550249933501</v>
      </c>
      <c r="AL8747">
        <v>85.301277108990803</v>
      </c>
      <c r="AM8747">
        <v>84.135391498357095</v>
      </c>
      <c r="AN8747">
        <v>1.0000000756293801</v>
      </c>
    </row>
    <row r="8748" spans="1:40" x14ac:dyDescent="0.25">
      <c r="A8748" t="str">
        <f>"20190312150858328"</f>
        <v>20190312150858328</v>
      </c>
      <c r="B8748" t="str">
        <f>"1552374538318883"</f>
        <v>1552374538318883</v>
      </c>
      <c r="C8748" t="s">
        <v>40</v>
      </c>
      <c r="D8748">
        <v>4.7992239999999997</v>
      </c>
      <c r="E8748">
        <v>0.52981929999999999</v>
      </c>
      <c r="F8748" t="s">
        <v>42</v>
      </c>
      <c r="G8748">
        <v>-327.5591</v>
      </c>
      <c r="H8748" s="1">
        <v>-2.6677229999999999E-6</v>
      </c>
      <c r="I8748">
        <v>13.053649999999999</v>
      </c>
      <c r="J8748">
        <v>-343.07490000000001</v>
      </c>
      <c r="K8748">
        <v>1.1105609999999999</v>
      </c>
      <c r="L8748">
        <v>16.587949999999999</v>
      </c>
      <c r="M8748">
        <v>0.99900670000000003</v>
      </c>
      <c r="N8748">
        <v>0</v>
      </c>
      <c r="O8748">
        <v>-4.2556410000000003E-2</v>
      </c>
      <c r="P8748">
        <v>0.98714729999999995</v>
      </c>
      <c r="Q8748">
        <v>6.8811280000000002E-2</v>
      </c>
      <c r="R8748">
        <v>-0.14424120000000001</v>
      </c>
      <c r="S8748">
        <v>2.955994</v>
      </c>
      <c r="T8748">
        <v>-0.21002509999999999</v>
      </c>
      <c r="U8748">
        <v>-0.66931149999999995</v>
      </c>
      <c r="V8748">
        <v>0.1020915</v>
      </c>
      <c r="W8748">
        <v>8.1932939999999996E-2</v>
      </c>
      <c r="X8748">
        <v>0.99139509999999997</v>
      </c>
      <c r="Y8748">
        <v>0.1787996</v>
      </c>
      <c r="Z8748">
        <v>-3.2866179999999998E-3</v>
      </c>
      <c r="AA8748">
        <v>0.98387999999999998</v>
      </c>
      <c r="AB8748">
        <v>26</v>
      </c>
      <c r="AC8748">
        <v>15.5158</v>
      </c>
      <c r="AD8748">
        <v>-1.110563667723</v>
      </c>
      <c r="AE8748">
        <v>-3.5343</v>
      </c>
      <c r="AF8748">
        <v>2.8568291540745001</v>
      </c>
      <c r="AG8748">
        <v>-1.110563667723</v>
      </c>
      <c r="AH8748">
        <v>15.576297847217001</v>
      </c>
      <c r="AI8748">
        <v>94.011502006127401</v>
      </c>
      <c r="AJ8748">
        <v>79.606962279079298</v>
      </c>
      <c r="AK8748">
        <v>15.8750080031745</v>
      </c>
      <c r="AL8748">
        <v>85.300319959567901</v>
      </c>
      <c r="AM8748">
        <v>84.120541686018896</v>
      </c>
      <c r="AN8748">
        <v>0.99999996266665103</v>
      </c>
    </row>
    <row r="8749" spans="1:40" x14ac:dyDescent="0.25">
      <c r="A8749" t="str">
        <f>"20190312150858339"</f>
        <v>20190312150858339</v>
      </c>
      <c r="B8749" t="str">
        <f>"1552374538328643"</f>
        <v>1552374538328643</v>
      </c>
      <c r="C8749" t="s">
        <v>40</v>
      </c>
      <c r="D8749">
        <v>4.776135</v>
      </c>
      <c r="E8749">
        <v>0.52990319999999902</v>
      </c>
      <c r="F8749" t="s">
        <v>42</v>
      </c>
      <c r="G8749">
        <v>-327.2353</v>
      </c>
      <c r="H8749" s="1">
        <v>-2.8072610000000002E-6</v>
      </c>
      <c r="I8749">
        <v>12.996560000000001</v>
      </c>
      <c r="J8749">
        <v>-342.94580000000002</v>
      </c>
      <c r="K8749">
        <v>1.110562</v>
      </c>
      <c r="L8749">
        <v>16.582460000000001</v>
      </c>
      <c r="M8749">
        <v>0.99900789999999995</v>
      </c>
      <c r="N8749">
        <v>0</v>
      </c>
      <c r="O8749">
        <v>-4.2525750000000001E-2</v>
      </c>
      <c r="P8749">
        <v>0.98713320000000004</v>
      </c>
      <c r="Q8749">
        <v>6.8722489999999997E-2</v>
      </c>
      <c r="R8749">
        <v>-0.14438010000000001</v>
      </c>
      <c r="S8749">
        <v>2.955597</v>
      </c>
      <c r="T8749">
        <v>-0.20722579999999999</v>
      </c>
      <c r="U8749">
        <v>-0.6701355</v>
      </c>
      <c r="V8749">
        <v>0.10226109999999999</v>
      </c>
      <c r="W8749">
        <v>8.1843120000000005E-2</v>
      </c>
      <c r="X8749">
        <v>0.99138510000000002</v>
      </c>
      <c r="Y8749">
        <v>0.17912690000000001</v>
      </c>
      <c r="Z8749">
        <v>-3.2566750000000001E-3</v>
      </c>
      <c r="AA8749">
        <v>0.98382060000000005</v>
      </c>
      <c r="AB8749">
        <v>26</v>
      </c>
      <c r="AC8749">
        <v>15.7105</v>
      </c>
      <c r="AD8749">
        <v>-1.1105648072609999</v>
      </c>
      <c r="AE8749">
        <v>-3.5859000000000001</v>
      </c>
      <c r="AF8749">
        <v>2.9007192455956501</v>
      </c>
      <c r="AG8749">
        <v>-1.1105648072609999</v>
      </c>
      <c r="AH8749">
        <v>15.773873066277099</v>
      </c>
      <c r="AI8749">
        <v>93.961080726748904</v>
      </c>
      <c r="AJ8749">
        <v>79.580070858270801</v>
      </c>
      <c r="AK8749">
        <v>16.076771997012202</v>
      </c>
      <c r="AL8749">
        <v>85.305483890991496</v>
      </c>
      <c r="AM8749">
        <v>84.110784012894797</v>
      </c>
      <c r="AN8749">
        <v>1.0000000226832699</v>
      </c>
    </row>
    <row r="8750" spans="1:40" x14ac:dyDescent="0.25">
      <c r="A8750" t="str">
        <f>"20190312150858350"</f>
        <v>20190312150858350</v>
      </c>
      <c r="B8750" t="str">
        <f>"1552374538338403"</f>
        <v>1552374538338403</v>
      </c>
      <c r="C8750" t="s">
        <v>40</v>
      </c>
      <c r="D8750">
        <v>4.81412</v>
      </c>
      <c r="E8750">
        <v>0.52986750000000005</v>
      </c>
      <c r="F8750" t="s">
        <v>42</v>
      </c>
      <c r="G8750">
        <v>-327.05739999999997</v>
      </c>
      <c r="H8750" s="1">
        <v>-2.8815100000000001E-6</v>
      </c>
      <c r="I8750">
        <v>12.974259999999999</v>
      </c>
      <c r="J8750">
        <v>-342.83179999999999</v>
      </c>
      <c r="K8750">
        <v>1.1105640000000001</v>
      </c>
      <c r="L8750">
        <v>16.577639999999999</v>
      </c>
      <c r="M8750">
        <v>0.99900909999999998</v>
      </c>
      <c r="N8750">
        <v>0</v>
      </c>
      <c r="O8750">
        <v>-4.2497849999999997E-2</v>
      </c>
      <c r="P8750">
        <v>0.98711409999999999</v>
      </c>
      <c r="Q8750">
        <v>6.8804619999999997E-2</v>
      </c>
      <c r="R8750">
        <v>-0.14447109999999999</v>
      </c>
      <c r="S8750">
        <v>2.9553219999999998</v>
      </c>
      <c r="T8750">
        <v>-0.2065707</v>
      </c>
      <c r="U8750">
        <v>-0.67114259999999903</v>
      </c>
      <c r="V8750">
        <v>0.1023805</v>
      </c>
      <c r="W8750">
        <v>8.1924360000000002E-2</v>
      </c>
      <c r="X8750">
        <v>0.99136599999999997</v>
      </c>
      <c r="Y8750">
        <v>0.17949399999999999</v>
      </c>
      <c r="Z8750">
        <v>-3.2611559999999999E-3</v>
      </c>
      <c r="AA8750">
        <v>0.98375369999999995</v>
      </c>
      <c r="AB8750">
        <v>26</v>
      </c>
      <c r="AC8750">
        <v>15.7744</v>
      </c>
      <c r="AD8750">
        <v>-1.1105668815099901</v>
      </c>
      <c r="AE8750">
        <v>-3.6033799999999898</v>
      </c>
      <c r="AF8750">
        <v>2.9159509050276999</v>
      </c>
      <c r="AG8750">
        <v>-1.1105668815099901</v>
      </c>
      <c r="AH8750">
        <v>15.838682929093199</v>
      </c>
      <c r="AI8750">
        <v>93.944784702620694</v>
      </c>
      <c r="AJ8750">
        <v>79.568476856620293</v>
      </c>
      <c r="AK8750">
        <v>16.143110152854199</v>
      </c>
      <c r="AL8750">
        <v>85.300813187732601</v>
      </c>
      <c r="AM8750">
        <v>84.1038433862755</v>
      </c>
      <c r="AN8750">
        <v>0.99999995674882802</v>
      </c>
    </row>
    <row r="8751" spans="1:40" x14ac:dyDescent="0.25">
      <c r="A8751" t="str">
        <f>"20190312150858359"</f>
        <v>20190312150858359</v>
      </c>
      <c r="B8751" t="str">
        <f>"1552374538348163"</f>
        <v>1552374538348163</v>
      </c>
      <c r="C8751" t="s">
        <v>40</v>
      </c>
      <c r="D8751">
        <v>4.8029890000000002</v>
      </c>
      <c r="E8751">
        <v>0.52991440000000001</v>
      </c>
      <c r="F8751" t="s">
        <v>42</v>
      </c>
      <c r="G8751">
        <v>-326.8306</v>
      </c>
      <c r="H8751" s="1">
        <v>-2.9764439999999999E-6</v>
      </c>
      <c r="I8751">
        <v>12.94473</v>
      </c>
      <c r="J8751">
        <v>-342.7099</v>
      </c>
      <c r="K8751">
        <v>1.1105609999999999</v>
      </c>
      <c r="L8751">
        <v>16.572510000000001</v>
      </c>
      <c r="M8751">
        <v>0.99901039999999997</v>
      </c>
      <c r="N8751">
        <v>0</v>
      </c>
      <c r="O8751">
        <v>-4.2467680000000001E-2</v>
      </c>
      <c r="P8751">
        <v>0.98710039999999999</v>
      </c>
      <c r="Q8751">
        <v>6.8887710000000005E-2</v>
      </c>
      <c r="R8751">
        <v>-0.14452570000000001</v>
      </c>
      <c r="S8751">
        <v>2.9552610000000001</v>
      </c>
      <c r="T8751">
        <v>-0.20511019999999999</v>
      </c>
      <c r="U8751">
        <v>-0.67095950000000004</v>
      </c>
      <c r="V8751">
        <v>0.1024654</v>
      </c>
      <c r="W8751">
        <v>8.2006120000000002E-2</v>
      </c>
      <c r="X8751">
        <v>0.99135050000000002</v>
      </c>
      <c r="Y8751">
        <v>0.17947449999999901</v>
      </c>
      <c r="Z8751">
        <v>-3.2396299999999999E-3</v>
      </c>
      <c r="AA8751">
        <v>0.98375729999999995</v>
      </c>
      <c r="AB8751">
        <v>26</v>
      </c>
      <c r="AC8751">
        <v>15.879300000000001</v>
      </c>
      <c r="AD8751">
        <v>-1.1105639764440001</v>
      </c>
      <c r="AE8751">
        <v>-3.62778</v>
      </c>
      <c r="AF8751">
        <v>2.93644010377764</v>
      </c>
      <c r="AG8751">
        <v>-1.1105639764440001</v>
      </c>
      <c r="AH8751">
        <v>15.944926007726799</v>
      </c>
      <c r="AI8751">
        <v>93.918531484444003</v>
      </c>
      <c r="AJ8751">
        <v>79.5652463038371</v>
      </c>
      <c r="AK8751">
        <v>16.251052218879</v>
      </c>
      <c r="AL8751">
        <v>85.296113015687496</v>
      </c>
      <c r="AM8751">
        <v>84.098896818564697</v>
      </c>
      <c r="AN8751">
        <v>0.99999998788243205</v>
      </c>
    </row>
    <row r="8752" spans="1:40" x14ac:dyDescent="0.25">
      <c r="A8752" t="str">
        <f>"20190312150858370"</f>
        <v>20190312150858370</v>
      </c>
      <c r="B8752" t="str">
        <f>"1552374538358899"</f>
        <v>1552374538358899</v>
      </c>
      <c r="C8752" t="s">
        <v>40</v>
      </c>
      <c r="D8752">
        <v>4.8054709999999998</v>
      </c>
      <c r="E8752">
        <v>0.52989569999999997</v>
      </c>
      <c r="F8752" t="s">
        <v>42</v>
      </c>
      <c r="G8752">
        <v>-326.61610000000002</v>
      </c>
      <c r="H8752" s="1">
        <v>-3.066754E-6</v>
      </c>
      <c r="I8752">
        <v>12.91499</v>
      </c>
      <c r="J8752">
        <v>-342.60070000000002</v>
      </c>
      <c r="K8752">
        <v>1.110562</v>
      </c>
      <c r="L8752">
        <v>16.567869999999999</v>
      </c>
      <c r="M8752">
        <v>0.99901169999999995</v>
      </c>
      <c r="N8752">
        <v>0</v>
      </c>
      <c r="O8752">
        <v>-4.2440619999999998E-2</v>
      </c>
      <c r="P8752">
        <v>0.98706539999999998</v>
      </c>
      <c r="Q8752">
        <v>6.8799719999999995E-2</v>
      </c>
      <c r="R8752">
        <v>-0.1448055</v>
      </c>
      <c r="S8752">
        <v>2.9550480000000001</v>
      </c>
      <c r="T8752">
        <v>-0.2039146</v>
      </c>
      <c r="U8752">
        <v>-0.67156979999999999</v>
      </c>
      <c r="V8752">
        <v>0.10277360000000001</v>
      </c>
      <c r="W8752">
        <v>8.191677E-2</v>
      </c>
      <c r="X8752">
        <v>0.99132600000000004</v>
      </c>
      <c r="Y8752">
        <v>0.1797127</v>
      </c>
      <c r="Z8752">
        <v>-3.2308910000000001E-3</v>
      </c>
      <c r="AA8752">
        <v>0.98371379999999997</v>
      </c>
      <c r="AB8752">
        <v>26</v>
      </c>
      <c r="AC8752">
        <v>15.9846</v>
      </c>
      <c r="AD8752">
        <v>-1.1105650667539999</v>
      </c>
      <c r="AE8752">
        <v>-3.6528800000000001</v>
      </c>
      <c r="AF8752">
        <v>2.9575648046809699</v>
      </c>
      <c r="AG8752">
        <v>-1.1105650667539999</v>
      </c>
      <c r="AH8752">
        <v>16.051602448693199</v>
      </c>
      <c r="AI8752">
        <v>93.892509967856498</v>
      </c>
      <c r="AJ8752">
        <v>79.560140252217806</v>
      </c>
      <c r="AK8752">
        <v>16.359538059256899</v>
      </c>
      <c r="AL8752">
        <v>85.301249752643997</v>
      </c>
      <c r="AM8752">
        <v>84.08112779452</v>
      </c>
      <c r="AN8752">
        <v>1.0000000041700901</v>
      </c>
    </row>
    <row r="8753" spans="1:40" x14ac:dyDescent="0.25">
      <c r="A8753" t="str">
        <f>"20190312150858380"</f>
        <v>20190312150858380</v>
      </c>
      <c r="B8753" t="str">
        <f>"1552374538368658"</f>
        <v>1552374538368658</v>
      </c>
      <c r="C8753" t="s">
        <v>40</v>
      </c>
      <c r="D8753">
        <v>4.781854</v>
      </c>
      <c r="E8753">
        <v>0.52990219999999999</v>
      </c>
      <c r="F8753" t="s">
        <v>42</v>
      </c>
      <c r="G8753">
        <v>-326.37200000000001</v>
      </c>
      <c r="H8753" s="1">
        <v>-3.171038E-6</v>
      </c>
      <c r="I8753">
        <v>12.875299999999999</v>
      </c>
      <c r="J8753">
        <v>-342.47449999999998</v>
      </c>
      <c r="K8753">
        <v>1.1105609999999999</v>
      </c>
      <c r="L8753">
        <v>16.562529999999999</v>
      </c>
      <c r="M8753">
        <v>0.99901300000000004</v>
      </c>
      <c r="N8753">
        <v>0</v>
      </c>
      <c r="O8753">
        <v>-4.2409259999999997E-2</v>
      </c>
      <c r="P8753">
        <v>0.98706919999999998</v>
      </c>
      <c r="Q8753">
        <v>6.8856780000000006E-2</v>
      </c>
      <c r="R8753">
        <v>-0.14475489999999999</v>
      </c>
      <c r="S8753">
        <v>2.954742</v>
      </c>
      <c r="T8753">
        <v>-0.2021992</v>
      </c>
      <c r="U8753">
        <v>-0.67230219999999996</v>
      </c>
      <c r="V8753">
        <v>0.10275380000000001</v>
      </c>
      <c r="W8753">
        <v>8.197285E-2</v>
      </c>
      <c r="X8753">
        <v>0.99132339999999997</v>
      </c>
      <c r="Y8753">
        <v>0.18000189999999999</v>
      </c>
      <c r="Z8753">
        <v>-3.215879E-3</v>
      </c>
      <c r="AA8753">
        <v>0.98366100000000001</v>
      </c>
      <c r="AB8753">
        <v>26</v>
      </c>
      <c r="AC8753">
        <v>16.1024999999999</v>
      </c>
      <c r="AD8753">
        <v>-1.1105641710380001</v>
      </c>
      <c r="AE8753">
        <v>-3.68723</v>
      </c>
      <c r="AF8753">
        <v>2.9874551283753901</v>
      </c>
      <c r="AG8753">
        <v>-1.1105641710380001</v>
      </c>
      <c r="AH8753">
        <v>16.171307937802901</v>
      </c>
      <c r="AI8753">
        <v>93.863447839810604</v>
      </c>
      <c r="AJ8753">
        <v>79.533297117694204</v>
      </c>
      <c r="AK8753">
        <v>16.482397924491899</v>
      </c>
      <c r="AL8753">
        <v>85.298025683938107</v>
      </c>
      <c r="AM8753">
        <v>84.082244599900804</v>
      </c>
      <c r="AN8753">
        <v>0.99999998746956098</v>
      </c>
    </row>
    <row r="8754" spans="1:40" x14ac:dyDescent="0.25">
      <c r="A8754" t="str">
        <f>"20190312150858391"</f>
        <v>20190312150858391</v>
      </c>
      <c r="B8754" t="str">
        <f>"1552374538378419"</f>
        <v>1552374538378419</v>
      </c>
      <c r="C8754" t="s">
        <v>40</v>
      </c>
      <c r="D8754">
        <v>4.7866210000000002</v>
      </c>
      <c r="E8754">
        <v>0.52987479999999998</v>
      </c>
      <c r="F8754" t="s">
        <v>42</v>
      </c>
      <c r="G8754">
        <v>-326.11</v>
      </c>
      <c r="H8754" s="1">
        <v>-3.2808209999999999E-6</v>
      </c>
      <c r="I8754">
        <v>12.84076</v>
      </c>
      <c r="J8754">
        <v>-342.35899999999998</v>
      </c>
      <c r="K8754">
        <v>1.11056</v>
      </c>
      <c r="L8754">
        <v>16.557679999999898</v>
      </c>
      <c r="M8754">
        <v>0.99901419999999996</v>
      </c>
      <c r="N8754">
        <v>0</v>
      </c>
      <c r="O8754">
        <v>-4.2380889999999997E-2</v>
      </c>
      <c r="P8754">
        <v>0.98704060000000005</v>
      </c>
      <c r="Q8754">
        <v>6.8893250000000003E-2</v>
      </c>
      <c r="R8754">
        <v>-0.14492910000000001</v>
      </c>
      <c r="S8754">
        <v>2.954742</v>
      </c>
      <c r="T8754">
        <v>-0.2005218</v>
      </c>
      <c r="U8754">
        <v>-0.67199709999999901</v>
      </c>
      <c r="V8754">
        <v>0.1029576</v>
      </c>
      <c r="W8754">
        <v>8.2007540000000004E-2</v>
      </c>
      <c r="X8754">
        <v>0.99129940000000005</v>
      </c>
      <c r="Y8754">
        <v>0.179938299999999</v>
      </c>
      <c r="Z8754">
        <v>-3.1890590000000002E-3</v>
      </c>
      <c r="AA8754">
        <v>0.98367269999999896</v>
      </c>
      <c r="AB8754">
        <v>26</v>
      </c>
      <c r="AC8754">
        <v>16.248999999999999</v>
      </c>
      <c r="AD8754">
        <v>-1.110563280821</v>
      </c>
      <c r="AE8754">
        <v>-3.7169199999999898</v>
      </c>
      <c r="AF8754">
        <v>3.0115046814440198</v>
      </c>
      <c r="AG8754">
        <v>-1.110563280821</v>
      </c>
      <c r="AH8754">
        <v>16.319496347191599</v>
      </c>
      <c r="AI8754">
        <v>93.828606654955706</v>
      </c>
      <c r="AJ8754">
        <v>79.544590966094404</v>
      </c>
      <c r="AK8754">
        <v>16.632151763168402</v>
      </c>
      <c r="AL8754">
        <v>85.296031448344706</v>
      </c>
      <c r="AM8754">
        <v>84.070448440417195</v>
      </c>
      <c r="AN8754">
        <v>1.00000000222748</v>
      </c>
    </row>
    <row r="8755" spans="1:40" x14ac:dyDescent="0.25">
      <c r="A8755" t="str">
        <f>"20190312150858401"</f>
        <v>20190312150858401</v>
      </c>
      <c r="B8755" t="str">
        <f>"1552374538398915"</f>
        <v>1552374538398915</v>
      </c>
      <c r="C8755" t="s">
        <v>40</v>
      </c>
      <c r="D8755">
        <v>4.816071</v>
      </c>
      <c r="E8755">
        <v>0.52989730000000002</v>
      </c>
      <c r="F8755" t="s">
        <v>42</v>
      </c>
      <c r="G8755">
        <v>-325.9572</v>
      </c>
      <c r="H8755" s="1">
        <v>-3.3434719999999999E-6</v>
      </c>
      <c r="I8755">
        <v>12.82583</v>
      </c>
      <c r="J8755">
        <v>-342.23930000000001</v>
      </c>
      <c r="K8755">
        <v>1.1105609999999999</v>
      </c>
      <c r="L8755">
        <v>16.552610000000001</v>
      </c>
      <c r="M8755">
        <v>0.99901549999999995</v>
      </c>
      <c r="N8755">
        <v>0</v>
      </c>
      <c r="O8755">
        <v>-4.2351800000000002E-2</v>
      </c>
      <c r="P8755">
        <v>0.98703300000000005</v>
      </c>
      <c r="Q8755">
        <v>6.8893999999999997E-2</v>
      </c>
      <c r="R8755">
        <v>-0.14498169999999999</v>
      </c>
      <c r="S8755">
        <v>2.9546809999999999</v>
      </c>
      <c r="T8755">
        <v>-0.20006189999999999</v>
      </c>
      <c r="U8755">
        <v>-0.67227169999999903</v>
      </c>
      <c r="V8755">
        <v>0.1030393</v>
      </c>
      <c r="W8755">
        <v>8.2006590000000004E-2</v>
      </c>
      <c r="X8755">
        <v>0.99129100000000003</v>
      </c>
      <c r="Y8755">
        <v>0.18005929999999901</v>
      </c>
      <c r="Z8755">
        <v>-3.1877709999999998E-3</v>
      </c>
      <c r="AA8755">
        <v>0.98365060000000004</v>
      </c>
      <c r="AB8755">
        <v>26</v>
      </c>
      <c r="AC8755">
        <v>16.2821</v>
      </c>
      <c r="AD8755">
        <v>-1.1105643434720001</v>
      </c>
      <c r="AE8755">
        <v>-3.7267800000000002</v>
      </c>
      <c r="AF8755">
        <v>3.0204467774412</v>
      </c>
      <c r="AG8755">
        <v>-1.1105643434720001</v>
      </c>
      <c r="AH8755">
        <v>16.353046366137701</v>
      </c>
      <c r="AI8755">
        <v>93.820664384713695</v>
      </c>
      <c r="AJ8755">
        <v>79.535270143952403</v>
      </c>
      <c r="AK8755">
        <v>16.6666906537979</v>
      </c>
      <c r="AL8755">
        <v>85.296086111318601</v>
      </c>
      <c r="AM8755">
        <v>84.0657267976718</v>
      </c>
      <c r="AN8755">
        <v>1.0000000124144499</v>
      </c>
    </row>
    <row r="8756" spans="1:40" x14ac:dyDescent="0.25">
      <c r="A8756" t="str">
        <f>"20190312150858413"</f>
        <v>20190312150858413</v>
      </c>
      <c r="B8756" t="str">
        <f>"1552374538408675"</f>
        <v>1552374538408675</v>
      </c>
      <c r="C8756" t="s">
        <v>40</v>
      </c>
      <c r="D8756">
        <v>4.8326890000000002</v>
      </c>
      <c r="E8756">
        <v>0.52990819999999905</v>
      </c>
      <c r="F8756" t="s">
        <v>42</v>
      </c>
      <c r="G8756">
        <v>-325.77390000000003</v>
      </c>
      <c r="H8756" s="1">
        <v>-3.419781E-6</v>
      </c>
      <c r="I8756">
        <v>12.803649999999999</v>
      </c>
      <c r="J8756">
        <v>-342.10169999999999</v>
      </c>
      <c r="K8756">
        <v>1.11056</v>
      </c>
      <c r="L8756">
        <v>16.546810000000001</v>
      </c>
      <c r="M8756">
        <v>0.99901689999999999</v>
      </c>
      <c r="N8756">
        <v>0</v>
      </c>
      <c r="O8756">
        <v>-4.23189E-2</v>
      </c>
      <c r="P8756">
        <v>0.98704360000000002</v>
      </c>
      <c r="Q8756">
        <v>6.8735740000000004E-2</v>
      </c>
      <c r="R8756">
        <v>-0.14498329999999901</v>
      </c>
      <c r="S8756">
        <v>2.9544980000000001</v>
      </c>
      <c r="T8756">
        <v>-0.19927539999999999</v>
      </c>
      <c r="U8756">
        <v>-0.67269899999999905</v>
      </c>
      <c r="V8756">
        <v>0.10307330000000001</v>
      </c>
      <c r="W8756">
        <v>8.1847379999999997E-2</v>
      </c>
      <c r="X8756">
        <v>0.99130059999999998</v>
      </c>
      <c r="Y8756">
        <v>0.18024200000000001</v>
      </c>
      <c r="Z8756">
        <v>-3.18367E-3</v>
      </c>
      <c r="AA8756">
        <v>0.98361710000000002</v>
      </c>
      <c r="AB8756">
        <v>26</v>
      </c>
      <c r="AC8756">
        <v>16.3277999999999</v>
      </c>
      <c r="AD8756">
        <v>-1.1105634197809999</v>
      </c>
      <c r="AE8756">
        <v>-3.74316</v>
      </c>
      <c r="AF8756">
        <v>3.0354297896940698</v>
      </c>
      <c r="AG8756">
        <v>-1.1105634197809999</v>
      </c>
      <c r="AH8756">
        <v>16.399510095483301</v>
      </c>
      <c r="AI8756">
        <v>93.809603222235793</v>
      </c>
      <c r="AJ8756">
        <v>79.513645753438894</v>
      </c>
      <c r="AK8756">
        <v>16.714996754094098</v>
      </c>
      <c r="AL8756">
        <v>85.305238831668007</v>
      </c>
      <c r="AM8756">
        <v>84.063839716318</v>
      </c>
      <c r="AN8756">
        <v>0.99999998917305699</v>
      </c>
    </row>
    <row r="8757" spans="1:40" x14ac:dyDescent="0.25">
      <c r="A8757" t="str">
        <f>"20190312150858426"</f>
        <v>20190312150858426</v>
      </c>
      <c r="B8757" t="str">
        <f>"1552374538418434"</f>
        <v>1552374538418434</v>
      </c>
      <c r="C8757" t="s">
        <v>40</v>
      </c>
      <c r="D8757">
        <v>4.7906500000000003</v>
      </c>
      <c r="E8757">
        <v>0.52995429999999999</v>
      </c>
      <c r="F8757" t="s">
        <v>42</v>
      </c>
      <c r="G8757">
        <v>-325.62810000000002</v>
      </c>
      <c r="H8757" s="1">
        <v>-3.4777510000000001E-6</v>
      </c>
      <c r="I8757">
        <v>12.79613</v>
      </c>
      <c r="J8757">
        <v>-341.96550000000002</v>
      </c>
      <c r="K8757">
        <v>1.110557</v>
      </c>
      <c r="L8757">
        <v>16.541079999999901</v>
      </c>
      <c r="M8757">
        <v>0.99901830000000003</v>
      </c>
      <c r="N8757">
        <v>0</v>
      </c>
      <c r="O8757">
        <v>-4.2286949999999997E-2</v>
      </c>
      <c r="P8757">
        <v>0.98700960000000004</v>
      </c>
      <c r="Q8757">
        <v>6.8772630000000001E-2</v>
      </c>
      <c r="R8757">
        <v>-0.1451993</v>
      </c>
      <c r="S8757">
        <v>2.9544679999999999</v>
      </c>
      <c r="T8757">
        <v>-0.19917460000000001</v>
      </c>
      <c r="U8757">
        <v>-0.6726685</v>
      </c>
      <c r="V8757">
        <v>0.1033222</v>
      </c>
      <c r="W8757">
        <v>8.1882549999999998E-2</v>
      </c>
      <c r="X8757">
        <v>0.99127180000000004</v>
      </c>
      <c r="Y8757">
        <v>0.18026610000000001</v>
      </c>
      <c r="Z8757">
        <v>-3.1850200000000002E-3</v>
      </c>
      <c r="AA8757">
        <v>0.98361270000000001</v>
      </c>
      <c r="AB8757">
        <v>26</v>
      </c>
      <c r="AC8757">
        <v>16.337399999999999</v>
      </c>
      <c r="AD8757">
        <v>-1.1105604777509901</v>
      </c>
      <c r="AE8757">
        <v>-3.74494999999999</v>
      </c>
      <c r="AF8757">
        <v>3.03734620023116</v>
      </c>
      <c r="AG8757">
        <v>-1.1105604777509901</v>
      </c>
      <c r="AH8757">
        <v>16.409121770120201</v>
      </c>
      <c r="AI8757">
        <v>93.807362561435298</v>
      </c>
      <c r="AJ8757">
        <v>79.513182022281995</v>
      </c>
      <c r="AK8757">
        <v>16.724774849947401</v>
      </c>
      <c r="AL8757">
        <v>85.303217028141006</v>
      </c>
      <c r="AM8757">
        <v>84.049436244619997</v>
      </c>
      <c r="AN8757">
        <v>1.0000000052412901</v>
      </c>
    </row>
    <row r="8758" spans="1:40" x14ac:dyDescent="0.25">
      <c r="A8758" t="str">
        <f>"20190312150858435"</f>
        <v>20190312150858435</v>
      </c>
      <c r="B8758" t="str">
        <f>"1552374538428195"</f>
        <v>1552374538428195</v>
      </c>
      <c r="C8758" t="s">
        <v>40</v>
      </c>
      <c r="D8758">
        <v>4.8103280000000002</v>
      </c>
      <c r="E8758">
        <v>0.52995179999999997</v>
      </c>
      <c r="F8758" t="s">
        <v>42</v>
      </c>
      <c r="G8758">
        <v>-325.43599999999998</v>
      </c>
      <c r="H8758" s="1">
        <v>-3.5580469999999999E-6</v>
      </c>
      <c r="I8758">
        <v>12.771710000000001</v>
      </c>
      <c r="J8758">
        <v>-341.8492</v>
      </c>
      <c r="K8758">
        <v>1.1105560000000001</v>
      </c>
      <c r="L8758">
        <v>16.536189999999898</v>
      </c>
      <c r="M8758">
        <v>0.9990194</v>
      </c>
      <c r="N8758">
        <v>0</v>
      </c>
      <c r="O8758">
        <v>-4.2260119999999998E-2</v>
      </c>
      <c r="P8758">
        <v>0.9869964</v>
      </c>
      <c r="Q8758">
        <v>6.9001980000000004E-2</v>
      </c>
      <c r="R8758">
        <v>-0.14518010000000001</v>
      </c>
      <c r="S8758">
        <v>2.954224</v>
      </c>
      <c r="T8758">
        <v>-0.1984834</v>
      </c>
      <c r="U8758">
        <v>-0.67367549999999998</v>
      </c>
      <c r="V8758">
        <v>0.1033303</v>
      </c>
      <c r="W8758">
        <v>8.2110199999999994E-2</v>
      </c>
      <c r="X8758">
        <v>0.99125209999999997</v>
      </c>
      <c r="Y8758">
        <v>0.18063009999999999</v>
      </c>
      <c r="Z8758">
        <v>-3.1879640000000002E-3</v>
      </c>
      <c r="AA8758">
        <v>0.98354600000000003</v>
      </c>
      <c r="AB8758">
        <v>26</v>
      </c>
      <c r="AC8758">
        <v>16.4132</v>
      </c>
      <c r="AD8758">
        <v>-1.11055955804699</v>
      </c>
      <c r="AE8758">
        <v>-3.7644799999999901</v>
      </c>
      <c r="AF8758">
        <v>3.0541483276208199</v>
      </c>
      <c r="AG8758">
        <v>-1.11055955804699</v>
      </c>
      <c r="AH8758">
        <v>16.485931487569999</v>
      </c>
      <c r="AI8758">
        <v>93.789566274143198</v>
      </c>
      <c r="AJ8758">
        <v>79.504497343413703</v>
      </c>
      <c r="AK8758">
        <v>16.803187243851401</v>
      </c>
      <c r="AL8758">
        <v>85.290129458258804</v>
      </c>
      <c r="AM8758">
        <v>84.048855673554598</v>
      </c>
      <c r="AN8758">
        <v>0.99999998079826902</v>
      </c>
    </row>
    <row r="8759" spans="1:40" x14ac:dyDescent="0.25">
      <c r="A8759" t="str">
        <f>"20190312150858446"</f>
        <v>20190312150858446</v>
      </c>
      <c r="B8759" t="str">
        <f>"1552374538438931"</f>
        <v>1552374538438931</v>
      </c>
      <c r="C8759" t="s">
        <v>40</v>
      </c>
      <c r="D8759">
        <v>4.7966829999999998</v>
      </c>
      <c r="E8759">
        <v>0.5298851</v>
      </c>
      <c r="F8759" t="s">
        <v>42</v>
      </c>
      <c r="G8759">
        <v>-325.21800000000002</v>
      </c>
      <c r="H8759" s="1">
        <v>-3.6491189999999998E-6</v>
      </c>
      <c r="I8759">
        <v>12.74399</v>
      </c>
      <c r="J8759">
        <v>-341.7192</v>
      </c>
      <c r="K8759">
        <v>1.1105560000000001</v>
      </c>
      <c r="L8759">
        <v>16.530729999999998</v>
      </c>
      <c r="M8759">
        <v>0.99902060000000004</v>
      </c>
      <c r="N8759">
        <v>0</v>
      </c>
      <c r="O8759">
        <v>-4.2229959999999997E-2</v>
      </c>
      <c r="P8759">
        <v>0.98698660000000005</v>
      </c>
      <c r="Q8759">
        <v>6.8956139999999999E-2</v>
      </c>
      <c r="R8759">
        <v>-0.14526739999999999</v>
      </c>
      <c r="S8759">
        <v>2.954224</v>
      </c>
      <c r="T8759">
        <v>-0.19727040000000001</v>
      </c>
      <c r="U8759">
        <v>-0.6736145</v>
      </c>
      <c r="V8759">
        <v>0.103448</v>
      </c>
      <c r="W8759">
        <v>8.2063150000000001E-2</v>
      </c>
      <c r="X8759">
        <v>0.99124369999999995</v>
      </c>
      <c r="Y8759">
        <v>0.180644</v>
      </c>
      <c r="Z8759">
        <v>-3.1709680000000001E-3</v>
      </c>
      <c r="AA8759">
        <v>0.98354350000000001</v>
      </c>
      <c r="AB8759">
        <v>26</v>
      </c>
      <c r="AC8759">
        <v>16.501199999999901</v>
      </c>
      <c r="AD8759">
        <v>-1.110559649119</v>
      </c>
      <c r="AE8759">
        <v>-3.7867399999999898</v>
      </c>
      <c r="AF8759">
        <v>3.0732316301775402</v>
      </c>
      <c r="AG8759">
        <v>-1.110559649119</v>
      </c>
      <c r="AH8759">
        <v>16.575083506040698</v>
      </c>
      <c r="AI8759">
        <v>93.769138344286503</v>
      </c>
      <c r="AJ8759">
        <v>79.495917924576503</v>
      </c>
      <c r="AK8759">
        <v>16.894125861351899</v>
      </c>
      <c r="AL8759">
        <v>85.292834260020896</v>
      </c>
      <c r="AM8759">
        <v>84.042075535870097</v>
      </c>
      <c r="AN8759">
        <v>0.99999996104080502</v>
      </c>
    </row>
    <row r="8760" spans="1:40" x14ac:dyDescent="0.25">
      <c r="A8760" t="str">
        <f>"20190312150858458"</f>
        <v>20190312150858458</v>
      </c>
      <c r="B8760" t="str">
        <f>"1552374538448690"</f>
        <v>1552374538448690</v>
      </c>
      <c r="C8760" t="s">
        <v>40</v>
      </c>
      <c r="D8760">
        <v>4.7970899999999999</v>
      </c>
      <c r="E8760">
        <v>0.52992099999999998</v>
      </c>
      <c r="F8760" t="s">
        <v>42</v>
      </c>
      <c r="G8760">
        <v>-325.10939999999999</v>
      </c>
      <c r="H8760" s="1">
        <v>-3.690788E-6</v>
      </c>
      <c r="I8760">
        <v>12.7441</v>
      </c>
      <c r="J8760">
        <v>-341.58080000000001</v>
      </c>
      <c r="K8760">
        <v>1.1105499999999999</v>
      </c>
      <c r="L8760">
        <v>16.524899999999999</v>
      </c>
      <c r="M8760">
        <v>0.99902199999999997</v>
      </c>
      <c r="N8760">
        <v>0</v>
      </c>
      <c r="O8760">
        <v>-4.2198609999999998E-2</v>
      </c>
      <c r="P8760">
        <v>0.98697869999999999</v>
      </c>
      <c r="Q8760">
        <v>6.902324E-2</v>
      </c>
      <c r="R8760">
        <v>-0.14529069999999999</v>
      </c>
      <c r="S8760">
        <v>2.954224</v>
      </c>
      <c r="T8760">
        <v>-0.1975248</v>
      </c>
      <c r="U8760">
        <v>-0.67349239999999999</v>
      </c>
      <c r="V8760">
        <v>0.1035026</v>
      </c>
      <c r="W8760">
        <v>8.212825E-2</v>
      </c>
      <c r="X8760">
        <v>0.99123260000000002</v>
      </c>
      <c r="Y8760">
        <v>0.1806354</v>
      </c>
      <c r="Z8760">
        <v>-3.1768399999999998E-3</v>
      </c>
      <c r="AA8760">
        <v>0.983545</v>
      </c>
      <c r="AB8760">
        <v>26</v>
      </c>
      <c r="AC8760">
        <v>16.471399999999999</v>
      </c>
      <c r="AD8760">
        <v>-1.110553690788</v>
      </c>
      <c r="AE8760">
        <v>-3.7807999999999899</v>
      </c>
      <c r="AF8760">
        <v>3.0690476115602201</v>
      </c>
      <c r="AG8760">
        <v>-1.110553690788</v>
      </c>
      <c r="AH8760">
        <v>16.544837283294498</v>
      </c>
      <c r="AI8760">
        <v>93.775930627521006</v>
      </c>
      <c r="AJ8760">
        <v>79.491150441166695</v>
      </c>
      <c r="AK8760">
        <v>16.863689497640699</v>
      </c>
      <c r="AL8760">
        <v>85.289091630909596</v>
      </c>
      <c r="AM8760">
        <v>84.038887299842997</v>
      </c>
      <c r="AN8760">
        <v>0.99999995247879003</v>
      </c>
    </row>
    <row r="8761" spans="1:40" x14ac:dyDescent="0.25">
      <c r="A8761" t="str">
        <f>"20190312150858470"</f>
        <v>20190312150858470</v>
      </c>
      <c r="B8761" t="str">
        <f>"1552374538458450"</f>
        <v>1552374538458450</v>
      </c>
      <c r="C8761" t="s">
        <v>40</v>
      </c>
      <c r="D8761">
        <v>4.8387549999999999</v>
      </c>
      <c r="E8761">
        <v>0.52993319999999999</v>
      </c>
      <c r="F8761" t="s">
        <v>42</v>
      </c>
      <c r="G8761">
        <v>-324.8965</v>
      </c>
      <c r="H8761" s="1">
        <v>-3.7789509999999999E-6</v>
      </c>
      <c r="I8761">
        <v>12.72012</v>
      </c>
      <c r="J8761">
        <v>-341.45760000000001</v>
      </c>
      <c r="K8761">
        <v>1.110549</v>
      </c>
      <c r="L8761">
        <v>16.519739999999999</v>
      </c>
      <c r="M8761">
        <v>0.99902329999999995</v>
      </c>
      <c r="N8761">
        <v>0</v>
      </c>
      <c r="O8761">
        <v>-4.2170590000000001E-2</v>
      </c>
      <c r="P8761">
        <v>0.98699590000000004</v>
      </c>
      <c r="Q8761">
        <v>6.8906899999999993E-2</v>
      </c>
      <c r="R8761">
        <v>-0.14522850000000001</v>
      </c>
      <c r="S8761">
        <v>2.954132</v>
      </c>
      <c r="T8761">
        <v>-0.1966348</v>
      </c>
      <c r="U8761">
        <v>-0.67367549999999998</v>
      </c>
      <c r="V8761">
        <v>0.1034678</v>
      </c>
      <c r="W8761">
        <v>8.201087E-2</v>
      </c>
      <c r="X8761">
        <v>0.99124599999999996</v>
      </c>
      <c r="Y8761">
        <v>0.1807299</v>
      </c>
      <c r="Z8761">
        <v>-3.1675679999999999E-3</v>
      </c>
      <c r="AA8761">
        <v>0.9835277</v>
      </c>
      <c r="AB8761">
        <v>26</v>
      </c>
      <c r="AC8761">
        <v>16.5611</v>
      </c>
      <c r="AD8761">
        <v>-1.1105527789509999</v>
      </c>
      <c r="AE8761">
        <v>-3.7996199999999898</v>
      </c>
      <c r="AF8761">
        <v>3.0846100681282298</v>
      </c>
      <c r="AG8761">
        <v>-1.1105527789509999</v>
      </c>
      <c r="AH8761">
        <v>16.635545904165099</v>
      </c>
      <c r="AI8761">
        <v>93.7554486274406</v>
      </c>
      <c r="AJ8761">
        <v>79.495358737117996</v>
      </c>
      <c r="AK8761">
        <v>16.9555163376648</v>
      </c>
      <c r="AL8761">
        <v>85.295840000287996</v>
      </c>
      <c r="AM8761">
        <v>84.040957118411498</v>
      </c>
      <c r="AN8761">
        <v>1.0000000004754901</v>
      </c>
    </row>
    <row r="8762" spans="1:40" x14ac:dyDescent="0.25">
      <c r="A8762" t="str">
        <f>"20190312150858481"</f>
        <v>20190312150858481</v>
      </c>
      <c r="B8762" t="str">
        <f>"1552374538468211"</f>
        <v>1552374538468211</v>
      </c>
      <c r="C8762" t="s">
        <v>40</v>
      </c>
      <c r="D8762">
        <v>4.8110249999999999</v>
      </c>
      <c r="E8762">
        <v>0.52994649999999999</v>
      </c>
      <c r="F8762" t="s">
        <v>42</v>
      </c>
      <c r="G8762">
        <v>-324.78210000000001</v>
      </c>
      <c r="H8762" s="1">
        <v>-3.8236330000000004E-6</v>
      </c>
      <c r="I8762">
        <v>12.717320000000001</v>
      </c>
      <c r="J8762">
        <v>-341.32199999999898</v>
      </c>
      <c r="K8762">
        <v>1.110549</v>
      </c>
      <c r="L8762">
        <v>16.51407</v>
      </c>
      <c r="M8762">
        <v>0.99902440000000003</v>
      </c>
      <c r="N8762">
        <v>0</v>
      </c>
      <c r="O8762">
        <v>-4.2139830000000003E-2</v>
      </c>
      <c r="P8762">
        <v>0.98699159999999997</v>
      </c>
      <c r="Q8762">
        <v>6.8704180000000004E-2</v>
      </c>
      <c r="R8762">
        <v>-0.14535200000000001</v>
      </c>
      <c r="S8762">
        <v>2.954132</v>
      </c>
      <c r="T8762">
        <v>-0.19673869999999999</v>
      </c>
      <c r="U8762">
        <v>-0.6736145</v>
      </c>
      <c r="V8762">
        <v>0.10362209999999999</v>
      </c>
      <c r="W8762">
        <v>8.1806530000000002E-2</v>
      </c>
      <c r="X8762">
        <v>0.99124679999999998</v>
      </c>
      <c r="Y8762">
        <v>0.1807405</v>
      </c>
      <c r="Z8762">
        <v>-3.171606E-3</v>
      </c>
      <c r="AA8762">
        <v>0.98352569999999995</v>
      </c>
      <c r="AB8762">
        <v>26</v>
      </c>
      <c r="AC8762">
        <v>16.5398999999999</v>
      </c>
      <c r="AD8762">
        <v>-1.110552823633</v>
      </c>
      <c r="AE8762">
        <v>-3.7967499999999998</v>
      </c>
      <c r="AF8762">
        <v>3.0831235750629902</v>
      </c>
      <c r="AG8762">
        <v>-1.110552823633</v>
      </c>
      <c r="AH8762">
        <v>16.614061878638601</v>
      </c>
      <c r="AI8762">
        <v>93.760190051213002</v>
      </c>
      <c r="AJ8762">
        <v>79.487033502649396</v>
      </c>
      <c r="AK8762">
        <v>16.934167551445199</v>
      </c>
      <c r="AL8762">
        <v>85.307587446769404</v>
      </c>
      <c r="AM8762">
        <v>84.032139355563203</v>
      </c>
      <c r="AN8762">
        <v>1.0000000332346399</v>
      </c>
    </row>
    <row r="8763" spans="1:40" x14ac:dyDescent="0.25">
      <c r="A8763" t="str">
        <f>"20190312150858492"</f>
        <v>20190312150858492</v>
      </c>
      <c r="B8763" t="str">
        <f>"1552374538488708"</f>
        <v>1552374538488708</v>
      </c>
      <c r="C8763" t="s">
        <v>40</v>
      </c>
      <c r="D8763">
        <v>4.8004239999999996</v>
      </c>
      <c r="E8763">
        <v>0.53003999999999996</v>
      </c>
      <c r="F8763" t="s">
        <v>42</v>
      </c>
      <c r="G8763">
        <v>-324.61970000000002</v>
      </c>
      <c r="H8763" s="1">
        <v>-3.890099E-6</v>
      </c>
      <c r="I8763">
        <v>12.70181</v>
      </c>
      <c r="J8763">
        <v>-341.19499999999999</v>
      </c>
      <c r="K8763">
        <v>1.110549</v>
      </c>
      <c r="L8763">
        <v>16.50873</v>
      </c>
      <c r="M8763">
        <v>0.99902579999999996</v>
      </c>
      <c r="N8763">
        <v>0</v>
      </c>
      <c r="O8763">
        <v>-4.2110979999999999E-2</v>
      </c>
      <c r="P8763">
        <v>0.98700140000000003</v>
      </c>
      <c r="Q8763">
        <v>6.8577929999999995E-2</v>
      </c>
      <c r="R8763">
        <v>-0.1453469</v>
      </c>
      <c r="S8763">
        <v>2.9539179999999998</v>
      </c>
      <c r="T8763">
        <v>-0.19640930000000001</v>
      </c>
      <c r="U8763">
        <v>-0.67422490000000002</v>
      </c>
      <c r="V8763">
        <v>0.10364520000000001</v>
      </c>
      <c r="W8763">
        <v>8.1679150000000006E-2</v>
      </c>
      <c r="X8763">
        <v>0.99125490000000005</v>
      </c>
      <c r="Y8763">
        <v>0.1809779</v>
      </c>
      <c r="Z8763">
        <v>-3.1761319999999999E-3</v>
      </c>
      <c r="AA8763">
        <v>0.98348210000000003</v>
      </c>
      <c r="AB8763">
        <v>26</v>
      </c>
      <c r="AC8763">
        <v>16.575299999999899</v>
      </c>
      <c r="AD8763">
        <v>-1.110552890099</v>
      </c>
      <c r="AE8763">
        <v>-3.8069199999999999</v>
      </c>
      <c r="AF8763">
        <v>3.0922936019519902</v>
      </c>
      <c r="AG8763">
        <v>-1.110552890099</v>
      </c>
      <c r="AH8763">
        <v>16.649923807398299</v>
      </c>
      <c r="AI8763">
        <v>93.752013017132896</v>
      </c>
      <c r="AJ8763">
        <v>79.478667168576607</v>
      </c>
      <c r="AK8763">
        <v>16.971021484711699</v>
      </c>
      <c r="AL8763">
        <v>85.3149103392348</v>
      </c>
      <c r="AM8763">
        <v>84.030866997115197</v>
      </c>
      <c r="AN8763">
        <v>1.00000004390088</v>
      </c>
    </row>
    <row r="8764" spans="1:40" x14ac:dyDescent="0.25">
      <c r="A8764" t="str">
        <f>"20190312150858506"</f>
        <v>20190312150858506</v>
      </c>
      <c r="B8764" t="str">
        <f>"1552374538498467"</f>
        <v>1552374538498467</v>
      </c>
      <c r="C8764" t="s">
        <v>40</v>
      </c>
      <c r="D8764">
        <v>4.7887849999999998</v>
      </c>
      <c r="E8764">
        <v>0.530057</v>
      </c>
      <c r="F8764" t="s">
        <v>42</v>
      </c>
      <c r="G8764">
        <v>-324.44310000000002</v>
      </c>
      <c r="H8764" s="1">
        <v>-3.9634619999999996E-6</v>
      </c>
      <c r="I8764">
        <v>12.68094</v>
      </c>
      <c r="J8764">
        <v>-341.03989999999999</v>
      </c>
      <c r="K8764">
        <v>1.110547</v>
      </c>
      <c r="L8764">
        <v>16.502229999999901</v>
      </c>
      <c r="M8764">
        <v>0.99902729999999995</v>
      </c>
      <c r="N8764">
        <v>0</v>
      </c>
      <c r="O8764">
        <v>-4.2076049999999997E-2</v>
      </c>
      <c r="P8764">
        <v>0.98696479999999998</v>
      </c>
      <c r="Q8764">
        <v>6.8638379999999999E-2</v>
      </c>
      <c r="R8764">
        <v>-0.14556729999999901</v>
      </c>
      <c r="S8764">
        <v>2.953735</v>
      </c>
      <c r="T8764">
        <v>-0.19581589999999999</v>
      </c>
      <c r="U8764">
        <v>-0.67492680000000005</v>
      </c>
      <c r="V8764">
        <v>0.1039016</v>
      </c>
      <c r="W8764">
        <v>8.173714E-2</v>
      </c>
      <c r="X8764">
        <v>0.99122319999999997</v>
      </c>
      <c r="Y8764">
        <v>0.18124870000000001</v>
      </c>
      <c r="Z8764">
        <v>-3.1778000000000002E-3</v>
      </c>
      <c r="AA8764">
        <v>0.98343219999999998</v>
      </c>
      <c r="AB8764">
        <v>26</v>
      </c>
      <c r="AC8764">
        <v>16.596799999999899</v>
      </c>
      <c r="AD8764">
        <v>-1.1105509634620001</v>
      </c>
      <c r="AE8764">
        <v>-3.8212899999999901</v>
      </c>
      <c r="AF8764">
        <v>3.1063086674463598</v>
      </c>
      <c r="AG8764">
        <v>-1.1105509634620001</v>
      </c>
      <c r="AH8764">
        <v>16.672008598290802</v>
      </c>
      <c r="AI8764">
        <v>93.746651112319896</v>
      </c>
      <c r="AJ8764">
        <v>79.445737865153106</v>
      </c>
      <c r="AK8764">
        <v>16.995244854999299</v>
      </c>
      <c r="AL8764">
        <v>85.311576250560805</v>
      </c>
      <c r="AM8764">
        <v>84.016017443120205</v>
      </c>
      <c r="AN8764">
        <v>0.99999996737808905</v>
      </c>
    </row>
    <row r="8765" spans="1:40" x14ac:dyDescent="0.25">
      <c r="A8765" t="str">
        <f>"20190312150858518"</f>
        <v>20190312150858518</v>
      </c>
      <c r="B8765" t="str">
        <f>"1552374538508227"</f>
        <v>1552374538508227</v>
      </c>
      <c r="C8765" t="s">
        <v>40</v>
      </c>
      <c r="D8765">
        <v>4.7950939999999997</v>
      </c>
      <c r="E8765">
        <v>0.53008880000000003</v>
      </c>
      <c r="F8765" t="s">
        <v>42</v>
      </c>
      <c r="G8765">
        <v>-324.25450000000001</v>
      </c>
      <c r="H8765" s="1">
        <v>-4.041071E-6</v>
      </c>
      <c r="I8765">
        <v>12.661479999999999</v>
      </c>
      <c r="J8765">
        <v>-340.8956</v>
      </c>
      <c r="K8765">
        <v>1.11054599999999</v>
      </c>
      <c r="L8765">
        <v>16.496189999999999</v>
      </c>
      <c r="M8765">
        <v>0.99902860000000004</v>
      </c>
      <c r="N8765">
        <v>0</v>
      </c>
      <c r="O8765">
        <v>-4.2043619999999997E-2</v>
      </c>
      <c r="P8765">
        <v>0.986958</v>
      </c>
      <c r="Q8765">
        <v>6.8417859999999997E-2</v>
      </c>
      <c r="R8765">
        <v>-0.1457157</v>
      </c>
      <c r="S8765">
        <v>2.953522</v>
      </c>
      <c r="T8765">
        <v>-0.1954109</v>
      </c>
      <c r="U8765">
        <v>-0.67581179999999996</v>
      </c>
      <c r="V8765">
        <v>0.1040827</v>
      </c>
      <c r="W8765">
        <v>8.1515199999999996E-2</v>
      </c>
      <c r="X8765">
        <v>0.99122250000000001</v>
      </c>
      <c r="Y8765">
        <v>0.1815765</v>
      </c>
      <c r="Z8765">
        <v>-3.1841700000000001E-3</v>
      </c>
      <c r="AA8765">
        <v>0.98337169999999896</v>
      </c>
      <c r="AB8765">
        <v>26</v>
      </c>
      <c r="AC8765">
        <v>16.641099999999899</v>
      </c>
      <c r="AD8765">
        <v>-1.1105500410710001</v>
      </c>
      <c r="AE8765">
        <v>-3.8347099999999901</v>
      </c>
      <c r="AF8765">
        <v>3.1184177100446302</v>
      </c>
      <c r="AG8765">
        <v>-1.1105500410710001</v>
      </c>
      <c r="AH8765">
        <v>16.716925487033102</v>
      </c>
      <c r="AI8765">
        <v>93.736459464104996</v>
      </c>
      <c r="AJ8765">
        <v>79.433349305782599</v>
      </c>
      <c r="AK8765">
        <v>17.041521297908201</v>
      </c>
      <c r="AL8765">
        <v>85.324335160049003</v>
      </c>
      <c r="AM8765">
        <v>84.005659063913299</v>
      </c>
      <c r="AN8765">
        <v>0.99999999038828902</v>
      </c>
    </row>
    <row r="8766" spans="1:40" x14ac:dyDescent="0.25">
      <c r="A8766" t="str">
        <f>"20190312150858531"</f>
        <v>20190312150858531</v>
      </c>
      <c r="B8766" t="str">
        <f>"1552374538528723"</f>
        <v>1552374538528723</v>
      </c>
      <c r="C8766" t="s">
        <v>40</v>
      </c>
      <c r="D8766">
        <v>4.779706</v>
      </c>
      <c r="E8766">
        <v>0.53021099999999999</v>
      </c>
      <c r="F8766" t="s">
        <v>42</v>
      </c>
      <c r="G8766">
        <v>-324.1309</v>
      </c>
      <c r="H8766" s="1">
        <v>-4.0901360000000002E-6</v>
      </c>
      <c r="I8766">
        <v>12.655570000000001</v>
      </c>
      <c r="J8766">
        <v>-340.75740000000002</v>
      </c>
      <c r="K8766">
        <v>1.1105419999999999</v>
      </c>
      <c r="L8766">
        <v>16.49042</v>
      </c>
      <c r="M8766">
        <v>0.99902999999999997</v>
      </c>
      <c r="N8766">
        <v>0</v>
      </c>
      <c r="O8766">
        <v>-4.2012389999999997E-2</v>
      </c>
      <c r="P8766">
        <v>0.98691879999999998</v>
      </c>
      <c r="Q8766">
        <v>6.8390800000000002E-2</v>
      </c>
      <c r="R8766">
        <v>-0.1459935</v>
      </c>
      <c r="S8766">
        <v>2.9533390000000002</v>
      </c>
      <c r="T8766">
        <v>-0.19563820000000001</v>
      </c>
      <c r="U8766">
        <v>-0.67657469999999997</v>
      </c>
      <c r="V8766">
        <v>0.104392899999999</v>
      </c>
      <c r="W8766">
        <v>8.1485730000000006E-2</v>
      </c>
      <c r="X8766">
        <v>0.99119230000000003</v>
      </c>
      <c r="Y8766">
        <v>0.18186060000000001</v>
      </c>
      <c r="Z8766">
        <v>-3.1992829999999998E-3</v>
      </c>
      <c r="AA8766">
        <v>0.9833191</v>
      </c>
      <c r="AB8766">
        <v>26</v>
      </c>
      <c r="AC8766">
        <v>16.6265</v>
      </c>
      <c r="AD8766">
        <v>-1.11054609013599</v>
      </c>
      <c r="AE8766">
        <v>-3.8348499999999999</v>
      </c>
      <c r="AF8766">
        <v>3.1196687093183901</v>
      </c>
      <c r="AG8766">
        <v>-1.11054609013599</v>
      </c>
      <c r="AH8766">
        <v>16.702191585532798</v>
      </c>
      <c r="AI8766">
        <v>93.739571910700207</v>
      </c>
      <c r="AJ8766">
        <v>79.420091234749293</v>
      </c>
      <c r="AK8766">
        <v>17.027297179354601</v>
      </c>
      <c r="AL8766">
        <v>85.326029294544199</v>
      </c>
      <c r="AM8766">
        <v>83.987742813012105</v>
      </c>
      <c r="AN8766">
        <v>0.99999998867166595</v>
      </c>
    </row>
    <row r="8767" spans="1:40" x14ac:dyDescent="0.25">
      <c r="A8767" t="str">
        <f>"20190312150858543"</f>
        <v>20190312150858543</v>
      </c>
      <c r="B8767" t="str">
        <f>"1552374538538485"</f>
        <v>1552374538538485</v>
      </c>
      <c r="C8767" t="s">
        <v>40</v>
      </c>
      <c r="D8767">
        <v>4.9558400000000002</v>
      </c>
      <c r="E8767">
        <v>0.53021099999999999</v>
      </c>
      <c r="F8767" t="s">
        <v>42</v>
      </c>
      <c r="G8767">
        <v>-324.01459999999997</v>
      </c>
      <c r="H8767" s="1">
        <v>-4.1380540000000002E-6</v>
      </c>
      <c r="I8767">
        <v>12.643319999999999</v>
      </c>
      <c r="J8767">
        <v>-340.60860000000002</v>
      </c>
      <c r="K8767">
        <v>1.110541</v>
      </c>
      <c r="L8767">
        <v>16.484189999999899</v>
      </c>
      <c r="M8767">
        <v>0.99903140000000001</v>
      </c>
      <c r="N8767">
        <v>0</v>
      </c>
      <c r="O8767">
        <v>-4.1978880000000003E-2</v>
      </c>
      <c r="P8767">
        <v>0.986846</v>
      </c>
      <c r="Q8767">
        <v>6.8365919999999997E-2</v>
      </c>
      <c r="R8767">
        <v>-0.14649529999999999</v>
      </c>
      <c r="S8767">
        <v>2.9530029999999998</v>
      </c>
      <c r="T8767">
        <v>-0.1958714</v>
      </c>
      <c r="U8767">
        <v>-0.67852780000000001</v>
      </c>
      <c r="V8767">
        <v>0.10493089999999999</v>
      </c>
      <c r="W8767">
        <v>8.1459119999999996E-2</v>
      </c>
      <c r="X8767">
        <v>0.99113770000000001</v>
      </c>
      <c r="Y8767">
        <v>0.18253349999999999</v>
      </c>
      <c r="Z8767">
        <v>-3.2274109999999999E-3</v>
      </c>
      <c r="AA8767">
        <v>0.98319440000000002</v>
      </c>
      <c r="AB8767">
        <v>26</v>
      </c>
      <c r="AC8767">
        <v>16.594000000000001</v>
      </c>
      <c r="AD8767">
        <v>-1.1105451380539999</v>
      </c>
      <c r="AE8767">
        <v>-3.84086999999999</v>
      </c>
      <c r="AF8767">
        <v>3.1275299608073901</v>
      </c>
      <c r="AG8767">
        <v>-1.1105451380539999</v>
      </c>
      <c r="AH8767">
        <v>16.669753865165799</v>
      </c>
      <c r="AI8767">
        <v>93.746260621998303</v>
      </c>
      <c r="AJ8767">
        <v>79.373866434750695</v>
      </c>
      <c r="AK8767">
        <v>16.996924665498</v>
      </c>
      <c r="AL8767">
        <v>85.327559126101505</v>
      </c>
      <c r="AM8767">
        <v>83.9566562581509</v>
      </c>
      <c r="AN8767">
        <v>1.00000001118363</v>
      </c>
    </row>
    <row r="8768" spans="1:40" x14ac:dyDescent="0.25">
      <c r="A8768" t="str">
        <f>"20190312150858558"</f>
        <v>20190312150858558</v>
      </c>
      <c r="B8768" t="str">
        <f>"1552374538548243"</f>
        <v>1552374538548243</v>
      </c>
      <c r="C8768" t="s">
        <v>40</v>
      </c>
      <c r="D8768">
        <v>4.7996189999999999</v>
      </c>
      <c r="E8768">
        <v>0.53583789999999998</v>
      </c>
      <c r="F8768" t="s">
        <v>42</v>
      </c>
      <c r="G8768">
        <v>-323.86660000000001</v>
      </c>
      <c r="H8768" s="1">
        <v>-4.199057E-6</v>
      </c>
      <c r="I8768">
        <v>12.62757</v>
      </c>
      <c r="J8768">
        <v>-340.43680000000001</v>
      </c>
      <c r="K8768">
        <v>1.1105449999999999</v>
      </c>
      <c r="L8768">
        <v>16.47702</v>
      </c>
      <c r="M8768">
        <v>0.99903319999999995</v>
      </c>
      <c r="N8768">
        <v>0</v>
      </c>
      <c r="O8768">
        <v>-4.1940249999999998E-2</v>
      </c>
      <c r="P8768">
        <v>0.98675829999999998</v>
      </c>
      <c r="Q8768">
        <v>6.832879E-2</v>
      </c>
      <c r="R8768">
        <v>-0.14710290000000001</v>
      </c>
      <c r="S8768">
        <v>2.9525760000000001</v>
      </c>
      <c r="T8768">
        <v>-0.19585320000000001</v>
      </c>
      <c r="U8768">
        <v>-0.68014529999999995</v>
      </c>
      <c r="V8768">
        <v>0.1055799</v>
      </c>
      <c r="W8768">
        <v>8.1418710000000005E-2</v>
      </c>
      <c r="X8768">
        <v>0.99107210000000001</v>
      </c>
      <c r="Y8768">
        <v>0.18311279999999999</v>
      </c>
      <c r="Z8768">
        <v>-3.2488439999999999E-3</v>
      </c>
      <c r="AA8768">
        <v>0.98308649999999997</v>
      </c>
      <c r="AB8768">
        <v>26</v>
      </c>
      <c r="AC8768">
        <v>16.5702</v>
      </c>
      <c r="AD8768">
        <v>-1.110549199057</v>
      </c>
      <c r="AE8768">
        <v>-3.8494499999999898</v>
      </c>
      <c r="AF8768">
        <v>3.1376715627611498</v>
      </c>
      <c r="AG8768">
        <v>-1.110549199057</v>
      </c>
      <c r="AH8768">
        <v>16.646136212082698</v>
      </c>
      <c r="AI8768">
        <v>93.750979576823696</v>
      </c>
      <c r="AJ8768">
        <v>79.325420741863397</v>
      </c>
      <c r="AK8768">
        <v>16.975634101573199</v>
      </c>
      <c r="AL8768">
        <v>85.329882180452898</v>
      </c>
      <c r="AM8768">
        <v>83.919157744932804</v>
      </c>
      <c r="AN8768">
        <v>1.0000000145102399</v>
      </c>
    </row>
    <row r="8769" spans="1:40" x14ac:dyDescent="0.25">
      <c r="A8769" t="str">
        <f>"20190312150858571"</f>
        <v>20190312150858571</v>
      </c>
      <c r="B8769" t="str">
        <f>"1552374538568739"</f>
        <v>1552374538568739</v>
      </c>
      <c r="C8769" t="s">
        <v>40</v>
      </c>
      <c r="D8769">
        <v>4.7898880000000004</v>
      </c>
      <c r="E8769">
        <v>0.53384819999999999</v>
      </c>
      <c r="F8769" t="s">
        <v>42</v>
      </c>
      <c r="G8769">
        <v>-327.3177</v>
      </c>
      <c r="H8769" s="1">
        <v>-2.7098479999999999E-6</v>
      </c>
      <c r="I8769">
        <v>13.24377</v>
      </c>
      <c r="J8769">
        <v>-340.29829999999998</v>
      </c>
      <c r="K8769">
        <v>1.1105449999999999</v>
      </c>
      <c r="L8769">
        <v>16.471250000000001</v>
      </c>
      <c r="M8769">
        <v>0.99903430000000004</v>
      </c>
      <c r="N8769">
        <v>0</v>
      </c>
      <c r="O8769">
        <v>-4.1909120000000001E-2</v>
      </c>
      <c r="P8769">
        <v>0.98670389999999997</v>
      </c>
      <c r="Q8769">
        <v>6.8411689999999997E-2</v>
      </c>
      <c r="R8769">
        <v>-0.147428799999999</v>
      </c>
      <c r="S8769">
        <v>2.9491879999999999</v>
      </c>
      <c r="T8769">
        <v>-0.24965209999999999</v>
      </c>
      <c r="U8769">
        <v>-0.72683719999999996</v>
      </c>
      <c r="V8769">
        <v>0.1059385</v>
      </c>
      <c r="W8769">
        <v>8.149903E-2</v>
      </c>
      <c r="X8769">
        <v>0.9910272</v>
      </c>
      <c r="Y8769">
        <v>0.19786319999999999</v>
      </c>
      <c r="Z8769">
        <v>-4.7526290000000004E-3</v>
      </c>
      <c r="AA8769">
        <v>0.98021809999999998</v>
      </c>
      <c r="AB8769">
        <v>26</v>
      </c>
      <c r="AC8769">
        <v>12.9805999999999</v>
      </c>
      <c r="AD8769">
        <v>-1.1105477098479899</v>
      </c>
      <c r="AE8769">
        <v>-3.2274799999999999</v>
      </c>
      <c r="AF8769">
        <v>2.6622391652549902</v>
      </c>
      <c r="AG8769">
        <v>-1.1105477098479899</v>
      </c>
      <c r="AH8769">
        <v>13.014750343858701</v>
      </c>
      <c r="AI8769">
        <v>94.778748814045201</v>
      </c>
      <c r="AJ8769">
        <v>78.439315062839199</v>
      </c>
      <c r="AK8769">
        <v>13.3305873877274</v>
      </c>
      <c r="AL8769">
        <v>85.325264697675493</v>
      </c>
      <c r="AM8769">
        <v>83.898385464659498</v>
      </c>
      <c r="AN8769">
        <v>0.99999998440651505</v>
      </c>
    </row>
    <row r="8770" spans="1:40" x14ac:dyDescent="0.25">
      <c r="A8770" t="str">
        <f>"20190312150858583"</f>
        <v>20190312150858583</v>
      </c>
      <c r="B8770" t="str">
        <f>"1552374538578499"</f>
        <v>1552374538578499</v>
      </c>
      <c r="C8770" t="s">
        <v>40</v>
      </c>
      <c r="D8770">
        <v>4.7707850000000001</v>
      </c>
      <c r="E8770">
        <v>0.53368070000000001</v>
      </c>
      <c r="F8770" t="s">
        <v>42</v>
      </c>
      <c r="G8770">
        <v>-326.24599999999998</v>
      </c>
      <c r="H8770" s="1">
        <v>-3.1649919999999898E-6</v>
      </c>
      <c r="I8770">
        <v>13.07987</v>
      </c>
      <c r="J8770">
        <v>-340.16140000000001</v>
      </c>
      <c r="K8770">
        <v>1.1105449999999999</v>
      </c>
      <c r="L8770">
        <v>16.46555</v>
      </c>
      <c r="M8770">
        <v>0.99903560000000002</v>
      </c>
      <c r="N8770">
        <v>0</v>
      </c>
      <c r="O8770">
        <v>-4.1878480000000003E-2</v>
      </c>
      <c r="P8770">
        <v>0.98666120000000002</v>
      </c>
      <c r="Q8770">
        <v>6.8477350000000006E-2</v>
      </c>
      <c r="R8770">
        <v>-0.14768419999999999</v>
      </c>
      <c r="S8770">
        <v>2.9502259999999998</v>
      </c>
      <c r="T8770">
        <v>-0.23315449999999999</v>
      </c>
      <c r="U8770">
        <v>-0.71200559999999902</v>
      </c>
      <c r="V8770">
        <v>0.1062259</v>
      </c>
      <c r="W8770">
        <v>8.156273E-2</v>
      </c>
      <c r="X8770">
        <v>0.99099119999999996</v>
      </c>
      <c r="Y8770">
        <v>0.19323979999999999</v>
      </c>
      <c r="Z8770">
        <v>-4.2630690000000004E-3</v>
      </c>
      <c r="AA8770">
        <v>0.98114230000000002</v>
      </c>
      <c r="AB8770">
        <v>26</v>
      </c>
      <c r="AC8770">
        <v>13.9154</v>
      </c>
      <c r="AD8770">
        <v>-1.1105481649919999</v>
      </c>
      <c r="AE8770">
        <v>-3.3856799999999998</v>
      </c>
      <c r="AF8770">
        <v>2.7831669625214501</v>
      </c>
      <c r="AG8770">
        <v>-1.1105481649919999</v>
      </c>
      <c r="AH8770">
        <v>13.9610388215741</v>
      </c>
      <c r="AI8770">
        <v>94.460678701929396</v>
      </c>
      <c r="AJ8770">
        <v>78.725748157941496</v>
      </c>
      <c r="AK8770">
        <v>14.2790034857316</v>
      </c>
      <c r="AL8770">
        <v>85.321602789645198</v>
      </c>
      <c r="AM8770">
        <v>83.881737230925197</v>
      </c>
      <c r="AN8770">
        <v>0.99999998961665104</v>
      </c>
    </row>
    <row r="8771" spans="1:40" x14ac:dyDescent="0.25">
      <c r="A8771" t="str">
        <f>"20190312150858595"</f>
        <v>20190312150858595</v>
      </c>
      <c r="B8771" t="str">
        <f>"1552374538588259"</f>
        <v>1552374538588259</v>
      </c>
      <c r="C8771" t="s">
        <v>40</v>
      </c>
      <c r="D8771">
        <v>4.7691150000000002</v>
      </c>
      <c r="E8771">
        <v>0.53366139999999995</v>
      </c>
      <c r="F8771" t="s">
        <v>42</v>
      </c>
      <c r="G8771">
        <v>-326.15039999999999</v>
      </c>
      <c r="H8771" s="1">
        <v>-3.2000840000000001E-6</v>
      </c>
      <c r="I8771">
        <v>13.08592</v>
      </c>
      <c r="J8771">
        <v>-340.0326</v>
      </c>
      <c r="K8771">
        <v>1.110549</v>
      </c>
      <c r="L8771">
        <v>16.460170000000002</v>
      </c>
      <c r="M8771">
        <v>0.99903690000000001</v>
      </c>
      <c r="N8771">
        <v>0</v>
      </c>
      <c r="O8771">
        <v>-4.1849619999999997E-2</v>
      </c>
      <c r="P8771">
        <v>0.98661259999999995</v>
      </c>
      <c r="Q8771">
        <v>6.8368079999999998E-2</v>
      </c>
      <c r="R8771">
        <v>-0.1480592</v>
      </c>
      <c r="S8771">
        <v>2.950256</v>
      </c>
      <c r="T8771">
        <v>-0.23384530000000001</v>
      </c>
      <c r="U8771">
        <v>-0.71163940000000003</v>
      </c>
      <c r="V8771">
        <v>0.10663160000000001</v>
      </c>
      <c r="W8771">
        <v>8.1451510000000005E-2</v>
      </c>
      <c r="X8771">
        <v>0.99095679999999997</v>
      </c>
      <c r="Y8771">
        <v>0.19314829999999999</v>
      </c>
      <c r="Z8771">
        <v>-4.2743529999999998E-3</v>
      </c>
      <c r="AA8771">
        <v>0.98116029999999999</v>
      </c>
      <c r="AB8771">
        <v>26</v>
      </c>
      <c r="AC8771">
        <v>13.882199999999999</v>
      </c>
      <c r="AD8771">
        <v>-1.110552200084</v>
      </c>
      <c r="AE8771">
        <v>-3.37425</v>
      </c>
      <c r="AF8771">
        <v>2.77351845911635</v>
      </c>
      <c r="AG8771">
        <v>-1.110552200084</v>
      </c>
      <c r="AH8771">
        <v>13.9271017100834</v>
      </c>
      <c r="AI8771">
        <v>94.471697169074204</v>
      </c>
      <c r="AJ8771">
        <v>78.737156095808601</v>
      </c>
      <c r="AK8771">
        <v>14.2439423220954</v>
      </c>
      <c r="AL8771">
        <v>85.327996609368796</v>
      </c>
      <c r="AM8771">
        <v>83.858336914671099</v>
      </c>
      <c r="AN8771">
        <v>1.00000001303304</v>
      </c>
    </row>
    <row r="8772" spans="1:40" x14ac:dyDescent="0.25">
      <c r="A8772" t="str">
        <f>"20190312150858605"</f>
        <v>20190312150858605</v>
      </c>
      <c r="B8772" t="str">
        <f>"1552374538598019"</f>
        <v>1552374538598019</v>
      </c>
      <c r="C8772" t="s">
        <v>40</v>
      </c>
      <c r="D8772">
        <v>4.7858929999999997</v>
      </c>
      <c r="E8772">
        <v>0.53376659999999998</v>
      </c>
      <c r="F8772" t="s">
        <v>42</v>
      </c>
      <c r="G8772">
        <v>-326.22280000000001</v>
      </c>
      <c r="H8772" s="1">
        <v>-3.162469E-6</v>
      </c>
      <c r="I8772">
        <v>13.122809999999999</v>
      </c>
      <c r="J8772">
        <v>-339.9085</v>
      </c>
      <c r="K8772">
        <v>1.1105480000000001</v>
      </c>
      <c r="L8772">
        <v>16.454989999999999</v>
      </c>
      <c r="M8772">
        <v>0.99903819999999999</v>
      </c>
      <c r="N8772">
        <v>0</v>
      </c>
      <c r="O8772">
        <v>-4.182172E-2</v>
      </c>
      <c r="P8772">
        <v>0.98661770000000004</v>
      </c>
      <c r="Q8772">
        <v>6.8380209999999997E-2</v>
      </c>
      <c r="R8772">
        <v>-0.14802170000000001</v>
      </c>
      <c r="S8772">
        <v>2.9501339999999998</v>
      </c>
      <c r="T8772">
        <v>-0.23724400000000001</v>
      </c>
      <c r="U8772">
        <v>-0.71295169999999997</v>
      </c>
      <c r="V8772">
        <v>0.1066212</v>
      </c>
      <c r="W8772">
        <v>8.1461969999999995E-2</v>
      </c>
      <c r="X8772">
        <v>0.99095699999999998</v>
      </c>
      <c r="Y8772">
        <v>0.1935829</v>
      </c>
      <c r="Z8772">
        <v>-4.3556460000000003E-3</v>
      </c>
      <c r="AA8772">
        <v>0.98107429999999995</v>
      </c>
      <c r="AB8772">
        <v>26</v>
      </c>
      <c r="AC8772">
        <v>13.685699999999899</v>
      </c>
      <c r="AD8772">
        <v>-1.1105511624690001</v>
      </c>
      <c r="AE8772">
        <v>-3.3321799999999899</v>
      </c>
      <c r="AF8772">
        <v>2.7398233805379602</v>
      </c>
      <c r="AG8772">
        <v>-1.1105511624690001</v>
      </c>
      <c r="AH8772">
        <v>13.7277579765728</v>
      </c>
      <c r="AI8772">
        <v>94.535979551482001</v>
      </c>
      <c r="AJ8772">
        <v>78.713057781619696</v>
      </c>
      <c r="AK8772">
        <v>14.0424818000367</v>
      </c>
      <c r="AL8772">
        <v>85.327395022465097</v>
      </c>
      <c r="AM8772">
        <v>83.858932576413906</v>
      </c>
      <c r="AN8772">
        <v>0.999999954347359</v>
      </c>
    </row>
    <row r="8773" spans="1:40" x14ac:dyDescent="0.25">
      <c r="A8773" t="str">
        <f>"20190312150858617"</f>
        <v>20190312150858617</v>
      </c>
      <c r="B8773" t="str">
        <f>"1552374538608755"</f>
        <v>1552374538608755</v>
      </c>
      <c r="C8773" t="s">
        <v>40</v>
      </c>
      <c r="D8773">
        <v>4.8422939999999999</v>
      </c>
      <c r="E8773">
        <v>0.53317049999999999</v>
      </c>
      <c r="F8773" t="s">
        <v>42</v>
      </c>
      <c r="G8773">
        <v>-326.10660000000001</v>
      </c>
      <c r="H8773" s="1">
        <v>-3.2088460000000001E-6</v>
      </c>
      <c r="I8773">
        <v>13.116199999999999</v>
      </c>
      <c r="J8773">
        <v>-339.76979999999998</v>
      </c>
      <c r="K8773">
        <v>1.110549</v>
      </c>
      <c r="L8773">
        <v>16.449249999999999</v>
      </c>
      <c r="M8773">
        <v>0.99903949999999997</v>
      </c>
      <c r="N8773">
        <v>0</v>
      </c>
      <c r="O8773">
        <v>-4.1790599999999997E-2</v>
      </c>
      <c r="P8773">
        <v>0.98659450000000004</v>
      </c>
      <c r="Q8773">
        <v>6.8465849999999995E-2</v>
      </c>
      <c r="R8773">
        <v>-0.1481353</v>
      </c>
      <c r="S8773">
        <v>2.9501040000000001</v>
      </c>
      <c r="T8773">
        <v>-0.23737649999999999</v>
      </c>
      <c r="U8773">
        <v>-0.7136536</v>
      </c>
      <c r="V8773">
        <v>0.1067668</v>
      </c>
      <c r="W8773">
        <v>8.1546080000000007E-2</v>
      </c>
      <c r="X8773">
        <v>0.99093439999999999</v>
      </c>
      <c r="Y8773">
        <v>0.1938349</v>
      </c>
      <c r="Z8773">
        <v>-4.3704360000000001E-3</v>
      </c>
      <c r="AA8773">
        <v>0.98102440000000002</v>
      </c>
      <c r="AB8773">
        <v>26</v>
      </c>
      <c r="AC8773">
        <v>13.6631999999999</v>
      </c>
      <c r="AD8773">
        <v>-1.110552208846</v>
      </c>
      <c r="AE8773">
        <v>-3.3330500000000001</v>
      </c>
      <c r="AF8773">
        <v>2.7419971905786298</v>
      </c>
      <c r="AG8773">
        <v>-1.110552208846</v>
      </c>
      <c r="AH8773">
        <v>13.7051062120116</v>
      </c>
      <c r="AI8773">
        <v>94.543024845415999</v>
      </c>
      <c r="AJ8773">
        <v>78.686144441174406</v>
      </c>
      <c r="AK8773">
        <v>14.0207635699427</v>
      </c>
      <c r="AL8773">
        <v>85.322559762039404</v>
      </c>
      <c r="AM8773">
        <v>83.850471480743906</v>
      </c>
      <c r="AN8773">
        <v>0.99999994892448096</v>
      </c>
    </row>
    <row r="8774" spans="1:40" x14ac:dyDescent="0.25">
      <c r="A8774" t="str">
        <f>"20190312150858627"</f>
        <v>20190312150858627</v>
      </c>
      <c r="B8774" t="str">
        <f>"1552374538618515"</f>
        <v>1552374538618515</v>
      </c>
      <c r="C8774" t="s">
        <v>40</v>
      </c>
      <c r="D8774">
        <v>5.1027559999999896</v>
      </c>
      <c r="E8774">
        <v>0.53301219999999905</v>
      </c>
      <c r="F8774" t="s">
        <v>42</v>
      </c>
      <c r="G8774">
        <v>-326.45409999999998</v>
      </c>
      <c r="H8774" s="1">
        <v>-3.04044E-6</v>
      </c>
      <c r="I8774">
        <v>13.24766</v>
      </c>
      <c r="J8774">
        <v>-339.66309999999999</v>
      </c>
      <c r="K8774">
        <v>1.110552</v>
      </c>
      <c r="L8774">
        <v>16.44482</v>
      </c>
      <c r="M8774">
        <v>0.9990405</v>
      </c>
      <c r="N8774">
        <v>0</v>
      </c>
      <c r="O8774">
        <v>-4.176639E-2</v>
      </c>
      <c r="P8774">
        <v>0.9866045</v>
      </c>
      <c r="Q8774">
        <v>6.8306679999999995E-2</v>
      </c>
      <c r="R8774">
        <v>-0.14814179999999999</v>
      </c>
      <c r="S8774">
        <v>2.951263</v>
      </c>
      <c r="T8774">
        <v>-0.24614059999999999</v>
      </c>
      <c r="U8774">
        <v>-0.70959469999999902</v>
      </c>
      <c r="V8774">
        <v>0.1067969</v>
      </c>
      <c r="W8774">
        <v>8.1385460000000007E-2</v>
      </c>
      <c r="X8774">
        <v>0.99094439999999995</v>
      </c>
      <c r="Y8774">
        <v>0.1924652</v>
      </c>
      <c r="Z8774">
        <v>-4.4759939999999996E-3</v>
      </c>
      <c r="AA8774">
        <v>0.98129359999999999</v>
      </c>
      <c r="AB8774">
        <v>26</v>
      </c>
      <c r="AC8774">
        <v>13.209</v>
      </c>
      <c r="AD8774">
        <v>-1.11055504044</v>
      </c>
      <c r="AE8774">
        <v>-3.1971599999999998</v>
      </c>
      <c r="AF8774">
        <v>2.6251004038756802</v>
      </c>
      <c r="AG8774">
        <v>-1.11055504044</v>
      </c>
      <c r="AH8774">
        <v>13.242589797749099</v>
      </c>
      <c r="AI8774">
        <v>94.702658581601895</v>
      </c>
      <c r="AJ8774">
        <v>78.787522772355601</v>
      </c>
      <c r="AK8774">
        <v>13.545872772904801</v>
      </c>
      <c r="AL8774">
        <v>85.331793481724404</v>
      </c>
      <c r="AM8774">
        <v>83.848812676153401</v>
      </c>
      <c r="AN8774">
        <v>0.99999998742019003</v>
      </c>
    </row>
    <row r="8775" spans="1:40" x14ac:dyDescent="0.25">
      <c r="A8775" t="str">
        <f>"20190312150858637"</f>
        <v>20190312150858637</v>
      </c>
      <c r="B8775" t="str">
        <f>"1552374538628275"</f>
        <v>1552374538628275</v>
      </c>
      <c r="C8775" t="s">
        <v>40</v>
      </c>
      <c r="D8775">
        <v>4.7667570000000001</v>
      </c>
      <c r="E8775">
        <v>0.53293740000000001</v>
      </c>
      <c r="F8775" t="s">
        <v>42</v>
      </c>
      <c r="G8775">
        <v>-326.03399999999999</v>
      </c>
      <c r="H8775" s="1">
        <v>-3.2215509999999999E-6</v>
      </c>
      <c r="I8775">
        <v>13.173329999999901</v>
      </c>
      <c r="J8775">
        <v>-339.55070000000001</v>
      </c>
      <c r="K8775">
        <v>1.1105510000000001</v>
      </c>
      <c r="L8775">
        <v>16.440159999999999</v>
      </c>
      <c r="M8775">
        <v>0.99904159999999997</v>
      </c>
      <c r="N8775">
        <v>0</v>
      </c>
      <c r="O8775">
        <v>-4.1741109999999998E-2</v>
      </c>
      <c r="P8775">
        <v>0.98656429999999995</v>
      </c>
      <c r="Q8775">
        <v>6.8329600000000004E-2</v>
      </c>
      <c r="R8775">
        <v>-0.14839749999999999</v>
      </c>
      <c r="S8775">
        <v>2.9509889999999999</v>
      </c>
      <c r="T8775">
        <v>-0.24045710000000001</v>
      </c>
      <c r="U8775">
        <v>-0.70834350000000001</v>
      </c>
      <c r="V8775">
        <v>0.1070793</v>
      </c>
      <c r="W8775">
        <v>8.1406829999999999E-2</v>
      </c>
      <c r="X8775">
        <v>0.99091220000000002</v>
      </c>
      <c r="Y8775">
        <v>0.1921407</v>
      </c>
      <c r="Z8775">
        <v>-4.3625790000000001E-3</v>
      </c>
      <c r="AA8775">
        <v>0.9813577</v>
      </c>
      <c r="AB8775">
        <v>26</v>
      </c>
      <c r="AC8775">
        <v>13.5167</v>
      </c>
      <c r="AD8775">
        <v>-1.110554221551</v>
      </c>
      <c r="AE8775">
        <v>-3.2668300000000001</v>
      </c>
      <c r="AF8775">
        <v>2.6826216061781398</v>
      </c>
      <c r="AG8775">
        <v>-1.110554221551</v>
      </c>
      <c r="AH8775">
        <v>13.554838120298101</v>
      </c>
      <c r="AI8775">
        <v>94.595075914030303</v>
      </c>
      <c r="AJ8775">
        <v>78.8053228823523</v>
      </c>
      <c r="AK8775">
        <v>13.862302327839499</v>
      </c>
      <c r="AL8775">
        <v>85.330565139006197</v>
      </c>
      <c r="AM8775">
        <v>83.832473586393903</v>
      </c>
      <c r="AN8775">
        <v>1.0000000182839801</v>
      </c>
    </row>
    <row r="8776" spans="1:40" x14ac:dyDescent="0.25">
      <c r="A8776" t="str">
        <f>"20190312150858649"</f>
        <v>20190312150858649</v>
      </c>
      <c r="B8776" t="str">
        <f>"1552374538638035"</f>
        <v>1552374538638035</v>
      </c>
      <c r="C8776" t="s">
        <v>40</v>
      </c>
      <c r="D8776">
        <v>4.7429579999999998</v>
      </c>
      <c r="E8776">
        <v>0.53301759999999998</v>
      </c>
      <c r="F8776" t="s">
        <v>42</v>
      </c>
      <c r="G8776">
        <v>-325.66590000000002</v>
      </c>
      <c r="H8776" s="1">
        <v>-3.380512E-6</v>
      </c>
      <c r="I8776">
        <v>13.107049999999999</v>
      </c>
      <c r="J8776">
        <v>-339.41309999999999</v>
      </c>
      <c r="K8776">
        <v>1.1105510000000001</v>
      </c>
      <c r="L8776">
        <v>16.434419999999999</v>
      </c>
      <c r="M8776">
        <v>0.99904289999999996</v>
      </c>
      <c r="N8776">
        <v>0</v>
      </c>
      <c r="O8776">
        <v>-4.1710230000000001E-2</v>
      </c>
      <c r="P8776">
        <v>0.98655060000000006</v>
      </c>
      <c r="Q8776">
        <v>6.8227360000000001E-2</v>
      </c>
      <c r="R8776">
        <v>-0.14853829999999901</v>
      </c>
      <c r="S8776">
        <v>2.9506230000000002</v>
      </c>
      <c r="T8776">
        <v>-0.2360023</v>
      </c>
      <c r="U8776">
        <v>-0.70831299999999997</v>
      </c>
      <c r="V8776">
        <v>0.1072511</v>
      </c>
      <c r="W8776">
        <v>8.1302749999999993E-2</v>
      </c>
      <c r="X8776">
        <v>0.99090210000000001</v>
      </c>
      <c r="Y8776">
        <v>0.19220590000000001</v>
      </c>
      <c r="Z8776">
        <v>-4.2875209999999999E-3</v>
      </c>
      <c r="AA8776">
        <v>0.98134520000000003</v>
      </c>
      <c r="AB8776">
        <v>26</v>
      </c>
      <c r="AC8776">
        <v>13.7471999999999</v>
      </c>
      <c r="AD8776">
        <v>-1.110554380512</v>
      </c>
      <c r="AE8776">
        <v>-3.3273700000000002</v>
      </c>
      <c r="AF8776">
        <v>2.73416933403609</v>
      </c>
      <c r="AG8776">
        <v>-1.110554380512</v>
      </c>
      <c r="AH8776">
        <v>13.7890238587085</v>
      </c>
      <c r="AI8776">
        <v>94.517038525311804</v>
      </c>
      <c r="AJ8776">
        <v>78.784530628669899</v>
      </c>
      <c r="AK8776">
        <v>14.1012833442666</v>
      </c>
      <c r="AL8776">
        <v>85.336548014770301</v>
      </c>
      <c r="AM8776">
        <v>83.822592260103704</v>
      </c>
      <c r="AN8776">
        <v>0.99999995369659</v>
      </c>
    </row>
    <row r="8777" spans="1:40" x14ac:dyDescent="0.25">
      <c r="A8777" t="str">
        <f>"20190312150858659"</f>
        <v>20190312150858659</v>
      </c>
      <c r="B8777" t="str">
        <f>"1552374538648771"</f>
        <v>1552374538648771</v>
      </c>
      <c r="C8777" t="s">
        <v>40</v>
      </c>
      <c r="D8777">
        <v>4.7686919999999997</v>
      </c>
      <c r="E8777">
        <v>0.53317429999999999</v>
      </c>
      <c r="F8777" t="s">
        <v>42</v>
      </c>
      <c r="G8777">
        <v>-325.27870000000001</v>
      </c>
      <c r="H8777" s="1">
        <v>-3.5479060000000001E-6</v>
      </c>
      <c r="I8777">
        <v>13.03678</v>
      </c>
      <c r="J8777">
        <v>-339.29020000000003</v>
      </c>
      <c r="K8777">
        <v>1.1105480000000001</v>
      </c>
      <c r="L8777">
        <v>16.429320000000001</v>
      </c>
      <c r="M8777">
        <v>0.99904400000000004</v>
      </c>
      <c r="N8777">
        <v>0</v>
      </c>
      <c r="O8777">
        <v>-4.1682329999999997E-2</v>
      </c>
      <c r="P8777">
        <v>0.98655179999999998</v>
      </c>
      <c r="Q8777">
        <v>6.804615E-2</v>
      </c>
      <c r="R8777">
        <v>-0.148611299999999</v>
      </c>
      <c r="S8777">
        <v>2.9501650000000001</v>
      </c>
      <c r="T8777">
        <v>-0.2317988</v>
      </c>
      <c r="U8777">
        <v>-0.70916749999999995</v>
      </c>
      <c r="V8777">
        <v>0.10735169999999999</v>
      </c>
      <c r="W8777">
        <v>8.112026E-2</v>
      </c>
      <c r="X8777">
        <v>0.99090619999999996</v>
      </c>
      <c r="Y8777">
        <v>0.19255140000000001</v>
      </c>
      <c r="Z8777">
        <v>-4.227392E-3</v>
      </c>
      <c r="AA8777">
        <v>0.98127779999999998</v>
      </c>
      <c r="AB8777">
        <v>25</v>
      </c>
      <c r="AC8777">
        <v>14.0115</v>
      </c>
      <c r="AD8777">
        <v>-1.110551547906</v>
      </c>
      <c r="AE8777">
        <v>-3.3925399999999999</v>
      </c>
      <c r="AF8777">
        <v>2.7889580049509202</v>
      </c>
      <c r="AG8777">
        <v>-1.110551547906</v>
      </c>
      <c r="AH8777">
        <v>14.057322213236301</v>
      </c>
      <c r="AI8777">
        <v>94.431066454991694</v>
      </c>
      <c r="AJ8777">
        <v>78.778299673120799</v>
      </c>
      <c r="AK8777">
        <v>14.3742797837207</v>
      </c>
      <c r="AL8777">
        <v>85.347038745801299</v>
      </c>
      <c r="AM8777">
        <v>83.816868186813807</v>
      </c>
      <c r="AN8777">
        <v>0.99999999063689804</v>
      </c>
    </row>
    <row r="8778" spans="1:40" x14ac:dyDescent="0.25">
      <c r="A8778" t="str">
        <f>"20190312150858671"</f>
        <v>20190312150858671</v>
      </c>
      <c r="B8778" t="str">
        <f>"1552374538658531"</f>
        <v>1552374538658531</v>
      </c>
      <c r="C8778" t="s">
        <v>40</v>
      </c>
      <c r="D8778">
        <v>4.7428330000000001</v>
      </c>
      <c r="E8778">
        <v>0.53338009999999902</v>
      </c>
      <c r="F8778" t="s">
        <v>42</v>
      </c>
      <c r="G8778">
        <v>-325.32119999999998</v>
      </c>
      <c r="H8778" s="1">
        <v>-3.524313E-6</v>
      </c>
      <c r="I8778">
        <v>13.064159999999999</v>
      </c>
      <c r="J8778">
        <v>-339.16669999999999</v>
      </c>
      <c r="K8778">
        <v>1.1105480000000001</v>
      </c>
      <c r="L8778">
        <v>16.424189999999999</v>
      </c>
      <c r="M8778">
        <v>0.99904530000000002</v>
      </c>
      <c r="N8778">
        <v>0</v>
      </c>
      <c r="O8778">
        <v>-4.1654419999999998E-2</v>
      </c>
      <c r="P8778">
        <v>0.98657870000000003</v>
      </c>
      <c r="Q8778">
        <v>6.7853060000000007E-2</v>
      </c>
      <c r="R8778">
        <v>-0.1485234</v>
      </c>
      <c r="S8778">
        <v>2.9500120000000001</v>
      </c>
      <c r="T8778">
        <v>-0.23452880000000001</v>
      </c>
      <c r="U8778">
        <v>-0.71066280000000004</v>
      </c>
      <c r="V8778">
        <v>0.10729030000000001</v>
      </c>
      <c r="W8778">
        <v>8.0925880000000006E-2</v>
      </c>
      <c r="X8778">
        <v>0.99092880000000005</v>
      </c>
      <c r="Y8778">
        <v>0.19304850000000001</v>
      </c>
      <c r="Z8778">
        <v>-4.2986370000000001E-3</v>
      </c>
      <c r="AA8778">
        <v>0.98117980000000005</v>
      </c>
      <c r="AB8778">
        <v>25</v>
      </c>
      <c r="AC8778">
        <v>13.845499999999999</v>
      </c>
      <c r="AD8778">
        <v>-1.110551524313</v>
      </c>
      <c r="AE8778">
        <v>-3.3600299999999899</v>
      </c>
      <c r="AF8778">
        <v>2.7635460508398202</v>
      </c>
      <c r="AG8778">
        <v>-1.110551524313</v>
      </c>
      <c r="AH8778">
        <v>13.889065320576201</v>
      </c>
      <c r="AI8778">
        <v>94.4840383100466</v>
      </c>
      <c r="AJ8778">
        <v>78.746669945528296</v>
      </c>
      <c r="AK8778">
        <v>14.2048106971723</v>
      </c>
      <c r="AL8778">
        <v>85.358212897102803</v>
      </c>
      <c r="AM8778">
        <v>83.820517118288507</v>
      </c>
      <c r="AN8778">
        <v>1.00000004659865</v>
      </c>
    </row>
    <row r="8779" spans="1:40" x14ac:dyDescent="0.25">
      <c r="A8779" t="str">
        <f>"20190312150858683"</f>
        <v>20190312150858683</v>
      </c>
      <c r="B8779" t="str">
        <f>"1552374538678051"</f>
        <v>1552374538678051</v>
      </c>
      <c r="C8779" t="s">
        <v>40</v>
      </c>
      <c r="D8779">
        <v>4.7448959999999998</v>
      </c>
      <c r="E8779">
        <v>0.53362049999999905</v>
      </c>
      <c r="F8779" t="s">
        <v>42</v>
      </c>
      <c r="G8779">
        <v>-325.30650000000003</v>
      </c>
      <c r="H8779" s="1">
        <v>-3.5262619999999998E-6</v>
      </c>
      <c r="I8779">
        <v>13.077959999999999</v>
      </c>
      <c r="J8779">
        <v>-339.01220000000001</v>
      </c>
      <c r="K8779">
        <v>1.110547</v>
      </c>
      <c r="L8779">
        <v>16.417819999999999</v>
      </c>
      <c r="M8779">
        <v>0.99904680000000001</v>
      </c>
      <c r="N8779">
        <v>0</v>
      </c>
      <c r="O8779">
        <v>-4.16196E-2</v>
      </c>
      <c r="P8779">
        <v>0.98660870000000001</v>
      </c>
      <c r="Q8779">
        <v>6.7981780000000006E-2</v>
      </c>
      <c r="R8779">
        <v>-0.14826429999999999</v>
      </c>
      <c r="S8779">
        <v>2.9498899999999999</v>
      </c>
      <c r="T8779">
        <v>-0.23636219999999999</v>
      </c>
      <c r="U8779">
        <v>-0.71218870000000001</v>
      </c>
      <c r="V8779">
        <v>0.1070649</v>
      </c>
      <c r="W8779">
        <v>8.1052769999999996E-2</v>
      </c>
      <c r="X8779">
        <v>0.99094280000000001</v>
      </c>
      <c r="Y8779">
        <v>0.19356290000000001</v>
      </c>
      <c r="Z8779">
        <v>-4.3550869999999997E-3</v>
      </c>
      <c r="AA8779">
        <v>0.98107820000000001</v>
      </c>
      <c r="AB8779">
        <v>25</v>
      </c>
      <c r="AC8779">
        <v>13.705699999999901</v>
      </c>
      <c r="AD8779">
        <v>-1.1105505262619999</v>
      </c>
      <c r="AE8779">
        <v>-3.3398599999999998</v>
      </c>
      <c r="AF8779">
        <v>2.7494505006453598</v>
      </c>
      <c r="AG8779">
        <v>-1.1105505262619999</v>
      </c>
      <c r="AH8779">
        <v>13.7476360549551</v>
      </c>
      <c r="AI8779">
        <v>94.5290888343266</v>
      </c>
      <c r="AJ8779">
        <v>78.690374934338706</v>
      </c>
      <c r="AK8779">
        <v>14.0637938560824</v>
      </c>
      <c r="AL8779">
        <v>85.350918636979102</v>
      </c>
      <c r="AM8779">
        <v>83.833485561791804</v>
      </c>
      <c r="AN8779">
        <v>1.00000003860426</v>
      </c>
    </row>
    <row r="8780" spans="1:40" x14ac:dyDescent="0.25">
      <c r="A8780" t="str">
        <f>"20190312150858705"</f>
        <v>20190312150858705</v>
      </c>
      <c r="B8780" t="str">
        <f>"1552374538698546"</f>
        <v>1552374538698546</v>
      </c>
      <c r="C8780" t="s">
        <v>40</v>
      </c>
      <c r="D8780">
        <v>4.7535930000000004</v>
      </c>
      <c r="E8780">
        <v>0.53382209999999997</v>
      </c>
      <c r="F8780" t="s">
        <v>42</v>
      </c>
      <c r="G8780">
        <v>-325.20600000000002</v>
      </c>
      <c r="H8780" s="1">
        <v>-3.5645840000000001E-6</v>
      </c>
      <c r="I8780">
        <v>13.079129999999999</v>
      </c>
      <c r="J8780">
        <v>-338.7758</v>
      </c>
      <c r="K8780">
        <v>1.110547</v>
      </c>
      <c r="L8780">
        <v>16.40802</v>
      </c>
      <c r="M8780">
        <v>0.99904899999999996</v>
      </c>
      <c r="N8780">
        <v>0</v>
      </c>
      <c r="O8780">
        <v>-4.1565940000000003E-2</v>
      </c>
      <c r="P8780">
        <v>0.98660320000000001</v>
      </c>
      <c r="Q8780">
        <v>6.7898199999999895E-2</v>
      </c>
      <c r="R8780">
        <v>-0.14833869999999999</v>
      </c>
      <c r="S8780">
        <v>2.9498600000000001</v>
      </c>
      <c r="T8780">
        <v>-0.23728160000000001</v>
      </c>
      <c r="U8780">
        <v>-0.71334839999999999</v>
      </c>
      <c r="V8780">
        <v>0.1071927</v>
      </c>
      <c r="W8780">
        <v>8.0966270000000007E-2</v>
      </c>
      <c r="X8780">
        <v>0.99093600000000004</v>
      </c>
      <c r="Y8780">
        <v>0.19397739999999999</v>
      </c>
      <c r="Z8780">
        <v>-4.3924669999999997E-3</v>
      </c>
      <c r="AA8780">
        <v>0.98099619999999998</v>
      </c>
      <c r="AB8780">
        <v>25</v>
      </c>
      <c r="AC8780">
        <v>13.569800000000001</v>
      </c>
      <c r="AD8780">
        <v>-1.1105505645839999</v>
      </c>
      <c r="AE8780">
        <v>-3.3288899999999901</v>
      </c>
      <c r="AF8780">
        <v>2.7445830577077799</v>
      </c>
      <c r="AG8780">
        <v>-1.1105505645839999</v>
      </c>
      <c r="AH8780">
        <v>13.610465783979</v>
      </c>
      <c r="AI8780">
        <v>94.573084055899301</v>
      </c>
      <c r="AJ8780">
        <v>78.599062474748393</v>
      </c>
      <c r="AK8780">
        <v>13.928777317985199</v>
      </c>
      <c r="AL8780">
        <v>85.355890810094095</v>
      </c>
      <c r="AM8780">
        <v>83.826139559603405</v>
      </c>
      <c r="AN8780">
        <v>0.99999998395350098</v>
      </c>
    </row>
    <row r="8781" spans="1:40" x14ac:dyDescent="0.25">
      <c r="A8781" t="str">
        <f>"20190312150858717"</f>
        <v>20190312150858717</v>
      </c>
      <c r="B8781" t="str">
        <f>"1552374538708307"</f>
        <v>1552374538708307</v>
      </c>
      <c r="C8781" t="s">
        <v>40</v>
      </c>
      <c r="D8781">
        <v>5.632504</v>
      </c>
      <c r="E8781">
        <v>0.53391820000000001</v>
      </c>
      <c r="F8781" t="s">
        <v>42</v>
      </c>
      <c r="G8781">
        <v>-325.06079999999997</v>
      </c>
      <c r="H8781" s="1">
        <v>-3.6193849999999998E-6</v>
      </c>
      <c r="I8781">
        <v>13.08263</v>
      </c>
      <c r="J8781">
        <v>-338.63420000000002</v>
      </c>
      <c r="K8781">
        <v>1.11054599999999</v>
      </c>
      <c r="L8781">
        <v>16.402159999999999</v>
      </c>
      <c r="M8781">
        <v>0.99905029999999995</v>
      </c>
      <c r="N8781">
        <v>0</v>
      </c>
      <c r="O8781">
        <v>-4.153399E-2</v>
      </c>
      <c r="P8781">
        <v>0.98659319999999895</v>
      </c>
      <c r="Q8781">
        <v>6.7708000000000004E-2</v>
      </c>
      <c r="R8781">
        <v>-0.14849200000000001</v>
      </c>
      <c r="S8781">
        <v>2.949646</v>
      </c>
      <c r="T8781">
        <v>-0.23884250000000001</v>
      </c>
      <c r="U8781">
        <v>-0.71517940000000002</v>
      </c>
      <c r="V8781">
        <v>0.1073779</v>
      </c>
      <c r="W8781">
        <v>8.0774260000000001E-2</v>
      </c>
      <c r="X8781">
        <v>0.99093160000000002</v>
      </c>
      <c r="Y8781">
        <v>0.19459209999999999</v>
      </c>
      <c r="Z8781">
        <v>-4.4483099999999996E-3</v>
      </c>
      <c r="AA8781">
        <v>0.98087420000000003</v>
      </c>
      <c r="AB8781">
        <v>25</v>
      </c>
      <c r="AC8781">
        <v>13.573399999999999</v>
      </c>
      <c r="AD8781">
        <v>-1.11054961938499</v>
      </c>
      <c r="AE8781">
        <v>-3.3195299999999999</v>
      </c>
      <c r="AF8781">
        <v>2.7355796506702799</v>
      </c>
      <c r="AG8781">
        <v>-1.11054961938499</v>
      </c>
      <c r="AH8781">
        <v>13.6135816464254</v>
      </c>
      <c r="AI8781">
        <v>94.572661119592198</v>
      </c>
      <c r="AJ8781">
        <v>78.638021091177393</v>
      </c>
      <c r="AK8781">
        <v>13.9300510309966</v>
      </c>
      <c r="AL8781">
        <v>85.366928237634198</v>
      </c>
      <c r="AM8781">
        <v>83.815528138132393</v>
      </c>
      <c r="AN8781">
        <v>0.99999996518275802</v>
      </c>
    </row>
    <row r="8782" spans="1:40" x14ac:dyDescent="0.25">
      <c r="A8782" t="str">
        <f>"20190312150858727"</f>
        <v>20190312150858727</v>
      </c>
      <c r="B8782" t="str">
        <f>"1552374538718067"</f>
        <v>1552374538718067</v>
      </c>
      <c r="C8782" t="s">
        <v>40</v>
      </c>
      <c r="D8782">
        <v>4.7401030000000004</v>
      </c>
      <c r="E8782">
        <v>0.53393210000000002</v>
      </c>
      <c r="F8782" t="s">
        <v>42</v>
      </c>
      <c r="G8782">
        <v>-324.81439999999998</v>
      </c>
      <c r="H8782" s="1">
        <v>-3.7238529999999998E-6</v>
      </c>
      <c r="I8782">
        <v>13.04561</v>
      </c>
      <c r="J8782">
        <v>-338.51049999999998</v>
      </c>
      <c r="K8782">
        <v>1.11054599999999</v>
      </c>
      <c r="L8782">
        <v>16.39706</v>
      </c>
      <c r="M8782">
        <v>0.99905149999999998</v>
      </c>
      <c r="N8782">
        <v>0</v>
      </c>
      <c r="O8782">
        <v>-4.1505840000000002E-2</v>
      </c>
      <c r="P8782">
        <v>0.98658029999999997</v>
      </c>
      <c r="Q8782">
        <v>6.781102E-2</v>
      </c>
      <c r="R8782">
        <v>-0.14852979999999999</v>
      </c>
      <c r="S8782">
        <v>2.9492189999999998</v>
      </c>
      <c r="T8782">
        <v>-0.23699790000000001</v>
      </c>
      <c r="U8782">
        <v>-0.71630859999999996</v>
      </c>
      <c r="V8782">
        <v>0.1074444</v>
      </c>
      <c r="W8782">
        <v>8.0875489999999994E-2</v>
      </c>
      <c r="X8782">
        <v>0.99091620000000002</v>
      </c>
      <c r="Y8782">
        <v>0.19501270000000001</v>
      </c>
      <c r="Z8782">
        <v>-4.4333430000000002E-3</v>
      </c>
      <c r="AA8782">
        <v>0.98079070000000002</v>
      </c>
      <c r="AB8782">
        <v>25</v>
      </c>
      <c r="AC8782">
        <v>13.696099999999999</v>
      </c>
      <c r="AD8782">
        <v>-1.11054972385299</v>
      </c>
      <c r="AE8782">
        <v>-3.3514499999999998</v>
      </c>
      <c r="AF8782">
        <v>2.7629047507431399</v>
      </c>
      <c r="AG8782">
        <v>-1.11054972385299</v>
      </c>
      <c r="AH8782">
        <v>13.738189547429601</v>
      </c>
      <c r="AI8782">
        <v>94.531215115521704</v>
      </c>
      <c r="AJ8782">
        <v>78.628858423369294</v>
      </c>
      <c r="AK8782">
        <v>14.0571979922008</v>
      </c>
      <c r="AL8782">
        <v>85.361109447390803</v>
      </c>
      <c r="AM8782">
        <v>83.811632325452607</v>
      </c>
      <c r="AN8782">
        <v>1.0000000296982601</v>
      </c>
    </row>
    <row r="8783" spans="1:40" x14ac:dyDescent="0.25">
      <c r="A8783" t="str">
        <f>"20190312150858738"</f>
        <v>20190312150858738</v>
      </c>
      <c r="B8783" t="str">
        <f>"1552374538728803"</f>
        <v>1552374538728803</v>
      </c>
      <c r="C8783" t="s">
        <v>40</v>
      </c>
      <c r="D8783">
        <v>4.7549169999999998</v>
      </c>
      <c r="E8783">
        <v>0.53400249999999905</v>
      </c>
      <c r="F8783" t="s">
        <v>42</v>
      </c>
      <c r="G8783">
        <v>-324.57080000000002</v>
      </c>
      <c r="H8783" s="1">
        <v>-3.8270489999999998E-6</v>
      </c>
      <c r="I8783">
        <v>13.00934</v>
      </c>
      <c r="J8783">
        <v>-338.39569999999998</v>
      </c>
      <c r="K8783">
        <v>1.1105449999999999</v>
      </c>
      <c r="L8783">
        <v>16.392299999999999</v>
      </c>
      <c r="M8783">
        <v>0.99905270000000002</v>
      </c>
      <c r="N8783">
        <v>0</v>
      </c>
      <c r="O8783">
        <v>-4.1480089999999997E-2</v>
      </c>
      <c r="P8783">
        <v>0.98657839999999997</v>
      </c>
      <c r="Q8783">
        <v>6.7729529999999996E-2</v>
      </c>
      <c r="R8783">
        <v>-0.14857999999999999</v>
      </c>
      <c r="S8783">
        <v>2.9490660000000002</v>
      </c>
      <c r="T8783">
        <v>-0.23494719999999999</v>
      </c>
      <c r="U8783">
        <v>-0.71670529999999999</v>
      </c>
      <c r="V8783">
        <v>0.1075202</v>
      </c>
      <c r="W8783">
        <v>8.0792779999999995E-2</v>
      </c>
      <c r="X8783">
        <v>0.99091470000000004</v>
      </c>
      <c r="Y8783">
        <v>0.19518160000000001</v>
      </c>
      <c r="Z8783">
        <v>-4.4038899999999997E-3</v>
      </c>
      <c r="AA8783">
        <v>0.9807572</v>
      </c>
      <c r="AB8783">
        <v>25</v>
      </c>
      <c r="AC8783">
        <v>13.8248999999999</v>
      </c>
      <c r="AD8783">
        <v>-1.110548827049</v>
      </c>
      <c r="AE8783">
        <v>-3.38295999999999</v>
      </c>
      <c r="AF8783">
        <v>2.7895565210109701</v>
      </c>
      <c r="AG8783">
        <v>-1.110548827049</v>
      </c>
      <c r="AH8783">
        <v>13.868899030417399</v>
      </c>
      <c r="AI8783">
        <v>94.488659028381903</v>
      </c>
      <c r="AJ8783">
        <v>78.627410653211498</v>
      </c>
      <c r="AK8783">
        <v>14.190183388423399</v>
      </c>
      <c r="AL8783">
        <v>85.365863823797596</v>
      </c>
      <c r="AM8783">
        <v>83.807291156582494</v>
      </c>
      <c r="AN8783">
        <v>1.00000000469212</v>
      </c>
    </row>
    <row r="8784" spans="1:40" x14ac:dyDescent="0.25">
      <c r="A8784" t="str">
        <f>"20190312150858749"</f>
        <v>20190312150858749</v>
      </c>
      <c r="B8784" t="str">
        <f>"1552374538738563"</f>
        <v>1552374538738563</v>
      </c>
      <c r="C8784" t="s">
        <v>40</v>
      </c>
      <c r="D8784">
        <v>4.7164239999999999</v>
      </c>
      <c r="E8784">
        <v>0.53407660000000001</v>
      </c>
      <c r="F8784" t="s">
        <v>42</v>
      </c>
      <c r="G8784">
        <v>-324.38979999999998</v>
      </c>
      <c r="H8784" s="1">
        <v>-3.9028640000000002E-6</v>
      </c>
      <c r="I8784">
        <v>12.98563</v>
      </c>
      <c r="J8784">
        <v>-338.27359999999999</v>
      </c>
      <c r="K8784">
        <v>1.1105480000000001</v>
      </c>
      <c r="L8784">
        <v>16.387270000000001</v>
      </c>
      <c r="M8784">
        <v>0.99905390000000005</v>
      </c>
      <c r="N8784">
        <v>0</v>
      </c>
      <c r="O8784">
        <v>-4.1452540000000003E-2</v>
      </c>
      <c r="P8784">
        <v>0.98657430000000002</v>
      </c>
      <c r="Q8784">
        <v>6.7726090000000003E-2</v>
      </c>
      <c r="R8784">
        <v>-0.14860950000000001</v>
      </c>
      <c r="S8784">
        <v>2.9488530000000002</v>
      </c>
      <c r="T8784">
        <v>-0.23381969999999999</v>
      </c>
      <c r="U8784">
        <v>-0.71725459999999996</v>
      </c>
      <c r="V8784">
        <v>0.1075772</v>
      </c>
      <c r="W8784">
        <v>8.0788029999999997E-2</v>
      </c>
      <c r="X8784">
        <v>0.99090889999999998</v>
      </c>
      <c r="Y8784">
        <v>0.19540109999999999</v>
      </c>
      <c r="Z8784">
        <v>-4.3937400000000001E-3</v>
      </c>
      <c r="AA8784">
        <v>0.98071359999999996</v>
      </c>
      <c r="AB8784">
        <v>25</v>
      </c>
      <c r="AC8784">
        <v>13.883800000000001</v>
      </c>
      <c r="AD8784">
        <v>-1.1105519028640001</v>
      </c>
      <c r="AE8784">
        <v>-3.40164</v>
      </c>
      <c r="AF8784">
        <v>2.8062090865327298</v>
      </c>
      <c r="AG8784">
        <v>-1.1105519028640001</v>
      </c>
      <c r="AH8784">
        <v>13.928810107283899</v>
      </c>
      <c r="AI8784">
        <v>94.469158447342807</v>
      </c>
      <c r="AJ8784">
        <v>78.609216900959098</v>
      </c>
      <c r="AK8784">
        <v>14.2520134006066</v>
      </c>
      <c r="AL8784">
        <v>85.366136867748907</v>
      </c>
      <c r="AM8784">
        <v>83.8039977414427</v>
      </c>
      <c r="AN8784">
        <v>1.00000000392516</v>
      </c>
    </row>
    <row r="8785" spans="1:40" x14ac:dyDescent="0.25">
      <c r="A8785" t="str">
        <f>"20190312150858759"</f>
        <v>20190312150858759</v>
      </c>
      <c r="B8785" t="str">
        <f>"1552374538748323"</f>
        <v>1552374538748323</v>
      </c>
      <c r="C8785" t="s">
        <v>40</v>
      </c>
      <c r="D8785">
        <v>4.7399940000000003</v>
      </c>
      <c r="E8785">
        <v>0.53417219999999999</v>
      </c>
      <c r="F8785" t="s">
        <v>42</v>
      </c>
      <c r="G8785">
        <v>-324.16219999999998</v>
      </c>
      <c r="H8785" s="1">
        <v>-3.9996569999999999E-6</v>
      </c>
      <c r="I8785">
        <v>12.950369999999999</v>
      </c>
      <c r="J8785">
        <v>-338.15469999999999</v>
      </c>
      <c r="K8785">
        <v>1.1105499999999999</v>
      </c>
      <c r="L8785">
        <v>16.382349999999999</v>
      </c>
      <c r="M8785">
        <v>0.99905489999999997</v>
      </c>
      <c r="N8785">
        <v>0</v>
      </c>
      <c r="O8785">
        <v>-4.1425709999999998E-2</v>
      </c>
      <c r="P8785">
        <v>0.98654759999999997</v>
      </c>
      <c r="Q8785">
        <v>6.7716680000000001E-2</v>
      </c>
      <c r="R8785">
        <v>-0.1487906</v>
      </c>
      <c r="S8785">
        <v>2.9485779999999999</v>
      </c>
      <c r="T8785">
        <v>-0.2320497</v>
      </c>
      <c r="U8785">
        <v>-0.71813959999999999</v>
      </c>
      <c r="V8785">
        <v>0.1077857</v>
      </c>
      <c r="W8785">
        <v>8.0776639999999997E-2</v>
      </c>
      <c r="X8785">
        <v>0.99088719999999997</v>
      </c>
      <c r="Y8785">
        <v>0.19573199999999999</v>
      </c>
      <c r="Z8785">
        <v>-4.3757149999999996E-3</v>
      </c>
      <c r="AA8785">
        <v>0.98064770000000001</v>
      </c>
      <c r="AB8785">
        <v>25</v>
      </c>
      <c r="AC8785">
        <v>13.9925</v>
      </c>
      <c r="AD8785">
        <v>-1.110553999657</v>
      </c>
      <c r="AE8785">
        <v>-3.4319799999999998</v>
      </c>
      <c r="AF8785">
        <v>2.83250381302837</v>
      </c>
      <c r="AG8785">
        <v>-1.110553999657</v>
      </c>
      <c r="AH8785">
        <v>14.0392527028533</v>
      </c>
      <c r="AI8785">
        <v>94.433903555081798</v>
      </c>
      <c r="AJ8785">
        <v>78.593357203920903</v>
      </c>
      <c r="AK8785">
        <v>14.365132247617799</v>
      </c>
      <c r="AL8785">
        <v>85.366791741095795</v>
      </c>
      <c r="AM8785">
        <v>83.791947787465205</v>
      </c>
      <c r="AN8785">
        <v>1.000000032909</v>
      </c>
    </row>
    <row r="8786" spans="1:40" x14ac:dyDescent="0.25">
      <c r="A8786" t="str">
        <f>"20190312150858770"</f>
        <v>20190312150858770</v>
      </c>
      <c r="B8786" t="str">
        <f>"1552374538758083"</f>
        <v>1552374538758083</v>
      </c>
      <c r="C8786" t="s">
        <v>40</v>
      </c>
      <c r="D8786">
        <v>4.7370999999999999</v>
      </c>
      <c r="E8786">
        <v>0.53416490000000005</v>
      </c>
      <c r="F8786" t="s">
        <v>42</v>
      </c>
      <c r="G8786">
        <v>-323.9393</v>
      </c>
      <c r="H8786" s="1">
        <v>-4.0949810000000003E-6</v>
      </c>
      <c r="I8786">
        <v>12.913790000000001</v>
      </c>
      <c r="J8786">
        <v>-338.03519999999997</v>
      </c>
      <c r="K8786">
        <v>1.110549</v>
      </c>
      <c r="L8786">
        <v>16.37744</v>
      </c>
      <c r="M8786">
        <v>0.99905600000000006</v>
      </c>
      <c r="N8786">
        <v>0</v>
      </c>
      <c r="O8786">
        <v>-4.1398879999999999E-2</v>
      </c>
      <c r="P8786">
        <v>0.98653619999999997</v>
      </c>
      <c r="Q8786">
        <v>6.7889089999999999E-2</v>
      </c>
      <c r="R8786">
        <v>-0.14878739999999999</v>
      </c>
      <c r="S8786">
        <v>2.9481809999999999</v>
      </c>
      <c r="T8786">
        <v>-0.2303222</v>
      </c>
      <c r="U8786">
        <v>-0.71936040000000001</v>
      </c>
      <c r="V8786">
        <v>0.10780969999999999</v>
      </c>
      <c r="W8786">
        <v>8.0947249999999998E-2</v>
      </c>
      <c r="X8786">
        <v>0.99087069999999999</v>
      </c>
      <c r="Y8786">
        <v>0.1961772</v>
      </c>
      <c r="Z8786">
        <v>-4.362767E-3</v>
      </c>
      <c r="AA8786">
        <v>0.98055879999999995</v>
      </c>
      <c r="AB8786">
        <v>25</v>
      </c>
      <c r="AC8786">
        <v>14.095899999999901</v>
      </c>
      <c r="AD8786">
        <v>-1.1105530949810001</v>
      </c>
      <c r="AE8786">
        <v>-3.4636499999999999</v>
      </c>
      <c r="AF8786">
        <v>2.8603314809409399</v>
      </c>
      <c r="AG8786">
        <v>-1.1105530949810001</v>
      </c>
      <c r="AH8786">
        <v>14.1444196227053</v>
      </c>
      <c r="AI8786">
        <v>94.400665385456804</v>
      </c>
      <c r="AJ8786">
        <v>78.567632759616004</v>
      </c>
      <c r="AK8786">
        <v>14.4734042581835</v>
      </c>
      <c r="AL8786">
        <v>85.356984548324903</v>
      </c>
      <c r="AM8786">
        <v>83.790473682746693</v>
      </c>
      <c r="AN8786">
        <v>1.0000000664075599</v>
      </c>
    </row>
    <row r="8787" spans="1:40" x14ac:dyDescent="0.25">
      <c r="A8787" t="str">
        <f>"20190312150858781"</f>
        <v>20190312150858781</v>
      </c>
      <c r="B8787" t="str">
        <f>"1552374538778581"</f>
        <v>1552374538778581</v>
      </c>
      <c r="C8787" t="s">
        <v>40</v>
      </c>
      <c r="D8787">
        <v>4.7100439999999999</v>
      </c>
      <c r="E8787">
        <v>0.53426689999999999</v>
      </c>
      <c r="F8787" t="s">
        <v>42</v>
      </c>
      <c r="G8787">
        <v>-323.69729999999998</v>
      </c>
      <c r="H8787" s="1">
        <v>-4.1973119999999999E-6</v>
      </c>
      <c r="I8787">
        <v>12.878500000000001</v>
      </c>
      <c r="J8787">
        <v>-337.90230000000003</v>
      </c>
      <c r="K8787">
        <v>1.110552</v>
      </c>
      <c r="L8787">
        <v>16.371979999999901</v>
      </c>
      <c r="M8787">
        <v>0.99905730000000004</v>
      </c>
      <c r="N8787">
        <v>0</v>
      </c>
      <c r="O8787">
        <v>-4.1368950000000002E-2</v>
      </c>
      <c r="P8787">
        <v>0.98654569999999997</v>
      </c>
      <c r="Q8787">
        <v>6.7750080000000004E-2</v>
      </c>
      <c r="R8787">
        <v>-0.14878720000000001</v>
      </c>
      <c r="S8787">
        <v>2.9481510000000002</v>
      </c>
      <c r="T8787">
        <v>-0.22835159999999999</v>
      </c>
      <c r="U8787">
        <v>-0.71945190000000003</v>
      </c>
      <c r="V8787">
        <v>0.1078389</v>
      </c>
      <c r="W8787">
        <v>8.0807050000000005E-2</v>
      </c>
      <c r="X8787">
        <v>0.99087890000000001</v>
      </c>
      <c r="Y8787">
        <v>0.1962449</v>
      </c>
      <c r="Z8787">
        <v>-4.3304320000000004E-3</v>
      </c>
      <c r="AA8787">
        <v>0.98054529999999995</v>
      </c>
      <c r="AB8787">
        <v>25</v>
      </c>
      <c r="AC8787">
        <v>14.205</v>
      </c>
      <c r="AD8787">
        <v>-1.1105561973119999</v>
      </c>
      <c r="AE8787">
        <v>-3.4934799999999901</v>
      </c>
      <c r="AF8787">
        <v>2.8861573445835198</v>
      </c>
      <c r="AG8787">
        <v>-1.1105561973119999</v>
      </c>
      <c r="AH8787">
        <v>14.255210129938799</v>
      </c>
      <c r="AI8787">
        <v>94.366405732551101</v>
      </c>
      <c r="AJ8787">
        <v>78.554421902199394</v>
      </c>
      <c r="AK8787">
        <v>14.586783577396</v>
      </c>
      <c r="AL8787">
        <v>85.365043514144105</v>
      </c>
      <c r="AM8787">
        <v>83.788855989962997</v>
      </c>
      <c r="AN8787">
        <v>1.00000000107406</v>
      </c>
    </row>
    <row r="8788" spans="1:40" x14ac:dyDescent="0.25">
      <c r="A8788" t="str">
        <f>"20190312150858793"</f>
        <v>20190312150858793</v>
      </c>
      <c r="B8788" t="str">
        <f>"1552374538788340"</f>
        <v>1552374538788340</v>
      </c>
      <c r="C8788" t="s">
        <v>40</v>
      </c>
      <c r="D8788">
        <v>4.7035689999999999</v>
      </c>
      <c r="E8788">
        <v>0.53435969999999999</v>
      </c>
      <c r="F8788" t="s">
        <v>42</v>
      </c>
      <c r="G8788">
        <v>-323.3802</v>
      </c>
      <c r="H8788" s="1">
        <v>-4.3337879999999996E-6</v>
      </c>
      <c r="I8788">
        <v>12.82328</v>
      </c>
      <c r="J8788">
        <v>-337.7824</v>
      </c>
      <c r="K8788">
        <v>1.1105529999999999</v>
      </c>
      <c r="L8788">
        <v>16.367069999999998</v>
      </c>
      <c r="M8788">
        <v>0.99905840000000001</v>
      </c>
      <c r="N8788">
        <v>0</v>
      </c>
      <c r="O8788">
        <v>-4.1341889999999999E-2</v>
      </c>
      <c r="P8788">
        <v>0.98652859999999998</v>
      </c>
      <c r="Q8788">
        <v>6.7436070000000001E-2</v>
      </c>
      <c r="R8788">
        <v>-0.14904400000000001</v>
      </c>
      <c r="S8788">
        <v>2.947784</v>
      </c>
      <c r="T8788">
        <v>-0.2254273</v>
      </c>
      <c r="U8788">
        <v>-0.72033689999999995</v>
      </c>
      <c r="V8788">
        <v>0.10812289999999999</v>
      </c>
      <c r="W8788">
        <v>8.0490989999999998E-2</v>
      </c>
      <c r="X8788">
        <v>0.99087369999999997</v>
      </c>
      <c r="Y8788">
        <v>0.1965874</v>
      </c>
      <c r="Z8788">
        <v>-4.2904190000000002E-3</v>
      </c>
      <c r="AA8788">
        <v>0.98047689999999998</v>
      </c>
      <c r="AB8788">
        <v>25</v>
      </c>
      <c r="AC8788">
        <v>14.402199999999899</v>
      </c>
      <c r="AD8788">
        <v>-1.1105573337879999</v>
      </c>
      <c r="AE8788">
        <v>-3.54379</v>
      </c>
      <c r="AF8788">
        <v>2.9288731613459502</v>
      </c>
      <c r="AG8788">
        <v>-1.1105573337879999</v>
      </c>
      <c r="AH8788">
        <v>14.4553598888401</v>
      </c>
      <c r="AI8788">
        <v>94.306054996837005</v>
      </c>
      <c r="AJ8788">
        <v>78.546072821545593</v>
      </c>
      <c r="AK8788">
        <v>14.7908439618154</v>
      </c>
      <c r="AL8788">
        <v>85.383211711138699</v>
      </c>
      <c r="AM8788">
        <v>83.772594508645</v>
      </c>
      <c r="AN8788">
        <v>1.0000000251636301</v>
      </c>
    </row>
    <row r="8789" spans="1:40" x14ac:dyDescent="0.25">
      <c r="A8789" t="str">
        <f>"20190312150858804"</f>
        <v>20190312150858804</v>
      </c>
      <c r="B8789" t="str">
        <f>"1552374538798099"</f>
        <v>1552374538798099</v>
      </c>
      <c r="C8789" t="s">
        <v>40</v>
      </c>
      <c r="D8789">
        <v>4.7047600000000003</v>
      </c>
      <c r="E8789">
        <v>0.53442290000000003</v>
      </c>
      <c r="F8789" t="s">
        <v>42</v>
      </c>
      <c r="G8789">
        <v>-323.33800000000002</v>
      </c>
      <c r="H8789" s="1">
        <v>-4.3483130000000001E-6</v>
      </c>
      <c r="I8789">
        <v>12.829549999999999</v>
      </c>
      <c r="J8789">
        <v>-337.64909999999998</v>
      </c>
      <c r="K8789">
        <v>1.1105529999999999</v>
      </c>
      <c r="L8789">
        <v>16.361539999999898</v>
      </c>
      <c r="M8789">
        <v>0.99905960000000005</v>
      </c>
      <c r="N8789">
        <v>0</v>
      </c>
      <c r="O8789">
        <v>-4.1311479999999998E-2</v>
      </c>
      <c r="P8789">
        <v>0.98651440000000001</v>
      </c>
      <c r="Q8789">
        <v>6.7684090000000002E-2</v>
      </c>
      <c r="R8789">
        <v>-0.1490243</v>
      </c>
      <c r="S8789">
        <v>2.9473880000000001</v>
      </c>
      <c r="T8789">
        <v>-0.2266098</v>
      </c>
      <c r="U8789">
        <v>-0.72183229999999998</v>
      </c>
      <c r="V8789">
        <v>0.1081341</v>
      </c>
      <c r="W8789">
        <v>8.073719E-2</v>
      </c>
      <c r="X8789">
        <v>0.99085239999999997</v>
      </c>
      <c r="Y8789">
        <v>0.19711090000000001</v>
      </c>
      <c r="Z8789">
        <v>-4.3352759999999999E-3</v>
      </c>
      <c r="AA8789">
        <v>0.98037160000000001</v>
      </c>
      <c r="AB8789">
        <v>25</v>
      </c>
      <c r="AC8789">
        <v>14.3111</v>
      </c>
      <c r="AD8789">
        <v>-1.110557348313</v>
      </c>
      <c r="AE8789">
        <v>-3.5319899999999902</v>
      </c>
      <c r="AF8789">
        <v>2.9211294308398101</v>
      </c>
      <c r="AG8789">
        <v>-1.110557348313</v>
      </c>
      <c r="AH8789">
        <v>14.363276378655501</v>
      </c>
      <c r="AI8789">
        <v>94.332917028668106</v>
      </c>
      <c r="AJ8789">
        <v>78.5042602440857</v>
      </c>
      <c r="AK8789">
        <v>14.6993211783828</v>
      </c>
      <c r="AL8789">
        <v>85.369059211512507</v>
      </c>
      <c r="AM8789">
        <v>83.771821676820295</v>
      </c>
      <c r="AN8789">
        <v>0.999999978008832</v>
      </c>
    </row>
    <row r="8790" spans="1:40" x14ac:dyDescent="0.25">
      <c r="A8790" t="str">
        <f>"20190312150858815"</f>
        <v>20190312150858815</v>
      </c>
      <c r="B8790" t="str">
        <f>"1552374538808835"</f>
        <v>1552374538808835</v>
      </c>
      <c r="C8790" t="s">
        <v>40</v>
      </c>
      <c r="D8790">
        <v>4.7063379999999997</v>
      </c>
      <c r="E8790">
        <v>0.53447389999999995</v>
      </c>
      <c r="F8790" t="s">
        <v>42</v>
      </c>
      <c r="G8790">
        <v>-323.2201</v>
      </c>
      <c r="H8790" s="1">
        <v>-4.39475199999999E-6</v>
      </c>
      <c r="I8790">
        <v>12.82517</v>
      </c>
      <c r="J8790">
        <v>-337.52159999999998</v>
      </c>
      <c r="K8790">
        <v>1.110554</v>
      </c>
      <c r="L8790">
        <v>16.35632</v>
      </c>
      <c r="M8790">
        <v>0.99906090000000003</v>
      </c>
      <c r="N8790">
        <v>0</v>
      </c>
      <c r="O8790">
        <v>-4.1282739999999998E-2</v>
      </c>
      <c r="P8790">
        <v>0.9865292</v>
      </c>
      <c r="Q8790">
        <v>6.7684190000000005E-2</v>
      </c>
      <c r="R8790">
        <v>-0.148927</v>
      </c>
      <c r="S8790">
        <v>2.9474490000000002</v>
      </c>
      <c r="T8790">
        <v>-0.2268558</v>
      </c>
      <c r="U8790">
        <v>-0.72238159999999996</v>
      </c>
      <c r="V8790">
        <v>0.1080647</v>
      </c>
      <c r="W8790">
        <v>8.0735760000000004E-2</v>
      </c>
      <c r="X8790">
        <v>0.99086010000000002</v>
      </c>
      <c r="Y8790">
        <v>0.19730519999999999</v>
      </c>
      <c r="Z8790">
        <v>-4.3493189999999999E-3</v>
      </c>
      <c r="AA8790">
        <v>0.98033239999999999</v>
      </c>
      <c r="AB8790">
        <v>25</v>
      </c>
      <c r="AC8790">
        <v>14.3014999999999</v>
      </c>
      <c r="AD8790">
        <v>-1.1105583947519999</v>
      </c>
      <c r="AE8790">
        <v>-3.5311499999999998</v>
      </c>
      <c r="AF8790">
        <v>2.9210808985865602</v>
      </c>
      <c r="AG8790">
        <v>-1.1105583947519999</v>
      </c>
      <c r="AH8790">
        <v>14.3535152505938</v>
      </c>
      <c r="AI8790">
        <v>94.335742623322801</v>
      </c>
      <c r="AJ8790">
        <v>78.496836902686695</v>
      </c>
      <c r="AK8790">
        <v>14.6897737767901</v>
      </c>
      <c r="AL8790">
        <v>85.369141468711405</v>
      </c>
      <c r="AM8790">
        <v>83.775835500151601</v>
      </c>
      <c r="AN8790">
        <v>0.99999999005043805</v>
      </c>
    </row>
    <row r="8791" spans="1:40" x14ac:dyDescent="0.25">
      <c r="A8791" t="str">
        <f>"20190312150858827"</f>
        <v>20190312150858827</v>
      </c>
      <c r="B8791" t="str">
        <f>"1552374538818596"</f>
        <v>1552374538818596</v>
      </c>
      <c r="C8791" t="s">
        <v>40</v>
      </c>
      <c r="D8791">
        <v>4.7054960000000001</v>
      </c>
      <c r="E8791">
        <v>0.53459409999999996</v>
      </c>
      <c r="F8791" t="s">
        <v>42</v>
      </c>
      <c r="G8791">
        <v>-323.13130000000001</v>
      </c>
      <c r="H8791" s="1">
        <v>-4.4313939999999999E-6</v>
      </c>
      <c r="I8791">
        <v>12.828469999999999</v>
      </c>
      <c r="J8791">
        <v>-337.39640000000003</v>
      </c>
      <c r="K8791">
        <v>1.110549</v>
      </c>
      <c r="L8791">
        <v>16.351199999999999</v>
      </c>
      <c r="M8791">
        <v>0.99906220000000001</v>
      </c>
      <c r="N8791">
        <v>0</v>
      </c>
      <c r="O8791">
        <v>-4.1254480000000003E-2</v>
      </c>
      <c r="P8791">
        <v>0.98651420000000001</v>
      </c>
      <c r="Q8791">
        <v>6.7552189999999998E-2</v>
      </c>
      <c r="R8791">
        <v>-0.14908759999999999</v>
      </c>
      <c r="S8791">
        <v>2.9475099999999999</v>
      </c>
      <c r="T8791">
        <v>-0.22747100000000001</v>
      </c>
      <c r="U8791">
        <v>-0.72259519999999899</v>
      </c>
      <c r="V8791">
        <v>0.1082538</v>
      </c>
      <c r="W8791">
        <v>8.0602209999999994E-2</v>
      </c>
      <c r="X8791">
        <v>0.99085029999999996</v>
      </c>
      <c r="Y8791">
        <v>0.1973927</v>
      </c>
      <c r="Z8791">
        <v>-4.3664159999999997E-3</v>
      </c>
      <c r="AA8791">
        <v>0.98031480000000004</v>
      </c>
      <c r="AB8791">
        <v>25</v>
      </c>
      <c r="AC8791">
        <v>14.2651</v>
      </c>
      <c r="AD8791">
        <v>-1.110553431394</v>
      </c>
      <c r="AE8791">
        <v>-3.5227300000000001</v>
      </c>
      <c r="AF8791">
        <v>2.9145312952917499</v>
      </c>
      <c r="AG8791">
        <v>-1.110553431394</v>
      </c>
      <c r="AH8791">
        <v>14.316512501821499</v>
      </c>
      <c r="AI8791">
        <v>94.346828640506999</v>
      </c>
      <c r="AJ8791">
        <v>78.493067749042893</v>
      </c>
      <c r="AK8791">
        <v>14.652315578434299</v>
      </c>
      <c r="AL8791">
        <v>85.376818196729801</v>
      </c>
      <c r="AM8791">
        <v>83.764968500009005</v>
      </c>
      <c r="AN8791">
        <v>0.99999995924070595</v>
      </c>
    </row>
    <row r="8792" spans="1:40" x14ac:dyDescent="0.25">
      <c r="A8792" t="str">
        <f>"20190312150858838"</f>
        <v>20190312150858838</v>
      </c>
      <c r="B8792" t="str">
        <f>"1552374538828355"</f>
        <v>1552374538828355</v>
      </c>
      <c r="C8792" t="s">
        <v>40</v>
      </c>
      <c r="D8792">
        <v>4.732221</v>
      </c>
      <c r="E8792">
        <v>0.53437040000000002</v>
      </c>
      <c r="F8792" t="s">
        <v>42</v>
      </c>
      <c r="G8792">
        <v>-323.07459999999998</v>
      </c>
      <c r="H8792" s="1">
        <v>-4.4574909999999996E-6</v>
      </c>
      <c r="I8792">
        <v>12.83245</v>
      </c>
      <c r="J8792">
        <v>-337.27</v>
      </c>
      <c r="K8792">
        <v>1.1105499999999999</v>
      </c>
      <c r="L8792">
        <v>16.34601</v>
      </c>
      <c r="M8792">
        <v>0.99906340000000005</v>
      </c>
      <c r="N8792">
        <v>0</v>
      </c>
      <c r="O8792">
        <v>-4.1225869999999998E-2</v>
      </c>
      <c r="P8792">
        <v>0.98648720000000001</v>
      </c>
      <c r="Q8792">
        <v>6.7640939999999997E-2</v>
      </c>
      <c r="R8792">
        <v>-0.14922550000000001</v>
      </c>
      <c r="S8792">
        <v>2.9472659999999999</v>
      </c>
      <c r="T8792">
        <v>-0.2285402</v>
      </c>
      <c r="U8792">
        <v>-0.72412109999999996</v>
      </c>
      <c r="V8792">
        <v>0.1084213</v>
      </c>
      <c r="W8792">
        <v>8.0689179999999999E-2</v>
      </c>
      <c r="X8792">
        <v>0.99082490000000001</v>
      </c>
      <c r="Y8792">
        <v>0.19791249999999999</v>
      </c>
      <c r="Z8792">
        <v>-4.4089840000000003E-3</v>
      </c>
      <c r="AA8792">
        <v>0.98020980000000002</v>
      </c>
      <c r="AB8792">
        <v>25</v>
      </c>
      <c r="AC8792">
        <v>14.195399999999999</v>
      </c>
      <c r="AD8792">
        <v>-1.110554457491</v>
      </c>
      <c r="AE8792">
        <v>-3.51356</v>
      </c>
      <c r="AF8792">
        <v>2.9085302350290001</v>
      </c>
      <c r="AG8792">
        <v>-1.110554457491</v>
      </c>
      <c r="AH8792">
        <v>14.246032781623301</v>
      </c>
      <c r="AI8792">
        <v>94.367755780266904</v>
      </c>
      <c r="AJ8792">
        <v>78.460836466635698</v>
      </c>
      <c r="AK8792">
        <v>14.5822607762383</v>
      </c>
      <c r="AL8792">
        <v>85.371818866651793</v>
      </c>
      <c r="AM8792">
        <v>83.755238441282103</v>
      </c>
      <c r="AN8792">
        <v>0.99999995226138505</v>
      </c>
    </row>
    <row r="8793" spans="1:40" x14ac:dyDescent="0.25">
      <c r="A8793" t="str">
        <f>"20190312150858849"</f>
        <v>20190312150858849</v>
      </c>
      <c r="B8793" t="str">
        <f>"1552374538838115"</f>
        <v>1552374538838115</v>
      </c>
      <c r="C8793" t="s">
        <v>40</v>
      </c>
      <c r="D8793">
        <v>4.815728</v>
      </c>
      <c r="E8793">
        <v>0.53437040000000002</v>
      </c>
      <c r="F8793" t="s">
        <v>42</v>
      </c>
      <c r="G8793">
        <v>-322.9726</v>
      </c>
      <c r="H8793" s="1">
        <v>-4.5043799999999999E-6</v>
      </c>
      <c r="I8793">
        <v>12.839980000000001</v>
      </c>
      <c r="J8793">
        <v>-337.1429</v>
      </c>
      <c r="K8793">
        <v>1.1105499999999999</v>
      </c>
      <c r="L8793">
        <v>16.340789999999998</v>
      </c>
      <c r="M8793">
        <v>0.99906450000000002</v>
      </c>
      <c r="N8793">
        <v>0</v>
      </c>
      <c r="O8793">
        <v>-4.1197009999999999E-2</v>
      </c>
      <c r="P8793">
        <v>0.98647759999999995</v>
      </c>
      <c r="Q8793">
        <v>6.7785999999999999E-2</v>
      </c>
      <c r="R8793">
        <v>-0.14922279999999999</v>
      </c>
      <c r="S8793">
        <v>2.9474490000000002</v>
      </c>
      <c r="T8793">
        <v>-0.22894439999999999</v>
      </c>
      <c r="U8793">
        <v>-0.72277829999999998</v>
      </c>
      <c r="V8793">
        <v>0.10844760000000001</v>
      </c>
      <c r="W8793">
        <v>8.083224E-2</v>
      </c>
      <c r="X8793">
        <v>0.99081039999999998</v>
      </c>
      <c r="Y8793">
        <v>0.19750499999999999</v>
      </c>
      <c r="Z8793">
        <v>-4.4033470000000002E-3</v>
      </c>
      <c r="AA8793">
        <v>0.98029200000000005</v>
      </c>
      <c r="AB8793">
        <v>25</v>
      </c>
      <c r="AC8793">
        <v>14.1702999999999</v>
      </c>
      <c r="AD8793">
        <v>-1.11055450438</v>
      </c>
      <c r="AE8793">
        <v>-3.5008099999999902</v>
      </c>
      <c r="AF8793">
        <v>2.8972412922028101</v>
      </c>
      <c r="AG8793">
        <v>-1.11055450438</v>
      </c>
      <c r="AH8793">
        <v>14.220184864763199</v>
      </c>
      <c r="AI8793">
        <v>94.376025217672705</v>
      </c>
      <c r="AJ8793">
        <v>78.4840914867533</v>
      </c>
      <c r="AK8793">
        <v>14.554758534599101</v>
      </c>
      <c r="AL8793">
        <v>85.363595449154303</v>
      </c>
      <c r="AM8793">
        <v>83.753644919329304</v>
      </c>
      <c r="AN8793">
        <v>0.99999999085866798</v>
      </c>
    </row>
    <row r="8794" spans="1:40" x14ac:dyDescent="0.25">
      <c r="A8794" t="str">
        <f>"20190312150858859"</f>
        <v>20190312150858859</v>
      </c>
      <c r="B8794" t="str">
        <f>"1552374538848851"</f>
        <v>1552374538848851</v>
      </c>
      <c r="C8794" t="s">
        <v>40</v>
      </c>
      <c r="D8794">
        <v>4.7289510000000003</v>
      </c>
      <c r="E8794">
        <v>0.51359089999999996</v>
      </c>
      <c r="F8794" t="s">
        <v>42</v>
      </c>
      <c r="G8794">
        <v>-322.81279999999998</v>
      </c>
      <c r="H8794" s="1">
        <v>-4.5823820000000003E-6</v>
      </c>
      <c r="I8794">
        <v>12.825989999999999</v>
      </c>
      <c r="J8794">
        <v>-337.0213</v>
      </c>
      <c r="K8794">
        <v>1.1105480000000001</v>
      </c>
      <c r="L8794">
        <v>16.335819999999998</v>
      </c>
      <c r="M8794">
        <v>0.9990658</v>
      </c>
      <c r="N8794">
        <v>0</v>
      </c>
      <c r="O8794">
        <v>-4.1169579999999997E-2</v>
      </c>
      <c r="P8794">
        <v>0.98645530000000003</v>
      </c>
      <c r="Q8794">
        <v>6.7568080000000003E-2</v>
      </c>
      <c r="R8794">
        <v>-0.1494692</v>
      </c>
      <c r="S8794">
        <v>2.9474490000000002</v>
      </c>
      <c r="T8794">
        <v>-0.22842119999999999</v>
      </c>
      <c r="U8794">
        <v>-0.72293090000000004</v>
      </c>
      <c r="V8794">
        <v>0.1087219</v>
      </c>
      <c r="W8794">
        <v>8.0613149999999995E-2</v>
      </c>
      <c r="X8794">
        <v>0.99079819999999996</v>
      </c>
      <c r="Y8794">
        <v>0.19758149999999999</v>
      </c>
      <c r="Z8794">
        <v>-4.3982919999999998E-3</v>
      </c>
      <c r="AA8794">
        <v>0.98027660000000005</v>
      </c>
      <c r="AB8794">
        <v>25</v>
      </c>
      <c r="AC8794">
        <v>14.208500000000001</v>
      </c>
      <c r="AD8794">
        <v>-1.1105525823819999</v>
      </c>
      <c r="AE8794">
        <v>-3.50983</v>
      </c>
      <c r="AF8794">
        <v>2.90511815036984</v>
      </c>
      <c r="AG8794">
        <v>-1.1105525823819999</v>
      </c>
      <c r="AH8794">
        <v>14.258862323989501</v>
      </c>
      <c r="AI8794">
        <v>94.364193755032801</v>
      </c>
      <c r="AJ8794">
        <v>78.484104388355703</v>
      </c>
      <c r="AK8794">
        <v>14.594115022170101</v>
      </c>
      <c r="AL8794">
        <v>85.376189534067606</v>
      </c>
      <c r="AM8794">
        <v>83.737894675600302</v>
      </c>
      <c r="AN8794">
        <v>1.0000000023078801</v>
      </c>
    </row>
    <row r="8795" spans="1:40" x14ac:dyDescent="0.25">
      <c r="A8795" t="str">
        <f>"20190312150858871"</f>
        <v>20190312150858871</v>
      </c>
      <c r="B8795" t="str">
        <f>"1552374538868371"</f>
        <v>1552374538868371</v>
      </c>
      <c r="C8795" t="s">
        <v>40</v>
      </c>
      <c r="D8795">
        <v>4.7797369999999999</v>
      </c>
      <c r="E8795">
        <v>0.51147349999999903</v>
      </c>
      <c r="F8795" t="s">
        <v>42</v>
      </c>
      <c r="G8795">
        <v>-322.16759999999999</v>
      </c>
      <c r="H8795" s="1">
        <v>-4.7610909999999996E-6</v>
      </c>
      <c r="I8795">
        <v>13.537990000000001</v>
      </c>
      <c r="J8795">
        <v>-336.89640000000003</v>
      </c>
      <c r="K8795">
        <v>1.110549</v>
      </c>
      <c r="L8795">
        <v>16.330690000000001</v>
      </c>
      <c r="M8795">
        <v>0.99906680000000003</v>
      </c>
      <c r="N8795">
        <v>0</v>
      </c>
      <c r="O8795">
        <v>-4.1141440000000001E-2</v>
      </c>
      <c r="P8795">
        <v>0.98644500000000002</v>
      </c>
      <c r="Q8795">
        <v>6.7521010000000006E-2</v>
      </c>
      <c r="R8795">
        <v>-0.14955789999999999</v>
      </c>
      <c r="S8795">
        <v>2.9715880000000001</v>
      </c>
      <c r="T8795">
        <v>-0.2221735</v>
      </c>
      <c r="U8795">
        <v>-0.55972290000000002</v>
      </c>
      <c r="V8795">
        <v>0.10883909999999999</v>
      </c>
      <c r="W8795">
        <v>8.0564179999999999E-2</v>
      </c>
      <c r="X8795">
        <v>0.99078929999999998</v>
      </c>
      <c r="Y8795">
        <v>0.144235</v>
      </c>
      <c r="Z8795">
        <v>-2.2959500000000002E-3</v>
      </c>
      <c r="AA8795">
        <v>0.9895408</v>
      </c>
      <c r="AB8795">
        <v>25</v>
      </c>
      <c r="AC8795">
        <v>14.7288</v>
      </c>
      <c r="AD8795">
        <v>-1.1105537610909999</v>
      </c>
      <c r="AE8795">
        <v>-2.7927</v>
      </c>
      <c r="AF8795">
        <v>2.17239679812511</v>
      </c>
      <c r="AG8795">
        <v>-1.1105537610909999</v>
      </c>
      <c r="AH8795">
        <v>14.7502851879287</v>
      </c>
      <c r="AI8795">
        <v>94.259913384548099</v>
      </c>
      <c r="AJ8795">
        <v>81.621805874995601</v>
      </c>
      <c r="AK8795">
        <v>14.950704017871701</v>
      </c>
      <c r="AL8795">
        <v>85.379004392706406</v>
      </c>
      <c r="AM8795">
        <v>83.7311421052231</v>
      </c>
      <c r="AN8795">
        <v>0.99999998689118597</v>
      </c>
    </row>
    <row r="8796" spans="1:40" x14ac:dyDescent="0.25">
      <c r="A8796" t="str">
        <f>"20190312150858883"</f>
        <v>20190312150858883</v>
      </c>
      <c r="B8796" t="str">
        <f>"1552374538878131"</f>
        <v>1552374538878131</v>
      </c>
      <c r="C8796" t="s">
        <v>40</v>
      </c>
      <c r="D8796">
        <v>4.7843999999999998</v>
      </c>
      <c r="E8796">
        <v>0.51101549999999996</v>
      </c>
      <c r="F8796" t="s">
        <v>42</v>
      </c>
      <c r="G8796">
        <v>-321.07159999999999</v>
      </c>
      <c r="H8796" s="1">
        <v>-5.2967249999999997E-6</v>
      </c>
      <c r="I8796">
        <v>13.4391</v>
      </c>
      <c r="J8796">
        <v>-336.75699999999898</v>
      </c>
      <c r="K8796">
        <v>1.1105480000000001</v>
      </c>
      <c r="L8796">
        <v>16.32498</v>
      </c>
      <c r="M8796">
        <v>0.99906810000000001</v>
      </c>
      <c r="N8796">
        <v>0</v>
      </c>
      <c r="O8796">
        <v>-4.1110090000000002E-2</v>
      </c>
      <c r="P8796">
        <v>0.98644219999999905</v>
      </c>
      <c r="Q8796">
        <v>6.761586E-2</v>
      </c>
      <c r="R8796">
        <v>-0.14953329999999901</v>
      </c>
      <c r="S8796">
        <v>2.9731749999999999</v>
      </c>
      <c r="T8796">
        <v>-0.2086517</v>
      </c>
      <c r="U8796">
        <v>-0.54327389999999998</v>
      </c>
      <c r="V8796">
        <v>0.1088456</v>
      </c>
      <c r="W8796">
        <v>8.0657359999999997E-2</v>
      </c>
      <c r="X8796">
        <v>0.99078100000000002</v>
      </c>
      <c r="Y8796">
        <v>0.13892070000000001</v>
      </c>
      <c r="Z8796">
        <v>-1.9738780000000001E-3</v>
      </c>
      <c r="AA8796">
        <v>0.99030149999999995</v>
      </c>
      <c r="AB8796">
        <v>25</v>
      </c>
      <c r="AC8796">
        <v>15.6853999999999</v>
      </c>
      <c r="AD8796">
        <v>-1.11055329672499</v>
      </c>
      <c r="AE8796">
        <v>-2.8858799999999998</v>
      </c>
      <c r="AF8796">
        <v>2.22775414071157</v>
      </c>
      <c r="AG8796">
        <v>-1.11055329672499</v>
      </c>
      <c r="AH8796">
        <v>15.714590538651199</v>
      </c>
      <c r="AI8796">
        <v>94.002496940918306</v>
      </c>
      <c r="AJ8796">
        <v>81.931319266587295</v>
      </c>
      <c r="AK8796">
        <v>15.910517682771699</v>
      </c>
      <c r="AL8796">
        <v>85.373648118885498</v>
      </c>
      <c r="AM8796">
        <v>83.7307186019749</v>
      </c>
      <c r="AN8796">
        <v>0.99999998216126396</v>
      </c>
    </row>
    <row r="8797" spans="1:40" x14ac:dyDescent="0.25">
      <c r="A8797" t="str">
        <f>"20190312150858895"</f>
        <v>20190312150858895</v>
      </c>
      <c r="B8797" t="str">
        <f>"1552374538888868"</f>
        <v>1552374538888868</v>
      </c>
      <c r="C8797" t="s">
        <v>40</v>
      </c>
      <c r="D8797">
        <v>4.7447499999999998</v>
      </c>
      <c r="E8797">
        <v>0.5107332</v>
      </c>
      <c r="F8797" t="s">
        <v>42</v>
      </c>
      <c r="G8797">
        <v>-320.6191</v>
      </c>
      <c r="H8797" s="1">
        <v>-5.5181109999999998E-6</v>
      </c>
      <c r="I8797">
        <v>13.39686</v>
      </c>
      <c r="J8797">
        <v>-336.62709999999998</v>
      </c>
      <c r="K8797">
        <v>1.1105499999999999</v>
      </c>
      <c r="L8797">
        <v>16.319669999999999</v>
      </c>
      <c r="M8797">
        <v>0.99906930000000005</v>
      </c>
      <c r="N8797">
        <v>0</v>
      </c>
      <c r="O8797">
        <v>-4.1081230000000003E-2</v>
      </c>
      <c r="P8797">
        <v>0.98640879999999997</v>
      </c>
      <c r="Q8797">
        <v>6.789299E-2</v>
      </c>
      <c r="R8797">
        <v>-0.1496285</v>
      </c>
      <c r="S8797">
        <v>2.9734799999999999</v>
      </c>
      <c r="T8797">
        <v>-0.2046251</v>
      </c>
      <c r="U8797">
        <v>-0.53952029999999995</v>
      </c>
      <c r="V8797">
        <v>0.10897080000000001</v>
      </c>
      <c r="W8797">
        <v>8.0933000000000005E-2</v>
      </c>
      <c r="X8797">
        <v>0.99074479999999998</v>
      </c>
      <c r="Y8797">
        <v>0.13773270000000001</v>
      </c>
      <c r="Z8797">
        <v>-1.8973410000000001E-3</v>
      </c>
      <c r="AA8797">
        <v>0.9904676</v>
      </c>
      <c r="AB8797">
        <v>25</v>
      </c>
      <c r="AC8797">
        <v>16.0079999999999</v>
      </c>
      <c r="AD8797">
        <v>-1.1105555181109901</v>
      </c>
      <c r="AE8797">
        <v>-2.9228100000000001</v>
      </c>
      <c r="AF8797">
        <v>2.2521672403699902</v>
      </c>
      <c r="AG8797">
        <v>-1.1105555181109901</v>
      </c>
      <c r="AH8797">
        <v>16.039859248428201</v>
      </c>
      <c r="AI8797">
        <v>93.922326516414898</v>
      </c>
      <c r="AJ8797">
        <v>82.007314068639701</v>
      </c>
      <c r="AK8797">
        <v>16.235229457780701</v>
      </c>
      <c r="AL8797">
        <v>85.357803495285296</v>
      </c>
      <c r="AM8797">
        <v>83.723337360955099</v>
      </c>
      <c r="AN8797">
        <v>1.0000000222343299</v>
      </c>
    </row>
    <row r="8798" spans="1:40" x14ac:dyDescent="0.25">
      <c r="A8798" t="str">
        <f>"20190312150858907"</f>
        <v>20190312150858907</v>
      </c>
      <c r="B8798" t="str">
        <f>"1552374538898626"</f>
        <v>1552374538898626</v>
      </c>
      <c r="C8798" t="s">
        <v>40</v>
      </c>
      <c r="D8798">
        <v>4.7586449999999996</v>
      </c>
      <c r="E8798">
        <v>0.51045750000000001</v>
      </c>
      <c r="F8798" t="s">
        <v>42</v>
      </c>
      <c r="G8798">
        <v>-320.06459999999998</v>
      </c>
      <c r="H8798" s="1">
        <v>-5.7929479999999997E-6</v>
      </c>
      <c r="I8798">
        <v>13.3250799999999</v>
      </c>
      <c r="J8798">
        <v>-336.49430000000001</v>
      </c>
      <c r="K8798">
        <v>1.1105510000000001</v>
      </c>
      <c r="L8798">
        <v>16.314239999999899</v>
      </c>
      <c r="M8798">
        <v>0.99907060000000003</v>
      </c>
      <c r="N8798">
        <v>0</v>
      </c>
      <c r="O8798">
        <v>-4.1051909999999997E-2</v>
      </c>
      <c r="P8798">
        <v>0.98634960000000005</v>
      </c>
      <c r="Q8798">
        <v>6.8118650000000003E-2</v>
      </c>
      <c r="R8798">
        <v>-0.14991550000000001</v>
      </c>
      <c r="S8798">
        <v>2.9735109999999998</v>
      </c>
      <c r="T8798">
        <v>-0.19938149999999999</v>
      </c>
      <c r="U8798">
        <v>-0.537628199999999</v>
      </c>
      <c r="V8798">
        <v>0.1092892</v>
      </c>
      <c r="W8798">
        <v>8.1155900000000003E-2</v>
      </c>
      <c r="X8798">
        <v>0.99069149999999995</v>
      </c>
      <c r="Y8798">
        <v>0.13716210000000001</v>
      </c>
      <c r="Z8798">
        <v>-1.8318919999999999E-3</v>
      </c>
      <c r="AA8798">
        <v>0.99054690000000001</v>
      </c>
      <c r="AB8798">
        <v>25</v>
      </c>
      <c r="AC8798">
        <v>16.4297</v>
      </c>
      <c r="AD8798">
        <v>-1.110556792948</v>
      </c>
      <c r="AE8798">
        <v>-2.98916</v>
      </c>
      <c r="AF8798">
        <v>2.3019303797961301</v>
      </c>
      <c r="AG8798">
        <v>-1.110556792948</v>
      </c>
      <c r="AH8798">
        <v>16.465747207770299</v>
      </c>
      <c r="AI8798">
        <v>93.821503206613698</v>
      </c>
      <c r="AJ8798">
        <v>82.041564213855594</v>
      </c>
      <c r="AK8798">
        <v>16.662924442425599</v>
      </c>
      <c r="AL8798">
        <v>85.344990146958196</v>
      </c>
      <c r="AM8798">
        <v>83.704808745720896</v>
      </c>
      <c r="AN8798">
        <v>1.00000002875684</v>
      </c>
    </row>
    <row r="8799" spans="1:40" x14ac:dyDescent="0.25">
      <c r="A8799" t="str">
        <f>"20190312150858918"</f>
        <v>20190312150858918</v>
      </c>
      <c r="B8799" t="str">
        <f>"1552374538908387"</f>
        <v>1552374538908387</v>
      </c>
      <c r="C8799" t="s">
        <v>40</v>
      </c>
      <c r="D8799">
        <v>4.7540719999999999</v>
      </c>
      <c r="E8799">
        <v>0.51046279999999999</v>
      </c>
      <c r="F8799" t="s">
        <v>43</v>
      </c>
      <c r="G8799">
        <v>-318.85329999999999</v>
      </c>
      <c r="H8799">
        <v>-0.05</v>
      </c>
      <c r="I8799">
        <v>13.132250000000001</v>
      </c>
      <c r="J8799">
        <v>-336.36180000000002</v>
      </c>
      <c r="K8799">
        <v>1.110552</v>
      </c>
      <c r="L8799">
        <v>16.30884</v>
      </c>
      <c r="M8799">
        <v>0.99907179999999995</v>
      </c>
      <c r="N8799">
        <v>0</v>
      </c>
      <c r="O8799">
        <v>-4.1023770000000001E-2</v>
      </c>
      <c r="P8799">
        <v>0.98628950000000004</v>
      </c>
      <c r="Q8799">
        <v>6.8438769999999996E-2</v>
      </c>
      <c r="R8799">
        <v>-0.1501642</v>
      </c>
      <c r="S8799">
        <v>2.9735109999999998</v>
      </c>
      <c r="T8799">
        <v>-0.19561899999999999</v>
      </c>
      <c r="U8799">
        <v>-0.5363464</v>
      </c>
      <c r="V8799">
        <v>0.1095684</v>
      </c>
      <c r="W8799">
        <v>8.147385E-2</v>
      </c>
      <c r="X8799">
        <v>0.99063449999999997</v>
      </c>
      <c r="Y8799">
        <v>0.13678489999999999</v>
      </c>
      <c r="Z8799">
        <v>-1.786997E-3</v>
      </c>
      <c r="AA8799">
        <v>0.99059920000000001</v>
      </c>
      <c r="AB8799">
        <v>25</v>
      </c>
      <c r="AC8799">
        <v>17.508500000000002</v>
      </c>
      <c r="AD8799">
        <v>-1.160552</v>
      </c>
      <c r="AE8799">
        <v>-3.1765899999999898</v>
      </c>
      <c r="AF8799">
        <v>2.44518765608177</v>
      </c>
      <c r="AG8799">
        <v>-1.160552</v>
      </c>
      <c r="AH8799">
        <v>17.549435386618299</v>
      </c>
      <c r="AI8799">
        <v>93.747391519227193</v>
      </c>
      <c r="AJ8799">
        <v>82.067963790613305</v>
      </c>
      <c r="AK8799">
        <v>17.756928394495802</v>
      </c>
      <c r="AL8799">
        <v>85.326712140286702</v>
      </c>
      <c r="AM8799">
        <v>83.688495885716094</v>
      </c>
      <c r="AN8799">
        <v>0.99999996755131504</v>
      </c>
    </row>
    <row r="8800" spans="1:40" x14ac:dyDescent="0.25">
      <c r="A8800" t="str">
        <f>"20190312150858929"</f>
        <v>20190312150858929</v>
      </c>
      <c r="B8800" t="str">
        <f>"1552374538918147"</f>
        <v>1552374538918147</v>
      </c>
      <c r="C8800" t="s">
        <v>40</v>
      </c>
      <c r="D8800">
        <v>4.7400479999999998</v>
      </c>
      <c r="E8800">
        <v>0.51070850000000001</v>
      </c>
      <c r="F8800" t="s">
        <v>43</v>
      </c>
      <c r="G8800">
        <v>-318.50170000000003</v>
      </c>
      <c r="H8800">
        <v>-0.05</v>
      </c>
      <c r="I8800">
        <v>13.082929999999999</v>
      </c>
      <c r="J8800">
        <v>-336.23410000000001</v>
      </c>
      <c r="K8800">
        <v>1.110549</v>
      </c>
      <c r="L8800">
        <v>16.303619999999999</v>
      </c>
      <c r="M8800">
        <v>0.99907279999999998</v>
      </c>
      <c r="N8800">
        <v>0</v>
      </c>
      <c r="O8800">
        <v>-4.0997079999999998E-2</v>
      </c>
      <c r="P8800">
        <v>0.98623519999999998</v>
      </c>
      <c r="Q8800">
        <v>6.8523940000000005E-2</v>
      </c>
      <c r="R8800">
        <v>-0.15048159999999999</v>
      </c>
      <c r="S8800">
        <v>2.9733580000000002</v>
      </c>
      <c r="T8800">
        <v>-0.19320950000000001</v>
      </c>
      <c r="U8800">
        <v>-0.53704830000000003</v>
      </c>
      <c r="V8800">
        <v>0.10991430000000001</v>
      </c>
      <c r="W8800">
        <v>8.1556539999999997E-2</v>
      </c>
      <c r="X8800">
        <v>0.99058939999999995</v>
      </c>
      <c r="Y8800">
        <v>0.13705100000000001</v>
      </c>
      <c r="Z8800">
        <v>-1.7753679999999901E-3</v>
      </c>
      <c r="AA8800">
        <v>0.99056239999999995</v>
      </c>
      <c r="AB8800">
        <v>25</v>
      </c>
      <c r="AC8800">
        <v>17.732399999999899</v>
      </c>
      <c r="AD8800">
        <v>-1.1605490000000001</v>
      </c>
      <c r="AE8800">
        <v>-3.2206899999999998</v>
      </c>
      <c r="AF8800">
        <v>2.4806559667441102</v>
      </c>
      <c r="AG8800">
        <v>-1.1605490000000001</v>
      </c>
      <c r="AH8800">
        <v>17.7758295080165</v>
      </c>
      <c r="AI8800">
        <v>93.6996769579833</v>
      </c>
      <c r="AJ8800">
        <v>82.055555457914096</v>
      </c>
      <c r="AK8800">
        <v>17.985567622535999</v>
      </c>
      <c r="AL8800">
        <v>85.321958642416504</v>
      </c>
      <c r="AM8800">
        <v>83.668446533942998</v>
      </c>
      <c r="AN8800">
        <v>0.99999999097681003</v>
      </c>
    </row>
    <row r="8801" spans="1:40" x14ac:dyDescent="0.25">
      <c r="A8801" t="str">
        <f>"20190312150858939"</f>
        <v>20190312150858939</v>
      </c>
      <c r="B8801" t="str">
        <f>"1552374538928883"</f>
        <v>1552374538928883</v>
      </c>
      <c r="C8801" t="s">
        <v>40</v>
      </c>
      <c r="D8801">
        <v>4.7611030000000003</v>
      </c>
      <c r="E8801">
        <v>0.51065360000000004</v>
      </c>
      <c r="F8801" t="s">
        <v>43</v>
      </c>
      <c r="G8801">
        <v>-318.36689999999999</v>
      </c>
      <c r="H8801">
        <v>-0.05</v>
      </c>
      <c r="I8801">
        <v>13.059480000000001</v>
      </c>
      <c r="J8801">
        <v>-336.11849999999998</v>
      </c>
      <c r="K8801">
        <v>1.110549</v>
      </c>
      <c r="L8801">
        <v>16.29889</v>
      </c>
      <c r="M8801">
        <v>0.99907380000000001</v>
      </c>
      <c r="N8801">
        <v>0</v>
      </c>
      <c r="O8801">
        <v>-4.0974200000000002E-2</v>
      </c>
      <c r="P8801">
        <v>0.98620739999999996</v>
      </c>
      <c r="Q8801">
        <v>6.8588869999999996E-2</v>
      </c>
      <c r="R8801">
        <v>-0.150634299999999</v>
      </c>
      <c r="S8801">
        <v>2.972931</v>
      </c>
      <c r="T8801">
        <v>-0.19310459999999999</v>
      </c>
      <c r="U8801">
        <v>-0.53979489999999997</v>
      </c>
      <c r="V8801">
        <v>0.11009090000000001</v>
      </c>
      <c r="W8801">
        <v>8.1619269999999994E-2</v>
      </c>
      <c r="X8801">
        <v>0.99056460000000002</v>
      </c>
      <c r="Y8801">
        <v>0.13798289999999999</v>
      </c>
      <c r="Z8801">
        <v>-1.8059809999999999E-3</v>
      </c>
      <c r="AA8801">
        <v>0.99043300000000001</v>
      </c>
      <c r="AB8801">
        <v>25</v>
      </c>
      <c r="AC8801">
        <v>17.7515999999999</v>
      </c>
      <c r="AD8801">
        <v>-1.1605490000000001</v>
      </c>
      <c r="AE8801">
        <v>-3.2394099999999901</v>
      </c>
      <c r="AF8801">
        <v>2.49893203643341</v>
      </c>
      <c r="AG8801">
        <v>-1.1605490000000001</v>
      </c>
      <c r="AH8801">
        <v>17.7958223312413</v>
      </c>
      <c r="AI8801">
        <v>93.695091778839995</v>
      </c>
      <c r="AJ8801">
        <v>82.006654624831199</v>
      </c>
      <c r="AK8801">
        <v>18.0078546126189</v>
      </c>
      <c r="AL8801">
        <v>85.318352353166404</v>
      </c>
      <c r="AM8801">
        <v>83.658198924138205</v>
      </c>
      <c r="AN8801">
        <v>0.99999996913565103</v>
      </c>
    </row>
    <row r="8802" spans="1:40" x14ac:dyDescent="0.25">
      <c r="A8802" t="str">
        <f>"20190312150858949"</f>
        <v>20190312150858949</v>
      </c>
      <c r="B8802" t="str">
        <f>"1552374538938644"</f>
        <v>1552374538938644</v>
      </c>
      <c r="C8802" t="s">
        <v>40</v>
      </c>
      <c r="D8802">
        <v>4.7237869999999997</v>
      </c>
      <c r="E8802">
        <v>0.51070320000000002</v>
      </c>
      <c r="F8802" t="s">
        <v>43</v>
      </c>
      <c r="G8802">
        <v>-318.2654</v>
      </c>
      <c r="H8802">
        <v>-0.05</v>
      </c>
      <c r="I8802">
        <v>13.05768</v>
      </c>
      <c r="J8802">
        <v>-336.00630000000001</v>
      </c>
      <c r="K8802">
        <v>1.1105480000000001</v>
      </c>
      <c r="L8802">
        <v>16.294309999999999</v>
      </c>
      <c r="M8802">
        <v>0.99907469999999998</v>
      </c>
      <c r="N8802">
        <v>0</v>
      </c>
      <c r="O8802">
        <v>-4.09536E-2</v>
      </c>
      <c r="P8802">
        <v>0.98614690000000005</v>
      </c>
      <c r="Q8802">
        <v>6.8698700000000001E-2</v>
      </c>
      <c r="R8802">
        <v>-0.1509808</v>
      </c>
      <c r="S8802">
        <v>2.972931</v>
      </c>
      <c r="T8802">
        <v>-0.1932565</v>
      </c>
      <c r="U8802">
        <v>-0.53973389999999999</v>
      </c>
      <c r="V8802">
        <v>0.1104604</v>
      </c>
      <c r="W8802">
        <v>8.1727159999999993E-2</v>
      </c>
      <c r="X8802">
        <v>0.99051460000000002</v>
      </c>
      <c r="Y8802">
        <v>0.1379832</v>
      </c>
      <c r="Z8802">
        <v>-1.8087380000000001E-3</v>
      </c>
      <c r="AA8802">
        <v>0.99043289999999995</v>
      </c>
      <c r="AB8802">
        <v>25</v>
      </c>
      <c r="AC8802">
        <v>17.7409</v>
      </c>
      <c r="AD8802">
        <v>-1.1605479999999999</v>
      </c>
      <c r="AE8802">
        <v>-3.2366299999999999</v>
      </c>
      <c r="AF8802">
        <v>2.4969566578664901</v>
      </c>
      <c r="AG8802">
        <v>-1.1605479999999999</v>
      </c>
      <c r="AH8802">
        <v>17.7849209410426</v>
      </c>
      <c r="AI8802">
        <v>93.697359944334394</v>
      </c>
      <c r="AJ8802">
        <v>82.008059187335604</v>
      </c>
      <c r="AK8802">
        <v>17.996807413835999</v>
      </c>
      <c r="AL8802">
        <v>85.312150138680096</v>
      </c>
      <c r="AM8802">
        <v>83.636769555176599</v>
      </c>
      <c r="AN8802">
        <v>1.00000000073149</v>
      </c>
    </row>
    <row r="8803" spans="1:40" x14ac:dyDescent="0.25">
      <c r="A8803" t="str">
        <f>"20190312150858959"</f>
        <v>20190312150858959</v>
      </c>
      <c r="B8803" t="str">
        <f>"1552374538947989"</f>
        <v>1552374538947989</v>
      </c>
      <c r="C8803" t="s">
        <v>40</v>
      </c>
      <c r="D8803">
        <v>4.7680199999999999</v>
      </c>
      <c r="E8803">
        <v>0.51063769999999997</v>
      </c>
      <c r="F8803" t="s">
        <v>43</v>
      </c>
      <c r="G8803">
        <v>-318.0958</v>
      </c>
      <c r="H8803">
        <v>-0.05</v>
      </c>
      <c r="I8803">
        <v>13.03247</v>
      </c>
      <c r="J8803">
        <v>-335.89150000000001</v>
      </c>
      <c r="K8803">
        <v>1.11054599999999</v>
      </c>
      <c r="L8803">
        <v>16.289639999999999</v>
      </c>
      <c r="M8803">
        <v>0.99907559999999995</v>
      </c>
      <c r="N8803">
        <v>0</v>
      </c>
      <c r="O8803">
        <v>-4.0934070000000003E-2</v>
      </c>
      <c r="P8803">
        <v>0.9861375</v>
      </c>
      <c r="Q8803">
        <v>6.8632600000000002E-2</v>
      </c>
      <c r="R8803">
        <v>-0.15107200000000001</v>
      </c>
      <c r="S8803">
        <v>2.9726870000000001</v>
      </c>
      <c r="T8803">
        <v>-0.19262099999999999</v>
      </c>
      <c r="U8803">
        <v>-0.54138180000000002</v>
      </c>
      <c r="V8803">
        <v>0.1105718</v>
      </c>
      <c r="W8803">
        <v>8.1658709999999995E-2</v>
      </c>
      <c r="X8803">
        <v>0.99050780000000005</v>
      </c>
      <c r="Y8803">
        <v>0.13854849999999999</v>
      </c>
      <c r="Z8803">
        <v>-1.8222620000000001E-3</v>
      </c>
      <c r="AA8803">
        <v>0.99035399999999996</v>
      </c>
      <c r="AB8803">
        <v>25</v>
      </c>
      <c r="AC8803">
        <v>17.7957</v>
      </c>
      <c r="AD8803">
        <v>-1.1605460000000001</v>
      </c>
      <c r="AE8803">
        <v>-3.2571699999999901</v>
      </c>
      <c r="AF8803">
        <v>2.5155743966930899</v>
      </c>
      <c r="AG8803">
        <v>-1.1605460000000001</v>
      </c>
      <c r="AH8803">
        <v>17.8407057921678</v>
      </c>
      <c r="AI8803">
        <v>93.685517940882093</v>
      </c>
      <c r="AJ8803">
        <v>81.974093134586496</v>
      </c>
      <c r="AK8803">
        <v>18.0545220021496</v>
      </c>
      <c r="AL8803">
        <v>85.316085113032898</v>
      </c>
      <c r="AM8803">
        <v>83.630361546182897</v>
      </c>
      <c r="AN8803">
        <v>0.99999998486747199</v>
      </c>
    </row>
    <row r="8804" spans="1:40" x14ac:dyDescent="0.25">
      <c r="A8804" t="str">
        <f>"20190312150858972"</f>
        <v>20190312150858972</v>
      </c>
      <c r="B8804" t="str">
        <f>"1552374538968484"</f>
        <v>1552374538968484</v>
      </c>
      <c r="C8804" t="s">
        <v>40</v>
      </c>
      <c r="D8804">
        <v>4.7279949999999999</v>
      </c>
      <c r="E8804">
        <v>0.51074279999999905</v>
      </c>
      <c r="F8804" t="s">
        <v>43</v>
      </c>
      <c r="G8804">
        <v>-318.02690000000001</v>
      </c>
      <c r="H8804">
        <v>-0.05</v>
      </c>
      <c r="I8804">
        <v>13.037800000000001</v>
      </c>
      <c r="J8804">
        <v>-335.76420000000002</v>
      </c>
      <c r="K8804">
        <v>1.1105430000000001</v>
      </c>
      <c r="L8804">
        <v>16.28445</v>
      </c>
      <c r="M8804">
        <v>0.99907630000000003</v>
      </c>
      <c r="N8804">
        <v>0</v>
      </c>
      <c r="O8804">
        <v>-4.0915529999999999E-2</v>
      </c>
      <c r="P8804">
        <v>0.98612719999999998</v>
      </c>
      <c r="Q8804">
        <v>6.8575699999999906E-2</v>
      </c>
      <c r="R8804">
        <v>-0.15116450000000001</v>
      </c>
      <c r="S8804">
        <v>2.9726560000000002</v>
      </c>
      <c r="T8804">
        <v>-0.19311449999999999</v>
      </c>
      <c r="U8804">
        <v>-0.54110719999999901</v>
      </c>
      <c r="V8804">
        <v>0.1106837</v>
      </c>
      <c r="W8804">
        <v>8.1599790000000005E-2</v>
      </c>
      <c r="X8804">
        <v>0.99050020000000005</v>
      </c>
      <c r="Y8804">
        <v>0.13847909999999999</v>
      </c>
      <c r="Z8804">
        <v>-1.825913E-3</v>
      </c>
      <c r="AA8804">
        <v>0.99036369999999896</v>
      </c>
      <c r="AB8804">
        <v>25</v>
      </c>
      <c r="AC8804">
        <v>17.737300000000001</v>
      </c>
      <c r="AD8804">
        <v>-1.1605430000000001</v>
      </c>
      <c r="AE8804">
        <v>-3.24664999999999</v>
      </c>
      <c r="AF8804">
        <v>2.5077494936982898</v>
      </c>
      <c r="AG8804">
        <v>-1.1605430000000001</v>
      </c>
      <c r="AH8804">
        <v>17.7816384220415</v>
      </c>
      <c r="AI8804">
        <v>93.697702676382903</v>
      </c>
      <c r="AJ8804">
        <v>81.972501726952103</v>
      </c>
      <c r="AK8804">
        <v>17.995064116312999</v>
      </c>
      <c r="AL8804">
        <v>85.319472480376106</v>
      </c>
      <c r="AM8804">
        <v>83.623919935915794</v>
      </c>
      <c r="AN8804">
        <v>1.00000002668688</v>
      </c>
    </row>
    <row r="8805" spans="1:40" x14ac:dyDescent="0.25">
      <c r="A8805" t="str">
        <f>"20190312150858983"</f>
        <v>20190312150858983</v>
      </c>
      <c r="B8805" t="str">
        <f>"1552374538978245"</f>
        <v>1552374538978245</v>
      </c>
      <c r="C8805" t="s">
        <v>40</v>
      </c>
      <c r="D8805">
        <v>4.7957960000000002</v>
      </c>
      <c r="E8805">
        <v>0.51069989999999998</v>
      </c>
      <c r="F8805" t="s">
        <v>43</v>
      </c>
      <c r="G8805">
        <v>-317.83839999999998</v>
      </c>
      <c r="H8805">
        <v>-0.05</v>
      </c>
      <c r="I8805">
        <v>13.01408</v>
      </c>
      <c r="J8805">
        <v>-335.63350000000003</v>
      </c>
      <c r="K8805">
        <v>1.1105370000000001</v>
      </c>
      <c r="L8805">
        <v>16.279109999999999</v>
      </c>
      <c r="M8805">
        <v>0.99907699999999999</v>
      </c>
      <c r="N8805">
        <v>0</v>
      </c>
      <c r="O8805">
        <v>-4.0898660000000003E-2</v>
      </c>
      <c r="P8805">
        <v>0.98611119999999997</v>
      </c>
      <c r="Q8805">
        <v>6.8784979999999996E-2</v>
      </c>
      <c r="R8805">
        <v>-0.15117420000000001</v>
      </c>
      <c r="S8805">
        <v>2.9724729999999999</v>
      </c>
      <c r="T8805">
        <v>-0.19244249999999999</v>
      </c>
      <c r="U8805">
        <v>-0.54229740000000004</v>
      </c>
      <c r="V8805">
        <v>0.1107115</v>
      </c>
      <c r="W8805">
        <v>8.1805569999999994E-2</v>
      </c>
      <c r="X8805">
        <v>0.99048009999999997</v>
      </c>
      <c r="Y8805">
        <v>0.13889089999999901</v>
      </c>
      <c r="Z8805">
        <v>-1.83391E-3</v>
      </c>
      <c r="AA8805">
        <v>0.99030600000000002</v>
      </c>
      <c r="AB8805">
        <v>25</v>
      </c>
      <c r="AC8805">
        <v>17.795100000000001</v>
      </c>
      <c r="AD8805">
        <v>-1.1605369999999999</v>
      </c>
      <c r="AE8805">
        <v>-3.2650299999999901</v>
      </c>
      <c r="AF8805">
        <v>2.5240534652928899</v>
      </c>
      <c r="AG8805">
        <v>-1.1605369999999999</v>
      </c>
      <c r="AH8805">
        <v>17.8403475747944</v>
      </c>
      <c r="AI8805">
        <v>93.685319904733603</v>
      </c>
      <c r="AJ8805">
        <v>81.947235461076303</v>
      </c>
      <c r="AK8805">
        <v>18.055350830529399</v>
      </c>
      <c r="AL8805">
        <v>85.307642517045494</v>
      </c>
      <c r="AM8805">
        <v>83.622203317443393</v>
      </c>
      <c r="AN8805">
        <v>1.0000000080056399</v>
      </c>
    </row>
    <row r="8806" spans="1:40" x14ac:dyDescent="0.25">
      <c r="A8806" t="str">
        <f>"20190312150858995"</f>
        <v>20190312150858995</v>
      </c>
      <c r="B8806" t="str">
        <f>"1552374538988006"</f>
        <v>1552374538988006</v>
      </c>
      <c r="C8806" t="s">
        <v>40</v>
      </c>
      <c r="D8806">
        <v>4.7232120000000002</v>
      </c>
      <c r="E8806">
        <v>0.51067129999999905</v>
      </c>
      <c r="F8806" t="s">
        <v>43</v>
      </c>
      <c r="G8806">
        <v>-317.66030000000001</v>
      </c>
      <c r="H8806">
        <v>-0.05</v>
      </c>
      <c r="I8806">
        <v>13.002039999999999</v>
      </c>
      <c r="J8806">
        <v>-335.5018</v>
      </c>
      <c r="K8806">
        <v>1.1105339999999999</v>
      </c>
      <c r="L8806">
        <v>16.27374</v>
      </c>
      <c r="M8806">
        <v>0.99907749999999995</v>
      </c>
      <c r="N8806">
        <v>0</v>
      </c>
      <c r="O8806">
        <v>-4.0886690000000003E-2</v>
      </c>
      <c r="P8806">
        <v>0.98609519999999995</v>
      </c>
      <c r="Q8806">
        <v>6.8583030000000003E-2</v>
      </c>
      <c r="R8806">
        <v>-0.15137020000000001</v>
      </c>
      <c r="S8806">
        <v>2.9725649999999999</v>
      </c>
      <c r="T8806">
        <v>-0.19194040000000001</v>
      </c>
      <c r="U8806">
        <v>-0.54199219999999904</v>
      </c>
      <c r="V8806">
        <v>0.11092100000000001</v>
      </c>
      <c r="W8806">
        <v>8.1600740000000005E-2</v>
      </c>
      <c r="X8806">
        <v>0.99047359999999895</v>
      </c>
      <c r="Y8806">
        <v>0.13880020000000001</v>
      </c>
      <c r="Z8806">
        <v>-1.826956E-3</v>
      </c>
      <c r="AA8806">
        <v>0.9903187</v>
      </c>
      <c r="AB8806">
        <v>25</v>
      </c>
      <c r="AC8806">
        <v>17.8414999999999</v>
      </c>
      <c r="AD8806">
        <v>-1.160534</v>
      </c>
      <c r="AE8806">
        <v>-3.2717000000000001</v>
      </c>
      <c r="AF8806">
        <v>2.5290683097425402</v>
      </c>
      <c r="AG8806">
        <v>-1.160534</v>
      </c>
      <c r="AH8806">
        <v>17.887138623336501</v>
      </c>
      <c r="AI8806">
        <v>93.675742059738198</v>
      </c>
      <c r="AJ8806">
        <v>81.952276234262797</v>
      </c>
      <c r="AK8806">
        <v>18.102285872534399</v>
      </c>
      <c r="AL8806">
        <v>85.319417979686605</v>
      </c>
      <c r="AM8806">
        <v>83.610192716828195</v>
      </c>
      <c r="AN8806">
        <v>1.00000005065325</v>
      </c>
    </row>
    <row r="8807" spans="1:40" x14ac:dyDescent="0.25">
      <c r="A8807" t="str">
        <f>"20190312150859005"</f>
        <v>20190312150859005</v>
      </c>
      <c r="B8807" t="str">
        <f>"1552374538998740"</f>
        <v>1552374538998740</v>
      </c>
      <c r="C8807" t="s">
        <v>40</v>
      </c>
      <c r="D8807">
        <v>4.7397710000000002</v>
      </c>
      <c r="E8807">
        <v>0.51065590000000005</v>
      </c>
      <c r="F8807" t="s">
        <v>43</v>
      </c>
      <c r="G8807">
        <v>-317.97649999999999</v>
      </c>
      <c r="H8807">
        <v>-0.05</v>
      </c>
      <c r="I8807">
        <v>13.075939999999999</v>
      </c>
      <c r="J8807">
        <v>-335.38350000000003</v>
      </c>
      <c r="K8807">
        <v>1.1105290000000001</v>
      </c>
      <c r="L8807">
        <v>16.268920000000001</v>
      </c>
      <c r="M8807">
        <v>0.99907800000000002</v>
      </c>
      <c r="N8807">
        <v>0</v>
      </c>
      <c r="O8807">
        <v>-4.087698E-2</v>
      </c>
      <c r="P8807">
        <v>0.9860563</v>
      </c>
      <c r="Q8807">
        <v>6.848601E-2</v>
      </c>
      <c r="R8807">
        <v>-0.15166789999999999</v>
      </c>
      <c r="S8807">
        <v>2.9726870000000001</v>
      </c>
      <c r="T8807">
        <v>-0.19685320000000001</v>
      </c>
      <c r="U8807">
        <v>-0.5424194</v>
      </c>
      <c r="V8807">
        <v>0.1112306</v>
      </c>
      <c r="W8807">
        <v>8.1500950000000003E-2</v>
      </c>
      <c r="X8807">
        <v>0.99044699999999997</v>
      </c>
      <c r="Y8807">
        <v>0.1389299</v>
      </c>
      <c r="Z8807">
        <v>-1.878413E-3</v>
      </c>
      <c r="AA8807">
        <v>0.99030039999999997</v>
      </c>
      <c r="AB8807">
        <v>25</v>
      </c>
      <c r="AC8807">
        <v>17.407</v>
      </c>
      <c r="AD8807">
        <v>-1.1605289999999999</v>
      </c>
      <c r="AE8807">
        <v>-3.1929799999999999</v>
      </c>
      <c r="AF8807">
        <v>2.4680905714521999</v>
      </c>
      <c r="AG8807">
        <v>-1.1605289999999999</v>
      </c>
      <c r="AH8807">
        <v>17.447948877095499</v>
      </c>
      <c r="AI8807">
        <v>93.767952835577901</v>
      </c>
      <c r="AJ8807">
        <v>81.948672278172893</v>
      </c>
      <c r="AK8807">
        <v>17.659819326552299</v>
      </c>
      <c r="AL8807">
        <v>85.325154187247705</v>
      </c>
      <c r="AM8807">
        <v>83.592335116108401</v>
      </c>
      <c r="AN8807">
        <v>0.99999995551813003</v>
      </c>
    </row>
    <row r="8808" spans="1:40" x14ac:dyDescent="0.25">
      <c r="A8808" t="str">
        <f>"20190312150859016"</f>
        <v>20190312150859016</v>
      </c>
      <c r="B8808" t="str">
        <f>"1552374539008500"</f>
        <v>1552374539008500</v>
      </c>
      <c r="C8808" t="s">
        <v>40</v>
      </c>
      <c r="D8808">
        <v>5.0421569999999996</v>
      </c>
      <c r="E8808">
        <v>0.51063809999999998</v>
      </c>
      <c r="F8808" t="s">
        <v>43</v>
      </c>
      <c r="G8808">
        <v>-318.10849999999999</v>
      </c>
      <c r="H8808">
        <v>-0.05</v>
      </c>
      <c r="I8808">
        <v>13.112959999999999</v>
      </c>
      <c r="J8808">
        <v>-335.2595</v>
      </c>
      <c r="K8808">
        <v>1.110527</v>
      </c>
      <c r="L8808">
        <v>16.263850000000001</v>
      </c>
      <c r="M8808">
        <v>0.99907809999999997</v>
      </c>
      <c r="N8808">
        <v>0</v>
      </c>
      <c r="O8808">
        <v>-4.0870730000000001E-2</v>
      </c>
      <c r="P8808">
        <v>0.98607900000000004</v>
      </c>
      <c r="Q8808">
        <v>6.8254350000000005E-2</v>
      </c>
      <c r="R8808">
        <v>-0.15162249999999999</v>
      </c>
      <c r="S8808">
        <v>2.9727480000000002</v>
      </c>
      <c r="T8808">
        <v>-0.1997082</v>
      </c>
      <c r="U8808">
        <v>-0.54309079999999998</v>
      </c>
      <c r="V8808">
        <v>0.1111917</v>
      </c>
      <c r="W8808">
        <v>8.1266630000000006E-2</v>
      </c>
      <c r="X8808">
        <v>0.99047059999999998</v>
      </c>
      <c r="Y8808">
        <v>0.1391424</v>
      </c>
      <c r="Z8808">
        <v>-1.913009E-3</v>
      </c>
      <c r="AA8808">
        <v>0.9902706</v>
      </c>
      <c r="AB8808">
        <v>25</v>
      </c>
      <c r="AC8808">
        <v>17.151</v>
      </c>
      <c r="AD8808">
        <v>-1.1605270000000001</v>
      </c>
      <c r="AE8808">
        <v>-3.15089</v>
      </c>
      <c r="AF8808">
        <v>2.43643122621233</v>
      </c>
      <c r="AG8808">
        <v>-1.1605270000000001</v>
      </c>
      <c r="AH8808">
        <v>17.189323907080102</v>
      </c>
      <c r="AI8808">
        <v>93.824319020309602</v>
      </c>
      <c r="AJ8808">
        <v>81.932581082349202</v>
      </c>
      <c r="AK8808">
        <v>17.399881505927102</v>
      </c>
      <c r="AL8808">
        <v>85.338624319139299</v>
      </c>
      <c r="AM8808">
        <v>83.594708755658601</v>
      </c>
      <c r="AN8808">
        <v>0.99999993438240098</v>
      </c>
    </row>
    <row r="8809" spans="1:40" x14ac:dyDescent="0.25">
      <c r="A8809" t="str">
        <f>"20190312150859028"</f>
        <v>20190312150859028</v>
      </c>
      <c r="B8809" t="str">
        <f>"1552374539018261"</f>
        <v>1552374539018261</v>
      </c>
      <c r="C8809" t="s">
        <v>40</v>
      </c>
      <c r="D8809">
        <v>4.7657259999999999</v>
      </c>
      <c r="E8809">
        <v>0.51066889999999998</v>
      </c>
      <c r="F8809" t="s">
        <v>43</v>
      </c>
      <c r="G8809">
        <v>-318.01819999999998</v>
      </c>
      <c r="H8809">
        <v>-0.05</v>
      </c>
      <c r="I8809">
        <v>13.115830000000001</v>
      </c>
      <c r="J8809">
        <v>-335.1309</v>
      </c>
      <c r="K8809">
        <v>1.11052</v>
      </c>
      <c r="L8809">
        <v>16.258610000000001</v>
      </c>
      <c r="M8809">
        <v>0.99907849999999998</v>
      </c>
      <c r="N8809">
        <v>0</v>
      </c>
      <c r="O8809">
        <v>-4.0865310000000002E-2</v>
      </c>
      <c r="P8809">
        <v>0.98606450000000001</v>
      </c>
      <c r="Q8809">
        <v>6.8177570000000007E-2</v>
      </c>
      <c r="R8809">
        <v>-0.151753</v>
      </c>
      <c r="S8809">
        <v>2.9727480000000002</v>
      </c>
      <c r="T8809">
        <v>-0.2000989</v>
      </c>
      <c r="U8809">
        <v>-0.54278559999999998</v>
      </c>
      <c r="V8809">
        <v>0.1113287</v>
      </c>
      <c r="W8809">
        <v>8.1187259999999997E-2</v>
      </c>
      <c r="X8809">
        <v>0.99046179999999995</v>
      </c>
      <c r="Y8809">
        <v>0.139048799999999</v>
      </c>
      <c r="Z8809">
        <v>-1.913999E-3</v>
      </c>
      <c r="AA8809">
        <v>0.99028369999999999</v>
      </c>
      <c r="AB8809">
        <v>25</v>
      </c>
      <c r="AC8809">
        <v>17.1127</v>
      </c>
      <c r="AD8809">
        <v>-1.16052</v>
      </c>
      <c r="AE8809">
        <v>-3.1427800000000001</v>
      </c>
      <c r="AF8809">
        <v>2.4299673580470098</v>
      </c>
      <c r="AG8809">
        <v>-1.16052</v>
      </c>
      <c r="AH8809">
        <v>17.150541754749899</v>
      </c>
      <c r="AI8809">
        <v>93.832948000358201</v>
      </c>
      <c r="AJ8809">
        <v>81.935747498819893</v>
      </c>
      <c r="AK8809">
        <v>17.360663308554599</v>
      </c>
      <c r="AL8809">
        <v>85.343187333435395</v>
      </c>
      <c r="AM8809">
        <v>83.586825962255404</v>
      </c>
      <c r="AN8809">
        <v>1.0000000139446099</v>
      </c>
    </row>
    <row r="8810" spans="1:40" x14ac:dyDescent="0.25">
      <c r="A8810" t="str">
        <f>"20190312150859038"</f>
        <v>20190312150859038</v>
      </c>
      <c r="B8810" t="str">
        <f>"1552374539028021"</f>
        <v>1552374539028021</v>
      </c>
      <c r="C8810" t="s">
        <v>40</v>
      </c>
      <c r="D8810">
        <v>4.7660999999999998</v>
      </c>
      <c r="E8810">
        <v>0.51069889999999996</v>
      </c>
      <c r="F8810" t="s">
        <v>43</v>
      </c>
      <c r="G8810">
        <v>-317.88380000000001</v>
      </c>
      <c r="H8810">
        <v>-0.05</v>
      </c>
      <c r="I8810">
        <v>13.105090000000001</v>
      </c>
      <c r="J8810">
        <v>-335.00850000000003</v>
      </c>
      <c r="K8810">
        <v>1.1105160000000001</v>
      </c>
      <c r="L8810">
        <v>16.253599999999999</v>
      </c>
      <c r="M8810">
        <v>0.99907860000000004</v>
      </c>
      <c r="N8810">
        <v>0</v>
      </c>
      <c r="O8810">
        <v>-4.0862620000000002E-2</v>
      </c>
      <c r="P8810">
        <v>0.98604040000000004</v>
      </c>
      <c r="Q8810">
        <v>6.8249080000000004E-2</v>
      </c>
      <c r="R8810">
        <v>-0.15187719999999999</v>
      </c>
      <c r="S8810">
        <v>2.9725950000000001</v>
      </c>
      <c r="T8810">
        <v>-0.200019</v>
      </c>
      <c r="U8810">
        <v>-0.5435181</v>
      </c>
      <c r="V8810">
        <v>0.1114573</v>
      </c>
      <c r="W8810">
        <v>8.12557E-2</v>
      </c>
      <c r="X8810">
        <v>0.99044169999999998</v>
      </c>
      <c r="Y8810">
        <v>0.13929620000000001</v>
      </c>
      <c r="Z8810">
        <v>-1.921718E-3</v>
      </c>
      <c r="AA8810">
        <v>0.99024889999999999</v>
      </c>
      <c r="AB8810">
        <v>25</v>
      </c>
      <c r="AC8810">
        <v>17.124700000000001</v>
      </c>
      <c r="AD8810">
        <v>-1.1605159999999901</v>
      </c>
      <c r="AE8810">
        <v>-3.1485099999999999</v>
      </c>
      <c r="AF8810">
        <v>2.4352411360186599</v>
      </c>
      <c r="AG8810">
        <v>-1.1605159999999901</v>
      </c>
      <c r="AH8810">
        <v>17.162817789637799</v>
      </c>
      <c r="AI8810">
        <v>93.830092104782693</v>
      </c>
      <c r="AJ8810">
        <v>81.924180733241798</v>
      </c>
      <c r="AK8810">
        <v>17.373529038658798</v>
      </c>
      <c r="AL8810">
        <v>85.339252898876097</v>
      </c>
      <c r="AM8810">
        <v>83.579350478333893</v>
      </c>
      <c r="AN8810">
        <v>0.99999998980233495</v>
      </c>
    </row>
    <row r="8811" spans="1:40" x14ac:dyDescent="0.25">
      <c r="A8811" t="str">
        <f>"20190312150859050"</f>
        <v>20190312150859050</v>
      </c>
      <c r="B8811" t="str">
        <f>"1552374539038757"</f>
        <v>1552374539038757</v>
      </c>
      <c r="C8811" t="s">
        <v>40</v>
      </c>
      <c r="D8811">
        <v>4.7594099999999999</v>
      </c>
      <c r="E8811">
        <v>0.510714</v>
      </c>
      <c r="F8811" t="s">
        <v>43</v>
      </c>
      <c r="G8811">
        <v>-317.73630000000003</v>
      </c>
      <c r="H8811">
        <v>-0.05</v>
      </c>
      <c r="I8811">
        <v>13.092000000000001</v>
      </c>
      <c r="J8811">
        <v>-334.88339999999999</v>
      </c>
      <c r="K8811">
        <v>1.1105119999999999</v>
      </c>
      <c r="L8811">
        <v>16.248470000000001</v>
      </c>
      <c r="M8811">
        <v>0.99907869999999999</v>
      </c>
      <c r="N8811">
        <v>0</v>
      </c>
      <c r="O8811">
        <v>-4.0861229999999998E-2</v>
      </c>
      <c r="P8811">
        <v>0.98602429999999996</v>
      </c>
      <c r="Q8811">
        <v>6.8174559999999995E-2</v>
      </c>
      <c r="R8811">
        <v>-0.1520157</v>
      </c>
      <c r="S8811">
        <v>2.9724729999999999</v>
      </c>
      <c r="T8811">
        <v>-0.19971910000000001</v>
      </c>
      <c r="U8811">
        <v>-0.54409790000000002</v>
      </c>
      <c r="V8811">
        <v>0.11159810000000001</v>
      </c>
      <c r="W8811">
        <v>8.1179189999999998E-2</v>
      </c>
      <c r="X8811">
        <v>0.99043210000000004</v>
      </c>
      <c r="Y8811">
        <v>0.139491899999999</v>
      </c>
      <c r="Z8811">
        <v>-1.9254960000000001E-3</v>
      </c>
      <c r="AA8811">
        <v>0.99022129999999997</v>
      </c>
      <c r="AB8811">
        <v>25</v>
      </c>
      <c r="AC8811">
        <v>17.147099999999899</v>
      </c>
      <c r="AD8811">
        <v>-1.160512</v>
      </c>
      <c r="AE8811">
        <v>-3.1564700000000001</v>
      </c>
      <c r="AF8811">
        <v>2.4423010341751499</v>
      </c>
      <c r="AG8811">
        <v>-1.160512</v>
      </c>
      <c r="AH8811">
        <v>17.185625565813201</v>
      </c>
      <c r="AI8811">
        <v>93.824892873870297</v>
      </c>
      <c r="AJ8811">
        <v>81.911684766513503</v>
      </c>
      <c r="AK8811">
        <v>17.397049995100101</v>
      </c>
      <c r="AL8811">
        <v>85.343651040121003</v>
      </c>
      <c r="AM8811">
        <v>83.571245573290099</v>
      </c>
      <c r="AN8811">
        <v>0.99999997076153702</v>
      </c>
    </row>
    <row r="8812" spans="1:40" x14ac:dyDescent="0.25">
      <c r="A8812" t="str">
        <f>"20190312150859060"</f>
        <v>20190312150859060</v>
      </c>
      <c r="B8812" t="str">
        <f>"1552374539048091"</f>
        <v>1552374539048091</v>
      </c>
      <c r="C8812" t="s">
        <v>40</v>
      </c>
      <c r="D8812">
        <v>4.7596239999999996</v>
      </c>
      <c r="E8812">
        <v>0.51068469999999999</v>
      </c>
      <c r="F8812" t="s">
        <v>43</v>
      </c>
      <c r="G8812">
        <v>-317.6069</v>
      </c>
      <c r="H8812">
        <v>-0.05</v>
      </c>
      <c r="I8812">
        <v>13.08348</v>
      </c>
      <c r="J8812">
        <v>-334.76069999999999</v>
      </c>
      <c r="K8812">
        <v>1.1105069999999999</v>
      </c>
      <c r="L8812">
        <v>16.24344</v>
      </c>
      <c r="M8812">
        <v>0.99907869999999999</v>
      </c>
      <c r="N8812">
        <v>0</v>
      </c>
      <c r="O8812">
        <v>-4.0861370000000001E-2</v>
      </c>
      <c r="P8812">
        <v>0.9859755</v>
      </c>
      <c r="Q8812">
        <v>6.8232130000000002E-2</v>
      </c>
      <c r="R8812">
        <v>-0.1523052</v>
      </c>
      <c r="S8812">
        <v>2.9723510000000002</v>
      </c>
      <c r="T8812">
        <v>-0.1996607</v>
      </c>
      <c r="U8812">
        <v>-0.54452509999999998</v>
      </c>
      <c r="V8812">
        <v>0.11188969999999999</v>
      </c>
      <c r="W8812">
        <v>8.1233840000000002E-2</v>
      </c>
      <c r="X8812">
        <v>0.99039480000000002</v>
      </c>
      <c r="Y8812">
        <v>0.13963639999999999</v>
      </c>
      <c r="Z8812">
        <v>-1.9297889999999999E-3</v>
      </c>
      <c r="AA8812">
        <v>0.99020090000000005</v>
      </c>
      <c r="AB8812">
        <v>25</v>
      </c>
      <c r="AC8812">
        <v>17.153799999999901</v>
      </c>
      <c r="AD8812">
        <v>-1.160507</v>
      </c>
      <c r="AE8812">
        <v>-3.1599599999999999</v>
      </c>
      <c r="AF8812">
        <v>2.4455067691919798</v>
      </c>
      <c r="AG8812">
        <v>-1.160507</v>
      </c>
      <c r="AH8812">
        <v>17.192496203340198</v>
      </c>
      <c r="AI8812">
        <v>93.823283557302503</v>
      </c>
      <c r="AJ8812">
        <v>81.904402506867896</v>
      </c>
      <c r="AK8812">
        <v>17.404286987896999</v>
      </c>
      <c r="AL8812">
        <v>85.340509823688294</v>
      </c>
      <c r="AM8812">
        <v>83.554348048667904</v>
      </c>
      <c r="AN8812">
        <v>1.0000000507971301</v>
      </c>
    </row>
    <row r="8813" spans="1:40" x14ac:dyDescent="0.25">
      <c r="A8813" t="str">
        <f>"20190312150859072"</f>
        <v>20190312150859072</v>
      </c>
      <c r="B8813" t="str">
        <f>"1552374539068587"</f>
        <v>1552374539068587</v>
      </c>
      <c r="C8813" t="s">
        <v>40</v>
      </c>
      <c r="D8813">
        <v>4.7838269999999996</v>
      </c>
      <c r="E8813">
        <v>0.51068119999999995</v>
      </c>
      <c r="F8813" t="s">
        <v>43</v>
      </c>
      <c r="G8813">
        <v>-317.4615</v>
      </c>
      <c r="H8813">
        <v>-0.05</v>
      </c>
      <c r="I8813">
        <v>13.07123</v>
      </c>
      <c r="J8813">
        <v>-334.63979999999998</v>
      </c>
      <c r="K8813">
        <v>1.1105050000000001</v>
      </c>
      <c r="L8813">
        <v>16.238489999999999</v>
      </c>
      <c r="M8813">
        <v>0.99907849999999998</v>
      </c>
      <c r="N8813">
        <v>0</v>
      </c>
      <c r="O8813">
        <v>-4.0865449999999998E-2</v>
      </c>
      <c r="P8813">
        <v>0.98593189999999997</v>
      </c>
      <c r="Q8813">
        <v>6.8025249999999995E-2</v>
      </c>
      <c r="R8813">
        <v>-0.15267929999999999</v>
      </c>
      <c r="S8813">
        <v>2.972321</v>
      </c>
      <c r="T8813">
        <v>-0.19939699999999999</v>
      </c>
      <c r="U8813">
        <v>-0.54504390000000003</v>
      </c>
      <c r="V8813">
        <v>0.11226170000000001</v>
      </c>
      <c r="W8813">
        <v>8.1024719999999995E-2</v>
      </c>
      <c r="X8813">
        <v>0.99036979999999997</v>
      </c>
      <c r="Y8813">
        <v>0.1398017</v>
      </c>
      <c r="Z8813">
        <v>-1.9324570000000001E-3</v>
      </c>
      <c r="AA8813">
        <v>0.99017759999999999</v>
      </c>
      <c r="AB8813">
        <v>25</v>
      </c>
      <c r="AC8813">
        <v>17.178299999999901</v>
      </c>
      <c r="AD8813">
        <v>-1.1605049999999999</v>
      </c>
      <c r="AE8813">
        <v>-3.16725999999999</v>
      </c>
      <c r="AF8813">
        <v>2.4517328738592301</v>
      </c>
      <c r="AG8813">
        <v>-1.1605049999999999</v>
      </c>
      <c r="AH8813">
        <v>17.217395792906299</v>
      </c>
      <c r="AI8813">
        <v>93.817681390596604</v>
      </c>
      <c r="AJ8813">
        <v>81.895647012001604</v>
      </c>
      <c r="AK8813">
        <v>17.429758570599201</v>
      </c>
      <c r="AL8813">
        <v>85.352530989335705</v>
      </c>
      <c r="AM8813">
        <v>83.532937551717296</v>
      </c>
      <c r="AN8813">
        <v>1.0000000176449999</v>
      </c>
    </row>
    <row r="8814" spans="1:40" x14ac:dyDescent="0.25">
      <c r="A8814" t="str">
        <f>"20190312150859085"</f>
        <v>20190312150859085</v>
      </c>
      <c r="B8814" t="str">
        <f>"1552374539078347"</f>
        <v>1552374539078347</v>
      </c>
      <c r="C8814" t="s">
        <v>40</v>
      </c>
      <c r="D8814">
        <v>4.7763609999999996</v>
      </c>
      <c r="E8814">
        <v>0.51071160000000004</v>
      </c>
      <c r="F8814" t="s">
        <v>43</v>
      </c>
      <c r="G8814">
        <v>-317.37110000000001</v>
      </c>
      <c r="H8814">
        <v>-0.05</v>
      </c>
      <c r="I8814">
        <v>13.06517</v>
      </c>
      <c r="J8814">
        <v>-334.49950000000001</v>
      </c>
      <c r="K8814">
        <v>1.1105020000000001</v>
      </c>
      <c r="L8814">
        <v>16.232759999999999</v>
      </c>
      <c r="M8814">
        <v>0.99907820000000003</v>
      </c>
      <c r="N8814">
        <v>0</v>
      </c>
      <c r="O8814">
        <v>-4.0871930000000001E-2</v>
      </c>
      <c r="P8814">
        <v>0.98586819999999997</v>
      </c>
      <c r="Q8814">
        <v>6.8058950000000007E-2</v>
      </c>
      <c r="R8814">
        <v>-0.15307579999999901</v>
      </c>
      <c r="S8814">
        <v>2.9720149999999999</v>
      </c>
      <c r="T8814">
        <v>-0.19972770000000001</v>
      </c>
      <c r="U8814">
        <v>-0.54614259999999903</v>
      </c>
      <c r="V8814">
        <v>0.1126547</v>
      </c>
      <c r="W8814">
        <v>8.1055619999999995E-2</v>
      </c>
      <c r="X8814">
        <v>0.99032260000000005</v>
      </c>
      <c r="Y8814">
        <v>0.14016579999999901</v>
      </c>
      <c r="Z8814">
        <v>-1.9474830000000001E-3</v>
      </c>
      <c r="AA8814">
        <v>0.99012610000000001</v>
      </c>
      <c r="AB8814">
        <v>25</v>
      </c>
      <c r="AC8814">
        <v>17.128399999999999</v>
      </c>
      <c r="AD8814">
        <v>-1.1605019999999999</v>
      </c>
      <c r="AE8814">
        <v>-3.1675899999999899</v>
      </c>
      <c r="AF8814">
        <v>2.4539194627588601</v>
      </c>
      <c r="AG8814">
        <v>-1.1605019999999999</v>
      </c>
      <c r="AH8814">
        <v>17.167361197205199</v>
      </c>
      <c r="AI8814">
        <v>93.828475682802605</v>
      </c>
      <c r="AJ8814">
        <v>81.865190161386295</v>
      </c>
      <c r="AK8814">
        <v>17.380643719293499</v>
      </c>
      <c r="AL8814">
        <v>85.350754501689707</v>
      </c>
      <c r="AM8814">
        <v>83.510184125631497</v>
      </c>
      <c r="AN8814">
        <v>0.99999997351821601</v>
      </c>
    </row>
    <row r="8815" spans="1:40" x14ac:dyDescent="0.25">
      <c r="A8815" t="str">
        <f>"20190312150859095"</f>
        <v>20190312150859095</v>
      </c>
      <c r="B8815" t="str">
        <f>"1552374539088108"</f>
        <v>1552374539088108</v>
      </c>
      <c r="C8815" t="s">
        <v>40</v>
      </c>
      <c r="D8815">
        <v>4.8020699999999996</v>
      </c>
      <c r="E8815">
        <v>0.5107022</v>
      </c>
      <c r="F8815" t="s">
        <v>43</v>
      </c>
      <c r="G8815">
        <v>-317.23320000000001</v>
      </c>
      <c r="H8815">
        <v>-0.05</v>
      </c>
      <c r="I8815">
        <v>13.05157</v>
      </c>
      <c r="J8815">
        <v>-334.36790000000002</v>
      </c>
      <c r="K8815">
        <v>1.1105020000000001</v>
      </c>
      <c r="L8815">
        <v>16.227360000000001</v>
      </c>
      <c r="M8815">
        <v>0.99907760000000001</v>
      </c>
      <c r="N8815">
        <v>0</v>
      </c>
      <c r="O8815">
        <v>-4.0887739999999999E-2</v>
      </c>
      <c r="P8815">
        <v>0.98581189999999996</v>
      </c>
      <c r="Q8815">
        <v>6.8109009999999998E-2</v>
      </c>
      <c r="R8815">
        <v>-0.1534152</v>
      </c>
      <c r="S8815">
        <v>2.9717099999999999</v>
      </c>
      <c r="T8815">
        <v>-0.1997342</v>
      </c>
      <c r="U8815">
        <v>-0.54751590000000006</v>
      </c>
      <c r="V8815">
        <v>0.112981399999999</v>
      </c>
      <c r="W8815">
        <v>8.1101720000000002E-2</v>
      </c>
      <c r="X8815">
        <v>0.99028159999999998</v>
      </c>
      <c r="Y8815">
        <v>0.14060980000000001</v>
      </c>
      <c r="Z8815">
        <v>-1.9613999999999999E-3</v>
      </c>
      <c r="AA8815">
        <v>0.99006309999999997</v>
      </c>
      <c r="AB8815">
        <v>25</v>
      </c>
      <c r="AC8815">
        <v>17.134699999999999</v>
      </c>
      <c r="AD8815">
        <v>-1.1605019999999999</v>
      </c>
      <c r="AE8815">
        <v>-3.1757900000000001</v>
      </c>
      <c r="AF8815">
        <v>2.4615578829728499</v>
      </c>
      <c r="AG8815">
        <v>-1.1605019999999999</v>
      </c>
      <c r="AH8815">
        <v>17.174067707056299</v>
      </c>
      <c r="AI8815">
        <v>93.826776946074901</v>
      </c>
      <c r="AJ8815">
        <v>81.8433525994935</v>
      </c>
      <c r="AK8815">
        <v>17.388347641733699</v>
      </c>
      <c r="AL8815">
        <v>85.348104408756797</v>
      </c>
      <c r="AM8815">
        <v>83.491257681774002</v>
      </c>
      <c r="AN8815">
        <v>0.99999996651573797</v>
      </c>
    </row>
    <row r="8816" spans="1:40" x14ac:dyDescent="0.25">
      <c r="A8816" t="str">
        <f>"20190312150859108"</f>
        <v>20190312150859108</v>
      </c>
      <c r="B8816" t="str">
        <f>"1552374539098844"</f>
        <v>1552374539098844</v>
      </c>
      <c r="C8816" t="s">
        <v>40</v>
      </c>
      <c r="D8816">
        <v>4.7897249999999998</v>
      </c>
      <c r="E8816">
        <v>0.51069049999999905</v>
      </c>
      <c r="F8816" t="s">
        <v>43</v>
      </c>
      <c r="G8816">
        <v>-317.27199999999999</v>
      </c>
      <c r="H8816">
        <v>-0.05</v>
      </c>
      <c r="I8816">
        <v>13.072240000000001</v>
      </c>
      <c r="J8816">
        <v>-334.2362</v>
      </c>
      <c r="K8816">
        <v>1.1104969999999901</v>
      </c>
      <c r="L8816">
        <v>16.22195</v>
      </c>
      <c r="M8816">
        <v>0.99907679999999999</v>
      </c>
      <c r="N8816">
        <v>0</v>
      </c>
      <c r="O8816">
        <v>-4.090618E-2</v>
      </c>
      <c r="P8816">
        <v>0.98579600000000001</v>
      </c>
      <c r="Q8816">
        <v>6.7940490000000006E-2</v>
      </c>
      <c r="R8816">
        <v>-0.15359249999999999</v>
      </c>
      <c r="S8816">
        <v>2.971832</v>
      </c>
      <c r="T8816">
        <v>-0.20173360000000001</v>
      </c>
      <c r="U8816">
        <v>-0.54846189999999995</v>
      </c>
      <c r="V8816">
        <v>0.11314200000000001</v>
      </c>
      <c r="W8816">
        <v>8.0930139999999998E-2</v>
      </c>
      <c r="X8816">
        <v>0.99027730000000003</v>
      </c>
      <c r="Y8816">
        <v>0.14088429999999999</v>
      </c>
      <c r="Z8816">
        <v>-1.9888470000000002E-3</v>
      </c>
      <c r="AA8816">
        <v>0.99002409999999996</v>
      </c>
      <c r="AB8816">
        <v>25</v>
      </c>
      <c r="AC8816">
        <v>16.964200000000002</v>
      </c>
      <c r="AD8816">
        <v>-1.1604969999999999</v>
      </c>
      <c r="AE8816">
        <v>-3.1497099999999998</v>
      </c>
      <c r="AF8816">
        <v>2.4420256201248698</v>
      </c>
      <c r="AG8816">
        <v>-1.1604969999999999</v>
      </c>
      <c r="AH8816">
        <v>17.001938909361701</v>
      </c>
      <c r="AI8816">
        <v>93.865222281453796</v>
      </c>
      <c r="AJ8816">
        <v>81.826383913272707</v>
      </c>
      <c r="AK8816">
        <v>17.2155792552566</v>
      </c>
      <c r="AL8816">
        <v>85.357967635690997</v>
      </c>
      <c r="AM8816">
        <v>83.482057181003597</v>
      </c>
      <c r="AN8816">
        <v>0.99999996530985402</v>
      </c>
    </row>
    <row r="8817" spans="1:40" x14ac:dyDescent="0.25">
      <c r="A8817" t="str">
        <f>"20190312150859119"</f>
        <v>20190312150859119</v>
      </c>
      <c r="B8817" t="str">
        <f>"1552374539108604"</f>
        <v>1552374539108604</v>
      </c>
      <c r="C8817" t="s">
        <v>40</v>
      </c>
      <c r="D8817">
        <v>4.8023579999999999</v>
      </c>
      <c r="E8817">
        <v>0.51065950000000004</v>
      </c>
      <c r="F8817" t="s">
        <v>43</v>
      </c>
      <c r="G8817">
        <v>-317.40899999999999</v>
      </c>
      <c r="H8817">
        <v>-0.05</v>
      </c>
      <c r="I8817">
        <v>13.113490000000001</v>
      </c>
      <c r="J8817">
        <v>-334.10340000000002</v>
      </c>
      <c r="K8817">
        <v>1.1104909999999999</v>
      </c>
      <c r="L8817">
        <v>16.216460000000001</v>
      </c>
      <c r="M8817">
        <v>0.99907590000000002</v>
      </c>
      <c r="N8817">
        <v>0</v>
      </c>
      <c r="O8817">
        <v>-4.0931799999999997E-2</v>
      </c>
      <c r="P8817">
        <v>0.9857629</v>
      </c>
      <c r="Q8817">
        <v>6.7941360000000006E-2</v>
      </c>
      <c r="R8817">
        <v>-0.15380460000000001</v>
      </c>
      <c r="S8817">
        <v>2.971832</v>
      </c>
      <c r="T8817">
        <v>-0.20495389999999999</v>
      </c>
      <c r="U8817">
        <v>-0.54898069999999999</v>
      </c>
      <c r="V8817">
        <v>0.113331399999999</v>
      </c>
      <c r="W8817">
        <v>8.0926819999999997E-2</v>
      </c>
      <c r="X8817">
        <v>0.99025600000000003</v>
      </c>
      <c r="Y8817">
        <v>0.14101859999999999</v>
      </c>
      <c r="Z8817">
        <v>-2.0233349999999998E-3</v>
      </c>
      <c r="AA8817">
        <v>0.99000489999999997</v>
      </c>
      <c r="AB8817">
        <v>25</v>
      </c>
      <c r="AC8817">
        <v>16.694400000000002</v>
      </c>
      <c r="AD8817">
        <v>-1.1604909999999999</v>
      </c>
      <c r="AE8817">
        <v>-3.10297</v>
      </c>
      <c r="AF8817">
        <v>2.4057417457480201</v>
      </c>
      <c r="AG8817">
        <v>-1.1604909999999999</v>
      </c>
      <c r="AH8817">
        <v>16.7292885782486</v>
      </c>
      <c r="AI8817">
        <v>93.9279061318678</v>
      </c>
      <c r="AJ8817">
        <v>81.816728301935896</v>
      </c>
      <c r="AK8817">
        <v>16.9411755507885</v>
      </c>
      <c r="AL8817">
        <v>85.358158882217197</v>
      </c>
      <c r="AM8817">
        <v>83.471101034571703</v>
      </c>
      <c r="AN8817">
        <v>1.00000005097863</v>
      </c>
    </row>
    <row r="8818" spans="1:40" x14ac:dyDescent="0.25">
      <c r="A8818" t="str">
        <f>"20190312150859132"</f>
        <v>20190312150859132</v>
      </c>
      <c r="B8818" t="str">
        <f>"1552374539128124"</f>
        <v>1552374539128124</v>
      </c>
      <c r="C8818" t="s">
        <v>40</v>
      </c>
      <c r="D8818">
        <v>4.7996499999999997</v>
      </c>
      <c r="E8818">
        <v>0.51066210000000001</v>
      </c>
      <c r="F8818" t="s">
        <v>43</v>
      </c>
      <c r="G8818">
        <v>-317.44650000000001</v>
      </c>
      <c r="H8818">
        <v>-0.05</v>
      </c>
      <c r="I8818">
        <v>13.13782</v>
      </c>
      <c r="J8818">
        <v>-333.97070000000002</v>
      </c>
      <c r="K8818">
        <v>1.1104810000000001</v>
      </c>
      <c r="L8818">
        <v>16.211029999999901</v>
      </c>
      <c r="M8818">
        <v>0.99907449999999998</v>
      </c>
      <c r="N8818">
        <v>0</v>
      </c>
      <c r="O8818">
        <v>-4.0963880000000001E-2</v>
      </c>
      <c r="P8818">
        <v>0.98571940000000002</v>
      </c>
      <c r="Q8818">
        <v>6.7932670000000001E-2</v>
      </c>
      <c r="R8818">
        <v>-0.15408569999999999</v>
      </c>
      <c r="S8818">
        <v>2.9718930000000001</v>
      </c>
      <c r="T8818">
        <v>-0.2070526</v>
      </c>
      <c r="U8818">
        <v>-0.54928589999999999</v>
      </c>
      <c r="V8818">
        <v>0.11358409999999999</v>
      </c>
      <c r="W8818">
        <v>8.0913520000000003E-2</v>
      </c>
      <c r="X8818">
        <v>0.99022809999999994</v>
      </c>
      <c r="Y8818">
        <v>0.1410767</v>
      </c>
      <c r="Z8818">
        <v>-2.0437430000000002E-3</v>
      </c>
      <c r="AA8818">
        <v>0.9899966</v>
      </c>
      <c r="AB8818">
        <v>25</v>
      </c>
      <c r="AC8818">
        <v>16.5242</v>
      </c>
      <c r="AD8818">
        <v>-1.1604809999999901</v>
      </c>
      <c r="AE8818">
        <v>-3.0732099999999898</v>
      </c>
      <c r="AF8818">
        <v>2.3823192966631401</v>
      </c>
      <c r="AG8818">
        <v>-1.1604809999999901</v>
      </c>
      <c r="AH8818">
        <v>16.557296472348298</v>
      </c>
      <c r="AI8818">
        <v>93.968500083405004</v>
      </c>
      <c r="AJ8818">
        <v>81.812284506034501</v>
      </c>
      <c r="AK8818">
        <v>16.768012042453101</v>
      </c>
      <c r="AL8818">
        <v>85.358923268787095</v>
      </c>
      <c r="AM8818">
        <v>83.456486609336395</v>
      </c>
      <c r="AN8818">
        <v>1.0000000177606001</v>
      </c>
    </row>
    <row r="8819" spans="1:40" x14ac:dyDescent="0.25">
      <c r="A8819" t="str">
        <f>"20190312150859142"</f>
        <v>20190312150859142</v>
      </c>
      <c r="B8819" t="str">
        <f>"1552374539138859"</f>
        <v>1552374539138859</v>
      </c>
      <c r="C8819" t="s">
        <v>40</v>
      </c>
      <c r="D8819">
        <v>4.8195480000000002</v>
      </c>
      <c r="E8819">
        <v>0.51064469999999995</v>
      </c>
      <c r="F8819" t="s">
        <v>43</v>
      </c>
      <c r="G8819">
        <v>-317.54160000000002</v>
      </c>
      <c r="H8819">
        <v>-0.05</v>
      </c>
      <c r="I8819">
        <v>13.17029</v>
      </c>
      <c r="J8819">
        <v>-333.84809999999999</v>
      </c>
      <c r="K8819">
        <v>1.1104719999999999</v>
      </c>
      <c r="L8819">
        <v>16.205929999999999</v>
      </c>
      <c r="M8819">
        <v>0.99907330000000005</v>
      </c>
      <c r="N8819">
        <v>0</v>
      </c>
      <c r="O8819">
        <v>-4.0997760000000001E-2</v>
      </c>
      <c r="P8819">
        <v>0.98563920000000005</v>
      </c>
      <c r="Q8819">
        <v>6.8129990000000001E-2</v>
      </c>
      <c r="R8819">
        <v>-0.15451309999999999</v>
      </c>
      <c r="S8819">
        <v>2.971924</v>
      </c>
      <c r="T8819">
        <v>-0.20992269999999999</v>
      </c>
      <c r="U8819">
        <v>-0.5500488</v>
      </c>
      <c r="V8819">
        <v>0.1139826</v>
      </c>
      <c r="W8819">
        <v>8.1106479999999995E-2</v>
      </c>
      <c r="X8819">
        <v>0.99016649999999995</v>
      </c>
      <c r="Y8819">
        <v>0.14128009999999999</v>
      </c>
      <c r="Z8819">
        <v>-2.07669E-3</v>
      </c>
      <c r="AA8819">
        <v>0.9899675</v>
      </c>
      <c r="AB8819">
        <v>25</v>
      </c>
      <c r="AC8819">
        <v>16.3064999999999</v>
      </c>
      <c r="AD8819">
        <v>-1.1604719999999999</v>
      </c>
      <c r="AE8819">
        <v>-3.0356399999999901</v>
      </c>
      <c r="AF8819">
        <v>2.3529821052123401</v>
      </c>
      <c r="AG8819">
        <v>-1.1604719999999999</v>
      </c>
      <c r="AH8819">
        <v>16.337282057906801</v>
      </c>
      <c r="AI8819">
        <v>94.021658374713596</v>
      </c>
      <c r="AJ8819">
        <v>81.804316000404498</v>
      </c>
      <c r="AK8819">
        <v>16.546601013194099</v>
      </c>
      <c r="AL8819">
        <v>85.347830916690896</v>
      </c>
      <c r="AM8819">
        <v>83.433324465947294</v>
      </c>
      <c r="AN8819">
        <v>0.99999999596150002</v>
      </c>
    </row>
    <row r="8820" spans="1:40" x14ac:dyDescent="0.25">
      <c r="A8820" t="str">
        <f>"20190312150859152"</f>
        <v>20190312150859152</v>
      </c>
      <c r="B8820" t="str">
        <f>"1552374539148620"</f>
        <v>1552374539148620</v>
      </c>
      <c r="C8820" t="s">
        <v>40</v>
      </c>
      <c r="D8820">
        <v>4.8031839999999999</v>
      </c>
      <c r="E8820">
        <v>0.51065859999999996</v>
      </c>
      <c r="F8820" t="s">
        <v>43</v>
      </c>
      <c r="G8820">
        <v>-317.4701</v>
      </c>
      <c r="H8820">
        <v>-0.05</v>
      </c>
      <c r="I8820">
        <v>13.167680000000001</v>
      </c>
      <c r="J8820">
        <v>-333.7448</v>
      </c>
      <c r="K8820">
        <v>1.110465</v>
      </c>
      <c r="L8820">
        <v>16.201689999999999</v>
      </c>
      <c r="M8820">
        <v>0.99907170000000001</v>
      </c>
      <c r="N8820">
        <v>0</v>
      </c>
      <c r="O8820">
        <v>-4.1035219999999997E-2</v>
      </c>
      <c r="P8820">
        <v>0.98560780000000003</v>
      </c>
      <c r="Q8820">
        <v>6.8293939999999997E-2</v>
      </c>
      <c r="R8820">
        <v>-0.15464029999999901</v>
      </c>
      <c r="S8820">
        <v>2.971832</v>
      </c>
      <c r="T8820">
        <v>-0.21057149999999999</v>
      </c>
      <c r="U8820">
        <v>-0.55130000000000001</v>
      </c>
      <c r="V8820">
        <v>0.1140757</v>
      </c>
      <c r="W8820">
        <v>8.1266160000000004E-2</v>
      </c>
      <c r="X8820">
        <v>0.99014270000000004</v>
      </c>
      <c r="Y8820">
        <v>0.1416492</v>
      </c>
      <c r="Z8820">
        <v>-2.0934090000000001E-3</v>
      </c>
      <c r="AA8820">
        <v>0.98991470000000004</v>
      </c>
      <c r="AB8820">
        <v>25</v>
      </c>
      <c r="AC8820">
        <v>16.2746999999999</v>
      </c>
      <c r="AD8820">
        <v>-1.1604649999999901</v>
      </c>
      <c r="AE8820">
        <v>-3.0340099999999999</v>
      </c>
      <c r="AF8820">
        <v>2.3520038947705699</v>
      </c>
      <c r="AG8820">
        <v>-1.1604649999999901</v>
      </c>
      <c r="AH8820">
        <v>16.305383109018798</v>
      </c>
      <c r="AI8820">
        <v>94.029350243059497</v>
      </c>
      <c r="AJ8820">
        <v>81.791868120575003</v>
      </c>
      <c r="AK8820">
        <v>16.514966535513</v>
      </c>
      <c r="AL8820">
        <v>85.3386516918453</v>
      </c>
      <c r="AM8820">
        <v>83.427851176254904</v>
      </c>
      <c r="AN8820">
        <v>1.00000001022746</v>
      </c>
    </row>
    <row r="8821" spans="1:40" x14ac:dyDescent="0.25">
      <c r="A8821" t="str">
        <f>"20190312150859162"</f>
        <v>20190312150859162</v>
      </c>
      <c r="B8821" t="str">
        <f>"1552374539158379"</f>
        <v>1552374539158379</v>
      </c>
      <c r="C8821" t="s">
        <v>40</v>
      </c>
      <c r="D8821">
        <v>4.827833</v>
      </c>
      <c r="E8821">
        <v>0.51063700000000001</v>
      </c>
      <c r="F8821" t="s">
        <v>43</v>
      </c>
      <c r="G8821">
        <v>-317.43709999999999</v>
      </c>
      <c r="H8821">
        <v>-0.05</v>
      </c>
      <c r="I8821">
        <v>13.173159999999999</v>
      </c>
      <c r="J8821">
        <v>-333.63150000000002</v>
      </c>
      <c r="K8821">
        <v>1.1104560000000001</v>
      </c>
      <c r="L8821">
        <v>16.196960000000001</v>
      </c>
      <c r="M8821">
        <v>0.99906989999999996</v>
      </c>
      <c r="N8821">
        <v>0</v>
      </c>
      <c r="O8821">
        <v>-4.1078759999999999E-2</v>
      </c>
      <c r="P8821">
        <v>0.98555970000000004</v>
      </c>
      <c r="Q8821">
        <v>6.8491029999999994E-2</v>
      </c>
      <c r="R8821">
        <v>-0.15485950000000001</v>
      </c>
      <c r="S8821">
        <v>2.9718629999999999</v>
      </c>
      <c r="T8821">
        <v>-0.21147969999999999</v>
      </c>
      <c r="U8821">
        <v>-0.55191040000000002</v>
      </c>
      <c r="V8821">
        <v>0.1142557</v>
      </c>
      <c r="W8821">
        <v>8.1458169999999996E-2</v>
      </c>
      <c r="X8821">
        <v>0.99010620000000005</v>
      </c>
      <c r="Y8821">
        <v>0.14179839999999999</v>
      </c>
      <c r="Z8821">
        <v>-2.1045550000000001E-3</v>
      </c>
      <c r="AA8821">
        <v>0.98989329999999998</v>
      </c>
      <c r="AB8821">
        <v>25</v>
      </c>
      <c r="AC8821">
        <v>16.194400000000002</v>
      </c>
      <c r="AD8821">
        <v>-1.1604559999999999</v>
      </c>
      <c r="AE8821">
        <v>-3.0238</v>
      </c>
      <c r="AF8821">
        <v>2.3443120152538199</v>
      </c>
      <c r="AG8821">
        <v>-1.1604559999999999</v>
      </c>
      <c r="AH8821">
        <v>16.224449349648701</v>
      </c>
      <c r="AI8821">
        <v>94.049212080767106</v>
      </c>
      <c r="AJ8821">
        <v>81.778091006610595</v>
      </c>
      <c r="AK8821">
        <v>16.4339652443382</v>
      </c>
      <c r="AL8821">
        <v>85.327613886918698</v>
      </c>
      <c r="AM8821">
        <v>83.417331392111095</v>
      </c>
      <c r="AN8821">
        <v>1.00000004286033</v>
      </c>
    </row>
    <row r="8822" spans="1:40" x14ac:dyDescent="0.25">
      <c r="A8822" t="str">
        <f>"20190312150859173"</f>
        <v>20190312150859173</v>
      </c>
      <c r="B8822" t="str">
        <f>"1552374539168140"</f>
        <v>1552374539168140</v>
      </c>
      <c r="C8822" t="s">
        <v>40</v>
      </c>
      <c r="D8822">
        <v>4.8357919999999996</v>
      </c>
      <c r="E8822">
        <v>0.51064560000000003</v>
      </c>
      <c r="F8822" t="s">
        <v>43</v>
      </c>
      <c r="G8822">
        <v>-317.37009999999998</v>
      </c>
      <c r="H8822">
        <v>-0.05</v>
      </c>
      <c r="I8822">
        <v>13.174759999999999</v>
      </c>
      <c r="J8822">
        <v>-333.50580000000002</v>
      </c>
      <c r="K8822">
        <v>1.1104449999999999</v>
      </c>
      <c r="L8822">
        <v>16.191739999999999</v>
      </c>
      <c r="M8822">
        <v>0.99906740000000005</v>
      </c>
      <c r="N8822">
        <v>0</v>
      </c>
      <c r="O8822">
        <v>-4.1140120000000002E-2</v>
      </c>
      <c r="P8822">
        <v>0.98552059999999997</v>
      </c>
      <c r="Q8822">
        <v>6.8506109999999995E-2</v>
      </c>
      <c r="R8822">
        <v>-0.1551014</v>
      </c>
      <c r="S8822">
        <v>2.971924</v>
      </c>
      <c r="T8822">
        <v>-0.2120842</v>
      </c>
      <c r="U8822">
        <v>-0.55233759999999998</v>
      </c>
      <c r="V8822">
        <v>0.1144405</v>
      </c>
      <c r="W8822">
        <v>8.146863E-2</v>
      </c>
      <c r="X8822">
        <v>0.99008390000000002</v>
      </c>
      <c r="Y8822">
        <v>0.1418701</v>
      </c>
      <c r="Z8822">
        <v>-2.1086960000000002E-3</v>
      </c>
      <c r="AA8822">
        <v>0.98988310000000002</v>
      </c>
      <c r="AB8822">
        <v>25</v>
      </c>
      <c r="AC8822">
        <v>16.1357</v>
      </c>
      <c r="AD8822">
        <v>-1.1604449999999999</v>
      </c>
      <c r="AE8822">
        <v>-3.01697999999999</v>
      </c>
      <c r="AF8822">
        <v>2.3388553206597398</v>
      </c>
      <c r="AG8822">
        <v>-1.1604449999999999</v>
      </c>
      <c r="AH8822">
        <v>16.1653805699477</v>
      </c>
      <c r="AI8822">
        <v>94.063810909748</v>
      </c>
      <c r="AJ8822">
        <v>81.767403839782403</v>
      </c>
      <c r="AK8822">
        <v>16.3748711683556</v>
      </c>
      <c r="AL8822">
        <v>85.327012127343593</v>
      </c>
      <c r="AM8822">
        <v>83.406630894422193</v>
      </c>
      <c r="AN8822">
        <v>0.99999994737676701</v>
      </c>
    </row>
    <row r="8823" spans="1:40" x14ac:dyDescent="0.25">
      <c r="A8823" t="str">
        <f>"20190312150859184"</f>
        <v>20190312150859184</v>
      </c>
      <c r="B8823" t="str">
        <f>"1552374539178875"</f>
        <v>1552374539178875</v>
      </c>
      <c r="C8823" t="s">
        <v>40</v>
      </c>
      <c r="D8823">
        <v>4.8600519999999996</v>
      </c>
      <c r="E8823">
        <v>0.51067229999999997</v>
      </c>
      <c r="F8823" t="s">
        <v>43</v>
      </c>
      <c r="G8823">
        <v>-317.33620000000002</v>
      </c>
      <c r="H8823">
        <v>-0.05</v>
      </c>
      <c r="I8823">
        <v>13.18352</v>
      </c>
      <c r="J8823">
        <v>-333.38080000000002</v>
      </c>
      <c r="K8823">
        <v>1.1104339999999999</v>
      </c>
      <c r="L8823">
        <v>16.186520000000002</v>
      </c>
      <c r="M8823">
        <v>0.99906470000000003</v>
      </c>
      <c r="N8823">
        <v>0</v>
      </c>
      <c r="O8823">
        <v>-4.1204810000000001E-2</v>
      </c>
      <c r="P8823">
        <v>0.98544960000000004</v>
      </c>
      <c r="Q8823">
        <v>6.8605349999999996E-2</v>
      </c>
      <c r="R8823">
        <v>-0.1555078</v>
      </c>
      <c r="S8823">
        <v>2.971832</v>
      </c>
      <c r="T8823">
        <v>-0.21327989999999999</v>
      </c>
      <c r="U8823">
        <v>-0.55288700000000002</v>
      </c>
      <c r="V8823">
        <v>0.1147878</v>
      </c>
      <c r="W8823">
        <v>8.1561770000000006E-2</v>
      </c>
      <c r="X8823">
        <v>0.99003609999999997</v>
      </c>
      <c r="Y8823">
        <v>0.14198540000000001</v>
      </c>
      <c r="Z8823">
        <v>-2.1200989999999999E-3</v>
      </c>
      <c r="AA8823">
        <v>0.98986649999999998</v>
      </c>
      <c r="AB8823">
        <v>25</v>
      </c>
      <c r="AC8823">
        <v>16.044599999999999</v>
      </c>
      <c r="AD8823">
        <v>-1.160434</v>
      </c>
      <c r="AE8823">
        <v>-3.0030000000000001</v>
      </c>
      <c r="AF8823">
        <v>2.32751454668729</v>
      </c>
      <c r="AG8823">
        <v>-1.160434</v>
      </c>
      <c r="AH8823">
        <v>16.073485631253401</v>
      </c>
      <c r="AI8823">
        <v>94.086857083835895</v>
      </c>
      <c r="AJ8823">
        <v>81.760578516959797</v>
      </c>
      <c r="AK8823">
        <v>16.282532707521501</v>
      </c>
      <c r="AL8823">
        <v>85.321658121468303</v>
      </c>
      <c r="AM8823">
        <v>83.386482081869303</v>
      </c>
      <c r="AN8823">
        <v>1.00000002032879</v>
      </c>
    </row>
    <row r="8824" spans="1:40" x14ac:dyDescent="0.25">
      <c r="A8824" t="str">
        <f>"20190312150859195"</f>
        <v>20190312150859195</v>
      </c>
      <c r="B8824" t="str">
        <f>"1552374539188635"</f>
        <v>1552374539188635</v>
      </c>
      <c r="C8824" t="s">
        <v>40</v>
      </c>
      <c r="D8824">
        <v>4.8412269999999999</v>
      </c>
      <c r="E8824">
        <v>0.51070020000000005</v>
      </c>
      <c r="F8824" t="s">
        <v>43</v>
      </c>
      <c r="G8824">
        <v>-317.24169999999998</v>
      </c>
      <c r="H8824">
        <v>-0.05</v>
      </c>
      <c r="I8824">
        <v>13.17604</v>
      </c>
      <c r="J8824">
        <v>-333.25360000000001</v>
      </c>
      <c r="K8824">
        <v>1.1104149999999999</v>
      </c>
      <c r="L8824">
        <v>16.181179999999902</v>
      </c>
      <c r="M8824">
        <v>0.99906139999999999</v>
      </c>
      <c r="N8824">
        <v>0</v>
      </c>
      <c r="O8824">
        <v>-4.128834E-2</v>
      </c>
      <c r="P8824">
        <v>0.98541959999999995</v>
      </c>
      <c r="Q8824">
        <v>6.8550120000000006E-2</v>
      </c>
      <c r="R8824">
        <v>-0.15572279999999999</v>
      </c>
      <c r="S8824">
        <v>2.9717099999999999</v>
      </c>
      <c r="T8824">
        <v>-0.21367130000000001</v>
      </c>
      <c r="U8824">
        <v>-0.55432130000000002</v>
      </c>
      <c r="V8824">
        <v>0.1149239</v>
      </c>
      <c r="W8824">
        <v>8.1501390000000007E-2</v>
      </c>
      <c r="X8824">
        <v>0.9900253</v>
      </c>
      <c r="Y8824">
        <v>0.1423701</v>
      </c>
      <c r="Z8824">
        <v>-2.1317409999999999E-3</v>
      </c>
      <c r="AA8824">
        <v>0.9898112</v>
      </c>
      <c r="AB8824">
        <v>25</v>
      </c>
      <c r="AC8824">
        <v>16.011900000000001</v>
      </c>
      <c r="AD8824">
        <v>-1.160415</v>
      </c>
      <c r="AE8824">
        <v>-3.0051399999999902</v>
      </c>
      <c r="AF8824">
        <v>2.3295963237833801</v>
      </c>
      <c r="AG8824">
        <v>-1.160415</v>
      </c>
      <c r="AH8824">
        <v>16.040948244637399</v>
      </c>
      <c r="AI8824">
        <v>94.094806379643799</v>
      </c>
      <c r="AJ8824">
        <v>81.736813531324799</v>
      </c>
      <c r="AK8824">
        <v>16.250710833411102</v>
      </c>
      <c r="AL8824">
        <v>85.325129274728098</v>
      </c>
      <c r="AM8824">
        <v>83.378638656319893</v>
      </c>
      <c r="AN8824">
        <v>1.00000003700161</v>
      </c>
    </row>
    <row r="8825" spans="1:40" x14ac:dyDescent="0.25">
      <c r="A8825" t="str">
        <f>"20190312150859207"</f>
        <v>20190312150859207</v>
      </c>
      <c r="B8825" t="str">
        <f>"1552374539198396"</f>
        <v>1552374539198396</v>
      </c>
      <c r="C8825" t="s">
        <v>40</v>
      </c>
      <c r="D8825">
        <v>4.8132409999999997</v>
      </c>
      <c r="E8825">
        <v>0.51072479999999998</v>
      </c>
      <c r="F8825" t="s">
        <v>43</v>
      </c>
      <c r="G8825">
        <v>-317.23570000000001</v>
      </c>
      <c r="H8825">
        <v>-0.05</v>
      </c>
      <c r="I8825">
        <v>13.18881</v>
      </c>
      <c r="J8825">
        <v>-333.13420000000002</v>
      </c>
      <c r="K8825">
        <v>1.110401</v>
      </c>
      <c r="L8825">
        <v>16.176179999999999</v>
      </c>
      <c r="M8825">
        <v>0.99905790000000005</v>
      </c>
      <c r="N8825">
        <v>0</v>
      </c>
      <c r="O8825">
        <v>-4.1369719999999999E-2</v>
      </c>
      <c r="P8825">
        <v>0.98536849999999998</v>
      </c>
      <c r="Q8825">
        <v>6.8743209999999999E-2</v>
      </c>
      <c r="R8825">
        <v>-0.15596070000000001</v>
      </c>
      <c r="S8825">
        <v>2.9716490000000002</v>
      </c>
      <c r="T8825">
        <v>-0.2152801</v>
      </c>
      <c r="U8825">
        <v>-0.55514529999999995</v>
      </c>
      <c r="V8825">
        <v>0.11508549999999999</v>
      </c>
      <c r="W8825">
        <v>8.1688659999999996E-2</v>
      </c>
      <c r="X8825">
        <v>0.98999110000000001</v>
      </c>
      <c r="Y8825">
        <v>0.14255419999999999</v>
      </c>
      <c r="Z8825">
        <v>-2.1485250000000001E-3</v>
      </c>
      <c r="AA8825">
        <v>0.98978469999999996</v>
      </c>
      <c r="AB8825">
        <v>25</v>
      </c>
      <c r="AC8825">
        <v>15.8985</v>
      </c>
      <c r="AD8825">
        <v>-1.160401</v>
      </c>
      <c r="AE8825">
        <v>-2.9873699999999901</v>
      </c>
      <c r="AF8825">
        <v>2.3151264003515402</v>
      </c>
      <c r="AG8825">
        <v>-1.160401</v>
      </c>
      <c r="AH8825">
        <v>15.926533047432899</v>
      </c>
      <c r="AI8825">
        <v>94.123993670836796</v>
      </c>
      <c r="AJ8825">
        <v>81.729251566957203</v>
      </c>
      <c r="AK8825">
        <v>16.135699415934099</v>
      </c>
      <c r="AL8825">
        <v>85.314363628885204</v>
      </c>
      <c r="AM8825">
        <v>83.369183871960402</v>
      </c>
      <c r="AN8825">
        <v>1.0000000437810199</v>
      </c>
    </row>
    <row r="8826" spans="1:40" x14ac:dyDescent="0.25">
      <c r="A8826" t="str">
        <f>"20190312150859217"</f>
        <v>20190312150859217</v>
      </c>
      <c r="B8826" t="str">
        <f>"1552374539208155"</f>
        <v>1552374539208155</v>
      </c>
      <c r="C8826" t="s">
        <v>40</v>
      </c>
      <c r="D8826">
        <v>4.8214059999999996</v>
      </c>
      <c r="E8826">
        <v>0.51072479999999998</v>
      </c>
      <c r="F8826" t="s">
        <v>43</v>
      </c>
      <c r="G8826">
        <v>-317.18770000000001</v>
      </c>
      <c r="H8826">
        <v>-0.05</v>
      </c>
      <c r="I8826">
        <v>13.19206</v>
      </c>
      <c r="J8826">
        <v>-333.01089999999999</v>
      </c>
      <c r="K8826">
        <v>1.1103879999999999</v>
      </c>
      <c r="L8826">
        <v>16.170960000000001</v>
      </c>
      <c r="M8826">
        <v>0.999054</v>
      </c>
      <c r="N8826">
        <v>0</v>
      </c>
      <c r="O8826">
        <v>-4.1466469999999998E-2</v>
      </c>
      <c r="P8826">
        <v>0.98527659999999995</v>
      </c>
      <c r="Q8826">
        <v>6.892993E-2</v>
      </c>
      <c r="R8826">
        <v>-0.1564574</v>
      </c>
      <c r="S8826">
        <v>2.9716490000000002</v>
      </c>
      <c r="T8826">
        <v>-0.2162415</v>
      </c>
      <c r="U8826">
        <v>-0.55609129999999996</v>
      </c>
      <c r="V8826">
        <v>0.11549230000000001</v>
      </c>
      <c r="W8826">
        <v>8.1869730000000002E-2</v>
      </c>
      <c r="X8826">
        <v>0.98992869999999999</v>
      </c>
      <c r="Y8826">
        <v>0.14276029999999901</v>
      </c>
      <c r="Z8826">
        <v>-2.1585089999999999E-3</v>
      </c>
      <c r="AA8826">
        <v>0.98975489999999999</v>
      </c>
      <c r="AB8826">
        <v>25</v>
      </c>
      <c r="AC8826">
        <v>15.8231999999999</v>
      </c>
      <c r="AD8826">
        <v>-1.160388</v>
      </c>
      <c r="AE8826">
        <v>-2.9788999999999901</v>
      </c>
      <c r="AF8826">
        <v>2.3081605248909098</v>
      </c>
      <c r="AG8826">
        <v>-1.160388</v>
      </c>
      <c r="AH8826">
        <v>15.8507960097973</v>
      </c>
      <c r="AI8826">
        <v>94.143433813386594</v>
      </c>
      <c r="AJ8826">
        <v>81.714938603569706</v>
      </c>
      <c r="AK8826">
        <v>16.059945188680299</v>
      </c>
      <c r="AL8826">
        <v>85.303953904266905</v>
      </c>
      <c r="AM8826">
        <v>83.345539646248298</v>
      </c>
      <c r="AN8826">
        <v>0.99999997756662595</v>
      </c>
    </row>
    <row r="8827" spans="1:40" x14ac:dyDescent="0.25">
      <c r="A8827" t="str">
        <f>"20190312150859229"</f>
        <v>20190312150859229</v>
      </c>
      <c r="B8827" t="str">
        <f>"1552374539217916"</f>
        <v>1552374539217916</v>
      </c>
      <c r="C8827" t="s">
        <v>40</v>
      </c>
      <c r="D8827">
        <v>4.8336980000000001</v>
      </c>
      <c r="E8827">
        <v>0.51075289999999995</v>
      </c>
      <c r="F8827" t="s">
        <v>43</v>
      </c>
      <c r="G8827">
        <v>-317.02249999999998</v>
      </c>
      <c r="H8827">
        <v>-0.05</v>
      </c>
      <c r="I8827">
        <v>13.170529999999999</v>
      </c>
      <c r="J8827">
        <v>-332.88319999999999</v>
      </c>
      <c r="K8827">
        <v>1.1103769999999999</v>
      </c>
      <c r="L8827">
        <v>16.16553</v>
      </c>
      <c r="M8827">
        <v>0.99904950000000003</v>
      </c>
      <c r="N8827">
        <v>0</v>
      </c>
      <c r="O8827">
        <v>-4.1573239999999997E-2</v>
      </c>
      <c r="P8827">
        <v>0.98522299999999996</v>
      </c>
      <c r="Q8827">
        <v>6.8813669999999993E-2</v>
      </c>
      <c r="R8827">
        <v>-0.1568464</v>
      </c>
      <c r="S8827">
        <v>2.9713750000000001</v>
      </c>
      <c r="T8827">
        <v>-0.2156526</v>
      </c>
      <c r="U8827">
        <v>-0.55761719999999904</v>
      </c>
      <c r="V8827">
        <v>0.1157796</v>
      </c>
      <c r="W8827">
        <v>8.1747589999999995E-2</v>
      </c>
      <c r="X8827">
        <v>0.98990520000000004</v>
      </c>
      <c r="Y8827">
        <v>0.1431627</v>
      </c>
      <c r="Z8827">
        <v>-2.1595519999999999E-3</v>
      </c>
      <c r="AA8827">
        <v>0.98969680000000004</v>
      </c>
      <c r="AB8827">
        <v>25</v>
      </c>
      <c r="AC8827">
        <v>15.8607</v>
      </c>
      <c r="AD8827">
        <v>-1.160377</v>
      </c>
      <c r="AE8827">
        <v>-2.9950000000000001</v>
      </c>
      <c r="AF8827">
        <v>2.3209777066505599</v>
      </c>
      <c r="AG8827">
        <v>-1.160377</v>
      </c>
      <c r="AH8827">
        <v>15.889388784329901</v>
      </c>
      <c r="AI8827">
        <v>94.133099514304504</v>
      </c>
      <c r="AJ8827">
        <v>81.689526004500195</v>
      </c>
      <c r="AK8827">
        <v>16.0998785162028</v>
      </c>
      <c r="AL8827">
        <v>85.310975392260701</v>
      </c>
      <c r="AM8827">
        <v>83.328978005583394</v>
      </c>
      <c r="AN8827">
        <v>0.99999994461700203</v>
      </c>
    </row>
    <row r="8828" spans="1:40" x14ac:dyDescent="0.25">
      <c r="A8828" t="str">
        <f>"20190312150859239"</f>
        <v>20190312150859239</v>
      </c>
      <c r="B8828" t="str">
        <f>"1552374539228652"</f>
        <v>1552374539228652</v>
      </c>
      <c r="C8828" t="s">
        <v>40</v>
      </c>
      <c r="D8828">
        <v>4.9421189999999999</v>
      </c>
      <c r="E8828">
        <v>0.51075289999999995</v>
      </c>
      <c r="F8828" t="s">
        <v>43</v>
      </c>
      <c r="G8828">
        <v>-316.98840000000001</v>
      </c>
      <c r="H8828">
        <v>-0.05</v>
      </c>
      <c r="I8828">
        <v>13.175520000000001</v>
      </c>
      <c r="J8828">
        <v>-332.76440000000002</v>
      </c>
      <c r="K8828">
        <v>1.110366</v>
      </c>
      <c r="L8828">
        <v>16.160489999999999</v>
      </c>
      <c r="M8828">
        <v>0.99904499999999996</v>
      </c>
      <c r="N8828">
        <v>0</v>
      </c>
      <c r="O8828">
        <v>-4.1681299999999998E-2</v>
      </c>
      <c r="P8828">
        <v>0.98516820000000005</v>
      </c>
      <c r="Q8828">
        <v>6.8676840000000003E-2</v>
      </c>
      <c r="R8828">
        <v>-0.15724830000000001</v>
      </c>
      <c r="S8828">
        <v>2.9710999999999999</v>
      </c>
      <c r="T8828">
        <v>-0.21690000000000001</v>
      </c>
      <c r="U8828">
        <v>-0.55889889999999998</v>
      </c>
      <c r="V8828">
        <v>0.1160789</v>
      </c>
      <c r="W8828">
        <v>8.1605960000000005E-2</v>
      </c>
      <c r="X8828">
        <v>0.98988189999999998</v>
      </c>
      <c r="Y8828">
        <v>0.1434811</v>
      </c>
      <c r="Z8828">
        <v>-2.175845E-3</v>
      </c>
      <c r="AA8828">
        <v>0.98965069999999999</v>
      </c>
      <c r="AB8828">
        <v>25</v>
      </c>
      <c r="AC8828">
        <v>15.776</v>
      </c>
      <c r="AD8828">
        <v>-1.160366</v>
      </c>
      <c r="AE8828">
        <v>-2.9849699999999899</v>
      </c>
      <c r="AF8828">
        <v>2.3126757105856401</v>
      </c>
      <c r="AG8828">
        <v>-1.160366</v>
      </c>
      <c r="AH8828">
        <v>15.804170525579</v>
      </c>
      <c r="AI8828">
        <v>94.155113162651404</v>
      </c>
      <c r="AJ8828">
        <v>81.674810134522403</v>
      </c>
      <c r="AK8828">
        <v>16.014578489547301</v>
      </c>
      <c r="AL8828">
        <v>85.3191177034482</v>
      </c>
      <c r="AM8828">
        <v>83.311732880925803</v>
      </c>
      <c r="AN8828">
        <v>1.00000000984017</v>
      </c>
    </row>
    <row r="8829" spans="1:40" x14ac:dyDescent="0.25">
      <c r="A8829" t="str">
        <f>"20190312150859251"</f>
        <v>20190312150859251</v>
      </c>
      <c r="B8829" t="str">
        <f>"1552374539238411"</f>
        <v>1552374539238411</v>
      </c>
      <c r="C8829" t="s">
        <v>40</v>
      </c>
      <c r="D8829">
        <v>4.7991250000000001</v>
      </c>
      <c r="E8829">
        <v>0.52701709999999902</v>
      </c>
      <c r="F8829" t="s">
        <v>43</v>
      </c>
      <c r="G8829">
        <v>-316.90089999999998</v>
      </c>
      <c r="H8829">
        <v>-0.05</v>
      </c>
      <c r="I8829">
        <v>13.16995</v>
      </c>
      <c r="J8829">
        <v>-332.64679999999998</v>
      </c>
      <c r="K8829">
        <v>1.110355</v>
      </c>
      <c r="L8829">
        <v>16.155460000000001</v>
      </c>
      <c r="M8829">
        <v>0.99904029999999999</v>
      </c>
      <c r="N8829">
        <v>0</v>
      </c>
      <c r="O8829">
        <v>-4.1797340000000002E-2</v>
      </c>
      <c r="P8829">
        <v>0.98507610000000001</v>
      </c>
      <c r="Q8829">
        <v>6.8840960000000007E-2</v>
      </c>
      <c r="R8829">
        <v>-0.15775439999999999</v>
      </c>
      <c r="S8829">
        <v>2.9708860000000001</v>
      </c>
      <c r="T8829">
        <v>-0.21731020000000001</v>
      </c>
      <c r="U8829">
        <v>-0.56005859999999996</v>
      </c>
      <c r="V8829">
        <v>0.1164755</v>
      </c>
      <c r="W8829">
        <v>8.1764699999999996E-2</v>
      </c>
      <c r="X8829">
        <v>0.98982219999999999</v>
      </c>
      <c r="Y8829">
        <v>0.14375079999999901</v>
      </c>
      <c r="Z8829">
        <v>-2.181414E-3</v>
      </c>
      <c r="AA8829">
        <v>0.98961149999999998</v>
      </c>
      <c r="AB8829">
        <v>25</v>
      </c>
      <c r="AC8829">
        <v>15.745900000000001</v>
      </c>
      <c r="AD8829">
        <v>-1.160355</v>
      </c>
      <c r="AE8829">
        <v>-2.9855100000000001</v>
      </c>
      <c r="AF8829">
        <v>2.3125845064037001</v>
      </c>
      <c r="AG8829">
        <v>-1.160355</v>
      </c>
      <c r="AH8829">
        <v>15.774243866910201</v>
      </c>
      <c r="AI8829">
        <v>94.162767470786704</v>
      </c>
      <c r="AJ8829">
        <v>81.659562005037898</v>
      </c>
      <c r="AK8829">
        <v>15.985031760932999</v>
      </c>
      <c r="AL8829">
        <v>85.309992019247105</v>
      </c>
      <c r="AM8829">
        <v>83.288688474636402</v>
      </c>
      <c r="AN8829">
        <v>0.99999999793958905</v>
      </c>
    </row>
    <row r="8830" spans="1:40" x14ac:dyDescent="0.25">
      <c r="A8830" t="str">
        <f>"20190312150859261"</f>
        <v>20190312150859261</v>
      </c>
      <c r="B8830" t="str">
        <f>"1552374539258909"</f>
        <v>1552374539258909</v>
      </c>
      <c r="C8830" t="s">
        <v>40</v>
      </c>
      <c r="D8830">
        <v>4.7911020000000004</v>
      </c>
      <c r="E8830">
        <v>0.53690360000000004</v>
      </c>
      <c r="F8830" t="s">
        <v>43</v>
      </c>
      <c r="G8830">
        <v>-318.35180000000003</v>
      </c>
      <c r="H8830">
        <v>-0.05</v>
      </c>
      <c r="I8830">
        <v>12.81494</v>
      </c>
      <c r="J8830">
        <v>-332.51870000000002</v>
      </c>
      <c r="K8830">
        <v>1.1103430000000001</v>
      </c>
      <c r="L8830">
        <v>16.14996</v>
      </c>
      <c r="M8830">
        <v>0.99903470000000005</v>
      </c>
      <c r="N8830">
        <v>0</v>
      </c>
      <c r="O8830">
        <v>-4.1930330000000002E-2</v>
      </c>
      <c r="P8830">
        <v>0.98499230000000004</v>
      </c>
      <c r="Q8830">
        <v>6.883119E-2</v>
      </c>
      <c r="R8830">
        <v>-0.15828010000000001</v>
      </c>
      <c r="S8830">
        <v>2.95166</v>
      </c>
      <c r="T8830">
        <v>-0.2395931</v>
      </c>
      <c r="U8830">
        <v>-0.68975830000000005</v>
      </c>
      <c r="V8830">
        <v>0.1168744</v>
      </c>
      <c r="W8830">
        <v>8.1749489999999994E-2</v>
      </c>
      <c r="X8830">
        <v>0.9897764</v>
      </c>
      <c r="Y8830">
        <v>0.18607180000000001</v>
      </c>
      <c r="Z8830">
        <v>-4.0912479999999996E-3</v>
      </c>
      <c r="AA8830">
        <v>0.98252759999999995</v>
      </c>
      <c r="AB8830">
        <v>25</v>
      </c>
      <c r="AC8830">
        <v>14.166899999999901</v>
      </c>
      <c r="AD8830">
        <v>-1.1603429999999999</v>
      </c>
      <c r="AE8830">
        <v>-3.3350199999999899</v>
      </c>
      <c r="AF8830">
        <v>2.72071924349929</v>
      </c>
      <c r="AG8830">
        <v>-1.1603429999999999</v>
      </c>
      <c r="AH8830">
        <v>14.2040053203947</v>
      </c>
      <c r="AI8830">
        <v>94.587166137592106</v>
      </c>
      <c r="AJ8830">
        <v>79.156568739286797</v>
      </c>
      <c r="AK8830">
        <v>14.508703464520799</v>
      </c>
      <c r="AL8830">
        <v>85.310866252226404</v>
      </c>
      <c r="AM8830">
        <v>83.265605865106494</v>
      </c>
      <c r="AN8830">
        <v>0.99999996324378904</v>
      </c>
    </row>
    <row r="8831" spans="1:40" x14ac:dyDescent="0.25">
      <c r="A8831" t="str">
        <f>"20190312150859273"</f>
        <v>20190312150859273</v>
      </c>
      <c r="B8831" t="str">
        <f>"1552374539268667"</f>
        <v>1552374539268667</v>
      </c>
      <c r="C8831" t="s">
        <v>40</v>
      </c>
      <c r="D8831">
        <v>4.7577449999999999</v>
      </c>
      <c r="E8831">
        <v>0.53950949999999998</v>
      </c>
      <c r="F8831" t="s">
        <v>43</v>
      </c>
      <c r="G8831">
        <v>-318.9323</v>
      </c>
      <c r="H8831">
        <v>-0.05</v>
      </c>
      <c r="I8831">
        <v>12.594279999999999</v>
      </c>
      <c r="J8831">
        <v>-332.39260000000002</v>
      </c>
      <c r="K8831">
        <v>1.11032999999999</v>
      </c>
      <c r="L8831">
        <v>16.144500000000001</v>
      </c>
      <c r="M8831">
        <v>0.99902869999999999</v>
      </c>
      <c r="N8831">
        <v>0</v>
      </c>
      <c r="O8831">
        <v>-4.2074279999999999E-2</v>
      </c>
      <c r="P8831">
        <v>0.98488609999999999</v>
      </c>
      <c r="Q8831">
        <v>6.9022940000000005E-2</v>
      </c>
      <c r="R8831">
        <v>-0.15885629999999901</v>
      </c>
      <c r="S8831">
        <v>2.9396059999999999</v>
      </c>
      <c r="T8831">
        <v>-0.25105509999999998</v>
      </c>
      <c r="U8831">
        <v>-0.76931759999999905</v>
      </c>
      <c r="V8831">
        <v>0.1173146</v>
      </c>
      <c r="W8831">
        <v>8.1934820000000005E-2</v>
      </c>
      <c r="X8831">
        <v>0.98970899999999995</v>
      </c>
      <c r="Y8831">
        <v>0.21167349999999999</v>
      </c>
      <c r="Z8831">
        <v>-5.3513889999999998E-3</v>
      </c>
      <c r="AA8831">
        <v>0.97732580000000002</v>
      </c>
      <c r="AB8831">
        <v>25</v>
      </c>
      <c r="AC8831">
        <v>13.4603</v>
      </c>
      <c r="AD8831">
        <v>-1.1603300000000001</v>
      </c>
      <c r="AE8831">
        <v>-3.5502199999999999</v>
      </c>
      <c r="AF8831">
        <v>2.96012840931636</v>
      </c>
      <c r="AG8831">
        <v>-1.1603300000000001</v>
      </c>
      <c r="AH8831">
        <v>13.503942073748901</v>
      </c>
      <c r="AI8831">
        <v>94.7977290412895</v>
      </c>
      <c r="AJ8831">
        <v>77.636049016441504</v>
      </c>
      <c r="AK8831">
        <v>13.8731819507893</v>
      </c>
      <c r="AL8831">
        <v>85.300211902364893</v>
      </c>
      <c r="AM8831">
        <v>83.240019395960303</v>
      </c>
      <c r="AN8831">
        <v>0.99999996739129504</v>
      </c>
    </row>
    <row r="8832" spans="1:40" x14ac:dyDescent="0.25">
      <c r="A8832" t="str">
        <f>"20190312150859286"</f>
        <v>20190312150859286</v>
      </c>
      <c r="B8832" t="str">
        <f>"1552374539278427"</f>
        <v>1552374539278427</v>
      </c>
      <c r="C8832" t="s">
        <v>40</v>
      </c>
      <c r="D8832">
        <v>4.7866679999999997</v>
      </c>
      <c r="E8832">
        <v>0.54145980000000005</v>
      </c>
      <c r="F8832" t="s">
        <v>43</v>
      </c>
      <c r="G8832">
        <v>-318.71980000000002</v>
      </c>
      <c r="H8832">
        <v>-0.05</v>
      </c>
      <c r="I8832">
        <v>12.45818</v>
      </c>
      <c r="J8832">
        <v>-332.25729999999999</v>
      </c>
      <c r="K8832">
        <v>1.110317</v>
      </c>
      <c r="L8832">
        <v>16.138670000000001</v>
      </c>
      <c r="M8832">
        <v>0.99902190000000002</v>
      </c>
      <c r="N8832">
        <v>0</v>
      </c>
      <c r="O8832">
        <v>-4.2233739999999999E-2</v>
      </c>
      <c r="P8832">
        <v>0.98481350000000001</v>
      </c>
      <c r="Q8832">
        <v>6.8828169999999994E-2</v>
      </c>
      <c r="R8832">
        <v>-0.15938929999999901</v>
      </c>
      <c r="S8832">
        <v>2.9358520000000001</v>
      </c>
      <c r="T8832">
        <v>-0.24914819999999999</v>
      </c>
      <c r="U8832">
        <v>-0.79153439999999997</v>
      </c>
      <c r="V8832">
        <v>0.1176946</v>
      </c>
      <c r="W8832">
        <v>8.1734280000000006E-2</v>
      </c>
      <c r="X8832">
        <v>0.98968049999999996</v>
      </c>
      <c r="Y8832">
        <v>0.2187114</v>
      </c>
      <c r="Z8832">
        <v>-5.5921790000000001E-3</v>
      </c>
      <c r="AA8832">
        <v>0.97577360000000002</v>
      </c>
      <c r="AB8832">
        <v>25</v>
      </c>
      <c r="AC8832">
        <v>13.5374999999999</v>
      </c>
      <c r="AD8832">
        <v>-1.160317</v>
      </c>
      <c r="AE8832">
        <v>-3.6804899999999998</v>
      </c>
      <c r="AF8832">
        <v>3.0843180668896002</v>
      </c>
      <c r="AG8832">
        <v>-1.160317</v>
      </c>
      <c r="AH8832">
        <v>13.587921253650601</v>
      </c>
      <c r="AI8832">
        <v>94.760315178183305</v>
      </c>
      <c r="AJ8832">
        <v>77.211155078364399</v>
      </c>
      <c r="AK8832">
        <v>13.981808090287901</v>
      </c>
      <c r="AL8832">
        <v>85.311740828075202</v>
      </c>
      <c r="AM8832">
        <v>83.218132920151803</v>
      </c>
      <c r="AN8832">
        <v>1.00000000173826</v>
      </c>
    </row>
    <row r="8833" spans="1:40" x14ac:dyDescent="0.25">
      <c r="A8833" t="str">
        <f>"20190312150859296"</f>
        <v>20190312150859296</v>
      </c>
      <c r="B8833" t="str">
        <f>"1552374539288189"</f>
        <v>1552374539288189</v>
      </c>
      <c r="C8833" t="s">
        <v>40</v>
      </c>
      <c r="D8833">
        <v>4.7979039999999999</v>
      </c>
      <c r="E8833">
        <v>0.54278309999999996</v>
      </c>
      <c r="F8833" t="s">
        <v>43</v>
      </c>
      <c r="G8833">
        <v>-318.62700000000001</v>
      </c>
      <c r="H8833">
        <v>-0.05</v>
      </c>
      <c r="I8833">
        <v>12.381959999999999</v>
      </c>
      <c r="J8833">
        <v>-332.12310000000002</v>
      </c>
      <c r="K8833">
        <v>1.1103000000000001</v>
      </c>
      <c r="L8833">
        <v>16.132809999999999</v>
      </c>
      <c r="M8833">
        <v>0.99901439999999997</v>
      </c>
      <c r="N8833">
        <v>0</v>
      </c>
      <c r="O8833">
        <v>-4.2408229999999998E-2</v>
      </c>
      <c r="P8833">
        <v>0.98474669999999997</v>
      </c>
      <c r="Q8833">
        <v>6.8541669999999999E-2</v>
      </c>
      <c r="R8833">
        <v>-0.15992410000000001</v>
      </c>
      <c r="S8833">
        <v>2.9328919999999998</v>
      </c>
      <c r="T8833">
        <v>-0.24967010000000001</v>
      </c>
      <c r="U8833">
        <v>-0.8083496</v>
      </c>
      <c r="V8833">
        <v>0.11806129999999999</v>
      </c>
      <c r="W8833">
        <v>8.1442479999999998E-2</v>
      </c>
      <c r="X8833">
        <v>0.98966089999999995</v>
      </c>
      <c r="Y8833">
        <v>0.2239728</v>
      </c>
      <c r="Z8833">
        <v>-5.8102309999999999E-3</v>
      </c>
      <c r="AA8833">
        <v>0.9745781</v>
      </c>
      <c r="AB8833">
        <v>25</v>
      </c>
      <c r="AC8833">
        <v>13.4961</v>
      </c>
      <c r="AD8833">
        <v>-1.1603000000000001</v>
      </c>
      <c r="AE8833">
        <v>-3.75084999999999</v>
      </c>
      <c r="AF8833">
        <v>3.1534431805139702</v>
      </c>
      <c r="AG8833">
        <v>-1.1603000000000001</v>
      </c>
      <c r="AH8833">
        <v>13.5500647909405</v>
      </c>
      <c r="AI8833">
        <v>94.767537560382493</v>
      </c>
      <c r="AJ8833">
        <v>76.899019940779297</v>
      </c>
      <c r="AK8833">
        <v>13.9604711890902</v>
      </c>
      <c r="AL8833">
        <v>85.328515759433998</v>
      </c>
      <c r="AM8833">
        <v>83.197066974189894</v>
      </c>
      <c r="AN8833">
        <v>1.0000000225475201</v>
      </c>
    </row>
    <row r="8834" spans="1:40" x14ac:dyDescent="0.25">
      <c r="A8834" t="str">
        <f>"20190312150859308"</f>
        <v>20190312150859308</v>
      </c>
      <c r="B8834" t="str">
        <f>"1552374539297947"</f>
        <v>1552374539297947</v>
      </c>
      <c r="C8834" t="s">
        <v>40</v>
      </c>
      <c r="D8834">
        <v>4.7586409999999999</v>
      </c>
      <c r="E8834">
        <v>0.54360799999999998</v>
      </c>
      <c r="F8834" t="s">
        <v>43</v>
      </c>
      <c r="G8834">
        <v>-318.64960000000002</v>
      </c>
      <c r="H8834">
        <v>-0.05</v>
      </c>
      <c r="I8834">
        <v>12.36163</v>
      </c>
      <c r="J8834">
        <v>-331.9973</v>
      </c>
      <c r="K8834">
        <v>1.1102890000000001</v>
      </c>
      <c r="L8834">
        <v>16.127289999999999</v>
      </c>
      <c r="M8834">
        <v>0.99900730000000004</v>
      </c>
      <c r="N8834">
        <v>0</v>
      </c>
      <c r="O8834">
        <v>-4.2578060000000001E-2</v>
      </c>
      <c r="P8834">
        <v>0.98461690000000002</v>
      </c>
      <c r="Q8834">
        <v>6.8528729999999996E-2</v>
      </c>
      <c r="R8834">
        <v>-0.1607286</v>
      </c>
      <c r="S8834">
        <v>2.9307859999999999</v>
      </c>
      <c r="T8834">
        <v>-0.25239050000000002</v>
      </c>
      <c r="U8834">
        <v>-0.8203125</v>
      </c>
      <c r="V8834">
        <v>0.1187045</v>
      </c>
      <c r="W8834">
        <v>8.1422999999999995E-2</v>
      </c>
      <c r="X8834">
        <v>0.98958550000000001</v>
      </c>
      <c r="Y8834">
        <v>0.22765250000000001</v>
      </c>
      <c r="Z8834">
        <v>-6.0152230000000001E-3</v>
      </c>
      <c r="AA8834">
        <v>0.97372389999999998</v>
      </c>
      <c r="AB8834">
        <v>25</v>
      </c>
      <c r="AC8834">
        <v>13.3476999999999</v>
      </c>
      <c r="AD8834">
        <v>-1.1602889999999999</v>
      </c>
      <c r="AE8834">
        <v>-3.7656599999999898</v>
      </c>
      <c r="AF8834">
        <v>3.1716767977826201</v>
      </c>
      <c r="AG8834">
        <v>-1.1602889999999999</v>
      </c>
      <c r="AH8834">
        <v>13.4021350295227</v>
      </c>
      <c r="AI8834">
        <v>94.815677525208002</v>
      </c>
      <c r="AJ8834">
        <v>76.685642232641399</v>
      </c>
      <c r="AK8834">
        <v>13.8211080461255</v>
      </c>
      <c r="AL8834">
        <v>85.329635319437898</v>
      </c>
      <c r="AM8834">
        <v>83.159838438742497</v>
      </c>
      <c r="AN8834">
        <v>0.99999996252974899</v>
      </c>
    </row>
    <row r="8835" spans="1:40" x14ac:dyDescent="0.25">
      <c r="A8835" t="str">
        <f>"20190312150859321"</f>
        <v>20190312150859321</v>
      </c>
      <c r="B8835" t="str">
        <f>"1552374539308685"</f>
        <v>1552374539308685</v>
      </c>
      <c r="C8835" t="s">
        <v>40</v>
      </c>
      <c r="D8835">
        <v>4.7711420000000002</v>
      </c>
      <c r="E8835">
        <v>0.54452929999999999</v>
      </c>
      <c r="F8835" t="s">
        <v>43</v>
      </c>
      <c r="G8835">
        <v>-318.57429999999999</v>
      </c>
      <c r="H8835">
        <v>-0.05</v>
      </c>
      <c r="I8835">
        <v>12.328049999999999</v>
      </c>
      <c r="J8835">
        <v>-331.86309999999997</v>
      </c>
      <c r="K8835">
        <v>1.1102749999999999</v>
      </c>
      <c r="L8835">
        <v>16.12134</v>
      </c>
      <c r="M8835">
        <v>0.99899919999999998</v>
      </c>
      <c r="N8835">
        <v>0</v>
      </c>
      <c r="O8835">
        <v>-4.2769370000000001E-2</v>
      </c>
      <c r="P8835">
        <v>0.98455269999999995</v>
      </c>
      <c r="Q8835">
        <v>6.8361450000000004E-2</v>
      </c>
      <c r="R8835">
        <v>-0.16119229999999901</v>
      </c>
      <c r="S8835">
        <v>2.9291689999999999</v>
      </c>
      <c r="T8835">
        <v>-0.2531989</v>
      </c>
      <c r="U8835">
        <v>-0.829070999999999</v>
      </c>
      <c r="V8835">
        <v>0.1189834</v>
      </c>
      <c r="W8835">
        <v>8.1249520000000006E-2</v>
      </c>
      <c r="X8835">
        <v>0.98956630000000001</v>
      </c>
      <c r="Y8835">
        <v>0.23028999999999999</v>
      </c>
      <c r="Z8835">
        <v>-6.130758E-3</v>
      </c>
      <c r="AA8835">
        <v>0.97310269999999999</v>
      </c>
      <c r="AB8835">
        <v>25</v>
      </c>
      <c r="AC8835">
        <v>13.288799999999901</v>
      </c>
      <c r="AD8835">
        <v>-1.1602749999999999</v>
      </c>
      <c r="AE8835">
        <v>-3.7932899999999998</v>
      </c>
      <c r="AF8835">
        <v>3.1988671231407202</v>
      </c>
      <c r="AG8835">
        <v>-1.1602749999999999</v>
      </c>
      <c r="AH8835">
        <v>13.344820393651601</v>
      </c>
      <c r="AI8835">
        <v>94.832892367395104</v>
      </c>
      <c r="AJ8835">
        <v>76.520058868659703</v>
      </c>
      <c r="AK8835">
        <v>13.7718270496675</v>
      </c>
      <c r="AL8835">
        <v>85.339608199914295</v>
      </c>
      <c r="AM8835">
        <v>83.1437883010164</v>
      </c>
      <c r="AN8835">
        <v>0.99999999803574002</v>
      </c>
    </row>
    <row r="8836" spans="1:40" x14ac:dyDescent="0.25">
      <c r="A8836" t="str">
        <f>"20190312150859336"</f>
        <v>20190312150859336</v>
      </c>
      <c r="B8836" t="str">
        <f>"1552374539328204"</f>
        <v>1552374539328204</v>
      </c>
      <c r="C8836" t="s">
        <v>40</v>
      </c>
      <c r="D8836">
        <v>4.8252189999999997</v>
      </c>
      <c r="E8836">
        <v>0.5457689</v>
      </c>
      <c r="F8836" t="s">
        <v>43</v>
      </c>
      <c r="G8836">
        <v>-318.46440000000001</v>
      </c>
      <c r="H8836">
        <v>-0.05</v>
      </c>
      <c r="I8836">
        <v>12.28673</v>
      </c>
      <c r="J8836">
        <v>-331.69979999999998</v>
      </c>
      <c r="K8836">
        <v>1.1102459999999901</v>
      </c>
      <c r="L8836">
        <v>16.114070000000002</v>
      </c>
      <c r="M8836">
        <v>0.9989884</v>
      </c>
      <c r="N8836">
        <v>0</v>
      </c>
      <c r="O8836">
        <v>-4.3020460000000003E-2</v>
      </c>
      <c r="P8836">
        <v>0.98444690000000001</v>
      </c>
      <c r="Q8836">
        <v>6.8240579999999995E-2</v>
      </c>
      <c r="R8836">
        <v>-0.16188749999999999</v>
      </c>
      <c r="S8836">
        <v>2.9274900000000001</v>
      </c>
      <c r="T8836">
        <v>-0.2535096</v>
      </c>
      <c r="U8836">
        <v>-0.83782959999999995</v>
      </c>
      <c r="V8836">
        <v>0.119437</v>
      </c>
      <c r="W8836">
        <v>8.1121209999999999E-2</v>
      </c>
      <c r="X8836">
        <v>0.98952220000000002</v>
      </c>
      <c r="Y8836">
        <v>0.2328742</v>
      </c>
      <c r="Z8836">
        <v>-6.2275300000000002E-3</v>
      </c>
      <c r="AA8836">
        <v>0.97248690000000004</v>
      </c>
      <c r="AB8836">
        <v>25</v>
      </c>
      <c r="AC8836">
        <v>13.235399999999901</v>
      </c>
      <c r="AD8836">
        <v>-1.1602460000000001</v>
      </c>
      <c r="AE8836">
        <v>-3.82734</v>
      </c>
      <c r="AF8836">
        <v>3.2314379265558499</v>
      </c>
      <c r="AG8836">
        <v>-1.1602460000000001</v>
      </c>
      <c r="AH8836">
        <v>13.2935391583986</v>
      </c>
      <c r="AI8836">
        <v>94.847610911224805</v>
      </c>
      <c r="AJ8836">
        <v>76.337343058367793</v>
      </c>
      <c r="AK8836">
        <v>13.7297685781508</v>
      </c>
      <c r="AL8836">
        <v>85.346984253041597</v>
      </c>
      <c r="AM8836">
        <v>83.117596829797805</v>
      </c>
      <c r="AN8836">
        <v>1.0000000159868501</v>
      </c>
    </row>
    <row r="8837" spans="1:40" x14ac:dyDescent="0.25">
      <c r="A8837" t="str">
        <f>"20190312150859347"</f>
        <v>20190312150859347</v>
      </c>
      <c r="B8837" t="str">
        <f>"1552374539337965"</f>
        <v>1552374539337965</v>
      </c>
      <c r="C8837" t="s">
        <v>40</v>
      </c>
      <c r="D8837">
        <v>4.8611789999999999</v>
      </c>
      <c r="E8837">
        <v>0.54638189999999998</v>
      </c>
      <c r="F8837" t="s">
        <v>43</v>
      </c>
      <c r="G8837">
        <v>-318.37689999999998</v>
      </c>
      <c r="H8837">
        <v>-0.05</v>
      </c>
      <c r="I8837">
        <v>12.24466</v>
      </c>
      <c r="J8837">
        <v>-331.56729999999999</v>
      </c>
      <c r="K8837">
        <v>1.110231</v>
      </c>
      <c r="L8837">
        <v>16.108149999999998</v>
      </c>
      <c r="M8837">
        <v>0.99897930000000001</v>
      </c>
      <c r="N8837">
        <v>0</v>
      </c>
      <c r="O8837">
        <v>-4.3235389999999999E-2</v>
      </c>
      <c r="P8837">
        <v>0.9843404</v>
      </c>
      <c r="Q8837">
        <v>6.8277959999999999E-2</v>
      </c>
      <c r="R8837">
        <v>-0.162519</v>
      </c>
      <c r="S8837">
        <v>2.9253230000000001</v>
      </c>
      <c r="T8837">
        <v>-0.25475700000000001</v>
      </c>
      <c r="U8837">
        <v>-0.84960939999999996</v>
      </c>
      <c r="V8837">
        <v>0.11986239999999999</v>
      </c>
      <c r="W8837">
        <v>8.1151619999999994E-2</v>
      </c>
      <c r="X8837">
        <v>0.98946829999999997</v>
      </c>
      <c r="Y8837">
        <v>0.2364511</v>
      </c>
      <c r="Z8837">
        <v>-6.3932609999999999E-3</v>
      </c>
      <c r="AA8837">
        <v>0.97162230000000005</v>
      </c>
      <c r="AB8837">
        <v>25</v>
      </c>
      <c r="AC8837">
        <v>13.1904</v>
      </c>
      <c r="AD8837">
        <v>-1.160231</v>
      </c>
      <c r="AE8837">
        <v>-3.8634899999999899</v>
      </c>
      <c r="AF8837">
        <v>3.2662614625162001</v>
      </c>
      <c r="AG8837">
        <v>-1.160231</v>
      </c>
      <c r="AH8837">
        <v>13.250697215097</v>
      </c>
      <c r="AI8837">
        <v>94.859331973384997</v>
      </c>
      <c r="AJ8837">
        <v>76.152794751469798</v>
      </c>
      <c r="AK8837">
        <v>13.696553457021899</v>
      </c>
      <c r="AL8837">
        <v>85.345236276678193</v>
      </c>
      <c r="AM8837">
        <v>83.092947467910804</v>
      </c>
      <c r="AN8837">
        <v>1.00000004853363</v>
      </c>
    </row>
    <row r="8838" spans="1:40" x14ac:dyDescent="0.25">
      <c r="A8838" t="str">
        <f>"20190312150859358"</f>
        <v>20190312150859358</v>
      </c>
      <c r="B8838" t="str">
        <f>"1552374539348699"</f>
        <v>1552374539348699</v>
      </c>
      <c r="C8838" t="s">
        <v>40</v>
      </c>
      <c r="D8838">
        <v>4.8073069999999998</v>
      </c>
      <c r="E8838">
        <v>0.54671130000000001</v>
      </c>
      <c r="F8838" t="s">
        <v>43</v>
      </c>
      <c r="G8838">
        <v>-318.3143</v>
      </c>
      <c r="H8838">
        <v>-0.05</v>
      </c>
      <c r="I8838">
        <v>12.227779999999999</v>
      </c>
      <c r="J8838">
        <v>-331.44560000000001</v>
      </c>
      <c r="K8838">
        <v>1.110214</v>
      </c>
      <c r="L8838">
        <v>16.102629999999898</v>
      </c>
      <c r="M8838">
        <v>0.99896989999999997</v>
      </c>
      <c r="N8838">
        <v>0</v>
      </c>
      <c r="O8838">
        <v>-4.3448309999999997E-2</v>
      </c>
      <c r="P8838">
        <v>0.98423090000000002</v>
      </c>
      <c r="Q8838">
        <v>6.8488960000000002E-2</v>
      </c>
      <c r="R8838">
        <v>-0.16309319999999999</v>
      </c>
      <c r="S8838">
        <v>2.9241640000000002</v>
      </c>
      <c r="T8838">
        <v>-0.25599480000000002</v>
      </c>
      <c r="U8838">
        <v>-0.85617069999999995</v>
      </c>
      <c r="V8838">
        <v>0.1202328</v>
      </c>
      <c r="W8838">
        <v>8.1355990000000003E-2</v>
      </c>
      <c r="X8838">
        <v>0.98940649999999997</v>
      </c>
      <c r="Y8838">
        <v>0.23834359999999999</v>
      </c>
      <c r="Z8838">
        <v>-6.4875640000000004E-3</v>
      </c>
      <c r="AA8838">
        <v>0.9711592</v>
      </c>
      <c r="AB8838">
        <v>25</v>
      </c>
      <c r="AC8838">
        <v>13.1313</v>
      </c>
      <c r="AD8838">
        <v>-1.1602139999999901</v>
      </c>
      <c r="AE8838">
        <v>-3.8748499999999901</v>
      </c>
      <c r="AF8838">
        <v>3.2770750141834299</v>
      </c>
      <c r="AG8838">
        <v>-1.1602139999999901</v>
      </c>
      <c r="AH8838">
        <v>13.192528694309599</v>
      </c>
      <c r="AI8838">
        <v>94.878424596671806</v>
      </c>
      <c r="AJ8838">
        <v>76.049861505973794</v>
      </c>
      <c r="AK8838">
        <v>13.6428783812128</v>
      </c>
      <c r="AL8838">
        <v>85.333487537746507</v>
      </c>
      <c r="AM8838">
        <v>83.071381819814704</v>
      </c>
      <c r="AN8838">
        <v>0.99999997277348396</v>
      </c>
    </row>
    <row r="8839" spans="1:40" x14ac:dyDescent="0.25">
      <c r="A8839" t="str">
        <f>"20190312150859375"</f>
        <v>20190312150859375</v>
      </c>
      <c r="B8839" t="str">
        <f>"1552374539368223"</f>
        <v>1552374539368223</v>
      </c>
      <c r="C8839" t="s">
        <v>40</v>
      </c>
      <c r="D8839">
        <v>4.8073090000000001</v>
      </c>
      <c r="E8839">
        <v>0.5470853</v>
      </c>
      <c r="F8839" t="s">
        <v>43</v>
      </c>
      <c r="G8839">
        <v>-318.18340000000001</v>
      </c>
      <c r="H8839">
        <v>-0.05</v>
      </c>
      <c r="I8839">
        <v>12.198560000000001</v>
      </c>
      <c r="J8839">
        <v>-331.27339999999998</v>
      </c>
      <c r="K8839">
        <v>1.110187</v>
      </c>
      <c r="L8839">
        <v>16.09479</v>
      </c>
      <c r="M8839">
        <v>0.99895590000000001</v>
      </c>
      <c r="N8839">
        <v>0</v>
      </c>
      <c r="O8839">
        <v>-4.377031E-2</v>
      </c>
      <c r="P8839">
        <v>0.98405790000000004</v>
      </c>
      <c r="Q8839">
        <v>6.8149399999999902E-2</v>
      </c>
      <c r="R8839">
        <v>-0.16427349999999999</v>
      </c>
      <c r="S8839">
        <v>2.9232480000000001</v>
      </c>
      <c r="T8839">
        <v>-0.25573469999999998</v>
      </c>
      <c r="U8839">
        <v>-0.86053469999999999</v>
      </c>
      <c r="V8839">
        <v>0.12110509999999999</v>
      </c>
      <c r="W8839">
        <v>8.1006179999999997E-2</v>
      </c>
      <c r="X8839">
        <v>0.98932889999999996</v>
      </c>
      <c r="Y8839">
        <v>0.23944579999999999</v>
      </c>
      <c r="Z8839">
        <v>-6.5013349999999996E-3</v>
      </c>
      <c r="AA8839">
        <v>0.97088799999999997</v>
      </c>
      <c r="AB8839">
        <v>25</v>
      </c>
      <c r="AC8839">
        <v>13.0899999999999</v>
      </c>
      <c r="AD8839">
        <v>-1.1601870000000001</v>
      </c>
      <c r="AE8839">
        <v>-3.8962299999999899</v>
      </c>
      <c r="AF8839">
        <v>3.2957102649833798</v>
      </c>
      <c r="AG8839">
        <v>-1.1601870000000001</v>
      </c>
      <c r="AH8839">
        <v>13.1530907513174</v>
      </c>
      <c r="AI8839">
        <v>94.890396368476402</v>
      </c>
      <c r="AJ8839">
        <v>75.933267787562698</v>
      </c>
      <c r="AK8839">
        <v>13.609244517535799</v>
      </c>
      <c r="AL8839">
        <v>85.353596950891998</v>
      </c>
      <c r="AM8839">
        <v>83.021065985409606</v>
      </c>
      <c r="AN8839">
        <v>1.0000000594097</v>
      </c>
    </row>
    <row r="8840" spans="1:40" x14ac:dyDescent="0.25">
      <c r="A8840" t="str">
        <f>"20190312150859385"</f>
        <v>20190312150859385</v>
      </c>
      <c r="B8840" t="str">
        <f>"1552374539377980"</f>
        <v>1552374539377980</v>
      </c>
      <c r="C8840" t="s">
        <v>40</v>
      </c>
      <c r="D8840">
        <v>4.9563470000000001</v>
      </c>
      <c r="E8840">
        <v>0.54718020000000001</v>
      </c>
      <c r="F8840" t="s">
        <v>43</v>
      </c>
      <c r="G8840">
        <v>-318.35449999999997</v>
      </c>
      <c r="H8840">
        <v>-0.05</v>
      </c>
      <c r="I8840">
        <v>12.26172</v>
      </c>
      <c r="J8840">
        <v>-331.14890000000003</v>
      </c>
      <c r="K8840">
        <v>1.1101669999999999</v>
      </c>
      <c r="L8840">
        <v>16.089079999999999</v>
      </c>
      <c r="M8840">
        <v>0.99894519999999998</v>
      </c>
      <c r="N8840">
        <v>0</v>
      </c>
      <c r="O8840">
        <v>-4.401414E-2</v>
      </c>
      <c r="P8840">
        <v>0.98398079999999999</v>
      </c>
      <c r="Q8840">
        <v>6.8037100000000003E-2</v>
      </c>
      <c r="R8840">
        <v>-0.1647817</v>
      </c>
      <c r="S8840">
        <v>2.9220280000000001</v>
      </c>
      <c r="T8840">
        <v>-0.26241379999999997</v>
      </c>
      <c r="U8840">
        <v>-0.86697389999999996</v>
      </c>
      <c r="V8840">
        <v>0.12137779999999999</v>
      </c>
      <c r="W8840">
        <v>8.0886429999999995E-2</v>
      </c>
      <c r="X8840">
        <v>0.9893052</v>
      </c>
      <c r="Y8840">
        <v>0.24124399999999999</v>
      </c>
      <c r="Z8840">
        <v>-6.7287579999999996E-3</v>
      </c>
      <c r="AA8840">
        <v>0.9704412</v>
      </c>
      <c r="AB8840">
        <v>25</v>
      </c>
      <c r="AC8840">
        <v>12.7944</v>
      </c>
      <c r="AD8840">
        <v>-1.1601669999999999</v>
      </c>
      <c r="AE8840">
        <v>-3.8273599999999899</v>
      </c>
      <c r="AF8840">
        <v>3.2360448617772799</v>
      </c>
      <c r="AG8840">
        <v>-1.1601669999999999</v>
      </c>
      <c r="AH8840">
        <v>12.8534651240505</v>
      </c>
      <c r="AI8840">
        <v>95.002327806212193</v>
      </c>
      <c r="AJ8840">
        <v>75.868650364094606</v>
      </c>
      <c r="AK8840">
        <v>13.3052448121223</v>
      </c>
      <c r="AL8840">
        <v>85.360480348614203</v>
      </c>
      <c r="AM8840">
        <v>83.005340671096107</v>
      </c>
      <c r="AN8840">
        <v>0.99999998181901195</v>
      </c>
    </row>
    <row r="8841" spans="1:40" x14ac:dyDescent="0.25">
      <c r="A8841" t="str">
        <f>"20190312150859396"</f>
        <v>20190312150859396</v>
      </c>
      <c r="B8841" t="str">
        <f>"1552374539388716"</f>
        <v>1552374539388716</v>
      </c>
      <c r="C8841" t="s">
        <v>40</v>
      </c>
      <c r="D8841">
        <v>4.8115750000000004</v>
      </c>
      <c r="E8841">
        <v>0.54756680000000002</v>
      </c>
      <c r="F8841" t="s">
        <v>43</v>
      </c>
      <c r="G8841">
        <v>-318.54349999999999</v>
      </c>
      <c r="H8841">
        <v>-0.05</v>
      </c>
      <c r="I8841">
        <v>12.33948</v>
      </c>
      <c r="J8841">
        <v>-331.02760000000001</v>
      </c>
      <c r="K8841">
        <v>1.1101540000000001</v>
      </c>
      <c r="L8841">
        <v>16.08344</v>
      </c>
      <c r="M8841">
        <v>0.99893390000000004</v>
      </c>
      <c r="N8841">
        <v>0</v>
      </c>
      <c r="O8841">
        <v>-4.4275889999999998E-2</v>
      </c>
      <c r="P8841">
        <v>0.98386439999999997</v>
      </c>
      <c r="Q8841">
        <v>6.7698430000000004E-2</v>
      </c>
      <c r="R8841">
        <v>-0.16561409999999999</v>
      </c>
      <c r="S8841">
        <v>2.921875</v>
      </c>
      <c r="T8841">
        <v>-0.26892080000000002</v>
      </c>
      <c r="U8841">
        <v>-0.86914059999999904</v>
      </c>
      <c r="V8841">
        <v>0.1219587</v>
      </c>
      <c r="W8841">
        <v>8.0539949999999999E-2</v>
      </c>
      <c r="X8841">
        <v>0.98926199999999997</v>
      </c>
      <c r="Y8841">
        <v>0.24162810000000001</v>
      </c>
      <c r="Z8841">
        <v>-6.8884319999999999E-3</v>
      </c>
      <c r="AA8841">
        <v>0.97034450000000005</v>
      </c>
      <c r="AB8841">
        <v>25</v>
      </c>
      <c r="AC8841">
        <v>12.4841</v>
      </c>
      <c r="AD8841">
        <v>-1.1601539999999999</v>
      </c>
      <c r="AE8841">
        <v>-3.74396</v>
      </c>
      <c r="AF8841">
        <v>3.1624385633477199</v>
      </c>
      <c r="AG8841">
        <v>-1.1601539999999999</v>
      </c>
      <c r="AH8841">
        <v>12.5382900041777</v>
      </c>
      <c r="AI8841">
        <v>95.1267985677909</v>
      </c>
      <c r="AJ8841">
        <v>75.843971292631693</v>
      </c>
      <c r="AK8841">
        <v>12.982899953382001</v>
      </c>
      <c r="AL8841">
        <v>85.380397054106197</v>
      </c>
      <c r="AM8841">
        <v>82.971895187896294</v>
      </c>
      <c r="AN8841">
        <v>0.999999956347845</v>
      </c>
    </row>
    <row r="8842" spans="1:40" x14ac:dyDescent="0.25">
      <c r="A8842" t="str">
        <f>"20190312150859408"</f>
        <v>20190312150859408</v>
      </c>
      <c r="B8842" t="str">
        <f>"1552374539398476"</f>
        <v>1552374539398476</v>
      </c>
      <c r="C8842" t="s">
        <v>40</v>
      </c>
      <c r="D8842">
        <v>4.8203189999999996</v>
      </c>
      <c r="E8842">
        <v>0.54833379999999998</v>
      </c>
      <c r="F8842" t="s">
        <v>43</v>
      </c>
      <c r="G8842">
        <v>-318.5188</v>
      </c>
      <c r="H8842">
        <v>-0.05</v>
      </c>
      <c r="I8842">
        <v>12.33752</v>
      </c>
      <c r="J8842">
        <v>-330.89600000000002</v>
      </c>
      <c r="K8842">
        <v>1.110131</v>
      </c>
      <c r="L8842">
        <v>16.077300000000001</v>
      </c>
      <c r="M8842">
        <v>0.99892069999999999</v>
      </c>
      <c r="N8842">
        <v>0</v>
      </c>
      <c r="O8842">
        <v>-4.4569739999999997E-2</v>
      </c>
      <c r="P8842">
        <v>0.98373250000000001</v>
      </c>
      <c r="Q8842">
        <v>6.7621639999999997E-2</v>
      </c>
      <c r="R8842">
        <v>-0.16642760000000001</v>
      </c>
      <c r="S8842">
        <v>2.9205930000000002</v>
      </c>
      <c r="T8842">
        <v>-0.2708758</v>
      </c>
      <c r="U8842">
        <v>-0.87460329999999997</v>
      </c>
      <c r="V8842">
        <v>0.1224904</v>
      </c>
      <c r="W8842">
        <v>8.0453910000000003E-2</v>
      </c>
      <c r="X8842">
        <v>0.98920330000000001</v>
      </c>
      <c r="Y8842">
        <v>0.2431093</v>
      </c>
      <c r="Z8842">
        <v>-6.9800180000000002E-3</v>
      </c>
      <c r="AA8842">
        <v>0.9699738</v>
      </c>
      <c r="AB8842">
        <v>25</v>
      </c>
      <c r="AC8842">
        <v>12.377199999999901</v>
      </c>
      <c r="AD8842">
        <v>-1.160131</v>
      </c>
      <c r="AE8842">
        <v>-3.7397800000000001</v>
      </c>
      <c r="AF8842">
        <v>3.1589360415563901</v>
      </c>
      <c r="AG8842">
        <v>-1.160131</v>
      </c>
      <c r="AH8842">
        <v>12.431512778767599</v>
      </c>
      <c r="AI8842">
        <v>95.168188907395006</v>
      </c>
      <c r="AJ8842">
        <v>75.742492634615402</v>
      </c>
      <c r="AK8842">
        <v>12.878947582021899</v>
      </c>
      <c r="AL8842">
        <v>85.385342800031196</v>
      </c>
      <c r="AM8842">
        <v>82.9411487331068</v>
      </c>
      <c r="AN8842">
        <v>0.99999994922866697</v>
      </c>
    </row>
    <row r="8843" spans="1:40" x14ac:dyDescent="0.25">
      <c r="A8843" t="str">
        <f>"20190312150859417"</f>
        <v>20190312150859417</v>
      </c>
      <c r="B8843" t="str">
        <f>"1552374539408236"</f>
        <v>1552374539408236</v>
      </c>
      <c r="C8843" t="s">
        <v>40</v>
      </c>
      <c r="D8843">
        <v>4.8792879999999998</v>
      </c>
      <c r="E8843">
        <v>0.54929879999999998</v>
      </c>
      <c r="F8843" t="s">
        <v>43</v>
      </c>
      <c r="G8843">
        <v>-318.27519999999998</v>
      </c>
      <c r="H8843">
        <v>-0.05</v>
      </c>
      <c r="I8843">
        <v>12.25798</v>
      </c>
      <c r="J8843">
        <v>-330.78359999999998</v>
      </c>
      <c r="K8843">
        <v>1.1101099999999999</v>
      </c>
      <c r="L8843">
        <v>16.07199</v>
      </c>
      <c r="M8843">
        <v>0.99890860000000004</v>
      </c>
      <c r="N8843">
        <v>0</v>
      </c>
      <c r="O8843">
        <v>-4.4838290000000003E-2</v>
      </c>
      <c r="P8843">
        <v>0.98362890000000003</v>
      </c>
      <c r="Q8843">
        <v>6.7403450000000004E-2</v>
      </c>
      <c r="R8843">
        <v>-0.16712650000000001</v>
      </c>
      <c r="S8843">
        <v>2.9186399999999999</v>
      </c>
      <c r="T8843">
        <v>-0.26828679999999999</v>
      </c>
      <c r="U8843">
        <v>-0.88323969999999896</v>
      </c>
      <c r="V8843">
        <v>0.1229306</v>
      </c>
      <c r="W8843">
        <v>8.0227679999999996E-2</v>
      </c>
      <c r="X8843">
        <v>0.98916709999999997</v>
      </c>
      <c r="Y8843">
        <v>0.2456634</v>
      </c>
      <c r="Z8843">
        <v>-7.0057720000000004E-3</v>
      </c>
      <c r="AA8843">
        <v>0.96932989999999997</v>
      </c>
      <c r="AB8843">
        <v>25</v>
      </c>
      <c r="AC8843">
        <v>12.5083999999999</v>
      </c>
      <c r="AD8843">
        <v>-1.16011</v>
      </c>
      <c r="AE8843">
        <v>-3.8140100000000001</v>
      </c>
      <c r="AF8843">
        <v>3.2238974899881101</v>
      </c>
      <c r="AG8843">
        <v>-1.16011</v>
      </c>
      <c r="AH8843">
        <v>12.5679339428499</v>
      </c>
      <c r="AI8843">
        <v>95.109359297326506</v>
      </c>
      <c r="AJ8843">
        <v>75.612829343899605</v>
      </c>
      <c r="AK8843">
        <v>13.026601008317201</v>
      </c>
      <c r="AL8843">
        <v>85.398347014070396</v>
      </c>
      <c r="AM8843">
        <v>82.915781644417294</v>
      </c>
      <c r="AN8843">
        <v>0.99999998238847598</v>
      </c>
    </row>
    <row r="8844" spans="1:40" x14ac:dyDescent="0.25">
      <c r="A8844" t="str">
        <f>"20190312150859440"</f>
        <v>20190312150859440</v>
      </c>
      <c r="B8844" t="str">
        <f>"1552374539428732"</f>
        <v>1552374539428732</v>
      </c>
      <c r="C8844" t="s">
        <v>40</v>
      </c>
      <c r="D8844">
        <v>4.9452309999999997</v>
      </c>
      <c r="E8844">
        <v>0.54929879999999998</v>
      </c>
      <c r="F8844" t="s">
        <v>43</v>
      </c>
      <c r="G8844">
        <v>-318.19540000000001</v>
      </c>
      <c r="H8844">
        <v>-0.05</v>
      </c>
      <c r="I8844">
        <v>12.218830000000001</v>
      </c>
      <c r="J8844">
        <v>-330.53930000000003</v>
      </c>
      <c r="K8844">
        <v>1.110066</v>
      </c>
      <c r="L8844">
        <v>16.060300000000002</v>
      </c>
      <c r="M8844">
        <v>0.9988802</v>
      </c>
      <c r="N8844">
        <v>0</v>
      </c>
      <c r="O8844">
        <v>-4.5470400000000001E-2</v>
      </c>
      <c r="P8844">
        <v>0.98334169999999999</v>
      </c>
      <c r="Q8844">
        <v>6.7350460000000001E-2</v>
      </c>
      <c r="R8844">
        <v>-0.16882949999999999</v>
      </c>
      <c r="S8844">
        <v>2.9166560000000001</v>
      </c>
      <c r="T8844">
        <v>-0.26879340000000002</v>
      </c>
      <c r="U8844">
        <v>-0.89276119999999903</v>
      </c>
      <c r="V8844">
        <v>0.1240277</v>
      </c>
      <c r="W8844">
        <v>8.0154939999999994E-2</v>
      </c>
      <c r="X8844">
        <v>0.98903609999999997</v>
      </c>
      <c r="Y8844">
        <v>0.24811810000000001</v>
      </c>
      <c r="Z8844">
        <v>-7.0740780000000001E-3</v>
      </c>
      <c r="AA8844">
        <v>0.96870389999999995</v>
      </c>
      <c r="AB8844">
        <v>25</v>
      </c>
      <c r="AC8844">
        <v>12.3439</v>
      </c>
      <c r="AD8844">
        <v>-1.160066</v>
      </c>
      <c r="AE8844">
        <v>-3.8414700000000002</v>
      </c>
      <c r="AF8844">
        <v>3.2499964290014698</v>
      </c>
      <c r="AG8844">
        <v>-1.160066</v>
      </c>
      <c r="AH8844">
        <v>12.4059235522527</v>
      </c>
      <c r="AI8844">
        <v>95.168712930816596</v>
      </c>
      <c r="AJ8844">
        <v>75.320037090464297</v>
      </c>
      <c r="AK8844">
        <v>12.876923898867201</v>
      </c>
      <c r="AL8844">
        <v>85.402528467409795</v>
      </c>
      <c r="AM8844">
        <v>82.852272288737097</v>
      </c>
      <c r="AN8844">
        <v>1.0000000459384499</v>
      </c>
    </row>
    <row r="8845" spans="1:40" x14ac:dyDescent="0.25">
      <c r="A8845" t="str">
        <f>"20190312150859452"</f>
        <v>20190312150859452</v>
      </c>
      <c r="B8845" t="str">
        <f>"1552374539448252"</f>
        <v>1552374539448252</v>
      </c>
      <c r="C8845" t="s">
        <v>40</v>
      </c>
      <c r="D8845">
        <v>5.0965579999999999</v>
      </c>
      <c r="E8845">
        <v>0.55473669999999997</v>
      </c>
      <c r="F8845" t="s">
        <v>43</v>
      </c>
      <c r="G8845">
        <v>-317.95909999999998</v>
      </c>
      <c r="H8845">
        <v>-0.05</v>
      </c>
      <c r="I8845">
        <v>12.18483</v>
      </c>
      <c r="J8845">
        <v>-330.41550000000001</v>
      </c>
      <c r="K8845">
        <v>1.1100410000000001</v>
      </c>
      <c r="L8845">
        <v>16.054289999999899</v>
      </c>
      <c r="M8845">
        <v>0.99886390000000003</v>
      </c>
      <c r="N8845">
        <v>0</v>
      </c>
      <c r="O8845">
        <v>-4.5824410000000003E-2</v>
      </c>
      <c r="P8845">
        <v>0.98323170000000004</v>
      </c>
      <c r="Q8845">
        <v>6.7440100000000003E-2</v>
      </c>
      <c r="R8845">
        <v>-0.1694329</v>
      </c>
      <c r="S8845">
        <v>2.9150390000000002</v>
      </c>
      <c r="T8845">
        <v>-0.2688065</v>
      </c>
      <c r="U8845">
        <v>-0.89801030000000004</v>
      </c>
      <c r="V8845">
        <v>0.12428980000000001</v>
      </c>
      <c r="W8845">
        <v>8.0234810000000004E-2</v>
      </c>
      <c r="X8845">
        <v>0.98899669999999895</v>
      </c>
      <c r="Y8845">
        <v>0.2495145</v>
      </c>
      <c r="Z8845">
        <v>-7.1074709999999998E-3</v>
      </c>
      <c r="AA8845">
        <v>0.96834500000000001</v>
      </c>
      <c r="AB8845">
        <v>25</v>
      </c>
      <c r="AC8845">
        <v>12.4564</v>
      </c>
      <c r="AD8845">
        <v>-1.1600409999999901</v>
      </c>
      <c r="AE8845">
        <v>-3.8694599999999899</v>
      </c>
      <c r="AF8845">
        <v>3.2686845199946699</v>
      </c>
      <c r="AG8845">
        <v>-1.1600409999999901</v>
      </c>
      <c r="AH8845">
        <v>12.5216025791518</v>
      </c>
      <c r="AI8845">
        <v>95.122264658477903</v>
      </c>
      <c r="AJ8845">
        <v>75.369788992913499</v>
      </c>
      <c r="AK8845">
        <v>12.9930952726114</v>
      </c>
      <c r="AL8845">
        <v>85.397937374459005</v>
      </c>
      <c r="AM8845">
        <v>82.837041775616001</v>
      </c>
      <c r="AN8845">
        <v>1.0000000258653301</v>
      </c>
    </row>
    <row r="8846" spans="1:40" x14ac:dyDescent="0.25">
      <c r="A8846" t="str">
        <f>"20190312150859462"</f>
        <v>20190312150859462</v>
      </c>
      <c r="B8846" t="str">
        <f>"1552374539458012"</f>
        <v>1552374539458012</v>
      </c>
      <c r="C8846" t="s">
        <v>40</v>
      </c>
      <c r="D8846">
        <v>5.2096859999999996</v>
      </c>
      <c r="E8846">
        <v>0.55609719999999996</v>
      </c>
      <c r="F8846" t="s">
        <v>43</v>
      </c>
      <c r="G8846">
        <v>-318.60399999999998</v>
      </c>
      <c r="H8846">
        <v>-0.05</v>
      </c>
      <c r="I8846">
        <v>12.22672</v>
      </c>
      <c r="J8846">
        <v>-330.29489999999998</v>
      </c>
      <c r="K8846">
        <v>1.110015</v>
      </c>
      <c r="L8846">
        <v>16.048369999999998</v>
      </c>
      <c r="M8846">
        <v>0.99884759999999995</v>
      </c>
      <c r="N8846">
        <v>0</v>
      </c>
      <c r="O8846">
        <v>-4.618212E-2</v>
      </c>
      <c r="P8846">
        <v>0.98302889999999998</v>
      </c>
      <c r="Q8846">
        <v>6.7649130000000002E-2</v>
      </c>
      <c r="R8846">
        <v>-0.17052249999999999</v>
      </c>
      <c r="S8846">
        <v>2.9083559999999999</v>
      </c>
      <c r="T8846">
        <v>-0.28563870000000002</v>
      </c>
      <c r="U8846">
        <v>-0.94247440000000005</v>
      </c>
      <c r="V8846">
        <v>0.1250386</v>
      </c>
      <c r="W8846">
        <v>8.0432039999999996E-2</v>
      </c>
      <c r="X8846">
        <v>0.98888620000000005</v>
      </c>
      <c r="Y8846">
        <v>0.26306829999999998</v>
      </c>
      <c r="Z8846">
        <v>-8.1640689999999995E-3</v>
      </c>
      <c r="AA8846">
        <v>0.96474269999999995</v>
      </c>
      <c r="AB8846">
        <v>25</v>
      </c>
      <c r="AC8846">
        <v>11.6908999999999</v>
      </c>
      <c r="AD8846">
        <v>-1.160015</v>
      </c>
      <c r="AE8846">
        <v>-3.82165</v>
      </c>
      <c r="AF8846">
        <v>3.2487181934371301</v>
      </c>
      <c r="AG8846">
        <v>-1.160015</v>
      </c>
      <c r="AH8846">
        <v>11.7504126987024</v>
      </c>
      <c r="AI8846">
        <v>95.435415455373402</v>
      </c>
      <c r="AJ8846">
        <v>74.545105486324999</v>
      </c>
      <c r="AK8846">
        <v>12.246305699696601</v>
      </c>
      <c r="AL8846">
        <v>85.386599892766299</v>
      </c>
      <c r="AM8846">
        <v>82.793543147161699</v>
      </c>
      <c r="AN8846">
        <v>0.99999994054947905</v>
      </c>
    </row>
    <row r="8847" spans="1:40" x14ac:dyDescent="0.25">
      <c r="A8847" t="str">
        <f>"20190312150859498"</f>
        <v>20190312150859498</v>
      </c>
      <c r="B8847" t="str">
        <f>"1552374539488269"</f>
        <v>1552374539488269</v>
      </c>
      <c r="C8847" t="s">
        <v>40</v>
      </c>
      <c r="D8847">
        <v>5.0181209999999998</v>
      </c>
      <c r="E8847">
        <v>0.55698910000000001</v>
      </c>
      <c r="F8847" t="s">
        <v>43</v>
      </c>
      <c r="G8847">
        <v>-318.91160000000002</v>
      </c>
      <c r="H8847">
        <v>-0.05</v>
      </c>
      <c r="I8847">
        <v>12.30148</v>
      </c>
      <c r="J8847">
        <v>-329.90789999999998</v>
      </c>
      <c r="K8847">
        <v>1.1099110000000001</v>
      </c>
      <c r="L8847">
        <v>16.0289</v>
      </c>
      <c r="M8847">
        <v>0.99878540000000005</v>
      </c>
      <c r="N8847">
        <v>0</v>
      </c>
      <c r="O8847">
        <v>-4.7506149999999997E-2</v>
      </c>
      <c r="P8847">
        <v>0.98257119999999998</v>
      </c>
      <c r="Q8847">
        <v>6.769153E-2</v>
      </c>
      <c r="R8847">
        <v>-0.17312339999999901</v>
      </c>
      <c r="S8847">
        <v>2.9062190000000001</v>
      </c>
      <c r="T8847">
        <v>-0.29615829999999999</v>
      </c>
      <c r="U8847">
        <v>-0.95660400000000001</v>
      </c>
      <c r="V8847">
        <v>0.12636530000000001</v>
      </c>
      <c r="W8847">
        <v>8.043728E-2</v>
      </c>
      <c r="X8847">
        <v>0.98871719999999996</v>
      </c>
      <c r="Y8847">
        <v>0.26615620000000001</v>
      </c>
      <c r="Z8847">
        <v>-8.4855219999999901E-3</v>
      </c>
      <c r="AA8847">
        <v>0.96389259999999999</v>
      </c>
      <c r="AB8847">
        <v>25</v>
      </c>
      <c r="AC8847">
        <v>10.9962999999999</v>
      </c>
      <c r="AD8847">
        <v>-1.1599109999999999</v>
      </c>
      <c r="AE8847">
        <v>-3.72742</v>
      </c>
      <c r="AF8847">
        <v>3.1691469889210802</v>
      </c>
      <c r="AG8847">
        <v>-1.1599109999999999</v>
      </c>
      <c r="AH8847">
        <v>11.0506897782405</v>
      </c>
      <c r="AI8847">
        <v>95.761399824102298</v>
      </c>
      <c r="AJ8847">
        <v>73.9980228869928</v>
      </c>
      <c r="AK8847">
        <v>11.554506944920499</v>
      </c>
      <c r="AL8847">
        <v>85.386299069613202</v>
      </c>
      <c r="AM8847">
        <v>82.716665493514995</v>
      </c>
      <c r="AN8847">
        <v>1.00000002331686</v>
      </c>
    </row>
    <row r="8848" spans="1:40" x14ac:dyDescent="0.25">
      <c r="A8848" t="str">
        <f>"20190312150859509"</f>
        <v>20190312150859509</v>
      </c>
      <c r="B8848" t="str">
        <f>"1552374539498028"</f>
        <v>1552374539498028</v>
      </c>
      <c r="C8848" t="s">
        <v>40</v>
      </c>
      <c r="D8848">
        <v>4.8921060000000001</v>
      </c>
      <c r="E8848">
        <v>0.55732879999999996</v>
      </c>
      <c r="F8848" t="s">
        <v>43</v>
      </c>
      <c r="G8848">
        <v>-318.28609999999998</v>
      </c>
      <c r="H8848">
        <v>-0.05</v>
      </c>
      <c r="I8848">
        <v>12.13869</v>
      </c>
      <c r="J8848">
        <v>-329.7801</v>
      </c>
      <c r="K8848">
        <v>1.1098790000000001</v>
      </c>
      <c r="L8848">
        <v>16.022310000000001</v>
      </c>
      <c r="M8848">
        <v>0.99876220000000004</v>
      </c>
      <c r="N8848">
        <v>0</v>
      </c>
      <c r="O8848">
        <v>-4.7992510000000002E-2</v>
      </c>
      <c r="P8848">
        <v>0.98240539999999998</v>
      </c>
      <c r="Q8848">
        <v>6.7874729999999994E-2</v>
      </c>
      <c r="R8848">
        <v>-0.1739917</v>
      </c>
      <c r="S8848">
        <v>2.9020079999999999</v>
      </c>
      <c r="T8848">
        <v>-0.28963529999999998</v>
      </c>
      <c r="U8848">
        <v>-0.97140499999999996</v>
      </c>
      <c r="V8848">
        <v>0.1267653</v>
      </c>
      <c r="W8848">
        <v>8.0607910000000005E-2</v>
      </c>
      <c r="X8848">
        <v>0.98865210000000003</v>
      </c>
      <c r="Y8848">
        <v>0.27055319999999999</v>
      </c>
      <c r="Z8848">
        <v>-8.4707419999999999E-3</v>
      </c>
      <c r="AA8848">
        <v>0.96266779999999996</v>
      </c>
      <c r="AB8848">
        <v>25</v>
      </c>
      <c r="AC8848">
        <v>11.494</v>
      </c>
      <c r="AD8848">
        <v>-1.1598790000000001</v>
      </c>
      <c r="AE8848">
        <v>-3.8836200000000001</v>
      </c>
      <c r="AF8848">
        <v>3.2973343349153801</v>
      </c>
      <c r="AG8848">
        <v>-1.1598790000000001</v>
      </c>
      <c r="AH8848">
        <v>11.5614848158061</v>
      </c>
      <c r="AI8848">
        <v>95.510598498940297</v>
      </c>
      <c r="AJ8848">
        <v>74.081855519598605</v>
      </c>
      <c r="AK8848">
        <v>12.0783137960962</v>
      </c>
      <c r="AL8848">
        <v>85.376490852281805</v>
      </c>
      <c r="AM8848">
        <v>82.693383469814805</v>
      </c>
      <c r="AN8848">
        <v>1.00000002563653</v>
      </c>
    </row>
    <row r="8849" spans="1:40" x14ac:dyDescent="0.25">
      <c r="A8849" t="str">
        <f>"20190312150859531"</f>
        <v>20190312150859531</v>
      </c>
      <c r="B8849" t="str">
        <f>"1552374539528284"</f>
        <v>1552374539528284</v>
      </c>
      <c r="C8849" t="s">
        <v>40</v>
      </c>
      <c r="D8849">
        <v>4.8424009999999997</v>
      </c>
      <c r="E8849">
        <v>0.55957939999999995</v>
      </c>
      <c r="F8849" t="s">
        <v>43</v>
      </c>
      <c r="G8849">
        <v>-317.8082</v>
      </c>
      <c r="H8849">
        <v>-0.05</v>
      </c>
      <c r="I8849">
        <v>11.99028</v>
      </c>
      <c r="J8849">
        <v>-329.53969999999998</v>
      </c>
      <c r="K8849">
        <v>1.1098159999999999</v>
      </c>
      <c r="L8849">
        <v>16.009640000000001</v>
      </c>
      <c r="M8849">
        <v>0.9987142</v>
      </c>
      <c r="N8849">
        <v>0</v>
      </c>
      <c r="O8849">
        <v>-4.8981499999999997E-2</v>
      </c>
      <c r="P8849">
        <v>0.98205710000000002</v>
      </c>
      <c r="Q8849">
        <v>6.7820530000000004E-2</v>
      </c>
      <c r="R8849">
        <v>-0.17596709999999999</v>
      </c>
      <c r="S8849">
        <v>2.9001459999999999</v>
      </c>
      <c r="T8849">
        <v>-0.28097650000000002</v>
      </c>
      <c r="U8849">
        <v>-0.97674559999999999</v>
      </c>
      <c r="V8849">
        <v>0.12778789999999901</v>
      </c>
      <c r="W8849">
        <v>8.0529020000000007E-2</v>
      </c>
      <c r="X8849">
        <v>0.98852680000000004</v>
      </c>
      <c r="Y8849">
        <v>0.2714374</v>
      </c>
      <c r="Z8849">
        <v>-8.1703030000000003E-3</v>
      </c>
      <c r="AA8849">
        <v>0.96242139999999998</v>
      </c>
      <c r="AB8849">
        <v>25</v>
      </c>
      <c r="AC8849">
        <v>11.731499999999899</v>
      </c>
      <c r="AD8849">
        <v>-1.159816</v>
      </c>
      <c r="AE8849">
        <v>-4.0193599999999998</v>
      </c>
      <c r="AF8849">
        <v>3.4100309356652199</v>
      </c>
      <c r="AG8849">
        <v>-1.159816</v>
      </c>
      <c r="AH8849">
        <v>11.8109941161078</v>
      </c>
      <c r="AI8849">
        <v>95.389591149203696</v>
      </c>
      <c r="AJ8849">
        <v>73.895689328884302</v>
      </c>
      <c r="AK8849">
        <v>12.3479984672328</v>
      </c>
      <c r="AL8849">
        <v>85.381025319429</v>
      </c>
      <c r="AM8849">
        <v>82.634163191025294</v>
      </c>
      <c r="AN8849">
        <v>0.999999952383404</v>
      </c>
    </row>
    <row r="8850" spans="1:40" x14ac:dyDescent="0.25">
      <c r="A8850" t="str">
        <f>"20190312150859544"</f>
        <v>20190312150859544</v>
      </c>
      <c r="B8850" t="str">
        <f>"1552374539538044"</f>
        <v>1552374539538044</v>
      </c>
      <c r="C8850" t="s">
        <v>40</v>
      </c>
      <c r="D8850">
        <v>4.8359990000000002</v>
      </c>
      <c r="E8850">
        <v>0.56012819999999997</v>
      </c>
      <c r="F8850" t="s">
        <v>43</v>
      </c>
      <c r="G8850">
        <v>-317.7516</v>
      </c>
      <c r="H8850">
        <v>-0.05</v>
      </c>
      <c r="I8850">
        <v>11.93829</v>
      </c>
      <c r="J8850">
        <v>-329.39049999999997</v>
      </c>
      <c r="K8850">
        <v>1.1097760000000001</v>
      </c>
      <c r="L8850">
        <v>16.001619999999999</v>
      </c>
      <c r="M8850">
        <v>0.99868199999999996</v>
      </c>
      <c r="N8850">
        <v>0</v>
      </c>
      <c r="O8850">
        <v>-4.9632719999999998E-2</v>
      </c>
      <c r="P8850">
        <v>0.98184249999999995</v>
      </c>
      <c r="Q8850">
        <v>6.7828040000000006E-2</v>
      </c>
      <c r="R8850">
        <v>-0.17715699999999901</v>
      </c>
      <c r="S8850">
        <v>2.8952939999999998</v>
      </c>
      <c r="T8850">
        <v>-0.28486479999999997</v>
      </c>
      <c r="U8850">
        <v>-0.99996949999999996</v>
      </c>
      <c r="V8850">
        <v>0.12834970000000001</v>
      </c>
      <c r="W8850">
        <v>8.0521430000000005E-2</v>
      </c>
      <c r="X8850">
        <v>0.98845470000000002</v>
      </c>
      <c r="Y8850">
        <v>0.27815329999999999</v>
      </c>
      <c r="Z8850">
        <v>-8.5443559999999995E-3</v>
      </c>
      <c r="AA8850">
        <v>0.96049870000000004</v>
      </c>
      <c r="AB8850">
        <v>25</v>
      </c>
      <c r="AC8850">
        <v>11.6388999999999</v>
      </c>
      <c r="AD8850">
        <v>-1.1597759999999999</v>
      </c>
      <c r="AE8850">
        <v>-4.0633299999999997</v>
      </c>
      <c r="AF8850">
        <v>3.4500661557941399</v>
      </c>
      <c r="AG8850">
        <v>-1.1597759999999999</v>
      </c>
      <c r="AH8850">
        <v>11.7224922475065</v>
      </c>
      <c r="AI8850">
        <v>95.421745041752999</v>
      </c>
      <c r="AJ8850">
        <v>73.600229108378102</v>
      </c>
      <c r="AK8850">
        <v>12.274561553977501</v>
      </c>
      <c r="AL8850">
        <v>85.381461924515094</v>
      </c>
      <c r="AM8850">
        <v>82.601604713216901</v>
      </c>
      <c r="AN8850">
        <v>1.00000002006571</v>
      </c>
    </row>
    <row r="8851" spans="1:40" x14ac:dyDescent="0.25">
      <c r="A8851" t="str">
        <f>"20190312150859556"</f>
        <v>20190312150859556</v>
      </c>
      <c r="B8851" t="str">
        <f>"1552374539548780"</f>
        <v>1552374539548780</v>
      </c>
      <c r="C8851" t="s">
        <v>40</v>
      </c>
      <c r="D8851">
        <v>4.9217409999999999</v>
      </c>
      <c r="E8851">
        <v>0.56037890000000001</v>
      </c>
      <c r="F8851" t="s">
        <v>43</v>
      </c>
      <c r="G8851">
        <v>-317.57709999999997</v>
      </c>
      <c r="H8851">
        <v>-0.05</v>
      </c>
      <c r="I8851">
        <v>11.887180000000001</v>
      </c>
      <c r="J8851">
        <v>-329.2525</v>
      </c>
      <c r="K8851">
        <v>1.1097410000000001</v>
      </c>
      <c r="L8851">
        <v>15.99405</v>
      </c>
      <c r="M8851">
        <v>0.99864969999999997</v>
      </c>
      <c r="N8851">
        <v>0</v>
      </c>
      <c r="O8851">
        <v>-5.0279900000000002E-2</v>
      </c>
      <c r="P8851">
        <v>0.98162969999999905</v>
      </c>
      <c r="Q8851">
        <v>6.780158E-2</v>
      </c>
      <c r="R8851">
        <v>-0.178343</v>
      </c>
      <c r="S8851">
        <v>2.8932799999999999</v>
      </c>
      <c r="T8851">
        <v>-0.28404770000000001</v>
      </c>
      <c r="U8851">
        <v>-1.00769</v>
      </c>
      <c r="V8851">
        <v>0.12891030000000001</v>
      </c>
      <c r="W8851">
        <v>8.0481010000000006E-2</v>
      </c>
      <c r="X8851">
        <v>0.98838499999999996</v>
      </c>
      <c r="Y8851">
        <v>0.28002480000000002</v>
      </c>
      <c r="Z8851">
        <v>-8.5497869999999997E-3</v>
      </c>
      <c r="AA8851">
        <v>0.95995469999999905</v>
      </c>
      <c r="AB8851">
        <v>25</v>
      </c>
      <c r="AC8851">
        <v>11.6754</v>
      </c>
      <c r="AD8851">
        <v>-1.1597409999999999</v>
      </c>
      <c r="AE8851">
        <v>-4.10686999999999</v>
      </c>
      <c r="AF8851">
        <v>3.48399554245445</v>
      </c>
      <c r="AG8851">
        <v>-1.1597409999999999</v>
      </c>
      <c r="AH8851">
        <v>11.763848937050099</v>
      </c>
      <c r="AI8851">
        <v>95.399938539728197</v>
      </c>
      <c r="AJ8851">
        <v>73.502754963165799</v>
      </c>
      <c r="AK8851">
        <v>12.323610101778501</v>
      </c>
      <c r="AL8851">
        <v>85.383785190574301</v>
      </c>
      <c r="AM8851">
        <v>82.569132531999301</v>
      </c>
      <c r="AN8851">
        <v>0.99999998332085405</v>
      </c>
    </row>
    <row r="8852" spans="1:40" x14ac:dyDescent="0.25">
      <c r="A8852" t="str">
        <f>"20190312150859568"</f>
        <v>20190312150859568</v>
      </c>
      <c r="B8852" t="str">
        <f>"1552374539558540"</f>
        <v>1552374539558540</v>
      </c>
      <c r="C8852" t="s">
        <v>40</v>
      </c>
      <c r="D8852">
        <v>4.8298690000000004</v>
      </c>
      <c r="E8852">
        <v>0.56074729999999995</v>
      </c>
      <c r="F8852" t="s">
        <v>43</v>
      </c>
      <c r="G8852">
        <v>-317.51150000000001</v>
      </c>
      <c r="H8852">
        <v>-0.05</v>
      </c>
      <c r="I8852">
        <v>11.880509999999999</v>
      </c>
      <c r="J8852">
        <v>-329.12979999999999</v>
      </c>
      <c r="K8852">
        <v>1.1097079999999999</v>
      </c>
      <c r="L8852">
        <v>15.98724</v>
      </c>
      <c r="M8852">
        <v>0.99861979999999995</v>
      </c>
      <c r="N8852">
        <v>0</v>
      </c>
      <c r="O8852">
        <v>-5.0868839999999999E-2</v>
      </c>
      <c r="P8852">
        <v>0.98145130000000003</v>
      </c>
      <c r="Q8852">
        <v>6.7711399999999894E-2</v>
      </c>
      <c r="R8852">
        <v>-0.1793554</v>
      </c>
      <c r="S8852">
        <v>2.8917540000000002</v>
      </c>
      <c r="T8852">
        <v>-0.28564050000000002</v>
      </c>
      <c r="U8852">
        <v>-1.013153</v>
      </c>
      <c r="V8852">
        <v>0.12935269999999999</v>
      </c>
      <c r="W8852">
        <v>8.0379300000000001E-2</v>
      </c>
      <c r="X8852">
        <v>0.98833550000000003</v>
      </c>
      <c r="Y8852">
        <v>0.28121819999999997</v>
      </c>
      <c r="Z8852">
        <v>-8.6002860000000004E-3</v>
      </c>
      <c r="AA8852">
        <v>0.95960529999999999</v>
      </c>
      <c r="AB8852">
        <v>25</v>
      </c>
      <c r="AC8852">
        <v>11.6182999999999</v>
      </c>
      <c r="AD8852">
        <v>-1.159708</v>
      </c>
      <c r="AE8852">
        <v>-4.10672999999999</v>
      </c>
      <c r="AF8852">
        <v>3.47953442557474</v>
      </c>
      <c r="AG8852">
        <v>-1.159708</v>
      </c>
      <c r="AH8852">
        <v>11.708477239051</v>
      </c>
      <c r="AI8852">
        <v>95.423671374052105</v>
      </c>
      <c r="AJ8852">
        <v>73.449062506409106</v>
      </c>
      <c r="AK8852">
        <v>12.269495577300599</v>
      </c>
      <c r="AL8852">
        <v>85.389631793688096</v>
      </c>
      <c r="AM8852">
        <v>82.543548177726393</v>
      </c>
      <c r="AN8852">
        <v>1.0000000067130099</v>
      </c>
    </row>
    <row r="8853" spans="1:40" x14ac:dyDescent="0.25">
      <c r="A8853" t="str">
        <f>"20190312150859580"</f>
        <v>20190312150859580</v>
      </c>
      <c r="B8853" t="str">
        <f>"1552374539568300"</f>
        <v>1552374539568300</v>
      </c>
      <c r="C8853" t="s">
        <v>40</v>
      </c>
      <c r="D8853">
        <v>4.9003829999999997</v>
      </c>
      <c r="E8853">
        <v>0.56075200000000003</v>
      </c>
      <c r="F8853" t="s">
        <v>43</v>
      </c>
      <c r="G8853">
        <v>-317.41930000000002</v>
      </c>
      <c r="H8853">
        <v>-0.05</v>
      </c>
      <c r="I8853">
        <v>11.85765</v>
      </c>
      <c r="J8853">
        <v>-328.9898</v>
      </c>
      <c r="K8853">
        <v>1.109675</v>
      </c>
      <c r="L8853">
        <v>15.979340000000001</v>
      </c>
      <c r="M8853">
        <v>0.99858400000000003</v>
      </c>
      <c r="N8853">
        <v>0</v>
      </c>
      <c r="O8853">
        <v>-5.1570480000000002E-2</v>
      </c>
      <c r="P8853">
        <v>0.9812227</v>
      </c>
      <c r="Q8853">
        <v>6.7566979999999999E-2</v>
      </c>
      <c r="R8853">
        <v>-0.18065690000000001</v>
      </c>
      <c r="S8853">
        <v>2.8901979999999998</v>
      </c>
      <c r="T8853">
        <v>-0.28622039999999999</v>
      </c>
      <c r="U8853">
        <v>-1.019196</v>
      </c>
      <c r="V8853">
        <v>0.12997539999999999</v>
      </c>
      <c r="W8853">
        <v>8.0221500000000001E-2</v>
      </c>
      <c r="X8853">
        <v>0.9882666</v>
      </c>
      <c r="Y8853">
        <v>0.28248410000000002</v>
      </c>
      <c r="Z8853">
        <v>-8.6129789999999998E-3</v>
      </c>
      <c r="AA8853">
        <v>0.95923329999999996</v>
      </c>
      <c r="AB8853">
        <v>25</v>
      </c>
      <c r="AC8853">
        <v>11.5704999999999</v>
      </c>
      <c r="AD8853">
        <v>-1.159675</v>
      </c>
      <c r="AE8853">
        <v>-4.1216899999999903</v>
      </c>
      <c r="AF8853">
        <v>3.4883613451400599</v>
      </c>
      <c r="AG8853">
        <v>-1.159675</v>
      </c>
      <c r="AH8853">
        <v>11.663703688742199</v>
      </c>
      <c r="AI8853">
        <v>95.441401608492001</v>
      </c>
      <c r="AJ8853">
        <v>73.349214108982693</v>
      </c>
      <c r="AK8853">
        <v>12.2292883978861</v>
      </c>
      <c r="AL8853">
        <v>85.398702250586695</v>
      </c>
      <c r="AM8853">
        <v>82.507543452880796</v>
      </c>
      <c r="AN8853">
        <v>0.99999998317148397</v>
      </c>
    </row>
    <row r="8854" spans="1:40" x14ac:dyDescent="0.25">
      <c r="A8854" t="str">
        <f>"20190312150859594"</f>
        <v>20190312150859594</v>
      </c>
      <c r="B8854" t="str">
        <f>"1552374539588796"</f>
        <v>1552374539588796</v>
      </c>
      <c r="C8854" t="s">
        <v>40</v>
      </c>
      <c r="D8854">
        <v>4.8575499999999998</v>
      </c>
      <c r="E8854">
        <v>0.5605059</v>
      </c>
      <c r="F8854" t="s">
        <v>43</v>
      </c>
      <c r="G8854">
        <v>-317.45080000000002</v>
      </c>
      <c r="H8854">
        <v>-0.05</v>
      </c>
      <c r="I8854">
        <v>11.89223</v>
      </c>
      <c r="J8854">
        <v>-328.84930000000003</v>
      </c>
      <c r="K8854">
        <v>1.1096410000000001</v>
      </c>
      <c r="L8854">
        <v>15.971279999999901</v>
      </c>
      <c r="M8854">
        <v>0.99854549999999997</v>
      </c>
      <c r="N8854">
        <v>0</v>
      </c>
      <c r="O8854">
        <v>-5.231015E-2</v>
      </c>
      <c r="P8854">
        <v>0.98095529999999997</v>
      </c>
      <c r="Q8854">
        <v>6.7656320000000006E-2</v>
      </c>
      <c r="R8854">
        <v>-0.18207019999999999</v>
      </c>
      <c r="S8854">
        <v>2.889008</v>
      </c>
      <c r="T8854">
        <v>-0.290346299999999</v>
      </c>
      <c r="U8854">
        <v>-1.023285</v>
      </c>
      <c r="V8854">
        <v>0.13067429999999999</v>
      </c>
      <c r="W8854">
        <v>8.0297069999999998E-2</v>
      </c>
      <c r="X8854">
        <v>0.9881683</v>
      </c>
      <c r="Y8854">
        <v>0.2830762</v>
      </c>
      <c r="Z8854">
        <v>-8.6952219999999903E-3</v>
      </c>
      <c r="AA8854">
        <v>0.95905799999999997</v>
      </c>
      <c r="AB8854">
        <v>25</v>
      </c>
      <c r="AC8854">
        <v>11.3985</v>
      </c>
      <c r="AD8854">
        <v>-1.1596409999999999</v>
      </c>
      <c r="AE8854">
        <v>-4.0790499999999899</v>
      </c>
      <c r="AF8854">
        <v>3.4455425183892801</v>
      </c>
      <c r="AG8854">
        <v>-1.1596409999999999</v>
      </c>
      <c r="AH8854">
        <v>11.490853818681201</v>
      </c>
      <c r="AI8854">
        <v>95.521424938127296</v>
      </c>
      <c r="AJ8854">
        <v>73.3085950790759</v>
      </c>
      <c r="AK8854">
        <v>12.0522301661232</v>
      </c>
      <c r="AL8854">
        <v>85.394358429680693</v>
      </c>
      <c r="AM8854">
        <v>82.466975918466702</v>
      </c>
      <c r="AN8854">
        <v>0.99999999062798195</v>
      </c>
    </row>
    <row r="8855" spans="1:40" x14ac:dyDescent="0.25">
      <c r="A8855" t="str">
        <f>"20190312150859609"</f>
        <v>20190312150859609</v>
      </c>
      <c r="B8855" t="str">
        <f>"1552374539598556"</f>
        <v>1552374539598556</v>
      </c>
      <c r="C8855" t="s">
        <v>40</v>
      </c>
      <c r="D8855">
        <v>4.6261640000000002</v>
      </c>
      <c r="E8855">
        <v>0.5605059</v>
      </c>
      <c r="F8855" t="s">
        <v>43</v>
      </c>
      <c r="G8855">
        <v>-317.70170000000002</v>
      </c>
      <c r="H8855">
        <v>-0.05</v>
      </c>
      <c r="I8855">
        <v>12.01346</v>
      </c>
      <c r="J8855">
        <v>-328.68049999999999</v>
      </c>
      <c r="K8855">
        <v>1.109604</v>
      </c>
      <c r="L8855">
        <v>15.961429999999901</v>
      </c>
      <c r="M8855">
        <v>0.99849690000000002</v>
      </c>
      <c r="N8855">
        <v>0</v>
      </c>
      <c r="O8855">
        <v>-5.3231729999999998E-2</v>
      </c>
      <c r="P8855">
        <v>0.98058579999999995</v>
      </c>
      <c r="Q8855">
        <v>6.688479E-2</v>
      </c>
      <c r="R8855">
        <v>-0.18433179999999999</v>
      </c>
      <c r="S8855">
        <v>2.8886409999999998</v>
      </c>
      <c r="T8855">
        <v>-0.30049320000000002</v>
      </c>
      <c r="U8855">
        <v>-1.025574</v>
      </c>
      <c r="V8855">
        <v>0.13204540000000001</v>
      </c>
      <c r="W8855">
        <v>7.9507090000000002E-2</v>
      </c>
      <c r="X8855">
        <v>0.98804990000000004</v>
      </c>
      <c r="Y8855">
        <v>0.28283730000000001</v>
      </c>
      <c r="Z8855">
        <v>-8.8932639999999997E-3</v>
      </c>
      <c r="AA8855">
        <v>0.9591267</v>
      </c>
      <c r="AB8855">
        <v>25</v>
      </c>
      <c r="AC8855">
        <v>10.9787999999999</v>
      </c>
      <c r="AD8855">
        <v>-1.1596040000000001</v>
      </c>
      <c r="AE8855">
        <v>-3.94796999999999</v>
      </c>
      <c r="AF8855">
        <v>3.32505435235471</v>
      </c>
      <c r="AG8855">
        <v>-1.1596040000000001</v>
      </c>
      <c r="AH8855">
        <v>11.064108617602599</v>
      </c>
      <c r="AI8855">
        <v>95.731754432424694</v>
      </c>
      <c r="AJ8855">
        <v>73.273100897042795</v>
      </c>
      <c r="AK8855">
        <v>11.6109933849364</v>
      </c>
      <c r="AL8855">
        <v>85.439766106546699</v>
      </c>
      <c r="AM8855">
        <v>82.387956153231997</v>
      </c>
      <c r="AN8855">
        <v>0.99999998495571796</v>
      </c>
    </row>
    <row r="8856" spans="1:40" x14ac:dyDescent="0.25">
      <c r="A8856" t="str">
        <f>"20190312150859619"</f>
        <v>20190312150859619</v>
      </c>
      <c r="B8856" t="str">
        <f>"1552374539608316"</f>
        <v>1552374539608316</v>
      </c>
      <c r="C8856" t="s">
        <v>40</v>
      </c>
      <c r="D8856">
        <v>4.8328040000000003</v>
      </c>
      <c r="E8856">
        <v>0.52157290000000001</v>
      </c>
      <c r="F8856" t="s">
        <v>43</v>
      </c>
      <c r="G8856">
        <v>-317.63029999999998</v>
      </c>
      <c r="H8856">
        <v>-0.05</v>
      </c>
      <c r="I8856">
        <v>12.0092</v>
      </c>
      <c r="J8856">
        <v>-328.56740000000002</v>
      </c>
      <c r="K8856">
        <v>1.109575</v>
      </c>
      <c r="L8856">
        <v>15.95471</v>
      </c>
      <c r="M8856">
        <v>0.99846219999999997</v>
      </c>
      <c r="N8856">
        <v>0</v>
      </c>
      <c r="O8856">
        <v>-5.3876180000000003E-2</v>
      </c>
      <c r="P8856">
        <v>0.98035139999999998</v>
      </c>
      <c r="Q8856">
        <v>6.656194E-2</v>
      </c>
      <c r="R8856">
        <v>-0.1856902</v>
      </c>
      <c r="S8856">
        <v>2.886047</v>
      </c>
      <c r="T8856">
        <v>-0.30286079999999999</v>
      </c>
      <c r="U8856">
        <v>-1.032227</v>
      </c>
      <c r="V8856">
        <v>0.1327806</v>
      </c>
      <c r="W8856">
        <v>7.9172950000000006E-2</v>
      </c>
      <c r="X8856">
        <v>0.98797820000000003</v>
      </c>
      <c r="Y8856">
        <v>0.28442889999999998</v>
      </c>
      <c r="Z8856">
        <v>-8.9830139999999992E-3</v>
      </c>
      <c r="AA8856">
        <v>0.95865509999999998</v>
      </c>
      <c r="AB8856">
        <v>25</v>
      </c>
      <c r="AC8856">
        <v>10.937099999999999</v>
      </c>
      <c r="AD8856">
        <v>-1.159575</v>
      </c>
      <c r="AE8856">
        <v>-3.9455100000000001</v>
      </c>
      <c r="AF8856">
        <v>3.3174825043707101</v>
      </c>
      <c r="AG8856">
        <v>-1.159575</v>
      </c>
      <c r="AH8856">
        <v>11.0241500058486</v>
      </c>
      <c r="AI8856">
        <v>95.751613884872199</v>
      </c>
      <c r="AJ8856">
        <v>73.251954178017698</v>
      </c>
      <c r="AK8856">
        <v>11.5707470674491</v>
      </c>
      <c r="AL8856">
        <v>85.458971455766601</v>
      </c>
      <c r="AM8856">
        <v>82.345526127199506</v>
      </c>
      <c r="AN8856">
        <v>0.999999983711651</v>
      </c>
    </row>
    <row r="8857" spans="1:40" x14ac:dyDescent="0.25">
      <c r="A8857" t="str">
        <f>"20190312150859632"</f>
        <v>20190312150859632</v>
      </c>
      <c r="B8857" t="str">
        <f>"1552374539618076"</f>
        <v>1552374539618076</v>
      </c>
      <c r="C8857" t="s">
        <v>40</v>
      </c>
      <c r="D8857">
        <v>4.9051739999999997</v>
      </c>
      <c r="E8857">
        <v>0.52008149999999997</v>
      </c>
      <c r="F8857" t="s">
        <v>41</v>
      </c>
      <c r="G8857">
        <v>-327.84269999999998</v>
      </c>
      <c r="H8857">
        <v>0.93353830000000004</v>
      </c>
      <c r="I8857">
        <v>15.77528</v>
      </c>
      <c r="J8857">
        <v>-328.44729999999998</v>
      </c>
      <c r="K8857">
        <v>1.1095389999999901</v>
      </c>
      <c r="L8857">
        <v>15.947480000000001</v>
      </c>
      <c r="M8857">
        <v>0.99842399999999998</v>
      </c>
      <c r="N8857">
        <v>0</v>
      </c>
      <c r="O8857">
        <v>-5.4580139999999999E-2</v>
      </c>
      <c r="P8857">
        <v>0.98007569999999999</v>
      </c>
      <c r="Q8857">
        <v>6.6270809999999999E-2</v>
      </c>
      <c r="R8857">
        <v>-0.1872443</v>
      </c>
      <c r="S8857">
        <v>2.9698180000000001</v>
      </c>
      <c r="T8857">
        <v>-0.72135930000000004</v>
      </c>
      <c r="U8857">
        <v>-0.73535159999999999</v>
      </c>
      <c r="V8857">
        <v>0.13365479999999999</v>
      </c>
      <c r="W8857">
        <v>7.8868720000000003E-2</v>
      </c>
      <c r="X8857">
        <v>0.98788469999999995</v>
      </c>
      <c r="Y8857">
        <v>0.18348349999999999</v>
      </c>
      <c r="Z8857">
        <v>-8.7949919999999997E-3</v>
      </c>
      <c r="AA8857">
        <v>0.98298350000000001</v>
      </c>
      <c r="AB8857">
        <v>25</v>
      </c>
      <c r="AC8857">
        <v>0.60460000000000402</v>
      </c>
      <c r="AD8857">
        <v>-0.17600069999999901</v>
      </c>
      <c r="AE8857">
        <v>-0.17219999999999999</v>
      </c>
      <c r="AF8857">
        <v>0.12884233797820299</v>
      </c>
      <c r="AG8857">
        <v>-0.17600069999999901</v>
      </c>
      <c r="AH8857">
        <v>0.56853500026989501</v>
      </c>
      <c r="AI8857">
        <v>106.79975500465299</v>
      </c>
      <c r="AJ8857">
        <v>77.231210861563397</v>
      </c>
      <c r="AK8857">
        <v>0.60894058904631199</v>
      </c>
      <c r="AL8857">
        <v>85.476457441962793</v>
      </c>
      <c r="AM8857">
        <v>82.2950135557751</v>
      </c>
      <c r="AN8857">
        <v>1.0000000305257799</v>
      </c>
    </row>
    <row r="8858" spans="1:40" x14ac:dyDescent="0.25">
      <c r="A8858" t="str">
        <f>"20190312150859642"</f>
        <v>20190312150859642</v>
      </c>
      <c r="B8858" t="str">
        <f>"1552374539628812"</f>
        <v>1552374539628812</v>
      </c>
      <c r="C8858" t="s">
        <v>40</v>
      </c>
      <c r="D8858">
        <v>4.8815989999999996</v>
      </c>
      <c r="E8858">
        <v>0.51951590000000003</v>
      </c>
      <c r="F8858" t="s">
        <v>41</v>
      </c>
      <c r="G8858">
        <v>-327.64429999999999</v>
      </c>
      <c r="H8858">
        <v>0.88518349999999901</v>
      </c>
      <c r="I8858">
        <v>15.75076</v>
      </c>
      <c r="J8858">
        <v>-328.30669999999998</v>
      </c>
      <c r="K8858">
        <v>1.109507</v>
      </c>
      <c r="L8858">
        <v>15.9389</v>
      </c>
      <c r="M8858">
        <v>0.99837739999999997</v>
      </c>
      <c r="N8858">
        <v>0</v>
      </c>
      <c r="O8858">
        <v>-5.5423409999999999E-2</v>
      </c>
      <c r="P8858">
        <v>0.97976600000000003</v>
      </c>
      <c r="Q8858">
        <v>6.6090609999999994E-2</v>
      </c>
      <c r="R8858">
        <v>-0.18892020000000001</v>
      </c>
      <c r="S8858">
        <v>2.9779049999999998</v>
      </c>
      <c r="T8858">
        <v>-0.83197129999999997</v>
      </c>
      <c r="U8858">
        <v>-0.7292786</v>
      </c>
      <c r="V8858">
        <v>0.13451589999999999</v>
      </c>
      <c r="W8858">
        <v>7.867383E-2</v>
      </c>
      <c r="X8858">
        <v>0.98778330000000003</v>
      </c>
      <c r="Y8858">
        <v>0.179202</v>
      </c>
      <c r="Z8858">
        <v>-9.2691539999999999E-3</v>
      </c>
      <c r="AA8858">
        <v>0.98376859999999999</v>
      </c>
      <c r="AB8858">
        <v>25</v>
      </c>
      <c r="AC8858">
        <v>0.662399999999991</v>
      </c>
      <c r="AD8858">
        <v>-0.22432350000000001</v>
      </c>
      <c r="AE8858">
        <v>-0.188139999999998</v>
      </c>
      <c r="AF8858">
        <v>0.136634876764508</v>
      </c>
      <c r="AG8858">
        <v>-0.22432350000000001</v>
      </c>
      <c r="AH8858">
        <v>0.60735479055531005</v>
      </c>
      <c r="AI8858">
        <v>109.816079065963</v>
      </c>
      <c r="AJ8858">
        <v>77.3214079494212</v>
      </c>
      <c r="AK8858">
        <v>0.66171743502131397</v>
      </c>
      <c r="AL8858">
        <v>85.487658362687995</v>
      </c>
      <c r="AM8858">
        <v>82.245188222368</v>
      </c>
      <c r="AN8858">
        <v>0.99999997331928403</v>
      </c>
    </row>
    <row r="8859" spans="1:40" x14ac:dyDescent="0.25">
      <c r="A8859" t="str">
        <f>"20190312150859653"</f>
        <v>20190312150859653</v>
      </c>
      <c r="B8859" t="str">
        <f>"1552374539648331"</f>
        <v>1552374539648331</v>
      </c>
      <c r="C8859" t="s">
        <v>40</v>
      </c>
      <c r="D8859">
        <v>4.9053180000000003</v>
      </c>
      <c r="E8859">
        <v>0.51907579999999998</v>
      </c>
      <c r="F8859" t="s">
        <v>41</v>
      </c>
      <c r="G8859">
        <v>-327.63380000000001</v>
      </c>
      <c r="H8859">
        <v>0.90991369999999905</v>
      </c>
      <c r="I8859">
        <v>15.773860000000001</v>
      </c>
      <c r="J8859">
        <v>-328.19830000000002</v>
      </c>
      <c r="K8859">
        <v>1.1094809999999999</v>
      </c>
      <c r="L8859">
        <v>15.93216</v>
      </c>
      <c r="M8859">
        <v>0.99833970000000005</v>
      </c>
      <c r="N8859">
        <v>0</v>
      </c>
      <c r="O8859">
        <v>-5.61006E-2</v>
      </c>
      <c r="P8859">
        <v>0.97953389999999996</v>
      </c>
      <c r="Q8859">
        <v>6.6024669999999994E-2</v>
      </c>
      <c r="R8859">
        <v>-0.19014349999999999</v>
      </c>
      <c r="S8859">
        <v>2.9806520000000001</v>
      </c>
      <c r="T8859">
        <v>-0.88405159999999905</v>
      </c>
      <c r="U8859">
        <v>-0.73077389999999998</v>
      </c>
      <c r="V8859">
        <v>0.13508410000000001</v>
      </c>
      <c r="W8859">
        <v>7.859729E-2</v>
      </c>
      <c r="X8859">
        <v>0.98771180000000003</v>
      </c>
      <c r="Y8859">
        <v>0.17830019999999999</v>
      </c>
      <c r="Z8859">
        <v>-9.4957819999999995E-3</v>
      </c>
      <c r="AA8859">
        <v>0.98393030000000004</v>
      </c>
      <c r="AB8859">
        <v>25</v>
      </c>
      <c r="AC8859">
        <v>0.56450000000000899</v>
      </c>
      <c r="AD8859">
        <v>-0.1995673</v>
      </c>
      <c r="AE8859">
        <v>-0.1583</v>
      </c>
      <c r="AF8859">
        <v>0.113256062261903</v>
      </c>
      <c r="AG8859">
        <v>-0.1995673</v>
      </c>
      <c r="AH8859">
        <v>0.51304521011617399</v>
      </c>
      <c r="AI8859">
        <v>110.79881710472</v>
      </c>
      <c r="AJ8859">
        <v>77.551458058220604</v>
      </c>
      <c r="AK8859">
        <v>0.56202262453704799</v>
      </c>
      <c r="AL8859">
        <v>85.492057180756902</v>
      </c>
      <c r="AM8859">
        <v>82.212275896150302</v>
      </c>
      <c r="AN8859">
        <v>0.99999992396369397</v>
      </c>
    </row>
    <row r="8860" spans="1:40" x14ac:dyDescent="0.25">
      <c r="A8860" t="str">
        <f>"20190312150859664"</f>
        <v>20190312150859664</v>
      </c>
      <c r="B8860" t="str">
        <f>"1552374539658092"</f>
        <v>1552374539658092</v>
      </c>
      <c r="C8860" t="s">
        <v>40</v>
      </c>
      <c r="D8860">
        <v>4.8771300000000002</v>
      </c>
      <c r="E8860">
        <v>0.51904799999999995</v>
      </c>
      <c r="F8860" t="s">
        <v>41</v>
      </c>
      <c r="G8860">
        <v>-327.43220000000002</v>
      </c>
      <c r="H8860">
        <v>0.86817500000000003</v>
      </c>
      <c r="I8860">
        <v>15.74386</v>
      </c>
      <c r="J8860">
        <v>-328.07100000000003</v>
      </c>
      <c r="K8860">
        <v>1.109451</v>
      </c>
      <c r="L8860">
        <v>15.924160000000001</v>
      </c>
      <c r="M8860">
        <v>0.99829449999999997</v>
      </c>
      <c r="N8860">
        <v>0</v>
      </c>
      <c r="O8860">
        <v>-5.6901470000000003E-2</v>
      </c>
      <c r="P8860">
        <v>0.97926809999999997</v>
      </c>
      <c r="Q8860">
        <v>6.5963190000000005E-2</v>
      </c>
      <c r="R8860">
        <v>-0.19152910000000001</v>
      </c>
      <c r="S8860">
        <v>2.983978</v>
      </c>
      <c r="T8860">
        <v>-0.93951150000000005</v>
      </c>
      <c r="U8860">
        <v>-0.73184199999999999</v>
      </c>
      <c r="V8860">
        <v>0.1356946</v>
      </c>
      <c r="W8860">
        <v>7.8523609999999994E-2</v>
      </c>
      <c r="X8860">
        <v>0.98763409999999996</v>
      </c>
      <c r="Y8860">
        <v>0.17706830000000001</v>
      </c>
      <c r="Z8860">
        <v>-9.6263440000000002E-3</v>
      </c>
      <c r="AA8860">
        <v>0.98415149999999996</v>
      </c>
      <c r="AB8860">
        <v>25</v>
      </c>
      <c r="AC8860">
        <v>0.63879999999994597</v>
      </c>
      <c r="AD8860">
        <v>-0.24127599999999999</v>
      </c>
      <c r="AE8860">
        <v>-0.18029999999999999</v>
      </c>
      <c r="AF8860">
        <v>0.12688979920746199</v>
      </c>
      <c r="AG8860">
        <v>-0.24127599999999999</v>
      </c>
      <c r="AH8860">
        <v>0.57239326119913403</v>
      </c>
      <c r="AI8860">
        <v>112.368668658396</v>
      </c>
      <c r="AJ8860">
        <v>77.500642272191996</v>
      </c>
      <c r="AK8860">
        <v>0.63399461731554996</v>
      </c>
      <c r="AL8860">
        <v>85.496292384564995</v>
      </c>
      <c r="AM8860">
        <v>82.176906982986296</v>
      </c>
      <c r="AN8860">
        <v>1.0000000486396901</v>
      </c>
    </row>
    <row r="8861" spans="1:40" x14ac:dyDescent="0.25">
      <c r="A8861" t="str">
        <f>"20190312150859675"</f>
        <v>20190312150859675</v>
      </c>
      <c r="B8861" t="str">
        <f>"1552374539668827"</f>
        <v>1552374539668827</v>
      </c>
      <c r="C8861" t="s">
        <v>40</v>
      </c>
      <c r="D8861">
        <v>4.8780429999999999</v>
      </c>
      <c r="E8861">
        <v>0.51910319999999999</v>
      </c>
      <c r="F8861" t="s">
        <v>41</v>
      </c>
      <c r="G8861">
        <v>-327.22570000000002</v>
      </c>
      <c r="H8861">
        <v>0.83855040000000003</v>
      </c>
      <c r="I8861">
        <v>15.71537</v>
      </c>
      <c r="J8861">
        <v>-327.94729999999998</v>
      </c>
      <c r="K8861">
        <v>1.109424</v>
      </c>
      <c r="L8861">
        <v>15.916169999999999</v>
      </c>
      <c r="M8861">
        <v>0.99824769999999896</v>
      </c>
      <c r="N8861">
        <v>0</v>
      </c>
      <c r="O8861">
        <v>-5.7714960000000003E-2</v>
      </c>
      <c r="P8861">
        <v>0.97894309999999995</v>
      </c>
      <c r="Q8861">
        <v>6.6083219999999998E-2</v>
      </c>
      <c r="R8861">
        <v>-0.19314229999999999</v>
      </c>
      <c r="S8861">
        <v>2.9839169999999999</v>
      </c>
      <c r="T8861">
        <v>-0.95601210000000003</v>
      </c>
      <c r="U8861">
        <v>-0.73614499999999905</v>
      </c>
      <c r="V8861">
        <v>0.1365237</v>
      </c>
      <c r="W8861">
        <v>7.863009E-2</v>
      </c>
      <c r="X8861">
        <v>0.98751129999999998</v>
      </c>
      <c r="Y8861">
        <v>0.1774435</v>
      </c>
      <c r="Z8861">
        <v>-9.594722E-3</v>
      </c>
      <c r="AA8861">
        <v>0.98408419999999996</v>
      </c>
      <c r="AB8861">
        <v>25</v>
      </c>
      <c r="AC8861">
        <v>0.72159999999996605</v>
      </c>
      <c r="AD8861">
        <v>-0.27087359999999899</v>
      </c>
      <c r="AE8861">
        <v>-0.20079999999999901</v>
      </c>
      <c r="AF8861">
        <v>0.140446612611101</v>
      </c>
      <c r="AG8861">
        <v>-0.27087359999999899</v>
      </c>
      <c r="AH8861">
        <v>0.64732797966981803</v>
      </c>
      <c r="AI8861">
        <v>112.241347604257</v>
      </c>
      <c r="AJ8861">
        <v>77.758627833758993</v>
      </c>
      <c r="AK8861">
        <v>0.71563347562442903</v>
      </c>
      <c r="AL8861">
        <v>85.490172341785097</v>
      </c>
      <c r="AM8861">
        <v>82.128738331802197</v>
      </c>
      <c r="AN8861">
        <v>0.99999998967139403</v>
      </c>
    </row>
    <row r="8862" spans="1:40" x14ac:dyDescent="0.25">
      <c r="A8862" t="str">
        <f>"20190312150859687"</f>
        <v>20190312150859687</v>
      </c>
      <c r="B8862" t="str">
        <f>"1552374539678588"</f>
        <v>1552374539678588</v>
      </c>
      <c r="C8862" t="s">
        <v>40</v>
      </c>
      <c r="D8862">
        <v>4.8889829999999996</v>
      </c>
      <c r="E8862">
        <v>0.51882050000000002</v>
      </c>
      <c r="F8862" t="s">
        <v>41</v>
      </c>
      <c r="G8862">
        <v>-327.21179999999998</v>
      </c>
      <c r="H8862">
        <v>0.87107679999999998</v>
      </c>
      <c r="I8862">
        <v>15.73306</v>
      </c>
      <c r="J8862">
        <v>-327.82310000000001</v>
      </c>
      <c r="K8862">
        <v>1.109397</v>
      </c>
      <c r="L8862">
        <v>15.908110000000001</v>
      </c>
      <c r="M8862">
        <v>0.99819970000000002</v>
      </c>
      <c r="N8862">
        <v>0</v>
      </c>
      <c r="O8862">
        <v>-5.8539870000000001E-2</v>
      </c>
      <c r="P8862">
        <v>0.97863630000000001</v>
      </c>
      <c r="Q8862">
        <v>6.638616E-2</v>
      </c>
      <c r="R8862">
        <v>-0.19458810000000001</v>
      </c>
      <c r="S8862">
        <v>2.9834589999999999</v>
      </c>
      <c r="T8862">
        <v>-0.96657040000000005</v>
      </c>
      <c r="U8862">
        <v>-0.74176030000000004</v>
      </c>
      <c r="V8862">
        <v>0.13717379999999901</v>
      </c>
      <c r="W8862">
        <v>7.892101E-2</v>
      </c>
      <c r="X8862">
        <v>0.987398</v>
      </c>
      <c r="Y8862">
        <v>0.1782897</v>
      </c>
      <c r="Z8862">
        <v>-9.571385E-3</v>
      </c>
      <c r="AA8862">
        <v>0.98393149999999996</v>
      </c>
      <c r="AB8862">
        <v>25</v>
      </c>
      <c r="AC8862">
        <v>0.61130000000002804</v>
      </c>
      <c r="AD8862">
        <v>-0.23832020000000001</v>
      </c>
      <c r="AE8862">
        <v>-0.17505000000000001</v>
      </c>
      <c r="AF8862">
        <v>0.121845555686285</v>
      </c>
      <c r="AG8862">
        <v>-0.23832020000000001</v>
      </c>
      <c r="AH8862">
        <v>0.54407342495814204</v>
      </c>
      <c r="AI8862">
        <v>113.14388292795201</v>
      </c>
      <c r="AJ8862">
        <v>77.376859759439199</v>
      </c>
      <c r="AK8862">
        <v>0.60634870240994398</v>
      </c>
      <c r="AL8862">
        <v>85.473451911329803</v>
      </c>
      <c r="AM8862">
        <v>82.090834043044595</v>
      </c>
      <c r="AN8862">
        <v>0.99999999381492999</v>
      </c>
    </row>
    <row r="8863" spans="1:40" x14ac:dyDescent="0.25">
      <c r="A8863" t="str">
        <f>"20190312150859698"</f>
        <v>20190312150859698</v>
      </c>
      <c r="B8863" t="str">
        <f>"1552374539688347"</f>
        <v>1552374539688347</v>
      </c>
      <c r="C8863" t="s">
        <v>40</v>
      </c>
      <c r="D8863">
        <v>4.8805379999999996</v>
      </c>
      <c r="E8863">
        <v>0.51885020000000004</v>
      </c>
      <c r="F8863" t="s">
        <v>41</v>
      </c>
      <c r="G8863">
        <v>-327.00510000000003</v>
      </c>
      <c r="H8863">
        <v>0.84245979999999998</v>
      </c>
      <c r="I8863">
        <v>15.703670000000001</v>
      </c>
      <c r="J8863">
        <v>-327.69920000000002</v>
      </c>
      <c r="K8863">
        <v>1.1093729999999999</v>
      </c>
      <c r="L8863">
        <v>15.899929999999999</v>
      </c>
      <c r="M8863">
        <v>0.99814970000000003</v>
      </c>
      <c r="N8863">
        <v>0</v>
      </c>
      <c r="O8863">
        <v>-5.9387410000000002E-2</v>
      </c>
      <c r="P8863">
        <v>0.9783425</v>
      </c>
      <c r="Q8863">
        <v>6.6397620000000004E-2</v>
      </c>
      <c r="R8863">
        <v>-0.1960556</v>
      </c>
      <c r="S8863">
        <v>2.9835210000000001</v>
      </c>
      <c r="T8863">
        <v>-0.97334830000000006</v>
      </c>
      <c r="U8863">
        <v>-0.7444153</v>
      </c>
      <c r="V8863">
        <v>0.13782169999999999</v>
      </c>
      <c r="W8863">
        <v>7.8921019999999995E-2</v>
      </c>
      <c r="X8863">
        <v>0.98730779999999996</v>
      </c>
      <c r="Y8863">
        <v>0.17824129999999999</v>
      </c>
      <c r="Z8863">
        <v>-9.3622600000000007E-3</v>
      </c>
      <c r="AA8863">
        <v>0.98394230000000005</v>
      </c>
      <c r="AB8863">
        <v>25</v>
      </c>
      <c r="AC8863">
        <v>0.69409999999999095</v>
      </c>
      <c r="AD8863">
        <v>-0.26691320000000002</v>
      </c>
      <c r="AE8863">
        <v>-0.19625999999999799</v>
      </c>
      <c r="AF8863">
        <v>0.13605895098761001</v>
      </c>
      <c r="AG8863">
        <v>-0.26691320000000002</v>
      </c>
      <c r="AH8863">
        <v>0.61967958612732998</v>
      </c>
      <c r="AI8863">
        <v>112.81680139864299</v>
      </c>
      <c r="AJ8863">
        <v>77.616444663390197</v>
      </c>
      <c r="AK8863">
        <v>0.68830043145492004</v>
      </c>
      <c r="AL8863">
        <v>85.473451456101898</v>
      </c>
      <c r="AM8863">
        <v>82.053236815564304</v>
      </c>
      <c r="AN8863">
        <v>1.0000000201647801</v>
      </c>
    </row>
    <row r="8864" spans="1:40" x14ac:dyDescent="0.25">
      <c r="A8864" t="str">
        <f>"20190312150859710"</f>
        <v>20190312150859710</v>
      </c>
      <c r="B8864" t="str">
        <f>"1552374539698108"</f>
        <v>1552374539698108</v>
      </c>
      <c r="C8864" t="s">
        <v>40</v>
      </c>
      <c r="D8864">
        <v>4.8882849999999998</v>
      </c>
      <c r="E8864">
        <v>0.51856029999999997</v>
      </c>
      <c r="F8864" t="s">
        <v>41</v>
      </c>
      <c r="G8864">
        <v>-326.9907</v>
      </c>
      <c r="H8864">
        <v>0.8762356</v>
      </c>
      <c r="I8864">
        <v>15.72166</v>
      </c>
      <c r="J8864">
        <v>-327.56979999999999</v>
      </c>
      <c r="K8864">
        <v>1.109351</v>
      </c>
      <c r="L8864">
        <v>15.89124</v>
      </c>
      <c r="M8864">
        <v>0.99809550000000002</v>
      </c>
      <c r="N8864">
        <v>0</v>
      </c>
      <c r="O8864">
        <v>-6.0289660000000002E-2</v>
      </c>
      <c r="P8864">
        <v>0.97805039999999999</v>
      </c>
      <c r="Q8864">
        <v>6.6196699999999997E-2</v>
      </c>
      <c r="R8864">
        <v>-0.19757430000000001</v>
      </c>
      <c r="S8864">
        <v>2.9828800000000002</v>
      </c>
      <c r="T8864">
        <v>-0.98128970000000004</v>
      </c>
      <c r="U8864">
        <v>-0.74914550000000002</v>
      </c>
      <c r="V8864">
        <v>0.13846610000000001</v>
      </c>
      <c r="W8864">
        <v>7.8708520000000004E-2</v>
      </c>
      <c r="X8864">
        <v>0.98723459999999996</v>
      </c>
      <c r="Y8864">
        <v>0.17879610000000001</v>
      </c>
      <c r="Z8864">
        <v>-9.239344E-3</v>
      </c>
      <c r="AA8864">
        <v>0.98384280000000002</v>
      </c>
      <c r="AB8864">
        <v>25</v>
      </c>
      <c r="AC8864">
        <v>0.57909999999998196</v>
      </c>
      <c r="AD8864">
        <v>-0.2331154</v>
      </c>
      <c r="AE8864">
        <v>-0.16957999999999901</v>
      </c>
      <c r="AF8864">
        <v>0.116906809824378</v>
      </c>
      <c r="AG8864">
        <v>-0.2331154</v>
      </c>
      <c r="AH8864">
        <v>0.51187552449926998</v>
      </c>
      <c r="AI8864">
        <v>113.940360235824</v>
      </c>
      <c r="AJ8864">
        <v>77.134924733763199</v>
      </c>
      <c r="AK8864">
        <v>0.57447936819513001</v>
      </c>
      <c r="AL8864">
        <v>85.485664817358099</v>
      </c>
      <c r="AM8864">
        <v>82.015974531733306</v>
      </c>
      <c r="AN8864">
        <v>1.0000000237034701</v>
      </c>
    </row>
    <row r="8865" spans="1:40" x14ac:dyDescent="0.25">
      <c r="A8865" t="str">
        <f>"20190312150859722"</f>
        <v>20190312150859722</v>
      </c>
      <c r="B8865" t="str">
        <f>"1552374539708844"</f>
        <v>1552374539708844</v>
      </c>
      <c r="C8865" t="s">
        <v>40</v>
      </c>
      <c r="D8865">
        <v>4.9008479999999999</v>
      </c>
      <c r="E8865">
        <v>0.51856519999999995</v>
      </c>
      <c r="F8865" t="s">
        <v>41</v>
      </c>
      <c r="G8865">
        <v>-326.7835</v>
      </c>
      <c r="H8865">
        <v>0.84883430000000004</v>
      </c>
      <c r="I8865">
        <v>15.69304</v>
      </c>
      <c r="J8865">
        <v>-327.4348</v>
      </c>
      <c r="K8865">
        <v>1.1093249999999999</v>
      </c>
      <c r="L8865">
        <v>15.88205</v>
      </c>
      <c r="M8865">
        <v>0.99803719999999996</v>
      </c>
      <c r="N8865">
        <v>0</v>
      </c>
      <c r="O8865">
        <v>-6.1249030000000003E-2</v>
      </c>
      <c r="P8865">
        <v>0.97775350000000005</v>
      </c>
      <c r="Q8865">
        <v>6.6212140000000003E-2</v>
      </c>
      <c r="R8865">
        <v>-0.19903380000000001</v>
      </c>
      <c r="S8865">
        <v>2.9824220000000001</v>
      </c>
      <c r="T8865">
        <v>-0.9881124</v>
      </c>
      <c r="U8865">
        <v>-0.75155640000000001</v>
      </c>
      <c r="V8865">
        <v>0.13899610000000001</v>
      </c>
      <c r="W8865">
        <v>7.8712320000000002E-2</v>
      </c>
      <c r="X8865">
        <v>0.98715980000000003</v>
      </c>
      <c r="Y8865">
        <v>0.1786124</v>
      </c>
      <c r="Z8865">
        <v>-8.9682189999999995E-3</v>
      </c>
      <c r="AA8865">
        <v>0.98387860000000005</v>
      </c>
      <c r="AB8865">
        <v>24</v>
      </c>
      <c r="AC8865">
        <v>0.651299999999992</v>
      </c>
      <c r="AD8865">
        <v>-0.26049069999999902</v>
      </c>
      <c r="AE8865">
        <v>-0.18900999999999901</v>
      </c>
      <c r="AF8865">
        <v>0.12963415207423101</v>
      </c>
      <c r="AG8865">
        <v>-0.26049069999999902</v>
      </c>
      <c r="AH8865">
        <v>0.57658599485183204</v>
      </c>
      <c r="AI8865">
        <v>113.78683517686299</v>
      </c>
      <c r="AJ8865">
        <v>77.328857248419496</v>
      </c>
      <c r="AK8865">
        <v>0.64584195251607102</v>
      </c>
      <c r="AL8865">
        <v>85.485446344482199</v>
      </c>
      <c r="AM8865">
        <v>81.985211396663104</v>
      </c>
      <c r="AN8865">
        <v>1.00000000793551</v>
      </c>
    </row>
    <row r="8866" spans="1:40" x14ac:dyDescent="0.25">
      <c r="A8866" t="str">
        <f>"20190312150859735"</f>
        <v>20190312150859735</v>
      </c>
      <c r="B8866" t="str">
        <f>"1552374539728364"</f>
        <v>1552374539728364</v>
      </c>
      <c r="C8866" t="s">
        <v>40</v>
      </c>
      <c r="D8866">
        <v>4.9084820000000002</v>
      </c>
      <c r="E8866">
        <v>0.51848539999999999</v>
      </c>
      <c r="F8866" t="s">
        <v>41</v>
      </c>
      <c r="G8866">
        <v>-326.76729999999998</v>
      </c>
      <c r="H8866">
        <v>0.88694229999999996</v>
      </c>
      <c r="I8866">
        <v>15.712680000000001</v>
      </c>
      <c r="J8866">
        <v>-327.31180000000001</v>
      </c>
      <c r="K8866">
        <v>1.1093029999999999</v>
      </c>
      <c r="L8866">
        <v>15.87354</v>
      </c>
      <c r="M8866">
        <v>0.99798149999999997</v>
      </c>
      <c r="N8866">
        <v>0</v>
      </c>
      <c r="O8866">
        <v>-6.2150770000000001E-2</v>
      </c>
      <c r="P8866">
        <v>0.97741279999999997</v>
      </c>
      <c r="Q8866">
        <v>6.6093219999999994E-2</v>
      </c>
      <c r="R8866">
        <v>-0.20073959999999999</v>
      </c>
      <c r="S8866">
        <v>2.9815670000000001</v>
      </c>
      <c r="T8866">
        <v>-0.99333099999999996</v>
      </c>
      <c r="U8866">
        <v>-0.75625609999999999</v>
      </c>
      <c r="V8866">
        <v>0.13983080000000001</v>
      </c>
      <c r="W8866">
        <v>7.8581620000000005E-2</v>
      </c>
      <c r="X8866">
        <v>0.98705229999999999</v>
      </c>
      <c r="Y8866">
        <v>0.17920369999999999</v>
      </c>
      <c r="Z8866">
        <v>-8.8219739999999998E-3</v>
      </c>
      <c r="AA8866">
        <v>0.98377250000000005</v>
      </c>
      <c r="AB8866">
        <v>24</v>
      </c>
      <c r="AC8866">
        <v>0.54450000000002696</v>
      </c>
      <c r="AD8866">
        <v>-0.22236069999999999</v>
      </c>
      <c r="AE8866">
        <v>-0.160860000000001</v>
      </c>
      <c r="AF8866">
        <v>0.109854995084742</v>
      </c>
      <c r="AG8866">
        <v>-0.22236069999999999</v>
      </c>
      <c r="AH8866">
        <v>0.47984505005223099</v>
      </c>
      <c r="AI8866">
        <v>114.30937986160799</v>
      </c>
      <c r="AJ8866">
        <v>77.105013868471204</v>
      </c>
      <c r="AK8866">
        <v>0.54015152773012398</v>
      </c>
      <c r="AL8866">
        <v>85.492958059126394</v>
      </c>
      <c r="AM8866">
        <v>81.936845404437804</v>
      </c>
      <c r="AN8866">
        <v>0.99999998328287698</v>
      </c>
    </row>
    <row r="8867" spans="1:40" x14ac:dyDescent="0.25">
      <c r="A8867" t="str">
        <f>"20190312150859746"</f>
        <v>20190312150859746</v>
      </c>
      <c r="B8867" t="str">
        <f>"1552374539738124"</f>
        <v>1552374539738124</v>
      </c>
      <c r="C8867" t="s">
        <v>40</v>
      </c>
      <c r="D8867">
        <v>4.8811330000000002</v>
      </c>
      <c r="E8867">
        <v>0.51830449999999995</v>
      </c>
      <c r="F8867" t="s">
        <v>41</v>
      </c>
      <c r="G8867">
        <v>-326.56139999999999</v>
      </c>
      <c r="H8867">
        <v>0.85717860000000001</v>
      </c>
      <c r="I8867">
        <v>15.68181</v>
      </c>
      <c r="J8867">
        <v>-327.16750000000002</v>
      </c>
      <c r="K8867">
        <v>1.109278</v>
      </c>
      <c r="L8867">
        <v>15.86337</v>
      </c>
      <c r="M8867">
        <v>0.99791410000000003</v>
      </c>
      <c r="N8867">
        <v>0</v>
      </c>
      <c r="O8867">
        <v>-6.3223879999999996E-2</v>
      </c>
      <c r="P8867">
        <v>0.97709259999999998</v>
      </c>
      <c r="Q8867">
        <v>6.5826319999999994E-2</v>
      </c>
      <c r="R8867">
        <v>-0.20238010000000001</v>
      </c>
      <c r="S8867">
        <v>2.9808349999999999</v>
      </c>
      <c r="T8867">
        <v>-1.001169</v>
      </c>
      <c r="U8867">
        <v>-0.7605286</v>
      </c>
      <c r="V8867">
        <v>0.1404299</v>
      </c>
      <c r="W8867">
        <v>7.8303510000000007E-2</v>
      </c>
      <c r="X8867">
        <v>0.98698940000000002</v>
      </c>
      <c r="Y8867">
        <v>0.17947850000000001</v>
      </c>
      <c r="Z8867">
        <v>-8.589312E-3</v>
      </c>
      <c r="AA8867">
        <v>0.98372440000000005</v>
      </c>
      <c r="AB8867">
        <v>24</v>
      </c>
      <c r="AC8867">
        <v>0.60610000000002595</v>
      </c>
      <c r="AD8867">
        <v>-0.25209939999999997</v>
      </c>
      <c r="AE8867">
        <v>-0.181560000000001</v>
      </c>
      <c r="AF8867">
        <v>0.12329880540732401</v>
      </c>
      <c r="AG8867">
        <v>-0.25209939999999997</v>
      </c>
      <c r="AH8867">
        <v>0.53192058961649802</v>
      </c>
      <c r="AI8867">
        <v>114.782784169606</v>
      </c>
      <c r="AJ8867">
        <v>76.949362862751599</v>
      </c>
      <c r="AK8867">
        <v>0.60141185268765396</v>
      </c>
      <c r="AL8867">
        <v>85.508942078261001</v>
      </c>
      <c r="AM8867">
        <v>81.902247114009995</v>
      </c>
      <c r="AN8867">
        <v>1.00000003610234</v>
      </c>
    </row>
    <row r="8868" spans="1:40" x14ac:dyDescent="0.25">
      <c r="A8868" t="str">
        <f>"20190312150859757"</f>
        <v>20190312150859757</v>
      </c>
      <c r="B8868" t="str">
        <f>"1552374539748861"</f>
        <v>1552374539748861</v>
      </c>
      <c r="C8868" t="s">
        <v>40</v>
      </c>
      <c r="D8868">
        <v>4.902412</v>
      </c>
      <c r="E8868">
        <v>0.51816030000000002</v>
      </c>
      <c r="F8868" t="s">
        <v>41</v>
      </c>
      <c r="G8868">
        <v>-326.3526</v>
      </c>
      <c r="H8868">
        <v>0.83456399999999997</v>
      </c>
      <c r="I8868">
        <v>15.654030000000001</v>
      </c>
      <c r="J8868">
        <v>-327.04199999999997</v>
      </c>
      <c r="K8868">
        <v>1.1092550000000001</v>
      </c>
      <c r="L8868">
        <v>15.854369999999999</v>
      </c>
      <c r="M8868">
        <v>0.99785250000000003</v>
      </c>
      <c r="N8868">
        <v>0</v>
      </c>
      <c r="O8868">
        <v>-6.4184920000000006E-2</v>
      </c>
      <c r="P8868">
        <v>0.97676810000000003</v>
      </c>
      <c r="Q8868">
        <v>6.5676880000000007E-2</v>
      </c>
      <c r="R8868">
        <v>-0.20398740000000001</v>
      </c>
      <c r="S8868">
        <v>2.9796140000000002</v>
      </c>
      <c r="T8868">
        <v>-1.004283</v>
      </c>
      <c r="U8868">
        <v>-0.76431269999999996</v>
      </c>
      <c r="V8868">
        <v>0.14110719999999999</v>
      </c>
      <c r="W8868">
        <v>7.8144249999999998E-2</v>
      </c>
      <c r="X8868">
        <v>0.98690540000000004</v>
      </c>
      <c r="Y8868">
        <v>0.17979619999999999</v>
      </c>
      <c r="Z8868">
        <v>-8.3593279999999992E-3</v>
      </c>
      <c r="AA8868">
        <v>0.9836684</v>
      </c>
      <c r="AB8868">
        <v>24</v>
      </c>
      <c r="AC8868">
        <v>0.68940000000003399</v>
      </c>
      <c r="AD8868">
        <v>-0.27469099999999902</v>
      </c>
      <c r="AE8868">
        <v>-0.20034000000000199</v>
      </c>
      <c r="AF8868">
        <v>0.13579391554675699</v>
      </c>
      <c r="AG8868">
        <v>-0.27469099999999902</v>
      </c>
      <c r="AH8868">
        <v>0.611338896787879</v>
      </c>
      <c r="AI8868">
        <v>113.683989847175</v>
      </c>
      <c r="AJ8868">
        <v>77.476477186995893</v>
      </c>
      <c r="AK8868">
        <v>0.68383505299621805</v>
      </c>
      <c r="AL8868">
        <v>85.518094964928594</v>
      </c>
      <c r="AM8868">
        <v>81.8630297387312</v>
      </c>
      <c r="AN8868">
        <v>1.00000001712453</v>
      </c>
    </row>
    <row r="8869" spans="1:40" x14ac:dyDescent="0.25">
      <c r="A8869" t="str">
        <f>"20190312150859769"</f>
        <v>20190312150859769</v>
      </c>
      <c r="B8869" t="str">
        <f>"1552374539758621"</f>
        <v>1552374539758621</v>
      </c>
      <c r="C8869" t="s">
        <v>40</v>
      </c>
      <c r="D8869">
        <v>4.9299689999999998</v>
      </c>
      <c r="E8869">
        <v>0.51806289999999999</v>
      </c>
      <c r="F8869" t="s">
        <v>41</v>
      </c>
      <c r="G8869">
        <v>-326.33699999999999</v>
      </c>
      <c r="H8869">
        <v>0.87104859999999995</v>
      </c>
      <c r="I8869">
        <v>15.67229</v>
      </c>
      <c r="J8869">
        <v>-326.92630000000003</v>
      </c>
      <c r="K8869">
        <v>1.109235</v>
      </c>
      <c r="L8869">
        <v>15.845980000000001</v>
      </c>
      <c r="M8869">
        <v>0.99779419999999996</v>
      </c>
      <c r="N8869">
        <v>0</v>
      </c>
      <c r="O8869">
        <v>-6.5085500000000004E-2</v>
      </c>
      <c r="P8869">
        <v>0.9764796</v>
      </c>
      <c r="Q8869">
        <v>6.5728750000000002E-2</v>
      </c>
      <c r="R8869">
        <v>-0.20534759999999999</v>
      </c>
      <c r="S8869">
        <v>2.9786380000000001</v>
      </c>
      <c r="T8869">
        <v>-1.0061719999999901</v>
      </c>
      <c r="U8869">
        <v>-0.76797490000000002</v>
      </c>
      <c r="V8869">
        <v>0.14159620000000001</v>
      </c>
      <c r="W8869">
        <v>7.8188469999999996E-2</v>
      </c>
      <c r="X8869">
        <v>0.98683180000000004</v>
      </c>
      <c r="Y8869">
        <v>0.18012779999999901</v>
      </c>
      <c r="Z8869">
        <v>-8.1395100000000008E-3</v>
      </c>
      <c r="AA8869">
        <v>0.98360959999999997</v>
      </c>
      <c r="AB8869">
        <v>24</v>
      </c>
      <c r="AC8869">
        <v>0.58930000000003602</v>
      </c>
      <c r="AD8869">
        <v>-0.23818639999999999</v>
      </c>
      <c r="AE8869">
        <v>-0.17368999999999801</v>
      </c>
      <c r="AF8869">
        <v>0.11732811661374901</v>
      </c>
      <c r="AG8869">
        <v>-0.23818639999999999</v>
      </c>
      <c r="AH8869">
        <v>0.52103941850383695</v>
      </c>
      <c r="AI8869">
        <v>114.03543968353399</v>
      </c>
      <c r="AJ8869">
        <v>77.309752416411698</v>
      </c>
      <c r="AK8869">
        <v>0.58479117959140503</v>
      </c>
      <c r="AL8869">
        <v>85.515553317986203</v>
      </c>
      <c r="AM8869">
        <v>81.834610293518907</v>
      </c>
      <c r="AN8869">
        <v>0.99999996109330902</v>
      </c>
    </row>
    <row r="8870" spans="1:40" x14ac:dyDescent="0.25">
      <c r="A8870" t="str">
        <f>"20190312150859779"</f>
        <v>20190312150859779</v>
      </c>
      <c r="B8870" t="str">
        <f>"1552374539768380"</f>
        <v>1552374539768380</v>
      </c>
      <c r="C8870" t="s">
        <v>40</v>
      </c>
      <c r="D8870">
        <v>4.8863830000000004</v>
      </c>
      <c r="E8870">
        <v>0.51796850000000005</v>
      </c>
      <c r="F8870" t="s">
        <v>41</v>
      </c>
      <c r="G8870">
        <v>-326.13200000000001</v>
      </c>
      <c r="H8870">
        <v>0.84011019999999903</v>
      </c>
      <c r="I8870">
        <v>15.63998</v>
      </c>
      <c r="J8870">
        <v>-326.80770000000001</v>
      </c>
      <c r="K8870">
        <v>1.1092150000000001</v>
      </c>
      <c r="L8870">
        <v>15.837249999999999</v>
      </c>
      <c r="M8870">
        <v>0.99773239999999996</v>
      </c>
      <c r="N8870">
        <v>0</v>
      </c>
      <c r="O8870">
        <v>-6.6025319999999998E-2</v>
      </c>
      <c r="P8870">
        <v>0.97620260000000003</v>
      </c>
      <c r="Q8870">
        <v>6.5777230000000006E-2</v>
      </c>
      <c r="R8870">
        <v>-0.20664460000000001</v>
      </c>
      <c r="S8870">
        <v>2.9779360000000001</v>
      </c>
      <c r="T8870">
        <v>-1.008772</v>
      </c>
      <c r="U8870">
        <v>-0.77145390000000003</v>
      </c>
      <c r="V8870">
        <v>0.14198279999999999</v>
      </c>
      <c r="W8870">
        <v>7.823078E-2</v>
      </c>
      <c r="X8870">
        <v>0.98677300000000001</v>
      </c>
      <c r="Y8870">
        <v>0.1803429</v>
      </c>
      <c r="Z8870">
        <v>-7.8919179999999995E-3</v>
      </c>
      <c r="AA8870">
        <v>0.98357209999999995</v>
      </c>
      <c r="AB8870">
        <v>24</v>
      </c>
      <c r="AC8870">
        <v>0.67570000000000596</v>
      </c>
      <c r="AD8870">
        <v>-0.26910479999999998</v>
      </c>
      <c r="AE8870">
        <v>-0.197269999999999</v>
      </c>
      <c r="AF8870">
        <v>0.132811400512996</v>
      </c>
      <c r="AG8870">
        <v>-0.26910479999999998</v>
      </c>
      <c r="AH8870">
        <v>0.59961496592543995</v>
      </c>
      <c r="AI8870">
        <v>113.661892239708</v>
      </c>
      <c r="AJ8870">
        <v>77.510933191628595</v>
      </c>
      <c r="AK8870">
        <v>0.67051798547915997</v>
      </c>
      <c r="AL8870">
        <v>85.513122138816797</v>
      </c>
      <c r="AM8870">
        <v>81.812136927645795</v>
      </c>
      <c r="AN8870">
        <v>1.0000000619821201</v>
      </c>
    </row>
    <row r="8871" spans="1:40" x14ac:dyDescent="0.25">
      <c r="A8871" t="str">
        <f>"20190312150859789"</f>
        <v>20190312150859789</v>
      </c>
      <c r="B8871" t="str">
        <f>"1552374539778141"</f>
        <v>1552374539778141</v>
      </c>
      <c r="C8871" t="s">
        <v>40</v>
      </c>
      <c r="D8871">
        <v>4.9169980000000004</v>
      </c>
      <c r="E8871">
        <v>0.51788900000000004</v>
      </c>
      <c r="F8871" t="s">
        <v>41</v>
      </c>
      <c r="G8871">
        <v>-326.11720000000003</v>
      </c>
      <c r="H8871">
        <v>0.87474719999999995</v>
      </c>
      <c r="I8871">
        <v>15.657209999999999</v>
      </c>
      <c r="J8871">
        <v>-326.69779999999997</v>
      </c>
      <c r="K8871">
        <v>1.1091949999999999</v>
      </c>
      <c r="L8871">
        <v>15.82898</v>
      </c>
      <c r="M8871">
        <v>0.99767320000000004</v>
      </c>
      <c r="N8871">
        <v>0</v>
      </c>
      <c r="O8871">
        <v>-6.691387E-2</v>
      </c>
      <c r="P8871">
        <v>0.97591070000000002</v>
      </c>
      <c r="Q8871">
        <v>6.5918610000000002E-2</v>
      </c>
      <c r="R8871">
        <v>-0.20797450000000001</v>
      </c>
      <c r="S8871">
        <v>2.9771420000000002</v>
      </c>
      <c r="T8871">
        <v>-1.0106059999999999</v>
      </c>
      <c r="U8871">
        <v>-0.77520749999999905</v>
      </c>
      <c r="V8871">
        <v>0.1424542</v>
      </c>
      <c r="W8871">
        <v>7.8366259999999993E-2</v>
      </c>
      <c r="X8871">
        <v>0.98669419999999997</v>
      </c>
      <c r="Y8871">
        <v>0.18069959999999999</v>
      </c>
      <c r="Z8871">
        <v>-7.6772439999999997E-3</v>
      </c>
      <c r="AA8871">
        <v>0.9835083</v>
      </c>
      <c r="AB8871">
        <v>24</v>
      </c>
      <c r="AC8871">
        <v>0.58059999999994705</v>
      </c>
      <c r="AD8871">
        <v>-0.23444780000000001</v>
      </c>
      <c r="AE8871">
        <v>-0.17176999999999801</v>
      </c>
      <c r="AF8871">
        <v>0.115251412233462</v>
      </c>
      <c r="AG8871">
        <v>-0.23444780000000001</v>
      </c>
      <c r="AH8871">
        <v>0.51376305615486195</v>
      </c>
      <c r="AI8871">
        <v>114.001897607487</v>
      </c>
      <c r="AJ8871">
        <v>77.356272090232494</v>
      </c>
      <c r="AK8871">
        <v>0.57636892422842401</v>
      </c>
      <c r="AL8871">
        <v>85.505335330145101</v>
      </c>
      <c r="AM8871">
        <v>81.784675552118898</v>
      </c>
      <c r="AN8871">
        <v>0.99999995705883205</v>
      </c>
    </row>
    <row r="8872" spans="1:40" x14ac:dyDescent="0.25">
      <c r="A8872" t="str">
        <f>"20190312150859800"</f>
        <v>20190312150859800</v>
      </c>
      <c r="B8872" t="str">
        <f>"1552374539788876"</f>
        <v>1552374539788876</v>
      </c>
      <c r="C8872" t="s">
        <v>40</v>
      </c>
      <c r="D8872">
        <v>4.9105089999999896</v>
      </c>
      <c r="E8872">
        <v>0.51769719999999997</v>
      </c>
      <c r="F8872" t="s">
        <v>41</v>
      </c>
      <c r="G8872">
        <v>-325.91300000000001</v>
      </c>
      <c r="H8872">
        <v>0.842222899999999</v>
      </c>
      <c r="I8872">
        <v>15.62355</v>
      </c>
      <c r="J8872">
        <v>-326.58159999999998</v>
      </c>
      <c r="K8872">
        <v>1.1091690000000001</v>
      </c>
      <c r="L8872">
        <v>15.82019</v>
      </c>
      <c r="M8872">
        <v>0.99760879999999996</v>
      </c>
      <c r="N8872">
        <v>0</v>
      </c>
      <c r="O8872">
        <v>-6.7867529999999995E-2</v>
      </c>
      <c r="P8872">
        <v>0.97560020000000003</v>
      </c>
      <c r="Q8872">
        <v>6.6025669999999995E-2</v>
      </c>
      <c r="R8872">
        <v>-0.2093931</v>
      </c>
      <c r="S8872">
        <v>2.9764710000000001</v>
      </c>
      <c r="T8872">
        <v>-1.0123979999999999</v>
      </c>
      <c r="U8872">
        <v>-0.77871699999999999</v>
      </c>
      <c r="V8872">
        <v>0.1429512</v>
      </c>
      <c r="W8872">
        <v>7.8467499999999996E-2</v>
      </c>
      <c r="X8872">
        <v>0.98661430000000006</v>
      </c>
      <c r="Y8872">
        <v>0.1809182</v>
      </c>
      <c r="Z8872">
        <v>-7.4176750000000003E-3</v>
      </c>
      <c r="AA8872">
        <v>0.98347010000000001</v>
      </c>
      <c r="AB8872">
        <v>24</v>
      </c>
      <c r="AC8872">
        <v>0.668599999999969</v>
      </c>
      <c r="AD8872">
        <v>-0.26694610000000002</v>
      </c>
      <c r="AE8872">
        <v>-0.19664000000000001</v>
      </c>
      <c r="AF8872">
        <v>0.131511286105711</v>
      </c>
      <c r="AG8872">
        <v>-0.26694610000000002</v>
      </c>
      <c r="AH8872">
        <v>0.59334940537094005</v>
      </c>
      <c r="AI8872">
        <v>113.712881434388</v>
      </c>
      <c r="AJ8872">
        <v>77.502863400042898</v>
      </c>
      <c r="AK8872">
        <v>0.66379134939560402</v>
      </c>
      <c r="AL8872">
        <v>85.499516916369998</v>
      </c>
      <c r="AM8872">
        <v>81.755748418047801</v>
      </c>
      <c r="AN8872">
        <v>0.99999998555108904</v>
      </c>
    </row>
    <row r="8873" spans="1:40" x14ac:dyDescent="0.25">
      <c r="A8873" t="str">
        <f>"20190312150859811"</f>
        <v>20190312150859811</v>
      </c>
      <c r="B8873" t="str">
        <f>"1552374539798636"</f>
        <v>1552374539798636</v>
      </c>
      <c r="C8873" t="s">
        <v>40</v>
      </c>
      <c r="D8873">
        <v>4.9337849999999897</v>
      </c>
      <c r="E8873">
        <v>0.51755810000000002</v>
      </c>
      <c r="F8873" t="s">
        <v>41</v>
      </c>
      <c r="G8873">
        <v>-325.89850000000001</v>
      </c>
      <c r="H8873">
        <v>0.8762276</v>
      </c>
      <c r="I8873">
        <v>15.64067</v>
      </c>
      <c r="J8873">
        <v>-326.46469999999999</v>
      </c>
      <c r="K8873">
        <v>1.109148</v>
      </c>
      <c r="L8873">
        <v>15.811159999999999</v>
      </c>
      <c r="M8873">
        <v>0.99754120000000002</v>
      </c>
      <c r="N8873">
        <v>0</v>
      </c>
      <c r="O8873">
        <v>-6.8849359999999998E-2</v>
      </c>
      <c r="P8873">
        <v>0.97530190000000005</v>
      </c>
      <c r="Q8873">
        <v>6.6320260000000006E-2</v>
      </c>
      <c r="R8873">
        <v>-0.21068419999999999</v>
      </c>
      <c r="S8873">
        <v>2.9759519999999999</v>
      </c>
      <c r="T8873">
        <v>-1.0145919999999999</v>
      </c>
      <c r="U8873">
        <v>-0.78158570000000005</v>
      </c>
      <c r="V8873">
        <v>0.14329339999999999</v>
      </c>
      <c r="W8873">
        <v>7.8756530000000005E-2</v>
      </c>
      <c r="X8873">
        <v>0.98654160000000002</v>
      </c>
      <c r="Y8873">
        <v>0.1809077</v>
      </c>
      <c r="Z8873">
        <v>-7.1131379999999998E-3</v>
      </c>
      <c r="AA8873">
        <v>0.98347439999999997</v>
      </c>
      <c r="AB8873">
        <v>24</v>
      </c>
      <c r="AC8873">
        <v>0.56619999999998005</v>
      </c>
      <c r="AD8873">
        <v>-0.2329204</v>
      </c>
      <c r="AE8873">
        <v>-0.170489999999999</v>
      </c>
      <c r="AF8873">
        <v>0.113490265213122</v>
      </c>
      <c r="AG8873">
        <v>-0.2329204</v>
      </c>
      <c r="AH8873">
        <v>0.49914719723726197</v>
      </c>
      <c r="AI8873">
        <v>114.466644582976</v>
      </c>
      <c r="AJ8873">
        <v>77.190525388125494</v>
      </c>
      <c r="AK8873">
        <v>0.56238765770962595</v>
      </c>
      <c r="AL8873">
        <v>85.482905188647194</v>
      </c>
      <c r="AM8873">
        <v>81.735684809177997</v>
      </c>
      <c r="AN8873">
        <v>0.99999995901587901</v>
      </c>
    </row>
    <row r="8874" spans="1:40" x14ac:dyDescent="0.25">
      <c r="A8874" t="str">
        <f>"20190312150859822"</f>
        <v>20190312150859822</v>
      </c>
      <c r="B8874" t="str">
        <f>"1552374539808396"</f>
        <v>1552374539808396</v>
      </c>
      <c r="C8874" t="s">
        <v>40</v>
      </c>
      <c r="D8874">
        <v>4.9080629999999896</v>
      </c>
      <c r="E8874">
        <v>0.51741000000000004</v>
      </c>
      <c r="F8874" t="s">
        <v>41</v>
      </c>
      <c r="G8874">
        <v>-325.6936</v>
      </c>
      <c r="H8874">
        <v>0.84605319999999995</v>
      </c>
      <c r="I8874">
        <v>15.607729999999901</v>
      </c>
      <c r="J8874">
        <v>-326.35090000000002</v>
      </c>
      <c r="K8874">
        <v>1.109127</v>
      </c>
      <c r="L8874">
        <v>15.80231</v>
      </c>
      <c r="M8874">
        <v>0.99747390000000002</v>
      </c>
      <c r="N8874">
        <v>0</v>
      </c>
      <c r="O8874">
        <v>-6.9816879999999998E-2</v>
      </c>
      <c r="P8874">
        <v>0.97493790000000002</v>
      </c>
      <c r="Q8874">
        <v>6.6344730000000005E-2</v>
      </c>
      <c r="R8874">
        <v>-0.21235519999999999</v>
      </c>
      <c r="S8874">
        <v>2.9755859999999998</v>
      </c>
      <c r="T8874">
        <v>-1.0150410000000001</v>
      </c>
      <c r="U8874">
        <v>-0.78427119999999995</v>
      </c>
      <c r="V8874">
        <v>0.14403260000000001</v>
      </c>
      <c r="W8874">
        <v>7.8774129999999998E-2</v>
      </c>
      <c r="X8874">
        <v>0.98643259999999999</v>
      </c>
      <c r="Y8874">
        <v>0.18086350000000001</v>
      </c>
      <c r="Z8874">
        <v>-6.7950819999999896E-3</v>
      </c>
      <c r="AA8874">
        <v>0.98348469999999999</v>
      </c>
      <c r="AB8874">
        <v>24</v>
      </c>
      <c r="AC8874">
        <v>0.65730000000001998</v>
      </c>
      <c r="AD8874">
        <v>-0.26307379999999903</v>
      </c>
      <c r="AE8874">
        <v>-0.194580000000002</v>
      </c>
      <c r="AF8874">
        <v>0.129184215898027</v>
      </c>
      <c r="AG8874">
        <v>-0.26307379999999903</v>
      </c>
      <c r="AH8874">
        <v>0.583363783324644</v>
      </c>
      <c r="AI8874">
        <v>113.76358565856999</v>
      </c>
      <c r="AJ8874">
        <v>77.513520725295194</v>
      </c>
      <c r="AK8874">
        <v>0.65284737081378397</v>
      </c>
      <c r="AL8874">
        <v>85.481893888595806</v>
      </c>
      <c r="AM8874">
        <v>81.692740440401295</v>
      </c>
      <c r="AN8874">
        <v>1.00000001388138</v>
      </c>
    </row>
    <row r="8875" spans="1:40" x14ac:dyDescent="0.25">
      <c r="A8875" t="str">
        <f>"20190312150859832"</f>
        <v>20190312150859832</v>
      </c>
      <c r="B8875" t="str">
        <f>"1552374539818156"</f>
        <v>1552374539818156</v>
      </c>
      <c r="C8875" t="s">
        <v>40</v>
      </c>
      <c r="D8875">
        <v>4.9192030000000004</v>
      </c>
      <c r="E8875">
        <v>0.51721139999999999</v>
      </c>
      <c r="F8875" t="s">
        <v>41</v>
      </c>
      <c r="G8875">
        <v>-325.67930000000001</v>
      </c>
      <c r="H8875">
        <v>0.87947569999999997</v>
      </c>
      <c r="I8875">
        <v>15.62425</v>
      </c>
      <c r="J8875">
        <v>-326.24009999999998</v>
      </c>
      <c r="K8875">
        <v>1.109103</v>
      </c>
      <c r="L8875">
        <v>15.79346</v>
      </c>
      <c r="M8875">
        <v>0.99740589999999996</v>
      </c>
      <c r="N8875">
        <v>0</v>
      </c>
      <c r="O8875">
        <v>-7.0783910000000005E-2</v>
      </c>
      <c r="P8875">
        <v>0.97458389999999995</v>
      </c>
      <c r="Q8875">
        <v>6.6650879999999996E-2</v>
      </c>
      <c r="R8875">
        <v>-0.21387929999999999</v>
      </c>
      <c r="S8875">
        <v>2.9747919999999999</v>
      </c>
      <c r="T8875">
        <v>-1.0168360000000001</v>
      </c>
      <c r="U8875">
        <v>-0.78771969999999902</v>
      </c>
      <c r="V8875">
        <v>0.14462630000000001</v>
      </c>
      <c r="W8875">
        <v>7.9073119999999997E-2</v>
      </c>
      <c r="X8875">
        <v>0.98632180000000003</v>
      </c>
      <c r="Y8875">
        <v>0.18106140000000001</v>
      </c>
      <c r="Z8875">
        <v>-6.5254120000000004E-3</v>
      </c>
      <c r="AA8875">
        <v>0.98345020000000005</v>
      </c>
      <c r="AB8875">
        <v>24</v>
      </c>
      <c r="AC8875">
        <v>0.56079999999997199</v>
      </c>
      <c r="AD8875">
        <v>-0.22962730000000001</v>
      </c>
      <c r="AE8875">
        <v>-0.169210000000001</v>
      </c>
      <c r="AF8875">
        <v>0.111891998980844</v>
      </c>
      <c r="AG8875">
        <v>-0.22962730000000001</v>
      </c>
      <c r="AH8875">
        <v>0.49526406461306599</v>
      </c>
      <c r="AI8875">
        <v>114.334770583317</v>
      </c>
      <c r="AJ8875">
        <v>77.269240552329407</v>
      </c>
      <c r="AK8875">
        <v>0.55725668236305104</v>
      </c>
      <c r="AL8875">
        <v>85.464709397620297</v>
      </c>
      <c r="AM8875">
        <v>81.658055023621003</v>
      </c>
      <c r="AN8875">
        <v>1.00000000905673</v>
      </c>
    </row>
    <row r="8876" spans="1:40" x14ac:dyDescent="0.25">
      <c r="A8876" t="str">
        <f>"20190312150859842"</f>
        <v>20190312150859842</v>
      </c>
      <c r="B8876" t="str">
        <f>"1552374539838653"</f>
        <v>1552374539838653</v>
      </c>
      <c r="C8876" t="s">
        <v>40</v>
      </c>
      <c r="D8876">
        <v>4.9183339999999998</v>
      </c>
      <c r="E8876">
        <v>0.51695530000000001</v>
      </c>
      <c r="F8876" t="s">
        <v>41</v>
      </c>
      <c r="G8876">
        <v>-325.4753</v>
      </c>
      <c r="H8876">
        <v>0.84756520000000002</v>
      </c>
      <c r="I8876">
        <v>15.589980000000001</v>
      </c>
      <c r="J8876">
        <v>-326.12380000000002</v>
      </c>
      <c r="K8876">
        <v>1.1090789999999999</v>
      </c>
      <c r="L8876">
        <v>15.78415</v>
      </c>
      <c r="M8876">
        <v>0.99733240000000001</v>
      </c>
      <c r="N8876">
        <v>0</v>
      </c>
      <c r="O8876">
        <v>-7.1807720000000005E-2</v>
      </c>
      <c r="P8876">
        <v>0.97418000000000005</v>
      </c>
      <c r="Q8876">
        <v>6.6531699999999999E-2</v>
      </c>
      <c r="R8876">
        <v>-0.21574670000000001</v>
      </c>
      <c r="S8876">
        <v>2.9742739999999999</v>
      </c>
      <c r="T8876">
        <v>-1.0169889999999999</v>
      </c>
      <c r="U8876">
        <v>-0.79067989999999999</v>
      </c>
      <c r="V8876">
        <v>0.1455089</v>
      </c>
      <c r="W8876">
        <v>7.8945730000000006E-2</v>
      </c>
      <c r="X8876">
        <v>0.98620220000000003</v>
      </c>
      <c r="Y8876">
        <v>0.18106249999999999</v>
      </c>
      <c r="Z8876">
        <v>-6.1941019999999999E-3</v>
      </c>
      <c r="AA8876">
        <v>0.98345210000000005</v>
      </c>
      <c r="AB8876">
        <v>24</v>
      </c>
      <c r="AC8876">
        <v>0.64850000000001196</v>
      </c>
      <c r="AD8876">
        <v>-0.26151380000000002</v>
      </c>
      <c r="AE8876">
        <v>-0.19417000000000101</v>
      </c>
      <c r="AF8876">
        <v>0.12799542955860099</v>
      </c>
      <c r="AG8876">
        <v>-0.26151380000000002</v>
      </c>
      <c r="AH8876">
        <v>0.57496276076771502</v>
      </c>
      <c r="AI8876">
        <v>113.939694638709</v>
      </c>
      <c r="AJ8876">
        <v>77.449739623150606</v>
      </c>
      <c r="AK8876">
        <v>0.64448000267499606</v>
      </c>
      <c r="AL8876">
        <v>85.472031262592395</v>
      </c>
      <c r="AM8876">
        <v>81.606866855520394</v>
      </c>
      <c r="AN8876">
        <v>1.00000002377464</v>
      </c>
    </row>
    <row r="8877" spans="1:40" x14ac:dyDescent="0.25">
      <c r="A8877" t="str">
        <f>"20190312150859855"</f>
        <v>20190312150859855</v>
      </c>
      <c r="B8877" t="str">
        <f>"1552374539848412"</f>
        <v>1552374539848412</v>
      </c>
      <c r="C8877" t="s">
        <v>40</v>
      </c>
      <c r="D8877">
        <v>5.0262000000000002</v>
      </c>
      <c r="E8877">
        <v>0.51695530000000001</v>
      </c>
      <c r="F8877" t="s">
        <v>41</v>
      </c>
      <c r="G8877">
        <v>-325.4606</v>
      </c>
      <c r="H8877">
        <v>0.88177109999999903</v>
      </c>
      <c r="I8877">
        <v>15.606680000000001</v>
      </c>
      <c r="J8877">
        <v>-325.99079999999998</v>
      </c>
      <c r="K8877">
        <v>1.1090519999999999</v>
      </c>
      <c r="L8877">
        <v>15.77322</v>
      </c>
      <c r="M8877">
        <v>0.9972451</v>
      </c>
      <c r="N8877">
        <v>0</v>
      </c>
      <c r="O8877">
        <v>-7.3011960000000001E-2</v>
      </c>
      <c r="P8877">
        <v>0.97369519999999998</v>
      </c>
      <c r="Q8877">
        <v>6.6547679999999998E-2</v>
      </c>
      <c r="R8877">
        <v>-0.21791959999999999</v>
      </c>
      <c r="S8877">
        <v>2.9730219999999998</v>
      </c>
      <c r="T8877">
        <v>-1.018869</v>
      </c>
      <c r="U8877">
        <v>-0.79486080000000003</v>
      </c>
      <c r="V8877">
        <v>0.14652479999999901</v>
      </c>
      <c r="W8877">
        <v>7.8951430000000003E-2</v>
      </c>
      <c r="X8877">
        <v>0.98605129999999996</v>
      </c>
      <c r="Y8877">
        <v>0.18129909999999999</v>
      </c>
      <c r="Z8877">
        <v>-5.8531499999999997E-3</v>
      </c>
      <c r="AA8877">
        <v>0.98341060000000002</v>
      </c>
      <c r="AB8877">
        <v>24</v>
      </c>
      <c r="AC8877">
        <v>0.53019999999997902</v>
      </c>
      <c r="AD8877">
        <v>-0.22728090000000001</v>
      </c>
      <c r="AE8877">
        <v>-0.16654000000000299</v>
      </c>
      <c r="AF8877">
        <v>0.109128744623066</v>
      </c>
      <c r="AG8877">
        <v>-0.22728090000000001</v>
      </c>
      <c r="AH8877">
        <v>0.46343317586862098</v>
      </c>
      <c r="AI8877">
        <v>115.51850183328899</v>
      </c>
      <c r="AJ8877">
        <v>76.749447457414703</v>
      </c>
      <c r="AK8877">
        <v>0.52757558596232701</v>
      </c>
      <c r="AL8877">
        <v>85.471703572401694</v>
      </c>
      <c r="AM8877">
        <v>81.547837205176606</v>
      </c>
      <c r="AN8877">
        <v>1.00000000577288</v>
      </c>
    </row>
    <row r="8878" spans="1:40" x14ac:dyDescent="0.25">
      <c r="A8878" t="str">
        <f>"20190312150859865"</f>
        <v>20190312150859865</v>
      </c>
      <c r="B8878" t="str">
        <f>"1552374539858172"</f>
        <v>1552374539858172</v>
      </c>
      <c r="C8878" t="s">
        <v>40</v>
      </c>
      <c r="D8878">
        <v>4.94076</v>
      </c>
      <c r="E8878">
        <v>0.54314370000000001</v>
      </c>
      <c r="F8878" t="s">
        <v>41</v>
      </c>
      <c r="G8878">
        <v>-325.25420000000003</v>
      </c>
      <c r="H8878">
        <v>0.85640629999999995</v>
      </c>
      <c r="I8878">
        <v>15.574179999999901</v>
      </c>
      <c r="J8878">
        <v>-325.87439999999998</v>
      </c>
      <c r="K8878">
        <v>1.109024</v>
      </c>
      <c r="L8878">
        <v>15.763579999999999</v>
      </c>
      <c r="M8878">
        <v>0.99716669999999996</v>
      </c>
      <c r="N8878">
        <v>0</v>
      </c>
      <c r="O8878">
        <v>-7.4073550000000002E-2</v>
      </c>
      <c r="P8878">
        <v>0.97323440000000006</v>
      </c>
      <c r="Q8878">
        <v>6.6564540000000005E-2</v>
      </c>
      <c r="R8878">
        <v>-0.2199641</v>
      </c>
      <c r="S8878">
        <v>2.9711609999999999</v>
      </c>
      <c r="T8878">
        <v>-1.0188729999999999</v>
      </c>
      <c r="U8878">
        <v>-0.8019714</v>
      </c>
      <c r="V8878">
        <v>0.14755170000000001</v>
      </c>
      <c r="W8878">
        <v>7.8958089999999995E-2</v>
      </c>
      <c r="X8878">
        <v>0.98589760000000004</v>
      </c>
      <c r="Y8878">
        <v>0.18258779999999999</v>
      </c>
      <c r="Z8878">
        <v>-5.7209019999999999E-3</v>
      </c>
      <c r="AA8878">
        <v>0.98317290000000002</v>
      </c>
      <c r="AB8878">
        <v>24</v>
      </c>
      <c r="AC8878">
        <v>0.62019999999995401</v>
      </c>
      <c r="AD8878">
        <v>-0.252617699999999</v>
      </c>
      <c r="AE8878">
        <v>-0.18940000000000001</v>
      </c>
      <c r="AF8878">
        <v>0.124102206583749</v>
      </c>
      <c r="AG8878">
        <v>-0.252617699999999</v>
      </c>
      <c r="AH8878">
        <v>0.54918546138575497</v>
      </c>
      <c r="AI8878">
        <v>114.164490032012</v>
      </c>
      <c r="AJ8878">
        <v>77.266453871013397</v>
      </c>
      <c r="AK8878">
        <v>0.61710755223844904</v>
      </c>
      <c r="AL8878">
        <v>85.471320674737697</v>
      </c>
      <c r="AM8878">
        <v>81.488158479036599</v>
      </c>
      <c r="AN8878">
        <v>0.99999998091754805</v>
      </c>
    </row>
    <row r="8879" spans="1:40" x14ac:dyDescent="0.25">
      <c r="A8879" t="str">
        <f>"20190312150859876"</f>
        <v>20190312150859876</v>
      </c>
      <c r="B8879" t="str">
        <f>"1552374539867932"</f>
        <v>1552374539867932</v>
      </c>
      <c r="C8879" t="s">
        <v>40</v>
      </c>
      <c r="D8879">
        <v>5.148269</v>
      </c>
      <c r="E8879">
        <v>0.55075640000000003</v>
      </c>
      <c r="F8879" t="s">
        <v>41</v>
      </c>
      <c r="G8879">
        <v>-325.01580000000001</v>
      </c>
      <c r="H8879">
        <v>0.91100230000000004</v>
      </c>
      <c r="I8879">
        <v>15.46524</v>
      </c>
      <c r="J8879">
        <v>-325.75450000000001</v>
      </c>
      <c r="K8879">
        <v>1.1089990000000001</v>
      </c>
      <c r="L8879">
        <v>15.75342</v>
      </c>
      <c r="M8879">
        <v>0.99708249999999998</v>
      </c>
      <c r="N8879">
        <v>0</v>
      </c>
      <c r="O8879">
        <v>-7.5196029999999997E-2</v>
      </c>
      <c r="P8879">
        <v>0.97267789999999998</v>
      </c>
      <c r="Q8879">
        <v>6.6466720000000007E-2</v>
      </c>
      <c r="R8879">
        <v>-0.22244130000000001</v>
      </c>
      <c r="S8879">
        <v>2.9005130000000001</v>
      </c>
      <c r="T8879">
        <v>-0.66890729999999998</v>
      </c>
      <c r="U8879">
        <v>-1.0075989999999999</v>
      </c>
      <c r="V8879">
        <v>0.1489569</v>
      </c>
      <c r="W8879">
        <v>7.8848760000000004E-2</v>
      </c>
      <c r="X8879">
        <v>0.98569510000000005</v>
      </c>
      <c r="Y8879">
        <v>0.25205929999999999</v>
      </c>
      <c r="Z8879">
        <v>-1.131591E-2</v>
      </c>
      <c r="AA8879">
        <v>0.96764559999999999</v>
      </c>
      <c r="AB8879">
        <v>24</v>
      </c>
      <c r="AC8879">
        <v>0.73869999999999403</v>
      </c>
      <c r="AD8879">
        <v>-0.197996699999999</v>
      </c>
      <c r="AE8879">
        <v>-0.28818000000000199</v>
      </c>
      <c r="AF8879">
        <v>0.21820613900841801</v>
      </c>
      <c r="AG8879">
        <v>-0.197996699999999</v>
      </c>
      <c r="AH8879">
        <v>0.71377434669839102</v>
      </c>
      <c r="AI8879">
        <v>104.856942932926</v>
      </c>
      <c r="AJ8879">
        <v>73.001217026867394</v>
      </c>
      <c r="AK8879">
        <v>0.77219843972683999</v>
      </c>
      <c r="AL8879">
        <v>85.477604760923995</v>
      </c>
      <c r="AM8879">
        <v>81.406561884799302</v>
      </c>
      <c r="AN8879">
        <v>1.00000005758757</v>
      </c>
    </row>
    <row r="8880" spans="1:40" x14ac:dyDescent="0.25">
      <c r="A8880" t="str">
        <f>"20190312150859888"</f>
        <v>20190312150859888</v>
      </c>
      <c r="B8880" t="str">
        <f>"1552374539878667"</f>
        <v>1552374539878667</v>
      </c>
      <c r="C8880" t="s">
        <v>40</v>
      </c>
      <c r="D8880">
        <v>5.0442479999999996</v>
      </c>
      <c r="E8880">
        <v>0.5540001</v>
      </c>
      <c r="F8880" t="s">
        <v>41</v>
      </c>
      <c r="G8880">
        <v>-325.00130000000001</v>
      </c>
      <c r="H8880">
        <v>0.94493700000000003</v>
      </c>
      <c r="I8880">
        <v>15.47268</v>
      </c>
      <c r="J8880">
        <v>-325.6354</v>
      </c>
      <c r="K8880">
        <v>1.1089770000000001</v>
      </c>
      <c r="L8880">
        <v>15.743259999999999</v>
      </c>
      <c r="M8880">
        <v>0.99699720000000003</v>
      </c>
      <c r="N8880">
        <v>0</v>
      </c>
      <c r="O8880">
        <v>-7.6318839999999999E-2</v>
      </c>
      <c r="P8880">
        <v>0.97218640000000001</v>
      </c>
      <c r="Q8880">
        <v>6.6148810000000002E-2</v>
      </c>
      <c r="R8880">
        <v>-0.22467290000000001</v>
      </c>
      <c r="S8880">
        <v>2.8815919999999999</v>
      </c>
      <c r="T8880">
        <v>-0.62762299999999904</v>
      </c>
      <c r="U8880">
        <v>-1.0738529999999999</v>
      </c>
      <c r="V8880">
        <v>0.15011160000000001</v>
      </c>
      <c r="W8880">
        <v>7.8520759999999995E-2</v>
      </c>
      <c r="X8880">
        <v>0.98554609999999998</v>
      </c>
      <c r="Y8880">
        <v>0.2726401</v>
      </c>
      <c r="Z8880">
        <v>-1.257485E-2</v>
      </c>
      <c r="AA8880">
        <v>0.9620339</v>
      </c>
      <c r="AB8880">
        <v>24</v>
      </c>
      <c r="AC8880">
        <v>0.63409999999998901</v>
      </c>
      <c r="AD8880">
        <v>-0.16403999999999999</v>
      </c>
      <c r="AE8880">
        <v>-0.27058000000000199</v>
      </c>
      <c r="AF8880">
        <v>0.20953012401283699</v>
      </c>
      <c r="AG8880">
        <v>-0.16403999999999999</v>
      </c>
      <c r="AH8880">
        <v>0.61791868320185905</v>
      </c>
      <c r="AI8880">
        <v>104.112313463391</v>
      </c>
      <c r="AJ8880">
        <v>71.268709697066399</v>
      </c>
      <c r="AK8880">
        <v>0.67278190635506396</v>
      </c>
      <c r="AL8880">
        <v>85.496456228748897</v>
      </c>
      <c r="AM8880">
        <v>81.339662997006897</v>
      </c>
      <c r="AN8880">
        <v>1.0000000587153699</v>
      </c>
    </row>
    <row r="8881" spans="1:40" x14ac:dyDescent="0.25">
      <c r="A8881" t="str">
        <f>"20190312150859899"</f>
        <v>20190312150859899</v>
      </c>
      <c r="B8881" t="str">
        <f>"1552374539888429"</f>
        <v>1552374539888429</v>
      </c>
      <c r="C8881" t="s">
        <v>40</v>
      </c>
      <c r="D8881">
        <v>5.0464969999999996</v>
      </c>
      <c r="E8881">
        <v>0.55590709999999999</v>
      </c>
      <c r="F8881" t="s">
        <v>42</v>
      </c>
      <c r="G8881">
        <v>-320.38600000000002</v>
      </c>
      <c r="H8881" s="1">
        <v>-5.5705380000000001E-6</v>
      </c>
      <c r="I8881">
        <v>13.72259</v>
      </c>
      <c r="J8881">
        <v>-325.51150000000001</v>
      </c>
      <c r="K8881">
        <v>1.1089580000000001</v>
      </c>
      <c r="L8881">
        <v>15.732419999999999</v>
      </c>
      <c r="M8881">
        <v>0.99690559999999995</v>
      </c>
      <c r="N8881">
        <v>0</v>
      </c>
      <c r="O8881">
        <v>-7.7506329999999998E-2</v>
      </c>
      <c r="P8881">
        <v>0.97164019999999995</v>
      </c>
      <c r="Q8881">
        <v>6.5937850000000006E-2</v>
      </c>
      <c r="R8881">
        <v>-0.2270866</v>
      </c>
      <c r="S8881">
        <v>2.8716430000000002</v>
      </c>
      <c r="T8881">
        <v>-0.60665210000000003</v>
      </c>
      <c r="U8881">
        <v>-1.1053770000000001</v>
      </c>
      <c r="V8881">
        <v>0.15138789999999999</v>
      </c>
      <c r="W8881">
        <v>7.8299690000000005E-2</v>
      </c>
      <c r="X8881">
        <v>0.98536840000000003</v>
      </c>
      <c r="Y8881">
        <v>0.2819064</v>
      </c>
      <c r="Z8881">
        <v>-1.2879130000000001E-2</v>
      </c>
      <c r="AA8881">
        <v>0.95935550000000003</v>
      </c>
      <c r="AB8881">
        <v>24</v>
      </c>
      <c r="AC8881">
        <v>5.1255000000000397</v>
      </c>
      <c r="AD8881">
        <v>-1.1089635705380001</v>
      </c>
      <c r="AE8881">
        <v>-2.00983</v>
      </c>
      <c r="AF8881">
        <v>1.5438502943935899</v>
      </c>
      <c r="AG8881">
        <v>-1.1089635705380001</v>
      </c>
      <c r="AH8881">
        <v>5.0605414126796298</v>
      </c>
      <c r="AI8881">
        <v>101.837952766955</v>
      </c>
      <c r="AJ8881">
        <v>73.034304493913695</v>
      </c>
      <c r="AK8881">
        <v>5.4057703726411797</v>
      </c>
      <c r="AL8881">
        <v>85.509161507968798</v>
      </c>
      <c r="AM8881">
        <v>81.265609694907994</v>
      </c>
      <c r="AN8881">
        <v>1.0000000107195299</v>
      </c>
    </row>
    <row r="8882" spans="1:40" x14ac:dyDescent="0.25">
      <c r="A8882" t="str">
        <f>"20190312150859912"</f>
        <v>20190312150859912</v>
      </c>
      <c r="B8882" t="str">
        <f>"1552374539907948"</f>
        <v>1552374539907948</v>
      </c>
      <c r="C8882" t="s">
        <v>40</v>
      </c>
      <c r="D8882">
        <v>5.009442</v>
      </c>
      <c r="E8882">
        <v>0.55792180000000002</v>
      </c>
      <c r="F8882" t="s">
        <v>42</v>
      </c>
      <c r="G8882">
        <v>-320.12650000000002</v>
      </c>
      <c r="H8882" s="1">
        <v>-5.7126759999999997E-6</v>
      </c>
      <c r="I8882">
        <v>13.612869999999999</v>
      </c>
      <c r="J8882">
        <v>-325.37790000000001</v>
      </c>
      <c r="K8882">
        <v>1.1089389999999999</v>
      </c>
      <c r="L8882">
        <v>15.72064</v>
      </c>
      <c r="M8882">
        <v>0.99680409999999997</v>
      </c>
      <c r="N8882">
        <v>0</v>
      </c>
      <c r="O8882">
        <v>-7.8799880000000003E-2</v>
      </c>
      <c r="P8882">
        <v>0.97103609999999896</v>
      </c>
      <c r="Q8882">
        <v>6.5842849999999994E-2</v>
      </c>
      <c r="R8882">
        <v>-0.22968179999999999</v>
      </c>
      <c r="S8882">
        <v>2.8641359999999998</v>
      </c>
      <c r="T8882">
        <v>-0.5898215</v>
      </c>
      <c r="U8882">
        <v>-1.127319</v>
      </c>
      <c r="V8882">
        <v>0.15274599999999999</v>
      </c>
      <c r="W8882">
        <v>7.8194180000000002E-2</v>
      </c>
      <c r="X8882">
        <v>0.98516709999999996</v>
      </c>
      <c r="Y8882">
        <v>0.2880008</v>
      </c>
      <c r="Z8882">
        <v>-1.289067E-2</v>
      </c>
      <c r="AA8882">
        <v>0.95754340000000004</v>
      </c>
      <c r="AB8882">
        <v>24</v>
      </c>
      <c r="AC8882">
        <v>5.2513999999999896</v>
      </c>
      <c r="AD8882">
        <v>-1.1089447126759999</v>
      </c>
      <c r="AE8882">
        <v>-2.1077699999999902</v>
      </c>
      <c r="AF8882">
        <v>1.6249609823405</v>
      </c>
      <c r="AG8882">
        <v>-1.1089447126759999</v>
      </c>
      <c r="AH8882">
        <v>5.2014083868269196</v>
      </c>
      <c r="AI8882">
        <v>101.50269497975501</v>
      </c>
      <c r="AJ8882">
        <v>72.650783843813301</v>
      </c>
      <c r="AK8882">
        <v>5.5610166135747603</v>
      </c>
      <c r="AL8882">
        <v>85.515225071303703</v>
      </c>
      <c r="AM8882">
        <v>81.186705652437496</v>
      </c>
      <c r="AN8882">
        <v>0.99999994261213898</v>
      </c>
    </row>
    <row r="8883" spans="1:40" x14ac:dyDescent="0.25">
      <c r="A8883" t="str">
        <f>"20190312150859927"</f>
        <v>20190312150859927</v>
      </c>
      <c r="B8883" t="str">
        <f>"1552374539918686"</f>
        <v>1552374539918686</v>
      </c>
      <c r="C8883" t="s">
        <v>40</v>
      </c>
      <c r="D8883">
        <v>5.0056520000000004</v>
      </c>
      <c r="E8883">
        <v>0.55819929999999995</v>
      </c>
      <c r="F8883" t="s">
        <v>43</v>
      </c>
      <c r="G8883">
        <v>-319.51209999999998</v>
      </c>
      <c r="H8883">
        <v>-0.05</v>
      </c>
      <c r="I8883">
        <v>13.3578799999999</v>
      </c>
      <c r="J8883">
        <v>-325.20819999999998</v>
      </c>
      <c r="K8883">
        <v>1.1089180000000001</v>
      </c>
      <c r="L8883">
        <v>15.7053799999999</v>
      </c>
      <c r="M8883">
        <v>0.99667150000000004</v>
      </c>
      <c r="N8883">
        <v>0</v>
      </c>
      <c r="O8883">
        <v>-8.0459409999999995E-2</v>
      </c>
      <c r="P8883">
        <v>0.97035400000000005</v>
      </c>
      <c r="Q8883">
        <v>6.6063529999999995E-2</v>
      </c>
      <c r="R8883">
        <v>-0.2324851</v>
      </c>
      <c r="S8883">
        <v>2.8556210000000002</v>
      </c>
      <c r="T8883">
        <v>-0.56420599999999999</v>
      </c>
      <c r="U8883">
        <v>-1.150269</v>
      </c>
      <c r="V8883">
        <v>0.1539575</v>
      </c>
      <c r="W8883">
        <v>7.8405719999999998E-2</v>
      </c>
      <c r="X8883">
        <v>0.98496170000000005</v>
      </c>
      <c r="Y8883">
        <v>0.29425099999999998</v>
      </c>
      <c r="Z8883">
        <v>-1.2637529999999999E-2</v>
      </c>
      <c r="AA8883">
        <v>0.95564459999999996</v>
      </c>
      <c r="AB8883">
        <v>24</v>
      </c>
      <c r="AC8883">
        <v>5.6961000000000004</v>
      </c>
      <c r="AD8883">
        <v>-1.1589179999999999</v>
      </c>
      <c r="AE8883">
        <v>-2.3475000000000001</v>
      </c>
      <c r="AF8883">
        <v>1.8172401425978399</v>
      </c>
      <c r="AG8883">
        <v>-1.1589179999999999</v>
      </c>
      <c r="AH8883">
        <v>5.6660306225094601</v>
      </c>
      <c r="AI8883">
        <v>101.021280151886</v>
      </c>
      <c r="AJ8883">
        <v>72.217632735799199</v>
      </c>
      <c r="AK8883">
        <v>6.0621246837893397</v>
      </c>
      <c r="AL8883">
        <v>85.503067471999898</v>
      </c>
      <c r="AM8883">
        <v>81.116090868251405</v>
      </c>
      <c r="AN8883">
        <v>0.99999995960092802</v>
      </c>
    </row>
    <row r="8884" spans="1:40" x14ac:dyDescent="0.25">
      <c r="A8884" t="str">
        <f>"20190312150859939"</f>
        <v>20190312150859939</v>
      </c>
      <c r="B8884" t="str">
        <f>"1552374539928445"</f>
        <v>1552374539928445</v>
      </c>
      <c r="C8884" t="s">
        <v>40</v>
      </c>
      <c r="D8884">
        <v>5.0028810000000004</v>
      </c>
      <c r="E8884">
        <v>0.55849519999999997</v>
      </c>
      <c r="F8884" t="s">
        <v>43</v>
      </c>
      <c r="G8884">
        <v>-319.267</v>
      </c>
      <c r="H8884">
        <v>-0.05</v>
      </c>
      <c r="I8884">
        <v>13.28748</v>
      </c>
      <c r="J8884">
        <v>-325.07029999999997</v>
      </c>
      <c r="K8884">
        <v>1.1089009999999999</v>
      </c>
      <c r="L8884">
        <v>15.69272</v>
      </c>
      <c r="M8884">
        <v>0.99656029999999995</v>
      </c>
      <c r="N8884">
        <v>0</v>
      </c>
      <c r="O8884">
        <v>-8.1824549999999996E-2</v>
      </c>
      <c r="P8884">
        <v>0.96983090000000005</v>
      </c>
      <c r="Q8884">
        <v>6.5821950000000004E-2</v>
      </c>
      <c r="R8884">
        <v>-0.23472489999999999</v>
      </c>
      <c r="S8884">
        <v>2.8515009999999998</v>
      </c>
      <c r="T8884">
        <v>-0.55623040000000001</v>
      </c>
      <c r="U8884">
        <v>-1.1604920000000001</v>
      </c>
      <c r="V8884">
        <v>0.1548831</v>
      </c>
      <c r="W8884">
        <v>7.8158039999999998E-2</v>
      </c>
      <c r="X8884">
        <v>0.9848363</v>
      </c>
      <c r="Y8884">
        <v>0.2964463</v>
      </c>
      <c r="Z8884">
        <v>-1.2423790000000001E-2</v>
      </c>
      <c r="AA8884">
        <v>0.9549687</v>
      </c>
      <c r="AB8884">
        <v>24</v>
      </c>
      <c r="AC8884">
        <v>5.8032999999999699</v>
      </c>
      <c r="AD8884">
        <v>-1.158901</v>
      </c>
      <c r="AE8884">
        <v>-2.40524</v>
      </c>
      <c r="AF8884">
        <v>1.85901254614801</v>
      </c>
      <c r="AG8884">
        <v>-1.158901</v>
      </c>
      <c r="AH8884">
        <v>5.78382183528295</v>
      </c>
      <c r="AI8884">
        <v>100.799884229022</v>
      </c>
      <c r="AJ8884">
        <v>72.181766917208904</v>
      </c>
      <c r="AK8884">
        <v>6.1847857033879903</v>
      </c>
      <c r="AL8884">
        <v>85.517302336591399</v>
      </c>
      <c r="AM8884">
        <v>81.062420345864695</v>
      </c>
      <c r="AN8884">
        <v>0.99999999583997001</v>
      </c>
    </row>
    <row r="8885" spans="1:40" x14ac:dyDescent="0.25">
      <c r="A8885" t="str">
        <f>"20190312150859955"</f>
        <v>20190312150859955</v>
      </c>
      <c r="B8885" t="str">
        <f>"1552374539947964"</f>
        <v>1552374539947964</v>
      </c>
      <c r="C8885" t="s">
        <v>40</v>
      </c>
      <c r="D8885">
        <v>4.8750530000000003</v>
      </c>
      <c r="E8885">
        <v>0.55910090000000001</v>
      </c>
      <c r="F8885" t="s">
        <v>43</v>
      </c>
      <c r="G8885">
        <v>-319.12180000000001</v>
      </c>
      <c r="H8885">
        <v>-0.05</v>
      </c>
      <c r="I8885">
        <v>13.25027</v>
      </c>
      <c r="J8885">
        <v>-324.89879999999999</v>
      </c>
      <c r="K8885">
        <v>1.1088899999999999</v>
      </c>
      <c r="L8885">
        <v>15.676729999999999</v>
      </c>
      <c r="M8885">
        <v>0.99641869999999999</v>
      </c>
      <c r="N8885">
        <v>0</v>
      </c>
      <c r="O8885">
        <v>-8.3531510000000003E-2</v>
      </c>
      <c r="P8885">
        <v>0.96900560000000002</v>
      </c>
      <c r="Q8885">
        <v>6.53503E-2</v>
      </c>
      <c r="R8885">
        <v>-0.23823900000000001</v>
      </c>
      <c r="S8885">
        <v>2.8479610000000002</v>
      </c>
      <c r="T8885">
        <v>-0.55484769999999894</v>
      </c>
      <c r="U8885">
        <v>-1.169373</v>
      </c>
      <c r="V8885">
        <v>0.1567646</v>
      </c>
      <c r="W8885">
        <v>7.7676490000000001E-2</v>
      </c>
      <c r="X8885">
        <v>0.98457660000000002</v>
      </c>
      <c r="Y8885">
        <v>0.2977977</v>
      </c>
      <c r="Z8885">
        <v>-1.221292E-2</v>
      </c>
      <c r="AA8885">
        <v>0.95455089999999998</v>
      </c>
      <c r="AB8885">
        <v>24</v>
      </c>
      <c r="AC8885">
        <v>5.7769999999999797</v>
      </c>
      <c r="AD8885">
        <v>-1.15889</v>
      </c>
      <c r="AE8885">
        <v>-2.4264599999999898</v>
      </c>
      <c r="AF8885">
        <v>1.87136115743725</v>
      </c>
      <c r="AG8885">
        <v>-1.15889</v>
      </c>
      <c r="AH8885">
        <v>5.7623943179344996</v>
      </c>
      <c r="AI8885">
        <v>100.828664050431</v>
      </c>
      <c r="AJ8885">
        <v>72.008582570836296</v>
      </c>
      <c r="AK8885">
        <v>6.1684849751805997</v>
      </c>
      <c r="AL8885">
        <v>85.544976958129098</v>
      </c>
      <c r="AM8885">
        <v>80.953285750565399</v>
      </c>
      <c r="AN8885">
        <v>0.99999992908971702</v>
      </c>
    </row>
    <row r="8886" spans="1:40" x14ac:dyDescent="0.25">
      <c r="A8886" t="str">
        <f>"20190312150859966"</f>
        <v>20190312150859966</v>
      </c>
      <c r="B8886" t="str">
        <f>"1552374539958700"</f>
        <v>1552374539958700</v>
      </c>
      <c r="C8886" t="s">
        <v>40</v>
      </c>
      <c r="D8886">
        <v>5.0174640000000004</v>
      </c>
      <c r="E8886">
        <v>0.55909809999999904</v>
      </c>
      <c r="F8886" t="s">
        <v>43</v>
      </c>
      <c r="G8886">
        <v>-318.87810000000002</v>
      </c>
      <c r="H8886">
        <v>-0.05</v>
      </c>
      <c r="I8886">
        <v>13.167590000000001</v>
      </c>
      <c r="J8886">
        <v>-324.77730000000003</v>
      </c>
      <c r="K8886">
        <v>1.108889</v>
      </c>
      <c r="L8886">
        <v>15.66525</v>
      </c>
      <c r="M8886">
        <v>0.99631610000000004</v>
      </c>
      <c r="N8886">
        <v>0</v>
      </c>
      <c r="O8886">
        <v>-8.4745349999999997E-2</v>
      </c>
      <c r="P8886">
        <v>0.96858449999999996</v>
      </c>
      <c r="Q8886">
        <v>6.4894800000000002E-2</v>
      </c>
      <c r="R8886">
        <v>-0.24006839999999999</v>
      </c>
      <c r="S8886">
        <v>2.8416440000000001</v>
      </c>
      <c r="T8886">
        <v>-0.54697200000000001</v>
      </c>
      <c r="U8886">
        <v>-1.1842649999999999</v>
      </c>
      <c r="V8886">
        <v>0.15742139999999999</v>
      </c>
      <c r="W8886">
        <v>7.7218670000000003E-2</v>
      </c>
      <c r="X8886">
        <v>0.98450789999999999</v>
      </c>
      <c r="Y8886">
        <v>0.30169839999999998</v>
      </c>
      <c r="Z8886">
        <v>-1.219366E-2</v>
      </c>
      <c r="AA8886">
        <v>0.95332550000000005</v>
      </c>
      <c r="AB8886">
        <v>24</v>
      </c>
      <c r="AC8886">
        <v>5.8992000000000004</v>
      </c>
      <c r="AD8886">
        <v>-1.1588889999999901</v>
      </c>
      <c r="AE8886">
        <v>-2.4976600000000002</v>
      </c>
      <c r="AF8886">
        <v>1.9256814066667101</v>
      </c>
      <c r="AG8886">
        <v>-1.1588889999999901</v>
      </c>
      <c r="AH8886">
        <v>5.8966852467776496</v>
      </c>
      <c r="AI8886">
        <v>100.5821499433</v>
      </c>
      <c r="AJ8886">
        <v>71.914507373336704</v>
      </c>
      <c r="AK8886">
        <v>6.3104809241347102</v>
      </c>
      <c r="AL8886">
        <v>85.571287509485501</v>
      </c>
      <c r="AM8886">
        <v>80.915389922997406</v>
      </c>
      <c r="AN8886">
        <v>1.0000000126684601</v>
      </c>
    </row>
    <row r="8887" spans="1:40" x14ac:dyDescent="0.25">
      <c r="A8887" t="str">
        <f>"20190312150859976"</f>
        <v>20190312150859976</v>
      </c>
      <c r="B8887" t="str">
        <f>"1552374539968460"</f>
        <v>1552374539968460</v>
      </c>
      <c r="C8887" t="s">
        <v>40</v>
      </c>
      <c r="D8887">
        <v>5.0713980000000003</v>
      </c>
      <c r="E8887">
        <v>0.55915839999999895</v>
      </c>
      <c r="F8887" t="s">
        <v>43</v>
      </c>
      <c r="G8887">
        <v>-318.78269999999998</v>
      </c>
      <c r="H8887">
        <v>-0.05</v>
      </c>
      <c r="I8887">
        <v>13.15335</v>
      </c>
      <c r="J8887">
        <v>-324.66559999999998</v>
      </c>
      <c r="K8887">
        <v>1.108887</v>
      </c>
      <c r="L8887">
        <v>15.65451</v>
      </c>
      <c r="M8887">
        <v>0.99621999999999999</v>
      </c>
      <c r="N8887">
        <v>0</v>
      </c>
      <c r="O8887">
        <v>-8.5865419999999998E-2</v>
      </c>
      <c r="P8887">
        <v>0.96823199999999998</v>
      </c>
      <c r="Q8887">
        <v>6.4509289999999997E-2</v>
      </c>
      <c r="R8887">
        <v>-0.24159040000000001</v>
      </c>
      <c r="S8887">
        <v>2.8392029999999999</v>
      </c>
      <c r="T8887">
        <v>-0.54887719999999995</v>
      </c>
      <c r="U8887">
        <v>-1.189697</v>
      </c>
      <c r="V8887">
        <v>0.1578581</v>
      </c>
      <c r="W8887">
        <v>7.6832620000000004E-2</v>
      </c>
      <c r="X8887">
        <v>0.98446820000000002</v>
      </c>
      <c r="Y8887">
        <v>0.3024519</v>
      </c>
      <c r="Z8887">
        <v>-1.210661E-2</v>
      </c>
      <c r="AA8887">
        <v>0.95308769999999998</v>
      </c>
      <c r="AB8887">
        <v>24</v>
      </c>
      <c r="AC8887">
        <v>5.8829000000000002</v>
      </c>
      <c r="AD8887">
        <v>-1.158887</v>
      </c>
      <c r="AE8887">
        <v>-2.50116</v>
      </c>
      <c r="AF8887">
        <v>1.92352244242162</v>
      </c>
      <c r="AG8887">
        <v>-1.158887</v>
      </c>
      <c r="AH8887">
        <v>5.8826167718114002</v>
      </c>
      <c r="AI8887">
        <v>100.605599007032</v>
      </c>
      <c r="AJ8887">
        <v>71.893075695671001</v>
      </c>
      <c r="AK8887">
        <v>6.2966767226264198</v>
      </c>
      <c r="AL8887">
        <v>85.593472548291004</v>
      </c>
      <c r="AM8887">
        <v>80.890249248616499</v>
      </c>
      <c r="AN8887">
        <v>1.0000000340214501</v>
      </c>
    </row>
    <row r="8888" spans="1:40" x14ac:dyDescent="0.25">
      <c r="A8888" t="str">
        <f>"20190312150859989"</f>
        <v>20190312150859989</v>
      </c>
      <c r="B8888" t="str">
        <f>"1552374539978220"</f>
        <v>1552374539978220</v>
      </c>
      <c r="C8888" t="s">
        <v>40</v>
      </c>
      <c r="D8888">
        <v>5.0022140000000004</v>
      </c>
      <c r="E8888">
        <v>0.55914969999999997</v>
      </c>
      <c r="F8888" t="s">
        <v>43</v>
      </c>
      <c r="G8888">
        <v>-318.67529999999999</v>
      </c>
      <c r="H8888">
        <v>-0.05</v>
      </c>
      <c r="I8888">
        <v>13.13184</v>
      </c>
      <c r="J8888">
        <v>-324.52789999999999</v>
      </c>
      <c r="K8888">
        <v>1.1088880000000001</v>
      </c>
      <c r="L8888">
        <v>15.641109999999999</v>
      </c>
      <c r="M8888">
        <v>0.99609990000000004</v>
      </c>
      <c r="N8888">
        <v>0</v>
      </c>
      <c r="O8888">
        <v>-8.724759E-2</v>
      </c>
      <c r="P8888">
        <v>0.96779649999999995</v>
      </c>
      <c r="Q8888">
        <v>6.3845449999999998E-2</v>
      </c>
      <c r="R8888">
        <v>-0.24350330000000001</v>
      </c>
      <c r="S8888">
        <v>2.836884</v>
      </c>
      <c r="T8888">
        <v>-0.54881569999999902</v>
      </c>
      <c r="U8888">
        <v>-1.194672</v>
      </c>
      <c r="V8888">
        <v>0.15843180000000001</v>
      </c>
      <c r="W8888">
        <v>7.6168429999999995E-2</v>
      </c>
      <c r="X8888">
        <v>0.98442759999999996</v>
      </c>
      <c r="Y8888">
        <v>0.30284339999999998</v>
      </c>
      <c r="Z8888">
        <v>-1.189523E-2</v>
      </c>
      <c r="AA8888">
        <v>0.95296610000000004</v>
      </c>
      <c r="AB8888">
        <v>24</v>
      </c>
      <c r="AC8888">
        <v>5.85259999999999</v>
      </c>
      <c r="AD8888">
        <v>-1.1588879999999999</v>
      </c>
      <c r="AE8888">
        <v>-2.5092699999999999</v>
      </c>
      <c r="AF8888">
        <v>1.9252642472098001</v>
      </c>
      <c r="AG8888">
        <v>-1.1588879999999999</v>
      </c>
      <c r="AH8888">
        <v>5.8552936989726803</v>
      </c>
      <c r="AI8888">
        <v>100.64834933026199</v>
      </c>
      <c r="AJ8888">
        <v>71.798749299083795</v>
      </c>
      <c r="AK8888">
        <v>6.2716926040230598</v>
      </c>
      <c r="AL8888">
        <v>85.631639452379403</v>
      </c>
      <c r="AM8888">
        <v>80.857329325239903</v>
      </c>
      <c r="AN8888">
        <v>0.99999998231083198</v>
      </c>
    </row>
    <row r="8889" spans="1:40" x14ac:dyDescent="0.25">
      <c r="A8889" t="str">
        <f>"20190312150900000"</f>
        <v>20190312150900000</v>
      </c>
      <c r="B8889" t="str">
        <f>"1552374539987981"</f>
        <v>1552374539987981</v>
      </c>
      <c r="C8889" t="s">
        <v>40</v>
      </c>
      <c r="D8889">
        <v>5.155125</v>
      </c>
      <c r="E8889">
        <v>0.55939159999999999</v>
      </c>
      <c r="F8889" t="s">
        <v>43</v>
      </c>
      <c r="G8889">
        <v>-318.5292</v>
      </c>
      <c r="H8889">
        <v>-0.05</v>
      </c>
      <c r="I8889">
        <v>13.10042</v>
      </c>
      <c r="J8889">
        <v>-324.40820000000002</v>
      </c>
      <c r="K8889">
        <v>1.1088830000000001</v>
      </c>
      <c r="L8889">
        <v>15.62933</v>
      </c>
      <c r="M8889">
        <v>0.99599389999999999</v>
      </c>
      <c r="N8889">
        <v>0</v>
      </c>
      <c r="O8889">
        <v>-8.8450219999999996E-2</v>
      </c>
      <c r="P8889">
        <v>0.96740280000000001</v>
      </c>
      <c r="Q8889">
        <v>6.3471920000000001E-2</v>
      </c>
      <c r="R8889">
        <v>-0.2451605</v>
      </c>
      <c r="S8889">
        <v>2.833923</v>
      </c>
      <c r="T8889">
        <v>-0.5474871</v>
      </c>
      <c r="U8889">
        <v>-1.2002870000000001</v>
      </c>
      <c r="V8889">
        <v>0.1589256</v>
      </c>
      <c r="W8889">
        <v>7.5794249999999994E-2</v>
      </c>
      <c r="X8889">
        <v>0.9843769</v>
      </c>
      <c r="Y8889">
        <v>0.30367129999999998</v>
      </c>
      <c r="Z8889">
        <v>-1.173188E-2</v>
      </c>
      <c r="AA8889">
        <v>0.95270460000000001</v>
      </c>
      <c r="AB8889">
        <v>24</v>
      </c>
      <c r="AC8889">
        <v>5.8790000000000102</v>
      </c>
      <c r="AD8889">
        <v>-1.1588829999999899</v>
      </c>
      <c r="AE8889">
        <v>-2.5289100000000002</v>
      </c>
      <c r="AF8889">
        <v>1.9354882414488199</v>
      </c>
      <c r="AG8889">
        <v>-1.1588829999999899</v>
      </c>
      <c r="AH8889">
        <v>5.8866336561322603</v>
      </c>
      <c r="AI8889">
        <v>100.59294224664799</v>
      </c>
      <c r="AJ8889">
        <v>71.799459167785997</v>
      </c>
      <c r="AK8889">
        <v>6.3040923487830298</v>
      </c>
      <c r="AL8889">
        <v>85.653140610322893</v>
      </c>
      <c r="AM8889">
        <v>80.828852622554606</v>
      </c>
      <c r="AN8889">
        <v>0.99999999796101602</v>
      </c>
    </row>
    <row r="8890" spans="1:40" x14ac:dyDescent="0.25">
      <c r="A8890" t="str">
        <f>"20190312150900013"</f>
        <v>20190312150900013</v>
      </c>
      <c r="B8890" t="str">
        <f>"1552374540008476"</f>
        <v>1552374540008476</v>
      </c>
      <c r="C8890" t="s">
        <v>40</v>
      </c>
      <c r="D8890">
        <v>5.0532329999999996</v>
      </c>
      <c r="E8890">
        <v>0.55922269999999996</v>
      </c>
      <c r="F8890" t="s">
        <v>43</v>
      </c>
      <c r="G8890">
        <v>-318.43520000000001</v>
      </c>
      <c r="H8890">
        <v>-0.05</v>
      </c>
      <c r="I8890">
        <v>13.08296</v>
      </c>
      <c r="J8890">
        <v>-324.2747</v>
      </c>
      <c r="K8890">
        <v>1.108884</v>
      </c>
      <c r="L8890">
        <v>15.615970000000001</v>
      </c>
      <c r="M8890">
        <v>0.99587389999999998</v>
      </c>
      <c r="N8890">
        <v>0</v>
      </c>
      <c r="O8890">
        <v>-8.9790019999999998E-2</v>
      </c>
      <c r="P8890">
        <v>0.96703070000000002</v>
      </c>
      <c r="Q8890">
        <v>6.3059190000000001E-2</v>
      </c>
      <c r="R8890">
        <v>-0.24672949999999999</v>
      </c>
      <c r="S8890">
        <v>2.8312379999999999</v>
      </c>
      <c r="T8890">
        <v>-0.54931719999999995</v>
      </c>
      <c r="U8890">
        <v>-1.207001</v>
      </c>
      <c r="V8890">
        <v>0.159193899999999</v>
      </c>
      <c r="W8890">
        <v>7.5382959999999999E-2</v>
      </c>
      <c r="X8890">
        <v>0.98436509999999999</v>
      </c>
      <c r="Y8890">
        <v>0.30461120000000003</v>
      </c>
      <c r="Z8890">
        <v>-1.1618409999999999E-2</v>
      </c>
      <c r="AA8890">
        <v>0.95240590000000003</v>
      </c>
      <c r="AB8890">
        <v>24</v>
      </c>
      <c r="AC8890">
        <v>5.8394999999999797</v>
      </c>
      <c r="AD8890">
        <v>-1.158884</v>
      </c>
      <c r="AE8890">
        <v>-2.53301</v>
      </c>
      <c r="AF8890">
        <v>1.9342852608566199</v>
      </c>
      <c r="AG8890">
        <v>-1.158884</v>
      </c>
      <c r="AH8890">
        <v>5.8494702610157701</v>
      </c>
      <c r="AI8890">
        <v>100.65288252425501</v>
      </c>
      <c r="AJ8890">
        <v>71.702137326588598</v>
      </c>
      <c r="AK8890">
        <v>6.2690329342196902</v>
      </c>
      <c r="AL8890">
        <v>85.676773278769602</v>
      </c>
      <c r="AM8890">
        <v>80.813525306249602</v>
      </c>
      <c r="AN8890">
        <v>0.99999996927679002</v>
      </c>
    </row>
    <row r="8891" spans="1:40" x14ac:dyDescent="0.25">
      <c r="A8891" t="str">
        <f>"20190312150900025"</f>
        <v>20190312150900025</v>
      </c>
      <c r="B8891" t="str">
        <f>"1552374540018236"</f>
        <v>1552374540018236</v>
      </c>
      <c r="C8891" t="s">
        <v>40</v>
      </c>
      <c r="D8891">
        <v>5.0475949999999896</v>
      </c>
      <c r="E8891">
        <v>0.55916429999999995</v>
      </c>
      <c r="F8891" t="s">
        <v>43</v>
      </c>
      <c r="G8891">
        <v>-318.32420000000002</v>
      </c>
      <c r="H8891">
        <v>-0.05</v>
      </c>
      <c r="I8891">
        <v>13.07025</v>
      </c>
      <c r="J8891">
        <v>-324.14760000000001</v>
      </c>
      <c r="K8891">
        <v>1.1088849999999999</v>
      </c>
      <c r="L8891">
        <v>15.603149999999999</v>
      </c>
      <c r="M8891">
        <v>0.99575840000000004</v>
      </c>
      <c r="N8891">
        <v>0</v>
      </c>
      <c r="O8891">
        <v>-9.1064610000000004E-2</v>
      </c>
      <c r="P8891">
        <v>0.9666458</v>
      </c>
      <c r="Q8891">
        <v>6.3036460000000002E-2</v>
      </c>
      <c r="R8891">
        <v>-0.2482395</v>
      </c>
      <c r="S8891">
        <v>2.8293460000000001</v>
      </c>
      <c r="T8891">
        <v>-0.551033</v>
      </c>
      <c r="U8891">
        <v>-1.2104490000000001</v>
      </c>
      <c r="V8891">
        <v>0.159470899999999</v>
      </c>
      <c r="W8891">
        <v>7.53611E-2</v>
      </c>
      <c r="X8891">
        <v>0.98432200000000003</v>
      </c>
      <c r="Y8891">
        <v>0.3046025</v>
      </c>
      <c r="Z8891">
        <v>-1.1424989999999999E-2</v>
      </c>
      <c r="AA8891">
        <v>0.95241109999999896</v>
      </c>
      <c r="AB8891">
        <v>24</v>
      </c>
      <c r="AC8891">
        <v>5.8233999999999897</v>
      </c>
      <c r="AD8891">
        <v>-1.1588849999999999</v>
      </c>
      <c r="AE8891">
        <v>-2.5329000000000002</v>
      </c>
      <c r="AF8891">
        <v>1.9278210414178201</v>
      </c>
      <c r="AG8891">
        <v>-1.1588849999999999</v>
      </c>
      <c r="AH8891">
        <v>5.83553814139223</v>
      </c>
      <c r="AI8891">
        <v>100.67873006439299</v>
      </c>
      <c r="AJ8891">
        <v>71.718576169592097</v>
      </c>
      <c r="AK8891">
        <v>6.2540397992498997</v>
      </c>
      <c r="AL8891">
        <v>85.678029606918997</v>
      </c>
      <c r="AM8891">
        <v>80.797417889151902</v>
      </c>
      <c r="AN8891">
        <v>1.0000000315119999</v>
      </c>
    </row>
    <row r="8892" spans="1:40" x14ac:dyDescent="0.25">
      <c r="A8892" t="str">
        <f>"20190312150900036"</f>
        <v>20190312150900036</v>
      </c>
      <c r="B8892" t="str">
        <f>"1552374540027997"</f>
        <v>1552374540027997</v>
      </c>
      <c r="C8892" t="s">
        <v>40</v>
      </c>
      <c r="D8892">
        <v>4.8987360000000004</v>
      </c>
      <c r="E8892">
        <v>0.55942400000000003</v>
      </c>
      <c r="F8892" t="s">
        <v>43</v>
      </c>
      <c r="G8892">
        <v>-318.1866</v>
      </c>
      <c r="H8892">
        <v>-0.05</v>
      </c>
      <c r="I8892">
        <v>13.042020000000001</v>
      </c>
      <c r="J8892">
        <v>-324.01760000000002</v>
      </c>
      <c r="K8892">
        <v>1.1088880000000001</v>
      </c>
      <c r="L8892">
        <v>15.589779999999999</v>
      </c>
      <c r="M8892">
        <v>0.99563840000000003</v>
      </c>
      <c r="N8892">
        <v>0</v>
      </c>
      <c r="O8892">
        <v>-9.2365290000000003E-2</v>
      </c>
      <c r="P8892">
        <v>0.96625890000000003</v>
      </c>
      <c r="Q8892">
        <v>6.2807230000000006E-2</v>
      </c>
      <c r="R8892">
        <v>-0.2497981</v>
      </c>
      <c r="S8892">
        <v>2.8273929999999998</v>
      </c>
      <c r="T8892">
        <v>-0.54967739999999998</v>
      </c>
      <c r="U8892">
        <v>-1.2147829999999999</v>
      </c>
      <c r="V8892">
        <v>0.15976960000000001</v>
      </c>
      <c r="W8892">
        <v>7.5132370000000004E-2</v>
      </c>
      <c r="X8892">
        <v>0.98429100000000003</v>
      </c>
      <c r="Y8892">
        <v>0.30486200000000002</v>
      </c>
      <c r="Z8892">
        <v>-1.118828E-2</v>
      </c>
      <c r="AA8892">
        <v>0.95233080000000003</v>
      </c>
      <c r="AB8892">
        <v>24</v>
      </c>
      <c r="AC8892">
        <v>5.8310000000000102</v>
      </c>
      <c r="AD8892">
        <v>-1.1588879999999999</v>
      </c>
      <c r="AE8892">
        <v>-2.5477599999999998</v>
      </c>
      <c r="AF8892">
        <v>1.9340887698140401</v>
      </c>
      <c r="AG8892">
        <v>-1.1588879999999999</v>
      </c>
      <c r="AH8892">
        <v>5.8474662104729598</v>
      </c>
      <c r="AI8892">
        <v>100.65623835398701</v>
      </c>
      <c r="AJ8892">
        <v>71.698019656495504</v>
      </c>
      <c r="AK8892">
        <v>6.2671031464854501</v>
      </c>
      <c r="AL8892">
        <v>85.691171930855504</v>
      </c>
      <c r="AM8892">
        <v>80.780191170616902</v>
      </c>
      <c r="AN8892">
        <v>0.999999985393488</v>
      </c>
    </row>
    <row r="8893" spans="1:40" x14ac:dyDescent="0.25">
      <c r="A8893" t="str">
        <f>"20190312150900047"</f>
        <v>20190312150900047</v>
      </c>
      <c r="B8893" t="str">
        <f>"1552374540038732"</f>
        <v>1552374540038732</v>
      </c>
      <c r="C8893" t="s">
        <v>40</v>
      </c>
      <c r="D8893">
        <v>5.0661180000000003</v>
      </c>
      <c r="E8893">
        <v>0.55932139999999997</v>
      </c>
      <c r="F8893" t="s">
        <v>43</v>
      </c>
      <c r="G8893">
        <v>-318.00749999999999</v>
      </c>
      <c r="H8893">
        <v>-0.05</v>
      </c>
      <c r="I8893">
        <v>12.990449999999999</v>
      </c>
      <c r="J8893">
        <v>-323.90969999999999</v>
      </c>
      <c r="K8893">
        <v>1.108892</v>
      </c>
      <c r="L8893">
        <v>15.578609999999999</v>
      </c>
      <c r="M8893">
        <v>0.99553760000000002</v>
      </c>
      <c r="N8893">
        <v>0</v>
      </c>
      <c r="O8893">
        <v>-9.3445230000000004E-2</v>
      </c>
      <c r="P8893">
        <v>0.96593549999999995</v>
      </c>
      <c r="Q8893">
        <v>6.2767909999999996E-2</v>
      </c>
      <c r="R8893">
        <v>-0.251056</v>
      </c>
      <c r="S8893">
        <v>2.8243710000000002</v>
      </c>
      <c r="T8893">
        <v>-0.54460589999999998</v>
      </c>
      <c r="U8893">
        <v>-1.221527</v>
      </c>
      <c r="V8893">
        <v>0.15998289999999901</v>
      </c>
      <c r="W8893">
        <v>7.5093869999999993E-2</v>
      </c>
      <c r="X8893">
        <v>0.98425929999999995</v>
      </c>
      <c r="Y8893">
        <v>0.30617169999999999</v>
      </c>
      <c r="Z8893">
        <v>-1.101769E-2</v>
      </c>
      <c r="AA8893">
        <v>0.95191250000000005</v>
      </c>
      <c r="AB8893">
        <v>24</v>
      </c>
      <c r="AC8893">
        <v>5.9021999999999899</v>
      </c>
      <c r="AD8893">
        <v>-1.158892</v>
      </c>
      <c r="AE8893">
        <v>-2.5881599999999998</v>
      </c>
      <c r="AF8893">
        <v>1.96181732249604</v>
      </c>
      <c r="AG8893">
        <v>-1.158892</v>
      </c>
      <c r="AH8893">
        <v>5.9266037401328804</v>
      </c>
      <c r="AI8893">
        <v>100.51637362601301</v>
      </c>
      <c r="AJ8893">
        <v>71.684485066325294</v>
      </c>
      <c r="AK8893">
        <v>6.3495188610686499</v>
      </c>
      <c r="AL8893">
        <v>85.693384103139195</v>
      </c>
      <c r="AM8893">
        <v>80.767801877277407</v>
      </c>
      <c r="AN8893">
        <v>0.99999999362023795</v>
      </c>
    </row>
    <row r="8894" spans="1:40" x14ac:dyDescent="0.25">
      <c r="A8894" t="str">
        <f>"20190312150900058"</f>
        <v>20190312150900058</v>
      </c>
      <c r="B8894" t="str">
        <f>"1552374540048492"</f>
        <v>1552374540048492</v>
      </c>
      <c r="C8894" t="s">
        <v>40</v>
      </c>
      <c r="D8894">
        <v>5.0576829999999999</v>
      </c>
      <c r="E8894">
        <v>0.5593494</v>
      </c>
      <c r="F8894" t="s">
        <v>43</v>
      </c>
      <c r="G8894">
        <v>-317.88990000000001</v>
      </c>
      <c r="H8894">
        <v>-0.05</v>
      </c>
      <c r="I8894">
        <v>12.96599</v>
      </c>
      <c r="J8894">
        <v>-323.77859999999998</v>
      </c>
      <c r="K8894">
        <v>1.108895</v>
      </c>
      <c r="L8894">
        <v>15.56485</v>
      </c>
      <c r="M8894">
        <v>0.99541400000000002</v>
      </c>
      <c r="N8894">
        <v>0</v>
      </c>
      <c r="O8894">
        <v>-9.4753299999999999E-2</v>
      </c>
      <c r="P8894">
        <v>0.96557409999999999</v>
      </c>
      <c r="Q8894">
        <v>6.2879749999999998E-2</v>
      </c>
      <c r="R8894">
        <v>-0.25241439999999998</v>
      </c>
      <c r="S8894">
        <v>2.8226930000000001</v>
      </c>
      <c r="T8894">
        <v>-0.54340859999999902</v>
      </c>
      <c r="U8894">
        <v>-1.2250669999999999</v>
      </c>
      <c r="V8894">
        <v>0.16007449999999901</v>
      </c>
      <c r="W8894">
        <v>7.5207019999999999E-2</v>
      </c>
      <c r="X8894">
        <v>0.98423579999999999</v>
      </c>
      <c r="Y8894">
        <v>0.30616680000000002</v>
      </c>
      <c r="Z8894">
        <v>-1.0761039999999999E-2</v>
      </c>
      <c r="AA8894">
        <v>0.95191709999999996</v>
      </c>
      <c r="AB8894">
        <v>24</v>
      </c>
      <c r="AC8894">
        <v>5.8886999999999698</v>
      </c>
      <c r="AD8894">
        <v>-1.158895</v>
      </c>
      <c r="AE8894">
        <v>-2.59885999999999</v>
      </c>
      <c r="AF8894">
        <v>1.9654310595358</v>
      </c>
      <c r="AG8894">
        <v>-1.158895</v>
      </c>
      <c r="AH8894">
        <v>5.91667564338817</v>
      </c>
      <c r="AI8894">
        <v>100.530064689951</v>
      </c>
      <c r="AJ8894">
        <v>71.624285347167302</v>
      </c>
      <c r="AK8894">
        <v>6.3413726857736297</v>
      </c>
      <c r="AL8894">
        <v>85.686882839668996</v>
      </c>
      <c r="AM8894">
        <v>80.762390223861999</v>
      </c>
      <c r="AN8894">
        <v>1.00000002570458</v>
      </c>
    </row>
    <row r="8895" spans="1:40" x14ac:dyDescent="0.25">
      <c r="A8895" t="str">
        <f>"20190312150900069"</f>
        <v>20190312150900069</v>
      </c>
      <c r="B8895" t="str">
        <f>"1552374540058252"</f>
        <v>1552374540058252</v>
      </c>
      <c r="C8895" t="s">
        <v>40</v>
      </c>
      <c r="D8895">
        <v>4.9857690000000003</v>
      </c>
      <c r="E8895">
        <v>0.55922839999999996</v>
      </c>
      <c r="F8895" t="s">
        <v>43</v>
      </c>
      <c r="G8895">
        <v>-317.78210000000001</v>
      </c>
      <c r="H8895">
        <v>-0.05</v>
      </c>
      <c r="I8895">
        <v>12.950620000000001</v>
      </c>
      <c r="J8895">
        <v>-323.6635</v>
      </c>
      <c r="K8895">
        <v>1.108897</v>
      </c>
      <c r="L8895">
        <v>15.55261</v>
      </c>
      <c r="M8895">
        <v>0.99530399999999997</v>
      </c>
      <c r="N8895">
        <v>0</v>
      </c>
      <c r="O8895">
        <v>-9.5900689999999997E-2</v>
      </c>
      <c r="P8895">
        <v>0.96518519999999997</v>
      </c>
      <c r="Q8895">
        <v>6.2818260000000001E-2</v>
      </c>
      <c r="R8895">
        <v>-0.25391279999999999</v>
      </c>
      <c r="S8895">
        <v>2.8209840000000002</v>
      </c>
      <c r="T8895">
        <v>-0.54518679999999997</v>
      </c>
      <c r="U8895">
        <v>-1.2298279999999999</v>
      </c>
      <c r="V8895">
        <v>0.16046659999999999</v>
      </c>
      <c r="W8895">
        <v>7.5144749999999996E-2</v>
      </c>
      <c r="X8895">
        <v>0.98417670000000002</v>
      </c>
      <c r="Y8895">
        <v>0.30662099999999998</v>
      </c>
      <c r="Z8895">
        <v>-1.0632539999999999E-2</v>
      </c>
      <c r="AA8895">
        <v>0.95177230000000002</v>
      </c>
      <c r="AB8895">
        <v>24</v>
      </c>
      <c r="AC8895">
        <v>5.8813999999999798</v>
      </c>
      <c r="AD8895">
        <v>-1.1588969999999901</v>
      </c>
      <c r="AE8895">
        <v>-2.6019899999999998</v>
      </c>
      <c r="AF8895">
        <v>1.9622012525700301</v>
      </c>
      <c r="AG8895">
        <v>-1.1588969999999901</v>
      </c>
      <c r="AH8895">
        <v>5.9118767460483301</v>
      </c>
      <c r="AI8895">
        <v>100.53929124201299</v>
      </c>
      <c r="AJ8895">
        <v>71.638563572265895</v>
      </c>
      <c r="AK8895">
        <v>6.33589478074434</v>
      </c>
      <c r="AL8895">
        <v>85.690460747630993</v>
      </c>
      <c r="AM8895">
        <v>80.739607909085905</v>
      </c>
      <c r="AN8895">
        <v>1.0000000199954999</v>
      </c>
    </row>
    <row r="8896" spans="1:40" x14ac:dyDescent="0.25">
      <c r="A8896" t="str">
        <f>"20190312150900080"</f>
        <v>20190312150900080</v>
      </c>
      <c r="B8896" t="str">
        <f>"1552374540068012"</f>
        <v>1552374540068012</v>
      </c>
      <c r="C8896" t="s">
        <v>40</v>
      </c>
      <c r="D8896">
        <v>5.020575</v>
      </c>
      <c r="E8896">
        <v>0.55920170000000002</v>
      </c>
      <c r="F8896" t="s">
        <v>43</v>
      </c>
      <c r="G8896">
        <v>-317.64929999999998</v>
      </c>
      <c r="H8896">
        <v>-0.05</v>
      </c>
      <c r="I8896">
        <v>12.92079</v>
      </c>
      <c r="J8896">
        <v>-323.53969999999998</v>
      </c>
      <c r="K8896">
        <v>1.1088979999999999</v>
      </c>
      <c r="L8896">
        <v>15.53937</v>
      </c>
      <c r="M8896">
        <v>0.99518439999999997</v>
      </c>
      <c r="N8896">
        <v>0</v>
      </c>
      <c r="O8896">
        <v>-9.7133670000000005E-2</v>
      </c>
      <c r="P8896">
        <v>0.96477310000000005</v>
      </c>
      <c r="Q8896">
        <v>6.2706899999999996E-2</v>
      </c>
      <c r="R8896">
        <v>-0.2555019</v>
      </c>
      <c r="S8896">
        <v>2.8190309999999998</v>
      </c>
      <c r="T8896">
        <v>-0.54320440000000003</v>
      </c>
      <c r="U8896">
        <v>-1.2336119999999999</v>
      </c>
      <c r="V8896">
        <v>0.1608666</v>
      </c>
      <c r="W8896">
        <v>7.5032520000000005E-2</v>
      </c>
      <c r="X8896">
        <v>0.98411999999999999</v>
      </c>
      <c r="Y8896">
        <v>0.3067955</v>
      </c>
      <c r="Z8896">
        <v>-1.039234E-2</v>
      </c>
      <c r="AA8896">
        <v>0.95171870000000003</v>
      </c>
      <c r="AB8896">
        <v>24</v>
      </c>
      <c r="AC8896">
        <v>5.8903999999999996</v>
      </c>
      <c r="AD8896">
        <v>-1.158898</v>
      </c>
      <c r="AE8896">
        <v>-2.6185800000000001</v>
      </c>
      <c r="AF8896">
        <v>1.97030818266768</v>
      </c>
      <c r="AG8896">
        <v>-1.158898</v>
      </c>
      <c r="AH8896">
        <v>5.9254029755150501</v>
      </c>
      <c r="AI8896">
        <v>100.513900978468</v>
      </c>
      <c r="AJ8896">
        <v>71.607061250914199</v>
      </c>
      <c r="AK8896">
        <v>6.3510282105603899</v>
      </c>
      <c r="AL8896">
        <v>85.696909422686801</v>
      </c>
      <c r="AM8896">
        <v>80.716400085830898</v>
      </c>
      <c r="AN8896">
        <v>1.00000005822655</v>
      </c>
    </row>
    <row r="8897" spans="1:40" x14ac:dyDescent="0.25">
      <c r="A8897" t="str">
        <f>"20190312150900092"</f>
        <v>20190312150900092</v>
      </c>
      <c r="B8897" t="str">
        <f>"1552374540088508"</f>
        <v>1552374540088508</v>
      </c>
      <c r="C8897" t="s">
        <v>40</v>
      </c>
      <c r="D8897">
        <v>4.9902839999999999</v>
      </c>
      <c r="E8897">
        <v>0.55918159999999995</v>
      </c>
      <c r="F8897" t="s">
        <v>43</v>
      </c>
      <c r="G8897">
        <v>-317.50740000000002</v>
      </c>
      <c r="H8897">
        <v>-0.05</v>
      </c>
      <c r="I8897">
        <v>12.887420000000001</v>
      </c>
      <c r="J8897">
        <v>-323.4239</v>
      </c>
      <c r="K8897">
        <v>1.1088979999999999</v>
      </c>
      <c r="L8897">
        <v>15.526730000000001</v>
      </c>
      <c r="M8897">
        <v>0.99507129999999999</v>
      </c>
      <c r="N8897">
        <v>0</v>
      </c>
      <c r="O8897">
        <v>-9.8286440000000003E-2</v>
      </c>
      <c r="P8897">
        <v>0.96439790000000003</v>
      </c>
      <c r="Q8897">
        <v>6.2510070000000001E-2</v>
      </c>
      <c r="R8897">
        <v>-0.25696190000000002</v>
      </c>
      <c r="S8897">
        <v>2.8168030000000002</v>
      </c>
      <c r="T8897">
        <v>-0.54115259999999998</v>
      </c>
      <c r="U8897">
        <v>-1.2383420000000001</v>
      </c>
      <c r="V8897">
        <v>0.16121429999999901</v>
      </c>
      <c r="W8897">
        <v>7.4835199999999893E-2</v>
      </c>
      <c r="X8897">
        <v>0.98407800000000001</v>
      </c>
      <c r="Y8897">
        <v>0.30734230000000001</v>
      </c>
      <c r="Z8897">
        <v>-1.0200860000000001E-2</v>
      </c>
      <c r="AA8897">
        <v>0.95154430000000001</v>
      </c>
      <c r="AB8897">
        <v>24</v>
      </c>
      <c r="AC8897">
        <v>5.9164999999999797</v>
      </c>
      <c r="AD8897">
        <v>-1.158898</v>
      </c>
      <c r="AE8897">
        <v>-2.6393099999999898</v>
      </c>
      <c r="AF8897">
        <v>1.98155802052008</v>
      </c>
      <c r="AG8897">
        <v>-1.158898</v>
      </c>
      <c r="AH8897">
        <v>5.9566692903262304</v>
      </c>
      <c r="AI8897">
        <v>100.45949633191699</v>
      </c>
      <c r="AJ8897">
        <v>71.599671916957902</v>
      </c>
      <c r="AK8897">
        <v>6.38369217595955</v>
      </c>
      <c r="AL8897">
        <v>85.7082463658584</v>
      </c>
      <c r="AM8897">
        <v>80.696294693299194</v>
      </c>
      <c r="AN8897">
        <v>0.99999993388376196</v>
      </c>
    </row>
    <row r="8898" spans="1:40" x14ac:dyDescent="0.25">
      <c r="A8898" t="str">
        <f>"20190312150900103"</f>
        <v>20190312150900103</v>
      </c>
      <c r="B8898" t="str">
        <f>"1552374540098268"</f>
        <v>1552374540098268</v>
      </c>
      <c r="C8898" t="s">
        <v>40</v>
      </c>
      <c r="D8898">
        <v>4.9352999999999998</v>
      </c>
      <c r="E8898">
        <v>0.55918880000000004</v>
      </c>
      <c r="F8898" t="s">
        <v>43</v>
      </c>
      <c r="G8898">
        <v>-317.38159999999999</v>
      </c>
      <c r="H8898">
        <v>-0.05</v>
      </c>
      <c r="I8898">
        <v>12.85867</v>
      </c>
      <c r="J8898">
        <v>-323.30680000000001</v>
      </c>
      <c r="K8898">
        <v>1.1089020000000001</v>
      </c>
      <c r="L8898">
        <v>15.513949999999999</v>
      </c>
      <c r="M8898">
        <v>0.99495549999999999</v>
      </c>
      <c r="N8898">
        <v>0</v>
      </c>
      <c r="O8898">
        <v>-9.9450540000000004E-2</v>
      </c>
      <c r="P8898">
        <v>0.9640263</v>
      </c>
      <c r="Q8898">
        <v>6.2307420000000002E-2</v>
      </c>
      <c r="R8898">
        <v>-0.25840190000000002</v>
      </c>
      <c r="S8898">
        <v>2.814575</v>
      </c>
      <c r="T8898">
        <v>-0.53983349999999997</v>
      </c>
      <c r="U8898">
        <v>-1.242828</v>
      </c>
      <c r="V8898">
        <v>0.16153010000000001</v>
      </c>
      <c r="W8898">
        <v>7.4631680000000006E-2</v>
      </c>
      <c r="X8898">
        <v>0.98404179999999997</v>
      </c>
      <c r="Y8898">
        <v>0.30780200000000002</v>
      </c>
      <c r="Z8898">
        <v>-1.001402E-2</v>
      </c>
      <c r="AA8898">
        <v>0.95139770000000001</v>
      </c>
      <c r="AB8898">
        <v>24</v>
      </c>
      <c r="AC8898">
        <v>5.92520000000001</v>
      </c>
      <c r="AD8898">
        <v>-1.1589020000000001</v>
      </c>
      <c r="AE8898">
        <v>-2.6552799999999901</v>
      </c>
      <c r="AF8898">
        <v>1.98942134085043</v>
      </c>
      <c r="AG8898">
        <v>-1.1589020000000001</v>
      </c>
      <c r="AH8898">
        <v>5.9697334006347402</v>
      </c>
      <c r="AI8898">
        <v>100.43534308375</v>
      </c>
      <c r="AJ8898">
        <v>71.569282081332105</v>
      </c>
      <c r="AK8898">
        <v>6.3983254052673102</v>
      </c>
      <c r="AL8898">
        <v>85.719940455677005</v>
      </c>
      <c r="AM8898">
        <v>80.678052518469997</v>
      </c>
      <c r="AN8898">
        <v>1.00000006250643</v>
      </c>
    </row>
    <row r="8899" spans="1:40" x14ac:dyDescent="0.25">
      <c r="A8899" t="str">
        <f>"20190312150900114"</f>
        <v>20190312150900114</v>
      </c>
      <c r="B8899" t="str">
        <f>"1552374540108028"</f>
        <v>1552374540108028</v>
      </c>
      <c r="C8899" t="s">
        <v>40</v>
      </c>
      <c r="D8899">
        <v>4.9205909999999999</v>
      </c>
      <c r="E8899">
        <v>0.55925570000000002</v>
      </c>
      <c r="F8899" t="s">
        <v>43</v>
      </c>
      <c r="G8899">
        <v>-317.2817</v>
      </c>
      <c r="H8899">
        <v>-0.05</v>
      </c>
      <c r="I8899">
        <v>12.841839999999999</v>
      </c>
      <c r="J8899">
        <v>-323.1832</v>
      </c>
      <c r="K8899">
        <v>1.1089059999999999</v>
      </c>
      <c r="L8899">
        <v>15.50018</v>
      </c>
      <c r="M8899">
        <v>0.99483220000000006</v>
      </c>
      <c r="N8899">
        <v>0</v>
      </c>
      <c r="O8899">
        <v>-0.100678</v>
      </c>
      <c r="P8899">
        <v>0.96355809999999997</v>
      </c>
      <c r="Q8899">
        <v>6.1974359999999999E-2</v>
      </c>
      <c r="R8899">
        <v>-0.26022099999999998</v>
      </c>
      <c r="S8899">
        <v>2.812592</v>
      </c>
      <c r="T8899">
        <v>-0.54099259999999905</v>
      </c>
      <c r="U8899">
        <v>-1.2473749999999999</v>
      </c>
      <c r="V8899">
        <v>0.16217019999999999</v>
      </c>
      <c r="W8899">
        <v>7.4295979999999998E-2</v>
      </c>
      <c r="X8899">
        <v>0.98396189999999994</v>
      </c>
      <c r="Y8899">
        <v>0.30816189999999999</v>
      </c>
      <c r="Z8899">
        <v>-9.8510939999999995E-3</v>
      </c>
      <c r="AA8899">
        <v>0.95128290000000004</v>
      </c>
      <c r="AB8899">
        <v>24</v>
      </c>
      <c r="AC8899">
        <v>5.9014999999999898</v>
      </c>
      <c r="AD8899">
        <v>-1.158906</v>
      </c>
      <c r="AE8899">
        <v>-2.6583399999999902</v>
      </c>
      <c r="AF8899">
        <v>1.9869307273950501</v>
      </c>
      <c r="AG8899">
        <v>-1.158906</v>
      </c>
      <c r="AH8899">
        <v>5.9484716016076504</v>
      </c>
      <c r="AI8899">
        <v>100.469479608013</v>
      </c>
      <c r="AJ8899">
        <v>71.529456941576001</v>
      </c>
      <c r="AK8899">
        <v>6.3777167722810804</v>
      </c>
      <c r="AL8899">
        <v>85.739228115009098</v>
      </c>
      <c r="AM8899">
        <v>80.641017932140599</v>
      </c>
      <c r="AN8899">
        <v>1.0000000435319001</v>
      </c>
    </row>
    <row r="8900" spans="1:40" x14ac:dyDescent="0.25">
      <c r="A8900" t="str">
        <f>"20190312150900127"</f>
        <v>20190312150900127</v>
      </c>
      <c r="B8900" t="str">
        <f>"1552374540118765"</f>
        <v>1552374540118765</v>
      </c>
      <c r="C8900" t="s">
        <v>40</v>
      </c>
      <c r="D8900">
        <v>4.9789149999999998</v>
      </c>
      <c r="E8900">
        <v>0.55934110000000004</v>
      </c>
      <c r="F8900" t="s">
        <v>43</v>
      </c>
      <c r="G8900">
        <v>-317.17750000000001</v>
      </c>
      <c r="H8900">
        <v>-0.05</v>
      </c>
      <c r="I8900">
        <v>12.821820000000001</v>
      </c>
      <c r="J8900">
        <v>-323.0489</v>
      </c>
      <c r="K8900">
        <v>1.1089059999999999</v>
      </c>
      <c r="L8900">
        <v>15.485139999999999</v>
      </c>
      <c r="M8900">
        <v>0.99469629999999998</v>
      </c>
      <c r="N8900">
        <v>0</v>
      </c>
      <c r="O8900">
        <v>-0.1020122</v>
      </c>
      <c r="P8900">
        <v>0.96310110000000004</v>
      </c>
      <c r="Q8900">
        <v>6.1940149999999999E-2</v>
      </c>
      <c r="R8900">
        <v>-0.26191599999999998</v>
      </c>
      <c r="S8900">
        <v>2.8099059999999998</v>
      </c>
      <c r="T8900">
        <v>-0.54222300000000001</v>
      </c>
      <c r="U8900">
        <v>-1.2531429999999999</v>
      </c>
      <c r="V8900">
        <v>0.16258120000000001</v>
      </c>
      <c r="W8900">
        <v>7.4259829999999999E-2</v>
      </c>
      <c r="X8900">
        <v>0.98389680000000002</v>
      </c>
      <c r="Y8900">
        <v>0.30884800000000001</v>
      </c>
      <c r="Z8900">
        <v>-9.7006390000000005E-3</v>
      </c>
      <c r="AA8900">
        <v>0.95106199999999996</v>
      </c>
      <c r="AB8900">
        <v>24</v>
      </c>
      <c r="AC8900">
        <v>5.8713999999999897</v>
      </c>
      <c r="AD8900">
        <v>-1.158906</v>
      </c>
      <c r="AE8900">
        <v>-2.6633200000000001</v>
      </c>
      <c r="AF8900">
        <v>1.9862396666153499</v>
      </c>
      <c r="AG8900">
        <v>-1.158906</v>
      </c>
      <c r="AH8900">
        <v>5.9211598597994799</v>
      </c>
      <c r="AI8900">
        <v>100.512289426774</v>
      </c>
      <c r="AJ8900">
        <v>71.456088736363199</v>
      </c>
      <c r="AK8900">
        <v>6.3520347303342799</v>
      </c>
      <c r="AL8900">
        <v>85.741305084024106</v>
      </c>
      <c r="AM8900">
        <v>80.617110251112706</v>
      </c>
      <c r="AN8900">
        <v>1.0000000409976499</v>
      </c>
    </row>
    <row r="8901" spans="1:40" x14ac:dyDescent="0.25">
      <c r="A8901" t="str">
        <f>"20190312150900139"</f>
        <v>20190312150900139</v>
      </c>
      <c r="B8901" t="str">
        <f>"1552374540128524"</f>
        <v>1552374540128524</v>
      </c>
      <c r="C8901" t="s">
        <v>40</v>
      </c>
      <c r="D8901">
        <v>4.9880769999999997</v>
      </c>
      <c r="E8901">
        <v>0.55942000000000003</v>
      </c>
      <c r="F8901" t="s">
        <v>43</v>
      </c>
      <c r="G8901">
        <v>-317.02690000000001</v>
      </c>
      <c r="H8901">
        <v>-0.05</v>
      </c>
      <c r="I8901">
        <v>12.784420000000001</v>
      </c>
      <c r="J8901">
        <v>-322.91030000000001</v>
      </c>
      <c r="K8901">
        <v>1.108905</v>
      </c>
      <c r="L8901">
        <v>15.469390000000001</v>
      </c>
      <c r="M8901">
        <v>0.99455420000000005</v>
      </c>
      <c r="N8901">
        <v>0</v>
      </c>
      <c r="O8901">
        <v>-0.10338840000000001</v>
      </c>
      <c r="P8901">
        <v>0.96255769999999996</v>
      </c>
      <c r="Q8901">
        <v>6.1641990000000001E-2</v>
      </c>
      <c r="R8901">
        <v>-0.2639764</v>
      </c>
      <c r="S8901">
        <v>2.8072810000000001</v>
      </c>
      <c r="T8901">
        <v>-0.54024779999999994</v>
      </c>
      <c r="U8901">
        <v>-1.2590030000000001</v>
      </c>
      <c r="V8901">
        <v>0.1633223</v>
      </c>
      <c r="W8901">
        <v>7.3958339999999997E-2</v>
      </c>
      <c r="X8901">
        <v>0.98379669999999997</v>
      </c>
      <c r="Y8901">
        <v>0.30954949999999998</v>
      </c>
      <c r="Z8901">
        <v>-9.4875189999999998E-3</v>
      </c>
      <c r="AA8901">
        <v>0.95083600000000001</v>
      </c>
      <c r="AB8901">
        <v>24</v>
      </c>
      <c r="AC8901">
        <v>5.8833999999999902</v>
      </c>
      <c r="AD8901">
        <v>-1.1589049999999901</v>
      </c>
      <c r="AE8901">
        <v>-2.6849699999999999</v>
      </c>
      <c r="AF8901">
        <v>1.99808723237732</v>
      </c>
      <c r="AG8901">
        <v>-1.1589049999999901</v>
      </c>
      <c r="AH8901">
        <v>5.9387748757367804</v>
      </c>
      <c r="AI8901">
        <v>100.47869851059301</v>
      </c>
      <c r="AJ8901">
        <v>71.404604710285795</v>
      </c>
      <c r="AK8901">
        <v>6.3721629304261098</v>
      </c>
      <c r="AL8901">
        <v>85.758626554002802</v>
      </c>
      <c r="AM8901">
        <v>80.574163795427793</v>
      </c>
      <c r="AN8901">
        <v>0.99999997833186705</v>
      </c>
    </row>
    <row r="8902" spans="1:40" x14ac:dyDescent="0.25">
      <c r="A8902" t="str">
        <f>"20190312150900150"</f>
        <v>20190312150900150</v>
      </c>
      <c r="B8902" t="str">
        <f>"1552374540148044"</f>
        <v>1552374540148044</v>
      </c>
      <c r="C8902" t="s">
        <v>40</v>
      </c>
      <c r="D8902">
        <v>4.3998999999999997</v>
      </c>
      <c r="E8902">
        <v>0.55942259999999999</v>
      </c>
      <c r="F8902" t="s">
        <v>43</v>
      </c>
      <c r="G8902">
        <v>-316.91770000000002</v>
      </c>
      <c r="H8902">
        <v>-0.05</v>
      </c>
      <c r="I8902">
        <v>12.764659999999999</v>
      </c>
      <c r="J8902">
        <v>-322.79059999999998</v>
      </c>
      <c r="K8902">
        <v>1.1089059999999999</v>
      </c>
      <c r="L8902">
        <v>15.4556</v>
      </c>
      <c r="M8902">
        <v>0.99442980000000003</v>
      </c>
      <c r="N8902">
        <v>0</v>
      </c>
      <c r="O8902">
        <v>-0.1045779</v>
      </c>
      <c r="P8902">
        <v>0.96206930000000002</v>
      </c>
      <c r="Q8902">
        <v>6.152171E-2</v>
      </c>
      <c r="R8902">
        <v>-0.26577790000000001</v>
      </c>
      <c r="S8902">
        <v>2.8043209999999998</v>
      </c>
      <c r="T8902">
        <v>-0.54232449999999999</v>
      </c>
      <c r="U8902">
        <v>-1.265717</v>
      </c>
      <c r="V8902">
        <v>0.163986299999999</v>
      </c>
      <c r="W8902">
        <v>7.3834230000000001E-2</v>
      </c>
      <c r="X8902">
        <v>0.9836956</v>
      </c>
      <c r="Y8902">
        <v>0.3106564</v>
      </c>
      <c r="Z8902">
        <v>-9.4155479999999993E-3</v>
      </c>
      <c r="AA8902">
        <v>0.95047559999999998</v>
      </c>
      <c r="AB8902">
        <v>24</v>
      </c>
      <c r="AC8902">
        <v>5.8728999999999596</v>
      </c>
      <c r="AD8902">
        <v>-1.158906</v>
      </c>
      <c r="AE8902">
        <v>-2.6909399999999901</v>
      </c>
      <c r="AF8902">
        <v>1.9976628604297699</v>
      </c>
      <c r="AG8902">
        <v>-1.158906</v>
      </c>
      <c r="AH8902">
        <v>5.9312437020952897</v>
      </c>
      <c r="AI8902">
        <v>100.490614254381</v>
      </c>
      <c r="AJ8902">
        <v>71.386301286455307</v>
      </c>
      <c r="AK8902">
        <v>6.36501153765031</v>
      </c>
      <c r="AL8902">
        <v>85.765757191670303</v>
      </c>
      <c r="AM8902">
        <v>80.535579080036001</v>
      </c>
      <c r="AN8902">
        <v>1.00000001678337</v>
      </c>
    </row>
    <row r="8903" spans="1:40" x14ac:dyDescent="0.25">
      <c r="A8903" t="str">
        <f>"20190312150900162"</f>
        <v>20190312150900162</v>
      </c>
      <c r="B8903" t="str">
        <f>"1552374540158780"</f>
        <v>1552374540158780</v>
      </c>
      <c r="C8903" t="s">
        <v>40</v>
      </c>
      <c r="D8903">
        <v>4.9848480000000004</v>
      </c>
      <c r="E8903">
        <v>0.55958379999999996</v>
      </c>
      <c r="F8903" t="s">
        <v>43</v>
      </c>
      <c r="G8903">
        <v>-316.79379999999998</v>
      </c>
      <c r="H8903">
        <v>-0.05</v>
      </c>
      <c r="I8903">
        <v>12.73532</v>
      </c>
      <c r="J8903">
        <v>-322.66379999999998</v>
      </c>
      <c r="K8903">
        <v>1.1089059999999999</v>
      </c>
      <c r="L8903">
        <v>15.44092</v>
      </c>
      <c r="M8903">
        <v>0.99429659999999997</v>
      </c>
      <c r="N8903">
        <v>0</v>
      </c>
      <c r="O8903">
        <v>-0.10583679999999999</v>
      </c>
      <c r="P8903">
        <v>0.96151350000000002</v>
      </c>
      <c r="Q8903">
        <v>6.1611340000000001E-2</v>
      </c>
      <c r="R8903">
        <v>-0.26776090000000002</v>
      </c>
      <c r="S8903">
        <v>2.8018190000000001</v>
      </c>
      <c r="T8903">
        <v>-0.54146559999999999</v>
      </c>
      <c r="U8903">
        <v>-1.270966</v>
      </c>
      <c r="V8903">
        <v>0.16477059999999999</v>
      </c>
      <c r="W8903">
        <v>7.3919830000000006E-2</v>
      </c>
      <c r="X8903">
        <v>0.98355809999999999</v>
      </c>
      <c r="Y8903">
        <v>0.3112684</v>
      </c>
      <c r="Z8903">
        <v>-9.2348740000000006E-3</v>
      </c>
      <c r="AA8903">
        <v>0.95027709999999999</v>
      </c>
      <c r="AB8903">
        <v>24</v>
      </c>
      <c r="AC8903">
        <v>5.87</v>
      </c>
      <c r="AD8903">
        <v>-1.158906</v>
      </c>
      <c r="AE8903">
        <v>-2.7056</v>
      </c>
      <c r="AF8903">
        <v>2.00464000992576</v>
      </c>
      <c r="AG8903">
        <v>-1.158906</v>
      </c>
      <c r="AH8903">
        <v>5.9326770943360803</v>
      </c>
      <c r="AI8903">
        <v>100.484736136731</v>
      </c>
      <c r="AJ8903">
        <v>71.329989395200101</v>
      </c>
      <c r="AK8903">
        <v>6.3685400361378797</v>
      </c>
      <c r="AL8903">
        <v>85.760839222119898</v>
      </c>
      <c r="AM8903">
        <v>80.489833083670007</v>
      </c>
      <c r="AN8903">
        <v>1.0000000139835901</v>
      </c>
    </row>
    <row r="8904" spans="1:40" x14ac:dyDescent="0.25">
      <c r="A8904" t="str">
        <f>"20190312150900178"</f>
        <v>20190312150900178</v>
      </c>
      <c r="B8904" t="str">
        <f>"1552374540168540"</f>
        <v>1552374540168540</v>
      </c>
      <c r="C8904" t="s">
        <v>40</v>
      </c>
      <c r="D8904">
        <v>4.9974360000000004</v>
      </c>
      <c r="E8904">
        <v>0.56035230000000003</v>
      </c>
      <c r="F8904" t="s">
        <v>43</v>
      </c>
      <c r="G8904">
        <v>-316.5446</v>
      </c>
      <c r="H8904">
        <v>-0.05</v>
      </c>
      <c r="I8904">
        <v>12.646240000000001</v>
      </c>
      <c r="J8904">
        <v>-322.49939999999998</v>
      </c>
      <c r="K8904">
        <v>1.1089039999999999</v>
      </c>
      <c r="L8904">
        <v>15.42151</v>
      </c>
      <c r="M8904">
        <v>0.99412140000000004</v>
      </c>
      <c r="N8904">
        <v>0</v>
      </c>
      <c r="O8904">
        <v>-0.1074691</v>
      </c>
      <c r="P8904">
        <v>0.96079440000000005</v>
      </c>
      <c r="Q8904">
        <v>6.1223340000000001E-2</v>
      </c>
      <c r="R8904">
        <v>-0.2704183</v>
      </c>
      <c r="S8904">
        <v>2.7981259999999999</v>
      </c>
      <c r="T8904">
        <v>-0.52993459999999903</v>
      </c>
      <c r="U8904">
        <v>-1.2779240000000001</v>
      </c>
      <c r="V8904">
        <v>0.16587109999999999</v>
      </c>
      <c r="W8904">
        <v>7.3527990000000001E-2</v>
      </c>
      <c r="X8904">
        <v>0.98340249999999996</v>
      </c>
      <c r="Y8904">
        <v>0.31227529999999998</v>
      </c>
      <c r="Z8904">
        <v>-8.8506880000000007E-3</v>
      </c>
      <c r="AA8904">
        <v>0.94995050000000003</v>
      </c>
      <c r="AB8904">
        <v>24</v>
      </c>
      <c r="AC8904">
        <v>5.9547999999999703</v>
      </c>
      <c r="AD8904">
        <v>-1.1589039999999999</v>
      </c>
      <c r="AE8904">
        <v>-2.7752699999999999</v>
      </c>
      <c r="AF8904">
        <v>2.0552293780786299</v>
      </c>
      <c r="AG8904">
        <v>-1.1589039999999999</v>
      </c>
      <c r="AH8904">
        <v>6.0309245104019098</v>
      </c>
      <c r="AI8904">
        <v>100.308758064578</v>
      </c>
      <c r="AJ8904">
        <v>71.181823530760099</v>
      </c>
      <c r="AK8904">
        <v>6.4760386601610103</v>
      </c>
      <c r="AL8904">
        <v>85.783351338832006</v>
      </c>
      <c r="AM8904">
        <v>80.425999879421397</v>
      </c>
      <c r="AN8904">
        <v>1.00000003206744</v>
      </c>
    </row>
    <row r="8905" spans="1:40" x14ac:dyDescent="0.25">
      <c r="A8905" t="str">
        <f>"20190312150900190"</f>
        <v>20190312150900190</v>
      </c>
      <c r="B8905" t="str">
        <f>"1552374540178301"</f>
        <v>1552374540178301</v>
      </c>
      <c r="C8905" t="s">
        <v>40</v>
      </c>
      <c r="D8905">
        <v>5.1018019999999904</v>
      </c>
      <c r="E8905">
        <v>0.5610079</v>
      </c>
      <c r="F8905" t="s">
        <v>43</v>
      </c>
      <c r="G8905">
        <v>-316.36410000000001</v>
      </c>
      <c r="H8905">
        <v>-0.05</v>
      </c>
      <c r="I8905">
        <v>12.58405</v>
      </c>
      <c r="J8905">
        <v>-322.37490000000003</v>
      </c>
      <c r="K8905">
        <v>1.108905</v>
      </c>
      <c r="L8905">
        <v>15.40671</v>
      </c>
      <c r="M8905">
        <v>0.99398699999999995</v>
      </c>
      <c r="N8905">
        <v>0</v>
      </c>
      <c r="O8905">
        <v>-0.1087055</v>
      </c>
      <c r="P8905">
        <v>0.96031829999999996</v>
      </c>
      <c r="Q8905">
        <v>6.1196309999999997E-2</v>
      </c>
      <c r="R8905">
        <v>-0.27211020000000002</v>
      </c>
      <c r="S8905">
        <v>2.7925420000000001</v>
      </c>
      <c r="T8905">
        <v>-0.52748759999999995</v>
      </c>
      <c r="U8905">
        <v>-1.291504</v>
      </c>
      <c r="V8905">
        <v>0.1663801</v>
      </c>
      <c r="W8905">
        <v>7.3501349999999993E-2</v>
      </c>
      <c r="X8905">
        <v>0.98331840000000004</v>
      </c>
      <c r="Y8905">
        <v>0.3156176</v>
      </c>
      <c r="Z8905">
        <v>-8.9002179999999997E-3</v>
      </c>
      <c r="AA8905">
        <v>0.94884469999999999</v>
      </c>
      <c r="AB8905">
        <v>24</v>
      </c>
      <c r="AC8905">
        <v>6.0108000000000104</v>
      </c>
      <c r="AD8905">
        <v>-1.1589049999999901</v>
      </c>
      <c r="AE8905">
        <v>-2.8226599999999999</v>
      </c>
      <c r="AF8905">
        <v>2.0888467269863402</v>
      </c>
      <c r="AG8905">
        <v>-1.1589049999999901</v>
      </c>
      <c r="AH8905">
        <v>6.0963628341935303</v>
      </c>
      <c r="AI8905">
        <v>100.194777194417</v>
      </c>
      <c r="AJ8905">
        <v>71.086581843845707</v>
      </c>
      <c r="AK8905">
        <v>6.5476699102812601</v>
      </c>
      <c r="AL8905">
        <v>85.784881412697402</v>
      </c>
      <c r="AM8905">
        <v>80.396360923968999</v>
      </c>
      <c r="AN8905">
        <v>0.99999993095319395</v>
      </c>
    </row>
    <row r="8906" spans="1:40" x14ac:dyDescent="0.25">
      <c r="A8906" t="str">
        <f>"20190312150900199"</f>
        <v>20190312150900199</v>
      </c>
      <c r="B8906" t="str">
        <f>"1552374540188061"</f>
        <v>1552374540188061</v>
      </c>
      <c r="C8906" t="s">
        <v>40</v>
      </c>
      <c r="D8906">
        <v>4.9665010000000001</v>
      </c>
      <c r="E8906">
        <v>0.56159289999999995</v>
      </c>
      <c r="F8906" t="s">
        <v>43</v>
      </c>
      <c r="G8906">
        <v>-316.17759999999998</v>
      </c>
      <c r="H8906">
        <v>-0.05</v>
      </c>
      <c r="I8906">
        <v>12.51408</v>
      </c>
      <c r="J8906">
        <v>-322.26670000000001</v>
      </c>
      <c r="K8906">
        <v>1.10891299999999</v>
      </c>
      <c r="L8906">
        <v>15.3936799999999</v>
      </c>
      <c r="M8906">
        <v>0.9938688</v>
      </c>
      <c r="N8906">
        <v>0</v>
      </c>
      <c r="O8906">
        <v>-0.10978</v>
      </c>
      <c r="P8906">
        <v>0.95992259999999996</v>
      </c>
      <c r="Q8906">
        <v>6.0911939999999998E-2</v>
      </c>
      <c r="R8906">
        <v>-0.27356659999999999</v>
      </c>
      <c r="S8906">
        <v>2.7884220000000002</v>
      </c>
      <c r="T8906">
        <v>-0.52144060000000003</v>
      </c>
      <c r="U8906">
        <v>-1.3015139999999901</v>
      </c>
      <c r="V8906">
        <v>0.1668055</v>
      </c>
      <c r="W8906">
        <v>7.3218870000000005E-2</v>
      </c>
      <c r="X8906">
        <v>0.98326749999999996</v>
      </c>
      <c r="Y8906">
        <v>0.31797419999999998</v>
      </c>
      <c r="Z8906">
        <v>-8.8274800000000004E-3</v>
      </c>
      <c r="AA8906">
        <v>0.94805819999999996</v>
      </c>
      <c r="AB8906">
        <v>24</v>
      </c>
      <c r="AC8906">
        <v>6.0891000000000197</v>
      </c>
      <c r="AD8906">
        <v>-1.1589130000000001</v>
      </c>
      <c r="AE8906">
        <v>-2.8795999999999902</v>
      </c>
      <c r="AF8906">
        <v>2.1306003218163698</v>
      </c>
      <c r="AG8906">
        <v>-1.1589130000000001</v>
      </c>
      <c r="AH8906">
        <v>6.1853340650167699</v>
      </c>
      <c r="AI8906">
        <v>100.04570175252501</v>
      </c>
      <c r="AJ8906">
        <v>70.993217826717299</v>
      </c>
      <c r="AK8906">
        <v>6.6438614200440602</v>
      </c>
      <c r="AL8906">
        <v>85.801110458135994</v>
      </c>
      <c r="AM8906">
        <v>80.371776357777406</v>
      </c>
      <c r="AN8906">
        <v>1.00000002715528</v>
      </c>
    </row>
    <row r="8907" spans="1:40" x14ac:dyDescent="0.25">
      <c r="A8907" t="str">
        <f>"20190312150900211"</f>
        <v>20190312150900211</v>
      </c>
      <c r="B8907" t="str">
        <f>"1552374540208556"</f>
        <v>1552374540208556</v>
      </c>
      <c r="C8907" t="s">
        <v>40</v>
      </c>
      <c r="D8907">
        <v>4.9190569999999996</v>
      </c>
      <c r="E8907">
        <v>0.56283680000000003</v>
      </c>
      <c r="F8907" t="s">
        <v>43</v>
      </c>
      <c r="G8907">
        <v>-316.01319999999998</v>
      </c>
      <c r="H8907">
        <v>-0.05</v>
      </c>
      <c r="I8907">
        <v>12.451280000000001</v>
      </c>
      <c r="J8907">
        <v>-322.14780000000002</v>
      </c>
      <c r="K8907">
        <v>1.1089169999999999</v>
      </c>
      <c r="L8907">
        <v>15.379239999999999</v>
      </c>
      <c r="M8907">
        <v>0.9937378</v>
      </c>
      <c r="N8907">
        <v>0</v>
      </c>
      <c r="O8907">
        <v>-0.1109608</v>
      </c>
      <c r="P8907">
        <v>0.95940429999999999</v>
      </c>
      <c r="Q8907">
        <v>6.1064599999999997E-2</v>
      </c>
      <c r="R8907">
        <v>-0.27534509999999901</v>
      </c>
      <c r="S8907">
        <v>2.7846069999999998</v>
      </c>
      <c r="T8907">
        <v>-0.51604910000000004</v>
      </c>
      <c r="U8907">
        <v>-1.310211</v>
      </c>
      <c r="V8907">
        <v>0.1674612</v>
      </c>
      <c r="W8907">
        <v>7.3372480000000004E-2</v>
      </c>
      <c r="X8907">
        <v>0.98314460000000004</v>
      </c>
      <c r="Y8907">
        <v>0.319822099999999</v>
      </c>
      <c r="Z8907">
        <v>-8.7021979999999995E-3</v>
      </c>
      <c r="AA8907">
        <v>0.94743759999999999</v>
      </c>
      <c r="AB8907">
        <v>24</v>
      </c>
      <c r="AC8907">
        <v>6.13460000000003</v>
      </c>
      <c r="AD8907">
        <v>-1.158917</v>
      </c>
      <c r="AE8907">
        <v>-2.9279599999999899</v>
      </c>
      <c r="AF8907">
        <v>2.1661530169145502</v>
      </c>
      <c r="AG8907">
        <v>-1.158917</v>
      </c>
      <c r="AH8907">
        <v>6.2402412350886003</v>
      </c>
      <c r="AI8907">
        <v>99.951087017905706</v>
      </c>
      <c r="AJ8907">
        <v>70.856757755667601</v>
      </c>
      <c r="AK8907">
        <v>6.7064087392342202</v>
      </c>
      <c r="AL8907">
        <v>85.792285568522402</v>
      </c>
      <c r="AM8907">
        <v>80.333455680637996</v>
      </c>
      <c r="AN8907">
        <v>1.00000003941797</v>
      </c>
    </row>
    <row r="8908" spans="1:40" x14ac:dyDescent="0.25">
      <c r="A8908" t="str">
        <f>"20190312150900222"</f>
        <v>20190312150900222</v>
      </c>
      <c r="B8908" t="str">
        <f>"1552374540218317"</f>
        <v>1552374540218317</v>
      </c>
      <c r="C8908" t="s">
        <v>40</v>
      </c>
      <c r="D8908">
        <v>5.1060270000000001</v>
      </c>
      <c r="E8908">
        <v>0.56334709999999999</v>
      </c>
      <c r="F8908" t="s">
        <v>43</v>
      </c>
      <c r="G8908">
        <v>-315.83080000000001</v>
      </c>
      <c r="H8908">
        <v>-0.05</v>
      </c>
      <c r="I8908">
        <v>12.367369999999999</v>
      </c>
      <c r="J8908">
        <v>-322.02460000000002</v>
      </c>
      <c r="K8908">
        <v>1.1089209999999901</v>
      </c>
      <c r="L8908">
        <v>15.364140000000001</v>
      </c>
      <c r="M8908">
        <v>0.99360009999999999</v>
      </c>
      <c r="N8908">
        <v>0</v>
      </c>
      <c r="O8908">
        <v>-0.1121853</v>
      </c>
      <c r="P8908">
        <v>0.9588546</v>
      </c>
      <c r="Q8908">
        <v>6.1071779999999999E-2</v>
      </c>
      <c r="R8908">
        <v>-0.27725100000000003</v>
      </c>
      <c r="S8908">
        <v>2.7791139999999999</v>
      </c>
      <c r="T8908">
        <v>-0.50985379999999902</v>
      </c>
      <c r="U8908">
        <v>-1.325043</v>
      </c>
      <c r="V8908">
        <v>0.16820379999999999</v>
      </c>
      <c r="W8908">
        <v>7.3381039999999995E-2</v>
      </c>
      <c r="X8908">
        <v>0.98301709999999998</v>
      </c>
      <c r="Y8908">
        <v>0.32353609999999999</v>
      </c>
      <c r="Z8908">
        <v>-8.7195299999999996E-3</v>
      </c>
      <c r="AA8908">
        <v>0.94617560000000001</v>
      </c>
      <c r="AB8908">
        <v>24</v>
      </c>
      <c r="AC8908">
        <v>6.1938000000000004</v>
      </c>
      <c r="AD8908">
        <v>-1.1589210000000001</v>
      </c>
      <c r="AE8908">
        <v>-2.9967700000000002</v>
      </c>
      <c r="AF8908">
        <v>2.2199574222057001</v>
      </c>
      <c r="AG8908">
        <v>-1.1589210000000001</v>
      </c>
      <c r="AH8908">
        <v>6.3118550286550397</v>
      </c>
      <c r="AI8908">
        <v>99.826667050536699</v>
      </c>
      <c r="AJ8908">
        <v>70.622596528269497</v>
      </c>
      <c r="AK8908">
        <v>6.7904950293336501</v>
      </c>
      <c r="AL8908">
        <v>85.791793444068304</v>
      </c>
      <c r="AM8908">
        <v>80.290168587783995</v>
      </c>
      <c r="AN8908">
        <v>0.99999995712916401</v>
      </c>
    </row>
    <row r="8909" spans="1:40" x14ac:dyDescent="0.25">
      <c r="A8909" t="str">
        <f>"20190312150900233"</f>
        <v>20190312150900233</v>
      </c>
      <c r="B8909" t="str">
        <f>"1552374540228077"</f>
        <v>1552374540228077</v>
      </c>
      <c r="C8909" t="s">
        <v>40</v>
      </c>
      <c r="D8909">
        <v>4.9909549999999996</v>
      </c>
      <c r="E8909">
        <v>0.56390209999999996</v>
      </c>
      <c r="F8909" t="s">
        <v>43</v>
      </c>
      <c r="G8909">
        <v>-315.65429999999998</v>
      </c>
      <c r="H8909">
        <v>-0.05</v>
      </c>
      <c r="I8909">
        <v>12.300890000000001</v>
      </c>
      <c r="J8909">
        <v>-321.904</v>
      </c>
      <c r="K8909">
        <v>1.108919</v>
      </c>
      <c r="L8909">
        <v>15.34915</v>
      </c>
      <c r="M8909">
        <v>0.99346409999999996</v>
      </c>
      <c r="N8909">
        <v>0</v>
      </c>
      <c r="O8909">
        <v>-0.1133836</v>
      </c>
      <c r="P8909">
        <v>0.95837220000000001</v>
      </c>
      <c r="Q8909">
        <v>6.0989689999999999E-2</v>
      </c>
      <c r="R8909">
        <v>-0.27893259999999998</v>
      </c>
      <c r="S8909">
        <v>2.7750849999999998</v>
      </c>
      <c r="T8909">
        <v>-0.50486249999999999</v>
      </c>
      <c r="U8909">
        <v>-1.3344419999999999</v>
      </c>
      <c r="V8909">
        <v>0.16874159999999999</v>
      </c>
      <c r="W8909">
        <v>7.3301140000000001E-2</v>
      </c>
      <c r="X8909">
        <v>0.982931</v>
      </c>
      <c r="Y8909">
        <v>0.32557709999999901</v>
      </c>
      <c r="Z8909">
        <v>-8.6146539999999994E-3</v>
      </c>
      <c r="AA8909">
        <v>0.94547619999999999</v>
      </c>
      <c r="AB8909">
        <v>24</v>
      </c>
      <c r="AC8909">
        <v>6.2497000000000096</v>
      </c>
      <c r="AD8909">
        <v>-1.158919</v>
      </c>
      <c r="AE8909">
        <v>-3.04826</v>
      </c>
      <c r="AF8909">
        <v>2.25722279061358</v>
      </c>
      <c r="AG8909">
        <v>-1.158919</v>
      </c>
      <c r="AH8909">
        <v>6.3778772185711201</v>
      </c>
      <c r="AI8909">
        <v>99.720290552025304</v>
      </c>
      <c r="AJ8909">
        <v>70.510393784857598</v>
      </c>
      <c r="AK8909">
        <v>6.8640706428616296</v>
      </c>
      <c r="AL8909">
        <v>85.796384204853297</v>
      </c>
      <c r="AM8909">
        <v>80.258880146972899</v>
      </c>
      <c r="AN8909">
        <v>1.00000006772842</v>
      </c>
    </row>
    <row r="8910" spans="1:40" x14ac:dyDescent="0.25">
      <c r="A8910" t="str">
        <f>"20190312150900244"</f>
        <v>20190312150900244</v>
      </c>
      <c r="B8910" t="str">
        <f>"1552374540238812"</f>
        <v>1552374540238812</v>
      </c>
      <c r="C8910" t="s">
        <v>40</v>
      </c>
      <c r="D8910">
        <v>4.979565</v>
      </c>
      <c r="E8910">
        <v>0.56448089999999995</v>
      </c>
      <c r="F8910" t="s">
        <v>43</v>
      </c>
      <c r="G8910">
        <v>-315.52390000000003</v>
      </c>
      <c r="H8910">
        <v>-0.05</v>
      </c>
      <c r="I8910">
        <v>12.255649999999999</v>
      </c>
      <c r="J8910">
        <v>-321.78550000000001</v>
      </c>
      <c r="K8910">
        <v>1.1089209999999901</v>
      </c>
      <c r="L8910">
        <v>15.334379999999999</v>
      </c>
      <c r="M8910">
        <v>0.99332880000000001</v>
      </c>
      <c r="N8910">
        <v>0</v>
      </c>
      <c r="O8910">
        <v>-0.1145615</v>
      </c>
      <c r="P8910">
        <v>0.95783759999999996</v>
      </c>
      <c r="Q8910">
        <v>6.0862050000000001E-2</v>
      </c>
      <c r="R8910">
        <v>-0.28078989999999998</v>
      </c>
      <c r="S8910">
        <v>2.771271</v>
      </c>
      <c r="T8910">
        <v>-0.50338579999999999</v>
      </c>
      <c r="U8910">
        <v>-1.3436889999999999</v>
      </c>
      <c r="V8910">
        <v>0.16948079999999999</v>
      </c>
      <c r="W8910">
        <v>7.3174649999999994E-2</v>
      </c>
      <c r="X8910">
        <v>0.98281320000000005</v>
      </c>
      <c r="Y8910">
        <v>0.32752700000000001</v>
      </c>
      <c r="Z8910">
        <v>-8.5643009999999999E-3</v>
      </c>
      <c r="AA8910">
        <v>0.94480299999999995</v>
      </c>
      <c r="AB8910">
        <v>24</v>
      </c>
      <c r="AC8910">
        <v>6.2615999999999801</v>
      </c>
      <c r="AD8910">
        <v>-1.1589210000000001</v>
      </c>
      <c r="AE8910">
        <v>-3.07872999999999</v>
      </c>
      <c r="AF8910">
        <v>2.2782075454067199</v>
      </c>
      <c r="AG8910">
        <v>-1.1589210000000001</v>
      </c>
      <c r="AH8910">
        <v>6.39663903087588</v>
      </c>
      <c r="AI8910">
        <v>99.685617428352302</v>
      </c>
      <c r="AJ8910">
        <v>70.396289037324294</v>
      </c>
      <c r="AK8910">
        <v>6.88841915068428</v>
      </c>
      <c r="AL8910">
        <v>85.803650897892794</v>
      </c>
      <c r="AM8910">
        <v>80.2158804778053</v>
      </c>
      <c r="AN8910">
        <v>1.0000000285327499</v>
      </c>
    </row>
    <row r="8911" spans="1:40" x14ac:dyDescent="0.25">
      <c r="A8911" t="str">
        <f>"20190312150900256"</f>
        <v>20190312150900256</v>
      </c>
      <c r="B8911" t="str">
        <f>"1552374540248572"</f>
        <v>1552374540248572</v>
      </c>
      <c r="C8911" t="s">
        <v>40</v>
      </c>
      <c r="D8911">
        <v>4.9357540000000002</v>
      </c>
      <c r="E8911">
        <v>0.56503419999999904</v>
      </c>
      <c r="F8911" t="s">
        <v>43</v>
      </c>
      <c r="G8911">
        <v>-315.4008</v>
      </c>
      <c r="H8911">
        <v>-0.05</v>
      </c>
      <c r="I8911">
        <v>12.21106</v>
      </c>
      <c r="J8911">
        <v>-321.66329999999999</v>
      </c>
      <c r="K8911">
        <v>1.108922</v>
      </c>
      <c r="L8911">
        <v>15.318879999999901</v>
      </c>
      <c r="M8911">
        <v>0.99318779999999995</v>
      </c>
      <c r="N8911">
        <v>0</v>
      </c>
      <c r="O8911">
        <v>-0.1157764</v>
      </c>
      <c r="P8911">
        <v>0.95728860000000005</v>
      </c>
      <c r="Q8911">
        <v>6.0976610000000001E-2</v>
      </c>
      <c r="R8911">
        <v>-0.28263199999999999</v>
      </c>
      <c r="S8911">
        <v>2.7671199999999998</v>
      </c>
      <c r="T8911">
        <v>-0.50227109999999997</v>
      </c>
      <c r="U8911">
        <v>-1.3536379999999999</v>
      </c>
      <c r="V8911">
        <v>0.17017060000000001</v>
      </c>
      <c r="W8911">
        <v>7.3290679999999997E-2</v>
      </c>
      <c r="X8911">
        <v>0.98268529999999998</v>
      </c>
      <c r="Y8911">
        <v>0.32967109999999999</v>
      </c>
      <c r="Z8911">
        <v>-8.5310809999999994E-3</v>
      </c>
      <c r="AA8911">
        <v>0.94405729999999999</v>
      </c>
      <c r="AB8911">
        <v>24</v>
      </c>
      <c r="AC8911">
        <v>6.2624999999999797</v>
      </c>
      <c r="AD8911">
        <v>-1.158922</v>
      </c>
      <c r="AE8911">
        <v>-3.10781999999999</v>
      </c>
      <c r="AF8911">
        <v>2.2986402937775301</v>
      </c>
      <c r="AG8911">
        <v>-1.158922</v>
      </c>
      <c r="AH8911">
        <v>6.4042410098225497</v>
      </c>
      <c r="AI8911">
        <v>99.666021444105994</v>
      </c>
      <c r="AJ8911">
        <v>70.255683807394107</v>
      </c>
      <c r="AK8911">
        <v>6.9022569000403502</v>
      </c>
      <c r="AL8911">
        <v>85.7969847566185</v>
      </c>
      <c r="AM8911">
        <v>80.175578998287904</v>
      </c>
      <c r="AN8911">
        <v>0.99999997785765504</v>
      </c>
    </row>
    <row r="8912" spans="1:40" x14ac:dyDescent="0.25">
      <c r="A8912" t="str">
        <f>"20190312150900268"</f>
        <v>20190312150900268</v>
      </c>
      <c r="B8912" t="str">
        <f>"1552374540258332"</f>
        <v>1552374540258332</v>
      </c>
      <c r="C8912" t="s">
        <v>40</v>
      </c>
      <c r="D8912">
        <v>4.9528939999999997</v>
      </c>
      <c r="E8912">
        <v>0.56553260000000005</v>
      </c>
      <c r="F8912" t="s">
        <v>43</v>
      </c>
      <c r="G8912">
        <v>-315.2663</v>
      </c>
      <c r="H8912">
        <v>-0.05</v>
      </c>
      <c r="I8912">
        <v>12.16183</v>
      </c>
      <c r="J8912">
        <v>-321.54129999999998</v>
      </c>
      <c r="K8912">
        <v>1.10893</v>
      </c>
      <c r="L8912">
        <v>15.30331</v>
      </c>
      <c r="M8912">
        <v>0.99304559999999997</v>
      </c>
      <c r="N8912">
        <v>0</v>
      </c>
      <c r="O8912">
        <v>-0.1169898</v>
      </c>
      <c r="P8912">
        <v>0.95686470000000001</v>
      </c>
      <c r="Q8912">
        <v>6.0871990000000001E-2</v>
      </c>
      <c r="R8912">
        <v>-0.2840857</v>
      </c>
      <c r="S8912">
        <v>2.763153</v>
      </c>
      <c r="T8912">
        <v>-0.50059290000000001</v>
      </c>
      <c r="U8912">
        <v>-1.3636779999999999</v>
      </c>
      <c r="V8912">
        <v>0.17046169999999999</v>
      </c>
      <c r="W8912">
        <v>7.3188920000000005E-2</v>
      </c>
      <c r="X8912">
        <v>0.98264249999999997</v>
      </c>
      <c r="Y8912">
        <v>0.33182060000000002</v>
      </c>
      <c r="Z8912">
        <v>-8.4886739999999999E-3</v>
      </c>
      <c r="AA8912">
        <v>0.94330429999999998</v>
      </c>
      <c r="AB8912">
        <v>24</v>
      </c>
      <c r="AC8912">
        <v>6.2749999999999702</v>
      </c>
      <c r="AD8912">
        <v>-1.15893</v>
      </c>
      <c r="AE8912">
        <v>-3.1414800000000001</v>
      </c>
      <c r="AF8912">
        <v>2.32238734443809</v>
      </c>
      <c r="AG8912">
        <v>-1.15893</v>
      </c>
      <c r="AH8912">
        <v>6.4242380937407502</v>
      </c>
      <c r="AI8912">
        <v>99.6287906241526</v>
      </c>
      <c r="AJ8912">
        <v>70.124877412839993</v>
      </c>
      <c r="AK8912">
        <v>6.9287399148456998</v>
      </c>
      <c r="AL8912">
        <v>85.802831162332396</v>
      </c>
      <c r="AM8912">
        <v>80.158681041186398</v>
      </c>
      <c r="AN8912">
        <v>1.00000004599195</v>
      </c>
    </row>
    <row r="8913" spans="1:40" x14ac:dyDescent="0.25">
      <c r="A8913" t="str">
        <f>"20190312150900277"</f>
        <v>20190312150900277</v>
      </c>
      <c r="B8913" t="str">
        <f>"1552374540268094"</f>
        <v>1552374540268094</v>
      </c>
      <c r="C8913" t="s">
        <v>40</v>
      </c>
      <c r="D8913">
        <v>4.956607</v>
      </c>
      <c r="E8913">
        <v>0.56601259999999998</v>
      </c>
      <c r="F8913" t="s">
        <v>43</v>
      </c>
      <c r="G8913">
        <v>-315.13639999999998</v>
      </c>
      <c r="H8913">
        <v>-0.05</v>
      </c>
      <c r="I8913">
        <v>12.119859999999999</v>
      </c>
      <c r="J8913">
        <v>-321.42509999999999</v>
      </c>
      <c r="K8913">
        <v>1.108932</v>
      </c>
      <c r="L8913">
        <v>15.288360000000001</v>
      </c>
      <c r="M8913">
        <v>0.99290869999999998</v>
      </c>
      <c r="N8913">
        <v>0</v>
      </c>
      <c r="O8913">
        <v>-0.1181451</v>
      </c>
      <c r="P8913">
        <v>0.95628279999999999</v>
      </c>
      <c r="Q8913">
        <v>6.0798690000000002E-2</v>
      </c>
      <c r="R8913">
        <v>-0.28605409999999998</v>
      </c>
      <c r="S8913">
        <v>2.7597659999999999</v>
      </c>
      <c r="T8913">
        <v>-0.49936570000000002</v>
      </c>
      <c r="U8913">
        <v>-1.371704</v>
      </c>
      <c r="V8913">
        <v>0.17133989999999999</v>
      </c>
      <c r="W8913">
        <v>7.311521E-2</v>
      </c>
      <c r="X8913">
        <v>0.98249520000000001</v>
      </c>
      <c r="Y8913">
        <v>0.33339249999999998</v>
      </c>
      <c r="Z8913">
        <v>-8.4140359999999997E-3</v>
      </c>
      <c r="AA8913">
        <v>0.94275059999999999</v>
      </c>
      <c r="AB8913">
        <v>24</v>
      </c>
      <c r="AC8913">
        <v>6.2887000000000004</v>
      </c>
      <c r="AD8913">
        <v>-1.1589320000000001</v>
      </c>
      <c r="AE8913">
        <v>-3.1684999999999999</v>
      </c>
      <c r="AF8913">
        <v>2.3398829200614499</v>
      </c>
      <c r="AG8913">
        <v>-1.1589320000000001</v>
      </c>
      <c r="AH8913">
        <v>6.4444680765494704</v>
      </c>
      <c r="AI8913">
        <v>99.594378444104905</v>
      </c>
      <c r="AJ8913">
        <v>70.044852980519906</v>
      </c>
      <c r="AK8913">
        <v>6.95336927322895</v>
      </c>
      <c r="AL8913">
        <v>85.807065614160194</v>
      </c>
      <c r="AM8913">
        <v>80.107524875128604</v>
      </c>
      <c r="AN8913">
        <v>1.0000000066441901</v>
      </c>
    </row>
    <row r="8914" spans="1:40" x14ac:dyDescent="0.25">
      <c r="A8914" t="str">
        <f>"20190312150900289"</f>
        <v>20190312150900289</v>
      </c>
      <c r="B8914" t="str">
        <f>"1552374540278830"</f>
        <v>1552374540278830</v>
      </c>
      <c r="C8914" t="s">
        <v>40</v>
      </c>
      <c r="D8914">
        <v>5.0210369999999998</v>
      </c>
      <c r="E8914">
        <v>0.56657950000000001</v>
      </c>
      <c r="F8914" t="s">
        <v>43</v>
      </c>
      <c r="G8914">
        <v>-315.01010000000002</v>
      </c>
      <c r="H8914">
        <v>-0.05</v>
      </c>
      <c r="I8914">
        <v>12.07283</v>
      </c>
      <c r="J8914">
        <v>-321.31009999999998</v>
      </c>
      <c r="K8914">
        <v>1.1089249999999999</v>
      </c>
      <c r="L8914">
        <v>15.273440000000001</v>
      </c>
      <c r="M8914">
        <v>0.99274810000000002</v>
      </c>
      <c r="N8914">
        <v>0</v>
      </c>
      <c r="O8914">
        <v>-0.1194964</v>
      </c>
      <c r="P8914">
        <v>0.95567570000000002</v>
      </c>
      <c r="Q8914">
        <v>6.0715060000000001E-2</v>
      </c>
      <c r="R8914">
        <v>-0.28809359999999901</v>
      </c>
      <c r="S8914">
        <v>2.7556150000000001</v>
      </c>
      <c r="T8914">
        <v>-0.49782880000000002</v>
      </c>
      <c r="U8914">
        <v>-1.381256</v>
      </c>
      <c r="V8914">
        <v>0.17209559999999999</v>
      </c>
      <c r="W8914">
        <v>7.2949710000000001E-2</v>
      </c>
      <c r="X8914">
        <v>0.98237540000000001</v>
      </c>
      <c r="Y8914">
        <v>0.33529940000000003</v>
      </c>
      <c r="Z8914">
        <v>-8.3316380000000006E-3</v>
      </c>
      <c r="AA8914">
        <v>0.94207479999999999</v>
      </c>
      <c r="AB8914">
        <v>24</v>
      </c>
      <c r="AC8914">
        <v>6.2999999999999501</v>
      </c>
      <c r="AD8914">
        <v>-1.158925</v>
      </c>
      <c r="AE8914">
        <v>-3.20060999999999</v>
      </c>
      <c r="AF8914">
        <v>2.3612678261153799</v>
      </c>
      <c r="AG8914">
        <v>-1.158925</v>
      </c>
      <c r="AH8914">
        <v>6.46349158810236</v>
      </c>
      <c r="AI8914">
        <v>99.5598452509374</v>
      </c>
      <c r="AJ8914">
        <v>69.931544205203494</v>
      </c>
      <c r="AK8914">
        <v>6.9782101151901799</v>
      </c>
      <c r="AL8914">
        <v>85.816573390665496</v>
      </c>
      <c r="AM8914">
        <v>80.063573873865494</v>
      </c>
      <c r="AN8914">
        <v>0.99999999112680205</v>
      </c>
    </row>
    <row r="8915" spans="1:40" x14ac:dyDescent="0.25">
      <c r="A8915" t="str">
        <f>"20190312150900300"</f>
        <v>20190312150900300</v>
      </c>
      <c r="B8915" t="str">
        <f>"1552374540288588"</f>
        <v>1552374540288588</v>
      </c>
      <c r="C8915" t="s">
        <v>40</v>
      </c>
      <c r="D8915">
        <v>5.0006019999999998</v>
      </c>
      <c r="E8915">
        <v>0.56712229999999997</v>
      </c>
      <c r="F8915" t="s">
        <v>43</v>
      </c>
      <c r="G8915">
        <v>-314.90370000000001</v>
      </c>
      <c r="H8915">
        <v>-0.05</v>
      </c>
      <c r="I8915">
        <v>12.03336</v>
      </c>
      <c r="J8915">
        <v>-321.19439999999997</v>
      </c>
      <c r="K8915">
        <v>1.108903</v>
      </c>
      <c r="L8915">
        <v>15.25839</v>
      </c>
      <c r="M8915">
        <v>0.99255689999999996</v>
      </c>
      <c r="N8915">
        <v>0</v>
      </c>
      <c r="O8915">
        <v>-0.1210958</v>
      </c>
      <c r="P8915">
        <v>0.95504429999999996</v>
      </c>
      <c r="Q8915">
        <v>6.05838E-2</v>
      </c>
      <c r="R8915">
        <v>-0.2902074</v>
      </c>
      <c r="S8915">
        <v>2.7512819999999998</v>
      </c>
      <c r="T8915">
        <v>-0.49770740000000002</v>
      </c>
      <c r="U8915">
        <v>-1.3914789999999999</v>
      </c>
      <c r="V8915">
        <v>0.172679799999999</v>
      </c>
      <c r="W8915">
        <v>7.2643440000000004E-2</v>
      </c>
      <c r="X8915">
        <v>0.98229560000000005</v>
      </c>
      <c r="Y8915">
        <v>0.3371652</v>
      </c>
      <c r="Z8915">
        <v>-8.2282480000000005E-3</v>
      </c>
      <c r="AA8915">
        <v>0.94140950000000001</v>
      </c>
      <c r="AB8915">
        <v>24</v>
      </c>
      <c r="AC8915">
        <v>6.2906999999999504</v>
      </c>
      <c r="AD8915">
        <v>-1.158903</v>
      </c>
      <c r="AE8915">
        <v>-3.2250299999999901</v>
      </c>
      <c r="AF8915">
        <v>2.3756066406858198</v>
      </c>
      <c r="AG8915">
        <v>-1.158903</v>
      </c>
      <c r="AH8915">
        <v>6.4613184939947796</v>
      </c>
      <c r="AI8915">
        <v>99.555722822022005</v>
      </c>
      <c r="AJ8915">
        <v>69.813244754381302</v>
      </c>
      <c r="AK8915">
        <v>6.9810600739084396</v>
      </c>
      <c r="AL8915">
        <v>85.834168147728505</v>
      </c>
      <c r="AM8915">
        <v>80.029725380156606</v>
      </c>
      <c r="AN8915">
        <v>1.00000001424121</v>
      </c>
    </row>
    <row r="8916" spans="1:40" x14ac:dyDescent="0.25">
      <c r="A8916" t="str">
        <f>"20190312150900312"</f>
        <v>20190312150900312</v>
      </c>
      <c r="B8916" t="str">
        <f>"1552374540308109"</f>
        <v>1552374540308109</v>
      </c>
      <c r="C8916" t="s">
        <v>40</v>
      </c>
      <c r="D8916">
        <v>5.1295510000000002</v>
      </c>
      <c r="E8916">
        <v>0.5683028</v>
      </c>
      <c r="F8916" t="s">
        <v>43</v>
      </c>
      <c r="G8916">
        <v>-314.79340000000002</v>
      </c>
      <c r="H8916">
        <v>-0.05</v>
      </c>
      <c r="I8916">
        <v>11.991300000000001</v>
      </c>
      <c r="J8916">
        <v>-321.05950000000001</v>
      </c>
      <c r="K8916">
        <v>1.108749</v>
      </c>
      <c r="L8916">
        <v>15.240629999999999</v>
      </c>
      <c r="M8916">
        <v>0.9923459</v>
      </c>
      <c r="N8916">
        <v>0</v>
      </c>
      <c r="O8916">
        <v>-0.1228471</v>
      </c>
      <c r="P8916">
        <v>0.95428679999999999</v>
      </c>
      <c r="Q8916">
        <v>6.0950120000000003E-2</v>
      </c>
      <c r="R8916">
        <v>-0.29261169999999997</v>
      </c>
      <c r="S8916">
        <v>2.7467350000000001</v>
      </c>
      <c r="T8916">
        <v>-0.49729899999999999</v>
      </c>
      <c r="U8916">
        <v>-1.4019469999999901</v>
      </c>
      <c r="V8916">
        <v>0.1734311</v>
      </c>
      <c r="W8916">
        <v>7.2652960000000003E-2</v>
      </c>
      <c r="X8916">
        <v>0.98216250000000005</v>
      </c>
      <c r="Y8916">
        <v>0.33898539999999999</v>
      </c>
      <c r="Z8916">
        <v>-8.0916249999999999E-3</v>
      </c>
      <c r="AA8916">
        <v>0.94075679999999995</v>
      </c>
      <c r="AB8916">
        <v>24</v>
      </c>
      <c r="AC8916">
        <v>6.26609999999999</v>
      </c>
      <c r="AD8916">
        <v>-1.158749</v>
      </c>
      <c r="AE8916">
        <v>-3.2493299999999898</v>
      </c>
      <c r="AF8916">
        <v>2.3904587954012002</v>
      </c>
      <c r="AG8916">
        <v>-1.158749</v>
      </c>
      <c r="AH8916">
        <v>6.4441637181776699</v>
      </c>
      <c r="AI8916">
        <v>99.569412768357907</v>
      </c>
      <c r="AJ8916">
        <v>69.647693623087903</v>
      </c>
      <c r="AK8916">
        <v>6.9702394882951699</v>
      </c>
      <c r="AL8916">
        <v>85.833621136128698</v>
      </c>
      <c r="AM8916">
        <v>79.985892961122502</v>
      </c>
      <c r="AN8916">
        <v>0.99999998772511001</v>
      </c>
    </row>
    <row r="8917" spans="1:40" x14ac:dyDescent="0.25">
      <c r="A8917" t="str">
        <f>"20190312150900337"</f>
        <v>20190312150900337</v>
      </c>
      <c r="B8917" t="str">
        <f>"1552374540328606"</f>
        <v>1552374540328606</v>
      </c>
      <c r="C8917" t="s">
        <v>40</v>
      </c>
      <c r="D8917">
        <v>5.1030509999999998</v>
      </c>
      <c r="E8917">
        <v>0.5687951</v>
      </c>
      <c r="F8917" t="s">
        <v>43</v>
      </c>
      <c r="G8917">
        <v>-314.66609999999997</v>
      </c>
      <c r="H8917">
        <v>-0.05</v>
      </c>
      <c r="I8917">
        <v>11.933</v>
      </c>
      <c r="J8917">
        <v>-320.79509999999999</v>
      </c>
      <c r="K8917">
        <v>1.108198</v>
      </c>
      <c r="L8917">
        <v>15.205260000000001</v>
      </c>
      <c r="M8917">
        <v>0.99197800000000003</v>
      </c>
      <c r="N8917">
        <v>0</v>
      </c>
      <c r="O8917">
        <v>-0.1258446</v>
      </c>
      <c r="P8917">
        <v>0.95292750000000004</v>
      </c>
      <c r="Q8917">
        <v>6.0942820000000002E-2</v>
      </c>
      <c r="R8917">
        <v>-0.29701070000000002</v>
      </c>
      <c r="S8917">
        <v>2.740723</v>
      </c>
      <c r="T8917">
        <v>-0.49672749999999999</v>
      </c>
      <c r="U8917">
        <v>-1.4179079999999999</v>
      </c>
      <c r="V8917">
        <v>0.17503450000000001</v>
      </c>
      <c r="W8917">
        <v>7.1915789999999993E-2</v>
      </c>
      <c r="X8917">
        <v>0.98193229999999998</v>
      </c>
      <c r="Y8917">
        <v>0.3413272</v>
      </c>
      <c r="Z8917">
        <v>-7.7911259999999998E-3</v>
      </c>
      <c r="AA8917">
        <v>0.93991230000000003</v>
      </c>
      <c r="AB8917">
        <v>24</v>
      </c>
      <c r="AC8917">
        <v>6.1290000000000102</v>
      </c>
      <c r="AD8917">
        <v>-1.1581980000000001</v>
      </c>
      <c r="AE8917">
        <v>-3.2722600000000002</v>
      </c>
      <c r="AF8917">
        <v>2.40797082095433</v>
      </c>
      <c r="AG8917">
        <v>-1.1581980000000001</v>
      </c>
      <c r="AH8917">
        <v>6.3165641465073898</v>
      </c>
      <c r="AI8917">
        <v>99.722181922952203</v>
      </c>
      <c r="AJ8917">
        <v>69.132388674594594</v>
      </c>
      <c r="AK8917">
        <v>6.8584785994208701</v>
      </c>
      <c r="AL8917">
        <v>85.875968694109702</v>
      </c>
      <c r="AM8917">
        <v>79.892890139952399</v>
      </c>
      <c r="AN8917">
        <v>0.99999999941243201</v>
      </c>
    </row>
    <row r="8918" spans="1:40" x14ac:dyDescent="0.25">
      <c r="A8918" t="str">
        <f>"20190312150900350"</f>
        <v>20190312150900350</v>
      </c>
      <c r="B8918" t="str">
        <f>"1552374540338365"</f>
        <v>1552374540338365</v>
      </c>
      <c r="C8918" t="s">
        <v>40</v>
      </c>
      <c r="D8918">
        <v>4.933656</v>
      </c>
      <c r="E8918">
        <v>0.56920959999999998</v>
      </c>
      <c r="F8918" t="s">
        <v>43</v>
      </c>
      <c r="G8918">
        <v>-314.4452</v>
      </c>
      <c r="H8918">
        <v>-0.05</v>
      </c>
      <c r="I8918">
        <v>11.87102</v>
      </c>
      <c r="J8918">
        <v>-320.6651</v>
      </c>
      <c r="K8918">
        <v>1.1078619999999999</v>
      </c>
      <c r="L8918">
        <v>15.18759</v>
      </c>
      <c r="M8918">
        <v>0.99182029999999999</v>
      </c>
      <c r="N8918">
        <v>0</v>
      </c>
      <c r="O8918">
        <v>-0.1270935</v>
      </c>
      <c r="P8918">
        <v>0.95234220000000003</v>
      </c>
      <c r="Q8918">
        <v>6.0874610000000003E-2</v>
      </c>
      <c r="R8918">
        <v>-0.2988961</v>
      </c>
      <c r="S8918">
        <v>2.7328190000000001</v>
      </c>
      <c r="T8918">
        <v>-0.4984557</v>
      </c>
      <c r="U8918">
        <v>-1.4349670000000001</v>
      </c>
      <c r="V8918">
        <v>0.17576729999999999</v>
      </c>
      <c r="W8918">
        <v>7.1656579999999997E-2</v>
      </c>
      <c r="X8918">
        <v>0.98182029999999998</v>
      </c>
      <c r="Y8918">
        <v>0.34579749999999998</v>
      </c>
      <c r="Z8918">
        <v>-8.0016740000000003E-3</v>
      </c>
      <c r="AA8918">
        <v>0.93827499999999997</v>
      </c>
      <c r="AB8918">
        <v>24</v>
      </c>
      <c r="AC8918">
        <v>6.2198999999999902</v>
      </c>
      <c r="AD8918">
        <v>-1.1578619999999999</v>
      </c>
      <c r="AE8918">
        <v>-3.31657</v>
      </c>
      <c r="AF8918">
        <v>2.4334481329497701</v>
      </c>
      <c r="AG8918">
        <v>-1.1578619999999999</v>
      </c>
      <c r="AH8918">
        <v>6.41783272023034</v>
      </c>
      <c r="AI8918">
        <v>99.575291824314604</v>
      </c>
      <c r="AJ8918">
        <v>69.234787101330994</v>
      </c>
      <c r="AK8918">
        <v>6.96066742860625</v>
      </c>
      <c r="AL8918">
        <v>85.890858567486006</v>
      </c>
      <c r="AM8918">
        <v>79.850319788301604</v>
      </c>
      <c r="AN8918">
        <v>0.99999995534933706</v>
      </c>
    </row>
    <row r="8919" spans="1:40" x14ac:dyDescent="0.25">
      <c r="A8919" t="str">
        <f>"20190312150900361"</f>
        <v>20190312150900361</v>
      </c>
      <c r="B8919" t="str">
        <f>"1552374540358860"</f>
        <v>1552374540358860</v>
      </c>
      <c r="C8919" t="s">
        <v>40</v>
      </c>
      <c r="D8919">
        <v>5.0102159999999998</v>
      </c>
      <c r="E8919">
        <v>0.56998400000000005</v>
      </c>
      <c r="F8919" t="s">
        <v>43</v>
      </c>
      <c r="G8919">
        <v>-314.31200000000001</v>
      </c>
      <c r="H8919">
        <v>-0.05</v>
      </c>
      <c r="I8919">
        <v>11.826639999999999</v>
      </c>
      <c r="J8919">
        <v>-320.52620000000002</v>
      </c>
      <c r="K8919">
        <v>1.107477</v>
      </c>
      <c r="L8919">
        <v>15.16849</v>
      </c>
      <c r="M8919">
        <v>0.99166379999999998</v>
      </c>
      <c r="N8919">
        <v>0</v>
      </c>
      <c r="O8919">
        <v>-0.1283041</v>
      </c>
      <c r="P8919">
        <v>0.95176059999999996</v>
      </c>
      <c r="Q8919">
        <v>6.1053980000000001E-2</v>
      </c>
      <c r="R8919">
        <v>-0.30070629999999998</v>
      </c>
      <c r="S8919">
        <v>2.7288209999999999</v>
      </c>
      <c r="T8919">
        <v>-0.49732759999999998</v>
      </c>
      <c r="U8919">
        <v>-1.4436040000000001</v>
      </c>
      <c r="V8919">
        <v>0.1764664</v>
      </c>
      <c r="W8919">
        <v>7.1815920000000005E-2</v>
      </c>
      <c r="X8919">
        <v>0.98168330000000004</v>
      </c>
      <c r="Y8919">
        <v>0.34754559999999901</v>
      </c>
      <c r="Z8919">
        <v>-7.9369319999999903E-3</v>
      </c>
      <c r="AA8919">
        <v>0.9376295</v>
      </c>
      <c r="AB8919">
        <v>24</v>
      </c>
      <c r="AC8919">
        <v>6.2141999999999999</v>
      </c>
      <c r="AD8919">
        <v>-1.1574770000000001</v>
      </c>
      <c r="AE8919">
        <v>-3.34185</v>
      </c>
      <c r="AF8919">
        <v>2.45090497494675</v>
      </c>
      <c r="AG8919">
        <v>-1.1574770000000001</v>
      </c>
      <c r="AH8919">
        <v>6.4188947870773703</v>
      </c>
      <c r="AI8919">
        <v>99.562320547037004</v>
      </c>
      <c r="AJ8919">
        <v>69.101811966693703</v>
      </c>
      <c r="AK8919">
        <v>6.9677039610848004</v>
      </c>
      <c r="AL8919">
        <v>85.881705697595805</v>
      </c>
      <c r="AM8919">
        <v>79.809402245675699</v>
      </c>
      <c r="AN8919">
        <v>1.0000000090966401</v>
      </c>
    </row>
    <row r="8920" spans="1:40" x14ac:dyDescent="0.25">
      <c r="A8920" t="str">
        <f>"20190312150900372"</f>
        <v>20190312150900372</v>
      </c>
      <c r="B8920" t="str">
        <f>"1552374540368621"</f>
        <v>1552374540368621</v>
      </c>
      <c r="C8920" t="s">
        <v>40</v>
      </c>
      <c r="D8920">
        <v>5.1031909999999998</v>
      </c>
      <c r="E8920">
        <v>0.57040829999999998</v>
      </c>
      <c r="F8920" t="s">
        <v>43</v>
      </c>
      <c r="G8920">
        <v>-314.10419999999999</v>
      </c>
      <c r="H8920">
        <v>-0.05</v>
      </c>
      <c r="I8920">
        <v>11.73747</v>
      </c>
      <c r="J8920">
        <v>-320.41430000000003</v>
      </c>
      <c r="K8920">
        <v>1.1071299999999999</v>
      </c>
      <c r="L8920">
        <v>15.15286</v>
      </c>
      <c r="M8920">
        <v>0.99153519999999995</v>
      </c>
      <c r="N8920">
        <v>0</v>
      </c>
      <c r="O8920">
        <v>-0.12927439999999901</v>
      </c>
      <c r="P8920">
        <v>0.95129350000000001</v>
      </c>
      <c r="Q8920">
        <v>6.125775E-2</v>
      </c>
      <c r="R8920">
        <v>-0.30213980000000001</v>
      </c>
      <c r="S8920">
        <v>2.7237550000000001</v>
      </c>
      <c r="T8920">
        <v>-0.49091240000000003</v>
      </c>
      <c r="U8920">
        <v>-1.4551700000000001</v>
      </c>
      <c r="V8920">
        <v>0.17700759999999999</v>
      </c>
      <c r="W8920">
        <v>7.2176399999999905E-2</v>
      </c>
      <c r="X8920">
        <v>0.98155939999999997</v>
      </c>
      <c r="Y8920">
        <v>0.35049530000000001</v>
      </c>
      <c r="Z8920">
        <v>-7.9310800000000001E-3</v>
      </c>
      <c r="AA8920">
        <v>0.93653090000000005</v>
      </c>
      <c r="AB8920">
        <v>24</v>
      </c>
      <c r="AC8920">
        <v>6.3101000000000296</v>
      </c>
      <c r="AD8920">
        <v>-1.15713</v>
      </c>
      <c r="AE8920">
        <v>-3.4153899999999999</v>
      </c>
      <c r="AF8920">
        <v>2.5057629426337602</v>
      </c>
      <c r="AG8920">
        <v>-1.15713</v>
      </c>
      <c r="AH8920">
        <v>6.5288946158995902</v>
      </c>
      <c r="AI8920">
        <v>99.395276848127097</v>
      </c>
      <c r="AJ8920">
        <v>69.003402890428703</v>
      </c>
      <c r="AK8920">
        <v>7.0883187475662597</v>
      </c>
      <c r="AL8920">
        <v>85.860997895203198</v>
      </c>
      <c r="AM8920">
        <v>79.777543878231896</v>
      </c>
      <c r="AN8920">
        <v>0.99999998945153901</v>
      </c>
    </row>
    <row r="8921" spans="1:40" x14ac:dyDescent="0.25">
      <c r="A8921" t="str">
        <f>"20190312150900383"</f>
        <v>20190312150900383</v>
      </c>
      <c r="B8921" t="str">
        <f>"1552374540378380"</f>
        <v>1552374540378380</v>
      </c>
      <c r="C8921" t="s">
        <v>40</v>
      </c>
      <c r="D8921">
        <v>5.0660080000000001</v>
      </c>
      <c r="E8921">
        <v>0.57078359999999995</v>
      </c>
      <c r="F8921" t="s">
        <v>43</v>
      </c>
      <c r="G8921">
        <v>-313.95859999999999</v>
      </c>
      <c r="H8921">
        <v>-0.05</v>
      </c>
      <c r="I8921">
        <v>11.680709999999999</v>
      </c>
      <c r="J8921">
        <v>-320.29989999999998</v>
      </c>
      <c r="K8921">
        <v>1.1067659999999999</v>
      </c>
      <c r="L8921">
        <v>15.136810000000001</v>
      </c>
      <c r="M8921">
        <v>0.99140240000000002</v>
      </c>
      <c r="N8921">
        <v>0</v>
      </c>
      <c r="O8921">
        <v>-0.13026389999999999</v>
      </c>
      <c r="P8921">
        <v>0.95080220000000004</v>
      </c>
      <c r="Q8921">
        <v>6.0909779999999997E-2</v>
      </c>
      <c r="R8921">
        <v>-0.30375210000000002</v>
      </c>
      <c r="S8921">
        <v>2.7203059999999999</v>
      </c>
      <c r="T8921">
        <v>-0.48759380000000002</v>
      </c>
      <c r="U8921">
        <v>-1.463104</v>
      </c>
      <c r="V8921">
        <v>0.17770720000000001</v>
      </c>
      <c r="W8921">
        <v>7.2040870000000007E-2</v>
      </c>
      <c r="X8921">
        <v>0.98144290000000001</v>
      </c>
      <c r="Y8921">
        <v>0.35220220000000002</v>
      </c>
      <c r="Z8921">
        <v>-7.8637840000000004E-3</v>
      </c>
      <c r="AA8921">
        <v>0.93589089999999997</v>
      </c>
      <c r="AB8921">
        <v>24</v>
      </c>
      <c r="AC8921">
        <v>6.3412999999999897</v>
      </c>
      <c r="AD8921">
        <v>-1.156766</v>
      </c>
      <c r="AE8921">
        <v>-3.4561000000000002</v>
      </c>
      <c r="AF8921">
        <v>2.5354924156122198</v>
      </c>
      <c r="AG8921">
        <v>-1.156766</v>
      </c>
      <c r="AH8921">
        <v>6.5689688758899596</v>
      </c>
      <c r="AI8921">
        <v>99.329373554796803</v>
      </c>
      <c r="AJ8921">
        <v>68.894395305894193</v>
      </c>
      <c r="AK8921">
        <v>7.1356976856362104</v>
      </c>
      <c r="AL8921">
        <v>85.868783300342002</v>
      </c>
      <c r="AM8921">
        <v>79.736805576736501</v>
      </c>
      <c r="AN8921">
        <v>0.99999995092130201</v>
      </c>
    </row>
    <row r="8922" spans="1:40" x14ac:dyDescent="0.25">
      <c r="A8922" t="str">
        <f>"20190312150900393"</f>
        <v>20190312150900393</v>
      </c>
      <c r="B8922" t="str">
        <f>"1552374540388141"</f>
        <v>1552374540388141</v>
      </c>
      <c r="C8922" t="s">
        <v>40</v>
      </c>
      <c r="D8922">
        <v>4.9322189999999999</v>
      </c>
      <c r="E8922">
        <v>0.57122640000000002</v>
      </c>
      <c r="F8922" t="s">
        <v>43</v>
      </c>
      <c r="G8922">
        <v>-313.8347</v>
      </c>
      <c r="H8922">
        <v>-0.05</v>
      </c>
      <c r="I8922">
        <v>11.63617</v>
      </c>
      <c r="J8922">
        <v>-320.18259999999998</v>
      </c>
      <c r="K8922">
        <v>1.1063259999999999</v>
      </c>
      <c r="L8922">
        <v>15.120089999999999</v>
      </c>
      <c r="M8922">
        <v>0.99126190000000003</v>
      </c>
      <c r="N8922">
        <v>0</v>
      </c>
      <c r="O8922">
        <v>-0.1312855</v>
      </c>
      <c r="P8922">
        <v>0.95026520000000003</v>
      </c>
      <c r="Q8922">
        <v>6.0501310000000003E-2</v>
      </c>
      <c r="R8922">
        <v>-0.30550949999999999</v>
      </c>
      <c r="S8922">
        <v>2.7164609999999998</v>
      </c>
      <c r="T8922">
        <v>-0.48603560000000001</v>
      </c>
      <c r="U8922">
        <v>-1.4708559999999999</v>
      </c>
      <c r="V8922">
        <v>0.1785226</v>
      </c>
      <c r="W8922">
        <v>7.2033730000000004E-2</v>
      </c>
      <c r="X8922">
        <v>0.98129549999999999</v>
      </c>
      <c r="Y8922">
        <v>0.35386529999999999</v>
      </c>
      <c r="Z8922">
        <v>-7.8168509999999997E-3</v>
      </c>
      <c r="AA8922">
        <v>0.93526379999999998</v>
      </c>
      <c r="AB8922">
        <v>24</v>
      </c>
      <c r="AC8922">
        <v>6.3478999999999797</v>
      </c>
      <c r="AD8922">
        <v>-1.156326</v>
      </c>
      <c r="AE8922">
        <v>-3.4839199999999901</v>
      </c>
      <c r="AF8922">
        <v>2.5551468223715301</v>
      </c>
      <c r="AG8922">
        <v>-1.156326</v>
      </c>
      <c r="AH8922">
        <v>6.5825145423820004</v>
      </c>
      <c r="AI8922">
        <v>99.300288483095699</v>
      </c>
      <c r="AJ8922">
        <v>68.785189624697495</v>
      </c>
      <c r="AK8922">
        <v>7.1550934866584299</v>
      </c>
      <c r="AL8922">
        <v>85.869193733940804</v>
      </c>
      <c r="AM8922">
        <v>79.689205738626598</v>
      </c>
      <c r="AN8922">
        <v>1.00000001764436</v>
      </c>
    </row>
    <row r="8923" spans="1:40" x14ac:dyDescent="0.25">
      <c r="A8923" t="str">
        <f>"20190312150900403"</f>
        <v>20190312150900403</v>
      </c>
      <c r="B8923" t="str">
        <f>"1552374540398877"</f>
        <v>1552374540398877</v>
      </c>
      <c r="C8923" t="s">
        <v>40</v>
      </c>
      <c r="D8923">
        <v>4.9458650000000004</v>
      </c>
      <c r="E8923">
        <v>0.57160429999999995</v>
      </c>
      <c r="F8923" t="s">
        <v>43</v>
      </c>
      <c r="G8923">
        <v>-313.71460000000002</v>
      </c>
      <c r="H8923">
        <v>-0.05</v>
      </c>
      <c r="I8923">
        <v>11.591379999999999</v>
      </c>
      <c r="J8923">
        <v>-320.0727</v>
      </c>
      <c r="K8923">
        <v>1.1059060000000001</v>
      </c>
      <c r="L8923">
        <v>15.1044</v>
      </c>
      <c r="M8923">
        <v>0.99112860000000003</v>
      </c>
      <c r="N8923">
        <v>0</v>
      </c>
      <c r="O8923">
        <v>-0.13224259999999999</v>
      </c>
      <c r="P8923">
        <v>0.94967570000000001</v>
      </c>
      <c r="Q8923">
        <v>6.0125039999999998E-2</v>
      </c>
      <c r="R8923">
        <v>-0.30741059999999998</v>
      </c>
      <c r="S8923">
        <v>2.712189</v>
      </c>
      <c r="T8923">
        <v>-0.48487750000000002</v>
      </c>
      <c r="U8923">
        <v>-1.4796750000000001</v>
      </c>
      <c r="V8923">
        <v>0.17955009999999999</v>
      </c>
      <c r="W8923">
        <v>7.2056560000000006E-2</v>
      </c>
      <c r="X8923">
        <v>0.98110629999999999</v>
      </c>
      <c r="Y8923">
        <v>0.35592269999999998</v>
      </c>
      <c r="Z8923">
        <v>-7.8201160000000002E-3</v>
      </c>
      <c r="AA8923">
        <v>0.9344827</v>
      </c>
      <c r="AB8923">
        <v>24</v>
      </c>
      <c r="AC8923">
        <v>6.3580999999999701</v>
      </c>
      <c r="AD8923">
        <v>-1.1559059999999901</v>
      </c>
      <c r="AE8923">
        <v>-3.5130199999999898</v>
      </c>
      <c r="AF8923">
        <v>2.5760466919588798</v>
      </c>
      <c r="AG8923">
        <v>-1.1559059999999901</v>
      </c>
      <c r="AH8923">
        <v>6.59974743990219</v>
      </c>
      <c r="AI8923">
        <v>99.266486059753106</v>
      </c>
      <c r="AJ8923">
        <v>68.678053336904796</v>
      </c>
      <c r="AK8923">
        <v>7.1783564630410899</v>
      </c>
      <c r="AL8923">
        <v>85.867882103640895</v>
      </c>
      <c r="AM8923">
        <v>79.629188706308</v>
      </c>
      <c r="AN8923">
        <v>0.999999979074366</v>
      </c>
    </row>
    <row r="8924" spans="1:40" x14ac:dyDescent="0.25">
      <c r="A8924" t="str">
        <f>"20190312150900413"</f>
        <v>20190312150900413</v>
      </c>
      <c r="B8924" t="str">
        <f>"1552374540408637"</f>
        <v>1552374540408637</v>
      </c>
      <c r="C8924" t="s">
        <v>40</v>
      </c>
      <c r="D8924">
        <v>4.8805709999999998</v>
      </c>
      <c r="E8924">
        <v>0.57171149999999904</v>
      </c>
      <c r="F8924" t="s">
        <v>43</v>
      </c>
      <c r="G8924">
        <v>-313.59780000000001</v>
      </c>
      <c r="H8924">
        <v>-0.05</v>
      </c>
      <c r="I8924">
        <v>11.54585</v>
      </c>
      <c r="J8924">
        <v>-319.97050000000002</v>
      </c>
      <c r="K8924">
        <v>1.1054550000000001</v>
      </c>
      <c r="L8924">
        <v>15.08957</v>
      </c>
      <c r="M8924">
        <v>0.99100699999999997</v>
      </c>
      <c r="N8924">
        <v>0</v>
      </c>
      <c r="O8924">
        <v>-0.13309190000000001</v>
      </c>
      <c r="P8924">
        <v>0.94909809999999994</v>
      </c>
      <c r="Q8924">
        <v>5.9334699999999997E-2</v>
      </c>
      <c r="R8924">
        <v>-0.30934129999999999</v>
      </c>
      <c r="S8924">
        <v>2.7078859999999998</v>
      </c>
      <c r="T8924">
        <v>-0.48341109999999998</v>
      </c>
      <c r="U8924">
        <v>-1.4882200000000001</v>
      </c>
      <c r="V8924">
        <v>0.18070649999999999</v>
      </c>
      <c r="W8924">
        <v>7.1807350000000006E-2</v>
      </c>
      <c r="X8924">
        <v>0.98091229999999996</v>
      </c>
      <c r="Y8924">
        <v>0.358012099999999</v>
      </c>
      <c r="Z8924">
        <v>-7.8387000000000005E-3</v>
      </c>
      <c r="AA8924">
        <v>0.93368410000000002</v>
      </c>
      <c r="AB8924">
        <v>24</v>
      </c>
      <c r="AC8924">
        <v>6.3727</v>
      </c>
      <c r="AD8924">
        <v>-1.1554549999999999</v>
      </c>
      <c r="AE8924">
        <v>-3.54372</v>
      </c>
      <c r="AF8924">
        <v>2.5986987489162199</v>
      </c>
      <c r="AG8924">
        <v>-1.1554549999999999</v>
      </c>
      <c r="AH8924">
        <v>6.6214179387495999</v>
      </c>
      <c r="AI8924">
        <v>99.226541100589003</v>
      </c>
      <c r="AJ8924">
        <v>68.571550736809002</v>
      </c>
      <c r="AK8924">
        <v>7.2063504608254201</v>
      </c>
      <c r="AL8924">
        <v>85.882198110478399</v>
      </c>
      <c r="AM8924">
        <v>79.561839441564203</v>
      </c>
      <c r="AN8924">
        <v>1.0000000374737801</v>
      </c>
    </row>
    <row r="8925" spans="1:40" x14ac:dyDescent="0.25">
      <c r="A8925" t="str">
        <f>"20190312150900426"</f>
        <v>20190312150900426</v>
      </c>
      <c r="B8925" t="str">
        <f>"1552374540418396"</f>
        <v>1552374540418396</v>
      </c>
      <c r="C8925" t="s">
        <v>40</v>
      </c>
      <c r="D8925">
        <v>4.8424290000000001</v>
      </c>
      <c r="E8925">
        <v>0.57168330000000001</v>
      </c>
      <c r="F8925" t="s">
        <v>43</v>
      </c>
      <c r="G8925">
        <v>-313.52769999999998</v>
      </c>
      <c r="H8925">
        <v>-0.05</v>
      </c>
      <c r="I8925">
        <v>11.529170000000001</v>
      </c>
      <c r="J8925">
        <v>-319.85019999999997</v>
      </c>
      <c r="K8925">
        <v>1.104914</v>
      </c>
      <c r="L8925">
        <v>15.072050000000001</v>
      </c>
      <c r="M8925">
        <v>0.99086200000000002</v>
      </c>
      <c r="N8925">
        <v>0</v>
      </c>
      <c r="O8925">
        <v>-0.13409299999999999</v>
      </c>
      <c r="P8925">
        <v>0.94838829999999996</v>
      </c>
      <c r="Q8925">
        <v>5.8205409999999999E-2</v>
      </c>
      <c r="R8925">
        <v>-0.31172509999999998</v>
      </c>
      <c r="S8925">
        <v>2.7041629999999999</v>
      </c>
      <c r="T8925">
        <v>-0.48496220000000001</v>
      </c>
      <c r="U8925">
        <v>-1.494354</v>
      </c>
      <c r="V8925">
        <v>0.18217900000000001</v>
      </c>
      <c r="W8925">
        <v>7.1328890000000006E-2</v>
      </c>
      <c r="X8925">
        <v>0.98067470000000001</v>
      </c>
      <c r="Y8925">
        <v>0.359212799999999</v>
      </c>
      <c r="Z8925">
        <v>-7.8068599999999997E-3</v>
      </c>
      <c r="AA8925">
        <v>0.93322300000000002</v>
      </c>
      <c r="AB8925">
        <v>24</v>
      </c>
      <c r="AC8925">
        <v>6.32249999999999</v>
      </c>
      <c r="AD8925">
        <v>-1.154914</v>
      </c>
      <c r="AE8925">
        <v>-3.5428799999999998</v>
      </c>
      <c r="AF8925">
        <v>2.5970356971471298</v>
      </c>
      <c r="AG8925">
        <v>-1.154914</v>
      </c>
      <c r="AH8925">
        <v>6.5735861992510003</v>
      </c>
      <c r="AI8925">
        <v>99.280140202703805</v>
      </c>
      <c r="AJ8925">
        <v>68.442442935589099</v>
      </c>
      <c r="AK8925">
        <v>7.1617355632999899</v>
      </c>
      <c r="AL8925">
        <v>85.909681897309994</v>
      </c>
      <c r="AM8925">
        <v>79.476182982904803</v>
      </c>
      <c r="AN8925">
        <v>0.999999932904858</v>
      </c>
    </row>
    <row r="8926" spans="1:40" x14ac:dyDescent="0.25">
      <c r="A8926" t="str">
        <f>"20190312150900435"</f>
        <v>20190312150900435</v>
      </c>
      <c r="B8926" t="str">
        <f>"1552374540428157"</f>
        <v>1552374540428157</v>
      </c>
      <c r="C8926" t="s">
        <v>40</v>
      </c>
      <c r="D8926">
        <v>4.9216610000000003</v>
      </c>
      <c r="E8926">
        <v>0.57156399999999996</v>
      </c>
      <c r="F8926" t="s">
        <v>43</v>
      </c>
      <c r="G8926">
        <v>-313.43720000000002</v>
      </c>
      <c r="H8926">
        <v>-0.05</v>
      </c>
      <c r="I8926">
        <v>11.50836</v>
      </c>
      <c r="J8926">
        <v>-319.72550000000001</v>
      </c>
      <c r="K8926">
        <v>1.1043179999999999</v>
      </c>
      <c r="L8926">
        <v>15.05359</v>
      </c>
      <c r="M8926">
        <v>0.99069600000000002</v>
      </c>
      <c r="N8926">
        <v>0</v>
      </c>
      <c r="O8926">
        <v>-0.13520789999999999</v>
      </c>
      <c r="P8926">
        <v>0.94774429999999998</v>
      </c>
      <c r="Q8926">
        <v>5.6779040000000003E-2</v>
      </c>
      <c r="R8926">
        <v>-0.3139382</v>
      </c>
      <c r="S8926">
        <v>2.699951</v>
      </c>
      <c r="T8926">
        <v>-0.48623699999999997</v>
      </c>
      <c r="U8926">
        <v>-1.5003660000000001</v>
      </c>
      <c r="V8926">
        <v>0.1833526</v>
      </c>
      <c r="W8926">
        <v>7.0816630000000005E-2</v>
      </c>
      <c r="X8926">
        <v>0.98049310000000001</v>
      </c>
      <c r="Y8926">
        <v>0.36034919999999998</v>
      </c>
      <c r="Z8926">
        <v>-7.7475460000000001E-3</v>
      </c>
      <c r="AA8926">
        <v>0.93278530000000004</v>
      </c>
      <c r="AB8926">
        <v>24</v>
      </c>
      <c r="AC8926">
        <v>6.2882999999999898</v>
      </c>
      <c r="AD8926">
        <v>-1.154318</v>
      </c>
      <c r="AE8926">
        <v>-3.5452300000000001</v>
      </c>
      <c r="AF8926">
        <v>2.59596036169728</v>
      </c>
      <c r="AG8926">
        <v>-1.154318</v>
      </c>
      <c r="AH8926">
        <v>6.5426520001736002</v>
      </c>
      <c r="AI8926">
        <v>99.313185217666202</v>
      </c>
      <c r="AJ8926">
        <v>68.358062506607595</v>
      </c>
      <c r="AK8926">
        <v>7.1328644624724999</v>
      </c>
      <c r="AL8926">
        <v>85.939106696407094</v>
      </c>
      <c r="AM8926">
        <v>79.408000134048706</v>
      </c>
      <c r="AN8926">
        <v>0.99999994507946099</v>
      </c>
    </row>
    <row r="8927" spans="1:40" x14ac:dyDescent="0.25">
      <c r="A8927" t="str">
        <f>"20190312150900446"</f>
        <v>20190312150900446</v>
      </c>
      <c r="B8927" t="str">
        <f>"1552374540438892"</f>
        <v>1552374540438892</v>
      </c>
      <c r="C8927" t="s">
        <v>40</v>
      </c>
      <c r="D8927">
        <v>4.9647969999999999</v>
      </c>
      <c r="E8927">
        <v>0.57147969999999904</v>
      </c>
      <c r="F8927" t="s">
        <v>43</v>
      </c>
      <c r="G8927">
        <v>-313.37259999999998</v>
      </c>
      <c r="H8927">
        <v>-0.05</v>
      </c>
      <c r="I8927">
        <v>11.50638</v>
      </c>
      <c r="J8927">
        <v>-319.62049999999999</v>
      </c>
      <c r="K8927">
        <v>1.103809</v>
      </c>
      <c r="L8927">
        <v>15.038019999999999</v>
      </c>
      <c r="M8927">
        <v>0.99054989999999998</v>
      </c>
      <c r="N8927">
        <v>0</v>
      </c>
      <c r="O8927">
        <v>-0.13617660000000001</v>
      </c>
      <c r="P8927">
        <v>0.94706489999999999</v>
      </c>
      <c r="Q8927">
        <v>5.4857160000000002E-2</v>
      </c>
      <c r="R8927">
        <v>-0.3163205</v>
      </c>
      <c r="S8927">
        <v>2.696075</v>
      </c>
      <c r="T8927">
        <v>-0.48987140000000001</v>
      </c>
      <c r="U8927">
        <v>-1.505371</v>
      </c>
      <c r="V8927">
        <v>0.18483810000000001</v>
      </c>
      <c r="W8927">
        <v>6.9685990000000003E-2</v>
      </c>
      <c r="X8927">
        <v>0.98029520000000003</v>
      </c>
      <c r="Y8927">
        <v>0.36128280000000002</v>
      </c>
      <c r="Z8927">
        <v>-7.7310929999999996E-3</v>
      </c>
      <c r="AA8927">
        <v>0.93242420000000004</v>
      </c>
      <c r="AB8927">
        <v>24</v>
      </c>
      <c r="AC8927">
        <v>6.2479000000000102</v>
      </c>
      <c r="AD8927">
        <v>-1.1538090000000001</v>
      </c>
      <c r="AE8927">
        <v>-3.5316399999999999</v>
      </c>
      <c r="AF8927">
        <v>2.5810912449188299</v>
      </c>
      <c r="AG8927">
        <v>-1.1538090000000001</v>
      </c>
      <c r="AH8927">
        <v>6.50260949791081</v>
      </c>
      <c r="AI8927">
        <v>99.364968621322404</v>
      </c>
      <c r="AJ8927">
        <v>68.350307500840898</v>
      </c>
      <c r="AK8927">
        <v>7.09064436461155</v>
      </c>
      <c r="AL8927">
        <v>86.004048151517907</v>
      </c>
      <c r="AM8927">
        <v>79.3220442566016</v>
      </c>
      <c r="AN8927">
        <v>0.99999996977846395</v>
      </c>
    </row>
    <row r="8928" spans="1:40" x14ac:dyDescent="0.25">
      <c r="A8928" t="str">
        <f>"20190312150900456"</f>
        <v>20190312150900456</v>
      </c>
      <c r="B8928" t="str">
        <f>"1552374540448652"</f>
        <v>1552374540448652</v>
      </c>
      <c r="C8928" t="s">
        <v>40</v>
      </c>
      <c r="D8928">
        <v>4.8827959999999999</v>
      </c>
      <c r="E8928">
        <v>0.57136519999999902</v>
      </c>
      <c r="F8928" t="s">
        <v>43</v>
      </c>
      <c r="G8928">
        <v>-313.34280000000001</v>
      </c>
      <c r="H8928">
        <v>-0.05</v>
      </c>
      <c r="I8928">
        <v>11.513030000000001</v>
      </c>
      <c r="J8928">
        <v>-319.50240000000002</v>
      </c>
      <c r="K8928">
        <v>1.10321</v>
      </c>
      <c r="L8928">
        <v>15.0202299999999</v>
      </c>
      <c r="M8928">
        <v>0.99036080000000004</v>
      </c>
      <c r="N8928">
        <v>0</v>
      </c>
      <c r="O8928">
        <v>-0.1374195</v>
      </c>
      <c r="P8928">
        <v>0.94631140000000002</v>
      </c>
      <c r="Q8928">
        <v>5.3231830000000001E-2</v>
      </c>
      <c r="R8928">
        <v>-0.31884449999999998</v>
      </c>
      <c r="S8928">
        <v>2.6915589999999998</v>
      </c>
      <c r="T8928">
        <v>-0.49469059999999998</v>
      </c>
      <c r="U8928">
        <v>-1.5113219999999901</v>
      </c>
      <c r="V8928">
        <v>0.1861999</v>
      </c>
      <c r="W8928">
        <v>6.9079970000000004E-2</v>
      </c>
      <c r="X8928">
        <v>0.98008039999999996</v>
      </c>
      <c r="Y8928">
        <v>0.36229090000000003</v>
      </c>
      <c r="Z8928">
        <v>-7.693615E-3</v>
      </c>
      <c r="AA8928">
        <v>0.93203340000000001</v>
      </c>
      <c r="AB8928">
        <v>24</v>
      </c>
      <c r="AC8928">
        <v>6.15960000000001</v>
      </c>
      <c r="AD8928">
        <v>-1.1532100000000001</v>
      </c>
      <c r="AE8928">
        <v>-3.5071999999999899</v>
      </c>
      <c r="AF8928">
        <v>2.5595873471566102</v>
      </c>
      <c r="AG8928">
        <v>-1.1532100000000001</v>
      </c>
      <c r="AH8928">
        <v>6.4134117235090997</v>
      </c>
      <c r="AI8928">
        <v>99.481088097258805</v>
      </c>
      <c r="AJ8928">
        <v>68.243098552173905</v>
      </c>
      <c r="AK8928">
        <v>7.0009449810056497</v>
      </c>
      <c r="AL8928">
        <v>86.038854611424895</v>
      </c>
      <c r="AM8928">
        <v>79.242900480308194</v>
      </c>
      <c r="AN8928">
        <v>1.0000000177396799</v>
      </c>
    </row>
    <row r="8929" spans="1:40" x14ac:dyDescent="0.25">
      <c r="A8929" t="str">
        <f>"20190312150900468"</f>
        <v>20190312150900468</v>
      </c>
      <c r="B8929" t="str">
        <f>"1552374540458412"</f>
        <v>1552374540458412</v>
      </c>
      <c r="C8929" t="s">
        <v>40</v>
      </c>
      <c r="D8929">
        <v>4.8640109999999996</v>
      </c>
      <c r="E8929">
        <v>0.57124079999999999</v>
      </c>
      <c r="F8929" t="s">
        <v>43</v>
      </c>
      <c r="G8929">
        <v>-313.27460000000002</v>
      </c>
      <c r="H8929">
        <v>-0.05</v>
      </c>
      <c r="I8929">
        <v>11.502840000000001</v>
      </c>
      <c r="J8929">
        <v>-319.38749999999999</v>
      </c>
      <c r="K8929">
        <v>1.102603</v>
      </c>
      <c r="L8929">
        <v>15.002840000000001</v>
      </c>
      <c r="M8929">
        <v>0.99016309999999996</v>
      </c>
      <c r="N8929">
        <v>0</v>
      </c>
      <c r="O8929">
        <v>-0.1387051</v>
      </c>
      <c r="P8929">
        <v>0.94559680000000002</v>
      </c>
      <c r="Q8929">
        <v>5.1687469999999999E-2</v>
      </c>
      <c r="R8929">
        <v>-0.32120919999999997</v>
      </c>
      <c r="S8929">
        <v>2.6869200000000002</v>
      </c>
      <c r="T8929">
        <v>-0.4975424</v>
      </c>
      <c r="U8929">
        <v>-1.5175479999999999</v>
      </c>
      <c r="V8929">
        <v>0.18735769999999999</v>
      </c>
      <c r="W8929">
        <v>6.8535280000000004E-2</v>
      </c>
      <c r="X8929">
        <v>0.97989800000000005</v>
      </c>
      <c r="Y8929">
        <v>0.36337140000000001</v>
      </c>
      <c r="Z8929">
        <v>-7.62327199999999E-3</v>
      </c>
      <c r="AA8929">
        <v>0.93161320000000003</v>
      </c>
      <c r="AB8929">
        <v>24</v>
      </c>
      <c r="AC8929">
        <v>6.1128999999999598</v>
      </c>
      <c r="AD8929">
        <v>-1.152603</v>
      </c>
      <c r="AE8929">
        <v>-3.5</v>
      </c>
      <c r="AF8929">
        <v>2.54985141091541</v>
      </c>
      <c r="AG8929">
        <v>-1.152603</v>
      </c>
      <c r="AH8929">
        <v>6.3688178515326399</v>
      </c>
      <c r="AI8929">
        <v>99.537238686718993</v>
      </c>
      <c r="AJ8929">
        <v>68.180567069534206</v>
      </c>
      <c r="AK8929">
        <v>6.9564413833049104</v>
      </c>
      <c r="AL8929">
        <v>86.070137283827407</v>
      </c>
      <c r="AM8929">
        <v>79.175620352227497</v>
      </c>
      <c r="AN8929">
        <v>1.00000004137898</v>
      </c>
    </row>
    <row r="8930" spans="1:40" x14ac:dyDescent="0.25">
      <c r="A8930" t="str">
        <f>"20190312150900478"</f>
        <v>20190312150900478</v>
      </c>
      <c r="B8930" t="str">
        <f>"1552374540468172"</f>
        <v>1552374540468172</v>
      </c>
      <c r="C8930" t="s">
        <v>40</v>
      </c>
      <c r="D8930">
        <v>4.9207470000000004</v>
      </c>
      <c r="E8930">
        <v>0.57110360000000004</v>
      </c>
      <c r="F8930" t="s">
        <v>43</v>
      </c>
      <c r="G8930">
        <v>-313.20310000000001</v>
      </c>
      <c r="H8930">
        <v>-0.05</v>
      </c>
      <c r="I8930">
        <v>11.490539999999999</v>
      </c>
      <c r="J8930">
        <v>-319.26920000000001</v>
      </c>
      <c r="K8930">
        <v>1.101934</v>
      </c>
      <c r="L8930">
        <v>14.98471</v>
      </c>
      <c r="M8930">
        <v>0.98993500000000001</v>
      </c>
      <c r="N8930">
        <v>0</v>
      </c>
      <c r="O8930">
        <v>-0.1401802</v>
      </c>
      <c r="P8930">
        <v>0.94470350000000003</v>
      </c>
      <c r="Q8930">
        <v>5.0275960000000001E-2</v>
      </c>
      <c r="R8930">
        <v>-0.32404830000000001</v>
      </c>
      <c r="S8930">
        <v>2.6824949999999999</v>
      </c>
      <c r="T8930">
        <v>-0.49994470000000002</v>
      </c>
      <c r="U8930">
        <v>-1.523468</v>
      </c>
      <c r="V8930">
        <v>0.18882370000000001</v>
      </c>
      <c r="W8930">
        <v>6.8161349999999996E-2</v>
      </c>
      <c r="X8930">
        <v>0.97964260000000003</v>
      </c>
      <c r="Y8930">
        <v>0.36417359999999999</v>
      </c>
      <c r="Z8930">
        <v>-7.4886229999999998E-3</v>
      </c>
      <c r="AA8930">
        <v>0.93130100000000005</v>
      </c>
      <c r="AB8930">
        <v>24</v>
      </c>
      <c r="AC8930">
        <v>6.0660999999999996</v>
      </c>
      <c r="AD8930">
        <v>-1.151934</v>
      </c>
      <c r="AE8930">
        <v>-3.49417</v>
      </c>
      <c r="AF8930">
        <v>2.54036238066892</v>
      </c>
      <c r="AG8930">
        <v>-1.151934</v>
      </c>
      <c r="AH8930">
        <v>6.3248299280447702</v>
      </c>
      <c r="AI8930">
        <v>99.592690250215497</v>
      </c>
      <c r="AJ8930">
        <v>68.117181974901996</v>
      </c>
      <c r="AK8930">
        <v>6.9125875462206396</v>
      </c>
      <c r="AL8930">
        <v>86.091611917210301</v>
      </c>
      <c r="AM8930">
        <v>79.090172348543007</v>
      </c>
      <c r="AN8930">
        <v>0.99999999152513597</v>
      </c>
    </row>
    <row r="8931" spans="1:40" x14ac:dyDescent="0.25">
      <c r="A8931" t="str">
        <f>"20190312150900490"</f>
        <v>20190312150900490</v>
      </c>
      <c r="B8931" t="str">
        <f>"1552374540478909"</f>
        <v>1552374540478909</v>
      </c>
      <c r="C8931" t="s">
        <v>40</v>
      </c>
      <c r="D8931">
        <v>4.927581</v>
      </c>
      <c r="E8931">
        <v>0.57107109999999905</v>
      </c>
      <c r="F8931" t="s">
        <v>43</v>
      </c>
      <c r="G8931">
        <v>-313.14229999999998</v>
      </c>
      <c r="H8931">
        <v>-0.05</v>
      </c>
      <c r="I8931">
        <v>11.482670000000001</v>
      </c>
      <c r="J8931">
        <v>-319.15300000000002</v>
      </c>
      <c r="K8931">
        <v>1.101218</v>
      </c>
      <c r="L8931">
        <v>14.966670000000001</v>
      </c>
      <c r="M8931">
        <v>0.98969609999999997</v>
      </c>
      <c r="N8931">
        <v>0</v>
      </c>
      <c r="O8931">
        <v>-0.14171629999999999</v>
      </c>
      <c r="P8931">
        <v>0.94369320000000001</v>
      </c>
      <c r="Q8931">
        <v>4.8979849999999998E-2</v>
      </c>
      <c r="R8931">
        <v>-0.327177</v>
      </c>
      <c r="S8931">
        <v>2.6774290000000001</v>
      </c>
      <c r="T8931">
        <v>-0.50339560000000005</v>
      </c>
      <c r="U8931">
        <v>-1.5303960000000001</v>
      </c>
      <c r="V8931">
        <v>0.1905367</v>
      </c>
      <c r="W8931">
        <v>6.7828799999999995E-2</v>
      </c>
      <c r="X8931">
        <v>0.97933389999999998</v>
      </c>
      <c r="Y8931">
        <v>0.36526370000000002</v>
      </c>
      <c r="Z8931">
        <v>-7.3829759999999899E-3</v>
      </c>
      <c r="AA8931">
        <v>0.9308748</v>
      </c>
      <c r="AB8931">
        <v>24</v>
      </c>
      <c r="AC8931">
        <v>6.0107000000000399</v>
      </c>
      <c r="AD8931">
        <v>-1.1512180000000001</v>
      </c>
      <c r="AE8931">
        <v>-3.484</v>
      </c>
      <c r="AF8931">
        <v>2.52743208717721</v>
      </c>
      <c r="AG8931">
        <v>-1.1512180000000001</v>
      </c>
      <c r="AH8931">
        <v>6.2716471357809001</v>
      </c>
      <c r="AI8931">
        <v>99.662192378928395</v>
      </c>
      <c r="AJ8931">
        <v>68.050893032142895</v>
      </c>
      <c r="AK8931">
        <v>6.8590650700052196</v>
      </c>
      <c r="AL8931">
        <v>86.110709603682096</v>
      </c>
      <c r="AM8931">
        <v>78.990220775897697</v>
      </c>
      <c r="AN8931">
        <v>0.99999993392276698</v>
      </c>
    </row>
    <row r="8932" spans="1:40" x14ac:dyDescent="0.25">
      <c r="A8932" t="str">
        <f>"20190312150900501"</f>
        <v>20190312150900501</v>
      </c>
      <c r="B8932" t="str">
        <f>"1552374540488668"</f>
        <v>1552374540488668</v>
      </c>
      <c r="C8932" t="s">
        <v>40</v>
      </c>
      <c r="D8932">
        <v>4.9470320000000001</v>
      </c>
      <c r="E8932">
        <v>0.57097019999999998</v>
      </c>
      <c r="F8932" t="s">
        <v>43</v>
      </c>
      <c r="G8932">
        <v>-313.08159999999998</v>
      </c>
      <c r="H8932">
        <v>-0.05</v>
      </c>
      <c r="I8932">
        <v>11.4697</v>
      </c>
      <c r="J8932">
        <v>-319.03699999999998</v>
      </c>
      <c r="K8932">
        <v>1.1004590000000001</v>
      </c>
      <c r="L8932">
        <v>14.94852</v>
      </c>
      <c r="M8932">
        <v>0.98944379999999998</v>
      </c>
      <c r="N8932">
        <v>0</v>
      </c>
      <c r="O8932">
        <v>-0.14332690000000001</v>
      </c>
      <c r="P8932">
        <v>0.94268280000000004</v>
      </c>
      <c r="Q8932">
        <v>4.8096559999999997E-2</v>
      </c>
      <c r="R8932">
        <v>-0.33020620000000001</v>
      </c>
      <c r="S8932">
        <v>2.6717529999999998</v>
      </c>
      <c r="T8932">
        <v>-0.50660490000000002</v>
      </c>
      <c r="U8932">
        <v>-1.5388790000000001</v>
      </c>
      <c r="V8932">
        <v>0.19208449999999999</v>
      </c>
      <c r="W8932">
        <v>6.7862119999999998E-2</v>
      </c>
      <c r="X8932">
        <v>0.97902920000000004</v>
      </c>
      <c r="Y8932">
        <v>0.36678139999999998</v>
      </c>
      <c r="Z8932">
        <v>-7.2969480000000001E-3</v>
      </c>
      <c r="AA8932">
        <v>0.93027850000000001</v>
      </c>
      <c r="AB8932">
        <v>24</v>
      </c>
      <c r="AC8932">
        <v>5.9554000000000498</v>
      </c>
      <c r="AD8932">
        <v>-1.1504589999999999</v>
      </c>
      <c r="AE8932">
        <v>-3.4788199999999998</v>
      </c>
      <c r="AF8932">
        <v>2.51903194252372</v>
      </c>
      <c r="AG8932">
        <v>-1.1504589999999999</v>
      </c>
      <c r="AH8932">
        <v>6.2195548787980197</v>
      </c>
      <c r="AI8932">
        <v>99.728561903554294</v>
      </c>
      <c r="AJ8932">
        <v>67.951164449586699</v>
      </c>
      <c r="AK8932">
        <v>6.8082259604478503</v>
      </c>
      <c r="AL8932">
        <v>86.108796155827406</v>
      </c>
      <c r="AM8932">
        <v>78.899627644563296</v>
      </c>
      <c r="AN8932">
        <v>0.99999994846189</v>
      </c>
    </row>
    <row r="8933" spans="1:40" x14ac:dyDescent="0.25">
      <c r="A8933" t="str">
        <f>"20190312150900514"</f>
        <v>20190312150900514</v>
      </c>
      <c r="B8933" t="str">
        <f>"1552374540508190"</f>
        <v>1552374540508190</v>
      </c>
      <c r="C8933" t="s">
        <v>40</v>
      </c>
      <c r="D8933">
        <v>4.9113350000000002</v>
      </c>
      <c r="E8933">
        <v>0.57085169999999996</v>
      </c>
      <c r="F8933" t="s">
        <v>43</v>
      </c>
      <c r="G8933">
        <v>-313.01729999999998</v>
      </c>
      <c r="H8933">
        <v>-0.05</v>
      </c>
      <c r="I8933">
        <v>11.45689</v>
      </c>
      <c r="J8933">
        <v>-318.90820000000002</v>
      </c>
      <c r="K8933">
        <v>1.099548</v>
      </c>
      <c r="L8933">
        <v>14.927949999999999</v>
      </c>
      <c r="M8933">
        <v>0.98915459999999999</v>
      </c>
      <c r="N8933">
        <v>0</v>
      </c>
      <c r="O8933">
        <v>-0.1451636</v>
      </c>
      <c r="P8933">
        <v>0.94159939999999998</v>
      </c>
      <c r="Q8933">
        <v>4.6783470000000001E-2</v>
      </c>
      <c r="R8933">
        <v>-0.3334705</v>
      </c>
      <c r="S8933">
        <v>2.6666259999999999</v>
      </c>
      <c r="T8933">
        <v>-0.50963059999999905</v>
      </c>
      <c r="U8933">
        <v>-1.5467219999999999</v>
      </c>
      <c r="V8933">
        <v>0.19365660000000001</v>
      </c>
      <c r="W8933">
        <v>6.7455840000000003E-2</v>
      </c>
      <c r="X8933">
        <v>0.97874760000000005</v>
      </c>
      <c r="Y8933">
        <v>0.36784790000000001</v>
      </c>
      <c r="Z8933">
        <v>-7.1270730000000003E-3</v>
      </c>
      <c r="AA8933">
        <v>0.92985859999999998</v>
      </c>
      <c r="AB8933">
        <v>24</v>
      </c>
      <c r="AC8933">
        <v>5.8909000000000402</v>
      </c>
      <c r="AD8933">
        <v>-1.149548</v>
      </c>
      <c r="AE8933">
        <v>-3.47106</v>
      </c>
      <c r="AF8933">
        <v>2.5080247184045699</v>
      </c>
      <c r="AG8933">
        <v>-1.149548</v>
      </c>
      <c r="AH8933">
        <v>6.1583950260757199</v>
      </c>
      <c r="AI8933">
        <v>99.808180487916999</v>
      </c>
      <c r="AJ8933">
        <v>67.841243145413003</v>
      </c>
      <c r="AK8933">
        <v>6.7481462557969598</v>
      </c>
      <c r="AL8933">
        <v>86.132128015397498</v>
      </c>
      <c r="AM8933">
        <v>78.807922855831407</v>
      </c>
      <c r="AN8933">
        <v>1.0000000167897101</v>
      </c>
    </row>
    <row r="8934" spans="1:40" x14ac:dyDescent="0.25">
      <c r="A8934" t="str">
        <f>"20190312150900526"</f>
        <v>20190312150900526</v>
      </c>
      <c r="B8934" t="str">
        <f>"1552374540517949"</f>
        <v>1552374540517949</v>
      </c>
      <c r="C8934" t="s">
        <v>40</v>
      </c>
      <c r="D8934">
        <v>4.8467789999999997</v>
      </c>
      <c r="E8934">
        <v>0.57079820000000003</v>
      </c>
      <c r="F8934" t="s">
        <v>43</v>
      </c>
      <c r="G8934">
        <v>-312.93299999999999</v>
      </c>
      <c r="H8934">
        <v>-0.05</v>
      </c>
      <c r="I8934">
        <v>11.436</v>
      </c>
      <c r="J8934">
        <v>-318.77319999999997</v>
      </c>
      <c r="K8934">
        <v>1.0985609999999999</v>
      </c>
      <c r="L8934">
        <v>14.90616</v>
      </c>
      <c r="M8934">
        <v>0.98883920000000003</v>
      </c>
      <c r="N8934">
        <v>0</v>
      </c>
      <c r="O8934">
        <v>-0.147149</v>
      </c>
      <c r="P8934">
        <v>0.9403745</v>
      </c>
      <c r="Q8934">
        <v>4.568465E-2</v>
      </c>
      <c r="R8934">
        <v>-0.33705950000000001</v>
      </c>
      <c r="S8934">
        <v>2.6607669999999999</v>
      </c>
      <c r="T8934">
        <v>-0.51189359999999995</v>
      </c>
      <c r="U8934">
        <v>-1.554962</v>
      </c>
      <c r="V8934">
        <v>0.1954282</v>
      </c>
      <c r="W8934">
        <v>6.7228899999999994E-2</v>
      </c>
      <c r="X8934">
        <v>0.97841100000000003</v>
      </c>
      <c r="Y8934">
        <v>0.3689982</v>
      </c>
      <c r="Z8934">
        <v>-6.9275539999999998E-3</v>
      </c>
      <c r="AA8934">
        <v>0.92940429999999996</v>
      </c>
      <c r="AB8934">
        <v>24</v>
      </c>
      <c r="AC8934">
        <v>5.8401999999999799</v>
      </c>
      <c r="AD8934">
        <v>-1.1485609999999999</v>
      </c>
      <c r="AE8934">
        <v>-3.4701599999999999</v>
      </c>
      <c r="AF8934">
        <v>2.5012527001420501</v>
      </c>
      <c r="AG8934">
        <v>-1.1485609999999999</v>
      </c>
      <c r="AH8934">
        <v>6.1126312645798899</v>
      </c>
      <c r="AI8934">
        <v>99.865282727891497</v>
      </c>
      <c r="AJ8934">
        <v>67.745911330207207</v>
      </c>
      <c r="AK8934">
        <v>6.7037093028716903</v>
      </c>
      <c r="AL8934">
        <v>86.145160221999802</v>
      </c>
      <c r="AM8934">
        <v>78.704370401411396</v>
      </c>
      <c r="AN8934">
        <v>0.99999999563572495</v>
      </c>
    </row>
    <row r="8935" spans="1:40" x14ac:dyDescent="0.25">
      <c r="A8935" t="str">
        <f>"20190312150900539"</f>
        <v>20190312150900539</v>
      </c>
      <c r="B8935" t="str">
        <f>"1552374540528684"</f>
        <v>1552374540528684</v>
      </c>
      <c r="C8935" t="s">
        <v>40</v>
      </c>
      <c r="D8935">
        <v>5.0005090000000001</v>
      </c>
      <c r="E8935">
        <v>0.5706348</v>
      </c>
      <c r="F8935" t="s">
        <v>43</v>
      </c>
      <c r="G8935">
        <v>-312.83210000000003</v>
      </c>
      <c r="H8935">
        <v>-0.05</v>
      </c>
      <c r="I8935">
        <v>11.403729999999999</v>
      </c>
      <c r="J8935">
        <v>-318.6386</v>
      </c>
      <c r="K8935">
        <v>1.0975649999999999</v>
      </c>
      <c r="L8935">
        <v>14.884</v>
      </c>
      <c r="M8935">
        <v>0.98848349999999996</v>
      </c>
      <c r="N8935">
        <v>0</v>
      </c>
      <c r="O8935">
        <v>-0.1494036</v>
      </c>
      <c r="P8935">
        <v>0.93919719999999995</v>
      </c>
      <c r="Q8935">
        <v>4.4517250000000001E-2</v>
      </c>
      <c r="R8935">
        <v>-0.34048099999999998</v>
      </c>
      <c r="S8935">
        <v>2.6542970000000001</v>
      </c>
      <c r="T8935">
        <v>-0.51314470000000001</v>
      </c>
      <c r="U8935">
        <v>-1.564789</v>
      </c>
      <c r="V8935">
        <v>0.1967584</v>
      </c>
      <c r="W8935">
        <v>6.6732189999999997E-2</v>
      </c>
      <c r="X8935">
        <v>0.9781784</v>
      </c>
      <c r="Y8935">
        <v>0.37041449999999998</v>
      </c>
      <c r="Z8935">
        <v>-6.6905519999999998E-3</v>
      </c>
      <c r="AA8935">
        <v>0.92884250000000002</v>
      </c>
      <c r="AB8935">
        <v>24</v>
      </c>
      <c r="AC8935">
        <v>5.8064999999999696</v>
      </c>
      <c r="AD8935">
        <v>-1.1475649999999999</v>
      </c>
      <c r="AE8935">
        <v>-3.48027</v>
      </c>
      <c r="AF8935">
        <v>2.5015382909553598</v>
      </c>
      <c r="AG8935">
        <v>-1.1475649999999999</v>
      </c>
      <c r="AH8935">
        <v>6.0865052271759303</v>
      </c>
      <c r="AI8935">
        <v>99.892230136850102</v>
      </c>
      <c r="AJ8935">
        <v>67.657461333288197</v>
      </c>
      <c r="AK8935">
        <v>6.6798312202316001</v>
      </c>
      <c r="AL8935">
        <v>86.173683749193401</v>
      </c>
      <c r="AM8935">
        <v>78.626848666179498</v>
      </c>
      <c r="AN8935">
        <v>1.00000001768965</v>
      </c>
    </row>
    <row r="8936" spans="1:40" x14ac:dyDescent="0.25">
      <c r="A8936" t="str">
        <f>"20190312150900555"</f>
        <v>20190312150900555</v>
      </c>
      <c r="B8936" t="str">
        <f>"1552374540548206"</f>
        <v>1552374540548206</v>
      </c>
      <c r="C8936" t="s">
        <v>40</v>
      </c>
      <c r="D8936">
        <v>4.8768330000000004</v>
      </c>
      <c r="E8936">
        <v>0.57032660000000002</v>
      </c>
      <c r="F8936" t="s">
        <v>43</v>
      </c>
      <c r="G8936">
        <v>-312.73349999999999</v>
      </c>
      <c r="H8936">
        <v>-0.05</v>
      </c>
      <c r="I8936">
        <v>11.37622</v>
      </c>
      <c r="J8936">
        <v>-318.49520000000001</v>
      </c>
      <c r="K8936">
        <v>1.0964609999999999</v>
      </c>
      <c r="L8936">
        <v>14.85999</v>
      </c>
      <c r="M8936">
        <v>0.98810439999999999</v>
      </c>
      <c r="N8936">
        <v>0</v>
      </c>
      <c r="O8936">
        <v>-0.1517888</v>
      </c>
      <c r="P8936">
        <v>0.93789350000000005</v>
      </c>
      <c r="Q8936">
        <v>4.3462710000000002E-2</v>
      </c>
      <c r="R8936">
        <v>-0.34419110000000003</v>
      </c>
      <c r="S8936">
        <v>2.6483150000000002</v>
      </c>
      <c r="T8936">
        <v>-0.51465260000000002</v>
      </c>
      <c r="U8936">
        <v>-1.573151</v>
      </c>
      <c r="V8936">
        <v>0.1982698</v>
      </c>
      <c r="W8936">
        <v>6.6234539999999995E-2</v>
      </c>
      <c r="X8936">
        <v>0.97790699999999997</v>
      </c>
      <c r="Y8936">
        <v>0.37125999999999998</v>
      </c>
      <c r="Z8936">
        <v>-6.3812419999999996E-3</v>
      </c>
      <c r="AA8936">
        <v>0.92850699999999997</v>
      </c>
      <c r="AB8936">
        <v>24</v>
      </c>
      <c r="AC8936">
        <v>5.76170000000001</v>
      </c>
      <c r="AD8936">
        <v>-1.146461</v>
      </c>
      <c r="AE8936">
        <v>-3.4837699999999998</v>
      </c>
      <c r="AF8936">
        <v>2.4961781017140701</v>
      </c>
      <c r="AG8936">
        <v>-1.146461</v>
      </c>
      <c r="AH8936">
        <v>6.0484914185524001</v>
      </c>
      <c r="AI8936">
        <v>99.937956517227505</v>
      </c>
      <c r="AJ8936">
        <v>67.574338052400407</v>
      </c>
      <c r="AK8936">
        <v>6.6430058241958401</v>
      </c>
      <c r="AL8936">
        <v>86.202260205113802</v>
      </c>
      <c r="AM8936">
        <v>78.538692206658098</v>
      </c>
      <c r="AN8936">
        <v>1.0000000142650201</v>
      </c>
    </row>
    <row r="8937" spans="1:40" x14ac:dyDescent="0.25">
      <c r="A8937" t="str">
        <f>"20190312150900567"</f>
        <v>20190312150900567</v>
      </c>
      <c r="B8937" t="str">
        <f>"1552374540558942"</f>
        <v>1552374540558942</v>
      </c>
      <c r="C8937" t="s">
        <v>40</v>
      </c>
      <c r="D8937">
        <v>4.8799130000000002</v>
      </c>
      <c r="E8937">
        <v>0.57024030000000003</v>
      </c>
      <c r="F8937" t="s">
        <v>43</v>
      </c>
      <c r="G8937">
        <v>-312.58960000000002</v>
      </c>
      <c r="H8937">
        <v>-0.05</v>
      </c>
      <c r="I8937">
        <v>11.325670000000001</v>
      </c>
      <c r="J8937">
        <v>-318.33370000000002</v>
      </c>
      <c r="K8937">
        <v>1.0951599999999999</v>
      </c>
      <c r="L8937">
        <v>14.832549999999999</v>
      </c>
      <c r="M8937">
        <v>0.98768279999999997</v>
      </c>
      <c r="N8937">
        <v>0</v>
      </c>
      <c r="O8937">
        <v>-0.15441629999999901</v>
      </c>
      <c r="P8937">
        <v>0.93654349999999997</v>
      </c>
      <c r="Q8937">
        <v>4.2523819999999997E-2</v>
      </c>
      <c r="R8937">
        <v>-0.34796329999999998</v>
      </c>
      <c r="S8937">
        <v>2.6421510000000001</v>
      </c>
      <c r="T8937">
        <v>-0.51292190000000004</v>
      </c>
      <c r="U8937">
        <v>-1.5812379999999999</v>
      </c>
      <c r="V8937">
        <v>0.1996182</v>
      </c>
      <c r="W8937">
        <v>6.5769670000000002E-2</v>
      </c>
      <c r="X8937">
        <v>0.97766399999999998</v>
      </c>
      <c r="Y8937">
        <v>0.37187930000000002</v>
      </c>
      <c r="Z8937">
        <v>-5.970581E-3</v>
      </c>
      <c r="AA8937">
        <v>0.92826189999999997</v>
      </c>
      <c r="AB8937">
        <v>24</v>
      </c>
      <c r="AC8937">
        <v>5.7441000000000004</v>
      </c>
      <c r="AD8937">
        <v>-1.14516</v>
      </c>
      <c r="AE8937">
        <v>-3.50687999999999</v>
      </c>
      <c r="AF8937">
        <v>2.50499650856261</v>
      </c>
      <c r="AG8937">
        <v>-1.14516</v>
      </c>
      <c r="AH8937">
        <v>6.0419174615310496</v>
      </c>
      <c r="AI8937">
        <v>99.930925722045401</v>
      </c>
      <c r="AJ8937">
        <v>67.480962001690003</v>
      </c>
      <c r="AK8937">
        <v>6.6401178864132202</v>
      </c>
      <c r="AL8937">
        <v>86.228953392717699</v>
      </c>
      <c r="AM8937">
        <v>78.460038277609499</v>
      </c>
      <c r="AN8937">
        <v>0.99999998607957397</v>
      </c>
    </row>
    <row r="8938" spans="1:40" x14ac:dyDescent="0.25">
      <c r="A8938" t="str">
        <f>"20190312150900579"</f>
        <v>20190312150900579</v>
      </c>
      <c r="B8938" t="str">
        <f>"1552374540568701"</f>
        <v>1552374540568701</v>
      </c>
      <c r="C8938" t="s">
        <v>40</v>
      </c>
      <c r="D8938">
        <v>4.8842739999999996</v>
      </c>
      <c r="E8938">
        <v>0.57015249999999995</v>
      </c>
      <c r="F8938" t="s">
        <v>43</v>
      </c>
      <c r="G8938">
        <v>-312.46159999999998</v>
      </c>
      <c r="H8938">
        <v>-0.05</v>
      </c>
      <c r="I8938">
        <v>11.28636</v>
      </c>
      <c r="J8938">
        <v>-318.20280000000002</v>
      </c>
      <c r="K8938">
        <v>1.0940529999999999</v>
      </c>
      <c r="L8938">
        <v>14.809810000000001</v>
      </c>
      <c r="M8938">
        <v>0.98735949999999995</v>
      </c>
      <c r="N8938">
        <v>0</v>
      </c>
      <c r="O8938">
        <v>-0.15640780000000001</v>
      </c>
      <c r="P8938">
        <v>0.93492730000000002</v>
      </c>
      <c r="Q8938">
        <v>4.2162470000000001E-2</v>
      </c>
      <c r="R8938">
        <v>-0.35232560000000002</v>
      </c>
      <c r="S8938">
        <v>2.6353149999999999</v>
      </c>
      <c r="T8938">
        <v>-0.5139281</v>
      </c>
      <c r="U8938">
        <v>-1.591461</v>
      </c>
      <c r="V8938">
        <v>0.2022275</v>
      </c>
      <c r="W8938">
        <v>6.5671179999999996E-2</v>
      </c>
      <c r="X8938">
        <v>0.97713419999999895</v>
      </c>
      <c r="Y8938">
        <v>0.373697</v>
      </c>
      <c r="Z8938">
        <v>-5.8090169999999997E-3</v>
      </c>
      <c r="AA8938">
        <v>0.92753269999999999</v>
      </c>
      <c r="AB8938">
        <v>24</v>
      </c>
      <c r="AC8938">
        <v>5.74120000000004</v>
      </c>
      <c r="AD8938">
        <v>-1.144053</v>
      </c>
      <c r="AE8938">
        <v>-3.52345</v>
      </c>
      <c r="AF8938">
        <v>2.50940962987683</v>
      </c>
      <c r="AG8938">
        <v>-1.144053</v>
      </c>
      <c r="AH8938">
        <v>6.0473368164972801</v>
      </c>
      <c r="AI8938">
        <v>99.911570141186303</v>
      </c>
      <c r="AJ8938">
        <v>67.463450584679407</v>
      </c>
      <c r="AK8938">
        <v>6.6465236424382796</v>
      </c>
      <c r="AL8938">
        <v>86.234608564075899</v>
      </c>
      <c r="AM8938">
        <v>78.307155686385499</v>
      </c>
      <c r="AN8938">
        <v>0.99999995522424001</v>
      </c>
    </row>
    <row r="8939" spans="1:40" x14ac:dyDescent="0.25">
      <c r="A8939" t="str">
        <f>"20190312150900592"</f>
        <v>20190312150900592</v>
      </c>
      <c r="B8939" t="str">
        <f>"1552374540588221"</f>
        <v>1552374540588221</v>
      </c>
      <c r="C8939" t="s">
        <v>40</v>
      </c>
      <c r="D8939">
        <v>4.86585</v>
      </c>
      <c r="E8939">
        <v>0.56994940000000005</v>
      </c>
      <c r="F8939" t="s">
        <v>43</v>
      </c>
      <c r="G8939">
        <v>-312.34679999999997</v>
      </c>
      <c r="H8939">
        <v>-0.05</v>
      </c>
      <c r="I8939">
        <v>11.236879999999999</v>
      </c>
      <c r="J8939">
        <v>-318.07749999999999</v>
      </c>
      <c r="K8939">
        <v>1.0929850000000001</v>
      </c>
      <c r="L8939">
        <v>14.78772</v>
      </c>
      <c r="M8939">
        <v>0.9870546</v>
      </c>
      <c r="N8939">
        <v>0</v>
      </c>
      <c r="O8939">
        <v>-0.15826660000000001</v>
      </c>
      <c r="P8939">
        <v>0.9338012</v>
      </c>
      <c r="Q8939">
        <v>4.2163289999999999E-2</v>
      </c>
      <c r="R8939">
        <v>-0.3552998</v>
      </c>
      <c r="S8939">
        <v>2.6277469999999998</v>
      </c>
      <c r="T8939">
        <v>-0.51336619999999999</v>
      </c>
      <c r="U8939">
        <v>-1.6032709999999999</v>
      </c>
      <c r="V8939">
        <v>0.2035226</v>
      </c>
      <c r="W8939">
        <v>6.5908610000000006E-2</v>
      </c>
      <c r="X8939">
        <v>0.97684930000000003</v>
      </c>
      <c r="Y8939">
        <v>0.37616850000000002</v>
      </c>
      <c r="Z8939">
        <v>-5.7118940000000003E-3</v>
      </c>
      <c r="AA8939">
        <v>0.92653359999999996</v>
      </c>
      <c r="AB8939">
        <v>24</v>
      </c>
      <c r="AC8939">
        <v>5.7307000000000103</v>
      </c>
      <c r="AD8939">
        <v>-1.1429849999999999</v>
      </c>
      <c r="AE8939">
        <v>-3.55084</v>
      </c>
      <c r="AF8939">
        <v>2.52615877285937</v>
      </c>
      <c r="AG8939">
        <v>-1.1429849999999999</v>
      </c>
      <c r="AH8939">
        <v>6.0467816402531396</v>
      </c>
      <c r="AI8939">
        <v>99.893723825569197</v>
      </c>
      <c r="AJ8939">
        <v>67.326333239880398</v>
      </c>
      <c r="AK8939">
        <v>6.6521771669748704</v>
      </c>
      <c r="AL8939">
        <v>86.220975361976897</v>
      </c>
      <c r="AM8939">
        <v>78.231018000209303</v>
      </c>
      <c r="AN8939">
        <v>0.99999997424668996</v>
      </c>
    </row>
    <row r="8940" spans="1:40" x14ac:dyDescent="0.25">
      <c r="A8940" t="str">
        <f>"20190312150900602"</f>
        <v>20190312150900602</v>
      </c>
      <c r="B8940" t="str">
        <f>"1552374540598958"</f>
        <v>1552374540598958</v>
      </c>
      <c r="C8940" t="s">
        <v>40</v>
      </c>
      <c r="D8940">
        <v>4.8858040000000003</v>
      </c>
      <c r="E8940">
        <v>0.56986190000000003</v>
      </c>
      <c r="F8940" t="s">
        <v>43</v>
      </c>
      <c r="G8940">
        <v>-312.20979999999997</v>
      </c>
      <c r="H8940">
        <v>-0.05</v>
      </c>
      <c r="I8940">
        <v>11.184620000000001</v>
      </c>
      <c r="J8940">
        <v>-317.95769999999999</v>
      </c>
      <c r="K8940">
        <v>1.091952</v>
      </c>
      <c r="L8940">
        <v>14.76642</v>
      </c>
      <c r="M8940">
        <v>0.98676509999999995</v>
      </c>
      <c r="N8940">
        <v>0</v>
      </c>
      <c r="O8940">
        <v>-0.1600142</v>
      </c>
      <c r="P8940">
        <v>0.93278380000000005</v>
      </c>
      <c r="Q8940">
        <v>4.185589E-2</v>
      </c>
      <c r="R8940">
        <v>-0.35799829999999999</v>
      </c>
      <c r="S8940">
        <v>2.6229550000000001</v>
      </c>
      <c r="T8940">
        <v>-0.51093690000000003</v>
      </c>
      <c r="U8940">
        <v>-1.610657</v>
      </c>
      <c r="V8940">
        <v>0.2046354</v>
      </c>
      <c r="W8940">
        <v>6.5812040000000002E-2</v>
      </c>
      <c r="X8940">
        <v>0.97662329999999997</v>
      </c>
      <c r="Y8940">
        <v>0.37721149999999998</v>
      </c>
      <c r="Z8940">
        <v>-5.4831639999999996E-3</v>
      </c>
      <c r="AA8940">
        <v>0.92611089999999996</v>
      </c>
      <c r="AB8940">
        <v>24</v>
      </c>
      <c r="AC8940">
        <v>5.7479000000000102</v>
      </c>
      <c r="AD8940">
        <v>-1.1419520000000001</v>
      </c>
      <c r="AE8940">
        <v>-3.5817999999999999</v>
      </c>
      <c r="AF8940">
        <v>2.54324571949441</v>
      </c>
      <c r="AG8940">
        <v>-1.1419520000000001</v>
      </c>
      <c r="AH8940">
        <v>6.07442117885528</v>
      </c>
      <c r="AI8940">
        <v>99.837729986642799</v>
      </c>
      <c r="AJ8940">
        <v>67.281857613887098</v>
      </c>
      <c r="AK8940">
        <v>6.6836177193310702</v>
      </c>
      <c r="AL8940">
        <v>86.226520441827901</v>
      </c>
      <c r="AM8940">
        <v>78.165817101451793</v>
      </c>
      <c r="AN8940">
        <v>0.99999997082250502</v>
      </c>
    </row>
    <row r="8941" spans="1:40" x14ac:dyDescent="0.25">
      <c r="A8941" t="str">
        <f>"20190312150900614"</f>
        <v>20190312150900614</v>
      </c>
      <c r="B8941" t="str">
        <f>"1552374540608717"</f>
        <v>1552374540608717</v>
      </c>
      <c r="C8941" t="s">
        <v>40</v>
      </c>
      <c r="D8941">
        <v>4.887607</v>
      </c>
      <c r="E8941">
        <v>0.56975819999999999</v>
      </c>
      <c r="F8941" t="s">
        <v>43</v>
      </c>
      <c r="G8941">
        <v>-312.10199999999998</v>
      </c>
      <c r="H8941">
        <v>-0.05</v>
      </c>
      <c r="I8941">
        <v>11.148149999999999</v>
      </c>
      <c r="J8941">
        <v>-317.84059999999999</v>
      </c>
      <c r="K8941">
        <v>1.09092099999999</v>
      </c>
      <c r="L8941">
        <v>14.74512</v>
      </c>
      <c r="M8941">
        <v>0.98646719999999999</v>
      </c>
      <c r="N8941">
        <v>0</v>
      </c>
      <c r="O8941">
        <v>-0.16180739999999999</v>
      </c>
      <c r="P8941">
        <v>0.93170830000000004</v>
      </c>
      <c r="Q8941">
        <v>4.1673679999999998E-2</v>
      </c>
      <c r="R8941">
        <v>-0.36080960000000001</v>
      </c>
      <c r="S8941">
        <v>2.6181950000000001</v>
      </c>
      <c r="T8941">
        <v>-0.51058779999999904</v>
      </c>
      <c r="U8941">
        <v>-1.6177979999999901</v>
      </c>
      <c r="V8941">
        <v>0.20581940000000001</v>
      </c>
      <c r="W8941">
        <v>6.5767770000000003E-2</v>
      </c>
      <c r="X8941">
        <v>0.97637750000000001</v>
      </c>
      <c r="Y8941">
        <v>0.37812269999999998</v>
      </c>
      <c r="Z8941">
        <v>-5.2578080000000001E-3</v>
      </c>
      <c r="AA8941">
        <v>0.92574060000000002</v>
      </c>
      <c r="AB8941">
        <v>24</v>
      </c>
      <c r="AC8941">
        <v>5.73859999999996</v>
      </c>
      <c r="AD8941">
        <v>-1.1409210000000001</v>
      </c>
      <c r="AE8941">
        <v>-3.5969699999999998</v>
      </c>
      <c r="AF8941">
        <v>2.54834595586936</v>
      </c>
      <c r="AG8941">
        <v>-1.1409210000000001</v>
      </c>
      <c r="AH8941">
        <v>6.07281031102558</v>
      </c>
      <c r="AI8941">
        <v>99.828310264054295</v>
      </c>
      <c r="AJ8941">
        <v>67.235516454520905</v>
      </c>
      <c r="AK8941">
        <v>6.6839204747464898</v>
      </c>
      <c r="AL8941">
        <v>86.229062633155294</v>
      </c>
      <c r="AM8941">
        <v>78.096382236500403</v>
      </c>
      <c r="AN8941">
        <v>1.0000000237466899</v>
      </c>
    </row>
    <row r="8942" spans="1:40" x14ac:dyDescent="0.25">
      <c r="A8942" t="str">
        <f>"20190312150900626"</f>
        <v>20190312150900626</v>
      </c>
      <c r="B8942" t="str">
        <f>"1552374540618477"</f>
        <v>1552374540618477</v>
      </c>
      <c r="C8942" t="s">
        <v>40</v>
      </c>
      <c r="D8942">
        <v>4.8658130000000002</v>
      </c>
      <c r="E8942">
        <v>0.56967190000000001</v>
      </c>
      <c r="F8942" t="s">
        <v>43</v>
      </c>
      <c r="G8942">
        <v>-311.99349999999998</v>
      </c>
      <c r="H8942">
        <v>-0.05</v>
      </c>
      <c r="I8942">
        <v>11.10941</v>
      </c>
      <c r="J8942">
        <v>-317.72829999999999</v>
      </c>
      <c r="K8942">
        <v>1.089925</v>
      </c>
      <c r="L8942">
        <v>14.724640000000001</v>
      </c>
      <c r="M8942">
        <v>0.98617540000000004</v>
      </c>
      <c r="N8942">
        <v>0</v>
      </c>
      <c r="O8942">
        <v>-0.16354649999999901</v>
      </c>
      <c r="P8942">
        <v>0.93065790000000004</v>
      </c>
      <c r="Q8942">
        <v>4.1519920000000002E-2</v>
      </c>
      <c r="R8942">
        <v>-0.36352699999999999</v>
      </c>
      <c r="S8942">
        <v>2.6133730000000002</v>
      </c>
      <c r="T8942">
        <v>-0.5099397</v>
      </c>
      <c r="U8942">
        <v>-1.625</v>
      </c>
      <c r="V8942">
        <v>0.20696020000000001</v>
      </c>
      <c r="W8942">
        <v>6.5731139999999993E-2</v>
      </c>
      <c r="X8942">
        <v>0.97613879999999997</v>
      </c>
      <c r="Y8942">
        <v>0.37911129999999998</v>
      </c>
      <c r="Z8942">
        <v>-5.0459779999999996E-3</v>
      </c>
      <c r="AA8942">
        <v>0.92533730000000003</v>
      </c>
      <c r="AB8942">
        <v>24</v>
      </c>
      <c r="AC8942">
        <v>5.7347999999999999</v>
      </c>
      <c r="AD8942">
        <v>-1.1399250000000001</v>
      </c>
      <c r="AE8942">
        <v>-3.6152299999999902</v>
      </c>
      <c r="AF8942">
        <v>2.5560088709508499</v>
      </c>
      <c r="AG8942">
        <v>-1.1399250000000001</v>
      </c>
      <c r="AH8942">
        <v>6.0771694122928697</v>
      </c>
      <c r="AI8942">
        <v>99.809692930460301</v>
      </c>
      <c r="AJ8942">
        <v>67.188767130141898</v>
      </c>
      <c r="AK8942">
        <v>6.69063512827538</v>
      </c>
      <c r="AL8942">
        <v>86.231165959875497</v>
      </c>
      <c r="AM8942">
        <v>78.029459039935304</v>
      </c>
      <c r="AN8942">
        <v>1.0000000320075799</v>
      </c>
    </row>
    <row r="8943" spans="1:40" x14ac:dyDescent="0.25">
      <c r="A8943" t="str">
        <f>"20190312150900637"</f>
        <v>20190312150900637</v>
      </c>
      <c r="B8943" t="str">
        <f>"1552374540628237"</f>
        <v>1552374540628237</v>
      </c>
      <c r="C8943" t="s">
        <v>40</v>
      </c>
      <c r="D8943">
        <v>4.8475289999999998</v>
      </c>
      <c r="E8943">
        <v>0.56960690000000003</v>
      </c>
      <c r="F8943" t="s">
        <v>43</v>
      </c>
      <c r="G8943">
        <v>-311.88889999999998</v>
      </c>
      <c r="H8943">
        <v>-0.05</v>
      </c>
      <c r="I8943">
        <v>11.070880000000001</v>
      </c>
      <c r="J8943">
        <v>-317.59820000000002</v>
      </c>
      <c r="K8943">
        <v>1.088716</v>
      </c>
      <c r="L8943">
        <v>14.700469999999999</v>
      </c>
      <c r="M8943">
        <v>0.98580800000000002</v>
      </c>
      <c r="N8943">
        <v>0</v>
      </c>
      <c r="O8943">
        <v>-0.1657392</v>
      </c>
      <c r="P8943">
        <v>0.92956669999999997</v>
      </c>
      <c r="Q8943">
        <v>4.1036320000000001E-2</v>
      </c>
      <c r="R8943">
        <v>-0.36636370000000001</v>
      </c>
      <c r="S8943">
        <v>2.608673</v>
      </c>
      <c r="T8943">
        <v>-0.50924499999999995</v>
      </c>
      <c r="U8943">
        <v>-1.632263</v>
      </c>
      <c r="V8943">
        <v>0.20777090000000001</v>
      </c>
      <c r="W8943">
        <v>6.5253420000000006E-2</v>
      </c>
      <c r="X8943">
        <v>0.97599860000000005</v>
      </c>
      <c r="Y8943">
        <v>0.3796833</v>
      </c>
      <c r="Z8943">
        <v>-4.7188769999999998E-3</v>
      </c>
      <c r="AA8943">
        <v>0.9251045</v>
      </c>
      <c r="AB8943">
        <v>24</v>
      </c>
      <c r="AC8943">
        <v>5.7093000000000398</v>
      </c>
      <c r="AD8943">
        <v>-1.1387160000000001</v>
      </c>
      <c r="AE8943">
        <v>-3.6295899999999999</v>
      </c>
      <c r="AF8943">
        <v>2.5602310698580202</v>
      </c>
      <c r="AG8943">
        <v>-1.1387160000000001</v>
      </c>
      <c r="AH8943">
        <v>6.06036991498567</v>
      </c>
      <c r="AI8943">
        <v>99.819705217920998</v>
      </c>
      <c r="AJ8943">
        <v>67.098150086423303</v>
      </c>
      <c r="AK8943">
        <v>6.6767912028298202</v>
      </c>
      <c r="AL8943">
        <v>86.258596112664193</v>
      </c>
      <c r="AM8943">
        <v>77.982252727636606</v>
      </c>
      <c r="AN8943">
        <v>1.0000000114552301</v>
      </c>
    </row>
    <row r="8944" spans="1:40" x14ac:dyDescent="0.25">
      <c r="A8944" t="str">
        <f>"20190312150900648"</f>
        <v>20190312150900648</v>
      </c>
      <c r="B8944" t="str">
        <f>"1552374540638973"</f>
        <v>1552374540638973</v>
      </c>
      <c r="C8944" t="s">
        <v>40</v>
      </c>
      <c r="D8944">
        <v>5.072349</v>
      </c>
      <c r="E8944">
        <v>0.56952419999999904</v>
      </c>
      <c r="F8944" t="s">
        <v>43</v>
      </c>
      <c r="G8944">
        <v>-311.77760000000001</v>
      </c>
      <c r="H8944">
        <v>-0.05</v>
      </c>
      <c r="I8944">
        <v>11.03436</v>
      </c>
      <c r="J8944">
        <v>-317.47840000000002</v>
      </c>
      <c r="K8944">
        <v>1.087569</v>
      </c>
      <c r="L8944">
        <v>14.67801</v>
      </c>
      <c r="M8944">
        <v>0.98545970000000005</v>
      </c>
      <c r="N8944">
        <v>0</v>
      </c>
      <c r="O8944">
        <v>-0.16779910000000001</v>
      </c>
      <c r="P8944">
        <v>0.92853140000000001</v>
      </c>
      <c r="Q8944">
        <v>4.071429E-2</v>
      </c>
      <c r="R8944">
        <v>-0.36901469999999997</v>
      </c>
      <c r="S8944">
        <v>2.6035159999999999</v>
      </c>
      <c r="T8944">
        <v>-0.50933279999999903</v>
      </c>
      <c r="U8944">
        <v>-1.6398009999999901</v>
      </c>
      <c r="V8944">
        <v>0.2085225</v>
      </c>
      <c r="W8944">
        <v>6.4877519999999994E-2</v>
      </c>
      <c r="X8944">
        <v>0.97586329999999999</v>
      </c>
      <c r="Y8944">
        <v>0.38050800000000001</v>
      </c>
      <c r="Z8944">
        <v>-4.4450849999999997E-3</v>
      </c>
      <c r="AA8944">
        <v>0.92476700000000001</v>
      </c>
      <c r="AB8944">
        <v>24</v>
      </c>
      <c r="AC8944">
        <v>5.7008000000000099</v>
      </c>
      <c r="AD8944">
        <v>-1.1375690000000001</v>
      </c>
      <c r="AE8944">
        <v>-3.6436499999999898</v>
      </c>
      <c r="AF8944">
        <v>2.5625764323031501</v>
      </c>
      <c r="AG8944">
        <v>-1.1375690000000001</v>
      </c>
      <c r="AH8944">
        <v>6.06020917346203</v>
      </c>
      <c r="AI8944">
        <v>99.808887916235193</v>
      </c>
      <c r="AJ8944">
        <v>67.078792068235003</v>
      </c>
      <c r="AK8944">
        <v>6.6773495061491204</v>
      </c>
      <c r="AL8944">
        <v>86.280179113018406</v>
      </c>
      <c r="AM8944">
        <v>77.9384265935076</v>
      </c>
      <c r="AN8944">
        <v>0.99999995294724398</v>
      </c>
    </row>
    <row r="8945" spans="1:40" x14ac:dyDescent="0.25">
      <c r="A8945" t="str">
        <f>"20190312150900660"</f>
        <v>20190312150900660</v>
      </c>
      <c r="B8945" t="str">
        <f>"1552374540648733"</f>
        <v>1552374540648733</v>
      </c>
      <c r="C8945" t="s">
        <v>40</v>
      </c>
      <c r="D8945">
        <v>4.8836969999999997</v>
      </c>
      <c r="E8945">
        <v>0.56940819999999903</v>
      </c>
      <c r="F8945" t="s">
        <v>43</v>
      </c>
      <c r="G8945">
        <v>-311.6583</v>
      </c>
      <c r="H8945">
        <v>-0.05</v>
      </c>
      <c r="I8945">
        <v>10.99065</v>
      </c>
      <c r="J8945">
        <v>-317.35890000000001</v>
      </c>
      <c r="K8945">
        <v>1.0863750000000001</v>
      </c>
      <c r="L8945">
        <v>14.655329999999999</v>
      </c>
      <c r="M8945">
        <v>0.98509970000000002</v>
      </c>
      <c r="N8945">
        <v>0</v>
      </c>
      <c r="O8945">
        <v>-0.16991510000000001</v>
      </c>
      <c r="P8945">
        <v>0.92748620000000004</v>
      </c>
      <c r="Q8945">
        <v>4.0421369999999998E-2</v>
      </c>
      <c r="R8945">
        <v>-0.3716663</v>
      </c>
      <c r="S8945">
        <v>2.5988159999999998</v>
      </c>
      <c r="T8945">
        <v>-0.50795509999999999</v>
      </c>
      <c r="U8945">
        <v>-1.646515</v>
      </c>
      <c r="V8945">
        <v>0.20922080000000001</v>
      </c>
      <c r="W8945">
        <v>6.4438780000000001E-2</v>
      </c>
      <c r="X8945">
        <v>0.97574289999999997</v>
      </c>
      <c r="Y8945">
        <v>0.38101849999999998</v>
      </c>
      <c r="Z8945">
        <v>-4.1211399999999997E-3</v>
      </c>
      <c r="AA8945">
        <v>0.92455830000000006</v>
      </c>
      <c r="AB8945">
        <v>24</v>
      </c>
      <c r="AC8945">
        <v>5.7005999999999997</v>
      </c>
      <c r="AD8945">
        <v>-1.1363749999999999</v>
      </c>
      <c r="AE8945">
        <v>-3.6646799999999899</v>
      </c>
      <c r="AF8945">
        <v>2.5701262554330202</v>
      </c>
      <c r="AG8945">
        <v>-1.1363749999999999</v>
      </c>
      <c r="AH8945">
        <v>6.0698812551741597</v>
      </c>
      <c r="AI8945">
        <v>99.781517621761097</v>
      </c>
      <c r="AJ8945">
        <v>67.051091897971403</v>
      </c>
      <c r="AK8945">
        <v>6.6888231821005499</v>
      </c>
      <c r="AL8945">
        <v>86.305369777845897</v>
      </c>
      <c r="AM8945">
        <v>77.897774213706597</v>
      </c>
      <c r="AN8945">
        <v>0.99999995321046797</v>
      </c>
    </row>
    <row r="8946" spans="1:40" x14ac:dyDescent="0.25">
      <c r="A8946" t="str">
        <f>"20190312150900673"</f>
        <v>20190312150900673</v>
      </c>
      <c r="B8946" t="str">
        <f>"1552374540668253"</f>
        <v>1552374540668253</v>
      </c>
      <c r="C8946" t="s">
        <v>40</v>
      </c>
      <c r="D8946">
        <v>4.9288040000000004</v>
      </c>
      <c r="E8946">
        <v>0.5691929</v>
      </c>
      <c r="F8946" t="s">
        <v>43</v>
      </c>
      <c r="G8946">
        <v>-311.53769999999997</v>
      </c>
      <c r="H8946">
        <v>-0.05</v>
      </c>
      <c r="I8946">
        <v>10.945270000000001</v>
      </c>
      <c r="J8946">
        <v>-317.23129999999998</v>
      </c>
      <c r="K8946">
        <v>1.085046</v>
      </c>
      <c r="L8946">
        <v>14.630739999999999</v>
      </c>
      <c r="M8946">
        <v>0.98471699999999995</v>
      </c>
      <c r="N8946">
        <v>0</v>
      </c>
      <c r="O8946">
        <v>-0.17214849999999901</v>
      </c>
      <c r="P8946">
        <v>0.92638960000000004</v>
      </c>
      <c r="Q8946">
        <v>4.0067730000000003E-2</v>
      </c>
      <c r="R8946">
        <v>-0.37442940000000002</v>
      </c>
      <c r="S8946">
        <v>2.5940859999999999</v>
      </c>
      <c r="T8946">
        <v>-0.50639590000000001</v>
      </c>
      <c r="U8946">
        <v>-1.6532899999999999</v>
      </c>
      <c r="V8946">
        <v>0.20992379999999999</v>
      </c>
      <c r="W8946">
        <v>6.385586E-2</v>
      </c>
      <c r="X8946">
        <v>0.97563029999999995</v>
      </c>
      <c r="Y8946">
        <v>0.3814439</v>
      </c>
      <c r="Z8946">
        <v>-3.769742E-3</v>
      </c>
      <c r="AA8946">
        <v>0.92438430000000005</v>
      </c>
      <c r="AB8946">
        <v>24</v>
      </c>
      <c r="AC8946">
        <v>5.6936</v>
      </c>
      <c r="AD8946">
        <v>-1.135046</v>
      </c>
      <c r="AE8946">
        <v>-3.68547</v>
      </c>
      <c r="AF8946">
        <v>2.5777291151574802</v>
      </c>
      <c r="AG8946">
        <v>-1.135046</v>
      </c>
      <c r="AH8946">
        <v>6.0731183374124802</v>
      </c>
      <c r="AI8946">
        <v>99.761660079818</v>
      </c>
      <c r="AJ8946">
        <v>67.001252467907804</v>
      </c>
      <c r="AK8946">
        <v>6.6944591382323297</v>
      </c>
      <c r="AL8946">
        <v>86.338837836860506</v>
      </c>
      <c r="AM8946">
        <v>77.856954566204294</v>
      </c>
      <c r="AN8946">
        <v>1.0000000274704299</v>
      </c>
    </row>
    <row r="8947" spans="1:40" x14ac:dyDescent="0.25">
      <c r="A8947" t="str">
        <f>"20190312150900683"</f>
        <v>20190312150900683</v>
      </c>
      <c r="B8947" t="str">
        <f>"1552374540678988"</f>
        <v>1552374540678988</v>
      </c>
      <c r="C8947" t="s">
        <v>40</v>
      </c>
      <c r="D8947">
        <v>4.9254540000000002</v>
      </c>
      <c r="E8947">
        <v>0.56909239999999905</v>
      </c>
      <c r="F8947" t="s">
        <v>43</v>
      </c>
      <c r="G8947">
        <v>-311.38979999999998</v>
      </c>
      <c r="H8947">
        <v>-0.05</v>
      </c>
      <c r="I8947">
        <v>10.887560000000001</v>
      </c>
      <c r="J8947">
        <v>-317.11369999999999</v>
      </c>
      <c r="K8947">
        <v>1.0837950000000001</v>
      </c>
      <c r="L8947">
        <v>14.6078799999999</v>
      </c>
      <c r="M8947">
        <v>0.98436270000000003</v>
      </c>
      <c r="N8947">
        <v>0</v>
      </c>
      <c r="O8947">
        <v>-0.17419270000000001</v>
      </c>
      <c r="P8947">
        <v>0.92534300000000003</v>
      </c>
      <c r="Q8947">
        <v>4.00702E-2</v>
      </c>
      <c r="R8947">
        <v>-0.37700820000000002</v>
      </c>
      <c r="S8947">
        <v>2.5894469999999998</v>
      </c>
      <c r="T8947">
        <v>-0.50314899999999996</v>
      </c>
      <c r="U8947">
        <v>-1.6593020000000001</v>
      </c>
      <c r="V8947">
        <v>0.21062819999999999</v>
      </c>
      <c r="W8947">
        <v>6.3609369999999998E-2</v>
      </c>
      <c r="X8947">
        <v>0.97549459999999999</v>
      </c>
      <c r="Y8947">
        <v>0.38185380000000002</v>
      </c>
      <c r="Z8947">
        <v>-3.4396589999999999E-3</v>
      </c>
      <c r="AA8947">
        <v>0.92421629999999999</v>
      </c>
      <c r="AB8947">
        <v>24</v>
      </c>
      <c r="AC8947">
        <v>5.7239000000000102</v>
      </c>
      <c r="AD8947">
        <v>-1.1337950000000001</v>
      </c>
      <c r="AE8947">
        <v>-3.7203199999999899</v>
      </c>
      <c r="AF8947">
        <v>2.5944352258040402</v>
      </c>
      <c r="AG8947">
        <v>-1.1337950000000001</v>
      </c>
      <c r="AH8947">
        <v>6.1159078400764901</v>
      </c>
      <c r="AI8947">
        <v>99.684994543251506</v>
      </c>
      <c r="AJ8947">
        <v>67.012810296595504</v>
      </c>
      <c r="AK8947">
        <v>6.7395039840649202</v>
      </c>
      <c r="AL8947">
        <v>86.352989535069895</v>
      </c>
      <c r="AM8947">
        <v>77.815779546590605</v>
      </c>
      <c r="AN8947">
        <v>1.0000000526080901</v>
      </c>
    </row>
    <row r="8948" spans="1:40" x14ac:dyDescent="0.25">
      <c r="A8948" t="str">
        <f>"20190312150900694"</f>
        <v>20190312150900694</v>
      </c>
      <c r="B8948" t="str">
        <f>"1552374540688749"</f>
        <v>1552374540688749</v>
      </c>
      <c r="C8948" t="s">
        <v>40</v>
      </c>
      <c r="D8948">
        <v>4.8670859999999996</v>
      </c>
      <c r="E8948">
        <v>0.56900090000000003</v>
      </c>
      <c r="F8948" t="s">
        <v>43</v>
      </c>
      <c r="G8948">
        <v>-311.26949999999999</v>
      </c>
      <c r="H8948">
        <v>-0.05</v>
      </c>
      <c r="I8948">
        <v>10.84254</v>
      </c>
      <c r="J8948">
        <v>-317</v>
      </c>
      <c r="K8948">
        <v>1.0825560000000001</v>
      </c>
      <c r="L8948">
        <v>14.5853</v>
      </c>
      <c r="M8948">
        <v>0.98402630000000002</v>
      </c>
      <c r="N8948">
        <v>0</v>
      </c>
      <c r="O8948">
        <v>-0.1761221</v>
      </c>
      <c r="P8948">
        <v>0.924319</v>
      </c>
      <c r="Q8948">
        <v>4.0454320000000002E-2</v>
      </c>
      <c r="R8948">
        <v>-0.3794709</v>
      </c>
      <c r="S8948">
        <v>2.5851440000000001</v>
      </c>
      <c r="T8948">
        <v>-0.50153190000000003</v>
      </c>
      <c r="U8948">
        <v>-1.6655880000000001</v>
      </c>
      <c r="V8948">
        <v>0.21132980000000001</v>
      </c>
      <c r="W8948">
        <v>6.3687880000000002E-2</v>
      </c>
      <c r="X8948">
        <v>0.97533769999999997</v>
      </c>
      <c r="Y8948">
        <v>0.3823665</v>
      </c>
      <c r="Z8948">
        <v>-3.1513050000000001E-3</v>
      </c>
      <c r="AA8948">
        <v>0.92400539999999998</v>
      </c>
      <c r="AB8948">
        <v>24</v>
      </c>
      <c r="AC8948">
        <v>5.7305000000000001</v>
      </c>
      <c r="AD8948">
        <v>-1.1325559999999999</v>
      </c>
      <c r="AE8948">
        <v>-3.7427600000000001</v>
      </c>
      <c r="AF8948">
        <v>2.6033271127704198</v>
      </c>
      <c r="AG8948">
        <v>-1.1325559999999999</v>
      </c>
      <c r="AH8948">
        <v>6.1323605827685101</v>
      </c>
      <c r="AI8948">
        <v>99.648081539789302</v>
      </c>
      <c r="AJ8948">
        <v>66.997668703113305</v>
      </c>
      <c r="AK8948">
        <v>6.7576505877645401</v>
      </c>
      <c r="AL8948">
        <v>86.348482020619599</v>
      </c>
      <c r="AM8948">
        <v>77.774505218787596</v>
      </c>
      <c r="AN8948">
        <v>1.0000000297341101</v>
      </c>
    </row>
    <row r="8949" spans="1:40" x14ac:dyDescent="0.25">
      <c r="A8949" t="str">
        <f>"20190312150900705"</f>
        <v>20190312150900705</v>
      </c>
      <c r="B8949" t="str">
        <f>"1552374540698509"</f>
        <v>1552374540698509</v>
      </c>
      <c r="C8949" t="s">
        <v>40</v>
      </c>
      <c r="D8949">
        <v>4.8613520000000001</v>
      </c>
      <c r="E8949">
        <v>0.56891159999999996</v>
      </c>
      <c r="F8949" t="s">
        <v>43</v>
      </c>
      <c r="G8949">
        <v>-311.13709999999998</v>
      </c>
      <c r="H8949">
        <v>-0.05</v>
      </c>
      <c r="I8949">
        <v>10.7879</v>
      </c>
      <c r="J8949">
        <v>-316.89479999999998</v>
      </c>
      <c r="K8949">
        <v>1.081415</v>
      </c>
      <c r="L8949">
        <v>14.564360000000001</v>
      </c>
      <c r="M8949">
        <v>0.98371209999999998</v>
      </c>
      <c r="N8949">
        <v>0</v>
      </c>
      <c r="O8949">
        <v>-0.17790610000000001</v>
      </c>
      <c r="P8949">
        <v>0.92325749999999995</v>
      </c>
      <c r="Q8949">
        <v>4.0770500000000001E-2</v>
      </c>
      <c r="R8949">
        <v>-0.38201309999999999</v>
      </c>
      <c r="S8949">
        <v>2.5811160000000002</v>
      </c>
      <c r="T8949">
        <v>-0.4986025</v>
      </c>
      <c r="U8949">
        <v>-1.671783</v>
      </c>
      <c r="V8949">
        <v>0.21225959999999999</v>
      </c>
      <c r="W8949">
        <v>6.3713110000000003E-2</v>
      </c>
      <c r="X8949">
        <v>0.9751341</v>
      </c>
      <c r="Y8949">
        <v>0.38295839999999998</v>
      </c>
      <c r="Z8949">
        <v>-2.888294E-3</v>
      </c>
      <c r="AA8949">
        <v>0.9237611</v>
      </c>
      <c r="AB8949">
        <v>24</v>
      </c>
      <c r="AC8949">
        <v>5.7576999999999998</v>
      </c>
      <c r="AD8949">
        <v>-1.1314150000000001</v>
      </c>
      <c r="AE8949">
        <v>-3.7764599999999899</v>
      </c>
      <c r="AF8949">
        <v>2.62074990484561</v>
      </c>
      <c r="AG8949">
        <v>-1.1314150000000001</v>
      </c>
      <c r="AH8949">
        <v>6.1712481341278096</v>
      </c>
      <c r="AI8949">
        <v>99.578435485189402</v>
      </c>
      <c r="AJ8949">
        <v>66.990477929464106</v>
      </c>
      <c r="AK8949">
        <v>6.7994656774594704</v>
      </c>
      <c r="AL8949">
        <v>86.347033417949206</v>
      </c>
      <c r="AM8949">
        <v>77.719858452451902</v>
      </c>
      <c r="AN8949">
        <v>1.0000000055804199</v>
      </c>
    </row>
    <row r="8950" spans="1:40" x14ac:dyDescent="0.25">
      <c r="A8950" t="str">
        <f>"20190312150900715"</f>
        <v>20190312150900715</v>
      </c>
      <c r="B8950" t="str">
        <f>"1552374540708269"</f>
        <v>1552374540708269</v>
      </c>
      <c r="C8950" t="s">
        <v>40</v>
      </c>
      <c r="D8950">
        <v>4.9135749999999998</v>
      </c>
      <c r="E8950">
        <v>0.56883709999999998</v>
      </c>
      <c r="F8950" t="s">
        <v>43</v>
      </c>
      <c r="G8950">
        <v>-311.02019999999999</v>
      </c>
      <c r="H8950">
        <v>-0.05</v>
      </c>
      <c r="I8950">
        <v>10.7395</v>
      </c>
      <c r="J8950">
        <v>-316.79050000000001</v>
      </c>
      <c r="K8950">
        <v>1.0803160000000001</v>
      </c>
      <c r="L8950">
        <v>14.543089999999999</v>
      </c>
      <c r="M8950">
        <v>0.98338119999999996</v>
      </c>
      <c r="N8950">
        <v>0</v>
      </c>
      <c r="O8950">
        <v>-0.1797685</v>
      </c>
      <c r="P8950">
        <v>0.92210210000000004</v>
      </c>
      <c r="Q8950">
        <v>4.0898810000000001E-2</v>
      </c>
      <c r="R8950">
        <v>-0.38477929999999999</v>
      </c>
      <c r="S8950">
        <v>2.577026</v>
      </c>
      <c r="T8950">
        <v>-0.49631999999999998</v>
      </c>
      <c r="U8950">
        <v>-1.677856</v>
      </c>
      <c r="V8950">
        <v>0.2133398</v>
      </c>
      <c r="W8950">
        <v>6.353085E-2</v>
      </c>
      <c r="X8950">
        <v>0.97491030000000001</v>
      </c>
      <c r="Y8950">
        <v>0.38345010000000002</v>
      </c>
      <c r="Z8950">
        <v>-2.6095549999999999E-3</v>
      </c>
      <c r="AA8950">
        <v>0.92355790000000004</v>
      </c>
      <c r="AB8950">
        <v>24</v>
      </c>
      <c r="AC8950">
        <v>5.7703000000000104</v>
      </c>
      <c r="AD8950">
        <v>-1.1303159999999901</v>
      </c>
      <c r="AE8950">
        <v>-3.8035899999999998</v>
      </c>
      <c r="AF8950">
        <v>2.6334901254482701</v>
      </c>
      <c r="AG8950">
        <v>-1.1303159999999901</v>
      </c>
      <c r="AH8950">
        <v>6.1945254557414398</v>
      </c>
      <c r="AI8950">
        <v>99.532453719219404</v>
      </c>
      <c r="AJ8950">
        <v>66.968109150428901</v>
      </c>
      <c r="AK8950">
        <v>6.8253227119688802</v>
      </c>
      <c r="AL8950">
        <v>86.357497566630499</v>
      </c>
      <c r="AM8950">
        <v>77.656528409527397</v>
      </c>
      <c r="AN8950">
        <v>1.0000000661059201</v>
      </c>
    </row>
    <row r="8951" spans="1:40" x14ac:dyDescent="0.25">
      <c r="A8951" t="str">
        <f>"20190312150900726"</f>
        <v>20190312150900726</v>
      </c>
      <c r="B8951" t="str">
        <f>"1552374540719004"</f>
        <v>1552374540719004</v>
      </c>
      <c r="C8951" t="s">
        <v>40</v>
      </c>
      <c r="D8951">
        <v>4.8900739999999896</v>
      </c>
      <c r="E8951">
        <v>0.56876179999999998</v>
      </c>
      <c r="F8951" t="s">
        <v>43</v>
      </c>
      <c r="G8951">
        <v>-310.92540000000002</v>
      </c>
      <c r="H8951">
        <v>-0.05</v>
      </c>
      <c r="I8951">
        <v>10.702159999999999</v>
      </c>
      <c r="J8951">
        <v>-316.66950000000003</v>
      </c>
      <c r="K8951">
        <v>1.079053</v>
      </c>
      <c r="L8951">
        <v>14.51834</v>
      </c>
      <c r="M8951">
        <v>0.98298600000000003</v>
      </c>
      <c r="N8951">
        <v>0</v>
      </c>
      <c r="O8951">
        <v>-0.18196580000000001</v>
      </c>
      <c r="P8951">
        <v>0.92091999999999996</v>
      </c>
      <c r="Q8951">
        <v>4.1004909999999999E-2</v>
      </c>
      <c r="R8951">
        <v>-0.38758890000000001</v>
      </c>
      <c r="S8951">
        <v>2.5724490000000002</v>
      </c>
      <c r="T8951">
        <v>-0.4957666</v>
      </c>
      <c r="U8951">
        <v>-1.6846620000000001</v>
      </c>
      <c r="V8951">
        <v>0.21413370000000001</v>
      </c>
      <c r="W8951">
        <v>6.3281009999999999E-2</v>
      </c>
      <c r="X8951">
        <v>0.97475239999999996</v>
      </c>
      <c r="Y8951">
        <v>0.38387840000000001</v>
      </c>
      <c r="Z8951">
        <v>-2.2798979999999998E-3</v>
      </c>
      <c r="AA8951">
        <v>0.92338089999999995</v>
      </c>
      <c r="AB8951">
        <v>24</v>
      </c>
      <c r="AC8951">
        <v>5.7441000000000004</v>
      </c>
      <c r="AD8951">
        <v>-1.1290530000000001</v>
      </c>
      <c r="AE8951">
        <v>-3.8161799999999899</v>
      </c>
      <c r="AF8951">
        <v>2.6362085107815698</v>
      </c>
      <c r="AG8951">
        <v>-1.1290530000000001</v>
      </c>
      <c r="AH8951">
        <v>6.1771968441379297</v>
      </c>
      <c r="AI8951">
        <v>99.542702514176398</v>
      </c>
      <c r="AJ8951">
        <v>66.888929678324601</v>
      </c>
      <c r="AK8951">
        <v>6.8104417507496402</v>
      </c>
      <c r="AL8951">
        <v>86.371840908799498</v>
      </c>
      <c r="AM8951">
        <v>77.610065664233204</v>
      </c>
      <c r="AN8951">
        <v>0.99999998450403405</v>
      </c>
    </row>
    <row r="8952" spans="1:40" x14ac:dyDescent="0.25">
      <c r="A8952" t="str">
        <f>"20190312150900739"</f>
        <v>20190312150900739</v>
      </c>
      <c r="B8952" t="str">
        <f>"1552374540728764"</f>
        <v>1552374540728764</v>
      </c>
      <c r="C8952" t="s">
        <v>40</v>
      </c>
      <c r="D8952">
        <v>4.8699440000000003</v>
      </c>
      <c r="E8952">
        <v>0.56868180000000002</v>
      </c>
      <c r="F8952" t="s">
        <v>43</v>
      </c>
      <c r="G8952">
        <v>-310.81270000000001</v>
      </c>
      <c r="H8952">
        <v>-0.05</v>
      </c>
      <c r="I8952">
        <v>10.65944</v>
      </c>
      <c r="J8952">
        <v>-316.53230000000002</v>
      </c>
      <c r="K8952">
        <v>1.0776790000000001</v>
      </c>
      <c r="L8952">
        <v>14.48978</v>
      </c>
      <c r="M8952">
        <v>0.98249509999999995</v>
      </c>
      <c r="N8952">
        <v>0</v>
      </c>
      <c r="O8952">
        <v>-0.18465799999999999</v>
      </c>
      <c r="P8952">
        <v>0.91937170000000001</v>
      </c>
      <c r="Q8952">
        <v>4.1103430000000003E-2</v>
      </c>
      <c r="R8952">
        <v>-0.3912371</v>
      </c>
      <c r="S8952">
        <v>2.5676269999999999</v>
      </c>
      <c r="T8952">
        <v>-0.49497580000000002</v>
      </c>
      <c r="U8952">
        <v>-1.6917420000000001</v>
      </c>
      <c r="V8952">
        <v>0.21531980000000001</v>
      </c>
      <c r="W8952">
        <v>6.2955979999999995E-2</v>
      </c>
      <c r="X8952">
        <v>0.97451220000000005</v>
      </c>
      <c r="Y8952">
        <v>0.38396360000000002</v>
      </c>
      <c r="Z8952">
        <v>-1.8373490000000001E-3</v>
      </c>
      <c r="AA8952">
        <v>0.92334640000000001</v>
      </c>
      <c r="AB8952">
        <v>24</v>
      </c>
      <c r="AC8952">
        <v>5.7196000000000096</v>
      </c>
      <c r="AD8952">
        <v>-1.1276790000000001</v>
      </c>
      <c r="AE8952">
        <v>-3.8303400000000001</v>
      </c>
      <c r="AF8952">
        <v>2.6371668649397901</v>
      </c>
      <c r="AG8952">
        <v>-1.1276790000000001</v>
      </c>
      <c r="AH8952">
        <v>6.1632942803667499</v>
      </c>
      <c r="AI8952">
        <v>99.548619113006694</v>
      </c>
      <c r="AJ8952">
        <v>66.834756784732093</v>
      </c>
      <c r="AK8952">
        <v>6.79797803666494</v>
      </c>
      <c r="AL8952">
        <v>86.390501199861504</v>
      </c>
      <c r="AM8952">
        <v>77.5405991591402</v>
      </c>
      <c r="AN8952">
        <v>1.00000004981931</v>
      </c>
    </row>
    <row r="8953" spans="1:40" x14ac:dyDescent="0.25">
      <c r="A8953" t="str">
        <f>"20190312150900752"</f>
        <v>20190312150900752</v>
      </c>
      <c r="B8953" t="str">
        <f>"1552374540748285"</f>
        <v>1552374540748285</v>
      </c>
      <c r="C8953" t="s">
        <v>40</v>
      </c>
      <c r="D8953">
        <v>4.8769929999999997</v>
      </c>
      <c r="E8953">
        <v>0.56853889999999996</v>
      </c>
      <c r="F8953" t="s">
        <v>43</v>
      </c>
      <c r="G8953">
        <v>-310.68979999999999</v>
      </c>
      <c r="H8953">
        <v>-0.05</v>
      </c>
      <c r="I8953">
        <v>10.609360000000001</v>
      </c>
      <c r="J8953">
        <v>-316.41079999999999</v>
      </c>
      <c r="K8953">
        <v>1.0764899999999999</v>
      </c>
      <c r="L8953">
        <v>14.46414</v>
      </c>
      <c r="M8953">
        <v>0.98203370000000001</v>
      </c>
      <c r="N8953">
        <v>0</v>
      </c>
      <c r="O8953">
        <v>-0.18715129999999999</v>
      </c>
      <c r="P8953">
        <v>0.91794489999999995</v>
      </c>
      <c r="Q8953">
        <v>4.1139599999999998E-2</v>
      </c>
      <c r="R8953">
        <v>-0.39456920000000001</v>
      </c>
      <c r="S8953">
        <v>2.5613100000000002</v>
      </c>
      <c r="T8953">
        <v>-0.49435699999999999</v>
      </c>
      <c r="U8953">
        <v>-1.701111</v>
      </c>
      <c r="V8953">
        <v>0.21637120000000001</v>
      </c>
      <c r="W8953">
        <v>6.2595730000000002E-2</v>
      </c>
      <c r="X8953">
        <v>0.97430249999999996</v>
      </c>
      <c r="Y8953">
        <v>0.38503759999999998</v>
      </c>
      <c r="Z8953">
        <v>-1.5167990000000001E-3</v>
      </c>
      <c r="AA8953">
        <v>0.92289960000000004</v>
      </c>
      <c r="AB8953">
        <v>24</v>
      </c>
      <c r="AC8953">
        <v>5.7210000000000001</v>
      </c>
      <c r="AD8953">
        <v>-1.12649</v>
      </c>
      <c r="AE8953">
        <v>-3.8547799999999901</v>
      </c>
      <c r="AF8953">
        <v>2.64509243656827</v>
      </c>
      <c r="AG8953">
        <v>-1.12649</v>
      </c>
      <c r="AH8953">
        <v>6.1767885665738902</v>
      </c>
      <c r="AI8953">
        <v>99.517101548365602</v>
      </c>
      <c r="AJ8953">
        <v>66.817889260534898</v>
      </c>
      <c r="AK8953">
        <v>6.81309112769297</v>
      </c>
      <c r="AL8953">
        <v>86.411182765138506</v>
      </c>
      <c r="AM8953">
        <v>77.479064224805896</v>
      </c>
      <c r="AN8953">
        <v>1.0000000415549599</v>
      </c>
    </row>
    <row r="8954" spans="1:40" x14ac:dyDescent="0.25">
      <c r="A8954" t="str">
        <f>"20190312150900765"</f>
        <v>20190312150900765</v>
      </c>
      <c r="B8954" t="str">
        <f>"1552374540759020"</f>
        <v>1552374540759020</v>
      </c>
      <c r="C8954" t="s">
        <v>40</v>
      </c>
      <c r="D8954">
        <v>4.9220739999999896</v>
      </c>
      <c r="E8954">
        <v>0.56846929999999996</v>
      </c>
      <c r="F8954" t="s">
        <v>43</v>
      </c>
      <c r="G8954">
        <v>-310.57420000000002</v>
      </c>
      <c r="H8954">
        <v>-0.05</v>
      </c>
      <c r="I8954">
        <v>10.561199999999999</v>
      </c>
      <c r="J8954">
        <v>-316.27289999999999</v>
      </c>
      <c r="K8954">
        <v>1.075156</v>
      </c>
      <c r="L8954">
        <v>14.434749999999999</v>
      </c>
      <c r="M8954">
        <v>0.98148619999999998</v>
      </c>
      <c r="N8954">
        <v>0</v>
      </c>
      <c r="O8954">
        <v>-0.19006490000000001</v>
      </c>
      <c r="P8954">
        <v>0.91625239999999997</v>
      </c>
      <c r="Q8954">
        <v>4.1322669999999999E-2</v>
      </c>
      <c r="R8954">
        <v>-0.39846409999999999</v>
      </c>
      <c r="S8954">
        <v>2.5556950000000001</v>
      </c>
      <c r="T8954">
        <v>-0.49325839999999999</v>
      </c>
      <c r="U8954">
        <v>-1.7089840000000001</v>
      </c>
      <c r="V8954">
        <v>0.21760869999999999</v>
      </c>
      <c r="W8954">
        <v>6.2310659999999997E-2</v>
      </c>
      <c r="X8954">
        <v>0.9740451</v>
      </c>
      <c r="Y8954">
        <v>0.3852467</v>
      </c>
      <c r="Z8954">
        <v>-1.049805E-3</v>
      </c>
      <c r="AA8954">
        <v>0.92281310000000005</v>
      </c>
      <c r="AB8954">
        <v>23</v>
      </c>
      <c r="AC8954">
        <v>5.6986999999999703</v>
      </c>
      <c r="AD8954">
        <v>-1.125156</v>
      </c>
      <c r="AE8954">
        <v>-3.8735499999999998</v>
      </c>
      <c r="AF8954">
        <v>2.6488470366319699</v>
      </c>
      <c r="AG8954">
        <v>-1.125156</v>
      </c>
      <c r="AH8954">
        <v>6.1667666676440804</v>
      </c>
      <c r="AI8954">
        <v>99.5167863026508</v>
      </c>
      <c r="AJ8954">
        <v>66.754745474433903</v>
      </c>
      <c r="AK8954">
        <v>6.8052463424167096</v>
      </c>
      <c r="AL8954">
        <v>86.427547908898504</v>
      </c>
      <c r="AM8954">
        <v>77.406508700258598</v>
      </c>
      <c r="AN8954">
        <v>1.0000000107496601</v>
      </c>
    </row>
    <row r="8955" spans="1:40" x14ac:dyDescent="0.25">
      <c r="A8955" t="str">
        <f>"20190312150900777"</f>
        <v>20190312150900777</v>
      </c>
      <c r="B8955" t="str">
        <f>"1552374540768780"</f>
        <v>1552374540768780</v>
      </c>
      <c r="C8955" t="s">
        <v>40</v>
      </c>
      <c r="D8955">
        <v>4.898841</v>
      </c>
      <c r="E8955">
        <v>0.56838820000000001</v>
      </c>
      <c r="F8955" t="s">
        <v>43</v>
      </c>
      <c r="G8955">
        <v>-310.4495</v>
      </c>
      <c r="H8955">
        <v>-0.05</v>
      </c>
      <c r="I8955">
        <v>10.507350000000001</v>
      </c>
      <c r="J8955">
        <v>-316.14319999999998</v>
      </c>
      <c r="K8955">
        <v>1.0739289999999999</v>
      </c>
      <c r="L8955">
        <v>14.40652</v>
      </c>
      <c r="M8955">
        <v>0.9809504</v>
      </c>
      <c r="N8955">
        <v>0</v>
      </c>
      <c r="O8955">
        <v>-0.19287190000000001</v>
      </c>
      <c r="P8955">
        <v>0.91447040000000002</v>
      </c>
      <c r="Q8955">
        <v>4.1557940000000002E-2</v>
      </c>
      <c r="R8955">
        <v>-0.40251340000000002</v>
      </c>
      <c r="S8955">
        <v>2.5488590000000002</v>
      </c>
      <c r="T8955">
        <v>-0.49247279999999999</v>
      </c>
      <c r="U8955">
        <v>-1.7189939999999999</v>
      </c>
      <c r="V8955">
        <v>0.21912780000000001</v>
      </c>
      <c r="W8955">
        <v>6.2057950000000001E-2</v>
      </c>
      <c r="X8955">
        <v>0.97372060000000005</v>
      </c>
      <c r="Y8955">
        <v>0.38627590000000001</v>
      </c>
      <c r="Z8955">
        <v>-6.7467619999999999E-4</v>
      </c>
      <c r="AA8955">
        <v>0.92238299999999995</v>
      </c>
      <c r="AB8955">
        <v>23</v>
      </c>
      <c r="AC8955">
        <v>5.6936999999999696</v>
      </c>
      <c r="AD8955">
        <v>-1.123929</v>
      </c>
      <c r="AE8955">
        <v>-3.8991699999999998</v>
      </c>
      <c r="AF8955">
        <v>2.6569902744636602</v>
      </c>
      <c r="AG8955">
        <v>-1.123929</v>
      </c>
      <c r="AH8955">
        <v>6.1751760744882702</v>
      </c>
      <c r="AI8955">
        <v>99.491405966197405</v>
      </c>
      <c r="AJ8955">
        <v>66.719262046121898</v>
      </c>
      <c r="AK8955">
        <v>6.8158354782497401</v>
      </c>
      <c r="AL8955">
        <v>86.442055143101001</v>
      </c>
      <c r="AM8955">
        <v>77.317339013161302</v>
      </c>
      <c r="AN8955">
        <v>0.99999999437770104</v>
      </c>
    </row>
    <row r="8956" spans="1:40" x14ac:dyDescent="0.25">
      <c r="A8956" t="str">
        <f>"20190312150900787"</f>
        <v>20190312150900787</v>
      </c>
      <c r="B8956" t="str">
        <f>"1552374540778541"</f>
        <v>1552374540778541</v>
      </c>
      <c r="C8956" t="s">
        <v>40</v>
      </c>
      <c r="D8956">
        <v>4.9131869999999997</v>
      </c>
      <c r="E8956">
        <v>0.56834110000000004</v>
      </c>
      <c r="F8956" t="s">
        <v>43</v>
      </c>
      <c r="G8956">
        <v>-310.33190000000002</v>
      </c>
      <c r="H8956">
        <v>-0.05</v>
      </c>
      <c r="I8956">
        <v>10.452680000000001</v>
      </c>
      <c r="J8956">
        <v>-316.04469999999998</v>
      </c>
      <c r="K8956">
        <v>1.07301</v>
      </c>
      <c r="L8956">
        <v>14.38489</v>
      </c>
      <c r="M8956">
        <v>0.9805391</v>
      </c>
      <c r="N8956">
        <v>0</v>
      </c>
      <c r="O8956">
        <v>-0.194997</v>
      </c>
      <c r="P8956">
        <v>0.91281469999999998</v>
      </c>
      <c r="Q8956">
        <v>4.192825E-2</v>
      </c>
      <c r="R8956">
        <v>-0.40621639999999998</v>
      </c>
      <c r="S8956">
        <v>2.541779</v>
      </c>
      <c r="T8956">
        <v>-0.491587</v>
      </c>
      <c r="U8956">
        <v>-1.7293400000000001</v>
      </c>
      <c r="V8956">
        <v>0.22096689999999999</v>
      </c>
      <c r="W8956">
        <v>6.2042720000000003E-2</v>
      </c>
      <c r="X8956">
        <v>0.97330589999999995</v>
      </c>
      <c r="Y8956">
        <v>0.38805079999999997</v>
      </c>
      <c r="Z8956">
        <v>-4.7862719999999998E-4</v>
      </c>
      <c r="AA8956">
        <v>0.92163779999999995</v>
      </c>
      <c r="AB8956">
        <v>23</v>
      </c>
      <c r="AC8956">
        <v>5.7127999999999597</v>
      </c>
      <c r="AD8956">
        <v>-1.1230100000000001</v>
      </c>
      <c r="AE8956">
        <v>-3.9322099999999902</v>
      </c>
      <c r="AF8956">
        <v>2.67234918764481</v>
      </c>
      <c r="AG8956">
        <v>-1.1230100000000001</v>
      </c>
      <c r="AH8956">
        <v>6.20729018189604</v>
      </c>
      <c r="AI8956">
        <v>99.434769923789801</v>
      </c>
      <c r="AJ8956">
        <v>66.707259564652006</v>
      </c>
      <c r="AK8956">
        <v>6.8507702518088296</v>
      </c>
      <c r="AL8956">
        <v>86.442929542702302</v>
      </c>
      <c r="AM8956">
        <v>77.209112114096101</v>
      </c>
      <c r="AN8956">
        <v>1.0000000224876999</v>
      </c>
    </row>
    <row r="8957" spans="1:40" x14ac:dyDescent="0.25">
      <c r="A8957" t="str">
        <f>"20190312150900797"</f>
        <v>20190312150900797</v>
      </c>
      <c r="B8957" t="str">
        <f>"1552374540788301"</f>
        <v>1552374540788301</v>
      </c>
      <c r="C8957" t="s">
        <v>40</v>
      </c>
      <c r="D8957">
        <v>5.0521649999999996</v>
      </c>
      <c r="E8957">
        <v>0.56841589999999997</v>
      </c>
      <c r="F8957" t="s">
        <v>43</v>
      </c>
      <c r="G8957">
        <v>-310.23610000000002</v>
      </c>
      <c r="H8957">
        <v>-0.05</v>
      </c>
      <c r="I8957">
        <v>10.40044</v>
      </c>
      <c r="J8957">
        <v>-315.93630000000002</v>
      </c>
      <c r="K8957">
        <v>1.07202</v>
      </c>
      <c r="L8957">
        <v>14.360720000000001</v>
      </c>
      <c r="M8957">
        <v>0.98008399999999996</v>
      </c>
      <c r="N8957">
        <v>0</v>
      </c>
      <c r="O8957">
        <v>-0.19732060000000001</v>
      </c>
      <c r="P8957">
        <v>0.91120199999999996</v>
      </c>
      <c r="Q8957">
        <v>4.2309899999999998E-2</v>
      </c>
      <c r="R8957">
        <v>-0.40978170000000003</v>
      </c>
      <c r="S8957">
        <v>2.5351560000000002</v>
      </c>
      <c r="T8957">
        <v>-0.49012790000000001</v>
      </c>
      <c r="U8957">
        <v>-1.7389829999999999</v>
      </c>
      <c r="V8957">
        <v>0.22246969999999999</v>
      </c>
      <c r="W8957">
        <v>6.1992270000000002E-2</v>
      </c>
      <c r="X8957">
        <v>0.97296669999999996</v>
      </c>
      <c r="Y8957">
        <v>0.38939980000000002</v>
      </c>
      <c r="Z8957">
        <v>-2.127234E-4</v>
      </c>
      <c r="AA8957">
        <v>0.92106880000000002</v>
      </c>
      <c r="AB8957">
        <v>23</v>
      </c>
      <c r="AC8957">
        <v>5.7001999999999899</v>
      </c>
      <c r="AD8957">
        <v>-1.12202</v>
      </c>
      <c r="AE8957">
        <v>-3.96028</v>
      </c>
      <c r="AF8957">
        <v>2.6871104334737601</v>
      </c>
      <c r="AG8957">
        <v>-1.12202</v>
      </c>
      <c r="AH8957">
        <v>6.2074988462506404</v>
      </c>
      <c r="AI8957">
        <v>99.4183325263716</v>
      </c>
      <c r="AJ8957">
        <v>66.593113831813397</v>
      </c>
      <c r="AK8957">
        <v>6.8565686234651304</v>
      </c>
      <c r="AL8957">
        <v>86.445825624297299</v>
      </c>
      <c r="AM8957">
        <v>77.120671867459606</v>
      </c>
      <c r="AN8957">
        <v>1.0000000041333601</v>
      </c>
    </row>
    <row r="8958" spans="1:40" x14ac:dyDescent="0.25">
      <c r="A8958" t="str">
        <f>"20190312150900806"</f>
        <v>20190312150900806</v>
      </c>
      <c r="B8958" t="str">
        <f>"1552374540798061"</f>
        <v>1552374540798061</v>
      </c>
      <c r="C8958" t="s">
        <v>40</v>
      </c>
      <c r="D8958">
        <v>5.393249</v>
      </c>
      <c r="E8958">
        <v>0.56841589999999997</v>
      </c>
      <c r="F8958" t="s">
        <v>43</v>
      </c>
      <c r="G8958">
        <v>-310.1241</v>
      </c>
      <c r="H8958">
        <v>-0.05</v>
      </c>
      <c r="I8958">
        <v>10.34064</v>
      </c>
      <c r="J8958">
        <v>-315.83839999999998</v>
      </c>
      <c r="K8958">
        <v>1.0711459999999999</v>
      </c>
      <c r="L8958">
        <v>14.338710000000001</v>
      </c>
      <c r="M8958">
        <v>0.97966969999999998</v>
      </c>
      <c r="N8958">
        <v>0</v>
      </c>
      <c r="O8958">
        <v>-0.1994098</v>
      </c>
      <c r="P8958">
        <v>0.90952310000000003</v>
      </c>
      <c r="Q8958">
        <v>4.2497189999999997E-2</v>
      </c>
      <c r="R8958">
        <v>-0.41347529999999999</v>
      </c>
      <c r="S8958">
        <v>2.5285340000000001</v>
      </c>
      <c r="T8958">
        <v>-0.48811690000000002</v>
      </c>
      <c r="U8958">
        <v>-1.7488709999999901</v>
      </c>
      <c r="V8958">
        <v>0.2243453</v>
      </c>
      <c r="W8958">
        <v>6.1782869999999997E-2</v>
      </c>
      <c r="X8958">
        <v>0.97254929999999995</v>
      </c>
      <c r="Y8958">
        <v>0.39102599999999998</v>
      </c>
      <c r="Z8958" s="1">
        <v>-1.101196E-5</v>
      </c>
      <c r="AA8958">
        <v>0.92037959999999996</v>
      </c>
      <c r="AB8958">
        <v>23</v>
      </c>
      <c r="AC8958">
        <v>5.7142999999999802</v>
      </c>
      <c r="AD8958">
        <v>-1.121146</v>
      </c>
      <c r="AE8958">
        <v>-3.9980699999999998</v>
      </c>
      <c r="AF8958">
        <v>2.7079878389963601</v>
      </c>
      <c r="AG8958">
        <v>-1.121146</v>
      </c>
      <c r="AH8958">
        <v>6.2357721056636803</v>
      </c>
      <c r="AI8958">
        <v>99.364563368140793</v>
      </c>
      <c r="AJ8958">
        <v>66.526301569655203</v>
      </c>
      <c r="AK8958">
        <v>6.8902119156990702</v>
      </c>
      <c r="AL8958">
        <v>86.457846525733899</v>
      </c>
      <c r="AM8958">
        <v>77.010370060487503</v>
      </c>
      <c r="AN8958">
        <v>1.000000038794</v>
      </c>
    </row>
    <row r="8959" spans="1:40" x14ac:dyDescent="0.25">
      <c r="A8959" t="str">
        <f>"20190312150900817"</f>
        <v>20190312150900817</v>
      </c>
      <c r="B8959" t="str">
        <f>"1552374540808797"</f>
        <v>1552374540808797</v>
      </c>
      <c r="C8959" t="s">
        <v>40</v>
      </c>
      <c r="D8959">
        <v>5.2061120000000001</v>
      </c>
      <c r="E8959">
        <v>0.60242589999999996</v>
      </c>
      <c r="F8959" t="s">
        <v>43</v>
      </c>
      <c r="G8959">
        <v>-310.04410000000001</v>
      </c>
      <c r="H8959">
        <v>-0.05</v>
      </c>
      <c r="I8959">
        <v>10.297420000000001</v>
      </c>
      <c r="J8959">
        <v>-315.733</v>
      </c>
      <c r="K8959">
        <v>1.0702449999999999</v>
      </c>
      <c r="L8959">
        <v>14.314640000000001</v>
      </c>
      <c r="M8959">
        <v>0.9792227</v>
      </c>
      <c r="N8959">
        <v>0</v>
      </c>
      <c r="O8959">
        <v>-0.2016375</v>
      </c>
      <c r="P8959">
        <v>0.90779160000000003</v>
      </c>
      <c r="Q8959">
        <v>4.2792610000000002E-2</v>
      </c>
      <c r="R8959">
        <v>-0.41723320000000003</v>
      </c>
      <c r="S8959">
        <v>2.5216980000000002</v>
      </c>
      <c r="T8959">
        <v>-0.48792000000000002</v>
      </c>
      <c r="U8959">
        <v>-1.758759</v>
      </c>
      <c r="V8959">
        <v>0.22616049999999999</v>
      </c>
      <c r="W8959">
        <v>6.1655330000000001E-2</v>
      </c>
      <c r="X8959">
        <v>0.97213689999999997</v>
      </c>
      <c r="Y8959">
        <v>0.3925419</v>
      </c>
      <c r="Z8959">
        <v>2.2229180000000001E-4</v>
      </c>
      <c r="AA8959">
        <v>0.9197341</v>
      </c>
      <c r="AB8959">
        <v>23</v>
      </c>
      <c r="AC8959">
        <v>5.6888999999999896</v>
      </c>
      <c r="AD8959">
        <v>-1.1202449999999999</v>
      </c>
      <c r="AE8959">
        <v>-4.01722</v>
      </c>
      <c r="AF8959">
        <v>2.7170051083573199</v>
      </c>
      <c r="AG8959">
        <v>-1.1202449999999999</v>
      </c>
      <c r="AH8959">
        <v>6.2212364531487498</v>
      </c>
      <c r="AI8959">
        <v>99.370339481455204</v>
      </c>
      <c r="AJ8959">
        <v>66.407627818701698</v>
      </c>
      <c r="AK8959">
        <v>6.8804686341012804</v>
      </c>
      <c r="AL8959">
        <v>86.465168033527405</v>
      </c>
      <c r="AM8959">
        <v>76.903513624208898</v>
      </c>
      <c r="AN8959">
        <v>1.0000000519096299</v>
      </c>
    </row>
    <row r="8960" spans="1:40" x14ac:dyDescent="0.25">
      <c r="A8960" t="str">
        <f>"20190312150900827"</f>
        <v>20190312150900827</v>
      </c>
      <c r="B8960" t="str">
        <f>"1552374540818557"</f>
        <v>1552374540818557</v>
      </c>
      <c r="C8960" t="s">
        <v>40</v>
      </c>
      <c r="D8960">
        <v>5.1019480000000001</v>
      </c>
      <c r="E8960">
        <v>0.60956309999999903</v>
      </c>
      <c r="F8960" t="s">
        <v>43</v>
      </c>
      <c r="G8960">
        <v>-308.47190000000001</v>
      </c>
      <c r="H8960">
        <v>-0.05</v>
      </c>
      <c r="I8960">
        <v>8.2236630000000002</v>
      </c>
      <c r="J8960">
        <v>-315.63200000000001</v>
      </c>
      <c r="K8960">
        <v>1.069407</v>
      </c>
      <c r="L8960">
        <v>14.29135</v>
      </c>
      <c r="M8960">
        <v>0.97878860000000001</v>
      </c>
      <c r="N8960">
        <v>0</v>
      </c>
      <c r="O8960">
        <v>-0.20377480000000001</v>
      </c>
      <c r="P8960">
        <v>0.9060357</v>
      </c>
      <c r="Q8960">
        <v>4.3019620000000001E-2</v>
      </c>
      <c r="R8960">
        <v>-0.42100919999999997</v>
      </c>
      <c r="S8960">
        <v>2.397675</v>
      </c>
      <c r="T8960">
        <v>-0.36991489999999999</v>
      </c>
      <c r="U8960">
        <v>-2.0112920000000001</v>
      </c>
      <c r="V8960">
        <v>0.22808990000000001</v>
      </c>
      <c r="W8960">
        <v>6.1480180000000002E-2</v>
      </c>
      <c r="X8960">
        <v>0.97169709999999998</v>
      </c>
      <c r="Y8960">
        <v>0.47122639999999999</v>
      </c>
      <c r="Z8960">
        <v>-4.8672580000000002E-3</v>
      </c>
      <c r="AA8960">
        <v>0.88199889999999903</v>
      </c>
      <c r="AB8960">
        <v>23</v>
      </c>
      <c r="AC8960">
        <v>7.1600999999999999</v>
      </c>
      <c r="AD8960">
        <v>-1.119407</v>
      </c>
      <c r="AE8960">
        <v>-6.0676869999999896</v>
      </c>
      <c r="AF8960">
        <v>4.4180890595543501</v>
      </c>
      <c r="AG8960">
        <v>-1.119407</v>
      </c>
      <c r="AH8960">
        <v>8.1308476884600207</v>
      </c>
      <c r="AI8960">
        <v>96.8975058532356</v>
      </c>
      <c r="AJ8960">
        <v>61.481505002780899</v>
      </c>
      <c r="AK8960">
        <v>9.32111941253509</v>
      </c>
      <c r="AL8960">
        <v>86.475222401839503</v>
      </c>
      <c r="AM8960">
        <v>76.789917707262802</v>
      </c>
      <c r="AN8960">
        <v>1.00000003458162</v>
      </c>
    </row>
    <row r="8961" spans="1:40" x14ac:dyDescent="0.25">
      <c r="A8961" t="str">
        <f>"20190312150900838"</f>
        <v>20190312150900838</v>
      </c>
      <c r="B8961" t="str">
        <f>"1552374540828317"</f>
        <v>1552374540828317</v>
      </c>
      <c r="C8961" t="s">
        <v>40</v>
      </c>
      <c r="D8961">
        <v>5.1165310000000002</v>
      </c>
      <c r="E8961">
        <v>0.61354430000000004</v>
      </c>
      <c r="F8961" t="s">
        <v>43</v>
      </c>
      <c r="G8961">
        <v>-308.99919999999997</v>
      </c>
      <c r="H8961">
        <v>-0.05</v>
      </c>
      <c r="I8961">
        <v>8.4789119999999993</v>
      </c>
      <c r="J8961">
        <v>-315.52429999999998</v>
      </c>
      <c r="K8961">
        <v>1.068568</v>
      </c>
      <c r="L8961">
        <v>14.266170000000001</v>
      </c>
      <c r="M8961">
        <v>0.97831880000000004</v>
      </c>
      <c r="N8961">
        <v>0</v>
      </c>
      <c r="O8961">
        <v>-0.20605960000000001</v>
      </c>
      <c r="P8961">
        <v>0.90424349999999998</v>
      </c>
      <c r="Q8961">
        <v>4.3446279999999997E-2</v>
      </c>
      <c r="R8961">
        <v>-0.42480200000000001</v>
      </c>
      <c r="S8961">
        <v>2.366425</v>
      </c>
      <c r="T8961">
        <v>-0.3993756</v>
      </c>
      <c r="U8961">
        <v>-2.0737299999999999</v>
      </c>
      <c r="V8961">
        <v>0.22989999999999999</v>
      </c>
      <c r="W8961">
        <v>6.149636E-2</v>
      </c>
      <c r="X8961">
        <v>0.97126939999999995</v>
      </c>
      <c r="Y8961">
        <v>0.48772130000000002</v>
      </c>
      <c r="Z8961">
        <v>-6.1594689999999999E-3</v>
      </c>
      <c r="AA8961">
        <v>0.87297769999999997</v>
      </c>
      <c r="AB8961">
        <v>23</v>
      </c>
      <c r="AC8961">
        <v>6.5251000000000001</v>
      </c>
      <c r="AD8961">
        <v>-1.118568</v>
      </c>
      <c r="AE8961">
        <v>-5.7872579999999996</v>
      </c>
      <c r="AF8961">
        <v>4.2482800367641804</v>
      </c>
      <c r="AG8961">
        <v>-1.118568</v>
      </c>
      <c r="AH8961">
        <v>7.4551610132829502</v>
      </c>
      <c r="AI8961">
        <v>97.427170785720804</v>
      </c>
      <c r="AJ8961">
        <v>60.323599215142103</v>
      </c>
      <c r="AK8961">
        <v>8.6532365838088197</v>
      </c>
      <c r="AL8961">
        <v>86.474293581926503</v>
      </c>
      <c r="AM8961">
        <v>76.683148778598195</v>
      </c>
      <c r="AN8961">
        <v>1.0000000298348</v>
      </c>
    </row>
    <row r="8962" spans="1:40" x14ac:dyDescent="0.25">
      <c r="A8962" t="str">
        <f>"20190312150900847"</f>
        <v>20190312150900847</v>
      </c>
      <c r="B8962" t="str">
        <f>"1552374540839053"</f>
        <v>1552374540839053</v>
      </c>
      <c r="C8962" t="s">
        <v>40</v>
      </c>
      <c r="D8962">
        <v>5.1339389999999998</v>
      </c>
      <c r="E8962">
        <v>0.61583789999999905</v>
      </c>
      <c r="F8962" t="s">
        <v>43</v>
      </c>
      <c r="G8962">
        <v>-309.07299999999998</v>
      </c>
      <c r="H8962">
        <v>-0.05</v>
      </c>
      <c r="I8962">
        <v>8.4531860000000005</v>
      </c>
      <c r="J8962">
        <v>-315.42140000000001</v>
      </c>
      <c r="K8962">
        <v>1.067796</v>
      </c>
      <c r="L8962">
        <v>14.241910000000001</v>
      </c>
      <c r="M8962">
        <v>0.97786059999999997</v>
      </c>
      <c r="N8962">
        <v>0</v>
      </c>
      <c r="O8962">
        <v>-0.20825930000000001</v>
      </c>
      <c r="P8962">
        <v>0.90237160000000005</v>
      </c>
      <c r="Q8962">
        <v>4.3669029999999998E-2</v>
      </c>
      <c r="R8962">
        <v>-0.42874079999999898</v>
      </c>
      <c r="S8962">
        <v>2.3446959999999999</v>
      </c>
      <c r="T8962">
        <v>-0.40653739999999999</v>
      </c>
      <c r="U8962">
        <v>-2.1127009999999999</v>
      </c>
      <c r="V8962">
        <v>0.2319541</v>
      </c>
      <c r="W8962">
        <v>6.1333110000000003E-2</v>
      </c>
      <c r="X8962">
        <v>0.97079119999999997</v>
      </c>
      <c r="Y8962">
        <v>0.49765730000000002</v>
      </c>
      <c r="Z8962">
        <v>-6.7189169999999996E-3</v>
      </c>
      <c r="AA8962">
        <v>0.86734769999999894</v>
      </c>
      <c r="AB8962">
        <v>23</v>
      </c>
      <c r="AC8962">
        <v>6.3484000000000202</v>
      </c>
      <c r="AD8962">
        <v>-1.117796</v>
      </c>
      <c r="AE8962">
        <v>-5.7887240000000002</v>
      </c>
      <c r="AF8962">
        <v>4.2671229192876403</v>
      </c>
      <c r="AG8962">
        <v>-1.117796</v>
      </c>
      <c r="AH8962">
        <v>7.2915213886452097</v>
      </c>
      <c r="AI8962">
        <v>97.536992319979205</v>
      </c>
      <c r="AJ8962">
        <v>59.663099856415599</v>
      </c>
      <c r="AK8962">
        <v>8.5219768872601591</v>
      </c>
      <c r="AL8962">
        <v>86.483664718013202</v>
      </c>
      <c r="AM8962">
        <v>76.562083146623493</v>
      </c>
      <c r="AN8962">
        <v>1.00000000444326</v>
      </c>
    </row>
    <row r="8963" spans="1:40" x14ac:dyDescent="0.25">
      <c r="A8963" t="str">
        <f>"20190312150900858"</f>
        <v>20190312150900858</v>
      </c>
      <c r="B8963" t="str">
        <f>"1552374540848813"</f>
        <v>1552374540848813</v>
      </c>
      <c r="C8963" t="s">
        <v>40</v>
      </c>
      <c r="D8963">
        <v>5.1092700000000004</v>
      </c>
      <c r="E8963">
        <v>0.61723450000000002</v>
      </c>
      <c r="F8963" t="s">
        <v>43</v>
      </c>
      <c r="G8963">
        <v>-309.16239999999999</v>
      </c>
      <c r="H8963">
        <v>-0.05</v>
      </c>
      <c r="I8963">
        <v>8.4901730000000004</v>
      </c>
      <c r="J8963">
        <v>-315.31119999999999</v>
      </c>
      <c r="K8963">
        <v>1.0670249999999999</v>
      </c>
      <c r="L8963">
        <v>14.21552</v>
      </c>
      <c r="M8963">
        <v>0.97735519999999998</v>
      </c>
      <c r="N8963">
        <v>0</v>
      </c>
      <c r="O8963">
        <v>-0.21065420000000001</v>
      </c>
      <c r="P8963">
        <v>0.90032599999999996</v>
      </c>
      <c r="Q8963">
        <v>4.3763589999999998E-2</v>
      </c>
      <c r="R8963">
        <v>-0.43301000000000001</v>
      </c>
      <c r="S8963">
        <v>2.3281860000000001</v>
      </c>
      <c r="T8963">
        <v>-0.4157845</v>
      </c>
      <c r="U8963">
        <v>-2.139465</v>
      </c>
      <c r="V8963">
        <v>0.2341743</v>
      </c>
      <c r="W8963">
        <v>6.1033740000000003E-2</v>
      </c>
      <c r="X8963">
        <v>0.9702769</v>
      </c>
      <c r="Y8963">
        <v>0.5038707</v>
      </c>
      <c r="Z8963">
        <v>-7.0194530000000002E-3</v>
      </c>
      <c r="AA8963">
        <v>0.86375059999999904</v>
      </c>
      <c r="AB8963">
        <v>23</v>
      </c>
      <c r="AC8963">
        <v>6.1487999999999898</v>
      </c>
      <c r="AD8963">
        <v>-1.1170249999999999</v>
      </c>
      <c r="AE8963">
        <v>-5.7253470000000002</v>
      </c>
      <c r="AF8963">
        <v>4.2265793551064501</v>
      </c>
      <c r="AG8963">
        <v>-1.1170249999999999</v>
      </c>
      <c r="AH8963">
        <v>7.0917218577845897</v>
      </c>
      <c r="AI8963">
        <v>97.705529445466198</v>
      </c>
      <c r="AJ8963">
        <v>59.205575785859303</v>
      </c>
      <c r="AK8963">
        <v>8.3309205255972092</v>
      </c>
      <c r="AL8963">
        <v>86.5008495050525</v>
      </c>
      <c r="AM8963">
        <v>76.4312657903222</v>
      </c>
      <c r="AN8963">
        <v>0.99999999143624296</v>
      </c>
    </row>
    <row r="8964" spans="1:40" x14ac:dyDescent="0.25">
      <c r="A8964" t="str">
        <f>"20190312150900869"</f>
        <v>20190312150900869</v>
      </c>
      <c r="B8964" t="str">
        <f>"1552374540858139"</f>
        <v>1552374540858139</v>
      </c>
      <c r="C8964" t="s">
        <v>40</v>
      </c>
      <c r="D8964">
        <v>5.1330689999999999</v>
      </c>
      <c r="E8964">
        <v>0.61831729999999996</v>
      </c>
      <c r="F8964" t="s">
        <v>43</v>
      </c>
      <c r="G8964">
        <v>-309.10939999999999</v>
      </c>
      <c r="H8964">
        <v>-0.05</v>
      </c>
      <c r="I8964">
        <v>8.4240259999999996</v>
      </c>
      <c r="J8964">
        <v>-315.19990000000001</v>
      </c>
      <c r="K8964">
        <v>1.06629</v>
      </c>
      <c r="L8964">
        <v>14.18857</v>
      </c>
      <c r="M8964">
        <v>0.97682950000000002</v>
      </c>
      <c r="N8964">
        <v>0</v>
      </c>
      <c r="O8964">
        <v>-0.21311289999999999</v>
      </c>
      <c r="P8964">
        <v>0.89820929999999999</v>
      </c>
      <c r="Q8964">
        <v>4.3918150000000003E-2</v>
      </c>
      <c r="R8964">
        <v>-0.4373686</v>
      </c>
      <c r="S8964">
        <v>2.3133849999999998</v>
      </c>
      <c r="T8964">
        <v>-0.41666690000000001</v>
      </c>
      <c r="U8964">
        <v>-2.1603089999999998</v>
      </c>
      <c r="V8964">
        <v>0.23643629999999999</v>
      </c>
      <c r="W8964">
        <v>6.0805289999999998E-2</v>
      </c>
      <c r="X8964">
        <v>0.96974249999999995</v>
      </c>
      <c r="Y8964">
        <v>0.50858249999999905</v>
      </c>
      <c r="Z8964">
        <v>-7.0616990000000003E-3</v>
      </c>
      <c r="AA8964">
        <v>0.86098430000000004</v>
      </c>
      <c r="AB8964">
        <v>23</v>
      </c>
      <c r="AC8964">
        <v>6.0905000000000102</v>
      </c>
      <c r="AD8964">
        <v>-1.11629</v>
      </c>
      <c r="AE8964">
        <v>-5.7645439999999999</v>
      </c>
      <c r="AF8964">
        <v>4.2583949468322997</v>
      </c>
      <c r="AG8964">
        <v>-1.11629</v>
      </c>
      <c r="AH8964">
        <v>7.0542705620783703</v>
      </c>
      <c r="AI8964">
        <v>97.715063305762797</v>
      </c>
      <c r="AJ8964">
        <v>58.882216142554697</v>
      </c>
      <c r="AK8964">
        <v>8.31521280848016</v>
      </c>
      <c r="AL8964">
        <v>86.513962978594904</v>
      </c>
      <c r="AM8964">
        <v>76.297849529548898</v>
      </c>
      <c r="AN8964">
        <v>0.99999996177796102</v>
      </c>
    </row>
    <row r="8965" spans="1:40" x14ac:dyDescent="0.25">
      <c r="A8965" t="str">
        <f>"20190312150900880"</f>
        <v>20190312150900880</v>
      </c>
      <c r="B8965" t="str">
        <f>"1552374540868875"</f>
        <v>1552374540868875</v>
      </c>
      <c r="C8965" t="s">
        <v>40</v>
      </c>
      <c r="D8965">
        <v>5.1160610000000002</v>
      </c>
      <c r="E8965">
        <v>0.61878449999999996</v>
      </c>
      <c r="F8965" t="s">
        <v>43</v>
      </c>
      <c r="G8965">
        <v>-309.08769999999998</v>
      </c>
      <c r="H8965">
        <v>-0.05</v>
      </c>
      <c r="I8965">
        <v>8.3959050000000008</v>
      </c>
      <c r="J8965">
        <v>-315.0874</v>
      </c>
      <c r="K8965">
        <v>1.06559</v>
      </c>
      <c r="L8965">
        <v>14.16104</v>
      </c>
      <c r="M8965">
        <v>0.97628219999999999</v>
      </c>
      <c r="N8965">
        <v>0</v>
      </c>
      <c r="O8965">
        <v>-0.21563950000000001</v>
      </c>
      <c r="P8965">
        <v>0.89607680000000001</v>
      </c>
      <c r="Q8965">
        <v>4.407138E-2</v>
      </c>
      <c r="R8965">
        <v>-0.4417066</v>
      </c>
      <c r="S8965">
        <v>2.2993769999999998</v>
      </c>
      <c r="T8965">
        <v>-0.41994300000000001</v>
      </c>
      <c r="U8965">
        <v>-2.1791689999999999</v>
      </c>
      <c r="V8965">
        <v>0.23861660000000001</v>
      </c>
      <c r="W8965">
        <v>6.058968E-2</v>
      </c>
      <c r="X8965">
        <v>0.96922180000000002</v>
      </c>
      <c r="Y8965">
        <v>0.51264299999999996</v>
      </c>
      <c r="Z8965">
        <v>-7.084712E-3</v>
      </c>
      <c r="AA8965">
        <v>0.85857269999999897</v>
      </c>
      <c r="AB8965">
        <v>23</v>
      </c>
      <c r="AC8965">
        <v>5.9997000000000096</v>
      </c>
      <c r="AD8965">
        <v>-1.1155899999999901</v>
      </c>
      <c r="AE8965">
        <v>-5.7651349999999901</v>
      </c>
      <c r="AF8965">
        <v>4.2588764028805803</v>
      </c>
      <c r="AG8965">
        <v>-1.1155899999999901</v>
      </c>
      <c r="AH8965">
        <v>6.9765044247307202</v>
      </c>
      <c r="AI8965">
        <v>97.771994632870701</v>
      </c>
      <c r="AJ8965">
        <v>58.597607237753202</v>
      </c>
      <c r="AK8965">
        <v>8.2494959392317</v>
      </c>
      <c r="AL8965">
        <v>86.526339280964507</v>
      </c>
      <c r="AM8965">
        <v>76.169179382747501</v>
      </c>
      <c r="AN8965">
        <v>0.99999994435664896</v>
      </c>
    </row>
    <row r="8966" spans="1:40" x14ac:dyDescent="0.25">
      <c r="A8966" t="str">
        <f>"20190312150900892"</f>
        <v>20190312150900892</v>
      </c>
      <c r="B8966" t="str">
        <f>"1552374540888395"</f>
        <v>1552374540888395</v>
      </c>
      <c r="C8966" t="s">
        <v>40</v>
      </c>
      <c r="D8966">
        <v>5.1010679999999997</v>
      </c>
      <c r="E8966">
        <v>0.61943319999999902</v>
      </c>
      <c r="F8966" t="s">
        <v>43</v>
      </c>
      <c r="G8966">
        <v>-309.05650000000003</v>
      </c>
      <c r="H8966">
        <v>-0.05</v>
      </c>
      <c r="I8966">
        <v>8.3785249999999998</v>
      </c>
      <c r="J8966">
        <v>-314.97039999999998</v>
      </c>
      <c r="K8966">
        <v>1.06491</v>
      </c>
      <c r="L8966">
        <v>14.13199</v>
      </c>
      <c r="M8966">
        <v>0.97569130000000004</v>
      </c>
      <c r="N8966">
        <v>0</v>
      </c>
      <c r="O8966">
        <v>-0.21832770000000001</v>
      </c>
      <c r="P8966">
        <v>0.89371650000000002</v>
      </c>
      <c r="Q8966">
        <v>4.3970790000000003E-2</v>
      </c>
      <c r="R8966">
        <v>-0.44647229999999999</v>
      </c>
      <c r="S8966">
        <v>2.287598</v>
      </c>
      <c r="T8966">
        <v>-0.4231531</v>
      </c>
      <c r="U8966">
        <v>-2.1933590000000001</v>
      </c>
      <c r="V8966">
        <v>0.24110490000000001</v>
      </c>
      <c r="W8966">
        <v>6.0122750000000003E-2</v>
      </c>
      <c r="X8966">
        <v>0.96863500000000002</v>
      </c>
      <c r="Y8966">
        <v>0.51522460000000003</v>
      </c>
      <c r="Z8966">
        <v>-6.9665539999999998E-3</v>
      </c>
      <c r="AA8966">
        <v>0.85702690000000004</v>
      </c>
      <c r="AB8966">
        <v>23</v>
      </c>
      <c r="AC8966">
        <v>5.9138999999999502</v>
      </c>
      <c r="AD8966">
        <v>-1.1149100000000001</v>
      </c>
      <c r="AE8966">
        <v>-5.7534650000000003</v>
      </c>
      <c r="AF8966">
        <v>4.24569176401259</v>
      </c>
      <c r="AG8966">
        <v>-1.1149100000000001</v>
      </c>
      <c r="AH8966">
        <v>6.9015284391470297</v>
      </c>
      <c r="AI8966">
        <v>97.834359086499504</v>
      </c>
      <c r="AJ8966">
        <v>58.4009447045906</v>
      </c>
      <c r="AK8966">
        <v>8.1792430982004394</v>
      </c>
      <c r="AL8966">
        <v>86.553141595638905</v>
      </c>
      <c r="AM8966">
        <v>76.022441027546193</v>
      </c>
      <c r="AN8966">
        <v>1.0000000405482801</v>
      </c>
    </row>
    <row r="8967" spans="1:40" x14ac:dyDescent="0.25">
      <c r="A8967" t="str">
        <f>"20190312150900904"</f>
        <v>20190312150900904</v>
      </c>
      <c r="B8967" t="str">
        <f>"1552374540898155"</f>
        <v>1552374540898155</v>
      </c>
      <c r="C8967" t="s">
        <v>40</v>
      </c>
      <c r="D8967">
        <v>5.1001940000000001</v>
      </c>
      <c r="E8967">
        <v>0.61950499999999997</v>
      </c>
      <c r="F8967" t="s">
        <v>43</v>
      </c>
      <c r="G8967">
        <v>-309.06990000000002</v>
      </c>
      <c r="H8967">
        <v>-0.05</v>
      </c>
      <c r="I8967">
        <v>8.3967289999999899</v>
      </c>
      <c r="J8967">
        <v>-314.85300000000001</v>
      </c>
      <c r="K8967">
        <v>1.0642579999999999</v>
      </c>
      <c r="L8967">
        <v>14.10263</v>
      </c>
      <c r="M8967">
        <v>0.97508450000000002</v>
      </c>
      <c r="N8967">
        <v>0</v>
      </c>
      <c r="O8967">
        <v>-0.22105030000000001</v>
      </c>
      <c r="P8967">
        <v>0.89139439999999903</v>
      </c>
      <c r="Q8967">
        <v>4.39383E-2</v>
      </c>
      <c r="R8967">
        <v>-0.45109369999999999</v>
      </c>
      <c r="S8967">
        <v>2.2738040000000002</v>
      </c>
      <c r="T8967">
        <v>-0.42964200000000002</v>
      </c>
      <c r="U8967">
        <v>-2.2101440000000001</v>
      </c>
      <c r="V8967">
        <v>0.24341409999999999</v>
      </c>
      <c r="W8967">
        <v>5.9734830000000003E-2</v>
      </c>
      <c r="X8967">
        <v>0.96808119999999998</v>
      </c>
      <c r="Y8967">
        <v>0.51859929999999999</v>
      </c>
      <c r="Z8967">
        <v>-6.9580170000000004E-3</v>
      </c>
      <c r="AA8967">
        <v>0.85498909999999995</v>
      </c>
      <c r="AB8967">
        <v>23</v>
      </c>
      <c r="AC8967">
        <v>5.7830999999999904</v>
      </c>
      <c r="AD8967">
        <v>-1.114258</v>
      </c>
      <c r="AE8967">
        <v>-5.7059009999999999</v>
      </c>
      <c r="AF8967">
        <v>4.2069847134878797</v>
      </c>
      <c r="AG8967">
        <v>-1.114258</v>
      </c>
      <c r="AH8967">
        <v>6.7740710916862898</v>
      </c>
      <c r="AI8967">
        <v>97.954667985441603</v>
      </c>
      <c r="AJ8967">
        <v>58.157969792698701</v>
      </c>
      <c r="AK8967">
        <v>8.0516042143975692</v>
      </c>
      <c r="AL8967">
        <v>86.575407455453202</v>
      </c>
      <c r="AM8967">
        <v>75.886143436996306</v>
      </c>
      <c r="AN8967">
        <v>0.99999994189368702</v>
      </c>
    </row>
    <row r="8968" spans="1:40" x14ac:dyDescent="0.25">
      <c r="A8968" t="str">
        <f>"20190312150900915"</f>
        <v>20190312150900915</v>
      </c>
      <c r="B8968" t="str">
        <f>"1552374540908892"</f>
        <v>1552374540908892</v>
      </c>
      <c r="C8968" t="s">
        <v>40</v>
      </c>
      <c r="D8968">
        <v>5.1809019999999997</v>
      </c>
      <c r="E8968">
        <v>0.61972090000000002</v>
      </c>
      <c r="F8968" t="s">
        <v>43</v>
      </c>
      <c r="G8968">
        <v>-309.00479999999999</v>
      </c>
      <c r="H8968">
        <v>-0.05</v>
      </c>
      <c r="I8968">
        <v>8.3581389999999995</v>
      </c>
      <c r="J8968">
        <v>-314.7362</v>
      </c>
      <c r="K8968">
        <v>1.063666</v>
      </c>
      <c r="L8968">
        <v>14.07281</v>
      </c>
      <c r="M8968">
        <v>0.97445550000000003</v>
      </c>
      <c r="N8968">
        <v>0</v>
      </c>
      <c r="O8968">
        <v>-0.22383330000000001</v>
      </c>
      <c r="P8968">
        <v>0.88900429999999997</v>
      </c>
      <c r="Q8968">
        <v>4.4062659999999997E-2</v>
      </c>
      <c r="R8968">
        <v>-0.45577420000000002</v>
      </c>
      <c r="S8968">
        <v>2.2622680000000002</v>
      </c>
      <c r="T8968">
        <v>-0.43102790000000002</v>
      </c>
      <c r="U8968">
        <v>-2.222137</v>
      </c>
      <c r="V8968">
        <v>0.24574319999999999</v>
      </c>
      <c r="W8968">
        <v>5.9525399999999999E-2</v>
      </c>
      <c r="X8968">
        <v>0.96750559999999997</v>
      </c>
      <c r="Y8968">
        <v>0.5206324</v>
      </c>
      <c r="Z8968">
        <v>-6.7486259999999998E-3</v>
      </c>
      <c r="AA8968">
        <v>0.85375419999999902</v>
      </c>
      <c r="AB8968">
        <v>23</v>
      </c>
      <c r="AC8968">
        <v>5.7313999999999998</v>
      </c>
      <c r="AD8968">
        <v>-1.113666</v>
      </c>
      <c r="AE8968">
        <v>-5.7146710000000001</v>
      </c>
      <c r="AF8968">
        <v>4.2068826146920797</v>
      </c>
      <c r="AG8968">
        <v>-1.113666</v>
      </c>
      <c r="AH8968">
        <v>6.7377113534853201</v>
      </c>
      <c r="AI8968">
        <v>97.981044832931602</v>
      </c>
      <c r="AJ8968">
        <v>58.020227553647601</v>
      </c>
      <c r="AK8968">
        <v>8.0209019178792804</v>
      </c>
      <c r="AL8968">
        <v>86.587428636423297</v>
      </c>
      <c r="AM8968">
        <v>75.748437878113407</v>
      </c>
      <c r="AN8968">
        <v>1.00000003981137</v>
      </c>
    </row>
    <row r="8969" spans="1:40" x14ac:dyDescent="0.25">
      <c r="A8969" t="str">
        <f>"20190312150900927"</f>
        <v>20190312150900927</v>
      </c>
      <c r="B8969" t="str">
        <f>"1552374540918651"</f>
        <v>1552374540918651</v>
      </c>
      <c r="C8969" t="s">
        <v>40</v>
      </c>
      <c r="D8969">
        <v>5.1354660000000001</v>
      </c>
      <c r="E8969">
        <v>0.61954129999999996</v>
      </c>
      <c r="F8969" t="s">
        <v>43</v>
      </c>
      <c r="G8969">
        <v>-308.94310000000002</v>
      </c>
      <c r="H8969">
        <v>-0.05</v>
      </c>
      <c r="I8969">
        <v>8.3167720000000003</v>
      </c>
      <c r="J8969">
        <v>-314.61709999999999</v>
      </c>
      <c r="K8969">
        <v>1.0630790000000001</v>
      </c>
      <c r="L8969">
        <v>14.042210000000001</v>
      </c>
      <c r="M8969">
        <v>0.97380040000000001</v>
      </c>
      <c r="N8969">
        <v>0</v>
      </c>
      <c r="O8969">
        <v>-0.22669059999999999</v>
      </c>
      <c r="P8969">
        <v>0.88661299999999899</v>
      </c>
      <c r="Q8969">
        <v>4.3887019999999999E-2</v>
      </c>
      <c r="R8969">
        <v>-0.46042529999999998</v>
      </c>
      <c r="S8969">
        <v>2.249908</v>
      </c>
      <c r="T8969">
        <v>-0.43252099999999999</v>
      </c>
      <c r="U8969">
        <v>-2.2355040000000002</v>
      </c>
      <c r="V8969">
        <v>0.24797130000000001</v>
      </c>
      <c r="W8969">
        <v>5.9017500000000001E-2</v>
      </c>
      <c r="X8969">
        <v>0.9669681</v>
      </c>
      <c r="Y8969">
        <v>0.52301009999999903</v>
      </c>
      <c r="Z8969">
        <v>-6.5563409999999898E-3</v>
      </c>
      <c r="AA8969">
        <v>0.85230119999999898</v>
      </c>
      <c r="AB8969">
        <v>23</v>
      </c>
      <c r="AC8969">
        <v>5.6739999999999702</v>
      </c>
      <c r="AD8969">
        <v>-1.1130789999999999</v>
      </c>
      <c r="AE8969">
        <v>-5.7254379999999996</v>
      </c>
      <c r="AF8969">
        <v>4.2096175049082003</v>
      </c>
      <c r="AG8969">
        <v>-1.1130789999999999</v>
      </c>
      <c r="AH8969">
        <v>6.6966603563512797</v>
      </c>
      <c r="AI8969">
        <v>98.010075136437905</v>
      </c>
      <c r="AJ8969">
        <v>57.8459378015813</v>
      </c>
      <c r="AK8969">
        <v>7.9878084808160903</v>
      </c>
      <c r="AL8969">
        <v>86.616580511436595</v>
      </c>
      <c r="AM8969">
        <v>75.616895151769199</v>
      </c>
      <c r="AN8969">
        <v>1.00000006867377</v>
      </c>
    </row>
    <row r="8970" spans="1:40" x14ac:dyDescent="0.25">
      <c r="A8970" t="str">
        <f>"20190312150900938"</f>
        <v>20190312150900938</v>
      </c>
      <c r="B8970" t="str">
        <f>"1552374540928411"</f>
        <v>1552374540928411</v>
      </c>
      <c r="C8970" t="s">
        <v>40</v>
      </c>
      <c r="D8970">
        <v>5.2311300000000003</v>
      </c>
      <c r="E8970">
        <v>0.61968579999999995</v>
      </c>
      <c r="F8970" t="s">
        <v>43</v>
      </c>
      <c r="G8970">
        <v>-308.84519999999998</v>
      </c>
      <c r="H8970">
        <v>-0.05</v>
      </c>
      <c r="I8970">
        <v>8.2519530000000003</v>
      </c>
      <c r="J8970">
        <v>-314.50220000000002</v>
      </c>
      <c r="K8970">
        <v>1.0625530000000001</v>
      </c>
      <c r="L8970">
        <v>14.012180000000001</v>
      </c>
      <c r="M8970">
        <v>0.97314699999999998</v>
      </c>
      <c r="N8970">
        <v>0</v>
      </c>
      <c r="O8970">
        <v>-0.22950100000000001</v>
      </c>
      <c r="P8970">
        <v>0.88418469999999905</v>
      </c>
      <c r="Q8970">
        <v>4.3982630000000002E-2</v>
      </c>
      <c r="R8970">
        <v>-0.465063</v>
      </c>
      <c r="S8970">
        <v>2.2387389999999998</v>
      </c>
      <c r="T8970">
        <v>-0.43172529999999998</v>
      </c>
      <c r="U8970">
        <v>-2.2458499999999999</v>
      </c>
      <c r="V8970">
        <v>0.25024940000000001</v>
      </c>
      <c r="W8970">
        <v>5.880378E-2</v>
      </c>
      <c r="X8970">
        <v>0.96639399999999998</v>
      </c>
      <c r="Y8970">
        <v>0.52465530000000005</v>
      </c>
      <c r="Z8970">
        <v>-6.2770279999999996E-3</v>
      </c>
      <c r="AA8970">
        <v>0.85129159999999904</v>
      </c>
      <c r="AB8970">
        <v>23</v>
      </c>
      <c r="AC8970">
        <v>5.6570000000000302</v>
      </c>
      <c r="AD8970">
        <v>-1.1125529999999999</v>
      </c>
      <c r="AE8970">
        <v>-5.7602269999999898</v>
      </c>
      <c r="AF8970">
        <v>4.2276560335796596</v>
      </c>
      <c r="AG8970">
        <v>-1.1125529999999999</v>
      </c>
      <c r="AH8970">
        <v>6.7008962513253598</v>
      </c>
      <c r="AI8970">
        <v>97.993175820747695</v>
      </c>
      <c r="AJ8970">
        <v>57.751801955969803</v>
      </c>
      <c r="AK8970">
        <v>8.0008037275699895</v>
      </c>
      <c r="AL8970">
        <v>86.628846853494593</v>
      </c>
      <c r="AM8970">
        <v>75.482056428011902</v>
      </c>
      <c r="AN8970">
        <v>1.0000000049893201</v>
      </c>
    </row>
    <row r="8971" spans="1:40" x14ac:dyDescent="0.25">
      <c r="A8971" t="str">
        <f>"20190312150900950"</f>
        <v>20190312150900950</v>
      </c>
      <c r="B8971" t="str">
        <f>"1552374540938171"</f>
        <v>1552374540938171</v>
      </c>
      <c r="C8971" t="s">
        <v>40</v>
      </c>
      <c r="D8971">
        <v>5.1516469999999996</v>
      </c>
      <c r="E8971">
        <v>0.61959640000000005</v>
      </c>
      <c r="F8971" t="s">
        <v>43</v>
      </c>
      <c r="G8971">
        <v>-308.79559999999998</v>
      </c>
      <c r="H8971">
        <v>-0.05</v>
      </c>
      <c r="I8971">
        <v>8.2225490000000008</v>
      </c>
      <c r="J8971">
        <v>-314.38420000000002</v>
      </c>
      <c r="K8971">
        <v>1.0620350000000001</v>
      </c>
      <c r="L8971">
        <v>13.98096</v>
      </c>
      <c r="M8971">
        <v>0.97245930000000003</v>
      </c>
      <c r="N8971">
        <v>0</v>
      </c>
      <c r="O8971">
        <v>-0.23241870000000001</v>
      </c>
      <c r="P8971">
        <v>0.88160090000000002</v>
      </c>
      <c r="Q8971">
        <v>4.4176380000000001E-2</v>
      </c>
      <c r="R8971">
        <v>-0.46992410000000001</v>
      </c>
      <c r="S8971">
        <v>2.2264400000000002</v>
      </c>
      <c r="T8971">
        <v>-0.4340619</v>
      </c>
      <c r="U8971">
        <v>-2.2588200000000001</v>
      </c>
      <c r="V8971">
        <v>0.25267979999999901</v>
      </c>
      <c r="W8971">
        <v>5.8688110000000002E-2</v>
      </c>
      <c r="X8971">
        <v>0.96576839999999997</v>
      </c>
      <c r="Y8971">
        <v>0.52687329999999999</v>
      </c>
      <c r="Z8971">
        <v>-6.072048E-3</v>
      </c>
      <c r="AA8971">
        <v>0.84992219999999996</v>
      </c>
      <c r="AB8971">
        <v>23</v>
      </c>
      <c r="AC8971">
        <v>5.5886000000000404</v>
      </c>
      <c r="AD8971">
        <v>-1.1120350000000001</v>
      </c>
      <c r="AE8971">
        <v>-5.7584109999999997</v>
      </c>
      <c r="AF8971">
        <v>4.2205262707757596</v>
      </c>
      <c r="AG8971">
        <v>-1.1120350000000001</v>
      </c>
      <c r="AH8971">
        <v>6.6464371424445003</v>
      </c>
      <c r="AI8971">
        <v>98.039408223067696</v>
      </c>
      <c r="AJ8971">
        <v>57.584215012651299</v>
      </c>
      <c r="AK8971">
        <v>7.9513892202557397</v>
      </c>
      <c r="AL8971">
        <v>86.635485668013899</v>
      </c>
      <c r="AM8971">
        <v>75.338017213112593</v>
      </c>
      <c r="AN8971">
        <v>0.99999998901098497</v>
      </c>
    </row>
    <row r="8972" spans="1:40" x14ac:dyDescent="0.25">
      <c r="A8972" t="str">
        <f>"20190312150900962"</f>
        <v>20190312150900962</v>
      </c>
      <c r="B8972" t="str">
        <f>"1552374540958666"</f>
        <v>1552374540958666</v>
      </c>
      <c r="C8972" t="s">
        <v>40</v>
      </c>
      <c r="D8972">
        <v>5.2088910000000004</v>
      </c>
      <c r="E8972">
        <v>0.61933669999999996</v>
      </c>
      <c r="F8972" t="s">
        <v>43</v>
      </c>
      <c r="G8972">
        <v>-308.70760000000001</v>
      </c>
      <c r="H8972">
        <v>-0.05</v>
      </c>
      <c r="I8972">
        <v>8.1607669999999999</v>
      </c>
      <c r="J8972">
        <v>-314.25420000000003</v>
      </c>
      <c r="K8972">
        <v>1.061499</v>
      </c>
      <c r="L8972">
        <v>13.946199999999999</v>
      </c>
      <c r="M8972">
        <v>0.97168259999999995</v>
      </c>
      <c r="N8972">
        <v>0</v>
      </c>
      <c r="O8972">
        <v>-0.23566390000000001</v>
      </c>
      <c r="P8972">
        <v>0.87882819999999995</v>
      </c>
      <c r="Q8972">
        <v>4.4240370000000001E-2</v>
      </c>
      <c r="R8972">
        <v>-0.47508309999999998</v>
      </c>
      <c r="S8972">
        <v>2.2144170000000001</v>
      </c>
      <c r="T8972">
        <v>-0.43380239999999998</v>
      </c>
      <c r="U8972">
        <v>-2.2704469999999999</v>
      </c>
      <c r="V8972">
        <v>0.25512240000000003</v>
      </c>
      <c r="W8972">
        <v>5.8425820000000003E-2</v>
      </c>
      <c r="X8972">
        <v>0.96514200000000006</v>
      </c>
      <c r="Y8972">
        <v>0.52853349999999999</v>
      </c>
      <c r="Z8972">
        <v>-5.7362389999999997E-3</v>
      </c>
      <c r="AA8972">
        <v>0.84889300000000001</v>
      </c>
      <c r="AB8972">
        <v>23</v>
      </c>
      <c r="AC8972">
        <v>5.5466000000000104</v>
      </c>
      <c r="AD8972">
        <v>-1.111499</v>
      </c>
      <c r="AE8972">
        <v>-5.7854329999999896</v>
      </c>
      <c r="AF8972">
        <v>4.23368364301772</v>
      </c>
      <c r="AG8972">
        <v>-1.111499</v>
      </c>
      <c r="AH8972">
        <v>6.6265048258304402</v>
      </c>
      <c r="AI8972">
        <v>98.045409933455005</v>
      </c>
      <c r="AJ8972">
        <v>57.425431161331304</v>
      </c>
      <c r="AK8972">
        <v>7.9416669171472396</v>
      </c>
      <c r="AL8972">
        <v>86.650539806878001</v>
      </c>
      <c r="AM8972">
        <v>75.193292179320906</v>
      </c>
      <c r="AN8972">
        <v>1.0000000477942099</v>
      </c>
    </row>
    <row r="8973" spans="1:40" x14ac:dyDescent="0.25">
      <c r="A8973" t="str">
        <f>"20190312150900975"</f>
        <v>20190312150900975</v>
      </c>
      <c r="B8973" t="str">
        <f>"1552374540968427"</f>
        <v>1552374540968427</v>
      </c>
      <c r="C8973" t="s">
        <v>40</v>
      </c>
      <c r="D8973">
        <v>5.2150550000000004</v>
      </c>
      <c r="E8973">
        <v>0.6192223</v>
      </c>
      <c r="F8973" t="s">
        <v>43</v>
      </c>
      <c r="G8973">
        <v>-308.6241</v>
      </c>
      <c r="H8973">
        <v>-0.05</v>
      </c>
      <c r="I8973">
        <v>8.1132349999999995</v>
      </c>
      <c r="J8973">
        <v>-314.13740000000001</v>
      </c>
      <c r="K8973">
        <v>1.061059</v>
      </c>
      <c r="L8973">
        <v>13.91431</v>
      </c>
      <c r="M8973">
        <v>0.97095889999999996</v>
      </c>
      <c r="N8973">
        <v>0</v>
      </c>
      <c r="O8973">
        <v>-0.23864550000000001</v>
      </c>
      <c r="P8973">
        <v>0.876224</v>
      </c>
      <c r="Q8973">
        <v>4.4098980000000003E-2</v>
      </c>
      <c r="R8973">
        <v>-0.47988219999999998</v>
      </c>
      <c r="S8973">
        <v>2.2021790000000001</v>
      </c>
      <c r="T8973">
        <v>-0.43475029999999998</v>
      </c>
      <c r="U8973">
        <v>-2.2814939999999999</v>
      </c>
      <c r="V8973">
        <v>0.25744099999999998</v>
      </c>
      <c r="W8973">
        <v>5.8005960000000002E-2</v>
      </c>
      <c r="X8973">
        <v>0.96455139999999995</v>
      </c>
      <c r="Y8973">
        <v>0.53033409999999903</v>
      </c>
      <c r="Z8973">
        <v>-5.4665209999999898E-3</v>
      </c>
      <c r="AA8973">
        <v>0.847771099999999</v>
      </c>
      <c r="AB8973">
        <v>23</v>
      </c>
      <c r="AC8973">
        <v>5.5133000000000099</v>
      </c>
      <c r="AD8973">
        <v>-1.111059</v>
      </c>
      <c r="AE8973">
        <v>-5.8010749999999902</v>
      </c>
      <c r="AF8973">
        <v>4.2358608975263099</v>
      </c>
      <c r="AG8973">
        <v>-1.111059</v>
      </c>
      <c r="AH8973">
        <v>6.6111354659673198</v>
      </c>
      <c r="AI8973">
        <v>98.054167213668094</v>
      </c>
      <c r="AJ8973">
        <v>57.351659406692001</v>
      </c>
      <c r="AK8973">
        <v>7.9299484105537701</v>
      </c>
      <c r="AL8973">
        <v>86.674636659615899</v>
      </c>
      <c r="AM8973">
        <v>75.055978370554797</v>
      </c>
      <c r="AN8973">
        <v>0.99999998155923997</v>
      </c>
    </row>
    <row r="8974" spans="1:40" x14ac:dyDescent="0.25">
      <c r="A8974" t="str">
        <f>"20190312150900987"</f>
        <v>20190312150900987</v>
      </c>
      <c r="B8974" t="str">
        <f>"1552374540978188"</f>
        <v>1552374540978188</v>
      </c>
      <c r="C8974" t="s">
        <v>40</v>
      </c>
      <c r="D8974">
        <v>5.2243690000000003</v>
      </c>
      <c r="E8974">
        <v>0.61911879999999997</v>
      </c>
      <c r="F8974" t="s">
        <v>43</v>
      </c>
      <c r="G8974">
        <v>-308.55689999999998</v>
      </c>
      <c r="H8974">
        <v>-0.05</v>
      </c>
      <c r="I8974">
        <v>8.0721589999999992</v>
      </c>
      <c r="J8974">
        <v>-314.0077</v>
      </c>
      <c r="K8974">
        <v>1.0605899999999999</v>
      </c>
      <c r="L8974">
        <v>13.878629999999999</v>
      </c>
      <c r="M8974">
        <v>0.97013660000000002</v>
      </c>
      <c r="N8974">
        <v>0</v>
      </c>
      <c r="O8974">
        <v>-0.2419839</v>
      </c>
      <c r="P8974">
        <v>0.87337909999999996</v>
      </c>
      <c r="Q8974">
        <v>4.4106649999999997E-2</v>
      </c>
      <c r="R8974">
        <v>-0.48504019999999998</v>
      </c>
      <c r="S8974">
        <v>2.1900629999999999</v>
      </c>
      <c r="T8974">
        <v>-0.43603599999999998</v>
      </c>
      <c r="U8974">
        <v>-2.2927550000000001</v>
      </c>
      <c r="V8974">
        <v>0.25981670000000001</v>
      </c>
      <c r="W8974">
        <v>5.7714149999999999E-2</v>
      </c>
      <c r="X8974">
        <v>0.96393169999999995</v>
      </c>
      <c r="Y8974">
        <v>0.53183930000000001</v>
      </c>
      <c r="Z8974">
        <v>-5.1211420000000004E-3</v>
      </c>
      <c r="AA8974">
        <v>0.84682979999999997</v>
      </c>
      <c r="AB8974">
        <v>23</v>
      </c>
      <c r="AC8974">
        <v>5.4508000000000099</v>
      </c>
      <c r="AD8974">
        <v>-1.11059</v>
      </c>
      <c r="AE8974">
        <v>-5.8064710000000002</v>
      </c>
      <c r="AF8974">
        <v>4.2323616718294197</v>
      </c>
      <c r="AG8974">
        <v>-1.11059</v>
      </c>
      <c r="AH8974">
        <v>6.5663349792554397</v>
      </c>
      <c r="AI8974">
        <v>98.091063232334207</v>
      </c>
      <c r="AJ8974">
        <v>57.196007959207698</v>
      </c>
      <c r="AK8974">
        <v>7.8906939193624899</v>
      </c>
      <c r="AL8974">
        <v>86.691384198255605</v>
      </c>
      <c r="AM8974">
        <v>74.915073345048398</v>
      </c>
      <c r="AN8974">
        <v>0.99999998148700098</v>
      </c>
    </row>
    <row r="8975" spans="1:40" x14ac:dyDescent="0.25">
      <c r="A8975" t="str">
        <f>"20190312150901005"</f>
        <v>20190312150901005</v>
      </c>
      <c r="B8975" t="str">
        <f>"1552374540998683"</f>
        <v>1552374540998683</v>
      </c>
      <c r="C8975" t="s">
        <v>40</v>
      </c>
      <c r="D8975">
        <v>5.2137570000000002</v>
      </c>
      <c r="E8975">
        <v>0.61856840000000002</v>
      </c>
      <c r="F8975" t="s">
        <v>43</v>
      </c>
      <c r="G8975">
        <v>-308.48259999999999</v>
      </c>
      <c r="H8975">
        <v>-0.05</v>
      </c>
      <c r="I8975">
        <v>8.0284270000000006</v>
      </c>
      <c r="J8975">
        <v>-313.8306</v>
      </c>
      <c r="K8975">
        <v>1.0599959999999999</v>
      </c>
      <c r="L8975">
        <v>13.828889999999999</v>
      </c>
      <c r="M8975">
        <v>0.96896720000000003</v>
      </c>
      <c r="N8975">
        <v>0</v>
      </c>
      <c r="O8975">
        <v>-0.24664459999999999</v>
      </c>
      <c r="P8975">
        <v>0.86865859999999995</v>
      </c>
      <c r="Q8975">
        <v>4.319423E-2</v>
      </c>
      <c r="R8975">
        <v>-0.49352469999999998</v>
      </c>
      <c r="S8975">
        <v>2.1769409999999998</v>
      </c>
      <c r="T8975">
        <v>-0.43757940000000001</v>
      </c>
      <c r="U8975">
        <v>-2.3050229999999998</v>
      </c>
      <c r="V8975">
        <v>0.26456099999999999</v>
      </c>
      <c r="W8975">
        <v>5.6394979999999997E-2</v>
      </c>
      <c r="X8975">
        <v>0.96271859999999998</v>
      </c>
      <c r="Y8975">
        <v>0.53258409999999901</v>
      </c>
      <c r="Z8975">
        <v>-4.5157519999999996E-3</v>
      </c>
      <c r="AA8975">
        <v>0.84636499999999903</v>
      </c>
      <c r="AB8975">
        <v>23</v>
      </c>
      <c r="AC8975">
        <v>5.3480000000000096</v>
      </c>
      <c r="AD8975">
        <v>-1.109996</v>
      </c>
      <c r="AE8975">
        <v>-5.8004629999999899</v>
      </c>
      <c r="AF8975">
        <v>4.2184821624389599</v>
      </c>
      <c r="AG8975">
        <v>-1.109996</v>
      </c>
      <c r="AH8975">
        <v>6.48521240182958</v>
      </c>
      <c r="AI8975">
        <v>98.164794627835903</v>
      </c>
      <c r="AJ8975">
        <v>56.956919850943798</v>
      </c>
      <c r="AK8975">
        <v>7.8157317489583704</v>
      </c>
      <c r="AL8975">
        <v>86.767090490517703</v>
      </c>
      <c r="AM8975">
        <v>74.634074711453593</v>
      </c>
      <c r="AN8975">
        <v>1.0000000096380799</v>
      </c>
    </row>
    <row r="8976" spans="1:40" x14ac:dyDescent="0.25">
      <c r="A8976" t="str">
        <f>"20190312150901017"</f>
        <v>20190312150901017</v>
      </c>
      <c r="B8976" t="str">
        <f>"1552374541008443"</f>
        <v>1552374541008443</v>
      </c>
      <c r="C8976" t="s">
        <v>40</v>
      </c>
      <c r="D8976">
        <v>5.2684179999999996</v>
      </c>
      <c r="E8976">
        <v>0.61841759999999901</v>
      </c>
      <c r="F8976" t="s">
        <v>43</v>
      </c>
      <c r="G8976">
        <v>-308.38900000000001</v>
      </c>
      <c r="H8976">
        <v>-0.05</v>
      </c>
      <c r="I8976">
        <v>7.9675449999999897</v>
      </c>
      <c r="J8976">
        <v>-313.70679999999999</v>
      </c>
      <c r="K8976">
        <v>1.0596350000000001</v>
      </c>
      <c r="L8976">
        <v>13.793329999999999</v>
      </c>
      <c r="M8976">
        <v>0.96811349999999996</v>
      </c>
      <c r="N8976">
        <v>0</v>
      </c>
      <c r="O8976">
        <v>-0.2499876</v>
      </c>
      <c r="P8976">
        <v>0.86564680000000005</v>
      </c>
      <c r="Q8976">
        <v>4.2760430000000002E-2</v>
      </c>
      <c r="R8976">
        <v>-0.49882609999999999</v>
      </c>
      <c r="S8976">
        <v>2.1560359999999998</v>
      </c>
      <c r="T8976">
        <v>-0.43979790000000002</v>
      </c>
      <c r="U8976">
        <v>-2.3223569999999998</v>
      </c>
      <c r="V8976">
        <v>0.26712069999999999</v>
      </c>
      <c r="W8976">
        <v>5.5707989999999999E-2</v>
      </c>
      <c r="X8976">
        <v>0.96205149999999995</v>
      </c>
      <c r="Y8976">
        <v>0.53685179999999999</v>
      </c>
      <c r="Z8976">
        <v>-4.4109520000000001E-3</v>
      </c>
      <c r="AA8976">
        <v>0.84366509999999995</v>
      </c>
      <c r="AB8976">
        <v>23</v>
      </c>
      <c r="AC8976">
        <v>5.3177999999999699</v>
      </c>
      <c r="AD8976">
        <v>-1.1096349999999999</v>
      </c>
      <c r="AE8976">
        <v>-5.8257849999999998</v>
      </c>
      <c r="AF8976">
        <v>4.2275411157978304</v>
      </c>
      <c r="AG8976">
        <v>-1.1096349999999999</v>
      </c>
      <c r="AH8976">
        <v>6.4772912878258904</v>
      </c>
      <c r="AI8976">
        <v>98.163935608346407</v>
      </c>
      <c r="AJ8976">
        <v>56.868674775350897</v>
      </c>
      <c r="AK8976">
        <v>7.8140064081322196</v>
      </c>
      <c r="AL8976">
        <v>86.806513965902198</v>
      </c>
      <c r="AM8976">
        <v>74.482293280145797</v>
      </c>
      <c r="AN8976">
        <v>0.99999996858528895</v>
      </c>
    </row>
    <row r="8977" spans="1:40" x14ac:dyDescent="0.25">
      <c r="A8977" t="str">
        <f>"20190312150901027"</f>
        <v>20190312150901027</v>
      </c>
      <c r="B8977" t="str">
        <f>"1552374541018203"</f>
        <v>1552374541018203</v>
      </c>
      <c r="C8977" t="s">
        <v>40</v>
      </c>
      <c r="D8977">
        <v>5.2876029999999998</v>
      </c>
      <c r="E8977">
        <v>0.6183206</v>
      </c>
      <c r="F8977" t="s">
        <v>43</v>
      </c>
      <c r="G8977">
        <v>-308.33269999999999</v>
      </c>
      <c r="H8977">
        <v>-0.05</v>
      </c>
      <c r="I8977">
        <v>7.9360350000000004</v>
      </c>
      <c r="J8977">
        <v>-313.60180000000003</v>
      </c>
      <c r="K8977">
        <v>1.059337</v>
      </c>
      <c r="L8977">
        <v>13.763</v>
      </c>
      <c r="M8977">
        <v>0.96737359999999994</v>
      </c>
      <c r="N8977">
        <v>0</v>
      </c>
      <c r="O8977">
        <v>-0.2528456</v>
      </c>
      <c r="P8977">
        <v>0.86286309999999999</v>
      </c>
      <c r="Q8977">
        <v>4.2619209999999998E-2</v>
      </c>
      <c r="R8977">
        <v>-0.50363800000000003</v>
      </c>
      <c r="S8977">
        <v>2.14209</v>
      </c>
      <c r="T8977">
        <v>-0.4422932</v>
      </c>
      <c r="U8977">
        <v>-2.334686</v>
      </c>
      <c r="V8977">
        <v>0.26963819999999999</v>
      </c>
      <c r="W8977">
        <v>5.535234E-2</v>
      </c>
      <c r="X8977">
        <v>0.96136949999999999</v>
      </c>
      <c r="Y8977">
        <v>0.53928390000000004</v>
      </c>
      <c r="Z8977">
        <v>-4.2195990000000001E-3</v>
      </c>
      <c r="AA8977">
        <v>0.84211349999999996</v>
      </c>
      <c r="AB8977">
        <v>23</v>
      </c>
      <c r="AC8977">
        <v>5.2691000000000301</v>
      </c>
      <c r="AD8977">
        <v>-1.109337</v>
      </c>
      <c r="AE8977">
        <v>-5.8269650000000004</v>
      </c>
      <c r="AF8977">
        <v>4.2209718184136804</v>
      </c>
      <c r="AG8977">
        <v>-1.109337</v>
      </c>
      <c r="AH8977">
        <v>6.4428861468229099</v>
      </c>
      <c r="AI8977">
        <v>98.195629608202694</v>
      </c>
      <c r="AJ8977">
        <v>56.769716606589498</v>
      </c>
      <c r="AK8977">
        <v>7.7819029531557398</v>
      </c>
      <c r="AL8977">
        <v>86.826922730972896</v>
      </c>
      <c r="AM8977">
        <v>74.332625294856001</v>
      </c>
      <c r="AN8977">
        <v>0.99999997798648199</v>
      </c>
    </row>
    <row r="8978" spans="1:40" x14ac:dyDescent="0.25">
      <c r="A8978" t="str">
        <f>"20190312150901039"</f>
        <v>20190312150901039</v>
      </c>
      <c r="B8978" t="str">
        <f>"1552374541028940"</f>
        <v>1552374541028940</v>
      </c>
      <c r="C8978" t="s">
        <v>40</v>
      </c>
      <c r="D8978">
        <v>5.179951</v>
      </c>
      <c r="E8978">
        <v>0.61854240000000005</v>
      </c>
      <c r="F8978" t="s">
        <v>43</v>
      </c>
      <c r="G8978">
        <v>-308.28039999999999</v>
      </c>
      <c r="H8978">
        <v>-0.05</v>
      </c>
      <c r="I8978">
        <v>7.8993229999999999</v>
      </c>
      <c r="J8978">
        <v>-313.47989999999999</v>
      </c>
      <c r="K8978">
        <v>1.059024</v>
      </c>
      <c r="L8978">
        <v>13.72714</v>
      </c>
      <c r="M8978">
        <v>0.96648849999999997</v>
      </c>
      <c r="N8978">
        <v>0</v>
      </c>
      <c r="O8978">
        <v>-0.25621850000000002</v>
      </c>
      <c r="P8978">
        <v>0.86002649999999903</v>
      </c>
      <c r="Q8978">
        <v>4.2686019999999998E-2</v>
      </c>
      <c r="R8978">
        <v>-0.50846119999999995</v>
      </c>
      <c r="S8978">
        <v>2.1293030000000002</v>
      </c>
      <c r="T8978">
        <v>-0.4438879</v>
      </c>
      <c r="U8978">
        <v>-2.3462830000000001</v>
      </c>
      <c r="V8978">
        <v>0.27167469999999999</v>
      </c>
      <c r="W8978">
        <v>5.519665E-2</v>
      </c>
      <c r="X8978">
        <v>0.96080489999999996</v>
      </c>
      <c r="Y8978">
        <v>0.54092910000000005</v>
      </c>
      <c r="Z8978">
        <v>-3.871139E-3</v>
      </c>
      <c r="AA8978">
        <v>0.84105929999999995</v>
      </c>
      <c r="AB8978">
        <v>23</v>
      </c>
      <c r="AC8978">
        <v>5.1994999999999996</v>
      </c>
      <c r="AD8978">
        <v>-1.109024</v>
      </c>
      <c r="AE8978">
        <v>-5.8278169999999898</v>
      </c>
      <c r="AF8978">
        <v>4.2158461525870603</v>
      </c>
      <c r="AG8978">
        <v>-1.109024</v>
      </c>
      <c r="AH8978">
        <v>6.3904203395120502</v>
      </c>
      <c r="AI8978">
        <v>98.242596817646202</v>
      </c>
      <c r="AJ8978">
        <v>56.586627333968998</v>
      </c>
      <c r="AK8978">
        <v>7.7356812971132998</v>
      </c>
      <c r="AL8978">
        <v>86.835856631197501</v>
      </c>
      <c r="AM8978">
        <v>74.211356767920293</v>
      </c>
      <c r="AN8978">
        <v>0.99999993432765899</v>
      </c>
    </row>
    <row r="8979" spans="1:40" x14ac:dyDescent="0.25">
      <c r="A8979" t="str">
        <f>"20190312150901051"</f>
        <v>20190312150901051</v>
      </c>
      <c r="B8979" t="str">
        <f>"1552374541048460"</f>
        <v>1552374541048460</v>
      </c>
      <c r="C8979" t="s">
        <v>40</v>
      </c>
      <c r="D8979">
        <v>5.1040479999999997</v>
      </c>
      <c r="E8979">
        <v>0.65018279999999995</v>
      </c>
      <c r="F8979" t="s">
        <v>43</v>
      </c>
      <c r="G8979">
        <v>-308.15859999999998</v>
      </c>
      <c r="H8979">
        <v>-0.05</v>
      </c>
      <c r="I8979">
        <v>7.7899320000000003</v>
      </c>
      <c r="J8979">
        <v>-313.3646</v>
      </c>
      <c r="K8979">
        <v>1.0587489999999999</v>
      </c>
      <c r="L8979">
        <v>13.692780000000001</v>
      </c>
      <c r="M8979">
        <v>0.96562630000000005</v>
      </c>
      <c r="N8979">
        <v>0</v>
      </c>
      <c r="O8979">
        <v>-0.25945790000000002</v>
      </c>
      <c r="P8979">
        <v>0.85643219999999998</v>
      </c>
      <c r="Q8979">
        <v>4.2205189999999997E-2</v>
      </c>
      <c r="R8979">
        <v>-0.51453139999999997</v>
      </c>
      <c r="S8979">
        <v>2.115021</v>
      </c>
      <c r="T8979">
        <v>-0.44079879999999999</v>
      </c>
      <c r="U8979">
        <v>-2.3598330000000001</v>
      </c>
      <c r="V8979">
        <v>0.27524359999999998</v>
      </c>
      <c r="W8979">
        <v>5.4491530000000003E-2</v>
      </c>
      <c r="X8979">
        <v>0.95982900000000004</v>
      </c>
      <c r="Y8979">
        <v>0.54337269999999904</v>
      </c>
      <c r="Z8979">
        <v>-3.5713580000000002E-3</v>
      </c>
      <c r="AA8979">
        <v>0.83948400000000001</v>
      </c>
      <c r="AB8979">
        <v>23</v>
      </c>
      <c r="AC8979">
        <v>5.2060000000000102</v>
      </c>
      <c r="AD8979">
        <v>-1.108749</v>
      </c>
      <c r="AE8979">
        <v>-5.9028479999999899</v>
      </c>
      <c r="AF8979">
        <v>4.2651043077233997</v>
      </c>
      <c r="AG8979">
        <v>-1.108749</v>
      </c>
      <c r="AH8979">
        <v>6.43176379710627</v>
      </c>
      <c r="AI8979">
        <v>98.175637636411295</v>
      </c>
      <c r="AJ8979">
        <v>56.450393738720201</v>
      </c>
      <c r="AK8979">
        <v>7.7966675344360103</v>
      </c>
      <c r="AL8979">
        <v>86.876318255094205</v>
      </c>
      <c r="AM8979">
        <v>73.999058828523502</v>
      </c>
      <c r="AN8979">
        <v>1.0000000377118401</v>
      </c>
    </row>
    <row r="8980" spans="1:40" x14ac:dyDescent="0.25">
      <c r="A8980" t="str">
        <f>"20190312150901064"</f>
        <v>20190312150901064</v>
      </c>
      <c r="B8980" t="str">
        <f>"1552374541058271"</f>
        <v>1552374541058271</v>
      </c>
      <c r="C8980" t="s">
        <v>40</v>
      </c>
      <c r="D8980">
        <v>5.0375560000000004</v>
      </c>
      <c r="E8980">
        <v>0.65238019999999997</v>
      </c>
      <c r="F8980" t="s">
        <v>43</v>
      </c>
      <c r="G8980">
        <v>-308.14890000000003</v>
      </c>
      <c r="H8980">
        <v>-0.05</v>
      </c>
      <c r="I8980">
        <v>6.8250729999999997</v>
      </c>
      <c r="J8980">
        <v>-313.23590000000002</v>
      </c>
      <c r="K8980">
        <v>1.0584499999999999</v>
      </c>
      <c r="L8980">
        <v>13.65405</v>
      </c>
      <c r="M8980">
        <v>0.96464059999999996</v>
      </c>
      <c r="N8980">
        <v>0</v>
      </c>
      <c r="O8980">
        <v>-0.26310919999999999</v>
      </c>
      <c r="P8980">
        <v>0.85285080000000002</v>
      </c>
      <c r="Q8980">
        <v>4.1994179999999999E-2</v>
      </c>
      <c r="R8980">
        <v>-0.52046369999999997</v>
      </c>
      <c r="S8980">
        <v>1.967285</v>
      </c>
      <c r="T8980">
        <v>-0.41820279999999999</v>
      </c>
      <c r="U8980">
        <v>-2.5903930000000002</v>
      </c>
      <c r="V8980">
        <v>0.27827619999999997</v>
      </c>
      <c r="W8980">
        <v>5.4050149999999998E-2</v>
      </c>
      <c r="X8980">
        <v>0.95897909999999997</v>
      </c>
      <c r="Y8980">
        <v>0.60649319999999995</v>
      </c>
      <c r="Z8980">
        <v>-8.048978E-3</v>
      </c>
      <c r="AA8980">
        <v>0.79504790000000003</v>
      </c>
      <c r="AB8980">
        <v>23</v>
      </c>
      <c r="AC8980">
        <v>5.0869999999999802</v>
      </c>
      <c r="AD8980">
        <v>-1.1084499999999999</v>
      </c>
      <c r="AE8980">
        <v>-6.8289770000000001</v>
      </c>
      <c r="AF8980">
        <v>5.1622377404151099</v>
      </c>
      <c r="AG8980">
        <v>-1.1084499999999999</v>
      </c>
      <c r="AH8980">
        <v>6.5929923902532304</v>
      </c>
      <c r="AI8980">
        <v>97.540701037382206</v>
      </c>
      <c r="AJ8980">
        <v>51.939461656545497</v>
      </c>
      <c r="AK8980">
        <v>8.4465915344003193</v>
      </c>
      <c r="AL8980">
        <v>86.901644636942095</v>
      </c>
      <c r="AM8980">
        <v>73.818347836520104</v>
      </c>
      <c r="AN8980">
        <v>0.99999998821913605</v>
      </c>
    </row>
    <row r="8981" spans="1:40" x14ac:dyDescent="0.25">
      <c r="A8981" t="str">
        <f>"20190312150901076"</f>
        <v>20190312150901076</v>
      </c>
      <c r="B8981" t="str">
        <f>"1552374541068421"</f>
        <v>1552374541068421</v>
      </c>
      <c r="C8981" t="s">
        <v>40</v>
      </c>
      <c r="D8981">
        <v>5.0776209999999997</v>
      </c>
      <c r="E8981">
        <v>0.65401519999999902</v>
      </c>
      <c r="F8981" t="s">
        <v>43</v>
      </c>
      <c r="G8981">
        <v>-308.10520000000002</v>
      </c>
      <c r="H8981">
        <v>-0.05</v>
      </c>
      <c r="I8981">
        <v>6.7262570000000004</v>
      </c>
      <c r="J8981">
        <v>-313.12240000000003</v>
      </c>
      <c r="K8981">
        <v>1.0582149999999999</v>
      </c>
      <c r="L8981">
        <v>13.61908</v>
      </c>
      <c r="M8981">
        <v>0.96373470000000006</v>
      </c>
      <c r="N8981">
        <v>0</v>
      </c>
      <c r="O8981">
        <v>-0.26641530000000002</v>
      </c>
      <c r="P8981">
        <v>0.8496224</v>
      </c>
      <c r="Q8981">
        <v>4.1861250000000003E-2</v>
      </c>
      <c r="R8981">
        <v>-0.52572819999999998</v>
      </c>
      <c r="S8981">
        <v>1.939819</v>
      </c>
      <c r="T8981">
        <v>-0.41908250000000002</v>
      </c>
      <c r="U8981">
        <v>-2.6192630000000001</v>
      </c>
      <c r="V8981">
        <v>0.2809218</v>
      </c>
      <c r="W8981">
        <v>5.37259E-2</v>
      </c>
      <c r="X8981">
        <v>0.95822569999999996</v>
      </c>
      <c r="Y8981">
        <v>0.613299699999999</v>
      </c>
      <c r="Z8981">
        <v>-8.1786140000000007E-3</v>
      </c>
      <c r="AA8981">
        <v>0.78980799999999995</v>
      </c>
      <c r="AB8981">
        <v>23</v>
      </c>
      <c r="AC8981">
        <v>5.0171999999999999</v>
      </c>
      <c r="AD8981">
        <v>-1.108215</v>
      </c>
      <c r="AE8981">
        <v>-6.8928229999999902</v>
      </c>
      <c r="AF8981">
        <v>5.2186460221456397</v>
      </c>
      <c r="AG8981">
        <v>-1.108215</v>
      </c>
      <c r="AH8981">
        <v>6.56152727010031</v>
      </c>
      <c r="AI8981">
        <v>97.530014747048796</v>
      </c>
      <c r="AJ8981">
        <v>51.503361152594898</v>
      </c>
      <c r="AK8981">
        <v>8.4567160829101695</v>
      </c>
      <c r="AL8981">
        <v>86.920249897890997</v>
      </c>
      <c r="AM8981">
        <v>73.660513350032602</v>
      </c>
      <c r="AN8981">
        <v>1.0000000110932601</v>
      </c>
    </row>
    <row r="8982" spans="1:40" x14ac:dyDescent="0.25">
      <c r="A8982" t="str">
        <f>"20190312150901086"</f>
        <v>20190312150901086</v>
      </c>
      <c r="B8982" t="str">
        <f>"1552374541078182"</f>
        <v>1552374541078182</v>
      </c>
      <c r="C8982" t="s">
        <v>40</v>
      </c>
      <c r="D8982">
        <v>5.0406620000000002</v>
      </c>
      <c r="E8982">
        <v>0.6544683</v>
      </c>
      <c r="F8982" t="s">
        <v>43</v>
      </c>
      <c r="G8982">
        <v>-308.06229999999999</v>
      </c>
      <c r="H8982">
        <v>-0.05</v>
      </c>
      <c r="I8982">
        <v>6.641006</v>
      </c>
      <c r="J8982">
        <v>-313.01119999999997</v>
      </c>
      <c r="K8982">
        <v>1.0579889999999901</v>
      </c>
      <c r="L8982">
        <v>13.58466</v>
      </c>
      <c r="M8982">
        <v>0.96283019999999997</v>
      </c>
      <c r="N8982">
        <v>0</v>
      </c>
      <c r="O8982">
        <v>-0.2696731</v>
      </c>
      <c r="P8982">
        <v>0.84617999999999904</v>
      </c>
      <c r="Q8982">
        <v>4.1344550000000001E-2</v>
      </c>
      <c r="R8982">
        <v>-0.53129159999999997</v>
      </c>
      <c r="S8982">
        <v>1.916382</v>
      </c>
      <c r="T8982">
        <v>-0.41970730000000001</v>
      </c>
      <c r="U8982">
        <v>-2.6427610000000001</v>
      </c>
      <c r="V8982">
        <v>0.283962099999999</v>
      </c>
      <c r="W8982">
        <v>5.3016899999999999E-2</v>
      </c>
      <c r="X8982">
        <v>0.95736869999999996</v>
      </c>
      <c r="Y8982">
        <v>0.61853159999999996</v>
      </c>
      <c r="Z8982">
        <v>-8.1792659999999993E-3</v>
      </c>
      <c r="AA8982">
        <v>0.78571729999999995</v>
      </c>
      <c r="AB8982">
        <v>23</v>
      </c>
      <c r="AC8982">
        <v>4.9488999999999796</v>
      </c>
      <c r="AD8982">
        <v>-1.1079889999999999</v>
      </c>
      <c r="AE8982">
        <v>-6.9436540000000004</v>
      </c>
      <c r="AF8982">
        <v>5.2627405180450504</v>
      </c>
      <c r="AG8982">
        <v>-1.1079889999999999</v>
      </c>
      <c r="AH8982">
        <v>6.5280196150256797</v>
      </c>
      <c r="AI8982">
        <v>97.527249184109706</v>
      </c>
      <c r="AJ8982">
        <v>51.125031952647397</v>
      </c>
      <c r="AK8982">
        <v>8.4580800113592094</v>
      </c>
      <c r="AL8982">
        <v>86.960930695604802</v>
      </c>
      <c r="AM8982">
        <v>73.479283416233798</v>
      </c>
      <c r="AN8982">
        <v>1.0000000468308501</v>
      </c>
    </row>
    <row r="8983" spans="1:40" x14ac:dyDescent="0.25">
      <c r="A8983" t="str">
        <f>"20190312150901097"</f>
        <v>20190312150901097</v>
      </c>
      <c r="B8983" t="str">
        <f>"1552374541088918"</f>
        <v>1552374541088918</v>
      </c>
      <c r="C8983" t="s">
        <v>40</v>
      </c>
      <c r="D8983">
        <v>5.0142819999999997</v>
      </c>
      <c r="E8983">
        <v>0.65465609999999996</v>
      </c>
      <c r="F8983" t="s">
        <v>43</v>
      </c>
      <c r="G8983">
        <v>-308.02499999999998</v>
      </c>
      <c r="H8983">
        <v>-0.05</v>
      </c>
      <c r="I8983">
        <v>6.5953979999999897</v>
      </c>
      <c r="J8983">
        <v>-312.90129999999999</v>
      </c>
      <c r="K8983">
        <v>1.057788</v>
      </c>
      <c r="L8983">
        <v>13.54996</v>
      </c>
      <c r="M8983">
        <v>0.96190489999999995</v>
      </c>
      <c r="N8983">
        <v>0</v>
      </c>
      <c r="O8983">
        <v>-0.27296039999999999</v>
      </c>
      <c r="P8983">
        <v>0.84275829999999996</v>
      </c>
      <c r="Q8983">
        <v>4.091492E-2</v>
      </c>
      <c r="R8983">
        <v>-0.53673490000000001</v>
      </c>
      <c r="S8983">
        <v>1.896698</v>
      </c>
      <c r="T8983">
        <v>-0.4214657</v>
      </c>
      <c r="U8983">
        <v>-2.65863</v>
      </c>
      <c r="V8983">
        <v>0.2868597</v>
      </c>
      <c r="W8983">
        <v>5.2405010000000002E-2</v>
      </c>
      <c r="X8983">
        <v>0.95653809999999995</v>
      </c>
      <c r="Y8983">
        <v>0.62189099999999997</v>
      </c>
      <c r="Z8983">
        <v>-8.0427119999999901E-3</v>
      </c>
      <c r="AA8983">
        <v>0.78306249999999999</v>
      </c>
      <c r="AB8983">
        <v>23</v>
      </c>
      <c r="AC8983">
        <v>4.8763000000000103</v>
      </c>
      <c r="AD8983">
        <v>-1.107788</v>
      </c>
      <c r="AE8983">
        <v>-6.9545620000000001</v>
      </c>
      <c r="AF8983">
        <v>5.2695740783345997</v>
      </c>
      <c r="AG8983">
        <v>-1.107788</v>
      </c>
      <c r="AH8983">
        <v>6.4794034336932196</v>
      </c>
      <c r="AI8983">
        <v>97.555723438799205</v>
      </c>
      <c r="AJ8983">
        <v>50.879205974996097</v>
      </c>
      <c r="AK8983">
        <v>8.4248604781655203</v>
      </c>
      <c r="AL8983">
        <v>86.996037937966094</v>
      </c>
      <c r="AM8983">
        <v>73.306346329921297</v>
      </c>
      <c r="AN8983">
        <v>0.99999995465439895</v>
      </c>
    </row>
    <row r="8984" spans="1:40" x14ac:dyDescent="0.25">
      <c r="A8984" t="str">
        <f>"20190312150901107"</f>
        <v>20190312150901107</v>
      </c>
      <c r="B8984" t="str">
        <f>"1552374541098678"</f>
        <v>1552374541098678</v>
      </c>
      <c r="C8984" t="s">
        <v>40</v>
      </c>
      <c r="D8984">
        <v>4.8529879999999999</v>
      </c>
      <c r="E8984">
        <v>0.65362830000000005</v>
      </c>
      <c r="F8984" t="s">
        <v>43</v>
      </c>
      <c r="G8984">
        <v>-307.94760000000002</v>
      </c>
      <c r="H8984">
        <v>-0.05</v>
      </c>
      <c r="I8984">
        <v>6.5012509999999999</v>
      </c>
      <c r="J8984">
        <v>-312.80680000000001</v>
      </c>
      <c r="K8984">
        <v>1.0576159999999999</v>
      </c>
      <c r="L8984">
        <v>13.5199</v>
      </c>
      <c r="M8984">
        <v>0.9610938</v>
      </c>
      <c r="N8984">
        <v>0</v>
      </c>
      <c r="O8984">
        <v>-0.27580789999999999</v>
      </c>
      <c r="P8984">
        <v>0.83951669999999901</v>
      </c>
      <c r="Q8984">
        <v>4.0490289999999998E-2</v>
      </c>
      <c r="R8984">
        <v>-0.54182350000000001</v>
      </c>
      <c r="S8984">
        <v>1.8781429999999999</v>
      </c>
      <c r="T8984">
        <v>-0.41999910000000001</v>
      </c>
      <c r="U8984">
        <v>-2.6723940000000002</v>
      </c>
      <c r="V8984">
        <v>0.28980879999999998</v>
      </c>
      <c r="W8984">
        <v>5.1819299999999999E-2</v>
      </c>
      <c r="X8984">
        <v>0.95568070000000005</v>
      </c>
      <c r="Y8984">
        <v>0.62511559999999999</v>
      </c>
      <c r="Z8984">
        <v>-7.8976040000000008E-3</v>
      </c>
      <c r="AA8984">
        <v>0.78049219999999997</v>
      </c>
      <c r="AB8984">
        <v>23</v>
      </c>
      <c r="AC8984">
        <v>4.85919999999998</v>
      </c>
      <c r="AD8984">
        <v>-1.1076159999999999</v>
      </c>
      <c r="AE8984">
        <v>-7.0186489999999999</v>
      </c>
      <c r="AF8984">
        <v>5.3164900097300398</v>
      </c>
      <c r="AG8984">
        <v>-1.1076159999999999</v>
      </c>
      <c r="AH8984">
        <v>6.49731973139545</v>
      </c>
      <c r="AI8984">
        <v>97.515833611904498</v>
      </c>
      <c r="AJ8984">
        <v>50.7079460772717</v>
      </c>
      <c r="AK8984">
        <v>8.4680011170875495</v>
      </c>
      <c r="AL8984">
        <v>87.029642417539606</v>
      </c>
      <c r="AM8984">
        <v>73.130148249781399</v>
      </c>
      <c r="AN8984">
        <v>0.99999999038121001</v>
      </c>
    </row>
    <row r="8985" spans="1:40" x14ac:dyDescent="0.25">
      <c r="A8985" t="str">
        <f>"20190312150901117"</f>
        <v>20190312150901117</v>
      </c>
      <c r="B8985" t="str">
        <f>"1552374541108438"</f>
        <v>1552374541108438</v>
      </c>
      <c r="C8985" t="s">
        <v>40</v>
      </c>
      <c r="D8985">
        <v>5.0154389999999998</v>
      </c>
      <c r="E8985">
        <v>0.65348580000000001</v>
      </c>
      <c r="F8985" t="s">
        <v>43</v>
      </c>
      <c r="G8985">
        <v>-307.8125</v>
      </c>
      <c r="H8985">
        <v>-0.05</v>
      </c>
      <c r="I8985">
        <v>6.3547359999999999</v>
      </c>
      <c r="J8985">
        <v>-312.70780000000002</v>
      </c>
      <c r="K8985">
        <v>1.0574479999999999</v>
      </c>
      <c r="L8985">
        <v>13.48785</v>
      </c>
      <c r="M8985">
        <v>0.96021990000000002</v>
      </c>
      <c r="N8985">
        <v>0</v>
      </c>
      <c r="O8985">
        <v>-0.27883970000000002</v>
      </c>
      <c r="P8985">
        <v>0.83600909999999995</v>
      </c>
      <c r="Q8985">
        <v>4.0301240000000002E-2</v>
      </c>
      <c r="R8985">
        <v>-0.54723389999999905</v>
      </c>
      <c r="S8985">
        <v>1.865845</v>
      </c>
      <c r="T8985">
        <v>-0.41379650000000001</v>
      </c>
      <c r="U8985">
        <v>-2.6768489999999998</v>
      </c>
      <c r="V8985">
        <v>0.2929659</v>
      </c>
      <c r="W8985">
        <v>5.1466909999999998E-2</v>
      </c>
      <c r="X8985">
        <v>0.95473669999999999</v>
      </c>
      <c r="Y8985">
        <v>0.62576339999999997</v>
      </c>
      <c r="Z8985">
        <v>-7.4242169999999899E-3</v>
      </c>
      <c r="AA8985">
        <v>0.77997759999999905</v>
      </c>
      <c r="AB8985">
        <v>23</v>
      </c>
      <c r="AC8985">
        <v>4.8953000000000104</v>
      </c>
      <c r="AD8985">
        <v>-1.107448</v>
      </c>
      <c r="AE8985">
        <v>-7.133114</v>
      </c>
      <c r="AF8985">
        <v>5.3965446381596003</v>
      </c>
      <c r="AG8985">
        <v>-1.107448</v>
      </c>
      <c r="AH8985">
        <v>6.5824540361021997</v>
      </c>
      <c r="AI8985">
        <v>97.412929054614594</v>
      </c>
      <c r="AJ8985">
        <v>50.653804711644298</v>
      </c>
      <c r="AK8985">
        <v>8.5835794539196293</v>
      </c>
      <c r="AL8985">
        <v>87.049859924959094</v>
      </c>
      <c r="AM8985">
        <v>72.941097096505203</v>
      </c>
      <c r="AN8985">
        <v>1.00000001385732</v>
      </c>
    </row>
    <row r="8986" spans="1:40" x14ac:dyDescent="0.25">
      <c r="A8986" t="str">
        <f>"20190312150901128"</f>
        <v>20190312150901128</v>
      </c>
      <c r="B8986" t="str">
        <f>"1552374541118198"</f>
        <v>1552374541118198</v>
      </c>
      <c r="C8986" t="s">
        <v>40</v>
      </c>
      <c r="D8986">
        <v>5.0110010000000003</v>
      </c>
      <c r="E8986">
        <v>0.65330129999999997</v>
      </c>
      <c r="F8986" t="s">
        <v>43</v>
      </c>
      <c r="G8986">
        <v>-307.79109999999997</v>
      </c>
      <c r="H8986">
        <v>-0.05</v>
      </c>
      <c r="I8986">
        <v>6.3399510000000001</v>
      </c>
      <c r="J8986">
        <v>-312.6019</v>
      </c>
      <c r="K8986">
        <v>1.057277</v>
      </c>
      <c r="L8986">
        <v>13.453340000000001</v>
      </c>
      <c r="M8986">
        <v>0.95926750000000005</v>
      </c>
      <c r="N8986">
        <v>0</v>
      </c>
      <c r="O8986">
        <v>-0.28210350000000001</v>
      </c>
      <c r="P8986">
        <v>0.83233020000000002</v>
      </c>
      <c r="Q8986">
        <v>4.0037870000000003E-2</v>
      </c>
      <c r="R8986">
        <v>-0.5528324</v>
      </c>
      <c r="S8986">
        <v>1.8489990000000001</v>
      </c>
      <c r="T8986">
        <v>-0.41647780000000001</v>
      </c>
      <c r="U8986">
        <v>-2.68811</v>
      </c>
      <c r="V8986">
        <v>0.29612660000000002</v>
      </c>
      <c r="W8986">
        <v>5.1034980000000001E-2</v>
      </c>
      <c r="X8986">
        <v>0.95378430000000003</v>
      </c>
      <c r="Y8986">
        <v>0.62792300000000001</v>
      </c>
      <c r="Z8986">
        <v>-7.2049949999999996E-3</v>
      </c>
      <c r="AA8986">
        <v>0.77824209999999905</v>
      </c>
      <c r="AB8986">
        <v>23</v>
      </c>
      <c r="AC8986">
        <v>4.8108000000000199</v>
      </c>
      <c r="AD8986">
        <v>-1.1072770000000001</v>
      </c>
      <c r="AE8986">
        <v>-7.11338899999999</v>
      </c>
      <c r="AF8986">
        <v>5.3777011449835097</v>
      </c>
      <c r="AG8986">
        <v>-1.1072770000000001</v>
      </c>
      <c r="AH8986">
        <v>6.5139949772511896</v>
      </c>
      <c r="AI8986">
        <v>97.468050230933201</v>
      </c>
      <c r="AJ8986">
        <v>50.458243508224101</v>
      </c>
      <c r="AK8986">
        <v>8.5192642008062904</v>
      </c>
      <c r="AL8986">
        <v>87.074640250591798</v>
      </c>
      <c r="AM8986">
        <v>72.751714772443904</v>
      </c>
      <c r="AN8986">
        <v>1.0000000116688199</v>
      </c>
    </row>
    <row r="8987" spans="1:40" x14ac:dyDescent="0.25">
      <c r="A8987" t="str">
        <f>"20190312150901150"</f>
        <v>20190312150901150</v>
      </c>
      <c r="B8987" t="str">
        <f>"1552374541138694"</f>
        <v>1552374541138694</v>
      </c>
      <c r="C8987" t="s">
        <v>40</v>
      </c>
      <c r="D8987">
        <v>5.0087229999999998</v>
      </c>
      <c r="E8987">
        <v>0.65269080000000002</v>
      </c>
      <c r="F8987" t="s">
        <v>43</v>
      </c>
      <c r="G8987">
        <v>-307.738</v>
      </c>
      <c r="H8987">
        <v>-0.05</v>
      </c>
      <c r="I8987">
        <v>6.2844699999999998</v>
      </c>
      <c r="J8987">
        <v>-312.38749999999999</v>
      </c>
      <c r="K8987">
        <v>1.0569679999999999</v>
      </c>
      <c r="L8987">
        <v>13.381869999999999</v>
      </c>
      <c r="M8987">
        <v>0.95726109999999998</v>
      </c>
      <c r="N8987">
        <v>0</v>
      </c>
      <c r="O8987">
        <v>-0.28884680000000001</v>
      </c>
      <c r="P8987">
        <v>0.82467619999999897</v>
      </c>
      <c r="Q8987">
        <v>4.0180449999999999E-2</v>
      </c>
      <c r="R8987">
        <v>-0.56417640000000002</v>
      </c>
      <c r="S8987">
        <v>1.8314820000000001</v>
      </c>
      <c r="T8987">
        <v>-0.416939</v>
      </c>
      <c r="U8987">
        <v>-2.6994020000000001</v>
      </c>
      <c r="V8987">
        <v>0.30248629999999999</v>
      </c>
      <c r="W8987">
        <v>5.085402E-2</v>
      </c>
      <c r="X8987">
        <v>0.95179619999999998</v>
      </c>
      <c r="Y8987">
        <v>0.62746859999999904</v>
      </c>
      <c r="Z8987">
        <v>-6.2244269999999898E-3</v>
      </c>
      <c r="AA8987">
        <v>0.778617</v>
      </c>
      <c r="AB8987">
        <v>23</v>
      </c>
      <c r="AC8987">
        <v>4.6494999999999802</v>
      </c>
      <c r="AD8987">
        <v>-1.106968</v>
      </c>
      <c r="AE8987">
        <v>-7.0974000000000004</v>
      </c>
      <c r="AF8987">
        <v>5.36042660006368</v>
      </c>
      <c r="AG8987">
        <v>-1.106968</v>
      </c>
      <c r="AH8987">
        <v>6.3927450613582399</v>
      </c>
      <c r="AI8987">
        <v>97.558217471601395</v>
      </c>
      <c r="AJ8987">
        <v>50.019588903577301</v>
      </c>
      <c r="AK8987">
        <v>8.4158624577172407</v>
      </c>
      <c r="AL8987">
        <v>87.085022086477196</v>
      </c>
      <c r="AM8987">
        <v>72.369444429186103</v>
      </c>
      <c r="AN8987">
        <v>1.0000000496861401</v>
      </c>
    </row>
    <row r="8988" spans="1:40" x14ac:dyDescent="0.25">
      <c r="A8988" t="str">
        <f>"20190312150901163"</f>
        <v>20190312150901163</v>
      </c>
      <c r="B8988" t="str">
        <f>"1552374541158721"</f>
        <v>1552374541158721</v>
      </c>
      <c r="C8988" t="s">
        <v>40</v>
      </c>
      <c r="D8988">
        <v>4.9815569999999996</v>
      </c>
      <c r="E8988">
        <v>0.652165199999999</v>
      </c>
      <c r="F8988" t="s">
        <v>43</v>
      </c>
      <c r="G8988">
        <v>-307.66370000000001</v>
      </c>
      <c r="H8988">
        <v>-0.05</v>
      </c>
      <c r="I8988">
        <v>6.2275090000000004</v>
      </c>
      <c r="J8988">
        <v>-312.25490000000002</v>
      </c>
      <c r="K8988">
        <v>1.0567930000000001</v>
      </c>
      <c r="L8988">
        <v>13.33691</v>
      </c>
      <c r="M8988">
        <v>0.95597549999999998</v>
      </c>
      <c r="N8988">
        <v>0</v>
      </c>
      <c r="O8988">
        <v>-0.2930778</v>
      </c>
      <c r="P8988">
        <v>0.82035149999999901</v>
      </c>
      <c r="Q8988">
        <v>4.0071339999999997E-2</v>
      </c>
      <c r="R8988">
        <v>-0.57045349999999995</v>
      </c>
      <c r="S8988">
        <v>1.79669199999999</v>
      </c>
      <c r="T8988">
        <v>-0.42103990000000002</v>
      </c>
      <c r="U8988">
        <v>-2.7211910000000001</v>
      </c>
      <c r="V8988">
        <v>0.3055445</v>
      </c>
      <c r="W8988">
        <v>5.0567809999999998E-2</v>
      </c>
      <c r="X8988">
        <v>0.95083410000000002</v>
      </c>
      <c r="Y8988">
        <v>0.63372050000000002</v>
      </c>
      <c r="Z8988">
        <v>-6.2428300000000004E-3</v>
      </c>
      <c r="AA8988">
        <v>0.77353700000000003</v>
      </c>
      <c r="AB8988">
        <v>23</v>
      </c>
      <c r="AC8988">
        <v>4.5912000000000104</v>
      </c>
      <c r="AD8988">
        <v>-1.1067929999999999</v>
      </c>
      <c r="AE8988">
        <v>-7.1094010000000001</v>
      </c>
      <c r="AF8988">
        <v>5.3597538937696001</v>
      </c>
      <c r="AG8988">
        <v>-1.1067929999999999</v>
      </c>
      <c r="AH8988">
        <v>6.3645273085207803</v>
      </c>
      <c r="AI8988">
        <v>97.5768175986328</v>
      </c>
      <c r="AJ8988">
        <v>49.898292115851199</v>
      </c>
      <c r="AK8988">
        <v>8.3939954972309891</v>
      </c>
      <c r="AL8988">
        <v>87.101441737112495</v>
      </c>
      <c r="AM8988">
        <v>72.185521220694497</v>
      </c>
      <c r="AN8988">
        <v>1.0000000153056201</v>
      </c>
    </row>
    <row r="8989" spans="1:40" x14ac:dyDescent="0.25">
      <c r="A8989" t="str">
        <f>"20190312150901176"</f>
        <v>20190312150901176</v>
      </c>
      <c r="B8989" t="str">
        <f>"1552374541168482"</f>
        <v>1552374541168482</v>
      </c>
      <c r="C8989" t="s">
        <v>40</v>
      </c>
      <c r="D8989">
        <v>4.9780419999999896</v>
      </c>
      <c r="E8989">
        <v>0.6518294</v>
      </c>
      <c r="F8989" t="s">
        <v>43</v>
      </c>
      <c r="G8989">
        <v>-307.60640000000001</v>
      </c>
      <c r="H8989">
        <v>-0.05</v>
      </c>
      <c r="I8989">
        <v>6.1948699999999999</v>
      </c>
      <c r="J8989">
        <v>-312.13409999999999</v>
      </c>
      <c r="K8989">
        <v>1.0566530000000001</v>
      </c>
      <c r="L8989">
        <v>13.29501</v>
      </c>
      <c r="M8989">
        <v>0.95476309999999998</v>
      </c>
      <c r="N8989">
        <v>0</v>
      </c>
      <c r="O8989">
        <v>-0.29700739999999998</v>
      </c>
      <c r="P8989">
        <v>0.81610360000000004</v>
      </c>
      <c r="Q8989">
        <v>3.9861019999999997E-2</v>
      </c>
      <c r="R8989">
        <v>-0.57652930000000002</v>
      </c>
      <c r="S8989">
        <v>1.778046</v>
      </c>
      <c r="T8989">
        <v>-0.42334070000000001</v>
      </c>
      <c r="U8989">
        <v>-2.7317809999999998</v>
      </c>
      <c r="V8989">
        <v>0.30869390000000002</v>
      </c>
      <c r="W8989">
        <v>5.0202070000000001E-2</v>
      </c>
      <c r="X8989">
        <v>0.94983569999999995</v>
      </c>
      <c r="Y8989">
        <v>0.63559730000000003</v>
      </c>
      <c r="Z8989">
        <v>-5.8838049999999998E-3</v>
      </c>
      <c r="AA8989">
        <v>0.77199839999999997</v>
      </c>
      <c r="AB8989">
        <v>23</v>
      </c>
      <c r="AC8989">
        <v>4.5276999999999799</v>
      </c>
      <c r="AD8989">
        <v>-1.1066530000000001</v>
      </c>
      <c r="AE8989">
        <v>-7.1001399999999997</v>
      </c>
      <c r="AF8989">
        <v>5.34250559097352</v>
      </c>
      <c r="AG8989">
        <v>-1.1066530000000001</v>
      </c>
      <c r="AH8989">
        <v>6.3231597813600198</v>
      </c>
      <c r="AI8989">
        <v>97.614529008347603</v>
      </c>
      <c r="AJ8989">
        <v>49.805174071511097</v>
      </c>
      <c r="AK8989">
        <v>8.3516104119266199</v>
      </c>
      <c r="AL8989">
        <v>87.122423742419997</v>
      </c>
      <c r="AM8989">
        <v>71.995985839870698</v>
      </c>
      <c r="AN8989">
        <v>1.00000001436199</v>
      </c>
    </row>
    <row r="8990" spans="1:40" x14ac:dyDescent="0.25">
      <c r="A8990" t="str">
        <f>"20190312150901186"</f>
        <v>20190312150901186</v>
      </c>
      <c r="B8990" t="str">
        <f>"1552374541178241"</f>
        <v>1552374541178241</v>
      </c>
      <c r="C8990" t="s">
        <v>40</v>
      </c>
      <c r="D8990">
        <v>4.9892070000000004</v>
      </c>
      <c r="E8990">
        <v>0.65163919999999997</v>
      </c>
      <c r="F8990" t="s">
        <v>43</v>
      </c>
      <c r="G8990">
        <v>-307.52359999999999</v>
      </c>
      <c r="H8990">
        <v>-0.05</v>
      </c>
      <c r="I8990">
        <v>6.1054079999999997</v>
      </c>
      <c r="J8990">
        <v>-312.03230000000002</v>
      </c>
      <c r="K8990">
        <v>1.056538</v>
      </c>
      <c r="L8990">
        <v>13.25952</v>
      </c>
      <c r="M8990">
        <v>0.95372469999999998</v>
      </c>
      <c r="N8990">
        <v>0</v>
      </c>
      <c r="O8990">
        <v>-0.30032809999999999</v>
      </c>
      <c r="P8990">
        <v>0.81227159999999998</v>
      </c>
      <c r="Q8990">
        <v>3.975356E-2</v>
      </c>
      <c r="R8990">
        <v>-0.58192379999999999</v>
      </c>
      <c r="S8990">
        <v>1.75894199999999</v>
      </c>
      <c r="T8990">
        <v>-0.4222013</v>
      </c>
      <c r="U8990">
        <v>-2.7429199999999998</v>
      </c>
      <c r="V8990">
        <v>0.31168309999999999</v>
      </c>
      <c r="W8990">
        <v>4.9959669999999998E-2</v>
      </c>
      <c r="X8990">
        <v>0.94887180000000004</v>
      </c>
      <c r="Y8990">
        <v>0.63815480000000002</v>
      </c>
      <c r="Z8990">
        <v>-5.6236239999999998E-3</v>
      </c>
      <c r="AA8990">
        <v>0.76988760000000001</v>
      </c>
      <c r="AB8990">
        <v>23</v>
      </c>
      <c r="AC8990">
        <v>4.5087000000000304</v>
      </c>
      <c r="AD8990">
        <v>-1.106538</v>
      </c>
      <c r="AE8990">
        <v>-7.1541119999999996</v>
      </c>
      <c r="AF8990">
        <v>5.3774686179391002</v>
      </c>
      <c r="AG8990">
        <v>-1.106538</v>
      </c>
      <c r="AH8990">
        <v>6.3407541171743302</v>
      </c>
      <c r="AI8990">
        <v>97.581146664894007</v>
      </c>
      <c r="AJ8990">
        <v>49.699379410835</v>
      </c>
      <c r="AK8990">
        <v>8.3872974107770304</v>
      </c>
      <c r="AL8990">
        <v>87.136329671041807</v>
      </c>
      <c r="AM8990">
        <v>71.815808303366595</v>
      </c>
      <c r="AN8990">
        <v>1.00000000814367</v>
      </c>
    </row>
    <row r="8991" spans="1:40" x14ac:dyDescent="0.25">
      <c r="A8991" t="str">
        <f>"20190312150901196"</f>
        <v>20190312150901196</v>
      </c>
      <c r="B8991" t="str">
        <f>"1552374541188978"</f>
        <v>1552374541188978</v>
      </c>
      <c r="C8991" t="s">
        <v>40</v>
      </c>
      <c r="D8991">
        <v>4.9802470000000003</v>
      </c>
      <c r="E8991">
        <v>0.65142860000000002</v>
      </c>
      <c r="F8991" t="s">
        <v>43</v>
      </c>
      <c r="G8991">
        <v>-307.47649999999999</v>
      </c>
      <c r="H8991">
        <v>-0.05</v>
      </c>
      <c r="I8991">
        <v>6.0558930000000002</v>
      </c>
      <c r="J8991">
        <v>-311.92340000000002</v>
      </c>
      <c r="K8991">
        <v>1.0564290000000001</v>
      </c>
      <c r="L8991">
        <v>13.220829999999999</v>
      </c>
      <c r="M8991">
        <v>0.95257919999999996</v>
      </c>
      <c r="N8991">
        <v>0</v>
      </c>
      <c r="O8991">
        <v>-0.30394520000000003</v>
      </c>
      <c r="P8991">
        <v>0.80817340000000004</v>
      </c>
      <c r="Q8991">
        <v>3.9374329999999999E-2</v>
      </c>
      <c r="R8991">
        <v>-0.58762789999999998</v>
      </c>
      <c r="S8991">
        <v>1.7413639999999999</v>
      </c>
      <c r="T8991">
        <v>-0.42295759999999999</v>
      </c>
      <c r="U8991">
        <v>-2.753479</v>
      </c>
      <c r="V8991">
        <v>0.31475700000000001</v>
      </c>
      <c r="W8991">
        <v>4.9445309999999999E-2</v>
      </c>
      <c r="X8991">
        <v>0.94788349999999999</v>
      </c>
      <c r="Y8991">
        <v>0.64007519999999996</v>
      </c>
      <c r="Z8991">
        <v>-5.2869950000000001E-3</v>
      </c>
      <c r="AA8991">
        <v>0.76829399999999903</v>
      </c>
      <c r="AB8991">
        <v>23</v>
      </c>
      <c r="AC8991">
        <v>4.4469000000000198</v>
      </c>
      <c r="AD8991">
        <v>-1.1064290000000001</v>
      </c>
      <c r="AE8991">
        <v>-7.1649369999999903</v>
      </c>
      <c r="AF8991">
        <v>5.3814886475521702</v>
      </c>
      <c r="AG8991">
        <v>-1.1064290000000001</v>
      </c>
      <c r="AH8991">
        <v>6.3058904371084603</v>
      </c>
      <c r="AI8991">
        <v>97.602052203113502</v>
      </c>
      <c r="AJ8991">
        <v>49.522338805664397</v>
      </c>
      <c r="AK8991">
        <v>8.3635434715549799</v>
      </c>
      <c r="AL8991">
        <v>87.165836685076599</v>
      </c>
      <c r="AM8991">
        <v>71.630584491962907</v>
      </c>
      <c r="AN8991">
        <v>0.99999996865112195</v>
      </c>
    </row>
    <row r="8992" spans="1:40" x14ac:dyDescent="0.25">
      <c r="A8992" t="str">
        <f>"20190312150901207"</f>
        <v>20190312150901207</v>
      </c>
      <c r="B8992" t="str">
        <f>"1552374541198738"</f>
        <v>1552374541198738</v>
      </c>
      <c r="C8992" t="s">
        <v>40</v>
      </c>
      <c r="D8992">
        <v>4.9978150000000001</v>
      </c>
      <c r="E8992">
        <v>0.65113009999999905</v>
      </c>
      <c r="F8992" t="s">
        <v>43</v>
      </c>
      <c r="G8992">
        <v>-307.4255</v>
      </c>
      <c r="H8992">
        <v>-0.05</v>
      </c>
      <c r="I8992">
        <v>6.004105</v>
      </c>
      <c r="J8992">
        <v>-311.82589999999999</v>
      </c>
      <c r="K8992">
        <v>1.056333</v>
      </c>
      <c r="L8992">
        <v>13.18591</v>
      </c>
      <c r="M8992">
        <v>0.95153529999999997</v>
      </c>
      <c r="N8992">
        <v>0</v>
      </c>
      <c r="O8992">
        <v>-0.30719869999999999</v>
      </c>
      <c r="P8992">
        <v>0.80436799999999997</v>
      </c>
      <c r="Q8992">
        <v>3.9012060000000001E-2</v>
      </c>
      <c r="R8992">
        <v>-0.59284910000000002</v>
      </c>
      <c r="S8992">
        <v>1.722839</v>
      </c>
      <c r="T8992">
        <v>-0.42379070000000002</v>
      </c>
      <c r="U8992">
        <v>-2.7641909999999998</v>
      </c>
      <c r="V8992">
        <v>0.31765080000000001</v>
      </c>
      <c r="W8992">
        <v>4.896143E-2</v>
      </c>
      <c r="X8992">
        <v>0.94694290000000003</v>
      </c>
      <c r="Y8992">
        <v>0.64248109999999903</v>
      </c>
      <c r="Z8992">
        <v>-5.0465950000000001E-3</v>
      </c>
      <c r="AA8992">
        <v>0.76628490000000005</v>
      </c>
      <c r="AB8992">
        <v>23</v>
      </c>
      <c r="AC8992">
        <v>4.4003999999999897</v>
      </c>
      <c r="AD8992">
        <v>-1.106333</v>
      </c>
      <c r="AE8992">
        <v>-7.1818049999999998</v>
      </c>
      <c r="AF8992">
        <v>5.3895316425830702</v>
      </c>
      <c r="AG8992">
        <v>-1.106333</v>
      </c>
      <c r="AH8992">
        <v>6.2856003833794603</v>
      </c>
      <c r="AI8992">
        <v>97.610645974202797</v>
      </c>
      <c r="AJ8992">
        <v>49.388858483373603</v>
      </c>
      <c r="AK8992">
        <v>8.3534302063782899</v>
      </c>
      <c r="AL8992">
        <v>87.193594828957998</v>
      </c>
      <c r="AM8992">
        <v>71.456037149443702</v>
      </c>
      <c r="AN8992">
        <v>1.0000000541143399</v>
      </c>
    </row>
    <row r="8993" spans="1:40" x14ac:dyDescent="0.25">
      <c r="A8993" t="str">
        <f>"20190312150901217"</f>
        <v>20190312150901217</v>
      </c>
      <c r="B8993" t="str">
        <f>"1552374541208498"</f>
        <v>1552374541208498</v>
      </c>
      <c r="C8993" t="s">
        <v>40</v>
      </c>
      <c r="D8993">
        <v>5.0053999999999998</v>
      </c>
      <c r="E8993">
        <v>0.65092280000000002</v>
      </c>
      <c r="F8993" t="s">
        <v>43</v>
      </c>
      <c r="G8993">
        <v>-307.37639999999999</v>
      </c>
      <c r="H8993">
        <v>-0.05</v>
      </c>
      <c r="I8993">
        <v>5.9531559999999999</v>
      </c>
      <c r="J8993">
        <v>-311.72059999999999</v>
      </c>
      <c r="K8993">
        <v>1.056241</v>
      </c>
      <c r="L8993">
        <v>13.14758</v>
      </c>
      <c r="M8993">
        <v>0.95037819999999995</v>
      </c>
      <c r="N8993">
        <v>0</v>
      </c>
      <c r="O8993">
        <v>-0.31076239999999999</v>
      </c>
      <c r="P8993">
        <v>0.80028959999999905</v>
      </c>
      <c r="Q8993">
        <v>3.8279500000000001E-2</v>
      </c>
      <c r="R8993">
        <v>-0.59839039999999999</v>
      </c>
      <c r="S8993">
        <v>1.7061459999999999</v>
      </c>
      <c r="T8993">
        <v>-0.42422019999999999</v>
      </c>
      <c r="U8993">
        <v>-2.7733759999999998</v>
      </c>
      <c r="V8993">
        <v>0.32062669999999999</v>
      </c>
      <c r="W8993">
        <v>4.8104139999999997E-2</v>
      </c>
      <c r="X8993">
        <v>0.94598340000000003</v>
      </c>
      <c r="Y8993">
        <v>0.64409169999999905</v>
      </c>
      <c r="Z8993">
        <v>-4.6827639999999999E-3</v>
      </c>
      <c r="AA8993">
        <v>0.76493389999999895</v>
      </c>
      <c r="AB8993">
        <v>23</v>
      </c>
      <c r="AC8993">
        <v>4.3441999999999998</v>
      </c>
      <c r="AD8993">
        <v>-1.106241</v>
      </c>
      <c r="AE8993">
        <v>-7.1944239999999997</v>
      </c>
      <c r="AF8993">
        <v>5.3945149640004804</v>
      </c>
      <c r="AG8993">
        <v>-1.106241</v>
      </c>
      <c r="AH8993">
        <v>6.2566485636324396</v>
      </c>
      <c r="AI8993">
        <v>97.627047601749297</v>
      </c>
      <c r="AJ8993">
        <v>49.231917029540298</v>
      </c>
      <c r="AK8993">
        <v>8.3348792490179502</v>
      </c>
      <c r="AL8993">
        <v>87.242771841322806</v>
      </c>
      <c r="AM8993">
        <v>71.276691527493</v>
      </c>
      <c r="AN8993">
        <v>1.00000004105679</v>
      </c>
    </row>
    <row r="8994" spans="1:40" x14ac:dyDescent="0.25">
      <c r="A8994" t="str">
        <f>"20190312150901228"</f>
        <v>20190312150901228</v>
      </c>
      <c r="B8994" t="str">
        <f>"1552374541218257"</f>
        <v>1552374541218257</v>
      </c>
      <c r="C8994" t="s">
        <v>40</v>
      </c>
      <c r="D8994">
        <v>5.0239960000000004</v>
      </c>
      <c r="E8994">
        <v>0.6506653</v>
      </c>
      <c r="F8994" t="s">
        <v>43</v>
      </c>
      <c r="G8994">
        <v>-307.34289999999999</v>
      </c>
      <c r="H8994">
        <v>-0.05</v>
      </c>
      <c r="I8994">
        <v>5.926361</v>
      </c>
      <c r="J8994">
        <v>-311.62380000000002</v>
      </c>
      <c r="K8994">
        <v>1.056157</v>
      </c>
      <c r="L8994">
        <v>13.11206</v>
      </c>
      <c r="M8994">
        <v>0.94929520000000001</v>
      </c>
      <c r="N8994">
        <v>0</v>
      </c>
      <c r="O8994">
        <v>-0.31405709999999998</v>
      </c>
      <c r="P8994">
        <v>0.79652089999999998</v>
      </c>
      <c r="Q8994">
        <v>3.7650429999999999E-2</v>
      </c>
      <c r="R8994">
        <v>-0.60343749999999996</v>
      </c>
      <c r="S8994">
        <v>1.68759199999999</v>
      </c>
      <c r="T8994">
        <v>-0.4264464</v>
      </c>
      <c r="U8994">
        <v>-2.783722</v>
      </c>
      <c r="V8994">
        <v>0.3233125</v>
      </c>
      <c r="W8994">
        <v>4.7363019999999999E-2</v>
      </c>
      <c r="X8994">
        <v>0.94510620000000001</v>
      </c>
      <c r="Y8994">
        <v>0.64639799999999903</v>
      </c>
      <c r="Z8994">
        <v>-4.4387130000000004E-3</v>
      </c>
      <c r="AA8994">
        <v>0.76298750000000004</v>
      </c>
      <c r="AB8994">
        <v>23</v>
      </c>
      <c r="AC8994">
        <v>4.2809000000000301</v>
      </c>
      <c r="AD8994">
        <v>-1.1061570000000001</v>
      </c>
      <c r="AE8994">
        <v>-7.1856989999999996</v>
      </c>
      <c r="AF8994">
        <v>5.3833164384572703</v>
      </c>
      <c r="AG8994">
        <v>-1.1061570000000001</v>
      </c>
      <c r="AH8994">
        <v>6.2125556374094701</v>
      </c>
      <c r="AI8994">
        <v>97.663769973407796</v>
      </c>
      <c r="AJ8994">
        <v>49.0903489716694</v>
      </c>
      <c r="AK8994">
        <v>8.2945480125876294</v>
      </c>
      <c r="AL8994">
        <v>87.285283178268998</v>
      </c>
      <c r="AM8994">
        <v>71.114634735016395</v>
      </c>
      <c r="AN8994">
        <v>0.99999997879910496</v>
      </c>
    </row>
    <row r="8995" spans="1:40" x14ac:dyDescent="0.25">
      <c r="A8995" t="str">
        <f>"20190312150901238"</f>
        <v>20190312150901238</v>
      </c>
      <c r="B8995" t="str">
        <f>"1552374541228994"</f>
        <v>1552374541228994</v>
      </c>
      <c r="C8995" t="s">
        <v>40</v>
      </c>
      <c r="D8995">
        <v>5.0190419999999998</v>
      </c>
      <c r="E8995">
        <v>0.65040359999999997</v>
      </c>
      <c r="F8995" t="s">
        <v>43</v>
      </c>
      <c r="G8995">
        <v>-307.30919999999998</v>
      </c>
      <c r="H8995">
        <v>-0.05</v>
      </c>
      <c r="I8995">
        <v>5.9000240000000002</v>
      </c>
      <c r="J8995">
        <v>-311.51600000000002</v>
      </c>
      <c r="K8995">
        <v>1.0560670000000001</v>
      </c>
      <c r="L8995">
        <v>13.071870000000001</v>
      </c>
      <c r="M8995">
        <v>0.94805989999999996</v>
      </c>
      <c r="N8995">
        <v>0</v>
      </c>
      <c r="O8995">
        <v>-0.31776890000000002</v>
      </c>
      <c r="P8995">
        <v>0.79277940000000002</v>
      </c>
      <c r="Q8995">
        <v>3.728236E-2</v>
      </c>
      <c r="R8995">
        <v>-0.60836759999999901</v>
      </c>
      <c r="S8995">
        <v>1.6708069999999999</v>
      </c>
      <c r="T8995">
        <v>-0.42835269999999998</v>
      </c>
      <c r="U8995">
        <v>-2.7928160000000002</v>
      </c>
      <c r="V8995">
        <v>0.3254724</v>
      </c>
      <c r="W8995">
        <v>4.6888150000000003E-2</v>
      </c>
      <c r="X8995">
        <v>0.94438829999999996</v>
      </c>
      <c r="Y8995">
        <v>0.64787289999999997</v>
      </c>
      <c r="Z8995">
        <v>-4.0497670000000001E-3</v>
      </c>
      <c r="AA8995">
        <v>0.76173760000000001</v>
      </c>
      <c r="AB8995">
        <v>23</v>
      </c>
      <c r="AC8995">
        <v>4.2067999999999799</v>
      </c>
      <c r="AD8995">
        <v>-1.1060669999999999</v>
      </c>
      <c r="AE8995">
        <v>-7.1718460000000004</v>
      </c>
      <c r="AF8995">
        <v>5.3681150429904099</v>
      </c>
      <c r="AG8995">
        <v>-1.1060669999999999</v>
      </c>
      <c r="AH8995">
        <v>6.1589416552463296</v>
      </c>
      <c r="AI8995">
        <v>97.709896443561902</v>
      </c>
      <c r="AJ8995">
        <v>48.924691142944503</v>
      </c>
      <c r="AK8995">
        <v>8.2445500566129901</v>
      </c>
      <c r="AL8995">
        <v>87.312521603209504</v>
      </c>
      <c r="AM8995">
        <v>70.9840861198944</v>
      </c>
      <c r="AN8995">
        <v>1.0000000214745299</v>
      </c>
    </row>
    <row r="8996" spans="1:40" x14ac:dyDescent="0.25">
      <c r="A8996" t="str">
        <f>"20190312150901249"</f>
        <v>20190312150901249</v>
      </c>
      <c r="B8996" t="str">
        <f>"1552374541238754"</f>
        <v>1552374541238754</v>
      </c>
      <c r="C8996" t="s">
        <v>40</v>
      </c>
      <c r="D8996">
        <v>4.9747120000000002</v>
      </c>
      <c r="E8996">
        <v>0.650115</v>
      </c>
      <c r="F8996" t="s">
        <v>43</v>
      </c>
      <c r="G8996">
        <v>-307.2527</v>
      </c>
      <c r="H8996">
        <v>-0.05</v>
      </c>
      <c r="I8996">
        <v>5.8522639999999999</v>
      </c>
      <c r="J8996">
        <v>-311.41570000000002</v>
      </c>
      <c r="K8996">
        <v>1.0559879999999999</v>
      </c>
      <c r="L8996">
        <v>13.03406</v>
      </c>
      <c r="M8996">
        <v>0.94688749999999999</v>
      </c>
      <c r="N8996">
        <v>0</v>
      </c>
      <c r="O8996">
        <v>-0.32124750000000002</v>
      </c>
      <c r="P8996">
        <v>0.78910449999999999</v>
      </c>
      <c r="Q8996">
        <v>3.7033700000000003E-2</v>
      </c>
      <c r="R8996">
        <v>-0.61314190000000002</v>
      </c>
      <c r="S8996">
        <v>1.6544190000000001</v>
      </c>
      <c r="T8996">
        <v>-0.42921900000000002</v>
      </c>
      <c r="U8996">
        <v>-2.8016359999999998</v>
      </c>
      <c r="V8996">
        <v>0.32770290000000002</v>
      </c>
      <c r="W8996">
        <v>4.6538059999999999E-2</v>
      </c>
      <c r="X8996">
        <v>0.94363390000000003</v>
      </c>
      <c r="Y8996">
        <v>0.64942849999999996</v>
      </c>
      <c r="Z8996">
        <v>-3.689323E-3</v>
      </c>
      <c r="AA8996">
        <v>0.76041369999999997</v>
      </c>
      <c r="AB8996">
        <v>23</v>
      </c>
      <c r="AC8996">
        <v>4.16300000000001</v>
      </c>
      <c r="AD8996">
        <v>-1.105988</v>
      </c>
      <c r="AE8996">
        <v>-7.1817960000000003</v>
      </c>
      <c r="AF8996">
        <v>5.3682642796517301</v>
      </c>
      <c r="AG8996">
        <v>-1.105988</v>
      </c>
      <c r="AH8996">
        <v>6.1406607421721402</v>
      </c>
      <c r="AI8996">
        <v>97.722121137447601</v>
      </c>
      <c r="AJ8996">
        <v>48.839523916264298</v>
      </c>
      <c r="AK8996">
        <v>8.2309893198073603</v>
      </c>
      <c r="AL8996">
        <v>87.332602037848304</v>
      </c>
      <c r="AM8996">
        <v>70.849031927465902</v>
      </c>
      <c r="AN8996">
        <v>0.99999995946309095</v>
      </c>
    </row>
    <row r="8997" spans="1:40" x14ac:dyDescent="0.25">
      <c r="A8997" t="str">
        <f>"20190312150901259"</f>
        <v>20190312150901259</v>
      </c>
      <c r="B8997" t="str">
        <f>"1552374541248516"</f>
        <v>1552374541248516</v>
      </c>
      <c r="C8997" t="s">
        <v>40</v>
      </c>
      <c r="D8997">
        <v>5.0172540000000003</v>
      </c>
      <c r="E8997">
        <v>0.64980349999999998</v>
      </c>
      <c r="F8997" t="s">
        <v>43</v>
      </c>
      <c r="G8997">
        <v>-307.19970000000001</v>
      </c>
      <c r="H8997">
        <v>-0.05</v>
      </c>
      <c r="I8997">
        <v>5.8036500000000002</v>
      </c>
      <c r="J8997">
        <v>-311.3066</v>
      </c>
      <c r="K8997">
        <v>1.0559050000000001</v>
      </c>
      <c r="L8997">
        <v>12.992459999999999</v>
      </c>
      <c r="M8997">
        <v>0.94558529999999996</v>
      </c>
      <c r="N8997">
        <v>0</v>
      </c>
      <c r="O8997">
        <v>-0.32506190000000001</v>
      </c>
      <c r="P8997">
        <v>0.78540559999999904</v>
      </c>
      <c r="Q8997">
        <v>3.6777700000000003E-2</v>
      </c>
      <c r="R8997">
        <v>-0.61788790000000005</v>
      </c>
      <c r="S8997">
        <v>1.6385189999999901</v>
      </c>
      <c r="T8997">
        <v>-0.42983640000000001</v>
      </c>
      <c r="U8997">
        <v>-2.8100589999999999</v>
      </c>
      <c r="V8997">
        <v>0.32958500000000002</v>
      </c>
      <c r="W8997">
        <v>4.6183670000000003E-2</v>
      </c>
      <c r="X8997">
        <v>0.94299569999999999</v>
      </c>
      <c r="Y8997">
        <v>0.65057529999999997</v>
      </c>
      <c r="Z8997">
        <v>-3.2366399999999998E-3</v>
      </c>
      <c r="AA8997">
        <v>0.75943479999999997</v>
      </c>
      <c r="AB8997">
        <v>23</v>
      </c>
      <c r="AC8997">
        <v>4.1068999999999898</v>
      </c>
      <c r="AD8997">
        <v>-1.1059049999999999</v>
      </c>
      <c r="AE8997">
        <v>-7.1888100000000001</v>
      </c>
      <c r="AF8997">
        <v>5.3674231340376002</v>
      </c>
      <c r="AG8997">
        <v>-1.1059049999999999</v>
      </c>
      <c r="AH8997">
        <v>6.1118144706356796</v>
      </c>
      <c r="AI8997">
        <v>97.742414647464201</v>
      </c>
      <c r="AJ8997">
        <v>48.710250674899598</v>
      </c>
      <c r="AK8997">
        <v>8.2089300820690898</v>
      </c>
      <c r="AL8997">
        <v>87.352929178088303</v>
      </c>
      <c r="AM8997">
        <v>70.7350459472365</v>
      </c>
      <c r="AN8997">
        <v>1.00000004690907</v>
      </c>
    </row>
    <row r="8998" spans="1:40" x14ac:dyDescent="0.25">
      <c r="A8998" t="str">
        <f>"20190312150901271"</f>
        <v>20190312150901271</v>
      </c>
      <c r="B8998" t="str">
        <f>"1552374541268541"</f>
        <v>1552374541268541</v>
      </c>
      <c r="C8998" t="s">
        <v>40</v>
      </c>
      <c r="D8998">
        <v>4.9984799999999998</v>
      </c>
      <c r="E8998">
        <v>0.64923790000000003</v>
      </c>
      <c r="F8998" t="s">
        <v>43</v>
      </c>
      <c r="G8998">
        <v>-307.1429</v>
      </c>
      <c r="H8998">
        <v>-0.05</v>
      </c>
      <c r="I8998">
        <v>5.761368</v>
      </c>
      <c r="J8998">
        <v>-311.19979999999998</v>
      </c>
      <c r="K8998">
        <v>1.0558299999999901</v>
      </c>
      <c r="L8998">
        <v>12.95111</v>
      </c>
      <c r="M8998">
        <v>0.94428120000000004</v>
      </c>
      <c r="N8998">
        <v>0</v>
      </c>
      <c r="O8998">
        <v>-0.32883269999999998</v>
      </c>
      <c r="P8998">
        <v>0.78155980000000003</v>
      </c>
      <c r="Q8998">
        <v>3.6817130000000003E-2</v>
      </c>
      <c r="R8998">
        <v>-0.62274319999999905</v>
      </c>
      <c r="S8998">
        <v>1.6227419999999999</v>
      </c>
      <c r="T8998">
        <v>-0.43100880000000003</v>
      </c>
      <c r="U8998">
        <v>-2.8182070000000001</v>
      </c>
      <c r="V8998">
        <v>0.33167079999999999</v>
      </c>
      <c r="W8998">
        <v>4.6125550000000001E-2</v>
      </c>
      <c r="X8998">
        <v>0.94226690000000002</v>
      </c>
      <c r="Y8998">
        <v>0.65168999999999999</v>
      </c>
      <c r="Z8998">
        <v>-2.7886590000000002E-3</v>
      </c>
      <c r="AA8998">
        <v>0.7584803</v>
      </c>
      <c r="AB8998">
        <v>23</v>
      </c>
      <c r="AC8998">
        <v>4.0568999999999802</v>
      </c>
      <c r="AD8998">
        <v>-1.1058300000000001</v>
      </c>
      <c r="AE8998">
        <v>-7.1897419999999999</v>
      </c>
      <c r="AF8998">
        <v>5.3594805694683698</v>
      </c>
      <c r="AG8998">
        <v>-1.1058300000000001</v>
      </c>
      <c r="AH8998">
        <v>6.0864901470034303</v>
      </c>
      <c r="AI8998">
        <v>97.764775220373494</v>
      </c>
      <c r="AJ8998">
        <v>48.634353094541098</v>
      </c>
      <c r="AK8998">
        <v>8.1848796126136705</v>
      </c>
      <c r="AL8998">
        <v>87.356262632835296</v>
      </c>
      <c r="AM8998">
        <v>70.6083182600008</v>
      </c>
      <c r="AN8998">
        <v>0.999999998385526</v>
      </c>
    </row>
    <row r="8999" spans="1:40" x14ac:dyDescent="0.25">
      <c r="A8999" t="str">
        <f>"20190312150901282"</f>
        <v>20190312150901282</v>
      </c>
      <c r="B8999" t="str">
        <f>"1552374541278301"</f>
        <v>1552374541278301</v>
      </c>
      <c r="C8999" t="s">
        <v>40</v>
      </c>
      <c r="D8999">
        <v>5.0162570000000004</v>
      </c>
      <c r="E8999">
        <v>0.64886960000000005</v>
      </c>
      <c r="F8999" t="s">
        <v>43</v>
      </c>
      <c r="G8999">
        <v>-307.07769999999999</v>
      </c>
      <c r="H8999">
        <v>-0.05</v>
      </c>
      <c r="I8999">
        <v>5.7083890000000004</v>
      </c>
      <c r="J8999">
        <v>-311.08980000000003</v>
      </c>
      <c r="K8999">
        <v>1.0557570000000001</v>
      </c>
      <c r="L8999">
        <v>12.90817</v>
      </c>
      <c r="M8999">
        <v>0.94291340000000001</v>
      </c>
      <c r="N8999">
        <v>0</v>
      </c>
      <c r="O8999">
        <v>-0.33273599999999998</v>
      </c>
      <c r="P8999">
        <v>0.77769129999999997</v>
      </c>
      <c r="Q8999">
        <v>3.688404E-2</v>
      </c>
      <c r="R8999">
        <v>-0.62756369999999995</v>
      </c>
      <c r="S8999">
        <v>1.6078190000000001</v>
      </c>
      <c r="T8999">
        <v>-0.43132229999999999</v>
      </c>
      <c r="U8999">
        <v>-2.8249819999999999</v>
      </c>
      <c r="V8999">
        <v>0.33360509999999999</v>
      </c>
      <c r="W8999">
        <v>4.6096970000000001E-2</v>
      </c>
      <c r="X8999">
        <v>0.94158520000000001</v>
      </c>
      <c r="Y8999">
        <v>0.65237789999999996</v>
      </c>
      <c r="Z8999">
        <v>-2.27312E-3</v>
      </c>
      <c r="AA8999">
        <v>0.75789050000000002</v>
      </c>
      <c r="AB8999">
        <v>23</v>
      </c>
      <c r="AC8999">
        <v>4.0121000000000304</v>
      </c>
      <c r="AD8999">
        <v>-1.1057569999999901</v>
      </c>
      <c r="AE8999">
        <v>-7.1997809999999998</v>
      </c>
      <c r="AF8999">
        <v>5.3579144627589601</v>
      </c>
      <c r="AG8999">
        <v>-1.1057569999999901</v>
      </c>
      <c r="AH8999">
        <v>6.0700592036235097</v>
      </c>
      <c r="AI8999">
        <v>97.776924764469697</v>
      </c>
      <c r="AJ8999">
        <v>48.565828526822202</v>
      </c>
      <c r="AK8999">
        <v>8.1716317017340696</v>
      </c>
      <c r="AL8999">
        <v>87.357901870678603</v>
      </c>
      <c r="AM8999">
        <v>70.490684656202504</v>
      </c>
      <c r="AN8999">
        <v>0.99999999112411497</v>
      </c>
    </row>
    <row r="9000" spans="1:40" x14ac:dyDescent="0.25">
      <c r="A9000" t="str">
        <f>"20190312150901294"</f>
        <v>20190312150901294</v>
      </c>
      <c r="B9000" t="str">
        <f>"1552374541288061"</f>
        <v>1552374541288061</v>
      </c>
      <c r="C9000" t="s">
        <v>40</v>
      </c>
      <c r="D9000">
        <v>5.0147009999999996</v>
      </c>
      <c r="E9000">
        <v>0.648536</v>
      </c>
      <c r="F9000" t="s">
        <v>43</v>
      </c>
      <c r="G9000">
        <v>-307.00799999999998</v>
      </c>
      <c r="H9000">
        <v>-0.05</v>
      </c>
      <c r="I9000">
        <v>5.6456910000000002</v>
      </c>
      <c r="J9000">
        <v>-310.97590000000002</v>
      </c>
      <c r="K9000">
        <v>1.0556810000000001</v>
      </c>
      <c r="L9000">
        <v>12.862819999999999</v>
      </c>
      <c r="M9000">
        <v>0.9414574</v>
      </c>
      <c r="N9000">
        <v>0</v>
      </c>
      <c r="O9000">
        <v>-0.33683469999999999</v>
      </c>
      <c r="P9000">
        <v>0.77371190000000001</v>
      </c>
      <c r="Q9000">
        <v>3.6764199999999997E-2</v>
      </c>
      <c r="R9000">
        <v>-0.63247050000000005</v>
      </c>
      <c r="S9000">
        <v>1.592133</v>
      </c>
      <c r="T9000">
        <v>-0.43131009999999997</v>
      </c>
      <c r="U9000">
        <v>-2.8327939999999998</v>
      </c>
      <c r="V9000">
        <v>0.33546579999999998</v>
      </c>
      <c r="W9000">
        <v>4.588453E-2</v>
      </c>
      <c r="X9000">
        <v>0.9409343</v>
      </c>
      <c r="Y9000">
        <v>0.65318569999999998</v>
      </c>
      <c r="Z9000">
        <v>-1.735672E-3</v>
      </c>
      <c r="AA9000">
        <v>0.75719579999999997</v>
      </c>
      <c r="AB9000">
        <v>23</v>
      </c>
      <c r="AC9000">
        <v>3.9679000000000402</v>
      </c>
      <c r="AD9000">
        <v>-1.1056809999999999</v>
      </c>
      <c r="AE9000">
        <v>-7.2171289999999901</v>
      </c>
      <c r="AF9000">
        <v>5.3619998983959496</v>
      </c>
      <c r="AG9000">
        <v>-1.1056809999999999</v>
      </c>
      <c r="AH9000">
        <v>6.0580215912714896</v>
      </c>
      <c r="AI9000">
        <v>97.782391286316994</v>
      </c>
      <c r="AJ9000">
        <v>48.4877199643945</v>
      </c>
      <c r="AK9000">
        <v>8.1653658206151896</v>
      </c>
      <c r="AL9000">
        <v>87.370086768500798</v>
      </c>
      <c r="AM9000">
        <v>70.377621388236406</v>
      </c>
      <c r="AN9000">
        <v>1.0000000249897201</v>
      </c>
    </row>
    <row r="9001" spans="1:40" x14ac:dyDescent="0.25">
      <c r="A9001" t="str">
        <f>"20190312150901305"</f>
        <v>20190312150901305</v>
      </c>
      <c r="B9001" t="str">
        <f>"1552374541298797"</f>
        <v>1552374541298797</v>
      </c>
      <c r="C9001" t="s">
        <v>40</v>
      </c>
      <c r="D9001">
        <v>5.0525029999999997</v>
      </c>
      <c r="E9001">
        <v>0.64822619999999997</v>
      </c>
      <c r="F9001" t="s">
        <v>43</v>
      </c>
      <c r="G9001">
        <v>-306.93639999999999</v>
      </c>
      <c r="H9001">
        <v>-0.05</v>
      </c>
      <c r="I9001">
        <v>5.5786439999999997</v>
      </c>
      <c r="J9001">
        <v>-310.87150000000003</v>
      </c>
      <c r="K9001">
        <v>1.0556179999999999</v>
      </c>
      <c r="L9001">
        <v>12.821009999999999</v>
      </c>
      <c r="M9001">
        <v>0.94010289999999996</v>
      </c>
      <c r="N9001">
        <v>0</v>
      </c>
      <c r="O9001">
        <v>-0.34059859999999997</v>
      </c>
      <c r="P9001">
        <v>0.77005429999999997</v>
      </c>
      <c r="Q9001">
        <v>3.6378279999999999E-2</v>
      </c>
      <c r="R9001">
        <v>-0.63694099999999998</v>
      </c>
      <c r="S9001">
        <v>1.5754999999999999</v>
      </c>
      <c r="T9001">
        <v>-0.43124069999999998</v>
      </c>
      <c r="U9001">
        <v>-2.8410030000000002</v>
      </c>
      <c r="V9001">
        <v>0.33714369999999999</v>
      </c>
      <c r="W9001">
        <v>4.5415339999999998E-2</v>
      </c>
      <c r="X9001">
        <v>0.94035709999999995</v>
      </c>
      <c r="Y9001">
        <v>0.6544894</v>
      </c>
      <c r="Z9001">
        <v>-1.29341E-3</v>
      </c>
      <c r="AA9001">
        <v>0.75607000000000002</v>
      </c>
      <c r="AB9001">
        <v>23</v>
      </c>
      <c r="AC9001">
        <v>3.93510000000003</v>
      </c>
      <c r="AD9001">
        <v>-1.105618</v>
      </c>
      <c r="AE9001">
        <v>-7.2423659999999996</v>
      </c>
      <c r="AF9001">
        <v>5.3721627069877904</v>
      </c>
      <c r="AG9001">
        <v>-1.105618</v>
      </c>
      <c r="AH9001">
        <v>6.0577552179391203</v>
      </c>
      <c r="AI9001">
        <v>97.775744456858106</v>
      </c>
      <c r="AJ9001">
        <v>48.4326185902109</v>
      </c>
      <c r="AK9001">
        <v>8.17183710023291</v>
      </c>
      <c r="AL9001">
        <v>87.396997237950401</v>
      </c>
      <c r="AM9001">
        <v>70.275856813346607</v>
      </c>
      <c r="AN9001">
        <v>0.99999995153870602</v>
      </c>
    </row>
    <row r="9002" spans="1:40" x14ac:dyDescent="0.25">
      <c r="A9002" t="str">
        <f>"20190312150901316"</f>
        <v>20190312150901316</v>
      </c>
      <c r="B9002" t="str">
        <f>"1552374541308558"</f>
        <v>1552374541308558</v>
      </c>
      <c r="C9002" t="s">
        <v>40</v>
      </c>
      <c r="D9002">
        <v>4.9994829999999997</v>
      </c>
      <c r="E9002">
        <v>0.64788310000000005</v>
      </c>
      <c r="F9002" t="s">
        <v>43</v>
      </c>
      <c r="G9002">
        <v>-306.88139999999999</v>
      </c>
      <c r="H9002">
        <v>-0.05</v>
      </c>
      <c r="I9002">
        <v>5.5387420000000001</v>
      </c>
      <c r="J9002">
        <v>-310.76499999999999</v>
      </c>
      <c r="K9002">
        <v>1.0555570000000001</v>
      </c>
      <c r="L9002">
        <v>12.7775</v>
      </c>
      <c r="M9002">
        <v>0.93868220000000002</v>
      </c>
      <c r="N9002">
        <v>0</v>
      </c>
      <c r="O9002">
        <v>-0.34449580000000002</v>
      </c>
      <c r="P9002">
        <v>0.76650079999999998</v>
      </c>
      <c r="Q9002">
        <v>3.58973E-2</v>
      </c>
      <c r="R9002">
        <v>-0.64124029999999999</v>
      </c>
      <c r="S9002">
        <v>1.560516</v>
      </c>
      <c r="T9002">
        <v>-0.43240089999999998</v>
      </c>
      <c r="U9002">
        <v>-2.8480530000000002</v>
      </c>
      <c r="V9002">
        <v>0.33849479999999998</v>
      </c>
      <c r="W9002">
        <v>4.4858960000000003E-2</v>
      </c>
      <c r="X9002">
        <v>0.93989840000000002</v>
      </c>
      <c r="Y9002">
        <v>0.65520869999999998</v>
      </c>
      <c r="Z9002">
        <v>-7.7749789999999905E-4</v>
      </c>
      <c r="AA9002">
        <v>0.75544750000000005</v>
      </c>
      <c r="AB9002">
        <v>23</v>
      </c>
      <c r="AC9002">
        <v>3.8835999999999999</v>
      </c>
      <c r="AD9002">
        <v>-1.1055569999999999</v>
      </c>
      <c r="AE9002">
        <v>-7.2387579999999998</v>
      </c>
      <c r="AF9002">
        <v>5.3604602573618303</v>
      </c>
      <c r="AG9002">
        <v>-1.1055569999999999</v>
      </c>
      <c r="AH9002">
        <v>6.0305692131534503</v>
      </c>
      <c r="AI9002">
        <v>97.802065572871697</v>
      </c>
      <c r="AJ9002">
        <v>48.366703264723498</v>
      </c>
      <c r="AK9002">
        <v>8.14398891733277</v>
      </c>
      <c r="AL9002">
        <v>87.428908188778394</v>
      </c>
      <c r="AM9002">
        <v>70.194034176192403</v>
      </c>
      <c r="AN9002">
        <v>1.0000000291209401</v>
      </c>
    </row>
    <row r="9003" spans="1:40" x14ac:dyDescent="0.25">
      <c r="A9003" t="str">
        <f>"20190312150901329"</f>
        <v>20190312150901329</v>
      </c>
      <c r="B9003" t="str">
        <f>"1552374541318319"</f>
        <v>1552374541318319</v>
      </c>
      <c r="C9003" t="s">
        <v>40</v>
      </c>
      <c r="D9003">
        <v>4.9972620000000001</v>
      </c>
      <c r="E9003">
        <v>0.64764049999999995</v>
      </c>
      <c r="F9003" t="s">
        <v>43</v>
      </c>
      <c r="G9003">
        <v>-306.8109</v>
      </c>
      <c r="H9003">
        <v>-0.05</v>
      </c>
      <c r="I9003">
        <v>5.4763950000000001</v>
      </c>
      <c r="J9003">
        <v>-310.65280000000001</v>
      </c>
      <c r="K9003">
        <v>1.0554939999999999</v>
      </c>
      <c r="L9003">
        <v>12.731260000000001</v>
      </c>
      <c r="M9003">
        <v>0.93715850000000001</v>
      </c>
      <c r="N9003">
        <v>0</v>
      </c>
      <c r="O9003">
        <v>-0.34861979999999998</v>
      </c>
      <c r="P9003">
        <v>0.76285890000000001</v>
      </c>
      <c r="Q9003">
        <v>3.5563940000000002E-2</v>
      </c>
      <c r="R9003">
        <v>-0.645586199999999</v>
      </c>
      <c r="S9003">
        <v>1.5460210000000001</v>
      </c>
      <c r="T9003">
        <v>-0.43225550000000001</v>
      </c>
      <c r="U9003">
        <v>-2.8546140000000002</v>
      </c>
      <c r="V9003">
        <v>0.33969860000000002</v>
      </c>
      <c r="W9003">
        <v>4.4451190000000002E-2</v>
      </c>
      <c r="X9003">
        <v>0.93948330000000002</v>
      </c>
      <c r="Y9003">
        <v>0.65560850000000004</v>
      </c>
      <c r="Z9003">
        <v>-1.9245220000000001E-4</v>
      </c>
      <c r="AA9003">
        <v>0.75510100000000002</v>
      </c>
      <c r="AB9003">
        <v>23</v>
      </c>
      <c r="AC9003">
        <v>3.8418999999999999</v>
      </c>
      <c r="AD9003">
        <v>-1.105494</v>
      </c>
      <c r="AE9003">
        <v>-7.2548649999999997</v>
      </c>
      <c r="AF9003">
        <v>5.3628858902820404</v>
      </c>
      <c r="AG9003">
        <v>-1.105494</v>
      </c>
      <c r="AH9003">
        <v>6.0210793773094</v>
      </c>
      <c r="AI9003">
        <v>97.806860724382403</v>
      </c>
      <c r="AJ9003">
        <v>48.309020211712699</v>
      </c>
      <c r="AK9003">
        <v>8.1385538595061693</v>
      </c>
      <c r="AL9003">
        <v>87.452294838840402</v>
      </c>
      <c r="AM9003">
        <v>70.121010662287702</v>
      </c>
      <c r="AN9003">
        <v>0.99999995905663197</v>
      </c>
    </row>
    <row r="9004" spans="1:40" x14ac:dyDescent="0.25">
      <c r="A9004" t="str">
        <f>"20190312150901339"</f>
        <v>20190312150901339</v>
      </c>
      <c r="B9004" t="str">
        <f>"1552374541329054"</f>
        <v>1552374541329054</v>
      </c>
      <c r="C9004" t="s">
        <v>40</v>
      </c>
      <c r="D9004">
        <v>4.9844189999999999</v>
      </c>
      <c r="E9004">
        <v>0.64733859999999999</v>
      </c>
      <c r="F9004" t="s">
        <v>43</v>
      </c>
      <c r="G9004">
        <v>-306.73239999999998</v>
      </c>
      <c r="H9004">
        <v>-0.05</v>
      </c>
      <c r="I9004">
        <v>5.4007719999999999</v>
      </c>
      <c r="J9004">
        <v>-310.54390000000001</v>
      </c>
      <c r="K9004">
        <v>1.055439</v>
      </c>
      <c r="L9004">
        <v>12.68576</v>
      </c>
      <c r="M9004">
        <v>0.93564780000000003</v>
      </c>
      <c r="N9004">
        <v>0</v>
      </c>
      <c r="O9004">
        <v>-0.35265580000000002</v>
      </c>
      <c r="P9004">
        <v>0.75933899999999999</v>
      </c>
      <c r="Q9004">
        <v>3.5073149999999997E-2</v>
      </c>
      <c r="R9004">
        <v>-0.64975000000000005</v>
      </c>
      <c r="S9004">
        <v>1.53064</v>
      </c>
      <c r="T9004">
        <v>-0.43161579999999999</v>
      </c>
      <c r="U9004">
        <v>-2.8620299999999999</v>
      </c>
      <c r="V9004">
        <v>0.34077819999999998</v>
      </c>
      <c r="W9004">
        <v>4.3893359999999999E-2</v>
      </c>
      <c r="X9004">
        <v>0.93911849999999997</v>
      </c>
      <c r="Y9004">
        <v>0.65635339999999998</v>
      </c>
      <c r="Z9004">
        <v>3.475994E-4</v>
      </c>
      <c r="AA9004">
        <v>0.75445359999999995</v>
      </c>
      <c r="AB9004">
        <v>23</v>
      </c>
      <c r="AC9004">
        <v>3.8115000000000201</v>
      </c>
      <c r="AD9004">
        <v>-1.1054389999999901</v>
      </c>
      <c r="AE9004">
        <v>-7.2849880000000002</v>
      </c>
      <c r="AF9004">
        <v>5.3754023060020399</v>
      </c>
      <c r="AG9004">
        <v>-1.1054389999999901</v>
      </c>
      <c r="AH9004">
        <v>6.0269686064957204</v>
      </c>
      <c r="AI9004">
        <v>97.794328443508405</v>
      </c>
      <c r="AJ9004">
        <v>48.270499184152797</v>
      </c>
      <c r="AK9004">
        <v>8.1511530422252498</v>
      </c>
      <c r="AL9004">
        <v>87.484287432131296</v>
      </c>
      <c r="AM9004">
        <v>70.055669765461303</v>
      </c>
      <c r="AN9004">
        <v>0.99999998284478897</v>
      </c>
    </row>
    <row r="9005" spans="1:40" x14ac:dyDescent="0.25">
      <c r="A9005" t="str">
        <f>"20190312150901352"</f>
        <v>20190312150901352</v>
      </c>
      <c r="B9005" t="str">
        <f>"1552374541348574"</f>
        <v>1552374541348574</v>
      </c>
      <c r="C9005" t="s">
        <v>40</v>
      </c>
      <c r="D9005">
        <v>5.0169389999999998</v>
      </c>
      <c r="E9005">
        <v>0.63628689999999999</v>
      </c>
      <c r="F9005" t="s">
        <v>43</v>
      </c>
      <c r="G9005">
        <v>-306.6626</v>
      </c>
      <c r="H9005">
        <v>-0.05</v>
      </c>
      <c r="I9005">
        <v>5.3425449999999897</v>
      </c>
      <c r="J9005">
        <v>-310.43189999999998</v>
      </c>
      <c r="K9005">
        <v>1.0553859999999999</v>
      </c>
      <c r="L9005">
        <v>12.63824</v>
      </c>
      <c r="M9005">
        <v>0.93405870000000002</v>
      </c>
      <c r="N9005">
        <v>0</v>
      </c>
      <c r="O9005">
        <v>-0.3568442</v>
      </c>
      <c r="P9005">
        <v>0.75565939999999998</v>
      </c>
      <c r="Q9005">
        <v>3.467812E-2</v>
      </c>
      <c r="R9005">
        <v>-0.65404619999999902</v>
      </c>
      <c r="S9005">
        <v>1.5161739999999999</v>
      </c>
      <c r="T9005">
        <v>-0.4318244</v>
      </c>
      <c r="U9005">
        <v>-2.8685299999999998</v>
      </c>
      <c r="V9005">
        <v>0.34188950000000001</v>
      </c>
      <c r="W9005">
        <v>4.3431749999999998E-2</v>
      </c>
      <c r="X9005">
        <v>0.93873600000000001</v>
      </c>
      <c r="Y9005">
        <v>0.65667869999999995</v>
      </c>
      <c r="Z9005">
        <v>9.51618E-4</v>
      </c>
      <c r="AA9005">
        <v>0.75416989999999995</v>
      </c>
      <c r="AB9005">
        <v>23</v>
      </c>
      <c r="AC9005">
        <v>3.7692999999999799</v>
      </c>
      <c r="AD9005">
        <v>-1.105386</v>
      </c>
      <c r="AE9005">
        <v>-7.2956949999999896</v>
      </c>
      <c r="AF9005">
        <v>5.3727413029261699</v>
      </c>
      <c r="AG9005">
        <v>-1.105386</v>
      </c>
      <c r="AH9005">
        <v>6.0157736452234403</v>
      </c>
      <c r="AI9005">
        <v>97.803621861117193</v>
      </c>
      <c r="AJ9005">
        <v>48.231673413289002</v>
      </c>
      <c r="AK9005">
        <v>8.1411153945715409</v>
      </c>
      <c r="AL9005">
        <v>87.5107610581139</v>
      </c>
      <c r="AM9005">
        <v>69.988276591332195</v>
      </c>
      <c r="AN9005">
        <v>1.00000001240715</v>
      </c>
    </row>
    <row r="9006" spans="1:40" x14ac:dyDescent="0.25">
      <c r="A9006" t="str">
        <f>"20190312150901373"</f>
        <v>20190312150901373</v>
      </c>
      <c r="B9006" t="str">
        <f>"1552374541368600"</f>
        <v>1552374541368600</v>
      </c>
      <c r="C9006" t="s">
        <v>40</v>
      </c>
      <c r="D9006">
        <v>5.0133739999999998</v>
      </c>
      <c r="E9006">
        <v>0.63565309999999997</v>
      </c>
      <c r="F9006" t="s">
        <v>43</v>
      </c>
      <c r="G9006">
        <v>-306.38330000000002</v>
      </c>
      <c r="H9006">
        <v>-0.05</v>
      </c>
      <c r="I9006">
        <v>5.3311609999999998</v>
      </c>
      <c r="J9006">
        <v>-310.2253</v>
      </c>
      <c r="K9006">
        <v>1.055285</v>
      </c>
      <c r="L9006">
        <v>12.54904</v>
      </c>
      <c r="M9006">
        <v>0.9310389</v>
      </c>
      <c r="N9006">
        <v>0</v>
      </c>
      <c r="O9006">
        <v>-0.36465170000000002</v>
      </c>
      <c r="P9006">
        <v>0.74890950000000001</v>
      </c>
      <c r="Q9006">
        <v>3.4553849999999997E-2</v>
      </c>
      <c r="R9006">
        <v>-0.661771</v>
      </c>
      <c r="S9006">
        <v>1.5570980000000001</v>
      </c>
      <c r="T9006">
        <v>-0.42513499999999999</v>
      </c>
      <c r="U9006">
        <v>-2.810333</v>
      </c>
      <c r="V9006">
        <v>0.34367189999999997</v>
      </c>
      <c r="W9006">
        <v>4.3192609999999999E-2</v>
      </c>
      <c r="X9006">
        <v>0.93809589999999998</v>
      </c>
      <c r="Y9006">
        <v>0.63552900000000001</v>
      </c>
      <c r="Z9006">
        <v>4.05303E-3</v>
      </c>
      <c r="AA9006">
        <v>0.77206640000000004</v>
      </c>
      <c r="AB9006">
        <v>23</v>
      </c>
      <c r="AC9006">
        <v>3.8419999999999801</v>
      </c>
      <c r="AD9006">
        <v>-1.1052850000000001</v>
      </c>
      <c r="AE9006">
        <v>-7.2178789999999902</v>
      </c>
      <c r="AF9006">
        <v>5.22419738529182</v>
      </c>
      <c r="AG9006">
        <v>-1.1052850000000001</v>
      </c>
      <c r="AH9006">
        <v>6.0982427736706999</v>
      </c>
      <c r="AI9006">
        <v>97.837205427687294</v>
      </c>
      <c r="AJ9006">
        <v>49.414241823863001</v>
      </c>
      <c r="AK9006">
        <v>8.1057052856825393</v>
      </c>
      <c r="AL9006">
        <v>87.524475478617106</v>
      </c>
      <c r="AM9006">
        <v>69.879666493907806</v>
      </c>
      <c r="AN9006">
        <v>0.99999994700251404</v>
      </c>
    </row>
    <row r="9007" spans="1:40" x14ac:dyDescent="0.25">
      <c r="A9007" t="str">
        <f>"20190312150901385"</f>
        <v>20190312150901385</v>
      </c>
      <c r="B9007" t="str">
        <f>"1552374541378699"</f>
        <v>1552374541378699</v>
      </c>
      <c r="C9007" t="s">
        <v>40</v>
      </c>
      <c r="D9007">
        <v>5.035177</v>
      </c>
      <c r="E9007">
        <v>0.63538790000000001</v>
      </c>
      <c r="F9007" t="s">
        <v>43</v>
      </c>
      <c r="G9007">
        <v>-306.22570000000002</v>
      </c>
      <c r="H9007">
        <v>-0.05</v>
      </c>
      <c r="I9007">
        <v>5.1772919999999996</v>
      </c>
      <c r="J9007">
        <v>-310.11329999999998</v>
      </c>
      <c r="K9007">
        <v>1.0552360000000001</v>
      </c>
      <c r="L9007">
        <v>12.50006</v>
      </c>
      <c r="M9007">
        <v>0.92935800000000002</v>
      </c>
      <c r="N9007">
        <v>0</v>
      </c>
      <c r="O9007">
        <v>-0.36891499999999999</v>
      </c>
      <c r="P9007">
        <v>0.74524000000000001</v>
      </c>
      <c r="Q9007">
        <v>3.4732520000000003E-2</v>
      </c>
      <c r="R9007">
        <v>-0.66589129999999996</v>
      </c>
      <c r="S9007">
        <v>1.5313110000000001</v>
      </c>
      <c r="T9007">
        <v>-0.4231799</v>
      </c>
      <c r="U9007">
        <v>-2.8224179999999999</v>
      </c>
      <c r="V9007">
        <v>0.34455530000000001</v>
      </c>
      <c r="W9007">
        <v>4.3311700000000002E-2</v>
      </c>
      <c r="X9007">
        <v>0.9377664</v>
      </c>
      <c r="Y9007">
        <v>0.63883559999999995</v>
      </c>
      <c r="Z9007">
        <v>4.3799729999999997E-3</v>
      </c>
      <c r="AA9007">
        <v>0.76933079999999998</v>
      </c>
      <c r="AB9007">
        <v>23</v>
      </c>
      <c r="AC9007">
        <v>3.88759999999996</v>
      </c>
      <c r="AD9007">
        <v>-1.1052360000000001</v>
      </c>
      <c r="AE9007">
        <v>-7.3227679999999999</v>
      </c>
      <c r="AF9007">
        <v>5.2780060476512798</v>
      </c>
      <c r="AG9007">
        <v>-1.1052360000000001</v>
      </c>
      <c r="AH9007">
        <v>6.2047997801054402</v>
      </c>
      <c r="AI9007">
        <v>97.726640978219507</v>
      </c>
      <c r="AJ9007">
        <v>49.614421947905001</v>
      </c>
      <c r="AK9007">
        <v>8.2206103645614998</v>
      </c>
      <c r="AL9007">
        <v>87.517645962367396</v>
      </c>
      <c r="AM9007">
        <v>69.825595353691796</v>
      </c>
      <c r="AN9007">
        <v>1.0000000395419599</v>
      </c>
    </row>
    <row r="9008" spans="1:40" x14ac:dyDescent="0.25">
      <c r="A9008" t="str">
        <f>"20190312150901399"</f>
        <v>20190312150901399</v>
      </c>
      <c r="B9008" t="str">
        <f>"1552374541388458"</f>
        <v>1552374541388458</v>
      </c>
      <c r="C9008" t="s">
        <v>40</v>
      </c>
      <c r="D9008">
        <v>5.0181399999999998</v>
      </c>
      <c r="E9008">
        <v>0.6351386</v>
      </c>
      <c r="F9008" t="s">
        <v>43</v>
      </c>
      <c r="G9008">
        <v>-306.17380000000003</v>
      </c>
      <c r="H9008">
        <v>-0.05</v>
      </c>
      <c r="I9008">
        <v>5.1517030000000004</v>
      </c>
      <c r="J9008">
        <v>-309.98239999999998</v>
      </c>
      <c r="K9008">
        <v>1.055188</v>
      </c>
      <c r="L9008">
        <v>12.4415</v>
      </c>
      <c r="M9008">
        <v>0.92733449999999995</v>
      </c>
      <c r="N9008">
        <v>0</v>
      </c>
      <c r="O9008">
        <v>-0.3739729</v>
      </c>
      <c r="P9008">
        <v>0.741112199999999</v>
      </c>
      <c r="Q9008">
        <v>3.506397E-2</v>
      </c>
      <c r="R9008">
        <v>-0.67046490000000003</v>
      </c>
      <c r="S9008">
        <v>1.5169979999999901</v>
      </c>
      <c r="T9008">
        <v>-0.42559609999999898</v>
      </c>
      <c r="U9008">
        <v>-2.8296510000000001</v>
      </c>
      <c r="V9008">
        <v>0.34523189999999998</v>
      </c>
      <c r="W9008">
        <v>4.3582759999999998E-2</v>
      </c>
      <c r="X9008">
        <v>0.93750489999999997</v>
      </c>
      <c r="Y9008">
        <v>0.63850189999999996</v>
      </c>
      <c r="Z9008">
        <v>5.1995289999999996E-3</v>
      </c>
      <c r="AA9008">
        <v>0.76960260000000003</v>
      </c>
      <c r="AB9008">
        <v>23</v>
      </c>
      <c r="AC9008">
        <v>3.80859999999995</v>
      </c>
      <c r="AD9008">
        <v>-1.1051879999999901</v>
      </c>
      <c r="AE9008">
        <v>-7.2897970000000001</v>
      </c>
      <c r="AF9008">
        <v>5.2416431779337396</v>
      </c>
      <c r="AG9008">
        <v>-1.1051879999999901</v>
      </c>
      <c r="AH9008">
        <v>6.1476398782758901</v>
      </c>
      <c r="AI9008">
        <v>97.789690737718701</v>
      </c>
      <c r="AJ9008">
        <v>49.548197392882798</v>
      </c>
      <c r="AK9008">
        <v>8.1541240972339502</v>
      </c>
      <c r="AL9008">
        <v>87.5021005401656</v>
      </c>
      <c r="AM9008">
        <v>69.7840006577498</v>
      </c>
      <c r="AN9008">
        <v>0.99999997963541798</v>
      </c>
    </row>
    <row r="9009" spans="1:40" x14ac:dyDescent="0.25">
      <c r="A9009" t="str">
        <f>"20190312150901411"</f>
        <v>20190312150901411</v>
      </c>
      <c r="B9009" t="str">
        <f>"1552374541408955"</f>
        <v>1552374541408955</v>
      </c>
      <c r="C9009" t="s">
        <v>40</v>
      </c>
      <c r="D9009">
        <v>5.027088</v>
      </c>
      <c r="E9009">
        <v>0.63501300000000005</v>
      </c>
      <c r="F9009" t="s">
        <v>43</v>
      </c>
      <c r="G9009">
        <v>-306.0752</v>
      </c>
      <c r="H9009">
        <v>-0.05</v>
      </c>
      <c r="I9009">
        <v>5.0539699999999996</v>
      </c>
      <c r="J9009">
        <v>-309.86849999999998</v>
      </c>
      <c r="K9009">
        <v>1.0551429999999999</v>
      </c>
      <c r="L9009">
        <v>12.38992</v>
      </c>
      <c r="M9009">
        <v>0.92553600000000003</v>
      </c>
      <c r="N9009">
        <v>0</v>
      </c>
      <c r="O9009">
        <v>-0.37840259999999998</v>
      </c>
      <c r="P9009">
        <v>0.73751560000000005</v>
      </c>
      <c r="Q9009">
        <v>3.5520610000000001E-2</v>
      </c>
      <c r="R9009">
        <v>-0.67439589999999905</v>
      </c>
      <c r="S9009">
        <v>1.5008239999999999</v>
      </c>
      <c r="T9009">
        <v>-0.42453089999999999</v>
      </c>
      <c r="U9009">
        <v>-2.8377379999999999</v>
      </c>
      <c r="V9009">
        <v>0.34575149999999999</v>
      </c>
      <c r="W9009">
        <v>4.3988630000000001E-2</v>
      </c>
      <c r="X9009">
        <v>0.93729450000000003</v>
      </c>
      <c r="Y9009">
        <v>0.63919289999999995</v>
      </c>
      <c r="Z9009">
        <v>5.7943389999999999E-3</v>
      </c>
      <c r="AA9009">
        <v>0.76902459999999995</v>
      </c>
      <c r="AB9009">
        <v>23</v>
      </c>
      <c r="AC9009">
        <v>3.7932999999999799</v>
      </c>
      <c r="AD9009">
        <v>-1.105143</v>
      </c>
      <c r="AE9009">
        <v>-7.3359500000000004</v>
      </c>
      <c r="AF9009">
        <v>5.2606113286843197</v>
      </c>
      <c r="AG9009">
        <v>-1.105143</v>
      </c>
      <c r="AH9009">
        <v>6.1767833473887199</v>
      </c>
      <c r="AI9009">
        <v>97.756673698730495</v>
      </c>
      <c r="AJ9009">
        <v>49.579797059139302</v>
      </c>
      <c r="AK9009">
        <v>8.1882858476307092</v>
      </c>
      <c r="AL9009">
        <v>87.478823728740394</v>
      </c>
      <c r="AM9009">
        <v>69.751866914881006</v>
      </c>
      <c r="AN9009">
        <v>1.0000000395258799</v>
      </c>
    </row>
    <row r="9010" spans="1:40" x14ac:dyDescent="0.25">
      <c r="A9010" t="str">
        <f>"20190312150901424"</f>
        <v>20190312150901424</v>
      </c>
      <c r="B9010" t="str">
        <f>"1552374541418714"</f>
        <v>1552374541418714</v>
      </c>
      <c r="C9010" t="s">
        <v>40</v>
      </c>
      <c r="D9010">
        <v>5.057995</v>
      </c>
      <c r="E9010">
        <v>0.63485309999999995</v>
      </c>
      <c r="F9010" t="s">
        <v>43</v>
      </c>
      <c r="G9010">
        <v>-306.01029999999997</v>
      </c>
      <c r="H9010">
        <v>-0.05</v>
      </c>
      <c r="I9010">
        <v>5.0046999999999997</v>
      </c>
      <c r="J9010">
        <v>-309.74740000000003</v>
      </c>
      <c r="K9010">
        <v>1.055094</v>
      </c>
      <c r="L9010">
        <v>12.33459</v>
      </c>
      <c r="M9010">
        <v>0.92358770000000001</v>
      </c>
      <c r="N9010">
        <v>0</v>
      </c>
      <c r="O9010">
        <v>-0.38313409999999998</v>
      </c>
      <c r="P9010">
        <v>0.73363719999999999</v>
      </c>
      <c r="Q9010">
        <v>3.5757079999999997E-2</v>
      </c>
      <c r="R9010">
        <v>-0.67860039999999999</v>
      </c>
      <c r="S9010">
        <v>1.4864200000000001</v>
      </c>
      <c r="T9010">
        <v>-0.4257785</v>
      </c>
      <c r="U9010">
        <v>-2.8453059999999999</v>
      </c>
      <c r="V9010">
        <v>0.34632449999999998</v>
      </c>
      <c r="W9010">
        <v>4.4171559999999999E-2</v>
      </c>
      <c r="X9010">
        <v>0.93707430000000003</v>
      </c>
      <c r="Y9010">
        <v>0.63917930000000001</v>
      </c>
      <c r="Z9010">
        <v>6.5303260000000004E-3</v>
      </c>
      <c r="AA9010">
        <v>0.76903009999999905</v>
      </c>
      <c r="AB9010">
        <v>23</v>
      </c>
      <c r="AC9010">
        <v>3.73710000000005</v>
      </c>
      <c r="AD9010">
        <v>-1.105094</v>
      </c>
      <c r="AE9010">
        <v>-7.32988999999999</v>
      </c>
      <c r="AF9010">
        <v>5.2439000936501996</v>
      </c>
      <c r="AG9010">
        <v>-1.105094</v>
      </c>
      <c r="AH9010">
        <v>6.1495358378843399</v>
      </c>
      <c r="AI9010">
        <v>97.786268953984504</v>
      </c>
      <c r="AJ9010">
        <v>49.5447427498789</v>
      </c>
      <c r="AK9010">
        <v>8.1569915999984008</v>
      </c>
      <c r="AL9010">
        <v>87.468332352170094</v>
      </c>
      <c r="AM9010">
        <v>69.716664499779199</v>
      </c>
      <c r="AN9010">
        <v>1.00000001486678</v>
      </c>
    </row>
    <row r="9011" spans="1:40" x14ac:dyDescent="0.25">
      <c r="A9011" t="str">
        <f>"20190312150901436"</f>
        <v>20190312150901436</v>
      </c>
      <c r="B9011" t="str">
        <f>"1552374541428474"</f>
        <v>1552374541428474</v>
      </c>
      <c r="C9011" t="s">
        <v>40</v>
      </c>
      <c r="D9011">
        <v>5.0381769999999904</v>
      </c>
      <c r="E9011">
        <v>0.63465059999999995</v>
      </c>
      <c r="F9011" t="s">
        <v>43</v>
      </c>
      <c r="G9011">
        <v>-305.92939999999999</v>
      </c>
      <c r="H9011">
        <v>-0.05</v>
      </c>
      <c r="I9011">
        <v>4.9253999999999998</v>
      </c>
      <c r="J9011">
        <v>-309.63619999999997</v>
      </c>
      <c r="K9011">
        <v>1.0550520000000001</v>
      </c>
      <c r="L9011">
        <v>12.282590000000001</v>
      </c>
      <c r="M9011">
        <v>0.92174319999999998</v>
      </c>
      <c r="N9011">
        <v>0</v>
      </c>
      <c r="O9011">
        <v>-0.38755099999999998</v>
      </c>
      <c r="P9011">
        <v>0.729828699999999</v>
      </c>
      <c r="Q9011">
        <v>3.583546E-2</v>
      </c>
      <c r="R9011">
        <v>-0.68269069999999898</v>
      </c>
      <c r="S9011">
        <v>1.470459</v>
      </c>
      <c r="T9011">
        <v>-0.42561149999999998</v>
      </c>
      <c r="U9011">
        <v>-2.8535460000000001</v>
      </c>
      <c r="V9011">
        <v>0.34708339999999999</v>
      </c>
      <c r="W9011">
        <v>4.4195859999999997E-2</v>
      </c>
      <c r="X9011">
        <v>0.93679230000000002</v>
      </c>
      <c r="Y9011">
        <v>0.63982950000000005</v>
      </c>
      <c r="Z9011">
        <v>7.1407709999999998E-3</v>
      </c>
      <c r="AA9011">
        <v>0.76848369999999999</v>
      </c>
      <c r="AB9011">
        <v>23</v>
      </c>
      <c r="AC9011">
        <v>3.7067999999999799</v>
      </c>
      <c r="AD9011">
        <v>-1.1050519999999999</v>
      </c>
      <c r="AE9011">
        <v>-7.3571899999999903</v>
      </c>
      <c r="AF9011">
        <v>5.2509055244520901</v>
      </c>
      <c r="AG9011">
        <v>-1.1050519999999999</v>
      </c>
      <c r="AH9011">
        <v>6.1578154076590499</v>
      </c>
      <c r="AI9011">
        <v>97.775669830402293</v>
      </c>
      <c r="AJ9011">
        <v>49.545038054286401</v>
      </c>
      <c r="AK9011">
        <v>8.1677315910985193</v>
      </c>
      <c r="AL9011">
        <v>87.466938633028306</v>
      </c>
      <c r="AM9011">
        <v>69.670232496898095</v>
      </c>
      <c r="AN9011">
        <v>0.99999998696799397</v>
      </c>
    </row>
    <row r="9012" spans="1:40" x14ac:dyDescent="0.25">
      <c r="A9012" t="str">
        <f>"20190312150901448"</f>
        <v>20190312150901448</v>
      </c>
      <c r="B9012" t="str">
        <f>"1552374541438234"</f>
        <v>1552374541438234</v>
      </c>
      <c r="C9012" t="s">
        <v>40</v>
      </c>
      <c r="D9012">
        <v>5.0243390000000003</v>
      </c>
      <c r="E9012">
        <v>0.63443549999999904</v>
      </c>
      <c r="F9012" t="s">
        <v>43</v>
      </c>
      <c r="G9012">
        <v>-305.84460000000001</v>
      </c>
      <c r="H9012">
        <v>-0.05</v>
      </c>
      <c r="I9012">
        <v>4.8298189999999996</v>
      </c>
      <c r="J9012">
        <v>-309.51949999999999</v>
      </c>
      <c r="K9012">
        <v>1.0550010000000001</v>
      </c>
      <c r="L9012">
        <v>12.22757</v>
      </c>
      <c r="M9012">
        <v>0.91976990000000003</v>
      </c>
      <c r="N9012">
        <v>0</v>
      </c>
      <c r="O9012">
        <v>-0.39221139999999999</v>
      </c>
      <c r="P9012">
        <v>0.72613919999999998</v>
      </c>
      <c r="Q9012">
        <v>3.5875890000000001E-2</v>
      </c>
      <c r="R9012">
        <v>-0.68661149999999904</v>
      </c>
      <c r="S9012">
        <v>1.455414</v>
      </c>
      <c r="T9012">
        <v>-0.42417359999999998</v>
      </c>
      <c r="U9012">
        <v>-2.8607480000000001</v>
      </c>
      <c r="V9012">
        <v>0.34739330000000002</v>
      </c>
      <c r="W9012">
        <v>4.4186330000000003E-2</v>
      </c>
      <c r="X9012">
        <v>0.93667789999999995</v>
      </c>
      <c r="Y9012">
        <v>0.6399783</v>
      </c>
      <c r="Z9012">
        <v>7.8117359999999997E-3</v>
      </c>
      <c r="AA9012">
        <v>0.76835319999999996</v>
      </c>
      <c r="AB9012">
        <v>23</v>
      </c>
      <c r="AC9012">
        <v>3.6748999999999801</v>
      </c>
      <c r="AD9012">
        <v>-1.1050009999999999</v>
      </c>
      <c r="AE9012">
        <v>-7.3977509999999898</v>
      </c>
      <c r="AF9012">
        <v>5.2691174904473899</v>
      </c>
      <c r="AG9012">
        <v>-1.1050009999999999</v>
      </c>
      <c r="AH9012">
        <v>6.1717079100547299</v>
      </c>
      <c r="AI9012">
        <v>97.754124629847794</v>
      </c>
      <c r="AJ9012">
        <v>49.510839809097902</v>
      </c>
      <c r="AK9012">
        <v>8.1899087214187993</v>
      </c>
      <c r="AL9012">
        <v>87.467485260445599</v>
      </c>
      <c r="AM9012">
        <v>69.651286844166293</v>
      </c>
      <c r="AN9012">
        <v>1.0000000124960799</v>
      </c>
    </row>
    <row r="9013" spans="1:40" x14ac:dyDescent="0.25">
      <c r="A9013" t="str">
        <f>"20190312150901461"</f>
        <v>20190312150901461</v>
      </c>
      <c r="B9013" t="str">
        <f>"1552374541458730"</f>
        <v>1552374541458730</v>
      </c>
      <c r="C9013" t="s">
        <v>40</v>
      </c>
      <c r="D9013">
        <v>5.0453099999999997</v>
      </c>
      <c r="E9013">
        <v>0.63426539999999998</v>
      </c>
      <c r="F9013" t="s">
        <v>43</v>
      </c>
      <c r="G9013">
        <v>-305.76679999999999</v>
      </c>
      <c r="H9013">
        <v>-0.05</v>
      </c>
      <c r="I9013">
        <v>4.7619020000000001</v>
      </c>
      <c r="J9013">
        <v>-309.39490000000001</v>
      </c>
      <c r="K9013">
        <v>1.0549409999999999</v>
      </c>
      <c r="L9013">
        <v>12.16797</v>
      </c>
      <c r="M9013">
        <v>0.91760870000000005</v>
      </c>
      <c r="N9013">
        <v>0</v>
      </c>
      <c r="O9013">
        <v>-0.39724100000000001</v>
      </c>
      <c r="P9013">
        <v>0.72162419999999905</v>
      </c>
      <c r="Q9013">
        <v>3.6003510000000002E-2</v>
      </c>
      <c r="R9013">
        <v>-0.69134810000000002</v>
      </c>
      <c r="S9013">
        <v>1.441254</v>
      </c>
      <c r="T9013">
        <v>-0.42438920000000002</v>
      </c>
      <c r="U9013">
        <v>-2.8672789999999999</v>
      </c>
      <c r="V9013">
        <v>0.348404299999999</v>
      </c>
      <c r="W9013">
        <v>4.4243020000000001E-2</v>
      </c>
      <c r="X9013">
        <v>0.93629960000000001</v>
      </c>
      <c r="Y9013">
        <v>0.63954080000000002</v>
      </c>
      <c r="Z9013">
        <v>8.6211150000000004E-3</v>
      </c>
      <c r="AA9013">
        <v>0.76870879999999997</v>
      </c>
      <c r="AB9013">
        <v>23</v>
      </c>
      <c r="AC9013">
        <v>3.6281000000000101</v>
      </c>
      <c r="AD9013">
        <v>-1.104941</v>
      </c>
      <c r="AE9013">
        <v>-7.4060679999999897</v>
      </c>
      <c r="AF9013">
        <v>5.2607266158377399</v>
      </c>
      <c r="AG9013">
        <v>-1.104941</v>
      </c>
      <c r="AH9013">
        <v>6.1611791486142504</v>
      </c>
      <c r="AI9013">
        <v>97.766429574595307</v>
      </c>
      <c r="AJ9013">
        <v>49.5076229067284</v>
      </c>
      <c r="AK9013">
        <v>8.1765682068569401</v>
      </c>
      <c r="AL9013">
        <v>87.464233877922894</v>
      </c>
      <c r="AM9013">
        <v>69.589378020683995</v>
      </c>
      <c r="AN9013">
        <v>0.99999997101868399</v>
      </c>
    </row>
    <row r="9014" spans="1:40" x14ac:dyDescent="0.25">
      <c r="A9014" t="str">
        <f>"20190312150901474"</f>
        <v>20190312150901474</v>
      </c>
      <c r="B9014" t="str">
        <f>"1552374541468490"</f>
        <v>1552374541468490</v>
      </c>
      <c r="C9014" t="s">
        <v>40</v>
      </c>
      <c r="D9014">
        <v>5.0567440000000001</v>
      </c>
      <c r="E9014">
        <v>0.63413469999999905</v>
      </c>
      <c r="F9014" t="s">
        <v>43</v>
      </c>
      <c r="G9014">
        <v>-305.7002</v>
      </c>
      <c r="H9014">
        <v>-0.05</v>
      </c>
      <c r="I9014">
        <v>4.7040249999999997</v>
      </c>
      <c r="J9014">
        <v>-309.28710000000001</v>
      </c>
      <c r="K9014">
        <v>1.0548879999999901</v>
      </c>
      <c r="L9014">
        <v>12.11548</v>
      </c>
      <c r="M9014">
        <v>0.91568830000000001</v>
      </c>
      <c r="N9014">
        <v>0</v>
      </c>
      <c r="O9014">
        <v>-0.40164840000000002</v>
      </c>
      <c r="P9014">
        <v>0.71809350000000005</v>
      </c>
      <c r="Q9014">
        <v>3.5989029999999998E-2</v>
      </c>
      <c r="R9014">
        <v>-0.69501579999999996</v>
      </c>
      <c r="S9014">
        <v>1.423492</v>
      </c>
      <c r="T9014">
        <v>-0.42571490000000001</v>
      </c>
      <c r="U9014">
        <v>-2.8757320000000002</v>
      </c>
      <c r="V9014">
        <v>0.34867730000000002</v>
      </c>
      <c r="W9014">
        <v>4.417633E-2</v>
      </c>
      <c r="X9014">
        <v>0.93620119999999896</v>
      </c>
      <c r="Y9014">
        <v>0.64056590000000002</v>
      </c>
      <c r="Z9014">
        <v>9.2313919999999997E-3</v>
      </c>
      <c r="AA9014">
        <v>0.76784779999999997</v>
      </c>
      <c r="AB9014">
        <v>23</v>
      </c>
      <c r="AC9014">
        <v>3.5869000000000102</v>
      </c>
      <c r="AD9014">
        <v>-1.1048880000000001</v>
      </c>
      <c r="AE9014">
        <v>-7.4114550000000001</v>
      </c>
      <c r="AF9014">
        <v>5.2518583312793297</v>
      </c>
      <c r="AG9014">
        <v>-1.1048880000000001</v>
      </c>
      <c r="AH9014">
        <v>6.1511254428825204</v>
      </c>
      <c r="AI9014">
        <v>97.778774694165094</v>
      </c>
      <c r="AJ9014">
        <v>49.509152465889301</v>
      </c>
      <c r="AK9014">
        <v>8.1632798334032906</v>
      </c>
      <c r="AL9014">
        <v>87.468058866371805</v>
      </c>
      <c r="AM9014">
        <v>69.572735861255893</v>
      </c>
      <c r="AN9014">
        <v>1.0000000472744901</v>
      </c>
    </row>
    <row r="9015" spans="1:40" x14ac:dyDescent="0.25">
      <c r="A9015" t="str">
        <f>"20190312150901486"</f>
        <v>20190312150901486</v>
      </c>
      <c r="B9015" t="str">
        <f>"1552374541478251"</f>
        <v>1552374541478251</v>
      </c>
      <c r="C9015" t="s">
        <v>40</v>
      </c>
      <c r="D9015">
        <v>5.0515860000000004</v>
      </c>
      <c r="E9015">
        <v>0.6339766</v>
      </c>
      <c r="F9015" t="s">
        <v>43</v>
      </c>
      <c r="G9015">
        <v>-305.64080000000001</v>
      </c>
      <c r="H9015">
        <v>-0.05</v>
      </c>
      <c r="I9015">
        <v>4.6600650000000003</v>
      </c>
      <c r="J9015">
        <v>-309.17590000000001</v>
      </c>
      <c r="K9015">
        <v>1.054829</v>
      </c>
      <c r="L9015">
        <v>12.06094</v>
      </c>
      <c r="M9015">
        <v>0.91367080000000001</v>
      </c>
      <c r="N9015">
        <v>0</v>
      </c>
      <c r="O9015">
        <v>-0.4062173</v>
      </c>
      <c r="P9015">
        <v>0.71443049999999997</v>
      </c>
      <c r="Q9015">
        <v>3.598531E-2</v>
      </c>
      <c r="R9015">
        <v>-0.69878050000000003</v>
      </c>
      <c r="S9015">
        <v>1.4096070000000001</v>
      </c>
      <c r="T9015">
        <v>-0.42713630000000002</v>
      </c>
      <c r="U9015">
        <v>-2.8821720000000002</v>
      </c>
      <c r="V9015">
        <v>0.34892719999999999</v>
      </c>
      <c r="W9015">
        <v>4.4118209999999998E-2</v>
      </c>
      <c r="X9015">
        <v>0.93611080000000002</v>
      </c>
      <c r="Y9015">
        <v>0.64041380000000003</v>
      </c>
      <c r="Z9015">
        <v>9.9788759999999994E-3</v>
      </c>
      <c r="AA9015">
        <v>0.76796529999999996</v>
      </c>
      <c r="AB9015">
        <v>23</v>
      </c>
      <c r="AC9015">
        <v>3.5350999999999999</v>
      </c>
      <c r="AD9015">
        <v>-1.1048290000000001</v>
      </c>
      <c r="AE9015">
        <v>-7.4008749999999903</v>
      </c>
      <c r="AF9015">
        <v>5.2315302515332798</v>
      </c>
      <c r="AG9015">
        <v>-1.1048290000000001</v>
      </c>
      <c r="AH9015">
        <v>6.1257289890130098</v>
      </c>
      <c r="AI9015">
        <v>97.809372373267806</v>
      </c>
      <c r="AJ9015">
        <v>49.501820259139599</v>
      </c>
      <c r="AK9015">
        <v>8.1310584513200599</v>
      </c>
      <c r="AL9015">
        <v>87.471392074239304</v>
      </c>
      <c r="AM9015">
        <v>69.557495440937103</v>
      </c>
      <c r="AN9015">
        <v>1.00000001861504</v>
      </c>
    </row>
    <row r="9016" spans="1:40" x14ac:dyDescent="0.25">
      <c r="A9016" t="str">
        <f>"20190312150901497"</f>
        <v>20190312150901497</v>
      </c>
      <c r="B9016" t="str">
        <f>"1552374541488986"</f>
        <v>1552374541488986</v>
      </c>
      <c r="C9016" t="s">
        <v>40</v>
      </c>
      <c r="D9016">
        <v>5.0764950000000004</v>
      </c>
      <c r="E9016">
        <v>0.63381409999999905</v>
      </c>
      <c r="F9016" t="s">
        <v>43</v>
      </c>
      <c r="G9016">
        <v>-305.58190000000002</v>
      </c>
      <c r="H9016">
        <v>-0.05</v>
      </c>
      <c r="I9016">
        <v>4.6186069999999999</v>
      </c>
      <c r="J9016">
        <v>-309.05970000000002</v>
      </c>
      <c r="K9016">
        <v>1.0547679999999999</v>
      </c>
      <c r="L9016">
        <v>12.00281</v>
      </c>
      <c r="M9016">
        <v>0.91149910000000001</v>
      </c>
      <c r="N9016">
        <v>0</v>
      </c>
      <c r="O9016">
        <v>-0.41106779999999998</v>
      </c>
      <c r="P9016">
        <v>0.71071549999999994</v>
      </c>
      <c r="Q9016">
        <v>3.5941729999999998E-2</v>
      </c>
      <c r="R9016">
        <v>-0.70256109999999905</v>
      </c>
      <c r="S9016">
        <v>1.395111</v>
      </c>
      <c r="T9016">
        <v>-0.42886570000000002</v>
      </c>
      <c r="U9016">
        <v>-2.888916</v>
      </c>
      <c r="V9016">
        <v>0.34892279999999998</v>
      </c>
      <c r="W9016">
        <v>4.4019599999999999E-2</v>
      </c>
      <c r="X9016">
        <v>0.93611710000000004</v>
      </c>
      <c r="Y9016">
        <v>0.64018030000000004</v>
      </c>
      <c r="Z9016">
        <v>1.0790660000000001E-2</v>
      </c>
      <c r="AA9016">
        <v>0.76814899999999997</v>
      </c>
      <c r="AB9016">
        <v>23</v>
      </c>
      <c r="AC9016">
        <v>3.4777999999999998</v>
      </c>
      <c r="AD9016">
        <v>-1.104768</v>
      </c>
      <c r="AE9016">
        <v>-7.3842030000000003</v>
      </c>
      <c r="AF9016">
        <v>5.2062152064613398</v>
      </c>
      <c r="AG9016">
        <v>-1.104768</v>
      </c>
      <c r="AH9016">
        <v>6.0943681528112998</v>
      </c>
      <c r="AI9016">
        <v>97.847708890598298</v>
      </c>
      <c r="AJ9016">
        <v>49.493841080296903</v>
      </c>
      <c r="AK9016">
        <v>8.0911378860957406</v>
      </c>
      <c r="AL9016">
        <v>87.477047547181101</v>
      </c>
      <c r="AM9016">
        <v>69.557858090031203</v>
      </c>
      <c r="AN9016">
        <v>1.0000000352281999</v>
      </c>
    </row>
    <row r="9017" spans="1:40" x14ac:dyDescent="0.25">
      <c r="A9017" t="str">
        <f>"20190312150901511"</f>
        <v>20190312150901511</v>
      </c>
      <c r="B9017" t="str">
        <f>"1552374541498746"</f>
        <v>1552374541498746</v>
      </c>
      <c r="C9017" t="s">
        <v>40</v>
      </c>
      <c r="D9017">
        <v>5.0493519999999998</v>
      </c>
      <c r="E9017">
        <v>0.63369690000000001</v>
      </c>
      <c r="F9017" t="s">
        <v>43</v>
      </c>
      <c r="G9017">
        <v>-305.51220000000001</v>
      </c>
      <c r="H9017">
        <v>-0.05</v>
      </c>
      <c r="I9017">
        <v>4.561661</v>
      </c>
      <c r="J9017">
        <v>-308.94720000000001</v>
      </c>
      <c r="K9017">
        <v>1.0547089999999999</v>
      </c>
      <c r="L9017">
        <v>11.945830000000001</v>
      </c>
      <c r="M9017">
        <v>0.90934930000000003</v>
      </c>
      <c r="N9017">
        <v>0</v>
      </c>
      <c r="O9017">
        <v>-0.4158017</v>
      </c>
      <c r="P9017">
        <v>0.70688839999999997</v>
      </c>
      <c r="Q9017">
        <v>3.6045880000000002E-2</v>
      </c>
      <c r="R9017">
        <v>-0.70640609999999904</v>
      </c>
      <c r="S9017">
        <v>1.380463</v>
      </c>
      <c r="T9017">
        <v>-0.42991210000000002</v>
      </c>
      <c r="U9017">
        <v>-2.8956599999999999</v>
      </c>
      <c r="V9017">
        <v>0.34914309999999998</v>
      </c>
      <c r="W9017">
        <v>4.4066760000000003E-2</v>
      </c>
      <c r="X9017">
        <v>0.93603270000000005</v>
      </c>
      <c r="Y9017">
        <v>0.640073</v>
      </c>
      <c r="Z9017">
        <v>1.156241E-2</v>
      </c>
      <c r="AA9017">
        <v>0.76822709999999905</v>
      </c>
      <c r="AB9017">
        <v>23</v>
      </c>
      <c r="AC9017">
        <v>3.4350000000000001</v>
      </c>
      <c r="AD9017">
        <v>-1.1047089999999999</v>
      </c>
      <c r="AE9017">
        <v>-7.384169</v>
      </c>
      <c r="AF9017">
        <v>5.1914963244482397</v>
      </c>
      <c r="AG9017">
        <v>-1.1047089999999999</v>
      </c>
      <c r="AH9017">
        <v>6.0826415562918799</v>
      </c>
      <c r="AI9017">
        <v>97.865198458956996</v>
      </c>
      <c r="AJ9017">
        <v>49.5194516998708</v>
      </c>
      <c r="AK9017">
        <v>8.0728275321457001</v>
      </c>
      <c r="AL9017">
        <v>87.474342763566696</v>
      </c>
      <c r="AM9017">
        <v>69.544328624006397</v>
      </c>
      <c r="AN9017">
        <v>0.999999999541898</v>
      </c>
    </row>
    <row r="9018" spans="1:40" x14ac:dyDescent="0.25">
      <c r="A9018" t="str">
        <f>"20190312150901524"</f>
        <v>20190312150901524</v>
      </c>
      <c r="B9018" t="str">
        <f>"1552374541518266"</f>
        <v>1552374541518266</v>
      </c>
      <c r="C9018" t="s">
        <v>40</v>
      </c>
      <c r="D9018">
        <v>5.0230550000000003</v>
      </c>
      <c r="E9018">
        <v>0.63384289999999999</v>
      </c>
      <c r="F9018" t="s">
        <v>43</v>
      </c>
      <c r="G9018">
        <v>-305.43979999999999</v>
      </c>
      <c r="H9018">
        <v>-0.05</v>
      </c>
      <c r="I9018">
        <v>4.4898680000000004</v>
      </c>
      <c r="J9018">
        <v>-308.822</v>
      </c>
      <c r="K9018">
        <v>1.0546390000000001</v>
      </c>
      <c r="L9018">
        <v>11.88171</v>
      </c>
      <c r="M9018">
        <v>0.90690309999999996</v>
      </c>
      <c r="N9018">
        <v>0</v>
      </c>
      <c r="O9018">
        <v>-0.4211105</v>
      </c>
      <c r="P9018">
        <v>0.70266689999999998</v>
      </c>
      <c r="Q9018">
        <v>3.645441E-2</v>
      </c>
      <c r="R9018">
        <v>-0.71058449999999995</v>
      </c>
      <c r="S9018">
        <v>1.3653869999999999</v>
      </c>
      <c r="T9018">
        <v>-0.43004199999999998</v>
      </c>
      <c r="U9018">
        <v>-2.902466</v>
      </c>
      <c r="V9018">
        <v>0.34924179999999999</v>
      </c>
      <c r="W9018">
        <v>4.4414990000000001E-2</v>
      </c>
      <c r="X9018">
        <v>0.93597940000000002</v>
      </c>
      <c r="Y9018">
        <v>0.63958400000000004</v>
      </c>
      <c r="Z9018">
        <v>1.2436900000000001E-2</v>
      </c>
      <c r="AA9018">
        <v>0.76862059999999999</v>
      </c>
      <c r="AB9018">
        <v>23</v>
      </c>
      <c r="AC9018">
        <v>3.3822000000000099</v>
      </c>
      <c r="AD9018">
        <v>-1.1046389999999999</v>
      </c>
      <c r="AE9018">
        <v>-7.3918419999999996</v>
      </c>
      <c r="AF9018">
        <v>5.1841806393952004</v>
      </c>
      <c r="AG9018">
        <v>-1.1046389999999999</v>
      </c>
      <c r="AH9018">
        <v>6.0686401998942703</v>
      </c>
      <c r="AI9018">
        <v>97.879688895899704</v>
      </c>
      <c r="AJ9018">
        <v>49.494146932570999</v>
      </c>
      <c r="AK9018">
        <v>8.0575647746682009</v>
      </c>
      <c r="AL9018">
        <v>87.454371054350801</v>
      </c>
      <c r="AM9018">
        <v>69.537956563643505</v>
      </c>
      <c r="AN9018">
        <v>0.99999998171414906</v>
      </c>
    </row>
    <row r="9019" spans="1:40" x14ac:dyDescent="0.25">
      <c r="A9019" t="str">
        <f>"20190312150901537"</f>
        <v>20190312150901537</v>
      </c>
      <c r="B9019" t="str">
        <f>"1552374541529003"</f>
        <v>1552374541529003</v>
      </c>
      <c r="C9019" t="s">
        <v>40</v>
      </c>
      <c r="D9019">
        <v>4.9490439999999998</v>
      </c>
      <c r="E9019">
        <v>0.65931499999999998</v>
      </c>
      <c r="F9019" t="s">
        <v>43</v>
      </c>
      <c r="G9019">
        <v>-305.33240000000001</v>
      </c>
      <c r="H9019">
        <v>-0.05</v>
      </c>
      <c r="I9019">
        <v>4.3396910000000002</v>
      </c>
      <c r="J9019">
        <v>-308.70530000000002</v>
      </c>
      <c r="K9019">
        <v>1.0545739999999999</v>
      </c>
      <c r="L9019">
        <v>11.82062</v>
      </c>
      <c r="M9019">
        <v>0.90454579999999996</v>
      </c>
      <c r="N9019">
        <v>0</v>
      </c>
      <c r="O9019">
        <v>-0.4261509</v>
      </c>
      <c r="P9019">
        <v>0.69845109999999999</v>
      </c>
      <c r="Q9019">
        <v>3.64144E-2</v>
      </c>
      <c r="R9019">
        <v>-0.71473109999999995</v>
      </c>
      <c r="S9019">
        <v>1.3471679999999999</v>
      </c>
      <c r="T9019">
        <v>-0.42644530000000003</v>
      </c>
      <c r="U9019">
        <v>-2.911591</v>
      </c>
      <c r="V9019">
        <v>0.349578</v>
      </c>
      <c r="W9019">
        <v>4.431591E-2</v>
      </c>
      <c r="X9019">
        <v>0.93585859999999998</v>
      </c>
      <c r="Y9019">
        <v>0.64024799999999904</v>
      </c>
      <c r="Z9019">
        <v>1.3052680000000001E-2</v>
      </c>
      <c r="AA9019">
        <v>0.7680574</v>
      </c>
      <c r="AB9019">
        <v>23</v>
      </c>
      <c r="AC9019">
        <v>3.3729000000000098</v>
      </c>
      <c r="AD9019">
        <v>-1.1045739999999999</v>
      </c>
      <c r="AE9019">
        <v>-7.4809289999999997</v>
      </c>
      <c r="AF9019">
        <v>5.2351404733753304</v>
      </c>
      <c r="AG9019">
        <v>-1.1045739999999999</v>
      </c>
      <c r="AH9019">
        <v>6.1285104235077696</v>
      </c>
      <c r="AI9019">
        <v>97.803325423266301</v>
      </c>
      <c r="AJ9019">
        <v>49.495145470291902</v>
      </c>
      <c r="AK9019">
        <v>8.1354421827268801</v>
      </c>
      <c r="AL9019">
        <v>87.460053558283207</v>
      </c>
      <c r="AM9019">
        <v>69.517469397770796</v>
      </c>
      <c r="AN9019">
        <v>0.99999999857854405</v>
      </c>
    </row>
    <row r="9020" spans="1:40" x14ac:dyDescent="0.25">
      <c r="A9020" t="str">
        <f>"20190312150901552"</f>
        <v>20190312150901552</v>
      </c>
      <c r="B9020" t="str">
        <f>"1552374541548522"</f>
        <v>1552374541548522</v>
      </c>
      <c r="C9020" t="s">
        <v>40</v>
      </c>
      <c r="D9020">
        <v>5.0240900000000002</v>
      </c>
      <c r="E9020">
        <v>0.66696239999999996</v>
      </c>
      <c r="F9020" t="s">
        <v>43</v>
      </c>
      <c r="G9020">
        <v>-304.58789999999999</v>
      </c>
      <c r="H9020">
        <v>-0.05</v>
      </c>
      <c r="I9020">
        <v>1.1978150000000001</v>
      </c>
      <c r="J9020">
        <v>-308.57369999999997</v>
      </c>
      <c r="K9020">
        <v>1.054503</v>
      </c>
      <c r="L9020">
        <v>11.75089</v>
      </c>
      <c r="M9020">
        <v>0.90182249999999997</v>
      </c>
      <c r="N9020">
        <v>0</v>
      </c>
      <c r="O9020">
        <v>-0.43188409999999999</v>
      </c>
      <c r="P9020">
        <v>0.69336799999999998</v>
      </c>
      <c r="Q9020">
        <v>3.6310370000000002E-2</v>
      </c>
      <c r="R9020">
        <v>-0.71966830000000004</v>
      </c>
      <c r="S9020">
        <v>1.184509</v>
      </c>
      <c r="T9020">
        <v>-0.31777050000000001</v>
      </c>
      <c r="U9020">
        <v>-3.0560299999999998</v>
      </c>
      <c r="V9020">
        <v>0.3502807</v>
      </c>
      <c r="W9020">
        <v>4.4137740000000002E-2</v>
      </c>
      <c r="X9020">
        <v>0.93560430000000006</v>
      </c>
      <c r="Y9020">
        <v>0.68375859999999899</v>
      </c>
      <c r="Z9020">
        <v>7.2938019999999899E-3</v>
      </c>
      <c r="AA9020">
        <v>0.72967190000000004</v>
      </c>
      <c r="AB9020">
        <v>23</v>
      </c>
      <c r="AC9020">
        <v>3.9857999999999798</v>
      </c>
      <c r="AD9020">
        <v>-1.104503</v>
      </c>
      <c r="AE9020">
        <v>-10.553075</v>
      </c>
      <c r="AF9020">
        <v>7.7223161225598602</v>
      </c>
      <c r="AG9020">
        <v>-1.104503</v>
      </c>
      <c r="AH9020">
        <v>8.0755566418662692</v>
      </c>
      <c r="AI9020">
        <v>95.6453230726664</v>
      </c>
      <c r="AJ9020">
        <v>46.280920490213397</v>
      </c>
      <c r="AK9020">
        <v>11.2280322519018</v>
      </c>
      <c r="AL9020">
        <v>87.470272095115902</v>
      </c>
      <c r="AM9020">
        <v>69.474612806033505</v>
      </c>
      <c r="AN9020">
        <v>1.0000000575316399</v>
      </c>
    </row>
    <row r="9021" spans="1:40" x14ac:dyDescent="0.25">
      <c r="A9021" t="str">
        <f>"20190312150901567"</f>
        <v>20190312150901567</v>
      </c>
      <c r="B9021" t="str">
        <f>"1552374541558789"</f>
        <v>1552374541558789</v>
      </c>
      <c r="C9021" t="s">
        <v>40</v>
      </c>
      <c r="D9021">
        <v>4.9663979999999999</v>
      </c>
      <c r="E9021">
        <v>0.66803230000000002</v>
      </c>
      <c r="F9021" t="s">
        <v>43</v>
      </c>
      <c r="G9021">
        <v>-304.83530000000002</v>
      </c>
      <c r="H9021">
        <v>-0.05</v>
      </c>
      <c r="I9021">
        <v>1.362579</v>
      </c>
      <c r="J9021">
        <v>-308.43079999999998</v>
      </c>
      <c r="K9021">
        <v>1.0544249999999999</v>
      </c>
      <c r="L9021">
        <v>11.67395</v>
      </c>
      <c r="M9021">
        <v>0.8987735</v>
      </c>
      <c r="N9021">
        <v>0</v>
      </c>
      <c r="O9021">
        <v>-0.43819380000000002</v>
      </c>
      <c r="P9021">
        <v>0.68821019999999999</v>
      </c>
      <c r="Q9021">
        <v>3.602996E-2</v>
      </c>
      <c r="R9021">
        <v>-0.72461619999999904</v>
      </c>
      <c r="S9021">
        <v>1.1183780000000001</v>
      </c>
      <c r="T9021">
        <v>-0.33041890000000002</v>
      </c>
      <c r="U9021">
        <v>-3.1077270000000001</v>
      </c>
      <c r="V9021">
        <v>0.35042250000000003</v>
      </c>
      <c r="W9021">
        <v>4.3789519999999998E-2</v>
      </c>
      <c r="X9021">
        <v>0.9355675</v>
      </c>
      <c r="Y9021">
        <v>0.69618429999999998</v>
      </c>
      <c r="Z9021">
        <v>7.3817969999999998E-3</v>
      </c>
      <c r="AA9021">
        <v>0.71782519999999905</v>
      </c>
      <c r="AB9021">
        <v>23</v>
      </c>
      <c r="AC9021">
        <v>3.5954999999999502</v>
      </c>
      <c r="AD9021">
        <v>-1.104425</v>
      </c>
      <c r="AE9021">
        <v>-10.311370999999999</v>
      </c>
      <c r="AF9021">
        <v>7.6149130206733302</v>
      </c>
      <c r="AG9021">
        <v>-1.104425</v>
      </c>
      <c r="AH9021">
        <v>7.6721904967291001</v>
      </c>
      <c r="AI9021">
        <v>95.833661715963601</v>
      </c>
      <c r="AJ9021">
        <v>45.214673909853801</v>
      </c>
      <c r="AK9021">
        <v>10.8659634598661</v>
      </c>
      <c r="AL9021">
        <v>87.490242792109896</v>
      </c>
      <c r="AM9021">
        <v>69.466256738118602</v>
      </c>
      <c r="AN9021">
        <v>0.99999999881216495</v>
      </c>
    </row>
    <row r="9022" spans="1:40" x14ac:dyDescent="0.25">
      <c r="A9022" t="str">
        <f>"20190312150901582"</f>
        <v>20190312150901582</v>
      </c>
      <c r="B9022" t="str">
        <f>"1552374541578309"</f>
        <v>1552374541578309</v>
      </c>
      <c r="C9022" t="s">
        <v>40</v>
      </c>
      <c r="D9022">
        <v>4.9804029999999999</v>
      </c>
      <c r="E9022">
        <v>0.6693403</v>
      </c>
      <c r="F9022" t="s">
        <v>43</v>
      </c>
      <c r="G9022">
        <v>-304.67180000000002</v>
      </c>
      <c r="H9022">
        <v>-0.05</v>
      </c>
      <c r="I9022">
        <v>0.90525820000000001</v>
      </c>
      <c r="J9022">
        <v>-308.29989999999998</v>
      </c>
      <c r="K9022">
        <v>1.0543530000000001</v>
      </c>
      <c r="L9022">
        <v>11.602169999999999</v>
      </c>
      <c r="M9022">
        <v>0.89589269999999999</v>
      </c>
      <c r="N9022">
        <v>0</v>
      </c>
      <c r="O9022">
        <v>-0.4440537</v>
      </c>
      <c r="P9022">
        <v>0.68340859999999903</v>
      </c>
      <c r="Q9022">
        <v>3.594812E-2</v>
      </c>
      <c r="R9022">
        <v>-0.72915050000000003</v>
      </c>
      <c r="S9022">
        <v>1.0895079999999999</v>
      </c>
      <c r="T9022">
        <v>-0.32011119999999998</v>
      </c>
      <c r="U9022">
        <v>-3.1212460000000002</v>
      </c>
      <c r="V9022">
        <v>0.3505027</v>
      </c>
      <c r="W9022">
        <v>4.3648510000000001E-2</v>
      </c>
      <c r="X9022">
        <v>0.93554409999999999</v>
      </c>
      <c r="Y9022">
        <v>0.69847060000000005</v>
      </c>
      <c r="Z9022">
        <v>7.6639129999999996E-3</v>
      </c>
      <c r="AA9022">
        <v>0.7155977</v>
      </c>
      <c r="AB9022">
        <v>23</v>
      </c>
      <c r="AC9022">
        <v>3.6280999999999599</v>
      </c>
      <c r="AD9022">
        <v>-1.1043529999999999</v>
      </c>
      <c r="AE9022">
        <v>-10.696911800000001</v>
      </c>
      <c r="AF9022">
        <v>7.89749016854066</v>
      </c>
      <c r="AG9022">
        <v>-1.1043529999999999</v>
      </c>
      <c r="AH9022">
        <v>7.9254036620759596</v>
      </c>
      <c r="AI9022">
        <v>95.637083865974205</v>
      </c>
      <c r="AJ9022">
        <v>45.101076562167698</v>
      </c>
      <c r="AK9022">
        <v>11.2428630569642</v>
      </c>
      <c r="AL9022">
        <v>87.498329928109698</v>
      </c>
      <c r="AM9022">
        <v>69.461478740643003</v>
      </c>
      <c r="AN9022">
        <v>1.00000004908865</v>
      </c>
    </row>
    <row r="9023" spans="1:40" x14ac:dyDescent="0.25">
      <c r="A9023" t="str">
        <f>"20190312150901597"</f>
        <v>20190312150901597</v>
      </c>
      <c r="B9023" t="str">
        <f>"1552374541589046"</f>
        <v>1552374541589046</v>
      </c>
      <c r="C9023" t="s">
        <v>40</v>
      </c>
      <c r="D9023">
        <v>5.0194289999999997</v>
      </c>
      <c r="E9023">
        <v>0.66943379999999997</v>
      </c>
      <c r="F9023" t="s">
        <v>43</v>
      </c>
      <c r="G9023">
        <v>-304.63600000000002</v>
      </c>
      <c r="H9023">
        <v>-0.05</v>
      </c>
      <c r="I9023">
        <v>0.77032469999999997</v>
      </c>
      <c r="J9023">
        <v>-308.161</v>
      </c>
      <c r="K9023">
        <v>1.0542750000000001</v>
      </c>
      <c r="L9023">
        <v>11.52444</v>
      </c>
      <c r="M9023">
        <v>0.89273419999999903</v>
      </c>
      <c r="N9023">
        <v>0</v>
      </c>
      <c r="O9023">
        <v>-0.45036999999999999</v>
      </c>
      <c r="P9023">
        <v>0.67841280000000004</v>
      </c>
      <c r="Q9023">
        <v>3.5617169999999997E-2</v>
      </c>
      <c r="R9023">
        <v>-0.73381759999999996</v>
      </c>
      <c r="S9023">
        <v>1.06073</v>
      </c>
      <c r="T9023">
        <v>-0.31972089999999997</v>
      </c>
      <c r="U9023">
        <v>-3.1359249999999999</v>
      </c>
      <c r="V9023">
        <v>0.350302</v>
      </c>
      <c r="W9023">
        <v>4.326406E-2</v>
      </c>
      <c r="X9023">
        <v>0.9356371</v>
      </c>
      <c r="Y9023">
        <v>0.7003528</v>
      </c>
      <c r="Z9023">
        <v>8.2445219999999902E-3</v>
      </c>
      <c r="AA9023">
        <v>0.71374930000000003</v>
      </c>
      <c r="AB9023">
        <v>23</v>
      </c>
      <c r="AC9023">
        <v>3.5250000000000301</v>
      </c>
      <c r="AD9023">
        <v>-1.1042749999999999</v>
      </c>
      <c r="AE9023">
        <v>-10.7541153</v>
      </c>
      <c r="AF9023">
        <v>7.9382036831598803</v>
      </c>
      <c r="AG9023">
        <v>-1.1042749999999999</v>
      </c>
      <c r="AH9023">
        <v>7.9156231725255797</v>
      </c>
      <c r="AI9023">
        <v>95.625763968017594</v>
      </c>
      <c r="AJ9023">
        <v>44.918394019593997</v>
      </c>
      <c r="AK9023">
        <v>11.2646167800055</v>
      </c>
      <c r="AL9023">
        <v>87.5203780618114</v>
      </c>
      <c r="AM9023">
        <v>69.474128352270895</v>
      </c>
      <c r="AN9023">
        <v>1.0000000264940401</v>
      </c>
    </row>
    <row r="9024" spans="1:40" x14ac:dyDescent="0.25">
      <c r="A9024" t="str">
        <f>"20190312150901612"</f>
        <v>20190312150901612</v>
      </c>
      <c r="B9024" t="str">
        <f>"1552374541608565"</f>
        <v>1552374541608565</v>
      </c>
      <c r="C9024" t="s">
        <v>40</v>
      </c>
      <c r="D9024">
        <v>5.0476429999999999</v>
      </c>
      <c r="E9024">
        <v>0.66954919999999996</v>
      </c>
      <c r="F9024" t="s">
        <v>43</v>
      </c>
      <c r="G9024">
        <v>-304.60680000000002</v>
      </c>
      <c r="H9024">
        <v>-0.05</v>
      </c>
      <c r="I9024">
        <v>0.76077269999999997</v>
      </c>
      <c r="J9024">
        <v>-308.0299</v>
      </c>
      <c r="K9024">
        <v>1.0542039999999999</v>
      </c>
      <c r="L9024">
        <v>11.449949999999999</v>
      </c>
      <c r="M9024">
        <v>0.88966749999999895</v>
      </c>
      <c r="N9024">
        <v>0</v>
      </c>
      <c r="O9024">
        <v>-0.45639800000000003</v>
      </c>
      <c r="P9024">
        <v>0.67357579999999995</v>
      </c>
      <c r="Q9024">
        <v>3.5661999999999999E-2</v>
      </c>
      <c r="R9024">
        <v>-0.73825750000000001</v>
      </c>
      <c r="S9024">
        <v>1.0381769999999999</v>
      </c>
      <c r="T9024">
        <v>-0.3225595</v>
      </c>
      <c r="U9024">
        <v>-3.1440730000000001</v>
      </c>
      <c r="V9024">
        <v>0.35012779999999999</v>
      </c>
      <c r="W9024">
        <v>4.3258350000000001E-2</v>
      </c>
      <c r="X9024">
        <v>0.93570260000000005</v>
      </c>
      <c r="Y9024">
        <v>0.70069459999999995</v>
      </c>
      <c r="Z9024">
        <v>8.9993219999999902E-3</v>
      </c>
      <c r="AA9024">
        <v>0.71340459999999895</v>
      </c>
      <c r="AB9024">
        <v>23</v>
      </c>
      <c r="AC9024">
        <v>3.4230999999999701</v>
      </c>
      <c r="AD9024">
        <v>-1.104204</v>
      </c>
      <c r="AE9024">
        <v>-10.689177300000001</v>
      </c>
      <c r="AF9024">
        <v>7.8720926702056904</v>
      </c>
      <c r="AG9024">
        <v>-1.104204</v>
      </c>
      <c r="AH9024">
        <v>7.8487387403779501</v>
      </c>
      <c r="AI9024">
        <v>95.672684899858297</v>
      </c>
      <c r="AJ9024">
        <v>44.914884868686499</v>
      </c>
      <c r="AK9024">
        <v>11.1710254362181</v>
      </c>
      <c r="AL9024">
        <v>87.520705606462101</v>
      </c>
      <c r="AM9024">
        <v>69.484801489182203</v>
      </c>
      <c r="AN9024">
        <v>1.00000005841215</v>
      </c>
    </row>
    <row r="9025" spans="1:40" x14ac:dyDescent="0.25">
      <c r="A9025" t="str">
        <f>"20190312150901631"</f>
        <v>20190312150901631</v>
      </c>
      <c r="B9025" t="str">
        <f>"1552374541628086"</f>
        <v>1552374541628086</v>
      </c>
      <c r="C9025" t="s">
        <v>40</v>
      </c>
      <c r="D9025">
        <v>4.9928520000000001</v>
      </c>
      <c r="E9025">
        <v>0.66896290000000003</v>
      </c>
      <c r="F9025" t="s">
        <v>43</v>
      </c>
      <c r="G9025">
        <v>-304.61070000000001</v>
      </c>
      <c r="H9025">
        <v>-0.05</v>
      </c>
      <c r="I9025">
        <v>0.85057070000000001</v>
      </c>
      <c r="J9025">
        <v>-307.8673</v>
      </c>
      <c r="K9025">
        <v>1.0541130000000001</v>
      </c>
      <c r="L9025">
        <v>11.3558</v>
      </c>
      <c r="M9025">
        <v>0.88573480000000004</v>
      </c>
      <c r="N9025">
        <v>0</v>
      </c>
      <c r="O9025">
        <v>-0.4639839</v>
      </c>
      <c r="P9025">
        <v>0.66697869999999904</v>
      </c>
      <c r="Q9025">
        <v>3.5934380000000002E-2</v>
      </c>
      <c r="R9025">
        <v>-0.74421000000000004</v>
      </c>
      <c r="S9025">
        <v>1.0167539999999999</v>
      </c>
      <c r="T9025">
        <v>-0.32834550000000001</v>
      </c>
      <c r="U9025">
        <v>-3.1518250000000001</v>
      </c>
      <c r="V9025">
        <v>0.35046149999999998</v>
      </c>
      <c r="W9025">
        <v>4.3456050000000003E-2</v>
      </c>
      <c r="X9025">
        <v>0.93556850000000003</v>
      </c>
      <c r="Y9025">
        <v>0.69949890000000003</v>
      </c>
      <c r="Z9025">
        <v>1.0152660000000001E-2</v>
      </c>
      <c r="AA9025">
        <v>0.71456160000000002</v>
      </c>
      <c r="AB9025">
        <v>22</v>
      </c>
      <c r="AC9025">
        <v>3.2565999999999899</v>
      </c>
      <c r="AD9025">
        <v>-1.1041129999999999</v>
      </c>
      <c r="AE9025">
        <v>-10.5052293</v>
      </c>
      <c r="AF9025">
        <v>7.7168199890708298</v>
      </c>
      <c r="AG9025">
        <v>-1.1041129999999999</v>
      </c>
      <c r="AH9025">
        <v>7.6820708074349797</v>
      </c>
      <c r="AI9025">
        <v>95.790002253936194</v>
      </c>
      <c r="AJ9025">
        <v>44.870706397229497</v>
      </c>
      <c r="AK9025">
        <v>10.9445232034537</v>
      </c>
      <c r="AL9025">
        <v>87.509367560415996</v>
      </c>
      <c r="AM9025">
        <v>69.464182309674698</v>
      </c>
      <c r="AN9025">
        <v>1.0000000547280401</v>
      </c>
    </row>
    <row r="9026" spans="1:40" x14ac:dyDescent="0.25">
      <c r="A9026" t="str">
        <f>"20190312150901646"</f>
        <v>20190312150901646</v>
      </c>
      <c r="B9026" t="str">
        <f>"1552374541638822"</f>
        <v>1552374541638822</v>
      </c>
      <c r="C9026" t="s">
        <v>40</v>
      </c>
      <c r="D9026">
        <v>4.9993809999999996</v>
      </c>
      <c r="E9026">
        <v>0.66886610000000002</v>
      </c>
      <c r="F9026" t="s">
        <v>43</v>
      </c>
      <c r="G9026">
        <v>-304.52719999999999</v>
      </c>
      <c r="H9026">
        <v>-0.05</v>
      </c>
      <c r="I9026">
        <v>0.72233579999999997</v>
      </c>
      <c r="J9026">
        <v>-307.73160000000001</v>
      </c>
      <c r="K9026">
        <v>1.054038</v>
      </c>
      <c r="L9026">
        <v>11.27585</v>
      </c>
      <c r="M9026">
        <v>0.88234690000000005</v>
      </c>
      <c r="N9026">
        <v>0</v>
      </c>
      <c r="O9026">
        <v>-0.4703946</v>
      </c>
      <c r="P9026">
        <v>0.66154429999999997</v>
      </c>
      <c r="Q9026">
        <v>3.5927399999999998E-2</v>
      </c>
      <c r="R9026">
        <v>-0.74904499999999996</v>
      </c>
      <c r="S9026">
        <v>0.99194340000000003</v>
      </c>
      <c r="T9026">
        <v>-0.3278991</v>
      </c>
      <c r="U9026">
        <v>-3.1579280000000001</v>
      </c>
      <c r="V9026">
        <v>0.3504948</v>
      </c>
      <c r="W9026">
        <v>4.3392680000000003E-2</v>
      </c>
      <c r="X9026">
        <v>0.93555889999999997</v>
      </c>
      <c r="Y9026">
        <v>0.69984250000000003</v>
      </c>
      <c r="Z9026">
        <v>1.088952E-2</v>
      </c>
      <c r="AA9026">
        <v>0.71421420000000002</v>
      </c>
      <c r="AB9026">
        <v>22</v>
      </c>
      <c r="AC9026">
        <v>3.2044000000000201</v>
      </c>
      <c r="AD9026">
        <v>-1.1040379999999901</v>
      </c>
      <c r="AE9026">
        <v>-10.553514199999899</v>
      </c>
      <c r="AF9026">
        <v>7.7278466099983296</v>
      </c>
      <c r="AG9026">
        <v>-1.1040379999999901</v>
      </c>
      <c r="AH9026">
        <v>7.7151529805086199</v>
      </c>
      <c r="AI9026">
        <v>95.773199669677297</v>
      </c>
      <c r="AJ9026">
        <v>44.952904794926098</v>
      </c>
      <c r="AK9026">
        <v>10.9755227048992</v>
      </c>
      <c r="AL9026">
        <v>87.5130016668857</v>
      </c>
      <c r="AM9026">
        <v>69.462200788184603</v>
      </c>
      <c r="AN9026">
        <v>0.99999999243691595</v>
      </c>
    </row>
    <row r="9027" spans="1:40" x14ac:dyDescent="0.25">
      <c r="A9027" t="str">
        <f>"20190312150901663"</f>
        <v>20190312150901663</v>
      </c>
      <c r="B9027" t="str">
        <f>"1552374541658341"</f>
        <v>1552374541658341</v>
      </c>
      <c r="C9027" t="s">
        <v>40</v>
      </c>
      <c r="D9027">
        <v>5.0373749999999999</v>
      </c>
      <c r="E9027">
        <v>0.66852299999999998</v>
      </c>
      <c r="F9027" t="s">
        <v>43</v>
      </c>
      <c r="G9027">
        <v>-304.47539999999998</v>
      </c>
      <c r="H9027">
        <v>-0.05</v>
      </c>
      <c r="I9027">
        <v>0.6450958</v>
      </c>
      <c r="J9027">
        <v>-307.58150000000001</v>
      </c>
      <c r="K9027">
        <v>1.0539529999999999</v>
      </c>
      <c r="L9027">
        <v>11.18552</v>
      </c>
      <c r="M9027">
        <v>0.87846999999999997</v>
      </c>
      <c r="N9027">
        <v>0</v>
      </c>
      <c r="O9027">
        <v>-0.4775953</v>
      </c>
      <c r="P9027">
        <v>0.65504980000000002</v>
      </c>
      <c r="Q9027">
        <v>3.5709619999999997E-2</v>
      </c>
      <c r="R9027">
        <v>-0.75474169999999996</v>
      </c>
      <c r="S9027">
        <v>0.96936040000000001</v>
      </c>
      <c r="T9027">
        <v>-0.32867089999999999</v>
      </c>
      <c r="U9027">
        <v>-3.1647639999999999</v>
      </c>
      <c r="V9027">
        <v>0.35093849999999999</v>
      </c>
      <c r="W9027">
        <v>4.3106850000000002E-2</v>
      </c>
      <c r="X9027">
        <v>0.93540579999999995</v>
      </c>
      <c r="Y9027">
        <v>0.69911610000000002</v>
      </c>
      <c r="Z9027">
        <v>1.183682E-2</v>
      </c>
      <c r="AA9027">
        <v>0.71491009999999999</v>
      </c>
      <c r="AB9027">
        <v>22</v>
      </c>
      <c r="AC9027">
        <v>3.1061000000000201</v>
      </c>
      <c r="AD9027">
        <v>-1.103953</v>
      </c>
      <c r="AE9027">
        <v>-10.5404242</v>
      </c>
      <c r="AF9027">
        <v>7.6990326609782596</v>
      </c>
      <c r="AG9027">
        <v>-1.103953</v>
      </c>
      <c r="AH9027">
        <v>7.68584947170514</v>
      </c>
      <c r="AI9027">
        <v>95.794416908710303</v>
      </c>
      <c r="AJ9027">
        <v>44.9509036913975</v>
      </c>
      <c r="AK9027">
        <v>10.9346283998464</v>
      </c>
      <c r="AL9027">
        <v>87.529393928621005</v>
      </c>
      <c r="AM9027">
        <v>69.435292011408706</v>
      </c>
      <c r="AN9027">
        <v>1.0000000209864</v>
      </c>
    </row>
    <row r="9028" spans="1:40" x14ac:dyDescent="0.25">
      <c r="A9028" t="str">
        <f>"20190312150901674"</f>
        <v>20190312150901674</v>
      </c>
      <c r="B9028" t="str">
        <f>"1552374541668101"</f>
        <v>1552374541668101</v>
      </c>
      <c r="C9028" t="s">
        <v>40</v>
      </c>
      <c r="D9028">
        <v>5.0249810000000004</v>
      </c>
      <c r="E9028">
        <v>0.66820159999999995</v>
      </c>
      <c r="F9028" t="s">
        <v>43</v>
      </c>
      <c r="G9028">
        <v>-304.435</v>
      </c>
      <c r="H9028">
        <v>-0.05</v>
      </c>
      <c r="I9028">
        <v>0.60966489999999995</v>
      </c>
      <c r="J9028">
        <v>-307.47809999999998</v>
      </c>
      <c r="K9028">
        <v>1.053898</v>
      </c>
      <c r="L9028">
        <v>11.12195</v>
      </c>
      <c r="M9028">
        <v>0.87571259999999995</v>
      </c>
      <c r="N9028">
        <v>0</v>
      </c>
      <c r="O9028">
        <v>-0.48263220000000001</v>
      </c>
      <c r="P9028">
        <v>0.65058680000000002</v>
      </c>
      <c r="Q9028">
        <v>3.567348E-2</v>
      </c>
      <c r="R9028">
        <v>-0.75859390000000004</v>
      </c>
      <c r="S9028">
        <v>0.94360350000000004</v>
      </c>
      <c r="T9028">
        <v>-0.33106180000000002</v>
      </c>
      <c r="U9028">
        <v>-3.17157</v>
      </c>
      <c r="V9028">
        <v>0.35109059999999997</v>
      </c>
      <c r="W9028">
        <v>4.3029680000000001E-2</v>
      </c>
      <c r="X9028">
        <v>0.93535230000000003</v>
      </c>
      <c r="Y9028">
        <v>0.70075449999999995</v>
      </c>
      <c r="Z9028">
        <v>1.242353E-2</v>
      </c>
      <c r="AA9028">
        <v>0.71329430000000005</v>
      </c>
      <c r="AB9028">
        <v>22</v>
      </c>
      <c r="AC9028">
        <v>3.0430999999999799</v>
      </c>
      <c r="AD9028">
        <v>-1.103898</v>
      </c>
      <c r="AE9028">
        <v>-10.5122851</v>
      </c>
      <c r="AF9028">
        <v>7.6598559916753803</v>
      </c>
      <c r="AG9028">
        <v>-1.103898</v>
      </c>
      <c r="AH9028">
        <v>7.6612477956681602</v>
      </c>
      <c r="AI9028">
        <v>95.818086838300502</v>
      </c>
      <c r="AJ9028">
        <v>45.005204879203397</v>
      </c>
      <c r="AK9028">
        <v>10.8897521732241</v>
      </c>
      <c r="AL9028">
        <v>87.533819606875994</v>
      </c>
      <c r="AM9028">
        <v>69.426047354229098</v>
      </c>
      <c r="AN9028">
        <v>1.00000004394227</v>
      </c>
    </row>
    <row r="9029" spans="1:40" x14ac:dyDescent="0.25">
      <c r="A9029" t="str">
        <f>"20190312150901687"</f>
        <v>20190312150901687</v>
      </c>
      <c r="B9029" t="str">
        <f>"1552374541678837"</f>
        <v>1552374541678837</v>
      </c>
      <c r="C9029" t="s">
        <v>40</v>
      </c>
      <c r="D9029">
        <v>5.052308</v>
      </c>
      <c r="E9029">
        <v>0.66783090000000001</v>
      </c>
      <c r="F9029" t="s">
        <v>43</v>
      </c>
      <c r="G9029">
        <v>-304.39299999999997</v>
      </c>
      <c r="H9029">
        <v>-0.05</v>
      </c>
      <c r="I9029">
        <v>0.54656979999999999</v>
      </c>
      <c r="J9029">
        <v>-307.37400000000002</v>
      </c>
      <c r="K9029">
        <v>1.053841</v>
      </c>
      <c r="L9029">
        <v>11.057460000000001</v>
      </c>
      <c r="M9029">
        <v>0.87288589999999999</v>
      </c>
      <c r="N9029">
        <v>0</v>
      </c>
      <c r="O9029">
        <v>-0.48772589999999999</v>
      </c>
      <c r="P9029">
        <v>0.64590999999999998</v>
      </c>
      <c r="Q9029">
        <v>3.554881E-2</v>
      </c>
      <c r="R9029">
        <v>-0.76258590000000004</v>
      </c>
      <c r="S9029">
        <v>0.92645259999999996</v>
      </c>
      <c r="T9029">
        <v>-0.33149699999999999</v>
      </c>
      <c r="U9029">
        <v>-3.175751</v>
      </c>
      <c r="V9029">
        <v>0.35140169999999998</v>
      </c>
      <c r="W9029">
        <v>4.2859609999999999E-2</v>
      </c>
      <c r="X9029">
        <v>0.93524320000000005</v>
      </c>
      <c r="Y9029">
        <v>0.70041690000000001</v>
      </c>
      <c r="Z9029">
        <v>1.309137E-2</v>
      </c>
      <c r="AA9029">
        <v>0.71361390000000002</v>
      </c>
      <c r="AB9029">
        <v>22</v>
      </c>
      <c r="AC9029">
        <v>2.9810000000000501</v>
      </c>
      <c r="AD9029">
        <v>-1.1038410000000001</v>
      </c>
      <c r="AE9029">
        <v>-10.510890199999899</v>
      </c>
      <c r="AF9029">
        <v>7.643619512441</v>
      </c>
      <c r="AG9029">
        <v>-1.1038410000000001</v>
      </c>
      <c r="AH9029">
        <v>7.6511526582726299</v>
      </c>
      <c r="AI9029">
        <v>95.827734880375104</v>
      </c>
      <c r="AJ9029">
        <v>45.02821993181</v>
      </c>
      <c r="AK9029">
        <v>10.8712244574584</v>
      </c>
      <c r="AL9029">
        <v>87.543572720815007</v>
      </c>
      <c r="AM9029">
        <v>69.407145447654699</v>
      </c>
      <c r="AN9029">
        <v>0.99999997203923996</v>
      </c>
    </row>
    <row r="9030" spans="1:40" x14ac:dyDescent="0.25">
      <c r="A9030" t="str">
        <f>"20190312150901698"</f>
        <v>20190312150901698</v>
      </c>
      <c r="B9030" t="str">
        <f>"1552374541688597"</f>
        <v>1552374541688597</v>
      </c>
      <c r="C9030" t="s">
        <v>40</v>
      </c>
      <c r="D9030">
        <v>5.004626</v>
      </c>
      <c r="E9030">
        <v>0.66746819999999996</v>
      </c>
      <c r="F9030" t="s">
        <v>43</v>
      </c>
      <c r="G9030">
        <v>-304.35340000000002</v>
      </c>
      <c r="H9030">
        <v>-0.05</v>
      </c>
      <c r="I9030">
        <v>0.49288939999999998</v>
      </c>
      <c r="J9030">
        <v>-307.26670000000001</v>
      </c>
      <c r="K9030">
        <v>1.053787</v>
      </c>
      <c r="L9030">
        <v>10.98978</v>
      </c>
      <c r="M9030">
        <v>0.86988880000000002</v>
      </c>
      <c r="N9030">
        <v>0</v>
      </c>
      <c r="O9030">
        <v>-0.49305100000000002</v>
      </c>
      <c r="P9030">
        <v>0.64113100000000001</v>
      </c>
      <c r="Q9030">
        <v>3.5324080000000001E-2</v>
      </c>
      <c r="R9030">
        <v>-0.76661809999999997</v>
      </c>
      <c r="S9030">
        <v>0.90905760000000002</v>
      </c>
      <c r="T9030">
        <v>-0.33220769999999999</v>
      </c>
      <c r="U9030">
        <v>-3.1794739999999999</v>
      </c>
      <c r="V9030">
        <v>0.35154340000000001</v>
      </c>
      <c r="W9030">
        <v>4.2590900000000001E-2</v>
      </c>
      <c r="X9030">
        <v>0.93520219999999998</v>
      </c>
      <c r="Y9030">
        <v>0.69990030000000003</v>
      </c>
      <c r="Z9030">
        <v>1.3816989999999999E-2</v>
      </c>
      <c r="AA9030">
        <v>0.71410699999999905</v>
      </c>
      <c r="AB9030">
        <v>22</v>
      </c>
      <c r="AC9030">
        <v>2.9132999999999898</v>
      </c>
      <c r="AD9030">
        <v>-1.1037870000000001</v>
      </c>
      <c r="AE9030">
        <v>-10.4968906</v>
      </c>
      <c r="AF9030">
        <v>7.6172666790241799</v>
      </c>
      <c r="AG9030">
        <v>-1.1037870000000001</v>
      </c>
      <c r="AH9030">
        <v>7.6321427717659702</v>
      </c>
      <c r="AI9030">
        <v>95.8446648971521</v>
      </c>
      <c r="AJ9030">
        <v>45.0558931191485</v>
      </c>
      <c r="AK9030">
        <v>10.8393127406381</v>
      </c>
      <c r="AL9030">
        <v>87.558982690005394</v>
      </c>
      <c r="AM9030">
        <v>69.398711500211604</v>
      </c>
      <c r="AN9030">
        <v>0.999999950865603</v>
      </c>
    </row>
    <row r="9031" spans="1:40" x14ac:dyDescent="0.25">
      <c r="A9031" t="str">
        <f>"20190312150901712"</f>
        <v>20190312150901712</v>
      </c>
      <c r="B9031" t="str">
        <f>"1552374541708116"</f>
        <v>1552374541708116</v>
      </c>
      <c r="C9031" t="s">
        <v>40</v>
      </c>
      <c r="D9031">
        <v>5.0591730000000004</v>
      </c>
      <c r="E9031">
        <v>0.66684370000000004</v>
      </c>
      <c r="F9031" t="s">
        <v>43</v>
      </c>
      <c r="G9031">
        <v>-304.31990000000002</v>
      </c>
      <c r="H9031">
        <v>-0.05</v>
      </c>
      <c r="I9031">
        <v>0.462204</v>
      </c>
      <c r="J9031">
        <v>-307.1592</v>
      </c>
      <c r="K9031">
        <v>1.0537270000000001</v>
      </c>
      <c r="L9031">
        <v>10.92102</v>
      </c>
      <c r="M9031">
        <v>0.86681129999999995</v>
      </c>
      <c r="N9031">
        <v>0</v>
      </c>
      <c r="O9031">
        <v>-0.49844129999999998</v>
      </c>
      <c r="P9031">
        <v>0.63629239999999998</v>
      </c>
      <c r="Q9031">
        <v>3.4989099999999898E-2</v>
      </c>
      <c r="R9031">
        <v>-0.77065450000000002</v>
      </c>
      <c r="S9031">
        <v>0.89108279999999995</v>
      </c>
      <c r="T9031">
        <v>-0.33377560000000001</v>
      </c>
      <c r="U9031">
        <v>-3.1834410000000002</v>
      </c>
      <c r="V9031">
        <v>0.35163939999999999</v>
      </c>
      <c r="W9031">
        <v>4.2212649999999997E-2</v>
      </c>
      <c r="X9031">
        <v>0.93518330000000005</v>
      </c>
      <c r="Y9031">
        <v>0.69944680000000004</v>
      </c>
      <c r="Z9031">
        <v>1.4587630000000001E-2</v>
      </c>
      <c r="AA9031">
        <v>0.71453580000000005</v>
      </c>
      <c r="AB9031">
        <v>22</v>
      </c>
      <c r="AC9031">
        <v>2.83929999999997</v>
      </c>
      <c r="AD9031">
        <v>-1.1037269999999999</v>
      </c>
      <c r="AE9031">
        <v>-10.458816000000001</v>
      </c>
      <c r="AF9031">
        <v>7.5727919702628403</v>
      </c>
      <c r="AG9031">
        <v>-1.1037269999999999</v>
      </c>
      <c r="AH9031">
        <v>7.5961991401716498</v>
      </c>
      <c r="AI9031">
        <v>95.875112848988493</v>
      </c>
      <c r="AJ9031">
        <v>45.088412668442103</v>
      </c>
      <c r="AK9031">
        <v>10.7827470012307</v>
      </c>
      <c r="AL9031">
        <v>87.5806744231854</v>
      </c>
      <c r="AM9031">
        <v>69.393176884670396</v>
      </c>
      <c r="AN9031">
        <v>0.999999990025636</v>
      </c>
    </row>
    <row r="9032" spans="1:40" x14ac:dyDescent="0.25">
      <c r="A9032" t="str">
        <f>"20190312150901726"</f>
        <v>20190312150901726</v>
      </c>
      <c r="B9032" t="str">
        <f>"1552374541718854"</f>
        <v>1552374541718854</v>
      </c>
      <c r="C9032" t="s">
        <v>40</v>
      </c>
      <c r="D9032">
        <v>4.9765759999999997</v>
      </c>
      <c r="E9032">
        <v>0.66644049999999999</v>
      </c>
      <c r="F9032" t="s">
        <v>43</v>
      </c>
      <c r="G9032">
        <v>-304.29820000000001</v>
      </c>
      <c r="H9032">
        <v>-0.05</v>
      </c>
      <c r="I9032">
        <v>0.4934692</v>
      </c>
      <c r="J9032">
        <v>-307.04020000000003</v>
      </c>
      <c r="K9032">
        <v>1.0536570000000001</v>
      </c>
      <c r="L9032">
        <v>10.84393</v>
      </c>
      <c r="M9032">
        <v>0.86332369999999903</v>
      </c>
      <c r="N9032">
        <v>0</v>
      </c>
      <c r="O9032">
        <v>-0.50445770000000001</v>
      </c>
      <c r="P9032">
        <v>0.63088</v>
      </c>
      <c r="Q9032">
        <v>3.4900830000000001E-2</v>
      </c>
      <c r="R9032">
        <v>-0.77509530000000004</v>
      </c>
      <c r="S9032">
        <v>0.87423709999999899</v>
      </c>
      <c r="T9032">
        <v>-0.33725850000000002</v>
      </c>
      <c r="U9032">
        <v>-3.1862789999999999</v>
      </c>
      <c r="V9032">
        <v>0.35169349999999999</v>
      </c>
      <c r="W9032">
        <v>4.2077339999999998E-2</v>
      </c>
      <c r="X9032">
        <v>0.93516909999999998</v>
      </c>
      <c r="Y9032">
        <v>0.69815519999999998</v>
      </c>
      <c r="Z9032">
        <v>1.559615E-2</v>
      </c>
      <c r="AA9032">
        <v>0.71577659999999999</v>
      </c>
      <c r="AB9032">
        <v>22</v>
      </c>
      <c r="AC9032">
        <v>2.7420000000000102</v>
      </c>
      <c r="AD9032">
        <v>-1.1036569999999899</v>
      </c>
      <c r="AE9032">
        <v>-10.3504608</v>
      </c>
      <c r="AF9032">
        <v>7.4739066553404996</v>
      </c>
      <c r="AG9032">
        <v>-1.1036569999999899</v>
      </c>
      <c r="AH9032">
        <v>7.5095595157221098</v>
      </c>
      <c r="AI9032">
        <v>95.946955934751799</v>
      </c>
      <c r="AJ9032">
        <v>45.136333912915099</v>
      </c>
      <c r="AK9032">
        <v>10.6522684713897</v>
      </c>
      <c r="AL9032">
        <v>87.588434113340099</v>
      </c>
      <c r="AM9032">
        <v>69.389986334592294</v>
      </c>
      <c r="AN9032">
        <v>1.00000003303926</v>
      </c>
    </row>
    <row r="9033" spans="1:40" x14ac:dyDescent="0.25">
      <c r="A9033" t="str">
        <f>"20190312150901742"</f>
        <v>20190312150901742</v>
      </c>
      <c r="B9033" t="str">
        <f>"1552374541738373"</f>
        <v>1552374541738373</v>
      </c>
      <c r="C9033" t="s">
        <v>40</v>
      </c>
      <c r="D9033">
        <v>5.0123329999999999</v>
      </c>
      <c r="E9033">
        <v>0.66571650000000004</v>
      </c>
      <c r="F9033" t="s">
        <v>43</v>
      </c>
      <c r="G9033">
        <v>-304.25099999999998</v>
      </c>
      <c r="H9033">
        <v>-0.05</v>
      </c>
      <c r="I9033">
        <v>0.42932130000000002</v>
      </c>
      <c r="J9033">
        <v>-306.90219999999999</v>
      </c>
      <c r="K9033">
        <v>1.053566</v>
      </c>
      <c r="L9033">
        <v>10.752689999999999</v>
      </c>
      <c r="M9033">
        <v>0.85914400000000002</v>
      </c>
      <c r="N9033">
        <v>0</v>
      </c>
      <c r="O9033">
        <v>-0.51154319999999998</v>
      </c>
      <c r="P9033">
        <v>0.62427999999999995</v>
      </c>
      <c r="Q9033">
        <v>3.428751E-2</v>
      </c>
      <c r="R9033">
        <v>-0.78044809999999998</v>
      </c>
      <c r="S9033">
        <v>0.85440059999999995</v>
      </c>
      <c r="T9033">
        <v>-0.33808359999999998</v>
      </c>
      <c r="U9033">
        <v>-3.1903079999999999</v>
      </c>
      <c r="V9033">
        <v>0.35195690000000002</v>
      </c>
      <c r="W9033">
        <v>4.1404629999999998E-2</v>
      </c>
      <c r="X9033">
        <v>0.93510000000000004</v>
      </c>
      <c r="Y9033">
        <v>0.69666740000000005</v>
      </c>
      <c r="Z9033">
        <v>1.6642540000000001E-2</v>
      </c>
      <c r="AA9033">
        <v>0.71720119999999998</v>
      </c>
      <c r="AB9033">
        <v>22</v>
      </c>
      <c r="AC9033">
        <v>2.65120000000001</v>
      </c>
      <c r="AD9033">
        <v>-1.103566</v>
      </c>
      <c r="AE9033">
        <v>-10.3233687</v>
      </c>
      <c r="AF9033">
        <v>7.43409288341911</v>
      </c>
      <c r="AG9033">
        <v>-1.103566</v>
      </c>
      <c r="AH9033">
        <v>7.4791687783720802</v>
      </c>
      <c r="AI9033">
        <v>95.974249945515496</v>
      </c>
      <c r="AJ9033">
        <v>45.173178123764302</v>
      </c>
      <c r="AK9033">
        <v>10.6029034010045</v>
      </c>
      <c r="AL9033">
        <v>87.6270111146831</v>
      </c>
      <c r="AM9033">
        <v>69.374453567840803</v>
      </c>
      <c r="AN9033">
        <v>1.00000000642152</v>
      </c>
    </row>
    <row r="9034" spans="1:40" x14ac:dyDescent="0.25">
      <c r="A9034" t="str">
        <f>"20190312150901755"</f>
        <v>20190312150901755</v>
      </c>
      <c r="B9034" t="str">
        <f>"1552374541748133"</f>
        <v>1552374541748133</v>
      </c>
      <c r="C9034" t="s">
        <v>40</v>
      </c>
      <c r="D9034">
        <v>5.0522850000000004</v>
      </c>
      <c r="E9034">
        <v>0.66538549999999996</v>
      </c>
      <c r="F9034" t="s">
        <v>43</v>
      </c>
      <c r="G9034">
        <v>-304.19580000000002</v>
      </c>
      <c r="H9034">
        <v>-0.05</v>
      </c>
      <c r="I9034">
        <v>0.35095209999999999</v>
      </c>
      <c r="J9034">
        <v>-306.78379999999999</v>
      </c>
      <c r="K9034">
        <v>1.0534950000000001</v>
      </c>
      <c r="L9034">
        <v>10.672879999999999</v>
      </c>
      <c r="M9034">
        <v>0.855442499999999</v>
      </c>
      <c r="N9034">
        <v>0</v>
      </c>
      <c r="O9034">
        <v>-0.51770899999999997</v>
      </c>
      <c r="P9034">
        <v>0.618672</v>
      </c>
      <c r="Q9034">
        <v>3.3976439999999997E-2</v>
      </c>
      <c r="R9034">
        <v>-0.78491469999999997</v>
      </c>
      <c r="S9034">
        <v>0.83105469999999904</v>
      </c>
      <c r="T9034">
        <v>-0.33887509999999998</v>
      </c>
      <c r="U9034">
        <v>-3.1940919999999999</v>
      </c>
      <c r="V9034">
        <v>0.35194510000000001</v>
      </c>
      <c r="W9034">
        <v>4.104874E-2</v>
      </c>
      <c r="X9034">
        <v>0.93512010000000001</v>
      </c>
      <c r="Y9034">
        <v>0.69663730000000001</v>
      </c>
      <c r="Z9034">
        <v>1.7479479999999999E-2</v>
      </c>
      <c r="AA9034">
        <v>0.71721060000000003</v>
      </c>
      <c r="AB9034">
        <v>22</v>
      </c>
      <c r="AC9034">
        <v>2.5879999999999601</v>
      </c>
      <c r="AD9034">
        <v>-1.1034949999999999</v>
      </c>
      <c r="AE9034">
        <v>-10.3219279</v>
      </c>
      <c r="AF9034">
        <v>7.4110243967671297</v>
      </c>
      <c r="AG9034">
        <v>-1.1034949999999999</v>
      </c>
      <c r="AH9034">
        <v>7.4779664108368697</v>
      </c>
      <c r="AI9034">
        <v>95.983502990802293</v>
      </c>
      <c r="AJ9034">
        <v>45.257604365784999</v>
      </c>
      <c r="AK9034">
        <v>10.5858851999304</v>
      </c>
      <c r="AL9034">
        <v>87.647419391042106</v>
      </c>
      <c r="AM9034">
        <v>69.375492875747696</v>
      </c>
      <c r="AN9034">
        <v>0.99999997694680298</v>
      </c>
    </row>
    <row r="9035" spans="1:40" x14ac:dyDescent="0.25">
      <c r="A9035" t="str">
        <f>"20190312150901775"</f>
        <v>20190312150901775</v>
      </c>
      <c r="B9035" t="str">
        <f>"1552374541768159"</f>
        <v>1552374541768159</v>
      </c>
      <c r="C9035" t="s">
        <v>40</v>
      </c>
      <c r="D9035">
        <v>4.9940530000000001</v>
      </c>
      <c r="E9035">
        <v>0.66449230000000004</v>
      </c>
      <c r="F9035" t="s">
        <v>43</v>
      </c>
      <c r="G9035">
        <v>-304.16140000000001</v>
      </c>
      <c r="H9035">
        <v>-0.05</v>
      </c>
      <c r="I9035">
        <v>0.31796259999999998</v>
      </c>
      <c r="J9035">
        <v>-306.6182</v>
      </c>
      <c r="K9035">
        <v>1.0533859999999999</v>
      </c>
      <c r="L9035">
        <v>10.55911</v>
      </c>
      <c r="M9035">
        <v>0.85009369999999995</v>
      </c>
      <c r="N9035">
        <v>0</v>
      </c>
      <c r="O9035">
        <v>-0.52644489999999999</v>
      </c>
      <c r="P9035">
        <v>0.61065559999999997</v>
      </c>
      <c r="Q9035">
        <v>3.3475989999999997E-2</v>
      </c>
      <c r="R9035">
        <v>-0.79118829999999996</v>
      </c>
      <c r="S9035">
        <v>0.80999759999999998</v>
      </c>
      <c r="T9035">
        <v>-0.34084370000000003</v>
      </c>
      <c r="U9035">
        <v>-3.1983950000000001</v>
      </c>
      <c r="V9035">
        <v>0.35189759999999998</v>
      </c>
      <c r="W9035">
        <v>4.0485109999999998E-2</v>
      </c>
      <c r="X9035">
        <v>0.93516250000000001</v>
      </c>
      <c r="Y9035">
        <v>0.69398029999999999</v>
      </c>
      <c r="Z9035">
        <v>1.889683E-2</v>
      </c>
      <c r="AA9035">
        <v>0.719746</v>
      </c>
      <c r="AB9035">
        <v>22</v>
      </c>
      <c r="AC9035">
        <v>2.4567999999999799</v>
      </c>
      <c r="AD9035">
        <v>-1.103386</v>
      </c>
      <c r="AE9035">
        <v>-10.241147399999999</v>
      </c>
      <c r="AF9035">
        <v>7.3328060679968603</v>
      </c>
      <c r="AG9035">
        <v>-1.103386</v>
      </c>
      <c r="AH9035">
        <v>7.3994264039445499</v>
      </c>
      <c r="AI9035">
        <v>96.046107676595199</v>
      </c>
      <c r="AJ9035">
        <v>45.259094340826302</v>
      </c>
      <c r="AK9035">
        <v>10.475639197835999</v>
      </c>
      <c r="AL9035">
        <v>87.679739779453897</v>
      </c>
      <c r="AM9035">
        <v>69.378898506633604</v>
      </c>
      <c r="AN9035">
        <v>0.99999993321185798</v>
      </c>
    </row>
    <row r="9036" spans="1:40" x14ac:dyDescent="0.25">
      <c r="A9036" t="str">
        <f>"20190312150901791"</f>
        <v>20190312150901791</v>
      </c>
      <c r="B9036" t="str">
        <f>"1552374541788655"</f>
        <v>1552374541788655</v>
      </c>
      <c r="C9036" t="s">
        <v>40</v>
      </c>
      <c r="D9036">
        <v>4.995635</v>
      </c>
      <c r="E9036">
        <v>0.66358070000000002</v>
      </c>
      <c r="F9036" t="s">
        <v>43</v>
      </c>
      <c r="G9036">
        <v>-304.0992</v>
      </c>
      <c r="H9036">
        <v>-0.05</v>
      </c>
      <c r="I9036">
        <v>0.24954219999999999</v>
      </c>
      <c r="J9036">
        <v>-306.4889</v>
      </c>
      <c r="K9036">
        <v>1.053302</v>
      </c>
      <c r="L9036">
        <v>10.46841</v>
      </c>
      <c r="M9036">
        <v>0.84576609999999997</v>
      </c>
      <c r="N9036">
        <v>0</v>
      </c>
      <c r="O9036">
        <v>-0.53336939999999999</v>
      </c>
      <c r="P9036">
        <v>0.60411749999999997</v>
      </c>
      <c r="Q9036">
        <v>3.3116359999999997E-2</v>
      </c>
      <c r="R9036">
        <v>-0.79620709999999995</v>
      </c>
      <c r="S9036">
        <v>0.78244019999999903</v>
      </c>
      <c r="T9036">
        <v>-0.34273419999999999</v>
      </c>
      <c r="U9036">
        <v>-3.2023619999999999</v>
      </c>
      <c r="V9036">
        <v>0.35197909999999999</v>
      </c>
      <c r="W9036">
        <v>4.0072499999999997E-2</v>
      </c>
      <c r="X9036">
        <v>0.93514969999999997</v>
      </c>
      <c r="Y9036">
        <v>0.69415749999999998</v>
      </c>
      <c r="Z9036">
        <v>1.9902610000000001E-2</v>
      </c>
      <c r="AA9036">
        <v>0.71954799999999997</v>
      </c>
      <c r="AB9036">
        <v>22</v>
      </c>
      <c r="AC9036">
        <v>2.3896999999999999</v>
      </c>
      <c r="AD9036">
        <v>-1.103302</v>
      </c>
      <c r="AE9036">
        <v>-10.2188678</v>
      </c>
      <c r="AF9036">
        <v>7.2883498456069598</v>
      </c>
      <c r="AG9036">
        <v>-1.103302</v>
      </c>
      <c r="AH9036">
        <v>7.3906093238705699</v>
      </c>
      <c r="AI9036">
        <v>96.067343925121506</v>
      </c>
      <c r="AJ9036">
        <v>45.399138772290797</v>
      </c>
      <c r="AK9036">
        <v>10.438315235383801</v>
      </c>
      <c r="AL9036">
        <v>87.703400008310297</v>
      </c>
      <c r="AM9036">
        <v>69.374266073453697</v>
      </c>
      <c r="AN9036">
        <v>1.0000000267515701</v>
      </c>
    </row>
    <row r="9037" spans="1:40" x14ac:dyDescent="0.25">
      <c r="A9037" t="str">
        <f>"20190312150901808"</f>
        <v>20190312150901808</v>
      </c>
      <c r="B9037" t="str">
        <f>"1552374541798415"</f>
        <v>1552374541798415</v>
      </c>
      <c r="C9037" t="s">
        <v>40</v>
      </c>
      <c r="D9037">
        <v>4.9829540000000003</v>
      </c>
      <c r="E9037">
        <v>0.66358070000000002</v>
      </c>
      <c r="F9037" t="s">
        <v>43</v>
      </c>
      <c r="G9037">
        <v>-304.05579999999998</v>
      </c>
      <c r="H9037">
        <v>-0.05</v>
      </c>
      <c r="I9037">
        <v>0.2323914</v>
      </c>
      <c r="J9037">
        <v>-306.34640000000002</v>
      </c>
      <c r="K9037">
        <v>1.0532079999999999</v>
      </c>
      <c r="L9037">
        <v>10.36652</v>
      </c>
      <c r="M9037">
        <v>0.84083889999999994</v>
      </c>
      <c r="N9037">
        <v>0</v>
      </c>
      <c r="O9037">
        <v>-0.54110309999999995</v>
      </c>
      <c r="P9037">
        <v>0.59673419999999999</v>
      </c>
      <c r="Q9037">
        <v>3.2443109999999997E-2</v>
      </c>
      <c r="R9037">
        <v>-0.80178309999999997</v>
      </c>
      <c r="S9037">
        <v>0.76165769999999899</v>
      </c>
      <c r="T9037">
        <v>-0.34538410000000003</v>
      </c>
      <c r="U9037">
        <v>-3.2043460000000001</v>
      </c>
      <c r="V9037">
        <v>0.35206470000000001</v>
      </c>
      <c r="W9037">
        <v>3.9341609999999999E-2</v>
      </c>
      <c r="X9037">
        <v>0.93514850000000005</v>
      </c>
      <c r="Y9037">
        <v>0.69208769999999997</v>
      </c>
      <c r="Z9037">
        <v>2.1235449999999999E-2</v>
      </c>
      <c r="AA9037">
        <v>0.7215009</v>
      </c>
      <c r="AB9037">
        <v>22</v>
      </c>
      <c r="AC9037">
        <v>2.2906000000000399</v>
      </c>
      <c r="AD9037">
        <v>-1.103208</v>
      </c>
      <c r="AE9037">
        <v>-10.134128599999899</v>
      </c>
      <c r="AF9037">
        <v>7.2012460839197496</v>
      </c>
      <c r="AG9037">
        <v>-1.103208</v>
      </c>
      <c r="AH9037">
        <v>7.3277476523923601</v>
      </c>
      <c r="AI9037">
        <v>96.128894335512896</v>
      </c>
      <c r="AJ9037">
        <v>45.498852361041003</v>
      </c>
      <c r="AK9037">
        <v>10.3330004698333</v>
      </c>
      <c r="AL9037">
        <v>87.745309948226307</v>
      </c>
      <c r="AM9037">
        <v>69.369648132634893</v>
      </c>
      <c r="AN9037">
        <v>1.0000000161578599</v>
      </c>
    </row>
    <row r="9038" spans="1:40" x14ac:dyDescent="0.25">
      <c r="A9038" t="str">
        <f>"20190312150901820"</f>
        <v>20190312150901820</v>
      </c>
      <c r="B9038" t="str">
        <f>"1552374541808176"</f>
        <v>1552374541808176</v>
      </c>
      <c r="C9038" t="s">
        <v>40</v>
      </c>
      <c r="D9038">
        <v>4.998742</v>
      </c>
      <c r="E9038">
        <v>0.6501865</v>
      </c>
      <c r="F9038" t="s">
        <v>43</v>
      </c>
      <c r="G9038">
        <v>-304.0188</v>
      </c>
      <c r="H9038">
        <v>-0.05</v>
      </c>
      <c r="I9038">
        <v>0.146835299999999</v>
      </c>
      <c r="J9038">
        <v>-306.24400000000003</v>
      </c>
      <c r="K9038">
        <v>1.053142</v>
      </c>
      <c r="L9038">
        <v>10.2919</v>
      </c>
      <c r="M9038">
        <v>0.83718879999999996</v>
      </c>
      <c r="N9038">
        <v>0</v>
      </c>
      <c r="O9038">
        <v>-0.54673300000000002</v>
      </c>
      <c r="P9038">
        <v>0.59149370000000001</v>
      </c>
      <c r="Q9038">
        <v>3.2034960000000001E-2</v>
      </c>
      <c r="R9038">
        <v>-0.80567319999999998</v>
      </c>
      <c r="S9038">
        <v>0.73138429999999999</v>
      </c>
      <c r="T9038">
        <v>-0.34666130000000001</v>
      </c>
      <c r="U9038">
        <v>-3.2113339999999999</v>
      </c>
      <c r="V9038">
        <v>0.35189979999999998</v>
      </c>
      <c r="W9038">
        <v>3.8899450000000002E-2</v>
      </c>
      <c r="X9038">
        <v>0.93522910000000004</v>
      </c>
      <c r="Y9038">
        <v>0.69405169999999905</v>
      </c>
      <c r="Z9038">
        <v>2.1918859999999998E-2</v>
      </c>
      <c r="AA9038">
        <v>0.71959139999999999</v>
      </c>
      <c r="AB9038">
        <v>22</v>
      </c>
      <c r="AC9038">
        <v>2.2252000000000201</v>
      </c>
      <c r="AD9038">
        <v>-1.1031420000000001</v>
      </c>
      <c r="AE9038">
        <v>-10.145064699999899</v>
      </c>
      <c r="AF9038">
        <v>7.1962834601636496</v>
      </c>
      <c r="AG9038">
        <v>-1.1031420000000001</v>
      </c>
      <c r="AH9038">
        <v>7.3276248531584702</v>
      </c>
      <c r="AI9038">
        <v>96.130641820004101</v>
      </c>
      <c r="AJ9038">
        <v>45.518118278286401</v>
      </c>
      <c r="AK9038">
        <v>10.329448383133199</v>
      </c>
      <c r="AL9038">
        <v>87.770663339980501</v>
      </c>
      <c r="AM9038">
        <v>69.380125368084904</v>
      </c>
      <c r="AN9038">
        <v>1.00000005296857</v>
      </c>
    </row>
    <row r="9039" spans="1:40" x14ac:dyDescent="0.25">
      <c r="A9039" t="str">
        <f>"20190312150901834"</f>
        <v>20190312150901834</v>
      </c>
      <c r="B9039" t="str">
        <f>"1552374541828672"</f>
        <v>1552374541828672</v>
      </c>
      <c r="C9039" t="s">
        <v>40</v>
      </c>
      <c r="D9039">
        <v>5.0131059999999996</v>
      </c>
      <c r="E9039">
        <v>0.64963789999999999</v>
      </c>
      <c r="F9039" t="s">
        <v>43</v>
      </c>
      <c r="G9039">
        <v>-303.86610000000002</v>
      </c>
      <c r="H9039">
        <v>-0.05</v>
      </c>
      <c r="I9039">
        <v>0.86793519999999902</v>
      </c>
      <c r="J9039">
        <v>-306.13310000000001</v>
      </c>
      <c r="K9039">
        <v>1.053083</v>
      </c>
      <c r="L9039">
        <v>10.20969</v>
      </c>
      <c r="M9039">
        <v>0.83312600000000003</v>
      </c>
      <c r="N9039">
        <v>0</v>
      </c>
      <c r="O9039">
        <v>-0.55290379999999995</v>
      </c>
      <c r="P9039">
        <v>0.58571430000000002</v>
      </c>
      <c r="Q9039">
        <v>3.1669290000000003E-2</v>
      </c>
      <c r="R9039">
        <v>-0.80989919999999904</v>
      </c>
      <c r="S9039">
        <v>0.79580689999999998</v>
      </c>
      <c r="T9039">
        <v>-0.3692011</v>
      </c>
      <c r="U9039">
        <v>-3.1540219999999999</v>
      </c>
      <c r="V9039">
        <v>0.35169260000000002</v>
      </c>
      <c r="W9039">
        <v>3.8499680000000001E-2</v>
      </c>
      <c r="X9039">
        <v>0.93532349999999997</v>
      </c>
      <c r="Y9039">
        <v>0.67169509999999999</v>
      </c>
      <c r="Z9039">
        <v>2.6170780000000001E-2</v>
      </c>
      <c r="AA9039">
        <v>0.7403653</v>
      </c>
      <c r="AB9039">
        <v>22</v>
      </c>
      <c r="AC9039">
        <v>2.2669999999999901</v>
      </c>
      <c r="AD9039">
        <v>-1.103083</v>
      </c>
      <c r="AE9039">
        <v>-9.3417548000000004</v>
      </c>
      <c r="AF9039">
        <v>6.4452056653098202</v>
      </c>
      <c r="AG9039">
        <v>-1.103083</v>
      </c>
      <c r="AH9039">
        <v>6.9628046161062196</v>
      </c>
      <c r="AI9039">
        <v>96.631514879323007</v>
      </c>
      <c r="AJ9039">
        <v>47.210731957766001</v>
      </c>
      <c r="AK9039">
        <v>9.5518645454749205</v>
      </c>
      <c r="AL9039">
        <v>87.793585482812205</v>
      </c>
      <c r="AM9039">
        <v>69.393150949939397</v>
      </c>
      <c r="AN9039">
        <v>0.99999997995355505</v>
      </c>
    </row>
    <row r="9040" spans="1:40" x14ac:dyDescent="0.25">
      <c r="A9040" t="str">
        <f>"20190312150901848"</f>
        <v>20190312150901848</v>
      </c>
      <c r="B9040" t="str">
        <f>"1552374541838432"</f>
        <v>1552374541838432</v>
      </c>
      <c r="C9040" t="s">
        <v>40</v>
      </c>
      <c r="D9040">
        <v>5.0222369999999996</v>
      </c>
      <c r="E9040">
        <v>0.64911260000000004</v>
      </c>
      <c r="F9040" t="s">
        <v>43</v>
      </c>
      <c r="G9040">
        <v>-303.8503</v>
      </c>
      <c r="H9040">
        <v>-0.05</v>
      </c>
      <c r="I9040">
        <v>0.92979429999999996</v>
      </c>
      <c r="J9040">
        <v>-306.02280000000002</v>
      </c>
      <c r="K9040">
        <v>1.0530170000000001</v>
      </c>
      <c r="L9040">
        <v>10.12674</v>
      </c>
      <c r="M9040">
        <v>0.82898709999999898</v>
      </c>
      <c r="N9040">
        <v>0</v>
      </c>
      <c r="O9040">
        <v>-0.55908999999999998</v>
      </c>
      <c r="P9040">
        <v>0.57995830000000004</v>
      </c>
      <c r="Q9040">
        <v>3.1526270000000002E-2</v>
      </c>
      <c r="R9040">
        <v>-0.81403630000000005</v>
      </c>
      <c r="S9040">
        <v>0.77664180000000005</v>
      </c>
      <c r="T9040">
        <v>-0.3752897</v>
      </c>
      <c r="U9040">
        <v>-3.1571959999999999</v>
      </c>
      <c r="V9040">
        <v>0.35136899999999999</v>
      </c>
      <c r="W9040">
        <v>3.8326230000000003E-2</v>
      </c>
      <c r="X9040">
        <v>0.93545230000000001</v>
      </c>
      <c r="Y9040">
        <v>0.67058779999999996</v>
      </c>
      <c r="Z9040">
        <v>2.7587070000000002E-2</v>
      </c>
      <c r="AA9040">
        <v>0.741317</v>
      </c>
      <c r="AB9040">
        <v>22</v>
      </c>
      <c r="AC9040">
        <v>2.1725000000000101</v>
      </c>
      <c r="AD9040">
        <v>-1.1030169999999999</v>
      </c>
      <c r="AE9040">
        <v>-9.1969456999999899</v>
      </c>
      <c r="AF9040">
        <v>6.3240069136932604</v>
      </c>
      <c r="AG9040">
        <v>-1.1030169999999999</v>
      </c>
      <c r="AH9040">
        <v>6.8502589455365701</v>
      </c>
      <c r="AI9040">
        <v>96.747347029898407</v>
      </c>
      <c r="AJ9040">
        <v>47.287489776930201</v>
      </c>
      <c r="AK9040">
        <v>9.3880646337588196</v>
      </c>
      <c r="AL9040">
        <v>87.803530907665404</v>
      </c>
      <c r="AM9040">
        <v>69.413117549340996</v>
      </c>
      <c r="AN9040">
        <v>1.0000000398211499</v>
      </c>
    </row>
    <row r="9041" spans="1:40" x14ac:dyDescent="0.25">
      <c r="A9041" t="str">
        <f>"20190312150901860"</f>
        <v>20190312150901860</v>
      </c>
      <c r="B9041" t="str">
        <f>"1552374541848192"</f>
        <v>1552374541848192</v>
      </c>
      <c r="C9041" t="s">
        <v>40</v>
      </c>
      <c r="D9041">
        <v>5.0508419999999896</v>
      </c>
      <c r="E9041">
        <v>0.64857699999999996</v>
      </c>
      <c r="F9041" t="s">
        <v>43</v>
      </c>
      <c r="G9041">
        <v>-303.80880000000002</v>
      </c>
      <c r="H9041">
        <v>-0.05</v>
      </c>
      <c r="I9041">
        <v>0.89047240000000005</v>
      </c>
      <c r="J9041">
        <v>-305.91419999999999</v>
      </c>
      <c r="K9041">
        <v>1.0529500000000001</v>
      </c>
      <c r="L9041">
        <v>10.043699999999999</v>
      </c>
      <c r="M9041">
        <v>0.82479579999999997</v>
      </c>
      <c r="N9041">
        <v>0</v>
      </c>
      <c r="O9041">
        <v>-0.56525429999999999</v>
      </c>
      <c r="P9041">
        <v>0.57443849999999996</v>
      </c>
      <c r="Q9041">
        <v>3.1689160000000001E-2</v>
      </c>
      <c r="R9041">
        <v>-0.81793450000000001</v>
      </c>
      <c r="S9041">
        <v>0.75753780000000004</v>
      </c>
      <c r="T9041">
        <v>-0.37740790000000002</v>
      </c>
      <c r="U9041">
        <v>-3.1602779999999999</v>
      </c>
      <c r="V9041">
        <v>0.35072710000000001</v>
      </c>
      <c r="W9041">
        <v>3.8466800000000002E-2</v>
      </c>
      <c r="X9041">
        <v>0.9356873</v>
      </c>
      <c r="Y9041">
        <v>0.66947599999999996</v>
      </c>
      <c r="Z9041">
        <v>2.8734780000000001E-2</v>
      </c>
      <c r="AA9041">
        <v>0.74227769999999904</v>
      </c>
      <c r="AB9041">
        <v>22</v>
      </c>
      <c r="AC9041">
        <v>2.1053999999999702</v>
      </c>
      <c r="AD9041">
        <v>-1.1029500000000001</v>
      </c>
      <c r="AE9041">
        <v>-9.1532275999999992</v>
      </c>
      <c r="AF9041">
        <v>6.2735772983675</v>
      </c>
      <c r="AG9041">
        <v>-1.1029500000000001</v>
      </c>
      <c r="AH9041">
        <v>6.8171059097222901</v>
      </c>
      <c r="AI9041">
        <v>96.789187838526004</v>
      </c>
      <c r="AJ9041">
        <v>47.3775702125035</v>
      </c>
      <c r="AK9041">
        <v>9.3299090995283898</v>
      </c>
      <c r="AL9041">
        <v>87.795470717025694</v>
      </c>
      <c r="AM9041">
        <v>69.452310560566701</v>
      </c>
      <c r="AN9041">
        <v>0.99999995837896904</v>
      </c>
    </row>
    <row r="9042" spans="1:40" x14ac:dyDescent="0.25">
      <c r="A9042" t="str">
        <f>"20190312150901875"</f>
        <v>20190312150901875</v>
      </c>
      <c r="B9042" t="str">
        <f>"1552374541868688"</f>
        <v>1552374541868688</v>
      </c>
      <c r="C9042" t="s">
        <v>40</v>
      </c>
      <c r="D9042">
        <v>5.0589709999999997</v>
      </c>
      <c r="E9042">
        <v>0.64812119999999995</v>
      </c>
      <c r="F9042" t="s">
        <v>43</v>
      </c>
      <c r="G9042">
        <v>-303.76609999999999</v>
      </c>
      <c r="H9042">
        <v>-0.05</v>
      </c>
      <c r="I9042">
        <v>0.85894780000000004</v>
      </c>
      <c r="J9042">
        <v>-305.80040000000002</v>
      </c>
      <c r="K9042">
        <v>1.052878</v>
      </c>
      <c r="L9042">
        <v>9.9548649999999999</v>
      </c>
      <c r="M9042">
        <v>0.82026489999999996</v>
      </c>
      <c r="N9042">
        <v>0</v>
      </c>
      <c r="O9042">
        <v>-0.57180869999999995</v>
      </c>
      <c r="P9042">
        <v>0.56854740000000004</v>
      </c>
      <c r="Q9042">
        <v>3.156846E-2</v>
      </c>
      <c r="R9042">
        <v>-0.82204469999999996</v>
      </c>
      <c r="S9042">
        <v>0.73974609999999996</v>
      </c>
      <c r="T9042">
        <v>-0.37982769999999999</v>
      </c>
      <c r="U9042">
        <v>-3.1629939999999999</v>
      </c>
      <c r="V9042">
        <v>0.3500008</v>
      </c>
      <c r="W9042">
        <v>3.8325770000000002E-2</v>
      </c>
      <c r="X9042">
        <v>0.93596509999999999</v>
      </c>
      <c r="Y9042">
        <v>0.66767619999999905</v>
      </c>
      <c r="Z9042">
        <v>3.0027450000000001E-2</v>
      </c>
      <c r="AA9042">
        <v>0.74384589999999995</v>
      </c>
      <c r="AB9042">
        <v>22</v>
      </c>
      <c r="AC9042">
        <v>2.0343000000000302</v>
      </c>
      <c r="AD9042">
        <v>-1.102878</v>
      </c>
      <c r="AE9042">
        <v>-9.0959172000000006</v>
      </c>
      <c r="AF9042">
        <v>6.2114937566466004</v>
      </c>
      <c r="AG9042">
        <v>-1.102878</v>
      </c>
      <c r="AH9042">
        <v>6.7756110408912598</v>
      </c>
      <c r="AI9042">
        <v>96.8418302719748</v>
      </c>
      <c r="AJ9042">
        <v>47.487177510161303</v>
      </c>
      <c r="AK9042">
        <v>9.2578560989675793</v>
      </c>
      <c r="AL9042">
        <v>87.803557297849295</v>
      </c>
      <c r="AM9042">
        <v>69.49689635931</v>
      </c>
      <c r="AN9042">
        <v>1.00000004653237</v>
      </c>
    </row>
    <row r="9043" spans="1:40" x14ac:dyDescent="0.25">
      <c r="A9043" t="str">
        <f>"20190312150901890"</f>
        <v>20190312150901890</v>
      </c>
      <c r="B9043" t="str">
        <f>"1552374541878447"</f>
        <v>1552374541878447</v>
      </c>
      <c r="C9043" t="s">
        <v>40</v>
      </c>
      <c r="D9043">
        <v>5.0547180000000003</v>
      </c>
      <c r="E9043">
        <v>0.64717409999999997</v>
      </c>
      <c r="F9043" t="s">
        <v>43</v>
      </c>
      <c r="G9043">
        <v>-303.7217</v>
      </c>
      <c r="H9043">
        <v>-0.05</v>
      </c>
      <c r="I9043">
        <v>0.81097410000000003</v>
      </c>
      <c r="J9043">
        <v>-305.68720000000002</v>
      </c>
      <c r="K9043">
        <v>1.0528090000000001</v>
      </c>
      <c r="L9043">
        <v>9.8652339999999992</v>
      </c>
      <c r="M9043">
        <v>0.81564389999999998</v>
      </c>
      <c r="N9043">
        <v>0</v>
      </c>
      <c r="O9043">
        <v>-0.57838080000000003</v>
      </c>
      <c r="P9043">
        <v>0.56192509999999996</v>
      </c>
      <c r="Q9043">
        <v>3.1556180000000003E-2</v>
      </c>
      <c r="R9043">
        <v>-0.82658609999999899</v>
      </c>
      <c r="S9043">
        <v>0.71978759999999997</v>
      </c>
      <c r="T9043">
        <v>-0.38189770000000001</v>
      </c>
      <c r="U9043">
        <v>-3.16629</v>
      </c>
      <c r="V9043">
        <v>0.3500066</v>
      </c>
      <c r="W9043">
        <v>3.8276209999999998E-2</v>
      </c>
      <c r="X9043">
        <v>0.93596489999999999</v>
      </c>
      <c r="Y9043">
        <v>0.66634040000000005</v>
      </c>
      <c r="Z9043">
        <v>3.1274999999999997E-2</v>
      </c>
      <c r="AA9043">
        <v>0.74499150000000003</v>
      </c>
      <c r="AB9043">
        <v>22</v>
      </c>
      <c r="AC9043">
        <v>1.96550000000002</v>
      </c>
      <c r="AD9043">
        <v>-1.1028089999999999</v>
      </c>
      <c r="AE9043">
        <v>-9.0542598999999999</v>
      </c>
      <c r="AF9043">
        <v>6.1615766041449698</v>
      </c>
      <c r="AG9043">
        <v>-1.1028089999999999</v>
      </c>
      <c r="AH9043">
        <v>6.7450828704185701</v>
      </c>
      <c r="AI9043">
        <v>96.883105183672797</v>
      </c>
      <c r="AJ9043">
        <v>47.588562642074599</v>
      </c>
      <c r="AK9043">
        <v>9.2020300405965703</v>
      </c>
      <c r="AL9043">
        <v>87.806398840110802</v>
      </c>
      <c r="AM9043">
        <v>69.496580850036594</v>
      </c>
      <c r="AN9043">
        <v>0.99999999116376703</v>
      </c>
    </row>
    <row r="9044" spans="1:40" x14ac:dyDescent="0.25">
      <c r="A9044" t="str">
        <f>"20190312150901903"</f>
        <v>20190312150901903</v>
      </c>
      <c r="B9044" t="str">
        <f>"1552374541898943"</f>
        <v>1552374541898943</v>
      </c>
      <c r="C9044" t="s">
        <v>40</v>
      </c>
      <c r="D9044">
        <v>5.1028190000000002</v>
      </c>
      <c r="E9044">
        <v>0.64610089999999998</v>
      </c>
      <c r="F9044" t="s">
        <v>42</v>
      </c>
      <c r="G9044">
        <v>-303.33800000000002</v>
      </c>
      <c r="H9044" s="1">
        <v>-4.750827E-6</v>
      </c>
      <c r="I9044">
        <v>-0.72023009999999998</v>
      </c>
      <c r="J9044">
        <v>-305.57339999999999</v>
      </c>
      <c r="K9044">
        <v>1.052745</v>
      </c>
      <c r="L9044">
        <v>9.7736820000000009</v>
      </c>
      <c r="M9044">
        <v>0.81087240000000005</v>
      </c>
      <c r="N9044">
        <v>0</v>
      </c>
      <c r="O9044">
        <v>-0.58505109999999905</v>
      </c>
      <c r="P9044">
        <v>0.55521399999999999</v>
      </c>
      <c r="Q9044">
        <v>3.1523700000000002E-2</v>
      </c>
      <c r="R9044">
        <v>-0.83111019999999902</v>
      </c>
      <c r="S9044">
        <v>0.702179</v>
      </c>
      <c r="T9044">
        <v>-0.31468970000000002</v>
      </c>
      <c r="U9044">
        <v>-3.1640320000000002</v>
      </c>
      <c r="V9044">
        <v>0.34991519999999998</v>
      </c>
      <c r="W9044">
        <v>3.8208539999999999E-2</v>
      </c>
      <c r="X9044">
        <v>0.93600179999999999</v>
      </c>
      <c r="Y9044">
        <v>0.66435549999999999</v>
      </c>
      <c r="Z9044">
        <v>2.6795380000000001E-2</v>
      </c>
      <c r="AA9044">
        <v>0.7469363</v>
      </c>
      <c r="AB9044">
        <v>22</v>
      </c>
      <c r="AC9044">
        <v>2.2354000000000198</v>
      </c>
      <c r="AD9044">
        <v>-1.0527497508270001</v>
      </c>
      <c r="AE9044">
        <v>-10.493912099999999</v>
      </c>
      <c r="AF9044">
        <v>7.1334493495713502</v>
      </c>
      <c r="AG9044">
        <v>-1.0527497508270001</v>
      </c>
      <c r="AH9044">
        <v>7.8770644135997996</v>
      </c>
      <c r="AI9044">
        <v>95.657444597353503</v>
      </c>
      <c r="AJ9044">
        <v>47.836092253836199</v>
      </c>
      <c r="AK9044">
        <v>10.679069502384801</v>
      </c>
      <c r="AL9044">
        <v>87.810278803856804</v>
      </c>
      <c r="AM9044">
        <v>69.502230594982095</v>
      </c>
      <c r="AN9044">
        <v>0.99999995466160396</v>
      </c>
    </row>
    <row r="9045" spans="1:40" x14ac:dyDescent="0.25">
      <c r="A9045" t="str">
        <f>"20190312150901920"</f>
        <v>20190312150901920</v>
      </c>
      <c r="B9045" t="str">
        <f>"1552374541908703"</f>
        <v>1552374541908703</v>
      </c>
      <c r="C9045" t="s">
        <v>40</v>
      </c>
      <c r="D9045">
        <v>5.0857159999999997</v>
      </c>
      <c r="E9045">
        <v>0.64540419999999998</v>
      </c>
      <c r="F9045" t="s">
        <v>42</v>
      </c>
      <c r="G9045">
        <v>-303.3655</v>
      </c>
      <c r="H9045" s="1">
        <v>-4.8581920000000001E-6</v>
      </c>
      <c r="I9045">
        <v>-0.45335389999999998</v>
      </c>
      <c r="J9045">
        <v>-305.44929999999999</v>
      </c>
      <c r="K9045">
        <v>1.052675</v>
      </c>
      <c r="L9045">
        <v>9.6713559999999994</v>
      </c>
      <c r="M9045">
        <v>0.80548450000000005</v>
      </c>
      <c r="N9045">
        <v>0</v>
      </c>
      <c r="O9045">
        <v>-0.59244629999999998</v>
      </c>
      <c r="P9045">
        <v>0.54736509999999905</v>
      </c>
      <c r="Q9045">
        <v>3.1706669999999999E-2</v>
      </c>
      <c r="R9045">
        <v>-0.83629330000000002</v>
      </c>
      <c r="S9045">
        <v>0.68338009999999905</v>
      </c>
      <c r="T9045">
        <v>-0.32584649999999998</v>
      </c>
      <c r="U9045">
        <v>-3.1654659999999999</v>
      </c>
      <c r="V9045">
        <v>0.35016720000000001</v>
      </c>
      <c r="W9045">
        <v>3.8347199999999998E-2</v>
      </c>
      <c r="X9045">
        <v>0.93590189999999995</v>
      </c>
      <c r="Y9045">
        <v>0.66180490000000003</v>
      </c>
      <c r="Z9045">
        <v>2.8865249999999999E-2</v>
      </c>
      <c r="AA9045">
        <v>0.74912019999999901</v>
      </c>
      <c r="AB9045">
        <v>22</v>
      </c>
      <c r="AC9045">
        <v>2.0837999999999899</v>
      </c>
      <c r="AD9045">
        <v>-1.0526798581920001</v>
      </c>
      <c r="AE9045">
        <v>-10.124709899999999</v>
      </c>
      <c r="AF9045">
        <v>6.8504128413635899</v>
      </c>
      <c r="AG9045">
        <v>-1.0526798581920001</v>
      </c>
      <c r="AH9045">
        <v>7.5987862893323097</v>
      </c>
      <c r="AI9045">
        <v>95.874660888279706</v>
      </c>
      <c r="AJ9045">
        <v>47.964895132879199</v>
      </c>
      <c r="AK9045">
        <v>10.284835635629101</v>
      </c>
      <c r="AL9045">
        <v>87.802328380142995</v>
      </c>
      <c r="AM9045">
        <v>69.486690466596102</v>
      </c>
      <c r="AN9045">
        <v>0.99999997106364402</v>
      </c>
    </row>
    <row r="9046" spans="1:40" x14ac:dyDescent="0.25">
      <c r="A9046" t="str">
        <f>"20190312150901941"</f>
        <v>20190312150901941</v>
      </c>
      <c r="B9046" t="str">
        <f>"1552374541938960"</f>
        <v>1552374541938960</v>
      </c>
      <c r="C9046" t="s">
        <v>40</v>
      </c>
      <c r="D9046">
        <v>5.0758089999999996</v>
      </c>
      <c r="E9046">
        <v>0.64449799999999902</v>
      </c>
      <c r="F9046" t="s">
        <v>42</v>
      </c>
      <c r="G9046">
        <v>-303.33690000000001</v>
      </c>
      <c r="H9046" s="1">
        <v>-4.8343550000000001E-6</v>
      </c>
      <c r="I9046">
        <v>-0.50218109999999905</v>
      </c>
      <c r="J9046">
        <v>-305.27820000000003</v>
      </c>
      <c r="K9046">
        <v>1.052578</v>
      </c>
      <c r="L9046">
        <v>9.5274350000000005</v>
      </c>
      <c r="M9046">
        <v>0.79779650000000002</v>
      </c>
      <c r="N9046">
        <v>0</v>
      </c>
      <c r="O9046">
        <v>-0.60275829999999997</v>
      </c>
      <c r="P9046">
        <v>0.5360859</v>
      </c>
      <c r="Q9046">
        <v>3.1755569999999997E-2</v>
      </c>
      <c r="R9046">
        <v>-0.84356589999999998</v>
      </c>
      <c r="S9046">
        <v>0.65801999999999905</v>
      </c>
      <c r="T9046">
        <v>-0.32790439999999998</v>
      </c>
      <c r="U9046">
        <v>-3.169006</v>
      </c>
      <c r="V9046">
        <v>0.3507053</v>
      </c>
      <c r="W9046">
        <v>3.832957E-2</v>
      </c>
      <c r="X9046">
        <v>0.93570109999999995</v>
      </c>
      <c r="Y9046">
        <v>0.6580975</v>
      </c>
      <c r="Z9046">
        <v>3.062262E-2</v>
      </c>
      <c r="AA9046">
        <v>0.75230969999999997</v>
      </c>
      <c r="AB9046">
        <v>22</v>
      </c>
      <c r="AC9046">
        <v>1.94130000000001</v>
      </c>
      <c r="AD9046">
        <v>-1.0525828343549899</v>
      </c>
      <c r="AE9046">
        <v>-10.0296161</v>
      </c>
      <c r="AF9046">
        <v>6.7603821795801302</v>
      </c>
      <c r="AG9046">
        <v>-1.0525828343549899</v>
      </c>
      <c r="AH9046">
        <v>7.5151852666383698</v>
      </c>
      <c r="AI9046">
        <v>95.9447278741887</v>
      </c>
      <c r="AJ9046">
        <v>48.026625589409399</v>
      </c>
      <c r="AK9046">
        <v>10.1631052060412</v>
      </c>
      <c r="AL9046">
        <v>87.803339214753507</v>
      </c>
      <c r="AM9046">
        <v>69.453758727769596</v>
      </c>
      <c r="AN9046">
        <v>0.99999995596284097</v>
      </c>
    </row>
    <row r="9047" spans="1:40" x14ac:dyDescent="0.25">
      <c r="A9047" t="str">
        <f>"20190312150901955"</f>
        <v>20190312150901955</v>
      </c>
      <c r="B9047" t="str">
        <f>"1552374541948720"</f>
        <v>1552374541948720</v>
      </c>
      <c r="C9047" t="s">
        <v>40</v>
      </c>
      <c r="D9047">
        <v>5.0869169999999997</v>
      </c>
      <c r="E9047">
        <v>0.64400269999999904</v>
      </c>
      <c r="F9047" t="s">
        <v>42</v>
      </c>
      <c r="G9047">
        <v>-303.29199999999997</v>
      </c>
      <c r="H9047" s="1">
        <v>-4.7829969999999999E-6</v>
      </c>
      <c r="I9047">
        <v>-0.6151991</v>
      </c>
      <c r="J9047">
        <v>-305.17360000000002</v>
      </c>
      <c r="K9047">
        <v>1.0525180000000001</v>
      </c>
      <c r="L9047">
        <v>9.4370419999999999</v>
      </c>
      <c r="M9047">
        <v>0.79290930000000004</v>
      </c>
      <c r="N9047">
        <v>0</v>
      </c>
      <c r="O9047">
        <v>-0.60917270000000001</v>
      </c>
      <c r="P9047">
        <v>0.52929869999999901</v>
      </c>
      <c r="Q9047">
        <v>3.176636E-2</v>
      </c>
      <c r="R9047">
        <v>-0.84784099999999996</v>
      </c>
      <c r="S9047">
        <v>0.62152099999999999</v>
      </c>
      <c r="T9047">
        <v>-0.32936720000000003</v>
      </c>
      <c r="U9047">
        <v>-3.1737669999999998</v>
      </c>
      <c r="V9047">
        <v>0.35067480000000001</v>
      </c>
      <c r="W9047">
        <v>3.8309089999999997E-2</v>
      </c>
      <c r="X9047">
        <v>0.93571340000000003</v>
      </c>
      <c r="Y9047">
        <v>0.66056309999999996</v>
      </c>
      <c r="Z9047">
        <v>3.146819E-2</v>
      </c>
      <c r="AA9047">
        <v>0.75011070000000002</v>
      </c>
      <c r="AB9047">
        <v>22</v>
      </c>
      <c r="AC9047">
        <v>1.8815999999999899</v>
      </c>
      <c r="AD9047">
        <v>-1.0525227829970001</v>
      </c>
      <c r="AE9047">
        <v>-10.0522411</v>
      </c>
      <c r="AF9047">
        <v>6.7534572912078001</v>
      </c>
      <c r="AG9047">
        <v>-1.0525227829970001</v>
      </c>
      <c r="AH9047">
        <v>7.5364372947194003</v>
      </c>
      <c r="AI9047">
        <v>95.937866636001203</v>
      </c>
      <c r="AJ9047">
        <v>48.136246761289897</v>
      </c>
      <c r="AK9047">
        <v>10.174226097848001</v>
      </c>
      <c r="AL9047">
        <v>87.804513557148397</v>
      </c>
      <c r="AM9047">
        <v>69.455643808843107</v>
      </c>
      <c r="AN9047">
        <v>0.99999998433561399</v>
      </c>
    </row>
    <row r="9048" spans="1:40" x14ac:dyDescent="0.25">
      <c r="A9048" t="str">
        <f>"20190312150901976"</f>
        <v>20190312150901976</v>
      </c>
      <c r="B9048" t="str">
        <f>"1552374541968239"</f>
        <v>1552374541968239</v>
      </c>
      <c r="C9048" t="s">
        <v>40</v>
      </c>
      <c r="D9048">
        <v>5.0305679999999997</v>
      </c>
      <c r="E9048">
        <v>0.64380879999999996</v>
      </c>
      <c r="F9048" t="s">
        <v>42</v>
      </c>
      <c r="G9048">
        <v>-303.23809999999997</v>
      </c>
      <c r="H9048" s="1">
        <v>-4.6939990000000001E-6</v>
      </c>
      <c r="I9048">
        <v>-0.82206630000000003</v>
      </c>
      <c r="J9048">
        <v>-305.01749999999998</v>
      </c>
      <c r="K9048">
        <v>1.0524230000000001</v>
      </c>
      <c r="L9048">
        <v>9.2995610000000006</v>
      </c>
      <c r="M9048">
        <v>0.78538850000000004</v>
      </c>
      <c r="N9048">
        <v>0</v>
      </c>
      <c r="O9048">
        <v>-0.61883769999999905</v>
      </c>
      <c r="P9048">
        <v>0.51890879999999995</v>
      </c>
      <c r="Q9048">
        <v>3.2337640000000001E-2</v>
      </c>
      <c r="R9048">
        <v>-0.85421759999999902</v>
      </c>
      <c r="S9048">
        <v>0.59927369999999902</v>
      </c>
      <c r="T9048">
        <v>-0.32588800000000001</v>
      </c>
      <c r="U9048">
        <v>-3.1764830000000002</v>
      </c>
      <c r="V9048">
        <v>0.35064089999999998</v>
      </c>
      <c r="W9048">
        <v>3.8835120000000001E-2</v>
      </c>
      <c r="X9048">
        <v>0.93570439999999999</v>
      </c>
      <c r="Y9048">
        <v>0.65659619999999996</v>
      </c>
      <c r="Z9048">
        <v>3.2644670000000001E-2</v>
      </c>
      <c r="AA9048">
        <v>0.75353549999999903</v>
      </c>
      <c r="AB9048">
        <v>22</v>
      </c>
      <c r="AC9048">
        <v>1.7794000000000001</v>
      </c>
      <c r="AD9048">
        <v>-1.0524276939989901</v>
      </c>
      <c r="AE9048">
        <v>-10.1216273</v>
      </c>
      <c r="AF9048">
        <v>6.77786955318353</v>
      </c>
      <c r="AG9048">
        <v>-1.0524276939989901</v>
      </c>
      <c r="AH9048">
        <v>7.5824300997980396</v>
      </c>
      <c r="AI9048">
        <v>95.908031195562998</v>
      </c>
      <c r="AJ9048">
        <v>48.206742319969003</v>
      </c>
      <c r="AK9048">
        <v>10.224498322626401</v>
      </c>
      <c r="AL9048">
        <v>87.774351770233693</v>
      </c>
      <c r="AM9048">
        <v>69.457282879317106</v>
      </c>
      <c r="AN9048">
        <v>0.99999996573879102</v>
      </c>
    </row>
    <row r="9049" spans="1:40" x14ac:dyDescent="0.25">
      <c r="A9049" t="str">
        <f>"20190312150901991"</f>
        <v>20190312150901991</v>
      </c>
      <c r="B9049" t="str">
        <f>"1552374541988736"</f>
        <v>1552374541988736</v>
      </c>
      <c r="C9049" t="s">
        <v>40</v>
      </c>
      <c r="D9049">
        <v>5.1755769999999997</v>
      </c>
      <c r="E9049">
        <v>0.64390080000000005</v>
      </c>
      <c r="F9049" t="s">
        <v>42</v>
      </c>
      <c r="G9049">
        <v>-303.16629999999998</v>
      </c>
      <c r="H9049" s="1">
        <v>-4.5421769999999999E-6</v>
      </c>
      <c r="I9049">
        <v>-1.184256</v>
      </c>
      <c r="J9049">
        <v>-304.9058</v>
      </c>
      <c r="K9049">
        <v>1.0523629999999999</v>
      </c>
      <c r="L9049">
        <v>9.1989140000000003</v>
      </c>
      <c r="M9049">
        <v>0.77982130000000005</v>
      </c>
      <c r="N9049">
        <v>0</v>
      </c>
      <c r="O9049">
        <v>-0.62583800000000001</v>
      </c>
      <c r="P9049">
        <v>0.51128180000000001</v>
      </c>
      <c r="Q9049">
        <v>3.2696139999999999E-2</v>
      </c>
      <c r="R9049">
        <v>-0.85879119999999998</v>
      </c>
      <c r="S9049">
        <v>0.56198119999999996</v>
      </c>
      <c r="T9049">
        <v>-0.31949620000000001</v>
      </c>
      <c r="U9049">
        <v>-3.1826780000000001</v>
      </c>
      <c r="V9049">
        <v>0.35060609999999998</v>
      </c>
      <c r="W9049">
        <v>3.9163879999999998E-2</v>
      </c>
      <c r="X9049">
        <v>0.93570379999999997</v>
      </c>
      <c r="Y9049">
        <v>0.65869</v>
      </c>
      <c r="Z9049">
        <v>3.2786870000000003E-2</v>
      </c>
      <c r="AA9049">
        <v>0.75169969999999997</v>
      </c>
      <c r="AB9049">
        <v>22</v>
      </c>
      <c r="AC9049">
        <v>1.73950000000002</v>
      </c>
      <c r="AD9049">
        <v>-1.052367542177</v>
      </c>
      <c r="AE9049">
        <v>-10.38317</v>
      </c>
      <c r="AF9049">
        <v>6.9397500884673198</v>
      </c>
      <c r="AG9049">
        <v>-1.052367542177</v>
      </c>
      <c r="AH9049">
        <v>7.77777309635003</v>
      </c>
      <c r="AI9049">
        <v>95.764987597383893</v>
      </c>
      <c r="AJ9049">
        <v>48.2589308457096</v>
      </c>
      <c r="AK9049">
        <v>10.476705735703099</v>
      </c>
      <c r="AL9049">
        <v>87.755500998876002</v>
      </c>
      <c r="AM9049">
        <v>69.459139343421995</v>
      </c>
      <c r="AN9049">
        <v>1.00000002409415</v>
      </c>
    </row>
    <row r="9050" spans="1:40" x14ac:dyDescent="0.25">
      <c r="A9050" t="str">
        <f>"20190312150902011"</f>
        <v>20190312150902011</v>
      </c>
      <c r="B9050" t="str">
        <f>"1552374541998496"</f>
        <v>1552374541998496</v>
      </c>
      <c r="C9050" t="s">
        <v>40</v>
      </c>
      <c r="D9050">
        <v>5.0619009999999998</v>
      </c>
      <c r="E9050">
        <v>0.66520330000000005</v>
      </c>
      <c r="F9050" t="s">
        <v>42</v>
      </c>
      <c r="G9050">
        <v>-303.12439999999998</v>
      </c>
      <c r="H9050" s="1">
        <v>-4.4309180000000003E-6</v>
      </c>
      <c r="I9050">
        <v>-1.454618</v>
      </c>
      <c r="J9050">
        <v>-304.7638</v>
      </c>
      <c r="K9050">
        <v>1.052298</v>
      </c>
      <c r="L9050">
        <v>9.0682069999999992</v>
      </c>
      <c r="M9050">
        <v>0.77251359999999902</v>
      </c>
      <c r="N9050">
        <v>0</v>
      </c>
      <c r="O9050">
        <v>-0.63483599999999996</v>
      </c>
      <c r="P9050">
        <v>0.5011679</v>
      </c>
      <c r="Q9050">
        <v>3.3338329999999999E-2</v>
      </c>
      <c r="R9050">
        <v>-0.86470800000000003</v>
      </c>
      <c r="S9050">
        <v>0.53305049999999998</v>
      </c>
      <c r="T9050">
        <v>-0.31490699999999999</v>
      </c>
      <c r="U9050">
        <v>-3.1879270000000002</v>
      </c>
      <c r="V9050">
        <v>0.3507421</v>
      </c>
      <c r="W9050">
        <v>3.9768049999999999E-2</v>
      </c>
      <c r="X9050">
        <v>0.93562730000000005</v>
      </c>
      <c r="Y9050">
        <v>0.65684439999999999</v>
      </c>
      <c r="Z9050">
        <v>3.3560319999999998E-2</v>
      </c>
      <c r="AA9050">
        <v>0.75327900000000003</v>
      </c>
      <c r="AB9050">
        <v>22</v>
      </c>
      <c r="AC9050">
        <v>1.63940000000002</v>
      </c>
      <c r="AD9050">
        <v>-1.052302430918</v>
      </c>
      <c r="AE9050">
        <v>-10.522824999999999</v>
      </c>
      <c r="AF9050">
        <v>7.0204618678370396</v>
      </c>
      <c r="AG9050">
        <v>-1.052302430918</v>
      </c>
      <c r="AH9050">
        <v>7.8707007176692203</v>
      </c>
      <c r="AI9050">
        <v>95.697808994641505</v>
      </c>
      <c r="AJ9050">
        <v>48.267861912462102</v>
      </c>
      <c r="AK9050">
        <v>10.599158222754699</v>
      </c>
      <c r="AL9050">
        <v>87.720857520837498</v>
      </c>
      <c r="AM9050">
        <v>69.450297604465604</v>
      </c>
      <c r="AN9050">
        <v>0.99999998150925096</v>
      </c>
    </row>
    <row r="9051" spans="1:40" x14ac:dyDescent="0.25">
      <c r="A9051" t="str">
        <f>"20190312150902026"</f>
        <v>20190312150902026</v>
      </c>
      <c r="B9051" t="str">
        <f>"1552374542018992"</f>
        <v>1552374542018992</v>
      </c>
      <c r="C9051" t="s">
        <v>40</v>
      </c>
      <c r="D9051">
        <v>5.0288180000000002</v>
      </c>
      <c r="E9051">
        <v>0.66936619999999902</v>
      </c>
      <c r="F9051" t="s">
        <v>42</v>
      </c>
      <c r="G9051">
        <v>-303.6447</v>
      </c>
      <c r="H9051" s="1">
        <v>-4.5137069999999996E-6</v>
      </c>
      <c r="I9051">
        <v>-1.479382</v>
      </c>
      <c r="J9051">
        <v>-304.64670000000001</v>
      </c>
      <c r="K9051">
        <v>1.0522400000000001</v>
      </c>
      <c r="L9051">
        <v>8.9581599999999995</v>
      </c>
      <c r="M9051">
        <v>0.76629809999999998</v>
      </c>
      <c r="N9051">
        <v>0</v>
      </c>
      <c r="O9051">
        <v>-0.64232409999999995</v>
      </c>
      <c r="P9051">
        <v>0.49271429999999999</v>
      </c>
      <c r="Q9051">
        <v>3.3600530000000003E-2</v>
      </c>
      <c r="R9051">
        <v>-0.86954219999999904</v>
      </c>
      <c r="S9051">
        <v>0.34802250000000001</v>
      </c>
      <c r="T9051">
        <v>-0.32726650000000002</v>
      </c>
      <c r="U9051">
        <v>-3.2803040000000001</v>
      </c>
      <c r="V9051">
        <v>0.35076059999999998</v>
      </c>
      <c r="W9051">
        <v>4.0003900000000002E-2</v>
      </c>
      <c r="X9051">
        <v>0.93561039999999995</v>
      </c>
      <c r="Y9051">
        <v>0.69373050000000003</v>
      </c>
      <c r="Z9051">
        <v>3.2958620000000001E-2</v>
      </c>
      <c r="AA9051">
        <v>0.71948020000000001</v>
      </c>
      <c r="AB9051">
        <v>22</v>
      </c>
      <c r="AC9051">
        <v>1.002</v>
      </c>
      <c r="AD9051">
        <v>-1.052244513707</v>
      </c>
      <c r="AE9051">
        <v>-10.437542000000001</v>
      </c>
      <c r="AF9051">
        <v>7.2820865333186804</v>
      </c>
      <c r="AG9051">
        <v>-1.052244513707</v>
      </c>
      <c r="AH9051">
        <v>7.3983831331405101</v>
      </c>
      <c r="AI9051">
        <v>95.787885532119105</v>
      </c>
      <c r="AJ9051">
        <v>45.453879549569201</v>
      </c>
      <c r="AK9051">
        <v>10.434178251309699</v>
      </c>
      <c r="AL9051">
        <v>87.707333741891404</v>
      </c>
      <c r="AM9051">
        <v>69.448964121306503</v>
      </c>
      <c r="AN9051">
        <v>1.00000006555786</v>
      </c>
    </row>
    <row r="9052" spans="1:40" x14ac:dyDescent="0.25">
      <c r="A9052" t="str">
        <f>"20190312150902042"</f>
        <v>20190312150902042</v>
      </c>
      <c r="B9052" t="str">
        <f>"1552374542038512"</f>
        <v>1552374542038512</v>
      </c>
      <c r="C9052" t="s">
        <v>40</v>
      </c>
      <c r="D9052">
        <v>5.0239640000000003</v>
      </c>
      <c r="E9052">
        <v>0.67040149999999998</v>
      </c>
      <c r="F9052" t="s">
        <v>42</v>
      </c>
      <c r="G9052">
        <v>-303.67849999999999</v>
      </c>
      <c r="H9052" s="1">
        <v>-4.2620320000000001E-6</v>
      </c>
      <c r="I9052">
        <v>-2.1503700000000001</v>
      </c>
      <c r="J9052">
        <v>-304.52330000000001</v>
      </c>
      <c r="K9052">
        <v>1.0521860000000001</v>
      </c>
      <c r="L9052">
        <v>8.8393549999999994</v>
      </c>
      <c r="M9052">
        <v>0.75952739999999996</v>
      </c>
      <c r="N9052">
        <v>0</v>
      </c>
      <c r="O9052">
        <v>-0.65031559999999999</v>
      </c>
      <c r="P9052">
        <v>0.48402260000000003</v>
      </c>
      <c r="Q9052">
        <v>3.3676339999999999E-2</v>
      </c>
      <c r="R9052">
        <v>-0.87440739999999995</v>
      </c>
      <c r="S9052">
        <v>0.28753659999999998</v>
      </c>
      <c r="T9052">
        <v>-0.31251289999999998</v>
      </c>
      <c r="U9052">
        <v>-3.299194</v>
      </c>
      <c r="V9052">
        <v>0.35029090000000002</v>
      </c>
      <c r="W9052">
        <v>4.0068220000000002E-2</v>
      </c>
      <c r="X9052">
        <v>0.93578360000000005</v>
      </c>
      <c r="Y9052">
        <v>0.69972029999999996</v>
      </c>
      <c r="Z9052">
        <v>3.2019720000000002E-2</v>
      </c>
      <c r="AA9052">
        <v>0.71369899999999997</v>
      </c>
      <c r="AB9052">
        <v>22</v>
      </c>
      <c r="AC9052">
        <v>0.84480000000001998</v>
      </c>
      <c r="AD9052">
        <v>-1.0521902620320001</v>
      </c>
      <c r="AE9052">
        <v>-10.989725</v>
      </c>
      <c r="AF9052">
        <v>7.7279963611878797</v>
      </c>
      <c r="AG9052">
        <v>-1.0521902620320001</v>
      </c>
      <c r="AH9052">
        <v>7.7189059656857202</v>
      </c>
      <c r="AI9052">
        <v>95.502403375232703</v>
      </c>
      <c r="AJ9052">
        <v>44.966281832743498</v>
      </c>
      <c r="AK9052">
        <v>10.973173716530001</v>
      </c>
      <c r="AL9052">
        <v>87.703645511078093</v>
      </c>
      <c r="AM9052">
        <v>69.4776699349258</v>
      </c>
      <c r="AN9052">
        <v>1.0000000614528599</v>
      </c>
    </row>
    <row r="9053" spans="1:40" x14ac:dyDescent="0.25">
      <c r="A9053" t="str">
        <f>"20190312150902059"</f>
        <v>20190312150902059</v>
      </c>
      <c r="B9053" t="str">
        <f>"1552374542048272"</f>
        <v>1552374542048272</v>
      </c>
      <c r="C9053" t="s">
        <v>40</v>
      </c>
      <c r="D9053">
        <v>5.0548900000000003</v>
      </c>
      <c r="E9053">
        <v>0.67049380000000003</v>
      </c>
      <c r="F9053" t="s">
        <v>42</v>
      </c>
      <c r="G9053">
        <v>-303.6524</v>
      </c>
      <c r="H9053" s="1">
        <v>-4.0215450000000001E-6</v>
      </c>
      <c r="I9053">
        <v>-2.7645550000000001</v>
      </c>
      <c r="J9053">
        <v>-304.41120000000001</v>
      </c>
      <c r="K9053">
        <v>1.0521389999999999</v>
      </c>
      <c r="L9053">
        <v>8.7290340000000004</v>
      </c>
      <c r="M9053">
        <v>0.75318569999999996</v>
      </c>
      <c r="N9053">
        <v>0</v>
      </c>
      <c r="O9053">
        <v>-0.65764959999999995</v>
      </c>
      <c r="P9053">
        <v>0.47611310000000001</v>
      </c>
      <c r="Q9053">
        <v>3.3464069999999999E-2</v>
      </c>
      <c r="R9053">
        <v>-0.87874730000000001</v>
      </c>
      <c r="S9053">
        <v>0.24804689999999999</v>
      </c>
      <c r="T9053">
        <v>-0.29969299999999999</v>
      </c>
      <c r="U9053">
        <v>-3.3051149999999998</v>
      </c>
      <c r="V9053">
        <v>0.34966720000000001</v>
      </c>
      <c r="W9053">
        <v>3.9853810000000003E-2</v>
      </c>
      <c r="X9053">
        <v>0.93602589999999997</v>
      </c>
      <c r="Y9053">
        <v>0.70142729999999998</v>
      </c>
      <c r="Z9053">
        <v>3.1487729999999998E-2</v>
      </c>
      <c r="AA9053">
        <v>0.71204509999999999</v>
      </c>
      <c r="AB9053">
        <v>22</v>
      </c>
      <c r="AC9053">
        <v>0.75880000000000702</v>
      </c>
      <c r="AD9053">
        <v>-1.0521430215449901</v>
      </c>
      <c r="AE9053">
        <v>-11.493589</v>
      </c>
      <c r="AF9053">
        <v>8.0911236729214107</v>
      </c>
      <c r="AG9053">
        <v>-1.0521430215449901</v>
      </c>
      <c r="AH9053">
        <v>8.0638376264731306</v>
      </c>
      <c r="AI9053">
        <v>95.262380792323697</v>
      </c>
      <c r="AJ9053">
        <v>44.903226396804399</v>
      </c>
      <c r="AK9053">
        <v>11.4716504695017</v>
      </c>
      <c r="AL9053">
        <v>87.715939935474907</v>
      </c>
      <c r="AM9053">
        <v>69.516034788218903</v>
      </c>
      <c r="AN9053">
        <v>0.99999998119908196</v>
      </c>
    </row>
    <row r="9054" spans="1:40" x14ac:dyDescent="0.25">
      <c r="A9054" t="str">
        <f>"20190312150902072"</f>
        <v>20190312150902072</v>
      </c>
      <c r="B9054" t="str">
        <f>"1552374542068768"</f>
        <v>1552374542068768</v>
      </c>
      <c r="C9054" t="s">
        <v>40</v>
      </c>
      <c r="D9054">
        <v>5.049722</v>
      </c>
      <c r="E9054">
        <v>0.67007819999999996</v>
      </c>
      <c r="F9054" t="s">
        <v>42</v>
      </c>
      <c r="G9054">
        <v>-303.63209999999998</v>
      </c>
      <c r="H9054" s="1">
        <v>-3.88845E-6</v>
      </c>
      <c r="I9054">
        <v>-3.1017420000000002</v>
      </c>
      <c r="J9054">
        <v>-304.31130000000002</v>
      </c>
      <c r="K9054">
        <v>1.052098</v>
      </c>
      <c r="L9054">
        <v>8.6288149999999995</v>
      </c>
      <c r="M9054">
        <v>0.74737699999999996</v>
      </c>
      <c r="N9054">
        <v>0</v>
      </c>
      <c r="O9054">
        <v>-0.66424300000000003</v>
      </c>
      <c r="P9054">
        <v>0.46878170000000002</v>
      </c>
      <c r="Q9054">
        <v>3.3544940000000002E-2</v>
      </c>
      <c r="R9054">
        <v>-0.88267709999999999</v>
      </c>
      <c r="S9054">
        <v>0.217804</v>
      </c>
      <c r="T9054">
        <v>-0.29411470000000001</v>
      </c>
      <c r="U9054">
        <v>-3.3071589999999902</v>
      </c>
      <c r="V9054">
        <v>0.34923660000000001</v>
      </c>
      <c r="W9054">
        <v>3.9929079999999999E-2</v>
      </c>
      <c r="X9054">
        <v>0.93618349999999995</v>
      </c>
      <c r="Y9054">
        <v>0.70170469999999996</v>
      </c>
      <c r="Z9054">
        <v>3.1683820000000001E-2</v>
      </c>
      <c r="AA9054">
        <v>0.71176300000000003</v>
      </c>
      <c r="AB9054">
        <v>22</v>
      </c>
      <c r="AC9054">
        <v>0.679200000000037</v>
      </c>
      <c r="AD9054">
        <v>-1.05210188845</v>
      </c>
      <c r="AE9054">
        <v>-11.730556999999999</v>
      </c>
      <c r="AF9054">
        <v>8.2507152593690201</v>
      </c>
      <c r="AG9054">
        <v>-1.05210188845</v>
      </c>
      <c r="AH9054">
        <v>8.2344084566303692</v>
      </c>
      <c r="AI9054">
        <v>95.157364788524504</v>
      </c>
      <c r="AJ9054">
        <v>44.943324012264704</v>
      </c>
      <c r="AK9054">
        <v>11.704131890297999</v>
      </c>
      <c r="AL9054">
        <v>87.711623981040603</v>
      </c>
      <c r="AM9054">
        <v>69.542327280301606</v>
      </c>
      <c r="AN9054">
        <v>1.0000000399407201</v>
      </c>
    </row>
    <row r="9055" spans="1:40" x14ac:dyDescent="0.25">
      <c r="A9055" t="str">
        <f>"20190312150902086"</f>
        <v>20190312150902086</v>
      </c>
      <c r="B9055" t="str">
        <f>"1552374542078528"</f>
        <v>1552374542078528</v>
      </c>
      <c r="C9055" t="s">
        <v>40</v>
      </c>
      <c r="D9055">
        <v>5.0693720000000004</v>
      </c>
      <c r="E9055">
        <v>0.66980280000000003</v>
      </c>
      <c r="F9055" t="s">
        <v>42</v>
      </c>
      <c r="G9055">
        <v>-303.61040000000003</v>
      </c>
      <c r="H9055" s="1">
        <v>-3.7936239999999998E-6</v>
      </c>
      <c r="I9055">
        <v>-3.3386800000000001</v>
      </c>
      <c r="J9055">
        <v>-304.21319999999997</v>
      </c>
      <c r="K9055">
        <v>1.05206</v>
      </c>
      <c r="L9055">
        <v>8.528931</v>
      </c>
      <c r="M9055">
        <v>0.74154249999999999</v>
      </c>
      <c r="N9055">
        <v>0</v>
      </c>
      <c r="O9055">
        <v>-0.67074979999999995</v>
      </c>
      <c r="P9055">
        <v>0.46127669999999998</v>
      </c>
      <c r="Q9055">
        <v>3.3576509999999997E-2</v>
      </c>
      <c r="R9055">
        <v>-0.8866214</v>
      </c>
      <c r="S9055">
        <v>0.19366459999999999</v>
      </c>
      <c r="T9055">
        <v>-0.2907245</v>
      </c>
      <c r="U9055">
        <v>-3.3069459999999999</v>
      </c>
      <c r="V9055">
        <v>0.34900029999999999</v>
      </c>
      <c r="W9055">
        <v>3.9950050000000001E-2</v>
      </c>
      <c r="X9055">
        <v>0.93627070000000001</v>
      </c>
      <c r="Y9055">
        <v>0.70067230000000003</v>
      </c>
      <c r="Z9055">
        <v>3.2169469999999999E-2</v>
      </c>
      <c r="AA9055">
        <v>0.71275759999999999</v>
      </c>
      <c r="AB9055">
        <v>22</v>
      </c>
      <c r="AC9055">
        <v>0.60279999999994505</v>
      </c>
      <c r="AD9055">
        <v>-1.052063793624</v>
      </c>
      <c r="AE9055">
        <v>-11.867611</v>
      </c>
      <c r="AF9055">
        <v>8.3315813280746003</v>
      </c>
      <c r="AG9055">
        <v>-1.052063793624</v>
      </c>
      <c r="AH9055">
        <v>8.3426850356325293</v>
      </c>
      <c r="AI9055">
        <v>95.098990680698407</v>
      </c>
      <c r="AJ9055">
        <v>45.038154331477003</v>
      </c>
      <c r="AK9055">
        <v>11.8373341279167</v>
      </c>
      <c r="AL9055">
        <v>87.710421482984003</v>
      </c>
      <c r="AM9055">
        <v>69.556770153083207</v>
      </c>
      <c r="AN9055">
        <v>1.00000001978679</v>
      </c>
    </row>
    <row r="9056" spans="1:40" x14ac:dyDescent="0.25">
      <c r="A9056" t="str">
        <f>"20190312150902098"</f>
        <v>20190312150902098</v>
      </c>
      <c r="B9056" t="str">
        <f>"1552374542088288"</f>
        <v>1552374542088288</v>
      </c>
      <c r="C9056" t="s">
        <v>40</v>
      </c>
      <c r="D9056">
        <v>5.0716640000000002</v>
      </c>
      <c r="E9056">
        <v>0.66939799999999905</v>
      </c>
      <c r="F9056" t="s">
        <v>42</v>
      </c>
      <c r="G9056">
        <v>-303.6069</v>
      </c>
      <c r="H9056" s="1">
        <v>-3.7670920000000001E-6</v>
      </c>
      <c r="I9056">
        <v>-3.4061569999999999</v>
      </c>
      <c r="J9056">
        <v>-304.12759999999997</v>
      </c>
      <c r="K9056">
        <v>1.052027</v>
      </c>
      <c r="L9056">
        <v>8.4397579999999994</v>
      </c>
      <c r="M9056">
        <v>0.73629940000000005</v>
      </c>
      <c r="N9056">
        <v>0</v>
      </c>
      <c r="O9056">
        <v>-0.67650059999999901</v>
      </c>
      <c r="P9056">
        <v>0.45478669999999999</v>
      </c>
      <c r="Q9056">
        <v>3.410295E-2</v>
      </c>
      <c r="R9056">
        <v>-0.88994740000000006</v>
      </c>
      <c r="S9056">
        <v>0.16799929999999999</v>
      </c>
      <c r="T9056">
        <v>-0.29153559999999901</v>
      </c>
      <c r="U9056">
        <v>-3.307312</v>
      </c>
      <c r="V9056">
        <v>0.34855340000000001</v>
      </c>
      <c r="W9056">
        <v>4.0473200000000001E-2</v>
      </c>
      <c r="X9056">
        <v>0.93641470000000004</v>
      </c>
      <c r="Y9056">
        <v>0.70064459999999995</v>
      </c>
      <c r="Z9056">
        <v>3.2962569999999997E-2</v>
      </c>
      <c r="AA9056">
        <v>0.71274859999999995</v>
      </c>
      <c r="AB9056">
        <v>22</v>
      </c>
      <c r="AC9056">
        <v>0.52069999999997596</v>
      </c>
      <c r="AD9056">
        <v>-1.0520307670919999</v>
      </c>
      <c r="AE9056">
        <v>-11.845915</v>
      </c>
      <c r="AF9056">
        <v>8.3053863335325904</v>
      </c>
      <c r="AG9056">
        <v>-1.0520307670919999</v>
      </c>
      <c r="AH9056">
        <v>8.3324496172543991</v>
      </c>
      <c r="AI9056">
        <v>95.109931280517799</v>
      </c>
      <c r="AJ9056">
        <v>45.093197851814601</v>
      </c>
      <c r="AK9056">
        <v>11.8116860569616</v>
      </c>
      <c r="AL9056">
        <v>87.680422936833295</v>
      </c>
      <c r="AM9056">
        <v>69.583666769428405</v>
      </c>
      <c r="AN9056">
        <v>1.0000000214729401</v>
      </c>
    </row>
    <row r="9057" spans="1:40" x14ac:dyDescent="0.25">
      <c r="A9057" t="str">
        <f>"20190312150902121"</f>
        <v>20190312150902121</v>
      </c>
      <c r="B9057" t="str">
        <f>"1552374542108783"</f>
        <v>1552374542108783</v>
      </c>
      <c r="C9057" t="s">
        <v>40</v>
      </c>
      <c r="D9057">
        <v>5.0932740000000001</v>
      </c>
      <c r="E9057">
        <v>0.66845100000000002</v>
      </c>
      <c r="F9057" t="s">
        <v>42</v>
      </c>
      <c r="G9057">
        <v>-303.59460000000001</v>
      </c>
      <c r="H9057" s="1">
        <v>-3.7154130000000002E-6</v>
      </c>
      <c r="I9057">
        <v>-3.5350220000000001</v>
      </c>
      <c r="J9057">
        <v>-303.9753</v>
      </c>
      <c r="K9057">
        <v>1.0519670000000001</v>
      </c>
      <c r="L9057">
        <v>8.2780759999999898</v>
      </c>
      <c r="M9057">
        <v>0.72671090000000005</v>
      </c>
      <c r="N9057">
        <v>0</v>
      </c>
      <c r="O9057">
        <v>-0.68678980000000001</v>
      </c>
      <c r="P9057">
        <v>0.4423145</v>
      </c>
      <c r="Q9057">
        <v>3.4402050000000003E-2</v>
      </c>
      <c r="R9057">
        <v>-0.89620010000000006</v>
      </c>
      <c r="S9057">
        <v>0.14718629999999999</v>
      </c>
      <c r="T9057">
        <v>-0.29052270000000002</v>
      </c>
      <c r="U9057">
        <v>-3.3068849999999999</v>
      </c>
      <c r="V9057">
        <v>0.34846379999999999</v>
      </c>
      <c r="W9057">
        <v>4.0750019999999998E-2</v>
      </c>
      <c r="X9057">
        <v>0.93643600000000005</v>
      </c>
      <c r="Y9057">
        <v>0.69508809999999999</v>
      </c>
      <c r="Z9057">
        <v>3.4392390000000002E-2</v>
      </c>
      <c r="AA9057">
        <v>0.71810149999999995</v>
      </c>
      <c r="AB9057">
        <v>22</v>
      </c>
      <c r="AC9057">
        <v>0.38069999999998999</v>
      </c>
      <c r="AD9057">
        <v>-1.051970715413</v>
      </c>
      <c r="AE9057">
        <v>-11.813097999999901</v>
      </c>
      <c r="AF9057">
        <v>8.2587000805488007</v>
      </c>
      <c r="AG9057">
        <v>-1.051970715413</v>
      </c>
      <c r="AH9057">
        <v>8.3247120122090106</v>
      </c>
      <c r="AI9057">
        <v>95.126287235198504</v>
      </c>
      <c r="AJ9057">
        <v>45.228070380456103</v>
      </c>
      <c r="AK9057">
        <v>11.773427686649301</v>
      </c>
      <c r="AL9057">
        <v>87.664549134014393</v>
      </c>
      <c r="AM9057">
        <v>69.588908062470196</v>
      </c>
      <c r="AN9057">
        <v>0.99999998306822002</v>
      </c>
    </row>
    <row r="9058" spans="1:40" x14ac:dyDescent="0.25">
      <c r="A9058" t="str">
        <f>"20190312150902143"</f>
        <v>20190312150902143</v>
      </c>
      <c r="B9058" t="str">
        <f>"1552374542139040"</f>
        <v>1552374542139040</v>
      </c>
      <c r="C9058" t="s">
        <v>40</v>
      </c>
      <c r="D9058">
        <v>5.1079549999999996</v>
      </c>
      <c r="E9058">
        <v>0.65687819999999997</v>
      </c>
      <c r="F9058" t="s">
        <v>42</v>
      </c>
      <c r="G9058">
        <v>-303.58</v>
      </c>
      <c r="H9058" s="1">
        <v>-3.633691E-6</v>
      </c>
      <c r="I9058">
        <v>-3.7410939999999999</v>
      </c>
      <c r="J9058">
        <v>-303.8184</v>
      </c>
      <c r="K9058">
        <v>1.0519000000000001</v>
      </c>
      <c r="L9058">
        <v>8.1063840000000003</v>
      </c>
      <c r="M9058">
        <v>0.71641860000000002</v>
      </c>
      <c r="N9058">
        <v>0</v>
      </c>
      <c r="O9058">
        <v>-0.69751890000000005</v>
      </c>
      <c r="P9058">
        <v>0.42846790000000001</v>
      </c>
      <c r="Q9058">
        <v>3.494659E-2</v>
      </c>
      <c r="R9058">
        <v>-0.90288109999999999</v>
      </c>
      <c r="S9058">
        <v>0.1087036</v>
      </c>
      <c r="T9058">
        <v>-0.28926220000000002</v>
      </c>
      <c r="U9058">
        <v>-3.304932</v>
      </c>
      <c r="V9058">
        <v>0.34895720000000002</v>
      </c>
      <c r="W9058">
        <v>4.1256460000000002E-2</v>
      </c>
      <c r="X9058">
        <v>0.93623009999999995</v>
      </c>
      <c r="Y9058">
        <v>0.69274720000000001</v>
      </c>
      <c r="Z9058">
        <v>3.5694969999999999E-2</v>
      </c>
      <c r="AA9058">
        <v>0.72029659999999995</v>
      </c>
      <c r="AB9058">
        <v>22</v>
      </c>
      <c r="AC9058">
        <v>0.23840000000001199</v>
      </c>
      <c r="AD9058">
        <v>-1.0519036336909999</v>
      </c>
      <c r="AE9058">
        <v>-11.847478000000001</v>
      </c>
      <c r="AF9058">
        <v>8.2572793006858092</v>
      </c>
      <c r="AG9058">
        <v>-1.0519036336909999</v>
      </c>
      <c r="AH9058">
        <v>8.3695753170862304</v>
      </c>
      <c r="AI9058">
        <v>95.112564386895698</v>
      </c>
      <c r="AJ9058">
        <v>45.386963747261298</v>
      </c>
      <c r="AK9058">
        <v>11.804192208384499</v>
      </c>
      <c r="AL9058">
        <v>87.635507902641294</v>
      </c>
      <c r="AM9058">
        <v>69.558272855453595</v>
      </c>
      <c r="AN9058">
        <v>1.00000001153479</v>
      </c>
    </row>
    <row r="9059" spans="1:40" x14ac:dyDescent="0.25">
      <c r="A9059" t="str">
        <f>"20190312150902158"</f>
        <v>20190312150902158</v>
      </c>
      <c r="B9059" t="str">
        <f>"1552374542148800"</f>
        <v>1552374542148800</v>
      </c>
      <c r="C9059" t="s">
        <v>40</v>
      </c>
      <c r="D9059">
        <v>4.9204230000000004</v>
      </c>
      <c r="E9059">
        <v>0.65449990000000002</v>
      </c>
      <c r="F9059" t="s">
        <v>42</v>
      </c>
      <c r="G9059">
        <v>-303.2715</v>
      </c>
      <c r="H9059" s="1">
        <v>-3.2183460000000002E-6</v>
      </c>
      <c r="I9059">
        <v>-4.4957589999999996</v>
      </c>
      <c r="J9059">
        <v>-303.71789999999999</v>
      </c>
      <c r="K9059">
        <v>1.0518620000000001</v>
      </c>
      <c r="L9059">
        <v>7.9930110000000001</v>
      </c>
      <c r="M9059">
        <v>0.70956629999999998</v>
      </c>
      <c r="N9059">
        <v>0</v>
      </c>
      <c r="O9059">
        <v>-0.704488</v>
      </c>
      <c r="P9059">
        <v>0.41923250000000001</v>
      </c>
      <c r="Q9059">
        <v>3.5154159999999997E-2</v>
      </c>
      <c r="R9059">
        <v>-0.90719839999999996</v>
      </c>
      <c r="S9059">
        <v>0.1417542</v>
      </c>
      <c r="T9059">
        <v>-0.27261289999999999</v>
      </c>
      <c r="U9059">
        <v>-3.2659910000000001</v>
      </c>
      <c r="V9059">
        <v>0.34936289999999998</v>
      </c>
      <c r="W9059">
        <v>4.1437979999999999E-2</v>
      </c>
      <c r="X9059">
        <v>0.93607070000000003</v>
      </c>
      <c r="Y9059">
        <v>0.678069699999999</v>
      </c>
      <c r="Z9059">
        <v>3.5533219999999997E-2</v>
      </c>
      <c r="AA9059">
        <v>0.73413830000000002</v>
      </c>
      <c r="AB9059">
        <v>22</v>
      </c>
      <c r="AC9059">
        <v>0.44639999999998198</v>
      </c>
      <c r="AD9059">
        <v>-1.051865218346</v>
      </c>
      <c r="AE9059">
        <v>-12.488770000000001</v>
      </c>
      <c r="AF9059">
        <v>8.4878995047423391</v>
      </c>
      <c r="AG9059">
        <v>-1.051865218346</v>
      </c>
      <c r="AH9059">
        <v>9.0517769657196396</v>
      </c>
      <c r="AI9059">
        <v>94.845235007330999</v>
      </c>
      <c r="AJ9059">
        <v>46.8413495360452</v>
      </c>
      <c r="AK9059">
        <v>12.453333878014501</v>
      </c>
      <c r="AL9059">
        <v>87.625098522056007</v>
      </c>
      <c r="AM9059">
        <v>69.533280546150706</v>
      </c>
      <c r="AN9059">
        <v>0.99999994874068798</v>
      </c>
    </row>
    <row r="9060" spans="1:40" x14ac:dyDescent="0.25">
      <c r="A9060" t="str">
        <f>"20190312150902178"</f>
        <v>20190312150902178</v>
      </c>
      <c r="B9060" t="str">
        <f>"1552374542168320"</f>
        <v>1552374542168320</v>
      </c>
      <c r="C9060" t="s">
        <v>40</v>
      </c>
      <c r="D9060">
        <v>5.0979640000000002</v>
      </c>
      <c r="E9060">
        <v>0.6522888</v>
      </c>
      <c r="F9060" t="s">
        <v>42</v>
      </c>
      <c r="G9060">
        <v>-303.21600000000001</v>
      </c>
      <c r="H9060" s="1">
        <v>-2.95162E-6</v>
      </c>
      <c r="I9060">
        <v>-5.0287870000000003</v>
      </c>
      <c r="J9060">
        <v>-303.59539999999998</v>
      </c>
      <c r="K9060">
        <v>1.051825</v>
      </c>
      <c r="L9060">
        <v>7.8520509999999897</v>
      </c>
      <c r="M9060">
        <v>0.70097860000000001</v>
      </c>
      <c r="N9060">
        <v>0</v>
      </c>
      <c r="O9060">
        <v>-0.71303269999999996</v>
      </c>
      <c r="P9060">
        <v>0.40750540000000002</v>
      </c>
      <c r="Q9060">
        <v>3.577839E-2</v>
      </c>
      <c r="R9060">
        <v>-0.91250160000000002</v>
      </c>
      <c r="S9060">
        <v>0.12561040000000001</v>
      </c>
      <c r="T9060">
        <v>-0.26325569999999998</v>
      </c>
      <c r="U9060">
        <v>-3.2590330000000001</v>
      </c>
      <c r="V9060">
        <v>0.35008800000000001</v>
      </c>
      <c r="W9060">
        <v>4.2023989999999997E-2</v>
      </c>
      <c r="X9060">
        <v>0.93577370000000004</v>
      </c>
      <c r="Y9060">
        <v>0.67274990000000001</v>
      </c>
      <c r="Z9060">
        <v>3.559093E-2</v>
      </c>
      <c r="AA9060">
        <v>0.73901349999999999</v>
      </c>
      <c r="AB9060">
        <v>22</v>
      </c>
      <c r="AC9060">
        <v>0.37939999999997498</v>
      </c>
      <c r="AD9060">
        <v>-1.05182795162</v>
      </c>
      <c r="AE9060">
        <v>-12.880838000000001</v>
      </c>
      <c r="AF9060">
        <v>8.7016288424620498</v>
      </c>
      <c r="AG9060">
        <v>-1.05182795162</v>
      </c>
      <c r="AH9060">
        <v>9.3888668599837697</v>
      </c>
      <c r="AI9060">
        <v>94.697255734214295</v>
      </c>
      <c r="AJ9060">
        <v>47.175557437748601</v>
      </c>
      <c r="AK9060">
        <v>12.844279172700899</v>
      </c>
      <c r="AL9060">
        <v>87.591493519100894</v>
      </c>
      <c r="AM9060">
        <v>69.488368051365399</v>
      </c>
      <c r="AN9060">
        <v>1.0000000205456001</v>
      </c>
    </row>
    <row r="9061" spans="1:40" x14ac:dyDescent="0.25">
      <c r="A9061" t="str">
        <f>"20190312150902199"</f>
        <v>20190312150902199</v>
      </c>
      <c r="B9061" t="str">
        <f>"1552374542188816"</f>
        <v>1552374542188816</v>
      </c>
      <c r="C9061" t="s">
        <v>40</v>
      </c>
      <c r="D9061">
        <v>5.1010099999999996</v>
      </c>
      <c r="E9061">
        <v>0.65106119999999901</v>
      </c>
      <c r="F9061" t="s">
        <v>42</v>
      </c>
      <c r="G9061">
        <v>-303.19409999999999</v>
      </c>
      <c r="H9061" s="1">
        <v>-2.857395E-6</v>
      </c>
      <c r="I9061">
        <v>-5.2157850000000003</v>
      </c>
      <c r="J9061">
        <v>-303.45150000000001</v>
      </c>
      <c r="K9061">
        <v>1.051776</v>
      </c>
      <c r="L9061">
        <v>7.6818539999999897</v>
      </c>
      <c r="M9061">
        <v>0.69051249999999997</v>
      </c>
      <c r="N9061">
        <v>0</v>
      </c>
      <c r="O9061">
        <v>-0.7231727</v>
      </c>
      <c r="P9061">
        <v>0.39313569999999998</v>
      </c>
      <c r="Q9061">
        <v>3.6933559999999997E-2</v>
      </c>
      <c r="R9061">
        <v>-0.91873870000000002</v>
      </c>
      <c r="S9061">
        <v>9.9914550000000005E-2</v>
      </c>
      <c r="T9061">
        <v>-0.26185979999999998</v>
      </c>
      <c r="U9061">
        <v>-3.2533259999999999</v>
      </c>
      <c r="V9061">
        <v>0.35113470000000002</v>
      </c>
      <c r="W9061">
        <v>4.3130189999999999E-2</v>
      </c>
      <c r="X9061">
        <v>0.93533100000000002</v>
      </c>
      <c r="Y9061">
        <v>0.66775180000000001</v>
      </c>
      <c r="Z9061">
        <v>3.6826030000000003E-2</v>
      </c>
      <c r="AA9061">
        <v>0.74347249999999998</v>
      </c>
      <c r="AB9061">
        <v>22</v>
      </c>
      <c r="AC9061">
        <v>0.257400000000018</v>
      </c>
      <c r="AD9061">
        <v>-1.051778857395</v>
      </c>
      <c r="AE9061">
        <v>-12.8976389999999</v>
      </c>
      <c r="AF9061">
        <v>8.6631801933312893</v>
      </c>
      <c r="AG9061">
        <v>-1.051778857395</v>
      </c>
      <c r="AH9061">
        <v>9.4432009956054603</v>
      </c>
      <c r="AI9061">
        <v>94.691972553679307</v>
      </c>
      <c r="AJ9061">
        <v>47.4667702858222</v>
      </c>
      <c r="AK9061">
        <v>12.858109303874899</v>
      </c>
      <c r="AL9061">
        <v>87.528055188078199</v>
      </c>
      <c r="AM9061">
        <v>69.423250296455706</v>
      </c>
      <c r="AN9061">
        <v>0.99999993519726105</v>
      </c>
    </row>
    <row r="9062" spans="1:40" x14ac:dyDescent="0.25">
      <c r="A9062" t="str">
        <f>"20190312150902222"</f>
        <v>20190312150902222</v>
      </c>
      <c r="B9062" t="str">
        <f>"1552374542219072"</f>
        <v>1552374542219072</v>
      </c>
      <c r="C9062" t="s">
        <v>40</v>
      </c>
      <c r="D9062">
        <v>5.1272900000000003</v>
      </c>
      <c r="E9062">
        <v>0.64954080000000003</v>
      </c>
      <c r="F9062" t="s">
        <v>42</v>
      </c>
      <c r="G9062">
        <v>-303.21550000000002</v>
      </c>
      <c r="H9062" s="1">
        <v>-2.7541099999999999E-6</v>
      </c>
      <c r="I9062">
        <v>-5.4463470000000003</v>
      </c>
      <c r="J9062">
        <v>-303.31150000000002</v>
      </c>
      <c r="K9062">
        <v>1.051731</v>
      </c>
      <c r="L9062">
        <v>7.5111080000000001</v>
      </c>
      <c r="M9062">
        <v>0.67991669999999904</v>
      </c>
      <c r="N9062">
        <v>0</v>
      </c>
      <c r="O9062">
        <v>-0.73314290000000004</v>
      </c>
      <c r="P9062">
        <v>0.3789033</v>
      </c>
      <c r="Q9062">
        <v>3.7269070000000001E-2</v>
      </c>
      <c r="R9062">
        <v>-0.9246856</v>
      </c>
      <c r="S9062">
        <v>5.8441159999999999E-2</v>
      </c>
      <c r="T9062">
        <v>-0.26044299999999998</v>
      </c>
      <c r="U9062">
        <v>-3.2508240000000002</v>
      </c>
      <c r="V9062">
        <v>0.35197109999999998</v>
      </c>
      <c r="W9062">
        <v>4.342555E-2</v>
      </c>
      <c r="X9062">
        <v>0.93500300000000003</v>
      </c>
      <c r="Y9062">
        <v>0.66639569999999904</v>
      </c>
      <c r="Z9062">
        <v>3.7843370000000001E-2</v>
      </c>
      <c r="AA9062">
        <v>0.74463729999999995</v>
      </c>
      <c r="AB9062">
        <v>22</v>
      </c>
      <c r="AC9062">
        <v>9.6000000000003596E-2</v>
      </c>
      <c r="AD9062">
        <v>-1.05173375411</v>
      </c>
      <c r="AE9062">
        <v>-12.957455</v>
      </c>
      <c r="AF9062">
        <v>8.6833418084240996</v>
      </c>
      <c r="AG9062">
        <v>-1.05173375411</v>
      </c>
      <c r="AH9062">
        <v>9.5033580612445601</v>
      </c>
      <c r="AI9062">
        <v>94.670732637240306</v>
      </c>
      <c r="AJ9062">
        <v>47.581648700607801</v>
      </c>
      <c r="AK9062">
        <v>12.915896534568599</v>
      </c>
      <c r="AL9062">
        <v>87.511116650849502</v>
      </c>
      <c r="AM9062">
        <v>69.371731803581397</v>
      </c>
      <c r="AN9062">
        <v>1.0000000218184999</v>
      </c>
    </row>
    <row r="9063" spans="1:40" x14ac:dyDescent="0.25">
      <c r="A9063" t="str">
        <f>"20190312150902244"</f>
        <v>20190312150902244</v>
      </c>
      <c r="B9063" t="str">
        <f>"1552374542238592"</f>
        <v>1552374542238592</v>
      </c>
      <c r="C9063" t="s">
        <v>40</v>
      </c>
      <c r="D9063">
        <v>5.0833750000000002</v>
      </c>
      <c r="E9063">
        <v>0.64832880000000004</v>
      </c>
      <c r="F9063" t="s">
        <v>42</v>
      </c>
      <c r="G9063">
        <v>-303.23340000000002</v>
      </c>
      <c r="H9063" s="1">
        <v>-2.7737499999999999E-6</v>
      </c>
      <c r="I9063">
        <v>-5.4148620000000003</v>
      </c>
      <c r="J9063">
        <v>-303.17160000000001</v>
      </c>
      <c r="K9063">
        <v>1.0516859999999999</v>
      </c>
      <c r="L9063">
        <v>7.3352050000000002</v>
      </c>
      <c r="M9063">
        <v>0.66890050000000001</v>
      </c>
      <c r="N9063">
        <v>0</v>
      </c>
      <c r="O9063">
        <v>-0.74320699999999995</v>
      </c>
      <c r="P9063">
        <v>0.3644868</v>
      </c>
      <c r="Q9063">
        <v>3.7624959999999999E-2</v>
      </c>
      <c r="R9063">
        <v>-0.9304481</v>
      </c>
      <c r="S9063">
        <v>1.9622799999999999E-2</v>
      </c>
      <c r="T9063">
        <v>-0.26419120000000001</v>
      </c>
      <c r="U9063">
        <v>-3.2469480000000002</v>
      </c>
      <c r="V9063">
        <v>0.35255330000000001</v>
      </c>
      <c r="W9063">
        <v>4.375093E-2</v>
      </c>
      <c r="X9063">
        <v>0.93476840000000005</v>
      </c>
      <c r="Y9063">
        <v>0.66415409999999997</v>
      </c>
      <c r="Z9063">
        <v>3.9686260000000001E-2</v>
      </c>
      <c r="AA9063">
        <v>0.74654160000000003</v>
      </c>
      <c r="AB9063">
        <v>22</v>
      </c>
      <c r="AC9063">
        <v>-6.1800000000005101E-2</v>
      </c>
      <c r="AD9063">
        <v>-1.05168877375</v>
      </c>
      <c r="AE9063">
        <v>-12.750067</v>
      </c>
      <c r="AF9063">
        <v>8.5174310595353706</v>
      </c>
      <c r="AG9063">
        <v>-1.05168877375</v>
      </c>
      <c r="AH9063">
        <v>9.3718551873361502</v>
      </c>
      <c r="AI9063">
        <v>94.747245218595694</v>
      </c>
      <c r="AJ9063">
        <v>47.734470315392699</v>
      </c>
      <c r="AK9063">
        <v>12.707649302021499</v>
      </c>
      <c r="AL9063">
        <v>87.492455878539104</v>
      </c>
      <c r="AM9063">
        <v>69.335742913441294</v>
      </c>
      <c r="AN9063">
        <v>0.99999996742765696</v>
      </c>
    </row>
    <row r="9064" spans="1:40" x14ac:dyDescent="0.25">
      <c r="A9064" t="str">
        <f>"20190312150902260"</f>
        <v>20190312150902260</v>
      </c>
      <c r="B9064" t="str">
        <f>"1552374542248352"</f>
        <v>1552374542248352</v>
      </c>
      <c r="C9064" t="s">
        <v>40</v>
      </c>
      <c r="D9064">
        <v>5.1196890000000002</v>
      </c>
      <c r="E9064">
        <v>0.64832880000000004</v>
      </c>
      <c r="F9064" t="s">
        <v>42</v>
      </c>
      <c r="G9064">
        <v>-303.25760000000002</v>
      </c>
      <c r="H9064" s="1">
        <v>-2.7127989999999999E-6</v>
      </c>
      <c r="I9064">
        <v>-5.5574399999999997</v>
      </c>
      <c r="J9064">
        <v>-303.07459999999998</v>
      </c>
      <c r="K9064">
        <v>1.0516589999999999</v>
      </c>
      <c r="L9064">
        <v>7.20932</v>
      </c>
      <c r="M9064">
        <v>0.66096299999999997</v>
      </c>
      <c r="N9064">
        <v>0</v>
      </c>
      <c r="O9064">
        <v>-0.75027449999999996</v>
      </c>
      <c r="P9064">
        <v>0.35482750000000002</v>
      </c>
      <c r="Q9064">
        <v>3.8143610000000001E-2</v>
      </c>
      <c r="R9064">
        <v>-0.93415360000000003</v>
      </c>
      <c r="S9064">
        <v>-2.163696E-2</v>
      </c>
      <c r="T9064">
        <v>-0.26457629999999999</v>
      </c>
      <c r="U9064">
        <v>-3.243439</v>
      </c>
      <c r="V9064">
        <v>0.35230289999999997</v>
      </c>
      <c r="W9064">
        <v>4.4266840000000002E-2</v>
      </c>
      <c r="X9064">
        <v>0.93483850000000002</v>
      </c>
      <c r="Y9064">
        <v>0.66570090000000004</v>
      </c>
      <c r="Z9064">
        <v>4.0542130000000003E-2</v>
      </c>
      <c r="AA9064">
        <v>0.74511660000000002</v>
      </c>
      <c r="AB9064">
        <v>22</v>
      </c>
      <c r="AC9064">
        <v>-0.18300000000004901</v>
      </c>
      <c r="AD9064">
        <v>-1.051661712799</v>
      </c>
      <c r="AE9064">
        <v>-12.76676</v>
      </c>
      <c r="AF9064">
        <v>8.5187893657540208</v>
      </c>
      <c r="AG9064">
        <v>-1.051661712799</v>
      </c>
      <c r="AH9064">
        <v>9.3949029259141899</v>
      </c>
      <c r="AI9064">
        <v>94.740424815565405</v>
      </c>
      <c r="AJ9064">
        <v>47.799961205402496</v>
      </c>
      <c r="AK9064">
        <v>12.7255634690021</v>
      </c>
      <c r="AL9064">
        <v>87.462867710210801</v>
      </c>
      <c r="AM9064">
        <v>69.350598689630502</v>
      </c>
      <c r="AN9064">
        <v>0.99999995377712103</v>
      </c>
    </row>
    <row r="9065" spans="1:40" x14ac:dyDescent="0.25">
      <c r="A9065" t="str">
        <f>"20190312150902277"</f>
        <v>20190312150902277</v>
      </c>
      <c r="B9065" t="str">
        <f>"1552374542268848"</f>
        <v>1552374542268848</v>
      </c>
      <c r="C9065" t="s">
        <v>40</v>
      </c>
      <c r="D9065">
        <v>5.1861100000000002</v>
      </c>
      <c r="E9065">
        <v>0.64659069999999996</v>
      </c>
      <c r="F9065" t="s">
        <v>42</v>
      </c>
      <c r="G9065">
        <v>-303.29570000000001</v>
      </c>
      <c r="H9065" s="1">
        <v>-2.620404E-6</v>
      </c>
      <c r="I9065">
        <v>-5.7743529999999996</v>
      </c>
      <c r="J9065">
        <v>-302.96820000000002</v>
      </c>
      <c r="K9065">
        <v>1.0516350000000001</v>
      </c>
      <c r="L9065">
        <v>7.0681759999999896</v>
      </c>
      <c r="M9065">
        <v>0.65200559999999996</v>
      </c>
      <c r="N9065">
        <v>0</v>
      </c>
      <c r="O9065">
        <v>-0.75807150000000001</v>
      </c>
      <c r="P9065">
        <v>0.3441321</v>
      </c>
      <c r="Q9065">
        <v>3.9133859999999999E-2</v>
      </c>
      <c r="R9065">
        <v>-0.93810610000000005</v>
      </c>
      <c r="S9065">
        <v>-5.5236819999999999E-2</v>
      </c>
      <c r="T9065">
        <v>-0.26269229999999999</v>
      </c>
      <c r="U9065">
        <v>-3.2431640000000002</v>
      </c>
      <c r="V9065">
        <v>0.351879099999999</v>
      </c>
      <c r="W9065">
        <v>4.5259580000000001E-2</v>
      </c>
      <c r="X9065">
        <v>0.93495059999999997</v>
      </c>
      <c r="Y9065">
        <v>0.66456930000000003</v>
      </c>
      <c r="Z9065">
        <v>4.1203700000000003E-2</v>
      </c>
      <c r="AA9065">
        <v>0.74608980000000003</v>
      </c>
      <c r="AB9065">
        <v>22</v>
      </c>
      <c r="AC9065">
        <v>-0.32749999999998602</v>
      </c>
      <c r="AD9065">
        <v>-1.0516376204039899</v>
      </c>
      <c r="AE9065">
        <v>-12.842529000000001</v>
      </c>
      <c r="AF9065">
        <v>8.5652051695552505</v>
      </c>
      <c r="AG9065">
        <v>-1.0516376204039899</v>
      </c>
      <c r="AH9065">
        <v>9.4596628171920791</v>
      </c>
      <c r="AI9065">
        <v>94.711045853935104</v>
      </c>
      <c r="AJ9065">
        <v>47.840888694951502</v>
      </c>
      <c r="AK9065">
        <v>12.804448519799299</v>
      </c>
      <c r="AL9065">
        <v>87.405930882592997</v>
      </c>
      <c r="AM9065">
        <v>69.375611311334794</v>
      </c>
      <c r="AN9065">
        <v>0.99999997751947201</v>
      </c>
    </row>
    <row r="9066" spans="1:40" x14ac:dyDescent="0.25">
      <c r="A9066" t="str">
        <f>"20190312150902295"</f>
        <v>20190312150902295</v>
      </c>
      <c r="B9066" t="str">
        <f>"1552374542288368"</f>
        <v>1552374542288368</v>
      </c>
      <c r="C9066" t="s">
        <v>40</v>
      </c>
      <c r="D9066">
        <v>5.0955640000000004</v>
      </c>
      <c r="E9066">
        <v>0.63425359999999997</v>
      </c>
      <c r="F9066" t="s">
        <v>42</v>
      </c>
      <c r="G9066">
        <v>-303.28370000000001</v>
      </c>
      <c r="H9066" s="1">
        <v>-2.5944289999999998E-6</v>
      </c>
      <c r="I9066">
        <v>-5.8225439999999997</v>
      </c>
      <c r="J9066">
        <v>-302.86489999999998</v>
      </c>
      <c r="K9066">
        <v>1.051607</v>
      </c>
      <c r="L9066">
        <v>6.9277039999999896</v>
      </c>
      <c r="M9066">
        <v>0.64303619999999995</v>
      </c>
      <c r="N9066">
        <v>0</v>
      </c>
      <c r="O9066">
        <v>-0.76569409999999904</v>
      </c>
      <c r="P9066">
        <v>0.3332656</v>
      </c>
      <c r="Q9066">
        <v>3.9523339999999997E-2</v>
      </c>
      <c r="R9066">
        <v>-0.94200450000000002</v>
      </c>
      <c r="S9066">
        <v>-7.9254149999999995E-2</v>
      </c>
      <c r="T9066">
        <v>-0.26416230000000002</v>
      </c>
      <c r="U9066">
        <v>-3.2380369999999998</v>
      </c>
      <c r="V9066">
        <v>0.35168100000000002</v>
      </c>
      <c r="W9066">
        <v>4.5647319999999998E-2</v>
      </c>
      <c r="X9066">
        <v>0.93500629999999996</v>
      </c>
      <c r="Y9066">
        <v>0.66132369999999996</v>
      </c>
      <c r="Z9066">
        <v>4.2518E-2</v>
      </c>
      <c r="AA9066">
        <v>0.74889469999999903</v>
      </c>
      <c r="AB9066">
        <v>22</v>
      </c>
      <c r="AC9066">
        <v>-0.41880000000003198</v>
      </c>
      <c r="AD9066">
        <v>-1.051609594429</v>
      </c>
      <c r="AE9066">
        <v>-12.750247999999999</v>
      </c>
      <c r="AF9066">
        <v>8.4629605160678896</v>
      </c>
      <c r="AG9066">
        <v>-1.051609594429</v>
      </c>
      <c r="AH9066">
        <v>9.4304343982753096</v>
      </c>
      <c r="AI9066">
        <v>94.744291598176005</v>
      </c>
      <c r="AJ9066">
        <v>48.094898853040497</v>
      </c>
      <c r="AK9066">
        <v>12.7145851830011</v>
      </c>
      <c r="AL9066">
        <v>87.383692070342207</v>
      </c>
      <c r="AM9066">
        <v>69.387370549237104</v>
      </c>
      <c r="AN9066">
        <v>0.99999999231193604</v>
      </c>
    </row>
    <row r="9067" spans="1:40" x14ac:dyDescent="0.25">
      <c r="A9067" t="str">
        <f>"20190312150902310"</f>
        <v>20190312150902310</v>
      </c>
      <c r="B9067" t="str">
        <f>"1552374542298129"</f>
        <v>1552374542298129</v>
      </c>
      <c r="C9067" t="s">
        <v>40</v>
      </c>
      <c r="D9067">
        <v>5.1336589999999998</v>
      </c>
      <c r="E9067">
        <v>0.63429219999999997</v>
      </c>
      <c r="F9067" t="s">
        <v>42</v>
      </c>
      <c r="G9067">
        <v>-302.9579</v>
      </c>
      <c r="H9067" s="1">
        <v>-2.4278829999999998E-6</v>
      </c>
      <c r="I9067">
        <v>-5.9914940000000003</v>
      </c>
      <c r="J9067">
        <v>-302.77449999999999</v>
      </c>
      <c r="K9067">
        <v>1.0515909999999999</v>
      </c>
      <c r="L9067">
        <v>6.8018799999999997</v>
      </c>
      <c r="M9067">
        <v>0.63495740000000001</v>
      </c>
      <c r="N9067">
        <v>0</v>
      </c>
      <c r="O9067">
        <v>-0.77240620000000004</v>
      </c>
      <c r="P9067">
        <v>0.32393739999999999</v>
      </c>
      <c r="Q9067">
        <v>3.9752160000000002E-2</v>
      </c>
      <c r="R9067">
        <v>-0.9452431</v>
      </c>
      <c r="S9067">
        <v>-2.3071290000000001E-2</v>
      </c>
      <c r="T9067">
        <v>-0.26078580000000001</v>
      </c>
      <c r="U9067">
        <v>-3.2037960000000001</v>
      </c>
      <c r="V9067">
        <v>0.35110360000000002</v>
      </c>
      <c r="W9067">
        <v>4.588739E-2</v>
      </c>
      <c r="X9067">
        <v>0.93521149999999997</v>
      </c>
      <c r="Y9067">
        <v>0.64029029999999998</v>
      </c>
      <c r="Z9067">
        <v>4.4038769999999998E-2</v>
      </c>
      <c r="AA9067">
        <v>0.76686949999999998</v>
      </c>
      <c r="AB9067">
        <v>22</v>
      </c>
      <c r="AC9067">
        <v>-0.183400000000006</v>
      </c>
      <c r="AD9067">
        <v>-1.0515934278829999</v>
      </c>
      <c r="AE9067">
        <v>-12.793374</v>
      </c>
      <c r="AF9067">
        <v>8.2103445548294705</v>
      </c>
      <c r="AG9067">
        <v>-1.0515934278829999</v>
      </c>
      <c r="AH9067">
        <v>9.7007633261395796</v>
      </c>
      <c r="AI9067">
        <v>94.730166282457901</v>
      </c>
      <c r="AJ9067">
        <v>49.7567366047954</v>
      </c>
      <c r="AK9067">
        <v>12.7522709960367</v>
      </c>
      <c r="AL9067">
        <v>87.369922585359802</v>
      </c>
      <c r="AM9067">
        <v>69.422511331100495</v>
      </c>
      <c r="AN9067">
        <v>0.99999997011311004</v>
      </c>
    </row>
    <row r="9068" spans="1:40" x14ac:dyDescent="0.25">
      <c r="A9068" t="str">
        <f>"20190312150902333"</f>
        <v>20190312150902333</v>
      </c>
      <c r="B9068" t="str">
        <f>"1552374542328388"</f>
        <v>1552374542328388</v>
      </c>
      <c r="C9068" t="s">
        <v>40</v>
      </c>
      <c r="D9068">
        <v>5.1479799999999996</v>
      </c>
      <c r="E9068">
        <v>0.6321483</v>
      </c>
      <c r="F9068" t="s">
        <v>42</v>
      </c>
      <c r="G9068">
        <v>-302.99340000000001</v>
      </c>
      <c r="H9068" s="1">
        <v>-2.359523E-6</v>
      </c>
      <c r="I9068">
        <v>-6.1560610000000002</v>
      </c>
      <c r="J9068">
        <v>-302.64600000000002</v>
      </c>
      <c r="K9068">
        <v>1.0515620000000001</v>
      </c>
      <c r="L9068">
        <v>6.6176450000000004</v>
      </c>
      <c r="M9068">
        <v>0.62306729999999999</v>
      </c>
      <c r="N9068">
        <v>0</v>
      </c>
      <c r="O9068">
        <v>-0.78202899999999997</v>
      </c>
      <c r="P9068">
        <v>0.3101333</v>
      </c>
      <c r="Q9068">
        <v>3.959447E-2</v>
      </c>
      <c r="R9068">
        <v>-0.94986859999999995</v>
      </c>
      <c r="S9068">
        <v>-5.4107669999999997E-2</v>
      </c>
      <c r="T9068">
        <v>-0.25995980000000002</v>
      </c>
      <c r="U9068">
        <v>-3.2032780000000001</v>
      </c>
      <c r="V9068">
        <v>0.35042440000000002</v>
      </c>
      <c r="W9068">
        <v>4.57464E-2</v>
      </c>
      <c r="X9068">
        <v>0.93547309999999995</v>
      </c>
      <c r="Y9068">
        <v>0.63597320000000002</v>
      </c>
      <c r="Z9068">
        <v>4.5187529999999997E-2</v>
      </c>
      <c r="AA9068">
        <v>0.77038709999999999</v>
      </c>
      <c r="AB9068">
        <v>22</v>
      </c>
      <c r="AC9068">
        <v>-0.34740000000005</v>
      </c>
      <c r="AD9068">
        <v>-1.051564359523</v>
      </c>
      <c r="AE9068">
        <v>-12.773705999999899</v>
      </c>
      <c r="AF9068">
        <v>8.1760833517494795</v>
      </c>
      <c r="AG9068">
        <v>-1.051564359523</v>
      </c>
      <c r="AH9068">
        <v>9.7082749026310609</v>
      </c>
      <c r="AI9068">
        <v>94.736106087047204</v>
      </c>
      <c r="AJ9068">
        <v>49.896696260841999</v>
      </c>
      <c r="AK9068">
        <v>12.7359620037918</v>
      </c>
      <c r="AL9068">
        <v>87.378009175354507</v>
      </c>
      <c r="AM9068">
        <v>69.464255539892903</v>
      </c>
      <c r="AN9068">
        <v>0.999999957025964</v>
      </c>
    </row>
    <row r="9069" spans="1:40" x14ac:dyDescent="0.25">
      <c r="A9069" t="str">
        <f>"20190312150902348"</f>
        <v>20190312150902348</v>
      </c>
      <c r="B9069" t="str">
        <f>"1552374542338144"</f>
        <v>1552374542338144</v>
      </c>
      <c r="C9069" t="s">
        <v>40</v>
      </c>
      <c r="D9069">
        <v>5.1809539999999998</v>
      </c>
      <c r="E9069">
        <v>0.63143300000000002</v>
      </c>
      <c r="F9069" t="s">
        <v>42</v>
      </c>
      <c r="G9069">
        <v>-302.99689999999998</v>
      </c>
      <c r="H9069" s="1">
        <v>-2.090119E-6</v>
      </c>
      <c r="I9069">
        <v>-6.7279489999999997</v>
      </c>
      <c r="J9069">
        <v>-302.55430000000001</v>
      </c>
      <c r="K9069">
        <v>1.0515460000000001</v>
      </c>
      <c r="L9069">
        <v>6.4826050000000004</v>
      </c>
      <c r="M9069">
        <v>0.61430509999999905</v>
      </c>
      <c r="N9069">
        <v>0</v>
      </c>
      <c r="O9069">
        <v>-0.78893000000000002</v>
      </c>
      <c r="P9069">
        <v>0.29963909999999899</v>
      </c>
      <c r="Q9069">
        <v>3.9713140000000001E-2</v>
      </c>
      <c r="R9069">
        <v>-0.95322569999999995</v>
      </c>
      <c r="S9069">
        <v>-8.4045410000000001E-2</v>
      </c>
      <c r="T9069">
        <v>-0.25185099999999999</v>
      </c>
      <c r="U9069">
        <v>-3.1962890000000002</v>
      </c>
      <c r="V9069">
        <v>0.35030739999999999</v>
      </c>
      <c r="W9069">
        <v>4.586929E-2</v>
      </c>
      <c r="X9069">
        <v>0.93551090000000003</v>
      </c>
      <c r="Y9069">
        <v>0.63462790000000002</v>
      </c>
      <c r="Z9069">
        <v>4.4707620000000003E-2</v>
      </c>
      <c r="AA9069">
        <v>0.77152359999999998</v>
      </c>
      <c r="AB9069">
        <v>22</v>
      </c>
      <c r="AC9069">
        <v>-0.44259999999997002</v>
      </c>
      <c r="AD9069">
        <v>-1.051548090119</v>
      </c>
      <c r="AE9069">
        <v>-13.210554</v>
      </c>
      <c r="AF9069">
        <v>8.4121769340194295</v>
      </c>
      <c r="AG9069">
        <v>-1.051548090119</v>
      </c>
      <c r="AH9069">
        <v>10.087577661538599</v>
      </c>
      <c r="AI9069">
        <v>94.577220263427904</v>
      </c>
      <c r="AJ9069">
        <v>50.174784175808099</v>
      </c>
      <c r="AK9069">
        <v>13.176862192216101</v>
      </c>
      <c r="AL9069">
        <v>87.370960692738393</v>
      </c>
      <c r="AM9069">
        <v>69.471300308603603</v>
      </c>
      <c r="AN9069">
        <v>0.99999995513933604</v>
      </c>
    </row>
    <row r="9070" spans="1:40" x14ac:dyDescent="0.25">
      <c r="A9070" t="str">
        <f>"20190312150902367"</f>
        <v>20190312150902367</v>
      </c>
      <c r="B9070" t="str">
        <f>"1552374542358639"</f>
        <v>1552374542358639</v>
      </c>
      <c r="C9070" t="s">
        <v>40</v>
      </c>
      <c r="D9070">
        <v>5.1461930000000002</v>
      </c>
      <c r="E9070">
        <v>0.63038919999999998</v>
      </c>
      <c r="F9070" t="s">
        <v>42</v>
      </c>
      <c r="G9070">
        <v>-303.03199999999998</v>
      </c>
      <c r="H9070" s="1">
        <v>-2.0018160000000001E-6</v>
      </c>
      <c r="I9070">
        <v>-6.9345399999999904</v>
      </c>
      <c r="J9070">
        <v>-302.45659999999998</v>
      </c>
      <c r="K9070">
        <v>1.0515350000000001</v>
      </c>
      <c r="L9070">
        <v>6.3349000000000002</v>
      </c>
      <c r="M9070">
        <v>0.60468520000000003</v>
      </c>
      <c r="N9070">
        <v>0</v>
      </c>
      <c r="O9070">
        <v>-0.79632740000000002</v>
      </c>
      <c r="P9070">
        <v>0.2881552</v>
      </c>
      <c r="Q9070">
        <v>3.9490089999999999E-2</v>
      </c>
      <c r="R9070">
        <v>-0.9567696</v>
      </c>
      <c r="S9070">
        <v>-0.1137085</v>
      </c>
      <c r="T9070">
        <v>-0.25027709999999997</v>
      </c>
      <c r="U9070">
        <v>-3.19339</v>
      </c>
      <c r="V9070">
        <v>0.35020469999999998</v>
      </c>
      <c r="W9070">
        <v>4.5653510000000001E-2</v>
      </c>
      <c r="X9070">
        <v>0.93555999999999995</v>
      </c>
      <c r="Y9070">
        <v>0.63243400000000005</v>
      </c>
      <c r="Z9070">
        <v>4.5378519999999999E-2</v>
      </c>
      <c r="AA9070">
        <v>0.77328390000000002</v>
      </c>
      <c r="AB9070">
        <v>22</v>
      </c>
      <c r="AC9070">
        <v>-0.57540000000000102</v>
      </c>
      <c r="AD9070">
        <v>-1.051537001816</v>
      </c>
      <c r="AE9070">
        <v>-13.269439999999999</v>
      </c>
      <c r="AF9070">
        <v>8.4301275712177599</v>
      </c>
      <c r="AG9070">
        <v>-1.051537001816</v>
      </c>
      <c r="AH9070">
        <v>10.156339486444599</v>
      </c>
      <c r="AI9070">
        <v>94.554954573900403</v>
      </c>
      <c r="AJ9070">
        <v>50.306105008887798</v>
      </c>
      <c r="AK9070">
        <v>13.240997420780101</v>
      </c>
      <c r="AL9070">
        <v>87.383337175305499</v>
      </c>
      <c r="AM9070">
        <v>69.477804226201101</v>
      </c>
      <c r="AN9070">
        <v>1.0000000442387</v>
      </c>
    </row>
    <row r="9071" spans="1:40" x14ac:dyDescent="0.25">
      <c r="A9071" t="str">
        <f>"20190312150902388"</f>
        <v>20190312150902388</v>
      </c>
      <c r="B9071" t="str">
        <f>"1552374542378160"</f>
        <v>1552374542378160</v>
      </c>
      <c r="C9071" t="s">
        <v>40</v>
      </c>
      <c r="D9071">
        <v>5.262384</v>
      </c>
      <c r="E9071">
        <v>0.6296754</v>
      </c>
      <c r="F9071" t="s">
        <v>42</v>
      </c>
      <c r="G9071">
        <v>-303.05</v>
      </c>
      <c r="H9071" s="1">
        <v>-2.0728209999999998E-6</v>
      </c>
      <c r="I9071">
        <v>-6.7944500000000003</v>
      </c>
      <c r="J9071">
        <v>-302.33890000000002</v>
      </c>
      <c r="K9071">
        <v>1.051534</v>
      </c>
      <c r="L9071">
        <v>6.1511839999999998</v>
      </c>
      <c r="M9071">
        <v>0.59267819999999904</v>
      </c>
      <c r="N9071">
        <v>0</v>
      </c>
      <c r="O9071">
        <v>-0.80530349999999995</v>
      </c>
      <c r="P9071">
        <v>0.27380779999999999</v>
      </c>
      <c r="Q9071">
        <v>3.9513630000000001E-2</v>
      </c>
      <c r="R9071">
        <v>-0.96097270000000001</v>
      </c>
      <c r="S9071">
        <v>-0.14416499999999999</v>
      </c>
      <c r="T9071">
        <v>-0.25545000000000001</v>
      </c>
      <c r="U9071">
        <v>-3.189514</v>
      </c>
      <c r="V9071">
        <v>0.3501763</v>
      </c>
      <c r="W9071">
        <v>4.5688760000000002E-2</v>
      </c>
      <c r="X9071">
        <v>0.93556890000000004</v>
      </c>
      <c r="Y9071">
        <v>0.62821319999999903</v>
      </c>
      <c r="Z9071">
        <v>4.7550639999999998E-2</v>
      </c>
      <c r="AA9071">
        <v>0.77658680000000002</v>
      </c>
      <c r="AB9071">
        <v>22</v>
      </c>
      <c r="AC9071">
        <v>-0.71109999999998696</v>
      </c>
      <c r="AD9071">
        <v>-1.0515360728209999</v>
      </c>
      <c r="AE9071">
        <v>-12.945634</v>
      </c>
      <c r="AF9071">
        <v>8.1922600386686995</v>
      </c>
      <c r="AG9071">
        <v>-1.0515360728209999</v>
      </c>
      <c r="AH9071">
        <v>9.9394241632693507</v>
      </c>
      <c r="AI9071">
        <v>94.667181089256204</v>
      </c>
      <c r="AJ9071">
        <v>50.504012321339601</v>
      </c>
      <c r="AK9071">
        <v>12.9232737861191</v>
      </c>
      <c r="AL9071">
        <v>87.381315365963005</v>
      </c>
      <c r="AM9071">
        <v>69.479508705456496</v>
      </c>
      <c r="AN9071">
        <v>1.0000000352596099</v>
      </c>
    </row>
    <row r="9072" spans="1:40" x14ac:dyDescent="0.25">
      <c r="A9072" t="str">
        <f>"20190312150902411"</f>
        <v>20190312150902411</v>
      </c>
      <c r="B9072" t="str">
        <f>"1552374542398657"</f>
        <v>1552374542398657</v>
      </c>
      <c r="C9072" t="s">
        <v>40</v>
      </c>
      <c r="D9072">
        <v>5.1827709999999998</v>
      </c>
      <c r="E9072">
        <v>0.61810369999999903</v>
      </c>
      <c r="F9072" t="s">
        <v>42</v>
      </c>
      <c r="G9072">
        <v>-303.09460000000001</v>
      </c>
      <c r="H9072" s="1">
        <v>-2.1019050000000001E-6</v>
      </c>
      <c r="I9072">
        <v>-6.7580159999999996</v>
      </c>
      <c r="J9072">
        <v>-302.22359999999998</v>
      </c>
      <c r="K9072">
        <v>1.0515429999999999</v>
      </c>
      <c r="L9072">
        <v>5.9651489999999896</v>
      </c>
      <c r="M9072">
        <v>0.5804781</v>
      </c>
      <c r="N9072">
        <v>0</v>
      </c>
      <c r="O9072">
        <v>-0.814141</v>
      </c>
      <c r="P9072">
        <v>0.26026680000000002</v>
      </c>
      <c r="Q9072">
        <v>3.9966130000000002E-2</v>
      </c>
      <c r="R9072">
        <v>-0.96470919999999905</v>
      </c>
      <c r="S9072">
        <v>-0.18649289999999999</v>
      </c>
      <c r="T9072">
        <v>-0.25949040000000001</v>
      </c>
      <c r="U9072">
        <v>-3.185638</v>
      </c>
      <c r="V9072">
        <v>0.34923530000000003</v>
      </c>
      <c r="W9072">
        <v>4.6183189999999999E-2</v>
      </c>
      <c r="X9072">
        <v>0.93589630000000001</v>
      </c>
      <c r="Y9072">
        <v>0.62681929999999997</v>
      </c>
      <c r="Z9072">
        <v>4.943587E-2</v>
      </c>
      <c r="AA9072">
        <v>0.77759469999999997</v>
      </c>
      <c r="AB9072">
        <v>22</v>
      </c>
      <c r="AC9072">
        <v>-0.87100000000003697</v>
      </c>
      <c r="AD9072">
        <v>-1.0515451019049999</v>
      </c>
      <c r="AE9072">
        <v>-12.723165</v>
      </c>
      <c r="AF9072">
        <v>8.04085591670251</v>
      </c>
      <c r="AG9072">
        <v>-1.0515451019049999</v>
      </c>
      <c r="AH9072">
        <v>9.7873929733296396</v>
      </c>
      <c r="AI9072">
        <v>94.745567038097704</v>
      </c>
      <c r="AJ9072">
        <v>50.595104159208503</v>
      </c>
      <c r="AK9072">
        <v>12.710396224700901</v>
      </c>
      <c r="AL9072">
        <v>87.352956672803401</v>
      </c>
      <c r="AM9072">
        <v>69.536639602320093</v>
      </c>
      <c r="AN9072">
        <v>1.0000000330791701</v>
      </c>
    </row>
    <row r="9073" spans="1:40" x14ac:dyDescent="0.25">
      <c r="A9073" t="str">
        <f>"20190312150902434"</f>
        <v>20190312150902434</v>
      </c>
      <c r="B9073" t="str">
        <f>"1552374542428912"</f>
        <v>1552374542428912</v>
      </c>
      <c r="C9073" t="s">
        <v>40</v>
      </c>
      <c r="D9073">
        <v>5.2265030000000001</v>
      </c>
      <c r="E9073">
        <v>0.61606439999999996</v>
      </c>
      <c r="F9073" t="s">
        <v>42</v>
      </c>
      <c r="G9073">
        <v>-302.75380000000001</v>
      </c>
      <c r="H9073" s="1">
        <v>-2.4963870000000002E-6</v>
      </c>
      <c r="I9073">
        <v>-5.7316669999999998</v>
      </c>
      <c r="J9073">
        <v>-302.10570000000001</v>
      </c>
      <c r="K9073">
        <v>1.051563</v>
      </c>
      <c r="L9073">
        <v>5.7682500000000001</v>
      </c>
      <c r="M9073">
        <v>0.56753219999999904</v>
      </c>
      <c r="N9073">
        <v>0</v>
      </c>
      <c r="O9073">
        <v>-0.82321769999999905</v>
      </c>
      <c r="P9073">
        <v>0.2465465</v>
      </c>
      <c r="Q9073">
        <v>3.9688429999999997E-2</v>
      </c>
      <c r="R9073">
        <v>-0.96831809999999996</v>
      </c>
      <c r="S9073">
        <v>-0.1432495</v>
      </c>
      <c r="T9073">
        <v>-0.28409849999999998</v>
      </c>
      <c r="U9073">
        <v>-3.1601560000000002</v>
      </c>
      <c r="V9073">
        <v>0.34771929999999901</v>
      </c>
      <c r="W9073">
        <v>4.5966930000000003E-2</v>
      </c>
      <c r="X9073">
        <v>0.93647119999999995</v>
      </c>
      <c r="Y9073">
        <v>0.60395690000000002</v>
      </c>
      <c r="Z9073">
        <v>5.6606139999999999E-2</v>
      </c>
      <c r="AA9073">
        <v>0.7950043</v>
      </c>
      <c r="AB9073">
        <v>22</v>
      </c>
      <c r="AC9073">
        <v>-0.64809999999999901</v>
      </c>
      <c r="AD9073">
        <v>-1.051565496387</v>
      </c>
      <c r="AE9073">
        <v>-11.499917</v>
      </c>
      <c r="AF9073">
        <v>7.00251070241577</v>
      </c>
      <c r="AG9073">
        <v>-1.051565496387</v>
      </c>
      <c r="AH9073">
        <v>9.02489527272364</v>
      </c>
      <c r="AI9073">
        <v>95.259666149702795</v>
      </c>
      <c r="AJ9073">
        <v>52.191739104470599</v>
      </c>
      <c r="AK9073">
        <v>11.4712545440448</v>
      </c>
      <c r="AL9073">
        <v>87.365360515616004</v>
      </c>
      <c r="AM9073">
        <v>69.629632968889297</v>
      </c>
      <c r="AN9073">
        <v>0.99999998933777701</v>
      </c>
    </row>
    <row r="9074" spans="1:40" x14ac:dyDescent="0.25">
      <c r="A9074" t="str">
        <f>"20190312150902456"</f>
        <v>20190312150902456</v>
      </c>
      <c r="B9074" t="str">
        <f>"1552374542448432"</f>
        <v>1552374542448432</v>
      </c>
      <c r="C9074" t="s">
        <v>40</v>
      </c>
      <c r="D9074">
        <v>5.2447290000000004</v>
      </c>
      <c r="E9074">
        <v>0.6149618</v>
      </c>
      <c r="F9074" t="s">
        <v>42</v>
      </c>
      <c r="G9074">
        <v>-302.733</v>
      </c>
      <c r="H9074" s="1">
        <v>-2.500873E-6</v>
      </c>
      <c r="I9074">
        <v>-5.7104540000000004</v>
      </c>
      <c r="J9074">
        <v>-301.99450000000002</v>
      </c>
      <c r="K9074">
        <v>1.0515840000000001</v>
      </c>
      <c r="L9074">
        <v>5.575806</v>
      </c>
      <c r="M9074">
        <v>0.55484750000000005</v>
      </c>
      <c r="N9074">
        <v>0</v>
      </c>
      <c r="O9074">
        <v>-0.83182</v>
      </c>
      <c r="P9074">
        <v>0.23333419999999999</v>
      </c>
      <c r="Q9074">
        <v>3.9653040000000001E-2</v>
      </c>
      <c r="R9074">
        <v>-0.97158770000000005</v>
      </c>
      <c r="S9074">
        <v>-0.17233280000000001</v>
      </c>
      <c r="T9074">
        <v>-0.28892640000000003</v>
      </c>
      <c r="U9074">
        <v>-3.15387</v>
      </c>
      <c r="V9074">
        <v>0.34611730000000002</v>
      </c>
      <c r="W9074">
        <v>4.5996469999999998E-2</v>
      </c>
      <c r="X9074">
        <v>0.93706299999999998</v>
      </c>
      <c r="Y9074">
        <v>0.59911040000000004</v>
      </c>
      <c r="Z9074">
        <v>5.8989609999999998E-2</v>
      </c>
      <c r="AA9074">
        <v>0.79849040000000004</v>
      </c>
      <c r="AB9074">
        <v>22</v>
      </c>
      <c r="AC9074">
        <v>-0.73849999999998694</v>
      </c>
      <c r="AD9074">
        <v>-1.0515865008730001</v>
      </c>
      <c r="AE9074">
        <v>-11.28626</v>
      </c>
      <c r="AF9074">
        <v>6.8182680759221004</v>
      </c>
      <c r="AG9074">
        <v>-1.0515865008730001</v>
      </c>
      <c r="AH9074">
        <v>8.9024125906203295</v>
      </c>
      <c r="AI9074">
        <v>95.357468341899803</v>
      </c>
      <c r="AJ9074">
        <v>52.551860219885398</v>
      </c>
      <c r="AK9074">
        <v>11.262662369865801</v>
      </c>
      <c r="AL9074">
        <v>87.363666137451702</v>
      </c>
      <c r="AM9074">
        <v>69.727587136481205</v>
      </c>
      <c r="AN9074">
        <v>0.99999996329037399</v>
      </c>
    </row>
    <row r="9075" spans="1:40" x14ac:dyDescent="0.25">
      <c r="A9075" t="str">
        <f>"20190312150902477"</f>
        <v>20190312150902477</v>
      </c>
      <c r="B9075" t="str">
        <f>"1552374542468929"</f>
        <v>1552374542468929</v>
      </c>
      <c r="C9075" t="s">
        <v>40</v>
      </c>
      <c r="D9075">
        <v>5.2105300000000003</v>
      </c>
      <c r="E9075">
        <v>0.6145313</v>
      </c>
      <c r="F9075" t="s">
        <v>42</v>
      </c>
      <c r="G9075">
        <v>-302.76670000000001</v>
      </c>
      <c r="H9075" s="1">
        <v>-2.2789779999999999E-6</v>
      </c>
      <c r="I9075">
        <v>-6.1988320000000003</v>
      </c>
      <c r="J9075">
        <v>-301.88929999999999</v>
      </c>
      <c r="K9075">
        <v>1.0516110000000001</v>
      </c>
      <c r="L9075">
        <v>5.3872070000000001</v>
      </c>
      <c r="M9075">
        <v>0.54239669999999995</v>
      </c>
      <c r="N9075">
        <v>0</v>
      </c>
      <c r="O9075">
        <v>-0.83999190000000001</v>
      </c>
      <c r="P9075">
        <v>0.22051809999999999</v>
      </c>
      <c r="Q9075">
        <v>3.9973349999999998E-2</v>
      </c>
      <c r="R9075">
        <v>-0.97456359999999997</v>
      </c>
      <c r="S9075">
        <v>-0.2064819</v>
      </c>
      <c r="T9075">
        <v>-0.28121800000000002</v>
      </c>
      <c r="U9075">
        <v>-3.1488040000000002</v>
      </c>
      <c r="V9075">
        <v>0.34449770000000002</v>
      </c>
      <c r="W9075">
        <v>4.6380869999999998E-2</v>
      </c>
      <c r="X9075">
        <v>0.93764069999999999</v>
      </c>
      <c r="Y9075">
        <v>0.59590549999999998</v>
      </c>
      <c r="Z9075">
        <v>5.8680070000000001E-2</v>
      </c>
      <c r="AA9075">
        <v>0.80090779999999995</v>
      </c>
      <c r="AB9075">
        <v>22</v>
      </c>
      <c r="AC9075">
        <v>-0.87740000000002205</v>
      </c>
      <c r="AD9075">
        <v>-1.0516132789779999</v>
      </c>
      <c r="AE9075">
        <v>-11.586039</v>
      </c>
      <c r="AF9075">
        <v>6.9649558617894902</v>
      </c>
      <c r="AG9075">
        <v>-1.0516132789779999</v>
      </c>
      <c r="AH9075">
        <v>9.1820815686460602</v>
      </c>
      <c r="AI9075">
        <v>95.213674737255403</v>
      </c>
      <c r="AJ9075">
        <v>52.818308441665401</v>
      </c>
      <c r="AK9075">
        <v>11.5726886495087</v>
      </c>
      <c r="AL9075">
        <v>87.341618115888707</v>
      </c>
      <c r="AM9075">
        <v>69.826209927785499</v>
      </c>
      <c r="AN9075">
        <v>0.99999996635186705</v>
      </c>
    </row>
    <row r="9076" spans="1:40" x14ac:dyDescent="0.25">
      <c r="A9076" t="str">
        <f>"20190312150902501"</f>
        <v>20190312150902501</v>
      </c>
      <c r="B9076" t="str">
        <f>"1552374542488448"</f>
        <v>1552374542488448</v>
      </c>
      <c r="C9076" t="s">
        <v>40</v>
      </c>
      <c r="D9076">
        <v>5.1959109999999997</v>
      </c>
      <c r="E9076">
        <v>0.61446109999999998</v>
      </c>
      <c r="F9076" t="s">
        <v>42</v>
      </c>
      <c r="G9076">
        <v>-302.8143</v>
      </c>
      <c r="H9076" s="1">
        <v>-2.147002E-6</v>
      </c>
      <c r="I9076">
        <v>-6.5048380000000003</v>
      </c>
      <c r="J9076">
        <v>-301.78559999999999</v>
      </c>
      <c r="K9076">
        <v>1.0516350000000001</v>
      </c>
      <c r="L9076">
        <v>5.1946719999999997</v>
      </c>
      <c r="M9076">
        <v>0.52966789999999997</v>
      </c>
      <c r="N9076">
        <v>0</v>
      </c>
      <c r="O9076">
        <v>-0.84807569999999999</v>
      </c>
      <c r="P9076">
        <v>0.2073653</v>
      </c>
      <c r="Q9076">
        <v>4.0448709999999999E-2</v>
      </c>
      <c r="R9076">
        <v>-0.9774273</v>
      </c>
      <c r="S9076">
        <v>-0.24462890000000001</v>
      </c>
      <c r="T9076">
        <v>-0.27811940000000002</v>
      </c>
      <c r="U9076">
        <v>-3.1450809999999998</v>
      </c>
      <c r="V9076">
        <v>0.3429894</v>
      </c>
      <c r="W9076">
        <v>4.691625E-2</v>
      </c>
      <c r="X9076">
        <v>0.93816690000000003</v>
      </c>
      <c r="Y9076">
        <v>0.59353299999999998</v>
      </c>
      <c r="Z9076">
        <v>5.9210359999999997E-2</v>
      </c>
      <c r="AA9076">
        <v>0.80262860000000003</v>
      </c>
      <c r="AB9076">
        <v>22</v>
      </c>
      <c r="AC9076">
        <v>-1.0287000000000099</v>
      </c>
      <c r="AD9076">
        <v>-1.0516371470020001</v>
      </c>
      <c r="AE9076">
        <v>-11.69951</v>
      </c>
      <c r="AF9076">
        <v>7.0138115277381399</v>
      </c>
      <c r="AG9076">
        <v>-1.0516371470020001</v>
      </c>
      <c r="AH9076">
        <v>9.30363607825198</v>
      </c>
      <c r="AI9076">
        <v>95.157526730335604</v>
      </c>
      <c r="AJ9076">
        <v>52.988143805620197</v>
      </c>
      <c r="AK9076">
        <v>11.698595518785099</v>
      </c>
      <c r="AL9076">
        <v>87.310909753910494</v>
      </c>
      <c r="AM9076">
        <v>69.917825797405797</v>
      </c>
      <c r="AN9076">
        <v>0.99999999764101599</v>
      </c>
    </row>
    <row r="9077" spans="1:40" x14ac:dyDescent="0.25">
      <c r="A9077" t="str">
        <f>"20190312150902523"</f>
        <v>20190312150902523</v>
      </c>
      <c r="B9077" t="str">
        <f>"1552374542518704"</f>
        <v>1552374542518704</v>
      </c>
      <c r="C9077" t="s">
        <v>40</v>
      </c>
      <c r="D9077">
        <v>5.2338329999999997</v>
      </c>
      <c r="E9077">
        <v>0.60023149999999903</v>
      </c>
      <c r="F9077" t="s">
        <v>42</v>
      </c>
      <c r="G9077">
        <v>-302.85480000000001</v>
      </c>
      <c r="H9077" s="1">
        <v>-2.1441890000000001E-6</v>
      </c>
      <c r="I9077">
        <v>-6.5335859999999997</v>
      </c>
      <c r="J9077">
        <v>-301.68110000000001</v>
      </c>
      <c r="K9077">
        <v>1.0516589999999999</v>
      </c>
      <c r="L9077">
        <v>4.9934079999999996</v>
      </c>
      <c r="M9077">
        <v>0.51634720000000001</v>
      </c>
      <c r="N9077">
        <v>0</v>
      </c>
      <c r="O9077">
        <v>-0.85625119999999899</v>
      </c>
      <c r="P9077">
        <v>0.1937017</v>
      </c>
      <c r="Q9077">
        <v>4.02905E-2</v>
      </c>
      <c r="R9077">
        <v>-0.98023309999999997</v>
      </c>
      <c r="S9077">
        <v>-0.28640749999999998</v>
      </c>
      <c r="T9077">
        <v>-0.28170879999999998</v>
      </c>
      <c r="U9077">
        <v>-3.141724</v>
      </c>
      <c r="V9077">
        <v>0.341416099999999</v>
      </c>
      <c r="W9077">
        <v>4.6818129999999999E-2</v>
      </c>
      <c r="X9077">
        <v>0.93874550000000001</v>
      </c>
      <c r="Y9077">
        <v>0.59160979999999996</v>
      </c>
      <c r="Z9077">
        <v>6.1142000000000002E-2</v>
      </c>
      <c r="AA9077">
        <v>0.80390269999999897</v>
      </c>
      <c r="AB9077">
        <v>22</v>
      </c>
      <c r="AC9077">
        <v>-1.17369999999999</v>
      </c>
      <c r="AD9077">
        <v>-1.051661144189</v>
      </c>
      <c r="AE9077">
        <v>-11.526994</v>
      </c>
      <c r="AF9077">
        <v>6.9008251966698699</v>
      </c>
      <c r="AG9077">
        <v>-1.051661144189</v>
      </c>
      <c r="AH9077">
        <v>9.1892779405512197</v>
      </c>
      <c r="AI9077">
        <v>95.2287502994714</v>
      </c>
      <c r="AJ9077">
        <v>53.0947365041092</v>
      </c>
      <c r="AK9077">
        <v>11.5399397150025</v>
      </c>
      <c r="AL9077">
        <v>87.3165378125572</v>
      </c>
      <c r="AM9077">
        <v>70.013977200957697</v>
      </c>
      <c r="AN9077">
        <v>1.0000000022030699</v>
      </c>
    </row>
    <row r="9078" spans="1:40" x14ac:dyDescent="0.25">
      <c r="A9078" t="str">
        <f>"20190312150902546"</f>
        <v>20190312150902546</v>
      </c>
      <c r="B9078" t="str">
        <f>"1552374542538225"</f>
        <v>1552374542538225</v>
      </c>
      <c r="C9078" t="s">
        <v>40</v>
      </c>
      <c r="D9078">
        <v>5.2058160000000004</v>
      </c>
      <c r="E9078">
        <v>0.59916700000000001</v>
      </c>
      <c r="F9078" t="s">
        <v>42</v>
      </c>
      <c r="G9078">
        <v>-302.56139999999999</v>
      </c>
      <c r="H9078" s="1">
        <v>-1.5659999999999999E-6</v>
      </c>
      <c r="I9078">
        <v>-7.5915919999999897</v>
      </c>
      <c r="J9078">
        <v>-301.5822</v>
      </c>
      <c r="K9078">
        <v>1.0516779999999999</v>
      </c>
      <c r="L9078">
        <v>4.795471</v>
      </c>
      <c r="M9078">
        <v>0.50323059999999997</v>
      </c>
      <c r="N9078">
        <v>0</v>
      </c>
      <c r="O9078">
        <v>-0.86402520000000005</v>
      </c>
      <c r="P9078">
        <v>0.18054229999999999</v>
      </c>
      <c r="Q9078">
        <v>4.0500939999999999E-2</v>
      </c>
      <c r="R9078">
        <v>-0.98273299999999997</v>
      </c>
      <c r="S9078">
        <v>-0.21783449999999999</v>
      </c>
      <c r="T9078">
        <v>-0.26024170000000002</v>
      </c>
      <c r="U9078">
        <v>-3.114258</v>
      </c>
      <c r="V9078">
        <v>0.33968350000000003</v>
      </c>
      <c r="W9078">
        <v>4.709058E-2</v>
      </c>
      <c r="X9078">
        <v>0.93936019999999998</v>
      </c>
      <c r="Y9078">
        <v>0.56205649999999996</v>
      </c>
      <c r="Z9078">
        <v>5.8939489999999997E-2</v>
      </c>
      <c r="AA9078">
        <v>0.82499619999999996</v>
      </c>
      <c r="AB9078">
        <v>21</v>
      </c>
      <c r="AC9078">
        <v>-0.97919999999999097</v>
      </c>
      <c r="AD9078">
        <v>-1.051679566</v>
      </c>
      <c r="AE9078">
        <v>-12.387062999999999</v>
      </c>
      <c r="AF9078">
        <v>7.0300199544201396</v>
      </c>
      <c r="AG9078">
        <v>-1.051679566</v>
      </c>
      <c r="AH9078">
        <v>10.138464682768699</v>
      </c>
      <c r="AI9078">
        <v>94.872326068075594</v>
      </c>
      <c r="AJ9078">
        <v>55.262528284336099</v>
      </c>
      <c r="AK9078">
        <v>12.382070771596901</v>
      </c>
      <c r="AL9078">
        <v>87.300910319044306</v>
      </c>
      <c r="AM9078">
        <v>70.119424213384406</v>
      </c>
      <c r="AN9078">
        <v>0.99999999412051299</v>
      </c>
    </row>
    <row r="9079" spans="1:40" x14ac:dyDescent="0.25">
      <c r="A9079" t="str">
        <f>"20190312150902567"</f>
        <v>20190312150902567</v>
      </c>
      <c r="B9079" t="str">
        <f>"1552374542558721"</f>
        <v>1552374542558721</v>
      </c>
      <c r="C9079" t="s">
        <v>40</v>
      </c>
      <c r="D9079">
        <v>5.1750410000000002</v>
      </c>
      <c r="E9079">
        <v>0.59737949999999995</v>
      </c>
      <c r="F9079" t="s">
        <v>42</v>
      </c>
      <c r="G9079">
        <v>-302.59480000000002</v>
      </c>
      <c r="H9079" s="1">
        <v>-1.50267599999999E-6</v>
      </c>
      <c r="I9079">
        <v>-7.7443669999999996</v>
      </c>
      <c r="J9079">
        <v>-301.48660000000001</v>
      </c>
      <c r="K9079">
        <v>1.0517000000000001</v>
      </c>
      <c r="L9079">
        <v>4.5959469999999998</v>
      </c>
      <c r="M9079">
        <v>0.49000199999999999</v>
      </c>
      <c r="N9079">
        <v>0</v>
      </c>
      <c r="O9079">
        <v>-0.87159549999999997</v>
      </c>
      <c r="P9079">
        <v>0.16672679999999901</v>
      </c>
      <c r="Q9079">
        <v>4.0468900000000002E-2</v>
      </c>
      <c r="R9079">
        <v>-0.98517270000000001</v>
      </c>
      <c r="S9079">
        <v>-0.25109860000000001</v>
      </c>
      <c r="T9079">
        <v>-0.26079210000000003</v>
      </c>
      <c r="U9079">
        <v>-3.1095890000000002</v>
      </c>
      <c r="V9079">
        <v>0.33855039999999997</v>
      </c>
      <c r="W9079">
        <v>4.710201E-2</v>
      </c>
      <c r="X9079">
        <v>0.93976859999999995</v>
      </c>
      <c r="Y9079">
        <v>0.55830769999999996</v>
      </c>
      <c r="Z9079">
        <v>6.0173600000000001E-2</v>
      </c>
      <c r="AA9079">
        <v>0.82744889999999904</v>
      </c>
      <c r="AB9079">
        <v>21</v>
      </c>
      <c r="AC9079">
        <v>-1.1082000000000101</v>
      </c>
      <c r="AD9079">
        <v>-1.0517015026759999</v>
      </c>
      <c r="AE9079">
        <v>-12.340313999999999</v>
      </c>
      <c r="AF9079">
        <v>6.9632782269867004</v>
      </c>
      <c r="AG9079">
        <v>-1.0517015026759999</v>
      </c>
      <c r="AH9079">
        <v>10.140795918080499</v>
      </c>
      <c r="AI9079">
        <v>94.886612177035502</v>
      </c>
      <c r="AJ9079">
        <v>55.524173901356797</v>
      </c>
      <c r="AK9079">
        <v>12.3462164880305</v>
      </c>
      <c r="AL9079">
        <v>87.300254708869602</v>
      </c>
      <c r="AM9079">
        <v>70.188510925928995</v>
      </c>
      <c r="AN9079">
        <v>0.99999999711608001</v>
      </c>
    </row>
    <row r="9080" spans="1:40" x14ac:dyDescent="0.25">
      <c r="A9080" t="str">
        <f>"20190312150902590"</f>
        <v>20190312150902590</v>
      </c>
      <c r="B9080" t="str">
        <f>"1552374542578240"</f>
        <v>1552374542578240</v>
      </c>
      <c r="C9080" t="s">
        <v>40</v>
      </c>
      <c r="D9080">
        <v>5.2151189999999996</v>
      </c>
      <c r="E9080">
        <v>0.5972866</v>
      </c>
      <c r="F9080" t="s">
        <v>42</v>
      </c>
      <c r="G9080">
        <v>-302.63639999999998</v>
      </c>
      <c r="H9080" s="1">
        <v>-1.3307870000000001E-6</v>
      </c>
      <c r="I9080">
        <v>-8.131399</v>
      </c>
      <c r="J9080">
        <v>-301.3931</v>
      </c>
      <c r="K9080">
        <v>1.0517190000000001</v>
      </c>
      <c r="L9080">
        <v>4.3931579999999997</v>
      </c>
      <c r="M9080">
        <v>0.47653889999999999</v>
      </c>
      <c r="N9080">
        <v>0</v>
      </c>
      <c r="O9080">
        <v>-0.8790289</v>
      </c>
      <c r="P9080">
        <v>0.15360960000000001</v>
      </c>
      <c r="Q9080">
        <v>4.0445149999999999E-2</v>
      </c>
      <c r="R9080">
        <v>-0.98730379999999995</v>
      </c>
      <c r="S9080">
        <v>-0.28033449999999999</v>
      </c>
      <c r="T9080">
        <v>-0.2564206</v>
      </c>
      <c r="U9080">
        <v>-3.103119</v>
      </c>
      <c r="V9080">
        <v>0.33659099999999997</v>
      </c>
      <c r="W9080">
        <v>4.7142499999999997E-2</v>
      </c>
      <c r="X9080">
        <v>0.94047020000000003</v>
      </c>
      <c r="Y9080">
        <v>0.55343039999999999</v>
      </c>
      <c r="Z9080">
        <v>6.0316849999999998E-2</v>
      </c>
      <c r="AA9080">
        <v>0.83070859999999902</v>
      </c>
      <c r="AB9080">
        <v>21</v>
      </c>
      <c r="AC9080">
        <v>-1.2432999999999701</v>
      </c>
      <c r="AD9080">
        <v>-1.051720330787</v>
      </c>
      <c r="AE9080">
        <v>-12.524557</v>
      </c>
      <c r="AF9080">
        <v>7.01313820334643</v>
      </c>
      <c r="AG9080">
        <v>-1.051720330787</v>
      </c>
      <c r="AH9080">
        <v>10.345865889217</v>
      </c>
      <c r="AI9080">
        <v>94.809846963994403</v>
      </c>
      <c r="AJ9080">
        <v>55.867885179746402</v>
      </c>
      <c r="AK9080">
        <v>12.543012561226799</v>
      </c>
      <c r="AL9080">
        <v>87.297932384260406</v>
      </c>
      <c r="AM9080">
        <v>70.307888828695098</v>
      </c>
      <c r="AN9080">
        <v>1.0000000568376399</v>
      </c>
    </row>
    <row r="9081" spans="1:40" x14ac:dyDescent="0.25">
      <c r="A9081" t="str">
        <f>"20190312150902626"</f>
        <v>20190312150902626</v>
      </c>
      <c r="B9081" t="str">
        <f>"1552374542618256"</f>
        <v>1552374542618256</v>
      </c>
      <c r="C9081" t="s">
        <v>40</v>
      </c>
      <c r="D9081">
        <v>5.1015689999999996</v>
      </c>
      <c r="E9081">
        <v>0.62738490000000002</v>
      </c>
      <c r="F9081" t="s">
        <v>42</v>
      </c>
      <c r="G9081">
        <v>-302.7115</v>
      </c>
      <c r="H9081" s="1">
        <v>-1.2583709999999999E-6</v>
      </c>
      <c r="I9081">
        <v>-8.3268419999999992</v>
      </c>
      <c r="J9081">
        <v>-301.25510000000003</v>
      </c>
      <c r="K9081">
        <v>1.0517479999999999</v>
      </c>
      <c r="L9081">
        <v>4.0786740000000004</v>
      </c>
      <c r="M9081">
        <v>0.45561750000000001</v>
      </c>
      <c r="N9081">
        <v>0</v>
      </c>
      <c r="O9081">
        <v>-0.89005290000000004</v>
      </c>
      <c r="P9081">
        <v>0.13190370000000001</v>
      </c>
      <c r="Q9081">
        <v>4.0339359999999998E-2</v>
      </c>
      <c r="R9081">
        <v>-0.99044160000000003</v>
      </c>
      <c r="S9081">
        <v>-0.32119750000000002</v>
      </c>
      <c r="T9081">
        <v>-0.25623780000000002</v>
      </c>
      <c r="U9081">
        <v>-3.0990600000000001</v>
      </c>
      <c r="V9081">
        <v>0.33498559999999999</v>
      </c>
      <c r="W9081">
        <v>4.7094869999999997E-2</v>
      </c>
      <c r="X9081">
        <v>0.94104560000000004</v>
      </c>
      <c r="Y9081">
        <v>0.5446569</v>
      </c>
      <c r="Z9081">
        <v>6.1909470000000001E-2</v>
      </c>
      <c r="AA9081">
        <v>0.83637079999999997</v>
      </c>
      <c r="AB9081">
        <v>21</v>
      </c>
      <c r="AC9081">
        <v>-1.4563999999999699</v>
      </c>
      <c r="AD9081">
        <v>-1.051749258371</v>
      </c>
      <c r="AE9081">
        <v>-12.405516</v>
      </c>
      <c r="AF9081">
        <v>6.9002791772223802</v>
      </c>
      <c r="AG9081">
        <v>-1.051749258371</v>
      </c>
      <c r="AH9081">
        <v>10.306067657498399</v>
      </c>
      <c r="AI9081">
        <v>94.847057095902102</v>
      </c>
      <c r="AJ9081">
        <v>56.196283172642197</v>
      </c>
      <c r="AK9081">
        <v>12.447291263043001</v>
      </c>
      <c r="AL9081">
        <v>87.300664398447296</v>
      </c>
      <c r="AM9081">
        <v>70.405709709977799</v>
      </c>
      <c r="AN9081">
        <v>1.00000005013351</v>
      </c>
    </row>
    <row r="9082" spans="1:40" x14ac:dyDescent="0.25">
      <c r="A9082" t="str">
        <f>"20190312150902645"</f>
        <v>20190312150902645</v>
      </c>
      <c r="B9082" t="str">
        <f>"1552374542638753"</f>
        <v>1552374542638753</v>
      </c>
      <c r="C9082" t="s">
        <v>40</v>
      </c>
      <c r="D9082">
        <v>5.130782</v>
      </c>
      <c r="E9082">
        <v>0.62769219999999903</v>
      </c>
      <c r="F9082" t="s">
        <v>42</v>
      </c>
      <c r="G9082">
        <v>-304.28969999999998</v>
      </c>
      <c r="H9082" s="1">
        <v>-4.8330689999999997E-6</v>
      </c>
      <c r="I9082">
        <v>-11.047029999999999</v>
      </c>
      <c r="J9082">
        <v>-301.17720000000003</v>
      </c>
      <c r="K9082">
        <v>1.051763</v>
      </c>
      <c r="L9082">
        <v>3.8909910000000001</v>
      </c>
      <c r="M9082">
        <v>0.44311529999999999</v>
      </c>
      <c r="N9082">
        <v>0</v>
      </c>
      <c r="O9082">
        <v>-0.89634249999999904</v>
      </c>
      <c r="P9082">
        <v>0.11935999999999999</v>
      </c>
      <c r="Q9082">
        <v>3.9498400000000003E-2</v>
      </c>
      <c r="R9082">
        <v>-0.99206519999999998</v>
      </c>
      <c r="S9082">
        <v>-0.62619019999999903</v>
      </c>
      <c r="T9082">
        <v>-0.2170291</v>
      </c>
      <c r="U9082">
        <v>-3.1211850000000001</v>
      </c>
      <c r="V9082">
        <v>0.33371630000000002</v>
      </c>
      <c r="W9082">
        <v>4.6297039999999998E-2</v>
      </c>
      <c r="X9082">
        <v>0.94153600000000004</v>
      </c>
      <c r="Y9082">
        <v>0.61045300000000002</v>
      </c>
      <c r="Z9082">
        <v>5.0710909999999998E-2</v>
      </c>
      <c r="AA9082">
        <v>0.7904274</v>
      </c>
      <c r="AB9082">
        <v>21</v>
      </c>
      <c r="AC9082">
        <v>-3.1124999999999501</v>
      </c>
      <c r="AD9082">
        <v>-1.0517678330689999</v>
      </c>
      <c r="AE9082">
        <v>-14.938021000000001</v>
      </c>
      <c r="AF9082">
        <v>9.3656644548298296</v>
      </c>
      <c r="AG9082">
        <v>-1.0517678330689999</v>
      </c>
      <c r="AH9082">
        <v>11.9549025024525</v>
      </c>
      <c r="AI9082">
        <v>93.961746270510901</v>
      </c>
      <c r="AJ9082">
        <v>51.924275341405099</v>
      </c>
      <c r="AK9082">
        <v>15.223060799270501</v>
      </c>
      <c r="AL9082">
        <v>87.346426507762303</v>
      </c>
      <c r="AM9082">
        <v>70.4837302844807</v>
      </c>
      <c r="AN9082">
        <v>1.0000000120472201</v>
      </c>
    </row>
    <row r="9083" spans="1:40" x14ac:dyDescent="0.25">
      <c r="A9083" t="str">
        <f>"20190312150902668"</f>
        <v>20190312150902668</v>
      </c>
      <c r="B9083" t="str">
        <f>"1552374542658273"</f>
        <v>1552374542658273</v>
      </c>
      <c r="C9083" t="s">
        <v>40</v>
      </c>
      <c r="D9083">
        <v>5.1356479999999998</v>
      </c>
      <c r="E9083">
        <v>0.62735010000000002</v>
      </c>
      <c r="F9083" t="s">
        <v>42</v>
      </c>
      <c r="G9083">
        <v>-304.41950000000003</v>
      </c>
      <c r="H9083" s="1">
        <v>-4.7962090000000004E-6</v>
      </c>
      <c r="I9083">
        <v>-11.22298</v>
      </c>
      <c r="J9083">
        <v>-301.09660000000002</v>
      </c>
      <c r="K9083">
        <v>1.051785</v>
      </c>
      <c r="L9083">
        <v>3.6887210000000001</v>
      </c>
      <c r="M9083">
        <v>0.4296256</v>
      </c>
      <c r="N9083">
        <v>0</v>
      </c>
      <c r="O9083">
        <v>-0.90288619999999997</v>
      </c>
      <c r="P9083">
        <v>0.1062244</v>
      </c>
      <c r="Q9083">
        <v>3.8726139999999999E-2</v>
      </c>
      <c r="R9083">
        <v>-0.99358809999999997</v>
      </c>
      <c r="S9083">
        <v>-0.66781619999999997</v>
      </c>
      <c r="T9083">
        <v>-0.21662909999999999</v>
      </c>
      <c r="U9083">
        <v>-3.1129760000000002</v>
      </c>
      <c r="V9083">
        <v>0.33204869999999997</v>
      </c>
      <c r="W9083">
        <v>4.5577769999999997E-2</v>
      </c>
      <c r="X9083">
        <v>0.94216049999999996</v>
      </c>
      <c r="Y9083">
        <v>0.60911119999999996</v>
      </c>
      <c r="Z9083">
        <v>5.1394330000000002E-2</v>
      </c>
      <c r="AA9083">
        <v>0.79141779999999995</v>
      </c>
      <c r="AB9083">
        <v>21</v>
      </c>
      <c r="AC9083">
        <v>-3.3229000000000002</v>
      </c>
      <c r="AD9083">
        <v>-1.0517897962089999</v>
      </c>
      <c r="AE9083">
        <v>-14.911701000000001</v>
      </c>
      <c r="AF9083">
        <v>9.3632964431008805</v>
      </c>
      <c r="AG9083">
        <v>-1.0517897962089999</v>
      </c>
      <c r="AH9083">
        <v>11.980495762076201</v>
      </c>
      <c r="AI9083">
        <v>93.956972687183296</v>
      </c>
      <c r="AJ9083">
        <v>51.990773404648401</v>
      </c>
      <c r="AK9083">
        <v>15.2417144954864</v>
      </c>
      <c r="AL9083">
        <v>87.387681268369704</v>
      </c>
      <c r="AM9083">
        <v>70.585847026921698</v>
      </c>
      <c r="AN9083">
        <v>1.0000000400250499</v>
      </c>
    </row>
    <row r="9084" spans="1:40" x14ac:dyDescent="0.25">
      <c r="A9084" t="str">
        <f>"20190312150902690"</f>
        <v>20190312150902690</v>
      </c>
      <c r="B9084" t="str">
        <f>"1552374542678768"</f>
        <v>1552374542678768</v>
      </c>
      <c r="C9084" t="s">
        <v>40</v>
      </c>
      <c r="D9084">
        <v>5.1530880000000003</v>
      </c>
      <c r="E9084">
        <v>0.62685329999999995</v>
      </c>
      <c r="F9084" t="s">
        <v>42</v>
      </c>
      <c r="G9084">
        <v>-304.4982</v>
      </c>
      <c r="H9084" s="1">
        <v>-4.7990210000000001E-6</v>
      </c>
      <c r="I9084">
        <v>-11.25576</v>
      </c>
      <c r="J9084">
        <v>-301.01889999999997</v>
      </c>
      <c r="K9084">
        <v>1.051804</v>
      </c>
      <c r="L9084">
        <v>3.4847410000000001</v>
      </c>
      <c r="M9084">
        <v>0.4160008</v>
      </c>
      <c r="N9084">
        <v>0</v>
      </c>
      <c r="O9084">
        <v>-0.90924400000000005</v>
      </c>
      <c r="P9084">
        <v>9.3771480000000004E-2</v>
      </c>
      <c r="Q9084">
        <v>3.939513E-2</v>
      </c>
      <c r="R9084">
        <v>-0.99481439999999999</v>
      </c>
      <c r="S9084">
        <v>-0.70639039999999997</v>
      </c>
      <c r="T9084">
        <v>-0.2184162</v>
      </c>
      <c r="U9084">
        <v>-3.1033940000000002</v>
      </c>
      <c r="V9084">
        <v>0.32968150000000002</v>
      </c>
      <c r="W9084">
        <v>4.6317039999999997E-2</v>
      </c>
      <c r="X9084">
        <v>0.9429554</v>
      </c>
      <c r="Y9084">
        <v>0.60705540000000002</v>
      </c>
      <c r="Z9084">
        <v>5.2625850000000002E-2</v>
      </c>
      <c r="AA9084">
        <v>0.79291509999999998</v>
      </c>
      <c r="AB9084">
        <v>21</v>
      </c>
      <c r="AC9084">
        <v>-3.4793000000000198</v>
      </c>
      <c r="AD9084">
        <v>-1.0518087990209899</v>
      </c>
      <c r="AE9084">
        <v>-14.740501</v>
      </c>
      <c r="AF9084">
        <v>9.2519885324377409</v>
      </c>
      <c r="AG9084">
        <v>-1.0518087990209899</v>
      </c>
      <c r="AH9084">
        <v>11.899239772466601</v>
      </c>
      <c r="AI9084">
        <v>93.991721513869905</v>
      </c>
      <c r="AJ9084">
        <v>52.133945125854403</v>
      </c>
      <c r="AK9084">
        <v>15.109516892234099</v>
      </c>
      <c r="AL9084">
        <v>87.345279390720606</v>
      </c>
      <c r="AM9084">
        <v>70.729058257537005</v>
      </c>
      <c r="AN9084">
        <v>1.00000002301288</v>
      </c>
    </row>
    <row r="9085" spans="1:40" x14ac:dyDescent="0.25">
      <c r="A9085" t="str">
        <f>"20190312150902712"</f>
        <v>20190312150902712</v>
      </c>
      <c r="B9085" t="str">
        <f>"1552374542708048"</f>
        <v>1552374542708048</v>
      </c>
      <c r="C9085" t="s">
        <v>40</v>
      </c>
      <c r="D9085">
        <v>5.0468229999999998</v>
      </c>
      <c r="E9085">
        <v>0.62519440000000004</v>
      </c>
      <c r="F9085" t="s">
        <v>42</v>
      </c>
      <c r="G9085">
        <v>-304.58359999999999</v>
      </c>
      <c r="H9085" s="1">
        <v>-4.768149E-6</v>
      </c>
      <c r="I9085">
        <v>-11.39096</v>
      </c>
      <c r="J9085">
        <v>-300.94229999999999</v>
      </c>
      <c r="K9085">
        <v>1.0518240000000001</v>
      </c>
      <c r="L9085">
        <v>3.2741699999999998</v>
      </c>
      <c r="M9085">
        <v>0.40191729999999998</v>
      </c>
      <c r="N9085">
        <v>0</v>
      </c>
      <c r="O9085">
        <v>-0.91555679999999995</v>
      </c>
      <c r="P9085">
        <v>8.1126160000000003E-2</v>
      </c>
      <c r="Q9085">
        <v>4.0215670000000002E-2</v>
      </c>
      <c r="R9085">
        <v>-0.99589249999999996</v>
      </c>
      <c r="S9085">
        <v>-0.74145509999999903</v>
      </c>
      <c r="T9085">
        <v>-0.21877840000000001</v>
      </c>
      <c r="U9085">
        <v>-3.0941770000000002</v>
      </c>
      <c r="V9085">
        <v>0.3271058</v>
      </c>
      <c r="W9085">
        <v>4.7213459999999999E-2</v>
      </c>
      <c r="X9085">
        <v>0.94380750000000002</v>
      </c>
      <c r="Y9085">
        <v>0.60381359999999995</v>
      </c>
      <c r="Z9085">
        <v>5.3551040000000001E-2</v>
      </c>
      <c r="AA9085">
        <v>0.795324699999999</v>
      </c>
      <c r="AB9085">
        <v>21</v>
      </c>
      <c r="AC9085">
        <v>-3.6413000000000002</v>
      </c>
      <c r="AD9085">
        <v>-1.0518287681489999</v>
      </c>
      <c r="AE9085">
        <v>-14.66513</v>
      </c>
      <c r="AF9085">
        <v>9.1844902807325504</v>
      </c>
      <c r="AG9085">
        <v>-1.0518287681489999</v>
      </c>
      <c r="AH9085">
        <v>11.906869168028299</v>
      </c>
      <c r="AI9085">
        <v>94.001136387125499</v>
      </c>
      <c r="AJ9085">
        <v>52.354819347146403</v>
      </c>
      <c r="AK9085">
        <v>15.0743072430848</v>
      </c>
      <c r="AL9085">
        <v>87.293861871022401</v>
      </c>
      <c r="AM9085">
        <v>70.884652671850006</v>
      </c>
      <c r="AN9085">
        <v>0.99999995612752901</v>
      </c>
    </row>
    <row r="9086" spans="1:40" x14ac:dyDescent="0.25">
      <c r="A9086" t="str">
        <f>"20190312150902735"</f>
        <v>20190312150902735</v>
      </c>
      <c r="B9086" t="str">
        <f>"1552374542728544"</f>
        <v>1552374542728544</v>
      </c>
      <c r="C9086" t="s">
        <v>40</v>
      </c>
      <c r="D9086">
        <v>5.1032380000000002</v>
      </c>
      <c r="E9086">
        <v>0.62391409999999903</v>
      </c>
      <c r="F9086" t="s">
        <v>42</v>
      </c>
      <c r="G9086">
        <v>-304.6936</v>
      </c>
      <c r="H9086" s="1">
        <v>-4.6458839999999901E-6</v>
      </c>
      <c r="I9086">
        <v>-11.807589999999999</v>
      </c>
      <c r="J9086">
        <v>-300.87060000000002</v>
      </c>
      <c r="K9086">
        <v>1.0518430000000001</v>
      </c>
      <c r="L9086">
        <v>3.0673520000000001</v>
      </c>
      <c r="M9086">
        <v>0.38806380000000001</v>
      </c>
      <c r="N9086">
        <v>0</v>
      </c>
      <c r="O9086">
        <v>-0.92151430000000001</v>
      </c>
      <c r="P9086">
        <v>6.9684570000000001E-2</v>
      </c>
      <c r="Q9086">
        <v>4.0556679999999998E-2</v>
      </c>
      <c r="R9086">
        <v>-0.99674450000000003</v>
      </c>
      <c r="S9086">
        <v>-0.76696779999999998</v>
      </c>
      <c r="T9086">
        <v>-0.21505070000000001</v>
      </c>
      <c r="U9086">
        <v>-3.0835270000000001</v>
      </c>
      <c r="V9086">
        <v>0.3237062</v>
      </c>
      <c r="W9086">
        <v>4.7652140000000003E-2</v>
      </c>
      <c r="X9086">
        <v>0.94495700000000005</v>
      </c>
      <c r="Y9086">
        <v>0.59862550000000003</v>
      </c>
      <c r="Z9086">
        <v>5.3524240000000001E-2</v>
      </c>
      <c r="AA9086">
        <v>0.79923880000000003</v>
      </c>
      <c r="AB9086">
        <v>21</v>
      </c>
      <c r="AC9086">
        <v>-3.8229999999999702</v>
      </c>
      <c r="AD9086">
        <v>-1.051847645884</v>
      </c>
      <c r="AE9086">
        <v>-14.874942000000001</v>
      </c>
      <c r="AF9086">
        <v>9.2529876764779697</v>
      </c>
      <c r="AG9086">
        <v>-1.051847645884</v>
      </c>
      <c r="AH9086">
        <v>12.168161413605</v>
      </c>
      <c r="AI9086">
        <v>93.936215854592803</v>
      </c>
      <c r="AJ9086">
        <v>52.749693515967003</v>
      </c>
      <c r="AK9086">
        <v>15.3228038099674</v>
      </c>
      <c r="AL9086">
        <v>87.268699376271101</v>
      </c>
      <c r="AM9086">
        <v>71.090497321294194</v>
      </c>
      <c r="AN9086">
        <v>1.000000081107</v>
      </c>
    </row>
    <row r="9087" spans="1:40" x14ac:dyDescent="0.25">
      <c r="A9087" t="str">
        <f>"20190312150902757"</f>
        <v>20190312150902757</v>
      </c>
      <c r="B9087" t="str">
        <f>"1552374542749041"</f>
        <v>1552374542749041</v>
      </c>
      <c r="C9087" t="s">
        <v>40</v>
      </c>
      <c r="D9087">
        <v>5.1269519999999904</v>
      </c>
      <c r="E9087">
        <v>0.6227897</v>
      </c>
      <c r="F9087" t="s">
        <v>42</v>
      </c>
      <c r="G9087">
        <v>-304.77050000000003</v>
      </c>
      <c r="H9087" s="1">
        <v>-4.5711789999999996E-6</v>
      </c>
      <c r="I9087">
        <v>-12.06723</v>
      </c>
      <c r="J9087">
        <v>-300.80130000000003</v>
      </c>
      <c r="K9087">
        <v>1.05186</v>
      </c>
      <c r="L9087">
        <v>2.8573</v>
      </c>
      <c r="M9087">
        <v>0.37397229999999998</v>
      </c>
      <c r="N9087">
        <v>0</v>
      </c>
      <c r="O9087">
        <v>-0.92732239999999999</v>
      </c>
      <c r="P9087">
        <v>5.8478780000000001E-2</v>
      </c>
      <c r="Q9087">
        <v>4.0667580000000002E-2</v>
      </c>
      <c r="R9087">
        <v>-0.99746009999999996</v>
      </c>
      <c r="S9087">
        <v>-0.79208369999999995</v>
      </c>
      <c r="T9087">
        <v>-0.2136316</v>
      </c>
      <c r="U9087">
        <v>-3.0738530000000002</v>
      </c>
      <c r="V9087">
        <v>0.31991589999999998</v>
      </c>
      <c r="W9087">
        <v>4.7869809999999999E-2</v>
      </c>
      <c r="X9087">
        <v>0.94623579999999996</v>
      </c>
      <c r="Y9087">
        <v>0.59313199999999999</v>
      </c>
      <c r="Z9087">
        <v>5.40256E-2</v>
      </c>
      <c r="AA9087">
        <v>0.80329050000000002</v>
      </c>
      <c r="AB9087">
        <v>21</v>
      </c>
      <c r="AC9087">
        <v>-3.9691999999999998</v>
      </c>
      <c r="AD9087">
        <v>-1.051864571179</v>
      </c>
      <c r="AE9087">
        <v>-14.924529999999899</v>
      </c>
      <c r="AF9087">
        <v>9.2203236296806406</v>
      </c>
      <c r="AG9087">
        <v>-1.051864571179</v>
      </c>
      <c r="AH9087">
        <v>12.2997659409306</v>
      </c>
      <c r="AI9087">
        <v>93.914492060752494</v>
      </c>
      <c r="AJ9087">
        <v>53.143523026242001</v>
      </c>
      <c r="AK9087">
        <v>15.4079534369047</v>
      </c>
      <c r="AL9087">
        <v>87.256213183650303</v>
      </c>
      <c r="AM9087">
        <v>71.319953852259403</v>
      </c>
      <c r="AN9087">
        <v>0.99999994549194104</v>
      </c>
    </row>
    <row r="9088" spans="1:40" x14ac:dyDescent="0.25">
      <c r="A9088" t="str">
        <f>"20190312150902780"</f>
        <v>20190312150902780</v>
      </c>
      <c r="B9088" t="str">
        <f>"1552374542768560"</f>
        <v>1552374542768560</v>
      </c>
      <c r="C9088" t="s">
        <v>40</v>
      </c>
      <c r="D9088">
        <v>5.1418509999999999</v>
      </c>
      <c r="E9088">
        <v>0.62176419999999999</v>
      </c>
      <c r="F9088" t="s">
        <v>42</v>
      </c>
      <c r="G9088">
        <v>-304.75349999999997</v>
      </c>
      <c r="H9088" s="1">
        <v>-4.6041819999999998E-6</v>
      </c>
      <c r="I9088">
        <v>-11.961370000000001</v>
      </c>
      <c r="J9088">
        <v>-300.7355</v>
      </c>
      <c r="K9088">
        <v>1.051879</v>
      </c>
      <c r="L9088">
        <v>2.6472470000000001</v>
      </c>
      <c r="M9088">
        <v>0.359859599999999</v>
      </c>
      <c r="N9088">
        <v>0</v>
      </c>
      <c r="O9088">
        <v>-0.93288979999999999</v>
      </c>
      <c r="P9088">
        <v>4.6282789999999997E-2</v>
      </c>
      <c r="Q9088">
        <v>4.0820589999999997E-2</v>
      </c>
      <c r="R9088">
        <v>-0.99809429999999999</v>
      </c>
      <c r="S9088">
        <v>-0.81729130000000005</v>
      </c>
      <c r="T9088">
        <v>-0.21752009999999999</v>
      </c>
      <c r="U9088">
        <v>-3.0644230000000001</v>
      </c>
      <c r="V9088">
        <v>0.31712089999999998</v>
      </c>
      <c r="W9088">
        <v>4.810271E-2</v>
      </c>
      <c r="X9088">
        <v>0.94716440000000002</v>
      </c>
      <c r="Y9088">
        <v>0.58766300000000005</v>
      </c>
      <c r="Z9088">
        <v>5.5841769999999999E-2</v>
      </c>
      <c r="AA9088">
        <v>0.80717649999999996</v>
      </c>
      <c r="AB9088">
        <v>21</v>
      </c>
      <c r="AC9088">
        <v>-4.0179999999999696</v>
      </c>
      <c r="AD9088">
        <v>-1.0518836041820001</v>
      </c>
      <c r="AE9088">
        <v>-14.608617000000001</v>
      </c>
      <c r="AF9088">
        <v>8.9631801425263795</v>
      </c>
      <c r="AG9088">
        <v>-1.0518836041820001</v>
      </c>
      <c r="AH9088">
        <v>12.125196713097401</v>
      </c>
      <c r="AI9088">
        <v>93.990535896187794</v>
      </c>
      <c r="AJ9088">
        <v>53.5274708270533</v>
      </c>
      <c r="AK9088">
        <v>15.115073692027901</v>
      </c>
      <c r="AL9088">
        <v>87.242853668422597</v>
      </c>
      <c r="AM9088">
        <v>71.488896027426705</v>
      </c>
      <c r="AN9088">
        <v>0.99999996827675597</v>
      </c>
    </row>
    <row r="9089" spans="1:40" x14ac:dyDescent="0.25">
      <c r="A9089" t="str">
        <f>"20190312150902803"</f>
        <v>20190312150902803</v>
      </c>
      <c r="B9089" t="str">
        <f>"1552374542798816"</f>
        <v>1552374542798816</v>
      </c>
      <c r="C9089" t="s">
        <v>40</v>
      </c>
      <c r="D9089">
        <v>5.0941739999999998</v>
      </c>
      <c r="E9089">
        <v>0.60484519999999997</v>
      </c>
      <c r="F9089" t="s">
        <v>42</v>
      </c>
      <c r="G9089">
        <v>-304.69760000000002</v>
      </c>
      <c r="H9089" s="1">
        <v>-4.702035E-6</v>
      </c>
      <c r="I9089">
        <v>-11.64467</v>
      </c>
      <c r="J9089">
        <v>-300.67079999999999</v>
      </c>
      <c r="K9089">
        <v>1.0519050000000001</v>
      </c>
      <c r="L9089">
        <v>2.4293520000000002</v>
      </c>
      <c r="M9089">
        <v>0.34520129999999999</v>
      </c>
      <c r="N9089">
        <v>0</v>
      </c>
      <c r="O9089">
        <v>-0.93841280000000005</v>
      </c>
      <c r="P9089">
        <v>3.4307579999999997E-2</v>
      </c>
      <c r="Q9089">
        <v>4.1455279999999997E-2</v>
      </c>
      <c r="R9089">
        <v>-0.99855150000000004</v>
      </c>
      <c r="S9089">
        <v>-0.84671019999999897</v>
      </c>
      <c r="T9089">
        <v>-0.22478870000000001</v>
      </c>
      <c r="U9089">
        <v>-3.0541990000000001</v>
      </c>
      <c r="V9089">
        <v>0.31364259999999999</v>
      </c>
      <c r="W9089">
        <v>4.883523E-2</v>
      </c>
      <c r="X9089">
        <v>0.94828449999999997</v>
      </c>
      <c r="Y9089">
        <v>0.58285129999999996</v>
      </c>
      <c r="Z9089">
        <v>5.8544770000000003E-2</v>
      </c>
      <c r="AA9089">
        <v>0.810467099999999</v>
      </c>
      <c r="AB9089">
        <v>21</v>
      </c>
      <c r="AC9089">
        <v>-4.0268000000000299</v>
      </c>
      <c r="AD9089">
        <v>-1.0519097020349999</v>
      </c>
      <c r="AE9089">
        <v>-14.074021999999999</v>
      </c>
      <c r="AF9089">
        <v>8.5937365096365692</v>
      </c>
      <c r="AG9089">
        <v>-1.0519097020349999</v>
      </c>
      <c r="AH9089">
        <v>11.757759209616401</v>
      </c>
      <c r="AI9089">
        <v>94.131236697045694</v>
      </c>
      <c r="AJ9089">
        <v>53.836961432933101</v>
      </c>
      <c r="AK9089">
        <v>14.6014972810878</v>
      </c>
      <c r="AL9089">
        <v>87.200834138852301</v>
      </c>
      <c r="AM9089">
        <v>71.698503011610796</v>
      </c>
      <c r="AN9089">
        <v>1.0000000265820801</v>
      </c>
    </row>
    <row r="9090" spans="1:40" x14ac:dyDescent="0.25">
      <c r="A9090" t="str">
        <f>"20190312150902828"</f>
        <v>20190312150902828</v>
      </c>
      <c r="B9090" t="str">
        <f>"1552374542818337"</f>
        <v>1552374542818337</v>
      </c>
      <c r="C9090" t="s">
        <v>40</v>
      </c>
      <c r="D9090">
        <v>5.0449120000000001</v>
      </c>
      <c r="E9090">
        <v>0.60390940000000004</v>
      </c>
      <c r="F9090" t="s">
        <v>42</v>
      </c>
      <c r="G9090">
        <v>-304.39030000000002</v>
      </c>
      <c r="H9090" s="1">
        <v>-4.2914470000000004E-6</v>
      </c>
      <c r="I9090">
        <v>-12.691039999999999</v>
      </c>
      <c r="J9090">
        <v>-300.6078</v>
      </c>
      <c r="K9090">
        <v>1.0519289999999999</v>
      </c>
      <c r="L9090">
        <v>2.202728</v>
      </c>
      <c r="M9090">
        <v>0.32993679999999997</v>
      </c>
      <c r="N9090">
        <v>0</v>
      </c>
      <c r="O9090">
        <v>-0.94388799999999995</v>
      </c>
      <c r="P9090">
        <v>2.28808E-2</v>
      </c>
      <c r="Q9090">
        <v>4.262792E-2</v>
      </c>
      <c r="R9090">
        <v>-0.99882939999999998</v>
      </c>
      <c r="S9090">
        <v>-0.74752810000000003</v>
      </c>
      <c r="T9090">
        <v>-0.21140719999999999</v>
      </c>
      <c r="U9090">
        <v>-3.038818</v>
      </c>
      <c r="V9090">
        <v>0.30911300000000003</v>
      </c>
      <c r="W9090">
        <v>5.013157E-2</v>
      </c>
      <c r="X9090">
        <v>0.94970310000000002</v>
      </c>
      <c r="Y9090">
        <v>0.54544219999999999</v>
      </c>
      <c r="Z9090">
        <v>5.7028049999999997E-2</v>
      </c>
      <c r="AA9090">
        <v>0.83620599999999901</v>
      </c>
      <c r="AB9090">
        <v>21</v>
      </c>
      <c r="AC9090">
        <v>-3.7825000000000202</v>
      </c>
      <c r="AD9090">
        <v>-1.0519332914470001</v>
      </c>
      <c r="AE9090">
        <v>-14.893768</v>
      </c>
      <c r="AF9090">
        <v>8.4456019399808202</v>
      </c>
      <c r="AG9090">
        <v>-1.0519332914470001</v>
      </c>
      <c r="AH9090">
        <v>12.7516968364669</v>
      </c>
      <c r="AI9090">
        <v>93.934420907224194</v>
      </c>
      <c r="AJ9090">
        <v>56.483013040302197</v>
      </c>
      <c r="AK9090">
        <v>15.331031536965201</v>
      </c>
      <c r="AL9090">
        <v>87.126468144959105</v>
      </c>
      <c r="AM9090">
        <v>71.970769015774593</v>
      </c>
      <c r="AN9090">
        <v>0.99999999961463704</v>
      </c>
    </row>
    <row r="9091" spans="1:40" x14ac:dyDescent="0.25">
      <c r="A9091" t="str">
        <f>"20190312150902847"</f>
        <v>20190312150902847</v>
      </c>
      <c r="B9091" t="str">
        <f>"1552374542838833"</f>
        <v>1552374542838833</v>
      </c>
      <c r="C9091" t="s">
        <v>40</v>
      </c>
      <c r="D9091">
        <v>5.0328059999999999</v>
      </c>
      <c r="E9091">
        <v>0.60189609999999905</v>
      </c>
      <c r="F9091" t="s">
        <v>42</v>
      </c>
      <c r="G9091">
        <v>-304.45519999999999</v>
      </c>
      <c r="H9091" s="1">
        <v>-4.2494780000000004E-6</v>
      </c>
      <c r="I9091">
        <v>-12.84817</v>
      </c>
      <c r="J9091">
        <v>-300.55739999999997</v>
      </c>
      <c r="K9091">
        <v>1.051947</v>
      </c>
      <c r="L9091">
        <v>2.0111080000000001</v>
      </c>
      <c r="M9091">
        <v>0.31701309999999999</v>
      </c>
      <c r="N9091">
        <v>0</v>
      </c>
      <c r="O9091">
        <v>-0.9483066</v>
      </c>
      <c r="P9091">
        <v>1.528873E-2</v>
      </c>
      <c r="Q9091">
        <v>4.3750039999999997E-2</v>
      </c>
      <c r="R9091">
        <v>-0.99892570000000003</v>
      </c>
      <c r="S9091">
        <v>-0.77462769999999903</v>
      </c>
      <c r="T9091">
        <v>-0.21179319999999999</v>
      </c>
      <c r="U9091">
        <v>-3.0303040000000001</v>
      </c>
      <c r="V9091">
        <v>0.30335659999999998</v>
      </c>
      <c r="W9091">
        <v>5.140786E-2</v>
      </c>
      <c r="X9091">
        <v>0.95148940000000004</v>
      </c>
      <c r="Y9091">
        <v>0.54156459999999995</v>
      </c>
      <c r="Z9091">
        <v>5.7773079999999997E-2</v>
      </c>
      <c r="AA9091">
        <v>0.83867159999999996</v>
      </c>
      <c r="AB9091">
        <v>21</v>
      </c>
      <c r="AC9091">
        <v>-3.8978000000000099</v>
      </c>
      <c r="AD9091">
        <v>-1.0519512494779999</v>
      </c>
      <c r="AE9091">
        <v>-14.859278</v>
      </c>
      <c r="AF9091">
        <v>8.3685671319092201</v>
      </c>
      <c r="AG9091">
        <v>-1.0519512494779999</v>
      </c>
      <c r="AH9091">
        <v>12.7968878707406</v>
      </c>
      <c r="AI9091">
        <v>93.935667957664705</v>
      </c>
      <c r="AJ9091">
        <v>56.8171878070373</v>
      </c>
      <c r="AK9091">
        <v>15.3264430462145</v>
      </c>
      <c r="AL9091">
        <v>87.053247792386301</v>
      </c>
      <c r="AM9091">
        <v>72.316528012620395</v>
      </c>
      <c r="AN9091">
        <v>1.0000000365728401</v>
      </c>
    </row>
    <row r="9092" spans="1:40" x14ac:dyDescent="0.25">
      <c r="A9092" t="str">
        <f>"20190312150902869"</f>
        <v>20190312150902869</v>
      </c>
      <c r="B9092" t="str">
        <f>"1552374542858353"</f>
        <v>1552374542858353</v>
      </c>
      <c r="C9092" t="s">
        <v>40</v>
      </c>
      <c r="D9092">
        <v>5.0500569999999998</v>
      </c>
      <c r="E9092">
        <v>0.6005431</v>
      </c>
      <c r="F9092" t="s">
        <v>42</v>
      </c>
      <c r="G9092">
        <v>-304.55599999999998</v>
      </c>
      <c r="H9092" s="1">
        <v>-4.0597359999999996E-6</v>
      </c>
      <c r="I9092">
        <v>-13.458279999999901</v>
      </c>
      <c r="J9092">
        <v>-300.50729999999999</v>
      </c>
      <c r="K9092">
        <v>1.051963</v>
      </c>
      <c r="L9092">
        <v>1.8086549999999999</v>
      </c>
      <c r="M9092">
        <v>0.30334650000000002</v>
      </c>
      <c r="N9092">
        <v>0</v>
      </c>
      <c r="O9092">
        <v>-0.95276649999999996</v>
      </c>
      <c r="P9092">
        <v>7.8413600000000003E-3</v>
      </c>
      <c r="Q9092">
        <v>4.3716900000000003E-2</v>
      </c>
      <c r="R9092">
        <v>-0.99901340000000005</v>
      </c>
      <c r="S9092">
        <v>-0.78170779999999995</v>
      </c>
      <c r="T9092">
        <v>-0.205652</v>
      </c>
      <c r="U9092">
        <v>-3.0242</v>
      </c>
      <c r="V9092">
        <v>0.2967572</v>
      </c>
      <c r="W9092">
        <v>5.1550249999999999E-2</v>
      </c>
      <c r="X9092">
        <v>0.95356059999999998</v>
      </c>
      <c r="Y9092">
        <v>0.53171639999999998</v>
      </c>
      <c r="Z9092">
        <v>5.6862469999999998E-2</v>
      </c>
      <c r="AA9092">
        <v>0.84501150000000003</v>
      </c>
      <c r="AB9092">
        <v>21</v>
      </c>
      <c r="AC9092">
        <v>-4.0486999999999904</v>
      </c>
      <c r="AD9092">
        <v>-1.051967059736</v>
      </c>
      <c r="AE9092">
        <v>-15.266934999999901</v>
      </c>
      <c r="AF9092">
        <v>8.4520650710880396</v>
      </c>
      <c r="AG9092">
        <v>-1.051967059736</v>
      </c>
      <c r="AH9092">
        <v>13.2602881882845</v>
      </c>
      <c r="AI9092">
        <v>93.827278912550597</v>
      </c>
      <c r="AJ9092">
        <v>57.486694435946902</v>
      </c>
      <c r="AK9092">
        <v>15.7600533468968</v>
      </c>
      <c r="AL9092">
        <v>87.045078627856697</v>
      </c>
      <c r="AM9092">
        <v>72.7133574673189</v>
      </c>
      <c r="AN9092">
        <v>1.0000000409496299</v>
      </c>
    </row>
    <row r="9093" spans="1:40" x14ac:dyDescent="0.25">
      <c r="A9093" t="str">
        <f>"20190312150902891"</f>
        <v>20190312150902891</v>
      </c>
      <c r="B9093" t="str">
        <f>"1552374542888609"</f>
        <v>1552374542888609</v>
      </c>
      <c r="C9093" t="s">
        <v>40</v>
      </c>
      <c r="D9093">
        <v>5.0291480000000002</v>
      </c>
      <c r="E9093">
        <v>0.59858459999999902</v>
      </c>
      <c r="F9093" t="s">
        <v>42</v>
      </c>
      <c r="G9093">
        <v>-304.56920000000002</v>
      </c>
      <c r="H9093" s="1">
        <v>-3.9992550000000002E-6</v>
      </c>
      <c r="I9093">
        <v>-13.642899999999999</v>
      </c>
      <c r="J9093">
        <v>-300.45800000000003</v>
      </c>
      <c r="K9093">
        <v>1.0519780000000001</v>
      </c>
      <c r="L9093">
        <v>1.5962829999999999</v>
      </c>
      <c r="M9093">
        <v>0.28899709999999901</v>
      </c>
      <c r="N9093">
        <v>0</v>
      </c>
      <c r="O9093">
        <v>-0.95721659999999997</v>
      </c>
      <c r="P9093">
        <v>2.339535E-4</v>
      </c>
      <c r="Q9093">
        <v>4.3282269999999998E-2</v>
      </c>
      <c r="R9093">
        <v>-0.99906300000000003</v>
      </c>
      <c r="S9093">
        <v>-0.79342650000000003</v>
      </c>
      <c r="T9093">
        <v>-0.2054832</v>
      </c>
      <c r="U9093">
        <v>-3.0181879999999999</v>
      </c>
      <c r="V9093">
        <v>0.28967320000000002</v>
      </c>
      <c r="W9093">
        <v>5.1305000000000003E-2</v>
      </c>
      <c r="X9093">
        <v>0.95574959999999998</v>
      </c>
      <c r="Y9093">
        <v>0.52243919999999999</v>
      </c>
      <c r="Z9093">
        <v>5.7543549999999999E-2</v>
      </c>
      <c r="AA9093">
        <v>0.85073259999999995</v>
      </c>
      <c r="AB9093">
        <v>21</v>
      </c>
      <c r="AC9093">
        <v>-4.1112000000000499</v>
      </c>
      <c r="AD9093">
        <v>-1.0519819992549999</v>
      </c>
      <c r="AE9093">
        <v>-15.239183000000001</v>
      </c>
      <c r="AF9093">
        <v>8.3034097099312891</v>
      </c>
      <c r="AG9093">
        <v>-1.0519819992549999</v>
      </c>
      <c r="AH9093">
        <v>13.341266041313601</v>
      </c>
      <c r="AI9093">
        <v>93.829933408627994</v>
      </c>
      <c r="AJ9093">
        <v>58.102467163971802</v>
      </c>
      <c r="AK9093">
        <v>15.7493700992403</v>
      </c>
      <c r="AL9093">
        <v>87.059149009522599</v>
      </c>
      <c r="AM9093">
        <v>73.138740142672603</v>
      </c>
      <c r="AN9093">
        <v>1.00000003186169</v>
      </c>
    </row>
    <row r="9094" spans="1:40" x14ac:dyDescent="0.25">
      <c r="A9094" t="str">
        <f>"20190312150902913"</f>
        <v>20190312150902913</v>
      </c>
      <c r="B9094" t="str">
        <f>"1552374542909105"</f>
        <v>1552374542909105</v>
      </c>
      <c r="C9094" t="s">
        <v>40</v>
      </c>
      <c r="D9094">
        <v>4.985411</v>
      </c>
      <c r="E9094">
        <v>0.59791329999999998</v>
      </c>
      <c r="F9094" t="s">
        <v>42</v>
      </c>
      <c r="G9094">
        <v>-304.4674</v>
      </c>
      <c r="H9094" s="1">
        <v>-4.0349530000000001E-6</v>
      </c>
      <c r="I9094">
        <v>-13.48495</v>
      </c>
      <c r="J9094">
        <v>-300.41199999999998</v>
      </c>
      <c r="K9094">
        <v>1.052006</v>
      </c>
      <c r="L9094">
        <v>1.383545</v>
      </c>
      <c r="M9094">
        <v>0.27462350000000002</v>
      </c>
      <c r="N9094">
        <v>0</v>
      </c>
      <c r="O9094">
        <v>-0.96143920000000005</v>
      </c>
      <c r="P9094">
        <v>-7.7299459999999997E-3</v>
      </c>
      <c r="Q9094">
        <v>4.3092659999999998E-2</v>
      </c>
      <c r="R9094">
        <v>-0.99904159999999997</v>
      </c>
      <c r="S9094">
        <v>-0.80078130000000003</v>
      </c>
      <c r="T9094">
        <v>-0.21010809999999999</v>
      </c>
      <c r="U9094">
        <v>-3.0121150000000001</v>
      </c>
      <c r="V9094">
        <v>0.28295700000000001</v>
      </c>
      <c r="W9094">
        <v>5.1301670000000001E-2</v>
      </c>
      <c r="X9094">
        <v>0.95775960000000004</v>
      </c>
      <c r="Y9094">
        <v>0.51196430000000004</v>
      </c>
      <c r="Z9094">
        <v>5.9586220000000002E-2</v>
      </c>
      <c r="AA9094">
        <v>0.85693750000000002</v>
      </c>
      <c r="AB9094">
        <v>21</v>
      </c>
      <c r="AC9094">
        <v>-4.0553999999999597</v>
      </c>
      <c r="AD9094">
        <v>-1.0520100349529999</v>
      </c>
      <c r="AE9094">
        <v>-14.868494999999999</v>
      </c>
      <c r="AF9094">
        <v>7.9460981648429598</v>
      </c>
      <c r="AG9094">
        <v>-1.0520100349529999</v>
      </c>
      <c r="AH9094">
        <v>13.1217324071687</v>
      </c>
      <c r="AI9094">
        <v>93.923135694847701</v>
      </c>
      <c r="AJ9094">
        <v>58.802253780928602</v>
      </c>
      <c r="AK9094">
        <v>15.376184914480699</v>
      </c>
      <c r="AL9094">
        <v>87.059339927814904</v>
      </c>
      <c r="AM9094">
        <v>73.540944038564604</v>
      </c>
      <c r="AN9094">
        <v>0.99999998829297398</v>
      </c>
    </row>
    <row r="9095" spans="1:40" x14ac:dyDescent="0.25">
      <c r="A9095" t="str">
        <f>"20190312150902936"</f>
        <v>20190312150902936</v>
      </c>
      <c r="B9095" t="str">
        <f>"1552374542928625"</f>
        <v>1552374542928625</v>
      </c>
      <c r="C9095" t="s">
        <v>40</v>
      </c>
      <c r="D9095">
        <v>5.0849650000000004</v>
      </c>
      <c r="E9095">
        <v>0.58907290000000001</v>
      </c>
      <c r="F9095" t="s">
        <v>42</v>
      </c>
      <c r="G9095">
        <v>-304.50479999999999</v>
      </c>
      <c r="H9095" s="1">
        <v>-3.9912370000000004E-6</v>
      </c>
      <c r="I9095">
        <v>-13.63287</v>
      </c>
      <c r="J9095">
        <v>-300.36829999999998</v>
      </c>
      <c r="K9095">
        <v>1.0522499999999999</v>
      </c>
      <c r="L9095">
        <v>1.167114</v>
      </c>
      <c r="M9095">
        <v>0.2596405</v>
      </c>
      <c r="N9095">
        <v>0</v>
      </c>
      <c r="O9095">
        <v>-0.96558940000000004</v>
      </c>
      <c r="P9095">
        <v>-1.5503589999999999E-2</v>
      </c>
      <c r="Q9095">
        <v>4.259549E-2</v>
      </c>
      <c r="R9095">
        <v>-0.99897239999999998</v>
      </c>
      <c r="S9095">
        <v>-0.81918329999999995</v>
      </c>
      <c r="T9095">
        <v>-0.21056530000000001</v>
      </c>
      <c r="U9095">
        <v>-3.0056150000000001</v>
      </c>
      <c r="V9095">
        <v>0.27548270000000002</v>
      </c>
      <c r="W9095">
        <v>5.1341659999999997E-2</v>
      </c>
      <c r="X9095">
        <v>0.95993399999999995</v>
      </c>
      <c r="Y9095">
        <v>0.5039342</v>
      </c>
      <c r="Z9095">
        <v>6.0389669999999999E-2</v>
      </c>
      <c r="AA9095">
        <v>0.86162839999999996</v>
      </c>
      <c r="AB9095">
        <v>21</v>
      </c>
      <c r="AC9095">
        <v>-4.1365000000000096</v>
      </c>
      <c r="AD9095">
        <v>-1.0522539912369999</v>
      </c>
      <c r="AE9095">
        <v>-14.799984</v>
      </c>
      <c r="AF9095">
        <v>7.8011361366460701</v>
      </c>
      <c r="AG9095">
        <v>-1.0522539912369999</v>
      </c>
      <c r="AH9095">
        <v>13.156497803334601</v>
      </c>
      <c r="AI9095">
        <v>93.9354724339196</v>
      </c>
      <c r="AJ9095">
        <v>59.3342084256915</v>
      </c>
      <c r="AK9095">
        <v>15.331614329016601</v>
      </c>
      <c r="AL9095">
        <v>87.057045634057403</v>
      </c>
      <c r="AM9095">
        <v>73.987533306273704</v>
      </c>
      <c r="AN9095">
        <v>0.99999998420342195</v>
      </c>
    </row>
    <row r="9096" spans="1:40" x14ac:dyDescent="0.25">
      <c r="A9096" t="str">
        <f>"20190312150902957"</f>
        <v>20190312150902957</v>
      </c>
      <c r="B9096" t="str">
        <f>"1552374542949121"</f>
        <v>1552374542949121</v>
      </c>
      <c r="C9096" t="s">
        <v>40</v>
      </c>
      <c r="D9096">
        <v>5.292605</v>
      </c>
      <c r="E9096">
        <v>0.58829989999999999</v>
      </c>
      <c r="F9096" t="s">
        <v>42</v>
      </c>
      <c r="G9096">
        <v>-303.9298</v>
      </c>
      <c r="H9096" s="1">
        <v>-4.2140029999999997E-6</v>
      </c>
      <c r="I9096">
        <v>-12.67855</v>
      </c>
      <c r="J9096">
        <v>-300.32940000000002</v>
      </c>
      <c r="K9096">
        <v>1.0527</v>
      </c>
      <c r="L9096">
        <v>0.96145630000000004</v>
      </c>
      <c r="M9096">
        <v>0.24451239999999999</v>
      </c>
      <c r="N9096">
        <v>0</v>
      </c>
      <c r="O9096">
        <v>-0.96952349999999998</v>
      </c>
      <c r="P9096">
        <v>-2.079717E-2</v>
      </c>
      <c r="Q9096">
        <v>4.1689980000000001E-2</v>
      </c>
      <c r="R9096">
        <v>-0.99891419999999997</v>
      </c>
      <c r="S9096">
        <v>-0.77188109999999999</v>
      </c>
      <c r="T9096">
        <v>-0.22805919999999999</v>
      </c>
      <c r="U9096">
        <v>-3.0008240000000002</v>
      </c>
      <c r="V9096">
        <v>0.2655169</v>
      </c>
      <c r="W9096">
        <v>5.1268809999999998E-2</v>
      </c>
      <c r="X9096">
        <v>0.96274210000000005</v>
      </c>
      <c r="Y9096">
        <v>0.47777320000000001</v>
      </c>
      <c r="Z9096">
        <v>6.6610169999999996E-2</v>
      </c>
      <c r="AA9096">
        <v>0.87595429999999996</v>
      </c>
      <c r="AB9096">
        <v>21</v>
      </c>
      <c r="AC9096">
        <v>-3.6003999999999698</v>
      </c>
      <c r="AD9096">
        <v>-1.0527042140030001</v>
      </c>
      <c r="AE9096">
        <v>-13.6400063</v>
      </c>
      <c r="AF9096">
        <v>6.7888319849562597</v>
      </c>
      <c r="AG9096">
        <v>-1.0527042140030001</v>
      </c>
      <c r="AH9096">
        <v>12.277068706443499</v>
      </c>
      <c r="AI9096">
        <v>94.291282883528496</v>
      </c>
      <c r="AJ9096">
        <v>61.058789378136503</v>
      </c>
      <c r="AK9096">
        <v>14.068505318792001</v>
      </c>
      <c r="AL9096">
        <v>87.061225279773794</v>
      </c>
      <c r="AM9096">
        <v>74.581551201916298</v>
      </c>
      <c r="AN9096">
        <v>1.00000003308841</v>
      </c>
    </row>
    <row r="9097" spans="1:40" x14ac:dyDescent="0.25">
      <c r="A9097" t="str">
        <f>"20190312150902980"</f>
        <v>20190312150902980</v>
      </c>
      <c r="B9097" t="str">
        <f>"1552374542968641"</f>
        <v>1552374542968641</v>
      </c>
      <c r="C9097" t="s">
        <v>40</v>
      </c>
      <c r="D9097">
        <v>4.9834120000000004</v>
      </c>
      <c r="E9097">
        <v>0.53112369999999898</v>
      </c>
      <c r="F9097" t="s">
        <v>42</v>
      </c>
      <c r="G9097">
        <v>-303.79590000000002</v>
      </c>
      <c r="H9097" s="1">
        <v>-4.3060540000000002E-6</v>
      </c>
      <c r="I9097">
        <v>-12.3383</v>
      </c>
      <c r="J9097">
        <v>-300.29230000000001</v>
      </c>
      <c r="K9097">
        <v>1.0527629999999999</v>
      </c>
      <c r="L9097">
        <v>0.75308229999999998</v>
      </c>
      <c r="M9097">
        <v>0.22862070000000001</v>
      </c>
      <c r="N9097">
        <v>0</v>
      </c>
      <c r="O9097">
        <v>-0.97338939999999996</v>
      </c>
      <c r="P9097">
        <v>-2.4833910000000001E-2</v>
      </c>
      <c r="Q9097">
        <v>4.1497079999999999E-2</v>
      </c>
      <c r="R9097">
        <v>-0.99883</v>
      </c>
      <c r="S9097">
        <v>-0.78112789999999999</v>
      </c>
      <c r="T9097">
        <v>-0.23721</v>
      </c>
      <c r="U9097">
        <v>-2.9968870000000001</v>
      </c>
      <c r="V9097">
        <v>0.25367580000000001</v>
      </c>
      <c r="W9097">
        <v>5.140691E-2</v>
      </c>
      <c r="X9097">
        <v>0.96592230000000001</v>
      </c>
      <c r="Y9097">
        <v>0.46612130000000002</v>
      </c>
      <c r="Z9097">
        <v>7.0027439999999996E-2</v>
      </c>
      <c r="AA9097">
        <v>0.88194499999999998</v>
      </c>
      <c r="AB9097">
        <v>21</v>
      </c>
      <c r="AC9097">
        <v>-3.5036</v>
      </c>
      <c r="AD9097">
        <v>-1.0527673060539999</v>
      </c>
      <c r="AE9097">
        <v>-13.091382299999999</v>
      </c>
      <c r="AF9097">
        <v>6.36570001728</v>
      </c>
      <c r="AG9097">
        <v>-1.0527673060539999</v>
      </c>
      <c r="AH9097">
        <v>11.8718420413659</v>
      </c>
      <c r="AI9097">
        <v>94.468681539249701</v>
      </c>
      <c r="AJ9097">
        <v>61.799721989784302</v>
      </c>
      <c r="AK9097">
        <v>13.511886958002499</v>
      </c>
      <c r="AL9097">
        <v>87.053302145605898</v>
      </c>
      <c r="AM9097">
        <v>75.284970723510298</v>
      </c>
      <c r="AN9097">
        <v>0.99999998576933802</v>
      </c>
    </row>
    <row r="9098" spans="1:40" x14ac:dyDescent="0.25">
      <c r="A9098" t="str">
        <f>"20190312150903003"</f>
        <v>20190312150903003</v>
      </c>
      <c r="B9098" t="str">
        <f>"1552374542998896"</f>
        <v>1552374542998896</v>
      </c>
      <c r="C9098" t="s">
        <v>40</v>
      </c>
      <c r="D9098">
        <v>4.8718450000000004</v>
      </c>
      <c r="E9098">
        <v>0.4504358</v>
      </c>
      <c r="F9098" t="s">
        <v>42</v>
      </c>
      <c r="G9098">
        <v>-302.56869999999998</v>
      </c>
      <c r="H9098" s="1">
        <v>-9.6282690000000008E-7</v>
      </c>
      <c r="I9098">
        <v>-19.75966</v>
      </c>
      <c r="J9098">
        <v>-300.25720000000001</v>
      </c>
      <c r="K9098">
        <v>1.052451</v>
      </c>
      <c r="L9098">
        <v>0.53787229999999997</v>
      </c>
      <c r="M9098">
        <v>0.2146092</v>
      </c>
      <c r="N9098">
        <v>0</v>
      </c>
      <c r="O9098">
        <v>-0.97657419999999995</v>
      </c>
      <c r="P9098">
        <v>-2.542372E-2</v>
      </c>
      <c r="Q9098">
        <v>4.2059859999999998E-2</v>
      </c>
      <c r="R9098">
        <v>-0.99879189999999995</v>
      </c>
      <c r="S9098">
        <v>-0.33309939999999999</v>
      </c>
      <c r="T9098">
        <v>-0.1540504</v>
      </c>
      <c r="U9098">
        <v>-3.001617</v>
      </c>
      <c r="V9098">
        <v>0.24044979999999999</v>
      </c>
      <c r="W9098">
        <v>5.1806440000000002E-2</v>
      </c>
      <c r="X9098">
        <v>0.96927810000000003</v>
      </c>
      <c r="Y9098">
        <v>0.32091449999999999</v>
      </c>
      <c r="Z9098">
        <v>4.7954089999999998E-2</v>
      </c>
      <c r="AA9098">
        <v>0.9458934</v>
      </c>
      <c r="AB9098">
        <v>21</v>
      </c>
      <c r="AC9098">
        <v>-2.3114999999999601</v>
      </c>
      <c r="AD9098">
        <v>-1.0524519628269</v>
      </c>
      <c r="AE9098">
        <v>-20.2975323</v>
      </c>
      <c r="AF9098">
        <v>6.5966926414356104</v>
      </c>
      <c r="AG9098">
        <v>-1.0524519628269</v>
      </c>
      <c r="AH9098">
        <v>19.277187920341898</v>
      </c>
      <c r="AI9098">
        <v>92.956983866674904</v>
      </c>
      <c r="AJ9098">
        <v>71.1089498716956</v>
      </c>
      <c r="AK9098">
        <v>20.4018132296079</v>
      </c>
      <c r="AL9098">
        <v>87.030380333238497</v>
      </c>
      <c r="AM9098">
        <v>76.067825132219895</v>
      </c>
      <c r="AN9098">
        <v>1.00000002434256</v>
      </c>
    </row>
    <row r="9099" spans="1:40" x14ac:dyDescent="0.25">
      <c r="A9099" t="str">
        <f>"20190312150903026"</f>
        <v>20190312150903026</v>
      </c>
      <c r="B9099" t="str">
        <f>"1552374543018417"</f>
        <v>1552374543018417</v>
      </c>
      <c r="C9099" t="s">
        <v>40</v>
      </c>
      <c r="D9099">
        <v>4.814635</v>
      </c>
      <c r="E9099">
        <v>0.44148120000000002</v>
      </c>
      <c r="F9099" t="s">
        <v>41</v>
      </c>
      <c r="G9099">
        <v>-300.1816</v>
      </c>
      <c r="H9099">
        <v>0.99536559999999996</v>
      </c>
      <c r="I9099">
        <v>-0.2090822</v>
      </c>
      <c r="J9099">
        <v>-300.22800000000001</v>
      </c>
      <c r="K9099">
        <v>1.0524290000000001</v>
      </c>
      <c r="L9099">
        <v>0.3343506</v>
      </c>
      <c r="M9099">
        <v>0.20457149999999999</v>
      </c>
      <c r="N9099">
        <v>0</v>
      </c>
      <c r="O9099">
        <v>-0.97873379999999999</v>
      </c>
      <c r="P9099">
        <v>-2.3024360000000001E-2</v>
      </c>
      <c r="Q9099">
        <v>4.34668E-2</v>
      </c>
      <c r="R9099">
        <v>-0.99878979999999995</v>
      </c>
      <c r="S9099">
        <v>0.30572510000000003</v>
      </c>
      <c r="T9099">
        <v>-0.230903</v>
      </c>
      <c r="U9099">
        <v>-3.0211489999999999</v>
      </c>
      <c r="V9099">
        <v>0.2282527</v>
      </c>
      <c r="W9099">
        <v>5.2634050000000002E-2</v>
      </c>
      <c r="X9099">
        <v>0.97217819999999999</v>
      </c>
      <c r="Y9099">
        <v>0.1052802</v>
      </c>
      <c r="Z9099">
        <v>7.3402239999999994E-2</v>
      </c>
      <c r="AA9099">
        <v>0.99172990000000005</v>
      </c>
      <c r="AB9099">
        <v>21</v>
      </c>
      <c r="AC9099">
        <v>4.6400000000005499E-2</v>
      </c>
      <c r="AD9099">
        <v>-5.7063400000000201E-2</v>
      </c>
      <c r="AE9099">
        <v>-0.54343280000000005</v>
      </c>
      <c r="AF9099">
        <v>6.5053106093248506E-2</v>
      </c>
      <c r="AG9099">
        <v>-5.7063400000000201E-2</v>
      </c>
      <c r="AH9099">
        <v>0.53556810036064295</v>
      </c>
      <c r="AI9099">
        <v>96.037727146833205</v>
      </c>
      <c r="AJ9099">
        <v>83.074459767792405</v>
      </c>
      <c r="AK9099">
        <v>0.54251389692416896</v>
      </c>
      <c r="AL9099">
        <v>86.982897049935701</v>
      </c>
      <c r="AM9099">
        <v>76.787132131689404</v>
      </c>
      <c r="AN9099">
        <v>1.0000000454159601</v>
      </c>
    </row>
    <row r="9100" spans="1:40" x14ac:dyDescent="0.25">
      <c r="A9100" t="str">
        <f>"20190312150903048"</f>
        <v>20190312150903048</v>
      </c>
      <c r="B9100" t="str">
        <f>"1552374543038914"</f>
        <v>1552374543038914</v>
      </c>
      <c r="C9100" t="s">
        <v>40</v>
      </c>
      <c r="D9100">
        <v>4.804214</v>
      </c>
      <c r="E9100">
        <v>0.43792750000000003</v>
      </c>
      <c r="F9100" t="s">
        <v>41</v>
      </c>
      <c r="G9100">
        <v>-300.11250000000001</v>
      </c>
      <c r="H9100">
        <v>0.99241029999999997</v>
      </c>
      <c r="I9100">
        <v>-0.57143750000000004</v>
      </c>
      <c r="J9100">
        <v>-300.20159999999998</v>
      </c>
      <c r="K9100">
        <v>1.053161</v>
      </c>
      <c r="L9100">
        <v>0.12283330000000001</v>
      </c>
      <c r="M9100">
        <v>0.19480069999999999</v>
      </c>
      <c r="N9100">
        <v>0</v>
      </c>
      <c r="O9100">
        <v>-0.98074419999999995</v>
      </c>
      <c r="P9100">
        <v>-2.227229E-2</v>
      </c>
      <c r="Q9100">
        <v>4.533682E-2</v>
      </c>
      <c r="R9100">
        <v>-0.99872349999999999</v>
      </c>
      <c r="S9100">
        <v>0.38540649999999999</v>
      </c>
      <c r="T9100">
        <v>-0.19996359999999999</v>
      </c>
      <c r="U9100">
        <v>-3.02121</v>
      </c>
      <c r="V9100">
        <v>0.21783710000000001</v>
      </c>
      <c r="W9100">
        <v>5.340545E-2</v>
      </c>
      <c r="X9100">
        <v>0.97452289999999997</v>
      </c>
      <c r="Y9100">
        <v>6.9399160000000001E-2</v>
      </c>
      <c r="Z9100">
        <v>6.3816929999999994E-2</v>
      </c>
      <c r="AA9100">
        <v>0.99554569999999998</v>
      </c>
      <c r="AB9100">
        <v>20</v>
      </c>
      <c r="AC9100">
        <v>8.9099999999973506E-2</v>
      </c>
      <c r="AD9100">
        <v>-6.0750699999999901E-2</v>
      </c>
      <c r="AE9100">
        <v>-0.69427079999999997</v>
      </c>
      <c r="AF9100">
        <v>4.7506905948969398E-2</v>
      </c>
      <c r="AG9100">
        <v>-6.0750699999999901E-2</v>
      </c>
      <c r="AH9100">
        <v>0.69310542070145498</v>
      </c>
      <c r="AI9100">
        <v>94.997508507407304</v>
      </c>
      <c r="AJ9100">
        <v>86.0789592492862</v>
      </c>
      <c r="AK9100">
        <v>0.69738273413461804</v>
      </c>
      <c r="AL9100">
        <v>86.938636734901706</v>
      </c>
      <c r="AM9100">
        <v>77.399696297685395</v>
      </c>
      <c r="AN9100">
        <v>1.00000001342526</v>
      </c>
    </row>
    <row r="9101" spans="1:40" x14ac:dyDescent="0.25">
      <c r="A9101" t="str">
        <f>"20190312150903069"</f>
        <v>20190312150903069</v>
      </c>
      <c r="B9101" t="str">
        <f>"1552374543058433"</f>
        <v>1552374543058433</v>
      </c>
      <c r="C9101" t="s">
        <v>40</v>
      </c>
      <c r="D9101">
        <v>4.7868180000000002</v>
      </c>
      <c r="E9101">
        <v>0.43631629999999899</v>
      </c>
      <c r="F9101" t="s">
        <v>41</v>
      </c>
      <c r="G9101">
        <v>-300.08069999999998</v>
      </c>
      <c r="H9101">
        <v>0.99348769999999997</v>
      </c>
      <c r="I9101">
        <v>-0.75678299999999998</v>
      </c>
      <c r="J9101">
        <v>-300.17860000000002</v>
      </c>
      <c r="K9101">
        <v>1.0547959999999901</v>
      </c>
      <c r="L9101">
        <v>-8.099365E-2</v>
      </c>
      <c r="M9101">
        <v>0.18332660000000001</v>
      </c>
      <c r="N9101">
        <v>0</v>
      </c>
      <c r="O9101">
        <v>-0.98297880000000004</v>
      </c>
      <c r="P9101">
        <v>-2.2822220000000001E-2</v>
      </c>
      <c r="Q9101">
        <v>4.7818970000000002E-2</v>
      </c>
      <c r="R9101">
        <v>-0.99859549999999997</v>
      </c>
      <c r="S9101">
        <v>0.4153442</v>
      </c>
      <c r="T9101">
        <v>-0.20392669999999999</v>
      </c>
      <c r="U9101">
        <v>-3.0223689999999999</v>
      </c>
      <c r="V9101">
        <v>0.20688400000000001</v>
      </c>
      <c r="W9101">
        <v>5.4622940000000002E-2</v>
      </c>
      <c r="X9101">
        <v>0.97683949999999997</v>
      </c>
      <c r="Y9101">
        <v>4.8091710000000003E-2</v>
      </c>
      <c r="Z9101">
        <v>6.5272819999999995E-2</v>
      </c>
      <c r="AA9101">
        <v>0.99670789999999998</v>
      </c>
      <c r="AB9101">
        <v>21</v>
      </c>
      <c r="AC9101">
        <v>9.7900000000038206E-2</v>
      </c>
      <c r="AD9101">
        <v>-6.1308299999999698E-2</v>
      </c>
      <c r="AE9101">
        <v>-0.67578934999999996</v>
      </c>
      <c r="AF9101">
        <v>2.7437355294710499E-2</v>
      </c>
      <c r="AG9101">
        <v>-6.1308299999999698E-2</v>
      </c>
      <c r="AH9101">
        <v>0.67682742470910595</v>
      </c>
      <c r="AI9101">
        <v>95.171609616484503</v>
      </c>
      <c r="AJ9101">
        <v>87.678604156433806</v>
      </c>
      <c r="AK9101">
        <v>0.68015209986650704</v>
      </c>
      <c r="AL9101">
        <v>86.868777768321607</v>
      </c>
      <c r="AM9101">
        <v>78.042075744454095</v>
      </c>
      <c r="AN9101">
        <v>1.00000003189524</v>
      </c>
    </row>
    <row r="9102" spans="1:40" x14ac:dyDescent="0.25">
      <c r="A9102" t="str">
        <f>"20190312150903092"</f>
        <v>20190312150903092</v>
      </c>
      <c r="B9102" t="str">
        <f>"1552374543088287"</f>
        <v>1552374543088287</v>
      </c>
      <c r="C9102" t="s">
        <v>40</v>
      </c>
      <c r="D9102">
        <v>4.8048989999999998</v>
      </c>
      <c r="E9102">
        <v>0.4350503</v>
      </c>
      <c r="F9102" t="s">
        <v>41</v>
      </c>
      <c r="G9102">
        <v>-300.0566</v>
      </c>
      <c r="H9102">
        <v>0.99674890000000005</v>
      </c>
      <c r="I9102">
        <v>-0.94603130000000002</v>
      </c>
      <c r="J9102">
        <v>-300.15629999999999</v>
      </c>
      <c r="K9102">
        <v>1.057191</v>
      </c>
      <c r="L9102">
        <v>-0.29605100000000001</v>
      </c>
      <c r="M9102">
        <v>0.16912849999999999</v>
      </c>
      <c r="N9102">
        <v>0</v>
      </c>
      <c r="O9102">
        <v>-0.98554379999999997</v>
      </c>
      <c r="P9102">
        <v>-2.7071439999999999E-2</v>
      </c>
      <c r="Q9102">
        <v>5.0082729999999999E-2</v>
      </c>
      <c r="R9102">
        <v>-0.99837849999999995</v>
      </c>
      <c r="S9102">
        <v>0.4265137</v>
      </c>
      <c r="T9102">
        <v>-0.20254269999999999</v>
      </c>
      <c r="U9102">
        <v>-3.023682</v>
      </c>
      <c r="V9102">
        <v>0.1967805</v>
      </c>
      <c r="W9102">
        <v>5.563419E-2</v>
      </c>
      <c r="X9102">
        <v>0.97886779999999995</v>
      </c>
      <c r="Y9102">
        <v>3.0116489999999999E-2</v>
      </c>
      <c r="Z9102">
        <v>6.5063129999999997E-2</v>
      </c>
      <c r="AA9102">
        <v>0.99742660000000005</v>
      </c>
      <c r="AB9102">
        <v>21</v>
      </c>
      <c r="AC9102">
        <v>9.9699999999984301E-2</v>
      </c>
      <c r="AD9102">
        <v>-6.0442099999999999E-2</v>
      </c>
      <c r="AE9102">
        <v>-0.64998029999999996</v>
      </c>
      <c r="AF9102">
        <v>1.15742688649883E-2</v>
      </c>
      <c r="AG9102">
        <v>-6.0442099999999999E-2</v>
      </c>
      <c r="AH9102">
        <v>0.65197053835426499</v>
      </c>
      <c r="AI9102">
        <v>95.295739223278503</v>
      </c>
      <c r="AJ9102">
        <v>88.982949283392003</v>
      </c>
      <c r="AK9102">
        <v>0.65486853187042005</v>
      </c>
      <c r="AL9102">
        <v>86.810748900075495</v>
      </c>
      <c r="AM9102">
        <v>78.633406713543806</v>
      </c>
      <c r="AN9102">
        <v>0.99999994907702106</v>
      </c>
    </row>
    <row r="9103" spans="1:40" x14ac:dyDescent="0.25">
      <c r="A9103" t="str">
        <f>"20190312150903114"</f>
        <v>20190312150903114</v>
      </c>
      <c r="B9103" t="str">
        <f>"1552374543108784"</f>
        <v>1552374543108784</v>
      </c>
      <c r="C9103" t="s">
        <v>40</v>
      </c>
      <c r="D9103">
        <v>4.7942210000000003</v>
      </c>
      <c r="E9103">
        <v>0.43444149999999998</v>
      </c>
      <c r="F9103" t="s">
        <v>41</v>
      </c>
      <c r="G9103">
        <v>-300.03820000000002</v>
      </c>
      <c r="H9103">
        <v>1.0015050000000001</v>
      </c>
      <c r="I9103">
        <v>-1.138444</v>
      </c>
      <c r="J9103">
        <v>-300.13619999999997</v>
      </c>
      <c r="K9103">
        <v>1.0596099999999999</v>
      </c>
      <c r="L9103">
        <v>-0.50634769999999996</v>
      </c>
      <c r="M9103">
        <v>0.15439539999999999</v>
      </c>
      <c r="N9103">
        <v>0</v>
      </c>
      <c r="O9103">
        <v>-0.98797520000000005</v>
      </c>
      <c r="P9103">
        <v>-3.2520029999999998E-2</v>
      </c>
      <c r="Q9103">
        <v>5.1028469999999999E-2</v>
      </c>
      <c r="R9103">
        <v>-0.99816760000000004</v>
      </c>
      <c r="S9103">
        <v>0.4244385</v>
      </c>
      <c r="T9103">
        <v>-0.1991849</v>
      </c>
      <c r="U9103">
        <v>-3.026367</v>
      </c>
      <c r="V9103">
        <v>0.18734709999999999</v>
      </c>
      <c r="W9103">
        <v>5.5468030000000002E-2</v>
      </c>
      <c r="X9103">
        <v>0.9807264</v>
      </c>
      <c r="Y9103">
        <v>1.5971869999999999E-2</v>
      </c>
      <c r="Z9103">
        <v>6.4182009999999998E-2</v>
      </c>
      <c r="AA9103">
        <v>0.99781039999999999</v>
      </c>
      <c r="AB9103">
        <v>21</v>
      </c>
      <c r="AC9103">
        <v>9.7999999999956303E-2</v>
      </c>
      <c r="AD9103">
        <v>-5.8104999999999997E-2</v>
      </c>
      <c r="AE9103">
        <v>-0.63209630000000006</v>
      </c>
      <c r="AF9103">
        <v>7.6490554806686595E-4</v>
      </c>
      <c r="AG9103">
        <v>-5.8104999999999997E-2</v>
      </c>
      <c r="AH9103">
        <v>0.634412668048974</v>
      </c>
      <c r="AI9103">
        <v>95.233039491872006</v>
      </c>
      <c r="AJ9103">
        <v>89.930919036454995</v>
      </c>
      <c r="AK9103">
        <v>0.63706844960845099</v>
      </c>
      <c r="AL9103">
        <v>86.820283909475094</v>
      </c>
      <c r="AM9103">
        <v>79.185145217038894</v>
      </c>
      <c r="AN9103">
        <v>0.99999995494372396</v>
      </c>
    </row>
    <row r="9104" spans="1:40" x14ac:dyDescent="0.25">
      <c r="A9104" t="str">
        <f>"20190312150903137"</f>
        <v>20190312150903137</v>
      </c>
      <c r="B9104" t="str">
        <f>"1552374543128304"</f>
        <v>1552374543128304</v>
      </c>
      <c r="C9104" t="s">
        <v>40</v>
      </c>
      <c r="D9104">
        <v>4.8187930000000003</v>
      </c>
      <c r="E9104">
        <v>0.43382799999999999</v>
      </c>
      <c r="F9104" t="s">
        <v>41</v>
      </c>
      <c r="G9104">
        <v>-300.02339999999998</v>
      </c>
      <c r="H9104">
        <v>1.005172</v>
      </c>
      <c r="I9104">
        <v>-1.3312440000000001</v>
      </c>
      <c r="J9104">
        <v>-300.1182</v>
      </c>
      <c r="K9104">
        <v>1.0618000000000001</v>
      </c>
      <c r="L9104">
        <v>-0.71893309999999999</v>
      </c>
      <c r="M9104">
        <v>0.13985120000000001</v>
      </c>
      <c r="N9104">
        <v>0</v>
      </c>
      <c r="O9104">
        <v>-0.99015070000000005</v>
      </c>
      <c r="P9104">
        <v>-3.7740129999999997E-2</v>
      </c>
      <c r="Q9104">
        <v>5.0531960000000001E-2</v>
      </c>
      <c r="R9104">
        <v>-0.99800909999999998</v>
      </c>
      <c r="S9104">
        <v>0.41458129999999999</v>
      </c>
      <c r="T9104">
        <v>-0.19901379999999999</v>
      </c>
      <c r="U9104">
        <v>-3.029175</v>
      </c>
      <c r="V9104">
        <v>0.1779289</v>
      </c>
      <c r="W9104">
        <v>5.3830169999999997E-2</v>
      </c>
      <c r="X9104">
        <v>0.9825699</v>
      </c>
      <c r="Y9104">
        <v>4.5798180000000003E-3</v>
      </c>
      <c r="Z9104">
        <v>6.4296889999999995E-2</v>
      </c>
      <c r="AA9104">
        <v>0.99792029999999998</v>
      </c>
      <c r="AB9104">
        <v>21</v>
      </c>
      <c r="AC9104">
        <v>9.4800000000020604E-2</v>
      </c>
      <c r="AD9104">
        <v>-5.6628000000000102E-2</v>
      </c>
      <c r="AE9104">
        <v>-0.61231089999999999</v>
      </c>
      <c r="AF9104">
        <v>-8.1658427154252394E-3</v>
      </c>
      <c r="AG9104">
        <v>-5.6628000000000102E-2</v>
      </c>
      <c r="AH9104">
        <v>0.61441924301642203</v>
      </c>
      <c r="AI9104">
        <v>95.265331543173801</v>
      </c>
      <c r="AJ9104">
        <v>90.761435754116604</v>
      </c>
      <c r="AK9104">
        <v>0.61707731894805995</v>
      </c>
      <c r="AL9104">
        <v>86.914266958088305</v>
      </c>
      <c r="AM9104">
        <v>79.735809766310993</v>
      </c>
      <c r="AN9104">
        <v>0.99999999452172394</v>
      </c>
    </row>
    <row r="9105" spans="1:40" x14ac:dyDescent="0.25">
      <c r="A9105" t="str">
        <f>"20190312150903158"</f>
        <v>20190312150903158</v>
      </c>
      <c r="B9105" t="str">
        <f>"1552374543148800"</f>
        <v>1552374543148800</v>
      </c>
      <c r="C9105" t="s">
        <v>40</v>
      </c>
      <c r="D9105">
        <v>4.7909660000000001</v>
      </c>
      <c r="E9105">
        <v>0.43283820000000001</v>
      </c>
      <c r="F9105" t="s">
        <v>41</v>
      </c>
      <c r="G9105">
        <v>-300.01100000000002</v>
      </c>
      <c r="H9105">
        <v>1.007382</v>
      </c>
      <c r="I9105">
        <v>-1.52281</v>
      </c>
      <c r="J9105">
        <v>-300.1028</v>
      </c>
      <c r="K9105">
        <v>1.063644</v>
      </c>
      <c r="L9105">
        <v>-0.9287415</v>
      </c>
      <c r="M9105">
        <v>0.12644179999999999</v>
      </c>
      <c r="N9105">
        <v>0</v>
      </c>
      <c r="O9105">
        <v>-0.99196119999999999</v>
      </c>
      <c r="P9105">
        <v>-4.06802E-2</v>
      </c>
      <c r="Q9105">
        <v>5.0147730000000001E-2</v>
      </c>
      <c r="R9105">
        <v>-0.99791319999999994</v>
      </c>
      <c r="S9105">
        <v>0.40429690000000001</v>
      </c>
      <c r="T9105">
        <v>-0.2047197</v>
      </c>
      <c r="U9105">
        <v>-3.031647</v>
      </c>
      <c r="V9105">
        <v>0.1674484</v>
      </c>
      <c r="W9105">
        <v>5.2265489999999998E-2</v>
      </c>
      <c r="X9105">
        <v>0.98449439999999999</v>
      </c>
      <c r="Y9105">
        <v>-5.5008369999999997E-3</v>
      </c>
      <c r="Z9105">
        <v>6.6273960000000007E-2</v>
      </c>
      <c r="AA9105">
        <v>0.99778630000000001</v>
      </c>
      <c r="AB9105">
        <v>21</v>
      </c>
      <c r="AC9105">
        <v>9.1800000000034701E-2</v>
      </c>
      <c r="AD9105">
        <v>-5.6262E-2</v>
      </c>
      <c r="AE9105">
        <v>-0.594068499999999</v>
      </c>
      <c r="AF9105">
        <v>-1.5808665232851599E-2</v>
      </c>
      <c r="AG9105">
        <v>-5.6262E-2</v>
      </c>
      <c r="AH9105">
        <v>0.595689609043632</v>
      </c>
      <c r="AI9105">
        <v>95.393608041639894</v>
      </c>
      <c r="AJ9105">
        <v>91.5201830494848</v>
      </c>
      <c r="AK9105">
        <v>0.59854944395847498</v>
      </c>
      <c r="AL9105">
        <v>87.004042759273801</v>
      </c>
      <c r="AM9105">
        <v>80.347183507758601</v>
      </c>
      <c r="AN9105">
        <v>0.99999993586942704</v>
      </c>
    </row>
    <row r="9106" spans="1:40" x14ac:dyDescent="0.25">
      <c r="A9106" t="str">
        <f>"20190312150903181"</f>
        <v>20190312150903181</v>
      </c>
      <c r="B9106" t="str">
        <f>"1552374543178630"</f>
        <v>1552374543178630</v>
      </c>
      <c r="C9106" t="s">
        <v>40</v>
      </c>
      <c r="D9106">
        <v>4.8244280000000002</v>
      </c>
      <c r="E9106">
        <v>0.4315118</v>
      </c>
      <c r="F9106" t="s">
        <v>41</v>
      </c>
      <c r="G9106">
        <v>-299.99829999999997</v>
      </c>
      <c r="H9106">
        <v>1.007139</v>
      </c>
      <c r="I9106">
        <v>-1.7170380000000001</v>
      </c>
      <c r="J9106">
        <v>-300.08980000000003</v>
      </c>
      <c r="K9106">
        <v>1.0652779999999999</v>
      </c>
      <c r="L9106">
        <v>-1.14093</v>
      </c>
      <c r="M9106">
        <v>0.113815899999999</v>
      </c>
      <c r="N9106">
        <v>0</v>
      </c>
      <c r="O9106">
        <v>-0.99349549999999998</v>
      </c>
      <c r="P9106">
        <v>-4.2846559999999999E-2</v>
      </c>
      <c r="Q9106">
        <v>5.2418109999999997E-2</v>
      </c>
      <c r="R9106">
        <v>-0.99770610000000004</v>
      </c>
      <c r="S9106">
        <v>0.40222170000000002</v>
      </c>
      <c r="T9106">
        <v>-0.2175665</v>
      </c>
      <c r="U9106">
        <v>-3.0335999999999999</v>
      </c>
      <c r="V9106">
        <v>0.15703499999999901</v>
      </c>
      <c r="W9106">
        <v>5.332402E-2</v>
      </c>
      <c r="X9106">
        <v>0.98615240000000004</v>
      </c>
      <c r="Y9106">
        <v>-1.7425889999999999E-2</v>
      </c>
      <c r="Z9106">
        <v>7.0528439999999998E-2</v>
      </c>
      <c r="AA9106">
        <v>0.99735750000000001</v>
      </c>
      <c r="AB9106">
        <v>21</v>
      </c>
      <c r="AC9106">
        <v>9.1500000000053205E-2</v>
      </c>
      <c r="AD9106">
        <v>-5.81390000000001E-2</v>
      </c>
      <c r="AE9106">
        <v>-0.57610799999999995</v>
      </c>
      <c r="AF9106">
        <v>-2.5085557077590501E-2</v>
      </c>
      <c r="AG9106">
        <v>-5.81390000000001E-2</v>
      </c>
      <c r="AH9106">
        <v>0.57704637538224002</v>
      </c>
      <c r="AI9106">
        <v>95.747899064886198</v>
      </c>
      <c r="AJ9106">
        <v>92.489214405510097</v>
      </c>
      <c r="AK9106">
        <v>0.58051007556861101</v>
      </c>
      <c r="AL9106">
        <v>86.943308944132994</v>
      </c>
      <c r="AM9106">
        <v>80.952180773872399</v>
      </c>
      <c r="AN9106">
        <v>0.99999999917986004</v>
      </c>
    </row>
    <row r="9107" spans="1:40" x14ac:dyDescent="0.25">
      <c r="A9107" t="str">
        <f>"20190312150903204"</f>
        <v>20190312150903204</v>
      </c>
      <c r="B9107" t="str">
        <f>"1552374543199126"</f>
        <v>1552374543199126</v>
      </c>
      <c r="C9107" t="s">
        <v>40</v>
      </c>
      <c r="D9107">
        <v>4.8181760000000002</v>
      </c>
      <c r="E9107">
        <v>0.43117660000000002</v>
      </c>
      <c r="F9107" t="s">
        <v>42</v>
      </c>
      <c r="G9107">
        <v>-298.14760000000001</v>
      </c>
      <c r="H9107" s="1">
        <v>-2.335244E-6</v>
      </c>
      <c r="I9107">
        <v>-15.68966</v>
      </c>
      <c r="J9107">
        <v>-300.07870000000003</v>
      </c>
      <c r="K9107">
        <v>1.0668709999999999</v>
      </c>
      <c r="L9107">
        <v>-1.3615109999999999</v>
      </c>
      <c r="M9107">
        <v>0.1013946</v>
      </c>
      <c r="N9107">
        <v>0</v>
      </c>
      <c r="O9107">
        <v>-0.99484399999999995</v>
      </c>
      <c r="P9107">
        <v>-4.4915869999999997E-2</v>
      </c>
      <c r="Q9107">
        <v>5.4663870000000003E-2</v>
      </c>
      <c r="R9107">
        <v>-0.99749429999999994</v>
      </c>
      <c r="S9107">
        <v>0.405304</v>
      </c>
      <c r="T9107">
        <v>-0.2222991</v>
      </c>
      <c r="U9107">
        <v>-3.0359799999999999</v>
      </c>
      <c r="V9107">
        <v>0.14673249999999999</v>
      </c>
      <c r="W9107">
        <v>5.4403439999999997E-2</v>
      </c>
      <c r="X9107">
        <v>0.98767899999999997</v>
      </c>
      <c r="Y9107">
        <v>-3.0794709999999999E-2</v>
      </c>
      <c r="Z9107">
        <v>7.2128330000000004E-2</v>
      </c>
      <c r="AA9107">
        <v>0.99691989999999997</v>
      </c>
      <c r="AB9107">
        <v>21</v>
      </c>
      <c r="AC9107">
        <v>1.93110000000001</v>
      </c>
      <c r="AD9107">
        <v>-1.0668733352440001</v>
      </c>
      <c r="AE9107">
        <v>-14.328149</v>
      </c>
      <c r="AF9107">
        <v>-0.46581086442256903</v>
      </c>
      <c r="AG9107">
        <v>-1.0668733352440001</v>
      </c>
      <c r="AH9107">
        <v>14.3718490031301</v>
      </c>
      <c r="AI9107">
        <v>94.243261950527497</v>
      </c>
      <c r="AJ9107">
        <v>91.856383052150406</v>
      </c>
      <c r="AK9107">
        <v>14.418919593493801</v>
      </c>
      <c r="AL9107">
        <v>86.881372770200997</v>
      </c>
      <c r="AM9107">
        <v>81.549776736411005</v>
      </c>
      <c r="AN9107">
        <v>0.99999998394054102</v>
      </c>
    </row>
    <row r="9108" spans="1:40" x14ac:dyDescent="0.25">
      <c r="A9108" t="str">
        <f>"20190312150903228"</f>
        <v>20190312150903228</v>
      </c>
      <c r="B9108" t="str">
        <f>"1552374543218645"</f>
        <v>1552374543218645</v>
      </c>
      <c r="C9108" t="s">
        <v>40</v>
      </c>
      <c r="D9108">
        <v>4.7986149999999999</v>
      </c>
      <c r="E9108">
        <v>0.40156560000000002</v>
      </c>
      <c r="F9108" t="s">
        <v>42</v>
      </c>
      <c r="G9108">
        <v>-298.10180000000003</v>
      </c>
      <c r="H9108" s="1">
        <v>-2.0945290000000002E-6</v>
      </c>
      <c r="I9108">
        <v>-16.269679999999902</v>
      </c>
      <c r="J9108">
        <v>-300.07040000000001</v>
      </c>
      <c r="K9108">
        <v>1.068452</v>
      </c>
      <c r="L9108">
        <v>-1.5808719999999901</v>
      </c>
      <c r="M9108">
        <v>8.9425009999999999E-2</v>
      </c>
      <c r="N9108">
        <v>0</v>
      </c>
      <c r="O9108">
        <v>-0.99599320000000002</v>
      </c>
      <c r="P9108">
        <v>-4.5614689999999999E-2</v>
      </c>
      <c r="Q9108">
        <v>5.4295919999999998E-2</v>
      </c>
      <c r="R9108">
        <v>-0.99748300000000001</v>
      </c>
      <c r="S9108">
        <v>0.40280149999999998</v>
      </c>
      <c r="T9108">
        <v>-0.21737960000000001</v>
      </c>
      <c r="U9108">
        <v>-3.037598</v>
      </c>
      <c r="V9108">
        <v>0.1354832</v>
      </c>
      <c r="W9108">
        <v>5.3137360000000002E-2</v>
      </c>
      <c r="X9108">
        <v>0.9893537</v>
      </c>
      <c r="Y9108">
        <v>-4.1949510000000002E-2</v>
      </c>
      <c r="Z9108">
        <v>7.0614289999999996E-2</v>
      </c>
      <c r="AA9108">
        <v>0.99662130000000004</v>
      </c>
      <c r="AB9108">
        <v>21</v>
      </c>
      <c r="AC9108">
        <v>1.9685999999999799</v>
      </c>
      <c r="AD9108">
        <v>-1.068454094529</v>
      </c>
      <c r="AE9108">
        <v>-14.6888079999999</v>
      </c>
      <c r="AF9108">
        <v>-0.64381929267423899</v>
      </c>
      <c r="AG9108">
        <v>-1.068454094529</v>
      </c>
      <c r="AH9108">
        <v>14.7294417103694</v>
      </c>
      <c r="AI9108">
        <v>94.144948961094798</v>
      </c>
      <c r="AJ9108">
        <v>92.502787533644906</v>
      </c>
      <c r="AK9108">
        <v>14.782170021106699</v>
      </c>
      <c r="AL9108">
        <v>86.954018991886997</v>
      </c>
      <c r="AM9108">
        <v>82.2023533636211</v>
      </c>
      <c r="AN9108">
        <v>1.00000001010684</v>
      </c>
    </row>
    <row r="9109" spans="1:40" x14ac:dyDescent="0.25">
      <c r="A9109" t="str">
        <f>"20190312150903249"</f>
        <v>20190312150903249</v>
      </c>
      <c r="B9109" t="str">
        <f>"1552374543238166"</f>
        <v>1552374543238166</v>
      </c>
      <c r="C9109" t="s">
        <v>40</v>
      </c>
      <c r="D9109">
        <v>4.8126139999999999</v>
      </c>
      <c r="E9109">
        <v>0.39722400000000002</v>
      </c>
      <c r="F9109" t="s">
        <v>42</v>
      </c>
      <c r="G9109">
        <v>-297.62040000000002</v>
      </c>
      <c r="H9109" s="1">
        <v>-3.4341540000000001E-6</v>
      </c>
      <c r="I9109">
        <v>-13.34606</v>
      </c>
      <c r="J9109">
        <v>-300.06400000000002</v>
      </c>
      <c r="K9109">
        <v>1.0701529999999999</v>
      </c>
      <c r="L9109">
        <v>-1.7903439999999999</v>
      </c>
      <c r="M9109">
        <v>7.7424259999999995E-2</v>
      </c>
      <c r="N9109">
        <v>0</v>
      </c>
      <c r="O9109">
        <v>-0.9969981</v>
      </c>
      <c r="P9109">
        <v>-4.5765050000000002E-2</v>
      </c>
      <c r="Q9109">
        <v>5.4239849999999999E-2</v>
      </c>
      <c r="R9109">
        <v>-0.99747859999999999</v>
      </c>
      <c r="S9109">
        <v>0.63549800000000001</v>
      </c>
      <c r="T9109">
        <v>-0.27714250000000001</v>
      </c>
      <c r="U9109">
        <v>-3.0517270000000001</v>
      </c>
      <c r="V9109">
        <v>0.1236519</v>
      </c>
      <c r="W9109">
        <v>5.2841190000000003E-2</v>
      </c>
      <c r="X9109">
        <v>0.99091770000000001</v>
      </c>
      <c r="Y9109">
        <v>-0.12665319999999999</v>
      </c>
      <c r="Z9109">
        <v>8.8730450000000002E-2</v>
      </c>
      <c r="AA9109">
        <v>0.98797060000000003</v>
      </c>
      <c r="AB9109">
        <v>21</v>
      </c>
      <c r="AC9109">
        <v>2.4436</v>
      </c>
      <c r="AD9109">
        <v>-1.070156434154</v>
      </c>
      <c r="AE9109">
        <v>-11.555716</v>
      </c>
      <c r="AF9109">
        <v>-1.5290199311167401</v>
      </c>
      <c r="AG9109">
        <v>-1.070156434154</v>
      </c>
      <c r="AH9109">
        <v>11.614873249569801</v>
      </c>
      <c r="AI9109">
        <v>95.219403294963897</v>
      </c>
      <c r="AJ9109">
        <v>97.499480479219997</v>
      </c>
      <c r="AK9109">
        <v>11.7638606480562</v>
      </c>
      <c r="AL9109">
        <v>86.971011931990105</v>
      </c>
      <c r="AM9109">
        <v>82.887099679159405</v>
      </c>
      <c r="AN9109">
        <v>0.99999993595375603</v>
      </c>
    </row>
    <row r="9110" spans="1:40" x14ac:dyDescent="0.25">
      <c r="A9110" t="str">
        <f>"20190312150903270"</f>
        <v>20190312150903270</v>
      </c>
      <c r="B9110" t="str">
        <f>"1552374543258662"</f>
        <v>1552374543258662</v>
      </c>
      <c r="C9110" t="s">
        <v>40</v>
      </c>
      <c r="D9110">
        <v>4.7893829999999999</v>
      </c>
      <c r="E9110">
        <v>0.39579160000000002</v>
      </c>
      <c r="F9110" t="s">
        <v>42</v>
      </c>
      <c r="G9110">
        <v>-297.58929999999998</v>
      </c>
      <c r="H9110" s="1">
        <v>-3.5568349999999999E-6</v>
      </c>
      <c r="I9110">
        <v>-13.072950000000001</v>
      </c>
      <c r="J9110">
        <v>-300.05939999999998</v>
      </c>
      <c r="K9110">
        <v>1.0718890000000001</v>
      </c>
      <c r="L9110">
        <v>-1.985657</v>
      </c>
      <c r="M9110">
        <v>6.6486939999999994E-2</v>
      </c>
      <c r="N9110">
        <v>0</v>
      </c>
      <c r="O9110">
        <v>-0.99778730000000004</v>
      </c>
      <c r="P9110">
        <v>-4.6337700000000002E-2</v>
      </c>
      <c r="Q9110">
        <v>5.3931130000000001E-2</v>
      </c>
      <c r="R9110">
        <v>-0.99746919999999994</v>
      </c>
      <c r="S9110">
        <v>0.66989140000000003</v>
      </c>
      <c r="T9110">
        <v>-0.28967959999999998</v>
      </c>
      <c r="U9110">
        <v>-3.0540769999999999</v>
      </c>
      <c r="V9110">
        <v>0.1133287</v>
      </c>
      <c r="W9110">
        <v>5.3035939999999997E-2</v>
      </c>
      <c r="X9110">
        <v>0.99214100000000005</v>
      </c>
      <c r="Y9110">
        <v>-0.14791360000000001</v>
      </c>
      <c r="Z9110">
        <v>9.2506420000000006E-2</v>
      </c>
      <c r="AA9110">
        <v>0.9846644</v>
      </c>
      <c r="AB9110">
        <v>21</v>
      </c>
      <c r="AC9110">
        <v>2.4701</v>
      </c>
      <c r="AD9110">
        <v>-1.071892556835</v>
      </c>
      <c r="AE9110">
        <v>-11.087292999999899</v>
      </c>
      <c r="AF9110">
        <v>-1.71222754347841</v>
      </c>
      <c r="AG9110">
        <v>-1.071892556835</v>
      </c>
      <c r="AH9110">
        <v>11.127900164753401</v>
      </c>
      <c r="AI9110">
        <v>95.438417415736794</v>
      </c>
      <c r="AJ9110">
        <v>98.747384008805795</v>
      </c>
      <c r="AK9110">
        <v>11.309767410993199</v>
      </c>
      <c r="AL9110">
        <v>86.959838057470705</v>
      </c>
      <c r="AM9110">
        <v>83.483552612430003</v>
      </c>
      <c r="AN9110">
        <v>0.99999998452818595</v>
      </c>
    </row>
    <row r="9111" spans="1:40" x14ac:dyDescent="0.25">
      <c r="A9111" t="str">
        <f>"20190312150903294"</f>
        <v>20190312150903294</v>
      </c>
      <c r="B9111" t="str">
        <f>"1552374543288515"</f>
        <v>1552374543288515</v>
      </c>
      <c r="C9111" t="s">
        <v>40</v>
      </c>
      <c r="D9111">
        <v>4.7997649999999998</v>
      </c>
      <c r="E9111">
        <v>0.39464969999999999</v>
      </c>
      <c r="F9111" t="s">
        <v>42</v>
      </c>
      <c r="G9111">
        <v>-297.61919999999998</v>
      </c>
      <c r="H9111" s="1">
        <v>-3.6017530000000002E-6</v>
      </c>
      <c r="I9111">
        <v>-12.95585</v>
      </c>
      <c r="J9111">
        <v>-300.05650000000003</v>
      </c>
      <c r="K9111">
        <v>1.0738049999999999</v>
      </c>
      <c r="L9111">
        <v>-2.1980900000000001</v>
      </c>
      <c r="M9111">
        <v>5.5770479999999997E-2</v>
      </c>
      <c r="N9111">
        <v>0</v>
      </c>
      <c r="O9111">
        <v>-0.99844270000000002</v>
      </c>
      <c r="P9111">
        <v>-4.6882559999999997E-2</v>
      </c>
      <c r="Q9111">
        <v>5.2638989999999997E-2</v>
      </c>
      <c r="R9111">
        <v>-0.99751259999999997</v>
      </c>
      <c r="S9111">
        <v>0.67962650000000002</v>
      </c>
      <c r="T9111">
        <v>-0.29853479999999999</v>
      </c>
      <c r="U9111">
        <v>-3.0553279999999998</v>
      </c>
      <c r="V9111">
        <v>0.1032242</v>
      </c>
      <c r="W9111">
        <v>5.2459289999999999E-2</v>
      </c>
      <c r="X9111">
        <v>0.99327379999999998</v>
      </c>
      <c r="Y9111">
        <v>-0.16136819999999999</v>
      </c>
      <c r="Z9111">
        <v>9.5231479999999993E-2</v>
      </c>
      <c r="AA9111">
        <v>0.98228879999999996</v>
      </c>
      <c r="AB9111">
        <v>20</v>
      </c>
      <c r="AC9111">
        <v>2.43730000000004</v>
      </c>
      <c r="AD9111">
        <v>-1.073808601753</v>
      </c>
      <c r="AE9111">
        <v>-10.757759999999999</v>
      </c>
      <c r="AF9111">
        <v>-1.81632729738496</v>
      </c>
      <c r="AG9111">
        <v>-1.073808601753</v>
      </c>
      <c r="AH9111">
        <v>10.7748331878049</v>
      </c>
      <c r="AI9111">
        <v>95.612576054581496</v>
      </c>
      <c r="AJ9111">
        <v>99.568465603650907</v>
      </c>
      <c r="AK9111">
        <v>10.979487237091099</v>
      </c>
      <c r="AL9111">
        <v>86.992923857418901</v>
      </c>
      <c r="AM9111">
        <v>84.0669366966833</v>
      </c>
      <c r="AN9111">
        <v>1.0000000271696901</v>
      </c>
    </row>
    <row r="9112" spans="1:40" x14ac:dyDescent="0.25">
      <c r="A9112" t="str">
        <f>"20190312150903315"</f>
        <v>20190312150903315</v>
      </c>
      <c r="B9112" t="str">
        <f>"1552374543309010"</f>
        <v>1552374543309010</v>
      </c>
      <c r="C9112" t="s">
        <v>40</v>
      </c>
      <c r="D9112">
        <v>4.8359670000000001</v>
      </c>
      <c r="E9112">
        <v>0.3942698</v>
      </c>
      <c r="F9112" t="s">
        <v>42</v>
      </c>
      <c r="G9112">
        <v>-297.71980000000002</v>
      </c>
      <c r="H9112" s="1">
        <v>-3.738497E-6</v>
      </c>
      <c r="I9112">
        <v>-12.59553</v>
      </c>
      <c r="J9112">
        <v>-300.05590000000001</v>
      </c>
      <c r="K9112">
        <v>1.075869</v>
      </c>
      <c r="L9112">
        <v>-2.4054869999999999</v>
      </c>
      <c r="M9112">
        <v>4.6425760000000003E-2</v>
      </c>
      <c r="N9112">
        <v>0</v>
      </c>
      <c r="O9112">
        <v>-0.99892060000000005</v>
      </c>
      <c r="P9112">
        <v>-4.6867279999999997E-2</v>
      </c>
      <c r="Q9112">
        <v>5.2396560000000002E-2</v>
      </c>
      <c r="R9112">
        <v>-0.99752629999999998</v>
      </c>
      <c r="S9112">
        <v>0.68692019999999998</v>
      </c>
      <c r="T9112">
        <v>-0.3156564</v>
      </c>
      <c r="U9112">
        <v>-3.0564269999999998</v>
      </c>
      <c r="V9112">
        <v>9.3919390000000005E-2</v>
      </c>
      <c r="W9112">
        <v>5.2567870000000003E-2</v>
      </c>
      <c r="X9112">
        <v>0.99419100000000005</v>
      </c>
      <c r="Y9112">
        <v>-0.17263319999999999</v>
      </c>
      <c r="Z9112">
        <v>0.1005534</v>
      </c>
      <c r="AA9112">
        <v>0.97984020000000005</v>
      </c>
      <c r="AB9112">
        <v>20</v>
      </c>
      <c r="AC9112">
        <v>2.3360999999999801</v>
      </c>
      <c r="AD9112">
        <v>-1.0758727384969999</v>
      </c>
      <c r="AE9112">
        <v>-10.190042999999999</v>
      </c>
      <c r="AF9112">
        <v>-1.84100256529298</v>
      </c>
      <c r="AG9112">
        <v>-1.0758727384969999</v>
      </c>
      <c r="AH9112">
        <v>10.179700806567499</v>
      </c>
      <c r="AI9112">
        <v>95.937470673136104</v>
      </c>
      <c r="AJ9112">
        <v>100.25115975457101</v>
      </c>
      <c r="AK9112">
        <v>10.4006298417974</v>
      </c>
      <c r="AL9112">
        <v>86.986693969823705</v>
      </c>
      <c r="AM9112">
        <v>84.603388901229707</v>
      </c>
      <c r="AN9112">
        <v>0.99999998862765405</v>
      </c>
    </row>
    <row r="9113" spans="1:40" x14ac:dyDescent="0.25">
      <c r="A9113" t="str">
        <f>"20190312150903338"</f>
        <v>20190312150903338</v>
      </c>
      <c r="B9113" t="str">
        <f>"1552374543328531"</f>
        <v>1552374543328531</v>
      </c>
      <c r="C9113" t="s">
        <v>40</v>
      </c>
      <c r="D9113">
        <v>4.7541609999999999</v>
      </c>
      <c r="E9113">
        <v>0.39398139999999998</v>
      </c>
      <c r="F9113" t="s">
        <v>42</v>
      </c>
      <c r="G9113">
        <v>-297.74919999999997</v>
      </c>
      <c r="H9113" s="1">
        <v>-3.7244840000000001E-6</v>
      </c>
      <c r="I9113">
        <v>-12.616</v>
      </c>
      <c r="J9113">
        <v>-300.05709999999999</v>
      </c>
      <c r="K9113">
        <v>1.0783400000000001</v>
      </c>
      <c r="L9113">
        <v>-2.6145320000000001</v>
      </c>
      <c r="M9113">
        <v>3.7406349999999998E-2</v>
      </c>
      <c r="N9113">
        <v>0</v>
      </c>
      <c r="O9113">
        <v>-0.99929889999999999</v>
      </c>
      <c r="P9113">
        <v>-4.7167679999999997E-2</v>
      </c>
      <c r="Q9113">
        <v>5.2861030000000003E-2</v>
      </c>
      <c r="R9113">
        <v>-0.99748749999999997</v>
      </c>
      <c r="S9113">
        <v>0.69055180000000005</v>
      </c>
      <c r="T9113">
        <v>-0.32209149999999998</v>
      </c>
      <c r="U9113">
        <v>-3.0567929999999999</v>
      </c>
      <c r="V9113">
        <v>8.5218790000000003E-2</v>
      </c>
      <c r="W9113">
        <v>5.3266880000000003E-2</v>
      </c>
      <c r="X9113">
        <v>0.99493739999999997</v>
      </c>
      <c r="Y9113">
        <v>-0.18255299999999999</v>
      </c>
      <c r="Z9113">
        <v>0.1025223</v>
      </c>
      <c r="AA9113">
        <v>0.97783620000000004</v>
      </c>
      <c r="AB9113">
        <v>20</v>
      </c>
      <c r="AC9113">
        <v>2.3079000000000098</v>
      </c>
      <c r="AD9113">
        <v>-1.078343724484</v>
      </c>
      <c r="AE9113">
        <v>-10.001467999999999</v>
      </c>
      <c r="AF9113">
        <v>-1.9110731470534099</v>
      </c>
      <c r="AG9113">
        <v>-1.078343724484</v>
      </c>
      <c r="AH9113">
        <v>9.9707500957949495</v>
      </c>
      <c r="AI9113">
        <v>96.063068547704702</v>
      </c>
      <c r="AJ9113">
        <v>100.850175089571</v>
      </c>
      <c r="AK9113">
        <v>10.2093527333674</v>
      </c>
      <c r="AL9113">
        <v>86.946587536793103</v>
      </c>
      <c r="AM9113">
        <v>85.104426703059303</v>
      </c>
      <c r="AN9113">
        <v>1.00000001629637</v>
      </c>
    </row>
    <row r="9114" spans="1:40" x14ac:dyDescent="0.25">
      <c r="A9114" t="str">
        <f>"20190312150903360"</f>
        <v>20190312150903360</v>
      </c>
      <c r="B9114" t="str">
        <f>"1552374543349027"</f>
        <v>1552374543349027</v>
      </c>
      <c r="C9114" t="s">
        <v>40</v>
      </c>
      <c r="D9114">
        <v>4.7653080000000001</v>
      </c>
      <c r="E9114">
        <v>0.3937792</v>
      </c>
      <c r="F9114" t="s">
        <v>42</v>
      </c>
      <c r="G9114">
        <v>-297.73360000000002</v>
      </c>
      <c r="H9114" s="1">
        <v>-3.6176980000000001E-6</v>
      </c>
      <c r="I9114">
        <v>-12.87138</v>
      </c>
      <c r="J9114">
        <v>-300.05970000000002</v>
      </c>
      <c r="K9114">
        <v>1.081218</v>
      </c>
      <c r="L9114">
        <v>-2.8249209999999998</v>
      </c>
      <c r="M9114">
        <v>2.853294E-2</v>
      </c>
      <c r="N9114">
        <v>0</v>
      </c>
      <c r="O9114">
        <v>-0.99959109999999995</v>
      </c>
      <c r="P9114">
        <v>-4.6481880000000003E-2</v>
      </c>
      <c r="Q9114">
        <v>5.1351000000000001E-2</v>
      </c>
      <c r="R9114">
        <v>-0.99759880000000001</v>
      </c>
      <c r="S9114">
        <v>0.69256589999999996</v>
      </c>
      <c r="T9114">
        <v>-0.32143070000000001</v>
      </c>
      <c r="U9114">
        <v>-3.0573429999999999</v>
      </c>
      <c r="V9114">
        <v>7.5628360000000006E-2</v>
      </c>
      <c r="W9114">
        <v>5.2320730000000003E-2</v>
      </c>
      <c r="X9114">
        <v>0.99576249999999999</v>
      </c>
      <c r="Y9114">
        <v>-0.1918533</v>
      </c>
      <c r="Z9114">
        <v>0.1022426</v>
      </c>
      <c r="AA9114">
        <v>0.97608340000000005</v>
      </c>
      <c r="AB9114">
        <v>21</v>
      </c>
      <c r="AC9114">
        <v>2.3260999999999901</v>
      </c>
      <c r="AD9114">
        <v>-1.0812216176980001</v>
      </c>
      <c r="AE9114">
        <v>-10.046459</v>
      </c>
      <c r="AF9114">
        <v>-2.0163314740015301</v>
      </c>
      <c r="AG9114">
        <v>-1.0812216176980001</v>
      </c>
      <c r="AH9114">
        <v>9.9988201155178693</v>
      </c>
      <c r="AI9114">
        <v>96.050820489485901</v>
      </c>
      <c r="AJ9114">
        <v>101.401187648573</v>
      </c>
      <c r="AK9114">
        <v>10.257243123866701</v>
      </c>
      <c r="AL9114">
        <v>87.000873692448593</v>
      </c>
      <c r="AM9114">
        <v>85.656712658487095</v>
      </c>
      <c r="AN9114">
        <v>1.0000000320151301</v>
      </c>
    </row>
    <row r="9115" spans="1:40" x14ac:dyDescent="0.25">
      <c r="A9115" t="str">
        <f>"20190312150903383"</f>
        <v>20190312150903383</v>
      </c>
      <c r="B9115" t="str">
        <f>"1552374543378307"</f>
        <v>1552374543378307</v>
      </c>
      <c r="C9115" t="s">
        <v>40</v>
      </c>
      <c r="D9115">
        <v>4.7531509999999999</v>
      </c>
      <c r="E9115">
        <v>0.39362059999999999</v>
      </c>
      <c r="F9115" t="s">
        <v>42</v>
      </c>
      <c r="G9115">
        <v>-297.78519999999997</v>
      </c>
      <c r="H9115" s="1">
        <v>-3.6339839999999998E-6</v>
      </c>
      <c r="I9115">
        <v>-12.81208</v>
      </c>
      <c r="J9115">
        <v>-300.06369999999998</v>
      </c>
      <c r="K9115">
        <v>1.084308</v>
      </c>
      <c r="L9115">
        <v>-3.0352779999999999</v>
      </c>
      <c r="M9115">
        <v>1.9835410000000001E-2</v>
      </c>
      <c r="N9115">
        <v>0</v>
      </c>
      <c r="O9115">
        <v>-0.99979949999999995</v>
      </c>
      <c r="P9115">
        <v>-4.592541E-2</v>
      </c>
      <c r="Q9115">
        <v>5.0311380000000003E-2</v>
      </c>
      <c r="R9115">
        <v>-0.99767740000000005</v>
      </c>
      <c r="S9115">
        <v>0.69613649999999905</v>
      </c>
      <c r="T9115">
        <v>-0.33092199999999999</v>
      </c>
      <c r="U9115">
        <v>-3.056702</v>
      </c>
      <c r="V9115">
        <v>6.633994E-2</v>
      </c>
      <c r="W9115">
        <v>5.2307859999999998E-2</v>
      </c>
      <c r="X9115">
        <v>0.99642500000000001</v>
      </c>
      <c r="Y9115">
        <v>-0.20144090000000001</v>
      </c>
      <c r="Z9115">
        <v>0.1051671</v>
      </c>
      <c r="AA9115">
        <v>0.97383850000000005</v>
      </c>
      <c r="AB9115">
        <v>21</v>
      </c>
      <c r="AC9115">
        <v>2.2785000000000002</v>
      </c>
      <c r="AD9115">
        <v>-1.084311633984</v>
      </c>
      <c r="AE9115">
        <v>-9.776802</v>
      </c>
      <c r="AF9115">
        <v>-2.0600898346507002</v>
      </c>
      <c r="AG9115">
        <v>-1.084311633984</v>
      </c>
      <c r="AH9115">
        <v>9.7068277806193208</v>
      </c>
      <c r="AI9115">
        <v>96.236097233490696</v>
      </c>
      <c r="AJ9115">
        <v>101.982152224633</v>
      </c>
      <c r="AK9115">
        <v>9.9820943398180297</v>
      </c>
      <c r="AL9115">
        <v>87.001611824805394</v>
      </c>
      <c r="AM9115">
        <v>86.1909854412269</v>
      </c>
      <c r="AN9115">
        <v>0.99999994024098904</v>
      </c>
    </row>
    <row r="9116" spans="1:40" x14ac:dyDescent="0.25">
      <c r="A9116" t="str">
        <f>"20190312150903406"</f>
        <v>20190312150903406</v>
      </c>
      <c r="B9116" t="str">
        <f>"1552374543398803"</f>
        <v>1552374543398803</v>
      </c>
      <c r="C9116" t="s">
        <v>40</v>
      </c>
      <c r="D9116">
        <v>4.7865570000000002</v>
      </c>
      <c r="E9116">
        <v>0.39347789999999999</v>
      </c>
      <c r="F9116" t="s">
        <v>42</v>
      </c>
      <c r="G9116">
        <v>-297.82870000000003</v>
      </c>
      <c r="H9116" s="1">
        <v>-3.6320449999999999E-6</v>
      </c>
      <c r="I9116">
        <v>-12.79862</v>
      </c>
      <c r="J9116">
        <v>-300.06920000000002</v>
      </c>
      <c r="K9116">
        <v>1.0874349999999999</v>
      </c>
      <c r="L9116">
        <v>-3.2545169999999999</v>
      </c>
      <c r="M9116">
        <v>1.110012E-2</v>
      </c>
      <c r="N9116">
        <v>0</v>
      </c>
      <c r="O9116">
        <v>-0.99993069999999895</v>
      </c>
      <c r="P9116">
        <v>-4.6001640000000003E-2</v>
      </c>
      <c r="Q9116">
        <v>4.8366399999999997E-2</v>
      </c>
      <c r="R9116">
        <v>-0.99776969999999998</v>
      </c>
      <c r="S9116">
        <v>0.69964599999999999</v>
      </c>
      <c r="T9116">
        <v>-0.33943139999999999</v>
      </c>
      <c r="U9116">
        <v>-3.056305</v>
      </c>
      <c r="V9116">
        <v>5.7640129999999998E-2</v>
      </c>
      <c r="W9116">
        <v>5.1670250000000001E-2</v>
      </c>
      <c r="X9116">
        <v>0.99699939999999998</v>
      </c>
      <c r="Y9116">
        <v>-0.21101410000000001</v>
      </c>
      <c r="Z9116">
        <v>0.107751399999999</v>
      </c>
      <c r="AA9116">
        <v>0.971526</v>
      </c>
      <c r="AB9116">
        <v>21</v>
      </c>
      <c r="AC9116">
        <v>2.2404999999999902</v>
      </c>
      <c r="AD9116">
        <v>-1.087438632045</v>
      </c>
      <c r="AE9116">
        <v>-9.5441029999999998</v>
      </c>
      <c r="AF9116">
        <v>-2.1084780000002801</v>
      </c>
      <c r="AG9116">
        <v>-1.087438632045</v>
      </c>
      <c r="AH9116">
        <v>9.4520876494802994</v>
      </c>
      <c r="AI9116">
        <v>96.406771162573804</v>
      </c>
      <c r="AJ9116">
        <v>102.575092305512</v>
      </c>
      <c r="AK9116">
        <v>9.7452636284713794</v>
      </c>
      <c r="AL9116">
        <v>87.038193842354104</v>
      </c>
      <c r="AM9116">
        <v>86.691207576367304</v>
      </c>
      <c r="AN9116">
        <v>1.0000000014609101</v>
      </c>
    </row>
    <row r="9117" spans="1:40" x14ac:dyDescent="0.25">
      <c r="A9117" t="str">
        <f>"20190312150903429"</f>
        <v>20190312150903429</v>
      </c>
      <c r="B9117" t="str">
        <f>"1552374543418323"</f>
        <v>1552374543418323</v>
      </c>
      <c r="C9117" t="s">
        <v>40</v>
      </c>
      <c r="D9117">
        <v>4.7610799999999998</v>
      </c>
      <c r="E9117">
        <v>0.3933468</v>
      </c>
      <c r="F9117" t="s">
        <v>42</v>
      </c>
      <c r="G9117">
        <v>-297.87709999999998</v>
      </c>
      <c r="H9117" s="1">
        <v>-3.623995E-6</v>
      </c>
      <c r="I9117">
        <v>-12.79738</v>
      </c>
      <c r="J9117">
        <v>-300.07600000000002</v>
      </c>
      <c r="K9117">
        <v>1.0901110000000001</v>
      </c>
      <c r="L9117">
        <v>-3.4660340000000001</v>
      </c>
      <c r="M9117">
        <v>3.2428629999999999E-3</v>
      </c>
      <c r="N9117">
        <v>0</v>
      </c>
      <c r="O9117">
        <v>-0.9999825</v>
      </c>
      <c r="P9117">
        <v>-4.5439880000000002E-2</v>
      </c>
      <c r="Q9117">
        <v>4.5867320000000003E-2</v>
      </c>
      <c r="R9117">
        <v>-0.99791379999999996</v>
      </c>
      <c r="S9117">
        <v>0.70199579999999995</v>
      </c>
      <c r="T9117">
        <v>-0.34823359999999998</v>
      </c>
      <c r="U9117">
        <v>-3.055939</v>
      </c>
      <c r="V9117">
        <v>4.918728E-2</v>
      </c>
      <c r="W9117">
        <v>5.0328270000000001E-2</v>
      </c>
      <c r="X9117">
        <v>0.99752070000000004</v>
      </c>
      <c r="Y9117">
        <v>-0.21935360000000001</v>
      </c>
      <c r="Z9117">
        <v>0.11042109999999999</v>
      </c>
      <c r="AA9117">
        <v>0.96937669999999998</v>
      </c>
      <c r="AB9117">
        <v>21</v>
      </c>
      <c r="AC9117">
        <v>2.1988999999999801</v>
      </c>
      <c r="AD9117">
        <v>-1.0901146239949999</v>
      </c>
      <c r="AE9117">
        <v>-9.3313459999999999</v>
      </c>
      <c r="AF9117">
        <v>-2.1409461901618601</v>
      </c>
      <c r="AG9117">
        <v>-1.0901146239949999</v>
      </c>
      <c r="AH9117">
        <v>9.2192267413050892</v>
      </c>
      <c r="AI9117">
        <v>96.570298551502404</v>
      </c>
      <c r="AJ9117">
        <v>103.073849991416</v>
      </c>
      <c r="AK9117">
        <v>9.5271266492165001</v>
      </c>
      <c r="AL9117">
        <v>87.115183634422195</v>
      </c>
      <c r="AM9117">
        <v>87.1770583090114</v>
      </c>
      <c r="AN9117">
        <v>0.99999993510173801</v>
      </c>
    </row>
    <row r="9118" spans="1:40" x14ac:dyDescent="0.25">
      <c r="A9118" t="str">
        <f>"20190312150903451"</f>
        <v>20190312150903451</v>
      </c>
      <c r="B9118" t="str">
        <f>"1552374543438819"</f>
        <v>1552374543438819</v>
      </c>
      <c r="C9118" t="s">
        <v>40</v>
      </c>
      <c r="D9118">
        <v>4.7659060000000002</v>
      </c>
      <c r="E9118">
        <v>0.39317920000000001</v>
      </c>
      <c r="F9118" t="s">
        <v>42</v>
      </c>
      <c r="G9118">
        <v>-297.92039999999997</v>
      </c>
      <c r="H9118" s="1">
        <v>-3.6124919999999999E-6</v>
      </c>
      <c r="I9118">
        <v>-12.806279999999999</v>
      </c>
      <c r="J9118">
        <v>-300.084</v>
      </c>
      <c r="K9118">
        <v>1.092422</v>
      </c>
      <c r="L9118">
        <v>-3.6755680000000002</v>
      </c>
      <c r="M9118">
        <v>-3.9845369999999998E-3</v>
      </c>
      <c r="N9118">
        <v>0</v>
      </c>
      <c r="O9118">
        <v>-0.99997510000000001</v>
      </c>
      <c r="P9118">
        <v>-4.4608050000000003E-2</v>
      </c>
      <c r="Q9118">
        <v>4.4973279999999997E-2</v>
      </c>
      <c r="R9118">
        <v>-0.99799199999999999</v>
      </c>
      <c r="S9118">
        <v>0.70498660000000002</v>
      </c>
      <c r="T9118">
        <v>-0.35652410000000001</v>
      </c>
      <c r="U9118">
        <v>-3.0547490000000002</v>
      </c>
      <c r="V9118">
        <v>4.1118920000000003E-2</v>
      </c>
      <c r="W9118">
        <v>5.0392560000000003E-2</v>
      </c>
      <c r="X9118">
        <v>0.99788270000000001</v>
      </c>
      <c r="Y9118">
        <v>-0.22731460000000001</v>
      </c>
      <c r="Z9118">
        <v>0.112941</v>
      </c>
      <c r="AA9118">
        <v>0.9672499</v>
      </c>
      <c r="AB9118">
        <v>21</v>
      </c>
      <c r="AC9118">
        <v>2.1636000000000299</v>
      </c>
      <c r="AD9118">
        <v>-1.092425612492</v>
      </c>
      <c r="AE9118">
        <v>-9.1307119999999902</v>
      </c>
      <c r="AF9118">
        <v>-2.1705467536546998</v>
      </c>
      <c r="AG9118">
        <v>-1.092425612492</v>
      </c>
      <c r="AH9118">
        <v>9.0000370776179199</v>
      </c>
      <c r="AI9118">
        <v>96.729616180742198</v>
      </c>
      <c r="AJ9118">
        <v>103.559148508392</v>
      </c>
      <c r="AK9118">
        <v>9.3223030591762495</v>
      </c>
      <c r="AL9118">
        <v>87.111495680948707</v>
      </c>
      <c r="AM9118">
        <v>87.640395500061203</v>
      </c>
      <c r="AN9118">
        <v>1.0000000293222999</v>
      </c>
    </row>
    <row r="9119" spans="1:40" x14ac:dyDescent="0.25">
      <c r="A9119" t="str">
        <f>"20190312150903473"</f>
        <v>20190312150903473</v>
      </c>
      <c r="B9119" t="str">
        <f>"1552374543468401"</f>
        <v>1552374543468401</v>
      </c>
      <c r="C9119" t="s">
        <v>40</v>
      </c>
      <c r="D9119">
        <v>4.7681399999999998</v>
      </c>
      <c r="E9119">
        <v>0.39274029999999999</v>
      </c>
      <c r="F9119" t="s">
        <v>42</v>
      </c>
      <c r="G9119">
        <v>-297.93869999999998</v>
      </c>
      <c r="H9119" s="1">
        <v>-3.563614E-6</v>
      </c>
      <c r="I9119">
        <v>-12.912649999999999</v>
      </c>
      <c r="J9119">
        <v>-300.09309999999999</v>
      </c>
      <c r="K9119">
        <v>1.094468</v>
      </c>
      <c r="L9119">
        <v>-3.881256</v>
      </c>
      <c r="M9119">
        <v>-1.0630840000000001E-2</v>
      </c>
      <c r="N9119">
        <v>0</v>
      </c>
      <c r="O9119">
        <v>-0.99992190000000003</v>
      </c>
      <c r="P9119">
        <v>-4.4018880000000003E-2</v>
      </c>
      <c r="Q9119">
        <v>4.4373370000000002E-2</v>
      </c>
      <c r="R9119">
        <v>-0.99804499999999996</v>
      </c>
      <c r="S9119">
        <v>0.70928959999999996</v>
      </c>
      <c r="T9119">
        <v>-0.3611838</v>
      </c>
      <c r="U9119">
        <v>-3.0540159999999998</v>
      </c>
      <c r="V9119">
        <v>3.3874790000000002E-2</v>
      </c>
      <c r="W9119">
        <v>5.0621140000000002E-2</v>
      </c>
      <c r="X9119">
        <v>0.99814329999999996</v>
      </c>
      <c r="Y9119">
        <v>-0.2350863</v>
      </c>
      <c r="Z9119">
        <v>0.1142903</v>
      </c>
      <c r="AA9119">
        <v>0.96523170000000003</v>
      </c>
      <c r="AB9119">
        <v>21</v>
      </c>
      <c r="AC9119">
        <v>2.1543999999999999</v>
      </c>
      <c r="AD9119">
        <v>-1.0944715636140001</v>
      </c>
      <c r="AE9119">
        <v>-9.0313940000000006</v>
      </c>
      <c r="AF9119">
        <v>-2.2194519694485799</v>
      </c>
      <c r="AG9119">
        <v>-1.0944715636140001</v>
      </c>
      <c r="AH9119">
        <v>8.8845280298779805</v>
      </c>
      <c r="AI9119">
        <v>96.815417535794694</v>
      </c>
      <c r="AJ9119">
        <v>104.02604587289299</v>
      </c>
      <c r="AK9119">
        <v>9.2227259181836398</v>
      </c>
      <c r="AL9119">
        <v>87.098382260914207</v>
      </c>
      <c r="AM9119">
        <v>88.056253184812803</v>
      </c>
      <c r="AN9119">
        <v>1.00000002427366</v>
      </c>
    </row>
    <row r="9120" spans="1:40" x14ac:dyDescent="0.25">
      <c r="A9120" t="str">
        <f>"20190312150903494"</f>
        <v>20190312150903494</v>
      </c>
      <c r="B9120" t="str">
        <f>"1552374543488896"</f>
        <v>1552374543488896</v>
      </c>
      <c r="C9120" t="s">
        <v>40</v>
      </c>
      <c r="D9120">
        <v>4.7809920000000004</v>
      </c>
      <c r="E9120">
        <v>0.3924262</v>
      </c>
      <c r="F9120" t="s">
        <v>42</v>
      </c>
      <c r="G9120">
        <v>-297.97149999999999</v>
      </c>
      <c r="H9120" s="1">
        <v>-3.5414559999999999E-6</v>
      </c>
      <c r="I9120">
        <v>-12.950760000000001</v>
      </c>
      <c r="J9120">
        <v>-300.10320000000002</v>
      </c>
      <c r="K9120">
        <v>1.096357</v>
      </c>
      <c r="L9120">
        <v>-4.0848389999999997</v>
      </c>
      <c r="M9120">
        <v>-1.689307E-2</v>
      </c>
      <c r="N9120">
        <v>0</v>
      </c>
      <c r="O9120">
        <v>-0.99983080000000002</v>
      </c>
      <c r="P9120">
        <v>-4.3633140000000001E-2</v>
      </c>
      <c r="Q9120">
        <v>4.4301119999999999E-2</v>
      </c>
      <c r="R9120">
        <v>-0.99806490000000003</v>
      </c>
      <c r="S9120">
        <v>0.71438599999999997</v>
      </c>
      <c r="T9120">
        <v>-0.36851699999999998</v>
      </c>
      <c r="U9120">
        <v>-3.0537719999999999</v>
      </c>
      <c r="V9120">
        <v>2.7213609999999999E-2</v>
      </c>
      <c r="W9120">
        <v>5.1321190000000003E-2</v>
      </c>
      <c r="X9120">
        <v>0.99831130000000001</v>
      </c>
      <c r="Y9120">
        <v>-0.24265120000000001</v>
      </c>
      <c r="Z9120">
        <v>0.1164405</v>
      </c>
      <c r="AA9120">
        <v>0.96310019999999996</v>
      </c>
      <c r="AB9120">
        <v>21</v>
      </c>
      <c r="AC9120">
        <v>2.1317000000000199</v>
      </c>
      <c r="AD9120">
        <v>-1.096360541456</v>
      </c>
      <c r="AE9120">
        <v>-8.8659210000000002</v>
      </c>
      <c r="AF9120">
        <v>-2.2486654408545399</v>
      </c>
      <c r="AG9120">
        <v>-1.096360541456</v>
      </c>
      <c r="AH9120">
        <v>8.7028347679319698</v>
      </c>
      <c r="AI9120">
        <v>96.954111311091594</v>
      </c>
      <c r="AJ9120">
        <v>104.48740665119</v>
      </c>
      <c r="AK9120">
        <v>9.0552656338552904</v>
      </c>
      <c r="AL9120">
        <v>87.058219921526799</v>
      </c>
      <c r="AM9120">
        <v>88.438524179239494</v>
      </c>
      <c r="AN9120">
        <v>0.99999994840996698</v>
      </c>
    </row>
    <row r="9121" spans="1:40" x14ac:dyDescent="0.25">
      <c r="A9121" t="str">
        <f>"20190312150903517"</f>
        <v>20190312150903517</v>
      </c>
      <c r="B9121" t="str">
        <f>"1552374543508417"</f>
        <v>1552374543508417</v>
      </c>
      <c r="C9121" t="s">
        <v>40</v>
      </c>
      <c r="D9121">
        <v>4.7589069999999998</v>
      </c>
      <c r="E9121">
        <v>0.39212799999999998</v>
      </c>
      <c r="F9121" t="s">
        <v>42</v>
      </c>
      <c r="G9121">
        <v>-297.97980000000001</v>
      </c>
      <c r="H9121" s="1">
        <v>-3.4715499999999998E-6</v>
      </c>
      <c r="I9121">
        <v>-13.11026</v>
      </c>
      <c r="J9121">
        <v>-300.11450000000002</v>
      </c>
      <c r="K9121">
        <v>1.0981749999999999</v>
      </c>
      <c r="L9121">
        <v>-4.2930599999999997</v>
      </c>
      <c r="M9121">
        <v>-2.3057859999999999E-2</v>
      </c>
      <c r="N9121">
        <v>0</v>
      </c>
      <c r="O9121">
        <v>-0.9997026</v>
      </c>
      <c r="P9121">
        <v>-4.3045819999999999E-2</v>
      </c>
      <c r="Q9121">
        <v>4.344543E-2</v>
      </c>
      <c r="R9121">
        <v>-0.99812820000000002</v>
      </c>
      <c r="S9121">
        <v>0.71844479999999999</v>
      </c>
      <c r="T9121">
        <v>-0.37094470000000002</v>
      </c>
      <c r="U9121">
        <v>-3.0536799999999999</v>
      </c>
      <c r="V9121">
        <v>2.0430050000000002E-2</v>
      </c>
      <c r="W9121">
        <v>5.1212609999999999E-2</v>
      </c>
      <c r="X9121">
        <v>0.9984788</v>
      </c>
      <c r="Y9121">
        <v>-0.2498263</v>
      </c>
      <c r="Z9121">
        <v>0.11705210000000001</v>
      </c>
      <c r="AA9121">
        <v>0.96118970000000004</v>
      </c>
      <c r="AB9121">
        <v>21</v>
      </c>
      <c r="AC9121">
        <v>2.1347</v>
      </c>
      <c r="AD9121">
        <v>-1.09817847154999</v>
      </c>
      <c r="AE9121">
        <v>-8.8171999999999997</v>
      </c>
      <c r="AF9121">
        <v>-2.3036871315370999</v>
      </c>
      <c r="AG9121">
        <v>-1.09817847154999</v>
      </c>
      <c r="AH9121">
        <v>8.6390389042967506</v>
      </c>
      <c r="AI9121">
        <v>97.002349116017996</v>
      </c>
      <c r="AJ9121">
        <v>104.93106686393899</v>
      </c>
      <c r="AK9121">
        <v>9.0081054359581199</v>
      </c>
      <c r="AL9121">
        <v>87.064449488483604</v>
      </c>
      <c r="AM9121">
        <v>88.827824560284199</v>
      </c>
      <c r="AN9121">
        <v>1.0000000162077201</v>
      </c>
    </row>
    <row r="9122" spans="1:40" x14ac:dyDescent="0.25">
      <c r="A9122" t="str">
        <f>"20190312150903539"</f>
        <v>20190312150903539</v>
      </c>
      <c r="B9122" t="str">
        <f>"1552374543528914"</f>
        <v>1552374543528914</v>
      </c>
      <c r="C9122" t="s">
        <v>40</v>
      </c>
      <c r="D9122">
        <v>4.7803319999999996</v>
      </c>
      <c r="E9122">
        <v>0.39178580000000002</v>
      </c>
      <c r="F9122" t="s">
        <v>42</v>
      </c>
      <c r="G9122">
        <v>-298.00479999999999</v>
      </c>
      <c r="H9122" s="1">
        <v>-3.425921E-6</v>
      </c>
      <c r="I9122">
        <v>-13.206300000000001</v>
      </c>
      <c r="J9122">
        <v>-300.12650000000002</v>
      </c>
      <c r="K9122">
        <v>1.099831</v>
      </c>
      <c r="L9122">
        <v>-4.5013430000000003</v>
      </c>
      <c r="M9122">
        <v>-2.8973019999999999E-2</v>
      </c>
      <c r="N9122">
        <v>0</v>
      </c>
      <c r="O9122">
        <v>-0.99954370000000003</v>
      </c>
      <c r="P9122">
        <v>-4.1336159999999997E-2</v>
      </c>
      <c r="Q9122">
        <v>4.4169930000000003E-2</v>
      </c>
      <c r="R9122">
        <v>-0.99816870000000002</v>
      </c>
      <c r="S9122">
        <v>0.72265630000000003</v>
      </c>
      <c r="T9122">
        <v>-0.37617260000000002</v>
      </c>
      <c r="U9122">
        <v>-3.0531619999999999</v>
      </c>
      <c r="V9122">
        <v>1.27809E-2</v>
      </c>
      <c r="W9122">
        <v>5.2621670000000002E-2</v>
      </c>
      <c r="X9122">
        <v>0.99853270000000005</v>
      </c>
      <c r="Y9122">
        <v>-0.25679750000000001</v>
      </c>
      <c r="Z9122">
        <v>0.1185407</v>
      </c>
      <c r="AA9122">
        <v>0.95916800000000002</v>
      </c>
      <c r="AB9122">
        <v>21</v>
      </c>
      <c r="AC9122">
        <v>2.1217000000000299</v>
      </c>
      <c r="AD9122">
        <v>-1.099834425921</v>
      </c>
      <c r="AE9122">
        <v>-8.7049570000000003</v>
      </c>
      <c r="AF9122">
        <v>-2.3378010902216499</v>
      </c>
      <c r="AG9122">
        <v>-1.099834425921</v>
      </c>
      <c r="AH9122">
        <v>8.51157472510417</v>
      </c>
      <c r="AI9122">
        <v>97.102554448342701</v>
      </c>
      <c r="AJ9122">
        <v>105.35821371175901</v>
      </c>
      <c r="AK9122">
        <v>8.8950465992548207</v>
      </c>
      <c r="AL9122">
        <v>86.983607135140602</v>
      </c>
      <c r="AM9122">
        <v>89.266672346918497</v>
      </c>
      <c r="AN9122">
        <v>0.99999997226384396</v>
      </c>
    </row>
    <row r="9123" spans="1:40" x14ac:dyDescent="0.25">
      <c r="A9123" t="str">
        <f>"20190312150903562"</f>
        <v>20190312150903562</v>
      </c>
      <c r="B9123" t="str">
        <f>"1552374543558193"</f>
        <v>1552374543558193</v>
      </c>
      <c r="C9123" t="s">
        <v>40</v>
      </c>
      <c r="D9123">
        <v>4.7841899999999997</v>
      </c>
      <c r="E9123">
        <v>0.3915053</v>
      </c>
      <c r="F9123" t="s">
        <v>42</v>
      </c>
      <c r="G9123">
        <v>-298.0034</v>
      </c>
      <c r="H9123" s="1">
        <v>-3.3530450000000001E-6</v>
      </c>
      <c r="I9123">
        <v>-13.37677</v>
      </c>
      <c r="J9123">
        <v>-300.13929999999999</v>
      </c>
      <c r="K9123">
        <v>1.101297</v>
      </c>
      <c r="L9123">
        <v>-4.7108759999999998</v>
      </c>
      <c r="M9123">
        <v>-3.460361E-2</v>
      </c>
      <c r="N9123">
        <v>0</v>
      </c>
      <c r="O9123">
        <v>-0.99935969999999996</v>
      </c>
      <c r="P9123">
        <v>-3.9600860000000002E-2</v>
      </c>
      <c r="Q9123">
        <v>4.4661470000000002E-2</v>
      </c>
      <c r="R9123">
        <v>-0.99821720000000003</v>
      </c>
      <c r="S9123">
        <v>0.73019409999999996</v>
      </c>
      <c r="T9123">
        <v>-0.37826189999999998</v>
      </c>
      <c r="U9123">
        <v>-3.0524900000000001</v>
      </c>
      <c r="V9123">
        <v>5.3874169999999898E-3</v>
      </c>
      <c r="W9123">
        <v>5.3714940000000003E-2</v>
      </c>
      <c r="X9123">
        <v>0.99854180000000003</v>
      </c>
      <c r="Y9123">
        <v>-0.26450580000000001</v>
      </c>
      <c r="Z9123">
        <v>0.1190223</v>
      </c>
      <c r="AA9123">
        <v>0.95701119999999995</v>
      </c>
      <c r="AB9123">
        <v>21</v>
      </c>
      <c r="AC9123">
        <v>2.1358999999999901</v>
      </c>
      <c r="AD9123">
        <v>-1.1013003530450001</v>
      </c>
      <c r="AE9123">
        <v>-8.6658939999999998</v>
      </c>
      <c r="AF9123">
        <v>-2.3979936423825801</v>
      </c>
      <c r="AG9123">
        <v>-1.1013003530450001</v>
      </c>
      <c r="AH9123">
        <v>8.4580130632717001</v>
      </c>
      <c r="AI9123">
        <v>97.140274703645005</v>
      </c>
      <c r="AJ9123">
        <v>105.82895455998499</v>
      </c>
      <c r="AK9123">
        <v>8.8600914755435305</v>
      </c>
      <c r="AL9123">
        <v>86.920878803460596</v>
      </c>
      <c r="AM9123">
        <v>89.690875973811004</v>
      </c>
      <c r="AN9123">
        <v>1.0000000226941801</v>
      </c>
    </row>
    <row r="9124" spans="1:40" x14ac:dyDescent="0.25">
      <c r="A9124" t="str">
        <f>"20190312150903586"</f>
        <v>20190312150903586</v>
      </c>
      <c r="B9124" t="str">
        <f>"1552374543578219"</f>
        <v>1552374543578219</v>
      </c>
      <c r="C9124" t="s">
        <v>40</v>
      </c>
      <c r="D9124">
        <v>4.7920109999999996</v>
      </c>
      <c r="E9124">
        <v>0.39135569999999997</v>
      </c>
      <c r="F9124" t="s">
        <v>42</v>
      </c>
      <c r="G9124">
        <v>-297.98930000000001</v>
      </c>
      <c r="H9124" s="1">
        <v>-3.2623679999999998E-6</v>
      </c>
      <c r="I9124">
        <v>-13.59393</v>
      </c>
      <c r="J9124">
        <v>-300.15289999999999</v>
      </c>
      <c r="K9124">
        <v>1.102565</v>
      </c>
      <c r="L9124">
        <v>-4.9226380000000001</v>
      </c>
      <c r="M9124">
        <v>-3.98996E-2</v>
      </c>
      <c r="N9124">
        <v>0</v>
      </c>
      <c r="O9124">
        <v>-0.99915770000000004</v>
      </c>
      <c r="P9124">
        <v>-3.8096240000000003E-2</v>
      </c>
      <c r="Q9124">
        <v>4.4005130000000003E-2</v>
      </c>
      <c r="R9124">
        <v>-0.99830450000000004</v>
      </c>
      <c r="S9124">
        <v>0.73855590000000004</v>
      </c>
      <c r="T9124">
        <v>-0.37832700000000002</v>
      </c>
      <c r="U9124">
        <v>-3.0515750000000001</v>
      </c>
      <c r="V9124">
        <v>-1.4468510000000001E-3</v>
      </c>
      <c r="W9124">
        <v>5.3584479999999997E-2</v>
      </c>
      <c r="X9124">
        <v>0.99856230000000001</v>
      </c>
      <c r="Y9124">
        <v>-0.27215279999999997</v>
      </c>
      <c r="Z9124">
        <v>0.1188742</v>
      </c>
      <c r="AA9124">
        <v>0.95488320000000004</v>
      </c>
      <c r="AB9124">
        <v>21</v>
      </c>
      <c r="AC9124">
        <v>2.16359999999997</v>
      </c>
      <c r="AD9124">
        <v>-1.102568262368</v>
      </c>
      <c r="AE9124">
        <v>-8.6712919999999905</v>
      </c>
      <c r="AF9124">
        <v>-2.4702763989035499</v>
      </c>
      <c r="AG9124">
        <v>-1.102568262368</v>
      </c>
      <c r="AH9124">
        <v>8.4494551476797604</v>
      </c>
      <c r="AI9124">
        <v>97.138946202642501</v>
      </c>
      <c r="AJ9124">
        <v>106.29676910277099</v>
      </c>
      <c r="AK9124">
        <v>8.8719340931283508</v>
      </c>
      <c r="AL9124">
        <v>86.928364408934698</v>
      </c>
      <c r="AM9124">
        <v>90.083017752494499</v>
      </c>
      <c r="AN9124">
        <v>1.00000002842798</v>
      </c>
    </row>
    <row r="9125" spans="1:40" x14ac:dyDescent="0.25">
      <c r="A9125" t="str">
        <f>"20190312150903609"</f>
        <v>20190312150903609</v>
      </c>
      <c r="B9125" t="str">
        <f>"1552374543598716"</f>
        <v>1552374543598716</v>
      </c>
      <c r="C9125" t="s">
        <v>40</v>
      </c>
      <c r="D9125">
        <v>4.7992839999999903</v>
      </c>
      <c r="E9125">
        <v>0.39111190000000001</v>
      </c>
      <c r="F9125" t="s">
        <v>42</v>
      </c>
      <c r="G9125">
        <v>-297.98950000000002</v>
      </c>
      <c r="H9125" s="1">
        <v>-3.1870370000000001E-6</v>
      </c>
      <c r="I9125">
        <v>-13.76946</v>
      </c>
      <c r="J9125">
        <v>-300.16770000000002</v>
      </c>
      <c r="K9125">
        <v>1.1036520000000001</v>
      </c>
      <c r="L9125">
        <v>-5.1408690000000004</v>
      </c>
      <c r="M9125">
        <v>-4.4903619999999998E-2</v>
      </c>
      <c r="N9125">
        <v>0</v>
      </c>
      <c r="O9125">
        <v>-0.99894119999999997</v>
      </c>
      <c r="P9125">
        <v>-3.6072550000000002E-2</v>
      </c>
      <c r="Q9125">
        <v>4.3527570000000002E-2</v>
      </c>
      <c r="R9125">
        <v>-0.99840119999999999</v>
      </c>
      <c r="S9125">
        <v>0.74591059999999998</v>
      </c>
      <c r="T9125">
        <v>-0.38015789999999999</v>
      </c>
      <c r="U9125">
        <v>-3.0503230000000001</v>
      </c>
      <c r="V9125">
        <v>-8.5028529999999995E-3</v>
      </c>
      <c r="W9125">
        <v>5.3576390000000002E-2</v>
      </c>
      <c r="X9125">
        <v>0.99852750000000001</v>
      </c>
      <c r="Y9125">
        <v>-0.27921269999999998</v>
      </c>
      <c r="Z9125">
        <v>0.1192922</v>
      </c>
      <c r="AA9125">
        <v>0.95279040000000004</v>
      </c>
      <c r="AB9125">
        <v>21</v>
      </c>
      <c r="AC9125">
        <v>2.1781999999999999</v>
      </c>
      <c r="AD9125">
        <v>-1.1036551870369999</v>
      </c>
      <c r="AE9125">
        <v>-8.6285910000000001</v>
      </c>
      <c r="AF9125">
        <v>-2.5246478812961999</v>
      </c>
      <c r="AG9125">
        <v>-1.1036551870369999</v>
      </c>
      <c r="AH9125">
        <v>8.3929882548893602</v>
      </c>
      <c r="AI9125">
        <v>97.177117185403802</v>
      </c>
      <c r="AJ9125">
        <v>106.7415186337</v>
      </c>
      <c r="AK9125">
        <v>8.8336942183391205</v>
      </c>
      <c r="AL9125">
        <v>86.928828351832607</v>
      </c>
      <c r="AM9125">
        <v>90.487884225363402</v>
      </c>
      <c r="AN9125">
        <v>0.99999994816540905</v>
      </c>
    </row>
    <row r="9126" spans="1:40" x14ac:dyDescent="0.25">
      <c r="A9126" t="str">
        <f>"20190312150903631"</f>
        <v>20190312150903631</v>
      </c>
      <c r="B9126" t="str">
        <f>"1552374543628972"</f>
        <v>1552374543628972</v>
      </c>
      <c r="C9126" t="s">
        <v>40</v>
      </c>
      <c r="D9126">
        <v>4.8199709999999998</v>
      </c>
      <c r="E9126">
        <v>0.39093699999999998</v>
      </c>
      <c r="F9126" t="s">
        <v>42</v>
      </c>
      <c r="G9126">
        <v>-297.99160000000001</v>
      </c>
      <c r="H9126" s="1">
        <v>-3.119049E-6</v>
      </c>
      <c r="I9126">
        <v>-13.927060000000001</v>
      </c>
      <c r="J9126">
        <v>-300.18279999999999</v>
      </c>
      <c r="K9126">
        <v>1.1045290000000001</v>
      </c>
      <c r="L9126">
        <v>-5.3537290000000004</v>
      </c>
      <c r="M9126">
        <v>-4.9489669999999999E-2</v>
      </c>
      <c r="N9126">
        <v>0</v>
      </c>
      <c r="O9126">
        <v>-0.99872059999999996</v>
      </c>
      <c r="P9126">
        <v>-3.4689940000000002E-2</v>
      </c>
      <c r="Q9126">
        <v>4.275027E-2</v>
      </c>
      <c r="R9126">
        <v>-0.99848340000000002</v>
      </c>
      <c r="S9126">
        <v>0.75506589999999996</v>
      </c>
      <c r="T9126">
        <v>-0.3829632</v>
      </c>
      <c r="U9126">
        <v>-3.0487669999999998</v>
      </c>
      <c r="V9126">
        <v>-1.449464E-2</v>
      </c>
      <c r="W9126">
        <v>5.3202119999999999E-2</v>
      </c>
      <c r="X9126">
        <v>0.99847859999999999</v>
      </c>
      <c r="Y9126">
        <v>-0.28639900000000001</v>
      </c>
      <c r="Z9126">
        <v>0.12000570000000001</v>
      </c>
      <c r="AA9126">
        <v>0.9505652</v>
      </c>
      <c r="AB9126">
        <v>20</v>
      </c>
      <c r="AC9126">
        <v>2.1911999999999798</v>
      </c>
      <c r="AD9126">
        <v>-1.1045321190490001</v>
      </c>
      <c r="AE9126">
        <v>-8.5733309999999996</v>
      </c>
      <c r="AF9126">
        <v>-2.5727447346869599</v>
      </c>
      <c r="AG9126">
        <v>-1.1045321190490001</v>
      </c>
      <c r="AH9126">
        <v>8.3246757056509697</v>
      </c>
      <c r="AI9126">
        <v>97.224616233102495</v>
      </c>
      <c r="AJ9126">
        <v>107.173787370957</v>
      </c>
      <c r="AK9126">
        <v>8.7828942994963697</v>
      </c>
      <c r="AL9126">
        <v>86.950303344644595</v>
      </c>
      <c r="AM9126">
        <v>90.831688698845795</v>
      </c>
      <c r="AN9126">
        <v>1.0000000374095901</v>
      </c>
    </row>
    <row r="9127" spans="1:40" x14ac:dyDescent="0.25">
      <c r="A9127" t="str">
        <f>"20190312150903652"</f>
        <v>20190312150903652</v>
      </c>
      <c r="B9127" t="str">
        <f>"1552374543648491"</f>
        <v>1552374543648491</v>
      </c>
      <c r="C9127" t="s">
        <v>40</v>
      </c>
      <c r="D9127">
        <v>4.8291589999999998</v>
      </c>
      <c r="E9127">
        <v>0.3907156</v>
      </c>
      <c r="F9127" t="s">
        <v>42</v>
      </c>
      <c r="G9127">
        <v>-298.01960000000003</v>
      </c>
      <c r="H9127" s="1">
        <v>-3.0741919999999999E-6</v>
      </c>
      <c r="I9127">
        <v>-14.020079999999901</v>
      </c>
      <c r="J9127">
        <v>-300.197</v>
      </c>
      <c r="K9127">
        <v>1.105199</v>
      </c>
      <c r="L9127">
        <v>-5.5463870000000002</v>
      </c>
      <c r="M9127">
        <v>-5.3424350000000002E-2</v>
      </c>
      <c r="N9127">
        <v>0</v>
      </c>
      <c r="O9127">
        <v>-0.99851480000000004</v>
      </c>
      <c r="P9127">
        <v>-3.41546E-2</v>
      </c>
      <c r="Q9127">
        <v>4.086538E-2</v>
      </c>
      <c r="R9127">
        <v>-0.99858080000000005</v>
      </c>
      <c r="S9127">
        <v>0.76071169999999899</v>
      </c>
      <c r="T9127">
        <v>-0.38841979999999998</v>
      </c>
      <c r="U9127">
        <v>-3.0476070000000002</v>
      </c>
      <c r="V9127">
        <v>-1.8991000000000001E-2</v>
      </c>
      <c r="W9127">
        <v>5.1638820000000002E-2</v>
      </c>
      <c r="X9127">
        <v>0.99848530000000002</v>
      </c>
      <c r="Y9127">
        <v>-0.29186260000000003</v>
      </c>
      <c r="Z9127">
        <v>0.1215661</v>
      </c>
      <c r="AA9127">
        <v>0.94870330000000003</v>
      </c>
      <c r="AB9127">
        <v>20</v>
      </c>
      <c r="AC9127">
        <v>2.1773999999999698</v>
      </c>
      <c r="AD9127">
        <v>-1.1052020741919999</v>
      </c>
      <c r="AE9127">
        <v>-8.4736929999999901</v>
      </c>
      <c r="AF9127">
        <v>-2.5857548629113598</v>
      </c>
      <c r="AG9127">
        <v>-1.1052020741919999</v>
      </c>
      <c r="AH9127">
        <v>8.2141784745146502</v>
      </c>
      <c r="AI9127">
        <v>97.313331126622003</v>
      </c>
      <c r="AJ9127">
        <v>107.47356711057</v>
      </c>
      <c r="AK9127">
        <v>8.6821845089267704</v>
      </c>
      <c r="AL9127">
        <v>87.039997229587499</v>
      </c>
      <c r="AM9127">
        <v>91.089623421434695</v>
      </c>
      <c r="AN9127">
        <v>1.00000006006403</v>
      </c>
    </row>
    <row r="9128" spans="1:40" x14ac:dyDescent="0.25">
      <c r="A9128" t="str">
        <f>"20190312150903674"</f>
        <v>20190312150903674</v>
      </c>
      <c r="B9128" t="str">
        <f>"1552374543668987"</f>
        <v>1552374543668987</v>
      </c>
      <c r="C9128" t="s">
        <v>40</v>
      </c>
      <c r="D9128">
        <v>4.824643</v>
      </c>
      <c r="E9128">
        <v>0.39056449999999998</v>
      </c>
      <c r="F9128" t="s">
        <v>42</v>
      </c>
      <c r="G9128">
        <v>-298.07060000000001</v>
      </c>
      <c r="H9128" s="1">
        <v>-3.0627229999999999E-6</v>
      </c>
      <c r="I9128">
        <v>-14.02571</v>
      </c>
      <c r="J9128">
        <v>-300.21280000000002</v>
      </c>
      <c r="K9128">
        <v>1.1058159999999999</v>
      </c>
      <c r="L9128">
        <v>-5.7514339999999997</v>
      </c>
      <c r="M9128">
        <v>-5.738828E-2</v>
      </c>
      <c r="N9128">
        <v>0</v>
      </c>
      <c r="O9128">
        <v>-0.9982915</v>
      </c>
      <c r="P9128">
        <v>-3.5516899999999997E-2</v>
      </c>
      <c r="Q9128">
        <v>4.0272799999999997E-2</v>
      </c>
      <c r="R9128">
        <v>-0.99855729999999998</v>
      </c>
      <c r="S9128">
        <v>0.76403809999999905</v>
      </c>
      <c r="T9128">
        <v>-0.39710430000000002</v>
      </c>
      <c r="U9128">
        <v>-3.0466609999999998</v>
      </c>
      <c r="V9128">
        <v>-2.1608949999999998E-2</v>
      </c>
      <c r="W9128">
        <v>5.1339290000000003E-2</v>
      </c>
      <c r="X9128">
        <v>0.99844750000000004</v>
      </c>
      <c r="Y9128">
        <v>-0.29661920000000003</v>
      </c>
      <c r="Z9128">
        <v>0.12412579999999999</v>
      </c>
      <c r="AA9128">
        <v>0.94689489999999998</v>
      </c>
      <c r="AB9128">
        <v>20</v>
      </c>
      <c r="AC9128">
        <v>2.1421999999999999</v>
      </c>
      <c r="AD9128">
        <v>-1.105819062723</v>
      </c>
      <c r="AE9128">
        <v>-8.2742759999999898</v>
      </c>
      <c r="AF9128">
        <v>-2.5705160833887999</v>
      </c>
      <c r="AG9128">
        <v>-1.105819062723</v>
      </c>
      <c r="AH9128">
        <v>8.0037181803243698</v>
      </c>
      <c r="AI9128">
        <v>97.493966546490199</v>
      </c>
      <c r="AJ9128">
        <v>107.805213015322</v>
      </c>
      <c r="AK9128">
        <v>8.4787908008451804</v>
      </c>
      <c r="AL9128">
        <v>87.0571817682372</v>
      </c>
      <c r="AM9128">
        <v>91.239833221170301</v>
      </c>
      <c r="AN9128">
        <v>1.0000000398370199</v>
      </c>
    </row>
    <row r="9129" spans="1:40" x14ac:dyDescent="0.25">
      <c r="A9129" t="str">
        <f>"20190312150903697"</f>
        <v>20190312150903697</v>
      </c>
      <c r="B9129" t="str">
        <f>"1552374543688508"</f>
        <v>1552374543688508</v>
      </c>
      <c r="C9129" t="s">
        <v>40</v>
      </c>
      <c r="D9129">
        <v>5.0967710000000004</v>
      </c>
      <c r="E9129">
        <v>0.39048549999999999</v>
      </c>
      <c r="F9129" t="s">
        <v>42</v>
      </c>
      <c r="G9129">
        <v>-298.10430000000002</v>
      </c>
      <c r="H9129" s="1">
        <v>-2.987754E-6</v>
      </c>
      <c r="I9129">
        <v>-14.186529999999999</v>
      </c>
      <c r="J9129">
        <v>-300.22899999999998</v>
      </c>
      <c r="K9129">
        <v>1.1063670000000001</v>
      </c>
      <c r="L9129">
        <v>-5.9550780000000003</v>
      </c>
      <c r="M9129">
        <v>-6.1097270000000002E-2</v>
      </c>
      <c r="N9129">
        <v>0</v>
      </c>
      <c r="O9129">
        <v>-0.99806870000000003</v>
      </c>
      <c r="P9129">
        <v>-3.7776329999999997E-2</v>
      </c>
      <c r="Q9129">
        <v>3.9026900000000003E-2</v>
      </c>
      <c r="R9129">
        <v>-0.99852379999999996</v>
      </c>
      <c r="S9129">
        <v>0.76177980000000001</v>
      </c>
      <c r="T9129">
        <v>-0.39952530000000003</v>
      </c>
      <c r="U9129">
        <v>-3.0475460000000001</v>
      </c>
      <c r="V9129">
        <v>-2.3081239999999999E-2</v>
      </c>
      <c r="W9129">
        <v>5.0344470000000002E-2</v>
      </c>
      <c r="X9129">
        <v>0.99846520000000005</v>
      </c>
      <c r="Y9129">
        <v>-0.29941879999999998</v>
      </c>
      <c r="Z9129">
        <v>0.12474789999999999</v>
      </c>
      <c r="AA9129">
        <v>0.94593150000000004</v>
      </c>
      <c r="AB9129">
        <v>20</v>
      </c>
      <c r="AC9129">
        <v>2.12470000000001</v>
      </c>
      <c r="AD9129">
        <v>-1.1063699877540001</v>
      </c>
      <c r="AE9129">
        <v>-8.2314519999999902</v>
      </c>
      <c r="AF9129">
        <v>-2.5799839820867998</v>
      </c>
      <c r="AG9129">
        <v>-1.1063699877540001</v>
      </c>
      <c r="AH9129">
        <v>7.95157503995806</v>
      </c>
      <c r="AI9129">
        <v>97.539073414216602</v>
      </c>
      <c r="AJ9129">
        <v>107.976277193334</v>
      </c>
      <c r="AK9129">
        <v>8.4325510679574993</v>
      </c>
      <c r="AL9129">
        <v>87.114254545766798</v>
      </c>
      <c r="AM9129">
        <v>91.324254613238693</v>
      </c>
      <c r="AN9129">
        <v>1.00000003245527</v>
      </c>
    </row>
    <row r="9130" spans="1:40" x14ac:dyDescent="0.25">
      <c r="A9130" t="str">
        <f>"20190312150903717"</f>
        <v>20190312150903717</v>
      </c>
      <c r="B9130" t="str">
        <f>"1552374543709004"</f>
        <v>1552374543709004</v>
      </c>
      <c r="C9130" t="s">
        <v>40</v>
      </c>
      <c r="D9130">
        <v>5.0524050000000003</v>
      </c>
      <c r="E9130">
        <v>0.39181349999999998</v>
      </c>
      <c r="F9130" t="s">
        <v>42</v>
      </c>
      <c r="G9130">
        <v>-298.15179999999998</v>
      </c>
      <c r="H9130" s="1">
        <v>-2.9196910000000001E-6</v>
      </c>
      <c r="I9130">
        <v>-14.32555</v>
      </c>
      <c r="J9130">
        <v>-300.24489999999997</v>
      </c>
      <c r="K9130">
        <v>1.106835</v>
      </c>
      <c r="L9130">
        <v>-6.1488649999999998</v>
      </c>
      <c r="M9130">
        <v>-6.4420749999999999E-2</v>
      </c>
      <c r="N9130">
        <v>0</v>
      </c>
      <c r="O9130">
        <v>-0.99785729999999995</v>
      </c>
      <c r="P9130">
        <v>-4.0266129999999997E-2</v>
      </c>
      <c r="Q9130">
        <v>3.6391560000000003E-2</v>
      </c>
      <c r="R9130">
        <v>-0.99852629999999998</v>
      </c>
      <c r="S9130">
        <v>0.75659180000000004</v>
      </c>
      <c r="T9130">
        <v>-0.4029758</v>
      </c>
      <c r="U9130">
        <v>-3.0487980000000001</v>
      </c>
      <c r="V9130">
        <v>-2.394727E-2</v>
      </c>
      <c r="W9130">
        <v>4.7916960000000001E-2</v>
      </c>
      <c r="X9130">
        <v>0.99856420000000001</v>
      </c>
      <c r="Y9130">
        <v>-0.30095630000000001</v>
      </c>
      <c r="Z9130">
        <v>0.1257112</v>
      </c>
      <c r="AA9130">
        <v>0.94531580000000004</v>
      </c>
      <c r="AB9130">
        <v>20</v>
      </c>
      <c r="AC9130">
        <v>2.09309999999999</v>
      </c>
      <c r="AD9130">
        <v>-1.1068379196910001</v>
      </c>
      <c r="AE9130">
        <v>-8.1766849999999902</v>
      </c>
      <c r="AF9130">
        <v>-2.57131580812645</v>
      </c>
      <c r="AG9130">
        <v>-1.1068379196910001</v>
      </c>
      <c r="AH9130">
        <v>7.88918146818573</v>
      </c>
      <c r="AI9130">
        <v>97.597938972685299</v>
      </c>
      <c r="AJ9130">
        <v>108.052309417411</v>
      </c>
      <c r="AK9130">
        <v>8.3711372825651402</v>
      </c>
      <c r="AL9130">
        <v>87.253508690123894</v>
      </c>
      <c r="AM9130">
        <v>91.373787038666705</v>
      </c>
      <c r="AN9130">
        <v>0.99999998415886704</v>
      </c>
    </row>
    <row r="9131" spans="1:40" x14ac:dyDescent="0.25">
      <c r="A9131" t="str">
        <f>"20190312150903740"</f>
        <v>20190312150903740</v>
      </c>
      <c r="B9131" t="str">
        <f>"1552374543728524"</f>
        <v>1552374543728524</v>
      </c>
      <c r="C9131" t="s">
        <v>40</v>
      </c>
      <c r="D9131">
        <v>4.9507440000000003</v>
      </c>
      <c r="E9131">
        <v>0.49114940000000001</v>
      </c>
      <c r="F9131" t="s">
        <v>42</v>
      </c>
      <c r="G9131">
        <v>-298.23559999999998</v>
      </c>
      <c r="H9131" s="1">
        <v>-2.8529120000000002E-6</v>
      </c>
      <c r="I9131">
        <v>-14.44655</v>
      </c>
      <c r="J9131">
        <v>-300.262</v>
      </c>
      <c r="K9131">
        <v>1.1072850000000001</v>
      </c>
      <c r="L9131">
        <v>-6.3511959999999998</v>
      </c>
      <c r="M9131">
        <v>-6.7684389999999997E-2</v>
      </c>
      <c r="N9131">
        <v>0</v>
      </c>
      <c r="O9131">
        <v>-0.99763900000000005</v>
      </c>
      <c r="P9131">
        <v>-4.2414159999999999E-2</v>
      </c>
      <c r="Q9131">
        <v>3.5645669999999997E-2</v>
      </c>
      <c r="R9131">
        <v>-0.99846420000000002</v>
      </c>
      <c r="S9131">
        <v>0.73831179999999996</v>
      </c>
      <c r="T9131">
        <v>-0.40671119999999999</v>
      </c>
      <c r="U9131">
        <v>-3.0490110000000001</v>
      </c>
      <c r="V9131">
        <v>-2.5084970000000002E-2</v>
      </c>
      <c r="W9131">
        <v>4.7362069999999999E-2</v>
      </c>
      <c r="X9131">
        <v>0.99856279999999997</v>
      </c>
      <c r="Y9131">
        <v>-0.29867320000000003</v>
      </c>
      <c r="Z9131">
        <v>0.12694030000000001</v>
      </c>
      <c r="AA9131">
        <v>0.94587549999999998</v>
      </c>
      <c r="AB9131">
        <v>20</v>
      </c>
      <c r="AC9131">
        <v>2.0264000000000202</v>
      </c>
      <c r="AD9131">
        <v>-1.107287852912</v>
      </c>
      <c r="AE9131">
        <v>-8.0953539999999897</v>
      </c>
      <c r="AF9131">
        <v>-2.5252593403336601</v>
      </c>
      <c r="AG9131">
        <v>-1.107287852912</v>
      </c>
      <c r="AH9131">
        <v>7.8022571806823002</v>
      </c>
      <c r="AI9131">
        <v>97.689736560626997</v>
      </c>
      <c r="AJ9131">
        <v>107.93456494832201</v>
      </c>
      <c r="AK9131">
        <v>8.2751578981103098</v>
      </c>
      <c r="AL9131">
        <v>87.285337846102706</v>
      </c>
      <c r="AM9131">
        <v>91.439028859866397</v>
      </c>
      <c r="AN9131">
        <v>1.00000004346921</v>
      </c>
    </row>
    <row r="9132" spans="1:40" x14ac:dyDescent="0.25">
      <c r="A9132" t="str">
        <f>"20190312150903763"</f>
        <v>20190312150903763</v>
      </c>
      <c r="B9132" t="str">
        <f>"1552374543758779"</f>
        <v>1552374543758779</v>
      </c>
      <c r="C9132" t="s">
        <v>40</v>
      </c>
      <c r="D9132">
        <v>4.947832</v>
      </c>
      <c r="E9132">
        <v>0.49783440000000001</v>
      </c>
      <c r="F9132" t="s">
        <v>42</v>
      </c>
      <c r="G9132">
        <v>-300.53460000000001</v>
      </c>
      <c r="H9132" s="1">
        <v>-1.7389589999999999E-7</v>
      </c>
      <c r="I9132">
        <v>-20.33709</v>
      </c>
      <c r="J9132">
        <v>-300.27960000000002</v>
      </c>
      <c r="K9132">
        <v>1.107702</v>
      </c>
      <c r="L9132">
        <v>-6.55661</v>
      </c>
      <c r="M9132">
        <v>-7.0784570000000005E-2</v>
      </c>
      <c r="N9132">
        <v>0</v>
      </c>
      <c r="O9132">
        <v>-0.99742200000000003</v>
      </c>
      <c r="P9132">
        <v>-4.4832650000000002E-2</v>
      </c>
      <c r="Q9132">
        <v>3.8221289999999998E-2</v>
      </c>
      <c r="R9132">
        <v>-0.99826320000000002</v>
      </c>
      <c r="S9132">
        <v>-5.8685300000000003E-2</v>
      </c>
      <c r="T9132">
        <v>-0.2383556</v>
      </c>
      <c r="U9132">
        <v>-3.0106199999999999</v>
      </c>
      <c r="V9132">
        <v>-2.5768590000000001E-2</v>
      </c>
      <c r="W9132">
        <v>5.010444E-2</v>
      </c>
      <c r="X9132">
        <v>0.99841150000000001</v>
      </c>
      <c r="Y9132">
        <v>-5.1396129999999998E-2</v>
      </c>
      <c r="Z9132">
        <v>7.8568529999999998E-2</v>
      </c>
      <c r="AA9132">
        <v>0.99558290000000005</v>
      </c>
      <c r="AB9132">
        <v>20</v>
      </c>
      <c r="AC9132">
        <v>-0.25499999999999501</v>
      </c>
      <c r="AD9132">
        <v>-1.1077021738959001</v>
      </c>
      <c r="AE9132">
        <v>-13.780480000000001</v>
      </c>
      <c r="AF9132">
        <v>-0.716524757286223</v>
      </c>
      <c r="AG9132">
        <v>-1.1077021738959001</v>
      </c>
      <c r="AH9132">
        <v>13.675628351714799</v>
      </c>
      <c r="AI9132">
        <v>94.624433903586393</v>
      </c>
      <c r="AJ9132">
        <v>92.999228901059993</v>
      </c>
      <c r="AK9132">
        <v>13.7391128770413</v>
      </c>
      <c r="AL9132">
        <v>87.128024534278495</v>
      </c>
      <c r="AM9132">
        <v>91.478452269246702</v>
      </c>
      <c r="AN9132">
        <v>0.99999999923527505</v>
      </c>
    </row>
    <row r="9133" spans="1:40" x14ac:dyDescent="0.25">
      <c r="A9133" t="str">
        <f>"20190312150903785"</f>
        <v>20190312150903785</v>
      </c>
      <c r="B9133" t="str">
        <f>"1552374543778299"</f>
        <v>1552374543778299</v>
      </c>
      <c r="C9133" t="s">
        <v>40</v>
      </c>
      <c r="D9133">
        <v>4.9037750000000004</v>
      </c>
      <c r="E9133">
        <v>0.49887789999999999</v>
      </c>
      <c r="F9133" t="s">
        <v>42</v>
      </c>
      <c r="G9133">
        <v>-300.87479999999999</v>
      </c>
      <c r="H9133" s="1">
        <v>-4.0313809999999997E-6</v>
      </c>
      <c r="I9133">
        <v>-21.556239999999999</v>
      </c>
      <c r="J9133">
        <v>-300.29719999999998</v>
      </c>
      <c r="K9133">
        <v>1.1080449999999999</v>
      </c>
      <c r="L9133">
        <v>-6.7572020000000004</v>
      </c>
      <c r="M9133">
        <v>-7.3598209999999997E-2</v>
      </c>
      <c r="N9133">
        <v>0</v>
      </c>
      <c r="O9133">
        <v>-0.99721660000000001</v>
      </c>
      <c r="P9133">
        <v>-4.6486199999999998E-2</v>
      </c>
      <c r="Q9133">
        <v>3.812902E-2</v>
      </c>
      <c r="R9133">
        <v>-0.9981911</v>
      </c>
      <c r="S9133">
        <v>-0.1193848</v>
      </c>
      <c r="T9133">
        <v>-0.22216420000000001</v>
      </c>
      <c r="U9133">
        <v>-3.008362</v>
      </c>
      <c r="V9133">
        <v>-2.69468E-2</v>
      </c>
      <c r="W9133">
        <v>5.0157300000000002E-2</v>
      </c>
      <c r="X9133">
        <v>0.99837770000000003</v>
      </c>
      <c r="Y9133">
        <v>-3.4106919999999999E-2</v>
      </c>
      <c r="Z9133">
        <v>7.3299130000000004E-2</v>
      </c>
      <c r="AA9133">
        <v>0.99672660000000002</v>
      </c>
      <c r="AB9133">
        <v>20</v>
      </c>
      <c r="AC9133">
        <v>-0.57760000000001799</v>
      </c>
      <c r="AD9133">
        <v>-1.1080490313810001</v>
      </c>
      <c r="AE9133">
        <v>-14.799037999999999</v>
      </c>
      <c r="AF9133">
        <v>-0.51037016067031005</v>
      </c>
      <c r="AG9133">
        <v>-1.1080490313810001</v>
      </c>
      <c r="AH9133">
        <v>14.7190213276824</v>
      </c>
      <c r="AI9133">
        <v>94.302534385462806</v>
      </c>
      <c r="AJ9133">
        <v>91.985889194325395</v>
      </c>
      <c r="AK9133">
        <v>14.7694901469758</v>
      </c>
      <c r="AL9133">
        <v>87.124991948776298</v>
      </c>
      <c r="AM9133">
        <v>91.546071351367104</v>
      </c>
      <c r="AN9133">
        <v>0.999999958315409</v>
      </c>
    </row>
    <row r="9134" spans="1:40" x14ac:dyDescent="0.25">
      <c r="A9134" t="str">
        <f>"20190312150903808"</f>
        <v>20190312150903808</v>
      </c>
      <c r="B9134" t="str">
        <f>"1552374543798795"</f>
        <v>1552374543798795</v>
      </c>
      <c r="C9134" t="s">
        <v>40</v>
      </c>
      <c r="D9134">
        <v>4.9205730000000001</v>
      </c>
      <c r="E9134">
        <v>0.4994883</v>
      </c>
      <c r="F9134" t="s">
        <v>42</v>
      </c>
      <c r="G9134">
        <v>-300.947</v>
      </c>
      <c r="H9134" s="1">
        <v>-4.0619370000000004E-6</v>
      </c>
      <c r="I9134">
        <v>-21.52974</v>
      </c>
      <c r="J9134">
        <v>-300.31599999999997</v>
      </c>
      <c r="K9134">
        <v>1.108339</v>
      </c>
      <c r="L9134">
        <v>-6.966278</v>
      </c>
      <c r="M9134">
        <v>-7.6300220000000002E-2</v>
      </c>
      <c r="N9134">
        <v>0</v>
      </c>
      <c r="O9134">
        <v>-0.9970118</v>
      </c>
      <c r="P9134">
        <v>-4.7817640000000002E-2</v>
      </c>
      <c r="Q9134">
        <v>3.6679360000000001E-2</v>
      </c>
      <c r="R9134">
        <v>-0.99818269999999998</v>
      </c>
      <c r="S9134">
        <v>-0.13229369999999999</v>
      </c>
      <c r="T9134">
        <v>-0.22561500000000001</v>
      </c>
      <c r="U9134">
        <v>-3.0079039999999999</v>
      </c>
      <c r="V9134">
        <v>-2.834302E-2</v>
      </c>
      <c r="W9134">
        <v>4.883999E-2</v>
      </c>
      <c r="X9134">
        <v>0.99840439999999997</v>
      </c>
      <c r="Y9134">
        <v>-3.254278E-2</v>
      </c>
      <c r="Z9134">
        <v>7.4415220000000004E-2</v>
      </c>
      <c r="AA9134">
        <v>0.99669620000000003</v>
      </c>
      <c r="AB9134">
        <v>20</v>
      </c>
      <c r="AC9134">
        <v>-0.63100000000002798</v>
      </c>
      <c r="AD9134">
        <v>-1.1083430619370001</v>
      </c>
      <c r="AE9134">
        <v>-14.563461999999999</v>
      </c>
      <c r="AF9134">
        <v>-0.47934493984529603</v>
      </c>
      <c r="AG9134">
        <v>-1.1083430619370001</v>
      </c>
      <c r="AH9134">
        <v>14.4854101693661</v>
      </c>
      <c r="AI9134">
        <v>94.373044832546</v>
      </c>
      <c r="AJ9134">
        <v>91.895315579489093</v>
      </c>
      <c r="AK9134">
        <v>14.5356562868373</v>
      </c>
      <c r="AL9134">
        <v>87.200561034946503</v>
      </c>
      <c r="AM9134">
        <v>91.626093989746806</v>
      </c>
      <c r="AN9134">
        <v>1.0000000086726399</v>
      </c>
    </row>
    <row r="9135" spans="1:40" x14ac:dyDescent="0.25">
      <c r="A9135" t="str">
        <f>"20190312150903831"</f>
        <v>20190312150903831</v>
      </c>
      <c r="B9135" t="str">
        <f>"1552374543818315"</f>
        <v>1552374543818315</v>
      </c>
      <c r="C9135" t="s">
        <v>40</v>
      </c>
      <c r="D9135">
        <v>4.9006189999999998</v>
      </c>
      <c r="E9135">
        <v>0.49973020000000001</v>
      </c>
      <c r="F9135" t="s">
        <v>42</v>
      </c>
      <c r="G9135">
        <v>-300.9984</v>
      </c>
      <c r="H9135" s="1">
        <v>-4.0669540000000002E-6</v>
      </c>
      <c r="I9135">
        <v>-21.549949999999999</v>
      </c>
      <c r="J9135">
        <v>-300.33479999999997</v>
      </c>
      <c r="K9135">
        <v>1.1085670000000001</v>
      </c>
      <c r="L9135">
        <v>-7.1726070000000002</v>
      </c>
      <c r="M9135">
        <v>-7.8803289999999998E-2</v>
      </c>
      <c r="N9135">
        <v>0</v>
      </c>
      <c r="O9135">
        <v>-0.99681540000000002</v>
      </c>
      <c r="P9135">
        <v>-4.8389059999999998E-2</v>
      </c>
      <c r="Q9135">
        <v>3.3656619999999998E-2</v>
      </c>
      <c r="R9135">
        <v>-0.99826130000000002</v>
      </c>
      <c r="S9135">
        <v>-0.1407166</v>
      </c>
      <c r="T9135">
        <v>-0.22853709999999999</v>
      </c>
      <c r="U9135">
        <v>-3.0071110000000001</v>
      </c>
      <c r="V9135">
        <v>-3.0305249999999999E-2</v>
      </c>
      <c r="W9135">
        <v>4.5935499999999997E-2</v>
      </c>
      <c r="X9135">
        <v>0.99848460000000006</v>
      </c>
      <c r="Y9135">
        <v>-3.2258259999999997E-2</v>
      </c>
      <c r="Z9135">
        <v>7.5366849999999999E-2</v>
      </c>
      <c r="AA9135">
        <v>0.99663389999999996</v>
      </c>
      <c r="AB9135">
        <v>20</v>
      </c>
      <c r="AC9135">
        <v>-0.66360000000003005</v>
      </c>
      <c r="AD9135">
        <v>-1.1085710669540001</v>
      </c>
      <c r="AE9135">
        <v>-14.3773429999999</v>
      </c>
      <c r="AF9135">
        <v>-0.46874947779639897</v>
      </c>
      <c r="AG9135">
        <v>-1.1085710669540001</v>
      </c>
      <c r="AH9135">
        <v>14.300086417222101</v>
      </c>
      <c r="AI9135">
        <v>94.430446645829306</v>
      </c>
      <c r="AJ9135">
        <v>91.877453937990495</v>
      </c>
      <c r="AK9135">
        <v>14.3506490244672</v>
      </c>
      <c r="AL9135">
        <v>87.367163221077206</v>
      </c>
      <c r="AM9135">
        <v>91.738464507673598</v>
      </c>
      <c r="AN9135">
        <v>0.99999998738748597</v>
      </c>
    </row>
    <row r="9136" spans="1:40" x14ac:dyDescent="0.25">
      <c r="A9136" t="str">
        <f>"20190312150903853"</f>
        <v>20190312150903853</v>
      </c>
      <c r="B9136" t="str">
        <f>"1552374543848573"</f>
        <v>1552374543848573</v>
      </c>
      <c r="C9136" t="s">
        <v>40</v>
      </c>
      <c r="D9136">
        <v>4.9032869999999997</v>
      </c>
      <c r="E9136">
        <v>0.49984309999999998</v>
      </c>
      <c r="F9136" t="s">
        <v>42</v>
      </c>
      <c r="G9136">
        <v>-301.0147</v>
      </c>
      <c r="H9136" s="1">
        <v>-4.151316E-6</v>
      </c>
      <c r="I9136">
        <v>-21.34327</v>
      </c>
      <c r="J9136">
        <v>-300.3535</v>
      </c>
      <c r="K9136">
        <v>1.1087480000000001</v>
      </c>
      <c r="L9136">
        <v>-7.3730159999999998</v>
      </c>
      <c r="M9136">
        <v>-8.1098970000000006E-2</v>
      </c>
      <c r="N9136">
        <v>0</v>
      </c>
      <c r="O9136">
        <v>-0.99663020000000002</v>
      </c>
      <c r="P9136">
        <v>-4.8468869999999997E-2</v>
      </c>
      <c r="Q9136">
        <v>3.1936680000000002E-2</v>
      </c>
      <c r="R9136">
        <v>-0.99831420000000004</v>
      </c>
      <c r="S9136">
        <v>-0.1442261</v>
      </c>
      <c r="T9136">
        <v>-0.2351724</v>
      </c>
      <c r="U9136">
        <v>-3.0061650000000002</v>
      </c>
      <c r="V9136">
        <v>-3.2540529999999998E-2</v>
      </c>
      <c r="W9136">
        <v>4.431877E-2</v>
      </c>
      <c r="X9136">
        <v>0.99848740000000002</v>
      </c>
      <c r="Y9136">
        <v>-3.3392829999999998E-2</v>
      </c>
      <c r="Z9136">
        <v>7.7541150000000003E-2</v>
      </c>
      <c r="AA9136">
        <v>0.99642980000000003</v>
      </c>
      <c r="AB9136">
        <v>20</v>
      </c>
      <c r="AC9136">
        <v>-0.661200000000007</v>
      </c>
      <c r="AD9136">
        <v>-1.1087521513159999</v>
      </c>
      <c r="AE9136">
        <v>-13.970254000000001</v>
      </c>
      <c r="AF9136">
        <v>-0.47107655831425699</v>
      </c>
      <c r="AG9136">
        <v>-1.1087521513159999</v>
      </c>
      <c r="AH9136">
        <v>13.8905576531411</v>
      </c>
      <c r="AI9136">
        <v>94.561094510787001</v>
      </c>
      <c r="AJ9136">
        <v>91.942352416807196</v>
      </c>
      <c r="AK9136">
        <v>13.9426983174734</v>
      </c>
      <c r="AL9136">
        <v>87.459889696754502</v>
      </c>
      <c r="AM9136">
        <v>91.866598799670001</v>
      </c>
      <c r="AN9136">
        <v>1.0000000637128701</v>
      </c>
    </row>
    <row r="9137" spans="1:40" x14ac:dyDescent="0.25">
      <c r="A9137" t="str">
        <f>"20190312150903875"</f>
        <v>20190312150903875</v>
      </c>
      <c r="B9137" t="str">
        <f>"1552374543869067"</f>
        <v>1552374543869067</v>
      </c>
      <c r="C9137" t="s">
        <v>40</v>
      </c>
      <c r="D9137">
        <v>4.9288730000000003</v>
      </c>
      <c r="E9137">
        <v>0.49992170000000002</v>
      </c>
      <c r="F9137" t="s">
        <v>42</v>
      </c>
      <c r="G9137">
        <v>-301.02190000000002</v>
      </c>
      <c r="H9137" s="1">
        <v>-4.2071919999999999E-6</v>
      </c>
      <c r="I9137">
        <v>-21.18281</v>
      </c>
      <c r="J9137">
        <v>-300.37270000000001</v>
      </c>
      <c r="K9137">
        <v>1.108914</v>
      </c>
      <c r="L9137">
        <v>-7.5764469999999999</v>
      </c>
      <c r="M9137">
        <v>-8.3298819999999996E-2</v>
      </c>
      <c r="N9137">
        <v>0</v>
      </c>
      <c r="O9137">
        <v>-0.99644739999999998</v>
      </c>
      <c r="P9137">
        <v>-4.8905259999999999E-2</v>
      </c>
      <c r="Q9137">
        <v>3.2964399999999998E-2</v>
      </c>
      <c r="R9137">
        <v>-0.99825929999999996</v>
      </c>
      <c r="S9137">
        <v>-0.1454773</v>
      </c>
      <c r="T9137">
        <v>-0.2413227</v>
      </c>
      <c r="U9137">
        <v>-3.0057369999999999</v>
      </c>
      <c r="V9137">
        <v>-3.4308470000000001E-2</v>
      </c>
      <c r="W9137">
        <v>4.5436770000000001E-2</v>
      </c>
      <c r="X9137">
        <v>0.99837790000000004</v>
      </c>
      <c r="Y9137">
        <v>-3.5186210000000002E-2</v>
      </c>
      <c r="Z9137">
        <v>7.9542520000000005E-2</v>
      </c>
      <c r="AA9137">
        <v>0.99621029999999999</v>
      </c>
      <c r="AB9137">
        <v>20</v>
      </c>
      <c r="AC9137">
        <v>-0.64920000000000699</v>
      </c>
      <c r="AD9137">
        <v>-1.1089182071919901</v>
      </c>
      <c r="AE9137">
        <v>-13.606363</v>
      </c>
      <c r="AF9137">
        <v>-0.48333463208536898</v>
      </c>
      <c r="AG9137">
        <v>-1.1089182071919901</v>
      </c>
      <c r="AH9137">
        <v>13.5235275416167</v>
      </c>
      <c r="AI9137">
        <v>94.684741551802006</v>
      </c>
      <c r="AJ9137">
        <v>92.046895831062301</v>
      </c>
      <c r="AK9137">
        <v>13.577522201259001</v>
      </c>
      <c r="AL9137">
        <v>87.395768249928594</v>
      </c>
      <c r="AM9137">
        <v>91.968149839736597</v>
      </c>
      <c r="AN9137">
        <v>1.00000000119509</v>
      </c>
    </row>
    <row r="9138" spans="1:40" x14ac:dyDescent="0.25">
      <c r="A9138" t="str">
        <f>"20190312150903897"</f>
        <v>20190312150903897</v>
      </c>
      <c r="B9138" t="str">
        <f>"1552374543888588"</f>
        <v>1552374543888588</v>
      </c>
      <c r="C9138" t="s">
        <v>40</v>
      </c>
      <c r="D9138">
        <v>4.9503649999999997</v>
      </c>
      <c r="E9138">
        <v>0.49999090000000002</v>
      </c>
      <c r="F9138" t="s">
        <v>42</v>
      </c>
      <c r="G9138">
        <v>-301.06139999999999</v>
      </c>
      <c r="H9138" s="1">
        <v>-4.0347149999999999E-6</v>
      </c>
      <c r="I9138">
        <v>-21.664159999999999</v>
      </c>
      <c r="J9138">
        <v>-300.39159999999998</v>
      </c>
      <c r="K9138">
        <v>1.1090549999999999</v>
      </c>
      <c r="L9138">
        <v>-7.7725220000000004</v>
      </c>
      <c r="M9138">
        <v>-8.5301769999999999E-2</v>
      </c>
      <c r="N9138">
        <v>0</v>
      </c>
      <c r="O9138">
        <v>-0.99627719999999997</v>
      </c>
      <c r="P9138">
        <v>-4.9218390000000001E-2</v>
      </c>
      <c r="Q9138">
        <v>3.3637069999999998E-2</v>
      </c>
      <c r="R9138">
        <v>-0.99822169999999999</v>
      </c>
      <c r="S9138">
        <v>-0.14694209999999999</v>
      </c>
      <c r="T9138">
        <v>-0.23660709999999999</v>
      </c>
      <c r="U9138">
        <v>-3.0058590000000001</v>
      </c>
      <c r="V9138">
        <v>-3.6003880000000002E-2</v>
      </c>
      <c r="W9138">
        <v>4.6184629999999997E-2</v>
      </c>
      <c r="X9138">
        <v>0.9982839</v>
      </c>
      <c r="Y9138">
        <v>-3.6706830000000003E-2</v>
      </c>
      <c r="Z9138">
        <v>7.7971730000000003E-2</v>
      </c>
      <c r="AA9138">
        <v>0.99627960000000004</v>
      </c>
      <c r="AB9138">
        <v>20</v>
      </c>
      <c r="AC9138">
        <v>-0.66980000000000905</v>
      </c>
      <c r="AD9138">
        <v>-1.109059034715</v>
      </c>
      <c r="AE9138">
        <v>-13.891638</v>
      </c>
      <c r="AF9138">
        <v>-0.51444366996347202</v>
      </c>
      <c r="AG9138">
        <v>-1.109059034715</v>
      </c>
      <c r="AH9138">
        <v>13.810316072278599</v>
      </c>
      <c r="AI9138">
        <v>94.588205348047794</v>
      </c>
      <c r="AJ9138">
        <v>92.1333203934865</v>
      </c>
      <c r="AK9138">
        <v>13.864324514677399</v>
      </c>
      <c r="AL9138">
        <v>87.352874049962693</v>
      </c>
      <c r="AM9138">
        <v>92.065521289279602</v>
      </c>
      <c r="AN9138">
        <v>1.00000002221125</v>
      </c>
    </row>
    <row r="9139" spans="1:40" x14ac:dyDescent="0.25">
      <c r="A9139" t="str">
        <f>"20190312150903918"</f>
        <v>20190312150903918</v>
      </c>
      <c r="B9139" t="str">
        <f>"1552374543909083"</f>
        <v>1552374543909083</v>
      </c>
      <c r="C9139" t="s">
        <v>40</v>
      </c>
      <c r="D9139">
        <v>4.97241</v>
      </c>
      <c r="E9139">
        <v>0.50005109999999997</v>
      </c>
      <c r="F9139" t="s">
        <v>42</v>
      </c>
      <c r="G9139">
        <v>-301.09739999999999</v>
      </c>
      <c r="H9139" s="1">
        <v>-3.8745919999999999E-6</v>
      </c>
      <c r="I9139">
        <v>-22.059740000000001</v>
      </c>
      <c r="J9139">
        <v>-300.41090000000003</v>
      </c>
      <c r="K9139">
        <v>1.109189</v>
      </c>
      <c r="L9139">
        <v>-7.9711299999999996</v>
      </c>
      <c r="M9139">
        <v>-8.722104E-2</v>
      </c>
      <c r="N9139">
        <v>0</v>
      </c>
      <c r="O9139">
        <v>-0.9961101</v>
      </c>
      <c r="P9139">
        <v>-4.9524770000000003E-2</v>
      </c>
      <c r="Q9139">
        <v>3.4126339999999998E-2</v>
      </c>
      <c r="R9139">
        <v>-0.99818989999999996</v>
      </c>
      <c r="S9139">
        <v>-0.14849849999999901</v>
      </c>
      <c r="T9139">
        <v>-0.23333499999999999</v>
      </c>
      <c r="U9139">
        <v>-3.00589</v>
      </c>
      <c r="V9139">
        <v>-3.762513E-2</v>
      </c>
      <c r="W9139">
        <v>4.6740009999999999E-2</v>
      </c>
      <c r="X9139">
        <v>0.99819820000000004</v>
      </c>
      <c r="Y9139">
        <v>-3.8113870000000001E-2</v>
      </c>
      <c r="Z9139">
        <v>7.6876910000000007E-2</v>
      </c>
      <c r="AA9139">
        <v>0.99631179999999997</v>
      </c>
      <c r="AB9139">
        <v>20</v>
      </c>
      <c r="AC9139">
        <v>-0.68649999999996603</v>
      </c>
      <c r="AD9139">
        <v>-1.1091928745920001</v>
      </c>
      <c r="AE9139">
        <v>-14.0886099999999</v>
      </c>
      <c r="AF9139">
        <v>-0.54168683806753404</v>
      </c>
      <c r="AG9139">
        <v>-1.1091928745920001</v>
      </c>
      <c r="AH9139">
        <v>14.0081693488575</v>
      </c>
      <c r="AI9139">
        <v>94.523973172996094</v>
      </c>
      <c r="AJ9139">
        <v>92.214487344859606</v>
      </c>
      <c r="AK9139">
        <v>14.062451492177701</v>
      </c>
      <c r="AL9139">
        <v>87.321018558340199</v>
      </c>
      <c r="AM9139">
        <v>92.158630498684403</v>
      </c>
      <c r="AN9139">
        <v>0.99999996271277702</v>
      </c>
    </row>
    <row r="9140" spans="1:40" x14ac:dyDescent="0.25">
      <c r="A9140" t="str">
        <f>"20190312150903941"</f>
        <v>20190312150903941</v>
      </c>
      <c r="B9140" t="str">
        <f>"1552374543928604"</f>
        <v>1552374543928604</v>
      </c>
      <c r="C9140" t="s">
        <v>40</v>
      </c>
      <c r="D9140">
        <v>4.9421860000000004</v>
      </c>
      <c r="E9140">
        <v>0.50002970000000002</v>
      </c>
      <c r="F9140" t="s">
        <v>42</v>
      </c>
      <c r="G9140">
        <v>-301.13729999999998</v>
      </c>
      <c r="H9140" s="1">
        <v>-3.6923440000000002E-6</v>
      </c>
      <c r="I9140">
        <v>-22.5093</v>
      </c>
      <c r="J9140">
        <v>-300.43079999999998</v>
      </c>
      <c r="K9140">
        <v>1.109321</v>
      </c>
      <c r="L9140">
        <v>-8.171875</v>
      </c>
      <c r="M9140">
        <v>-8.905296E-2</v>
      </c>
      <c r="N9140">
        <v>0</v>
      </c>
      <c r="O9140">
        <v>-0.99594740000000004</v>
      </c>
      <c r="P9140">
        <v>-5.0901090000000003E-2</v>
      </c>
      <c r="Q9140">
        <v>3.4430599999999999E-2</v>
      </c>
      <c r="R9140">
        <v>-0.99811019999999995</v>
      </c>
      <c r="S9140">
        <v>-0.150177</v>
      </c>
      <c r="T9140">
        <v>-0.22933020000000001</v>
      </c>
      <c r="U9140">
        <v>-3.0058289999999999</v>
      </c>
      <c r="V9140">
        <v>-3.8090939999999997E-2</v>
      </c>
      <c r="W9140">
        <v>4.7098670000000002E-2</v>
      </c>
      <c r="X9140">
        <v>0.99816369999999999</v>
      </c>
      <c r="Y9140">
        <v>-3.939074E-2</v>
      </c>
      <c r="Z9140">
        <v>7.5545269999999998E-2</v>
      </c>
      <c r="AA9140">
        <v>0.99636409999999997</v>
      </c>
      <c r="AB9140">
        <v>20</v>
      </c>
      <c r="AC9140">
        <v>-0.70650000000000501</v>
      </c>
      <c r="AD9140">
        <v>-1.1093246923440001</v>
      </c>
      <c r="AE9140">
        <v>-14.337425</v>
      </c>
      <c r="AF9140">
        <v>-0.56979584455479204</v>
      </c>
      <c r="AG9140">
        <v>-1.1093246923440001</v>
      </c>
      <c r="AH9140">
        <v>14.2582222358101</v>
      </c>
      <c r="AI9140">
        <v>94.445256333601606</v>
      </c>
      <c r="AJ9140">
        <v>92.288471453486807</v>
      </c>
      <c r="AK9140">
        <v>14.3126576813415</v>
      </c>
      <c r="AL9140">
        <v>87.300446265341407</v>
      </c>
      <c r="AM9140">
        <v>92.185404675834107</v>
      </c>
      <c r="AN9140">
        <v>0.99999998821177105</v>
      </c>
    </row>
    <row r="9141" spans="1:40" x14ac:dyDescent="0.25">
      <c r="A9141" t="str">
        <f>"20190312150903963"</f>
        <v>20190312150903963</v>
      </c>
      <c r="B9141" t="str">
        <f>"1552374543958860"</f>
        <v>1552374543958860</v>
      </c>
      <c r="C9141" t="s">
        <v>40</v>
      </c>
      <c r="D9141">
        <v>4.981268</v>
      </c>
      <c r="E9141">
        <v>0.53298429999999997</v>
      </c>
      <c r="F9141" t="s">
        <v>42</v>
      </c>
      <c r="G9141">
        <v>-301.17809999999997</v>
      </c>
      <c r="H9141" s="1">
        <v>-3.596232E-6</v>
      </c>
      <c r="I9141">
        <v>-22.758649999999999</v>
      </c>
      <c r="J9141">
        <v>-300.45100000000002</v>
      </c>
      <c r="K9141">
        <v>1.109443</v>
      </c>
      <c r="L9141">
        <v>-8.3751219999999993</v>
      </c>
      <c r="M9141">
        <v>-9.0794169999999993E-2</v>
      </c>
      <c r="N9141">
        <v>0</v>
      </c>
      <c r="O9141">
        <v>-0.99578949999999999</v>
      </c>
      <c r="P9141">
        <v>-5.280899E-2</v>
      </c>
      <c r="Q9141">
        <v>3.4527509999999997E-2</v>
      </c>
      <c r="R9141">
        <v>-0.99800770000000005</v>
      </c>
      <c r="S9141">
        <v>-0.15399170000000001</v>
      </c>
      <c r="T9141">
        <v>-0.22858410000000001</v>
      </c>
      <c r="U9141">
        <v>-3.0057070000000001</v>
      </c>
      <c r="V9141">
        <v>-3.7935990000000003E-2</v>
      </c>
      <c r="W9141">
        <v>4.7241089999999999E-2</v>
      </c>
      <c r="X9141">
        <v>0.99816289999999996</v>
      </c>
      <c r="Y9141">
        <v>-3.9873560000000002E-2</v>
      </c>
      <c r="Z9141">
        <v>7.5282979999999999E-2</v>
      </c>
      <c r="AA9141">
        <v>0.99636469999999999</v>
      </c>
      <c r="AB9141">
        <v>20</v>
      </c>
      <c r="AC9141">
        <v>-0.72710000000000696</v>
      </c>
      <c r="AD9141">
        <v>-1.1094465962319999</v>
      </c>
      <c r="AE9141">
        <v>-14.383528</v>
      </c>
      <c r="AF9141">
        <v>-0.578515293036303</v>
      </c>
      <c r="AG9141">
        <v>-1.1094465962319999</v>
      </c>
      <c r="AH9141">
        <v>14.3052392456107</v>
      </c>
      <c r="AI9141">
        <v>94.431104632052893</v>
      </c>
      <c r="AJ9141">
        <v>92.315825126764594</v>
      </c>
      <c r="AK9141">
        <v>14.359854510695</v>
      </c>
      <c r="AL9141">
        <v>87.292277186251397</v>
      </c>
      <c r="AM9141">
        <v>92.176524986076302</v>
      </c>
      <c r="AN9141">
        <v>1.00000001742903</v>
      </c>
    </row>
    <row r="9142" spans="1:40" x14ac:dyDescent="0.25">
      <c r="A9142" t="str">
        <f>"20190312150903987"</f>
        <v>20190312150903987</v>
      </c>
      <c r="B9142" t="str">
        <f>"1552374543978379"</f>
        <v>1552374543978379</v>
      </c>
      <c r="C9142" t="s">
        <v>40</v>
      </c>
      <c r="D9142">
        <v>4.9519849999999996</v>
      </c>
      <c r="E9142">
        <v>0.54039729999999997</v>
      </c>
      <c r="F9142" t="s">
        <v>42</v>
      </c>
      <c r="G9142">
        <v>-303.7294</v>
      </c>
      <c r="H9142" s="1">
        <v>-4.5492030000000003E-6</v>
      </c>
      <c r="I9142">
        <v>-31.589110000000002</v>
      </c>
      <c r="J9142">
        <v>-300.47160000000002</v>
      </c>
      <c r="K9142">
        <v>1.109559</v>
      </c>
      <c r="L9142">
        <v>-8.5782469999999993</v>
      </c>
      <c r="M9142">
        <v>-9.2400040000000003E-2</v>
      </c>
      <c r="N9142">
        <v>0</v>
      </c>
      <c r="O9142">
        <v>-0.9956412</v>
      </c>
      <c r="P9142">
        <v>-5.4245259999999997E-2</v>
      </c>
      <c r="Q9142">
        <v>3.5104389999999999E-2</v>
      </c>
      <c r="R9142">
        <v>-0.99791090000000005</v>
      </c>
      <c r="S9142">
        <v>-0.42205809999999999</v>
      </c>
      <c r="T9142">
        <v>-0.14283109999999999</v>
      </c>
      <c r="U9142">
        <v>-2.9885860000000002</v>
      </c>
      <c r="V9142">
        <v>-3.8114790000000003E-2</v>
      </c>
      <c r="W9142">
        <v>4.7856950000000002E-2</v>
      </c>
      <c r="X9142">
        <v>0.99812670000000003</v>
      </c>
      <c r="Y9142">
        <v>4.7581640000000001E-2</v>
      </c>
      <c r="Z9142">
        <v>4.7171739999999997E-2</v>
      </c>
      <c r="AA9142">
        <v>0.99775290000000005</v>
      </c>
      <c r="AB9142">
        <v>20</v>
      </c>
      <c r="AC9142">
        <v>-3.2577999999999698</v>
      </c>
      <c r="AD9142">
        <v>-1.109563549203</v>
      </c>
      <c r="AE9142">
        <v>-23.010863000000001</v>
      </c>
      <c r="AF9142">
        <v>1.1149437102644999</v>
      </c>
      <c r="AG9142">
        <v>-1.109563549203</v>
      </c>
      <c r="AH9142">
        <v>23.160658626640998</v>
      </c>
      <c r="AI9142">
        <v>92.739618661729196</v>
      </c>
      <c r="AJ9142">
        <v>87.243934562005805</v>
      </c>
      <c r="AK9142">
        <v>23.214011690498001</v>
      </c>
      <c r="AL9142">
        <v>87.256950912089195</v>
      </c>
      <c r="AM9142">
        <v>92.186852685811999</v>
      </c>
      <c r="AN9142">
        <v>0.99999996706646699</v>
      </c>
    </row>
    <row r="9143" spans="1:40" x14ac:dyDescent="0.25">
      <c r="A9143" t="str">
        <f>"20190312150904009"</f>
        <v>20190312150904009</v>
      </c>
      <c r="B9143" t="str">
        <f>"1552374543998875"</f>
        <v>1552374543998875</v>
      </c>
      <c r="C9143" t="s">
        <v>40</v>
      </c>
      <c r="D9143">
        <v>4.936204</v>
      </c>
      <c r="E9143">
        <v>0.54303469999999998</v>
      </c>
      <c r="F9143" t="s">
        <v>42</v>
      </c>
      <c r="G9143">
        <v>-303.74110000000002</v>
      </c>
      <c r="H9143" s="1">
        <v>-1.741262E-6</v>
      </c>
      <c r="I9143">
        <v>-28.6723</v>
      </c>
      <c r="J9143">
        <v>-300.49290000000002</v>
      </c>
      <c r="K9143">
        <v>1.1096600000000001</v>
      </c>
      <c r="L9143">
        <v>-8.7876589999999997</v>
      </c>
      <c r="M9143">
        <v>-9.3909309999999996E-2</v>
      </c>
      <c r="N9143">
        <v>0</v>
      </c>
      <c r="O9143">
        <v>-0.99549909999999997</v>
      </c>
      <c r="P9143">
        <v>-5.6031909999999997E-2</v>
      </c>
      <c r="Q9143">
        <v>3.3988850000000001E-2</v>
      </c>
      <c r="R9143">
        <v>-0.99785069999999998</v>
      </c>
      <c r="S9143">
        <v>-0.4858093</v>
      </c>
      <c r="T9143">
        <v>-0.16486479999999901</v>
      </c>
      <c r="U9143">
        <v>-2.985687</v>
      </c>
      <c r="V9143">
        <v>-3.785496E-2</v>
      </c>
      <c r="W9143">
        <v>4.6775259999999999E-2</v>
      </c>
      <c r="X9143">
        <v>0.99818790000000002</v>
      </c>
      <c r="Y9143">
        <v>6.6954639999999996E-2</v>
      </c>
      <c r="Z9143">
        <v>5.4352079999999997E-2</v>
      </c>
      <c r="AA9143">
        <v>0.99627449999999995</v>
      </c>
      <c r="AB9143">
        <v>20</v>
      </c>
      <c r="AC9143">
        <v>-3.24819999999999</v>
      </c>
      <c r="AD9143">
        <v>-1.109661741262</v>
      </c>
      <c r="AE9143">
        <v>-19.884640999999998</v>
      </c>
      <c r="AF9143">
        <v>1.3622064175337301</v>
      </c>
      <c r="AG9143">
        <v>-1.109661741262</v>
      </c>
      <c r="AH9143">
        <v>20.041023080124202</v>
      </c>
      <c r="AI9143">
        <v>93.161922668942196</v>
      </c>
      <c r="AJ9143">
        <v>86.111535113131794</v>
      </c>
      <c r="AK9143">
        <v>20.117891579439</v>
      </c>
      <c r="AL9143">
        <v>87.318996779587195</v>
      </c>
      <c r="AM9143">
        <v>92.171826115240805</v>
      </c>
      <c r="AN9143">
        <v>1.0000000033255301</v>
      </c>
    </row>
    <row r="9144" spans="1:40" x14ac:dyDescent="0.25">
      <c r="A9144" t="str">
        <f>"20190312150904034"</f>
        <v>20190312150904034</v>
      </c>
      <c r="B9144" t="str">
        <f>"1552374544029131"</f>
        <v>1552374544029131</v>
      </c>
      <c r="C9144" t="s">
        <v>40</v>
      </c>
      <c r="D9144">
        <v>4.961519</v>
      </c>
      <c r="E9144">
        <v>0.54405329999999996</v>
      </c>
      <c r="F9144" t="s">
        <v>42</v>
      </c>
      <c r="G9144">
        <v>-303.66320000000002</v>
      </c>
      <c r="H9144" s="1">
        <v>-2.3308959999999999E-6</v>
      </c>
      <c r="I9144">
        <v>-27.249549999999999</v>
      </c>
      <c r="J9144">
        <v>-300.51440000000002</v>
      </c>
      <c r="K9144">
        <v>1.1097440000000001</v>
      </c>
      <c r="L9144">
        <v>-8.9968570000000003</v>
      </c>
      <c r="M9144">
        <v>-9.5299120000000001E-2</v>
      </c>
      <c r="N9144">
        <v>0</v>
      </c>
      <c r="O9144">
        <v>-0.9953668</v>
      </c>
      <c r="P9144">
        <v>-5.6628339999999999E-2</v>
      </c>
      <c r="Q9144">
        <v>3.3662209999999998E-2</v>
      </c>
      <c r="R9144">
        <v>-0.99782780000000004</v>
      </c>
      <c r="S9144">
        <v>-0.51239009999999996</v>
      </c>
      <c r="T9144">
        <v>-0.17934269999999999</v>
      </c>
      <c r="U9144">
        <v>-2.9837950000000002</v>
      </c>
      <c r="V9144">
        <v>-3.8660350000000003E-2</v>
      </c>
      <c r="W9144">
        <v>4.6478989999999998E-2</v>
      </c>
      <c r="X9144">
        <v>0.99817089999999997</v>
      </c>
      <c r="Y9144">
        <v>7.4247850000000004E-2</v>
      </c>
      <c r="Z9144">
        <v>5.9075809999999999E-2</v>
      </c>
      <c r="AA9144">
        <v>0.9954885</v>
      </c>
      <c r="AB9144">
        <v>20</v>
      </c>
      <c r="AC9144">
        <v>-3.1487999999999898</v>
      </c>
      <c r="AD9144">
        <v>-1.1097463308960001</v>
      </c>
      <c r="AE9144">
        <v>-18.252693000000001</v>
      </c>
      <c r="AF9144">
        <v>1.389869885245</v>
      </c>
      <c r="AG9144">
        <v>-1.1097463308960001</v>
      </c>
      <c r="AH9144">
        <v>18.403644486462099</v>
      </c>
      <c r="AI9144">
        <v>93.441002244204796</v>
      </c>
      <c r="AJ9144">
        <v>85.6811381604209</v>
      </c>
      <c r="AK9144">
        <v>18.489386295951899</v>
      </c>
      <c r="AL9144">
        <v>87.335990360417696</v>
      </c>
      <c r="AM9144">
        <v>92.218025260143605</v>
      </c>
      <c r="AN9144">
        <v>1.0000000323901701</v>
      </c>
    </row>
    <row r="9145" spans="1:40" x14ac:dyDescent="0.25">
      <c r="A9145" t="str">
        <f>"20190312150904055"</f>
        <v>20190312150904055</v>
      </c>
      <c r="B9145" t="str">
        <f>"1552374544048653"</f>
        <v>1552374544048653</v>
      </c>
      <c r="C9145" t="s">
        <v>40</v>
      </c>
      <c r="D9145">
        <v>4.9478280000000003</v>
      </c>
      <c r="E9145">
        <v>0.54423169999999899</v>
      </c>
      <c r="F9145" t="s">
        <v>42</v>
      </c>
      <c r="G9145">
        <v>-303.5367</v>
      </c>
      <c r="H9145" s="1">
        <v>-2.7238699999999999E-6</v>
      </c>
      <c r="I9145">
        <v>-26.255050000000001</v>
      </c>
      <c r="J9145">
        <v>-300.53460000000001</v>
      </c>
      <c r="K9145">
        <v>1.109815</v>
      </c>
      <c r="L9145">
        <v>-9.1922610000000002</v>
      </c>
      <c r="M9145">
        <v>-9.6496280000000004E-2</v>
      </c>
      <c r="N9145">
        <v>0</v>
      </c>
      <c r="O9145">
        <v>-0.995251</v>
      </c>
      <c r="P9145">
        <v>-5.6360010000000002E-2</v>
      </c>
      <c r="Q9145">
        <v>3.3524180000000001E-2</v>
      </c>
      <c r="R9145">
        <v>-0.99784759999999995</v>
      </c>
      <c r="S9145">
        <v>-0.52246090000000001</v>
      </c>
      <c r="T9145">
        <v>-0.19183639999999999</v>
      </c>
      <c r="U9145">
        <v>-2.9833370000000001</v>
      </c>
      <c r="V9145">
        <v>-4.0136020000000001E-2</v>
      </c>
      <c r="W9145">
        <v>4.6367529999999997E-2</v>
      </c>
      <c r="X9145">
        <v>0.99811780000000005</v>
      </c>
      <c r="Y9145">
        <v>7.6292769999999996E-2</v>
      </c>
      <c r="Z9145">
        <v>6.3150819999999996E-2</v>
      </c>
      <c r="AA9145">
        <v>0.99508359999999996</v>
      </c>
      <c r="AB9145">
        <v>20</v>
      </c>
      <c r="AC9145">
        <v>-3.00209999999998</v>
      </c>
      <c r="AD9145">
        <v>-1.10981772387</v>
      </c>
      <c r="AE9145">
        <v>-17.062788999999999</v>
      </c>
      <c r="AF9145">
        <v>1.33597502779414</v>
      </c>
      <c r="AG9145">
        <v>-1.10981772387</v>
      </c>
      <c r="AH9145">
        <v>17.202274075741201</v>
      </c>
      <c r="AI9145">
        <v>93.680313110985793</v>
      </c>
      <c r="AJ9145">
        <v>85.559169108950996</v>
      </c>
      <c r="AK9145">
        <v>17.289729842655898</v>
      </c>
      <c r="AL9145">
        <v>87.342383341818106</v>
      </c>
      <c r="AM9145">
        <v>92.302720450702395</v>
      </c>
      <c r="AN9145">
        <v>0.99999999530828998</v>
      </c>
    </row>
    <row r="9146" spans="1:40" x14ac:dyDescent="0.25">
      <c r="A9146" t="str">
        <f>"20190312150904076"</f>
        <v>20190312150904076</v>
      </c>
      <c r="B9146" t="str">
        <f>"1552374544069148"</f>
        <v>1552374544069148</v>
      </c>
      <c r="C9146" t="s">
        <v>40</v>
      </c>
      <c r="D9146">
        <v>4.894145</v>
      </c>
      <c r="E9146">
        <v>0.5443981</v>
      </c>
      <c r="F9146" t="s">
        <v>42</v>
      </c>
      <c r="G9146">
        <v>-303.5052</v>
      </c>
      <c r="H9146" s="1">
        <v>-2.7661309999999999E-6</v>
      </c>
      <c r="I9146">
        <v>-26.136970000000002</v>
      </c>
      <c r="J9146">
        <v>-300.55529999999999</v>
      </c>
      <c r="K9146">
        <v>1.10988</v>
      </c>
      <c r="L9146">
        <v>-9.3916319999999995</v>
      </c>
      <c r="M9146">
        <v>-9.761417E-2</v>
      </c>
      <c r="N9146">
        <v>0</v>
      </c>
      <c r="O9146">
        <v>-0.99514159999999996</v>
      </c>
      <c r="P9146">
        <v>-5.6014250000000002E-2</v>
      </c>
      <c r="Q9146">
        <v>3.3662570000000003E-2</v>
      </c>
      <c r="R9146">
        <v>-0.99786229999999998</v>
      </c>
      <c r="S9146">
        <v>-0.52304079999999997</v>
      </c>
      <c r="T9146">
        <v>-0.1954079</v>
      </c>
      <c r="U9146">
        <v>-2.9834900000000002</v>
      </c>
      <c r="V9146">
        <v>-4.1608199999999998E-2</v>
      </c>
      <c r="W9146">
        <v>4.6534720000000002E-2</v>
      </c>
      <c r="X9146">
        <v>0.99804970000000004</v>
      </c>
      <c r="Y9146">
        <v>7.5338829999999996E-2</v>
      </c>
      <c r="Z9146">
        <v>6.4309160000000004E-2</v>
      </c>
      <c r="AA9146">
        <v>0.99508209999999997</v>
      </c>
      <c r="AB9146">
        <v>20</v>
      </c>
      <c r="AC9146">
        <v>-2.9499000000000102</v>
      </c>
      <c r="AD9146">
        <v>-1.109882766131</v>
      </c>
      <c r="AE9146">
        <v>-16.745338</v>
      </c>
      <c r="AF9146">
        <v>1.2955728558058299</v>
      </c>
      <c r="AG9146">
        <v>-1.109882766131</v>
      </c>
      <c r="AH9146">
        <v>16.881401695116502</v>
      </c>
      <c r="AI9146">
        <v>93.750551094639505</v>
      </c>
      <c r="AJ9146">
        <v>85.611405150289698</v>
      </c>
      <c r="AK9146">
        <v>16.967382590462702</v>
      </c>
      <c r="AL9146">
        <v>87.332793622944493</v>
      </c>
      <c r="AM9146">
        <v>92.387250418425396</v>
      </c>
      <c r="AN9146">
        <v>0.99999996307140304</v>
      </c>
    </row>
    <row r="9147" spans="1:40" x14ac:dyDescent="0.25">
      <c r="A9147" t="str">
        <f>"20190312150904098"</f>
        <v>20190312150904098</v>
      </c>
      <c r="B9147" t="str">
        <f>"1552374544088667"</f>
        <v>1552374544088667</v>
      </c>
      <c r="C9147" t="s">
        <v>40</v>
      </c>
      <c r="D9147">
        <v>4.9223189999999999</v>
      </c>
      <c r="E9147">
        <v>0.54447749999999995</v>
      </c>
      <c r="F9147" t="s">
        <v>42</v>
      </c>
      <c r="G9147">
        <v>-303.49040000000002</v>
      </c>
      <c r="H9147" s="1">
        <v>-2.7606229999999999E-6</v>
      </c>
      <c r="I9147">
        <v>-26.140609999999999</v>
      </c>
      <c r="J9147">
        <v>-300.57490000000001</v>
      </c>
      <c r="K9147">
        <v>1.109947</v>
      </c>
      <c r="L9147">
        <v>-9.5789489999999997</v>
      </c>
      <c r="M9147">
        <v>-9.8568180000000005E-2</v>
      </c>
      <c r="N9147">
        <v>0</v>
      </c>
      <c r="O9147">
        <v>-0.99504700000000001</v>
      </c>
      <c r="P9147">
        <v>-5.5821129999999997E-2</v>
      </c>
      <c r="Q9147">
        <v>3.4028599999999999E-2</v>
      </c>
      <c r="R9147">
        <v>-0.99786070000000004</v>
      </c>
      <c r="S9147">
        <v>-0.52285769999999998</v>
      </c>
      <c r="T9147">
        <v>-0.19771920000000001</v>
      </c>
      <c r="U9147">
        <v>-2.9837340000000001</v>
      </c>
      <c r="V9147">
        <v>-4.2761939999999998E-2</v>
      </c>
      <c r="W9147">
        <v>4.6927209999999997E-2</v>
      </c>
      <c r="X9147">
        <v>0.99798260000000005</v>
      </c>
      <c r="Y9147">
        <v>7.4301270000000003E-2</v>
      </c>
      <c r="Z9147">
        <v>6.5055070000000007E-2</v>
      </c>
      <c r="AA9147">
        <v>0.99511159999999999</v>
      </c>
      <c r="AB9147">
        <v>20</v>
      </c>
      <c r="AC9147">
        <v>-2.9155000000000002</v>
      </c>
      <c r="AD9147">
        <v>-1.109949760623</v>
      </c>
      <c r="AE9147">
        <v>-16.561660999999901</v>
      </c>
      <c r="AF9147">
        <v>1.2632086603538699</v>
      </c>
      <c r="AG9147">
        <v>-1.109949760623</v>
      </c>
      <c r="AH9147">
        <v>16.695660842500899</v>
      </c>
      <c r="AI9147">
        <v>93.792694251247795</v>
      </c>
      <c r="AJ9147">
        <v>85.673193783151007</v>
      </c>
      <c r="AK9147">
        <v>16.780130379663799</v>
      </c>
      <c r="AL9147">
        <v>87.310281128240206</v>
      </c>
      <c r="AM9147">
        <v>92.453530653150494</v>
      </c>
      <c r="AN9147">
        <v>1.0000000082268501</v>
      </c>
    </row>
    <row r="9148" spans="1:40" x14ac:dyDescent="0.25">
      <c r="A9148" t="str">
        <f>"20190312150904119"</f>
        <v>20190312150904119</v>
      </c>
      <c r="B9148" t="str">
        <f>"1552374544108187"</f>
        <v>1552374544108187</v>
      </c>
      <c r="C9148" t="s">
        <v>40</v>
      </c>
      <c r="D9148">
        <v>4.8908519999999998</v>
      </c>
      <c r="E9148">
        <v>0.54440749999999904</v>
      </c>
      <c r="F9148" t="s">
        <v>42</v>
      </c>
      <c r="G9148">
        <v>-303.5009</v>
      </c>
      <c r="H9148" s="1">
        <v>-2.6979719999999999E-6</v>
      </c>
      <c r="I9148">
        <v>-26.29318</v>
      </c>
      <c r="J9148">
        <v>-300.59519999999998</v>
      </c>
      <c r="K9148">
        <v>1.1100209999999999</v>
      </c>
      <c r="L9148">
        <v>-9.7720640000000003</v>
      </c>
      <c r="M9148">
        <v>-9.9456649999999994E-2</v>
      </c>
      <c r="N9148">
        <v>0</v>
      </c>
      <c r="O9148">
        <v>-0.99495829999999996</v>
      </c>
      <c r="P9148">
        <v>-5.5255060000000002E-2</v>
      </c>
      <c r="Q9148">
        <v>3.5166599999999999E-2</v>
      </c>
      <c r="R9148">
        <v>-0.99785270000000004</v>
      </c>
      <c r="S9148">
        <v>-0.52236939999999998</v>
      </c>
      <c r="T9148">
        <v>-0.19815849999999999</v>
      </c>
      <c r="U9148">
        <v>-2.983978</v>
      </c>
      <c r="V9148">
        <v>-4.4221330000000003E-2</v>
      </c>
      <c r="W9148">
        <v>4.8089850000000003E-2</v>
      </c>
      <c r="X9148">
        <v>0.99786370000000002</v>
      </c>
      <c r="Y9148">
        <v>7.3237369999999996E-2</v>
      </c>
      <c r="Z9148">
        <v>6.5188570000000001E-2</v>
      </c>
      <c r="AA9148">
        <v>0.99518169999999995</v>
      </c>
      <c r="AB9148">
        <v>20</v>
      </c>
      <c r="AC9148">
        <v>-2.9057000000000199</v>
      </c>
      <c r="AD9148">
        <v>-1.110023697972</v>
      </c>
      <c r="AE9148">
        <v>-16.521115999999999</v>
      </c>
      <c r="AF9148">
        <v>1.2425782888714501</v>
      </c>
      <c r="AG9148">
        <v>-1.110023697972</v>
      </c>
      <c r="AH9148">
        <v>16.655274012185199</v>
      </c>
      <c r="AI9148">
        <v>93.802415479118906</v>
      </c>
      <c r="AJ9148">
        <v>85.733312988252294</v>
      </c>
      <c r="AK9148">
        <v>16.738408103371299</v>
      </c>
      <c r="AL9148">
        <v>87.243591603700196</v>
      </c>
      <c r="AM9148">
        <v>92.537459651847499</v>
      </c>
      <c r="AN9148">
        <v>1.00000006173883</v>
      </c>
    </row>
    <row r="9149" spans="1:40" x14ac:dyDescent="0.25">
      <c r="A9149" t="str">
        <f>"20190312150904142"</f>
        <v>20190312150904142</v>
      </c>
      <c r="B9149" t="str">
        <f>"1552374544138444"</f>
        <v>1552374544138444</v>
      </c>
      <c r="C9149" t="s">
        <v>40</v>
      </c>
      <c r="D9149">
        <v>4.8629730000000002</v>
      </c>
      <c r="E9149">
        <v>0.54445299999999996</v>
      </c>
      <c r="F9149" t="s">
        <v>42</v>
      </c>
      <c r="G9149">
        <v>-303.54140000000001</v>
      </c>
      <c r="H9149" s="1">
        <v>-2.5391719999999998E-6</v>
      </c>
      <c r="I9149">
        <v>-26.688500000000001</v>
      </c>
      <c r="J9149">
        <v>-300.61630000000002</v>
      </c>
      <c r="K9149">
        <v>1.1101030000000001</v>
      </c>
      <c r="L9149">
        <v>-9.9723819999999996</v>
      </c>
      <c r="M9149">
        <v>-0.100272</v>
      </c>
      <c r="N9149">
        <v>0</v>
      </c>
      <c r="O9149">
        <v>-0.99487639999999999</v>
      </c>
      <c r="P9149">
        <v>-5.5075310000000002E-2</v>
      </c>
      <c r="Q9149">
        <v>3.5462279999999999E-2</v>
      </c>
      <c r="R9149">
        <v>-0.99785259999999998</v>
      </c>
      <c r="S9149">
        <v>-0.51980590000000004</v>
      </c>
      <c r="T9149">
        <v>-0.19584289999999999</v>
      </c>
      <c r="U9149">
        <v>-2.9845890000000002</v>
      </c>
      <c r="V9149">
        <v>-4.5225540000000002E-2</v>
      </c>
      <c r="W9149">
        <v>4.8407060000000002E-2</v>
      </c>
      <c r="X9149">
        <v>0.99780329999999995</v>
      </c>
      <c r="Y9149">
        <v>7.156448E-2</v>
      </c>
      <c r="Z9149">
        <v>6.4417820000000001E-2</v>
      </c>
      <c r="AA9149">
        <v>0.99535359999999995</v>
      </c>
      <c r="AB9149">
        <v>20</v>
      </c>
      <c r="AC9149">
        <v>-2.92509999999998</v>
      </c>
      <c r="AD9149">
        <v>-1.1101055391720001</v>
      </c>
      <c r="AE9149">
        <v>-16.716117999999899</v>
      </c>
      <c r="AF9149">
        <v>1.2287988653097599</v>
      </c>
      <c r="AG9149">
        <v>-1.1101055391720001</v>
      </c>
      <c r="AH9149">
        <v>16.853068742312701</v>
      </c>
      <c r="AI9149">
        <v>93.758659143345298</v>
      </c>
      <c r="AJ9149">
        <v>85.829802667595004</v>
      </c>
      <c r="AK9149">
        <v>16.934231809934701</v>
      </c>
      <c r="AL9149">
        <v>87.2253954729849</v>
      </c>
      <c r="AM9149">
        <v>92.595161096585599</v>
      </c>
      <c r="AN9149">
        <v>1.00000000920851</v>
      </c>
    </row>
    <row r="9150" spans="1:40" x14ac:dyDescent="0.25">
      <c r="A9150" t="str">
        <f>"20190312150904164"</f>
        <v>20190312150904164</v>
      </c>
      <c r="B9150" t="str">
        <f>"1552374544158939"</f>
        <v>1552374544158939</v>
      </c>
      <c r="C9150" t="s">
        <v>40</v>
      </c>
      <c r="D9150">
        <v>4.8966159999999999</v>
      </c>
      <c r="E9150">
        <v>0.54452659999999997</v>
      </c>
      <c r="F9150" t="s">
        <v>42</v>
      </c>
      <c r="G9150">
        <v>-303.57389999999998</v>
      </c>
      <c r="H9150" s="1">
        <v>-2.4254169999999999E-6</v>
      </c>
      <c r="I9150">
        <v>-26.973780000000001</v>
      </c>
      <c r="J9150">
        <v>-300.63740000000001</v>
      </c>
      <c r="K9150">
        <v>1.1101890000000001</v>
      </c>
      <c r="L9150">
        <v>-10.17221</v>
      </c>
      <c r="M9150">
        <v>-0.1009621</v>
      </c>
      <c r="N9150">
        <v>0</v>
      </c>
      <c r="O9150">
        <v>-0.99480610000000003</v>
      </c>
      <c r="P9150">
        <v>-5.4721409999999998E-2</v>
      </c>
      <c r="Q9150">
        <v>3.4966070000000002E-2</v>
      </c>
      <c r="R9150">
        <v>-0.99788960000000004</v>
      </c>
      <c r="S9150">
        <v>-0.51922609999999902</v>
      </c>
      <c r="T9150">
        <v>-0.19488639999999999</v>
      </c>
      <c r="U9150">
        <v>-2.9847109999999999</v>
      </c>
      <c r="V9150">
        <v>-4.628285E-2</v>
      </c>
      <c r="W9150">
        <v>4.7927440000000002E-2</v>
      </c>
      <c r="X9150">
        <v>0.9977779</v>
      </c>
      <c r="Y9150">
        <v>7.0681430000000003E-2</v>
      </c>
      <c r="Z9150">
        <v>6.4098299999999997E-2</v>
      </c>
      <c r="AA9150">
        <v>0.99543740000000003</v>
      </c>
      <c r="AB9150">
        <v>20</v>
      </c>
      <c r="AC9150">
        <v>-2.9364999999999601</v>
      </c>
      <c r="AD9150">
        <v>-1.11019142541699</v>
      </c>
      <c r="AE9150">
        <v>-16.801569999999899</v>
      </c>
      <c r="AF9150">
        <v>1.2198607163509201</v>
      </c>
      <c r="AG9150">
        <v>-1.11019142541699</v>
      </c>
      <c r="AH9150">
        <v>16.9404325228295</v>
      </c>
      <c r="AI9150">
        <v>93.739861821730003</v>
      </c>
      <c r="AJ9150">
        <v>85.8813070151012</v>
      </c>
      <c r="AK9150">
        <v>17.0205416843561</v>
      </c>
      <c r="AL9150">
        <v>87.252907417491301</v>
      </c>
      <c r="AM9150">
        <v>92.6558139774409</v>
      </c>
      <c r="AN9150">
        <v>0.99999993971874102</v>
      </c>
    </row>
    <row r="9151" spans="1:40" x14ac:dyDescent="0.25">
      <c r="A9151" t="str">
        <f>"20190312150904188"</f>
        <v>20190312150904188</v>
      </c>
      <c r="B9151" t="str">
        <f>"1552374544178459"</f>
        <v>1552374544178459</v>
      </c>
      <c r="C9151" t="s">
        <v>40</v>
      </c>
      <c r="D9151">
        <v>4.9926199999999996</v>
      </c>
      <c r="E9151">
        <v>0.54463549999999905</v>
      </c>
      <c r="F9151" t="s">
        <v>41</v>
      </c>
      <c r="G9151">
        <v>-300.79430000000002</v>
      </c>
      <c r="H9151">
        <v>1.0506549999999999</v>
      </c>
      <c r="I9151">
        <v>-11.073930000000001</v>
      </c>
      <c r="J9151">
        <v>-300.65870000000001</v>
      </c>
      <c r="K9151">
        <v>1.110295</v>
      </c>
      <c r="L9151">
        <v>-10.37527</v>
      </c>
      <c r="M9151">
        <v>-0.1014997</v>
      </c>
      <c r="N9151">
        <v>0</v>
      </c>
      <c r="O9151">
        <v>-0.9947511</v>
      </c>
      <c r="P9151">
        <v>-5.4165499999999998E-2</v>
      </c>
      <c r="Q9151">
        <v>3.4998439999999999E-2</v>
      </c>
      <c r="R9151">
        <v>-0.99791909999999895</v>
      </c>
      <c r="S9151">
        <v>-0.51852419999999999</v>
      </c>
      <c r="T9151">
        <v>-0.19701589999999999</v>
      </c>
      <c r="U9151">
        <v>-2.9848020000000002</v>
      </c>
      <c r="V9151">
        <v>-4.7388909999999999E-2</v>
      </c>
      <c r="W9151">
        <v>4.7971260000000002E-2</v>
      </c>
      <c r="X9151">
        <v>0.9977239</v>
      </c>
      <c r="Y9151">
        <v>6.9902329999999999E-2</v>
      </c>
      <c r="Z9151">
        <v>6.4791539999999995E-2</v>
      </c>
      <c r="AA9151">
        <v>0.99544750000000004</v>
      </c>
      <c r="AB9151">
        <v>20</v>
      </c>
      <c r="AC9151">
        <v>-0.13560000000000999</v>
      </c>
      <c r="AD9151">
        <v>-5.9640000000000103E-2</v>
      </c>
      <c r="AE9151">
        <v>-0.69865999999999995</v>
      </c>
      <c r="AF9151">
        <v>6.3533687294625302E-2</v>
      </c>
      <c r="AG9151">
        <v>-5.9640000000000103E-2</v>
      </c>
      <c r="AH9151">
        <v>0.70387286198070698</v>
      </c>
      <c r="AI9151">
        <v>94.823655369296702</v>
      </c>
      <c r="AJ9151">
        <v>84.842287179304805</v>
      </c>
      <c r="AK9151">
        <v>0.70924640630331204</v>
      </c>
      <c r="AL9151">
        <v>87.250393896296899</v>
      </c>
      <c r="AM9151">
        <v>92.719334987720998</v>
      </c>
      <c r="AN9151">
        <v>0.99999996560409199</v>
      </c>
    </row>
    <row r="9152" spans="1:40" x14ac:dyDescent="0.25">
      <c r="A9152" t="str">
        <f>"20190312150904209"</f>
        <v>20190312150904209</v>
      </c>
      <c r="B9152" t="str">
        <f>"1552374544198957"</f>
        <v>1552374544198957</v>
      </c>
      <c r="C9152" t="s">
        <v>40</v>
      </c>
      <c r="D9152">
        <v>4.8913880000000001</v>
      </c>
      <c r="E9152">
        <v>0.54462369999999904</v>
      </c>
      <c r="F9152" t="s">
        <v>41</v>
      </c>
      <c r="G9152">
        <v>-300.8109</v>
      </c>
      <c r="H9152">
        <v>1.052084</v>
      </c>
      <c r="I9152">
        <v>-11.252700000000001</v>
      </c>
      <c r="J9152">
        <v>-300.67880000000002</v>
      </c>
      <c r="K9152">
        <v>1.110387</v>
      </c>
      <c r="L9152">
        <v>-10.567080000000001</v>
      </c>
      <c r="M9152">
        <v>-0.1018836</v>
      </c>
      <c r="N9152">
        <v>0</v>
      </c>
      <c r="O9152">
        <v>-0.99471160000000003</v>
      </c>
      <c r="P9152">
        <v>-5.4189279999999999E-2</v>
      </c>
      <c r="Q9152">
        <v>3.6668949999999999E-2</v>
      </c>
      <c r="R9152">
        <v>-0.99785749999999995</v>
      </c>
      <c r="S9152">
        <v>-0.51760859999999997</v>
      </c>
      <c r="T9152">
        <v>-0.19801589999999999</v>
      </c>
      <c r="U9152">
        <v>-2.9851070000000002</v>
      </c>
      <c r="V9152">
        <v>-4.7753209999999997E-2</v>
      </c>
      <c r="W9152">
        <v>4.964963E-2</v>
      </c>
      <c r="X9152">
        <v>0.99762450000000003</v>
      </c>
      <c r="Y9152">
        <v>6.92001E-2</v>
      </c>
      <c r="Z9152">
        <v>6.51119E-2</v>
      </c>
      <c r="AA9152">
        <v>0.99547560000000002</v>
      </c>
      <c r="AB9152">
        <v>20</v>
      </c>
      <c r="AC9152">
        <v>-0.13209999999997901</v>
      </c>
      <c r="AD9152">
        <v>-5.8303000000000001E-2</v>
      </c>
      <c r="AE9152">
        <v>-0.68562000000000001</v>
      </c>
      <c r="AF9152">
        <v>6.1126952631947902E-2</v>
      </c>
      <c r="AG9152">
        <v>-5.8303000000000001E-2</v>
      </c>
      <c r="AH9152">
        <v>0.69069577827119</v>
      </c>
      <c r="AI9152">
        <v>94.806314885354595</v>
      </c>
      <c r="AJ9152">
        <v>84.942468947219496</v>
      </c>
      <c r="AK9152">
        <v>0.69584222512629501</v>
      </c>
      <c r="AL9152">
        <v>87.154115843448096</v>
      </c>
      <c r="AM9152">
        <v>92.740480614576001</v>
      </c>
      <c r="AN9152">
        <v>1.00000004891234</v>
      </c>
    </row>
    <row r="9153" spans="1:40" x14ac:dyDescent="0.25">
      <c r="A9153" t="str">
        <f>"20190312150904233"</f>
        <v>20190312150904233</v>
      </c>
      <c r="B9153" t="str">
        <f>"1552374544228236"</f>
        <v>1552374544228236</v>
      </c>
      <c r="C9153" t="s">
        <v>40</v>
      </c>
      <c r="D9153">
        <v>4.9041699999999997</v>
      </c>
      <c r="E9153">
        <v>0.54456110000000002</v>
      </c>
      <c r="F9153" t="s">
        <v>41</v>
      </c>
      <c r="G9153">
        <v>-300.82990000000001</v>
      </c>
      <c r="H9153">
        <v>1.0540320000000001</v>
      </c>
      <c r="I9153">
        <v>-11.43698</v>
      </c>
      <c r="J9153">
        <v>-300.70069999999998</v>
      </c>
      <c r="K9153">
        <v>1.110473</v>
      </c>
      <c r="L9153">
        <v>-10.77698</v>
      </c>
      <c r="M9153">
        <v>-0.1021484</v>
      </c>
      <c r="N9153">
        <v>0</v>
      </c>
      <c r="O9153">
        <v>-0.99468420000000002</v>
      </c>
      <c r="P9153">
        <v>-5.4149629999999997E-2</v>
      </c>
      <c r="Q9153">
        <v>3.5976199999999903E-2</v>
      </c>
      <c r="R9153">
        <v>-0.99788449999999995</v>
      </c>
      <c r="S9153">
        <v>-0.51788329999999905</v>
      </c>
      <c r="T9153">
        <v>-0.1933829</v>
      </c>
      <c r="U9153">
        <v>-2.9854129999999999</v>
      </c>
      <c r="V9153">
        <v>-4.807165E-2</v>
      </c>
      <c r="W9153">
        <v>4.8963819999999998E-2</v>
      </c>
      <c r="X9153">
        <v>0.9976431</v>
      </c>
      <c r="Y9153">
        <v>6.9023180000000003E-2</v>
      </c>
      <c r="Z9153">
        <v>6.358569E-2</v>
      </c>
      <c r="AA9153">
        <v>0.99558659999999999</v>
      </c>
      <c r="AB9153">
        <v>20</v>
      </c>
      <c r="AC9153">
        <v>-0.12920000000002499</v>
      </c>
      <c r="AD9153">
        <v>-5.6440999999999901E-2</v>
      </c>
      <c r="AE9153">
        <v>-0.66</v>
      </c>
      <c r="AF9153">
        <v>6.0673086724065899E-2</v>
      </c>
      <c r="AG9153">
        <v>-5.6440999999999901E-2</v>
      </c>
      <c r="AH9153">
        <v>0.66506159650441499</v>
      </c>
      <c r="AI9153">
        <v>94.830864299985194</v>
      </c>
      <c r="AJ9153">
        <v>84.787376838971696</v>
      </c>
      <c r="AK9153">
        <v>0.67020425026899699</v>
      </c>
      <c r="AL9153">
        <v>87.193457707885102</v>
      </c>
      <c r="AM9153">
        <v>92.758675886502999</v>
      </c>
      <c r="AN9153">
        <v>1.00000004709016</v>
      </c>
    </row>
    <row r="9154" spans="1:40" x14ac:dyDescent="0.25">
      <c r="A9154" t="str">
        <f>"20190312150904266"</f>
        <v>20190312150904266</v>
      </c>
      <c r="B9154" t="str">
        <f>"1552374544258492"</f>
        <v>1552374544258492</v>
      </c>
      <c r="C9154" t="s">
        <v>40</v>
      </c>
      <c r="D9154">
        <v>4.8345379999999896</v>
      </c>
      <c r="E9154">
        <v>0.54453209999999996</v>
      </c>
      <c r="F9154" t="s">
        <v>42</v>
      </c>
      <c r="G9154">
        <v>-303.63339999999999</v>
      </c>
      <c r="H9154" s="1">
        <v>-2.1265720000000002E-6</v>
      </c>
      <c r="I9154">
        <v>-27.707319999999999</v>
      </c>
      <c r="J9154">
        <v>-300.73070000000001</v>
      </c>
      <c r="K9154">
        <v>1.110598</v>
      </c>
      <c r="L9154">
        <v>-11.06659</v>
      </c>
      <c r="M9154">
        <v>-0.1022315</v>
      </c>
      <c r="N9154">
        <v>0</v>
      </c>
      <c r="O9154">
        <v>-0.99467559999999999</v>
      </c>
      <c r="P9154">
        <v>-5.4555960000000001E-2</v>
      </c>
      <c r="Q9154">
        <v>3.4279280000000002E-2</v>
      </c>
      <c r="R9154">
        <v>-0.99792270000000005</v>
      </c>
      <c r="S9154">
        <v>-0.51712040000000004</v>
      </c>
      <c r="T9154">
        <v>-0.1958116</v>
      </c>
      <c r="U9154">
        <v>-2.9853519999999998</v>
      </c>
      <c r="V9154">
        <v>-4.7768709999999999E-2</v>
      </c>
      <c r="W9154">
        <v>4.7273959999999997E-2</v>
      </c>
      <c r="X9154">
        <v>0.99773909999999999</v>
      </c>
      <c r="Y9154">
        <v>6.8687559999999995E-2</v>
      </c>
      <c r="Z9154">
        <v>6.4383540000000003E-2</v>
      </c>
      <c r="AA9154">
        <v>0.99555850000000001</v>
      </c>
      <c r="AB9154">
        <v>20</v>
      </c>
      <c r="AC9154">
        <v>-2.9026999999999799</v>
      </c>
      <c r="AD9154">
        <v>-1.110600126572</v>
      </c>
      <c r="AE9154">
        <v>-16.640730000000001</v>
      </c>
      <c r="AF9154">
        <v>1.18103317685693</v>
      </c>
      <c r="AG9154">
        <v>-1.110600126572</v>
      </c>
      <c r="AH9154">
        <v>16.777775809049999</v>
      </c>
      <c r="AI9154">
        <v>93.777831840508696</v>
      </c>
      <c r="AJ9154">
        <v>85.973436525337902</v>
      </c>
      <c r="AK9154">
        <v>16.855919823751002</v>
      </c>
      <c r="AL9154">
        <v>87.2903917048138</v>
      </c>
      <c r="AM9154">
        <v>92.741054385652603</v>
      </c>
      <c r="AN9154">
        <v>0.99999999430897701</v>
      </c>
    </row>
    <row r="9155" spans="1:40" x14ac:dyDescent="0.25">
      <c r="A9155" t="str">
        <f>"20190312150904287"</f>
        <v>20190312150904287</v>
      </c>
      <c r="B9155" t="str">
        <f>"1552374544278988"</f>
        <v>1552374544278988</v>
      </c>
      <c r="C9155" t="s">
        <v>40</v>
      </c>
      <c r="D9155">
        <v>4.8305769999999999</v>
      </c>
      <c r="E9155">
        <v>0.54448459999999999</v>
      </c>
      <c r="F9155" t="s">
        <v>41</v>
      </c>
      <c r="G9155">
        <v>-300.88560000000001</v>
      </c>
      <c r="H9155">
        <v>1.0516669999999999</v>
      </c>
      <c r="I9155">
        <v>-11.958780000000001</v>
      </c>
      <c r="J9155">
        <v>-300.75020000000001</v>
      </c>
      <c r="K9155">
        <v>1.1106929999999999</v>
      </c>
      <c r="L9155">
        <v>-11.257199999999999</v>
      </c>
      <c r="M9155">
        <v>-0.1020595</v>
      </c>
      <c r="N9155">
        <v>0</v>
      </c>
      <c r="O9155">
        <v>-0.99469300000000005</v>
      </c>
      <c r="P9155">
        <v>-5.5022960000000003E-2</v>
      </c>
      <c r="Q9155">
        <v>3.43129E-2</v>
      </c>
      <c r="R9155">
        <v>-0.99789539999999999</v>
      </c>
      <c r="S9155">
        <v>-0.51827999999999996</v>
      </c>
      <c r="T9155">
        <v>-0.1971444</v>
      </c>
      <c r="U9155">
        <v>-2.98468</v>
      </c>
      <c r="V9155">
        <v>-4.7140139999999997E-2</v>
      </c>
      <c r="W9155">
        <v>4.7307769999999999E-2</v>
      </c>
      <c r="X9155">
        <v>0.99776739999999997</v>
      </c>
      <c r="Y9155">
        <v>6.9268179999999999E-2</v>
      </c>
      <c r="Z9155">
        <v>6.4832490000000007E-2</v>
      </c>
      <c r="AA9155">
        <v>0.99548919999999996</v>
      </c>
      <c r="AB9155">
        <v>20</v>
      </c>
      <c r="AC9155">
        <v>-0.13540000000000399</v>
      </c>
      <c r="AD9155">
        <v>-5.9026000000000002E-2</v>
      </c>
      <c r="AE9155">
        <v>-0.70158000000000098</v>
      </c>
      <c r="AF9155">
        <v>6.2656303064292707E-2</v>
      </c>
      <c r="AG9155">
        <v>-5.9026000000000002E-2</v>
      </c>
      <c r="AH9155">
        <v>0.70691186929332095</v>
      </c>
      <c r="AI9155">
        <v>94.754480144322599</v>
      </c>
      <c r="AJ9155">
        <v>84.934891973936004</v>
      </c>
      <c r="AK9155">
        <v>0.71213360539821602</v>
      </c>
      <c r="AL9155">
        <v>87.288452383393405</v>
      </c>
      <c r="AM9155">
        <v>92.704963229191193</v>
      </c>
      <c r="AN9155">
        <v>1.0000000012021699</v>
      </c>
    </row>
    <row r="9156" spans="1:40" x14ac:dyDescent="0.25">
      <c r="A9156" t="str">
        <f>"20190312150904309"</f>
        <v>20190312150904309</v>
      </c>
      <c r="B9156" t="str">
        <f>"1552374544298508"</f>
        <v>1552374544298508</v>
      </c>
      <c r="C9156" t="s">
        <v>40</v>
      </c>
      <c r="D9156">
        <v>4.8451740000000001</v>
      </c>
      <c r="E9156">
        <v>0.54446269999999997</v>
      </c>
      <c r="F9156" t="s">
        <v>41</v>
      </c>
      <c r="G9156">
        <v>-300.90359999999998</v>
      </c>
      <c r="H9156">
        <v>1.0535509999999999</v>
      </c>
      <c r="I9156">
        <v>-12.13686</v>
      </c>
      <c r="J9156">
        <v>-300.76990000000001</v>
      </c>
      <c r="K9156">
        <v>1.110798</v>
      </c>
      <c r="L9156">
        <v>-11.45172</v>
      </c>
      <c r="M9156">
        <v>-0.1017294</v>
      </c>
      <c r="N9156">
        <v>0</v>
      </c>
      <c r="O9156">
        <v>-0.99472649999999996</v>
      </c>
      <c r="P9156">
        <v>-5.5116119999999998E-2</v>
      </c>
      <c r="Q9156">
        <v>3.3513340000000003E-2</v>
      </c>
      <c r="R9156">
        <v>-0.99791759999999996</v>
      </c>
      <c r="S9156">
        <v>-0.51940920000000002</v>
      </c>
      <c r="T9156">
        <v>-0.19389960000000001</v>
      </c>
      <c r="U9156">
        <v>-2.9843440000000001</v>
      </c>
      <c r="V9156">
        <v>-4.6729399999999997E-2</v>
      </c>
      <c r="W9156">
        <v>4.6507569999999998E-2</v>
      </c>
      <c r="X9156">
        <v>0.9978243</v>
      </c>
      <c r="Y9156">
        <v>6.9995399999999999E-2</v>
      </c>
      <c r="Z9156">
        <v>6.3776479999999997E-2</v>
      </c>
      <c r="AA9156">
        <v>0.99550649999999996</v>
      </c>
      <c r="AB9156">
        <v>20</v>
      </c>
      <c r="AC9156">
        <v>-0.133699999999976</v>
      </c>
      <c r="AD9156">
        <v>-5.7246999999999798E-2</v>
      </c>
      <c r="AE9156">
        <v>-0.68513999999999997</v>
      </c>
      <c r="AF9156">
        <v>6.2878561742615705E-2</v>
      </c>
      <c r="AG9156">
        <v>-5.7246999999999798E-2</v>
      </c>
      <c r="AH9156">
        <v>0.69054318586236896</v>
      </c>
      <c r="AI9156">
        <v>94.719626968772204</v>
      </c>
      <c r="AJ9156">
        <v>84.797184956668005</v>
      </c>
      <c r="AK9156">
        <v>0.69575917103317497</v>
      </c>
      <c r="AL9156">
        <v>87.334350887351704</v>
      </c>
      <c r="AM9156">
        <v>92.681276294596699</v>
      </c>
      <c r="AN9156">
        <v>0.99999996228107602</v>
      </c>
    </row>
    <row r="9157" spans="1:40" x14ac:dyDescent="0.25">
      <c r="A9157" t="str">
        <f>"20190312150904331"</f>
        <v>20190312150904331</v>
      </c>
      <c r="B9157" t="str">
        <f>"1552374544328763"</f>
        <v>1552374544328763</v>
      </c>
      <c r="C9157" t="s">
        <v>40</v>
      </c>
      <c r="D9157">
        <v>4.8636839999999903</v>
      </c>
      <c r="E9157">
        <v>0.54449479999999995</v>
      </c>
      <c r="F9157" t="s">
        <v>42</v>
      </c>
      <c r="G9157">
        <v>-303.76179999999999</v>
      </c>
      <c r="H9157" s="1">
        <v>-1.758648E-6</v>
      </c>
      <c r="I9157">
        <v>-28.64462</v>
      </c>
      <c r="J9157">
        <v>-300.78949999999998</v>
      </c>
      <c r="K9157">
        <v>1.1109119999999999</v>
      </c>
      <c r="L9157">
        <v>-11.64838</v>
      </c>
      <c r="M9157">
        <v>-0.1012122</v>
      </c>
      <c r="N9157">
        <v>0</v>
      </c>
      <c r="O9157">
        <v>-0.99477919999999997</v>
      </c>
      <c r="P9157">
        <v>-5.4500609999999998E-2</v>
      </c>
      <c r="Q9157">
        <v>3.4483050000000001E-2</v>
      </c>
      <c r="R9157">
        <v>-0.99791819999999998</v>
      </c>
      <c r="S9157">
        <v>-0.5192871</v>
      </c>
      <c r="T9157">
        <v>-0.19279489999999999</v>
      </c>
      <c r="U9157">
        <v>-2.98407</v>
      </c>
      <c r="V9157">
        <v>-4.6836709999999997E-2</v>
      </c>
      <c r="W9157">
        <v>4.7473050000000003E-2</v>
      </c>
      <c r="X9157">
        <v>0.99777380000000004</v>
      </c>
      <c r="Y9157">
        <v>7.0493860000000005E-2</v>
      </c>
      <c r="Z9157">
        <v>6.3424449999999993E-2</v>
      </c>
      <c r="AA9157">
        <v>0.99549379999999998</v>
      </c>
      <c r="AB9157">
        <v>20</v>
      </c>
      <c r="AC9157">
        <v>-2.9723000000000099</v>
      </c>
      <c r="AD9157">
        <v>-1.110913758648</v>
      </c>
      <c r="AE9157">
        <v>-16.99624</v>
      </c>
      <c r="AF9157">
        <v>1.23155540756238</v>
      </c>
      <c r="AG9157">
        <v>-1.110913758648</v>
      </c>
      <c r="AH9157">
        <v>17.138757762124101</v>
      </c>
      <c r="AI9157">
        <v>93.699144197913</v>
      </c>
      <c r="AJ9157">
        <v>85.889909234370194</v>
      </c>
      <c r="AK9157">
        <v>17.218823296898599</v>
      </c>
      <c r="AL9157">
        <v>87.2789717781192</v>
      </c>
      <c r="AM9157">
        <v>92.687560414025299</v>
      </c>
      <c r="AN9157">
        <v>0.99999996192318197</v>
      </c>
    </row>
    <row r="9158" spans="1:40" x14ac:dyDescent="0.25">
      <c r="A9158" t="str">
        <f>"20190312150904355"</f>
        <v>20190312150904355</v>
      </c>
      <c r="B9158" t="str">
        <f>"1552374544348284"</f>
        <v>1552374544348284</v>
      </c>
      <c r="C9158" t="s">
        <v>40</v>
      </c>
      <c r="D9158">
        <v>4.8719799999999998</v>
      </c>
      <c r="E9158">
        <v>0.54450240000000005</v>
      </c>
      <c r="F9158" t="s">
        <v>42</v>
      </c>
      <c r="G9158">
        <v>-303.81380000000001</v>
      </c>
      <c r="H9158" s="1">
        <v>-1.5829220000000001E-6</v>
      </c>
      <c r="I9158">
        <v>-29.08644</v>
      </c>
      <c r="J9158">
        <v>-300.80930000000001</v>
      </c>
      <c r="K9158">
        <v>1.1110370000000001</v>
      </c>
      <c r="L9158">
        <v>-11.85168</v>
      </c>
      <c r="M9158">
        <v>-0.1004625</v>
      </c>
      <c r="N9158">
        <v>0</v>
      </c>
      <c r="O9158">
        <v>-0.99485520000000005</v>
      </c>
      <c r="P9158">
        <v>-5.334183E-2</v>
      </c>
      <c r="Q9158">
        <v>3.4508070000000002E-2</v>
      </c>
      <c r="R9158">
        <v>-0.99798010000000004</v>
      </c>
      <c r="S9158">
        <v>-0.51760859999999997</v>
      </c>
      <c r="T9158">
        <v>-0.190135</v>
      </c>
      <c r="U9158">
        <v>-2.9845579999999998</v>
      </c>
      <c r="V9158">
        <v>-4.7257720000000003E-2</v>
      </c>
      <c r="W9158">
        <v>4.7491159999999998E-2</v>
      </c>
      <c r="X9158">
        <v>0.99775309999999995</v>
      </c>
      <c r="Y9158">
        <v>7.06841E-2</v>
      </c>
      <c r="Z9158">
        <v>6.2552549999999998E-2</v>
      </c>
      <c r="AA9158">
        <v>0.99553550000000002</v>
      </c>
      <c r="AB9158">
        <v>20</v>
      </c>
      <c r="AC9158">
        <v>-3.0045000000000002</v>
      </c>
      <c r="AD9158">
        <v>-1.111038582922</v>
      </c>
      <c r="AE9158">
        <v>-17.234760000000001</v>
      </c>
      <c r="AF9158">
        <v>1.25265039680969</v>
      </c>
      <c r="AG9158">
        <v>-1.111038582922</v>
      </c>
      <c r="AH9158">
        <v>17.379323399137199</v>
      </c>
      <c r="AI9158">
        <v>93.648431372673201</v>
      </c>
      <c r="AJ9158">
        <v>85.877418332453402</v>
      </c>
      <c r="AK9158">
        <v>17.4597944306675</v>
      </c>
      <c r="AL9158">
        <v>87.277933016739894</v>
      </c>
      <c r="AM9158">
        <v>92.711738872728901</v>
      </c>
      <c r="AN9158">
        <v>0.99999997546867603</v>
      </c>
    </row>
    <row r="9159" spans="1:40" x14ac:dyDescent="0.25">
      <c r="A9159" t="str">
        <f>"20190312150904376"</f>
        <v>20190312150904376</v>
      </c>
      <c r="B9159" t="str">
        <f>"1552374544368780"</f>
        <v>1552374544368780</v>
      </c>
      <c r="C9159" t="s">
        <v>40</v>
      </c>
      <c r="D9159">
        <v>4.8881360000000003</v>
      </c>
      <c r="E9159">
        <v>0.54458640000000003</v>
      </c>
      <c r="F9159" t="s">
        <v>42</v>
      </c>
      <c r="G9159">
        <v>-303.78820000000002</v>
      </c>
      <c r="H9159" s="1">
        <v>-1.5487159999999999E-6</v>
      </c>
      <c r="I9159">
        <v>-29.15034</v>
      </c>
      <c r="J9159">
        <v>-300.82769999999999</v>
      </c>
      <c r="K9159">
        <v>1.111156</v>
      </c>
      <c r="L9159">
        <v>-12.04251</v>
      </c>
      <c r="M9159">
        <v>-9.9548220000000007E-2</v>
      </c>
      <c r="N9159">
        <v>0</v>
      </c>
      <c r="O9159">
        <v>-0.99494669999999996</v>
      </c>
      <c r="P9159">
        <v>-5.107155E-2</v>
      </c>
      <c r="Q9159">
        <v>3.3194979999999999E-2</v>
      </c>
      <c r="R9159">
        <v>-0.99814309999999995</v>
      </c>
      <c r="S9159">
        <v>-0.51406859999999999</v>
      </c>
      <c r="T9159">
        <v>-0.19173190000000001</v>
      </c>
      <c r="U9159">
        <v>-2.9852289999999999</v>
      </c>
      <c r="V9159">
        <v>-4.8628049999999999E-2</v>
      </c>
      <c r="W9159">
        <v>4.6169380000000003E-2</v>
      </c>
      <c r="X9159">
        <v>0.99774929999999995</v>
      </c>
      <c r="Y9159">
        <v>7.0411020000000005E-2</v>
      </c>
      <c r="Z9159">
        <v>6.3077519999999998E-2</v>
      </c>
      <c r="AA9159">
        <v>0.99552169999999895</v>
      </c>
      <c r="AB9159">
        <v>20</v>
      </c>
      <c r="AC9159">
        <v>-2.9605000000000201</v>
      </c>
      <c r="AD9159">
        <v>-1.1111575487159999</v>
      </c>
      <c r="AE9159">
        <v>-17.10783</v>
      </c>
      <c r="AF9159">
        <v>1.237523317598</v>
      </c>
      <c r="AG9159">
        <v>-1.1111575487159999</v>
      </c>
      <c r="AH9159">
        <v>17.2469327752688</v>
      </c>
      <c r="AI9159">
        <v>93.676838405715301</v>
      </c>
      <c r="AJ9159">
        <v>85.895875899843702</v>
      </c>
      <c r="AK9159">
        <v>17.326939291586001</v>
      </c>
      <c r="AL9159">
        <v>87.353748637879306</v>
      </c>
      <c r="AM9159">
        <v>92.790259137072297</v>
      </c>
      <c r="AN9159">
        <v>0.999999982273438</v>
      </c>
    </row>
    <row r="9160" spans="1:40" x14ac:dyDescent="0.25">
      <c r="A9160" t="str">
        <f>"20190312150904399"</f>
        <v>20190312150904399</v>
      </c>
      <c r="B9160" t="str">
        <f>"1552374544388300"</f>
        <v>1552374544388300</v>
      </c>
      <c r="C9160" t="s">
        <v>40</v>
      </c>
      <c r="D9160">
        <v>4.8606119999999997</v>
      </c>
      <c r="E9160">
        <v>0.54466490000000001</v>
      </c>
      <c r="F9160" t="s">
        <v>42</v>
      </c>
      <c r="G9160">
        <v>-303.72089999999997</v>
      </c>
      <c r="H9160" s="1">
        <v>-1.57755599999999E-6</v>
      </c>
      <c r="I9160">
        <v>-29.04139</v>
      </c>
      <c r="J9160">
        <v>-300.84589999999997</v>
      </c>
      <c r="K9160">
        <v>1.1112919999999999</v>
      </c>
      <c r="L9160">
        <v>-12.23785</v>
      </c>
      <c r="M9160">
        <v>-9.8402370000000003E-2</v>
      </c>
      <c r="N9160">
        <v>0</v>
      </c>
      <c r="O9160">
        <v>-0.99506079999999997</v>
      </c>
      <c r="P9160">
        <v>-4.7641549999999998E-2</v>
      </c>
      <c r="Q9160">
        <v>3.4457149999999999E-2</v>
      </c>
      <c r="R9160">
        <v>-0.99827030000000005</v>
      </c>
      <c r="S9160">
        <v>-0.50823969999999996</v>
      </c>
      <c r="T9160">
        <v>-0.19518779999999999</v>
      </c>
      <c r="U9160">
        <v>-2.9860530000000001</v>
      </c>
      <c r="V9160">
        <v>-5.0920489999999999E-2</v>
      </c>
      <c r="W9160">
        <v>4.7417319999999999E-2</v>
      </c>
      <c r="X9160">
        <v>0.99757640000000003</v>
      </c>
      <c r="Y9160">
        <v>6.9613640000000004E-2</v>
      </c>
      <c r="Z9160">
        <v>6.4215649999999999E-2</v>
      </c>
      <c r="AA9160">
        <v>0.99550499999999997</v>
      </c>
      <c r="AB9160">
        <v>20</v>
      </c>
      <c r="AC9160">
        <v>-2.875</v>
      </c>
      <c r="AD9160">
        <v>-1.111293577556</v>
      </c>
      <c r="AE9160">
        <v>-16.803540000000002</v>
      </c>
      <c r="AF9160">
        <v>1.20228589688011</v>
      </c>
      <c r="AG9160">
        <v>-1.111293577556</v>
      </c>
      <c r="AH9160">
        <v>16.932950073639901</v>
      </c>
      <c r="AI9160">
        <v>93.745480884910094</v>
      </c>
      <c r="AJ9160">
        <v>85.938658294631196</v>
      </c>
      <c r="AK9160">
        <v>17.011915323964399</v>
      </c>
      <c r="AL9160">
        <v>87.282168538008193</v>
      </c>
      <c r="AM9160">
        <v>92.922081193375007</v>
      </c>
      <c r="AN9160">
        <v>0.99999998618739105</v>
      </c>
    </row>
    <row r="9161" spans="1:40" x14ac:dyDescent="0.25">
      <c r="A9161" t="str">
        <f>"20190312150904422"</f>
        <v>20190312150904422</v>
      </c>
      <c r="B9161" t="str">
        <f>"1552374544418556"</f>
        <v>1552374544418556</v>
      </c>
      <c r="C9161" t="s">
        <v>40</v>
      </c>
      <c r="D9161">
        <v>4.7523549999999997</v>
      </c>
      <c r="E9161">
        <v>0.54472149999999997</v>
      </c>
      <c r="F9161" t="s">
        <v>42</v>
      </c>
      <c r="G9161">
        <v>-303.73930000000001</v>
      </c>
      <c r="H9161" s="1">
        <v>-1.352609E-6</v>
      </c>
      <c r="I9161">
        <v>-29.577100000000002</v>
      </c>
      <c r="J9161">
        <v>-300.86419999999998</v>
      </c>
      <c r="K9161">
        <v>1.111416</v>
      </c>
      <c r="L9161">
        <v>-12.43866</v>
      </c>
      <c r="M9161">
        <v>-9.7016409999999997E-2</v>
      </c>
      <c r="N9161">
        <v>0</v>
      </c>
      <c r="O9161">
        <v>-0.99519679999999999</v>
      </c>
      <c r="P9161">
        <v>-4.3771480000000001E-2</v>
      </c>
      <c r="Q9161">
        <v>3.5604440000000001E-2</v>
      </c>
      <c r="R9161">
        <v>-0.99840700000000004</v>
      </c>
      <c r="S9161">
        <v>-0.49859619999999999</v>
      </c>
      <c r="T9161">
        <v>-0.19150510000000001</v>
      </c>
      <c r="U9161">
        <v>-2.9880070000000001</v>
      </c>
      <c r="V9161">
        <v>-5.3412380000000002E-2</v>
      </c>
      <c r="W9161">
        <v>4.8549460000000003E-2</v>
      </c>
      <c r="X9161">
        <v>0.99739160000000004</v>
      </c>
      <c r="Y9161">
        <v>6.7783789999999997E-2</v>
      </c>
      <c r="Z9161">
        <v>6.3002089999999997E-2</v>
      </c>
      <c r="AA9161">
        <v>0.99570879999999995</v>
      </c>
      <c r="AB9161">
        <v>20</v>
      </c>
      <c r="AC9161">
        <v>-2.87510000000003</v>
      </c>
      <c r="AD9161">
        <v>-1.1114173526090001</v>
      </c>
      <c r="AE9161">
        <v>-17.138439999999999</v>
      </c>
      <c r="AF9161">
        <v>1.1937999400978201</v>
      </c>
      <c r="AG9161">
        <v>-1.1114173526090001</v>
      </c>
      <c r="AH9161">
        <v>17.265912827378902</v>
      </c>
      <c r="AI9161">
        <v>93.674334675516405</v>
      </c>
      <c r="AJ9161">
        <v>86.044749396570793</v>
      </c>
      <c r="AK9161">
        <v>17.342783876624399</v>
      </c>
      <c r="AL9161">
        <v>87.2172268352614</v>
      </c>
      <c r="AM9161">
        <v>93.065379235781606</v>
      </c>
      <c r="AN9161">
        <v>0.99999996807705704</v>
      </c>
    </row>
    <row r="9162" spans="1:40" x14ac:dyDescent="0.25">
      <c r="A9162" t="str">
        <f>"20190312150904446"</f>
        <v>20190312150904446</v>
      </c>
      <c r="B9162" t="str">
        <f>"1552374544439052"</f>
        <v>1552374544439052</v>
      </c>
      <c r="C9162" t="s">
        <v>40</v>
      </c>
      <c r="D9162">
        <v>4.8254419999999998</v>
      </c>
      <c r="E9162">
        <v>0.54470569999999996</v>
      </c>
      <c r="F9162" t="s">
        <v>42</v>
      </c>
      <c r="G9162">
        <v>-303.78129999999999</v>
      </c>
      <c r="H9162" s="1">
        <v>-1.0369110000000001E-6</v>
      </c>
      <c r="I9162">
        <v>-30.339089999999999</v>
      </c>
      <c r="J9162">
        <v>-300.88260000000002</v>
      </c>
      <c r="K9162">
        <v>1.1115219999999999</v>
      </c>
      <c r="L9162">
        <v>-12.647030000000001</v>
      </c>
      <c r="M9162">
        <v>-9.5370849999999993E-2</v>
      </c>
      <c r="N9162">
        <v>0</v>
      </c>
      <c r="O9162">
        <v>-0.99535569999999896</v>
      </c>
      <c r="P9162">
        <v>-3.8219129999999997E-2</v>
      </c>
      <c r="Q9162">
        <v>3.578245E-2</v>
      </c>
      <c r="R9162">
        <v>-0.99862870000000004</v>
      </c>
      <c r="S9162">
        <v>-0.48727419999999999</v>
      </c>
      <c r="T9162">
        <v>-0.1856488</v>
      </c>
      <c r="U9162">
        <v>-2.9900509999999998</v>
      </c>
      <c r="V9162">
        <v>-5.7323270000000003E-2</v>
      </c>
      <c r="W9162">
        <v>4.870758E-2</v>
      </c>
      <c r="X9162">
        <v>0.99716680000000002</v>
      </c>
      <c r="Y9162">
        <v>6.5671389999999996E-2</v>
      </c>
      <c r="Z9162">
        <v>6.1079319999999999E-2</v>
      </c>
      <c r="AA9162">
        <v>0.99597020000000003</v>
      </c>
      <c r="AB9162">
        <v>20</v>
      </c>
      <c r="AC9162">
        <v>-2.8986999999999599</v>
      </c>
      <c r="AD9162">
        <v>-1.1115230369110001</v>
      </c>
      <c r="AE9162">
        <v>-17.692060000000001</v>
      </c>
      <c r="AF9162">
        <v>1.1934459378968001</v>
      </c>
      <c r="AG9162">
        <v>-1.1115230369110001</v>
      </c>
      <c r="AH9162">
        <v>17.819381113602699</v>
      </c>
      <c r="AI9162">
        <v>93.5613676860021</v>
      </c>
      <c r="AJ9162">
        <v>86.168360262666297</v>
      </c>
      <c r="AK9162">
        <v>17.893857603660699</v>
      </c>
      <c r="AL9162">
        <v>87.208156602366103</v>
      </c>
      <c r="AM9162">
        <v>93.290092167483095</v>
      </c>
      <c r="AN9162">
        <v>1.00000000632759</v>
      </c>
    </row>
    <row r="9163" spans="1:40" x14ac:dyDescent="0.25">
      <c r="A9163" t="str">
        <f>"20190312150904469"</f>
        <v>20190312150904469</v>
      </c>
      <c r="B9163" t="str">
        <f>"1552374544458572"</f>
        <v>1552374544458572</v>
      </c>
      <c r="C9163" t="s">
        <v>40</v>
      </c>
      <c r="D9163">
        <v>4.9935460000000003</v>
      </c>
      <c r="E9163">
        <v>0.54466349999999997</v>
      </c>
      <c r="F9163" t="s">
        <v>42</v>
      </c>
      <c r="G9163">
        <v>-303.6825</v>
      </c>
      <c r="H9163" s="1">
        <v>-4.9267669999999997E-6</v>
      </c>
      <c r="I9163">
        <v>-30.455190000000002</v>
      </c>
      <c r="J9163">
        <v>-300.89949999999999</v>
      </c>
      <c r="K9163">
        <v>1.111591</v>
      </c>
      <c r="L9163">
        <v>-12.8454</v>
      </c>
      <c r="M9163">
        <v>-9.3628920000000004E-2</v>
      </c>
      <c r="N9163">
        <v>0</v>
      </c>
      <c r="O9163">
        <v>-0.99552099999999999</v>
      </c>
      <c r="P9163">
        <v>-3.3035450000000001E-2</v>
      </c>
      <c r="Q9163">
        <v>3.6331639999999998E-2</v>
      </c>
      <c r="R9163">
        <v>-0.99879379999999995</v>
      </c>
      <c r="S9163">
        <v>-0.47055049999999998</v>
      </c>
      <c r="T9163">
        <v>-0.18680069999999999</v>
      </c>
      <c r="U9163">
        <v>-2.9927980000000001</v>
      </c>
      <c r="V9163">
        <v>-6.0764329999999998E-2</v>
      </c>
      <c r="W9163">
        <v>4.9239570000000003E-2</v>
      </c>
      <c r="X9163">
        <v>0.99693690000000001</v>
      </c>
      <c r="Y9163">
        <v>6.1841899999999998E-2</v>
      </c>
      <c r="Z9163">
        <v>6.1451060000000002E-2</v>
      </c>
      <c r="AA9163">
        <v>0.99619239999999998</v>
      </c>
      <c r="AB9163">
        <v>20</v>
      </c>
      <c r="AC9163">
        <v>-2.7830000000000101</v>
      </c>
      <c r="AD9163">
        <v>-1.1115959267669999</v>
      </c>
      <c r="AE9163">
        <v>-17.60979</v>
      </c>
      <c r="AF9163">
        <v>1.11750126035897</v>
      </c>
      <c r="AG9163">
        <v>-1.1115959267669999</v>
      </c>
      <c r="AH9163">
        <v>17.724108699762901</v>
      </c>
      <c r="AI9163">
        <v>93.581603176877493</v>
      </c>
      <c r="AJ9163">
        <v>86.392288855033001</v>
      </c>
      <c r="AK9163">
        <v>17.794057540997301</v>
      </c>
      <c r="AL9163">
        <v>87.177639214531794</v>
      </c>
      <c r="AM9163">
        <v>93.487921752641199</v>
      </c>
      <c r="AN9163">
        <v>1.0000000108178699</v>
      </c>
    </row>
    <row r="9164" spans="1:40" x14ac:dyDescent="0.25">
      <c r="A9164" t="str">
        <f>"20190312150904489"</f>
        <v>20190312150904489</v>
      </c>
      <c r="B9164" t="str">
        <f>"1552374544479069"</f>
        <v>1552374544479069</v>
      </c>
      <c r="C9164" t="s">
        <v>40</v>
      </c>
      <c r="D9164">
        <v>4.9731899999999998</v>
      </c>
      <c r="E9164">
        <v>0.55682749999999903</v>
      </c>
      <c r="F9164" t="s">
        <v>42</v>
      </c>
      <c r="G9164">
        <v>-303.63330000000002</v>
      </c>
      <c r="H9164" s="1">
        <v>-4.7890780000000003E-6</v>
      </c>
      <c r="I9164">
        <v>-30.834140000000001</v>
      </c>
      <c r="J9164">
        <v>-300.91449999999998</v>
      </c>
      <c r="K9164">
        <v>1.1116299999999999</v>
      </c>
      <c r="L9164">
        <v>-13.02533</v>
      </c>
      <c r="M9164">
        <v>-9.1950039999999997E-2</v>
      </c>
      <c r="N9164">
        <v>0</v>
      </c>
      <c r="O9164">
        <v>-0.99567760000000005</v>
      </c>
      <c r="P9164">
        <v>-2.806898E-2</v>
      </c>
      <c r="Q9164">
        <v>3.7015050000000001E-2</v>
      </c>
      <c r="R9164">
        <v>-0.99892080000000005</v>
      </c>
      <c r="S9164">
        <v>-0.4552002</v>
      </c>
      <c r="T9164">
        <v>-0.18509149999999999</v>
      </c>
      <c r="U9164">
        <v>-2.9952999999999999</v>
      </c>
      <c r="V9164">
        <v>-6.4046729999999996E-2</v>
      </c>
      <c r="W9164">
        <v>4.9908229999999998E-2</v>
      </c>
      <c r="X9164">
        <v>0.99669810000000003</v>
      </c>
      <c r="Y9164">
        <v>5.8415950000000001E-2</v>
      </c>
      <c r="Z9164">
        <v>6.088503E-2</v>
      </c>
      <c r="AA9164">
        <v>0.99643389999999998</v>
      </c>
      <c r="AB9164">
        <v>20</v>
      </c>
      <c r="AC9164">
        <v>-2.7188000000000399</v>
      </c>
      <c r="AD9164">
        <v>-1.1116347890779901</v>
      </c>
      <c r="AE9164">
        <v>-17.808810000000001</v>
      </c>
      <c r="AF9164">
        <v>1.0655618800059501</v>
      </c>
      <c r="AG9164">
        <v>-1.1116347890779901</v>
      </c>
      <c r="AH9164">
        <v>17.9151540667288</v>
      </c>
      <c r="AI9164">
        <v>93.544401320548005</v>
      </c>
      <c r="AJ9164">
        <v>86.5961578261916</v>
      </c>
      <c r="AK9164">
        <v>17.981209616125401</v>
      </c>
      <c r="AL9164">
        <v>87.139280505901894</v>
      </c>
      <c r="AM9164">
        <v>93.676709066955794</v>
      </c>
      <c r="AN9164">
        <v>0.99999995879451697</v>
      </c>
    </row>
    <row r="9165" spans="1:40" x14ac:dyDescent="0.25">
      <c r="A9165" t="str">
        <f>"20190312150904512"</f>
        <v>20190312150904512</v>
      </c>
      <c r="B9165" t="str">
        <f>"1552374544508349"</f>
        <v>1552374544508349</v>
      </c>
      <c r="C9165" t="s">
        <v>40</v>
      </c>
      <c r="D9165">
        <v>4.8897950000000003</v>
      </c>
      <c r="E9165">
        <v>0.55957539999999995</v>
      </c>
      <c r="F9165" t="s">
        <v>41</v>
      </c>
      <c r="G9165">
        <v>-301.06729999999999</v>
      </c>
      <c r="H9165">
        <v>1.041752</v>
      </c>
      <c r="I9165">
        <v>-13.877529999999901</v>
      </c>
      <c r="J9165">
        <v>-300.93029999999999</v>
      </c>
      <c r="K9165">
        <v>1.1116490000000001</v>
      </c>
      <c r="L9165">
        <v>-13.221590000000001</v>
      </c>
      <c r="M9165">
        <v>-9.0034530000000002E-2</v>
      </c>
      <c r="N9165">
        <v>0</v>
      </c>
      <c r="O9165">
        <v>-0.99585250000000003</v>
      </c>
      <c r="P9165">
        <v>-2.3580449999999999E-2</v>
      </c>
      <c r="Q9165">
        <v>3.5807560000000002E-2</v>
      </c>
      <c r="R9165">
        <v>-0.99908070000000004</v>
      </c>
      <c r="S9165">
        <v>-0.53701779999999999</v>
      </c>
      <c r="T9165">
        <v>-0.2458465</v>
      </c>
      <c r="U9165">
        <v>-2.9972530000000002</v>
      </c>
      <c r="V9165">
        <v>-6.6611690000000001E-2</v>
      </c>
      <c r="W9165">
        <v>4.8692340000000001E-2</v>
      </c>
      <c r="X9165">
        <v>0.99659010000000003</v>
      </c>
      <c r="Y9165">
        <v>8.6440639999999999E-2</v>
      </c>
      <c r="Z9165">
        <v>8.0464800000000003E-2</v>
      </c>
      <c r="AA9165">
        <v>0.99300219999999995</v>
      </c>
      <c r="AB9165">
        <v>20</v>
      </c>
      <c r="AC9165">
        <v>-0.13700000000000001</v>
      </c>
      <c r="AD9165">
        <v>-6.9896999999999807E-2</v>
      </c>
      <c r="AE9165">
        <v>-0.65593999999999897</v>
      </c>
      <c r="AF9165">
        <v>7.65483047391919E-2</v>
      </c>
      <c r="AG9165">
        <v>-6.9896999999999807E-2</v>
      </c>
      <c r="AH9165">
        <v>0.65844714950914396</v>
      </c>
      <c r="AI9165">
        <v>96.019261449407693</v>
      </c>
      <c r="AJ9165">
        <v>83.368800465308297</v>
      </c>
      <c r="AK9165">
        <v>0.66655673596788501</v>
      </c>
      <c r="AL9165">
        <v>87.209030654147398</v>
      </c>
      <c r="AM9165">
        <v>93.823939592416494</v>
      </c>
      <c r="AN9165">
        <v>0.99999994431866901</v>
      </c>
    </row>
    <row r="9166" spans="1:40" x14ac:dyDescent="0.25">
      <c r="A9166" t="str">
        <f>"20190312150904535"</f>
        <v>20190312150904535</v>
      </c>
      <c r="B9166" t="str">
        <f>"1552374544528844"</f>
        <v>1552374544528844</v>
      </c>
      <c r="C9166" t="s">
        <v>40</v>
      </c>
      <c r="D9166">
        <v>4.9049189999999996</v>
      </c>
      <c r="E9166">
        <v>0.56047480000000005</v>
      </c>
      <c r="F9166" t="s">
        <v>41</v>
      </c>
      <c r="G9166">
        <v>-301.08109999999999</v>
      </c>
      <c r="H9166">
        <v>1.0398309999999999</v>
      </c>
      <c r="I9166">
        <v>-14.05067</v>
      </c>
      <c r="J9166">
        <v>-300.94639999999998</v>
      </c>
      <c r="K9166">
        <v>1.1116520000000001</v>
      </c>
      <c r="L9166">
        <v>-13.42609</v>
      </c>
      <c r="M9166">
        <v>-8.7973629999999997E-2</v>
      </c>
      <c r="N9166">
        <v>0</v>
      </c>
      <c r="O9166">
        <v>-0.9960367</v>
      </c>
      <c r="P9166">
        <v>-1.8025909999999999E-2</v>
      </c>
      <c r="Q9166">
        <v>3.450193E-2</v>
      </c>
      <c r="R9166">
        <v>-0.99924250000000003</v>
      </c>
      <c r="S9166">
        <v>-0.54580689999999998</v>
      </c>
      <c r="T9166">
        <v>-0.25975530000000002</v>
      </c>
      <c r="U9166">
        <v>-2.9991759999999998</v>
      </c>
      <c r="V9166">
        <v>-7.0092849999999998E-2</v>
      </c>
      <c r="W9166">
        <v>4.7375880000000002E-2</v>
      </c>
      <c r="X9166">
        <v>0.99641480000000004</v>
      </c>
      <c r="Y9166">
        <v>9.1142570000000006E-2</v>
      </c>
      <c r="Z9166">
        <v>8.4915389999999993E-2</v>
      </c>
      <c r="AA9166">
        <v>0.99221090000000001</v>
      </c>
      <c r="AB9166">
        <v>20</v>
      </c>
      <c r="AC9166">
        <v>-0.13470000000000901</v>
      </c>
      <c r="AD9166">
        <v>-7.1821000000000093E-2</v>
      </c>
      <c r="AE9166">
        <v>-0.62458000000000102</v>
      </c>
      <c r="AF9166">
        <v>7.8237816897885004E-2</v>
      </c>
      <c r="AG9166">
        <v>-7.1821000000000093E-2</v>
      </c>
      <c r="AH9166">
        <v>0.626098141375107</v>
      </c>
      <c r="AI9166">
        <v>96.493844110408403</v>
      </c>
      <c r="AJ9166">
        <v>82.877186788249105</v>
      </c>
      <c r="AK9166">
        <v>0.63504196291844395</v>
      </c>
      <c r="AL9166">
        <v>87.284545496151907</v>
      </c>
      <c r="AM9166">
        <v>94.023846037020405</v>
      </c>
      <c r="AN9166">
        <v>0.99999996764296795</v>
      </c>
    </row>
    <row r="9167" spans="1:40" x14ac:dyDescent="0.25">
      <c r="A9167" t="str">
        <f>"20190312150904557"</f>
        <v>20190312150904557</v>
      </c>
      <c r="B9167" t="str">
        <f>"1552374544548364"</f>
        <v>1552374544548364</v>
      </c>
      <c r="C9167" t="s">
        <v>40</v>
      </c>
      <c r="D9167">
        <v>4.8230969999999997</v>
      </c>
      <c r="E9167">
        <v>0.5618514</v>
      </c>
      <c r="F9167" t="s">
        <v>41</v>
      </c>
      <c r="G9167">
        <v>-301.08929999999998</v>
      </c>
      <c r="H9167">
        <v>1.0410189999999999</v>
      </c>
      <c r="I9167">
        <v>-14.2256</v>
      </c>
      <c r="J9167">
        <v>-300.96030000000002</v>
      </c>
      <c r="K9167">
        <v>1.1116469999999901</v>
      </c>
      <c r="L9167">
        <v>-13.60913</v>
      </c>
      <c r="M9167">
        <v>-8.6095729999999995E-2</v>
      </c>
      <c r="N9167">
        <v>0</v>
      </c>
      <c r="O9167">
        <v>-0.99620059999999999</v>
      </c>
      <c r="P9167">
        <v>-1.3149030000000001E-2</v>
      </c>
      <c r="Q9167">
        <v>3.3964939999999999E-2</v>
      </c>
      <c r="R9167">
        <v>-0.99933649999999996</v>
      </c>
      <c r="S9167">
        <v>-0.53607179999999999</v>
      </c>
      <c r="T9167">
        <v>-0.26529940000000002</v>
      </c>
      <c r="U9167">
        <v>-3.00177</v>
      </c>
      <c r="V9167">
        <v>-7.3078219999999999E-2</v>
      </c>
      <c r="W9167">
        <v>4.6830040000000003E-2</v>
      </c>
      <c r="X9167">
        <v>0.9962261</v>
      </c>
      <c r="Y9167">
        <v>8.9725139999999995E-2</v>
      </c>
      <c r="Z9167">
        <v>8.6692489999999997E-2</v>
      </c>
      <c r="AA9167">
        <v>0.99218640000000002</v>
      </c>
      <c r="AB9167">
        <v>20</v>
      </c>
      <c r="AC9167">
        <v>-0.12899999999996201</v>
      </c>
      <c r="AD9167">
        <v>-7.0627999999999594E-2</v>
      </c>
      <c r="AE9167">
        <v>-0.61647000000000096</v>
      </c>
      <c r="AF9167">
        <v>7.4504018007305897E-2</v>
      </c>
      <c r="AG9167">
        <v>-7.0627999999999594E-2</v>
      </c>
      <c r="AH9167">
        <v>0.61752236012874095</v>
      </c>
      <c r="AI9167">
        <v>96.478173436338395</v>
      </c>
      <c r="AJ9167">
        <v>83.120520840360399</v>
      </c>
      <c r="AK9167">
        <v>0.62599762646690904</v>
      </c>
      <c r="AL9167">
        <v>87.315854558778597</v>
      </c>
      <c r="AM9167">
        <v>94.195420668612201</v>
      </c>
      <c r="AN9167">
        <v>0.99999996060298901</v>
      </c>
    </row>
    <row r="9168" spans="1:40" x14ac:dyDescent="0.25">
      <c r="A9168" t="str">
        <f>"20190312150904578"</f>
        <v>20190312150904578</v>
      </c>
      <c r="B9168" t="str">
        <f>"1552374544568860"</f>
        <v>1552374544568860</v>
      </c>
      <c r="C9168" t="s">
        <v>40</v>
      </c>
      <c r="D9168">
        <v>4.8320410000000003</v>
      </c>
      <c r="E9168">
        <v>0.56291119999999994</v>
      </c>
      <c r="F9168" t="s">
        <v>41</v>
      </c>
      <c r="G9168">
        <v>-301.10070000000002</v>
      </c>
      <c r="H9168">
        <v>1.0419050000000001</v>
      </c>
      <c r="I9168">
        <v>-14.399940000000001</v>
      </c>
      <c r="J9168">
        <v>-300.9744</v>
      </c>
      <c r="K9168">
        <v>1.1116280000000001</v>
      </c>
      <c r="L9168">
        <v>-13.79959</v>
      </c>
      <c r="M9168">
        <v>-8.4129999999999996E-2</v>
      </c>
      <c r="N9168">
        <v>0</v>
      </c>
      <c r="O9168">
        <v>-0.99636849999999999</v>
      </c>
      <c r="P9168">
        <v>-7.9240549999999993E-3</v>
      </c>
      <c r="Q9168">
        <v>3.2102310000000002E-2</v>
      </c>
      <c r="R9168">
        <v>-0.99945309999999998</v>
      </c>
      <c r="S9168">
        <v>-0.53308109999999997</v>
      </c>
      <c r="T9168">
        <v>-0.26495869999999999</v>
      </c>
      <c r="U9168">
        <v>-3.0039669999999998</v>
      </c>
      <c r="V9168">
        <v>-7.6320819999999998E-2</v>
      </c>
      <c r="W9168">
        <v>4.4958989999999997E-2</v>
      </c>
      <c r="X9168">
        <v>0.99606919999999999</v>
      </c>
      <c r="Y9168">
        <v>9.0609319999999993E-2</v>
      </c>
      <c r="Z9168">
        <v>8.6545880000000006E-2</v>
      </c>
      <c r="AA9168">
        <v>0.99211879999999997</v>
      </c>
      <c r="AB9168">
        <v>20</v>
      </c>
      <c r="AC9168">
        <v>-0.12630000000001401</v>
      </c>
      <c r="AD9168">
        <v>-6.9723000000000201E-2</v>
      </c>
      <c r="AE9168">
        <v>-0.60034999999999805</v>
      </c>
      <c r="AF9168">
        <v>7.4379670598262407E-2</v>
      </c>
      <c r="AG9168">
        <v>-6.9723000000000201E-2</v>
      </c>
      <c r="AH9168">
        <v>0.60108407046993895</v>
      </c>
      <c r="AI9168">
        <v>96.566836066831698</v>
      </c>
      <c r="AJ9168">
        <v>82.945933237941006</v>
      </c>
      <c r="AK9168">
        <v>0.60966850984778298</v>
      </c>
      <c r="AL9168">
        <v>87.423171066866004</v>
      </c>
      <c r="AM9168">
        <v>94.381556326081594</v>
      </c>
      <c r="AN9168">
        <v>1.00000001476796</v>
      </c>
    </row>
    <row r="9169" spans="1:40" x14ac:dyDescent="0.25">
      <c r="A9169" t="str">
        <f>"20190312150904602"</f>
        <v>20190312150904602</v>
      </c>
      <c r="B9169" t="str">
        <f>"1552374544599116"</f>
        <v>1552374544599116</v>
      </c>
      <c r="C9169" t="s">
        <v>40</v>
      </c>
      <c r="D9169">
        <v>4.8499699999999999</v>
      </c>
      <c r="E9169">
        <v>0.56460109999999997</v>
      </c>
      <c r="F9169" t="s">
        <v>41</v>
      </c>
      <c r="G9169">
        <v>-301.11090000000002</v>
      </c>
      <c r="H9169">
        <v>1.047806</v>
      </c>
      <c r="I9169">
        <v>-14.577439999999999</v>
      </c>
      <c r="J9169">
        <v>-300.98910000000001</v>
      </c>
      <c r="K9169">
        <v>1.111602</v>
      </c>
      <c r="L9169">
        <v>-14.00394</v>
      </c>
      <c r="M9169">
        <v>-8.2024710000000001E-2</v>
      </c>
      <c r="N9169">
        <v>0</v>
      </c>
      <c r="O9169">
        <v>-0.99654410000000004</v>
      </c>
      <c r="P9169">
        <v>-1.5705560000000001E-3</v>
      </c>
      <c r="Q9169">
        <v>3.054076E-2</v>
      </c>
      <c r="R9169">
        <v>-0.99953250000000005</v>
      </c>
      <c r="S9169">
        <v>-0.52624510000000002</v>
      </c>
      <c r="T9169">
        <v>-0.2468148</v>
      </c>
      <c r="U9169">
        <v>-3.0054020000000001</v>
      </c>
      <c r="V9169">
        <v>-8.0547199999999999E-2</v>
      </c>
      <c r="W9169">
        <v>4.338554E-2</v>
      </c>
      <c r="X9169">
        <v>0.99580619999999997</v>
      </c>
      <c r="Y9169">
        <v>9.0528639999999994E-2</v>
      </c>
      <c r="Z9169">
        <v>8.0659289999999995E-2</v>
      </c>
      <c r="AA9169">
        <v>0.99262209999999995</v>
      </c>
      <c r="AB9169">
        <v>20</v>
      </c>
      <c r="AC9169">
        <v>-0.121800000000007</v>
      </c>
      <c r="AD9169">
        <v>-6.3795999999999894E-2</v>
      </c>
      <c r="AE9169">
        <v>-0.57349999999999901</v>
      </c>
      <c r="AF9169">
        <v>7.3474334050287499E-2</v>
      </c>
      <c r="AG9169">
        <v>-6.3795999999999894E-2</v>
      </c>
      <c r="AH9169">
        <v>0.57475339990344199</v>
      </c>
      <c r="AI9169">
        <v>96.283025820389696</v>
      </c>
      <c r="AJ9169">
        <v>82.715033380880101</v>
      </c>
      <c r="AK9169">
        <v>0.58293213848671899</v>
      </c>
      <c r="AL9169">
        <v>87.513411342926702</v>
      </c>
      <c r="AM9169">
        <v>94.624382923052494</v>
      </c>
      <c r="AN9169">
        <v>1.0000000722336799</v>
      </c>
    </row>
    <row r="9170" spans="1:40" x14ac:dyDescent="0.25">
      <c r="A9170" t="str">
        <f>"20190312150904624"</f>
        <v>20190312150904624</v>
      </c>
      <c r="B9170" t="str">
        <f>"1552374544618636"</f>
        <v>1552374544618636</v>
      </c>
      <c r="C9170" t="s">
        <v>40</v>
      </c>
      <c r="D9170">
        <v>4.8709670000000003</v>
      </c>
      <c r="E9170">
        <v>0.56557329999999995</v>
      </c>
      <c r="F9170" t="s">
        <v>41</v>
      </c>
      <c r="G9170">
        <v>-301.11939999999998</v>
      </c>
      <c r="H9170">
        <v>1.0538449999999999</v>
      </c>
      <c r="I9170">
        <v>-14.75657</v>
      </c>
      <c r="J9170">
        <v>-301.00259999999997</v>
      </c>
      <c r="K9170">
        <v>1.111583</v>
      </c>
      <c r="L9170">
        <v>-14.1976</v>
      </c>
      <c r="M9170">
        <v>-8.0041680000000004E-2</v>
      </c>
      <c r="N9170">
        <v>0</v>
      </c>
      <c r="O9170">
        <v>-0.99670539999999996</v>
      </c>
      <c r="P9170">
        <v>6.3503669999999896E-3</v>
      </c>
      <c r="Q9170">
        <v>2.943316E-2</v>
      </c>
      <c r="R9170">
        <v>-0.99954659999999995</v>
      </c>
      <c r="S9170">
        <v>-0.52059940000000005</v>
      </c>
      <c r="T9170">
        <v>-0.23088059999999999</v>
      </c>
      <c r="U9170">
        <v>-3.0076290000000001</v>
      </c>
      <c r="V9170">
        <v>-8.6456430000000001E-2</v>
      </c>
      <c r="W9170">
        <v>4.2259320000000003E-2</v>
      </c>
      <c r="X9170">
        <v>0.99535890000000005</v>
      </c>
      <c r="Y9170">
        <v>9.0646400000000002E-2</v>
      </c>
      <c r="Z9170">
        <v>7.5458029999999995E-2</v>
      </c>
      <c r="AA9170">
        <v>0.99302029999999997</v>
      </c>
      <c r="AB9170">
        <v>20</v>
      </c>
      <c r="AC9170">
        <v>-0.11680000000001101</v>
      </c>
      <c r="AD9170">
        <v>-5.7737999999999803E-2</v>
      </c>
      <c r="AE9170">
        <v>-0.55897000000000197</v>
      </c>
      <c r="AF9170">
        <v>7.0955059008516494E-2</v>
      </c>
      <c r="AG9170">
        <v>-5.7737999999999803E-2</v>
      </c>
      <c r="AH9170">
        <v>0.560792825888352</v>
      </c>
      <c r="AI9170">
        <v>95.832161922937104</v>
      </c>
      <c r="AJ9170">
        <v>82.788892954553603</v>
      </c>
      <c r="AK9170">
        <v>0.56820497235658296</v>
      </c>
      <c r="AL9170">
        <v>87.577997949011603</v>
      </c>
      <c r="AM9170">
        <v>94.964226527574993</v>
      </c>
      <c r="AN9170">
        <v>0.99999995211220705</v>
      </c>
    </row>
    <row r="9171" spans="1:40" x14ac:dyDescent="0.25">
      <c r="A9171" t="str">
        <f>"20190312150904647"</f>
        <v>20190312150904647</v>
      </c>
      <c r="B9171" t="str">
        <f>"1552374544639133"</f>
        <v>1552374544639133</v>
      </c>
      <c r="C9171" t="s">
        <v>40</v>
      </c>
      <c r="D9171">
        <v>4.7842209999999996</v>
      </c>
      <c r="E9171">
        <v>0.56557329999999995</v>
      </c>
      <c r="F9171" t="s">
        <v>41</v>
      </c>
      <c r="G9171">
        <v>-301.1268</v>
      </c>
      <c r="H9171">
        <v>1.055015</v>
      </c>
      <c r="I9171">
        <v>-14.937200000000001</v>
      </c>
      <c r="J9171">
        <v>-301.01600000000002</v>
      </c>
      <c r="K9171">
        <v>1.1115619999999999</v>
      </c>
      <c r="L9171">
        <v>-14.39587</v>
      </c>
      <c r="M9171">
        <v>-7.8024769999999993E-2</v>
      </c>
      <c r="N9171">
        <v>0</v>
      </c>
      <c r="O9171">
        <v>-0.99686520000000001</v>
      </c>
      <c r="P9171">
        <v>1.6252409999999998E-2</v>
      </c>
      <c r="Q9171">
        <v>2.9333410000000001E-2</v>
      </c>
      <c r="R9171">
        <v>-0.99943769999999998</v>
      </c>
      <c r="S9171">
        <v>-0.50460819999999995</v>
      </c>
      <c r="T9171">
        <v>-0.23047409999999999</v>
      </c>
      <c r="U9171">
        <v>-3.0113530000000002</v>
      </c>
      <c r="V9171">
        <v>-9.4302070000000002E-2</v>
      </c>
      <c r="W9171">
        <v>4.2132610000000001E-2</v>
      </c>
      <c r="X9171">
        <v>0.99465170000000003</v>
      </c>
      <c r="Y9171">
        <v>8.7331880000000001E-2</v>
      </c>
      <c r="Z9171">
        <v>7.5297039999999996E-2</v>
      </c>
      <c r="AA9171">
        <v>0.99332949999999998</v>
      </c>
      <c r="AB9171">
        <v>20</v>
      </c>
      <c r="AC9171">
        <v>-0.11080000000004001</v>
      </c>
      <c r="AD9171">
        <v>-5.6547000000000097E-2</v>
      </c>
      <c r="AE9171">
        <v>-0.54132999999999998</v>
      </c>
      <c r="AF9171">
        <v>6.7514302024648698E-2</v>
      </c>
      <c r="AG9171">
        <v>-5.6547000000000097E-2</v>
      </c>
      <c r="AH9171">
        <v>0.54264222194239098</v>
      </c>
      <c r="AI9171">
        <v>95.903941738964207</v>
      </c>
      <c r="AJ9171">
        <v>82.907835548278797</v>
      </c>
      <c r="AK9171">
        <v>0.54974205334997905</v>
      </c>
      <c r="AL9171">
        <v>87.585264535291898</v>
      </c>
      <c r="AM9171">
        <v>95.415974511408606</v>
      </c>
      <c r="AN9171">
        <v>1.0000000207722901</v>
      </c>
    </row>
    <row r="9172" spans="1:40" x14ac:dyDescent="0.25">
      <c r="A9172" t="str">
        <f>"20190312150904670"</f>
        <v>20190312150904670</v>
      </c>
      <c r="B9172" t="str">
        <f>"1552374544658652"</f>
        <v>1552374544658652</v>
      </c>
      <c r="C9172" t="s">
        <v>40</v>
      </c>
      <c r="D9172">
        <v>4.7308149999999998</v>
      </c>
      <c r="E9172">
        <v>0.51623869999999905</v>
      </c>
      <c r="F9172" t="s">
        <v>41</v>
      </c>
      <c r="G9172">
        <v>-301.15359999999998</v>
      </c>
      <c r="H9172">
        <v>1.0446799999999901</v>
      </c>
      <c r="I9172">
        <v>-15.268319999999999</v>
      </c>
      <c r="J9172">
        <v>-301.02890000000002</v>
      </c>
      <c r="K9172">
        <v>1.111545</v>
      </c>
      <c r="L9172">
        <v>-14.59201</v>
      </c>
      <c r="M9172">
        <v>-7.6037300000000002E-2</v>
      </c>
      <c r="N9172">
        <v>0</v>
      </c>
      <c r="O9172">
        <v>-0.99701890000000004</v>
      </c>
      <c r="P9172">
        <v>2.724503E-2</v>
      </c>
      <c r="Q9172">
        <v>2.936631E-2</v>
      </c>
      <c r="R9172">
        <v>-0.99919780000000002</v>
      </c>
      <c r="S9172">
        <v>-0.47454829999999998</v>
      </c>
      <c r="T9172">
        <v>-0.2313935</v>
      </c>
      <c r="U9172">
        <v>-3.0162049999999998</v>
      </c>
      <c r="V9172">
        <v>-0.1032584</v>
      </c>
      <c r="W9172">
        <v>4.2134039999999998E-2</v>
      </c>
      <c r="X9172">
        <v>0.99376180000000003</v>
      </c>
      <c r="Y9172">
        <v>7.9405820000000002E-2</v>
      </c>
      <c r="Z9172">
        <v>7.5578530000000005E-2</v>
      </c>
      <c r="AA9172">
        <v>0.99397310000000005</v>
      </c>
      <c r="AB9172">
        <v>19</v>
      </c>
      <c r="AC9172">
        <v>-0.12469999999996099</v>
      </c>
      <c r="AD9172">
        <v>-6.6865000000000105E-2</v>
      </c>
      <c r="AE9172">
        <v>-0.67630999999999997</v>
      </c>
      <c r="AF9172">
        <v>7.2226939745820506E-2</v>
      </c>
      <c r="AG9172">
        <v>-6.6865000000000105E-2</v>
      </c>
      <c r="AH9172">
        <v>0.67743039151634399</v>
      </c>
      <c r="AI9172">
        <v>95.605489708765504</v>
      </c>
      <c r="AJ9172">
        <v>83.914173167829802</v>
      </c>
      <c r="AK9172">
        <v>0.68454334734918998</v>
      </c>
      <c r="AL9172">
        <v>87.5851825876085</v>
      </c>
      <c r="AM9172">
        <v>95.932121322774293</v>
      </c>
      <c r="AN9172">
        <v>1.00000004481825</v>
      </c>
    </row>
    <row r="9173" spans="1:40" x14ac:dyDescent="0.25">
      <c r="A9173" t="str">
        <f>"20190312150904689"</f>
        <v>20190312150904689</v>
      </c>
      <c r="B9173" t="str">
        <f>"1552374544679148"</f>
        <v>1552374544679148</v>
      </c>
      <c r="C9173" t="s">
        <v>40</v>
      </c>
      <c r="D9173">
        <v>4.7519770000000001</v>
      </c>
      <c r="E9173">
        <v>0.4365542</v>
      </c>
      <c r="F9173" t="s">
        <v>42</v>
      </c>
      <c r="G9173">
        <v>-301.26530000000002</v>
      </c>
      <c r="H9173" s="1">
        <v>-7.3072379999999999E-7</v>
      </c>
      <c r="I9173">
        <v>-29.492319999999999</v>
      </c>
      <c r="J9173">
        <v>-301.03980000000001</v>
      </c>
      <c r="K9173">
        <v>1.111531</v>
      </c>
      <c r="L9173">
        <v>-14.761990000000001</v>
      </c>
      <c r="M9173">
        <v>-7.431836E-2</v>
      </c>
      <c r="N9173">
        <v>0</v>
      </c>
      <c r="O9173">
        <v>-0.99714849999999999</v>
      </c>
      <c r="P9173">
        <v>3.8507670000000001E-2</v>
      </c>
      <c r="Q9173">
        <v>3.0403699999999999E-2</v>
      </c>
      <c r="R9173">
        <v>-0.99879589999999996</v>
      </c>
      <c r="S9173">
        <v>-4.7760009999999999E-2</v>
      </c>
      <c r="T9173">
        <v>-0.22456599999999999</v>
      </c>
      <c r="U9173">
        <v>-3.0103149999999999</v>
      </c>
      <c r="V9173">
        <v>-0.11274679999999999</v>
      </c>
      <c r="W9173">
        <v>4.313591E-2</v>
      </c>
      <c r="X9173">
        <v>0.99268699999999999</v>
      </c>
      <c r="Y9173">
        <v>-5.8539260000000003E-2</v>
      </c>
      <c r="Z9173">
        <v>7.4015510000000007E-2</v>
      </c>
      <c r="AA9173">
        <v>0.99553749999999996</v>
      </c>
      <c r="AB9173">
        <v>19</v>
      </c>
      <c r="AC9173">
        <v>-0.22550000000001</v>
      </c>
      <c r="AD9173">
        <v>-1.1115317307238</v>
      </c>
      <c r="AE9173">
        <v>-14.730329999999899</v>
      </c>
      <c r="AF9173">
        <v>-0.86502732159832296</v>
      </c>
      <c r="AG9173">
        <v>-1.1115317307238</v>
      </c>
      <c r="AH9173">
        <v>14.6231027921772</v>
      </c>
      <c r="AI9173">
        <v>94.339253188050407</v>
      </c>
      <c r="AJ9173">
        <v>93.385377597180707</v>
      </c>
      <c r="AK9173">
        <v>14.6907763690725</v>
      </c>
      <c r="AL9173">
        <v>87.527727345367396</v>
      </c>
      <c r="AM9173">
        <v>96.479737889916706</v>
      </c>
      <c r="AN9173">
        <v>1.00000001380538</v>
      </c>
    </row>
    <row r="9174" spans="1:40" x14ac:dyDescent="0.25">
      <c r="A9174" t="str">
        <f>"20190312150904711"</f>
        <v>20190312150904711</v>
      </c>
      <c r="B9174" t="str">
        <f>"1552374544708428"</f>
        <v>1552374544708428</v>
      </c>
      <c r="C9174" t="s">
        <v>40</v>
      </c>
      <c r="D9174">
        <v>4.7376699999999996</v>
      </c>
      <c r="E9174">
        <v>0.40543679999999999</v>
      </c>
      <c r="F9174" t="s">
        <v>42</v>
      </c>
      <c r="G9174">
        <v>-297.935</v>
      </c>
      <c r="H9174" s="1">
        <v>-7.7796889999999995E-7</v>
      </c>
      <c r="I9174">
        <v>-29.68038</v>
      </c>
      <c r="J9174">
        <v>-301.05160000000001</v>
      </c>
      <c r="K9174">
        <v>1.1115280000000001</v>
      </c>
      <c r="L9174">
        <v>-14.952999999999999</v>
      </c>
      <c r="M9174">
        <v>-7.2384729999999994E-2</v>
      </c>
      <c r="N9174">
        <v>0</v>
      </c>
      <c r="O9174">
        <v>-0.99729060000000003</v>
      </c>
      <c r="P9174">
        <v>4.9168000000000003E-2</v>
      </c>
      <c r="Q9174">
        <v>3.1734699999999998E-2</v>
      </c>
      <c r="R9174">
        <v>-0.99828609999999895</v>
      </c>
      <c r="S9174">
        <v>0.62152099999999999</v>
      </c>
      <c r="T9174">
        <v>-0.22251080000000001</v>
      </c>
      <c r="U9174">
        <v>-2.9864199999999999</v>
      </c>
      <c r="V9174">
        <v>-0.121419</v>
      </c>
      <c r="W9174">
        <v>4.4431659999999998E-2</v>
      </c>
      <c r="X9174">
        <v>0.9916064</v>
      </c>
      <c r="Y9174">
        <v>-0.27355669999999999</v>
      </c>
      <c r="Z9174">
        <v>7.1825600000000003E-2</v>
      </c>
      <c r="AA9174">
        <v>0.95917039999999998</v>
      </c>
      <c r="AB9174">
        <v>19</v>
      </c>
      <c r="AC9174">
        <v>3.1166</v>
      </c>
      <c r="AD9174">
        <v>-1.11152877796889</v>
      </c>
      <c r="AE9174">
        <v>-14.727379999999901</v>
      </c>
      <c r="AF9174">
        <v>-4.1519154576812296</v>
      </c>
      <c r="AG9174">
        <v>-1.11152877796889</v>
      </c>
      <c r="AH9174">
        <v>14.3846996866605</v>
      </c>
      <c r="AI9174">
        <v>94.245904588183606</v>
      </c>
      <c r="AJ9174">
        <v>106.09994571600301</v>
      </c>
      <c r="AK9174">
        <v>15.013110379511501</v>
      </c>
      <c r="AL9174">
        <v>87.453415034535098</v>
      </c>
      <c r="AM9174">
        <v>96.980932631634204</v>
      </c>
      <c r="AN9174">
        <v>0.99999999924615701</v>
      </c>
    </row>
    <row r="9175" spans="1:40" x14ac:dyDescent="0.25">
      <c r="A9175" t="str">
        <f>"20190312150904733"</f>
        <v>20190312150904733</v>
      </c>
      <c r="B9175" t="str">
        <f>"1552374544728924"</f>
        <v>1552374544728924</v>
      </c>
      <c r="C9175" t="s">
        <v>40</v>
      </c>
      <c r="D9175">
        <v>4.6738929999999996</v>
      </c>
      <c r="E9175">
        <v>0.39742529999999998</v>
      </c>
      <c r="F9175" t="s">
        <v>42</v>
      </c>
      <c r="G9175">
        <v>-297.19420000000002</v>
      </c>
      <c r="H9175" s="1">
        <v>-1.664617E-6</v>
      </c>
      <c r="I9175">
        <v>-27.654129999999999</v>
      </c>
      <c r="J9175">
        <v>-301.06319999999999</v>
      </c>
      <c r="K9175">
        <v>1.111537</v>
      </c>
      <c r="L9175">
        <v>-15.14655</v>
      </c>
      <c r="M9175">
        <v>-7.0408929999999995E-2</v>
      </c>
      <c r="N9175">
        <v>0</v>
      </c>
      <c r="O9175">
        <v>-0.99743230000000005</v>
      </c>
      <c r="P9175">
        <v>5.9030880000000001E-2</v>
      </c>
      <c r="Q9175">
        <v>3.283643E-2</v>
      </c>
      <c r="R9175">
        <v>-0.99771589999999999</v>
      </c>
      <c r="S9175">
        <v>0.90170289999999997</v>
      </c>
      <c r="T9175">
        <v>-0.25982939999999999</v>
      </c>
      <c r="U9175">
        <v>-2.9689939999999999</v>
      </c>
      <c r="V9175">
        <v>-0.12925420000000001</v>
      </c>
      <c r="W9175">
        <v>4.5497750000000003E-2</v>
      </c>
      <c r="X9175">
        <v>0.99056710000000003</v>
      </c>
      <c r="Y9175">
        <v>-0.35626210000000003</v>
      </c>
      <c r="Z9175">
        <v>8.2154959999999999E-2</v>
      </c>
      <c r="AA9175">
        <v>0.93076740000000002</v>
      </c>
      <c r="AB9175">
        <v>19</v>
      </c>
      <c r="AC9175">
        <v>3.86899999999997</v>
      </c>
      <c r="AD9175">
        <v>-1.111538664617</v>
      </c>
      <c r="AE9175">
        <v>-12.507580000000001</v>
      </c>
      <c r="AF9175">
        <v>-4.7061947479614101</v>
      </c>
      <c r="AG9175">
        <v>-1.111538664617</v>
      </c>
      <c r="AH9175">
        <v>12.1167601076189</v>
      </c>
      <c r="AI9175">
        <v>94.887589280631801</v>
      </c>
      <c r="AJ9175">
        <v>111.226355382348</v>
      </c>
      <c r="AK9175">
        <v>13.046059279118101</v>
      </c>
      <c r="AL9175">
        <v>87.392270567545793</v>
      </c>
      <c r="AM9175">
        <v>97.434240020109698</v>
      </c>
      <c r="AN9175">
        <v>0.99999993653755403</v>
      </c>
    </row>
    <row r="9176" spans="1:40" x14ac:dyDescent="0.25">
      <c r="A9176" t="str">
        <f>"20190312150904757"</f>
        <v>20190312150904757</v>
      </c>
      <c r="B9176" t="str">
        <f>"1552374544748444"</f>
        <v>1552374544748444</v>
      </c>
      <c r="C9176" t="s">
        <v>40</v>
      </c>
      <c r="D9176">
        <v>4.6520809999999999</v>
      </c>
      <c r="E9176">
        <v>0.39367639999999998</v>
      </c>
      <c r="F9176" t="s">
        <v>42</v>
      </c>
      <c r="G9176">
        <v>-297.08069999999998</v>
      </c>
      <c r="H9176" s="1">
        <v>-1.9716549999999999E-6</v>
      </c>
      <c r="I9176">
        <v>-26.97833</v>
      </c>
      <c r="J9176">
        <v>-301.0745</v>
      </c>
      <c r="K9176">
        <v>1.1115539999999999</v>
      </c>
      <c r="L9176">
        <v>-15.34113</v>
      </c>
      <c r="M9176">
        <v>-6.838996E-2</v>
      </c>
      <c r="N9176">
        <v>0</v>
      </c>
      <c r="O9176">
        <v>-0.99757269999999998</v>
      </c>
      <c r="P9176">
        <v>6.8026589999999998E-2</v>
      </c>
      <c r="Q9176">
        <v>3.3242269999999997E-2</v>
      </c>
      <c r="R9176">
        <v>-0.99712990000000001</v>
      </c>
      <c r="S9176">
        <v>0.9953613</v>
      </c>
      <c r="T9176">
        <v>-0.27780719999999998</v>
      </c>
      <c r="U9176">
        <v>-2.9571230000000002</v>
      </c>
      <c r="V9176">
        <v>-0.136185</v>
      </c>
      <c r="W9176">
        <v>4.5867379999999999E-2</v>
      </c>
      <c r="X9176">
        <v>0.98962099999999997</v>
      </c>
      <c r="Y9176">
        <v>-0.38185619999999998</v>
      </c>
      <c r="Z9176">
        <v>8.7272600000000006E-2</v>
      </c>
      <c r="AA9176">
        <v>0.92009200000000002</v>
      </c>
      <c r="AB9176">
        <v>19</v>
      </c>
      <c r="AC9176">
        <v>3.9938000000000198</v>
      </c>
      <c r="AD9176">
        <v>-1.1115559716550001</v>
      </c>
      <c r="AE9176">
        <v>-11.6372</v>
      </c>
      <c r="AF9176">
        <v>-4.7416807823074896</v>
      </c>
      <c r="AG9176">
        <v>-1.1115559716550001</v>
      </c>
      <c r="AH9176">
        <v>11.245005159946601</v>
      </c>
      <c r="AI9176">
        <v>95.204282169870993</v>
      </c>
      <c r="AJ9176">
        <v>112.863691098129</v>
      </c>
      <c r="AK9176">
        <v>12.2543557303781</v>
      </c>
      <c r="AL9176">
        <v>87.371070222116302</v>
      </c>
      <c r="AM9176">
        <v>97.835446912944207</v>
      </c>
      <c r="AN9176">
        <v>0.99999994720703</v>
      </c>
    </row>
    <row r="9177" spans="1:40" x14ac:dyDescent="0.25">
      <c r="A9177" t="str">
        <f>"20190312150904778"</f>
        <v>20190312150904778</v>
      </c>
      <c r="B9177" t="str">
        <f>"1552374544768940"</f>
        <v>1552374544768940</v>
      </c>
      <c r="C9177" t="s">
        <v>40</v>
      </c>
      <c r="D9177">
        <v>4.6661359999999998</v>
      </c>
      <c r="E9177">
        <v>0.39150839999999998</v>
      </c>
      <c r="F9177" t="s">
        <v>42</v>
      </c>
      <c r="G9177">
        <v>-297.00650000000002</v>
      </c>
      <c r="H9177" s="1">
        <v>-2.0843469999999999E-6</v>
      </c>
      <c r="I9177">
        <v>-26.746320000000001</v>
      </c>
      <c r="J9177">
        <v>-301.08519999999999</v>
      </c>
      <c r="K9177">
        <v>1.111588</v>
      </c>
      <c r="L9177">
        <v>-15.532500000000001</v>
      </c>
      <c r="M9177">
        <v>-6.6356460000000006E-2</v>
      </c>
      <c r="N9177">
        <v>0</v>
      </c>
      <c r="O9177">
        <v>-0.99771019999999999</v>
      </c>
      <c r="P9177">
        <v>7.6084949999999998E-2</v>
      </c>
      <c r="Q9177">
        <v>3.445169E-2</v>
      </c>
      <c r="R9177">
        <v>-0.99650629999999996</v>
      </c>
      <c r="S9177">
        <v>1.050964</v>
      </c>
      <c r="T9177">
        <v>-0.28716770000000003</v>
      </c>
      <c r="U9177">
        <v>-2.9465029999999999</v>
      </c>
      <c r="V9177">
        <v>-0.14217149999999901</v>
      </c>
      <c r="W9177">
        <v>4.7039619999999997E-2</v>
      </c>
      <c r="X9177">
        <v>0.98872369999999998</v>
      </c>
      <c r="Y9177">
        <v>-0.39633990000000002</v>
      </c>
      <c r="Z9177">
        <v>8.9954729999999997E-2</v>
      </c>
      <c r="AA9177">
        <v>0.91368640000000001</v>
      </c>
      <c r="AB9177">
        <v>19</v>
      </c>
      <c r="AC9177">
        <v>4.0786999999999596</v>
      </c>
      <c r="AD9177">
        <v>-1.1115900843469999</v>
      </c>
      <c r="AE9177">
        <v>-11.21382</v>
      </c>
      <c r="AF9177">
        <v>-4.7724662016835202</v>
      </c>
      <c r="AG9177">
        <v>-1.1115900843469999</v>
      </c>
      <c r="AH9177">
        <v>10.824493268474701</v>
      </c>
      <c r="AI9177">
        <v>95.368013508672306</v>
      </c>
      <c r="AJ9177">
        <v>113.792448053775</v>
      </c>
      <c r="AK9177">
        <v>11.8819914442438</v>
      </c>
      <c r="AL9177">
        <v>87.303833388943303</v>
      </c>
      <c r="AM9177">
        <v>98.182641038575696</v>
      </c>
      <c r="AN9177">
        <v>1.0000000081018401</v>
      </c>
    </row>
    <row r="9178" spans="1:40" x14ac:dyDescent="0.25">
      <c r="A9178" t="str">
        <f>"20190312150904801"</f>
        <v>20190312150904801</v>
      </c>
      <c r="B9178" t="str">
        <f>"1552374544798220"</f>
        <v>1552374544798220</v>
      </c>
      <c r="C9178" t="s">
        <v>40</v>
      </c>
      <c r="D9178">
        <v>4.6378570000000003</v>
      </c>
      <c r="E9178">
        <v>0.39025520000000002</v>
      </c>
      <c r="F9178" t="s">
        <v>42</v>
      </c>
      <c r="G9178">
        <v>-296.92770000000002</v>
      </c>
      <c r="H9178" s="1">
        <v>-2.110801E-6</v>
      </c>
      <c r="I9178">
        <v>-26.717220000000001</v>
      </c>
      <c r="J9178">
        <v>-301.09530000000001</v>
      </c>
      <c r="K9178">
        <v>1.1116299999999999</v>
      </c>
      <c r="L9178">
        <v>-15.72104</v>
      </c>
      <c r="M9178">
        <v>-6.4292890000000005E-2</v>
      </c>
      <c r="N9178">
        <v>0</v>
      </c>
      <c r="O9178">
        <v>-0.99784519999999999</v>
      </c>
      <c r="P9178">
        <v>8.3017199999999999E-2</v>
      </c>
      <c r="Q9178">
        <v>3.5347770000000001E-2</v>
      </c>
      <c r="R9178">
        <v>-0.99592130000000001</v>
      </c>
      <c r="S9178">
        <v>1.0917969999999999</v>
      </c>
      <c r="T9178">
        <v>-0.29191830000000002</v>
      </c>
      <c r="U9178">
        <v>-2.9372560000000001</v>
      </c>
      <c r="V9178">
        <v>-0.1470127</v>
      </c>
      <c r="W9178">
        <v>4.7899329999999997E-2</v>
      </c>
      <c r="X9178">
        <v>0.98797420000000002</v>
      </c>
      <c r="Y9178">
        <v>-0.40649429999999998</v>
      </c>
      <c r="Z9178">
        <v>9.1294710000000001E-2</v>
      </c>
      <c r="AA9178">
        <v>0.90908069999999996</v>
      </c>
      <c r="AB9178">
        <v>19</v>
      </c>
      <c r="AC9178">
        <v>4.1675999999999904</v>
      </c>
      <c r="AD9178">
        <v>-1.1116321108010001</v>
      </c>
      <c r="AE9178">
        <v>-10.996180000000001</v>
      </c>
      <c r="AF9178">
        <v>-4.8229148364264498</v>
      </c>
      <c r="AG9178">
        <v>-1.1116321108010001</v>
      </c>
      <c r="AH9178">
        <v>10.6106381646057</v>
      </c>
      <c r="AI9178">
        <v>95.448141217403105</v>
      </c>
      <c r="AJ9178">
        <v>114.443496019715</v>
      </c>
      <c r="AK9178">
        <v>11.708196946130199</v>
      </c>
      <c r="AL9178">
        <v>87.254520156357501</v>
      </c>
      <c r="AM9178">
        <v>98.463633173484496</v>
      </c>
      <c r="AN9178">
        <v>1.00000004982068</v>
      </c>
    </row>
    <row r="9179" spans="1:40" x14ac:dyDescent="0.25">
      <c r="A9179" t="str">
        <f>"20190312150904824"</f>
        <v>20190312150904824</v>
      </c>
      <c r="B9179" t="str">
        <f>"1552374544818716"</f>
        <v>1552374544818716</v>
      </c>
      <c r="C9179" t="s">
        <v>40</v>
      </c>
      <c r="D9179">
        <v>4.7163269999999997</v>
      </c>
      <c r="E9179">
        <v>0.3901905</v>
      </c>
      <c r="F9179" t="s">
        <v>42</v>
      </c>
      <c r="G9179">
        <v>-296.93610000000001</v>
      </c>
      <c r="H9179" s="1">
        <v>-2.1684919999999999E-6</v>
      </c>
      <c r="I9179">
        <v>-26.5793</v>
      </c>
      <c r="J9179">
        <v>-301.1053</v>
      </c>
      <c r="K9179">
        <v>1.1116820000000001</v>
      </c>
      <c r="L9179">
        <v>-15.918950000000001</v>
      </c>
      <c r="M9179">
        <v>-6.2053360000000002E-2</v>
      </c>
      <c r="N9179">
        <v>0</v>
      </c>
      <c r="O9179">
        <v>-0.99798679999999995</v>
      </c>
      <c r="P9179">
        <v>8.8591379999999997E-2</v>
      </c>
      <c r="Q9179">
        <v>3.6082030000000001E-2</v>
      </c>
      <c r="R9179">
        <v>-0.99541460000000004</v>
      </c>
      <c r="S9179">
        <v>1.122101</v>
      </c>
      <c r="T9179">
        <v>-0.29990349999999999</v>
      </c>
      <c r="U9179">
        <v>-2.9294129999999998</v>
      </c>
      <c r="V9179">
        <v>-0.15033270000000001</v>
      </c>
      <c r="W9179">
        <v>4.8601369999999998E-2</v>
      </c>
      <c r="X9179">
        <v>0.98744010000000004</v>
      </c>
      <c r="Y9179">
        <v>-0.41337629999999997</v>
      </c>
      <c r="Z9179">
        <v>9.370539E-2</v>
      </c>
      <c r="AA9179">
        <v>0.90572580000000003</v>
      </c>
      <c r="AB9179">
        <v>19</v>
      </c>
      <c r="AC9179">
        <v>4.1691999999999796</v>
      </c>
      <c r="AD9179">
        <v>-1.111684168492</v>
      </c>
      <c r="AE9179">
        <v>-10.660349999999999</v>
      </c>
      <c r="AF9179">
        <v>-4.7776678488480604</v>
      </c>
      <c r="AG9179">
        <v>-1.111684168492</v>
      </c>
      <c r="AH9179">
        <v>10.2840669165353</v>
      </c>
      <c r="AI9179">
        <v>95.599097615579495</v>
      </c>
      <c r="AJ9179">
        <v>114.918162104944</v>
      </c>
      <c r="AK9179">
        <v>11.3940328289929</v>
      </c>
      <c r="AL9179">
        <v>87.214249136214306</v>
      </c>
      <c r="AM9179">
        <v>98.656515855448305</v>
      </c>
      <c r="AN9179">
        <v>0.99999998247158794</v>
      </c>
    </row>
    <row r="9180" spans="1:40" x14ac:dyDescent="0.25">
      <c r="A9180" t="str">
        <f>"20190312150904847"</f>
        <v>20190312150904847</v>
      </c>
      <c r="B9180" t="str">
        <f>"1552374544838236"</f>
        <v>1552374544838236</v>
      </c>
      <c r="C9180" t="s">
        <v>40</v>
      </c>
      <c r="D9180">
        <v>4.6649370000000001</v>
      </c>
      <c r="E9180">
        <v>0.39040370000000002</v>
      </c>
      <c r="F9180" t="s">
        <v>42</v>
      </c>
      <c r="G9180">
        <v>-296.9486</v>
      </c>
      <c r="H9180" s="1">
        <v>-2.1619940000000001E-6</v>
      </c>
      <c r="I9180">
        <v>-26.589269999999999</v>
      </c>
      <c r="J9180">
        <v>-301.11439999999999</v>
      </c>
      <c r="K9180">
        <v>1.1117269999999999</v>
      </c>
      <c r="L9180">
        <v>-16.10858</v>
      </c>
      <c r="M9180">
        <v>-5.9822819999999999E-2</v>
      </c>
      <c r="N9180">
        <v>0</v>
      </c>
      <c r="O9180">
        <v>-0.99812299999999998</v>
      </c>
      <c r="P9180">
        <v>9.2553609999999994E-2</v>
      </c>
      <c r="Q9180">
        <v>3.6669279999999999E-2</v>
      </c>
      <c r="R9180">
        <v>-0.99503209999999997</v>
      </c>
      <c r="S9180">
        <v>1.1388849999999999</v>
      </c>
      <c r="T9180">
        <v>-0.304583099999999</v>
      </c>
      <c r="U9180">
        <v>-2.923492</v>
      </c>
      <c r="V9180">
        <v>-0.15206430000000001</v>
      </c>
      <c r="W9180">
        <v>4.9162900000000002E-2</v>
      </c>
      <c r="X9180">
        <v>0.9871472</v>
      </c>
      <c r="Y9180">
        <v>-0.41642560000000001</v>
      </c>
      <c r="Z9180">
        <v>9.5187809999999998E-2</v>
      </c>
      <c r="AA9180">
        <v>0.90417309999999995</v>
      </c>
      <c r="AB9180">
        <v>19</v>
      </c>
      <c r="AC9180">
        <v>4.1657999999999902</v>
      </c>
      <c r="AD9180">
        <v>-1.111729161994</v>
      </c>
      <c r="AE9180">
        <v>-10.480689999999999</v>
      </c>
      <c r="AF9180">
        <v>-4.7393258633240398</v>
      </c>
      <c r="AG9180">
        <v>-1.111729161994</v>
      </c>
      <c r="AH9180">
        <v>10.114406843198299</v>
      </c>
      <c r="AI9180">
        <v>95.683969447220207</v>
      </c>
      <c r="AJ9180">
        <v>115.10646369499599</v>
      </c>
      <c r="AK9180">
        <v>11.224899872967001</v>
      </c>
      <c r="AL9180">
        <v>87.182037570642393</v>
      </c>
      <c r="AM9180">
        <v>98.757246738010096</v>
      </c>
      <c r="AN9180">
        <v>1.0000000682693599</v>
      </c>
    </row>
    <row r="9181" spans="1:40" x14ac:dyDescent="0.25">
      <c r="A9181" t="str">
        <f>"20190312150904868"</f>
        <v>20190312150904868</v>
      </c>
      <c r="B9181" t="str">
        <f>"1552374544858732"</f>
        <v>1552374544858732</v>
      </c>
      <c r="C9181" t="s">
        <v>40</v>
      </c>
      <c r="D9181">
        <v>4.6922879999999996</v>
      </c>
      <c r="E9181">
        <v>0.39068639999999999</v>
      </c>
      <c r="F9181" t="s">
        <v>41</v>
      </c>
      <c r="G9181">
        <v>-300.7355</v>
      </c>
      <c r="H9181">
        <v>1.010643</v>
      </c>
      <c r="I9181">
        <v>-17.071899999999999</v>
      </c>
      <c r="J9181">
        <v>-301.12310000000002</v>
      </c>
      <c r="K9181">
        <v>1.111764</v>
      </c>
      <c r="L9181">
        <v>-16.298950000000001</v>
      </c>
      <c r="M9181">
        <v>-5.7506219999999997E-2</v>
      </c>
      <c r="N9181">
        <v>0</v>
      </c>
      <c r="O9181">
        <v>-0.99825929999999996</v>
      </c>
      <c r="P9181">
        <v>9.621035E-2</v>
      </c>
      <c r="Q9181">
        <v>3.7030449999999999E-2</v>
      </c>
      <c r="R9181">
        <v>-0.99467229999999995</v>
      </c>
      <c r="S9181">
        <v>1.1489560000000001</v>
      </c>
      <c r="T9181">
        <v>-0.30635109999999999</v>
      </c>
      <c r="U9181">
        <v>-2.919403</v>
      </c>
      <c r="V9181">
        <v>-0.153407399999999</v>
      </c>
      <c r="W9181">
        <v>4.9501990000000003E-2</v>
      </c>
      <c r="X9181">
        <v>0.98692230000000003</v>
      </c>
      <c r="Y9181">
        <v>-0.41742839999999998</v>
      </c>
      <c r="Z9181">
        <v>9.5798400000000006E-2</v>
      </c>
      <c r="AA9181">
        <v>0.90364610000000001</v>
      </c>
      <c r="AB9181">
        <v>19</v>
      </c>
      <c r="AC9181">
        <v>0.38760000000001998</v>
      </c>
      <c r="AD9181">
        <v>-0.101121</v>
      </c>
      <c r="AE9181">
        <v>-0.77294999999999703</v>
      </c>
      <c r="AF9181">
        <v>-0.42559126312144802</v>
      </c>
      <c r="AG9181">
        <v>-0.101121</v>
      </c>
      <c r="AH9181">
        <v>0.73926898964065402</v>
      </c>
      <c r="AI9181">
        <v>96.760544590597306</v>
      </c>
      <c r="AJ9181">
        <v>119.92869112367499</v>
      </c>
      <c r="AK9181">
        <v>0.85899477235348998</v>
      </c>
      <c r="AL9181">
        <v>87.162585130675396</v>
      </c>
      <c r="AM9181">
        <v>98.835361230216606</v>
      </c>
      <c r="AN9181">
        <v>0.99999995181300305</v>
      </c>
    </row>
    <row r="9182" spans="1:40" x14ac:dyDescent="0.25">
      <c r="A9182" t="str">
        <f>"20190312150904890"</f>
        <v>20190312150904890</v>
      </c>
      <c r="B9182" t="str">
        <f>"1552374544878577"</f>
        <v>1552374544878577</v>
      </c>
      <c r="C9182" t="s">
        <v>40</v>
      </c>
      <c r="D9182">
        <v>4.7021129999999998</v>
      </c>
      <c r="E9182">
        <v>0.39126660000000002</v>
      </c>
      <c r="F9182" t="s">
        <v>41</v>
      </c>
      <c r="G9182">
        <v>-300.73649999999998</v>
      </c>
      <c r="H9182">
        <v>1.0088170000000001</v>
      </c>
      <c r="I9182">
        <v>-17.272570000000002</v>
      </c>
      <c r="J9182">
        <v>-301.1311</v>
      </c>
      <c r="K9182">
        <v>1.111807</v>
      </c>
      <c r="L9182">
        <v>-16.486419999999999</v>
      </c>
      <c r="M9182">
        <v>-5.516331E-2</v>
      </c>
      <c r="N9182">
        <v>0</v>
      </c>
      <c r="O9182">
        <v>-0.99839140000000004</v>
      </c>
      <c r="P9182">
        <v>9.9527370000000004E-2</v>
      </c>
      <c r="Q9182">
        <v>3.7132110000000003E-2</v>
      </c>
      <c r="R9182">
        <v>-0.9943419</v>
      </c>
      <c r="S9182">
        <v>1.157745</v>
      </c>
      <c r="T9182">
        <v>-0.30828280000000002</v>
      </c>
      <c r="U9182">
        <v>-2.9155579999999999</v>
      </c>
      <c r="V9182">
        <v>-0.15438740000000001</v>
      </c>
      <c r="W9182">
        <v>4.9586280000000003E-2</v>
      </c>
      <c r="X9182">
        <v>0.98676529999999996</v>
      </c>
      <c r="Y9182">
        <v>-0.41803570000000001</v>
      </c>
      <c r="Z9182">
        <v>9.6468360000000003E-2</v>
      </c>
      <c r="AA9182">
        <v>0.90329400000000004</v>
      </c>
      <c r="AB9182">
        <v>19</v>
      </c>
      <c r="AC9182">
        <v>0.39460000000002499</v>
      </c>
      <c r="AD9182">
        <v>-0.102989999999999</v>
      </c>
      <c r="AE9182">
        <v>-0.78614999999999902</v>
      </c>
      <c r="AF9182">
        <v>-0.43145475535523398</v>
      </c>
      <c r="AG9182">
        <v>-0.102989999999999</v>
      </c>
      <c r="AH9182">
        <v>0.75286272174553104</v>
      </c>
      <c r="AI9182">
        <v>96.7687125279339</v>
      </c>
      <c r="AJ9182">
        <v>119.81639924782201</v>
      </c>
      <c r="AK9182">
        <v>0.87382059017439895</v>
      </c>
      <c r="AL9182">
        <v>87.157749904665096</v>
      </c>
      <c r="AM9182">
        <v>98.892296515750104</v>
      </c>
      <c r="AN9182">
        <v>1.00000001286354</v>
      </c>
    </row>
    <row r="9183" spans="1:40" x14ac:dyDescent="0.25">
      <c r="A9183" t="str">
        <f>"20190312150904912"</f>
        <v>20190312150904912</v>
      </c>
      <c r="B9183" t="str">
        <f>"1552374544908833"</f>
        <v>1552374544908833</v>
      </c>
      <c r="C9183" t="s">
        <v>40</v>
      </c>
      <c r="D9183">
        <v>4.7070259999999999</v>
      </c>
      <c r="E9183">
        <v>0.39214060000000001</v>
      </c>
      <c r="F9183" t="s">
        <v>42</v>
      </c>
      <c r="G9183">
        <v>-296.97669999999999</v>
      </c>
      <c r="H9183" s="1">
        <v>-2.0286879999999998E-6</v>
      </c>
      <c r="I9183">
        <v>-26.888380000000002</v>
      </c>
      <c r="J9183">
        <v>-301.13869999999997</v>
      </c>
      <c r="K9183">
        <v>1.111834</v>
      </c>
      <c r="L9183">
        <v>-16.67661</v>
      </c>
      <c r="M9183">
        <v>-5.2735339999999999E-2</v>
      </c>
      <c r="N9183">
        <v>0</v>
      </c>
      <c r="O9183">
        <v>-0.99852249999999998</v>
      </c>
      <c r="P9183">
        <v>0.1025346</v>
      </c>
      <c r="Q9183">
        <v>3.757779E-2</v>
      </c>
      <c r="R9183">
        <v>-0.99401949999999994</v>
      </c>
      <c r="S9183">
        <v>1.163116</v>
      </c>
      <c r="T9183">
        <v>-0.311276</v>
      </c>
      <c r="U9183">
        <v>-2.9122620000000001</v>
      </c>
      <c r="V9183">
        <v>-0.15497639999999999</v>
      </c>
      <c r="W9183">
        <v>5.0020149999999999E-2</v>
      </c>
      <c r="X9183">
        <v>0.9866511</v>
      </c>
      <c r="Y9183">
        <v>-0.41758020000000001</v>
      </c>
      <c r="Z9183">
        <v>9.7495879999999993E-2</v>
      </c>
      <c r="AA9183">
        <v>0.90339440000000004</v>
      </c>
      <c r="AB9183">
        <v>19</v>
      </c>
      <c r="AC9183">
        <v>4.1619999999999697</v>
      </c>
      <c r="AD9183">
        <v>-1.111836028688</v>
      </c>
      <c r="AE9183">
        <v>-10.2117699999999</v>
      </c>
      <c r="AF9183">
        <v>-4.6475295297384296</v>
      </c>
      <c r="AG9183">
        <v>-1.111836028688</v>
      </c>
      <c r="AH9183">
        <v>9.8776412440305101</v>
      </c>
      <c r="AI9183">
        <v>95.815536281288203</v>
      </c>
      <c r="AJ9183">
        <v>115.197456285971</v>
      </c>
      <c r="AK9183">
        <v>10.972853167260199</v>
      </c>
      <c r="AL9183">
        <v>87.132860194579607</v>
      </c>
      <c r="AM9183">
        <v>98.926692596184694</v>
      </c>
      <c r="AN9183">
        <v>1.00000004654709</v>
      </c>
    </row>
    <row r="9184" spans="1:40" x14ac:dyDescent="0.25">
      <c r="A9184" t="str">
        <f>"20190312150904936"</f>
        <v>20190312150904936</v>
      </c>
      <c r="B9184" t="str">
        <f>"1552374544928353"</f>
        <v>1552374544928353</v>
      </c>
      <c r="C9184" t="s">
        <v>40</v>
      </c>
      <c r="D9184">
        <v>4.7129969999999997</v>
      </c>
      <c r="E9184">
        <v>0.39279150000000002</v>
      </c>
      <c r="F9184" t="s">
        <v>42</v>
      </c>
      <c r="G9184">
        <v>-297.06540000000001</v>
      </c>
      <c r="H9184" s="1">
        <v>-2.0324190000000001E-6</v>
      </c>
      <c r="I9184">
        <v>-26.843</v>
      </c>
      <c r="J9184">
        <v>-301.14600000000002</v>
      </c>
      <c r="K9184">
        <v>1.1118459999999999</v>
      </c>
      <c r="L9184">
        <v>-16.870699999999999</v>
      </c>
      <c r="M9184">
        <v>-5.0215099999999999E-2</v>
      </c>
      <c r="N9184">
        <v>0</v>
      </c>
      <c r="O9184">
        <v>-0.99865250000000005</v>
      </c>
      <c r="P9184">
        <v>0.10577839999999999</v>
      </c>
      <c r="Q9184">
        <v>3.8028380000000001E-2</v>
      </c>
      <c r="R9184">
        <v>-0.99366220000000005</v>
      </c>
      <c r="S9184">
        <v>1.1658630000000001</v>
      </c>
      <c r="T9184">
        <v>-0.31822909999999999</v>
      </c>
      <c r="U9184">
        <v>-2.909821</v>
      </c>
      <c r="V9184">
        <v>-0.15570919999999999</v>
      </c>
      <c r="W9184">
        <v>5.0458759999999998E-2</v>
      </c>
      <c r="X9184">
        <v>0.98651330000000004</v>
      </c>
      <c r="Y9184">
        <v>-0.4162013</v>
      </c>
      <c r="Z9184">
        <v>9.9763760000000007E-2</v>
      </c>
      <c r="AA9184">
        <v>0.903783</v>
      </c>
      <c r="AB9184">
        <v>19</v>
      </c>
      <c r="AC9184">
        <v>4.0805999999999401</v>
      </c>
      <c r="AD9184">
        <v>-1.1118480324190001</v>
      </c>
      <c r="AE9184">
        <v>-9.9723000000000006</v>
      </c>
      <c r="AF9184">
        <v>-4.5280398278716403</v>
      </c>
      <c r="AG9184">
        <v>-1.1118480324190001</v>
      </c>
      <c r="AH9184">
        <v>9.6520175493304308</v>
      </c>
      <c r="AI9184">
        <v>95.953719858792695</v>
      </c>
      <c r="AJ9184">
        <v>115.132628184303</v>
      </c>
      <c r="AK9184">
        <v>10.7191787699696</v>
      </c>
      <c r="AL9184">
        <v>87.107697686368596</v>
      </c>
      <c r="AM9184">
        <v>98.969449991350501</v>
      </c>
      <c r="AN9184">
        <v>0.99999996625113297</v>
      </c>
    </row>
    <row r="9185" spans="1:40" x14ac:dyDescent="0.25">
      <c r="A9185" t="str">
        <f>"20190312150904957"</f>
        <v>20190312150904957</v>
      </c>
      <c r="B9185" t="str">
        <f>"1552374544948849"</f>
        <v>1552374544948849</v>
      </c>
      <c r="C9185" t="s">
        <v>40</v>
      </c>
      <c r="D9185">
        <v>4.7088729999999996</v>
      </c>
      <c r="E9185">
        <v>0.39335300000000001</v>
      </c>
      <c r="F9185" t="s">
        <v>42</v>
      </c>
      <c r="G9185">
        <v>-297.02820000000003</v>
      </c>
      <c r="H9185" s="1">
        <v>-1.9326060000000001E-6</v>
      </c>
      <c r="I9185">
        <v>-27.091059999999999</v>
      </c>
      <c r="J9185">
        <v>-301.15260000000001</v>
      </c>
      <c r="K9185">
        <v>1.111853</v>
      </c>
      <c r="L9185">
        <v>-17.061429999999898</v>
      </c>
      <c r="M9185">
        <v>-4.7711450000000002E-2</v>
      </c>
      <c r="N9185">
        <v>0</v>
      </c>
      <c r="O9185">
        <v>-0.99877550000000004</v>
      </c>
      <c r="P9185">
        <v>0.1090071</v>
      </c>
      <c r="Q9185">
        <v>3.8193940000000003E-2</v>
      </c>
      <c r="R9185">
        <v>-0.9933073</v>
      </c>
      <c r="S9185">
        <v>1.171082</v>
      </c>
      <c r="T9185">
        <v>-0.31620029999999999</v>
      </c>
      <c r="U9185">
        <v>-2.9065859999999999</v>
      </c>
      <c r="V9185">
        <v>-0.1564432</v>
      </c>
      <c r="W9185">
        <v>5.0607810000000003E-2</v>
      </c>
      <c r="X9185">
        <v>0.98638959999999998</v>
      </c>
      <c r="Y9185">
        <v>-0.41568880000000002</v>
      </c>
      <c r="Z9185">
        <v>9.9235909999999997E-2</v>
      </c>
      <c r="AA9185">
        <v>0.90407689999999996</v>
      </c>
      <c r="AB9185">
        <v>19</v>
      </c>
      <c r="AC9185">
        <v>4.1243999999999801</v>
      </c>
      <c r="AD9185">
        <v>-1.1118549326060001</v>
      </c>
      <c r="AE9185">
        <v>-10.029629999999999</v>
      </c>
      <c r="AF9185">
        <v>-4.5504383897390204</v>
      </c>
      <c r="AG9185">
        <v>-1.1118549326060001</v>
      </c>
      <c r="AH9185">
        <v>9.7192420536366395</v>
      </c>
      <c r="AI9185">
        <v>95.914990839685203</v>
      </c>
      <c r="AJ9185">
        <v>115.088458123346</v>
      </c>
      <c r="AK9185">
        <v>10.7891787003066</v>
      </c>
      <c r="AL9185">
        <v>87.099147022418606</v>
      </c>
      <c r="AM9185">
        <v>99.012150540880597</v>
      </c>
      <c r="AN9185">
        <v>1.0000000341236901</v>
      </c>
    </row>
    <row r="9186" spans="1:40" x14ac:dyDescent="0.25">
      <c r="A9186" t="str">
        <f>"20190312150904980"</f>
        <v>20190312150904980</v>
      </c>
      <c r="B9186" t="str">
        <f>"1552374544968369"</f>
        <v>1552374544968369</v>
      </c>
      <c r="C9186" t="s">
        <v>40</v>
      </c>
      <c r="D9186">
        <v>4.7109680000000003</v>
      </c>
      <c r="E9186">
        <v>0.39387689999999997</v>
      </c>
      <c r="F9186" t="s">
        <v>42</v>
      </c>
      <c r="G9186">
        <v>-296.98869999999999</v>
      </c>
      <c r="H9186" s="1">
        <v>-1.836029E-6</v>
      </c>
      <c r="I9186">
        <v>-27.3325</v>
      </c>
      <c r="J9186">
        <v>-301.15870000000001</v>
      </c>
      <c r="K9186">
        <v>1.1118490000000001</v>
      </c>
      <c r="L9186">
        <v>-17.251249999999999</v>
      </c>
      <c r="M9186">
        <v>-4.5207730000000002E-2</v>
      </c>
      <c r="N9186">
        <v>0</v>
      </c>
      <c r="O9186">
        <v>-0.99889220000000001</v>
      </c>
      <c r="P9186">
        <v>0.11216379999999999</v>
      </c>
      <c r="Q9186">
        <v>3.8042439999999997E-2</v>
      </c>
      <c r="R9186">
        <v>-0.99296130000000005</v>
      </c>
      <c r="S9186">
        <v>1.176941</v>
      </c>
      <c r="T9186">
        <v>-0.31426799999999999</v>
      </c>
      <c r="U9186">
        <v>-2.9031370000000001</v>
      </c>
      <c r="V9186">
        <v>-0.15710589999999999</v>
      </c>
      <c r="W9186">
        <v>5.0433520000000003E-2</v>
      </c>
      <c r="X9186">
        <v>0.98629310000000003</v>
      </c>
      <c r="Y9186">
        <v>-0.41537109999999999</v>
      </c>
      <c r="Z9186">
        <v>9.8733719999999997E-2</v>
      </c>
      <c r="AA9186">
        <v>0.90427789999999997</v>
      </c>
      <c r="AB9186">
        <v>19</v>
      </c>
      <c r="AC9186">
        <v>4.1700000000000097</v>
      </c>
      <c r="AD9186">
        <v>-1.111850836029</v>
      </c>
      <c r="AE9186">
        <v>-10.081250000000001</v>
      </c>
      <c r="AF9186">
        <v>-4.5740169616954098</v>
      </c>
      <c r="AG9186">
        <v>-1.111850836029</v>
      </c>
      <c r="AH9186">
        <v>9.7808199636023101</v>
      </c>
      <c r="AI9186">
        <v>95.879194540831705</v>
      </c>
      <c r="AJ9186">
        <v>115.06322067597399</v>
      </c>
      <c r="AK9186">
        <v>10.854597302887701</v>
      </c>
      <c r="AL9186">
        <v>87.109145603684595</v>
      </c>
      <c r="AM9186">
        <v>99.050566704517294</v>
      </c>
      <c r="AN9186">
        <v>0.99999994143100301</v>
      </c>
    </row>
    <row r="9187" spans="1:40" x14ac:dyDescent="0.25">
      <c r="A9187" t="str">
        <f>"20190312150905004"</f>
        <v>20190312150905004</v>
      </c>
      <c r="B9187" t="str">
        <f>"1552374544998627"</f>
        <v>1552374544998627</v>
      </c>
      <c r="C9187" t="s">
        <v>40</v>
      </c>
      <c r="D9187">
        <v>4.692196</v>
      </c>
      <c r="E9187">
        <v>0.3946868</v>
      </c>
      <c r="F9187" t="s">
        <v>42</v>
      </c>
      <c r="G9187">
        <v>-296.97269999999997</v>
      </c>
      <c r="H9187" s="1">
        <v>-1.771788E-6</v>
      </c>
      <c r="I9187">
        <v>-27.512429999999998</v>
      </c>
      <c r="J9187">
        <v>-301.16469999999998</v>
      </c>
      <c r="K9187">
        <v>1.111829</v>
      </c>
      <c r="L9187">
        <v>-17.453250000000001</v>
      </c>
      <c r="M9187">
        <v>-4.2543879999999999E-2</v>
      </c>
      <c r="N9187">
        <v>0</v>
      </c>
      <c r="O9187">
        <v>-0.99900960000000005</v>
      </c>
      <c r="P9187">
        <v>0.1156951</v>
      </c>
      <c r="Q9187">
        <v>3.8352789999999998E-2</v>
      </c>
      <c r="R9187">
        <v>-0.99254439999999999</v>
      </c>
      <c r="S9187">
        <v>1.182922</v>
      </c>
      <c r="T9187">
        <v>-0.31419599999999998</v>
      </c>
      <c r="U9187">
        <v>-2.899689</v>
      </c>
      <c r="V9187">
        <v>-0.15798400000000001</v>
      </c>
      <c r="W9187">
        <v>5.0713540000000001E-2</v>
      </c>
      <c r="X9187">
        <v>0.98613850000000003</v>
      </c>
      <c r="Y9187">
        <v>-0.41492020000000002</v>
      </c>
      <c r="Z9187">
        <v>9.881144E-2</v>
      </c>
      <c r="AA9187">
        <v>0.90447639999999996</v>
      </c>
      <c r="AB9187">
        <v>19</v>
      </c>
      <c r="AC9187">
        <v>4.1920000000000002</v>
      </c>
      <c r="AD9187">
        <v>-1.111830771788</v>
      </c>
      <c r="AE9187">
        <v>-10.0591799999999</v>
      </c>
      <c r="AF9187">
        <v>-4.5686419990577098</v>
      </c>
      <c r="AG9187">
        <v>-1.111830771788</v>
      </c>
      <c r="AH9187">
        <v>9.7700160711651005</v>
      </c>
      <c r="AI9187">
        <v>95.885618826060906</v>
      </c>
      <c r="AJ9187">
        <v>115.06166874653699</v>
      </c>
      <c r="AK9187">
        <v>10.8425952341435</v>
      </c>
      <c r="AL9187">
        <v>87.093081176984896</v>
      </c>
      <c r="AM9187">
        <v>99.101710970381902</v>
      </c>
      <c r="AN9187">
        <v>0.99999997428878995</v>
      </c>
    </row>
    <row r="9188" spans="1:40" x14ac:dyDescent="0.25">
      <c r="A9188" t="str">
        <f>"20190312150905025"</f>
        <v>20190312150905025</v>
      </c>
      <c r="B9188" t="str">
        <f>"1552374545019122"</f>
        <v>1552374545019122</v>
      </c>
      <c r="C9188" t="s">
        <v>40</v>
      </c>
      <c r="D9188">
        <v>4.6938490000000002</v>
      </c>
      <c r="E9188">
        <v>0.39518900000000001</v>
      </c>
      <c r="F9188" t="s">
        <v>42</v>
      </c>
      <c r="G9188">
        <v>-296.94049999999999</v>
      </c>
      <c r="H9188" s="1">
        <v>-1.696824E-6</v>
      </c>
      <c r="I9188">
        <v>-27.75788</v>
      </c>
      <c r="J9188">
        <v>-301.16950000000003</v>
      </c>
      <c r="K9188">
        <v>1.1118030000000001</v>
      </c>
      <c r="L9188">
        <v>-17.63223</v>
      </c>
      <c r="M9188">
        <v>-4.0190789999999997E-2</v>
      </c>
      <c r="N9188">
        <v>0</v>
      </c>
      <c r="O9188">
        <v>-0.99910739999999998</v>
      </c>
      <c r="P9188">
        <v>0.1192891</v>
      </c>
      <c r="Q9188">
        <v>3.7940540000000002E-2</v>
      </c>
      <c r="R9188">
        <v>-0.99213470000000004</v>
      </c>
      <c r="S9188">
        <v>1.1872560000000001</v>
      </c>
      <c r="T9188">
        <v>-0.3124903</v>
      </c>
      <c r="U9188">
        <v>-2.89621</v>
      </c>
      <c r="V9188">
        <v>-0.15923119999999999</v>
      </c>
      <c r="W9188">
        <v>5.0273499999999999E-2</v>
      </c>
      <c r="X9188">
        <v>0.98596039999999996</v>
      </c>
      <c r="Y9188">
        <v>-0.4143348</v>
      </c>
      <c r="Z9188">
        <v>9.8391350000000002E-2</v>
      </c>
      <c r="AA9188">
        <v>0.90479050000000005</v>
      </c>
      <c r="AB9188">
        <v>19</v>
      </c>
      <c r="AC9188">
        <v>4.2290000000000401</v>
      </c>
      <c r="AD9188">
        <v>-1.1118046968240001</v>
      </c>
      <c r="AE9188">
        <v>-10.12565</v>
      </c>
      <c r="AF9188">
        <v>-4.58550201313796</v>
      </c>
      <c r="AG9188">
        <v>-1.1118046968240001</v>
      </c>
      <c r="AH9188">
        <v>9.8464071864622298</v>
      </c>
      <c r="AI9188">
        <v>95.844396440462006</v>
      </c>
      <c r="AJ9188">
        <v>114.97153984210701</v>
      </c>
      <c r="AK9188">
        <v>10.918547196307101</v>
      </c>
      <c r="AL9188">
        <v>87.118325759696503</v>
      </c>
      <c r="AM9188">
        <v>99.173976136738901</v>
      </c>
      <c r="AN9188">
        <v>0.99999995511192297</v>
      </c>
    </row>
    <row r="9189" spans="1:40" x14ac:dyDescent="0.25">
      <c r="A9189" t="str">
        <f>"20190312150905048"</f>
        <v>20190312150905048</v>
      </c>
      <c r="B9189" t="str">
        <f>"1552374545038642"</f>
        <v>1552374545038642</v>
      </c>
      <c r="C9189" t="s">
        <v>40</v>
      </c>
      <c r="D9189">
        <v>4.7291780000000001</v>
      </c>
      <c r="E9189">
        <v>0.39557870000000001</v>
      </c>
      <c r="F9189" t="s">
        <v>41</v>
      </c>
      <c r="G9189">
        <v>-300.77179999999998</v>
      </c>
      <c r="H9189">
        <v>1.0068889999999999</v>
      </c>
      <c r="I9189">
        <v>-18.595600000000001</v>
      </c>
      <c r="J9189">
        <v>-301.17430000000002</v>
      </c>
      <c r="K9189">
        <v>1.111783</v>
      </c>
      <c r="L9189">
        <v>-17.82471</v>
      </c>
      <c r="M9189">
        <v>-3.7671059999999999E-2</v>
      </c>
      <c r="N9189">
        <v>0</v>
      </c>
      <c r="O9189">
        <v>-0.99920569999999997</v>
      </c>
      <c r="P9189">
        <v>0.1230749</v>
      </c>
      <c r="Q9189">
        <v>3.7171839999999998E-2</v>
      </c>
      <c r="R9189">
        <v>-0.9917009</v>
      </c>
      <c r="S9189">
        <v>1.1941219999999999</v>
      </c>
      <c r="T9189">
        <v>-0.3149769</v>
      </c>
      <c r="U9189">
        <v>-2.892242</v>
      </c>
      <c r="V9189">
        <v>-0.1605058</v>
      </c>
      <c r="W9189">
        <v>4.947961E-2</v>
      </c>
      <c r="X9189">
        <v>0.9857939</v>
      </c>
      <c r="Y9189">
        <v>-0.41428150000000002</v>
      </c>
      <c r="Z9189">
        <v>9.9264379999999999E-2</v>
      </c>
      <c r="AA9189">
        <v>0.90471950000000001</v>
      </c>
      <c r="AB9189">
        <v>19</v>
      </c>
      <c r="AC9189">
        <v>0.402500000000031</v>
      </c>
      <c r="AD9189">
        <v>-0.104894</v>
      </c>
      <c r="AE9189">
        <v>-0.77089000000000096</v>
      </c>
      <c r="AF9189">
        <v>-0.42507275353822999</v>
      </c>
      <c r="AG9189">
        <v>-0.104894</v>
      </c>
      <c r="AH9189">
        <v>0.74434962720129205</v>
      </c>
      <c r="AI9189">
        <v>96.976724597858606</v>
      </c>
      <c r="AJ9189">
        <v>119.72921797302</v>
      </c>
      <c r="AK9189">
        <v>0.86356584262653402</v>
      </c>
      <c r="AL9189">
        <v>87.163869059173805</v>
      </c>
      <c r="AM9189">
        <v>99.247682455850196</v>
      </c>
      <c r="AN9189">
        <v>0.99999997845830002</v>
      </c>
    </row>
    <row r="9190" spans="1:40" x14ac:dyDescent="0.25">
      <c r="A9190" t="str">
        <f>"20190312150905072"</f>
        <v>20190312150905072</v>
      </c>
      <c r="B9190" t="str">
        <f>"1552374545068897"</f>
        <v>1552374545068897</v>
      </c>
      <c r="C9190" t="s">
        <v>40</v>
      </c>
      <c r="D9190">
        <v>4.7245100000000004</v>
      </c>
      <c r="E9190">
        <v>0.39623120000000001</v>
      </c>
      <c r="F9190" t="s">
        <v>41</v>
      </c>
      <c r="G9190">
        <v>-300.7672</v>
      </c>
      <c r="H9190">
        <v>1.0040420000000001</v>
      </c>
      <c r="I9190">
        <v>-18.802499999999998</v>
      </c>
      <c r="J9190">
        <v>-301.1789</v>
      </c>
      <c r="K9190">
        <v>1.1117699999999999</v>
      </c>
      <c r="L9190">
        <v>-18.03809</v>
      </c>
      <c r="M9190">
        <v>-3.4889379999999998E-2</v>
      </c>
      <c r="N9190">
        <v>0</v>
      </c>
      <c r="O9190">
        <v>-0.9993071</v>
      </c>
      <c r="P9190">
        <v>0.12640390000000001</v>
      </c>
      <c r="Q9190">
        <v>3.7114809999999998E-2</v>
      </c>
      <c r="R9190">
        <v>-0.99128450000000001</v>
      </c>
      <c r="S9190">
        <v>1.20285</v>
      </c>
      <c r="T9190">
        <v>-0.31820320000000002</v>
      </c>
      <c r="U9190">
        <v>-2.887756</v>
      </c>
      <c r="V9190">
        <v>-0.16106999999999999</v>
      </c>
      <c r="W9190">
        <v>4.9398629999999999E-2</v>
      </c>
      <c r="X9190">
        <v>0.98570599999999997</v>
      </c>
      <c r="Y9190">
        <v>-0.41453659999999998</v>
      </c>
      <c r="Z9190">
        <v>0.100367</v>
      </c>
      <c r="AA9190">
        <v>0.90448099999999998</v>
      </c>
      <c r="AB9190">
        <v>19</v>
      </c>
      <c r="AC9190">
        <v>0.41169999999999601</v>
      </c>
      <c r="AD9190">
        <v>-0.107728</v>
      </c>
      <c r="AE9190">
        <v>-0.76440999999999704</v>
      </c>
      <c r="AF9190">
        <v>-0.43147857169069498</v>
      </c>
      <c r="AG9190">
        <v>-0.107728</v>
      </c>
      <c r="AH9190">
        <v>0.73821429533424199</v>
      </c>
      <c r="AI9190">
        <v>97.180761522043696</v>
      </c>
      <c r="AJ9190">
        <v>120.305841367326</v>
      </c>
      <c r="AK9190">
        <v>0.86182331463477702</v>
      </c>
      <c r="AL9190">
        <v>87.168514737998393</v>
      </c>
      <c r="AM9190">
        <v>99.280437922386</v>
      </c>
      <c r="AN9190">
        <v>1.00000004399093</v>
      </c>
    </row>
    <row r="9191" spans="1:40" x14ac:dyDescent="0.25">
      <c r="A9191" t="str">
        <f>"20190312150905095"</f>
        <v>20190312150905095</v>
      </c>
      <c r="B9191" t="str">
        <f>"1552374545088925"</f>
        <v>1552374545088925</v>
      </c>
      <c r="C9191" t="s">
        <v>40</v>
      </c>
      <c r="D9191">
        <v>4.7840059999999998</v>
      </c>
      <c r="E9191">
        <v>0.39678449999999998</v>
      </c>
      <c r="F9191" t="s">
        <v>42</v>
      </c>
      <c r="G9191">
        <v>-296.9418</v>
      </c>
      <c r="H9191" s="1">
        <v>-1.563347E-6</v>
      </c>
      <c r="I9191">
        <v>-28.149049999999999</v>
      </c>
      <c r="J9191">
        <v>-301.18259999999998</v>
      </c>
      <c r="K9191">
        <v>1.1117619999999999</v>
      </c>
      <c r="L9191">
        <v>-18.228210000000001</v>
      </c>
      <c r="M9191">
        <v>-3.2419770000000001E-2</v>
      </c>
      <c r="N9191">
        <v>0</v>
      </c>
      <c r="O9191">
        <v>-0.99939080000000002</v>
      </c>
      <c r="P9191">
        <v>0.1280181</v>
      </c>
      <c r="Q9191">
        <v>3.7365990000000002E-2</v>
      </c>
      <c r="R9191">
        <v>-0.99106810000000001</v>
      </c>
      <c r="S9191">
        <v>1.208618</v>
      </c>
      <c r="T9191">
        <v>-0.31712990000000002</v>
      </c>
      <c r="U9191">
        <v>-2.884125</v>
      </c>
      <c r="V9191">
        <v>-0.1602372</v>
      </c>
      <c r="W9191">
        <v>4.9631059999999998E-2</v>
      </c>
      <c r="X9191">
        <v>0.98582999999999998</v>
      </c>
      <c r="Y9191">
        <v>-0.4142438</v>
      </c>
      <c r="Z9191">
        <v>0.10013080000000001</v>
      </c>
      <c r="AA9191">
        <v>0.90464129999999998</v>
      </c>
      <c r="AB9191">
        <v>19</v>
      </c>
      <c r="AC9191">
        <v>4.2407999999999699</v>
      </c>
      <c r="AD9191">
        <v>-1.111763563347</v>
      </c>
      <c r="AE9191">
        <v>-9.9208399999999894</v>
      </c>
      <c r="AF9191">
        <v>-4.5123166918100699</v>
      </c>
      <c r="AG9191">
        <v>-1.111763563347</v>
      </c>
      <c r="AH9191">
        <v>9.6753932593451495</v>
      </c>
      <c r="AI9191">
        <v>95.945236267191206</v>
      </c>
      <c r="AJ9191">
        <v>115.00295109248199</v>
      </c>
      <c r="AK9191">
        <v>10.733604001962901</v>
      </c>
      <c r="AL9191">
        <v>87.155180987688894</v>
      </c>
      <c r="AM9191">
        <v>99.232141284097494</v>
      </c>
      <c r="AN9191">
        <v>0.99999999564028097</v>
      </c>
    </row>
    <row r="9192" spans="1:40" x14ac:dyDescent="0.25">
      <c r="A9192" t="str">
        <f>"20190312150905115"</f>
        <v>20190312150905115</v>
      </c>
      <c r="B9192" t="str">
        <f>"1552374545108443"</f>
        <v>1552374545108443</v>
      </c>
      <c r="C9192" t="s">
        <v>40</v>
      </c>
      <c r="D9192">
        <v>4.7452629999999996</v>
      </c>
      <c r="E9192">
        <v>0.3971847</v>
      </c>
      <c r="F9192" t="s">
        <v>42</v>
      </c>
      <c r="G9192">
        <v>-296.928</v>
      </c>
      <c r="H9192" s="1">
        <v>-1.491513E-6</v>
      </c>
      <c r="I9192">
        <v>-28.370979999999999</v>
      </c>
      <c r="J9192">
        <v>-301.18540000000002</v>
      </c>
      <c r="K9192">
        <v>1.111758</v>
      </c>
      <c r="L9192">
        <v>-18.393550000000001</v>
      </c>
      <c r="M9192">
        <v>-3.0279179999999999E-2</v>
      </c>
      <c r="N9192">
        <v>0</v>
      </c>
      <c r="O9192">
        <v>-0.99945810000000002</v>
      </c>
      <c r="P9192">
        <v>0.13054169999999901</v>
      </c>
      <c r="Q9192">
        <v>3.7063859999999997E-2</v>
      </c>
      <c r="R9192">
        <v>-0.99074980000000001</v>
      </c>
      <c r="S9192">
        <v>1.2092290000000001</v>
      </c>
      <c r="T9192">
        <v>-0.315982599999999</v>
      </c>
      <c r="U9192">
        <v>-2.8827509999999998</v>
      </c>
      <c r="V9192">
        <v>-0.16063559999999999</v>
      </c>
      <c r="W9192">
        <v>4.9302430000000001E-2</v>
      </c>
      <c r="X9192">
        <v>0.98578169999999998</v>
      </c>
      <c r="Y9192">
        <v>-0.41262330000000003</v>
      </c>
      <c r="Z9192">
        <v>9.9861130000000006E-2</v>
      </c>
      <c r="AA9192">
        <v>0.90541139999999998</v>
      </c>
      <c r="AB9192">
        <v>19</v>
      </c>
      <c r="AC9192">
        <v>4.2574000000000103</v>
      </c>
      <c r="AD9192">
        <v>-1.111759491513</v>
      </c>
      <c r="AE9192">
        <v>-9.9774299999999894</v>
      </c>
      <c r="AF9192">
        <v>-4.51020763588253</v>
      </c>
      <c r="AG9192">
        <v>-1.111759491513</v>
      </c>
      <c r="AH9192">
        <v>9.7416108651734898</v>
      </c>
      <c r="AI9192">
        <v>95.912682480564598</v>
      </c>
      <c r="AJ9192">
        <v>114.843370405196</v>
      </c>
      <c r="AK9192">
        <v>10.792449413094699</v>
      </c>
      <c r="AL9192">
        <v>87.174033312719203</v>
      </c>
      <c r="AM9192">
        <v>99.255144194927496</v>
      </c>
      <c r="AN9192">
        <v>1.00000004282307</v>
      </c>
    </row>
    <row r="9193" spans="1:40" x14ac:dyDescent="0.25">
      <c r="A9193" t="str">
        <f>"20190312150905137"</f>
        <v>20190312150905137</v>
      </c>
      <c r="B9193" t="str">
        <f>"1552374545128940"</f>
        <v>1552374545128940</v>
      </c>
      <c r="C9193" t="s">
        <v>40</v>
      </c>
      <c r="D9193">
        <v>4.7286590000000004</v>
      </c>
      <c r="E9193">
        <v>0.39756010000000003</v>
      </c>
      <c r="F9193" t="s">
        <v>42</v>
      </c>
      <c r="G9193">
        <v>-296.93920000000003</v>
      </c>
      <c r="H9193" s="1">
        <v>-1.4540029999999901E-6</v>
      </c>
      <c r="I9193">
        <v>-28.47241</v>
      </c>
      <c r="J9193">
        <v>-301.18819999999999</v>
      </c>
      <c r="K9193">
        <v>1.1117429999999999</v>
      </c>
      <c r="L9193">
        <v>-18.5824</v>
      </c>
      <c r="M9193">
        <v>-2.7842220000000001E-2</v>
      </c>
      <c r="N9193">
        <v>0</v>
      </c>
      <c r="O9193">
        <v>-0.99952980000000002</v>
      </c>
      <c r="P9193">
        <v>0.13303519999999999</v>
      </c>
      <c r="Q9193">
        <v>3.7552929999999998E-2</v>
      </c>
      <c r="R9193">
        <v>-0.99039999999999995</v>
      </c>
      <c r="S9193">
        <v>1.2133480000000001</v>
      </c>
      <c r="T9193">
        <v>-0.3176853</v>
      </c>
      <c r="U9193">
        <v>-2.8800349999999999</v>
      </c>
      <c r="V9193">
        <v>-0.160713299999999</v>
      </c>
      <c r="W9193">
        <v>4.975678E-2</v>
      </c>
      <c r="X9193">
        <v>0.98574609999999996</v>
      </c>
      <c r="Y9193">
        <v>-0.41178550000000003</v>
      </c>
      <c r="Z9193">
        <v>0.1004844</v>
      </c>
      <c r="AA9193">
        <v>0.90572379999999997</v>
      </c>
      <c r="AB9193">
        <v>19</v>
      </c>
      <c r="AC9193">
        <v>4.2489999999999597</v>
      </c>
      <c r="AD9193">
        <v>-1.1117444540029999</v>
      </c>
      <c r="AE9193">
        <v>-9.8900099999999895</v>
      </c>
      <c r="AF9193">
        <v>-4.4749991011080397</v>
      </c>
      <c r="AG9193">
        <v>-1.1117444540029999</v>
      </c>
      <c r="AH9193">
        <v>9.6647673866415893</v>
      </c>
      <c r="AI9193">
        <v>95.959190467119299</v>
      </c>
      <c r="AJ9193">
        <v>114.845170557261</v>
      </c>
      <c r="AK9193">
        <v>10.708376222556501</v>
      </c>
      <c r="AL9193">
        <v>87.147968686541404</v>
      </c>
      <c r="AM9193">
        <v>99.259872030595602</v>
      </c>
      <c r="AN9193">
        <v>0.99999993780903196</v>
      </c>
    </row>
    <row r="9194" spans="1:40" x14ac:dyDescent="0.25">
      <c r="A9194" t="str">
        <f>"20190312150905159"</f>
        <v>20190312150905159</v>
      </c>
      <c r="B9194" t="str">
        <f>"1552374545148461"</f>
        <v>1552374545148461</v>
      </c>
      <c r="C9194" t="s">
        <v>40</v>
      </c>
      <c r="D9194">
        <v>4.7482530000000001</v>
      </c>
      <c r="E9194">
        <v>0.3979839</v>
      </c>
      <c r="F9194" t="s">
        <v>42</v>
      </c>
      <c r="G9194">
        <v>-296.91559999999998</v>
      </c>
      <c r="H9194" s="1">
        <v>-1.3904409999999999E-6</v>
      </c>
      <c r="I9194">
        <v>-28.677620000000001</v>
      </c>
      <c r="J9194">
        <v>-301.19049999999999</v>
      </c>
      <c r="K9194">
        <v>1.111729</v>
      </c>
      <c r="L9194">
        <v>-18.766850000000002</v>
      </c>
      <c r="M9194">
        <v>-2.54711E-2</v>
      </c>
      <c r="N9194">
        <v>0</v>
      </c>
      <c r="O9194">
        <v>-0.99959310000000001</v>
      </c>
      <c r="P9194">
        <v>0.1365101</v>
      </c>
      <c r="Q9194">
        <v>3.7386160000000002E-2</v>
      </c>
      <c r="R9194">
        <v>-0.98993279999999995</v>
      </c>
      <c r="S9194">
        <v>1.2178340000000001</v>
      </c>
      <c r="T9194">
        <v>-0.31688729999999998</v>
      </c>
      <c r="U9194">
        <v>-2.8775019999999998</v>
      </c>
      <c r="V9194">
        <v>-0.16183349999999999</v>
      </c>
      <c r="W9194">
        <v>4.9549610000000001E-2</v>
      </c>
      <c r="X9194">
        <v>0.98557329999999999</v>
      </c>
      <c r="Y9194">
        <v>-0.4111167</v>
      </c>
      <c r="Z9194">
        <v>0.10031229999999999</v>
      </c>
      <c r="AA9194">
        <v>0.90604660000000004</v>
      </c>
      <c r="AB9194">
        <v>19</v>
      </c>
      <c r="AC9194">
        <v>4.2748999999999997</v>
      </c>
      <c r="AD9194">
        <v>-1.1117303904410001</v>
      </c>
      <c r="AE9194">
        <v>-9.9107699999999994</v>
      </c>
      <c r="AF9194">
        <v>-4.4784592616360204</v>
      </c>
      <c r="AG9194">
        <v>-1.1117303904410001</v>
      </c>
      <c r="AH9194">
        <v>9.6957946283375502</v>
      </c>
      <c r="AI9194">
        <v>95.942710519007406</v>
      </c>
      <c r="AJ9194">
        <v>114.792077439176</v>
      </c>
      <c r="AK9194">
        <v>10.7378291704637</v>
      </c>
      <c r="AL9194">
        <v>87.159853454996906</v>
      </c>
      <c r="AM9194">
        <v>99.324891405270904</v>
      </c>
      <c r="AN9194">
        <v>0.99999998762314501</v>
      </c>
    </row>
    <row r="9195" spans="1:40" x14ac:dyDescent="0.25">
      <c r="A9195" t="str">
        <f>"20190312150905180"</f>
        <v>20190312150905180</v>
      </c>
      <c r="B9195" t="str">
        <f>"1552374545168956"</f>
        <v>1552374545168956</v>
      </c>
      <c r="C9195" t="s">
        <v>40</v>
      </c>
      <c r="D9195">
        <v>4.7214349999999996</v>
      </c>
      <c r="E9195">
        <v>0.398366</v>
      </c>
      <c r="F9195" t="s">
        <v>42</v>
      </c>
      <c r="G9195">
        <v>-296.91390000000001</v>
      </c>
      <c r="H9195" s="1">
        <v>-1.3491900000000001E-6</v>
      </c>
      <c r="I9195">
        <v>-28.800190000000001</v>
      </c>
      <c r="J9195">
        <v>-301.19240000000002</v>
      </c>
      <c r="K9195">
        <v>1.111712</v>
      </c>
      <c r="L9195">
        <v>-18.95438</v>
      </c>
      <c r="M9195">
        <v>-2.3069610000000001E-2</v>
      </c>
      <c r="N9195">
        <v>0</v>
      </c>
      <c r="O9195">
        <v>-0.99965210000000004</v>
      </c>
      <c r="P9195">
        <v>0.1403594</v>
      </c>
      <c r="Q9195">
        <v>3.7458039999999998E-2</v>
      </c>
      <c r="R9195">
        <v>-0.98939200000000005</v>
      </c>
      <c r="S9195">
        <v>1.2248540000000001</v>
      </c>
      <c r="T9195">
        <v>-0.31840829999999998</v>
      </c>
      <c r="U9195">
        <v>-2.8736269999999999</v>
      </c>
      <c r="V9195">
        <v>-0.1632989</v>
      </c>
      <c r="W9195">
        <v>4.9577709999999997E-2</v>
      </c>
      <c r="X9195">
        <v>0.98533020000000004</v>
      </c>
      <c r="Y9195">
        <v>-0.41122019999999998</v>
      </c>
      <c r="Z9195">
        <v>0.1008734</v>
      </c>
      <c r="AA9195">
        <v>0.9059374</v>
      </c>
      <c r="AB9195">
        <v>19</v>
      </c>
      <c r="AC9195">
        <v>4.2785000000000002</v>
      </c>
      <c r="AD9195">
        <v>-1.11171334919</v>
      </c>
      <c r="AE9195">
        <v>-9.8458100000000002</v>
      </c>
      <c r="AF9195">
        <v>-4.4567242725928802</v>
      </c>
      <c r="AG9195">
        <v>-1.11171334919</v>
      </c>
      <c r="AH9195">
        <v>9.6410856969351393</v>
      </c>
      <c r="AI9195">
        <v>95.975270236616097</v>
      </c>
      <c r="AJ9195">
        <v>114.80938868511799</v>
      </c>
      <c r="AK9195">
        <v>10.6793647389876</v>
      </c>
      <c r="AL9195">
        <v>87.1582416157556</v>
      </c>
      <c r="AM9195">
        <v>99.410104832208205</v>
      </c>
      <c r="AN9195">
        <v>1.0000000415510399</v>
      </c>
    </row>
    <row r="9196" spans="1:40" x14ac:dyDescent="0.25">
      <c r="A9196" t="str">
        <f>"20190312150905204"</f>
        <v>20190312150905204</v>
      </c>
      <c r="B9196" t="str">
        <f>"1552374545198236"</f>
        <v>1552374545198236</v>
      </c>
      <c r="C9196" t="s">
        <v>40</v>
      </c>
      <c r="D9196">
        <v>4.7772100000000002</v>
      </c>
      <c r="E9196">
        <v>0.43239519999999998</v>
      </c>
      <c r="F9196" t="s">
        <v>42</v>
      </c>
      <c r="G9196">
        <v>-296.89260000000002</v>
      </c>
      <c r="H9196" s="1">
        <v>-1.301534E-6</v>
      </c>
      <c r="I9196">
        <v>-28.956900000000001</v>
      </c>
      <c r="J9196">
        <v>-301.19389999999999</v>
      </c>
      <c r="K9196">
        <v>1.1116889999999999</v>
      </c>
      <c r="L9196">
        <v>-19.144349999999999</v>
      </c>
      <c r="M9196">
        <v>-2.065148E-2</v>
      </c>
      <c r="N9196">
        <v>0</v>
      </c>
      <c r="O9196">
        <v>-0.99970559999999997</v>
      </c>
      <c r="P9196">
        <v>0.14417759999999999</v>
      </c>
      <c r="Q9196">
        <v>3.7538130000000003E-2</v>
      </c>
      <c r="R9196">
        <v>-0.98883989999999999</v>
      </c>
      <c r="S9196">
        <v>1.2334290000000001</v>
      </c>
      <c r="T9196">
        <v>-0.31889919999999999</v>
      </c>
      <c r="U9196">
        <v>-2.8692630000000001</v>
      </c>
      <c r="V9196">
        <v>-0.1647178</v>
      </c>
      <c r="W9196">
        <v>4.961343E-2</v>
      </c>
      <c r="X9196">
        <v>0.98509219999999997</v>
      </c>
      <c r="Y9196">
        <v>-0.41179339999999998</v>
      </c>
      <c r="Z9196">
        <v>0.1011054</v>
      </c>
      <c r="AA9196">
        <v>0.90565110000000004</v>
      </c>
      <c r="AB9196">
        <v>19</v>
      </c>
      <c r="AC9196">
        <v>4.3012999999999604</v>
      </c>
      <c r="AD9196">
        <v>-1.1116903015339901</v>
      </c>
      <c r="AE9196">
        <v>-9.8125499999999999</v>
      </c>
      <c r="AF9196">
        <v>-4.4550771586111599</v>
      </c>
      <c r="AG9196">
        <v>-1.1116903015339901</v>
      </c>
      <c r="AH9196">
        <v>9.6180688326769008</v>
      </c>
      <c r="AI9196">
        <v>95.987224085696795</v>
      </c>
      <c r="AJ9196">
        <v>114.853511729421</v>
      </c>
      <c r="AK9196">
        <v>10.657899224791599</v>
      </c>
      <c r="AL9196">
        <v>87.1561924966921</v>
      </c>
      <c r="AM9196">
        <v>99.492639044201894</v>
      </c>
      <c r="AN9196">
        <v>1.0000000442870201</v>
      </c>
    </row>
    <row r="9197" spans="1:40" x14ac:dyDescent="0.25">
      <c r="A9197" t="str">
        <f>"20190312150905226"</f>
        <v>20190312150905226</v>
      </c>
      <c r="B9197" t="str">
        <f>"1552374545218732"</f>
        <v>1552374545218732</v>
      </c>
      <c r="C9197" t="s">
        <v>40</v>
      </c>
      <c r="D9197">
        <v>4.7227509999999997</v>
      </c>
      <c r="E9197">
        <v>0.43793460000000001</v>
      </c>
      <c r="F9197" t="s">
        <v>42</v>
      </c>
      <c r="G9197">
        <v>-297.93180000000001</v>
      </c>
      <c r="H9197" s="1">
        <v>-1.0619510000000001E-6</v>
      </c>
      <c r="I9197">
        <v>-28.848369999999999</v>
      </c>
      <c r="J9197">
        <v>-301.19490000000002</v>
      </c>
      <c r="K9197">
        <v>1.111661</v>
      </c>
      <c r="L9197">
        <v>-19.33539</v>
      </c>
      <c r="M9197">
        <v>-1.824197E-2</v>
      </c>
      <c r="N9197">
        <v>0</v>
      </c>
      <c r="O9197">
        <v>-0.99975290000000006</v>
      </c>
      <c r="P9197">
        <v>0.14792</v>
      </c>
      <c r="Q9197">
        <v>3.7554740000000003E-2</v>
      </c>
      <c r="R9197">
        <v>-0.98828609999999995</v>
      </c>
      <c r="S9197">
        <v>0.97625729999999999</v>
      </c>
      <c r="T9197">
        <v>-0.3326981</v>
      </c>
      <c r="U9197">
        <v>-2.9041440000000001</v>
      </c>
      <c r="V9197">
        <v>-0.1660712</v>
      </c>
      <c r="W9197">
        <v>4.9586280000000003E-2</v>
      </c>
      <c r="X9197">
        <v>0.98486629999999997</v>
      </c>
      <c r="Y9197">
        <v>-0.33402459999999901</v>
      </c>
      <c r="Z9197">
        <v>0.10759639999999999</v>
      </c>
      <c r="AA9197">
        <v>0.93640299999999999</v>
      </c>
      <c r="AB9197">
        <v>19</v>
      </c>
      <c r="AC9197">
        <v>3.2631000000000001</v>
      </c>
      <c r="AD9197">
        <v>-1.111662061951</v>
      </c>
      <c r="AE9197">
        <v>-9.5129800000000007</v>
      </c>
      <c r="AF9197">
        <v>-3.3946305816170401</v>
      </c>
      <c r="AG9197">
        <v>-1.111662061951</v>
      </c>
      <c r="AH9197">
        <v>9.3377769533425106</v>
      </c>
      <c r="AI9197">
        <v>96.384040834617707</v>
      </c>
      <c r="AJ9197">
        <v>109.978095267336</v>
      </c>
      <c r="AK9197">
        <v>9.9976691161492894</v>
      </c>
      <c r="AL9197">
        <v>87.157749969780895</v>
      </c>
      <c r="AM9197">
        <v>99.571352767466706</v>
      </c>
      <c r="AN9197">
        <v>1.0000000357546801</v>
      </c>
    </row>
    <row r="9198" spans="1:40" x14ac:dyDescent="0.25">
      <c r="A9198" t="str">
        <f>"20190312150905250"</f>
        <v>20190312150905250</v>
      </c>
      <c r="B9198" t="str">
        <f>"1552374545239228"</f>
        <v>1552374545239228</v>
      </c>
      <c r="C9198" t="s">
        <v>40</v>
      </c>
      <c r="D9198">
        <v>4.7465310000000001</v>
      </c>
      <c r="E9198">
        <v>0.43900329999999899</v>
      </c>
      <c r="F9198" t="s">
        <v>42</v>
      </c>
      <c r="G9198">
        <v>-298.1277</v>
      </c>
      <c r="H9198" s="1">
        <v>-1.0335379999999999E-6</v>
      </c>
      <c r="I9198">
        <v>-28.778690000000001</v>
      </c>
      <c r="J9198">
        <v>-301.19560000000001</v>
      </c>
      <c r="K9198">
        <v>1.1116299999999999</v>
      </c>
      <c r="L9198">
        <v>-19.54034</v>
      </c>
      <c r="M9198">
        <v>-1.5692520000000001E-2</v>
      </c>
      <c r="N9198">
        <v>0</v>
      </c>
      <c r="O9198">
        <v>-0.99979700000000005</v>
      </c>
      <c r="P9198">
        <v>0.1521555</v>
      </c>
      <c r="Q9198">
        <v>3.7536229999999997E-2</v>
      </c>
      <c r="R9198">
        <v>-0.98764370000000001</v>
      </c>
      <c r="S9198">
        <v>0.94427490000000003</v>
      </c>
      <c r="T9198">
        <v>-0.34223769999999998</v>
      </c>
      <c r="U9198">
        <v>-2.9072269999999998</v>
      </c>
      <c r="V9198">
        <v>-0.1677795</v>
      </c>
      <c r="W9198">
        <v>4.9520090000000003E-2</v>
      </c>
      <c r="X9198">
        <v>0.98458000000000001</v>
      </c>
      <c r="Y9198">
        <v>-0.32189400000000001</v>
      </c>
      <c r="Z9198">
        <v>0.1109634</v>
      </c>
      <c r="AA9198">
        <v>0.94025069999999999</v>
      </c>
      <c r="AB9198">
        <v>19</v>
      </c>
      <c r="AC9198">
        <v>3.0678999999999998</v>
      </c>
      <c r="AD9198">
        <v>-1.111631033538</v>
      </c>
      <c r="AE9198">
        <v>-9.2383500000000005</v>
      </c>
      <c r="AF9198">
        <v>-3.1711527489234501</v>
      </c>
      <c r="AG9198">
        <v>-1.111631033538</v>
      </c>
      <c r="AH9198">
        <v>9.0707762184329095</v>
      </c>
      <c r="AI9198">
        <v>96.598928502996401</v>
      </c>
      <c r="AJ9198">
        <v>109.269679281862</v>
      </c>
      <c r="AK9198">
        <v>9.67320601024384</v>
      </c>
      <c r="AL9198">
        <v>87.161546906860707</v>
      </c>
      <c r="AM9198">
        <v>99.670718122124896</v>
      </c>
      <c r="AN9198">
        <v>0.99999998816692803</v>
      </c>
    </row>
    <row r="9199" spans="1:40" x14ac:dyDescent="0.25">
      <c r="A9199" t="str">
        <f>"20190312150905273"</f>
        <v>20190312150905273</v>
      </c>
      <c r="B9199" t="str">
        <f>"1552374545268508"</f>
        <v>1552374545268508</v>
      </c>
      <c r="C9199" t="s">
        <v>40</v>
      </c>
      <c r="D9199">
        <v>4.7241140000000001</v>
      </c>
      <c r="E9199">
        <v>0.4403784</v>
      </c>
      <c r="F9199" t="s">
        <v>42</v>
      </c>
      <c r="G9199">
        <v>-298.13060000000002</v>
      </c>
      <c r="H9199" s="1">
        <v>-9.8457840000000006E-7</v>
      </c>
      <c r="I9199">
        <v>-28.920300000000001</v>
      </c>
      <c r="J9199">
        <v>-301.19580000000002</v>
      </c>
      <c r="K9199">
        <v>1.1115969999999999</v>
      </c>
      <c r="L9199">
        <v>-19.735869999999998</v>
      </c>
      <c r="M9199">
        <v>-1.32928E-2</v>
      </c>
      <c r="N9199">
        <v>0</v>
      </c>
      <c r="O9199">
        <v>-0.99983230000000001</v>
      </c>
      <c r="P9199">
        <v>0.15581449999999999</v>
      </c>
      <c r="Q9199">
        <v>3.7513100000000001E-2</v>
      </c>
      <c r="R9199">
        <v>-0.98707409999999995</v>
      </c>
      <c r="S9199">
        <v>0.94903559999999998</v>
      </c>
      <c r="T9199">
        <v>-0.34420659999999997</v>
      </c>
      <c r="U9199">
        <v>-2.9044189999999999</v>
      </c>
      <c r="V9199">
        <v>-0.16906209999999999</v>
      </c>
      <c r="W9199">
        <v>4.945198E-2</v>
      </c>
      <c r="X9199">
        <v>0.98436400000000002</v>
      </c>
      <c r="Y9199">
        <v>-0.3212585</v>
      </c>
      <c r="Z9199">
        <v>0.1116858</v>
      </c>
      <c r="AA9199">
        <v>0.94038250000000001</v>
      </c>
      <c r="AB9199">
        <v>19</v>
      </c>
      <c r="AC9199">
        <v>3.0651999999999999</v>
      </c>
      <c r="AD9199">
        <v>-1.1115979845784001</v>
      </c>
      <c r="AE9199">
        <v>-9.1844300000000008</v>
      </c>
      <c r="AF9199">
        <v>-3.1455658641604698</v>
      </c>
      <c r="AG9199">
        <v>-1.1115979845784001</v>
      </c>
      <c r="AH9199">
        <v>9.0239312384427901</v>
      </c>
      <c r="AI9199">
        <v>96.634772883951001</v>
      </c>
      <c r="AJ9199">
        <v>109.217555230098</v>
      </c>
      <c r="AK9199">
        <v>9.6208923536870508</v>
      </c>
      <c r="AL9199">
        <v>87.165454109698899</v>
      </c>
      <c r="AM9199">
        <v>99.745331672607406</v>
      </c>
      <c r="AN9199">
        <v>0.99999998823916503</v>
      </c>
    </row>
    <row r="9200" spans="1:40" x14ac:dyDescent="0.25">
      <c r="A9200" t="str">
        <f>"20190312150905298"</f>
        <v>20190312150905298</v>
      </c>
      <c r="B9200" t="str">
        <f>"1552374545289004"</f>
        <v>1552374545289004</v>
      </c>
      <c r="C9200" t="s">
        <v>40</v>
      </c>
      <c r="D9200">
        <v>4.7446950000000001</v>
      </c>
      <c r="E9200">
        <v>0.44079960000000001</v>
      </c>
      <c r="F9200" t="s">
        <v>42</v>
      </c>
      <c r="G9200">
        <v>-298.11399999999998</v>
      </c>
      <c r="H9200" s="1">
        <v>-9.0975539999999995E-7</v>
      </c>
      <c r="I9200">
        <v>-29.153169999999999</v>
      </c>
      <c r="J9200">
        <v>-301.19549999999998</v>
      </c>
      <c r="K9200">
        <v>1.1115630000000001</v>
      </c>
      <c r="L9200">
        <v>-19.94754</v>
      </c>
      <c r="M9200">
        <v>-1.0737460000000001E-2</v>
      </c>
      <c r="N9200">
        <v>0</v>
      </c>
      <c r="O9200">
        <v>-0.99986370000000002</v>
      </c>
      <c r="P9200">
        <v>0.15985959999999999</v>
      </c>
      <c r="Q9200">
        <v>3.7561129999999998E-2</v>
      </c>
      <c r="R9200">
        <v>-0.986425</v>
      </c>
      <c r="S9200">
        <v>0.94979860000000005</v>
      </c>
      <c r="T9200">
        <v>-0.34259000000000001</v>
      </c>
      <c r="U9200">
        <v>-2.902374</v>
      </c>
      <c r="V9200">
        <v>-0.17057939999999999</v>
      </c>
      <c r="W9200">
        <v>4.9450550000000003E-2</v>
      </c>
      <c r="X9200">
        <v>0.98410229999999999</v>
      </c>
      <c r="Y9200">
        <v>-0.31927280000000002</v>
      </c>
      <c r="Z9200">
        <v>0.111281</v>
      </c>
      <c r="AA9200">
        <v>0.94110649999999996</v>
      </c>
      <c r="AB9200">
        <v>19</v>
      </c>
      <c r="AC9200">
        <v>3.0814999999999402</v>
      </c>
      <c r="AD9200">
        <v>-1.11156390975539</v>
      </c>
      <c r="AE9200">
        <v>-9.2056299999999993</v>
      </c>
      <c r="AF9200">
        <v>-3.1390193940623798</v>
      </c>
      <c r="AG9200">
        <v>-1.11156390975539</v>
      </c>
      <c r="AH9200">
        <v>9.0533108664954707</v>
      </c>
      <c r="AI9200">
        <v>96.617002871280405</v>
      </c>
      <c r="AJ9200">
        <v>109.12276749177801</v>
      </c>
      <c r="AK9200">
        <v>9.6463181954140094</v>
      </c>
      <c r="AL9200">
        <v>87.165536212511299</v>
      </c>
      <c r="AM9200">
        <v>99.833658244808404</v>
      </c>
      <c r="AN9200">
        <v>1.00000001273247</v>
      </c>
    </row>
    <row r="9201" spans="1:40" x14ac:dyDescent="0.25">
      <c r="A9201" t="str">
        <f>"20190312150905317"</f>
        <v>20190312150905317</v>
      </c>
      <c r="B9201" t="str">
        <f>"1552374545308524"</f>
        <v>1552374545308524</v>
      </c>
      <c r="C9201" t="s">
        <v>40</v>
      </c>
      <c r="D9201">
        <v>4.7696290000000001</v>
      </c>
      <c r="E9201">
        <v>0.44166729999999998</v>
      </c>
      <c r="F9201" t="s">
        <v>42</v>
      </c>
      <c r="G9201">
        <v>-298.08980000000003</v>
      </c>
      <c r="H9201" s="1">
        <v>-8.5443469999999895E-7</v>
      </c>
      <c r="I9201">
        <v>-29.33465</v>
      </c>
      <c r="J9201">
        <v>-301.19499999999999</v>
      </c>
      <c r="K9201">
        <v>1.1115429999999999</v>
      </c>
      <c r="L9201">
        <v>-20.104099999999999</v>
      </c>
      <c r="M9201">
        <v>-8.8839209999999995E-3</v>
      </c>
      <c r="N9201">
        <v>0</v>
      </c>
      <c r="O9201">
        <v>-0.99988239999999995</v>
      </c>
      <c r="P9201">
        <v>0.1630684</v>
      </c>
      <c r="Q9201">
        <v>3.8088080000000003E-2</v>
      </c>
      <c r="R9201">
        <v>-0.98587939999999996</v>
      </c>
      <c r="S9201">
        <v>0.95910640000000003</v>
      </c>
      <c r="T9201">
        <v>-0.34327299999999999</v>
      </c>
      <c r="U9201">
        <v>-2.8989259999999999</v>
      </c>
      <c r="V9201">
        <v>-0.17195659999999999</v>
      </c>
      <c r="W9201">
        <v>4.9939190000000001E-2</v>
      </c>
      <c r="X9201">
        <v>0.98383790000000004</v>
      </c>
      <c r="Y9201">
        <v>-0.32056489999999999</v>
      </c>
      <c r="Z9201">
        <v>0.1115487</v>
      </c>
      <c r="AA9201">
        <v>0.94063540000000001</v>
      </c>
      <c r="AB9201">
        <v>19</v>
      </c>
      <c r="AC9201">
        <v>3.10519999999996</v>
      </c>
      <c r="AD9201">
        <v>-1.1115438544347001</v>
      </c>
      <c r="AE9201">
        <v>-9.2305499999999991</v>
      </c>
      <c r="AF9201">
        <v>-3.1461037043823099</v>
      </c>
      <c r="AG9201">
        <v>-1.1115438544347001</v>
      </c>
      <c r="AH9201">
        <v>9.0842584767330692</v>
      </c>
      <c r="AI9201">
        <v>96.595353176452605</v>
      </c>
      <c r="AJ9201">
        <v>109.10223673582701</v>
      </c>
      <c r="AK9201">
        <v>9.6776676080115607</v>
      </c>
      <c r="AL9201">
        <v>87.137504543932593</v>
      </c>
      <c r="AM9201">
        <v>99.914094321838803</v>
      </c>
      <c r="AN9201">
        <v>1.0000000042289101</v>
      </c>
    </row>
    <row r="9202" spans="1:40" x14ac:dyDescent="0.25">
      <c r="A9202" t="str">
        <f>"20190312150905338"</f>
        <v>20190312150905338</v>
      </c>
      <c r="B9202" t="str">
        <f>"1552374545329020"</f>
        <v>1552374545329020</v>
      </c>
      <c r="C9202" t="s">
        <v>40</v>
      </c>
      <c r="D9202">
        <v>4.736783</v>
      </c>
      <c r="E9202">
        <v>0.44207109999999999</v>
      </c>
      <c r="F9202" t="s">
        <v>42</v>
      </c>
      <c r="G9202">
        <v>-298.07749999999999</v>
      </c>
      <c r="H9202" s="1">
        <v>-8.0429039999999998E-7</v>
      </c>
      <c r="I9202">
        <v>-29.491630000000001</v>
      </c>
      <c r="J9202">
        <v>-301.19409999999999</v>
      </c>
      <c r="K9202">
        <v>1.1115109999999999</v>
      </c>
      <c r="L9202">
        <v>-20.284669999999998</v>
      </c>
      <c r="M9202">
        <v>-6.7878950000000004E-3</v>
      </c>
      <c r="N9202">
        <v>0</v>
      </c>
      <c r="O9202">
        <v>-0.99989939999999999</v>
      </c>
      <c r="P9202">
        <v>0.16626379999999999</v>
      </c>
      <c r="Q9202">
        <v>3.9113759999999997E-2</v>
      </c>
      <c r="R9202">
        <v>-0.98530549999999995</v>
      </c>
      <c r="S9202">
        <v>0.96209719999999999</v>
      </c>
      <c r="T9202">
        <v>-0.34303440000000002</v>
      </c>
      <c r="U9202">
        <v>-2.8970950000000002</v>
      </c>
      <c r="V9202">
        <v>-0.1730836</v>
      </c>
      <c r="W9202">
        <v>5.0920699999999999E-2</v>
      </c>
      <c r="X9202">
        <v>0.98358990000000002</v>
      </c>
      <c r="Y9202">
        <v>-0.31963320000000001</v>
      </c>
      <c r="Z9202">
        <v>0.11154169999999999</v>
      </c>
      <c r="AA9202">
        <v>0.94095329999999999</v>
      </c>
      <c r="AB9202">
        <v>19</v>
      </c>
      <c r="AC9202">
        <v>3.1166</v>
      </c>
      <c r="AD9202">
        <v>-1.1115118042904</v>
      </c>
      <c r="AE9202">
        <v>-9.2069599999999898</v>
      </c>
      <c r="AF9202">
        <v>-3.13799578656235</v>
      </c>
      <c r="AG9202">
        <v>-1.1115118042904</v>
      </c>
      <c r="AH9202">
        <v>9.0670285901637104</v>
      </c>
      <c r="AI9202">
        <v>96.608064673278506</v>
      </c>
      <c r="AJ9202">
        <v>109.09015674563101</v>
      </c>
      <c r="AK9202">
        <v>9.6588551859113192</v>
      </c>
      <c r="AL9202">
        <v>87.081196417481095</v>
      </c>
      <c r="AM9202">
        <v>99.980234671846702</v>
      </c>
      <c r="AN9202">
        <v>0.99999997082972902</v>
      </c>
    </row>
    <row r="9203" spans="1:40" x14ac:dyDescent="0.25">
      <c r="A9203" t="str">
        <f>"20190312150905360"</f>
        <v>20190312150905360</v>
      </c>
      <c r="B9203" t="str">
        <f>"1552374545348541"</f>
        <v>1552374545348541</v>
      </c>
      <c r="C9203" t="s">
        <v>40</v>
      </c>
      <c r="D9203">
        <v>4.7421410000000002</v>
      </c>
      <c r="E9203">
        <v>0.44228729999999999</v>
      </c>
      <c r="F9203" t="s">
        <v>42</v>
      </c>
      <c r="G9203">
        <v>-298.02269999999999</v>
      </c>
      <c r="H9203" s="1">
        <v>-7.2901039999999996E-7</v>
      </c>
      <c r="I9203">
        <v>-29.75572</v>
      </c>
      <c r="J9203">
        <v>-301.19290000000001</v>
      </c>
      <c r="K9203">
        <v>1.111475</v>
      </c>
      <c r="L9203">
        <v>-20.47015</v>
      </c>
      <c r="M9203">
        <v>-4.6867360000000004E-3</v>
      </c>
      <c r="N9203">
        <v>0</v>
      </c>
      <c r="O9203">
        <v>-0.99991200000000002</v>
      </c>
      <c r="P9203">
        <v>0.1688318</v>
      </c>
      <c r="Q9203">
        <v>3.928305E-2</v>
      </c>
      <c r="R9203">
        <v>-0.98486200000000002</v>
      </c>
      <c r="S9203">
        <v>0.96929929999999997</v>
      </c>
      <c r="T9203">
        <v>-0.3397134</v>
      </c>
      <c r="U9203">
        <v>-2.8946529999999999</v>
      </c>
      <c r="V9203">
        <v>-0.17357729999999999</v>
      </c>
      <c r="W9203">
        <v>5.1044520000000003E-2</v>
      </c>
      <c r="X9203">
        <v>0.9834965</v>
      </c>
      <c r="Y9203">
        <v>-0.32002429999999998</v>
      </c>
      <c r="Z9203">
        <v>0.110516</v>
      </c>
      <c r="AA9203">
        <v>0.94094140000000004</v>
      </c>
      <c r="AB9203">
        <v>19</v>
      </c>
      <c r="AC9203">
        <v>3.1702000000000199</v>
      </c>
      <c r="AD9203">
        <v>-1.11147572901039</v>
      </c>
      <c r="AE9203">
        <v>-9.2855699999999999</v>
      </c>
      <c r="AF9203">
        <v>-3.17297143830783</v>
      </c>
      <c r="AG9203">
        <v>-1.11147572901039</v>
      </c>
      <c r="AH9203">
        <v>9.1531541468048694</v>
      </c>
      <c r="AI9203">
        <v>96.545085285668705</v>
      </c>
      <c r="AJ9203">
        <v>109.119044581951</v>
      </c>
      <c r="AK9203">
        <v>9.7510695249120101</v>
      </c>
      <c r="AL9203">
        <v>87.074092883189493</v>
      </c>
      <c r="AM9203">
        <v>100.009058573137</v>
      </c>
      <c r="AN9203">
        <v>0.99999999380478499</v>
      </c>
    </row>
    <row r="9204" spans="1:40" x14ac:dyDescent="0.25">
      <c r="A9204" t="str">
        <f>"20190312150905385"</f>
        <v>20190312150905385</v>
      </c>
      <c r="B9204" t="str">
        <f>"1552374545378797"</f>
        <v>1552374545378797</v>
      </c>
      <c r="C9204" t="s">
        <v>40</v>
      </c>
      <c r="D9204">
        <v>4.7783879999999996</v>
      </c>
      <c r="E9204">
        <v>0.4427604</v>
      </c>
      <c r="F9204" t="s">
        <v>42</v>
      </c>
      <c r="G9204">
        <v>-297.99369999999999</v>
      </c>
      <c r="H9204" s="1">
        <v>-6.6908909999999898E-7</v>
      </c>
      <c r="I9204">
        <v>-29.954460000000001</v>
      </c>
      <c r="J9204">
        <v>-301.19099999999997</v>
      </c>
      <c r="K9204">
        <v>1.111424</v>
      </c>
      <c r="L9204">
        <v>-20.6799</v>
      </c>
      <c r="M9204">
        <v>-2.376553E-3</v>
      </c>
      <c r="N9204">
        <v>0</v>
      </c>
      <c r="O9204">
        <v>-0.99992099999999995</v>
      </c>
      <c r="P9204">
        <v>0.17234099999999999</v>
      </c>
      <c r="Q9204">
        <v>3.9094499999999997E-2</v>
      </c>
      <c r="R9204">
        <v>-0.98426089999999999</v>
      </c>
      <c r="S9204">
        <v>0.97564700000000004</v>
      </c>
      <c r="T9204">
        <v>-0.338962599999999</v>
      </c>
      <c r="U9204">
        <v>-2.892395</v>
      </c>
      <c r="V9204">
        <v>-0.1748053</v>
      </c>
      <c r="W9204">
        <v>5.0794970000000002E-2</v>
      </c>
      <c r="X9204">
        <v>0.9832919</v>
      </c>
      <c r="Y9204">
        <v>-0.3199207</v>
      </c>
      <c r="Z9204">
        <v>0.1103219</v>
      </c>
      <c r="AA9204">
        <v>0.94099940000000004</v>
      </c>
      <c r="AB9204">
        <v>19</v>
      </c>
      <c r="AC9204">
        <v>3.1972999999999798</v>
      </c>
      <c r="AD9204">
        <v>-1.1114246690891001</v>
      </c>
      <c r="AE9204">
        <v>-9.2745599999999904</v>
      </c>
      <c r="AF9204">
        <v>-3.1785368860912699</v>
      </c>
      <c r="AG9204">
        <v>-1.1114246690891001</v>
      </c>
      <c r="AH9204">
        <v>9.1494987693215997</v>
      </c>
      <c r="AI9204">
        <v>96.545878210844293</v>
      </c>
      <c r="AJ9204">
        <v>109.157232617735</v>
      </c>
      <c r="AK9204">
        <v>9.7494455873716301</v>
      </c>
      <c r="AL9204">
        <v>87.088409610042405</v>
      </c>
      <c r="AM9204">
        <v>100.08047660928899</v>
      </c>
      <c r="AN9204">
        <v>0.99999999124549999</v>
      </c>
    </row>
    <row r="9205" spans="1:40" x14ac:dyDescent="0.25">
      <c r="A9205" t="str">
        <f>"20190312150905405"</f>
        <v>20190312150905405</v>
      </c>
      <c r="B9205" t="str">
        <f>"1552374545398316"</f>
        <v>1552374545398316</v>
      </c>
      <c r="C9205" t="s">
        <v>40</v>
      </c>
      <c r="D9205">
        <v>4.7289680000000001</v>
      </c>
      <c r="E9205">
        <v>0.44306499999999999</v>
      </c>
      <c r="F9205" t="s">
        <v>42</v>
      </c>
      <c r="G9205">
        <v>-297.98390000000001</v>
      </c>
      <c r="H9205" s="1">
        <v>-6.1704179999999999E-7</v>
      </c>
      <c r="I9205">
        <v>-30.11504</v>
      </c>
      <c r="J9205">
        <v>-301.1893</v>
      </c>
      <c r="K9205">
        <v>1.111383</v>
      </c>
      <c r="L9205">
        <v>-20.847439999999999</v>
      </c>
      <c r="M9205">
        <v>-5.9050070000000001E-4</v>
      </c>
      <c r="N9205">
        <v>0</v>
      </c>
      <c r="O9205">
        <v>-0.99992460000000005</v>
      </c>
      <c r="P9205">
        <v>0.17461969999999999</v>
      </c>
      <c r="Q9205">
        <v>3.9871719999999999E-2</v>
      </c>
      <c r="R9205">
        <v>-0.98382840000000005</v>
      </c>
      <c r="S9205">
        <v>0.98217770000000004</v>
      </c>
      <c r="T9205">
        <v>-0.34037199999999901</v>
      </c>
      <c r="U9205">
        <v>-2.8894959999999998</v>
      </c>
      <c r="V9205">
        <v>-0.1753229</v>
      </c>
      <c r="W9205">
        <v>5.1521200000000003E-2</v>
      </c>
      <c r="X9205">
        <v>0.98316199999999998</v>
      </c>
      <c r="Y9205">
        <v>-0.3204053</v>
      </c>
      <c r="Z9205">
        <v>0.1108312</v>
      </c>
      <c r="AA9205">
        <v>0.94077460000000002</v>
      </c>
      <c r="AB9205">
        <v>19</v>
      </c>
      <c r="AC9205">
        <v>3.2053999999999898</v>
      </c>
      <c r="AD9205">
        <v>-1.1113836170418001</v>
      </c>
      <c r="AE9205">
        <v>-9.2675999999999998</v>
      </c>
      <c r="AF9205">
        <v>-3.1701530851719499</v>
      </c>
      <c r="AG9205">
        <v>-1.1113836170418001</v>
      </c>
      <c r="AH9205">
        <v>9.1482006356047698</v>
      </c>
      <c r="AI9205">
        <v>96.548302288196695</v>
      </c>
      <c r="AJ9205">
        <v>109.11288733280099</v>
      </c>
      <c r="AK9205">
        <v>9.7454922398478008</v>
      </c>
      <c r="AL9205">
        <v>87.046745269633902</v>
      </c>
      <c r="AM9205">
        <v>100.11101836864501</v>
      </c>
      <c r="AN9205">
        <v>1.00000003577892</v>
      </c>
    </row>
    <row r="9206" spans="1:40" x14ac:dyDescent="0.25">
      <c r="A9206" t="str">
        <f>"20190312150905427"</f>
        <v>20190312150905427</v>
      </c>
      <c r="B9206" t="str">
        <f>"1552374545418813"</f>
        <v>1552374545418813</v>
      </c>
      <c r="C9206" t="s">
        <v>40</v>
      </c>
      <c r="D9206">
        <v>4.7317280000000004</v>
      </c>
      <c r="E9206">
        <v>0.44320680000000001</v>
      </c>
      <c r="F9206" t="s">
        <v>42</v>
      </c>
      <c r="G9206">
        <v>-297.9522</v>
      </c>
      <c r="H9206" s="1">
        <v>-5.5555219999999996E-7</v>
      </c>
      <c r="I9206">
        <v>-30.320540000000001</v>
      </c>
      <c r="J9206">
        <v>-301.18709999999999</v>
      </c>
      <c r="K9206">
        <v>1.1113390000000001</v>
      </c>
      <c r="L9206">
        <v>-21.038019999999999</v>
      </c>
      <c r="M9206">
        <v>1.3862569999999999E-3</v>
      </c>
      <c r="N9206">
        <v>0</v>
      </c>
      <c r="O9206">
        <v>-0.99992460000000005</v>
      </c>
      <c r="P9206">
        <v>0.17736299999999999</v>
      </c>
      <c r="Q9206">
        <v>3.9743090000000002E-2</v>
      </c>
      <c r="R9206">
        <v>-0.98334259999999996</v>
      </c>
      <c r="S9206">
        <v>0.98684689999999997</v>
      </c>
      <c r="T9206">
        <v>-0.33880569999999999</v>
      </c>
      <c r="U9206">
        <v>-2.8878780000000002</v>
      </c>
      <c r="V9206">
        <v>-0.17611689999999999</v>
      </c>
      <c r="W9206">
        <v>5.1334049999999999E-2</v>
      </c>
      <c r="X9206">
        <v>0.98302979999999995</v>
      </c>
      <c r="Y9206">
        <v>-0.32007439999999998</v>
      </c>
      <c r="Z9206">
        <v>0.1103642</v>
      </c>
      <c r="AA9206">
        <v>0.94094219999999895</v>
      </c>
      <c r="AB9206">
        <v>19</v>
      </c>
      <c r="AC9206">
        <v>3.2348999999999801</v>
      </c>
      <c r="AD9206">
        <v>-1.1113395555522001</v>
      </c>
      <c r="AE9206">
        <v>-9.2825199999999999</v>
      </c>
      <c r="AF9206">
        <v>-3.1813652761245801</v>
      </c>
      <c r="AG9206">
        <v>-1.1113395555522001</v>
      </c>
      <c r="AH9206">
        <v>9.1697918945074601</v>
      </c>
      <c r="AI9206">
        <v>96.531944918988202</v>
      </c>
      <c r="AJ9206">
        <v>109.133692866899</v>
      </c>
      <c r="AK9206">
        <v>9.7694034626706294</v>
      </c>
      <c r="AL9206">
        <v>87.057482181243103</v>
      </c>
      <c r="AM9206">
        <v>100.157195326745</v>
      </c>
      <c r="AN9206">
        <v>0.99999996742152497</v>
      </c>
    </row>
    <row r="9207" spans="1:40" x14ac:dyDescent="0.25">
      <c r="A9207" t="str">
        <f>"20190312150905451"</f>
        <v>20190312150905451</v>
      </c>
      <c r="B9207" t="str">
        <f>"1552374545439309"</f>
        <v>1552374545439309</v>
      </c>
      <c r="C9207" t="s">
        <v>40</v>
      </c>
      <c r="D9207">
        <v>4.739268</v>
      </c>
      <c r="E9207">
        <v>0.44341710000000001</v>
      </c>
      <c r="F9207" t="s">
        <v>42</v>
      </c>
      <c r="G9207">
        <v>-297.9298</v>
      </c>
      <c r="H9207" s="1">
        <v>-4.6036869999999999E-6</v>
      </c>
      <c r="I9207">
        <v>-30.491890000000001</v>
      </c>
      <c r="J9207">
        <v>-301.18430000000001</v>
      </c>
      <c r="K9207">
        <v>1.1112949999999999</v>
      </c>
      <c r="L9207">
        <v>-21.24286</v>
      </c>
      <c r="M9207">
        <v>3.4422300000000001E-3</v>
      </c>
      <c r="N9207">
        <v>0</v>
      </c>
      <c r="O9207">
        <v>-0.99992080000000005</v>
      </c>
      <c r="P9207">
        <v>0.18002679999999999</v>
      </c>
      <c r="Q9207">
        <v>3.9964659999999999E-2</v>
      </c>
      <c r="R9207">
        <v>-0.9828498</v>
      </c>
      <c r="S9207">
        <v>0.99407959999999995</v>
      </c>
      <c r="T9207">
        <v>-0.33917049999999999</v>
      </c>
      <c r="U9207">
        <v>-2.8852229999999999</v>
      </c>
      <c r="V9207">
        <v>-0.1767552</v>
      </c>
      <c r="W9207">
        <v>5.1491670000000003E-2</v>
      </c>
      <c r="X9207">
        <v>0.98290699999999998</v>
      </c>
      <c r="Y9207">
        <v>-0.32049719999999998</v>
      </c>
      <c r="Z9207">
        <v>0.110524499999999</v>
      </c>
      <c r="AA9207">
        <v>0.94077940000000004</v>
      </c>
      <c r="AB9207">
        <v>19</v>
      </c>
      <c r="AC9207">
        <v>3.2545000000000002</v>
      </c>
      <c r="AD9207">
        <v>-1.111299603687</v>
      </c>
      <c r="AE9207">
        <v>-9.2490299999999994</v>
      </c>
      <c r="AF9207">
        <v>-3.1817674620502201</v>
      </c>
      <c r="AG9207">
        <v>-1.111299603687</v>
      </c>
      <c r="AH9207">
        <v>9.1427293924073503</v>
      </c>
      <c r="AI9207">
        <v>96.548722352786498</v>
      </c>
      <c r="AJ9207">
        <v>109.188442360289</v>
      </c>
      <c r="AK9207">
        <v>9.7441331956467891</v>
      </c>
      <c r="AL9207">
        <v>87.048439303031302</v>
      </c>
      <c r="AM9207">
        <v>100.194484305187</v>
      </c>
      <c r="AN9207">
        <v>0.99999998172771398</v>
      </c>
    </row>
    <row r="9208" spans="1:40" x14ac:dyDescent="0.25">
      <c r="A9208" t="str">
        <f>"20190312150905475"</f>
        <v>20190312150905475</v>
      </c>
      <c r="B9208" t="str">
        <f>"1552374545468588"</f>
        <v>1552374545468588</v>
      </c>
      <c r="C9208" t="s">
        <v>40</v>
      </c>
      <c r="D9208">
        <v>4.7290390000000002</v>
      </c>
      <c r="E9208">
        <v>0.44382270000000001</v>
      </c>
      <c r="F9208" t="s">
        <v>42</v>
      </c>
      <c r="G9208">
        <v>-297.90949999999998</v>
      </c>
      <c r="H9208" s="1">
        <v>-4.5279689999999999E-6</v>
      </c>
      <c r="I9208">
        <v>-30.676819999999999</v>
      </c>
      <c r="J9208">
        <v>-301.18130000000002</v>
      </c>
      <c r="K9208">
        <v>1.1112489999999999</v>
      </c>
      <c r="L9208">
        <v>-21.440770000000001</v>
      </c>
      <c r="M9208">
        <v>5.3531940000000004E-3</v>
      </c>
      <c r="N9208">
        <v>0</v>
      </c>
      <c r="O9208">
        <v>-0.99991350000000001</v>
      </c>
      <c r="P9208">
        <v>0.1823236</v>
      </c>
      <c r="Q9208">
        <v>4.0192230000000002E-2</v>
      </c>
      <c r="R9208">
        <v>-0.98241730000000005</v>
      </c>
      <c r="S9208">
        <v>1.000732</v>
      </c>
      <c r="T9208">
        <v>-0.33959260000000002</v>
      </c>
      <c r="U9208">
        <v>-2.8828429999999998</v>
      </c>
      <c r="V9208">
        <v>-0.17717040000000001</v>
      </c>
      <c r="W9208">
        <v>5.1655489999999998E-2</v>
      </c>
      <c r="X9208">
        <v>0.98282369999999997</v>
      </c>
      <c r="Y9208">
        <v>-0.32086039999999999</v>
      </c>
      <c r="Z9208">
        <v>0.11069710000000001</v>
      </c>
      <c r="AA9208">
        <v>0.94063529999999995</v>
      </c>
      <c r="AB9208">
        <v>19</v>
      </c>
      <c r="AC9208">
        <v>3.2718000000000398</v>
      </c>
      <c r="AD9208">
        <v>-1.1112535279689999</v>
      </c>
      <c r="AE9208">
        <v>-9.2360500000000005</v>
      </c>
      <c r="AF9208">
        <v>-3.1813877423933401</v>
      </c>
      <c r="AG9208">
        <v>-1.1112535279689999</v>
      </c>
      <c r="AH9208">
        <v>9.1359259838440696</v>
      </c>
      <c r="AI9208">
        <v>96.552848455252203</v>
      </c>
      <c r="AJ9208">
        <v>109.19956211051</v>
      </c>
      <c r="AK9208">
        <v>9.7376206515324597</v>
      </c>
      <c r="AL9208">
        <v>87.039040751736906</v>
      </c>
      <c r="AM9208">
        <v>100.218775100274</v>
      </c>
      <c r="AN9208">
        <v>1.0000000327824901</v>
      </c>
    </row>
    <row r="9209" spans="1:40" x14ac:dyDescent="0.25">
      <c r="A9209" t="str">
        <f>"20190312150905498"</f>
        <v>20190312150905498</v>
      </c>
      <c r="B9209" t="str">
        <f>"1552374545489084"</f>
        <v>1552374545489084</v>
      </c>
      <c r="C9209" t="s">
        <v>40</v>
      </c>
      <c r="D9209">
        <v>5.1712509999999998</v>
      </c>
      <c r="E9209">
        <v>0.44394169999999999</v>
      </c>
      <c r="F9209" t="s">
        <v>42</v>
      </c>
      <c r="G9209">
        <v>-297.90480000000002</v>
      </c>
      <c r="H9209" s="1">
        <v>-4.4599560000000001E-6</v>
      </c>
      <c r="I9209">
        <v>-30.837299999999999</v>
      </c>
      <c r="J9209">
        <v>-301.17790000000002</v>
      </c>
      <c r="K9209">
        <v>1.111202</v>
      </c>
      <c r="L9209">
        <v>-21.642240000000001</v>
      </c>
      <c r="M9209">
        <v>7.2147959999999999E-3</v>
      </c>
      <c r="N9209">
        <v>0</v>
      </c>
      <c r="O9209">
        <v>-0.99990250000000003</v>
      </c>
      <c r="P9209">
        <v>0.18491569999999999</v>
      </c>
      <c r="Q9209">
        <v>4.025136E-2</v>
      </c>
      <c r="R9209">
        <v>-0.98192999999999997</v>
      </c>
      <c r="S9209">
        <v>1.004669</v>
      </c>
      <c r="T9209">
        <v>-0.34073589999999998</v>
      </c>
      <c r="U9209">
        <v>-2.881195</v>
      </c>
      <c r="V9209">
        <v>-0.17793010000000001</v>
      </c>
      <c r="W9209">
        <v>5.1646440000000002E-2</v>
      </c>
      <c r="X9209">
        <v>0.98268690000000003</v>
      </c>
      <c r="Y9209">
        <v>-0.32039659999999998</v>
      </c>
      <c r="Z9209">
        <v>0.111107399999999</v>
      </c>
      <c r="AA9209">
        <v>0.94074500000000005</v>
      </c>
      <c r="AB9209">
        <v>19</v>
      </c>
      <c r="AC9209">
        <v>3.2730999999999901</v>
      </c>
      <c r="AD9209">
        <v>-1.1112064599560001</v>
      </c>
      <c r="AE9209">
        <v>-9.1950599999999891</v>
      </c>
      <c r="AF9209">
        <v>-3.1656369311358699</v>
      </c>
      <c r="AG9209">
        <v>-1.1112064599560001</v>
      </c>
      <c r="AH9209">
        <v>9.1004776743873492</v>
      </c>
      <c r="AI9209">
        <v>96.578631499029399</v>
      </c>
      <c r="AJ9209">
        <v>109.180431170132</v>
      </c>
      <c r="AK9209">
        <v>9.6992128999440901</v>
      </c>
      <c r="AL9209">
        <v>87.039559902121596</v>
      </c>
      <c r="AM9209">
        <v>100.263061885284</v>
      </c>
      <c r="AN9209">
        <v>1.0000000093411401</v>
      </c>
    </row>
    <row r="9210" spans="1:40" x14ac:dyDescent="0.25">
      <c r="A9210" t="str">
        <f>"20190312150905521"</f>
        <v>20190312150905521</v>
      </c>
      <c r="B9210" t="str">
        <f>"1552374545508605"</f>
        <v>1552374545508605</v>
      </c>
      <c r="C9210" t="s">
        <v>40</v>
      </c>
      <c r="D9210">
        <v>4.6987030000000001</v>
      </c>
      <c r="E9210">
        <v>0.45129540000000001</v>
      </c>
      <c r="F9210" t="s">
        <v>42</v>
      </c>
      <c r="G9210">
        <v>-297.88560000000001</v>
      </c>
      <c r="H9210" s="1">
        <v>-4.3880850000000002E-6</v>
      </c>
      <c r="I9210">
        <v>-31.01275</v>
      </c>
      <c r="J9210">
        <v>-301.1746</v>
      </c>
      <c r="K9210">
        <v>1.111146</v>
      </c>
      <c r="L9210">
        <v>-21.83295</v>
      </c>
      <c r="M9210">
        <v>8.8948220000000001E-3</v>
      </c>
      <c r="N9210">
        <v>0</v>
      </c>
      <c r="O9210">
        <v>-0.9998901</v>
      </c>
      <c r="P9210">
        <v>0.18725539999999999</v>
      </c>
      <c r="Q9210">
        <v>4.0366050000000001E-2</v>
      </c>
      <c r="R9210">
        <v>-0.98148170000000001</v>
      </c>
      <c r="S9210">
        <v>1.011444</v>
      </c>
      <c r="T9210">
        <v>-0.34137489999999998</v>
      </c>
      <c r="U9210">
        <v>-2.8787229999999999</v>
      </c>
      <c r="V9210">
        <v>-0.1786161</v>
      </c>
      <c r="W9210">
        <v>5.1693580000000003E-2</v>
      </c>
      <c r="X9210">
        <v>0.98255999999999999</v>
      </c>
      <c r="Y9210">
        <v>-0.3210208</v>
      </c>
      <c r="Z9210">
        <v>0.11134620000000001</v>
      </c>
      <c r="AA9210">
        <v>0.94050400000000001</v>
      </c>
      <c r="AB9210">
        <v>19</v>
      </c>
      <c r="AC9210">
        <v>3.2889999999999802</v>
      </c>
      <c r="AD9210">
        <v>-1.111150388085</v>
      </c>
      <c r="AE9210">
        <v>-9.1798000000000002</v>
      </c>
      <c r="AF9210">
        <v>-3.16610094227716</v>
      </c>
      <c r="AG9210">
        <v>-1.111150388085</v>
      </c>
      <c r="AH9210">
        <v>9.0906555647065801</v>
      </c>
      <c r="AI9210">
        <v>96.584482630847702</v>
      </c>
      <c r="AJ9210">
        <v>109.202246919627</v>
      </c>
      <c r="AK9210">
        <v>9.6901428760240904</v>
      </c>
      <c r="AL9210">
        <v>87.036855473644707</v>
      </c>
      <c r="AM9210">
        <v>100.303086859928</v>
      </c>
      <c r="AN9210">
        <v>1.0000000454962099</v>
      </c>
    </row>
    <row r="9211" spans="1:40" x14ac:dyDescent="0.25">
      <c r="A9211" t="str">
        <f>"20190312150905540"</f>
        <v>20190312150905540</v>
      </c>
      <c r="B9211" t="str">
        <f>"1552374545529101"</f>
        <v>1552374545529101</v>
      </c>
      <c r="C9211" t="s">
        <v>40</v>
      </c>
      <c r="D9211">
        <v>4.7175640000000003</v>
      </c>
      <c r="E9211">
        <v>0.45162669999999999</v>
      </c>
      <c r="F9211" t="s">
        <v>42</v>
      </c>
      <c r="G9211">
        <v>-297.92180000000002</v>
      </c>
      <c r="H9211" s="1">
        <v>-4.1267690000000002E-6</v>
      </c>
      <c r="I9211">
        <v>-31.606909999999999</v>
      </c>
      <c r="J9211">
        <v>-301.17140000000001</v>
      </c>
      <c r="K9211">
        <v>1.1110979999999999</v>
      </c>
      <c r="L9211">
        <v>-21.993929999999999</v>
      </c>
      <c r="M9211">
        <v>1.0246150000000001E-2</v>
      </c>
      <c r="N9211">
        <v>0</v>
      </c>
      <c r="O9211">
        <v>-0.99987820000000005</v>
      </c>
      <c r="P9211">
        <v>0.18932189999999999</v>
      </c>
      <c r="Q9211">
        <v>4.1076630000000003E-2</v>
      </c>
      <c r="R9211">
        <v>-0.98105580000000003</v>
      </c>
      <c r="S9211">
        <v>0.96072389999999996</v>
      </c>
      <c r="T9211">
        <v>-0.32818619999999998</v>
      </c>
      <c r="U9211">
        <v>-2.8868100000000001</v>
      </c>
      <c r="V9211">
        <v>-0.17935400000000001</v>
      </c>
      <c r="W9211">
        <v>5.2339299999999998E-2</v>
      </c>
      <c r="X9211">
        <v>0.98239140000000003</v>
      </c>
      <c r="Y9211">
        <v>-0.30420560000000002</v>
      </c>
      <c r="Z9211">
        <v>0.1074121</v>
      </c>
      <c r="AA9211">
        <v>0.94653140000000002</v>
      </c>
      <c r="AB9211">
        <v>19</v>
      </c>
      <c r="AC9211">
        <v>3.2495999999999801</v>
      </c>
      <c r="AD9211">
        <v>-1.111102126769</v>
      </c>
      <c r="AE9211">
        <v>-9.6129800000000003</v>
      </c>
      <c r="AF9211">
        <v>-3.11359614162056</v>
      </c>
      <c r="AG9211">
        <v>-1.111102126769</v>
      </c>
      <c r="AH9211">
        <v>9.5314958544884192</v>
      </c>
      <c r="AI9211">
        <v>96.323108357186399</v>
      </c>
      <c r="AJ9211">
        <v>108.09034902970301</v>
      </c>
      <c r="AK9211">
        <v>10.088530224634001</v>
      </c>
      <c r="AL9211">
        <v>86.999808337729206</v>
      </c>
      <c r="AM9211">
        <v>100.34647091007901</v>
      </c>
      <c r="AN9211">
        <v>1.00000006121722</v>
      </c>
    </row>
    <row r="9212" spans="1:40" x14ac:dyDescent="0.25">
      <c r="A9212" t="str">
        <f>"20190312150905563"</f>
        <v>20190312150905563</v>
      </c>
      <c r="B9212" t="str">
        <f>"1552374545558381"</f>
        <v>1552374545558381</v>
      </c>
      <c r="C9212" t="s">
        <v>40</v>
      </c>
      <c r="D9212">
        <v>4.7544570000000004</v>
      </c>
      <c r="E9212">
        <v>0.45172630000000003</v>
      </c>
      <c r="F9212" t="s">
        <v>42</v>
      </c>
      <c r="G9212">
        <v>-297.916</v>
      </c>
      <c r="H9212" s="1">
        <v>-4.0725439999999999E-6</v>
      </c>
      <c r="I9212">
        <v>-31.735710000000001</v>
      </c>
      <c r="J9212">
        <v>-301.16770000000002</v>
      </c>
      <c r="K9212">
        <v>1.1110260000000001</v>
      </c>
      <c r="L9212">
        <v>-22.185669999999998</v>
      </c>
      <c r="M9212">
        <v>1.1781069999999999E-2</v>
      </c>
      <c r="N9212">
        <v>0</v>
      </c>
      <c r="O9212">
        <v>-0.99986229999999998</v>
      </c>
      <c r="P9212">
        <v>0.1914122</v>
      </c>
      <c r="Q9212">
        <v>4.1742069999999999E-2</v>
      </c>
      <c r="R9212">
        <v>-0.98062169999999904</v>
      </c>
      <c r="S9212">
        <v>0.9642944</v>
      </c>
      <c r="T9212">
        <v>-0.32912029999999998</v>
      </c>
      <c r="U9212">
        <v>-2.8856199999999999</v>
      </c>
      <c r="V9212">
        <v>-0.17993439999999999</v>
      </c>
      <c r="W9212">
        <v>5.2923570000000003E-2</v>
      </c>
      <c r="X9212">
        <v>0.98225390000000001</v>
      </c>
      <c r="Y9212">
        <v>-0.30390409999999901</v>
      </c>
      <c r="Z9212">
        <v>0.1077381</v>
      </c>
      <c r="AA9212">
        <v>0.94659110000000002</v>
      </c>
      <c r="AB9212">
        <v>19</v>
      </c>
      <c r="AC9212">
        <v>3.25170000000002</v>
      </c>
      <c r="AD9212">
        <v>-1.1110300725440001</v>
      </c>
      <c r="AE9212">
        <v>-9.5500399999999903</v>
      </c>
      <c r="AF9212">
        <v>-3.1013426697980102</v>
      </c>
      <c r="AG9212">
        <v>-1.1110300725440001</v>
      </c>
      <c r="AH9212">
        <v>9.4727985734742504</v>
      </c>
      <c r="AI9212">
        <v>96.360197726085602</v>
      </c>
      <c r="AJ9212">
        <v>108.128164911895</v>
      </c>
      <c r="AK9212">
        <v>10.0292884588699</v>
      </c>
      <c r="AL9212">
        <v>86.966285511337205</v>
      </c>
      <c r="AM9212">
        <v>100.38064747105901</v>
      </c>
      <c r="AN9212">
        <v>1.00000000831505</v>
      </c>
    </row>
    <row r="9213" spans="1:40" x14ac:dyDescent="0.25">
      <c r="A9213" t="str">
        <f>"20190312150905587"</f>
        <v>20190312150905587</v>
      </c>
      <c r="B9213" t="str">
        <f>"1552374545578876"</f>
        <v>1552374545578876</v>
      </c>
      <c r="C9213" t="s">
        <v>40</v>
      </c>
      <c r="D9213">
        <v>4.6864039999999996</v>
      </c>
      <c r="E9213">
        <v>0.45177509999999999</v>
      </c>
      <c r="F9213" t="s">
        <v>42</v>
      </c>
      <c r="G9213">
        <v>-297.91030000000001</v>
      </c>
      <c r="H9213" s="1">
        <v>-4.0163879999999999E-6</v>
      </c>
      <c r="I9213">
        <v>-31.868970000000001</v>
      </c>
      <c r="J9213">
        <v>-301.16340000000002</v>
      </c>
      <c r="K9213">
        <v>1.1109599999999999</v>
      </c>
      <c r="L9213">
        <v>-22.390409999999999</v>
      </c>
      <c r="M9213">
        <v>1.331833E-2</v>
      </c>
      <c r="N9213">
        <v>0</v>
      </c>
      <c r="O9213">
        <v>-0.99984439999999997</v>
      </c>
      <c r="P9213">
        <v>0.1934659</v>
      </c>
      <c r="Q9213">
        <v>4.2070209999999997E-2</v>
      </c>
      <c r="R9213">
        <v>-0.98020459999999998</v>
      </c>
      <c r="S9213">
        <v>0.97015379999999996</v>
      </c>
      <c r="T9213">
        <v>-0.330901</v>
      </c>
      <c r="U9213">
        <v>-2.8840029999999999</v>
      </c>
      <c r="V9213">
        <v>-0.18047489999999999</v>
      </c>
      <c r="W9213">
        <v>5.3163549999999997E-2</v>
      </c>
      <c r="X9213">
        <v>0.98214179999999995</v>
      </c>
      <c r="Y9213">
        <v>-0.30430829999999998</v>
      </c>
      <c r="Z9213">
        <v>0.1083269</v>
      </c>
      <c r="AA9213">
        <v>0.94639410000000002</v>
      </c>
      <c r="AB9213">
        <v>19</v>
      </c>
      <c r="AC9213">
        <v>3.2531000000000101</v>
      </c>
      <c r="AD9213">
        <v>-1.1109640163879999</v>
      </c>
      <c r="AE9213">
        <v>-9.4785599999999999</v>
      </c>
      <c r="AF9213">
        <v>-3.0886051804849401</v>
      </c>
      <c r="AG9213">
        <v>-1.1109640163879999</v>
      </c>
      <c r="AH9213">
        <v>9.4054541405840197</v>
      </c>
      <c r="AI9213">
        <v>96.4031215558269</v>
      </c>
      <c r="AJ9213">
        <v>108.179377584945</v>
      </c>
      <c r="AK9213">
        <v>9.9617413436234301</v>
      </c>
      <c r="AL9213">
        <v>86.952516364101598</v>
      </c>
      <c r="AM9213">
        <v>100.41231105501301</v>
      </c>
      <c r="AN9213">
        <v>1.00000003394292</v>
      </c>
    </row>
    <row r="9214" spans="1:40" x14ac:dyDescent="0.25">
      <c r="A9214" t="str">
        <f>"20190312150905609"</f>
        <v>20190312150905609</v>
      </c>
      <c r="B9214" t="str">
        <f>"1552374545598396"</f>
        <v>1552374545598396</v>
      </c>
      <c r="C9214" t="s">
        <v>40</v>
      </c>
      <c r="D9214">
        <v>4.9127479999999997</v>
      </c>
      <c r="E9214">
        <v>0.45199719999999999</v>
      </c>
      <c r="F9214" t="s">
        <v>42</v>
      </c>
      <c r="G9214">
        <v>-297.90820000000002</v>
      </c>
      <c r="H9214" s="1">
        <v>-3.9599010000000002E-6</v>
      </c>
      <c r="I9214">
        <v>-32.001529999999903</v>
      </c>
      <c r="J9214">
        <v>-301.15940000000001</v>
      </c>
      <c r="K9214">
        <v>1.1109070000000001</v>
      </c>
      <c r="L9214">
        <v>-22.574400000000001</v>
      </c>
      <c r="M9214">
        <v>1.461323E-2</v>
      </c>
      <c r="N9214">
        <v>0</v>
      </c>
      <c r="O9214">
        <v>-0.99982760000000004</v>
      </c>
      <c r="P9214">
        <v>0.1952421</v>
      </c>
      <c r="Q9214">
        <v>4.220877E-2</v>
      </c>
      <c r="R9214">
        <v>-0.97984649999999995</v>
      </c>
      <c r="S9214">
        <v>0.97619630000000002</v>
      </c>
      <c r="T9214">
        <v>-0.3331616</v>
      </c>
      <c r="U9214">
        <v>-2.8822329999999998</v>
      </c>
      <c r="V9214">
        <v>-0.18097779999999999</v>
      </c>
      <c r="W9214">
        <v>5.3219259999999997E-2</v>
      </c>
      <c r="X9214">
        <v>0.98204619999999998</v>
      </c>
      <c r="Y9214">
        <v>-0.305006099999999</v>
      </c>
      <c r="Z9214">
        <v>0.10906979999999999</v>
      </c>
      <c r="AA9214">
        <v>0.94608400000000004</v>
      </c>
      <c r="AB9214">
        <v>19</v>
      </c>
      <c r="AC9214">
        <v>3.2511999999999799</v>
      </c>
      <c r="AD9214">
        <v>-1.1109109599010001</v>
      </c>
      <c r="AE9214">
        <v>-9.4271299999999894</v>
      </c>
      <c r="AF9214">
        <v>-3.0749213275777398</v>
      </c>
      <c r="AG9214">
        <v>-1.1109109599010001</v>
      </c>
      <c r="AH9214">
        <v>9.3575046827752395</v>
      </c>
      <c r="AI9214">
        <v>96.434935972808503</v>
      </c>
      <c r="AJ9214">
        <v>108.19077347599</v>
      </c>
      <c r="AK9214">
        <v>9.9122226679883099</v>
      </c>
      <c r="AL9214">
        <v>86.949319776348801</v>
      </c>
      <c r="AM9214">
        <v>100.44168218343501</v>
      </c>
      <c r="AN9214">
        <v>0.99999999633111303</v>
      </c>
    </row>
    <row r="9215" spans="1:40" x14ac:dyDescent="0.25">
      <c r="A9215" t="str">
        <f>"20190312150905629"</f>
        <v>20190312150905629</v>
      </c>
      <c r="B9215" t="str">
        <f>"1552374545618893"</f>
        <v>1552374545618893</v>
      </c>
      <c r="C9215" t="s">
        <v>40</v>
      </c>
      <c r="D9215">
        <v>4.680625</v>
      </c>
      <c r="E9215">
        <v>0.4521519</v>
      </c>
      <c r="F9215" t="s">
        <v>42</v>
      </c>
      <c r="G9215">
        <v>-297.89780000000002</v>
      </c>
      <c r="H9215" s="1">
        <v>-3.8903879999999997E-6</v>
      </c>
      <c r="I9215">
        <v>-32.167859999999997</v>
      </c>
      <c r="J9215">
        <v>-301.15519999999998</v>
      </c>
      <c r="K9215">
        <v>1.110854</v>
      </c>
      <c r="L9215">
        <v>-22.757629999999999</v>
      </c>
      <c r="M9215">
        <v>1.5835220000000001E-2</v>
      </c>
      <c r="N9215">
        <v>0</v>
      </c>
      <c r="O9215">
        <v>-0.99981030000000004</v>
      </c>
      <c r="P9215">
        <v>0.1976099</v>
      </c>
      <c r="Q9215">
        <v>4.2465070000000001E-2</v>
      </c>
      <c r="R9215">
        <v>-0.97936080000000003</v>
      </c>
      <c r="S9215">
        <v>0.97946169999999999</v>
      </c>
      <c r="T9215">
        <v>-0.33360709999999999</v>
      </c>
      <c r="U9215">
        <v>-2.8809200000000001</v>
      </c>
      <c r="V9215">
        <v>-0.1821477</v>
      </c>
      <c r="W9215">
        <v>5.3385929999999998E-2</v>
      </c>
      <c r="X9215">
        <v>0.98182080000000005</v>
      </c>
      <c r="Y9215">
        <v>-0.30492950000000002</v>
      </c>
      <c r="Z9215">
        <v>0.10923960000000001</v>
      </c>
      <c r="AA9215">
        <v>0.94608910000000002</v>
      </c>
      <c r="AB9215">
        <v>19</v>
      </c>
      <c r="AC9215">
        <v>3.2573999999999601</v>
      </c>
      <c r="AD9215">
        <v>-1.110857890388</v>
      </c>
      <c r="AE9215">
        <v>-9.4102300000000003</v>
      </c>
      <c r="AF9215">
        <v>-3.06976806494235</v>
      </c>
      <c r="AG9215">
        <v>-1.110857890388</v>
      </c>
      <c r="AH9215">
        <v>9.3443519246757791</v>
      </c>
      <c r="AI9215">
        <v>96.443780714910105</v>
      </c>
      <c r="AJ9215">
        <v>108.186173458719</v>
      </c>
      <c r="AK9215">
        <v>9.8982015597465605</v>
      </c>
      <c r="AL9215">
        <v>86.939756590971498</v>
      </c>
      <c r="AM9215">
        <v>100.510040535756</v>
      </c>
      <c r="AN9215">
        <v>0.99999996272494596</v>
      </c>
    </row>
    <row r="9216" spans="1:40" x14ac:dyDescent="0.25">
      <c r="A9216" t="str">
        <f>"20190312150905653"</f>
        <v>20190312150905653</v>
      </c>
      <c r="B9216" t="str">
        <f>"1552374545649149"</f>
        <v>1552374545649149</v>
      </c>
      <c r="C9216" t="s">
        <v>40</v>
      </c>
      <c r="D9216">
        <v>4.7007240000000001</v>
      </c>
      <c r="E9216">
        <v>0.45230979999999998</v>
      </c>
      <c r="F9216" t="s">
        <v>42</v>
      </c>
      <c r="G9216">
        <v>-297.89179999999999</v>
      </c>
      <c r="H9216" s="1">
        <v>-3.8381550000000002E-6</v>
      </c>
      <c r="I9216">
        <v>-32.292079999999999</v>
      </c>
      <c r="J9216">
        <v>-301.1506</v>
      </c>
      <c r="K9216">
        <v>1.1108119999999999</v>
      </c>
      <c r="L9216">
        <v>-22.954650000000001</v>
      </c>
      <c r="M9216">
        <v>1.707819E-2</v>
      </c>
      <c r="N9216">
        <v>0</v>
      </c>
      <c r="O9216">
        <v>-0.99979110000000004</v>
      </c>
      <c r="P9216">
        <v>0.20009779999999999</v>
      </c>
      <c r="Q9216">
        <v>4.2721240000000001E-2</v>
      </c>
      <c r="R9216">
        <v>-0.97884450000000001</v>
      </c>
      <c r="S9216">
        <v>0.98538210000000004</v>
      </c>
      <c r="T9216">
        <v>-0.33542480000000002</v>
      </c>
      <c r="U9216">
        <v>-2.8789370000000001</v>
      </c>
      <c r="V9216">
        <v>-0.183419</v>
      </c>
      <c r="W9216">
        <v>5.3538299999999997E-2</v>
      </c>
      <c r="X9216">
        <v>0.9815758</v>
      </c>
      <c r="Y9216">
        <v>-0.30566599999999999</v>
      </c>
      <c r="Z9216">
        <v>0.10984629999999999</v>
      </c>
      <c r="AA9216">
        <v>0.94578119999999999</v>
      </c>
      <c r="AB9216">
        <v>19</v>
      </c>
      <c r="AC9216">
        <v>3.2587999999999999</v>
      </c>
      <c r="AD9216">
        <v>-1.110815838155</v>
      </c>
      <c r="AE9216">
        <v>-9.3374299999999906</v>
      </c>
      <c r="AF9216">
        <v>-3.06024102269201</v>
      </c>
      <c r="AG9216">
        <v>-1.110815838155</v>
      </c>
      <c r="AH9216">
        <v>9.2747185642569896</v>
      </c>
      <c r="AI9216">
        <v>96.488753726407694</v>
      </c>
      <c r="AJ9216">
        <v>108.26057181805599</v>
      </c>
      <c r="AK9216">
        <v>9.8295163354783792</v>
      </c>
      <c r="AL9216">
        <v>86.931013937053294</v>
      </c>
      <c r="AM9216">
        <v>100.58432572550799</v>
      </c>
      <c r="AN9216">
        <v>0.99999996513676404</v>
      </c>
    </row>
    <row r="9217" spans="1:40" x14ac:dyDescent="0.25">
      <c r="A9217" t="str">
        <f>"20190312150905676"</f>
        <v>20190312150905676</v>
      </c>
      <c r="B9217" t="str">
        <f>"1552374545668668"</f>
        <v>1552374545668668</v>
      </c>
      <c r="C9217" t="s">
        <v>40</v>
      </c>
      <c r="D9217">
        <v>5.1616049999999998</v>
      </c>
      <c r="E9217">
        <v>0.4525747</v>
      </c>
      <c r="F9217" t="s">
        <v>42</v>
      </c>
      <c r="G9217">
        <v>-297.85919999999999</v>
      </c>
      <c r="H9217" s="1">
        <v>-3.7548980000000002E-6</v>
      </c>
      <c r="I9217">
        <v>-32.499639999999999</v>
      </c>
      <c r="J9217">
        <v>-301.14580000000001</v>
      </c>
      <c r="K9217">
        <v>1.110771</v>
      </c>
      <c r="L9217">
        <v>-23.15231</v>
      </c>
      <c r="M9217">
        <v>1.8251090000000001E-2</v>
      </c>
      <c r="N9217">
        <v>0</v>
      </c>
      <c r="O9217">
        <v>-0.99977169999999904</v>
      </c>
      <c r="P9217">
        <v>0.20255429999999999</v>
      </c>
      <c r="Q9217">
        <v>4.2492050000000003E-2</v>
      </c>
      <c r="R9217">
        <v>-0.97834920000000003</v>
      </c>
      <c r="S9217">
        <v>0.99197389999999996</v>
      </c>
      <c r="T9217">
        <v>-0.33477889999999999</v>
      </c>
      <c r="U9217">
        <v>-2.8766780000000001</v>
      </c>
      <c r="V9217">
        <v>-0.18472810000000001</v>
      </c>
      <c r="W9217">
        <v>5.3194499999999999E-2</v>
      </c>
      <c r="X9217">
        <v>0.98134900000000003</v>
      </c>
      <c r="Y9217">
        <v>-0.3067223</v>
      </c>
      <c r="Z9217">
        <v>0.10965610000000001</v>
      </c>
      <c r="AA9217">
        <v>0.9454612</v>
      </c>
      <c r="AB9217">
        <v>19</v>
      </c>
      <c r="AC9217">
        <v>3.2866000000000199</v>
      </c>
      <c r="AD9217">
        <v>-1.110774754898</v>
      </c>
      <c r="AE9217">
        <v>-9.3473299999999995</v>
      </c>
      <c r="AF9217">
        <v>-3.0767751715389098</v>
      </c>
      <c r="AG9217">
        <v>-1.110774754898</v>
      </c>
      <c r="AH9217">
        <v>9.2890194506765908</v>
      </c>
      <c r="AI9217">
        <v>96.476176837556594</v>
      </c>
      <c r="AJ9217">
        <v>108.32627092483099</v>
      </c>
      <c r="AK9217">
        <v>9.8481596436778496</v>
      </c>
      <c r="AL9217">
        <v>86.950740421361303</v>
      </c>
      <c r="AM9217">
        <v>100.660550291771</v>
      </c>
      <c r="AN9217">
        <v>0.99999999278042995</v>
      </c>
    </row>
    <row r="9218" spans="1:40" x14ac:dyDescent="0.25">
      <c r="A9218" t="str">
        <f>"20190312150905698"</f>
        <v>20190312150905698</v>
      </c>
      <c r="B9218" t="str">
        <f>"1552374545689164"</f>
        <v>1552374545689164</v>
      </c>
      <c r="C9218" t="s">
        <v>40</v>
      </c>
      <c r="D9218">
        <v>5.1482479999999997</v>
      </c>
      <c r="E9218">
        <v>0.45281440000000001</v>
      </c>
      <c r="F9218" t="s">
        <v>42</v>
      </c>
      <c r="G9218">
        <v>-297.86410000000001</v>
      </c>
      <c r="H9218" s="1">
        <v>-3.705194E-6</v>
      </c>
      <c r="I9218">
        <v>-32.613460000000003</v>
      </c>
      <c r="J9218">
        <v>-301.14100000000002</v>
      </c>
      <c r="K9218">
        <v>1.11073</v>
      </c>
      <c r="L9218">
        <v>-23.344670000000001</v>
      </c>
      <c r="M9218">
        <v>1.932534E-2</v>
      </c>
      <c r="N9218">
        <v>0</v>
      </c>
      <c r="O9218">
        <v>-0.9997528</v>
      </c>
      <c r="P9218">
        <v>0.20461289999999999</v>
      </c>
      <c r="Q9218">
        <v>4.2571970000000001E-2</v>
      </c>
      <c r="R9218">
        <v>-0.97791700000000004</v>
      </c>
      <c r="S9218">
        <v>0.99707029999999996</v>
      </c>
      <c r="T9218">
        <v>-0.33749279999999998</v>
      </c>
      <c r="U9218">
        <v>-2.8746339999999999</v>
      </c>
      <c r="V9218">
        <v>-0.1857364</v>
      </c>
      <c r="W9218">
        <v>5.3153079999999998E-2</v>
      </c>
      <c r="X9218">
        <v>0.9811609</v>
      </c>
      <c r="Y9218">
        <v>-0.30737189999999998</v>
      </c>
      <c r="Z9218">
        <v>0.1105611</v>
      </c>
      <c r="AA9218">
        <v>0.94514480000000001</v>
      </c>
      <c r="AB9218">
        <v>19</v>
      </c>
      <c r="AC9218">
        <v>3.2768999999999502</v>
      </c>
      <c r="AD9218">
        <v>-1.1107337051940001</v>
      </c>
      <c r="AE9218">
        <v>-9.2687899999999903</v>
      </c>
      <c r="AF9218">
        <v>-3.0581174063843299</v>
      </c>
      <c r="AG9218">
        <v>-1.1107337051940001</v>
      </c>
      <c r="AH9218">
        <v>9.2127876049675592</v>
      </c>
      <c r="AI9218">
        <v>96.527680841047498</v>
      </c>
      <c r="AJ9218">
        <v>108.363208212128</v>
      </c>
      <c r="AK9218">
        <v>9.7704281835203499</v>
      </c>
      <c r="AL9218">
        <v>86.953116953888994</v>
      </c>
      <c r="AM9218">
        <v>100.719401420255</v>
      </c>
      <c r="AN9218">
        <v>0.99999998594362804</v>
      </c>
    </row>
    <row r="9219" spans="1:40" x14ac:dyDescent="0.25">
      <c r="A9219" t="str">
        <f>"20190312150905719"</f>
        <v>20190312150905719</v>
      </c>
      <c r="B9219" t="str">
        <f>"1552374545708684"</f>
        <v>1552374545708684</v>
      </c>
      <c r="C9219" t="s">
        <v>40</v>
      </c>
      <c r="D9219">
        <v>4.7477150000000004</v>
      </c>
      <c r="E9219">
        <v>0.4530998</v>
      </c>
      <c r="F9219" t="s">
        <v>42</v>
      </c>
      <c r="G9219">
        <v>-297.8546</v>
      </c>
      <c r="H9219" s="1">
        <v>-3.6376429999999998E-6</v>
      </c>
      <c r="I9219">
        <v>-32.774880000000003</v>
      </c>
      <c r="J9219">
        <v>-301.13630000000001</v>
      </c>
      <c r="K9219">
        <v>1.110681</v>
      </c>
      <c r="L9219">
        <v>-23.52542</v>
      </c>
      <c r="M9219">
        <v>2.0277449999999999E-2</v>
      </c>
      <c r="N9219">
        <v>0</v>
      </c>
      <c r="O9219">
        <v>-0.99973559999999995</v>
      </c>
      <c r="P9219">
        <v>0.2062678</v>
      </c>
      <c r="Q9219">
        <v>4.270127E-2</v>
      </c>
      <c r="R9219">
        <v>-0.97756350000000003</v>
      </c>
      <c r="S9219">
        <v>1.0012209999999999</v>
      </c>
      <c r="T9219">
        <v>-0.33839340000000001</v>
      </c>
      <c r="U9219">
        <v>-2.872986</v>
      </c>
      <c r="V9219">
        <v>-0.18645909999999999</v>
      </c>
      <c r="W9219">
        <v>5.3158789999999997E-2</v>
      </c>
      <c r="X9219">
        <v>0.9810236</v>
      </c>
      <c r="Y9219">
        <v>-0.30784070000000002</v>
      </c>
      <c r="Z9219">
        <v>0.1108746</v>
      </c>
      <c r="AA9219">
        <v>0.94495549999999995</v>
      </c>
      <c r="AB9219">
        <v>19</v>
      </c>
      <c r="AC9219">
        <v>3.2816999999999998</v>
      </c>
      <c r="AD9219">
        <v>-1.110684637643</v>
      </c>
      <c r="AE9219">
        <v>-9.2494599999999902</v>
      </c>
      <c r="AF9219">
        <v>-3.0543409913129298</v>
      </c>
      <c r="AG9219">
        <v>-1.110684637643</v>
      </c>
      <c r="AH9219">
        <v>9.1963268090947707</v>
      </c>
      <c r="AI9219">
        <v>96.538621705243898</v>
      </c>
      <c r="AJ9219">
        <v>108.372678535094</v>
      </c>
      <c r="AK9219">
        <v>9.7537195999877806</v>
      </c>
      <c r="AL9219">
        <v>86.952789613622201</v>
      </c>
      <c r="AM9219">
        <v>100.761609393534</v>
      </c>
      <c r="AN9219">
        <v>1.00000007834201</v>
      </c>
    </row>
    <row r="9220" spans="1:40" x14ac:dyDescent="0.25">
      <c r="A9220" t="str">
        <f>"20190312150905740"</f>
        <v>20190312150905740</v>
      </c>
      <c r="B9220" t="str">
        <f>"1552374545729181"</f>
        <v>1552374545729181</v>
      </c>
      <c r="C9220" t="s">
        <v>40</v>
      </c>
      <c r="D9220">
        <v>4.7211299999999996</v>
      </c>
      <c r="E9220">
        <v>0.45343610000000001</v>
      </c>
      <c r="F9220" t="s">
        <v>42</v>
      </c>
      <c r="G9220">
        <v>-297.8424</v>
      </c>
      <c r="H9220" s="1">
        <v>-3.5666450000000001E-6</v>
      </c>
      <c r="I9220">
        <v>-32.945419999999999</v>
      </c>
      <c r="J9220">
        <v>-301.13139999999999</v>
      </c>
      <c r="K9220">
        <v>1.110622</v>
      </c>
      <c r="L9220">
        <v>-23.711089999999999</v>
      </c>
      <c r="M9220">
        <v>2.1202470000000001E-2</v>
      </c>
      <c r="N9220">
        <v>0</v>
      </c>
      <c r="O9220">
        <v>-0.99971790000000005</v>
      </c>
      <c r="P9220">
        <v>0.2074887</v>
      </c>
      <c r="Q9220">
        <v>4.309574E-2</v>
      </c>
      <c r="R9220">
        <v>-0.97728809999999999</v>
      </c>
      <c r="S9220">
        <v>1.004181</v>
      </c>
      <c r="T9220">
        <v>-0.338601599999999</v>
      </c>
      <c r="U9220">
        <v>-2.8717649999999999</v>
      </c>
      <c r="V9220">
        <v>-0.18677360000000001</v>
      </c>
      <c r="W9220">
        <v>5.34221E-2</v>
      </c>
      <c r="X9220">
        <v>0.98094939999999997</v>
      </c>
      <c r="Y9220">
        <v>-0.30795090000000003</v>
      </c>
      <c r="Z9220">
        <v>0.11096259999999999</v>
      </c>
      <c r="AA9220">
        <v>0.94490929999999995</v>
      </c>
      <c r="AB9220">
        <v>19</v>
      </c>
      <c r="AC9220">
        <v>3.2889999999999802</v>
      </c>
      <c r="AD9220">
        <v>-1.110625566645</v>
      </c>
      <c r="AE9220">
        <v>-9.2343299999999999</v>
      </c>
      <c r="AF9220">
        <v>-3.0532647039090399</v>
      </c>
      <c r="AG9220">
        <v>-1.110625566645</v>
      </c>
      <c r="AH9220">
        <v>9.18409874366791</v>
      </c>
      <c r="AI9220">
        <v>96.546275559548704</v>
      </c>
      <c r="AJ9220">
        <v>108.389448838685</v>
      </c>
      <c r="AK9220">
        <v>9.7418470648468301</v>
      </c>
      <c r="AL9220">
        <v>86.937681391709802</v>
      </c>
      <c r="AM9220">
        <v>100.78013227440201</v>
      </c>
      <c r="AN9220">
        <v>1.00000001189286</v>
      </c>
    </row>
    <row r="9221" spans="1:40" x14ac:dyDescent="0.25">
      <c r="A9221" t="str">
        <f>"20190312150905763"</f>
        <v>20190312150905763</v>
      </c>
      <c r="B9221" t="str">
        <f>"1552374545758460"</f>
        <v>1552374545758460</v>
      </c>
      <c r="C9221" t="s">
        <v>40</v>
      </c>
      <c r="D9221">
        <v>4.9071210000000001</v>
      </c>
      <c r="E9221">
        <v>0.45430769999999998</v>
      </c>
      <c r="F9221" t="s">
        <v>42</v>
      </c>
      <c r="G9221">
        <v>-297.81979999999999</v>
      </c>
      <c r="H9221" s="1">
        <v>-3.474189E-6</v>
      </c>
      <c r="I9221">
        <v>-33.170259999999999</v>
      </c>
      <c r="J9221">
        <v>-301.12619999999998</v>
      </c>
      <c r="K9221">
        <v>1.1105769999999999</v>
      </c>
      <c r="L9221">
        <v>-23.904209999999999</v>
      </c>
      <c r="M9221">
        <v>2.2112630000000001E-2</v>
      </c>
      <c r="N9221">
        <v>0</v>
      </c>
      <c r="O9221">
        <v>-0.99969989999999997</v>
      </c>
      <c r="P9221">
        <v>0.2089916</v>
      </c>
      <c r="Q9221">
        <v>4.3733800000000003E-2</v>
      </c>
      <c r="R9221">
        <v>-0.97693909999999995</v>
      </c>
      <c r="S9221">
        <v>1.005188</v>
      </c>
      <c r="T9221">
        <v>-0.3371133</v>
      </c>
      <c r="U9221">
        <v>-2.8711850000000001</v>
      </c>
      <c r="V9221">
        <v>-0.18738650000000001</v>
      </c>
      <c r="W9221">
        <v>5.3918729999999998E-2</v>
      </c>
      <c r="X9221">
        <v>0.98080529999999999</v>
      </c>
      <c r="Y9221">
        <v>-0.30745699999999998</v>
      </c>
      <c r="Z9221">
        <v>0.1105015</v>
      </c>
      <c r="AA9221">
        <v>0.94512410000000002</v>
      </c>
      <c r="AB9221">
        <v>19</v>
      </c>
      <c r="AC9221">
        <v>3.3063999999999898</v>
      </c>
      <c r="AD9221">
        <v>-1.110580474189</v>
      </c>
      <c r="AE9221">
        <v>-9.2660499999999999</v>
      </c>
      <c r="AF9221">
        <v>-3.0616694530859498</v>
      </c>
      <c r="AG9221">
        <v>-1.110580474189</v>
      </c>
      <c r="AH9221">
        <v>9.2194212000022606</v>
      </c>
      <c r="AI9221">
        <v>96.521849231746799</v>
      </c>
      <c r="AJ9221">
        <v>108.37076542422901</v>
      </c>
      <c r="AK9221">
        <v>9.7777776663544902</v>
      </c>
      <c r="AL9221">
        <v>86.909185428931295</v>
      </c>
      <c r="AM9221">
        <v>100.81622590161101</v>
      </c>
      <c r="AN9221">
        <v>0.99999998316757599</v>
      </c>
    </row>
    <row r="9222" spans="1:40" x14ac:dyDescent="0.25">
      <c r="A9222" t="str">
        <f>"20190312150905786"</f>
        <v>20190312150905786</v>
      </c>
      <c r="B9222" t="str">
        <f>"1552374545778956"</f>
        <v>1552374545778956</v>
      </c>
      <c r="C9222" t="s">
        <v>40</v>
      </c>
      <c r="D9222">
        <v>4.81135</v>
      </c>
      <c r="E9222">
        <v>0.49254910000000002</v>
      </c>
      <c r="F9222" t="s">
        <v>42</v>
      </c>
      <c r="G9222">
        <v>-297.7801</v>
      </c>
      <c r="H9222" s="1">
        <v>-3.3479589999999999E-6</v>
      </c>
      <c r="I9222">
        <v>-33.480930000000001</v>
      </c>
      <c r="J9222">
        <v>-301.1207</v>
      </c>
      <c r="K9222">
        <v>1.110536</v>
      </c>
      <c r="L9222">
        <v>-24.105869999999999</v>
      </c>
      <c r="M9222">
        <v>2.3009470000000001E-2</v>
      </c>
      <c r="N9222">
        <v>0</v>
      </c>
      <c r="O9222">
        <v>-0.9996815</v>
      </c>
      <c r="P9222">
        <v>0.2101258</v>
      </c>
      <c r="Q9222">
        <v>4.4337750000000002E-2</v>
      </c>
      <c r="R9222">
        <v>-0.9766688</v>
      </c>
      <c r="S9222">
        <v>1.003174</v>
      </c>
      <c r="T9222">
        <v>-0.33295449999999999</v>
      </c>
      <c r="U9222">
        <v>-2.871124</v>
      </c>
      <c r="V9222">
        <v>-0.1876437</v>
      </c>
      <c r="W9222">
        <v>5.4376300000000002E-2</v>
      </c>
      <c r="X9222">
        <v>0.98073089999999996</v>
      </c>
      <c r="Y9222">
        <v>-0.30606689999999998</v>
      </c>
      <c r="Z9222">
        <v>0.1091915</v>
      </c>
      <c r="AA9222">
        <v>0.94572730000000005</v>
      </c>
      <c r="AB9222">
        <v>19</v>
      </c>
      <c r="AC9222">
        <v>3.34059999999999</v>
      </c>
      <c r="AD9222">
        <v>-1.110539347959</v>
      </c>
      <c r="AE9222">
        <v>-9.3750599999999995</v>
      </c>
      <c r="AF9222">
        <v>-3.0855699999052999</v>
      </c>
      <c r="AG9222">
        <v>-1.110539347959</v>
      </c>
      <c r="AH9222">
        <v>9.3332382107738994</v>
      </c>
      <c r="AI9222">
        <v>96.4455935028315</v>
      </c>
      <c r="AJ9222">
        <v>108.293893828547</v>
      </c>
      <c r="AK9222">
        <v>9.8925919438098102</v>
      </c>
      <c r="AL9222">
        <v>86.882930192816502</v>
      </c>
      <c r="AM9222">
        <v>100.83152315798399</v>
      </c>
      <c r="AN9222">
        <v>1.00000001918309</v>
      </c>
    </row>
    <row r="9223" spans="1:40" x14ac:dyDescent="0.25">
      <c r="A9223" t="str">
        <f>"20190312150905809"</f>
        <v>20190312150905809</v>
      </c>
      <c r="B9223" t="str">
        <f>"1552374545798477"</f>
        <v>1552374545798477</v>
      </c>
      <c r="C9223" t="s">
        <v>40</v>
      </c>
      <c r="D9223">
        <v>4.7557850000000004</v>
      </c>
      <c r="E9223">
        <v>0.50234820000000002</v>
      </c>
      <c r="F9223" t="s">
        <v>42</v>
      </c>
      <c r="G9223">
        <v>-298.15350000000001</v>
      </c>
      <c r="H9223" s="1">
        <v>-2.012761E-6</v>
      </c>
      <c r="I9223">
        <v>-36.438920000000003</v>
      </c>
      <c r="J9223">
        <v>-301.11520000000002</v>
      </c>
      <c r="K9223">
        <v>1.1105</v>
      </c>
      <c r="L9223">
        <v>-24.30481</v>
      </c>
      <c r="M9223">
        <v>2.3849410000000001E-2</v>
      </c>
      <c r="N9223">
        <v>0</v>
      </c>
      <c r="O9223">
        <v>-0.99966339999999998</v>
      </c>
      <c r="P9223">
        <v>0.21099100000000001</v>
      </c>
      <c r="Q9223">
        <v>4.4313419999999999E-2</v>
      </c>
      <c r="R9223">
        <v>-0.97648349999999995</v>
      </c>
      <c r="S9223">
        <v>0.70538330000000005</v>
      </c>
      <c r="T9223">
        <v>-0.26400359999999901</v>
      </c>
      <c r="U9223">
        <v>-2.9318849999999999</v>
      </c>
      <c r="V9223">
        <v>-0.18768650000000001</v>
      </c>
      <c r="W9223">
        <v>5.4211549999999997E-2</v>
      </c>
      <c r="X9223">
        <v>0.98073180000000004</v>
      </c>
      <c r="Y9223">
        <v>-0.2097656</v>
      </c>
      <c r="Z9223">
        <v>8.741032E-2</v>
      </c>
      <c r="AA9223">
        <v>0.9738367</v>
      </c>
      <c r="AB9223">
        <v>19</v>
      </c>
      <c r="AC9223">
        <v>2.9617</v>
      </c>
      <c r="AD9223">
        <v>-1.1105020127609999</v>
      </c>
      <c r="AE9223">
        <v>-12.13411</v>
      </c>
      <c r="AF9223">
        <v>-2.6504993633157299</v>
      </c>
      <c r="AG9223">
        <v>-1.1105020127609999</v>
      </c>
      <c r="AH9223">
        <v>12.1056043139255</v>
      </c>
      <c r="AI9223">
        <v>95.1206981993368</v>
      </c>
      <c r="AJ9223">
        <v>102.34992014998301</v>
      </c>
      <c r="AK9223">
        <v>12.442026257833399</v>
      </c>
      <c r="AL9223">
        <v>86.892383522206799</v>
      </c>
      <c r="AM9223">
        <v>100.83392557034399</v>
      </c>
      <c r="AN9223">
        <v>0.999999988983446</v>
      </c>
    </row>
    <row r="9224" spans="1:40" x14ac:dyDescent="0.25">
      <c r="A9224" t="str">
        <f>"20190312150905831"</f>
        <v>20190312150905831</v>
      </c>
      <c r="B9224" t="str">
        <f>"1552374545818973"</f>
        <v>1552374545818973</v>
      </c>
      <c r="C9224" t="s">
        <v>40</v>
      </c>
      <c r="D9224">
        <v>4.7006050000000004</v>
      </c>
      <c r="E9224">
        <v>0.50600420000000002</v>
      </c>
      <c r="F9224" t="s">
        <v>42</v>
      </c>
      <c r="G9224">
        <v>-298.66289999999998</v>
      </c>
      <c r="H9224" s="1">
        <v>-2.2239960000000001E-6</v>
      </c>
      <c r="I9224">
        <v>-35.735880000000002</v>
      </c>
      <c r="J9224">
        <v>-301.10969999999998</v>
      </c>
      <c r="K9224">
        <v>1.1104849999999999</v>
      </c>
      <c r="L9224">
        <v>-24.495539999999998</v>
      </c>
      <c r="M9224">
        <v>2.4627590000000001E-2</v>
      </c>
      <c r="N9224">
        <v>0</v>
      </c>
      <c r="O9224">
        <v>-0.99964549999999996</v>
      </c>
      <c r="P9224">
        <v>0.211979</v>
      </c>
      <c r="Q9224">
        <v>4.3671719999999997E-2</v>
      </c>
      <c r="R9224">
        <v>-0.97629770000000005</v>
      </c>
      <c r="S9224">
        <v>0.63253780000000004</v>
      </c>
      <c r="T9224">
        <v>-0.28644760000000002</v>
      </c>
      <c r="U9224">
        <v>-2.9485779999999999</v>
      </c>
      <c r="V9224">
        <v>-0.1879141</v>
      </c>
      <c r="W9224">
        <v>5.3438779999999998E-2</v>
      </c>
      <c r="X9224">
        <v>0.98073069999999896</v>
      </c>
      <c r="Y9224">
        <v>-0.1846633</v>
      </c>
      <c r="Z9224">
        <v>9.4749890000000003E-2</v>
      </c>
      <c r="AA9224">
        <v>0.97822390000000004</v>
      </c>
      <c r="AB9224">
        <v>20</v>
      </c>
      <c r="AC9224">
        <v>2.4467999999999899</v>
      </c>
      <c r="AD9224">
        <v>-1.110487223996</v>
      </c>
      <c r="AE9224">
        <v>-11.24034</v>
      </c>
      <c r="AF9224">
        <v>-2.14919314934596</v>
      </c>
      <c r="AG9224">
        <v>-1.110487223996</v>
      </c>
      <c r="AH9224">
        <v>11.1928875037641</v>
      </c>
      <c r="AI9224">
        <v>95.564976584909004</v>
      </c>
      <c r="AJ9224">
        <v>100.869309072069</v>
      </c>
      <c r="AK9224">
        <v>11.451329343782399</v>
      </c>
      <c r="AL9224">
        <v>86.9367244756356</v>
      </c>
      <c r="AM9224">
        <v>100.846763847246</v>
      </c>
      <c r="AN9224">
        <v>1.0000000590545901</v>
      </c>
    </row>
    <row r="9225" spans="1:40" x14ac:dyDescent="0.25">
      <c r="A9225" t="str">
        <f>"20190312150905854"</f>
        <v>20190312150905854</v>
      </c>
      <c r="B9225" t="str">
        <f>"1552374545849229"</f>
        <v>1552374545849229</v>
      </c>
      <c r="C9225" t="s">
        <v>40</v>
      </c>
      <c r="D9225">
        <v>4.7021280000000001</v>
      </c>
      <c r="E9225">
        <v>0.50855079999999997</v>
      </c>
      <c r="F9225" t="s">
        <v>42</v>
      </c>
      <c r="G9225">
        <v>-298.79169999999999</v>
      </c>
      <c r="H9225" s="1">
        <v>-2.1845940000000001E-6</v>
      </c>
      <c r="I9225">
        <v>-35.774470000000001</v>
      </c>
      <c r="J9225">
        <v>-301.10390000000001</v>
      </c>
      <c r="K9225">
        <v>1.1104780000000001</v>
      </c>
      <c r="L9225">
        <v>-24.690280000000001</v>
      </c>
      <c r="M9225">
        <v>2.540452E-2</v>
      </c>
      <c r="N9225">
        <v>0</v>
      </c>
      <c r="O9225">
        <v>-0.99962759999999995</v>
      </c>
      <c r="P9225">
        <v>0.21226819999999999</v>
      </c>
      <c r="Q9225">
        <v>4.3218949999999999E-2</v>
      </c>
      <c r="R9225">
        <v>-0.97625569999999895</v>
      </c>
      <c r="S9225">
        <v>0.60708619999999902</v>
      </c>
      <c r="T9225">
        <v>-0.29084529999999997</v>
      </c>
      <c r="U9225">
        <v>-2.9540410000000001</v>
      </c>
      <c r="V9225">
        <v>-0.187442</v>
      </c>
      <c r="W9225">
        <v>5.2861659999999998E-2</v>
      </c>
      <c r="X9225">
        <v>0.98085219999999995</v>
      </c>
      <c r="Y9225">
        <v>-0.1754201</v>
      </c>
      <c r="Z9225">
        <v>9.6181150000000007E-2</v>
      </c>
      <c r="AA9225">
        <v>0.97978410000000005</v>
      </c>
      <c r="AB9225">
        <v>20</v>
      </c>
      <c r="AC9225">
        <v>2.31220000000001</v>
      </c>
      <c r="AD9225">
        <v>-1.110480184594</v>
      </c>
      <c r="AE9225">
        <v>-11.08419</v>
      </c>
      <c r="AF9225">
        <v>-2.01051271570969</v>
      </c>
      <c r="AG9225">
        <v>-1.110480184594</v>
      </c>
      <c r="AH9225">
        <v>11.0332305440617</v>
      </c>
      <c r="AI9225">
        <v>95.654888686859707</v>
      </c>
      <c r="AJ9225">
        <v>100.327318866346</v>
      </c>
      <c r="AK9225">
        <v>11.269760594565501</v>
      </c>
      <c r="AL9225">
        <v>86.969837483438695</v>
      </c>
      <c r="AM9225">
        <v>100.818848717365</v>
      </c>
      <c r="AN9225">
        <v>0.99999994835339601</v>
      </c>
    </row>
    <row r="9226" spans="1:40" x14ac:dyDescent="0.25">
      <c r="A9226" t="str">
        <f>"20190312150905878"</f>
        <v>20190312150905878</v>
      </c>
      <c r="B9226" t="str">
        <f>"1552374545868749"</f>
        <v>1552374545868749</v>
      </c>
      <c r="C9226" t="s">
        <v>40</v>
      </c>
      <c r="D9226">
        <v>4.6862769999999996</v>
      </c>
      <c r="E9226">
        <v>0.50923580000000002</v>
      </c>
      <c r="F9226" t="s">
        <v>42</v>
      </c>
      <c r="G9226">
        <v>-298.86720000000003</v>
      </c>
      <c r="H9226" s="1">
        <v>-2.100528E-6</v>
      </c>
      <c r="I9226">
        <v>-35.939219999999999</v>
      </c>
      <c r="J9226">
        <v>-301.09739999999999</v>
      </c>
      <c r="K9226">
        <v>1.110482</v>
      </c>
      <c r="L9226">
        <v>-24.90982</v>
      </c>
      <c r="M9226">
        <v>2.627034E-2</v>
      </c>
      <c r="N9226">
        <v>0</v>
      </c>
      <c r="O9226">
        <v>-0.99960640000000001</v>
      </c>
      <c r="P9226">
        <v>0.2128235</v>
      </c>
      <c r="Q9226">
        <v>4.3470389999999998E-2</v>
      </c>
      <c r="R9226">
        <v>-0.97612330000000003</v>
      </c>
      <c r="S9226">
        <v>0.5881653</v>
      </c>
      <c r="T9226">
        <v>-0.29201050000000001</v>
      </c>
      <c r="U9226">
        <v>-2.958008</v>
      </c>
      <c r="V9226">
        <v>-0.1871517</v>
      </c>
      <c r="W9226">
        <v>5.2980699999999999E-2</v>
      </c>
      <c r="X9226">
        <v>0.98090120000000003</v>
      </c>
      <c r="Y9226">
        <v>-0.16827529999999999</v>
      </c>
      <c r="Z9226">
        <v>9.6554440000000005E-2</v>
      </c>
      <c r="AA9226">
        <v>0.98099979999999998</v>
      </c>
      <c r="AB9226">
        <v>20</v>
      </c>
      <c r="AC9226">
        <v>2.23019999999996</v>
      </c>
      <c r="AD9226">
        <v>-1.110484100528</v>
      </c>
      <c r="AE9226">
        <v>-11.029400000000001</v>
      </c>
      <c r="AF9226">
        <v>-1.92096172217887</v>
      </c>
      <c r="AG9226">
        <v>-1.110484100528</v>
      </c>
      <c r="AH9226">
        <v>10.9772756308471</v>
      </c>
      <c r="AI9226">
        <v>95.690614456568795</v>
      </c>
      <c r="AJ9226">
        <v>99.925933979244405</v>
      </c>
      <c r="AK9226">
        <v>11.199278956754</v>
      </c>
      <c r="AL9226">
        <v>86.963007393351106</v>
      </c>
      <c r="AM9226">
        <v>100.801960695446</v>
      </c>
      <c r="AN9226">
        <v>0.99999993877340798</v>
      </c>
    </row>
    <row r="9227" spans="1:40" x14ac:dyDescent="0.25">
      <c r="A9227" t="str">
        <f>"20190312150905901"</f>
        <v>20190312150905901</v>
      </c>
      <c r="B9227" t="str">
        <f>"1552374545889244"</f>
        <v>1552374545889244</v>
      </c>
      <c r="C9227" t="s">
        <v>40</v>
      </c>
      <c r="D9227">
        <v>4.7764959999999999</v>
      </c>
      <c r="E9227">
        <v>0.50930220000000004</v>
      </c>
      <c r="F9227" t="s">
        <v>42</v>
      </c>
      <c r="G9227">
        <v>-298.88159999999999</v>
      </c>
      <c r="H9227" s="1">
        <v>-2.0146889999999999E-6</v>
      </c>
      <c r="I9227">
        <v>-36.13335</v>
      </c>
      <c r="J9227">
        <v>-301.09120000000001</v>
      </c>
      <c r="K9227">
        <v>1.1104830000000001</v>
      </c>
      <c r="L9227">
        <v>-25.110530000000001</v>
      </c>
      <c r="M9227">
        <v>2.7062139999999998E-2</v>
      </c>
      <c r="N9227">
        <v>0</v>
      </c>
      <c r="O9227">
        <v>-0.99958659999999999</v>
      </c>
      <c r="P9227">
        <v>0.21354039999999999</v>
      </c>
      <c r="Q9227">
        <v>4.3502840000000001E-2</v>
      </c>
      <c r="R9227">
        <v>-0.97596570000000005</v>
      </c>
      <c r="S9227">
        <v>0.58416749999999995</v>
      </c>
      <c r="T9227">
        <v>-0.29277520000000001</v>
      </c>
      <c r="U9227">
        <v>-2.9590450000000001</v>
      </c>
      <c r="V9227">
        <v>-0.1870964</v>
      </c>
      <c r="W9227">
        <v>5.2898319999999999E-2</v>
      </c>
      <c r="X9227">
        <v>0.98091629999999996</v>
      </c>
      <c r="Y9227">
        <v>-0.16614849999999901</v>
      </c>
      <c r="Z9227">
        <v>9.6798910000000002E-2</v>
      </c>
      <c r="AA9227">
        <v>0.98133820000000005</v>
      </c>
      <c r="AB9227">
        <v>20</v>
      </c>
      <c r="AC9227">
        <v>2.20960000000002</v>
      </c>
      <c r="AD9227">
        <v>-1.110485014689</v>
      </c>
      <c r="AE9227">
        <v>-11.022819999999999</v>
      </c>
      <c r="AF9227">
        <v>-1.8920145273221201</v>
      </c>
      <c r="AG9227">
        <v>-1.110485014689</v>
      </c>
      <c r="AH9227">
        <v>10.9715292247064</v>
      </c>
      <c r="AI9227">
        <v>95.696009644023903</v>
      </c>
      <c r="AJ9227">
        <v>99.784291362811899</v>
      </c>
      <c r="AK9227">
        <v>11.188715273347199</v>
      </c>
      <c r="AL9227">
        <v>86.967734359464799</v>
      </c>
      <c r="AM9227">
        <v>100.79868164530799</v>
      </c>
      <c r="AN9227">
        <v>1.00000004137873</v>
      </c>
    </row>
    <row r="9228" spans="1:40" x14ac:dyDescent="0.25">
      <c r="A9228" t="str">
        <f>"20190312150905923"</f>
        <v>20190312150905923</v>
      </c>
      <c r="B9228" t="str">
        <f>"1552374545918525"</f>
        <v>1552374545918525</v>
      </c>
      <c r="C9228" t="s">
        <v>40</v>
      </c>
      <c r="D9228">
        <v>4.6762629999999996</v>
      </c>
      <c r="E9228">
        <v>0.51072419999999996</v>
      </c>
      <c r="F9228" t="s">
        <v>42</v>
      </c>
      <c r="G9228">
        <v>-298.92309999999998</v>
      </c>
      <c r="H9228" s="1">
        <v>-2.0377640000000001E-6</v>
      </c>
      <c r="I9228">
        <v>-36.062420000000003</v>
      </c>
      <c r="J9228">
        <v>-301.0849</v>
      </c>
      <c r="K9228">
        <v>1.1104830000000001</v>
      </c>
      <c r="L9228">
        <v>-25.30716</v>
      </c>
      <c r="M9228">
        <v>2.7843380000000001E-2</v>
      </c>
      <c r="N9228">
        <v>0</v>
      </c>
      <c r="O9228">
        <v>-0.99956590000000001</v>
      </c>
      <c r="P9228">
        <v>0.21406849999999999</v>
      </c>
      <c r="Q9228">
        <v>4.3140959999999999E-2</v>
      </c>
      <c r="R9228">
        <v>-0.97586580000000001</v>
      </c>
      <c r="S9228">
        <v>0.58578490000000005</v>
      </c>
      <c r="T9228">
        <v>-0.30004039999999998</v>
      </c>
      <c r="U9228">
        <v>-2.959076</v>
      </c>
      <c r="V9228">
        <v>-0.1868611</v>
      </c>
      <c r="W9228">
        <v>5.2430249999999998E-2</v>
      </c>
      <c r="X9228">
        <v>0.98098620000000003</v>
      </c>
      <c r="Y9228">
        <v>-0.16584699999999999</v>
      </c>
      <c r="Z9228">
        <v>9.9170510000000003E-2</v>
      </c>
      <c r="AA9228">
        <v>0.98115240000000004</v>
      </c>
      <c r="AB9228">
        <v>20</v>
      </c>
      <c r="AC9228">
        <v>2.1618000000000199</v>
      </c>
      <c r="AD9228">
        <v>-1.1104850377640001</v>
      </c>
      <c r="AE9228">
        <v>-10.75526</v>
      </c>
      <c r="AF9228">
        <v>-1.8426045377678499</v>
      </c>
      <c r="AG9228">
        <v>-1.1104850377640001</v>
      </c>
      <c r="AH9228">
        <v>10.7016282837935</v>
      </c>
      <c r="AI9228">
        <v>95.838945748631502</v>
      </c>
      <c r="AJ9228">
        <v>99.769388402394597</v>
      </c>
      <c r="AK9228">
        <v>10.915732518992399</v>
      </c>
      <c r="AL9228">
        <v>86.9945898273061</v>
      </c>
      <c r="AM9228">
        <v>100.784669047482</v>
      </c>
      <c r="AN9228">
        <v>0.99999996319935502</v>
      </c>
    </row>
    <row r="9229" spans="1:40" x14ac:dyDescent="0.25">
      <c r="A9229" t="str">
        <f>"20190312150905942"</f>
        <v>20190312150905942</v>
      </c>
      <c r="B9229" t="str">
        <f>"1552374545939022"</f>
        <v>1552374545939022</v>
      </c>
      <c r="C9229" t="s">
        <v>40</v>
      </c>
      <c r="D9229">
        <v>4.6823030000000001</v>
      </c>
      <c r="E9229">
        <v>0.51104850000000002</v>
      </c>
      <c r="F9229" t="s">
        <v>42</v>
      </c>
      <c r="G9229">
        <v>-298.96980000000002</v>
      </c>
      <c r="H9229" s="1">
        <v>-1.9799969999999998E-6</v>
      </c>
      <c r="I9229">
        <v>-36.177770000000002</v>
      </c>
      <c r="J9229">
        <v>-301.07940000000002</v>
      </c>
      <c r="K9229">
        <v>1.110474</v>
      </c>
      <c r="L9229">
        <v>-25.476469999999999</v>
      </c>
      <c r="M9229">
        <v>2.8521560000000001E-2</v>
      </c>
      <c r="N9229">
        <v>0</v>
      </c>
      <c r="O9229">
        <v>-0.99954750000000003</v>
      </c>
      <c r="P9229">
        <v>0.21481910000000001</v>
      </c>
      <c r="Q9229">
        <v>4.320148E-2</v>
      </c>
      <c r="R9229">
        <v>-0.97569819999999996</v>
      </c>
      <c r="S9229">
        <v>0.57617189999999996</v>
      </c>
      <c r="T9229">
        <v>-0.30249890000000001</v>
      </c>
      <c r="U9229">
        <v>-2.961182</v>
      </c>
      <c r="V9229">
        <v>-0.18695120000000001</v>
      </c>
      <c r="W9229">
        <v>5.2405010000000002E-2</v>
      </c>
      <c r="X9229">
        <v>0.98097040000000002</v>
      </c>
      <c r="Y9229">
        <v>-0.16196150000000001</v>
      </c>
      <c r="Z9229">
        <v>9.9966120000000006E-2</v>
      </c>
      <c r="AA9229">
        <v>0.98172060000000005</v>
      </c>
      <c r="AB9229">
        <v>20</v>
      </c>
      <c r="AC9229">
        <v>2.1095999999999999</v>
      </c>
      <c r="AD9229">
        <v>-1.1104759799970001</v>
      </c>
      <c r="AE9229">
        <v>-10.7013</v>
      </c>
      <c r="AF9229">
        <v>-1.78500761091376</v>
      </c>
      <c r="AG9229">
        <v>-1.1104759799970001</v>
      </c>
      <c r="AH9229">
        <v>10.646759661496301</v>
      </c>
      <c r="AI9229">
        <v>95.873134309369604</v>
      </c>
      <c r="AJ9229">
        <v>99.517541709692495</v>
      </c>
      <c r="AK9229">
        <v>10.8523223488263</v>
      </c>
      <c r="AL9229">
        <v>86.996038017075705</v>
      </c>
      <c r="AM9229">
        <v>100.789916820823</v>
      </c>
      <c r="AN9229">
        <v>0.99999998096534903</v>
      </c>
    </row>
    <row r="9230" spans="1:40" x14ac:dyDescent="0.25">
      <c r="A9230" t="str">
        <f>"20190312150906052"</f>
        <v>20190312150906052</v>
      </c>
      <c r="B9230" t="str">
        <f>"1552374546049310"</f>
        <v>1552374546049310</v>
      </c>
      <c r="C9230" t="s">
        <v>40</v>
      </c>
      <c r="D9230">
        <v>4.6403790000000003</v>
      </c>
      <c r="E9230">
        <v>0.5274877</v>
      </c>
      <c r="F9230" t="s">
        <v>42</v>
      </c>
      <c r="G9230">
        <v>-298.93889999999999</v>
      </c>
      <c r="H9230" s="1">
        <v>-1.8516289999999999E-6</v>
      </c>
      <c r="I9230">
        <v>-36.48977</v>
      </c>
      <c r="J9230">
        <v>-301.0453</v>
      </c>
      <c r="K9230">
        <v>1.110484</v>
      </c>
      <c r="L9230">
        <v>-26.455839999999998</v>
      </c>
      <c r="M9230">
        <v>3.2513939999999998E-2</v>
      </c>
      <c r="N9230">
        <v>0</v>
      </c>
      <c r="O9230">
        <v>-0.99942889999999995</v>
      </c>
      <c r="P9230">
        <v>0.21949460000000001</v>
      </c>
      <c r="Q9230">
        <v>4.1817029999999998E-2</v>
      </c>
      <c r="R9230">
        <v>-0.97471739999999996</v>
      </c>
      <c r="S9230">
        <v>0.57553100000000001</v>
      </c>
      <c r="T9230">
        <v>-0.29858030000000002</v>
      </c>
      <c r="U9230">
        <v>-2.9612120000000002</v>
      </c>
      <c r="V9230">
        <v>-0.18773780000000001</v>
      </c>
      <c r="W9230">
        <v>5.0676869999999999E-2</v>
      </c>
      <c r="X9230">
        <v>0.98091099999999998</v>
      </c>
      <c r="Y9230">
        <v>-0.15783649999999999</v>
      </c>
      <c r="Z9230">
        <v>9.8700189999999993E-2</v>
      </c>
      <c r="AA9230">
        <v>0.98252019999999995</v>
      </c>
      <c r="AB9230">
        <v>20</v>
      </c>
      <c r="AC9230">
        <v>2.1063999999999998</v>
      </c>
      <c r="AD9230">
        <v>-1.1104858516289999</v>
      </c>
      <c r="AE9230">
        <v>-10.0339299999999</v>
      </c>
      <c r="AF9230">
        <v>-1.7584010706641799</v>
      </c>
      <c r="AG9230">
        <v>-1.1104858516289999</v>
      </c>
      <c r="AH9230">
        <v>9.9800336854950995</v>
      </c>
      <c r="AI9230">
        <v>96.253681074148005</v>
      </c>
      <c r="AJ9230">
        <v>99.992493501017194</v>
      </c>
      <c r="AK9230">
        <v>10.1944212938056</v>
      </c>
      <c r="AL9230">
        <v>87.095185017238904</v>
      </c>
      <c r="AM9230">
        <v>100.83488379476999</v>
      </c>
      <c r="AN9230">
        <v>1.00000000831141</v>
      </c>
    </row>
    <row r="9231" spans="1:40" x14ac:dyDescent="0.25">
      <c r="A9231" t="str">
        <f>"20190312150906077"</f>
        <v>20190312150906077</v>
      </c>
      <c r="B9231" t="str">
        <f>"1552374546068829"</f>
        <v>1552374546068829</v>
      </c>
      <c r="C9231" t="s">
        <v>40</v>
      </c>
      <c r="D9231">
        <v>4.7203220000000004</v>
      </c>
      <c r="E9231">
        <v>0.52900729999999996</v>
      </c>
      <c r="F9231" t="s">
        <v>73</v>
      </c>
      <c r="G9231">
        <v>-297.8972</v>
      </c>
      <c r="H9231" s="1">
        <v>-4.4738810000000002E-6</v>
      </c>
      <c r="I9231">
        <v>-47.033090000000001</v>
      </c>
      <c r="J9231">
        <v>-301.0369</v>
      </c>
      <c r="K9231">
        <v>1.1104889999999901</v>
      </c>
      <c r="L9231">
        <v>-26.67944</v>
      </c>
      <c r="M9231">
        <v>3.343057E-2</v>
      </c>
      <c r="N9231">
        <v>0</v>
      </c>
      <c r="O9231">
        <v>-0.99939909999999998</v>
      </c>
      <c r="P9231">
        <v>0.22146560000000001</v>
      </c>
      <c r="Q9231">
        <v>4.2466860000000002E-2</v>
      </c>
      <c r="R9231">
        <v>-0.97424350000000004</v>
      </c>
      <c r="S9231">
        <v>0.45620729999999998</v>
      </c>
      <c r="T9231">
        <v>-0.16092879999999901</v>
      </c>
      <c r="U9231">
        <v>-2.981995</v>
      </c>
      <c r="V9231">
        <v>-0.18882409999999999</v>
      </c>
      <c r="W9231">
        <v>5.1275000000000001E-2</v>
      </c>
      <c r="X9231">
        <v>0.98067130000000002</v>
      </c>
      <c r="Y9231">
        <v>-0.1178805</v>
      </c>
      <c r="Z9231">
        <v>5.3346089999999999E-2</v>
      </c>
      <c r="AA9231">
        <v>0.99159379999999997</v>
      </c>
      <c r="AB9231">
        <v>20</v>
      </c>
      <c r="AC9231">
        <v>3.1396999999999999</v>
      </c>
      <c r="AD9231">
        <v>-1.11049347388099</v>
      </c>
      <c r="AE9231">
        <v>-20.353649999999998</v>
      </c>
      <c r="AF9231">
        <v>-2.4503575945790002</v>
      </c>
      <c r="AG9231">
        <v>-1.11049347388099</v>
      </c>
      <c r="AH9231">
        <v>20.3879586010755</v>
      </c>
      <c r="AI9231">
        <v>93.095478963085995</v>
      </c>
      <c r="AJ9231">
        <v>96.853307730459406</v>
      </c>
      <c r="AK9231">
        <v>20.564685847734498</v>
      </c>
      <c r="AL9231">
        <v>87.060869855933504</v>
      </c>
      <c r="AM9231">
        <v>100.89868024671701</v>
      </c>
      <c r="AN9231">
        <v>0.99999993250474695</v>
      </c>
    </row>
    <row r="9232" spans="1:40" x14ac:dyDescent="0.25">
      <c r="A9232" t="str">
        <f>"20190312150906120"</f>
        <v>20190312150906120</v>
      </c>
      <c r="B9232" t="str">
        <f>"1552374546108844"</f>
        <v>1552374546108844</v>
      </c>
      <c r="C9232" t="s">
        <v>40</v>
      </c>
      <c r="D9232">
        <v>4.6159330000000001</v>
      </c>
      <c r="E9232">
        <v>0.52965379999999995</v>
      </c>
      <c r="F9232" t="s">
        <v>73</v>
      </c>
      <c r="G9232">
        <v>-297.43130000000002</v>
      </c>
      <c r="H9232" s="1">
        <v>-8.1464789999999999E-6</v>
      </c>
      <c r="I9232">
        <v>-50.626159999999999</v>
      </c>
      <c r="J9232">
        <v>-301.02210000000002</v>
      </c>
      <c r="K9232">
        <v>1.110495</v>
      </c>
      <c r="L9232">
        <v>-27.06372</v>
      </c>
      <c r="M9232">
        <v>3.5003949999999999E-2</v>
      </c>
      <c r="N9232">
        <v>0</v>
      </c>
      <c r="O9232">
        <v>-0.9993457</v>
      </c>
      <c r="P9232">
        <v>0.22540060000000001</v>
      </c>
      <c r="Q9232">
        <v>4.3620279999999997E-2</v>
      </c>
      <c r="R9232">
        <v>-0.97328939999999997</v>
      </c>
      <c r="S9232">
        <v>0.44918819999999998</v>
      </c>
      <c r="T9232">
        <v>-0.13834399999999999</v>
      </c>
      <c r="U9232">
        <v>-2.9832459999999998</v>
      </c>
      <c r="V9232">
        <v>-0.19124759999999999</v>
      </c>
      <c r="W9232">
        <v>5.235691E-2</v>
      </c>
      <c r="X9232">
        <v>0.98014440000000003</v>
      </c>
      <c r="Y9232">
        <v>-0.1140288</v>
      </c>
      <c r="Z9232">
        <v>4.5872330000000003E-2</v>
      </c>
      <c r="AA9232">
        <v>0.99241780000000002</v>
      </c>
      <c r="AB9232">
        <v>20</v>
      </c>
      <c r="AC9232">
        <v>3.5908000000000002</v>
      </c>
      <c r="AD9232">
        <v>-1.1105031464790001</v>
      </c>
      <c r="AE9232">
        <v>-23.562439999999999</v>
      </c>
      <c r="AF9232">
        <v>-2.7577998748027701</v>
      </c>
      <c r="AG9232">
        <v>-1.1105031464790001</v>
      </c>
      <c r="AH9232">
        <v>23.622415984476199</v>
      </c>
      <c r="AI9232">
        <v>92.673395316515894</v>
      </c>
      <c r="AJ9232">
        <v>96.658855109925298</v>
      </c>
      <c r="AK9232">
        <v>23.808763393579198</v>
      </c>
      <c r="AL9232">
        <v>86.998797692853501</v>
      </c>
      <c r="AM9232">
        <v>101.04093523581</v>
      </c>
      <c r="AN9232">
        <v>0.99999996769093302</v>
      </c>
    </row>
    <row r="9233" spans="1:40" x14ac:dyDescent="0.25">
      <c r="A9233" t="str">
        <f>"20190312150906144"</f>
        <v>20190312150906144</v>
      </c>
      <c r="B9233" t="str">
        <f>"1552374546139101"</f>
        <v>1552374546139101</v>
      </c>
      <c r="C9233" t="s">
        <v>40</v>
      </c>
      <c r="D9233">
        <v>4.5655910000000004</v>
      </c>
      <c r="E9233">
        <v>0.52951440000000005</v>
      </c>
      <c r="F9233" t="s">
        <v>73</v>
      </c>
      <c r="G9233">
        <v>-297.03910000000002</v>
      </c>
      <c r="H9233" s="1">
        <v>-8.0050539999999998E-6</v>
      </c>
      <c r="I9233">
        <v>-53.107259999999997</v>
      </c>
      <c r="J9233">
        <v>-301.01310000000001</v>
      </c>
      <c r="K9233">
        <v>1.110501</v>
      </c>
      <c r="L9233">
        <v>-27.290890000000001</v>
      </c>
      <c r="M9233">
        <v>3.5932529999999997E-2</v>
      </c>
      <c r="N9233">
        <v>0</v>
      </c>
      <c r="O9233">
        <v>-0.99931309999999995</v>
      </c>
      <c r="P9233">
        <v>0.22742519999999999</v>
      </c>
      <c r="Q9233">
        <v>4.3548419999999997E-2</v>
      </c>
      <c r="R9233">
        <v>-0.97282139999999995</v>
      </c>
      <c r="S9233">
        <v>0.45611570000000001</v>
      </c>
      <c r="T9233">
        <v>-0.12717000000000001</v>
      </c>
      <c r="U9233">
        <v>-2.9823909999999998</v>
      </c>
      <c r="V9233">
        <v>-0.19237679999999999</v>
      </c>
      <c r="W9233">
        <v>5.2252630000000001E-2</v>
      </c>
      <c r="X9233">
        <v>0.97992900000000005</v>
      </c>
      <c r="Y9233">
        <v>-0.1154254</v>
      </c>
      <c r="Z9233">
        <v>4.2173290000000002E-2</v>
      </c>
      <c r="AA9233">
        <v>0.99242050000000004</v>
      </c>
      <c r="AB9233">
        <v>20</v>
      </c>
      <c r="AC9233">
        <v>3.9739999999999802</v>
      </c>
      <c r="AD9233">
        <v>-1.1105090050540001</v>
      </c>
      <c r="AE9233">
        <v>-25.816369999999999</v>
      </c>
      <c r="AF9233">
        <v>-3.0382561345301</v>
      </c>
      <c r="AG9233">
        <v>-1.1105090050540001</v>
      </c>
      <c r="AH9233">
        <v>25.895691655581398</v>
      </c>
      <c r="AI9233">
        <v>92.438855280062597</v>
      </c>
      <c r="AJ9233">
        <v>96.691731702687306</v>
      </c>
      <c r="AK9233">
        <v>26.0969553187774</v>
      </c>
      <c r="AL9233">
        <v>87.004780806833594</v>
      </c>
      <c r="AM9233">
        <v>101.106889742878</v>
      </c>
      <c r="AN9233">
        <v>1.00000000778057</v>
      </c>
    </row>
    <row r="9234" spans="1:40" x14ac:dyDescent="0.25">
      <c r="A9234" t="str">
        <f>"20190312150906163"</f>
        <v>20190312150906163</v>
      </c>
      <c r="B9234" t="str">
        <f>"1552374546158621"</f>
        <v>1552374546158621</v>
      </c>
      <c r="C9234" t="s">
        <v>40</v>
      </c>
      <c r="D9234">
        <v>4.5798500000000004</v>
      </c>
      <c r="E9234">
        <v>0.52945819999999999</v>
      </c>
      <c r="F9234" t="s">
        <v>73</v>
      </c>
      <c r="G9234">
        <v>-296.73349999999999</v>
      </c>
      <c r="H9234" s="1">
        <v>-7.9199959999999994E-6</v>
      </c>
      <c r="I9234">
        <v>-54.817219999999899</v>
      </c>
      <c r="J9234">
        <v>-301.0059</v>
      </c>
      <c r="K9234">
        <v>1.1105020000000001</v>
      </c>
      <c r="L9234">
        <v>-27.467559999999999</v>
      </c>
      <c r="M9234">
        <v>3.6653760000000001E-2</v>
      </c>
      <c r="N9234">
        <v>0</v>
      </c>
      <c r="O9234">
        <v>-0.99928689999999998</v>
      </c>
      <c r="P9234">
        <v>0.22928999999999999</v>
      </c>
      <c r="Q9234">
        <v>4.4059760000000003E-2</v>
      </c>
      <c r="R9234">
        <v>-0.97236040000000001</v>
      </c>
      <c r="S9234">
        <v>0.46343990000000002</v>
      </c>
      <c r="T9234">
        <v>-0.12025859999999999</v>
      </c>
      <c r="U9234">
        <v>-2.9808650000000001</v>
      </c>
      <c r="V9234">
        <v>-0.1935501</v>
      </c>
      <c r="W9234">
        <v>5.2738809999999997E-2</v>
      </c>
      <c r="X9234">
        <v>0.97967190000000004</v>
      </c>
      <c r="Y9234">
        <v>-0.1171804</v>
      </c>
      <c r="Z9234">
        <v>3.9892110000000001E-2</v>
      </c>
      <c r="AA9234">
        <v>0.99230910000000005</v>
      </c>
      <c r="AB9234">
        <v>20</v>
      </c>
      <c r="AC9234">
        <v>4.2724000000000002</v>
      </c>
      <c r="AD9234">
        <v>-1.110509919996</v>
      </c>
      <c r="AE9234">
        <v>-27.349659999999901</v>
      </c>
      <c r="AF9234">
        <v>-3.26177017567717</v>
      </c>
      <c r="AG9234">
        <v>-1.110509919996</v>
      </c>
      <c r="AH9234">
        <v>27.4437176100096</v>
      </c>
      <c r="AI9234">
        <v>92.301031626672099</v>
      </c>
      <c r="AJ9234">
        <v>96.777983429410497</v>
      </c>
      <c r="AK9234">
        <v>27.659175931674099</v>
      </c>
      <c r="AL9234">
        <v>86.976886341877403</v>
      </c>
      <c r="AM9234">
        <v>101.17578935060899</v>
      </c>
      <c r="AN9234">
        <v>1.0000000274699099</v>
      </c>
    </row>
    <row r="9235" spans="1:40" x14ac:dyDescent="0.25">
      <c r="A9235" t="str">
        <f>"20190312150906186"</f>
        <v>20190312150906186</v>
      </c>
      <c r="B9235" t="str">
        <f>"1552374546179117"</f>
        <v>1552374546179117</v>
      </c>
      <c r="C9235" t="s">
        <v>40</v>
      </c>
      <c r="D9235">
        <v>4.5439040000000004</v>
      </c>
      <c r="E9235">
        <v>0.52940989999999999</v>
      </c>
      <c r="F9235" t="s">
        <v>73</v>
      </c>
      <c r="G9235">
        <v>-296.7577</v>
      </c>
      <c r="H9235" s="1">
        <v>-7.9585100000000008E-6</v>
      </c>
      <c r="I9235">
        <v>-54.399329999999999</v>
      </c>
      <c r="J9235">
        <v>-300.99740000000003</v>
      </c>
      <c r="K9235">
        <v>1.110501</v>
      </c>
      <c r="L9235">
        <v>-27.671230000000001</v>
      </c>
      <c r="M9235">
        <v>3.7485230000000001E-2</v>
      </c>
      <c r="N9235">
        <v>0</v>
      </c>
      <c r="O9235">
        <v>-0.9992567</v>
      </c>
      <c r="P9235">
        <v>0.23125000000000001</v>
      </c>
      <c r="Q9235">
        <v>4.3614010000000002E-2</v>
      </c>
      <c r="R9235">
        <v>-0.97191669999999997</v>
      </c>
      <c r="S9235">
        <v>0.47006229999999899</v>
      </c>
      <c r="T9235">
        <v>-0.1228783</v>
      </c>
      <c r="U9235">
        <v>-2.9800110000000002</v>
      </c>
      <c r="V9235">
        <v>-0.19470970000000001</v>
      </c>
      <c r="W9235">
        <v>5.2263110000000002E-2</v>
      </c>
      <c r="X9235">
        <v>0.97946759999999999</v>
      </c>
      <c r="Y9235">
        <v>-0.118544</v>
      </c>
      <c r="Z9235">
        <v>4.0759040000000003E-2</v>
      </c>
      <c r="AA9235">
        <v>0.99211190000000005</v>
      </c>
      <c r="AB9235">
        <v>20</v>
      </c>
      <c r="AC9235">
        <v>4.2397000000000196</v>
      </c>
      <c r="AD9235">
        <v>-1.1105089585100001</v>
      </c>
      <c r="AE9235">
        <v>-26.728100000000001</v>
      </c>
      <c r="AF9235">
        <v>-3.2293326461439</v>
      </c>
      <c r="AG9235">
        <v>-1.1105089585100001</v>
      </c>
      <c r="AH9235">
        <v>26.823078719813498</v>
      </c>
      <c r="AI9235">
        <v>92.353784929884995</v>
      </c>
      <c r="AJ9235">
        <v>96.865015728664602</v>
      </c>
      <c r="AK9235">
        <v>27.0395889668407</v>
      </c>
      <c r="AL9235">
        <v>87.004179621190801</v>
      </c>
      <c r="AM9235">
        <v>101.243330722476</v>
      </c>
      <c r="AN9235">
        <v>1.0000000396953601</v>
      </c>
    </row>
    <row r="9236" spans="1:40" x14ac:dyDescent="0.25">
      <c r="A9236" t="str">
        <f>"20190312150906209"</f>
        <v>20190312150906209</v>
      </c>
      <c r="B9236" t="str">
        <f>"1552374546198638"</f>
        <v>1552374546198638</v>
      </c>
      <c r="C9236" t="s">
        <v>40</v>
      </c>
      <c r="D9236">
        <v>4.5724939999999998</v>
      </c>
      <c r="E9236">
        <v>0.52913829999999995</v>
      </c>
      <c r="F9236" t="s">
        <v>73</v>
      </c>
      <c r="G9236">
        <v>-296.91019999999997</v>
      </c>
      <c r="H9236" s="1">
        <v>-8.0391959999999999E-6</v>
      </c>
      <c r="I9236">
        <v>-53.205889999999997</v>
      </c>
      <c r="J9236">
        <v>-300.98869999999999</v>
      </c>
      <c r="K9236">
        <v>1.110495</v>
      </c>
      <c r="L9236">
        <v>-27.8782</v>
      </c>
      <c r="M9236">
        <v>3.8333989999999998E-2</v>
      </c>
      <c r="N9236">
        <v>0</v>
      </c>
      <c r="O9236">
        <v>-0.99922449999999996</v>
      </c>
      <c r="P9236">
        <v>0.23258909999999999</v>
      </c>
      <c r="Q9236">
        <v>4.3455090000000002E-2</v>
      </c>
      <c r="R9236">
        <v>-0.97160389999999996</v>
      </c>
      <c r="S9236">
        <v>0.47683720000000002</v>
      </c>
      <c r="T9236">
        <v>-0.12955899999999901</v>
      </c>
      <c r="U9236">
        <v>-2.979034</v>
      </c>
      <c r="V9236">
        <v>-0.19522809999999999</v>
      </c>
      <c r="W9236">
        <v>5.2075959999999998E-2</v>
      </c>
      <c r="X9236">
        <v>0.97937430000000003</v>
      </c>
      <c r="Y9236">
        <v>-0.1199366</v>
      </c>
      <c r="Z9236">
        <v>4.2971629999999997E-2</v>
      </c>
      <c r="AA9236">
        <v>0.99185120000000004</v>
      </c>
      <c r="AB9236">
        <v>20</v>
      </c>
      <c r="AC9236">
        <v>4.0785000000000204</v>
      </c>
      <c r="AD9236">
        <v>-1.110503039196</v>
      </c>
      <c r="AE9236">
        <v>-25.32769</v>
      </c>
      <c r="AF9236">
        <v>-3.0987447715193199</v>
      </c>
      <c r="AG9236">
        <v>-1.110503039196</v>
      </c>
      <c r="AH9236">
        <v>25.417795047324098</v>
      </c>
      <c r="AI9236">
        <v>92.483297879652895</v>
      </c>
      <c r="AJ9236">
        <v>96.950766689466107</v>
      </c>
      <c r="AK9236">
        <v>25.630055427697702</v>
      </c>
      <c r="AL9236">
        <v>87.014916933820601</v>
      </c>
      <c r="AM9236">
        <v>101.273546094837</v>
      </c>
      <c r="AN9236">
        <v>0.99999996807001001</v>
      </c>
    </row>
    <row r="9237" spans="1:40" x14ac:dyDescent="0.25">
      <c r="A9237" t="str">
        <f>"20190312150906233"</f>
        <v>20190312150906233</v>
      </c>
      <c r="B9237" t="str">
        <f>"1552374546228893"</f>
        <v>1552374546228893</v>
      </c>
      <c r="C9237" t="s">
        <v>40</v>
      </c>
      <c r="D9237">
        <v>4.5484390000000001</v>
      </c>
      <c r="E9237">
        <v>0.52865549999999994</v>
      </c>
      <c r="F9237" t="s">
        <v>73</v>
      </c>
      <c r="G9237">
        <v>-297.08359999999999</v>
      </c>
      <c r="H9237" s="1">
        <v>-8.1213149999999905E-6</v>
      </c>
      <c r="I9237">
        <v>-51.934829999999998</v>
      </c>
      <c r="J9237">
        <v>-300.97910000000002</v>
      </c>
      <c r="K9237">
        <v>1.110503</v>
      </c>
      <c r="L9237">
        <v>-28.100650000000002</v>
      </c>
      <c r="M9237">
        <v>3.9252639999999998E-2</v>
      </c>
      <c r="N9237">
        <v>0</v>
      </c>
      <c r="O9237">
        <v>-0.99918899999999999</v>
      </c>
      <c r="P9237">
        <v>0.23392350000000001</v>
      </c>
      <c r="Q9237">
        <v>4.3790990000000002E-2</v>
      </c>
      <c r="R9237">
        <v>-0.97126829999999997</v>
      </c>
      <c r="S9237">
        <v>0.483429</v>
      </c>
      <c r="T9237">
        <v>-0.13747470000000001</v>
      </c>
      <c r="U9237">
        <v>-2.9780880000000001</v>
      </c>
      <c r="V9237">
        <v>-0.1956746</v>
      </c>
      <c r="W9237">
        <v>5.2383579999999999E-2</v>
      </c>
      <c r="X9237">
        <v>0.97926880000000005</v>
      </c>
      <c r="Y9237">
        <v>-0.1211941</v>
      </c>
      <c r="Z9237">
        <v>4.5592069999999998E-2</v>
      </c>
      <c r="AA9237">
        <v>0.9915813</v>
      </c>
      <c r="AB9237">
        <v>20</v>
      </c>
      <c r="AC9237">
        <v>3.8955000000000202</v>
      </c>
      <c r="AD9237">
        <v>-1.1105111213150001</v>
      </c>
      <c r="AE9237">
        <v>-23.83418</v>
      </c>
      <c r="AF9237">
        <v>-2.9506663676884899</v>
      </c>
      <c r="AG9237">
        <v>-1.1105111213150001</v>
      </c>
      <c r="AH9237">
        <v>23.918151170841998</v>
      </c>
      <c r="AI9237">
        <v>92.638341249094907</v>
      </c>
      <c r="AJ9237">
        <v>97.032769082547105</v>
      </c>
      <c r="AK9237">
        <v>24.1250413967566</v>
      </c>
      <c r="AL9237">
        <v>86.997267568371299</v>
      </c>
      <c r="AM9237">
        <v>101.299852864578</v>
      </c>
      <c r="AN9237">
        <v>0.99999998559610803</v>
      </c>
    </row>
    <row r="9238" spans="1:40" x14ac:dyDescent="0.25">
      <c r="A9238" t="str">
        <f>"20190312150906257"</f>
        <v>20190312150906257</v>
      </c>
      <c r="B9238" t="str">
        <f>"1552374546248413"</f>
        <v>1552374546248413</v>
      </c>
      <c r="C9238" t="s">
        <v>40</v>
      </c>
      <c r="D9238">
        <v>4.4994449999999997</v>
      </c>
      <c r="E9238">
        <v>0.52849609999999902</v>
      </c>
      <c r="F9238" t="s">
        <v>73</v>
      </c>
      <c r="G9238">
        <v>-296.9051</v>
      </c>
      <c r="H9238" s="1">
        <v>-8.0878030000000006E-6</v>
      </c>
      <c r="I9238">
        <v>-52.789709999999999</v>
      </c>
      <c r="J9238">
        <v>-300.96969999999999</v>
      </c>
      <c r="K9238">
        <v>1.110514</v>
      </c>
      <c r="L9238">
        <v>-28.313960000000002</v>
      </c>
      <c r="M9238">
        <v>4.0145769999999997E-2</v>
      </c>
      <c r="N9238">
        <v>0</v>
      </c>
      <c r="O9238">
        <v>-0.99915370000000003</v>
      </c>
      <c r="P9238">
        <v>0.23478299999999999</v>
      </c>
      <c r="Q9238">
        <v>4.3873280000000001E-2</v>
      </c>
      <c r="R9238">
        <v>-0.97105739999999996</v>
      </c>
      <c r="S9238">
        <v>0.49114989999999997</v>
      </c>
      <c r="T9238">
        <v>-0.13388129999999901</v>
      </c>
      <c r="U9238">
        <v>-2.9764710000000001</v>
      </c>
      <c r="V9238">
        <v>-0.19566749999999999</v>
      </c>
      <c r="W9238">
        <v>5.2441199999999903E-2</v>
      </c>
      <c r="X9238">
        <v>0.97926709999999995</v>
      </c>
      <c r="Y9238">
        <v>-0.1229056</v>
      </c>
      <c r="Z9238">
        <v>4.4410239999999997E-2</v>
      </c>
      <c r="AA9238">
        <v>0.99142419999999998</v>
      </c>
      <c r="AB9238">
        <v>21</v>
      </c>
      <c r="AC9238">
        <v>4.06459999999998</v>
      </c>
      <c r="AD9238">
        <v>-1.110522087803</v>
      </c>
      <c r="AE9238">
        <v>-24.475750000000001</v>
      </c>
      <c r="AF9238">
        <v>-3.0725302525249298</v>
      </c>
      <c r="AG9238">
        <v>-1.110522087803</v>
      </c>
      <c r="AH9238">
        <v>24.5699764517245</v>
      </c>
      <c r="AI9238">
        <v>92.567938852105499</v>
      </c>
      <c r="AJ9238">
        <v>97.1279626337667</v>
      </c>
      <c r="AK9238">
        <v>24.786234976262001</v>
      </c>
      <c r="AL9238">
        <v>86.993961539243998</v>
      </c>
      <c r="AM9238">
        <v>101.299472512381</v>
      </c>
      <c r="AN9238">
        <v>0.999999951578048</v>
      </c>
    </row>
    <row r="9239" spans="1:40" x14ac:dyDescent="0.25">
      <c r="A9239" t="str">
        <f>"20190312150906279"</f>
        <v>20190312150906279</v>
      </c>
      <c r="B9239" t="str">
        <f>"1552374546268909"</f>
        <v>1552374546268909</v>
      </c>
      <c r="C9239" t="s">
        <v>40</v>
      </c>
      <c r="D9239">
        <v>4.5502859999999998</v>
      </c>
      <c r="E9239">
        <v>0.52867200000000003</v>
      </c>
      <c r="F9239" t="s">
        <v>73</v>
      </c>
      <c r="G9239">
        <v>-297.00220000000002</v>
      </c>
      <c r="H9239" s="1">
        <v>-8.1273730000000006E-6</v>
      </c>
      <c r="I9239">
        <v>-52.134909999999998</v>
      </c>
      <c r="J9239">
        <v>-300.96039999999999</v>
      </c>
      <c r="K9239">
        <v>1.1105229999999999</v>
      </c>
      <c r="L9239">
        <v>-28.520140000000001</v>
      </c>
      <c r="M9239">
        <v>4.1031100000000001E-2</v>
      </c>
      <c r="N9239">
        <v>0</v>
      </c>
      <c r="O9239">
        <v>-0.9991177</v>
      </c>
      <c r="P9239">
        <v>0.2352139</v>
      </c>
      <c r="Q9239">
        <v>4.4168150000000003E-2</v>
      </c>
      <c r="R9239">
        <v>-0.97093980000000002</v>
      </c>
      <c r="S9239">
        <v>0.49563600000000002</v>
      </c>
      <c r="T9239">
        <v>-0.13873189999999999</v>
      </c>
      <c r="U9239">
        <v>-2.9758300000000002</v>
      </c>
      <c r="V9239">
        <v>-0.19523699999999999</v>
      </c>
      <c r="W9239">
        <v>5.2714049999999998E-2</v>
      </c>
      <c r="X9239">
        <v>0.97933840000000005</v>
      </c>
      <c r="Y9239">
        <v>-0.12350319999999999</v>
      </c>
      <c r="Z9239">
        <v>4.6015809999999997E-2</v>
      </c>
      <c r="AA9239">
        <v>0.99127670000000001</v>
      </c>
      <c r="AB9239">
        <v>21</v>
      </c>
      <c r="AC9239">
        <v>3.95819999999997</v>
      </c>
      <c r="AD9239">
        <v>-1.1105311273730001</v>
      </c>
      <c r="AE9239">
        <v>-23.61477</v>
      </c>
      <c r="AF9239">
        <v>-2.9794783733007901</v>
      </c>
      <c r="AG9239">
        <v>-1.1105311273730001</v>
      </c>
      <c r="AH9239">
        <v>23.706302858237201</v>
      </c>
      <c r="AI9239">
        <v>92.661177200823005</v>
      </c>
      <c r="AJ9239">
        <v>97.163541960569702</v>
      </c>
      <c r="AK9239">
        <v>23.9185987459194</v>
      </c>
      <c r="AL9239">
        <v>86.978306816269793</v>
      </c>
      <c r="AM9239">
        <v>101.27444955820999</v>
      </c>
      <c r="AN9239">
        <v>0.99999997947548103</v>
      </c>
    </row>
    <row r="9240" spans="1:40" x14ac:dyDescent="0.25">
      <c r="A9240" t="str">
        <f>"20190312150906302"</f>
        <v>20190312150906302</v>
      </c>
      <c r="B9240" t="str">
        <f>"1552374546299165"</f>
        <v>1552374546299165</v>
      </c>
      <c r="C9240" t="s">
        <v>40</v>
      </c>
      <c r="D9240">
        <v>4.5768449999999996</v>
      </c>
      <c r="E9240">
        <v>0.4809484</v>
      </c>
      <c r="F9240" t="s">
        <v>73</v>
      </c>
      <c r="G9240">
        <v>-297.0926</v>
      </c>
      <c r="H9240" s="1">
        <v>-8.1409019999999906E-6</v>
      </c>
      <c r="I9240">
        <v>-51.732770000000002</v>
      </c>
      <c r="J9240">
        <v>-300.95069999999998</v>
      </c>
      <c r="K9240">
        <v>1.110547</v>
      </c>
      <c r="L9240">
        <v>-28.731079999999999</v>
      </c>
      <c r="M9240">
        <v>4.1973629999999998E-2</v>
      </c>
      <c r="N9240">
        <v>0</v>
      </c>
      <c r="O9240">
        <v>-0.99907889999999999</v>
      </c>
      <c r="P9240">
        <v>0.235096</v>
      </c>
      <c r="Q9240">
        <v>4.3698140000000003E-2</v>
      </c>
      <c r="R9240">
        <v>-0.97098980000000001</v>
      </c>
      <c r="S9240">
        <v>0.49591059999999998</v>
      </c>
      <c r="T9240">
        <v>-0.14238329999999999</v>
      </c>
      <c r="U9240">
        <v>-2.9761350000000002</v>
      </c>
      <c r="V9240">
        <v>-0.19419539999999999</v>
      </c>
      <c r="W9240">
        <v>5.2222640000000001E-2</v>
      </c>
      <c r="X9240">
        <v>0.97957179999999999</v>
      </c>
      <c r="Y9240">
        <v>-0.1226303</v>
      </c>
      <c r="Z9240">
        <v>4.7218910000000003E-2</v>
      </c>
      <c r="AA9240">
        <v>0.99132849999999995</v>
      </c>
      <c r="AB9240">
        <v>21</v>
      </c>
      <c r="AC9240">
        <v>3.8580999999999701</v>
      </c>
      <c r="AD9240">
        <v>-1.110555140902</v>
      </c>
      <c r="AE9240">
        <v>-23.00169</v>
      </c>
      <c r="AF9240">
        <v>-2.8826609321301602</v>
      </c>
      <c r="AG9240">
        <v>-1.110555140902</v>
      </c>
      <c r="AH9240">
        <v>23.091007832769101</v>
      </c>
      <c r="AI9240">
        <v>92.732325162398098</v>
      </c>
      <c r="AJ9240">
        <v>97.115939831057403</v>
      </c>
      <c r="AK9240">
        <v>23.296731734378898</v>
      </c>
      <c r="AL9240">
        <v>87.006501386524505</v>
      </c>
      <c r="AM9240">
        <v>101.213223904271</v>
      </c>
      <c r="AN9240">
        <v>0.99999998443248395</v>
      </c>
    </row>
    <row r="9241" spans="1:40" x14ac:dyDescent="0.25">
      <c r="A9241" t="str">
        <f>"20190312150906325"</f>
        <v>20190312150906325</v>
      </c>
      <c r="B9241" t="str">
        <f>"1552374546318686"</f>
        <v>1552374546318686</v>
      </c>
      <c r="C9241" t="s">
        <v>40</v>
      </c>
      <c r="D9241">
        <v>4.4880940000000002</v>
      </c>
      <c r="E9241">
        <v>0.46008660000000001</v>
      </c>
      <c r="F9241" t="s">
        <v>73</v>
      </c>
      <c r="G9241">
        <v>-295.45179999999999</v>
      </c>
      <c r="H9241" s="1">
        <v>-5.0190269999999901E-6</v>
      </c>
      <c r="I9241">
        <v>-47.038800000000002</v>
      </c>
      <c r="J9241">
        <v>-300.94069999999999</v>
      </c>
      <c r="K9241">
        <v>1.1105879999999999</v>
      </c>
      <c r="L9241">
        <v>-28.943239999999999</v>
      </c>
      <c r="M9241">
        <v>4.2973089999999999E-2</v>
      </c>
      <c r="N9241">
        <v>0</v>
      </c>
      <c r="O9241">
        <v>-0.99903640000000005</v>
      </c>
      <c r="P9241">
        <v>0.2354484</v>
      </c>
      <c r="Q9241">
        <v>4.4215039999999997E-2</v>
      </c>
      <c r="R9241">
        <v>-0.97088070000000004</v>
      </c>
      <c r="S9241">
        <v>0.86730959999999901</v>
      </c>
      <c r="T9241">
        <v>-0.17515739999999999</v>
      </c>
      <c r="U9241">
        <v>-2.8875120000000001</v>
      </c>
      <c r="V9241">
        <v>-0.19357740000000001</v>
      </c>
      <c r="W9241">
        <v>5.2713570000000001E-2</v>
      </c>
      <c r="X9241">
        <v>0.97966779999999998</v>
      </c>
      <c r="Y9241">
        <v>-0.24575730000000001</v>
      </c>
      <c r="Z9241">
        <v>5.8256219999999997E-2</v>
      </c>
      <c r="AA9241">
        <v>0.96757919999999997</v>
      </c>
      <c r="AB9241">
        <v>21</v>
      </c>
      <c r="AC9241">
        <v>5.4889000000000001</v>
      </c>
      <c r="AD9241">
        <v>-1.1105930190269999</v>
      </c>
      <c r="AE9241">
        <v>-18.095559999999999</v>
      </c>
      <c r="AF9241">
        <v>-4.6899984964975099</v>
      </c>
      <c r="AG9241">
        <v>-1.1105930190269999</v>
      </c>
      <c r="AH9241">
        <v>18.251769788336901</v>
      </c>
      <c r="AI9241">
        <v>93.372764468692907</v>
      </c>
      <c r="AJ9241">
        <v>104.411015430619</v>
      </c>
      <c r="AK9241">
        <v>18.8774098635778</v>
      </c>
      <c r="AL9241">
        <v>86.978334310651803</v>
      </c>
      <c r="AM9241">
        <v>101.17737159479699</v>
      </c>
      <c r="AN9241">
        <v>0.99999996430487104</v>
      </c>
    </row>
    <row r="9242" spans="1:40" x14ac:dyDescent="0.25">
      <c r="A9242" t="str">
        <f>"20190312150906347"</f>
        <v>20190312150906347</v>
      </c>
      <c r="B9242" t="str">
        <f>"1552374546339181"</f>
        <v>1552374546339181</v>
      </c>
      <c r="C9242" t="s">
        <v>40</v>
      </c>
      <c r="D9242">
        <v>4.3621400000000001</v>
      </c>
      <c r="E9242">
        <v>0.44827060000000002</v>
      </c>
      <c r="F9242" t="s">
        <v>73</v>
      </c>
      <c r="G9242">
        <v>-295.83600000000001</v>
      </c>
      <c r="H9242" s="1">
        <v>-2.7777850000000001E-6</v>
      </c>
      <c r="I9242">
        <v>-43.030929999999998</v>
      </c>
      <c r="J9242">
        <v>-300.93020000000001</v>
      </c>
      <c r="K9242">
        <v>1.1106309999999999</v>
      </c>
      <c r="L9242">
        <v>-29.15945</v>
      </c>
      <c r="M9242">
        <v>4.40667E-2</v>
      </c>
      <c r="N9242">
        <v>0</v>
      </c>
      <c r="O9242">
        <v>-0.99898880000000001</v>
      </c>
      <c r="P9242">
        <v>0.23629069999999999</v>
      </c>
      <c r="Q9242">
        <v>4.533413E-2</v>
      </c>
      <c r="R9242">
        <v>-0.97062440000000005</v>
      </c>
      <c r="S9242">
        <v>1.0326229999999901</v>
      </c>
      <c r="T9242">
        <v>-0.224661</v>
      </c>
      <c r="U9242">
        <v>-2.8497919999999999</v>
      </c>
      <c r="V9242">
        <v>-0.19336490000000001</v>
      </c>
      <c r="W9242">
        <v>5.3803030000000002E-2</v>
      </c>
      <c r="X9242">
        <v>0.97965060000000004</v>
      </c>
      <c r="Y9242">
        <v>-0.29797079999999998</v>
      </c>
      <c r="Z9242">
        <v>7.434135E-2</v>
      </c>
      <c r="AA9242">
        <v>0.95167579999999996</v>
      </c>
      <c r="AB9242">
        <v>21</v>
      </c>
      <c r="AC9242">
        <v>5.0941999999999998</v>
      </c>
      <c r="AD9242">
        <v>-1.1106337777849999</v>
      </c>
      <c r="AE9242">
        <v>-13.871479999999901</v>
      </c>
      <c r="AF9242">
        <v>-4.4528037045987103</v>
      </c>
      <c r="AG9242">
        <v>-1.1106337777849999</v>
      </c>
      <c r="AH9242">
        <v>14.0033961007562</v>
      </c>
      <c r="AI9242">
        <v>94.322346052965102</v>
      </c>
      <c r="AJ9242">
        <v>107.639637489628</v>
      </c>
      <c r="AK9242">
        <v>14.736216290986</v>
      </c>
      <c r="AL9242">
        <v>86.915824314320503</v>
      </c>
      <c r="AM9242">
        <v>101.165601171551</v>
      </c>
      <c r="AN9242">
        <v>1.00000002433477</v>
      </c>
    </row>
    <row r="9243" spans="1:40" x14ac:dyDescent="0.25">
      <c r="A9243" t="str">
        <f>"20190312150906368"</f>
        <v>20190312150906368</v>
      </c>
      <c r="B9243" t="str">
        <f>"1552374546358700"</f>
        <v>1552374546358700</v>
      </c>
      <c r="C9243" t="s">
        <v>40</v>
      </c>
      <c r="D9243">
        <v>4.3926920000000003</v>
      </c>
      <c r="E9243">
        <v>0.44531920000000003</v>
      </c>
      <c r="F9243" t="s">
        <v>73</v>
      </c>
      <c r="G9243">
        <v>-296.32670000000002</v>
      </c>
      <c r="H9243" s="1">
        <v>-1.1553509999999999E-6</v>
      </c>
      <c r="I9243">
        <v>-40.683839999999996</v>
      </c>
      <c r="J9243">
        <v>-300.92090000000002</v>
      </c>
      <c r="K9243">
        <v>1.110679</v>
      </c>
      <c r="L9243">
        <v>-29.344480000000001</v>
      </c>
      <c r="M9243">
        <v>4.5050590000000001E-2</v>
      </c>
      <c r="N9243">
        <v>0</v>
      </c>
      <c r="O9243">
        <v>-0.99894510000000003</v>
      </c>
      <c r="P9243">
        <v>0.23699999999999999</v>
      </c>
      <c r="Q9243">
        <v>4.5786540000000001E-2</v>
      </c>
      <c r="R9243">
        <v>-0.97043029999999997</v>
      </c>
      <c r="S9243">
        <v>1.1298520000000001</v>
      </c>
      <c r="T9243">
        <v>-0.27258840000000001</v>
      </c>
      <c r="U9243">
        <v>-2.8284910000000001</v>
      </c>
      <c r="V9243">
        <v>-0.19312360000000001</v>
      </c>
      <c r="W9243">
        <v>5.4231069999999999E-2</v>
      </c>
      <c r="X9243">
        <v>0.97967459999999995</v>
      </c>
      <c r="Y9243">
        <v>-0.32724599999999998</v>
      </c>
      <c r="Z9243">
        <v>8.9727119999999994E-2</v>
      </c>
      <c r="AA9243">
        <v>0.94066950000000005</v>
      </c>
      <c r="AB9243">
        <v>21</v>
      </c>
      <c r="AC9243">
        <v>4.5941999999999998</v>
      </c>
      <c r="AD9243">
        <v>-1.110680155351</v>
      </c>
      <c r="AE9243">
        <v>-11.339359999999999</v>
      </c>
      <c r="AF9243">
        <v>-4.0453316135705304</v>
      </c>
      <c r="AG9243">
        <v>-1.110680155351</v>
      </c>
      <c r="AH9243">
        <v>11.4405418505262</v>
      </c>
      <c r="AI9243">
        <v>95.229673165590896</v>
      </c>
      <c r="AJ9243">
        <v>109.47339859685501</v>
      </c>
      <c r="AK9243">
        <v>12.1854140719503</v>
      </c>
      <c r="AL9243">
        <v>86.891263581872707</v>
      </c>
      <c r="AM9243">
        <v>101.151750730739</v>
      </c>
      <c r="AN9243">
        <v>1.0000000278577299</v>
      </c>
    </row>
    <row r="9244" spans="1:40" x14ac:dyDescent="0.25">
      <c r="A9244" t="str">
        <f>"20190312150906411"</f>
        <v>20190312150906411</v>
      </c>
      <c r="B9244" t="str">
        <f>"1552374546398717"</f>
        <v>1552374546398717</v>
      </c>
      <c r="C9244" t="s">
        <v>40</v>
      </c>
      <c r="D9244">
        <v>4.5573589999999999</v>
      </c>
      <c r="E9244">
        <v>0.4378436</v>
      </c>
      <c r="F9244" t="s">
        <v>42</v>
      </c>
      <c r="G9244">
        <v>-296.55799999999999</v>
      </c>
      <c r="H9244" s="1">
        <v>-1.036494E-6</v>
      </c>
      <c r="I9244">
        <v>-39.997390000000003</v>
      </c>
      <c r="J9244">
        <v>-300.90010000000001</v>
      </c>
      <c r="K9244">
        <v>1.110765</v>
      </c>
      <c r="L9244">
        <v>-29.743590000000001</v>
      </c>
      <c r="M9244">
        <v>4.7354640000000003E-2</v>
      </c>
      <c r="N9244">
        <v>0</v>
      </c>
      <c r="O9244">
        <v>-0.99883849999999996</v>
      </c>
      <c r="P9244">
        <v>0.24021129999999999</v>
      </c>
      <c r="Q9244">
        <v>4.5568749999999998E-2</v>
      </c>
      <c r="R9244">
        <v>-0.96965080000000003</v>
      </c>
      <c r="S9244">
        <v>1.156158</v>
      </c>
      <c r="T9244">
        <v>-0.29432140000000001</v>
      </c>
      <c r="U9244">
        <v>-2.822937</v>
      </c>
      <c r="V9244">
        <v>-0.1941176</v>
      </c>
      <c r="W9244">
        <v>5.3964440000000002E-2</v>
      </c>
      <c r="X9244">
        <v>0.97949280000000005</v>
      </c>
      <c r="Y9244">
        <v>-0.33298250000000001</v>
      </c>
      <c r="Z9244">
        <v>9.6710610000000002E-2</v>
      </c>
      <c r="AA9244">
        <v>0.93796040000000003</v>
      </c>
      <c r="AB9244">
        <v>21</v>
      </c>
      <c r="AC9244">
        <v>4.3421000000000101</v>
      </c>
      <c r="AD9244">
        <v>-1.110766036494</v>
      </c>
      <c r="AE9244">
        <v>-10.2538</v>
      </c>
      <c r="AF9244">
        <v>-3.8136960769876</v>
      </c>
      <c r="AG9244">
        <v>-1.110766036494</v>
      </c>
      <c r="AH9244">
        <v>10.3449850062048</v>
      </c>
      <c r="AI9244">
        <v>95.752831682061597</v>
      </c>
      <c r="AJ9244">
        <v>110.236493181846</v>
      </c>
      <c r="AK9244">
        <v>11.081371473516301</v>
      </c>
      <c r="AL9244">
        <v>86.906562592883901</v>
      </c>
      <c r="AM9244">
        <v>101.20972649142099</v>
      </c>
      <c r="AN9244">
        <v>0.99999997433305599</v>
      </c>
    </row>
    <row r="9245" spans="1:40" x14ac:dyDescent="0.25">
      <c r="A9245" t="str">
        <f>"20190312150906432"</f>
        <v>20190312150906432</v>
      </c>
      <c r="B9245" t="str">
        <f>"1552374546428974"</f>
        <v>1552374546428974</v>
      </c>
      <c r="C9245" t="s">
        <v>40</v>
      </c>
      <c r="D9245">
        <v>5.7801070000000001</v>
      </c>
      <c r="E9245">
        <v>0.43506529999999999</v>
      </c>
      <c r="F9245" t="s">
        <v>42</v>
      </c>
      <c r="G9245">
        <v>-296.98939999999999</v>
      </c>
      <c r="H9245" s="1">
        <v>-1.364822E-6</v>
      </c>
      <c r="I9245">
        <v>-38.695219999999999</v>
      </c>
      <c r="J9245">
        <v>-300.8886</v>
      </c>
      <c r="K9245">
        <v>1.1108100000000001</v>
      </c>
      <c r="L9245">
        <v>-29.95551</v>
      </c>
      <c r="M9245">
        <v>4.8683959999999998E-2</v>
      </c>
      <c r="N9245">
        <v>0</v>
      </c>
      <c r="O9245">
        <v>-0.99877470000000002</v>
      </c>
      <c r="P9245">
        <v>0.24246129999999999</v>
      </c>
      <c r="Q9245">
        <v>4.5258880000000001E-2</v>
      </c>
      <c r="R9245">
        <v>-0.96910510000000005</v>
      </c>
      <c r="S9245">
        <v>1.2260740000000001</v>
      </c>
      <c r="T9245">
        <v>-0.34824769999999999</v>
      </c>
      <c r="U9245">
        <v>-2.8065190000000002</v>
      </c>
      <c r="V9245">
        <v>-0.1950925</v>
      </c>
      <c r="W9245">
        <v>5.3631140000000001E-2</v>
      </c>
      <c r="X9245">
        <v>0.9793174</v>
      </c>
      <c r="Y9245">
        <v>-0.35264630000000002</v>
      </c>
      <c r="Z9245">
        <v>0.1138527</v>
      </c>
      <c r="AA9245">
        <v>0.92880469999999904</v>
      </c>
      <c r="AB9245">
        <v>21</v>
      </c>
      <c r="AC9245">
        <v>3.8992</v>
      </c>
      <c r="AD9245">
        <v>-1.1108113648219999</v>
      </c>
      <c r="AE9245">
        <v>-8.7397100000000005</v>
      </c>
      <c r="AF9245">
        <v>-3.4229595673631201</v>
      </c>
      <c r="AG9245">
        <v>-1.1108113648219999</v>
      </c>
      <c r="AH9245">
        <v>8.8006150914563506</v>
      </c>
      <c r="AI9245">
        <v>96.709163210324803</v>
      </c>
      <c r="AJ9245">
        <v>111.253322536868</v>
      </c>
      <c r="AK9245">
        <v>9.5079640342183502</v>
      </c>
      <c r="AL9245">
        <v>86.925686977910402</v>
      </c>
      <c r="AM9245">
        <v>101.26655396635</v>
      </c>
      <c r="AN9245">
        <v>0.99999997633835402</v>
      </c>
    </row>
    <row r="9246" spans="1:40" x14ac:dyDescent="0.25">
      <c r="A9246" t="str">
        <f>"20190312150906456"</f>
        <v>20190312150906456</v>
      </c>
      <c r="B9246" t="str">
        <f>"1552374546448494"</f>
        <v>1552374546448494</v>
      </c>
      <c r="C9246" t="s">
        <v>40</v>
      </c>
      <c r="D9246">
        <v>4.5499859999999996</v>
      </c>
      <c r="E9246">
        <v>0.43352760000000001</v>
      </c>
      <c r="F9246" t="s">
        <v>42</v>
      </c>
      <c r="G9246">
        <v>-297.07069999999999</v>
      </c>
      <c r="H9246" s="1">
        <v>-1.4201519999999999E-6</v>
      </c>
      <c r="I9246">
        <v>-38.469059999999999</v>
      </c>
      <c r="J9246">
        <v>-300.87619999999998</v>
      </c>
      <c r="K9246">
        <v>1.1108469999999999</v>
      </c>
      <c r="L9246">
        <v>-30.17511</v>
      </c>
      <c r="M9246">
        <v>5.0126440000000001E-2</v>
      </c>
      <c r="N9246">
        <v>0</v>
      </c>
      <c r="O9246">
        <v>-0.99870329999999996</v>
      </c>
      <c r="P9246">
        <v>0.24474290000000001</v>
      </c>
      <c r="Q9246">
        <v>4.5250659999999998E-2</v>
      </c>
      <c r="R9246">
        <v>-0.96853199999999995</v>
      </c>
      <c r="S9246">
        <v>1.255066</v>
      </c>
      <c r="T9246">
        <v>-0.36516270000000001</v>
      </c>
      <c r="U9246">
        <v>-2.7987060000000001</v>
      </c>
      <c r="V9246">
        <v>-0.19598979999999999</v>
      </c>
      <c r="W9246">
        <v>5.3602099999999903E-2</v>
      </c>
      <c r="X9246">
        <v>0.97913989999999995</v>
      </c>
      <c r="Y9246">
        <v>-0.36002190000000001</v>
      </c>
      <c r="Z9246">
        <v>0.1191784</v>
      </c>
      <c r="AA9246">
        <v>0.92530040000000002</v>
      </c>
      <c r="AB9246">
        <v>21</v>
      </c>
      <c r="AC9246">
        <v>3.8054999999999901</v>
      </c>
      <c r="AD9246">
        <v>-1.1108484201519999</v>
      </c>
      <c r="AE9246">
        <v>-8.2939500000000006</v>
      </c>
      <c r="AF9246">
        <v>-3.33552450023998</v>
      </c>
      <c r="AG9246">
        <v>-1.1108484201519999</v>
      </c>
      <c r="AH9246">
        <v>8.3505412461720301</v>
      </c>
      <c r="AI9246">
        <v>97.042439053129399</v>
      </c>
      <c r="AJ9246">
        <v>111.773651243142</v>
      </c>
      <c r="AK9246">
        <v>9.0604220104957491</v>
      </c>
      <c r="AL9246">
        <v>86.927353517764203</v>
      </c>
      <c r="AM9246">
        <v>101.31903711730899</v>
      </c>
      <c r="AN9246">
        <v>1.0000000653002199</v>
      </c>
    </row>
    <row r="9247" spans="1:40" x14ac:dyDescent="0.25">
      <c r="A9247" t="str">
        <f>"20190312150906478"</f>
        <v>20190312150906478</v>
      </c>
      <c r="B9247" t="str">
        <f>"1552374546468990"</f>
        <v>1552374546468990</v>
      </c>
      <c r="C9247" t="s">
        <v>40</v>
      </c>
      <c r="D9247">
        <v>4.5164179999999998</v>
      </c>
      <c r="E9247">
        <v>0.43247150000000001</v>
      </c>
      <c r="F9247" t="s">
        <v>42</v>
      </c>
      <c r="G9247">
        <v>-297.05059999999997</v>
      </c>
      <c r="H9247" s="1">
        <v>-1.3930529999999901E-6</v>
      </c>
      <c r="I9247">
        <v>-38.564439999999998</v>
      </c>
      <c r="J9247">
        <v>-300.86419999999998</v>
      </c>
      <c r="K9247">
        <v>1.1108789999999999</v>
      </c>
      <c r="L9247">
        <v>-30.38232</v>
      </c>
      <c r="M9247">
        <v>5.1546290000000002E-2</v>
      </c>
      <c r="N9247">
        <v>0</v>
      </c>
      <c r="O9247">
        <v>-0.99863100000000005</v>
      </c>
      <c r="P9247">
        <v>0.24703330000000001</v>
      </c>
      <c r="Q9247">
        <v>4.54624E-2</v>
      </c>
      <c r="R9247">
        <v>-0.96794020000000003</v>
      </c>
      <c r="S9247">
        <v>1.27359</v>
      </c>
      <c r="T9247">
        <v>-0.3698147</v>
      </c>
      <c r="U9247">
        <v>-2.7929080000000002</v>
      </c>
      <c r="V9247">
        <v>-0.19692000000000001</v>
      </c>
      <c r="W9247">
        <v>5.3793029999999999E-2</v>
      </c>
      <c r="X9247">
        <v>0.97894270000000005</v>
      </c>
      <c r="Y9247">
        <v>-0.36443150000000002</v>
      </c>
      <c r="Z9247">
        <v>0.1206226</v>
      </c>
      <c r="AA9247">
        <v>0.92338500000000001</v>
      </c>
      <c r="AB9247">
        <v>21</v>
      </c>
      <c r="AC9247">
        <v>3.8136000000000001</v>
      </c>
      <c r="AD9247">
        <v>-1.110880393053</v>
      </c>
      <c r="AE9247">
        <v>-8.1821199999999994</v>
      </c>
      <c r="AF9247">
        <v>-3.3362328913353201</v>
      </c>
      <c r="AG9247">
        <v>-1.110880393053</v>
      </c>
      <c r="AH9247">
        <v>8.2429985518166191</v>
      </c>
      <c r="AI9247">
        <v>97.120648057451305</v>
      </c>
      <c r="AJ9247">
        <v>112.03491955467901</v>
      </c>
      <c r="AK9247">
        <v>8.9616700607726099</v>
      </c>
      <c r="AL9247">
        <v>86.916398006879106</v>
      </c>
      <c r="AM9247">
        <v>101.37359363110301</v>
      </c>
      <c r="AN9247">
        <v>0.99999999317993504</v>
      </c>
    </row>
    <row r="9248" spans="1:40" x14ac:dyDescent="0.25">
      <c r="A9248" t="str">
        <f>"20190312150906505"</f>
        <v>20190312150906505</v>
      </c>
      <c r="B9248" t="str">
        <f>"1552374546499245"</f>
        <v>1552374546499245</v>
      </c>
      <c r="C9248" t="s">
        <v>40</v>
      </c>
      <c r="D9248">
        <v>4.5591780000000002</v>
      </c>
      <c r="E9248">
        <v>0.43123509999999998</v>
      </c>
      <c r="F9248" t="s">
        <v>42</v>
      </c>
      <c r="G9248">
        <v>-297.08359999999999</v>
      </c>
      <c r="H9248" s="1">
        <v>-1.3853230000000001E-6</v>
      </c>
      <c r="I9248">
        <v>-38.561329999999998</v>
      </c>
      <c r="J9248">
        <v>-300.84960000000001</v>
      </c>
      <c r="K9248">
        <v>1.1109119999999999</v>
      </c>
      <c r="L9248">
        <v>-30.62613</v>
      </c>
      <c r="M9248">
        <v>5.3272390000000003E-2</v>
      </c>
      <c r="N9248">
        <v>0</v>
      </c>
      <c r="O9248">
        <v>-0.99854030000000005</v>
      </c>
      <c r="P9248">
        <v>0.25000990000000001</v>
      </c>
      <c r="Q9248">
        <v>4.5623169999999998E-2</v>
      </c>
      <c r="R9248">
        <v>-0.96716820000000003</v>
      </c>
      <c r="S9248">
        <v>1.288818</v>
      </c>
      <c r="T9248">
        <v>-0.37870140000000002</v>
      </c>
      <c r="U9248">
        <v>-2.7882389999999999</v>
      </c>
      <c r="V9248">
        <v>-0.19824549999999999</v>
      </c>
      <c r="W9248">
        <v>5.392636E-2</v>
      </c>
      <c r="X9248">
        <v>0.97866779999999998</v>
      </c>
      <c r="Y9248">
        <v>-0.3674249</v>
      </c>
      <c r="Z9248">
        <v>0.1234349</v>
      </c>
      <c r="AA9248">
        <v>0.92182580000000003</v>
      </c>
      <c r="AB9248">
        <v>21</v>
      </c>
      <c r="AC9248">
        <v>3.76600000000002</v>
      </c>
      <c r="AD9248">
        <v>-1.110913385323</v>
      </c>
      <c r="AE9248">
        <v>-7.9351999999999903</v>
      </c>
      <c r="AF9248">
        <v>-3.28535408728562</v>
      </c>
      <c r="AG9248">
        <v>-1.110913385323</v>
      </c>
      <c r="AH9248">
        <v>7.9966451141556698</v>
      </c>
      <c r="AI9248">
        <v>97.322394972302902</v>
      </c>
      <c r="AJ9248">
        <v>112.33489541714999</v>
      </c>
      <c r="AK9248">
        <v>8.7163073093073091</v>
      </c>
      <c r="AL9248">
        <v>86.908747666939306</v>
      </c>
      <c r="AM9248">
        <v>101.451266933333</v>
      </c>
      <c r="AN9248">
        <v>0.99999999666496897</v>
      </c>
    </row>
    <row r="9249" spans="1:40" x14ac:dyDescent="0.25">
      <c r="A9249" t="str">
        <f>"20190312150906524"</f>
        <v>20190312150906524</v>
      </c>
      <c r="B9249" t="str">
        <f>"1552374546518765"</f>
        <v>1552374546518765</v>
      </c>
      <c r="C9249" t="s">
        <v>40</v>
      </c>
      <c r="D9249">
        <v>4.5723129999999896</v>
      </c>
      <c r="E9249">
        <v>0.43046390000000001</v>
      </c>
      <c r="F9249" t="s">
        <v>42</v>
      </c>
      <c r="G9249">
        <v>-297.14120000000003</v>
      </c>
      <c r="H9249" s="1">
        <v>-1.3843729999999999E-6</v>
      </c>
      <c r="I9249">
        <v>-38.519120000000001</v>
      </c>
      <c r="J9249">
        <v>-300.83800000000002</v>
      </c>
      <c r="K9249">
        <v>1.1109260000000001</v>
      </c>
      <c r="L9249">
        <v>-30.816220000000001</v>
      </c>
      <c r="M9249">
        <v>5.4649110000000001E-2</v>
      </c>
      <c r="N9249">
        <v>0</v>
      </c>
      <c r="O9249">
        <v>-0.99846599999999996</v>
      </c>
      <c r="P9249">
        <v>0.25271719999999998</v>
      </c>
      <c r="Q9249">
        <v>4.5428620000000003E-2</v>
      </c>
      <c r="R9249">
        <v>-0.96647300000000003</v>
      </c>
      <c r="S9249">
        <v>1.3072809999999999</v>
      </c>
      <c r="T9249">
        <v>-0.3916114</v>
      </c>
      <c r="U9249">
        <v>-2.7823790000000002</v>
      </c>
      <c r="V9249">
        <v>-0.19963880000000001</v>
      </c>
      <c r="W9249">
        <v>5.3709710000000001E-2</v>
      </c>
      <c r="X9249">
        <v>0.9783965</v>
      </c>
      <c r="Y9249">
        <v>-0.37168440000000003</v>
      </c>
      <c r="Z9249">
        <v>0.12751589999999999</v>
      </c>
      <c r="AA9249">
        <v>0.91955989999999999</v>
      </c>
      <c r="AB9249">
        <v>21</v>
      </c>
      <c r="AC9249">
        <v>3.6967999999999299</v>
      </c>
      <c r="AD9249">
        <v>-1.1109273843729901</v>
      </c>
      <c r="AE9249">
        <v>-7.7028999999999996</v>
      </c>
      <c r="AF9249">
        <v>-3.21593308288984</v>
      </c>
      <c r="AG9249">
        <v>-1.1109273843729901</v>
      </c>
      <c r="AH9249">
        <v>7.7621946870363798</v>
      </c>
      <c r="AI9249">
        <v>97.532044147291501</v>
      </c>
      <c r="AJ9249">
        <v>112.504578795547</v>
      </c>
      <c r="AK9249">
        <v>8.4751431614121397</v>
      </c>
      <c r="AL9249">
        <v>86.921178969445293</v>
      </c>
      <c r="AM9249">
        <v>101.532711705184</v>
      </c>
      <c r="AN9249">
        <v>1.00000004731298</v>
      </c>
    </row>
    <row r="9250" spans="1:40" x14ac:dyDescent="0.25">
      <c r="A9250" t="str">
        <f>"20190312150906547"</f>
        <v>20190312150906547</v>
      </c>
      <c r="B9250" t="str">
        <f>"1552374546538286"</f>
        <v>1552374546538286</v>
      </c>
      <c r="C9250" t="s">
        <v>40</v>
      </c>
      <c r="D9250">
        <v>4.5458610000000004</v>
      </c>
      <c r="E9250">
        <v>0.429842</v>
      </c>
      <c r="F9250" t="s">
        <v>42</v>
      </c>
      <c r="G9250">
        <v>-297.16890000000001</v>
      </c>
      <c r="H9250" s="1">
        <v>-1.3723679999999999E-6</v>
      </c>
      <c r="I9250">
        <v>-38.532690000000002</v>
      </c>
      <c r="J9250">
        <v>-300.82459999999998</v>
      </c>
      <c r="K9250">
        <v>1.11093</v>
      </c>
      <c r="L9250">
        <v>-31.028079999999999</v>
      </c>
      <c r="M9250">
        <v>5.6199020000000002E-2</v>
      </c>
      <c r="N9250">
        <v>0</v>
      </c>
      <c r="O9250">
        <v>-0.99838009999999999</v>
      </c>
      <c r="P9250">
        <v>0.25559739999999997</v>
      </c>
      <c r="Q9250">
        <v>4.4766720000000003E-2</v>
      </c>
      <c r="R9250">
        <v>-0.96574649999999995</v>
      </c>
      <c r="S9250">
        <v>1.3206789999999999</v>
      </c>
      <c r="T9250">
        <v>-0.39987590000000001</v>
      </c>
      <c r="U9250">
        <v>-2.7775270000000001</v>
      </c>
      <c r="V9250">
        <v>-0.2010352</v>
      </c>
      <c r="W9250">
        <v>5.3030229999999998E-2</v>
      </c>
      <c r="X9250">
        <v>0.97814760000000001</v>
      </c>
      <c r="Y9250">
        <v>-0.37434020000000001</v>
      </c>
      <c r="Z9250">
        <v>0.13014580000000001</v>
      </c>
      <c r="AA9250">
        <v>0.91811299999999996</v>
      </c>
      <c r="AB9250">
        <v>21</v>
      </c>
      <c r="AC9250">
        <v>3.65569999999996</v>
      </c>
      <c r="AD9250">
        <v>-1.1109313723680001</v>
      </c>
      <c r="AE9250">
        <v>-7.5046099999999996</v>
      </c>
      <c r="AF9250">
        <v>-3.1719744956107201</v>
      </c>
      <c r="AG9250">
        <v>-1.1109313723680001</v>
      </c>
      <c r="AH9250">
        <v>7.5642326111982996</v>
      </c>
      <c r="AI9250">
        <v>97.713212294442798</v>
      </c>
      <c r="AJ9250">
        <v>112.750183676402</v>
      </c>
      <c r="AK9250">
        <v>8.2772704263683607</v>
      </c>
      <c r="AL9250">
        <v>86.960165852771695</v>
      </c>
      <c r="AM9250">
        <v>101.61406988176699</v>
      </c>
      <c r="AN9250">
        <v>1.00000004215932</v>
      </c>
    </row>
    <row r="9251" spans="1:40" x14ac:dyDescent="0.25">
      <c r="A9251" t="str">
        <f>"20190312150906571"</f>
        <v>20190312150906571</v>
      </c>
      <c r="B9251" t="str">
        <f>"1552374546558782"</f>
        <v>1552374546558782</v>
      </c>
      <c r="C9251" t="s">
        <v>40</v>
      </c>
      <c r="D9251">
        <v>4.5599740000000004</v>
      </c>
      <c r="E9251">
        <v>0.4294385</v>
      </c>
      <c r="F9251" t="s">
        <v>42</v>
      </c>
      <c r="G9251">
        <v>-297.20249999999999</v>
      </c>
      <c r="H9251" s="1">
        <v>-1.355984E-6</v>
      </c>
      <c r="I9251">
        <v>-38.554580000000001</v>
      </c>
      <c r="J9251">
        <v>-300.80959999999999</v>
      </c>
      <c r="K9251">
        <v>1.1109340000000001</v>
      </c>
      <c r="L9251">
        <v>-31.258970000000001</v>
      </c>
      <c r="M9251">
        <v>5.7895519999999999E-2</v>
      </c>
      <c r="N9251">
        <v>0</v>
      </c>
      <c r="O9251">
        <v>-0.99828329999999998</v>
      </c>
      <c r="P9251">
        <v>0.2575499</v>
      </c>
      <c r="Q9251">
        <v>4.497189E-2</v>
      </c>
      <c r="R9251">
        <v>-0.96521820000000003</v>
      </c>
      <c r="S9251">
        <v>1.3341369999999999</v>
      </c>
      <c r="T9251">
        <v>-0.40919549999999999</v>
      </c>
      <c r="U9251">
        <v>-2.772278</v>
      </c>
      <c r="V9251">
        <v>-0.20135259999999999</v>
      </c>
      <c r="W9251">
        <v>5.3225929999999998E-2</v>
      </c>
      <c r="X9251">
        <v>0.97807160000000004</v>
      </c>
      <c r="Y9251">
        <v>-0.37689440000000002</v>
      </c>
      <c r="Z9251">
        <v>0.13312370000000001</v>
      </c>
      <c r="AA9251">
        <v>0.91663989999999995</v>
      </c>
      <c r="AB9251">
        <v>21</v>
      </c>
      <c r="AC9251">
        <v>3.6071</v>
      </c>
      <c r="AD9251">
        <v>-1.1109353559840001</v>
      </c>
      <c r="AE9251">
        <v>-7.2956099999999999</v>
      </c>
      <c r="AF9251">
        <v>-3.1205059014789498</v>
      </c>
      <c r="AG9251">
        <v>-1.1109353559840001</v>
      </c>
      <c r="AH9251">
        <v>7.3551680638250101</v>
      </c>
      <c r="AI9251">
        <v>97.915944845039405</v>
      </c>
      <c r="AJ9251">
        <v>112.989585389214</v>
      </c>
      <c r="AK9251">
        <v>8.0666121571234406</v>
      </c>
      <c r="AL9251">
        <v>86.948936966047299</v>
      </c>
      <c r="AM9251">
        <v>101.632786394558</v>
      </c>
      <c r="AN9251">
        <v>0.999999961938841</v>
      </c>
    </row>
    <row r="9252" spans="1:40" x14ac:dyDescent="0.25">
      <c r="A9252" t="str">
        <f>"20190312150906591"</f>
        <v>20190312150906591</v>
      </c>
      <c r="B9252" t="str">
        <f>"1552374546589037"</f>
        <v>1552374546589037</v>
      </c>
      <c r="C9252" t="s">
        <v>40</v>
      </c>
      <c r="D9252">
        <v>4.5286049999999998</v>
      </c>
      <c r="E9252">
        <v>0.42877700000000002</v>
      </c>
      <c r="F9252" t="s">
        <v>42</v>
      </c>
      <c r="G9252">
        <v>-297.14499999999998</v>
      </c>
      <c r="H9252" s="1">
        <v>-1.2847120000000001E-6</v>
      </c>
      <c r="I9252">
        <v>-38.808990000000001</v>
      </c>
      <c r="J9252">
        <v>-300.79629999999997</v>
      </c>
      <c r="K9252">
        <v>1.1109279999999999</v>
      </c>
      <c r="L9252">
        <v>-31.459689999999998</v>
      </c>
      <c r="M9252">
        <v>5.9371269999999997E-2</v>
      </c>
      <c r="N9252">
        <v>0</v>
      </c>
      <c r="O9252">
        <v>-0.99819669999999905</v>
      </c>
      <c r="P9252">
        <v>0.25961269999999997</v>
      </c>
      <c r="Q9252">
        <v>4.5270959999999999E-2</v>
      </c>
      <c r="R9252">
        <v>-0.96465129999999999</v>
      </c>
      <c r="S9252">
        <v>1.3437809999999999</v>
      </c>
      <c r="T9252">
        <v>-0.4073698</v>
      </c>
      <c r="U9252">
        <v>-2.7685240000000002</v>
      </c>
      <c r="V9252">
        <v>-0.20199900000000001</v>
      </c>
      <c r="W9252">
        <v>5.3519240000000003E-2</v>
      </c>
      <c r="X9252">
        <v>0.97792230000000002</v>
      </c>
      <c r="Y9252">
        <v>-0.37863429999999998</v>
      </c>
      <c r="Z9252">
        <v>0.13253970000000001</v>
      </c>
      <c r="AA9252">
        <v>0.91600720000000002</v>
      </c>
      <c r="AB9252">
        <v>21</v>
      </c>
      <c r="AC9252">
        <v>3.6512999999999902</v>
      </c>
      <c r="AD9252">
        <v>-1.110929284712</v>
      </c>
      <c r="AE9252">
        <v>-7.3492999999999897</v>
      </c>
      <c r="AF9252">
        <v>-3.1507625812729101</v>
      </c>
      <c r="AG9252">
        <v>-1.110929284712</v>
      </c>
      <c r="AH9252">
        <v>7.4171963305106203</v>
      </c>
      <c r="AI9252">
        <v>97.849050766977498</v>
      </c>
      <c r="AJ9252">
        <v>113.01537683365299</v>
      </c>
      <c r="AK9252">
        <v>8.1348798469627397</v>
      </c>
      <c r="AL9252">
        <v>86.932107561980303</v>
      </c>
      <c r="AM9252">
        <v>101.670841079078</v>
      </c>
      <c r="AN9252">
        <v>0.99999996494423304</v>
      </c>
    </row>
    <row r="9253" spans="1:40" x14ac:dyDescent="0.25">
      <c r="A9253" t="str">
        <f>"20190312150906615"</f>
        <v>20190312150906615</v>
      </c>
      <c r="B9253" t="str">
        <f>"1552374546608557"</f>
        <v>1552374546608557</v>
      </c>
      <c r="C9253" t="s">
        <v>40</v>
      </c>
      <c r="D9253">
        <v>4.394647</v>
      </c>
      <c r="E9253">
        <v>0.4284809</v>
      </c>
      <c r="F9253" t="s">
        <v>42</v>
      </c>
      <c r="G9253">
        <v>-297.10649999999998</v>
      </c>
      <c r="H9253" s="1">
        <v>-1.2336219999999999E-6</v>
      </c>
      <c r="I9253">
        <v>-38.989199999999997</v>
      </c>
      <c r="J9253">
        <v>-300.78129999999999</v>
      </c>
      <c r="K9253">
        <v>1.1109249999999999</v>
      </c>
      <c r="L9253">
        <v>-31.679600000000001</v>
      </c>
      <c r="M9253">
        <v>6.0982830000000002E-2</v>
      </c>
      <c r="N9253">
        <v>0</v>
      </c>
      <c r="O9253">
        <v>-0.99809950000000003</v>
      </c>
      <c r="P9253">
        <v>0.26233849999999997</v>
      </c>
      <c r="Q9253">
        <v>4.4987029999999997E-2</v>
      </c>
      <c r="R9253">
        <v>-0.96392690000000003</v>
      </c>
      <c r="S9253">
        <v>1.354706</v>
      </c>
      <c r="T9253">
        <v>-0.40788289999999999</v>
      </c>
      <c r="U9253">
        <v>-2.7644959999999998</v>
      </c>
      <c r="V9253">
        <v>-0.2031828</v>
      </c>
      <c r="W9253">
        <v>5.323021E-2</v>
      </c>
      <c r="X9253">
        <v>0.97769280000000003</v>
      </c>
      <c r="Y9253">
        <v>-0.3805809</v>
      </c>
      <c r="Z9253">
        <v>0.13269230000000001</v>
      </c>
      <c r="AA9253">
        <v>0.91517809999999999</v>
      </c>
      <c r="AB9253">
        <v>21</v>
      </c>
      <c r="AC9253">
        <v>3.6747999999999998</v>
      </c>
      <c r="AD9253">
        <v>-1.110926233622</v>
      </c>
      <c r="AE9253">
        <v>-7.3095999999999899</v>
      </c>
      <c r="AF9253">
        <v>-3.1638464242496198</v>
      </c>
      <c r="AG9253">
        <v>-1.110926233622</v>
      </c>
      <c r="AH9253">
        <v>7.3839552844388097</v>
      </c>
      <c r="AI9253">
        <v>97.873575405699697</v>
      </c>
      <c r="AJ9253">
        <v>113.193963260375</v>
      </c>
      <c r="AK9253">
        <v>8.1096779797584109</v>
      </c>
      <c r="AL9253">
        <v>86.948691380925197</v>
      </c>
      <c r="AM9253">
        <v>101.740023641305</v>
      </c>
      <c r="AN9253">
        <v>0.99999995832216104</v>
      </c>
    </row>
    <row r="9254" spans="1:40" x14ac:dyDescent="0.25">
      <c r="A9254" t="str">
        <f>"20190312150906635"</f>
        <v>20190312150906635</v>
      </c>
      <c r="B9254" t="str">
        <f>"1552374546629054"</f>
        <v>1552374546629054</v>
      </c>
      <c r="C9254" t="s">
        <v>40</v>
      </c>
      <c r="D9254">
        <v>4.5022390000000003</v>
      </c>
      <c r="E9254">
        <v>0.42831259999999999</v>
      </c>
      <c r="F9254" t="s">
        <v>42</v>
      </c>
      <c r="G9254">
        <v>-297.07769999999999</v>
      </c>
      <c r="H9254" s="1">
        <v>-1.178913E-6</v>
      </c>
      <c r="I9254">
        <v>-39.172510000000003</v>
      </c>
      <c r="J9254">
        <v>-300.76749999999998</v>
      </c>
      <c r="K9254">
        <v>1.1109199999999999</v>
      </c>
      <c r="L9254">
        <v>-31.87848</v>
      </c>
      <c r="M9254">
        <v>6.2432710000000002E-2</v>
      </c>
      <c r="N9254">
        <v>0</v>
      </c>
      <c r="O9254">
        <v>-0.99800960000000005</v>
      </c>
      <c r="P9254">
        <v>0.26392120000000002</v>
      </c>
      <c r="Q9254">
        <v>4.4290740000000002E-2</v>
      </c>
      <c r="R9254">
        <v>-0.96352689999999996</v>
      </c>
      <c r="S9254">
        <v>1.364258</v>
      </c>
      <c r="T9254">
        <v>-0.40921800000000003</v>
      </c>
      <c r="U9254">
        <v>-2.7600709999999999</v>
      </c>
      <c r="V9254">
        <v>-0.20336419999999999</v>
      </c>
      <c r="W9254">
        <v>5.2532620000000002E-2</v>
      </c>
      <c r="X9254">
        <v>0.97769280000000003</v>
      </c>
      <c r="Y9254">
        <v>-0.38234119999999999</v>
      </c>
      <c r="Z9254">
        <v>0.13314309999999999</v>
      </c>
      <c r="AA9254">
        <v>0.91437849999999998</v>
      </c>
      <c r="AB9254">
        <v>21</v>
      </c>
      <c r="AC9254">
        <v>3.6897999999999902</v>
      </c>
      <c r="AD9254">
        <v>-1.110921178913</v>
      </c>
      <c r="AE9254">
        <v>-7.2940299999999896</v>
      </c>
      <c r="AF9254">
        <v>-3.1686706193969698</v>
      </c>
      <c r="AG9254">
        <v>-1.110921178913</v>
      </c>
      <c r="AH9254">
        <v>7.37397259641308</v>
      </c>
      <c r="AI9254">
        <v>97.880583866481501</v>
      </c>
      <c r="AJ9254">
        <v>113.25368600688201</v>
      </c>
      <c r="AK9254">
        <v>8.1024743882741195</v>
      </c>
      <c r="AL9254">
        <v>86.988716301796401</v>
      </c>
      <c r="AM9254">
        <v>101.750213745208</v>
      </c>
      <c r="AN9254">
        <v>0.99999994258877001</v>
      </c>
    </row>
    <row r="9255" spans="1:40" x14ac:dyDescent="0.25">
      <c r="A9255" t="str">
        <f>"20190312150906701"</f>
        <v>20190312150906701</v>
      </c>
      <c r="B9255" t="str">
        <f>"1552374546699011"</f>
        <v>1552374546699011</v>
      </c>
      <c r="C9255" t="s">
        <v>40</v>
      </c>
      <c r="D9255">
        <v>4.6467489999999998</v>
      </c>
      <c r="E9255">
        <v>0.42732870000000001</v>
      </c>
      <c r="F9255" t="s">
        <v>42</v>
      </c>
      <c r="G9255">
        <v>-297.06970000000001</v>
      </c>
      <c r="H9255" s="1">
        <v>-1.1305039999999999E-6</v>
      </c>
      <c r="I9255">
        <v>-39.321019999999997</v>
      </c>
      <c r="J9255">
        <v>-300.72210000000001</v>
      </c>
      <c r="K9255">
        <v>1.1109549999999999</v>
      </c>
      <c r="L9255">
        <v>-32.506129999999999</v>
      </c>
      <c r="M9255">
        <v>6.7052269999999997E-2</v>
      </c>
      <c r="N9255">
        <v>0</v>
      </c>
      <c r="O9255">
        <v>-0.99770999999999999</v>
      </c>
      <c r="P9255">
        <v>0.27104200000000001</v>
      </c>
      <c r="Q9255">
        <v>4.3081870000000001E-2</v>
      </c>
      <c r="R9255">
        <v>-0.96160279999999998</v>
      </c>
      <c r="S9255">
        <v>1.369934</v>
      </c>
      <c r="T9255">
        <v>-0.41156209999999999</v>
      </c>
      <c r="U9255">
        <v>-2.7572329999999998</v>
      </c>
      <c r="V9255">
        <v>-0.2060689</v>
      </c>
      <c r="W9255">
        <v>5.129595E-2</v>
      </c>
      <c r="X9255">
        <v>0.97719199999999995</v>
      </c>
      <c r="Y9255">
        <v>-0.37990550000000001</v>
      </c>
      <c r="Z9255">
        <v>0.13396429999999901</v>
      </c>
      <c r="AA9255">
        <v>0.91527340000000001</v>
      </c>
      <c r="AB9255">
        <v>22</v>
      </c>
      <c r="AC9255">
        <v>3.6524000000000001</v>
      </c>
      <c r="AD9255">
        <v>-1.1109561305040001</v>
      </c>
      <c r="AE9255">
        <v>-6.8148900000000001</v>
      </c>
      <c r="AF9255">
        <v>-3.12273827492186</v>
      </c>
      <c r="AG9255">
        <v>-1.1109561305040001</v>
      </c>
      <c r="AH9255">
        <v>6.9019708079841404</v>
      </c>
      <c r="AI9255">
        <v>98.342988325708802</v>
      </c>
      <c r="AJ9255">
        <v>114.343971371412</v>
      </c>
      <c r="AK9255">
        <v>7.6565605131698398</v>
      </c>
      <c r="AL9255">
        <v>87.059667936238796</v>
      </c>
      <c r="AM9255">
        <v>101.907985505244</v>
      </c>
      <c r="AN9255">
        <v>0.99999993544880394</v>
      </c>
    </row>
    <row r="9256" spans="1:40" x14ac:dyDescent="0.25">
      <c r="A9256" t="str">
        <f>"20190312150906727"</f>
        <v>20190312150906727</v>
      </c>
      <c r="B9256" t="str">
        <f>"1552374546718532"</f>
        <v>1552374546718532</v>
      </c>
      <c r="C9256" t="s">
        <v>40</v>
      </c>
      <c r="D9256">
        <v>4.5279220000000002</v>
      </c>
      <c r="E9256">
        <v>0.4270428</v>
      </c>
      <c r="F9256" t="s">
        <v>42</v>
      </c>
      <c r="G9256">
        <v>-297.01429999999999</v>
      </c>
      <c r="H9256" s="1">
        <v>-9.8617139999999999E-7</v>
      </c>
      <c r="I9256">
        <v>-39.788420000000002</v>
      </c>
      <c r="J9256">
        <v>-300.70310000000001</v>
      </c>
      <c r="K9256">
        <v>1.1109910000000001</v>
      </c>
      <c r="L9256">
        <v>-32.755040000000001</v>
      </c>
      <c r="M9256">
        <v>6.897325E-2</v>
      </c>
      <c r="N9256">
        <v>0</v>
      </c>
      <c r="O9256">
        <v>-0.99757890000000005</v>
      </c>
      <c r="P9256">
        <v>0.27387040000000001</v>
      </c>
      <c r="Q9256">
        <v>4.3059159999999999E-2</v>
      </c>
      <c r="R9256">
        <v>-0.96080209999999999</v>
      </c>
      <c r="S9256">
        <v>1.3974299999999999</v>
      </c>
      <c r="T9256">
        <v>-0.41871390000000003</v>
      </c>
      <c r="U9256">
        <v>-2.744659</v>
      </c>
      <c r="V9256">
        <v>-0.2070688</v>
      </c>
      <c r="W9256">
        <v>5.1249280000000001E-2</v>
      </c>
      <c r="X9256">
        <v>0.97698309999999999</v>
      </c>
      <c r="Y9256">
        <v>-0.38695479999999999</v>
      </c>
      <c r="Z9256">
        <v>0.1362729</v>
      </c>
      <c r="AA9256">
        <v>0.91197349999999999</v>
      </c>
      <c r="AB9256">
        <v>22</v>
      </c>
      <c r="AC9256">
        <v>3.6888000000000098</v>
      </c>
      <c r="AD9256">
        <v>-1.1109919861713999</v>
      </c>
      <c r="AE9256">
        <v>-7.0333800000000002</v>
      </c>
      <c r="AF9256">
        <v>-3.1335607958592999</v>
      </c>
      <c r="AG9256">
        <v>-1.1109919861713999</v>
      </c>
      <c r="AH9256">
        <v>7.1315135402196796</v>
      </c>
      <c r="AI9256">
        <v>98.117081051613496</v>
      </c>
      <c r="AJ9256">
        <v>113.720509832674</v>
      </c>
      <c r="AK9256">
        <v>7.8684173649483098</v>
      </c>
      <c r="AL9256">
        <v>87.0623455748335</v>
      </c>
      <c r="AM9256">
        <v>101.966589418651</v>
      </c>
      <c r="AN9256">
        <v>0.99999997715978395</v>
      </c>
    </row>
    <row r="9257" spans="1:40" x14ac:dyDescent="0.25">
      <c r="A9257" t="str">
        <f>"20190312150906750"</f>
        <v>20190312150906750</v>
      </c>
      <c r="B9257" t="str">
        <f>"1552374546739029"</f>
        <v>1552374546739029</v>
      </c>
      <c r="C9257" t="s">
        <v>40</v>
      </c>
      <c r="D9257">
        <v>4.541353</v>
      </c>
      <c r="E9257">
        <v>0.42690220000000001</v>
      </c>
      <c r="F9257" t="s">
        <v>42</v>
      </c>
      <c r="G9257">
        <v>-296.97399999999999</v>
      </c>
      <c r="H9257" s="1">
        <v>-9.1953219999999996E-7</v>
      </c>
      <c r="I9257">
        <v>-40.015799999999999</v>
      </c>
      <c r="J9257">
        <v>-300.6848</v>
      </c>
      <c r="K9257">
        <v>1.1110599999999999</v>
      </c>
      <c r="L9257">
        <v>-32.98856</v>
      </c>
      <c r="M9257">
        <v>7.0891309999999999E-2</v>
      </c>
      <c r="N9257">
        <v>0</v>
      </c>
      <c r="O9257">
        <v>-0.99744440000000001</v>
      </c>
      <c r="P9257">
        <v>0.27632099999999998</v>
      </c>
      <c r="Q9257">
        <v>4.2935220000000003E-2</v>
      </c>
      <c r="R9257">
        <v>-0.96010580000000001</v>
      </c>
      <c r="S9257">
        <v>1.4072880000000001</v>
      </c>
      <c r="T9257">
        <v>-0.41926350000000001</v>
      </c>
      <c r="U9257">
        <v>-2.7400509999999998</v>
      </c>
      <c r="V9257">
        <v>-0.20769190000000001</v>
      </c>
      <c r="W9257">
        <v>5.1092609999999997E-2</v>
      </c>
      <c r="X9257">
        <v>0.97685900000000003</v>
      </c>
      <c r="Y9257">
        <v>-0.38839210000000002</v>
      </c>
      <c r="Z9257">
        <v>0.13647409999999999</v>
      </c>
      <c r="AA9257">
        <v>0.91133220000000004</v>
      </c>
      <c r="AB9257">
        <v>22</v>
      </c>
      <c r="AC9257">
        <v>3.7107999999999999</v>
      </c>
      <c r="AD9257">
        <v>-1.1110609195322001</v>
      </c>
      <c r="AE9257">
        <v>-7.0272399999999902</v>
      </c>
      <c r="AF9257">
        <v>-3.1418581366367899</v>
      </c>
      <c r="AG9257">
        <v>-1.1110609195322001</v>
      </c>
      <c r="AH9257">
        <v>7.1331972283207303</v>
      </c>
      <c r="AI9257">
        <v>98.112560959602007</v>
      </c>
      <c r="AJ9257">
        <v>113.771370655856</v>
      </c>
      <c r="AK9257">
        <v>7.8732605454020801</v>
      </c>
      <c r="AL9257">
        <v>87.071333780197506</v>
      </c>
      <c r="AM9257">
        <v>102.00303647675599</v>
      </c>
      <c r="AN9257">
        <v>0.99999994300160899</v>
      </c>
    </row>
    <row r="9258" spans="1:40" x14ac:dyDescent="0.25">
      <c r="A9258" t="str">
        <f>"20190312150906773"</f>
        <v>20190312150906773</v>
      </c>
      <c r="B9258" t="str">
        <f>"1552374546768308"</f>
        <v>1552374546768308</v>
      </c>
      <c r="C9258" t="s">
        <v>40</v>
      </c>
      <c r="D9258">
        <v>4.5277409999999998</v>
      </c>
      <c r="E9258">
        <v>0.42660360000000003</v>
      </c>
      <c r="F9258" t="s">
        <v>42</v>
      </c>
      <c r="G9258">
        <v>-296.93509999999998</v>
      </c>
      <c r="H9258" s="1">
        <v>-8.5437269999999999E-7</v>
      </c>
      <c r="I9258">
        <v>-40.237650000000002</v>
      </c>
      <c r="J9258">
        <v>-300.66750000000002</v>
      </c>
      <c r="K9258">
        <v>1.1111439999999999</v>
      </c>
      <c r="L9258">
        <v>-33.201970000000003</v>
      </c>
      <c r="M9258">
        <v>7.2749309999999998E-2</v>
      </c>
      <c r="N9258">
        <v>0</v>
      </c>
      <c r="O9258">
        <v>-0.99731069999999999</v>
      </c>
      <c r="P9258">
        <v>0.2780763</v>
      </c>
      <c r="Q9258">
        <v>4.2635079999999999E-2</v>
      </c>
      <c r="R9258">
        <v>-0.95961249999999998</v>
      </c>
      <c r="S9258">
        <v>1.4152530000000001</v>
      </c>
      <c r="T9258">
        <v>-0.41935640000000002</v>
      </c>
      <c r="U9258">
        <v>-2.736084</v>
      </c>
      <c r="V9258">
        <v>-0.20766609999999999</v>
      </c>
      <c r="W9258">
        <v>5.0758780000000003E-2</v>
      </c>
      <c r="X9258">
        <v>0.97688189999999997</v>
      </c>
      <c r="Y9258">
        <v>-0.38930730000000002</v>
      </c>
      <c r="Z9258">
        <v>0.13653660000000001</v>
      </c>
      <c r="AA9258">
        <v>0.91093219999999997</v>
      </c>
      <c r="AB9258">
        <v>22</v>
      </c>
      <c r="AC9258">
        <v>3.7324000000000401</v>
      </c>
      <c r="AD9258">
        <v>-1.1111448543727001</v>
      </c>
      <c r="AE9258">
        <v>-7.0356799999999904</v>
      </c>
      <c r="AF9258">
        <v>-3.1493488321891401</v>
      </c>
      <c r="AG9258">
        <v>-1.1111448543727001</v>
      </c>
      <c r="AH9258">
        <v>7.1494186007595104</v>
      </c>
      <c r="AI9258">
        <v>98.094859333133002</v>
      </c>
      <c r="AJ9258">
        <v>113.773692255049</v>
      </c>
      <c r="AK9258">
        <v>7.8909585782144402</v>
      </c>
      <c r="AL9258">
        <v>87.0904857161443</v>
      </c>
      <c r="AM9258">
        <v>102.001315482888</v>
      </c>
      <c r="AN9258">
        <v>0.99999995469195302</v>
      </c>
    </row>
    <row r="9259" spans="1:40" x14ac:dyDescent="0.25">
      <c r="A9259" t="str">
        <f>"20190312150906793"</f>
        <v>20190312150906793</v>
      </c>
      <c r="B9259" t="str">
        <f>"1552374546788909"</f>
        <v>1552374546788909</v>
      </c>
      <c r="C9259" t="s">
        <v>40</v>
      </c>
      <c r="D9259">
        <v>4.5374679999999996</v>
      </c>
      <c r="E9259">
        <v>0.4263072</v>
      </c>
      <c r="F9259" t="s">
        <v>73</v>
      </c>
      <c r="G9259">
        <v>-296.90980000000002</v>
      </c>
      <c r="H9259" s="1">
        <v>-8.3310750000000001E-7</v>
      </c>
      <c r="I9259">
        <v>-40.420949999999998</v>
      </c>
      <c r="J9259">
        <v>-300.65010000000001</v>
      </c>
      <c r="K9259">
        <v>1.111229</v>
      </c>
      <c r="L9259">
        <v>-33.41122</v>
      </c>
      <c r="M9259">
        <v>7.4694869999999997E-2</v>
      </c>
      <c r="N9259">
        <v>0</v>
      </c>
      <c r="O9259">
        <v>-0.99716680000000002</v>
      </c>
      <c r="P9259">
        <v>0.28024559999999998</v>
      </c>
      <c r="Q9259">
        <v>4.27839E-2</v>
      </c>
      <c r="R9259">
        <v>-0.9589744</v>
      </c>
      <c r="S9259">
        <v>1.422485</v>
      </c>
      <c r="T9259">
        <v>-0.42062060000000001</v>
      </c>
      <c r="U9259">
        <v>-2.7327270000000001</v>
      </c>
      <c r="V9259">
        <v>-0.2079812</v>
      </c>
      <c r="W9259">
        <v>5.086831E-2</v>
      </c>
      <c r="X9259">
        <v>0.97680919999999904</v>
      </c>
      <c r="Y9259">
        <v>-0.38984239999999998</v>
      </c>
      <c r="Z9259">
        <v>0.1369629</v>
      </c>
      <c r="AA9259">
        <v>0.91063939999999999</v>
      </c>
      <c r="AB9259">
        <v>22</v>
      </c>
      <c r="AC9259">
        <v>3.7402999999999902</v>
      </c>
      <c r="AD9259">
        <v>-1.1112298331074999</v>
      </c>
      <c r="AE9259">
        <v>-7.0097299999999896</v>
      </c>
      <c r="AF9259">
        <v>-3.1447238520973699</v>
      </c>
      <c r="AG9259">
        <v>-1.1112298331074999</v>
      </c>
      <c r="AH9259">
        <v>7.1300650189635304</v>
      </c>
      <c r="AI9259">
        <v>98.115534992071005</v>
      </c>
      <c r="AJ9259">
        <v>113.799935961046</v>
      </c>
      <c r="AK9259">
        <v>7.87159113664993</v>
      </c>
      <c r="AL9259">
        <v>87.0842020912565</v>
      </c>
      <c r="AM9259">
        <v>102.019864920553</v>
      </c>
      <c r="AN9259">
        <v>0.99999998886016706</v>
      </c>
    </row>
    <row r="9260" spans="1:40" x14ac:dyDescent="0.25">
      <c r="A9260" t="str">
        <f>"20190312150906815"</f>
        <v>20190312150906815</v>
      </c>
      <c r="B9260" t="str">
        <f>"1552374546809404"</f>
        <v>1552374546809404</v>
      </c>
      <c r="C9260" t="s">
        <v>40</v>
      </c>
      <c r="D9260">
        <v>4.5144209999999996</v>
      </c>
      <c r="E9260">
        <v>0.42620170000000002</v>
      </c>
      <c r="F9260" t="s">
        <v>73</v>
      </c>
      <c r="G9260">
        <v>-296.87939999999998</v>
      </c>
      <c r="H9260" s="1">
        <v>-9.5639849999999992E-7</v>
      </c>
      <c r="I9260">
        <v>-40.602200000000003</v>
      </c>
      <c r="J9260">
        <v>-300.63240000000002</v>
      </c>
      <c r="K9260">
        <v>1.1113299999999999</v>
      </c>
      <c r="L9260">
        <v>-33.617519999999999</v>
      </c>
      <c r="M9260">
        <v>7.6753489999999994E-2</v>
      </c>
      <c r="N9260">
        <v>0</v>
      </c>
      <c r="O9260">
        <v>-0.99701039999999996</v>
      </c>
      <c r="P9260">
        <v>0.28235640000000001</v>
      </c>
      <c r="Q9260">
        <v>4.3186229999999999E-2</v>
      </c>
      <c r="R9260">
        <v>-0.95833710000000005</v>
      </c>
      <c r="S9260">
        <v>1.4309689999999999</v>
      </c>
      <c r="T9260">
        <v>-0.42171140000000001</v>
      </c>
      <c r="U9260">
        <v>-2.7289729999999999</v>
      </c>
      <c r="V9260">
        <v>-0.2081306</v>
      </c>
      <c r="W9260">
        <v>5.1227380000000003E-2</v>
      </c>
      <c r="X9260">
        <v>0.97675860000000003</v>
      </c>
      <c r="Y9260">
        <v>-0.3906578</v>
      </c>
      <c r="Z9260">
        <v>0.13732610000000001</v>
      </c>
      <c r="AA9260">
        <v>0.91023520000000002</v>
      </c>
      <c r="AB9260">
        <v>22</v>
      </c>
      <c r="AC9260">
        <v>3.7530000000000401</v>
      </c>
      <c r="AD9260">
        <v>-1.1113309563985001</v>
      </c>
      <c r="AE9260">
        <v>-6.98468</v>
      </c>
      <c r="AF9260">
        <v>-3.14404556764624</v>
      </c>
      <c r="AG9260">
        <v>-1.1113309563985001</v>
      </c>
      <c r="AH9260">
        <v>7.1124224561214104</v>
      </c>
      <c r="AI9260">
        <v>98.133165408754905</v>
      </c>
      <c r="AJ9260">
        <v>113.847819955163</v>
      </c>
      <c r="AK9260">
        <v>7.8553569123513203</v>
      </c>
      <c r="AL9260">
        <v>87.063602002034202</v>
      </c>
      <c r="AM9260">
        <v>102.02885279109501</v>
      </c>
      <c r="AN9260">
        <v>0.99999997689599196</v>
      </c>
    </row>
    <row r="9261" spans="1:40" x14ac:dyDescent="0.25">
      <c r="A9261" t="str">
        <f>"20190312150906838"</f>
        <v>20190312150906838</v>
      </c>
      <c r="B9261" t="str">
        <f>"1552374546828923"</f>
        <v>1552374546828923</v>
      </c>
      <c r="C9261" t="s">
        <v>40</v>
      </c>
      <c r="D9261">
        <v>4.5203509999999998</v>
      </c>
      <c r="E9261">
        <v>0.4260776</v>
      </c>
      <c r="F9261" t="s">
        <v>73</v>
      </c>
      <c r="G9261">
        <v>-296.82459999999998</v>
      </c>
      <c r="H9261" s="1">
        <v>-1.1191870000000001E-6</v>
      </c>
      <c r="I9261">
        <v>-40.835369999999998</v>
      </c>
      <c r="J9261">
        <v>-300.61169999999998</v>
      </c>
      <c r="K9261">
        <v>1.1114580000000001</v>
      </c>
      <c r="L9261">
        <v>-33.849909999999902</v>
      </c>
      <c r="M9261">
        <v>7.9253279999999995E-2</v>
      </c>
      <c r="N9261">
        <v>0</v>
      </c>
      <c r="O9261">
        <v>-0.9968146</v>
      </c>
      <c r="P9261">
        <v>0.28438449999999998</v>
      </c>
      <c r="Q9261">
        <v>4.3125469999999999E-2</v>
      </c>
      <c r="R9261">
        <v>-0.95774009999999998</v>
      </c>
      <c r="S9261">
        <v>1.437927</v>
      </c>
      <c r="T9261">
        <v>-0.4196722</v>
      </c>
      <c r="U9261">
        <v>-2.7256770000000001</v>
      </c>
      <c r="V9261">
        <v>-0.20776430000000001</v>
      </c>
      <c r="W9261">
        <v>5.1119280000000003E-2</v>
      </c>
      <c r="X9261">
        <v>0.97684230000000005</v>
      </c>
      <c r="Y9261">
        <v>-0.39066659999999997</v>
      </c>
      <c r="Z9261">
        <v>0.13670289999999999</v>
      </c>
      <c r="AA9261">
        <v>0.91032519999999995</v>
      </c>
      <c r="AB9261">
        <v>22</v>
      </c>
      <c r="AC9261">
        <v>3.7871000000000001</v>
      </c>
      <c r="AD9261">
        <v>-1.111459119187</v>
      </c>
      <c r="AE9261">
        <v>-6.9854599999999998</v>
      </c>
      <c r="AF9261">
        <v>-3.15972259417366</v>
      </c>
      <c r="AG9261">
        <v>-1.111459119187</v>
      </c>
      <c r="AH9261">
        <v>7.1242481707380101</v>
      </c>
      <c r="AI9261">
        <v>98.116419500539095</v>
      </c>
      <c r="AJ9261">
        <v>113.918082840168</v>
      </c>
      <c r="AK9261">
        <v>7.8723630660697701</v>
      </c>
      <c r="AL9261">
        <v>87.069803963542299</v>
      </c>
      <c r="AM9261">
        <v>102.007298557067</v>
      </c>
      <c r="AN9261">
        <v>1.0000000321057401</v>
      </c>
    </row>
    <row r="9262" spans="1:40" x14ac:dyDescent="0.25">
      <c r="A9262" t="str">
        <f>"20190312150906860"</f>
        <v>20190312150906860</v>
      </c>
      <c r="B9262" t="str">
        <f>"1552374546848444"</f>
        <v>1552374546848444</v>
      </c>
      <c r="C9262" t="s">
        <v>40</v>
      </c>
      <c r="D9262">
        <v>4.5823269999999896</v>
      </c>
      <c r="E9262">
        <v>0.42598750000000002</v>
      </c>
      <c r="F9262" t="s">
        <v>73</v>
      </c>
      <c r="G9262">
        <v>-296.77179999999998</v>
      </c>
      <c r="H9262" s="1">
        <v>-1.291155E-6</v>
      </c>
      <c r="I9262">
        <v>-41.08379</v>
      </c>
      <c r="J9262">
        <v>-300.5926</v>
      </c>
      <c r="K9262">
        <v>1.1115699999999999</v>
      </c>
      <c r="L9262">
        <v>-34.057009999999998</v>
      </c>
      <c r="M9262">
        <v>8.1646319999999994E-2</v>
      </c>
      <c r="N9262">
        <v>0</v>
      </c>
      <c r="O9262">
        <v>-0.99662130000000004</v>
      </c>
      <c r="P9262">
        <v>0.28650049999999999</v>
      </c>
      <c r="Q9262">
        <v>4.2657929999999997E-2</v>
      </c>
      <c r="R9262">
        <v>-0.95713009999999998</v>
      </c>
      <c r="S9262">
        <v>1.444977</v>
      </c>
      <c r="T9262">
        <v>-0.41824689999999998</v>
      </c>
      <c r="U9262">
        <v>-2.722137</v>
      </c>
      <c r="V9262">
        <v>-0.20758799999999999</v>
      </c>
      <c r="W9262">
        <v>5.0613539999999999E-2</v>
      </c>
      <c r="X9262">
        <v>0.9769061</v>
      </c>
      <c r="Y9262">
        <v>-0.39081779999999999</v>
      </c>
      <c r="Z9262">
        <v>0.1362807</v>
      </c>
      <c r="AA9262">
        <v>0.91032360000000001</v>
      </c>
      <c r="AB9262">
        <v>22</v>
      </c>
      <c r="AC9262">
        <v>3.8208000000000202</v>
      </c>
      <c r="AD9262">
        <v>-1.111571291155</v>
      </c>
      <c r="AE9262">
        <v>-7.0267799999999996</v>
      </c>
      <c r="AF9262">
        <v>-3.1730255691414202</v>
      </c>
      <c r="AG9262">
        <v>-1.111571291155</v>
      </c>
      <c r="AH9262">
        <v>7.1766753578935703</v>
      </c>
      <c r="AI9262">
        <v>98.062794244681299</v>
      </c>
      <c r="AJ9262">
        <v>113.85167346125399</v>
      </c>
      <c r="AK9262">
        <v>7.9251719975242203</v>
      </c>
      <c r="AL9262">
        <v>87.098818250089295</v>
      </c>
      <c r="AM9262">
        <v>101.996644189211</v>
      </c>
      <c r="AN9262">
        <v>1.00000001819627</v>
      </c>
    </row>
    <row r="9263" spans="1:40" x14ac:dyDescent="0.25">
      <c r="A9263" t="str">
        <f>"20190312150906883"</f>
        <v>20190312150906883</v>
      </c>
      <c r="B9263" t="str">
        <f>"1552374546878700"</f>
        <v>1552374546878700</v>
      </c>
      <c r="C9263" t="s">
        <v>40</v>
      </c>
      <c r="D9263">
        <v>4.5886009999999997</v>
      </c>
      <c r="E9263">
        <v>0.4654336</v>
      </c>
      <c r="F9263" t="s">
        <v>73</v>
      </c>
      <c r="G9263">
        <v>-296.75049999999999</v>
      </c>
      <c r="H9263" s="1">
        <v>-1.4033779999999901E-6</v>
      </c>
      <c r="I9263">
        <v>-41.251460000000002</v>
      </c>
      <c r="J9263">
        <v>-300.57089999999999</v>
      </c>
      <c r="K9263">
        <v>1.1116809999999999</v>
      </c>
      <c r="L9263">
        <v>-34.283540000000002</v>
      </c>
      <c r="M9263">
        <v>8.4433289999999994E-2</v>
      </c>
      <c r="N9263">
        <v>0</v>
      </c>
      <c r="O9263">
        <v>-0.99638890000000002</v>
      </c>
      <c r="P9263">
        <v>0.28957909999999998</v>
      </c>
      <c r="Q9263">
        <v>4.2163159999999998E-2</v>
      </c>
      <c r="R9263">
        <v>-0.9562252</v>
      </c>
      <c r="S9263">
        <v>1.4517519999999999</v>
      </c>
      <c r="T9263">
        <v>-0.4200197</v>
      </c>
      <c r="U9263">
        <v>-2.7185060000000001</v>
      </c>
      <c r="V9263">
        <v>-0.2080109</v>
      </c>
      <c r="W9263">
        <v>5.0082050000000003E-2</v>
      </c>
      <c r="X9263">
        <v>0.97684349999999998</v>
      </c>
      <c r="Y9263">
        <v>-0.39047949999999998</v>
      </c>
      <c r="Z9263">
        <v>0.13689270000000001</v>
      </c>
      <c r="AA9263">
        <v>0.91037699999999999</v>
      </c>
      <c r="AB9263">
        <v>22</v>
      </c>
      <c r="AC9263">
        <v>3.8203999999999998</v>
      </c>
      <c r="AD9263">
        <v>-1.111682403378</v>
      </c>
      <c r="AE9263">
        <v>-6.9679199999999897</v>
      </c>
      <c r="AF9263">
        <v>-3.1566313057782498</v>
      </c>
      <c r="AG9263">
        <v>-1.111682403378</v>
      </c>
      <c r="AH9263">
        <v>7.1261545768886903</v>
      </c>
      <c r="AI9263">
        <v>98.117524498674399</v>
      </c>
      <c r="AJ9263">
        <v>113.891627518335</v>
      </c>
      <c r="AK9263">
        <v>7.8728799063818604</v>
      </c>
      <c r="AL9263">
        <v>87.129308958102399</v>
      </c>
      <c r="AM9263">
        <v>102.02112160966399</v>
      </c>
      <c r="AN9263">
        <v>0.999999984871631</v>
      </c>
    </row>
    <row r="9264" spans="1:40" x14ac:dyDescent="0.25">
      <c r="A9264" t="str">
        <f>"20190312150906905"</f>
        <v>20190312150906905</v>
      </c>
      <c r="B9264" t="str">
        <f>"1552374546898729"</f>
        <v>1552374546898729</v>
      </c>
      <c r="C9264" t="s">
        <v>40</v>
      </c>
      <c r="D9264">
        <v>4.5402839999999998</v>
      </c>
      <c r="E9264">
        <v>0.46836129999999998</v>
      </c>
      <c r="F9264" t="s">
        <v>73</v>
      </c>
      <c r="G9264">
        <v>-296.01729999999998</v>
      </c>
      <c r="H9264" s="1">
        <v>-4.0339999999999998E-6</v>
      </c>
      <c r="I9264">
        <v>-45.353909999999999</v>
      </c>
      <c r="J9264">
        <v>-300.54969999999997</v>
      </c>
      <c r="K9264">
        <v>1.1117939999999999</v>
      </c>
      <c r="L9264">
        <v>-34.497439999999997</v>
      </c>
      <c r="M9264">
        <v>8.7225819999999996E-2</v>
      </c>
      <c r="N9264">
        <v>0</v>
      </c>
      <c r="O9264">
        <v>-0.99614800000000003</v>
      </c>
      <c r="P9264">
        <v>0.2924387</v>
      </c>
      <c r="Q9264">
        <v>4.1731949999999997E-2</v>
      </c>
      <c r="R9264">
        <v>-0.95537360000000005</v>
      </c>
      <c r="S9264">
        <v>1.152069</v>
      </c>
      <c r="T9264">
        <v>-0.28126020000000002</v>
      </c>
      <c r="U9264">
        <v>-2.8008419999999998</v>
      </c>
      <c r="V9264">
        <v>-0.20820520000000001</v>
      </c>
      <c r="W9264">
        <v>4.962772E-2</v>
      </c>
      <c r="X9264">
        <v>0.97682530000000001</v>
      </c>
      <c r="Y9264">
        <v>-0.29662519999999998</v>
      </c>
      <c r="Z9264">
        <v>9.3348210000000001E-2</v>
      </c>
      <c r="AA9264">
        <v>0.95042070000000001</v>
      </c>
      <c r="AB9264">
        <v>22</v>
      </c>
      <c r="AC9264">
        <v>4.5323999999999902</v>
      </c>
      <c r="AD9264">
        <v>-1.111798034</v>
      </c>
      <c r="AE9264">
        <v>-10.8564699999999</v>
      </c>
      <c r="AF9264">
        <v>-3.5365362195796601</v>
      </c>
      <c r="AG9264">
        <v>-1.111798034</v>
      </c>
      <c r="AH9264">
        <v>11.111212399071</v>
      </c>
      <c r="AI9264">
        <v>95.446559311697598</v>
      </c>
      <c r="AJ9264">
        <v>107.65551108931901</v>
      </c>
      <c r="AK9264">
        <v>11.713335318263301</v>
      </c>
      <c r="AL9264">
        <v>87.155372579377598</v>
      </c>
      <c r="AM9264">
        <v>102.032240936641</v>
      </c>
      <c r="AN9264">
        <v>0.99999999130976402</v>
      </c>
    </row>
    <row r="9265" spans="1:40" x14ac:dyDescent="0.25">
      <c r="A9265" t="str">
        <f>"20190312150906928"</f>
        <v>20190312150906928</v>
      </c>
      <c r="B9265" t="str">
        <f>"1552374546919225"</f>
        <v>1552374546919225</v>
      </c>
      <c r="C9265" t="s">
        <v>40</v>
      </c>
      <c r="D9265">
        <v>4.7234829999999999</v>
      </c>
      <c r="E9265">
        <v>0.47259679999999998</v>
      </c>
      <c r="F9265" t="s">
        <v>73</v>
      </c>
      <c r="G9265">
        <v>-295.99590000000001</v>
      </c>
      <c r="H9265" s="1">
        <v>-4.2266420000000002E-6</v>
      </c>
      <c r="I9265">
        <v>-45.720489999999998</v>
      </c>
      <c r="J9265">
        <v>-300.52609999999999</v>
      </c>
      <c r="K9265">
        <v>1.1118920000000001</v>
      </c>
      <c r="L9265">
        <v>-34.725709999999999</v>
      </c>
      <c r="M9265">
        <v>9.0371590000000002E-2</v>
      </c>
      <c r="N9265">
        <v>0</v>
      </c>
      <c r="O9265">
        <v>-0.99586739999999996</v>
      </c>
      <c r="P9265">
        <v>0.2955663</v>
      </c>
      <c r="Q9265">
        <v>4.1749580000000001E-2</v>
      </c>
      <c r="R9265">
        <v>-0.95440979999999997</v>
      </c>
      <c r="S9265">
        <v>1.137726</v>
      </c>
      <c r="T9265">
        <v>-0.27777659999999998</v>
      </c>
      <c r="U9265">
        <v>-2.8040159999999998</v>
      </c>
      <c r="V9265">
        <v>-0.2083314</v>
      </c>
      <c r="W9265">
        <v>4.9631050000000003E-2</v>
      </c>
      <c r="X9265">
        <v>0.97679819999999995</v>
      </c>
      <c r="Y9265">
        <v>-0.28909319999999999</v>
      </c>
      <c r="Z9265">
        <v>9.2261609999999994E-2</v>
      </c>
      <c r="AA9265">
        <v>0.95284460000000004</v>
      </c>
      <c r="AB9265">
        <v>22</v>
      </c>
      <c r="AC9265">
        <v>4.5301999999999696</v>
      </c>
      <c r="AD9265">
        <v>-1.1118962266419901</v>
      </c>
      <c r="AE9265">
        <v>-10.99478</v>
      </c>
      <c r="AF9265">
        <v>-3.4875144553318602</v>
      </c>
      <c r="AG9265">
        <v>-1.1118962266419901</v>
      </c>
      <c r="AH9265">
        <v>11.2607534692758</v>
      </c>
      <c r="AI9265">
        <v>95.388248125164097</v>
      </c>
      <c r="AJ9265">
        <v>107.20802755598901</v>
      </c>
      <c r="AK9265">
        <v>11.8407617572002</v>
      </c>
      <c r="AL9265">
        <v>87.155181483900606</v>
      </c>
      <c r="AM9265">
        <v>102.03964561615101</v>
      </c>
      <c r="AN9265">
        <v>0.99999996843664996</v>
      </c>
    </row>
    <row r="9266" spans="1:40" x14ac:dyDescent="0.25">
      <c r="A9266" t="str">
        <f>"20190312150906950"</f>
        <v>20190312150906950</v>
      </c>
      <c r="B9266" t="str">
        <f>"1552374546938745"</f>
        <v>1552374546938745</v>
      </c>
      <c r="C9266" t="s">
        <v>40</v>
      </c>
      <c r="D9266">
        <v>4.5416829999999999</v>
      </c>
      <c r="E9266">
        <v>0.47492810000000002</v>
      </c>
      <c r="F9266" t="s">
        <v>73</v>
      </c>
      <c r="G9266">
        <v>-295.99759999999998</v>
      </c>
      <c r="H9266" s="1">
        <v>-4.4433089999999999E-6</v>
      </c>
      <c r="I9266">
        <v>-46.146450000000002</v>
      </c>
      <c r="J9266">
        <v>-300.50299999999999</v>
      </c>
      <c r="K9266">
        <v>1.111969</v>
      </c>
      <c r="L9266">
        <v>-34.942230000000002</v>
      </c>
      <c r="M9266">
        <v>9.3463640000000001E-2</v>
      </c>
      <c r="N9266">
        <v>0</v>
      </c>
      <c r="O9266">
        <v>-0.99558139999999995</v>
      </c>
      <c r="P9266">
        <v>0.29861079999999901</v>
      </c>
      <c r="Q9266">
        <v>4.1671220000000002E-2</v>
      </c>
      <c r="R9266">
        <v>-0.95346470000000005</v>
      </c>
      <c r="S9266">
        <v>1.1142879999999999</v>
      </c>
      <c r="T9266">
        <v>-0.27359529999999999</v>
      </c>
      <c r="U9266">
        <v>-2.8102109999999998</v>
      </c>
      <c r="V9266">
        <v>-0.20842450000000001</v>
      </c>
      <c r="W9266">
        <v>4.9548670000000003E-2</v>
      </c>
      <c r="X9266">
        <v>0.97678259999999995</v>
      </c>
      <c r="Y9266">
        <v>-0.27856890000000001</v>
      </c>
      <c r="Z9266">
        <v>9.0941090000000002E-2</v>
      </c>
      <c r="AA9266">
        <v>0.95610099999999998</v>
      </c>
      <c r="AB9266">
        <v>22</v>
      </c>
      <c r="AC9266">
        <v>4.5053999999999998</v>
      </c>
      <c r="AD9266">
        <v>-1.1119734433090001</v>
      </c>
      <c r="AE9266">
        <v>-11.204219999999999</v>
      </c>
      <c r="AF9266">
        <v>-3.40953795477022</v>
      </c>
      <c r="AG9266">
        <v>-1.1119734433090001</v>
      </c>
      <c r="AH9266">
        <v>11.478952730293599</v>
      </c>
      <c r="AI9266">
        <v>95.305324472855006</v>
      </c>
      <c r="AJ9266">
        <v>106.54274505548599</v>
      </c>
      <c r="AK9266">
        <v>12.026129459970001</v>
      </c>
      <c r="AL9266">
        <v>87.159907543153807</v>
      </c>
      <c r="AM9266">
        <v>102.045055602811</v>
      </c>
      <c r="AN9266">
        <v>1.0000000452808799</v>
      </c>
    </row>
    <row r="9267" spans="1:40" x14ac:dyDescent="0.25">
      <c r="A9267" t="str">
        <f>"20190312150906969"</f>
        <v>20190312150906969</v>
      </c>
      <c r="B9267" t="str">
        <f>"1552374546959241"</f>
        <v>1552374546959241</v>
      </c>
      <c r="C9267" t="s">
        <v>40</v>
      </c>
      <c r="D9267">
        <v>4.5050619999999997</v>
      </c>
      <c r="E9267">
        <v>0.47585179999999999</v>
      </c>
      <c r="F9267" t="s">
        <v>73</v>
      </c>
      <c r="G9267">
        <v>-296.11669999999998</v>
      </c>
      <c r="H9267" s="1">
        <v>-4.3918400000000003E-6</v>
      </c>
      <c r="I9267">
        <v>-46.097270000000002</v>
      </c>
      <c r="J9267">
        <v>-300.48180000000002</v>
      </c>
      <c r="K9267">
        <v>1.1120219999999901</v>
      </c>
      <c r="L9267">
        <v>-35.134369999999997</v>
      </c>
      <c r="M9267">
        <v>9.6285919999999997E-2</v>
      </c>
      <c r="N9267">
        <v>0</v>
      </c>
      <c r="O9267">
        <v>-0.99531219999999998</v>
      </c>
      <c r="P9267">
        <v>0.30086259999999998</v>
      </c>
      <c r="Q9267">
        <v>4.1416809999999998E-2</v>
      </c>
      <c r="R9267">
        <v>-0.9527679</v>
      </c>
      <c r="S9267">
        <v>1.1058349999999999</v>
      </c>
      <c r="T9267">
        <v>-0.2803445</v>
      </c>
      <c r="U9267">
        <v>-2.8123469999999999</v>
      </c>
      <c r="V9267">
        <v>-0.2079664</v>
      </c>
      <c r="W9267">
        <v>4.9298630000000003E-2</v>
      </c>
      <c r="X9267">
        <v>0.97689280000000001</v>
      </c>
      <c r="Y9267">
        <v>-0.27303080000000002</v>
      </c>
      <c r="Z9267">
        <v>9.3186149999999995E-2</v>
      </c>
      <c r="AA9267">
        <v>0.95748129999999998</v>
      </c>
      <c r="AB9267">
        <v>22</v>
      </c>
      <c r="AC9267">
        <v>4.3651000000000399</v>
      </c>
      <c r="AD9267">
        <v>-1.11202639183999</v>
      </c>
      <c r="AE9267">
        <v>-10.9628999999999</v>
      </c>
      <c r="AF9267">
        <v>-3.2602456153506201</v>
      </c>
      <c r="AG9267">
        <v>-1.11202639183999</v>
      </c>
      <c r="AH9267">
        <v>11.232516592408601</v>
      </c>
      <c r="AI9267">
        <v>95.431169242124199</v>
      </c>
      <c r="AJ9267">
        <v>106.185406989008</v>
      </c>
      <c r="AK9267">
        <v>11.7488396519527</v>
      </c>
      <c r="AL9267">
        <v>87.174251069134797</v>
      </c>
      <c r="AM9267">
        <v>102.018035804197</v>
      </c>
      <c r="AN9267">
        <v>0.99999996057033702</v>
      </c>
    </row>
    <row r="9268" spans="1:40" x14ac:dyDescent="0.25">
      <c r="A9268" t="str">
        <f>"20190312150906992"</f>
        <v>20190312150906992</v>
      </c>
      <c r="B9268" t="str">
        <f>"1552374546989030"</f>
        <v>1552374546989030</v>
      </c>
      <c r="C9268" t="s">
        <v>40</v>
      </c>
      <c r="D9268">
        <v>4.5461830000000001</v>
      </c>
      <c r="E9268">
        <v>0.47689779999999998</v>
      </c>
      <c r="F9268" t="s">
        <v>73</v>
      </c>
      <c r="G9268">
        <v>-296.0804</v>
      </c>
      <c r="H9268" s="1">
        <v>-4.5190469999999997E-6</v>
      </c>
      <c r="I9268">
        <v>-46.331119999999999</v>
      </c>
      <c r="J9268">
        <v>-300.4556</v>
      </c>
      <c r="K9268">
        <v>1.11208</v>
      </c>
      <c r="L9268">
        <v>-35.36392</v>
      </c>
      <c r="M9268">
        <v>9.9759050000000002E-2</v>
      </c>
      <c r="N9268">
        <v>0</v>
      </c>
      <c r="O9268">
        <v>-0.99496969999999996</v>
      </c>
      <c r="P9268">
        <v>0.30404039999999999</v>
      </c>
      <c r="Q9268">
        <v>4.0468879999999999E-2</v>
      </c>
      <c r="R9268">
        <v>-0.95179919999999996</v>
      </c>
      <c r="S9268">
        <v>1.105316</v>
      </c>
      <c r="T9268">
        <v>-0.27926210000000001</v>
      </c>
      <c r="U9268">
        <v>-2.8118289999999999</v>
      </c>
      <c r="V9268">
        <v>-0.20781520000000001</v>
      </c>
      <c r="W9268">
        <v>4.835656E-2</v>
      </c>
      <c r="X9268">
        <v>0.97697210000000001</v>
      </c>
      <c r="Y9268">
        <v>-0.26959149999999998</v>
      </c>
      <c r="Z9268">
        <v>9.2846330000000005E-2</v>
      </c>
      <c r="AA9268">
        <v>0.95848840000000002</v>
      </c>
      <c r="AB9268">
        <v>22</v>
      </c>
      <c r="AC9268">
        <v>4.3752000000000004</v>
      </c>
      <c r="AD9268">
        <v>-1.1120845190469999</v>
      </c>
      <c r="AE9268">
        <v>-10.967199999999901</v>
      </c>
      <c r="AF9268">
        <v>-3.2305931819908502</v>
      </c>
      <c r="AG9268">
        <v>-1.1120845190469999</v>
      </c>
      <c r="AH9268">
        <v>11.2491857785361</v>
      </c>
      <c r="AI9268">
        <v>95.427857977468904</v>
      </c>
      <c r="AJ9268">
        <v>106.02325171268301</v>
      </c>
      <c r="AK9268">
        <v>11.756600059755799</v>
      </c>
      <c r="AL9268">
        <v>87.228292274530205</v>
      </c>
      <c r="AM9268">
        <v>102.008605470278</v>
      </c>
      <c r="AN9268">
        <v>0.99999999921224103</v>
      </c>
    </row>
    <row r="9269" spans="1:40" x14ac:dyDescent="0.25">
      <c r="A9269" t="str">
        <f>"20190312150907013"</f>
        <v>20190312150907013</v>
      </c>
      <c r="B9269" t="str">
        <f>"1552374547008549"</f>
        <v>1552374547008549</v>
      </c>
      <c r="C9269" t="s">
        <v>40</v>
      </c>
      <c r="D9269">
        <v>5.2151420000000002</v>
      </c>
      <c r="E9269">
        <v>0.47745149999999997</v>
      </c>
      <c r="F9269" t="s">
        <v>73</v>
      </c>
      <c r="G9269">
        <v>-296.06599999999997</v>
      </c>
      <c r="H9269" s="1">
        <v>-4.6143640000000001E-6</v>
      </c>
      <c r="I9269">
        <v>-46.511920000000003</v>
      </c>
      <c r="J9269">
        <v>-300.4316</v>
      </c>
      <c r="K9269">
        <v>1.112134</v>
      </c>
      <c r="L9269">
        <v>-35.567869999999999</v>
      </c>
      <c r="M9269">
        <v>0.1029254</v>
      </c>
      <c r="N9269">
        <v>0</v>
      </c>
      <c r="O9269">
        <v>-0.99464669999999999</v>
      </c>
      <c r="P9269">
        <v>0.3064885</v>
      </c>
      <c r="Q9269">
        <v>4.0145699999999999E-2</v>
      </c>
      <c r="R9269">
        <v>-0.95102759999999997</v>
      </c>
      <c r="S9269">
        <v>1.106598</v>
      </c>
      <c r="T9269">
        <v>-0.28035159999999998</v>
      </c>
      <c r="U9269">
        <v>-2.8103639999999999</v>
      </c>
      <c r="V9269">
        <v>-0.20722209999999999</v>
      </c>
      <c r="W9269">
        <v>4.8044129999999997E-2</v>
      </c>
      <c r="X9269">
        <v>0.97711349999999997</v>
      </c>
      <c r="Y9269">
        <v>-0.26706200000000002</v>
      </c>
      <c r="Z9269">
        <v>9.3230750000000001E-2</v>
      </c>
      <c r="AA9269">
        <v>0.95915899999999998</v>
      </c>
      <c r="AB9269">
        <v>22</v>
      </c>
      <c r="AC9269">
        <v>4.3656000000000201</v>
      </c>
      <c r="AD9269">
        <v>-1.112138614364</v>
      </c>
      <c r="AE9269">
        <v>-10.944050000000001</v>
      </c>
      <c r="AF9269">
        <v>-3.1875463989832702</v>
      </c>
      <c r="AG9269">
        <v>-1.112138614364</v>
      </c>
      <c r="AH9269">
        <v>11.235177184819999</v>
      </c>
      <c r="AI9269">
        <v>95.439802839074403</v>
      </c>
      <c r="AJ9269">
        <v>105.83923702008499</v>
      </c>
      <c r="AK9269">
        <v>11.7314325944247</v>
      </c>
      <c r="AL9269">
        <v>87.246214067863804</v>
      </c>
      <c r="AM9269">
        <v>101.973641005468</v>
      </c>
      <c r="AN9269">
        <v>1.00000001451905</v>
      </c>
    </row>
    <row r="9270" spans="1:40" x14ac:dyDescent="0.25">
      <c r="A9270" t="str">
        <f>"20190312150907035"</f>
        <v>20190312150907035</v>
      </c>
      <c r="B9270" t="str">
        <f>"1552374547029045"</f>
        <v>1552374547029045</v>
      </c>
      <c r="C9270" t="s">
        <v>40</v>
      </c>
      <c r="D9270">
        <v>4.5260109999999996</v>
      </c>
      <c r="E9270">
        <v>0.47786020000000001</v>
      </c>
      <c r="F9270" t="s">
        <v>73</v>
      </c>
      <c r="G9270">
        <v>-295.97379999999998</v>
      </c>
      <c r="H9270" s="1">
        <v>-4.8082970000000003E-6</v>
      </c>
      <c r="I9270">
        <v>-46.852420000000002</v>
      </c>
      <c r="J9270">
        <v>-300.40469999999999</v>
      </c>
      <c r="K9270">
        <v>1.112196</v>
      </c>
      <c r="L9270">
        <v>-35.789729999999999</v>
      </c>
      <c r="M9270">
        <v>0.1064522</v>
      </c>
      <c r="N9270">
        <v>0</v>
      </c>
      <c r="O9270">
        <v>-0.99427529999999997</v>
      </c>
      <c r="P9270">
        <v>0.30975209999999997</v>
      </c>
      <c r="Q9270">
        <v>4.0112309999999998E-2</v>
      </c>
      <c r="R9270">
        <v>-0.94997109999999996</v>
      </c>
      <c r="S9270">
        <v>1.109497</v>
      </c>
      <c r="T9270">
        <v>-0.27680159999999998</v>
      </c>
      <c r="U9270">
        <v>-2.808624</v>
      </c>
      <c r="V9270">
        <v>-0.20711889999999999</v>
      </c>
      <c r="W9270">
        <v>4.8019350000000002E-2</v>
      </c>
      <c r="X9270">
        <v>0.97713660000000002</v>
      </c>
      <c r="Y9270">
        <v>-0.26474340000000002</v>
      </c>
      <c r="Z9270">
        <v>9.2074920000000005E-2</v>
      </c>
      <c r="AA9270">
        <v>0.95991309999999996</v>
      </c>
      <c r="AB9270">
        <v>22</v>
      </c>
      <c r="AC9270">
        <v>4.4309000000000003</v>
      </c>
      <c r="AD9270">
        <v>-1.1122008082970001</v>
      </c>
      <c r="AE9270">
        <v>-11.06269</v>
      </c>
      <c r="AF9270">
        <v>-3.20014920969574</v>
      </c>
      <c r="AG9270">
        <v>-1.1122008082970001</v>
      </c>
      <c r="AH9270">
        <v>11.3724667792465</v>
      </c>
      <c r="AI9270">
        <v>95.378058855951906</v>
      </c>
      <c r="AJ9270">
        <v>105.716308048993</v>
      </c>
      <c r="AK9270">
        <v>11.866378817792601</v>
      </c>
      <c r="AL9270">
        <v>87.247635501624003</v>
      </c>
      <c r="AM9270">
        <v>101.96757514793001</v>
      </c>
      <c r="AN9270">
        <v>1.00000001588559</v>
      </c>
    </row>
    <row r="9271" spans="1:40" x14ac:dyDescent="0.25">
      <c r="A9271" t="str">
        <f>"20190312150907057"</f>
        <v>20190312150907057</v>
      </c>
      <c r="B9271" t="str">
        <f>"1552374547048566"</f>
        <v>1552374547048566</v>
      </c>
      <c r="C9271" t="s">
        <v>40</v>
      </c>
      <c r="D9271">
        <v>4.7585989999999896</v>
      </c>
      <c r="E9271">
        <v>0.47818349999999998</v>
      </c>
      <c r="F9271" t="s">
        <v>73</v>
      </c>
      <c r="G9271">
        <v>-295.83139999999997</v>
      </c>
      <c r="H9271" s="1">
        <v>-5.0619349999999997E-6</v>
      </c>
      <c r="I9271">
        <v>-47.288209999999999</v>
      </c>
      <c r="J9271">
        <v>-300.37700000000001</v>
      </c>
      <c r="K9271">
        <v>1.1122559999999999</v>
      </c>
      <c r="L9271">
        <v>-36.010469999999998</v>
      </c>
      <c r="M9271">
        <v>0.11004360000000001</v>
      </c>
      <c r="N9271">
        <v>0</v>
      </c>
      <c r="O9271">
        <v>-0.99388370000000004</v>
      </c>
      <c r="P9271">
        <v>0.31321579999999999</v>
      </c>
      <c r="Q9271">
        <v>3.967673E-2</v>
      </c>
      <c r="R9271">
        <v>-0.94885299999999995</v>
      </c>
      <c r="S9271">
        <v>1.115875</v>
      </c>
      <c r="T9271">
        <v>-0.27137470000000002</v>
      </c>
      <c r="U9271">
        <v>-2.8056030000000001</v>
      </c>
      <c r="V9271">
        <v>-0.20715620000000001</v>
      </c>
      <c r="W9271">
        <v>4.7588789999999999E-2</v>
      </c>
      <c r="X9271">
        <v>0.97714970000000001</v>
      </c>
      <c r="Y9271">
        <v>-0.2635593</v>
      </c>
      <c r="Z9271">
        <v>9.0300119999999998E-2</v>
      </c>
      <c r="AA9271">
        <v>0.96040740000000002</v>
      </c>
      <c r="AB9271">
        <v>22</v>
      </c>
      <c r="AC9271">
        <v>4.5456000000000296</v>
      </c>
      <c r="AD9271">
        <v>-1.112261061935</v>
      </c>
      <c r="AE9271">
        <v>-11.27774</v>
      </c>
      <c r="AF9271">
        <v>-3.2497032005744</v>
      </c>
      <c r="AG9271">
        <v>-1.112261061935</v>
      </c>
      <c r="AH9271">
        <v>11.6123120198626</v>
      </c>
      <c r="AI9271">
        <v>95.269998767654002</v>
      </c>
      <c r="AJ9271">
        <v>105.63426598563601</v>
      </c>
      <c r="AK9271">
        <v>12.1096443386404</v>
      </c>
      <c r="AL9271">
        <v>87.272332856036101</v>
      </c>
      <c r="AM9271">
        <v>101.96951238735301</v>
      </c>
      <c r="AN9271">
        <v>0.99999996017109605</v>
      </c>
    </row>
    <row r="9272" spans="1:40" x14ac:dyDescent="0.25">
      <c r="A9272" t="str">
        <f>"20190312150907079"</f>
        <v>20190312150907079</v>
      </c>
      <c r="B9272" t="str">
        <f>"1552374547069062"</f>
        <v>1552374547069062</v>
      </c>
      <c r="C9272" t="s">
        <v>40</v>
      </c>
      <c r="D9272">
        <v>4.5408710000000001</v>
      </c>
      <c r="E9272">
        <v>0.47833140000000002</v>
      </c>
      <c r="F9272" t="s">
        <v>73</v>
      </c>
      <c r="G9272">
        <v>-295.70870000000002</v>
      </c>
      <c r="H9272" s="1">
        <v>-5.2785899999999999E-6</v>
      </c>
      <c r="I9272">
        <v>-47.660029999999999</v>
      </c>
      <c r="J9272">
        <v>-300.34870000000001</v>
      </c>
      <c r="K9272">
        <v>1.1123190000000001</v>
      </c>
      <c r="L9272">
        <v>-36.228490000000001</v>
      </c>
      <c r="M9272">
        <v>0.1136726</v>
      </c>
      <c r="N9272">
        <v>0</v>
      </c>
      <c r="O9272">
        <v>-0.99347479999999999</v>
      </c>
      <c r="P9272">
        <v>0.31693100000000002</v>
      </c>
      <c r="Q9272">
        <v>3.8487199999999999E-2</v>
      </c>
      <c r="R9272">
        <v>-0.94766740000000005</v>
      </c>
      <c r="S9272">
        <v>1.122925</v>
      </c>
      <c r="T9272">
        <v>-0.26754620000000001</v>
      </c>
      <c r="U9272">
        <v>-2.802216</v>
      </c>
      <c r="V9272">
        <v>-0.20741200000000001</v>
      </c>
      <c r="W9272">
        <v>4.6401339999999999E-2</v>
      </c>
      <c r="X9272">
        <v>0.97715260000000004</v>
      </c>
      <c r="Y9272">
        <v>-0.2625613</v>
      </c>
      <c r="Z9272">
        <v>8.9053450000000006E-2</v>
      </c>
      <c r="AA9272">
        <v>0.96079709999999996</v>
      </c>
      <c r="AB9272">
        <v>23</v>
      </c>
      <c r="AC9272">
        <v>4.6399999999999801</v>
      </c>
      <c r="AD9272">
        <v>-1.11232427859</v>
      </c>
      <c r="AE9272">
        <v>-11.431539999999901</v>
      </c>
      <c r="AF9272">
        <v>-3.2837208041543402</v>
      </c>
      <c r="AG9272">
        <v>-1.11232427859</v>
      </c>
      <c r="AH9272">
        <v>11.7890713019251</v>
      </c>
      <c r="AI9272">
        <v>95.193464307248703</v>
      </c>
      <c r="AJ9272">
        <v>105.56461466793399</v>
      </c>
      <c r="AK9272">
        <v>12.2882988970097</v>
      </c>
      <c r="AL9272">
        <v>87.3404441310077</v>
      </c>
      <c r="AM9272">
        <v>101.98383095587501</v>
      </c>
      <c r="AN9272">
        <v>1.0000000128922699</v>
      </c>
    </row>
    <row r="9273" spans="1:40" x14ac:dyDescent="0.25">
      <c r="A9273" t="str">
        <f>"20190312150907102"</f>
        <v>20190312150907102</v>
      </c>
      <c r="B9273" t="str">
        <f>"1552374547098848"</f>
        <v>1552374547098848</v>
      </c>
      <c r="C9273" t="s">
        <v>40</v>
      </c>
      <c r="D9273">
        <v>4.6872309999999997</v>
      </c>
      <c r="E9273">
        <v>0.47866710000000001</v>
      </c>
      <c r="F9273" t="s">
        <v>73</v>
      </c>
      <c r="G9273">
        <v>-295.69850000000002</v>
      </c>
      <c r="H9273" s="1">
        <v>-5.306136E-6</v>
      </c>
      <c r="I9273">
        <v>-47.709679999999999</v>
      </c>
      <c r="J9273">
        <v>-300.31869999999998</v>
      </c>
      <c r="K9273">
        <v>1.1123909999999999</v>
      </c>
      <c r="L9273">
        <v>-36.452970000000001</v>
      </c>
      <c r="M9273">
        <v>0.1175021</v>
      </c>
      <c r="N9273">
        <v>0</v>
      </c>
      <c r="O9273">
        <v>-0.99302900000000005</v>
      </c>
      <c r="P9273">
        <v>0.320604099999999</v>
      </c>
      <c r="Q9273">
        <v>3.7749949999999997E-2</v>
      </c>
      <c r="R9273">
        <v>-0.946461</v>
      </c>
      <c r="S9273">
        <v>1.133148</v>
      </c>
      <c r="T9273">
        <v>-0.27105030000000002</v>
      </c>
      <c r="U9273">
        <v>-2.7977289999999999</v>
      </c>
      <c r="V9273">
        <v>-0.20743400000000001</v>
      </c>
      <c r="W9273">
        <v>4.5664469999999999E-2</v>
      </c>
      <c r="X9273">
        <v>0.97718260000000001</v>
      </c>
      <c r="Y9273">
        <v>-0.26235429999999998</v>
      </c>
      <c r="Z9273">
        <v>9.0225819999999998E-2</v>
      </c>
      <c r="AA9273">
        <v>0.9607443</v>
      </c>
      <c r="AB9273">
        <v>23</v>
      </c>
      <c r="AC9273">
        <v>4.6201999999999499</v>
      </c>
      <c r="AD9273">
        <v>-1.1123963061359901</v>
      </c>
      <c r="AE9273">
        <v>-11.256709999999901</v>
      </c>
      <c r="AF9273">
        <v>-3.2383818920159899</v>
      </c>
      <c r="AG9273">
        <v>-1.1123963061359901</v>
      </c>
      <c r="AH9273">
        <v>11.6244777644762</v>
      </c>
      <c r="AI9273">
        <v>95.266869144964801</v>
      </c>
      <c r="AJ9273">
        <v>105.566933085942</v>
      </c>
      <c r="AK9273">
        <v>12.118293036448801</v>
      </c>
      <c r="AL9273">
        <v>87.382708366068698</v>
      </c>
      <c r="AM9273">
        <v>101.984708007378</v>
      </c>
      <c r="AN9273">
        <v>0.99999997095956905</v>
      </c>
    </row>
    <row r="9274" spans="1:40" x14ac:dyDescent="0.25">
      <c r="A9274" t="str">
        <f>"20190312150907125"</f>
        <v>20190312150907125</v>
      </c>
      <c r="B9274" t="str">
        <f>"1552374547118368"</f>
        <v>1552374547118368</v>
      </c>
      <c r="C9274" t="s">
        <v>40</v>
      </c>
      <c r="D9274">
        <v>4.8122530000000001</v>
      </c>
      <c r="E9274">
        <v>0.47933530000000002</v>
      </c>
      <c r="F9274" t="s">
        <v>73</v>
      </c>
      <c r="G9274">
        <v>-295.63749999999999</v>
      </c>
      <c r="H9274" s="1">
        <v>-5.4236939999999997E-6</v>
      </c>
      <c r="I9274">
        <v>-47.913800000000002</v>
      </c>
      <c r="J9274">
        <v>-300.2876</v>
      </c>
      <c r="K9274">
        <v>1.1124620000000001</v>
      </c>
      <c r="L9274">
        <v>-36.677799999999998</v>
      </c>
      <c r="M9274">
        <v>0.1214411</v>
      </c>
      <c r="N9274">
        <v>0</v>
      </c>
      <c r="O9274">
        <v>-0.99255470000000001</v>
      </c>
      <c r="P9274">
        <v>0.32457069999999999</v>
      </c>
      <c r="Q9274">
        <v>3.8183660000000001E-2</v>
      </c>
      <c r="R9274">
        <v>-0.94509049999999994</v>
      </c>
      <c r="S9274">
        <v>1.141205</v>
      </c>
      <c r="T9274">
        <v>-0.27118219999999998</v>
      </c>
      <c r="U9274">
        <v>-2.7939449999999999</v>
      </c>
      <c r="V9274">
        <v>-0.20766789999999999</v>
      </c>
      <c r="W9274">
        <v>4.6096980000000003E-2</v>
      </c>
      <c r="X9274">
        <v>0.97711269999999995</v>
      </c>
      <c r="Y9274">
        <v>-0.26135409999999998</v>
      </c>
      <c r="Z9274">
        <v>9.0282509999999996E-2</v>
      </c>
      <c r="AA9274">
        <v>0.96101150000000002</v>
      </c>
      <c r="AB9274">
        <v>23</v>
      </c>
      <c r="AC9274">
        <v>4.6501000000000001</v>
      </c>
      <c r="AD9274">
        <v>-1.112467423694</v>
      </c>
      <c r="AE9274">
        <v>-11.236000000000001</v>
      </c>
      <c r="AF9274">
        <v>-3.2241244114922698</v>
      </c>
      <c r="AG9274">
        <v>-1.112467423694</v>
      </c>
      <c r="AH9274">
        <v>11.6203145556265</v>
      </c>
      <c r="AI9274">
        <v>95.270604705072898</v>
      </c>
      <c r="AJ9274">
        <v>105.50698648384601</v>
      </c>
      <c r="AK9274">
        <v>12.1105025643557</v>
      </c>
      <c r="AL9274">
        <v>87.357901474929605</v>
      </c>
      <c r="AM9274">
        <v>101.998663849195</v>
      </c>
      <c r="AN9274">
        <v>1.0000000583783999</v>
      </c>
    </row>
    <row r="9275" spans="1:40" x14ac:dyDescent="0.25">
      <c r="A9275" t="str">
        <f>"20190312150907147"</f>
        <v>20190312150907147</v>
      </c>
      <c r="B9275" t="str">
        <f>"1552374547138865"</f>
        <v>1552374547138865</v>
      </c>
      <c r="C9275" t="s">
        <v>40</v>
      </c>
      <c r="D9275">
        <v>4.7300779999999998</v>
      </c>
      <c r="E9275">
        <v>0.47944550000000002</v>
      </c>
      <c r="F9275" t="s">
        <v>73</v>
      </c>
      <c r="G9275">
        <v>-295.58839999999998</v>
      </c>
      <c r="H9275" s="1">
        <v>-5.5323100000000002E-6</v>
      </c>
      <c r="I9275">
        <v>-48.105620000000002</v>
      </c>
      <c r="J9275">
        <v>-300.255</v>
      </c>
      <c r="K9275">
        <v>1.1125430000000001</v>
      </c>
      <c r="L9275">
        <v>-36.90558</v>
      </c>
      <c r="M9275">
        <v>0.1255551</v>
      </c>
      <c r="N9275">
        <v>0</v>
      </c>
      <c r="O9275">
        <v>-0.99204219999999999</v>
      </c>
      <c r="P9275">
        <v>0.32835819999999999</v>
      </c>
      <c r="Q9275">
        <v>3.8057630000000002E-2</v>
      </c>
      <c r="R9275">
        <v>-0.94378629999999997</v>
      </c>
      <c r="S9275">
        <v>1.1477360000000001</v>
      </c>
      <c r="T9275">
        <v>-0.27170670000000002</v>
      </c>
      <c r="U9275">
        <v>-2.7911069999999998</v>
      </c>
      <c r="V9275">
        <v>-0.20754239999999999</v>
      </c>
      <c r="W9275">
        <v>4.5974569999999999E-2</v>
      </c>
      <c r="X9275">
        <v>0.97714509999999999</v>
      </c>
      <c r="Y9275">
        <v>-0.25961400000000001</v>
      </c>
      <c r="Z9275">
        <v>9.0453290000000006E-2</v>
      </c>
      <c r="AA9275">
        <v>0.96146699999999996</v>
      </c>
      <c r="AB9275">
        <v>23</v>
      </c>
      <c r="AC9275">
        <v>4.6666000000000096</v>
      </c>
      <c r="AD9275">
        <v>-1.1125485323099999</v>
      </c>
      <c r="AE9275">
        <v>-11.20004</v>
      </c>
      <c r="AF9275">
        <v>-3.19650886065951</v>
      </c>
      <c r="AG9275">
        <v>-1.1125485323099999</v>
      </c>
      <c r="AH9275">
        <v>11.599815863755801</v>
      </c>
      <c r="AI9275">
        <v>95.282798985271299</v>
      </c>
      <c r="AJ9275">
        <v>105.406368715505</v>
      </c>
      <c r="AK9275">
        <v>12.083507818761101</v>
      </c>
      <c r="AL9275">
        <v>87.364922413659201</v>
      </c>
      <c r="AM9275">
        <v>101.991236551512</v>
      </c>
      <c r="AN9275">
        <v>1.00000002766922</v>
      </c>
    </row>
    <row r="9276" spans="1:40" x14ac:dyDescent="0.25">
      <c r="A9276" t="str">
        <f>"20190312150907169"</f>
        <v>20190312150907169</v>
      </c>
      <c r="B9276" t="str">
        <f>"1552374547158384"</f>
        <v>1552374547158384</v>
      </c>
      <c r="C9276" t="s">
        <v>40</v>
      </c>
      <c r="D9276">
        <v>4.5522269999999896</v>
      </c>
      <c r="E9276">
        <v>0.47957729999999998</v>
      </c>
      <c r="F9276" t="s">
        <v>73</v>
      </c>
      <c r="G9276">
        <v>-295.49119999999999</v>
      </c>
      <c r="H9276" s="1">
        <v>-5.6599260000000001E-6</v>
      </c>
      <c r="I9276">
        <v>-48.370379999999997</v>
      </c>
      <c r="J9276">
        <v>-300.2235</v>
      </c>
      <c r="K9276">
        <v>1.112609</v>
      </c>
      <c r="L9276">
        <v>-37.118470000000002</v>
      </c>
      <c r="M9276">
        <v>0.1294854</v>
      </c>
      <c r="N9276">
        <v>0</v>
      </c>
      <c r="O9276">
        <v>-0.99153639999999998</v>
      </c>
      <c r="P9276">
        <v>0.33188570000000001</v>
      </c>
      <c r="Q9276">
        <v>3.7074969999999999E-2</v>
      </c>
      <c r="R9276">
        <v>-0.94259099999999996</v>
      </c>
      <c r="S9276">
        <v>1.1579280000000001</v>
      </c>
      <c r="T9276">
        <v>-0.27042650000000001</v>
      </c>
      <c r="U9276">
        <v>-2.786743</v>
      </c>
      <c r="V9276">
        <v>-0.20732139999999999</v>
      </c>
      <c r="W9276">
        <v>4.4999959999999999E-2</v>
      </c>
      <c r="X9276">
        <v>0.97723729999999998</v>
      </c>
      <c r="Y9276">
        <v>-0.25933499999999998</v>
      </c>
      <c r="Z9276">
        <v>9.0034340000000004E-2</v>
      </c>
      <c r="AA9276">
        <v>0.96158160000000004</v>
      </c>
      <c r="AB9276">
        <v>23</v>
      </c>
      <c r="AC9276">
        <v>4.7323000000000004</v>
      </c>
      <c r="AD9276">
        <v>-1.1126146599259901</v>
      </c>
      <c r="AE9276">
        <v>-11.251909999999899</v>
      </c>
      <c r="AF9276">
        <v>-3.2087748844938599</v>
      </c>
      <c r="AG9276">
        <v>-1.1126146599259901</v>
      </c>
      <c r="AH9276">
        <v>11.672985856257201</v>
      </c>
      <c r="AI9276">
        <v>95.251084366149101</v>
      </c>
      <c r="AJ9276">
        <v>105.3703360025</v>
      </c>
      <c r="AK9276">
        <v>12.1570040076172</v>
      </c>
      <c r="AL9276">
        <v>87.420821113214501</v>
      </c>
      <c r="AM9276">
        <v>101.977739272438</v>
      </c>
      <c r="AN9276">
        <v>0.99999994990462404</v>
      </c>
    </row>
    <row r="9277" spans="1:40" x14ac:dyDescent="0.25">
      <c r="A9277" t="str">
        <f>"20190312150907191"</f>
        <v>20190312150907191</v>
      </c>
      <c r="B9277" t="str">
        <f>"1552374547188641"</f>
        <v>1552374547188641</v>
      </c>
      <c r="C9277" t="s">
        <v>40</v>
      </c>
      <c r="D9277">
        <v>4.9892849999999997</v>
      </c>
      <c r="E9277">
        <v>0.47983629999999999</v>
      </c>
      <c r="F9277" t="s">
        <v>73</v>
      </c>
      <c r="G9277">
        <v>-295.4314</v>
      </c>
      <c r="H9277" s="1">
        <v>-5.7376300000000003E-6</v>
      </c>
      <c r="I9277">
        <v>-48.551000000000002</v>
      </c>
      <c r="J9277">
        <v>-300.18900000000002</v>
      </c>
      <c r="K9277">
        <v>1.112679</v>
      </c>
      <c r="L9277">
        <v>-37.34534</v>
      </c>
      <c r="M9277">
        <v>0.13377030000000001</v>
      </c>
      <c r="N9277">
        <v>0</v>
      </c>
      <c r="O9277">
        <v>-0.99096719999999905</v>
      </c>
      <c r="P9277">
        <v>0.33573419999999998</v>
      </c>
      <c r="Q9277">
        <v>3.5874749999999997E-2</v>
      </c>
      <c r="R9277">
        <v>-0.94127349999999999</v>
      </c>
      <c r="S9277">
        <v>1.166412</v>
      </c>
      <c r="T9277">
        <v>-0.27081080000000002</v>
      </c>
      <c r="U9277">
        <v>-2.7826840000000002</v>
      </c>
      <c r="V9277">
        <v>-0.2070835</v>
      </c>
      <c r="W9277">
        <v>4.3808560000000003E-2</v>
      </c>
      <c r="X9277">
        <v>0.97734189999999999</v>
      </c>
      <c r="Y9277">
        <v>-0.25814949999999998</v>
      </c>
      <c r="Z9277">
        <v>9.0167990000000003E-2</v>
      </c>
      <c r="AA9277">
        <v>0.96188799999999997</v>
      </c>
      <c r="AB9277">
        <v>23</v>
      </c>
      <c r="AC9277">
        <v>4.7576000000000196</v>
      </c>
      <c r="AD9277">
        <v>-1.11268473763</v>
      </c>
      <c r="AE9277">
        <v>-11.20566</v>
      </c>
      <c r="AF9277">
        <v>-3.1891430694588698</v>
      </c>
      <c r="AG9277">
        <v>-1.11268473763</v>
      </c>
      <c r="AH9277">
        <v>11.644118335758399</v>
      </c>
      <c r="AI9277">
        <v>95.265701198426299</v>
      </c>
      <c r="AJ9277">
        <v>105.316812400451</v>
      </c>
      <c r="AK9277">
        <v>12.124116159950701</v>
      </c>
      <c r="AL9277">
        <v>87.489150779533304</v>
      </c>
      <c r="AM9277">
        <v>101.963147593996</v>
      </c>
      <c r="AN9277">
        <v>0.99999997769856597</v>
      </c>
    </row>
    <row r="9278" spans="1:40" x14ac:dyDescent="0.25">
      <c r="A9278" t="str">
        <f>"20190312150907214"</f>
        <v>20190312150907214</v>
      </c>
      <c r="B9278" t="str">
        <f>"1552374547209140"</f>
        <v>1552374547209140</v>
      </c>
      <c r="C9278" t="s">
        <v>40</v>
      </c>
      <c r="D9278">
        <v>4.7833959999999998</v>
      </c>
      <c r="E9278">
        <v>0.48049389999999997</v>
      </c>
      <c r="F9278" t="s">
        <v>73</v>
      </c>
      <c r="G9278">
        <v>-295.37349999999998</v>
      </c>
      <c r="H9278" s="1">
        <v>-5.8134519999999999E-6</v>
      </c>
      <c r="I9278">
        <v>-48.727460000000001</v>
      </c>
      <c r="J9278">
        <v>-300.15359999999998</v>
      </c>
      <c r="K9278">
        <v>1.1127560000000001</v>
      </c>
      <c r="L9278">
        <v>-37.570430000000002</v>
      </c>
      <c r="M9278">
        <v>0.13813210000000001</v>
      </c>
      <c r="N9278">
        <v>0</v>
      </c>
      <c r="O9278">
        <v>-0.99036809999999997</v>
      </c>
      <c r="P9278">
        <v>0.34021760000000001</v>
      </c>
      <c r="Q9278">
        <v>3.550205E-2</v>
      </c>
      <c r="R9278">
        <v>-0.93967630000000002</v>
      </c>
      <c r="S9278">
        <v>1.1754150000000001</v>
      </c>
      <c r="T9278">
        <v>-0.27159499999999998</v>
      </c>
      <c r="U9278">
        <v>-2.7782589999999998</v>
      </c>
      <c r="V9278">
        <v>-0.20744290000000001</v>
      </c>
      <c r="W9278">
        <v>4.3439369999999998E-2</v>
      </c>
      <c r="X9278">
        <v>0.97728219999999999</v>
      </c>
      <c r="Y9278">
        <v>-0.25708029999999998</v>
      </c>
      <c r="Z9278">
        <v>9.0435429999999997E-2</v>
      </c>
      <c r="AA9278">
        <v>0.96214929999999999</v>
      </c>
      <c r="AB9278">
        <v>23</v>
      </c>
      <c r="AC9278">
        <v>4.7801</v>
      </c>
      <c r="AD9278">
        <v>-1.1127618134520001</v>
      </c>
      <c r="AE9278">
        <v>-11.157030000000001</v>
      </c>
      <c r="AF9278">
        <v>-3.16644641779479</v>
      </c>
      <c r="AG9278">
        <v>-1.1127618134520001</v>
      </c>
      <c r="AH9278">
        <v>11.6127812472405</v>
      </c>
      <c r="AI9278">
        <v>95.281817049604001</v>
      </c>
      <c r="AJ9278">
        <v>105.252015467115</v>
      </c>
      <c r="AK9278">
        <v>12.0880647775607</v>
      </c>
      <c r="AL9278">
        <v>87.510324063366994</v>
      </c>
      <c r="AM9278">
        <v>101.98402118513</v>
      </c>
      <c r="AN9278">
        <v>1.0000000170316199</v>
      </c>
    </row>
    <row r="9279" spans="1:40" x14ac:dyDescent="0.25">
      <c r="A9279" t="str">
        <f>"20190312150907236"</f>
        <v>20190312150907236</v>
      </c>
      <c r="B9279" t="str">
        <f>"1552374547228657"</f>
        <v>1552374547228657</v>
      </c>
      <c r="C9279" t="s">
        <v>40</v>
      </c>
      <c r="D9279">
        <v>4.7138249999999999</v>
      </c>
      <c r="E9279">
        <v>0.48098540000000001</v>
      </c>
      <c r="F9279" t="s">
        <v>73</v>
      </c>
      <c r="G9279">
        <v>-295.35219999999998</v>
      </c>
      <c r="H9279" s="1">
        <v>-5.8524960000000002E-6</v>
      </c>
      <c r="I9279">
        <v>-48.821849999999998</v>
      </c>
      <c r="J9279">
        <v>-300.11739999999998</v>
      </c>
      <c r="K9279">
        <v>1.112843</v>
      </c>
      <c r="L9279">
        <v>-37.792940000000002</v>
      </c>
      <c r="M9279">
        <v>0.14256679999999999</v>
      </c>
      <c r="N9279">
        <v>0</v>
      </c>
      <c r="O9279">
        <v>-0.98973889999999998</v>
      </c>
      <c r="P9279">
        <v>0.34482439999999998</v>
      </c>
      <c r="Q9279">
        <v>3.6004710000000002E-2</v>
      </c>
      <c r="R9279">
        <v>-0.93797640000000004</v>
      </c>
      <c r="S9279">
        <v>1.183899</v>
      </c>
      <c r="T9279">
        <v>-0.27437990000000001</v>
      </c>
      <c r="U9279">
        <v>-2.7743229999999999</v>
      </c>
      <c r="V9279">
        <v>-0.20787539999999999</v>
      </c>
      <c r="W9279">
        <v>4.3943860000000001E-2</v>
      </c>
      <c r="X9279">
        <v>0.97716769999999997</v>
      </c>
      <c r="Y9279">
        <v>-0.25570090000000001</v>
      </c>
      <c r="Z9279">
        <v>9.1351020000000005E-2</v>
      </c>
      <c r="AA9279">
        <v>0.96243029999999996</v>
      </c>
      <c r="AB9279">
        <v>23</v>
      </c>
      <c r="AC9279">
        <v>4.7651999999999903</v>
      </c>
      <c r="AD9279">
        <v>-1.1128488524959901</v>
      </c>
      <c r="AE9279">
        <v>-11.0289099999999</v>
      </c>
      <c r="AF9279">
        <v>-3.1173454449395899</v>
      </c>
      <c r="AG9279">
        <v>-1.1128488524959901</v>
      </c>
      <c r="AH9279">
        <v>11.4969906732436</v>
      </c>
      <c r="AI9279">
        <v>95.337169652594596</v>
      </c>
      <c r="AJ9279">
        <v>105.170675324352</v>
      </c>
      <c r="AK9279">
        <v>11.963990543804201</v>
      </c>
      <c r="AL9279">
        <v>87.481391191845105</v>
      </c>
      <c r="AM9279">
        <v>102.00964847853299</v>
      </c>
      <c r="AN9279">
        <v>0.99999997934007401</v>
      </c>
    </row>
    <row r="9280" spans="1:40" x14ac:dyDescent="0.25">
      <c r="A9280" t="str">
        <f>"20190312150907258"</f>
        <v>20190312150907258</v>
      </c>
      <c r="B9280" t="str">
        <f>"1552374547249153"</f>
        <v>1552374547249153</v>
      </c>
      <c r="C9280" t="s">
        <v>40</v>
      </c>
      <c r="D9280">
        <v>4.561134</v>
      </c>
      <c r="E9280">
        <v>0.48130450000000002</v>
      </c>
      <c r="F9280" t="s">
        <v>73</v>
      </c>
      <c r="G9280">
        <v>-295.27170000000001</v>
      </c>
      <c r="H9280" s="1">
        <v>-5.9488639999999998E-6</v>
      </c>
      <c r="I9280">
        <v>-49.043239999999997</v>
      </c>
      <c r="J9280">
        <v>-300.08</v>
      </c>
      <c r="K9280">
        <v>1.112948</v>
      </c>
      <c r="L9280">
        <v>-38.01614</v>
      </c>
      <c r="M9280">
        <v>0.1471546</v>
      </c>
      <c r="N9280">
        <v>0</v>
      </c>
      <c r="O9280">
        <v>-0.98906669999999997</v>
      </c>
      <c r="P9280">
        <v>0.35043849999999999</v>
      </c>
      <c r="Q9280">
        <v>3.623813E-2</v>
      </c>
      <c r="R9280">
        <v>-0.93588450000000001</v>
      </c>
      <c r="S9280">
        <v>1.1932069999999999</v>
      </c>
      <c r="T9280">
        <v>-0.27402389999999999</v>
      </c>
      <c r="U9280">
        <v>-2.7702330000000002</v>
      </c>
      <c r="V9280">
        <v>-0.20921319999999999</v>
      </c>
      <c r="W9280">
        <v>4.4169180000000002E-2</v>
      </c>
      <c r="X9280">
        <v>0.97687199999999996</v>
      </c>
      <c r="Y9280">
        <v>-0.25446750000000001</v>
      </c>
      <c r="Z9280">
        <v>9.1221090000000005E-2</v>
      </c>
      <c r="AA9280">
        <v>0.9627694</v>
      </c>
      <c r="AB9280">
        <v>23</v>
      </c>
      <c r="AC9280">
        <v>4.8082999999999698</v>
      </c>
      <c r="AD9280">
        <v>-1.1129539488639999</v>
      </c>
      <c r="AE9280">
        <v>-11.027100000000001</v>
      </c>
      <c r="AF9280">
        <v>-3.1065958377407901</v>
      </c>
      <c r="AG9280">
        <v>-1.1129539488639999</v>
      </c>
      <c r="AH9280">
        <v>11.5160696269123</v>
      </c>
      <c r="AI9280">
        <v>95.330725183468601</v>
      </c>
      <c r="AJ9280">
        <v>105.09685460288399</v>
      </c>
      <c r="AK9280">
        <v>11.9795435573837</v>
      </c>
      <c r="AL9280">
        <v>87.468468791290604</v>
      </c>
      <c r="AM9280">
        <v>102.088223109526</v>
      </c>
      <c r="AN9280">
        <v>0.99999999195005596</v>
      </c>
    </row>
    <row r="9281" spans="1:40" x14ac:dyDescent="0.25">
      <c r="A9281" t="str">
        <f>"20190312150907281"</f>
        <v>20190312150907281</v>
      </c>
      <c r="B9281" t="str">
        <f>"1552374547268672"</f>
        <v>1552374547268672</v>
      </c>
      <c r="C9281" t="s">
        <v>40</v>
      </c>
      <c r="D9281">
        <v>4.7479100000000001</v>
      </c>
      <c r="E9281">
        <v>0.48159590000000002</v>
      </c>
      <c r="F9281" t="s">
        <v>73</v>
      </c>
      <c r="G9281">
        <v>-295.16849999999999</v>
      </c>
      <c r="H9281" s="1">
        <v>-6.048101E-6</v>
      </c>
      <c r="I9281">
        <v>-49.262869999999999</v>
      </c>
      <c r="J9281">
        <v>-300.04149999999998</v>
      </c>
      <c r="K9281">
        <v>1.113065</v>
      </c>
      <c r="L9281">
        <v>-38.239109999999997</v>
      </c>
      <c r="M9281">
        <v>0.15189</v>
      </c>
      <c r="N9281">
        <v>0</v>
      </c>
      <c r="O9281">
        <v>-0.98834999999999995</v>
      </c>
      <c r="P9281">
        <v>0.35709829999999998</v>
      </c>
      <c r="Q9281">
        <v>3.5892769999999997E-2</v>
      </c>
      <c r="R9281">
        <v>-0.93337680000000001</v>
      </c>
      <c r="S9281">
        <v>1.2071229999999999</v>
      </c>
      <c r="T9281">
        <v>-0.27353290000000002</v>
      </c>
      <c r="U9281">
        <v>-2.7641300000000002</v>
      </c>
      <c r="V9281">
        <v>-0.21150369999999999</v>
      </c>
      <c r="W9281">
        <v>4.3800949999999998E-2</v>
      </c>
      <c r="X9281">
        <v>0.97639520000000002</v>
      </c>
      <c r="Y9281">
        <v>-0.25469340000000001</v>
      </c>
      <c r="Z9281">
        <v>9.1053469999999997E-2</v>
      </c>
      <c r="AA9281">
        <v>0.96272559999999996</v>
      </c>
      <c r="AB9281">
        <v>23</v>
      </c>
      <c r="AC9281">
        <v>4.8729999999999896</v>
      </c>
      <c r="AD9281">
        <v>-1.113071048101</v>
      </c>
      <c r="AE9281">
        <v>-11.023759999999999</v>
      </c>
      <c r="AF9281">
        <v>-3.1154081637628601</v>
      </c>
      <c r="AG9281">
        <v>-1.113071048101</v>
      </c>
      <c r="AH9281">
        <v>11.5376398382912</v>
      </c>
      <c r="AI9281">
        <v>95.321027662648802</v>
      </c>
      <c r="AJ9281">
        <v>105.110711000585</v>
      </c>
      <c r="AK9281">
        <v>12.0025758994928</v>
      </c>
      <c r="AL9281">
        <v>87.489587181076402</v>
      </c>
      <c r="AM9281">
        <v>102.22239900550601</v>
      </c>
      <c r="AN9281">
        <v>0.99999996245881495</v>
      </c>
    </row>
    <row r="9282" spans="1:40" x14ac:dyDescent="0.25">
      <c r="A9282" t="str">
        <f>"20190312150907305"</f>
        <v>20190312150907305</v>
      </c>
      <c r="B9282" t="str">
        <f>"1552374547298928"</f>
        <v>1552374547298928</v>
      </c>
      <c r="C9282" t="s">
        <v>40</v>
      </c>
      <c r="D9282">
        <v>4.4801449999999896</v>
      </c>
      <c r="E9282">
        <v>0.44667469999999998</v>
      </c>
      <c r="F9282" t="s">
        <v>73</v>
      </c>
      <c r="G9282">
        <v>-295.04750000000001</v>
      </c>
      <c r="H9282" s="1">
        <v>-6.1516709999999997E-6</v>
      </c>
      <c r="I9282">
        <v>-49.48659</v>
      </c>
      <c r="J9282">
        <v>-299.99790000000002</v>
      </c>
      <c r="K9282">
        <v>1.11321</v>
      </c>
      <c r="L9282">
        <v>-38.482669999999999</v>
      </c>
      <c r="M9282">
        <v>0.157253</v>
      </c>
      <c r="N9282">
        <v>0</v>
      </c>
      <c r="O9282">
        <v>-0.98751040000000001</v>
      </c>
      <c r="P9282">
        <v>0.36495830000000001</v>
      </c>
      <c r="Q9282">
        <v>3.5140449999999997E-2</v>
      </c>
      <c r="R9282">
        <v>-0.93036050000000003</v>
      </c>
      <c r="S9282">
        <v>1.2238770000000001</v>
      </c>
      <c r="T9282">
        <v>-0.2727791</v>
      </c>
      <c r="U9282">
        <v>-2.7564090000000001</v>
      </c>
      <c r="V9282">
        <v>-0.21444369999999999</v>
      </c>
      <c r="W9282">
        <v>4.3009659999999998E-2</v>
      </c>
      <c r="X9282">
        <v>0.97578900000000002</v>
      </c>
      <c r="Y9282">
        <v>-0.25534200000000001</v>
      </c>
      <c r="Z9282">
        <v>9.0806189999999995E-2</v>
      </c>
      <c r="AA9282">
        <v>0.96257709999999996</v>
      </c>
      <c r="AB9282">
        <v>23</v>
      </c>
      <c r="AC9282">
        <v>4.9504000000000001</v>
      </c>
      <c r="AD9282">
        <v>-1.113216151671</v>
      </c>
      <c r="AE9282">
        <v>-11.0039199999999</v>
      </c>
      <c r="AF9282">
        <v>-3.1316656235308402</v>
      </c>
      <c r="AG9282">
        <v>-1.113216151671</v>
      </c>
      <c r="AH9282">
        <v>11.547215023334299</v>
      </c>
      <c r="AI9282">
        <v>95.315751647279399</v>
      </c>
      <c r="AJ9282">
        <v>105.17392053232599</v>
      </c>
      <c r="AK9282">
        <v>12.0160207461981</v>
      </c>
      <c r="AL9282">
        <v>87.534967750918099</v>
      </c>
      <c r="AM9282">
        <v>102.394543079275</v>
      </c>
      <c r="AN9282">
        <v>1.000000051922</v>
      </c>
    </row>
    <row r="9283" spans="1:40" x14ac:dyDescent="0.25">
      <c r="A9283" t="str">
        <f>"20190312150907330"</f>
        <v>20190312150907330</v>
      </c>
      <c r="B9283" t="str">
        <f>"1552374547318449"</f>
        <v>1552374547318449</v>
      </c>
      <c r="C9283" t="s">
        <v>40</v>
      </c>
      <c r="D9283">
        <v>4.5659929999999997</v>
      </c>
      <c r="E9283">
        <v>0.43080570000000001</v>
      </c>
      <c r="F9283" t="s">
        <v>73</v>
      </c>
      <c r="G9283">
        <v>-295.25450000000001</v>
      </c>
      <c r="H9283" s="1">
        <v>-4.9388900000000004E-6</v>
      </c>
      <c r="I9283">
        <v>-46.795679999999997</v>
      </c>
      <c r="J9283">
        <v>-299.95249999999999</v>
      </c>
      <c r="K9283">
        <v>1.1133630000000001</v>
      </c>
      <c r="L9283">
        <v>-38.726379999999999</v>
      </c>
      <c r="M9283">
        <v>0.16285379999999899</v>
      </c>
      <c r="N9283">
        <v>0</v>
      </c>
      <c r="O9283">
        <v>-0.98660150000000002</v>
      </c>
      <c r="P9283">
        <v>0.3728725</v>
      </c>
      <c r="Q9283">
        <v>3.4983889999999997E-2</v>
      </c>
      <c r="R9283">
        <v>-0.92722300000000002</v>
      </c>
      <c r="S9283">
        <v>1.509674</v>
      </c>
      <c r="T9283">
        <v>-0.35429870000000002</v>
      </c>
      <c r="U9283">
        <v>-2.6457519999999999</v>
      </c>
      <c r="V9283">
        <v>-0.2172346</v>
      </c>
      <c r="W9283">
        <v>4.2811960000000003E-2</v>
      </c>
      <c r="X9283">
        <v>0.97518009999999999</v>
      </c>
      <c r="Y9283">
        <v>-0.34409030000000002</v>
      </c>
      <c r="Z9283">
        <v>0.11735139999999999</v>
      </c>
      <c r="AA9283">
        <v>0.93157420000000002</v>
      </c>
      <c r="AB9283">
        <v>23</v>
      </c>
      <c r="AC9283">
        <v>4.6979999999999702</v>
      </c>
      <c r="AD9283">
        <v>-1.11336793889</v>
      </c>
      <c r="AE9283">
        <v>-8.0692999999999895</v>
      </c>
      <c r="AF9283">
        <v>-3.2745400867586798</v>
      </c>
      <c r="AG9283">
        <v>-1.11336793889</v>
      </c>
      <c r="AH9283">
        <v>8.6043538818118694</v>
      </c>
      <c r="AI9283">
        <v>96.8955406637306</v>
      </c>
      <c r="AJ9283">
        <v>110.83521359637101</v>
      </c>
      <c r="AK9283">
        <v>9.2734624963164993</v>
      </c>
      <c r="AL9283">
        <v>87.546305395987403</v>
      </c>
      <c r="AM9283">
        <v>102.558361614338</v>
      </c>
      <c r="AN9283">
        <v>0.99999998139610502</v>
      </c>
    </row>
    <row r="9284" spans="1:40" x14ac:dyDescent="0.25">
      <c r="A9284" t="str">
        <f>"20190312150907352"</f>
        <v>20190312150907352</v>
      </c>
      <c r="B9284" t="str">
        <f>"1552374547348705"</f>
        <v>1552374547348705</v>
      </c>
      <c r="C9284" t="s">
        <v>40</v>
      </c>
      <c r="D9284">
        <v>4.7052740000000002</v>
      </c>
      <c r="E9284">
        <v>0.42741400000000002</v>
      </c>
      <c r="F9284" t="s">
        <v>73</v>
      </c>
      <c r="G9284">
        <v>-295.30169999999998</v>
      </c>
      <c r="H9284" s="1">
        <v>-4.5267479999999998E-6</v>
      </c>
      <c r="I9284">
        <v>-46.007370000000002</v>
      </c>
      <c r="J9284">
        <v>-299.90879999999999</v>
      </c>
      <c r="K9284">
        <v>1.1134949999999999</v>
      </c>
      <c r="L9284">
        <v>-38.953249999999997</v>
      </c>
      <c r="M9284">
        <v>0.1682342</v>
      </c>
      <c r="N9284">
        <v>0</v>
      </c>
      <c r="O9284">
        <v>-0.98569790000000002</v>
      </c>
      <c r="P9284">
        <v>0.38085429999999998</v>
      </c>
      <c r="Q9284">
        <v>3.5192479999999998E-2</v>
      </c>
      <c r="R9284">
        <v>-0.92396529999999999</v>
      </c>
      <c r="S9284">
        <v>1.6519170000000001</v>
      </c>
      <c r="T9284">
        <v>-0.39545520000000001</v>
      </c>
      <c r="U9284">
        <v>-2.5861209999999999</v>
      </c>
      <c r="V9284">
        <v>-0.22033939999999999</v>
      </c>
      <c r="W9284">
        <v>4.2982979999999997E-2</v>
      </c>
      <c r="X9284">
        <v>0.97447569999999994</v>
      </c>
      <c r="Y9284">
        <v>-0.38425009999999998</v>
      </c>
      <c r="Z9284">
        <v>0.13032249999999901</v>
      </c>
      <c r="AA9284">
        <v>0.91398460000000004</v>
      </c>
      <c r="AB9284">
        <v>23</v>
      </c>
      <c r="AC9284">
        <v>4.6071</v>
      </c>
      <c r="AD9284">
        <v>-1.1134995267479999</v>
      </c>
      <c r="AE9284">
        <v>-7.0541200000000002</v>
      </c>
      <c r="AF9284">
        <v>-3.2970391548700002</v>
      </c>
      <c r="AG9284">
        <v>-1.1134995267479999</v>
      </c>
      <c r="AH9284">
        <v>7.59600148095869</v>
      </c>
      <c r="AI9284">
        <v>97.6585961161462</v>
      </c>
      <c r="AJ9284">
        <v>113.46322062396101</v>
      </c>
      <c r="AK9284">
        <v>8.3552131560804899</v>
      </c>
      <c r="AL9284">
        <v>87.536497538410998</v>
      </c>
      <c r="AM9284">
        <v>102.740942001156</v>
      </c>
      <c r="AN9284">
        <v>0.99999993882626304</v>
      </c>
    </row>
    <row r="9285" spans="1:40" x14ac:dyDescent="0.25">
      <c r="A9285" t="str">
        <f>"20190312150907371"</f>
        <v>20190312150907371</v>
      </c>
      <c r="B9285" t="str">
        <f>"1552374547369201"</f>
        <v>1552374547369201</v>
      </c>
      <c r="C9285" t="s">
        <v>40</v>
      </c>
      <c r="D9285">
        <v>4.5427530000000003</v>
      </c>
      <c r="E9285">
        <v>0.42498710000000001</v>
      </c>
      <c r="F9285" t="s">
        <v>73</v>
      </c>
      <c r="G9285">
        <v>-295.65899999999999</v>
      </c>
      <c r="H9285" s="1">
        <v>-4.1144059999999997E-6</v>
      </c>
      <c r="I9285">
        <v>-45.35568</v>
      </c>
      <c r="J9285">
        <v>-299.87079999999997</v>
      </c>
      <c r="K9285">
        <v>1.1135919999999999</v>
      </c>
      <c r="L9285">
        <v>-39.144170000000003</v>
      </c>
      <c r="M9285">
        <v>0.17289489999999999</v>
      </c>
      <c r="N9285">
        <v>0</v>
      </c>
      <c r="O9285">
        <v>-0.9848903</v>
      </c>
      <c r="P9285">
        <v>0.38800839999999998</v>
      </c>
      <c r="Q9285">
        <v>3.5600310000000003E-2</v>
      </c>
      <c r="R9285">
        <v>-0.92096809999999996</v>
      </c>
      <c r="S9285">
        <v>1.7010189999999901</v>
      </c>
      <c r="T9285">
        <v>-0.44569720000000002</v>
      </c>
      <c r="U9285">
        <v>-2.5626829999999998</v>
      </c>
      <c r="V9285">
        <v>-0.22330349999999999</v>
      </c>
      <c r="W9285">
        <v>4.3356480000000003E-2</v>
      </c>
      <c r="X9285">
        <v>0.97378430000000005</v>
      </c>
      <c r="Y9285">
        <v>-0.3946615</v>
      </c>
      <c r="Z9285">
        <v>0.1464009</v>
      </c>
      <c r="AA9285">
        <v>0.90708829999999996</v>
      </c>
      <c r="AB9285">
        <v>23</v>
      </c>
      <c r="AC9285">
        <v>4.2117999999999798</v>
      </c>
      <c r="AD9285">
        <v>-1.11359611440599</v>
      </c>
      <c r="AE9285">
        <v>-6.2115099999999899</v>
      </c>
      <c r="AF9285">
        <v>-3.0081408756827099</v>
      </c>
      <c r="AG9285">
        <v>-1.11359611440599</v>
      </c>
      <c r="AH9285">
        <v>6.6987002002748302</v>
      </c>
      <c r="AI9285">
        <v>98.623285502713799</v>
      </c>
      <c r="AJ9285">
        <v>114.18310178810501</v>
      </c>
      <c r="AK9285">
        <v>7.4270850410598799</v>
      </c>
      <c r="AL9285">
        <v>87.515077871565097</v>
      </c>
      <c r="AM9285">
        <v>102.915491783105</v>
      </c>
      <c r="AN9285">
        <v>1.0000000501983599</v>
      </c>
    </row>
    <row r="9286" spans="1:40" x14ac:dyDescent="0.25">
      <c r="A9286" t="str">
        <f>"20190312150907392"</f>
        <v>20190312150907392</v>
      </c>
      <c r="B9286" t="str">
        <f>"1552374547388720"</f>
        <v>1552374547388720</v>
      </c>
      <c r="C9286" t="s">
        <v>40</v>
      </c>
      <c r="D9286">
        <v>4.5689849999999996</v>
      </c>
      <c r="E9286">
        <v>0.42302650000000003</v>
      </c>
      <c r="F9286" t="s">
        <v>73</v>
      </c>
      <c r="G9286">
        <v>-295.51069999999999</v>
      </c>
      <c r="H9286" s="1">
        <v>-4.233117E-6</v>
      </c>
      <c r="I9286">
        <v>-45.522039999999997</v>
      </c>
      <c r="J9286">
        <v>-299.82659999999998</v>
      </c>
      <c r="K9286">
        <v>1.113707</v>
      </c>
      <c r="L9286">
        <v>-39.360169999999997</v>
      </c>
      <c r="M9286">
        <v>0.17833769999999999</v>
      </c>
      <c r="N9286">
        <v>0</v>
      </c>
      <c r="O9286">
        <v>-0.98391890000000004</v>
      </c>
      <c r="P9286">
        <v>0.39598489999999997</v>
      </c>
      <c r="Q9286">
        <v>3.5511580000000001E-2</v>
      </c>
      <c r="R9286">
        <v>-0.9175702</v>
      </c>
      <c r="S9286">
        <v>1.7380369999999901</v>
      </c>
      <c r="T9286">
        <v>-0.44389820000000002</v>
      </c>
      <c r="U9286">
        <v>-2.5423279999999999</v>
      </c>
      <c r="V9286">
        <v>-0.22637950000000001</v>
      </c>
      <c r="W9286">
        <v>4.322786E-2</v>
      </c>
      <c r="X9286">
        <v>0.97307949999999999</v>
      </c>
      <c r="Y9286">
        <v>-0.40203470000000002</v>
      </c>
      <c r="Z9286">
        <v>0.14577660000000001</v>
      </c>
      <c r="AA9286">
        <v>0.90394540000000001</v>
      </c>
      <c r="AB9286">
        <v>23</v>
      </c>
      <c r="AC9286">
        <v>4.3158999999999903</v>
      </c>
      <c r="AD9286">
        <v>-1.113711233117</v>
      </c>
      <c r="AE9286">
        <v>-6.1618699999999897</v>
      </c>
      <c r="AF9286">
        <v>-3.0802511532086001</v>
      </c>
      <c r="AG9286">
        <v>-1.113711233117</v>
      </c>
      <c r="AH9286">
        <v>6.6862705291815203</v>
      </c>
      <c r="AI9286">
        <v>98.602766387430705</v>
      </c>
      <c r="AJ9286">
        <v>114.734720387138</v>
      </c>
      <c r="AK9286">
        <v>7.4454357472894204</v>
      </c>
      <c r="AL9286">
        <v>87.522454094145402</v>
      </c>
      <c r="AM9286">
        <v>103.09647023528601</v>
      </c>
      <c r="AN9286">
        <v>1.00000001961033</v>
      </c>
    </row>
    <row r="9287" spans="1:40" x14ac:dyDescent="0.25">
      <c r="A9287" t="str">
        <f>"20190312150907415"</f>
        <v>20190312150907415</v>
      </c>
      <c r="B9287" t="str">
        <f>"1552374547409217"</f>
        <v>1552374547409217</v>
      </c>
      <c r="C9287" t="s">
        <v>40</v>
      </c>
      <c r="D9287">
        <v>4.5637780000000001</v>
      </c>
      <c r="E9287">
        <v>0.42216880000000001</v>
      </c>
      <c r="F9287" t="s">
        <v>73</v>
      </c>
      <c r="G9287">
        <v>-295.53019999999998</v>
      </c>
      <c r="H9287" s="1">
        <v>-4.1989039999999998E-6</v>
      </c>
      <c r="I9287">
        <v>-45.463369999999998</v>
      </c>
      <c r="J9287">
        <v>-299.77879999999999</v>
      </c>
      <c r="K9287">
        <v>1.113831</v>
      </c>
      <c r="L9287">
        <v>-39.586399999999998</v>
      </c>
      <c r="M9287">
        <v>0.18423129999999999</v>
      </c>
      <c r="N9287">
        <v>0</v>
      </c>
      <c r="O9287">
        <v>-0.98283180000000003</v>
      </c>
      <c r="P9287">
        <v>0.40416990000000003</v>
      </c>
      <c r="Q9287">
        <v>3.509545E-2</v>
      </c>
      <c r="R9287">
        <v>-0.91401030000000005</v>
      </c>
      <c r="S9287">
        <v>1.7749330000000001</v>
      </c>
      <c r="T9287">
        <v>-0.4600921</v>
      </c>
      <c r="U9287">
        <v>-2.5213320000000001</v>
      </c>
      <c r="V9287">
        <v>-0.2292515</v>
      </c>
      <c r="W9287">
        <v>4.2765270000000001E-2</v>
      </c>
      <c r="X9287">
        <v>0.97242729999999999</v>
      </c>
      <c r="Y9287">
        <v>-0.4085067</v>
      </c>
      <c r="Z9287">
        <v>0.1509307</v>
      </c>
      <c r="AA9287">
        <v>0.90019009999999999</v>
      </c>
      <c r="AB9287">
        <v>23</v>
      </c>
      <c r="AC9287">
        <v>4.2485999999999997</v>
      </c>
      <c r="AD9287">
        <v>-1.1138351989040001</v>
      </c>
      <c r="AE9287">
        <v>-5.87697</v>
      </c>
      <c r="AF9287">
        <v>-3.0218057573696502</v>
      </c>
      <c r="AG9287">
        <v>-1.1138351989040001</v>
      </c>
      <c r="AH9287">
        <v>6.4079583751182803</v>
      </c>
      <c r="AI9287">
        <v>98.934711778205795</v>
      </c>
      <c r="AJ9287">
        <v>115.247194024153</v>
      </c>
      <c r="AK9287">
        <v>7.1717410314956602</v>
      </c>
      <c r="AL9287">
        <v>87.548982999989093</v>
      </c>
      <c r="AM9287">
        <v>103.265365761043</v>
      </c>
      <c r="AN9287">
        <v>0.99999998617785602</v>
      </c>
    </row>
    <row r="9288" spans="1:40" x14ac:dyDescent="0.25">
      <c r="A9288" t="str">
        <f>"20190312150907437"</f>
        <v>20190312150907437</v>
      </c>
      <c r="B9288" t="str">
        <f>"1552374547428737"</f>
        <v>1552374547428737</v>
      </c>
      <c r="C9288" t="s">
        <v>40</v>
      </c>
      <c r="D9288">
        <v>4.5638709999999998</v>
      </c>
      <c r="E9288">
        <v>0.42170819999999998</v>
      </c>
      <c r="F9288" t="s">
        <v>73</v>
      </c>
      <c r="G9288">
        <v>-295.49880000000002</v>
      </c>
      <c r="H9288" s="1">
        <v>-4.2375849999999997E-6</v>
      </c>
      <c r="I9288">
        <v>-45.525660000000002</v>
      </c>
      <c r="J9288">
        <v>-299.73050000000001</v>
      </c>
      <c r="K9288">
        <v>1.11396299999999</v>
      </c>
      <c r="L9288">
        <v>-39.807130000000001</v>
      </c>
      <c r="M9288">
        <v>0.19016620000000001</v>
      </c>
      <c r="N9288">
        <v>0</v>
      </c>
      <c r="O9288">
        <v>-0.98170040000000003</v>
      </c>
      <c r="P9288">
        <v>0.41222779999999998</v>
      </c>
      <c r="Q9288">
        <v>3.4736320000000001E-2</v>
      </c>
      <c r="R9288">
        <v>-0.91041850000000002</v>
      </c>
      <c r="S9288">
        <v>1.803528</v>
      </c>
      <c r="T9288">
        <v>-0.46935939999999998</v>
      </c>
      <c r="U9288">
        <v>-2.5027469999999998</v>
      </c>
      <c r="V9288">
        <v>-0.23197329999999999</v>
      </c>
      <c r="W9288">
        <v>4.2354139999999998E-2</v>
      </c>
      <c r="X9288">
        <v>0.97179959999999999</v>
      </c>
      <c r="Y9288">
        <v>-0.41267589999999998</v>
      </c>
      <c r="Z9288">
        <v>0.153927799999999</v>
      </c>
      <c r="AA9288">
        <v>0.89777770000000001</v>
      </c>
      <c r="AB9288">
        <v>23</v>
      </c>
      <c r="AC9288">
        <v>4.2316999999999796</v>
      </c>
      <c r="AD9288">
        <v>-1.1139672375849901</v>
      </c>
      <c r="AE9288">
        <v>-5.7185299999999897</v>
      </c>
      <c r="AF9288">
        <v>-2.9935442430865198</v>
      </c>
      <c r="AG9288">
        <v>-1.1139672375849901</v>
      </c>
      <c r="AH9288">
        <v>6.2653095280147904</v>
      </c>
      <c r="AI9288">
        <v>99.114171653163893</v>
      </c>
      <c r="AJ9288">
        <v>115.538317252678</v>
      </c>
      <c r="AK9288">
        <v>7.0325197208086196</v>
      </c>
      <c r="AL9288">
        <v>87.572560347173294</v>
      </c>
      <c r="AM9288">
        <v>103.425548811</v>
      </c>
      <c r="AN9288">
        <v>0.999999973824094</v>
      </c>
    </row>
    <row r="9289" spans="1:40" x14ac:dyDescent="0.25">
      <c r="A9289" t="str">
        <f>"20190312150907458"</f>
        <v>20190312150907458</v>
      </c>
      <c r="B9289" t="str">
        <f>"1552374547449233"</f>
        <v>1552374547449233</v>
      </c>
      <c r="C9289" t="s">
        <v>40</v>
      </c>
      <c r="D9289">
        <v>4.5910500000000001</v>
      </c>
      <c r="E9289">
        <v>0.42160839999999999</v>
      </c>
      <c r="F9289" t="s">
        <v>73</v>
      </c>
      <c r="G9289">
        <v>-295.45589999999999</v>
      </c>
      <c r="H9289" s="1">
        <v>-4.292546E-6</v>
      </c>
      <c r="I9289">
        <v>-45.614849999999997</v>
      </c>
      <c r="J9289">
        <v>-299.68079999999998</v>
      </c>
      <c r="K9289">
        <v>1.1141030000000001</v>
      </c>
      <c r="L9289">
        <v>-40.027340000000002</v>
      </c>
      <c r="M9289">
        <v>0.19627149999999999</v>
      </c>
      <c r="N9289">
        <v>0</v>
      </c>
      <c r="O9289">
        <v>-0.98049739999999996</v>
      </c>
      <c r="P9289">
        <v>0.42023630000000001</v>
      </c>
      <c r="Q9289">
        <v>3.4836850000000003E-2</v>
      </c>
      <c r="R9289">
        <v>-0.90674589999999999</v>
      </c>
      <c r="S9289">
        <v>1.829132</v>
      </c>
      <c r="T9289">
        <v>-0.47667470000000001</v>
      </c>
      <c r="U9289">
        <v>-2.4851679999999998</v>
      </c>
      <c r="V9289">
        <v>-0.23450770000000001</v>
      </c>
      <c r="W9289">
        <v>4.2397490000000003E-2</v>
      </c>
      <c r="X9289">
        <v>0.97118930000000003</v>
      </c>
      <c r="Y9289">
        <v>-0.41583209999999998</v>
      </c>
      <c r="Z9289">
        <v>0.15630759999999999</v>
      </c>
      <c r="AA9289">
        <v>0.89590820000000004</v>
      </c>
      <c r="AB9289">
        <v>23</v>
      </c>
      <c r="AC9289">
        <v>4.2248999999999901</v>
      </c>
      <c r="AD9289">
        <v>-1.114107292546</v>
      </c>
      <c r="AE9289">
        <v>-5.5875099999999902</v>
      </c>
      <c r="AF9289">
        <v>-2.9708424189608098</v>
      </c>
      <c r="AG9289">
        <v>-1.114107292546</v>
      </c>
      <c r="AH9289">
        <v>6.15246175513537</v>
      </c>
      <c r="AI9289">
        <v>99.261567944760301</v>
      </c>
      <c r="AJ9289">
        <v>115.774527055232</v>
      </c>
      <c r="AK9289">
        <v>6.9224219306543704</v>
      </c>
      <c r="AL9289">
        <v>87.570074484596702</v>
      </c>
      <c r="AM9289">
        <v>103.575044414589</v>
      </c>
      <c r="AN9289">
        <v>1.0000000324760301</v>
      </c>
    </row>
    <row r="9290" spans="1:40" x14ac:dyDescent="0.25">
      <c r="A9290" t="str">
        <f>"20190312150907482"</f>
        <v>20190312150907482</v>
      </c>
      <c r="B9290" t="str">
        <f>"1552374547478512"</f>
        <v>1552374547478512</v>
      </c>
      <c r="C9290" t="s">
        <v>40</v>
      </c>
      <c r="D9290">
        <v>4.5421860000000001</v>
      </c>
      <c r="E9290">
        <v>0.42155999999999999</v>
      </c>
      <c r="F9290" t="s">
        <v>73</v>
      </c>
      <c r="G9290">
        <v>-295.35210000000001</v>
      </c>
      <c r="H9290" s="1">
        <v>-4.4099900000000003E-6</v>
      </c>
      <c r="I9290">
        <v>-45.800159999999998</v>
      </c>
      <c r="J9290">
        <v>-299.62849999999997</v>
      </c>
      <c r="K9290">
        <v>1.1142510000000001</v>
      </c>
      <c r="L9290">
        <v>-40.251649999999998</v>
      </c>
      <c r="M9290">
        <v>0.202681</v>
      </c>
      <c r="N9290">
        <v>0</v>
      </c>
      <c r="O9290">
        <v>-0.97919199999999995</v>
      </c>
      <c r="P9290">
        <v>0.42820999999999998</v>
      </c>
      <c r="Q9290">
        <v>3.49533E-2</v>
      </c>
      <c r="R9290">
        <v>-0.90300329999999995</v>
      </c>
      <c r="S9290">
        <v>1.8512569999999999</v>
      </c>
      <c r="T9290">
        <v>-0.47646709999999898</v>
      </c>
      <c r="U9290">
        <v>-2.468842</v>
      </c>
      <c r="V9290">
        <v>-0.23672989999999999</v>
      </c>
      <c r="W9290">
        <v>4.2453709999999999E-2</v>
      </c>
      <c r="X9290">
        <v>0.9706475</v>
      </c>
      <c r="Y9290">
        <v>-0.41788409999999898</v>
      </c>
      <c r="Z9290">
        <v>0.1562916</v>
      </c>
      <c r="AA9290">
        <v>0.89495579999999997</v>
      </c>
      <c r="AB9290">
        <v>23</v>
      </c>
      <c r="AC9290">
        <v>4.2763999999999598</v>
      </c>
      <c r="AD9290">
        <v>-1.1142554099899999</v>
      </c>
      <c r="AE9290">
        <v>-5.5485100000000003</v>
      </c>
      <c r="AF9290">
        <v>-2.9874156720457101</v>
      </c>
      <c r="AG9290">
        <v>-1.1142554099899999</v>
      </c>
      <c r="AH9290">
        <v>6.1446669021172502</v>
      </c>
      <c r="AI9290">
        <v>99.262495812668107</v>
      </c>
      <c r="AJ9290">
        <v>115.92810548121101</v>
      </c>
      <c r="AK9290">
        <v>6.9226547548069703</v>
      </c>
      <c r="AL9290">
        <v>87.566850251641497</v>
      </c>
      <c r="AM9290">
        <v>103.70621484083399</v>
      </c>
      <c r="AN9290">
        <v>0.99999996615151099</v>
      </c>
    </row>
    <row r="9291" spans="1:40" x14ac:dyDescent="0.25">
      <c r="A9291" t="str">
        <f>"20190312150907505"</f>
        <v>20190312150907505</v>
      </c>
      <c r="B9291" t="str">
        <f>"1552374547499009"</f>
        <v>1552374547499009</v>
      </c>
      <c r="C9291" t="s">
        <v>40</v>
      </c>
      <c r="D9291">
        <v>4.591278</v>
      </c>
      <c r="E9291">
        <v>0.42196289999999997</v>
      </c>
      <c r="F9291" t="s">
        <v>73</v>
      </c>
      <c r="G9291">
        <v>-295.2321</v>
      </c>
      <c r="H9291" s="1">
        <v>-4.5428559999999998E-6</v>
      </c>
      <c r="I9291">
        <v>-46.00873</v>
      </c>
      <c r="J9291">
        <v>-299.572</v>
      </c>
      <c r="K9291">
        <v>1.114393</v>
      </c>
      <c r="L9291">
        <v>-40.485779999999998</v>
      </c>
      <c r="M9291">
        <v>0.2095834</v>
      </c>
      <c r="N9291">
        <v>0</v>
      </c>
      <c r="O9291">
        <v>-0.97773750000000004</v>
      </c>
      <c r="P9291">
        <v>0.43636659999999999</v>
      </c>
      <c r="Q9291">
        <v>3.4971189999999999E-2</v>
      </c>
      <c r="R9291">
        <v>-0.89908960000000004</v>
      </c>
      <c r="S9291">
        <v>1.872833</v>
      </c>
      <c r="T9291">
        <v>-0.47467239999999999</v>
      </c>
      <c r="U9291">
        <v>-2.452515</v>
      </c>
      <c r="V9291">
        <v>-0.23868490000000001</v>
      </c>
      <c r="W9291">
        <v>4.2411780000000003E-2</v>
      </c>
      <c r="X9291">
        <v>0.97017050000000005</v>
      </c>
      <c r="Y9291">
        <v>-0.41939159999999998</v>
      </c>
      <c r="Z9291">
        <v>0.15575710000000001</v>
      </c>
      <c r="AA9291">
        <v>0.89434360000000002</v>
      </c>
      <c r="AB9291">
        <v>23</v>
      </c>
      <c r="AC9291">
        <v>4.3399000000000001</v>
      </c>
      <c r="AD9291">
        <v>-1.114397542856</v>
      </c>
      <c r="AE9291">
        <v>-5.5229499999999998</v>
      </c>
      <c r="AF9291">
        <v>-3.01015629493613</v>
      </c>
      <c r="AG9291">
        <v>-1.114397542856</v>
      </c>
      <c r="AH9291">
        <v>6.1549680114146996</v>
      </c>
      <c r="AI9291">
        <v>99.238111362246997</v>
      </c>
      <c r="AJ9291">
        <v>116.061464872638</v>
      </c>
      <c r="AK9291">
        <v>6.9416535512084803</v>
      </c>
      <c r="AL9291">
        <v>87.569254960034101</v>
      </c>
      <c r="AM9291">
        <v>103.821617936815</v>
      </c>
      <c r="AN9291">
        <v>1.0000000198205099</v>
      </c>
    </row>
    <row r="9292" spans="1:40" x14ac:dyDescent="0.25">
      <c r="A9292" t="str">
        <f>"20190312150907527"</f>
        <v>20190312150907527</v>
      </c>
      <c r="B9292" t="str">
        <f>"1552374547518528"</f>
        <v>1552374547518528</v>
      </c>
      <c r="C9292" t="s">
        <v>40</v>
      </c>
      <c r="D9292">
        <v>4.5443639999999998</v>
      </c>
      <c r="E9292">
        <v>0.4219232</v>
      </c>
      <c r="F9292" t="s">
        <v>73</v>
      </c>
      <c r="G9292">
        <v>-295.15350000000001</v>
      </c>
      <c r="H9292" s="1">
        <v>-4.6464979999999998E-6</v>
      </c>
      <c r="I9292">
        <v>-46.177889999999998</v>
      </c>
      <c r="J9292">
        <v>-299.51729999999998</v>
      </c>
      <c r="K9292">
        <v>1.114536</v>
      </c>
      <c r="L9292">
        <v>-40.70438</v>
      </c>
      <c r="M9292">
        <v>0.21624409999999999</v>
      </c>
      <c r="N9292">
        <v>0</v>
      </c>
      <c r="O9292">
        <v>-0.97628519999999996</v>
      </c>
      <c r="P9292">
        <v>0.44404080000000001</v>
      </c>
      <c r="Q9292">
        <v>3.4233079999999999E-2</v>
      </c>
      <c r="R9292">
        <v>-0.89535239999999905</v>
      </c>
      <c r="S9292">
        <v>1.891815</v>
      </c>
      <c r="T9292">
        <v>-0.47714010000000001</v>
      </c>
      <c r="U9292">
        <v>-2.4371339999999999</v>
      </c>
      <c r="V9292">
        <v>-0.2403699</v>
      </c>
      <c r="W9292">
        <v>4.1623790000000001E-2</v>
      </c>
      <c r="X9292">
        <v>0.96978850000000005</v>
      </c>
      <c r="Y9292">
        <v>-0.42021629999999899</v>
      </c>
      <c r="Z9292">
        <v>0.1566015</v>
      </c>
      <c r="AA9292">
        <v>0.89380879999999996</v>
      </c>
      <c r="AB9292">
        <v>23</v>
      </c>
      <c r="AC9292">
        <v>4.3637999999999604</v>
      </c>
      <c r="AD9292">
        <v>-1.1145406464980001</v>
      </c>
      <c r="AE9292">
        <v>-5.4735100000000001</v>
      </c>
      <c r="AF9292">
        <v>-3.0007917410357199</v>
      </c>
      <c r="AG9292">
        <v>-1.1145406464980001</v>
      </c>
      <c r="AH9292">
        <v>6.1322331805941497</v>
      </c>
      <c r="AI9292">
        <v>99.271908400884797</v>
      </c>
      <c r="AJ9292">
        <v>116.074689762795</v>
      </c>
      <c r="AK9292">
        <v>6.9174587607693203</v>
      </c>
      <c r="AL9292">
        <v>87.614443278243897</v>
      </c>
      <c r="AM9292">
        <v>103.920680536774</v>
      </c>
      <c r="AN9292">
        <v>0.99999998172611104</v>
      </c>
    </row>
    <row r="9293" spans="1:40" x14ac:dyDescent="0.25">
      <c r="A9293" t="str">
        <f>"20190312150907550"</f>
        <v>20190312150907550</v>
      </c>
      <c r="B9293" t="str">
        <f>"1552374547539026"</f>
        <v>1552374547539026</v>
      </c>
      <c r="C9293" t="s">
        <v>40</v>
      </c>
      <c r="D9293">
        <v>4.5539420000000002</v>
      </c>
      <c r="E9293">
        <v>0.42217929999999998</v>
      </c>
      <c r="F9293" t="s">
        <v>73</v>
      </c>
      <c r="G9293">
        <v>-295.07010000000002</v>
      </c>
      <c r="H9293" s="1">
        <v>-4.7437370000000004E-6</v>
      </c>
      <c r="I9293">
        <v>-46.332439999999998</v>
      </c>
      <c r="J9293">
        <v>-299.45569999999998</v>
      </c>
      <c r="K9293">
        <v>1.114663</v>
      </c>
      <c r="L9293">
        <v>-40.94247</v>
      </c>
      <c r="M9293">
        <v>0.22368189999999999</v>
      </c>
      <c r="N9293">
        <v>0</v>
      </c>
      <c r="O9293">
        <v>-0.97460749999999996</v>
      </c>
      <c r="P9293">
        <v>0.45249699999999998</v>
      </c>
      <c r="Q9293">
        <v>3.3650689999999997E-2</v>
      </c>
      <c r="R9293">
        <v>-0.89113120000000001</v>
      </c>
      <c r="S9293">
        <v>1.912598</v>
      </c>
      <c r="T9293">
        <v>-0.47932599999999997</v>
      </c>
      <c r="U9293">
        <v>-2.4204409999999998</v>
      </c>
      <c r="V9293">
        <v>-0.2421585</v>
      </c>
      <c r="W9293">
        <v>4.0996339999999999E-2</v>
      </c>
      <c r="X9293">
        <v>0.96937019999999996</v>
      </c>
      <c r="Y9293">
        <v>-0.4209656</v>
      </c>
      <c r="Z9293">
        <v>0.15733359999999999</v>
      </c>
      <c r="AA9293">
        <v>0.89332749999999905</v>
      </c>
      <c r="AB9293">
        <v>23</v>
      </c>
      <c r="AC9293">
        <v>4.3855999999999504</v>
      </c>
      <c r="AD9293">
        <v>-1.1146677437369901</v>
      </c>
      <c r="AE9293">
        <v>-5.3899699999999999</v>
      </c>
      <c r="AF9293">
        <v>-2.9917786064033201</v>
      </c>
      <c r="AG9293">
        <v>-1.1146677437369901</v>
      </c>
      <c r="AH9293">
        <v>6.0780164234556597</v>
      </c>
      <c r="AI9293">
        <v>99.343738528491599</v>
      </c>
      <c r="AJ9293">
        <v>116.207768940397</v>
      </c>
      <c r="AK9293">
        <v>6.8655303547837496</v>
      </c>
      <c r="AL9293">
        <v>87.650424301369696</v>
      </c>
      <c r="AM9293">
        <v>104.02600442772</v>
      </c>
      <c r="AN9293">
        <v>1.00000001183184</v>
      </c>
    </row>
    <row r="9294" spans="1:40" x14ac:dyDescent="0.25">
      <c r="A9294" t="str">
        <f>"20190312150907571"</f>
        <v>20190312150907571</v>
      </c>
      <c r="B9294" t="str">
        <f>"1552374547558544"</f>
        <v>1552374547558544</v>
      </c>
      <c r="C9294" t="s">
        <v>40</v>
      </c>
      <c r="D9294">
        <v>4.4999339999999997</v>
      </c>
      <c r="E9294">
        <v>0.42243389999999997</v>
      </c>
      <c r="F9294" t="s">
        <v>73</v>
      </c>
      <c r="G9294">
        <v>-294.9717</v>
      </c>
      <c r="H9294" s="1">
        <v>-4.8599629999999997E-6</v>
      </c>
      <c r="I9294">
        <v>-46.51773</v>
      </c>
      <c r="J9294">
        <v>-299.40120000000002</v>
      </c>
      <c r="K9294">
        <v>1.114762</v>
      </c>
      <c r="L9294">
        <v>-41.146509999999999</v>
      </c>
      <c r="M9294">
        <v>0.2301957</v>
      </c>
      <c r="N9294">
        <v>0</v>
      </c>
      <c r="O9294">
        <v>-0.97308899999999998</v>
      </c>
      <c r="P9294">
        <v>0.46011299999999999</v>
      </c>
      <c r="Q9294">
        <v>3.2891990000000003E-2</v>
      </c>
      <c r="R9294">
        <v>-0.88725100000000001</v>
      </c>
      <c r="S9294">
        <v>1.9328000000000001</v>
      </c>
      <c r="T9294">
        <v>-0.48047440000000002</v>
      </c>
      <c r="U9294">
        <v>-2.4031980000000002</v>
      </c>
      <c r="V9294">
        <v>-0.2439723</v>
      </c>
      <c r="W9294">
        <v>4.0199720000000001E-2</v>
      </c>
      <c r="X9294">
        <v>0.9689487</v>
      </c>
      <c r="Y9294">
        <v>-0.42255890000000002</v>
      </c>
      <c r="Z9294">
        <v>0.157772</v>
      </c>
      <c r="AA9294">
        <v>0.8924976</v>
      </c>
      <c r="AB9294">
        <v>23</v>
      </c>
      <c r="AC9294">
        <v>4.4295000000000098</v>
      </c>
      <c r="AD9294">
        <v>-1.1147668599630001</v>
      </c>
      <c r="AE9294">
        <v>-5.3712200000000001</v>
      </c>
      <c r="AF9294">
        <v>-2.9971884760726502</v>
      </c>
      <c r="AG9294">
        <v>-1.1147668599630001</v>
      </c>
      <c r="AH9294">
        <v>6.0905124989330597</v>
      </c>
      <c r="AI9294">
        <v>99.326161078192996</v>
      </c>
      <c r="AJ9294">
        <v>116.202156858409</v>
      </c>
      <c r="AK9294">
        <v>6.8789669582601096</v>
      </c>
      <c r="AL9294">
        <v>87.696104996259905</v>
      </c>
      <c r="AM9294">
        <v>104.13276858011101</v>
      </c>
      <c r="AN9294">
        <v>1.00000004194352</v>
      </c>
    </row>
    <row r="9295" spans="1:40" x14ac:dyDescent="0.25">
      <c r="A9295" t="str">
        <f>"20190312150907594"</f>
        <v>20190312150907594</v>
      </c>
      <c r="B9295" t="str">
        <f>"1552374547588801"</f>
        <v>1552374547588801</v>
      </c>
      <c r="C9295" t="s">
        <v>40</v>
      </c>
      <c r="D9295">
        <v>4.5048560000000002</v>
      </c>
      <c r="E9295">
        <v>0.42291820000000002</v>
      </c>
      <c r="F9295" t="s">
        <v>73</v>
      </c>
      <c r="G9295">
        <v>-294.87990000000002</v>
      </c>
      <c r="H9295" s="1">
        <v>-4.9639229999999996E-6</v>
      </c>
      <c r="I9295">
        <v>-46.681809999999999</v>
      </c>
      <c r="J9295">
        <v>-299.33920000000001</v>
      </c>
      <c r="K9295">
        <v>1.1148709999999999</v>
      </c>
      <c r="L9295">
        <v>-41.371429999999997</v>
      </c>
      <c r="M9295">
        <v>0.23753579999999999</v>
      </c>
      <c r="N9295">
        <v>0</v>
      </c>
      <c r="O9295">
        <v>-0.97132280000000004</v>
      </c>
      <c r="P9295">
        <v>0.46852080000000002</v>
      </c>
      <c r="Q9295">
        <v>3.2779460000000003E-2</v>
      </c>
      <c r="R9295">
        <v>-0.88284399999999996</v>
      </c>
      <c r="S9295">
        <v>1.9502870000000001</v>
      </c>
      <c r="T9295">
        <v>-0.48086380000000001</v>
      </c>
      <c r="U9295">
        <v>-2.3876949999999999</v>
      </c>
      <c r="V9295">
        <v>-0.24586959999999999</v>
      </c>
      <c r="W9295">
        <v>4.0045820000000003E-2</v>
      </c>
      <c r="X9295">
        <v>0.96847530000000004</v>
      </c>
      <c r="Y9295">
        <v>-0.42247560000000001</v>
      </c>
      <c r="Z9295">
        <v>0.15793099999999999</v>
      </c>
      <c r="AA9295">
        <v>0.89250890000000005</v>
      </c>
      <c r="AB9295">
        <v>23</v>
      </c>
      <c r="AC9295">
        <v>4.4592999999999803</v>
      </c>
      <c r="AD9295">
        <v>-1.1148759639229999</v>
      </c>
      <c r="AE9295">
        <v>-5.3103800000000003</v>
      </c>
      <c r="AF9295">
        <v>-2.99282077868124</v>
      </c>
      <c r="AG9295">
        <v>-1.1148759639229999</v>
      </c>
      <c r="AH9295">
        <v>6.06100546400243</v>
      </c>
      <c r="AI9295">
        <v>99.365548032216495</v>
      </c>
      <c r="AJ9295">
        <v>116.279371648603</v>
      </c>
      <c r="AK9295">
        <v>6.8509643016809498</v>
      </c>
      <c r="AL9295">
        <v>87.7049297511833</v>
      </c>
      <c r="AM9295">
        <v>104.244898403175</v>
      </c>
      <c r="AN9295">
        <v>0.99999996730686003</v>
      </c>
    </row>
    <row r="9296" spans="1:40" x14ac:dyDescent="0.25">
      <c r="A9296" t="str">
        <f>"20190312150907618"</f>
        <v>20190312150907618</v>
      </c>
      <c r="B9296" t="str">
        <f>"1552374547609299"</f>
        <v>1552374547609299</v>
      </c>
      <c r="C9296" t="s">
        <v>40</v>
      </c>
      <c r="D9296">
        <v>4.5172829999999999</v>
      </c>
      <c r="E9296">
        <v>0.42331970000000002</v>
      </c>
      <c r="F9296" t="s">
        <v>73</v>
      </c>
      <c r="G9296">
        <v>-294.74700000000001</v>
      </c>
      <c r="H9296" s="1">
        <v>-5.1048120000000001E-6</v>
      </c>
      <c r="I9296">
        <v>-46.900509999999997</v>
      </c>
      <c r="J9296">
        <v>-299.2715</v>
      </c>
      <c r="K9296">
        <v>1.1149830000000001</v>
      </c>
      <c r="L9296">
        <v>-41.609409999999997</v>
      </c>
      <c r="M9296">
        <v>0.2454779</v>
      </c>
      <c r="N9296">
        <v>0</v>
      </c>
      <c r="O9296">
        <v>-0.96934560000000003</v>
      </c>
      <c r="P9296">
        <v>0.4774253</v>
      </c>
      <c r="Q9296">
        <v>3.281452E-2</v>
      </c>
      <c r="R9296">
        <v>-0.87805959999999905</v>
      </c>
      <c r="S9296">
        <v>1.969147</v>
      </c>
      <c r="T9296">
        <v>-0.47806140000000003</v>
      </c>
      <c r="U9296">
        <v>-2.3708800000000001</v>
      </c>
      <c r="V9296">
        <v>-0.24774969999999999</v>
      </c>
      <c r="W9296">
        <v>4.0035340000000003E-2</v>
      </c>
      <c r="X9296">
        <v>0.96799650000000004</v>
      </c>
      <c r="Y9296">
        <v>-0.42247790000000002</v>
      </c>
      <c r="Z9296">
        <v>0.157053</v>
      </c>
      <c r="AA9296">
        <v>0.89266279999999998</v>
      </c>
      <c r="AB9296">
        <v>23</v>
      </c>
      <c r="AC9296">
        <v>4.5244999999999802</v>
      </c>
      <c r="AD9296">
        <v>-1.1149881048119901</v>
      </c>
      <c r="AE9296">
        <v>-5.2911000000000001</v>
      </c>
      <c r="AF9296">
        <v>-3.0099194694593598</v>
      </c>
      <c r="AG9296">
        <v>-1.1149881048119901</v>
      </c>
      <c r="AH9296">
        <v>6.0838575922609497</v>
      </c>
      <c r="AI9296">
        <v>99.3284312667286</v>
      </c>
      <c r="AJ9296">
        <v>116.323381313637</v>
      </c>
      <c r="AK9296">
        <v>6.8786726110067198</v>
      </c>
      <c r="AL9296">
        <v>87.705530729278806</v>
      </c>
      <c r="AM9296">
        <v>104.35614773117599</v>
      </c>
      <c r="AN9296">
        <v>0.99999998315562699</v>
      </c>
    </row>
    <row r="9297" spans="1:40" x14ac:dyDescent="0.25">
      <c r="A9297" t="str">
        <f>"20190312150907638"</f>
        <v>20190312150907638</v>
      </c>
      <c r="B9297" t="str">
        <f>"1552374547628817"</f>
        <v>1552374547628817</v>
      </c>
      <c r="C9297" t="s">
        <v>40</v>
      </c>
      <c r="D9297">
        <v>4.4814699999999998</v>
      </c>
      <c r="E9297">
        <v>0.4237938</v>
      </c>
      <c r="F9297" t="s">
        <v>73</v>
      </c>
      <c r="G9297">
        <v>-294.62830000000002</v>
      </c>
      <c r="H9297" s="1">
        <v>-5.2310039999999997E-6</v>
      </c>
      <c r="I9297">
        <v>-47.096510000000002</v>
      </c>
      <c r="J9297">
        <v>-299.21170000000001</v>
      </c>
      <c r="K9297">
        <v>1.115086</v>
      </c>
      <c r="L9297">
        <v>-41.813420000000001</v>
      </c>
      <c r="M9297">
        <v>0.25243080000000001</v>
      </c>
      <c r="N9297">
        <v>0</v>
      </c>
      <c r="O9297">
        <v>-0.96755780000000002</v>
      </c>
      <c r="P9297">
        <v>0.48562880000000003</v>
      </c>
      <c r="Q9297">
        <v>3.2719249999999998E-2</v>
      </c>
      <c r="R9297">
        <v>-0.87355249999999995</v>
      </c>
      <c r="S9297">
        <v>1.9904790000000001</v>
      </c>
      <c r="T9297">
        <v>-0.47797800000000001</v>
      </c>
      <c r="U9297">
        <v>-2.3522340000000002</v>
      </c>
      <c r="V9297">
        <v>-0.24987519999999999</v>
      </c>
      <c r="W9297">
        <v>3.9891450000000002E-2</v>
      </c>
      <c r="X9297">
        <v>0.96745599999999998</v>
      </c>
      <c r="Y9297">
        <v>-0.42419220000000002</v>
      </c>
      <c r="Z9297">
        <v>0.1570616</v>
      </c>
      <c r="AA9297">
        <v>0.89184779999999997</v>
      </c>
      <c r="AB9297">
        <v>23</v>
      </c>
      <c r="AC9297">
        <v>4.5833999999999797</v>
      </c>
      <c r="AD9297">
        <v>-1.115091231004</v>
      </c>
      <c r="AE9297">
        <v>-5.2830899999999898</v>
      </c>
      <c r="AF9297">
        <v>-3.0243864627492298</v>
      </c>
      <c r="AG9297">
        <v>-1.115091231004</v>
      </c>
      <c r="AH9297">
        <v>6.1136346237581796</v>
      </c>
      <c r="AI9297">
        <v>99.284790028514607</v>
      </c>
      <c r="AJ9297">
        <v>116.321387195355</v>
      </c>
      <c r="AK9297">
        <v>6.9113580606374097</v>
      </c>
      <c r="AL9297">
        <v>87.713781712172604</v>
      </c>
      <c r="AM9297">
        <v>104.481905803563</v>
      </c>
      <c r="AN9297">
        <v>1.00000002764707</v>
      </c>
    </row>
    <row r="9298" spans="1:40" x14ac:dyDescent="0.25">
      <c r="A9298" t="str">
        <f>"20190312150907661"</f>
        <v>20190312150907661</v>
      </c>
      <c r="B9298" t="str">
        <f>"1552374547649313"</f>
        <v>1552374547649313</v>
      </c>
      <c r="C9298" t="s">
        <v>40</v>
      </c>
      <c r="D9298">
        <v>4.5153990000000004</v>
      </c>
      <c r="E9298">
        <v>0.42420760000000002</v>
      </c>
      <c r="F9298" t="s">
        <v>73</v>
      </c>
      <c r="G9298">
        <v>-294.5342</v>
      </c>
      <c r="H9298" s="1">
        <v>-5.3304520000000004E-6</v>
      </c>
      <c r="I9298">
        <v>-47.250720000000001</v>
      </c>
      <c r="J9298">
        <v>-299.14530000000002</v>
      </c>
      <c r="K9298">
        <v>1.1151960000000001</v>
      </c>
      <c r="L9298">
        <v>-42.033140000000003</v>
      </c>
      <c r="M9298">
        <v>0.26006279999999998</v>
      </c>
      <c r="N9298">
        <v>0</v>
      </c>
      <c r="O9298">
        <v>-0.965534</v>
      </c>
      <c r="P9298">
        <v>0.4937819</v>
      </c>
      <c r="Q9298">
        <v>3.2635150000000002E-2</v>
      </c>
      <c r="R9298">
        <v>-0.86897329999999995</v>
      </c>
      <c r="S9298">
        <v>2.0090029999999999</v>
      </c>
      <c r="T9298">
        <v>-0.47893239999999998</v>
      </c>
      <c r="U9298">
        <v>-2.3353269999999999</v>
      </c>
      <c r="V9298">
        <v>-0.25129839999999998</v>
      </c>
      <c r="W9298">
        <v>3.97671E-2</v>
      </c>
      <c r="X9298">
        <v>0.96709239999999996</v>
      </c>
      <c r="Y9298">
        <v>-0.42428329999999997</v>
      </c>
      <c r="Z9298">
        <v>0.15736839999999999</v>
      </c>
      <c r="AA9298">
        <v>0.891750499999999</v>
      </c>
      <c r="AB9298">
        <v>23</v>
      </c>
      <c r="AC9298">
        <v>4.61110000000002</v>
      </c>
      <c r="AD9298">
        <v>-1.1152013304520001</v>
      </c>
      <c r="AE9298">
        <v>-5.2175799999999901</v>
      </c>
      <c r="AF9298">
        <v>-3.0180337843251999</v>
      </c>
      <c r="AG9298">
        <v>-1.1152013304520001</v>
      </c>
      <c r="AH9298">
        <v>6.0812860154024504</v>
      </c>
      <c r="AI9298">
        <v>99.328430686755794</v>
      </c>
      <c r="AJ9298">
        <v>116.394384833183</v>
      </c>
      <c r="AK9298">
        <v>6.8799884834132996</v>
      </c>
      <c r="AL9298">
        <v>87.720912057861199</v>
      </c>
      <c r="AM9298">
        <v>104.566134642224</v>
      </c>
      <c r="AN9298">
        <v>1.0000000091113601</v>
      </c>
    </row>
    <row r="9299" spans="1:40" x14ac:dyDescent="0.25">
      <c r="A9299" t="str">
        <f>"20190312150907683"</f>
        <v>20190312150907683</v>
      </c>
      <c r="B9299" t="str">
        <f>"1552374547678593"</f>
        <v>1552374547678593</v>
      </c>
      <c r="C9299" t="s">
        <v>40</v>
      </c>
      <c r="D9299">
        <v>4.5239839999999996</v>
      </c>
      <c r="E9299">
        <v>0.4248902</v>
      </c>
      <c r="F9299" t="s">
        <v>73</v>
      </c>
      <c r="G9299">
        <v>-294.41489999999999</v>
      </c>
      <c r="H9299" s="1">
        <v>-5.4536249999999998E-6</v>
      </c>
      <c r="I9299">
        <v>-47.440559999999998</v>
      </c>
      <c r="J9299">
        <v>-299.07709999999997</v>
      </c>
      <c r="K9299">
        <v>1.115302</v>
      </c>
      <c r="L9299">
        <v>-42.252229999999997</v>
      </c>
      <c r="M9299">
        <v>0.26781820000000001</v>
      </c>
      <c r="N9299">
        <v>0</v>
      </c>
      <c r="O9299">
        <v>-0.96341120000000002</v>
      </c>
      <c r="P9299">
        <v>0.5011871</v>
      </c>
      <c r="Q9299">
        <v>3.2900230000000003E-2</v>
      </c>
      <c r="R9299">
        <v>-0.86471350000000002</v>
      </c>
      <c r="S9299">
        <v>2.0278019999999999</v>
      </c>
      <c r="T9299">
        <v>-0.47805890000000001</v>
      </c>
      <c r="U9299">
        <v>-2.3180239999999999</v>
      </c>
      <c r="V9299">
        <v>-0.25180089999999999</v>
      </c>
      <c r="W9299">
        <v>4.0006750000000001E-2</v>
      </c>
      <c r="X9299">
        <v>0.96695180000000003</v>
      </c>
      <c r="Y9299">
        <v>-0.42444559999999998</v>
      </c>
      <c r="Z9299">
        <v>0.15707449999999901</v>
      </c>
      <c r="AA9299">
        <v>0.89172499999999999</v>
      </c>
      <c r="AB9299">
        <v>23</v>
      </c>
      <c r="AC9299">
        <v>4.6621999999999799</v>
      </c>
      <c r="AD9299">
        <v>-1.1153074536250001</v>
      </c>
      <c r="AE9299">
        <v>-5.1883299999999997</v>
      </c>
      <c r="AF9299">
        <v>-3.0249253968167902</v>
      </c>
      <c r="AG9299">
        <v>-1.1153074536250001</v>
      </c>
      <c r="AH9299">
        <v>6.0917268543320002</v>
      </c>
      <c r="AI9299">
        <v>99.312570401660196</v>
      </c>
      <c r="AJ9299">
        <v>116.407288442443</v>
      </c>
      <c r="AK9299">
        <v>6.8922580073738002</v>
      </c>
      <c r="AL9299">
        <v>87.707170186992101</v>
      </c>
      <c r="AM9299">
        <v>104.596050326873</v>
      </c>
      <c r="AN9299">
        <v>1.0000000084048</v>
      </c>
    </row>
    <row r="9300" spans="1:40" x14ac:dyDescent="0.25">
      <c r="A9300" t="str">
        <f>"20190312150907705"</f>
        <v>20190312150907705</v>
      </c>
      <c r="B9300" t="str">
        <f>"1552374547699089"</f>
        <v>1552374547699089</v>
      </c>
      <c r="C9300" t="s">
        <v>40</v>
      </c>
      <c r="D9300">
        <v>4.5609970000000004</v>
      </c>
      <c r="E9300">
        <v>0.42533460000000001</v>
      </c>
      <c r="F9300" t="s">
        <v>73</v>
      </c>
      <c r="G9300">
        <v>-294.28199999999998</v>
      </c>
      <c r="H9300" s="1">
        <v>-5.5788139999999998E-6</v>
      </c>
      <c r="I9300">
        <v>-47.657020000000003</v>
      </c>
      <c r="J9300">
        <v>-299.005</v>
      </c>
      <c r="K9300">
        <v>1.1154120000000001</v>
      </c>
      <c r="L9300">
        <v>-42.476439999999997</v>
      </c>
      <c r="M9300">
        <v>0.27590479999999901</v>
      </c>
      <c r="N9300">
        <v>0</v>
      </c>
      <c r="O9300">
        <v>-0.96112569999999997</v>
      </c>
      <c r="P9300">
        <v>0.50897130000000002</v>
      </c>
      <c r="Q9300">
        <v>3.2356580000000003E-2</v>
      </c>
      <c r="R9300">
        <v>-0.86017520000000003</v>
      </c>
      <c r="S9300">
        <v>2.0433349999999999</v>
      </c>
      <c r="T9300">
        <v>-0.47526970000000002</v>
      </c>
      <c r="U9300">
        <v>-2.3031619999999999</v>
      </c>
      <c r="V9300">
        <v>-0.25240089999999998</v>
      </c>
      <c r="W9300">
        <v>3.9438809999999998E-2</v>
      </c>
      <c r="X9300">
        <v>0.96681870000000003</v>
      </c>
      <c r="Y9300">
        <v>-0.423176</v>
      </c>
      <c r="Z9300">
        <v>0.15612290000000001</v>
      </c>
      <c r="AA9300">
        <v>0.89249519999999904</v>
      </c>
      <c r="AB9300">
        <v>23</v>
      </c>
      <c r="AC9300">
        <v>4.7230000000000096</v>
      </c>
      <c r="AD9300">
        <v>-1.1154175788139999</v>
      </c>
      <c r="AE9300">
        <v>-5.1805799999999902</v>
      </c>
      <c r="AF9300">
        <v>-3.03343270905573</v>
      </c>
      <c r="AG9300">
        <v>-1.1154175788139999</v>
      </c>
      <c r="AH9300">
        <v>6.1275207769285798</v>
      </c>
      <c r="AI9300">
        <v>99.265492479494</v>
      </c>
      <c r="AJ9300">
        <v>116.337737596171</v>
      </c>
      <c r="AK9300">
        <v>6.9276533723323599</v>
      </c>
      <c r="AL9300">
        <v>87.739736473459104</v>
      </c>
      <c r="AM9300">
        <v>104.63126750535299</v>
      </c>
      <c r="AN9300">
        <v>1.0000000163623499</v>
      </c>
    </row>
    <row r="9301" spans="1:40" x14ac:dyDescent="0.25">
      <c r="A9301" t="str">
        <f>"20190312150907729"</f>
        <v>20190312150907729</v>
      </c>
      <c r="B9301" t="str">
        <f>"1552374547718609"</f>
        <v>1552374547718609</v>
      </c>
      <c r="C9301" t="s">
        <v>40</v>
      </c>
      <c r="D9301">
        <v>4.5099629999999999</v>
      </c>
      <c r="E9301">
        <v>0.42577039999999999</v>
      </c>
      <c r="F9301" t="s">
        <v>73</v>
      </c>
      <c r="G9301">
        <v>-294.19130000000001</v>
      </c>
      <c r="H9301" s="1">
        <v>-5.6530760000000003E-6</v>
      </c>
      <c r="I9301">
        <v>-47.815820000000002</v>
      </c>
      <c r="J9301">
        <v>-298.92700000000002</v>
      </c>
      <c r="K9301">
        <v>1.115516</v>
      </c>
      <c r="L9301">
        <v>-42.711179999999999</v>
      </c>
      <c r="M9301">
        <v>0.28453509999999999</v>
      </c>
      <c r="N9301">
        <v>0</v>
      </c>
      <c r="O9301">
        <v>-0.95860559999999995</v>
      </c>
      <c r="P9301">
        <v>0.51699010000000001</v>
      </c>
      <c r="Q9301">
        <v>3.2150570000000003E-2</v>
      </c>
      <c r="R9301">
        <v>-0.85538740000000002</v>
      </c>
      <c r="S9301">
        <v>2.061035</v>
      </c>
      <c r="T9301">
        <v>-0.4775761</v>
      </c>
      <c r="U9301">
        <v>-2.2861020000000001</v>
      </c>
      <c r="V9301">
        <v>-0.25275199999999998</v>
      </c>
      <c r="W9301">
        <v>3.922059E-2</v>
      </c>
      <c r="X9301">
        <v>0.96673580000000003</v>
      </c>
      <c r="Y9301">
        <v>-0.42209639999999998</v>
      </c>
      <c r="Z9301">
        <v>0.15679679999999999</v>
      </c>
      <c r="AA9301">
        <v>0.89288819999999902</v>
      </c>
      <c r="AB9301">
        <v>24</v>
      </c>
      <c r="AC9301">
        <v>4.7356999999999996</v>
      </c>
      <c r="AD9301">
        <v>-1.1155216530759999</v>
      </c>
      <c r="AE9301">
        <v>-5.1046399999999998</v>
      </c>
      <c r="AF9301">
        <v>-3.0101391464065599</v>
      </c>
      <c r="AG9301">
        <v>-1.1155216530759999</v>
      </c>
      <c r="AH9301">
        <v>6.0849919692305603</v>
      </c>
      <c r="AI9301">
        <v>99.331311878684801</v>
      </c>
      <c r="AJ9301">
        <v>116.320797684962</v>
      </c>
      <c r="AK9301">
        <v>6.8798585381395103</v>
      </c>
      <c r="AL9301">
        <v>87.752249129883296</v>
      </c>
      <c r="AM9301">
        <v>104.651947408417</v>
      </c>
      <c r="AN9301">
        <v>0.99999996759279297</v>
      </c>
    </row>
    <row r="9302" spans="1:40" x14ac:dyDescent="0.25">
      <c r="A9302" t="str">
        <f>"20190312150907750"</f>
        <v>20190312150907750</v>
      </c>
      <c r="B9302" t="str">
        <f>"1552374547739105"</f>
        <v>1552374547739105</v>
      </c>
      <c r="C9302" t="s">
        <v>40</v>
      </c>
      <c r="D9302">
        <v>4.5511480000000004</v>
      </c>
      <c r="E9302">
        <v>0.42614800000000003</v>
      </c>
      <c r="F9302" t="s">
        <v>73</v>
      </c>
      <c r="G9302">
        <v>-294.0616</v>
      </c>
      <c r="H9302" s="1">
        <v>-5.7495889999999999E-6</v>
      </c>
      <c r="I9302">
        <v>-48.01728</v>
      </c>
      <c r="J9302">
        <v>-298.85489999999999</v>
      </c>
      <c r="K9302">
        <v>1.1155969999999999</v>
      </c>
      <c r="L9302">
        <v>-42.921810000000001</v>
      </c>
      <c r="M9302">
        <v>0.2923906</v>
      </c>
      <c r="N9302">
        <v>0</v>
      </c>
      <c r="O9302">
        <v>-0.95623840000000004</v>
      </c>
      <c r="P9302">
        <v>0.5234432</v>
      </c>
      <c r="Q9302">
        <v>3.163974E-2</v>
      </c>
      <c r="R9302">
        <v>-0.85147320000000004</v>
      </c>
      <c r="S9302">
        <v>2.0797729999999999</v>
      </c>
      <c r="T9302">
        <v>-0.47683750000000003</v>
      </c>
      <c r="U9302">
        <v>-2.2681269999999998</v>
      </c>
      <c r="V9302">
        <v>-0.25212580000000001</v>
      </c>
      <c r="W9302">
        <v>3.8721239999999997E-2</v>
      </c>
      <c r="X9302">
        <v>0.96691950000000004</v>
      </c>
      <c r="Y9302">
        <v>-0.42223769999999999</v>
      </c>
      <c r="Z9302">
        <v>0.15650810000000001</v>
      </c>
      <c r="AA9302">
        <v>0.89287209999999995</v>
      </c>
      <c r="AB9302">
        <v>24</v>
      </c>
      <c r="AC9302">
        <v>4.7932999999999799</v>
      </c>
      <c r="AD9302">
        <v>-1.115602749589</v>
      </c>
      <c r="AE9302">
        <v>-5.09546999999999</v>
      </c>
      <c r="AF9302">
        <v>-3.0171215407782301</v>
      </c>
      <c r="AG9302">
        <v>-1.115602749589</v>
      </c>
      <c r="AH9302">
        <v>6.1187587632348999</v>
      </c>
      <c r="AI9302">
        <v>99.287132433480807</v>
      </c>
      <c r="AJ9302">
        <v>116.24761709710199</v>
      </c>
      <c r="AK9302">
        <v>6.9127997721171104</v>
      </c>
      <c r="AL9302">
        <v>87.780881682261395</v>
      </c>
      <c r="AM9302">
        <v>104.614545181856</v>
      </c>
      <c r="AN9302">
        <v>1.00000003646651</v>
      </c>
    </row>
    <row r="9303" spans="1:40" x14ac:dyDescent="0.25">
      <c r="A9303" t="str">
        <f>"20190312150907772"</f>
        <v>20190312150907772</v>
      </c>
      <c r="B9303" t="str">
        <f>"1552374547769360"</f>
        <v>1552374547769360</v>
      </c>
      <c r="C9303" t="s">
        <v>40</v>
      </c>
      <c r="D9303">
        <v>4.5135449999999997</v>
      </c>
      <c r="E9303">
        <v>0.42689779999999999</v>
      </c>
      <c r="F9303" t="s">
        <v>73</v>
      </c>
      <c r="G9303">
        <v>-293.96620000000001</v>
      </c>
      <c r="H9303" s="1">
        <v>-5.8268809999999998E-6</v>
      </c>
      <c r="I9303">
        <v>-48.18215</v>
      </c>
      <c r="J9303">
        <v>-298.7817</v>
      </c>
      <c r="K9303">
        <v>1.1156600000000001</v>
      </c>
      <c r="L9303">
        <v>-43.129820000000002</v>
      </c>
      <c r="M9303">
        <v>0.3002474</v>
      </c>
      <c r="N9303">
        <v>0</v>
      </c>
      <c r="O9303">
        <v>-0.95379999999999998</v>
      </c>
      <c r="P9303">
        <v>0.53033379999999997</v>
      </c>
      <c r="Q9303">
        <v>3.1270039999999999E-2</v>
      </c>
      <c r="R9303">
        <v>-0.84721219999999997</v>
      </c>
      <c r="S9303">
        <v>2.0943299999999998</v>
      </c>
      <c r="T9303">
        <v>-0.47792639999999997</v>
      </c>
      <c r="U9303">
        <v>-2.2535400000000001</v>
      </c>
      <c r="V9303">
        <v>-0.25201309999999999</v>
      </c>
      <c r="W9303">
        <v>3.835769E-2</v>
      </c>
      <c r="X9303">
        <v>0.96696340000000003</v>
      </c>
      <c r="Y9303">
        <v>-0.42074210000000001</v>
      </c>
      <c r="Z9303">
        <v>0.15675899999999901</v>
      </c>
      <c r="AA9303">
        <v>0.89353379999999905</v>
      </c>
      <c r="AB9303">
        <v>24</v>
      </c>
      <c r="AC9303">
        <v>4.8154999999999797</v>
      </c>
      <c r="AD9303">
        <v>-1.115665826881</v>
      </c>
      <c r="AE9303">
        <v>-5.0523299999999898</v>
      </c>
      <c r="AF9303">
        <v>-2.9996124504967798</v>
      </c>
      <c r="AG9303">
        <v>-1.115665826881</v>
      </c>
      <c r="AH9303">
        <v>6.10902969128776</v>
      </c>
      <c r="AI9303">
        <v>99.3097179370031</v>
      </c>
      <c r="AJ9303">
        <v>116.15163433249499</v>
      </c>
      <c r="AK9303">
        <v>6.8965664543655896</v>
      </c>
      <c r="AL9303">
        <v>87.801727113558897</v>
      </c>
      <c r="AM9303">
        <v>104.60765715761799</v>
      </c>
      <c r="AN9303">
        <v>1.0000000659466499</v>
      </c>
    </row>
    <row r="9304" spans="1:40" x14ac:dyDescent="0.25">
      <c r="A9304" t="str">
        <f>"20190312150907796"</f>
        <v>20190312150907796</v>
      </c>
      <c r="B9304" t="str">
        <f>"1552374547788881"</f>
        <v>1552374547788881</v>
      </c>
      <c r="C9304" t="s">
        <v>40</v>
      </c>
      <c r="D9304">
        <v>4.5341259999999997</v>
      </c>
      <c r="E9304">
        <v>0.42743239999999999</v>
      </c>
      <c r="F9304" t="s">
        <v>73</v>
      </c>
      <c r="G9304">
        <v>-293.84989999999999</v>
      </c>
      <c r="H9304" s="1">
        <v>-5.9171170000000003E-6</v>
      </c>
      <c r="I9304">
        <v>-48.372570000000003</v>
      </c>
      <c r="J9304">
        <v>-298.70139999999998</v>
      </c>
      <c r="K9304">
        <v>1.11574</v>
      </c>
      <c r="L9304">
        <v>-43.351900000000001</v>
      </c>
      <c r="M9304">
        <v>0.308751</v>
      </c>
      <c r="N9304">
        <v>0</v>
      </c>
      <c r="O9304">
        <v>-0.9510807</v>
      </c>
      <c r="P9304">
        <v>0.53712669999999996</v>
      </c>
      <c r="Q9304">
        <v>3.030737E-2</v>
      </c>
      <c r="R9304">
        <v>-0.84295710000000001</v>
      </c>
      <c r="S9304">
        <v>2.1069339999999999</v>
      </c>
      <c r="T9304">
        <v>-0.47662179999999998</v>
      </c>
      <c r="U9304">
        <v>-2.2397459999999998</v>
      </c>
      <c r="V9304">
        <v>-0.25113590000000002</v>
      </c>
      <c r="W9304">
        <v>3.7412800000000003E-2</v>
      </c>
      <c r="X9304">
        <v>0.96722850000000005</v>
      </c>
      <c r="Y9304">
        <v>-0.41812759999999999</v>
      </c>
      <c r="Z9304">
        <v>0.1562191</v>
      </c>
      <c r="AA9304">
        <v>0.894854699999999</v>
      </c>
      <c r="AB9304">
        <v>24</v>
      </c>
      <c r="AC9304">
        <v>4.8514999999999802</v>
      </c>
      <c r="AD9304">
        <v>-1.1157459171170001</v>
      </c>
      <c r="AE9304">
        <v>-5.02067</v>
      </c>
      <c r="AF9304">
        <v>-2.9879036530407301</v>
      </c>
      <c r="AG9304">
        <v>-1.1157459171170001</v>
      </c>
      <c r="AH9304">
        <v>6.11711259961658</v>
      </c>
      <c r="AI9304">
        <v>99.307540261704602</v>
      </c>
      <c r="AJ9304">
        <v>116.03319623892099</v>
      </c>
      <c r="AK9304">
        <v>6.8986610112256797</v>
      </c>
      <c r="AL9304">
        <v>87.855903997526795</v>
      </c>
      <c r="AM9304">
        <v>104.555154485518</v>
      </c>
      <c r="AN9304">
        <v>0.99999996454244899</v>
      </c>
    </row>
    <row r="9305" spans="1:40" x14ac:dyDescent="0.25">
      <c r="A9305" t="str">
        <f>"20190312150907817"</f>
        <v>20190312150907817</v>
      </c>
      <c r="B9305" t="str">
        <f>"1552374547809377"</f>
        <v>1552374547809377</v>
      </c>
      <c r="C9305" t="s">
        <v>40</v>
      </c>
      <c r="D9305">
        <v>4.5395469999999998</v>
      </c>
      <c r="E9305">
        <v>0.42796089999999998</v>
      </c>
      <c r="F9305" t="s">
        <v>73</v>
      </c>
      <c r="G9305">
        <v>-293.7663</v>
      </c>
      <c r="H9305" s="1">
        <v>-5.9891479999999996E-6</v>
      </c>
      <c r="I9305">
        <v>-48.528419999999997</v>
      </c>
      <c r="J9305">
        <v>-298.61930000000001</v>
      </c>
      <c r="K9305">
        <v>1.11582</v>
      </c>
      <c r="L9305">
        <v>-43.572049999999997</v>
      </c>
      <c r="M9305">
        <v>0.31729449999999998</v>
      </c>
      <c r="N9305">
        <v>0</v>
      </c>
      <c r="O9305">
        <v>-0.94826410000000005</v>
      </c>
      <c r="P9305">
        <v>0.54353949999999995</v>
      </c>
      <c r="Q9305">
        <v>2.907407E-2</v>
      </c>
      <c r="R9305">
        <v>-0.83887999999999996</v>
      </c>
      <c r="S9305">
        <v>2.1209410000000002</v>
      </c>
      <c r="T9305">
        <v>-0.47951169999999999</v>
      </c>
      <c r="U9305">
        <v>-2.224701</v>
      </c>
      <c r="V9305">
        <v>-0.24978610000000001</v>
      </c>
      <c r="W9305">
        <v>3.620483E-2</v>
      </c>
      <c r="X9305">
        <v>0.96762389999999998</v>
      </c>
      <c r="Y9305">
        <v>-0.41585090000000002</v>
      </c>
      <c r="Z9305">
        <v>0.15700749999999999</v>
      </c>
      <c r="AA9305">
        <v>0.89577719999999905</v>
      </c>
      <c r="AB9305">
        <v>24</v>
      </c>
      <c r="AC9305">
        <v>4.8529999999999998</v>
      </c>
      <c r="AD9305">
        <v>-1.115825989148</v>
      </c>
      <c r="AE9305">
        <v>-4.9563699999999997</v>
      </c>
      <c r="AF9305">
        <v>-2.9530649089011902</v>
      </c>
      <c r="AG9305">
        <v>-1.115825989148</v>
      </c>
      <c r="AH9305">
        <v>6.0827548090983896</v>
      </c>
      <c r="AI9305">
        <v>99.370594136844105</v>
      </c>
      <c r="AJ9305">
        <v>115.895715177412</v>
      </c>
      <c r="AK9305">
        <v>6.8531427872072896</v>
      </c>
      <c r="AL9305">
        <v>87.925162488730095</v>
      </c>
      <c r="AM9305">
        <v>104.474552428264</v>
      </c>
      <c r="AN9305">
        <v>0.99999994865987296</v>
      </c>
    </row>
    <row r="9306" spans="1:40" x14ac:dyDescent="0.25">
      <c r="A9306" t="str">
        <f>"20190312150907838"</f>
        <v>20190312150907838</v>
      </c>
      <c r="B9306" t="str">
        <f>"1552374547828897"</f>
        <v>1552374547828897</v>
      </c>
      <c r="C9306" t="s">
        <v>40</v>
      </c>
      <c r="D9306">
        <v>4.5855189999999997</v>
      </c>
      <c r="E9306">
        <v>0.4284792</v>
      </c>
      <c r="F9306" t="s">
        <v>73</v>
      </c>
      <c r="G9306">
        <v>-293.67219999999998</v>
      </c>
      <c r="H9306" s="1">
        <v>-6.0670609999999999E-6</v>
      </c>
      <c r="I9306">
        <v>-48.695459999999997</v>
      </c>
      <c r="J9306">
        <v>-298.53829999999999</v>
      </c>
      <c r="K9306">
        <v>1.1158969999999999</v>
      </c>
      <c r="L9306">
        <v>-43.783569999999997</v>
      </c>
      <c r="M9306">
        <v>0.325605599999999</v>
      </c>
      <c r="N9306">
        <v>0</v>
      </c>
      <c r="O9306">
        <v>-0.94544209999999995</v>
      </c>
      <c r="P9306">
        <v>0.54991369999999995</v>
      </c>
      <c r="Q9306">
        <v>2.9275530000000001E-2</v>
      </c>
      <c r="R9306">
        <v>-0.83470859999999902</v>
      </c>
      <c r="S9306">
        <v>2.1340940000000002</v>
      </c>
      <c r="T9306">
        <v>-0.48134690000000002</v>
      </c>
      <c r="U9306">
        <v>-2.2101440000000001</v>
      </c>
      <c r="V9306">
        <v>-0.24867520000000001</v>
      </c>
      <c r="W9306">
        <v>3.6427370000000001E-2</v>
      </c>
      <c r="X9306">
        <v>0.96790169999999998</v>
      </c>
      <c r="Y9306">
        <v>-0.41353380000000001</v>
      </c>
      <c r="Z9306">
        <v>0.15744830000000001</v>
      </c>
      <c r="AA9306">
        <v>0.89677180000000001</v>
      </c>
      <c r="AB9306">
        <v>24</v>
      </c>
      <c r="AC9306">
        <v>4.8661000000000101</v>
      </c>
      <c r="AD9306">
        <v>-1.115903067061</v>
      </c>
      <c r="AE9306">
        <v>-4.9118899999999899</v>
      </c>
      <c r="AF9306">
        <v>-2.9252601965818501</v>
      </c>
      <c r="AG9306">
        <v>-1.115903067061</v>
      </c>
      <c r="AH9306">
        <v>6.07058491086344</v>
      </c>
      <c r="AI9306">
        <v>99.402730416920207</v>
      </c>
      <c r="AJ9306">
        <v>115.72823240062201</v>
      </c>
      <c r="AK9306">
        <v>6.8304017475390904</v>
      </c>
      <c r="AL9306">
        <v>87.912403585701497</v>
      </c>
      <c r="AM9306">
        <v>104.408900891082</v>
      </c>
      <c r="AN9306">
        <v>1.0000000046215201</v>
      </c>
    </row>
    <row r="9307" spans="1:40" x14ac:dyDescent="0.25">
      <c r="A9307" t="str">
        <f>"20190312150907862"</f>
        <v>20190312150907862</v>
      </c>
      <c r="B9307" t="str">
        <f>"1552374547859153"</f>
        <v>1552374547859153</v>
      </c>
      <c r="C9307" t="s">
        <v>40</v>
      </c>
      <c r="D9307">
        <v>4.5707490000000002</v>
      </c>
      <c r="E9307">
        <v>0.42903910000000001</v>
      </c>
      <c r="F9307" t="s">
        <v>73</v>
      </c>
      <c r="G9307">
        <v>-293.55079999999998</v>
      </c>
      <c r="H9307" s="1">
        <v>-6.1566709999999997E-6</v>
      </c>
      <c r="I9307">
        <v>-48.882129999999997</v>
      </c>
      <c r="J9307">
        <v>-298.45179999999999</v>
      </c>
      <c r="K9307">
        <v>1.1159790000000001</v>
      </c>
      <c r="L9307">
        <v>-44.00311</v>
      </c>
      <c r="M9307">
        <v>0.33433359999999901</v>
      </c>
      <c r="N9307">
        <v>0</v>
      </c>
      <c r="O9307">
        <v>-0.94239030000000001</v>
      </c>
      <c r="P9307">
        <v>0.55770900000000001</v>
      </c>
      <c r="Q9307">
        <v>2.9308460000000001E-2</v>
      </c>
      <c r="R9307">
        <v>-0.82951919999999901</v>
      </c>
      <c r="S9307">
        <v>2.14798</v>
      </c>
      <c r="T9307">
        <v>-0.4805873</v>
      </c>
      <c r="U9307">
        <v>-2.1958009999999999</v>
      </c>
      <c r="V9307">
        <v>-0.24880140000000001</v>
      </c>
      <c r="W9307">
        <v>3.6460729999999997E-2</v>
      </c>
      <c r="X9307">
        <v>0.96786799999999995</v>
      </c>
      <c r="Y9307">
        <v>-0.41100429999999999</v>
      </c>
      <c r="Z9307">
        <v>0.15698779999999901</v>
      </c>
      <c r="AA9307">
        <v>0.89801469999999906</v>
      </c>
      <c r="AB9307">
        <v>24</v>
      </c>
      <c r="AC9307">
        <v>4.9010000000000096</v>
      </c>
      <c r="AD9307">
        <v>-1.115985156671</v>
      </c>
      <c r="AE9307">
        <v>-4.8790199999999899</v>
      </c>
      <c r="AF9307">
        <v>-2.91178893723536</v>
      </c>
      <c r="AG9307">
        <v>-1.115985156671</v>
      </c>
      <c r="AH9307">
        <v>6.0785938113237901</v>
      </c>
      <c r="AI9307">
        <v>99.401511837589098</v>
      </c>
      <c r="AJ9307">
        <v>115.595513385635</v>
      </c>
      <c r="AK9307">
        <v>6.8317816422936204</v>
      </c>
      <c r="AL9307">
        <v>87.910490904562195</v>
      </c>
      <c r="AM9307">
        <v>104.416389629675</v>
      </c>
      <c r="AN9307">
        <v>0.999999993449046</v>
      </c>
    </row>
    <row r="9308" spans="1:40" x14ac:dyDescent="0.25">
      <c r="A9308" t="str">
        <f>"20190312150907884"</f>
        <v>20190312150907884</v>
      </c>
      <c r="B9308" t="str">
        <f>"1552374547878673"</f>
        <v>1552374547878673</v>
      </c>
      <c r="C9308" t="s">
        <v>40</v>
      </c>
      <c r="D9308">
        <v>4.6276279999999996</v>
      </c>
      <c r="E9308">
        <v>0.42946859999999998</v>
      </c>
      <c r="F9308" t="s">
        <v>73</v>
      </c>
      <c r="G9308">
        <v>-293.4126</v>
      </c>
      <c r="H9308" s="1">
        <v>-6.25091599999999E-6</v>
      </c>
      <c r="I9308">
        <v>-49.074120000000001</v>
      </c>
      <c r="J9308">
        <v>-298.36540000000002</v>
      </c>
      <c r="K9308">
        <v>1.116066</v>
      </c>
      <c r="L9308">
        <v>-44.216549999999998</v>
      </c>
      <c r="M9308">
        <v>0.342918099999999</v>
      </c>
      <c r="N9308">
        <v>0</v>
      </c>
      <c r="O9308">
        <v>-0.93929989999999997</v>
      </c>
      <c r="P9308">
        <v>0.56519090000000005</v>
      </c>
      <c r="Q9308">
        <v>2.9518900000000001E-2</v>
      </c>
      <c r="R9308">
        <v>-0.8244319</v>
      </c>
      <c r="S9308">
        <v>2.1645509999999999</v>
      </c>
      <c r="T9308">
        <v>-0.47935889999999998</v>
      </c>
      <c r="U9308">
        <v>-2.1781920000000001</v>
      </c>
      <c r="V9308">
        <v>-0.2487395</v>
      </c>
      <c r="W9308">
        <v>3.6673259999999999E-2</v>
      </c>
      <c r="X9308">
        <v>0.96787590000000001</v>
      </c>
      <c r="Y9308">
        <v>-0.40982980000000002</v>
      </c>
      <c r="Z9308">
        <v>0.15642</v>
      </c>
      <c r="AA9308">
        <v>0.89865030000000001</v>
      </c>
      <c r="AB9308">
        <v>24</v>
      </c>
      <c r="AC9308">
        <v>4.9528000000000203</v>
      </c>
      <c r="AD9308">
        <v>-1.1160722509159999</v>
      </c>
      <c r="AE9308">
        <v>-4.8575699999999999</v>
      </c>
      <c r="AF9308">
        <v>-2.91124952090366</v>
      </c>
      <c r="AG9308">
        <v>-1.1160722509159999</v>
      </c>
      <c r="AH9308">
        <v>6.10353104115576</v>
      </c>
      <c r="AI9308">
        <v>99.371823556174206</v>
      </c>
      <c r="AJ9308">
        <v>115.500111279877</v>
      </c>
      <c r="AK9308">
        <v>6.85376409081743</v>
      </c>
      <c r="AL9308">
        <v>87.898305722709296</v>
      </c>
      <c r="AM9308">
        <v>104.412839617017</v>
      </c>
      <c r="AN9308">
        <v>1.0000000123300401</v>
      </c>
    </row>
    <row r="9309" spans="1:40" x14ac:dyDescent="0.25">
      <c r="A9309" t="str">
        <f>"20190312150907906"</f>
        <v>20190312150907906</v>
      </c>
      <c r="B9309" t="str">
        <f>"1552374547899169"</f>
        <v>1552374547899169</v>
      </c>
      <c r="C9309" t="s">
        <v>40</v>
      </c>
      <c r="D9309">
        <v>4.596285</v>
      </c>
      <c r="E9309">
        <v>0.42989110000000003</v>
      </c>
      <c r="F9309" t="s">
        <v>73</v>
      </c>
      <c r="G9309">
        <v>-293.2645</v>
      </c>
      <c r="H9309" s="1">
        <v>-6.3473479999999998E-6</v>
      </c>
      <c r="I9309">
        <v>-49.267800000000001</v>
      </c>
      <c r="J9309">
        <v>-298.2756</v>
      </c>
      <c r="K9309">
        <v>1.116144</v>
      </c>
      <c r="L9309">
        <v>-44.432009999999998</v>
      </c>
      <c r="M9309">
        <v>0.35168729999999998</v>
      </c>
      <c r="N9309">
        <v>0</v>
      </c>
      <c r="O9309">
        <v>-0.93605139999999998</v>
      </c>
      <c r="P9309">
        <v>0.57257040000000003</v>
      </c>
      <c r="Q9309">
        <v>2.913872E-2</v>
      </c>
      <c r="R9309">
        <v>-0.8193376</v>
      </c>
      <c r="S9309">
        <v>2.1815799999999999</v>
      </c>
      <c r="T9309">
        <v>-0.47732629999999998</v>
      </c>
      <c r="U9309">
        <v>-2.160339</v>
      </c>
      <c r="V9309">
        <v>-0.2483755</v>
      </c>
      <c r="W9309">
        <v>3.6301100000000003E-2</v>
      </c>
      <c r="X9309">
        <v>0.96798340000000005</v>
      </c>
      <c r="Y9309">
        <v>-0.40863080000000002</v>
      </c>
      <c r="Z9309">
        <v>0.15555859999999999</v>
      </c>
      <c r="AA9309">
        <v>0.89934550000000002</v>
      </c>
      <c r="AB9309">
        <v>24</v>
      </c>
      <c r="AC9309">
        <v>5.0110999999999901</v>
      </c>
      <c r="AD9309">
        <v>-1.1161503473479999</v>
      </c>
      <c r="AE9309">
        <v>-4.8357900000000003</v>
      </c>
      <c r="AF9309">
        <v>-2.9152576269086601</v>
      </c>
      <c r="AG9309">
        <v>-1.1161503473479999</v>
      </c>
      <c r="AH9309">
        <v>6.1317615477169403</v>
      </c>
      <c r="AI9309">
        <v>99.335566796345006</v>
      </c>
      <c r="AJ9309">
        <v>115.428077403348</v>
      </c>
      <c r="AK9309">
        <v>6.8806263019578502</v>
      </c>
      <c r="AL9309">
        <v>87.919643124750294</v>
      </c>
      <c r="AM9309">
        <v>104.391092909945</v>
      </c>
      <c r="AN9309">
        <v>1.0000000107685101</v>
      </c>
    </row>
    <row r="9310" spans="1:40" x14ac:dyDescent="0.25">
      <c r="A9310" t="str">
        <f>"20190312150907929"</f>
        <v>20190312150907929</v>
      </c>
      <c r="B9310" t="str">
        <f>"1552374547918689"</f>
        <v>1552374547918689</v>
      </c>
      <c r="C9310" t="s">
        <v>40</v>
      </c>
      <c r="D9310">
        <v>4.5985659999999999</v>
      </c>
      <c r="E9310">
        <v>0.4303266</v>
      </c>
      <c r="F9310" t="s">
        <v>73</v>
      </c>
      <c r="G9310">
        <v>-293.13310000000001</v>
      </c>
      <c r="H9310" s="1">
        <v>-6.4341529999999999E-6</v>
      </c>
      <c r="I9310">
        <v>-49.442959999999999</v>
      </c>
      <c r="J9310">
        <v>-298.1823</v>
      </c>
      <c r="K9310">
        <v>1.1162069999999999</v>
      </c>
      <c r="L9310">
        <v>-44.649630000000002</v>
      </c>
      <c r="M9310">
        <v>0.3606336</v>
      </c>
      <c r="N9310">
        <v>0</v>
      </c>
      <c r="O9310">
        <v>-0.93264080000000005</v>
      </c>
      <c r="P9310">
        <v>0.58021369999999906</v>
      </c>
      <c r="Q9310">
        <v>2.899113E-2</v>
      </c>
      <c r="R9310">
        <v>-0.81394869999999997</v>
      </c>
      <c r="S9310">
        <v>2.1983950000000001</v>
      </c>
      <c r="T9310">
        <v>-0.47715390000000002</v>
      </c>
      <c r="U9310">
        <v>-2.1421809999999999</v>
      </c>
      <c r="V9310">
        <v>-0.24816849999999999</v>
      </c>
      <c r="W9310">
        <v>3.616051E-2</v>
      </c>
      <c r="X9310">
        <v>0.9680417</v>
      </c>
      <c r="Y9310">
        <v>-0.40718310000000002</v>
      </c>
      <c r="Z9310">
        <v>0.1552711</v>
      </c>
      <c r="AA9310">
        <v>0.90005149999999901</v>
      </c>
      <c r="AB9310">
        <v>24</v>
      </c>
      <c r="AC9310">
        <v>5.0491999999999804</v>
      </c>
      <c r="AD9310">
        <v>-1.1162134341529999</v>
      </c>
      <c r="AE9310">
        <v>-4.7933299999999903</v>
      </c>
      <c r="AF9310">
        <v>-2.9059424433985899</v>
      </c>
      <c r="AG9310">
        <v>-1.1162134341529999</v>
      </c>
      <c r="AH9310">
        <v>6.1340815541866904</v>
      </c>
      <c r="AI9310">
        <v>99.338649752606699</v>
      </c>
      <c r="AJ9310">
        <v>115.348654232252</v>
      </c>
      <c r="AK9310">
        <v>6.8787637281958203</v>
      </c>
      <c r="AL9310">
        <v>87.927703525000496</v>
      </c>
      <c r="AM9310">
        <v>104.378766567158</v>
      </c>
      <c r="AN9310">
        <v>0.99999995990729895</v>
      </c>
    </row>
    <row r="9311" spans="1:40" x14ac:dyDescent="0.25">
      <c r="A9311" t="str">
        <f>"20190312150907950"</f>
        <v>20190312150907950</v>
      </c>
      <c r="B9311" t="str">
        <f>"1552374547939185"</f>
        <v>1552374547939185</v>
      </c>
      <c r="C9311" t="s">
        <v>40</v>
      </c>
      <c r="D9311">
        <v>4.68947</v>
      </c>
      <c r="E9311">
        <v>0.43078359999999899</v>
      </c>
      <c r="F9311" t="s">
        <v>73</v>
      </c>
      <c r="G9311">
        <v>-292.99419999999998</v>
      </c>
      <c r="H9311" s="1">
        <v>-6.523704E-6</v>
      </c>
      <c r="I9311">
        <v>-49.622230000000002</v>
      </c>
      <c r="J9311">
        <v>-298.08940000000001</v>
      </c>
      <c r="K9311">
        <v>1.1162589999999999</v>
      </c>
      <c r="L9311">
        <v>-44.860570000000003</v>
      </c>
      <c r="M9311">
        <v>0.36937209999999998</v>
      </c>
      <c r="N9311">
        <v>0</v>
      </c>
      <c r="O9311">
        <v>-0.92921390000000004</v>
      </c>
      <c r="P9311">
        <v>0.58772559999999996</v>
      </c>
      <c r="Q9311">
        <v>2.8476729999999999E-2</v>
      </c>
      <c r="R9311">
        <v>-0.80855900000000003</v>
      </c>
      <c r="S9311">
        <v>2.2154539999999998</v>
      </c>
      <c r="T9311">
        <v>-0.4766552</v>
      </c>
      <c r="U9311">
        <v>-2.1234440000000001</v>
      </c>
      <c r="V9311">
        <v>-0.24803549999999999</v>
      </c>
      <c r="W9311">
        <v>3.5655869999999999E-2</v>
      </c>
      <c r="X9311">
        <v>0.96809449999999997</v>
      </c>
      <c r="Y9311">
        <v>-0.4060938</v>
      </c>
      <c r="Z9311">
        <v>0.1548813</v>
      </c>
      <c r="AA9311">
        <v>0.90061069999999999</v>
      </c>
      <c r="AB9311">
        <v>24</v>
      </c>
      <c r="AC9311">
        <v>5.0952000000000304</v>
      </c>
      <c r="AD9311">
        <v>-1.116265523704</v>
      </c>
      <c r="AE9311">
        <v>-4.7616599999999902</v>
      </c>
      <c r="AF9311">
        <v>-2.9015536583702</v>
      </c>
      <c r="AG9311">
        <v>-1.116265523704</v>
      </c>
      <c r="AH9311">
        <v>6.1494684112469198</v>
      </c>
      <c r="AI9311">
        <v>99.322839136760095</v>
      </c>
      <c r="AJ9311">
        <v>115.259725179966</v>
      </c>
      <c r="AK9311">
        <v>6.8906475815220301</v>
      </c>
      <c r="AL9311">
        <v>87.956635918604206</v>
      </c>
      <c r="AM9311">
        <v>104.37062850351001</v>
      </c>
      <c r="AN9311">
        <v>0.99999995562797706</v>
      </c>
    </row>
    <row r="9312" spans="1:40" x14ac:dyDescent="0.25">
      <c r="A9312" t="str">
        <f>"20190312150907973"</f>
        <v>20190312150907973</v>
      </c>
      <c r="B9312" t="str">
        <f>"1552374547968465"</f>
        <v>1552374547968465</v>
      </c>
      <c r="C9312" t="s">
        <v>40</v>
      </c>
      <c r="D9312">
        <v>4.6034750000000004</v>
      </c>
      <c r="E9312">
        <v>0.43155850000000001</v>
      </c>
      <c r="F9312" t="s">
        <v>73</v>
      </c>
      <c r="G9312">
        <v>-292.86340000000001</v>
      </c>
      <c r="H9312" s="1">
        <v>-6.6067340000000003E-6</v>
      </c>
      <c r="I9312">
        <v>-49.787640000000003</v>
      </c>
      <c r="J9312">
        <v>-297.99270000000001</v>
      </c>
      <c r="K9312">
        <v>1.1162989999999999</v>
      </c>
      <c r="L9312">
        <v>-45.074800000000003</v>
      </c>
      <c r="M9312">
        <v>0.37830279999999999</v>
      </c>
      <c r="N9312">
        <v>0</v>
      </c>
      <c r="O9312">
        <v>-0.92561380000000004</v>
      </c>
      <c r="P9312">
        <v>0.59572819999999904</v>
      </c>
      <c r="Q9312">
        <v>2.8772720000000002E-2</v>
      </c>
      <c r="R9312">
        <v>-0.80267089999999996</v>
      </c>
      <c r="S9312">
        <v>2.2322389999999999</v>
      </c>
      <c r="T9312">
        <v>-0.47679589999999999</v>
      </c>
      <c r="U9312">
        <v>-2.1045229999999999</v>
      </c>
      <c r="V9312">
        <v>-0.24834210000000001</v>
      </c>
      <c r="W9312">
        <v>3.595657E-2</v>
      </c>
      <c r="X9312">
        <v>0.9680048</v>
      </c>
      <c r="Y9312">
        <v>-0.40474739999999998</v>
      </c>
      <c r="Z9312">
        <v>0.15467020000000001</v>
      </c>
      <c r="AA9312">
        <v>0.90125290000000002</v>
      </c>
      <c r="AB9312">
        <v>24</v>
      </c>
      <c r="AC9312">
        <v>5.1292999999999997</v>
      </c>
      <c r="AD9312">
        <v>-1.116305606734</v>
      </c>
      <c r="AE9312">
        <v>-4.7128399999999999</v>
      </c>
      <c r="AF9312">
        <v>-2.8908134090180599</v>
      </c>
      <c r="AG9312">
        <v>-1.116305606734</v>
      </c>
      <c r="AH9312">
        <v>6.1452687361288802</v>
      </c>
      <c r="AI9312">
        <v>99.334465301544597</v>
      </c>
      <c r="AJ9312">
        <v>115.192896358109</v>
      </c>
      <c r="AK9312">
        <v>6.8823882637226701</v>
      </c>
      <c r="AL9312">
        <v>87.939396078640101</v>
      </c>
      <c r="AM9312">
        <v>104.388933140623</v>
      </c>
      <c r="AN9312">
        <v>0.99999998319080696</v>
      </c>
    </row>
    <row r="9313" spans="1:40" x14ac:dyDescent="0.25">
      <c r="A9313" t="str">
        <f>"20190312150907995"</f>
        <v>20190312150907995</v>
      </c>
      <c r="B9313" t="str">
        <f>"1552374547988961"</f>
        <v>1552374547988961</v>
      </c>
      <c r="C9313" t="s">
        <v>40</v>
      </c>
      <c r="D9313">
        <v>4.6325570000000003</v>
      </c>
      <c r="E9313">
        <v>0.43206119999999998</v>
      </c>
      <c r="F9313" t="s">
        <v>73</v>
      </c>
      <c r="G9313">
        <v>-292.6934</v>
      </c>
      <c r="H9313" s="1">
        <v>-6.7109369999999999E-6</v>
      </c>
      <c r="I9313">
        <v>-49.992829999999998</v>
      </c>
      <c r="J9313">
        <v>-297.89499999999998</v>
      </c>
      <c r="K9313">
        <v>1.116328</v>
      </c>
      <c r="L9313">
        <v>-45.28546</v>
      </c>
      <c r="M9313">
        <v>0.3871367</v>
      </c>
      <c r="N9313">
        <v>0</v>
      </c>
      <c r="O9313">
        <v>-0.92195349999999998</v>
      </c>
      <c r="P9313">
        <v>0.60388169999999897</v>
      </c>
      <c r="Q9313">
        <v>2.8737579999999999E-2</v>
      </c>
      <c r="R9313">
        <v>-0.79655559999999903</v>
      </c>
      <c r="S9313">
        <v>2.2478639999999999</v>
      </c>
      <c r="T9313">
        <v>-0.47351939999999998</v>
      </c>
      <c r="U9313">
        <v>-2.0861510000000001</v>
      </c>
      <c r="V9313">
        <v>-0.24895809999999999</v>
      </c>
      <c r="W9313">
        <v>3.5921769999999999E-2</v>
      </c>
      <c r="X9313">
        <v>0.96784789999999998</v>
      </c>
      <c r="Y9313">
        <v>-0.4032462</v>
      </c>
      <c r="Z9313">
        <v>0.15336830000000001</v>
      </c>
      <c r="AA9313">
        <v>0.90214780000000006</v>
      </c>
      <c r="AB9313">
        <v>24</v>
      </c>
      <c r="AC9313">
        <v>5.2015999999999796</v>
      </c>
      <c r="AD9313">
        <v>-1.1163347109370001</v>
      </c>
      <c r="AE9313">
        <v>-4.7073699999999903</v>
      </c>
      <c r="AF9313">
        <v>-2.89999523414079</v>
      </c>
      <c r="AG9313">
        <v>-1.1163347109370001</v>
      </c>
      <c r="AH9313">
        <v>6.19719000941258</v>
      </c>
      <c r="AI9313">
        <v>99.266464445442097</v>
      </c>
      <c r="AJ9313">
        <v>115.077396883981</v>
      </c>
      <c r="AK9313">
        <v>6.93262861818266</v>
      </c>
      <c r="AL9313">
        <v>87.941391363980699</v>
      </c>
      <c r="AM9313">
        <v>104.425377693245</v>
      </c>
      <c r="AN9313">
        <v>1.0000000333249699</v>
      </c>
    </row>
    <row r="9314" spans="1:40" x14ac:dyDescent="0.25">
      <c r="A9314" t="str">
        <f>"20190312150908018"</f>
        <v>20190312150908018</v>
      </c>
      <c r="B9314" t="str">
        <f>"1552374548008481"</f>
        <v>1552374548008481</v>
      </c>
      <c r="C9314" t="s">
        <v>40</v>
      </c>
      <c r="D9314">
        <v>4.6088149999999999</v>
      </c>
      <c r="E9314">
        <v>0.43252489999999999</v>
      </c>
      <c r="F9314" t="s">
        <v>73</v>
      </c>
      <c r="G9314">
        <v>-292.53899999999999</v>
      </c>
      <c r="H9314" s="1">
        <v>-6.8014099999999996E-6</v>
      </c>
      <c r="I9314">
        <v>-50.16816</v>
      </c>
      <c r="J9314">
        <v>-297.79570000000001</v>
      </c>
      <c r="K9314">
        <v>1.116352</v>
      </c>
      <c r="L9314">
        <v>-45.494480000000003</v>
      </c>
      <c r="M9314">
        <v>0.39593899999999999</v>
      </c>
      <c r="N9314">
        <v>0</v>
      </c>
      <c r="O9314">
        <v>-0.91820729999999995</v>
      </c>
      <c r="P9314">
        <v>0.61156460000000001</v>
      </c>
      <c r="Q9314">
        <v>2.8737450000000001E-2</v>
      </c>
      <c r="R9314">
        <v>-0.79067240000000005</v>
      </c>
      <c r="S9314">
        <v>2.2657470000000002</v>
      </c>
      <c r="T9314">
        <v>-0.47224139999999998</v>
      </c>
      <c r="U9314">
        <v>-2.0655209999999999</v>
      </c>
      <c r="V9314">
        <v>-0.24907109999999999</v>
      </c>
      <c r="W9314">
        <v>3.59294E-2</v>
      </c>
      <c r="X9314">
        <v>0.96781850000000003</v>
      </c>
      <c r="Y9314">
        <v>-0.4026093</v>
      </c>
      <c r="Z9314">
        <v>0.152699799999999</v>
      </c>
      <c r="AA9314">
        <v>0.90254559999999995</v>
      </c>
      <c r="AB9314">
        <v>24</v>
      </c>
      <c r="AC9314">
        <v>5.2567000000000199</v>
      </c>
      <c r="AD9314">
        <v>-1.1163588014100001</v>
      </c>
      <c r="AE9314">
        <v>-4.6736800000000001</v>
      </c>
      <c r="AF9314">
        <v>-2.9033066459975299</v>
      </c>
      <c r="AG9314">
        <v>-1.1163588014100001</v>
      </c>
      <c r="AH9314">
        <v>6.2165574030926303</v>
      </c>
      <c r="AI9314">
        <v>99.241512790928297</v>
      </c>
      <c r="AJ9314">
        <v>115.03389374179</v>
      </c>
      <c r="AK9314">
        <v>6.95133313833575</v>
      </c>
      <c r="AL9314">
        <v>87.940953829252706</v>
      </c>
      <c r="AM9314">
        <v>104.43207195872</v>
      </c>
      <c r="AN9314">
        <v>0.99999999179090904</v>
      </c>
    </row>
    <row r="9315" spans="1:40" x14ac:dyDescent="0.25">
      <c r="A9315" t="str">
        <f>"20190312150908040"</f>
        <v>20190312150908040</v>
      </c>
      <c r="B9315" t="str">
        <f>"1552374548028977"</f>
        <v>1552374548028977</v>
      </c>
      <c r="C9315" t="s">
        <v>40</v>
      </c>
      <c r="D9315">
        <v>4.6955960000000001</v>
      </c>
      <c r="E9315">
        <v>0.43292530000000001</v>
      </c>
      <c r="F9315" t="s">
        <v>73</v>
      </c>
      <c r="G9315">
        <v>-292.38319999999999</v>
      </c>
      <c r="H9315" s="1">
        <v>-6.8924189999999997E-6</v>
      </c>
      <c r="I9315">
        <v>-50.344349999999999</v>
      </c>
      <c r="J9315">
        <v>-297.69279999999998</v>
      </c>
      <c r="K9315">
        <v>1.116376</v>
      </c>
      <c r="L9315">
        <v>-45.705629999999999</v>
      </c>
      <c r="M9315">
        <v>0.40485860000000001</v>
      </c>
      <c r="N9315">
        <v>0</v>
      </c>
      <c r="O9315">
        <v>-0.91430919999999904</v>
      </c>
      <c r="P9315">
        <v>0.61936880000000005</v>
      </c>
      <c r="Q9315">
        <v>2.8340779999999999E-2</v>
      </c>
      <c r="R9315">
        <v>-0.78458869999999903</v>
      </c>
      <c r="S9315">
        <v>2.2828979999999999</v>
      </c>
      <c r="T9315">
        <v>-0.4708676</v>
      </c>
      <c r="U9315">
        <v>-2.0456240000000001</v>
      </c>
      <c r="V9315">
        <v>-0.2492296</v>
      </c>
      <c r="W9315">
        <v>3.5540549999999997E-2</v>
      </c>
      <c r="X9315">
        <v>0.96779199999999999</v>
      </c>
      <c r="Y9315">
        <v>-0.40152670000000001</v>
      </c>
      <c r="Z9315">
        <v>0.15195710000000001</v>
      </c>
      <c r="AA9315">
        <v>0.90315299999999998</v>
      </c>
      <c r="AB9315">
        <v>24</v>
      </c>
      <c r="AC9315">
        <v>5.3095999999999801</v>
      </c>
      <c r="AD9315">
        <v>-1.116382892419</v>
      </c>
      <c r="AE9315">
        <v>-4.6387199999999904</v>
      </c>
      <c r="AF9315">
        <v>-2.9039732943985599</v>
      </c>
      <c r="AG9315">
        <v>-1.116382892419</v>
      </c>
      <c r="AH9315">
        <v>6.2349496018337902</v>
      </c>
      <c r="AI9315">
        <v>99.219325137641903</v>
      </c>
      <c r="AJ9315">
        <v>114.97409338265</v>
      </c>
      <c r="AK9315">
        <v>6.9680677518572702</v>
      </c>
      <c r="AL9315">
        <v>87.963247426323207</v>
      </c>
      <c r="AM9315">
        <v>104.441250983988</v>
      </c>
      <c r="AN9315">
        <v>0.999999939737229</v>
      </c>
    </row>
    <row r="9316" spans="1:40" x14ac:dyDescent="0.25">
      <c r="A9316" t="str">
        <f>"20190312150908063"</f>
        <v>20190312150908063</v>
      </c>
      <c r="B9316" t="str">
        <f>"1552374548059233"</f>
        <v>1552374548059233</v>
      </c>
      <c r="C9316" t="s">
        <v>40</v>
      </c>
      <c r="D9316">
        <v>4.5911989999999996</v>
      </c>
      <c r="E9316">
        <v>0.43370379999999997</v>
      </c>
      <c r="F9316" t="s">
        <v>73</v>
      </c>
      <c r="G9316">
        <v>-292.25630000000001</v>
      </c>
      <c r="H9316" s="1">
        <v>-9.9782060000000002E-6</v>
      </c>
      <c r="I9316">
        <v>-50.490319999999997</v>
      </c>
      <c r="J9316">
        <v>-297.5881</v>
      </c>
      <c r="K9316">
        <v>1.1163959999999999</v>
      </c>
      <c r="L9316">
        <v>-45.915439999999997</v>
      </c>
      <c r="M9316">
        <v>0.41374040000000001</v>
      </c>
      <c r="N9316">
        <v>0</v>
      </c>
      <c r="O9316">
        <v>-0.91032420000000003</v>
      </c>
      <c r="P9316">
        <v>0.62713980000000003</v>
      </c>
      <c r="Q9316">
        <v>2.79358E-2</v>
      </c>
      <c r="R9316">
        <v>-0.77840569999999998</v>
      </c>
      <c r="S9316">
        <v>2.3004760000000002</v>
      </c>
      <c r="T9316">
        <v>-0.4724025</v>
      </c>
      <c r="U9316">
        <v>-2.0246580000000001</v>
      </c>
      <c r="V9316">
        <v>-0.2494209</v>
      </c>
      <c r="W9316">
        <v>3.5141690000000003E-2</v>
      </c>
      <c r="X9316">
        <v>0.96775730000000004</v>
      </c>
      <c r="Y9316">
        <v>-0.40065230000000002</v>
      </c>
      <c r="Z9316">
        <v>0.1521335</v>
      </c>
      <c r="AA9316">
        <v>0.90351150000000002</v>
      </c>
      <c r="AB9316">
        <v>24</v>
      </c>
      <c r="AC9316">
        <v>5.3317999999999799</v>
      </c>
      <c r="AD9316">
        <v>-1.1164059782059901</v>
      </c>
      <c r="AE9316">
        <v>-4.5748800000000003</v>
      </c>
      <c r="AF9316">
        <v>-2.8881147634775699</v>
      </c>
      <c r="AG9316">
        <v>-1.1164059782059901</v>
      </c>
      <c r="AH9316">
        <v>6.2140987580303202</v>
      </c>
      <c r="AI9316">
        <v>99.253353686269804</v>
      </c>
      <c r="AJ9316">
        <v>114.927501158219</v>
      </c>
      <c r="AK9316">
        <v>6.9428086945950902</v>
      </c>
      <c r="AL9316">
        <v>87.9861147437163</v>
      </c>
      <c r="AM9316">
        <v>104.452368040948</v>
      </c>
      <c r="AN9316">
        <v>0.99999995771807704</v>
      </c>
    </row>
    <row r="9317" spans="1:40" x14ac:dyDescent="0.25">
      <c r="A9317" t="str">
        <f>"20190312150908085"</f>
        <v>20190312150908085</v>
      </c>
      <c r="B9317" t="str">
        <f>"1552374548078753"</f>
        <v>1552374548078753</v>
      </c>
      <c r="C9317" t="s">
        <v>40</v>
      </c>
      <c r="D9317">
        <v>4.5948099999999998</v>
      </c>
      <c r="E9317">
        <v>0.43420799999999998</v>
      </c>
      <c r="F9317" t="s">
        <v>73</v>
      </c>
      <c r="G9317">
        <v>-292.09350000000001</v>
      </c>
      <c r="H9317" s="1">
        <v>-1.001471E-5</v>
      </c>
      <c r="I9317">
        <v>-50.67371</v>
      </c>
      <c r="J9317">
        <v>-297.48169999999999</v>
      </c>
      <c r="K9317">
        <v>1.116412</v>
      </c>
      <c r="L9317">
        <v>-46.123570000000001</v>
      </c>
      <c r="M9317">
        <v>0.42256369999999999</v>
      </c>
      <c r="N9317">
        <v>0</v>
      </c>
      <c r="O9317">
        <v>-0.90626200000000001</v>
      </c>
      <c r="P9317">
        <v>0.63458809999999999</v>
      </c>
      <c r="Q9317">
        <v>2.8689849999999999E-2</v>
      </c>
      <c r="R9317">
        <v>-0.7723179</v>
      </c>
      <c r="S9317">
        <v>2.3156129999999999</v>
      </c>
      <c r="T9317">
        <v>-0.47049400000000002</v>
      </c>
      <c r="U9317">
        <v>-2.0053100000000001</v>
      </c>
      <c r="V9317">
        <v>-0.2493408</v>
      </c>
      <c r="W9317">
        <v>3.5906529999999999E-2</v>
      </c>
      <c r="X9317">
        <v>0.96774990000000005</v>
      </c>
      <c r="Y9317">
        <v>-0.39910370000000001</v>
      </c>
      <c r="Z9317">
        <v>0.15120939999999999</v>
      </c>
      <c r="AA9317">
        <v>0.90435169999999998</v>
      </c>
      <c r="AB9317">
        <v>24</v>
      </c>
      <c r="AC9317">
        <v>5.3881999999999799</v>
      </c>
      <c r="AD9317">
        <v>-1.1164220147099999</v>
      </c>
      <c r="AE9317">
        <v>-4.5501399999999901</v>
      </c>
      <c r="AF9317">
        <v>-2.8882093877553898</v>
      </c>
      <c r="AG9317">
        <v>-1.1164220147099999</v>
      </c>
      <c r="AH9317">
        <v>6.2444048685218698</v>
      </c>
      <c r="AI9317">
        <v>99.217087801587894</v>
      </c>
      <c r="AJ9317">
        <v>114.82184244466001</v>
      </c>
      <c r="AK9317">
        <v>6.9699887908422902</v>
      </c>
      <c r="AL9317">
        <v>87.942265028578603</v>
      </c>
      <c r="AM9317">
        <v>104.448026895832</v>
      </c>
      <c r="AN9317">
        <v>0.99999999119564498</v>
      </c>
    </row>
    <row r="9318" spans="1:40" x14ac:dyDescent="0.25">
      <c r="A9318" t="str">
        <f>"20190312150908107"</f>
        <v>20190312150908107</v>
      </c>
      <c r="B9318" t="str">
        <f>"1552374548099249"</f>
        <v>1552374548099249</v>
      </c>
      <c r="C9318" t="s">
        <v>40</v>
      </c>
      <c r="D9318">
        <v>4.6903769999999998</v>
      </c>
      <c r="E9318">
        <v>0.43446750000000001</v>
      </c>
      <c r="F9318" t="s">
        <v>73</v>
      </c>
      <c r="G9318">
        <v>-291.911</v>
      </c>
      <c r="H9318" s="1">
        <v>-1.005694E-5</v>
      </c>
      <c r="I9318">
        <v>-50.867820000000002</v>
      </c>
      <c r="J9318">
        <v>-297.37180000000001</v>
      </c>
      <c r="K9318">
        <v>1.1164289999999999</v>
      </c>
      <c r="L9318">
        <v>-46.332979999999999</v>
      </c>
      <c r="M9318">
        <v>0.43145159999999999</v>
      </c>
      <c r="N9318">
        <v>0</v>
      </c>
      <c r="O9318">
        <v>-0.90206430000000004</v>
      </c>
      <c r="P9318">
        <v>0.64255669999999898</v>
      </c>
      <c r="Q9318">
        <v>2.8921189999999999E-2</v>
      </c>
      <c r="R9318">
        <v>-0.76569240000000005</v>
      </c>
      <c r="S9318">
        <v>2.3317570000000001</v>
      </c>
      <c r="T9318">
        <v>-0.46730929999999998</v>
      </c>
      <c r="U9318">
        <v>-1.98584</v>
      </c>
      <c r="V9318">
        <v>-0.2498647</v>
      </c>
      <c r="W9318">
        <v>3.6137170000000003E-2</v>
      </c>
      <c r="X9318">
        <v>0.96760619999999997</v>
      </c>
      <c r="Y9318">
        <v>-0.39773160000000002</v>
      </c>
      <c r="Z9318">
        <v>0.14982960000000001</v>
      </c>
      <c r="AA9318">
        <v>0.90518549999999998</v>
      </c>
      <c r="AB9318">
        <v>24</v>
      </c>
      <c r="AC9318">
        <v>5.4607999999999999</v>
      </c>
      <c r="AD9318">
        <v>-1.11643905694</v>
      </c>
      <c r="AE9318">
        <v>-4.53484</v>
      </c>
      <c r="AF9318">
        <v>-2.8979315032169199</v>
      </c>
      <c r="AG9318">
        <v>-1.11643905694</v>
      </c>
      <c r="AH9318">
        <v>6.2915638199112998</v>
      </c>
      <c r="AI9318">
        <v>99.155889439011204</v>
      </c>
      <c r="AJ9318">
        <v>114.731076912071</v>
      </c>
      <c r="AK9318">
        <v>7.0162823820891802</v>
      </c>
      <c r="AL9318">
        <v>87.929041788629505</v>
      </c>
      <c r="AM9318">
        <v>104.479169430154</v>
      </c>
      <c r="AN9318">
        <v>1.00000001082006</v>
      </c>
    </row>
    <row r="9319" spans="1:40" x14ac:dyDescent="0.25">
      <c r="A9319" t="str">
        <f>"20190312150908130"</f>
        <v>20190312150908130</v>
      </c>
      <c r="B9319" t="str">
        <f>"1552374548118770"</f>
        <v>1552374548118770</v>
      </c>
      <c r="C9319" t="s">
        <v>40</v>
      </c>
      <c r="D9319">
        <v>4.5520709999999998</v>
      </c>
      <c r="E9319">
        <v>0.43429830000000003</v>
      </c>
      <c r="F9319" t="s">
        <v>73</v>
      </c>
      <c r="G9319">
        <v>-291.7192</v>
      </c>
      <c r="H9319" s="1">
        <v>-1.010335E-5</v>
      </c>
      <c r="I9319">
        <v>-51.053849999999997</v>
      </c>
      <c r="J9319">
        <v>-297.2595</v>
      </c>
      <c r="K9319">
        <v>1.1164430000000001</v>
      </c>
      <c r="L9319">
        <v>-46.542050000000003</v>
      </c>
      <c r="M9319">
        <v>0.44032749999999998</v>
      </c>
      <c r="N9319">
        <v>0</v>
      </c>
      <c r="O9319">
        <v>-0.89776489999999998</v>
      </c>
      <c r="P9319">
        <v>0.65050889999999995</v>
      </c>
      <c r="Q9319">
        <v>2.9344499999999999E-2</v>
      </c>
      <c r="R9319">
        <v>-0.75893189999999999</v>
      </c>
      <c r="S9319">
        <v>2.3504939999999999</v>
      </c>
      <c r="T9319">
        <v>-0.4642406</v>
      </c>
      <c r="U9319">
        <v>-1.9630430000000001</v>
      </c>
      <c r="V9319">
        <v>-0.25042930000000002</v>
      </c>
      <c r="W9319">
        <v>3.6559370000000001E-2</v>
      </c>
      <c r="X9319">
        <v>0.96744439999999998</v>
      </c>
      <c r="Y9319">
        <v>-0.39757100000000001</v>
      </c>
      <c r="Z9319">
        <v>0.1485158</v>
      </c>
      <c r="AA9319">
        <v>0.90547250000000001</v>
      </c>
      <c r="AB9319">
        <v>24</v>
      </c>
      <c r="AC9319">
        <v>5.5403000000000002</v>
      </c>
      <c r="AD9319">
        <v>-1.11645310335</v>
      </c>
      <c r="AE9319">
        <v>-4.5117999999999903</v>
      </c>
      <c r="AF9319">
        <v>-2.9162091102302599</v>
      </c>
      <c r="AG9319">
        <v>-1.11645310335</v>
      </c>
      <c r="AH9319">
        <v>6.3358085344652002</v>
      </c>
      <c r="AI9319">
        <v>99.094262531936096</v>
      </c>
      <c r="AJ9319">
        <v>114.715394914396</v>
      </c>
      <c r="AK9319">
        <v>7.0635127869900503</v>
      </c>
      <c r="AL9319">
        <v>87.904835585207906</v>
      </c>
      <c r="AM9319">
        <v>104.512831549694</v>
      </c>
      <c r="AN9319">
        <v>1.00000004446232</v>
      </c>
    </row>
    <row r="9320" spans="1:40" x14ac:dyDescent="0.25">
      <c r="A9320" t="str">
        <f>"20190312150908151"</f>
        <v>20190312150908151</v>
      </c>
      <c r="B9320" t="str">
        <f>"1552374548149025"</f>
        <v>1552374548149025</v>
      </c>
      <c r="C9320" t="s">
        <v>40</v>
      </c>
      <c r="D9320">
        <v>4.5291240000000004</v>
      </c>
      <c r="E9320">
        <v>0.4339808</v>
      </c>
      <c r="F9320" t="s">
        <v>73</v>
      </c>
      <c r="G9320">
        <v>-291.4982</v>
      </c>
      <c r="H9320" s="1">
        <v>-1.015931E-5</v>
      </c>
      <c r="I9320">
        <v>-51.245939999999997</v>
      </c>
      <c r="J9320">
        <v>-297.14789999999999</v>
      </c>
      <c r="K9320">
        <v>1.1164540000000001</v>
      </c>
      <c r="L9320">
        <v>-46.745269999999998</v>
      </c>
      <c r="M9320">
        <v>0.44895780000000002</v>
      </c>
      <c r="N9320">
        <v>0</v>
      </c>
      <c r="O9320">
        <v>-0.89348019999999995</v>
      </c>
      <c r="P9320">
        <v>0.65759380000000001</v>
      </c>
      <c r="Q9320">
        <v>2.9412049999999999E-2</v>
      </c>
      <c r="R9320">
        <v>-0.75279839999999998</v>
      </c>
      <c r="S9320">
        <v>2.3725589999999999</v>
      </c>
      <c r="T9320">
        <v>-0.4597657</v>
      </c>
      <c r="U9320">
        <v>-1.937103</v>
      </c>
      <c r="V9320">
        <v>-0.25017800000000001</v>
      </c>
      <c r="W9320">
        <v>3.6639419999999999E-2</v>
      </c>
      <c r="X9320">
        <v>0.96750630000000004</v>
      </c>
      <c r="Y9320">
        <v>-0.39901819999999999</v>
      </c>
      <c r="Z9320">
        <v>0.1467802</v>
      </c>
      <c r="AA9320">
        <v>0.9051188</v>
      </c>
      <c r="AB9320">
        <v>24</v>
      </c>
      <c r="AC9320">
        <v>5.6496999999999904</v>
      </c>
      <c r="AD9320">
        <v>-1.11646415931</v>
      </c>
      <c r="AE9320">
        <v>-4.5006700000000004</v>
      </c>
      <c r="AF9320">
        <v>-2.95684050352558</v>
      </c>
      <c r="AG9320">
        <v>-1.11646415931</v>
      </c>
      <c r="AH9320">
        <v>6.4051405357437003</v>
      </c>
      <c r="AI9320">
        <v>98.992949538085</v>
      </c>
      <c r="AJ9320">
        <v>114.779725763738</v>
      </c>
      <c r="AK9320">
        <v>7.1424941907530002</v>
      </c>
      <c r="AL9320">
        <v>87.900245805166705</v>
      </c>
      <c r="AM9320">
        <v>104.497993819562</v>
      </c>
      <c r="AN9320">
        <v>0.99999995966081201</v>
      </c>
    </row>
    <row r="9321" spans="1:40" x14ac:dyDescent="0.25">
      <c r="A9321" t="str">
        <f>"20190312150908174"</f>
        <v>20190312150908174</v>
      </c>
      <c r="B9321" t="str">
        <f>"1552374548168545"</f>
        <v>1552374548168545</v>
      </c>
      <c r="C9321" t="s">
        <v>40</v>
      </c>
      <c r="D9321">
        <v>4.528289</v>
      </c>
      <c r="E9321">
        <v>0.43381579999999897</v>
      </c>
      <c r="F9321" t="s">
        <v>73</v>
      </c>
      <c r="G9321">
        <v>-291.29070000000002</v>
      </c>
      <c r="H9321" s="1">
        <v>-1.0211940000000001E-5</v>
      </c>
      <c r="I9321">
        <v>-51.42557</v>
      </c>
      <c r="J9321">
        <v>-297.03210000000001</v>
      </c>
      <c r="K9321">
        <v>1.1164620000000001</v>
      </c>
      <c r="L9321">
        <v>-46.951169999999998</v>
      </c>
      <c r="M9321">
        <v>0.4577039</v>
      </c>
      <c r="N9321">
        <v>0</v>
      </c>
      <c r="O9321">
        <v>-0.88903129999999997</v>
      </c>
      <c r="P9321">
        <v>0.66499699999999995</v>
      </c>
      <c r="Q9321">
        <v>2.9894230000000001E-2</v>
      </c>
      <c r="R9321">
        <v>-0.74624760000000001</v>
      </c>
      <c r="S9321">
        <v>2.3932500000000001</v>
      </c>
      <c r="T9321">
        <v>-0.4561905</v>
      </c>
      <c r="U9321">
        <v>-1.9123840000000001</v>
      </c>
      <c r="V9321">
        <v>-0.2502566</v>
      </c>
      <c r="W9321">
        <v>3.7127840000000002E-2</v>
      </c>
      <c r="X9321">
        <v>0.96746739999999998</v>
      </c>
      <c r="Y9321">
        <v>-0.39973439999999999</v>
      </c>
      <c r="Z9321">
        <v>0.14528160000000001</v>
      </c>
      <c r="AA9321">
        <v>0.90504459999999998</v>
      </c>
      <c r="AB9321">
        <v>24</v>
      </c>
      <c r="AC9321">
        <v>5.7413999999999898</v>
      </c>
      <c r="AD9321">
        <v>-1.1164722119399999</v>
      </c>
      <c r="AE9321">
        <v>-4.4744000000000002</v>
      </c>
      <c r="AF9321">
        <v>-2.98627765450001</v>
      </c>
      <c r="AG9321">
        <v>-1.1164722119399999</v>
      </c>
      <c r="AH9321">
        <v>6.4543280715968301</v>
      </c>
      <c r="AI9321">
        <v>98.922099670624405</v>
      </c>
      <c r="AJ9321">
        <v>114.828957274909</v>
      </c>
      <c r="AK9321">
        <v>7.1987995725400804</v>
      </c>
      <c r="AL9321">
        <v>87.872242443739793</v>
      </c>
      <c r="AM9321">
        <v>104.502915227881</v>
      </c>
      <c r="AN9321">
        <v>1.0000000062046901</v>
      </c>
    </row>
    <row r="9322" spans="1:40" x14ac:dyDescent="0.25">
      <c r="A9322" t="str">
        <f>"20190312150908196"</f>
        <v>20190312150908196</v>
      </c>
      <c r="B9322" t="str">
        <f>"1552374548189041"</f>
        <v>1552374548189041</v>
      </c>
      <c r="C9322" t="s">
        <v>40</v>
      </c>
      <c r="D9322">
        <v>4.5143360000000001</v>
      </c>
      <c r="E9322">
        <v>0.43370649999999999</v>
      </c>
      <c r="F9322" t="s">
        <v>73</v>
      </c>
      <c r="G9322">
        <v>-291.08940000000001</v>
      </c>
      <c r="H9322" s="1">
        <v>-1.0264030000000001E-5</v>
      </c>
      <c r="I9322">
        <v>-51.600349999999999</v>
      </c>
      <c r="J9322">
        <v>-296.91410000000002</v>
      </c>
      <c r="K9322">
        <v>1.116463</v>
      </c>
      <c r="L9322">
        <v>-47.156489999999998</v>
      </c>
      <c r="M9322">
        <v>0.46642440000000002</v>
      </c>
      <c r="N9322">
        <v>0</v>
      </c>
      <c r="O9322">
        <v>-0.88448700000000002</v>
      </c>
      <c r="P9322">
        <v>0.67225729999999995</v>
      </c>
      <c r="Q9322">
        <v>2.9754079999999999E-2</v>
      </c>
      <c r="R9322">
        <v>-0.73971960000000003</v>
      </c>
      <c r="S9322">
        <v>2.4131469999999999</v>
      </c>
      <c r="T9322">
        <v>-0.45336219999999999</v>
      </c>
      <c r="U9322">
        <v>-1.8878779999999999</v>
      </c>
      <c r="V9322">
        <v>-0.25019229999999998</v>
      </c>
      <c r="W9322">
        <v>3.6995380000000001E-2</v>
      </c>
      <c r="X9322">
        <v>0.96748909999999999</v>
      </c>
      <c r="Y9322">
        <v>-0.40020630000000001</v>
      </c>
      <c r="Z9322">
        <v>0.1440051</v>
      </c>
      <c r="AA9322">
        <v>0.90503999999999996</v>
      </c>
      <c r="AB9322">
        <v>24</v>
      </c>
      <c r="AC9322">
        <v>5.8247</v>
      </c>
      <c r="AD9322">
        <v>-1.1164732640299999</v>
      </c>
      <c r="AE9322">
        <v>-4.4438599999999902</v>
      </c>
      <c r="AF9322">
        <v>-3.00945879474164</v>
      </c>
      <c r="AG9322">
        <v>-1.1164732640299999</v>
      </c>
      <c r="AH9322">
        <v>6.4968750803827398</v>
      </c>
      <c r="AI9322">
        <v>98.862820153617093</v>
      </c>
      <c r="AJ9322">
        <v>114.85434371850199</v>
      </c>
      <c r="AK9322">
        <v>7.2465675044561504</v>
      </c>
      <c r="AL9322">
        <v>87.879837051091698</v>
      </c>
      <c r="AM9322">
        <v>104.499034484142</v>
      </c>
      <c r="AN9322">
        <v>1.0000000018697199</v>
      </c>
    </row>
    <row r="9323" spans="1:40" x14ac:dyDescent="0.25">
      <c r="A9323" t="str">
        <f>"20190312150908218"</f>
        <v>20190312150908218</v>
      </c>
      <c r="B9323" t="str">
        <f>"1552374548208561"</f>
        <v>1552374548208561</v>
      </c>
      <c r="C9323" t="s">
        <v>40</v>
      </c>
      <c r="D9323">
        <v>4.531479</v>
      </c>
      <c r="E9323">
        <v>0.43363239999999997</v>
      </c>
      <c r="F9323" t="s">
        <v>73</v>
      </c>
      <c r="G9323">
        <v>-290.91289999999998</v>
      </c>
      <c r="H9323" s="1">
        <v>-1.0312659999999999E-5</v>
      </c>
      <c r="I9323">
        <v>-51.755609999999997</v>
      </c>
      <c r="J9323">
        <v>-296.7971</v>
      </c>
      <c r="K9323">
        <v>1.116466</v>
      </c>
      <c r="L9323">
        <v>-47.355589999999999</v>
      </c>
      <c r="M9323">
        <v>0.47488029999999998</v>
      </c>
      <c r="N9323">
        <v>0</v>
      </c>
      <c r="O9323">
        <v>-0.87997610000000004</v>
      </c>
      <c r="P9323">
        <v>0.67895649999999996</v>
      </c>
      <c r="Q9323">
        <v>2.9213820000000001E-2</v>
      </c>
      <c r="R9323">
        <v>-0.73359719999999995</v>
      </c>
      <c r="S9323">
        <v>2.431854</v>
      </c>
      <c r="T9323">
        <v>-0.4524302</v>
      </c>
      <c r="U9323">
        <v>-1.8637079999999999</v>
      </c>
      <c r="V9323">
        <v>-0.2496998</v>
      </c>
      <c r="W9323">
        <v>3.6468830000000001E-2</v>
      </c>
      <c r="X9323">
        <v>0.9676363</v>
      </c>
      <c r="Y9323">
        <v>-0.40053559999999999</v>
      </c>
      <c r="Z9323">
        <v>0.14333399999999999</v>
      </c>
      <c r="AA9323">
        <v>0.9050009</v>
      </c>
      <c r="AB9323">
        <v>24</v>
      </c>
      <c r="AC9323">
        <v>5.8842000000000203</v>
      </c>
      <c r="AD9323">
        <v>-1.1164763126599999</v>
      </c>
      <c r="AE9323">
        <v>-4.4000199999999898</v>
      </c>
      <c r="AF9323">
        <v>-3.01896497037046</v>
      </c>
      <c r="AG9323">
        <v>-1.1164763126599999</v>
      </c>
      <c r="AH9323">
        <v>6.5161769517894799</v>
      </c>
      <c r="AI9323">
        <v>98.836718148290501</v>
      </c>
      <c r="AJ9323">
        <v>114.85843557745299</v>
      </c>
      <c r="AK9323">
        <v>7.2678216073378703</v>
      </c>
      <c r="AL9323">
        <v>87.910026487197001</v>
      </c>
      <c r="AM9323">
        <v>104.469583864513</v>
      </c>
      <c r="AN9323">
        <v>0.99999998737964901</v>
      </c>
    </row>
    <row r="9324" spans="1:40" x14ac:dyDescent="0.25">
      <c r="A9324" t="str">
        <f>"20190312150908240"</f>
        <v>20190312150908240</v>
      </c>
      <c r="B9324" t="str">
        <f>"1552374548238817"</f>
        <v>1552374548238817</v>
      </c>
      <c r="C9324" t="s">
        <v>40</v>
      </c>
      <c r="D9324">
        <v>4.5111319999999999</v>
      </c>
      <c r="E9324">
        <v>0.43357259999999997</v>
      </c>
      <c r="F9324" t="s">
        <v>73</v>
      </c>
      <c r="G9324">
        <v>-290.76690000000002</v>
      </c>
      <c r="H9324" s="1">
        <v>-1.035241E-5</v>
      </c>
      <c r="I9324">
        <v>-51.889270000000003</v>
      </c>
      <c r="J9324">
        <v>-296.67540000000002</v>
      </c>
      <c r="K9324">
        <v>1.116474</v>
      </c>
      <c r="L9324">
        <v>-47.558230000000002</v>
      </c>
      <c r="M9324">
        <v>0.48348809999999898</v>
      </c>
      <c r="N9324">
        <v>0</v>
      </c>
      <c r="O9324">
        <v>-0.8752761</v>
      </c>
      <c r="P9324">
        <v>0.68608049999999998</v>
      </c>
      <c r="Q9324">
        <v>2.8524540000000001E-2</v>
      </c>
      <c r="R9324">
        <v>-0.72696640000000001</v>
      </c>
      <c r="S9324">
        <v>2.4487610000000002</v>
      </c>
      <c r="T9324">
        <v>-0.45338539999999999</v>
      </c>
      <c r="U9324">
        <v>-1.841064</v>
      </c>
      <c r="V9324">
        <v>-0.24962570000000001</v>
      </c>
      <c r="W9324">
        <v>3.5784070000000001E-2</v>
      </c>
      <c r="X9324">
        <v>0.96768100000000001</v>
      </c>
      <c r="Y9324">
        <v>-0.39990979999999998</v>
      </c>
      <c r="Z9324">
        <v>0.14319889999999999</v>
      </c>
      <c r="AA9324">
        <v>0.90529890000000002</v>
      </c>
      <c r="AB9324">
        <v>24</v>
      </c>
      <c r="AC9324">
        <v>5.9085000000000001</v>
      </c>
      <c r="AD9324">
        <v>-1.1164843524100001</v>
      </c>
      <c r="AE9324">
        <v>-4.3310399999999998</v>
      </c>
      <c r="AF9324">
        <v>-3.0079005268475698</v>
      </c>
      <c r="AG9324">
        <v>-1.1164843524100001</v>
      </c>
      <c r="AH9324">
        <v>6.4970750687435403</v>
      </c>
      <c r="AI9324">
        <v>98.863483425080702</v>
      </c>
      <c r="AJ9324">
        <v>114.842355717111</v>
      </c>
      <c r="AK9324">
        <v>7.2461015268539599</v>
      </c>
      <c r="AL9324">
        <v>87.949286007598801</v>
      </c>
      <c r="AM9324">
        <v>104.46482993459</v>
      </c>
      <c r="AN9324">
        <v>1.0000000037636201</v>
      </c>
    </row>
    <row r="9325" spans="1:40" x14ac:dyDescent="0.25">
      <c r="A9325" t="str">
        <f>"20190312150908264"</f>
        <v>20190312150908264</v>
      </c>
      <c r="B9325" t="str">
        <f>"1552374548259316"</f>
        <v>1552374548259316</v>
      </c>
      <c r="C9325" t="s">
        <v>40</v>
      </c>
      <c r="D9325">
        <v>4.5247270000000004</v>
      </c>
      <c r="E9325">
        <v>0.43359239999999999</v>
      </c>
      <c r="F9325" t="s">
        <v>73</v>
      </c>
      <c r="G9325">
        <v>-290.61349999999999</v>
      </c>
      <c r="H9325" s="1">
        <v>-1.0394820000000001E-5</v>
      </c>
      <c r="I9325">
        <v>-52.022930000000002</v>
      </c>
      <c r="J9325">
        <v>-296.55059999999997</v>
      </c>
      <c r="K9325">
        <v>1.1164780000000001</v>
      </c>
      <c r="L9325">
        <v>-47.761319999999998</v>
      </c>
      <c r="M9325">
        <v>0.4921162</v>
      </c>
      <c r="N9325">
        <v>0</v>
      </c>
      <c r="O9325">
        <v>-0.87045430000000001</v>
      </c>
      <c r="P9325">
        <v>0.69268790000000002</v>
      </c>
      <c r="Q9325">
        <v>2.8423899999999998E-2</v>
      </c>
      <c r="R9325">
        <v>-0.72067740000000002</v>
      </c>
      <c r="S9325">
        <v>2.466583</v>
      </c>
      <c r="T9325">
        <v>-0.4543027</v>
      </c>
      <c r="U9325">
        <v>-1.816711</v>
      </c>
      <c r="V9325">
        <v>-0.2488909</v>
      </c>
      <c r="W9325">
        <v>3.570019E-2</v>
      </c>
      <c r="X9325">
        <v>0.96787330000000005</v>
      </c>
      <c r="Y9325">
        <v>-0.39978219999999998</v>
      </c>
      <c r="Z9325">
        <v>0.14305370000000001</v>
      </c>
      <c r="AA9325">
        <v>0.90537829999999997</v>
      </c>
      <c r="AB9325">
        <v>24</v>
      </c>
      <c r="AC9325">
        <v>5.9370999999999796</v>
      </c>
      <c r="AD9325">
        <v>-1.11648839482</v>
      </c>
      <c r="AE9325">
        <v>-4.2616100000000001</v>
      </c>
      <c r="AF9325">
        <v>-3.0009293479997501</v>
      </c>
      <c r="AG9325">
        <v>-1.11648839482</v>
      </c>
      <c r="AH9325">
        <v>6.4804665742225502</v>
      </c>
      <c r="AI9325">
        <v>98.885499529078899</v>
      </c>
      <c r="AJ9325">
        <v>114.847582569903</v>
      </c>
      <c r="AK9325">
        <v>7.2283172527960904</v>
      </c>
      <c r="AL9325">
        <v>87.954094949004002</v>
      </c>
      <c r="AM9325">
        <v>104.421283649009</v>
      </c>
      <c r="AN9325">
        <v>0.99999995426086696</v>
      </c>
    </row>
    <row r="9326" spans="1:40" x14ac:dyDescent="0.25">
      <c r="A9326" t="str">
        <f>"20190312150908286"</f>
        <v>20190312150908286</v>
      </c>
      <c r="B9326" t="str">
        <f>"1552374548278833"</f>
        <v>1552374548278833</v>
      </c>
      <c r="C9326" t="s">
        <v>40</v>
      </c>
      <c r="D9326">
        <v>4.5282900000000001</v>
      </c>
      <c r="E9326">
        <v>0.43361680000000002</v>
      </c>
      <c r="F9326" t="s">
        <v>73</v>
      </c>
      <c r="G9326">
        <v>-290.43549999999999</v>
      </c>
      <c r="H9326" s="1">
        <v>-1.044387E-5</v>
      </c>
      <c r="I9326">
        <v>-52.180109999999999</v>
      </c>
      <c r="J9326">
        <v>-296.42399999999998</v>
      </c>
      <c r="K9326">
        <v>1.1164879999999999</v>
      </c>
      <c r="L9326">
        <v>-47.962859999999999</v>
      </c>
      <c r="M9326">
        <v>0.50068250000000003</v>
      </c>
      <c r="N9326">
        <v>0</v>
      </c>
      <c r="O9326">
        <v>-0.86555530000000003</v>
      </c>
      <c r="P9326">
        <v>0.69970919999999903</v>
      </c>
      <c r="Q9326">
        <v>2.8351419999999999E-2</v>
      </c>
      <c r="R9326">
        <v>-0.71386510000000003</v>
      </c>
      <c r="S9326">
        <v>2.4829409999999998</v>
      </c>
      <c r="T9326">
        <v>-0.45332790000000001</v>
      </c>
      <c r="U9326">
        <v>-1.7941590000000001</v>
      </c>
      <c r="V9326">
        <v>-0.24881210000000001</v>
      </c>
      <c r="W9326">
        <v>3.5631089999999997E-2</v>
      </c>
      <c r="X9326">
        <v>0.96789619999999998</v>
      </c>
      <c r="Y9326">
        <v>-0.39906619999999998</v>
      </c>
      <c r="Z9326">
        <v>0.14227719999999999</v>
      </c>
      <c r="AA9326">
        <v>0.90581639999999997</v>
      </c>
      <c r="AB9326">
        <v>24</v>
      </c>
      <c r="AC9326">
        <v>5.9885000000000401</v>
      </c>
      <c r="AD9326">
        <v>-1.1164984438700001</v>
      </c>
      <c r="AE9326">
        <v>-4.2172499999999999</v>
      </c>
      <c r="AF9326">
        <v>-3.0023131213126</v>
      </c>
      <c r="AG9326">
        <v>-1.1164984438700001</v>
      </c>
      <c r="AH9326">
        <v>6.4980450287608802</v>
      </c>
      <c r="AI9326">
        <v>98.865378870695395</v>
      </c>
      <c r="AJ9326">
        <v>114.79850892202001</v>
      </c>
      <c r="AK9326">
        <v>7.2446561029060597</v>
      </c>
      <c r="AL9326">
        <v>87.958056793053103</v>
      </c>
      <c r="AM9326">
        <v>104.416581245892</v>
      </c>
      <c r="AN9326">
        <v>1.00000004482771</v>
      </c>
    </row>
    <row r="9327" spans="1:40" x14ac:dyDescent="0.25">
      <c r="A9327" t="str">
        <f>"20190312150908308"</f>
        <v>20190312150908308</v>
      </c>
      <c r="B9327" t="str">
        <f>"1552374548299328"</f>
        <v>1552374548299328</v>
      </c>
      <c r="C9327" t="s">
        <v>40</v>
      </c>
      <c r="D9327">
        <v>4.5289820000000001</v>
      </c>
      <c r="E9327">
        <v>0.4336662</v>
      </c>
      <c r="F9327" t="s">
        <v>73</v>
      </c>
      <c r="G9327">
        <v>-290.24270000000001</v>
      </c>
      <c r="H9327" s="1">
        <v>-1.04982399999999E-5</v>
      </c>
      <c r="I9327">
        <v>-52.337429999999998</v>
      </c>
      <c r="J9327">
        <v>-296.29680000000002</v>
      </c>
      <c r="K9327">
        <v>1.116506</v>
      </c>
      <c r="L9327">
        <v>-48.160829999999997</v>
      </c>
      <c r="M9327">
        <v>0.5091038</v>
      </c>
      <c r="N9327">
        <v>0</v>
      </c>
      <c r="O9327">
        <v>-0.86062870000000002</v>
      </c>
      <c r="P9327">
        <v>0.7067272</v>
      </c>
      <c r="Q9327">
        <v>2.8433819999999999E-2</v>
      </c>
      <c r="R9327">
        <v>-0.70691470000000001</v>
      </c>
      <c r="S9327">
        <v>2.5004270000000002</v>
      </c>
      <c r="T9327">
        <v>-0.45163579999999998</v>
      </c>
      <c r="U9327">
        <v>-1.7695620000000001</v>
      </c>
      <c r="V9327">
        <v>-0.24893319999999999</v>
      </c>
      <c r="W9327">
        <v>3.5712580000000001E-2</v>
      </c>
      <c r="X9327">
        <v>0.967862</v>
      </c>
      <c r="Y9327">
        <v>-0.39916580000000002</v>
      </c>
      <c r="Z9327">
        <v>0.14130770000000001</v>
      </c>
      <c r="AA9327">
        <v>0.90592430000000002</v>
      </c>
      <c r="AB9327">
        <v>24</v>
      </c>
      <c r="AC9327">
        <v>6.0541</v>
      </c>
      <c r="AD9327">
        <v>-1.11651649824</v>
      </c>
      <c r="AE9327">
        <v>-4.1765999999999996</v>
      </c>
      <c r="AF9327">
        <v>-3.0147394971580299</v>
      </c>
      <c r="AG9327">
        <v>-1.11651649824</v>
      </c>
      <c r="AH9327">
        <v>6.5267028437789403</v>
      </c>
      <c r="AI9327">
        <v>98.827619897505798</v>
      </c>
      <c r="AJ9327">
        <v>114.79261636567099</v>
      </c>
      <c r="AK9327">
        <v>7.2755146441718397</v>
      </c>
      <c r="AL9327">
        <v>87.953384671883398</v>
      </c>
      <c r="AM9327">
        <v>104.423793740717</v>
      </c>
      <c r="AN9327">
        <v>0.99999998873824802</v>
      </c>
    </row>
    <row r="9328" spans="1:40" x14ac:dyDescent="0.25">
      <c r="A9328" t="str">
        <f>"20190312150908331"</f>
        <v>20190312150908331</v>
      </c>
      <c r="B9328" t="str">
        <f>"1552374548318850"</f>
        <v>1552374548318850</v>
      </c>
      <c r="C9328" t="s">
        <v>40</v>
      </c>
      <c r="D9328">
        <v>4.5603860000000003</v>
      </c>
      <c r="E9328">
        <v>0.43372640000000001</v>
      </c>
      <c r="F9328" t="s">
        <v>73</v>
      </c>
      <c r="G9328">
        <v>-290.05549999999999</v>
      </c>
      <c r="H9328" s="1">
        <v>-1.055142E-5</v>
      </c>
      <c r="I9328">
        <v>-52.48648</v>
      </c>
      <c r="J9328">
        <v>-296.16669999999999</v>
      </c>
      <c r="K9328">
        <v>1.1165240000000001</v>
      </c>
      <c r="L9328">
        <v>-48.359220000000001</v>
      </c>
      <c r="M9328">
        <v>0.51754619999999996</v>
      </c>
      <c r="N9328">
        <v>0</v>
      </c>
      <c r="O9328">
        <v>-0.85557830000000001</v>
      </c>
      <c r="P9328">
        <v>0.71362599999999998</v>
      </c>
      <c r="Q9328">
        <v>2.9046280000000001E-2</v>
      </c>
      <c r="R9328">
        <v>-0.69992460000000001</v>
      </c>
      <c r="S9328">
        <v>2.5176699999999999</v>
      </c>
      <c r="T9328">
        <v>-0.45038630000000002</v>
      </c>
      <c r="U9328">
        <v>-1.744904</v>
      </c>
      <c r="V9328">
        <v>-0.2489268</v>
      </c>
      <c r="W9328">
        <v>3.6325870000000003E-2</v>
      </c>
      <c r="X9328">
        <v>0.9678409</v>
      </c>
      <c r="Y9328">
        <v>-0.39915</v>
      </c>
      <c r="Z9328">
        <v>0.14045199999999999</v>
      </c>
      <c r="AA9328">
        <v>0.90606430000000004</v>
      </c>
      <c r="AB9328">
        <v>24</v>
      </c>
      <c r="AC9328">
        <v>6.1111999999999904</v>
      </c>
      <c r="AD9328">
        <v>-1.11653455142</v>
      </c>
      <c r="AE9328">
        <v>-4.1272599999999997</v>
      </c>
      <c r="AF9328">
        <v>-3.0234553334269099</v>
      </c>
      <c r="AG9328">
        <v>-1.11653455142</v>
      </c>
      <c r="AH9328">
        <v>6.5444364099935797</v>
      </c>
      <c r="AI9328">
        <v>98.803950484010201</v>
      </c>
      <c r="AJ9328">
        <v>114.79640110233601</v>
      </c>
      <c r="AK9328">
        <v>7.2950380041636498</v>
      </c>
      <c r="AL9328">
        <v>87.918223082821697</v>
      </c>
      <c r="AM9328">
        <v>104.423739707943</v>
      </c>
      <c r="AN9328">
        <v>1.0000000641511499</v>
      </c>
    </row>
    <row r="9329" spans="1:40" x14ac:dyDescent="0.25">
      <c r="A9329" t="str">
        <f>"20190312150908353"</f>
        <v>20190312150908353</v>
      </c>
      <c r="B9329" t="str">
        <f>"1552374548349105"</f>
        <v>1552374548349105</v>
      </c>
      <c r="C9329" t="s">
        <v>40</v>
      </c>
      <c r="D9329">
        <v>4.5163599999999997</v>
      </c>
      <c r="E9329">
        <v>0.43386180000000002</v>
      </c>
      <c r="F9329" t="s">
        <v>73</v>
      </c>
      <c r="G9329">
        <v>-289.84320000000002</v>
      </c>
      <c r="H9329" s="1">
        <v>-2.6605230000000002E-6</v>
      </c>
      <c r="I9329">
        <v>-52.650660000000002</v>
      </c>
      <c r="J9329">
        <v>-296.03410000000002</v>
      </c>
      <c r="K9329">
        <v>1.116536</v>
      </c>
      <c r="L9329">
        <v>-48.557189999999999</v>
      </c>
      <c r="M9329">
        <v>0.52597360000000004</v>
      </c>
      <c r="N9329">
        <v>0</v>
      </c>
      <c r="O9329">
        <v>-0.85042340000000005</v>
      </c>
      <c r="P9329">
        <v>0.72070119999999904</v>
      </c>
      <c r="Q9329">
        <v>2.9296429999999998E-2</v>
      </c>
      <c r="R9329">
        <v>-0.69262699999999999</v>
      </c>
      <c r="S9329">
        <v>2.5348820000000001</v>
      </c>
      <c r="T9329">
        <v>-0.44758209999999998</v>
      </c>
      <c r="U9329">
        <v>-1.7203059999999999</v>
      </c>
      <c r="V9329">
        <v>-0.24920970000000001</v>
      </c>
      <c r="W9329">
        <v>3.6571289999999999E-2</v>
      </c>
      <c r="X9329">
        <v>0.96775880000000003</v>
      </c>
      <c r="Y9329">
        <v>-0.39914339999999998</v>
      </c>
      <c r="Z9329">
        <v>0.13909469999999999</v>
      </c>
      <c r="AA9329">
        <v>0.90627659999999999</v>
      </c>
      <c r="AB9329">
        <v>24</v>
      </c>
      <c r="AC9329">
        <v>6.1908999999999903</v>
      </c>
      <c r="AD9329">
        <v>-1.1165386605230001</v>
      </c>
      <c r="AE9329">
        <v>-4.0934699999999804</v>
      </c>
      <c r="AF9329">
        <v>-3.0431611735333499</v>
      </c>
      <c r="AG9329">
        <v>-1.1165386605230001</v>
      </c>
      <c r="AH9329">
        <v>6.5887595087942898</v>
      </c>
      <c r="AI9329">
        <v>98.746059533453305</v>
      </c>
      <c r="AJ9329">
        <v>114.790876050077</v>
      </c>
      <c r="AK9329">
        <v>7.34297217571131</v>
      </c>
      <c r="AL9329">
        <v>87.904152099487405</v>
      </c>
      <c r="AM9329">
        <v>104.44062079112</v>
      </c>
      <c r="AN9329">
        <v>1.0000000144018899</v>
      </c>
    </row>
    <row r="9330" spans="1:40" x14ac:dyDescent="0.25">
      <c r="A9330" t="str">
        <f>"20190312150908376"</f>
        <v>20190312150908376</v>
      </c>
      <c r="B9330" t="str">
        <f>"1552374548368625"</f>
        <v>1552374548368625</v>
      </c>
      <c r="C9330" t="s">
        <v>40</v>
      </c>
      <c r="D9330">
        <v>4.5468789999999997</v>
      </c>
      <c r="E9330">
        <v>0.43399189999999999</v>
      </c>
      <c r="F9330" t="s">
        <v>73</v>
      </c>
      <c r="G9330">
        <v>-289.6377</v>
      </c>
      <c r="H9330" s="1">
        <v>-2.7474510000000001E-6</v>
      </c>
      <c r="I9330">
        <v>-52.806840000000001</v>
      </c>
      <c r="J9330">
        <v>-295.899</v>
      </c>
      <c r="K9330">
        <v>1.1165499999999999</v>
      </c>
      <c r="L9330">
        <v>-48.75461</v>
      </c>
      <c r="M9330">
        <v>0.53437950000000001</v>
      </c>
      <c r="N9330">
        <v>0</v>
      </c>
      <c r="O9330">
        <v>-0.84516650000000004</v>
      </c>
      <c r="P9330">
        <v>0.72794669999999995</v>
      </c>
      <c r="Q9330">
        <v>2.9694390000000001E-2</v>
      </c>
      <c r="R9330">
        <v>-0.68499060000000001</v>
      </c>
      <c r="S9330">
        <v>2.5515140000000001</v>
      </c>
      <c r="T9330">
        <v>-0.44538860000000002</v>
      </c>
      <c r="U9330">
        <v>-1.69519</v>
      </c>
      <c r="V9330">
        <v>-0.24981020000000001</v>
      </c>
      <c r="W9330">
        <v>3.6958209999999998E-2</v>
      </c>
      <c r="X9330">
        <v>0.96758929999999999</v>
      </c>
      <c r="Y9330">
        <v>-0.39910980000000001</v>
      </c>
      <c r="Z9330">
        <v>0.13793369999999999</v>
      </c>
      <c r="AA9330">
        <v>0.90646879999999996</v>
      </c>
      <c r="AB9330">
        <v>24</v>
      </c>
      <c r="AC9330">
        <v>6.2613000000000003</v>
      </c>
      <c r="AD9330">
        <v>-1.116552747451</v>
      </c>
      <c r="AE9330">
        <v>-4.0522299999999998</v>
      </c>
      <c r="AF9330">
        <v>-3.0580793469955498</v>
      </c>
      <c r="AG9330">
        <v>-1.116552747451</v>
      </c>
      <c r="AH9330">
        <v>6.6227339111245298</v>
      </c>
      <c r="AI9330">
        <v>98.702370161184504</v>
      </c>
      <c r="AJ9330">
        <v>114.78535951993101</v>
      </c>
      <c r="AK9330">
        <v>7.3796438794781896</v>
      </c>
      <c r="AL9330">
        <v>87.881968293348393</v>
      </c>
      <c r="AM9330">
        <v>104.476386189384</v>
      </c>
      <c r="AN9330">
        <v>1.0000000493924599</v>
      </c>
    </row>
    <row r="9331" spans="1:40" x14ac:dyDescent="0.25">
      <c r="A9331" t="str">
        <f>"20190312150908397"</f>
        <v>20190312150908397</v>
      </c>
      <c r="B9331" t="str">
        <f>"1552374548389121"</f>
        <v>1552374548389121</v>
      </c>
      <c r="C9331" t="s">
        <v>40</v>
      </c>
      <c r="D9331">
        <v>4.6447149999999997</v>
      </c>
      <c r="E9331">
        <v>0.43391020000000002</v>
      </c>
      <c r="F9331" t="s">
        <v>73</v>
      </c>
      <c r="G9331">
        <v>-289.43560000000002</v>
      </c>
      <c r="H9331" s="1">
        <v>-2.834172E-6</v>
      </c>
      <c r="I9331">
        <v>-52.95476</v>
      </c>
      <c r="J9331">
        <v>-295.76569999999998</v>
      </c>
      <c r="K9331">
        <v>1.1165529999999999</v>
      </c>
      <c r="L9331">
        <v>-48.945279999999997</v>
      </c>
      <c r="M9331">
        <v>0.54250140000000002</v>
      </c>
      <c r="N9331">
        <v>0</v>
      </c>
      <c r="O9331">
        <v>-0.8399761</v>
      </c>
      <c r="P9331">
        <v>0.734932699999999</v>
      </c>
      <c r="Q9331">
        <v>2.9422480000000001E-2</v>
      </c>
      <c r="R9331">
        <v>-0.67750159999999904</v>
      </c>
      <c r="S9331">
        <v>2.5686040000000001</v>
      </c>
      <c r="T9331">
        <v>-0.4437315</v>
      </c>
      <c r="U9331">
        <v>-1.669189</v>
      </c>
      <c r="V9331">
        <v>-0.2503959</v>
      </c>
      <c r="W9331">
        <v>3.6675630000000001E-2</v>
      </c>
      <c r="X9331">
        <v>0.96744859999999999</v>
      </c>
      <c r="Y9331">
        <v>-0.39960020000000002</v>
      </c>
      <c r="Z9331">
        <v>0.13695550000000001</v>
      </c>
      <c r="AA9331">
        <v>0.90640109999999996</v>
      </c>
      <c r="AB9331">
        <v>24</v>
      </c>
      <c r="AC9331">
        <v>6.3300999999999599</v>
      </c>
      <c r="AD9331">
        <v>-1.1165558341719899</v>
      </c>
      <c r="AE9331">
        <v>-4.0094799999999999</v>
      </c>
      <c r="AF9331">
        <v>-3.0739369059775199</v>
      </c>
      <c r="AG9331">
        <v>-1.1165558341719899</v>
      </c>
      <c r="AH9331">
        <v>6.6546426355735901</v>
      </c>
      <c r="AI9331">
        <v>98.660752353980001</v>
      </c>
      <c r="AJ9331">
        <v>114.79333256615401</v>
      </c>
      <c r="AK9331">
        <v>7.4148535818280399</v>
      </c>
      <c r="AL9331">
        <v>87.898169816701994</v>
      </c>
      <c r="AM9331">
        <v>104.51091734118199</v>
      </c>
      <c r="AN9331">
        <v>1.00000000110733</v>
      </c>
    </row>
    <row r="9332" spans="1:40" x14ac:dyDescent="0.25">
      <c r="A9332" t="str">
        <f>"20190312150908420"</f>
        <v>20190312150908420</v>
      </c>
      <c r="B9332" t="str">
        <f>"1552374548408642"</f>
        <v>1552374548408642</v>
      </c>
      <c r="C9332" t="s">
        <v>40</v>
      </c>
      <c r="D9332">
        <v>4.5388129999999904</v>
      </c>
      <c r="E9332">
        <v>0.40033099999999999</v>
      </c>
      <c r="F9332" t="s">
        <v>73</v>
      </c>
      <c r="G9332">
        <v>-289.2627</v>
      </c>
      <c r="H9332" s="1">
        <v>-2.9096130000000002E-6</v>
      </c>
      <c r="I9332">
        <v>-53.075890000000001</v>
      </c>
      <c r="J9332">
        <v>-295.6277</v>
      </c>
      <c r="K9332">
        <v>1.1165590000000001</v>
      </c>
      <c r="L9332">
        <v>-49.138820000000003</v>
      </c>
      <c r="M9332">
        <v>0.55074969999999901</v>
      </c>
      <c r="N9332">
        <v>0</v>
      </c>
      <c r="O9332">
        <v>-0.83459130000000004</v>
      </c>
      <c r="P9332">
        <v>0.74171039999999999</v>
      </c>
      <c r="Q9332">
        <v>2.9291939999999999E-2</v>
      </c>
      <c r="R9332">
        <v>-0.67008069999999997</v>
      </c>
      <c r="S9332">
        <v>2.5857239999999999</v>
      </c>
      <c r="T9332">
        <v>-0.44395980000000002</v>
      </c>
      <c r="U9332">
        <v>-1.642395</v>
      </c>
      <c r="V9332">
        <v>-0.25059320000000002</v>
      </c>
      <c r="W9332">
        <v>3.6541259999999999E-2</v>
      </c>
      <c r="X9332">
        <v>0.9674026</v>
      </c>
      <c r="Y9332">
        <v>-0.40002480000000001</v>
      </c>
      <c r="Z9332">
        <v>0.1365287</v>
      </c>
      <c r="AA9332">
        <v>0.90627809999999998</v>
      </c>
      <c r="AB9332">
        <v>24</v>
      </c>
      <c r="AC9332">
        <v>6.3650000000000002</v>
      </c>
      <c r="AD9332">
        <v>-1.1165619096129999</v>
      </c>
      <c r="AE9332">
        <v>-3.9370699999999998</v>
      </c>
      <c r="AF9332">
        <v>-3.0755871866498601</v>
      </c>
      <c r="AG9332">
        <v>-1.1165619096129999</v>
      </c>
      <c r="AH9332">
        <v>6.6439392781326996</v>
      </c>
      <c r="AI9332">
        <v>98.671309673564195</v>
      </c>
      <c r="AJ9332">
        <v>114.840183103291</v>
      </c>
      <c r="AK9332">
        <v>7.4059351990277298</v>
      </c>
      <c r="AL9332">
        <v>87.905873818711797</v>
      </c>
      <c r="AM9332">
        <v>104.522529329687</v>
      </c>
      <c r="AN9332">
        <v>1.0000000030276901</v>
      </c>
    </row>
    <row r="9333" spans="1:40" x14ac:dyDescent="0.25">
      <c r="A9333" t="str">
        <f>"20190312150908442"</f>
        <v>20190312150908442</v>
      </c>
      <c r="B9333" t="str">
        <f>"1552374548438897"</f>
        <v>1552374548438897</v>
      </c>
      <c r="C9333" t="s">
        <v>40</v>
      </c>
      <c r="D9333">
        <v>4.5050819999999998</v>
      </c>
      <c r="E9333">
        <v>0.39814300000000002</v>
      </c>
      <c r="F9333" t="s">
        <v>41</v>
      </c>
      <c r="G9333">
        <v>-294.83460000000002</v>
      </c>
      <c r="H9333">
        <v>0.99349299999999996</v>
      </c>
      <c r="I9333">
        <v>-49.543050000000001</v>
      </c>
      <c r="J9333">
        <v>-295.48649999999998</v>
      </c>
      <c r="K9333">
        <v>1.116574</v>
      </c>
      <c r="L9333">
        <v>-49.332889999999999</v>
      </c>
      <c r="M9333">
        <v>0.55902269999999998</v>
      </c>
      <c r="N9333">
        <v>0</v>
      </c>
      <c r="O9333">
        <v>-0.82907249999999999</v>
      </c>
      <c r="P9333">
        <v>0.74827250000000001</v>
      </c>
      <c r="Q9333">
        <v>2.8858490000000001E-2</v>
      </c>
      <c r="R9333">
        <v>-0.66276389999999996</v>
      </c>
      <c r="S9333">
        <v>2.781647</v>
      </c>
      <c r="T9333">
        <v>-0.43153160000000002</v>
      </c>
      <c r="U9333">
        <v>-1.4169620000000001</v>
      </c>
      <c r="V9333">
        <v>-0.25048089999999901</v>
      </c>
      <c r="W9333">
        <v>3.6109530000000001E-2</v>
      </c>
      <c r="X9333">
        <v>0.96744790000000003</v>
      </c>
      <c r="Y9333">
        <v>-0.4758136</v>
      </c>
      <c r="Z9333">
        <v>0.13324250000000001</v>
      </c>
      <c r="AA9333">
        <v>0.86939509999999898</v>
      </c>
      <c r="AB9333">
        <v>24</v>
      </c>
      <c r="AC9333">
        <v>0.65189999999995496</v>
      </c>
      <c r="AD9333">
        <v>-0.123080999999999</v>
      </c>
      <c r="AE9333">
        <v>-0.21016000000000101</v>
      </c>
      <c r="AF9333">
        <v>-0.40978390900495898</v>
      </c>
      <c r="AG9333">
        <v>-0.123080999999999</v>
      </c>
      <c r="AH9333">
        <v>0.52184950317607703</v>
      </c>
      <c r="AI9333">
        <v>100.508857330757</v>
      </c>
      <c r="AJ9333">
        <v>128.14088295013801</v>
      </c>
      <c r="AK9333">
        <v>0.67483234110814705</v>
      </c>
      <c r="AL9333">
        <v>87.930626475113897</v>
      </c>
      <c r="AM9333">
        <v>104.51564525724601</v>
      </c>
      <c r="AN9333">
        <v>1.0000000093180199</v>
      </c>
    </row>
    <row r="9334" spans="1:40" x14ac:dyDescent="0.25">
      <c r="A9334" t="str">
        <f>"20190312150908465"</f>
        <v>20190312150908465</v>
      </c>
      <c r="B9334" t="str">
        <f>"1552374548459394"</f>
        <v>1552374548459394</v>
      </c>
      <c r="C9334" t="s">
        <v>40</v>
      </c>
      <c r="D9334">
        <v>4.5130559999999997</v>
      </c>
      <c r="E9334">
        <v>0.39813340000000003</v>
      </c>
      <c r="F9334" t="s">
        <v>41</v>
      </c>
      <c r="G9334">
        <v>-294.71069999999997</v>
      </c>
      <c r="H9334">
        <v>0.99731360000000002</v>
      </c>
      <c r="I9334">
        <v>-49.713189999999997</v>
      </c>
      <c r="J9334">
        <v>-295.34629999999999</v>
      </c>
      <c r="K9334">
        <v>1.1165860000000001</v>
      </c>
      <c r="L9334">
        <v>-49.521479999999997</v>
      </c>
      <c r="M9334">
        <v>0.56706769999999995</v>
      </c>
      <c r="N9334">
        <v>0</v>
      </c>
      <c r="O9334">
        <v>-0.82359059999999995</v>
      </c>
      <c r="P9334">
        <v>0.75449469999999996</v>
      </c>
      <c r="Q9334">
        <v>2.8529680000000002E-2</v>
      </c>
      <c r="R9334">
        <v>-0.65568599999999999</v>
      </c>
      <c r="S9334">
        <v>2.8069760000000001</v>
      </c>
      <c r="T9334">
        <v>-0.4314906</v>
      </c>
      <c r="U9334">
        <v>-1.37616</v>
      </c>
      <c r="V9334">
        <v>-0.25018119999999999</v>
      </c>
      <c r="W9334">
        <v>3.5785959999999999E-2</v>
      </c>
      <c r="X9334">
        <v>0.96753750000000005</v>
      </c>
      <c r="Y9334">
        <v>-0.4806182</v>
      </c>
      <c r="Z9334">
        <v>0.1328087</v>
      </c>
      <c r="AA9334">
        <v>0.86681489999999894</v>
      </c>
      <c r="AB9334">
        <v>24</v>
      </c>
      <c r="AC9334">
        <v>0.63560000000001005</v>
      </c>
      <c r="AD9334">
        <v>-0.1192724</v>
      </c>
      <c r="AE9334">
        <v>-0.19171000000000701</v>
      </c>
      <c r="AF9334">
        <v>-0.40181951454126802</v>
      </c>
      <c r="AG9334">
        <v>-0.1192724</v>
      </c>
      <c r="AH9334">
        <v>0.50214528974713202</v>
      </c>
      <c r="AI9334">
        <v>100.506577158862</v>
      </c>
      <c r="AJ9334">
        <v>128.66699336676001</v>
      </c>
      <c r="AK9334">
        <v>0.65409075798635996</v>
      </c>
      <c r="AL9334">
        <v>87.9491777252357</v>
      </c>
      <c r="AM9334">
        <v>104.497723628806</v>
      </c>
      <c r="AN9334">
        <v>1.0000000408364</v>
      </c>
    </row>
    <row r="9335" spans="1:40" x14ac:dyDescent="0.25">
      <c r="A9335" t="str">
        <f>"20190312150908486"</f>
        <v>20190312150908486</v>
      </c>
      <c r="B9335" t="str">
        <f>"1552374548478913"</f>
        <v>1552374548478913</v>
      </c>
      <c r="C9335" t="s">
        <v>40</v>
      </c>
      <c r="D9335">
        <v>4.4961039999999999</v>
      </c>
      <c r="E9335">
        <v>0.39843590000000001</v>
      </c>
      <c r="F9335" t="s">
        <v>73</v>
      </c>
      <c r="G9335">
        <v>-288.1422</v>
      </c>
      <c r="H9335" s="1">
        <v>-3.550142E-6</v>
      </c>
      <c r="I9335">
        <v>-52.969499999999996</v>
      </c>
      <c r="J9335">
        <v>-295.2029</v>
      </c>
      <c r="K9335">
        <v>1.116592</v>
      </c>
      <c r="L9335">
        <v>-49.710389999999997</v>
      </c>
      <c r="M9335">
        <v>0.57513049999999999</v>
      </c>
      <c r="N9335">
        <v>0</v>
      </c>
      <c r="O9335">
        <v>-0.8179805</v>
      </c>
      <c r="P9335">
        <v>0.76079059999999998</v>
      </c>
      <c r="Q9335">
        <v>2.815894E-2</v>
      </c>
      <c r="R9335">
        <v>-0.64838660000000004</v>
      </c>
      <c r="S9335">
        <v>2.8198240000000001</v>
      </c>
      <c r="T9335">
        <v>-0.43705110000000003</v>
      </c>
      <c r="U9335">
        <v>-1.3496090000000001</v>
      </c>
      <c r="V9335">
        <v>-0.25000489999999997</v>
      </c>
      <c r="W9335">
        <v>3.5418079999999998E-2</v>
      </c>
      <c r="X9335">
        <v>0.96759649999999997</v>
      </c>
      <c r="Y9335">
        <v>-0.48001090000000002</v>
      </c>
      <c r="Z9335">
        <v>0.13398289999999999</v>
      </c>
      <c r="AA9335">
        <v>0.86697069999999998</v>
      </c>
      <c r="AB9335">
        <v>24</v>
      </c>
      <c r="AC9335">
        <v>7.06069999999999</v>
      </c>
      <c r="AD9335">
        <v>-1.116595550142</v>
      </c>
      <c r="AE9335">
        <v>-3.25910999999999</v>
      </c>
      <c r="AF9335">
        <v>-3.8225529591255101</v>
      </c>
      <c r="AG9335">
        <v>-1.116595550142</v>
      </c>
      <c r="AH9335">
        <v>6.5912704824454602</v>
      </c>
      <c r="AI9335">
        <v>98.337038855148094</v>
      </c>
      <c r="AJ9335">
        <v>120.111235857804</v>
      </c>
      <c r="AK9335">
        <v>7.7008793861917404</v>
      </c>
      <c r="AL9335">
        <v>87.970268859205206</v>
      </c>
      <c r="AM9335">
        <v>104.487091091867</v>
      </c>
      <c r="AN9335">
        <v>0.99999993861357095</v>
      </c>
    </row>
    <row r="9336" spans="1:40" x14ac:dyDescent="0.25">
      <c r="A9336" t="str">
        <f>"20190312150908508"</f>
        <v>20190312150908508</v>
      </c>
      <c r="B9336" t="str">
        <f>"1552374548499028"</f>
        <v>1552374548499028</v>
      </c>
      <c r="C9336" t="s">
        <v>40</v>
      </c>
      <c r="D9336">
        <v>4.5068840000000003</v>
      </c>
      <c r="E9336">
        <v>0.39931339999999999</v>
      </c>
      <c r="F9336" t="s">
        <v>73</v>
      </c>
      <c r="G9336">
        <v>-288.07510000000002</v>
      </c>
      <c r="H9336" s="1">
        <v>-3.5705559999999998E-6</v>
      </c>
      <c r="I9336">
        <v>-53.044499999999999</v>
      </c>
      <c r="J9336">
        <v>-295.05709999999999</v>
      </c>
      <c r="K9336">
        <v>1.1165969999999901</v>
      </c>
      <c r="L9336">
        <v>-49.898650000000004</v>
      </c>
      <c r="M9336">
        <v>0.58316769999999996</v>
      </c>
      <c r="N9336">
        <v>0</v>
      </c>
      <c r="O9336">
        <v>-0.81226980000000004</v>
      </c>
      <c r="P9336">
        <v>0.76707479999999995</v>
      </c>
      <c r="Q9336">
        <v>2.7846249999999999E-2</v>
      </c>
      <c r="R9336">
        <v>-0.64095329999999995</v>
      </c>
      <c r="S9336">
        <v>2.8310550000000001</v>
      </c>
      <c r="T9336">
        <v>-0.44349139999999998</v>
      </c>
      <c r="U9336">
        <v>-1.324249</v>
      </c>
      <c r="V9336">
        <v>-0.249884</v>
      </c>
      <c r="W9336">
        <v>3.5107369999999999E-2</v>
      </c>
      <c r="X9336">
        <v>0.96763909999999997</v>
      </c>
      <c r="Y9336">
        <v>-0.47883940000000003</v>
      </c>
      <c r="Z9336">
        <v>0.13539329999999999</v>
      </c>
      <c r="AA9336">
        <v>0.86739929999999998</v>
      </c>
      <c r="AB9336">
        <v>24</v>
      </c>
      <c r="AC9336">
        <v>6.98199999999997</v>
      </c>
      <c r="AD9336">
        <v>-1.11660057055599</v>
      </c>
      <c r="AE9336">
        <v>-3.14584999999999</v>
      </c>
      <c r="AF9336">
        <v>-3.7570888091611301</v>
      </c>
      <c r="AG9336">
        <v>-1.11660057055599</v>
      </c>
      <c r="AH9336">
        <v>6.4894307794250699</v>
      </c>
      <c r="AI9336">
        <v>98.469601042913794</v>
      </c>
      <c r="AJ9336">
        <v>120.068913036251</v>
      </c>
      <c r="AK9336">
        <v>7.5812416525948603</v>
      </c>
      <c r="AL9336">
        <v>87.988082402713204</v>
      </c>
      <c r="AM9336">
        <v>104.479769175824</v>
      </c>
      <c r="AN9336">
        <v>0.99999998436656301</v>
      </c>
    </row>
    <row r="9337" spans="1:40" x14ac:dyDescent="0.25">
      <c r="A9337" t="str">
        <f>"20190312150908532"</f>
        <v>20190312150908532</v>
      </c>
      <c r="B9337" t="str">
        <f>"1552374548529285"</f>
        <v>1552374548529285</v>
      </c>
      <c r="C9337" t="s">
        <v>40</v>
      </c>
      <c r="D9337">
        <v>4.4742769999999998</v>
      </c>
      <c r="E9337">
        <v>0.40030470000000001</v>
      </c>
      <c r="F9337" t="s">
        <v>41</v>
      </c>
      <c r="G9337">
        <v>-294.13959999999997</v>
      </c>
      <c r="H9337">
        <v>0.97159960000000001</v>
      </c>
      <c r="I9337">
        <v>-50.319279999999999</v>
      </c>
      <c r="J9337">
        <v>-294.90570000000002</v>
      </c>
      <c r="K9337">
        <v>1.1166020000000001</v>
      </c>
      <c r="L9337">
        <v>-50.090150000000001</v>
      </c>
      <c r="M9337">
        <v>0.59134219999999904</v>
      </c>
      <c r="N9337">
        <v>0</v>
      </c>
      <c r="O9337">
        <v>-0.80633829999999995</v>
      </c>
      <c r="P9337">
        <v>0.77329169999999903</v>
      </c>
      <c r="Q9337">
        <v>2.73721E-2</v>
      </c>
      <c r="R9337">
        <v>-0.63345980000000002</v>
      </c>
      <c r="S9337">
        <v>2.8394469999999998</v>
      </c>
      <c r="T9337">
        <v>-0.4487429</v>
      </c>
      <c r="U9337">
        <v>-1.3018799999999999</v>
      </c>
      <c r="V9337">
        <v>-0.24953239999999999</v>
      </c>
      <c r="W9337">
        <v>3.463989E-2</v>
      </c>
      <c r="X9337">
        <v>0.96774669999999896</v>
      </c>
      <c r="Y9337">
        <v>-0.47642679999999998</v>
      </c>
      <c r="Z9337">
        <v>0.13638599999999901</v>
      </c>
      <c r="AA9337">
        <v>0.86857150000000005</v>
      </c>
      <c r="AB9337">
        <v>24</v>
      </c>
      <c r="AC9337">
        <v>0.76610000000005096</v>
      </c>
      <c r="AD9337">
        <v>-0.1450024</v>
      </c>
      <c r="AE9337">
        <v>-0.229129999999997</v>
      </c>
      <c r="AF9337">
        <v>-0.466919878039811</v>
      </c>
      <c r="AG9337">
        <v>-0.1450024</v>
      </c>
      <c r="AH9337">
        <v>0.61752005728478399</v>
      </c>
      <c r="AI9337">
        <v>100.608558630103</v>
      </c>
      <c r="AJ9337">
        <v>127.093691451243</v>
      </c>
      <c r="AK9337">
        <v>0.787636267361702</v>
      </c>
      <c r="AL9337">
        <v>88.014883383512995</v>
      </c>
      <c r="AM9337">
        <v>104.458709741455</v>
      </c>
      <c r="AN9337">
        <v>1.0000000079949301</v>
      </c>
    </row>
    <row r="9338" spans="1:40" x14ac:dyDescent="0.25">
      <c r="A9338" t="str">
        <f>"20190312150908554"</f>
        <v>20190312150908554</v>
      </c>
      <c r="B9338" t="str">
        <f>"1552374548548804"</f>
        <v>1552374548548804</v>
      </c>
      <c r="C9338" t="s">
        <v>40</v>
      </c>
      <c r="D9338">
        <v>4.4734740000000004</v>
      </c>
      <c r="E9338">
        <v>0.40098020000000001</v>
      </c>
      <c r="F9338" t="s">
        <v>41</v>
      </c>
      <c r="G9338">
        <v>-294.0154</v>
      </c>
      <c r="H9338">
        <v>0.97607509999999997</v>
      </c>
      <c r="I9338">
        <v>-50.490760000000002</v>
      </c>
      <c r="J9338">
        <v>-294.75470000000001</v>
      </c>
      <c r="K9338">
        <v>1.116601</v>
      </c>
      <c r="L9338">
        <v>-50.277250000000002</v>
      </c>
      <c r="M9338">
        <v>0.59932629999999998</v>
      </c>
      <c r="N9338">
        <v>0</v>
      </c>
      <c r="O9338">
        <v>-0.80042170000000001</v>
      </c>
      <c r="P9338">
        <v>0.77958830000000001</v>
      </c>
      <c r="Q9338">
        <v>2.6890540000000001E-2</v>
      </c>
      <c r="R9338">
        <v>-0.62571460000000001</v>
      </c>
      <c r="S9338">
        <v>2.8467410000000002</v>
      </c>
      <c r="T9338">
        <v>-0.44925730000000003</v>
      </c>
      <c r="U9338">
        <v>-1.2802119999999999</v>
      </c>
      <c r="V9338">
        <v>-0.2495744</v>
      </c>
      <c r="W9338">
        <v>3.4159040000000002E-2</v>
      </c>
      <c r="X9338">
        <v>0.96775290000000003</v>
      </c>
      <c r="Y9338">
        <v>-0.4740644</v>
      </c>
      <c r="Z9338">
        <v>0.1359687</v>
      </c>
      <c r="AA9338">
        <v>0.86992839999999905</v>
      </c>
      <c r="AB9338">
        <v>24</v>
      </c>
      <c r="AC9338">
        <v>0.73930000000001395</v>
      </c>
      <c r="AD9338">
        <v>-0.14052589999999901</v>
      </c>
      <c r="AE9338">
        <v>-0.21350999999999201</v>
      </c>
      <c r="AF9338">
        <v>-0.44885179894216498</v>
      </c>
      <c r="AG9338">
        <v>-0.14052589999999901</v>
      </c>
      <c r="AH9338">
        <v>0.59420481122601698</v>
      </c>
      <c r="AI9338">
        <v>100.68642558216401</v>
      </c>
      <c r="AJ9338">
        <v>127.066753579636</v>
      </c>
      <c r="AK9338">
        <v>0.757822422252453</v>
      </c>
      <c r="AL9338">
        <v>88.042450257401796</v>
      </c>
      <c r="AM9338">
        <v>104.460952560978</v>
      </c>
      <c r="AN9338">
        <v>0.99999994830374395</v>
      </c>
    </row>
    <row r="9339" spans="1:40" x14ac:dyDescent="0.25">
      <c r="A9339" t="str">
        <f>"20190312150908577"</f>
        <v>20190312150908577</v>
      </c>
      <c r="B9339" t="str">
        <f>"1552374548569301"</f>
        <v>1552374548569301</v>
      </c>
      <c r="C9339" t="s">
        <v>40</v>
      </c>
      <c r="D9339">
        <v>4.5119089999999904</v>
      </c>
      <c r="E9339">
        <v>0.4016286</v>
      </c>
      <c r="F9339" t="s">
        <v>41</v>
      </c>
      <c r="G9339">
        <v>-293.8861</v>
      </c>
      <c r="H9339">
        <v>0.97919789999999995</v>
      </c>
      <c r="I9339">
        <v>-50.65907</v>
      </c>
      <c r="J9339">
        <v>-294.60379999999998</v>
      </c>
      <c r="K9339">
        <v>1.116598</v>
      </c>
      <c r="L9339">
        <v>-50.46069</v>
      </c>
      <c r="M9339">
        <v>0.60715010000000003</v>
      </c>
      <c r="N9339">
        <v>0</v>
      </c>
      <c r="O9339">
        <v>-0.79450330000000002</v>
      </c>
      <c r="P9339">
        <v>0.78552860000000002</v>
      </c>
      <c r="Q9339">
        <v>2.623174E-2</v>
      </c>
      <c r="R9339">
        <v>-0.61826910000000002</v>
      </c>
      <c r="S9339">
        <v>2.8560180000000002</v>
      </c>
      <c r="T9339">
        <v>-0.45179809999999998</v>
      </c>
      <c r="U9339">
        <v>-1.255585</v>
      </c>
      <c r="V9339">
        <v>-0.24929509999999999</v>
      </c>
      <c r="W9339">
        <v>3.3508049999999998E-2</v>
      </c>
      <c r="X9339">
        <v>0.96784769999999998</v>
      </c>
      <c r="Y9339">
        <v>-0.47270800000000002</v>
      </c>
      <c r="Z9339">
        <v>0.1361617</v>
      </c>
      <c r="AA9339">
        <v>0.87063609999999902</v>
      </c>
      <c r="AB9339">
        <v>24</v>
      </c>
      <c r="AC9339">
        <v>0.71769999999997902</v>
      </c>
      <c r="AD9339">
        <v>-0.1374001</v>
      </c>
      <c r="AE9339">
        <v>-0.19838</v>
      </c>
      <c r="AF9339">
        <v>-0.434987362165907</v>
      </c>
      <c r="AG9339">
        <v>-0.1374001</v>
      </c>
      <c r="AH9339">
        <v>0.57386480513263705</v>
      </c>
      <c r="AI9339">
        <v>100.802679034349</v>
      </c>
      <c r="AJ9339">
        <v>127.16199035903701</v>
      </c>
      <c r="AK9339">
        <v>0.73308499322655896</v>
      </c>
      <c r="AL9339">
        <v>88.079770711815996</v>
      </c>
      <c r="AM9339">
        <v>104.444090988081</v>
      </c>
      <c r="AN9339">
        <v>1.00000000334705</v>
      </c>
    </row>
    <row r="9340" spans="1:40" x14ac:dyDescent="0.25">
      <c r="A9340" t="str">
        <f>"20190312150908599"</f>
        <v>20190312150908599</v>
      </c>
      <c r="B9340" t="str">
        <f>"1552374548588820"</f>
        <v>1552374548588820</v>
      </c>
      <c r="C9340" t="s">
        <v>40</v>
      </c>
      <c r="D9340">
        <v>4.4825699999999999</v>
      </c>
      <c r="E9340">
        <v>0.40210990000000002</v>
      </c>
      <c r="F9340" t="s">
        <v>41</v>
      </c>
      <c r="G9340">
        <v>-293.75490000000002</v>
      </c>
      <c r="H9340">
        <v>0.98293260000000005</v>
      </c>
      <c r="I9340">
        <v>-50.826070000000001</v>
      </c>
      <c r="J9340">
        <v>-294.44970000000001</v>
      </c>
      <c r="K9340">
        <v>1.1165989999999999</v>
      </c>
      <c r="L9340">
        <v>-50.64432</v>
      </c>
      <c r="M9340">
        <v>0.61497380000000001</v>
      </c>
      <c r="N9340">
        <v>0</v>
      </c>
      <c r="O9340">
        <v>-0.78846300000000002</v>
      </c>
      <c r="P9340">
        <v>0.79128379999999998</v>
      </c>
      <c r="Q9340">
        <v>2.5368450000000001E-2</v>
      </c>
      <c r="R9340">
        <v>-0.61092239999999998</v>
      </c>
      <c r="S9340">
        <v>2.8643190000000001</v>
      </c>
      <c r="T9340">
        <v>-0.45097540000000003</v>
      </c>
      <c r="U9340">
        <v>-1.2321470000000001</v>
      </c>
      <c r="V9340">
        <v>-0.24875559999999999</v>
      </c>
      <c r="W9340">
        <v>3.2657360000000003E-2</v>
      </c>
      <c r="X9340">
        <v>0.96801559999999998</v>
      </c>
      <c r="Y9340">
        <v>-0.47103339999999999</v>
      </c>
      <c r="Z9340">
        <v>0.13532520000000001</v>
      </c>
      <c r="AA9340">
        <v>0.87167349999999999</v>
      </c>
      <c r="AB9340">
        <v>24</v>
      </c>
      <c r="AC9340">
        <v>0.69479999999998598</v>
      </c>
      <c r="AD9340">
        <v>-0.13366639999999899</v>
      </c>
      <c r="AE9340">
        <v>-0.18174999999999999</v>
      </c>
      <c r="AF9340">
        <v>-0.42148148789603401</v>
      </c>
      <c r="AG9340">
        <v>-0.13366639999999899</v>
      </c>
      <c r="AH9340">
        <v>0.55152023594562205</v>
      </c>
      <c r="AI9340">
        <v>100.899790726525</v>
      </c>
      <c r="AJ9340">
        <v>127.3877002704</v>
      </c>
      <c r="AK9340">
        <v>0.70688607412052595</v>
      </c>
      <c r="AL9340">
        <v>88.128538398204697</v>
      </c>
      <c r="AM9340">
        <v>104.411740154418</v>
      </c>
      <c r="AN9340">
        <v>1.0000000267684399</v>
      </c>
    </row>
    <row r="9341" spans="1:40" x14ac:dyDescent="0.25">
      <c r="A9341" t="str">
        <f>"20190312150908620"</f>
        <v>20190312150908620</v>
      </c>
      <c r="B9341" t="str">
        <f>"1552374548609007"</f>
        <v>1552374548609007</v>
      </c>
      <c r="C9341" t="s">
        <v>40</v>
      </c>
      <c r="D9341">
        <v>4.5250839999999997</v>
      </c>
      <c r="E9341">
        <v>0.40283649999999999</v>
      </c>
      <c r="F9341" t="s">
        <v>41</v>
      </c>
      <c r="G9341">
        <v>-293.62220000000002</v>
      </c>
      <c r="H9341">
        <v>0.98747799999999997</v>
      </c>
      <c r="I9341">
        <v>-50.992269999999998</v>
      </c>
      <c r="J9341">
        <v>-294.29910000000001</v>
      </c>
      <c r="K9341">
        <v>1.116592</v>
      </c>
      <c r="L9341">
        <v>-50.820399999999999</v>
      </c>
      <c r="M9341">
        <v>0.622471</v>
      </c>
      <c r="N9341">
        <v>0</v>
      </c>
      <c r="O9341">
        <v>-0.78255779999999997</v>
      </c>
      <c r="P9341">
        <v>0.79694189999999998</v>
      </c>
      <c r="Q9341">
        <v>2.5262420000000001E-2</v>
      </c>
      <c r="R9341">
        <v>-0.60352799999999995</v>
      </c>
      <c r="S9341">
        <v>2.8730159999999998</v>
      </c>
      <c r="T9341">
        <v>-0.44828220000000002</v>
      </c>
      <c r="U9341">
        <v>-1.2080379999999999</v>
      </c>
      <c r="V9341">
        <v>-0.24853169999999999</v>
      </c>
      <c r="W9341">
        <v>3.2558230000000001E-2</v>
      </c>
      <c r="X9341">
        <v>0.96807639999999995</v>
      </c>
      <c r="Y9341">
        <v>-0.46996310000000002</v>
      </c>
      <c r="Z9341">
        <v>0.13396420000000001</v>
      </c>
      <c r="AA9341">
        <v>0.87246100000000004</v>
      </c>
      <c r="AB9341">
        <v>24</v>
      </c>
      <c r="AC9341">
        <v>0.67689999999998895</v>
      </c>
      <c r="AD9341">
        <v>-0.12911399999999901</v>
      </c>
      <c r="AE9341">
        <v>-0.171869999999998</v>
      </c>
      <c r="AF9341">
        <v>-0.40878538384283702</v>
      </c>
      <c r="AG9341">
        <v>-0.12911399999999901</v>
      </c>
      <c r="AH9341">
        <v>0.53751392555231303</v>
      </c>
      <c r="AI9341">
        <v>100.824075959578</v>
      </c>
      <c r="AJ9341">
        <v>127.253396908193</v>
      </c>
      <c r="AK9341">
        <v>0.68752973404951201</v>
      </c>
      <c r="AL9341">
        <v>88.134221063786597</v>
      </c>
      <c r="AM9341">
        <v>104.398441240811</v>
      </c>
      <c r="AN9341">
        <v>0.999999980241291</v>
      </c>
    </row>
    <row r="9342" spans="1:40" x14ac:dyDescent="0.25">
      <c r="A9342" t="str">
        <f>"20190312150908636"</f>
        <v>20190312150908636</v>
      </c>
      <c r="B9342" t="str">
        <f>"1552374548628527"</f>
        <v>1552374548628527</v>
      </c>
      <c r="C9342" t="s">
        <v>40</v>
      </c>
      <c r="D9342">
        <v>4.5287350000000002</v>
      </c>
      <c r="E9342">
        <v>0.40373130000000002</v>
      </c>
      <c r="F9342" t="s">
        <v>41</v>
      </c>
      <c r="G9342">
        <v>-293.48509999999999</v>
      </c>
      <c r="H9342">
        <v>0.9911816</v>
      </c>
      <c r="I9342">
        <v>-51.155619999999999</v>
      </c>
      <c r="J9342">
        <v>-294.1884</v>
      </c>
      <c r="K9342">
        <v>1.1165909999999999</v>
      </c>
      <c r="L9342">
        <v>-50.947360000000003</v>
      </c>
      <c r="M9342">
        <v>0.62787689999999996</v>
      </c>
      <c r="N9342">
        <v>0</v>
      </c>
      <c r="O9342">
        <v>-0.77822709999999995</v>
      </c>
      <c r="P9342">
        <v>0.801019699999999</v>
      </c>
      <c r="Q9342">
        <v>2.5232560000000001E-2</v>
      </c>
      <c r="R9342">
        <v>-0.59810649999999999</v>
      </c>
      <c r="S9342">
        <v>2.8805540000000001</v>
      </c>
      <c r="T9342">
        <v>-0.44373509999999999</v>
      </c>
      <c r="U9342">
        <v>-1.185638</v>
      </c>
      <c r="V9342">
        <v>-0.2483948</v>
      </c>
      <c r="W9342">
        <v>3.2532499999999999E-2</v>
      </c>
      <c r="X9342">
        <v>0.96811239999999998</v>
      </c>
      <c r="Y9342">
        <v>-0.47069349999999999</v>
      </c>
      <c r="Z9342">
        <v>0.13231660000000001</v>
      </c>
      <c r="AA9342">
        <v>0.8723187</v>
      </c>
      <c r="AB9342">
        <v>24</v>
      </c>
      <c r="AC9342">
        <v>0.70330000000001203</v>
      </c>
      <c r="AD9342">
        <v>-0.1254094</v>
      </c>
      <c r="AE9342">
        <v>-0.208260000000002</v>
      </c>
      <c r="AF9342">
        <v>-0.40476079121758102</v>
      </c>
      <c r="AG9342">
        <v>-0.1254094</v>
      </c>
      <c r="AH9342">
        <v>0.58655282339354298</v>
      </c>
      <c r="AI9342">
        <v>99.980450716756295</v>
      </c>
      <c r="AJ9342">
        <v>124.608279032669</v>
      </c>
      <c r="AK9342">
        <v>0.72360419453343305</v>
      </c>
      <c r="AL9342">
        <v>88.135696064448396</v>
      </c>
      <c r="AM9342">
        <v>104.390326621887</v>
      </c>
      <c r="AN9342">
        <v>0.99999997962852405</v>
      </c>
    </row>
    <row r="9343" spans="1:40" x14ac:dyDescent="0.25">
      <c r="A9343" t="str">
        <f>"20190312150908650"</f>
        <v>20190312150908650</v>
      </c>
      <c r="B9343" t="str">
        <f>"1552374548639263"</f>
        <v>1552374548639263</v>
      </c>
      <c r="C9343" t="s">
        <v>40</v>
      </c>
      <c r="D9343">
        <v>4.4938419999999999</v>
      </c>
      <c r="E9343">
        <v>0.40373130000000002</v>
      </c>
      <c r="F9343" t="s">
        <v>41</v>
      </c>
      <c r="G9343">
        <v>-293.33109999999999</v>
      </c>
      <c r="H9343">
        <v>0.98449770000000003</v>
      </c>
      <c r="I9343">
        <v>-51.295780000000001</v>
      </c>
      <c r="J9343">
        <v>-294.09449999999998</v>
      </c>
      <c r="K9343">
        <v>1.1165940000000001</v>
      </c>
      <c r="L9343">
        <v>-51.053959999999996</v>
      </c>
      <c r="M9343">
        <v>0.63241210000000003</v>
      </c>
      <c r="N9343">
        <v>0</v>
      </c>
      <c r="O9343">
        <v>-0.77454590000000001</v>
      </c>
      <c r="P9343">
        <v>0.80440239999999996</v>
      </c>
      <c r="Q9343">
        <v>2.4814389999999999E-2</v>
      </c>
      <c r="R9343">
        <v>-0.59356660000000006</v>
      </c>
      <c r="S9343">
        <v>2.884277</v>
      </c>
      <c r="T9343">
        <v>-0.44432670000000002</v>
      </c>
      <c r="U9343">
        <v>-1.171783</v>
      </c>
      <c r="V9343">
        <v>-0.24821860000000001</v>
      </c>
      <c r="W9343">
        <v>3.2118819999999999E-2</v>
      </c>
      <c r="X9343">
        <v>0.96817140000000002</v>
      </c>
      <c r="Y9343">
        <v>-0.46954089999999998</v>
      </c>
      <c r="Z9343">
        <v>0.13214699999999999</v>
      </c>
      <c r="AA9343">
        <v>0.87296530000000006</v>
      </c>
      <c r="AB9343">
        <v>24</v>
      </c>
      <c r="AC9343">
        <v>0.76339999999998998</v>
      </c>
      <c r="AD9343">
        <v>-0.1320963</v>
      </c>
      <c r="AE9343">
        <v>-0.241820000000004</v>
      </c>
      <c r="AF9343">
        <v>-0.42677462867416299</v>
      </c>
      <c r="AG9343">
        <v>-0.1320963</v>
      </c>
      <c r="AH9343">
        <v>0.65237681595322705</v>
      </c>
      <c r="AI9343">
        <v>99.617262750879505</v>
      </c>
      <c r="AJ9343">
        <v>123.192079055557</v>
      </c>
      <c r="AK9343">
        <v>0.79068421392293597</v>
      </c>
      <c r="AL9343">
        <v>88.159410569728493</v>
      </c>
      <c r="AM9343">
        <v>104.379702237955</v>
      </c>
      <c r="AN9343">
        <v>0.99999997588105505</v>
      </c>
    </row>
    <row r="9344" spans="1:40" x14ac:dyDescent="0.25">
      <c r="A9344" t="str">
        <f>"20190312150908663"</f>
        <v>20190312150908663</v>
      </c>
      <c r="B9344" t="str">
        <f>"1552374548658783"</f>
        <v>1552374548658783</v>
      </c>
      <c r="C9344" t="s">
        <v>40</v>
      </c>
      <c r="D9344">
        <v>4.5259929999999997</v>
      </c>
      <c r="E9344">
        <v>0.41642319999999999</v>
      </c>
      <c r="F9344" t="s">
        <v>41</v>
      </c>
      <c r="G9344">
        <v>-293.166</v>
      </c>
      <c r="H9344">
        <v>0.97344169999999997</v>
      </c>
      <c r="I9344">
        <v>-51.425249999999998</v>
      </c>
      <c r="J9344">
        <v>-293.99400000000003</v>
      </c>
      <c r="K9344">
        <v>1.1165959999999999</v>
      </c>
      <c r="L9344">
        <v>-51.166840000000001</v>
      </c>
      <c r="M9344">
        <v>0.63721000000000005</v>
      </c>
      <c r="N9344">
        <v>0</v>
      </c>
      <c r="O9344">
        <v>-0.770603699999999</v>
      </c>
      <c r="P9344">
        <v>0.80790099999999998</v>
      </c>
      <c r="Q9344">
        <v>2.4496839999999999E-2</v>
      </c>
      <c r="R9344">
        <v>-0.58880909999999997</v>
      </c>
      <c r="S9344">
        <v>2.8906860000000001</v>
      </c>
      <c r="T9344">
        <v>-0.44561030000000001</v>
      </c>
      <c r="U9344">
        <v>-1.1553040000000001</v>
      </c>
      <c r="V9344">
        <v>-0.2479218</v>
      </c>
      <c r="W9344">
        <v>3.1807130000000003E-2</v>
      </c>
      <c r="X9344">
        <v>0.9682577</v>
      </c>
      <c r="Y9344">
        <v>-0.46900900000000001</v>
      </c>
      <c r="Z9344">
        <v>0.13211809999999999</v>
      </c>
      <c r="AA9344">
        <v>0.87325569999999897</v>
      </c>
      <c r="AB9344">
        <v>24</v>
      </c>
      <c r="AC9344">
        <v>0.82800000000003104</v>
      </c>
      <c r="AD9344">
        <v>-0.14315429999999901</v>
      </c>
      <c r="AE9344">
        <v>-0.25840999999999698</v>
      </c>
      <c r="AF9344">
        <v>-0.46087641125284901</v>
      </c>
      <c r="AG9344">
        <v>-0.14315429999999901</v>
      </c>
      <c r="AH9344">
        <v>0.70751830343646704</v>
      </c>
      <c r="AI9344">
        <v>99.622226238599794</v>
      </c>
      <c r="AJ9344">
        <v>123.080163490678</v>
      </c>
      <c r="AK9344">
        <v>0.85643585267982103</v>
      </c>
      <c r="AL9344">
        <v>88.1772781612475</v>
      </c>
      <c r="AM9344">
        <v>104.36199266537</v>
      </c>
      <c r="AN9344">
        <v>0.99999994302168105</v>
      </c>
    </row>
    <row r="9345" spans="1:40" x14ac:dyDescent="0.25">
      <c r="A9345" t="str">
        <f>"20190312150908677"</f>
        <v>20190312150908677</v>
      </c>
      <c r="B9345" t="str">
        <f>"1552374548668544"</f>
        <v>1552374548668544</v>
      </c>
      <c r="C9345" t="s">
        <v>40</v>
      </c>
      <c r="D9345">
        <v>4.5098929999999999</v>
      </c>
      <c r="E9345">
        <v>0.41645520000000003</v>
      </c>
      <c r="F9345" t="s">
        <v>73</v>
      </c>
      <c r="G9345">
        <v>-286.44959999999998</v>
      </c>
      <c r="H9345" s="1">
        <v>-4.1450379999999999E-6</v>
      </c>
      <c r="I9345">
        <v>-54.412239999999997</v>
      </c>
      <c r="J9345">
        <v>-293.90019999999998</v>
      </c>
      <c r="K9345">
        <v>1.116601</v>
      </c>
      <c r="L9345">
        <v>-51.270449999999997</v>
      </c>
      <c r="M9345">
        <v>0.64162189999999997</v>
      </c>
      <c r="N9345">
        <v>0</v>
      </c>
      <c r="O9345">
        <v>-0.76693409999999995</v>
      </c>
      <c r="P9345">
        <v>0.81099709999999903</v>
      </c>
      <c r="Q9345">
        <v>2.467196E-2</v>
      </c>
      <c r="R9345">
        <v>-0.58452979999999999</v>
      </c>
      <c r="S9345">
        <v>2.8367</v>
      </c>
      <c r="T9345">
        <v>-0.4198442</v>
      </c>
      <c r="U9345">
        <v>-1.2202759999999999</v>
      </c>
      <c r="V9345">
        <v>-0.24748310000000001</v>
      </c>
      <c r="W9345">
        <v>3.199014E-2</v>
      </c>
      <c r="X9345">
        <v>0.96836390000000006</v>
      </c>
      <c r="Y9345">
        <v>-0.44214769999999998</v>
      </c>
      <c r="Z9345">
        <v>0.1238281</v>
      </c>
      <c r="AA9345">
        <v>0.88835359999999997</v>
      </c>
      <c r="AB9345">
        <v>24</v>
      </c>
      <c r="AC9345">
        <v>7.4505999999999997</v>
      </c>
      <c r="AD9345">
        <v>-1.1166051450379999</v>
      </c>
      <c r="AE9345">
        <v>-3.1417899999999999</v>
      </c>
      <c r="AF9345">
        <v>-3.62931547234369</v>
      </c>
      <c r="AG9345">
        <v>-1.1166051450379999</v>
      </c>
      <c r="AH9345">
        <v>7.0559405100916104</v>
      </c>
      <c r="AI9345">
        <v>98.010385877599504</v>
      </c>
      <c r="AJ9345">
        <v>117.219618145586</v>
      </c>
      <c r="AK9345">
        <v>8.0128043985654998</v>
      </c>
      <c r="AL9345">
        <v>88.166787130970903</v>
      </c>
      <c r="AM9345">
        <v>104.336119983066</v>
      </c>
      <c r="AN9345">
        <v>0.99999994833301797</v>
      </c>
    </row>
    <row r="9346" spans="1:40" x14ac:dyDescent="0.25">
      <c r="A9346" t="str">
        <f>"20190312150908692"</f>
        <v>20190312150908692</v>
      </c>
      <c r="B9346" t="str">
        <f>"1552374548689039"</f>
        <v>1552374548689039</v>
      </c>
      <c r="C9346" t="s">
        <v>40</v>
      </c>
      <c r="D9346">
        <v>4.493703</v>
      </c>
      <c r="E9346">
        <v>0.41626039999999997</v>
      </c>
      <c r="F9346" t="s">
        <v>41</v>
      </c>
      <c r="G9346">
        <v>-293.01609999999999</v>
      </c>
      <c r="H9346">
        <v>0.98626729999999996</v>
      </c>
      <c r="I9346">
        <v>-51.64528</v>
      </c>
      <c r="J9346">
        <v>-293.78699999999998</v>
      </c>
      <c r="K9346">
        <v>1.116606</v>
      </c>
      <c r="L9346">
        <v>-51.394129999999997</v>
      </c>
      <c r="M9346">
        <v>0.64688519999999905</v>
      </c>
      <c r="N9346">
        <v>0</v>
      </c>
      <c r="O9346">
        <v>-0.76249990000000001</v>
      </c>
      <c r="P9346">
        <v>0.81491569999999902</v>
      </c>
      <c r="Q9346">
        <v>2.453901E-2</v>
      </c>
      <c r="R9346">
        <v>-0.57905980000000001</v>
      </c>
      <c r="S9346">
        <v>2.8429869999999999</v>
      </c>
      <c r="T9346">
        <v>-0.4191434</v>
      </c>
      <c r="U9346">
        <v>-1.2055659999999999</v>
      </c>
      <c r="V9346">
        <v>-0.247335</v>
      </c>
      <c r="W9346">
        <v>3.1860029999999998E-2</v>
      </c>
      <c r="X9346">
        <v>0.96840610000000005</v>
      </c>
      <c r="Y9346">
        <v>-0.44066109999999997</v>
      </c>
      <c r="Z9346">
        <v>0.12311900000000001</v>
      </c>
      <c r="AA9346">
        <v>0.88919040000000005</v>
      </c>
      <c r="AB9346">
        <v>24</v>
      </c>
      <c r="AC9346">
        <v>0.77090000000004</v>
      </c>
      <c r="AD9346">
        <v>-0.130338699999999</v>
      </c>
      <c r="AE9346">
        <v>-0.25115000000000198</v>
      </c>
      <c r="AF9346">
        <v>-0.41465835805345402</v>
      </c>
      <c r="AG9346">
        <v>-0.130338699999999</v>
      </c>
      <c r="AH9346">
        <v>0.672843470822309</v>
      </c>
      <c r="AI9346">
        <v>99.3644621439025</v>
      </c>
      <c r="AJ9346">
        <v>121.644597923896</v>
      </c>
      <c r="AK9346">
        <v>0.80102937951706099</v>
      </c>
      <c r="AL9346">
        <v>88.174245816420594</v>
      </c>
      <c r="AM9346">
        <v>104.327295547174</v>
      </c>
      <c r="AN9346">
        <v>1.0000000191269001</v>
      </c>
    </row>
    <row r="9347" spans="1:40" x14ac:dyDescent="0.25">
      <c r="A9347" t="str">
        <f>"20190312150908706"</f>
        <v>20190312150908706</v>
      </c>
      <c r="B9347" t="str">
        <f>"1552374548698645"</f>
        <v>1552374548698645</v>
      </c>
      <c r="C9347" t="s">
        <v>40</v>
      </c>
      <c r="D9347">
        <v>4.483708</v>
      </c>
      <c r="E9347">
        <v>0.41668670000000002</v>
      </c>
      <c r="F9347" t="s">
        <v>41</v>
      </c>
      <c r="G9347">
        <v>-292.89980000000003</v>
      </c>
      <c r="H9347">
        <v>0.98630859999999998</v>
      </c>
      <c r="I9347">
        <v>-51.762970000000003</v>
      </c>
      <c r="J9347">
        <v>-293.68880000000001</v>
      </c>
      <c r="K9347">
        <v>1.116611</v>
      </c>
      <c r="L9347">
        <v>-51.500520000000002</v>
      </c>
      <c r="M9347">
        <v>0.65140580000000003</v>
      </c>
      <c r="N9347">
        <v>0</v>
      </c>
      <c r="O9347">
        <v>-0.75864129999999996</v>
      </c>
      <c r="P9347">
        <v>0.81830619999999998</v>
      </c>
      <c r="Q9347">
        <v>2.4584680000000001E-2</v>
      </c>
      <c r="R9347">
        <v>-0.5742564</v>
      </c>
      <c r="S9347">
        <v>2.8518979999999998</v>
      </c>
      <c r="T9347">
        <v>-0.41876479999999999</v>
      </c>
      <c r="U9347">
        <v>-1.185028</v>
      </c>
      <c r="V9347">
        <v>-0.24727550000000001</v>
      </c>
      <c r="W9347">
        <v>3.1905790000000003E-2</v>
      </c>
      <c r="X9347">
        <v>0.96841980000000005</v>
      </c>
      <c r="Y9347">
        <v>-0.44182290000000002</v>
      </c>
      <c r="Z9347">
        <v>0.1226846</v>
      </c>
      <c r="AA9347">
        <v>0.88867369999999901</v>
      </c>
      <c r="AB9347">
        <v>24</v>
      </c>
      <c r="AC9347">
        <v>0.78899999999998705</v>
      </c>
      <c r="AD9347">
        <v>-0.13030240000000001</v>
      </c>
      <c r="AE9347">
        <v>-0.26245000000000102</v>
      </c>
      <c r="AF9347">
        <v>-0.41738543378007398</v>
      </c>
      <c r="AG9347">
        <v>-0.13030240000000001</v>
      </c>
      <c r="AH9347">
        <v>0.69602016801525601</v>
      </c>
      <c r="AI9347">
        <v>99.121273267461206</v>
      </c>
      <c r="AJ9347">
        <v>120.950034682769</v>
      </c>
      <c r="AK9347">
        <v>0.82196921478941398</v>
      </c>
      <c r="AL9347">
        <v>88.171622649137106</v>
      </c>
      <c r="AM9347">
        <v>104.323796452146</v>
      </c>
      <c r="AN9347">
        <v>1.0000000306839001</v>
      </c>
    </row>
    <row r="9348" spans="1:40" x14ac:dyDescent="0.25">
      <c r="A9348" t="str">
        <f>"20190312150908721"</f>
        <v>20190312150908721</v>
      </c>
      <c r="B9348" t="str">
        <f>"1552374548719141"</f>
        <v>1552374548719141</v>
      </c>
      <c r="C9348" t="s">
        <v>40</v>
      </c>
      <c r="D9348">
        <v>4.4471879999999997</v>
      </c>
      <c r="E9348">
        <v>0.41740430000000001</v>
      </c>
      <c r="F9348" t="s">
        <v>41</v>
      </c>
      <c r="G9348">
        <v>-292.7346</v>
      </c>
      <c r="H9348">
        <v>0.97648690000000005</v>
      </c>
      <c r="I9348">
        <v>-51.89161</v>
      </c>
      <c r="J9348">
        <v>-293.57380000000001</v>
      </c>
      <c r="K9348">
        <v>1.116614</v>
      </c>
      <c r="L9348">
        <v>-51.623049999999999</v>
      </c>
      <c r="M9348">
        <v>0.65662049999999905</v>
      </c>
      <c r="N9348">
        <v>0</v>
      </c>
      <c r="O9348">
        <v>-0.75413249999999998</v>
      </c>
      <c r="P9348">
        <v>0.82201409999999997</v>
      </c>
      <c r="Q9348">
        <v>2.409936E-2</v>
      </c>
      <c r="R9348">
        <v>-0.56895759999999995</v>
      </c>
      <c r="S9348">
        <v>2.856903</v>
      </c>
      <c r="T9348">
        <v>-0.41954459999999999</v>
      </c>
      <c r="U9348">
        <v>-1.1710210000000001</v>
      </c>
      <c r="V9348">
        <v>-0.24686</v>
      </c>
      <c r="W9348">
        <v>3.1427280000000002E-2</v>
      </c>
      <c r="X9348">
        <v>0.9685414</v>
      </c>
      <c r="Y9348">
        <v>-0.43993599999999999</v>
      </c>
      <c r="Z9348">
        <v>0.12239899999999999</v>
      </c>
      <c r="AA9348">
        <v>0.88964869999999996</v>
      </c>
      <c r="AB9348">
        <v>24</v>
      </c>
      <c r="AC9348">
        <v>0.83920000000000505</v>
      </c>
      <c r="AD9348">
        <v>-0.14012709999999901</v>
      </c>
      <c r="AE9348">
        <v>-0.26856000000000002</v>
      </c>
      <c r="AF9348">
        <v>-0.44529448389833198</v>
      </c>
      <c r="AG9348">
        <v>-0.14012709999999901</v>
      </c>
      <c r="AH9348">
        <v>0.73502643058239503</v>
      </c>
      <c r="AI9348">
        <v>99.260817623924495</v>
      </c>
      <c r="AJ9348">
        <v>121.20836333043199</v>
      </c>
      <c r="AK9348">
        <v>0.87073913154250004</v>
      </c>
      <c r="AL9348">
        <v>88.199052932667101</v>
      </c>
      <c r="AM9348">
        <v>104.298994184189</v>
      </c>
      <c r="AN9348">
        <v>0.99999998852107896</v>
      </c>
    </row>
    <row r="9349" spans="1:40" x14ac:dyDescent="0.25">
      <c r="A9349" t="str">
        <f>"20190312150908744"</f>
        <v>20190312150908744</v>
      </c>
      <c r="B9349" t="str">
        <f>"1552374548738661"</f>
        <v>1552374548738661</v>
      </c>
      <c r="C9349" t="s">
        <v>40</v>
      </c>
      <c r="D9349">
        <v>4.4836169999999997</v>
      </c>
      <c r="E9349">
        <v>0.41838989999999998</v>
      </c>
      <c r="F9349" t="s">
        <v>73</v>
      </c>
      <c r="G9349">
        <v>-285.99180000000001</v>
      </c>
      <c r="H9349" s="1">
        <v>-4.3260830000000001E-6</v>
      </c>
      <c r="I9349">
        <v>-54.689529999999998</v>
      </c>
      <c r="J9349">
        <v>-293.40640000000002</v>
      </c>
      <c r="K9349">
        <v>1.1166199999999999</v>
      </c>
      <c r="L9349">
        <v>-51.798580000000001</v>
      </c>
      <c r="M9349">
        <v>0.66408940000000005</v>
      </c>
      <c r="N9349">
        <v>0</v>
      </c>
      <c r="O9349">
        <v>-0.74756350000000005</v>
      </c>
      <c r="P9349">
        <v>0.82717619999999903</v>
      </c>
      <c r="Q9349">
        <v>2.4040430000000002E-2</v>
      </c>
      <c r="R9349">
        <v>-0.56142840000000005</v>
      </c>
      <c r="S9349">
        <v>2.8610530000000001</v>
      </c>
      <c r="T9349">
        <v>-0.42135499999999998</v>
      </c>
      <c r="U9349">
        <v>-1.157135</v>
      </c>
      <c r="V9349">
        <v>-0.24606910000000001</v>
      </c>
      <c r="W9349">
        <v>3.1381529999999998E-2</v>
      </c>
      <c r="X9349">
        <v>0.96874420000000006</v>
      </c>
      <c r="Y9349">
        <v>-0.43517030000000001</v>
      </c>
      <c r="Z9349">
        <v>0.122072</v>
      </c>
      <c r="AA9349">
        <v>0.89203440000000001</v>
      </c>
      <c r="AB9349">
        <v>24</v>
      </c>
      <c r="AC9349">
        <v>7.4146000000000001</v>
      </c>
      <c r="AD9349">
        <v>-1.116624326083</v>
      </c>
      <c r="AE9349">
        <v>-2.8909500000000001</v>
      </c>
      <c r="AF9349">
        <v>-3.5533239462518602</v>
      </c>
      <c r="AG9349">
        <v>-1.116624326083</v>
      </c>
      <c r="AH9349">
        <v>6.9488004466870601</v>
      </c>
      <c r="AI9349">
        <v>98.142188857012002</v>
      </c>
      <c r="AJ9349">
        <v>117.083289946638</v>
      </c>
      <c r="AK9349">
        <v>7.88408451251542</v>
      </c>
      <c r="AL9349">
        <v>88.201675643439899</v>
      </c>
      <c r="AM9349">
        <v>104.252189932555</v>
      </c>
      <c r="AN9349">
        <v>1.0000000637167901</v>
      </c>
    </row>
    <row r="9350" spans="1:40" x14ac:dyDescent="0.25">
      <c r="A9350" t="str">
        <f>"20190312150908766"</f>
        <v>20190312150908766</v>
      </c>
      <c r="B9350" t="str">
        <f>"1552374548759157"</f>
        <v>1552374548759157</v>
      </c>
      <c r="C9350" t="s">
        <v>40</v>
      </c>
      <c r="D9350">
        <v>4.471622</v>
      </c>
      <c r="E9350">
        <v>0.41940060000000001</v>
      </c>
      <c r="F9350" t="s">
        <v>73</v>
      </c>
      <c r="G9350">
        <v>-285.79899999999998</v>
      </c>
      <c r="H9350" s="1">
        <v>-4.4005779999999997E-6</v>
      </c>
      <c r="I9350">
        <v>-54.815980000000003</v>
      </c>
      <c r="J9350">
        <v>-293.23880000000003</v>
      </c>
      <c r="K9350">
        <v>1.1166259999999999</v>
      </c>
      <c r="L9350">
        <v>-51.970669999999998</v>
      </c>
      <c r="M9350">
        <v>0.67142239999999997</v>
      </c>
      <c r="N9350">
        <v>0</v>
      </c>
      <c r="O9350">
        <v>-0.74098459999999999</v>
      </c>
      <c r="P9350">
        <v>0.83227119999999999</v>
      </c>
      <c r="Q9350">
        <v>2.3625279999999999E-2</v>
      </c>
      <c r="R9350">
        <v>-0.55386550000000001</v>
      </c>
      <c r="S9350">
        <v>2.8671880000000001</v>
      </c>
      <c r="T9350">
        <v>-0.42084899999999997</v>
      </c>
      <c r="U9350">
        <v>-1.137238</v>
      </c>
      <c r="V9350">
        <v>-0.24535799999999999</v>
      </c>
      <c r="W9350">
        <v>3.0977359999999999E-2</v>
      </c>
      <c r="X9350">
        <v>0.96893750000000001</v>
      </c>
      <c r="Y9350">
        <v>-0.43239689999999997</v>
      </c>
      <c r="Z9350">
        <v>0.121187</v>
      </c>
      <c r="AA9350">
        <v>0.89350239999999903</v>
      </c>
      <c r="AB9350">
        <v>24</v>
      </c>
      <c r="AC9350">
        <v>7.4397999999999902</v>
      </c>
      <c r="AD9350">
        <v>-1.1166304005779999</v>
      </c>
      <c r="AE9350">
        <v>-2.84531</v>
      </c>
      <c r="AF9350">
        <v>-3.5331785169688898</v>
      </c>
      <c r="AG9350">
        <v>-1.1166304005779999</v>
      </c>
      <c r="AH9350">
        <v>6.9671347526216998</v>
      </c>
      <c r="AI9350">
        <v>98.134832439823199</v>
      </c>
      <c r="AJ9350">
        <v>116.89051124432601</v>
      </c>
      <c r="AK9350">
        <v>7.89120906740244</v>
      </c>
      <c r="AL9350">
        <v>88.224844049862398</v>
      </c>
      <c r="AM9350">
        <v>104.20995401462299</v>
      </c>
      <c r="AN9350">
        <v>1.0000000119514001</v>
      </c>
    </row>
    <row r="9351" spans="1:40" x14ac:dyDescent="0.25">
      <c r="A9351" t="str">
        <f>"20190312150908781"</f>
        <v>20190312150908781</v>
      </c>
      <c r="B9351" t="str">
        <f>"1552374548778678"</f>
        <v>1552374548778678</v>
      </c>
      <c r="C9351" t="s">
        <v>40</v>
      </c>
      <c r="D9351">
        <v>4.4661710000000001</v>
      </c>
      <c r="E9351">
        <v>0.4202245</v>
      </c>
      <c r="F9351" t="s">
        <v>41</v>
      </c>
      <c r="G9351">
        <v>-292.28440000000001</v>
      </c>
      <c r="H9351">
        <v>0.97688209999999998</v>
      </c>
      <c r="I9351">
        <v>-52.342010000000002</v>
      </c>
      <c r="J9351">
        <v>-293.12299999999999</v>
      </c>
      <c r="K9351">
        <v>1.1166309999999999</v>
      </c>
      <c r="L9351">
        <v>-52.087769999999999</v>
      </c>
      <c r="M9351">
        <v>0.67641280000000004</v>
      </c>
      <c r="N9351">
        <v>0</v>
      </c>
      <c r="O9351">
        <v>-0.73643179999999997</v>
      </c>
      <c r="P9351">
        <v>0.83574550000000003</v>
      </c>
      <c r="Q9351">
        <v>2.3527599999999999E-2</v>
      </c>
      <c r="R9351">
        <v>-0.54861269999999995</v>
      </c>
      <c r="S9351">
        <v>2.872925</v>
      </c>
      <c r="T9351">
        <v>-0.420601</v>
      </c>
      <c r="U9351">
        <v>-1.1173709999999999</v>
      </c>
      <c r="V9351">
        <v>-0.24491560000000001</v>
      </c>
      <c r="W9351">
        <v>3.0886810000000001E-2</v>
      </c>
      <c r="X9351">
        <v>0.96905229999999998</v>
      </c>
      <c r="Y9351">
        <v>-0.4323207</v>
      </c>
      <c r="Z9351">
        <v>0.120728</v>
      </c>
      <c r="AA9351">
        <v>0.89360149999999905</v>
      </c>
      <c r="AB9351">
        <v>24</v>
      </c>
      <c r="AC9351">
        <v>0.83859999999998502</v>
      </c>
      <c r="AD9351">
        <v>-0.13974889999999901</v>
      </c>
      <c r="AE9351">
        <v>-0.25423999999999503</v>
      </c>
      <c r="AF9351">
        <v>-0.43457770989237798</v>
      </c>
      <c r="AG9351">
        <v>-0.13974889999999901</v>
      </c>
      <c r="AH9351">
        <v>0.735806887167201</v>
      </c>
      <c r="AI9351">
        <v>99.287569957069493</v>
      </c>
      <c r="AJ9351">
        <v>120.5666855115</v>
      </c>
      <c r="AK9351">
        <v>0.86590953118048097</v>
      </c>
      <c r="AL9351">
        <v>88.2300346508149</v>
      </c>
      <c r="AM9351">
        <v>104.183754799555</v>
      </c>
      <c r="AN9351">
        <v>1.00000000314531</v>
      </c>
    </row>
    <row r="9352" spans="1:40" x14ac:dyDescent="0.25">
      <c r="A9352" t="str">
        <f>"20190312150908795"</f>
        <v>20190312150908795</v>
      </c>
      <c r="B9352" t="str">
        <f>"1552374548788438"</f>
        <v>1552374548788438</v>
      </c>
      <c r="C9352" t="s">
        <v>40</v>
      </c>
      <c r="D9352">
        <v>4.5033459999999996</v>
      </c>
      <c r="E9352">
        <v>0.42063109999999998</v>
      </c>
      <c r="F9352" t="s">
        <v>73</v>
      </c>
      <c r="G9352">
        <v>-285.34320000000002</v>
      </c>
      <c r="H9352" s="1">
        <v>-4.583605E-6</v>
      </c>
      <c r="I9352">
        <v>-55.076479999999997</v>
      </c>
      <c r="J9352">
        <v>-293.01900000000001</v>
      </c>
      <c r="K9352">
        <v>1.116635</v>
      </c>
      <c r="L9352">
        <v>-52.191380000000002</v>
      </c>
      <c r="M9352">
        <v>0.68083459999999996</v>
      </c>
      <c r="N9352">
        <v>0</v>
      </c>
      <c r="O9352">
        <v>-0.73234589999999999</v>
      </c>
      <c r="P9352">
        <v>0.83878410000000003</v>
      </c>
      <c r="Q9352">
        <v>2.3617820000000001E-2</v>
      </c>
      <c r="R9352">
        <v>-0.54395199999999999</v>
      </c>
      <c r="S9352">
        <v>2.8759459999999999</v>
      </c>
      <c r="T9352">
        <v>-0.41278310000000001</v>
      </c>
      <c r="U9352">
        <v>-1.1048279999999999</v>
      </c>
      <c r="V9352">
        <v>-0.24447540000000001</v>
      </c>
      <c r="W9352">
        <v>3.0984029999999999E-2</v>
      </c>
      <c r="X9352">
        <v>0.96916040000000003</v>
      </c>
      <c r="Y9352">
        <v>-0.43096620000000002</v>
      </c>
      <c r="Z9352">
        <v>0.1180964</v>
      </c>
      <c r="AA9352">
        <v>0.89460680000000004</v>
      </c>
      <c r="AB9352">
        <v>24</v>
      </c>
      <c r="AC9352">
        <v>7.6757999999999802</v>
      </c>
      <c r="AD9352">
        <v>-1.11663958360499</v>
      </c>
      <c r="AE9352">
        <v>-2.8851</v>
      </c>
      <c r="AF9352">
        <v>-3.5907253687140099</v>
      </c>
      <c r="AG9352">
        <v>-1.11663958360499</v>
      </c>
      <c r="AH9352">
        <v>7.2057143318062398</v>
      </c>
      <c r="AI9352">
        <v>97.896485327724093</v>
      </c>
      <c r="AJ9352">
        <v>116.487827045489</v>
      </c>
      <c r="AK9352">
        <v>8.1278848210833896</v>
      </c>
      <c r="AL9352">
        <v>88.224461781940406</v>
      </c>
      <c r="AM9352">
        <v>104.157771955665</v>
      </c>
      <c r="AN9352">
        <v>1.00000005612417</v>
      </c>
    </row>
    <row r="9353" spans="1:40" x14ac:dyDescent="0.25">
      <c r="A9353" t="str">
        <f>"20190312150908808"</f>
        <v>20190312150908808</v>
      </c>
      <c r="B9353" t="str">
        <f>"1552374548798671"</f>
        <v>1552374548798671</v>
      </c>
      <c r="C9353" t="s">
        <v>40</v>
      </c>
      <c r="D9353">
        <v>4.5023669999999996</v>
      </c>
      <c r="E9353">
        <v>0.4209735</v>
      </c>
      <c r="F9353" t="s">
        <v>41</v>
      </c>
      <c r="G9353">
        <v>-292.08100000000002</v>
      </c>
      <c r="H9353">
        <v>0.98233309999999996</v>
      </c>
      <c r="I9353">
        <v>-52.546840000000003</v>
      </c>
      <c r="J9353">
        <v>-292.91789999999997</v>
      </c>
      <c r="K9353">
        <v>1.1166389999999999</v>
      </c>
      <c r="L9353">
        <v>-52.291200000000003</v>
      </c>
      <c r="M9353">
        <v>0.68509129999999996</v>
      </c>
      <c r="N9353">
        <v>0</v>
      </c>
      <c r="O9353">
        <v>-0.72836529999999999</v>
      </c>
      <c r="P9353">
        <v>0.84177800000000003</v>
      </c>
      <c r="Q9353">
        <v>2.3605460000000002E-2</v>
      </c>
      <c r="R9353">
        <v>-0.53930749999999905</v>
      </c>
      <c r="S9353">
        <v>2.880341</v>
      </c>
      <c r="T9353">
        <v>-0.41238469999999999</v>
      </c>
      <c r="U9353">
        <v>-1.091553</v>
      </c>
      <c r="V9353">
        <v>-0.24418380000000001</v>
      </c>
      <c r="W9353">
        <v>3.0976409999999999E-2</v>
      </c>
      <c r="X9353">
        <v>0.96923409999999999</v>
      </c>
      <c r="Y9353">
        <v>-0.42982490000000001</v>
      </c>
      <c r="Z9353">
        <v>0.1175485</v>
      </c>
      <c r="AA9353">
        <v>0.89522789999999997</v>
      </c>
      <c r="AB9353">
        <v>24</v>
      </c>
      <c r="AC9353">
        <v>0.83690000000001397</v>
      </c>
      <c r="AD9353">
        <v>-0.13430589999999901</v>
      </c>
      <c r="AE9353">
        <v>-0.25563999999999898</v>
      </c>
      <c r="AF9353">
        <v>-0.42446263318029198</v>
      </c>
      <c r="AG9353">
        <v>-0.13430589999999901</v>
      </c>
      <c r="AH9353">
        <v>0.74212166596916096</v>
      </c>
      <c r="AI9353">
        <v>98.927911270850601</v>
      </c>
      <c r="AJ9353">
        <v>119.76775544729</v>
      </c>
      <c r="AK9353">
        <v>0.86541964898077095</v>
      </c>
      <c r="AL9353">
        <v>88.224898491767703</v>
      </c>
      <c r="AM9353">
        <v>104.140530864612</v>
      </c>
      <c r="AN9353">
        <v>1.00000000338086</v>
      </c>
    </row>
    <row r="9354" spans="1:40" x14ac:dyDescent="0.25">
      <c r="A9354" t="str">
        <f>"20190312150908822"</f>
        <v>20190312150908822</v>
      </c>
      <c r="B9354" t="str">
        <f>"1552374548819167"</f>
        <v>1552374548819167</v>
      </c>
      <c r="C9354" t="s">
        <v>40</v>
      </c>
      <c r="D9354">
        <v>4.5041789999999997</v>
      </c>
      <c r="E9354">
        <v>0.42185260000000002</v>
      </c>
      <c r="F9354" t="s">
        <v>41</v>
      </c>
      <c r="G9354">
        <v>-291.98059999999998</v>
      </c>
      <c r="H9354">
        <v>0.98300889999999996</v>
      </c>
      <c r="I9354">
        <v>-52.641480000000001</v>
      </c>
      <c r="J9354">
        <v>-292.81270000000001</v>
      </c>
      <c r="K9354">
        <v>1.1166469999999999</v>
      </c>
      <c r="L9354">
        <v>-52.393799999999999</v>
      </c>
      <c r="M9354">
        <v>0.68946660000000004</v>
      </c>
      <c r="N9354">
        <v>0</v>
      </c>
      <c r="O9354">
        <v>-0.72422500000000001</v>
      </c>
      <c r="P9354">
        <v>0.84469530000000004</v>
      </c>
      <c r="Q9354">
        <v>2.345276E-2</v>
      </c>
      <c r="R9354">
        <v>-0.53473349999999997</v>
      </c>
      <c r="S9354">
        <v>2.8849179999999999</v>
      </c>
      <c r="T9354">
        <v>-0.41128920000000002</v>
      </c>
      <c r="U9354">
        <v>-1.0777890000000001</v>
      </c>
      <c r="V9354">
        <v>-0.2436034</v>
      </c>
      <c r="W9354">
        <v>3.0833429999999998E-2</v>
      </c>
      <c r="X9354">
        <v>0.96938469999999999</v>
      </c>
      <c r="Y9354">
        <v>-0.42868980000000001</v>
      </c>
      <c r="Z9354">
        <v>0.11678520000000001</v>
      </c>
      <c r="AA9354">
        <v>0.8958718</v>
      </c>
      <c r="AB9354">
        <v>25</v>
      </c>
      <c r="AC9354">
        <v>0.83210000000002504</v>
      </c>
      <c r="AD9354">
        <v>-0.13363809999999901</v>
      </c>
      <c r="AE9354">
        <v>-0.24768000000000201</v>
      </c>
      <c r="AF9354">
        <v>-0.42189305865278398</v>
      </c>
      <c r="AG9354">
        <v>-0.13363809999999901</v>
      </c>
      <c r="AH9354">
        <v>0.73569985584667896</v>
      </c>
      <c r="AI9354">
        <v>98.954825528058393</v>
      </c>
      <c r="AJ9354">
        <v>119.832465473444</v>
      </c>
      <c r="AK9354">
        <v>0.85854945844944597</v>
      </c>
      <c r="AL9354">
        <v>88.233094563272701</v>
      </c>
      <c r="AM9354">
        <v>104.10615966799701</v>
      </c>
      <c r="AN9354">
        <v>1.0000000067456001</v>
      </c>
    </row>
    <row r="9355" spans="1:40" x14ac:dyDescent="0.25">
      <c r="A9355" t="str">
        <f>"20190312150908837"</f>
        <v>20190312150908837</v>
      </c>
      <c r="B9355" t="str">
        <f>"1552374548828927"</f>
        <v>1552374548828927</v>
      </c>
      <c r="C9355" t="s">
        <v>40</v>
      </c>
      <c r="D9355">
        <v>4.542783</v>
      </c>
      <c r="E9355">
        <v>0.42219830000000003</v>
      </c>
      <c r="F9355" t="s">
        <v>73</v>
      </c>
      <c r="G9355">
        <v>-284.97410000000002</v>
      </c>
      <c r="H9355" s="1">
        <v>-4.7306720000000004E-6</v>
      </c>
      <c r="I9355">
        <v>-55.29354</v>
      </c>
      <c r="J9355">
        <v>-292.69439999999997</v>
      </c>
      <c r="K9355">
        <v>1.116654</v>
      </c>
      <c r="L9355">
        <v>-52.507480000000001</v>
      </c>
      <c r="M9355">
        <v>0.69432590000000005</v>
      </c>
      <c r="N9355">
        <v>0</v>
      </c>
      <c r="O9355">
        <v>-0.71956769999999903</v>
      </c>
      <c r="P9355">
        <v>0.84803220000000001</v>
      </c>
      <c r="Q9355">
        <v>2.348335E-2</v>
      </c>
      <c r="R9355">
        <v>-0.52942489999999998</v>
      </c>
      <c r="S9355">
        <v>2.8869319999999998</v>
      </c>
      <c r="T9355">
        <v>-0.41125850000000003</v>
      </c>
      <c r="U9355">
        <v>-1.067963</v>
      </c>
      <c r="V9355">
        <v>-0.2431594</v>
      </c>
      <c r="W9355">
        <v>3.086918E-2</v>
      </c>
      <c r="X9355">
        <v>0.969495</v>
      </c>
      <c r="Y9355">
        <v>-0.4255506</v>
      </c>
      <c r="Z9355">
        <v>0.1161954</v>
      </c>
      <c r="AA9355">
        <v>0.89744380000000001</v>
      </c>
      <c r="AB9355">
        <v>25</v>
      </c>
      <c r="AC9355">
        <v>7.7202999999999502</v>
      </c>
      <c r="AD9355">
        <v>-1.1166587306719999</v>
      </c>
      <c r="AE9355">
        <v>-2.7860599999999902</v>
      </c>
      <c r="AF9355">
        <v>-3.5552791930849699</v>
      </c>
      <c r="AG9355">
        <v>-1.1166587306719999</v>
      </c>
      <c r="AH9355">
        <v>7.2317957890388804</v>
      </c>
      <c r="AI9355">
        <v>97.889216093509404</v>
      </c>
      <c r="AJ9355">
        <v>116.179550511043</v>
      </c>
      <c r="AK9355">
        <v>8.13546600975811</v>
      </c>
      <c r="AL9355">
        <v>88.231045212016198</v>
      </c>
      <c r="AM9355">
        <v>104.07993470579</v>
      </c>
      <c r="AN9355">
        <v>0.99999997755361503</v>
      </c>
    </row>
    <row r="9356" spans="1:40" x14ac:dyDescent="0.25">
      <c r="A9356" t="str">
        <f>"20190312150908850"</f>
        <v>20190312150908850</v>
      </c>
      <c r="B9356" t="str">
        <f>"1552374548838687"</f>
        <v>1552374548838687</v>
      </c>
      <c r="C9356" t="s">
        <v>40</v>
      </c>
      <c r="D9356">
        <v>4.6089719999999996</v>
      </c>
      <c r="E9356">
        <v>0.4223905</v>
      </c>
      <c r="F9356" t="s">
        <v>73</v>
      </c>
      <c r="G9356">
        <v>-284.88639999999998</v>
      </c>
      <c r="H9356" s="1">
        <v>-4.7626580000000003E-6</v>
      </c>
      <c r="I9356">
        <v>-55.346899999999998</v>
      </c>
      <c r="J9356">
        <v>-292.59359999999998</v>
      </c>
      <c r="K9356">
        <v>1.1166609999999999</v>
      </c>
      <c r="L9356">
        <v>-52.603299999999997</v>
      </c>
      <c r="M9356">
        <v>0.69841949999999997</v>
      </c>
      <c r="N9356">
        <v>0</v>
      </c>
      <c r="O9356">
        <v>-0.71559479999999998</v>
      </c>
      <c r="P9356">
        <v>0.85074490000000003</v>
      </c>
      <c r="Q9356">
        <v>2.3745929999999998E-2</v>
      </c>
      <c r="R9356">
        <v>-0.52504189999999995</v>
      </c>
      <c r="S9356">
        <v>2.8923649999999999</v>
      </c>
      <c r="T9356">
        <v>-0.41364770000000001</v>
      </c>
      <c r="U9356">
        <v>-1.0518190000000001</v>
      </c>
      <c r="V9356">
        <v>-0.24262990000000001</v>
      </c>
      <c r="W9356">
        <v>3.113751E-2</v>
      </c>
      <c r="X9356">
        <v>0.96961909999999896</v>
      </c>
      <c r="Y9356">
        <v>-0.42529519999999998</v>
      </c>
      <c r="Z9356">
        <v>0.1164607</v>
      </c>
      <c r="AA9356">
        <v>0.89753039999999995</v>
      </c>
      <c r="AB9356">
        <v>25</v>
      </c>
      <c r="AC9356">
        <v>7.7072000000000003</v>
      </c>
      <c r="AD9356">
        <v>-1.1166657626579899</v>
      </c>
      <c r="AE9356">
        <v>-2.7435999999999998</v>
      </c>
      <c r="AF9356">
        <v>-3.5334582206165699</v>
      </c>
      <c r="AG9356">
        <v>-1.1166657626579899</v>
      </c>
      <c r="AH9356">
        <v>7.2122856649089604</v>
      </c>
      <c r="AI9356">
        <v>97.915576320611095</v>
      </c>
      <c r="AJ9356">
        <v>116.101255244306</v>
      </c>
      <c r="AK9356">
        <v>8.1085962986565594</v>
      </c>
      <c r="AL9356">
        <v>88.215663691653901</v>
      </c>
      <c r="AM9356">
        <v>104.04876312766601</v>
      </c>
      <c r="AN9356">
        <v>1.0000000059939</v>
      </c>
    </row>
    <row r="9357" spans="1:40" x14ac:dyDescent="0.25">
      <c r="A9357" t="str">
        <f>"20190312150908866"</f>
        <v>20190312150908866</v>
      </c>
      <c r="B9357" t="str">
        <f>"1552374548859184"</f>
        <v>1552374548859184</v>
      </c>
      <c r="C9357" t="s">
        <v>40</v>
      </c>
      <c r="D9357">
        <v>4.1982390000000001</v>
      </c>
      <c r="E9357">
        <v>0.42220190000000002</v>
      </c>
      <c r="F9357" t="s">
        <v>41</v>
      </c>
      <c r="G9357">
        <v>-291.65460000000002</v>
      </c>
      <c r="H9357">
        <v>0.98346599999999995</v>
      </c>
      <c r="I9357">
        <v>-52.9398699999999</v>
      </c>
      <c r="J9357">
        <v>-292.47559999999999</v>
      </c>
      <c r="K9357">
        <v>1.1166670000000001</v>
      </c>
      <c r="L9357">
        <v>-52.714289999999998</v>
      </c>
      <c r="M9357">
        <v>0.70316049999999997</v>
      </c>
      <c r="N9357">
        <v>0</v>
      </c>
      <c r="O9357">
        <v>-0.71093689999999998</v>
      </c>
      <c r="P9357">
        <v>0.85391209999999995</v>
      </c>
      <c r="Q9357">
        <v>2.3958119999999999E-2</v>
      </c>
      <c r="R9357">
        <v>-0.51986569999999999</v>
      </c>
      <c r="S9357">
        <v>2.8971559999999998</v>
      </c>
      <c r="T9357">
        <v>-0.41090290000000002</v>
      </c>
      <c r="U9357">
        <v>-1.0380860000000001</v>
      </c>
      <c r="V9357">
        <v>-0.24207339999999999</v>
      </c>
      <c r="W9357">
        <v>3.1353409999999998E-2</v>
      </c>
      <c r="X9357">
        <v>0.96975120000000004</v>
      </c>
      <c r="Y9357">
        <v>-0.42369050000000003</v>
      </c>
      <c r="Z9357">
        <v>0.1151411</v>
      </c>
      <c r="AA9357">
        <v>0.89845919999999901</v>
      </c>
      <c r="AB9357">
        <v>25</v>
      </c>
      <c r="AC9357">
        <v>0.82099999999996898</v>
      </c>
      <c r="AD9357">
        <v>-0.13320100000000001</v>
      </c>
      <c r="AE9357">
        <v>-0.22557999999998599</v>
      </c>
      <c r="AF9357">
        <v>-0.414933297885065</v>
      </c>
      <c r="AG9357">
        <v>-0.13320100000000001</v>
      </c>
      <c r="AH9357">
        <v>0.72009316748283703</v>
      </c>
      <c r="AI9357">
        <v>99.105552175419504</v>
      </c>
      <c r="AJ9357">
        <v>119.951478940402</v>
      </c>
      <c r="AK9357">
        <v>0.841692531718229</v>
      </c>
      <c r="AL9357">
        <v>88.203287440892197</v>
      </c>
      <c r="AM9357">
        <v>104.015978304131</v>
      </c>
      <c r="AN9357">
        <v>0.99999997860381296</v>
      </c>
    </row>
    <row r="9358" spans="1:40" x14ac:dyDescent="0.25">
      <c r="A9358" t="str">
        <f>"20190312150908878"</f>
        <v>20190312150908878</v>
      </c>
      <c r="B9358" t="str">
        <f>"1552374548868943"</f>
        <v>1552374548868943</v>
      </c>
      <c r="C9358" t="s">
        <v>40</v>
      </c>
      <c r="D9358">
        <v>4.515015</v>
      </c>
      <c r="E9358">
        <v>0.42220190000000002</v>
      </c>
      <c r="F9358" t="s">
        <v>41</v>
      </c>
      <c r="G9358">
        <v>-291.4984</v>
      </c>
      <c r="H9358">
        <v>0.97932680000000005</v>
      </c>
      <c r="I9358">
        <v>-53.057270000000003</v>
      </c>
      <c r="J9358">
        <v>-292.37009999999998</v>
      </c>
      <c r="K9358">
        <v>1.116682</v>
      </c>
      <c r="L9358">
        <v>-52.811919999999901</v>
      </c>
      <c r="M9358">
        <v>0.70734019999999898</v>
      </c>
      <c r="N9358">
        <v>0</v>
      </c>
      <c r="O9358">
        <v>-0.70677860000000003</v>
      </c>
      <c r="P9358">
        <v>0.85635139999999998</v>
      </c>
      <c r="Q9358">
        <v>2.445133E-2</v>
      </c>
      <c r="R9358">
        <v>-0.51581449999999995</v>
      </c>
      <c r="S9358">
        <v>2.904236</v>
      </c>
      <c r="T9358">
        <v>-0.40815580000000001</v>
      </c>
      <c r="U9358">
        <v>-1.0191349999999999</v>
      </c>
      <c r="V9358">
        <v>-0.240948</v>
      </c>
      <c r="W9358">
        <v>3.1860510000000002E-2</v>
      </c>
      <c r="X9358">
        <v>0.97001490000000001</v>
      </c>
      <c r="Y9358">
        <v>-0.42440650000000002</v>
      </c>
      <c r="Z9358">
        <v>0.113984</v>
      </c>
      <c r="AA9358">
        <v>0.89826879999999998</v>
      </c>
      <c r="AB9358">
        <v>25</v>
      </c>
      <c r="AC9358">
        <v>0.87169999999997505</v>
      </c>
      <c r="AD9358">
        <v>-0.13735519999999901</v>
      </c>
      <c r="AE9358">
        <v>-0.24535000000000201</v>
      </c>
      <c r="AF9358">
        <v>-0.432629426601572</v>
      </c>
      <c r="AG9358">
        <v>-0.13735519999999901</v>
      </c>
      <c r="AH9358">
        <v>0.77228213985192196</v>
      </c>
      <c r="AI9358">
        <v>98.820114133616798</v>
      </c>
      <c r="AJ9358">
        <v>119.25737807085</v>
      </c>
      <c r="AK9358">
        <v>0.89579817775150095</v>
      </c>
      <c r="AL9358">
        <v>88.174218208034503</v>
      </c>
      <c r="AM9358">
        <v>103.949724424542</v>
      </c>
      <c r="AN9358">
        <v>0.99999996851173401</v>
      </c>
    </row>
    <row r="9359" spans="1:40" x14ac:dyDescent="0.25">
      <c r="A9359" t="str">
        <f>"20190312150908900"</f>
        <v>20190312150908900</v>
      </c>
      <c r="B9359" t="str">
        <f>"1552374548888463"</f>
        <v>1552374548888463</v>
      </c>
      <c r="C9359" t="s">
        <v>40</v>
      </c>
      <c r="D9359">
        <v>4.5592230000000002</v>
      </c>
      <c r="E9359">
        <v>0.4068987</v>
      </c>
      <c r="F9359" t="s">
        <v>73</v>
      </c>
      <c r="G9359">
        <v>-284.37580000000003</v>
      </c>
      <c r="H9359" s="1">
        <v>-4.9600309999999997E-6</v>
      </c>
      <c r="I9359">
        <v>-55.574269999999999</v>
      </c>
      <c r="J9359">
        <v>-292.19510000000002</v>
      </c>
      <c r="K9359">
        <v>1.11669</v>
      </c>
      <c r="L9359">
        <v>-52.971649999999997</v>
      </c>
      <c r="M9359">
        <v>0.71417410000000003</v>
      </c>
      <c r="N9359">
        <v>0</v>
      </c>
      <c r="O9359">
        <v>-0.69987259999999996</v>
      </c>
      <c r="P9359">
        <v>0.86103280000000004</v>
      </c>
      <c r="Q9359">
        <v>2.465767E-2</v>
      </c>
      <c r="R9359">
        <v>-0.50795109999999999</v>
      </c>
      <c r="S9359">
        <v>2.9093019999999998</v>
      </c>
      <c r="T9359">
        <v>-0.40638639999999998</v>
      </c>
      <c r="U9359">
        <v>-1.00528</v>
      </c>
      <c r="V9359">
        <v>-0.2404047</v>
      </c>
      <c r="W9359">
        <v>3.2064969999999998E-2</v>
      </c>
      <c r="X9359">
        <v>0.97014299999999998</v>
      </c>
      <c r="Y9359">
        <v>-0.42007840000000002</v>
      </c>
      <c r="Z9359">
        <v>0.11254889999999999</v>
      </c>
      <c r="AA9359">
        <v>0.90048150000000005</v>
      </c>
      <c r="AB9359">
        <v>25</v>
      </c>
      <c r="AC9359">
        <v>7.8192999999999904</v>
      </c>
      <c r="AD9359">
        <v>-1.1166949600310001</v>
      </c>
      <c r="AE9359">
        <v>-2.6026199999999999</v>
      </c>
      <c r="AF9359">
        <v>-3.54886984765814</v>
      </c>
      <c r="AG9359">
        <v>-1.1166949600310001</v>
      </c>
      <c r="AH9359">
        <v>7.2728011773002104</v>
      </c>
      <c r="AI9359">
        <v>97.856730490408296</v>
      </c>
      <c r="AJ9359">
        <v>116.01073983691499</v>
      </c>
      <c r="AK9359">
        <v>8.1691567370148501</v>
      </c>
      <c r="AL9359">
        <v>88.162497602600297</v>
      </c>
      <c r="AM9359">
        <v>103.917727877396</v>
      </c>
      <c r="AN9359">
        <v>1.0000000112660901</v>
      </c>
    </row>
    <row r="9360" spans="1:40" x14ac:dyDescent="0.25">
      <c r="A9360" t="str">
        <f>"20190312150908914"</f>
        <v>20190312150908914</v>
      </c>
      <c r="B9360" t="str">
        <f>"1552374548908959"</f>
        <v>1552374548908959</v>
      </c>
      <c r="C9360" t="s">
        <v>40</v>
      </c>
      <c r="D9360">
        <v>4.5149780000000002</v>
      </c>
      <c r="E9360">
        <v>0.40646120000000002</v>
      </c>
      <c r="F9360" t="s">
        <v>73</v>
      </c>
      <c r="G9360">
        <v>-285.53730000000002</v>
      </c>
      <c r="H9360" s="1">
        <v>-4.514526E-6</v>
      </c>
      <c r="I9360">
        <v>-54.915700000000001</v>
      </c>
      <c r="J9360">
        <v>-292.08440000000002</v>
      </c>
      <c r="K9360">
        <v>1.116692</v>
      </c>
      <c r="L9360">
        <v>-53.070950000000003</v>
      </c>
      <c r="M9360">
        <v>0.71842869999999903</v>
      </c>
      <c r="N9360">
        <v>0</v>
      </c>
      <c r="O9360">
        <v>-0.69550440000000002</v>
      </c>
      <c r="P9360">
        <v>0.86383109999999996</v>
      </c>
      <c r="Q9360">
        <v>2.450687E-2</v>
      </c>
      <c r="R9360">
        <v>-0.5031852</v>
      </c>
      <c r="S9360">
        <v>2.9844059999999999</v>
      </c>
      <c r="T9360">
        <v>-0.50056440000000002</v>
      </c>
      <c r="U9360">
        <v>-0.87142940000000002</v>
      </c>
      <c r="V9360">
        <v>-0.2398507</v>
      </c>
      <c r="W9360">
        <v>3.1917220000000003E-2</v>
      </c>
      <c r="X9360">
        <v>0.97028499999999995</v>
      </c>
      <c r="Y9360">
        <v>-0.45361970000000001</v>
      </c>
      <c r="Z9360">
        <v>0.138627</v>
      </c>
      <c r="AA9360">
        <v>0.88034749999999995</v>
      </c>
      <c r="AB9360">
        <v>25</v>
      </c>
      <c r="AC9360">
        <v>6.5471000000000004</v>
      </c>
      <c r="AD9360">
        <v>-1.1166965145259999</v>
      </c>
      <c r="AE9360">
        <v>-1.8447499999999899</v>
      </c>
      <c r="AF9360">
        <v>-3.1437020762214498</v>
      </c>
      <c r="AG9360">
        <v>-1.1166965145259999</v>
      </c>
      <c r="AH9360">
        <v>5.82992793179515</v>
      </c>
      <c r="AI9360">
        <v>99.569832883517293</v>
      </c>
      <c r="AJ9360">
        <v>118.33510656151</v>
      </c>
      <c r="AK9360">
        <v>6.7169884278238001</v>
      </c>
      <c r="AL9360">
        <v>88.170967412870993</v>
      </c>
      <c r="AM9360">
        <v>103.88494424695099</v>
      </c>
      <c r="AN9360">
        <v>1.0000000242239999</v>
      </c>
    </row>
    <row r="9361" spans="1:40" x14ac:dyDescent="0.25">
      <c r="A9361" t="str">
        <f>"20190312150908927"</f>
        <v>20190312150908927</v>
      </c>
      <c r="B9361" t="str">
        <f>"1552374548918719"</f>
        <v>1552374548918719</v>
      </c>
      <c r="C9361" t="s">
        <v>40</v>
      </c>
      <c r="D9361">
        <v>4.5400029999999996</v>
      </c>
      <c r="E9361">
        <v>0.40639969999999997</v>
      </c>
      <c r="F9361" t="s">
        <v>73</v>
      </c>
      <c r="G9361">
        <v>-285.18310000000002</v>
      </c>
      <c r="H9361" s="1">
        <v>-4.6710940000000003E-6</v>
      </c>
      <c r="I9361">
        <v>-55.037559999999999</v>
      </c>
      <c r="J9361">
        <v>-291.97890000000001</v>
      </c>
      <c r="K9361">
        <v>1.1166990000000001</v>
      </c>
      <c r="L9361">
        <v>-53.16489</v>
      </c>
      <c r="M9361">
        <v>0.7224488</v>
      </c>
      <c r="N9361">
        <v>0</v>
      </c>
      <c r="O9361">
        <v>-0.6913279</v>
      </c>
      <c r="P9361">
        <v>0.86640439999999996</v>
      </c>
      <c r="Q9361">
        <v>2.4334919999999999E-2</v>
      </c>
      <c r="R9361">
        <v>-0.49875000000000003</v>
      </c>
      <c r="S9361">
        <v>2.9902950000000001</v>
      </c>
      <c r="T9361">
        <v>-0.48385339999999999</v>
      </c>
      <c r="U9361">
        <v>-0.85211179999999997</v>
      </c>
      <c r="V9361">
        <v>-0.239201</v>
      </c>
      <c r="W9361">
        <v>3.1750899999999999E-2</v>
      </c>
      <c r="X9361">
        <v>0.97045079999999995</v>
      </c>
      <c r="Y9361">
        <v>-0.45504990000000001</v>
      </c>
      <c r="Z9361">
        <v>0.1336601</v>
      </c>
      <c r="AA9361">
        <v>0.88037749999999904</v>
      </c>
      <c r="AB9361">
        <v>25</v>
      </c>
      <c r="AC9361">
        <v>6.7957999999999803</v>
      </c>
      <c r="AD9361">
        <v>-1.1167036710939999</v>
      </c>
      <c r="AE9361">
        <v>-1.8726700000000001</v>
      </c>
      <c r="AF9361">
        <v>-3.2635386464998999</v>
      </c>
      <c r="AG9361">
        <v>-1.1167036710939999</v>
      </c>
      <c r="AH9361">
        <v>6.0527591256269098</v>
      </c>
      <c r="AI9361">
        <v>99.223948657898603</v>
      </c>
      <c r="AJ9361">
        <v>118.332746236322</v>
      </c>
      <c r="AK9361">
        <v>6.9666063918591696</v>
      </c>
      <c r="AL9361">
        <v>88.180501628759203</v>
      </c>
      <c r="AM9361">
        <v>103.846507872483</v>
      </c>
      <c r="AN9361">
        <v>0.99999999663622496</v>
      </c>
    </row>
    <row r="9362" spans="1:40" x14ac:dyDescent="0.25">
      <c r="A9362" t="str">
        <f>"20190312150908946"</f>
        <v>20190312150908946</v>
      </c>
      <c r="B9362" t="str">
        <f>"1552374548939215"</f>
        <v>1552374548939215</v>
      </c>
      <c r="C9362" t="s">
        <v>40</v>
      </c>
      <c r="D9362">
        <v>4.5795079999999997</v>
      </c>
      <c r="E9362">
        <v>0.40719440000000001</v>
      </c>
      <c r="F9362" t="s">
        <v>73</v>
      </c>
      <c r="G9362">
        <v>-284.92829999999998</v>
      </c>
      <c r="H9362" s="1">
        <v>-4.7810649999999999E-6</v>
      </c>
      <c r="I9362">
        <v>-55.133920000000003</v>
      </c>
      <c r="J9362">
        <v>-291.83150000000001</v>
      </c>
      <c r="K9362">
        <v>1.116708</v>
      </c>
      <c r="L9362">
        <v>-53.29401</v>
      </c>
      <c r="M9362">
        <v>0.72797869999999998</v>
      </c>
      <c r="N9362">
        <v>0</v>
      </c>
      <c r="O9362">
        <v>-0.68550239999999996</v>
      </c>
      <c r="P9362">
        <v>0.86976299999999995</v>
      </c>
      <c r="Q9362">
        <v>2.428752E-2</v>
      </c>
      <c r="R9362">
        <v>-0.49287189999999997</v>
      </c>
      <c r="S9362">
        <v>2.9944760000000001</v>
      </c>
      <c r="T9362">
        <v>-0.47427780000000003</v>
      </c>
      <c r="U9362">
        <v>-0.83627320000000005</v>
      </c>
      <c r="V9362">
        <v>-0.2379771</v>
      </c>
      <c r="W9362">
        <v>3.1716569999999999E-2</v>
      </c>
      <c r="X9362">
        <v>0.97075279999999997</v>
      </c>
      <c r="Y9362">
        <v>-0.45309490000000002</v>
      </c>
      <c r="Z9362">
        <v>0.1302605</v>
      </c>
      <c r="AA9362">
        <v>0.88189409999999901</v>
      </c>
      <c r="AB9362">
        <v>25</v>
      </c>
      <c r="AC9362">
        <v>6.9032000000000204</v>
      </c>
      <c r="AD9362">
        <v>-1.1167127810649999</v>
      </c>
      <c r="AE9362">
        <v>-1.8399099999999899</v>
      </c>
      <c r="AF9362">
        <v>-3.3120479965672498</v>
      </c>
      <c r="AG9362">
        <v>-1.1167127810649999</v>
      </c>
      <c r="AH9362">
        <v>6.1371166013438696</v>
      </c>
      <c r="AI9362">
        <v>99.097527019147904</v>
      </c>
      <c r="AJ9362">
        <v>118.354624302697</v>
      </c>
      <c r="AK9362">
        <v>7.0626418248025002</v>
      </c>
      <c r="AL9362">
        <v>88.182469626176797</v>
      </c>
      <c r="AM9362">
        <v>103.774243922362</v>
      </c>
      <c r="AN9362">
        <v>1.0000000198223999</v>
      </c>
    </row>
    <row r="9363" spans="1:40" x14ac:dyDescent="0.25">
      <c r="A9363" t="str">
        <f>"20190312150908968"</f>
        <v>20190312150908968</v>
      </c>
      <c r="B9363" t="str">
        <f>"1552374548958735"</f>
        <v>1552374548958735</v>
      </c>
      <c r="C9363" t="s">
        <v>40</v>
      </c>
      <c r="D9363">
        <v>4.5925960000000003</v>
      </c>
      <c r="E9363">
        <v>0.40765030000000002</v>
      </c>
      <c r="F9363" t="s">
        <v>73</v>
      </c>
      <c r="G9363">
        <v>-284.55439999999999</v>
      </c>
      <c r="H9363" s="1">
        <v>-4.927819E-6</v>
      </c>
      <c r="I9363">
        <v>-55.287709999999997</v>
      </c>
      <c r="J9363">
        <v>-291.64530000000002</v>
      </c>
      <c r="K9363">
        <v>1.1167129999999901</v>
      </c>
      <c r="L9363">
        <v>-53.453890000000001</v>
      </c>
      <c r="M9363">
        <v>0.73483999999999905</v>
      </c>
      <c r="N9363">
        <v>0</v>
      </c>
      <c r="O9363">
        <v>-0.67814219999999903</v>
      </c>
      <c r="P9363">
        <v>0.87418490000000004</v>
      </c>
      <c r="Q9363">
        <v>2.4496609999999999E-2</v>
      </c>
      <c r="R9363">
        <v>-0.48497509999999999</v>
      </c>
      <c r="S9363">
        <v>2.996826</v>
      </c>
      <c r="T9363">
        <v>-0.45988370000000001</v>
      </c>
      <c r="U9363">
        <v>-0.82104489999999997</v>
      </c>
      <c r="V9363">
        <v>-0.2369995</v>
      </c>
      <c r="W9363">
        <v>3.1932950000000002E-2</v>
      </c>
      <c r="X9363">
        <v>0.97098479999999998</v>
      </c>
      <c r="Y9363">
        <v>-0.44925779999999899</v>
      </c>
      <c r="Z9363">
        <v>0.12535099999999999</v>
      </c>
      <c r="AA9363">
        <v>0.88456460000000003</v>
      </c>
      <c r="AB9363">
        <v>25</v>
      </c>
      <c r="AC9363">
        <v>7.0909000000000297</v>
      </c>
      <c r="AD9363">
        <v>-1.11671792781899</v>
      </c>
      <c r="AE9363">
        <v>-1.83381999999999</v>
      </c>
      <c r="AF9363">
        <v>-3.38266795646937</v>
      </c>
      <c r="AG9363">
        <v>-1.11671792781899</v>
      </c>
      <c r="AH9363">
        <v>6.3080543741829596</v>
      </c>
      <c r="AI9363">
        <v>98.867475532123905</v>
      </c>
      <c r="AJ9363">
        <v>118.20224953588</v>
      </c>
      <c r="AK9363">
        <v>7.2443806789597804</v>
      </c>
      <c r="AL9363">
        <v>88.170065607972504</v>
      </c>
      <c r="AM9363">
        <v>103.71664808909701</v>
      </c>
      <c r="AN9363">
        <v>0.99999997906349603</v>
      </c>
    </row>
    <row r="9364" spans="1:40" x14ac:dyDescent="0.25">
      <c r="A9364" t="str">
        <f>"20190312150908980"</f>
        <v>20190312150908980</v>
      </c>
      <c r="B9364" t="str">
        <f>"1552374548968496"</f>
        <v>1552374548968496</v>
      </c>
      <c r="C9364" t="s">
        <v>40</v>
      </c>
      <c r="D9364">
        <v>4.620152</v>
      </c>
      <c r="E9364">
        <v>0.40812870000000001</v>
      </c>
      <c r="F9364" t="s">
        <v>73</v>
      </c>
      <c r="G9364">
        <v>-284.45269999999999</v>
      </c>
      <c r="H9364" s="1">
        <v>-4.9617100000000001E-6</v>
      </c>
      <c r="I9364">
        <v>-55.36354</v>
      </c>
      <c r="J9364">
        <v>-291.54129999999998</v>
      </c>
      <c r="K9364">
        <v>1.116719</v>
      </c>
      <c r="L9364">
        <v>-53.541899999999998</v>
      </c>
      <c r="M9364">
        <v>0.73861659999999996</v>
      </c>
      <c r="N9364">
        <v>0</v>
      </c>
      <c r="O9364">
        <v>-0.67402669999999998</v>
      </c>
      <c r="P9364">
        <v>0.87676529999999997</v>
      </c>
      <c r="Q9364">
        <v>2.404883E-2</v>
      </c>
      <c r="R9364">
        <v>-0.48031659999999998</v>
      </c>
      <c r="S9364">
        <v>3.0025330000000001</v>
      </c>
      <c r="T9364">
        <v>-0.46617180000000003</v>
      </c>
      <c r="U9364">
        <v>-0.79718020000000001</v>
      </c>
      <c r="V9364">
        <v>-0.23674310000000001</v>
      </c>
      <c r="W9364">
        <v>3.1483990000000003E-2</v>
      </c>
      <c r="X9364">
        <v>0.97106199999999998</v>
      </c>
      <c r="Y9364">
        <v>-0.45099299999999998</v>
      </c>
      <c r="Z9364">
        <v>0.12670960000000001</v>
      </c>
      <c r="AA9364">
        <v>0.88348740000000003</v>
      </c>
      <c r="AB9364">
        <v>25</v>
      </c>
      <c r="AC9364">
        <v>7.08859999999998</v>
      </c>
      <c r="AD9364">
        <v>-1.11672396171</v>
      </c>
      <c r="AE9364">
        <v>-1.8216399999999999</v>
      </c>
      <c r="AF9364">
        <v>-3.3545449027822101</v>
      </c>
      <c r="AG9364">
        <v>-1.11672396171</v>
      </c>
      <c r="AH9364">
        <v>6.3169594961330198</v>
      </c>
      <c r="AI9364">
        <v>98.874091336434205</v>
      </c>
      <c r="AJ9364">
        <v>117.969995935038</v>
      </c>
      <c r="AK9364">
        <v>7.2390621759468603</v>
      </c>
      <c r="AL9364">
        <v>88.195802051251903</v>
      </c>
      <c r="AM9364">
        <v>103.70131998574701</v>
      </c>
      <c r="AN9364">
        <v>0.99999997243396399</v>
      </c>
    </row>
    <row r="9365" spans="1:40" x14ac:dyDescent="0.25">
      <c r="A9365" t="str">
        <f>"20190312150908995"</f>
        <v>20190312150908995</v>
      </c>
      <c r="B9365" t="str">
        <f>"1552374548988991"</f>
        <v>1552374548988991</v>
      </c>
      <c r="C9365" t="s">
        <v>40</v>
      </c>
      <c r="D9365">
        <v>4.5967570000000002</v>
      </c>
      <c r="E9365">
        <v>0.40902070000000001</v>
      </c>
      <c r="F9365" t="s">
        <v>41</v>
      </c>
      <c r="G9365">
        <v>-290.62959999999998</v>
      </c>
      <c r="H9365">
        <v>0.97479510000000003</v>
      </c>
      <c r="I9365">
        <v>-53.779960000000003</v>
      </c>
      <c r="J9365">
        <v>-291.41750000000002</v>
      </c>
      <c r="K9365">
        <v>1.116725</v>
      </c>
      <c r="L9365">
        <v>-53.645229999999998</v>
      </c>
      <c r="M9365">
        <v>0.74305559999999904</v>
      </c>
      <c r="N9365">
        <v>0</v>
      </c>
      <c r="O9365">
        <v>-0.66913029999999996</v>
      </c>
      <c r="P9365">
        <v>0.87971909999999898</v>
      </c>
      <c r="Q9365">
        <v>2.3844509999999999E-2</v>
      </c>
      <c r="R9365">
        <v>-0.47489579999999998</v>
      </c>
      <c r="S9365">
        <v>3.004791</v>
      </c>
      <c r="T9365">
        <v>-0.46774650000000001</v>
      </c>
      <c r="U9365">
        <v>-0.7844238</v>
      </c>
      <c r="V9365">
        <v>-0.23632</v>
      </c>
      <c r="W9365">
        <v>3.1281440000000001E-2</v>
      </c>
      <c r="X9365">
        <v>0.97117160000000002</v>
      </c>
      <c r="Y9365">
        <v>-0.44877119999999998</v>
      </c>
      <c r="Z9365">
        <v>0.1264583</v>
      </c>
      <c r="AA9365">
        <v>0.88465400000000005</v>
      </c>
      <c r="AB9365">
        <v>25</v>
      </c>
      <c r="AC9365">
        <v>0.78790000000003502</v>
      </c>
      <c r="AD9365">
        <v>-0.1419299</v>
      </c>
      <c r="AE9365">
        <v>-0.13472999999999</v>
      </c>
      <c r="AF9365">
        <v>-0.41406973290462001</v>
      </c>
      <c r="AG9365">
        <v>-0.1419299</v>
      </c>
      <c r="AH9365">
        <v>0.65499990177473399</v>
      </c>
      <c r="AI9365">
        <v>100.379120358648</v>
      </c>
      <c r="AJ9365">
        <v>122.29974898825699</v>
      </c>
      <c r="AK9365">
        <v>0.78779611039064201</v>
      </c>
      <c r="AL9365">
        <v>88.207413033212802</v>
      </c>
      <c r="AM9365">
        <v>103.676268320671</v>
      </c>
      <c r="AN9365">
        <v>0.99999997376751604</v>
      </c>
    </row>
    <row r="9366" spans="1:40" x14ac:dyDescent="0.25">
      <c r="A9366" t="str">
        <f>"20190312150909011"</f>
        <v>20190312150909011</v>
      </c>
      <c r="B9366" t="str">
        <f>"1552374549009019"</f>
        <v>1552374549009019</v>
      </c>
      <c r="C9366" t="s">
        <v>40</v>
      </c>
      <c r="D9366">
        <v>4.5814870000000001</v>
      </c>
      <c r="E9366">
        <v>0.40977459999999999</v>
      </c>
      <c r="F9366" t="s">
        <v>41</v>
      </c>
      <c r="G9366">
        <v>-290.51220000000001</v>
      </c>
      <c r="H9366">
        <v>0.97599340000000001</v>
      </c>
      <c r="I9366">
        <v>-53.877749999999999</v>
      </c>
      <c r="J9366">
        <v>-291.27929999999998</v>
      </c>
      <c r="K9366">
        <v>1.116727</v>
      </c>
      <c r="L9366">
        <v>-53.75909</v>
      </c>
      <c r="M9366">
        <v>0.74794640000000001</v>
      </c>
      <c r="N9366">
        <v>0</v>
      </c>
      <c r="O9366">
        <v>-0.66365869999999905</v>
      </c>
      <c r="P9366">
        <v>0.88292870000000001</v>
      </c>
      <c r="Q9366">
        <v>2.365418E-2</v>
      </c>
      <c r="R9366">
        <v>-0.46891139999999998</v>
      </c>
      <c r="S9366">
        <v>3.0059809999999998</v>
      </c>
      <c r="T9366">
        <v>-0.46730739999999998</v>
      </c>
      <c r="U9366">
        <v>-0.77224729999999997</v>
      </c>
      <c r="V9366">
        <v>-0.23578789999999999</v>
      </c>
      <c r="W9366">
        <v>3.1094130000000001E-2</v>
      </c>
      <c r="X9366">
        <v>0.97130700000000003</v>
      </c>
      <c r="Y9366">
        <v>-0.44576389999999999</v>
      </c>
      <c r="Z9366">
        <v>0.12557769999999999</v>
      </c>
      <c r="AA9366">
        <v>0.88629840000000004</v>
      </c>
      <c r="AB9366">
        <v>25</v>
      </c>
      <c r="AC9366">
        <v>0.76709999999997003</v>
      </c>
      <c r="AD9366">
        <v>-0.14073359999999899</v>
      </c>
      <c r="AE9366">
        <v>-0.118659999999998</v>
      </c>
      <c r="AF9366">
        <v>-0.40699080782252101</v>
      </c>
      <c r="AG9366">
        <v>-0.14073359999999899</v>
      </c>
      <c r="AH9366">
        <v>0.63177538732194805</v>
      </c>
      <c r="AI9366">
        <v>100.606668751409</v>
      </c>
      <c r="AJ9366">
        <v>122.789705067906</v>
      </c>
      <c r="AK9366">
        <v>0.76458328771088502</v>
      </c>
      <c r="AL9366">
        <v>88.218150435636105</v>
      </c>
      <c r="AM9366">
        <v>103.64479618159901</v>
      </c>
      <c r="AN9366">
        <v>1.00000003347793</v>
      </c>
    </row>
    <row r="9367" spans="1:40" x14ac:dyDescent="0.25">
      <c r="A9367" t="str">
        <f>"20190312150909024"</f>
        <v>20190312150909024</v>
      </c>
      <c r="B9367" t="str">
        <f>"1552374549018779"</f>
        <v>1552374549018779</v>
      </c>
      <c r="C9367" t="s">
        <v>40</v>
      </c>
      <c r="D9367">
        <v>4.5764529999999999</v>
      </c>
      <c r="E9367">
        <v>0.41002129999999998</v>
      </c>
      <c r="F9367" t="s">
        <v>41</v>
      </c>
      <c r="G9367">
        <v>-290.33600000000001</v>
      </c>
      <c r="H9367">
        <v>0.9711514</v>
      </c>
      <c r="I9367">
        <v>-53.996630000000003</v>
      </c>
      <c r="J9367">
        <v>-291.17340000000002</v>
      </c>
      <c r="K9367">
        <v>1.1167320000000001</v>
      </c>
      <c r="L9367">
        <v>-53.845519999999901</v>
      </c>
      <c r="M9367">
        <v>0.7516526</v>
      </c>
      <c r="N9367">
        <v>0</v>
      </c>
      <c r="O9367">
        <v>-0.65945849999999995</v>
      </c>
      <c r="P9367">
        <v>0.88533119999999998</v>
      </c>
      <c r="Q9367">
        <v>2.355844E-2</v>
      </c>
      <c r="R9367">
        <v>-0.46436460000000002</v>
      </c>
      <c r="S9367">
        <v>3.0081790000000002</v>
      </c>
      <c r="T9367">
        <v>-0.46418939999999997</v>
      </c>
      <c r="U9367">
        <v>-0.75695800000000002</v>
      </c>
      <c r="V9367">
        <v>-0.2353421</v>
      </c>
      <c r="W9367">
        <v>3.1001669999999999E-2</v>
      </c>
      <c r="X9367">
        <v>0.971418</v>
      </c>
      <c r="Y9367">
        <v>-0.44533149999999999</v>
      </c>
      <c r="Z9367">
        <v>0.1242965</v>
      </c>
      <c r="AA9367">
        <v>0.88669629999999999</v>
      </c>
      <c r="AB9367">
        <v>25</v>
      </c>
      <c r="AC9367">
        <v>0.83740000000000203</v>
      </c>
      <c r="AD9367">
        <v>-0.14558059999999901</v>
      </c>
      <c r="AE9367">
        <v>-0.15111000000000899</v>
      </c>
      <c r="AF9367">
        <v>-0.42620246309244098</v>
      </c>
      <c r="AG9367">
        <v>-0.14558059999999901</v>
      </c>
      <c r="AH9367">
        <v>0.70839818993584602</v>
      </c>
      <c r="AI9367">
        <v>99.986988785144007</v>
      </c>
      <c r="AJ9367">
        <v>121.03290398785001</v>
      </c>
      <c r="AK9367">
        <v>0.83944639265816501</v>
      </c>
      <c r="AL9367">
        <v>88.223450444116295</v>
      </c>
      <c r="AM9367">
        <v>103.61846165487199</v>
      </c>
      <c r="AN9367">
        <v>0.99999996914959899</v>
      </c>
    </row>
    <row r="9368" spans="1:40" x14ac:dyDescent="0.25">
      <c r="A9368" t="str">
        <f>"20190312150909036"</f>
        <v>20190312150909036</v>
      </c>
      <c r="B9368" t="str">
        <f>"1552374549028539"</f>
        <v>1552374549028539</v>
      </c>
      <c r="C9368" t="s">
        <v>40</v>
      </c>
      <c r="D9368">
        <v>4.5988129999999998</v>
      </c>
      <c r="E9368">
        <v>0.41039740000000002</v>
      </c>
      <c r="F9368" t="s">
        <v>73</v>
      </c>
      <c r="G9368">
        <v>-283.85390000000001</v>
      </c>
      <c r="H9368" s="1">
        <v>-5.1892350000000001E-6</v>
      </c>
      <c r="I9368">
        <v>-55.652340000000002</v>
      </c>
      <c r="J9368">
        <v>-291.0761</v>
      </c>
      <c r="K9368">
        <v>1.116735</v>
      </c>
      <c r="L9368">
        <v>-53.923430000000003</v>
      </c>
      <c r="M9368">
        <v>0.75500999999999996</v>
      </c>
      <c r="N9368">
        <v>0</v>
      </c>
      <c r="O9368">
        <v>-0.65561169999999902</v>
      </c>
      <c r="P9368">
        <v>0.88762719999999995</v>
      </c>
      <c r="Q9368">
        <v>2.3606039999999998E-2</v>
      </c>
      <c r="R9368">
        <v>-0.45995770000000002</v>
      </c>
      <c r="S9368">
        <v>3.0109560000000002</v>
      </c>
      <c r="T9368">
        <v>-0.45938180000000001</v>
      </c>
      <c r="U9368">
        <v>-0.74325559999999902</v>
      </c>
      <c r="V9368">
        <v>-0.23521110000000001</v>
      </c>
      <c r="W9368">
        <v>3.1047419999999999E-2</v>
      </c>
      <c r="X9368">
        <v>0.97144830000000004</v>
      </c>
      <c r="Y9368">
        <v>-0.44502380000000002</v>
      </c>
      <c r="Z9368">
        <v>0.122583399999999</v>
      </c>
      <c r="AA9368">
        <v>0.88708909999999996</v>
      </c>
      <c r="AB9368">
        <v>25</v>
      </c>
      <c r="AC9368">
        <v>7.2221999999999804</v>
      </c>
      <c r="AD9368">
        <v>-1.116740189235</v>
      </c>
      <c r="AE9368">
        <v>-1.72890999999999</v>
      </c>
      <c r="AF9368">
        <v>-3.3539978966944402</v>
      </c>
      <c r="AG9368">
        <v>-1.116740189235</v>
      </c>
      <c r="AH9368">
        <v>6.4411106595083796</v>
      </c>
      <c r="AI9368">
        <v>98.742335075853603</v>
      </c>
      <c r="AJ9368">
        <v>117.50677379007</v>
      </c>
      <c r="AK9368">
        <v>7.3474020625875598</v>
      </c>
      <c r="AL9368">
        <v>88.220827957643095</v>
      </c>
      <c r="AM9368">
        <v>103.610754449906</v>
      </c>
      <c r="AN9368">
        <v>1.00000000171237</v>
      </c>
    </row>
    <row r="9369" spans="1:40" x14ac:dyDescent="0.25">
      <c r="A9369" t="str">
        <f>"20190312150909049"</f>
        <v>20190312150909049</v>
      </c>
      <c r="B9369" t="str">
        <f>"1552374549039275"</f>
        <v>1552374549039275</v>
      </c>
      <c r="C9369" t="s">
        <v>40</v>
      </c>
      <c r="D9369">
        <v>4.5828249999999997</v>
      </c>
      <c r="E9369">
        <v>0.41070400000000001</v>
      </c>
      <c r="F9369" t="s">
        <v>41</v>
      </c>
      <c r="G9369">
        <v>-290.1617</v>
      </c>
      <c r="H9369">
        <v>0.97750680000000001</v>
      </c>
      <c r="I9369">
        <v>-54.145299999999999</v>
      </c>
      <c r="J9369">
        <v>-290.96870000000001</v>
      </c>
      <c r="K9369">
        <v>1.1167419999999999</v>
      </c>
      <c r="L9369">
        <v>-54.008969999999998</v>
      </c>
      <c r="M9369">
        <v>0.75868760000000002</v>
      </c>
      <c r="N9369">
        <v>0</v>
      </c>
      <c r="O9369">
        <v>-0.6513523</v>
      </c>
      <c r="P9369">
        <v>0.89005460000000003</v>
      </c>
      <c r="Q9369">
        <v>2.3225119999999998E-2</v>
      </c>
      <c r="R9369">
        <v>-0.4552619</v>
      </c>
      <c r="S9369">
        <v>3.0131839999999999</v>
      </c>
      <c r="T9369">
        <v>-0.45874939999999997</v>
      </c>
      <c r="U9369">
        <v>-0.7310181</v>
      </c>
      <c r="V9369">
        <v>-0.23487710000000001</v>
      </c>
      <c r="W9369">
        <v>3.0668520000000001E-2</v>
      </c>
      <c r="X9369">
        <v>0.97154119999999999</v>
      </c>
      <c r="Y9369">
        <v>-0.44362859999999998</v>
      </c>
      <c r="Z9369">
        <v>0.1218582</v>
      </c>
      <c r="AA9369">
        <v>0.88788750000000005</v>
      </c>
      <c r="AB9369">
        <v>25</v>
      </c>
      <c r="AC9369">
        <v>0.80700000000001604</v>
      </c>
      <c r="AD9369">
        <v>-0.139235199999999</v>
      </c>
      <c r="AE9369">
        <v>-0.13633000000000001</v>
      </c>
      <c r="AF9369">
        <v>-0.410360857094628</v>
      </c>
      <c r="AG9369">
        <v>-0.139235199999999</v>
      </c>
      <c r="AH9369">
        <v>0.68138573744100905</v>
      </c>
      <c r="AI9369">
        <v>99.928890646562706</v>
      </c>
      <c r="AJ9369">
        <v>121.05822474176099</v>
      </c>
      <c r="AK9369">
        <v>0.807507892928921</v>
      </c>
      <c r="AL9369">
        <v>88.242547768742696</v>
      </c>
      <c r="AM9369">
        <v>103.590893158841</v>
      </c>
      <c r="AN9369">
        <v>1.0000000567604099</v>
      </c>
    </row>
    <row r="9370" spans="1:40" x14ac:dyDescent="0.25">
      <c r="A9370" t="str">
        <f>"20190312150909060"</f>
        <v>20190312150909060</v>
      </c>
      <c r="B9370" t="str">
        <f>"1552374549049035"</f>
        <v>1552374549049035</v>
      </c>
      <c r="C9370" t="s">
        <v>40</v>
      </c>
      <c r="D9370">
        <v>4.5615690000000004</v>
      </c>
      <c r="E9370">
        <v>0.41111589999999998</v>
      </c>
      <c r="F9370" t="s">
        <v>73</v>
      </c>
      <c r="G9370">
        <v>-283.64909999999998</v>
      </c>
      <c r="H9370" s="1">
        <v>-5.2673399999999998E-6</v>
      </c>
      <c r="I9370">
        <v>-55.749519999999997</v>
      </c>
      <c r="J9370">
        <v>-290.86250000000001</v>
      </c>
      <c r="K9370">
        <v>1.1167450000000001</v>
      </c>
      <c r="L9370">
        <v>-54.092529999999996</v>
      </c>
      <c r="M9370">
        <v>0.76228209999999996</v>
      </c>
      <c r="N9370">
        <v>0</v>
      </c>
      <c r="O9370">
        <v>-0.6471422</v>
      </c>
      <c r="P9370">
        <v>0.89243150000000004</v>
      </c>
      <c r="Q9370">
        <v>2.31021E-2</v>
      </c>
      <c r="R9370">
        <v>-0.45059120000000003</v>
      </c>
      <c r="S9370">
        <v>3.0158079999999998</v>
      </c>
      <c r="T9370">
        <v>-0.46011809999999997</v>
      </c>
      <c r="U9370">
        <v>-0.71713260000000001</v>
      </c>
      <c r="V9370">
        <v>-0.2345902</v>
      </c>
      <c r="W9370">
        <v>3.0546980000000001E-2</v>
      </c>
      <c r="X9370">
        <v>0.97161430000000004</v>
      </c>
      <c r="Y9370">
        <v>-0.4427064</v>
      </c>
      <c r="Z9370">
        <v>0.12168959999999999</v>
      </c>
      <c r="AA9370">
        <v>0.88837080000000002</v>
      </c>
      <c r="AB9370">
        <v>25</v>
      </c>
      <c r="AC9370">
        <v>7.2134000000000302</v>
      </c>
      <c r="AD9370">
        <v>-1.11675026734</v>
      </c>
      <c r="AE9370">
        <v>-1.65698999999999</v>
      </c>
      <c r="AF9370">
        <v>-3.3294280679746402</v>
      </c>
      <c r="AG9370">
        <v>-1.11675026734</v>
      </c>
      <c r="AH9370">
        <v>6.4251122140414401</v>
      </c>
      <c r="AI9370">
        <v>98.772768468670904</v>
      </c>
      <c r="AJ9370">
        <v>117.39273326822</v>
      </c>
      <c r="AK9370">
        <v>7.3221779125097601</v>
      </c>
      <c r="AL9370">
        <v>88.249514686644105</v>
      </c>
      <c r="AM9370">
        <v>103.573923172001</v>
      </c>
      <c r="AN9370">
        <v>1.0000000139438201</v>
      </c>
    </row>
    <row r="9371" spans="1:40" x14ac:dyDescent="0.25">
      <c r="A9371" t="str">
        <f>"20190312150909073"</f>
        <v>20190312150909073</v>
      </c>
      <c r="B9371" t="str">
        <f>"1552374549068555"</f>
        <v>1552374549068555</v>
      </c>
      <c r="C9371" t="s">
        <v>40</v>
      </c>
      <c r="D9371">
        <v>4.5983369999999999</v>
      </c>
      <c r="E9371">
        <v>0.41199760000000002</v>
      </c>
      <c r="F9371" t="s">
        <v>73</v>
      </c>
      <c r="G9371">
        <v>-283.53070000000002</v>
      </c>
      <c r="H9371" s="1">
        <v>-5.3129310000000002E-6</v>
      </c>
      <c r="I9371">
        <v>-55.803109999999997</v>
      </c>
      <c r="J9371">
        <v>-290.75990000000002</v>
      </c>
      <c r="K9371">
        <v>1.1167499999999999</v>
      </c>
      <c r="L9371">
        <v>-54.17221</v>
      </c>
      <c r="M9371">
        <v>0.76571429999999996</v>
      </c>
      <c r="N9371">
        <v>0</v>
      </c>
      <c r="O9371">
        <v>-0.64307729999999996</v>
      </c>
      <c r="P9371">
        <v>0.89472559999999901</v>
      </c>
      <c r="Q9371">
        <v>2.31991E-2</v>
      </c>
      <c r="R9371">
        <v>-0.44601350000000001</v>
      </c>
      <c r="S9371">
        <v>3.018005</v>
      </c>
      <c r="T9371">
        <v>-0.45969189999999999</v>
      </c>
      <c r="U9371">
        <v>-0.70413210000000004</v>
      </c>
      <c r="V9371">
        <v>-0.2343991</v>
      </c>
      <c r="W9371">
        <v>3.0643739999999999E-2</v>
      </c>
      <c r="X9371">
        <v>0.97165729999999995</v>
      </c>
      <c r="Y9371">
        <v>-0.44178329999999999</v>
      </c>
      <c r="Z9371">
        <v>0.121072</v>
      </c>
      <c r="AA9371">
        <v>0.8889146</v>
      </c>
      <c r="AB9371">
        <v>25</v>
      </c>
      <c r="AC9371">
        <v>7.2291999999999899</v>
      </c>
      <c r="AD9371">
        <v>-1.1167553129309999</v>
      </c>
      <c r="AE9371">
        <v>-1.63089999999999</v>
      </c>
      <c r="AF9371">
        <v>-3.3248570286286401</v>
      </c>
      <c r="AG9371">
        <v>-1.1167553129309999</v>
      </c>
      <c r="AH9371">
        <v>6.4385298703053699</v>
      </c>
      <c r="AI9371">
        <v>98.761106612245499</v>
      </c>
      <c r="AJ9371">
        <v>117.311831795602</v>
      </c>
      <c r="AK9371">
        <v>7.3318813125005899</v>
      </c>
      <c r="AL9371">
        <v>88.243968025460404</v>
      </c>
      <c r="AM9371">
        <v>103.56269627587599</v>
      </c>
      <c r="AN9371">
        <v>0.99999994276264204</v>
      </c>
    </row>
    <row r="9372" spans="1:40" x14ac:dyDescent="0.25">
      <c r="A9372" t="str">
        <f>"20190312150909090"</f>
        <v>20190312150909090</v>
      </c>
      <c r="B9372" t="str">
        <f>"1552374549079292"</f>
        <v>1552374549079292</v>
      </c>
      <c r="C9372" t="s">
        <v>40</v>
      </c>
      <c r="D9372">
        <v>4.5546889999999998</v>
      </c>
      <c r="E9372">
        <v>0.41240900000000003</v>
      </c>
      <c r="F9372" t="s">
        <v>41</v>
      </c>
      <c r="G9372">
        <v>-289.82380000000001</v>
      </c>
      <c r="H9372">
        <v>0.97436149999999999</v>
      </c>
      <c r="I9372">
        <v>-54.387639999999998</v>
      </c>
      <c r="J9372">
        <v>-290.60840000000002</v>
      </c>
      <c r="K9372">
        <v>1.1167579999999999</v>
      </c>
      <c r="L9372">
        <v>-54.288539999999998</v>
      </c>
      <c r="M9372">
        <v>0.7707254</v>
      </c>
      <c r="N9372">
        <v>0</v>
      </c>
      <c r="O9372">
        <v>-0.63706280000000004</v>
      </c>
      <c r="P9372">
        <v>0.89786109999999897</v>
      </c>
      <c r="Q9372">
        <v>2.299087E-2</v>
      </c>
      <c r="R9372">
        <v>-0.43967810000000002</v>
      </c>
      <c r="S9372">
        <v>3.018494</v>
      </c>
      <c r="T9372">
        <v>-0.45914050000000001</v>
      </c>
      <c r="U9372">
        <v>-0.694824199999999</v>
      </c>
      <c r="V9372">
        <v>-0.23366010000000001</v>
      </c>
      <c r="W9372">
        <v>3.0444519999999999E-2</v>
      </c>
      <c r="X9372">
        <v>0.97184159999999997</v>
      </c>
      <c r="Y9372">
        <v>-0.4375211</v>
      </c>
      <c r="Z9372">
        <v>0.1199962</v>
      </c>
      <c r="AA9372">
        <v>0.89116569999999995</v>
      </c>
      <c r="AB9372">
        <v>25</v>
      </c>
      <c r="AC9372">
        <v>0.78460000000001096</v>
      </c>
      <c r="AD9372">
        <v>-0.14239649999999901</v>
      </c>
      <c r="AE9372">
        <v>-9.9099999999999897E-2</v>
      </c>
      <c r="AF9372">
        <v>-0.41018999506349801</v>
      </c>
      <c r="AG9372">
        <v>-0.14239649999999901</v>
      </c>
      <c r="AH9372">
        <v>0.64691488642185901</v>
      </c>
      <c r="AI9372">
        <v>100.53087157175599</v>
      </c>
      <c r="AJ9372">
        <v>122.377600569488</v>
      </c>
      <c r="AK9372">
        <v>0.77912224043255895</v>
      </c>
      <c r="AL9372">
        <v>88.255387925249295</v>
      </c>
      <c r="AM9372">
        <v>103.519038869038</v>
      </c>
      <c r="AN9372">
        <v>1.0000000033103</v>
      </c>
    </row>
    <row r="9373" spans="1:40" x14ac:dyDescent="0.25">
      <c r="A9373" t="str">
        <f>"20190312150909101"</f>
        <v>20190312150909101</v>
      </c>
      <c r="B9373" t="str">
        <f>"1552374549098811"</f>
        <v>1552374549098811</v>
      </c>
      <c r="C9373" t="s">
        <v>40</v>
      </c>
      <c r="D9373">
        <v>4.537204</v>
      </c>
      <c r="E9373">
        <v>0.41303800000000002</v>
      </c>
      <c r="F9373" t="s">
        <v>73</v>
      </c>
      <c r="G9373">
        <v>-283.27330000000001</v>
      </c>
      <c r="H9373" s="1">
        <v>-5.4104190000000002E-6</v>
      </c>
      <c r="I9373">
        <v>-55.929079999999999</v>
      </c>
      <c r="J9373">
        <v>-290.50670000000002</v>
      </c>
      <c r="K9373">
        <v>1.116765</v>
      </c>
      <c r="L9373">
        <v>-54.365659999999998</v>
      </c>
      <c r="M9373">
        <v>0.77404580000000001</v>
      </c>
      <c r="N9373">
        <v>0</v>
      </c>
      <c r="O9373">
        <v>-0.63302460000000005</v>
      </c>
      <c r="P9373">
        <v>0.89994819999999998</v>
      </c>
      <c r="Q9373">
        <v>2.291607E-2</v>
      </c>
      <c r="R9373">
        <v>-0.43539450000000002</v>
      </c>
      <c r="S9373">
        <v>3.0220639999999999</v>
      </c>
      <c r="T9373">
        <v>-0.46010830000000003</v>
      </c>
      <c r="U9373">
        <v>-0.67590329999999998</v>
      </c>
      <c r="V9373">
        <v>-0.2332111</v>
      </c>
      <c r="W9373">
        <v>3.0374450000000001E-2</v>
      </c>
      <c r="X9373">
        <v>0.97195169999999997</v>
      </c>
      <c r="Y9373">
        <v>-0.43835390000000002</v>
      </c>
      <c r="Z9373">
        <v>0.1198497</v>
      </c>
      <c r="AA9373">
        <v>0.89077600000000001</v>
      </c>
      <c r="AB9373">
        <v>25</v>
      </c>
      <c r="AC9373">
        <v>7.2334000000000103</v>
      </c>
      <c r="AD9373">
        <v>-1.1167704104189999</v>
      </c>
      <c r="AE9373">
        <v>-1.56342</v>
      </c>
      <c r="AF9373">
        <v>-3.29397287190847</v>
      </c>
      <c r="AG9373">
        <v>-1.1167704104189999</v>
      </c>
      <c r="AH9373">
        <v>6.4423937504360804</v>
      </c>
      <c r="AI9373">
        <v>98.773952187948893</v>
      </c>
      <c r="AJ9373">
        <v>117.080497957183</v>
      </c>
      <c r="AK9373">
        <v>7.3213298427344702</v>
      </c>
      <c r="AL9373">
        <v>88.259404606796494</v>
      </c>
      <c r="AM9373">
        <v>103.492538967057</v>
      </c>
      <c r="AN9373">
        <v>1.0000000657544399</v>
      </c>
    </row>
    <row r="9374" spans="1:40" x14ac:dyDescent="0.25">
      <c r="A9374" t="str">
        <f>"20190312150909113"</f>
        <v>20190312150909113</v>
      </c>
      <c r="B9374" t="str">
        <f>"1552374549108571"</f>
        <v>1552374549108571</v>
      </c>
      <c r="C9374" t="s">
        <v>40</v>
      </c>
      <c r="D9374">
        <v>4.5748920000000002</v>
      </c>
      <c r="E9374">
        <v>0.41333599999999998</v>
      </c>
      <c r="F9374" t="s">
        <v>73</v>
      </c>
      <c r="G9374">
        <v>-283.1628</v>
      </c>
      <c r="H9374" s="1">
        <v>-5.4522040000000002E-6</v>
      </c>
      <c r="I9374">
        <v>-55.983640000000001</v>
      </c>
      <c r="J9374">
        <v>-290.40620000000001</v>
      </c>
      <c r="K9374">
        <v>1.11677</v>
      </c>
      <c r="L9374">
        <v>-54.440730000000002</v>
      </c>
      <c r="M9374">
        <v>0.77728779999999997</v>
      </c>
      <c r="N9374">
        <v>0</v>
      </c>
      <c r="O9374">
        <v>-0.62903929999999997</v>
      </c>
      <c r="P9374">
        <v>0.902007</v>
      </c>
      <c r="Q9374">
        <v>2.3061330000000001E-2</v>
      </c>
      <c r="R9374">
        <v>-0.43110510000000002</v>
      </c>
      <c r="S9374">
        <v>3.0230100000000002</v>
      </c>
      <c r="T9374">
        <v>-0.45970109999999997</v>
      </c>
      <c r="U9374">
        <v>-0.66601560000000004</v>
      </c>
      <c r="V9374">
        <v>-0.2328443</v>
      </c>
      <c r="W9374">
        <v>3.052363E-2</v>
      </c>
      <c r="X9374">
        <v>0.97203490000000004</v>
      </c>
      <c r="Y9374">
        <v>-0.4366505</v>
      </c>
      <c r="Z9374">
        <v>0.1192019</v>
      </c>
      <c r="AA9374">
        <v>0.89169900000000002</v>
      </c>
      <c r="AB9374">
        <v>25</v>
      </c>
      <c r="AC9374">
        <v>7.2434000000000003</v>
      </c>
      <c r="AD9374">
        <v>-1.1167754522040001</v>
      </c>
      <c r="AE9374">
        <v>-1.54290999999999</v>
      </c>
      <c r="AF9374">
        <v>-3.2826763124359002</v>
      </c>
      <c r="AG9374">
        <v>-1.1167754522040001</v>
      </c>
      <c r="AH9374">
        <v>6.4544285780051602</v>
      </c>
      <c r="AI9374">
        <v>98.767323913819197</v>
      </c>
      <c r="AJ9374">
        <v>116.95756374054599</v>
      </c>
      <c r="AK9374">
        <v>7.3268546765609397</v>
      </c>
      <c r="AL9374">
        <v>88.2508531488198</v>
      </c>
      <c r="AM9374">
        <v>103.470980634588</v>
      </c>
      <c r="AN9374">
        <v>1.0000000034244301</v>
      </c>
    </row>
    <row r="9375" spans="1:40" x14ac:dyDescent="0.25">
      <c r="A9375" t="str">
        <f>"20190312150909126"</f>
        <v>20190312150909126</v>
      </c>
      <c r="B9375" t="str">
        <f>"1552374549119307"</f>
        <v>1552374549119307</v>
      </c>
      <c r="C9375" t="s">
        <v>40</v>
      </c>
      <c r="D9375">
        <v>4.5727719999999996</v>
      </c>
      <c r="E9375">
        <v>0.4137034</v>
      </c>
      <c r="F9375" t="s">
        <v>41</v>
      </c>
      <c r="G9375">
        <v>-289.46570000000003</v>
      </c>
      <c r="H9375">
        <v>0.97401789999999999</v>
      </c>
      <c r="I9375">
        <v>-54.644010000000002</v>
      </c>
      <c r="J9375">
        <v>-290.30540000000002</v>
      </c>
      <c r="K9375">
        <v>1.1167750000000001</v>
      </c>
      <c r="L9375">
        <v>-54.515720000000002</v>
      </c>
      <c r="M9375">
        <v>0.78051559999999998</v>
      </c>
      <c r="N9375">
        <v>0</v>
      </c>
      <c r="O9375">
        <v>-0.62503019999999998</v>
      </c>
      <c r="P9375">
        <v>0.90412490000000001</v>
      </c>
      <c r="Q9375">
        <v>2.3380640000000001E-2</v>
      </c>
      <c r="R9375">
        <v>-0.42662899999999998</v>
      </c>
      <c r="S9375">
        <v>3.0252080000000001</v>
      </c>
      <c r="T9375">
        <v>-0.45916370000000001</v>
      </c>
      <c r="U9375">
        <v>-0.65374759999999998</v>
      </c>
      <c r="V9375">
        <v>-0.2326599</v>
      </c>
      <c r="W9375">
        <v>3.084344E-2</v>
      </c>
      <c r="X9375">
        <v>0.97206899999999996</v>
      </c>
      <c r="Y9375">
        <v>-0.43569099999999999</v>
      </c>
      <c r="Z9375">
        <v>0.1185388</v>
      </c>
      <c r="AA9375">
        <v>0.89225659999999896</v>
      </c>
      <c r="AB9375">
        <v>25</v>
      </c>
      <c r="AC9375">
        <v>0.83969999999999301</v>
      </c>
      <c r="AD9375">
        <v>-0.1427571</v>
      </c>
      <c r="AE9375">
        <v>-0.12828999999999899</v>
      </c>
      <c r="AF9375">
        <v>-0.41306701480847602</v>
      </c>
      <c r="AG9375">
        <v>-0.1427571</v>
      </c>
      <c r="AH9375">
        <v>0.71542635644937802</v>
      </c>
      <c r="AI9375">
        <v>99.804240704825503</v>
      </c>
      <c r="AJ9375">
        <v>120.000925907606</v>
      </c>
      <c r="AK9375">
        <v>0.83835482930894401</v>
      </c>
      <c r="AL9375">
        <v>88.232520825143894</v>
      </c>
      <c r="AM9375">
        <v>103.4602457192</v>
      </c>
      <c r="AN9375">
        <v>1.0000000438100201</v>
      </c>
    </row>
    <row r="9376" spans="1:40" x14ac:dyDescent="0.25">
      <c r="A9376" t="str">
        <f>"20190312150909138"</f>
        <v>20190312150909138</v>
      </c>
      <c r="B9376" t="str">
        <f>"1552374549129067"</f>
        <v>1552374549129067</v>
      </c>
      <c r="C9376" t="s">
        <v>40</v>
      </c>
      <c r="D9376">
        <v>4.6201179999999997</v>
      </c>
      <c r="E9376">
        <v>0.41409269999999998</v>
      </c>
      <c r="F9376" t="s">
        <v>73</v>
      </c>
      <c r="G9376">
        <v>-282.91910000000001</v>
      </c>
      <c r="H9376" s="1">
        <v>-5.5484449999999999E-6</v>
      </c>
      <c r="I9376">
        <v>-56.080530000000003</v>
      </c>
      <c r="J9376">
        <v>-290.17860000000002</v>
      </c>
      <c r="K9376">
        <v>1.1167830000000001</v>
      </c>
      <c r="L9376">
        <v>-54.608280000000001</v>
      </c>
      <c r="M9376">
        <v>0.78451660000000001</v>
      </c>
      <c r="N9376">
        <v>0</v>
      </c>
      <c r="O9376">
        <v>-0.62000040000000001</v>
      </c>
      <c r="P9376">
        <v>0.90675689999999998</v>
      </c>
      <c r="Q9376">
        <v>2.3431029999999999E-2</v>
      </c>
      <c r="R9376">
        <v>-0.42100209999999999</v>
      </c>
      <c r="S9376">
        <v>3.0273439999999998</v>
      </c>
      <c r="T9376">
        <v>-0.45772570000000001</v>
      </c>
      <c r="U9376">
        <v>-0.64135739999999997</v>
      </c>
      <c r="V9376">
        <v>-0.23245279999999999</v>
      </c>
      <c r="W9376">
        <v>3.0894910000000001E-2</v>
      </c>
      <c r="X9376">
        <v>0.97211689999999995</v>
      </c>
      <c r="Y9376">
        <v>-0.43367329999999998</v>
      </c>
      <c r="Z9376">
        <v>0.1174538</v>
      </c>
      <c r="AA9376">
        <v>0.89338240000000002</v>
      </c>
      <c r="AB9376">
        <v>25</v>
      </c>
      <c r="AC9376">
        <v>7.2595000000000001</v>
      </c>
      <c r="AD9376">
        <v>-1.116788548445</v>
      </c>
      <c r="AE9376">
        <v>-1.4722499999999901</v>
      </c>
      <c r="AF9376">
        <v>-3.27174036744344</v>
      </c>
      <c r="AG9376">
        <v>-1.116788548445</v>
      </c>
      <c r="AH9376">
        <v>6.4615546074358603</v>
      </c>
      <c r="AI9376">
        <v>98.765749846024093</v>
      </c>
      <c r="AJ9376">
        <v>116.85489525803899</v>
      </c>
      <c r="AK9376">
        <v>7.3282460137997898</v>
      </c>
      <c r="AL9376">
        <v>88.229570387133293</v>
      </c>
      <c r="AM9376">
        <v>103.448061053667</v>
      </c>
      <c r="AN9376">
        <v>1.0000000334786701</v>
      </c>
    </row>
    <row r="9377" spans="1:40" x14ac:dyDescent="0.25">
      <c r="A9377" t="str">
        <f>"20190312150909158"</f>
        <v>20190312150909158</v>
      </c>
      <c r="B9377" t="str">
        <f>"1552374549148587"</f>
        <v>1552374549148587</v>
      </c>
      <c r="C9377" t="s">
        <v>40</v>
      </c>
      <c r="D9377">
        <v>4.5989839999999997</v>
      </c>
      <c r="E9377">
        <v>0.414825</v>
      </c>
      <c r="F9377" t="s">
        <v>73</v>
      </c>
      <c r="G9377">
        <v>-282.7629</v>
      </c>
      <c r="H9377" s="1">
        <v>-5.6108919999999997E-6</v>
      </c>
      <c r="I9377">
        <v>-56.138509999999997</v>
      </c>
      <c r="J9377">
        <v>-290.01440000000002</v>
      </c>
      <c r="K9377">
        <v>1.1167959999999999</v>
      </c>
      <c r="L9377">
        <v>-54.726619999999997</v>
      </c>
      <c r="M9377">
        <v>0.78962869999999996</v>
      </c>
      <c r="N9377">
        <v>0</v>
      </c>
      <c r="O9377">
        <v>-0.61347659999999904</v>
      </c>
      <c r="P9377">
        <v>0.91004110000000005</v>
      </c>
      <c r="Q9377">
        <v>2.406705E-2</v>
      </c>
      <c r="R9377">
        <v>-0.41381950000000001</v>
      </c>
      <c r="S9377">
        <v>3.0300289999999999</v>
      </c>
      <c r="T9377">
        <v>-0.456314</v>
      </c>
      <c r="U9377">
        <v>-0.62524409999999997</v>
      </c>
      <c r="V9377">
        <v>-0.23208290000000001</v>
      </c>
      <c r="W9377">
        <v>3.1533560000000002E-2</v>
      </c>
      <c r="X9377">
        <v>0.97218479999999996</v>
      </c>
      <c r="Y9377">
        <v>-0.43108400000000002</v>
      </c>
      <c r="Z9377">
        <v>0.1161647</v>
      </c>
      <c r="AA9377">
        <v>0.89480300000000002</v>
      </c>
      <c r="AB9377">
        <v>25</v>
      </c>
      <c r="AC9377">
        <v>7.2515000000000196</v>
      </c>
      <c r="AD9377">
        <v>-1.11680161089199</v>
      </c>
      <c r="AE9377">
        <v>-1.4118899999999901</v>
      </c>
      <c r="AF9377">
        <v>-3.2594903222413998</v>
      </c>
      <c r="AG9377">
        <v>-1.11680161089199</v>
      </c>
      <c r="AH9377">
        <v>6.4453000277628396</v>
      </c>
      <c r="AI9377">
        <v>98.789786716055701</v>
      </c>
      <c r="AJ9377">
        <v>116.826446561385</v>
      </c>
      <c r="AK9377">
        <v>7.3084482242645796</v>
      </c>
      <c r="AL9377">
        <v>88.1929606496834</v>
      </c>
      <c r="AM9377">
        <v>103.426532984538</v>
      </c>
      <c r="AN9377">
        <v>1.0000000616148501</v>
      </c>
    </row>
    <row r="9378" spans="1:40" x14ac:dyDescent="0.25">
      <c r="A9378" t="str">
        <f>"20190312150909172"</f>
        <v>20190312150909172</v>
      </c>
      <c r="B9378" t="str">
        <f>"1552374549169083"</f>
        <v>1552374549169083</v>
      </c>
      <c r="C9378" t="s">
        <v>40</v>
      </c>
      <c r="D9378">
        <v>4.6026619999999996</v>
      </c>
      <c r="E9378">
        <v>0.41549560000000002</v>
      </c>
      <c r="F9378" t="s">
        <v>41</v>
      </c>
      <c r="G9378">
        <v>-289.02910000000003</v>
      </c>
      <c r="H9378">
        <v>0.9698213</v>
      </c>
      <c r="I9378">
        <v>-54.923569999999998</v>
      </c>
      <c r="J9378">
        <v>-289.89120000000003</v>
      </c>
      <c r="K9378">
        <v>1.116803</v>
      </c>
      <c r="L9378">
        <v>-54.814059999999998</v>
      </c>
      <c r="M9378">
        <v>0.79340889999999997</v>
      </c>
      <c r="N9378">
        <v>0</v>
      </c>
      <c r="O9378">
        <v>-0.60857969999999995</v>
      </c>
      <c r="P9378">
        <v>0.9125955</v>
      </c>
      <c r="Q9378">
        <v>2.4010420000000001E-2</v>
      </c>
      <c r="R9378">
        <v>-0.40815879999999999</v>
      </c>
      <c r="S9378">
        <v>3.0327760000000001</v>
      </c>
      <c r="T9378">
        <v>-0.45236890000000002</v>
      </c>
      <c r="U9378">
        <v>-0.60641480000000003</v>
      </c>
      <c r="V9378">
        <v>-0.23210739999999999</v>
      </c>
      <c r="W9378">
        <v>3.1473979999999999E-2</v>
      </c>
      <c r="X9378">
        <v>0.97218079999999996</v>
      </c>
      <c r="Y9378">
        <v>-0.43122759999999999</v>
      </c>
      <c r="Z9378">
        <v>0.11463760000000001</v>
      </c>
      <c r="AA9378">
        <v>0.89493069999999897</v>
      </c>
      <c r="AB9378">
        <v>25</v>
      </c>
      <c r="AC9378">
        <v>0.86209999999999798</v>
      </c>
      <c r="AD9378">
        <v>-0.14698169999999999</v>
      </c>
      <c r="AE9378">
        <v>-0.10951</v>
      </c>
      <c r="AF9378">
        <v>-0.42562401405379902</v>
      </c>
      <c r="AG9378">
        <v>-0.14698169999999999</v>
      </c>
      <c r="AH9378">
        <v>0.72981609222282495</v>
      </c>
      <c r="AI9378">
        <v>99.869074397715195</v>
      </c>
      <c r="AJ9378">
        <v>120.25045979320799</v>
      </c>
      <c r="AK9378">
        <v>0.85754938629886202</v>
      </c>
      <c r="AL9378">
        <v>88.196375884051903</v>
      </c>
      <c r="AM9378">
        <v>103.427952283702</v>
      </c>
      <c r="AN9378">
        <v>0.99999998222021902</v>
      </c>
    </row>
    <row r="9379" spans="1:40" x14ac:dyDescent="0.25">
      <c r="A9379" t="str">
        <f>"20190312150909190"</f>
        <v>20190312150909190</v>
      </c>
      <c r="B9379" t="str">
        <f>"1552374549178843"</f>
        <v>1552374549178843</v>
      </c>
      <c r="C9379" t="s">
        <v>40</v>
      </c>
      <c r="D9379">
        <v>4.5876590000000004</v>
      </c>
      <c r="E9379">
        <v>0.41581119999999999</v>
      </c>
      <c r="F9379" t="s">
        <v>41</v>
      </c>
      <c r="G9379">
        <v>-288.9341</v>
      </c>
      <c r="H9379">
        <v>0.9742518</v>
      </c>
      <c r="I9379">
        <v>-55.001130000000003</v>
      </c>
      <c r="J9379">
        <v>-289.72089999999997</v>
      </c>
      <c r="K9379">
        <v>1.116816</v>
      </c>
      <c r="L9379">
        <v>-54.933039999999998</v>
      </c>
      <c r="M9379">
        <v>0.79855679999999996</v>
      </c>
      <c r="N9379">
        <v>0</v>
      </c>
      <c r="O9379">
        <v>-0.60180880000000003</v>
      </c>
      <c r="P9379">
        <v>0.91590859999999996</v>
      </c>
      <c r="Q9379">
        <v>2.4176139999999999E-2</v>
      </c>
      <c r="R9379">
        <v>-0.40065840000000003</v>
      </c>
      <c r="S9379">
        <v>3.0342410000000002</v>
      </c>
      <c r="T9379">
        <v>-0.4518896</v>
      </c>
      <c r="U9379">
        <v>-0.59234619999999905</v>
      </c>
      <c r="V9379">
        <v>-0.23181360000000001</v>
      </c>
      <c r="W9379">
        <v>3.164223E-2</v>
      </c>
      <c r="X9379">
        <v>0.97224549999999998</v>
      </c>
      <c r="Y9379">
        <v>-0.42775869999999999</v>
      </c>
      <c r="Z9379">
        <v>0.1135196</v>
      </c>
      <c r="AA9379">
        <v>0.89673619999999898</v>
      </c>
      <c r="AB9379">
        <v>25</v>
      </c>
      <c r="AC9379">
        <v>0.78679999999997097</v>
      </c>
      <c r="AD9379">
        <v>-0.1425642</v>
      </c>
      <c r="AE9379">
        <v>-6.8089999999997902E-2</v>
      </c>
      <c r="AF9379">
        <v>-0.405929110093948</v>
      </c>
      <c r="AG9379">
        <v>-0.1425642</v>
      </c>
      <c r="AH9379">
        <v>0.64820288164251905</v>
      </c>
      <c r="AI9379">
        <v>100.558922314344</v>
      </c>
      <c r="AJ9379">
        <v>122.056351690423</v>
      </c>
      <c r="AK9379">
        <v>0.77799098279669698</v>
      </c>
      <c r="AL9379">
        <v>88.186731177247296</v>
      </c>
      <c r="AM9379">
        <v>103.410709475197</v>
      </c>
      <c r="AN9379">
        <v>1.00000004406729</v>
      </c>
    </row>
    <row r="9380" spans="1:40" x14ac:dyDescent="0.25">
      <c r="A9380" t="str">
        <f>"20190312150909202"</f>
        <v>20190312150909202</v>
      </c>
      <c r="B9380" t="str">
        <f>"1552374549199339"</f>
        <v>1552374549199339</v>
      </c>
      <c r="C9380" t="s">
        <v>40</v>
      </c>
      <c r="D9380">
        <v>4.6310589999999996</v>
      </c>
      <c r="E9380">
        <v>0.42875259999999998</v>
      </c>
      <c r="F9380" t="s">
        <v>41</v>
      </c>
      <c r="G9380">
        <v>-288.75689999999997</v>
      </c>
      <c r="H9380">
        <v>0.97394619999999998</v>
      </c>
      <c r="I9380">
        <v>-55.1136699999999</v>
      </c>
      <c r="J9380">
        <v>-289.62009999999998</v>
      </c>
      <c r="K9380">
        <v>1.116822</v>
      </c>
      <c r="L9380">
        <v>-55.002690000000001</v>
      </c>
      <c r="M9380">
        <v>0.80156649999999996</v>
      </c>
      <c r="N9380">
        <v>0</v>
      </c>
      <c r="O9380">
        <v>-0.59779409999999999</v>
      </c>
      <c r="P9380">
        <v>0.91772069999999994</v>
      </c>
      <c r="Q9380">
        <v>2.396674E-2</v>
      </c>
      <c r="R9380">
        <v>-0.39650259999999998</v>
      </c>
      <c r="S9380">
        <v>3.0382389999999999</v>
      </c>
      <c r="T9380">
        <v>-0.45027270000000003</v>
      </c>
      <c r="U9380">
        <v>-0.56939700000000004</v>
      </c>
      <c r="V9380">
        <v>-0.2313422</v>
      </c>
      <c r="W9380">
        <v>3.1439670000000003E-2</v>
      </c>
      <c r="X9380">
        <v>0.97236429999999996</v>
      </c>
      <c r="Y9380">
        <v>-0.43007610000000002</v>
      </c>
      <c r="Z9380">
        <v>0.1128096</v>
      </c>
      <c r="AA9380">
        <v>0.89571679999999998</v>
      </c>
      <c r="AB9380">
        <v>25</v>
      </c>
      <c r="AC9380">
        <v>0.86320000000000596</v>
      </c>
      <c r="AD9380">
        <v>-0.142875799999999</v>
      </c>
      <c r="AE9380">
        <v>-0.11097999999999</v>
      </c>
      <c r="AF9380">
        <v>-0.41587817610069999</v>
      </c>
      <c r="AG9380">
        <v>-0.142875799999999</v>
      </c>
      <c r="AH9380">
        <v>0.73840522115260798</v>
      </c>
      <c r="AI9380">
        <v>99.5696193322038</v>
      </c>
      <c r="AJ9380">
        <v>119.388703713396</v>
      </c>
      <c r="AK9380">
        <v>0.85942447149701195</v>
      </c>
      <c r="AL9380">
        <v>88.198342706104597</v>
      </c>
      <c r="AM9380">
        <v>103.382844256463</v>
      </c>
      <c r="AN9380">
        <v>0.99999999913251902</v>
      </c>
    </row>
    <row r="9381" spans="1:40" x14ac:dyDescent="0.25">
      <c r="A9381" t="str">
        <f>"20190312150909213"</f>
        <v>20190312150909213</v>
      </c>
      <c r="B9381" t="str">
        <f>"1552374549209099"</f>
        <v>1552374549209099</v>
      </c>
      <c r="C9381" t="s">
        <v>40</v>
      </c>
      <c r="D9381">
        <v>4.5658899999999996</v>
      </c>
      <c r="E9381">
        <v>0.42940489999999998</v>
      </c>
      <c r="F9381" t="s">
        <v>73</v>
      </c>
      <c r="G9381">
        <v>-281.89030000000002</v>
      </c>
      <c r="H9381" s="1">
        <v>-5.9211010000000002E-6</v>
      </c>
      <c r="I9381">
        <v>-56.679470000000002</v>
      </c>
      <c r="J9381">
        <v>-289.5188</v>
      </c>
      <c r="K9381">
        <v>1.116827</v>
      </c>
      <c r="L9381">
        <v>-55.071530000000003</v>
      </c>
      <c r="M9381">
        <v>0.80455319999999997</v>
      </c>
      <c r="N9381">
        <v>0</v>
      </c>
      <c r="O9381">
        <v>-0.59376850000000003</v>
      </c>
      <c r="P9381">
        <v>0.91959769999999996</v>
      </c>
      <c r="Q9381">
        <v>2.3617389999999999E-2</v>
      </c>
      <c r="R9381">
        <v>-0.39215149999999999</v>
      </c>
      <c r="S9381">
        <v>2.9992070000000002</v>
      </c>
      <c r="T9381">
        <v>-0.43333509999999997</v>
      </c>
      <c r="U9381">
        <v>-0.65060419999999997</v>
      </c>
      <c r="V9381">
        <v>-0.2310739</v>
      </c>
      <c r="W9381">
        <v>3.1093659999999999E-2</v>
      </c>
      <c r="X9381">
        <v>0.97243919999999995</v>
      </c>
      <c r="Y9381">
        <v>-0.40080710000000003</v>
      </c>
      <c r="Z9381">
        <v>0.107002</v>
      </c>
      <c r="AA9381">
        <v>0.90989240000000005</v>
      </c>
      <c r="AB9381">
        <v>25</v>
      </c>
      <c r="AC9381">
        <v>7.6284999999999696</v>
      </c>
      <c r="AD9381">
        <v>-1.116832921101</v>
      </c>
      <c r="AE9381">
        <v>-1.6079399999999899</v>
      </c>
      <c r="AF9381">
        <v>-3.1710293043937301</v>
      </c>
      <c r="AG9381">
        <v>-1.116832921101</v>
      </c>
      <c r="AH9381">
        <v>6.9501200320149801</v>
      </c>
      <c r="AI9381">
        <v>98.317425907039606</v>
      </c>
      <c r="AJ9381">
        <v>114.52509562484801</v>
      </c>
      <c r="AK9381">
        <v>7.7205512162276797</v>
      </c>
      <c r="AL9381">
        <v>88.218177282939294</v>
      </c>
      <c r="AM9381">
        <v>103.366888233374</v>
      </c>
      <c r="AN9381">
        <v>0.99999998032502202</v>
      </c>
    </row>
    <row r="9382" spans="1:40" x14ac:dyDescent="0.25">
      <c r="A9382" t="str">
        <f>"20190312150909224"</f>
        <v>20190312150909224</v>
      </c>
      <c r="B9382" t="str">
        <f>"1552374549218860"</f>
        <v>1552374549218860</v>
      </c>
      <c r="C9382" t="s">
        <v>40</v>
      </c>
      <c r="D9382">
        <v>4.6144800000000004</v>
      </c>
      <c r="E9382">
        <v>0.42909049999999999</v>
      </c>
      <c r="F9382" t="s">
        <v>73</v>
      </c>
      <c r="G9382">
        <v>-281.72190000000001</v>
      </c>
      <c r="H9382" s="1">
        <v>-5.9814689999999996E-6</v>
      </c>
      <c r="I9382">
        <v>-56.737490000000001</v>
      </c>
      <c r="J9382">
        <v>-289.41300000000001</v>
      </c>
      <c r="K9382">
        <v>1.116832</v>
      </c>
      <c r="L9382">
        <v>-55.143099999999997</v>
      </c>
      <c r="M9382">
        <v>0.807647</v>
      </c>
      <c r="N9382">
        <v>0</v>
      </c>
      <c r="O9382">
        <v>-0.589553199999999</v>
      </c>
      <c r="P9382">
        <v>0.92151459999999996</v>
      </c>
      <c r="Q9382">
        <v>2.3694679999999999E-2</v>
      </c>
      <c r="R9382">
        <v>-0.38762020000000003</v>
      </c>
      <c r="S9382">
        <v>2.9999389999999999</v>
      </c>
      <c r="T9382">
        <v>-0.42971039999999999</v>
      </c>
      <c r="U9382">
        <v>-0.64099119999999998</v>
      </c>
      <c r="V9382">
        <v>-0.2307756</v>
      </c>
      <c r="W9382">
        <v>3.117468E-2</v>
      </c>
      <c r="X9382">
        <v>0.97250749999999997</v>
      </c>
      <c r="Y9382">
        <v>-0.39905190000000001</v>
      </c>
      <c r="Z9382">
        <v>0.105554</v>
      </c>
      <c r="AA9382">
        <v>0.91083259999999999</v>
      </c>
      <c r="AB9382">
        <v>25</v>
      </c>
      <c r="AC9382">
        <v>7.6910999999999996</v>
      </c>
      <c r="AD9382">
        <v>-1.1168379814689999</v>
      </c>
      <c r="AE9382">
        <v>-1.59439</v>
      </c>
      <c r="AF9382">
        <v>-3.18248262815034</v>
      </c>
      <c r="AG9382">
        <v>-1.1168379814689999</v>
      </c>
      <c r="AH9382">
        <v>7.0104146578715403</v>
      </c>
      <c r="AI9382">
        <v>98.253941278780701</v>
      </c>
      <c r="AJ9382">
        <v>114.41638417684899</v>
      </c>
      <c r="AK9382">
        <v>7.7795524569624597</v>
      </c>
      <c r="AL9382">
        <v>88.213533030148298</v>
      </c>
      <c r="AM9382">
        <v>103.349346687562</v>
      </c>
      <c r="AN9382">
        <v>1.0000000378923499</v>
      </c>
    </row>
    <row r="9383" spans="1:40" x14ac:dyDescent="0.25">
      <c r="A9383" t="str">
        <f>"20190312150909235"</f>
        <v>20190312150909235</v>
      </c>
      <c r="B9383" t="str">
        <f>"1552374549228619"</f>
        <v>1552374549228619</v>
      </c>
      <c r="C9383" t="s">
        <v>40</v>
      </c>
      <c r="D9383">
        <v>4.5920670000000001</v>
      </c>
      <c r="E9383">
        <v>0.42933460000000001</v>
      </c>
      <c r="F9383" t="s">
        <v>73</v>
      </c>
      <c r="G9383">
        <v>-281.72980000000001</v>
      </c>
      <c r="H9383" s="1">
        <v>-5.9787640000000001E-6</v>
      </c>
      <c r="I9383">
        <v>-56.7378199999999</v>
      </c>
      <c r="J9383">
        <v>-289.31259999999997</v>
      </c>
      <c r="K9383">
        <v>1.1168370000000001</v>
      </c>
      <c r="L9383">
        <v>-55.209780000000002</v>
      </c>
      <c r="M9383">
        <v>0.81054589999999904</v>
      </c>
      <c r="N9383">
        <v>0</v>
      </c>
      <c r="O9383">
        <v>-0.585561199999999</v>
      </c>
      <c r="P9383">
        <v>0.92336830000000003</v>
      </c>
      <c r="Q9383">
        <v>2.3670650000000001E-2</v>
      </c>
      <c r="R9383">
        <v>-0.3831852</v>
      </c>
      <c r="S9383">
        <v>3.0044249999999999</v>
      </c>
      <c r="T9383">
        <v>-0.436726</v>
      </c>
      <c r="U9383">
        <v>-0.62359619999999905</v>
      </c>
      <c r="V9383">
        <v>-0.23065340000000001</v>
      </c>
      <c r="W9383">
        <v>3.1151330000000001E-2</v>
      </c>
      <c r="X9383">
        <v>0.97253719999999999</v>
      </c>
      <c r="Y9383">
        <v>-0.399615</v>
      </c>
      <c r="Z9383">
        <v>0.1067903</v>
      </c>
      <c r="AA9383">
        <v>0.91044150000000001</v>
      </c>
      <c r="AB9383">
        <v>25</v>
      </c>
      <c r="AC9383">
        <v>7.5827999999999598</v>
      </c>
      <c r="AD9383">
        <v>-1.116842978764</v>
      </c>
      <c r="AE9383">
        <v>-1.5280399999999801</v>
      </c>
      <c r="AF9383">
        <v>-3.13647527081875</v>
      </c>
      <c r="AG9383">
        <v>-1.116842978764</v>
      </c>
      <c r="AH9383">
        <v>6.89764482019421</v>
      </c>
      <c r="AI9383">
        <v>98.384677177667598</v>
      </c>
      <c r="AJ9383">
        <v>114.45209257044699</v>
      </c>
      <c r="AK9383">
        <v>7.6591330729544103</v>
      </c>
      <c r="AL9383">
        <v>88.2148714704729</v>
      </c>
      <c r="AM9383">
        <v>103.34213792555801</v>
      </c>
      <c r="AN9383">
        <v>1.00000000083808</v>
      </c>
    </row>
    <row r="9384" spans="1:40" x14ac:dyDescent="0.25">
      <c r="A9384" t="str">
        <f>"20190312150909247"</f>
        <v>20190312150909247</v>
      </c>
      <c r="B9384" t="str">
        <f>"1552374549239355"</f>
        <v>1552374549239355</v>
      </c>
      <c r="C9384" t="s">
        <v>40</v>
      </c>
      <c r="D9384">
        <v>4.6234510000000002</v>
      </c>
      <c r="E9384">
        <v>0.42977739999999998</v>
      </c>
      <c r="F9384" t="s">
        <v>73</v>
      </c>
      <c r="G9384">
        <v>-281.68729999999999</v>
      </c>
      <c r="H9384" s="1">
        <v>-5.9906589999999996E-6</v>
      </c>
      <c r="I9384">
        <v>-56.758740000000003</v>
      </c>
      <c r="J9384">
        <v>-289.21039999999999</v>
      </c>
      <c r="K9384">
        <v>1.116841</v>
      </c>
      <c r="L9384">
        <v>-55.277340000000002</v>
      </c>
      <c r="M9384">
        <v>0.81347349999999996</v>
      </c>
      <c r="N9384">
        <v>0</v>
      </c>
      <c r="O9384">
        <v>-0.58148730000000004</v>
      </c>
      <c r="P9384">
        <v>0.92514070000000004</v>
      </c>
      <c r="Q9384">
        <v>2.3671580000000001E-2</v>
      </c>
      <c r="R9384">
        <v>-0.37888559999999999</v>
      </c>
      <c r="S9384">
        <v>3.0068049999999999</v>
      </c>
      <c r="T9384">
        <v>-0.44038919999999998</v>
      </c>
      <c r="U9384">
        <v>-0.61077879999999996</v>
      </c>
      <c r="V9384">
        <v>-0.23029849999999999</v>
      </c>
      <c r="W9384">
        <v>3.1157520000000001E-2</v>
      </c>
      <c r="X9384">
        <v>0.97262110000000002</v>
      </c>
      <c r="Y9384">
        <v>-0.39878659999999999</v>
      </c>
      <c r="Z9384">
        <v>0.1071377</v>
      </c>
      <c r="AA9384">
        <v>0.91076380000000001</v>
      </c>
      <c r="AB9384">
        <v>25</v>
      </c>
      <c r="AC9384">
        <v>7.5230999999999897</v>
      </c>
      <c r="AD9384">
        <v>-1.1168469906589999</v>
      </c>
      <c r="AE9384">
        <v>-1.4814000000000001</v>
      </c>
      <c r="AF9384">
        <v>-3.1038659249591798</v>
      </c>
      <c r="AG9384">
        <v>-1.1168469906589999</v>
      </c>
      <c r="AH9384">
        <v>6.8366736366007697</v>
      </c>
      <c r="AI9384">
        <v>98.460650141335407</v>
      </c>
      <c r="AJ9384">
        <v>114.41816045521701</v>
      </c>
      <c r="AK9384">
        <v>7.5908785587742598</v>
      </c>
      <c r="AL9384">
        <v>88.214516630786704</v>
      </c>
      <c r="AM9384">
        <v>103.32123302106299</v>
      </c>
      <c r="AN9384">
        <v>0.99999999716000498</v>
      </c>
    </row>
    <row r="9385" spans="1:40" x14ac:dyDescent="0.25">
      <c r="A9385" t="str">
        <f>"20190312150909257"</f>
        <v>20190312150909257</v>
      </c>
      <c r="B9385" t="str">
        <f>"1552374549249115"</f>
        <v>1552374549249115</v>
      </c>
      <c r="C9385" t="s">
        <v>40</v>
      </c>
      <c r="D9385">
        <v>4.5860390000000004</v>
      </c>
      <c r="E9385">
        <v>0.43035420000000002</v>
      </c>
      <c r="F9385" t="s">
        <v>73</v>
      </c>
      <c r="G9385">
        <v>-281.59480000000002</v>
      </c>
      <c r="H9385" s="1">
        <v>-6.0173629999999998E-6</v>
      </c>
      <c r="I9385">
        <v>-56.796610000000001</v>
      </c>
      <c r="J9385">
        <v>-289.10129999999998</v>
      </c>
      <c r="K9385">
        <v>1.1168480000000001</v>
      </c>
      <c r="L9385">
        <v>-55.348419999999997</v>
      </c>
      <c r="M9385">
        <v>0.81656070000000003</v>
      </c>
      <c r="N9385">
        <v>0</v>
      </c>
      <c r="O9385">
        <v>-0.57714399999999999</v>
      </c>
      <c r="P9385">
        <v>0.92699960000000003</v>
      </c>
      <c r="Q9385">
        <v>2.3898820000000001E-2</v>
      </c>
      <c r="R9385">
        <v>-0.37430020000000003</v>
      </c>
      <c r="S9385">
        <v>3.00827</v>
      </c>
      <c r="T9385">
        <v>-0.44116860000000002</v>
      </c>
      <c r="U9385">
        <v>-0.600128199999999</v>
      </c>
      <c r="V9385">
        <v>-0.22993189999999999</v>
      </c>
      <c r="W9385">
        <v>3.1390580000000001E-2</v>
      </c>
      <c r="X9385">
        <v>0.97270040000000002</v>
      </c>
      <c r="Y9385">
        <v>-0.39711560000000001</v>
      </c>
      <c r="Z9385">
        <v>0.1067101</v>
      </c>
      <c r="AA9385">
        <v>0.91154380000000002</v>
      </c>
      <c r="AB9385">
        <v>25</v>
      </c>
      <c r="AC9385">
        <v>7.5064999999999502</v>
      </c>
      <c r="AD9385">
        <v>-1.1168540173629999</v>
      </c>
      <c r="AE9385">
        <v>-1.4481900000000001</v>
      </c>
      <c r="AF9385">
        <v>-3.0841821380531198</v>
      </c>
      <c r="AG9385">
        <v>-1.1168540173629999</v>
      </c>
      <c r="AH9385">
        <v>6.8202304581963897</v>
      </c>
      <c r="AI9385">
        <v>98.486434961079595</v>
      </c>
      <c r="AJ9385">
        <v>114.332998449426</v>
      </c>
      <c r="AK9385">
        <v>7.5680305139247102</v>
      </c>
      <c r="AL9385">
        <v>88.201156850175906</v>
      </c>
      <c r="AM9385">
        <v>103.299736073004</v>
      </c>
      <c r="AN9385">
        <v>1.0000000576552499</v>
      </c>
    </row>
    <row r="9386" spans="1:40" x14ac:dyDescent="0.25">
      <c r="A9386" t="str">
        <f>"20190312150909269"</f>
        <v>20190312150909269</v>
      </c>
      <c r="B9386" t="str">
        <f>"1552374549258875"</f>
        <v>1552374549258875</v>
      </c>
      <c r="C9386" t="s">
        <v>40</v>
      </c>
      <c r="D9386">
        <v>4.549531</v>
      </c>
      <c r="E9386">
        <v>0.43074970000000001</v>
      </c>
      <c r="F9386" t="s">
        <v>73</v>
      </c>
      <c r="G9386">
        <v>-281.45049999999998</v>
      </c>
      <c r="H9386" s="1">
        <v>-6.0599189999999997E-6</v>
      </c>
      <c r="I9386">
        <v>-56.847479999999997</v>
      </c>
      <c r="J9386">
        <v>-288.9984</v>
      </c>
      <c r="K9386">
        <v>1.1168530000000001</v>
      </c>
      <c r="L9386">
        <v>-55.414790000000004</v>
      </c>
      <c r="M9386">
        <v>0.81944349999999999</v>
      </c>
      <c r="N9386">
        <v>0</v>
      </c>
      <c r="O9386">
        <v>-0.57304330000000003</v>
      </c>
      <c r="P9386">
        <v>0.9287339</v>
      </c>
      <c r="Q9386">
        <v>2.4121159999999999E-2</v>
      </c>
      <c r="R9386">
        <v>-0.3699615</v>
      </c>
      <c r="S9386">
        <v>3.0094599999999998</v>
      </c>
      <c r="T9386">
        <v>-0.43931789999999998</v>
      </c>
      <c r="U9386">
        <v>-0.58966059999999998</v>
      </c>
      <c r="V9386">
        <v>-0.22960510000000001</v>
      </c>
      <c r="W9386">
        <v>3.1617920000000001E-2</v>
      </c>
      <c r="X9386">
        <v>0.97277020000000003</v>
      </c>
      <c r="Y9386">
        <v>-0.39576719999999999</v>
      </c>
      <c r="Z9386">
        <v>0.1057106</v>
      </c>
      <c r="AA9386">
        <v>0.91224649999999996</v>
      </c>
      <c r="AB9386">
        <v>25</v>
      </c>
      <c r="AC9386">
        <v>7.5479000000000198</v>
      </c>
      <c r="AD9386">
        <v>-1.116859059919</v>
      </c>
      <c r="AE9386">
        <v>-1.43269</v>
      </c>
      <c r="AF9386">
        <v>-3.0862522596484099</v>
      </c>
      <c r="AG9386">
        <v>-1.116859059919</v>
      </c>
      <c r="AH9386">
        <v>6.8615309541250999</v>
      </c>
      <c r="AI9386">
        <v>98.443673691734602</v>
      </c>
      <c r="AJ9386">
        <v>114.217768145452</v>
      </c>
      <c r="AK9386">
        <v>7.6061116350159503</v>
      </c>
      <c r="AL9386">
        <v>88.188124706481503</v>
      </c>
      <c r="AM9386">
        <v>103.280584415676</v>
      </c>
      <c r="AN9386">
        <v>1.00000002840958</v>
      </c>
    </row>
    <row r="9387" spans="1:40" x14ac:dyDescent="0.25">
      <c r="A9387" t="str">
        <f>"20190312150909281"</f>
        <v>20190312150909281</v>
      </c>
      <c r="B9387" t="str">
        <f>"1552374549279371"</f>
        <v>1552374549279371</v>
      </c>
      <c r="C9387" t="s">
        <v>40</v>
      </c>
      <c r="D9387">
        <v>4.6356390000000003</v>
      </c>
      <c r="E9387">
        <v>0.43136439999999998</v>
      </c>
      <c r="F9387" t="s">
        <v>73</v>
      </c>
      <c r="G9387">
        <v>-281.47800000000001</v>
      </c>
      <c r="H9387" s="1">
        <v>-6.0494549999999997E-6</v>
      </c>
      <c r="I9387">
        <v>-56.858750000000001</v>
      </c>
      <c r="J9387">
        <v>-288.88959999999997</v>
      </c>
      <c r="K9387">
        <v>1.1168579999999999</v>
      </c>
      <c r="L9387">
        <v>-55.484219999999901</v>
      </c>
      <c r="M9387">
        <v>0.8224593</v>
      </c>
      <c r="N9387">
        <v>0</v>
      </c>
      <c r="O9387">
        <v>-0.56870669999999901</v>
      </c>
      <c r="P9387">
        <v>0.93061050000000001</v>
      </c>
      <c r="Q9387">
        <v>2.400861E-2</v>
      </c>
      <c r="R9387">
        <v>-0.36522329999999997</v>
      </c>
      <c r="S9387">
        <v>3.011444</v>
      </c>
      <c r="T9387">
        <v>-0.44723489999999999</v>
      </c>
      <c r="U9387">
        <v>-0.57821659999999997</v>
      </c>
      <c r="V9387">
        <v>-0.2294245</v>
      </c>
      <c r="W9387">
        <v>3.1506869999999999E-2</v>
      </c>
      <c r="X9387">
        <v>0.97281640000000003</v>
      </c>
      <c r="Y9387">
        <v>-0.39410980000000001</v>
      </c>
      <c r="Z9387">
        <v>0.1069529</v>
      </c>
      <c r="AA9387">
        <v>0.91281900000000005</v>
      </c>
      <c r="AB9387">
        <v>25</v>
      </c>
      <c r="AC9387">
        <v>7.41159999999996</v>
      </c>
      <c r="AD9387">
        <v>-1.116864049455</v>
      </c>
      <c r="AE9387">
        <v>-1.37453</v>
      </c>
      <c r="AF9387">
        <v>-3.0184732903912699</v>
      </c>
      <c r="AG9387">
        <v>-1.116864049455</v>
      </c>
      <c r="AH9387">
        <v>6.7301564836883099</v>
      </c>
      <c r="AI9387">
        <v>98.610180485628604</v>
      </c>
      <c r="AJ9387">
        <v>114.15622097336301</v>
      </c>
      <c r="AK9387">
        <v>7.4601322109398502</v>
      </c>
      <c r="AL9387">
        <v>88.194490551936298</v>
      </c>
      <c r="AM9387">
        <v>103.269900138697</v>
      </c>
      <c r="AN9387">
        <v>1.0000000160832001</v>
      </c>
    </row>
    <row r="9388" spans="1:40" x14ac:dyDescent="0.25">
      <c r="A9388" t="str">
        <f>"20190312150909293"</f>
        <v>20190312150909293</v>
      </c>
      <c r="B9388" t="str">
        <f>"1552374549289131"</f>
        <v>1552374549289131</v>
      </c>
      <c r="C9388" t="s">
        <v>40</v>
      </c>
      <c r="D9388">
        <v>4.6245750000000001</v>
      </c>
      <c r="E9388">
        <v>0.43183589999999999</v>
      </c>
      <c r="F9388" t="s">
        <v>73</v>
      </c>
      <c r="G9388">
        <v>-281.3442</v>
      </c>
      <c r="H9388" s="1">
        <v>-6.0889869999999999E-6</v>
      </c>
      <c r="I9388">
        <v>-56.905500000000004</v>
      </c>
      <c r="J9388">
        <v>-288.78769999999997</v>
      </c>
      <c r="K9388">
        <v>1.116859</v>
      </c>
      <c r="L9388">
        <v>-55.548340000000003</v>
      </c>
      <c r="M9388">
        <v>0.82525230000000005</v>
      </c>
      <c r="N9388">
        <v>0</v>
      </c>
      <c r="O9388">
        <v>-0.56464609999999904</v>
      </c>
      <c r="P9388">
        <v>0.93219920000000001</v>
      </c>
      <c r="Q9388">
        <v>2.4089039999999999E-2</v>
      </c>
      <c r="R9388">
        <v>-0.36114299999999999</v>
      </c>
      <c r="S9388">
        <v>3.0124819999999999</v>
      </c>
      <c r="T9388">
        <v>-0.44590629999999998</v>
      </c>
      <c r="U9388">
        <v>-0.56744380000000005</v>
      </c>
      <c r="V9388">
        <v>-0.2288917</v>
      </c>
      <c r="W9388">
        <v>3.1596470000000001E-2</v>
      </c>
      <c r="X9388">
        <v>0.972939</v>
      </c>
      <c r="Y9388">
        <v>-0.39289859999999999</v>
      </c>
      <c r="Z9388">
        <v>0.1060888</v>
      </c>
      <c r="AA9388">
        <v>0.91344179999999997</v>
      </c>
      <c r="AB9388">
        <v>25</v>
      </c>
      <c r="AC9388">
        <v>7.44349999999997</v>
      </c>
      <c r="AD9388">
        <v>-1.116865088987</v>
      </c>
      <c r="AE9388">
        <v>-1.3571599999999999</v>
      </c>
      <c r="AF9388">
        <v>-3.0174022792472801</v>
      </c>
      <c r="AG9388">
        <v>-1.116865088987</v>
      </c>
      <c r="AH9388">
        <v>6.7621976466574001</v>
      </c>
      <c r="AI9388">
        <v>98.5771874327029</v>
      </c>
      <c r="AJ9388">
        <v>114.047203729107</v>
      </c>
      <c r="AK9388">
        <v>7.4886194424782602</v>
      </c>
      <c r="AL9388">
        <v>88.189354304535001</v>
      </c>
      <c r="AM9388">
        <v>103.238560002751</v>
      </c>
      <c r="AN9388">
        <v>1.00000002248317</v>
      </c>
    </row>
    <row r="9389" spans="1:40" x14ac:dyDescent="0.25">
      <c r="A9389" t="str">
        <f>"20190312150909303"</f>
        <v>20190312150909303</v>
      </c>
      <c r="B9389" t="str">
        <f>"1552374549298891"</f>
        <v>1552374549298891</v>
      </c>
      <c r="C9389" t="s">
        <v>40</v>
      </c>
      <c r="D9389">
        <v>4.6116950000000001</v>
      </c>
      <c r="E9389">
        <v>0.43248340000000002</v>
      </c>
      <c r="F9389" t="s">
        <v>73</v>
      </c>
      <c r="G9389">
        <v>-281.21980000000002</v>
      </c>
      <c r="H9389" s="1">
        <v>-6.1257490000000004E-6</v>
      </c>
      <c r="I9389">
        <v>-56.9488699999999</v>
      </c>
      <c r="J9389">
        <v>-288.68189999999998</v>
      </c>
      <c r="K9389">
        <v>1.116865</v>
      </c>
      <c r="L9389">
        <v>-55.614559999999997</v>
      </c>
      <c r="M9389">
        <v>0.82812540000000001</v>
      </c>
      <c r="N9389">
        <v>0</v>
      </c>
      <c r="O9389">
        <v>-0.56042380000000003</v>
      </c>
      <c r="P9389">
        <v>0.93396520000000005</v>
      </c>
      <c r="Q9389">
        <v>2.410269E-2</v>
      </c>
      <c r="R9389">
        <v>-0.35655049999999999</v>
      </c>
      <c r="S9389">
        <v>3.013611</v>
      </c>
      <c r="T9389">
        <v>-0.44474950000000002</v>
      </c>
      <c r="U9389">
        <v>-0.55770869999999995</v>
      </c>
      <c r="V9389">
        <v>-0.2287112</v>
      </c>
      <c r="W9389">
        <v>3.1611729999999998E-2</v>
      </c>
      <c r="X9389">
        <v>0.97298090000000004</v>
      </c>
      <c r="Y9389">
        <v>-0.39122570000000001</v>
      </c>
      <c r="Z9389">
        <v>0.1052042</v>
      </c>
      <c r="AA9389">
        <v>0.91426169999999995</v>
      </c>
      <c r="AB9389">
        <v>25</v>
      </c>
      <c r="AC9389">
        <v>7.4620999999999604</v>
      </c>
      <c r="AD9389">
        <v>-1.116871125749</v>
      </c>
      <c r="AE9389">
        <v>-1.3343099999999899</v>
      </c>
      <c r="AF9389">
        <v>-3.0117885777107101</v>
      </c>
      <c r="AG9389">
        <v>-1.116871125749</v>
      </c>
      <c r="AH9389">
        <v>6.7806041613646597</v>
      </c>
      <c r="AI9389">
        <v>98.560682190440104</v>
      </c>
      <c r="AJ9389">
        <v>113.94969299533</v>
      </c>
      <c r="AK9389">
        <v>7.5029903599482504</v>
      </c>
      <c r="AL9389">
        <v>88.188479444532703</v>
      </c>
      <c r="AM9389">
        <v>103.22793786794701</v>
      </c>
      <c r="AN9389">
        <v>0.99999997312192102</v>
      </c>
    </row>
    <row r="9390" spans="1:40" x14ac:dyDescent="0.25">
      <c r="A9390" t="str">
        <f>"20190312150909314"</f>
        <v>20190312150909314</v>
      </c>
      <c r="B9390" t="str">
        <f>"1552374549308651"</f>
        <v>1552374549308651</v>
      </c>
      <c r="C9390" t="s">
        <v>40</v>
      </c>
      <c r="D9390">
        <v>4.6250530000000003</v>
      </c>
      <c r="E9390">
        <v>0.43274829999999997</v>
      </c>
      <c r="F9390" t="s">
        <v>73</v>
      </c>
      <c r="G9390">
        <v>-281.09840000000003</v>
      </c>
      <c r="H9390" s="1">
        <v>-6.1614909999999998E-6</v>
      </c>
      <c r="I9390">
        <v>-56.992310000000003</v>
      </c>
      <c r="J9390">
        <v>-288.58339999999998</v>
      </c>
      <c r="K9390">
        <v>1.116868</v>
      </c>
      <c r="L9390">
        <v>-55.674990000000001</v>
      </c>
      <c r="M9390">
        <v>0.83076479999999997</v>
      </c>
      <c r="N9390">
        <v>0</v>
      </c>
      <c r="O9390">
        <v>-0.55650359999999999</v>
      </c>
      <c r="P9390">
        <v>0.93556609999999996</v>
      </c>
      <c r="Q9390">
        <v>2.4216709999999999E-2</v>
      </c>
      <c r="R9390">
        <v>-0.35232039999999998</v>
      </c>
      <c r="S9390">
        <v>3.0144959999999998</v>
      </c>
      <c r="T9390">
        <v>-0.44396930000000001</v>
      </c>
      <c r="U9390">
        <v>-0.5476685</v>
      </c>
      <c r="V9390">
        <v>-0.22851640000000001</v>
      </c>
      <c r="W9390">
        <v>3.172896E-2</v>
      </c>
      <c r="X9390">
        <v>0.97302290000000002</v>
      </c>
      <c r="Y9390">
        <v>-0.38995590000000002</v>
      </c>
      <c r="Z9390">
        <v>0.104482199999999</v>
      </c>
      <c r="AA9390">
        <v>0.9148868</v>
      </c>
      <c r="AB9390">
        <v>25</v>
      </c>
      <c r="AC9390">
        <v>7.4849999999999497</v>
      </c>
      <c r="AD9390">
        <v>-1.1168741614910001</v>
      </c>
      <c r="AE9390">
        <v>-1.3173199999999901</v>
      </c>
      <c r="AF9390">
        <v>-3.0063263204230899</v>
      </c>
      <c r="AG9390">
        <v>-1.1168741614910001</v>
      </c>
      <c r="AH9390">
        <v>6.8048728947688604</v>
      </c>
      <c r="AI9390">
        <v>98.538056548051898</v>
      </c>
      <c r="AJ9390">
        <v>113.83537297477601</v>
      </c>
      <c r="AK9390">
        <v>7.5227455726905204</v>
      </c>
      <c r="AL9390">
        <v>88.181759370608205</v>
      </c>
      <c r="AM9390">
        <v>103.21651638423801</v>
      </c>
      <c r="AN9390">
        <v>1.00000001794802</v>
      </c>
    </row>
    <row r="9391" spans="1:40" x14ac:dyDescent="0.25">
      <c r="A9391" t="str">
        <f>"20190312150909325"</f>
        <v>20190312150909325</v>
      </c>
      <c r="B9391" t="str">
        <f>"1552374549319387"</f>
        <v>1552374549319387</v>
      </c>
      <c r="C9391" t="s">
        <v>40</v>
      </c>
      <c r="D9391">
        <v>4.6313139999999997</v>
      </c>
      <c r="E9391">
        <v>0.43287160000000002</v>
      </c>
      <c r="F9391" t="s">
        <v>73</v>
      </c>
      <c r="G9391">
        <v>-280.97480000000002</v>
      </c>
      <c r="H9391" s="1">
        <v>-6.1989619999999997E-6</v>
      </c>
      <c r="I9391">
        <v>-57.02711</v>
      </c>
      <c r="J9391">
        <v>-288.48379999999997</v>
      </c>
      <c r="K9391">
        <v>1.116876</v>
      </c>
      <c r="L9391">
        <v>-55.736049999999999</v>
      </c>
      <c r="M9391">
        <v>0.83341679999999996</v>
      </c>
      <c r="N9391">
        <v>0</v>
      </c>
      <c r="O9391">
        <v>-0.55252419999999902</v>
      </c>
      <c r="P9391">
        <v>0.93708780000000003</v>
      </c>
      <c r="Q9391">
        <v>2.466434E-2</v>
      </c>
      <c r="R9391">
        <v>-0.34822150000000002</v>
      </c>
      <c r="S9391">
        <v>3.016235</v>
      </c>
      <c r="T9391">
        <v>-0.4427548</v>
      </c>
      <c r="U9391">
        <v>-0.53601069999999995</v>
      </c>
      <c r="V9391">
        <v>-0.22812379999999999</v>
      </c>
      <c r="W9391">
        <v>3.2183160000000002E-2</v>
      </c>
      <c r="X9391">
        <v>0.97310010000000002</v>
      </c>
      <c r="Y9391">
        <v>-0.3891732</v>
      </c>
      <c r="Z9391">
        <v>0.10366590000000001</v>
      </c>
      <c r="AA9391">
        <v>0.91531280000000004</v>
      </c>
      <c r="AB9391">
        <v>25</v>
      </c>
      <c r="AC9391">
        <v>7.5089999999999497</v>
      </c>
      <c r="AD9391">
        <v>-1.1168821989619999</v>
      </c>
      <c r="AE9391">
        <v>-1.2910600000000001</v>
      </c>
      <c r="AF9391">
        <v>-3.0084718118543599</v>
      </c>
      <c r="AG9391">
        <v>-1.1168821989619999</v>
      </c>
      <c r="AH9391">
        <v>6.8252716751124201</v>
      </c>
      <c r="AI9391">
        <v>98.516091092709004</v>
      </c>
      <c r="AJ9391">
        <v>113.787126440394</v>
      </c>
      <c r="AK9391">
        <v>7.5420595282835299</v>
      </c>
      <c r="AL9391">
        <v>88.155722323229696</v>
      </c>
      <c r="AM9391">
        <v>103.19359470280899</v>
      </c>
      <c r="AN9391">
        <v>1.00000001426701</v>
      </c>
    </row>
    <row r="9392" spans="1:40" x14ac:dyDescent="0.25">
      <c r="A9392" t="str">
        <f>"20190312150909336"</f>
        <v>20190312150909336</v>
      </c>
      <c r="B9392" t="str">
        <f>"1552374549329148"</f>
        <v>1552374549329148</v>
      </c>
      <c r="C9392" t="s">
        <v>40</v>
      </c>
      <c r="D9392">
        <v>4.6577330000000003</v>
      </c>
      <c r="E9392">
        <v>0.4332222</v>
      </c>
      <c r="F9392" t="s">
        <v>73</v>
      </c>
      <c r="G9392">
        <v>-280.82780000000002</v>
      </c>
      <c r="H9392" s="1">
        <v>-6.2439999999999998E-6</v>
      </c>
      <c r="I9392">
        <v>-57.064190000000004</v>
      </c>
      <c r="J9392">
        <v>-288.37419999999997</v>
      </c>
      <c r="K9392">
        <v>1.1168819999999999</v>
      </c>
      <c r="L9392">
        <v>-55.801940000000002</v>
      </c>
      <c r="M9392">
        <v>0.83629589999999998</v>
      </c>
      <c r="N9392">
        <v>0</v>
      </c>
      <c r="O9392">
        <v>-0.54815630000000004</v>
      </c>
      <c r="P9392">
        <v>0.93873229999999996</v>
      </c>
      <c r="Q9392">
        <v>2.4730729999999999E-2</v>
      </c>
      <c r="R9392">
        <v>-0.34375889999999998</v>
      </c>
      <c r="S9392">
        <v>3.018402</v>
      </c>
      <c r="T9392">
        <v>-0.44033470000000002</v>
      </c>
      <c r="U9392">
        <v>-0.52362059999999999</v>
      </c>
      <c r="V9392">
        <v>-0.22766339999999999</v>
      </c>
      <c r="W9392">
        <v>3.2257029999999999E-2</v>
      </c>
      <c r="X9392">
        <v>0.9732054</v>
      </c>
      <c r="Y9392">
        <v>-0.38827070000000002</v>
      </c>
      <c r="Z9392">
        <v>0.10250620000000001</v>
      </c>
      <c r="AA9392">
        <v>0.91582660000000005</v>
      </c>
      <c r="AB9392">
        <v>25</v>
      </c>
      <c r="AC9392">
        <v>7.5463999999999398</v>
      </c>
      <c r="AD9392">
        <v>-1.1168882440000001</v>
      </c>
      <c r="AE9392">
        <v>-1.2622500000000001</v>
      </c>
      <c r="AF9392">
        <v>-3.0169120495420998</v>
      </c>
      <c r="AG9392">
        <v>-1.1168882440000001</v>
      </c>
      <c r="AH9392">
        <v>6.8572828428487496</v>
      </c>
      <c r="AI9392">
        <v>98.479508429837693</v>
      </c>
      <c r="AJ9392">
        <v>113.74744758685399</v>
      </c>
      <c r="AK9392">
        <v>7.5743993590967698</v>
      </c>
      <c r="AL9392">
        <v>88.151487557590997</v>
      </c>
      <c r="AM9392">
        <v>103.166520882443</v>
      </c>
      <c r="AN9392">
        <v>0.99999994513656898</v>
      </c>
    </row>
    <row r="9393" spans="1:40" x14ac:dyDescent="0.25">
      <c r="A9393" t="str">
        <f>"20190312150909359"</f>
        <v>20190312150909359</v>
      </c>
      <c r="B9393" t="str">
        <f>"1552374549348666"</f>
        <v>1552374549348666</v>
      </c>
      <c r="C9393" t="s">
        <v>40</v>
      </c>
      <c r="D9393">
        <v>4.6219409999999996</v>
      </c>
      <c r="E9393">
        <v>0.43392940000000002</v>
      </c>
      <c r="F9393" t="s">
        <v>73</v>
      </c>
      <c r="G9393">
        <v>-280.71699999999998</v>
      </c>
      <c r="H9393" s="1">
        <v>-6.2771459999999996E-6</v>
      </c>
      <c r="I9393">
        <v>-57.099299999999999</v>
      </c>
      <c r="J9393">
        <v>-288.16320000000002</v>
      </c>
      <c r="K9393">
        <v>1.1168979999999999</v>
      </c>
      <c r="L9393">
        <v>-55.92709</v>
      </c>
      <c r="M9393">
        <v>0.84175509999999998</v>
      </c>
      <c r="N9393">
        <v>0</v>
      </c>
      <c r="O9393">
        <v>-0.53973570000000004</v>
      </c>
      <c r="P9393">
        <v>0.94193150000000003</v>
      </c>
      <c r="Q9393">
        <v>2.5247499999999999E-2</v>
      </c>
      <c r="R9393">
        <v>-0.33485470000000001</v>
      </c>
      <c r="S9393">
        <v>3.0200499999999999</v>
      </c>
      <c r="T9393">
        <v>-0.44050699999999998</v>
      </c>
      <c r="U9393">
        <v>-0.51168820000000004</v>
      </c>
      <c r="V9393">
        <v>-0.2271128</v>
      </c>
      <c r="W9393">
        <v>3.2781749999999998E-2</v>
      </c>
      <c r="X9393">
        <v>0.97331659999999998</v>
      </c>
      <c r="Y9393">
        <v>-0.38275720000000002</v>
      </c>
      <c r="Z9393">
        <v>0.10114049999999999</v>
      </c>
      <c r="AA9393">
        <v>0.918296</v>
      </c>
      <c r="AB9393">
        <v>25</v>
      </c>
      <c r="AC9393">
        <v>7.4462000000000304</v>
      </c>
      <c r="AD9393">
        <v>-1.116904277146</v>
      </c>
      <c r="AE9393">
        <v>-1.17220999999999</v>
      </c>
      <c r="AF9393">
        <v>-2.96732182026942</v>
      </c>
      <c r="AG9393">
        <v>-1.116904277146</v>
      </c>
      <c r="AH9393">
        <v>6.7527657430137404</v>
      </c>
      <c r="AI9393">
        <v>98.610590671323806</v>
      </c>
      <c r="AJ9393">
        <v>113.72179997468599</v>
      </c>
      <c r="AK9393">
        <v>7.4600481988640004</v>
      </c>
      <c r="AL9393">
        <v>88.121407574634105</v>
      </c>
      <c r="AM9393">
        <v>103.13433456538399</v>
      </c>
      <c r="AN9393">
        <v>1.00000003544623</v>
      </c>
    </row>
    <row r="9394" spans="1:40" x14ac:dyDescent="0.25">
      <c r="A9394" t="str">
        <f>"20190312150909372"</f>
        <v>20190312150909372</v>
      </c>
      <c r="B9394" t="str">
        <f>"1552374549369163"</f>
        <v>1552374549369163</v>
      </c>
      <c r="C9394" t="s">
        <v>40</v>
      </c>
      <c r="D9394">
        <v>4.6719499999999998</v>
      </c>
      <c r="E9394">
        <v>0.4350234</v>
      </c>
      <c r="F9394" t="s">
        <v>73</v>
      </c>
      <c r="G9394">
        <v>-280.47300000000001</v>
      </c>
      <c r="H9394" s="1">
        <v>-6.3509479999999899E-6</v>
      </c>
      <c r="I9394">
        <v>-57.169179999999997</v>
      </c>
      <c r="J9394">
        <v>-288.03989999999999</v>
      </c>
      <c r="K9394">
        <v>1.116905</v>
      </c>
      <c r="L9394">
        <v>-55.998840000000001</v>
      </c>
      <c r="M9394">
        <v>0.84488999999999903</v>
      </c>
      <c r="N9394">
        <v>0</v>
      </c>
      <c r="O9394">
        <v>-0.53481499999999904</v>
      </c>
      <c r="P9394">
        <v>0.94377880000000003</v>
      </c>
      <c r="Q9394">
        <v>2.5462769999999999E-2</v>
      </c>
      <c r="R9394">
        <v>-0.329596</v>
      </c>
      <c r="S9394">
        <v>3.0231319999999999</v>
      </c>
      <c r="T9394">
        <v>-0.43907170000000001</v>
      </c>
      <c r="U9394">
        <v>-0.48828129999999997</v>
      </c>
      <c r="V9394">
        <v>-0.22686329999999999</v>
      </c>
      <c r="W9394">
        <v>3.3001450000000002E-2</v>
      </c>
      <c r="X9394">
        <v>0.97336730000000005</v>
      </c>
      <c r="Y9394">
        <v>-0.38453540000000003</v>
      </c>
      <c r="Z9394">
        <v>0.1003515</v>
      </c>
      <c r="AA9394">
        <v>0.91763939999999999</v>
      </c>
      <c r="AB9394">
        <v>25</v>
      </c>
      <c r="AC9394">
        <v>7.5668999999999702</v>
      </c>
      <c r="AD9394">
        <v>-1.116911350948</v>
      </c>
      <c r="AE9394">
        <v>-1.1703399999999999</v>
      </c>
      <c r="AF9394">
        <v>-2.9945686598354002</v>
      </c>
      <c r="AG9394">
        <v>-1.116911350948</v>
      </c>
      <c r="AH9394">
        <v>6.8733310941819399</v>
      </c>
      <c r="AI9394">
        <v>98.473283580886005</v>
      </c>
      <c r="AJ9394">
        <v>113.541764210908</v>
      </c>
      <c r="AK9394">
        <v>7.5800799965827004</v>
      </c>
      <c r="AL9394">
        <v>88.108812766383195</v>
      </c>
      <c r="AM9394">
        <v>103.119745192677</v>
      </c>
      <c r="AN9394">
        <v>0.99999997664914098</v>
      </c>
    </row>
    <row r="9395" spans="1:40" x14ac:dyDescent="0.25">
      <c r="A9395" t="str">
        <f>"20190312150909385"</f>
        <v>20190312150909385</v>
      </c>
      <c r="B9395" t="str">
        <f>"1552374549378924"</f>
        <v>1552374549378924</v>
      </c>
      <c r="C9395" t="s">
        <v>40</v>
      </c>
      <c r="D9395">
        <v>4.6463900000000002</v>
      </c>
      <c r="E9395">
        <v>0.4350234</v>
      </c>
      <c r="F9395" t="s">
        <v>73</v>
      </c>
      <c r="G9395">
        <v>-280.42910000000001</v>
      </c>
      <c r="H9395" s="1">
        <v>-6.3615470000000002E-6</v>
      </c>
      <c r="I9395">
        <v>-57.205590000000001</v>
      </c>
      <c r="J9395">
        <v>-287.91390000000001</v>
      </c>
      <c r="K9395">
        <v>1.1169100000000001</v>
      </c>
      <c r="L9395">
        <v>-56.07141</v>
      </c>
      <c r="M9395">
        <v>0.84805409999999903</v>
      </c>
      <c r="N9395">
        <v>0</v>
      </c>
      <c r="O9395">
        <v>-0.52978340000000002</v>
      </c>
      <c r="P9395">
        <v>0.94565129999999997</v>
      </c>
      <c r="Q9395">
        <v>2.546232E-2</v>
      </c>
      <c r="R9395">
        <v>-0.32418409999999998</v>
      </c>
      <c r="S9395">
        <v>3.0233150000000002</v>
      </c>
      <c r="T9395">
        <v>-0.4436833</v>
      </c>
      <c r="U9395">
        <v>-0.47937010000000002</v>
      </c>
      <c r="V9395">
        <v>-0.22665399999999999</v>
      </c>
      <c r="W9395">
        <v>3.300384E-2</v>
      </c>
      <c r="X9395">
        <v>0.97341599999999995</v>
      </c>
      <c r="Y9395">
        <v>-0.3815905</v>
      </c>
      <c r="Z9395">
        <v>0.1005988</v>
      </c>
      <c r="AA9395">
        <v>0.91884089999999996</v>
      </c>
      <c r="AB9395">
        <v>25</v>
      </c>
      <c r="AC9395">
        <v>7.4847999999999999</v>
      </c>
      <c r="AD9395">
        <v>-1.1169163615469999</v>
      </c>
      <c r="AE9395">
        <v>-1.13418</v>
      </c>
      <c r="AF9395">
        <v>-2.9396862015195899</v>
      </c>
      <c r="AG9395">
        <v>-1.1169163615469999</v>
      </c>
      <c r="AH9395">
        <v>6.8008088967798601</v>
      </c>
      <c r="AI9395">
        <v>98.572900239574906</v>
      </c>
      <c r="AJ9395">
        <v>113.376674044824</v>
      </c>
      <c r="AK9395">
        <v>7.4926803463524401</v>
      </c>
      <c r="AL9395">
        <v>88.108675797334499</v>
      </c>
      <c r="AM9395">
        <v>103.10742612985899</v>
      </c>
      <c r="AN9395">
        <v>0.99999999911337201</v>
      </c>
    </row>
    <row r="9396" spans="1:40" x14ac:dyDescent="0.25">
      <c r="A9396" t="str">
        <f>"20190312150909403"</f>
        <v>20190312150909403</v>
      </c>
      <c r="B9396" t="str">
        <f>"1552374549398446"</f>
        <v>1552374549398446</v>
      </c>
      <c r="C9396" t="s">
        <v>40</v>
      </c>
      <c r="D9396">
        <v>4.7490880000000004</v>
      </c>
      <c r="E9396">
        <v>0.44612069999999998</v>
      </c>
      <c r="F9396" t="s">
        <v>73</v>
      </c>
      <c r="G9396">
        <v>-280.29320000000001</v>
      </c>
      <c r="H9396" s="1">
        <v>-6.4037990000000002E-6</v>
      </c>
      <c r="I9396">
        <v>-57.234639999999999</v>
      </c>
      <c r="J9396">
        <v>-287.73750000000001</v>
      </c>
      <c r="K9396">
        <v>1.116919</v>
      </c>
      <c r="L9396">
        <v>-56.171169999999996</v>
      </c>
      <c r="M9396">
        <v>0.85241499999999903</v>
      </c>
      <c r="N9396">
        <v>0</v>
      </c>
      <c r="O9396">
        <v>-0.52273749999999997</v>
      </c>
      <c r="P9396">
        <v>0.94792639999999995</v>
      </c>
      <c r="Q9396">
        <v>2.558827E-2</v>
      </c>
      <c r="R9396">
        <v>-0.31746000000000002</v>
      </c>
      <c r="S9396">
        <v>3.0260009999999999</v>
      </c>
      <c r="T9396">
        <v>-0.44349650000000002</v>
      </c>
      <c r="U9396">
        <v>-0.4618835</v>
      </c>
      <c r="V9396">
        <v>-0.22550110000000001</v>
      </c>
      <c r="W9396">
        <v>3.3152050000000002E-2</v>
      </c>
      <c r="X9396">
        <v>0.97367870000000001</v>
      </c>
      <c r="Y9396">
        <v>-0.37935410000000003</v>
      </c>
      <c r="Z9396">
        <v>9.9515999999999993E-2</v>
      </c>
      <c r="AA9396">
        <v>0.91988429999999999</v>
      </c>
      <c r="AB9396">
        <v>25</v>
      </c>
      <c r="AC9396">
        <v>7.4442999999999904</v>
      </c>
      <c r="AD9396">
        <v>-1.116925403799</v>
      </c>
      <c r="AE9396">
        <v>-1.0634699999999999</v>
      </c>
      <c r="AF9396">
        <v>-2.9206642608202502</v>
      </c>
      <c r="AG9396">
        <v>-1.116925403799</v>
      </c>
      <c r="AH9396">
        <v>6.7530325160191804</v>
      </c>
      <c r="AI9396">
        <v>98.631962641412002</v>
      </c>
      <c r="AJ9396">
        <v>113.388323023312</v>
      </c>
      <c r="AK9396">
        <v>7.4418579833598404</v>
      </c>
      <c r="AL9396">
        <v>88.1001793566397</v>
      </c>
      <c r="AM9396">
        <v>103.039640177073</v>
      </c>
      <c r="AN9396">
        <v>1.0000000076770501</v>
      </c>
    </row>
    <row r="9397" spans="1:40" x14ac:dyDescent="0.25">
      <c r="A9397" t="str">
        <f>"20190312150909415"</f>
        <v>20190312150909415</v>
      </c>
      <c r="B9397" t="str">
        <f>"1552374549409179"</f>
        <v>1552374549409179</v>
      </c>
      <c r="C9397" t="s">
        <v>40</v>
      </c>
      <c r="D9397">
        <v>4.6736009999999997</v>
      </c>
      <c r="E9397">
        <v>0.44646980000000003</v>
      </c>
      <c r="F9397" t="s">
        <v>73</v>
      </c>
      <c r="G9397">
        <v>-280.75760000000002</v>
      </c>
      <c r="H9397" s="1">
        <v>-6.2312459999999997E-6</v>
      </c>
      <c r="I9397">
        <v>-57.386519999999997</v>
      </c>
      <c r="J9397">
        <v>-287.62950000000001</v>
      </c>
      <c r="K9397">
        <v>1.116922</v>
      </c>
      <c r="L9397">
        <v>-56.231020000000001</v>
      </c>
      <c r="M9397">
        <v>0.85503969999999896</v>
      </c>
      <c r="N9397">
        <v>0</v>
      </c>
      <c r="O9397">
        <v>-0.51843309999999998</v>
      </c>
      <c r="P9397">
        <v>0.94933239999999997</v>
      </c>
      <c r="Q9397">
        <v>2.5597399999999999E-2</v>
      </c>
      <c r="R9397">
        <v>-0.3132297</v>
      </c>
      <c r="S9397">
        <v>3.0026549999999999</v>
      </c>
      <c r="T9397">
        <v>-0.48048629999999998</v>
      </c>
      <c r="U9397">
        <v>-0.52282709999999999</v>
      </c>
      <c r="V9397">
        <v>-0.2249341</v>
      </c>
      <c r="W9397">
        <v>3.3172550000000002E-2</v>
      </c>
      <c r="X9397">
        <v>0.97380909999999998</v>
      </c>
      <c r="Y9397">
        <v>-0.35405740000000002</v>
      </c>
      <c r="Z9397">
        <v>0.10568230000000001</v>
      </c>
      <c r="AA9397">
        <v>0.92923339999999999</v>
      </c>
      <c r="AB9397">
        <v>25</v>
      </c>
      <c r="AC9397">
        <v>6.8718999999999797</v>
      </c>
      <c r="AD9397">
        <v>-1.1169282312459901</v>
      </c>
      <c r="AE9397">
        <v>-1.1555</v>
      </c>
      <c r="AF9397">
        <v>-2.5103016574998902</v>
      </c>
      <c r="AG9397">
        <v>-1.1169282312459901</v>
      </c>
      <c r="AH9397">
        <v>6.3130404185582698</v>
      </c>
      <c r="AI9397">
        <v>99.336104151301399</v>
      </c>
      <c r="AJ9397">
        <v>111.684624126679</v>
      </c>
      <c r="AK9397">
        <v>6.8850288606331498</v>
      </c>
      <c r="AL9397">
        <v>88.099004066247403</v>
      </c>
      <c r="AM9397">
        <v>103.006287077915</v>
      </c>
      <c r="AN9397">
        <v>0.99999996532956004</v>
      </c>
    </row>
    <row r="9398" spans="1:40" x14ac:dyDescent="0.25">
      <c r="A9398" t="str">
        <f>"20190312150909427"</f>
        <v>20190312150909427</v>
      </c>
      <c r="B9398" t="str">
        <f>"1552374549418940"</f>
        <v>1552374549418940</v>
      </c>
      <c r="C9398" t="s">
        <v>40</v>
      </c>
      <c r="D9398">
        <v>4.6848589999999897</v>
      </c>
      <c r="E9398">
        <v>0.4466734</v>
      </c>
      <c r="F9398" t="s">
        <v>73</v>
      </c>
      <c r="G9398">
        <v>-280.4846</v>
      </c>
      <c r="H9398" s="1">
        <v>-6.3154970000000001E-6</v>
      </c>
      <c r="I9398">
        <v>-57.449820000000003</v>
      </c>
      <c r="J9398">
        <v>-287.51310000000001</v>
      </c>
      <c r="K9398">
        <v>1.1169209999999901</v>
      </c>
      <c r="L9398">
        <v>-56.295140000000004</v>
      </c>
      <c r="M9398">
        <v>0.85783770000000004</v>
      </c>
      <c r="N9398">
        <v>0</v>
      </c>
      <c r="O9398">
        <v>-0.51379039999999998</v>
      </c>
      <c r="P9398">
        <v>0.95094160000000005</v>
      </c>
      <c r="Q9398">
        <v>2.5844019999999999E-2</v>
      </c>
      <c r="R9398">
        <v>-0.308289799999999</v>
      </c>
      <c r="S9398">
        <v>3.0037229999999999</v>
      </c>
      <c r="T9398">
        <v>-0.46956140000000002</v>
      </c>
      <c r="U9398">
        <v>-0.51239009999999996</v>
      </c>
      <c r="V9398">
        <v>-0.22471849999999999</v>
      </c>
      <c r="W9398">
        <v>3.342465E-2</v>
      </c>
      <c r="X9398">
        <v>0.97385029999999995</v>
      </c>
      <c r="Y9398">
        <v>-0.35269980000000001</v>
      </c>
      <c r="Z9398">
        <v>0.10260569999999999</v>
      </c>
      <c r="AA9398">
        <v>0.93009399999999998</v>
      </c>
      <c r="AB9398">
        <v>25</v>
      </c>
      <c r="AC9398">
        <v>7.0285000000000002</v>
      </c>
      <c r="AD9398">
        <v>-1.1169273154970001</v>
      </c>
      <c r="AE9398">
        <v>-1.1546799999999899</v>
      </c>
      <c r="AF9398">
        <v>-2.5579239313448299</v>
      </c>
      <c r="AG9398">
        <v>-1.1169273154970001</v>
      </c>
      <c r="AH9398">
        <v>6.4640678219506196</v>
      </c>
      <c r="AI9398">
        <v>99.127590083196196</v>
      </c>
      <c r="AJ9398">
        <v>111.589412862629</v>
      </c>
      <c r="AK9398">
        <v>7.0409285093251297</v>
      </c>
      <c r="AL9398">
        <v>88.0845518690967</v>
      </c>
      <c r="AM9398">
        <v>102.993712723917</v>
      </c>
      <c r="AN9398">
        <v>1.0000000091399801</v>
      </c>
    </row>
    <row r="9399" spans="1:40" x14ac:dyDescent="0.25">
      <c r="A9399" t="str">
        <f>"20190312150909438"</f>
        <v>20190312150909438</v>
      </c>
      <c r="B9399" t="str">
        <f>"1552374549428701"</f>
        <v>1552374549428701</v>
      </c>
      <c r="C9399" t="s">
        <v>40</v>
      </c>
      <c r="D9399">
        <v>4.6406749999999999</v>
      </c>
      <c r="E9399">
        <v>0.44710070000000002</v>
      </c>
      <c r="F9399" t="s">
        <v>73</v>
      </c>
      <c r="G9399">
        <v>-280.28539999999998</v>
      </c>
      <c r="H9399" s="1">
        <v>-6.3772209999999996E-6</v>
      </c>
      <c r="I9399">
        <v>-57.494059999999998</v>
      </c>
      <c r="J9399">
        <v>-287.40170000000001</v>
      </c>
      <c r="K9399">
        <v>1.1169199999999999</v>
      </c>
      <c r="L9399">
        <v>-56.355469999999997</v>
      </c>
      <c r="M9399">
        <v>0.86047609999999997</v>
      </c>
      <c r="N9399">
        <v>0</v>
      </c>
      <c r="O9399">
        <v>-0.50935889999999995</v>
      </c>
      <c r="P9399">
        <v>0.95238750000000005</v>
      </c>
      <c r="Q9399">
        <v>2.6125579999999999E-2</v>
      </c>
      <c r="R9399">
        <v>-0.30376920000000002</v>
      </c>
      <c r="S9399">
        <v>3.0057680000000002</v>
      </c>
      <c r="T9399">
        <v>-0.46449370000000001</v>
      </c>
      <c r="U9399">
        <v>-0.49859619999999999</v>
      </c>
      <c r="V9399">
        <v>-0.2243221</v>
      </c>
      <c r="W9399">
        <v>3.3715839999999997E-2</v>
      </c>
      <c r="X9399">
        <v>0.97393169999999996</v>
      </c>
      <c r="Y9399">
        <v>-0.35239280000000001</v>
      </c>
      <c r="Z9399">
        <v>0.1009029</v>
      </c>
      <c r="AA9399">
        <v>0.93039669999999997</v>
      </c>
      <c r="AB9399">
        <v>25</v>
      </c>
      <c r="AC9399">
        <v>7.1163000000000203</v>
      </c>
      <c r="AD9399">
        <v>-1.1169263772210001</v>
      </c>
      <c r="AE9399">
        <v>-1.13859</v>
      </c>
      <c r="AF9399">
        <v>-2.5831531121033202</v>
      </c>
      <c r="AG9399">
        <v>-1.1169263772210001</v>
      </c>
      <c r="AH9399">
        <v>6.5465627168334102</v>
      </c>
      <c r="AI9399">
        <v>99.017897114273694</v>
      </c>
      <c r="AJ9399">
        <v>111.533279301402</v>
      </c>
      <c r="AK9399">
        <v>7.12584647169263</v>
      </c>
      <c r="AL9399">
        <v>88.067858599142994</v>
      </c>
      <c r="AM9399">
        <v>102.97052039441699</v>
      </c>
      <c r="AN9399">
        <v>1.0000000593400999</v>
      </c>
    </row>
    <row r="9400" spans="1:40" x14ac:dyDescent="0.25">
      <c r="A9400" t="str">
        <f>"20190312150909450"</f>
        <v>20190312150909450</v>
      </c>
      <c r="B9400" t="str">
        <f>"1552374549438460"</f>
        <v>1552374549438460</v>
      </c>
      <c r="C9400" t="s">
        <v>40</v>
      </c>
      <c r="D9400">
        <v>4.6878780000000004</v>
      </c>
      <c r="E9400">
        <v>0.44709660000000001</v>
      </c>
      <c r="F9400" t="s">
        <v>73</v>
      </c>
      <c r="G9400">
        <v>-280.10050000000001</v>
      </c>
      <c r="H9400" s="1">
        <v>-6.4339369999999999E-6</v>
      </c>
      <c r="I9400">
        <v>-57.540030000000002</v>
      </c>
      <c r="J9400">
        <v>-287.28840000000002</v>
      </c>
      <c r="K9400">
        <v>1.1169150000000001</v>
      </c>
      <c r="L9400">
        <v>-56.416260000000001</v>
      </c>
      <c r="M9400">
        <v>0.86312900000000004</v>
      </c>
      <c r="N9400">
        <v>0</v>
      </c>
      <c r="O9400">
        <v>-0.50485079999999904</v>
      </c>
      <c r="P9400">
        <v>0.95400750000000001</v>
      </c>
      <c r="Q9400">
        <v>2.6652249999999999E-2</v>
      </c>
      <c r="R9400">
        <v>-0.29859560000000002</v>
      </c>
      <c r="S9400">
        <v>3.006958</v>
      </c>
      <c r="T9400">
        <v>-0.45999830000000003</v>
      </c>
      <c r="U9400">
        <v>-0.48785400000000001</v>
      </c>
      <c r="V9400">
        <v>-0.22451399999999999</v>
      </c>
      <c r="W9400">
        <v>3.4241010000000002E-2</v>
      </c>
      <c r="X9400">
        <v>0.97386910000000004</v>
      </c>
      <c r="Y9400">
        <v>-0.35103990000000002</v>
      </c>
      <c r="Z9400">
        <v>9.9257689999999996E-2</v>
      </c>
      <c r="AA9400">
        <v>0.93108480000000005</v>
      </c>
      <c r="AB9400">
        <v>25</v>
      </c>
      <c r="AC9400">
        <v>7.1879000000000097</v>
      </c>
      <c r="AD9400">
        <v>-1.1169214339369999</v>
      </c>
      <c r="AE9400">
        <v>-1.1237699999999999</v>
      </c>
      <c r="AF9400">
        <v>-2.5978072908584302</v>
      </c>
      <c r="AG9400">
        <v>-1.1169214339369999</v>
      </c>
      <c r="AH9400">
        <v>6.6159393488040701</v>
      </c>
      <c r="AI9400">
        <v>98.930580110621307</v>
      </c>
      <c r="AJ9400">
        <v>111.43789450880099</v>
      </c>
      <c r="AK9400">
        <v>7.1949127636879098</v>
      </c>
      <c r="AL9400">
        <v>88.037751081316799</v>
      </c>
      <c r="AM9400">
        <v>102.982046719278</v>
      </c>
      <c r="AN9400">
        <v>1.0000000034483101</v>
      </c>
    </row>
    <row r="9401" spans="1:40" x14ac:dyDescent="0.25">
      <c r="A9401" t="str">
        <f>"20190312150909470"</f>
        <v>20190312150909470</v>
      </c>
      <c r="B9401" t="str">
        <f>"1552374549458958"</f>
        <v>1552374549458958</v>
      </c>
      <c r="C9401" t="s">
        <v>40</v>
      </c>
      <c r="D9401">
        <v>4.6718710000000003</v>
      </c>
      <c r="E9401">
        <v>0.44725409999999999</v>
      </c>
      <c r="F9401" t="s">
        <v>73</v>
      </c>
      <c r="G9401">
        <v>-280.0369</v>
      </c>
      <c r="H9401" s="1">
        <v>-6.4539189999999996E-6</v>
      </c>
      <c r="I9401">
        <v>-57.551769999999998</v>
      </c>
      <c r="J9401">
        <v>-287.0899</v>
      </c>
      <c r="K9401">
        <v>1.1169</v>
      </c>
      <c r="L9401">
        <v>-56.520870000000002</v>
      </c>
      <c r="M9401">
        <v>0.86768690000000004</v>
      </c>
      <c r="N9401">
        <v>0</v>
      </c>
      <c r="O9401">
        <v>-0.49697649999999999</v>
      </c>
      <c r="P9401">
        <v>0.95659510000000003</v>
      </c>
      <c r="Q9401">
        <v>2.726013E-2</v>
      </c>
      <c r="R9401">
        <v>-0.29014329999999999</v>
      </c>
      <c r="S9401">
        <v>3.0100709999999999</v>
      </c>
      <c r="T9401">
        <v>-0.4636286</v>
      </c>
      <c r="U9401">
        <v>-0.47134399999999999</v>
      </c>
      <c r="V9401">
        <v>-0.22426960000000001</v>
      </c>
      <c r="W9401">
        <v>3.4857659999999999E-2</v>
      </c>
      <c r="X9401">
        <v>0.97390350000000003</v>
      </c>
      <c r="Y9401">
        <v>-0.34764790000000001</v>
      </c>
      <c r="Z9401">
        <v>9.8707680000000006E-2</v>
      </c>
      <c r="AA9401">
        <v>0.93241499999999999</v>
      </c>
      <c r="AB9401">
        <v>25</v>
      </c>
      <c r="AC9401">
        <v>7.0529999999999902</v>
      </c>
      <c r="AD9401">
        <v>-1.1169064539189999</v>
      </c>
      <c r="AE9401">
        <v>-1.0308999999999999</v>
      </c>
      <c r="AF9401">
        <v>-2.5482834053525001</v>
      </c>
      <c r="AG9401">
        <v>-1.1169064539189999</v>
      </c>
      <c r="AH9401">
        <v>6.4736253531940804</v>
      </c>
      <c r="AI9401">
        <v>99.120520303079999</v>
      </c>
      <c r="AJ9401">
        <v>111.48662558343</v>
      </c>
      <c r="AK9401">
        <v>7.0462084523747999</v>
      </c>
      <c r="AL9401">
        <v>88.002398463154705</v>
      </c>
      <c r="AM9401">
        <v>102.967950204354</v>
      </c>
      <c r="AN9401">
        <v>0.99999996862854201</v>
      </c>
    </row>
    <row r="9402" spans="1:40" x14ac:dyDescent="0.25">
      <c r="A9402" t="str">
        <f>"20190312150909481"</f>
        <v>20190312150909481</v>
      </c>
      <c r="B9402" t="str">
        <f>"1552374549468715"</f>
        <v>1552374549468715</v>
      </c>
      <c r="C9402" t="s">
        <v>40</v>
      </c>
      <c r="D9402">
        <v>4.6680400000000004</v>
      </c>
      <c r="E9402">
        <v>0.45427070000000003</v>
      </c>
      <c r="F9402" t="s">
        <v>84</v>
      </c>
      <c r="G9402">
        <v>-279.87150000000003</v>
      </c>
      <c r="H9402" s="1">
        <v>-4.0069730000000002E-6</v>
      </c>
      <c r="I9402">
        <v>-57.589109999999998</v>
      </c>
      <c r="J9402">
        <v>-286.97899999999998</v>
      </c>
      <c r="K9402">
        <v>1.1168910000000001</v>
      </c>
      <c r="L9402">
        <v>-56.578429999999997</v>
      </c>
      <c r="M9402">
        <v>0.87018589999999996</v>
      </c>
      <c r="N9402">
        <v>0</v>
      </c>
      <c r="O9402">
        <v>-0.49258770000000002</v>
      </c>
      <c r="P9402">
        <v>0.95796119999999996</v>
      </c>
      <c r="Q9402">
        <v>2.6882779999999998E-2</v>
      </c>
      <c r="R9402">
        <v>-0.2856359</v>
      </c>
      <c r="S9402">
        <v>3.0140690000000001</v>
      </c>
      <c r="T9402">
        <v>-0.4663658</v>
      </c>
      <c r="U9402">
        <v>-0.44604490000000002</v>
      </c>
      <c r="V9402">
        <v>-0.22393440000000001</v>
      </c>
      <c r="W9402">
        <v>3.4488820000000003E-2</v>
      </c>
      <c r="X9402">
        <v>0.97399380000000002</v>
      </c>
      <c r="Y9402">
        <v>-0.3506667</v>
      </c>
      <c r="Z9402">
        <v>9.8903210000000005E-2</v>
      </c>
      <c r="AA9402">
        <v>0.93126310000000001</v>
      </c>
      <c r="AB9402">
        <v>25</v>
      </c>
      <c r="AC9402">
        <v>7.1075000000000097</v>
      </c>
      <c r="AD9402">
        <v>-1.1168950069729999</v>
      </c>
      <c r="AE9402">
        <v>-1.01067999999999</v>
      </c>
      <c r="AF9402">
        <v>-2.5598041795782098</v>
      </c>
      <c r="AG9402">
        <v>-1.1168950069729999</v>
      </c>
      <c r="AH9402">
        <v>6.5252025846268502</v>
      </c>
      <c r="AI9402">
        <v>99.053613517072094</v>
      </c>
      <c r="AJ9402">
        <v>111.41982761409599</v>
      </c>
      <c r="AK9402">
        <v>7.0977687102925699</v>
      </c>
      <c r="AL9402">
        <v>88.023544232593196</v>
      </c>
      <c r="AM9402">
        <v>102.94806161626001</v>
      </c>
      <c r="AN9402">
        <v>1.00000000832339</v>
      </c>
    </row>
    <row r="9403" spans="1:40" x14ac:dyDescent="0.25">
      <c r="A9403" t="str">
        <f>"20190312150909493"</f>
        <v>20190312150909493</v>
      </c>
      <c r="B9403" t="str">
        <f>"1552374549489212"</f>
        <v>1552374549489212</v>
      </c>
      <c r="C9403" t="s">
        <v>40</v>
      </c>
      <c r="D9403">
        <v>4.6488559999999897</v>
      </c>
      <c r="E9403">
        <v>0.45730320000000002</v>
      </c>
      <c r="F9403" t="s">
        <v>84</v>
      </c>
      <c r="G9403">
        <v>-277.34120000000001</v>
      </c>
      <c r="H9403" s="1">
        <v>-2.7963639999999999E-6</v>
      </c>
      <c r="I9403">
        <v>-58.15504</v>
      </c>
      <c r="J9403">
        <v>-286.87349999999998</v>
      </c>
      <c r="K9403">
        <v>1.116886</v>
      </c>
      <c r="L9403">
        <v>-56.632390000000001</v>
      </c>
      <c r="M9403">
        <v>0.87252559999999901</v>
      </c>
      <c r="N9403">
        <v>0</v>
      </c>
      <c r="O9403">
        <v>-0.48843150000000002</v>
      </c>
      <c r="P9403">
        <v>0.95911429999999998</v>
      </c>
      <c r="Q9403">
        <v>2.6788610000000001E-2</v>
      </c>
      <c r="R9403">
        <v>-0.28174850000000001</v>
      </c>
      <c r="S9403">
        <v>2.9952999999999999</v>
      </c>
      <c r="T9403">
        <v>-0.34711649999999999</v>
      </c>
      <c r="U9403">
        <v>-0.48999019999999999</v>
      </c>
      <c r="V9403">
        <v>-0.2232374</v>
      </c>
      <c r="W9403">
        <v>3.4409710000000003E-2</v>
      </c>
      <c r="X9403">
        <v>0.97415660000000004</v>
      </c>
      <c r="Y9403">
        <v>-0.33613110000000002</v>
      </c>
      <c r="Z9403">
        <v>7.2881119999999994E-2</v>
      </c>
      <c r="AA9403">
        <v>0.93899109999999997</v>
      </c>
      <c r="AB9403">
        <v>25</v>
      </c>
      <c r="AC9403">
        <v>9.5322999999999602</v>
      </c>
      <c r="AD9403">
        <v>-1.116888796364</v>
      </c>
      <c r="AE9403">
        <v>-1.5226499999999901</v>
      </c>
      <c r="AF9403">
        <v>-3.2835897053296401</v>
      </c>
      <c r="AG9403">
        <v>-1.116888796364</v>
      </c>
      <c r="AH9403">
        <v>8.9417885593752207</v>
      </c>
      <c r="AI9403">
        <v>96.687451079554194</v>
      </c>
      <c r="AJ9403">
        <v>110.16416642895901</v>
      </c>
      <c r="AK9403">
        <v>9.5908802816510992</v>
      </c>
      <c r="AL9403">
        <v>88.028079622820897</v>
      </c>
      <c r="AM9403">
        <v>102.90702751533</v>
      </c>
      <c r="AN9403">
        <v>1.0000000231123001</v>
      </c>
    </row>
    <row r="9404" spans="1:40" x14ac:dyDescent="0.25">
      <c r="A9404" t="str">
        <f>"20190312150909503"</f>
        <v>20190312150909503</v>
      </c>
      <c r="B9404" t="str">
        <f>"1552374549498971"</f>
        <v>1552374549498971</v>
      </c>
      <c r="C9404" t="s">
        <v>40</v>
      </c>
      <c r="D9404">
        <v>4.6584059999999896</v>
      </c>
      <c r="E9404">
        <v>0.45827770000000001</v>
      </c>
      <c r="F9404" t="s">
        <v>84</v>
      </c>
      <c r="G9404">
        <v>-276.81689999999998</v>
      </c>
      <c r="H9404" s="1">
        <v>-2.5351620000000001E-6</v>
      </c>
      <c r="I9404">
        <v>-58.319189999999999</v>
      </c>
      <c r="J9404">
        <v>-286.75889999999998</v>
      </c>
      <c r="K9404">
        <v>1.1168689999999999</v>
      </c>
      <c r="L9404">
        <v>-56.69061</v>
      </c>
      <c r="M9404">
        <v>0.87503880000000001</v>
      </c>
      <c r="N9404">
        <v>0</v>
      </c>
      <c r="O9404">
        <v>-0.48391499999999998</v>
      </c>
      <c r="P9404">
        <v>0.96049119999999999</v>
      </c>
      <c r="Q9404">
        <v>2.6911770000000002E-2</v>
      </c>
      <c r="R9404">
        <v>-0.27700629999999998</v>
      </c>
      <c r="S9404">
        <v>2.989868</v>
      </c>
      <c r="T9404">
        <v>-0.33205610000000002</v>
      </c>
      <c r="U9404">
        <v>-0.50149540000000004</v>
      </c>
      <c r="V9404">
        <v>-0.2230134</v>
      </c>
      <c r="W9404">
        <v>3.4539809999999997E-2</v>
      </c>
      <c r="X9404">
        <v>0.97420329999999999</v>
      </c>
      <c r="Y9404">
        <v>-0.32795259999999998</v>
      </c>
      <c r="Z9404">
        <v>6.8946950000000007E-2</v>
      </c>
      <c r="AA9404">
        <v>0.94217479999999998</v>
      </c>
      <c r="AB9404">
        <v>25</v>
      </c>
      <c r="AC9404">
        <v>9.9420000000000002</v>
      </c>
      <c r="AD9404">
        <v>-1.116871535162</v>
      </c>
      <c r="AE9404">
        <v>-1.6285799999999899</v>
      </c>
      <c r="AF9404">
        <v>-3.34512578558012</v>
      </c>
      <c r="AG9404">
        <v>-1.116871535162</v>
      </c>
      <c r="AH9404">
        <v>9.3731646977619096</v>
      </c>
      <c r="AI9404">
        <v>96.403153089342595</v>
      </c>
      <c r="AJ9404">
        <v>109.64063285979</v>
      </c>
      <c r="AK9404">
        <v>10.0146634990287</v>
      </c>
      <c r="AL9404">
        <v>88.020621007015293</v>
      </c>
      <c r="AM9404">
        <v>102.893912034862</v>
      </c>
      <c r="AN9404">
        <v>1.00000002239264</v>
      </c>
    </row>
    <row r="9405" spans="1:40" x14ac:dyDescent="0.25">
      <c r="A9405" t="str">
        <f>"20190312150909514"</f>
        <v>20190312150909514</v>
      </c>
      <c r="B9405" t="str">
        <f>"1552374549508731"</f>
        <v>1552374549508731</v>
      </c>
      <c r="C9405" t="s">
        <v>40</v>
      </c>
      <c r="D9405">
        <v>4.6534000000000004</v>
      </c>
      <c r="E9405">
        <v>0.45875529999999998</v>
      </c>
      <c r="F9405" t="s">
        <v>84</v>
      </c>
      <c r="G9405">
        <v>-276.54199999999997</v>
      </c>
      <c r="H9405" s="1">
        <v>-2.4039700000000002E-6</v>
      </c>
      <c r="I9405">
        <v>-58.379179999999998</v>
      </c>
      <c r="J9405">
        <v>-286.64850000000001</v>
      </c>
      <c r="K9405">
        <v>1.1168439999999999</v>
      </c>
      <c r="L9405">
        <v>-56.745570000000001</v>
      </c>
      <c r="M9405">
        <v>0.87741039999999904</v>
      </c>
      <c r="N9405">
        <v>0</v>
      </c>
      <c r="O9405">
        <v>-0.47960130000000001</v>
      </c>
      <c r="P9405">
        <v>0.96170370000000005</v>
      </c>
      <c r="Q9405">
        <v>2.702744E-2</v>
      </c>
      <c r="R9405">
        <v>-0.27275480000000002</v>
      </c>
      <c r="S9405">
        <v>2.9900509999999998</v>
      </c>
      <c r="T9405">
        <v>-0.32686110000000002</v>
      </c>
      <c r="U9405">
        <v>-0.49417109999999898</v>
      </c>
      <c r="V9405">
        <v>-0.22252549999999999</v>
      </c>
      <c r="W9405">
        <v>3.466752E-2</v>
      </c>
      <c r="X9405">
        <v>0.97431029999999996</v>
      </c>
      <c r="Y9405">
        <v>-0.32573400000000002</v>
      </c>
      <c r="Z9405">
        <v>6.7363629999999994E-2</v>
      </c>
      <c r="AA9405">
        <v>0.94305859999999997</v>
      </c>
      <c r="AB9405">
        <v>25</v>
      </c>
      <c r="AC9405">
        <v>10.106499999999899</v>
      </c>
      <c r="AD9405">
        <v>-1.1168464039699999</v>
      </c>
      <c r="AE9405">
        <v>-1.63361000000001</v>
      </c>
      <c r="AF9405">
        <v>-3.3738202739724601</v>
      </c>
      <c r="AG9405">
        <v>-1.1168464039699999</v>
      </c>
      <c r="AH9405">
        <v>9.5381605465858801</v>
      </c>
      <c r="AI9405">
        <v>96.299380642870702</v>
      </c>
      <c r="AJ9405">
        <v>109.479610105183</v>
      </c>
      <c r="AK9405">
        <v>10.1787285917041</v>
      </c>
      <c r="AL9405">
        <v>88.013299329651105</v>
      </c>
      <c r="AM9405">
        <v>102.86527705536</v>
      </c>
      <c r="AN9405">
        <v>0.999999997889645</v>
      </c>
    </row>
    <row r="9406" spans="1:40" x14ac:dyDescent="0.25">
      <c r="A9406" t="str">
        <f>"20190312150909526"</f>
        <v>20190312150909526</v>
      </c>
      <c r="B9406" t="str">
        <f>"1552374549518842"</f>
        <v>1552374549518842</v>
      </c>
      <c r="C9406" t="s">
        <v>40</v>
      </c>
      <c r="D9406">
        <v>4.6397950000000003</v>
      </c>
      <c r="E9406">
        <v>0.4595149</v>
      </c>
      <c r="F9406" t="s">
        <v>84</v>
      </c>
      <c r="G9406">
        <v>-276.30340000000001</v>
      </c>
      <c r="H9406" s="1">
        <v>-2.292077E-6</v>
      </c>
      <c r="I9406">
        <v>-58.422240000000002</v>
      </c>
      <c r="J9406">
        <v>-286.53969999999998</v>
      </c>
      <c r="K9406">
        <v>1.1168169999999999</v>
      </c>
      <c r="L9406">
        <v>-56.799500000000002</v>
      </c>
      <c r="M9406">
        <v>0.87971889999999997</v>
      </c>
      <c r="N9406">
        <v>0</v>
      </c>
      <c r="O9406">
        <v>-0.475354</v>
      </c>
      <c r="P9406">
        <v>0.96282000000000001</v>
      </c>
      <c r="Q9406">
        <v>2.714925E-2</v>
      </c>
      <c r="R9406">
        <v>-0.26877579999999901</v>
      </c>
      <c r="S9406">
        <v>2.9910580000000002</v>
      </c>
      <c r="T9406">
        <v>-0.32291249999999999</v>
      </c>
      <c r="U9406">
        <v>-0.48477170000000003</v>
      </c>
      <c r="V9406">
        <v>-0.22184200000000001</v>
      </c>
      <c r="W9406">
        <v>3.4805250000000003E-2</v>
      </c>
      <c r="X9406">
        <v>0.97446129999999997</v>
      </c>
      <c r="Y9406">
        <v>-0.32423859999999999</v>
      </c>
      <c r="Z9406">
        <v>6.6080609999999998E-2</v>
      </c>
      <c r="AA9406">
        <v>0.94366450000000002</v>
      </c>
      <c r="AB9406">
        <v>25</v>
      </c>
      <c r="AC9406">
        <v>10.2362999999999</v>
      </c>
      <c r="AD9406">
        <v>-1.1168192920769999</v>
      </c>
      <c r="AE9406">
        <v>-1.6227400000000001</v>
      </c>
      <c r="AF9406">
        <v>-3.39907076514511</v>
      </c>
      <c r="AG9406">
        <v>-1.1168192920769999</v>
      </c>
      <c r="AH9406">
        <v>9.6648671360829006</v>
      </c>
      <c r="AI9406">
        <v>96.221215807194199</v>
      </c>
      <c r="AJ9406">
        <v>109.37644089603501</v>
      </c>
      <c r="AK9406">
        <v>10.3058538780517</v>
      </c>
      <c r="AL9406">
        <v>88.005403324250196</v>
      </c>
      <c r="AM9406">
        <v>102.825147803837</v>
      </c>
      <c r="AN9406">
        <v>1.0000000517946199</v>
      </c>
    </row>
    <row r="9407" spans="1:40" x14ac:dyDescent="0.25">
      <c r="A9407" t="str">
        <f>"20190312150909538"</f>
        <v>20190312150909538</v>
      </c>
      <c r="B9407" t="str">
        <f>"1552374549528602"</f>
        <v>1552374549528602</v>
      </c>
      <c r="C9407" t="s">
        <v>40</v>
      </c>
      <c r="D9407">
        <v>4.6130890000000004</v>
      </c>
      <c r="E9407">
        <v>0.46027469999999998</v>
      </c>
      <c r="F9407" t="s">
        <v>84</v>
      </c>
      <c r="G9407">
        <v>-276.13299999999998</v>
      </c>
      <c r="H9407" s="1">
        <v>-2.209731E-6</v>
      </c>
      <c r="I9407">
        <v>-58.464019999999998</v>
      </c>
      <c r="J9407">
        <v>-286.416</v>
      </c>
      <c r="K9407">
        <v>1.1167800000000001</v>
      </c>
      <c r="L9407">
        <v>-56.859769999999997</v>
      </c>
      <c r="M9407">
        <v>0.88228909999999905</v>
      </c>
      <c r="N9407">
        <v>0</v>
      </c>
      <c r="O9407">
        <v>-0.47056690000000001</v>
      </c>
      <c r="P9407">
        <v>0.96413530000000003</v>
      </c>
      <c r="Q9407">
        <v>2.7200459999999999E-2</v>
      </c>
      <c r="R9407">
        <v>-0.26401459999999999</v>
      </c>
      <c r="S9407">
        <v>2.991333</v>
      </c>
      <c r="T9407">
        <v>-0.3210211</v>
      </c>
      <c r="U9407">
        <v>-0.47845460000000001</v>
      </c>
      <c r="V9407">
        <v>-0.22135959999999999</v>
      </c>
      <c r="W9407">
        <v>3.4870060000000001E-2</v>
      </c>
      <c r="X9407">
        <v>0.97456860000000001</v>
      </c>
      <c r="Y9407">
        <v>-0.32114619999999999</v>
      </c>
      <c r="Z9407">
        <v>6.5095050000000002E-2</v>
      </c>
      <c r="AA9407">
        <v>0.94478980000000001</v>
      </c>
      <c r="AB9407">
        <v>25</v>
      </c>
      <c r="AC9407">
        <v>10.282999999999999</v>
      </c>
      <c r="AD9407">
        <v>-1.1167822097309901</v>
      </c>
      <c r="AE9407">
        <v>-1.60425</v>
      </c>
      <c r="AF9407">
        <v>-3.38468070765847</v>
      </c>
      <c r="AG9407">
        <v>-1.1167822097309901</v>
      </c>
      <c r="AH9407">
        <v>9.7162580282653792</v>
      </c>
      <c r="AI9407">
        <v>96.194763445995605</v>
      </c>
      <c r="AJ9407">
        <v>109.20589882827799</v>
      </c>
      <c r="AK9407">
        <v>10.3493447168696</v>
      </c>
      <c r="AL9407">
        <v>88.001687575729605</v>
      </c>
      <c r="AM9407">
        <v>102.79681596208999</v>
      </c>
      <c r="AN9407">
        <v>0.99999997485126102</v>
      </c>
    </row>
    <row r="9408" spans="1:40" x14ac:dyDescent="0.25">
      <c r="A9408" t="str">
        <f>"20190312150909552"</f>
        <v>20190312150909552</v>
      </c>
      <c r="B9408" t="str">
        <f>"1552374549549098"</f>
        <v>1552374549549098</v>
      </c>
      <c r="C9408" t="s">
        <v>40</v>
      </c>
      <c r="D9408">
        <v>4.6684950000000001</v>
      </c>
      <c r="E9408">
        <v>0.46151130000000001</v>
      </c>
      <c r="F9408" t="s">
        <v>84</v>
      </c>
      <c r="G9408">
        <v>-275.94639999999998</v>
      </c>
      <c r="H9408" s="1">
        <v>-2.12101E-6</v>
      </c>
      <c r="I9408">
        <v>-58.503349999999998</v>
      </c>
      <c r="J9408">
        <v>-286.28629999999998</v>
      </c>
      <c r="K9408">
        <v>1.1167339999999999</v>
      </c>
      <c r="L9408">
        <v>-56.922269999999997</v>
      </c>
      <c r="M9408">
        <v>0.88493569999999999</v>
      </c>
      <c r="N9408">
        <v>0</v>
      </c>
      <c r="O9408">
        <v>-0.46557100000000001</v>
      </c>
      <c r="P9408">
        <v>0.96541829999999995</v>
      </c>
      <c r="Q9408">
        <v>2.723772E-2</v>
      </c>
      <c r="R9408">
        <v>-0.25927929999999999</v>
      </c>
      <c r="S9408">
        <v>2.9919739999999999</v>
      </c>
      <c r="T9408">
        <v>-0.31915139999999997</v>
      </c>
      <c r="U9408">
        <v>-0.469696</v>
      </c>
      <c r="V9408">
        <v>-0.22062850000000001</v>
      </c>
      <c r="W9408">
        <v>3.4926760000000001E-2</v>
      </c>
      <c r="X9408">
        <v>0.9747323</v>
      </c>
      <c r="Y9408">
        <v>-0.31861009999999901</v>
      </c>
      <c r="Z9408">
        <v>6.4127450000000003E-2</v>
      </c>
      <c r="AA9408">
        <v>0.94571419999999995</v>
      </c>
      <c r="AB9408">
        <v>25</v>
      </c>
      <c r="AC9408">
        <v>10.3399</v>
      </c>
      <c r="AD9408">
        <v>-1.11673612101</v>
      </c>
      <c r="AE9408">
        <v>-1.58107999999999</v>
      </c>
      <c r="AF9408">
        <v>-3.3765435790923601</v>
      </c>
      <c r="AG9408">
        <v>-1.11673612101</v>
      </c>
      <c r="AH9408">
        <v>9.7754848923502298</v>
      </c>
      <c r="AI9408">
        <v>96.162838147283793</v>
      </c>
      <c r="AJ9408">
        <v>109.05538946147</v>
      </c>
      <c r="AK9408">
        <v>10.402319500286699</v>
      </c>
      <c r="AL9408">
        <v>87.998436845306301</v>
      </c>
      <c r="AM9408">
        <v>102.753863790536</v>
      </c>
      <c r="AN9408">
        <v>0.999999935119816</v>
      </c>
    </row>
    <row r="9409" spans="1:40" x14ac:dyDescent="0.25">
      <c r="A9409" t="str">
        <f>"20190312150909564"</f>
        <v>20190312150909564</v>
      </c>
      <c r="B9409" t="str">
        <f>"1552374549558858"</f>
        <v>1552374549558858</v>
      </c>
      <c r="C9409" t="s">
        <v>40</v>
      </c>
      <c r="D9409">
        <v>4.8244800000000003</v>
      </c>
      <c r="E9409">
        <v>0.46151130000000001</v>
      </c>
      <c r="F9409" t="s">
        <v>84</v>
      </c>
      <c r="G9409">
        <v>-275.57600000000002</v>
      </c>
      <c r="H9409" s="1">
        <v>-1.9437219999999999E-6</v>
      </c>
      <c r="I9409">
        <v>-58.586550000000003</v>
      </c>
      <c r="J9409">
        <v>-286.1549</v>
      </c>
      <c r="K9409">
        <v>1.1166940000000001</v>
      </c>
      <c r="L9409">
        <v>-56.984859999999998</v>
      </c>
      <c r="M9409">
        <v>0.88756780000000002</v>
      </c>
      <c r="N9409">
        <v>0</v>
      </c>
      <c r="O9409">
        <v>-0.4605339</v>
      </c>
      <c r="P9409">
        <v>0.96663160000000004</v>
      </c>
      <c r="Q9409">
        <v>2.703521E-2</v>
      </c>
      <c r="R9409">
        <v>-0.25473960000000001</v>
      </c>
      <c r="S9409">
        <v>2.991425</v>
      </c>
      <c r="T9409">
        <v>-0.31191099999999999</v>
      </c>
      <c r="U9409">
        <v>-0.46484379999999997</v>
      </c>
      <c r="V9409">
        <v>-0.21966450000000001</v>
      </c>
      <c r="W9409">
        <v>3.4747109999999998E-2</v>
      </c>
      <c r="X9409">
        <v>0.9749565</v>
      </c>
      <c r="Y9409">
        <v>-0.31491910000000001</v>
      </c>
      <c r="Z9409">
        <v>6.2052400000000001E-2</v>
      </c>
      <c r="AA9409">
        <v>0.94708789999999998</v>
      </c>
      <c r="AB9409">
        <v>25</v>
      </c>
      <c r="AC9409">
        <v>10.578900000000001</v>
      </c>
      <c r="AD9409">
        <v>-1.1166959437219901</v>
      </c>
      <c r="AE9409">
        <v>-1.6016900000000001</v>
      </c>
      <c r="AF9409">
        <v>-3.4133794272290001</v>
      </c>
      <c r="AG9409">
        <v>-1.1166959437219901</v>
      </c>
      <c r="AH9409">
        <v>10.018658805312899</v>
      </c>
      <c r="AI9409">
        <v>96.022779592902296</v>
      </c>
      <c r="AJ9409">
        <v>108.814091286288</v>
      </c>
      <c r="AK9409">
        <v>10.642917513644001</v>
      </c>
      <c r="AL9409">
        <v>88.008736444665502</v>
      </c>
      <c r="AM9409">
        <v>102.69712326922</v>
      </c>
      <c r="AN9409">
        <v>1.0000000155529201</v>
      </c>
    </row>
    <row r="9410" spans="1:40" x14ac:dyDescent="0.25">
      <c r="A9410" t="str">
        <f>"20190312150909578"</f>
        <v>20190312150909578</v>
      </c>
      <c r="B9410" t="str">
        <f>"1552374549568618"</f>
        <v>1552374549568618</v>
      </c>
      <c r="C9410" t="s">
        <v>40</v>
      </c>
      <c r="D9410">
        <v>4.6645379999999896</v>
      </c>
      <c r="E9410">
        <v>0.4620881</v>
      </c>
      <c r="F9410" t="s">
        <v>84</v>
      </c>
      <c r="G9410">
        <v>-275.4597</v>
      </c>
      <c r="H9410" s="1">
        <v>-1.891829E-6</v>
      </c>
      <c r="I9410">
        <v>-58.595500000000001</v>
      </c>
      <c r="J9410">
        <v>-286.01749999999998</v>
      </c>
      <c r="K9410">
        <v>1.1166419999999999</v>
      </c>
      <c r="L9410">
        <v>-57.049039999999998</v>
      </c>
      <c r="M9410">
        <v>0.89024789999999998</v>
      </c>
      <c r="N9410">
        <v>0</v>
      </c>
      <c r="O9410">
        <v>-0.45533200000000001</v>
      </c>
      <c r="P9410">
        <v>0.96779970000000004</v>
      </c>
      <c r="Q9410">
        <v>2.677624E-2</v>
      </c>
      <c r="R9410">
        <v>-0.25029390000000001</v>
      </c>
      <c r="S9410">
        <v>2.9935299999999998</v>
      </c>
      <c r="T9410">
        <v>-0.312556099999999</v>
      </c>
      <c r="U9410">
        <v>-0.45080569999999998</v>
      </c>
      <c r="V9410">
        <v>-0.2184345</v>
      </c>
      <c r="W9410">
        <v>3.4516459999999999E-2</v>
      </c>
      <c r="X9410">
        <v>0.97524100000000002</v>
      </c>
      <c r="Y9410">
        <v>-0.31382500000000002</v>
      </c>
      <c r="Z9410">
        <v>6.1636240000000002E-2</v>
      </c>
      <c r="AA9410">
        <v>0.94747820000000005</v>
      </c>
      <c r="AB9410">
        <v>25</v>
      </c>
      <c r="AC9410">
        <v>10.557799999999901</v>
      </c>
      <c r="AD9410">
        <v>-1.11664389182899</v>
      </c>
      <c r="AE9410">
        <v>-1.54645999999999</v>
      </c>
      <c r="AF9410">
        <v>-3.3936324333973502</v>
      </c>
      <c r="AG9410">
        <v>-1.11664389182899</v>
      </c>
      <c r="AH9410">
        <v>9.9944247522402794</v>
      </c>
      <c r="AI9410">
        <v>96.0390969550742</v>
      </c>
      <c r="AJ9410">
        <v>108.75504975176401</v>
      </c>
      <c r="AK9410">
        <v>10.6137722230297</v>
      </c>
      <c r="AL9410">
        <v>88.021959641949195</v>
      </c>
      <c r="AM9410">
        <v>102.624746873722</v>
      </c>
      <c r="AN9410">
        <v>1.0000000124410899</v>
      </c>
    </row>
    <row r="9411" spans="1:40" x14ac:dyDescent="0.25">
      <c r="A9411" t="str">
        <f>"20190312150909592"</f>
        <v>20190312150909592</v>
      </c>
      <c r="B9411" t="str">
        <f>"1552374549579354"</f>
        <v>1552374549579354</v>
      </c>
      <c r="C9411" t="s">
        <v>40</v>
      </c>
      <c r="D9411">
        <v>4.8360979999999998</v>
      </c>
      <c r="E9411">
        <v>0.4620881</v>
      </c>
      <c r="F9411" t="s">
        <v>84</v>
      </c>
      <c r="G9411">
        <v>-275.24130000000002</v>
      </c>
      <c r="H9411" s="1">
        <v>-1.788702E-6</v>
      </c>
      <c r="I9411">
        <v>-58.638109999999998</v>
      </c>
      <c r="J9411">
        <v>-285.88869999999997</v>
      </c>
      <c r="K9411">
        <v>1.11659</v>
      </c>
      <c r="L9411">
        <v>-57.108550000000001</v>
      </c>
      <c r="M9411">
        <v>0.89271080000000003</v>
      </c>
      <c r="N9411">
        <v>0</v>
      </c>
      <c r="O9411">
        <v>-0.45048440000000001</v>
      </c>
      <c r="P9411">
        <v>0.9688812</v>
      </c>
      <c r="Q9411">
        <v>2.669274E-2</v>
      </c>
      <c r="R9411">
        <v>-0.2460832</v>
      </c>
      <c r="S9411">
        <v>2.994202</v>
      </c>
      <c r="T9411">
        <v>-0.3102626</v>
      </c>
      <c r="U9411">
        <v>-0.44152829999999899</v>
      </c>
      <c r="V9411">
        <v>-0.21736710000000001</v>
      </c>
      <c r="W9411">
        <v>3.4456889999999997E-2</v>
      </c>
      <c r="X9411">
        <v>0.97548159999999895</v>
      </c>
      <c r="Y9411">
        <v>-0.31165769999999998</v>
      </c>
      <c r="Z9411">
        <v>6.0639190000000003E-2</v>
      </c>
      <c r="AA9411">
        <v>0.94825760000000003</v>
      </c>
      <c r="AB9411">
        <v>25</v>
      </c>
      <c r="AC9411">
        <v>10.6473999999999</v>
      </c>
      <c r="AD9411">
        <v>-1.116591788702</v>
      </c>
      <c r="AE9411">
        <v>-1.52955999999999</v>
      </c>
      <c r="AF9411">
        <v>-3.3946792475809899</v>
      </c>
      <c r="AG9411">
        <v>-1.116591788702</v>
      </c>
      <c r="AH9411">
        <v>10.0860800545223</v>
      </c>
      <c r="AI9411">
        <v>95.989717539489305</v>
      </c>
      <c r="AJ9411">
        <v>108.60172621854301</v>
      </c>
      <c r="AK9411">
        <v>10.7004502373865</v>
      </c>
      <c r="AL9411">
        <v>88.025374842706597</v>
      </c>
      <c r="AM9411">
        <v>102.562017743574</v>
      </c>
      <c r="AN9411">
        <v>1.00000004268472</v>
      </c>
    </row>
    <row r="9412" spans="1:40" x14ac:dyDescent="0.25">
      <c r="A9412" t="str">
        <f>"20190312150909605"</f>
        <v>20190312150909605</v>
      </c>
      <c r="B9412" t="str">
        <f>"1552374549598874"</f>
        <v>1552374549598874</v>
      </c>
      <c r="C9412" t="s">
        <v>40</v>
      </c>
      <c r="D9412">
        <v>4.708494</v>
      </c>
      <c r="E9412">
        <v>0.47356019999999999</v>
      </c>
      <c r="F9412" t="s">
        <v>84</v>
      </c>
      <c r="G9412">
        <v>-275.11070000000001</v>
      </c>
      <c r="H9412" s="1">
        <v>-1.7301679999999999E-6</v>
      </c>
      <c r="I9412">
        <v>-58.64958</v>
      </c>
      <c r="J9412">
        <v>-285.74579999999997</v>
      </c>
      <c r="K9412">
        <v>1.116536</v>
      </c>
      <c r="L9412">
        <v>-57.173859999999998</v>
      </c>
      <c r="M9412">
        <v>0.89538999999999902</v>
      </c>
      <c r="N9412">
        <v>0</v>
      </c>
      <c r="O9412">
        <v>-0.44513639999999999</v>
      </c>
      <c r="P9412">
        <v>0.96986709999999998</v>
      </c>
      <c r="Q9412">
        <v>2.7003900000000001E-2</v>
      </c>
      <c r="R9412">
        <v>-0.24213390000000001</v>
      </c>
      <c r="S9412">
        <v>2.9960629999999999</v>
      </c>
      <c r="T9412">
        <v>-0.31039060000000002</v>
      </c>
      <c r="U9412">
        <v>-0.42837520000000001</v>
      </c>
      <c r="V9412">
        <v>-0.2155012</v>
      </c>
      <c r="W9412">
        <v>3.4805719999999998E-2</v>
      </c>
      <c r="X9412">
        <v>0.9758831</v>
      </c>
      <c r="Y9412">
        <v>-0.31017030000000001</v>
      </c>
      <c r="Z9412">
        <v>6.0088889999999999E-2</v>
      </c>
      <c r="AA9412">
        <v>0.94878010000000002</v>
      </c>
      <c r="AB9412">
        <v>25</v>
      </c>
      <c r="AC9412">
        <v>10.6350999999999</v>
      </c>
      <c r="AD9412">
        <v>-1.116537730168</v>
      </c>
      <c r="AE9412">
        <v>-1.4757199999999999</v>
      </c>
      <c r="AF9412">
        <v>-3.3764352813735901</v>
      </c>
      <c r="AG9412">
        <v>-1.116537730168</v>
      </c>
      <c r="AH9412">
        <v>10.0712135070593</v>
      </c>
      <c r="AI9412">
        <v>96.000569919388695</v>
      </c>
      <c r="AJ9412">
        <v>108.534038876686</v>
      </c>
      <c r="AK9412">
        <v>10.6806513479735</v>
      </c>
      <c r="AL9412">
        <v>88.0053763056994</v>
      </c>
      <c r="AM9412">
        <v>102.45259910596801</v>
      </c>
      <c r="AN9412">
        <v>1.0000000151058801</v>
      </c>
    </row>
    <row r="9413" spans="1:40" x14ac:dyDescent="0.25">
      <c r="A9413" t="str">
        <f>"20190312150909617"</f>
        <v>20190312150909617</v>
      </c>
      <c r="B9413" t="str">
        <f>"1552374549608635"</f>
        <v>1552374549608635</v>
      </c>
      <c r="C9413" t="s">
        <v>40</v>
      </c>
      <c r="D9413">
        <v>4.6371520000000004</v>
      </c>
      <c r="E9413">
        <v>0.47322370000000002</v>
      </c>
      <c r="F9413" t="s">
        <v>84</v>
      </c>
      <c r="G9413">
        <v>-270.21780000000001</v>
      </c>
      <c r="H9413" s="1">
        <v>6.0533059999999999E-7</v>
      </c>
      <c r="I9413">
        <v>-59.834850000000003</v>
      </c>
      <c r="J9413">
        <v>-285.61430000000001</v>
      </c>
      <c r="K9413">
        <v>1.1164769999999999</v>
      </c>
      <c r="L9413">
        <v>-57.232729999999997</v>
      </c>
      <c r="M9413">
        <v>0.8977811</v>
      </c>
      <c r="N9413">
        <v>0</v>
      </c>
      <c r="O9413">
        <v>-0.44029469999999998</v>
      </c>
      <c r="P9413">
        <v>0.97090189999999998</v>
      </c>
      <c r="Q9413">
        <v>2.6869589999999999E-2</v>
      </c>
      <c r="R9413">
        <v>-0.2379667</v>
      </c>
      <c r="S9413">
        <v>2.9720149999999999</v>
      </c>
      <c r="T9413">
        <v>-0.21370210000000001</v>
      </c>
      <c r="U9413">
        <v>-0.50930790000000004</v>
      </c>
      <c r="V9413">
        <v>-0.21441669999999999</v>
      </c>
      <c r="W9413">
        <v>3.469564E-2</v>
      </c>
      <c r="X9413">
        <v>0.97612580000000004</v>
      </c>
      <c r="Y9413">
        <v>-0.28063059999999901</v>
      </c>
      <c r="Z9413">
        <v>4.0263319999999998E-2</v>
      </c>
      <c r="AA9413">
        <v>0.95897100000000002</v>
      </c>
      <c r="AB9413">
        <v>25</v>
      </c>
      <c r="AC9413">
        <v>15.3965</v>
      </c>
      <c r="AD9413">
        <v>-1.1164763946694001</v>
      </c>
      <c r="AE9413">
        <v>-2.6021200000000002</v>
      </c>
      <c r="AF9413">
        <v>-4.4205516966937797</v>
      </c>
      <c r="AG9413">
        <v>-1.1164763946694001</v>
      </c>
      <c r="AH9413">
        <v>14.893217011552901</v>
      </c>
      <c r="AI9413">
        <v>94.110581297017006</v>
      </c>
      <c r="AJ9413">
        <v>106.531754481603</v>
      </c>
      <c r="AK9413">
        <v>15.5754842555924</v>
      </c>
      <c r="AL9413">
        <v>88.011687093410401</v>
      </c>
      <c r="AM9413">
        <v>102.388886743886</v>
      </c>
      <c r="AN9413">
        <v>0.99999994304976803</v>
      </c>
    </row>
    <row r="9414" spans="1:40" x14ac:dyDescent="0.25">
      <c r="A9414" t="str">
        <f>"20190312150909629"</f>
        <v>20190312150909629</v>
      </c>
      <c r="B9414" t="str">
        <f>"1552374549619370"</f>
        <v>1552374549619370</v>
      </c>
      <c r="C9414" t="s">
        <v>40</v>
      </c>
      <c r="D9414">
        <v>4.8179160000000003</v>
      </c>
      <c r="E9414">
        <v>0.47368060000000001</v>
      </c>
      <c r="F9414" t="s">
        <v>84</v>
      </c>
      <c r="G9414">
        <v>-270.66239999999999</v>
      </c>
      <c r="H9414" s="1">
        <v>4.1343929999999998E-7</v>
      </c>
      <c r="I9414">
        <v>-59.71369</v>
      </c>
      <c r="J9414">
        <v>-285.49939999999998</v>
      </c>
      <c r="K9414">
        <v>1.1164179999999999</v>
      </c>
      <c r="L9414">
        <v>-57.28369</v>
      </c>
      <c r="M9414">
        <v>0.89983069999999898</v>
      </c>
      <c r="N9414">
        <v>0</v>
      </c>
      <c r="O9414">
        <v>-0.4360908</v>
      </c>
      <c r="P9414">
        <v>0.97177259999999999</v>
      </c>
      <c r="Q9414">
        <v>2.636378E-2</v>
      </c>
      <c r="R9414">
        <v>-0.23444180000000001</v>
      </c>
      <c r="S9414">
        <v>2.9750670000000001</v>
      </c>
      <c r="T9414">
        <v>-0.22215180000000001</v>
      </c>
      <c r="U9414">
        <v>-0.49365229999999999</v>
      </c>
      <c r="V9414">
        <v>-0.2133864</v>
      </c>
      <c r="W9414">
        <v>3.4212890000000003E-2</v>
      </c>
      <c r="X9414">
        <v>0.97636869999999998</v>
      </c>
      <c r="Y9414">
        <v>-0.28108499999999997</v>
      </c>
      <c r="Z9414">
        <v>4.157367E-2</v>
      </c>
      <c r="AA9414">
        <v>0.95878200000000002</v>
      </c>
      <c r="AB9414">
        <v>25</v>
      </c>
      <c r="AC9414">
        <v>14.8369999999999</v>
      </c>
      <c r="AD9414">
        <v>-1.1164175865607</v>
      </c>
      <c r="AE9414">
        <v>-2.4300000000000002</v>
      </c>
      <c r="AF9414">
        <v>-4.2604758687252202</v>
      </c>
      <c r="AG9414">
        <v>-1.1164175865607</v>
      </c>
      <c r="AH9414">
        <v>14.332393556375401</v>
      </c>
      <c r="AI9414">
        <v>94.270101908786401</v>
      </c>
      <c r="AJ9414">
        <v>106.55521282128799</v>
      </c>
      <c r="AK9414">
        <v>14.9938503364013</v>
      </c>
      <c r="AL9414">
        <v>88.039363290070597</v>
      </c>
      <c r="AM9414">
        <v>102.328208125796</v>
      </c>
      <c r="AN9414">
        <v>1.0000000579433901</v>
      </c>
    </row>
    <row r="9415" spans="1:40" x14ac:dyDescent="0.25">
      <c r="A9415" t="str">
        <f>"20190312150909639"</f>
        <v>20190312150909639</v>
      </c>
      <c r="B9415" t="str">
        <f>"1552374549629130"</f>
        <v>1552374549629130</v>
      </c>
      <c r="C9415" t="s">
        <v>40</v>
      </c>
      <c r="D9415">
        <v>4.6679490000000001</v>
      </c>
      <c r="E9415">
        <v>0.47399219999999997</v>
      </c>
      <c r="F9415" t="s">
        <v>84</v>
      </c>
      <c r="G9415">
        <v>-270.58589999999998</v>
      </c>
      <c r="H9415" s="1">
        <v>4.4504940000000003E-7</v>
      </c>
      <c r="I9415">
        <v>-59.721879999999999</v>
      </c>
      <c r="J9415">
        <v>-285.38619999999997</v>
      </c>
      <c r="K9415">
        <v>1.1163650000000001</v>
      </c>
      <c r="L9415">
        <v>-57.33334</v>
      </c>
      <c r="M9415">
        <v>0.9018081</v>
      </c>
      <c r="N9415">
        <v>0</v>
      </c>
      <c r="O9415">
        <v>-0.43198740000000002</v>
      </c>
      <c r="P9415">
        <v>0.97256310000000001</v>
      </c>
      <c r="Q9415">
        <v>2.6609170000000001E-2</v>
      </c>
      <c r="R9415">
        <v>-0.2311127</v>
      </c>
      <c r="S9415">
        <v>2.9758</v>
      </c>
      <c r="T9415">
        <v>-0.22276779999999999</v>
      </c>
      <c r="U9415">
        <v>-0.48651119999999998</v>
      </c>
      <c r="V9415">
        <v>-0.21227860000000001</v>
      </c>
      <c r="W9415">
        <v>3.4482140000000001E-2</v>
      </c>
      <c r="X9415">
        <v>0.97660060000000004</v>
      </c>
      <c r="Y9415">
        <v>-0.2789973</v>
      </c>
      <c r="Z9415">
        <v>4.1339140000000003E-2</v>
      </c>
      <c r="AA9415">
        <v>0.95940170000000002</v>
      </c>
      <c r="AB9415">
        <v>25</v>
      </c>
      <c r="AC9415">
        <v>14.800299999999901</v>
      </c>
      <c r="AD9415">
        <v>-1.1163645549506001</v>
      </c>
      <c r="AE9415">
        <v>-2.3885399999999999</v>
      </c>
      <c r="AF9415">
        <v>-4.2164316721754496</v>
      </c>
      <c r="AG9415">
        <v>-1.1163645549506001</v>
      </c>
      <c r="AH9415">
        <v>14.300480668818199</v>
      </c>
      <c r="AI9415">
        <v>94.2821984771806</v>
      </c>
      <c r="AJ9415">
        <v>106.42791279071</v>
      </c>
      <c r="AK9415">
        <v>14.9508632936334</v>
      </c>
      <c r="AL9415">
        <v>88.023927134180695</v>
      </c>
      <c r="AM9415">
        <v>102.26332399154199</v>
      </c>
      <c r="AN9415">
        <v>0.99999997695864895</v>
      </c>
    </row>
    <row r="9416" spans="1:40" x14ac:dyDescent="0.25">
      <c r="A9416" t="str">
        <f>"20190312150909650"</f>
        <v>20190312150909650</v>
      </c>
      <c r="B9416" t="str">
        <f>"1552374549638890"</f>
        <v>1552374549638890</v>
      </c>
      <c r="C9416" t="s">
        <v>40</v>
      </c>
      <c r="D9416">
        <v>4.8496329999999999</v>
      </c>
      <c r="E9416">
        <v>0.47441339999999999</v>
      </c>
      <c r="F9416" t="s">
        <v>84</v>
      </c>
      <c r="G9416">
        <v>-270.57470000000001</v>
      </c>
      <c r="H9416" s="1">
        <v>4.4669609999999998E-7</v>
      </c>
      <c r="I9416">
        <v>-59.714829999999999</v>
      </c>
      <c r="J9416">
        <v>-285.28280000000001</v>
      </c>
      <c r="K9416">
        <v>1.1163179999999999</v>
      </c>
      <c r="L9416">
        <v>-57.378169999999997</v>
      </c>
      <c r="M9416">
        <v>0.90357540000000003</v>
      </c>
      <c r="N9416">
        <v>0</v>
      </c>
      <c r="O9416">
        <v>-0.42827900000000002</v>
      </c>
      <c r="P9416">
        <v>0.97323579999999998</v>
      </c>
      <c r="Q9416">
        <v>2.6459509999999999E-2</v>
      </c>
      <c r="R9416">
        <v>-0.22828000000000001</v>
      </c>
      <c r="S9416">
        <v>2.9770509999999999</v>
      </c>
      <c r="T9416">
        <v>-0.2243841</v>
      </c>
      <c r="U9416">
        <v>-0.47866819999999999</v>
      </c>
      <c r="V9416">
        <v>-0.2111044</v>
      </c>
      <c r="W9416">
        <v>3.4359189999999998E-2</v>
      </c>
      <c r="X9416">
        <v>0.97685949999999999</v>
      </c>
      <c r="Y9416">
        <v>-0.2775667</v>
      </c>
      <c r="Z9416">
        <v>4.1330690000000003E-2</v>
      </c>
      <c r="AA9416">
        <v>0.95981689999999997</v>
      </c>
      <c r="AB9416">
        <v>25</v>
      </c>
      <c r="AC9416">
        <v>14.7081</v>
      </c>
      <c r="AD9416">
        <v>-1.11631755330389</v>
      </c>
      <c r="AE9416">
        <v>-2.3366600000000002</v>
      </c>
      <c r="AF9416">
        <v>-4.1646909408826698</v>
      </c>
      <c r="AG9416">
        <v>-1.11631755330389</v>
      </c>
      <c r="AH9416">
        <v>14.2116872483781</v>
      </c>
      <c r="AI9416">
        <v>94.310761441425896</v>
      </c>
      <c r="AJ9416">
        <v>106.33305937300101</v>
      </c>
      <c r="AK9416">
        <v>14.8513591956628</v>
      </c>
      <c r="AL9416">
        <v>88.030975975447106</v>
      </c>
      <c r="AM9416">
        <v>102.194390921509</v>
      </c>
      <c r="AN9416">
        <v>1.0000000521885299</v>
      </c>
    </row>
    <row r="9417" spans="1:40" x14ac:dyDescent="0.25">
      <c r="A9417" t="str">
        <f>"20190312150909672"</f>
        <v>20190312150909672</v>
      </c>
      <c r="B9417" t="str">
        <f>"1552374549669147"</f>
        <v>1552374549669147</v>
      </c>
      <c r="C9417" t="s">
        <v>40</v>
      </c>
      <c r="D9417">
        <v>4.6570210000000003</v>
      </c>
      <c r="E9417">
        <v>0.47606389999999998</v>
      </c>
      <c r="F9417" t="s">
        <v>84</v>
      </c>
      <c r="G9417">
        <v>-270.3494</v>
      </c>
      <c r="H9417" s="1">
        <v>5.3510169999999999E-7</v>
      </c>
      <c r="I9417">
        <v>-59.75271</v>
      </c>
      <c r="J9417">
        <v>-285.06220000000002</v>
      </c>
      <c r="K9417">
        <v>1.1162069999999999</v>
      </c>
      <c r="L9417">
        <v>-57.472259999999999</v>
      </c>
      <c r="M9417">
        <v>0.90722760000000002</v>
      </c>
      <c r="N9417">
        <v>0</v>
      </c>
      <c r="O9417">
        <v>-0.42048869999999999</v>
      </c>
      <c r="P9417">
        <v>0.97494199999999998</v>
      </c>
      <c r="Q9417">
        <v>2.6663719999999998E-2</v>
      </c>
      <c r="R9417">
        <v>-0.220856</v>
      </c>
      <c r="S9417">
        <v>2.977509</v>
      </c>
      <c r="T9417">
        <v>-0.2225779</v>
      </c>
      <c r="U9417">
        <v>-0.47344969999999997</v>
      </c>
      <c r="V9417">
        <v>-0.21013509999999999</v>
      </c>
      <c r="W9417">
        <v>3.4597000000000003E-2</v>
      </c>
      <c r="X9417">
        <v>0.97706000000000004</v>
      </c>
      <c r="Y9417">
        <v>-0.27102589999999999</v>
      </c>
      <c r="Z9417">
        <v>4.0236000000000001E-2</v>
      </c>
      <c r="AA9417">
        <v>0.96173070000000005</v>
      </c>
      <c r="AB9417">
        <v>25</v>
      </c>
      <c r="AC9417">
        <v>14.7128</v>
      </c>
      <c r="AD9417">
        <v>-1.1162064648983001</v>
      </c>
      <c r="AE9417">
        <v>-2.2804500000000001</v>
      </c>
      <c r="AF9417">
        <v>-4.0949249273225696</v>
      </c>
      <c r="AG9417">
        <v>-1.1162064648983001</v>
      </c>
      <c r="AH9417">
        <v>14.227703414756499</v>
      </c>
      <c r="AI9417">
        <v>94.311516677588401</v>
      </c>
      <c r="AJ9417">
        <v>106.056532106402</v>
      </c>
      <c r="AK9417">
        <v>14.8472849871942</v>
      </c>
      <c r="AL9417">
        <v>88.017342214095905</v>
      </c>
      <c r="AM9417">
        <v>102.13764668335899</v>
      </c>
      <c r="AN9417">
        <v>0.99999997813050401</v>
      </c>
    </row>
    <row r="9418" spans="1:40" x14ac:dyDescent="0.25">
      <c r="A9418" t="str">
        <f>"20190312150909681"</f>
        <v>20190312150909681</v>
      </c>
      <c r="B9418" t="str">
        <f>"1552374549678906"</f>
        <v>1552374549678906</v>
      </c>
      <c r="C9418" t="s">
        <v>40</v>
      </c>
      <c r="D9418">
        <v>4.6444429999999999</v>
      </c>
      <c r="E9418">
        <v>0.4763365</v>
      </c>
      <c r="F9418" t="s">
        <v>42</v>
      </c>
      <c r="G9418">
        <v>-269.82279999999997</v>
      </c>
      <c r="H9418" s="1">
        <v>-3.3145650000000001E-6</v>
      </c>
      <c r="I9418">
        <v>-59.846110000000003</v>
      </c>
      <c r="J9418">
        <v>-284.95499999999998</v>
      </c>
      <c r="K9418">
        <v>1.1161460000000001</v>
      </c>
      <c r="L9418">
        <v>-57.517400000000002</v>
      </c>
      <c r="M9418">
        <v>0.90894900000000001</v>
      </c>
      <c r="N9418">
        <v>0</v>
      </c>
      <c r="O9418">
        <v>-0.41675479999999998</v>
      </c>
      <c r="P9418">
        <v>0.9752575</v>
      </c>
      <c r="Q9418">
        <v>2.704368E-2</v>
      </c>
      <c r="R9418">
        <v>-0.2194121</v>
      </c>
      <c r="S9418">
        <v>2.9779969999999998</v>
      </c>
      <c r="T9418">
        <v>-0.21812329999999999</v>
      </c>
      <c r="U9418">
        <v>-0.46389770000000002</v>
      </c>
      <c r="V9418">
        <v>-0.20755850000000001</v>
      </c>
      <c r="W9418">
        <v>3.503208E-2</v>
      </c>
      <c r="X9418">
        <v>0.97759510000000005</v>
      </c>
      <c r="Y9418">
        <v>-0.27018500000000001</v>
      </c>
      <c r="Z9418">
        <v>3.9164270000000001E-2</v>
      </c>
      <c r="AA9418">
        <v>0.96201159999999997</v>
      </c>
      <c r="AB9418">
        <v>25</v>
      </c>
      <c r="AC9418">
        <v>15.132199999999999</v>
      </c>
      <c r="AD9418">
        <v>-1.1161493145650001</v>
      </c>
      <c r="AE9418">
        <v>-2.3287099999999898</v>
      </c>
      <c r="AF9418">
        <v>-4.1678540391159098</v>
      </c>
      <c r="AG9418">
        <v>-1.1161493145650001</v>
      </c>
      <c r="AH9418">
        <v>14.647986354135</v>
      </c>
      <c r="AI9418">
        <v>94.191664073401697</v>
      </c>
      <c r="AJ9418">
        <v>105.882868915636</v>
      </c>
      <c r="AK9418">
        <v>15.270242329927299</v>
      </c>
      <c r="AL9418">
        <v>87.992398845523795</v>
      </c>
      <c r="AM9418">
        <v>101.98677939828499</v>
      </c>
      <c r="AN9418">
        <v>0.99999997854769296</v>
      </c>
    </row>
    <row r="9419" spans="1:40" x14ac:dyDescent="0.25">
      <c r="A9419" t="str">
        <f>"20190312150909694"</f>
        <v>20190312150909694</v>
      </c>
      <c r="B9419" t="str">
        <f>"1552374549688666"</f>
        <v>1552374549688666</v>
      </c>
      <c r="C9419" t="s">
        <v>40</v>
      </c>
      <c r="D9419">
        <v>4.6349049999999998</v>
      </c>
      <c r="E9419">
        <v>0.47655259999999999</v>
      </c>
      <c r="F9419" t="s">
        <v>42</v>
      </c>
      <c r="G9419">
        <v>-269.65199999999999</v>
      </c>
      <c r="H9419" s="1">
        <v>-3.2337550000000001E-6</v>
      </c>
      <c r="I9419">
        <v>-59.888680000000001</v>
      </c>
      <c r="J9419">
        <v>-284.83359999999999</v>
      </c>
      <c r="K9419">
        <v>1.1160669999999999</v>
      </c>
      <c r="L9419">
        <v>-57.567659999999997</v>
      </c>
      <c r="M9419">
        <v>0.91084299999999996</v>
      </c>
      <c r="N9419">
        <v>0</v>
      </c>
      <c r="O9419">
        <v>-0.4125993</v>
      </c>
      <c r="P9419">
        <v>0.97606630000000005</v>
      </c>
      <c r="Q9419">
        <v>2.6736019999999999E-2</v>
      </c>
      <c r="R9419">
        <v>-0.2158235</v>
      </c>
      <c r="S9419">
        <v>2.9783019999999998</v>
      </c>
      <c r="T9419">
        <v>-0.21722730000000001</v>
      </c>
      <c r="U9419">
        <v>-0.46151730000000002</v>
      </c>
      <c r="V9419">
        <v>-0.20668220000000001</v>
      </c>
      <c r="W9419">
        <v>3.4751869999999997E-2</v>
      </c>
      <c r="X9419">
        <v>0.97779079999999996</v>
      </c>
      <c r="Y9419">
        <v>-0.26658579999999998</v>
      </c>
      <c r="Z9419">
        <v>3.8599590000000003E-2</v>
      </c>
      <c r="AA9419">
        <v>0.96303799999999995</v>
      </c>
      <c r="AB9419">
        <v>25</v>
      </c>
      <c r="AC9419">
        <v>15.1816</v>
      </c>
      <c r="AD9419">
        <v>-1.1160702337549999</v>
      </c>
      <c r="AE9419">
        <v>-2.3210200000000101</v>
      </c>
      <c r="AF9419">
        <v>-4.1282945294255997</v>
      </c>
      <c r="AG9419">
        <v>-1.1160702337549999</v>
      </c>
      <c r="AH9419">
        <v>14.7089655394026</v>
      </c>
      <c r="AI9419">
        <v>94.178267012917203</v>
      </c>
      <c r="AJ9419">
        <v>105.677581850472</v>
      </c>
      <c r="AK9419">
        <v>15.318031718458201</v>
      </c>
      <c r="AL9419">
        <v>88.008463593511095</v>
      </c>
      <c r="AM9419">
        <v>101.935306036413</v>
      </c>
      <c r="AN9419">
        <v>1.0000000364149799</v>
      </c>
    </row>
    <row r="9420" spans="1:40" x14ac:dyDescent="0.25">
      <c r="A9420" t="str">
        <f>"20190312150909705"</f>
        <v>20190312150909705</v>
      </c>
      <c r="B9420" t="str">
        <f>"1552374549699402"</f>
        <v>1552374549699402</v>
      </c>
      <c r="C9420" t="s">
        <v>40</v>
      </c>
      <c r="D9420">
        <v>4.657146</v>
      </c>
      <c r="E9420">
        <v>0.47685919999999998</v>
      </c>
      <c r="F9420" t="s">
        <v>42</v>
      </c>
      <c r="G9420">
        <v>-269.67720000000003</v>
      </c>
      <c r="H9420" s="1">
        <v>-3.2481220000000001E-6</v>
      </c>
      <c r="I9420">
        <v>-59.868690000000001</v>
      </c>
      <c r="J9420">
        <v>-284.71850000000001</v>
      </c>
      <c r="K9420">
        <v>1.115999</v>
      </c>
      <c r="L9420">
        <v>-57.6151699999999</v>
      </c>
      <c r="M9420">
        <v>0.91261170000000003</v>
      </c>
      <c r="N9420">
        <v>0</v>
      </c>
      <c r="O9420">
        <v>-0.40867330000000002</v>
      </c>
      <c r="P9420">
        <v>0.97681490000000004</v>
      </c>
      <c r="Q9420">
        <v>2.6471720000000001E-2</v>
      </c>
      <c r="R9420">
        <v>-0.21244379999999999</v>
      </c>
      <c r="S9420">
        <v>2.9795229999999999</v>
      </c>
      <c r="T9420">
        <v>-0.21940280000000001</v>
      </c>
      <c r="U9420">
        <v>-0.45236209999999999</v>
      </c>
      <c r="V9420">
        <v>-0.2058488</v>
      </c>
      <c r="W9420">
        <v>3.4514549999999998E-2</v>
      </c>
      <c r="X9420">
        <v>0.97797500000000004</v>
      </c>
      <c r="Y9420">
        <v>-0.26536589999999999</v>
      </c>
      <c r="Z9420">
        <v>3.8676769999999999E-2</v>
      </c>
      <c r="AA9420">
        <v>0.96337169999999905</v>
      </c>
      <c r="AB9420">
        <v>25</v>
      </c>
      <c r="AC9420">
        <v>15.0412999999999</v>
      </c>
      <c r="AD9420">
        <v>-1.116002248122</v>
      </c>
      <c r="AE9420">
        <v>-2.25352</v>
      </c>
      <c r="AF9420">
        <v>-4.0687399609977302</v>
      </c>
      <c r="AG9420">
        <v>-1.116002248122</v>
      </c>
      <c r="AH9420">
        <v>14.570293924279399</v>
      </c>
      <c r="AI9420">
        <v>94.219179813230099</v>
      </c>
      <c r="AJ9420">
        <v>105.602337610218</v>
      </c>
      <c r="AK9420">
        <v>15.1688355165427</v>
      </c>
      <c r="AL9420">
        <v>88.022069199875901</v>
      </c>
      <c r="AM9420">
        <v>101.88637623800599</v>
      </c>
      <c r="AN9420">
        <v>1.00000004162407</v>
      </c>
    </row>
    <row r="9421" spans="1:40" x14ac:dyDescent="0.25">
      <c r="A9421" t="str">
        <f>"20190312150909715"</f>
        <v>20190312150909715</v>
      </c>
      <c r="B9421" t="str">
        <f>"1552374549709162"</f>
        <v>1552374549709162</v>
      </c>
      <c r="C9421" t="s">
        <v>40</v>
      </c>
      <c r="D9421">
        <v>4.8981409999999999</v>
      </c>
      <c r="E9421">
        <v>0.47715980000000002</v>
      </c>
      <c r="F9421" t="s">
        <v>85</v>
      </c>
      <c r="G9421">
        <v>-269.6103</v>
      </c>
      <c r="H9421" s="1">
        <v>-3.2196489999999999E-6</v>
      </c>
      <c r="I9421">
        <v>-59.867269999999998</v>
      </c>
      <c r="J9421">
        <v>-284.59809999999999</v>
      </c>
      <c r="K9421">
        <v>1.115918</v>
      </c>
      <c r="L9421">
        <v>-57.663879999999999</v>
      </c>
      <c r="M9421">
        <v>0.91439519999999996</v>
      </c>
      <c r="N9421">
        <v>0</v>
      </c>
      <c r="O9421">
        <v>-0.4046672</v>
      </c>
      <c r="P9421">
        <v>0.97758979999999995</v>
      </c>
      <c r="Q9421">
        <v>2.6322720000000001E-2</v>
      </c>
      <c r="R9421">
        <v>-0.20886689999999999</v>
      </c>
      <c r="S9421">
        <v>2.9805299999999999</v>
      </c>
      <c r="T9421">
        <v>-0.22016369999999999</v>
      </c>
      <c r="U9421">
        <v>-0.44430540000000002</v>
      </c>
      <c r="V9421">
        <v>-0.20513239999999999</v>
      </c>
      <c r="W9421">
        <v>3.4394460000000002E-2</v>
      </c>
      <c r="X9421">
        <v>0.97812969999999999</v>
      </c>
      <c r="Y9421">
        <v>-0.26373560000000001</v>
      </c>
      <c r="Z9421">
        <v>3.8481120000000001E-2</v>
      </c>
      <c r="AA9421">
        <v>0.96382710000000005</v>
      </c>
      <c r="AB9421">
        <v>25</v>
      </c>
      <c r="AC9421">
        <v>14.987799999999901</v>
      </c>
      <c r="AD9421">
        <v>-1.115921219649</v>
      </c>
      <c r="AE9421">
        <v>-2.20338999999999</v>
      </c>
      <c r="AF9421">
        <v>-4.0286957862747297</v>
      </c>
      <c r="AG9421">
        <v>-1.115921219649</v>
      </c>
      <c r="AH9421">
        <v>14.518548564730899</v>
      </c>
      <c r="AI9421">
        <v>94.2357781010504</v>
      </c>
      <c r="AJ9421">
        <v>105.50859639852099</v>
      </c>
      <c r="AK9421">
        <v>15.108405684692899</v>
      </c>
      <c r="AL9421">
        <v>88.028953845939</v>
      </c>
      <c r="AM9421">
        <v>101.844359140471</v>
      </c>
      <c r="AN9421">
        <v>0.99999999521527005</v>
      </c>
    </row>
    <row r="9422" spans="1:40" x14ac:dyDescent="0.25">
      <c r="A9422" t="str">
        <f>"20190312150909727"</f>
        <v>20190312150909727</v>
      </c>
      <c r="B9422" t="str">
        <f>"1552374549718922"</f>
        <v>1552374549718922</v>
      </c>
      <c r="C9422" t="s">
        <v>40</v>
      </c>
      <c r="D9422">
        <v>4.8127259999999996</v>
      </c>
      <c r="E9422">
        <v>0.47747990000000001</v>
      </c>
      <c r="F9422" t="s">
        <v>85</v>
      </c>
      <c r="G9422">
        <v>-269.51459999999997</v>
      </c>
      <c r="H9422" s="1">
        <v>-3.1785510000000001E-6</v>
      </c>
      <c r="I9422">
        <v>-59.867620000000002</v>
      </c>
      <c r="J9422">
        <v>-284.48790000000002</v>
      </c>
      <c r="K9422">
        <v>1.115847</v>
      </c>
      <c r="L9422">
        <v>-57.708280000000002</v>
      </c>
      <c r="M9422">
        <v>0.91600090000000001</v>
      </c>
      <c r="N9422">
        <v>0</v>
      </c>
      <c r="O9422">
        <v>-0.40102019999999999</v>
      </c>
      <c r="P9422">
        <v>0.97827489999999995</v>
      </c>
      <c r="Q9422">
        <v>2.6075890000000001E-2</v>
      </c>
      <c r="R9422">
        <v>-0.2056654</v>
      </c>
      <c r="S9422">
        <v>2.9816280000000002</v>
      </c>
      <c r="T9422">
        <v>-0.22059010000000001</v>
      </c>
      <c r="U9422">
        <v>-0.43563839999999998</v>
      </c>
      <c r="V9422">
        <v>-0.20442959999999999</v>
      </c>
      <c r="W9422">
        <v>3.4175240000000003E-2</v>
      </c>
      <c r="X9422">
        <v>0.9782845</v>
      </c>
      <c r="Y9422">
        <v>-0.26269120000000001</v>
      </c>
      <c r="Z9422">
        <v>3.8270039999999998E-2</v>
      </c>
      <c r="AA9422">
        <v>0.96412070000000005</v>
      </c>
      <c r="AB9422">
        <v>25</v>
      </c>
      <c r="AC9422">
        <v>14.9733</v>
      </c>
      <c r="AD9422">
        <v>-1.115850178551</v>
      </c>
      <c r="AE9422">
        <v>-2.15933999999999</v>
      </c>
      <c r="AF9422">
        <v>-4.0051006988129902</v>
      </c>
      <c r="AG9422">
        <v>-1.115850178551</v>
      </c>
      <c r="AH9422">
        <v>14.5035017507118</v>
      </c>
      <c r="AI9422">
        <v>94.241342174665505</v>
      </c>
      <c r="AJ9422">
        <v>105.437339134891</v>
      </c>
      <c r="AK9422">
        <v>15.0876610600021</v>
      </c>
      <c r="AL9422">
        <v>88.0415215966636</v>
      </c>
      <c r="AM9422">
        <v>101.803104432057</v>
      </c>
      <c r="AN9422">
        <v>0.99999998566273296</v>
      </c>
    </row>
    <row r="9423" spans="1:40" x14ac:dyDescent="0.25">
      <c r="A9423" t="str">
        <f>"20190312150909738"</f>
        <v>20190312150909738</v>
      </c>
      <c r="B9423" t="str">
        <f>"1552374549728683"</f>
        <v>1552374549728683</v>
      </c>
      <c r="C9423" t="s">
        <v>40</v>
      </c>
      <c r="D9423">
        <v>4.6594230000000003</v>
      </c>
      <c r="E9423">
        <v>0.47787580000000002</v>
      </c>
      <c r="F9423" t="s">
        <v>85</v>
      </c>
      <c r="G9423">
        <v>-269.4196</v>
      </c>
      <c r="H9423" s="1">
        <v>-3.1370300000000002E-6</v>
      </c>
      <c r="I9423">
        <v>-59.871850000000002</v>
      </c>
      <c r="J9423">
        <v>-284.36669999999998</v>
      </c>
      <c r="K9423">
        <v>1.115766</v>
      </c>
      <c r="L9423">
        <v>-57.75638</v>
      </c>
      <c r="M9423">
        <v>0.91771380000000002</v>
      </c>
      <c r="N9423">
        <v>0</v>
      </c>
      <c r="O9423">
        <v>-0.39708520000000003</v>
      </c>
      <c r="P9423">
        <v>0.97894590000000004</v>
      </c>
      <c r="Q9423">
        <v>2.6316340000000001E-2</v>
      </c>
      <c r="R9423">
        <v>-0.20241590000000001</v>
      </c>
      <c r="S9423">
        <v>2.982513</v>
      </c>
      <c r="T9423">
        <v>-0.22086310000000001</v>
      </c>
      <c r="U9423">
        <v>-0.4282532</v>
      </c>
      <c r="V9423">
        <v>-0.20347319999999999</v>
      </c>
      <c r="W9423">
        <v>3.4448779999999998E-2</v>
      </c>
      <c r="X9423">
        <v>0.97847430000000002</v>
      </c>
      <c r="Y9423">
        <v>-0.26094010000000001</v>
      </c>
      <c r="Z9423">
        <v>3.7986369999999998E-2</v>
      </c>
      <c r="AA9423">
        <v>0.96460729999999995</v>
      </c>
      <c r="AB9423">
        <v>25</v>
      </c>
      <c r="AC9423">
        <v>14.947099999999899</v>
      </c>
      <c r="AD9423">
        <v>-1.11576913703</v>
      </c>
      <c r="AE9423">
        <v>-2.11546999999999</v>
      </c>
      <c r="AF9423">
        <v>-3.9724244028963702</v>
      </c>
      <c r="AG9423">
        <v>-1.11576913703</v>
      </c>
      <c r="AH9423">
        <v>14.4789927078843</v>
      </c>
      <c r="AI9423">
        <v>94.250126237488502</v>
      </c>
      <c r="AJ9423">
        <v>105.342036619547</v>
      </c>
      <c r="AK9423">
        <v>15.0554417483793</v>
      </c>
      <c r="AL9423">
        <v>88.025839720290094</v>
      </c>
      <c r="AM9423">
        <v>101.74720777094799</v>
      </c>
      <c r="AN9423">
        <v>1.0000000086611001</v>
      </c>
    </row>
    <row r="9424" spans="1:40" x14ac:dyDescent="0.25">
      <c r="A9424" t="str">
        <f>"20190312150909751"</f>
        <v>20190312150909751</v>
      </c>
      <c r="B9424" t="str">
        <f>"1552374549739419"</f>
        <v>1552374549739419</v>
      </c>
      <c r="C9424" t="s">
        <v>40</v>
      </c>
      <c r="D9424">
        <v>4.6512640000000003</v>
      </c>
      <c r="E9424">
        <v>0.47826629999999998</v>
      </c>
      <c r="F9424" t="s">
        <v>85</v>
      </c>
      <c r="G9424">
        <v>-269.27809999999999</v>
      </c>
      <c r="H9424" s="1">
        <v>-3.0735599999999998E-6</v>
      </c>
      <c r="I9424">
        <v>-59.88738</v>
      </c>
      <c r="J9424">
        <v>-284.24299999999999</v>
      </c>
      <c r="K9424">
        <v>1.1156820000000001</v>
      </c>
      <c r="L9424">
        <v>-57.805019999999899</v>
      </c>
      <c r="M9424">
        <v>0.91941910000000004</v>
      </c>
      <c r="N9424">
        <v>0</v>
      </c>
      <c r="O9424">
        <v>-0.393121</v>
      </c>
      <c r="P9424">
        <v>0.97968219999999995</v>
      </c>
      <c r="Q9424">
        <v>2.6403840000000001E-2</v>
      </c>
      <c r="R9424">
        <v>-0.1988114</v>
      </c>
      <c r="S9424">
        <v>2.9833370000000001</v>
      </c>
      <c r="T9424">
        <v>-0.22061069999999999</v>
      </c>
      <c r="U9424">
        <v>-0.42135620000000001</v>
      </c>
      <c r="V9424">
        <v>-0.20284479999999999</v>
      </c>
      <c r="W9424">
        <v>3.4565070000000003E-2</v>
      </c>
      <c r="X9424">
        <v>0.97860069999999999</v>
      </c>
      <c r="Y9424">
        <v>-0.25901639999999998</v>
      </c>
      <c r="Z9424">
        <v>3.760368E-2</v>
      </c>
      <c r="AA9424">
        <v>0.96514060000000002</v>
      </c>
      <c r="AB9424">
        <v>25</v>
      </c>
      <c r="AC9424">
        <v>14.9649</v>
      </c>
      <c r="AD9424">
        <v>-1.1156850735599999</v>
      </c>
      <c r="AE9424">
        <v>-2.0823600000000102</v>
      </c>
      <c r="AF9424">
        <v>-3.9471792014048299</v>
      </c>
      <c r="AG9424">
        <v>-1.1156850735599999</v>
      </c>
      <c r="AH9424">
        <v>14.499480670408801</v>
      </c>
      <c r="AI9424">
        <v>94.246113727755898</v>
      </c>
      <c r="AJ9424">
        <v>105.228543170086</v>
      </c>
      <c r="AK9424">
        <v>15.068507442441801</v>
      </c>
      <c r="AL9424">
        <v>88.019172892761503</v>
      </c>
      <c r="AM9424">
        <v>101.71046078152401</v>
      </c>
      <c r="AN9424">
        <v>1.0000000434958101</v>
      </c>
    </row>
    <row r="9425" spans="1:40" x14ac:dyDescent="0.25">
      <c r="A9425" t="str">
        <f>"20190312150909762"</f>
        <v>20190312150909762</v>
      </c>
      <c r="B9425" t="str">
        <f>"1552374549758938"</f>
        <v>1552374549758938</v>
      </c>
      <c r="C9425" t="s">
        <v>40</v>
      </c>
      <c r="D9425">
        <v>4.6070379999999904</v>
      </c>
      <c r="E9425">
        <v>0.48618810000000001</v>
      </c>
      <c r="F9425" t="s">
        <v>42</v>
      </c>
      <c r="G9425">
        <v>-269.0761</v>
      </c>
      <c r="H9425" s="1">
        <v>-2.9835669999999998E-6</v>
      </c>
      <c r="I9425">
        <v>-59.906289999999998</v>
      </c>
      <c r="J9425">
        <v>-284.11360000000002</v>
      </c>
      <c r="K9425">
        <v>1.115599</v>
      </c>
      <c r="L9425">
        <v>-57.855469999999997</v>
      </c>
      <c r="M9425">
        <v>0.92116010000000004</v>
      </c>
      <c r="N9425">
        <v>0</v>
      </c>
      <c r="O9425">
        <v>-0.3890245</v>
      </c>
      <c r="P9425">
        <v>0.98038990000000004</v>
      </c>
      <c r="Q9425">
        <v>2.6723179999999999E-2</v>
      </c>
      <c r="R9425">
        <v>-0.19524759999999999</v>
      </c>
      <c r="S9425">
        <v>2.9841920000000002</v>
      </c>
      <c r="T9425">
        <v>-0.21951870000000001</v>
      </c>
      <c r="U9425">
        <v>-0.41345209999999999</v>
      </c>
      <c r="V9425">
        <v>-0.20204059999999999</v>
      </c>
      <c r="W9425">
        <v>3.4918190000000002E-2</v>
      </c>
      <c r="X9425">
        <v>0.97875449999999997</v>
      </c>
      <c r="Y9425">
        <v>-0.25729419999999997</v>
      </c>
      <c r="Z9425">
        <v>3.7079059999999997E-2</v>
      </c>
      <c r="AA9425">
        <v>0.96562150000000002</v>
      </c>
      <c r="AB9425">
        <v>25</v>
      </c>
      <c r="AC9425">
        <v>15.0375</v>
      </c>
      <c r="AD9425">
        <v>-1.1156019835669999</v>
      </c>
      <c r="AE9425">
        <v>-2.0508199999999999</v>
      </c>
      <c r="AF9425">
        <v>-3.9397799305291401</v>
      </c>
      <c r="AG9425">
        <v>-1.1156019835669999</v>
      </c>
      <c r="AH9425">
        <v>14.571935273513301</v>
      </c>
      <c r="AI9425">
        <v>94.226744749356996</v>
      </c>
      <c r="AJ9425">
        <v>105.129206942721</v>
      </c>
      <c r="AK9425">
        <v>15.136305074297301</v>
      </c>
      <c r="AL9425">
        <v>87.998928355111005</v>
      </c>
      <c r="AM9425">
        <v>101.66352539658</v>
      </c>
      <c r="AN9425">
        <v>1.0000000276557399</v>
      </c>
    </row>
    <row r="9426" spans="1:40" x14ac:dyDescent="0.25">
      <c r="A9426" t="str">
        <f>"20190312150909776"</f>
        <v>20190312150909776</v>
      </c>
      <c r="B9426" t="str">
        <f>"1552374549768697"</f>
        <v>1552374549768697</v>
      </c>
      <c r="C9426" t="s">
        <v>40</v>
      </c>
      <c r="D9426">
        <v>4.6482460000000003</v>
      </c>
      <c r="E9426">
        <v>0.48702269999999998</v>
      </c>
      <c r="F9426" t="s">
        <v>42</v>
      </c>
      <c r="G9426">
        <v>-268.35449999999997</v>
      </c>
      <c r="H9426" s="1">
        <v>-2.6007470000000002E-6</v>
      </c>
      <c r="I9426">
        <v>-60.319270000000003</v>
      </c>
      <c r="J9426">
        <v>-283.98039999999997</v>
      </c>
      <c r="K9426">
        <v>1.115513</v>
      </c>
      <c r="L9426">
        <v>-57.906489999999998</v>
      </c>
      <c r="M9426">
        <v>0.92288550000000003</v>
      </c>
      <c r="N9426">
        <v>0</v>
      </c>
      <c r="O9426">
        <v>-0.38491429999999999</v>
      </c>
      <c r="P9426">
        <v>0.98108510000000004</v>
      </c>
      <c r="Q9426">
        <v>2.6238910000000001E-2</v>
      </c>
      <c r="R9426">
        <v>-0.19179099999999999</v>
      </c>
      <c r="S9426">
        <v>2.9731749999999999</v>
      </c>
      <c r="T9426">
        <v>-0.2104741</v>
      </c>
      <c r="U9426">
        <v>-0.46484379999999997</v>
      </c>
      <c r="V9426">
        <v>-0.20111760000000001</v>
      </c>
      <c r="W9426">
        <v>3.4468800000000001E-2</v>
      </c>
      <c r="X9426">
        <v>0.97896050000000001</v>
      </c>
      <c r="Y9426">
        <v>-0.2362938</v>
      </c>
      <c r="Z9426">
        <v>3.4614180000000001E-2</v>
      </c>
      <c r="AA9426">
        <v>0.97106490000000001</v>
      </c>
      <c r="AB9426">
        <v>25</v>
      </c>
      <c r="AC9426">
        <v>15.6259</v>
      </c>
      <c r="AD9426">
        <v>-1.115515600747</v>
      </c>
      <c r="AE9426">
        <v>-2.4127799999999899</v>
      </c>
      <c r="AF9426">
        <v>-3.7693834592825799</v>
      </c>
      <c r="AG9426">
        <v>-1.115515600747</v>
      </c>
      <c r="AH9426">
        <v>15.2745447118015</v>
      </c>
      <c r="AI9426">
        <v>94.055710571414096</v>
      </c>
      <c r="AJ9426">
        <v>103.862229576719</v>
      </c>
      <c r="AK9426">
        <v>15.772264988626199</v>
      </c>
      <c r="AL9426">
        <v>88.0246920072493</v>
      </c>
      <c r="AM9426">
        <v>101.609315010289</v>
      </c>
      <c r="AN9426">
        <v>1.0000000238817199</v>
      </c>
    </row>
    <row r="9427" spans="1:40" x14ac:dyDescent="0.25">
      <c r="A9427" t="str">
        <f>"20190312150909789"</f>
        <v>20190312150909789</v>
      </c>
      <c r="B9427" t="str">
        <f>"1552374549779435"</f>
        <v>1552374549779435</v>
      </c>
      <c r="C9427" t="s">
        <v>40</v>
      </c>
      <c r="D9427">
        <v>4.8703570000000003</v>
      </c>
      <c r="E9427">
        <v>0.48748350000000001</v>
      </c>
      <c r="F9427" t="s">
        <v>85</v>
      </c>
      <c r="G9427">
        <v>-268.1764</v>
      </c>
      <c r="H9427" s="1">
        <v>-2.5178159999999999E-6</v>
      </c>
      <c r="I9427">
        <v>-60.356050000000003</v>
      </c>
      <c r="J9427">
        <v>-283.84070000000003</v>
      </c>
      <c r="K9427">
        <v>1.1154189999999999</v>
      </c>
      <c r="L9427">
        <v>-57.959589999999999</v>
      </c>
      <c r="M9427">
        <v>0.92464959999999996</v>
      </c>
      <c r="N9427">
        <v>0</v>
      </c>
      <c r="O9427">
        <v>-0.38065779999999999</v>
      </c>
      <c r="P9427">
        <v>0.98169819999999997</v>
      </c>
      <c r="Q9427">
        <v>2.6066880000000001E-2</v>
      </c>
      <c r="R9427">
        <v>-0.18865180000000001</v>
      </c>
      <c r="S9427">
        <v>2.9733890000000001</v>
      </c>
      <c r="T9427">
        <v>-0.20987500000000001</v>
      </c>
      <c r="U9427">
        <v>-0.46087650000000002</v>
      </c>
      <c r="V9427">
        <v>-0.19972870000000001</v>
      </c>
      <c r="W9427">
        <v>3.4339660000000001E-2</v>
      </c>
      <c r="X9427">
        <v>0.97924940000000005</v>
      </c>
      <c r="Y9427">
        <v>-0.23311670000000001</v>
      </c>
      <c r="Z9427">
        <v>3.4131929999999998E-2</v>
      </c>
      <c r="AA9427">
        <v>0.97184959999999998</v>
      </c>
      <c r="AB9427">
        <v>25</v>
      </c>
      <c r="AC9427">
        <v>15.664300000000001</v>
      </c>
      <c r="AD9427">
        <v>-1.1154215178160001</v>
      </c>
      <c r="AE9427">
        <v>-2.39645999999999</v>
      </c>
      <c r="AF9427">
        <v>-3.7286084420700099</v>
      </c>
      <c r="AG9427">
        <v>-1.1154215178160001</v>
      </c>
      <c r="AH9427">
        <v>15.3212543669468</v>
      </c>
      <c r="AI9427">
        <v>94.046228554089694</v>
      </c>
      <c r="AJ9427">
        <v>103.677721715386</v>
      </c>
      <c r="AK9427">
        <v>15.8078310167261</v>
      </c>
      <c r="AL9427">
        <v>88.032095670794305</v>
      </c>
      <c r="AM9427">
        <v>101.52798585144799</v>
      </c>
      <c r="AN9427">
        <v>1.0000000766264801</v>
      </c>
    </row>
    <row r="9428" spans="1:40" x14ac:dyDescent="0.25">
      <c r="A9428" t="str">
        <f>"20190312150909800"</f>
        <v>20190312150909800</v>
      </c>
      <c r="B9428" t="str">
        <f>"1552374549789194"</f>
        <v>1552374549789194</v>
      </c>
      <c r="C9428" t="s">
        <v>40</v>
      </c>
      <c r="D9428">
        <v>4.6230989999999998</v>
      </c>
      <c r="E9428">
        <v>0.48748350000000001</v>
      </c>
      <c r="F9428" t="s">
        <v>42</v>
      </c>
      <c r="G9428">
        <v>-268.05759999999998</v>
      </c>
      <c r="H9428" s="1">
        <v>-2.4637650000000001E-6</v>
      </c>
      <c r="I9428">
        <v>-60.373429999999999</v>
      </c>
      <c r="J9428">
        <v>-283.7115</v>
      </c>
      <c r="K9428">
        <v>1.115334</v>
      </c>
      <c r="L9428">
        <v>-58.008090000000003</v>
      </c>
      <c r="M9428">
        <v>0.92622800000000005</v>
      </c>
      <c r="N9428">
        <v>0</v>
      </c>
      <c r="O9428">
        <v>-0.3768012</v>
      </c>
      <c r="P9428">
        <v>0.98223970000000005</v>
      </c>
      <c r="Q9428">
        <v>2.6002620000000001E-2</v>
      </c>
      <c r="R9428">
        <v>-0.1858194</v>
      </c>
      <c r="S9428">
        <v>2.974091</v>
      </c>
      <c r="T9428">
        <v>-0.2101845</v>
      </c>
      <c r="U9428">
        <v>-0.4548645</v>
      </c>
      <c r="V9428">
        <v>-0.19846369999999999</v>
      </c>
      <c r="W9428">
        <v>3.4313440000000001E-2</v>
      </c>
      <c r="X9428">
        <v>0.97950740000000003</v>
      </c>
      <c r="Y9428">
        <v>-0.2310276</v>
      </c>
      <c r="Z9428">
        <v>3.3858270000000003E-2</v>
      </c>
      <c r="AA9428">
        <v>0.9723579</v>
      </c>
      <c r="AB9428">
        <v>26</v>
      </c>
      <c r="AC9428">
        <v>15.6539</v>
      </c>
      <c r="AD9428">
        <v>-1.1153364637650001</v>
      </c>
      <c r="AE9428">
        <v>-2.3653400000000002</v>
      </c>
      <c r="AF9428">
        <v>-3.6894797115992102</v>
      </c>
      <c r="AG9428">
        <v>-1.1153364637650001</v>
      </c>
      <c r="AH9428">
        <v>15.3152736715742</v>
      </c>
      <c r="AI9428">
        <v>94.049766018921105</v>
      </c>
      <c r="AJ9428">
        <v>103.544588149113</v>
      </c>
      <c r="AK9428">
        <v>15.7928415304188</v>
      </c>
      <c r="AL9428">
        <v>88.033598700202404</v>
      </c>
      <c r="AM9428">
        <v>101.45397099713</v>
      </c>
      <c r="AN9428">
        <v>0.99999999951854102</v>
      </c>
    </row>
    <row r="9429" spans="1:40" x14ac:dyDescent="0.25">
      <c r="A9429" t="str">
        <f>"20190312150909811"</f>
        <v>20190312150909811</v>
      </c>
      <c r="B9429" t="str">
        <f>"1552374549809220"</f>
        <v>1552374549809220</v>
      </c>
      <c r="C9429" t="s">
        <v>40</v>
      </c>
      <c r="D9429">
        <v>4.7432930000000004</v>
      </c>
      <c r="E9429">
        <v>0.4904734</v>
      </c>
      <c r="F9429" t="s">
        <v>85</v>
      </c>
      <c r="G9429">
        <v>-267.93400000000003</v>
      </c>
      <c r="H9429" s="1">
        <v>-2.4106330000000001E-6</v>
      </c>
      <c r="I9429">
        <v>-60.374020000000002</v>
      </c>
      <c r="J9429">
        <v>-283.60050000000001</v>
      </c>
      <c r="K9429">
        <v>1.115262</v>
      </c>
      <c r="L9429">
        <v>-58.049289999999999</v>
      </c>
      <c r="M9429">
        <v>0.92754159999999997</v>
      </c>
      <c r="N9429">
        <v>0</v>
      </c>
      <c r="O9429">
        <v>-0.37355699999999997</v>
      </c>
      <c r="P9429">
        <v>0.98258579999999995</v>
      </c>
      <c r="Q9429">
        <v>2.5784979999999999E-2</v>
      </c>
      <c r="R9429">
        <v>-0.1840125</v>
      </c>
      <c r="S9429">
        <v>2.9754330000000002</v>
      </c>
      <c r="T9429">
        <v>-0.21033840000000001</v>
      </c>
      <c r="U9429">
        <v>-0.44619750000000002</v>
      </c>
      <c r="V9429">
        <v>-0.1968299</v>
      </c>
      <c r="W9429">
        <v>3.4136159999999999E-2</v>
      </c>
      <c r="X9429">
        <v>0.97984320000000003</v>
      </c>
      <c r="Y9429">
        <v>-0.230464</v>
      </c>
      <c r="Z9429">
        <v>3.3647950000000003E-2</v>
      </c>
      <c r="AA9429">
        <v>0.972499</v>
      </c>
      <c r="AB9429">
        <v>26</v>
      </c>
      <c r="AC9429">
        <v>15.6664999999999</v>
      </c>
      <c r="AD9429">
        <v>-1.1152644106330001</v>
      </c>
      <c r="AE9429">
        <v>-2.32472999999999</v>
      </c>
      <c r="AF9429">
        <v>-3.6780343381582599</v>
      </c>
      <c r="AG9429">
        <v>-1.1152644106330001</v>
      </c>
      <c r="AH9429">
        <v>15.324699237251</v>
      </c>
      <c r="AI9429">
        <v>94.047843580405797</v>
      </c>
      <c r="AJ9429">
        <v>103.496109849886</v>
      </c>
      <c r="AK9429">
        <v>15.7993087826809</v>
      </c>
      <c r="AL9429">
        <v>88.043762034946297</v>
      </c>
      <c r="AM9429">
        <v>101.35834898388499</v>
      </c>
      <c r="AN9429">
        <v>0.99999999176989696</v>
      </c>
    </row>
    <row r="9430" spans="1:40" x14ac:dyDescent="0.25">
      <c r="A9430" t="str">
        <f>"20190312150909820"</f>
        <v>20190312150909820</v>
      </c>
      <c r="B9430" t="str">
        <f>"1552374549818980"</f>
        <v>1552374549818980</v>
      </c>
      <c r="C9430" t="s">
        <v>40</v>
      </c>
      <c r="D9430">
        <v>4.5698889999999999</v>
      </c>
      <c r="E9430">
        <v>0.47653640000000003</v>
      </c>
      <c r="F9430" t="s">
        <v>84</v>
      </c>
      <c r="G9430">
        <v>-270.61489999999998</v>
      </c>
      <c r="H9430" s="1">
        <v>5.118875E-7</v>
      </c>
      <c r="I9430">
        <v>-60.066879999999998</v>
      </c>
      <c r="J9430">
        <v>-283.49259999999998</v>
      </c>
      <c r="K9430">
        <v>1.1151879999999901</v>
      </c>
      <c r="L9430">
        <v>-58.089080000000003</v>
      </c>
      <c r="M9430">
        <v>0.92879489999999998</v>
      </c>
      <c r="N9430">
        <v>0</v>
      </c>
      <c r="O9430">
        <v>-0.37043009999999998</v>
      </c>
      <c r="P9430">
        <v>0.98284539999999998</v>
      </c>
      <c r="Q9430">
        <v>2.6372E-2</v>
      </c>
      <c r="R9430">
        <v>-0.18253639999999999</v>
      </c>
      <c r="S9430">
        <v>2.9733580000000002</v>
      </c>
      <c r="T9430">
        <v>-0.25536510000000001</v>
      </c>
      <c r="U9430">
        <v>-0.46197510000000003</v>
      </c>
      <c r="V9430">
        <v>-0.19499430000000001</v>
      </c>
      <c r="W9430">
        <v>3.4764740000000002E-2</v>
      </c>
      <c r="X9430">
        <v>0.98018810000000001</v>
      </c>
      <c r="Y9430">
        <v>-0.22140589999999999</v>
      </c>
      <c r="Z9430">
        <v>4.0198209999999998E-2</v>
      </c>
      <c r="AA9430">
        <v>0.97435289999999997</v>
      </c>
      <c r="AB9430">
        <v>26</v>
      </c>
      <c r="AC9430">
        <v>12.877700000000001</v>
      </c>
      <c r="AD9430">
        <v>-1.1151874881124999</v>
      </c>
      <c r="AE9430">
        <v>-1.9778</v>
      </c>
      <c r="AF9430">
        <v>-2.9121596556413301</v>
      </c>
      <c r="AG9430">
        <v>-1.1151874881124999</v>
      </c>
      <c r="AH9430">
        <v>12.6018236737224</v>
      </c>
      <c r="AI9430">
        <v>94.927959607373595</v>
      </c>
      <c r="AJ9430">
        <v>103.01208325345399</v>
      </c>
      <c r="AK9430">
        <v>12.9819211558682</v>
      </c>
      <c r="AL9430">
        <v>88.007725753734405</v>
      </c>
      <c r="AM9430">
        <v>101.251280024423</v>
      </c>
      <c r="AN9430">
        <v>1.0000000377806799</v>
      </c>
    </row>
    <row r="9431" spans="1:40" x14ac:dyDescent="0.25">
      <c r="A9431" t="str">
        <f>"20190312150909831"</f>
        <v>20190312150909831</v>
      </c>
      <c r="B9431" t="str">
        <f>"1552374549818980"</f>
        <v>1552374549818980</v>
      </c>
      <c r="C9431" t="s">
        <v>40</v>
      </c>
      <c r="D9431">
        <v>4.5698889999999999</v>
      </c>
      <c r="E9431">
        <v>0.47653640000000003</v>
      </c>
      <c r="F9431" t="s">
        <v>42</v>
      </c>
      <c r="G9431">
        <v>-261.93619999999999</v>
      </c>
      <c r="H9431" s="1">
        <v>9.8576550000000005E-8</v>
      </c>
      <c r="I9431">
        <v>-60.63</v>
      </c>
      <c r="J9431">
        <v>-283.3922</v>
      </c>
      <c r="K9431">
        <v>1.11512099999999</v>
      </c>
      <c r="L9431">
        <v>-58.125639999999997</v>
      </c>
      <c r="M9431">
        <v>0.92992410000000003</v>
      </c>
      <c r="N9431">
        <v>0</v>
      </c>
      <c r="O9431">
        <v>-0.36758649999999998</v>
      </c>
      <c r="P9431">
        <v>0.98309939999999996</v>
      </c>
      <c r="Q9431">
        <v>2.6700399999999999E-2</v>
      </c>
      <c r="R9431">
        <v>-0.181115</v>
      </c>
      <c r="S9431">
        <v>2.991028</v>
      </c>
      <c r="T9431">
        <v>-0.15473589999999901</v>
      </c>
      <c r="U9431">
        <v>-0.35256959999999998</v>
      </c>
      <c r="V9431">
        <v>-0.1934071</v>
      </c>
      <c r="W9431">
        <v>3.5130250000000002E-2</v>
      </c>
      <c r="X9431">
        <v>0.98048939999999996</v>
      </c>
      <c r="Y9431">
        <v>-0.25541740000000002</v>
      </c>
      <c r="Z9431">
        <v>2.507448E-2</v>
      </c>
      <c r="AA9431">
        <v>0.96650570000000002</v>
      </c>
      <c r="AB9431">
        <v>26</v>
      </c>
      <c r="AC9431">
        <v>21.456</v>
      </c>
      <c r="AD9431">
        <v>-1.11512090142344</v>
      </c>
      <c r="AE9431">
        <v>-2.5043599999999899</v>
      </c>
      <c r="AF9431">
        <v>-5.5436355947492899</v>
      </c>
      <c r="AG9431">
        <v>-1.11512090142344</v>
      </c>
      <c r="AH9431">
        <v>20.818808228523601</v>
      </c>
      <c r="AI9431">
        <v>92.962960368555699</v>
      </c>
      <c r="AJ9431">
        <v>104.91074023164801</v>
      </c>
      <c r="AK9431">
        <v>21.573088937104199</v>
      </c>
      <c r="AL9431">
        <v>87.986770601227093</v>
      </c>
      <c r="AM9431">
        <v>101.15866246475299</v>
      </c>
      <c r="AN9431">
        <v>0.99999995215391502</v>
      </c>
    </row>
    <row r="9432" spans="1:40" x14ac:dyDescent="0.25">
      <c r="A9432" t="str">
        <f>"20190312150909840"</f>
        <v>20190312150909840</v>
      </c>
      <c r="B9432" t="str">
        <f>"1552374549828741"</f>
        <v>1552374549828741</v>
      </c>
      <c r="C9432" t="s">
        <v>40</v>
      </c>
      <c r="D9432">
        <v>4.5789099999999996</v>
      </c>
      <c r="E9432">
        <v>0.4732208</v>
      </c>
      <c r="F9432" t="s">
        <v>42</v>
      </c>
      <c r="G9432">
        <v>-261.70030000000003</v>
      </c>
      <c r="H9432" s="1">
        <v>1.9405860000000001E-7</v>
      </c>
      <c r="I9432">
        <v>-60.651339999999998</v>
      </c>
      <c r="J9432">
        <v>-283.2903</v>
      </c>
      <c r="K9432">
        <v>1.1150519999999999</v>
      </c>
      <c r="L9432">
        <v>-58.162599999999998</v>
      </c>
      <c r="M9432">
        <v>0.93105119999999997</v>
      </c>
      <c r="N9432">
        <v>0</v>
      </c>
      <c r="O9432">
        <v>-0.36472349999999998</v>
      </c>
      <c r="P9432">
        <v>0.98337430000000003</v>
      </c>
      <c r="Q9432">
        <v>2.6935690000000002E-2</v>
      </c>
      <c r="R9432">
        <v>-0.17958209999999999</v>
      </c>
      <c r="S9432">
        <v>2.9915159999999998</v>
      </c>
      <c r="T9432">
        <v>-0.15378610000000001</v>
      </c>
      <c r="U9432">
        <v>-0.34832760000000001</v>
      </c>
      <c r="V9432">
        <v>-0.19191220000000001</v>
      </c>
      <c r="W9432">
        <v>3.5400929999999997E-2</v>
      </c>
      <c r="X9432">
        <v>0.98077340000000002</v>
      </c>
      <c r="Y9432">
        <v>-0.253828</v>
      </c>
      <c r="Z9432">
        <v>2.4742529999999999E-2</v>
      </c>
      <c r="AA9432">
        <v>0.96693280000000004</v>
      </c>
      <c r="AB9432">
        <v>26</v>
      </c>
      <c r="AC9432">
        <v>21.5899999999999</v>
      </c>
      <c r="AD9432">
        <v>-1.1150518059413901</v>
      </c>
      <c r="AE9432">
        <v>-2.48874</v>
      </c>
      <c r="AF9432">
        <v>-5.5429793227762403</v>
      </c>
      <c r="AG9432">
        <v>-1.1150518059413901</v>
      </c>
      <c r="AH9432">
        <v>20.955200082941101</v>
      </c>
      <c r="AI9432">
        <v>92.944812918813895</v>
      </c>
      <c r="AJ9432">
        <v>104.816296123702</v>
      </c>
      <c r="AK9432">
        <v>21.704570274915699</v>
      </c>
      <c r="AL9432">
        <v>87.971252203288998</v>
      </c>
      <c r="AM9432">
        <v>101.071426462375</v>
      </c>
      <c r="AN9432">
        <v>0.99999999025063202</v>
      </c>
    </row>
    <row r="9433" spans="1:40" x14ac:dyDescent="0.25">
      <c r="A9433" t="str">
        <f>"20190312150909851"</f>
        <v>20190312150909851</v>
      </c>
      <c r="B9433" t="str">
        <f>"1552374549838501"</f>
        <v>1552374549838501</v>
      </c>
      <c r="C9433" t="s">
        <v>40</v>
      </c>
      <c r="D9433">
        <v>4.9047619999999998</v>
      </c>
      <c r="E9433">
        <v>0.47138829999999998</v>
      </c>
      <c r="F9433" t="s">
        <v>42</v>
      </c>
      <c r="G9433">
        <v>-262.45240000000001</v>
      </c>
      <c r="H9433" s="1">
        <v>-6.0088720000000006E-8</v>
      </c>
      <c r="I9433">
        <v>-60.368070000000003</v>
      </c>
      <c r="J9433">
        <v>-283.18419999999998</v>
      </c>
      <c r="K9433">
        <v>1.1149789999999999</v>
      </c>
      <c r="L9433">
        <v>-58.200650000000003</v>
      </c>
      <c r="M9433">
        <v>0.93218840000000003</v>
      </c>
      <c r="N9433">
        <v>0</v>
      </c>
      <c r="O9433">
        <v>-0.3618073</v>
      </c>
      <c r="P9433">
        <v>0.98363259999999997</v>
      </c>
      <c r="Q9433">
        <v>2.7083779999999998E-2</v>
      </c>
      <c r="R9433">
        <v>-0.178139299999999</v>
      </c>
      <c r="S9433">
        <v>2.9971920000000001</v>
      </c>
      <c r="T9433">
        <v>-0.160382</v>
      </c>
      <c r="U9433">
        <v>-0.31723020000000002</v>
      </c>
      <c r="V9433">
        <v>-0.1902739</v>
      </c>
      <c r="W9433">
        <v>3.5587260000000003E-2</v>
      </c>
      <c r="X9433">
        <v>0.98108580000000001</v>
      </c>
      <c r="Y9433">
        <v>-0.26084160000000001</v>
      </c>
      <c r="Z9433">
        <v>2.5819149999999999E-2</v>
      </c>
      <c r="AA9433">
        <v>0.96503629999999996</v>
      </c>
      <c r="AB9433">
        <v>26</v>
      </c>
      <c r="AC9433">
        <v>20.7317999999999</v>
      </c>
      <c r="AD9433">
        <v>-1.1149790600887199</v>
      </c>
      <c r="AE9433">
        <v>-2.1674199999999901</v>
      </c>
      <c r="AF9433">
        <v>-5.46516580421582</v>
      </c>
      <c r="AG9433">
        <v>-1.1149790600887199</v>
      </c>
      <c r="AH9433">
        <v>20.053964120894399</v>
      </c>
      <c r="AI9433">
        <v>93.070552932160794</v>
      </c>
      <c r="AJ9433">
        <v>105.244222692598</v>
      </c>
      <c r="AK9433">
        <v>20.815203398817101</v>
      </c>
      <c r="AL9433">
        <v>87.960569525367205</v>
      </c>
      <c r="AM9433">
        <v>100.975807956626</v>
      </c>
      <c r="AN9433">
        <v>0.99999997852857803</v>
      </c>
    </row>
    <row r="9434" spans="1:40" x14ac:dyDescent="0.25">
      <c r="A9434" t="str">
        <f>"20190312150909860"</f>
        <v>20190312150909860</v>
      </c>
      <c r="B9434" t="str">
        <f>"1552374549849237"</f>
        <v>1552374549849237</v>
      </c>
      <c r="C9434" t="s">
        <v>40</v>
      </c>
      <c r="D9434">
        <v>4.9903649999999997</v>
      </c>
      <c r="E9434">
        <v>0.47042679999999998</v>
      </c>
      <c r="F9434" t="s">
        <v>85</v>
      </c>
      <c r="G9434">
        <v>-262.98759999999999</v>
      </c>
      <c r="H9434" s="1">
        <v>-3.1821630000000002E-7</v>
      </c>
      <c r="I9434">
        <v>-60.207320000000003</v>
      </c>
      <c r="J9434">
        <v>-283.0763</v>
      </c>
      <c r="K9434">
        <v>1.1149039999999999</v>
      </c>
      <c r="L9434">
        <v>-58.239109999999997</v>
      </c>
      <c r="M9434">
        <v>0.93332110000000001</v>
      </c>
      <c r="N9434">
        <v>0</v>
      </c>
      <c r="O9434">
        <v>-0.35887609999999998</v>
      </c>
      <c r="P9434">
        <v>0.98394349999999997</v>
      </c>
      <c r="Q9434">
        <v>2.737146E-2</v>
      </c>
      <c r="R9434">
        <v>-0.17636969999999999</v>
      </c>
      <c r="S9434">
        <v>3.0004580000000001</v>
      </c>
      <c r="T9434">
        <v>-0.1656444</v>
      </c>
      <c r="U9434">
        <v>-0.29812620000000001</v>
      </c>
      <c r="V9434">
        <v>-0.18894900000000001</v>
      </c>
      <c r="W9434">
        <v>3.5909389999999999E-2</v>
      </c>
      <c r="X9434">
        <v>0.98133009999999998</v>
      </c>
      <c r="Y9434">
        <v>-0.26394060000000003</v>
      </c>
      <c r="Z9434">
        <v>2.6584690000000001E-2</v>
      </c>
      <c r="AA9434">
        <v>0.96417249999999999</v>
      </c>
      <c r="AB9434">
        <v>26</v>
      </c>
      <c r="AC9434">
        <v>20.088699999999999</v>
      </c>
      <c r="AD9434">
        <v>-1.1149043182163001</v>
      </c>
      <c r="AE9434">
        <v>-1.96820999999999</v>
      </c>
      <c r="AF9434">
        <v>-5.3563623512509597</v>
      </c>
      <c r="AG9434">
        <v>-1.1149043182163001</v>
      </c>
      <c r="AH9434">
        <v>19.3975361333579</v>
      </c>
      <c r="AI9434">
        <v>93.171122849289702</v>
      </c>
      <c r="AJ9434">
        <v>105.43675729572399</v>
      </c>
      <c r="AK9434">
        <v>20.154355294119501</v>
      </c>
      <c r="AL9434">
        <v>87.942101048323494</v>
      </c>
      <c r="AM9434">
        <v>100.898570512419</v>
      </c>
      <c r="AN9434">
        <v>0.99999998702859005</v>
      </c>
    </row>
    <row r="9435" spans="1:40" x14ac:dyDescent="0.25">
      <c r="A9435" t="str">
        <f>"20190312150909872"</f>
        <v>20190312150909872</v>
      </c>
      <c r="B9435" t="str">
        <f>"1552374549868756"</f>
        <v>1552374549868756</v>
      </c>
      <c r="C9435" t="s">
        <v>40</v>
      </c>
      <c r="D9435">
        <v>4.8430519999999904</v>
      </c>
      <c r="E9435">
        <v>0.46949869999999999</v>
      </c>
      <c r="F9435" t="s">
        <v>85</v>
      </c>
      <c r="G9435">
        <v>-263.11189999999999</v>
      </c>
      <c r="H9435" s="1">
        <v>-3.8457860000000002E-7</v>
      </c>
      <c r="I9435">
        <v>-60.133870000000002</v>
      </c>
      <c r="J9435">
        <v>-282.94940000000003</v>
      </c>
      <c r="K9435">
        <v>1.1148169999999999</v>
      </c>
      <c r="L9435">
        <v>-58.283749999999998</v>
      </c>
      <c r="M9435">
        <v>0.93460880000000002</v>
      </c>
      <c r="N9435">
        <v>0</v>
      </c>
      <c r="O9435">
        <v>-0.35550979999999999</v>
      </c>
      <c r="P9435">
        <v>0.98420779999999997</v>
      </c>
      <c r="Q9435">
        <v>2.7161629999999999E-2</v>
      </c>
      <c r="R9435">
        <v>-0.17492149999999901</v>
      </c>
      <c r="S9435">
        <v>3.0025330000000001</v>
      </c>
      <c r="T9435">
        <v>-0.16767560000000001</v>
      </c>
      <c r="U9435">
        <v>-0.28497309999999998</v>
      </c>
      <c r="V9435">
        <v>-0.1868467</v>
      </c>
      <c r="W9435">
        <v>3.5746880000000002E-2</v>
      </c>
      <c r="X9435">
        <v>0.98173849999999996</v>
      </c>
      <c r="Y9435">
        <v>-0.26469619999999999</v>
      </c>
      <c r="Z9435">
        <v>2.6746450000000001E-2</v>
      </c>
      <c r="AA9435">
        <v>0.96396090000000001</v>
      </c>
      <c r="AB9435">
        <v>26</v>
      </c>
      <c r="AC9435">
        <v>19.837499999999999</v>
      </c>
      <c r="AD9435">
        <v>-1.1148173845786</v>
      </c>
      <c r="AE9435">
        <v>-1.85011999999999</v>
      </c>
      <c r="AF9435">
        <v>-5.3069886767835097</v>
      </c>
      <c r="AG9435">
        <v>-1.1148173845786</v>
      </c>
      <c r="AH9435">
        <v>19.139258366124199</v>
      </c>
      <c r="AI9435">
        <v>93.212631896479493</v>
      </c>
      <c r="AJ9435">
        <v>105.497783273511</v>
      </c>
      <c r="AK9435">
        <v>19.892665920427099</v>
      </c>
      <c r="AL9435">
        <v>87.9514182054602</v>
      </c>
      <c r="AM9435">
        <v>100.77578740197301</v>
      </c>
      <c r="AN9435">
        <v>1.00000000555643</v>
      </c>
    </row>
    <row r="9436" spans="1:40" x14ac:dyDescent="0.25">
      <c r="A9436" t="str">
        <f>"20190312150909883"</f>
        <v>20190312150909883</v>
      </c>
      <c r="B9436" t="str">
        <f>"1552374549878516"</f>
        <v>1552374549878516</v>
      </c>
      <c r="C9436" t="s">
        <v>40</v>
      </c>
      <c r="D9436">
        <v>4.5641100000000003</v>
      </c>
      <c r="E9436">
        <v>0.46947709999999998</v>
      </c>
      <c r="F9436" t="s">
        <v>42</v>
      </c>
      <c r="G9436">
        <v>-263.62310000000002</v>
      </c>
      <c r="H9436" s="1">
        <v>-6.2063689999999996E-7</v>
      </c>
      <c r="I9436">
        <v>-60.039459999999998</v>
      </c>
      <c r="J9436">
        <v>-282.83260000000001</v>
      </c>
      <c r="K9436">
        <v>1.1147359999999999</v>
      </c>
      <c r="L9436">
        <v>-58.324710000000003</v>
      </c>
      <c r="M9436">
        <v>0.93577149999999998</v>
      </c>
      <c r="N9436">
        <v>0</v>
      </c>
      <c r="O9436">
        <v>-0.3524388</v>
      </c>
      <c r="P9436">
        <v>0.98450859999999996</v>
      </c>
      <c r="Q9436">
        <v>2.751367E-2</v>
      </c>
      <c r="R9436">
        <v>-0.17316609999999999</v>
      </c>
      <c r="S9436">
        <v>3.0044249999999999</v>
      </c>
      <c r="T9436">
        <v>-0.173307399999999</v>
      </c>
      <c r="U9436">
        <v>-0.2729492</v>
      </c>
      <c r="V9436">
        <v>-0.185366</v>
      </c>
      <c r="W9436">
        <v>3.6136689999999999E-2</v>
      </c>
      <c r="X9436">
        <v>0.98200489999999996</v>
      </c>
      <c r="Y9436">
        <v>-0.26535249999999999</v>
      </c>
      <c r="Z9436">
        <v>2.7487589999999999E-2</v>
      </c>
      <c r="AA9436">
        <v>0.96375949999999999</v>
      </c>
      <c r="AB9436">
        <v>26</v>
      </c>
      <c r="AC9436">
        <v>19.209499999999899</v>
      </c>
      <c r="AD9436">
        <v>-1.1147366206368901</v>
      </c>
      <c r="AE9436">
        <v>-1.71475</v>
      </c>
      <c r="AF9436">
        <v>-5.14866402110043</v>
      </c>
      <c r="AG9436">
        <v>-1.1147366206368901</v>
      </c>
      <c r="AH9436">
        <v>18.5192775382299</v>
      </c>
      <c r="AI9436">
        <v>93.319080110777705</v>
      </c>
      <c r="AJ9436">
        <v>105.536806189532</v>
      </c>
      <c r="AK9436">
        <v>19.2539611372192</v>
      </c>
      <c r="AL9436">
        <v>87.929069325467793</v>
      </c>
      <c r="AM9436">
        <v>100.689535400295</v>
      </c>
      <c r="AN9436">
        <v>1.0000000189720799</v>
      </c>
    </row>
    <row r="9437" spans="1:40" x14ac:dyDescent="0.25">
      <c r="A9437" t="str">
        <f>"20190312150909895"</f>
        <v>20190312150909895</v>
      </c>
      <c r="B9437" t="str">
        <f>"1552374549889252"</f>
        <v>1552374549889252</v>
      </c>
      <c r="C9437" t="s">
        <v>40</v>
      </c>
      <c r="D9437">
        <v>4.5759639999999999</v>
      </c>
      <c r="E9437">
        <v>0.46945239999999999</v>
      </c>
      <c r="F9437" t="s">
        <v>42</v>
      </c>
      <c r="G9437">
        <v>-263.53519999999997</v>
      </c>
      <c r="H9437" s="1">
        <v>-5.8252530000000001E-7</v>
      </c>
      <c r="I9437">
        <v>-60.041759999999996</v>
      </c>
      <c r="J9437">
        <v>-282.70740000000001</v>
      </c>
      <c r="K9437">
        <v>1.1146450000000001</v>
      </c>
      <c r="L9437">
        <v>-58.367919999999998</v>
      </c>
      <c r="M9437">
        <v>0.93696429999999997</v>
      </c>
      <c r="N9437">
        <v>0</v>
      </c>
      <c r="O9437">
        <v>-0.3492557</v>
      </c>
      <c r="P9437">
        <v>0.98478049999999995</v>
      </c>
      <c r="Q9437">
        <v>2.7656190000000001E-2</v>
      </c>
      <c r="R9437">
        <v>-0.17158899999999999</v>
      </c>
      <c r="S9437">
        <v>3.0050349999999999</v>
      </c>
      <c r="T9437">
        <v>-0.17358979999999999</v>
      </c>
      <c r="U9437">
        <v>-0.26739499999999999</v>
      </c>
      <c r="V9437">
        <v>-0.18359259999999999</v>
      </c>
      <c r="W9437">
        <v>3.632063E-2</v>
      </c>
      <c r="X9437">
        <v>0.98233119999999996</v>
      </c>
      <c r="Y9437">
        <v>-0.26386419999999999</v>
      </c>
      <c r="Z9437">
        <v>2.7315269999999999E-2</v>
      </c>
      <c r="AA9437">
        <v>0.96417299999999995</v>
      </c>
      <c r="AB9437">
        <v>26</v>
      </c>
      <c r="AC9437">
        <v>19.1722</v>
      </c>
      <c r="AD9437">
        <v>-1.1146455825253001</v>
      </c>
      <c r="AE9437">
        <v>-1.67383999999999</v>
      </c>
      <c r="AF9437">
        <v>-5.11083083562617</v>
      </c>
      <c r="AG9437">
        <v>-1.1146455825253001</v>
      </c>
      <c r="AH9437">
        <v>18.487346469336501</v>
      </c>
      <c r="AI9437">
        <v>93.325866802746205</v>
      </c>
      <c r="AJ9437">
        <v>105.45347159390199</v>
      </c>
      <c r="AK9437">
        <v>19.2131466991308</v>
      </c>
      <c r="AL9437">
        <v>87.918523395503698</v>
      </c>
      <c r="AM9437">
        <v>100.58615424265101</v>
      </c>
      <c r="AN9437">
        <v>1.00000000871589</v>
      </c>
    </row>
    <row r="9438" spans="1:40" x14ac:dyDescent="0.25">
      <c r="A9438" t="str">
        <f>"20190312150909907"</f>
        <v>20190312150909907</v>
      </c>
      <c r="B9438" t="str">
        <f>"1552374549899217"</f>
        <v>1552374549899217</v>
      </c>
      <c r="C9438" t="s">
        <v>40</v>
      </c>
      <c r="D9438">
        <v>4.791175</v>
      </c>
      <c r="E9438">
        <v>0.4694005</v>
      </c>
      <c r="F9438" t="s">
        <v>85</v>
      </c>
      <c r="G9438">
        <v>-263.33569999999997</v>
      </c>
      <c r="H9438" s="1">
        <v>-4.9374460000000004E-7</v>
      </c>
      <c r="I9438">
        <v>-60.059660000000001</v>
      </c>
      <c r="J9438">
        <v>-282.58870000000002</v>
      </c>
      <c r="K9438">
        <v>1.114565</v>
      </c>
      <c r="L9438">
        <v>-58.408749999999998</v>
      </c>
      <c r="M9438">
        <v>0.9380752</v>
      </c>
      <c r="N9438">
        <v>0</v>
      </c>
      <c r="O9438">
        <v>-0.34626089999999998</v>
      </c>
      <c r="P9438">
        <v>0.98508260000000003</v>
      </c>
      <c r="Q9438">
        <v>2.7797100000000002E-2</v>
      </c>
      <c r="R9438">
        <v>-0.16982139999999901</v>
      </c>
      <c r="S9438">
        <v>3.005493</v>
      </c>
      <c r="T9438">
        <v>-0.17293549999999999</v>
      </c>
      <c r="U9438">
        <v>-0.26248169999999998</v>
      </c>
      <c r="V9438">
        <v>-0.18220939999999999</v>
      </c>
      <c r="W9438">
        <v>3.6497420000000003E-2</v>
      </c>
      <c r="X9438">
        <v>0.98258219999999996</v>
      </c>
      <c r="Y9438">
        <v>-0.26237480000000002</v>
      </c>
      <c r="Z9438">
        <v>2.7007079999999999E-2</v>
      </c>
      <c r="AA9438">
        <v>0.964588</v>
      </c>
      <c r="AB9438">
        <v>26</v>
      </c>
      <c r="AC9438">
        <v>19.253</v>
      </c>
      <c r="AD9438">
        <v>-1.1145654937445999</v>
      </c>
      <c r="AE9438">
        <v>-1.6509100000000001</v>
      </c>
      <c r="AF9438">
        <v>-5.1012151892576902</v>
      </c>
      <c r="AG9438">
        <v>-1.1145654937445999</v>
      </c>
      <c r="AH9438">
        <v>18.5717244099881</v>
      </c>
      <c r="AI9438">
        <v>93.312053483804206</v>
      </c>
      <c r="AJ9438">
        <v>105.359014739041</v>
      </c>
      <c r="AK9438">
        <v>19.2918013727984</v>
      </c>
      <c r="AL9438">
        <v>87.908387447814505</v>
      </c>
      <c r="AM9438">
        <v>100.505555845578</v>
      </c>
      <c r="AN9438">
        <v>1.0000000534359199</v>
      </c>
    </row>
    <row r="9439" spans="1:40" x14ac:dyDescent="0.25">
      <c r="A9439" t="str">
        <f>"20190312150909917"</f>
        <v>20190312150909917</v>
      </c>
      <c r="B9439" t="str">
        <f>"1552374549908772"</f>
        <v>1552374549908772</v>
      </c>
      <c r="C9439" t="s">
        <v>40</v>
      </c>
      <c r="D9439">
        <v>4.568276</v>
      </c>
      <c r="E9439">
        <v>0.46945189999999998</v>
      </c>
      <c r="F9439" t="s">
        <v>42</v>
      </c>
      <c r="G9439">
        <v>-263.29399999999998</v>
      </c>
      <c r="H9439" s="1">
        <v>-4.7638119999999999E-7</v>
      </c>
      <c r="I9439">
        <v>-60.056820000000002</v>
      </c>
      <c r="J9439">
        <v>-282.46699999999998</v>
      </c>
      <c r="K9439">
        <v>1.1144810000000001</v>
      </c>
      <c r="L9439">
        <v>-58.450040000000001</v>
      </c>
      <c r="M9439">
        <v>0.93916860000000002</v>
      </c>
      <c r="N9439">
        <v>0</v>
      </c>
      <c r="O9439">
        <v>-0.34328560000000002</v>
      </c>
      <c r="P9439">
        <v>0.9853267</v>
      </c>
      <c r="Q9439">
        <v>2.802238E-2</v>
      </c>
      <c r="R9439">
        <v>-0.1683635</v>
      </c>
      <c r="S9439">
        <v>3.0060730000000002</v>
      </c>
      <c r="T9439">
        <v>-0.173647</v>
      </c>
      <c r="U9439">
        <v>-0.25677489999999997</v>
      </c>
      <c r="V9439">
        <v>-0.1805399</v>
      </c>
      <c r="W9439">
        <v>3.6761879999999997E-2</v>
      </c>
      <c r="X9439">
        <v>0.98288039999999999</v>
      </c>
      <c r="Y9439">
        <v>-0.26114860000000001</v>
      </c>
      <c r="Z9439">
        <v>2.691961E-2</v>
      </c>
      <c r="AA9439">
        <v>0.96492319999999998</v>
      </c>
      <c r="AB9439">
        <v>26</v>
      </c>
      <c r="AC9439">
        <v>19.172999999999899</v>
      </c>
      <c r="AD9439">
        <v>-1.1144814763811901</v>
      </c>
      <c r="AE9439">
        <v>-1.6067799999999901</v>
      </c>
      <c r="AF9439">
        <v>-5.0561105630540499</v>
      </c>
      <c r="AG9439">
        <v>-1.1144814763811901</v>
      </c>
      <c r="AH9439">
        <v>18.497289685597</v>
      </c>
      <c r="AI9439">
        <v>93.326228973007005</v>
      </c>
      <c r="AJ9439">
        <v>105.28796680861601</v>
      </c>
      <c r="AK9439">
        <v>19.208228671585399</v>
      </c>
      <c r="AL9439">
        <v>87.893224689120004</v>
      </c>
      <c r="AM9439">
        <v>100.408322984598</v>
      </c>
      <c r="AN9439">
        <v>0.99999998600865203</v>
      </c>
    </row>
    <row r="9440" spans="1:40" x14ac:dyDescent="0.25">
      <c r="A9440" t="str">
        <f>"20190312150909928"</f>
        <v>20190312150909928</v>
      </c>
      <c r="B9440" t="str">
        <f>"1552374549919510"</f>
        <v>1552374549919510</v>
      </c>
      <c r="C9440" t="s">
        <v>40</v>
      </c>
      <c r="D9440">
        <v>4.7246319999999997</v>
      </c>
      <c r="E9440">
        <v>0.46930739999999999</v>
      </c>
      <c r="F9440" t="s">
        <v>42</v>
      </c>
      <c r="G9440">
        <v>-263.0804</v>
      </c>
      <c r="H9440" s="1">
        <v>-3.8070610000000001E-7</v>
      </c>
      <c r="I9440">
        <v>-60.079610000000002</v>
      </c>
      <c r="J9440">
        <v>-282.3501</v>
      </c>
      <c r="K9440">
        <v>1.114401</v>
      </c>
      <c r="L9440">
        <v>-58.4895</v>
      </c>
      <c r="M9440">
        <v>0.94019600000000003</v>
      </c>
      <c r="N9440">
        <v>0</v>
      </c>
      <c r="O9440">
        <v>-0.34046179999999998</v>
      </c>
      <c r="P9440">
        <v>0.98560669999999995</v>
      </c>
      <c r="Q9440">
        <v>2.8288839999999999E-2</v>
      </c>
      <c r="R9440">
        <v>-0.1666716</v>
      </c>
      <c r="S9440">
        <v>3.0063780000000002</v>
      </c>
      <c r="T9440">
        <v>-0.17282839999999999</v>
      </c>
      <c r="U9440">
        <v>-0.2527161</v>
      </c>
      <c r="V9440">
        <v>-0.179266799999999</v>
      </c>
      <c r="W9440">
        <v>3.7060179999999998E-2</v>
      </c>
      <c r="X9440">
        <v>0.98310220000000004</v>
      </c>
      <c r="Y9440">
        <v>-0.25956580000000001</v>
      </c>
      <c r="Z9440">
        <v>2.659458E-2</v>
      </c>
      <c r="AA9440">
        <v>0.96535919999999997</v>
      </c>
      <c r="AB9440">
        <v>26</v>
      </c>
      <c r="AC9440">
        <v>19.2697</v>
      </c>
      <c r="AD9440">
        <v>-1.1144013807061</v>
      </c>
      <c r="AE9440">
        <v>-1.5901099999999899</v>
      </c>
      <c r="AF9440">
        <v>-5.0491060577972497</v>
      </c>
      <c r="AG9440">
        <v>-1.1144013807061</v>
      </c>
      <c r="AH9440">
        <v>18.597979910465899</v>
      </c>
      <c r="AI9440">
        <v>93.309577848623704</v>
      </c>
      <c r="AJ9440">
        <v>105.188944556115</v>
      </c>
      <c r="AK9440">
        <v>19.303373258845099</v>
      </c>
      <c r="AL9440">
        <v>87.876121709591999</v>
      </c>
      <c r="AM9440">
        <v>100.33423318336899</v>
      </c>
      <c r="AN9440">
        <v>0.99999998908435594</v>
      </c>
    </row>
    <row r="9441" spans="1:40" x14ac:dyDescent="0.25">
      <c r="A9441" t="str">
        <f>"20190312150909939"</f>
        <v>20190312150909939</v>
      </c>
      <c r="B9441" t="str">
        <f>"1552374549929269"</f>
        <v>1552374549929269</v>
      </c>
      <c r="C9441" t="s">
        <v>40</v>
      </c>
      <c r="D9441">
        <v>4.6223280000000004</v>
      </c>
      <c r="E9441">
        <v>0.46935070000000001</v>
      </c>
      <c r="F9441" t="s">
        <v>85</v>
      </c>
      <c r="G9441">
        <v>-262.17509999999999</v>
      </c>
      <c r="H9441" s="1">
        <v>1.9207050000000001E-8</v>
      </c>
      <c r="I9441">
        <v>-60.144530000000003</v>
      </c>
      <c r="J9441">
        <v>-282.23020000000002</v>
      </c>
      <c r="K9441">
        <v>1.114317</v>
      </c>
      <c r="L9441">
        <v>-58.529600000000002</v>
      </c>
      <c r="M9441">
        <v>0.94121739999999998</v>
      </c>
      <c r="N9441">
        <v>0</v>
      </c>
      <c r="O9441">
        <v>-0.33762900000000001</v>
      </c>
      <c r="P9441">
        <v>0.98576940000000002</v>
      </c>
      <c r="Q9441">
        <v>2.8571240000000001E-2</v>
      </c>
      <c r="R9441">
        <v>-0.16565820000000001</v>
      </c>
      <c r="S9441">
        <v>3.006866</v>
      </c>
      <c r="T9441">
        <v>-0.1660895</v>
      </c>
      <c r="U9441">
        <v>-0.24667359999999999</v>
      </c>
      <c r="V9441">
        <v>-0.17730850000000001</v>
      </c>
      <c r="W9441">
        <v>3.7380869999999997E-2</v>
      </c>
      <c r="X9441">
        <v>0.98344520000000002</v>
      </c>
      <c r="Y9441">
        <v>-0.25867649999999998</v>
      </c>
      <c r="Z9441">
        <v>2.5386679999999998E-2</v>
      </c>
      <c r="AA9441">
        <v>0.9656304</v>
      </c>
      <c r="AB9441">
        <v>26</v>
      </c>
      <c r="AC9441">
        <v>20.055099999999999</v>
      </c>
      <c r="AD9441">
        <v>-1.1143169807929501</v>
      </c>
      <c r="AE9441">
        <v>-1.61493</v>
      </c>
      <c r="AF9441">
        <v>-5.23543015118452</v>
      </c>
      <c r="AG9441">
        <v>-1.1143169807929501</v>
      </c>
      <c r="AH9441">
        <v>19.363193976451999</v>
      </c>
      <c r="AI9441">
        <v>93.179706078671103</v>
      </c>
      <c r="AJ9441">
        <v>105.12989313811801</v>
      </c>
      <c r="AK9441">
        <v>20.089417915194101</v>
      </c>
      <c r="AL9441">
        <v>87.857734910260703</v>
      </c>
      <c r="AM9441">
        <v>100.220245810292</v>
      </c>
      <c r="AN9441">
        <v>1.0000000475086199</v>
      </c>
    </row>
    <row r="9442" spans="1:40" x14ac:dyDescent="0.25">
      <c r="A9442" t="str">
        <f>"20190312150909950"</f>
        <v>20190312150909950</v>
      </c>
      <c r="B9442" t="str">
        <f>"1552374549939029"</f>
        <v>1552374549939029</v>
      </c>
      <c r="C9442" t="s">
        <v>40</v>
      </c>
      <c r="D9442">
        <v>4.723516</v>
      </c>
      <c r="E9442">
        <v>0.469441</v>
      </c>
      <c r="F9442" t="s">
        <v>42</v>
      </c>
      <c r="G9442">
        <v>-261.7713</v>
      </c>
      <c r="H9442" s="1">
        <v>2.0008260000000001E-7</v>
      </c>
      <c r="I9442">
        <v>-60.187640000000002</v>
      </c>
      <c r="J9442">
        <v>-282.11180000000002</v>
      </c>
      <c r="K9442">
        <v>1.114241</v>
      </c>
      <c r="L9442">
        <v>-58.568849999999998</v>
      </c>
      <c r="M9442">
        <v>0.94219549999999996</v>
      </c>
      <c r="N9442">
        <v>0</v>
      </c>
      <c r="O9442">
        <v>-0.33488990000000002</v>
      </c>
      <c r="P9442">
        <v>0.9860141</v>
      </c>
      <c r="Q9442">
        <v>2.849018E-2</v>
      </c>
      <c r="R9442">
        <v>-0.16420950000000001</v>
      </c>
      <c r="S9442">
        <v>3.0071110000000001</v>
      </c>
      <c r="T9442">
        <v>-0.16378579999999901</v>
      </c>
      <c r="U9442">
        <v>-0.2437134</v>
      </c>
      <c r="V9442">
        <v>-0.17588489999999901</v>
      </c>
      <c r="W9442">
        <v>3.7330839999999997E-2</v>
      </c>
      <c r="X9442">
        <v>0.98370270000000004</v>
      </c>
      <c r="Y9442">
        <v>-0.25684829999999997</v>
      </c>
      <c r="Z9442">
        <v>2.484428E-2</v>
      </c>
      <c r="AA9442">
        <v>0.96613230000000005</v>
      </c>
      <c r="AB9442">
        <v>26</v>
      </c>
      <c r="AC9442">
        <v>20.340499999999999</v>
      </c>
      <c r="AD9442">
        <v>-1.1142407999174</v>
      </c>
      <c r="AE9442">
        <v>-1.61879</v>
      </c>
      <c r="AF9442">
        <v>-5.2712008654258904</v>
      </c>
      <c r="AG9442">
        <v>-1.1142407999174</v>
      </c>
      <c r="AH9442">
        <v>19.6493984642938</v>
      </c>
      <c r="AI9442">
        <v>93.134934432970496</v>
      </c>
      <c r="AJ9442">
        <v>105.016758566199</v>
      </c>
      <c r="AK9442">
        <v>20.3746399019089</v>
      </c>
      <c r="AL9442">
        <v>87.860603416514493</v>
      </c>
      <c r="AM9442">
        <v>100.13729813059101</v>
      </c>
      <c r="AN9442">
        <v>1.0000000458252001</v>
      </c>
    </row>
    <row r="9443" spans="1:40" x14ac:dyDescent="0.25">
      <c r="A9443" t="str">
        <f>"20190312150909974"</f>
        <v>20190312150909974</v>
      </c>
      <c r="B9443" t="str">
        <f>"1552374549969284"</f>
        <v>1552374549969284</v>
      </c>
      <c r="C9443" t="s">
        <v>40</v>
      </c>
      <c r="D9443">
        <v>4.5970969999999998</v>
      </c>
      <c r="E9443">
        <v>0.46932879999999899</v>
      </c>
      <c r="F9443" t="s">
        <v>42</v>
      </c>
      <c r="G9443">
        <v>-261.2559</v>
      </c>
      <c r="H9443" s="1">
        <v>4.2943120000000001E-7</v>
      </c>
      <c r="I9443">
        <v>-60.234050000000003</v>
      </c>
      <c r="J9443">
        <v>-281.85820000000001</v>
      </c>
      <c r="K9443">
        <v>1.114072</v>
      </c>
      <c r="L9443">
        <v>-58.651859999999999</v>
      </c>
      <c r="M9443">
        <v>0.94419410000000004</v>
      </c>
      <c r="N9443">
        <v>0</v>
      </c>
      <c r="O9443">
        <v>-0.32921479999999997</v>
      </c>
      <c r="P9443">
        <v>0.98662609999999995</v>
      </c>
      <c r="Q9443">
        <v>2.8962680000000001E-2</v>
      </c>
      <c r="R9443">
        <v>-0.16040679999999999</v>
      </c>
      <c r="S9443">
        <v>3.0071720000000002</v>
      </c>
      <c r="T9443">
        <v>-0.16066</v>
      </c>
      <c r="U9443">
        <v>-0.2401123</v>
      </c>
      <c r="V9443">
        <v>-0.1737417</v>
      </c>
      <c r="W9443">
        <v>3.7856899999999999E-2</v>
      </c>
      <c r="X9443">
        <v>0.98406329999999997</v>
      </c>
      <c r="Y9443">
        <v>-0.25222820000000001</v>
      </c>
      <c r="Z9443">
        <v>2.3962480000000001E-2</v>
      </c>
      <c r="AA9443">
        <v>0.96737099999999998</v>
      </c>
      <c r="AB9443">
        <v>26</v>
      </c>
      <c r="AC9443">
        <v>20.6023</v>
      </c>
      <c r="AD9443">
        <v>-1.1140715705688</v>
      </c>
      <c r="AE9443">
        <v>-1.58219</v>
      </c>
      <c r="AF9443">
        <v>-5.27366165627289</v>
      </c>
      <c r="AG9443">
        <v>-1.1140715705688</v>
      </c>
      <c r="AH9443">
        <v>19.9167029024816</v>
      </c>
      <c r="AI9443">
        <v>93.095145067466106</v>
      </c>
      <c r="AJ9443">
        <v>104.83076314888</v>
      </c>
      <c r="AK9443">
        <v>20.6331703146877</v>
      </c>
      <c r="AL9443">
        <v>87.830440871781306</v>
      </c>
      <c r="AM9443">
        <v>100.01269291977999</v>
      </c>
      <c r="AN9443">
        <v>0.99999995080169302</v>
      </c>
    </row>
    <row r="9444" spans="1:40" x14ac:dyDescent="0.25">
      <c r="A9444" t="str">
        <f>"20190312150909984"</f>
        <v>20190312150909984</v>
      </c>
      <c r="B9444" t="str">
        <f>"1552374549979045"</f>
        <v>1552374549979045</v>
      </c>
      <c r="C9444" t="s">
        <v>40</v>
      </c>
      <c r="D9444">
        <v>4.6025330000000002</v>
      </c>
      <c r="E9444">
        <v>0.46946589999999999</v>
      </c>
      <c r="F9444" t="s">
        <v>42</v>
      </c>
      <c r="G9444">
        <v>-260.8098</v>
      </c>
      <c r="H9444" s="1">
        <v>6.22647E-7</v>
      </c>
      <c r="I9444">
        <v>-60.244660000000003</v>
      </c>
      <c r="J9444">
        <v>-281.73860000000002</v>
      </c>
      <c r="K9444">
        <v>1.1139920000000001</v>
      </c>
      <c r="L9444">
        <v>-58.69061</v>
      </c>
      <c r="M9444">
        <v>0.94509969999999999</v>
      </c>
      <c r="N9444">
        <v>0</v>
      </c>
      <c r="O9444">
        <v>-0.32660660000000002</v>
      </c>
      <c r="P9444">
        <v>0.98687789999999997</v>
      </c>
      <c r="Q9444">
        <v>2.9755690000000001E-2</v>
      </c>
      <c r="R9444">
        <v>-0.15870290000000001</v>
      </c>
      <c r="S9444">
        <v>3.0083310000000001</v>
      </c>
      <c r="T9444">
        <v>-0.1592287</v>
      </c>
      <c r="U9444">
        <v>-0.22766110000000001</v>
      </c>
      <c r="V9444">
        <v>-0.1727156</v>
      </c>
      <c r="W9444">
        <v>3.8674550000000002E-2</v>
      </c>
      <c r="X9444">
        <v>0.98421219999999998</v>
      </c>
      <c r="Y9444">
        <v>-0.25358190000000003</v>
      </c>
      <c r="Z9444">
        <v>2.3651849999999999E-2</v>
      </c>
      <c r="AA9444">
        <v>0.96702469999999996</v>
      </c>
      <c r="AB9444">
        <v>26</v>
      </c>
      <c r="AC9444">
        <v>20.928799999999999</v>
      </c>
      <c r="AD9444">
        <v>-1.1139913773529999</v>
      </c>
      <c r="AE9444">
        <v>-1.5540499999999899</v>
      </c>
      <c r="AF9444">
        <v>-5.3519797881573101</v>
      </c>
      <c r="AG9444">
        <v>-1.1139913773529999</v>
      </c>
      <c r="AH9444">
        <v>20.231523676068001</v>
      </c>
      <c r="AI9444">
        <v>93.047041829072597</v>
      </c>
      <c r="AJ9444">
        <v>104.81741898378699</v>
      </c>
      <c r="AK9444">
        <v>20.957080299912</v>
      </c>
      <c r="AL9444">
        <v>87.783558806339002</v>
      </c>
      <c r="AM9444">
        <v>99.953269374562296</v>
      </c>
      <c r="AN9444">
        <v>1.0000000269649501</v>
      </c>
    </row>
    <row r="9445" spans="1:40" x14ac:dyDescent="0.25">
      <c r="A9445" t="str">
        <f>"20190312150909996"</f>
        <v>20190312150909996</v>
      </c>
      <c r="B9445" t="str">
        <f>"1552374549988805"</f>
        <v>1552374549988805</v>
      </c>
      <c r="C9445" t="s">
        <v>40</v>
      </c>
      <c r="D9445">
        <v>4.7898300000000003</v>
      </c>
      <c r="E9445">
        <v>0.46955079999999999</v>
      </c>
      <c r="F9445" t="s">
        <v>42</v>
      </c>
      <c r="G9445">
        <v>-260.62689999999998</v>
      </c>
      <c r="H9445" s="1">
        <v>7.0364849999999999E-7</v>
      </c>
      <c r="I9445">
        <v>-60.258899999999997</v>
      </c>
      <c r="J9445">
        <v>-281.60219999999998</v>
      </c>
      <c r="K9445">
        <v>1.1139019999999999</v>
      </c>
      <c r="L9445">
        <v>-58.734250000000003</v>
      </c>
      <c r="M9445">
        <v>0.94608559999999997</v>
      </c>
      <c r="N9445">
        <v>0</v>
      </c>
      <c r="O9445">
        <v>-0.32374000000000003</v>
      </c>
      <c r="P9445">
        <v>0.98717580000000005</v>
      </c>
      <c r="Q9445">
        <v>3.0413659999999999E-2</v>
      </c>
      <c r="R9445">
        <v>-0.156713299999999</v>
      </c>
      <c r="S9445">
        <v>3.0086979999999999</v>
      </c>
      <c r="T9445">
        <v>-0.1587585</v>
      </c>
      <c r="U9445">
        <v>-0.22351070000000001</v>
      </c>
      <c r="V9445">
        <v>-0.17170659999999999</v>
      </c>
      <c r="W9445">
        <v>3.935495E-2</v>
      </c>
      <c r="X9445">
        <v>0.98436170000000001</v>
      </c>
      <c r="Y9445">
        <v>-0.25199559999999999</v>
      </c>
      <c r="Z9445">
        <v>2.3396159999999999E-2</v>
      </c>
      <c r="AA9445">
        <v>0.96744560000000002</v>
      </c>
      <c r="AB9445">
        <v>26</v>
      </c>
      <c r="AC9445">
        <v>20.975300000000001</v>
      </c>
      <c r="AD9445">
        <v>-1.1139012963515</v>
      </c>
      <c r="AE9445">
        <v>-1.5246499999999901</v>
      </c>
      <c r="AF9445">
        <v>-5.3334380725387396</v>
      </c>
      <c r="AG9445">
        <v>-1.1139012963515</v>
      </c>
      <c r="AH9445">
        <v>20.282284323709799</v>
      </c>
      <c r="AI9445">
        <v>93.0403642913178</v>
      </c>
      <c r="AJ9445">
        <v>104.732980835939</v>
      </c>
      <c r="AK9445">
        <v>21.001366506954302</v>
      </c>
      <c r="AL9445">
        <v>87.744544909068694</v>
      </c>
      <c r="AM9445">
        <v>99.894802201823197</v>
      </c>
      <c r="AN9445">
        <v>0.99999996249997503</v>
      </c>
    </row>
    <row r="9446" spans="1:40" x14ac:dyDescent="0.25">
      <c r="A9446" t="str">
        <f>"20190312150910007"</f>
        <v>20190312150910007</v>
      </c>
      <c r="B9446" t="str">
        <f>"1552374549998565"</f>
        <v>1552374549998565</v>
      </c>
      <c r="C9446" t="s">
        <v>40</v>
      </c>
      <c r="D9446">
        <v>4.6200789999999996</v>
      </c>
      <c r="E9446">
        <v>0.46960760000000001</v>
      </c>
      <c r="F9446" t="s">
        <v>42</v>
      </c>
      <c r="G9446">
        <v>-260.77749999999997</v>
      </c>
      <c r="H9446" s="1">
        <v>6.3628370000000001E-7</v>
      </c>
      <c r="I9446">
        <v>-60.243310000000001</v>
      </c>
      <c r="J9446">
        <v>-281.4984</v>
      </c>
      <c r="K9446">
        <v>1.1138349999999999</v>
      </c>
      <c r="L9446">
        <v>-58.767400000000002</v>
      </c>
      <c r="M9446">
        <v>0.94682270000000002</v>
      </c>
      <c r="N9446">
        <v>0</v>
      </c>
      <c r="O9446">
        <v>-0.3215789</v>
      </c>
      <c r="P9446">
        <v>0.9873826</v>
      </c>
      <c r="Q9446">
        <v>3.0726170000000001E-2</v>
      </c>
      <c r="R9446">
        <v>-0.1553437</v>
      </c>
      <c r="S9446">
        <v>3.0093079999999999</v>
      </c>
      <c r="T9446">
        <v>-0.1609662</v>
      </c>
      <c r="U9446">
        <v>-0.21807860000000001</v>
      </c>
      <c r="V9446">
        <v>-0.17081669999999999</v>
      </c>
      <c r="W9446">
        <v>3.9686579999999999E-2</v>
      </c>
      <c r="X9446">
        <v>0.98450320000000002</v>
      </c>
      <c r="Y9446">
        <v>-0.2515194</v>
      </c>
      <c r="Z9446">
        <v>2.3596579999999999E-2</v>
      </c>
      <c r="AA9446">
        <v>0.9675646</v>
      </c>
      <c r="AB9446">
        <v>26</v>
      </c>
      <c r="AC9446">
        <v>20.7209</v>
      </c>
      <c r="AD9446">
        <v>-1.1138343637163</v>
      </c>
      <c r="AE9446">
        <v>-1.4759099999999901</v>
      </c>
      <c r="AF9446">
        <v>-5.2511820170335604</v>
      </c>
      <c r="AG9446">
        <v>-1.1138343637163</v>
      </c>
      <c r="AH9446">
        <v>20.0371779408704</v>
      </c>
      <c r="AI9446">
        <v>93.077970428586099</v>
      </c>
      <c r="AJ9446">
        <v>104.68535630085201</v>
      </c>
      <c r="AK9446">
        <v>20.7437710988121</v>
      </c>
      <c r="AL9446">
        <v>87.725529047571101</v>
      </c>
      <c r="AM9446">
        <v>99.843139255401894</v>
      </c>
      <c r="AN9446">
        <v>0.99999996022061199</v>
      </c>
    </row>
    <row r="9447" spans="1:40" x14ac:dyDescent="0.25">
      <c r="A9447" t="str">
        <f>"20190312150910017"</f>
        <v>20190312150910017</v>
      </c>
      <c r="B9447" t="str">
        <f>"1552374550009301"</f>
        <v>1552374550009301</v>
      </c>
      <c r="C9447" t="s">
        <v>40</v>
      </c>
      <c r="D9447">
        <v>4.6097469999999996</v>
      </c>
      <c r="E9447">
        <v>0.46982790000000002</v>
      </c>
      <c r="F9447" t="s">
        <v>42</v>
      </c>
      <c r="G9447">
        <v>-260.49849999999998</v>
      </c>
      <c r="H9447" s="1">
        <v>7.5946709999999997E-7</v>
      </c>
      <c r="I9447">
        <v>-60.263030000000001</v>
      </c>
      <c r="J9447">
        <v>-281.37720000000002</v>
      </c>
      <c r="K9447">
        <v>1.113756</v>
      </c>
      <c r="L9447">
        <v>-58.805599999999998</v>
      </c>
      <c r="M9447">
        <v>0.94764859999999995</v>
      </c>
      <c r="N9447">
        <v>0</v>
      </c>
      <c r="O9447">
        <v>-0.31913760000000002</v>
      </c>
      <c r="P9447">
        <v>0.98758100000000004</v>
      </c>
      <c r="Q9447">
        <v>3.0795139999999999E-2</v>
      </c>
      <c r="R9447">
        <v>-0.15406220000000001</v>
      </c>
      <c r="S9447">
        <v>3.0095830000000001</v>
      </c>
      <c r="T9447">
        <v>-0.15962860000000001</v>
      </c>
      <c r="U9447">
        <v>-0.2143555</v>
      </c>
      <c r="V9447">
        <v>-0.16954839999999999</v>
      </c>
      <c r="W9447">
        <v>3.9779960000000003E-2</v>
      </c>
      <c r="X9447">
        <v>0.98471869999999995</v>
      </c>
      <c r="Y9447">
        <v>-0.25024049999999998</v>
      </c>
      <c r="Z9447">
        <v>2.32436E-2</v>
      </c>
      <c r="AA9447">
        <v>0.9679046</v>
      </c>
      <c r="AB9447">
        <v>26</v>
      </c>
      <c r="AC9447">
        <v>20.878699999999998</v>
      </c>
      <c r="AD9447">
        <v>-1.1137552405329001</v>
      </c>
      <c r="AE9447">
        <v>-1.45743</v>
      </c>
      <c r="AF9447">
        <v>-5.26742975163598</v>
      </c>
      <c r="AG9447">
        <v>-1.1137552405329001</v>
      </c>
      <c r="AH9447">
        <v>20.194751711447399</v>
      </c>
      <c r="AI9447">
        <v>93.054708341655399</v>
      </c>
      <c r="AJ9447">
        <v>104.618838255584</v>
      </c>
      <c r="AK9447">
        <v>20.900102000020102</v>
      </c>
      <c r="AL9447">
        <v>87.720174656427005</v>
      </c>
      <c r="AM9447">
        <v>99.769371546427095</v>
      </c>
      <c r="AN9447">
        <v>1.0000000116449199</v>
      </c>
    </row>
    <row r="9448" spans="1:40" x14ac:dyDescent="0.25">
      <c r="A9448" t="str">
        <f>"20190312150910028"</f>
        <v>20190312150910028</v>
      </c>
      <c r="B9448" t="str">
        <f>"1552374550019060"</f>
        <v>1552374550019060</v>
      </c>
      <c r="C9448" t="s">
        <v>40</v>
      </c>
      <c r="D9448">
        <v>4.5858400000000001</v>
      </c>
      <c r="E9448">
        <v>0.4699411</v>
      </c>
      <c r="F9448" t="s">
        <v>42</v>
      </c>
      <c r="G9448">
        <v>-260.66820000000001</v>
      </c>
      <c r="H9448" s="1">
        <v>6.8670559999999895E-7</v>
      </c>
      <c r="I9448">
        <v>-60.26323</v>
      </c>
      <c r="J9448">
        <v>-281.25450000000001</v>
      </c>
      <c r="K9448">
        <v>1.1136729999999999</v>
      </c>
      <c r="L9448">
        <v>-58.844149999999999</v>
      </c>
      <c r="M9448">
        <v>0.94846339999999996</v>
      </c>
      <c r="N9448">
        <v>0</v>
      </c>
      <c r="O9448">
        <v>-0.3167082</v>
      </c>
      <c r="P9448">
        <v>0.98788750000000003</v>
      </c>
      <c r="Q9448">
        <v>3.057108E-2</v>
      </c>
      <c r="R9448">
        <v>-0.15213009999999999</v>
      </c>
      <c r="S9448">
        <v>3.009735</v>
      </c>
      <c r="T9448">
        <v>-0.16186700000000001</v>
      </c>
      <c r="U9448">
        <v>-0.21185300000000001</v>
      </c>
      <c r="V9448">
        <v>-0.16894310000000001</v>
      </c>
      <c r="W9448">
        <v>3.9573169999999998E-2</v>
      </c>
      <c r="X9448">
        <v>0.98483100000000001</v>
      </c>
      <c r="Y9448">
        <v>-0.2485474</v>
      </c>
      <c r="Z9448">
        <v>2.3399400000000001E-2</v>
      </c>
      <c r="AA9448">
        <v>0.96833709999999995</v>
      </c>
      <c r="AB9448">
        <v>26</v>
      </c>
      <c r="AC9448">
        <v>20.586299999999898</v>
      </c>
      <c r="AD9448">
        <v>-1.1136723132944</v>
      </c>
      <c r="AE9448">
        <v>-1.4190799999999999</v>
      </c>
      <c r="AF9448">
        <v>-5.1591699294280797</v>
      </c>
      <c r="AG9448">
        <v>-1.1136723132944</v>
      </c>
      <c r="AH9448">
        <v>19.917900618718001</v>
      </c>
      <c r="AI9448">
        <v>93.098217644250198</v>
      </c>
      <c r="AJ9448">
        <v>104.521704369611</v>
      </c>
      <c r="AK9448">
        <v>20.6053407018481</v>
      </c>
      <c r="AL9448">
        <v>87.732032053696102</v>
      </c>
      <c r="AM9448">
        <v>99.734073885434995</v>
      </c>
      <c r="AN9448">
        <v>0.99999995269122799</v>
      </c>
    </row>
    <row r="9449" spans="1:40" x14ac:dyDescent="0.25">
      <c r="A9449" t="str">
        <f>"20190312150910039"</f>
        <v>20190312150910039</v>
      </c>
      <c r="B9449" t="str">
        <f>"1552374550028821"</f>
        <v>1552374550028821</v>
      </c>
      <c r="C9449" t="s">
        <v>40</v>
      </c>
      <c r="D9449">
        <v>4.7493829999999999</v>
      </c>
      <c r="E9449">
        <v>0.47020050000000002</v>
      </c>
      <c r="F9449" t="s">
        <v>85</v>
      </c>
      <c r="G9449">
        <v>-260.89699999999999</v>
      </c>
      <c r="H9449" s="1">
        <v>5.8463460000000003E-7</v>
      </c>
      <c r="I9449">
        <v>-60.241160000000001</v>
      </c>
      <c r="J9449">
        <v>-281.1379</v>
      </c>
      <c r="K9449">
        <v>1.113594</v>
      </c>
      <c r="L9449">
        <v>-58.880459999999999</v>
      </c>
      <c r="M9449">
        <v>0.94921109999999997</v>
      </c>
      <c r="N9449">
        <v>0</v>
      </c>
      <c r="O9449">
        <v>-0.31446089999999999</v>
      </c>
      <c r="P9449">
        <v>0.98801130000000004</v>
      </c>
      <c r="Q9449">
        <v>3.1045039999999999E-2</v>
      </c>
      <c r="R9449">
        <v>-0.15122840000000001</v>
      </c>
      <c r="S9449">
        <v>3.0100709999999999</v>
      </c>
      <c r="T9449">
        <v>-0.16466819999999999</v>
      </c>
      <c r="U9449">
        <v>-0.20657349999999999</v>
      </c>
      <c r="V9449">
        <v>-0.1675007</v>
      </c>
      <c r="W9449">
        <v>4.0073459999999998E-2</v>
      </c>
      <c r="X9449">
        <v>0.98505719999999997</v>
      </c>
      <c r="Y9449">
        <v>-0.2479276</v>
      </c>
      <c r="Z9449">
        <v>2.3669740000000002E-2</v>
      </c>
      <c r="AA9449">
        <v>0.9684893</v>
      </c>
      <c r="AB9449">
        <v>26</v>
      </c>
      <c r="AC9449">
        <v>20.2409</v>
      </c>
      <c r="AD9449">
        <v>-1.1135934153653999</v>
      </c>
      <c r="AE9449">
        <v>-1.3607</v>
      </c>
      <c r="AF9449">
        <v>-5.0584235152802002</v>
      </c>
      <c r="AG9449">
        <v>-1.1135934153653999</v>
      </c>
      <c r="AH9449">
        <v>19.582871941921201</v>
      </c>
      <c r="AI9449">
        <v>93.151437794036298</v>
      </c>
      <c r="AJ9449">
        <v>104.483403118103</v>
      </c>
      <c r="AK9449">
        <v>20.2562734047596</v>
      </c>
      <c r="AL9449">
        <v>87.703344960681207</v>
      </c>
      <c r="AM9449">
        <v>99.650361721619703</v>
      </c>
      <c r="AN9449">
        <v>1.0000000269843501</v>
      </c>
    </row>
    <row r="9450" spans="1:40" x14ac:dyDescent="0.25">
      <c r="A9450" t="str">
        <f>"20190312150910051"</f>
        <v>20190312150910051</v>
      </c>
      <c r="B9450" t="str">
        <f>"1552374550038581"</f>
        <v>1552374550038581</v>
      </c>
      <c r="C9450" t="s">
        <v>40</v>
      </c>
      <c r="D9450">
        <v>4.629842</v>
      </c>
      <c r="E9450">
        <v>0.4704952</v>
      </c>
      <c r="F9450" t="s">
        <v>42</v>
      </c>
      <c r="G9450">
        <v>-260.62509999999997</v>
      </c>
      <c r="H9450" s="1">
        <v>7.0853180000000002E-7</v>
      </c>
      <c r="I9450">
        <v>-60.2821199999999</v>
      </c>
      <c r="J9450">
        <v>-281.01589999999999</v>
      </c>
      <c r="K9450">
        <v>1.1135109999999999</v>
      </c>
      <c r="L9450">
        <v>-58.918210000000002</v>
      </c>
      <c r="M9450">
        <v>0.94996599999999998</v>
      </c>
      <c r="N9450">
        <v>0</v>
      </c>
      <c r="O9450">
        <v>-0.31217410000000001</v>
      </c>
      <c r="P9450">
        <v>0.9881877</v>
      </c>
      <c r="Q9450">
        <v>3.1476650000000002E-2</v>
      </c>
      <c r="R9450">
        <v>-0.14998069999999999</v>
      </c>
      <c r="S9450">
        <v>3.01004</v>
      </c>
      <c r="T9450">
        <v>-0.16340839999999901</v>
      </c>
      <c r="U9450">
        <v>-0.2056885</v>
      </c>
      <c r="V9450">
        <v>-0.16636280000000001</v>
      </c>
      <c r="W9450">
        <v>4.0529900000000001E-2</v>
      </c>
      <c r="X9450">
        <v>0.98523130000000003</v>
      </c>
      <c r="Y9450">
        <v>-0.24589569999999999</v>
      </c>
      <c r="Z9450">
        <v>2.331625E-2</v>
      </c>
      <c r="AA9450">
        <v>0.96901579999999998</v>
      </c>
      <c r="AB9450">
        <v>26</v>
      </c>
      <c r="AC9450">
        <v>20.390799999999999</v>
      </c>
      <c r="AD9450">
        <v>-1.1135102914682</v>
      </c>
      <c r="AE9450">
        <v>-1.36390999999999</v>
      </c>
      <c r="AF9450">
        <v>-5.0550877136911598</v>
      </c>
      <c r="AG9450">
        <v>-1.1135102914682</v>
      </c>
      <c r="AH9450">
        <v>19.7388513481262</v>
      </c>
      <c r="AI9450">
        <v>93.128015427197496</v>
      </c>
      <c r="AJ9450">
        <v>104.36462610769</v>
      </c>
      <c r="AK9450">
        <v>20.4062752482108</v>
      </c>
      <c r="AL9450">
        <v>87.677171511912306</v>
      </c>
      <c r="AM9450">
        <v>99.584361008367495</v>
      </c>
      <c r="AN9450">
        <v>0.99999998425876901</v>
      </c>
    </row>
    <row r="9451" spans="1:40" x14ac:dyDescent="0.25">
      <c r="A9451" t="str">
        <f>"20190312150910062"</f>
        <v>20190312150910062</v>
      </c>
      <c r="B9451" t="str">
        <f>"1552374550059077"</f>
        <v>1552374550059077</v>
      </c>
      <c r="C9451" t="s">
        <v>40</v>
      </c>
      <c r="D9451">
        <v>4.8646839999999996</v>
      </c>
      <c r="E9451">
        <v>0.47092400000000001</v>
      </c>
      <c r="F9451" t="s">
        <v>42</v>
      </c>
      <c r="G9451">
        <v>-260.37479999999999</v>
      </c>
      <c r="H9451" s="1">
        <v>8.2218439999999999E-7</v>
      </c>
      <c r="I9451">
        <v>-60.317529999999998</v>
      </c>
      <c r="J9451">
        <v>-280.89159999999998</v>
      </c>
      <c r="K9451">
        <v>1.1134280000000001</v>
      </c>
      <c r="L9451">
        <v>-58.956449999999997</v>
      </c>
      <c r="M9451">
        <v>0.95071340000000004</v>
      </c>
      <c r="N9451">
        <v>0</v>
      </c>
      <c r="O9451">
        <v>-0.30989119999999998</v>
      </c>
      <c r="P9451">
        <v>0.9883923</v>
      </c>
      <c r="Q9451">
        <v>3.2118069999999999E-2</v>
      </c>
      <c r="R9451">
        <v>-0.14849010000000001</v>
      </c>
      <c r="S9451">
        <v>3.0100709999999999</v>
      </c>
      <c r="T9451">
        <v>-0.1623821</v>
      </c>
      <c r="U9451">
        <v>-0.204071</v>
      </c>
      <c r="V9451">
        <v>-0.1654717</v>
      </c>
      <c r="W9451">
        <v>4.1194050000000003E-2</v>
      </c>
      <c r="X9451">
        <v>0.98535379999999995</v>
      </c>
      <c r="Y9451">
        <v>-0.2441017</v>
      </c>
      <c r="Z9451">
        <v>2.300483E-2</v>
      </c>
      <c r="AA9451">
        <v>0.96947680000000003</v>
      </c>
      <c r="AB9451">
        <v>26</v>
      </c>
      <c r="AC9451">
        <v>20.5167999999999</v>
      </c>
      <c r="AD9451">
        <v>-1.1134271778156</v>
      </c>
      <c r="AE9451">
        <v>-1.3610800000000001</v>
      </c>
      <c r="AF9451">
        <v>-5.0494549183848196</v>
      </c>
      <c r="AG9451">
        <v>-1.1134271778156</v>
      </c>
      <c r="AH9451">
        <v>19.870230215236202</v>
      </c>
      <c r="AI9451">
        <v>93.108611281451701</v>
      </c>
      <c r="AJ9451">
        <v>104.258286718493</v>
      </c>
      <c r="AK9451">
        <v>20.5319936649997</v>
      </c>
      <c r="AL9451">
        <v>87.639086681796201</v>
      </c>
      <c r="AM9451">
        <v>99.532805019912999</v>
      </c>
      <c r="AN9451">
        <v>0.99999997221536496</v>
      </c>
    </row>
    <row r="9452" spans="1:40" x14ac:dyDescent="0.25">
      <c r="A9452" t="str">
        <f>"20190312150910073"</f>
        <v>20190312150910073</v>
      </c>
      <c r="B9452" t="str">
        <f>"1552374550068836"</f>
        <v>1552374550068836</v>
      </c>
      <c r="C9452" t="s">
        <v>40</v>
      </c>
      <c r="D9452">
        <v>4.6452369999999998</v>
      </c>
      <c r="E9452">
        <v>0.47108240000000001</v>
      </c>
      <c r="F9452" t="s">
        <v>86</v>
      </c>
      <c r="G9452">
        <v>-259.84660000000002</v>
      </c>
      <c r="H9452" s="1">
        <v>-3.3621270000000001E-6</v>
      </c>
      <c r="I9452">
        <v>-60.375399999999999</v>
      </c>
      <c r="J9452">
        <v>-280.76569999999998</v>
      </c>
      <c r="K9452">
        <v>1.11334</v>
      </c>
      <c r="L9452">
        <v>-58.994869999999999</v>
      </c>
      <c r="M9452">
        <v>0.95143560000000005</v>
      </c>
      <c r="N9452">
        <v>0</v>
      </c>
      <c r="O9452">
        <v>-0.30766700000000002</v>
      </c>
      <c r="P9452">
        <v>0.98862099999999997</v>
      </c>
      <c r="Q9452">
        <v>3.2487349999999998E-2</v>
      </c>
      <c r="R9452">
        <v>-0.14687819999999999</v>
      </c>
      <c r="S9452">
        <v>3.0099179999999999</v>
      </c>
      <c r="T9452">
        <v>-0.15924569999999999</v>
      </c>
      <c r="U9452">
        <v>-0.20294190000000001</v>
      </c>
      <c r="V9452">
        <v>-0.16476370000000001</v>
      </c>
      <c r="W9452">
        <v>4.158568E-2</v>
      </c>
      <c r="X9452">
        <v>0.985456</v>
      </c>
      <c r="Y9452">
        <v>-0.2422279</v>
      </c>
      <c r="Z9452">
        <v>2.2401000000000001E-2</v>
      </c>
      <c r="AA9452">
        <v>0.96996070000000001</v>
      </c>
      <c r="AB9452">
        <v>26</v>
      </c>
      <c r="AC9452">
        <v>20.919099999999901</v>
      </c>
      <c r="AD9452">
        <v>-1.1133433621269999</v>
      </c>
      <c r="AE9452">
        <v>-1.38053</v>
      </c>
      <c r="AF9452">
        <v>-5.1085093057975</v>
      </c>
      <c r="AG9452">
        <v>-1.1133433621269999</v>
      </c>
      <c r="AH9452">
        <v>20.2718800731576</v>
      </c>
      <c r="AI9452">
        <v>93.048443247885302</v>
      </c>
      <c r="AJ9452">
        <v>104.144031603846</v>
      </c>
      <c r="AK9452">
        <v>20.935269820804699</v>
      </c>
      <c r="AL9452">
        <v>87.616628724749702</v>
      </c>
      <c r="AM9452">
        <v>99.491794533645901</v>
      </c>
      <c r="AN9452">
        <v>0.999999986777376</v>
      </c>
    </row>
    <row r="9453" spans="1:40" x14ac:dyDescent="0.25">
      <c r="A9453" t="str">
        <f>"20190312150910085"</f>
        <v>20190312150910085</v>
      </c>
      <c r="B9453" t="str">
        <f>"1552374550078597"</f>
        <v>1552374550078597</v>
      </c>
      <c r="C9453" t="s">
        <v>40</v>
      </c>
      <c r="D9453">
        <v>4.6630849999999997</v>
      </c>
      <c r="E9453">
        <v>0.4712191</v>
      </c>
      <c r="F9453" t="s">
        <v>86</v>
      </c>
      <c r="G9453">
        <v>-259.47609999999997</v>
      </c>
      <c r="H9453" s="1">
        <v>-3.2061780000000001E-6</v>
      </c>
      <c r="I9453">
        <v>-60.405209999999997</v>
      </c>
      <c r="J9453">
        <v>-280.6404</v>
      </c>
      <c r="K9453">
        <v>1.1132519999999999</v>
      </c>
      <c r="L9453">
        <v>-59.032960000000003</v>
      </c>
      <c r="M9453">
        <v>0.95213930000000002</v>
      </c>
      <c r="N9453">
        <v>0</v>
      </c>
      <c r="O9453">
        <v>-0.30548309999999901</v>
      </c>
      <c r="P9453">
        <v>0.98875119999999905</v>
      </c>
      <c r="Q9453">
        <v>3.2902550000000003E-2</v>
      </c>
      <c r="R9453">
        <v>-0.14590600000000001</v>
      </c>
      <c r="S9453">
        <v>3.01004</v>
      </c>
      <c r="T9453">
        <v>-0.15741089999999999</v>
      </c>
      <c r="U9453">
        <v>-0.19940189999999999</v>
      </c>
      <c r="V9453">
        <v>-0.16346079999999999</v>
      </c>
      <c r="W9453">
        <v>4.2028749999999997E-2</v>
      </c>
      <c r="X9453">
        <v>0.98565420000000004</v>
      </c>
      <c r="Y9453">
        <v>-0.2411615</v>
      </c>
      <c r="Z9453">
        <v>2.200703E-2</v>
      </c>
      <c r="AA9453">
        <v>0.97023550000000003</v>
      </c>
      <c r="AB9453">
        <v>26</v>
      </c>
      <c r="AC9453">
        <v>21.164300000000001</v>
      </c>
      <c r="AD9453">
        <v>-1.1132552061779999</v>
      </c>
      <c r="AE9453">
        <v>-1.37225</v>
      </c>
      <c r="AF9453">
        <v>-5.1448733427641198</v>
      </c>
      <c r="AG9453">
        <v>-1.1132552061779999</v>
      </c>
      <c r="AH9453">
        <v>20.5151767003868</v>
      </c>
      <c r="AI9453">
        <v>93.012984182794199</v>
      </c>
      <c r="AJ9453">
        <v>104.07850077654599</v>
      </c>
      <c r="AK9453">
        <v>21.179743480865401</v>
      </c>
      <c r="AL9453">
        <v>87.591220561898197</v>
      </c>
      <c r="AM9453">
        <v>99.416226415540194</v>
      </c>
      <c r="AN9453">
        <v>1.00000002547042</v>
      </c>
    </row>
    <row r="9454" spans="1:40" x14ac:dyDescent="0.25">
      <c r="A9454" t="str">
        <f>"20190312150910095"</f>
        <v>20190312150910095</v>
      </c>
      <c r="B9454" t="str">
        <f>"1552374550089333"</f>
        <v>1552374550089333</v>
      </c>
      <c r="C9454" t="s">
        <v>40</v>
      </c>
      <c r="D9454">
        <v>4.6386139999999996</v>
      </c>
      <c r="E9454">
        <v>0.47133999999999998</v>
      </c>
      <c r="F9454" t="s">
        <v>86</v>
      </c>
      <c r="G9454">
        <v>-259.09899999999999</v>
      </c>
      <c r="H9454" s="1">
        <v>-3.0537070000000001E-6</v>
      </c>
      <c r="I9454">
        <v>-60.447049999999997</v>
      </c>
      <c r="J9454">
        <v>-280.51990000000001</v>
      </c>
      <c r="K9454">
        <v>1.1131719999999901</v>
      </c>
      <c r="L9454">
        <v>-59.069209999999998</v>
      </c>
      <c r="M9454">
        <v>0.95277999999999996</v>
      </c>
      <c r="N9454">
        <v>0</v>
      </c>
      <c r="O9454">
        <v>-0.30347990000000002</v>
      </c>
      <c r="P9454">
        <v>0.98894649999999995</v>
      </c>
      <c r="Q9454">
        <v>3.2929199999999999E-2</v>
      </c>
      <c r="R9454">
        <v>-0.14457049999999999</v>
      </c>
      <c r="S9454">
        <v>3.010132</v>
      </c>
      <c r="T9454">
        <v>-0.15556300000000001</v>
      </c>
      <c r="U9454">
        <v>-0.19760130000000001</v>
      </c>
      <c r="V9454">
        <v>-0.16270979999999999</v>
      </c>
      <c r="W9454">
        <v>4.2076389999999998E-2</v>
      </c>
      <c r="X9454">
        <v>0.9857764</v>
      </c>
      <c r="Y9454">
        <v>-0.2397215</v>
      </c>
      <c r="Z9454">
        <v>2.161306E-2</v>
      </c>
      <c r="AA9454">
        <v>0.97060109999999999</v>
      </c>
      <c r="AB9454">
        <v>26</v>
      </c>
      <c r="AC9454">
        <v>21.4209</v>
      </c>
      <c r="AD9454">
        <v>-1.11317505370699</v>
      </c>
      <c r="AE9454">
        <v>-1.37783999999999</v>
      </c>
      <c r="AF9454">
        <v>-5.1744039981865004</v>
      </c>
      <c r="AG9454">
        <v>-1.11317505370699</v>
      </c>
      <c r="AH9454">
        <v>20.772832928046999</v>
      </c>
      <c r="AI9454">
        <v>92.976646643900693</v>
      </c>
      <c r="AJ9454">
        <v>103.987418044756</v>
      </c>
      <c r="AK9454">
        <v>21.436515651877698</v>
      </c>
      <c r="AL9454">
        <v>87.588488527825604</v>
      </c>
      <c r="AM9454">
        <v>99.372592929275996</v>
      </c>
      <c r="AN9454">
        <v>1.00000000620421</v>
      </c>
    </row>
    <row r="9455" spans="1:40" x14ac:dyDescent="0.25">
      <c r="A9455" t="str">
        <f>"20190312150910106"</f>
        <v>20190312150910106</v>
      </c>
      <c r="B9455" t="str">
        <f>"1552374550099093"</f>
        <v>1552374550099093</v>
      </c>
      <c r="C9455" t="s">
        <v>40</v>
      </c>
      <c r="D9455">
        <v>4.6734819999999999</v>
      </c>
      <c r="E9455">
        <v>0.47146250000000001</v>
      </c>
      <c r="F9455" t="s">
        <v>86</v>
      </c>
      <c r="G9455">
        <v>-258.95600000000002</v>
      </c>
      <c r="H9455" s="1">
        <v>-2.9958280000000001E-6</v>
      </c>
      <c r="I9455">
        <v>-60.462649999999996</v>
      </c>
      <c r="J9455">
        <v>-280.39319999999998</v>
      </c>
      <c r="K9455">
        <v>1.1130880000000001</v>
      </c>
      <c r="L9455">
        <v>-59.107210000000002</v>
      </c>
      <c r="M9455">
        <v>0.95344110000000004</v>
      </c>
      <c r="N9455">
        <v>0</v>
      </c>
      <c r="O9455">
        <v>-0.30139690000000002</v>
      </c>
      <c r="P9455">
        <v>0.98910160000000003</v>
      </c>
      <c r="Q9455">
        <v>3.264504E-2</v>
      </c>
      <c r="R9455">
        <v>-0.14357059999999999</v>
      </c>
      <c r="S9455">
        <v>3.0102540000000002</v>
      </c>
      <c r="T9455">
        <v>-0.155395899999999</v>
      </c>
      <c r="U9455">
        <v>-0.194519</v>
      </c>
      <c r="V9455">
        <v>-0.16154389999999999</v>
      </c>
      <c r="W9455">
        <v>4.1815789999999999E-2</v>
      </c>
      <c r="X9455">
        <v>0.98597919999999994</v>
      </c>
      <c r="Y9455">
        <v>-0.2385977</v>
      </c>
      <c r="Z9455">
        <v>2.1458519999999998E-2</v>
      </c>
      <c r="AA9455">
        <v>0.97088140000000001</v>
      </c>
      <c r="AB9455">
        <v>26</v>
      </c>
      <c r="AC9455">
        <v>21.437200000000001</v>
      </c>
      <c r="AD9455">
        <v>-1.11309099582799</v>
      </c>
      <c r="AE9455">
        <v>-1.35544</v>
      </c>
      <c r="AF9455">
        <v>-5.1552143824479497</v>
      </c>
      <c r="AG9455">
        <v>-1.11309099582799</v>
      </c>
      <c r="AH9455">
        <v>20.792944197028898</v>
      </c>
      <c r="AI9455">
        <v>92.974357254758701</v>
      </c>
      <c r="AJ9455">
        <v>103.924614767151</v>
      </c>
      <c r="AK9455">
        <v>21.451380731196501</v>
      </c>
      <c r="AL9455">
        <v>87.603432915730806</v>
      </c>
      <c r="AM9455">
        <v>99.304731895380598</v>
      </c>
      <c r="AN9455">
        <v>0.99999998737658702</v>
      </c>
    </row>
    <row r="9456" spans="1:40" x14ac:dyDescent="0.25">
      <c r="A9456" t="str">
        <f>"20190312150910117"</f>
        <v>20190312150910117</v>
      </c>
      <c r="B9456" t="str">
        <f>"1552374550108853"</f>
        <v>1552374550108853</v>
      </c>
      <c r="C9456" t="s">
        <v>40</v>
      </c>
      <c r="D9456">
        <v>4.6301809999999897</v>
      </c>
      <c r="E9456">
        <v>0.47141719999999998</v>
      </c>
      <c r="F9456" t="s">
        <v>86</v>
      </c>
      <c r="G9456">
        <v>-258.92809999999997</v>
      </c>
      <c r="H9456" s="1">
        <v>-2.987671E-6</v>
      </c>
      <c r="I9456">
        <v>-60.479900000000001</v>
      </c>
      <c r="J9456">
        <v>-280.27449999999999</v>
      </c>
      <c r="K9456">
        <v>1.1130150000000001</v>
      </c>
      <c r="L9456">
        <v>-59.14255</v>
      </c>
      <c r="M9456">
        <v>0.95403550000000004</v>
      </c>
      <c r="N9456">
        <v>0</v>
      </c>
      <c r="O9456">
        <v>-0.29951129999999998</v>
      </c>
      <c r="P9456">
        <v>0.98921780000000004</v>
      </c>
      <c r="Q9456">
        <v>3.2647349999999999E-2</v>
      </c>
      <c r="R9456">
        <v>-0.14276820000000001</v>
      </c>
      <c r="S9456">
        <v>3.0102540000000002</v>
      </c>
      <c r="T9456">
        <v>-0.15609879999999901</v>
      </c>
      <c r="U9456">
        <v>-0.19250490000000001</v>
      </c>
      <c r="V9456">
        <v>-0.1603861</v>
      </c>
      <c r="W9456">
        <v>4.1838180000000003E-2</v>
      </c>
      <c r="X9456">
        <v>0.98616729999999997</v>
      </c>
      <c r="Y9456">
        <v>-0.23732230000000001</v>
      </c>
      <c r="Z9456">
        <v>2.1429710000000001E-2</v>
      </c>
      <c r="AA9456">
        <v>0.97119460000000002</v>
      </c>
      <c r="AB9456">
        <v>26</v>
      </c>
      <c r="AC9456">
        <v>21.346399999999999</v>
      </c>
      <c r="AD9456">
        <v>-1.11301798767099</v>
      </c>
      <c r="AE9456">
        <v>-1.33735</v>
      </c>
      <c r="AF9456">
        <v>-5.1040662251062896</v>
      </c>
      <c r="AG9456">
        <v>-1.11301798767099</v>
      </c>
      <c r="AH9456">
        <v>20.7108236402625</v>
      </c>
      <c r="AI9456">
        <v>92.986966414766499</v>
      </c>
      <c r="AJ9456">
        <v>103.844345617271</v>
      </c>
      <c r="AK9456">
        <v>21.359506476723801</v>
      </c>
      <c r="AL9456">
        <v>87.602149063382996</v>
      </c>
      <c r="AM9456">
        <v>99.237466232797701</v>
      </c>
      <c r="AN9456">
        <v>1.0000000389840999</v>
      </c>
    </row>
    <row r="9457" spans="1:40" x14ac:dyDescent="0.25">
      <c r="A9457" t="str">
        <f>"20190312150910129"</f>
        <v>20190312150910129</v>
      </c>
      <c r="B9457" t="str">
        <f>"1552374550118613"</f>
        <v>1552374550118613</v>
      </c>
      <c r="C9457" t="s">
        <v>40</v>
      </c>
      <c r="D9457">
        <v>4.6241519999999996</v>
      </c>
      <c r="E9457">
        <v>0.4711919</v>
      </c>
      <c r="F9457" t="s">
        <v>86</v>
      </c>
      <c r="G9457">
        <v>-258.63319999999999</v>
      </c>
      <c r="H9457" s="1">
        <v>-2.8673489999999999E-6</v>
      </c>
      <c r="I9457">
        <v>-60.507579999999997</v>
      </c>
      <c r="J9457">
        <v>-280.14949999999999</v>
      </c>
      <c r="K9457">
        <v>1.1129389999999999</v>
      </c>
      <c r="L9457">
        <v>-59.179569999999998</v>
      </c>
      <c r="M9457">
        <v>0.95464579999999999</v>
      </c>
      <c r="N9457">
        <v>0</v>
      </c>
      <c r="O9457">
        <v>-0.29756110000000002</v>
      </c>
      <c r="P9457">
        <v>0.98935759999999995</v>
      </c>
      <c r="Q9457">
        <v>3.3067079999999999E-2</v>
      </c>
      <c r="R9457">
        <v>-0.14169849999999901</v>
      </c>
      <c r="S9457">
        <v>3.0103759999999999</v>
      </c>
      <c r="T9457">
        <v>-0.154824499999999</v>
      </c>
      <c r="U9457">
        <v>-0.1898804</v>
      </c>
      <c r="V9457">
        <v>-0.1594276</v>
      </c>
      <c r="W9457">
        <v>4.2274100000000002E-2</v>
      </c>
      <c r="X9457">
        <v>0.98630410000000002</v>
      </c>
      <c r="Y9457">
        <v>-0.2361984</v>
      </c>
      <c r="Z9457">
        <v>2.1130309999999999E-2</v>
      </c>
      <c r="AA9457">
        <v>0.97147510000000004</v>
      </c>
      <c r="AB9457">
        <v>26</v>
      </c>
      <c r="AC9457">
        <v>21.516300000000001</v>
      </c>
      <c r="AD9457">
        <v>-1.1129418673489999</v>
      </c>
      <c r="AE9457">
        <v>-1.3280099999999999</v>
      </c>
      <c r="AF9457">
        <v>-5.1212639500800696</v>
      </c>
      <c r="AG9457">
        <v>-1.1129418673489999</v>
      </c>
      <c r="AH9457">
        <v>20.881092448499601</v>
      </c>
      <c r="AI9457">
        <v>92.963264562618406</v>
      </c>
      <c r="AJ9457">
        <v>103.78026833925</v>
      </c>
      <c r="AK9457">
        <v>21.528725133859599</v>
      </c>
      <c r="AL9457">
        <v>87.577150520673996</v>
      </c>
      <c r="AM9457">
        <v>99.181952579941907</v>
      </c>
      <c r="AN9457">
        <v>1.00000001842468</v>
      </c>
    </row>
    <row r="9458" spans="1:40" x14ac:dyDescent="0.25">
      <c r="A9458" t="str">
        <f>"20190312150910140"</f>
        <v>20190312150910140</v>
      </c>
      <c r="B9458" t="str">
        <f>"1552374550129349"</f>
        <v>1552374550129349</v>
      </c>
      <c r="C9458" t="s">
        <v>40</v>
      </c>
      <c r="D9458">
        <v>4.6093460000000004</v>
      </c>
      <c r="E9458">
        <v>0.4711919</v>
      </c>
      <c r="F9458" t="s">
        <v>86</v>
      </c>
      <c r="G9458">
        <v>-258.35230000000001</v>
      </c>
      <c r="H9458" s="1">
        <v>-2.7491099999999999E-6</v>
      </c>
      <c r="I9458">
        <v>-60.517940000000003</v>
      </c>
      <c r="J9458">
        <v>-280.02350000000001</v>
      </c>
      <c r="K9458">
        <v>1.1128720000000001</v>
      </c>
      <c r="L9458">
        <v>-59.216709999999999</v>
      </c>
      <c r="M9458">
        <v>0.95524160000000002</v>
      </c>
      <c r="N9458">
        <v>0</v>
      </c>
      <c r="O9458">
        <v>-0.29564299999999999</v>
      </c>
      <c r="P9458">
        <v>0.98947289999999999</v>
      </c>
      <c r="Q9458">
        <v>3.3042889999999998E-2</v>
      </c>
      <c r="R9458">
        <v>-0.1408971</v>
      </c>
      <c r="S9458">
        <v>3.0109560000000002</v>
      </c>
      <c r="T9458">
        <v>-0.1537356</v>
      </c>
      <c r="U9458">
        <v>-0.1848755</v>
      </c>
      <c r="V9458">
        <v>-0.15823809999999999</v>
      </c>
      <c r="W9458">
        <v>4.2264570000000001E-2</v>
      </c>
      <c r="X9458">
        <v>0.98649600000000004</v>
      </c>
      <c r="Y9458">
        <v>-0.2358797</v>
      </c>
      <c r="Z9458">
        <v>2.087789E-2</v>
      </c>
      <c r="AA9458">
        <v>0.97155800000000003</v>
      </c>
      <c r="AB9458">
        <v>26</v>
      </c>
      <c r="AC9458">
        <v>21.671199999999999</v>
      </c>
      <c r="AD9458">
        <v>-1.11287474911</v>
      </c>
      <c r="AE9458">
        <v>-1.3012300000000001</v>
      </c>
      <c r="AF9458">
        <v>-5.1506961356259904</v>
      </c>
      <c r="AG9458">
        <v>-1.11287474911</v>
      </c>
      <c r="AH9458">
        <v>21.031813679172298</v>
      </c>
      <c r="AI9458">
        <v>92.942132319341994</v>
      </c>
      <c r="AJ9458">
        <v>103.76090818788801</v>
      </c>
      <c r="AK9458">
        <v>21.681912912014401</v>
      </c>
      <c r="AL9458">
        <v>87.577696930441107</v>
      </c>
      <c r="AM9458">
        <v>99.112856283998497</v>
      </c>
      <c r="AN9458">
        <v>0.99999997409244701</v>
      </c>
    </row>
    <row r="9459" spans="1:40" x14ac:dyDescent="0.25">
      <c r="A9459" t="str">
        <f>"20190312150910152"</f>
        <v>20190312150910152</v>
      </c>
      <c r="B9459" t="str">
        <f>"1552374550148868"</f>
        <v>1552374550148868</v>
      </c>
      <c r="C9459" t="s">
        <v>40</v>
      </c>
      <c r="D9459">
        <v>4.6082689999999999</v>
      </c>
      <c r="E9459">
        <v>0.45541619999999999</v>
      </c>
      <c r="F9459" t="s">
        <v>86</v>
      </c>
      <c r="G9459">
        <v>-258.23869999999999</v>
      </c>
      <c r="H9459" s="1">
        <v>-2.7045990000000001E-6</v>
      </c>
      <c r="I9459">
        <v>-60.536819999999999</v>
      </c>
      <c r="J9459">
        <v>-279.89589999999998</v>
      </c>
      <c r="K9459">
        <v>1.1128119999999999</v>
      </c>
      <c r="L9459">
        <v>-59.253970000000002</v>
      </c>
      <c r="M9459">
        <v>0.95582489999999998</v>
      </c>
      <c r="N9459">
        <v>0</v>
      </c>
      <c r="O9459">
        <v>-0.29375289999999998</v>
      </c>
      <c r="P9459">
        <v>0.98955150000000003</v>
      </c>
      <c r="Q9459">
        <v>3.3119669999999997E-2</v>
      </c>
      <c r="R9459">
        <v>-0.14032459999999999</v>
      </c>
      <c r="S9459">
        <v>3.0110779999999999</v>
      </c>
      <c r="T9459">
        <v>-0.15382100000000001</v>
      </c>
      <c r="U9459">
        <v>-0.1824646</v>
      </c>
      <c r="V9459">
        <v>-0.15684970000000001</v>
      </c>
      <c r="W9459">
        <v>4.2354129999999997E-2</v>
      </c>
      <c r="X9459">
        <v>0.98671390000000003</v>
      </c>
      <c r="Y9459">
        <v>-0.234738</v>
      </c>
      <c r="Z9459">
        <v>2.0767859999999999E-2</v>
      </c>
      <c r="AA9459">
        <v>0.97183679999999995</v>
      </c>
      <c r="AB9459">
        <v>26</v>
      </c>
      <c r="AC9459">
        <v>21.6571999999999</v>
      </c>
      <c r="AD9459">
        <v>-1.112814704599</v>
      </c>
      <c r="AE9459">
        <v>-1.28285</v>
      </c>
      <c r="AF9459">
        <v>-5.1224854363280397</v>
      </c>
      <c r="AG9459">
        <v>-1.112814704599</v>
      </c>
      <c r="AH9459">
        <v>21.023158324474299</v>
      </c>
      <c r="AI9459">
        <v>92.944023620847105</v>
      </c>
      <c r="AJ9459">
        <v>103.69380491920801</v>
      </c>
      <c r="AK9459">
        <v>21.666827168463701</v>
      </c>
      <c r="AL9459">
        <v>87.572561009935598</v>
      </c>
      <c r="AM9459">
        <v>99.032261196788696</v>
      </c>
      <c r="AN9459">
        <v>1.0000000105856699</v>
      </c>
    </row>
    <row r="9460" spans="1:40" x14ac:dyDescent="0.25">
      <c r="A9460" t="str">
        <f>"20190312150910163"</f>
        <v>20190312150910163</v>
      </c>
      <c r="B9460" t="str">
        <f>"1552374550158629"</f>
        <v>1552374550158629</v>
      </c>
      <c r="C9460" t="s">
        <v>40</v>
      </c>
      <c r="D9460">
        <v>5.1006140000000002</v>
      </c>
      <c r="E9460">
        <v>0.45541619999999999</v>
      </c>
      <c r="F9460" t="s">
        <v>42</v>
      </c>
      <c r="G9460">
        <v>-262.1875</v>
      </c>
      <c r="H9460" s="1">
        <v>-8.7848779999999898E-8</v>
      </c>
      <c r="I9460">
        <v>-59.570979999999999</v>
      </c>
      <c r="J9460">
        <v>-279.7706</v>
      </c>
      <c r="K9460">
        <v>1.1127530000000001</v>
      </c>
      <c r="L9460">
        <v>-59.290500000000002</v>
      </c>
      <c r="M9460">
        <v>0.95638619999999996</v>
      </c>
      <c r="N9460">
        <v>0</v>
      </c>
      <c r="O9460">
        <v>-0.29192069999999998</v>
      </c>
      <c r="P9460">
        <v>0.9896452</v>
      </c>
      <c r="Q9460">
        <v>3.3056080000000002E-2</v>
      </c>
      <c r="R9460">
        <v>-0.13967689999999999</v>
      </c>
      <c r="S9460">
        <v>3.0303650000000002</v>
      </c>
      <c r="T9460">
        <v>-0.1904305</v>
      </c>
      <c r="U9460">
        <v>-5.4260250000000003E-2</v>
      </c>
      <c r="V9460">
        <v>-0.1555984</v>
      </c>
      <c r="W9460">
        <v>4.2300299999999999E-2</v>
      </c>
      <c r="X9460">
        <v>0.98691430000000002</v>
      </c>
      <c r="Y9460">
        <v>-0.27366590000000002</v>
      </c>
      <c r="Z9460">
        <v>2.6699339999999998E-2</v>
      </c>
      <c r="AA9460">
        <v>0.96145420000000004</v>
      </c>
      <c r="AB9460">
        <v>26</v>
      </c>
      <c r="AC9460">
        <v>17.583100000000002</v>
      </c>
      <c r="AD9460">
        <v>-1.1127530878487799</v>
      </c>
      <c r="AE9460">
        <v>-0.280480000000004</v>
      </c>
      <c r="AF9460">
        <v>-4.8454843248080399</v>
      </c>
      <c r="AG9460">
        <v>-1.1127530878487799</v>
      </c>
      <c r="AH9460">
        <v>16.8316283224577</v>
      </c>
      <c r="AI9460">
        <v>93.635154935039793</v>
      </c>
      <c r="AJ9460">
        <v>106.060036237275</v>
      </c>
      <c r="AK9460">
        <v>17.550517079614501</v>
      </c>
      <c r="AL9460">
        <v>87.575647998374293</v>
      </c>
      <c r="AM9460">
        <v>98.959588345974893</v>
      </c>
      <c r="AN9460">
        <v>1.0000000065035699</v>
      </c>
    </row>
    <row r="9461" spans="1:40" x14ac:dyDescent="0.25">
      <c r="A9461" t="str">
        <f>"20190312150910175"</f>
        <v>20190312150910175</v>
      </c>
      <c r="B9461" t="str">
        <f>"1552374550169365"</f>
        <v>1552374550169365</v>
      </c>
      <c r="C9461" t="s">
        <v>40</v>
      </c>
      <c r="D9461">
        <v>4.5975619999999999</v>
      </c>
      <c r="E9461">
        <v>0.4595651</v>
      </c>
      <c r="F9461" t="s">
        <v>42</v>
      </c>
      <c r="G9461">
        <v>-262.07870000000003</v>
      </c>
      <c r="H9461" s="1">
        <v>-3.683272E-8</v>
      </c>
      <c r="I9461">
        <v>-59.595460000000003</v>
      </c>
      <c r="J9461">
        <v>-279.6379</v>
      </c>
      <c r="K9461">
        <v>1.1127039999999999</v>
      </c>
      <c r="L9461">
        <v>-59.328769999999999</v>
      </c>
      <c r="M9461">
        <v>0.95695739999999996</v>
      </c>
      <c r="N9461">
        <v>0</v>
      </c>
      <c r="O9461">
        <v>-0.29004370000000002</v>
      </c>
      <c r="P9461">
        <v>0.98971260000000005</v>
      </c>
      <c r="Q9461">
        <v>3.3420819999999997E-2</v>
      </c>
      <c r="R9461">
        <v>-0.1391124</v>
      </c>
      <c r="S9461">
        <v>3.0303650000000002</v>
      </c>
      <c r="T9461">
        <v>-0.1905985</v>
      </c>
      <c r="U9461">
        <v>-5.2246090000000002E-2</v>
      </c>
      <c r="V9461">
        <v>-0.1542183</v>
      </c>
      <c r="W9461">
        <v>4.2671899999999999E-2</v>
      </c>
      <c r="X9461">
        <v>0.98711490000000002</v>
      </c>
      <c r="Y9461">
        <v>-0.27242179999999999</v>
      </c>
      <c r="Z9461">
        <v>2.6570610000000001E-2</v>
      </c>
      <c r="AA9461">
        <v>0.96181099999999997</v>
      </c>
      <c r="AB9461">
        <v>26</v>
      </c>
      <c r="AC9461">
        <v>17.559199999999901</v>
      </c>
      <c r="AD9461">
        <v>-1.1127040368327199</v>
      </c>
      <c r="AE9461">
        <v>-0.26668999999999699</v>
      </c>
      <c r="AF9461">
        <v>-4.8186384220877096</v>
      </c>
      <c r="AG9461">
        <v>-1.1127040368327199</v>
      </c>
      <c r="AH9461">
        <v>16.814159621906601</v>
      </c>
      <c r="AI9461">
        <v>93.640011113114497</v>
      </c>
      <c r="AJ9461">
        <v>105.99135877028699</v>
      </c>
      <c r="AK9461">
        <v>17.526361582124199</v>
      </c>
      <c r="AL9461">
        <v>87.554337629903202</v>
      </c>
      <c r="AM9461">
        <v>98.879616419714196</v>
      </c>
      <c r="AN9461">
        <v>1.0000000004532501</v>
      </c>
    </row>
    <row r="9462" spans="1:40" x14ac:dyDescent="0.25">
      <c r="A9462" t="str">
        <f>"20190312150910186"</f>
        <v>20190312150910186</v>
      </c>
      <c r="B9462" t="str">
        <f>"1552374550179124"</f>
        <v>1552374550179124</v>
      </c>
      <c r="C9462" t="s">
        <v>40</v>
      </c>
      <c r="D9462">
        <v>4.6141199999999998</v>
      </c>
      <c r="E9462">
        <v>0.459173</v>
      </c>
      <c r="F9462" t="s">
        <v>86</v>
      </c>
      <c r="G9462">
        <v>-256.38069999999999</v>
      </c>
      <c r="H9462" s="1">
        <v>-1.9611289999999999E-6</v>
      </c>
      <c r="I9462">
        <v>-59.987110000000001</v>
      </c>
      <c r="J9462">
        <v>-279.51490000000001</v>
      </c>
      <c r="K9462">
        <v>1.1126640000000001</v>
      </c>
      <c r="L9462">
        <v>-59.364170000000001</v>
      </c>
      <c r="M9462">
        <v>0.95747910000000003</v>
      </c>
      <c r="N9462">
        <v>0</v>
      </c>
      <c r="O9462">
        <v>-0.2883174</v>
      </c>
      <c r="P9462">
        <v>0.98976310000000001</v>
      </c>
      <c r="Q9462">
        <v>3.3780159999999997E-2</v>
      </c>
      <c r="R9462">
        <v>-0.13866619999999999</v>
      </c>
      <c r="S9462">
        <v>3.0240480000000001</v>
      </c>
      <c r="T9462">
        <v>-0.144681</v>
      </c>
      <c r="U9462">
        <v>-8.560181E-2</v>
      </c>
      <c r="V9462">
        <v>-0.1528767</v>
      </c>
      <c r="W9462">
        <v>4.3037300000000001E-2</v>
      </c>
      <c r="X9462">
        <v>0.98730770000000001</v>
      </c>
      <c r="Y9462">
        <v>-0.26050459999999998</v>
      </c>
      <c r="Z9462">
        <v>1.9847500000000001E-2</v>
      </c>
      <c r="AA9462">
        <v>0.96526860000000003</v>
      </c>
      <c r="AB9462">
        <v>26</v>
      </c>
      <c r="AC9462">
        <v>23.1342</v>
      </c>
      <c r="AD9462">
        <v>-1.112665961129</v>
      </c>
      <c r="AE9462">
        <v>-0.62293999999999905</v>
      </c>
      <c r="AF9462">
        <v>-6.0598571239243997</v>
      </c>
      <c r="AG9462">
        <v>-1.112665961129</v>
      </c>
      <c r="AH9462">
        <v>22.279809320976199</v>
      </c>
      <c r="AI9462">
        <v>92.758941261453501</v>
      </c>
      <c r="AJ9462">
        <v>105.215725665618</v>
      </c>
      <c r="AK9462">
        <v>23.116007381952599</v>
      </c>
      <c r="AL9462">
        <v>87.533382486293107</v>
      </c>
      <c r="AM9462">
        <v>98.801892494010104</v>
      </c>
      <c r="AN9462">
        <v>0.99999999453673405</v>
      </c>
    </row>
    <row r="9463" spans="1:40" x14ac:dyDescent="0.25">
      <c r="A9463" t="str">
        <f>"20190312150910197"</f>
        <v>20190312150910197</v>
      </c>
      <c r="B9463" t="str">
        <f>"1552374550188886"</f>
        <v>1552374550188886</v>
      </c>
      <c r="C9463" t="s">
        <v>40</v>
      </c>
      <c r="D9463">
        <v>4.5891609999999998</v>
      </c>
      <c r="E9463">
        <v>0.45893230000000002</v>
      </c>
      <c r="F9463" t="s">
        <v>86</v>
      </c>
      <c r="G9463">
        <v>-258.61419999999998</v>
      </c>
      <c r="H9463" s="1">
        <v>-2.934178E-6</v>
      </c>
      <c r="I9463">
        <v>-59.919730000000001</v>
      </c>
      <c r="J9463">
        <v>-279.38580000000002</v>
      </c>
      <c r="K9463">
        <v>1.1126339999999999</v>
      </c>
      <c r="L9463">
        <v>-59.400939999999999</v>
      </c>
      <c r="M9463">
        <v>0.95801000000000003</v>
      </c>
      <c r="N9463">
        <v>0</v>
      </c>
      <c r="O9463">
        <v>-0.28654960000000002</v>
      </c>
      <c r="P9463">
        <v>0.98978480000000002</v>
      </c>
      <c r="Q9463">
        <v>3.4465830000000003E-2</v>
      </c>
      <c r="R9463">
        <v>-0.13834289999999999</v>
      </c>
      <c r="S9463">
        <v>3.0252379999999999</v>
      </c>
      <c r="T9463">
        <v>-0.1610509</v>
      </c>
      <c r="U9463">
        <v>-8.0413819999999997E-2</v>
      </c>
      <c r="V9463">
        <v>-0.15136920000000001</v>
      </c>
      <c r="W9463">
        <v>4.3728059999999999E-2</v>
      </c>
      <c r="X9463">
        <v>0.98750959999999999</v>
      </c>
      <c r="Y9463">
        <v>-0.2602429</v>
      </c>
      <c r="Z9463">
        <v>2.19852E-2</v>
      </c>
      <c r="AA9463">
        <v>0.96529290000000001</v>
      </c>
      <c r="AB9463">
        <v>26</v>
      </c>
      <c r="AC9463">
        <v>20.771599999999999</v>
      </c>
      <c r="AD9463">
        <v>-1.112636934178</v>
      </c>
      <c r="AE9463">
        <v>-0.51878999999999498</v>
      </c>
      <c r="AF9463">
        <v>-5.4397789535148302</v>
      </c>
      <c r="AG9463">
        <v>-1.112636934178</v>
      </c>
      <c r="AH9463">
        <v>19.9917983552909</v>
      </c>
      <c r="AI9463">
        <v>93.073953599581003</v>
      </c>
      <c r="AJ9463">
        <v>105.221689800118</v>
      </c>
      <c r="AK9463">
        <v>20.748521814553701</v>
      </c>
      <c r="AL9463">
        <v>87.493767554988096</v>
      </c>
      <c r="AM9463">
        <v>98.714682724139493</v>
      </c>
      <c r="AN9463">
        <v>0.99999999401608097</v>
      </c>
    </row>
    <row r="9464" spans="1:40" x14ac:dyDescent="0.25">
      <c r="A9464" t="str">
        <f>"20190312150910207"</f>
        <v>20190312150910207</v>
      </c>
      <c r="B9464" t="str">
        <f>"1552374550198646"</f>
        <v>1552374550198646</v>
      </c>
      <c r="C9464" t="s">
        <v>40</v>
      </c>
      <c r="D9464">
        <v>4.600492</v>
      </c>
      <c r="E9464">
        <v>0.45765739999999999</v>
      </c>
      <c r="F9464" t="s">
        <v>85</v>
      </c>
      <c r="G9464">
        <v>-260.30829999999997</v>
      </c>
      <c r="H9464" s="1">
        <v>7.6082520000000002E-7</v>
      </c>
      <c r="I9464">
        <v>-59.884889999999999</v>
      </c>
      <c r="J9464">
        <v>-279.27339999999998</v>
      </c>
      <c r="K9464">
        <v>1.1126020000000001</v>
      </c>
      <c r="L9464">
        <v>-59.432920000000003</v>
      </c>
      <c r="M9464">
        <v>0.95846640000000005</v>
      </c>
      <c r="N9464">
        <v>0</v>
      </c>
      <c r="O9464">
        <v>-0.28501900000000002</v>
      </c>
      <c r="P9464">
        <v>0.98981479999999999</v>
      </c>
      <c r="Q9464">
        <v>3.4699250000000001E-2</v>
      </c>
      <c r="R9464">
        <v>-0.13806650000000001</v>
      </c>
      <c r="S9464">
        <v>3.0263369999999998</v>
      </c>
      <c r="T9464">
        <v>-0.1765013</v>
      </c>
      <c r="U9464">
        <v>-7.6782230000000007E-2</v>
      </c>
      <c r="V9464">
        <v>-0.15006269999999999</v>
      </c>
      <c r="W9464">
        <v>4.3964820000000002E-2</v>
      </c>
      <c r="X9464">
        <v>0.98769850000000003</v>
      </c>
      <c r="Y9464">
        <v>-0.25971830000000001</v>
      </c>
      <c r="Z9464">
        <v>2.398192E-2</v>
      </c>
      <c r="AA9464">
        <v>0.96538659999999998</v>
      </c>
      <c r="AB9464">
        <v>26</v>
      </c>
      <c r="AC9464">
        <v>18.9651</v>
      </c>
      <c r="AD9464">
        <v>-1.1126012391747999</v>
      </c>
      <c r="AE9464">
        <v>-0.45197000000000997</v>
      </c>
      <c r="AF9464">
        <v>-4.9554348721650303</v>
      </c>
      <c r="AG9464">
        <v>-1.1126012391747999</v>
      </c>
      <c r="AH9464">
        <v>18.244448816607001</v>
      </c>
      <c r="AI9464">
        <v>93.368017941007395</v>
      </c>
      <c r="AJ9464">
        <v>105.195694476501</v>
      </c>
      <c r="AK9464">
        <v>18.938165933148699</v>
      </c>
      <c r="AL9464">
        <v>87.480189220896506</v>
      </c>
      <c r="AM9464">
        <v>98.638976919333601</v>
      </c>
      <c r="AN9464">
        <v>1.0000000231155799</v>
      </c>
    </row>
    <row r="9465" spans="1:40" x14ac:dyDescent="0.25">
      <c r="A9465" t="str">
        <f>"20190312150910218"</f>
        <v>20190312150910218</v>
      </c>
      <c r="B9465" t="str">
        <f>"1552374550209381"</f>
        <v>1552374550209381</v>
      </c>
      <c r="C9465" t="s">
        <v>40</v>
      </c>
      <c r="D9465">
        <v>4.6642960000000002</v>
      </c>
      <c r="E9465">
        <v>0.45691280000000001</v>
      </c>
      <c r="F9465" t="s">
        <v>86</v>
      </c>
      <c r="G9465">
        <v>-259.69479999999999</v>
      </c>
      <c r="H9465" s="1">
        <v>-3.4108809999999999E-6</v>
      </c>
      <c r="I9465">
        <v>-59.860370000000003</v>
      </c>
      <c r="J9465">
        <v>-279.14690000000002</v>
      </c>
      <c r="K9465">
        <v>1.112576</v>
      </c>
      <c r="L9465">
        <v>-59.468600000000002</v>
      </c>
      <c r="M9465">
        <v>0.95896990000000004</v>
      </c>
      <c r="N9465">
        <v>0</v>
      </c>
      <c r="O9465">
        <v>-0.2833214</v>
      </c>
      <c r="P9465">
        <v>0.98983750000000004</v>
      </c>
      <c r="Q9465">
        <v>3.4920930000000003E-2</v>
      </c>
      <c r="R9465">
        <v>-0.13784939999999901</v>
      </c>
      <c r="S9465">
        <v>3.027679</v>
      </c>
      <c r="T9465">
        <v>-0.17205580000000001</v>
      </c>
      <c r="U9465">
        <v>-6.6101069999999998E-2</v>
      </c>
      <c r="V9465">
        <v>-0.14852609999999999</v>
      </c>
      <c r="W9465">
        <v>4.419062E-2</v>
      </c>
      <c r="X9465">
        <v>0.98792060000000004</v>
      </c>
      <c r="Y9465">
        <v>-0.2614686</v>
      </c>
      <c r="Z9465">
        <v>2.3328100000000001E-2</v>
      </c>
      <c r="AA9465">
        <v>0.96493010000000001</v>
      </c>
      <c r="AB9465">
        <v>26</v>
      </c>
      <c r="AC9465">
        <v>19.452100000000002</v>
      </c>
      <c r="AD9465">
        <v>-1.1125794108810001</v>
      </c>
      <c r="AE9465">
        <v>-0.39176999999999401</v>
      </c>
      <c r="AF9465">
        <v>-5.11903260304938</v>
      </c>
      <c r="AG9465">
        <v>-1.1125794108810001</v>
      </c>
      <c r="AH9465">
        <v>18.704801736901</v>
      </c>
      <c r="AI9465">
        <v>93.283531051655203</v>
      </c>
      <c r="AJ9465">
        <v>105.305636588423</v>
      </c>
      <c r="AK9465">
        <v>19.424518932353902</v>
      </c>
      <c r="AL9465">
        <v>87.467239094745906</v>
      </c>
      <c r="AM9465">
        <v>98.549936620647401</v>
      </c>
      <c r="AN9465">
        <v>0.99999996259077595</v>
      </c>
    </row>
    <row r="9466" spans="1:40" x14ac:dyDescent="0.25">
      <c r="A9466" t="str">
        <f>"20190312150910229"</f>
        <v>20190312150910229</v>
      </c>
      <c r="B9466" t="str">
        <f>"1552374550219142"</f>
        <v>1552374550219142</v>
      </c>
      <c r="C9466" t="s">
        <v>40</v>
      </c>
      <c r="D9466">
        <v>4.6791049999999998</v>
      </c>
      <c r="E9466">
        <v>0.45549669999999998</v>
      </c>
      <c r="F9466" t="s">
        <v>86</v>
      </c>
      <c r="G9466">
        <v>-258.55590000000001</v>
      </c>
      <c r="H9466" s="1">
        <v>-2.9186860000000001E-6</v>
      </c>
      <c r="I9466">
        <v>-59.876769999999901</v>
      </c>
      <c r="J9466">
        <v>-279.02859999999998</v>
      </c>
      <c r="K9466">
        <v>1.112552</v>
      </c>
      <c r="L9466">
        <v>-59.501769999999901</v>
      </c>
      <c r="M9466">
        <v>0.95943449999999997</v>
      </c>
      <c r="N9466">
        <v>0</v>
      </c>
      <c r="O9466">
        <v>-0.2817443</v>
      </c>
      <c r="P9466">
        <v>0.98985590000000001</v>
      </c>
      <c r="Q9466">
        <v>3.4932379999999999E-2</v>
      </c>
      <c r="R9466">
        <v>-0.13771340000000001</v>
      </c>
      <c r="S9466">
        <v>3.0282589999999998</v>
      </c>
      <c r="T9466">
        <v>-0.16362360000000001</v>
      </c>
      <c r="U9466">
        <v>-6.0028079999999998E-2</v>
      </c>
      <c r="V9466">
        <v>-0.14703450000000001</v>
      </c>
      <c r="W9466">
        <v>4.4203489999999998E-2</v>
      </c>
      <c r="X9466">
        <v>0.98814310000000005</v>
      </c>
      <c r="Y9466">
        <v>-0.261905</v>
      </c>
      <c r="Z9466">
        <v>2.2113339999999999E-2</v>
      </c>
      <c r="AA9466">
        <v>0.96484029999999998</v>
      </c>
      <c r="AB9466">
        <v>26</v>
      </c>
      <c r="AC9466">
        <v>20.4726999999999</v>
      </c>
      <c r="AD9466">
        <v>-1.112554918686</v>
      </c>
      <c r="AE9466">
        <v>-0.375</v>
      </c>
      <c r="AF9466">
        <v>-5.3926439370927399</v>
      </c>
      <c r="AG9466">
        <v>-1.112554918686</v>
      </c>
      <c r="AH9466">
        <v>19.690780185398999</v>
      </c>
      <c r="AI9466">
        <v>93.119227220386307</v>
      </c>
      <c r="AJ9466">
        <v>105.315852119742</v>
      </c>
      <c r="AK9466">
        <v>20.446153951026002</v>
      </c>
      <c r="AL9466">
        <v>87.466500917974102</v>
      </c>
      <c r="AM9466">
        <v>98.463444119389393</v>
      </c>
      <c r="AN9466">
        <v>0.99999993939801801</v>
      </c>
    </row>
    <row r="9467" spans="1:40" x14ac:dyDescent="0.25">
      <c r="A9467" t="str">
        <f>"20190312150910307"</f>
        <v>20190312150910307</v>
      </c>
      <c r="B9467" t="str">
        <f>"1552374550299173"</f>
        <v>1552374550299173</v>
      </c>
      <c r="C9467" t="s">
        <v>40</v>
      </c>
      <c r="D9467">
        <v>4.9952449999999997</v>
      </c>
      <c r="E9467">
        <v>0.45425910000000003</v>
      </c>
      <c r="F9467" t="s">
        <v>86</v>
      </c>
      <c r="G9467">
        <v>-256.1764</v>
      </c>
      <c r="H9467" s="1">
        <v>-1.8986510000000001E-6</v>
      </c>
      <c r="I9467">
        <v>-59.873370000000001</v>
      </c>
      <c r="J9467">
        <v>-278.14139999999998</v>
      </c>
      <c r="K9467">
        <v>1.1125119999999999</v>
      </c>
      <c r="L9467">
        <v>-59.744289999999999</v>
      </c>
      <c r="M9467">
        <v>0.96278260000000004</v>
      </c>
      <c r="N9467">
        <v>0</v>
      </c>
      <c r="O9467">
        <v>-0.2700861</v>
      </c>
      <c r="P9467">
        <v>0.99009849999999999</v>
      </c>
      <c r="Q9467">
        <v>3.5488529999999997E-2</v>
      </c>
      <c r="R9467">
        <v>-0.135814299999999</v>
      </c>
      <c r="S9467">
        <v>3.029083</v>
      </c>
      <c r="T9467">
        <v>-0.1474702</v>
      </c>
      <c r="U9467">
        <v>-4.925537E-2</v>
      </c>
      <c r="V9467">
        <v>-0.1369253</v>
      </c>
      <c r="W9467">
        <v>4.4735120000000003E-2</v>
      </c>
      <c r="X9467">
        <v>0.98957070000000003</v>
      </c>
      <c r="Y9467">
        <v>-0.25379639999999998</v>
      </c>
      <c r="Z9467">
        <v>1.918336E-2</v>
      </c>
      <c r="AA9467">
        <v>0.96706740000000002</v>
      </c>
      <c r="AB9467">
        <v>26</v>
      </c>
      <c r="AC9467">
        <v>21.9649999999999</v>
      </c>
      <c r="AD9467">
        <v>-1.1125138986509999</v>
      </c>
      <c r="AE9467">
        <v>-0.12907999999999401</v>
      </c>
      <c r="AF9467">
        <v>-5.7936026590317704</v>
      </c>
      <c r="AG9467">
        <v>-1.1125138986509999</v>
      </c>
      <c r="AH9467">
        <v>21.1292728948589</v>
      </c>
      <c r="AI9467">
        <v>92.906893867673304</v>
      </c>
      <c r="AJ9467">
        <v>105.333517703236</v>
      </c>
      <c r="AK9467">
        <v>21.937403948755001</v>
      </c>
      <c r="AL9467">
        <v>87.436010675270396</v>
      </c>
      <c r="AM9467">
        <v>97.877902372615594</v>
      </c>
      <c r="AN9467">
        <v>0.99999996951999603</v>
      </c>
    </row>
    <row r="9468" spans="1:40" x14ac:dyDescent="0.25">
      <c r="A9468" t="str">
        <f>"20190312150910318"</f>
        <v>20190312150910318</v>
      </c>
      <c r="B9468" t="str">
        <f>"1552374550308933"</f>
        <v>1552374550308933</v>
      </c>
      <c r="C9468" t="s">
        <v>40</v>
      </c>
      <c r="D9468">
        <v>4.621766</v>
      </c>
      <c r="E9468">
        <v>0.45347870000000001</v>
      </c>
      <c r="F9468" t="s">
        <v>86</v>
      </c>
      <c r="G9468">
        <v>-253.5574</v>
      </c>
      <c r="H9468" s="1">
        <v>-7.4203809999999998E-7</v>
      </c>
      <c r="I9468">
        <v>-60.022829999999999</v>
      </c>
      <c r="J9468">
        <v>-278.01900000000001</v>
      </c>
      <c r="K9468">
        <v>1.1125149999999999</v>
      </c>
      <c r="L9468">
        <v>-59.776820000000001</v>
      </c>
      <c r="M9468">
        <v>0.96323130000000001</v>
      </c>
      <c r="N9468">
        <v>0</v>
      </c>
      <c r="O9468">
        <v>-0.26848260000000002</v>
      </c>
      <c r="P9468">
        <v>0.99009979999999997</v>
      </c>
      <c r="Q9468">
        <v>3.5456059999999998E-2</v>
      </c>
      <c r="R9468">
        <v>-0.13581480000000001</v>
      </c>
      <c r="S9468">
        <v>3.0302120000000001</v>
      </c>
      <c r="T9468">
        <v>-0.13712779999999899</v>
      </c>
      <c r="U9468">
        <v>-3.433228E-2</v>
      </c>
      <c r="V9468">
        <v>-0.13527709999999901</v>
      </c>
      <c r="W9468">
        <v>4.4700810000000001E-2</v>
      </c>
      <c r="X9468">
        <v>0.98979899999999998</v>
      </c>
      <c r="Y9468">
        <v>-0.25703369999999998</v>
      </c>
      <c r="Z9468">
        <v>1.783825E-2</v>
      </c>
      <c r="AA9468">
        <v>0.96623780000000004</v>
      </c>
      <c r="AB9468">
        <v>26</v>
      </c>
      <c r="AC9468">
        <v>24.461600000000001</v>
      </c>
      <c r="AD9468">
        <v>-1.1125157420381</v>
      </c>
      <c r="AE9468">
        <v>-0.246010000000012</v>
      </c>
      <c r="AF9468">
        <v>-6.31780740518749</v>
      </c>
      <c r="AG9468">
        <v>-1.1125157420381</v>
      </c>
      <c r="AH9468">
        <v>23.5806696445187</v>
      </c>
      <c r="AI9468">
        <v>92.609269224196197</v>
      </c>
      <c r="AJ9468">
        <v>104.99860808325001</v>
      </c>
      <c r="AK9468">
        <v>24.437683248811599</v>
      </c>
      <c r="AL9468">
        <v>87.437978689606297</v>
      </c>
      <c r="AM9468">
        <v>97.7824704137075</v>
      </c>
      <c r="AN9468">
        <v>1.0000000583000299</v>
      </c>
    </row>
    <row r="9469" spans="1:40" x14ac:dyDescent="0.25">
      <c r="A9469" t="str">
        <f>"20190312150910330"</f>
        <v>20190312150910330</v>
      </c>
      <c r="B9469" t="str">
        <f>"1552374550318693"</f>
        <v>1552374550318693</v>
      </c>
      <c r="C9469" t="s">
        <v>40</v>
      </c>
      <c r="D9469">
        <v>4.6583670000000001</v>
      </c>
      <c r="E9469">
        <v>0.45275189999999998</v>
      </c>
      <c r="F9469" t="s">
        <v>86</v>
      </c>
      <c r="G9469">
        <v>-252.20249999999999</v>
      </c>
      <c r="H9469" s="1">
        <v>-1.61355299999999E-7</v>
      </c>
      <c r="I9469">
        <v>-60.020400000000002</v>
      </c>
      <c r="J9469">
        <v>-277.89190000000002</v>
      </c>
      <c r="K9469">
        <v>1.1125240000000001</v>
      </c>
      <c r="L9469">
        <v>-59.810360000000003</v>
      </c>
      <c r="M9469">
        <v>0.96369459999999996</v>
      </c>
      <c r="N9469">
        <v>0</v>
      </c>
      <c r="O9469">
        <v>-0.26681500000000002</v>
      </c>
      <c r="P9469">
        <v>0.99017650000000001</v>
      </c>
      <c r="Q9469">
        <v>3.5481369999999998E-2</v>
      </c>
      <c r="R9469">
        <v>-0.135246799999999</v>
      </c>
      <c r="S9469">
        <v>3.0307309999999998</v>
      </c>
      <c r="T9469">
        <v>-0.1306041</v>
      </c>
      <c r="U9469">
        <v>-2.8594970000000001E-2</v>
      </c>
      <c r="V9469">
        <v>-0.13413139999999901</v>
      </c>
      <c r="W9469">
        <v>4.472081E-2</v>
      </c>
      <c r="X9469">
        <v>0.98995390000000005</v>
      </c>
      <c r="Y9469">
        <v>-0.25724279999999999</v>
      </c>
      <c r="Z9469">
        <v>1.6923190000000001E-2</v>
      </c>
      <c r="AA9469">
        <v>0.96619860000000002</v>
      </c>
      <c r="AB9469">
        <v>26</v>
      </c>
      <c r="AC9469">
        <v>25.689399999999999</v>
      </c>
      <c r="AD9469">
        <v>-1.1125241613553001</v>
      </c>
      <c r="AE9469">
        <v>-0.210040000000006</v>
      </c>
      <c r="AF9469">
        <v>-6.6397917734573397</v>
      </c>
      <c r="AG9469">
        <v>-1.1125241613553001</v>
      </c>
      <c r="AH9469">
        <v>24.767601425829401</v>
      </c>
      <c r="AI9469">
        <v>92.484305588817193</v>
      </c>
      <c r="AJ9469">
        <v>105.007193552453</v>
      </c>
      <c r="AK9469">
        <v>25.6662935616582</v>
      </c>
      <c r="AL9469">
        <v>87.436831358750396</v>
      </c>
      <c r="AM9469">
        <v>97.716163105236902</v>
      </c>
      <c r="AN9469">
        <v>0.99999995371911199</v>
      </c>
    </row>
    <row r="9470" spans="1:40" x14ac:dyDescent="0.25">
      <c r="A9470" t="str">
        <f>"20190312150910341"</f>
        <v>20190312150910341</v>
      </c>
      <c r="B9470" t="str">
        <f>"1552374550339189"</f>
        <v>1552374550339189</v>
      </c>
      <c r="C9470" t="s">
        <v>40</v>
      </c>
      <c r="D9470">
        <v>4.6565599999999998</v>
      </c>
      <c r="E9470">
        <v>0.4516211</v>
      </c>
      <c r="F9470" t="s">
        <v>86</v>
      </c>
      <c r="G9470">
        <v>-251.06649999999999</v>
      </c>
      <c r="H9470" s="1">
        <v>3.2117000000000001E-7</v>
      </c>
      <c r="I9470">
        <v>-59.998600000000003</v>
      </c>
      <c r="J9470">
        <v>-277.76319999999998</v>
      </c>
      <c r="K9470">
        <v>1.1125290000000001</v>
      </c>
      <c r="L9470">
        <v>-59.844180000000001</v>
      </c>
      <c r="M9470">
        <v>0.96416120000000005</v>
      </c>
      <c r="N9470">
        <v>0</v>
      </c>
      <c r="O9470">
        <v>-0.26512449999999999</v>
      </c>
      <c r="P9470">
        <v>0.99008200000000002</v>
      </c>
      <c r="Q9470">
        <v>3.5874330000000003E-2</v>
      </c>
      <c r="R9470">
        <v>-0.1358337</v>
      </c>
      <c r="S9470">
        <v>3.0313720000000002</v>
      </c>
      <c r="T9470">
        <v>-0.12571940000000001</v>
      </c>
      <c r="U9470">
        <v>-2.1270750000000001E-2</v>
      </c>
      <c r="V9470">
        <v>-0.1318058</v>
      </c>
      <c r="W9470">
        <v>4.5117619999999997E-2</v>
      </c>
      <c r="X9470">
        <v>0.99024829999999997</v>
      </c>
      <c r="Y9470">
        <v>-0.25792080000000001</v>
      </c>
      <c r="Z9470">
        <v>1.6234410000000001E-2</v>
      </c>
      <c r="AA9470">
        <v>0.96602960000000004</v>
      </c>
      <c r="AB9470">
        <v>26</v>
      </c>
      <c r="AC9470">
        <v>26.6967</v>
      </c>
      <c r="AD9470">
        <v>-1.11252867883</v>
      </c>
      <c r="AE9470">
        <v>-0.154420000000001</v>
      </c>
      <c r="AF9470">
        <v>-6.9174049291883</v>
      </c>
      <c r="AG9470">
        <v>-1.11252867883</v>
      </c>
      <c r="AH9470">
        <v>25.737485087335699</v>
      </c>
      <c r="AI9470">
        <v>92.3903992978058</v>
      </c>
      <c r="AJ9470">
        <v>105.04374710034899</v>
      </c>
      <c r="AK9470">
        <v>26.6740763595744</v>
      </c>
      <c r="AL9470">
        <v>87.414073050177194</v>
      </c>
      <c r="AM9470">
        <v>97.581720742195898</v>
      </c>
      <c r="AN9470">
        <v>1.00000003210049</v>
      </c>
    </row>
    <row r="9471" spans="1:40" x14ac:dyDescent="0.25">
      <c r="A9471" t="str">
        <f>"20190312150910352"</f>
        <v>20190312150910352</v>
      </c>
      <c r="B9471" t="str">
        <f>"1552374550348949"</f>
        <v>1552374550348949</v>
      </c>
      <c r="C9471" t="s">
        <v>40</v>
      </c>
      <c r="D9471">
        <v>4.6589929999999997</v>
      </c>
      <c r="E9471">
        <v>0.45130500000000001</v>
      </c>
      <c r="F9471" t="s">
        <v>87</v>
      </c>
      <c r="G9471">
        <v>-249.31010000000001</v>
      </c>
      <c r="H9471" s="1">
        <v>-3.0528280000000002E-6</v>
      </c>
      <c r="I9471">
        <v>-59.979559999999999</v>
      </c>
      <c r="J9471">
        <v>-277.63490000000002</v>
      </c>
      <c r="K9471">
        <v>1.112533</v>
      </c>
      <c r="L9471">
        <v>-59.877560000000003</v>
      </c>
      <c r="M9471">
        <v>0.96462369999999997</v>
      </c>
      <c r="N9471">
        <v>0</v>
      </c>
      <c r="O9471">
        <v>-0.26343680000000003</v>
      </c>
      <c r="P9471">
        <v>0.99007869999999998</v>
      </c>
      <c r="Q9471">
        <v>3.6145299999999998E-2</v>
      </c>
      <c r="R9471">
        <v>-0.1357864</v>
      </c>
      <c r="S9471">
        <v>3.03241</v>
      </c>
      <c r="T9471">
        <v>-0.1185689</v>
      </c>
      <c r="U9471">
        <v>-1.4434809999999999E-2</v>
      </c>
      <c r="V9471">
        <v>-0.13011969999999901</v>
      </c>
      <c r="W9471">
        <v>4.5389140000000001E-2</v>
      </c>
      <c r="X9471">
        <v>0.99045879999999997</v>
      </c>
      <c r="Y9471">
        <v>-0.25846029999999998</v>
      </c>
      <c r="Z9471">
        <v>1.5253849999999999E-2</v>
      </c>
      <c r="AA9471">
        <v>0.96590140000000002</v>
      </c>
      <c r="AB9471">
        <v>26</v>
      </c>
      <c r="AC9471">
        <v>28.3248</v>
      </c>
      <c r="AD9471">
        <v>-1.1125360528279999</v>
      </c>
      <c r="AE9471">
        <v>-0.102000000000003</v>
      </c>
      <c r="AF9471">
        <v>-7.3524364465488103</v>
      </c>
      <c r="AG9471">
        <v>-1.1125360528279999</v>
      </c>
      <c r="AH9471">
        <v>27.3089110201519</v>
      </c>
      <c r="AI9471">
        <v>92.252748282625703</v>
      </c>
      <c r="AJ9471">
        <v>105.068561178377</v>
      </c>
      <c r="AK9471">
        <v>28.303227365018898</v>
      </c>
      <c r="AL9471">
        <v>87.398499991430199</v>
      </c>
      <c r="AM9471">
        <v>97.484267106318299</v>
      </c>
      <c r="AN9471">
        <v>0.99999997242773397</v>
      </c>
    </row>
    <row r="9472" spans="1:40" x14ac:dyDescent="0.25">
      <c r="A9472" t="str">
        <f>"20190312150910364"</f>
        <v>20190312150910364</v>
      </c>
      <c r="B9472" t="str">
        <f>"1552374550358709"</f>
        <v>1552374550358709</v>
      </c>
      <c r="C9472" t="s">
        <v>40</v>
      </c>
      <c r="D9472">
        <v>4.6472179999999996</v>
      </c>
      <c r="E9472">
        <v>0.45095030000000003</v>
      </c>
      <c r="F9472" t="s">
        <v>87</v>
      </c>
      <c r="G9472">
        <v>-249.971</v>
      </c>
      <c r="H9472" s="1">
        <v>-3.3355629999999999E-6</v>
      </c>
      <c r="I9472">
        <v>-59.984110000000001</v>
      </c>
      <c r="J9472">
        <v>-277.50639999999999</v>
      </c>
      <c r="K9472">
        <v>1.1125389999999999</v>
      </c>
      <c r="L9472">
        <v>-59.910890000000002</v>
      </c>
      <c r="M9472">
        <v>0.96508459999999996</v>
      </c>
      <c r="N9472">
        <v>0</v>
      </c>
      <c r="O9472">
        <v>-0.26174409999999998</v>
      </c>
      <c r="P9472">
        <v>0.99008700000000005</v>
      </c>
      <c r="Q9472">
        <v>3.638748E-2</v>
      </c>
      <c r="R9472">
        <v>-0.13566</v>
      </c>
      <c r="S9472">
        <v>3.0329280000000001</v>
      </c>
      <c r="T9472">
        <v>-0.1219727</v>
      </c>
      <c r="U9472">
        <v>-1.1688230000000001E-2</v>
      </c>
      <c r="V9472">
        <v>-0.1285066</v>
      </c>
      <c r="W9472">
        <v>4.5631119999999997E-2</v>
      </c>
      <c r="X9472">
        <v>0.99065829999999999</v>
      </c>
      <c r="Y9472">
        <v>-0.25762010000000002</v>
      </c>
      <c r="Z9472">
        <v>1.560601E-2</v>
      </c>
      <c r="AA9472">
        <v>0.96612019999999998</v>
      </c>
      <c r="AB9472">
        <v>26</v>
      </c>
      <c r="AC9472">
        <v>27.535399999999999</v>
      </c>
      <c r="AD9472">
        <v>-1.112542335563</v>
      </c>
      <c r="AE9472">
        <v>-7.3219999999999105E-2</v>
      </c>
      <c r="AF9472">
        <v>-7.1252961782092799</v>
      </c>
      <c r="AG9472">
        <v>-1.112542335563</v>
      </c>
      <c r="AH9472">
        <v>26.551164125828599</v>
      </c>
      <c r="AI9472">
        <v>92.317489215955902</v>
      </c>
      <c r="AJ9472">
        <v>105.02201044850401</v>
      </c>
      <c r="AK9472">
        <v>27.513122551108498</v>
      </c>
      <c r="AL9472">
        <v>87.384621266933095</v>
      </c>
      <c r="AM9472">
        <v>97.391044660174799</v>
      </c>
      <c r="AN9472">
        <v>1.0000000063574499</v>
      </c>
    </row>
    <row r="9473" spans="1:40" x14ac:dyDescent="0.25">
      <c r="A9473" t="str">
        <f>"20190312150910376"</f>
        <v>20190312150910376</v>
      </c>
      <c r="B9473" t="str">
        <f>"1552374550369445"</f>
        <v>1552374550369445</v>
      </c>
      <c r="C9473" t="s">
        <v>40</v>
      </c>
      <c r="D9473">
        <v>4.5854990000000004</v>
      </c>
      <c r="E9473">
        <v>0.45050390000000001</v>
      </c>
      <c r="F9473" t="s">
        <v>87</v>
      </c>
      <c r="G9473">
        <v>-249.40770000000001</v>
      </c>
      <c r="H9473" s="1">
        <v>-3.0928100000000001E-6</v>
      </c>
      <c r="I9473">
        <v>-59.990270000000002</v>
      </c>
      <c r="J9473">
        <v>-277.37639999999999</v>
      </c>
      <c r="K9473">
        <v>1.112541</v>
      </c>
      <c r="L9473">
        <v>-59.944180000000003</v>
      </c>
      <c r="M9473">
        <v>0.96554799999999996</v>
      </c>
      <c r="N9473">
        <v>0</v>
      </c>
      <c r="O9473">
        <v>-0.26002950000000002</v>
      </c>
      <c r="P9473">
        <v>0.9900776</v>
      </c>
      <c r="Q9473">
        <v>3.6464459999999997E-2</v>
      </c>
      <c r="R9473">
        <v>-0.13571029999999901</v>
      </c>
      <c r="S9473">
        <v>3.033264</v>
      </c>
      <c r="T9473">
        <v>-0.1200994</v>
      </c>
      <c r="U9473">
        <v>-8.5754390000000007E-3</v>
      </c>
      <c r="V9473">
        <v>-0.12669629999999901</v>
      </c>
      <c r="W9473">
        <v>4.5711630000000003E-2</v>
      </c>
      <c r="X9473">
        <v>0.99088779999999999</v>
      </c>
      <c r="Y9473">
        <v>-0.25691039999999998</v>
      </c>
      <c r="Z9473">
        <v>1.5285129999999999E-2</v>
      </c>
      <c r="AA9473">
        <v>0.96631440000000002</v>
      </c>
      <c r="AB9473">
        <v>26</v>
      </c>
      <c r="AC9473">
        <v>27.968699999999899</v>
      </c>
      <c r="AD9473">
        <v>-1.1125440928100001</v>
      </c>
      <c r="AE9473">
        <v>-4.6089999999992401E-2</v>
      </c>
      <c r="AF9473">
        <v>-7.2171329518969003</v>
      </c>
      <c r="AG9473">
        <v>-1.1125440928100001</v>
      </c>
      <c r="AH9473">
        <v>26.975797492184501</v>
      </c>
      <c r="AI9473">
        <v>92.281518560958801</v>
      </c>
      <c r="AJ9473">
        <v>104.978178959685</v>
      </c>
      <c r="AK9473">
        <v>27.9467066528983</v>
      </c>
      <c r="AL9473">
        <v>87.380003729162198</v>
      </c>
      <c r="AM9473">
        <v>97.286382911515304</v>
      </c>
      <c r="AN9473">
        <v>1.00000006886989</v>
      </c>
    </row>
    <row r="9474" spans="1:40" x14ac:dyDescent="0.25">
      <c r="A9474" t="str">
        <f>"20190312150910387"</f>
        <v>20190312150910387</v>
      </c>
      <c r="B9474" t="str">
        <f>"1552374550379205"</f>
        <v>1552374550379205</v>
      </c>
      <c r="C9474" t="s">
        <v>40</v>
      </c>
      <c r="D9474">
        <v>4.6343709999999998</v>
      </c>
      <c r="E9474">
        <v>0.450266</v>
      </c>
      <c r="F9474" t="s">
        <v>87</v>
      </c>
      <c r="G9474">
        <v>-248.90770000000001</v>
      </c>
      <c r="H9474" s="1">
        <v>-2.8774760000000002E-6</v>
      </c>
      <c r="I9474">
        <v>-59.994810000000001</v>
      </c>
      <c r="J9474">
        <v>-277.24610000000001</v>
      </c>
      <c r="K9474">
        <v>1.112544</v>
      </c>
      <c r="L9474">
        <v>-59.977420000000002</v>
      </c>
      <c r="M9474">
        <v>0.96600960000000002</v>
      </c>
      <c r="N9474">
        <v>0</v>
      </c>
      <c r="O9474">
        <v>-0.25830959999999997</v>
      </c>
      <c r="P9474">
        <v>0.99015160000000002</v>
      </c>
      <c r="Q9474">
        <v>3.6508680000000002E-2</v>
      </c>
      <c r="R9474">
        <v>-0.135156</v>
      </c>
      <c r="S9474">
        <v>3.033722</v>
      </c>
      <c r="T9474">
        <v>-0.1185561</v>
      </c>
      <c r="U9474">
        <v>-5.4016109999999997E-3</v>
      </c>
      <c r="V9474">
        <v>-0.1254863</v>
      </c>
      <c r="W9474">
        <v>4.5754969999999999E-2</v>
      </c>
      <c r="X9474">
        <v>0.99103969999999997</v>
      </c>
      <c r="Y9474">
        <v>-0.25621290000000002</v>
      </c>
      <c r="Z9474">
        <v>1.5007940000000001E-2</v>
      </c>
      <c r="AA9474">
        <v>0.96650389999999997</v>
      </c>
      <c r="AB9474">
        <v>26</v>
      </c>
      <c r="AC9474">
        <v>28.3384</v>
      </c>
      <c r="AD9474">
        <v>-1.1125468774759999</v>
      </c>
      <c r="AE9474">
        <v>-1.7390000000006001E-2</v>
      </c>
      <c r="AF9474">
        <v>-7.2924131472851297</v>
      </c>
      <c r="AG9474">
        <v>-1.1125468774759999</v>
      </c>
      <c r="AH9474">
        <v>27.3389121560527</v>
      </c>
      <c r="AI9474">
        <v>92.251701102590005</v>
      </c>
      <c r="AJ9474">
        <v>104.935401905975</v>
      </c>
      <c r="AK9474">
        <v>28.3166588414249</v>
      </c>
      <c r="AL9474">
        <v>87.377517769241905</v>
      </c>
      <c r="AM9474">
        <v>97.216437776351</v>
      </c>
      <c r="AN9474">
        <v>1.0000000078717399</v>
      </c>
    </row>
    <row r="9475" spans="1:40" x14ac:dyDescent="0.25">
      <c r="A9475" t="str">
        <f>"20190312150910398"</f>
        <v>20190312150910398</v>
      </c>
      <c r="B9475" t="str">
        <f>"1552374550388966"</f>
        <v>1552374550388966</v>
      </c>
      <c r="C9475" t="s">
        <v>40</v>
      </c>
      <c r="D9475">
        <v>4.6076560000000004</v>
      </c>
      <c r="E9475">
        <v>0.45020539999999998</v>
      </c>
      <c r="F9475" t="s">
        <v>87</v>
      </c>
      <c r="G9475">
        <v>-248.7878</v>
      </c>
      <c r="H9475" s="1">
        <v>-2.8259349999999998E-6</v>
      </c>
      <c r="I9475">
        <v>-59.99539</v>
      </c>
      <c r="J9475">
        <v>-277.10969999999998</v>
      </c>
      <c r="K9475">
        <v>1.1125400000000001</v>
      </c>
      <c r="L9475">
        <v>-60.011899999999997</v>
      </c>
      <c r="M9475">
        <v>0.96648990000000001</v>
      </c>
      <c r="N9475">
        <v>0</v>
      </c>
      <c r="O9475">
        <v>-0.25650719999999999</v>
      </c>
      <c r="P9475">
        <v>0.99023159999999999</v>
      </c>
      <c r="Q9475">
        <v>3.6476599999999998E-2</v>
      </c>
      <c r="R9475">
        <v>-0.13457659999999999</v>
      </c>
      <c r="S9475">
        <v>3.0339360000000002</v>
      </c>
      <c r="T9475">
        <v>-0.11860809999999999</v>
      </c>
      <c r="U9475">
        <v>-1.922607E-3</v>
      </c>
      <c r="V9475">
        <v>-0.1242166</v>
      </c>
      <c r="W9475">
        <v>4.5721150000000002E-2</v>
      </c>
      <c r="X9475">
        <v>0.9912012</v>
      </c>
      <c r="Y9475">
        <v>-0.25551980000000002</v>
      </c>
      <c r="Z9475">
        <v>1.4931720000000001E-2</v>
      </c>
      <c r="AA9475">
        <v>0.96668849999999995</v>
      </c>
      <c r="AB9475">
        <v>26</v>
      </c>
      <c r="AC9475">
        <v>28.3218999999999</v>
      </c>
      <c r="AD9475">
        <v>-1.1125428259350001</v>
      </c>
      <c r="AE9475">
        <v>1.65099999999966E-2</v>
      </c>
      <c r="AF9475">
        <v>-7.2698789126699497</v>
      </c>
      <c r="AG9475">
        <v>-1.1125428259350001</v>
      </c>
      <c r="AH9475">
        <v>27.3278130810071</v>
      </c>
      <c r="AI9475">
        <v>92.2530074220941</v>
      </c>
      <c r="AJ9475">
        <v>104.897082705378</v>
      </c>
      <c r="AK9475">
        <v>28.300145913667698</v>
      </c>
      <c r="AL9475">
        <v>87.379457529952802</v>
      </c>
      <c r="AM9475">
        <v>97.143026421013602</v>
      </c>
      <c r="AN9475">
        <v>1.0000000030771601</v>
      </c>
    </row>
    <row r="9476" spans="1:40" x14ac:dyDescent="0.25">
      <c r="A9476" t="str">
        <f>"20190312150910409"</f>
        <v>20190312150910409</v>
      </c>
      <c r="B9476" t="str">
        <f>"1552374550398727"</f>
        <v>1552374550398727</v>
      </c>
      <c r="C9476" t="s">
        <v>40</v>
      </c>
      <c r="D9476">
        <v>4.6287729999999998</v>
      </c>
      <c r="E9476">
        <v>0.45011760000000001</v>
      </c>
      <c r="F9476" t="s">
        <v>87</v>
      </c>
      <c r="G9476">
        <v>-248.56059999999999</v>
      </c>
      <c r="H9476" s="1">
        <v>-2.7259660000000002E-6</v>
      </c>
      <c r="I9476">
        <v>-60.009540000000001</v>
      </c>
      <c r="J9476">
        <v>-276.99299999999999</v>
      </c>
      <c r="K9476">
        <v>1.112544</v>
      </c>
      <c r="L9476">
        <v>-60.041200000000003</v>
      </c>
      <c r="M9476">
        <v>0.96689809999999998</v>
      </c>
      <c r="N9476">
        <v>0</v>
      </c>
      <c r="O9476">
        <v>-0.25496449999999998</v>
      </c>
      <c r="P9476">
        <v>0.99026190000000003</v>
      </c>
      <c r="Q9476">
        <v>3.6542999999999999E-2</v>
      </c>
      <c r="R9476">
        <v>-0.13433580000000001</v>
      </c>
      <c r="S9476">
        <v>3.0339969999999998</v>
      </c>
      <c r="T9476">
        <v>-0.118233</v>
      </c>
      <c r="U9476">
        <v>2.4414059999999999E-4</v>
      </c>
      <c r="V9476">
        <v>-0.1228757</v>
      </c>
      <c r="W9476">
        <v>4.5787840000000003E-2</v>
      </c>
      <c r="X9476">
        <v>0.9913653</v>
      </c>
      <c r="Y9476">
        <v>-0.2546716</v>
      </c>
      <c r="Z9476">
        <v>1.480939E-2</v>
      </c>
      <c r="AA9476">
        <v>0.96691419999999995</v>
      </c>
      <c r="AB9476">
        <v>26</v>
      </c>
      <c r="AC9476">
        <v>28.432400000000001</v>
      </c>
      <c r="AD9476">
        <v>-1.112546725966</v>
      </c>
      <c r="AE9476">
        <v>3.16600000000022E-2</v>
      </c>
      <c r="AF9476">
        <v>-7.2691030544302402</v>
      </c>
      <c r="AG9476">
        <v>-1.112546725966</v>
      </c>
      <c r="AH9476">
        <v>27.442533890925102</v>
      </c>
      <c r="AI9476">
        <v>92.244240353841306</v>
      </c>
      <c r="AJ9476">
        <v>104.83604576384</v>
      </c>
      <c r="AK9476">
        <v>28.4107424364087</v>
      </c>
      <c r="AL9476">
        <v>87.375632620596903</v>
      </c>
      <c r="AM9476">
        <v>97.065544364375796</v>
      </c>
      <c r="AN9476">
        <v>1.00000006099322</v>
      </c>
    </row>
    <row r="9477" spans="1:40" x14ac:dyDescent="0.25">
      <c r="A9477" t="str">
        <f>"20190312150910419"</f>
        <v>20190312150910419</v>
      </c>
      <c r="B9477" t="str">
        <f>"1552374550409462"</f>
        <v>1552374550409462</v>
      </c>
      <c r="C9477" t="s">
        <v>40</v>
      </c>
      <c r="D9477">
        <v>4.6253409999999997</v>
      </c>
      <c r="E9477">
        <v>0.44996330000000001</v>
      </c>
      <c r="F9477" t="s">
        <v>87</v>
      </c>
      <c r="G9477">
        <v>-248.66540000000001</v>
      </c>
      <c r="H9477" s="1">
        <v>-2.7681670000000002E-6</v>
      </c>
      <c r="I9477">
        <v>-60.025179999999999</v>
      </c>
      <c r="J9477">
        <v>-276.87200000000001</v>
      </c>
      <c r="K9477">
        <v>1.1125480000000001</v>
      </c>
      <c r="L9477">
        <v>-60.071379999999998</v>
      </c>
      <c r="M9477">
        <v>0.96731900000000004</v>
      </c>
      <c r="N9477">
        <v>0</v>
      </c>
      <c r="O9477">
        <v>-0.253362799999999</v>
      </c>
      <c r="P9477">
        <v>0.99032480000000001</v>
      </c>
      <c r="Q9477">
        <v>3.6496939999999999E-2</v>
      </c>
      <c r="R9477">
        <v>-0.13388369999999999</v>
      </c>
      <c r="S9477">
        <v>3.0340880000000001</v>
      </c>
      <c r="T9477">
        <v>-0.1191615</v>
      </c>
      <c r="U9477">
        <v>1.708984E-3</v>
      </c>
      <c r="V9477">
        <v>-0.121687</v>
      </c>
      <c r="W9477">
        <v>4.5740200000000002E-2</v>
      </c>
      <c r="X9477">
        <v>0.99151400000000001</v>
      </c>
      <c r="Y9477">
        <v>-0.25353289999999901</v>
      </c>
      <c r="Z9477">
        <v>1.4841679999999999E-2</v>
      </c>
      <c r="AA9477">
        <v>0.96721290000000004</v>
      </c>
      <c r="AB9477">
        <v>27</v>
      </c>
      <c r="AC9477">
        <v>28.206600000000002</v>
      </c>
      <c r="AD9477">
        <v>-1.1125507681669999</v>
      </c>
      <c r="AE9477">
        <v>4.6199999999998902E-2</v>
      </c>
      <c r="AF9477">
        <v>-7.1803865369607998</v>
      </c>
      <c r="AG9477">
        <v>-1.1125507681669999</v>
      </c>
      <c r="AH9477">
        <v>27.232089411900802</v>
      </c>
      <c r="AI9477">
        <v>92.262249532583795</v>
      </c>
      <c r="AJ9477">
        <v>104.771200207143</v>
      </c>
      <c r="AK9477">
        <v>28.184790468791402</v>
      </c>
      <c r="AL9477">
        <v>87.378364768336098</v>
      </c>
      <c r="AM9477">
        <v>96.996834154023404</v>
      </c>
      <c r="AN9477">
        <v>0.99999995203051795</v>
      </c>
    </row>
    <row r="9478" spans="1:40" x14ac:dyDescent="0.25">
      <c r="A9478" t="str">
        <f>"20190312150910430"</f>
        <v>20190312150910430</v>
      </c>
      <c r="B9478" t="str">
        <f>"1552374550419221"</f>
        <v>1552374550419221</v>
      </c>
      <c r="C9478" t="s">
        <v>40</v>
      </c>
      <c r="D9478">
        <v>4.6176069999999996</v>
      </c>
      <c r="E9478">
        <v>0.44982050000000001</v>
      </c>
      <c r="F9478" t="s">
        <v>87</v>
      </c>
      <c r="G9478">
        <v>-248.45660000000001</v>
      </c>
      <c r="H9478" s="1">
        <v>-2.677561E-6</v>
      </c>
      <c r="I9478">
        <v>-60.031019999999998</v>
      </c>
      <c r="J9478">
        <v>-276.74430000000001</v>
      </c>
      <c r="K9478">
        <v>1.112555</v>
      </c>
      <c r="L9478">
        <v>-60.1029699999999</v>
      </c>
      <c r="M9478">
        <v>0.96776010000000001</v>
      </c>
      <c r="N9478">
        <v>0</v>
      </c>
      <c r="O9478">
        <v>-0.2516736</v>
      </c>
      <c r="P9478">
        <v>0.99039379999999999</v>
      </c>
      <c r="Q9478">
        <v>3.6654289999999999E-2</v>
      </c>
      <c r="R9478">
        <v>-0.13333100000000001</v>
      </c>
      <c r="S9478">
        <v>3.0343019999999998</v>
      </c>
      <c r="T9478">
        <v>-0.1188023</v>
      </c>
      <c r="U9478">
        <v>4.3029790000000002E-3</v>
      </c>
      <c r="V9478">
        <v>-0.1205084</v>
      </c>
      <c r="W9478">
        <v>4.589501E-2</v>
      </c>
      <c r="X9478">
        <v>0.99165080000000005</v>
      </c>
      <c r="Y9478">
        <v>-0.25267509999999999</v>
      </c>
      <c r="Z9478">
        <v>1.4714959999999999E-2</v>
      </c>
      <c r="AA9478">
        <v>0.9674393</v>
      </c>
      <c r="AB9478">
        <v>27</v>
      </c>
      <c r="AC9478">
        <v>28.287700000000001</v>
      </c>
      <c r="AD9478">
        <v>-1.112557677561</v>
      </c>
      <c r="AE9478">
        <v>7.1949999999993894E-2</v>
      </c>
      <c r="AF9478">
        <v>-7.1781564380979903</v>
      </c>
      <c r="AG9478">
        <v>-1.112557677561</v>
      </c>
      <c r="AH9478">
        <v>27.316723471752301</v>
      </c>
      <c r="AI9478">
        <v>92.255760156115201</v>
      </c>
      <c r="AJ9478">
        <v>104.72305220984001</v>
      </c>
      <c r="AK9478">
        <v>28.266006008417399</v>
      </c>
      <c r="AL9478">
        <v>87.369485524896206</v>
      </c>
      <c r="AM9478">
        <v>96.928781726314796</v>
      </c>
      <c r="AN9478">
        <v>0.99999996777704903</v>
      </c>
    </row>
    <row r="9479" spans="1:40" x14ac:dyDescent="0.25">
      <c r="A9479" t="str">
        <f>"20190312150910453"</f>
        <v>20190312150910453</v>
      </c>
      <c r="B9479" t="str">
        <f>"1552374550449477"</f>
        <v>1552374550449477</v>
      </c>
      <c r="C9479" t="s">
        <v>40</v>
      </c>
      <c r="D9479">
        <v>4.6314989999999998</v>
      </c>
      <c r="E9479">
        <v>0.44955659999999997</v>
      </c>
      <c r="F9479" t="s">
        <v>87</v>
      </c>
      <c r="G9479">
        <v>-248.0523</v>
      </c>
      <c r="H9479" s="1">
        <v>-2.5032189999999999E-6</v>
      </c>
      <c r="I9479">
        <v>-60.035960000000003</v>
      </c>
      <c r="J9479">
        <v>-276.4864</v>
      </c>
      <c r="K9479">
        <v>1.11256</v>
      </c>
      <c r="L9479">
        <v>-60.166080000000001</v>
      </c>
      <c r="M9479">
        <v>0.96864130000000004</v>
      </c>
      <c r="N9479">
        <v>0</v>
      </c>
      <c r="O9479">
        <v>-0.24826129999999999</v>
      </c>
      <c r="P9479">
        <v>0.99057189999999995</v>
      </c>
      <c r="Q9479">
        <v>3.7414599999999999E-2</v>
      </c>
      <c r="R9479">
        <v>-0.1317856</v>
      </c>
      <c r="S9479">
        <v>3.0343930000000001</v>
      </c>
      <c r="T9479">
        <v>-0.11766119999999999</v>
      </c>
      <c r="U9479">
        <v>7.0800780000000001E-3</v>
      </c>
      <c r="V9479">
        <v>-0.1185577</v>
      </c>
      <c r="W9479">
        <v>4.6648559999999999E-2</v>
      </c>
      <c r="X9479">
        <v>0.99185080000000003</v>
      </c>
      <c r="Y9479">
        <v>-0.25016169999999999</v>
      </c>
      <c r="Z9479">
        <v>1.439584E-2</v>
      </c>
      <c r="AA9479">
        <v>0.96809699999999999</v>
      </c>
      <c r="AB9479">
        <v>27</v>
      </c>
      <c r="AC9479">
        <v>28.434100000000001</v>
      </c>
      <c r="AD9479">
        <v>-1.1125625032189901</v>
      </c>
      <c r="AE9479">
        <v>0.130120000000012</v>
      </c>
      <c r="AF9479">
        <v>-7.1745030095684497</v>
      </c>
      <c r="AG9479">
        <v>-1.1125625032189901</v>
      </c>
      <c r="AH9479">
        <v>27.469466018939301</v>
      </c>
      <c r="AI9479">
        <v>92.244115641629094</v>
      </c>
      <c r="AJ9479">
        <v>104.637580451009</v>
      </c>
      <c r="AK9479">
        <v>28.412723419685399</v>
      </c>
      <c r="AL9479">
        <v>87.326264113476199</v>
      </c>
      <c r="AM9479">
        <v>96.816326222420599</v>
      </c>
      <c r="AN9479">
        <v>1.00000001292</v>
      </c>
    </row>
    <row r="9480" spans="1:40" x14ac:dyDescent="0.25">
      <c r="A9480" t="str">
        <f>"20190312150910464"</f>
        <v>20190312150910464</v>
      </c>
      <c r="B9480" t="str">
        <f>"1552374550459237"</f>
        <v>1552374550459237</v>
      </c>
      <c r="C9480" t="s">
        <v>40</v>
      </c>
      <c r="D9480">
        <v>4.6283960000000004</v>
      </c>
      <c r="E9480">
        <v>0.44936470000000001</v>
      </c>
      <c r="F9480" t="s">
        <v>87</v>
      </c>
      <c r="G9480">
        <v>-247.3005</v>
      </c>
      <c r="H9480" s="1">
        <v>-2.1812399999999998E-6</v>
      </c>
      <c r="I9480">
        <v>-60.033059999999999</v>
      </c>
      <c r="J9480">
        <v>-276.35680000000002</v>
      </c>
      <c r="K9480">
        <v>1.1125590000000001</v>
      </c>
      <c r="L9480">
        <v>-60.197539999999996</v>
      </c>
      <c r="M9480">
        <v>0.96907960000000004</v>
      </c>
      <c r="N9480">
        <v>0</v>
      </c>
      <c r="O9480">
        <v>-0.24654519999999999</v>
      </c>
      <c r="P9480">
        <v>0.99070610000000003</v>
      </c>
      <c r="Q9480">
        <v>3.7512440000000001E-2</v>
      </c>
      <c r="R9480">
        <v>-0.130746</v>
      </c>
      <c r="S9480">
        <v>3.0347900000000001</v>
      </c>
      <c r="T9480">
        <v>-0.1156857</v>
      </c>
      <c r="U9480">
        <v>1.382446E-2</v>
      </c>
      <c r="V9480">
        <v>-0.1178416</v>
      </c>
      <c r="W9480">
        <v>4.6740959999999998E-2</v>
      </c>
      <c r="X9480">
        <v>0.99193180000000003</v>
      </c>
      <c r="Y9480">
        <v>-0.25061129999999998</v>
      </c>
      <c r="Z9480">
        <v>1.4097790000000001E-2</v>
      </c>
      <c r="AA9480">
        <v>0.96798519999999999</v>
      </c>
      <c r="AB9480">
        <v>27</v>
      </c>
      <c r="AC9480">
        <v>29.0563</v>
      </c>
      <c r="AD9480">
        <v>-1.11256118124</v>
      </c>
      <c r="AE9480">
        <v>0.16448000000000401</v>
      </c>
      <c r="AF9480">
        <v>-7.3127314560274304</v>
      </c>
      <c r="AG9480">
        <v>-1.11256118124</v>
      </c>
      <c r="AH9480">
        <v>28.077560981661101</v>
      </c>
      <c r="AI9480">
        <v>92.195951691932905</v>
      </c>
      <c r="AJ9480">
        <v>104.598231640335</v>
      </c>
      <c r="AK9480">
        <v>29.0355517324688</v>
      </c>
      <c r="AL9480">
        <v>87.320964242671394</v>
      </c>
      <c r="AM9480">
        <v>96.774990721122805</v>
      </c>
      <c r="AN9480">
        <v>1.00000002794176</v>
      </c>
    </row>
    <row r="9481" spans="1:40" x14ac:dyDescent="0.25">
      <c r="A9481" t="str">
        <f>"20190312150910475"</f>
        <v>20190312150910475</v>
      </c>
      <c r="B9481" t="str">
        <f>"1552374550468997"</f>
        <v>1552374550468997</v>
      </c>
      <c r="C9481" t="s">
        <v>40</v>
      </c>
      <c r="D9481">
        <v>4.5858349999999897</v>
      </c>
      <c r="E9481">
        <v>0.44931450000000001</v>
      </c>
      <c r="F9481" t="s">
        <v>87</v>
      </c>
      <c r="G9481">
        <v>-246.9692</v>
      </c>
      <c r="H9481" s="1">
        <v>-2.041635E-6</v>
      </c>
      <c r="I9481">
        <v>-60.018700000000003</v>
      </c>
      <c r="J9481">
        <v>-276.22609999999997</v>
      </c>
      <c r="K9481">
        <v>1.1125620000000001</v>
      </c>
      <c r="L9481">
        <v>-60.228819999999899</v>
      </c>
      <c r="M9481">
        <v>0.96951799999999999</v>
      </c>
      <c r="N9481">
        <v>0</v>
      </c>
      <c r="O9481">
        <v>-0.24481559999999999</v>
      </c>
      <c r="P9481">
        <v>0.99084159999999999</v>
      </c>
      <c r="Q9481">
        <v>3.7810530000000002E-2</v>
      </c>
      <c r="R9481">
        <v>-0.12962760000000001</v>
      </c>
      <c r="S9481">
        <v>3.0349729999999999</v>
      </c>
      <c r="T9481">
        <v>-0.11489829999999999</v>
      </c>
      <c r="U9481">
        <v>1.8463130000000001E-2</v>
      </c>
      <c r="V9481">
        <v>-0.11719010000000001</v>
      </c>
      <c r="W9481">
        <v>4.7034850000000003E-2</v>
      </c>
      <c r="X9481">
        <v>0.99199499999999996</v>
      </c>
      <c r="Y9481">
        <v>-0.25036940000000002</v>
      </c>
      <c r="Z9481">
        <v>1.393295E-2</v>
      </c>
      <c r="AA9481">
        <v>0.96805010000000002</v>
      </c>
      <c r="AB9481">
        <v>27</v>
      </c>
      <c r="AC9481">
        <v>29.256899999999899</v>
      </c>
      <c r="AD9481">
        <v>-1.112564041635</v>
      </c>
      <c r="AE9481">
        <v>0.21011999999998901</v>
      </c>
      <c r="AF9481">
        <v>-7.3559927830279896</v>
      </c>
      <c r="AG9481">
        <v>-1.112564041635</v>
      </c>
      <c r="AH9481">
        <v>28.274183984293899</v>
      </c>
      <c r="AI9481">
        <v>92.180850420002002</v>
      </c>
      <c r="AJ9481">
        <v>104.583146396904</v>
      </c>
      <c r="AK9481">
        <v>29.236585104084899</v>
      </c>
      <c r="AL9481">
        <v>87.304106804438604</v>
      </c>
      <c r="AM9481">
        <v>96.737454449394093</v>
      </c>
      <c r="AN9481">
        <v>0.99999993833876399</v>
      </c>
    </row>
    <row r="9482" spans="1:40" x14ac:dyDescent="0.25">
      <c r="A9482" t="str">
        <f>"20190312150910486"</f>
        <v>20190312150910486</v>
      </c>
      <c r="B9482" t="str">
        <f>"1552374550478758"</f>
        <v>1552374550478758</v>
      </c>
      <c r="C9482" t="s">
        <v>40</v>
      </c>
      <c r="D9482">
        <v>4.5988749999999996</v>
      </c>
      <c r="E9482">
        <v>0.44920470000000001</v>
      </c>
      <c r="F9482" t="s">
        <v>87</v>
      </c>
      <c r="G9482">
        <v>-247.08750000000001</v>
      </c>
      <c r="H9482" s="1">
        <v>-2.0931689999999999E-6</v>
      </c>
      <c r="I9482">
        <v>-60.014290000000003</v>
      </c>
      <c r="J9482">
        <v>-276.09609999999998</v>
      </c>
      <c r="K9482">
        <v>1.112565</v>
      </c>
      <c r="L9482">
        <v>-60.259830000000001</v>
      </c>
      <c r="M9482">
        <v>0.96995089999999995</v>
      </c>
      <c r="N9482">
        <v>0</v>
      </c>
      <c r="O9482">
        <v>-0.24309539999999999</v>
      </c>
      <c r="P9482">
        <v>0.9910274</v>
      </c>
      <c r="Q9482">
        <v>3.8117610000000003E-2</v>
      </c>
      <c r="R9482">
        <v>-0.12811</v>
      </c>
      <c r="S9482">
        <v>3.0350950000000001</v>
      </c>
      <c r="T9482">
        <v>-0.1158853</v>
      </c>
      <c r="U9482">
        <v>2.233887E-2</v>
      </c>
      <c r="V9482">
        <v>-0.1169491</v>
      </c>
      <c r="W9482">
        <v>4.7334929999999997E-2</v>
      </c>
      <c r="X9482">
        <v>0.99200920000000004</v>
      </c>
      <c r="Y9482">
        <v>-0.24988350000000001</v>
      </c>
      <c r="Z9482">
        <v>1.3978869999999999E-2</v>
      </c>
      <c r="AA9482">
        <v>0.96817500000000001</v>
      </c>
      <c r="AB9482">
        <v>27</v>
      </c>
      <c r="AC9482">
        <v>29.008599999999898</v>
      </c>
      <c r="AD9482">
        <v>-1.1125670931689999</v>
      </c>
      <c r="AE9482">
        <v>0.245540000000005</v>
      </c>
      <c r="AF9482">
        <v>-7.2796757524154696</v>
      </c>
      <c r="AG9482">
        <v>-1.1125670931689999</v>
      </c>
      <c r="AH9482">
        <v>28.037391549446198</v>
      </c>
      <c r="AI9482">
        <v>92.199537701773394</v>
      </c>
      <c r="AJ9482">
        <v>104.554984851331</v>
      </c>
      <c r="AK9482">
        <v>28.9883909435151</v>
      </c>
      <c r="AL9482">
        <v>87.286894400661694</v>
      </c>
      <c r="AM9482">
        <v>96.723630576590296</v>
      </c>
      <c r="AN9482">
        <v>0.999999970236777</v>
      </c>
    </row>
    <row r="9483" spans="1:40" x14ac:dyDescent="0.25">
      <c r="A9483" t="str">
        <f>"20190312150910497"</f>
        <v>20190312150910497</v>
      </c>
      <c r="B9483" t="str">
        <f>"1552374550489494"</f>
        <v>1552374550489494</v>
      </c>
      <c r="C9483" t="s">
        <v>40</v>
      </c>
      <c r="D9483">
        <v>4.6008040000000001</v>
      </c>
      <c r="E9483">
        <v>0.44909520000000003</v>
      </c>
      <c r="F9483" t="s">
        <v>87</v>
      </c>
      <c r="G9483">
        <v>-246.63140000000001</v>
      </c>
      <c r="H9483" s="1">
        <v>-1.9017900000000001E-6</v>
      </c>
      <c r="I9483">
        <v>-59.9901699999999</v>
      </c>
      <c r="J9483">
        <v>-275.9665</v>
      </c>
      <c r="K9483">
        <v>1.1125750000000001</v>
      </c>
      <c r="L9483">
        <v>-60.290410000000001</v>
      </c>
      <c r="M9483">
        <v>0.97037870000000004</v>
      </c>
      <c r="N9483">
        <v>0</v>
      </c>
      <c r="O9483">
        <v>-0.24138190000000001</v>
      </c>
      <c r="P9483">
        <v>0.99114919999999995</v>
      </c>
      <c r="Q9483">
        <v>3.866232E-2</v>
      </c>
      <c r="R9483">
        <v>-0.12699739999999901</v>
      </c>
      <c r="S9483">
        <v>3.0351560000000002</v>
      </c>
      <c r="T9483">
        <v>-0.1146055</v>
      </c>
      <c r="U9483">
        <v>2.7771000000000001E-2</v>
      </c>
      <c r="V9483">
        <v>-0.11630890000000001</v>
      </c>
      <c r="W9483">
        <v>4.787599E-2</v>
      </c>
      <c r="X9483">
        <v>0.99205849999999995</v>
      </c>
      <c r="Y9483">
        <v>-0.249915</v>
      </c>
      <c r="Z9483">
        <v>1.3762089999999999E-2</v>
      </c>
      <c r="AA9483">
        <v>0.96816999999999998</v>
      </c>
      <c r="AB9483">
        <v>27</v>
      </c>
      <c r="AC9483">
        <v>29.335099999999901</v>
      </c>
      <c r="AD9483">
        <v>-1.11257690178999</v>
      </c>
      <c r="AE9483">
        <v>0.30024000000000201</v>
      </c>
      <c r="AF9483">
        <v>-7.3620885127558804</v>
      </c>
      <c r="AG9483">
        <v>-1.11257690178999</v>
      </c>
      <c r="AH9483">
        <v>28.354321801570698</v>
      </c>
      <c r="AI9483">
        <v>92.174992964474896</v>
      </c>
      <c r="AJ9483">
        <v>104.555220452859</v>
      </c>
      <c r="AK9483">
        <v>29.315622788183699</v>
      </c>
      <c r="AL9483">
        <v>87.255858753903894</v>
      </c>
      <c r="AM9483">
        <v>96.686829173394997</v>
      </c>
      <c r="AN9483">
        <v>0.99999996902996902</v>
      </c>
    </row>
    <row r="9484" spans="1:40" x14ac:dyDescent="0.25">
      <c r="A9484" t="str">
        <f>"20190312150910509"</f>
        <v>20190312150910509</v>
      </c>
      <c r="B9484" t="str">
        <f>"1552374550499253"</f>
        <v>1552374550499253</v>
      </c>
      <c r="C9484" t="s">
        <v>40</v>
      </c>
      <c r="D9484">
        <v>4.5774869999999996</v>
      </c>
      <c r="E9484">
        <v>0.44897969999999998</v>
      </c>
      <c r="F9484" t="s">
        <v>87</v>
      </c>
      <c r="G9484">
        <v>-246.09950000000001</v>
      </c>
      <c r="H9484" s="1">
        <v>-1.676311E-6</v>
      </c>
      <c r="I9484">
        <v>-59.975029999999997</v>
      </c>
      <c r="J9484">
        <v>-275.84309999999999</v>
      </c>
      <c r="K9484">
        <v>1.1125780000000001</v>
      </c>
      <c r="L9484">
        <v>-60.319400000000002</v>
      </c>
      <c r="M9484">
        <v>0.97078350000000002</v>
      </c>
      <c r="N9484">
        <v>0</v>
      </c>
      <c r="O9484">
        <v>-0.2397495</v>
      </c>
      <c r="P9484">
        <v>0.99129</v>
      </c>
      <c r="Q9484">
        <v>3.9056159999999999E-2</v>
      </c>
      <c r="R9484">
        <v>-0.12577439999999901</v>
      </c>
      <c r="S9484">
        <v>3.0352779999999999</v>
      </c>
      <c r="T9484">
        <v>-0.1130674</v>
      </c>
      <c r="U9484">
        <v>3.2043460000000003E-2</v>
      </c>
      <c r="V9484">
        <v>-0.11586390000000001</v>
      </c>
      <c r="W9484">
        <v>4.826561E-2</v>
      </c>
      <c r="X9484">
        <v>0.99209170000000002</v>
      </c>
      <c r="Y9484">
        <v>-0.2496594</v>
      </c>
      <c r="Z9484">
        <v>1.351306E-2</v>
      </c>
      <c r="AA9484">
        <v>0.96823939999999997</v>
      </c>
      <c r="AB9484">
        <v>27</v>
      </c>
      <c r="AC9484">
        <v>29.743599999999901</v>
      </c>
      <c r="AD9484">
        <v>-1.1125796763110001</v>
      </c>
      <c r="AE9484">
        <v>0.34436999999999701</v>
      </c>
      <c r="AF9484">
        <v>-7.4552637474602399</v>
      </c>
      <c r="AG9484">
        <v>-1.1125796763110001</v>
      </c>
      <c r="AH9484">
        <v>28.753241426751099</v>
      </c>
      <c r="AI9484">
        <v>92.145039526758495</v>
      </c>
      <c r="AJ9484">
        <v>104.535798825472</v>
      </c>
      <c r="AK9484">
        <v>29.724866418965998</v>
      </c>
      <c r="AL9484">
        <v>87.233509355548506</v>
      </c>
      <c r="AM9484">
        <v>96.661254687056001</v>
      </c>
      <c r="AN9484">
        <v>0.99999997682038499</v>
      </c>
    </row>
    <row r="9485" spans="1:40" x14ac:dyDescent="0.25">
      <c r="A9485" t="str">
        <f>"20190312150910519"</f>
        <v>20190312150910519</v>
      </c>
      <c r="B9485" t="str">
        <f>"1552374550509014"</f>
        <v>1552374550509014</v>
      </c>
      <c r="C9485" t="s">
        <v>40</v>
      </c>
      <c r="D9485">
        <v>4.5476369999999999</v>
      </c>
      <c r="E9485">
        <v>0.44889879999999999</v>
      </c>
      <c r="F9485" t="s">
        <v>87</v>
      </c>
      <c r="G9485">
        <v>-246.10390000000001</v>
      </c>
      <c r="H9485" s="1">
        <v>-1.681113E-6</v>
      </c>
      <c r="I9485">
        <v>-59.958469999999998</v>
      </c>
      <c r="J9485">
        <v>-275.71170000000001</v>
      </c>
      <c r="K9485">
        <v>1.1125830000000001</v>
      </c>
      <c r="L9485">
        <v>-60.34995</v>
      </c>
      <c r="M9485">
        <v>0.97121080000000004</v>
      </c>
      <c r="N9485">
        <v>0</v>
      </c>
      <c r="O9485">
        <v>-0.23801220000000001</v>
      </c>
      <c r="P9485">
        <v>0.99150479999999996</v>
      </c>
      <c r="Q9485">
        <v>3.9590180000000003E-2</v>
      </c>
      <c r="R9485">
        <v>-0.12389940000000001</v>
      </c>
      <c r="S9485">
        <v>3.0355530000000002</v>
      </c>
      <c r="T9485">
        <v>-0.1135637</v>
      </c>
      <c r="U9485">
        <v>3.6834720000000001E-2</v>
      </c>
      <c r="V9485">
        <v>-0.1159636</v>
      </c>
      <c r="W9485">
        <v>4.8791399999999999E-2</v>
      </c>
      <c r="X9485">
        <v>0.99205429999999994</v>
      </c>
      <c r="Y9485">
        <v>-0.24945249999999999</v>
      </c>
      <c r="Z9485">
        <v>1.350399E-2</v>
      </c>
      <c r="AA9485">
        <v>0.96829279999999995</v>
      </c>
      <c r="AB9485">
        <v>27</v>
      </c>
      <c r="AC9485">
        <v>29.607800000000001</v>
      </c>
      <c r="AD9485">
        <v>-1.112584681113</v>
      </c>
      <c r="AE9485">
        <v>0.39148000000000099</v>
      </c>
      <c r="AF9485">
        <v>-7.4171261573254501</v>
      </c>
      <c r="AG9485">
        <v>-1.112584681113</v>
      </c>
      <c r="AH9485">
        <v>28.623257337777101</v>
      </c>
      <c r="AI9485">
        <v>92.154862127624895</v>
      </c>
      <c r="AJ9485">
        <v>104.527480565152</v>
      </c>
      <c r="AK9485">
        <v>29.589566839190802</v>
      </c>
      <c r="AL9485">
        <v>87.203348183618502</v>
      </c>
      <c r="AM9485">
        <v>96.667184146203894</v>
      </c>
      <c r="AN9485">
        <v>0.99999994569370299</v>
      </c>
    </row>
    <row r="9486" spans="1:40" x14ac:dyDescent="0.25">
      <c r="A9486" t="str">
        <f>"20190312150910530"</f>
        <v>20190312150910530</v>
      </c>
      <c r="B9486" t="str">
        <f>"1552374550518773"</f>
        <v>1552374550518773</v>
      </c>
      <c r="C9486" t="s">
        <v>40</v>
      </c>
      <c r="D9486">
        <v>4.5805369999999996</v>
      </c>
      <c r="E9486">
        <v>0.44875480000000001</v>
      </c>
      <c r="F9486" t="s">
        <v>87</v>
      </c>
      <c r="G9486">
        <v>-245.76900000000001</v>
      </c>
      <c r="H9486" s="1">
        <v>-1.5438440000000001E-6</v>
      </c>
      <c r="I9486">
        <v>-59.922429999999999</v>
      </c>
      <c r="J9486">
        <v>-275.58749999999998</v>
      </c>
      <c r="K9486">
        <v>1.1125879999999999</v>
      </c>
      <c r="L9486">
        <v>-60.378599999999999</v>
      </c>
      <c r="M9486">
        <v>0.97161200000000003</v>
      </c>
      <c r="N9486">
        <v>0</v>
      </c>
      <c r="O9486">
        <v>-0.2363693</v>
      </c>
      <c r="P9486">
        <v>0.99166469999999995</v>
      </c>
      <c r="Q9486">
        <v>4.0027319999999998E-2</v>
      </c>
      <c r="R9486">
        <v>-0.1224706</v>
      </c>
      <c r="S9486">
        <v>3.0355829999999999</v>
      </c>
      <c r="T9486">
        <v>-0.1127933</v>
      </c>
      <c r="U9486">
        <v>4.3334959999999999E-2</v>
      </c>
      <c r="V9486">
        <v>-0.1157142</v>
      </c>
      <c r="W9486">
        <v>4.9224329999999997E-2</v>
      </c>
      <c r="X9486">
        <v>0.99206209999999995</v>
      </c>
      <c r="Y9486">
        <v>-0.24989330000000001</v>
      </c>
      <c r="Z9486">
        <v>1.336115E-2</v>
      </c>
      <c r="AA9486">
        <v>0.96818119999999996</v>
      </c>
      <c r="AB9486">
        <v>27</v>
      </c>
      <c r="AC9486">
        <v>29.818499999999901</v>
      </c>
      <c r="AD9486">
        <v>-1.1125895438440001</v>
      </c>
      <c r="AE9486">
        <v>0.45616999999999303</v>
      </c>
      <c r="AF9486">
        <v>-7.4813585683013404</v>
      </c>
      <c r="AG9486">
        <v>-1.1125895438440001</v>
      </c>
      <c r="AH9486">
        <v>28.825505294934398</v>
      </c>
      <c r="AI9486">
        <v>92.139553378313906</v>
      </c>
      <c r="AJ9486">
        <v>104.549501879532</v>
      </c>
      <c r="AK9486">
        <v>29.801314350693598</v>
      </c>
      <c r="AL9486">
        <v>87.178513461444396</v>
      </c>
      <c r="AM9486">
        <v>96.652922038698193</v>
      </c>
      <c r="AN9486">
        <v>1.0000000105009901</v>
      </c>
    </row>
    <row r="9487" spans="1:40" x14ac:dyDescent="0.25">
      <c r="A9487" t="str">
        <f>"20190312150910542"</f>
        <v>20190312150910542</v>
      </c>
      <c r="B9487" t="str">
        <f>"1552374550539269"</f>
        <v>1552374550539269</v>
      </c>
      <c r="C9487" t="s">
        <v>40</v>
      </c>
      <c r="D9487">
        <v>4.5717850000000002</v>
      </c>
      <c r="E9487">
        <v>0.4486175</v>
      </c>
      <c r="F9487" t="s">
        <v>87</v>
      </c>
      <c r="G9487">
        <v>-245.1</v>
      </c>
      <c r="H9487" s="1">
        <v>-1.263076E-6</v>
      </c>
      <c r="I9487">
        <v>-59.887250000000002</v>
      </c>
      <c r="J9487">
        <v>-275.45119999999997</v>
      </c>
      <c r="K9487">
        <v>1.1125929999999999</v>
      </c>
      <c r="L9487">
        <v>-60.409849999999999</v>
      </c>
      <c r="M9487">
        <v>0.97204880000000005</v>
      </c>
      <c r="N9487">
        <v>0</v>
      </c>
      <c r="O9487">
        <v>-0.2345671</v>
      </c>
      <c r="P9487">
        <v>0.99188509999999996</v>
      </c>
      <c r="Q9487">
        <v>4.032989E-2</v>
      </c>
      <c r="R9487">
        <v>-0.1205711</v>
      </c>
      <c r="S9487">
        <v>3.0357669999999999</v>
      </c>
      <c r="T9487">
        <v>-0.11078499999999999</v>
      </c>
      <c r="U9487">
        <v>4.891968E-2</v>
      </c>
      <c r="V9487">
        <v>-0.115774</v>
      </c>
      <c r="W9487">
        <v>4.9520080000000001E-2</v>
      </c>
      <c r="X9487">
        <v>0.99204040000000004</v>
      </c>
      <c r="Y9487">
        <v>-0.24989069999999999</v>
      </c>
      <c r="Z9487">
        <v>1.3058480000000001E-2</v>
      </c>
      <c r="AA9487">
        <v>0.96818599999999999</v>
      </c>
      <c r="AB9487">
        <v>27</v>
      </c>
      <c r="AC9487">
        <v>30.351199999999899</v>
      </c>
      <c r="AD9487">
        <v>-1.112594263076</v>
      </c>
      <c r="AE9487">
        <v>0.52259999999999696</v>
      </c>
      <c r="AF9487">
        <v>-7.6175316956554999</v>
      </c>
      <c r="AG9487">
        <v>-1.112594263076</v>
      </c>
      <c r="AH9487">
        <v>29.342305820508798</v>
      </c>
      <c r="AI9487">
        <v>92.101877279617796</v>
      </c>
      <c r="AJ9487">
        <v>104.553239268136</v>
      </c>
      <c r="AK9487">
        <v>30.3353847180617</v>
      </c>
      <c r="AL9487">
        <v>87.161547532078799</v>
      </c>
      <c r="AM9487">
        <v>96.656473655875004</v>
      </c>
      <c r="AN9487">
        <v>1.00000000631568</v>
      </c>
    </row>
    <row r="9488" spans="1:40" x14ac:dyDescent="0.25">
      <c r="A9488" t="str">
        <f>"20190312150910554"</f>
        <v>20190312150910554</v>
      </c>
      <c r="B9488" t="str">
        <f>"1552374550549029"</f>
        <v>1552374550549029</v>
      </c>
      <c r="C9488" t="s">
        <v>40</v>
      </c>
      <c r="D9488">
        <v>4.6313000000000004</v>
      </c>
      <c r="E9488">
        <v>0.44855889999999998</v>
      </c>
      <c r="F9488" t="s">
        <v>87</v>
      </c>
      <c r="G9488">
        <v>-244.72819999999999</v>
      </c>
      <c r="H9488" s="1">
        <v>-1.111153E-6</v>
      </c>
      <c r="I9488">
        <v>-59.8446</v>
      </c>
      <c r="J9488">
        <v>-275.31580000000002</v>
      </c>
      <c r="K9488">
        <v>1.1125969999999901</v>
      </c>
      <c r="L9488">
        <v>-60.440550000000002</v>
      </c>
      <c r="M9488">
        <v>0.97247890000000003</v>
      </c>
      <c r="N9488">
        <v>0</v>
      </c>
      <c r="O9488">
        <v>-0.2327776</v>
      </c>
      <c r="P9488">
        <v>0.99211099999999997</v>
      </c>
      <c r="Q9488">
        <v>4.0650489999999997E-2</v>
      </c>
      <c r="R9488">
        <v>-0.1185879</v>
      </c>
      <c r="S9488">
        <v>3.0357970000000001</v>
      </c>
      <c r="T9488">
        <v>-0.10993749999999999</v>
      </c>
      <c r="U9488">
        <v>5.5847170000000002E-2</v>
      </c>
      <c r="V9488">
        <v>-0.11593059999999999</v>
      </c>
      <c r="W9488">
        <v>4.9834400000000001E-2</v>
      </c>
      <c r="X9488">
        <v>0.99200639999999995</v>
      </c>
      <c r="Y9488">
        <v>-0.25032280000000001</v>
      </c>
      <c r="Z9488">
        <v>1.29032E-2</v>
      </c>
      <c r="AA9488">
        <v>0.96807650000000001</v>
      </c>
      <c r="AB9488">
        <v>27</v>
      </c>
      <c r="AC9488">
        <v>30.587599999999998</v>
      </c>
      <c r="AD9488">
        <v>-1.1125981111529999</v>
      </c>
      <c r="AE9488">
        <v>0.59595000000000198</v>
      </c>
      <c r="AF9488">
        <v>-7.6898690900683597</v>
      </c>
      <c r="AG9488">
        <v>-1.1125981111529999</v>
      </c>
      <c r="AH9488">
        <v>29.5694351879268</v>
      </c>
      <c r="AI9488">
        <v>92.085524440688204</v>
      </c>
      <c r="AJ9488">
        <v>104.577512039601</v>
      </c>
      <c r="AK9488">
        <v>30.5732474315754</v>
      </c>
      <c r="AL9488">
        <v>87.143516140359907</v>
      </c>
      <c r="AM9488">
        <v>96.665622870158401</v>
      </c>
      <c r="AN9488">
        <v>1.0000000345403299</v>
      </c>
    </row>
    <row r="9489" spans="1:40" x14ac:dyDescent="0.25">
      <c r="A9489" t="str">
        <f>"20190312150910566"</f>
        <v>20190312150910566</v>
      </c>
      <c r="B9489" t="str">
        <f>"1552374550558790"</f>
        <v>1552374550558790</v>
      </c>
      <c r="C9489" t="s">
        <v>40</v>
      </c>
      <c r="D9489">
        <v>4.5986000000000002</v>
      </c>
      <c r="E9489">
        <v>0.4485246</v>
      </c>
      <c r="F9489" t="s">
        <v>87</v>
      </c>
      <c r="G9489">
        <v>-244.16419999999999</v>
      </c>
      <c r="H9489" s="1">
        <v>-8.7705299999999895E-7</v>
      </c>
      <c r="I9489">
        <v>-59.80039</v>
      </c>
      <c r="J9489">
        <v>-275.1857</v>
      </c>
      <c r="K9489">
        <v>1.112598</v>
      </c>
      <c r="L9489">
        <v>-60.469940000000001</v>
      </c>
      <c r="M9489">
        <v>0.97288909999999995</v>
      </c>
      <c r="N9489">
        <v>0</v>
      </c>
      <c r="O9489">
        <v>-0.2310567</v>
      </c>
      <c r="P9489">
        <v>0.99230370000000001</v>
      </c>
      <c r="Q9489">
        <v>4.1023789999999997E-2</v>
      </c>
      <c r="R9489">
        <v>-0.11683399999999999</v>
      </c>
      <c r="S9489">
        <v>3.035736</v>
      </c>
      <c r="T9489">
        <v>-0.10842309999999999</v>
      </c>
      <c r="U9489">
        <v>6.2377929999999998E-2</v>
      </c>
      <c r="V9489">
        <v>-0.1159285</v>
      </c>
      <c r="W9489">
        <v>5.0202539999999997E-2</v>
      </c>
      <c r="X9489">
        <v>0.99198810000000004</v>
      </c>
      <c r="Y9489">
        <v>-0.25070160000000002</v>
      </c>
      <c r="Z9489">
        <v>1.2672620000000001E-2</v>
      </c>
      <c r="AA9489">
        <v>0.96798150000000005</v>
      </c>
      <c r="AB9489">
        <v>27</v>
      </c>
      <c r="AC9489">
        <v>31.0215</v>
      </c>
      <c r="AD9489">
        <v>-1.112598877053</v>
      </c>
      <c r="AE9489">
        <v>0.66955000000000098</v>
      </c>
      <c r="AF9489">
        <v>-7.8094718761810702</v>
      </c>
      <c r="AG9489">
        <v>-1.112598877053</v>
      </c>
      <c r="AH9489">
        <v>29.988713251698201</v>
      </c>
      <c r="AI9489">
        <v>92.056216529491394</v>
      </c>
      <c r="AJ9489">
        <v>104.59641652217999</v>
      </c>
      <c r="AK9489">
        <v>31.008847926659001</v>
      </c>
      <c r="AL9489">
        <v>87.1223968858978</v>
      </c>
      <c r="AM9489">
        <v>96.665625071040594</v>
      </c>
      <c r="AN9489">
        <v>1.00000005133815</v>
      </c>
    </row>
    <row r="9490" spans="1:40" x14ac:dyDescent="0.25">
      <c r="A9490" t="str">
        <f>"20190312150910577"</f>
        <v>20190312150910577</v>
      </c>
      <c r="B9490" t="str">
        <f>"1552374550568549"</f>
        <v>1552374550568549</v>
      </c>
      <c r="C9490" t="s">
        <v>40</v>
      </c>
      <c r="D9490">
        <v>4.5678089999999996</v>
      </c>
      <c r="E9490">
        <v>0.44847120000000001</v>
      </c>
      <c r="F9490" t="s">
        <v>87</v>
      </c>
      <c r="G9490">
        <v>-244.00530000000001</v>
      </c>
      <c r="H9490" s="1">
        <v>-8.1405069999999996E-7</v>
      </c>
      <c r="I9490">
        <v>-59.771189999999997</v>
      </c>
      <c r="J9490">
        <v>-275.04399999999998</v>
      </c>
      <c r="K9490">
        <v>1.1126020000000001</v>
      </c>
      <c r="L9490">
        <v>-60.501460000000002</v>
      </c>
      <c r="M9490">
        <v>0.97333179999999997</v>
      </c>
      <c r="N9490">
        <v>0</v>
      </c>
      <c r="O9490">
        <v>-0.22918559999999999</v>
      </c>
      <c r="P9490">
        <v>0.99252030000000002</v>
      </c>
      <c r="Q9490">
        <v>4.153254E-2</v>
      </c>
      <c r="R9490">
        <v>-0.11479789999999999</v>
      </c>
      <c r="S9490">
        <v>3.035736</v>
      </c>
      <c r="T9490">
        <v>-0.10832310000000001</v>
      </c>
      <c r="U9490">
        <v>6.8023680000000003E-2</v>
      </c>
      <c r="V9490">
        <v>-0.1160547</v>
      </c>
      <c r="W9490">
        <v>5.0705439999999997E-2</v>
      </c>
      <c r="X9490">
        <v>0.99194769999999999</v>
      </c>
      <c r="Y9490">
        <v>-0.25064140000000001</v>
      </c>
      <c r="Z9490">
        <v>1.2594609999999999E-2</v>
      </c>
      <c r="AA9490">
        <v>0.96799809999999997</v>
      </c>
      <c r="AB9490">
        <v>27</v>
      </c>
      <c r="AC9490">
        <v>31.038699999999999</v>
      </c>
      <c r="AD9490">
        <v>-1.1126028140506901</v>
      </c>
      <c r="AE9490">
        <v>0.73026999999998998</v>
      </c>
      <c r="AF9490">
        <v>-7.8147703565378297</v>
      </c>
      <c r="AG9490">
        <v>-1.1126028140506901</v>
      </c>
      <c r="AH9490">
        <v>30.0065417387545</v>
      </c>
      <c r="AI9490">
        <v>92.054992192495803</v>
      </c>
      <c r="AJ9490">
        <v>104.597589020165</v>
      </c>
      <c r="AK9490">
        <v>31.027424447847299</v>
      </c>
      <c r="AL9490">
        <v>87.093545908473999</v>
      </c>
      <c r="AM9490">
        <v>96.673085202743394</v>
      </c>
      <c r="AN9490">
        <v>0.99999998728648598</v>
      </c>
    </row>
    <row r="9491" spans="1:40" x14ac:dyDescent="0.25">
      <c r="A9491" t="str">
        <f>"20190312150910590"</f>
        <v>20190312150910590</v>
      </c>
      <c r="B9491" t="str">
        <f>"1552374550579285"</f>
        <v>1552374550579285</v>
      </c>
      <c r="C9491" t="s">
        <v>40</v>
      </c>
      <c r="D9491">
        <v>4.5579970000000003</v>
      </c>
      <c r="E9491">
        <v>0.44847140000000002</v>
      </c>
      <c r="F9491" t="s">
        <v>87</v>
      </c>
      <c r="G9491">
        <v>-243.7482</v>
      </c>
      <c r="H9491" s="1">
        <v>-7.1080639999999996E-7</v>
      </c>
      <c r="I9491">
        <v>-59.731560000000002</v>
      </c>
      <c r="J9491">
        <v>-274.91079999999999</v>
      </c>
      <c r="K9491">
        <v>1.1126069999999999</v>
      </c>
      <c r="L9491">
        <v>-60.53098</v>
      </c>
      <c r="M9491">
        <v>0.97374479999999997</v>
      </c>
      <c r="N9491">
        <v>0</v>
      </c>
      <c r="O9491">
        <v>-0.22742519999999999</v>
      </c>
      <c r="P9491">
        <v>0.99273009999999995</v>
      </c>
      <c r="Q9491">
        <v>4.1772490000000002E-2</v>
      </c>
      <c r="R9491">
        <v>-0.1128808</v>
      </c>
      <c r="S9491">
        <v>3.0357669999999999</v>
      </c>
      <c r="T9491">
        <v>-0.1079252</v>
      </c>
      <c r="U9491">
        <v>7.4676510000000001E-2</v>
      </c>
      <c r="V9491">
        <v>-0.11617669999999999</v>
      </c>
      <c r="W9491">
        <v>5.0941170000000001E-2</v>
      </c>
      <c r="X9491">
        <v>0.99192139999999995</v>
      </c>
      <c r="Y9491">
        <v>-0.25101410000000002</v>
      </c>
      <c r="Z9491">
        <v>1.24937E-2</v>
      </c>
      <c r="AA9491">
        <v>0.96790279999999995</v>
      </c>
      <c r="AB9491">
        <v>27</v>
      </c>
      <c r="AC9491">
        <v>31.162600000000001</v>
      </c>
      <c r="AD9491">
        <v>-1.1126077108064001</v>
      </c>
      <c r="AE9491">
        <v>0.79942000000001201</v>
      </c>
      <c r="AF9491">
        <v>-7.8559727383076501</v>
      </c>
      <c r="AG9491">
        <v>-1.1126077108064001</v>
      </c>
      <c r="AH9491">
        <v>30.125725458362201</v>
      </c>
      <c r="AI9491">
        <v>92.046709787244694</v>
      </c>
      <c r="AJ9491">
        <v>104.615688157081</v>
      </c>
      <c r="AK9491">
        <v>31.1530662692421</v>
      </c>
      <c r="AL9491">
        <v>87.080022268698897</v>
      </c>
      <c r="AM9491">
        <v>96.680212291180894</v>
      </c>
      <c r="AN9491">
        <v>1.0000000461009</v>
      </c>
    </row>
    <row r="9492" spans="1:40" x14ac:dyDescent="0.25">
      <c r="A9492" t="str">
        <f>"20190312150910600"</f>
        <v>20190312150910600</v>
      </c>
      <c r="B9492" t="str">
        <f>"1552374550589045"</f>
        <v>1552374550589045</v>
      </c>
      <c r="C9492" t="s">
        <v>40</v>
      </c>
      <c r="D9492">
        <v>4.6279879999999904</v>
      </c>
      <c r="E9492">
        <v>0.44843889999999997</v>
      </c>
      <c r="F9492" t="s">
        <v>87</v>
      </c>
      <c r="G9492">
        <v>-243.7201</v>
      </c>
      <c r="H9492" s="1">
        <v>-7.0371299999999997E-7</v>
      </c>
      <c r="I9492">
        <v>-59.703420000000001</v>
      </c>
      <c r="J9492">
        <v>-274.77319999999997</v>
      </c>
      <c r="K9492">
        <v>1.112617</v>
      </c>
      <c r="L9492">
        <v>-60.561160000000001</v>
      </c>
      <c r="M9492">
        <v>0.97416760000000002</v>
      </c>
      <c r="N9492">
        <v>0</v>
      </c>
      <c r="O9492">
        <v>-0.22560669999999999</v>
      </c>
      <c r="P9492">
        <v>0.9929308</v>
      </c>
      <c r="Q9492">
        <v>4.1961890000000002E-2</v>
      </c>
      <c r="R9492">
        <v>-0.11102860000000001</v>
      </c>
      <c r="S9492">
        <v>3.0356450000000001</v>
      </c>
      <c r="T9492">
        <v>-0.1082847</v>
      </c>
      <c r="U9492">
        <v>8.0535889999999999E-2</v>
      </c>
      <c r="V9492">
        <v>-0.11617470000000001</v>
      </c>
      <c r="W9492">
        <v>5.1127369999999998E-2</v>
      </c>
      <c r="X9492">
        <v>0.99191200000000002</v>
      </c>
      <c r="Y9492">
        <v>-0.25107390000000002</v>
      </c>
      <c r="Z9492">
        <v>1.2473359999999999E-2</v>
      </c>
      <c r="AA9492">
        <v>0.96788759999999996</v>
      </c>
      <c r="AB9492">
        <v>27</v>
      </c>
      <c r="AC9492">
        <v>31.053099999999901</v>
      </c>
      <c r="AD9492">
        <v>-1.1126177037130001</v>
      </c>
      <c r="AE9492">
        <v>0.85774000000000605</v>
      </c>
      <c r="AF9492">
        <v>-7.8317121860392298</v>
      </c>
      <c r="AG9492">
        <v>-1.1126177037130001</v>
      </c>
      <c r="AH9492">
        <v>30.0203920897623</v>
      </c>
      <c r="AI9492">
        <v>92.053849879383307</v>
      </c>
      <c r="AJ9492">
        <v>104.621419998242</v>
      </c>
      <c r="AK9492">
        <v>31.045089388543101</v>
      </c>
      <c r="AL9492">
        <v>87.069339717061595</v>
      </c>
      <c r="AM9492">
        <v>96.680161062422698</v>
      </c>
      <c r="AN9492">
        <v>0.99999999231360304</v>
      </c>
    </row>
    <row r="9493" spans="1:40" x14ac:dyDescent="0.25">
      <c r="A9493" t="str">
        <f>"20190312150910612"</f>
        <v>20190312150910612</v>
      </c>
      <c r="B9493" t="str">
        <f>"1552374550609541"</f>
        <v>1552374550609541</v>
      </c>
      <c r="C9493" t="s">
        <v>40</v>
      </c>
      <c r="D9493">
        <v>4.6123370000000001</v>
      </c>
      <c r="E9493">
        <v>0.44844270000000003</v>
      </c>
      <c r="F9493" t="s">
        <v>87</v>
      </c>
      <c r="G9493">
        <v>-243.86850000000001</v>
      </c>
      <c r="H9493" s="1">
        <v>-7.7148730000000003E-7</v>
      </c>
      <c r="I9493">
        <v>-59.680280000000003</v>
      </c>
      <c r="J9493">
        <v>-274.64330000000001</v>
      </c>
      <c r="K9493">
        <v>1.112622</v>
      </c>
      <c r="L9493">
        <v>-60.589390000000002</v>
      </c>
      <c r="M9493">
        <v>0.97456359999999997</v>
      </c>
      <c r="N9493">
        <v>0</v>
      </c>
      <c r="O9493">
        <v>-0.2238899</v>
      </c>
      <c r="P9493">
        <v>0.99312009999999995</v>
      </c>
      <c r="Q9493">
        <v>4.226208E-2</v>
      </c>
      <c r="R9493">
        <v>-0.109208399999999</v>
      </c>
      <c r="S9493">
        <v>3.0355829999999999</v>
      </c>
      <c r="T9493">
        <v>-0.1092856</v>
      </c>
      <c r="U9493">
        <v>8.6517330000000003E-2</v>
      </c>
      <c r="V9493">
        <v>-0.1162444</v>
      </c>
      <c r="W9493">
        <v>5.1424530000000003E-2</v>
      </c>
      <c r="X9493">
        <v>0.99188849999999995</v>
      </c>
      <c r="Y9493">
        <v>-0.2512701</v>
      </c>
      <c r="Z9493">
        <v>1.2531820000000001E-2</v>
      </c>
      <c r="AA9493">
        <v>0.96783589999999997</v>
      </c>
      <c r="AB9493">
        <v>27</v>
      </c>
      <c r="AC9493">
        <v>30.774799999999999</v>
      </c>
      <c r="AD9493">
        <v>-1.1126227714873</v>
      </c>
      <c r="AE9493">
        <v>0.90910999999999798</v>
      </c>
      <c r="AF9493">
        <v>-7.7663952298911996</v>
      </c>
      <c r="AG9493">
        <v>-1.1126227714873</v>
      </c>
      <c r="AH9493">
        <v>29.751082062553099</v>
      </c>
      <c r="AI9493">
        <v>92.072350833368205</v>
      </c>
      <c r="AJ9493">
        <v>104.630328091979</v>
      </c>
      <c r="AK9493">
        <v>30.768193125227199</v>
      </c>
      <c r="AL9493">
        <v>87.052291356775299</v>
      </c>
      <c r="AM9493">
        <v>96.684289556997598</v>
      </c>
      <c r="AN9493">
        <v>1.0000000196246599</v>
      </c>
    </row>
    <row r="9494" spans="1:40" x14ac:dyDescent="0.25">
      <c r="A9494" t="str">
        <f>"20190312150910623"</f>
        <v>20190312150910623</v>
      </c>
      <c r="B9494" t="str">
        <f>"1552374550619303"</f>
        <v>1552374550619303</v>
      </c>
      <c r="C9494" t="s">
        <v>40</v>
      </c>
      <c r="D9494">
        <v>4.5805790000000002</v>
      </c>
      <c r="E9494">
        <v>0.44844010000000001</v>
      </c>
      <c r="F9494" t="s">
        <v>87</v>
      </c>
      <c r="G9494">
        <v>-244.2945</v>
      </c>
      <c r="H9494" s="1">
        <v>-9.562764E-7</v>
      </c>
      <c r="I9494">
        <v>-59.668840000000003</v>
      </c>
      <c r="J9494">
        <v>-274.51679999999999</v>
      </c>
      <c r="K9494">
        <v>1.112628</v>
      </c>
      <c r="L9494">
        <v>-60.616700000000002</v>
      </c>
      <c r="M9494">
        <v>0.97494610000000004</v>
      </c>
      <c r="N9494">
        <v>0</v>
      </c>
      <c r="O9494">
        <v>-0.22221850000000001</v>
      </c>
      <c r="P9494">
        <v>0.99328039999999995</v>
      </c>
      <c r="Q9494">
        <v>4.255776E-2</v>
      </c>
      <c r="R9494">
        <v>-0.107623499999999</v>
      </c>
      <c r="S9494">
        <v>3.0356450000000001</v>
      </c>
      <c r="T9494">
        <v>-0.11129020000000001</v>
      </c>
      <c r="U9494">
        <v>9.2071529999999999E-2</v>
      </c>
      <c r="V9494">
        <v>-0.1161262</v>
      </c>
      <c r="W9494">
        <v>5.1718350000000003E-2</v>
      </c>
      <c r="X9494">
        <v>0.99188699999999996</v>
      </c>
      <c r="Y9494">
        <v>-0.25136900000000001</v>
      </c>
      <c r="Z9494">
        <v>1.2703020000000001E-2</v>
      </c>
      <c r="AA9494">
        <v>0.96780790000000005</v>
      </c>
      <c r="AB9494">
        <v>27</v>
      </c>
      <c r="AC9494">
        <v>30.222299999999901</v>
      </c>
      <c r="AD9494">
        <v>-1.1126289562764</v>
      </c>
      <c r="AE9494">
        <v>0.94785999999999804</v>
      </c>
      <c r="AF9494">
        <v>-7.6301137731820896</v>
      </c>
      <c r="AG9494">
        <v>-1.1126289562764</v>
      </c>
      <c r="AH9494">
        <v>29.216371313909299</v>
      </c>
      <c r="AI9494">
        <v>92.1101979652735</v>
      </c>
      <c r="AJ9494">
        <v>104.636391301327</v>
      </c>
      <c r="AK9494">
        <v>30.2167657458285</v>
      </c>
      <c r="AL9494">
        <v>87.035434077125302</v>
      </c>
      <c r="AM9494">
        <v>96.6775642332193</v>
      </c>
      <c r="AN9494">
        <v>0.99999995141108</v>
      </c>
    </row>
    <row r="9495" spans="1:40" x14ac:dyDescent="0.25">
      <c r="A9495" t="str">
        <f>"20190312150910632"</f>
        <v>20190312150910632</v>
      </c>
      <c r="B9495" t="str">
        <f>"1552374550629061"</f>
        <v>1552374550629061</v>
      </c>
      <c r="C9495" t="s">
        <v>40</v>
      </c>
      <c r="D9495">
        <v>4.5896689999999998</v>
      </c>
      <c r="E9495">
        <v>0.44843090000000002</v>
      </c>
      <c r="F9495" t="s">
        <v>87</v>
      </c>
      <c r="G9495">
        <v>-244.25069999999999</v>
      </c>
      <c r="H9495" s="1">
        <v>-9.409353E-7</v>
      </c>
      <c r="I9495">
        <v>-59.649349999999998</v>
      </c>
      <c r="J9495">
        <v>-274.40350000000001</v>
      </c>
      <c r="K9495">
        <v>1.112636</v>
      </c>
      <c r="L9495">
        <v>-60.6408699999999</v>
      </c>
      <c r="M9495">
        <v>0.97528619999999999</v>
      </c>
      <c r="N9495">
        <v>0</v>
      </c>
      <c r="O9495">
        <v>-0.22072130000000001</v>
      </c>
      <c r="P9495">
        <v>0.99343009999999998</v>
      </c>
      <c r="Q9495">
        <v>4.3253439999999997E-2</v>
      </c>
      <c r="R9495">
        <v>-0.1059539</v>
      </c>
      <c r="S9495">
        <v>3.0355829999999999</v>
      </c>
      <c r="T9495">
        <v>-0.1115927</v>
      </c>
      <c r="U9495">
        <v>9.7015379999999998E-2</v>
      </c>
      <c r="V9495">
        <v>-0.1162687</v>
      </c>
      <c r="W9495">
        <v>5.2411680000000002E-2</v>
      </c>
      <c r="X9495">
        <v>0.99183399999999999</v>
      </c>
      <c r="Y9495">
        <v>-0.2514575</v>
      </c>
      <c r="Z9495">
        <v>1.2685399999999999E-2</v>
      </c>
      <c r="AA9495">
        <v>0.96778520000000001</v>
      </c>
      <c r="AB9495">
        <v>27</v>
      </c>
      <c r="AC9495">
        <v>30.152799999999999</v>
      </c>
      <c r="AD9495">
        <v>-1.1126369409353001</v>
      </c>
      <c r="AE9495">
        <v>0.99151999999999396</v>
      </c>
      <c r="AF9495">
        <v>-7.61240417464629</v>
      </c>
      <c r="AG9495">
        <v>-1.1126369409353001</v>
      </c>
      <c r="AH9495">
        <v>29.1505554449278</v>
      </c>
      <c r="AI9495">
        <v>92.114982430447697</v>
      </c>
      <c r="AJ9495">
        <v>104.635432276621</v>
      </c>
      <c r="AK9495">
        <v>30.148657366926201</v>
      </c>
      <c r="AL9495">
        <v>86.995655503356005</v>
      </c>
      <c r="AM9495">
        <v>96.686038251901294</v>
      </c>
      <c r="AN9495">
        <v>1.0000000391780499</v>
      </c>
    </row>
    <row r="9496" spans="1:40" x14ac:dyDescent="0.25">
      <c r="A9496" t="str">
        <f>"20190312150910642"</f>
        <v>20190312150910642</v>
      </c>
      <c r="B9496" t="str">
        <f>"1552374550638821"</f>
        <v>1552374550638821</v>
      </c>
      <c r="C9496" t="s">
        <v>40</v>
      </c>
      <c r="D9496">
        <v>4.6230070000000003</v>
      </c>
      <c r="E9496">
        <v>0.4483277</v>
      </c>
      <c r="F9496" t="s">
        <v>87</v>
      </c>
      <c r="G9496">
        <v>-243.64709999999999</v>
      </c>
      <c r="H9496" s="1">
        <v>-6.8971489999999999E-7</v>
      </c>
      <c r="I9496">
        <v>-59.605899999999998</v>
      </c>
      <c r="J9496">
        <v>-274.279</v>
      </c>
      <c r="K9496">
        <v>1.1126400000000001</v>
      </c>
      <c r="L9496">
        <v>-60.667360000000002</v>
      </c>
      <c r="M9496">
        <v>0.97565690000000005</v>
      </c>
      <c r="N9496">
        <v>0</v>
      </c>
      <c r="O9496">
        <v>-0.21907660000000001</v>
      </c>
      <c r="P9496">
        <v>0.99358049999999998</v>
      </c>
      <c r="Q9496">
        <v>4.3849039999999999E-2</v>
      </c>
      <c r="R9496">
        <v>-0.104285199999999</v>
      </c>
      <c r="S9496">
        <v>3.0355530000000002</v>
      </c>
      <c r="T9496">
        <v>-0.1098136</v>
      </c>
      <c r="U9496">
        <v>0.10214230000000001</v>
      </c>
      <c r="V9496">
        <v>-0.1162603</v>
      </c>
      <c r="W9496">
        <v>5.3004990000000002E-2</v>
      </c>
      <c r="X9496">
        <v>0.9918034</v>
      </c>
      <c r="Y9496">
        <v>-0.25146990000000002</v>
      </c>
      <c r="Z9496">
        <v>1.2425220000000001E-2</v>
      </c>
      <c r="AA9496">
        <v>0.96778540000000002</v>
      </c>
      <c r="AB9496">
        <v>27</v>
      </c>
      <c r="AC9496">
        <v>30.631900000000002</v>
      </c>
      <c r="AD9496">
        <v>-1.1126406897148999</v>
      </c>
      <c r="AE9496">
        <v>1.0614599999999901</v>
      </c>
      <c r="AF9496">
        <v>-7.7365419582517596</v>
      </c>
      <c r="AG9496">
        <v>-1.1126406897148999</v>
      </c>
      <c r="AH9496">
        <v>29.616125005918299</v>
      </c>
      <c r="AI9496">
        <v>92.081727177049999</v>
      </c>
      <c r="AJ9496">
        <v>104.640065893676</v>
      </c>
      <c r="AK9496">
        <v>30.6301634201056</v>
      </c>
      <c r="AL9496">
        <v>86.961613861977099</v>
      </c>
      <c r="AM9496">
        <v>96.685763983739804</v>
      </c>
      <c r="AN9496">
        <v>0.99999998528627498</v>
      </c>
    </row>
    <row r="9497" spans="1:40" x14ac:dyDescent="0.25">
      <c r="A9497" t="str">
        <f>"20190312150910655"</f>
        <v>20190312150910655</v>
      </c>
      <c r="B9497" t="str">
        <f>"1552374550648581"</f>
        <v>1552374550648581</v>
      </c>
      <c r="C9497" t="s">
        <v>40</v>
      </c>
      <c r="D9497">
        <v>4.6511199999999997</v>
      </c>
      <c r="E9497">
        <v>0.44834180000000001</v>
      </c>
      <c r="F9497" t="s">
        <v>87</v>
      </c>
      <c r="G9497">
        <v>-243.17830000000001</v>
      </c>
      <c r="H9497" s="1">
        <v>-4.9671129999999996E-7</v>
      </c>
      <c r="I9497">
        <v>-59.560130000000001</v>
      </c>
      <c r="J9497">
        <v>-274.14010000000002</v>
      </c>
      <c r="K9497">
        <v>1.11264599999999</v>
      </c>
      <c r="L9497">
        <v>-60.696530000000003</v>
      </c>
      <c r="M9497">
        <v>0.97606720000000002</v>
      </c>
      <c r="N9497">
        <v>0</v>
      </c>
      <c r="O9497">
        <v>-0.2172414</v>
      </c>
      <c r="P9497">
        <v>0.99377720000000003</v>
      </c>
      <c r="Q9497">
        <v>4.4397230000000003E-2</v>
      </c>
      <c r="R9497">
        <v>-0.1021556</v>
      </c>
      <c r="S9497">
        <v>3.0355219999999998</v>
      </c>
      <c r="T9497">
        <v>-0.108597</v>
      </c>
      <c r="U9497">
        <v>0.1080627</v>
      </c>
      <c r="V9497">
        <v>-0.1165194</v>
      </c>
      <c r="W9497">
        <v>5.3550199999999902E-2</v>
      </c>
      <c r="X9497">
        <v>0.99174370000000001</v>
      </c>
      <c r="Y9497">
        <v>-0.25154330000000003</v>
      </c>
      <c r="Z9497">
        <v>1.2224570000000001E-2</v>
      </c>
      <c r="AA9497">
        <v>0.96776879999999998</v>
      </c>
      <c r="AB9497">
        <v>27</v>
      </c>
      <c r="AC9497">
        <v>30.9618</v>
      </c>
      <c r="AD9497">
        <v>-1.1126464967112999</v>
      </c>
      <c r="AE9497">
        <v>1.1363999999999901</v>
      </c>
      <c r="AF9497">
        <v>-7.8256828868662396</v>
      </c>
      <c r="AG9497">
        <v>-1.1126464967112999</v>
      </c>
      <c r="AH9497">
        <v>29.936799572262</v>
      </c>
      <c r="AI9497">
        <v>92.059368027826594</v>
      </c>
      <c r="AJ9497">
        <v>104.649690041149</v>
      </c>
      <c r="AK9497">
        <v>30.962739922400601</v>
      </c>
      <c r="AL9497">
        <v>86.930331184946297</v>
      </c>
      <c r="AM9497">
        <v>96.700928359973204</v>
      </c>
      <c r="AN9497">
        <v>0.99999998049304395</v>
      </c>
    </row>
    <row r="9498" spans="1:40" x14ac:dyDescent="0.25">
      <c r="A9498" t="str">
        <f>"20190312150910666"</f>
        <v>20190312150910666</v>
      </c>
      <c r="B9498" t="str">
        <f>"1552374550659317"</f>
        <v>1552374550659317</v>
      </c>
      <c r="C9498" t="s">
        <v>40</v>
      </c>
      <c r="D9498">
        <v>4.6005690000000001</v>
      </c>
      <c r="E9498">
        <v>0.44841300000000001</v>
      </c>
      <c r="F9498" t="s">
        <v>87</v>
      </c>
      <c r="G9498">
        <v>-243.1908</v>
      </c>
      <c r="H9498" s="1">
        <v>-5.0745059999999996E-7</v>
      </c>
      <c r="I9498">
        <v>-59.52993</v>
      </c>
      <c r="J9498">
        <v>-274.01420000000002</v>
      </c>
      <c r="K9498">
        <v>1.1126510000000001</v>
      </c>
      <c r="L9498">
        <v>-60.722869999999901</v>
      </c>
      <c r="M9498">
        <v>0.97643610000000003</v>
      </c>
      <c r="N9498">
        <v>0</v>
      </c>
      <c r="O9498">
        <v>-0.21557770000000001</v>
      </c>
      <c r="P9498">
        <v>0.99395579999999994</v>
      </c>
      <c r="Q9498">
        <v>4.5030430000000003E-2</v>
      </c>
      <c r="R9498">
        <v>-0.1001233</v>
      </c>
      <c r="S9498">
        <v>3.0354000000000001</v>
      </c>
      <c r="T9498">
        <v>-0.10912470000000001</v>
      </c>
      <c r="U9498">
        <v>0.1144104</v>
      </c>
      <c r="V9498">
        <v>-0.1168558</v>
      </c>
      <c r="W9498">
        <v>5.4179659999999998E-2</v>
      </c>
      <c r="X9498">
        <v>0.99167000000000005</v>
      </c>
      <c r="Y9498">
        <v>-0.25191439999999998</v>
      </c>
      <c r="Z9498">
        <v>1.223226E-2</v>
      </c>
      <c r="AA9498">
        <v>0.96767219999999998</v>
      </c>
      <c r="AB9498">
        <v>27</v>
      </c>
      <c r="AC9498">
        <v>30.823399999999999</v>
      </c>
      <c r="AD9498">
        <v>-1.1126515074506</v>
      </c>
      <c r="AE9498">
        <v>1.1929399999999799</v>
      </c>
      <c r="AF9498">
        <v>-7.7999048022065196</v>
      </c>
      <c r="AG9498">
        <v>-1.1126515074506</v>
      </c>
      <c r="AH9498">
        <v>29.802607529840401</v>
      </c>
      <c r="AI9498">
        <v>92.068484101973397</v>
      </c>
      <c r="AJ9498">
        <v>104.66642561409201</v>
      </c>
      <c r="AK9498">
        <v>30.826480887026602</v>
      </c>
      <c r="AL9498">
        <v>86.894213567399404</v>
      </c>
      <c r="AM9498">
        <v>96.720592608318398</v>
      </c>
      <c r="AN9498">
        <v>1.0000000512256699</v>
      </c>
    </row>
    <row r="9499" spans="1:40" x14ac:dyDescent="0.25">
      <c r="A9499" t="str">
        <f>"20190312150910676"</f>
        <v>20190312150910676</v>
      </c>
      <c r="B9499" t="str">
        <f>"1552374550669078"</f>
        <v>1552374550669078</v>
      </c>
      <c r="C9499" t="s">
        <v>40</v>
      </c>
      <c r="D9499">
        <v>4.5717919999999896</v>
      </c>
      <c r="E9499">
        <v>0.44843290000000002</v>
      </c>
      <c r="F9499" t="s">
        <v>87</v>
      </c>
      <c r="G9499">
        <v>-242.76679999999999</v>
      </c>
      <c r="H9499" s="1">
        <v>-3.3279660000000002E-7</v>
      </c>
      <c r="I9499">
        <v>-59.489019999999996</v>
      </c>
      <c r="J9499">
        <v>-273.8818</v>
      </c>
      <c r="K9499">
        <v>1.1126560000000001</v>
      </c>
      <c r="L9499">
        <v>-60.750149999999998</v>
      </c>
      <c r="M9499">
        <v>0.97682029999999997</v>
      </c>
      <c r="N9499">
        <v>0</v>
      </c>
      <c r="O9499">
        <v>-0.21382970000000001</v>
      </c>
      <c r="P9499">
        <v>0.99413759999999995</v>
      </c>
      <c r="Q9499">
        <v>4.5686110000000002E-2</v>
      </c>
      <c r="R9499">
        <v>-9.7994659999999997E-2</v>
      </c>
      <c r="S9499">
        <v>3.0351870000000001</v>
      </c>
      <c r="T9499">
        <v>-0.10807650000000001</v>
      </c>
      <c r="U9499">
        <v>0.1198425</v>
      </c>
      <c r="V9499">
        <v>-0.1172021</v>
      </c>
      <c r="W9499">
        <v>5.4831949999999997E-2</v>
      </c>
      <c r="X9499">
        <v>0.99159319999999895</v>
      </c>
      <c r="Y9499">
        <v>-0.25192110000000001</v>
      </c>
      <c r="Z9499">
        <v>1.2054550000000001E-2</v>
      </c>
      <c r="AA9499">
        <v>0.96767270000000005</v>
      </c>
      <c r="AB9499">
        <v>27</v>
      </c>
      <c r="AC9499">
        <v>31.114999999999998</v>
      </c>
      <c r="AD9499">
        <v>-1.1126563327965999</v>
      </c>
      <c r="AE9499">
        <v>1.2611300000000001</v>
      </c>
      <c r="AF9499">
        <v>-7.8755444311024396</v>
      </c>
      <c r="AG9499">
        <v>-1.1126563327965999</v>
      </c>
      <c r="AH9499">
        <v>30.087176653388401</v>
      </c>
      <c r="AI9499">
        <v>92.048926319357193</v>
      </c>
      <c r="AJ9499">
        <v>104.668497491091</v>
      </c>
      <c r="AK9499">
        <v>31.120739116759101</v>
      </c>
      <c r="AL9499">
        <v>86.856784223555593</v>
      </c>
      <c r="AM9499">
        <v>96.740843223530206</v>
      </c>
      <c r="AN9499">
        <v>0.99999997463572499</v>
      </c>
    </row>
    <row r="9500" spans="1:40" x14ac:dyDescent="0.25">
      <c r="A9500" t="str">
        <f>"20190312150910687"</f>
        <v>20190312150910687</v>
      </c>
      <c r="B9500" t="str">
        <f>"1552374550678838"</f>
        <v>1552374550678838</v>
      </c>
      <c r="C9500" t="s">
        <v>40</v>
      </c>
      <c r="D9500">
        <v>4.622738</v>
      </c>
      <c r="E9500">
        <v>0.44834970000000002</v>
      </c>
      <c r="F9500" t="s">
        <v>87</v>
      </c>
      <c r="G9500">
        <v>-242.27109999999999</v>
      </c>
      <c r="H9500" s="1">
        <v>-1.2947839999999901E-7</v>
      </c>
      <c r="I9500">
        <v>-59.436419999999998</v>
      </c>
      <c r="J9500">
        <v>-273.75209999999998</v>
      </c>
      <c r="K9500">
        <v>1.112662</v>
      </c>
      <c r="L9500">
        <v>-60.776760000000003</v>
      </c>
      <c r="M9500">
        <v>0.9771936</v>
      </c>
      <c r="N9500">
        <v>0</v>
      </c>
      <c r="O9500">
        <v>-0.21211730000000001</v>
      </c>
      <c r="P9500">
        <v>0.99429639999999997</v>
      </c>
      <c r="Q9500">
        <v>4.6779639999999997E-2</v>
      </c>
      <c r="R9500">
        <v>-9.5847550000000004E-2</v>
      </c>
      <c r="S9500">
        <v>3.035034</v>
      </c>
      <c r="T9500">
        <v>-0.1068294</v>
      </c>
      <c r="U9500">
        <v>0.1261292</v>
      </c>
      <c r="V9500">
        <v>-0.117603</v>
      </c>
      <c r="W9500">
        <v>5.5921760000000001E-2</v>
      </c>
      <c r="X9500">
        <v>0.9914849</v>
      </c>
      <c r="Y9500">
        <v>-0.2522356</v>
      </c>
      <c r="Z9500">
        <v>1.1862289999999999E-2</v>
      </c>
      <c r="AA9500">
        <v>0.96759309999999998</v>
      </c>
      <c r="AB9500">
        <v>27</v>
      </c>
      <c r="AC9500">
        <v>31.480999999999899</v>
      </c>
      <c r="AD9500">
        <v>-1.11266212947839</v>
      </c>
      <c r="AE9500">
        <v>1.3403399999999901</v>
      </c>
      <c r="AF9500">
        <v>-7.9778835914159103</v>
      </c>
      <c r="AG9500">
        <v>-1.11266212947839</v>
      </c>
      <c r="AH9500">
        <v>30.442270532481999</v>
      </c>
      <c r="AI9500">
        <v>92.024904199558904</v>
      </c>
      <c r="AJ9500">
        <v>104.685037203234</v>
      </c>
      <c r="AK9500">
        <v>31.489942502097101</v>
      </c>
      <c r="AL9500">
        <v>86.794246849860002</v>
      </c>
      <c r="AM9500">
        <v>96.764419560195705</v>
      </c>
      <c r="AN9500">
        <v>1.0000000078892499</v>
      </c>
    </row>
    <row r="9501" spans="1:40" x14ac:dyDescent="0.25">
      <c r="A9501" t="str">
        <f>"20190312150910698"</f>
        <v>20190312150910698</v>
      </c>
      <c r="B9501" t="str">
        <f>"1552374550688598"</f>
        <v>1552374550688598</v>
      </c>
      <c r="C9501" t="s">
        <v>40</v>
      </c>
      <c r="D9501">
        <v>4.618366</v>
      </c>
      <c r="E9501">
        <v>0.44834970000000002</v>
      </c>
      <c r="F9501" t="s">
        <v>87</v>
      </c>
      <c r="G9501">
        <v>-240.887</v>
      </c>
      <c r="H9501" s="1">
        <v>4.3155760000000001E-7</v>
      </c>
      <c r="I9501">
        <v>-59.333480000000002</v>
      </c>
      <c r="J9501">
        <v>-273.62040000000002</v>
      </c>
      <c r="K9501">
        <v>1.1126640000000001</v>
      </c>
      <c r="L9501">
        <v>-60.803469999999997</v>
      </c>
      <c r="M9501">
        <v>0.97756929999999997</v>
      </c>
      <c r="N9501">
        <v>0</v>
      </c>
      <c r="O9501">
        <v>-0.2103787</v>
      </c>
      <c r="P9501">
        <v>0.99447890000000005</v>
      </c>
      <c r="Q9501">
        <v>4.7561920000000001E-2</v>
      </c>
      <c r="R9501">
        <v>-9.3538469999999999E-2</v>
      </c>
      <c r="S9501">
        <v>3.0348510000000002</v>
      </c>
      <c r="T9501">
        <v>-0.1027462</v>
      </c>
      <c r="U9501">
        <v>0.13327030000000001</v>
      </c>
      <c r="V9501">
        <v>-0.1181391</v>
      </c>
      <c r="W9501">
        <v>5.6699199999999998E-2</v>
      </c>
      <c r="X9501">
        <v>0.99137699999999995</v>
      </c>
      <c r="Y9501">
        <v>-0.25281150000000002</v>
      </c>
      <c r="Z9501">
        <v>1.136153E-2</v>
      </c>
      <c r="AA9501">
        <v>0.9674488</v>
      </c>
      <c r="AB9501">
        <v>27</v>
      </c>
      <c r="AC9501">
        <v>32.733400000000003</v>
      </c>
      <c r="AD9501">
        <v>-1.11266356844239</v>
      </c>
      <c r="AE9501">
        <v>1.4699899999999899</v>
      </c>
      <c r="AF9501">
        <v>-8.3142523071201904</v>
      </c>
      <c r="AG9501">
        <v>-1.11266356844239</v>
      </c>
      <c r="AH9501">
        <v>31.6549804998185</v>
      </c>
      <c r="AI9501">
        <v>91.947113049667607</v>
      </c>
      <c r="AJ9501">
        <v>104.71646530763201</v>
      </c>
      <c r="AK9501">
        <v>32.747558719496602</v>
      </c>
      <c r="AL9501">
        <v>86.749632006353906</v>
      </c>
      <c r="AM9501">
        <v>96.795700516361407</v>
      </c>
      <c r="AN9501">
        <v>1.0000000011792201</v>
      </c>
    </row>
    <row r="9502" spans="1:40" x14ac:dyDescent="0.25">
      <c r="A9502" t="str">
        <f>"20190312150910710"</f>
        <v>20190312150910710</v>
      </c>
      <c r="B9502" t="str">
        <f>"1552374550699334"</f>
        <v>1552374550699334</v>
      </c>
      <c r="C9502" t="s">
        <v>40</v>
      </c>
      <c r="D9502">
        <v>4.4942260000000003</v>
      </c>
      <c r="E9502">
        <v>0.41812120000000003</v>
      </c>
      <c r="F9502" t="s">
        <v>88</v>
      </c>
      <c r="G9502">
        <v>-239.9701</v>
      </c>
      <c r="H9502" s="1">
        <v>-3.4657900000000001E-6</v>
      </c>
      <c r="I9502">
        <v>-59.247750000000003</v>
      </c>
      <c r="J9502">
        <v>-273.48989999999998</v>
      </c>
      <c r="K9502">
        <v>1.112673</v>
      </c>
      <c r="L9502">
        <v>-60.829709999999999</v>
      </c>
      <c r="M9502">
        <v>0.97793869999999905</v>
      </c>
      <c r="N9502">
        <v>0</v>
      </c>
      <c r="O9502">
        <v>-0.20865549999999999</v>
      </c>
      <c r="P9502">
        <v>0.99465760000000003</v>
      </c>
      <c r="Q9502">
        <v>4.8371480000000001E-2</v>
      </c>
      <c r="R9502">
        <v>-9.1196860000000005E-2</v>
      </c>
      <c r="S9502">
        <v>3.0346069999999998</v>
      </c>
      <c r="T9502">
        <v>-0.1003411</v>
      </c>
      <c r="U9502">
        <v>0.14028929999999901</v>
      </c>
      <c r="V9502">
        <v>-0.1187236</v>
      </c>
      <c r="W9502">
        <v>5.7504220000000002E-2</v>
      </c>
      <c r="X9502">
        <v>0.99126080000000005</v>
      </c>
      <c r="Y9502">
        <v>-0.25335580000000002</v>
      </c>
      <c r="Z9502">
        <v>1.1049349999999999E-2</v>
      </c>
      <c r="AA9502">
        <v>0.96731009999999995</v>
      </c>
      <c r="AB9502">
        <v>27</v>
      </c>
      <c r="AC9502">
        <v>33.519799999999897</v>
      </c>
      <c r="AD9502">
        <v>-1.1126764657899999</v>
      </c>
      <c r="AE9502">
        <v>1.58195999999999</v>
      </c>
      <c r="AF9502">
        <v>-8.5321918470600906</v>
      </c>
      <c r="AG9502">
        <v>-1.1126764657899999</v>
      </c>
      <c r="AH9502">
        <v>32.416188415801997</v>
      </c>
      <c r="AI9502">
        <v>91.901186726234997</v>
      </c>
      <c r="AJ9502">
        <v>104.74623401354501</v>
      </c>
      <c r="AK9502">
        <v>33.538718193176997</v>
      </c>
      <c r="AL9502">
        <v>86.703432375471806</v>
      </c>
      <c r="AM9502">
        <v>96.829798852146396</v>
      </c>
      <c r="AN9502">
        <v>1.0000000010657</v>
      </c>
    </row>
    <row r="9503" spans="1:40" x14ac:dyDescent="0.25">
      <c r="A9503" t="str">
        <f>"20190312150910720"</f>
        <v>20190312150910720</v>
      </c>
      <c r="B9503" t="str">
        <f>"1552374550708709"</f>
        <v>1552374550708709</v>
      </c>
      <c r="C9503" t="s">
        <v>40</v>
      </c>
      <c r="D9503">
        <v>4.4634219999999996</v>
      </c>
      <c r="E9503">
        <v>0.41363939999999999</v>
      </c>
      <c r="F9503" t="s">
        <v>87</v>
      </c>
      <c r="G9503">
        <v>-244.298</v>
      </c>
      <c r="H9503" s="1">
        <v>-1.410114E-6</v>
      </c>
      <c r="I9503">
        <v>-57.11889</v>
      </c>
      <c r="J9503">
        <v>-273.36180000000002</v>
      </c>
      <c r="K9503">
        <v>1.112681</v>
      </c>
      <c r="L9503">
        <v>-60.855260000000001</v>
      </c>
      <c r="M9503">
        <v>0.978298</v>
      </c>
      <c r="N9503">
        <v>0</v>
      </c>
      <c r="O9503">
        <v>-0.20696390000000001</v>
      </c>
      <c r="P9503">
        <v>0.99481540000000002</v>
      </c>
      <c r="Q9503">
        <v>4.9234809999999997E-2</v>
      </c>
      <c r="R9503">
        <v>-8.898694E-2</v>
      </c>
      <c r="S9503">
        <v>3.0573730000000001</v>
      </c>
      <c r="T9503">
        <v>-0.1165345</v>
      </c>
      <c r="U9503">
        <v>0.38864140000000003</v>
      </c>
      <c r="V9503">
        <v>-0.1192092</v>
      </c>
      <c r="W9503">
        <v>5.8363459999999999E-2</v>
      </c>
      <c r="X9503">
        <v>0.99115229999999999</v>
      </c>
      <c r="Y9503">
        <v>-0.32830939999999997</v>
      </c>
      <c r="Z9503">
        <v>1.4067049999999999E-2</v>
      </c>
      <c r="AA9503">
        <v>0.94446549999999996</v>
      </c>
      <c r="AB9503">
        <v>27</v>
      </c>
      <c r="AC9503">
        <v>29.063800000000001</v>
      </c>
      <c r="AD9503">
        <v>-1.112682410114</v>
      </c>
      <c r="AE9503">
        <v>3.7363699999999902</v>
      </c>
      <c r="AF9503">
        <v>-9.6569953642000002</v>
      </c>
      <c r="AG9503">
        <v>-1.112682410114</v>
      </c>
      <c r="AH9503">
        <v>27.621306856614801</v>
      </c>
      <c r="AI9503">
        <v>92.1777023840787</v>
      </c>
      <c r="AJ9503">
        <v>109.270710535566</v>
      </c>
      <c r="AK9503">
        <v>29.2819434819008</v>
      </c>
      <c r="AL9503">
        <v>86.654118733274899</v>
      </c>
      <c r="AM9503">
        <v>96.858211959635796</v>
      </c>
      <c r="AN9503">
        <v>1.00000000431155</v>
      </c>
    </row>
    <row r="9504" spans="1:40" x14ac:dyDescent="0.25">
      <c r="A9504" t="str">
        <f>"20190312150910732"</f>
        <v>20190312150910732</v>
      </c>
      <c r="B9504" t="str">
        <f>"1552374550729206"</f>
        <v>1552374550729206</v>
      </c>
      <c r="C9504" t="s">
        <v>40</v>
      </c>
      <c r="D9504">
        <v>4.4586209999999999</v>
      </c>
      <c r="E9504">
        <v>0.40944079999999999</v>
      </c>
      <c r="F9504" t="s">
        <v>86</v>
      </c>
      <c r="G9504">
        <v>-250.1336</v>
      </c>
      <c r="H9504" s="1">
        <v>-5.1756160000000002E-8</v>
      </c>
      <c r="I9504">
        <v>-57.574869999999997</v>
      </c>
      <c r="J9504">
        <v>-273.22770000000003</v>
      </c>
      <c r="K9504">
        <v>1.1126860000000001</v>
      </c>
      <c r="L9504">
        <v>-60.881709999999998</v>
      </c>
      <c r="M9504">
        <v>0.97867099999999996</v>
      </c>
      <c r="N9504">
        <v>0</v>
      </c>
      <c r="O9504">
        <v>-0.2051926</v>
      </c>
      <c r="P9504">
        <v>0.99499510000000002</v>
      </c>
      <c r="Q9504">
        <v>5.0246369999999999E-2</v>
      </c>
      <c r="R9504">
        <v>-8.6371989999999996E-2</v>
      </c>
      <c r="S9504">
        <v>3.0616150000000002</v>
      </c>
      <c r="T9504">
        <v>-0.1466577</v>
      </c>
      <c r="U9504">
        <v>0.43237300000000001</v>
      </c>
      <c r="V9504">
        <v>-0.12001680000000001</v>
      </c>
      <c r="W9504">
        <v>5.9369739999999997E-2</v>
      </c>
      <c r="X9504">
        <v>0.99099499999999996</v>
      </c>
      <c r="Y9504">
        <v>-0.33943269999999998</v>
      </c>
      <c r="Z9504">
        <v>1.784353E-2</v>
      </c>
      <c r="AA9504">
        <v>0.94046110000000005</v>
      </c>
      <c r="AB9504">
        <v>27</v>
      </c>
      <c r="AC9504">
        <v>23.094100000000001</v>
      </c>
      <c r="AD9504">
        <v>-1.1126860517561501</v>
      </c>
      <c r="AE9504">
        <v>3.3068399999999998</v>
      </c>
      <c r="AF9504">
        <v>-7.9573411514274799</v>
      </c>
      <c r="AG9504">
        <v>-1.1126860517561501</v>
      </c>
      <c r="AH9504">
        <v>21.874314849825002</v>
      </c>
      <c r="AI9504">
        <v>92.736801681096495</v>
      </c>
      <c r="AJ9504">
        <v>109.990150181801</v>
      </c>
      <c r="AK9504">
        <v>23.303283000454002</v>
      </c>
      <c r="AL9504">
        <v>86.596362772421998</v>
      </c>
      <c r="AM9504">
        <v>96.905312252976501</v>
      </c>
      <c r="AN9504">
        <v>0.99999994416745197</v>
      </c>
    </row>
    <row r="9505" spans="1:40" x14ac:dyDescent="0.25">
      <c r="A9505" t="str">
        <f>"20190312150910743"</f>
        <v>20190312150910743</v>
      </c>
      <c r="B9505" t="str">
        <f>"1552374550738969"</f>
        <v>1552374550738969</v>
      </c>
      <c r="C9505" t="s">
        <v>40</v>
      </c>
      <c r="D9505">
        <v>4.4517419999999897</v>
      </c>
      <c r="E9505">
        <v>0.40899839999999998</v>
      </c>
      <c r="F9505" t="s">
        <v>86</v>
      </c>
      <c r="G9505">
        <v>-255.74619999999999</v>
      </c>
      <c r="H9505" s="1">
        <v>-2.091071E-6</v>
      </c>
      <c r="I9505">
        <v>-58.168370000000003</v>
      </c>
      <c r="J9505">
        <v>-273.09179999999998</v>
      </c>
      <c r="K9505">
        <v>1.1126940000000001</v>
      </c>
      <c r="L9505">
        <v>-60.908389999999997</v>
      </c>
      <c r="M9505">
        <v>0.97904550000000001</v>
      </c>
      <c r="N9505">
        <v>0</v>
      </c>
      <c r="O9505">
        <v>-0.203398</v>
      </c>
      <c r="P9505">
        <v>0.99518359999999995</v>
      </c>
      <c r="Q9505">
        <v>5.093081E-2</v>
      </c>
      <c r="R9505">
        <v>-8.3759539999999993E-2</v>
      </c>
      <c r="S9505">
        <v>3.0662539999999998</v>
      </c>
      <c r="T9505">
        <v>-0.19516600000000001</v>
      </c>
      <c r="U9505">
        <v>0.4759216</v>
      </c>
      <c r="V9505">
        <v>-0.12079910000000001</v>
      </c>
      <c r="W9505">
        <v>6.0048030000000002E-2</v>
      </c>
      <c r="X9505">
        <v>0.99085919999999905</v>
      </c>
      <c r="Y9505">
        <v>-0.35007290000000002</v>
      </c>
      <c r="Z9505">
        <v>2.3903549999999999E-2</v>
      </c>
      <c r="AA9505">
        <v>0.93641739999999996</v>
      </c>
      <c r="AB9505">
        <v>27</v>
      </c>
      <c r="AC9505">
        <v>17.345599999999902</v>
      </c>
      <c r="AD9505">
        <v>-1.112696091071</v>
      </c>
      <c r="AE9505">
        <v>2.7400199999999999</v>
      </c>
      <c r="AF9505">
        <v>-6.1861360867866004</v>
      </c>
      <c r="AG9505">
        <v>-1.112696091071</v>
      </c>
      <c r="AH9505">
        <v>16.359948562543099</v>
      </c>
      <c r="AI9505">
        <v>93.640098178616896</v>
      </c>
      <c r="AJ9505">
        <v>110.71295202353301</v>
      </c>
      <c r="AK9505">
        <v>17.525817791030001</v>
      </c>
      <c r="AL9505">
        <v>86.557430591253194</v>
      </c>
      <c r="AM9505">
        <v>96.9508272145668</v>
      </c>
      <c r="AN9505">
        <v>1.0000000713461601</v>
      </c>
    </row>
    <row r="9506" spans="1:40" x14ac:dyDescent="0.25">
      <c r="A9506" t="str">
        <f>"20190312150910755"</f>
        <v>20190312150910755</v>
      </c>
      <c r="B9506" t="str">
        <f>"1552374550748725"</f>
        <v>1552374550748725</v>
      </c>
      <c r="C9506" t="s">
        <v>40</v>
      </c>
      <c r="D9506">
        <v>4.4162869999999996</v>
      </c>
      <c r="E9506">
        <v>0.40857510000000002</v>
      </c>
      <c r="F9506" t="s">
        <v>86</v>
      </c>
      <c r="G9506">
        <v>-256.7801</v>
      </c>
      <c r="H9506" s="1">
        <v>-2.5026329999999998E-6</v>
      </c>
      <c r="I9506">
        <v>-58.312820000000002</v>
      </c>
      <c r="J9506">
        <v>-272.95940000000002</v>
      </c>
      <c r="K9506">
        <v>1.1127</v>
      </c>
      <c r="L9506">
        <v>-60.933959999999999</v>
      </c>
      <c r="M9506">
        <v>0.97940680000000002</v>
      </c>
      <c r="N9506">
        <v>0</v>
      </c>
      <c r="O9506">
        <v>-0.2016512</v>
      </c>
      <c r="P9506">
        <v>0.9953765</v>
      </c>
      <c r="Q9506">
        <v>5.1424919999999999E-2</v>
      </c>
      <c r="R9506">
        <v>-8.1124829999999995E-2</v>
      </c>
      <c r="S9506">
        <v>3.066284</v>
      </c>
      <c r="T9506">
        <v>-0.20916489999999999</v>
      </c>
      <c r="U9506">
        <v>0.48791499999999999</v>
      </c>
      <c r="V9506">
        <v>-0.1216539</v>
      </c>
      <c r="W9506">
        <v>6.0536850000000003E-2</v>
      </c>
      <c r="X9506">
        <v>0.99072479999999996</v>
      </c>
      <c r="Y9506">
        <v>-0.35181269999999998</v>
      </c>
      <c r="Z9506">
        <v>2.5549260000000001E-2</v>
      </c>
      <c r="AA9506">
        <v>0.93572169999999999</v>
      </c>
      <c r="AB9506">
        <v>27</v>
      </c>
      <c r="AC9506">
        <v>16.179300000000001</v>
      </c>
      <c r="AD9506">
        <v>-1.112702502633</v>
      </c>
      <c r="AE9506">
        <v>2.62114</v>
      </c>
      <c r="AF9506">
        <v>-5.8032804035748597</v>
      </c>
      <c r="AG9506">
        <v>-1.112702502633</v>
      </c>
      <c r="AH9506">
        <v>15.248044470463901</v>
      </c>
      <c r="AI9506">
        <v>93.901586424845505</v>
      </c>
      <c r="AJ9506">
        <v>110.836413431463</v>
      </c>
      <c r="AK9506">
        <v>16.352951735852699</v>
      </c>
      <c r="AL9506">
        <v>86.529371996087903</v>
      </c>
      <c r="AM9506">
        <v>97.000466636477498</v>
      </c>
      <c r="AN9506">
        <v>1.0000000054640801</v>
      </c>
    </row>
    <row r="9507" spans="1:40" x14ac:dyDescent="0.25">
      <c r="A9507" t="str">
        <f>"20190312150910766"</f>
        <v>20190312150910766</v>
      </c>
      <c r="B9507" t="str">
        <f>"1552374550759461"</f>
        <v>1552374550759461</v>
      </c>
      <c r="C9507" t="s">
        <v>40</v>
      </c>
      <c r="D9507">
        <v>4.4102639999999997</v>
      </c>
      <c r="E9507">
        <v>0.40848230000000002</v>
      </c>
      <c r="F9507" t="s">
        <v>86</v>
      </c>
      <c r="G9507">
        <v>-257.29050000000001</v>
      </c>
      <c r="H9507" s="1">
        <v>-2.7065759999999998E-6</v>
      </c>
      <c r="I9507">
        <v>-58.380780000000001</v>
      </c>
      <c r="J9507">
        <v>-272.83</v>
      </c>
      <c r="K9507">
        <v>1.112714</v>
      </c>
      <c r="L9507">
        <v>-60.958860000000001</v>
      </c>
      <c r="M9507">
        <v>0.97975710000000005</v>
      </c>
      <c r="N9507">
        <v>0</v>
      </c>
      <c r="O9507">
        <v>-0.19994239999999999</v>
      </c>
      <c r="P9507">
        <v>0.99554589999999998</v>
      </c>
      <c r="Q9507">
        <v>5.255373E-2</v>
      </c>
      <c r="R9507">
        <v>-7.8273480000000006E-2</v>
      </c>
      <c r="S9507">
        <v>3.065887</v>
      </c>
      <c r="T9507">
        <v>-0.21771869999999999</v>
      </c>
      <c r="U9507">
        <v>0.49957279999999998</v>
      </c>
      <c r="V9507">
        <v>-0.12275990000000001</v>
      </c>
      <c r="W9507">
        <v>6.1657219999999999E-2</v>
      </c>
      <c r="X9507">
        <v>0.99051929999999999</v>
      </c>
      <c r="Y9507">
        <v>-0.35356219999999999</v>
      </c>
      <c r="Z9507">
        <v>2.653049E-2</v>
      </c>
      <c r="AA9507">
        <v>0.9350347</v>
      </c>
      <c r="AB9507">
        <v>27</v>
      </c>
      <c r="AC9507">
        <v>15.539499999999901</v>
      </c>
      <c r="AD9507">
        <v>-1.112716706576</v>
      </c>
      <c r="AE9507">
        <v>2.5780799999999902</v>
      </c>
      <c r="AF9507">
        <v>-5.6052059979769302</v>
      </c>
      <c r="AG9507">
        <v>-1.112716706576</v>
      </c>
      <c r="AH9507">
        <v>14.6371567593904</v>
      </c>
      <c r="AI9507">
        <v>94.060764935846905</v>
      </c>
      <c r="AJ9507">
        <v>110.954023388422</v>
      </c>
      <c r="AK9507">
        <v>15.7131419756781</v>
      </c>
      <c r="AL9507">
        <v>86.465059512747402</v>
      </c>
      <c r="AM9507">
        <v>97.064921023748695</v>
      </c>
      <c r="AN9507">
        <v>1.00000004474931</v>
      </c>
    </row>
    <row r="9508" spans="1:40" x14ac:dyDescent="0.25">
      <c r="A9508" t="str">
        <f>"20190312150910777"</f>
        <v>20190312150910777</v>
      </c>
      <c r="B9508" t="str">
        <f>"1552374550769221"</f>
        <v>1552374550769221</v>
      </c>
      <c r="C9508" t="s">
        <v>40</v>
      </c>
      <c r="D9508">
        <v>4.4343009999999996</v>
      </c>
      <c r="E9508">
        <v>0.40841559999999999</v>
      </c>
      <c r="F9508" t="s">
        <v>86</v>
      </c>
      <c r="G9508">
        <v>-257.97089999999997</v>
      </c>
      <c r="H9508" s="1">
        <v>-2.9745839999999998E-6</v>
      </c>
      <c r="I9508">
        <v>-58.488909999999997</v>
      </c>
      <c r="J9508">
        <v>-272.6927</v>
      </c>
      <c r="K9508">
        <v>1.1127199999999999</v>
      </c>
      <c r="L9508">
        <v>-60.984859999999998</v>
      </c>
      <c r="M9508">
        <v>0.98012489999999997</v>
      </c>
      <c r="N9508">
        <v>0</v>
      </c>
      <c r="O9508">
        <v>-0.198131</v>
      </c>
      <c r="P9508">
        <v>0.99570890000000001</v>
      </c>
      <c r="Q9508">
        <v>5.3449469999999999E-2</v>
      </c>
      <c r="R9508">
        <v>-7.554495E-2</v>
      </c>
      <c r="S9508">
        <v>3.0656129999999999</v>
      </c>
      <c r="T9508">
        <v>-0.22956779999999999</v>
      </c>
      <c r="U9508">
        <v>0.50958249999999905</v>
      </c>
      <c r="V9508">
        <v>-0.1236404</v>
      </c>
      <c r="W9508">
        <v>6.2547179999999994E-2</v>
      </c>
      <c r="X9508">
        <v>0.99035390000000001</v>
      </c>
      <c r="Y9508">
        <v>-0.35466969999999998</v>
      </c>
      <c r="Z9508">
        <v>2.7874389999999999E-2</v>
      </c>
      <c r="AA9508">
        <v>0.93457599999999996</v>
      </c>
      <c r="AB9508">
        <v>27</v>
      </c>
      <c r="AC9508">
        <v>14.7218</v>
      </c>
      <c r="AD9508">
        <v>-1.1127229745839999</v>
      </c>
      <c r="AE9508">
        <v>2.4959500000000001</v>
      </c>
      <c r="AF9508">
        <v>-5.3338340132494499</v>
      </c>
      <c r="AG9508">
        <v>-1.1127229745839999</v>
      </c>
      <c r="AH9508">
        <v>13.858410697028299</v>
      </c>
      <c r="AI9508">
        <v>94.285379089642802</v>
      </c>
      <c r="AJ9508">
        <v>111.05074948100101</v>
      </c>
      <c r="AK9508">
        <v>14.8910538494282</v>
      </c>
      <c r="AL9508">
        <v>86.4139696895284</v>
      </c>
      <c r="AM9508">
        <v>97.116253015256603</v>
      </c>
      <c r="AN9508">
        <v>0.99999997274165997</v>
      </c>
    </row>
    <row r="9509" spans="1:40" x14ac:dyDescent="0.25">
      <c r="A9509" t="str">
        <f>"20190312150910788"</f>
        <v>20190312150910788</v>
      </c>
      <c r="B9509" t="str">
        <f>"1552374550778982"</f>
        <v>1552374550778982</v>
      </c>
      <c r="C9509" t="s">
        <v>40</v>
      </c>
      <c r="D9509">
        <v>4.4116390000000001</v>
      </c>
      <c r="E9509">
        <v>0.40831590000000001</v>
      </c>
      <c r="F9509" t="s">
        <v>86</v>
      </c>
      <c r="G9509">
        <v>-258.16719999999998</v>
      </c>
      <c r="H9509" s="1">
        <v>-3.0503179999999999E-6</v>
      </c>
      <c r="I9509">
        <v>-58.527259999999998</v>
      </c>
      <c r="J9509">
        <v>-272.55520000000001</v>
      </c>
      <c r="K9509">
        <v>1.1127279999999999</v>
      </c>
      <c r="L9509">
        <v>-61.010770000000001</v>
      </c>
      <c r="M9509">
        <v>0.98049010000000003</v>
      </c>
      <c r="N9509">
        <v>0</v>
      </c>
      <c r="O9509">
        <v>-0.1963163</v>
      </c>
      <c r="P9509">
        <v>0.99587969999999904</v>
      </c>
      <c r="Q9509">
        <v>5.4379160000000003E-2</v>
      </c>
      <c r="R9509">
        <v>-7.2573209999999999E-2</v>
      </c>
      <c r="S9509">
        <v>3.06488</v>
      </c>
      <c r="T9509">
        <v>-0.2347843</v>
      </c>
      <c r="U9509">
        <v>0.51855470000000004</v>
      </c>
      <c r="V9509">
        <v>-0.1247598</v>
      </c>
      <c r="W9509">
        <v>6.3469460000000005E-2</v>
      </c>
      <c r="X9509">
        <v>0.99015489999999995</v>
      </c>
      <c r="Y9509">
        <v>-0.3555702</v>
      </c>
      <c r="Z9509">
        <v>2.8404240000000001E-2</v>
      </c>
      <c r="AA9509">
        <v>0.93421790000000005</v>
      </c>
      <c r="AB9509">
        <v>27</v>
      </c>
      <c r="AC9509">
        <v>14.388</v>
      </c>
      <c r="AD9509">
        <v>-1.1127310503179999</v>
      </c>
      <c r="AE9509">
        <v>2.4835099999999901</v>
      </c>
      <c r="AF9509">
        <v>-5.2295430968465304</v>
      </c>
      <c r="AG9509">
        <v>-1.1127310503179999</v>
      </c>
      <c r="AH9509">
        <v>13.5417617863627</v>
      </c>
      <c r="AI9509">
        <v>94.383326939049596</v>
      </c>
      <c r="AJ9509">
        <v>111.115510339691</v>
      </c>
      <c r="AK9509">
        <v>14.5590385558494</v>
      </c>
      <c r="AL9509">
        <v>86.361022019669804</v>
      </c>
      <c r="AM9509">
        <v>97.181439791437299</v>
      </c>
      <c r="AN9509">
        <v>1.00000005302136</v>
      </c>
    </row>
    <row r="9510" spans="1:40" x14ac:dyDescent="0.25">
      <c r="A9510" t="str">
        <f>"20190312150910810"</f>
        <v>20190312150910810</v>
      </c>
      <c r="B9510" t="str">
        <f>"1552374550808801"</f>
        <v>1552374550808801</v>
      </c>
      <c r="C9510" t="s">
        <v>40</v>
      </c>
      <c r="D9510">
        <v>4.3263720000000001</v>
      </c>
      <c r="E9510">
        <v>0.40843170000000001</v>
      </c>
      <c r="F9510" t="s">
        <v>86</v>
      </c>
      <c r="G9510">
        <v>-258.22340000000003</v>
      </c>
      <c r="H9510" s="1">
        <v>-3.071977E-6</v>
      </c>
      <c r="I9510">
        <v>-58.538220000000003</v>
      </c>
      <c r="J9510">
        <v>-272.29219999999998</v>
      </c>
      <c r="K9510">
        <v>1.112738</v>
      </c>
      <c r="L9510">
        <v>-61.059480000000001</v>
      </c>
      <c r="M9510">
        <v>0.98117849999999995</v>
      </c>
      <c r="N9510">
        <v>0</v>
      </c>
      <c r="O9510">
        <v>-0.1928453</v>
      </c>
      <c r="P9510">
        <v>0.99619040000000003</v>
      </c>
      <c r="Q9510">
        <v>5.6207399999999998E-2</v>
      </c>
      <c r="R9510">
        <v>-6.6673819999999995E-2</v>
      </c>
      <c r="S9510">
        <v>3.0639340000000002</v>
      </c>
      <c r="T9510">
        <v>-0.23788480000000001</v>
      </c>
      <c r="U9510">
        <v>0.52859500000000004</v>
      </c>
      <c r="V9510">
        <v>-0.1271138</v>
      </c>
      <c r="W9510">
        <v>6.5281489999999998E-2</v>
      </c>
      <c r="X9510">
        <v>0.9897376</v>
      </c>
      <c r="Y9510">
        <v>-0.35525580000000001</v>
      </c>
      <c r="Z9510">
        <v>2.850279E-2</v>
      </c>
      <c r="AA9510">
        <v>0.93433449999999996</v>
      </c>
      <c r="AB9510">
        <v>27</v>
      </c>
      <c r="AC9510">
        <v>14.0687999999999</v>
      </c>
      <c r="AD9510">
        <v>-1.1127410719769999</v>
      </c>
      <c r="AE9510">
        <v>2.52126000000001</v>
      </c>
      <c r="AF9510">
        <v>-5.1559158749787697</v>
      </c>
      <c r="AG9510">
        <v>-1.1127410719769999</v>
      </c>
      <c r="AH9510">
        <v>13.2382160838304</v>
      </c>
      <c r="AI9510">
        <v>94.478514942586301</v>
      </c>
      <c r="AJ9510">
        <v>111.279525826796</v>
      </c>
      <c r="AK9510">
        <v>14.2503342517047</v>
      </c>
      <c r="AL9510">
        <v>86.256984542995397</v>
      </c>
      <c r="AM9510">
        <v>97.3185375436546</v>
      </c>
      <c r="AN9510">
        <v>1.0000000539703999</v>
      </c>
    </row>
    <row r="9511" spans="1:40" x14ac:dyDescent="0.25">
      <c r="A9511" t="str">
        <f>"20190312150910821"</f>
        <v>20190312150910821</v>
      </c>
      <c r="B9511" t="str">
        <f>"1552374550808801"</f>
        <v>1552374550808801</v>
      </c>
      <c r="C9511" t="s">
        <v>40</v>
      </c>
      <c r="D9511">
        <v>4.3263720000000001</v>
      </c>
      <c r="E9511">
        <v>0.40843170000000001</v>
      </c>
      <c r="F9511" t="s">
        <v>86</v>
      </c>
      <c r="G9511">
        <v>-257.94130000000001</v>
      </c>
      <c r="H9511" s="1">
        <v>-2.9587850000000002E-6</v>
      </c>
      <c r="I9511">
        <v>-58.502879999999998</v>
      </c>
      <c r="J9511">
        <v>-272.16590000000002</v>
      </c>
      <c r="K9511">
        <v>1.1127450000000001</v>
      </c>
      <c r="L9511">
        <v>-61.082610000000003</v>
      </c>
      <c r="M9511">
        <v>0.98150490000000001</v>
      </c>
      <c r="N9511">
        <v>0</v>
      </c>
      <c r="O9511">
        <v>-0.19117719999999999</v>
      </c>
      <c r="P9511">
        <v>0.99634290000000003</v>
      </c>
      <c r="Q9511">
        <v>5.7132670000000003E-2</v>
      </c>
      <c r="R9511">
        <v>-6.35352E-2</v>
      </c>
      <c r="S9511">
        <v>3.0613709999999998</v>
      </c>
      <c r="T9511">
        <v>-0.23737230000000001</v>
      </c>
      <c r="U9511">
        <v>0.54537959999999996</v>
      </c>
      <c r="V9511">
        <v>-0.12854679999999999</v>
      </c>
      <c r="W9511">
        <v>6.6197420000000007E-2</v>
      </c>
      <c r="X9511">
        <v>0.98949160000000003</v>
      </c>
      <c r="Y9511">
        <v>-0.358766799999999</v>
      </c>
      <c r="Z9511">
        <v>2.8461090000000001E-2</v>
      </c>
      <c r="AA9511">
        <v>0.93299319999999997</v>
      </c>
      <c r="AB9511">
        <v>27</v>
      </c>
      <c r="AC9511">
        <v>14.224600000000001</v>
      </c>
      <c r="AD9511">
        <v>-1.112747958785</v>
      </c>
      <c r="AE9511">
        <v>2.5797299999999899</v>
      </c>
      <c r="AF9511">
        <v>-5.2207669031163197</v>
      </c>
      <c r="AG9511">
        <v>-1.112747958785</v>
      </c>
      <c r="AH9511">
        <v>13.389670049697299</v>
      </c>
      <c r="AI9511">
        <v>94.427433812373394</v>
      </c>
      <c r="AJ9511">
        <v>111.301310066589</v>
      </c>
      <c r="AK9511">
        <v>14.4145023887825</v>
      </c>
      <c r="AL9511">
        <v>86.2043916570492</v>
      </c>
      <c r="AM9511">
        <v>97.401951974016697</v>
      </c>
      <c r="AN9511">
        <v>1.00000000233772</v>
      </c>
    </row>
    <row r="9512" spans="1:40" x14ac:dyDescent="0.25">
      <c r="A9512" t="str">
        <f>"20190312150910833"</f>
        <v>20190312150910833</v>
      </c>
      <c r="B9512" t="str">
        <f>"1552374550829297"</f>
        <v>1552374550829297</v>
      </c>
      <c r="C9512" t="s">
        <v>40</v>
      </c>
      <c r="D9512">
        <v>4.3557259999999998</v>
      </c>
      <c r="E9512">
        <v>0.4085164</v>
      </c>
      <c r="F9512" t="s">
        <v>86</v>
      </c>
      <c r="G9512">
        <v>-257.67570000000001</v>
      </c>
      <c r="H9512" s="1">
        <v>-2.8553349999999999E-6</v>
      </c>
      <c r="I9512">
        <v>-58.455410000000001</v>
      </c>
      <c r="J9512">
        <v>-272.02719999999999</v>
      </c>
      <c r="K9512">
        <v>1.112751</v>
      </c>
      <c r="L9512">
        <v>-61.107669999999999</v>
      </c>
      <c r="M9512">
        <v>0.98185940000000005</v>
      </c>
      <c r="N9512">
        <v>0</v>
      </c>
      <c r="O9512">
        <v>-0.1893475</v>
      </c>
      <c r="P9512">
        <v>0.99649620000000005</v>
      </c>
      <c r="Q9512">
        <v>5.7817359999999998E-2</v>
      </c>
      <c r="R9512">
        <v>-6.0438329999999998E-2</v>
      </c>
      <c r="S9512">
        <v>3.0598450000000001</v>
      </c>
      <c r="T9512">
        <v>-0.2349755</v>
      </c>
      <c r="U9512">
        <v>0.55477909999999997</v>
      </c>
      <c r="V9512">
        <v>-0.12977549999999999</v>
      </c>
      <c r="W9512">
        <v>6.687398E-2</v>
      </c>
      <c r="X9512">
        <v>0.98928570000000005</v>
      </c>
      <c r="Y9512">
        <v>-0.35991800000000002</v>
      </c>
      <c r="Z9512">
        <v>2.80872E-2</v>
      </c>
      <c r="AA9512">
        <v>0.93256099999999997</v>
      </c>
      <c r="AB9512">
        <v>27</v>
      </c>
      <c r="AC9512">
        <v>14.3514999999999</v>
      </c>
      <c r="AD9512">
        <v>-1.112753855335</v>
      </c>
      <c r="AE9512">
        <v>2.6522599999999898</v>
      </c>
      <c r="AF9512">
        <v>-5.2910739036756897</v>
      </c>
      <c r="AG9512">
        <v>-1.112753855335</v>
      </c>
      <c r="AH9512">
        <v>13.5110901889375</v>
      </c>
      <c r="AI9512">
        <v>94.385307462228596</v>
      </c>
      <c r="AJ9512">
        <v>111.38579266507401</v>
      </c>
      <c r="AK9512">
        <v>14.552774384643101</v>
      </c>
      <c r="AL9512">
        <v>86.165541535887201</v>
      </c>
      <c r="AM9512">
        <v>97.473444530332998</v>
      </c>
      <c r="AN9512">
        <v>1.0000000029128899</v>
      </c>
    </row>
    <row r="9513" spans="1:40" x14ac:dyDescent="0.25">
      <c r="A9513" t="str">
        <f>"20190312150910843"</f>
        <v>20190312150910843</v>
      </c>
      <c r="B9513" t="str">
        <f>"1552374550839057"</f>
        <v>1552374550839057</v>
      </c>
      <c r="C9513" t="s">
        <v>40</v>
      </c>
      <c r="D9513">
        <v>4.3381360000000004</v>
      </c>
      <c r="E9513">
        <v>0.40889199999999998</v>
      </c>
      <c r="F9513" t="s">
        <v>86</v>
      </c>
      <c r="G9513">
        <v>-257.5394</v>
      </c>
      <c r="H9513" s="1">
        <v>-2.8005269999999998E-6</v>
      </c>
      <c r="I9513">
        <v>-58.438870000000001</v>
      </c>
      <c r="J9513">
        <v>-271.89569999999998</v>
      </c>
      <c r="K9513">
        <v>1.112757</v>
      </c>
      <c r="L9513">
        <v>-61.13129</v>
      </c>
      <c r="M9513">
        <v>0.98219239999999997</v>
      </c>
      <c r="N9513">
        <v>0</v>
      </c>
      <c r="O9513">
        <v>-0.18761220000000001</v>
      </c>
      <c r="P9513">
        <v>0.99664929999999996</v>
      </c>
      <c r="Q9513">
        <v>5.8657920000000002E-2</v>
      </c>
      <c r="R9513">
        <v>-5.7003110000000003E-2</v>
      </c>
      <c r="S9513">
        <v>3.0583800000000001</v>
      </c>
      <c r="T9513">
        <v>-0.234903</v>
      </c>
      <c r="U9513">
        <v>0.56338500000000002</v>
      </c>
      <c r="V9513">
        <v>-0.1314351</v>
      </c>
      <c r="W9513">
        <v>6.7702739999999997E-2</v>
      </c>
      <c r="X9513">
        <v>0.98901019999999995</v>
      </c>
      <c r="Y9513">
        <v>-0.3608904</v>
      </c>
      <c r="Z9513">
        <v>2.7991370000000002E-2</v>
      </c>
      <c r="AA9513">
        <v>0.93218800000000002</v>
      </c>
      <c r="AB9513">
        <v>27</v>
      </c>
      <c r="AC9513">
        <v>14.3562999999999</v>
      </c>
      <c r="AD9513">
        <v>-1.1127598005270001</v>
      </c>
      <c r="AE9513">
        <v>2.6924199999999998</v>
      </c>
      <c r="AF9513">
        <v>-5.3073554265574199</v>
      </c>
      <c r="AG9513">
        <v>-1.1127598005270001</v>
      </c>
      <c r="AH9513">
        <v>13.5177430875396</v>
      </c>
      <c r="AI9513">
        <v>94.381679925660094</v>
      </c>
      <c r="AJ9513">
        <v>111.43603500912199</v>
      </c>
      <c r="AK9513">
        <v>14.5648767306216</v>
      </c>
      <c r="AL9513">
        <v>86.117949251627294</v>
      </c>
      <c r="AM9513">
        <v>97.569999543720598</v>
      </c>
      <c r="AN9513">
        <v>1.00000001110977</v>
      </c>
    </row>
    <row r="9514" spans="1:40" x14ac:dyDescent="0.25">
      <c r="A9514" t="str">
        <f>"20190312150910855"</f>
        <v>20190312150910855</v>
      </c>
      <c r="B9514" t="str">
        <f>"1552374550848817"</f>
        <v>1552374550848817</v>
      </c>
      <c r="C9514" t="s">
        <v>40</v>
      </c>
      <c r="D9514">
        <v>4.3829789999999997</v>
      </c>
      <c r="E9514">
        <v>0.40886420000000001</v>
      </c>
      <c r="F9514" t="s">
        <v>86</v>
      </c>
      <c r="G9514">
        <v>-257.39620000000002</v>
      </c>
      <c r="H9514" s="1">
        <v>-2.7424350000000001E-6</v>
      </c>
      <c r="I9514">
        <v>-58.423699999999997</v>
      </c>
      <c r="J9514">
        <v>-271.75970000000001</v>
      </c>
      <c r="K9514">
        <v>1.1127640000000001</v>
      </c>
      <c r="L9514">
        <v>-61.155270000000002</v>
      </c>
      <c r="M9514">
        <v>0.98253330000000005</v>
      </c>
      <c r="N9514">
        <v>0</v>
      </c>
      <c r="O9514">
        <v>-0.18581839999999999</v>
      </c>
      <c r="P9514">
        <v>0.99677800000000005</v>
      </c>
      <c r="Q9514">
        <v>5.9415419999999997E-2</v>
      </c>
      <c r="R9514">
        <v>-5.388577E-2</v>
      </c>
      <c r="S9514">
        <v>3.056549</v>
      </c>
      <c r="T9514">
        <v>-0.23457430000000001</v>
      </c>
      <c r="U9514">
        <v>0.57077029999999995</v>
      </c>
      <c r="V9514">
        <v>-0.13272030000000001</v>
      </c>
      <c r="W9514">
        <v>6.8452020000000002E-2</v>
      </c>
      <c r="X9514">
        <v>0.98878690000000002</v>
      </c>
      <c r="Y9514">
        <v>-0.36147230000000002</v>
      </c>
      <c r="Z9514">
        <v>2.7849949999999998E-2</v>
      </c>
      <c r="AA9514">
        <v>0.93196679999999998</v>
      </c>
      <c r="AB9514">
        <v>27</v>
      </c>
      <c r="AC9514">
        <v>14.363499999999901</v>
      </c>
      <c r="AD9514">
        <v>-1.1127667424349901</v>
      </c>
      <c r="AE9514">
        <v>2.7315699999999898</v>
      </c>
      <c r="AF9514">
        <v>-5.3222994339426899</v>
      </c>
      <c r="AG9514">
        <v>-1.1127667424349901</v>
      </c>
      <c r="AH9514">
        <v>13.5273644261252</v>
      </c>
      <c r="AI9514">
        <v>94.377377239192697</v>
      </c>
      <c r="AJ9514">
        <v>111.477002582924</v>
      </c>
      <c r="AK9514">
        <v>14.579256133452599</v>
      </c>
      <c r="AL9514">
        <v>86.074918582207999</v>
      </c>
      <c r="AM9514">
        <v>97.644855385494196</v>
      </c>
      <c r="AN9514">
        <v>0.99999994534288805</v>
      </c>
    </row>
    <row r="9515" spans="1:40" x14ac:dyDescent="0.25">
      <c r="A9515" t="str">
        <f>"20190312150910867"</f>
        <v>20190312150910867</v>
      </c>
      <c r="B9515" t="str">
        <f>"1552374550858578"</f>
        <v>1552374550858578</v>
      </c>
      <c r="C9515" t="s">
        <v>40</v>
      </c>
      <c r="D9515">
        <v>4.344646</v>
      </c>
      <c r="E9515">
        <v>0.40919919999999999</v>
      </c>
      <c r="F9515" t="s">
        <v>86</v>
      </c>
      <c r="G9515">
        <v>-257.01069999999999</v>
      </c>
      <c r="H9515" s="1">
        <v>-2.5925609999999999E-6</v>
      </c>
      <c r="I9515">
        <v>-58.353679999999997</v>
      </c>
      <c r="J9515">
        <v>-271.62439999999998</v>
      </c>
      <c r="K9515">
        <v>1.112773</v>
      </c>
      <c r="L9515">
        <v>-61.179049999999997</v>
      </c>
      <c r="M9515">
        <v>0.98286929999999995</v>
      </c>
      <c r="N9515">
        <v>0</v>
      </c>
      <c r="O9515">
        <v>-0.18403359999999999</v>
      </c>
      <c r="P9515">
        <v>0.99691649999999998</v>
      </c>
      <c r="Q9515">
        <v>6.0060450000000001E-2</v>
      </c>
      <c r="R9515">
        <v>-5.050673E-2</v>
      </c>
      <c r="S9515">
        <v>3.0547789999999999</v>
      </c>
      <c r="T9515">
        <v>-0.23047409999999999</v>
      </c>
      <c r="U9515">
        <v>0.58026119999999903</v>
      </c>
      <c r="V9515">
        <v>-0.13427439999999999</v>
      </c>
      <c r="W9515">
        <v>6.9087090000000004E-2</v>
      </c>
      <c r="X9515">
        <v>0.98853290000000005</v>
      </c>
      <c r="Y9515">
        <v>-0.3627282</v>
      </c>
      <c r="Z9515">
        <v>2.7287510000000001E-2</v>
      </c>
      <c r="AA9515">
        <v>0.93149539999999997</v>
      </c>
      <c r="AB9515">
        <v>27</v>
      </c>
      <c r="AC9515">
        <v>14.6136999999999</v>
      </c>
      <c r="AD9515">
        <v>-1.1127755925609999</v>
      </c>
      <c r="AE9515">
        <v>2.8253699999999902</v>
      </c>
      <c r="AF9515">
        <v>-5.4362685028834097</v>
      </c>
      <c r="AG9515">
        <v>-1.1127755925609999</v>
      </c>
      <c r="AH9515">
        <v>13.767134725969401</v>
      </c>
      <c r="AI9515">
        <v>94.299378682930296</v>
      </c>
      <c r="AJ9515">
        <v>111.54772054148501</v>
      </c>
      <c r="AK9515">
        <v>14.843358222377899</v>
      </c>
      <c r="AL9515">
        <v>86.038445488937398</v>
      </c>
      <c r="AM9515">
        <v>97.735259397474096</v>
      </c>
      <c r="AN9515">
        <v>0.999999967441218</v>
      </c>
    </row>
    <row r="9516" spans="1:40" x14ac:dyDescent="0.25">
      <c r="A9516" t="str">
        <f>"20190312150910878"</f>
        <v>20190312150910878</v>
      </c>
      <c r="B9516" t="str">
        <f>"1552374550869314"</f>
        <v>1552374550869314</v>
      </c>
      <c r="C9516" t="s">
        <v>40</v>
      </c>
      <c r="D9516">
        <v>4.3015540000000003</v>
      </c>
      <c r="E9516">
        <v>0.40951870000000001</v>
      </c>
      <c r="F9516" t="s">
        <v>86</v>
      </c>
      <c r="G9516">
        <v>-256.66559999999998</v>
      </c>
      <c r="H9516" s="1">
        <v>-2.4564470000000001E-6</v>
      </c>
      <c r="I9516">
        <v>-58.299619999999997</v>
      </c>
      <c r="J9516">
        <v>-271.49059999999997</v>
      </c>
      <c r="K9516">
        <v>1.112779</v>
      </c>
      <c r="L9516">
        <v>-61.202179999999998</v>
      </c>
      <c r="M9516">
        <v>0.98319789999999996</v>
      </c>
      <c r="N9516">
        <v>0</v>
      </c>
      <c r="O9516">
        <v>-0.1822684</v>
      </c>
      <c r="P9516">
        <v>0.99701709999999999</v>
      </c>
      <c r="Q9516">
        <v>6.0914459999999997E-2</v>
      </c>
      <c r="R9516">
        <v>-4.739525E-2</v>
      </c>
      <c r="S9516">
        <v>3.0527039999999999</v>
      </c>
      <c r="T9516">
        <v>-0.2270886</v>
      </c>
      <c r="U9516">
        <v>0.58761600000000003</v>
      </c>
      <c r="V9516">
        <v>-0.13558139999999999</v>
      </c>
      <c r="W9516">
        <v>6.9932389999999997E-2</v>
      </c>
      <c r="X9516">
        <v>0.98829509999999998</v>
      </c>
      <c r="Y9516">
        <v>-0.3633826</v>
      </c>
      <c r="Z9516">
        <v>2.6795119999999999E-2</v>
      </c>
      <c r="AA9516">
        <v>0.93125460000000004</v>
      </c>
      <c r="AB9516">
        <v>27</v>
      </c>
      <c r="AC9516">
        <v>14.8249999999999</v>
      </c>
      <c r="AD9516">
        <v>-1.112781456447</v>
      </c>
      <c r="AE9516">
        <v>2.9025599999999998</v>
      </c>
      <c r="AF9516">
        <v>-5.5262118907132898</v>
      </c>
      <c r="AG9516">
        <v>-1.112781456447</v>
      </c>
      <c r="AH9516">
        <v>13.971753973921601</v>
      </c>
      <c r="AI9516">
        <v>94.235722297284596</v>
      </c>
      <c r="AJ9516">
        <v>111.580155908883</v>
      </c>
      <c r="AK9516">
        <v>15.0660947009724</v>
      </c>
      <c r="AL9516">
        <v>85.989896186378402</v>
      </c>
      <c r="AM9516">
        <v>97.811484064702896</v>
      </c>
      <c r="AN9516">
        <v>1.00000002994054</v>
      </c>
    </row>
    <row r="9517" spans="1:40" x14ac:dyDescent="0.25">
      <c r="A9517" t="str">
        <f>"20190312150910888"</f>
        <v>20190312150910888</v>
      </c>
      <c r="B9517" t="str">
        <f>"1552374550879073"</f>
        <v>1552374550879073</v>
      </c>
      <c r="C9517" t="s">
        <v>40</v>
      </c>
      <c r="D9517">
        <v>4.339696</v>
      </c>
      <c r="E9517">
        <v>0.4099004</v>
      </c>
      <c r="F9517" t="s">
        <v>86</v>
      </c>
      <c r="G9517">
        <v>-256.18239999999997</v>
      </c>
      <c r="H9517" s="1">
        <v>-2.2668859999999999E-6</v>
      </c>
      <c r="I9517">
        <v>-58.219499999999996</v>
      </c>
      <c r="J9517">
        <v>-271.35750000000002</v>
      </c>
      <c r="K9517">
        <v>1.1127849999999999</v>
      </c>
      <c r="L9517">
        <v>-61.225009999999997</v>
      </c>
      <c r="M9517">
        <v>0.9835218</v>
      </c>
      <c r="N9517">
        <v>0</v>
      </c>
      <c r="O9517">
        <v>-0.1805138</v>
      </c>
      <c r="P9517">
        <v>0.99713359999999995</v>
      </c>
      <c r="Q9517">
        <v>6.154105E-2</v>
      </c>
      <c r="R9517">
        <v>-4.4021570000000003E-2</v>
      </c>
      <c r="S9517">
        <v>3.0507810000000002</v>
      </c>
      <c r="T9517">
        <v>-0.2217673</v>
      </c>
      <c r="U9517">
        <v>0.59442139999999999</v>
      </c>
      <c r="V9517">
        <v>-0.13716059999999999</v>
      </c>
      <c r="W9517">
        <v>7.0548840000000002E-2</v>
      </c>
      <c r="X9517">
        <v>0.9880333</v>
      </c>
      <c r="Y9517">
        <v>-0.36390210000000001</v>
      </c>
      <c r="Z9517">
        <v>2.607319E-2</v>
      </c>
      <c r="AA9517">
        <v>0.93107220000000002</v>
      </c>
      <c r="AB9517">
        <v>27</v>
      </c>
      <c r="AC9517">
        <v>15.1751</v>
      </c>
      <c r="AD9517">
        <v>-1.1127872668859999</v>
      </c>
      <c r="AE9517">
        <v>3.0055100000000001</v>
      </c>
      <c r="AF9517">
        <v>-5.6662643993827002</v>
      </c>
      <c r="AG9517">
        <v>-1.1127872668859999</v>
      </c>
      <c r="AH9517">
        <v>14.309182271610901</v>
      </c>
      <c r="AI9517">
        <v>94.135561531804001</v>
      </c>
      <c r="AJ9517">
        <v>111.602971139126</v>
      </c>
      <c r="AK9517">
        <v>15.4304097491686</v>
      </c>
      <c r="AL9517">
        <v>85.954488569741898</v>
      </c>
      <c r="AM9517">
        <v>97.903393713920195</v>
      </c>
      <c r="AN9517">
        <v>0.99999998546329705</v>
      </c>
    </row>
    <row r="9518" spans="1:40" x14ac:dyDescent="0.25">
      <c r="A9518" t="str">
        <f>"20190312150910899"</f>
        <v>20190312150910899</v>
      </c>
      <c r="B9518" t="str">
        <f>"1552374550888834"</f>
        <v>1552374550888834</v>
      </c>
      <c r="C9518" t="s">
        <v>40</v>
      </c>
      <c r="D9518">
        <v>4.3382889999999996</v>
      </c>
      <c r="E9518">
        <v>0.41029310000000002</v>
      </c>
      <c r="F9518" t="s">
        <v>86</v>
      </c>
      <c r="G9518">
        <v>-255.8254</v>
      </c>
      <c r="H9518" s="1">
        <v>-2.126695E-6</v>
      </c>
      <c r="I9518">
        <v>-58.160800000000002</v>
      </c>
      <c r="J9518">
        <v>-271.22660000000002</v>
      </c>
      <c r="K9518">
        <v>1.1127899999999999</v>
      </c>
      <c r="L9518">
        <v>-61.247219999999999</v>
      </c>
      <c r="M9518">
        <v>0.98383690000000001</v>
      </c>
      <c r="N9518">
        <v>0</v>
      </c>
      <c r="O9518">
        <v>-0.17878729999999901</v>
      </c>
      <c r="P9518">
        <v>0.99720799999999998</v>
      </c>
      <c r="Q9518">
        <v>6.2320599999999997E-2</v>
      </c>
      <c r="R9518">
        <v>-4.1139670000000003E-2</v>
      </c>
      <c r="S9518">
        <v>3.048645</v>
      </c>
      <c r="T9518">
        <v>-0.21841720000000001</v>
      </c>
      <c r="U9518">
        <v>0.60144039999999999</v>
      </c>
      <c r="V9518">
        <v>-0.1382794</v>
      </c>
      <c r="W9518">
        <v>7.1321280000000001E-2</v>
      </c>
      <c r="X9518">
        <v>0.98782190000000003</v>
      </c>
      <c r="Y9518">
        <v>-0.3644983</v>
      </c>
      <c r="Z9518">
        <v>2.5592199999999999E-2</v>
      </c>
      <c r="AA9518">
        <v>0.93085240000000002</v>
      </c>
      <c r="AB9518">
        <v>27</v>
      </c>
      <c r="AC9518">
        <v>15.401199999999999</v>
      </c>
      <c r="AD9518">
        <v>-1.1127921266949901</v>
      </c>
      <c r="AE9518">
        <v>3.0864199999999902</v>
      </c>
      <c r="AF9518">
        <v>-5.76144575017668</v>
      </c>
      <c r="AG9518">
        <v>-1.1127921266949901</v>
      </c>
      <c r="AH9518">
        <v>14.5282690410603</v>
      </c>
      <c r="AI9518">
        <v>94.072620094208403</v>
      </c>
      <c r="AJ9518">
        <v>111.63168976627701</v>
      </c>
      <c r="AK9518">
        <v>15.6685406078197</v>
      </c>
      <c r="AL9518">
        <v>85.9101193546975</v>
      </c>
      <c r="AM9518">
        <v>97.968719198332195</v>
      </c>
      <c r="AN9518">
        <v>1.0000000117823999</v>
      </c>
    </row>
    <row r="9519" spans="1:40" x14ac:dyDescent="0.25">
      <c r="A9519" t="str">
        <f>"20190312150910910"</f>
        <v>20190312150910910</v>
      </c>
      <c r="B9519" t="str">
        <f>"1552374550898593"</f>
        <v>1552374550898593</v>
      </c>
      <c r="C9519" t="s">
        <v>40</v>
      </c>
      <c r="D9519">
        <v>4.3198559999999997</v>
      </c>
      <c r="E9519">
        <v>0.41066989999999998</v>
      </c>
      <c r="F9519" t="s">
        <v>86</v>
      </c>
      <c r="G9519">
        <v>-255.50389999999999</v>
      </c>
      <c r="H9519" s="1">
        <v>-1.99899E-6</v>
      </c>
      <c r="I9519">
        <v>-58.114699999999999</v>
      </c>
      <c r="J9519">
        <v>-271.09649999999999</v>
      </c>
      <c r="K9519">
        <v>1.112795</v>
      </c>
      <c r="L9519">
        <v>-61.2690699999999</v>
      </c>
      <c r="M9519">
        <v>0.98414729999999995</v>
      </c>
      <c r="N9519">
        <v>0</v>
      </c>
      <c r="O9519">
        <v>-0.177071799999999</v>
      </c>
      <c r="P9519">
        <v>0.99730540000000001</v>
      </c>
      <c r="Q9519">
        <v>6.2799279999999999E-2</v>
      </c>
      <c r="R9519">
        <v>-3.7930890000000002E-2</v>
      </c>
      <c r="S9519">
        <v>3.0469059999999999</v>
      </c>
      <c r="T9519">
        <v>-0.2156488</v>
      </c>
      <c r="U9519">
        <v>0.60705569999999998</v>
      </c>
      <c r="V9519">
        <v>-0.13973469999999999</v>
      </c>
      <c r="W9519">
        <v>7.1790229999999997E-2</v>
      </c>
      <c r="X9519">
        <v>0.98758310000000005</v>
      </c>
      <c r="Y9519">
        <v>-0.36466379999999998</v>
      </c>
      <c r="Z9519">
        <v>2.51649E-2</v>
      </c>
      <c r="AA9519">
        <v>0.93079909999999999</v>
      </c>
      <c r="AB9519">
        <v>27</v>
      </c>
      <c r="AC9519">
        <v>15.592599999999999</v>
      </c>
      <c r="AD9519">
        <v>-1.11279699899</v>
      </c>
      <c r="AE9519">
        <v>3.1543699999999899</v>
      </c>
      <c r="AF9519">
        <v>-5.8371058182247202</v>
      </c>
      <c r="AG9519">
        <v>-1.11279699899</v>
      </c>
      <c r="AH9519">
        <v>14.7155987169916</v>
      </c>
      <c r="AI9519">
        <v>94.020836334438002</v>
      </c>
      <c r="AJ9519">
        <v>111.636302669375</v>
      </c>
      <c r="AK9519">
        <v>15.8700651256899</v>
      </c>
      <c r="AL9519">
        <v>85.883181403783894</v>
      </c>
      <c r="AM9519">
        <v>98.053411956438097</v>
      </c>
      <c r="AN9519">
        <v>1.00000000145657</v>
      </c>
    </row>
    <row r="9520" spans="1:40" x14ac:dyDescent="0.25">
      <c r="A9520" t="str">
        <f>"20190312150910922"</f>
        <v>20190312150910922</v>
      </c>
      <c r="B9520" t="str">
        <f>"1552374550918639"</f>
        <v>1552374550918639</v>
      </c>
      <c r="C9520" t="s">
        <v>40</v>
      </c>
      <c r="D9520">
        <v>4.3777689999999998</v>
      </c>
      <c r="E9520">
        <v>0.4111226</v>
      </c>
      <c r="F9520" t="s">
        <v>86</v>
      </c>
      <c r="G9520">
        <v>-255.5951</v>
      </c>
      <c r="H9520" s="1">
        <v>-2.0316039999999999E-6</v>
      </c>
      <c r="I9520">
        <v>-58.14414</v>
      </c>
      <c r="J9520">
        <v>-270.95749999999998</v>
      </c>
      <c r="K9520">
        <v>1.1128</v>
      </c>
      <c r="L9520">
        <v>-61.292209999999997</v>
      </c>
      <c r="M9520">
        <v>0.98447530000000005</v>
      </c>
      <c r="N9520">
        <v>0</v>
      </c>
      <c r="O9520">
        <v>-0.1752378</v>
      </c>
      <c r="P9520">
        <v>0.99739699999999998</v>
      </c>
      <c r="Q9520">
        <v>6.3149899999999995E-2</v>
      </c>
      <c r="R9520">
        <v>-3.4809020000000003E-2</v>
      </c>
      <c r="S9520">
        <v>3.0452270000000001</v>
      </c>
      <c r="T9520">
        <v>-0.2186082</v>
      </c>
      <c r="U9520">
        <v>0.61389159999999998</v>
      </c>
      <c r="V9520">
        <v>-0.14098559999999999</v>
      </c>
      <c r="W9520">
        <v>7.2133610000000001E-2</v>
      </c>
      <c r="X9520">
        <v>0.98738029999999999</v>
      </c>
      <c r="Y9520">
        <v>-0.36500369999999999</v>
      </c>
      <c r="Z9520">
        <v>2.5400519999999999E-2</v>
      </c>
      <c r="AA9520">
        <v>0.93065949999999997</v>
      </c>
      <c r="AB9520">
        <v>27</v>
      </c>
      <c r="AC9520">
        <v>15.3623999999999</v>
      </c>
      <c r="AD9520">
        <v>-1.1128020316039999</v>
      </c>
      <c r="AE9520">
        <v>3.1480699999999899</v>
      </c>
      <c r="AF9520">
        <v>-5.7625422178348096</v>
      </c>
      <c r="AG9520">
        <v>-1.1128020316039999</v>
      </c>
      <c r="AH9520">
        <v>14.4999555652029</v>
      </c>
      <c r="AI9520">
        <v>94.079396612512497</v>
      </c>
      <c r="AJ9520">
        <v>111.673759713981</v>
      </c>
      <c r="AK9520">
        <v>15.6426958215881</v>
      </c>
      <c r="AL9520">
        <v>85.863456144266706</v>
      </c>
      <c r="AM9520">
        <v>98.126193893014303</v>
      </c>
      <c r="AN9520">
        <v>1.0000000269635401</v>
      </c>
    </row>
    <row r="9521" spans="1:40" x14ac:dyDescent="0.25">
      <c r="A9521" t="str">
        <f>"20190312150910933"</f>
        <v>20190312150910933</v>
      </c>
      <c r="B9521" t="str">
        <f>"1552374550929379"</f>
        <v>1552374550929379</v>
      </c>
      <c r="C9521" t="s">
        <v>40</v>
      </c>
      <c r="D9521">
        <v>4.3373350000000004</v>
      </c>
      <c r="E9521">
        <v>0.41156409999999999</v>
      </c>
      <c r="F9521" t="s">
        <v>86</v>
      </c>
      <c r="G9521">
        <v>-255.48410000000001</v>
      </c>
      <c r="H9521" s="1">
        <v>-1.984559E-6</v>
      </c>
      <c r="I9521">
        <v>-58.141460000000002</v>
      </c>
      <c r="J9521">
        <v>-270.82479999999998</v>
      </c>
      <c r="K9521">
        <v>1.1128070000000001</v>
      </c>
      <c r="L9521">
        <v>-61.313960000000002</v>
      </c>
      <c r="M9521">
        <v>0.98478500000000002</v>
      </c>
      <c r="N9521">
        <v>0</v>
      </c>
      <c r="O9521">
        <v>-0.1734888</v>
      </c>
      <c r="P9521">
        <v>0.99746939999999995</v>
      </c>
      <c r="Q9521">
        <v>6.3464430000000002E-2</v>
      </c>
      <c r="R9521">
        <v>-3.2050790000000003E-2</v>
      </c>
      <c r="S9521">
        <v>3.043304</v>
      </c>
      <c r="T9521">
        <v>-0.21886610000000001</v>
      </c>
      <c r="U9521">
        <v>0.61968990000000002</v>
      </c>
      <c r="V9521">
        <v>-0.14196210000000001</v>
      </c>
      <c r="W9521">
        <v>7.2442279999999998E-2</v>
      </c>
      <c r="X9521">
        <v>0.98721769999999998</v>
      </c>
      <c r="Y9521">
        <v>-0.36516769999999998</v>
      </c>
      <c r="Z9521">
        <v>2.5323729999999999E-2</v>
      </c>
      <c r="AA9521">
        <v>0.93059720000000001</v>
      </c>
      <c r="AB9521">
        <v>27</v>
      </c>
      <c r="AC9521">
        <v>15.340699999999901</v>
      </c>
      <c r="AD9521">
        <v>-1.1128089845589999</v>
      </c>
      <c r="AE9521">
        <v>3.1724999999999901</v>
      </c>
      <c r="AF9521">
        <v>-5.7569093091554198</v>
      </c>
      <c r="AG9521">
        <v>-1.1128089845589999</v>
      </c>
      <c r="AH9521">
        <v>14.484535259376999</v>
      </c>
      <c r="AI9521">
        <v>94.083702525761396</v>
      </c>
      <c r="AJ9521">
        <v>111.675452024706</v>
      </c>
      <c r="AK9521">
        <v>15.626327473532999</v>
      </c>
      <c r="AL9521">
        <v>85.845723964705996</v>
      </c>
      <c r="AM9521">
        <v>98.183047725306594</v>
      </c>
      <c r="AN9521">
        <v>0.99999995448064805</v>
      </c>
    </row>
    <row r="9522" spans="1:40" x14ac:dyDescent="0.25">
      <c r="A9522" t="str">
        <f>"20190312150910944"</f>
        <v>20190312150910944</v>
      </c>
      <c r="B9522" t="str">
        <f>"1552374550939135"</f>
        <v>1552374550939135</v>
      </c>
      <c r="C9522" t="s">
        <v>40</v>
      </c>
      <c r="D9522">
        <v>4.2768790000000001</v>
      </c>
      <c r="E9522">
        <v>0.41192529999999999</v>
      </c>
      <c r="F9522" t="s">
        <v>86</v>
      </c>
      <c r="G9522">
        <v>-255.5883</v>
      </c>
      <c r="H9522" s="1">
        <v>-2.0194909999999999E-6</v>
      </c>
      <c r="I9522">
        <v>-58.185650000000003</v>
      </c>
      <c r="J9522">
        <v>-270.68869999999998</v>
      </c>
      <c r="K9522">
        <v>1.1128119999999999</v>
      </c>
      <c r="L9522">
        <v>-61.336150000000004</v>
      </c>
      <c r="M9522">
        <v>0.98509950000000002</v>
      </c>
      <c r="N9522">
        <v>0</v>
      </c>
      <c r="O9522">
        <v>-0.17169419999999999</v>
      </c>
      <c r="P9522">
        <v>0.99754109999999996</v>
      </c>
      <c r="Q9522">
        <v>6.3637680000000002E-2</v>
      </c>
      <c r="R9522">
        <v>-2.9360819999999999E-2</v>
      </c>
      <c r="S9522">
        <v>3.0418400000000001</v>
      </c>
      <c r="T9522">
        <v>-0.22216330000000001</v>
      </c>
      <c r="U9522">
        <v>0.62454219999999905</v>
      </c>
      <c r="V9522">
        <v>-0.14282600000000001</v>
      </c>
      <c r="W9522">
        <v>7.2611090000000003E-2</v>
      </c>
      <c r="X9522">
        <v>0.98708079999999998</v>
      </c>
      <c r="Y9522">
        <v>-0.36494860000000001</v>
      </c>
      <c r="Z9522">
        <v>2.5575629999999999E-2</v>
      </c>
      <c r="AA9522">
        <v>0.93067630000000001</v>
      </c>
      <c r="AB9522">
        <v>27</v>
      </c>
      <c r="AC9522">
        <v>15.100399999999899</v>
      </c>
      <c r="AD9522">
        <v>-1.1128140194909999</v>
      </c>
      <c r="AE9522">
        <v>3.1505000000000001</v>
      </c>
      <c r="AF9522">
        <v>-5.6669992711947001</v>
      </c>
      <c r="AG9522">
        <v>-1.1128140194909999</v>
      </c>
      <c r="AH9522">
        <v>14.260972640795501</v>
      </c>
      <c r="AI9522">
        <v>94.1476227391272</v>
      </c>
      <c r="AJ9522">
        <v>111.671792912219</v>
      </c>
      <c r="AK9522">
        <v>15.3859863656255</v>
      </c>
      <c r="AL9522">
        <v>85.836026811572594</v>
      </c>
      <c r="AM9522">
        <v>98.233290663772195</v>
      </c>
      <c r="AN9522">
        <v>1.0000000711978101</v>
      </c>
    </row>
    <row r="9523" spans="1:40" x14ac:dyDescent="0.25">
      <c r="A9523" t="str">
        <f>"20190312150910955"</f>
        <v>20190312150910955</v>
      </c>
      <c r="B9523" t="str">
        <f>"1552374550948896"</f>
        <v>1552374550948896</v>
      </c>
      <c r="C9523" t="s">
        <v>40</v>
      </c>
      <c r="D9523">
        <v>4.3098809999999999</v>
      </c>
      <c r="E9523">
        <v>0.41225309999999998</v>
      </c>
      <c r="F9523" t="s">
        <v>86</v>
      </c>
      <c r="G9523">
        <v>-255.52369999999999</v>
      </c>
      <c r="H9523" s="1">
        <v>-1.9898910000000002E-6</v>
      </c>
      <c r="I9523">
        <v>-58.19415</v>
      </c>
      <c r="J9523">
        <v>-270.54930000000002</v>
      </c>
      <c r="K9523">
        <v>1.1128169999999999</v>
      </c>
      <c r="L9523">
        <v>-61.358429999999998</v>
      </c>
      <c r="M9523">
        <v>0.98541800000000002</v>
      </c>
      <c r="N9523">
        <v>0</v>
      </c>
      <c r="O9523">
        <v>-0.1698557</v>
      </c>
      <c r="P9523">
        <v>0.99759540000000002</v>
      </c>
      <c r="Q9523">
        <v>6.3949030000000004E-2</v>
      </c>
      <c r="R9523">
        <v>-2.6721769999999999E-2</v>
      </c>
      <c r="S9523">
        <v>3.0401609999999999</v>
      </c>
      <c r="T9523">
        <v>-0.22308739999999999</v>
      </c>
      <c r="U9523">
        <v>0.62988279999999996</v>
      </c>
      <c r="V9523">
        <v>-0.14359469999999999</v>
      </c>
      <c r="W9523">
        <v>7.2918799999999895E-2</v>
      </c>
      <c r="X9523">
        <v>0.98694649999999995</v>
      </c>
      <c r="Y9523">
        <v>-0.36487419999999998</v>
      </c>
      <c r="Z9523">
        <v>2.5555890000000001E-2</v>
      </c>
      <c r="AA9523">
        <v>0.93070600000000003</v>
      </c>
      <c r="AB9523">
        <v>27</v>
      </c>
      <c r="AC9523">
        <v>15.025600000000001</v>
      </c>
      <c r="AD9523">
        <v>-1.1128189898909999</v>
      </c>
      <c r="AE9523">
        <v>3.1642800000000002</v>
      </c>
      <c r="AF9523">
        <v>-5.6409795213723104</v>
      </c>
      <c r="AG9523">
        <v>-1.1128189898909999</v>
      </c>
      <c r="AH9523">
        <v>14.195186427975599</v>
      </c>
      <c r="AI9523">
        <v>94.166783220806096</v>
      </c>
      <c r="AJ9523">
        <v>111.67221907295</v>
      </c>
      <c r="AK9523">
        <v>15.315427966262799</v>
      </c>
      <c r="AL9523">
        <v>85.818349134291694</v>
      </c>
      <c r="AM9523">
        <v>98.278101209409897</v>
      </c>
      <c r="AN9523">
        <v>0.99999999156189001</v>
      </c>
    </row>
    <row r="9524" spans="1:40" x14ac:dyDescent="0.25">
      <c r="A9524" t="str">
        <f>"20190312150910967"</f>
        <v>20190312150910967</v>
      </c>
      <c r="B9524" t="str">
        <f>"1552374550958656"</f>
        <v>1552374550958656</v>
      </c>
      <c r="C9524" t="s">
        <v>40</v>
      </c>
      <c r="D9524">
        <v>4.4415139999999997</v>
      </c>
      <c r="E9524">
        <v>0.41225309999999998</v>
      </c>
      <c r="F9524" t="s">
        <v>86</v>
      </c>
      <c r="G9524">
        <v>-255.37649999999999</v>
      </c>
      <c r="H9524" s="1">
        <v>-1.9283280000000002E-6</v>
      </c>
      <c r="I9524">
        <v>-58.187019999999997</v>
      </c>
      <c r="J9524">
        <v>-270.41140000000001</v>
      </c>
      <c r="K9524">
        <v>1.112824</v>
      </c>
      <c r="L9524">
        <v>-61.380339999999997</v>
      </c>
      <c r="M9524">
        <v>0.98572959999999998</v>
      </c>
      <c r="N9524">
        <v>0</v>
      </c>
      <c r="O9524">
        <v>-0.1680374</v>
      </c>
      <c r="P9524">
        <v>0.99763820000000003</v>
      </c>
      <c r="Q9524">
        <v>6.4204659999999997E-2</v>
      </c>
      <c r="R9524">
        <v>-2.4405590000000001E-2</v>
      </c>
      <c r="S9524">
        <v>3.0384829999999998</v>
      </c>
      <c r="T9524">
        <v>-0.22285150000000001</v>
      </c>
      <c r="U9524">
        <v>0.63510129999999998</v>
      </c>
      <c r="V9524">
        <v>-0.14406540000000001</v>
      </c>
      <c r="W9524">
        <v>7.3173219999999997E-2</v>
      </c>
      <c r="X9524">
        <v>0.98685909999999999</v>
      </c>
      <c r="Y9524">
        <v>-0.36479859999999997</v>
      </c>
      <c r="Z9524">
        <v>2.540454E-2</v>
      </c>
      <c r="AA9524">
        <v>0.93073980000000001</v>
      </c>
      <c r="AB9524">
        <v>27</v>
      </c>
      <c r="AC9524">
        <v>15.0349</v>
      </c>
      <c r="AD9524">
        <v>-1.112825928328</v>
      </c>
      <c r="AE9524">
        <v>3.1933199999999999</v>
      </c>
      <c r="AF9524">
        <v>-5.6448709524238696</v>
      </c>
      <c r="AG9524">
        <v>-1.112825928328</v>
      </c>
      <c r="AH9524">
        <v>14.209979548118699</v>
      </c>
      <c r="AI9524">
        <v>94.162685606099402</v>
      </c>
      <c r="AJ9524">
        <v>111.665299081139</v>
      </c>
      <c r="AK9524">
        <v>15.330572995626399</v>
      </c>
      <c r="AL9524">
        <v>85.803733021223294</v>
      </c>
      <c r="AM9524">
        <v>98.305584005168001</v>
      </c>
      <c r="AN9524">
        <v>1.0000000214275599</v>
      </c>
    </row>
    <row r="9525" spans="1:40" x14ac:dyDescent="0.25">
      <c r="A9525" t="str">
        <f>"20190312150910978"</f>
        <v>20190312150910978</v>
      </c>
      <c r="B9525" t="str">
        <f>"1552374550969392"</f>
        <v>1552374550969392</v>
      </c>
      <c r="C9525" t="s">
        <v>40</v>
      </c>
      <c r="D9525">
        <v>4.2562559999999996</v>
      </c>
      <c r="E9525">
        <v>0.41468050000000001</v>
      </c>
      <c r="F9525" t="s">
        <v>86</v>
      </c>
      <c r="G9525">
        <v>-255.20679999999999</v>
      </c>
      <c r="H9525" s="1">
        <v>-1.8601560000000001E-6</v>
      </c>
      <c r="I9525">
        <v>-58.166029999999999</v>
      </c>
      <c r="J9525">
        <v>-270.27760000000001</v>
      </c>
      <c r="K9525">
        <v>1.1128279999999999</v>
      </c>
      <c r="L9525">
        <v>-61.40128</v>
      </c>
      <c r="M9525">
        <v>0.98602889999999999</v>
      </c>
      <c r="N9525">
        <v>0</v>
      </c>
      <c r="O9525">
        <v>-0.16627229999999901</v>
      </c>
      <c r="P9525">
        <v>0.99766440000000001</v>
      </c>
      <c r="Q9525">
        <v>6.4558660000000004E-2</v>
      </c>
      <c r="R9525">
        <v>-2.2317380000000001E-2</v>
      </c>
      <c r="S9525">
        <v>3.03714</v>
      </c>
      <c r="T9525">
        <v>-0.2222874</v>
      </c>
      <c r="U9525">
        <v>0.6420593</v>
      </c>
      <c r="V9525">
        <v>-0.14436370000000001</v>
      </c>
      <c r="W9525">
        <v>7.3527049999999997E-2</v>
      </c>
      <c r="X9525">
        <v>0.98678920000000003</v>
      </c>
      <c r="Y9525">
        <v>-0.3652668</v>
      </c>
      <c r="Z9525">
        <v>2.52356E-2</v>
      </c>
      <c r="AA9525">
        <v>0.93056079999999997</v>
      </c>
      <c r="AB9525">
        <v>28</v>
      </c>
      <c r="AC9525">
        <v>15.0708</v>
      </c>
      <c r="AD9525">
        <v>-1.1128298601560001</v>
      </c>
      <c r="AE9525">
        <v>3.2352500000000002</v>
      </c>
      <c r="AF9525">
        <v>-5.6666573170177301</v>
      </c>
      <c r="AG9525">
        <v>-1.1128298601560001</v>
      </c>
      <c r="AH9525">
        <v>14.248764854016001</v>
      </c>
      <c r="AI9525">
        <v>94.150773357254806</v>
      </c>
      <c r="AJ9525">
        <v>111.68745027833801</v>
      </c>
      <c r="AK9525">
        <v>15.3745469953169</v>
      </c>
      <c r="AL9525">
        <v>85.783405271359499</v>
      </c>
      <c r="AM9525">
        <v>98.323122078318207</v>
      </c>
      <c r="AN9525">
        <v>1.00000001509801</v>
      </c>
    </row>
    <row r="9526" spans="1:40" x14ac:dyDescent="0.25">
      <c r="A9526" t="str">
        <f>"20190312150910990"</f>
        <v>20190312150910990</v>
      </c>
      <c r="B9526" t="str">
        <f>"1552374550979152"</f>
        <v>1552374550979152</v>
      </c>
      <c r="C9526" t="s">
        <v>40</v>
      </c>
      <c r="D9526">
        <v>4.3640040000000004</v>
      </c>
      <c r="E9526">
        <v>0.41468050000000001</v>
      </c>
      <c r="F9526" t="s">
        <v>86</v>
      </c>
      <c r="G9526">
        <v>-254.65559999999999</v>
      </c>
      <c r="H9526" s="1">
        <v>-1.6237870000000001E-6</v>
      </c>
      <c r="I9526">
        <v>-58.165599999999998</v>
      </c>
      <c r="J9526">
        <v>-270.13929999999999</v>
      </c>
      <c r="K9526">
        <v>1.112833</v>
      </c>
      <c r="L9526">
        <v>-61.422730000000001</v>
      </c>
      <c r="M9526">
        <v>0.98633459999999995</v>
      </c>
      <c r="N9526">
        <v>0</v>
      </c>
      <c r="O9526">
        <v>-0.1644495</v>
      </c>
      <c r="P9526">
        <v>0.99770979999999998</v>
      </c>
      <c r="Q9526">
        <v>6.4482520000000002E-2</v>
      </c>
      <c r="R9526">
        <v>-2.0426260000000002E-2</v>
      </c>
      <c r="S9526">
        <v>3.0350649999999999</v>
      </c>
      <c r="T9526">
        <v>-0.21620229999999999</v>
      </c>
      <c r="U9526">
        <v>0.62863159999999996</v>
      </c>
      <c r="V9526">
        <v>-0.1444106</v>
      </c>
      <c r="W9526">
        <v>7.3452840000000005E-2</v>
      </c>
      <c r="X9526">
        <v>0.98678790000000005</v>
      </c>
      <c r="Y9526">
        <v>-0.35981419999999997</v>
      </c>
      <c r="Z9526">
        <v>2.425281E-2</v>
      </c>
      <c r="AA9526">
        <v>0.93270869999999995</v>
      </c>
      <c r="AB9526">
        <v>28</v>
      </c>
      <c r="AC9526">
        <v>15.483700000000001</v>
      </c>
      <c r="AD9526">
        <v>-1.1128346237869999</v>
      </c>
      <c r="AE9526">
        <v>3.2571300000000001</v>
      </c>
      <c r="AF9526">
        <v>-5.7308476894952403</v>
      </c>
      <c r="AG9526">
        <v>-1.1128346237869999</v>
      </c>
      <c r="AH9526">
        <v>14.6646752999099</v>
      </c>
      <c r="AI9526">
        <v>94.042941576527198</v>
      </c>
      <c r="AJ9526">
        <v>111.34519403832</v>
      </c>
      <c r="AK9526">
        <v>15.7839702797452</v>
      </c>
      <c r="AL9526">
        <v>85.787668868361493</v>
      </c>
      <c r="AM9526">
        <v>98.325798960605198</v>
      </c>
      <c r="AN9526">
        <v>1.0000000503414099</v>
      </c>
    </row>
    <row r="9527" spans="1:40" x14ac:dyDescent="0.25">
      <c r="A9527" t="str">
        <f>"20190312150911000"</f>
        <v>20190312150911000</v>
      </c>
      <c r="B9527" t="str">
        <f>"1552374550988912"</f>
        <v>1552374550988912</v>
      </c>
      <c r="C9527" t="s">
        <v>40</v>
      </c>
      <c r="D9527">
        <v>4.4627470000000002</v>
      </c>
      <c r="E9527">
        <v>0.49258790000000002</v>
      </c>
      <c r="F9527" t="s">
        <v>86</v>
      </c>
      <c r="G9527">
        <v>-254.57689999999999</v>
      </c>
      <c r="H9527" s="1">
        <v>-1.5890210000000001E-6</v>
      </c>
      <c r="I9527">
        <v>-58.170270000000002</v>
      </c>
      <c r="J9527">
        <v>-270.00549999999998</v>
      </c>
      <c r="K9527">
        <v>1.112838</v>
      </c>
      <c r="L9527">
        <v>-61.443210000000001</v>
      </c>
      <c r="M9527">
        <v>0.98662700000000003</v>
      </c>
      <c r="N9527">
        <v>0</v>
      </c>
      <c r="O9527">
        <v>-0.16268489999999999</v>
      </c>
      <c r="P9527">
        <v>0.99773719999999999</v>
      </c>
      <c r="Q9527">
        <v>6.4553579999999999E-2</v>
      </c>
      <c r="R9527">
        <v>-1.880277E-2</v>
      </c>
      <c r="S9527">
        <v>3.0338750000000001</v>
      </c>
      <c r="T9527">
        <v>-0.21694640000000001</v>
      </c>
      <c r="U9527">
        <v>0.63406370000000001</v>
      </c>
      <c r="V9527">
        <v>-0.14425170000000001</v>
      </c>
      <c r="W9527">
        <v>7.3527980000000007E-2</v>
      </c>
      <c r="X9527">
        <v>0.9868055</v>
      </c>
      <c r="Y9527">
        <v>-0.35981459999999998</v>
      </c>
      <c r="Z9527">
        <v>2.4217010000000001E-2</v>
      </c>
      <c r="AA9527">
        <v>0.93270949999999997</v>
      </c>
      <c r="AB9527">
        <v>28</v>
      </c>
      <c r="AC9527">
        <v>15.4285999999999</v>
      </c>
      <c r="AD9527">
        <v>-1.1128395890210001</v>
      </c>
      <c r="AE9527">
        <v>3.2729400000000002</v>
      </c>
      <c r="AF9527">
        <v>-5.7110283104387403</v>
      </c>
      <c r="AG9527">
        <v>-1.1128395890210001</v>
      </c>
      <c r="AH9527">
        <v>14.617781640492201</v>
      </c>
      <c r="AI9527">
        <v>94.056026126041203</v>
      </c>
      <c r="AJ9527">
        <v>111.34011489482</v>
      </c>
      <c r="AK9527">
        <v>15.7332068060722</v>
      </c>
      <c r="AL9527">
        <v>85.783351802438901</v>
      </c>
      <c r="AM9527">
        <v>98.316619748684204</v>
      </c>
      <c r="AN9527">
        <v>1.0000000058130101</v>
      </c>
    </row>
    <row r="9528" spans="1:40" x14ac:dyDescent="0.25">
      <c r="A9528" t="str">
        <f>"20190312150911012"</f>
        <v>20190312150911012</v>
      </c>
      <c r="B9528" t="str">
        <f>"1552374551009410"</f>
        <v>1552374551009410</v>
      </c>
      <c r="C9528" t="s">
        <v>40</v>
      </c>
      <c r="D9528">
        <v>4.3054459999999999</v>
      </c>
      <c r="E9528">
        <v>0.4945968</v>
      </c>
      <c r="F9528" t="s">
        <v>87</v>
      </c>
      <c r="G9528">
        <v>-249.9392</v>
      </c>
      <c r="H9528" s="1">
        <v>-3.4261340000000002E-6</v>
      </c>
      <c r="I9528">
        <v>-61.340470000000003</v>
      </c>
      <c r="J9528">
        <v>-269.87189999999998</v>
      </c>
      <c r="K9528">
        <v>1.112841</v>
      </c>
      <c r="L9528">
        <v>-61.463380000000001</v>
      </c>
      <c r="M9528">
        <v>0.98691580000000001</v>
      </c>
      <c r="N9528">
        <v>0</v>
      </c>
      <c r="O9528">
        <v>-0.1609245</v>
      </c>
      <c r="P9528">
        <v>0.99776520000000002</v>
      </c>
      <c r="Q9528">
        <v>6.452724E-2</v>
      </c>
      <c r="R9528">
        <v>-1.7339009999999998E-2</v>
      </c>
      <c r="S9528">
        <v>3.0179140000000002</v>
      </c>
      <c r="T9528">
        <v>-0.16736789999999999</v>
      </c>
      <c r="U9528">
        <v>1.544189E-2</v>
      </c>
      <c r="V9528">
        <v>-0.14393900000000001</v>
      </c>
      <c r="W9528">
        <v>7.3506119999999994E-2</v>
      </c>
      <c r="X9528">
        <v>0.98685279999999997</v>
      </c>
      <c r="Y9528">
        <v>-0.1654804</v>
      </c>
      <c r="Z9528">
        <v>1.347482E-2</v>
      </c>
      <c r="AA9528">
        <v>0.98612100000000003</v>
      </c>
      <c r="AB9528">
        <v>28</v>
      </c>
      <c r="AC9528">
        <v>19.932699999999901</v>
      </c>
      <c r="AD9528">
        <v>-1.112844426134</v>
      </c>
      <c r="AE9528">
        <v>0.122910000000011</v>
      </c>
      <c r="AF9528">
        <v>-3.31878465525357</v>
      </c>
      <c r="AG9528">
        <v>-1.112844426134</v>
      </c>
      <c r="AH9528">
        <v>19.5920389762016</v>
      </c>
      <c r="AI9528">
        <v>93.205389599213703</v>
      </c>
      <c r="AJ9528">
        <v>99.614326674290297</v>
      </c>
      <c r="AK9528">
        <v>19.902279908335299</v>
      </c>
      <c r="AL9528">
        <v>85.784607734449295</v>
      </c>
      <c r="AM9528">
        <v>98.298450621499597</v>
      </c>
      <c r="AN9528">
        <v>1.00000001713314</v>
      </c>
    </row>
    <row r="9529" spans="1:40" x14ac:dyDescent="0.25">
      <c r="A9529" t="str">
        <f>"20190312150911023"</f>
        <v>20190312150911023</v>
      </c>
      <c r="B9529" t="str">
        <f>"1552374551019168"</f>
        <v>1552374551019168</v>
      </c>
      <c r="C9529" t="s">
        <v>40</v>
      </c>
      <c r="D9529">
        <v>4.3019780000000001</v>
      </c>
      <c r="E9529">
        <v>0.49503950000000002</v>
      </c>
      <c r="F9529" t="s">
        <v>87</v>
      </c>
      <c r="G9529">
        <v>-247.93389999999999</v>
      </c>
      <c r="H9529" s="1">
        <v>-2.6719409999999999E-6</v>
      </c>
      <c r="I9529">
        <v>-61.440460000000002</v>
      </c>
      <c r="J9529">
        <v>-269.73559999999998</v>
      </c>
      <c r="K9529">
        <v>1.1128450000000001</v>
      </c>
      <c r="L9529">
        <v>-61.48386</v>
      </c>
      <c r="M9529">
        <v>0.9872071</v>
      </c>
      <c r="N9529">
        <v>0</v>
      </c>
      <c r="O9529">
        <v>-0.1591272</v>
      </c>
      <c r="P9529">
        <v>0.99776909999999996</v>
      </c>
      <c r="Q9529">
        <v>6.481199E-2</v>
      </c>
      <c r="R9529">
        <v>-1.6014750000000001E-2</v>
      </c>
      <c r="S9529">
        <v>3.0166629999999999</v>
      </c>
      <c r="T9529">
        <v>-0.15302499999999999</v>
      </c>
      <c r="U9529">
        <v>3.1433110000000002E-3</v>
      </c>
      <c r="V9529">
        <v>-0.14345169999999999</v>
      </c>
      <c r="W9529">
        <v>7.3797139999999997E-2</v>
      </c>
      <c r="X9529">
        <v>0.98690199999999995</v>
      </c>
      <c r="Y9529">
        <v>-0.15975510000000001</v>
      </c>
      <c r="Z9529">
        <v>1.2090790000000001E-2</v>
      </c>
      <c r="AA9529">
        <v>0.98708269999999998</v>
      </c>
      <c r="AB9529">
        <v>28</v>
      </c>
      <c r="AC9529">
        <v>21.801699999999901</v>
      </c>
      <c r="AD9529">
        <v>-1.1128476719410001</v>
      </c>
      <c r="AE9529">
        <v>4.34000000000054E-2</v>
      </c>
      <c r="AF9529">
        <v>-3.5031376874470301</v>
      </c>
      <c r="AG9529">
        <v>-1.1128476719410001</v>
      </c>
      <c r="AH9529">
        <v>21.461053551324898</v>
      </c>
      <c r="AI9529">
        <v>92.929668558128299</v>
      </c>
      <c r="AJ9529">
        <v>99.2707612013172</v>
      </c>
      <c r="AK9529">
        <v>21.773544110479399</v>
      </c>
      <c r="AL9529">
        <v>85.767887961588002</v>
      </c>
      <c r="AM9529">
        <v>98.270339210016999</v>
      </c>
      <c r="AN9529">
        <v>0.99999998285453395</v>
      </c>
    </row>
    <row r="9530" spans="1:40" x14ac:dyDescent="0.25">
      <c r="A9530" t="str">
        <f>"20190312150911034"</f>
        <v>20190312150911034</v>
      </c>
      <c r="B9530" t="str">
        <f>"1552374551028927"</f>
        <v>1552374551028927</v>
      </c>
      <c r="C9530" t="s">
        <v>40</v>
      </c>
      <c r="D9530">
        <v>4.2970300000000003</v>
      </c>
      <c r="E9530">
        <v>0.49538359999999898</v>
      </c>
      <c r="F9530" t="s">
        <v>87</v>
      </c>
      <c r="G9530">
        <v>-247.36850000000001</v>
      </c>
      <c r="H9530" s="1">
        <v>-2.434165E-6</v>
      </c>
      <c r="I9530">
        <v>-61.458449999999999</v>
      </c>
      <c r="J9530">
        <v>-269.60250000000002</v>
      </c>
      <c r="K9530">
        <v>1.112851</v>
      </c>
      <c r="L9530">
        <v>-61.503419999999998</v>
      </c>
      <c r="M9530">
        <v>0.98748840000000004</v>
      </c>
      <c r="N9530">
        <v>0</v>
      </c>
      <c r="O9530">
        <v>-0.15737119999999999</v>
      </c>
      <c r="P9530">
        <v>0.9977568</v>
      </c>
      <c r="Q9530">
        <v>6.5311270000000005E-2</v>
      </c>
      <c r="R9530">
        <v>-1.4692780000000001E-2</v>
      </c>
      <c r="S9530">
        <v>3.0165410000000001</v>
      </c>
      <c r="T9530">
        <v>-0.15008379999999999</v>
      </c>
      <c r="U9530">
        <v>3.4179689999999999E-3</v>
      </c>
      <c r="V9530">
        <v>-0.1430025</v>
      </c>
      <c r="W9530">
        <v>7.4302640000000003E-2</v>
      </c>
      <c r="X9530">
        <v>0.98692930000000001</v>
      </c>
      <c r="Y9530">
        <v>-0.158109</v>
      </c>
      <c r="Z9530">
        <v>1.1731780000000001E-2</v>
      </c>
      <c r="AA9530">
        <v>0.98735200000000001</v>
      </c>
      <c r="AB9530">
        <v>28</v>
      </c>
      <c r="AC9530">
        <v>22.234000000000002</v>
      </c>
      <c r="AD9530">
        <v>-1.112853434165</v>
      </c>
      <c r="AE9530">
        <v>4.4969999999999198E-2</v>
      </c>
      <c r="AF9530">
        <v>-3.5347223914431201</v>
      </c>
      <c r="AG9530">
        <v>-1.112853434165</v>
      </c>
      <c r="AH9530">
        <v>21.894997304377799</v>
      </c>
      <c r="AI9530">
        <v>92.8725305369084</v>
      </c>
      <c r="AJ9530">
        <v>99.170690057787994</v>
      </c>
      <c r="AK9530">
        <v>22.206386741413201</v>
      </c>
      <c r="AL9530">
        <v>85.738845368133696</v>
      </c>
      <c r="AM9530">
        <v>98.244573382583894</v>
      </c>
      <c r="AN9530">
        <v>1.0000000202578501</v>
      </c>
    </row>
    <row r="9531" spans="1:40" x14ac:dyDescent="0.25">
      <c r="A9531" t="str">
        <f>"20190312150911045"</f>
        <v>20190312150911045</v>
      </c>
      <c r="B9531" t="str">
        <f>"1552374551038687"</f>
        <v>1552374551038687</v>
      </c>
      <c r="C9531" t="s">
        <v>40</v>
      </c>
      <c r="D9531">
        <v>4.3367370000000003</v>
      </c>
      <c r="E9531">
        <v>0.49530800000000003</v>
      </c>
      <c r="F9531" t="s">
        <v>87</v>
      </c>
      <c r="G9531">
        <v>-247.01490000000001</v>
      </c>
      <c r="H9531" s="1">
        <v>-2.2854569999999998E-6</v>
      </c>
      <c r="I9531">
        <v>-61.469540000000002</v>
      </c>
      <c r="J9531">
        <v>-269.46780000000001</v>
      </c>
      <c r="K9531">
        <v>1.1128559999999901</v>
      </c>
      <c r="L9531">
        <v>-61.523130000000002</v>
      </c>
      <c r="M9531">
        <v>0.98777000000000004</v>
      </c>
      <c r="N9531">
        <v>0</v>
      </c>
      <c r="O9531">
        <v>-0.15559439999999999</v>
      </c>
      <c r="P9531">
        <v>0.99774470000000004</v>
      </c>
      <c r="Q9531">
        <v>6.5762940000000006E-2</v>
      </c>
      <c r="R9531">
        <v>-1.3452179999999999E-2</v>
      </c>
      <c r="S9531">
        <v>3.0165099999999998</v>
      </c>
      <c r="T9531">
        <v>-0.14861859999999999</v>
      </c>
      <c r="U9531">
        <v>4.5166019999999998E-3</v>
      </c>
      <c r="V9531">
        <v>-0.1424531</v>
      </c>
      <c r="W9531">
        <v>7.4761030000000006E-2</v>
      </c>
      <c r="X9531">
        <v>0.98697409999999997</v>
      </c>
      <c r="Y9531">
        <v>-0.1567035</v>
      </c>
      <c r="Z9531">
        <v>1.1496279999999999E-2</v>
      </c>
      <c r="AA9531">
        <v>0.98757879999999998</v>
      </c>
      <c r="AB9531">
        <v>28</v>
      </c>
      <c r="AC9531">
        <v>22.4529</v>
      </c>
      <c r="AD9531">
        <v>-1.1128582854569999</v>
      </c>
      <c r="AE9531">
        <v>5.3589999999999798E-2</v>
      </c>
      <c r="AF9531">
        <v>-3.53796754206676</v>
      </c>
      <c r="AG9531">
        <v>-1.1128582854569999</v>
      </c>
      <c r="AH9531">
        <v>22.116748543804299</v>
      </c>
      <c r="AI9531">
        <v>92.844444052296197</v>
      </c>
      <c r="AJ9531">
        <v>99.088477873032105</v>
      </c>
      <c r="AK9531">
        <v>22.425570985865701</v>
      </c>
      <c r="AL9531">
        <v>85.712508154573101</v>
      </c>
      <c r="AM9531">
        <v>98.212963864872293</v>
      </c>
      <c r="AN9531">
        <v>0.99999998568853998</v>
      </c>
    </row>
    <row r="9532" spans="1:40" x14ac:dyDescent="0.25">
      <c r="A9532" t="str">
        <f>"20190312150911056"</f>
        <v>20190312150911056</v>
      </c>
      <c r="B9532" t="str">
        <f>"1552374551049424"</f>
        <v>1552374551049424</v>
      </c>
      <c r="C9532" t="s">
        <v>40</v>
      </c>
      <c r="D9532">
        <v>4.2522599999999997</v>
      </c>
      <c r="E9532">
        <v>0.49527979999999999</v>
      </c>
      <c r="F9532" t="s">
        <v>87</v>
      </c>
      <c r="G9532">
        <v>-245.48840000000001</v>
      </c>
      <c r="H9532" s="1">
        <v>-1.626699E-6</v>
      </c>
      <c r="I9532">
        <v>-61.454900000000002</v>
      </c>
      <c r="J9532">
        <v>-269.32639999999998</v>
      </c>
      <c r="K9532">
        <v>1.112857</v>
      </c>
      <c r="L9532">
        <v>-61.543399999999998</v>
      </c>
      <c r="M9532">
        <v>0.98806179999999999</v>
      </c>
      <c r="N9532">
        <v>0</v>
      </c>
      <c r="O9532">
        <v>-0.15372920000000001</v>
      </c>
      <c r="P9532">
        <v>0.99773860000000003</v>
      </c>
      <c r="Q9532">
        <v>6.6107639999999995E-2</v>
      </c>
      <c r="R9532">
        <v>-1.2150060000000001E-2</v>
      </c>
      <c r="S9532">
        <v>3.0161739999999999</v>
      </c>
      <c r="T9532">
        <v>-0.13997760000000001</v>
      </c>
      <c r="U9532">
        <v>8.5754390000000007E-3</v>
      </c>
      <c r="V9532">
        <v>-0.1418761</v>
      </c>
      <c r="W9532">
        <v>7.5112419999999999E-2</v>
      </c>
      <c r="X9532">
        <v>0.98703059999999998</v>
      </c>
      <c r="Y9532">
        <v>-0.15621299999999999</v>
      </c>
      <c r="Z9532">
        <v>1.073287E-2</v>
      </c>
      <c r="AA9532">
        <v>0.98766509999999996</v>
      </c>
      <c r="AB9532">
        <v>28</v>
      </c>
      <c r="AC9532">
        <v>23.837999999999901</v>
      </c>
      <c r="AD9532">
        <v>-1.1128586266989999</v>
      </c>
      <c r="AE9532">
        <v>8.8499999999996207E-2</v>
      </c>
      <c r="AF9532">
        <v>-3.7440702514767099</v>
      </c>
      <c r="AG9532">
        <v>-1.1128586266989999</v>
      </c>
      <c r="AH9532">
        <v>23.489810116404801</v>
      </c>
      <c r="AI9532">
        <v>92.678666902142695</v>
      </c>
      <c r="AJ9532">
        <v>99.056265629091598</v>
      </c>
      <c r="AK9532">
        <v>23.8123433470073</v>
      </c>
      <c r="AL9532">
        <v>85.692318518380503</v>
      </c>
      <c r="AM9532">
        <v>98.179686811879407</v>
      </c>
      <c r="AN9532">
        <v>1.00000005436291</v>
      </c>
    </row>
    <row r="9533" spans="1:40" x14ac:dyDescent="0.25">
      <c r="A9533" t="str">
        <f>"20190312150911067"</f>
        <v>20190312150911067</v>
      </c>
      <c r="B9533" t="str">
        <f>"1552374551059186"</f>
        <v>1552374551059186</v>
      </c>
      <c r="C9533" t="s">
        <v>40</v>
      </c>
      <c r="D9533">
        <v>4.2784680000000002</v>
      </c>
      <c r="E9533">
        <v>0.4953804</v>
      </c>
      <c r="F9533" t="s">
        <v>87</v>
      </c>
      <c r="G9533">
        <v>-245.0412</v>
      </c>
      <c r="H9533" s="1">
        <v>-1.4311210000000001E-6</v>
      </c>
      <c r="I9533">
        <v>-61.440869999999997</v>
      </c>
      <c r="J9533">
        <v>-269.19819999999999</v>
      </c>
      <c r="K9533">
        <v>1.1128629999999999</v>
      </c>
      <c r="L9533">
        <v>-61.56165</v>
      </c>
      <c r="M9533">
        <v>0.98832339999999996</v>
      </c>
      <c r="N9533">
        <v>0</v>
      </c>
      <c r="O9533">
        <v>-0.15203939999999999</v>
      </c>
      <c r="P9533">
        <v>0.99773409999999996</v>
      </c>
      <c r="Q9533">
        <v>6.6371550000000001E-2</v>
      </c>
      <c r="R9533">
        <v>-1.1029000000000001E-2</v>
      </c>
      <c r="S9533">
        <v>3.0161129999999998</v>
      </c>
      <c r="T9533">
        <v>-0.13821249999999999</v>
      </c>
      <c r="U9533">
        <v>1.272583E-2</v>
      </c>
      <c r="V9533">
        <v>-0.14129710000000001</v>
      </c>
      <c r="W9533">
        <v>7.5383430000000001E-2</v>
      </c>
      <c r="X9533">
        <v>0.98709290000000005</v>
      </c>
      <c r="Y9533">
        <v>-0.15589359999999999</v>
      </c>
      <c r="Z9533">
        <v>1.0514020000000001E-2</v>
      </c>
      <c r="AA9533">
        <v>0.98771790000000004</v>
      </c>
      <c r="AB9533">
        <v>28</v>
      </c>
      <c r="AC9533">
        <v>24.156999999999901</v>
      </c>
      <c r="AD9533">
        <v>-1.1128644311210001</v>
      </c>
      <c r="AE9533">
        <v>0.120780000000003</v>
      </c>
      <c r="AF9533">
        <v>-3.7843456109224101</v>
      </c>
      <c r="AG9533">
        <v>-1.1128644311210001</v>
      </c>
      <c r="AH9533">
        <v>23.807244553278</v>
      </c>
      <c r="AI9533">
        <v>92.643193217369102</v>
      </c>
      <c r="AJ9533">
        <v>99.032040551100707</v>
      </c>
      <c r="AK9533">
        <v>24.1318178379613</v>
      </c>
      <c r="AL9533">
        <v>85.676746244028294</v>
      </c>
      <c r="AM9533">
        <v>98.146247028802605</v>
      </c>
      <c r="AN9533">
        <v>0.99999996260869095</v>
      </c>
    </row>
    <row r="9534" spans="1:40" x14ac:dyDescent="0.25">
      <c r="A9534" t="str">
        <f>"20190312150911077"</f>
        <v>20190312150911077</v>
      </c>
      <c r="B9534" t="str">
        <f>"1552374551068944"</f>
        <v>1552374551068944</v>
      </c>
      <c r="C9534" t="s">
        <v>40</v>
      </c>
      <c r="D9534">
        <v>4.3217980000000003</v>
      </c>
      <c r="E9534">
        <v>0.49575160000000001</v>
      </c>
      <c r="F9534" t="s">
        <v>87</v>
      </c>
      <c r="G9534">
        <v>-244.3817</v>
      </c>
      <c r="H9534" s="1">
        <v>-1.147093E-6</v>
      </c>
      <c r="I9534">
        <v>-61.436779999999999</v>
      </c>
      <c r="J9534">
        <v>-269.0634</v>
      </c>
      <c r="K9534">
        <v>1.1128659999999999</v>
      </c>
      <c r="L9534">
        <v>-61.580509999999997</v>
      </c>
      <c r="M9534">
        <v>0.98859529999999995</v>
      </c>
      <c r="N9534">
        <v>0</v>
      </c>
      <c r="O9534">
        <v>-0.1502598</v>
      </c>
      <c r="P9534">
        <v>0.99771759999999998</v>
      </c>
      <c r="Q9534">
        <v>6.6799259999999999E-2</v>
      </c>
      <c r="R9534">
        <v>-9.8783650000000001E-3</v>
      </c>
      <c r="S9534">
        <v>3.0159910000000001</v>
      </c>
      <c r="T9534">
        <v>-0.1352479</v>
      </c>
      <c r="U9534">
        <v>1.516724E-2</v>
      </c>
      <c r="V9534">
        <v>-0.140657</v>
      </c>
      <c r="W9534">
        <v>7.5818969999999999E-2</v>
      </c>
      <c r="X9534">
        <v>0.987151</v>
      </c>
      <c r="Y9534">
        <v>-0.1549314</v>
      </c>
      <c r="Z9534">
        <v>1.0188579999999999E-2</v>
      </c>
      <c r="AA9534">
        <v>0.98787270000000005</v>
      </c>
      <c r="AB9534">
        <v>28</v>
      </c>
      <c r="AC9534">
        <v>24.681699999999999</v>
      </c>
      <c r="AD9534">
        <v>-1.1128671470929901</v>
      </c>
      <c r="AE9534">
        <v>0.14372999999999</v>
      </c>
      <c r="AF9534">
        <v>-3.8431403888563098</v>
      </c>
      <c r="AG9534">
        <v>-1.1128671470929901</v>
      </c>
      <c r="AH9534">
        <v>24.330389050239599</v>
      </c>
      <c r="AI9534">
        <v>92.586844248441196</v>
      </c>
      <c r="AJ9534">
        <v>98.976073047661004</v>
      </c>
      <c r="AK9534">
        <v>24.657170005326101</v>
      </c>
      <c r="AL9534">
        <v>85.651720190431107</v>
      </c>
      <c r="AM9534">
        <v>98.109364195874093</v>
      </c>
      <c r="AN9534">
        <v>1.0000000023309299</v>
      </c>
    </row>
    <row r="9535" spans="1:40" x14ac:dyDescent="0.25">
      <c r="A9535" t="str">
        <f>"20190312150911089"</f>
        <v>20190312150911089</v>
      </c>
      <c r="B9535" t="str">
        <f>"1552374551078703"</f>
        <v>1552374551078703</v>
      </c>
      <c r="C9535" t="s">
        <v>40</v>
      </c>
      <c r="D9535">
        <v>4.2869460000000004</v>
      </c>
      <c r="E9535">
        <v>0.49584539999999999</v>
      </c>
      <c r="F9535" t="s">
        <v>87</v>
      </c>
      <c r="G9535">
        <v>-244.3537</v>
      </c>
      <c r="H9535" s="1">
        <v>-1.138907E-6</v>
      </c>
      <c r="I9535">
        <v>-61.451189999999997</v>
      </c>
      <c r="J9535">
        <v>-268.92720000000003</v>
      </c>
      <c r="K9535">
        <v>1.1128720000000001</v>
      </c>
      <c r="L9535">
        <v>-61.599429999999998</v>
      </c>
      <c r="M9535">
        <v>0.98886689999999999</v>
      </c>
      <c r="N9535">
        <v>0</v>
      </c>
      <c r="O9535">
        <v>-0.1484617</v>
      </c>
      <c r="P9535">
        <v>0.99770999999999999</v>
      </c>
      <c r="Q9535">
        <v>6.709176E-2</v>
      </c>
      <c r="R9535">
        <v>-8.5513220000000001E-3</v>
      </c>
      <c r="S9535">
        <v>3.0161129999999998</v>
      </c>
      <c r="T9535">
        <v>-0.1358385</v>
      </c>
      <c r="U9535">
        <v>1.5777590000000001E-2</v>
      </c>
      <c r="V9535">
        <v>-0.1401741</v>
      </c>
      <c r="W9535">
        <v>7.6118030000000003E-2</v>
      </c>
      <c r="X9535">
        <v>0.98719670000000004</v>
      </c>
      <c r="Y9535">
        <v>-0.1533351</v>
      </c>
      <c r="Z9535">
        <v>1.0116429999999999E-2</v>
      </c>
      <c r="AA9535">
        <v>0.98812250000000001</v>
      </c>
      <c r="AB9535">
        <v>28</v>
      </c>
      <c r="AC9535">
        <v>24.573499999999999</v>
      </c>
      <c r="AD9535">
        <v>-1.1128731389069999</v>
      </c>
      <c r="AE9535">
        <v>0.14824000000000101</v>
      </c>
      <c r="AF9535">
        <v>-3.78723839009277</v>
      </c>
      <c r="AG9535">
        <v>-1.1128731389069999</v>
      </c>
      <c r="AH9535">
        <v>24.2294516792658</v>
      </c>
      <c r="AI9535">
        <v>92.598276107737107</v>
      </c>
      <c r="AJ9535">
        <v>98.883859814055896</v>
      </c>
      <c r="AK9535">
        <v>24.5488897900612</v>
      </c>
      <c r="AL9535">
        <v>85.634535770127101</v>
      </c>
      <c r="AM9535">
        <v>98.081522592396595</v>
      </c>
      <c r="AN9535">
        <v>1.0000000286463899</v>
      </c>
    </row>
    <row r="9536" spans="1:40" x14ac:dyDescent="0.25">
      <c r="A9536" t="str">
        <f>"20190312150911100"</f>
        <v>20190312150911100</v>
      </c>
      <c r="B9536" t="str">
        <f>"1552374551089440"</f>
        <v>1552374551089440</v>
      </c>
      <c r="C9536" t="s">
        <v>40</v>
      </c>
      <c r="D9536">
        <v>4.2455699999999998</v>
      </c>
      <c r="E9536">
        <v>0.49612469999999997</v>
      </c>
      <c r="F9536" t="s">
        <v>87</v>
      </c>
      <c r="G9536">
        <v>-243.6559</v>
      </c>
      <c r="H9536" s="1">
        <v>-8.3665379999999998E-7</v>
      </c>
      <c r="I9536">
        <v>-61.4403199999999</v>
      </c>
      <c r="J9536">
        <v>-268.79309999999998</v>
      </c>
      <c r="K9536">
        <v>1.1128769999999999</v>
      </c>
      <c r="L9536">
        <v>-61.617739999999998</v>
      </c>
      <c r="M9536">
        <v>0.98913090000000004</v>
      </c>
      <c r="N9536">
        <v>0</v>
      </c>
      <c r="O9536">
        <v>-0.1466925</v>
      </c>
      <c r="P9536">
        <v>0.99769620000000003</v>
      </c>
      <c r="Q9536">
        <v>6.740749E-2</v>
      </c>
      <c r="R9536">
        <v>-7.6560439999999999E-3</v>
      </c>
      <c r="S9536">
        <v>3.0159609999999999</v>
      </c>
      <c r="T9536">
        <v>-0.13281389999999901</v>
      </c>
      <c r="U9536">
        <v>1.8981930000000001E-2</v>
      </c>
      <c r="V9536">
        <v>-0.13929320000000001</v>
      </c>
      <c r="W9536">
        <v>7.6442759999999998E-2</v>
      </c>
      <c r="X9536">
        <v>0.98729630000000002</v>
      </c>
      <c r="Y9536">
        <v>-0.152633299999999</v>
      </c>
      <c r="Z9536">
        <v>9.7993090000000008E-3</v>
      </c>
      <c r="AA9536">
        <v>0.98823430000000001</v>
      </c>
      <c r="AB9536">
        <v>28</v>
      </c>
      <c r="AC9536">
        <v>25.137199999999901</v>
      </c>
      <c r="AD9536">
        <v>-1.1128778366537999</v>
      </c>
      <c r="AE9536">
        <v>0.17742000000001201</v>
      </c>
      <c r="AF9536">
        <v>-3.8555695000251902</v>
      </c>
      <c r="AG9536">
        <v>-1.1128778366537999</v>
      </c>
      <c r="AH9536">
        <v>24.7906263428494</v>
      </c>
      <c r="AI9536">
        <v>92.539850539749096</v>
      </c>
      <c r="AJ9536">
        <v>98.840121768836894</v>
      </c>
      <c r="AK9536">
        <v>25.113324505521302</v>
      </c>
      <c r="AL9536">
        <v>85.615875783508798</v>
      </c>
      <c r="AM9536">
        <v>98.030600716909206</v>
      </c>
      <c r="AN9536">
        <v>1.0000000375581699</v>
      </c>
    </row>
    <row r="9537" spans="1:40" x14ac:dyDescent="0.25">
      <c r="A9537" t="str">
        <f>"20190312150911111"</f>
        <v>20190312150911111</v>
      </c>
      <c r="B9537" t="str">
        <f>"1552374551108960"</f>
        <v>1552374551108960</v>
      </c>
      <c r="C9537" t="s">
        <v>40</v>
      </c>
      <c r="D9537">
        <v>4.312767</v>
      </c>
      <c r="E9537">
        <v>0.4966161</v>
      </c>
      <c r="F9537" t="s">
        <v>87</v>
      </c>
      <c r="G9537">
        <v>-243.41900000000001</v>
      </c>
      <c r="H9537" s="1">
        <v>-7.3851550000000001E-7</v>
      </c>
      <c r="I9537">
        <v>-61.453360000000004</v>
      </c>
      <c r="J9537">
        <v>-268.65589999999997</v>
      </c>
      <c r="K9537">
        <v>1.1128819999999999</v>
      </c>
      <c r="L9537">
        <v>-61.636200000000002</v>
      </c>
      <c r="M9537">
        <v>0.98939750000000004</v>
      </c>
      <c r="N9537">
        <v>0</v>
      </c>
      <c r="O9537">
        <v>-0.14488229999999999</v>
      </c>
      <c r="P9537">
        <v>0.99767209999999995</v>
      </c>
      <c r="Q9537">
        <v>6.7885609999999999E-2</v>
      </c>
      <c r="R9537">
        <v>-6.4757979999999996E-3</v>
      </c>
      <c r="S9537">
        <v>3.016022</v>
      </c>
      <c r="T9537">
        <v>-0.13227939999999999</v>
      </c>
      <c r="U9537">
        <v>1.953125E-2</v>
      </c>
      <c r="V9537">
        <v>-0.13865329999999901</v>
      </c>
      <c r="W9537">
        <v>7.6928189999999994E-2</v>
      </c>
      <c r="X9537">
        <v>0.98734860000000002</v>
      </c>
      <c r="Y9537">
        <v>-0.15101020000000001</v>
      </c>
      <c r="Z9537">
        <v>9.6454209999999995E-3</v>
      </c>
      <c r="AA9537">
        <v>0.98848519999999895</v>
      </c>
      <c r="AB9537">
        <v>28</v>
      </c>
      <c r="AC9537">
        <v>25.236899999999899</v>
      </c>
      <c r="AD9537">
        <v>-1.1128827385155</v>
      </c>
      <c r="AE9537">
        <v>0.182840000000005</v>
      </c>
      <c r="AF9537">
        <v>-3.8300292838918599</v>
      </c>
      <c r="AG9537">
        <v>-1.1128827385155</v>
      </c>
      <c r="AH9537">
        <v>24.895694765675401</v>
      </c>
      <c r="AI9537">
        <v>92.529798568889902</v>
      </c>
      <c r="AJ9537">
        <v>98.7459877934822</v>
      </c>
      <c r="AK9537">
        <v>25.213156291326001</v>
      </c>
      <c r="AL9537">
        <v>85.587980257503503</v>
      </c>
      <c r="AM9537">
        <v>97.993768909042799</v>
      </c>
      <c r="AN9537">
        <v>0.99999997096976201</v>
      </c>
    </row>
    <row r="9538" spans="1:40" x14ac:dyDescent="0.25">
      <c r="A9538" t="str">
        <f>"20190312150911123"</f>
        <v>20190312150911123</v>
      </c>
      <c r="B9538" t="str">
        <f>"1552374551118719"</f>
        <v>1552374551118719</v>
      </c>
      <c r="C9538" t="s">
        <v>40</v>
      </c>
      <c r="D9538">
        <v>4.3144580000000001</v>
      </c>
      <c r="E9538">
        <v>0.49675000000000002</v>
      </c>
      <c r="F9538" t="s">
        <v>87</v>
      </c>
      <c r="G9538">
        <v>-242.1788</v>
      </c>
      <c r="H9538" s="1">
        <v>-2.1064170000000001E-7</v>
      </c>
      <c r="I9538">
        <v>-61.46895</v>
      </c>
      <c r="J9538">
        <v>-268.50760000000002</v>
      </c>
      <c r="K9538">
        <v>1.1128910000000001</v>
      </c>
      <c r="L9538">
        <v>-61.65598</v>
      </c>
      <c r="M9538">
        <v>0.98968230000000001</v>
      </c>
      <c r="N9538">
        <v>0</v>
      </c>
      <c r="O9538">
        <v>-0.14292489999999999</v>
      </c>
      <c r="P9538">
        <v>0.99763440000000003</v>
      </c>
      <c r="Q9538">
        <v>6.8531720000000004E-2</v>
      </c>
      <c r="R9538">
        <v>-5.3989119999999996E-3</v>
      </c>
      <c r="S9538">
        <v>3.015717</v>
      </c>
      <c r="T9538">
        <v>-0.12675649999999999</v>
      </c>
      <c r="U9538">
        <v>1.9042969999999999E-2</v>
      </c>
      <c r="V9538">
        <v>-0.13776389999999999</v>
      </c>
      <c r="W9538">
        <v>7.7584239999999999E-2</v>
      </c>
      <c r="X9538">
        <v>0.98742180000000002</v>
      </c>
      <c r="Y9538">
        <v>-0.1489219</v>
      </c>
      <c r="Z9538">
        <v>9.1185190000000003E-3</v>
      </c>
      <c r="AA9538">
        <v>0.98880690000000004</v>
      </c>
      <c r="AB9538">
        <v>28</v>
      </c>
      <c r="AC9538">
        <v>26.328800000000001</v>
      </c>
      <c r="AD9538">
        <v>-1.1128912106416999</v>
      </c>
      <c r="AE9538">
        <v>0.187030000000007</v>
      </c>
      <c r="AF9538">
        <v>-3.9413001788502302</v>
      </c>
      <c r="AG9538">
        <v>-1.1128912106416999</v>
      </c>
      <c r="AH9538">
        <v>25.985311451959699</v>
      </c>
      <c r="AI9538">
        <v>92.424650648283105</v>
      </c>
      <c r="AJ9538">
        <v>98.624553801727998</v>
      </c>
      <c r="AK9538">
        <v>26.306059857034398</v>
      </c>
      <c r="AL9538">
        <v>85.550278848391699</v>
      </c>
      <c r="AM9538">
        <v>97.942567615251605</v>
      </c>
      <c r="AN9538">
        <v>1.0000000087774099</v>
      </c>
    </row>
    <row r="9539" spans="1:40" x14ac:dyDescent="0.25">
      <c r="A9539" t="str">
        <f>"20190312150911134"</f>
        <v>20190312150911134</v>
      </c>
      <c r="B9539" t="str">
        <f>"1552374551129456"</f>
        <v>1552374551129456</v>
      </c>
      <c r="C9539" t="s">
        <v>40</v>
      </c>
      <c r="D9539">
        <v>4.3360099999999999</v>
      </c>
      <c r="E9539">
        <v>0.49702610000000003</v>
      </c>
      <c r="F9539" t="s">
        <v>87</v>
      </c>
      <c r="G9539">
        <v>-241.24940000000001</v>
      </c>
      <c r="H9539" s="1">
        <v>1.894185E-7</v>
      </c>
      <c r="I9539">
        <v>-61.463929999999998</v>
      </c>
      <c r="J9539">
        <v>-268.37860000000001</v>
      </c>
      <c r="K9539">
        <v>1.1128960000000001</v>
      </c>
      <c r="L9539">
        <v>-61.672789999999999</v>
      </c>
      <c r="M9539">
        <v>0.98992659999999999</v>
      </c>
      <c r="N9539">
        <v>0</v>
      </c>
      <c r="O9539">
        <v>-0.1412226</v>
      </c>
      <c r="P9539">
        <v>0.99759560000000003</v>
      </c>
      <c r="Q9539">
        <v>6.9156300000000004E-2</v>
      </c>
      <c r="R9539">
        <v>-4.549282E-3</v>
      </c>
      <c r="S9539">
        <v>3.015717</v>
      </c>
      <c r="T9539">
        <v>-0.1231251</v>
      </c>
      <c r="U9539">
        <v>2.1240229999999999E-2</v>
      </c>
      <c r="V9539">
        <v>-0.13690439999999901</v>
      </c>
      <c r="W9539">
        <v>7.8217460000000003E-2</v>
      </c>
      <c r="X9539">
        <v>0.98749140000000002</v>
      </c>
      <c r="Y9539">
        <v>-0.14795829999999999</v>
      </c>
      <c r="Z9539">
        <v>8.7689369999999992E-3</v>
      </c>
      <c r="AA9539">
        <v>0.98895469999999996</v>
      </c>
      <c r="AB9539">
        <v>28</v>
      </c>
      <c r="AC9539">
        <v>27.129200000000001</v>
      </c>
      <c r="AD9539">
        <v>-1.1128958105814999</v>
      </c>
      <c r="AE9539">
        <v>0.20885999999999399</v>
      </c>
      <c r="AF9539">
        <v>-4.0314334483483201</v>
      </c>
      <c r="AG9539">
        <v>-1.1128958105814999</v>
      </c>
      <c r="AH9539">
        <v>26.782715015826899</v>
      </c>
      <c r="AI9539">
        <v>92.352952831480096</v>
      </c>
      <c r="AJ9539">
        <v>98.560109062791895</v>
      </c>
      <c r="AK9539">
        <v>27.107283455792299</v>
      </c>
      <c r="AL9539">
        <v>85.513887499968305</v>
      </c>
      <c r="AM9539">
        <v>97.893091686105706</v>
      </c>
      <c r="AN9539">
        <v>1.0000000254310799</v>
      </c>
    </row>
    <row r="9540" spans="1:40" x14ac:dyDescent="0.25">
      <c r="A9540" t="str">
        <f>"20190312150911146"</f>
        <v>20190312150911146</v>
      </c>
      <c r="B9540" t="str">
        <f>"1552374551139216"</f>
        <v>1552374551139216</v>
      </c>
      <c r="C9540" t="s">
        <v>40</v>
      </c>
      <c r="D9540">
        <v>4.2946499999999999</v>
      </c>
      <c r="E9540">
        <v>0.49722159999999899</v>
      </c>
      <c r="F9540" t="s">
        <v>87</v>
      </c>
      <c r="G9540">
        <v>-240.3057</v>
      </c>
      <c r="H9540" s="1">
        <v>5.9215030000000005E-7</v>
      </c>
      <c r="I9540">
        <v>-61.471879999999999</v>
      </c>
      <c r="J9540">
        <v>-268.23700000000002</v>
      </c>
      <c r="K9540">
        <v>1.1128990000000001</v>
      </c>
      <c r="L9540">
        <v>-61.691130000000001</v>
      </c>
      <c r="M9540">
        <v>0.9901915</v>
      </c>
      <c r="N9540">
        <v>0</v>
      </c>
      <c r="O9540">
        <v>-0.13935320000000001</v>
      </c>
      <c r="P9540">
        <v>0.99757110000000004</v>
      </c>
      <c r="Q9540">
        <v>6.9569889999999995E-2</v>
      </c>
      <c r="R9540">
        <v>-3.4896990000000002E-3</v>
      </c>
      <c r="S9540">
        <v>3.015625</v>
      </c>
      <c r="T9540">
        <v>-0.1195486</v>
      </c>
      <c r="U9540">
        <v>2.157593E-2</v>
      </c>
      <c r="V9540">
        <v>-0.13608809999999999</v>
      </c>
      <c r="W9540">
        <v>7.8640070000000006E-2</v>
      </c>
      <c r="X9540">
        <v>0.98757059999999997</v>
      </c>
      <c r="Y9540">
        <v>-0.1462176</v>
      </c>
      <c r="Z9540">
        <v>8.4066519999999902E-3</v>
      </c>
      <c r="AA9540">
        <v>0.98921669999999995</v>
      </c>
      <c r="AB9540">
        <v>28</v>
      </c>
      <c r="AC9540">
        <v>27.9313</v>
      </c>
      <c r="AD9540">
        <v>-1.1128984078497</v>
      </c>
      <c r="AE9540">
        <v>0.219249999999995</v>
      </c>
      <c r="AF9540">
        <v>-4.1031105352944302</v>
      </c>
      <c r="AG9540">
        <v>-1.1128984078497</v>
      </c>
      <c r="AH9540">
        <v>27.584395487235199</v>
      </c>
      <c r="AI9540">
        <v>92.285241607188695</v>
      </c>
      <c r="AJ9540">
        <v>98.460570275921995</v>
      </c>
      <c r="AK9540">
        <v>27.9100865875984</v>
      </c>
      <c r="AL9540">
        <v>85.489598623174203</v>
      </c>
      <c r="AM9540">
        <v>97.8459952252839</v>
      </c>
      <c r="AN9540">
        <v>0.99999996077778597</v>
      </c>
    </row>
    <row r="9541" spans="1:40" x14ac:dyDescent="0.25">
      <c r="A9541" t="str">
        <f>"20190312150911156"</f>
        <v>20190312150911156</v>
      </c>
      <c r="B9541" t="str">
        <f>"1552374551148975"</f>
        <v>1552374551148975</v>
      </c>
      <c r="C9541" t="s">
        <v>40</v>
      </c>
      <c r="D9541">
        <v>4.3116019999999997</v>
      </c>
      <c r="E9541">
        <v>0.49750250000000001</v>
      </c>
      <c r="F9541" t="s">
        <v>87</v>
      </c>
      <c r="G9541">
        <v>-240.4881</v>
      </c>
      <c r="H9541" s="1">
        <v>5.1282999999999997E-7</v>
      </c>
      <c r="I9541">
        <v>-61.47598</v>
      </c>
      <c r="J9541">
        <v>-268.09949999999998</v>
      </c>
      <c r="K9541">
        <v>1.112908</v>
      </c>
      <c r="L9541">
        <v>-61.708590000000001</v>
      </c>
      <c r="M9541">
        <v>0.99044509999999997</v>
      </c>
      <c r="N9541">
        <v>0</v>
      </c>
      <c r="O9541">
        <v>-0.13753840000000001</v>
      </c>
      <c r="P9541">
        <v>0.99754229999999999</v>
      </c>
      <c r="Q9541">
        <v>7.0023100000000005E-2</v>
      </c>
      <c r="R9541">
        <v>-2.4765019999999998E-3</v>
      </c>
      <c r="S9541">
        <v>3.0158390000000002</v>
      </c>
      <c r="T9541">
        <v>-0.1209533</v>
      </c>
      <c r="U9541">
        <v>2.3376460000000002E-2</v>
      </c>
      <c r="V9541">
        <v>-0.1352797</v>
      </c>
      <c r="W9541">
        <v>7.9102580000000006E-2</v>
      </c>
      <c r="X9541">
        <v>0.98764479999999999</v>
      </c>
      <c r="Y9541">
        <v>-0.14499189999999901</v>
      </c>
      <c r="Z9541">
        <v>8.4079729999999991E-3</v>
      </c>
      <c r="AA9541">
        <v>0.98939710000000003</v>
      </c>
      <c r="AB9541">
        <v>28</v>
      </c>
      <c r="AC9541">
        <v>27.6113999999999</v>
      </c>
      <c r="AD9541">
        <v>-1.11290748717</v>
      </c>
      <c r="AE9541">
        <v>0.23260999999999399</v>
      </c>
      <c r="AF9541">
        <v>-4.0216869462918901</v>
      </c>
      <c r="AG9541">
        <v>-1.11290748717</v>
      </c>
      <c r="AH9541">
        <v>27.272668521604199</v>
      </c>
      <c r="AI9541">
        <v>92.311782749752993</v>
      </c>
      <c r="AJ9541">
        <v>98.388505787307196</v>
      </c>
      <c r="AK9541">
        <v>27.590052143087199</v>
      </c>
      <c r="AL9541">
        <v>85.463016269839301</v>
      </c>
      <c r="AM9541">
        <v>97.799384504651897</v>
      </c>
      <c r="AN9541">
        <v>1.00000003318089</v>
      </c>
    </row>
    <row r="9542" spans="1:40" x14ac:dyDescent="0.25">
      <c r="A9542" t="str">
        <f>"20190312150911168"</f>
        <v>20190312150911168</v>
      </c>
      <c r="B9542" t="str">
        <f>"1552374551158735"</f>
        <v>1552374551158735</v>
      </c>
      <c r="C9542" t="s">
        <v>40</v>
      </c>
      <c r="D9542">
        <v>4.3255109999999997</v>
      </c>
      <c r="E9542">
        <v>0.49769200000000002</v>
      </c>
      <c r="F9542" t="s">
        <v>87</v>
      </c>
      <c r="G9542">
        <v>-240.4333</v>
      </c>
      <c r="H9542" s="1">
        <v>5.3367889999999998E-7</v>
      </c>
      <c r="I9542">
        <v>-61.485970000000002</v>
      </c>
      <c r="J9542">
        <v>-267.96780000000001</v>
      </c>
      <c r="K9542">
        <v>1.11291299999999</v>
      </c>
      <c r="L9542">
        <v>-61.725160000000002</v>
      </c>
      <c r="M9542">
        <v>0.99068500000000004</v>
      </c>
      <c r="N9542">
        <v>0</v>
      </c>
      <c r="O9542">
        <v>-0.1357999</v>
      </c>
      <c r="P9542">
        <v>0.99750810000000001</v>
      </c>
      <c r="Q9542">
        <v>7.0536470000000004E-2</v>
      </c>
      <c r="R9542">
        <v>-1.6138540000000001E-3</v>
      </c>
      <c r="S9542">
        <v>3.0158999999999998</v>
      </c>
      <c r="T9542">
        <v>-0.121318</v>
      </c>
      <c r="U9542">
        <v>2.426147E-2</v>
      </c>
      <c r="V9542">
        <v>-0.13439899999999999</v>
      </c>
      <c r="W9542">
        <v>7.9624970000000003E-2</v>
      </c>
      <c r="X9542">
        <v>0.98772309999999996</v>
      </c>
      <c r="Y9542">
        <v>-0.1435467</v>
      </c>
      <c r="Z9542">
        <v>8.3346779999999999E-3</v>
      </c>
      <c r="AA9542">
        <v>0.9896085</v>
      </c>
      <c r="AB9542">
        <v>28</v>
      </c>
      <c r="AC9542">
        <v>27.534500000000001</v>
      </c>
      <c r="AD9542">
        <v>-1.1129124663211001</v>
      </c>
      <c r="AE9542">
        <v>0.23919000000000001</v>
      </c>
      <c r="AF9542">
        <v>-3.9698613277518802</v>
      </c>
      <c r="AG9542">
        <v>-1.1129124663211001</v>
      </c>
      <c r="AH9542">
        <v>27.2024817156036</v>
      </c>
      <c r="AI9542">
        <v>92.3182583850013</v>
      </c>
      <c r="AJ9542">
        <v>98.302987158215402</v>
      </c>
      <c r="AK9542">
        <v>27.5131493036879</v>
      </c>
      <c r="AL9542">
        <v>85.432991009421301</v>
      </c>
      <c r="AM9542">
        <v>97.748620915417206</v>
      </c>
      <c r="AN9542">
        <v>1.00000007466105</v>
      </c>
    </row>
    <row r="9543" spans="1:40" x14ac:dyDescent="0.25">
      <c r="A9543" t="str">
        <f>"20190312150911179"</f>
        <v>20190312150911179</v>
      </c>
      <c r="B9543" t="str">
        <f>"1552374551169471"</f>
        <v>1552374551169471</v>
      </c>
      <c r="C9543" t="s">
        <v>40</v>
      </c>
      <c r="D9543">
        <v>4.2993180000000004</v>
      </c>
      <c r="E9543">
        <v>0.4979152</v>
      </c>
      <c r="F9543" t="s">
        <v>88</v>
      </c>
      <c r="G9543">
        <v>-239.65969999999999</v>
      </c>
      <c r="H9543" s="1">
        <v>-3.3570979999999898E-6</v>
      </c>
      <c r="I9543">
        <v>-61.487360000000002</v>
      </c>
      <c r="J9543">
        <v>-267.82170000000002</v>
      </c>
      <c r="K9543">
        <v>1.1129180000000001</v>
      </c>
      <c r="L9543">
        <v>-61.743160000000003</v>
      </c>
      <c r="M9543">
        <v>0.99094720000000003</v>
      </c>
      <c r="N9543">
        <v>0</v>
      </c>
      <c r="O9543">
        <v>-0.1338712</v>
      </c>
      <c r="P9543">
        <v>0.99748239999999999</v>
      </c>
      <c r="Q9543">
        <v>7.0908470000000001E-2</v>
      </c>
      <c r="R9543">
        <v>-8.1882389999999997E-4</v>
      </c>
      <c r="S9543">
        <v>3.0159609999999999</v>
      </c>
      <c r="T9543">
        <v>-0.1185707</v>
      </c>
      <c r="U9543">
        <v>2.5329589999999999E-2</v>
      </c>
      <c r="V9543">
        <v>-0.13326209999999999</v>
      </c>
      <c r="W9543">
        <v>8.0009040000000003E-2</v>
      </c>
      <c r="X9543">
        <v>0.987846</v>
      </c>
      <c r="Y9543">
        <v>-0.1419832</v>
      </c>
      <c r="Z9543">
        <v>8.0399140000000004E-3</v>
      </c>
      <c r="AA9543">
        <v>0.98983639999999995</v>
      </c>
      <c r="AB9543">
        <v>28</v>
      </c>
      <c r="AC9543">
        <v>28.161999999999999</v>
      </c>
      <c r="AD9543">
        <v>-1.1129213570980001</v>
      </c>
      <c r="AE9543">
        <v>0.25580000000000003</v>
      </c>
      <c r="AF9543">
        <v>-4.0174968745393898</v>
      </c>
      <c r="AG9543">
        <v>-1.1129213570980001</v>
      </c>
      <c r="AH9543">
        <v>27.830774316696299</v>
      </c>
      <c r="AI9543">
        <v>92.266505326829602</v>
      </c>
      <c r="AJ9543">
        <v>98.214159788672205</v>
      </c>
      <c r="AK9543">
        <v>28.141266392095801</v>
      </c>
      <c r="AL9543">
        <v>85.410914537788997</v>
      </c>
      <c r="AM9543">
        <v>97.682916061940702</v>
      </c>
      <c r="AN9543">
        <v>0.99999997674706498</v>
      </c>
    </row>
    <row r="9544" spans="1:40" x14ac:dyDescent="0.25">
      <c r="A9544" t="str">
        <f>"20190312150911190"</f>
        <v>20190312150911190</v>
      </c>
      <c r="B9544" t="str">
        <f>"1552374551179231"</f>
        <v>1552374551179231</v>
      </c>
      <c r="C9544" t="s">
        <v>40</v>
      </c>
      <c r="D9544">
        <v>4.4252840000000004</v>
      </c>
      <c r="E9544">
        <v>0.4981718</v>
      </c>
      <c r="F9544" t="s">
        <v>88</v>
      </c>
      <c r="G9544">
        <v>-239.60069999999999</v>
      </c>
      <c r="H9544" s="1">
        <v>-3.3391189999999998E-6</v>
      </c>
      <c r="I9544">
        <v>-61.49924</v>
      </c>
      <c r="J9544">
        <v>-267.68650000000002</v>
      </c>
      <c r="K9544">
        <v>1.112924</v>
      </c>
      <c r="L9544">
        <v>-61.759610000000002</v>
      </c>
      <c r="M9544">
        <v>0.99118680000000003</v>
      </c>
      <c r="N9544">
        <v>0</v>
      </c>
      <c r="O9544">
        <v>-0.1320866</v>
      </c>
      <c r="P9544">
        <v>0.99743990000000005</v>
      </c>
      <c r="Q9544">
        <v>7.1510329999999997E-2</v>
      </c>
      <c r="R9544">
        <v>-3.2850519999999902E-4</v>
      </c>
      <c r="S9544">
        <v>3.0160520000000002</v>
      </c>
      <c r="T9544">
        <v>-0.1189408</v>
      </c>
      <c r="U9544">
        <v>2.606201E-2</v>
      </c>
      <c r="V9544">
        <v>-0.13196669999999999</v>
      </c>
      <c r="W9544">
        <v>8.0623600000000004E-2</v>
      </c>
      <c r="X9544">
        <v>0.98796989999999996</v>
      </c>
      <c r="Y9544">
        <v>-0.14044200000000001</v>
      </c>
      <c r="Z9544">
        <v>7.9644840000000008E-3</v>
      </c>
      <c r="AA9544">
        <v>0.99005690000000002</v>
      </c>
      <c r="AB9544">
        <v>28</v>
      </c>
      <c r="AC9544">
        <v>28.085799999999999</v>
      </c>
      <c r="AD9544">
        <v>-1.112927339119</v>
      </c>
      <c r="AE9544">
        <v>0.260369999999994</v>
      </c>
      <c r="AF9544">
        <v>-3.9618148503904602</v>
      </c>
      <c r="AG9544">
        <v>-1.112927339119</v>
      </c>
      <c r="AH9544">
        <v>27.7617107668835</v>
      </c>
      <c r="AI9544">
        <v>92.272675735863203</v>
      </c>
      <c r="AJ9544">
        <v>98.121721012439494</v>
      </c>
      <c r="AK9544">
        <v>28.065052447394901</v>
      </c>
      <c r="AL9544">
        <v>85.375588591090604</v>
      </c>
      <c r="AM9544">
        <v>97.608168964317599</v>
      </c>
      <c r="AN9544">
        <v>0.99999994904592804</v>
      </c>
    </row>
    <row r="9545" spans="1:40" x14ac:dyDescent="0.25">
      <c r="A9545" t="str">
        <f>"20190312150911201"</f>
        <v>20190312150911201</v>
      </c>
      <c r="B9545" t="str">
        <f>"1552374551188992"</f>
        <v>1552374551188992</v>
      </c>
      <c r="C9545" t="s">
        <v>40</v>
      </c>
      <c r="D9545">
        <v>4.3096100000000002</v>
      </c>
      <c r="E9545">
        <v>0.49843419999999999</v>
      </c>
      <c r="F9545" t="s">
        <v>88</v>
      </c>
      <c r="G9545">
        <v>-238.7895</v>
      </c>
      <c r="H9545" s="1">
        <v>-3.0588030000000001E-6</v>
      </c>
      <c r="I9545">
        <v>-61.514819999999901</v>
      </c>
      <c r="J9545">
        <v>-267.553</v>
      </c>
      <c r="K9545">
        <v>1.112927</v>
      </c>
      <c r="L9545">
        <v>-61.775669999999998</v>
      </c>
      <c r="M9545">
        <v>0.99141990000000002</v>
      </c>
      <c r="N9545">
        <v>0</v>
      </c>
      <c r="O9545">
        <v>-0.130324</v>
      </c>
      <c r="P9545">
        <v>0.99739650000000002</v>
      </c>
      <c r="Q9545">
        <v>7.2111439999999999E-2</v>
      </c>
      <c r="R9545">
        <v>5.2685269999999998E-4</v>
      </c>
      <c r="S9545">
        <v>3.016022</v>
      </c>
      <c r="T9545">
        <v>-0.11615789999999999</v>
      </c>
      <c r="U9545">
        <v>2.554321E-2</v>
      </c>
      <c r="V9545">
        <v>-0.13105600000000001</v>
      </c>
      <c r="W9545">
        <v>8.1234799999999996E-2</v>
      </c>
      <c r="X9545">
        <v>0.98804110000000001</v>
      </c>
      <c r="Y9545">
        <v>-0.1385237</v>
      </c>
      <c r="Z9545">
        <v>7.6739859999999998E-3</v>
      </c>
      <c r="AA9545">
        <v>0.99032940000000003</v>
      </c>
      <c r="AB9545">
        <v>28</v>
      </c>
      <c r="AC9545">
        <v>28.763500000000001</v>
      </c>
      <c r="AD9545">
        <v>-1.112930058803</v>
      </c>
      <c r="AE9545">
        <v>0.26085000000000402</v>
      </c>
      <c r="AF9545">
        <v>-4.0014010865447602</v>
      </c>
      <c r="AG9545">
        <v>-1.112930058803</v>
      </c>
      <c r="AH9545">
        <v>28.4415908336528</v>
      </c>
      <c r="AI9545">
        <v>92.219030862137799</v>
      </c>
      <c r="AJ9545">
        <v>98.008289314049406</v>
      </c>
      <c r="AK9545">
        <v>28.743241172841199</v>
      </c>
      <c r="AL9545">
        <v>85.340454360810099</v>
      </c>
      <c r="AM9545">
        <v>97.555735637624394</v>
      </c>
      <c r="AN9545">
        <v>0.99999999157812502</v>
      </c>
    </row>
    <row r="9546" spans="1:40" x14ac:dyDescent="0.25">
      <c r="A9546" t="str">
        <f>"20190312150911213"</f>
        <v>20190312150911213</v>
      </c>
      <c r="B9546" t="str">
        <f>"1552374551209488"</f>
        <v>1552374551209488</v>
      </c>
      <c r="C9546" t="s">
        <v>40</v>
      </c>
      <c r="D9546">
        <v>4.3465410000000002</v>
      </c>
      <c r="E9546">
        <v>0.49885780000000002</v>
      </c>
      <c r="F9546" t="s">
        <v>88</v>
      </c>
      <c r="G9546">
        <v>-238.4462</v>
      </c>
      <c r="H9546" s="1">
        <v>-2.9139609999999999E-6</v>
      </c>
      <c r="I9546">
        <v>-61.524090000000001</v>
      </c>
      <c r="J9546">
        <v>-267.41129999999998</v>
      </c>
      <c r="K9546">
        <v>1.112932</v>
      </c>
      <c r="L9546">
        <v>-61.792299999999997</v>
      </c>
      <c r="M9546">
        <v>0.99166379999999998</v>
      </c>
      <c r="N9546">
        <v>0</v>
      </c>
      <c r="O9546">
        <v>-0.12845480000000001</v>
      </c>
      <c r="P9546">
        <v>0.99735799999999997</v>
      </c>
      <c r="Q9546">
        <v>7.2631219999999996E-2</v>
      </c>
      <c r="R9546">
        <v>1.358742E-3</v>
      </c>
      <c r="S9546">
        <v>3.0161129999999998</v>
      </c>
      <c r="T9546">
        <v>-0.1153243</v>
      </c>
      <c r="U9546">
        <v>2.606201E-2</v>
      </c>
      <c r="V9546">
        <v>-0.13001569999999901</v>
      </c>
      <c r="W9546">
        <v>8.1765649999999995E-2</v>
      </c>
      <c r="X9546">
        <v>0.98813470000000003</v>
      </c>
      <c r="Y9546">
        <v>-0.13683210000000001</v>
      </c>
      <c r="Z9546">
        <v>7.5153889999999999E-3</v>
      </c>
      <c r="AA9546">
        <v>0.99056580000000005</v>
      </c>
      <c r="AB9546">
        <v>28</v>
      </c>
      <c r="AC9546">
        <v>28.9650999999999</v>
      </c>
      <c r="AD9546">
        <v>-1.1129349139610001</v>
      </c>
      <c r="AE9546">
        <v>0.26820999999999601</v>
      </c>
      <c r="AF9546">
        <v>-3.9810072959223599</v>
      </c>
      <c r="AG9546">
        <v>-1.1129349139610001</v>
      </c>
      <c r="AH9546">
        <v>28.648364036380102</v>
      </c>
      <c r="AI9546">
        <v>92.203561585855596</v>
      </c>
      <c r="AJ9546">
        <v>97.911220020503393</v>
      </c>
      <c r="AK9546">
        <v>28.9450480250743</v>
      </c>
      <c r="AL9546">
        <v>85.309937154452001</v>
      </c>
      <c r="AM9546">
        <v>97.495742295801705</v>
      </c>
      <c r="AN9546">
        <v>0.99999994455524899</v>
      </c>
    </row>
    <row r="9547" spans="1:40" x14ac:dyDescent="0.25">
      <c r="A9547" t="str">
        <f>"20190312150911224"</f>
        <v>20190312150911224</v>
      </c>
      <c r="B9547" t="str">
        <f>"1552374551219248"</f>
        <v>1552374551219248</v>
      </c>
      <c r="C9547" t="s">
        <v>40</v>
      </c>
      <c r="D9547">
        <v>4.298489</v>
      </c>
      <c r="E9547">
        <v>0.49906339999999999</v>
      </c>
      <c r="F9547" t="s">
        <v>88</v>
      </c>
      <c r="G9547">
        <v>-236.04470000000001</v>
      </c>
      <c r="H9547" s="1">
        <v>-1.886166E-6</v>
      </c>
      <c r="I9547">
        <v>-61.533230000000003</v>
      </c>
      <c r="J9547">
        <v>-267.27589999999998</v>
      </c>
      <c r="K9547">
        <v>1.1129340000000001</v>
      </c>
      <c r="L9547">
        <v>-61.808140000000002</v>
      </c>
      <c r="M9547">
        <v>0.99189349999999998</v>
      </c>
      <c r="N9547">
        <v>0</v>
      </c>
      <c r="O9547">
        <v>-0.12666849999999999</v>
      </c>
      <c r="P9547">
        <v>0.99734339999999999</v>
      </c>
      <c r="Q9547">
        <v>7.2811550000000003E-2</v>
      </c>
      <c r="R9547">
        <v>2.2238660000000001E-3</v>
      </c>
      <c r="S9547">
        <v>3.015717</v>
      </c>
      <c r="T9547">
        <v>-0.1070019</v>
      </c>
      <c r="U9547">
        <v>2.4902339999999999E-2</v>
      </c>
      <c r="V9547">
        <v>-0.1290924</v>
      </c>
      <c r="W9547">
        <v>8.1956219999999996E-2</v>
      </c>
      <c r="X9547">
        <v>0.98824000000000001</v>
      </c>
      <c r="Y9547">
        <v>-0.13469719999999999</v>
      </c>
      <c r="Z9547">
        <v>6.8734470000000004E-3</v>
      </c>
      <c r="AA9547">
        <v>0.99086300000000005</v>
      </c>
      <c r="AB9547">
        <v>28</v>
      </c>
      <c r="AC9547">
        <v>31.231199999999902</v>
      </c>
      <c r="AD9547">
        <v>-1.1129358861659999</v>
      </c>
      <c r="AE9547">
        <v>0.27490999999999799</v>
      </c>
      <c r="AF9547">
        <v>-4.2235441915812304</v>
      </c>
      <c r="AG9547">
        <v>-1.1129358861659999</v>
      </c>
      <c r="AH9547">
        <v>30.905542564696201</v>
      </c>
      <c r="AI9547">
        <v>92.043403848725902</v>
      </c>
      <c r="AJ9547">
        <v>97.781822551364698</v>
      </c>
      <c r="AK9547">
        <v>31.212649888197699</v>
      </c>
      <c r="AL9547">
        <v>85.298981711706205</v>
      </c>
      <c r="AM9547">
        <v>97.442326411243201</v>
      </c>
      <c r="AN9547">
        <v>0.99999998366722398</v>
      </c>
    </row>
    <row r="9548" spans="1:40" x14ac:dyDescent="0.25">
      <c r="A9548" t="str">
        <f>"20190312150911235"</f>
        <v>20190312150911235</v>
      </c>
      <c r="B9548" t="str">
        <f>"1552374551229008"</f>
        <v>1552374551229008</v>
      </c>
      <c r="C9548" t="s">
        <v>40</v>
      </c>
      <c r="D9548">
        <v>4.3347559999999996</v>
      </c>
      <c r="E9548">
        <v>0.49928699999999998</v>
      </c>
      <c r="F9548" t="s">
        <v>88</v>
      </c>
      <c r="G9548">
        <v>-235.06559999999999</v>
      </c>
      <c r="H9548" s="1">
        <v>-1.4662269999999999E-6</v>
      </c>
      <c r="I9548">
        <v>-61.5336</v>
      </c>
      <c r="J9548">
        <v>-267.13959999999997</v>
      </c>
      <c r="K9548">
        <v>1.1129370000000001</v>
      </c>
      <c r="L9548">
        <v>-61.823639999999997</v>
      </c>
      <c r="M9548">
        <v>0.99212149999999999</v>
      </c>
      <c r="N9548">
        <v>0</v>
      </c>
      <c r="O9548">
        <v>-0.1248706</v>
      </c>
      <c r="P9548">
        <v>0.99729719999999999</v>
      </c>
      <c r="Q9548">
        <v>7.3406470000000001E-2</v>
      </c>
      <c r="R9548">
        <v>3.1096940000000001E-3</v>
      </c>
      <c r="S9548">
        <v>3.015533</v>
      </c>
      <c r="T9548">
        <v>-0.1041929</v>
      </c>
      <c r="U9548">
        <v>2.5695800000000001E-2</v>
      </c>
      <c r="V9548">
        <v>-0.1281774</v>
      </c>
      <c r="W9548">
        <v>8.2560700000000001E-2</v>
      </c>
      <c r="X9548">
        <v>0.98830879999999999</v>
      </c>
      <c r="Y9548">
        <v>-0.13317290000000001</v>
      </c>
      <c r="Z9548">
        <v>6.605456E-3</v>
      </c>
      <c r="AA9548">
        <v>0.99107080000000003</v>
      </c>
      <c r="AB9548">
        <v>28</v>
      </c>
      <c r="AC9548">
        <v>32.073999999999899</v>
      </c>
      <c r="AD9548">
        <v>-1.1129384662270001</v>
      </c>
      <c r="AE9548">
        <v>0.29004000000000402</v>
      </c>
      <c r="AF9548">
        <v>-4.2879117227680004</v>
      </c>
      <c r="AG9548">
        <v>-1.1129384662270001</v>
      </c>
      <c r="AH9548">
        <v>31.7484899593865</v>
      </c>
      <c r="AI9548">
        <v>91.989623190780904</v>
      </c>
      <c r="AJ9548">
        <v>97.691754249815801</v>
      </c>
      <c r="AK9548">
        <v>32.056067033763298</v>
      </c>
      <c r="AL9548">
        <v>85.264229860223907</v>
      </c>
      <c r="AM9548">
        <v>97.389651990570897</v>
      </c>
      <c r="AN9548">
        <v>0.999999999606344</v>
      </c>
    </row>
    <row r="9549" spans="1:40" x14ac:dyDescent="0.25">
      <c r="A9549" t="str">
        <f>"20190312150911246"</f>
        <v>20190312150911246</v>
      </c>
      <c r="B9549" t="str">
        <f>"1552374551238768"</f>
        <v>1552374551238768</v>
      </c>
      <c r="C9549" t="s">
        <v>40</v>
      </c>
      <c r="D9549">
        <v>4.3029129999999904</v>
      </c>
      <c r="E9549">
        <v>0.49940859999999898</v>
      </c>
      <c r="F9549" t="s">
        <v>88</v>
      </c>
      <c r="G9549">
        <v>-233.52760000000001</v>
      </c>
      <c r="H9549" s="1">
        <v>-8.0495750000000001E-7</v>
      </c>
      <c r="I9549">
        <v>-61.527970000000003</v>
      </c>
      <c r="J9549">
        <v>-267.00549999999998</v>
      </c>
      <c r="K9549">
        <v>1.112941</v>
      </c>
      <c r="L9549">
        <v>-61.83878</v>
      </c>
      <c r="M9549">
        <v>0.99234270000000002</v>
      </c>
      <c r="N9549">
        <v>0</v>
      </c>
      <c r="O9549">
        <v>-0.1231005</v>
      </c>
      <c r="P9549">
        <v>0.99728779999999995</v>
      </c>
      <c r="Q9549">
        <v>7.3490929999999996E-2</v>
      </c>
      <c r="R9549">
        <v>4.0814620000000001E-3</v>
      </c>
      <c r="S9549">
        <v>3.0154109999999998</v>
      </c>
      <c r="T9549">
        <v>-9.9844100000000005E-2</v>
      </c>
      <c r="U9549">
        <v>2.651978E-2</v>
      </c>
      <c r="V9549">
        <v>-0.1273772</v>
      </c>
      <c r="W9549">
        <v>8.2654320000000003E-2</v>
      </c>
      <c r="X9549">
        <v>0.98840450000000002</v>
      </c>
      <c r="Y9549">
        <v>-0.13169020000000001</v>
      </c>
      <c r="Z9549">
        <v>6.2473750000000003E-3</v>
      </c>
      <c r="AA9549">
        <v>0.99127129999999997</v>
      </c>
      <c r="AB9549">
        <v>28</v>
      </c>
      <c r="AC9549">
        <v>33.477899999999899</v>
      </c>
      <c r="AD9549">
        <v>-1.1129418049574999</v>
      </c>
      <c r="AE9549">
        <v>0.31081000000001002</v>
      </c>
      <c r="AF9549">
        <v>-4.4249128517656704</v>
      </c>
      <c r="AG9549">
        <v>-1.1129418049574999</v>
      </c>
      <c r="AH9549">
        <v>33.148353788956499</v>
      </c>
      <c r="AI9549">
        <v>91.906064419087201</v>
      </c>
      <c r="AJ9549">
        <v>97.603359321313704</v>
      </c>
      <c r="AK9549">
        <v>33.4609003483883</v>
      </c>
      <c r="AL9549">
        <v>85.258847775447293</v>
      </c>
      <c r="AM9549">
        <v>97.343320938862703</v>
      </c>
      <c r="AN9549">
        <v>1.00000007165737</v>
      </c>
    </row>
    <row r="9550" spans="1:40" x14ac:dyDescent="0.25">
      <c r="A9550" t="str">
        <f>"20190312150911257"</f>
        <v>20190312150911257</v>
      </c>
      <c r="B9550" t="str">
        <f>"1552374551249504"</f>
        <v>1552374551249504</v>
      </c>
      <c r="C9550" t="s">
        <v>40</v>
      </c>
      <c r="D9550">
        <v>4.3329760000000004</v>
      </c>
      <c r="E9550">
        <v>0.49961220000000001</v>
      </c>
      <c r="F9550" t="s">
        <v>88</v>
      </c>
      <c r="G9550">
        <v>-232.5361</v>
      </c>
      <c r="H9550" s="1">
        <v>-3.7596030000000002E-7</v>
      </c>
      <c r="I9550">
        <v>-61.514270000000003</v>
      </c>
      <c r="J9550">
        <v>-266.86250000000001</v>
      </c>
      <c r="K9550">
        <v>1.112949</v>
      </c>
      <c r="L9550">
        <v>-61.854550000000003</v>
      </c>
      <c r="M9550">
        <v>0.99257470000000003</v>
      </c>
      <c r="N9550">
        <v>0</v>
      </c>
      <c r="O9550">
        <v>-0.12121460000000001</v>
      </c>
      <c r="P9550">
        <v>0.99726809999999999</v>
      </c>
      <c r="Q9550">
        <v>7.3707949999999994E-2</v>
      </c>
      <c r="R9550">
        <v>4.8477009999999899E-3</v>
      </c>
      <c r="S9550">
        <v>3.015228</v>
      </c>
      <c r="T9550">
        <v>-9.7355250000000004E-2</v>
      </c>
      <c r="U9550">
        <v>2.838135E-2</v>
      </c>
      <c r="V9550">
        <v>-0.1262576</v>
      </c>
      <c r="W9550">
        <v>8.2882890000000001E-2</v>
      </c>
      <c r="X9550">
        <v>0.98852890000000004</v>
      </c>
      <c r="Y9550">
        <v>-0.1304273</v>
      </c>
      <c r="Z9550">
        <v>6.0111820000000003E-3</v>
      </c>
      <c r="AA9550">
        <v>0.99143959999999998</v>
      </c>
      <c r="AB9550">
        <v>28</v>
      </c>
      <c r="AC9550">
        <v>34.3264</v>
      </c>
      <c r="AD9550">
        <v>-1.1129493759603</v>
      </c>
      <c r="AE9550">
        <v>0.34028000000000702</v>
      </c>
      <c r="AF9550">
        <v>-4.4941208508183497</v>
      </c>
      <c r="AG9550">
        <v>-1.1129493759603</v>
      </c>
      <c r="AH9550">
        <v>33.996279105896697</v>
      </c>
      <c r="AI9550">
        <v>91.8588839843827</v>
      </c>
      <c r="AJ9550">
        <v>97.530522786558507</v>
      </c>
      <c r="AK9550">
        <v>34.310097224887599</v>
      </c>
      <c r="AL9550">
        <v>85.245706108217504</v>
      </c>
      <c r="AM9550">
        <v>97.278564890962699</v>
      </c>
      <c r="AN9550">
        <v>0.99999997057386003</v>
      </c>
    </row>
    <row r="9551" spans="1:40" x14ac:dyDescent="0.25">
      <c r="A9551" t="str">
        <f>"20190312150911268"</f>
        <v>20190312150911268</v>
      </c>
      <c r="B9551" t="str">
        <f>"1552374551259267"</f>
        <v>1552374551259267</v>
      </c>
      <c r="C9551" t="s">
        <v>40</v>
      </c>
      <c r="D9551">
        <v>4.377961</v>
      </c>
      <c r="E9551">
        <v>0.49979820000000003</v>
      </c>
      <c r="F9551" t="s">
        <v>88</v>
      </c>
      <c r="G9551">
        <v>-231.51650000000001</v>
      </c>
      <c r="H9551" s="1">
        <v>6.1809769999999995E-8</v>
      </c>
      <c r="I9551">
        <v>-61.512830000000001</v>
      </c>
      <c r="J9551">
        <v>-266.72859999999997</v>
      </c>
      <c r="K9551">
        <v>1.1129530000000001</v>
      </c>
      <c r="L9551">
        <v>-61.869169999999997</v>
      </c>
      <c r="M9551">
        <v>0.99278869999999997</v>
      </c>
      <c r="N9551">
        <v>0</v>
      </c>
      <c r="O9551">
        <v>-0.1194481</v>
      </c>
      <c r="P9551">
        <v>0.99726409999999999</v>
      </c>
      <c r="Q9551">
        <v>7.3717649999999996E-2</v>
      </c>
      <c r="R9551">
        <v>5.4833999999999898E-3</v>
      </c>
      <c r="S9551">
        <v>3.0150760000000001</v>
      </c>
      <c r="T9551">
        <v>-9.4936610000000005E-2</v>
      </c>
      <c r="U9551">
        <v>2.914429E-2</v>
      </c>
      <c r="V9551">
        <v>-0.1251284</v>
      </c>
      <c r="W9551">
        <v>8.2904749999999999E-2</v>
      </c>
      <c r="X9551">
        <v>0.98867059999999996</v>
      </c>
      <c r="Y9551">
        <v>-0.12892229999999999</v>
      </c>
      <c r="Z9551">
        <v>5.7832169999999898E-3</v>
      </c>
      <c r="AA9551">
        <v>0.99163780000000001</v>
      </c>
      <c r="AB9551">
        <v>28</v>
      </c>
      <c r="AC9551">
        <v>35.2120999999999</v>
      </c>
      <c r="AD9551">
        <v>-1.1129529381902299</v>
      </c>
      <c r="AE9551">
        <v>0.356339999999988</v>
      </c>
      <c r="AF9551">
        <v>-4.5554725455963201</v>
      </c>
      <c r="AG9551">
        <v>-1.1129529381902299</v>
      </c>
      <c r="AH9551">
        <v>34.8825602988369</v>
      </c>
      <c r="AI9551">
        <v>91.812066116817306</v>
      </c>
      <c r="AJ9551">
        <v>97.440409103152007</v>
      </c>
      <c r="AK9551">
        <v>35.196363553047597</v>
      </c>
      <c r="AL9551">
        <v>85.244449125899806</v>
      </c>
      <c r="AM9551">
        <v>97.213133975405299</v>
      </c>
      <c r="AN9551">
        <v>0.99999993468173898</v>
      </c>
    </row>
    <row r="9552" spans="1:40" x14ac:dyDescent="0.25">
      <c r="A9552" t="str">
        <f>"20190312150911278"</f>
        <v>20190312150911278</v>
      </c>
      <c r="B9552" t="str">
        <f>"1552374551269025"</f>
        <v>1552374551269025</v>
      </c>
      <c r="C9552" t="s">
        <v>40</v>
      </c>
      <c r="D9552">
        <v>4.3514869999999997</v>
      </c>
      <c r="E9552">
        <v>0.49992720000000002</v>
      </c>
      <c r="F9552" t="s">
        <v>88</v>
      </c>
      <c r="G9552">
        <v>-230.79239999999999</v>
      </c>
      <c r="H9552" s="1">
        <v>3.7126839999999998E-7</v>
      </c>
      <c r="I9552">
        <v>-61.5173699999999</v>
      </c>
      <c r="J9552">
        <v>-266.58909999999997</v>
      </c>
      <c r="K9552">
        <v>1.1129560000000001</v>
      </c>
      <c r="L9552">
        <v>-61.884059999999998</v>
      </c>
      <c r="M9552">
        <v>0.99300860000000002</v>
      </c>
      <c r="N9552">
        <v>0</v>
      </c>
      <c r="O9552">
        <v>-0.1176074</v>
      </c>
      <c r="P9552">
        <v>0.99726119999999996</v>
      </c>
      <c r="Q9552">
        <v>7.3701799999999998E-2</v>
      </c>
      <c r="R9552">
        <v>6.2123509999999996E-3</v>
      </c>
      <c r="S9552">
        <v>3.015015</v>
      </c>
      <c r="T9552">
        <v>-9.3375559999999996E-2</v>
      </c>
      <c r="U9552">
        <v>2.9510499999999999E-2</v>
      </c>
      <c r="V9552">
        <v>-0.12401769999999999</v>
      </c>
      <c r="W9552">
        <v>8.2900940000000006E-2</v>
      </c>
      <c r="X9552">
        <v>0.98881090000000005</v>
      </c>
      <c r="Y9552">
        <v>-0.12721009999999999</v>
      </c>
      <c r="Z9552">
        <v>5.6050730000000003E-3</v>
      </c>
      <c r="AA9552">
        <v>0.99185999999999996</v>
      </c>
      <c r="AB9552">
        <v>28</v>
      </c>
      <c r="AC9552">
        <v>35.796699999999902</v>
      </c>
      <c r="AD9552">
        <v>-1.1129556287316</v>
      </c>
      <c r="AE9552">
        <v>0.36669000000000501</v>
      </c>
      <c r="AF9552">
        <v>-4.5699003600485799</v>
      </c>
      <c r="AG9552">
        <v>-1.1129556287316</v>
      </c>
      <c r="AH9552">
        <v>35.470839428575196</v>
      </c>
      <c r="AI9552">
        <v>91.782436784024796</v>
      </c>
      <c r="AJ9552">
        <v>97.341285573117503</v>
      </c>
      <c r="AK9552">
        <v>35.781323470493199</v>
      </c>
      <c r="AL9552">
        <v>85.244668373166803</v>
      </c>
      <c r="AM9552">
        <v>97.1487682843686</v>
      </c>
      <c r="AN9552">
        <v>0.99999997586249101</v>
      </c>
    </row>
    <row r="9553" spans="1:40" x14ac:dyDescent="0.25">
      <c r="A9553" t="str">
        <f>"20190312150911291"</f>
        <v>20190312150911291</v>
      </c>
      <c r="B9553" t="str">
        <f>"1552374551278783"</f>
        <v>1552374551278783</v>
      </c>
      <c r="C9553" t="s">
        <v>40</v>
      </c>
      <c r="D9553">
        <v>4.3282540000000003</v>
      </c>
      <c r="E9553">
        <v>0.50009059999999905</v>
      </c>
      <c r="F9553" t="s">
        <v>89</v>
      </c>
      <c r="G9553">
        <v>-229.9282</v>
      </c>
      <c r="H9553" s="1">
        <v>-3.5379800000000001E-6</v>
      </c>
      <c r="I9553">
        <v>-61.510730000000002</v>
      </c>
      <c r="J9553">
        <v>-266.44959999999998</v>
      </c>
      <c r="K9553">
        <v>1.112959</v>
      </c>
      <c r="L9553">
        <v>-61.898710000000001</v>
      </c>
      <c r="M9553">
        <v>0.99322440000000001</v>
      </c>
      <c r="N9553">
        <v>0</v>
      </c>
      <c r="O9553">
        <v>-0.1157682</v>
      </c>
      <c r="P9553">
        <v>0.99725900000000001</v>
      </c>
      <c r="Q9553">
        <v>7.3662279999999997E-2</v>
      </c>
      <c r="R9553">
        <v>6.9717900000000003E-3</v>
      </c>
      <c r="S9553">
        <v>3.0148009999999998</v>
      </c>
      <c r="T9553">
        <v>-9.152412E-2</v>
      </c>
      <c r="U9553">
        <v>3.0700680000000001E-2</v>
      </c>
      <c r="V9553">
        <v>-0.12293999999999999</v>
      </c>
      <c r="W9553">
        <v>8.2872899999999999E-2</v>
      </c>
      <c r="X9553">
        <v>0.98894789999999999</v>
      </c>
      <c r="Y9553">
        <v>-0.1257713</v>
      </c>
      <c r="Z9553">
        <v>5.4169999999999999E-3</v>
      </c>
      <c r="AA9553">
        <v>0.99204440000000005</v>
      </c>
      <c r="AB9553">
        <v>28</v>
      </c>
      <c r="AC9553">
        <v>36.5213999999999</v>
      </c>
      <c r="AD9553">
        <v>-1.1129625379799899</v>
      </c>
      <c r="AE9553">
        <v>0.387979999999991</v>
      </c>
      <c r="AF9553">
        <v>-4.60932547688423</v>
      </c>
      <c r="AG9553">
        <v>-1.1129625379799899</v>
      </c>
      <c r="AH9553">
        <v>36.197284155567701</v>
      </c>
      <c r="AI9553">
        <v>91.747027430746797</v>
      </c>
      <c r="AJ9553">
        <v>97.256930438652304</v>
      </c>
      <c r="AK9553">
        <v>36.506546634839502</v>
      </c>
      <c r="AL9553">
        <v>85.246280871465402</v>
      </c>
      <c r="AM9553">
        <v>97.086308922640697</v>
      </c>
      <c r="AN9553">
        <v>1.0000000550343999</v>
      </c>
    </row>
    <row r="9554" spans="1:40" x14ac:dyDescent="0.25">
      <c r="A9554" t="str">
        <f>"20190312150911301"</f>
        <v>20190312150911301</v>
      </c>
      <c r="B9554" t="str">
        <f>"1552374551299279"</f>
        <v>1552374551299279</v>
      </c>
      <c r="C9554" t="s">
        <v>40</v>
      </c>
      <c r="D9554">
        <v>4.3904610000000002</v>
      </c>
      <c r="E9554">
        <v>0.50036040000000004</v>
      </c>
      <c r="F9554" t="s">
        <v>89</v>
      </c>
      <c r="G9554">
        <v>-229.10210000000001</v>
      </c>
      <c r="H9554" s="1">
        <v>-3.2565020000000001E-6</v>
      </c>
      <c r="I9554">
        <v>-61.5081699999999</v>
      </c>
      <c r="J9554">
        <v>-266.31560000000002</v>
      </c>
      <c r="K9554">
        <v>1.112962</v>
      </c>
      <c r="L9554">
        <v>-61.912599999999998</v>
      </c>
      <c r="M9554">
        <v>0.9934288</v>
      </c>
      <c r="N9554">
        <v>0</v>
      </c>
      <c r="O9554">
        <v>-0.1140013</v>
      </c>
      <c r="P9554">
        <v>0.99728470000000002</v>
      </c>
      <c r="Q9554">
        <v>7.3283280000000006E-2</v>
      </c>
      <c r="R9554">
        <v>7.2757960000000002E-3</v>
      </c>
      <c r="S9554">
        <v>3.0146790000000001</v>
      </c>
      <c r="T9554">
        <v>-8.9838029999999999E-2</v>
      </c>
      <c r="U9554">
        <v>3.1524660000000003E-2</v>
      </c>
      <c r="V9554">
        <v>-0.1214817</v>
      </c>
      <c r="W9554">
        <v>8.2508910000000005E-2</v>
      </c>
      <c r="X9554">
        <v>0.98915850000000005</v>
      </c>
      <c r="Y9554">
        <v>-0.12428359999999999</v>
      </c>
      <c r="Z9554">
        <v>5.2429140000000004E-3</v>
      </c>
      <c r="AA9554">
        <v>0.99223289999999997</v>
      </c>
      <c r="AB9554">
        <v>28</v>
      </c>
      <c r="AC9554">
        <v>37.213500000000003</v>
      </c>
      <c r="AD9554">
        <v>-1.1129652565019901</v>
      </c>
      <c r="AE9554">
        <v>0.40443000000000401</v>
      </c>
      <c r="AF9554">
        <v>-4.6402487621140196</v>
      </c>
      <c r="AG9554">
        <v>-1.1129652565019901</v>
      </c>
      <c r="AH9554">
        <v>36.891762949403301</v>
      </c>
      <c r="AI9554">
        <v>91.714496739816298</v>
      </c>
      <c r="AJ9554">
        <v>97.169019583949705</v>
      </c>
      <c r="AK9554">
        <v>37.199096410416303</v>
      </c>
      <c r="AL9554">
        <v>85.267207515768902</v>
      </c>
      <c r="AM9554">
        <v>97.001615342169302</v>
      </c>
      <c r="AN9554">
        <v>1.00000003089326</v>
      </c>
    </row>
    <row r="9555" spans="1:40" x14ac:dyDescent="0.25">
      <c r="A9555" t="str">
        <f>"20190312150911312"</f>
        <v>20190312150911312</v>
      </c>
      <c r="B9555" t="str">
        <f>"1552374551309040"</f>
        <v>1552374551309040</v>
      </c>
      <c r="C9555" t="s">
        <v>40</v>
      </c>
      <c r="D9555">
        <v>4.3376460000000003</v>
      </c>
      <c r="E9555">
        <v>0.50052240000000003</v>
      </c>
      <c r="F9555" t="s">
        <v>89</v>
      </c>
      <c r="G9555">
        <v>-227.98259999999999</v>
      </c>
      <c r="H9555" s="1">
        <v>-2.7973630000000001E-6</v>
      </c>
      <c r="I9555">
        <v>-61.529559999999996</v>
      </c>
      <c r="J9555">
        <v>-266.17540000000002</v>
      </c>
      <c r="K9555">
        <v>1.1129610000000001</v>
      </c>
      <c r="L9555">
        <v>-61.926789999999997</v>
      </c>
      <c r="M9555">
        <v>0.99363919999999994</v>
      </c>
      <c r="N9555">
        <v>0</v>
      </c>
      <c r="O9555">
        <v>-0.1121528</v>
      </c>
      <c r="P9555">
        <v>0.99729939999999995</v>
      </c>
      <c r="Q9555">
        <v>7.3033479999999998E-2</v>
      </c>
      <c r="R9555">
        <v>7.7618289999999996E-3</v>
      </c>
      <c r="S9555">
        <v>3.0143740000000001</v>
      </c>
      <c r="T9555">
        <v>-8.7519760000000002E-2</v>
      </c>
      <c r="U9555">
        <v>3.0120850000000001E-2</v>
      </c>
      <c r="V9555">
        <v>-0.1201237</v>
      </c>
      <c r="W9555">
        <v>8.2273199999999894E-2</v>
      </c>
      <c r="X9555">
        <v>0.98934390000000005</v>
      </c>
      <c r="Y9555">
        <v>-0.1219833</v>
      </c>
      <c r="Z9555">
        <v>5.0213870000000004E-3</v>
      </c>
      <c r="AA9555">
        <v>0.99251940000000005</v>
      </c>
      <c r="AB9555">
        <v>28</v>
      </c>
      <c r="AC9555">
        <v>38.192799999999998</v>
      </c>
      <c r="AD9555">
        <v>-1.112963797363</v>
      </c>
      <c r="AE9555">
        <v>0.39723000000000702</v>
      </c>
      <c r="AF9555">
        <v>-4.67440446836574</v>
      </c>
      <c r="AG9555">
        <v>-1.112963797363</v>
      </c>
      <c r="AH9555">
        <v>37.875103712653299</v>
      </c>
      <c r="AI9555">
        <v>91.670491226730405</v>
      </c>
      <c r="AJ9555">
        <v>97.035654632999396</v>
      </c>
      <c r="AK9555">
        <v>38.178688122987701</v>
      </c>
      <c r="AL9555">
        <v>85.280758477453503</v>
      </c>
      <c r="AM9555">
        <v>96.922825898198894</v>
      </c>
      <c r="AN9555">
        <v>0.99999996760356902</v>
      </c>
    </row>
    <row r="9556" spans="1:40" x14ac:dyDescent="0.25">
      <c r="A9556" t="str">
        <f>"20190312150911324"</f>
        <v>20190312150911324</v>
      </c>
      <c r="B9556" t="str">
        <f>"1552374551318800"</f>
        <v>1552374551318800</v>
      </c>
      <c r="C9556" t="s">
        <v>40</v>
      </c>
      <c r="D9556">
        <v>4.3611599999999999</v>
      </c>
      <c r="E9556">
        <v>0.50055959999999999</v>
      </c>
      <c r="F9556" t="s">
        <v>89</v>
      </c>
      <c r="G9556">
        <v>-227.4624</v>
      </c>
      <c r="H9556" s="1">
        <v>-2.5764910000000002E-6</v>
      </c>
      <c r="I9556">
        <v>-61.539929999999998</v>
      </c>
      <c r="J9556">
        <v>-266.02859999999998</v>
      </c>
      <c r="K9556">
        <v>1.112965</v>
      </c>
      <c r="L9556">
        <v>-61.941470000000002</v>
      </c>
      <c r="M9556">
        <v>0.99385579999999996</v>
      </c>
      <c r="N9556">
        <v>0</v>
      </c>
      <c r="O9556">
        <v>-0.110217</v>
      </c>
      <c r="P9556">
        <v>0.99730549999999996</v>
      </c>
      <c r="Q9556">
        <v>7.2892079999999998E-2</v>
      </c>
      <c r="R9556">
        <v>8.295462E-3</v>
      </c>
      <c r="S9556">
        <v>3.014221</v>
      </c>
      <c r="T9556">
        <v>-8.6656090000000005E-2</v>
      </c>
      <c r="U9556">
        <v>3.0120850000000001E-2</v>
      </c>
      <c r="V9556">
        <v>-0.1187256</v>
      </c>
      <c r="W9556">
        <v>8.2145830000000003E-2</v>
      </c>
      <c r="X9556">
        <v>0.98952329999999999</v>
      </c>
      <c r="Y9556">
        <v>-0.1200537</v>
      </c>
      <c r="Z9556">
        <v>4.8889789999999999E-3</v>
      </c>
      <c r="AA9556">
        <v>0.99275539999999995</v>
      </c>
      <c r="AB9556">
        <v>28</v>
      </c>
      <c r="AC9556">
        <v>38.566199999999903</v>
      </c>
      <c r="AD9556">
        <v>-1.1129675764910001</v>
      </c>
      <c r="AE9556">
        <v>0.40153999999999002</v>
      </c>
      <c r="AF9556">
        <v>-4.6460939389109503</v>
      </c>
      <c r="AG9556">
        <v>-1.1129675764910001</v>
      </c>
      <c r="AH9556">
        <v>38.2550980306913</v>
      </c>
      <c r="AI9556">
        <v>91.654304875844701</v>
      </c>
      <c r="AJ9556">
        <v>96.9246769674928</v>
      </c>
      <c r="AK9556">
        <v>38.552268559104398</v>
      </c>
      <c r="AL9556">
        <v>85.2880813380104</v>
      </c>
      <c r="AM9556">
        <v>96.841791855243002</v>
      </c>
      <c r="AN9556">
        <v>1.00000003336231</v>
      </c>
    </row>
    <row r="9557" spans="1:40" x14ac:dyDescent="0.25">
      <c r="A9557" t="str">
        <f>"20190312150911335"</f>
        <v>20190312150911335</v>
      </c>
      <c r="B9557" t="str">
        <f>"1552374551328560"</f>
        <v>1552374551328560</v>
      </c>
      <c r="C9557" t="s">
        <v>40</v>
      </c>
      <c r="D9557">
        <v>4.6819870000000003</v>
      </c>
      <c r="E9557">
        <v>0.50043789999999999</v>
      </c>
      <c r="F9557" t="s">
        <v>89</v>
      </c>
      <c r="G9557">
        <v>-228.4066</v>
      </c>
      <c r="H9557" s="1">
        <v>-2.9834390000000001E-6</v>
      </c>
      <c r="I9557">
        <v>-61.548389999999998</v>
      </c>
      <c r="J9557">
        <v>-265.89319999999998</v>
      </c>
      <c r="K9557">
        <v>1.1129659999999999</v>
      </c>
      <c r="L9557">
        <v>-61.954590000000003</v>
      </c>
      <c r="M9557">
        <v>0.99405200000000005</v>
      </c>
      <c r="N9557">
        <v>0</v>
      </c>
      <c r="O9557">
        <v>-0.1084328</v>
      </c>
      <c r="P9557">
        <v>0.99735280000000004</v>
      </c>
      <c r="Q9557">
        <v>7.2216530000000001E-2</v>
      </c>
      <c r="R9557">
        <v>8.5125849999999996E-3</v>
      </c>
      <c r="S9557">
        <v>3.0143740000000001</v>
      </c>
      <c r="T9557">
        <v>-8.9173909999999995E-2</v>
      </c>
      <c r="U9557">
        <v>3.1494139999999997E-2</v>
      </c>
      <c r="V9557">
        <v>-0.1171648</v>
      </c>
      <c r="W9557">
        <v>8.1486690000000001E-2</v>
      </c>
      <c r="X9557">
        <v>0.98976379999999997</v>
      </c>
      <c r="Y9557">
        <v>-0.11871900000000001</v>
      </c>
      <c r="Z9557">
        <v>4.9584379999999999E-3</v>
      </c>
      <c r="AA9557">
        <v>0.99291549999999995</v>
      </c>
      <c r="AB9557">
        <v>28</v>
      </c>
      <c r="AC9557">
        <v>37.486599999999903</v>
      </c>
      <c r="AD9557">
        <v>-1.112968983439</v>
      </c>
      <c r="AE9557">
        <v>0.40619999999999801</v>
      </c>
      <c r="AF9557">
        <v>-4.4648557249204597</v>
      </c>
      <c r="AG9557">
        <v>-1.112968983439</v>
      </c>
      <c r="AH9557">
        <v>37.188722926305502</v>
      </c>
      <c r="AI9557">
        <v>91.701997773026093</v>
      </c>
      <c r="AJ9557">
        <v>96.846128390291199</v>
      </c>
      <c r="AK9557">
        <v>37.472319777296597</v>
      </c>
      <c r="AL9557">
        <v>85.325974279110696</v>
      </c>
      <c r="AM9557">
        <v>96.751058104631298</v>
      </c>
      <c r="AN9557">
        <v>1.0000000253983099</v>
      </c>
    </row>
    <row r="9558" spans="1:40" x14ac:dyDescent="0.25">
      <c r="A9558" t="str">
        <f>"20190312150911347"</f>
        <v>20190312150911347</v>
      </c>
      <c r="B9558" t="str">
        <f>"1552374551339296"</f>
        <v>1552374551339296</v>
      </c>
      <c r="C9558" t="s">
        <v>40</v>
      </c>
      <c r="D9558">
        <v>4.3319109999999998</v>
      </c>
      <c r="E9558">
        <v>0.50043789999999999</v>
      </c>
      <c r="F9558" t="s">
        <v>89</v>
      </c>
      <c r="G9558">
        <v>-229.4768</v>
      </c>
      <c r="H9558" s="1">
        <v>-3.3902729999999999E-6</v>
      </c>
      <c r="I9558">
        <v>-61.554940000000002</v>
      </c>
      <c r="J9558">
        <v>-265.74610000000001</v>
      </c>
      <c r="K9558">
        <v>1.112967</v>
      </c>
      <c r="L9558">
        <v>-61.96875</v>
      </c>
      <c r="M9558">
        <v>0.99426159999999997</v>
      </c>
      <c r="N9558">
        <v>0</v>
      </c>
      <c r="O9558">
        <v>-0.1064928</v>
      </c>
      <c r="P9558">
        <v>0.99738599999999999</v>
      </c>
      <c r="Q9558">
        <v>7.1695399999999895E-2</v>
      </c>
      <c r="R9558">
        <v>9.0083149999999994E-3</v>
      </c>
      <c r="S9558">
        <v>3.0143430000000002</v>
      </c>
      <c r="T9558">
        <v>-9.2125180000000001E-2</v>
      </c>
      <c r="U9558">
        <v>3.3081050000000001E-2</v>
      </c>
      <c r="V9558">
        <v>-0.1157258</v>
      </c>
      <c r="W9558">
        <v>8.098052E-2</v>
      </c>
      <c r="X9558">
        <v>0.98997460000000004</v>
      </c>
      <c r="Y9558">
        <v>-0.117299</v>
      </c>
      <c r="Z9558">
        <v>5.0417959999999899E-3</v>
      </c>
      <c r="AA9558">
        <v>0.99308379999999996</v>
      </c>
      <c r="AB9558">
        <v>28</v>
      </c>
      <c r="AC9558">
        <v>36.269300000000001</v>
      </c>
      <c r="AD9558">
        <v>-1.1129703902729999</v>
      </c>
      <c r="AE9558">
        <v>0.41380999999999801</v>
      </c>
      <c r="AF9558">
        <v>-4.2700547862241702</v>
      </c>
      <c r="AG9558">
        <v>-1.1129703902729999</v>
      </c>
      <c r="AH9558">
        <v>35.985081375148503</v>
      </c>
      <c r="AI9558">
        <v>91.759182962912803</v>
      </c>
      <c r="AJ9558">
        <v>96.767177101722893</v>
      </c>
      <c r="AK9558">
        <v>36.254629394644802</v>
      </c>
      <c r="AL9558">
        <v>85.355071762735705</v>
      </c>
      <c r="AM9558">
        <v>96.667486817309893</v>
      </c>
      <c r="AN9558">
        <v>1.00000000702513</v>
      </c>
    </row>
    <row r="9559" spans="1:40" x14ac:dyDescent="0.25">
      <c r="A9559" t="str">
        <f>"20190312150911357"</f>
        <v>20190312150911357</v>
      </c>
      <c r="B9559" t="str">
        <f>"1552374551349056"</f>
        <v>1552374551349056</v>
      </c>
      <c r="C9559" t="s">
        <v>40</v>
      </c>
      <c r="D9559">
        <v>4.4303269999999904</v>
      </c>
      <c r="E9559">
        <v>0.45976030000000001</v>
      </c>
      <c r="F9559" t="s">
        <v>89</v>
      </c>
      <c r="G9559">
        <v>-229.9436</v>
      </c>
      <c r="H9559" s="1">
        <v>-3.5496049999999998E-6</v>
      </c>
      <c r="I9559">
        <v>-61.558430000000001</v>
      </c>
      <c r="J9559">
        <v>-265.60910000000001</v>
      </c>
      <c r="K9559">
        <v>1.112967</v>
      </c>
      <c r="L9559">
        <v>-61.981569999999998</v>
      </c>
      <c r="M9559">
        <v>0.99445340000000004</v>
      </c>
      <c r="N9559">
        <v>0</v>
      </c>
      <c r="O9559">
        <v>-0.1046864</v>
      </c>
      <c r="P9559">
        <v>0.99743340000000003</v>
      </c>
      <c r="Q9559">
        <v>7.0973140000000004E-2</v>
      </c>
      <c r="R9559">
        <v>9.4523430000000002E-3</v>
      </c>
      <c r="S9559">
        <v>3.0142820000000001</v>
      </c>
      <c r="T9559">
        <v>-9.3703149999999999E-2</v>
      </c>
      <c r="U9559">
        <v>3.4545899999999997E-2</v>
      </c>
      <c r="V9559">
        <v>-0.1143675</v>
      </c>
      <c r="W9559">
        <v>8.0272350000000006E-2</v>
      </c>
      <c r="X9559">
        <v>0.99019009999999996</v>
      </c>
      <c r="Y9559">
        <v>-0.1159755</v>
      </c>
      <c r="Z9559">
        <v>5.0517390000000004E-3</v>
      </c>
      <c r="AA9559">
        <v>0.99323919999999999</v>
      </c>
      <c r="AB9559">
        <v>28</v>
      </c>
      <c r="AC9559">
        <v>35.665500000000002</v>
      </c>
      <c r="AD9559">
        <v>-1.112970549605</v>
      </c>
      <c r="AE9559">
        <v>0.42313999999999602</v>
      </c>
      <c r="AF9559">
        <v>-4.1506588326713896</v>
      </c>
      <c r="AG9559">
        <v>-1.112970549605</v>
      </c>
      <c r="AH9559">
        <v>35.390749859688</v>
      </c>
      <c r="AI9559">
        <v>91.788994104739899</v>
      </c>
      <c r="AJ9559">
        <v>96.689142722162401</v>
      </c>
      <c r="AK9559">
        <v>35.6506921085766</v>
      </c>
      <c r="AL9559">
        <v>85.395779433050606</v>
      </c>
      <c r="AM9559">
        <v>96.588499792280501</v>
      </c>
      <c r="AN9559">
        <v>1.00000000468439</v>
      </c>
    </row>
    <row r="9560" spans="1:40" x14ac:dyDescent="0.25">
      <c r="A9560" t="str">
        <f>"20190312150911368"</f>
        <v>20190312150911368</v>
      </c>
      <c r="B9560" t="str">
        <f>"1552374551358816"</f>
        <v>1552374551358816</v>
      </c>
      <c r="C9560" t="s">
        <v>40</v>
      </c>
      <c r="D9560">
        <v>4.2974480000000002</v>
      </c>
      <c r="E9560">
        <v>0.45480150000000003</v>
      </c>
      <c r="F9560" t="s">
        <v>87</v>
      </c>
      <c r="G9560">
        <v>-243.19589999999999</v>
      </c>
      <c r="H9560" s="1">
        <v>-5.5257680000000003E-7</v>
      </c>
      <c r="I9560">
        <v>-59.287700000000001</v>
      </c>
      <c r="J9560">
        <v>-265.48020000000002</v>
      </c>
      <c r="K9560">
        <v>1.112967</v>
      </c>
      <c r="L9560">
        <v>-61.993470000000002</v>
      </c>
      <c r="M9560">
        <v>0.99463060000000003</v>
      </c>
      <c r="N9560">
        <v>0</v>
      </c>
      <c r="O9560">
        <v>-0.1029873</v>
      </c>
      <c r="P9560">
        <v>0.9974691</v>
      </c>
      <c r="Q9560">
        <v>7.0403699999999902E-2</v>
      </c>
      <c r="R9560">
        <v>9.9427230000000005E-3</v>
      </c>
      <c r="S9560">
        <v>3.0149840000000001</v>
      </c>
      <c r="T9560">
        <v>-0.14971419999999999</v>
      </c>
      <c r="U9560">
        <v>0.36236570000000001</v>
      </c>
      <c r="V9560">
        <v>-0.11316279999999999</v>
      </c>
      <c r="W9560">
        <v>7.9715750000000002E-2</v>
      </c>
      <c r="X9560">
        <v>0.99037339999999996</v>
      </c>
      <c r="Y9560">
        <v>-0.2205578</v>
      </c>
      <c r="Z9560">
        <v>1.0547050000000001E-2</v>
      </c>
      <c r="AA9560">
        <v>0.97531690000000004</v>
      </c>
      <c r="AB9560">
        <v>28</v>
      </c>
      <c r="AC9560">
        <v>22.284300000000002</v>
      </c>
      <c r="AD9560">
        <v>-1.1129675525767999</v>
      </c>
      <c r="AE9560">
        <v>2.70576999999999</v>
      </c>
      <c r="AF9560">
        <v>-4.9742722189511603</v>
      </c>
      <c r="AG9560">
        <v>-1.1129675525767999</v>
      </c>
      <c r="AH9560">
        <v>21.833450140613099</v>
      </c>
      <c r="AI9560">
        <v>92.845359557952193</v>
      </c>
      <c r="AJ9560">
        <v>102.834516950067</v>
      </c>
      <c r="AK9560">
        <v>22.4205625693013</v>
      </c>
      <c r="AL9560">
        <v>85.427772522035895</v>
      </c>
      <c r="AM9560">
        <v>96.518503628710505</v>
      </c>
      <c r="AN9560">
        <v>0.99999994576472895</v>
      </c>
    </row>
    <row r="9561" spans="1:40" x14ac:dyDescent="0.25">
      <c r="A9561" t="str">
        <f>"20190312150911380"</f>
        <v>20190312150911380</v>
      </c>
      <c r="B9561" t="str">
        <f>"1552374551369553"</f>
        <v>1552374551369553</v>
      </c>
      <c r="C9561" t="s">
        <v>40</v>
      </c>
      <c r="D9561">
        <v>4.3768219999999998</v>
      </c>
      <c r="E9561">
        <v>0.45246399999999998</v>
      </c>
      <c r="F9561" t="s">
        <v>87</v>
      </c>
      <c r="G9561">
        <v>-246.51759999999999</v>
      </c>
      <c r="H9561" s="1">
        <v>-1.948507E-6</v>
      </c>
      <c r="I9561">
        <v>-59.451720000000002</v>
      </c>
      <c r="J9561">
        <v>-265.33510000000001</v>
      </c>
      <c r="K9561">
        <v>1.1129659999999999</v>
      </c>
      <c r="L9561">
        <v>-62.00656</v>
      </c>
      <c r="M9561">
        <v>0.99482680000000001</v>
      </c>
      <c r="N9561">
        <v>0</v>
      </c>
      <c r="O9561">
        <v>-0.10107579999999999</v>
      </c>
      <c r="P9561">
        <v>0.99751279999999998</v>
      </c>
      <c r="Q9561">
        <v>6.9714609999999996E-2</v>
      </c>
      <c r="R9561">
        <v>1.041161E-2</v>
      </c>
      <c r="S9561">
        <v>3.0160830000000001</v>
      </c>
      <c r="T9561">
        <v>-0.1770226</v>
      </c>
      <c r="U9561">
        <v>0.40426640000000003</v>
      </c>
      <c r="V9561">
        <v>-0.11172459999999999</v>
      </c>
      <c r="W9561">
        <v>7.9042210000000002E-2</v>
      </c>
      <c r="X9561">
        <v>0.99059070000000005</v>
      </c>
      <c r="Y9561">
        <v>-0.2317893</v>
      </c>
      <c r="Z9561">
        <v>1.266988E-2</v>
      </c>
      <c r="AA9561">
        <v>0.97268350000000003</v>
      </c>
      <c r="AB9561">
        <v>28</v>
      </c>
      <c r="AC9561">
        <v>18.817499999999999</v>
      </c>
      <c r="AD9561">
        <v>-1.1129679485070001</v>
      </c>
      <c r="AE9561">
        <v>2.55484</v>
      </c>
      <c r="AF9561">
        <v>-4.4286350095833296</v>
      </c>
      <c r="AG9561">
        <v>-1.1129679485070001</v>
      </c>
      <c r="AH9561">
        <v>18.3996743548553</v>
      </c>
      <c r="AI9561">
        <v>93.365629686613502</v>
      </c>
      <c r="AJ9561">
        <v>103.533159552439</v>
      </c>
      <c r="AK9561">
        <v>18.957835373988001</v>
      </c>
      <c r="AL9561">
        <v>85.466485911729905</v>
      </c>
      <c r="AM9561">
        <v>96.434958716011394</v>
      </c>
      <c r="AN9561">
        <v>0.99999999606666701</v>
      </c>
    </row>
    <row r="9562" spans="1:40" x14ac:dyDescent="0.25">
      <c r="A9562" t="str">
        <f>"20190312150911392"</f>
        <v>20190312150911392</v>
      </c>
      <c r="B9562" t="str">
        <f>"1552374551389073"</f>
        <v>1552374551389073</v>
      </c>
      <c r="C9562" t="s">
        <v>40</v>
      </c>
      <c r="D9562">
        <v>4.367553</v>
      </c>
      <c r="E9562">
        <v>0.4496637</v>
      </c>
      <c r="F9562" t="s">
        <v>87</v>
      </c>
      <c r="G9562">
        <v>-248.74010000000001</v>
      </c>
      <c r="H9562" s="1">
        <v>-2.8635880000000001E-6</v>
      </c>
      <c r="I9562">
        <v>-59.667839999999998</v>
      </c>
      <c r="J9562">
        <v>-265.1934</v>
      </c>
      <c r="K9562">
        <v>1.1129629999999999</v>
      </c>
      <c r="L9562">
        <v>-62.019039999999997</v>
      </c>
      <c r="M9562">
        <v>0.99501459999999997</v>
      </c>
      <c r="N9562">
        <v>0</v>
      </c>
      <c r="O9562">
        <v>-9.9209290000000006E-2</v>
      </c>
      <c r="P9562">
        <v>0.99755309999999997</v>
      </c>
      <c r="Q9562">
        <v>6.9086579999999995E-2</v>
      </c>
      <c r="R9562">
        <v>1.072709E-2</v>
      </c>
      <c r="S9562">
        <v>3.0172119999999998</v>
      </c>
      <c r="T9562">
        <v>-0.20235339999999999</v>
      </c>
      <c r="U9562">
        <v>0.42520140000000001</v>
      </c>
      <c r="V9562">
        <v>-0.1101786</v>
      </c>
      <c r="W9562">
        <v>7.8429960000000007E-2</v>
      </c>
      <c r="X9562">
        <v>0.99081249999999998</v>
      </c>
      <c r="Y9562">
        <v>-0.2363603</v>
      </c>
      <c r="Z9562">
        <v>1.449549E-2</v>
      </c>
      <c r="AA9562">
        <v>0.97155740000000002</v>
      </c>
      <c r="AB9562">
        <v>28</v>
      </c>
      <c r="AC9562">
        <v>16.453299999999899</v>
      </c>
      <c r="AD9562">
        <v>-1.112965863588</v>
      </c>
      <c r="AE9562">
        <v>2.3511999999999902</v>
      </c>
      <c r="AF9562">
        <v>-3.95427254256898</v>
      </c>
      <c r="AG9562">
        <v>-1.112965863588</v>
      </c>
      <c r="AH9562">
        <v>16.066802086197001</v>
      </c>
      <c r="AI9562">
        <v>93.848142861306201</v>
      </c>
      <c r="AJ9562">
        <v>103.826523966175</v>
      </c>
      <c r="AK9562">
        <v>16.583639336148501</v>
      </c>
      <c r="AL9562">
        <v>85.501674497789395</v>
      </c>
      <c r="AM9562">
        <v>96.345236825934094</v>
      </c>
      <c r="AN9562">
        <v>0.999999996339905</v>
      </c>
    </row>
    <row r="9563" spans="1:40" x14ac:dyDescent="0.25">
      <c r="A9563" t="str">
        <f>"20190312150911402"</f>
        <v>20190312150911402</v>
      </c>
      <c r="B9563" t="str">
        <f>"1552374551398833"</f>
        <v>1552374551398833</v>
      </c>
      <c r="C9563" t="s">
        <v>40</v>
      </c>
      <c r="D9563">
        <v>4.371359</v>
      </c>
      <c r="E9563">
        <v>0.44896039999999998</v>
      </c>
      <c r="F9563" t="s">
        <v>87</v>
      </c>
      <c r="G9563">
        <v>-248.12190000000001</v>
      </c>
      <c r="H9563" s="1">
        <v>-2.6312950000000002E-6</v>
      </c>
      <c r="I9563">
        <v>-59.482410000000002</v>
      </c>
      <c r="J9563">
        <v>-265.05079999999998</v>
      </c>
      <c r="K9563">
        <v>1.1129610000000001</v>
      </c>
      <c r="L9563">
        <v>-62.031460000000003</v>
      </c>
      <c r="M9563">
        <v>0.99519979999999997</v>
      </c>
      <c r="N9563">
        <v>0</v>
      </c>
      <c r="O9563">
        <v>-9.7333779999999995E-2</v>
      </c>
      <c r="P9563">
        <v>0.99757110000000004</v>
      </c>
      <c r="Q9563">
        <v>6.8729449999999997E-2</v>
      </c>
      <c r="R9563">
        <v>1.132295E-2</v>
      </c>
      <c r="S9563">
        <v>3.0161129999999998</v>
      </c>
      <c r="T9563">
        <v>-0.19663430000000001</v>
      </c>
      <c r="U9563">
        <v>0.44815060000000001</v>
      </c>
      <c r="V9563">
        <v>-0.108903</v>
      </c>
      <c r="W9563">
        <v>7.8086729999999993E-2</v>
      </c>
      <c r="X9563">
        <v>0.99098059999999999</v>
      </c>
      <c r="Y9563">
        <v>-0.24184919999999999</v>
      </c>
      <c r="Z9563">
        <v>1.4141000000000001E-2</v>
      </c>
      <c r="AA9563">
        <v>0.97021080000000004</v>
      </c>
      <c r="AB9563">
        <v>28</v>
      </c>
      <c r="AC9563">
        <v>16.928899999999899</v>
      </c>
      <c r="AD9563">
        <v>-1.112963631295</v>
      </c>
      <c r="AE9563">
        <v>2.5490499999999998</v>
      </c>
      <c r="AF9563">
        <v>-4.1671724049488299</v>
      </c>
      <c r="AG9563">
        <v>-1.112963631295</v>
      </c>
      <c r="AH9563">
        <v>16.530524087537501</v>
      </c>
      <c r="AI9563">
        <v>93.735272802297402</v>
      </c>
      <c r="AJ9563">
        <v>104.148867938446</v>
      </c>
      <c r="AK9563">
        <v>17.083976132792099</v>
      </c>
      <c r="AL9563">
        <v>85.521400531274594</v>
      </c>
      <c r="AM9563">
        <v>96.271307842301695</v>
      </c>
      <c r="AN9563">
        <v>0.99999997519372597</v>
      </c>
    </row>
    <row r="9564" spans="1:40" x14ac:dyDescent="0.25">
      <c r="A9564" t="str">
        <f>"20190312150911415"</f>
        <v>20190312150911415</v>
      </c>
      <c r="B9564" t="str">
        <f>"1552374551408593"</f>
        <v>1552374551408593</v>
      </c>
      <c r="C9564" t="s">
        <v>40</v>
      </c>
      <c r="D9564">
        <v>4.3592959999999996</v>
      </c>
      <c r="E9564">
        <v>0.44841409999999998</v>
      </c>
      <c r="F9564" t="s">
        <v>87</v>
      </c>
      <c r="G9564">
        <v>-247.79230000000001</v>
      </c>
      <c r="H9564" s="1">
        <v>-2.4999730000000001E-6</v>
      </c>
      <c r="I9564">
        <v>-59.425649999999997</v>
      </c>
      <c r="J9564">
        <v>-264.90980000000002</v>
      </c>
      <c r="K9564">
        <v>1.1129599999999999</v>
      </c>
      <c r="L9564">
        <v>-62.043300000000002</v>
      </c>
      <c r="M9564">
        <v>0.99537920000000002</v>
      </c>
      <c r="N9564">
        <v>0</v>
      </c>
      <c r="O9564">
        <v>-9.5481769999999994E-2</v>
      </c>
      <c r="P9564">
        <v>0.99761699999999998</v>
      </c>
      <c r="Q9564">
        <v>6.7968920000000002E-2</v>
      </c>
      <c r="R9564">
        <v>1.187036E-2</v>
      </c>
      <c r="S9564">
        <v>3.0155029999999998</v>
      </c>
      <c r="T9564">
        <v>-0.19446330000000001</v>
      </c>
      <c r="U9564">
        <v>0.45529170000000002</v>
      </c>
      <c r="V9564">
        <v>-0.10760160000000001</v>
      </c>
      <c r="W9564">
        <v>7.7340850000000003E-2</v>
      </c>
      <c r="X9564">
        <v>0.99118130000000004</v>
      </c>
      <c r="Y9564">
        <v>-0.24233789999999999</v>
      </c>
      <c r="Z9564">
        <v>1.3882729999999999E-2</v>
      </c>
      <c r="AA9564">
        <v>0.97009259999999997</v>
      </c>
      <c r="AB9564">
        <v>28</v>
      </c>
      <c r="AC9564">
        <v>17.1175</v>
      </c>
      <c r="AD9564">
        <v>-1.1129624999729999</v>
      </c>
      <c r="AE9564">
        <v>2.6176499999999998</v>
      </c>
      <c r="AF9564">
        <v>-4.2227393778864597</v>
      </c>
      <c r="AG9564">
        <v>-1.1129624999729999</v>
      </c>
      <c r="AH9564">
        <v>16.720265108203701</v>
      </c>
      <c r="AI9564">
        <v>93.692595137618099</v>
      </c>
      <c r="AJ9564">
        <v>104.173787952827</v>
      </c>
      <c r="AK9564">
        <v>17.281130711516401</v>
      </c>
      <c r="AL9564">
        <v>85.564266236790402</v>
      </c>
      <c r="AM9564">
        <v>96.195706720525394</v>
      </c>
      <c r="AN9564">
        <v>1.0000000404354801</v>
      </c>
    </row>
    <row r="9565" spans="1:40" x14ac:dyDescent="0.25">
      <c r="A9565" t="str">
        <f>"20190312150911426"</f>
        <v>20190312150911426</v>
      </c>
      <c r="B9565" t="str">
        <f>"1552374551419328"</f>
        <v>1552374551419328</v>
      </c>
      <c r="C9565" t="s">
        <v>40</v>
      </c>
      <c r="D9565">
        <v>4.4312060000000004</v>
      </c>
      <c r="E9565">
        <v>0.44764799999999899</v>
      </c>
      <c r="F9565" t="s">
        <v>87</v>
      </c>
      <c r="G9565">
        <v>-247.68950000000001</v>
      </c>
      <c r="H9565" s="1">
        <v>-2.458713E-6</v>
      </c>
      <c r="I9565">
        <v>-59.409480000000002</v>
      </c>
      <c r="J9565">
        <v>-264.77249999999998</v>
      </c>
      <c r="K9565">
        <v>1.112954</v>
      </c>
      <c r="L9565">
        <v>-62.054749999999999</v>
      </c>
      <c r="M9565">
        <v>0.99555039999999995</v>
      </c>
      <c r="N9565">
        <v>0</v>
      </c>
      <c r="O9565">
        <v>-9.3678629999999999E-2</v>
      </c>
      <c r="P9565">
        <v>0.99762890000000004</v>
      </c>
      <c r="Q9565">
        <v>6.7651520000000007E-2</v>
      </c>
      <c r="R9565">
        <v>1.264262E-2</v>
      </c>
      <c r="S9565">
        <v>3.0149539999999999</v>
      </c>
      <c r="T9565">
        <v>-0.19485859999999999</v>
      </c>
      <c r="U9565">
        <v>0.46112059999999999</v>
      </c>
      <c r="V9565">
        <v>-0.1065724</v>
      </c>
      <c r="W9565">
        <v>7.7035629999999994E-2</v>
      </c>
      <c r="X9565">
        <v>0.99131619999999998</v>
      </c>
      <c r="Y9565">
        <v>-0.24244089999999999</v>
      </c>
      <c r="Z9565">
        <v>1.379906E-2</v>
      </c>
      <c r="AA9565">
        <v>0.97006800000000004</v>
      </c>
      <c r="AB9565">
        <v>28</v>
      </c>
      <c r="AC9565">
        <v>17.082999999999899</v>
      </c>
      <c r="AD9565">
        <v>-1.1129564587129901</v>
      </c>
      <c r="AE9565">
        <v>2.6452699999999898</v>
      </c>
      <c r="AF9565">
        <v>-4.2165530825304698</v>
      </c>
      <c r="AG9565">
        <v>-1.1129564587129901</v>
      </c>
      <c r="AH9565">
        <v>16.690865674685099</v>
      </c>
      <c r="AI9565">
        <v>93.698996244601204</v>
      </c>
      <c r="AJ9565">
        <v>104.17778475614</v>
      </c>
      <c r="AK9565">
        <v>17.251173552752</v>
      </c>
      <c r="AL9565">
        <v>85.581806145828693</v>
      </c>
      <c r="AM9565">
        <v>96.136070936236294</v>
      </c>
      <c r="AN9565">
        <v>0.99999998655684796</v>
      </c>
    </row>
    <row r="9566" spans="1:40" x14ac:dyDescent="0.25">
      <c r="A9566" t="str">
        <f>"20190312150911436"</f>
        <v>20190312150911436</v>
      </c>
      <c r="B9566" t="str">
        <f>"1552374551429088"</f>
        <v>1552374551429088</v>
      </c>
      <c r="C9566" t="s">
        <v>40</v>
      </c>
      <c r="D9566">
        <v>4.414104</v>
      </c>
      <c r="E9566">
        <v>0.44747379999999998</v>
      </c>
      <c r="F9566" t="s">
        <v>87</v>
      </c>
      <c r="G9566">
        <v>-248.83969999999999</v>
      </c>
      <c r="H9566" s="1">
        <v>-2.9234689999999998E-6</v>
      </c>
      <c r="I9566">
        <v>-59.571240000000003</v>
      </c>
      <c r="J9566">
        <v>-264.63279999999997</v>
      </c>
      <c r="K9566">
        <v>1.112951</v>
      </c>
      <c r="L9566">
        <v>-62.065980000000003</v>
      </c>
      <c r="M9566">
        <v>0.99572070000000001</v>
      </c>
      <c r="N9566">
        <v>0</v>
      </c>
      <c r="O9566">
        <v>-9.1850230000000005E-2</v>
      </c>
      <c r="P9566">
        <v>0.99766220000000005</v>
      </c>
      <c r="Q9566">
        <v>6.7034239999999995E-2</v>
      </c>
      <c r="R9566">
        <v>1.3285440000000001E-2</v>
      </c>
      <c r="S9566">
        <v>3.015533</v>
      </c>
      <c r="T9566">
        <v>-0.2106451</v>
      </c>
      <c r="U9566">
        <v>0.4700317</v>
      </c>
      <c r="V9566">
        <v>-0.10538930000000001</v>
      </c>
      <c r="W9566">
        <v>7.6431830000000006E-2</v>
      </c>
      <c r="X9566">
        <v>0.99148939999999997</v>
      </c>
      <c r="Y9566">
        <v>-0.2433187</v>
      </c>
      <c r="Z9566">
        <v>1.481207E-2</v>
      </c>
      <c r="AA9566">
        <v>0.96983330000000001</v>
      </c>
      <c r="AB9566">
        <v>28</v>
      </c>
      <c r="AC9566">
        <v>15.7930999999999</v>
      </c>
      <c r="AD9566">
        <v>-1.112953923469</v>
      </c>
      <c r="AE9566">
        <v>2.4947400000000002</v>
      </c>
      <c r="AF9566">
        <v>-3.9158949228490698</v>
      </c>
      <c r="AG9566">
        <v>-1.112953923469</v>
      </c>
      <c r="AH9566">
        <v>15.4224530692145</v>
      </c>
      <c r="AI9566">
        <v>94.001040849894807</v>
      </c>
      <c r="AJ9566">
        <v>104.24682690891601</v>
      </c>
      <c r="AK9566">
        <v>15.9507040018516</v>
      </c>
      <c r="AL9566">
        <v>85.616503609984505</v>
      </c>
      <c r="AM9566">
        <v>96.067411061320399</v>
      </c>
      <c r="AN9566">
        <v>0.99999997975199895</v>
      </c>
    </row>
    <row r="9567" spans="1:40" x14ac:dyDescent="0.25">
      <c r="A9567" t="str">
        <f>"20190312150911447"</f>
        <v>20190312150911447</v>
      </c>
      <c r="B9567" t="str">
        <f>"1552374551438848"</f>
        <v>1552374551438848</v>
      </c>
      <c r="C9567" t="s">
        <v>40</v>
      </c>
      <c r="D9567">
        <v>4.3629810000000004</v>
      </c>
      <c r="E9567">
        <v>0.44731130000000002</v>
      </c>
      <c r="F9567" t="s">
        <v>87</v>
      </c>
      <c r="G9567">
        <v>-249.61369999999999</v>
      </c>
      <c r="H9567" s="1">
        <v>-3.231327E-6</v>
      </c>
      <c r="I9567">
        <v>-59.707450000000001</v>
      </c>
      <c r="J9567">
        <v>-264.49650000000003</v>
      </c>
      <c r="K9567">
        <v>1.112948</v>
      </c>
      <c r="L9567">
        <v>-62.076810000000002</v>
      </c>
      <c r="M9567">
        <v>0.99588319999999997</v>
      </c>
      <c r="N9567">
        <v>0</v>
      </c>
      <c r="O9567">
        <v>-9.0070230000000001E-2</v>
      </c>
      <c r="P9567">
        <v>0.9976737</v>
      </c>
      <c r="Q9567">
        <v>6.6713209999999995E-2</v>
      </c>
      <c r="R9567">
        <v>1.4014189999999999E-2</v>
      </c>
      <c r="S9567">
        <v>3.0157780000000001</v>
      </c>
      <c r="T9567">
        <v>-0.22347710000000001</v>
      </c>
      <c r="U9567">
        <v>0.47357179999999999</v>
      </c>
      <c r="V9567">
        <v>-0.1043398</v>
      </c>
      <c r="W9567">
        <v>7.6123739999999995E-2</v>
      </c>
      <c r="X9567">
        <v>0.99162410000000001</v>
      </c>
      <c r="Y9567">
        <v>-0.24259140000000001</v>
      </c>
      <c r="Z9567">
        <v>1.555172E-2</v>
      </c>
      <c r="AA9567">
        <v>0.97000390000000003</v>
      </c>
      <c r="AB9567">
        <v>28</v>
      </c>
      <c r="AC9567">
        <v>14.8828</v>
      </c>
      <c r="AD9567">
        <v>-1.112951231327</v>
      </c>
      <c r="AE9567">
        <v>2.3693599999999901</v>
      </c>
      <c r="AF9567">
        <v>-3.6802236299701399</v>
      </c>
      <c r="AG9567">
        <v>-1.112951231327</v>
      </c>
      <c r="AH9567">
        <v>14.5296371694154</v>
      </c>
      <c r="AI9567">
        <v>94.246635847837695</v>
      </c>
      <c r="AJ9567">
        <v>104.213564207277</v>
      </c>
      <c r="AK9567">
        <v>15.0297392753421</v>
      </c>
      <c r="AL9567">
        <v>85.634207475673605</v>
      </c>
      <c r="AM9567">
        <v>96.0066238389077</v>
      </c>
      <c r="AN9567">
        <v>0.99999998667821799</v>
      </c>
    </row>
    <row r="9568" spans="1:40" x14ac:dyDescent="0.25">
      <c r="A9568" t="str">
        <f>"20190312150911458"</f>
        <v>20190312150911458</v>
      </c>
      <c r="B9568" t="str">
        <f>"1552374551448608"</f>
        <v>1552374551448608</v>
      </c>
      <c r="C9568" t="s">
        <v>40</v>
      </c>
      <c r="D9568">
        <v>4.4018579999999998</v>
      </c>
      <c r="E9568">
        <v>0.44699620000000001</v>
      </c>
      <c r="F9568" t="s">
        <v>87</v>
      </c>
      <c r="G9568">
        <v>-249.40129999999999</v>
      </c>
      <c r="H9568" s="1">
        <v>-3.143599E-6</v>
      </c>
      <c r="I9568">
        <v>-59.688429999999997</v>
      </c>
      <c r="J9568">
        <v>-264.35520000000002</v>
      </c>
      <c r="K9568">
        <v>1.112949</v>
      </c>
      <c r="L9568">
        <v>-62.087710000000001</v>
      </c>
      <c r="M9568">
        <v>0.99604820000000005</v>
      </c>
      <c r="N9568">
        <v>0</v>
      </c>
      <c r="O9568">
        <v>-8.8228479999999998E-2</v>
      </c>
      <c r="P9568">
        <v>0.99766909999999998</v>
      </c>
      <c r="Q9568">
        <v>6.6606929999999995E-2</v>
      </c>
      <c r="R9568">
        <v>1.4839069999999999E-2</v>
      </c>
      <c r="S9568">
        <v>3.0151669999999999</v>
      </c>
      <c r="T9568">
        <v>-0.22230449999999999</v>
      </c>
      <c r="U9568">
        <v>0.4770508</v>
      </c>
      <c r="V9568">
        <v>-0.10332479999999999</v>
      </c>
      <c r="W9568">
        <v>7.6029609999999997E-2</v>
      </c>
      <c r="X9568">
        <v>0.9917376</v>
      </c>
      <c r="Y9568">
        <v>-0.24193580000000001</v>
      </c>
      <c r="Z9568">
        <v>1.53132999999999E-2</v>
      </c>
      <c r="AA9568">
        <v>0.97017149999999996</v>
      </c>
      <c r="AB9568">
        <v>28</v>
      </c>
      <c r="AC9568">
        <v>14.953900000000001</v>
      </c>
      <c r="AD9568">
        <v>-1.112952143599</v>
      </c>
      <c r="AE9568">
        <v>2.3992799999999899</v>
      </c>
      <c r="AF9568">
        <v>-3.6894273096218502</v>
      </c>
      <c r="AG9568">
        <v>-1.112952143599</v>
      </c>
      <c r="AH9568">
        <v>14.605012641954399</v>
      </c>
      <c r="AI9568">
        <v>94.2254798798499</v>
      </c>
      <c r="AJ9568">
        <v>104.177105268727</v>
      </c>
      <c r="AK9568">
        <v>15.1048644687258</v>
      </c>
      <c r="AL9568">
        <v>85.639616424087194</v>
      </c>
      <c r="AM9568">
        <v>95.947937527798899</v>
      </c>
      <c r="AN9568">
        <v>0.99999999157277597</v>
      </c>
    </row>
    <row r="9569" spans="1:40" x14ac:dyDescent="0.25">
      <c r="A9569" t="str">
        <f>"20190312150911480"</f>
        <v>20190312150911480</v>
      </c>
      <c r="B9569" t="str">
        <f>"1552374551469107"</f>
        <v>1552374551469107</v>
      </c>
      <c r="C9569" t="s">
        <v>40</v>
      </c>
      <c r="D9569">
        <v>4.403016</v>
      </c>
      <c r="E9569">
        <v>0.44655410000000001</v>
      </c>
      <c r="F9569" t="s">
        <v>87</v>
      </c>
      <c r="G9569">
        <v>-249.47399999999999</v>
      </c>
      <c r="H9569" s="1">
        <v>-3.1713419999999999E-6</v>
      </c>
      <c r="I9569">
        <v>-59.707819999999998</v>
      </c>
      <c r="J9569">
        <v>-264.0788</v>
      </c>
      <c r="K9569">
        <v>1.112938</v>
      </c>
      <c r="L9569">
        <v>-62.108400000000003</v>
      </c>
      <c r="M9569">
        <v>0.99635910000000005</v>
      </c>
      <c r="N9569">
        <v>0</v>
      </c>
      <c r="O9569">
        <v>-8.4642270000000006E-2</v>
      </c>
      <c r="P9569">
        <v>0.99766250000000001</v>
      </c>
      <c r="Q9569">
        <v>6.6225259999999994E-2</v>
      </c>
      <c r="R9569">
        <v>1.6850099999999899E-2</v>
      </c>
      <c r="S9569">
        <v>3.0148929999999998</v>
      </c>
      <c r="T9569">
        <v>-0.22548119999999999</v>
      </c>
      <c r="U9569">
        <v>0.4821472</v>
      </c>
      <c r="V9569">
        <v>-0.1017508</v>
      </c>
      <c r="W9569">
        <v>7.5670150000000005E-2</v>
      </c>
      <c r="X9569">
        <v>0.99192780000000003</v>
      </c>
      <c r="Y9569">
        <v>-0.24004629999999999</v>
      </c>
      <c r="Z9569">
        <v>1.5194559999999999E-2</v>
      </c>
      <c r="AA9569">
        <v>0.97064249999999996</v>
      </c>
      <c r="AB9569">
        <v>28</v>
      </c>
      <c r="AC9569">
        <v>14.6047999999999</v>
      </c>
      <c r="AD9569">
        <v>-1.1129411713420001</v>
      </c>
      <c r="AE9569">
        <v>2.4005800000000002</v>
      </c>
      <c r="AF9569">
        <v>-3.6078127462429901</v>
      </c>
      <c r="AG9569">
        <v>-1.1129411713420001</v>
      </c>
      <c r="AH9569">
        <v>14.2685048937776</v>
      </c>
      <c r="AI9569">
        <v>94.324473876810401</v>
      </c>
      <c r="AJ9569">
        <v>104.189907941195</v>
      </c>
      <c r="AK9569">
        <v>14.7595793560175</v>
      </c>
      <c r="AL9569">
        <v>85.660271411168793</v>
      </c>
      <c r="AM9569">
        <v>95.856849010522595</v>
      </c>
      <c r="AN9569">
        <v>0.99999997865725099</v>
      </c>
    </row>
    <row r="9570" spans="1:40" x14ac:dyDescent="0.25">
      <c r="A9570" t="str">
        <f>"20190312150911492"</f>
        <v>20190312150911492</v>
      </c>
      <c r="B9570" t="str">
        <f>"1552374551488626"</f>
        <v>1552374551488626</v>
      </c>
      <c r="C9570" t="s">
        <v>40</v>
      </c>
      <c r="D9570">
        <v>4.3603110000000003</v>
      </c>
      <c r="E9570">
        <v>0.44652589999999998</v>
      </c>
      <c r="F9570" t="s">
        <v>87</v>
      </c>
      <c r="G9570">
        <v>-249.24109999999999</v>
      </c>
      <c r="H9570" s="1">
        <v>-3.0751060000000002E-6</v>
      </c>
      <c r="I9570">
        <v>-59.687069999999999</v>
      </c>
      <c r="J9570">
        <v>-263.93860000000001</v>
      </c>
      <c r="K9570">
        <v>1.112935</v>
      </c>
      <c r="L9570">
        <v>-62.118470000000002</v>
      </c>
      <c r="M9570">
        <v>0.99651089999999998</v>
      </c>
      <c r="N9570">
        <v>0</v>
      </c>
      <c r="O9570">
        <v>-8.2835350000000002E-2</v>
      </c>
      <c r="P9570">
        <v>0.99764750000000002</v>
      </c>
      <c r="Q9570">
        <v>6.6210229999999995E-2</v>
      </c>
      <c r="R9570">
        <v>1.777285E-2</v>
      </c>
      <c r="S9570">
        <v>3.0137330000000002</v>
      </c>
      <c r="T9570">
        <v>-0.2260529</v>
      </c>
      <c r="U9570">
        <v>0.49179079999999997</v>
      </c>
      <c r="V9570">
        <v>-0.10086729999999999</v>
      </c>
      <c r="W9570">
        <v>7.5667289999999998E-2</v>
      </c>
      <c r="X9570">
        <v>0.99201830000000002</v>
      </c>
      <c r="Y9570">
        <v>-0.2413679</v>
      </c>
      <c r="Z9570">
        <v>1.514972E-2</v>
      </c>
      <c r="AA9570">
        <v>0.97031540000000005</v>
      </c>
      <c r="AB9570">
        <v>28</v>
      </c>
      <c r="AC9570">
        <v>14.6975</v>
      </c>
      <c r="AD9570">
        <v>-1.1129380751060001</v>
      </c>
      <c r="AE9570">
        <v>2.4313999999999898</v>
      </c>
      <c r="AF9570">
        <v>-3.6203729624022398</v>
      </c>
      <c r="AG9570">
        <v>-1.1129380751060001</v>
      </c>
      <c r="AH9570">
        <v>14.365390195754699</v>
      </c>
      <c r="AI9570">
        <v>94.296249688103003</v>
      </c>
      <c r="AJ9570">
        <v>104.145148447539</v>
      </c>
      <c r="AK9570">
        <v>14.8563174111958</v>
      </c>
      <c r="AL9570">
        <v>85.660435968268999</v>
      </c>
      <c r="AM9570">
        <v>95.805817002454106</v>
      </c>
      <c r="AN9570">
        <v>1.0000000292600599</v>
      </c>
    </row>
    <row r="9571" spans="1:40" x14ac:dyDescent="0.25">
      <c r="A9571" t="str">
        <f>"20190312150911503"</f>
        <v>20190312150911503</v>
      </c>
      <c r="B9571" t="str">
        <f>"1552374551499360"</f>
        <v>1552374551499360</v>
      </c>
      <c r="C9571" t="s">
        <v>40</v>
      </c>
      <c r="D9571">
        <v>4.3403429999999998</v>
      </c>
      <c r="E9571">
        <v>0.44648710000000003</v>
      </c>
      <c r="F9571" t="s">
        <v>87</v>
      </c>
      <c r="G9571">
        <v>-249.02199999999999</v>
      </c>
      <c r="H9571" s="1">
        <v>-2.9843750000000001E-6</v>
      </c>
      <c r="I9571">
        <v>-59.668719999999901</v>
      </c>
      <c r="J9571">
        <v>-263.79660000000001</v>
      </c>
      <c r="K9571">
        <v>1.112927</v>
      </c>
      <c r="L9571">
        <v>-62.128540000000001</v>
      </c>
      <c r="M9571">
        <v>0.99666109999999997</v>
      </c>
      <c r="N9571">
        <v>0</v>
      </c>
      <c r="O9571">
        <v>-8.101042E-2</v>
      </c>
      <c r="P9571">
        <v>0.99762640000000002</v>
      </c>
      <c r="Q9571">
        <v>6.6166539999999996E-2</v>
      </c>
      <c r="R9571">
        <v>1.908377E-2</v>
      </c>
      <c r="S9571">
        <v>3.0131839999999999</v>
      </c>
      <c r="T9571">
        <v>-0.22481570000000001</v>
      </c>
      <c r="U9571">
        <v>0.49484250000000002</v>
      </c>
      <c r="V9571">
        <v>-0.10035239999999999</v>
      </c>
      <c r="W9571">
        <v>7.5633049999999993E-2</v>
      </c>
      <c r="X9571">
        <v>0.99207310000000004</v>
      </c>
      <c r="Y9571">
        <v>-0.240593</v>
      </c>
      <c r="Z9571">
        <v>1.490472E-2</v>
      </c>
      <c r="AA9571">
        <v>0.97051160000000003</v>
      </c>
      <c r="AB9571">
        <v>28</v>
      </c>
      <c r="AC9571">
        <v>14.7745999999999</v>
      </c>
      <c r="AD9571">
        <v>-1.112929984375</v>
      </c>
      <c r="AE9571">
        <v>2.4598200000000001</v>
      </c>
      <c r="AF9571">
        <v>-3.62865874331517</v>
      </c>
      <c r="AG9571">
        <v>-1.112929984375</v>
      </c>
      <c r="AH9571">
        <v>14.4469891239868</v>
      </c>
      <c r="AI9571">
        <v>94.272898965164003</v>
      </c>
      <c r="AJ9571">
        <v>104.09935049657901</v>
      </c>
      <c r="AK9571">
        <v>14.937244463894601</v>
      </c>
      <c r="AL9571">
        <v>85.662403282461099</v>
      </c>
      <c r="AM9571">
        <v>95.776063898482505</v>
      </c>
      <c r="AN9571">
        <v>0.99999999909083603</v>
      </c>
    </row>
    <row r="9572" spans="1:40" x14ac:dyDescent="0.25">
      <c r="A9572" t="str">
        <f>"20190312150911514"</f>
        <v>20190312150911514</v>
      </c>
      <c r="B9572" t="str">
        <f>"1552374551509123"</f>
        <v>1552374551509123</v>
      </c>
      <c r="C9572" t="s">
        <v>40</v>
      </c>
      <c r="D9572">
        <v>4.3668089999999999</v>
      </c>
      <c r="E9572">
        <v>0.44651000000000002</v>
      </c>
      <c r="F9572" t="s">
        <v>87</v>
      </c>
      <c r="G9572">
        <v>-248.9453</v>
      </c>
      <c r="H9572" s="1">
        <v>-2.951654E-6</v>
      </c>
      <c r="I9572">
        <v>-59.667650000000002</v>
      </c>
      <c r="J9572">
        <v>-263.65309999999999</v>
      </c>
      <c r="K9572">
        <v>1.112914</v>
      </c>
      <c r="L9572">
        <v>-62.138240000000003</v>
      </c>
      <c r="M9572">
        <v>0.99680800000000003</v>
      </c>
      <c r="N9572">
        <v>0</v>
      </c>
      <c r="O9572">
        <v>-7.9181340000000003E-2</v>
      </c>
      <c r="P9572">
        <v>0.9975967</v>
      </c>
      <c r="Q9572">
        <v>6.6179070000000007E-2</v>
      </c>
      <c r="R9572">
        <v>2.052994E-2</v>
      </c>
      <c r="S9572">
        <v>3.0125730000000002</v>
      </c>
      <c r="T9572">
        <v>-0.2257566</v>
      </c>
      <c r="U9572">
        <v>0.49917600000000001</v>
      </c>
      <c r="V9572">
        <v>-9.9968089999999996E-2</v>
      </c>
      <c r="W9572">
        <v>7.5653990000000004E-2</v>
      </c>
      <c r="X9572">
        <v>0.9921103</v>
      </c>
      <c r="Y9572">
        <v>-0.24020150000000001</v>
      </c>
      <c r="Z9572">
        <v>1.481763E-2</v>
      </c>
      <c r="AA9572">
        <v>0.97060999999999997</v>
      </c>
      <c r="AB9572">
        <v>28</v>
      </c>
      <c r="AC9572">
        <v>14.707799999999899</v>
      </c>
      <c r="AD9572">
        <v>-1.1129169516540001</v>
      </c>
      <c r="AE9572">
        <v>2.4705900000000001</v>
      </c>
      <c r="AF9572">
        <v>-3.60738797867368</v>
      </c>
      <c r="AG9572">
        <v>-1.1129169516540001</v>
      </c>
      <c r="AH9572">
        <v>14.385872181418801</v>
      </c>
      <c r="AI9572">
        <v>94.291349584482901</v>
      </c>
      <c r="AJ9572">
        <v>104.077169519623</v>
      </c>
      <c r="AK9572">
        <v>14.872967107812601</v>
      </c>
      <c r="AL9572">
        <v>85.661200049358499</v>
      </c>
      <c r="AM9572">
        <v>95.753878265602694</v>
      </c>
      <c r="AN9572">
        <v>0.99999999629362901</v>
      </c>
    </row>
    <row r="9573" spans="1:40" x14ac:dyDescent="0.25">
      <c r="A9573" t="str">
        <f>"20190312150911525"</f>
        <v>20190312150911525</v>
      </c>
      <c r="B9573" t="str">
        <f>"1552374551518880"</f>
        <v>1552374551518880</v>
      </c>
      <c r="C9573" t="s">
        <v>40</v>
      </c>
      <c r="D9573">
        <v>4.4088669999999999</v>
      </c>
      <c r="E9573">
        <v>0.44643529999999998</v>
      </c>
      <c r="F9573" t="s">
        <v>87</v>
      </c>
      <c r="G9573">
        <v>-248.56880000000001</v>
      </c>
      <c r="H9573" s="1">
        <v>-2.799139E-6</v>
      </c>
      <c r="I9573">
        <v>-59.616990000000001</v>
      </c>
      <c r="J9573">
        <v>-263.50979999999998</v>
      </c>
      <c r="K9573">
        <v>1.112906</v>
      </c>
      <c r="L9573">
        <v>-62.1479199999999</v>
      </c>
      <c r="M9573">
        <v>0.99695100000000003</v>
      </c>
      <c r="N9573">
        <v>0</v>
      </c>
      <c r="O9573">
        <v>-7.7358819999999995E-2</v>
      </c>
      <c r="P9573">
        <v>0.99757150000000006</v>
      </c>
      <c r="Q9573">
        <v>6.6134709999999999E-2</v>
      </c>
      <c r="R9573">
        <v>2.1855690000000001E-2</v>
      </c>
      <c r="S9573">
        <v>3.0115970000000001</v>
      </c>
      <c r="T9573">
        <v>-0.2221949</v>
      </c>
      <c r="U9573">
        <v>0.5033569</v>
      </c>
      <c r="V9573">
        <v>-9.9470669999999997E-2</v>
      </c>
      <c r="W9573">
        <v>7.5619759999999994E-2</v>
      </c>
      <c r="X9573">
        <v>0.99216289999999996</v>
      </c>
      <c r="Y9573">
        <v>-0.23982200000000001</v>
      </c>
      <c r="Z9573">
        <v>1.44402E-2</v>
      </c>
      <c r="AA9573">
        <v>0.9707095</v>
      </c>
      <c r="AB9573">
        <v>28</v>
      </c>
      <c r="AC9573">
        <v>14.940999999999899</v>
      </c>
      <c r="AD9573">
        <v>-1.1129087991390001</v>
      </c>
      <c r="AE9573">
        <v>2.5309299999999899</v>
      </c>
      <c r="AF9573">
        <v>-3.6594856743113899</v>
      </c>
      <c r="AG9573">
        <v>-1.1129087991390001</v>
      </c>
      <c r="AH9573">
        <v>14.621560035049299</v>
      </c>
      <c r="AI9573">
        <v>94.222872886449593</v>
      </c>
      <c r="AJ9573">
        <v>104.051347602072</v>
      </c>
      <c r="AK9573">
        <v>15.1135839314917</v>
      </c>
      <c r="AL9573">
        <v>85.663166896065306</v>
      </c>
      <c r="AM9573">
        <v>95.725137349771202</v>
      </c>
      <c r="AN9573">
        <v>0.99999999121455796</v>
      </c>
    </row>
    <row r="9574" spans="1:40" x14ac:dyDescent="0.25">
      <c r="A9574" t="str">
        <f>"20190312150911536"</f>
        <v>20190312150911536</v>
      </c>
      <c r="B9574" t="str">
        <f>"1552374551528640"</f>
        <v>1552374551528640</v>
      </c>
      <c r="C9574" t="s">
        <v>40</v>
      </c>
      <c r="D9574">
        <v>4.3849600000000004</v>
      </c>
      <c r="E9574">
        <v>0.44641160000000002</v>
      </c>
      <c r="F9574" t="s">
        <v>87</v>
      </c>
      <c r="G9574">
        <v>-248.52330000000001</v>
      </c>
      <c r="H9574" s="1">
        <v>-2.7793089999999998E-6</v>
      </c>
      <c r="I9574">
        <v>-59.6188</v>
      </c>
      <c r="J9574">
        <v>-263.37049999999999</v>
      </c>
      <c r="K9574">
        <v>1.112894</v>
      </c>
      <c r="L9574">
        <v>-62.156889999999997</v>
      </c>
      <c r="M9574">
        <v>0.99708549999999996</v>
      </c>
      <c r="N9574">
        <v>0</v>
      </c>
      <c r="O9574">
        <v>-7.5605919999999993E-2</v>
      </c>
      <c r="P9574">
        <v>0.997556</v>
      </c>
      <c r="Q9574">
        <v>6.5989010000000001E-2</v>
      </c>
      <c r="R9574">
        <v>2.297571E-2</v>
      </c>
      <c r="S9574">
        <v>3.0109560000000002</v>
      </c>
      <c r="T9574">
        <v>-0.22359709999999999</v>
      </c>
      <c r="U9574">
        <v>0.50811770000000001</v>
      </c>
      <c r="V9574">
        <v>-9.8836740000000006E-2</v>
      </c>
      <c r="W9574">
        <v>7.5485200000000002E-2</v>
      </c>
      <c r="X9574">
        <v>0.99223649999999997</v>
      </c>
      <c r="Y9574">
        <v>-0.2396363</v>
      </c>
      <c r="Z9574">
        <v>1.4396269999999999E-2</v>
      </c>
      <c r="AA9574">
        <v>0.97075599999999995</v>
      </c>
      <c r="AB9574">
        <v>28</v>
      </c>
      <c r="AC9574">
        <v>14.8471999999999</v>
      </c>
      <c r="AD9574">
        <v>-1.1128967793089899</v>
      </c>
      <c r="AE9574">
        <v>2.53809</v>
      </c>
      <c r="AF9574">
        <v>-3.6335837469074002</v>
      </c>
      <c r="AG9574">
        <v>-1.1128967793089899</v>
      </c>
      <c r="AH9574">
        <v>14.5334571314469</v>
      </c>
      <c r="AI9574">
        <v>94.2485971784768</v>
      </c>
      <c r="AJ9574">
        <v>104.037057771981</v>
      </c>
      <c r="AK9574">
        <v>15.022078627100599</v>
      </c>
      <c r="AL9574">
        <v>85.670898728328794</v>
      </c>
      <c r="AM9574">
        <v>95.688471729783203</v>
      </c>
      <c r="AN9574">
        <v>0.99999999426255803</v>
      </c>
    </row>
    <row r="9575" spans="1:40" x14ac:dyDescent="0.25">
      <c r="A9575" t="str">
        <f>"20190312150911548"</f>
        <v>20190312150911548</v>
      </c>
      <c r="B9575" t="str">
        <f>"1552374551539377"</f>
        <v>1552374551539377</v>
      </c>
      <c r="C9575" t="s">
        <v>40</v>
      </c>
      <c r="D9575">
        <v>4.4087180000000004</v>
      </c>
      <c r="E9575">
        <v>0.44638450000000002</v>
      </c>
      <c r="F9575" t="s">
        <v>87</v>
      </c>
      <c r="G9575">
        <v>-248.3312</v>
      </c>
      <c r="H9575" s="1">
        <v>-2.700347E-6</v>
      </c>
      <c r="I9575">
        <v>-59.599269999999997</v>
      </c>
      <c r="J9575">
        <v>-263.22570000000002</v>
      </c>
      <c r="K9575">
        <v>1.1128819999999999</v>
      </c>
      <c r="L9575">
        <v>-62.166080000000001</v>
      </c>
      <c r="M9575">
        <v>0.99722120000000003</v>
      </c>
      <c r="N9575">
        <v>0</v>
      </c>
      <c r="O9575">
        <v>-7.3791869999999996E-2</v>
      </c>
      <c r="P9575">
        <v>0.99753159999999996</v>
      </c>
      <c r="Q9575">
        <v>6.596863E-2</v>
      </c>
      <c r="R9575">
        <v>2.405904E-2</v>
      </c>
      <c r="S9575">
        <v>3.0103149999999999</v>
      </c>
      <c r="T9575">
        <v>-0.22276180000000001</v>
      </c>
      <c r="U9575">
        <v>0.51193239999999995</v>
      </c>
      <c r="V9575">
        <v>-9.8106719999999994E-2</v>
      </c>
      <c r="W9575">
        <v>7.5476619999999994E-2</v>
      </c>
      <c r="X9575">
        <v>0.99230960000000001</v>
      </c>
      <c r="Y9575">
        <v>-0.23911260000000001</v>
      </c>
      <c r="Z9575">
        <v>1.419174E-2</v>
      </c>
      <c r="AA9575">
        <v>0.97088810000000003</v>
      </c>
      <c r="AB9575">
        <v>28</v>
      </c>
      <c r="AC9575">
        <v>14.894500000000001</v>
      </c>
      <c r="AD9575">
        <v>-1.1128847003469999</v>
      </c>
      <c r="AE9575">
        <v>2.56681000000001</v>
      </c>
      <c r="AF9575">
        <v>-3.6392308453972002</v>
      </c>
      <c r="AG9575">
        <v>-1.1128847003469999</v>
      </c>
      <c r="AH9575">
        <v>14.5853905667321</v>
      </c>
      <c r="AI9575">
        <v>94.233977613522299</v>
      </c>
      <c r="AJ9575">
        <v>104.009928066545</v>
      </c>
      <c r="AK9575">
        <v>15.0736900421388</v>
      </c>
      <c r="AL9575">
        <v>85.671391737749502</v>
      </c>
      <c r="AM9575">
        <v>95.646315243980993</v>
      </c>
      <c r="AN9575">
        <v>0.999999995463971</v>
      </c>
    </row>
    <row r="9576" spans="1:40" x14ac:dyDescent="0.25">
      <c r="A9576" t="str">
        <f>"20190312150911558"</f>
        <v>20190312150911558</v>
      </c>
      <c r="B9576" t="str">
        <f>"1552374551549137"</f>
        <v>1552374551549137</v>
      </c>
      <c r="C9576" t="s">
        <v>40</v>
      </c>
      <c r="D9576">
        <v>4.3684180000000001</v>
      </c>
      <c r="E9576">
        <v>0.44641330000000001</v>
      </c>
      <c r="F9576" t="s">
        <v>87</v>
      </c>
      <c r="G9576">
        <v>-248.13630000000001</v>
      </c>
      <c r="H9576" s="1">
        <v>-2.6200910000000001E-6</v>
      </c>
      <c r="I9576">
        <v>-59.580249999999999</v>
      </c>
      <c r="J9576">
        <v>-263.08589999999998</v>
      </c>
      <c r="K9576">
        <v>1.11287</v>
      </c>
      <c r="L9576">
        <v>-62.174680000000002</v>
      </c>
      <c r="M9576">
        <v>0.99734849999999997</v>
      </c>
      <c r="N9576">
        <v>0</v>
      </c>
      <c r="O9576">
        <v>-7.2052690000000003E-2</v>
      </c>
      <c r="P9576">
        <v>0.99750539999999999</v>
      </c>
      <c r="Q9576">
        <v>6.5922380000000003E-2</v>
      </c>
      <c r="R9576">
        <v>2.525254E-2</v>
      </c>
      <c r="S9576">
        <v>3.009674</v>
      </c>
      <c r="T9576">
        <v>-0.22197159999999999</v>
      </c>
      <c r="U9576">
        <v>0.51574709999999901</v>
      </c>
      <c r="V9576">
        <v>-9.7560469999999996E-2</v>
      </c>
      <c r="W9576">
        <v>7.5440969999999996E-2</v>
      </c>
      <c r="X9576">
        <v>0.99236619999999998</v>
      </c>
      <c r="Y9576">
        <v>-0.23866109999999999</v>
      </c>
      <c r="Z9576">
        <v>1.399924E-2</v>
      </c>
      <c r="AA9576">
        <v>0.97100200000000003</v>
      </c>
      <c r="AB9576">
        <v>28</v>
      </c>
      <c r="AC9576">
        <v>14.949599999999901</v>
      </c>
      <c r="AD9576">
        <v>-1.112872620091</v>
      </c>
      <c r="AE9576">
        <v>2.59443</v>
      </c>
      <c r="AF9576">
        <v>-3.6452910631644002</v>
      </c>
      <c r="AG9576">
        <v>-1.112872620091</v>
      </c>
      <c r="AH9576">
        <v>14.6450105612297</v>
      </c>
      <c r="AI9576">
        <v>94.217351217492705</v>
      </c>
      <c r="AJ9576">
        <v>103.977455149078</v>
      </c>
      <c r="AK9576">
        <v>15.132843974027599</v>
      </c>
      <c r="AL9576">
        <v>85.673440322609807</v>
      </c>
      <c r="AM9576">
        <v>95.614760287204405</v>
      </c>
      <c r="AN9576">
        <v>1.0000000300817999</v>
      </c>
    </row>
    <row r="9577" spans="1:40" x14ac:dyDescent="0.25">
      <c r="A9577" t="str">
        <f>"20190312150911570"</f>
        <v>20190312150911570</v>
      </c>
      <c r="B9577" t="str">
        <f>"1552374551558897"</f>
        <v>1552374551558897</v>
      </c>
      <c r="C9577" t="s">
        <v>40</v>
      </c>
      <c r="D9577">
        <v>4.400874</v>
      </c>
      <c r="E9577">
        <v>0.44641510000000001</v>
      </c>
      <c r="F9577" t="s">
        <v>87</v>
      </c>
      <c r="G9577">
        <v>-247.98750000000001</v>
      </c>
      <c r="H9577" s="1">
        <v>-2.5582189999999998E-6</v>
      </c>
      <c r="I9577">
        <v>-59.569279999999999</v>
      </c>
      <c r="J9577">
        <v>-262.94970000000001</v>
      </c>
      <c r="K9577">
        <v>1.112857</v>
      </c>
      <c r="L9577">
        <v>-62.182859999999998</v>
      </c>
      <c r="M9577">
        <v>0.99746840000000003</v>
      </c>
      <c r="N9577">
        <v>0</v>
      </c>
      <c r="O9577">
        <v>-7.0370849999999999E-2</v>
      </c>
      <c r="P9577">
        <v>0.99747059999999999</v>
      </c>
      <c r="Q9577">
        <v>6.597182E-2</v>
      </c>
      <c r="R9577">
        <v>2.646534E-2</v>
      </c>
      <c r="S9577">
        <v>3.0090029999999999</v>
      </c>
      <c r="T9577">
        <v>-0.22178790000000001</v>
      </c>
      <c r="U9577">
        <v>0.51922609999999902</v>
      </c>
      <c r="V9577">
        <v>-9.7090620000000002E-2</v>
      </c>
      <c r="W9577">
        <v>7.5499940000000001E-2</v>
      </c>
      <c r="X9577">
        <v>0.9924077</v>
      </c>
      <c r="Y9577">
        <v>-0.23815749999999999</v>
      </c>
      <c r="Z9577">
        <v>1.3847999999999999E-2</v>
      </c>
      <c r="AA9577">
        <v>0.97112779999999999</v>
      </c>
      <c r="AB9577">
        <v>28</v>
      </c>
      <c r="AC9577">
        <v>14.9621999999999</v>
      </c>
      <c r="AD9577">
        <v>-1.112859558219</v>
      </c>
      <c r="AE9577">
        <v>2.61357999999999</v>
      </c>
      <c r="AF9577">
        <v>-3.6405145051815202</v>
      </c>
      <c r="AG9577">
        <v>-1.112859558219</v>
      </c>
      <c r="AH9577">
        <v>14.662461389297601</v>
      </c>
      <c r="AI9577">
        <v>94.212911946313696</v>
      </c>
      <c r="AJ9577">
        <v>103.943890746248</v>
      </c>
      <c r="AK9577">
        <v>15.1485833083955</v>
      </c>
      <c r="AL9577">
        <v>85.670051519851697</v>
      </c>
      <c r="AM9577">
        <v>95.587659028477006</v>
      </c>
      <c r="AN9577">
        <v>0.99999993622563699</v>
      </c>
    </row>
    <row r="9578" spans="1:40" x14ac:dyDescent="0.25">
      <c r="A9578" t="str">
        <f>"20190312150911581"</f>
        <v>20190312150911581</v>
      </c>
      <c r="B9578" t="str">
        <f>"1552374551579393"</f>
        <v>1552374551579393</v>
      </c>
      <c r="C9578" t="s">
        <v>40</v>
      </c>
      <c r="D9578">
        <v>4.3888220000000002</v>
      </c>
      <c r="E9578">
        <v>0.4464844</v>
      </c>
      <c r="F9578" t="s">
        <v>87</v>
      </c>
      <c r="G9578">
        <v>-247.8503</v>
      </c>
      <c r="H9578" s="1">
        <v>-2.5013239999999999E-6</v>
      </c>
      <c r="I9578">
        <v>-59.558250000000001</v>
      </c>
      <c r="J9578">
        <v>-262.80779999999999</v>
      </c>
      <c r="K9578">
        <v>1.1128400000000001</v>
      </c>
      <c r="L9578">
        <v>-62.191160000000004</v>
      </c>
      <c r="M9578">
        <v>0.99758979999999997</v>
      </c>
      <c r="N9578">
        <v>0</v>
      </c>
      <c r="O9578">
        <v>-6.8627499999999994E-2</v>
      </c>
      <c r="P9578">
        <v>0.99742090000000005</v>
      </c>
      <c r="Q9578">
        <v>6.6185549999999996E-2</v>
      </c>
      <c r="R9578">
        <v>2.7765519999999998E-2</v>
      </c>
      <c r="S9578">
        <v>3.0084230000000001</v>
      </c>
      <c r="T9578">
        <v>-0.2217276</v>
      </c>
      <c r="U9578">
        <v>0.52291869999999996</v>
      </c>
      <c r="V9578">
        <v>-9.6646990000000002E-2</v>
      </c>
      <c r="W9578">
        <v>7.5723890000000002E-2</v>
      </c>
      <c r="X9578">
        <v>0.99243400000000004</v>
      </c>
      <c r="Y9578">
        <v>-0.23765539999999999</v>
      </c>
      <c r="Z9578">
        <v>1.3699630000000001E-2</v>
      </c>
      <c r="AA9578">
        <v>0.97125289999999997</v>
      </c>
      <c r="AB9578">
        <v>28</v>
      </c>
      <c r="AC9578">
        <v>14.9574999999999</v>
      </c>
      <c r="AD9578">
        <v>-1.112842501324</v>
      </c>
      <c r="AE9578">
        <v>2.6329099999999901</v>
      </c>
      <c r="AF9578">
        <v>-3.6337418117701401</v>
      </c>
      <c r="AG9578">
        <v>-1.112842501324</v>
      </c>
      <c r="AH9578">
        <v>14.6628070444104</v>
      </c>
      <c r="AI9578">
        <v>94.213207480388704</v>
      </c>
      <c r="AJ9578">
        <v>103.918644140891</v>
      </c>
      <c r="AK9578">
        <v>15.147290464270201</v>
      </c>
      <c r="AL9578">
        <v>85.657183552862705</v>
      </c>
      <c r="AM9578">
        <v>95.562141690405795</v>
      </c>
      <c r="AN9578">
        <v>0.99999999627439595</v>
      </c>
    </row>
    <row r="9579" spans="1:40" x14ac:dyDescent="0.25">
      <c r="A9579" t="str">
        <f>"20190312150911594"</f>
        <v>20190312150911594</v>
      </c>
      <c r="B9579" t="str">
        <f>"1552374551589153"</f>
        <v>1552374551589153</v>
      </c>
      <c r="C9579" t="s">
        <v>40</v>
      </c>
      <c r="D9579">
        <v>4.4699359999999997</v>
      </c>
      <c r="E9579">
        <v>0.44647369999999997</v>
      </c>
      <c r="F9579" t="s">
        <v>87</v>
      </c>
      <c r="G9579">
        <v>-247.42930000000001</v>
      </c>
      <c r="H9579" s="1">
        <v>-2.3308830000000002E-6</v>
      </c>
      <c r="I9579">
        <v>-59.500900000000001</v>
      </c>
      <c r="J9579">
        <v>-262.65620000000001</v>
      </c>
      <c r="K9579">
        <v>1.1128229999999999</v>
      </c>
      <c r="L9579">
        <v>-62.199710000000003</v>
      </c>
      <c r="M9579">
        <v>0.99771489999999996</v>
      </c>
      <c r="N9579">
        <v>0</v>
      </c>
      <c r="O9579">
        <v>-6.6784860000000001E-2</v>
      </c>
      <c r="P9579">
        <v>0.99736290000000005</v>
      </c>
      <c r="Q9579">
        <v>6.6500429999999999E-2</v>
      </c>
      <c r="R9579">
        <v>2.906595E-2</v>
      </c>
      <c r="S9579">
        <v>3.007568</v>
      </c>
      <c r="T9579">
        <v>-0.21763879999999999</v>
      </c>
      <c r="U9579">
        <v>0.52612300000000001</v>
      </c>
      <c r="V9579">
        <v>-9.6104620000000002E-2</v>
      </c>
      <c r="W9579">
        <v>7.6049099999999994E-2</v>
      </c>
      <c r="X9579">
        <v>0.99246179999999995</v>
      </c>
      <c r="Y9579">
        <v>-0.23694809999999999</v>
      </c>
      <c r="Z9579">
        <v>1.329254E-2</v>
      </c>
      <c r="AA9579">
        <v>0.97143139999999994</v>
      </c>
      <c r="AB9579">
        <v>28</v>
      </c>
      <c r="AC9579">
        <v>15.226900000000001</v>
      </c>
      <c r="AD9579">
        <v>-1.1128253308829901</v>
      </c>
      <c r="AE9579">
        <v>2.6988099999999902</v>
      </c>
      <c r="AF9579">
        <v>-3.6906518785954501</v>
      </c>
      <c r="AG9579">
        <v>-1.1128253308829901</v>
      </c>
      <c r="AH9579">
        <v>14.935310305314999</v>
      </c>
      <c r="AI9579">
        <v>94.137224487802897</v>
      </c>
      <c r="AJ9579">
        <v>103.880247546996</v>
      </c>
      <c r="AK9579">
        <v>15.4247458786874</v>
      </c>
      <c r="AL9579">
        <v>85.638496497640006</v>
      </c>
      <c r="AM9579">
        <v>95.530967828821602</v>
      </c>
      <c r="AN9579">
        <v>0.99999999402769701</v>
      </c>
    </row>
    <row r="9580" spans="1:40" x14ac:dyDescent="0.25">
      <c r="A9580" t="str">
        <f>"20190312150911606"</f>
        <v>20190312150911606</v>
      </c>
      <c r="B9580" t="str">
        <f>"1552374551598912"</f>
        <v>1552374551598912</v>
      </c>
      <c r="C9580" t="s">
        <v>40</v>
      </c>
      <c r="D9580">
        <v>4.4315389999999999</v>
      </c>
      <c r="E9580">
        <v>0.44647369999999997</v>
      </c>
      <c r="F9580" t="s">
        <v>87</v>
      </c>
      <c r="G9580">
        <v>-247.3682</v>
      </c>
      <c r="H9580" s="1">
        <v>-2.3040560000000002E-6</v>
      </c>
      <c r="I9580">
        <v>-59.504359999999998</v>
      </c>
      <c r="J9580">
        <v>-262.51159999999999</v>
      </c>
      <c r="K9580">
        <v>1.112808</v>
      </c>
      <c r="L9580">
        <v>-62.207729999999998</v>
      </c>
      <c r="M9580">
        <v>0.99783040000000001</v>
      </c>
      <c r="N9580">
        <v>0</v>
      </c>
      <c r="O9580">
        <v>-6.5035079999999995E-2</v>
      </c>
      <c r="P9580">
        <v>0.99733879999999997</v>
      </c>
      <c r="Q9580">
        <v>6.6273330000000005E-2</v>
      </c>
      <c r="R9580">
        <v>3.0385949999999998E-2</v>
      </c>
      <c r="S9580">
        <v>3.0070800000000002</v>
      </c>
      <c r="T9580">
        <v>-0.21888830000000001</v>
      </c>
      <c r="U9580">
        <v>0.53015140000000005</v>
      </c>
      <c r="V9580">
        <v>-9.5674590000000004E-2</v>
      </c>
      <c r="W9580">
        <v>7.5832759999999999E-2</v>
      </c>
      <c r="X9580">
        <v>0.99251990000000001</v>
      </c>
      <c r="Y9580">
        <v>-0.23653060000000001</v>
      </c>
      <c r="Z9580">
        <v>1.3227859999999999E-2</v>
      </c>
      <c r="AA9580">
        <v>0.97153400000000001</v>
      </c>
      <c r="AB9580">
        <v>28</v>
      </c>
      <c r="AC9580">
        <v>15.1433999999999</v>
      </c>
      <c r="AD9580">
        <v>-1.112810304056</v>
      </c>
      <c r="AE9580">
        <v>2.7033700000000001</v>
      </c>
      <c r="AF9580">
        <v>-3.66337885270414</v>
      </c>
      <c r="AG9580">
        <v>-1.112810304056</v>
      </c>
      <c r="AH9580">
        <v>14.857760318857901</v>
      </c>
      <c r="AI9580">
        <v>94.1592134746884</v>
      </c>
      <c r="AJ9580">
        <v>103.85077016746899</v>
      </c>
      <c r="AK9580">
        <v>15.343133092164701</v>
      </c>
      <c r="AL9580">
        <v>85.650927760956293</v>
      </c>
      <c r="AM9580">
        <v>95.506051039400703</v>
      </c>
      <c r="AN9580">
        <v>0.99999999327844702</v>
      </c>
    </row>
    <row r="9581" spans="1:40" x14ac:dyDescent="0.25">
      <c r="A9581" t="str">
        <f>"20190312150911616"</f>
        <v>20190312150911616</v>
      </c>
      <c r="B9581" t="str">
        <f>"1552374551608672"</f>
        <v>1552374551608672</v>
      </c>
      <c r="C9581" t="s">
        <v>40</v>
      </c>
      <c r="D9581">
        <v>4.4302049999999999</v>
      </c>
      <c r="E9581">
        <v>0.44654300000000002</v>
      </c>
      <c r="F9581" t="s">
        <v>87</v>
      </c>
      <c r="G9581">
        <v>-247.32939999999999</v>
      </c>
      <c r="H9581" s="1">
        <v>-2.2865020000000001E-6</v>
      </c>
      <c r="I9581">
        <v>-59.50958</v>
      </c>
      <c r="J9581">
        <v>-262.36279999999999</v>
      </c>
      <c r="K9581">
        <v>1.1127899999999999</v>
      </c>
      <c r="L9581">
        <v>-62.215580000000003</v>
      </c>
      <c r="M9581">
        <v>0.99794450000000001</v>
      </c>
      <c r="N9581">
        <v>0</v>
      </c>
      <c r="O9581">
        <v>-6.3261709999999999E-2</v>
      </c>
      <c r="P9581">
        <v>0.99729950000000001</v>
      </c>
      <c r="Q9581">
        <v>6.6208199999999995E-2</v>
      </c>
      <c r="R9581">
        <v>3.1788549999999999E-2</v>
      </c>
      <c r="S9581">
        <v>3.006348</v>
      </c>
      <c r="T9581">
        <v>-0.220357</v>
      </c>
      <c r="U9581">
        <v>0.53427119999999995</v>
      </c>
      <c r="V9581">
        <v>-9.5302529999999996E-2</v>
      </c>
      <c r="W9581">
        <v>7.5776650000000001E-2</v>
      </c>
      <c r="X9581">
        <v>0.99256</v>
      </c>
      <c r="Y9581">
        <v>-0.2361307</v>
      </c>
      <c r="Z9581">
        <v>1.317455E-2</v>
      </c>
      <c r="AA9581">
        <v>0.97163200000000005</v>
      </c>
      <c r="AB9581">
        <v>29</v>
      </c>
      <c r="AC9581">
        <v>15.0334</v>
      </c>
      <c r="AD9581">
        <v>-1.1127922865019999</v>
      </c>
      <c r="AE9581">
        <v>2.7059999999999902</v>
      </c>
      <c r="AF9581">
        <v>-3.63238979501687</v>
      </c>
      <c r="AG9581">
        <v>-1.1127922865019999</v>
      </c>
      <c r="AH9581">
        <v>14.7537879827702</v>
      </c>
      <c r="AI9581">
        <v>94.188704364842195</v>
      </c>
      <c r="AJ9581">
        <v>103.83117062986901</v>
      </c>
      <c r="AK9581">
        <v>15.2350524165943</v>
      </c>
      <c r="AL9581">
        <v>85.654151991026893</v>
      </c>
      <c r="AM9581">
        <v>95.484549655354201</v>
      </c>
      <c r="AN9581">
        <v>1.0000000132548099</v>
      </c>
    </row>
    <row r="9582" spans="1:40" x14ac:dyDescent="0.25">
      <c r="A9582" t="str">
        <f>"20190312150911628"</f>
        <v>20190312150911628</v>
      </c>
      <c r="B9582" t="str">
        <f>"1552374551619408"</f>
        <v>1552374551619408</v>
      </c>
      <c r="C9582" t="s">
        <v>40</v>
      </c>
      <c r="D9582">
        <v>4.4401519999999897</v>
      </c>
      <c r="E9582">
        <v>0.44658389999999998</v>
      </c>
      <c r="F9582" t="s">
        <v>87</v>
      </c>
      <c r="G9582">
        <v>-247.26169999999999</v>
      </c>
      <c r="H9582" s="1">
        <v>-2.2570639999999998E-6</v>
      </c>
      <c r="I9582">
        <v>-59.511789999999998</v>
      </c>
      <c r="J9582">
        <v>-262.22789999999998</v>
      </c>
      <c r="K9582">
        <v>1.112771</v>
      </c>
      <c r="L9582">
        <v>-62.2226</v>
      </c>
      <c r="M9582">
        <v>0.99804470000000001</v>
      </c>
      <c r="N9582">
        <v>0</v>
      </c>
      <c r="O9582">
        <v>-6.1659520000000002E-2</v>
      </c>
      <c r="P9582">
        <v>0.99728329999999998</v>
      </c>
      <c r="Q9582">
        <v>6.6028589999999998E-2</v>
      </c>
      <c r="R9582">
        <v>3.2649999999999998E-2</v>
      </c>
      <c r="S9582">
        <v>3.0057070000000001</v>
      </c>
      <c r="T9582">
        <v>-0.22148970000000001</v>
      </c>
      <c r="U9582">
        <v>0.53814700000000004</v>
      </c>
      <c r="V9582">
        <v>-9.4562549999999995E-2</v>
      </c>
      <c r="W9582">
        <v>7.5609759999999998E-2</v>
      </c>
      <c r="X9582">
        <v>0.99264350000000001</v>
      </c>
      <c r="Y9582">
        <v>-0.2358179</v>
      </c>
      <c r="Z9582">
        <v>1.3114870000000001E-2</v>
      </c>
      <c r="AA9582">
        <v>0.97170880000000004</v>
      </c>
      <c r="AB9582">
        <v>29</v>
      </c>
      <c r="AC9582">
        <v>14.966199999999899</v>
      </c>
      <c r="AD9582">
        <v>-1.1127732570640001</v>
      </c>
      <c r="AE9582">
        <v>2.7108099999999902</v>
      </c>
      <c r="AF9582">
        <v>-3.6091897286683499</v>
      </c>
      <c r="AG9582">
        <v>-1.1127732570640001</v>
      </c>
      <c r="AH9582">
        <v>14.6919228579952</v>
      </c>
      <c r="AI9582">
        <v>94.206734629111907</v>
      </c>
      <c r="AJ9582">
        <v>103.80186599958699</v>
      </c>
      <c r="AK9582">
        <v>15.169611467814301</v>
      </c>
      <c r="AL9582">
        <v>85.663741601712701</v>
      </c>
      <c r="AM9582">
        <v>95.441766288720601</v>
      </c>
      <c r="AN9582">
        <v>1.000000014881</v>
      </c>
    </row>
    <row r="9583" spans="1:40" x14ac:dyDescent="0.25">
      <c r="A9583" t="str">
        <f>"20190312150911637"</f>
        <v>20190312150911637</v>
      </c>
      <c r="B9583" t="str">
        <f>"1552374551629169"</f>
        <v>1552374551629169</v>
      </c>
      <c r="C9583" t="s">
        <v>40</v>
      </c>
      <c r="D9583">
        <v>4.4299949999999999</v>
      </c>
      <c r="E9583">
        <v>0.44661580000000001</v>
      </c>
      <c r="F9583" t="s">
        <v>87</v>
      </c>
      <c r="G9583">
        <v>-247.11009999999999</v>
      </c>
      <c r="H9583" s="1">
        <v>-2.1935599999999998E-6</v>
      </c>
      <c r="I9583">
        <v>-59.503140000000002</v>
      </c>
      <c r="J9583">
        <v>-262.08769999999998</v>
      </c>
      <c r="K9583">
        <v>1.1127549999999999</v>
      </c>
      <c r="L9583">
        <v>-62.229550000000003</v>
      </c>
      <c r="M9583">
        <v>0.99814510000000001</v>
      </c>
      <c r="N9583">
        <v>0</v>
      </c>
      <c r="O9583">
        <v>-6.0010719999999997E-2</v>
      </c>
      <c r="P9583">
        <v>0.99724429999999997</v>
      </c>
      <c r="Q9583">
        <v>6.5970249999999994E-2</v>
      </c>
      <c r="R9583">
        <v>3.3936059999999997E-2</v>
      </c>
      <c r="S9583">
        <v>3.005096</v>
      </c>
      <c r="T9583">
        <v>-0.22119549999999999</v>
      </c>
      <c r="U9583">
        <v>0.54055790000000004</v>
      </c>
      <c r="V9583">
        <v>-9.4199379999999999E-2</v>
      </c>
      <c r="W9583">
        <v>7.556032E-2</v>
      </c>
      <c r="X9583">
        <v>0.99268179999999995</v>
      </c>
      <c r="Y9583">
        <v>-0.23501069999999999</v>
      </c>
      <c r="Z9583">
        <v>1.294939E-2</v>
      </c>
      <c r="AA9583">
        <v>0.97190650000000001</v>
      </c>
      <c r="AB9583">
        <v>29</v>
      </c>
      <c r="AC9583">
        <v>14.977599999999899</v>
      </c>
      <c r="AD9583">
        <v>-1.11275719356</v>
      </c>
      <c r="AE9583">
        <v>2.72641</v>
      </c>
      <c r="AF9583">
        <v>-3.6011199260954401</v>
      </c>
      <c r="AG9583">
        <v>-1.11275719356</v>
      </c>
      <c r="AH9583">
        <v>14.7083988697087</v>
      </c>
      <c r="AI9583">
        <v>94.202776805682205</v>
      </c>
      <c r="AJ9583">
        <v>103.757341772977</v>
      </c>
      <c r="AK9583">
        <v>15.1836520838825</v>
      </c>
      <c r="AL9583">
        <v>85.666582456438306</v>
      </c>
      <c r="AM9583">
        <v>95.420783870228405</v>
      </c>
      <c r="AN9583">
        <v>1.00000002060106</v>
      </c>
    </row>
    <row r="9584" spans="1:40" x14ac:dyDescent="0.25">
      <c r="A9584" t="str">
        <f>"20190312150911648"</f>
        <v>20190312150911648</v>
      </c>
      <c r="B9584" t="str">
        <f>"1552374551638929"</f>
        <v>1552374551638929</v>
      </c>
      <c r="C9584" t="s">
        <v>40</v>
      </c>
      <c r="D9584">
        <v>4.481109</v>
      </c>
      <c r="E9584">
        <v>0.44661450000000003</v>
      </c>
      <c r="F9584" t="s">
        <v>87</v>
      </c>
      <c r="G9584">
        <v>-246.988</v>
      </c>
      <c r="H9584" s="1">
        <v>-2.14283E-6</v>
      </c>
      <c r="I9584">
        <v>-59.493720000000003</v>
      </c>
      <c r="J9584">
        <v>-261.95769999999999</v>
      </c>
      <c r="K9584">
        <v>1.1127400000000001</v>
      </c>
      <c r="L9584">
        <v>-62.235900000000001</v>
      </c>
      <c r="M9584">
        <v>0.99823519999999999</v>
      </c>
      <c r="N9584">
        <v>0</v>
      </c>
      <c r="O9584">
        <v>-5.8491609999999999E-2</v>
      </c>
      <c r="P9584">
        <v>0.99720980000000004</v>
      </c>
      <c r="Q9584">
        <v>6.612461E-2</v>
      </c>
      <c r="R9584">
        <v>3.4642850000000003E-2</v>
      </c>
      <c r="S9584">
        <v>3.0044249999999999</v>
      </c>
      <c r="T9584">
        <v>-0.2214081</v>
      </c>
      <c r="U9584">
        <v>0.54434199999999999</v>
      </c>
      <c r="V9584">
        <v>-9.338921E-2</v>
      </c>
      <c r="W9584">
        <v>7.5726249999999995E-2</v>
      </c>
      <c r="X9584">
        <v>0.99274569999999995</v>
      </c>
      <c r="Y9584">
        <v>-0.2347581</v>
      </c>
      <c r="Z9584">
        <v>1.284298E-2</v>
      </c>
      <c r="AA9584">
        <v>0.97196890000000002</v>
      </c>
      <c r="AB9584">
        <v>29</v>
      </c>
      <c r="AC9584">
        <v>14.9696999999999</v>
      </c>
      <c r="AD9584">
        <v>-1.1127421428299999</v>
      </c>
      <c r="AE9584">
        <v>2.7421799999999998</v>
      </c>
      <c r="AF9584">
        <v>-3.5939194456418302</v>
      </c>
      <c r="AG9584">
        <v>-1.1127421428299999</v>
      </c>
      <c r="AH9584">
        <v>14.7050515019087</v>
      </c>
      <c r="AI9584">
        <v>94.204092939958997</v>
      </c>
      <c r="AJ9584">
        <v>103.73388324611</v>
      </c>
      <c r="AK9584">
        <v>15.1787019119548</v>
      </c>
      <c r="AL9584">
        <v>85.657048036406493</v>
      </c>
      <c r="AM9584">
        <v>95.374092202561499</v>
      </c>
      <c r="AN9584">
        <v>1.00000001717598</v>
      </c>
    </row>
    <row r="9585" spans="1:40" x14ac:dyDescent="0.25">
      <c r="A9585" t="str">
        <f>"20190312150911659"</f>
        <v>20190312150911659</v>
      </c>
      <c r="B9585" t="str">
        <f>"1552374551648689"</f>
        <v>1552374551648689</v>
      </c>
      <c r="C9585" t="s">
        <v>40</v>
      </c>
      <c r="D9585">
        <v>4.4150929999999997</v>
      </c>
      <c r="E9585">
        <v>0.44665460000000001</v>
      </c>
      <c r="F9585" t="s">
        <v>87</v>
      </c>
      <c r="G9585">
        <v>-246.94120000000001</v>
      </c>
      <c r="H9585" s="1">
        <v>-2.1210699999999999E-6</v>
      </c>
      <c r="I9585">
        <v>-59.503309999999999</v>
      </c>
      <c r="J9585">
        <v>-261.81689999999998</v>
      </c>
      <c r="K9585">
        <v>1.112722</v>
      </c>
      <c r="L9585">
        <v>-62.242519999999899</v>
      </c>
      <c r="M9585">
        <v>0.99832949999999998</v>
      </c>
      <c r="N9585">
        <v>0</v>
      </c>
      <c r="O9585">
        <v>-5.6860330000000001E-2</v>
      </c>
      <c r="P9585">
        <v>0.99717040000000001</v>
      </c>
      <c r="Q9585">
        <v>6.6178650000000006E-2</v>
      </c>
      <c r="R9585">
        <v>3.5659549999999998E-2</v>
      </c>
      <c r="S9585">
        <v>3.0041500000000001</v>
      </c>
      <c r="T9585">
        <v>-0.22261210000000001</v>
      </c>
      <c r="U9585">
        <v>0.54666139999999996</v>
      </c>
      <c r="V9585">
        <v>-9.2775700000000003E-2</v>
      </c>
      <c r="W9585">
        <v>7.5791869999999997E-2</v>
      </c>
      <c r="X9585">
        <v>0.99279819999999996</v>
      </c>
      <c r="Y9585">
        <v>-0.23391020000000001</v>
      </c>
      <c r="Z9585">
        <v>1.276192E-2</v>
      </c>
      <c r="AA9585">
        <v>0.97217450000000005</v>
      </c>
      <c r="AB9585">
        <v>29</v>
      </c>
      <c r="AC9585">
        <v>14.875699999999901</v>
      </c>
      <c r="AD9585">
        <v>-1.1127241210700001</v>
      </c>
      <c r="AE9585">
        <v>2.7392099999999902</v>
      </c>
      <c r="AF9585">
        <v>-3.56138618549442</v>
      </c>
      <c r="AG9585">
        <v>-1.1127241210700001</v>
      </c>
      <c r="AH9585">
        <v>14.6167677046089</v>
      </c>
      <c r="AI9585">
        <v>94.230052684634899</v>
      </c>
      <c r="AJ9585">
        <v>103.693348349877</v>
      </c>
      <c r="AK9585">
        <v>15.0854739621379</v>
      </c>
      <c r="AL9585">
        <v>85.653277385223802</v>
      </c>
      <c r="AM9585">
        <v>95.338711685465</v>
      </c>
      <c r="AN9585">
        <v>1.0000000019959101</v>
      </c>
    </row>
    <row r="9586" spans="1:40" x14ac:dyDescent="0.25">
      <c r="A9586" t="str">
        <f>"20190312150911671"</f>
        <v>20190312150911671</v>
      </c>
      <c r="B9586" t="str">
        <f>"1552374551659424"</f>
        <v>1552374551659424</v>
      </c>
      <c r="C9586" t="s">
        <v>40</v>
      </c>
      <c r="D9586">
        <v>4.4531479999999997</v>
      </c>
      <c r="E9586">
        <v>0.44677</v>
      </c>
      <c r="F9586" t="s">
        <v>87</v>
      </c>
      <c r="G9586">
        <v>-246.77119999999999</v>
      </c>
      <c r="H9586" s="1">
        <v>-2.0504669999999998E-6</v>
      </c>
      <c r="I9586">
        <v>-59.490200000000002</v>
      </c>
      <c r="J9586">
        <v>-261.67809999999997</v>
      </c>
      <c r="K9586">
        <v>1.1127069999999999</v>
      </c>
      <c r="L9586">
        <v>-62.248840000000001</v>
      </c>
      <c r="M9586">
        <v>0.99841899999999995</v>
      </c>
      <c r="N9586">
        <v>0</v>
      </c>
      <c r="O9586">
        <v>-5.5264460000000001E-2</v>
      </c>
      <c r="P9586">
        <v>0.99713339999999995</v>
      </c>
      <c r="Q9586">
        <v>6.6185330000000001E-2</v>
      </c>
      <c r="R9586">
        <v>3.6668989999999999E-2</v>
      </c>
      <c r="S9586">
        <v>3.0036010000000002</v>
      </c>
      <c r="T9586">
        <v>-0.2221352</v>
      </c>
      <c r="U9586">
        <v>0.54943850000000005</v>
      </c>
      <c r="V9586">
        <v>-9.2190439999999998E-2</v>
      </c>
      <c r="W9586">
        <v>7.5808509999999996E-2</v>
      </c>
      <c r="X9586">
        <v>0.99285140000000005</v>
      </c>
      <c r="Y9586">
        <v>-0.23326669999999999</v>
      </c>
      <c r="Z9586">
        <v>1.259529E-2</v>
      </c>
      <c r="AA9586">
        <v>0.97233119999999995</v>
      </c>
      <c r="AB9586">
        <v>29</v>
      </c>
      <c r="AC9586">
        <v>14.906899999999901</v>
      </c>
      <c r="AD9586">
        <v>-1.1127090504670001</v>
      </c>
      <c r="AE9586">
        <v>2.7586400000000002</v>
      </c>
      <c r="AF9586">
        <v>-3.5591151139958099</v>
      </c>
      <c r="AG9586">
        <v>-1.1127090504670001</v>
      </c>
      <c r="AH9586">
        <v>14.652716004971101</v>
      </c>
      <c r="AI9586">
        <v>94.220382432843195</v>
      </c>
      <c r="AJ9586">
        <v>103.652628576748</v>
      </c>
      <c r="AK9586">
        <v>15.1197720931237</v>
      </c>
      <c r="AL9586">
        <v>85.652321027690604</v>
      </c>
      <c r="AM9586">
        <v>95.304943437516798</v>
      </c>
      <c r="AN9586">
        <v>0.99999995494888505</v>
      </c>
    </row>
    <row r="9587" spans="1:40" x14ac:dyDescent="0.25">
      <c r="A9587" t="str">
        <f>"20190312150911681"</f>
        <v>20190312150911681</v>
      </c>
      <c r="B9587" t="str">
        <f>"1552374551678944"</f>
        <v>1552374551678944</v>
      </c>
      <c r="C9587" t="s">
        <v>40</v>
      </c>
      <c r="D9587">
        <v>4.5873339999999896</v>
      </c>
      <c r="E9587">
        <v>0.44701049999999998</v>
      </c>
      <c r="F9587" t="s">
        <v>87</v>
      </c>
      <c r="G9587">
        <v>-246.69120000000001</v>
      </c>
      <c r="H9587" s="1">
        <v>-2.015132E-6</v>
      </c>
      <c r="I9587">
        <v>-59.495890000000003</v>
      </c>
      <c r="J9587">
        <v>-261.53289999999998</v>
      </c>
      <c r="K9587">
        <v>1.1126879999999999</v>
      </c>
      <c r="L9587">
        <v>-62.255279999999999</v>
      </c>
      <c r="M9587">
        <v>0.99850939999999999</v>
      </c>
      <c r="N9587">
        <v>0</v>
      </c>
      <c r="O9587">
        <v>-5.360612E-2</v>
      </c>
      <c r="P9587">
        <v>0.99707619999999997</v>
      </c>
      <c r="Q9587">
        <v>6.6418050000000006E-2</v>
      </c>
      <c r="R9587">
        <v>3.7780090000000002E-2</v>
      </c>
      <c r="S9587">
        <v>3.0031430000000001</v>
      </c>
      <c r="T9587">
        <v>-0.2229698</v>
      </c>
      <c r="U9587">
        <v>0.55163569999999995</v>
      </c>
      <c r="V9587">
        <v>-9.1644760000000006E-2</v>
      </c>
      <c r="W9587">
        <v>7.6051469999999996E-2</v>
      </c>
      <c r="X9587">
        <v>0.99288339999999997</v>
      </c>
      <c r="Y9587">
        <v>-0.2323674</v>
      </c>
      <c r="Z9587">
        <v>1.248839E-2</v>
      </c>
      <c r="AA9587">
        <v>0.97254790000000002</v>
      </c>
      <c r="AB9587">
        <v>29</v>
      </c>
      <c r="AC9587">
        <v>14.8416999999999</v>
      </c>
      <c r="AD9587">
        <v>-1.1126900151319901</v>
      </c>
      <c r="AE9587">
        <v>2.7593899999999998</v>
      </c>
      <c r="AF9587">
        <v>-3.5318819264808199</v>
      </c>
      <c r="AG9587">
        <v>-1.1126900151319901</v>
      </c>
      <c r="AH9587">
        <v>14.593148305000099</v>
      </c>
      <c r="AI9587">
        <v>94.238320495222297</v>
      </c>
      <c r="AJ9587">
        <v>103.605295753145</v>
      </c>
      <c r="AK9587">
        <v>15.0556383612287</v>
      </c>
      <c r="AL9587">
        <v>85.638360412900099</v>
      </c>
      <c r="AM9587">
        <v>95.273551763424805</v>
      </c>
      <c r="AN9587">
        <v>1.00000001706008</v>
      </c>
    </row>
    <row r="9588" spans="1:40" x14ac:dyDescent="0.25">
      <c r="A9588" t="str">
        <f>"20190312150911693"</f>
        <v>20190312150911693</v>
      </c>
      <c r="B9588" t="str">
        <f>"1552374551688704"</f>
        <v>1552374551688704</v>
      </c>
      <c r="C9588" t="s">
        <v>40</v>
      </c>
      <c r="D9588">
        <v>4.3804730000000003</v>
      </c>
      <c r="E9588">
        <v>0.44716460000000002</v>
      </c>
      <c r="F9588" t="s">
        <v>87</v>
      </c>
      <c r="G9588">
        <v>-246.1825</v>
      </c>
      <c r="H9588" s="1">
        <v>-1.8089609999999999E-6</v>
      </c>
      <c r="I9588">
        <v>-59.427810000000001</v>
      </c>
      <c r="J9588">
        <v>-261.39049999999997</v>
      </c>
      <c r="K9588">
        <v>1.1126720000000001</v>
      </c>
      <c r="L9588">
        <v>-62.26126</v>
      </c>
      <c r="M9588">
        <v>0.99859450000000005</v>
      </c>
      <c r="N9588">
        <v>0</v>
      </c>
      <c r="O9588">
        <v>-5.1998570000000001E-2</v>
      </c>
      <c r="P9588">
        <v>0.99706919999999999</v>
      </c>
      <c r="Q9588">
        <v>6.6124199999999994E-2</v>
      </c>
      <c r="R9588">
        <v>3.8480689999999998E-2</v>
      </c>
      <c r="S9588">
        <v>3.00238</v>
      </c>
      <c r="T9588">
        <v>-0.21762980000000001</v>
      </c>
      <c r="U9588">
        <v>0.55300899999999997</v>
      </c>
      <c r="V9588">
        <v>-9.0740029999999999E-2</v>
      </c>
      <c r="W9588">
        <v>7.5770950000000004E-2</v>
      </c>
      <c r="X9588">
        <v>0.99298790000000003</v>
      </c>
      <c r="Y9588">
        <v>-0.23131850000000001</v>
      </c>
      <c r="Z9588">
        <v>1.203941E-2</v>
      </c>
      <c r="AA9588">
        <v>0.97280359999999999</v>
      </c>
      <c r="AB9588">
        <v>29</v>
      </c>
      <c r="AC9588">
        <v>15.207999999999901</v>
      </c>
      <c r="AD9588">
        <v>-1.112673808961</v>
      </c>
      <c r="AE9588">
        <v>2.8334499999999898</v>
      </c>
      <c r="AF9588">
        <v>-3.6018187648219802</v>
      </c>
      <c r="AG9588">
        <v>-1.112673808961</v>
      </c>
      <c r="AH9588">
        <v>14.962673600598601</v>
      </c>
      <c r="AI9588">
        <v>94.135180918429498</v>
      </c>
      <c r="AJ9588">
        <v>103.53474749657801</v>
      </c>
      <c r="AK9588">
        <v>15.4302541358794</v>
      </c>
      <c r="AL9588">
        <v>85.654479372622504</v>
      </c>
      <c r="AM9588">
        <v>95.221233248363205</v>
      </c>
      <c r="AN9588">
        <v>0.99999997972735599</v>
      </c>
    </row>
    <row r="9589" spans="1:40" x14ac:dyDescent="0.25">
      <c r="A9589" t="str">
        <f>"20190312150911704"</f>
        <v>20190312150911704</v>
      </c>
      <c r="B9589" t="str">
        <f>"1552374551699444"</f>
        <v>1552374551699444</v>
      </c>
      <c r="C9589" t="s">
        <v>40</v>
      </c>
      <c r="D9589">
        <v>4.4322299999999997</v>
      </c>
      <c r="E9589">
        <v>0.44723410000000002</v>
      </c>
      <c r="F9589" t="s">
        <v>87</v>
      </c>
      <c r="G9589">
        <v>-245.88730000000001</v>
      </c>
      <c r="H9589" s="1">
        <v>-1.687003E-6</v>
      </c>
      <c r="I9589">
        <v>-59.401389999999999</v>
      </c>
      <c r="J9589">
        <v>-261.24430000000001</v>
      </c>
      <c r="K9589">
        <v>1.1126529999999999</v>
      </c>
      <c r="L9589">
        <v>-62.267330000000001</v>
      </c>
      <c r="M9589">
        <v>0.99867870000000003</v>
      </c>
      <c r="N9589">
        <v>0</v>
      </c>
      <c r="O9589">
        <v>-5.0354669999999997E-2</v>
      </c>
      <c r="P9589">
        <v>0.99704990000000004</v>
      </c>
      <c r="Q9589">
        <v>6.593678E-2</v>
      </c>
      <c r="R9589">
        <v>3.9295780000000002E-2</v>
      </c>
      <c r="S9589">
        <v>3.001709</v>
      </c>
      <c r="T9589">
        <v>-0.21543380000000001</v>
      </c>
      <c r="U9589">
        <v>0.55371090000000001</v>
      </c>
      <c r="V9589">
        <v>-8.9912569999999997E-2</v>
      </c>
      <c r="W9589">
        <v>7.5595490000000001E-2</v>
      </c>
      <c r="X9589">
        <v>0.99307659999999998</v>
      </c>
      <c r="Y9589">
        <v>-0.22999739999999999</v>
      </c>
      <c r="Z9589">
        <v>1.175664E-2</v>
      </c>
      <c r="AA9589">
        <v>0.97312019999999999</v>
      </c>
      <c r="AB9589">
        <v>29</v>
      </c>
      <c r="AC9589">
        <v>15.356999999999999</v>
      </c>
      <c r="AD9589">
        <v>-1.1126546870029901</v>
      </c>
      <c r="AE9589">
        <v>2.8659400000000002</v>
      </c>
      <c r="AF9589">
        <v>-3.6172917769512898</v>
      </c>
      <c r="AG9589">
        <v>-1.1126546870029901</v>
      </c>
      <c r="AH9589">
        <v>15.116513282169601</v>
      </c>
      <c r="AI9589">
        <v>94.094491635215704</v>
      </c>
      <c r="AJ9589">
        <v>103.457482446486</v>
      </c>
      <c r="AK9589">
        <v>15.583060484452901</v>
      </c>
      <c r="AL9589">
        <v>85.664561672233702</v>
      </c>
      <c r="AM9589">
        <v>95.173420700148796</v>
      </c>
      <c r="AN9589">
        <v>1.0000000409099501</v>
      </c>
    </row>
    <row r="9590" spans="1:40" x14ac:dyDescent="0.25">
      <c r="A9590" t="str">
        <f>"20190312150911715"</f>
        <v>20190312150911715</v>
      </c>
      <c r="B9590" t="str">
        <f>"1552374551709200"</f>
        <v>1552374551709200</v>
      </c>
      <c r="C9590" t="s">
        <v>40</v>
      </c>
      <c r="D9590">
        <v>4.4806280000000003</v>
      </c>
      <c r="E9590">
        <v>0.44730180000000003</v>
      </c>
      <c r="F9590" t="s">
        <v>87</v>
      </c>
      <c r="G9590">
        <v>-245.7132</v>
      </c>
      <c r="H9590" s="1">
        <v>-1.6140389999999999E-6</v>
      </c>
      <c r="I9590">
        <v>-59.391689999999997</v>
      </c>
      <c r="J9590">
        <v>-261.10230000000001</v>
      </c>
      <c r="K9590">
        <v>1.1126339999999999</v>
      </c>
      <c r="L9590">
        <v>-62.272860000000001</v>
      </c>
      <c r="M9590">
        <v>0.99875650000000005</v>
      </c>
      <c r="N9590">
        <v>0</v>
      </c>
      <c r="O9590">
        <v>-4.8785040000000002E-2</v>
      </c>
      <c r="P9590">
        <v>0.99703240000000004</v>
      </c>
      <c r="Q9590">
        <v>6.5749500000000002E-2</v>
      </c>
      <c r="R9590">
        <v>4.0046390000000001E-2</v>
      </c>
      <c r="S9590">
        <v>3.00116</v>
      </c>
      <c r="T9590">
        <v>-0.21500459999999999</v>
      </c>
      <c r="U9590">
        <v>0.55566409999999999</v>
      </c>
      <c r="V9590">
        <v>-8.9094989999999999E-2</v>
      </c>
      <c r="W9590">
        <v>7.5421000000000002E-2</v>
      </c>
      <c r="X9590">
        <v>0.99316349999999998</v>
      </c>
      <c r="Y9590">
        <v>-0.22912089999999999</v>
      </c>
      <c r="Z9590">
        <v>1.1592099999999999E-2</v>
      </c>
      <c r="AA9590">
        <v>0.97332890000000005</v>
      </c>
      <c r="AB9590">
        <v>29</v>
      </c>
      <c r="AC9590">
        <v>15.389099999999999</v>
      </c>
      <c r="AD9590">
        <v>-1.1126356140389999</v>
      </c>
      <c r="AE9590">
        <v>2.8811699999999898</v>
      </c>
      <c r="AF9590">
        <v>-3.6103033641653499</v>
      </c>
      <c r="AG9590">
        <v>-1.1126356140389999</v>
      </c>
      <c r="AH9590">
        <v>15.1536782220423</v>
      </c>
      <c r="AI9590">
        <v>94.085377802129599</v>
      </c>
      <c r="AJ9590">
        <v>103.400672593498</v>
      </c>
      <c r="AK9590">
        <v>15.6174969840923</v>
      </c>
      <c r="AL9590">
        <v>85.674587619495597</v>
      </c>
      <c r="AM9590">
        <v>95.126184137499095</v>
      </c>
      <c r="AN9590">
        <v>0.99999999110817495</v>
      </c>
    </row>
    <row r="9591" spans="1:40" x14ac:dyDescent="0.25">
      <c r="A9591" t="str">
        <f>"20190312150911727"</f>
        <v>20190312150911727</v>
      </c>
      <c r="B9591" t="str">
        <f>"1552374551718960"</f>
        <v>1552374551718960</v>
      </c>
      <c r="C9591" t="s">
        <v>40</v>
      </c>
      <c r="D9591">
        <v>4.4416570000000002</v>
      </c>
      <c r="E9591">
        <v>0.44722820000000002</v>
      </c>
      <c r="F9591" t="s">
        <v>87</v>
      </c>
      <c r="G9591">
        <v>-245.43109999999999</v>
      </c>
      <c r="H9591" s="1">
        <v>-1.49823999999999E-6</v>
      </c>
      <c r="I9591">
        <v>-59.362299999999998</v>
      </c>
      <c r="J9591">
        <v>-260.95260000000002</v>
      </c>
      <c r="K9591">
        <v>1.112619</v>
      </c>
      <c r="L9591">
        <v>-62.278530000000003</v>
      </c>
      <c r="M9591">
        <v>0.99883569999999999</v>
      </c>
      <c r="N9591">
        <v>0</v>
      </c>
      <c r="O9591">
        <v>-4.7135789999999997E-2</v>
      </c>
      <c r="P9591">
        <v>0.99700739999999999</v>
      </c>
      <c r="Q9591">
        <v>6.5743599999999999E-2</v>
      </c>
      <c r="R9591">
        <v>4.0670739999999997E-2</v>
      </c>
      <c r="S9591">
        <v>3.00061</v>
      </c>
      <c r="T9591">
        <v>-0.21303949999999999</v>
      </c>
      <c r="U9591">
        <v>0.55728149999999999</v>
      </c>
      <c r="V9591">
        <v>-8.8072429999999993E-2</v>
      </c>
      <c r="W9591">
        <v>7.5429090000000004E-2</v>
      </c>
      <c r="X9591">
        <v>0.99325410000000003</v>
      </c>
      <c r="Y9591">
        <v>-0.22807189999999999</v>
      </c>
      <c r="Z9591">
        <v>1.133492E-2</v>
      </c>
      <c r="AA9591">
        <v>0.97357830000000001</v>
      </c>
      <c r="AB9591">
        <v>29</v>
      </c>
      <c r="AC9591">
        <v>15.5215</v>
      </c>
      <c r="AD9591">
        <v>-1.1126204982400001</v>
      </c>
      <c r="AE9591">
        <v>2.9162300000000001</v>
      </c>
      <c r="AF9591">
        <v>-3.62664527644512</v>
      </c>
      <c r="AG9591">
        <v>-1.1126204982400001</v>
      </c>
      <c r="AH9591">
        <v>15.290888328510199</v>
      </c>
      <c r="AI9591">
        <v>94.049756839645795</v>
      </c>
      <c r="AJ9591">
        <v>103.342692593876</v>
      </c>
      <c r="AK9591">
        <v>15.7544198944054</v>
      </c>
      <c r="AL9591">
        <v>85.674122827755198</v>
      </c>
      <c r="AM9591">
        <v>95.067198234960003</v>
      </c>
      <c r="AN9591">
        <v>1.0000000038555701</v>
      </c>
    </row>
    <row r="9592" spans="1:40" x14ac:dyDescent="0.25">
      <c r="A9592" t="str">
        <f>"20190312150911737"</f>
        <v>20190312150911737</v>
      </c>
      <c r="B9592" t="str">
        <f>"1552374551728721"</f>
        <v>1552374551728721</v>
      </c>
      <c r="C9592" t="s">
        <v>40</v>
      </c>
      <c r="D9592">
        <v>4.4014790000000001</v>
      </c>
      <c r="E9592">
        <v>0.44719619999999999</v>
      </c>
      <c r="F9592" t="s">
        <v>87</v>
      </c>
      <c r="G9592">
        <v>-245.1146</v>
      </c>
      <c r="H9592" s="1">
        <v>-1.369247E-6</v>
      </c>
      <c r="I9592">
        <v>-59.32405</v>
      </c>
      <c r="J9592">
        <v>-260.81709999999998</v>
      </c>
      <c r="K9592">
        <v>1.1126020000000001</v>
      </c>
      <c r="L9592">
        <v>-62.283450000000002</v>
      </c>
      <c r="M9592">
        <v>0.99890420000000002</v>
      </c>
      <c r="N9592">
        <v>0</v>
      </c>
      <c r="O9592">
        <v>-4.5660449999999998E-2</v>
      </c>
      <c r="P9592">
        <v>0.99700580000000005</v>
      </c>
      <c r="Q9592">
        <v>6.5410300000000005E-2</v>
      </c>
      <c r="R9592">
        <v>4.1242920000000002E-2</v>
      </c>
      <c r="S9592">
        <v>3.0000610000000001</v>
      </c>
      <c r="T9592">
        <v>-0.21075459999999999</v>
      </c>
      <c r="U9592">
        <v>0.55963130000000005</v>
      </c>
      <c r="V9592">
        <v>-8.7170369999999997E-2</v>
      </c>
      <c r="W9592">
        <v>7.5108129999999995E-2</v>
      </c>
      <c r="X9592">
        <v>0.99335799999999996</v>
      </c>
      <c r="Y9592">
        <v>-0.22742229999999999</v>
      </c>
      <c r="Z9592">
        <v>1.108951E-2</v>
      </c>
      <c r="AA9592">
        <v>0.97373310000000002</v>
      </c>
      <c r="AB9592">
        <v>29</v>
      </c>
      <c r="AC9592">
        <v>15.702499999999899</v>
      </c>
      <c r="AD9592">
        <v>-1.1126033692470001</v>
      </c>
      <c r="AE9592">
        <v>2.9594</v>
      </c>
      <c r="AF9592">
        <v>-3.6556108155148501</v>
      </c>
      <c r="AG9592">
        <v>-1.1126033692470001</v>
      </c>
      <c r="AH9592">
        <v>15.475954920763</v>
      </c>
      <c r="AI9592">
        <v>94.002287764152896</v>
      </c>
      <c r="AJ9592">
        <v>103.290357592246</v>
      </c>
      <c r="AK9592">
        <v>15.940720102970801</v>
      </c>
      <c r="AL9592">
        <v>85.692564823745599</v>
      </c>
      <c r="AM9592">
        <v>95.015042875942896</v>
      </c>
      <c r="AN9592">
        <v>1.0000000103810101</v>
      </c>
    </row>
    <row r="9593" spans="1:40" x14ac:dyDescent="0.25">
      <c r="A9593" t="str">
        <f>"20190312150911749"</f>
        <v>20190312150911749</v>
      </c>
      <c r="B9593" t="str">
        <f>"1552374551739456"</f>
        <v>1552374551739456</v>
      </c>
      <c r="C9593" t="s">
        <v>40</v>
      </c>
      <c r="D9593">
        <v>4.3950209999999998</v>
      </c>
      <c r="E9593">
        <v>0.44713199999999997</v>
      </c>
      <c r="F9593" t="s">
        <v>87</v>
      </c>
      <c r="G9593">
        <v>-244.91749999999999</v>
      </c>
      <c r="H9593" s="1">
        <v>-1.2878489999999899E-6</v>
      </c>
      <c r="I9593">
        <v>-59.306310000000003</v>
      </c>
      <c r="J9593">
        <v>-260.67590000000001</v>
      </c>
      <c r="K9593">
        <v>1.112587</v>
      </c>
      <c r="L9593">
        <v>-62.28839</v>
      </c>
      <c r="M9593">
        <v>0.99897279999999999</v>
      </c>
      <c r="N9593">
        <v>0</v>
      </c>
      <c r="O9593">
        <v>-4.4132310000000001E-2</v>
      </c>
      <c r="P9593">
        <v>0.99699450000000001</v>
      </c>
      <c r="Q9593">
        <v>6.5270599999999998E-2</v>
      </c>
      <c r="R9593">
        <v>4.1736080000000002E-2</v>
      </c>
      <c r="S9593">
        <v>2.9995729999999998</v>
      </c>
      <c r="T9593">
        <v>-0.20990010000000001</v>
      </c>
      <c r="U9593">
        <v>0.56164550000000002</v>
      </c>
      <c r="V9593">
        <v>-8.6138080000000006E-2</v>
      </c>
      <c r="W9593">
        <v>7.4981660000000006E-2</v>
      </c>
      <c r="X9593">
        <v>0.99345760000000005</v>
      </c>
      <c r="Y9593">
        <v>-0.2266039</v>
      </c>
      <c r="Z9593">
        <v>1.091137E-2</v>
      </c>
      <c r="AA9593">
        <v>0.97392590000000001</v>
      </c>
      <c r="AB9593">
        <v>29</v>
      </c>
      <c r="AC9593">
        <v>15.7584</v>
      </c>
      <c r="AD9593">
        <v>-1.1125882878489901</v>
      </c>
      <c r="AE9593">
        <v>2.9820799999999998</v>
      </c>
      <c r="AF9593">
        <v>-3.6570662139442098</v>
      </c>
      <c r="AG9593">
        <v>-1.1125882878489901</v>
      </c>
      <c r="AH9593">
        <v>15.536662776896099</v>
      </c>
      <c r="AI9593">
        <v>93.987382110949696</v>
      </c>
      <c r="AJ9593">
        <v>103.24534497014299</v>
      </c>
      <c r="AK9593">
        <v>15.9999961323251</v>
      </c>
      <c r="AL9593">
        <v>85.699831512693606</v>
      </c>
      <c r="AM9593">
        <v>94.955456828303099</v>
      </c>
      <c r="AN9593">
        <v>1.0000000105800999</v>
      </c>
    </row>
    <row r="9594" spans="1:40" x14ac:dyDescent="0.25">
      <c r="A9594" t="str">
        <f>"20190312150911758"</f>
        <v>20190312150911758</v>
      </c>
      <c r="B9594" t="str">
        <f>"1552374551749216"</f>
        <v>1552374551749216</v>
      </c>
      <c r="C9594" t="s">
        <v>40</v>
      </c>
      <c r="D9594">
        <v>4.4329429999999999</v>
      </c>
      <c r="E9594">
        <v>0.44702710000000001</v>
      </c>
      <c r="F9594" t="s">
        <v>87</v>
      </c>
      <c r="G9594">
        <v>-244.86660000000001</v>
      </c>
      <c r="H9594" s="1">
        <v>-1.2640389999999999E-6</v>
      </c>
      <c r="I9594">
        <v>-59.317439999999998</v>
      </c>
      <c r="J9594">
        <v>-260.5385</v>
      </c>
      <c r="K9594">
        <v>1.112568</v>
      </c>
      <c r="L9594">
        <v>-62.292999999999999</v>
      </c>
      <c r="M9594">
        <v>0.9990367</v>
      </c>
      <c r="N9594">
        <v>0</v>
      </c>
      <c r="O9594">
        <v>-4.2660080000000003E-2</v>
      </c>
      <c r="P9594">
        <v>0.99695670000000003</v>
      </c>
      <c r="Q9594">
        <v>6.5349749999999998E-2</v>
      </c>
      <c r="R9594">
        <v>4.2506309999999999E-2</v>
      </c>
      <c r="S9594">
        <v>2.999298</v>
      </c>
      <c r="T9594">
        <v>-0.21107719999999999</v>
      </c>
      <c r="U9594">
        <v>0.56362919999999905</v>
      </c>
      <c r="V9594">
        <v>-8.5437769999999996E-2</v>
      </c>
      <c r="W9594">
        <v>7.5071990000000005E-2</v>
      </c>
      <c r="X9594">
        <v>0.99351129999999999</v>
      </c>
      <c r="Y9594">
        <v>-0.22580520000000001</v>
      </c>
      <c r="Z9594">
        <v>1.08422E-2</v>
      </c>
      <c r="AA9594">
        <v>0.97411219999999998</v>
      </c>
      <c r="AB9594">
        <v>29</v>
      </c>
      <c r="AC9594">
        <v>15.6718999999999</v>
      </c>
      <c r="AD9594">
        <v>-1.1125692640389999</v>
      </c>
      <c r="AE9594">
        <v>2.97555999999999</v>
      </c>
      <c r="AF9594">
        <v>-3.6238229962568602</v>
      </c>
      <c r="AG9594">
        <v>-1.1125692640389999</v>
      </c>
      <c r="AH9594">
        <v>15.4555051775934</v>
      </c>
      <c r="AI9594">
        <v>94.008997509928605</v>
      </c>
      <c r="AJ9594">
        <v>103.19566730454601</v>
      </c>
      <c r="AK9594">
        <v>15.913596192253401</v>
      </c>
      <c r="AL9594">
        <v>85.694641568602407</v>
      </c>
      <c r="AM9594">
        <v>94.915102348361998</v>
      </c>
      <c r="AN9594">
        <v>1.0000000597264</v>
      </c>
    </row>
    <row r="9595" spans="1:40" x14ac:dyDescent="0.25">
      <c r="A9595" t="str">
        <f>"20190312150911770"</f>
        <v>20190312150911770</v>
      </c>
      <c r="B9595" t="str">
        <f>"1552374551758977"</f>
        <v>1552374551758977</v>
      </c>
      <c r="C9595" t="s">
        <v>40</v>
      </c>
      <c r="D9595">
        <v>4.4345359999999996</v>
      </c>
      <c r="E9595">
        <v>0.4469862</v>
      </c>
      <c r="F9595" t="s">
        <v>87</v>
      </c>
      <c r="G9595">
        <v>-244.726</v>
      </c>
      <c r="H9595" s="1">
        <v>-1.2061580000000001E-6</v>
      </c>
      <c r="I9595">
        <v>-59.303780000000003</v>
      </c>
      <c r="J9595">
        <v>-260.39609999999999</v>
      </c>
      <c r="K9595">
        <v>1.112549</v>
      </c>
      <c r="L9595">
        <v>-62.297580000000004</v>
      </c>
      <c r="M9595">
        <v>0.99910010000000005</v>
      </c>
      <c r="N9595">
        <v>0</v>
      </c>
      <c r="O9595">
        <v>-4.114959E-2</v>
      </c>
      <c r="P9595">
        <v>0.99694380000000005</v>
      </c>
      <c r="Q9595">
        <v>6.5122929999999996E-2</v>
      </c>
      <c r="R9595">
        <v>4.3153280000000002E-2</v>
      </c>
      <c r="S9595">
        <v>2.99884</v>
      </c>
      <c r="T9595">
        <v>-0.21099850000000001</v>
      </c>
      <c r="U9595">
        <v>0.56689449999999997</v>
      </c>
      <c r="V9595">
        <v>-8.457597E-2</v>
      </c>
      <c r="W9595">
        <v>7.4858019999999997E-2</v>
      </c>
      <c r="X9595">
        <v>0.99360110000000001</v>
      </c>
      <c r="Y9595">
        <v>-0.22538900000000001</v>
      </c>
      <c r="Z9595">
        <v>1.071887E-2</v>
      </c>
      <c r="AA9595">
        <v>0.97420989999999996</v>
      </c>
      <c r="AB9595">
        <v>29</v>
      </c>
      <c r="AC9595">
        <v>15.6700999999999</v>
      </c>
      <c r="AD9595">
        <v>-1.1125502061579999</v>
      </c>
      <c r="AE9595">
        <v>2.9937999999999998</v>
      </c>
      <c r="AF9595">
        <v>-3.6185185071333898</v>
      </c>
      <c r="AG9595">
        <v>-1.1125502061579999</v>
      </c>
      <c r="AH9595">
        <v>15.458447614609801</v>
      </c>
      <c r="AI9595">
        <v>94.008512538606098</v>
      </c>
      <c r="AJ9595">
        <v>103.17460541355899</v>
      </c>
      <c r="AK9595">
        <v>15.915245734870799</v>
      </c>
      <c r="AL9595">
        <v>85.706935404817401</v>
      </c>
      <c r="AM9595">
        <v>94.865325914353605</v>
      </c>
      <c r="AN9595">
        <v>0.999999981890485</v>
      </c>
    </row>
    <row r="9596" spans="1:40" x14ac:dyDescent="0.25">
      <c r="A9596" t="str">
        <f>"20190312150911782"</f>
        <v>20190312150911782</v>
      </c>
      <c r="B9596" t="str">
        <f>"1552374551779473"</f>
        <v>1552374551779473</v>
      </c>
      <c r="C9596" t="s">
        <v>40</v>
      </c>
      <c r="D9596">
        <v>4.4591949999999896</v>
      </c>
      <c r="E9596">
        <v>0.44682090000000002</v>
      </c>
      <c r="F9596" t="s">
        <v>87</v>
      </c>
      <c r="G9596">
        <v>-244.8039</v>
      </c>
      <c r="H9596" s="1">
        <v>-1.233693E-6</v>
      </c>
      <c r="I9596">
        <v>-59.336829999999999</v>
      </c>
      <c r="J9596">
        <v>-260.24919999999997</v>
      </c>
      <c r="K9596">
        <v>1.112528</v>
      </c>
      <c r="L9596">
        <v>-62.302149999999997</v>
      </c>
      <c r="M9596">
        <v>0.99916260000000001</v>
      </c>
      <c r="N9596">
        <v>0</v>
      </c>
      <c r="O9596">
        <v>-3.9602390000000001E-2</v>
      </c>
      <c r="P9596">
        <v>0.99694340000000004</v>
      </c>
      <c r="Q9596">
        <v>6.4783969999999996E-2</v>
      </c>
      <c r="R9596">
        <v>4.3670870000000001E-2</v>
      </c>
      <c r="S9596">
        <v>2.998535</v>
      </c>
      <c r="T9596">
        <v>-0.21395359999999999</v>
      </c>
      <c r="U9596">
        <v>0.5693665</v>
      </c>
      <c r="V9596">
        <v>-8.3547490000000002E-2</v>
      </c>
      <c r="W9596">
        <v>7.4532780000000007E-2</v>
      </c>
      <c r="X9596">
        <v>0.99371259999999995</v>
      </c>
      <c r="Y9596">
        <v>-0.22466149999999999</v>
      </c>
      <c r="Z9596">
        <v>1.073377E-2</v>
      </c>
      <c r="AA9596">
        <v>0.97437779999999996</v>
      </c>
      <c r="AB9596">
        <v>29</v>
      </c>
      <c r="AC9596">
        <v>15.4452999999999</v>
      </c>
      <c r="AD9596">
        <v>-1.1125292336929999</v>
      </c>
      <c r="AE9596">
        <v>2.96531999999999</v>
      </c>
      <c r="AF9596">
        <v>-3.55689822290796</v>
      </c>
      <c r="AG9596">
        <v>-1.1125292336929999</v>
      </c>
      <c r="AH9596">
        <v>15.2394850440017</v>
      </c>
      <c r="AI9596">
        <v>94.066449993229</v>
      </c>
      <c r="AJ9596">
        <v>103.137653352649</v>
      </c>
      <c r="AK9596">
        <v>15.688567514923101</v>
      </c>
      <c r="AL9596">
        <v>85.725622673007905</v>
      </c>
      <c r="AM9596">
        <v>94.805903557740393</v>
      </c>
      <c r="AN9596">
        <v>1.00000002488929</v>
      </c>
    </row>
    <row r="9597" spans="1:40" x14ac:dyDescent="0.25">
      <c r="A9597" t="str">
        <f>"20190312150911794"</f>
        <v>20190312150911794</v>
      </c>
      <c r="B9597" t="str">
        <f>"1552374551789232"</f>
        <v>1552374551789232</v>
      </c>
      <c r="C9597" t="s">
        <v>40</v>
      </c>
      <c r="D9597">
        <v>4.4661150000000003</v>
      </c>
      <c r="E9597">
        <v>0.4467798</v>
      </c>
      <c r="F9597" t="s">
        <v>87</v>
      </c>
      <c r="G9597">
        <v>-244.8287</v>
      </c>
      <c r="H9597" s="1">
        <v>-1.2406020000000001E-6</v>
      </c>
      <c r="I9597">
        <v>-59.357990000000001</v>
      </c>
      <c r="J9597">
        <v>-260.09840000000003</v>
      </c>
      <c r="K9597">
        <v>1.1125080000000001</v>
      </c>
      <c r="L9597">
        <v>-62.3065199999999</v>
      </c>
      <c r="M9597">
        <v>0.99922339999999998</v>
      </c>
      <c r="N9597">
        <v>0</v>
      </c>
      <c r="O9597">
        <v>-3.8039580000000003E-2</v>
      </c>
      <c r="P9597">
        <v>0.99692979999999998</v>
      </c>
      <c r="Q9597">
        <v>6.4582769999999998E-2</v>
      </c>
      <c r="R9597">
        <v>4.4276410000000002E-2</v>
      </c>
      <c r="S9597">
        <v>2.9981689999999999</v>
      </c>
      <c r="T9597">
        <v>-0.21630720000000001</v>
      </c>
      <c r="U9597">
        <v>0.57241819999999999</v>
      </c>
      <c r="V9597">
        <v>-8.2591910000000004E-2</v>
      </c>
      <c r="W9597">
        <v>7.4345419999999995E-2</v>
      </c>
      <c r="X9597">
        <v>0.99380650000000004</v>
      </c>
      <c r="Y9597">
        <v>-0.22410759999999999</v>
      </c>
      <c r="Z9597">
        <v>1.072031E-2</v>
      </c>
      <c r="AA9597">
        <v>0.97450539999999997</v>
      </c>
      <c r="AB9597">
        <v>29</v>
      </c>
      <c r="AC9597">
        <v>15.2697</v>
      </c>
      <c r="AD9597">
        <v>-1.1125092406020001</v>
      </c>
      <c r="AE9597">
        <v>2.9485299999999901</v>
      </c>
      <c r="AF9597">
        <v>-3.50932084467189</v>
      </c>
      <c r="AG9597">
        <v>-1.1125092406020001</v>
      </c>
      <c r="AH9597">
        <v>15.069364717865399</v>
      </c>
      <c r="AI9597">
        <v>94.112599845772607</v>
      </c>
      <c r="AJ9597">
        <v>103.10926854394801</v>
      </c>
      <c r="AK9597">
        <v>15.512535659953199</v>
      </c>
      <c r="AL9597">
        <v>85.736387422332797</v>
      </c>
      <c r="AM9597">
        <v>94.750741937296297</v>
      </c>
      <c r="AN9597">
        <v>1.00000001225733</v>
      </c>
    </row>
    <row r="9598" spans="1:40" x14ac:dyDescent="0.25">
      <c r="A9598" t="str">
        <f>"20190312150911805"</f>
        <v>20190312150911805</v>
      </c>
      <c r="B9598" t="str">
        <f>"1552374551798994"</f>
        <v>1552374551798994</v>
      </c>
      <c r="C9598" t="s">
        <v>40</v>
      </c>
      <c r="D9598">
        <v>4.5140929999999999</v>
      </c>
      <c r="E9598">
        <v>0.4468164</v>
      </c>
      <c r="F9598" t="s">
        <v>87</v>
      </c>
      <c r="G9598">
        <v>-244.74180000000001</v>
      </c>
      <c r="H9598" s="1">
        <v>-1.202488E-6</v>
      </c>
      <c r="I9598">
        <v>-59.362580000000001</v>
      </c>
      <c r="J9598">
        <v>-259.94900000000001</v>
      </c>
      <c r="K9598">
        <v>1.112484</v>
      </c>
      <c r="L9598">
        <v>-62.31073</v>
      </c>
      <c r="M9598">
        <v>0.99928059999999996</v>
      </c>
      <c r="N9598">
        <v>0</v>
      </c>
      <c r="O9598">
        <v>-3.6500030000000003E-2</v>
      </c>
      <c r="P9598">
        <v>0.99691229999999997</v>
      </c>
      <c r="Q9598">
        <v>6.4373390000000003E-2</v>
      </c>
      <c r="R9598">
        <v>4.496754E-2</v>
      </c>
      <c r="S9598">
        <v>2.9977719999999999</v>
      </c>
      <c r="T9598">
        <v>-0.2171737</v>
      </c>
      <c r="U9598">
        <v>0.57467650000000003</v>
      </c>
      <c r="V9598">
        <v>-8.1744349999999993E-2</v>
      </c>
      <c r="W9598">
        <v>7.4149030000000005E-2</v>
      </c>
      <c r="X9598">
        <v>0.99389119999999997</v>
      </c>
      <c r="Y9598">
        <v>-0.2233387</v>
      </c>
      <c r="Z9598">
        <v>1.062571E-2</v>
      </c>
      <c r="AA9598">
        <v>0.97468299999999997</v>
      </c>
      <c r="AB9598">
        <v>29</v>
      </c>
      <c r="AC9598">
        <v>15.2072</v>
      </c>
      <c r="AD9598">
        <v>-1.1124852024879901</v>
      </c>
      <c r="AE9598">
        <v>2.94815</v>
      </c>
      <c r="AF9598">
        <v>-3.4833116630336298</v>
      </c>
      <c r="AG9598">
        <v>-1.1124852024879901</v>
      </c>
      <c r="AH9598">
        <v>15.0120229468254</v>
      </c>
      <c r="AI9598">
        <v>94.128930666702203</v>
      </c>
      <c r="AJ9598">
        <v>103.063442837767</v>
      </c>
      <c r="AK9598">
        <v>15.450951958490901</v>
      </c>
      <c r="AL9598">
        <v>85.747670693217401</v>
      </c>
      <c r="AM9598">
        <v>94.701810528996006</v>
      </c>
      <c r="AN9598">
        <v>0.99999996742215103</v>
      </c>
    </row>
    <row r="9599" spans="1:40" x14ac:dyDescent="0.25">
      <c r="A9599" t="str">
        <f>"20190312150911816"</f>
        <v>20190312150911816</v>
      </c>
      <c r="B9599" t="str">
        <f>"1552374551808752"</f>
        <v>1552374551808752</v>
      </c>
      <c r="C9599" t="s">
        <v>40</v>
      </c>
      <c r="D9599">
        <v>4.496289</v>
      </c>
      <c r="E9599">
        <v>0.44678329999999999</v>
      </c>
      <c r="F9599" t="s">
        <v>87</v>
      </c>
      <c r="G9599">
        <v>-244.52799999999999</v>
      </c>
      <c r="H9599" s="1">
        <v>-1.114059E-6</v>
      </c>
      <c r="I9599">
        <v>-59.344029999999997</v>
      </c>
      <c r="J9599">
        <v>-259.81130000000002</v>
      </c>
      <c r="K9599">
        <v>1.11246</v>
      </c>
      <c r="L9599">
        <v>-62.314329999999998</v>
      </c>
      <c r="M9599">
        <v>0.99933059999999996</v>
      </c>
      <c r="N9599">
        <v>0</v>
      </c>
      <c r="O9599">
        <v>-3.510746E-2</v>
      </c>
      <c r="P9599">
        <v>0.99694850000000002</v>
      </c>
      <c r="Q9599">
        <v>6.3877219999999998E-2</v>
      </c>
      <c r="R9599">
        <v>4.4873280000000001E-2</v>
      </c>
      <c r="S9599">
        <v>2.9972530000000002</v>
      </c>
      <c r="T9599">
        <v>-0.216224</v>
      </c>
      <c r="U9599">
        <v>0.57659910000000003</v>
      </c>
      <c r="V9599">
        <v>-8.025852E-2</v>
      </c>
      <c r="W9599">
        <v>7.3668739999999996E-2</v>
      </c>
      <c r="X9599">
        <v>0.99404809999999999</v>
      </c>
      <c r="Y9599">
        <v>-0.22262560000000001</v>
      </c>
      <c r="Z9599">
        <v>1.0455529999999999E-2</v>
      </c>
      <c r="AA9599">
        <v>0.97484800000000005</v>
      </c>
      <c r="AB9599">
        <v>29</v>
      </c>
      <c r="AC9599">
        <v>15.283300000000001</v>
      </c>
      <c r="AD9599">
        <v>-1.1124611140589999</v>
      </c>
      <c r="AE9599">
        <v>2.9702999999999999</v>
      </c>
      <c r="AF9599">
        <v>-3.4872510111728201</v>
      </c>
      <c r="AG9599">
        <v>-1.1124611140589999</v>
      </c>
      <c r="AH9599">
        <v>15.0925381802715</v>
      </c>
      <c r="AI9599">
        <v>94.107769437941997</v>
      </c>
      <c r="AJ9599">
        <v>103.01032206278499</v>
      </c>
      <c r="AK9599">
        <v>15.5300739878525</v>
      </c>
      <c r="AL9599">
        <v>85.775265184900704</v>
      </c>
      <c r="AM9599">
        <v>94.615995133803196</v>
      </c>
      <c r="AN9599">
        <v>1.00000006919969</v>
      </c>
    </row>
    <row r="9600" spans="1:40" x14ac:dyDescent="0.25">
      <c r="A9600" t="str">
        <f>"20190312150911828"</f>
        <v>20190312150911828</v>
      </c>
      <c r="B9600" t="str">
        <f>"1552374551818513"</f>
        <v>1552374551818513</v>
      </c>
      <c r="C9600" t="s">
        <v>40</v>
      </c>
      <c r="D9600">
        <v>4.4902319999999998</v>
      </c>
      <c r="E9600">
        <v>0.44676060000000001</v>
      </c>
      <c r="F9600" t="s">
        <v>87</v>
      </c>
      <c r="G9600">
        <v>-244.6223</v>
      </c>
      <c r="H9600" s="1">
        <v>-1.1461769999999999E-6</v>
      </c>
      <c r="I9600">
        <v>-59.391060000000003</v>
      </c>
      <c r="J9600">
        <v>-259.66070000000002</v>
      </c>
      <c r="K9600">
        <v>1.1124350000000001</v>
      </c>
      <c r="L9600">
        <v>-62.318150000000003</v>
      </c>
      <c r="M9600">
        <v>0.99938269999999996</v>
      </c>
      <c r="N9600">
        <v>0</v>
      </c>
      <c r="O9600">
        <v>-3.3593190000000002E-2</v>
      </c>
      <c r="P9600">
        <v>0.99695719999999999</v>
      </c>
      <c r="Q9600">
        <v>6.3569559999999997E-2</v>
      </c>
      <c r="R9600">
        <v>4.5119630000000001E-2</v>
      </c>
      <c r="S9600">
        <v>2.9972840000000001</v>
      </c>
      <c r="T9600">
        <v>-0.21952440000000001</v>
      </c>
      <c r="U9600">
        <v>0.57684329999999995</v>
      </c>
      <c r="V9600">
        <v>-7.8991729999999996E-2</v>
      </c>
      <c r="W9600">
        <v>7.3376750000000004E-2</v>
      </c>
      <c r="X9600">
        <v>0.99417109999999997</v>
      </c>
      <c r="Y9600">
        <v>-0.22121089999999999</v>
      </c>
      <c r="Z9600">
        <v>1.045336E-2</v>
      </c>
      <c r="AA9600">
        <v>0.97516999999999998</v>
      </c>
      <c r="AB9600">
        <v>29</v>
      </c>
      <c r="AC9600">
        <v>15.038399999999999</v>
      </c>
      <c r="AD9600">
        <v>-1.112436146177</v>
      </c>
      <c r="AE9600">
        <v>2.9270900000000002</v>
      </c>
      <c r="AF9600">
        <v>-3.41265981570535</v>
      </c>
      <c r="AG9600">
        <v>-1.112436146177</v>
      </c>
      <c r="AH9600">
        <v>14.8532653609506</v>
      </c>
      <c r="AI9600">
        <v>94.174799421092004</v>
      </c>
      <c r="AJ9600">
        <v>102.93960686781401</v>
      </c>
      <c r="AK9600">
        <v>15.2808132335902</v>
      </c>
      <c r="AL9600">
        <v>85.792040123800902</v>
      </c>
      <c r="AM9600">
        <v>94.542884578445097</v>
      </c>
      <c r="AN9600">
        <v>1.0000000084620799</v>
      </c>
    </row>
    <row r="9601" spans="1:40" x14ac:dyDescent="0.25">
      <c r="A9601" t="str">
        <f>"20190312150911838"</f>
        <v>20190312150911838</v>
      </c>
      <c r="B9601" t="str">
        <f>"1552374551829249"</f>
        <v>1552374551829249</v>
      </c>
      <c r="C9601" t="s">
        <v>40</v>
      </c>
      <c r="D9601">
        <v>4.4720959999999996</v>
      </c>
      <c r="E9601">
        <v>0.44673649999999998</v>
      </c>
      <c r="F9601" t="s">
        <v>87</v>
      </c>
      <c r="G9601">
        <v>-244.63579999999999</v>
      </c>
      <c r="H9601" s="1">
        <v>-1.146664E-6</v>
      </c>
      <c r="I9601">
        <v>-59.420990000000003</v>
      </c>
      <c r="J9601">
        <v>-259.52640000000002</v>
      </c>
      <c r="K9601">
        <v>1.112412</v>
      </c>
      <c r="L9601">
        <v>-62.321319999999901</v>
      </c>
      <c r="M9601">
        <v>0.9994265</v>
      </c>
      <c r="N9601">
        <v>0</v>
      </c>
      <c r="O9601">
        <v>-3.2261289999999998E-2</v>
      </c>
      <c r="P9601">
        <v>0.99694910000000003</v>
      </c>
      <c r="Q9601">
        <v>6.3388239999999998E-2</v>
      </c>
      <c r="R9601">
        <v>4.5548859999999997E-2</v>
      </c>
      <c r="S9601">
        <v>2.9971619999999999</v>
      </c>
      <c r="T9601">
        <v>-0.22190860000000001</v>
      </c>
      <c r="U9601">
        <v>0.57791139999999996</v>
      </c>
      <c r="V9601">
        <v>-7.8089619999999998E-2</v>
      </c>
      <c r="W9601">
        <v>7.3207469999999997E-2</v>
      </c>
      <c r="X9601">
        <v>0.99425479999999999</v>
      </c>
      <c r="Y9601">
        <v>-0.22024550000000001</v>
      </c>
      <c r="Z9601">
        <v>1.043359E-2</v>
      </c>
      <c r="AA9601">
        <v>0.97538860000000005</v>
      </c>
      <c r="AB9601">
        <v>29</v>
      </c>
      <c r="AC9601">
        <v>14.890599999999999</v>
      </c>
      <c r="AD9601">
        <v>-1.1124131466639999</v>
      </c>
      <c r="AE9601">
        <v>2.9003299999999799</v>
      </c>
      <c r="AF9601">
        <v>-3.36116270017996</v>
      </c>
      <c r="AG9601">
        <v>-1.1124131466639999</v>
      </c>
      <c r="AH9601">
        <v>14.710178821397999</v>
      </c>
      <c r="AI9601">
        <v>94.216332975637002</v>
      </c>
      <c r="AJ9601">
        <v>102.87069325557</v>
      </c>
      <c r="AK9601">
        <v>15.1302425183293</v>
      </c>
      <c r="AL9601">
        <v>85.801765125668993</v>
      </c>
      <c r="AM9601">
        <v>94.490840367971302</v>
      </c>
      <c r="AN9601">
        <v>0.99999996486929199</v>
      </c>
    </row>
    <row r="9602" spans="1:40" x14ac:dyDescent="0.25">
      <c r="A9602" t="str">
        <f>"20190312150911849"</f>
        <v>20190312150911849</v>
      </c>
      <c r="B9602" t="str">
        <f>"1552374551839009"</f>
        <v>1552374551839009</v>
      </c>
      <c r="C9602" t="s">
        <v>40</v>
      </c>
      <c r="D9602">
        <v>4.5068349999999997</v>
      </c>
      <c r="E9602">
        <v>0.44671529999999998</v>
      </c>
      <c r="F9602" t="s">
        <v>87</v>
      </c>
      <c r="G9602">
        <v>-244.49610000000001</v>
      </c>
      <c r="H9602" s="1">
        <v>-1.0877870000000001E-6</v>
      </c>
      <c r="I9602">
        <v>-59.414949999999997</v>
      </c>
      <c r="J9602">
        <v>-259.38560000000001</v>
      </c>
      <c r="K9602">
        <v>1.112385</v>
      </c>
      <c r="L9602">
        <v>-62.3245199999999</v>
      </c>
      <c r="M9602">
        <v>0.99947010000000003</v>
      </c>
      <c r="N9602">
        <v>0</v>
      </c>
      <c r="O9602">
        <v>-3.087898E-2</v>
      </c>
      <c r="P9602">
        <v>0.99698089999999995</v>
      </c>
      <c r="Q9602">
        <v>6.3065010000000005E-2</v>
      </c>
      <c r="R9602">
        <v>4.5298390000000001E-2</v>
      </c>
      <c r="S9602">
        <v>2.9967959999999998</v>
      </c>
      <c r="T9602">
        <v>-0.2217962</v>
      </c>
      <c r="U9602">
        <v>0.57946779999999998</v>
      </c>
      <c r="V9602">
        <v>-7.6457949999999997E-2</v>
      </c>
      <c r="W9602">
        <v>7.2901679999999996E-2</v>
      </c>
      <c r="X9602">
        <v>0.99440410000000001</v>
      </c>
      <c r="Y9602">
        <v>-0.21941350000000001</v>
      </c>
      <c r="Z9602">
        <v>1.0297250000000001E-2</v>
      </c>
      <c r="AA9602">
        <v>0.97557760000000004</v>
      </c>
      <c r="AB9602">
        <v>29</v>
      </c>
      <c r="AC9602">
        <v>14.8894999999999</v>
      </c>
      <c r="AD9602">
        <v>-1.112386087787</v>
      </c>
      <c r="AE9602">
        <v>2.9095699999999902</v>
      </c>
      <c r="AF9602">
        <v>-3.3499691858649401</v>
      </c>
      <c r="AG9602">
        <v>-1.112386087787</v>
      </c>
      <c r="AH9602">
        <v>14.713447052447901</v>
      </c>
      <c r="AI9602">
        <v>94.216036676294806</v>
      </c>
      <c r="AJ9602">
        <v>102.82649580044</v>
      </c>
      <c r="AK9602">
        <v>15.1309358771933</v>
      </c>
      <c r="AL9602">
        <v>85.819332664136894</v>
      </c>
      <c r="AM9602">
        <v>94.396719301006101</v>
      </c>
      <c r="AN9602">
        <v>0.99999999358091696</v>
      </c>
    </row>
    <row r="9603" spans="1:40" x14ac:dyDescent="0.25">
      <c r="A9603" t="str">
        <f>"20190312150911859"</f>
        <v>20190312150911859</v>
      </c>
      <c r="B9603" t="str">
        <f>"1552374551848768"</f>
        <v>1552374551848768</v>
      </c>
      <c r="C9603" t="s">
        <v>40</v>
      </c>
      <c r="D9603">
        <v>4.4720009999999997</v>
      </c>
      <c r="E9603">
        <v>0.44667319999999999</v>
      </c>
      <c r="F9603" t="s">
        <v>87</v>
      </c>
      <c r="G9603">
        <v>-244.41589999999999</v>
      </c>
      <c r="H9603" s="1">
        <v>-1.0503370000000001E-6</v>
      </c>
      <c r="I9603">
        <v>-59.432250000000003</v>
      </c>
      <c r="J9603">
        <v>-259.24770000000001</v>
      </c>
      <c r="K9603">
        <v>1.112363</v>
      </c>
      <c r="L9603">
        <v>-62.327449999999999</v>
      </c>
      <c r="M9603">
        <v>0.99951049999999997</v>
      </c>
      <c r="N9603">
        <v>0</v>
      </c>
      <c r="O9603">
        <v>-2.9541020000000001E-2</v>
      </c>
      <c r="P9603">
        <v>0.99700509999999998</v>
      </c>
      <c r="Q9603">
        <v>6.2633250000000001E-2</v>
      </c>
      <c r="R9603">
        <v>4.5365830000000003E-2</v>
      </c>
      <c r="S9603">
        <v>2.9968569999999999</v>
      </c>
      <c r="T9603">
        <v>-0.22269510000000001</v>
      </c>
      <c r="U9603">
        <v>0.57901000000000002</v>
      </c>
      <c r="V9603">
        <v>-7.5188000000000005E-2</v>
      </c>
      <c r="W9603">
        <v>7.2484599999999996E-2</v>
      </c>
      <c r="X9603">
        <v>0.99453139999999995</v>
      </c>
      <c r="Y9603">
        <v>-0.21796219999999999</v>
      </c>
      <c r="Z9603">
        <v>1.018696E-2</v>
      </c>
      <c r="AA9603">
        <v>0.97590399999999999</v>
      </c>
      <c r="AB9603">
        <v>29</v>
      </c>
      <c r="AC9603">
        <v>14.831799999999999</v>
      </c>
      <c r="AD9603">
        <v>-1.112364050337</v>
      </c>
      <c r="AE9603">
        <v>2.8951999999999898</v>
      </c>
      <c r="AF9603">
        <v>-3.3141489057698301</v>
      </c>
      <c r="AG9603">
        <v>-1.112364050337</v>
      </c>
      <c r="AH9603">
        <v>14.6603599065403</v>
      </c>
      <c r="AI9603">
        <v>94.232637474006907</v>
      </c>
      <c r="AJ9603">
        <v>102.738281303343</v>
      </c>
      <c r="AK9603">
        <v>15.071399714007701</v>
      </c>
      <c r="AL9603">
        <v>85.843292918331002</v>
      </c>
      <c r="AM9603">
        <v>94.323418666530003</v>
      </c>
      <c r="AN9603">
        <v>0.99999997908355898</v>
      </c>
    </row>
    <row r="9604" spans="1:40" x14ac:dyDescent="0.25">
      <c r="A9604" t="str">
        <f>"20190312150911871"</f>
        <v>20190312150911871</v>
      </c>
      <c r="B9604" t="str">
        <f>"1552374551869264"</f>
        <v>1552374551869264</v>
      </c>
      <c r="C9604" t="s">
        <v>40</v>
      </c>
      <c r="D9604">
        <v>4.440626</v>
      </c>
      <c r="E9604">
        <v>0.44661780000000001</v>
      </c>
      <c r="F9604" t="s">
        <v>87</v>
      </c>
      <c r="G9604">
        <v>-244.37950000000001</v>
      </c>
      <c r="H9604" s="1">
        <v>-1.0312759999999999E-6</v>
      </c>
      <c r="I9604">
        <v>-59.451669999999901</v>
      </c>
      <c r="J9604">
        <v>-259.10419999999999</v>
      </c>
      <c r="K9604">
        <v>1.1123369999999999</v>
      </c>
      <c r="L9604">
        <v>-62.330319999999901</v>
      </c>
      <c r="M9604">
        <v>0.9995501</v>
      </c>
      <c r="N9604">
        <v>0</v>
      </c>
      <c r="O9604">
        <v>-2.817101E-2</v>
      </c>
      <c r="P9604">
        <v>0.9970599</v>
      </c>
      <c r="Q9604">
        <v>6.1736699999999999E-2</v>
      </c>
      <c r="R9604">
        <v>4.5392790000000002E-2</v>
      </c>
      <c r="S9604">
        <v>2.9967649999999999</v>
      </c>
      <c r="T9604">
        <v>-0.22420419999999999</v>
      </c>
      <c r="U9604">
        <v>0.57962040000000004</v>
      </c>
      <c r="V9604">
        <v>-7.3843439999999996E-2</v>
      </c>
      <c r="W9604">
        <v>7.160379E-2</v>
      </c>
      <c r="X9604">
        <v>0.99469600000000002</v>
      </c>
      <c r="Y9604">
        <v>-0.2168196</v>
      </c>
      <c r="Z9604">
        <v>1.0112090000000001E-2</v>
      </c>
      <c r="AA9604">
        <v>0.97615929999999995</v>
      </c>
      <c r="AB9604">
        <v>29</v>
      </c>
      <c r="AC9604">
        <v>14.724699999999901</v>
      </c>
      <c r="AD9604">
        <v>-1.1123380312760001</v>
      </c>
      <c r="AE9604">
        <v>2.8786499999999999</v>
      </c>
      <c r="AF9604">
        <v>-3.27434141603322</v>
      </c>
      <c r="AG9604">
        <v>-1.1123380312760001</v>
      </c>
      <c r="AH9604">
        <v>14.5577390601806</v>
      </c>
      <c r="AI9604">
        <v>94.263305138691706</v>
      </c>
      <c r="AJ9604">
        <v>102.676075865646</v>
      </c>
      <c r="AK9604">
        <v>14.9628330923285</v>
      </c>
      <c r="AL9604">
        <v>85.893891367616703</v>
      </c>
      <c r="AM9604">
        <v>94.245689773180203</v>
      </c>
      <c r="AN9604">
        <v>1.0000000443946899</v>
      </c>
    </row>
    <row r="9605" spans="1:40" x14ac:dyDescent="0.25">
      <c r="A9605" t="str">
        <f>"20190312150911882"</f>
        <v>20190312150911882</v>
      </c>
      <c r="B9605" t="str">
        <f>"1552374551879026"</f>
        <v>1552374551879026</v>
      </c>
      <c r="C9605" t="s">
        <v>40</v>
      </c>
      <c r="D9605">
        <v>4.4760600000000004</v>
      </c>
      <c r="E9605">
        <v>0.44667079999999998</v>
      </c>
      <c r="F9605" t="s">
        <v>87</v>
      </c>
      <c r="G9605">
        <v>-244.4161</v>
      </c>
      <c r="H9605" s="1">
        <v>-1.040867E-6</v>
      </c>
      <c r="I9605">
        <v>-59.486130000000003</v>
      </c>
      <c r="J9605">
        <v>-258.9556</v>
      </c>
      <c r="K9605">
        <v>1.1123080000000001</v>
      </c>
      <c r="L9605">
        <v>-62.333159999999999</v>
      </c>
      <c r="M9605">
        <v>0.99958860000000005</v>
      </c>
      <c r="N9605">
        <v>0</v>
      </c>
      <c r="O9605">
        <v>-2.6763929999999998E-2</v>
      </c>
      <c r="P9605">
        <v>0.99709449999999999</v>
      </c>
      <c r="Q9605">
        <v>6.1407879999999998E-2</v>
      </c>
      <c r="R9605">
        <v>4.5070310000000002E-2</v>
      </c>
      <c r="S9605">
        <v>2.996521</v>
      </c>
      <c r="T9605">
        <v>-0.22692809999999999</v>
      </c>
      <c r="U9605">
        <v>0.58023069999999999</v>
      </c>
      <c r="V9605">
        <v>-7.2114189999999995E-2</v>
      </c>
      <c r="W9605">
        <v>7.1293209999999996E-2</v>
      </c>
      <c r="X9605">
        <v>0.99484519999999999</v>
      </c>
      <c r="Y9605">
        <v>-0.2156429</v>
      </c>
      <c r="Z9605">
        <v>1.00856E-2</v>
      </c>
      <c r="AA9605">
        <v>0.97642019999999996</v>
      </c>
      <c r="AB9605">
        <v>29</v>
      </c>
      <c r="AC9605">
        <v>14.5395</v>
      </c>
      <c r="AD9605">
        <v>-1.112309040867</v>
      </c>
      <c r="AE9605">
        <v>2.84702999999999</v>
      </c>
      <c r="AF9605">
        <v>-3.2170320116937199</v>
      </c>
      <c r="AG9605">
        <v>-1.112309040867</v>
      </c>
      <c r="AH9605">
        <v>14.377052800140801</v>
      </c>
      <c r="AI9605">
        <v>94.317636729405095</v>
      </c>
      <c r="AJ9605">
        <v>102.61282828974799</v>
      </c>
      <c r="AK9605">
        <v>14.774510942318701</v>
      </c>
      <c r="AL9605">
        <v>85.911732010936305</v>
      </c>
      <c r="AM9605">
        <v>94.145996342761805</v>
      </c>
      <c r="AN9605">
        <v>1.00000007507724</v>
      </c>
    </row>
    <row r="9606" spans="1:40" x14ac:dyDescent="0.25">
      <c r="A9606" t="str">
        <f>"20190312150911894"</f>
        <v>20190312150911894</v>
      </c>
      <c r="B9606" t="str">
        <f>"1552374551888784"</f>
        <v>1552374551888784</v>
      </c>
      <c r="C9606" t="s">
        <v>40</v>
      </c>
      <c r="D9606">
        <v>4.714696</v>
      </c>
      <c r="E9606">
        <v>0.44667079999999998</v>
      </c>
      <c r="F9606" t="s">
        <v>87</v>
      </c>
      <c r="G9606">
        <v>-244.34460000000001</v>
      </c>
      <c r="H9606" s="1">
        <v>-1.0059580000000001E-6</v>
      </c>
      <c r="I9606">
        <v>-59.509970000000003</v>
      </c>
      <c r="J9606">
        <v>-258.80669999999998</v>
      </c>
      <c r="K9606">
        <v>1.1122810000000001</v>
      </c>
      <c r="L9606">
        <v>-62.335749999999997</v>
      </c>
      <c r="M9606">
        <v>0.99962459999999997</v>
      </c>
      <c r="N9606">
        <v>0</v>
      </c>
      <c r="O9606">
        <v>-2.5387739999999999E-2</v>
      </c>
      <c r="P9606">
        <v>0.99715989999999999</v>
      </c>
      <c r="Q9606">
        <v>6.062791E-2</v>
      </c>
      <c r="R9606">
        <v>4.4685250000000003E-2</v>
      </c>
      <c r="S9606">
        <v>2.9966430000000002</v>
      </c>
      <c r="T9606">
        <v>-0.22812950000000001</v>
      </c>
      <c r="U9606">
        <v>0.57901000000000002</v>
      </c>
      <c r="V9606">
        <v>-7.0351789999999997E-2</v>
      </c>
      <c r="W9606">
        <v>7.0531250000000004E-2</v>
      </c>
      <c r="X9606">
        <v>0.99502559999999995</v>
      </c>
      <c r="Y9606">
        <v>-0.21390919999999999</v>
      </c>
      <c r="Z9606">
        <v>9.9697640000000008E-3</v>
      </c>
      <c r="AA9606">
        <v>0.97680259999999997</v>
      </c>
      <c r="AB9606">
        <v>29</v>
      </c>
      <c r="AC9606">
        <v>14.4620999999999</v>
      </c>
      <c r="AD9606">
        <v>-1.1122820059580001</v>
      </c>
      <c r="AE9606">
        <v>2.82578</v>
      </c>
      <c r="AF9606">
        <v>-3.17396449686948</v>
      </c>
      <c r="AG9606">
        <v>-1.1122820059580001</v>
      </c>
      <c r="AH9606">
        <v>14.3041939037952</v>
      </c>
      <c r="AI9606">
        <v>94.341157297693698</v>
      </c>
      <c r="AJ9606">
        <v>102.51069364910801</v>
      </c>
      <c r="AK9606">
        <v>14.6942568755802</v>
      </c>
      <c r="AL9606">
        <v>85.955498930110494</v>
      </c>
      <c r="AM9606">
        <v>94.044281861635</v>
      </c>
      <c r="AN9606">
        <v>0.99999998811906299</v>
      </c>
    </row>
    <row r="9607" spans="1:40" x14ac:dyDescent="0.25">
      <c r="A9607" t="str">
        <f>"20190312150911906"</f>
        <v>20190312150911906</v>
      </c>
      <c r="B9607" t="str">
        <f>"1552374551898544"</f>
        <v>1552374551898544</v>
      </c>
      <c r="C9607" t="s">
        <v>40</v>
      </c>
      <c r="D9607">
        <v>4.5552419999999998</v>
      </c>
      <c r="E9607">
        <v>0.4481348</v>
      </c>
      <c r="F9607" t="s">
        <v>87</v>
      </c>
      <c r="G9607">
        <v>-244.3426</v>
      </c>
      <c r="H9607" s="1">
        <v>-9.9861810000000007E-7</v>
      </c>
      <c r="I9607">
        <v>-59.546430000000001</v>
      </c>
      <c r="J9607">
        <v>-258.6585</v>
      </c>
      <c r="K9607">
        <v>1.1122510000000001</v>
      </c>
      <c r="L9607">
        <v>-62.338200000000001</v>
      </c>
      <c r="M9607">
        <v>0.99965820000000005</v>
      </c>
      <c r="N9607">
        <v>0</v>
      </c>
      <c r="O9607">
        <v>-2.4027650000000001E-2</v>
      </c>
      <c r="P9607">
        <v>0.99721819999999906</v>
      </c>
      <c r="Q9607">
        <v>5.9882209999999998E-2</v>
      </c>
      <c r="R9607">
        <v>4.4387210000000003E-2</v>
      </c>
      <c r="S9607">
        <v>2.9966889999999999</v>
      </c>
      <c r="T9607">
        <v>-0.23044310000000001</v>
      </c>
      <c r="U9607">
        <v>0.57788090000000003</v>
      </c>
      <c r="V9607">
        <v>-6.8691749999999996E-2</v>
      </c>
      <c r="W9607">
        <v>6.9802520000000007E-2</v>
      </c>
      <c r="X9607">
        <v>0.99519290000000005</v>
      </c>
      <c r="Y9607">
        <v>-0.2122175</v>
      </c>
      <c r="Z9607">
        <v>9.9028359999999999E-3</v>
      </c>
      <c r="AA9607">
        <v>0.97717229999999999</v>
      </c>
      <c r="AB9607">
        <v>29</v>
      </c>
      <c r="AC9607">
        <v>14.315899999999999</v>
      </c>
      <c r="AD9607">
        <v>-1.1122519986181001</v>
      </c>
      <c r="AE9607">
        <v>2.7917699999999899</v>
      </c>
      <c r="AF9607">
        <v>-3.1168348125858101</v>
      </c>
      <c r="AG9607">
        <v>-1.1122519986181001</v>
      </c>
      <c r="AH9607">
        <v>14.1623274893829</v>
      </c>
      <c r="AI9607">
        <v>94.386023762292794</v>
      </c>
      <c r="AJ9607">
        <v>102.41175106756199</v>
      </c>
      <c r="AK9607">
        <v>14.5438400594171</v>
      </c>
      <c r="AL9607">
        <v>85.997355009650093</v>
      </c>
      <c r="AM9607">
        <v>93.948495686238701</v>
      </c>
      <c r="AN9607">
        <v>0.999999928263409</v>
      </c>
    </row>
    <row r="9608" spans="1:40" x14ac:dyDescent="0.25">
      <c r="A9608" t="str">
        <f>"20190312150911916"</f>
        <v>20190312150911916</v>
      </c>
      <c r="B9608" t="str">
        <f>"1552374551909280"</f>
        <v>1552374551909280</v>
      </c>
      <c r="C9608" t="s">
        <v>40</v>
      </c>
      <c r="D9608">
        <v>5.4047939999999999</v>
      </c>
      <c r="E9608">
        <v>0.4481348</v>
      </c>
      <c r="F9608" t="s">
        <v>87</v>
      </c>
      <c r="G9608">
        <v>-244.16679999999999</v>
      </c>
      <c r="H9608" s="1">
        <v>-9.1270250000000003E-7</v>
      </c>
      <c r="I9608">
        <v>-59.605569999999901</v>
      </c>
      <c r="J9608">
        <v>-258.52190000000002</v>
      </c>
      <c r="K9608">
        <v>1.11222</v>
      </c>
      <c r="L9608">
        <v>-62.340240000000001</v>
      </c>
      <c r="M9608">
        <v>0.99968690000000004</v>
      </c>
      <c r="N9608">
        <v>0</v>
      </c>
      <c r="O9608">
        <v>-2.2803810000000001E-2</v>
      </c>
      <c r="P9608">
        <v>0.99726689999999996</v>
      </c>
      <c r="Q9608">
        <v>5.9555329999999997E-2</v>
      </c>
      <c r="R9608">
        <v>4.3726910000000001E-2</v>
      </c>
      <c r="S9608">
        <v>2.997055</v>
      </c>
      <c r="T9608">
        <v>-0.2300257</v>
      </c>
      <c r="U9608">
        <v>0.56512450000000003</v>
      </c>
      <c r="V9608">
        <v>-6.6806760000000007E-2</v>
      </c>
      <c r="W9608">
        <v>6.9493319999999997E-2</v>
      </c>
      <c r="X9608">
        <v>0.99534290000000003</v>
      </c>
      <c r="Y9608">
        <v>-0.2070032</v>
      </c>
      <c r="Z9608">
        <v>9.5965000000000009E-3</v>
      </c>
      <c r="AA9608">
        <v>0.97829319999999997</v>
      </c>
      <c r="AB9608">
        <v>29</v>
      </c>
      <c r="AC9608">
        <v>14.3551</v>
      </c>
      <c r="AD9608">
        <v>-1.1122209127025</v>
      </c>
      <c r="AE9608">
        <v>2.7346699999999999</v>
      </c>
      <c r="AF9608">
        <v>-3.0436956391906702</v>
      </c>
      <c r="AG9608">
        <v>-1.1122209127025</v>
      </c>
      <c r="AH9608">
        <v>14.2067059861934</v>
      </c>
      <c r="AI9608">
        <v>94.377528274608807</v>
      </c>
      <c r="AJ9608">
        <v>102.09244926799001</v>
      </c>
      <c r="AK9608">
        <v>14.571602982542</v>
      </c>
      <c r="AL9608">
        <v>86.015114184411701</v>
      </c>
      <c r="AM9608">
        <v>93.839895650717096</v>
      </c>
      <c r="AN9608">
        <v>0.99999997664336404</v>
      </c>
    </row>
    <row r="9609" spans="1:40" x14ac:dyDescent="0.25">
      <c r="A9609" t="str">
        <f>"20190312150911927"</f>
        <v>20190312150911927</v>
      </c>
      <c r="B9609" t="str">
        <f>"1552374551919040"</f>
        <v>1552374551919040</v>
      </c>
      <c r="C9609" t="s">
        <v>40</v>
      </c>
      <c r="D9609">
        <v>4.5036809999999896</v>
      </c>
      <c r="E9609">
        <v>0.52184330000000001</v>
      </c>
      <c r="F9609" t="s">
        <v>87</v>
      </c>
      <c r="G9609">
        <v>-244.0951</v>
      </c>
      <c r="H9609" s="1">
        <v>-8.7767219999999898E-7</v>
      </c>
      <c r="I9609">
        <v>-59.629660000000001</v>
      </c>
      <c r="J9609">
        <v>-258.3784</v>
      </c>
      <c r="K9609">
        <v>1.1121890000000001</v>
      </c>
      <c r="L9609">
        <v>-62.342289999999998</v>
      </c>
      <c r="M9609">
        <v>0.99971500000000002</v>
      </c>
      <c r="N9609">
        <v>0</v>
      </c>
      <c r="O9609">
        <v>-2.1528849999999999E-2</v>
      </c>
      <c r="P9609">
        <v>0.99732299999999996</v>
      </c>
      <c r="Q9609">
        <v>5.9056959999999999E-2</v>
      </c>
      <c r="R9609">
        <v>4.3119739999999997E-2</v>
      </c>
      <c r="S9609">
        <v>2.9973299999999998</v>
      </c>
      <c r="T9609">
        <v>-0.23107639999999999</v>
      </c>
      <c r="U9609">
        <v>0.56314090000000006</v>
      </c>
      <c r="V9609">
        <v>-6.4923620000000001E-2</v>
      </c>
      <c r="W9609">
        <v>6.9013359999999996E-2</v>
      </c>
      <c r="X9609">
        <v>0.99550090000000002</v>
      </c>
      <c r="Y9609">
        <v>-0.20511679999999999</v>
      </c>
      <c r="Z9609">
        <v>9.4705550000000003E-3</v>
      </c>
      <c r="AA9609">
        <v>0.97869170000000005</v>
      </c>
      <c r="AB9609">
        <v>29</v>
      </c>
      <c r="AC9609">
        <v>14.283299999999899</v>
      </c>
      <c r="AD9609">
        <v>-1.1121898776721999</v>
      </c>
      <c r="AE9609">
        <v>2.7126299999999999</v>
      </c>
      <c r="AF9609">
        <v>-3.0019528514449298</v>
      </c>
      <c r="AG9609">
        <v>-1.1121898776721999</v>
      </c>
      <c r="AH9609">
        <v>14.1388441961717</v>
      </c>
      <c r="AI9609">
        <v>94.400054406157096</v>
      </c>
      <c r="AJ9609">
        <v>101.987005901399</v>
      </c>
      <c r="AK9609">
        <v>14.496744546618499</v>
      </c>
      <c r="AL9609">
        <v>86.042680068053699</v>
      </c>
      <c r="AM9609">
        <v>93.731376840651706</v>
      </c>
      <c r="AN9609">
        <v>0.99999998109660104</v>
      </c>
    </row>
    <row r="9610" spans="1:40" x14ac:dyDescent="0.25">
      <c r="A9610" t="str">
        <f>"20190312150911938"</f>
        <v>20190312150911938</v>
      </c>
      <c r="B9610" t="str">
        <f>"1552374551928801"</f>
        <v>1552374551928801</v>
      </c>
      <c r="C9610" t="s">
        <v>40</v>
      </c>
      <c r="D9610">
        <v>4.5082940000000002</v>
      </c>
      <c r="E9610">
        <v>0.52210179999999995</v>
      </c>
      <c r="F9610" t="s">
        <v>89</v>
      </c>
      <c r="G9610">
        <v>-227.43219999999999</v>
      </c>
      <c r="H9610" s="1">
        <v>-2.815063E-6</v>
      </c>
      <c r="I9610">
        <v>-62.67109</v>
      </c>
      <c r="J9610">
        <v>-258.23829999999998</v>
      </c>
      <c r="K9610">
        <v>1.112158</v>
      </c>
      <c r="L9610">
        <v>-62.344090000000001</v>
      </c>
      <c r="M9610">
        <v>0.99974050000000003</v>
      </c>
      <c r="N9610">
        <v>0</v>
      </c>
      <c r="O9610">
        <v>-2.0308E-2</v>
      </c>
      <c r="P9610">
        <v>0.99740390000000001</v>
      </c>
      <c r="Q9610">
        <v>5.8309430000000002E-2</v>
      </c>
      <c r="R9610">
        <v>4.2259409999999997E-2</v>
      </c>
      <c r="S9610">
        <v>3.015854</v>
      </c>
      <c r="T9610">
        <v>-0.1083882</v>
      </c>
      <c r="U9610">
        <v>-3.2043460000000003E-2</v>
      </c>
      <c r="V9610">
        <v>-6.2840370000000007E-2</v>
      </c>
      <c r="W9610">
        <v>6.8284090000000006E-2</v>
      </c>
      <c r="X9610">
        <v>0.99568489999999998</v>
      </c>
      <c r="Y9610">
        <v>-9.6663719999999995E-3</v>
      </c>
      <c r="Z9610">
        <v>9.0322519999999997E-4</v>
      </c>
      <c r="AA9610">
        <v>0.99995290000000003</v>
      </c>
      <c r="AB9610">
        <v>29</v>
      </c>
      <c r="AC9610">
        <v>30.806099999999901</v>
      </c>
      <c r="AD9610">
        <v>-1.112160815063</v>
      </c>
      <c r="AE9610">
        <v>-0.32699999999999801</v>
      </c>
      <c r="AF9610">
        <v>-0.298322269609679</v>
      </c>
      <c r="AG9610">
        <v>-1.112160815063</v>
      </c>
      <c r="AH9610">
        <v>30.7662924984045</v>
      </c>
      <c r="AI9610">
        <v>92.070168036042205</v>
      </c>
      <c r="AJ9610">
        <v>90.555545369376006</v>
      </c>
      <c r="AK9610">
        <v>30.787832855731899</v>
      </c>
      <c r="AL9610">
        <v>86.084563139613493</v>
      </c>
      <c r="AM9610">
        <v>93.611302001409896</v>
      </c>
      <c r="AN9610">
        <v>1.00000002456843</v>
      </c>
    </row>
    <row r="9611" spans="1:40" x14ac:dyDescent="0.25">
      <c r="A9611" t="str">
        <f>"20190312150911949"</f>
        <v>20190312150911949</v>
      </c>
      <c r="B9611" t="str">
        <f>"1552374551938561"</f>
        <v>1552374551938561</v>
      </c>
      <c r="C9611" t="s">
        <v>40</v>
      </c>
      <c r="D9611">
        <v>4.4263279999999998</v>
      </c>
      <c r="E9611">
        <v>0.52200489999999999</v>
      </c>
      <c r="F9611" t="s">
        <v>88</v>
      </c>
      <c r="G9611">
        <v>-232.36689999999999</v>
      </c>
      <c r="H9611" s="1">
        <v>-6.0602890000000001E-7</v>
      </c>
      <c r="I9611">
        <v>-62.651789999999998</v>
      </c>
      <c r="J9611">
        <v>-258.09460000000001</v>
      </c>
      <c r="K9611">
        <v>1.1121270000000001</v>
      </c>
      <c r="L9611">
        <v>-62.345759999999999</v>
      </c>
      <c r="M9611">
        <v>0.99976480000000001</v>
      </c>
      <c r="N9611">
        <v>0</v>
      </c>
      <c r="O9611">
        <v>-1.9073090000000001E-2</v>
      </c>
      <c r="P9611">
        <v>0.99746369999999895</v>
      </c>
      <c r="Q9611">
        <v>5.7889599999999902E-2</v>
      </c>
      <c r="R9611">
        <v>4.1412940000000002E-2</v>
      </c>
      <c r="S9611">
        <v>3.0168759999999999</v>
      </c>
      <c r="T9611">
        <v>-0.12968930000000001</v>
      </c>
      <c r="U9611">
        <v>-3.5888669999999998E-2</v>
      </c>
      <c r="V9611">
        <v>-6.075763E-2</v>
      </c>
      <c r="W9611">
        <v>6.7883059999999995E-2</v>
      </c>
      <c r="X9611">
        <v>0.99584159999999999</v>
      </c>
      <c r="Y9611">
        <v>-7.1555759999999899E-3</v>
      </c>
      <c r="Z9611">
        <v>9.7321419999999998E-4</v>
      </c>
      <c r="AA9611">
        <v>0.99997400000000003</v>
      </c>
      <c r="AB9611">
        <v>29</v>
      </c>
      <c r="AC9611">
        <v>25.727699999999999</v>
      </c>
      <c r="AD9611">
        <v>-1.11212760602889</v>
      </c>
      <c r="AE9611">
        <v>-0.30603000000000602</v>
      </c>
      <c r="AF9611">
        <v>-0.18441402009892599</v>
      </c>
      <c r="AG9611">
        <v>-1.11212760602889</v>
      </c>
      <c r="AH9611">
        <v>25.680877176447201</v>
      </c>
      <c r="AI9611">
        <v>92.479618956197498</v>
      </c>
      <c r="AJ9611">
        <v>90.4114331199753</v>
      </c>
      <c r="AK9611">
        <v>25.705608121471599</v>
      </c>
      <c r="AL9611">
        <v>86.107593988780096</v>
      </c>
      <c r="AM9611">
        <v>93.491364484792101</v>
      </c>
      <c r="AN9611">
        <v>1.0000000458643601</v>
      </c>
    </row>
    <row r="9612" spans="1:40" x14ac:dyDescent="0.25">
      <c r="A9612" t="str">
        <f>"20190312150911960"</f>
        <v>20190312150911960</v>
      </c>
      <c r="B9612" t="str">
        <f>"1552374551949297"</f>
        <v>1552374551949297</v>
      </c>
      <c r="C9612" t="s">
        <v>40</v>
      </c>
      <c r="D9612">
        <v>4.425052</v>
      </c>
      <c r="E9612">
        <v>0.52246429999999999</v>
      </c>
      <c r="F9612" t="s">
        <v>88</v>
      </c>
      <c r="G9612">
        <v>-233.1651</v>
      </c>
      <c r="H9612" s="1">
        <v>-9.4963569999999999E-7</v>
      </c>
      <c r="I9612">
        <v>-62.656120000000001</v>
      </c>
      <c r="J9612">
        <v>-257.95010000000002</v>
      </c>
      <c r="K9612">
        <v>1.1120920000000001</v>
      </c>
      <c r="L9612">
        <v>-62.347320000000003</v>
      </c>
      <c r="M9612">
        <v>0.99978750000000005</v>
      </c>
      <c r="N9612">
        <v>0</v>
      </c>
      <c r="O9612">
        <v>-1.785059E-2</v>
      </c>
      <c r="P9612">
        <v>0.99752870000000005</v>
      </c>
      <c r="Q9612">
        <v>5.7198890000000002E-2</v>
      </c>
      <c r="R9612">
        <v>4.0805050000000002E-2</v>
      </c>
      <c r="S9612">
        <v>3.0169679999999999</v>
      </c>
      <c r="T9612">
        <v>-0.13458989999999901</v>
      </c>
      <c r="U9612">
        <v>-3.7567139999999999E-2</v>
      </c>
      <c r="V9612">
        <v>-5.892443E-2</v>
      </c>
      <c r="W9612">
        <v>6.7208899999999905E-2</v>
      </c>
      <c r="X9612">
        <v>0.99599740000000003</v>
      </c>
      <c r="Y9612">
        <v>-5.3780549999999996E-3</v>
      </c>
      <c r="Z9612">
        <v>9.1579029999999998E-4</v>
      </c>
      <c r="AA9612">
        <v>0.99998509999999996</v>
      </c>
      <c r="AB9612">
        <v>29</v>
      </c>
      <c r="AC9612">
        <v>24.785</v>
      </c>
      <c r="AD9612">
        <v>-1.1120929496356999</v>
      </c>
      <c r="AE9612">
        <v>-0.30879999999999802</v>
      </c>
      <c r="AF9612">
        <v>-0.13343100784869699</v>
      </c>
      <c r="AG9612">
        <v>-1.1120929496356999</v>
      </c>
      <c r="AH9612">
        <v>24.7367687011354</v>
      </c>
      <c r="AI9612">
        <v>92.574080402926398</v>
      </c>
      <c r="AJ9612">
        <v>90.309052469783097</v>
      </c>
      <c r="AK9612">
        <v>24.7621138099306</v>
      </c>
      <c r="AL9612">
        <v>86.146308646908693</v>
      </c>
      <c r="AM9612">
        <v>93.385742307101793</v>
      </c>
      <c r="AN9612">
        <v>0.99999997274839703</v>
      </c>
    </row>
    <row r="9613" spans="1:40" x14ac:dyDescent="0.25">
      <c r="A9613" t="str">
        <f>"20190312150911972"</f>
        <v>20190312150911972</v>
      </c>
      <c r="B9613" t="str">
        <f>"1552374551968817"</f>
        <v>1552374551968817</v>
      </c>
      <c r="C9613" t="s">
        <v>40</v>
      </c>
      <c r="D9613">
        <v>4.418139</v>
      </c>
      <c r="E9613">
        <v>0.52256020000000003</v>
      </c>
      <c r="F9613" t="s">
        <v>88</v>
      </c>
      <c r="G9613">
        <v>-234.5821</v>
      </c>
      <c r="H9613" s="1">
        <v>-1.563364E-6</v>
      </c>
      <c r="I9613">
        <v>-62.678130000000003</v>
      </c>
      <c r="J9613">
        <v>-257.80160000000001</v>
      </c>
      <c r="K9613">
        <v>1.1120559999999999</v>
      </c>
      <c r="L9613">
        <v>-62.348719999999901</v>
      </c>
      <c r="M9613">
        <v>0.99980849999999999</v>
      </c>
      <c r="N9613">
        <v>0</v>
      </c>
      <c r="O9613">
        <v>-1.6623450000000001E-2</v>
      </c>
      <c r="P9613">
        <v>0.99757790000000002</v>
      </c>
      <c r="Q9613">
        <v>5.6796220000000001E-2</v>
      </c>
      <c r="R9613">
        <v>4.0160679999999997E-2</v>
      </c>
      <c r="S9613">
        <v>3.0174099999999999</v>
      </c>
      <c r="T9613">
        <v>-0.14360020000000001</v>
      </c>
      <c r="U9613">
        <v>-4.2724610000000003E-2</v>
      </c>
      <c r="V9613">
        <v>-5.7050320000000002E-2</v>
      </c>
      <c r="W9613">
        <v>6.6823069999999998E-2</v>
      </c>
      <c r="X9613">
        <v>0.99613249999999998</v>
      </c>
      <c r="Y9613">
        <v>-2.4451080000000001E-3</v>
      </c>
      <c r="Z9613">
        <v>8.487697E-4</v>
      </c>
      <c r="AA9613">
        <v>0.99999669999999896</v>
      </c>
      <c r="AB9613">
        <v>29</v>
      </c>
      <c r="AC9613">
        <v>23.2195</v>
      </c>
      <c r="AD9613">
        <v>-1.112057563364</v>
      </c>
      <c r="AE9613">
        <v>-0.32941000000000997</v>
      </c>
      <c r="AF9613">
        <v>-5.6514693889820999E-2</v>
      </c>
      <c r="AG9613">
        <v>-1.112057563364</v>
      </c>
      <c r="AH9613">
        <v>23.168634735089199</v>
      </c>
      <c r="AI9613">
        <v>92.7479889640274</v>
      </c>
      <c r="AJ9613">
        <v>90.139759940764506</v>
      </c>
      <c r="AK9613">
        <v>23.1953767251761</v>
      </c>
      <c r="AL9613">
        <v>86.168465029175593</v>
      </c>
      <c r="AM9613">
        <v>93.277852776695298</v>
      </c>
      <c r="AN9613">
        <v>1.00000000962628</v>
      </c>
    </row>
    <row r="9614" spans="1:40" x14ac:dyDescent="0.25">
      <c r="A9614" t="str">
        <f>"20190312150911984"</f>
        <v>20190312150911984</v>
      </c>
      <c r="B9614" t="str">
        <f>"1552374551979553"</f>
        <v>1552374551979553</v>
      </c>
      <c r="C9614" t="s">
        <v>40</v>
      </c>
      <c r="D9614">
        <v>4.4303999999999997</v>
      </c>
      <c r="E9614">
        <v>0.52235259999999994</v>
      </c>
      <c r="F9614" t="s">
        <v>88</v>
      </c>
      <c r="G9614">
        <v>-235.18029999999999</v>
      </c>
      <c r="H9614" s="1">
        <v>-1.8224609999999999E-6</v>
      </c>
      <c r="I9614">
        <v>-62.687480000000001</v>
      </c>
      <c r="J9614">
        <v>-257.649</v>
      </c>
      <c r="K9614">
        <v>1.1120209999999999</v>
      </c>
      <c r="L9614">
        <v>-62.350099999999998</v>
      </c>
      <c r="M9614">
        <v>0.99982839999999995</v>
      </c>
      <c r="N9614">
        <v>0</v>
      </c>
      <c r="O9614">
        <v>-1.537547E-2</v>
      </c>
      <c r="P9614">
        <v>0.99763199999999996</v>
      </c>
      <c r="Q9614">
        <v>5.6127440000000001E-2</v>
      </c>
      <c r="R9614">
        <v>3.974656E-2</v>
      </c>
      <c r="S9614">
        <v>3.0175480000000001</v>
      </c>
      <c r="T9614">
        <v>-0.1483418</v>
      </c>
      <c r="U9614">
        <v>-4.5196529999999999E-2</v>
      </c>
      <c r="V9614">
        <v>-5.5384950000000002E-2</v>
      </c>
      <c r="W9614">
        <v>6.6170290000000007E-2</v>
      </c>
      <c r="X9614">
        <v>0.99627010000000005</v>
      </c>
      <c r="Y9614">
        <v>-3.810916E-4</v>
      </c>
      <c r="Z9614">
        <v>7.6471250000000003E-4</v>
      </c>
      <c r="AA9614">
        <v>0.99999959999999999</v>
      </c>
      <c r="AB9614">
        <v>29</v>
      </c>
      <c r="AC9614">
        <v>22.468699999999998</v>
      </c>
      <c r="AD9614">
        <v>-1.11202282246099</v>
      </c>
      <c r="AE9614">
        <v>-0.33738000000001001</v>
      </c>
      <c r="AF9614">
        <v>-8.1252539678090506E-3</v>
      </c>
      <c r="AG9614">
        <v>-1.11202282246099</v>
      </c>
      <c r="AH9614">
        <v>22.416335668203399</v>
      </c>
      <c r="AI9614">
        <v>92.839983437916004</v>
      </c>
      <c r="AJ9614">
        <v>90.020768012503396</v>
      </c>
      <c r="AK9614">
        <v>22.443902636729501</v>
      </c>
      <c r="AL9614">
        <v>86.205949711337794</v>
      </c>
      <c r="AM9614">
        <v>93.181929152594094</v>
      </c>
      <c r="AN9614">
        <v>1.0000000560595901</v>
      </c>
    </row>
    <row r="9615" spans="1:40" x14ac:dyDescent="0.25">
      <c r="A9615" t="str">
        <f>"20190312150911997"</f>
        <v>20190312150911997</v>
      </c>
      <c r="B9615" t="str">
        <f>"1552374551989312"</f>
        <v>1552374551989312</v>
      </c>
      <c r="C9615" t="s">
        <v>40</v>
      </c>
      <c r="D9615">
        <v>4.4244399999999997</v>
      </c>
      <c r="E9615">
        <v>0.52224989999999905</v>
      </c>
      <c r="F9615" t="s">
        <v>88</v>
      </c>
      <c r="G9615">
        <v>-235.03700000000001</v>
      </c>
      <c r="H9615" s="1">
        <v>-1.760786E-6</v>
      </c>
      <c r="I9615">
        <v>-62.686689999999999</v>
      </c>
      <c r="J9615">
        <v>-257.49189999999999</v>
      </c>
      <c r="K9615">
        <v>1.111982</v>
      </c>
      <c r="L9615">
        <v>-62.351230000000001</v>
      </c>
      <c r="M9615">
        <v>0.99984669999999998</v>
      </c>
      <c r="N9615">
        <v>0</v>
      </c>
      <c r="O9615">
        <v>-1.413885E-2</v>
      </c>
      <c r="P9615">
        <v>0.99767819999999996</v>
      </c>
      <c r="Q9615">
        <v>5.554651E-2</v>
      </c>
      <c r="R9615">
        <v>3.9406629999999998E-2</v>
      </c>
      <c r="S9615">
        <v>3.017258</v>
      </c>
      <c r="T9615">
        <v>-0.1483843</v>
      </c>
      <c r="U9615">
        <v>-4.4921879999999997E-2</v>
      </c>
      <c r="V9615">
        <v>-5.3804459999999998E-2</v>
      </c>
      <c r="W9615">
        <v>6.5606949999999997E-2</v>
      </c>
      <c r="X9615">
        <v>0.99639390000000005</v>
      </c>
      <c r="Y9615">
        <v>7.6330020000000003E-4</v>
      </c>
      <c r="Z9615">
        <v>6.7611449999999997E-4</v>
      </c>
      <c r="AA9615">
        <v>0.99999950000000004</v>
      </c>
      <c r="AB9615">
        <v>29</v>
      </c>
      <c r="AC9615">
        <v>22.454899999999899</v>
      </c>
      <c r="AD9615">
        <v>-1.1119837607859999</v>
      </c>
      <c r="AE9615">
        <v>-0.33545999999999698</v>
      </c>
      <c r="AF9615">
        <v>1.78792315028647E-2</v>
      </c>
      <c r="AG9615">
        <v>-1.1119837607859999</v>
      </c>
      <c r="AH9615">
        <v>22.402473015332099</v>
      </c>
      <c r="AI9615">
        <v>92.841637565914098</v>
      </c>
      <c r="AJ9615">
        <v>89.954272714094898</v>
      </c>
      <c r="AK9615">
        <v>22.430060738969399</v>
      </c>
      <c r="AL9615">
        <v>86.238296786410899</v>
      </c>
      <c r="AM9615">
        <v>93.090923527017395</v>
      </c>
      <c r="AN9615">
        <v>0.99999999788070204</v>
      </c>
    </row>
    <row r="9616" spans="1:40" x14ac:dyDescent="0.25">
      <c r="A9616" t="str">
        <f>"20190312150912007"</f>
        <v>20190312150912007</v>
      </c>
      <c r="B9616" t="str">
        <f>"1552374551999074"</f>
        <v>1552374551999074</v>
      </c>
      <c r="C9616" t="s">
        <v>40</v>
      </c>
      <c r="D9616">
        <v>4.4022360000000003</v>
      </c>
      <c r="E9616">
        <v>0.52200079999999904</v>
      </c>
      <c r="F9616" t="s">
        <v>88</v>
      </c>
      <c r="G9616">
        <v>-235.4169</v>
      </c>
      <c r="H9616" s="1">
        <v>-1.922276E-6</v>
      </c>
      <c r="I9616">
        <v>-62.681170000000002</v>
      </c>
      <c r="J9616">
        <v>-257.3467</v>
      </c>
      <c r="K9616">
        <v>1.111945</v>
      </c>
      <c r="L9616">
        <v>-62.352200000000003</v>
      </c>
      <c r="M9616">
        <v>0.99986200000000003</v>
      </c>
      <c r="N9616">
        <v>0</v>
      </c>
      <c r="O9616">
        <v>-1.301046E-2</v>
      </c>
      <c r="P9616">
        <v>0.99773970000000001</v>
      </c>
      <c r="Q9616">
        <v>5.4734110000000002E-2</v>
      </c>
      <c r="R9616">
        <v>3.8985020000000002E-2</v>
      </c>
      <c r="S9616">
        <v>3.0172270000000001</v>
      </c>
      <c r="T9616">
        <v>-0.1519867</v>
      </c>
      <c r="U9616">
        <v>-4.5104980000000003E-2</v>
      </c>
      <c r="V9616">
        <v>-5.2249219999999999E-2</v>
      </c>
      <c r="W9616">
        <v>6.4810900000000005E-2</v>
      </c>
      <c r="X9616">
        <v>0.99652870000000005</v>
      </c>
      <c r="Y9616">
        <v>1.950533E-3</v>
      </c>
      <c r="Z9616">
        <v>6.0583559999999998E-4</v>
      </c>
      <c r="AA9616">
        <v>0.9999979</v>
      </c>
      <c r="AB9616">
        <v>29</v>
      </c>
      <c r="AC9616">
        <v>21.9298</v>
      </c>
      <c r="AD9616">
        <v>-1.1119469222759999</v>
      </c>
      <c r="AE9616">
        <v>-0.32896999999999099</v>
      </c>
      <c r="AF9616">
        <v>4.3498335080730199E-2</v>
      </c>
      <c r="AG9616">
        <v>-1.1119469222759999</v>
      </c>
      <c r="AH9616">
        <v>21.875993852708099</v>
      </c>
      <c r="AI9616">
        <v>92.909808694497997</v>
      </c>
      <c r="AJ9616">
        <v>89.886072936930205</v>
      </c>
      <c r="AK9616">
        <v>21.904278694055101</v>
      </c>
      <c r="AL9616">
        <v>86.284004166982697</v>
      </c>
      <c r="AM9616">
        <v>93.001339631488705</v>
      </c>
      <c r="AN9616">
        <v>0.99999994183655205</v>
      </c>
    </row>
    <row r="9617" spans="1:40" x14ac:dyDescent="0.25">
      <c r="A9617" t="str">
        <f>"20190312150912017"</f>
        <v>20190312150912017</v>
      </c>
      <c r="B9617" t="str">
        <f>"1552374552008833"</f>
        <v>1552374552008833</v>
      </c>
      <c r="C9617" t="s">
        <v>40</v>
      </c>
      <c r="D9617">
        <v>4.4521369999999996</v>
      </c>
      <c r="E9617">
        <v>0.52180740000000003</v>
      </c>
      <c r="F9617" t="s">
        <v>88</v>
      </c>
      <c r="G9617">
        <v>-235.88329999999999</v>
      </c>
      <c r="H9617" s="1">
        <v>-2.1185999999999999E-6</v>
      </c>
      <c r="I9617">
        <v>-62.666930000000001</v>
      </c>
      <c r="J9617">
        <v>-257.21539999999999</v>
      </c>
      <c r="K9617">
        <v>1.111907</v>
      </c>
      <c r="L9617">
        <v>-62.352910000000001</v>
      </c>
      <c r="M9617">
        <v>0.99987429999999999</v>
      </c>
      <c r="N9617">
        <v>0</v>
      </c>
      <c r="O9617">
        <v>-1.20237E-2</v>
      </c>
      <c r="P9617">
        <v>0.997803</v>
      </c>
      <c r="Q9617">
        <v>5.3960319999999999E-2</v>
      </c>
      <c r="R9617">
        <v>3.8440040000000002E-2</v>
      </c>
      <c r="S9617">
        <v>3.0171359999999998</v>
      </c>
      <c r="T9617">
        <v>-0.15630810000000001</v>
      </c>
      <c r="U9617">
        <v>-4.4250490000000003E-2</v>
      </c>
      <c r="V9617">
        <v>-5.0712050000000002E-2</v>
      </c>
      <c r="W9617">
        <v>6.4054780000000006E-2</v>
      </c>
      <c r="X9617">
        <v>0.99665709999999996</v>
      </c>
      <c r="Y9617">
        <v>2.653271E-3</v>
      </c>
      <c r="Z9617">
        <v>5.5378749999999998E-4</v>
      </c>
      <c r="AA9617">
        <v>0.99999629999999995</v>
      </c>
      <c r="AB9617">
        <v>29</v>
      </c>
      <c r="AC9617">
        <v>21.332100000000001</v>
      </c>
      <c r="AD9617">
        <v>-1.1119091186000001</v>
      </c>
      <c r="AE9617">
        <v>-0.31402000000001301</v>
      </c>
      <c r="AF9617">
        <v>5.7337082991797697E-2</v>
      </c>
      <c r="AG9617">
        <v>-1.1119091186000001</v>
      </c>
      <c r="AH9617">
        <v>21.276540275711799</v>
      </c>
      <c r="AI9617">
        <v>92.991537430419001</v>
      </c>
      <c r="AJ9617">
        <v>89.845596846576498</v>
      </c>
      <c r="AK9617">
        <v>21.305651727490002</v>
      </c>
      <c r="AL9617">
        <v>86.327417266134802</v>
      </c>
      <c r="AM9617">
        <v>92.912820075762397</v>
      </c>
      <c r="AN9617">
        <v>1.0000000509182201</v>
      </c>
    </row>
    <row r="9618" spans="1:40" x14ac:dyDescent="0.25">
      <c r="A9618" t="str">
        <f>"20190312150912029"</f>
        <v>20190312150912029</v>
      </c>
      <c r="B9618" t="str">
        <f>"1552374552018593"</f>
        <v>1552374552018593</v>
      </c>
      <c r="C9618" t="s">
        <v>40</v>
      </c>
      <c r="D9618">
        <v>4.4222640000000002</v>
      </c>
      <c r="E9618">
        <v>0.52171080000000003</v>
      </c>
      <c r="F9618" t="s">
        <v>88</v>
      </c>
      <c r="G9618">
        <v>-235.8817</v>
      </c>
      <c r="H9618" s="1">
        <v>-2.1182759999999999E-6</v>
      </c>
      <c r="I9618">
        <v>-62.668349999999997</v>
      </c>
      <c r="J9618">
        <v>-257.06490000000002</v>
      </c>
      <c r="K9618">
        <v>1.1118629999999901</v>
      </c>
      <c r="L9618">
        <v>-62.353610000000003</v>
      </c>
      <c r="M9618">
        <v>0.99988690000000002</v>
      </c>
      <c r="N9618">
        <v>0</v>
      </c>
      <c r="O9618">
        <v>-1.091229E-2</v>
      </c>
      <c r="P9618">
        <v>0.9978688</v>
      </c>
      <c r="Q9618">
        <v>5.3074839999999998E-2</v>
      </c>
      <c r="R9618">
        <v>3.796513E-2</v>
      </c>
      <c r="S9618">
        <v>3.0168300000000001</v>
      </c>
      <c r="T9618">
        <v>-0.15723670000000001</v>
      </c>
      <c r="U9618">
        <v>-4.4616700000000002E-2</v>
      </c>
      <c r="V9618">
        <v>-4.9119309999999999E-2</v>
      </c>
      <c r="W9618">
        <v>6.31887E-2</v>
      </c>
      <c r="X9618">
        <v>0.99679209999999996</v>
      </c>
      <c r="Y9618">
        <v>3.8846179999999998E-3</v>
      </c>
      <c r="Z9618">
        <v>4.6718209999999999E-4</v>
      </c>
      <c r="AA9618">
        <v>0.9999924</v>
      </c>
      <c r="AB9618">
        <v>29</v>
      </c>
      <c r="AC9618">
        <v>21.183199999999999</v>
      </c>
      <c r="AD9618">
        <v>-1.11186511827599</v>
      </c>
      <c r="AE9618">
        <v>-0.31474000000000002</v>
      </c>
      <c r="AF9618">
        <v>8.3322154477421195E-2</v>
      </c>
      <c r="AG9618">
        <v>-1.11186511827599</v>
      </c>
      <c r="AH9618">
        <v>21.1271808518344</v>
      </c>
      <c r="AI9618">
        <v>93.012515935070397</v>
      </c>
      <c r="AJ9618">
        <v>89.774035964674795</v>
      </c>
      <c r="AK9618">
        <v>21.1565818923753</v>
      </c>
      <c r="AL9618">
        <v>86.3771405610985</v>
      </c>
      <c r="AM9618">
        <v>92.821104314174804</v>
      </c>
      <c r="AN9618">
        <v>1.0000000045224799</v>
      </c>
    </row>
    <row r="9619" spans="1:40" x14ac:dyDescent="0.25">
      <c r="A9619" t="str">
        <f>"20190312150912041"</f>
        <v>20190312150912041</v>
      </c>
      <c r="B9619" t="str">
        <f>"1552374552029329"</f>
        <v>1552374552029329</v>
      </c>
      <c r="C9619" t="s">
        <v>40</v>
      </c>
      <c r="D9619">
        <v>4.4060489999999897</v>
      </c>
      <c r="E9619">
        <v>0.5214067</v>
      </c>
      <c r="F9619" t="s">
        <v>88</v>
      </c>
      <c r="G9619">
        <v>-235.7286</v>
      </c>
      <c r="H9619" s="1">
        <v>-2.054362E-6</v>
      </c>
      <c r="I9619">
        <v>-62.674959999999999</v>
      </c>
      <c r="J9619">
        <v>-256.91230000000002</v>
      </c>
      <c r="K9619">
        <v>1.1118140000000001</v>
      </c>
      <c r="L9619">
        <v>-62.354190000000003</v>
      </c>
      <c r="M9619">
        <v>0.99989810000000001</v>
      </c>
      <c r="N9619">
        <v>0</v>
      </c>
      <c r="O9619">
        <v>-9.8159319999999994E-3</v>
      </c>
      <c r="P9619">
        <v>0.99792820000000004</v>
      </c>
      <c r="Q9619">
        <v>5.223539E-2</v>
      </c>
      <c r="R9619">
        <v>3.7565630000000003E-2</v>
      </c>
      <c r="S9619">
        <v>3.016464</v>
      </c>
      <c r="T9619">
        <v>-0.15719250000000001</v>
      </c>
      <c r="U9619">
        <v>-4.5440670000000002E-2</v>
      </c>
      <c r="V9619">
        <v>-4.7616409999999998E-2</v>
      </c>
      <c r="W9619">
        <v>6.2368720000000002E-2</v>
      </c>
      <c r="X9619">
        <v>0.99691669999999999</v>
      </c>
      <c r="Y9619">
        <v>5.252629E-3</v>
      </c>
      <c r="Z9619">
        <v>3.743986E-4</v>
      </c>
      <c r="AA9619">
        <v>0.99998609999999999</v>
      </c>
      <c r="AB9619">
        <v>29</v>
      </c>
      <c r="AC9619">
        <v>21.183700000000002</v>
      </c>
      <c r="AD9619">
        <v>-1.1118160543619999</v>
      </c>
      <c r="AE9619">
        <v>-0.320769999999996</v>
      </c>
      <c r="AF9619">
        <v>0.112495802202372</v>
      </c>
      <c r="AG9619">
        <v>-1.1118160543619999</v>
      </c>
      <c r="AH9619">
        <v>21.1276427801157</v>
      </c>
      <c r="AI9619">
        <v>93.012298265595703</v>
      </c>
      <c r="AJ9619">
        <v>89.694926980993699</v>
      </c>
      <c r="AK9619">
        <v>21.157175607543302</v>
      </c>
      <c r="AL9619">
        <v>86.424214949429498</v>
      </c>
      <c r="AM9619">
        <v>92.734578999495298</v>
      </c>
      <c r="AN9619">
        <v>1.0000000432373</v>
      </c>
    </row>
    <row r="9620" spans="1:40" x14ac:dyDescent="0.25">
      <c r="A9620" t="str">
        <f>"20190312150912052"</f>
        <v>20190312150912052</v>
      </c>
      <c r="B9620" t="str">
        <f>"1552374552048848"</f>
        <v>1552374552048848</v>
      </c>
      <c r="C9620" t="s">
        <v>40</v>
      </c>
      <c r="D9620">
        <v>4.4130669999999999</v>
      </c>
      <c r="E9620">
        <v>0.52141099999999996</v>
      </c>
      <c r="F9620" t="s">
        <v>88</v>
      </c>
      <c r="G9620">
        <v>-236.0925</v>
      </c>
      <c r="H9620" s="1">
        <v>-2.2064460000000002E-6</v>
      </c>
      <c r="I9620">
        <v>-62.659770000000002</v>
      </c>
      <c r="J9620">
        <v>-256.75749999999999</v>
      </c>
      <c r="K9620">
        <v>1.111769</v>
      </c>
      <c r="L9620">
        <v>-62.354579999999999</v>
      </c>
      <c r="M9620">
        <v>0.99990809999999997</v>
      </c>
      <c r="N9620">
        <v>0</v>
      </c>
      <c r="O9620">
        <v>-8.7392579999999997E-3</v>
      </c>
      <c r="P9620">
        <v>0.99799729999999998</v>
      </c>
      <c r="Q9620">
        <v>5.110029E-2</v>
      </c>
      <c r="R9620">
        <v>3.728397E-2</v>
      </c>
      <c r="S9620">
        <v>3.0162960000000001</v>
      </c>
      <c r="T9620">
        <v>-0.1610761</v>
      </c>
      <c r="U9620">
        <v>-4.4281010000000003E-2</v>
      </c>
      <c r="V9620">
        <v>-4.6250510000000002E-2</v>
      </c>
      <c r="W9620">
        <v>6.1252679999999997E-2</v>
      </c>
      <c r="X9620">
        <v>0.9970502</v>
      </c>
      <c r="Y9620">
        <v>5.9436439999999997E-3</v>
      </c>
      <c r="Z9620">
        <v>3.0776959999999999E-4</v>
      </c>
      <c r="AA9620">
        <v>0.99998229999999999</v>
      </c>
      <c r="AB9620">
        <v>29</v>
      </c>
      <c r="AC9620">
        <v>20.6649999999999</v>
      </c>
      <c r="AD9620">
        <v>-1.1117712064459999</v>
      </c>
      <c r="AE9620">
        <v>-0.30518999999998803</v>
      </c>
      <c r="AF9620">
        <v>0.124212433919516</v>
      </c>
      <c r="AG9620">
        <v>-1.1117712064459999</v>
      </c>
      <c r="AH9620">
        <v>20.607245229789601</v>
      </c>
      <c r="AI9620">
        <v>93.088086174718498</v>
      </c>
      <c r="AJ9620">
        <v>89.654647578597206</v>
      </c>
      <c r="AK9620">
        <v>20.637587550508599</v>
      </c>
      <c r="AL9620">
        <v>86.488281861632302</v>
      </c>
      <c r="AM9620">
        <v>92.655895118361499</v>
      </c>
      <c r="AN9620">
        <v>1.0000000509012399</v>
      </c>
    </row>
    <row r="9621" spans="1:40" x14ac:dyDescent="0.25">
      <c r="A9621" t="str">
        <f>"20190312150912062"</f>
        <v>20190312150912062</v>
      </c>
      <c r="B9621" t="str">
        <f>"1552374552058608"</f>
        <v>1552374552058608</v>
      </c>
      <c r="C9621" t="s">
        <v>40</v>
      </c>
      <c r="D9621">
        <v>4.4287619999999999</v>
      </c>
      <c r="E9621">
        <v>0.5211962</v>
      </c>
      <c r="F9621" t="s">
        <v>88</v>
      </c>
      <c r="G9621">
        <v>-236.19640000000001</v>
      </c>
      <c r="H9621" s="1">
        <v>-2.2519410000000001E-6</v>
      </c>
      <c r="I9621">
        <v>-62.663260000000001</v>
      </c>
      <c r="J9621">
        <v>-256.62560000000002</v>
      </c>
      <c r="K9621">
        <v>1.1117269999999999</v>
      </c>
      <c r="L9621">
        <v>-62.354889999999997</v>
      </c>
      <c r="M9621">
        <v>0.99991549999999996</v>
      </c>
      <c r="N9621">
        <v>0</v>
      </c>
      <c r="O9621">
        <v>-7.8349119999999994E-3</v>
      </c>
      <c r="P9621">
        <v>0.99805089999999996</v>
      </c>
      <c r="Q9621">
        <v>5.0376209999999998E-2</v>
      </c>
      <c r="R9621">
        <v>3.6830950000000001E-2</v>
      </c>
      <c r="S9621">
        <v>3.0160680000000002</v>
      </c>
      <c r="T9621">
        <v>-0.16308339999999999</v>
      </c>
      <c r="U9621">
        <v>-4.5288090000000003E-2</v>
      </c>
      <c r="V9621">
        <v>-4.4886969999999998E-2</v>
      </c>
      <c r="W9621">
        <v>6.0545889999999998E-2</v>
      </c>
      <c r="X9621">
        <v>0.99715560000000003</v>
      </c>
      <c r="Y9621">
        <v>7.1799619999999998E-3</v>
      </c>
      <c r="Z9621">
        <v>2.293629E-4</v>
      </c>
      <c r="AA9621">
        <v>0.99997420000000004</v>
      </c>
      <c r="AB9621">
        <v>29</v>
      </c>
      <c r="AC9621">
        <v>20.429200000000002</v>
      </c>
      <c r="AD9621">
        <v>-1.111729251941</v>
      </c>
      <c r="AE9621">
        <v>-0.30836999999999598</v>
      </c>
      <c r="AF9621">
        <v>0.14785318634595301</v>
      </c>
      <c r="AG9621">
        <v>-1.111729251941</v>
      </c>
      <c r="AH9621">
        <v>20.3706773305884</v>
      </c>
      <c r="AI9621">
        <v>93.123734852200499</v>
      </c>
      <c r="AJ9621">
        <v>89.584146630292807</v>
      </c>
      <c r="AK9621">
        <v>20.401526839951998</v>
      </c>
      <c r="AL9621">
        <v>86.528852959308495</v>
      </c>
      <c r="AM9621">
        <v>92.577430141162097</v>
      </c>
      <c r="AN9621">
        <v>0.99999996774151501</v>
      </c>
    </row>
    <row r="9622" spans="1:40" x14ac:dyDescent="0.25">
      <c r="A9622" t="str">
        <f>"20190312150912074"</f>
        <v>20190312150912074</v>
      </c>
      <c r="B9622" t="str">
        <f>"1552374552069345"</f>
        <v>1552374552069345</v>
      </c>
      <c r="C9622" t="s">
        <v>40</v>
      </c>
      <c r="D9622">
        <v>4.4185249999999998</v>
      </c>
      <c r="E9622">
        <v>0.52103429999999995</v>
      </c>
      <c r="F9622" t="s">
        <v>88</v>
      </c>
      <c r="G9622">
        <v>-236.12260000000001</v>
      </c>
      <c r="H9622" s="1">
        <v>-2.219689E-6</v>
      </c>
      <c r="I9622">
        <v>-62.661059999999999</v>
      </c>
      <c r="J9622">
        <v>-256.4828</v>
      </c>
      <c r="K9622">
        <v>1.1116820000000001</v>
      </c>
      <c r="L9622">
        <v>-62.355040000000002</v>
      </c>
      <c r="M9622">
        <v>0.99992230000000004</v>
      </c>
      <c r="N9622">
        <v>0</v>
      </c>
      <c r="O9622">
        <v>-6.9004460000000002E-3</v>
      </c>
      <c r="P9622">
        <v>0.99810659999999896</v>
      </c>
      <c r="Q9622">
        <v>4.941835E-2</v>
      </c>
      <c r="R9622">
        <v>3.66212E-2</v>
      </c>
      <c r="S9622">
        <v>3.0157780000000001</v>
      </c>
      <c r="T9622">
        <v>-0.163524</v>
      </c>
      <c r="U9622">
        <v>-4.5043949999999999E-2</v>
      </c>
      <c r="V9622">
        <v>-4.3735910000000003E-2</v>
      </c>
      <c r="W9622">
        <v>5.9604409999999997E-2</v>
      </c>
      <c r="X9622">
        <v>0.99726349999999997</v>
      </c>
      <c r="Y9622">
        <v>8.0323659999999904E-3</v>
      </c>
      <c r="Z9622">
        <v>1.5628260000000001E-4</v>
      </c>
      <c r="AA9622">
        <v>0.99996779999999996</v>
      </c>
      <c r="AB9622">
        <v>29</v>
      </c>
      <c r="AC9622">
        <v>20.360199999999899</v>
      </c>
      <c r="AD9622">
        <v>-1.111684219689</v>
      </c>
      <c r="AE9622">
        <v>-0.30601999999999602</v>
      </c>
      <c r="AF9622">
        <v>0.16501882929598</v>
      </c>
      <c r="AG9622">
        <v>-1.111684219689</v>
      </c>
      <c r="AH9622">
        <v>20.301317304024401</v>
      </c>
      <c r="AI9622">
        <v>93.134238284195504</v>
      </c>
      <c r="AJ9622">
        <v>89.534282722118405</v>
      </c>
      <c r="AK9622">
        <v>20.332401660822299</v>
      </c>
      <c r="AL9622">
        <v>86.582893515440901</v>
      </c>
      <c r="AM9622">
        <v>92.511150113278603</v>
      </c>
      <c r="AN9622">
        <v>1.0000000019736099</v>
      </c>
    </row>
    <row r="9623" spans="1:40" x14ac:dyDescent="0.25">
      <c r="A9623" t="str">
        <f>"20190312150912084"</f>
        <v>20190312150912084</v>
      </c>
      <c r="B9623" t="str">
        <f>"1552374552079108"</f>
        <v>1552374552079108</v>
      </c>
      <c r="C9623" t="s">
        <v>40</v>
      </c>
      <c r="D9623">
        <v>4.4165570000000001</v>
      </c>
      <c r="E9623">
        <v>0.52093610000000001</v>
      </c>
      <c r="F9623" t="s">
        <v>88</v>
      </c>
      <c r="G9623">
        <v>-236.2612</v>
      </c>
      <c r="H9623" s="1">
        <v>-2.2771089999999998E-6</v>
      </c>
      <c r="I9623">
        <v>-62.653350000000003</v>
      </c>
      <c r="J9623">
        <v>-256.3372</v>
      </c>
      <c r="K9623">
        <v>1.1116360000000001</v>
      </c>
      <c r="L9623">
        <v>-62.355159999999998</v>
      </c>
      <c r="M9623">
        <v>0.99992840000000005</v>
      </c>
      <c r="N9623">
        <v>0</v>
      </c>
      <c r="O9623">
        <v>-5.9572929999999998E-3</v>
      </c>
      <c r="P9623">
        <v>0.99815140000000002</v>
      </c>
      <c r="Q9623">
        <v>4.8722969999999997E-2</v>
      </c>
      <c r="R9623">
        <v>3.633256E-2</v>
      </c>
      <c r="S9623">
        <v>3.0155639999999999</v>
      </c>
      <c r="T9623">
        <v>-0.16578090000000001</v>
      </c>
      <c r="U9623">
        <v>-4.449463E-2</v>
      </c>
      <c r="V9623">
        <v>-4.2496930000000002E-2</v>
      </c>
      <c r="W9623">
        <v>5.8926109999999997E-2</v>
      </c>
      <c r="X9623">
        <v>0.99735739999999995</v>
      </c>
      <c r="Y9623">
        <v>8.7918839999999998E-3</v>
      </c>
      <c r="Z9623" s="1">
        <v>8.5778580000000004E-5</v>
      </c>
      <c r="AA9623">
        <v>0.9999614</v>
      </c>
      <c r="AB9623">
        <v>29</v>
      </c>
      <c r="AC9623">
        <v>20.076000000000001</v>
      </c>
      <c r="AD9623">
        <v>-1.1116382771089901</v>
      </c>
      <c r="AE9623">
        <v>-0.29819000000000501</v>
      </c>
      <c r="AF9623">
        <v>0.17803392041255001</v>
      </c>
      <c r="AG9623">
        <v>-1.1116382771089901</v>
      </c>
      <c r="AH9623">
        <v>20.016064434637698</v>
      </c>
      <c r="AI9623">
        <v>93.178662184843702</v>
      </c>
      <c r="AJ9623">
        <v>89.490393164155904</v>
      </c>
      <c r="AK9623">
        <v>20.047699897682001</v>
      </c>
      <c r="AL9623">
        <v>86.621825768417906</v>
      </c>
      <c r="AM9623">
        <v>92.4398703602278</v>
      </c>
      <c r="AN9623">
        <v>1.00000002941695</v>
      </c>
    </row>
    <row r="9624" spans="1:40" x14ac:dyDescent="0.25">
      <c r="A9624" t="str">
        <f>"20190312150912095"</f>
        <v>20190312150912095</v>
      </c>
      <c r="B9624" t="str">
        <f>"1552374552088865"</f>
        <v>1552374552088865</v>
      </c>
      <c r="C9624" t="s">
        <v>40</v>
      </c>
      <c r="D9624">
        <v>4.413322</v>
      </c>
      <c r="E9624">
        <v>0.52083359999999901</v>
      </c>
      <c r="F9624" t="s">
        <v>88</v>
      </c>
      <c r="G9624">
        <v>-236.13480000000001</v>
      </c>
      <c r="H9624" s="1">
        <v>-2.223394E-6</v>
      </c>
      <c r="I9624">
        <v>-62.655259999999998</v>
      </c>
      <c r="J9624">
        <v>-256.1927</v>
      </c>
      <c r="K9624">
        <v>1.111583</v>
      </c>
      <c r="L9624">
        <v>-62.355069999999998</v>
      </c>
      <c r="M9624">
        <v>0.99993319999999997</v>
      </c>
      <c r="N9624">
        <v>0</v>
      </c>
      <c r="O9624">
        <v>-5.0750689999999998E-3</v>
      </c>
      <c r="P9624">
        <v>0.99820710000000001</v>
      </c>
      <c r="Q9624">
        <v>4.781817E-2</v>
      </c>
      <c r="R9624">
        <v>3.6002989999999999E-2</v>
      </c>
      <c r="S9624">
        <v>3.0152890000000001</v>
      </c>
      <c r="T9624">
        <v>-0.1659166</v>
      </c>
      <c r="U9624">
        <v>-4.4799800000000001E-2</v>
      </c>
      <c r="V9624">
        <v>-4.1277769999999998E-2</v>
      </c>
      <c r="W9624">
        <v>5.8037850000000002E-2</v>
      </c>
      <c r="X9624">
        <v>0.99746069999999998</v>
      </c>
      <c r="Y9624">
        <v>9.7738300000000007E-3</v>
      </c>
      <c r="Z9624" s="1">
        <v>1.0356340000000001E-5</v>
      </c>
      <c r="AA9624">
        <v>0.99995230000000002</v>
      </c>
      <c r="AB9624">
        <v>29</v>
      </c>
      <c r="AC9624">
        <v>20.057899999999901</v>
      </c>
      <c r="AD9624">
        <v>-1.111585223394</v>
      </c>
      <c r="AE9624">
        <v>-0.30019000000000001</v>
      </c>
      <c r="AF9624">
        <v>0.19777812869928499</v>
      </c>
      <c r="AG9624">
        <v>-1.111585223394</v>
      </c>
      <c r="AH9624">
        <v>19.997760938772501</v>
      </c>
      <c r="AI9624">
        <v>93.181384356107401</v>
      </c>
      <c r="AJ9624">
        <v>89.433362432637395</v>
      </c>
      <c r="AK9624">
        <v>20.029607596289999</v>
      </c>
      <c r="AL9624">
        <v>86.6728066323777</v>
      </c>
      <c r="AM9624">
        <v>92.369710723904603</v>
      </c>
      <c r="AN9624">
        <v>1.0000000471866399</v>
      </c>
    </row>
    <row r="9625" spans="1:40" x14ac:dyDescent="0.25">
      <c r="A9625" t="str">
        <f>"20190312150912107"</f>
        <v>20190312150912107</v>
      </c>
      <c r="B9625" t="str">
        <f>"1552374552098625"</f>
        <v>1552374552098625</v>
      </c>
      <c r="C9625" t="s">
        <v>40</v>
      </c>
      <c r="D9625">
        <v>4.4014680000000004</v>
      </c>
      <c r="E9625">
        <v>0.52069500000000002</v>
      </c>
      <c r="F9625" t="s">
        <v>88</v>
      </c>
      <c r="G9625">
        <v>-236.12289999999999</v>
      </c>
      <c r="H9625" s="1">
        <v>-2.2183649999999999E-6</v>
      </c>
      <c r="I9625">
        <v>-62.655659999999997</v>
      </c>
      <c r="J9625">
        <v>-256.04050000000001</v>
      </c>
      <c r="K9625">
        <v>1.111534</v>
      </c>
      <c r="L9625">
        <v>-62.354950000000002</v>
      </c>
      <c r="M9625">
        <v>0.99993750000000003</v>
      </c>
      <c r="N9625">
        <v>0</v>
      </c>
      <c r="O9625">
        <v>-4.1604470000000003E-3</v>
      </c>
      <c r="P9625">
        <v>0.99826669999999995</v>
      </c>
      <c r="Q9625">
        <v>4.6874180000000001E-2</v>
      </c>
      <c r="R9625">
        <v>3.5592699999999998E-2</v>
      </c>
      <c r="S9625">
        <v>3.015015</v>
      </c>
      <c r="T9625">
        <v>-0.1669891</v>
      </c>
      <c r="U9625">
        <v>-4.5166020000000001E-2</v>
      </c>
      <c r="V9625">
        <v>-3.994574E-2</v>
      </c>
      <c r="W9625">
        <v>5.7111000000000002E-2</v>
      </c>
      <c r="X9625">
        <v>0.99756840000000002</v>
      </c>
      <c r="Y9625">
        <v>1.0808160000000001E-2</v>
      </c>
      <c r="Z9625" s="1">
        <v>-6.8813039999999996E-5</v>
      </c>
      <c r="AA9625">
        <v>0.99994159999999999</v>
      </c>
      <c r="AB9625">
        <v>29</v>
      </c>
      <c r="AC9625">
        <v>19.9176</v>
      </c>
      <c r="AD9625">
        <v>-1.1115362183649999</v>
      </c>
      <c r="AE9625">
        <v>-0.30070999999999498</v>
      </c>
      <c r="AF9625">
        <v>0.217160646670814</v>
      </c>
      <c r="AG9625">
        <v>-1.1115362183649999</v>
      </c>
      <c r="AH9625">
        <v>19.8568508389898</v>
      </c>
      <c r="AI9625">
        <v>93.203737753117593</v>
      </c>
      <c r="AJ9625">
        <v>89.373420658759102</v>
      </c>
      <c r="AK9625">
        <v>19.889122573735801</v>
      </c>
      <c r="AL9625">
        <v>86.725999373157705</v>
      </c>
      <c r="AM9625">
        <v>92.293076046420097</v>
      </c>
      <c r="AN9625">
        <v>1.00000002057185</v>
      </c>
    </row>
    <row r="9626" spans="1:40" x14ac:dyDescent="0.25">
      <c r="A9626" t="str">
        <f>"20190312150912118"</f>
        <v>20190312150912118</v>
      </c>
      <c r="B9626" t="str">
        <f>"1552374552109361"</f>
        <v>1552374552109361</v>
      </c>
      <c r="C9626" t="s">
        <v>40</v>
      </c>
      <c r="D9626">
        <v>4.4367130000000001</v>
      </c>
      <c r="E9626">
        <v>0.52054480000000003</v>
      </c>
      <c r="F9626" t="s">
        <v>88</v>
      </c>
      <c r="G9626">
        <v>-236.34270000000001</v>
      </c>
      <c r="H9626" s="1">
        <v>-2.3115409999999999E-6</v>
      </c>
      <c r="I9626">
        <v>-62.651380000000003</v>
      </c>
      <c r="J9626">
        <v>-255.90119999999999</v>
      </c>
      <c r="K9626">
        <v>1.11148799999999</v>
      </c>
      <c r="L9626">
        <v>-62.35474</v>
      </c>
      <c r="M9626">
        <v>0.9999403</v>
      </c>
      <c r="N9626">
        <v>0</v>
      </c>
      <c r="O9626">
        <v>-3.358799E-3</v>
      </c>
      <c r="P9626">
        <v>0.99833780000000005</v>
      </c>
      <c r="Q9626">
        <v>4.5665329999999997E-2</v>
      </c>
      <c r="R9626">
        <v>3.5166199999999898E-2</v>
      </c>
      <c r="S9626">
        <v>3.0148160000000002</v>
      </c>
      <c r="T9626">
        <v>-0.17012469999999999</v>
      </c>
      <c r="U9626">
        <v>-4.5379639999999999E-2</v>
      </c>
      <c r="V9626">
        <v>-3.8709189999999997E-2</v>
      </c>
      <c r="W9626">
        <v>5.5917479999999999E-2</v>
      </c>
      <c r="X9626">
        <v>0.99768469999999998</v>
      </c>
      <c r="Y9626">
        <v>1.1678590000000001E-2</v>
      </c>
      <c r="Z9626">
        <v>-1.398452E-4</v>
      </c>
      <c r="AA9626">
        <v>0.99993180000000004</v>
      </c>
      <c r="AB9626">
        <v>29</v>
      </c>
      <c r="AC9626">
        <v>19.558499999999899</v>
      </c>
      <c r="AD9626">
        <v>-1.11149031154099</v>
      </c>
      <c r="AE9626">
        <v>-0.29664000000000301</v>
      </c>
      <c r="AF9626">
        <v>0.23019844138230899</v>
      </c>
      <c r="AG9626">
        <v>-1.11149031154099</v>
      </c>
      <c r="AH9626">
        <v>19.4964360882493</v>
      </c>
      <c r="AI9626">
        <v>93.262669139351004</v>
      </c>
      <c r="AJ9626">
        <v>89.323528350445102</v>
      </c>
      <c r="AK9626">
        <v>19.529450124830799</v>
      </c>
      <c r="AL9626">
        <v>86.794492316985099</v>
      </c>
      <c r="AM9626">
        <v>92.221905695532001</v>
      </c>
      <c r="AN9626">
        <v>0.99999996328704699</v>
      </c>
    </row>
    <row r="9627" spans="1:40" x14ac:dyDescent="0.25">
      <c r="A9627" t="str">
        <f>"20190312150912128"</f>
        <v>20190312150912128</v>
      </c>
      <c r="B9627" t="str">
        <f>"1552374552119120"</f>
        <v>1552374552119120</v>
      </c>
      <c r="C9627" t="s">
        <v>40</v>
      </c>
      <c r="D9627">
        <v>5.326848</v>
      </c>
      <c r="E9627">
        <v>0.52037100000000003</v>
      </c>
      <c r="F9627" t="s">
        <v>88</v>
      </c>
      <c r="G9627">
        <v>-236.39709999999999</v>
      </c>
      <c r="H9627" s="1">
        <v>-2.334297E-6</v>
      </c>
      <c r="I9627">
        <v>-62.649279999999997</v>
      </c>
      <c r="J9627">
        <v>-255.75800000000001</v>
      </c>
      <c r="K9627">
        <v>1.1114409999999999</v>
      </c>
      <c r="L9627">
        <v>-62.354399999999998</v>
      </c>
      <c r="M9627">
        <v>0.99994249999999996</v>
      </c>
      <c r="N9627">
        <v>0</v>
      </c>
      <c r="O9627">
        <v>-2.5566870000000002E-3</v>
      </c>
      <c r="P9627">
        <v>0.99841250000000004</v>
      </c>
      <c r="Q9627">
        <v>4.4432039999999999E-2</v>
      </c>
      <c r="R9627">
        <v>3.4614720000000002E-2</v>
      </c>
      <c r="S9627">
        <v>3.014465</v>
      </c>
      <c r="T9627">
        <v>-0.17178669999999999</v>
      </c>
      <c r="U9627">
        <v>-4.553223E-2</v>
      </c>
      <c r="V9627">
        <v>-3.734726E-2</v>
      </c>
      <c r="W9627">
        <v>5.4700070000000003E-2</v>
      </c>
      <c r="X9627">
        <v>0.99780409999999997</v>
      </c>
      <c r="Y9627">
        <v>1.2530100000000001E-2</v>
      </c>
      <c r="Z9627">
        <v>-2.1113969999999999E-4</v>
      </c>
      <c r="AA9627">
        <v>0.99992150000000002</v>
      </c>
      <c r="AB9627">
        <v>29</v>
      </c>
      <c r="AC9627">
        <v>19.360899999999901</v>
      </c>
      <c r="AD9627">
        <v>-1.11144333429699</v>
      </c>
      <c r="AE9627">
        <v>-0.29488000000000603</v>
      </c>
      <c r="AF9627">
        <v>0.244570789908718</v>
      </c>
      <c r="AG9627">
        <v>-1.11144333429699</v>
      </c>
      <c r="AH9627">
        <v>19.298008504765001</v>
      </c>
      <c r="AI9627">
        <v>93.295969365764904</v>
      </c>
      <c r="AJ9627">
        <v>89.273908294725402</v>
      </c>
      <c r="AK9627">
        <v>19.331535205632498</v>
      </c>
      <c r="AL9627">
        <v>86.864351729846604</v>
      </c>
      <c r="AM9627">
        <v>92.143548953003403</v>
      </c>
      <c r="AN9627">
        <v>0.99999996873216002</v>
      </c>
    </row>
    <row r="9628" spans="1:40" x14ac:dyDescent="0.25">
      <c r="A9628" t="str">
        <f>"20190312150912140"</f>
        <v>20190312150912140</v>
      </c>
      <c r="B9628" t="str">
        <f>"1552374552128881"</f>
        <v>1552374552128881</v>
      </c>
      <c r="C9628" t="s">
        <v>40</v>
      </c>
      <c r="D9628">
        <v>4.969182</v>
      </c>
      <c r="E9628">
        <v>0.52072149999999995</v>
      </c>
      <c r="F9628" t="s">
        <v>88</v>
      </c>
      <c r="G9628">
        <v>-236.17660000000001</v>
      </c>
      <c r="H9628" s="1">
        <v>-2.2406729999999999E-6</v>
      </c>
      <c r="I9628">
        <v>-62.652929999999998</v>
      </c>
      <c r="J9628">
        <v>-255.6096</v>
      </c>
      <c r="K9628">
        <v>1.1113930000000001</v>
      </c>
      <c r="L9628">
        <v>-62.353969999999997</v>
      </c>
      <c r="M9628">
        <v>0.99994430000000001</v>
      </c>
      <c r="N9628">
        <v>0</v>
      </c>
      <c r="O9628">
        <v>-1.7542339999999999E-3</v>
      </c>
      <c r="P9628">
        <v>0.99850220000000001</v>
      </c>
      <c r="Q9628">
        <v>4.2847080000000003E-2</v>
      </c>
      <c r="R9628">
        <v>3.4024350000000002E-2</v>
      </c>
      <c r="S9628">
        <v>3.013992</v>
      </c>
      <c r="T9628">
        <v>-0.17107429999999901</v>
      </c>
      <c r="U9628">
        <v>-4.5959470000000002E-2</v>
      </c>
      <c r="V9628">
        <v>-3.5945270000000001E-2</v>
      </c>
      <c r="W9628">
        <v>5.3131169999999998E-2</v>
      </c>
      <c r="X9628">
        <v>0.99794039999999995</v>
      </c>
      <c r="Y9628">
        <v>1.347392E-2</v>
      </c>
      <c r="Z9628">
        <v>-2.8257100000000002E-4</v>
      </c>
      <c r="AA9628">
        <v>0.99990919999999905</v>
      </c>
      <c r="AB9628">
        <v>29</v>
      </c>
      <c r="AC9628">
        <v>19.433</v>
      </c>
      <c r="AD9628">
        <v>-1.1113952406730001</v>
      </c>
      <c r="AE9628">
        <v>-0.298960000000008</v>
      </c>
      <c r="AF9628">
        <v>0.26400435633052799</v>
      </c>
      <c r="AG9628">
        <v>-1.1113952406730001</v>
      </c>
      <c r="AH9628">
        <v>19.370153171778899</v>
      </c>
      <c r="AI9628">
        <v>93.283537382146307</v>
      </c>
      <c r="AJ9628">
        <v>89.219138912841302</v>
      </c>
      <c r="AK9628">
        <v>19.403807141366102</v>
      </c>
      <c r="AL9628">
        <v>86.954374162699395</v>
      </c>
      <c r="AM9628">
        <v>92.062870974992407</v>
      </c>
      <c r="AN9628">
        <v>1.00000001280655</v>
      </c>
    </row>
    <row r="9629" spans="1:40" x14ac:dyDescent="0.25">
      <c r="A9629" t="str">
        <f>"20190312150912151"</f>
        <v>20190312150912151</v>
      </c>
      <c r="B9629" t="str">
        <f>"1552374552149377"</f>
        <v>1552374552149377</v>
      </c>
      <c r="C9629" t="s">
        <v>40</v>
      </c>
      <c r="D9629">
        <v>4.4368379999999998</v>
      </c>
      <c r="E9629">
        <v>0.54474119999999904</v>
      </c>
      <c r="F9629" t="s">
        <v>88</v>
      </c>
      <c r="G9629">
        <v>-236.18549999999999</v>
      </c>
      <c r="H9629" s="1">
        <v>-2.251732E-6</v>
      </c>
      <c r="I9629">
        <v>-62.680030000000002</v>
      </c>
      <c r="J9629">
        <v>-255.4665</v>
      </c>
      <c r="K9629">
        <v>1.1113459999999999</v>
      </c>
      <c r="L9629">
        <v>-62.353490000000001</v>
      </c>
      <c r="M9629">
        <v>0.99994519999999998</v>
      </c>
      <c r="N9629">
        <v>0</v>
      </c>
      <c r="O9629">
        <v>-1.0132819999999999E-3</v>
      </c>
      <c r="P9629">
        <v>0.99859940000000003</v>
      </c>
      <c r="Q9629">
        <v>4.1123199999999999E-2</v>
      </c>
      <c r="R9629">
        <v>3.3293530000000002E-2</v>
      </c>
      <c r="S9629">
        <v>3.0136409999999998</v>
      </c>
      <c r="T9629">
        <v>-0.172433</v>
      </c>
      <c r="U9629">
        <v>-5.059814E-2</v>
      </c>
      <c r="V9629">
        <v>-3.4463649999999998E-2</v>
      </c>
      <c r="W9629">
        <v>5.1422620000000002E-2</v>
      </c>
      <c r="X9629">
        <v>0.99808220000000003</v>
      </c>
      <c r="Y9629">
        <v>1.575004E-2</v>
      </c>
      <c r="Z9629">
        <v>-3.9226019999999998E-4</v>
      </c>
      <c r="AA9629">
        <v>0.99987590000000004</v>
      </c>
      <c r="AB9629">
        <v>29</v>
      </c>
      <c r="AC9629">
        <v>19.280999999999999</v>
      </c>
      <c r="AD9629">
        <v>-1.1113482517319999</v>
      </c>
      <c r="AE9629">
        <v>-0.326540000000001</v>
      </c>
      <c r="AF9629">
        <v>0.30598539208618802</v>
      </c>
      <c r="AG9629">
        <v>-1.1113482517319999</v>
      </c>
      <c r="AH9629">
        <v>19.217492676450501</v>
      </c>
      <c r="AI9629">
        <v>93.309312035945098</v>
      </c>
      <c r="AJ9629">
        <v>89.087800341535001</v>
      </c>
      <c r="AK9629">
        <v>19.252032276261801</v>
      </c>
      <c r="AL9629">
        <v>87.052401036597004</v>
      </c>
      <c r="AM9629">
        <v>91.977630163301697</v>
      </c>
      <c r="AN9629">
        <v>1.0000000534879101</v>
      </c>
    </row>
    <row r="9630" spans="1:40" x14ac:dyDescent="0.25">
      <c r="A9630" t="str">
        <f>"20190312150912162"</f>
        <v>20190312150912162</v>
      </c>
      <c r="B9630" t="str">
        <f>"1552374552159137"</f>
        <v>1552374552159137</v>
      </c>
      <c r="C9630" t="s">
        <v>40</v>
      </c>
      <c r="D9630">
        <v>4.4290059999999896</v>
      </c>
      <c r="E9630">
        <v>0.54624269999999997</v>
      </c>
      <c r="F9630" t="s">
        <v>88</v>
      </c>
      <c r="G9630">
        <v>-232.0847</v>
      </c>
      <c r="H9630" s="1">
        <v>-9.1231690000000004E-7</v>
      </c>
      <c r="I9630">
        <v>-64.257909999999995</v>
      </c>
      <c r="J9630">
        <v>-255.32249999999999</v>
      </c>
      <c r="K9630">
        <v>1.1112959999999901</v>
      </c>
      <c r="L9630">
        <v>-62.352939999999997</v>
      </c>
      <c r="M9630">
        <v>0.99994550000000004</v>
      </c>
      <c r="N9630">
        <v>0</v>
      </c>
      <c r="O9630">
        <v>-2.8580640000000002E-4</v>
      </c>
      <c r="P9630">
        <v>0.9986739</v>
      </c>
      <c r="Q9630">
        <v>3.9814240000000001E-2</v>
      </c>
      <c r="R9630">
        <v>3.2638859999999999E-2</v>
      </c>
      <c r="S9630">
        <v>3.0183409999999999</v>
      </c>
      <c r="T9630">
        <v>-0.14346320000000001</v>
      </c>
      <c r="U9630">
        <v>-0.2458496</v>
      </c>
      <c r="V9630">
        <v>-3.3073730000000003E-2</v>
      </c>
      <c r="W9630">
        <v>5.0128249999999999E-2</v>
      </c>
      <c r="X9630">
        <v>0.99819500000000005</v>
      </c>
      <c r="Y9630">
        <v>8.0807870000000004E-2</v>
      </c>
      <c r="Z9630">
        <v>-1.902613E-3</v>
      </c>
      <c r="AA9630">
        <v>0.9967279</v>
      </c>
      <c r="AB9630">
        <v>29</v>
      </c>
      <c r="AC9630">
        <v>23.2378</v>
      </c>
      <c r="AD9630">
        <v>-1.1112969123169001</v>
      </c>
      <c r="AE9630">
        <v>-1.9049699999999901</v>
      </c>
      <c r="AF9630">
        <v>1.89402528814987</v>
      </c>
      <c r="AG9630">
        <v>-1.1112969123169001</v>
      </c>
      <c r="AH9630">
        <v>23.1856713810825</v>
      </c>
      <c r="AI9630">
        <v>92.735009109365393</v>
      </c>
      <c r="AJ9630">
        <v>85.329907622588493</v>
      </c>
      <c r="AK9630">
        <v>23.289432582418701</v>
      </c>
      <c r="AL9630">
        <v>87.126658565951303</v>
      </c>
      <c r="AM9630">
        <v>91.897717520357702</v>
      </c>
      <c r="AN9630">
        <v>0.99999998554458702</v>
      </c>
    </row>
    <row r="9631" spans="1:40" x14ac:dyDescent="0.25">
      <c r="A9631" t="str">
        <f>"20190312150912174"</f>
        <v>20190312150912174</v>
      </c>
      <c r="B9631" t="str">
        <f>"1552374552168897"</f>
        <v>1552374552168897</v>
      </c>
      <c r="C9631" t="s">
        <v>40</v>
      </c>
      <c r="D9631">
        <v>4.4353829999999999</v>
      </c>
      <c r="E9631">
        <v>0.54744459999999995</v>
      </c>
      <c r="F9631" t="s">
        <v>88</v>
      </c>
      <c r="G9631">
        <v>-235.47730000000001</v>
      </c>
      <c r="H9631" s="1">
        <v>-2.31384E-6</v>
      </c>
      <c r="I9631">
        <v>-64.055289999999999</v>
      </c>
      <c r="J9631">
        <v>-255.1653</v>
      </c>
      <c r="K9631">
        <v>1.111245</v>
      </c>
      <c r="L9631">
        <v>-62.352170000000001</v>
      </c>
      <c r="M9631">
        <v>0.99994550000000004</v>
      </c>
      <c r="N9631">
        <v>0</v>
      </c>
      <c r="O9631">
        <v>4.6188590000000002E-4</v>
      </c>
      <c r="P9631">
        <v>0.99873920000000005</v>
      </c>
      <c r="Q9631">
        <v>3.8476789999999997E-2</v>
      </c>
      <c r="R9631">
        <v>3.2249029999999998E-2</v>
      </c>
      <c r="S9631">
        <v>3.019196</v>
      </c>
      <c r="T9631">
        <v>-0.16907049999999901</v>
      </c>
      <c r="U9631">
        <v>-0.25900269999999997</v>
      </c>
      <c r="V9631">
        <v>-3.1927740000000003E-2</v>
      </c>
      <c r="W9631">
        <v>4.880665E-2</v>
      </c>
      <c r="X9631">
        <v>0.99829780000000001</v>
      </c>
      <c r="Y9631">
        <v>8.5797470000000001E-2</v>
      </c>
      <c r="Z9631">
        <v>-2.4217940000000001E-3</v>
      </c>
      <c r="AA9631">
        <v>0.99630960000000002</v>
      </c>
      <c r="AB9631">
        <v>29</v>
      </c>
      <c r="AC9631">
        <v>19.687999999999899</v>
      </c>
      <c r="AD9631">
        <v>-1.1112473138400001</v>
      </c>
      <c r="AE9631">
        <v>-1.70312</v>
      </c>
      <c r="AF9631">
        <v>1.70681673728473</v>
      </c>
      <c r="AG9631">
        <v>-1.1112473138400001</v>
      </c>
      <c r="AH9631">
        <v>19.625153820087601</v>
      </c>
      <c r="AI9631">
        <v>93.228672162358293</v>
      </c>
      <c r="AJ9631">
        <v>85.029443244324895</v>
      </c>
      <c r="AK9631">
        <v>19.730553880448799</v>
      </c>
      <c r="AL9631">
        <v>87.2024734867679</v>
      </c>
      <c r="AM9631">
        <v>91.831819542845395</v>
      </c>
      <c r="AN9631">
        <v>0.99999998357528497</v>
      </c>
    </row>
    <row r="9632" spans="1:40" x14ac:dyDescent="0.25">
      <c r="A9632" t="str">
        <f>"20190312150912185"</f>
        <v>20190312150912185</v>
      </c>
      <c r="B9632" t="str">
        <f>"1552374552178657"</f>
        <v>1552374552178657</v>
      </c>
      <c r="C9632" t="s">
        <v>40</v>
      </c>
      <c r="D9632">
        <v>4.4699900000000001</v>
      </c>
      <c r="E9632">
        <v>0.54828390000000005</v>
      </c>
      <c r="F9632" t="s">
        <v>88</v>
      </c>
      <c r="G9632">
        <v>-236.4641</v>
      </c>
      <c r="H9632" s="1">
        <v>-2.7191949999999998E-6</v>
      </c>
      <c r="I9632">
        <v>-64.021869999999893</v>
      </c>
      <c r="J9632">
        <v>-255.03200000000001</v>
      </c>
      <c r="K9632">
        <v>1.1112029999999999</v>
      </c>
      <c r="L9632">
        <v>-62.351529999999997</v>
      </c>
      <c r="M9632">
        <v>0.99994490000000003</v>
      </c>
      <c r="N9632">
        <v>0</v>
      </c>
      <c r="O9632">
        <v>1.0872150000000001E-3</v>
      </c>
      <c r="P9632">
        <v>0.99878869999999997</v>
      </c>
      <c r="Q9632">
        <v>3.754739E-2</v>
      </c>
      <c r="R9632">
        <v>3.1802610000000002E-2</v>
      </c>
      <c r="S9632">
        <v>3.019409</v>
      </c>
      <c r="T9632">
        <v>-0.1794172</v>
      </c>
      <c r="U9632">
        <v>-0.26959229999999901</v>
      </c>
      <c r="V9632">
        <v>-3.084899E-2</v>
      </c>
      <c r="W9632">
        <v>4.789028E-2</v>
      </c>
      <c r="X9632">
        <v>0.99837609999999999</v>
      </c>
      <c r="Y9632">
        <v>8.9856420000000006E-2</v>
      </c>
      <c r="Z9632">
        <v>-2.7264820000000001E-3</v>
      </c>
      <c r="AA9632">
        <v>0.99595100000000003</v>
      </c>
      <c r="AB9632">
        <v>29</v>
      </c>
      <c r="AC9632">
        <v>18.567900000000002</v>
      </c>
      <c r="AD9632">
        <v>-1.111205719195</v>
      </c>
      <c r="AE9632">
        <v>-1.67033999999998</v>
      </c>
      <c r="AF9632">
        <v>1.68454267675889</v>
      </c>
      <c r="AG9632">
        <v>-1.111205719195</v>
      </c>
      <c r="AH9632">
        <v>18.5003460576478</v>
      </c>
      <c r="AI9632">
        <v>93.423159558281199</v>
      </c>
      <c r="AJ9632">
        <v>84.7972992043792</v>
      </c>
      <c r="AK9632">
        <v>18.610085073231598</v>
      </c>
      <c r="AL9632">
        <v>87.255039109274605</v>
      </c>
      <c r="AM9632">
        <v>91.769828758895201</v>
      </c>
      <c r="AN9632">
        <v>0.99999998807685397</v>
      </c>
    </row>
    <row r="9633" spans="1:40" x14ac:dyDescent="0.25">
      <c r="A9633" t="str">
        <f>"20190312150912196"</f>
        <v>20190312150912196</v>
      </c>
      <c r="B9633" t="str">
        <f>"1552374552189392"</f>
        <v>1552374552189392</v>
      </c>
      <c r="C9633" t="s">
        <v>40</v>
      </c>
      <c r="D9633">
        <v>4.3878440000000003</v>
      </c>
      <c r="E9633">
        <v>0.54848969999999997</v>
      </c>
      <c r="F9633" t="s">
        <v>41</v>
      </c>
      <c r="G9633">
        <v>-254.0394</v>
      </c>
      <c r="H9633">
        <v>1.0506599999999999</v>
      </c>
      <c r="I9633">
        <v>-62.442900000000002</v>
      </c>
      <c r="J9633">
        <v>-254.87450000000001</v>
      </c>
      <c r="K9633">
        <v>1.1111549999999999</v>
      </c>
      <c r="L9633">
        <v>-62.3506199999999</v>
      </c>
      <c r="M9633">
        <v>0.9999439</v>
      </c>
      <c r="N9633">
        <v>0</v>
      </c>
      <c r="O9633">
        <v>1.77505E-3</v>
      </c>
      <c r="P9633">
        <v>0.99887649999999994</v>
      </c>
      <c r="Q9633">
        <v>3.6107920000000002E-2</v>
      </c>
      <c r="R9633">
        <v>3.069655E-2</v>
      </c>
      <c r="S9633">
        <v>3.0193940000000001</v>
      </c>
      <c r="T9633">
        <v>-0.18413599999999999</v>
      </c>
      <c r="U9633">
        <v>-0.27767940000000002</v>
      </c>
      <c r="V9633">
        <v>-2.904661E-2</v>
      </c>
      <c r="W9633">
        <v>4.6469940000000001E-2</v>
      </c>
      <c r="X9633">
        <v>0.99849730000000003</v>
      </c>
      <c r="Y9633">
        <v>9.3171480000000001E-2</v>
      </c>
      <c r="Z9633">
        <v>-2.9403390000000001E-3</v>
      </c>
      <c r="AA9633">
        <v>0.99564580000000003</v>
      </c>
      <c r="AB9633">
        <v>29</v>
      </c>
      <c r="AC9633">
        <v>0.83510000000001094</v>
      </c>
      <c r="AD9633">
        <v>-6.0494999999999903E-2</v>
      </c>
      <c r="AE9633">
        <v>-9.2280000000009396E-2</v>
      </c>
      <c r="AF9633">
        <v>9.3278693871904295E-2</v>
      </c>
      <c r="AG9633">
        <v>-6.0494999999999903E-2</v>
      </c>
      <c r="AH9633">
        <v>0.83062863599317605</v>
      </c>
      <c r="AI9633">
        <v>94.139589643093004</v>
      </c>
      <c r="AJ9633">
        <v>83.5925909002152</v>
      </c>
      <c r="AK9633">
        <v>0.83803609151833802</v>
      </c>
      <c r="AL9633">
        <v>87.336509387057106</v>
      </c>
      <c r="AM9633">
        <v>91.6662828686718</v>
      </c>
      <c r="AN9633">
        <v>1.0000000094916901</v>
      </c>
    </row>
    <row r="9634" spans="1:40" x14ac:dyDescent="0.25">
      <c r="A9634" t="str">
        <f>"20190312150912208"</f>
        <v>20190312150912208</v>
      </c>
      <c r="B9634" t="str">
        <f>"1552374552199153"</f>
        <v>1552374552199153</v>
      </c>
      <c r="C9634" t="s">
        <v>40</v>
      </c>
      <c r="D9634">
        <v>4.3908750000000003</v>
      </c>
      <c r="E9634">
        <v>0.54872519999999902</v>
      </c>
      <c r="F9634" t="s">
        <v>88</v>
      </c>
      <c r="G9634">
        <v>-237.2713</v>
      </c>
      <c r="H9634" s="1">
        <v>-2.98987E-6</v>
      </c>
      <c r="I9634">
        <v>-63.999209999999998</v>
      </c>
      <c r="J9634">
        <v>-254.7201</v>
      </c>
      <c r="K9634">
        <v>1.1111070000000001</v>
      </c>
      <c r="L9634">
        <v>-62.349699999999999</v>
      </c>
      <c r="M9634">
        <v>0.99994229999999995</v>
      </c>
      <c r="N9634">
        <v>0</v>
      </c>
      <c r="O9634">
        <v>2.4339299999999999E-3</v>
      </c>
      <c r="P9634">
        <v>0.99894499999999997</v>
      </c>
      <c r="Q9634">
        <v>3.4766970000000001E-2</v>
      </c>
      <c r="R9634">
        <v>3.0001690000000001E-2</v>
      </c>
      <c r="S9634">
        <v>3.0189509999999999</v>
      </c>
      <c r="T9634">
        <v>-0.1905635</v>
      </c>
      <c r="U9634">
        <v>-0.28274539999999998</v>
      </c>
      <c r="V9634">
        <v>-2.768514E-2</v>
      </c>
      <c r="W9634">
        <v>4.5146199999999997E-2</v>
      </c>
      <c r="X9634">
        <v>0.9985967</v>
      </c>
      <c r="Y9634">
        <v>9.5478729999999998E-2</v>
      </c>
      <c r="Z9634">
        <v>-3.1570359999999998E-3</v>
      </c>
      <c r="AA9634">
        <v>0.99542649999999999</v>
      </c>
      <c r="AB9634">
        <v>29</v>
      </c>
      <c r="AC9634">
        <v>17.448799999999999</v>
      </c>
      <c r="AD9634">
        <v>-1.1111099898700001</v>
      </c>
      <c r="AE9634">
        <v>-1.64950999999999</v>
      </c>
      <c r="AF9634">
        <v>1.6852037461799501</v>
      </c>
      <c r="AG9634">
        <v>-1.1111099898700001</v>
      </c>
      <c r="AH9634">
        <v>17.3749033959683</v>
      </c>
      <c r="AI9634">
        <v>93.641988905542604</v>
      </c>
      <c r="AJ9634">
        <v>84.460171263834795</v>
      </c>
      <c r="AK9634">
        <v>17.491762206677699</v>
      </c>
      <c r="AL9634">
        <v>87.412433803663504</v>
      </c>
      <c r="AM9634">
        <v>91.588063987634499</v>
      </c>
      <c r="AN9634">
        <v>1.00000000780107</v>
      </c>
    </row>
    <row r="9635" spans="1:40" x14ac:dyDescent="0.25">
      <c r="A9635" t="str">
        <f>"20190312150912219"</f>
        <v>20190312150912219</v>
      </c>
      <c r="B9635" t="str">
        <f>"1552374552208913"</f>
        <v>1552374552208913</v>
      </c>
      <c r="C9635" t="s">
        <v>40</v>
      </c>
      <c r="D9635">
        <v>4.4002889999999999</v>
      </c>
      <c r="E9635">
        <v>0.5488594</v>
      </c>
      <c r="F9635" t="s">
        <v>41</v>
      </c>
      <c r="G9635">
        <v>-253.77709999999999</v>
      </c>
      <c r="H9635">
        <v>1.0506249999999999</v>
      </c>
      <c r="I9635">
        <v>-62.439439999999998</v>
      </c>
      <c r="J9635">
        <v>-254.57579999999999</v>
      </c>
      <c r="K9635">
        <v>1.1110640000000001</v>
      </c>
      <c r="L9635">
        <v>-62.348750000000003</v>
      </c>
      <c r="M9635">
        <v>0.99994079999999996</v>
      </c>
      <c r="N9635">
        <v>0</v>
      </c>
      <c r="O9635">
        <v>3.0222199999999999E-3</v>
      </c>
      <c r="P9635">
        <v>0.99900619999999996</v>
      </c>
      <c r="Q9635">
        <v>3.3542790000000003E-2</v>
      </c>
      <c r="R9635">
        <v>2.9353649999999998E-2</v>
      </c>
      <c r="S9635">
        <v>3.0185240000000002</v>
      </c>
      <c r="T9635">
        <v>-0.19357750000000001</v>
      </c>
      <c r="U9635">
        <v>-0.2868347</v>
      </c>
      <c r="V9635">
        <v>-2.644231E-2</v>
      </c>
      <c r="W9635">
        <v>4.3937669999999998E-2</v>
      </c>
      <c r="X9635">
        <v>0.99868429999999997</v>
      </c>
      <c r="Y9635">
        <v>9.7402619999999995E-2</v>
      </c>
      <c r="Z9635">
        <v>-3.3062130000000001E-3</v>
      </c>
      <c r="AA9635">
        <v>0.9952396</v>
      </c>
      <c r="AB9635">
        <v>29</v>
      </c>
      <c r="AC9635">
        <v>0.79869999999999597</v>
      </c>
      <c r="AD9635">
        <v>-6.0439000000000097E-2</v>
      </c>
      <c r="AE9635">
        <v>-9.0690000000002102E-2</v>
      </c>
      <c r="AF9635">
        <v>9.2580179319856307E-2</v>
      </c>
      <c r="AG9635">
        <v>-6.0439000000000097E-2</v>
      </c>
      <c r="AH9635">
        <v>0.79393388889352001</v>
      </c>
      <c r="AI9635">
        <v>94.324113683964597</v>
      </c>
      <c r="AJ9635">
        <v>83.348810280816593</v>
      </c>
      <c r="AK9635">
        <v>0.80159527335026504</v>
      </c>
      <c r="AL9635">
        <v>87.481746305213605</v>
      </c>
      <c r="AM9635">
        <v>91.5166743684008</v>
      </c>
      <c r="AN9635">
        <v>1.00000002283482</v>
      </c>
    </row>
    <row r="9636" spans="1:40" x14ac:dyDescent="0.25">
      <c r="A9636" t="str">
        <f>"20190312150912231"</f>
        <v>20190312150912231</v>
      </c>
      <c r="B9636" t="str">
        <f>"1552374552218673"</f>
        <v>1552374552218673</v>
      </c>
      <c r="C9636" t="s">
        <v>40</v>
      </c>
      <c r="D9636">
        <v>4.4111630000000002</v>
      </c>
      <c r="E9636">
        <v>0.5490083</v>
      </c>
      <c r="F9636" t="s">
        <v>88</v>
      </c>
      <c r="G9636">
        <v>-237.74959999999999</v>
      </c>
      <c r="H9636" s="1">
        <v>-3.146465E-6</v>
      </c>
      <c r="I9636">
        <v>-63.964460000000003</v>
      </c>
      <c r="J9636">
        <v>-254.4331</v>
      </c>
      <c r="K9636">
        <v>1.1110230000000001</v>
      </c>
      <c r="L9636">
        <v>-62.347749999999998</v>
      </c>
      <c r="M9636">
        <v>0.99993880000000002</v>
      </c>
      <c r="N9636">
        <v>0</v>
      </c>
      <c r="O9636">
        <v>3.5826310000000002E-3</v>
      </c>
      <c r="P9636">
        <v>0.99906680000000003</v>
      </c>
      <c r="Q9636">
        <v>3.2480549999999997E-2</v>
      </c>
      <c r="R9636">
        <v>2.847421E-2</v>
      </c>
      <c r="S9636">
        <v>3.018173</v>
      </c>
      <c r="T9636">
        <v>-0.19929549999999999</v>
      </c>
      <c r="U9636">
        <v>-0.28982540000000001</v>
      </c>
      <c r="V9636">
        <v>-2.499622E-2</v>
      </c>
      <c r="W9636">
        <v>4.2891520000000002E-2</v>
      </c>
      <c r="X9636">
        <v>0.99876699999999996</v>
      </c>
      <c r="Y9636">
        <v>9.8931660000000005E-2</v>
      </c>
      <c r="Z9636">
        <v>-3.491096E-3</v>
      </c>
      <c r="AA9636">
        <v>0.99508810000000003</v>
      </c>
      <c r="AB9636">
        <v>29</v>
      </c>
      <c r="AC9636">
        <v>16.683499999999999</v>
      </c>
      <c r="AD9636">
        <v>-1.111026146465</v>
      </c>
      <c r="AE9636">
        <v>-1.6167099999999901</v>
      </c>
      <c r="AF9636">
        <v>1.6691402805665601</v>
      </c>
      <c r="AG9636">
        <v>-1.111026146465</v>
      </c>
      <c r="AH9636">
        <v>16.604647274477902</v>
      </c>
      <c r="AI9636">
        <v>93.8088480214778</v>
      </c>
      <c r="AJ9636">
        <v>84.259769041349003</v>
      </c>
      <c r="AK9636">
        <v>16.725271880724801</v>
      </c>
      <c r="AL9636">
        <v>87.541742815354894</v>
      </c>
      <c r="AM9636">
        <v>91.433646691376097</v>
      </c>
      <c r="AN9636">
        <v>1.0000000068955901</v>
      </c>
    </row>
    <row r="9637" spans="1:40" x14ac:dyDescent="0.25">
      <c r="A9637" t="str">
        <f>"20190312150912242"</f>
        <v>20190312150912242</v>
      </c>
      <c r="B9637" t="str">
        <f>"1552374552229409"</f>
        <v>1552374552229409</v>
      </c>
      <c r="C9637" t="s">
        <v>40</v>
      </c>
      <c r="D9637">
        <v>4.3578999999999999</v>
      </c>
      <c r="E9637">
        <v>0.54900490000000002</v>
      </c>
      <c r="F9637" t="s">
        <v>41</v>
      </c>
      <c r="G9637">
        <v>-253.5153</v>
      </c>
      <c r="H9637">
        <v>1.049517</v>
      </c>
      <c r="I9637">
        <v>-62.437280000000001</v>
      </c>
      <c r="J9637">
        <v>-254.27709999999999</v>
      </c>
      <c r="K9637">
        <v>1.1109819999999999</v>
      </c>
      <c r="L9637">
        <v>-62.346589999999999</v>
      </c>
      <c r="M9637">
        <v>0.99993639999999995</v>
      </c>
      <c r="N9637">
        <v>0</v>
      </c>
      <c r="O9637">
        <v>4.1764539999999996E-3</v>
      </c>
      <c r="P9637">
        <v>0.99913609999999997</v>
      </c>
      <c r="Q9637">
        <v>3.1193419999999999E-2</v>
      </c>
      <c r="R9637">
        <v>2.7462509999999999E-2</v>
      </c>
      <c r="S9637">
        <v>3.0177309999999999</v>
      </c>
      <c r="T9637">
        <v>-0.20219239999999999</v>
      </c>
      <c r="U9637">
        <v>-0.29367070000000001</v>
      </c>
      <c r="V9637">
        <v>-2.3384390000000001E-2</v>
      </c>
      <c r="W9637">
        <v>4.1621409999999998E-2</v>
      </c>
      <c r="X9637">
        <v>0.99885979999999996</v>
      </c>
      <c r="Y9637">
        <v>0.1007806</v>
      </c>
      <c r="Z9637">
        <v>-3.6434100000000001E-3</v>
      </c>
      <c r="AA9637">
        <v>0.99490199999999995</v>
      </c>
      <c r="AB9637">
        <v>29</v>
      </c>
      <c r="AC9637">
        <v>0.76179999999999304</v>
      </c>
      <c r="AD9637">
        <v>-6.1464999999999798E-2</v>
      </c>
      <c r="AE9637">
        <v>-9.0690000000002102E-2</v>
      </c>
      <c r="AF9637">
        <v>9.3272298569979803E-2</v>
      </c>
      <c r="AG9637">
        <v>-6.1464999999999798E-2</v>
      </c>
      <c r="AH9637">
        <v>0.75655828282827997</v>
      </c>
      <c r="AI9637">
        <v>94.609925799005396</v>
      </c>
      <c r="AJ9637">
        <v>82.971753723881704</v>
      </c>
      <c r="AK9637">
        <v>0.76476016058735896</v>
      </c>
      <c r="AL9637">
        <v>87.614579889447199</v>
      </c>
      <c r="AM9637">
        <v>91.341111292137995</v>
      </c>
      <c r="AN9637">
        <v>1.0000000357610399</v>
      </c>
    </row>
    <row r="9638" spans="1:40" x14ac:dyDescent="0.25">
      <c r="A9638" t="str">
        <f>"20190312150912251"</f>
        <v>20190312150912251</v>
      </c>
      <c r="B9638" t="str">
        <f>"1552374552248930"</f>
        <v>1552374552248930</v>
      </c>
      <c r="C9638" t="s">
        <v>40</v>
      </c>
      <c r="D9638">
        <v>4.3959039999999998</v>
      </c>
      <c r="E9638">
        <v>0.54895369999999999</v>
      </c>
      <c r="F9638" t="s">
        <v>88</v>
      </c>
      <c r="G9638">
        <v>-237.97040000000001</v>
      </c>
      <c r="H9638" s="1">
        <v>-3.21923E-6</v>
      </c>
      <c r="I9638">
        <v>-63.951030000000003</v>
      </c>
      <c r="J9638">
        <v>-254.14940000000001</v>
      </c>
      <c r="K9638">
        <v>1.1109469999999999</v>
      </c>
      <c r="L9638">
        <v>-62.345579999999998</v>
      </c>
      <c r="M9638">
        <v>0.99993430000000005</v>
      </c>
      <c r="N9638">
        <v>0</v>
      </c>
      <c r="O9638">
        <v>4.6357220000000001E-3</v>
      </c>
      <c r="P9638">
        <v>0.99920109999999995</v>
      </c>
      <c r="Q9638">
        <v>3.0026609999999999E-2</v>
      </c>
      <c r="R9638">
        <v>2.6376210000000001E-2</v>
      </c>
      <c r="S9638">
        <v>3.0171510000000001</v>
      </c>
      <c r="T9638">
        <v>-0.2055604</v>
      </c>
      <c r="U9638">
        <v>-0.296875</v>
      </c>
      <c r="V9638">
        <v>-2.1833160000000001E-2</v>
      </c>
      <c r="W9638">
        <v>4.0468440000000001E-2</v>
      </c>
      <c r="X9638">
        <v>0.99894229999999995</v>
      </c>
      <c r="Y9638">
        <v>0.10229000000000001</v>
      </c>
      <c r="Z9638">
        <v>-3.7869000000000002E-3</v>
      </c>
      <c r="AA9638">
        <v>0.99474739999999995</v>
      </c>
      <c r="AB9638">
        <v>29</v>
      </c>
      <c r="AC9638">
        <v>16.178999999999998</v>
      </c>
      <c r="AD9638">
        <v>-1.11095021922999</v>
      </c>
      <c r="AE9638">
        <v>-1.6054499999999901</v>
      </c>
      <c r="AF9638">
        <v>1.6726285953317299</v>
      </c>
      <c r="AG9638">
        <v>-1.11095021922999</v>
      </c>
      <c r="AH9638">
        <v>16.096228886002201</v>
      </c>
      <c r="AI9638">
        <v>93.927172801443703</v>
      </c>
      <c r="AJ9638">
        <v>84.067440812541406</v>
      </c>
      <c r="AK9638">
        <v>16.220988908142999</v>
      </c>
      <c r="AL9638">
        <v>87.680695954840004</v>
      </c>
      <c r="AM9638">
        <v>91.252073104930801</v>
      </c>
      <c r="AN9638">
        <v>1.00000005012045</v>
      </c>
    </row>
    <row r="9639" spans="1:40" x14ac:dyDescent="0.25">
      <c r="A9639" t="str">
        <f>"20190312150912263"</f>
        <v>20190312150912263</v>
      </c>
      <c r="B9639" t="str">
        <f>"1552374552259664"</f>
        <v>1552374552259664</v>
      </c>
      <c r="C9639" t="s">
        <v>40</v>
      </c>
      <c r="D9639">
        <v>4.3961680000000003</v>
      </c>
      <c r="E9639">
        <v>0.54883930000000003</v>
      </c>
      <c r="F9639" t="s">
        <v>41</v>
      </c>
      <c r="G9639">
        <v>-253.2525</v>
      </c>
      <c r="H9639">
        <v>1.0492809999999999</v>
      </c>
      <c r="I9639">
        <v>-62.434800000000003</v>
      </c>
      <c r="J9639">
        <v>-253.99770000000001</v>
      </c>
      <c r="K9639">
        <v>1.1109039999999999</v>
      </c>
      <c r="L9639">
        <v>-62.344389999999997</v>
      </c>
      <c r="M9639">
        <v>0.99993160000000003</v>
      </c>
      <c r="N9639">
        <v>0</v>
      </c>
      <c r="O9639">
        <v>5.1724129999999998E-3</v>
      </c>
      <c r="P9639">
        <v>0.99926079999999995</v>
      </c>
      <c r="Q9639">
        <v>2.8766110000000001E-2</v>
      </c>
      <c r="R9639">
        <v>2.5504329999999999E-2</v>
      </c>
      <c r="S9639">
        <v>3.016556</v>
      </c>
      <c r="T9639">
        <v>-0.20743039999999999</v>
      </c>
      <c r="U9639">
        <v>-0.2998962</v>
      </c>
      <c r="V9639">
        <v>-2.0418490000000001E-2</v>
      </c>
      <c r="W9639">
        <v>3.922345E-2</v>
      </c>
      <c r="X9639">
        <v>0.99902179999999996</v>
      </c>
      <c r="Y9639">
        <v>0.1038202</v>
      </c>
      <c r="Z9639">
        <v>-3.9110270000000001E-3</v>
      </c>
      <c r="AA9639">
        <v>0.99458840000000004</v>
      </c>
      <c r="AB9639">
        <v>29</v>
      </c>
      <c r="AC9639">
        <v>0.74520000000001096</v>
      </c>
      <c r="AD9639">
        <v>-6.1623000000000198E-2</v>
      </c>
      <c r="AE9639">
        <v>-9.0409999999998505E-2</v>
      </c>
      <c r="AF9639">
        <v>9.3632497341308907E-2</v>
      </c>
      <c r="AG9639">
        <v>-6.1623000000000198E-2</v>
      </c>
      <c r="AH9639">
        <v>0.73973729316650105</v>
      </c>
      <c r="AI9639">
        <v>94.724443944277496</v>
      </c>
      <c r="AJ9639">
        <v>82.786129393785799</v>
      </c>
      <c r="AK9639">
        <v>0.74818159666532402</v>
      </c>
      <c r="AL9639">
        <v>87.752085155137905</v>
      </c>
      <c r="AM9639">
        <v>91.170875792086207</v>
      </c>
      <c r="AN9639">
        <v>0.99999997531951001</v>
      </c>
    </row>
    <row r="9640" spans="1:40" x14ac:dyDescent="0.25">
      <c r="A9640" t="str">
        <f>"20190312150912275"</f>
        <v>20190312150912275</v>
      </c>
      <c r="B9640" t="str">
        <f>"1552374552269428"</f>
        <v>1552374552269428</v>
      </c>
      <c r="C9640" t="s">
        <v>40</v>
      </c>
      <c r="D9640">
        <v>4.3417199999999996</v>
      </c>
      <c r="E9640">
        <v>0.5488343</v>
      </c>
      <c r="F9640" t="s">
        <v>88</v>
      </c>
      <c r="G9640">
        <v>-238.0462</v>
      </c>
      <c r="H9640" s="1">
        <v>-3.2430410000000002E-6</v>
      </c>
      <c r="I9640">
        <v>-63.93985</v>
      </c>
      <c r="J9640">
        <v>-253.8459</v>
      </c>
      <c r="K9640">
        <v>1.110867</v>
      </c>
      <c r="L9640">
        <v>-62.343049999999998</v>
      </c>
      <c r="M9640">
        <v>0.99992859999999995</v>
      </c>
      <c r="N9640">
        <v>0</v>
      </c>
      <c r="O9640">
        <v>5.6747289999999999E-3</v>
      </c>
      <c r="P9640">
        <v>0.99931990000000004</v>
      </c>
      <c r="Q9640">
        <v>2.7434170000000001E-2</v>
      </c>
      <c r="R9640">
        <v>2.4638650000000002E-2</v>
      </c>
      <c r="S9640">
        <v>3.0159609999999999</v>
      </c>
      <c r="T9640">
        <v>-0.21003959999999999</v>
      </c>
      <c r="U9640">
        <v>-0.3016663</v>
      </c>
      <c r="V9640">
        <v>-1.9044160000000001E-2</v>
      </c>
      <c r="W9640">
        <v>3.7905969999999997E-2</v>
      </c>
      <c r="X9640">
        <v>0.99909990000000004</v>
      </c>
      <c r="Y9640">
        <v>0.10490670000000001</v>
      </c>
      <c r="Z9640">
        <v>-4.0333210000000003E-3</v>
      </c>
      <c r="AA9640">
        <v>0.99447390000000002</v>
      </c>
      <c r="AB9640">
        <v>29</v>
      </c>
      <c r="AC9640">
        <v>15.7997</v>
      </c>
      <c r="AD9640">
        <v>-1.110870243041</v>
      </c>
      <c r="AE9640">
        <v>-1.5968</v>
      </c>
      <c r="AF9640">
        <v>1.6782259386856699</v>
      </c>
      <c r="AG9640">
        <v>-1.110870243041</v>
      </c>
      <c r="AH9640">
        <v>15.7134904206891</v>
      </c>
      <c r="AI9640">
        <v>94.021023303511498</v>
      </c>
      <c r="AJ9640">
        <v>83.903827744690005</v>
      </c>
      <c r="AK9640">
        <v>15.841851413242001</v>
      </c>
      <c r="AL9640">
        <v>87.827627621255999</v>
      </c>
      <c r="AM9640">
        <v>91.092000780514695</v>
      </c>
      <c r="AN9640">
        <v>1.0000000763858701</v>
      </c>
    </row>
    <row r="9641" spans="1:40" x14ac:dyDescent="0.25">
      <c r="A9641" t="str">
        <f>"20190312150912286"</f>
        <v>20190312150912286</v>
      </c>
      <c r="B9641" t="str">
        <f>"1552374552279185"</f>
        <v>1552374552279185</v>
      </c>
      <c r="C9641" t="s">
        <v>40</v>
      </c>
      <c r="D9641">
        <v>4.4634390000000002</v>
      </c>
      <c r="E9641">
        <v>0.5488343</v>
      </c>
      <c r="F9641" t="s">
        <v>41</v>
      </c>
      <c r="G9641">
        <v>-252.9888</v>
      </c>
      <c r="H9641">
        <v>1.0500100000000001</v>
      </c>
      <c r="I9641">
        <v>-62.429679999999998</v>
      </c>
      <c r="J9641">
        <v>-253.70519999999999</v>
      </c>
      <c r="K9641">
        <v>1.110833</v>
      </c>
      <c r="L9641">
        <v>-62.341830000000002</v>
      </c>
      <c r="M9641">
        <v>0.99992590000000003</v>
      </c>
      <c r="N9641">
        <v>0</v>
      </c>
      <c r="O9641">
        <v>6.133444E-3</v>
      </c>
      <c r="P9641">
        <v>0.99937359999999997</v>
      </c>
      <c r="Q9641">
        <v>2.6430769999999999E-2</v>
      </c>
      <c r="R9641">
        <v>2.353651E-2</v>
      </c>
      <c r="S9641">
        <v>3.0154269999999999</v>
      </c>
      <c r="T9641">
        <v>-0.2141112</v>
      </c>
      <c r="U9641">
        <v>-0.30435180000000001</v>
      </c>
      <c r="V9641">
        <v>-1.7478830000000001E-2</v>
      </c>
      <c r="W9641">
        <v>3.6916270000000001E-2</v>
      </c>
      <c r="X9641">
        <v>0.99916550000000004</v>
      </c>
      <c r="Y9641">
        <v>0.10624210000000001</v>
      </c>
      <c r="Z9641">
        <v>-4.1915420000000004E-3</v>
      </c>
      <c r="AA9641">
        <v>0.99433150000000003</v>
      </c>
      <c r="AB9641">
        <v>29</v>
      </c>
      <c r="AC9641">
        <v>0.71639999999999204</v>
      </c>
      <c r="AD9641">
        <v>-6.0822999999999801E-2</v>
      </c>
      <c r="AE9641">
        <v>-8.7850000000002995E-2</v>
      </c>
      <c r="AF9641">
        <v>9.1592159295505501E-2</v>
      </c>
      <c r="AG9641">
        <v>-6.0822999999999801E-2</v>
      </c>
      <c r="AH9641">
        <v>0.71080001252368596</v>
      </c>
      <c r="AI9641">
        <v>94.850959179538506</v>
      </c>
      <c r="AJ9641">
        <v>82.657450220501801</v>
      </c>
      <c r="AK9641">
        <v>0.71925323689023901</v>
      </c>
      <c r="AL9641">
        <v>87.884372832489206</v>
      </c>
      <c r="AM9641">
        <v>91.002197386365907</v>
      </c>
      <c r="AN9641">
        <v>1.0000000084395599</v>
      </c>
    </row>
    <row r="9642" spans="1:40" x14ac:dyDescent="0.25">
      <c r="A9642" t="str">
        <f>"20190312150912296"</f>
        <v>20190312150912296</v>
      </c>
      <c r="B9642" t="str">
        <f>"1552374552288945"</f>
        <v>1552374552288945</v>
      </c>
      <c r="C9642" t="s">
        <v>40</v>
      </c>
      <c r="D9642">
        <v>4.4151449999999999</v>
      </c>
      <c r="E9642">
        <v>0.54666919999999897</v>
      </c>
      <c r="F9642" t="s">
        <v>41</v>
      </c>
      <c r="G9642">
        <v>-252.73150000000001</v>
      </c>
      <c r="H9642">
        <v>1.0407299999999999</v>
      </c>
      <c r="I9642">
        <v>-62.441310000000001</v>
      </c>
      <c r="J9642">
        <v>-253.55279999999999</v>
      </c>
      <c r="K9642">
        <v>1.110795</v>
      </c>
      <c r="L9642">
        <v>-62.340389999999999</v>
      </c>
      <c r="M9642">
        <v>0.99992289999999995</v>
      </c>
      <c r="N9642">
        <v>0</v>
      </c>
      <c r="O9642">
        <v>6.6002489999999999E-3</v>
      </c>
      <c r="P9642">
        <v>0.99941990000000003</v>
      </c>
      <c r="Q9642">
        <v>2.5578690000000001E-2</v>
      </c>
      <c r="R9642">
        <v>2.249603E-2</v>
      </c>
      <c r="S9642">
        <v>3.0148929999999998</v>
      </c>
      <c r="T9642">
        <v>-0.2170744</v>
      </c>
      <c r="U9642">
        <v>-0.3077087</v>
      </c>
      <c r="V9642">
        <v>-1.5967559999999999E-2</v>
      </c>
      <c r="W9642">
        <v>3.6077600000000001E-2</v>
      </c>
      <c r="X9642">
        <v>0.99922140000000004</v>
      </c>
      <c r="Y9642">
        <v>0.1078066</v>
      </c>
      <c r="Z9642">
        <v>-4.3395020000000003E-3</v>
      </c>
      <c r="AA9642">
        <v>0.9941624</v>
      </c>
      <c r="AB9642">
        <v>29</v>
      </c>
      <c r="AC9642">
        <v>0.82129999999997905</v>
      </c>
      <c r="AD9642">
        <v>-7.0065000000000002E-2</v>
      </c>
      <c r="AE9642">
        <v>-0.100919999999995</v>
      </c>
      <c r="AF9642">
        <v>0.105581914114142</v>
      </c>
      <c r="AG9642">
        <v>-7.0065000000000002E-2</v>
      </c>
      <c r="AH9642">
        <v>0.81477443182919296</v>
      </c>
      <c r="AI9642">
        <v>94.874395498658004</v>
      </c>
      <c r="AJ9642">
        <v>82.616515308128996</v>
      </c>
      <c r="AK9642">
        <v>0.82456899018553298</v>
      </c>
      <c r="AL9642">
        <v>87.932457064011004</v>
      </c>
      <c r="AM9642">
        <v>90.915508749964602</v>
      </c>
      <c r="AN9642">
        <v>0.99999998120603595</v>
      </c>
    </row>
    <row r="9643" spans="1:40" x14ac:dyDescent="0.25">
      <c r="A9643" t="str">
        <f>"20190312150912308"</f>
        <v>20190312150912308</v>
      </c>
      <c r="B9643" t="str">
        <f>"1552374552298705"</f>
        <v>1552374552298705</v>
      </c>
      <c r="C9643" t="s">
        <v>40</v>
      </c>
      <c r="D9643">
        <v>4.3943940000000001</v>
      </c>
      <c r="E9643">
        <v>0.54673799999999995</v>
      </c>
      <c r="F9643" t="s">
        <v>89</v>
      </c>
      <c r="G9643">
        <v>-220.68610000000001</v>
      </c>
      <c r="H9643" s="1">
        <v>-5.7100899999999995E-7</v>
      </c>
      <c r="I9643">
        <v>-65.594179999999994</v>
      </c>
      <c r="J9643">
        <v>-253.40719999999999</v>
      </c>
      <c r="K9643">
        <v>1.1107590000000001</v>
      </c>
      <c r="L9643">
        <v>-62.338990000000003</v>
      </c>
      <c r="M9643">
        <v>0.99991980000000003</v>
      </c>
      <c r="N9643">
        <v>0</v>
      </c>
      <c r="O9643">
        <v>7.0365609999999898E-3</v>
      </c>
      <c r="P9643">
        <v>0.99946760000000001</v>
      </c>
      <c r="Q9643">
        <v>2.4646890000000001E-2</v>
      </c>
      <c r="R9643">
        <v>2.1387739999999999E-2</v>
      </c>
      <c r="S9643">
        <v>3.0110779999999999</v>
      </c>
      <c r="T9643">
        <v>-0.10176540000000001</v>
      </c>
      <c r="U9643">
        <v>-0.29809570000000002</v>
      </c>
      <c r="V9643">
        <v>-1.441807E-2</v>
      </c>
      <c r="W9643">
        <v>3.5158839999999997E-2</v>
      </c>
      <c r="X9643">
        <v>0.99927770000000005</v>
      </c>
      <c r="Y9643">
        <v>0.1054547</v>
      </c>
      <c r="Z9643">
        <v>-2.0143779999999998E-3</v>
      </c>
      <c r="AA9643">
        <v>0.99442209999999998</v>
      </c>
      <c r="AB9643">
        <v>29</v>
      </c>
      <c r="AC9643">
        <v>32.7210999999999</v>
      </c>
      <c r="AD9643">
        <v>-1.1107595710089999</v>
      </c>
      <c r="AE9643">
        <v>-3.2551899999999998</v>
      </c>
      <c r="AF9643">
        <v>3.4813937161123598</v>
      </c>
      <c r="AG9643">
        <v>-1.1107595710089999</v>
      </c>
      <c r="AH9643">
        <v>32.660116171516698</v>
      </c>
      <c r="AI9643">
        <v>91.936895031724504</v>
      </c>
      <c r="AJ9643">
        <v>83.915551597668596</v>
      </c>
      <c r="AK9643">
        <v>32.863917559660202</v>
      </c>
      <c r="AL9643">
        <v>87.985131544755106</v>
      </c>
      <c r="AM9643">
        <v>90.826634319019107</v>
      </c>
      <c r="AN9643">
        <v>0.99999997324497902</v>
      </c>
    </row>
    <row r="9644" spans="1:40" x14ac:dyDescent="0.25">
      <c r="A9644" t="str">
        <f>"20190312150912318"</f>
        <v>20190312150912318</v>
      </c>
      <c r="B9644" t="str">
        <f>"1552374552309441"</f>
        <v>1552374552309441</v>
      </c>
      <c r="C9644" t="s">
        <v>40</v>
      </c>
      <c r="D9644">
        <v>4.3897979999999999</v>
      </c>
      <c r="E9644">
        <v>0.5468345</v>
      </c>
      <c r="F9644" t="s">
        <v>89</v>
      </c>
      <c r="G9644">
        <v>-221.87809999999999</v>
      </c>
      <c r="H9644" s="1">
        <v>-1.0616440000000001E-6</v>
      </c>
      <c r="I9644">
        <v>-65.501019999999997</v>
      </c>
      <c r="J9644">
        <v>-253.26740000000001</v>
      </c>
      <c r="K9644">
        <v>1.1107290000000001</v>
      </c>
      <c r="L9644">
        <v>-62.337589999999999</v>
      </c>
      <c r="M9644">
        <v>0.99991669999999999</v>
      </c>
      <c r="N9644">
        <v>0</v>
      </c>
      <c r="O9644">
        <v>7.4388709999999997E-3</v>
      </c>
      <c r="P9644">
        <v>0.99951920000000005</v>
      </c>
      <c r="Q9644">
        <v>2.3472699999999999E-2</v>
      </c>
      <c r="R9644">
        <v>2.0268540000000002E-2</v>
      </c>
      <c r="S9644">
        <v>3.0106959999999998</v>
      </c>
      <c r="T9644">
        <v>-0.1060658</v>
      </c>
      <c r="U9644">
        <v>-0.30194090000000001</v>
      </c>
      <c r="V9644">
        <v>-1.289236E-2</v>
      </c>
      <c r="W9644">
        <v>3.3996060000000002E-2</v>
      </c>
      <c r="X9644">
        <v>0.99933879999999997</v>
      </c>
      <c r="Y9644">
        <v>0.1071178</v>
      </c>
      <c r="Z9644">
        <v>-2.1429309999999998E-3</v>
      </c>
      <c r="AA9644">
        <v>0.99424400000000002</v>
      </c>
      <c r="AB9644">
        <v>29</v>
      </c>
      <c r="AC9644">
        <v>31.389299999999999</v>
      </c>
      <c r="AD9644">
        <v>-1.1107300616439999</v>
      </c>
      <c r="AE9644">
        <v>-3.1634299999999902</v>
      </c>
      <c r="AF9644">
        <v>3.3926510356422201</v>
      </c>
      <c r="AG9644">
        <v>-1.1107300616439999</v>
      </c>
      <c r="AH9644">
        <v>31.326067427669901</v>
      </c>
      <c r="AI9644">
        <v>92.018893250374404</v>
      </c>
      <c r="AJ9644">
        <v>83.818888969763194</v>
      </c>
      <c r="AK9644">
        <v>31.528817021931001</v>
      </c>
      <c r="AL9644">
        <v>88.051793834254497</v>
      </c>
      <c r="AM9644">
        <v>90.739125549755599</v>
      </c>
      <c r="AN9644">
        <v>0.999999991113666</v>
      </c>
    </row>
    <row r="9645" spans="1:40" x14ac:dyDescent="0.25">
      <c r="A9645" t="str">
        <f>"20190312150912329"</f>
        <v>20190312150912329</v>
      </c>
      <c r="B9645" t="str">
        <f>"1552374552319201"</f>
        <v>1552374552319201</v>
      </c>
      <c r="C9645" t="s">
        <v>40</v>
      </c>
      <c r="D9645">
        <v>4.5168900000000001</v>
      </c>
      <c r="E9645">
        <v>0.5468596</v>
      </c>
      <c r="F9645" t="s">
        <v>89</v>
      </c>
      <c r="G9645">
        <v>-223.21369999999999</v>
      </c>
      <c r="H9645" s="1">
        <v>-1.6107939999999999E-6</v>
      </c>
      <c r="I9645">
        <v>-65.393819999999906</v>
      </c>
      <c r="J9645">
        <v>-253.1223</v>
      </c>
      <c r="K9645">
        <v>1.110706</v>
      </c>
      <c r="L9645">
        <v>-62.336089999999999</v>
      </c>
      <c r="M9645">
        <v>0.99991359999999996</v>
      </c>
      <c r="N9645">
        <v>0</v>
      </c>
      <c r="O9645">
        <v>7.8441050000000005E-3</v>
      </c>
      <c r="P9645">
        <v>0.99956429999999996</v>
      </c>
      <c r="Q9645">
        <v>2.2421480000000001E-2</v>
      </c>
      <c r="R9645">
        <v>1.920237E-2</v>
      </c>
      <c r="S9645">
        <v>3.0102690000000001</v>
      </c>
      <c r="T9645">
        <v>-0.1112542</v>
      </c>
      <c r="U9645">
        <v>-0.3061218</v>
      </c>
      <c r="V9645">
        <v>-1.141696E-2</v>
      </c>
      <c r="W9645">
        <v>3.2956659999999999E-2</v>
      </c>
      <c r="X9645">
        <v>0.99939160000000005</v>
      </c>
      <c r="Y9645">
        <v>0.108893</v>
      </c>
      <c r="Z9645">
        <v>-2.2954939999999999E-3</v>
      </c>
      <c r="AA9645">
        <v>0.99405080000000001</v>
      </c>
      <c r="AB9645">
        <v>29</v>
      </c>
      <c r="AC9645">
        <v>29.9086</v>
      </c>
      <c r="AD9645">
        <v>-1.1107076107939999</v>
      </c>
      <c r="AE9645">
        <v>-3.0577299999999799</v>
      </c>
      <c r="AF9645">
        <v>3.28776778985084</v>
      </c>
      <c r="AG9645">
        <v>-1.1107076107939999</v>
      </c>
      <c r="AH9645">
        <v>29.842961466802201</v>
      </c>
      <c r="AI9645">
        <v>92.118667288224501</v>
      </c>
      <c r="AJ9645">
        <v>83.713137179194504</v>
      </c>
      <c r="AK9645">
        <v>30.044058273570499</v>
      </c>
      <c r="AL9645">
        <v>88.111380540552403</v>
      </c>
      <c r="AM9645">
        <v>90.654513374538496</v>
      </c>
      <c r="AN9645">
        <v>1.0000000292822699</v>
      </c>
    </row>
    <row r="9646" spans="1:40" x14ac:dyDescent="0.25">
      <c r="A9646" t="str">
        <f>"20190312150912341"</f>
        <v>20190312150912341</v>
      </c>
      <c r="B9646" t="str">
        <f>"1552374552328961"</f>
        <v>1552374552328961</v>
      </c>
      <c r="C9646" t="s">
        <v>40</v>
      </c>
      <c r="D9646">
        <v>4.4286719999999997</v>
      </c>
      <c r="E9646">
        <v>0.5468596</v>
      </c>
      <c r="F9646" t="s">
        <v>89</v>
      </c>
      <c r="G9646">
        <v>-223.9307</v>
      </c>
      <c r="H9646" s="1">
        <v>-1.9060109999999999E-6</v>
      </c>
      <c r="I9646">
        <v>-65.338250000000002</v>
      </c>
      <c r="J9646">
        <v>-252.96889999999999</v>
      </c>
      <c r="K9646">
        <v>1.1106769999999999</v>
      </c>
      <c r="L9646">
        <v>-62.334499999999998</v>
      </c>
      <c r="M9646">
        <v>0.99991010000000002</v>
      </c>
      <c r="N9646">
        <v>0</v>
      </c>
      <c r="O9646">
        <v>8.2605430000000004E-3</v>
      </c>
      <c r="P9646">
        <v>0.99960760000000004</v>
      </c>
      <c r="Q9646">
        <v>2.131941E-2</v>
      </c>
      <c r="R9646">
        <v>1.8173229999999999E-2</v>
      </c>
      <c r="S9646">
        <v>3.009827</v>
      </c>
      <c r="T9646">
        <v>-0.11452039999999999</v>
      </c>
      <c r="U9646">
        <v>-0.30953979999999998</v>
      </c>
      <c r="V9646">
        <v>-9.9671689999999997E-3</v>
      </c>
      <c r="W9646">
        <v>3.1866230000000002E-2</v>
      </c>
      <c r="X9646">
        <v>0.99944250000000001</v>
      </c>
      <c r="Y9646">
        <v>0.11043269999999999</v>
      </c>
      <c r="Z9646">
        <v>-2.4080529999999998E-3</v>
      </c>
      <c r="AA9646">
        <v>0.99388069999999895</v>
      </c>
      <c r="AB9646">
        <v>30</v>
      </c>
      <c r="AC9646">
        <v>29.0381999999999</v>
      </c>
      <c r="AD9646">
        <v>-1.1106789060110001</v>
      </c>
      <c r="AE9646">
        <v>-3.0037500000000001</v>
      </c>
      <c r="AF9646">
        <v>3.2388439924380399</v>
      </c>
      <c r="AG9646">
        <v>-1.1106789060110001</v>
      </c>
      <c r="AH9646">
        <v>28.970460717979101</v>
      </c>
      <c r="AI9646">
        <v>92.181968464331604</v>
      </c>
      <c r="AJ9646">
        <v>83.620926661965498</v>
      </c>
      <c r="AK9646">
        <v>29.172098180480202</v>
      </c>
      <c r="AL9646">
        <v>88.173890469376005</v>
      </c>
      <c r="AM9646">
        <v>90.571376328620602</v>
      </c>
      <c r="AN9646">
        <v>1.0000000559392599</v>
      </c>
    </row>
    <row r="9647" spans="1:40" x14ac:dyDescent="0.25">
      <c r="A9647" t="str">
        <f>"20190312150912353"</f>
        <v>20190312150912353</v>
      </c>
      <c r="B9647" t="str">
        <f>"1552374552349457"</f>
        <v>1552374552349457</v>
      </c>
      <c r="C9647" t="s">
        <v>40</v>
      </c>
      <c r="D9647">
        <v>4.3705949999999998</v>
      </c>
      <c r="E9647">
        <v>0.54600760000000004</v>
      </c>
      <c r="F9647" t="s">
        <v>89</v>
      </c>
      <c r="G9647">
        <v>-224.58109999999999</v>
      </c>
      <c r="H9647" s="1">
        <v>-2.1729329999999998E-6</v>
      </c>
      <c r="I9647">
        <v>-65.283799999999999</v>
      </c>
      <c r="J9647">
        <v>-252.82589999999999</v>
      </c>
      <c r="K9647">
        <v>1.110652</v>
      </c>
      <c r="L9647">
        <v>-62.332920000000001</v>
      </c>
      <c r="M9647">
        <v>0.99990690000000004</v>
      </c>
      <c r="N9647">
        <v>0</v>
      </c>
      <c r="O9647">
        <v>8.6320819999999993E-3</v>
      </c>
      <c r="P9647">
        <v>0.99963809999999997</v>
      </c>
      <c r="Q9647">
        <v>2.0554599999999999E-2</v>
      </c>
      <c r="R9647">
        <v>1.7364290000000001E-2</v>
      </c>
      <c r="S9647">
        <v>3.009369</v>
      </c>
      <c r="T9647">
        <v>-0.1177424</v>
      </c>
      <c r="U9647">
        <v>-0.3126526</v>
      </c>
      <c r="V9647">
        <v>-8.7835680000000003E-3</v>
      </c>
      <c r="W9647">
        <v>3.1110809999999999E-2</v>
      </c>
      <c r="X9647">
        <v>0.99947730000000001</v>
      </c>
      <c r="Y9647">
        <v>0.1118282</v>
      </c>
      <c r="Z9647">
        <v>-2.5177070000000001E-3</v>
      </c>
      <c r="AA9647">
        <v>0.9937243</v>
      </c>
      <c r="AB9647">
        <v>30</v>
      </c>
      <c r="AC9647">
        <v>28.244800000000001</v>
      </c>
      <c r="AD9647">
        <v>-1.110654172933</v>
      </c>
      <c r="AE9647">
        <v>-2.9508800000000002</v>
      </c>
      <c r="AF9647">
        <v>3.1897162346062302</v>
      </c>
      <c r="AG9647">
        <v>-1.110654172933</v>
      </c>
      <c r="AH9647">
        <v>28.175178324614301</v>
      </c>
      <c r="AI9647">
        <v>92.243093943794193</v>
      </c>
      <c r="AJ9647">
        <v>83.541036236263594</v>
      </c>
      <c r="AK9647">
        <v>28.3769010988335</v>
      </c>
      <c r="AL9647">
        <v>88.217194136652097</v>
      </c>
      <c r="AM9647">
        <v>90.503511605658105</v>
      </c>
      <c r="AN9647">
        <v>0.99999995339047698</v>
      </c>
    </row>
    <row r="9648" spans="1:40" x14ac:dyDescent="0.25">
      <c r="A9648" t="str">
        <f>"20190312150912364"</f>
        <v>20190312150912364</v>
      </c>
      <c r="B9648" t="str">
        <f>"1552374552359220"</f>
        <v>1552374552359220</v>
      </c>
      <c r="C9648" t="s">
        <v>40</v>
      </c>
      <c r="D9648">
        <v>4.3896680000000003</v>
      </c>
      <c r="E9648">
        <v>0.54600760000000004</v>
      </c>
      <c r="F9648" t="s">
        <v>90</v>
      </c>
      <c r="G9648">
        <v>-217.85079999999999</v>
      </c>
      <c r="H9648" s="1">
        <v>-3.5147680000000002E-6</v>
      </c>
      <c r="I9648">
        <v>-65.927580000000006</v>
      </c>
      <c r="J9648">
        <v>-252.67500000000001</v>
      </c>
      <c r="K9648">
        <v>1.110627</v>
      </c>
      <c r="L9648">
        <v>-62.331240000000001</v>
      </c>
      <c r="M9648">
        <v>0.9999034</v>
      </c>
      <c r="N9648">
        <v>0</v>
      </c>
      <c r="O9648">
        <v>9.0190530000000008E-3</v>
      </c>
      <c r="P9648">
        <v>0.99966250000000001</v>
      </c>
      <c r="Q9648">
        <v>1.9838970000000001E-2</v>
      </c>
      <c r="R9648">
        <v>1.677932E-2</v>
      </c>
      <c r="S9648">
        <v>3.0084230000000001</v>
      </c>
      <c r="T9648">
        <v>-9.5534209999999994E-2</v>
      </c>
      <c r="U9648">
        <v>-0.30920409999999998</v>
      </c>
      <c r="V9648">
        <v>-7.8091100000000002E-3</v>
      </c>
      <c r="W9648">
        <v>3.040495E-2</v>
      </c>
      <c r="X9648">
        <v>0.99950709999999998</v>
      </c>
      <c r="Y9648">
        <v>0.1111491</v>
      </c>
      <c r="Z9648">
        <v>-2.0453519999999998E-3</v>
      </c>
      <c r="AA9648">
        <v>0.99380170000000001</v>
      </c>
      <c r="AB9648">
        <v>30</v>
      </c>
      <c r="AC9648">
        <v>34.824199999999998</v>
      </c>
      <c r="AD9648">
        <v>-1.110630514768</v>
      </c>
      <c r="AE9648">
        <v>-3.5963400000000001</v>
      </c>
      <c r="AF9648">
        <v>3.9063612295654599</v>
      </c>
      <c r="AG9648">
        <v>-1.110630514768</v>
      </c>
      <c r="AH9648">
        <v>34.755368331865903</v>
      </c>
      <c r="AI9648">
        <v>91.818856406172102</v>
      </c>
      <c r="AJ9648">
        <v>83.587102753034401</v>
      </c>
      <c r="AK9648">
        <v>34.991838849649703</v>
      </c>
      <c r="AL9648">
        <v>88.257656064299795</v>
      </c>
      <c r="AM9648">
        <v>90.447640583088599</v>
      </c>
      <c r="AN9648">
        <v>0.99999994306694995</v>
      </c>
    </row>
    <row r="9649" spans="1:40" x14ac:dyDescent="0.25">
      <c r="A9649" t="str">
        <f>"20190312150912375"</f>
        <v>20190312150912375</v>
      </c>
      <c r="B9649" t="str">
        <f>"1552374552368977"</f>
        <v>1552374552368977</v>
      </c>
      <c r="C9649" t="s">
        <v>40</v>
      </c>
      <c r="D9649">
        <v>4.4055989999999996</v>
      </c>
      <c r="E9649">
        <v>0.54613290000000003</v>
      </c>
      <c r="F9649" t="s">
        <v>90</v>
      </c>
      <c r="G9649">
        <v>-218.44200000000001</v>
      </c>
      <c r="H9649" s="1">
        <v>-3.7058760000000001E-6</v>
      </c>
      <c r="I9649">
        <v>-65.870750000000001</v>
      </c>
      <c r="J9649">
        <v>-252.52209999999999</v>
      </c>
      <c r="K9649">
        <v>1.1106039999999999</v>
      </c>
      <c r="L9649">
        <v>-62.329500000000003</v>
      </c>
      <c r="M9649">
        <v>0.99989989999999995</v>
      </c>
      <c r="N9649">
        <v>0</v>
      </c>
      <c r="O9649">
        <v>9.390308E-3</v>
      </c>
      <c r="P9649">
        <v>0.99968429999999997</v>
      </c>
      <c r="Q9649">
        <v>1.8984810000000001E-2</v>
      </c>
      <c r="R9649">
        <v>1.6460740000000001E-2</v>
      </c>
      <c r="S9649">
        <v>3.0081790000000002</v>
      </c>
      <c r="T9649">
        <v>-9.7595210000000002E-2</v>
      </c>
      <c r="U9649">
        <v>-0.31103520000000001</v>
      </c>
      <c r="V9649">
        <v>-7.1158330000000002E-3</v>
      </c>
      <c r="W9649">
        <v>2.9559419999999999E-2</v>
      </c>
      <c r="X9649">
        <v>0.99953769999999997</v>
      </c>
      <c r="Y9649">
        <v>0.1121214</v>
      </c>
      <c r="Z9649">
        <v>-2.117299E-3</v>
      </c>
      <c r="AA9649">
        <v>0.99369229999999997</v>
      </c>
      <c r="AB9649">
        <v>30</v>
      </c>
      <c r="AC9649">
        <v>34.080099999999902</v>
      </c>
      <c r="AD9649">
        <v>-1.110607705876</v>
      </c>
      <c r="AE9649">
        <v>-3.54124999999999</v>
      </c>
      <c r="AF9649">
        <v>3.85708198918925</v>
      </c>
      <c r="AG9649">
        <v>-1.110607705876</v>
      </c>
      <c r="AH9649">
        <v>34.009609957459503</v>
      </c>
      <c r="AI9649">
        <v>91.858463947094805</v>
      </c>
      <c r="AJ9649">
        <v>83.529644270091893</v>
      </c>
      <c r="AK9649">
        <v>34.245643524486603</v>
      </c>
      <c r="AL9649">
        <v>88.306123261492402</v>
      </c>
      <c r="AM9649">
        <v>90.407888878061897</v>
      </c>
      <c r="AN9649">
        <v>1.00000000405565</v>
      </c>
    </row>
    <row r="9650" spans="1:40" x14ac:dyDescent="0.25">
      <c r="A9650" t="str">
        <f>"20190312150912386"</f>
        <v>20190312150912386</v>
      </c>
      <c r="B9650" t="str">
        <f>"1552374552378737"</f>
        <v>1552374552378737</v>
      </c>
      <c r="C9650" t="s">
        <v>40</v>
      </c>
      <c r="D9650">
        <v>4.5440430000000003</v>
      </c>
      <c r="E9650">
        <v>0.54612850000000002</v>
      </c>
      <c r="F9650" t="s">
        <v>89</v>
      </c>
      <c r="G9650">
        <v>-227.63059999999999</v>
      </c>
      <c r="H9650" s="1">
        <v>-3.210339E-6</v>
      </c>
      <c r="I9650">
        <v>-64.908860000000004</v>
      </c>
      <c r="J9650">
        <v>-252.3844</v>
      </c>
      <c r="K9650">
        <v>1.1105830000000001</v>
      </c>
      <c r="L9650">
        <v>-62.32788</v>
      </c>
      <c r="M9650">
        <v>0.99989669999999997</v>
      </c>
      <c r="N9650">
        <v>0</v>
      </c>
      <c r="O9650">
        <v>9.7217759999999997E-3</v>
      </c>
      <c r="P9650">
        <v>0.99970919999999996</v>
      </c>
      <c r="Q9650">
        <v>1.8311600000000001E-2</v>
      </c>
      <c r="R9650">
        <v>1.5695520000000001E-2</v>
      </c>
      <c r="S9650">
        <v>3.0086360000000001</v>
      </c>
      <c r="T9650">
        <v>-0.13423929999999901</v>
      </c>
      <c r="U9650">
        <v>-0.31176759999999998</v>
      </c>
      <c r="V9650">
        <v>-6.0173450000000003E-3</v>
      </c>
      <c r="W9650">
        <v>2.889452E-2</v>
      </c>
      <c r="X9650">
        <v>0.99956429999999996</v>
      </c>
      <c r="Y9650">
        <v>0.1126175</v>
      </c>
      <c r="Z9650">
        <v>-2.936906E-3</v>
      </c>
      <c r="AA9650">
        <v>0.99363400000000002</v>
      </c>
      <c r="AB9650">
        <v>30</v>
      </c>
      <c r="AC9650">
        <v>24.753799999999998</v>
      </c>
      <c r="AD9650">
        <v>-1.1105862103389901</v>
      </c>
      <c r="AE9650">
        <v>-2.5809799999999901</v>
      </c>
      <c r="AF9650">
        <v>2.8159152214276402</v>
      </c>
      <c r="AG9650">
        <v>-1.1105862103389901</v>
      </c>
      <c r="AH9650">
        <v>24.678396194035201</v>
      </c>
      <c r="AI9650">
        <v>92.560117171525107</v>
      </c>
      <c r="AJ9650">
        <v>83.490449326184702</v>
      </c>
      <c r="AK9650">
        <v>24.863346898087499</v>
      </c>
      <c r="AL9650">
        <v>88.344235410842202</v>
      </c>
      <c r="AM9650">
        <v>90.344914586945507</v>
      </c>
      <c r="AN9650">
        <v>0.99999994578068296</v>
      </c>
    </row>
    <row r="9651" spans="1:40" x14ac:dyDescent="0.25">
      <c r="A9651" t="str">
        <f>"20190312150912397"</f>
        <v>20190312150912397</v>
      </c>
      <c r="B9651" t="str">
        <f>"1552374552389473"</f>
        <v>1552374552389473</v>
      </c>
      <c r="C9651" t="s">
        <v>40</v>
      </c>
      <c r="D9651">
        <v>4.4386900000000002</v>
      </c>
      <c r="E9651">
        <v>0.54592130000000005</v>
      </c>
      <c r="F9651" t="s">
        <v>89</v>
      </c>
      <c r="G9651">
        <v>-226.5393</v>
      </c>
      <c r="H9651" s="1">
        <v>-2.8548819999999999E-6</v>
      </c>
      <c r="I9651">
        <v>-65.027969999999996</v>
      </c>
      <c r="J9651">
        <v>-252.23</v>
      </c>
      <c r="K9651">
        <v>1.110562</v>
      </c>
      <c r="L9651">
        <v>-62.325989999999997</v>
      </c>
      <c r="M9651">
        <v>0.99989320000000004</v>
      </c>
      <c r="N9651">
        <v>0</v>
      </c>
      <c r="O9651">
        <v>1.0077320000000001E-2</v>
      </c>
      <c r="P9651">
        <v>0.99972729999999999</v>
      </c>
      <c r="Q9651">
        <v>1.7755150000000001E-2</v>
      </c>
      <c r="R9651">
        <v>1.517863E-2</v>
      </c>
      <c r="S9651">
        <v>3.0081790000000002</v>
      </c>
      <c r="T9651">
        <v>-0.12926389999999999</v>
      </c>
      <c r="U9651">
        <v>-0.31426999999999999</v>
      </c>
      <c r="V9651">
        <v>-5.1428079999999996E-3</v>
      </c>
      <c r="W9651">
        <v>2.83459E-2</v>
      </c>
      <c r="X9651">
        <v>0.99958499999999995</v>
      </c>
      <c r="Y9651">
        <v>0.1138113</v>
      </c>
      <c r="Z9651">
        <v>-2.8692629999999999E-3</v>
      </c>
      <c r="AA9651">
        <v>0.99349829999999995</v>
      </c>
      <c r="AB9651">
        <v>30</v>
      </c>
      <c r="AC9651">
        <v>25.6907</v>
      </c>
      <c r="AD9651">
        <v>-1.110564854882</v>
      </c>
      <c r="AE9651">
        <v>-2.7019799999999901</v>
      </c>
      <c r="AF9651">
        <v>2.9552886104406899</v>
      </c>
      <c r="AG9651">
        <v>-1.110564854882</v>
      </c>
      <c r="AH9651">
        <v>25.614822756307301</v>
      </c>
      <c r="AI9651">
        <v>92.466240627295306</v>
      </c>
      <c r="AJ9651">
        <v>83.4186466315346</v>
      </c>
      <c r="AK9651">
        <v>25.8086464175272</v>
      </c>
      <c r="AL9651">
        <v>88.375682083368702</v>
      </c>
      <c r="AM9651">
        <v>90.294780927435099</v>
      </c>
      <c r="AN9651">
        <v>1.00000005537296</v>
      </c>
    </row>
    <row r="9652" spans="1:40" x14ac:dyDescent="0.25">
      <c r="A9652" t="str">
        <f>"20190312150912409"</f>
        <v>20190312150912409</v>
      </c>
      <c r="B9652" t="str">
        <f>"1552374552399233"</f>
        <v>1552374552399233</v>
      </c>
      <c r="C9652" t="s">
        <v>40</v>
      </c>
      <c r="D9652">
        <v>4.5595939999999997</v>
      </c>
      <c r="E9652">
        <v>0.54602240000000002</v>
      </c>
      <c r="F9652" t="s">
        <v>89</v>
      </c>
      <c r="G9652">
        <v>-225.61590000000001</v>
      </c>
      <c r="H9652" s="1">
        <v>-2.5512269999999999E-6</v>
      </c>
      <c r="I9652">
        <v>-65.107259999999997</v>
      </c>
      <c r="J9652">
        <v>-252.07650000000001</v>
      </c>
      <c r="K9652">
        <v>1.1105419999999999</v>
      </c>
      <c r="L9652">
        <v>-62.324100000000001</v>
      </c>
      <c r="M9652">
        <v>0.99988940000000004</v>
      </c>
      <c r="N9652">
        <v>0</v>
      </c>
      <c r="O9652">
        <v>1.042512E-2</v>
      </c>
      <c r="P9652">
        <v>0.99975029999999998</v>
      </c>
      <c r="Q9652">
        <v>1.6906290000000001E-2</v>
      </c>
      <c r="R9652">
        <v>1.461281E-2</v>
      </c>
      <c r="S9652">
        <v>3.0078580000000001</v>
      </c>
      <c r="T9652">
        <v>-0.12551279999999901</v>
      </c>
      <c r="U9652">
        <v>-0.31433109999999997</v>
      </c>
      <c r="V9652">
        <v>-4.2263279999999997E-3</v>
      </c>
      <c r="W9652">
        <v>2.750557E-2</v>
      </c>
      <c r="X9652">
        <v>0.99961270000000002</v>
      </c>
      <c r="Y9652">
        <v>0.11419360000000001</v>
      </c>
      <c r="Z9652">
        <v>-2.8087889999999999E-3</v>
      </c>
      <c r="AA9652">
        <v>0.99345459999999997</v>
      </c>
      <c r="AB9652">
        <v>30</v>
      </c>
      <c r="AC9652">
        <v>26.460599999999999</v>
      </c>
      <c r="AD9652">
        <v>-1.110544551227</v>
      </c>
      <c r="AE9652">
        <v>-2.7831599999999899</v>
      </c>
      <c r="AF9652">
        <v>3.0535593206428699</v>
      </c>
      <c r="AG9652">
        <v>-1.110544551227</v>
      </c>
      <c r="AH9652">
        <v>26.384179351248299</v>
      </c>
      <c r="AI9652">
        <v>92.394268585366504</v>
      </c>
      <c r="AJ9652">
        <v>83.398273650270994</v>
      </c>
      <c r="AK9652">
        <v>26.583499652299</v>
      </c>
      <c r="AL9652">
        <v>88.423848116946104</v>
      </c>
      <c r="AM9652">
        <v>90.242243135148897</v>
      </c>
      <c r="AN9652">
        <v>0.99999998411533897</v>
      </c>
    </row>
    <row r="9653" spans="1:40" x14ac:dyDescent="0.25">
      <c r="A9653" t="str">
        <f>"20190312150912419"</f>
        <v>20190312150912419</v>
      </c>
      <c r="B9653" t="str">
        <f>"1552374552408993"</f>
        <v>1552374552408993</v>
      </c>
      <c r="C9653" t="s">
        <v>40</v>
      </c>
      <c r="D9653">
        <v>4.4333660000000004</v>
      </c>
      <c r="E9653">
        <v>0.54594500000000001</v>
      </c>
      <c r="F9653" t="s">
        <v>89</v>
      </c>
      <c r="G9653">
        <v>-224.8595</v>
      </c>
      <c r="H9653" s="1">
        <v>-2.27217E-6</v>
      </c>
      <c r="I9653">
        <v>-65.193019999999905</v>
      </c>
      <c r="J9653">
        <v>-251.93039999999999</v>
      </c>
      <c r="K9653">
        <v>1.1105240000000001</v>
      </c>
      <c r="L9653">
        <v>-62.322240000000001</v>
      </c>
      <c r="M9653">
        <v>0.9998861</v>
      </c>
      <c r="N9653">
        <v>0</v>
      </c>
      <c r="O9653">
        <v>1.0747380000000001E-2</v>
      </c>
      <c r="P9653">
        <v>0.99976069999999995</v>
      </c>
      <c r="Q9653">
        <v>1.660588E-2</v>
      </c>
      <c r="R9653">
        <v>1.4245020000000001E-2</v>
      </c>
      <c r="S9653">
        <v>3.0074770000000002</v>
      </c>
      <c r="T9653">
        <v>-0.12271509999999999</v>
      </c>
      <c r="U9653">
        <v>-0.31701659999999998</v>
      </c>
      <c r="V9653">
        <v>-3.534733E-3</v>
      </c>
      <c r="W9653">
        <v>2.7211949999999999E-2</v>
      </c>
      <c r="X9653">
        <v>0.99962340000000005</v>
      </c>
      <c r="Y9653">
        <v>0.1154076</v>
      </c>
      <c r="Z9653">
        <v>-2.7842510000000002E-3</v>
      </c>
      <c r="AA9653">
        <v>0.99331429999999998</v>
      </c>
      <c r="AB9653">
        <v>30</v>
      </c>
      <c r="AC9653">
        <v>27.070899999999899</v>
      </c>
      <c r="AD9653">
        <v>-1.11052627217</v>
      </c>
      <c r="AE9653">
        <v>-2.8707799999999799</v>
      </c>
      <c r="AF9653">
        <v>3.1563191391038998</v>
      </c>
      <c r="AG9653">
        <v>-1.11052627217</v>
      </c>
      <c r="AH9653">
        <v>26.993559608721998</v>
      </c>
      <c r="AI9653">
        <v>92.3399198554267</v>
      </c>
      <c r="AJ9653">
        <v>83.330769243730799</v>
      </c>
      <c r="AK9653">
        <v>27.2001448426048</v>
      </c>
      <c r="AL9653">
        <v>88.440677571052603</v>
      </c>
      <c r="AM9653">
        <v>90.202600737941097</v>
      </c>
      <c r="AN9653">
        <v>0.99999996319387097</v>
      </c>
    </row>
    <row r="9654" spans="1:40" x14ac:dyDescent="0.25">
      <c r="A9654" t="str">
        <f>"20190312150912431"</f>
        <v>20190312150912431</v>
      </c>
      <c r="B9654" t="str">
        <f>"1552374552418753"</f>
        <v>1552374552418753</v>
      </c>
      <c r="C9654" t="s">
        <v>40</v>
      </c>
      <c r="D9654">
        <v>4.3760770000000004</v>
      </c>
      <c r="E9654">
        <v>0.54589489999999996</v>
      </c>
      <c r="F9654" t="s">
        <v>89</v>
      </c>
      <c r="G9654">
        <v>-225.9032</v>
      </c>
      <c r="H9654" s="1">
        <v>-2.6437749999999999E-6</v>
      </c>
      <c r="I9654">
        <v>-65.068209999999993</v>
      </c>
      <c r="J9654">
        <v>-251.78139999999999</v>
      </c>
      <c r="K9654">
        <v>1.1105069999999999</v>
      </c>
      <c r="L9654">
        <v>-62.320309999999999</v>
      </c>
      <c r="M9654">
        <v>0.99988250000000001</v>
      </c>
      <c r="N9654">
        <v>0</v>
      </c>
      <c r="O9654">
        <v>1.1068400000000001E-2</v>
      </c>
      <c r="P9654">
        <v>0.99977470000000002</v>
      </c>
      <c r="Q9654">
        <v>1.6021339999999998E-2</v>
      </c>
      <c r="R9654">
        <v>1.392527E-2</v>
      </c>
      <c r="S9654">
        <v>3.0073850000000002</v>
      </c>
      <c r="T9654">
        <v>-0.12831890000000001</v>
      </c>
      <c r="U9654">
        <v>-0.3172913</v>
      </c>
      <c r="V9654">
        <v>-2.8922430000000001E-3</v>
      </c>
      <c r="W9654">
        <v>2.6634229999999998E-2</v>
      </c>
      <c r="X9654">
        <v>0.99964109999999995</v>
      </c>
      <c r="Y9654">
        <v>0.115809</v>
      </c>
      <c r="Z9654">
        <v>-2.933551E-3</v>
      </c>
      <c r="AA9654">
        <v>0.99326720000000002</v>
      </c>
      <c r="AB9654">
        <v>30</v>
      </c>
      <c r="AC9654">
        <v>25.8782</v>
      </c>
      <c r="AD9654">
        <v>-1.1105096437749999</v>
      </c>
      <c r="AE9654">
        <v>-2.7478999999999898</v>
      </c>
      <c r="AF9654">
        <v>3.0286628739649202</v>
      </c>
      <c r="AG9654">
        <v>-1.1105096437749999</v>
      </c>
      <c r="AH9654">
        <v>25.7992179782199</v>
      </c>
      <c r="AI9654">
        <v>92.447946543215394</v>
      </c>
      <c r="AJ9654">
        <v>83.304487921719399</v>
      </c>
      <c r="AK9654">
        <v>26.000109206708199</v>
      </c>
      <c r="AL9654">
        <v>88.473790607908995</v>
      </c>
      <c r="AM9654">
        <v>90.165772350525501</v>
      </c>
      <c r="AN9654">
        <v>1.0000000380432299</v>
      </c>
    </row>
    <row r="9655" spans="1:40" x14ac:dyDescent="0.25">
      <c r="A9655" t="str">
        <f>"20190312150912442"</f>
        <v>20190312150912442</v>
      </c>
      <c r="B9655" t="str">
        <f>"1552374552439251"</f>
        <v>1552374552439251</v>
      </c>
      <c r="C9655" t="s">
        <v>40</v>
      </c>
      <c r="D9655">
        <v>4.3848890000000003</v>
      </c>
      <c r="E9655">
        <v>0.54593859999999905</v>
      </c>
      <c r="F9655" t="s">
        <v>89</v>
      </c>
      <c r="G9655">
        <v>-226.69200000000001</v>
      </c>
      <c r="H9655" s="1">
        <v>-2.8992909999999999E-6</v>
      </c>
      <c r="I9655">
        <v>-64.971540000000005</v>
      </c>
      <c r="J9655">
        <v>-251.63409999999999</v>
      </c>
      <c r="K9655">
        <v>1.110493</v>
      </c>
      <c r="L9655">
        <v>-62.318390000000001</v>
      </c>
      <c r="M9655">
        <v>0.99987890000000001</v>
      </c>
      <c r="N9655">
        <v>0</v>
      </c>
      <c r="O9655">
        <v>1.138109E-2</v>
      </c>
      <c r="P9655">
        <v>0.99977959999999999</v>
      </c>
      <c r="Q9655">
        <v>1.5648909999999999E-2</v>
      </c>
      <c r="R9655">
        <v>1.4001649999999999E-2</v>
      </c>
      <c r="S9655">
        <v>3.0072480000000001</v>
      </c>
      <c r="T9655">
        <v>-0.13310720000000001</v>
      </c>
      <c r="U9655">
        <v>-0.31777949999999999</v>
      </c>
      <c r="V9655">
        <v>-2.6548890000000001E-3</v>
      </c>
      <c r="W9655">
        <v>2.626767E-2</v>
      </c>
      <c r="X9655">
        <v>0.99965139999999997</v>
      </c>
      <c r="Y9655">
        <v>0.1162744</v>
      </c>
      <c r="Z9655">
        <v>-3.0670929999999999E-3</v>
      </c>
      <c r="AA9655">
        <v>0.9932124</v>
      </c>
      <c r="AB9655">
        <v>30</v>
      </c>
      <c r="AC9655">
        <v>24.9420999999999</v>
      </c>
      <c r="AD9655">
        <v>-1.1104958992909999</v>
      </c>
      <c r="AE9655">
        <v>-2.6531500000000001</v>
      </c>
      <c r="AF9655">
        <v>2.9311170962326201</v>
      </c>
      <c r="AG9655">
        <v>-1.1104958992909999</v>
      </c>
      <c r="AH9655">
        <v>24.861555469357299</v>
      </c>
      <c r="AI9655">
        <v>92.539973241397007</v>
      </c>
      <c r="AJ9655">
        <v>83.276006046804198</v>
      </c>
      <c r="AK9655">
        <v>25.058363652283798</v>
      </c>
      <c r="AL9655">
        <v>88.494800212144</v>
      </c>
      <c r="AM9655">
        <v>90.152166622424005</v>
      </c>
      <c r="AN9655">
        <v>0.999999980222395</v>
      </c>
    </row>
    <row r="9656" spans="1:40" x14ac:dyDescent="0.25">
      <c r="A9656" t="str">
        <f>"20190312150912453"</f>
        <v>20190312150912453</v>
      </c>
      <c r="B9656" t="str">
        <f>"1552374552449009"</f>
        <v>1552374552449009</v>
      </c>
      <c r="C9656" t="s">
        <v>40</v>
      </c>
      <c r="D9656">
        <v>4.3978489999999999</v>
      </c>
      <c r="E9656">
        <v>0.5458035</v>
      </c>
      <c r="F9656" t="s">
        <v>89</v>
      </c>
      <c r="G9656">
        <v>-224.7423</v>
      </c>
      <c r="H9656" s="1">
        <v>-2.2155919999999998E-6</v>
      </c>
      <c r="I9656">
        <v>-65.164599999999993</v>
      </c>
      <c r="J9656">
        <v>-251.4923</v>
      </c>
      <c r="K9656">
        <v>1.110482</v>
      </c>
      <c r="L9656">
        <v>-62.316470000000002</v>
      </c>
      <c r="M9656">
        <v>0.99987539999999997</v>
      </c>
      <c r="N9656">
        <v>0</v>
      </c>
      <c r="O9656">
        <v>1.167353E-2</v>
      </c>
      <c r="P9656">
        <v>0.99978460000000002</v>
      </c>
      <c r="Q9656">
        <v>1.5414590000000001E-2</v>
      </c>
      <c r="R9656">
        <v>1.389926E-2</v>
      </c>
      <c r="S9656">
        <v>3.0070800000000002</v>
      </c>
      <c r="T9656">
        <v>-0.1241772</v>
      </c>
      <c r="U9656">
        <v>-0.31826779999999999</v>
      </c>
      <c r="V9656">
        <v>-2.2587879999999999E-3</v>
      </c>
      <c r="W9656">
        <v>2.6038869999999999E-2</v>
      </c>
      <c r="X9656">
        <v>0.99965839999999995</v>
      </c>
      <c r="Y9656">
        <v>0.1167455</v>
      </c>
      <c r="Z9656">
        <v>-2.8833769999999999E-3</v>
      </c>
      <c r="AA9656">
        <v>0.99315770000000003</v>
      </c>
      <c r="AB9656">
        <v>30</v>
      </c>
      <c r="AC9656">
        <v>26.75</v>
      </c>
      <c r="AD9656">
        <v>-1.1104842155920001</v>
      </c>
      <c r="AE9656">
        <v>-2.8481299999999901</v>
      </c>
      <c r="AF9656">
        <v>3.1548444671235898</v>
      </c>
      <c r="AG9656">
        <v>-1.1104842155920001</v>
      </c>
      <c r="AH9656">
        <v>26.669481441751898</v>
      </c>
      <c r="AI9656">
        <v>92.367857258035798</v>
      </c>
      <c r="AJ9656">
        <v>83.253594744559294</v>
      </c>
      <c r="AK9656">
        <v>26.878382748535401</v>
      </c>
      <c r="AL9656">
        <v>88.507914032948094</v>
      </c>
      <c r="AM9656">
        <v>90.129463023529894</v>
      </c>
      <c r="AN9656">
        <v>1.0000000207823301</v>
      </c>
    </row>
    <row r="9657" spans="1:40" x14ac:dyDescent="0.25">
      <c r="A9657" t="str">
        <f>"20190312150912464"</f>
        <v>20190312150912464</v>
      </c>
      <c r="B9657" t="str">
        <f>"1552374552458769"</f>
        <v>1552374552458769</v>
      </c>
      <c r="C9657" t="s">
        <v>40</v>
      </c>
      <c r="D9657">
        <v>4.4374149999999997</v>
      </c>
      <c r="E9657">
        <v>0.54577310000000001</v>
      </c>
      <c r="F9657" t="s">
        <v>89</v>
      </c>
      <c r="G9657">
        <v>-225.2439</v>
      </c>
      <c r="H9657" s="1">
        <v>-2.4135420000000002E-6</v>
      </c>
      <c r="I9657">
        <v>-65.087190000000007</v>
      </c>
      <c r="J9657">
        <v>-251.34059999999999</v>
      </c>
      <c r="K9657">
        <v>1.110468</v>
      </c>
      <c r="L9657">
        <v>-62.314390000000003</v>
      </c>
      <c r="M9657">
        <v>0.99987179999999998</v>
      </c>
      <c r="N9657">
        <v>0</v>
      </c>
      <c r="O9657">
        <v>1.19839E-2</v>
      </c>
      <c r="P9657">
        <v>0.99978920000000004</v>
      </c>
      <c r="Q9657">
        <v>1.5047059999999999E-2</v>
      </c>
      <c r="R9657">
        <v>1.398275E-2</v>
      </c>
      <c r="S9657">
        <v>3.0070190000000001</v>
      </c>
      <c r="T9657">
        <v>-0.12721689999999999</v>
      </c>
      <c r="U9657">
        <v>-0.31741329999999901</v>
      </c>
      <c r="V9657">
        <v>-2.0309569999999999E-3</v>
      </c>
      <c r="W9657">
        <v>2.567707E-2</v>
      </c>
      <c r="X9657">
        <v>0.99966820000000001</v>
      </c>
      <c r="Y9657">
        <v>0.11677120000000001</v>
      </c>
      <c r="Z9657">
        <v>-2.9676329999999999E-3</v>
      </c>
      <c r="AA9657">
        <v>0.99315439999999999</v>
      </c>
      <c r="AB9657">
        <v>30</v>
      </c>
      <c r="AC9657">
        <v>26.096699999999998</v>
      </c>
      <c r="AD9657">
        <v>-1.110470413542</v>
      </c>
      <c r="AE9657">
        <v>-2.7728000000000002</v>
      </c>
      <c r="AF9657">
        <v>3.0798443691875899</v>
      </c>
      <c r="AG9657">
        <v>-1.110470413542</v>
      </c>
      <c r="AH9657">
        <v>26.015015822898</v>
      </c>
      <c r="AI9657">
        <v>92.427299151594497</v>
      </c>
      <c r="AJ9657">
        <v>83.248339873001598</v>
      </c>
      <c r="AK9657">
        <v>26.2202142276413</v>
      </c>
      <c r="AL9657">
        <v>88.528650509673497</v>
      </c>
      <c r="AM9657">
        <v>90.116403727129395</v>
      </c>
      <c r="AN9657">
        <v>0.99999997340068003</v>
      </c>
    </row>
    <row r="9658" spans="1:40" x14ac:dyDescent="0.25">
      <c r="A9658" t="str">
        <f>"20190312150912476"</f>
        <v>20190312150912476</v>
      </c>
      <c r="B9658" t="str">
        <f>"1552374552469505"</f>
        <v>1552374552469505</v>
      </c>
      <c r="C9658" t="s">
        <v>40</v>
      </c>
      <c r="D9658">
        <v>4.4084890000000003</v>
      </c>
      <c r="E9658">
        <v>0.5457398</v>
      </c>
      <c r="F9658" t="s">
        <v>89</v>
      </c>
      <c r="G9658">
        <v>-225.11760000000001</v>
      </c>
      <c r="H9658" s="1">
        <v>-2.3573580000000002E-6</v>
      </c>
      <c r="I9658">
        <v>-65.078199999999995</v>
      </c>
      <c r="J9658">
        <v>-251.19069999999999</v>
      </c>
      <c r="K9658">
        <v>1.110457</v>
      </c>
      <c r="L9658">
        <v>-62.312289999999997</v>
      </c>
      <c r="M9658">
        <v>0.99986799999999998</v>
      </c>
      <c r="N9658">
        <v>0</v>
      </c>
      <c r="O9658">
        <v>1.2281540000000001E-2</v>
      </c>
      <c r="P9658">
        <v>0.99979200000000001</v>
      </c>
      <c r="Q9658">
        <v>1.467971E-2</v>
      </c>
      <c r="R9658">
        <v>1.416456E-2</v>
      </c>
      <c r="S9658">
        <v>3.0069889999999999</v>
      </c>
      <c r="T9658">
        <v>-0.12733729999999999</v>
      </c>
      <c r="U9658">
        <v>-0.31692500000000001</v>
      </c>
      <c r="V9658">
        <v>-1.9137119999999999E-3</v>
      </c>
      <c r="W9658">
        <v>2.531479E-2</v>
      </c>
      <c r="X9658">
        <v>0.9996777</v>
      </c>
      <c r="Y9658">
        <v>0.1169077</v>
      </c>
      <c r="Z9658">
        <v>-2.9859439999999999E-3</v>
      </c>
      <c r="AA9658">
        <v>0.99313830000000003</v>
      </c>
      <c r="AB9658">
        <v>30</v>
      </c>
      <c r="AC9658">
        <v>26.073099999999901</v>
      </c>
      <c r="AD9658">
        <v>-1.1104593573579999</v>
      </c>
      <c r="AE9658">
        <v>-2.7659099999999901</v>
      </c>
      <c r="AF9658">
        <v>3.0804118432558001</v>
      </c>
      <c r="AG9658">
        <v>-1.1104593573579999</v>
      </c>
      <c r="AH9658">
        <v>25.990541443129601</v>
      </c>
      <c r="AI9658">
        <v>92.429520165305206</v>
      </c>
      <c r="AJ9658">
        <v>83.240807184415004</v>
      </c>
      <c r="AK9658">
        <v>26.195997816755298</v>
      </c>
      <c r="AL9658">
        <v>88.549414417184394</v>
      </c>
      <c r="AM9658">
        <v>90.109682837642097</v>
      </c>
      <c r="AN9658">
        <v>1.0000000023818201</v>
      </c>
    </row>
    <row r="9659" spans="1:40" x14ac:dyDescent="0.25">
      <c r="A9659" t="str">
        <f>"20190312150912487"</f>
        <v>20190312150912487</v>
      </c>
      <c r="B9659" t="str">
        <f>"1552374552479265"</f>
        <v>1552374552479265</v>
      </c>
      <c r="C9659" t="s">
        <v>40</v>
      </c>
      <c r="D9659">
        <v>4.5442780000000003</v>
      </c>
      <c r="E9659">
        <v>0.54566079999999995</v>
      </c>
      <c r="F9659" t="s">
        <v>89</v>
      </c>
      <c r="G9659">
        <v>-224.74199999999999</v>
      </c>
      <c r="H9659" s="1">
        <v>-2.1995880000000002E-6</v>
      </c>
      <c r="I9659">
        <v>-65.093180000000004</v>
      </c>
      <c r="J9659">
        <v>-251.04599999999999</v>
      </c>
      <c r="K9659">
        <v>1.1104459999999901</v>
      </c>
      <c r="L9659">
        <v>-62.310209999999998</v>
      </c>
      <c r="M9659">
        <v>0.99986430000000004</v>
      </c>
      <c r="N9659">
        <v>0</v>
      </c>
      <c r="O9659">
        <v>1.256703E-2</v>
      </c>
      <c r="P9659">
        <v>0.99979370000000001</v>
      </c>
      <c r="Q9659">
        <v>1.4363849999999999E-2</v>
      </c>
      <c r="R9659">
        <v>1.435783E-2</v>
      </c>
      <c r="S9659">
        <v>3.0069729999999999</v>
      </c>
      <c r="T9659">
        <v>-0.126249</v>
      </c>
      <c r="U9659">
        <v>-0.316162099999999</v>
      </c>
      <c r="V9659">
        <v>-1.8207729999999999E-3</v>
      </c>
      <c r="W9659">
        <v>2.500399E-2</v>
      </c>
      <c r="X9659">
        <v>0.99968570000000001</v>
      </c>
      <c r="Y9659">
        <v>0.1169443</v>
      </c>
      <c r="Z9659">
        <v>-2.9732180000000001E-3</v>
      </c>
      <c r="AA9659">
        <v>0.99313399999999996</v>
      </c>
      <c r="AB9659">
        <v>30</v>
      </c>
      <c r="AC9659">
        <v>26.303999999999899</v>
      </c>
      <c r="AD9659">
        <v>-1.11044819958799</v>
      </c>
      <c r="AE9659">
        <v>-2.7829700000000002</v>
      </c>
      <c r="AF9659">
        <v>3.1078546570692498</v>
      </c>
      <c r="AG9659">
        <v>-1.11044819958799</v>
      </c>
      <c r="AH9659">
        <v>26.220734001735501</v>
      </c>
      <c r="AI9659">
        <v>92.408190674397005</v>
      </c>
      <c r="AJ9659">
        <v>83.240461808035207</v>
      </c>
      <c r="AK9659">
        <v>26.427613349737101</v>
      </c>
      <c r="AL9659">
        <v>88.567227590471404</v>
      </c>
      <c r="AM9659">
        <v>90.104355291863399</v>
      </c>
      <c r="AN9659">
        <v>1.00000000675736</v>
      </c>
    </row>
    <row r="9660" spans="1:40" x14ac:dyDescent="0.25">
      <c r="A9660" t="str">
        <f>"20190312150912497"</f>
        <v>20190312150912497</v>
      </c>
      <c r="B9660" t="str">
        <f>"1552374552489025"</f>
        <v>1552374552489025</v>
      </c>
      <c r="C9660" t="s">
        <v>40</v>
      </c>
      <c r="D9660">
        <v>4.4619289999999996</v>
      </c>
      <c r="E9660">
        <v>0.54566359999999903</v>
      </c>
      <c r="F9660" t="s">
        <v>89</v>
      </c>
      <c r="G9660">
        <v>-224.4556</v>
      </c>
      <c r="H9660" s="1">
        <v>-2.0773270000000001E-6</v>
      </c>
      <c r="I9660">
        <v>-65.096050000000005</v>
      </c>
      <c r="J9660">
        <v>-250.89760000000001</v>
      </c>
      <c r="K9660">
        <v>1.1104350000000001</v>
      </c>
      <c r="L9660">
        <v>-62.308039999999998</v>
      </c>
      <c r="M9660">
        <v>0.99986079999999999</v>
      </c>
      <c r="N9660">
        <v>0</v>
      </c>
      <c r="O9660">
        <v>1.285385E-2</v>
      </c>
      <c r="P9660">
        <v>0.99979130000000005</v>
      </c>
      <c r="Q9660">
        <v>1.430028E-2</v>
      </c>
      <c r="R9660">
        <v>1.460123E-2</v>
      </c>
      <c r="S9660">
        <v>3.0069430000000001</v>
      </c>
      <c r="T9660">
        <v>-0.12557370000000001</v>
      </c>
      <c r="U9660">
        <v>-0.31503300000000001</v>
      </c>
      <c r="V9660">
        <v>-1.77692E-3</v>
      </c>
      <c r="W9660">
        <v>2.494536E-2</v>
      </c>
      <c r="X9660">
        <v>0.99968729999999995</v>
      </c>
      <c r="Y9660">
        <v>0.1168623</v>
      </c>
      <c r="Z9660">
        <v>-2.9676529999999998E-3</v>
      </c>
      <c r="AA9660">
        <v>0.99314369999999996</v>
      </c>
      <c r="AB9660">
        <v>30</v>
      </c>
      <c r="AC9660">
        <v>26.442</v>
      </c>
      <c r="AD9660">
        <v>-1.110437077327</v>
      </c>
      <c r="AE9660">
        <v>-2.7880099999999999</v>
      </c>
      <c r="AF9660">
        <v>3.1222345585409701</v>
      </c>
      <c r="AG9660">
        <v>-1.110437077327</v>
      </c>
      <c r="AH9660">
        <v>26.358002794790298</v>
      </c>
      <c r="AI9660">
        <v>92.395659887588806</v>
      </c>
      <c r="AJ9660">
        <v>83.244513537852001</v>
      </c>
      <c r="AK9660">
        <v>26.5654988748832</v>
      </c>
      <c r="AL9660">
        <v>88.570587970694504</v>
      </c>
      <c r="AM9660">
        <v>90.101841755229202</v>
      </c>
      <c r="AN9660">
        <v>1.00000006310575</v>
      </c>
    </row>
    <row r="9661" spans="1:40" x14ac:dyDescent="0.25">
      <c r="A9661" t="str">
        <f>"20190312150912509"</f>
        <v>20190312150912509</v>
      </c>
      <c r="B9661" t="str">
        <f>"1552374552498785"</f>
        <v>1552374552498785</v>
      </c>
      <c r="C9661" t="s">
        <v>40</v>
      </c>
      <c r="D9661">
        <v>4.6516719999999996</v>
      </c>
      <c r="E9661">
        <v>0.54560330000000001</v>
      </c>
      <c r="F9661" t="s">
        <v>89</v>
      </c>
      <c r="G9661">
        <v>-223.95740000000001</v>
      </c>
      <c r="H9661" s="1">
        <v>-1.8699990000000001E-6</v>
      </c>
      <c r="I9661">
        <v>-65.12473</v>
      </c>
      <c r="J9661">
        <v>-250.74889999999999</v>
      </c>
      <c r="K9661">
        <v>1.1104259999999999</v>
      </c>
      <c r="L9661">
        <v>-62.305880000000002</v>
      </c>
      <c r="M9661">
        <v>0.99985690000000005</v>
      </c>
      <c r="N9661">
        <v>0</v>
      </c>
      <c r="O9661">
        <v>1.3138820000000001E-2</v>
      </c>
      <c r="P9661">
        <v>0.99979300000000004</v>
      </c>
      <c r="Q9661">
        <v>1.4053039999999999E-2</v>
      </c>
      <c r="R9661">
        <v>1.4715860000000001E-2</v>
      </c>
      <c r="S9661">
        <v>3.0070039999999998</v>
      </c>
      <c r="T9661">
        <v>-0.12394429999999999</v>
      </c>
      <c r="U9661">
        <v>-0.31439210000000001</v>
      </c>
      <c r="V9661">
        <v>-1.605322E-3</v>
      </c>
      <c r="W9661">
        <v>2.4702720000000001E-2</v>
      </c>
      <c r="X9661">
        <v>0.99969359999999996</v>
      </c>
      <c r="Y9661">
        <v>0.1169365</v>
      </c>
      <c r="Z9661">
        <v>-2.9423890000000001E-3</v>
      </c>
      <c r="AA9661">
        <v>0.99313499999999999</v>
      </c>
      <c r="AB9661">
        <v>30</v>
      </c>
      <c r="AC9661">
        <v>26.7914999999999</v>
      </c>
      <c r="AD9661">
        <v>-1.110427869999</v>
      </c>
      <c r="AE9661">
        <v>-2.8188499999999901</v>
      </c>
      <c r="AF9661">
        <v>3.1652574168124499</v>
      </c>
      <c r="AG9661">
        <v>-1.110427869999</v>
      </c>
      <c r="AH9661">
        <v>26.706772619899901</v>
      </c>
      <c r="AI9661">
        <v>92.3643729151499</v>
      </c>
      <c r="AJ9661">
        <v>83.2408970998641</v>
      </c>
      <c r="AK9661">
        <v>26.916604695618499</v>
      </c>
      <c r="AL9661">
        <v>88.584494481412605</v>
      </c>
      <c r="AM9661">
        <v>90.092006287026393</v>
      </c>
      <c r="AN9661">
        <v>1.0000000476575399</v>
      </c>
    </row>
    <row r="9662" spans="1:40" x14ac:dyDescent="0.25">
      <c r="A9662" t="str">
        <f>"20190312150912520"</f>
        <v>20190312150912520</v>
      </c>
      <c r="B9662" t="str">
        <f>"1552374552509521"</f>
        <v>1552374552509521</v>
      </c>
      <c r="C9662" t="s">
        <v>40</v>
      </c>
      <c r="D9662">
        <v>4.4246660000000002</v>
      </c>
      <c r="E9662">
        <v>0.54559789999999997</v>
      </c>
      <c r="F9662" t="s">
        <v>89</v>
      </c>
      <c r="G9662">
        <v>-223.4836</v>
      </c>
      <c r="H9662" s="1">
        <v>-1.6724240000000001E-6</v>
      </c>
      <c r="I9662">
        <v>-65.150229999999993</v>
      </c>
      <c r="J9662">
        <v>-250.60550000000001</v>
      </c>
      <c r="K9662">
        <v>1.11042</v>
      </c>
      <c r="L9662">
        <v>-62.303710000000002</v>
      </c>
      <c r="M9662">
        <v>0.9998534</v>
      </c>
      <c r="N9662">
        <v>0</v>
      </c>
      <c r="O9662">
        <v>1.3410149999999999E-2</v>
      </c>
      <c r="P9662">
        <v>0.99978849999999997</v>
      </c>
      <c r="Q9662">
        <v>1.414644E-2</v>
      </c>
      <c r="R9662">
        <v>1.4930280000000001E-2</v>
      </c>
      <c r="S9662">
        <v>3.006958</v>
      </c>
      <c r="T9662">
        <v>-0.1224639</v>
      </c>
      <c r="U9662">
        <v>-0.31369019999999997</v>
      </c>
      <c r="V9662">
        <v>-1.5485919999999999E-3</v>
      </c>
      <c r="W9662">
        <v>2.480044E-2</v>
      </c>
      <c r="X9662">
        <v>0.9996912</v>
      </c>
      <c r="Y9662">
        <v>0.1169806</v>
      </c>
      <c r="Z9662">
        <v>-2.919268E-3</v>
      </c>
      <c r="AA9662">
        <v>0.99312990000000001</v>
      </c>
      <c r="AB9662">
        <v>30</v>
      </c>
      <c r="AC9662">
        <v>27.1219</v>
      </c>
      <c r="AD9662">
        <v>-1.1104216724239999</v>
      </c>
      <c r="AE9662">
        <v>-2.8465200000000102</v>
      </c>
      <c r="AF9662">
        <v>3.2046800934531801</v>
      </c>
      <c r="AG9662">
        <v>-1.1104216724239999</v>
      </c>
      <c r="AH9662">
        <v>27.036460717673901</v>
      </c>
      <c r="AI9662">
        <v>92.335556861275506</v>
      </c>
      <c r="AJ9662">
        <v>83.240168987941004</v>
      </c>
      <c r="AK9662">
        <v>27.248361765990399</v>
      </c>
      <c r="AL9662">
        <v>88.578893722749399</v>
      </c>
      <c r="AM9662">
        <v>90.088755122398595</v>
      </c>
      <c r="AN9662">
        <v>0.99999997765940696</v>
      </c>
    </row>
    <row r="9663" spans="1:40" x14ac:dyDescent="0.25">
      <c r="A9663" t="str">
        <f>"20190312150912531"</f>
        <v>20190312150912531</v>
      </c>
      <c r="B9663" t="str">
        <f>"1552374552528878"</f>
        <v>1552374552528878</v>
      </c>
      <c r="C9663" t="s">
        <v>40</v>
      </c>
      <c r="D9663">
        <v>4.4448559999999997</v>
      </c>
      <c r="E9663">
        <v>0.5456223</v>
      </c>
      <c r="F9663" t="s">
        <v>89</v>
      </c>
      <c r="G9663">
        <v>-223.52680000000001</v>
      </c>
      <c r="H9663" s="1">
        <v>-1.684349E-6</v>
      </c>
      <c r="I9663">
        <v>-65.120540000000005</v>
      </c>
      <c r="J9663">
        <v>-250.45320000000001</v>
      </c>
      <c r="K9663">
        <v>1.1104149999999999</v>
      </c>
      <c r="L9663">
        <v>-62.301389999999998</v>
      </c>
      <c r="M9663">
        <v>0.99984949999999995</v>
      </c>
      <c r="N9663">
        <v>0</v>
      </c>
      <c r="O9663">
        <v>1.369538E-2</v>
      </c>
      <c r="P9663">
        <v>0.99978210000000001</v>
      </c>
      <c r="Q9663">
        <v>1.436108E-2</v>
      </c>
      <c r="R9663">
        <v>1.515875E-2</v>
      </c>
      <c r="S9663">
        <v>3.00705</v>
      </c>
      <c r="T9663">
        <v>-0.1233107</v>
      </c>
      <c r="U9663">
        <v>-0.31280520000000001</v>
      </c>
      <c r="V9663">
        <v>-1.491381E-3</v>
      </c>
      <c r="W9663">
        <v>2.5020199999999999E-2</v>
      </c>
      <c r="X9663">
        <v>0.99968579999999996</v>
      </c>
      <c r="Y9663">
        <v>0.1169699</v>
      </c>
      <c r="Z9663">
        <v>-2.9508389999999998E-3</v>
      </c>
      <c r="AA9663">
        <v>0.99313110000000004</v>
      </c>
      <c r="AB9663">
        <v>30</v>
      </c>
      <c r="AC9663">
        <v>26.926400000000001</v>
      </c>
      <c r="AD9663">
        <v>-1.110416684349</v>
      </c>
      <c r="AE9663">
        <v>-2.81915</v>
      </c>
      <c r="AF9663">
        <v>3.18232042972175</v>
      </c>
      <c r="AG9663">
        <v>-1.110416684349</v>
      </c>
      <c r="AH9663">
        <v>26.840112120478601</v>
      </c>
      <c r="AI9663">
        <v>92.352603567522294</v>
      </c>
      <c r="AJ9663">
        <v>83.238245144121706</v>
      </c>
      <c r="AK9663">
        <v>27.050911392597602</v>
      </c>
      <c r="AL9663">
        <v>88.566298477755197</v>
      </c>
      <c r="AM9663">
        <v>90.085476630310495</v>
      </c>
      <c r="AN9663">
        <v>0.99999996667348201</v>
      </c>
    </row>
    <row r="9664" spans="1:40" x14ac:dyDescent="0.25">
      <c r="A9664" t="str">
        <f>"20190312150912542"</f>
        <v>20190312150912542</v>
      </c>
      <c r="B9664" t="str">
        <f>"1552374552539614"</f>
        <v>1552374552539614</v>
      </c>
      <c r="C9664" t="s">
        <v>40</v>
      </c>
      <c r="D9664">
        <v>5.5059069999999997</v>
      </c>
      <c r="E9664">
        <v>0.54564889999999999</v>
      </c>
      <c r="F9664" t="s">
        <v>89</v>
      </c>
      <c r="G9664">
        <v>-222.49420000000001</v>
      </c>
      <c r="H9664" s="1">
        <v>-1.26049E-6</v>
      </c>
      <c r="I9664">
        <v>-65.206599999999995</v>
      </c>
      <c r="J9664">
        <v>-250.30340000000001</v>
      </c>
      <c r="K9664">
        <v>1.1104130000000001</v>
      </c>
      <c r="L9664">
        <v>-62.299069999999901</v>
      </c>
      <c r="M9664">
        <v>0.9998456</v>
      </c>
      <c r="N9664">
        <v>0</v>
      </c>
      <c r="O9664">
        <v>1.397406E-2</v>
      </c>
      <c r="P9664">
        <v>0.9997817</v>
      </c>
      <c r="Q9664">
        <v>1.4110940000000001E-2</v>
      </c>
      <c r="R9664">
        <v>1.54203E-2</v>
      </c>
      <c r="S9664">
        <v>3.007126</v>
      </c>
      <c r="T9664">
        <v>-0.1194307</v>
      </c>
      <c r="U9664">
        <v>-0.31246950000000001</v>
      </c>
      <c r="V9664">
        <v>-1.473753E-3</v>
      </c>
      <c r="W9664">
        <v>2.4773750000000001E-2</v>
      </c>
      <c r="X9664">
        <v>0.99969200000000003</v>
      </c>
      <c r="Y9664">
        <v>0.1171408</v>
      </c>
      <c r="Z9664">
        <v>-2.8724279999999998E-3</v>
      </c>
      <c r="AA9664">
        <v>0.99311110000000002</v>
      </c>
      <c r="AB9664">
        <v>30</v>
      </c>
      <c r="AC9664">
        <v>27.809200000000001</v>
      </c>
      <c r="AD9664">
        <v>-1.11041426048999</v>
      </c>
      <c r="AE9664">
        <v>-2.9075299999999999</v>
      </c>
      <c r="AF9664">
        <v>3.2906856697908702</v>
      </c>
      <c r="AG9664">
        <v>-1.11041426048999</v>
      </c>
      <c r="AH9664">
        <v>27.722130243011499</v>
      </c>
      <c r="AI9664">
        <v>92.277791010549393</v>
      </c>
      <c r="AJ9664">
        <v>83.230524763523803</v>
      </c>
      <c r="AK9664">
        <v>27.938828486852501</v>
      </c>
      <c r="AL9664">
        <v>88.580423452759206</v>
      </c>
      <c r="AM9664">
        <v>90.084465781234798</v>
      </c>
      <c r="AN9664">
        <v>1.0000000027504801</v>
      </c>
    </row>
    <row r="9665" spans="1:40" x14ac:dyDescent="0.25">
      <c r="A9665" t="str">
        <f>"20190312150912555"</f>
        <v>20190312150912555</v>
      </c>
      <c r="B9665" t="str">
        <f>"1552374552549375"</f>
        <v>1552374552549375</v>
      </c>
      <c r="C9665" t="s">
        <v>40</v>
      </c>
      <c r="D9665">
        <v>4.3947129999999897</v>
      </c>
      <c r="E9665">
        <v>0.54561559999999998</v>
      </c>
      <c r="F9665" t="s">
        <v>89</v>
      </c>
      <c r="G9665">
        <v>-221.78620000000001</v>
      </c>
      <c r="H9665" s="1">
        <v>-9.6830789999999997E-7</v>
      </c>
      <c r="I9665">
        <v>-65.258510000000001</v>
      </c>
      <c r="J9665">
        <v>-250.1514</v>
      </c>
      <c r="K9665">
        <v>1.110409</v>
      </c>
      <c r="L9665">
        <v>-62.29663</v>
      </c>
      <c r="M9665">
        <v>0.99984150000000005</v>
      </c>
      <c r="N9665">
        <v>0</v>
      </c>
      <c r="O9665">
        <v>1.4253999999999999E-2</v>
      </c>
      <c r="P9665">
        <v>0.99977700000000003</v>
      </c>
      <c r="Q9665">
        <v>1.41849E-2</v>
      </c>
      <c r="R9665">
        <v>1.565331E-2</v>
      </c>
      <c r="S9665">
        <v>3.0071409999999998</v>
      </c>
      <c r="T9665">
        <v>-0.11709310000000001</v>
      </c>
      <c r="U9665">
        <v>-0.31207279999999998</v>
      </c>
      <c r="V9665">
        <v>-1.427034E-3</v>
      </c>
      <c r="W9665">
        <v>2.4852880000000001E-2</v>
      </c>
      <c r="X9665">
        <v>0.99969010000000003</v>
      </c>
      <c r="Y9665">
        <v>0.1172924</v>
      </c>
      <c r="Z9665">
        <v>-2.8300669999999999E-3</v>
      </c>
      <c r="AA9665">
        <v>0.99309340000000002</v>
      </c>
      <c r="AB9665">
        <v>30</v>
      </c>
      <c r="AC9665">
        <v>28.365199999999898</v>
      </c>
      <c r="AD9665">
        <v>-1.1104099683078901</v>
      </c>
      <c r="AE9665">
        <v>-2.9618799999999901</v>
      </c>
      <c r="AF9665">
        <v>3.3608247786748402</v>
      </c>
      <c r="AG9665">
        <v>-1.1104099683078901</v>
      </c>
      <c r="AH9665">
        <v>28.277230002686601</v>
      </c>
      <c r="AI9665">
        <v>92.233074396514397</v>
      </c>
      <c r="AJ9665">
        <v>83.2220383613992</v>
      </c>
      <c r="AK9665">
        <v>28.4978927311391</v>
      </c>
      <c r="AL9665">
        <v>88.575888236091401</v>
      </c>
      <c r="AM9665">
        <v>90.081788316084996</v>
      </c>
      <c r="AN9665">
        <v>0.99999999905417003</v>
      </c>
    </row>
    <row r="9666" spans="1:40" x14ac:dyDescent="0.25">
      <c r="A9666" t="str">
        <f>"20190312150912565"</f>
        <v>20190312150912565</v>
      </c>
      <c r="B9666" t="str">
        <f>"1552374552559135"</f>
        <v>1552374552559135</v>
      </c>
      <c r="C9666" t="s">
        <v>40</v>
      </c>
      <c r="D9666">
        <v>4.3992570000000004</v>
      </c>
      <c r="E9666">
        <v>0.54566119999999996</v>
      </c>
      <c r="F9666" t="s">
        <v>89</v>
      </c>
      <c r="G9666">
        <v>-221.1619</v>
      </c>
      <c r="H9666" s="1">
        <v>-7.0885900000000003E-7</v>
      </c>
      <c r="I9666">
        <v>-65.296210000000002</v>
      </c>
      <c r="J9666">
        <v>-250.00299999999999</v>
      </c>
      <c r="K9666">
        <v>1.110401</v>
      </c>
      <c r="L9666">
        <v>-62.294280000000001</v>
      </c>
      <c r="M9666">
        <v>0.99983750000000005</v>
      </c>
      <c r="N9666">
        <v>0</v>
      </c>
      <c r="O9666">
        <v>1.4526560000000001E-2</v>
      </c>
      <c r="P9666">
        <v>0.99977229999999995</v>
      </c>
      <c r="Q9666">
        <v>1.390128E-2</v>
      </c>
      <c r="R9666">
        <v>1.619263E-2</v>
      </c>
      <c r="S9666">
        <v>3.0071870000000001</v>
      </c>
      <c r="T9666">
        <v>-0.11518680000000001</v>
      </c>
      <c r="U9666">
        <v>-0.31115720000000002</v>
      </c>
      <c r="V9666">
        <v>-1.6925620000000001E-3</v>
      </c>
      <c r="W9666">
        <v>2.457258E-2</v>
      </c>
      <c r="X9666">
        <v>0.99969660000000005</v>
      </c>
      <c r="Y9666">
        <v>0.11726540000000001</v>
      </c>
      <c r="Z9666">
        <v>-2.7939240000000001E-3</v>
      </c>
      <c r="AA9666">
        <v>0.9930966</v>
      </c>
      <c r="AB9666">
        <v>30</v>
      </c>
      <c r="AC9666">
        <v>28.841099999999901</v>
      </c>
      <c r="AD9666">
        <v>-1.1104017088589999</v>
      </c>
      <c r="AE9666">
        <v>-3.00192999999999</v>
      </c>
      <c r="AF9666">
        <v>3.4155903818698898</v>
      </c>
      <c r="AG9666">
        <v>-1.1104017088589999</v>
      </c>
      <c r="AH9666">
        <v>28.7522834748039</v>
      </c>
      <c r="AI9666">
        <v>92.196214175397699</v>
      </c>
      <c r="AJ9666">
        <v>83.225370557493406</v>
      </c>
      <c r="AK9666">
        <v>28.975732167233399</v>
      </c>
      <c r="AL9666">
        <v>88.591953128634898</v>
      </c>
      <c r="AM9666">
        <v>90.097005998122796</v>
      </c>
      <c r="AN9666">
        <v>0.99999998425277004</v>
      </c>
    </row>
    <row r="9667" spans="1:40" x14ac:dyDescent="0.25">
      <c r="A9667" t="str">
        <f>"20190312150912576"</f>
        <v>20190312150912576</v>
      </c>
      <c r="B9667" t="str">
        <f>"1552374552568894"</f>
        <v>1552374552568894</v>
      </c>
      <c r="C9667" t="s">
        <v>40</v>
      </c>
      <c r="D9667">
        <v>4.4098290000000002</v>
      </c>
      <c r="E9667">
        <v>0.5456337</v>
      </c>
      <c r="F9667" t="s">
        <v>89</v>
      </c>
      <c r="G9667">
        <v>-221.90190000000001</v>
      </c>
      <c r="H9667" s="1">
        <v>-1.0025459999999999E-6</v>
      </c>
      <c r="I9667">
        <v>-65.189210000000003</v>
      </c>
      <c r="J9667">
        <v>-249.85120000000001</v>
      </c>
      <c r="K9667">
        <v>1.1103970000000001</v>
      </c>
      <c r="L9667">
        <v>-62.291780000000003</v>
      </c>
      <c r="M9667">
        <v>0.99983350000000004</v>
      </c>
      <c r="N9667">
        <v>0</v>
      </c>
      <c r="O9667">
        <v>1.4803119999999999E-2</v>
      </c>
      <c r="P9667">
        <v>0.99977050000000001</v>
      </c>
      <c r="Q9667">
        <v>1.363956E-2</v>
      </c>
      <c r="R9667">
        <v>1.6530260000000001E-2</v>
      </c>
      <c r="S9667">
        <v>3.0073699999999999</v>
      </c>
      <c r="T9667">
        <v>-0.118835</v>
      </c>
      <c r="U9667">
        <v>-0.30981449999999999</v>
      </c>
      <c r="V9667">
        <v>-1.7535889999999901E-3</v>
      </c>
      <c r="W9667">
        <v>2.4315650000000001E-2</v>
      </c>
      <c r="X9667">
        <v>0.9997028</v>
      </c>
      <c r="Y9667">
        <v>0.117089</v>
      </c>
      <c r="Z9667">
        <v>-2.889661E-3</v>
      </c>
      <c r="AA9667">
        <v>0.99311719999999903</v>
      </c>
      <c r="AB9667">
        <v>30</v>
      </c>
      <c r="AC9667">
        <v>27.949299999999901</v>
      </c>
      <c r="AD9667">
        <v>-1.1103980025460001</v>
      </c>
      <c r="AE9667">
        <v>-2.8974299999999999</v>
      </c>
      <c r="AF9667">
        <v>3.3057106435054</v>
      </c>
      <c r="AG9667">
        <v>-1.1103980025460001</v>
      </c>
      <c r="AH9667">
        <v>27.8598374925229</v>
      </c>
      <c r="AI9667">
        <v>92.2665233974366</v>
      </c>
      <c r="AJ9667">
        <v>83.233204206547896</v>
      </c>
      <c r="AK9667">
        <v>28.077237251774399</v>
      </c>
      <c r="AL9667">
        <v>88.6066785653842</v>
      </c>
      <c r="AM9667">
        <v>90.100503015148007</v>
      </c>
      <c r="AN9667">
        <v>1.00000000711857</v>
      </c>
    </row>
    <row r="9668" spans="1:40" x14ac:dyDescent="0.25">
      <c r="A9668" t="str">
        <f>"20190312150912588"</f>
        <v>20190312150912588</v>
      </c>
      <c r="B9668" t="str">
        <f>"1552374552579631"</f>
        <v>1552374552579631</v>
      </c>
      <c r="C9668" t="s">
        <v>40</v>
      </c>
      <c r="D9668">
        <v>4.362152</v>
      </c>
      <c r="E9668">
        <v>0.54546859999999997</v>
      </c>
      <c r="F9668" t="s">
        <v>89</v>
      </c>
      <c r="G9668">
        <v>-222.2373</v>
      </c>
      <c r="H9668" s="1">
        <v>-1.132066E-6</v>
      </c>
      <c r="I9668">
        <v>-65.124669999999995</v>
      </c>
      <c r="J9668">
        <v>-249.7054</v>
      </c>
      <c r="K9668">
        <v>1.110395</v>
      </c>
      <c r="L9668">
        <v>-62.289340000000003</v>
      </c>
      <c r="M9668">
        <v>0.99982950000000004</v>
      </c>
      <c r="N9668">
        <v>0</v>
      </c>
      <c r="O9668">
        <v>1.5067769999999999E-2</v>
      </c>
      <c r="P9668">
        <v>0.99976560000000003</v>
      </c>
      <c r="Q9668">
        <v>1.361941E-2</v>
      </c>
      <c r="R9668">
        <v>1.6841120000000001E-2</v>
      </c>
      <c r="S9668">
        <v>3.0074459999999998</v>
      </c>
      <c r="T9668">
        <v>-0.1209344</v>
      </c>
      <c r="U9668">
        <v>-0.30853269999999999</v>
      </c>
      <c r="V9668">
        <v>-1.7998300000000001E-3</v>
      </c>
      <c r="W9668">
        <v>2.429897E-2</v>
      </c>
      <c r="X9668">
        <v>0.99970309999999996</v>
      </c>
      <c r="Y9668">
        <v>0.11692669999999999</v>
      </c>
      <c r="Z9668">
        <v>-2.9480209999999999E-3</v>
      </c>
      <c r="AA9668">
        <v>0.99313620000000002</v>
      </c>
      <c r="AB9668">
        <v>30</v>
      </c>
      <c r="AC9668">
        <v>27.4681</v>
      </c>
      <c r="AD9668">
        <v>-1.1103961320659901</v>
      </c>
      <c r="AE9668">
        <v>-2.8353299999999901</v>
      </c>
      <c r="AF9668">
        <v>3.2436698325603301</v>
      </c>
      <c r="AG9668">
        <v>-1.1103961320659901</v>
      </c>
      <c r="AH9668">
        <v>27.377988034455701</v>
      </c>
      <c r="AI9668">
        <v>92.306415250202804</v>
      </c>
      <c r="AJ9668">
        <v>83.243248373271499</v>
      </c>
      <c r="AK9668">
        <v>27.591821294861401</v>
      </c>
      <c r="AL9668">
        <v>88.607634508880906</v>
      </c>
      <c r="AM9668">
        <v>90.103153177602096</v>
      </c>
      <c r="AN9668">
        <v>0.99999998374034904</v>
      </c>
    </row>
    <row r="9669" spans="1:40" x14ac:dyDescent="0.25">
      <c r="A9669" t="str">
        <f>"20190312150912599"</f>
        <v>20190312150912599</v>
      </c>
      <c r="B9669" t="str">
        <f>"1552374552589391"</f>
        <v>1552374552589391</v>
      </c>
      <c r="C9669" t="s">
        <v>40</v>
      </c>
      <c r="D9669">
        <v>4.388153</v>
      </c>
      <c r="E9669">
        <v>0.54541580000000001</v>
      </c>
      <c r="F9669" t="s">
        <v>89</v>
      </c>
      <c r="G9669">
        <v>-222.83690000000001</v>
      </c>
      <c r="H9669" s="1">
        <v>-1.367124E-6</v>
      </c>
      <c r="I9669">
        <v>-65.024950000000004</v>
      </c>
      <c r="J9669">
        <v>-249.55760000000001</v>
      </c>
      <c r="K9669">
        <v>1.110393</v>
      </c>
      <c r="L9669">
        <v>-62.286869999999901</v>
      </c>
      <c r="M9669">
        <v>0.99982539999999998</v>
      </c>
      <c r="N9669">
        <v>0</v>
      </c>
      <c r="O9669">
        <v>1.533522E-2</v>
      </c>
      <c r="P9669">
        <v>0.99975760000000002</v>
      </c>
      <c r="Q9669">
        <v>1.3590079999999999E-2</v>
      </c>
      <c r="R9669">
        <v>1.733374E-2</v>
      </c>
      <c r="S9669">
        <v>3.0075530000000001</v>
      </c>
      <c r="T9669">
        <v>-0.1242933</v>
      </c>
      <c r="U9669">
        <v>-0.30621340000000002</v>
      </c>
      <c r="V9669">
        <v>-2.0243549999999998E-3</v>
      </c>
      <c r="W9669">
        <v>2.4273220000000002E-2</v>
      </c>
      <c r="X9669">
        <v>0.99970329999999996</v>
      </c>
      <c r="Y9669">
        <v>0.1164251</v>
      </c>
      <c r="Z9669">
        <v>-3.0305330000000002E-3</v>
      </c>
      <c r="AA9669">
        <v>0.99319489999999999</v>
      </c>
      <c r="AB9669">
        <v>30</v>
      </c>
      <c r="AC9669">
        <v>26.720699999999901</v>
      </c>
      <c r="AD9669">
        <v>-1.110394367124</v>
      </c>
      <c r="AE9669">
        <v>-2.7380800000000098</v>
      </c>
      <c r="AF9669">
        <v>3.1421794185062</v>
      </c>
      <c r="AG9669">
        <v>-1.110394367124</v>
      </c>
      <c r="AH9669">
        <v>26.630057352272601</v>
      </c>
      <c r="AI9669">
        <v>92.371249993937099</v>
      </c>
      <c r="AJ9669">
        <v>83.270573153653103</v>
      </c>
      <c r="AK9669">
        <v>26.837776020638302</v>
      </c>
      <c r="AL9669">
        <v>88.609110315922607</v>
      </c>
      <c r="AM9669">
        <v>90.116021262712394</v>
      </c>
      <c r="AN9669">
        <v>0.99999998762661202</v>
      </c>
    </row>
    <row r="9670" spans="1:40" x14ac:dyDescent="0.25">
      <c r="A9670" t="str">
        <f>"20190312150912610"</f>
        <v>20190312150912610</v>
      </c>
      <c r="B9670" t="str">
        <f>"1552374552599152"</f>
        <v>1552374552599152</v>
      </c>
      <c r="C9670" t="s">
        <v>40</v>
      </c>
      <c r="D9670">
        <v>4.4000339999999998</v>
      </c>
      <c r="E9670">
        <v>0.54536379999999995</v>
      </c>
      <c r="F9670" t="s">
        <v>89</v>
      </c>
      <c r="G9670">
        <v>-222.82990000000001</v>
      </c>
      <c r="H9670" s="1">
        <v>-1.3564700000000001E-6</v>
      </c>
      <c r="I9670">
        <v>-64.990650000000002</v>
      </c>
      <c r="J9670">
        <v>-249.40520000000001</v>
      </c>
      <c r="K9670">
        <v>1.110392</v>
      </c>
      <c r="L9670">
        <v>-62.284239999999997</v>
      </c>
      <c r="M9670">
        <v>0.99982119999999997</v>
      </c>
      <c r="N9670">
        <v>0</v>
      </c>
      <c r="O9670">
        <v>1.560983E-2</v>
      </c>
      <c r="P9670">
        <v>0.9997511</v>
      </c>
      <c r="Q9670">
        <v>1.354679E-2</v>
      </c>
      <c r="R9670">
        <v>1.772959E-2</v>
      </c>
      <c r="S9670">
        <v>3.0077060000000002</v>
      </c>
      <c r="T9670">
        <v>-0.1249542</v>
      </c>
      <c r="U9670">
        <v>-0.30426029999999998</v>
      </c>
      <c r="V9670">
        <v>-2.145437E-3</v>
      </c>
      <c r="W9670">
        <v>2.423413E-2</v>
      </c>
      <c r="X9670">
        <v>0.99970400000000004</v>
      </c>
      <c r="Y9670">
        <v>0.1160533</v>
      </c>
      <c r="Z9670">
        <v>-3.0502569999999998E-3</v>
      </c>
      <c r="AA9670">
        <v>0.99323830000000002</v>
      </c>
      <c r="AB9670">
        <v>30</v>
      </c>
      <c r="AC9670">
        <v>26.575299999999999</v>
      </c>
      <c r="AD9670">
        <v>-1.1103933564699999</v>
      </c>
      <c r="AE9670">
        <v>-2.7064099999999902</v>
      </c>
      <c r="AF9670">
        <v>3.11555641124757</v>
      </c>
      <c r="AG9670">
        <v>-1.1103933564699999</v>
      </c>
      <c r="AH9670">
        <v>26.484051111051699</v>
      </c>
      <c r="AI9670">
        <v>92.384403628899193</v>
      </c>
      <c r="AJ9670">
        <v>83.290620497948694</v>
      </c>
      <c r="AK9670">
        <v>26.689785094874001</v>
      </c>
      <c r="AL9670">
        <v>88.611350672779096</v>
      </c>
      <c r="AM9670">
        <v>90.122960692962096</v>
      </c>
      <c r="AN9670">
        <v>0.99999999178638899</v>
      </c>
    </row>
    <row r="9671" spans="1:40" x14ac:dyDescent="0.25">
      <c r="A9671" t="str">
        <f>"20190312150912620"</f>
        <v>20190312150912620</v>
      </c>
      <c r="B9671" t="str">
        <f>"1552374552608910"</f>
        <v>1552374552608910</v>
      </c>
      <c r="C9671" t="s">
        <v>40</v>
      </c>
      <c r="D9671">
        <v>4.4143210000000002</v>
      </c>
      <c r="E9671">
        <v>0.54534039999999995</v>
      </c>
      <c r="F9671" t="s">
        <v>89</v>
      </c>
      <c r="G9671">
        <v>-222.91640000000001</v>
      </c>
      <c r="H9671" s="1">
        <v>-1.3843889999999999E-6</v>
      </c>
      <c r="I9671">
        <v>-64.949250000000006</v>
      </c>
      <c r="J9671">
        <v>-249.26480000000001</v>
      </c>
      <c r="K9671">
        <v>1.110392</v>
      </c>
      <c r="L9671">
        <v>-62.281799999999997</v>
      </c>
      <c r="M9671">
        <v>0.99981699999999996</v>
      </c>
      <c r="N9671">
        <v>0</v>
      </c>
      <c r="O9671">
        <v>1.5862870000000001E-2</v>
      </c>
      <c r="P9671">
        <v>0.9997355</v>
      </c>
      <c r="Q9671">
        <v>1.3751970000000001E-2</v>
      </c>
      <c r="R9671">
        <v>1.844032E-2</v>
      </c>
      <c r="S9671">
        <v>3.0078130000000001</v>
      </c>
      <c r="T9671">
        <v>-0.12608549999999999</v>
      </c>
      <c r="U9671">
        <v>-0.3026123</v>
      </c>
      <c r="V9671">
        <v>-2.6040049999999999E-3</v>
      </c>
      <c r="W9671">
        <v>2.4442450000000001E-2</v>
      </c>
      <c r="X9671">
        <v>0.99969790000000003</v>
      </c>
      <c r="Y9671">
        <v>0.1157604</v>
      </c>
      <c r="Z9671">
        <v>-3.0822829999999999E-3</v>
      </c>
      <c r="AA9671">
        <v>0.99327240000000006</v>
      </c>
      <c r="AB9671">
        <v>30</v>
      </c>
      <c r="AC9671">
        <v>26.348400000000002</v>
      </c>
      <c r="AD9671">
        <v>-1.1103933843889999</v>
      </c>
      <c r="AE9671">
        <v>-2.6674500000000001</v>
      </c>
      <c r="AF9671">
        <v>3.07968541346776</v>
      </c>
      <c r="AG9671">
        <v>-1.1103933843889999</v>
      </c>
      <c r="AH9671">
        <v>26.256609650569601</v>
      </c>
      <c r="AI9671">
        <v>92.405130480392302</v>
      </c>
      <c r="AJ9671">
        <v>83.310240095500902</v>
      </c>
      <c r="AK9671">
        <v>26.459912812713601</v>
      </c>
      <c r="AL9671">
        <v>88.599411364563196</v>
      </c>
      <c r="AM9671">
        <v>90.149243245282406</v>
      </c>
      <c r="AN9671">
        <v>1.0000000527342201</v>
      </c>
    </row>
    <row r="9672" spans="1:40" x14ac:dyDescent="0.25">
      <c r="A9672" t="str">
        <f>"20190312150912633"</f>
        <v>20190312150912633</v>
      </c>
      <c r="B9672" t="str">
        <f>"1552374552629144"</f>
        <v>1552374552629144</v>
      </c>
      <c r="C9672" t="s">
        <v>40</v>
      </c>
      <c r="D9672">
        <v>5.1235489999999997</v>
      </c>
      <c r="E9672">
        <v>0.54536799999999996</v>
      </c>
      <c r="F9672" t="s">
        <v>89</v>
      </c>
      <c r="G9672">
        <v>-222.74250000000001</v>
      </c>
      <c r="H9672" s="1">
        <v>-1.305523E-6</v>
      </c>
      <c r="I9672">
        <v>-64.930049999999994</v>
      </c>
      <c r="J9672">
        <v>-249.11359999999999</v>
      </c>
      <c r="K9672">
        <v>1.11039</v>
      </c>
      <c r="L9672">
        <v>-62.279110000000003</v>
      </c>
      <c r="M9672">
        <v>0.99981260000000005</v>
      </c>
      <c r="N9672">
        <v>0</v>
      </c>
      <c r="O9672">
        <v>1.61339E-2</v>
      </c>
      <c r="P9672">
        <v>0.99971860000000001</v>
      </c>
      <c r="Q9672">
        <v>1.403744E-2</v>
      </c>
      <c r="R9672">
        <v>1.9122380000000001E-2</v>
      </c>
      <c r="S9672">
        <v>3.008057</v>
      </c>
      <c r="T9672">
        <v>-0.12593669999999901</v>
      </c>
      <c r="U9672">
        <v>-0.30035400000000001</v>
      </c>
      <c r="V9672">
        <v>-3.0148929999999998E-3</v>
      </c>
      <c r="W9672">
        <v>2.4731320000000001E-2</v>
      </c>
      <c r="X9672">
        <v>0.99968959999999996</v>
      </c>
      <c r="Y9672">
        <v>0.11528380000000001</v>
      </c>
      <c r="Z9672">
        <v>-3.079886E-3</v>
      </c>
      <c r="AA9672">
        <v>0.99332779999999998</v>
      </c>
      <c r="AB9672">
        <v>30</v>
      </c>
      <c r="AC9672">
        <v>26.371099999999899</v>
      </c>
      <c r="AD9672">
        <v>-1.1103913055229999</v>
      </c>
      <c r="AE9672">
        <v>-2.6509399999999901</v>
      </c>
      <c r="AF9672">
        <v>3.07069823750449</v>
      </c>
      <c r="AG9672">
        <v>-1.1103913055229999</v>
      </c>
      <c r="AH9672">
        <v>26.278769946883202</v>
      </c>
      <c r="AI9672">
        <v>92.4032223965974</v>
      </c>
      <c r="AJ9672">
        <v>83.335160444540904</v>
      </c>
      <c r="AK9672">
        <v>26.480859246603099</v>
      </c>
      <c r="AL9672">
        <v>88.5828552709539</v>
      </c>
      <c r="AM9672">
        <v>90.1727937560632</v>
      </c>
      <c r="AN9672">
        <v>1.00000001205845</v>
      </c>
    </row>
    <row r="9673" spans="1:40" x14ac:dyDescent="0.25">
      <c r="A9673" t="str">
        <f>"20190312150912643"</f>
        <v>20190312150912643</v>
      </c>
      <c r="B9673" t="str">
        <f>"1552374552638905"</f>
        <v>1552374552638905</v>
      </c>
      <c r="C9673" t="s">
        <v>40</v>
      </c>
      <c r="D9673">
        <v>4.4388500000000004</v>
      </c>
      <c r="E9673">
        <v>0.54538819999999999</v>
      </c>
      <c r="F9673" t="s">
        <v>89</v>
      </c>
      <c r="G9673">
        <v>-221.5831</v>
      </c>
      <c r="H9673" s="1">
        <v>-8.2648529999999998E-7</v>
      </c>
      <c r="I9673">
        <v>-65.012500000000003</v>
      </c>
      <c r="J9673">
        <v>-248.96100000000001</v>
      </c>
      <c r="K9673">
        <v>1.1103889999999901</v>
      </c>
      <c r="L9673">
        <v>-62.276400000000002</v>
      </c>
      <c r="M9673">
        <v>0.99980809999999998</v>
      </c>
      <c r="N9673">
        <v>0</v>
      </c>
      <c r="O9673">
        <v>1.640672E-2</v>
      </c>
      <c r="P9673">
        <v>0.99970709999999996</v>
      </c>
      <c r="Q9673">
        <v>1.400643E-2</v>
      </c>
      <c r="R9673">
        <v>1.9741539999999998E-2</v>
      </c>
      <c r="S9673">
        <v>3.0082399999999998</v>
      </c>
      <c r="T9673">
        <v>-0.121332</v>
      </c>
      <c r="U9673">
        <v>-0.29867549999999998</v>
      </c>
      <c r="V9673">
        <v>-3.3614489999999999E-3</v>
      </c>
      <c r="W9673">
        <v>2.4703679999999999E-2</v>
      </c>
      <c r="X9673">
        <v>0.99968919999999994</v>
      </c>
      <c r="Y9673">
        <v>0.11500829999999999</v>
      </c>
      <c r="Z9673">
        <v>-2.9727040000000001E-3</v>
      </c>
      <c r="AA9673">
        <v>0.99336009999999997</v>
      </c>
      <c r="AB9673">
        <v>30</v>
      </c>
      <c r="AC9673">
        <v>27.377899999999901</v>
      </c>
      <c r="AD9673">
        <v>-1.1103898264852901</v>
      </c>
      <c r="AE9673">
        <v>-2.7361</v>
      </c>
      <c r="AF9673">
        <v>3.1797601585097</v>
      </c>
      <c r="AG9673">
        <v>-1.1103898264852901</v>
      </c>
      <c r="AH9673">
        <v>27.284883306849299</v>
      </c>
      <c r="AI9673">
        <v>92.3147831559005</v>
      </c>
      <c r="AJ9673">
        <v>83.352776797831396</v>
      </c>
      <c r="AK9673">
        <v>27.491975143681302</v>
      </c>
      <c r="AL9673">
        <v>88.584439441156206</v>
      </c>
      <c r="AM9673">
        <v>90.192655992379002</v>
      </c>
      <c r="AN9673">
        <v>1.00000003387078</v>
      </c>
    </row>
    <row r="9674" spans="1:40" x14ac:dyDescent="0.25">
      <c r="A9674" t="str">
        <f>"20190312150912655"</f>
        <v>20190312150912655</v>
      </c>
      <c r="B9674" t="str">
        <f>"1552374552648664"</f>
        <v>1552374552648664</v>
      </c>
      <c r="C9674" t="s">
        <v>40</v>
      </c>
      <c r="D9674">
        <v>4.4673679999999996</v>
      </c>
      <c r="E9674">
        <v>0.54537429999999998</v>
      </c>
      <c r="F9674" t="s">
        <v>89</v>
      </c>
      <c r="G9674">
        <v>-221.10210000000001</v>
      </c>
      <c r="H9674" s="1">
        <v>-6.2347499999999999E-7</v>
      </c>
      <c r="I9674">
        <v>-65.027529999999999</v>
      </c>
      <c r="J9674">
        <v>-248.81209999999999</v>
      </c>
      <c r="K9674">
        <v>1.1103879999999999</v>
      </c>
      <c r="L9674">
        <v>-62.273679999999999</v>
      </c>
      <c r="M9674">
        <v>0.99980369999999996</v>
      </c>
      <c r="N9674">
        <v>0</v>
      </c>
      <c r="O9674">
        <v>1.667049E-2</v>
      </c>
      <c r="P9674">
        <v>0.99968959999999996</v>
      </c>
      <c r="Q9674">
        <v>1.433181E-2</v>
      </c>
      <c r="R9674">
        <v>2.037982E-2</v>
      </c>
      <c r="S9674">
        <v>3.0084230000000001</v>
      </c>
      <c r="T9674">
        <v>-0.11990869999999999</v>
      </c>
      <c r="U9674">
        <v>-0.29708859999999998</v>
      </c>
      <c r="V9674">
        <v>-3.7365720000000001E-3</v>
      </c>
      <c r="W9674">
        <v>2.5032120000000001E-2</v>
      </c>
      <c r="X9674">
        <v>0.99967969999999895</v>
      </c>
      <c r="Y9674">
        <v>0.114748</v>
      </c>
      <c r="Z9674">
        <v>-2.9430699999999999E-3</v>
      </c>
      <c r="AA9674">
        <v>0.99339029999999995</v>
      </c>
      <c r="AB9674">
        <v>30</v>
      </c>
      <c r="AC9674">
        <v>27.709999999999901</v>
      </c>
      <c r="AD9674">
        <v>-1.110388623475</v>
      </c>
      <c r="AE9674">
        <v>-2.7538499999999901</v>
      </c>
      <c r="AF9674">
        <v>3.2103284794418099</v>
      </c>
      <c r="AG9674">
        <v>-1.110388623475</v>
      </c>
      <c r="AH9674">
        <v>27.616327127827699</v>
      </c>
      <c r="AI9674">
        <v>92.287105499443499</v>
      </c>
      <c r="AJ9674">
        <v>83.369271115979799</v>
      </c>
      <c r="AK9674">
        <v>27.82446218478</v>
      </c>
      <c r="AL9674">
        <v>88.565615397236897</v>
      </c>
      <c r="AM9674">
        <v>90.214157403060895</v>
      </c>
      <c r="AN9674">
        <v>1.00000003579704</v>
      </c>
    </row>
    <row r="9675" spans="1:40" x14ac:dyDescent="0.25">
      <c r="A9675" t="str">
        <f>"20190312150912666"</f>
        <v>20190312150912666</v>
      </c>
      <c r="B9675" t="str">
        <f>"1552374552659400"</f>
        <v>1552374552659400</v>
      </c>
      <c r="C9675" t="s">
        <v>40</v>
      </c>
      <c r="D9675">
        <v>4.8089079999999997</v>
      </c>
      <c r="E9675">
        <v>0.54537769999999997</v>
      </c>
      <c r="F9675" t="s">
        <v>89</v>
      </c>
      <c r="G9675">
        <v>-220.45240000000001</v>
      </c>
      <c r="H9675" s="1">
        <v>-3.50875E-7</v>
      </c>
      <c r="I9675">
        <v>-65.055070000000001</v>
      </c>
      <c r="J9675">
        <v>-248.66730000000001</v>
      </c>
      <c r="K9675">
        <v>1.110392</v>
      </c>
      <c r="L9675">
        <v>-62.271030000000003</v>
      </c>
      <c r="M9675">
        <v>0.99979949999999995</v>
      </c>
      <c r="N9675">
        <v>0</v>
      </c>
      <c r="O9675">
        <v>1.6926199999999999E-2</v>
      </c>
      <c r="P9675">
        <v>0.99967209999999995</v>
      </c>
      <c r="Q9675">
        <v>1.442854E-2</v>
      </c>
      <c r="R9675">
        <v>2.116082E-2</v>
      </c>
      <c r="S9675">
        <v>3.0086520000000001</v>
      </c>
      <c r="T9675">
        <v>-0.11779969999999999</v>
      </c>
      <c r="U9675">
        <v>-0.29507450000000002</v>
      </c>
      <c r="V9675">
        <v>-4.2618680000000003E-3</v>
      </c>
      <c r="W9675">
        <v>2.5131750000000001E-2</v>
      </c>
      <c r="X9675">
        <v>0.99967499999999998</v>
      </c>
      <c r="Y9675">
        <v>0.1143397</v>
      </c>
      <c r="Z9675">
        <v>-2.8932379999999998E-3</v>
      </c>
      <c r="AA9675">
        <v>0.99343749999999997</v>
      </c>
      <c r="AB9675">
        <v>30</v>
      </c>
      <c r="AC9675">
        <v>28.2149</v>
      </c>
      <c r="AD9675">
        <v>-1.110392350875</v>
      </c>
      <c r="AE9675">
        <v>-2.7840399999999899</v>
      </c>
      <c r="AF9675">
        <v>3.2562448432042199</v>
      </c>
      <c r="AG9675">
        <v>-1.110392350875</v>
      </c>
      <c r="AH9675">
        <v>28.120598321691102</v>
      </c>
      <c r="AI9675">
        <v>92.246258070059895</v>
      </c>
      <c r="AJ9675">
        <v>83.394811524239401</v>
      </c>
      <c r="AK9675">
        <v>28.330269176653999</v>
      </c>
      <c r="AL9675">
        <v>88.559905080192493</v>
      </c>
      <c r="AM9675">
        <v>90.244264955975197</v>
      </c>
      <c r="AN9675">
        <v>0.99999993700095302</v>
      </c>
    </row>
    <row r="9676" spans="1:40" x14ac:dyDescent="0.25">
      <c r="A9676" t="str">
        <f>"20190312150912676"</f>
        <v>20190312150912676</v>
      </c>
      <c r="B9676" t="str">
        <f>"1552374552669160"</f>
        <v>1552374552669160</v>
      </c>
      <c r="C9676" t="s">
        <v>40</v>
      </c>
      <c r="D9676">
        <v>4.4603080000000004</v>
      </c>
      <c r="E9676">
        <v>0.54544720000000002</v>
      </c>
      <c r="F9676" t="s">
        <v>90</v>
      </c>
      <c r="G9676">
        <v>-219.77269999999999</v>
      </c>
      <c r="H9676" s="1">
        <v>-4.0190610000000002E-6</v>
      </c>
      <c r="I9676">
        <v>-65.083529999999996</v>
      </c>
      <c r="J9676">
        <v>-248.51830000000001</v>
      </c>
      <c r="K9676">
        <v>1.1103889999999901</v>
      </c>
      <c r="L9676">
        <v>-62.2682199999999</v>
      </c>
      <c r="M9676">
        <v>0.99979499999999999</v>
      </c>
      <c r="N9676">
        <v>0</v>
      </c>
      <c r="O9676">
        <v>1.7185229999999999E-2</v>
      </c>
      <c r="P9676">
        <v>0.99965020000000004</v>
      </c>
      <c r="Q9676">
        <v>1.443205E-2</v>
      </c>
      <c r="R9676">
        <v>2.2164659999999999E-2</v>
      </c>
      <c r="S9676">
        <v>3.0088499999999998</v>
      </c>
      <c r="T9676">
        <v>-0.11562749999999999</v>
      </c>
      <c r="U9676">
        <v>-0.2928772</v>
      </c>
      <c r="V9676">
        <v>-5.0064419999999998E-3</v>
      </c>
      <c r="W9676">
        <v>2.5137940000000001E-2</v>
      </c>
      <c r="X9676">
        <v>0.99967150000000005</v>
      </c>
      <c r="Y9676">
        <v>0.1138759</v>
      </c>
      <c r="Z9676">
        <v>-2.840885E-3</v>
      </c>
      <c r="AA9676">
        <v>0.99349089999999995</v>
      </c>
      <c r="AB9676">
        <v>30</v>
      </c>
      <c r="AC9676">
        <v>28.7456</v>
      </c>
      <c r="AD9676">
        <v>-1.1103930190610001</v>
      </c>
      <c r="AE9676">
        <v>-2.81531000000001</v>
      </c>
      <c r="AF9676">
        <v>3.30403899724738</v>
      </c>
      <c r="AG9676">
        <v>-1.1103930190610001</v>
      </c>
      <c r="AH9676">
        <v>28.650625244018698</v>
      </c>
      <c r="AI9676">
        <v>92.204864833133001</v>
      </c>
      <c r="AJ9676">
        <v>83.421612423039207</v>
      </c>
      <c r="AK9676">
        <v>28.861877506934899</v>
      </c>
      <c r="AL9676">
        <v>88.559550461659697</v>
      </c>
      <c r="AM9676">
        <v>90.286939858617799</v>
      </c>
      <c r="AN9676">
        <v>1.0000000442005901</v>
      </c>
    </row>
    <row r="9677" spans="1:40" x14ac:dyDescent="0.25">
      <c r="A9677" t="str">
        <f>"20190312150912688"</f>
        <v>20190312150912688</v>
      </c>
      <c r="B9677" t="str">
        <f>"1552374552678921"</f>
        <v>1552374552678921</v>
      </c>
      <c r="C9677" t="s">
        <v>40</v>
      </c>
      <c r="D9677">
        <v>4.4614739999999999</v>
      </c>
      <c r="E9677">
        <v>0.5455139</v>
      </c>
      <c r="F9677" t="s">
        <v>90</v>
      </c>
      <c r="G9677">
        <v>-219.2646</v>
      </c>
      <c r="H9677" s="1">
        <v>-3.8476389999999901E-6</v>
      </c>
      <c r="I9677">
        <v>-65.09196</v>
      </c>
      <c r="J9677">
        <v>-248.3638</v>
      </c>
      <c r="K9677">
        <v>1.1103860000000001</v>
      </c>
      <c r="L9677">
        <v>-62.26529</v>
      </c>
      <c r="M9677">
        <v>0.99979030000000002</v>
      </c>
      <c r="N9677">
        <v>0</v>
      </c>
      <c r="O9677">
        <v>1.7451350000000001E-2</v>
      </c>
      <c r="P9677">
        <v>0.99963449999999998</v>
      </c>
      <c r="Q9677">
        <v>1.457845E-2</v>
      </c>
      <c r="R9677">
        <v>2.2770889999999998E-2</v>
      </c>
      <c r="S9677">
        <v>3.0091399999999999</v>
      </c>
      <c r="T9677">
        <v>-0.114219</v>
      </c>
      <c r="U9677">
        <v>-0.29046630000000001</v>
      </c>
      <c r="V9677">
        <v>-5.3462960000000004E-3</v>
      </c>
      <c r="W9677">
        <v>2.528762E-2</v>
      </c>
      <c r="X9677">
        <v>0.9996659</v>
      </c>
      <c r="Y9677">
        <v>0.113345</v>
      </c>
      <c r="Z9677">
        <v>-2.8061700000000002E-3</v>
      </c>
      <c r="AA9677">
        <v>0.99355170000000004</v>
      </c>
      <c r="AB9677">
        <v>30</v>
      </c>
      <c r="AC9677">
        <v>29.0992</v>
      </c>
      <c r="AD9677">
        <v>-1.1103898476389999</v>
      </c>
      <c r="AE9677">
        <v>-2.82667</v>
      </c>
      <c r="AF9677">
        <v>3.32928653183302</v>
      </c>
      <c r="AG9677">
        <v>-1.1103898476389999</v>
      </c>
      <c r="AH9677">
        <v>29.003598901428699</v>
      </c>
      <c r="AI9677">
        <v>92.178183118182702</v>
      </c>
      <c r="AJ9677">
        <v>83.451750283024197</v>
      </c>
      <c r="AK9677">
        <v>29.215164960337599</v>
      </c>
      <c r="AL9677">
        <v>88.550971608297203</v>
      </c>
      <c r="AM9677">
        <v>90.3064196512275</v>
      </c>
      <c r="AN9677">
        <v>0.99999997911449601</v>
      </c>
    </row>
    <row r="9678" spans="1:40" x14ac:dyDescent="0.25">
      <c r="A9678" t="str">
        <f>"20190312150912698"</f>
        <v>20190312150912698</v>
      </c>
      <c r="B9678" t="str">
        <f>"1552374552688681"</f>
        <v>1552374552688681</v>
      </c>
      <c r="C9678" t="s">
        <v>40</v>
      </c>
      <c r="D9678">
        <v>4.4895009999999997</v>
      </c>
      <c r="E9678">
        <v>0.54555379999999998</v>
      </c>
      <c r="F9678" t="s">
        <v>90</v>
      </c>
      <c r="G9678">
        <v>-219.11709999999999</v>
      </c>
      <c r="H9678" s="1">
        <v>-3.7945729999999999E-6</v>
      </c>
      <c r="I9678">
        <v>-65.075699999999998</v>
      </c>
      <c r="J9678">
        <v>-248.2234</v>
      </c>
      <c r="K9678">
        <v>1.110385</v>
      </c>
      <c r="L9678">
        <v>-62.262599999999999</v>
      </c>
      <c r="M9678">
        <v>0.99978610000000001</v>
      </c>
      <c r="N9678">
        <v>0</v>
      </c>
      <c r="O9678">
        <v>1.768958E-2</v>
      </c>
      <c r="P9678">
        <v>0.99961250000000001</v>
      </c>
      <c r="Q9678">
        <v>1.478149E-2</v>
      </c>
      <c r="R9678">
        <v>2.3593820000000001E-2</v>
      </c>
      <c r="S9678">
        <v>3.0093540000000001</v>
      </c>
      <c r="T9678">
        <v>-0.11425390000000001</v>
      </c>
      <c r="U9678">
        <v>-0.28918460000000001</v>
      </c>
      <c r="V9678">
        <v>-5.9316239999999999E-3</v>
      </c>
      <c r="W9678">
        <v>2.549355E-2</v>
      </c>
      <c r="X9678">
        <v>0.99965740000000003</v>
      </c>
      <c r="Y9678">
        <v>0.1131557</v>
      </c>
      <c r="Z9678">
        <v>-2.8123240000000002E-3</v>
      </c>
      <c r="AA9678">
        <v>0.99357329999999999</v>
      </c>
      <c r="AB9678">
        <v>30</v>
      </c>
      <c r="AC9678">
        <v>29.106300000000001</v>
      </c>
      <c r="AD9678">
        <v>-1.110388794573</v>
      </c>
      <c r="AE9678">
        <v>-2.8130999999999902</v>
      </c>
      <c r="AF9678">
        <v>3.3227764180324901</v>
      </c>
      <c r="AG9678">
        <v>-1.110388794573</v>
      </c>
      <c r="AH9678">
        <v>29.0101496869095</v>
      </c>
      <c r="AI9678">
        <v>92.177751310485704</v>
      </c>
      <c r="AJ9678">
        <v>83.465906927501706</v>
      </c>
      <c r="AK9678">
        <v>29.2209272826213</v>
      </c>
      <c r="AL9678">
        <v>88.539168930089502</v>
      </c>
      <c r="AM9678">
        <v>90.339969505901294</v>
      </c>
      <c r="AN9678">
        <v>1.00000001131482</v>
      </c>
    </row>
    <row r="9679" spans="1:40" x14ac:dyDescent="0.25">
      <c r="A9679" t="str">
        <f>"20190312150912710"</f>
        <v>20190312150912710</v>
      </c>
      <c r="B9679" t="str">
        <f>"1552374552699417"</f>
        <v>1552374552699417</v>
      </c>
      <c r="C9679" t="s">
        <v>40</v>
      </c>
      <c r="D9679">
        <v>4.6824529999999998</v>
      </c>
      <c r="E9679">
        <v>0.54578519999999997</v>
      </c>
      <c r="F9679" t="s">
        <v>90</v>
      </c>
      <c r="G9679">
        <v>-219.02610000000001</v>
      </c>
      <c r="H9679" s="1">
        <v>-3.7585749999999998E-6</v>
      </c>
      <c r="I9679">
        <v>-65.047300000000007</v>
      </c>
      <c r="J9679">
        <v>-248.07490000000001</v>
      </c>
      <c r="K9679">
        <v>1.1103799999999999</v>
      </c>
      <c r="L9679">
        <v>-62.259700000000002</v>
      </c>
      <c r="M9679">
        <v>0.99978160000000005</v>
      </c>
      <c r="N9679">
        <v>0</v>
      </c>
      <c r="O9679">
        <v>1.7937560000000002E-2</v>
      </c>
      <c r="P9679">
        <v>0.99959120000000001</v>
      </c>
      <c r="Q9679">
        <v>1.472065E-2</v>
      </c>
      <c r="R9679">
        <v>2.4513630000000002E-2</v>
      </c>
      <c r="S9679">
        <v>3.0096129999999999</v>
      </c>
      <c r="T9679">
        <v>-0.114457</v>
      </c>
      <c r="U9679">
        <v>-0.28704829999999998</v>
      </c>
      <c r="V9679">
        <v>-6.603266E-3</v>
      </c>
      <c r="W9679">
        <v>2.5435389999999999E-2</v>
      </c>
      <c r="X9679">
        <v>0.99965470000000001</v>
      </c>
      <c r="Y9679">
        <v>0.1126949</v>
      </c>
      <c r="Z9679">
        <v>-2.8178439999999999E-3</v>
      </c>
      <c r="AA9679">
        <v>0.9936256</v>
      </c>
      <c r="AB9679">
        <v>30</v>
      </c>
      <c r="AC9679">
        <v>29.0488</v>
      </c>
      <c r="AD9679">
        <v>-1.1103837585749901</v>
      </c>
      <c r="AE9679">
        <v>-2.7875999999999999</v>
      </c>
      <c r="AF9679">
        <v>3.30346324825905</v>
      </c>
      <c r="AG9679">
        <v>-1.1103837585749901</v>
      </c>
      <c r="AH9679">
        <v>28.952203136761</v>
      </c>
      <c r="AI9679">
        <v>92.182203594934407</v>
      </c>
      <c r="AJ9679">
        <v>83.490668968045</v>
      </c>
      <c r="AK9679">
        <v>29.161205187649202</v>
      </c>
      <c r="AL9679">
        <v>88.542502376370294</v>
      </c>
      <c r="AM9679">
        <v>90.378464453998205</v>
      </c>
      <c r="AN9679">
        <v>1.0000000407092</v>
      </c>
    </row>
    <row r="9680" spans="1:40" x14ac:dyDescent="0.25">
      <c r="A9680" t="str">
        <f>"20190312150912720"</f>
        <v>20190312150912720</v>
      </c>
      <c r="B9680" t="str">
        <f>"1552374552709177"</f>
        <v>1552374552709177</v>
      </c>
      <c r="C9680" t="s">
        <v>40</v>
      </c>
      <c r="D9680">
        <v>4.4701209999999998</v>
      </c>
      <c r="E9680">
        <v>0.54587410000000003</v>
      </c>
      <c r="F9680" t="s">
        <v>90</v>
      </c>
      <c r="G9680">
        <v>-219.21170000000001</v>
      </c>
      <c r="H9680" s="1">
        <v>-3.813829E-6</v>
      </c>
      <c r="I9680">
        <v>-65.002849999999995</v>
      </c>
      <c r="J9680">
        <v>-247.92660000000001</v>
      </c>
      <c r="K9680">
        <v>1.1103730000000001</v>
      </c>
      <c r="L9680">
        <v>-62.256810000000002</v>
      </c>
      <c r="M9680">
        <v>0.99977729999999998</v>
      </c>
      <c r="N9680">
        <v>0</v>
      </c>
      <c r="O9680">
        <v>1.818088E-2</v>
      </c>
      <c r="P9680">
        <v>0.99956820000000002</v>
      </c>
      <c r="Q9680">
        <v>1.501943E-2</v>
      </c>
      <c r="R9680">
        <v>2.5264459999999999E-2</v>
      </c>
      <c r="S9680">
        <v>3.009979</v>
      </c>
      <c r="T9680">
        <v>-0.11579540000000001</v>
      </c>
      <c r="U9680">
        <v>-0.28607179999999999</v>
      </c>
      <c r="V9680">
        <v>-7.1108660000000004E-3</v>
      </c>
      <c r="W9680">
        <v>2.5736660000000001E-2</v>
      </c>
      <c r="X9680">
        <v>0.99964339999999996</v>
      </c>
      <c r="Y9680">
        <v>0.1126036</v>
      </c>
      <c r="Z9680">
        <v>-2.8580559999999999E-3</v>
      </c>
      <c r="AA9680">
        <v>0.99363590000000002</v>
      </c>
      <c r="AB9680">
        <v>30</v>
      </c>
      <c r="AC9680">
        <v>28.7149</v>
      </c>
      <c r="AD9680">
        <v>-1.110376813829</v>
      </c>
      <c r="AE9680">
        <v>-2.7460399999999998</v>
      </c>
      <c r="AF9680">
        <v>3.2628434973582698</v>
      </c>
      <c r="AG9680">
        <v>-1.110376813829</v>
      </c>
      <c r="AH9680">
        <v>28.6178207859768</v>
      </c>
      <c r="AI9680">
        <v>92.207683881014006</v>
      </c>
      <c r="AJ9680">
        <v>83.495543793765293</v>
      </c>
      <c r="AK9680">
        <v>28.8246205681051</v>
      </c>
      <c r="AL9680">
        <v>88.525235066703004</v>
      </c>
      <c r="AM9680">
        <v>90.407561075042096</v>
      </c>
      <c r="AN9680">
        <v>0.99999993362339001</v>
      </c>
    </row>
    <row r="9681" spans="1:40" x14ac:dyDescent="0.25">
      <c r="A9681" t="str">
        <f>"20190312150912732"</f>
        <v>20190312150912732</v>
      </c>
      <c r="B9681" t="str">
        <f>"1552374552728696"</f>
        <v>1552374552728696</v>
      </c>
      <c r="C9681" t="s">
        <v>40</v>
      </c>
      <c r="D9681">
        <v>4.4977260000000001</v>
      </c>
      <c r="E9681">
        <v>0.54595249999999995</v>
      </c>
      <c r="F9681" t="s">
        <v>90</v>
      </c>
      <c r="G9681">
        <v>-219.03229999999999</v>
      </c>
      <c r="H9681" s="1">
        <v>-3.750164E-6</v>
      </c>
      <c r="I9681">
        <v>-64.988019999999906</v>
      </c>
      <c r="J9681">
        <v>-247.7765</v>
      </c>
      <c r="K9681">
        <v>1.110366</v>
      </c>
      <c r="L9681">
        <v>-62.253810000000001</v>
      </c>
      <c r="M9681">
        <v>0.99977280000000002</v>
      </c>
      <c r="N9681">
        <v>0</v>
      </c>
      <c r="O9681">
        <v>1.8418629999999998E-2</v>
      </c>
      <c r="P9681">
        <v>0.99954889999999996</v>
      </c>
      <c r="Q9681">
        <v>1.509126E-2</v>
      </c>
      <c r="R9681">
        <v>2.5971190000000002E-2</v>
      </c>
      <c r="S9681">
        <v>3.0102229999999999</v>
      </c>
      <c r="T9681">
        <v>-0.1156798</v>
      </c>
      <c r="U9681">
        <v>-0.28454590000000002</v>
      </c>
      <c r="V9681">
        <v>-7.5794139999999996E-3</v>
      </c>
      <c r="W9681">
        <v>2.581197E-2</v>
      </c>
      <c r="X9681">
        <v>0.99963809999999997</v>
      </c>
      <c r="Y9681">
        <v>0.1123333</v>
      </c>
      <c r="Z9681">
        <v>-2.8589779999999999E-3</v>
      </c>
      <c r="AA9681">
        <v>0.99366650000000001</v>
      </c>
      <c r="AB9681">
        <v>30</v>
      </c>
      <c r="AC9681">
        <v>28.744199999999999</v>
      </c>
      <c r="AD9681">
        <v>-1.110369750164</v>
      </c>
      <c r="AE9681">
        <v>-2.7342099999999898</v>
      </c>
      <c r="AF9681">
        <v>3.25838672752672</v>
      </c>
      <c r="AG9681">
        <v>-1.110369750164</v>
      </c>
      <c r="AH9681">
        <v>28.646596151514501</v>
      </c>
      <c r="AI9681">
        <v>92.205521352789404</v>
      </c>
      <c r="AJ9681">
        <v>83.510821514698407</v>
      </c>
      <c r="AK9681">
        <v>28.852685769546099</v>
      </c>
      <c r="AL9681">
        <v>88.520918812340895</v>
      </c>
      <c r="AM9681">
        <v>90.434417327396801</v>
      </c>
      <c r="AN9681">
        <v>1.0000000181417299</v>
      </c>
    </row>
    <row r="9682" spans="1:40" x14ac:dyDescent="0.25">
      <c r="A9682" t="str">
        <f>"20190312150912743"</f>
        <v>20190312150912743</v>
      </c>
      <c r="B9682" t="str">
        <f>"1552374552739433"</f>
        <v>1552374552739433</v>
      </c>
      <c r="C9682" t="s">
        <v>40</v>
      </c>
      <c r="D9682">
        <v>4.4960800000000001</v>
      </c>
      <c r="E9682">
        <v>0.5460024</v>
      </c>
      <c r="F9682" t="s">
        <v>90</v>
      </c>
      <c r="G9682">
        <v>-218.98410000000001</v>
      </c>
      <c r="H9682" s="1">
        <v>-3.728893E-6</v>
      </c>
      <c r="I9682">
        <v>-64.960569999999905</v>
      </c>
      <c r="J9682">
        <v>-247.6217</v>
      </c>
      <c r="K9682">
        <v>1.110355</v>
      </c>
      <c r="L9682">
        <v>-62.250729999999997</v>
      </c>
      <c r="M9682">
        <v>0.9997684</v>
      </c>
      <c r="N9682">
        <v>0</v>
      </c>
      <c r="O9682">
        <v>1.866013E-2</v>
      </c>
      <c r="P9682">
        <v>0.99953159999999996</v>
      </c>
      <c r="Q9682">
        <v>1.499382E-2</v>
      </c>
      <c r="R9682">
        <v>2.668394E-2</v>
      </c>
      <c r="S9682">
        <v>3.0104829999999998</v>
      </c>
      <c r="T9682">
        <v>-0.1160982</v>
      </c>
      <c r="U9682">
        <v>-0.28301999999999999</v>
      </c>
      <c r="V9682">
        <v>-8.0503769999999992E-3</v>
      </c>
      <c r="W9682">
        <v>2.5717589999999999E-2</v>
      </c>
      <c r="X9682">
        <v>0.99963679999999999</v>
      </c>
      <c r="Y9682">
        <v>0.1120654</v>
      </c>
      <c r="Z9682">
        <v>-2.8732720000000001E-3</v>
      </c>
      <c r="AA9682">
        <v>0.99369669999999999</v>
      </c>
      <c r="AB9682">
        <v>30</v>
      </c>
      <c r="AC9682">
        <v>28.6375999999999</v>
      </c>
      <c r="AD9682">
        <v>-1.1103587288929999</v>
      </c>
      <c r="AE9682">
        <v>-2.7098399999999798</v>
      </c>
      <c r="AF9682">
        <v>3.2389541801356598</v>
      </c>
      <c r="AG9682">
        <v>-1.1103587288929999</v>
      </c>
      <c r="AH9682">
        <v>28.539520834391499</v>
      </c>
      <c r="AI9682">
        <v>92.213828963779605</v>
      </c>
      <c r="AJ9682">
        <v>83.525197701403897</v>
      </c>
      <c r="AK9682">
        <v>28.744181500688399</v>
      </c>
      <c r="AL9682">
        <v>88.526328108943105</v>
      </c>
      <c r="AM9682">
        <v>90.461410238559395</v>
      </c>
      <c r="AN9682">
        <v>0.99999996745974395</v>
      </c>
    </row>
    <row r="9683" spans="1:40" x14ac:dyDescent="0.25">
      <c r="A9683" t="str">
        <f>"20190312150912755"</f>
        <v>20190312150912755</v>
      </c>
      <c r="B9683" t="str">
        <f>"1552374552749192"</f>
        <v>1552374552749192</v>
      </c>
      <c r="C9683" t="s">
        <v>40</v>
      </c>
      <c r="D9683">
        <v>4.5051809999999897</v>
      </c>
      <c r="E9683">
        <v>0.54605630000000005</v>
      </c>
      <c r="F9683" t="s">
        <v>90</v>
      </c>
      <c r="G9683">
        <v>-219.06319999999999</v>
      </c>
      <c r="H9683" s="1">
        <v>-3.748395E-6</v>
      </c>
      <c r="I9683">
        <v>-64.91883</v>
      </c>
      <c r="J9683">
        <v>-247.4726</v>
      </c>
      <c r="K9683">
        <v>1.110344</v>
      </c>
      <c r="L9683">
        <v>-62.24774</v>
      </c>
      <c r="M9683">
        <v>0.99976410000000004</v>
      </c>
      <c r="N9683">
        <v>0</v>
      </c>
      <c r="O9683">
        <v>1.887842E-2</v>
      </c>
      <c r="P9683">
        <v>0.99950589999999995</v>
      </c>
      <c r="Q9683">
        <v>1.504465E-2</v>
      </c>
      <c r="R9683">
        <v>2.760203E-2</v>
      </c>
      <c r="S9683">
        <v>3.0106809999999999</v>
      </c>
      <c r="T9683">
        <v>-0.1170557</v>
      </c>
      <c r="U9683">
        <v>-0.28128049999999999</v>
      </c>
      <c r="V9683">
        <v>-8.7496299999999996E-3</v>
      </c>
      <c r="W9683">
        <v>2.5770970000000001E-2</v>
      </c>
      <c r="X9683">
        <v>0.99962960000000001</v>
      </c>
      <c r="Y9683">
        <v>0.1117057</v>
      </c>
      <c r="Z9683">
        <v>-2.8983310000000001E-3</v>
      </c>
      <c r="AA9683">
        <v>0.99373710000000004</v>
      </c>
      <c r="AB9683">
        <v>30</v>
      </c>
      <c r="AC9683">
        <v>28.409400000000002</v>
      </c>
      <c r="AD9683">
        <v>-1.1103477483949999</v>
      </c>
      <c r="AE9683">
        <v>-2.6710899999999902</v>
      </c>
      <c r="AF9683">
        <v>3.20212092005149</v>
      </c>
      <c r="AG9683">
        <v>-1.1103477483949999</v>
      </c>
      <c r="AH9683">
        <v>28.311040188002298</v>
      </c>
      <c r="AI9683">
        <v>92.231751392319495</v>
      </c>
      <c r="AJ9683">
        <v>83.5469834223546</v>
      </c>
      <c r="AK9683">
        <v>28.513180233633701</v>
      </c>
      <c r="AL9683">
        <v>88.5232687208443</v>
      </c>
      <c r="AM9683">
        <v>90.501489821294697</v>
      </c>
      <c r="AN9683">
        <v>1.00000001805801</v>
      </c>
    </row>
    <row r="9684" spans="1:40" x14ac:dyDescent="0.25">
      <c r="A9684" t="str">
        <f>"20190312150912765"</f>
        <v>20190312150912765</v>
      </c>
      <c r="B9684" t="str">
        <f>"1552374552758953"</f>
        <v>1552374552758953</v>
      </c>
      <c r="C9684" t="s">
        <v>40</v>
      </c>
      <c r="D9684">
        <v>4.4866720000000004</v>
      </c>
      <c r="E9684">
        <v>0.54611829999999995</v>
      </c>
      <c r="F9684" t="s">
        <v>90</v>
      </c>
      <c r="G9684">
        <v>-218.9736</v>
      </c>
      <c r="H9684" s="1">
        <v>-3.7125079999999998E-6</v>
      </c>
      <c r="I9684">
        <v>-64.888369999999995</v>
      </c>
      <c r="J9684">
        <v>-247.32650000000001</v>
      </c>
      <c r="K9684">
        <v>1.110328</v>
      </c>
      <c r="L9684">
        <v>-62.244750000000003</v>
      </c>
      <c r="M9684">
        <v>0.99976019999999999</v>
      </c>
      <c r="N9684">
        <v>0</v>
      </c>
      <c r="O9684">
        <v>1.9089129999999999E-2</v>
      </c>
      <c r="P9684">
        <v>0.9994845</v>
      </c>
      <c r="Q9684">
        <v>1.5145169999999999E-2</v>
      </c>
      <c r="R9684">
        <v>2.8310229999999999E-2</v>
      </c>
      <c r="S9684">
        <v>3.0109560000000002</v>
      </c>
      <c r="T9684">
        <v>-0.1173095</v>
      </c>
      <c r="U9684">
        <v>-0.27899170000000001</v>
      </c>
      <c r="V9684">
        <v>-9.2462849999999999E-3</v>
      </c>
      <c r="W9684">
        <v>2.5873940000000002E-2</v>
      </c>
      <c r="X9684">
        <v>0.99962249999999997</v>
      </c>
      <c r="Y9684">
        <v>0.1111576</v>
      </c>
      <c r="Z9684">
        <v>-2.9019889999999998E-3</v>
      </c>
      <c r="AA9684">
        <v>0.99379859999999998</v>
      </c>
      <c r="AB9684">
        <v>30</v>
      </c>
      <c r="AC9684">
        <v>28.352900000000002</v>
      </c>
      <c r="AD9684">
        <v>-1.1103317125079999</v>
      </c>
      <c r="AE9684">
        <v>-2.6436199999999901</v>
      </c>
      <c r="AF9684">
        <v>3.1795674568486398</v>
      </c>
      <c r="AG9684">
        <v>-1.1103317125079999</v>
      </c>
      <c r="AH9684">
        <v>28.254308602913301</v>
      </c>
      <c r="AI9684">
        <v>92.236337835810104</v>
      </c>
      <c r="AJ9684">
        <v>83.579295389686905</v>
      </c>
      <c r="AK9684">
        <v>28.454321997775899</v>
      </c>
      <c r="AL9684">
        <v>88.5173670517662</v>
      </c>
      <c r="AM9684">
        <v>90.529958057776199</v>
      </c>
      <c r="AN9684">
        <v>1.0000000485318301</v>
      </c>
    </row>
    <row r="9685" spans="1:40" x14ac:dyDescent="0.25">
      <c r="A9685" t="str">
        <f>"20190312150912776"</f>
        <v>20190312150912776</v>
      </c>
      <c r="B9685" t="str">
        <f>"1552374552768713"</f>
        <v>1552374552768713</v>
      </c>
      <c r="C9685" t="s">
        <v>40</v>
      </c>
      <c r="D9685">
        <v>4.5192449999999997</v>
      </c>
      <c r="E9685">
        <v>0.54617090000000001</v>
      </c>
      <c r="F9685" t="s">
        <v>90</v>
      </c>
      <c r="G9685">
        <v>-219.07490000000001</v>
      </c>
      <c r="H9685" s="1">
        <v>-3.7395649999999998E-6</v>
      </c>
      <c r="I9685">
        <v>-64.846490000000003</v>
      </c>
      <c r="J9685">
        <v>-247.17410000000001</v>
      </c>
      <c r="K9685">
        <v>1.110314</v>
      </c>
      <c r="L9685">
        <v>-62.241639999999997</v>
      </c>
      <c r="M9685">
        <v>0.99975630000000004</v>
      </c>
      <c r="N9685">
        <v>0</v>
      </c>
      <c r="O9685">
        <v>1.9291099999999999E-2</v>
      </c>
      <c r="P9685">
        <v>0.99946420000000002</v>
      </c>
      <c r="Q9685">
        <v>1.470612E-2</v>
      </c>
      <c r="R9685">
        <v>2.9251900000000001E-2</v>
      </c>
      <c r="S9685">
        <v>3.0112000000000001</v>
      </c>
      <c r="T9685">
        <v>-0.1183449</v>
      </c>
      <c r="U9685">
        <v>-0.27731319999999998</v>
      </c>
      <c r="V9685">
        <v>-9.9852129999999997E-3</v>
      </c>
      <c r="W9685">
        <v>2.5437769999999998E-2</v>
      </c>
      <c r="X9685">
        <v>0.99962649999999997</v>
      </c>
      <c r="Y9685">
        <v>0.1108001</v>
      </c>
      <c r="Z9685">
        <v>-2.9283349999999998E-3</v>
      </c>
      <c r="AA9685">
        <v>0.99383840000000001</v>
      </c>
      <c r="AB9685">
        <v>30</v>
      </c>
      <c r="AC9685">
        <v>28.0992</v>
      </c>
      <c r="AD9685">
        <v>-1.1103177395649999</v>
      </c>
      <c r="AE9685">
        <v>-2.6048499999999901</v>
      </c>
      <c r="AF9685">
        <v>3.14159749635775</v>
      </c>
      <c r="AG9685">
        <v>-1.1103177395649999</v>
      </c>
      <c r="AH9685">
        <v>28.000370568584799</v>
      </c>
      <c r="AI9685">
        <v>92.256654072314106</v>
      </c>
      <c r="AJ9685">
        <v>83.598276823099198</v>
      </c>
      <c r="AK9685">
        <v>28.197928865255101</v>
      </c>
      <c r="AL9685">
        <v>88.542365853620097</v>
      </c>
      <c r="AM9685">
        <v>90.572305291397996</v>
      </c>
      <c r="AN9685">
        <v>0.99999996206173802</v>
      </c>
    </row>
    <row r="9686" spans="1:40" x14ac:dyDescent="0.25">
      <c r="A9686" t="str">
        <f>"20190312150912788"</f>
        <v>20190312150912788</v>
      </c>
      <c r="B9686" t="str">
        <f>"1552374552779449"</f>
        <v>1552374552779449</v>
      </c>
      <c r="C9686" t="s">
        <v>40</v>
      </c>
      <c r="D9686">
        <v>4.9007319999999996</v>
      </c>
      <c r="E9686">
        <v>0.54624949999999906</v>
      </c>
      <c r="F9686" t="s">
        <v>90</v>
      </c>
      <c r="G9686">
        <v>-219.5566</v>
      </c>
      <c r="H9686" s="1">
        <v>-3.8887109999999998E-6</v>
      </c>
      <c r="I9686">
        <v>-64.763210000000001</v>
      </c>
      <c r="J9686">
        <v>-247.02709999999999</v>
      </c>
      <c r="K9686">
        <v>1.110298</v>
      </c>
      <c r="L9686">
        <v>-62.238590000000002</v>
      </c>
      <c r="M9686">
        <v>0.99975250000000004</v>
      </c>
      <c r="N9686">
        <v>0</v>
      </c>
      <c r="O9686">
        <v>1.9479360000000001E-2</v>
      </c>
      <c r="P9686">
        <v>0.99944409999999895</v>
      </c>
      <c r="Q9686">
        <v>1.469256E-2</v>
      </c>
      <c r="R9686">
        <v>2.9923490000000001E-2</v>
      </c>
      <c r="S9686">
        <v>3.0114589999999999</v>
      </c>
      <c r="T9686">
        <v>-0.12107080000000001</v>
      </c>
      <c r="U9686">
        <v>-0.27496340000000002</v>
      </c>
      <c r="V9686">
        <v>-1.0467590000000001E-2</v>
      </c>
      <c r="W9686">
        <v>2.5427290000000002E-2</v>
      </c>
      <c r="X9686">
        <v>0.99962189999999995</v>
      </c>
      <c r="Y9686">
        <v>0.1102061</v>
      </c>
      <c r="Z9686">
        <v>-2.9912200000000002E-3</v>
      </c>
      <c r="AA9686">
        <v>0.99390420000000002</v>
      </c>
      <c r="AB9686">
        <v>30</v>
      </c>
      <c r="AC9686">
        <v>27.470499999999902</v>
      </c>
      <c r="AD9686">
        <v>-1.1103018887109899</v>
      </c>
      <c r="AE9686">
        <v>-2.5246199999999899</v>
      </c>
      <c r="AF9686">
        <v>3.0543317792009499</v>
      </c>
      <c r="AG9686">
        <v>-1.1103018887109899</v>
      </c>
      <c r="AH9686">
        <v>27.371765951442899</v>
      </c>
      <c r="AI9686">
        <v>92.308546590947998</v>
      </c>
      <c r="AJ9686">
        <v>83.632878790466904</v>
      </c>
      <c r="AK9686">
        <v>27.564021553504901</v>
      </c>
      <c r="AL9686">
        <v>88.5429666070563</v>
      </c>
      <c r="AM9686">
        <v>90.599953651106304</v>
      </c>
      <c r="AN9686">
        <v>1.00000003023838</v>
      </c>
    </row>
    <row r="9687" spans="1:40" x14ac:dyDescent="0.25">
      <c r="A9687" t="str">
        <f>"20190312150912798"</f>
        <v>20190312150912798</v>
      </c>
      <c r="B9687" t="str">
        <f>"1552374552789208"</f>
        <v>1552374552789208</v>
      </c>
      <c r="C9687" t="s">
        <v>40</v>
      </c>
      <c r="D9687">
        <v>4.5266520000000003</v>
      </c>
      <c r="E9687">
        <v>0.54630570000000001</v>
      </c>
      <c r="F9687" t="s">
        <v>90</v>
      </c>
      <c r="G9687">
        <v>-218.98929999999999</v>
      </c>
      <c r="H9687" s="1">
        <v>-3.6997439999999999E-6</v>
      </c>
      <c r="I9687">
        <v>-64.786190000000005</v>
      </c>
      <c r="J9687">
        <v>-246.8784</v>
      </c>
      <c r="K9687">
        <v>1.1102879999999999</v>
      </c>
      <c r="L9687">
        <v>-62.235500000000002</v>
      </c>
      <c r="M9687">
        <v>0.99974909999999995</v>
      </c>
      <c r="N9687">
        <v>0</v>
      </c>
      <c r="O9687">
        <v>1.9656400000000001E-2</v>
      </c>
      <c r="P9687">
        <v>0.99941159999999996</v>
      </c>
      <c r="Q9687">
        <v>1.4807590000000001E-2</v>
      </c>
      <c r="R9687">
        <v>3.0943499999999999E-2</v>
      </c>
      <c r="S9687">
        <v>3.011612</v>
      </c>
      <c r="T9687">
        <v>-0.1192604</v>
      </c>
      <c r="U9687">
        <v>-0.27365109999999998</v>
      </c>
      <c r="V9687">
        <v>-1.1310280000000001E-2</v>
      </c>
      <c r="W9687">
        <v>2.554503E-2</v>
      </c>
      <c r="X9687">
        <v>0.99960970000000005</v>
      </c>
      <c r="Y9687">
        <v>0.1099511</v>
      </c>
      <c r="Z9687">
        <v>-2.9483970000000002E-3</v>
      </c>
      <c r="AA9687">
        <v>0.99393260000000005</v>
      </c>
      <c r="AB9687">
        <v>30</v>
      </c>
      <c r="AC9687">
        <v>27.889099999999999</v>
      </c>
      <c r="AD9687">
        <v>-1.110291699744</v>
      </c>
      <c r="AE9687">
        <v>-2.5506899999999999</v>
      </c>
      <c r="AF9687">
        <v>3.0935657062340498</v>
      </c>
      <c r="AG9687">
        <v>-1.110291699744</v>
      </c>
      <c r="AH9687">
        <v>27.7898915939038</v>
      </c>
      <c r="AI9687">
        <v>92.273894977327004</v>
      </c>
      <c r="AJ9687">
        <v>83.647996265820794</v>
      </c>
      <c r="AK9687">
        <v>27.983583959854698</v>
      </c>
      <c r="AL9687">
        <v>88.536218382997504</v>
      </c>
      <c r="AM9687">
        <v>90.648256671650799</v>
      </c>
      <c r="AN9687">
        <v>1.0000000116627299</v>
      </c>
    </row>
    <row r="9688" spans="1:40" x14ac:dyDescent="0.25">
      <c r="A9688" t="str">
        <f>"20190312150912811"</f>
        <v>20190312150912811</v>
      </c>
      <c r="B9688" t="str">
        <f>"1552374552798969"</f>
        <v>1552374552798969</v>
      </c>
      <c r="C9688" t="s">
        <v>40</v>
      </c>
      <c r="D9688">
        <v>4.5342390000000004</v>
      </c>
      <c r="E9688">
        <v>0.54640049999999996</v>
      </c>
      <c r="F9688" t="s">
        <v>90</v>
      </c>
      <c r="G9688">
        <v>-218.57380000000001</v>
      </c>
      <c r="H9688" s="1">
        <v>-3.5576520000000002E-6</v>
      </c>
      <c r="I9688">
        <v>-64.782430000000005</v>
      </c>
      <c r="J9688">
        <v>-246.72409999999999</v>
      </c>
      <c r="K9688">
        <v>1.110271</v>
      </c>
      <c r="L9688">
        <v>-62.232300000000002</v>
      </c>
      <c r="M9688">
        <v>0.99974569999999996</v>
      </c>
      <c r="N9688">
        <v>0</v>
      </c>
      <c r="O9688">
        <v>1.982745E-2</v>
      </c>
      <c r="P9688">
        <v>0.99938490000000002</v>
      </c>
      <c r="Q9688">
        <v>1.470482E-2</v>
      </c>
      <c r="R9688">
        <v>3.1837709999999998E-2</v>
      </c>
      <c r="S9688">
        <v>3.011917</v>
      </c>
      <c r="T9688">
        <v>-0.1181468</v>
      </c>
      <c r="U9688">
        <v>-0.27102659999999901</v>
      </c>
      <c r="V9688">
        <v>-1.203244E-2</v>
      </c>
      <c r="W9688">
        <v>2.54454E-2</v>
      </c>
      <c r="X9688">
        <v>0.99960380000000004</v>
      </c>
      <c r="Y9688">
        <v>0.1092553</v>
      </c>
      <c r="Z9688">
        <v>-2.9137849999999999E-3</v>
      </c>
      <c r="AA9688">
        <v>0.99400940000000004</v>
      </c>
      <c r="AB9688">
        <v>30</v>
      </c>
      <c r="AC9688">
        <v>28.150299999999898</v>
      </c>
      <c r="AD9688">
        <v>-1.1102745576519999</v>
      </c>
      <c r="AE9688">
        <v>-2.5501299999999998</v>
      </c>
      <c r="AF9688">
        <v>3.1030217708530299</v>
      </c>
      <c r="AG9688">
        <v>-1.1102745576519999</v>
      </c>
      <c r="AH9688">
        <v>28.0509194864375</v>
      </c>
      <c r="AI9688">
        <v>92.252894789885602</v>
      </c>
      <c r="AJ9688">
        <v>83.687546556781498</v>
      </c>
      <c r="AK9688">
        <v>28.243858407419399</v>
      </c>
      <c r="AL9688">
        <v>88.541928604204898</v>
      </c>
      <c r="AM9688">
        <v>90.689647973544098</v>
      </c>
      <c r="AN9688">
        <v>1.0000000024839699</v>
      </c>
    </row>
    <row r="9689" spans="1:40" x14ac:dyDescent="0.25">
      <c r="A9689" t="str">
        <f>"20190312150912822"</f>
        <v>20190312150912822</v>
      </c>
      <c r="B9689" t="str">
        <f>"1552374552808728"</f>
        <v>1552374552808728</v>
      </c>
      <c r="C9689" t="s">
        <v>40</v>
      </c>
      <c r="D9689">
        <v>4.6065389999999997</v>
      </c>
      <c r="E9689">
        <v>0.54655010000000004</v>
      </c>
      <c r="F9689" t="s">
        <v>90</v>
      </c>
      <c r="G9689">
        <v>-218.62299999999999</v>
      </c>
      <c r="H9689" s="1">
        <v>-3.5674809999999998E-6</v>
      </c>
      <c r="I9689">
        <v>-64.743319999999997</v>
      </c>
      <c r="J9689">
        <v>-246.57210000000001</v>
      </c>
      <c r="K9689">
        <v>1.1102510000000001</v>
      </c>
      <c r="L9689">
        <v>-62.229100000000003</v>
      </c>
      <c r="M9689">
        <v>0.99974260000000004</v>
      </c>
      <c r="N9689">
        <v>0</v>
      </c>
      <c r="O9689">
        <v>1.9985559999999999E-2</v>
      </c>
      <c r="P9689">
        <v>0.99935379999999996</v>
      </c>
      <c r="Q9689">
        <v>1.4786880000000001E-2</v>
      </c>
      <c r="R9689">
        <v>3.2762619999999999E-2</v>
      </c>
      <c r="S9689">
        <v>3.0121769999999999</v>
      </c>
      <c r="T9689">
        <v>-0.11901109999999999</v>
      </c>
      <c r="U9689">
        <v>-0.26916499999999999</v>
      </c>
      <c r="V9689">
        <v>-1.279838E-2</v>
      </c>
      <c r="W9689">
        <v>2.5530730000000001E-2</v>
      </c>
      <c r="X9689">
        <v>0.99959209999999998</v>
      </c>
      <c r="Y9689">
        <v>0.10879419999999999</v>
      </c>
      <c r="Z9689">
        <v>-2.9320610000000001E-3</v>
      </c>
      <c r="AA9689">
        <v>0.99406000000000005</v>
      </c>
      <c r="AB9689">
        <v>30</v>
      </c>
      <c r="AC9689">
        <v>27.949100000000001</v>
      </c>
      <c r="AD9689">
        <v>-1.110254567481</v>
      </c>
      <c r="AE9689">
        <v>-2.5142199999999901</v>
      </c>
      <c r="AF9689">
        <v>3.06752666888194</v>
      </c>
      <c r="AG9689">
        <v>-1.110254567481</v>
      </c>
      <c r="AH9689">
        <v>27.849671799038202</v>
      </c>
      <c r="AI9689">
        <v>92.269234380439102</v>
      </c>
      <c r="AJ9689">
        <v>83.714443135779902</v>
      </c>
      <c r="AK9689">
        <v>28.040089236360402</v>
      </c>
      <c r="AL9689">
        <v>88.537037950502494</v>
      </c>
      <c r="AM9689">
        <v>90.733552308402196</v>
      </c>
      <c r="AN9689">
        <v>0.99999999154368302</v>
      </c>
    </row>
    <row r="9690" spans="1:40" x14ac:dyDescent="0.25">
      <c r="A9690" t="str">
        <f>"20190312150912834"</f>
        <v>20190312150912834</v>
      </c>
      <c r="B9690" t="str">
        <f>"1552374552829224"</f>
        <v>1552374552829224</v>
      </c>
      <c r="C9690" t="s">
        <v>40</v>
      </c>
      <c r="D9690">
        <v>4.4520179999999998</v>
      </c>
      <c r="E9690">
        <v>0.54683919999999997</v>
      </c>
      <c r="F9690" t="s">
        <v>90</v>
      </c>
      <c r="G9690">
        <v>-218.654</v>
      </c>
      <c r="H9690" s="1">
        <v>-3.5718459999999998E-6</v>
      </c>
      <c r="I9690">
        <v>-64.708539999999999</v>
      </c>
      <c r="J9690">
        <v>-246.42179999999999</v>
      </c>
      <c r="K9690">
        <v>1.1102299999999901</v>
      </c>
      <c r="L9690">
        <v>-62.225920000000002</v>
      </c>
      <c r="M9690">
        <v>0.99973970000000001</v>
      </c>
      <c r="N9690">
        <v>0</v>
      </c>
      <c r="O9690">
        <v>2.0120639999999999E-2</v>
      </c>
      <c r="P9690">
        <v>0.99932639999999995</v>
      </c>
      <c r="Q9690">
        <v>1.491173E-2</v>
      </c>
      <c r="R9690">
        <v>3.35371E-2</v>
      </c>
      <c r="S9690">
        <v>3.0124659999999999</v>
      </c>
      <c r="T9690">
        <v>-0.1198003</v>
      </c>
      <c r="U9690">
        <v>-0.267547599999999</v>
      </c>
      <c r="V9690">
        <v>-1.3437030000000001E-2</v>
      </c>
      <c r="W9690">
        <v>2.5658480000000001E-2</v>
      </c>
      <c r="X9690">
        <v>0.99958040000000004</v>
      </c>
      <c r="Y9690">
        <v>0.1083894</v>
      </c>
      <c r="Z9690">
        <v>-2.9486080000000001E-3</v>
      </c>
      <c r="AA9690">
        <v>0.99410410000000005</v>
      </c>
      <c r="AB9690">
        <v>30</v>
      </c>
      <c r="AC9690">
        <v>27.767799999999902</v>
      </c>
      <c r="AD9690">
        <v>-1.1102335718459999</v>
      </c>
      <c r="AE9690">
        <v>-2.4826199999999998</v>
      </c>
      <c r="AF9690">
        <v>3.0360405955830498</v>
      </c>
      <c r="AG9690">
        <v>-1.1102335718459999</v>
      </c>
      <c r="AH9690">
        <v>27.6683427667102</v>
      </c>
      <c r="AI9690">
        <v>92.284150467902407</v>
      </c>
      <c r="AJ9690">
        <v>83.738000491336095</v>
      </c>
      <c r="AK9690">
        <v>27.856549544734399</v>
      </c>
      <c r="AL9690">
        <v>88.529715945636198</v>
      </c>
      <c r="AM9690">
        <v>90.770161899020906</v>
      </c>
      <c r="AN9690">
        <v>0.999999943717644</v>
      </c>
    </row>
    <row r="9691" spans="1:40" x14ac:dyDescent="0.25">
      <c r="A9691" t="str">
        <f>"20190312150912845"</f>
        <v>20190312150912845</v>
      </c>
      <c r="B9691" t="str">
        <f>"1552374552838985"</f>
        <v>1552374552838985</v>
      </c>
      <c r="C9691" t="s">
        <v>40</v>
      </c>
      <c r="D9691">
        <v>4.4602789999999999</v>
      </c>
      <c r="E9691">
        <v>0.54701840000000002</v>
      </c>
      <c r="F9691" t="s">
        <v>90</v>
      </c>
      <c r="G9691">
        <v>-218.73070000000001</v>
      </c>
      <c r="H9691" s="1">
        <v>-3.593516E-6</v>
      </c>
      <c r="I9691">
        <v>-64.683520000000001</v>
      </c>
      <c r="J9691">
        <v>-246.25970000000001</v>
      </c>
      <c r="K9691">
        <v>1.110209</v>
      </c>
      <c r="L9691">
        <v>-62.222529999999999</v>
      </c>
      <c r="M9691">
        <v>0.99973710000000005</v>
      </c>
      <c r="N9691">
        <v>0</v>
      </c>
      <c r="O9691">
        <v>2.0257299999999999E-2</v>
      </c>
      <c r="P9691">
        <v>0.99929120000000005</v>
      </c>
      <c r="Q9691">
        <v>1.4769559999999999E-2</v>
      </c>
      <c r="R9691">
        <v>3.4631509999999997E-2</v>
      </c>
      <c r="S9691">
        <v>3.0128020000000002</v>
      </c>
      <c r="T9691">
        <v>-0.120794</v>
      </c>
      <c r="U9691">
        <v>-0.26739499999999999</v>
      </c>
      <c r="V9691">
        <v>-1.439417E-2</v>
      </c>
      <c r="W9691">
        <v>2.551929E-2</v>
      </c>
      <c r="X9691">
        <v>0.99957070000000003</v>
      </c>
      <c r="Y9691">
        <v>0.1084638</v>
      </c>
      <c r="Z9691">
        <v>-2.979677E-3</v>
      </c>
      <c r="AA9691">
        <v>0.99409590000000003</v>
      </c>
      <c r="AB9691">
        <v>30</v>
      </c>
      <c r="AC9691">
        <v>27.529</v>
      </c>
      <c r="AD9691">
        <v>-1.1102125935160001</v>
      </c>
      <c r="AE9691">
        <v>-2.46098999999999</v>
      </c>
      <c r="AF9691">
        <v>3.01331827956448</v>
      </c>
      <c r="AG9691">
        <v>-1.1102125935160001</v>
      </c>
      <c r="AH9691">
        <v>27.429236869643699</v>
      </c>
      <c r="AI9691">
        <v>92.303964995286705</v>
      </c>
      <c r="AJ9691">
        <v>83.730746195990704</v>
      </c>
      <c r="AK9691">
        <v>27.616583682776199</v>
      </c>
      <c r="AL9691">
        <v>88.537693647969306</v>
      </c>
      <c r="AM9691">
        <v>90.825022371997406</v>
      </c>
      <c r="AN9691">
        <v>1.00000000529529</v>
      </c>
    </row>
    <row r="9692" spans="1:40" x14ac:dyDescent="0.25">
      <c r="A9692" t="str">
        <f>"20190312150912855"</f>
        <v>20190312150912855</v>
      </c>
      <c r="B9692" t="str">
        <f>"1552374552848745"</f>
        <v>1552374552848745</v>
      </c>
      <c r="C9692" t="s">
        <v>40</v>
      </c>
      <c r="D9692">
        <v>4.4546210000000004</v>
      </c>
      <c r="E9692">
        <v>0.54717969999999905</v>
      </c>
      <c r="F9692" t="s">
        <v>90</v>
      </c>
      <c r="G9692">
        <v>-218.78039999999999</v>
      </c>
      <c r="H9692" s="1">
        <v>-3.6034780000000001E-6</v>
      </c>
      <c r="I9692">
        <v>-64.644359999999907</v>
      </c>
      <c r="J9692">
        <v>-246.11920000000001</v>
      </c>
      <c r="K9692">
        <v>1.1101859999999999</v>
      </c>
      <c r="L9692">
        <v>-62.219569999999997</v>
      </c>
      <c r="M9692">
        <v>0.99973489999999998</v>
      </c>
      <c r="N9692">
        <v>0</v>
      </c>
      <c r="O9692">
        <v>2.0350110000000001E-2</v>
      </c>
      <c r="P9692">
        <v>0.99925299999999995</v>
      </c>
      <c r="Q9692">
        <v>1.482404E-2</v>
      </c>
      <c r="R9692">
        <v>3.5692889999999998E-2</v>
      </c>
      <c r="S9692">
        <v>3.0131380000000001</v>
      </c>
      <c r="T9692">
        <v>-0.1217361</v>
      </c>
      <c r="U9692">
        <v>-0.26556400000000002</v>
      </c>
      <c r="V9692">
        <v>-1.5361700000000001E-2</v>
      </c>
      <c r="W9692">
        <v>2.5576970000000001E-2</v>
      </c>
      <c r="X9692">
        <v>0.99955479999999997</v>
      </c>
      <c r="Y9692">
        <v>0.10794570000000001</v>
      </c>
      <c r="Z9692">
        <v>-2.995943E-3</v>
      </c>
      <c r="AA9692">
        <v>0.99415229999999999</v>
      </c>
      <c r="AB9692">
        <v>30</v>
      </c>
      <c r="AC9692">
        <v>27.338799999999999</v>
      </c>
      <c r="AD9692">
        <v>-1.1101896034780001</v>
      </c>
      <c r="AE9692">
        <v>-2.42478999999999</v>
      </c>
      <c r="AF9692">
        <v>2.97579870675425</v>
      </c>
      <c r="AG9692">
        <v>-1.1101896034780001</v>
      </c>
      <c r="AH9692">
        <v>27.239221884155999</v>
      </c>
      <c r="AI9692">
        <v>92.320124773775902</v>
      </c>
      <c r="AJ9692">
        <v>83.765342407437004</v>
      </c>
      <c r="AK9692">
        <v>27.423769028947799</v>
      </c>
      <c r="AL9692">
        <v>88.534387712318903</v>
      </c>
      <c r="AM9692">
        <v>90.880483281467505</v>
      </c>
      <c r="AN9692">
        <v>0.99999998071215501</v>
      </c>
    </row>
    <row r="9693" spans="1:40" x14ac:dyDescent="0.25">
      <c r="A9693" t="str">
        <f>"20190312150912867"</f>
        <v>20190312150912867</v>
      </c>
      <c r="B9693" t="str">
        <f>"1552374552859481"</f>
        <v>1552374552859481</v>
      </c>
      <c r="C9693" t="s">
        <v>40</v>
      </c>
      <c r="D9693">
        <v>4.4951470000000002</v>
      </c>
      <c r="E9693">
        <v>0.54731419999999997</v>
      </c>
      <c r="F9693" t="s">
        <v>90</v>
      </c>
      <c r="G9693">
        <v>-218.727</v>
      </c>
      <c r="H9693" s="1">
        <v>-3.5803799999999999E-6</v>
      </c>
      <c r="I9693">
        <v>-64.616540000000001</v>
      </c>
      <c r="J9693">
        <v>-245.9752</v>
      </c>
      <c r="K9693">
        <v>1.1101620000000001</v>
      </c>
      <c r="L9693">
        <v>-62.216549999999998</v>
      </c>
      <c r="M9693">
        <v>0.99973330000000005</v>
      </c>
      <c r="N9693">
        <v>0</v>
      </c>
      <c r="O9693">
        <v>2.0440099999999999E-2</v>
      </c>
      <c r="P9693">
        <v>0.99921119999999997</v>
      </c>
      <c r="Q9693">
        <v>1.5025190000000001E-2</v>
      </c>
      <c r="R9693">
        <v>3.67672E-2</v>
      </c>
      <c r="S9693">
        <v>3.013474</v>
      </c>
      <c r="T9693">
        <v>-0.1221343</v>
      </c>
      <c r="U9693">
        <v>-0.2637024</v>
      </c>
      <c r="V9693">
        <v>-1.634536E-2</v>
      </c>
      <c r="W9693">
        <v>2.578099E-2</v>
      </c>
      <c r="X9693">
        <v>0.99953400000000003</v>
      </c>
      <c r="Y9693">
        <v>0.1074157</v>
      </c>
      <c r="Z9693">
        <v>-2.9984080000000001E-3</v>
      </c>
      <c r="AA9693">
        <v>0.99420960000000003</v>
      </c>
      <c r="AB9693">
        <v>30</v>
      </c>
      <c r="AC9693">
        <v>27.248200000000001</v>
      </c>
      <c r="AD9693">
        <v>-1.1101655803799999</v>
      </c>
      <c r="AE9693">
        <v>-2.3999899999999998</v>
      </c>
      <c r="AF9693">
        <v>2.9516147729403999</v>
      </c>
      <c r="AG9693">
        <v>-1.1101655803799999</v>
      </c>
      <c r="AH9693">
        <v>27.1487286482595</v>
      </c>
      <c r="AI9693">
        <v>92.327931393862997</v>
      </c>
      <c r="AJ9693">
        <v>83.795162946632999</v>
      </c>
      <c r="AK9693">
        <v>27.331263501721399</v>
      </c>
      <c r="AL9693">
        <v>88.522694434664302</v>
      </c>
      <c r="AM9693">
        <v>90.936873257555703</v>
      </c>
      <c r="AN9693">
        <v>1.00000002369745</v>
      </c>
    </row>
    <row r="9694" spans="1:40" x14ac:dyDescent="0.25">
      <c r="A9694" t="str">
        <f>"20190312150912877"</f>
        <v>20190312150912877</v>
      </c>
      <c r="B9694" t="str">
        <f>"1552374552869241"</f>
        <v>1552374552869241</v>
      </c>
      <c r="C9694" t="s">
        <v>40</v>
      </c>
      <c r="D9694">
        <v>4.462745</v>
      </c>
      <c r="E9694">
        <v>0.54748989999999997</v>
      </c>
      <c r="F9694" t="s">
        <v>90</v>
      </c>
      <c r="G9694">
        <v>-218.47989999999999</v>
      </c>
      <c r="H9694" s="1">
        <v>-3.4938969999999998E-6</v>
      </c>
      <c r="I9694">
        <v>-64.603030000000004</v>
      </c>
      <c r="J9694">
        <v>-245.82339999999999</v>
      </c>
      <c r="K9694">
        <v>1.1101369999999999</v>
      </c>
      <c r="L9694">
        <v>-62.213349999999998</v>
      </c>
      <c r="M9694">
        <v>0.99973160000000005</v>
      </c>
      <c r="N9694">
        <v>0</v>
      </c>
      <c r="O9694">
        <v>2.0513690000000001E-2</v>
      </c>
      <c r="P9694">
        <v>0.99917370000000005</v>
      </c>
      <c r="Q9694">
        <v>1.4801190000000001E-2</v>
      </c>
      <c r="R9694">
        <v>3.7855890000000003E-2</v>
      </c>
      <c r="S9694">
        <v>3.0138400000000001</v>
      </c>
      <c r="T9694">
        <v>-0.12168859999999999</v>
      </c>
      <c r="U9694">
        <v>-0.26159670000000002</v>
      </c>
      <c r="V9694">
        <v>-1.735921E-2</v>
      </c>
      <c r="W9694">
        <v>2.5560280000000001E-2</v>
      </c>
      <c r="X9694">
        <v>0.99952260000000004</v>
      </c>
      <c r="Y9694">
        <v>0.1067902</v>
      </c>
      <c r="Z9694">
        <v>-2.9775679999999999E-3</v>
      </c>
      <c r="AA9694">
        <v>0.99427710000000002</v>
      </c>
      <c r="AB9694">
        <v>30</v>
      </c>
      <c r="AC9694">
        <v>27.343499999999999</v>
      </c>
      <c r="AD9694">
        <v>-1.1101404938969901</v>
      </c>
      <c r="AE9694">
        <v>-2.3896799999999998</v>
      </c>
      <c r="AF9694">
        <v>2.94530760302372</v>
      </c>
      <c r="AG9694">
        <v>-1.1101404938969901</v>
      </c>
      <c r="AH9694">
        <v>27.2441541802656</v>
      </c>
      <c r="AI9694">
        <v>92.319886168904404</v>
      </c>
      <c r="AJ9694">
        <v>83.829838130853105</v>
      </c>
      <c r="AK9694">
        <v>27.425374852328002</v>
      </c>
      <c r="AL9694">
        <v>88.535344391669895</v>
      </c>
      <c r="AM9694">
        <v>90.994984490987093</v>
      </c>
      <c r="AN9694">
        <v>1.00000004899813</v>
      </c>
    </row>
    <row r="9695" spans="1:40" x14ac:dyDescent="0.25">
      <c r="A9695" t="str">
        <f>"20190312150912888"</f>
        <v>20190312150912888</v>
      </c>
      <c r="B9695" t="str">
        <f>"1552374552879001"</f>
        <v>1552374552879001</v>
      </c>
      <c r="C9695" t="s">
        <v>40</v>
      </c>
      <c r="D9695">
        <v>4.4590949999999996</v>
      </c>
      <c r="E9695">
        <v>0.54766009999999998</v>
      </c>
      <c r="F9695" t="s">
        <v>90</v>
      </c>
      <c r="G9695">
        <v>-218.63229999999999</v>
      </c>
      <c r="H9695" s="1">
        <v>-3.5374900000000002E-6</v>
      </c>
      <c r="I9695">
        <v>-64.556399999999996</v>
      </c>
      <c r="J9695">
        <v>-245.67320000000001</v>
      </c>
      <c r="K9695">
        <v>1.1101160000000001</v>
      </c>
      <c r="L9695">
        <v>-62.210169999999998</v>
      </c>
      <c r="M9695">
        <v>0.99973029999999996</v>
      </c>
      <c r="N9695">
        <v>0</v>
      </c>
      <c r="O9695">
        <v>2.0576250000000001E-2</v>
      </c>
      <c r="P9695">
        <v>0.99913410000000002</v>
      </c>
      <c r="Q9695">
        <v>1.49912E-2</v>
      </c>
      <c r="R9695">
        <v>3.8809299999999998E-2</v>
      </c>
      <c r="S9695">
        <v>3.0141450000000001</v>
      </c>
      <c r="T9695">
        <v>-0.12305960000000001</v>
      </c>
      <c r="U9695">
        <v>-0.2597351</v>
      </c>
      <c r="V9695">
        <v>-1.824895E-2</v>
      </c>
      <c r="W9695">
        <v>2.5753809999999999E-2</v>
      </c>
      <c r="X9695">
        <v>0.99950170000000005</v>
      </c>
      <c r="Y9695">
        <v>0.1062323</v>
      </c>
      <c r="Z9695">
        <v>-3.0020490000000001E-3</v>
      </c>
      <c r="AA9695">
        <v>0.99433680000000002</v>
      </c>
      <c r="AB9695">
        <v>30</v>
      </c>
      <c r="AC9695">
        <v>27.040900000000001</v>
      </c>
      <c r="AD9695">
        <v>-1.1101195374899999</v>
      </c>
      <c r="AE9695">
        <v>-2.34622999999999</v>
      </c>
      <c r="AF9695">
        <v>2.8973192013390401</v>
      </c>
      <c r="AG9695">
        <v>-1.1101195374899999</v>
      </c>
      <c r="AH9695">
        <v>26.941827135012598</v>
      </c>
      <c r="AI9695">
        <v>92.345987434271507</v>
      </c>
      <c r="AJ9695">
        <v>83.862011298478805</v>
      </c>
      <c r="AK9695">
        <v>27.119898106646101</v>
      </c>
      <c r="AL9695">
        <v>88.524252165413699</v>
      </c>
      <c r="AM9695">
        <v>91.045992872592393</v>
      </c>
      <c r="AN9695">
        <v>0.99999996560425297</v>
      </c>
    </row>
    <row r="9696" spans="1:40" x14ac:dyDescent="0.25">
      <c r="A9696" t="str">
        <f>"20190312150912899"</f>
        <v>20190312150912899</v>
      </c>
      <c r="B9696" t="str">
        <f>"1552374552888761"</f>
        <v>1552374552888761</v>
      </c>
      <c r="C9696" t="s">
        <v>40</v>
      </c>
      <c r="D9696">
        <v>4.4057969999999997</v>
      </c>
      <c r="E9696">
        <v>0.54779769999999905</v>
      </c>
      <c r="F9696" t="s">
        <v>90</v>
      </c>
      <c r="G9696">
        <v>-218.48150000000001</v>
      </c>
      <c r="H9696" s="1">
        <v>-3.4830329999999998E-6</v>
      </c>
      <c r="I9696">
        <v>-64.538700000000006</v>
      </c>
      <c r="J9696">
        <v>-245.52619999999999</v>
      </c>
      <c r="K9696">
        <v>1.1100950000000001</v>
      </c>
      <c r="L9696">
        <v>-62.207120000000003</v>
      </c>
      <c r="M9696">
        <v>0.99972930000000004</v>
      </c>
      <c r="N9696">
        <v>0</v>
      </c>
      <c r="O9696">
        <v>2.0622979999999999E-2</v>
      </c>
      <c r="P9696">
        <v>0.99910410000000005</v>
      </c>
      <c r="Q9696">
        <v>1.483753E-2</v>
      </c>
      <c r="R9696">
        <v>3.9634669999999997E-2</v>
      </c>
      <c r="S9696">
        <v>3.014465</v>
      </c>
      <c r="T9696">
        <v>-0.12306789999999899</v>
      </c>
      <c r="U9696">
        <v>-0.25814819999999999</v>
      </c>
      <c r="V9696">
        <v>-1.9026830000000002E-2</v>
      </c>
      <c r="W9696">
        <v>2.560366E-2</v>
      </c>
      <c r="X9696">
        <v>0.99949109999999997</v>
      </c>
      <c r="Y9696">
        <v>0.10575039999999999</v>
      </c>
      <c r="Z9696">
        <v>-2.9940879999999998E-3</v>
      </c>
      <c r="AA9696">
        <v>0.99438820000000006</v>
      </c>
      <c r="AB9696">
        <v>30</v>
      </c>
      <c r="AC9696">
        <v>27.044699999999899</v>
      </c>
      <c r="AD9696">
        <v>-1.1100984830329901</v>
      </c>
      <c r="AE9696">
        <v>-2.3315800000000002</v>
      </c>
      <c r="AF9696">
        <v>2.8840354459536499</v>
      </c>
      <c r="AG9696">
        <v>-1.1100984830329901</v>
      </c>
      <c r="AH9696">
        <v>26.945796234590901</v>
      </c>
      <c r="AI9696">
        <v>92.345724269142707</v>
      </c>
      <c r="AJ9696">
        <v>83.890832862814804</v>
      </c>
      <c r="AK9696">
        <v>27.122424556289999</v>
      </c>
      <c r="AL9696">
        <v>88.532858034824997</v>
      </c>
      <c r="AM9696">
        <v>91.090580394524196</v>
      </c>
      <c r="AN9696">
        <v>1.00000001332222</v>
      </c>
    </row>
    <row r="9697" spans="1:40" x14ac:dyDescent="0.25">
      <c r="A9697" t="str">
        <f>"20190312150912911"</f>
        <v>20190312150912911</v>
      </c>
      <c r="B9697" t="str">
        <f>"1552374552899497"</f>
        <v>1552374552899497</v>
      </c>
      <c r="C9697" t="s">
        <v>40</v>
      </c>
      <c r="D9697">
        <v>4.5056129999999897</v>
      </c>
      <c r="E9697">
        <v>0.54794529999999997</v>
      </c>
      <c r="F9697" t="s">
        <v>90</v>
      </c>
      <c r="G9697">
        <v>-218.64089999999999</v>
      </c>
      <c r="H9697" s="1">
        <v>-3.5298589999999998E-6</v>
      </c>
      <c r="I9697">
        <v>-64.496989999999997</v>
      </c>
      <c r="J9697">
        <v>-245.37260000000001</v>
      </c>
      <c r="K9697">
        <v>1.110074</v>
      </c>
      <c r="L9697">
        <v>-62.203859999999999</v>
      </c>
      <c r="M9697">
        <v>0.99972850000000002</v>
      </c>
      <c r="N9697">
        <v>0</v>
      </c>
      <c r="O9697">
        <v>2.0660060000000001E-2</v>
      </c>
      <c r="P9697">
        <v>0.99907849999999998</v>
      </c>
      <c r="Q9697">
        <v>1.472531E-2</v>
      </c>
      <c r="R9697">
        <v>4.0318319999999998E-2</v>
      </c>
      <c r="S9697">
        <v>3.0147249999999999</v>
      </c>
      <c r="T9697">
        <v>-0.12447809999999999</v>
      </c>
      <c r="U9697">
        <v>-0.25677489999999997</v>
      </c>
      <c r="V9697">
        <v>-1.9672660000000002E-2</v>
      </c>
      <c r="W9697">
        <v>2.549498E-2</v>
      </c>
      <c r="X9697">
        <v>0.99948139999999996</v>
      </c>
      <c r="Y9697">
        <v>0.1053283</v>
      </c>
      <c r="Z9697">
        <v>-3.0209999999999998E-3</v>
      </c>
      <c r="AA9697">
        <v>0.99443289999999995</v>
      </c>
      <c r="AB9697">
        <v>30</v>
      </c>
      <c r="AC9697">
        <v>26.7317</v>
      </c>
      <c r="AD9697">
        <v>-1.110077529859</v>
      </c>
      <c r="AE9697">
        <v>-2.2931299999999899</v>
      </c>
      <c r="AF9697">
        <v>2.8400892315395301</v>
      </c>
      <c r="AG9697">
        <v>-1.110077529859</v>
      </c>
      <c r="AH9697">
        <v>26.633022604145701</v>
      </c>
      <c r="AI9697">
        <v>92.373294425143996</v>
      </c>
      <c r="AJ9697">
        <v>83.913102303577901</v>
      </c>
      <c r="AK9697">
        <v>26.8070190807994</v>
      </c>
      <c r="AL9697">
        <v>88.539087009846696</v>
      </c>
      <c r="AM9697">
        <v>91.127599637076202</v>
      </c>
      <c r="AN9697">
        <v>1.0000000382513099</v>
      </c>
    </row>
    <row r="9698" spans="1:40" x14ac:dyDescent="0.25">
      <c r="A9698" t="str">
        <f>"20190312150912923"</f>
        <v>20190312150912923</v>
      </c>
      <c r="B9698" t="str">
        <f>"1552374552919017"</f>
        <v>1552374552919017</v>
      </c>
      <c r="C9698" t="s">
        <v>40</v>
      </c>
      <c r="D9698">
        <v>4.4067339999999904</v>
      </c>
      <c r="E9698">
        <v>0.54822649999999995</v>
      </c>
      <c r="F9698" t="s">
        <v>90</v>
      </c>
      <c r="G9698">
        <v>-218.68639999999999</v>
      </c>
      <c r="H9698" s="1">
        <v>-3.5403120000000001E-6</v>
      </c>
      <c r="I9698">
        <v>-64.468500000000006</v>
      </c>
      <c r="J9698">
        <v>-245.2114</v>
      </c>
      <c r="K9698">
        <v>1.1100509999999999</v>
      </c>
      <c r="L9698">
        <v>-62.200499999999998</v>
      </c>
      <c r="M9698">
        <v>0.9997279</v>
      </c>
      <c r="N9698">
        <v>0</v>
      </c>
      <c r="O9698">
        <v>2.069035E-2</v>
      </c>
      <c r="P9698">
        <v>0.99905330000000003</v>
      </c>
      <c r="Q9698">
        <v>1.456024E-2</v>
      </c>
      <c r="R9698">
        <v>4.0995419999999998E-2</v>
      </c>
      <c r="S9698">
        <v>3.014923</v>
      </c>
      <c r="T9698">
        <v>-0.1254132</v>
      </c>
      <c r="U9698">
        <v>-0.25585940000000001</v>
      </c>
      <c r="V9698">
        <v>-2.031852E-2</v>
      </c>
      <c r="W9698">
        <v>2.5333379999999999E-2</v>
      </c>
      <c r="X9698">
        <v>0.99947260000000004</v>
      </c>
      <c r="Y9698">
        <v>0.1050517</v>
      </c>
      <c r="Z9698">
        <v>-3.0390299999999999E-3</v>
      </c>
      <c r="AA9698">
        <v>0.99446210000000002</v>
      </c>
      <c r="AB9698">
        <v>30</v>
      </c>
      <c r="AC9698">
        <v>26.524999999999999</v>
      </c>
      <c r="AD9698">
        <v>-1.1100545403119999</v>
      </c>
      <c r="AE9698">
        <v>-2.2679999999999998</v>
      </c>
      <c r="AF9698">
        <v>2.81146962874144</v>
      </c>
      <c r="AG9698">
        <v>-1.1100545403119999</v>
      </c>
      <c r="AH9698">
        <v>26.426446180469899</v>
      </c>
      <c r="AI9698">
        <v>92.391838359559799</v>
      </c>
      <c r="AJ9698">
        <v>83.927231517731002</v>
      </c>
      <c r="AK9698">
        <v>26.598752607689601</v>
      </c>
      <c r="AL9698">
        <v>88.5483490164806</v>
      </c>
      <c r="AM9698">
        <v>91.164619327260496</v>
      </c>
      <c r="AN9698">
        <v>1.0000000502739801</v>
      </c>
    </row>
    <row r="9699" spans="1:40" x14ac:dyDescent="0.25">
      <c r="A9699" t="str">
        <f>"20190312150912933"</f>
        <v>20190312150912933</v>
      </c>
      <c r="B9699" t="str">
        <f>"1552374552928777"</f>
        <v>1552374552928777</v>
      </c>
      <c r="C9699" t="s">
        <v>40</v>
      </c>
      <c r="D9699">
        <v>4.4335310000000003</v>
      </c>
      <c r="E9699">
        <v>0.5483903</v>
      </c>
      <c r="F9699" t="s">
        <v>90</v>
      </c>
      <c r="G9699">
        <v>-218.48390000000001</v>
      </c>
      <c r="H9699" s="1">
        <v>-3.4716540000000002E-6</v>
      </c>
      <c r="I9699">
        <v>-64.470079999999996</v>
      </c>
      <c r="J9699">
        <v>-245.07390000000001</v>
      </c>
      <c r="K9699">
        <v>1.1100380000000001</v>
      </c>
      <c r="L9699">
        <v>-62.197629999999997</v>
      </c>
      <c r="M9699">
        <v>0.99972749999999999</v>
      </c>
      <c r="N9699">
        <v>0</v>
      </c>
      <c r="O9699">
        <v>2.070483E-2</v>
      </c>
      <c r="P9699">
        <v>0.99903319999999995</v>
      </c>
      <c r="Q9699">
        <v>1.435617E-2</v>
      </c>
      <c r="R9699">
        <v>4.15547E-2</v>
      </c>
      <c r="S9699">
        <v>3.0151819999999998</v>
      </c>
      <c r="T9699">
        <v>-0.12522749999999999</v>
      </c>
      <c r="U9699">
        <v>-0.25604250000000001</v>
      </c>
      <c r="V9699">
        <v>-2.08624E-2</v>
      </c>
      <c r="W9699">
        <v>2.5132700000000001E-2</v>
      </c>
      <c r="X9699">
        <v>0.99946639999999998</v>
      </c>
      <c r="Y9699">
        <v>0.10511909999999999</v>
      </c>
      <c r="Z9699">
        <v>-3.036263E-3</v>
      </c>
      <c r="AA9699">
        <v>0.99445499999999998</v>
      </c>
      <c r="AB9699">
        <v>30</v>
      </c>
      <c r="AC9699">
        <v>26.59</v>
      </c>
      <c r="AD9699">
        <v>-1.1100414716539999</v>
      </c>
      <c r="AE9699">
        <v>-2.2724500000000001</v>
      </c>
      <c r="AF9699">
        <v>2.8176612832534702</v>
      </c>
      <c r="AG9699">
        <v>-1.1100414716539999</v>
      </c>
      <c r="AH9699">
        <v>26.491412016541499</v>
      </c>
      <c r="AI9699">
        <v>92.385958311127297</v>
      </c>
      <c r="AJ9699">
        <v>83.928771233960902</v>
      </c>
      <c r="AK9699">
        <v>26.663951653985901</v>
      </c>
      <c r="AL9699">
        <v>88.559850706234101</v>
      </c>
      <c r="AM9699">
        <v>91.195791987264499</v>
      </c>
      <c r="AN9699">
        <v>0.99999998853600403</v>
      </c>
    </row>
    <row r="9700" spans="1:40" x14ac:dyDescent="0.25">
      <c r="A9700" t="str">
        <f>"20190312150912945"</f>
        <v>20190312150912945</v>
      </c>
      <c r="B9700" t="str">
        <f>"1552374552939516"</f>
        <v>1552374552939516</v>
      </c>
      <c r="C9700" t="s">
        <v>40</v>
      </c>
      <c r="D9700">
        <v>4.4848100000000004</v>
      </c>
      <c r="E9700">
        <v>0.54859119999999995</v>
      </c>
      <c r="F9700" t="s">
        <v>90</v>
      </c>
      <c r="G9700">
        <v>-218.65119999999999</v>
      </c>
      <c r="H9700" s="1">
        <v>-3.5229499999999999E-6</v>
      </c>
      <c r="I9700">
        <v>-64.438220000000001</v>
      </c>
      <c r="J9700">
        <v>-244.9178</v>
      </c>
      <c r="K9700">
        <v>1.110026</v>
      </c>
      <c r="L9700">
        <v>-62.194400000000002</v>
      </c>
      <c r="M9700">
        <v>0.99972720000000004</v>
      </c>
      <c r="N9700">
        <v>0</v>
      </c>
      <c r="O9700">
        <v>2.071899E-2</v>
      </c>
      <c r="P9700">
        <v>0.99900650000000002</v>
      </c>
      <c r="Q9700">
        <v>1.4228090000000001E-2</v>
      </c>
      <c r="R9700">
        <v>4.2237230000000001E-2</v>
      </c>
      <c r="S9700">
        <v>3.015396</v>
      </c>
      <c r="T9700">
        <v>-0.1266795</v>
      </c>
      <c r="U9700">
        <v>-0.25570680000000001</v>
      </c>
      <c r="V9700">
        <v>-2.153064E-2</v>
      </c>
      <c r="W9700">
        <v>2.5008280000000001E-2</v>
      </c>
      <c r="X9700">
        <v>0.99945530000000005</v>
      </c>
      <c r="Y9700">
        <v>0.10501489999999999</v>
      </c>
      <c r="Z9700">
        <v>-3.0696460000000001E-3</v>
      </c>
      <c r="AA9700">
        <v>0.99446590000000001</v>
      </c>
      <c r="AB9700">
        <v>30</v>
      </c>
      <c r="AC9700">
        <v>26.2666</v>
      </c>
      <c r="AD9700">
        <v>-1.1100295229499999</v>
      </c>
      <c r="AE9700">
        <v>-2.2438199999999902</v>
      </c>
      <c r="AF9700">
        <v>2.78265375347465</v>
      </c>
      <c r="AG9700">
        <v>-1.1100295229499999</v>
      </c>
      <c r="AH9700">
        <v>26.168073087440899</v>
      </c>
      <c r="AI9700">
        <v>92.415385085157197</v>
      </c>
      <c r="AJ9700">
        <v>83.930106584176201</v>
      </c>
      <c r="AK9700">
        <v>26.339008648071701</v>
      </c>
      <c r="AL9700">
        <v>88.566981618453397</v>
      </c>
      <c r="AM9700">
        <v>91.234096238083595</v>
      </c>
      <c r="AN9700">
        <v>0.99999993961272704</v>
      </c>
    </row>
    <row r="9701" spans="1:40" x14ac:dyDescent="0.25">
      <c r="A9701" t="str">
        <f>"20190312150912956"</f>
        <v>20190312150912956</v>
      </c>
      <c r="B9701" t="str">
        <f>"1552374552949273"</f>
        <v>1552374552949273</v>
      </c>
      <c r="C9701" t="s">
        <v>40</v>
      </c>
      <c r="D9701">
        <v>4.4357309999999996</v>
      </c>
      <c r="E9701">
        <v>0.54874690000000004</v>
      </c>
      <c r="F9701" t="s">
        <v>90</v>
      </c>
      <c r="G9701">
        <v>-218.67089999999999</v>
      </c>
      <c r="H9701" s="1">
        <v>-3.5258939999999998E-6</v>
      </c>
      <c r="I9701">
        <v>-64.417019999999994</v>
      </c>
      <c r="J9701">
        <v>-244.77010000000001</v>
      </c>
      <c r="K9701">
        <v>1.110015</v>
      </c>
      <c r="L9701">
        <v>-62.191279999999999</v>
      </c>
      <c r="M9701">
        <v>0.99972700000000003</v>
      </c>
      <c r="N9701">
        <v>0</v>
      </c>
      <c r="O9701">
        <v>2.0723499999999999E-2</v>
      </c>
      <c r="P9701">
        <v>0.99897999999999998</v>
      </c>
      <c r="Q9701">
        <v>1.4239699999999999E-2</v>
      </c>
      <c r="R9701">
        <v>4.2852750000000002E-2</v>
      </c>
      <c r="S9701">
        <v>3.0155789999999998</v>
      </c>
      <c r="T9701">
        <v>-0.1275345</v>
      </c>
      <c r="U9701">
        <v>-0.25537110000000002</v>
      </c>
      <c r="V9701">
        <v>-2.214112E-2</v>
      </c>
      <c r="W9701">
        <v>2.5022579999999999E-2</v>
      </c>
      <c r="X9701">
        <v>0.99944169999999999</v>
      </c>
      <c r="Y9701">
        <v>0.104903</v>
      </c>
      <c r="Z9701">
        <v>-3.0880040000000001E-3</v>
      </c>
      <c r="AA9701">
        <v>0.99447770000000002</v>
      </c>
      <c r="AB9701">
        <v>30</v>
      </c>
      <c r="AC9701">
        <v>26.0992</v>
      </c>
      <c r="AD9701">
        <v>-1.1100185258939901</v>
      </c>
      <c r="AE9701">
        <v>-2.2257399999999801</v>
      </c>
      <c r="AF9701">
        <v>2.7612016473643402</v>
      </c>
      <c r="AG9701">
        <v>-1.1100185258939901</v>
      </c>
      <c r="AH9701">
        <v>26.0007743074889</v>
      </c>
      <c r="AI9701">
        <v>92.430919877429901</v>
      </c>
      <c r="AJ9701">
        <v>83.938085974822897</v>
      </c>
      <c r="AK9701">
        <v>26.170529995669</v>
      </c>
      <c r="AL9701">
        <v>88.566162169367701</v>
      </c>
      <c r="AM9701">
        <v>91.269093793784407</v>
      </c>
      <c r="AN9701">
        <v>1.0000000352017899</v>
      </c>
    </row>
    <row r="9702" spans="1:40" x14ac:dyDescent="0.25">
      <c r="A9702" t="str">
        <f>"20190312150912966"</f>
        <v>20190312150912966</v>
      </c>
      <c r="B9702" t="str">
        <f>"1552374552959033"</f>
        <v>1552374552959033</v>
      </c>
      <c r="C9702" t="s">
        <v>40</v>
      </c>
      <c r="D9702">
        <v>4.4425270000000001</v>
      </c>
      <c r="E9702">
        <v>0.54894500000000002</v>
      </c>
      <c r="F9702" t="s">
        <v>90</v>
      </c>
      <c r="G9702">
        <v>-218.69730000000001</v>
      </c>
      <c r="H9702" s="1">
        <v>-3.5307470000000002E-6</v>
      </c>
      <c r="I9702">
        <v>-64.393709999999999</v>
      </c>
      <c r="J9702">
        <v>-244.6191</v>
      </c>
      <c r="K9702">
        <v>1.1100019999999999</v>
      </c>
      <c r="L9702">
        <v>-62.1881699999999</v>
      </c>
      <c r="M9702">
        <v>0.99972689999999997</v>
      </c>
      <c r="N9702">
        <v>0</v>
      </c>
      <c r="O9702">
        <v>2.0726540000000002E-2</v>
      </c>
      <c r="P9702">
        <v>0.99895469999999997</v>
      </c>
      <c r="Q9702">
        <v>1.3849749999999999E-2</v>
      </c>
      <c r="R9702">
        <v>4.3562900000000002E-2</v>
      </c>
      <c r="S9702">
        <v>3.0158230000000001</v>
      </c>
      <c r="T9702">
        <v>-0.12839510000000001</v>
      </c>
      <c r="U9702">
        <v>-0.25476070000000001</v>
      </c>
      <c r="V9702">
        <v>-2.2848569999999999E-2</v>
      </c>
      <c r="W9702">
        <v>2.463599E-2</v>
      </c>
      <c r="X9702">
        <v>0.99943539999999997</v>
      </c>
      <c r="Y9702">
        <v>0.1046981</v>
      </c>
      <c r="Z9702">
        <v>-3.1043749999999999E-3</v>
      </c>
      <c r="AA9702">
        <v>0.99449920000000003</v>
      </c>
      <c r="AB9702">
        <v>30</v>
      </c>
      <c r="AC9702">
        <v>25.921799999999902</v>
      </c>
      <c r="AD9702">
        <v>-1.110005530747</v>
      </c>
      <c r="AE9702">
        <v>-2.2055400000000001</v>
      </c>
      <c r="AF9702">
        <v>2.73738332101144</v>
      </c>
      <c r="AG9702">
        <v>-1.110005530747</v>
      </c>
      <c r="AH9702">
        <v>25.823503688711199</v>
      </c>
      <c r="AI9702">
        <v>92.447608158902895</v>
      </c>
      <c r="AJ9702">
        <v>83.949040269511599</v>
      </c>
      <c r="AK9702">
        <v>25.9918972467445</v>
      </c>
      <c r="AL9702">
        <v>88.588319001434002</v>
      </c>
      <c r="AM9702">
        <v>91.309638051609497</v>
      </c>
      <c r="AN9702">
        <v>1.0000000539637399</v>
      </c>
    </row>
    <row r="9703" spans="1:40" x14ac:dyDescent="0.25">
      <c r="A9703" t="str">
        <f>"20190312150912977"</f>
        <v>20190312150912977</v>
      </c>
      <c r="B9703" t="str">
        <f>"1552374552968793"</f>
        <v>1552374552968793</v>
      </c>
      <c r="C9703" t="s">
        <v>40</v>
      </c>
      <c r="D9703">
        <v>4.4814410000000002</v>
      </c>
      <c r="E9703">
        <v>0.54912659999999902</v>
      </c>
      <c r="F9703" t="s">
        <v>90</v>
      </c>
      <c r="G9703">
        <v>-218.9255</v>
      </c>
      <c r="H9703" s="1">
        <v>-3.601273E-6</v>
      </c>
      <c r="I9703">
        <v>-64.353499999999997</v>
      </c>
      <c r="J9703">
        <v>-244.46680000000001</v>
      </c>
      <c r="K9703">
        <v>1.1099950000000001</v>
      </c>
      <c r="L9703">
        <v>-62.185029999999998</v>
      </c>
      <c r="M9703">
        <v>0.99972700000000003</v>
      </c>
      <c r="N9703">
        <v>0</v>
      </c>
      <c r="O9703">
        <v>2.072514E-2</v>
      </c>
      <c r="P9703">
        <v>0.99893670000000001</v>
      </c>
      <c r="Q9703">
        <v>1.369188E-2</v>
      </c>
      <c r="R9703">
        <v>4.4025689999999999E-2</v>
      </c>
      <c r="S9703">
        <v>3.016006</v>
      </c>
      <c r="T9703">
        <v>-0.1302962</v>
      </c>
      <c r="U9703">
        <v>-0.25418089999999999</v>
      </c>
      <c r="V9703">
        <v>-2.331283E-2</v>
      </c>
      <c r="W9703">
        <v>2.4481059999999999E-2</v>
      </c>
      <c r="X9703">
        <v>0.99942850000000005</v>
      </c>
      <c r="Y9703">
        <v>0.1044987</v>
      </c>
      <c r="Z9703">
        <v>-3.1457740000000001E-3</v>
      </c>
      <c r="AA9703">
        <v>0.99452010000000002</v>
      </c>
      <c r="AB9703">
        <v>30</v>
      </c>
      <c r="AC9703">
        <v>25.5413</v>
      </c>
      <c r="AD9703">
        <v>-1.1099986012729901</v>
      </c>
      <c r="AE9703">
        <v>-2.1684699999999899</v>
      </c>
      <c r="AF9703">
        <v>2.69233343874886</v>
      </c>
      <c r="AG9703">
        <v>-1.1099986012729901</v>
      </c>
      <c r="AH9703">
        <v>25.443158777253799</v>
      </c>
      <c r="AI9703">
        <v>92.484184325694002</v>
      </c>
      <c r="AJ9703">
        <v>83.959578046092304</v>
      </c>
      <c r="AK9703">
        <v>25.6092773190651</v>
      </c>
      <c r="AL9703">
        <v>88.5971985345614</v>
      </c>
      <c r="AM9703">
        <v>91.336248251773995</v>
      </c>
      <c r="AN9703">
        <v>1.00000006847678</v>
      </c>
    </row>
    <row r="9704" spans="1:40" x14ac:dyDescent="0.25">
      <c r="A9704" t="str">
        <f>"20190312150912989"</f>
        <v>20190312150912989</v>
      </c>
      <c r="B9704" t="str">
        <f>"1552374552979529"</f>
        <v>1552374552979529</v>
      </c>
      <c r="C9704" t="s">
        <v>40</v>
      </c>
      <c r="D9704">
        <v>4.4426880000000004</v>
      </c>
      <c r="E9704">
        <v>0.54932309999999995</v>
      </c>
      <c r="F9704" t="s">
        <v>90</v>
      </c>
      <c r="G9704">
        <v>-218.965</v>
      </c>
      <c r="H9704" s="1">
        <v>-3.6113839999999998E-6</v>
      </c>
      <c r="I9704">
        <v>-64.334819999999993</v>
      </c>
      <c r="J9704">
        <v>-244.32079999999999</v>
      </c>
      <c r="K9704">
        <v>1.10999</v>
      </c>
      <c r="L9704">
        <v>-62.181980000000003</v>
      </c>
      <c r="M9704">
        <v>0.99972709999999998</v>
      </c>
      <c r="N9704">
        <v>0</v>
      </c>
      <c r="O9704">
        <v>2.0722020000000001E-2</v>
      </c>
      <c r="P9704">
        <v>0.99892429999999999</v>
      </c>
      <c r="Q9704">
        <v>1.349421E-2</v>
      </c>
      <c r="R9704">
        <v>4.4367379999999998E-2</v>
      </c>
      <c r="S9704">
        <v>3.0162049999999998</v>
      </c>
      <c r="T9704">
        <v>-0.13128389999999901</v>
      </c>
      <c r="U9704">
        <v>-0.25427250000000001</v>
      </c>
      <c r="V9704">
        <v>-2.3657500000000001E-2</v>
      </c>
      <c r="W9704">
        <v>2.428657E-2</v>
      </c>
      <c r="X9704">
        <v>0.99942509999999996</v>
      </c>
      <c r="Y9704">
        <v>0.10451829999999999</v>
      </c>
      <c r="Z9704">
        <v>-3.1696770000000001E-3</v>
      </c>
      <c r="AA9704">
        <v>0.99451789999999995</v>
      </c>
      <c r="AB9704">
        <v>30</v>
      </c>
      <c r="AC9704">
        <v>25.355799999999899</v>
      </c>
      <c r="AD9704">
        <v>-1.1099936113840001</v>
      </c>
      <c r="AE9704">
        <v>-2.1528399999999901</v>
      </c>
      <c r="AF9704">
        <v>2.67274624374119</v>
      </c>
      <c r="AG9704">
        <v>-1.1099936113840001</v>
      </c>
      <c r="AH9704">
        <v>25.257683674474901</v>
      </c>
      <c r="AI9704">
        <v>92.502391724043093</v>
      </c>
      <c r="AJ9704">
        <v>83.959489813354395</v>
      </c>
      <c r="AK9704">
        <v>25.422947171808801</v>
      </c>
      <c r="AL9704">
        <v>88.608345240446994</v>
      </c>
      <c r="AM9704">
        <v>91.356001386918095</v>
      </c>
      <c r="AN9704">
        <v>1.00000002264931</v>
      </c>
    </row>
    <row r="9705" spans="1:40" x14ac:dyDescent="0.25">
      <c r="A9705" t="str">
        <f>"20190312150913000"</f>
        <v>20190312150913000</v>
      </c>
      <c r="B9705" t="str">
        <f>"1552374552989289"</f>
        <v>1552374552989289</v>
      </c>
      <c r="C9705" t="s">
        <v>40</v>
      </c>
      <c r="D9705">
        <v>4.4498030000000002</v>
      </c>
      <c r="E9705">
        <v>0.54949380000000003</v>
      </c>
      <c r="F9705" t="s">
        <v>90</v>
      </c>
      <c r="G9705">
        <v>-219.0087</v>
      </c>
      <c r="H9705" s="1">
        <v>-3.6236829999999999E-6</v>
      </c>
      <c r="I9705">
        <v>-64.320300000000003</v>
      </c>
      <c r="J9705">
        <v>-244.16540000000001</v>
      </c>
      <c r="K9705">
        <v>1.109985</v>
      </c>
      <c r="L9705">
        <v>-62.178739999999998</v>
      </c>
      <c r="M9705">
        <v>0.99972700000000003</v>
      </c>
      <c r="N9705">
        <v>0</v>
      </c>
      <c r="O9705">
        <v>2.0716479999999999E-2</v>
      </c>
      <c r="P9705">
        <v>0.99887969999999904</v>
      </c>
      <c r="Q9705">
        <v>1.3443510000000001E-2</v>
      </c>
      <c r="R9705">
        <v>4.5375209999999999E-2</v>
      </c>
      <c r="S9705">
        <v>3.0163419999999999</v>
      </c>
      <c r="T9705">
        <v>-0.13227329999999901</v>
      </c>
      <c r="U9705">
        <v>-0.25482179999999999</v>
      </c>
      <c r="V9705">
        <v>-2.4671640000000002E-2</v>
      </c>
      <c r="W9705">
        <v>2.4238900000000001E-2</v>
      </c>
      <c r="X9705">
        <v>0.99940169999999995</v>
      </c>
      <c r="Y9705">
        <v>0.1046869</v>
      </c>
      <c r="Z9705">
        <v>-3.1968180000000001E-3</v>
      </c>
      <c r="AA9705">
        <v>0.9945001</v>
      </c>
      <c r="AB9705">
        <v>30</v>
      </c>
      <c r="AC9705">
        <v>25.156700000000001</v>
      </c>
      <c r="AD9705">
        <v>-1.1099886236830001</v>
      </c>
      <c r="AE9705">
        <v>-2.1415599999999899</v>
      </c>
      <c r="AF9705">
        <v>2.6571532193302101</v>
      </c>
      <c r="AG9705">
        <v>-1.1099886236830001</v>
      </c>
      <c r="AH9705">
        <v>25.058498502726898</v>
      </c>
      <c r="AI9705">
        <v>92.522188094010502</v>
      </c>
      <c r="AJ9705">
        <v>83.947088582299699</v>
      </c>
      <c r="AK9705">
        <v>25.223419379355899</v>
      </c>
      <c r="AL9705">
        <v>88.611077283604303</v>
      </c>
      <c r="AM9705">
        <v>91.414139876243695</v>
      </c>
      <c r="AN9705">
        <v>0.99999998602819395</v>
      </c>
    </row>
    <row r="9706" spans="1:40" x14ac:dyDescent="0.25">
      <c r="A9706" t="str">
        <f>"20190312150913011"</f>
        <v>20190312150913011</v>
      </c>
      <c r="B9706" t="str">
        <f>"1552374553008809"</f>
        <v>1552374553008809</v>
      </c>
      <c r="C9706" t="s">
        <v>40</v>
      </c>
      <c r="D9706">
        <v>4.6444850000000004</v>
      </c>
      <c r="E9706">
        <v>0.54965059999999999</v>
      </c>
      <c r="F9706" t="s">
        <v>90</v>
      </c>
      <c r="G9706">
        <v>-218.92580000000001</v>
      </c>
      <c r="H9706" s="1">
        <v>-3.5913190000000001E-6</v>
      </c>
      <c r="I9706">
        <v>-64.296940000000006</v>
      </c>
      <c r="J9706">
        <v>-244.01730000000001</v>
      </c>
      <c r="K9706">
        <v>1.1099810000000001</v>
      </c>
      <c r="L9706">
        <v>-62.175690000000003</v>
      </c>
      <c r="M9706">
        <v>0.99972720000000004</v>
      </c>
      <c r="N9706">
        <v>0</v>
      </c>
      <c r="O9706">
        <v>2.070992E-2</v>
      </c>
      <c r="P9706">
        <v>0.99883149999999998</v>
      </c>
      <c r="Q9706">
        <v>1.3435509999999999E-2</v>
      </c>
      <c r="R9706">
        <v>4.6427400000000001E-2</v>
      </c>
      <c r="S9706">
        <v>3.016632</v>
      </c>
      <c r="T9706">
        <v>-0.13266549999999999</v>
      </c>
      <c r="U9706">
        <v>-0.2531738</v>
      </c>
      <c r="V9706">
        <v>-2.5730530000000001E-2</v>
      </c>
      <c r="W9706">
        <v>2.4233660000000001E-2</v>
      </c>
      <c r="X9706">
        <v>0.99937520000000002</v>
      </c>
      <c r="Y9706">
        <v>0.10413269999999999</v>
      </c>
      <c r="Z9706">
        <v>-3.1936080000000001E-3</v>
      </c>
      <c r="AA9706">
        <v>0.99455830000000001</v>
      </c>
      <c r="AB9706">
        <v>30</v>
      </c>
      <c r="AC9706">
        <v>25.0915</v>
      </c>
      <c r="AD9706">
        <v>-1.1099845913189901</v>
      </c>
      <c r="AE9706">
        <v>-2.1212499999999999</v>
      </c>
      <c r="AF9706">
        <v>2.6353476006742098</v>
      </c>
      <c r="AG9706">
        <v>-1.1099845913189901</v>
      </c>
      <c r="AH9706">
        <v>24.993620158895101</v>
      </c>
      <c r="AI9706">
        <v>92.528875233367003</v>
      </c>
      <c r="AJ9706">
        <v>83.980926955574006</v>
      </c>
      <c r="AK9706">
        <v>25.1566725028663</v>
      </c>
      <c r="AL9706">
        <v>88.611377705021795</v>
      </c>
      <c r="AM9706">
        <v>91.474846632802596</v>
      </c>
      <c r="AN9706">
        <v>1.0000000604130499</v>
      </c>
    </row>
    <row r="9707" spans="1:40" x14ac:dyDescent="0.25">
      <c r="A9707" t="str">
        <f>"20190312150913023"</f>
        <v>20190312150913023</v>
      </c>
      <c r="B9707" t="str">
        <f>"1552374553019544"</f>
        <v>1552374553019544</v>
      </c>
      <c r="C9707" t="s">
        <v>40</v>
      </c>
      <c r="D9707">
        <v>4.4491420000000002</v>
      </c>
      <c r="E9707">
        <v>0.56461680000000003</v>
      </c>
      <c r="F9707" t="s">
        <v>90</v>
      </c>
      <c r="G9707">
        <v>-218.90639999999999</v>
      </c>
      <c r="H9707" s="1">
        <v>-3.5793370000000002E-6</v>
      </c>
      <c r="I9707">
        <v>-64.266559999999998</v>
      </c>
      <c r="J9707">
        <v>-243.85919999999999</v>
      </c>
      <c r="K9707">
        <v>1.1099829999999999</v>
      </c>
      <c r="L9707">
        <v>-62.172359999999998</v>
      </c>
      <c r="M9707">
        <v>0.99972740000000004</v>
      </c>
      <c r="N9707">
        <v>0</v>
      </c>
      <c r="O9707">
        <v>2.0702180000000001E-2</v>
      </c>
      <c r="P9707">
        <v>0.99879759999999995</v>
      </c>
      <c r="Q9707">
        <v>1.3306119999999999E-2</v>
      </c>
      <c r="R9707">
        <v>4.718754E-2</v>
      </c>
      <c r="S9707">
        <v>3.0170140000000001</v>
      </c>
      <c r="T9707">
        <v>-0.1333618</v>
      </c>
      <c r="U9707">
        <v>-0.25122070000000002</v>
      </c>
      <c r="V9707">
        <v>-2.649878E-2</v>
      </c>
      <c r="W9707">
        <v>2.4106860000000001E-2</v>
      </c>
      <c r="X9707">
        <v>0.99935810000000003</v>
      </c>
      <c r="Y9707">
        <v>0.1034746</v>
      </c>
      <c r="Z9707">
        <v>-3.1951760000000001E-3</v>
      </c>
      <c r="AA9707">
        <v>0.99462689999999998</v>
      </c>
      <c r="AB9707">
        <v>30</v>
      </c>
      <c r="AC9707">
        <v>24.9528</v>
      </c>
      <c r="AD9707">
        <v>-1.1099865793369901</v>
      </c>
      <c r="AE9707">
        <v>-2.0941999999999998</v>
      </c>
      <c r="AF9707">
        <v>2.60523946437212</v>
      </c>
      <c r="AG9707">
        <v>-1.1099865793369901</v>
      </c>
      <c r="AH9707">
        <v>24.855255626117</v>
      </c>
      <c r="AI9707">
        <v>92.543104006178396</v>
      </c>
      <c r="AJ9707">
        <v>84.016309650604398</v>
      </c>
      <c r="AK9707">
        <v>25.016056346128</v>
      </c>
      <c r="AL9707">
        <v>88.618644806256597</v>
      </c>
      <c r="AM9707">
        <v>91.518887554964493</v>
      </c>
      <c r="AN9707">
        <v>0.99999996903807797</v>
      </c>
    </row>
    <row r="9708" spans="1:40" x14ac:dyDescent="0.25">
      <c r="A9708" t="str">
        <f>"20190312150913035"</f>
        <v>20190312150913035</v>
      </c>
      <c r="B9708" t="str">
        <f>"1552374553029305"</f>
        <v>1552374553029305</v>
      </c>
      <c r="C9708" t="s">
        <v>40</v>
      </c>
      <c r="D9708">
        <v>4.5142429999999996</v>
      </c>
      <c r="E9708">
        <v>0.5625848</v>
      </c>
      <c r="F9708" t="s">
        <v>89</v>
      </c>
      <c r="G9708">
        <v>-223.7508</v>
      </c>
      <c r="H9708" s="1">
        <v>-1.6681340000000001E-6</v>
      </c>
      <c r="I9708">
        <v>-64.615489999999994</v>
      </c>
      <c r="J9708">
        <v>-243.70330000000001</v>
      </c>
      <c r="K9708">
        <v>1.10998</v>
      </c>
      <c r="L9708">
        <v>-62.169159999999998</v>
      </c>
      <c r="M9708">
        <v>0.99972749999999999</v>
      </c>
      <c r="N9708">
        <v>0</v>
      </c>
      <c r="O9708">
        <v>2.0693590000000001E-2</v>
      </c>
      <c r="P9708">
        <v>0.99875029999999998</v>
      </c>
      <c r="Q9708">
        <v>1.3432349999999999E-2</v>
      </c>
      <c r="R9708">
        <v>4.8138819999999999E-2</v>
      </c>
      <c r="S9708">
        <v>3.0231780000000001</v>
      </c>
      <c r="T9708">
        <v>-0.16687959999999999</v>
      </c>
      <c r="U9708">
        <v>-0.36730960000000001</v>
      </c>
      <c r="V9708">
        <v>-2.745889E-2</v>
      </c>
      <c r="W9708">
        <v>2.423604E-2</v>
      </c>
      <c r="X9708">
        <v>0.99932909999999997</v>
      </c>
      <c r="Y9708">
        <v>0.14088619999999999</v>
      </c>
      <c r="Z9708">
        <v>-5.0089119999999999E-3</v>
      </c>
      <c r="AA9708">
        <v>0.99001309999999998</v>
      </c>
      <c r="AB9708">
        <v>30</v>
      </c>
      <c r="AC9708">
        <v>19.952500000000001</v>
      </c>
      <c r="AD9708">
        <v>-1.109981668134</v>
      </c>
      <c r="AE9708">
        <v>-2.4463300000000099</v>
      </c>
      <c r="AF9708">
        <v>2.8500293120726798</v>
      </c>
      <c r="AG9708">
        <v>-1.109981668134</v>
      </c>
      <c r="AH9708">
        <v>19.837117356756199</v>
      </c>
      <c r="AI9708">
        <v>93.170149677661996</v>
      </c>
      <c r="AJ9708">
        <v>81.824174262239694</v>
      </c>
      <c r="AK9708">
        <v>20.071520904231001</v>
      </c>
      <c r="AL9708">
        <v>88.611241235418902</v>
      </c>
      <c r="AM9708">
        <v>91.573938698331602</v>
      </c>
      <c r="AN9708">
        <v>1.00000001319086</v>
      </c>
    </row>
    <row r="9709" spans="1:40" x14ac:dyDescent="0.25">
      <c r="A9709" t="str">
        <f>"20190312150913046"</f>
        <v>20190312150913046</v>
      </c>
      <c r="B9709" t="str">
        <f>"1552374553039065"</f>
        <v>1552374553039065</v>
      </c>
      <c r="C9709" t="s">
        <v>40</v>
      </c>
      <c r="D9709">
        <v>4.3501810000000001</v>
      </c>
      <c r="E9709">
        <v>0.5625848</v>
      </c>
      <c r="F9709" t="s">
        <v>89</v>
      </c>
      <c r="G9709">
        <v>-224.39519999999999</v>
      </c>
      <c r="H9709" s="1">
        <v>-1.894828E-6</v>
      </c>
      <c r="I9709">
        <v>-64.391710000000003</v>
      </c>
      <c r="J9709">
        <v>-243.55330000000001</v>
      </c>
      <c r="K9709">
        <v>1.109977</v>
      </c>
      <c r="L9709">
        <v>-62.166020000000003</v>
      </c>
      <c r="M9709">
        <v>0.9997277</v>
      </c>
      <c r="N9709">
        <v>0</v>
      </c>
      <c r="O9709">
        <v>2.068507E-2</v>
      </c>
      <c r="P9709">
        <v>0.99869629999999998</v>
      </c>
      <c r="Q9709">
        <v>1.3057310000000001E-2</v>
      </c>
      <c r="R9709">
        <v>4.9350249999999998E-2</v>
      </c>
      <c r="S9709">
        <v>3.0228579999999998</v>
      </c>
      <c r="T9709">
        <v>-0.17377799999999999</v>
      </c>
      <c r="U9709">
        <v>-0.34796139999999998</v>
      </c>
      <c r="V9709">
        <v>-2.8679969999999999E-2</v>
      </c>
      <c r="W9709">
        <v>2.3863260000000001E-2</v>
      </c>
      <c r="X9709">
        <v>0.99930379999999996</v>
      </c>
      <c r="Y9709">
        <v>0.13462779999999999</v>
      </c>
      <c r="Z9709">
        <v>-5.0384749999999997E-3</v>
      </c>
      <c r="AA9709">
        <v>0.99088339999999997</v>
      </c>
      <c r="AB9709">
        <v>30</v>
      </c>
      <c r="AC9709">
        <v>19.158100000000001</v>
      </c>
      <c r="AD9709">
        <v>-1.1099788948280001</v>
      </c>
      <c r="AE9709">
        <v>-2.2256900000000002</v>
      </c>
      <c r="AF9709">
        <v>2.6128694323046</v>
      </c>
      <c r="AG9709">
        <v>-1.1099788948280001</v>
      </c>
      <c r="AH9709">
        <v>19.044880855478802</v>
      </c>
      <c r="AI9709">
        <v>93.304668153931601</v>
      </c>
      <c r="AJ9709">
        <v>82.188054467917397</v>
      </c>
      <c r="AK9709">
        <v>19.2553012600846</v>
      </c>
      <c r="AL9709">
        <v>88.6326061724601</v>
      </c>
      <c r="AM9709">
        <v>91.643934795562103</v>
      </c>
      <c r="AN9709">
        <v>1.0000000402757301</v>
      </c>
    </row>
    <row r="9710" spans="1:40" x14ac:dyDescent="0.25">
      <c r="A9710" t="str">
        <f>"20190312150913056"</f>
        <v>20190312150913056</v>
      </c>
      <c r="B9710" t="str">
        <f>"1552374553048826"</f>
        <v>1552374553048826</v>
      </c>
      <c r="C9710" t="s">
        <v>40</v>
      </c>
      <c r="D9710">
        <v>4.5358530000000004</v>
      </c>
      <c r="E9710">
        <v>0.52844380000000002</v>
      </c>
      <c r="F9710" t="s">
        <v>89</v>
      </c>
      <c r="G9710">
        <v>-224.35939999999999</v>
      </c>
      <c r="H9710" s="1">
        <v>-1.8707050000000001E-6</v>
      </c>
      <c r="I9710">
        <v>-64.352310000000003</v>
      </c>
      <c r="J9710">
        <v>-243.40110000000001</v>
      </c>
      <c r="K9710">
        <v>1.109974</v>
      </c>
      <c r="L9710">
        <v>-62.1629</v>
      </c>
      <c r="M9710">
        <v>0.9997277</v>
      </c>
      <c r="N9710">
        <v>0</v>
      </c>
      <c r="O9710">
        <v>2.067517E-2</v>
      </c>
      <c r="P9710">
        <v>0.99864019999999998</v>
      </c>
      <c r="Q9710">
        <v>1.29323999999999E-2</v>
      </c>
      <c r="R9710">
        <v>5.0500469999999999E-2</v>
      </c>
      <c r="S9710">
        <v>3.023209</v>
      </c>
      <c r="T9710">
        <v>-0.1748313</v>
      </c>
      <c r="U9710">
        <v>-0.34436040000000001</v>
      </c>
      <c r="V9710">
        <v>-2.9840800000000001E-2</v>
      </c>
      <c r="W9710">
        <v>2.3741700000000001E-2</v>
      </c>
      <c r="X9710">
        <v>0.99927259999999996</v>
      </c>
      <c r="Y9710">
        <v>0.1334388</v>
      </c>
      <c r="Z9710">
        <v>-5.0339080000000001E-3</v>
      </c>
      <c r="AA9710">
        <v>0.99104429999999999</v>
      </c>
      <c r="AB9710">
        <v>30</v>
      </c>
      <c r="AC9710">
        <v>19.041699999999999</v>
      </c>
      <c r="AD9710">
        <v>-1.109975870705</v>
      </c>
      <c r="AE9710">
        <v>-2.1894100000000001</v>
      </c>
      <c r="AF9710">
        <v>2.5740231261930102</v>
      </c>
      <c r="AG9710">
        <v>-1.109975870705</v>
      </c>
      <c r="AH9710">
        <v>18.9288802444566</v>
      </c>
      <c r="AI9710">
        <v>93.325404529223604</v>
      </c>
      <c r="AJ9710">
        <v>82.256194666516393</v>
      </c>
      <c r="AK9710">
        <v>19.135311567797999</v>
      </c>
      <c r="AL9710">
        <v>88.639572878262996</v>
      </c>
      <c r="AM9710">
        <v>91.710488142858196</v>
      </c>
      <c r="AN9710">
        <v>0.99999993538714205</v>
      </c>
    </row>
    <row r="9711" spans="1:40" x14ac:dyDescent="0.25">
      <c r="A9711" t="str">
        <f>"20190312150913068"</f>
        <v>20190312150913068</v>
      </c>
      <c r="B9711" t="str">
        <f>"1552374553059561"</f>
        <v>1552374553059561</v>
      </c>
      <c r="C9711" t="s">
        <v>40</v>
      </c>
      <c r="D9711">
        <v>4.5820210000000001</v>
      </c>
      <c r="E9711">
        <v>0.51838220000000002</v>
      </c>
      <c r="F9711" t="s">
        <v>73</v>
      </c>
      <c r="G9711">
        <v>-185.25640000000001</v>
      </c>
      <c r="H9711" s="1">
        <v>-9.6090629999999997E-6</v>
      </c>
      <c r="I9711">
        <v>-63.561329999999998</v>
      </c>
      <c r="J9711">
        <v>-243.25479999999999</v>
      </c>
      <c r="K9711">
        <v>1.1099749999999999</v>
      </c>
      <c r="L9711">
        <v>-62.159880000000001</v>
      </c>
      <c r="M9711">
        <v>0.99972799999999995</v>
      </c>
      <c r="N9711">
        <v>0</v>
      </c>
      <c r="O9711">
        <v>2.0664729999999999E-2</v>
      </c>
      <c r="P9711">
        <v>0.99858139999999995</v>
      </c>
      <c r="Q9711">
        <v>1.300599E-2</v>
      </c>
      <c r="R9711">
        <v>5.163856E-2</v>
      </c>
      <c r="S9711">
        <v>3.0084840000000002</v>
      </c>
      <c r="T9711">
        <v>-5.743206E-2</v>
      </c>
      <c r="U9711">
        <v>-7.2357179999999993E-2</v>
      </c>
      <c r="V9711">
        <v>-3.0989539999999999E-2</v>
      </c>
      <c r="W9711">
        <v>2.3817499999999998E-2</v>
      </c>
      <c r="X9711">
        <v>0.99923589999999995</v>
      </c>
      <c r="Y9711">
        <v>4.4687030000000003E-2</v>
      </c>
      <c r="Z9711">
        <v>-8.2086179999999896E-4</v>
      </c>
      <c r="AA9711">
        <v>0.99900069999999996</v>
      </c>
      <c r="AB9711">
        <v>30</v>
      </c>
      <c r="AC9711">
        <v>57.998399999999897</v>
      </c>
      <c r="AD9711">
        <v>-1.1099846090629999</v>
      </c>
      <c r="AE9711">
        <v>-1.4014500000000001</v>
      </c>
      <c r="AF9711">
        <v>2.59879073001412</v>
      </c>
      <c r="AG9711">
        <v>-1.1099846090629999</v>
      </c>
      <c r="AH9711">
        <v>57.935843586654002</v>
      </c>
      <c r="AI9711">
        <v>91.096485140397803</v>
      </c>
      <c r="AJ9711">
        <v>87.431641878978596</v>
      </c>
      <c r="AK9711">
        <v>58.004721800798301</v>
      </c>
      <c r="AL9711">
        <v>88.635228723617203</v>
      </c>
      <c r="AM9711">
        <v>91.776358234615401</v>
      </c>
      <c r="AN9711">
        <v>1.0000000043722299</v>
      </c>
    </row>
    <row r="9712" spans="1:40" x14ac:dyDescent="0.25">
      <c r="A9712" t="str">
        <f>"20190312150913079"</f>
        <v>20190312150913079</v>
      </c>
      <c r="B9712" t="str">
        <f>"1552374553069321"</f>
        <v>1552374553069321</v>
      </c>
      <c r="C9712" t="s">
        <v>40</v>
      </c>
      <c r="D9712">
        <v>4.4195000000000002</v>
      </c>
      <c r="E9712">
        <v>0.5091234</v>
      </c>
      <c r="F9712" t="s">
        <v>73</v>
      </c>
      <c r="G9712">
        <v>-191.7655</v>
      </c>
      <c r="H9712" s="1">
        <v>-9.1526699999999992E-6</v>
      </c>
      <c r="I9712">
        <v>-61.963760000000001</v>
      </c>
      <c r="J9712">
        <v>-243.10249999999999</v>
      </c>
      <c r="K9712">
        <v>1.10997099999999</v>
      </c>
      <c r="L9712">
        <v>-62.156739999999999</v>
      </c>
      <c r="M9712">
        <v>0.99972810000000001</v>
      </c>
      <c r="N9712">
        <v>0</v>
      </c>
      <c r="O9712">
        <v>2.0653339999999999E-2</v>
      </c>
      <c r="P9712">
        <v>0.99850419999999995</v>
      </c>
      <c r="Q9712">
        <v>1.2968520000000001E-2</v>
      </c>
      <c r="R9712">
        <v>5.3114359999999999E-2</v>
      </c>
      <c r="S9712">
        <v>3.0045169999999999</v>
      </c>
      <c r="T9712">
        <v>-6.4769980000000005E-2</v>
      </c>
      <c r="U9712">
        <v>1.1444090000000001E-2</v>
      </c>
      <c r="V9712">
        <v>-3.2478029999999998E-2</v>
      </c>
      <c r="W9712">
        <v>2.3783169999999999E-2</v>
      </c>
      <c r="X9712">
        <v>0.99918940000000001</v>
      </c>
      <c r="Y9712">
        <v>1.683757E-2</v>
      </c>
      <c r="Z9712">
        <v>-6.2664640000000005E-4</v>
      </c>
      <c r="AA9712">
        <v>0.99985800000000002</v>
      </c>
      <c r="AB9712">
        <v>30</v>
      </c>
      <c r="AC9712">
        <v>51.336999999999897</v>
      </c>
      <c r="AD9712">
        <v>-1.10998015266999</v>
      </c>
      <c r="AE9712">
        <v>0.19297999999999799</v>
      </c>
      <c r="AF9712">
        <v>0.86699849855991795</v>
      </c>
      <c r="AG9712">
        <v>-1.10998015266999</v>
      </c>
      <c r="AH9712">
        <v>51.306049729194001</v>
      </c>
      <c r="AI9712">
        <v>91.239194689709095</v>
      </c>
      <c r="AJ9712">
        <v>89.031875823049006</v>
      </c>
      <c r="AK9712">
        <v>51.325378529050802</v>
      </c>
      <c r="AL9712">
        <v>88.637196183674007</v>
      </c>
      <c r="AM9712">
        <v>91.861708209478394</v>
      </c>
      <c r="AN9712">
        <v>0.99999995934014396</v>
      </c>
    </row>
    <row r="9713" spans="1:40" x14ac:dyDescent="0.25">
      <c r="A9713" t="str">
        <f>"20190312150913090"</f>
        <v>20190312150913090</v>
      </c>
      <c r="B9713" t="str">
        <f>"1552374553079081"</f>
        <v>1552374553079081</v>
      </c>
      <c r="C9713" t="s">
        <v>40</v>
      </c>
      <c r="D9713">
        <v>4.4384819999999996</v>
      </c>
      <c r="E9713">
        <v>0.50292570000000003</v>
      </c>
      <c r="F9713" t="s">
        <v>73</v>
      </c>
      <c r="G9713">
        <v>-198.63509999999999</v>
      </c>
      <c r="H9713" s="1">
        <v>-6.2885309999999998E-6</v>
      </c>
      <c r="I9713">
        <v>-60.824449999999999</v>
      </c>
      <c r="J9713">
        <v>-242.95099999999999</v>
      </c>
      <c r="K9713">
        <v>1.1099699999999999</v>
      </c>
      <c r="L9713">
        <v>-62.153590000000001</v>
      </c>
      <c r="M9713">
        <v>0.99972839999999996</v>
      </c>
      <c r="N9713">
        <v>0</v>
      </c>
      <c r="O9713">
        <v>2.0640760000000001E-2</v>
      </c>
      <c r="P9713">
        <v>0.99843820000000005</v>
      </c>
      <c r="Q9713">
        <v>1.309449E-2</v>
      </c>
      <c r="R9713">
        <v>5.4309030000000001E-2</v>
      </c>
      <c r="S9713">
        <v>3.0007169999999999</v>
      </c>
      <c r="T9713">
        <v>-7.4902769999999994E-2</v>
      </c>
      <c r="U9713">
        <v>8.9904789999999998E-2</v>
      </c>
      <c r="V9713">
        <v>-3.3686180000000003E-2</v>
      </c>
      <c r="W9713">
        <v>2.391188E-2</v>
      </c>
      <c r="X9713">
        <v>0.99914630000000004</v>
      </c>
      <c r="Y9713">
        <v>-9.3120990000000008E-3</v>
      </c>
      <c r="Z9713">
        <v>-3.9881569999999998E-4</v>
      </c>
      <c r="AA9713">
        <v>0.99995650000000003</v>
      </c>
      <c r="AB9713">
        <v>30</v>
      </c>
      <c r="AC9713">
        <v>44.315899999999999</v>
      </c>
      <c r="AD9713">
        <v>-1.1099762885310001</v>
      </c>
      <c r="AE9713">
        <v>1.32914</v>
      </c>
      <c r="AF9713">
        <v>-0.41383001013676102</v>
      </c>
      <c r="AG9713">
        <v>-1.1099762885310001</v>
      </c>
      <c r="AH9713">
        <v>44.3061233995655</v>
      </c>
      <c r="AI9713">
        <v>91.435036054521504</v>
      </c>
      <c r="AJ9713">
        <v>90.535141008166093</v>
      </c>
      <c r="AK9713">
        <v>44.321957011575201</v>
      </c>
      <c r="AL9713">
        <v>88.629819509307495</v>
      </c>
      <c r="AM9713">
        <v>91.930993624600603</v>
      </c>
      <c r="AN9713">
        <v>0.99999993276590604</v>
      </c>
    </row>
    <row r="9714" spans="1:40" x14ac:dyDescent="0.25">
      <c r="A9714" t="str">
        <f>"20190312150913100"</f>
        <v>20190312150913100</v>
      </c>
      <c r="B9714" t="str">
        <f>"1552374553088840"</f>
        <v>1552374553088840</v>
      </c>
      <c r="C9714" t="s">
        <v>40</v>
      </c>
      <c r="D9714">
        <v>4.6144550000000004</v>
      </c>
      <c r="E9714">
        <v>0.49895349999999999</v>
      </c>
      <c r="F9714" t="s">
        <v>73</v>
      </c>
      <c r="G9714">
        <v>-204.0206</v>
      </c>
      <c r="H9714" s="1">
        <v>-3.6736350000000002E-6</v>
      </c>
      <c r="I9714">
        <v>-60.295439999999999</v>
      </c>
      <c r="J9714">
        <v>-242.80670000000001</v>
      </c>
      <c r="K9714">
        <v>1.1099699999999999</v>
      </c>
      <c r="L9714">
        <v>-62.150599999999997</v>
      </c>
      <c r="M9714">
        <v>0.99972870000000003</v>
      </c>
      <c r="N9714">
        <v>0</v>
      </c>
      <c r="O9714">
        <v>2.062717E-2</v>
      </c>
      <c r="P9714">
        <v>0.99837450000000005</v>
      </c>
      <c r="Q9714">
        <v>1.299138E-2</v>
      </c>
      <c r="R9714">
        <v>5.5498480000000003E-2</v>
      </c>
      <c r="S9714">
        <v>2.9980319999999998</v>
      </c>
      <c r="T9714">
        <v>-8.5479139999999995E-2</v>
      </c>
      <c r="U9714">
        <v>0.1430969</v>
      </c>
      <c r="V9714">
        <v>-3.4890190000000001E-2</v>
      </c>
      <c r="W9714">
        <v>2.3811300000000001E-2</v>
      </c>
      <c r="X9714">
        <v>0.99910739999999998</v>
      </c>
      <c r="Y9714">
        <v>-2.7058349999999998E-2</v>
      </c>
      <c r="Z9714">
        <v>-2.0215080000000001E-4</v>
      </c>
      <c r="AA9714">
        <v>0.99963380000000002</v>
      </c>
      <c r="AB9714">
        <v>30</v>
      </c>
      <c r="AC9714">
        <v>38.786099999999998</v>
      </c>
      <c r="AD9714">
        <v>-1.1099736736349901</v>
      </c>
      <c r="AE9714">
        <v>1.8551599999999899</v>
      </c>
      <c r="AF9714">
        <v>-1.0538098622721801</v>
      </c>
      <c r="AG9714">
        <v>-1.1099736736349901</v>
      </c>
      <c r="AH9714">
        <v>38.784424584517097</v>
      </c>
      <c r="AI9714">
        <v>91.638699291025503</v>
      </c>
      <c r="AJ9714">
        <v>91.556398123584202</v>
      </c>
      <c r="AK9714">
        <v>38.814612546489201</v>
      </c>
      <c r="AL9714">
        <v>88.6355839840909</v>
      </c>
      <c r="AM9714">
        <v>92.000033838583093</v>
      </c>
      <c r="AN9714">
        <v>0.99999995005034104</v>
      </c>
    </row>
    <row r="9715" spans="1:40" x14ac:dyDescent="0.25">
      <c r="A9715" t="str">
        <f>"20190312150913112"</f>
        <v>20190312150913112</v>
      </c>
      <c r="B9715" t="str">
        <f>"1552374553109337"</f>
        <v>1552374553109337</v>
      </c>
      <c r="C9715" t="s">
        <v>40</v>
      </c>
      <c r="D9715">
        <v>4.4023760000000003</v>
      </c>
      <c r="E9715">
        <v>0.494701</v>
      </c>
      <c r="F9715" t="s">
        <v>73</v>
      </c>
      <c r="G9715">
        <v>-202.78360000000001</v>
      </c>
      <c r="H9715" s="1">
        <v>-4.420651E-6</v>
      </c>
      <c r="I9715">
        <v>-59.768999999999998</v>
      </c>
      <c r="J9715">
        <v>-242.6532</v>
      </c>
      <c r="K9715">
        <v>1.109966</v>
      </c>
      <c r="L9715">
        <v>-62.14743</v>
      </c>
      <c r="M9715">
        <v>0.99972910000000004</v>
      </c>
      <c r="N9715">
        <v>0</v>
      </c>
      <c r="O9715">
        <v>2.0610409999999999E-2</v>
      </c>
      <c r="P9715">
        <v>0.9982877</v>
      </c>
      <c r="Q9715">
        <v>1.3339520000000001E-2</v>
      </c>
      <c r="R9715">
        <v>5.6957599999999997E-2</v>
      </c>
      <c r="S9715">
        <v>2.9960779999999998</v>
      </c>
      <c r="T9715">
        <v>-8.309126E-2</v>
      </c>
      <c r="U9715">
        <v>0.17828369999999999</v>
      </c>
      <c r="V9715">
        <v>-3.6367190000000001E-2</v>
      </c>
      <c r="W9715">
        <v>2.4161680000000001E-2</v>
      </c>
      <c r="X9715">
        <v>0.9990464</v>
      </c>
      <c r="Y9715">
        <v>-3.8805800000000001E-2</v>
      </c>
      <c r="Z9715" s="1">
        <v>-3.3367890000000002E-5</v>
      </c>
      <c r="AA9715">
        <v>0.99924679999999999</v>
      </c>
      <c r="AB9715">
        <v>30</v>
      </c>
      <c r="AC9715">
        <v>39.869599999999899</v>
      </c>
      <c r="AD9715">
        <v>-1.1099704206509999</v>
      </c>
      <c r="AE9715">
        <v>2.3784299999999998</v>
      </c>
      <c r="AF9715">
        <v>-1.55494695575441</v>
      </c>
      <c r="AG9715">
        <v>-1.1099704206509999</v>
      </c>
      <c r="AH9715">
        <v>39.879353760449597</v>
      </c>
      <c r="AI9715">
        <v>91.593103910381302</v>
      </c>
      <c r="AJ9715">
        <v>92.232904530408703</v>
      </c>
      <c r="AK9715">
        <v>39.925089238735801</v>
      </c>
      <c r="AL9715">
        <v>88.615503026782804</v>
      </c>
      <c r="AM9715">
        <v>92.084754889757605</v>
      </c>
      <c r="AN9715">
        <v>1.0000000343209301</v>
      </c>
    </row>
    <row r="9716" spans="1:40" x14ac:dyDescent="0.25">
      <c r="A9716" t="str">
        <f>"20190312150913123"</f>
        <v>20190312150913123</v>
      </c>
      <c r="B9716" t="str">
        <f>"1552374553119097"</f>
        <v>1552374553119097</v>
      </c>
      <c r="C9716" t="s">
        <v>40</v>
      </c>
      <c r="D9716">
        <v>4.3989589999999996</v>
      </c>
      <c r="E9716">
        <v>0.49334139999999999</v>
      </c>
      <c r="F9716" t="s">
        <v>73</v>
      </c>
      <c r="G9716">
        <v>-200.95509999999999</v>
      </c>
      <c r="H9716" s="1">
        <v>-5.4934629999999996E-6</v>
      </c>
      <c r="I9716">
        <v>-59.132579999999997</v>
      </c>
      <c r="J9716">
        <v>-242.50059999999999</v>
      </c>
      <c r="K9716">
        <v>1.109958</v>
      </c>
      <c r="L9716">
        <v>-62.144319999999901</v>
      </c>
      <c r="M9716">
        <v>0.99972930000000004</v>
      </c>
      <c r="N9716">
        <v>0</v>
      </c>
      <c r="O9716">
        <v>2.0592639999999999E-2</v>
      </c>
      <c r="P9716">
        <v>0.99821649999999995</v>
      </c>
      <c r="Q9716">
        <v>1.321982E-2</v>
      </c>
      <c r="R9716">
        <v>5.8216329999999997E-2</v>
      </c>
      <c r="S9716">
        <v>2.9938509999999998</v>
      </c>
      <c r="T9716">
        <v>-7.9694029999999999E-2</v>
      </c>
      <c r="U9716">
        <v>0.21646119999999999</v>
      </c>
      <c r="V9716">
        <v>-3.764493E-2</v>
      </c>
      <c r="W9716">
        <v>2.4044880000000001E-2</v>
      </c>
      <c r="X9716">
        <v>0.9990019</v>
      </c>
      <c r="Y9716">
        <v>-5.1547269999999999E-2</v>
      </c>
      <c r="Z9716">
        <v>1.378087E-4</v>
      </c>
      <c r="AA9716">
        <v>0.99867050000000002</v>
      </c>
      <c r="AB9716">
        <v>30</v>
      </c>
      <c r="AC9716">
        <v>41.545499999999997</v>
      </c>
      <c r="AD9716">
        <v>-1.1099634934630001</v>
      </c>
      <c r="AE9716">
        <v>3.0117399999999801</v>
      </c>
      <c r="AF9716">
        <v>-2.1539901339984602</v>
      </c>
      <c r="AG9716">
        <v>-1.1099634934630001</v>
      </c>
      <c r="AH9716">
        <v>41.569196030167397</v>
      </c>
      <c r="AI9716">
        <v>91.527476502151799</v>
      </c>
      <c r="AJ9716">
        <v>92.966241284037494</v>
      </c>
      <c r="AK9716">
        <v>41.639761659364297</v>
      </c>
      <c r="AL9716">
        <v>88.622197135343299</v>
      </c>
      <c r="AM9716">
        <v>92.158029495406794</v>
      </c>
      <c r="AN9716">
        <v>1.00000004660626</v>
      </c>
    </row>
    <row r="9717" spans="1:40" x14ac:dyDescent="0.25">
      <c r="A9717" t="str">
        <f>"20190312150913134"</f>
        <v>20190312150913134</v>
      </c>
      <c r="B9717" t="str">
        <f>"1552374553128857"</f>
        <v>1552374553128857</v>
      </c>
      <c r="C9717" t="s">
        <v>40</v>
      </c>
      <c r="D9717">
        <v>4.4644190000000004</v>
      </c>
      <c r="E9717">
        <v>0.49192829999999899</v>
      </c>
      <c r="F9717" t="s">
        <v>73</v>
      </c>
      <c r="G9717">
        <v>-200.98140000000001</v>
      </c>
      <c r="H9717" s="1">
        <v>-5.522875E-6</v>
      </c>
      <c r="I9717">
        <v>-58.939540000000001</v>
      </c>
      <c r="J9717">
        <v>-242.34460000000001</v>
      </c>
      <c r="K9717">
        <v>1.1099540000000001</v>
      </c>
      <c r="L9717">
        <v>-62.141109999999998</v>
      </c>
      <c r="M9717">
        <v>0.99972969999999906</v>
      </c>
      <c r="N9717">
        <v>0</v>
      </c>
      <c r="O9717">
        <v>2.0569259999999999E-2</v>
      </c>
      <c r="P9717">
        <v>0.99812520000000005</v>
      </c>
      <c r="Q9717">
        <v>1.368286E-2</v>
      </c>
      <c r="R9717">
        <v>5.9656760000000003E-2</v>
      </c>
      <c r="S9717">
        <v>2.9929350000000001</v>
      </c>
      <c r="T9717">
        <v>-8.0012199999999895E-2</v>
      </c>
      <c r="U9717">
        <v>0.2310181</v>
      </c>
      <c r="V9717">
        <v>-3.9109730000000002E-2</v>
      </c>
      <c r="W9717">
        <v>2.451062E-2</v>
      </c>
      <c r="X9717">
        <v>0.99893430000000005</v>
      </c>
      <c r="Y9717">
        <v>-5.6420400000000002E-2</v>
      </c>
      <c r="Z9717">
        <v>2.040365E-4</v>
      </c>
      <c r="AA9717">
        <v>0.99840709999999999</v>
      </c>
      <c r="AB9717">
        <v>30</v>
      </c>
      <c r="AC9717">
        <v>41.363199999999999</v>
      </c>
      <c r="AD9717">
        <v>-1.1099595228749899</v>
      </c>
      <c r="AE9717">
        <v>3.20156999999999</v>
      </c>
      <c r="AF9717">
        <v>-2.3483512387450398</v>
      </c>
      <c r="AG9717">
        <v>-1.1099595228749899</v>
      </c>
      <c r="AH9717">
        <v>41.390678104820601</v>
      </c>
      <c r="AI9717">
        <v>91.533647740581003</v>
      </c>
      <c r="AJ9717">
        <v>93.247265479207996</v>
      </c>
      <c r="AK9717">
        <v>41.472099026451701</v>
      </c>
      <c r="AL9717">
        <v>88.5955043210909</v>
      </c>
      <c r="AM9717">
        <v>92.242067952536502</v>
      </c>
      <c r="AN9717">
        <v>1.0000000385949701</v>
      </c>
    </row>
    <row r="9718" spans="1:40" x14ac:dyDescent="0.25">
      <c r="A9718" t="str">
        <f>"20190312150913146"</f>
        <v>20190312150913146</v>
      </c>
      <c r="B9718" t="str">
        <f>"1552374553138617"</f>
        <v>1552374553138617</v>
      </c>
      <c r="C9718" t="s">
        <v>40</v>
      </c>
      <c r="D9718">
        <v>4.3952260000000001</v>
      </c>
      <c r="E9718">
        <v>0.49111670000000002</v>
      </c>
      <c r="F9718" t="s">
        <v>73</v>
      </c>
      <c r="G9718">
        <v>-204.35730000000001</v>
      </c>
      <c r="H9718" s="1">
        <v>-3.7875830000000001E-6</v>
      </c>
      <c r="I9718">
        <v>-59.007800000000003</v>
      </c>
      <c r="J9718">
        <v>-242.19800000000001</v>
      </c>
      <c r="K9718">
        <v>1.1099509999999999</v>
      </c>
      <c r="L9718">
        <v>-62.138120000000001</v>
      </c>
      <c r="M9718">
        <v>0.99973029999999996</v>
      </c>
      <c r="N9718">
        <v>0</v>
      </c>
      <c r="O9718">
        <v>2.054595E-2</v>
      </c>
      <c r="P9718">
        <v>0.99803719999999996</v>
      </c>
      <c r="Q9718">
        <v>1.379183E-2</v>
      </c>
      <c r="R9718">
        <v>6.1086219999999997E-2</v>
      </c>
      <c r="S9718">
        <v>2.9920650000000002</v>
      </c>
      <c r="T9718">
        <v>-8.7425829999999996E-2</v>
      </c>
      <c r="U9718">
        <v>0.24679570000000001</v>
      </c>
      <c r="V9718">
        <v>-4.0563809999999999E-2</v>
      </c>
      <c r="W9718">
        <v>2.4622160000000001E-2</v>
      </c>
      <c r="X9718">
        <v>0.99887349999999997</v>
      </c>
      <c r="Y9718">
        <v>-6.169181E-2</v>
      </c>
      <c r="Z9718">
        <v>3.0050610000000001E-4</v>
      </c>
      <c r="AA9718">
        <v>0.99809519999999996</v>
      </c>
      <c r="AB9718">
        <v>30</v>
      </c>
      <c r="AC9718">
        <v>37.840699999999899</v>
      </c>
      <c r="AD9718">
        <v>-1.109954787583</v>
      </c>
      <c r="AE9718">
        <v>3.13031999999999</v>
      </c>
      <c r="AF9718">
        <v>-2.3501321788674998</v>
      </c>
      <c r="AG9718">
        <v>-1.109954787583</v>
      </c>
      <c r="AH9718">
        <v>37.864673695187399</v>
      </c>
      <c r="AI9718">
        <v>91.675849170238294</v>
      </c>
      <c r="AJ9718">
        <v>93.551599279127203</v>
      </c>
      <c r="AK9718">
        <v>37.953769706468499</v>
      </c>
      <c r="AL9718">
        <v>88.589111525702194</v>
      </c>
      <c r="AM9718">
        <v>92.325478423060105</v>
      </c>
      <c r="AN9718">
        <v>0.99999997122351503</v>
      </c>
    </row>
    <row r="9719" spans="1:40" x14ac:dyDescent="0.25">
      <c r="A9719" t="str">
        <f>"20190312150913157"</f>
        <v>20190312150913157</v>
      </c>
      <c r="B9719" t="str">
        <f>"1552374553149353"</f>
        <v>1552374553149353</v>
      </c>
      <c r="C9719" t="s">
        <v>40</v>
      </c>
      <c r="D9719">
        <v>4.3941600000000003</v>
      </c>
      <c r="E9719">
        <v>0.49058580000000002</v>
      </c>
      <c r="F9719" t="s">
        <v>73</v>
      </c>
      <c r="G9719">
        <v>-205.06569999999999</v>
      </c>
      <c r="H9719" s="1">
        <v>-3.4374189999999998E-6</v>
      </c>
      <c r="I9719">
        <v>-58.940899999999999</v>
      </c>
      <c r="J9719">
        <v>-242.03800000000001</v>
      </c>
      <c r="K9719">
        <v>1.1099460000000001</v>
      </c>
      <c r="L9719">
        <v>-62.134860000000003</v>
      </c>
      <c r="M9719">
        <v>0.99973089999999998</v>
      </c>
      <c r="N9719">
        <v>0</v>
      </c>
      <c r="O9719">
        <v>2.0514029999999999E-2</v>
      </c>
      <c r="P9719">
        <v>0.99794660000000002</v>
      </c>
      <c r="Q9719">
        <v>1.414754E-2</v>
      </c>
      <c r="R9719">
        <v>6.2470369999999997E-2</v>
      </c>
      <c r="S9719">
        <v>2.9913940000000001</v>
      </c>
      <c r="T9719">
        <v>-8.9418410000000004E-2</v>
      </c>
      <c r="U9719">
        <v>0.25756839999999998</v>
      </c>
      <c r="V9719">
        <v>-4.1980860000000002E-2</v>
      </c>
      <c r="W9719">
        <v>2.498063E-2</v>
      </c>
      <c r="X9719">
        <v>0.99880610000000003</v>
      </c>
      <c r="Y9719">
        <v>-6.5308190000000002E-2</v>
      </c>
      <c r="Z9719">
        <v>3.6226999999999999E-4</v>
      </c>
      <c r="AA9719">
        <v>0.99786509999999995</v>
      </c>
      <c r="AB9719">
        <v>30</v>
      </c>
      <c r="AC9719">
        <v>36.972299999999898</v>
      </c>
      <c r="AD9719">
        <v>-1.109949437419</v>
      </c>
      <c r="AE9719">
        <v>3.1939599999999899</v>
      </c>
      <c r="AF9719">
        <v>-2.4326162453923699</v>
      </c>
      <c r="AG9719">
        <v>-1.109949437419</v>
      </c>
      <c r="AH9719">
        <v>36.996946534844596</v>
      </c>
      <c r="AI9719">
        <v>91.714721091501005</v>
      </c>
      <c r="AJ9719">
        <v>93.761886260773394</v>
      </c>
      <c r="AK9719">
        <v>37.0934450065389</v>
      </c>
      <c r="AL9719">
        <v>88.568566464101394</v>
      </c>
      <c r="AM9719">
        <v>92.406784634878903</v>
      </c>
      <c r="AN9719">
        <v>1.0000000249393699</v>
      </c>
    </row>
    <row r="9720" spans="1:40" x14ac:dyDescent="0.25">
      <c r="A9720" t="str">
        <f>"20190312150913167"</f>
        <v>20190312150913167</v>
      </c>
      <c r="B9720" t="str">
        <f>"1552374553159113"</f>
        <v>1552374553159113</v>
      </c>
      <c r="C9720" t="s">
        <v>40</v>
      </c>
      <c r="D9720">
        <v>4.4017299999999997</v>
      </c>
      <c r="E9720">
        <v>0.4900563</v>
      </c>
      <c r="F9720" t="s">
        <v>73</v>
      </c>
      <c r="G9720">
        <v>-205.77199999999999</v>
      </c>
      <c r="H9720" s="1">
        <v>-3.0510460000000001E-6</v>
      </c>
      <c r="I9720">
        <v>-58.910269999999997</v>
      </c>
      <c r="J9720">
        <v>-241.8929</v>
      </c>
      <c r="K9720">
        <v>1.1099429999999999</v>
      </c>
      <c r="L9720">
        <v>-62.1318699999999</v>
      </c>
      <c r="M9720">
        <v>0.9997315</v>
      </c>
      <c r="N9720">
        <v>0</v>
      </c>
      <c r="O9720">
        <v>2.0482589999999998E-2</v>
      </c>
      <c r="P9720">
        <v>0.9978747</v>
      </c>
      <c r="Q9720">
        <v>1.439843E-2</v>
      </c>
      <c r="R9720">
        <v>6.3554399999999997E-2</v>
      </c>
      <c r="S9720">
        <v>2.9908450000000002</v>
      </c>
      <c r="T9720">
        <v>-9.153712E-2</v>
      </c>
      <c r="U9720">
        <v>0.26593020000000001</v>
      </c>
      <c r="V9720">
        <v>-4.3097410000000003E-2</v>
      </c>
      <c r="W9720">
        <v>2.523471E-2</v>
      </c>
      <c r="X9720">
        <v>0.99875210000000003</v>
      </c>
      <c r="Y9720">
        <v>-6.8121340000000002E-2</v>
      </c>
      <c r="Z9720">
        <v>4.1479119999999998E-4</v>
      </c>
      <c r="AA9720">
        <v>0.99767700000000004</v>
      </c>
      <c r="AB9720">
        <v>30</v>
      </c>
      <c r="AC9720">
        <v>36.120899999999899</v>
      </c>
      <c r="AD9720">
        <v>-1.109946051046</v>
      </c>
      <c r="AE9720">
        <v>3.2215999999999898</v>
      </c>
      <c r="AF9720">
        <v>-2.4787089977729502</v>
      </c>
      <c r="AG9720">
        <v>-1.109946051046</v>
      </c>
      <c r="AH9720">
        <v>36.145450925796403</v>
      </c>
      <c r="AI9720">
        <v>91.754754096451705</v>
      </c>
      <c r="AJ9720">
        <v>93.922971308502795</v>
      </c>
      <c r="AK9720">
        <v>36.247339228707901</v>
      </c>
      <c r="AL9720">
        <v>88.554004078671397</v>
      </c>
      <c r="AM9720">
        <v>92.470852149741802</v>
      </c>
      <c r="AN9720">
        <v>0.99999996729594998</v>
      </c>
    </row>
    <row r="9721" spans="1:40" x14ac:dyDescent="0.25">
      <c r="A9721" t="str">
        <f>"20190312150913178"</f>
        <v>20190312150913178</v>
      </c>
      <c r="B9721" t="str">
        <f>"1552374553168873"</f>
        <v>1552374553168873</v>
      </c>
      <c r="C9721" t="s">
        <v>40</v>
      </c>
      <c r="D9721">
        <v>4.3811030000000004</v>
      </c>
      <c r="E9721">
        <v>0.48972179999999998</v>
      </c>
      <c r="F9721" t="s">
        <v>73</v>
      </c>
      <c r="G9721">
        <v>-205.84139999999999</v>
      </c>
      <c r="H9721" s="1">
        <v>-3.0268629999999998E-6</v>
      </c>
      <c r="I9721">
        <v>-58.835290000000001</v>
      </c>
      <c r="J9721">
        <v>-241.74100000000001</v>
      </c>
      <c r="K9721">
        <v>1.1099349999999999</v>
      </c>
      <c r="L9721">
        <v>-62.128779999999999</v>
      </c>
      <c r="M9721">
        <v>0.99973230000000002</v>
      </c>
      <c r="N9721">
        <v>0</v>
      </c>
      <c r="O9721">
        <v>2.0444940000000002E-2</v>
      </c>
      <c r="P9721">
        <v>0.99778849999999997</v>
      </c>
      <c r="Q9721">
        <v>1.455353E-2</v>
      </c>
      <c r="R9721">
        <v>6.4858379999999993E-2</v>
      </c>
      <c r="S9721">
        <v>2.990326</v>
      </c>
      <c r="T9721">
        <v>-9.2065690000000006E-2</v>
      </c>
      <c r="U9721">
        <v>0.2734375</v>
      </c>
      <c r="V9721">
        <v>-4.4440199999999999E-2</v>
      </c>
      <c r="W9721">
        <v>2.539249E-2</v>
      </c>
      <c r="X9721">
        <v>0.9986893</v>
      </c>
      <c r="Y9721">
        <v>-7.0656999999999998E-2</v>
      </c>
      <c r="Z9721">
        <v>4.573135E-4</v>
      </c>
      <c r="AA9721">
        <v>0.99750050000000001</v>
      </c>
      <c r="AB9721">
        <v>30</v>
      </c>
      <c r="AC9721">
        <v>35.8995999999999</v>
      </c>
      <c r="AD9721">
        <v>-1.1099380268629999</v>
      </c>
      <c r="AE9721">
        <v>3.2934899999999998</v>
      </c>
      <c r="AF9721">
        <v>-2.5563700131833902</v>
      </c>
      <c r="AG9721">
        <v>-1.1099380268629999</v>
      </c>
      <c r="AH9721">
        <v>35.925379651225498</v>
      </c>
      <c r="AI9721">
        <v>91.765167124118605</v>
      </c>
      <c r="AJ9721">
        <v>94.070179640434503</v>
      </c>
      <c r="AK9721">
        <v>36.033316432885698</v>
      </c>
      <c r="AL9721">
        <v>88.544961120390795</v>
      </c>
      <c r="AM9721">
        <v>92.547896806529394</v>
      </c>
      <c r="AN9721">
        <v>1.00000001392946</v>
      </c>
    </row>
    <row r="9722" spans="1:40" x14ac:dyDescent="0.25">
      <c r="A9722" t="str">
        <f>"20190312150913191"</f>
        <v>20190312150913191</v>
      </c>
      <c r="B9722" t="str">
        <f>"1552374553179609"</f>
        <v>1552374553179609</v>
      </c>
      <c r="C9722" t="s">
        <v>40</v>
      </c>
      <c r="D9722">
        <v>4.5686019999999896</v>
      </c>
      <c r="E9722">
        <v>0.4894675</v>
      </c>
      <c r="F9722" t="s">
        <v>73</v>
      </c>
      <c r="G9722">
        <v>-205.55590000000001</v>
      </c>
      <c r="H9722" s="1">
        <v>-3.2140259999999999E-6</v>
      </c>
      <c r="I9722">
        <v>-58.739229999999999</v>
      </c>
      <c r="J9722">
        <v>-241.58619999999999</v>
      </c>
      <c r="K9722">
        <v>1.109934</v>
      </c>
      <c r="L9722">
        <v>-62.1256699999999</v>
      </c>
      <c r="M9722">
        <v>0.99973319999999999</v>
      </c>
      <c r="N9722">
        <v>0</v>
      </c>
      <c r="O9722">
        <v>2.0401610000000001E-2</v>
      </c>
      <c r="P9722">
        <v>0.99770539999999996</v>
      </c>
      <c r="Q9722">
        <v>1.4776930000000001E-2</v>
      </c>
      <c r="R9722">
        <v>6.6075960000000003E-2</v>
      </c>
      <c r="S9722">
        <v>2.9897770000000001</v>
      </c>
      <c r="T9722">
        <v>-9.170818E-2</v>
      </c>
      <c r="U9722">
        <v>0.28005980000000003</v>
      </c>
      <c r="V9722">
        <v>-4.5701859999999997E-2</v>
      </c>
      <c r="W9722">
        <v>2.5619869999999999E-2</v>
      </c>
      <c r="X9722">
        <v>0.99862649999999997</v>
      </c>
      <c r="Y9722">
        <v>-7.2906440000000003E-2</v>
      </c>
      <c r="Z9722">
        <v>4.9132029999999897E-4</v>
      </c>
      <c r="AA9722">
        <v>0.99733870000000002</v>
      </c>
      <c r="AB9722">
        <v>30</v>
      </c>
      <c r="AC9722">
        <v>36.030299999999897</v>
      </c>
      <c r="AD9722">
        <v>-1.109937214026</v>
      </c>
      <c r="AE9722">
        <v>3.3864399999999799</v>
      </c>
      <c r="AF9722">
        <v>-2.6481248011557699</v>
      </c>
      <c r="AG9722">
        <v>-1.109937214026</v>
      </c>
      <c r="AH9722">
        <v>36.0579738760472</v>
      </c>
      <c r="AI9722">
        <v>91.758390389067301</v>
      </c>
      <c r="AJ9722">
        <v>94.200304588341993</v>
      </c>
      <c r="AK9722">
        <v>36.172116410672999</v>
      </c>
      <c r="AL9722">
        <v>88.531928890305494</v>
      </c>
      <c r="AM9722">
        <v>92.620296878608102</v>
      </c>
      <c r="AN9722">
        <v>0.99999996212426201</v>
      </c>
    </row>
    <row r="9723" spans="1:40" x14ac:dyDescent="0.25">
      <c r="A9723" t="str">
        <f>"20190312150913201"</f>
        <v>20190312150913201</v>
      </c>
      <c r="B9723" t="str">
        <f>"1552374553189369"</f>
        <v>1552374553189369</v>
      </c>
      <c r="C9723" t="s">
        <v>40</v>
      </c>
      <c r="D9723">
        <v>4.3983270000000001</v>
      </c>
      <c r="E9723">
        <v>0.48926219999999998</v>
      </c>
      <c r="F9723" t="s">
        <v>73</v>
      </c>
      <c r="G9723">
        <v>-204.61089999999999</v>
      </c>
      <c r="H9723" s="1">
        <v>-3.7507369999999999E-6</v>
      </c>
      <c r="I9723">
        <v>-58.591329999999999</v>
      </c>
      <c r="J9723">
        <v>-241.43950000000001</v>
      </c>
      <c r="K9723">
        <v>1.109928</v>
      </c>
      <c r="L9723">
        <v>-62.122709999999998</v>
      </c>
      <c r="M9723">
        <v>0.99973389999999995</v>
      </c>
      <c r="N9723">
        <v>0</v>
      </c>
      <c r="O9723">
        <v>2.0356719999999998E-2</v>
      </c>
      <c r="P9723">
        <v>0.99762819999999997</v>
      </c>
      <c r="Q9723">
        <v>1.4983379999999999E-2</v>
      </c>
      <c r="R9723">
        <v>6.7182149999999996E-2</v>
      </c>
      <c r="S9723">
        <v>2.9892880000000002</v>
      </c>
      <c r="T9723">
        <v>-8.9733359999999998E-2</v>
      </c>
      <c r="U9723">
        <v>0.28573609999999999</v>
      </c>
      <c r="V9723">
        <v>-4.6853930000000002E-2</v>
      </c>
      <c r="W9723">
        <v>2.5831509999999999E-2</v>
      </c>
      <c r="X9723">
        <v>0.99856769999999995</v>
      </c>
      <c r="Y9723">
        <v>-7.4843380000000001E-2</v>
      </c>
      <c r="Z9723">
        <v>5.1112569999999999E-4</v>
      </c>
      <c r="AA9723">
        <v>0.99719519999999995</v>
      </c>
      <c r="AB9723">
        <v>30</v>
      </c>
      <c r="AC9723">
        <v>36.828600000000002</v>
      </c>
      <c r="AD9723">
        <v>-1.1099317507369999</v>
      </c>
      <c r="AE9723">
        <v>3.5313799999999902</v>
      </c>
      <c r="AF9723">
        <v>-2.77839392576877</v>
      </c>
      <c r="AG9723">
        <v>-1.1099317507369999</v>
      </c>
      <c r="AH9723">
        <v>36.859684957767797</v>
      </c>
      <c r="AI9723">
        <v>91.719913177730405</v>
      </c>
      <c r="AJ9723">
        <v>94.310665567856205</v>
      </c>
      <c r="AK9723">
        <v>36.980911244639898</v>
      </c>
      <c r="AL9723">
        <v>88.519798859315699</v>
      </c>
      <c r="AM9723">
        <v>92.686412707285996</v>
      </c>
      <c r="AN9723">
        <v>1.0000000045743</v>
      </c>
    </row>
    <row r="9724" spans="1:40" x14ac:dyDescent="0.25">
      <c r="A9724" t="str">
        <f>"20190312150913212"</f>
        <v>20190312150913212</v>
      </c>
      <c r="B9724" t="str">
        <f>"1552374553208889"</f>
        <v>1552374553208889</v>
      </c>
      <c r="C9724" t="s">
        <v>40</v>
      </c>
      <c r="D9724">
        <v>4.4102839999999999</v>
      </c>
      <c r="E9724">
        <v>0.48889169999999998</v>
      </c>
      <c r="F9724" t="s">
        <v>73</v>
      </c>
      <c r="G9724">
        <v>-203.75880000000001</v>
      </c>
      <c r="H9724" s="1">
        <v>-4.2142229999999998E-6</v>
      </c>
      <c r="I9724">
        <v>-58.458930000000002</v>
      </c>
      <c r="J9724">
        <v>-241.28440000000001</v>
      </c>
      <c r="K9724">
        <v>1.1099209999999999</v>
      </c>
      <c r="L9724">
        <v>-62.119630000000001</v>
      </c>
      <c r="M9724">
        <v>0.99973509999999999</v>
      </c>
      <c r="N9724">
        <v>0</v>
      </c>
      <c r="O9724">
        <v>2.030156E-2</v>
      </c>
      <c r="P9724">
        <v>0.99752339999999995</v>
      </c>
      <c r="Q9724">
        <v>1.5165120000000001E-2</v>
      </c>
      <c r="R9724">
        <v>6.8682579999999993E-2</v>
      </c>
      <c r="S9724">
        <v>2.9889070000000002</v>
      </c>
      <c r="T9724">
        <v>-8.8042140000000005E-2</v>
      </c>
      <c r="U9724">
        <v>0.29061890000000001</v>
      </c>
      <c r="V9724">
        <v>-4.8410179999999997E-2</v>
      </c>
      <c r="W9724">
        <v>2.6019319999999999E-2</v>
      </c>
      <c r="X9724">
        <v>0.99848859999999995</v>
      </c>
      <c r="Y9724">
        <v>-7.652457E-2</v>
      </c>
      <c r="Z9724">
        <v>5.2784070000000004E-4</v>
      </c>
      <c r="AA9724">
        <v>0.99706760000000005</v>
      </c>
      <c r="AB9724">
        <v>30</v>
      </c>
      <c r="AC9724">
        <v>37.525599999999997</v>
      </c>
      <c r="AD9724">
        <v>-1.1099252142229901</v>
      </c>
      <c r="AE9724">
        <v>3.6606999999999998</v>
      </c>
      <c r="AF9724">
        <v>-2.8955631427595998</v>
      </c>
      <c r="AG9724">
        <v>-1.1099252142229901</v>
      </c>
      <c r="AH9724">
        <v>37.559638244527797</v>
      </c>
      <c r="AI9724">
        <v>91.687650791080799</v>
      </c>
      <c r="AJ9724">
        <v>94.408350399128295</v>
      </c>
      <c r="AK9724">
        <v>37.687433515094497</v>
      </c>
      <c r="AL9724">
        <v>88.509034540068498</v>
      </c>
      <c r="AM9724">
        <v>92.775723960894197</v>
      </c>
      <c r="AN9724">
        <v>1.00000001743542</v>
      </c>
    </row>
    <row r="9725" spans="1:40" x14ac:dyDescent="0.25">
      <c r="A9725" t="str">
        <f>"20190312150913225"</f>
        <v>20190312150913225</v>
      </c>
      <c r="B9725" t="str">
        <f>"1552374553218649"</f>
        <v>1552374553218649</v>
      </c>
      <c r="C9725" t="s">
        <v>40</v>
      </c>
      <c r="D9725">
        <v>4.4069409999999998</v>
      </c>
      <c r="E9725">
        <v>0.48884119999999998</v>
      </c>
      <c r="F9725" t="s">
        <v>73</v>
      </c>
      <c r="G9725">
        <v>-202.40369999999999</v>
      </c>
      <c r="H9725" s="1">
        <v>-4.9527680000000002E-6</v>
      </c>
      <c r="I9725">
        <v>-58.242199999999997</v>
      </c>
      <c r="J9725">
        <v>-241.12200000000001</v>
      </c>
      <c r="K9725">
        <v>1.109915</v>
      </c>
      <c r="L9725">
        <v>-62.11636</v>
      </c>
      <c r="M9725">
        <v>0.99973619999999996</v>
      </c>
      <c r="N9725">
        <v>0</v>
      </c>
      <c r="O9725">
        <v>2.0240480000000002E-2</v>
      </c>
      <c r="P9725">
        <v>0.99744279999999996</v>
      </c>
      <c r="Q9725">
        <v>1.5346E-2</v>
      </c>
      <c r="R9725">
        <v>6.9804550000000007E-2</v>
      </c>
      <c r="S9725">
        <v>2.9882200000000001</v>
      </c>
      <c r="T9725">
        <v>-8.5304619999999998E-2</v>
      </c>
      <c r="U9725">
        <v>0.2980042</v>
      </c>
      <c r="V9725">
        <v>-4.9594480000000003E-2</v>
      </c>
      <c r="W9725">
        <v>2.6207129999999999E-2</v>
      </c>
      <c r="X9725">
        <v>0.99842549999999997</v>
      </c>
      <c r="Y9725">
        <v>-7.9048270000000004E-2</v>
      </c>
      <c r="Z9725">
        <v>5.4915740000000002E-4</v>
      </c>
      <c r="AA9725">
        <v>0.99687060000000005</v>
      </c>
      <c r="AB9725">
        <v>30</v>
      </c>
      <c r="AC9725">
        <v>38.718299999999999</v>
      </c>
      <c r="AD9725">
        <v>-1.1099199527679999</v>
      </c>
      <c r="AE9725">
        <v>3.8741599999999998</v>
      </c>
      <c r="AF9725">
        <v>-3.08713132084636</v>
      </c>
      <c r="AG9725">
        <v>-1.1099199527679999</v>
      </c>
      <c r="AH9725">
        <v>38.757252868455502</v>
      </c>
      <c r="AI9725">
        <v>91.635196730152899</v>
      </c>
      <c r="AJ9725">
        <v>94.554165305125593</v>
      </c>
      <c r="AK9725">
        <v>38.895847490485501</v>
      </c>
      <c r="AL9725">
        <v>88.498270051724305</v>
      </c>
      <c r="AM9725">
        <v>92.843698186572198</v>
      </c>
      <c r="AN9725">
        <v>0.99999995257977703</v>
      </c>
    </row>
    <row r="9726" spans="1:40" x14ac:dyDescent="0.25">
      <c r="A9726" t="str">
        <f>"20190312150913235"</f>
        <v>20190312150913235</v>
      </c>
      <c r="B9726" t="str">
        <f>"1552374553229384"</f>
        <v>1552374553229384</v>
      </c>
      <c r="C9726" t="s">
        <v>40</v>
      </c>
      <c r="D9726">
        <v>4.3935570000000004</v>
      </c>
      <c r="E9726">
        <v>0.48877300000000001</v>
      </c>
      <c r="F9726" t="s">
        <v>73</v>
      </c>
      <c r="G9726">
        <v>-201.9434</v>
      </c>
      <c r="H9726" s="1">
        <v>-5.2058869999999998E-6</v>
      </c>
      <c r="I9726">
        <v>-58.158369999999998</v>
      </c>
      <c r="J9726">
        <v>-240.97190000000001</v>
      </c>
      <c r="K9726">
        <v>1.1099079999999999</v>
      </c>
      <c r="L9726">
        <v>-62.113399999999999</v>
      </c>
      <c r="M9726">
        <v>0.9997376</v>
      </c>
      <c r="N9726">
        <v>0</v>
      </c>
      <c r="O9726">
        <v>2.0173079999999999E-2</v>
      </c>
      <c r="P9726">
        <v>0.99736170000000002</v>
      </c>
      <c r="Q9726">
        <v>1.549851E-2</v>
      </c>
      <c r="R9726">
        <v>7.0921230000000002E-2</v>
      </c>
      <c r="S9726">
        <v>2.9878849999999999</v>
      </c>
      <c r="T9726">
        <v>-8.4645990000000004E-2</v>
      </c>
      <c r="U9726">
        <v>0.30184939999999999</v>
      </c>
      <c r="V9726">
        <v>-5.0778740000000003E-2</v>
      </c>
      <c r="W9726">
        <v>2.6367769999999999E-2</v>
      </c>
      <c r="X9726">
        <v>0.99836179999999997</v>
      </c>
      <c r="Y9726">
        <v>-8.039636E-2</v>
      </c>
      <c r="Z9726">
        <v>5.6589330000000003E-4</v>
      </c>
      <c r="AA9726">
        <v>0.99676279999999995</v>
      </c>
      <c r="AB9726">
        <v>30</v>
      </c>
      <c r="AC9726">
        <v>39.028500000000001</v>
      </c>
      <c r="AD9726">
        <v>-1.1099132058869901</v>
      </c>
      <c r="AE9726">
        <v>3.9550299999999998</v>
      </c>
      <c r="AF9726">
        <v>-3.16432051449776</v>
      </c>
      <c r="AG9726">
        <v>-1.1099132058869901</v>
      </c>
      <c r="AH9726">
        <v>39.069070771674497</v>
      </c>
      <c r="AI9726">
        <v>91.621969677925094</v>
      </c>
      <c r="AJ9726">
        <v>94.630448607842695</v>
      </c>
      <c r="AK9726">
        <v>39.212716338009301</v>
      </c>
      <c r="AL9726">
        <v>88.489062964859599</v>
      </c>
      <c r="AM9726">
        <v>92.911672449785002</v>
      </c>
      <c r="AN9726">
        <v>1.0000000117150001</v>
      </c>
    </row>
    <row r="9727" spans="1:40" x14ac:dyDescent="0.25">
      <c r="A9727" t="str">
        <f>"20190312150913246"</f>
        <v>20190312150913246</v>
      </c>
      <c r="B9727" t="str">
        <f>"1552374553239145"</f>
        <v>1552374553239145</v>
      </c>
      <c r="C9727" t="s">
        <v>40</v>
      </c>
      <c r="D9727">
        <v>4.4167100000000001</v>
      </c>
      <c r="E9727">
        <v>0.48872840000000001</v>
      </c>
      <c r="F9727" t="s">
        <v>73</v>
      </c>
      <c r="G9727">
        <v>-202.0558</v>
      </c>
      <c r="H9727" s="1">
        <v>-5.1546700000000004E-6</v>
      </c>
      <c r="I9727">
        <v>-58.130989999999997</v>
      </c>
      <c r="J9727">
        <v>-240.821</v>
      </c>
      <c r="K9727">
        <v>1.1099000000000001</v>
      </c>
      <c r="L9727">
        <v>-62.110379999999999</v>
      </c>
      <c r="M9727">
        <v>0.99973880000000004</v>
      </c>
      <c r="N9727">
        <v>0</v>
      </c>
      <c r="O9727">
        <v>2.0102809999999999E-2</v>
      </c>
      <c r="P9727">
        <v>0.99728050000000001</v>
      </c>
      <c r="Q9727">
        <v>1.5638860000000001E-2</v>
      </c>
      <c r="R9727">
        <v>7.2023299999999998E-2</v>
      </c>
      <c r="S9727">
        <v>2.9875340000000001</v>
      </c>
      <c r="T9727">
        <v>-8.5206509999999999E-2</v>
      </c>
      <c r="U9727">
        <v>0.30572510000000003</v>
      </c>
      <c r="V9727">
        <v>-5.1951980000000002E-2</v>
      </c>
      <c r="W9727">
        <v>2.651601E-2</v>
      </c>
      <c r="X9727">
        <v>0.99829749999999995</v>
      </c>
      <c r="Y9727">
        <v>-8.1757029999999994E-2</v>
      </c>
      <c r="Z9727">
        <v>5.9101659999999997E-4</v>
      </c>
      <c r="AA9727">
        <v>0.99665210000000004</v>
      </c>
      <c r="AB9727">
        <v>30</v>
      </c>
      <c r="AC9727">
        <v>38.765199999999901</v>
      </c>
      <c r="AD9727">
        <v>-1.1099051546700001</v>
      </c>
      <c r="AE9727">
        <v>3.97939</v>
      </c>
      <c r="AF9727">
        <v>-3.1966570573808601</v>
      </c>
      <c r="AG9727">
        <v>-1.1099051546700001</v>
      </c>
      <c r="AH9727">
        <v>38.805887121688798</v>
      </c>
      <c r="AI9727">
        <v>91.632769103387503</v>
      </c>
      <c r="AJ9727">
        <v>94.709140024208693</v>
      </c>
      <c r="AK9727">
        <v>38.953143404558702</v>
      </c>
      <c r="AL9727">
        <v>88.4805664542031</v>
      </c>
      <c r="AM9727">
        <v>92.979018203714801</v>
      </c>
      <c r="AN9727">
        <v>1.0000000027592399</v>
      </c>
    </row>
    <row r="9728" spans="1:40" x14ac:dyDescent="0.25">
      <c r="A9728" t="str">
        <f>"20190312150913258"</f>
        <v>20190312150913258</v>
      </c>
      <c r="B9728" t="str">
        <f>"1552374553248905"</f>
        <v>1552374553248905</v>
      </c>
      <c r="C9728" t="s">
        <v>40</v>
      </c>
      <c r="D9728">
        <v>4.4201329999999999</v>
      </c>
      <c r="E9728">
        <v>0.48872320000000002</v>
      </c>
      <c r="F9728" t="s">
        <v>73</v>
      </c>
      <c r="G9728">
        <v>-202.32249999999999</v>
      </c>
      <c r="H9728" s="1">
        <v>-5.0206419999999997E-6</v>
      </c>
      <c r="I9728">
        <v>-58.1226699999999</v>
      </c>
      <c r="J9728">
        <v>-240.66200000000001</v>
      </c>
      <c r="K9728">
        <v>1.109891</v>
      </c>
      <c r="L9728">
        <v>-62.1072699999999</v>
      </c>
      <c r="M9728">
        <v>0.99974039999999997</v>
      </c>
      <c r="N9728">
        <v>0</v>
      </c>
      <c r="O9728">
        <v>2.0019829999999999E-2</v>
      </c>
      <c r="P9728">
        <v>0.99722069999999996</v>
      </c>
      <c r="Q9728">
        <v>1.5672249999999999E-2</v>
      </c>
      <c r="R9728">
        <v>7.2837429999999995E-2</v>
      </c>
      <c r="S9728">
        <v>2.9871979999999998</v>
      </c>
      <c r="T9728">
        <v>-8.6120489999999994E-2</v>
      </c>
      <c r="U9728">
        <v>0.30941770000000002</v>
      </c>
      <c r="V9728">
        <v>-5.2849199999999999E-2</v>
      </c>
      <c r="W9728">
        <v>2.6558439999999999E-2</v>
      </c>
      <c r="X9728">
        <v>0.99824930000000001</v>
      </c>
      <c r="Y9728">
        <v>-8.3069000000000004E-2</v>
      </c>
      <c r="Z9728">
        <v>6.1862620000000001E-4</v>
      </c>
      <c r="AA9728">
        <v>0.99654359999999997</v>
      </c>
      <c r="AB9728">
        <v>30</v>
      </c>
      <c r="AC9728">
        <v>38.339500000000001</v>
      </c>
      <c r="AD9728">
        <v>-1.1098960206420001</v>
      </c>
      <c r="AE9728">
        <v>3.9845999999999999</v>
      </c>
      <c r="AF9728">
        <v>-3.2135412916220498</v>
      </c>
      <c r="AG9728">
        <v>-1.1098960206420001</v>
      </c>
      <c r="AH9728">
        <v>38.379770349249803</v>
      </c>
      <c r="AI9728">
        <v>91.650689263595595</v>
      </c>
      <c r="AJ9728">
        <v>94.786216160063503</v>
      </c>
      <c r="AK9728">
        <v>38.530059549275997</v>
      </c>
      <c r="AL9728">
        <v>88.478134574442294</v>
      </c>
      <c r="AM9728">
        <v>93.030517348635996</v>
      </c>
      <c r="AN9728">
        <v>1.0000000268131799</v>
      </c>
    </row>
    <row r="9729" spans="1:40" x14ac:dyDescent="0.25">
      <c r="A9729" t="str">
        <f>"20190312150913269"</f>
        <v>20190312150913269</v>
      </c>
      <c r="B9729" t="str">
        <f>"1552374553258665"</f>
        <v>1552374553258665</v>
      </c>
      <c r="C9729" t="s">
        <v>40</v>
      </c>
      <c r="D9729">
        <v>4.3943370000000002</v>
      </c>
      <c r="E9729">
        <v>0.48871540000000002</v>
      </c>
      <c r="F9729" t="s">
        <v>73</v>
      </c>
      <c r="G9729">
        <v>-202.71770000000001</v>
      </c>
      <c r="H9729" s="1">
        <v>-4.8146210000000004E-6</v>
      </c>
      <c r="I9729">
        <v>-58.143680000000003</v>
      </c>
      <c r="J9729">
        <v>-240.51820000000001</v>
      </c>
      <c r="K9729">
        <v>1.109883</v>
      </c>
      <c r="L9729">
        <v>-62.104460000000003</v>
      </c>
      <c r="M9729">
        <v>0.99974189999999996</v>
      </c>
      <c r="N9729">
        <v>0</v>
      </c>
      <c r="O9729">
        <v>1.9939849999999999E-2</v>
      </c>
      <c r="P9729">
        <v>0.99714519999999995</v>
      </c>
      <c r="Q9729">
        <v>1.5701840000000002E-2</v>
      </c>
      <c r="R9729">
        <v>7.385796E-2</v>
      </c>
      <c r="S9729">
        <v>2.9869539999999999</v>
      </c>
      <c r="T9729">
        <v>-8.7370400000000001E-2</v>
      </c>
      <c r="U9729">
        <v>0.3120117</v>
      </c>
      <c r="V9729">
        <v>-5.3950110000000003E-2</v>
      </c>
      <c r="W9729">
        <v>2.6596100000000001E-2</v>
      </c>
      <c r="X9729">
        <v>0.9981894</v>
      </c>
      <c r="Y9729">
        <v>-8.4012039999999996E-2</v>
      </c>
      <c r="Z9729">
        <v>6.4370780000000004E-4</v>
      </c>
      <c r="AA9729">
        <v>0.99646460000000003</v>
      </c>
      <c r="AB9729">
        <v>30</v>
      </c>
      <c r="AC9729">
        <v>37.8005</v>
      </c>
      <c r="AD9729">
        <v>-1.1098878146210001</v>
      </c>
      <c r="AE9729">
        <v>3.96077999999999</v>
      </c>
      <c r="AF9729">
        <v>-3.20347969162769</v>
      </c>
      <c r="AG9729">
        <v>-1.1098878146210001</v>
      </c>
      <c r="AH9729">
        <v>37.8396979665415</v>
      </c>
      <c r="AI9729">
        <v>91.674093298581596</v>
      </c>
      <c r="AJ9729">
        <v>94.839077730975703</v>
      </c>
      <c r="AK9729">
        <v>37.991273672973897</v>
      </c>
      <c r="AL9729">
        <v>88.475976046531301</v>
      </c>
      <c r="AM9729">
        <v>93.093710441074606</v>
      </c>
      <c r="AN9729">
        <v>1.0000000225882899</v>
      </c>
    </row>
    <row r="9730" spans="1:40" x14ac:dyDescent="0.25">
      <c r="A9730" t="str">
        <f>"20190312150913280"</f>
        <v>20190312150913280</v>
      </c>
      <c r="B9730" t="str">
        <f>"1552374553269401"</f>
        <v>1552374553269401</v>
      </c>
      <c r="C9730" t="s">
        <v>40</v>
      </c>
      <c r="D9730">
        <v>4.4024199999999896</v>
      </c>
      <c r="E9730">
        <v>0.48878569999999999</v>
      </c>
      <c r="F9730" t="s">
        <v>73</v>
      </c>
      <c r="G9730">
        <v>-202.98230000000001</v>
      </c>
      <c r="H9730" s="1">
        <v>-4.6797869999999999E-6</v>
      </c>
      <c r="I9730">
        <v>-58.143630000000002</v>
      </c>
      <c r="J9730">
        <v>-240.36699999999999</v>
      </c>
      <c r="K9730">
        <v>1.1098749999999999</v>
      </c>
      <c r="L9730">
        <v>-62.101529999999997</v>
      </c>
      <c r="M9730">
        <v>0.99974359999999995</v>
      </c>
      <c r="N9730">
        <v>0</v>
      </c>
      <c r="O9730">
        <v>1.9849720000000001E-2</v>
      </c>
      <c r="P9730">
        <v>0.99707460000000003</v>
      </c>
      <c r="Q9730">
        <v>1.5794720000000002E-2</v>
      </c>
      <c r="R9730">
        <v>7.4786749999999999E-2</v>
      </c>
      <c r="S9730">
        <v>2.9866489999999999</v>
      </c>
      <c r="T9730">
        <v>-8.8311429999999996E-2</v>
      </c>
      <c r="U9730">
        <v>0.31515500000000002</v>
      </c>
      <c r="V9730">
        <v>-5.4969949999999997E-2</v>
      </c>
      <c r="W9730">
        <v>2.6697149999999999E-2</v>
      </c>
      <c r="X9730">
        <v>0.99813099999999999</v>
      </c>
      <c r="Y9730">
        <v>-8.5148509999999997E-2</v>
      </c>
      <c r="Z9730">
        <v>6.700772E-4</v>
      </c>
      <c r="AA9730">
        <v>0.99636809999999998</v>
      </c>
      <c r="AB9730">
        <v>31</v>
      </c>
      <c r="AC9730">
        <v>37.384700000000002</v>
      </c>
      <c r="AD9730">
        <v>-1.1098796797870001</v>
      </c>
      <c r="AE9730">
        <v>3.9579</v>
      </c>
      <c r="AF9730">
        <v>-3.21220042644413</v>
      </c>
      <c r="AG9730">
        <v>-1.1098796797870001</v>
      </c>
      <c r="AH9730">
        <v>37.423282678247602</v>
      </c>
      <c r="AI9730">
        <v>91.692529818767198</v>
      </c>
      <c r="AJ9730">
        <v>94.905917259029593</v>
      </c>
      <c r="AK9730">
        <v>37.577282377778197</v>
      </c>
      <c r="AL9730">
        <v>88.470184160675799</v>
      </c>
      <c r="AM9730">
        <v>93.152259275285601</v>
      </c>
      <c r="AN9730">
        <v>0.99999996319106099</v>
      </c>
    </row>
    <row r="9731" spans="1:40" x14ac:dyDescent="0.25">
      <c r="A9731" t="str">
        <f>"20190312150913291"</f>
        <v>20190312150913291</v>
      </c>
      <c r="B9731" t="str">
        <f>"1552374553279162"</f>
        <v>1552374553279162</v>
      </c>
      <c r="C9731" t="s">
        <v>40</v>
      </c>
      <c r="D9731">
        <v>4.4069320000000003</v>
      </c>
      <c r="E9731">
        <v>0.48881730000000001</v>
      </c>
      <c r="F9731" t="s">
        <v>73</v>
      </c>
      <c r="G9731">
        <v>-203.1352</v>
      </c>
      <c r="H9731" s="1">
        <v>-4.601734E-6</v>
      </c>
      <c r="I9731">
        <v>-58.144309999999997</v>
      </c>
      <c r="J9731">
        <v>-240.21600000000001</v>
      </c>
      <c r="K9731">
        <v>1.1098619999999999</v>
      </c>
      <c r="L9731">
        <v>-62.098599999999998</v>
      </c>
      <c r="M9731">
        <v>0.99974549999999995</v>
      </c>
      <c r="N9731">
        <v>0</v>
      </c>
      <c r="O9731">
        <v>1.9752570000000001E-2</v>
      </c>
      <c r="P9731">
        <v>0.99700829999999996</v>
      </c>
      <c r="Q9731">
        <v>1.5971900000000001E-2</v>
      </c>
      <c r="R9731">
        <v>7.5628879999999996E-2</v>
      </c>
      <c r="S9731">
        <v>2.986389</v>
      </c>
      <c r="T9731">
        <v>-8.9024309999999995E-2</v>
      </c>
      <c r="U9731">
        <v>0.31741329999999901</v>
      </c>
      <c r="V9731">
        <v>-5.5909159999999999E-2</v>
      </c>
      <c r="W9731">
        <v>2.6883049999999999E-2</v>
      </c>
      <c r="X9731">
        <v>0.99807389999999996</v>
      </c>
      <c r="Y9731">
        <v>-8.5998560000000002E-2</v>
      </c>
      <c r="Z9731">
        <v>6.9103369999999999E-4</v>
      </c>
      <c r="AA9731">
        <v>0.99629500000000004</v>
      </c>
      <c r="AB9731">
        <v>31</v>
      </c>
      <c r="AC9731">
        <v>37.080799999999897</v>
      </c>
      <c r="AD9731">
        <v>-1.109866601734</v>
      </c>
      <c r="AE9731">
        <v>3.9542899999999999</v>
      </c>
      <c r="AF9731">
        <v>-3.2181831789268101</v>
      </c>
      <c r="AG9731">
        <v>-1.109866601734</v>
      </c>
      <c r="AH9731">
        <v>37.118797082247099</v>
      </c>
      <c r="AI9731">
        <v>91.706259022852194</v>
      </c>
      <c r="AJ9731">
        <v>94.955127771417693</v>
      </c>
      <c r="AK9731">
        <v>37.274570469420702</v>
      </c>
      <c r="AL9731">
        <v>88.4595291399242</v>
      </c>
      <c r="AM9731">
        <v>93.206190023255004</v>
      </c>
      <c r="AN9731">
        <v>1.0000000212052</v>
      </c>
    </row>
    <row r="9732" spans="1:40" x14ac:dyDescent="0.25">
      <c r="A9732" t="str">
        <f>"20190312150913301"</f>
        <v>20190312150913301</v>
      </c>
      <c r="B9732" t="str">
        <f>"1552374553298681"</f>
        <v>1552374553298681</v>
      </c>
      <c r="C9732" t="s">
        <v>40</v>
      </c>
      <c r="D9732">
        <v>4.5611189999999997</v>
      </c>
      <c r="E9732">
        <v>0.48897639999999998</v>
      </c>
      <c r="F9732" t="s">
        <v>73</v>
      </c>
      <c r="G9732">
        <v>-203.30840000000001</v>
      </c>
      <c r="H9732" s="1">
        <v>-4.5129910000000002E-6</v>
      </c>
      <c r="I9732">
        <v>-58.146509999999999</v>
      </c>
      <c r="J9732">
        <v>-240.06620000000001</v>
      </c>
      <c r="K9732">
        <v>1.1098539999999999</v>
      </c>
      <c r="L9732">
        <v>-62.095759999999999</v>
      </c>
      <c r="M9732">
        <v>0.99974730000000001</v>
      </c>
      <c r="N9732">
        <v>0</v>
      </c>
      <c r="O9732">
        <v>1.9652260000000001E-2</v>
      </c>
      <c r="P9732">
        <v>0.99695560000000005</v>
      </c>
      <c r="Q9732">
        <v>1.6140310000000001E-2</v>
      </c>
      <c r="R9732">
        <v>7.6282470000000005E-2</v>
      </c>
      <c r="S9732">
        <v>2.9861759999999999</v>
      </c>
      <c r="T9732">
        <v>-8.9798929999999999E-2</v>
      </c>
      <c r="U9732">
        <v>0.31976320000000003</v>
      </c>
      <c r="V9732">
        <v>-5.6663209999999999E-2</v>
      </c>
      <c r="W9732">
        <v>2.705989E-2</v>
      </c>
      <c r="X9732">
        <v>0.99802650000000004</v>
      </c>
      <c r="Y9732">
        <v>-8.6880189999999996E-2</v>
      </c>
      <c r="Z9732">
        <v>7.1328630000000004E-4</v>
      </c>
      <c r="AA9732">
        <v>0.99621850000000001</v>
      </c>
      <c r="AB9732">
        <v>31</v>
      </c>
      <c r="AC9732">
        <v>36.757800000000003</v>
      </c>
      <c r="AD9732">
        <v>-1.1098585129909999</v>
      </c>
      <c r="AE9732">
        <v>3.9492499999999899</v>
      </c>
      <c r="AF9732">
        <v>-3.2231654191277501</v>
      </c>
      <c r="AG9732">
        <v>-1.1098585129909999</v>
      </c>
      <c r="AH9732">
        <v>36.795154514401901</v>
      </c>
      <c r="AI9732">
        <v>91.721111796353298</v>
      </c>
      <c r="AJ9732">
        <v>95.006191335781907</v>
      </c>
      <c r="AK9732">
        <v>36.952726245523898</v>
      </c>
      <c r="AL9732">
        <v>88.449393119202497</v>
      </c>
      <c r="AM9732">
        <v>93.2494940387094</v>
      </c>
      <c r="AN9732">
        <v>0.99999992585828001</v>
      </c>
    </row>
    <row r="9733" spans="1:40" x14ac:dyDescent="0.25">
      <c r="A9733" t="str">
        <f>"20190312150913314"</f>
        <v>20190312150913314</v>
      </c>
      <c r="B9733" t="str">
        <f>"1552374553309417"</f>
        <v>1552374553309417</v>
      </c>
      <c r="C9733" t="s">
        <v>40</v>
      </c>
      <c r="D9733">
        <v>4.4314369999999998</v>
      </c>
      <c r="E9733">
        <v>0.48910480000000001</v>
      </c>
      <c r="F9733" t="s">
        <v>73</v>
      </c>
      <c r="G9733">
        <v>-202.16309999999999</v>
      </c>
      <c r="H9733" s="1">
        <v>-5.1227010000000003E-6</v>
      </c>
      <c r="I9733">
        <v>-58.028770000000002</v>
      </c>
      <c r="J9733">
        <v>-239.9093</v>
      </c>
      <c r="K9733">
        <v>1.1098440000000001</v>
      </c>
      <c r="L9733">
        <v>-62.092770000000002</v>
      </c>
      <c r="M9733">
        <v>0.99974940000000001</v>
      </c>
      <c r="N9733">
        <v>0</v>
      </c>
      <c r="O9733">
        <v>1.9538719999999999E-2</v>
      </c>
      <c r="P9733">
        <v>0.99689729999999999</v>
      </c>
      <c r="Q9733">
        <v>1.6279189999999999E-2</v>
      </c>
      <c r="R9733">
        <v>7.7011819999999995E-2</v>
      </c>
      <c r="S9733">
        <v>2.9860690000000001</v>
      </c>
      <c r="T9733">
        <v>-8.7436440000000004E-2</v>
      </c>
      <c r="U9733">
        <v>0.32040410000000002</v>
      </c>
      <c r="V9733">
        <v>-5.7506250000000002E-2</v>
      </c>
      <c r="W9733">
        <v>2.7207180000000001E-2</v>
      </c>
      <c r="X9733">
        <v>0.99797429999999998</v>
      </c>
      <c r="Y9733">
        <v>-8.7209819999999993E-2</v>
      </c>
      <c r="Z9733">
        <v>7.0266909999999998E-4</v>
      </c>
      <c r="AA9733">
        <v>0.99618969999999996</v>
      </c>
      <c r="AB9733">
        <v>31</v>
      </c>
      <c r="AC9733">
        <v>37.746200000000002</v>
      </c>
      <c r="AD9733">
        <v>-1.1098491227009999</v>
      </c>
      <c r="AE9733">
        <v>4.0640000000000001</v>
      </c>
      <c r="AF9733">
        <v>-3.3228278620728302</v>
      </c>
      <c r="AG9733">
        <v>-1.1098491227009999</v>
      </c>
      <c r="AH9733">
        <v>37.786110540627497</v>
      </c>
      <c r="AI9733">
        <v>91.675937221532493</v>
      </c>
      <c r="AJ9733">
        <v>95.025537798942807</v>
      </c>
      <c r="AK9733">
        <v>37.948163326630798</v>
      </c>
      <c r="AL9733">
        <v>88.440950954838598</v>
      </c>
      <c r="AM9733">
        <v>93.297906472583094</v>
      </c>
      <c r="AN9733">
        <v>0.99999995144655096</v>
      </c>
    </row>
    <row r="9734" spans="1:40" x14ac:dyDescent="0.25">
      <c r="A9734" t="str">
        <f>"20190312150913325"</f>
        <v>20190312150913325</v>
      </c>
      <c r="B9734" t="str">
        <f>"1552374553319177"</f>
        <v>1552374553319177</v>
      </c>
      <c r="C9734" t="s">
        <v>40</v>
      </c>
      <c r="D9734">
        <v>4.4079459999999999</v>
      </c>
      <c r="E9734">
        <v>0.48924479999999998</v>
      </c>
      <c r="F9734" t="s">
        <v>73</v>
      </c>
      <c r="G9734">
        <v>-201.66489999999999</v>
      </c>
      <c r="H9734" s="1">
        <v>-5.388563E-6</v>
      </c>
      <c r="I9734">
        <v>-57.974490000000003</v>
      </c>
      <c r="J9734">
        <v>-239.7577</v>
      </c>
      <c r="K9734">
        <v>1.109839</v>
      </c>
      <c r="L9734">
        <v>-62.089939999999999</v>
      </c>
      <c r="M9734">
        <v>0.99975159999999996</v>
      </c>
      <c r="N9734">
        <v>0</v>
      </c>
      <c r="O9734">
        <v>1.942692E-2</v>
      </c>
      <c r="P9734">
        <v>0.9968456</v>
      </c>
      <c r="Q9734">
        <v>1.6439700000000002E-2</v>
      </c>
      <c r="R9734">
        <v>7.7643669999999998E-2</v>
      </c>
      <c r="S9734">
        <v>2.9859010000000001</v>
      </c>
      <c r="T9734">
        <v>-8.6650729999999995E-2</v>
      </c>
      <c r="U9734">
        <v>0.32153320000000002</v>
      </c>
      <c r="V9734">
        <v>-5.8249740000000001E-2</v>
      </c>
      <c r="W9734">
        <v>2.7375920000000002E-2</v>
      </c>
      <c r="X9734">
        <v>0.9979266</v>
      </c>
      <c r="Y9734">
        <v>-8.7699849999999996E-2</v>
      </c>
      <c r="Z9734">
        <v>7.0670379999999999E-4</v>
      </c>
      <c r="AA9734">
        <v>0.99614669999999905</v>
      </c>
      <c r="AB9734">
        <v>31</v>
      </c>
      <c r="AC9734">
        <v>38.092799999999997</v>
      </c>
      <c r="AD9734">
        <v>-1.1098443885630001</v>
      </c>
      <c r="AE9734">
        <v>4.1154500000000001</v>
      </c>
      <c r="AF9734">
        <v>-3.3717741436635098</v>
      </c>
      <c r="AG9734">
        <v>-1.1098443885630001</v>
      </c>
      <c r="AH9734">
        <v>38.1335687768103</v>
      </c>
      <c r="AI9734">
        <v>91.6605982048588</v>
      </c>
      <c r="AJ9734">
        <v>95.052957962771202</v>
      </c>
      <c r="AK9734">
        <v>38.298429251059702</v>
      </c>
      <c r="AL9734">
        <v>88.431279316344103</v>
      </c>
      <c r="AM9734">
        <v>93.340607996547604</v>
      </c>
      <c r="AN9734">
        <v>0.99999998609673602</v>
      </c>
    </row>
    <row r="9735" spans="1:40" x14ac:dyDescent="0.25">
      <c r="A9735" t="str">
        <f>"20190312150913334"</f>
        <v>20190312150913334</v>
      </c>
      <c r="B9735" t="str">
        <f>"1552374553328937"</f>
        <v>1552374553328937</v>
      </c>
      <c r="C9735" t="s">
        <v>40</v>
      </c>
      <c r="D9735">
        <v>4.420045</v>
      </c>
      <c r="E9735">
        <v>0.4893189</v>
      </c>
      <c r="F9735" t="s">
        <v>73</v>
      </c>
      <c r="G9735">
        <v>-201.57140000000001</v>
      </c>
      <c r="H9735" s="1">
        <v>-5.4377340000000001E-6</v>
      </c>
      <c r="I9735">
        <v>-57.967619999999997</v>
      </c>
      <c r="J9735">
        <v>-239.61080000000001</v>
      </c>
      <c r="K9735">
        <v>1.1098319999999999</v>
      </c>
      <c r="L9735">
        <v>-62.087159999999997</v>
      </c>
      <c r="M9735">
        <v>0.99975369999999997</v>
      </c>
      <c r="N9735">
        <v>0</v>
      </c>
      <c r="O9735">
        <v>1.931126E-2</v>
      </c>
      <c r="P9735">
        <v>0.99679580000000001</v>
      </c>
      <c r="Q9735">
        <v>1.6666719999999999E-2</v>
      </c>
      <c r="R9735">
        <v>7.8232919999999997E-2</v>
      </c>
      <c r="S9735">
        <v>2.9858090000000002</v>
      </c>
      <c r="T9735">
        <v>-8.6779480000000006E-2</v>
      </c>
      <c r="U9735">
        <v>0.32232670000000002</v>
      </c>
      <c r="V9735">
        <v>-5.8954550000000001E-2</v>
      </c>
      <c r="W9735">
        <v>2.7610429999999998E-2</v>
      </c>
      <c r="X9735">
        <v>0.99787879999999995</v>
      </c>
      <c r="Y9735">
        <v>-8.8079710000000005E-2</v>
      </c>
      <c r="Z9735">
        <v>7.1661719999999997E-4</v>
      </c>
      <c r="AA9735">
        <v>0.99611320000000003</v>
      </c>
      <c r="AB9735">
        <v>31</v>
      </c>
      <c r="AC9735">
        <v>38.039400000000001</v>
      </c>
      <c r="AD9735">
        <v>-1.1098374377339999</v>
      </c>
      <c r="AE9735">
        <v>4.1195399999999998</v>
      </c>
      <c r="AF9735">
        <v>-3.3812940927919501</v>
      </c>
      <c r="AG9735">
        <v>-1.1098374377339999</v>
      </c>
      <c r="AH9735">
        <v>38.079824575727699</v>
      </c>
      <c r="AI9735">
        <v>91.662875413610806</v>
      </c>
      <c r="AJ9735">
        <v>95.074264682228204</v>
      </c>
      <c r="AK9735">
        <v>38.245757001245799</v>
      </c>
      <c r="AL9735">
        <v>88.417837882657196</v>
      </c>
      <c r="AM9735">
        <v>93.381097043964502</v>
      </c>
      <c r="AN9735">
        <v>1.00000003714996</v>
      </c>
    </row>
    <row r="9736" spans="1:40" x14ac:dyDescent="0.25">
      <c r="A9736" t="str">
        <f>"20190312150913347"</f>
        <v>20190312150913347</v>
      </c>
      <c r="B9736" t="str">
        <f>"1552374553338697"</f>
        <v>1552374553338697</v>
      </c>
      <c r="C9736" t="s">
        <v>40</v>
      </c>
      <c r="D9736">
        <v>4.4171690000000003</v>
      </c>
      <c r="E9736">
        <v>0.48941069999999998</v>
      </c>
      <c r="F9736" t="s">
        <v>73</v>
      </c>
      <c r="G9736">
        <v>-201.69579999999999</v>
      </c>
      <c r="H9736" s="1">
        <v>-5.3719589999999999E-6</v>
      </c>
      <c r="I9736">
        <v>-57.978520000000003</v>
      </c>
      <c r="J9736">
        <v>-239.45240000000001</v>
      </c>
      <c r="K9736">
        <v>1.109828</v>
      </c>
      <c r="L9736">
        <v>-62.084229999999998</v>
      </c>
      <c r="M9736">
        <v>0.99975619999999998</v>
      </c>
      <c r="N9736">
        <v>0</v>
      </c>
      <c r="O9736">
        <v>1.918506E-2</v>
      </c>
      <c r="P9736">
        <v>0.99674940000000001</v>
      </c>
      <c r="Q9736">
        <v>1.6627369999999999E-2</v>
      </c>
      <c r="R9736">
        <v>7.8831960000000006E-2</v>
      </c>
      <c r="S9736">
        <v>2.9857330000000002</v>
      </c>
      <c r="T9736">
        <v>-8.7397459999999996E-2</v>
      </c>
      <c r="U9736">
        <v>0.32354739999999999</v>
      </c>
      <c r="V9736">
        <v>-5.9680230000000001E-2</v>
      </c>
      <c r="W9736">
        <v>2.7578970000000001E-2</v>
      </c>
      <c r="X9736">
        <v>0.99783650000000002</v>
      </c>
      <c r="Y9736">
        <v>-8.8610030000000006E-2</v>
      </c>
      <c r="Z9736">
        <v>7.3313909999999998E-4</v>
      </c>
      <c r="AA9736">
        <v>0.99606620000000001</v>
      </c>
      <c r="AB9736">
        <v>31</v>
      </c>
      <c r="AC9736">
        <v>37.756599999999999</v>
      </c>
      <c r="AD9736">
        <v>-1.1098333719589999</v>
      </c>
      <c r="AE9736">
        <v>4.1057100000000002</v>
      </c>
      <c r="AF9736">
        <v>-3.3776640378476701</v>
      </c>
      <c r="AG9736">
        <v>-1.1098333719589999</v>
      </c>
      <c r="AH9736">
        <v>37.796147627050601</v>
      </c>
      <c r="AI9736">
        <v>91.675258408941303</v>
      </c>
      <c r="AJ9736">
        <v>95.106689031384207</v>
      </c>
      <c r="AK9736">
        <v>37.962996719330398</v>
      </c>
      <c r="AL9736">
        <v>88.419641043802102</v>
      </c>
      <c r="AM9736">
        <v>93.422761860382707</v>
      </c>
      <c r="AN9736">
        <v>1.0000000050856801</v>
      </c>
    </row>
    <row r="9737" spans="1:40" x14ac:dyDescent="0.25">
      <c r="A9737" t="str">
        <f>"20190312150913358"</f>
        <v>20190312150913358</v>
      </c>
      <c r="B9737" t="str">
        <f>"1552374553349434"</f>
        <v>1552374553349434</v>
      </c>
      <c r="C9737" t="s">
        <v>40</v>
      </c>
      <c r="D9737">
        <v>4.4268219999999996</v>
      </c>
      <c r="E9737">
        <v>0.4894887</v>
      </c>
      <c r="F9737" t="s">
        <v>73</v>
      </c>
      <c r="G9737">
        <v>-202.09559999999999</v>
      </c>
      <c r="H9737" s="1">
        <v>-5.1583750000000004E-6</v>
      </c>
      <c r="I9737">
        <v>-58.022930000000002</v>
      </c>
      <c r="J9737">
        <v>-239.3006</v>
      </c>
      <c r="K9737">
        <v>1.109823</v>
      </c>
      <c r="L9737">
        <v>-62.081420000000001</v>
      </c>
      <c r="M9737">
        <v>0.99975840000000005</v>
      </c>
      <c r="N9737">
        <v>0</v>
      </c>
      <c r="O9737">
        <v>1.9060069999999998E-2</v>
      </c>
      <c r="P9737">
        <v>0.99669099999999999</v>
      </c>
      <c r="Q9737">
        <v>1.6774649999999999E-2</v>
      </c>
      <c r="R9737">
        <v>7.9535800000000004E-2</v>
      </c>
      <c r="S9737">
        <v>2.985611</v>
      </c>
      <c r="T9737">
        <v>-8.869958E-2</v>
      </c>
      <c r="U9737">
        <v>0.32458500000000001</v>
      </c>
      <c r="V9737">
        <v>-6.0509279999999999E-2</v>
      </c>
      <c r="W9737">
        <v>2.773341E-2</v>
      </c>
      <c r="X9737">
        <v>0.99778230000000001</v>
      </c>
      <c r="Y9737">
        <v>-8.9079909999999998E-2</v>
      </c>
      <c r="Z9737">
        <v>7.5473139999999897E-4</v>
      </c>
      <c r="AA9737">
        <v>0.99602420000000003</v>
      </c>
      <c r="AB9737">
        <v>31</v>
      </c>
      <c r="AC9737">
        <v>37.204999999999998</v>
      </c>
      <c r="AD9737">
        <v>-1.109828158375</v>
      </c>
      <c r="AE9737">
        <v>4.0584899999999902</v>
      </c>
      <c r="AF9737">
        <v>-3.3456381902037098</v>
      </c>
      <c r="AG9737">
        <v>-1.109828158375</v>
      </c>
      <c r="AH9737">
        <v>37.242850048034001</v>
      </c>
      <c r="AI9737">
        <v>91.700053727328097</v>
      </c>
      <c r="AJ9737">
        <v>95.133274797738196</v>
      </c>
      <c r="AK9737">
        <v>37.409288861741601</v>
      </c>
      <c r="AL9737">
        <v>88.410788915950207</v>
      </c>
      <c r="AM9737">
        <v>93.470381918321394</v>
      </c>
      <c r="AN9737">
        <v>1.00000001659481</v>
      </c>
    </row>
    <row r="9738" spans="1:40" x14ac:dyDescent="0.25">
      <c r="A9738" t="str">
        <f>"20190312150913368"</f>
        <v>20190312150913368</v>
      </c>
      <c r="B9738" t="str">
        <f>"1552374553359193"</f>
        <v>1552374553359193</v>
      </c>
      <c r="C9738" t="s">
        <v>40</v>
      </c>
      <c r="D9738">
        <v>4.4453610000000001</v>
      </c>
      <c r="E9738">
        <v>0.48963499999999999</v>
      </c>
      <c r="F9738" t="s">
        <v>73</v>
      </c>
      <c r="G9738">
        <v>-202.25800000000001</v>
      </c>
      <c r="H9738" s="1">
        <v>-5.0728220000000001E-6</v>
      </c>
      <c r="I9738">
        <v>-58.035499999999999</v>
      </c>
      <c r="J9738">
        <v>-239.1515</v>
      </c>
      <c r="K9738">
        <v>1.10982</v>
      </c>
      <c r="L9738">
        <v>-62.078670000000002</v>
      </c>
      <c r="M9738">
        <v>0.99976080000000001</v>
      </c>
      <c r="N9738">
        <v>0</v>
      </c>
      <c r="O9738">
        <v>1.893539E-2</v>
      </c>
      <c r="P9738">
        <v>0.99665619999999999</v>
      </c>
      <c r="Q9738">
        <v>1.690266E-2</v>
      </c>
      <c r="R9738">
        <v>7.9943940000000005E-2</v>
      </c>
      <c r="S9738">
        <v>2.9854430000000001</v>
      </c>
      <c r="T9738">
        <v>-8.9446540000000005E-2</v>
      </c>
      <c r="U9738">
        <v>0.32608029999999999</v>
      </c>
      <c r="V9738">
        <v>-6.1041909999999998E-2</v>
      </c>
      <c r="W9738">
        <v>2.786783E-2</v>
      </c>
      <c r="X9738">
        <v>0.99774609999999997</v>
      </c>
      <c r="Y9738">
        <v>-8.9702309999999993E-2</v>
      </c>
      <c r="Z9738">
        <v>7.7412240000000005E-4</v>
      </c>
      <c r="AA9738">
        <v>0.99596830000000003</v>
      </c>
      <c r="AB9738">
        <v>31</v>
      </c>
      <c r="AC9738">
        <v>36.893500000000003</v>
      </c>
      <c r="AD9738">
        <v>-1.109825072822</v>
      </c>
      <c r="AE9738">
        <v>4.0431699999999902</v>
      </c>
      <c r="AF9738">
        <v>-3.34082305836756</v>
      </c>
      <c r="AG9738">
        <v>-1.109825072822</v>
      </c>
      <c r="AH9738">
        <v>36.930425721684102</v>
      </c>
      <c r="AI9738">
        <v>91.714326086548596</v>
      </c>
      <c r="AJ9738">
        <v>95.169056653160197</v>
      </c>
      <c r="AK9738">
        <v>37.097832205998401</v>
      </c>
      <c r="AL9738">
        <v>88.403084221551396</v>
      </c>
      <c r="AM9738">
        <v>93.500980843593894</v>
      </c>
      <c r="AN9738">
        <v>1.00000000539528</v>
      </c>
    </row>
    <row r="9739" spans="1:40" x14ac:dyDescent="0.25">
      <c r="A9739" t="str">
        <f>"20190312150913379"</f>
        <v>20190312150913379</v>
      </c>
      <c r="B9739" t="str">
        <f>"1552374553368953"</f>
        <v>1552374553368953</v>
      </c>
      <c r="C9739" t="s">
        <v>40</v>
      </c>
      <c r="D9739">
        <v>4.4633620000000001</v>
      </c>
      <c r="E9739">
        <v>0.48952849999999998</v>
      </c>
      <c r="F9739" t="s">
        <v>73</v>
      </c>
      <c r="G9739">
        <v>-202.3381</v>
      </c>
      <c r="H9739" s="1">
        <v>-5.027257E-6</v>
      </c>
      <c r="I9739">
        <v>-58.057000000000002</v>
      </c>
      <c r="J9739">
        <v>-239.00069999999999</v>
      </c>
      <c r="K9739">
        <v>1.109815</v>
      </c>
      <c r="L9739">
        <v>-62.075960000000002</v>
      </c>
      <c r="M9739">
        <v>0.99976310000000002</v>
      </c>
      <c r="N9739">
        <v>0</v>
      </c>
      <c r="O9739">
        <v>1.8807210000000001E-2</v>
      </c>
      <c r="P9739">
        <v>0.99659969999999998</v>
      </c>
      <c r="Q9739">
        <v>1.705537E-2</v>
      </c>
      <c r="R9739">
        <v>8.0610370000000001E-2</v>
      </c>
      <c r="S9739">
        <v>2.9854129999999999</v>
      </c>
      <c r="T9739">
        <v>-9.0002059999999995E-2</v>
      </c>
      <c r="U9739">
        <v>0.32614140000000003</v>
      </c>
      <c r="V9739">
        <v>-6.1837089999999997E-2</v>
      </c>
      <c r="W9739">
        <v>2.8026550000000001E-2</v>
      </c>
      <c r="X9739">
        <v>0.99769269999999999</v>
      </c>
      <c r="Y9739">
        <v>-8.9850689999999997E-2</v>
      </c>
      <c r="Z9739">
        <v>7.8501419999999996E-4</v>
      </c>
      <c r="AA9739">
        <v>0.99595489999999998</v>
      </c>
      <c r="AB9739">
        <v>31</v>
      </c>
      <c r="AC9739">
        <v>36.662599999999998</v>
      </c>
      <c r="AD9739">
        <v>-1.109820027257</v>
      </c>
      <c r="AE9739">
        <v>4.0189599999999999</v>
      </c>
      <c r="AF9739">
        <v>-3.32567519505709</v>
      </c>
      <c r="AG9739">
        <v>-1.109820027257</v>
      </c>
      <c r="AH9739">
        <v>36.698475492828003</v>
      </c>
      <c r="AI9739">
        <v>91.725122384999807</v>
      </c>
      <c r="AJ9739">
        <v>95.178092458477494</v>
      </c>
      <c r="AK9739">
        <v>36.865565498085303</v>
      </c>
      <c r="AL9739">
        <v>88.393986702898403</v>
      </c>
      <c r="AM9739">
        <v>93.546661058689807</v>
      </c>
      <c r="AN9739">
        <v>1.0000000184189299</v>
      </c>
    </row>
    <row r="9740" spans="1:40" x14ac:dyDescent="0.25">
      <c r="A9740" t="str">
        <f>"20190312150913391"</f>
        <v>20190312150913391</v>
      </c>
      <c r="B9740" t="str">
        <f>"1552374553389449"</f>
        <v>1552374553389449</v>
      </c>
      <c r="C9740" t="s">
        <v>40</v>
      </c>
      <c r="D9740">
        <v>4.394914</v>
      </c>
      <c r="E9740">
        <v>0.4597155</v>
      </c>
      <c r="F9740" t="s">
        <v>73</v>
      </c>
      <c r="G9740">
        <v>-202.64500000000001</v>
      </c>
      <c r="H9740" s="1">
        <v>-4.8683859999999999E-6</v>
      </c>
      <c r="I9740">
        <v>-58.068339999999999</v>
      </c>
      <c r="J9740">
        <v>-238.8476</v>
      </c>
      <c r="K9740">
        <v>1.1098129999999999</v>
      </c>
      <c r="L9740">
        <v>-62.073210000000003</v>
      </c>
      <c r="M9740">
        <v>0.99976560000000003</v>
      </c>
      <c r="N9740">
        <v>0</v>
      </c>
      <c r="O9740">
        <v>1.867535E-2</v>
      </c>
      <c r="P9740">
        <v>0.99654730000000002</v>
      </c>
      <c r="Q9740">
        <v>1.6989540000000001E-2</v>
      </c>
      <c r="R9740">
        <v>8.1270830000000002E-2</v>
      </c>
      <c r="S9740">
        <v>2.985214</v>
      </c>
      <c r="T9740">
        <v>-9.1128589999999995E-2</v>
      </c>
      <c r="U9740">
        <v>0.329071</v>
      </c>
      <c r="V9740">
        <v>-6.2629760000000007E-2</v>
      </c>
      <c r="W9740">
        <v>2.7966970000000001E-2</v>
      </c>
      <c r="X9740">
        <v>0.99764489999999995</v>
      </c>
      <c r="Y9740">
        <v>-9.0953549999999994E-2</v>
      </c>
      <c r="Z9740">
        <v>8.1563539999999905E-4</v>
      </c>
      <c r="AA9740">
        <v>0.99585480000000004</v>
      </c>
      <c r="AB9740">
        <v>31</v>
      </c>
      <c r="AC9740">
        <v>36.202599999999897</v>
      </c>
      <c r="AD9740">
        <v>-1.1098178683859901</v>
      </c>
      <c r="AE9740">
        <v>4.0048699999999897</v>
      </c>
      <c r="AF9740">
        <v>-3.32494775507462</v>
      </c>
      <c r="AG9740">
        <v>-1.1098178683859901</v>
      </c>
      <c r="AH9740">
        <v>36.237439035171697</v>
      </c>
      <c r="AI9740">
        <v>91.746874740230993</v>
      </c>
      <c r="AJ9740">
        <v>95.242466031073803</v>
      </c>
      <c r="AK9740">
        <v>36.406578541559597</v>
      </c>
      <c r="AL9740">
        <v>88.397401682267102</v>
      </c>
      <c r="AM9740">
        <v>93.592177951333397</v>
      </c>
      <c r="AN9740">
        <v>0.99999999237232395</v>
      </c>
    </row>
    <row r="9741" spans="1:40" x14ac:dyDescent="0.25">
      <c r="A9741" t="str">
        <f>"20190312150913402"</f>
        <v>20190312150913402</v>
      </c>
      <c r="B9741" t="str">
        <f>"1552374553399209"</f>
        <v>1552374553399209</v>
      </c>
      <c r="C9741" t="s">
        <v>40</v>
      </c>
      <c r="D9741">
        <v>4.4002299999999996</v>
      </c>
      <c r="E9741">
        <v>0.45596759999999997</v>
      </c>
      <c r="F9741" t="s">
        <v>90</v>
      </c>
      <c r="G9741">
        <v>-213.9512</v>
      </c>
      <c r="H9741" s="1">
        <v>-1.2118439999999999E-6</v>
      </c>
      <c r="I9741">
        <v>-57.295610000000003</v>
      </c>
      <c r="J9741">
        <v>-238.69390000000001</v>
      </c>
      <c r="K9741">
        <v>1.1098110000000001</v>
      </c>
      <c r="L9741">
        <v>-62.070469999999901</v>
      </c>
      <c r="M9741">
        <v>0.99976799999999999</v>
      </c>
      <c r="N9741">
        <v>0</v>
      </c>
      <c r="O9741">
        <v>1.854219E-2</v>
      </c>
      <c r="P9741">
        <v>0.99648669999999995</v>
      </c>
      <c r="Q9741">
        <v>1.720882E-2</v>
      </c>
      <c r="R9741">
        <v>8.1965330000000003E-2</v>
      </c>
      <c r="S9741">
        <v>2.9662480000000002</v>
      </c>
      <c r="T9741">
        <v>-0.13222719999999999</v>
      </c>
      <c r="U9741">
        <v>0.56921390000000005</v>
      </c>
      <c r="V9741">
        <v>-6.3457550000000001E-2</v>
      </c>
      <c r="W9741">
        <v>2.8192430000000001E-2</v>
      </c>
      <c r="X9741">
        <v>0.99758630000000004</v>
      </c>
      <c r="Y9741">
        <v>-0.17007</v>
      </c>
      <c r="Z9741">
        <v>2.9361999999999999E-3</v>
      </c>
      <c r="AA9741">
        <v>0.98542759999999996</v>
      </c>
      <c r="AB9741">
        <v>31</v>
      </c>
      <c r="AC9741">
        <v>24.742699999999999</v>
      </c>
      <c r="AD9741">
        <v>-1.1098122118439999</v>
      </c>
      <c r="AE9741">
        <v>4.7748599999999897</v>
      </c>
      <c r="AF9741">
        <v>-4.3068737393799701</v>
      </c>
      <c r="AG9741">
        <v>-1.1098122118439999</v>
      </c>
      <c r="AH9741">
        <v>24.778924759746001</v>
      </c>
      <c r="AI9741">
        <v>92.526649618305498</v>
      </c>
      <c r="AJ9741">
        <v>99.860185804783001</v>
      </c>
      <c r="AK9741">
        <v>25.174907284867501</v>
      </c>
      <c r="AL9741">
        <v>88.384478772878794</v>
      </c>
      <c r="AM9741">
        <v>93.639742913963602</v>
      </c>
      <c r="AN9741">
        <v>1.0000000498544901</v>
      </c>
    </row>
    <row r="9742" spans="1:40" x14ac:dyDescent="0.25">
      <c r="A9742" t="str">
        <f>"20190312150913414"</f>
        <v>20190312150913414</v>
      </c>
      <c r="B9742" t="str">
        <f>"1552374553408969"</f>
        <v>1552374553408969</v>
      </c>
      <c r="C9742" t="s">
        <v>40</v>
      </c>
      <c r="D9742">
        <v>4.4072680000000002</v>
      </c>
      <c r="E9742">
        <v>0.45443899999999998</v>
      </c>
      <c r="F9742" t="s">
        <v>90</v>
      </c>
      <c r="G9742">
        <v>-217.89109999999999</v>
      </c>
      <c r="H9742" s="1">
        <v>-2.8044690000000002E-6</v>
      </c>
      <c r="I9742">
        <v>-57.845700000000001</v>
      </c>
      <c r="J9742">
        <v>-238.53389999999999</v>
      </c>
      <c r="K9742">
        <v>1.109807</v>
      </c>
      <c r="L9742">
        <v>-62.067630000000001</v>
      </c>
      <c r="M9742">
        <v>0.99977050000000001</v>
      </c>
      <c r="N9742">
        <v>0</v>
      </c>
      <c r="O9742">
        <v>1.840236E-2</v>
      </c>
      <c r="P9742">
        <v>0.99641840000000004</v>
      </c>
      <c r="Q9742">
        <v>1.7503939999999999E-2</v>
      </c>
      <c r="R9742">
        <v>8.2729430000000007E-2</v>
      </c>
      <c r="S9742">
        <v>2.9638059999999999</v>
      </c>
      <c r="T9742">
        <v>-0.15811620000000001</v>
      </c>
      <c r="U9742">
        <v>0.60189820000000005</v>
      </c>
      <c r="V9742">
        <v>-6.4362210000000003E-2</v>
      </c>
      <c r="W9742">
        <v>2.8492710000000001E-2</v>
      </c>
      <c r="X9742">
        <v>0.99751970000000001</v>
      </c>
      <c r="Y9742">
        <v>-0.18072969999999999</v>
      </c>
      <c r="Z9742">
        <v>3.7981540000000002E-3</v>
      </c>
      <c r="AA9742">
        <v>0.98352550000000005</v>
      </c>
      <c r="AB9742">
        <v>31</v>
      </c>
      <c r="AC9742">
        <v>20.642799999999902</v>
      </c>
      <c r="AD9742">
        <v>-1.1098098044689999</v>
      </c>
      <c r="AE9742">
        <v>4.2219300000000004</v>
      </c>
      <c r="AF9742">
        <v>-3.8306881763960199</v>
      </c>
      <c r="AG9742">
        <v>-1.1098098044689999</v>
      </c>
      <c r="AH9742">
        <v>20.659684673946099</v>
      </c>
      <c r="AI9742">
        <v>93.023458859002901</v>
      </c>
      <c r="AJ9742">
        <v>100.50440235460501</v>
      </c>
      <c r="AK9742">
        <v>21.041112625851301</v>
      </c>
      <c r="AL9742">
        <v>88.367266903511194</v>
      </c>
      <c r="AM9742">
        <v>93.691734925727204</v>
      </c>
      <c r="AN9742">
        <v>0.99999994024365702</v>
      </c>
    </row>
    <row r="9743" spans="1:40" x14ac:dyDescent="0.25">
      <c r="A9743" t="str">
        <f>"20190312150913425"</f>
        <v>20190312150913425</v>
      </c>
      <c r="B9743" t="str">
        <f>"1552374553418729"</f>
        <v>1552374553418729</v>
      </c>
      <c r="C9743" t="s">
        <v>40</v>
      </c>
      <c r="D9743">
        <v>4.4539849999999896</v>
      </c>
      <c r="E9743">
        <v>0.45385039999999999</v>
      </c>
      <c r="F9743" t="s">
        <v>90</v>
      </c>
      <c r="G9743">
        <v>-218.8931</v>
      </c>
      <c r="H9743" s="1">
        <v>-3.2104499999999999E-6</v>
      </c>
      <c r="I9743">
        <v>-57.980249999999998</v>
      </c>
      <c r="J9743">
        <v>-238.3826</v>
      </c>
      <c r="K9743">
        <v>1.1098049999999999</v>
      </c>
      <c r="L9743">
        <v>-62.06494</v>
      </c>
      <c r="M9743">
        <v>0.99977280000000002</v>
      </c>
      <c r="N9743">
        <v>0</v>
      </c>
      <c r="O9743">
        <v>1.8269980000000002E-2</v>
      </c>
      <c r="P9743">
        <v>0.99633070000000001</v>
      </c>
      <c r="Q9743">
        <v>1.7729089999999999E-2</v>
      </c>
      <c r="R9743">
        <v>8.3731650000000005E-2</v>
      </c>
      <c r="S9743">
        <v>2.962555</v>
      </c>
      <c r="T9743">
        <v>-0.16739960000000001</v>
      </c>
      <c r="U9743">
        <v>0.61651610000000001</v>
      </c>
      <c r="V9743">
        <v>-6.549808E-2</v>
      </c>
      <c r="W9743">
        <v>2.8722930000000001E-2</v>
      </c>
      <c r="X9743">
        <v>0.99743919999999997</v>
      </c>
      <c r="Y9743">
        <v>-0.18556059999999999</v>
      </c>
      <c r="Z9743">
        <v>4.1628400000000001E-3</v>
      </c>
      <c r="AA9743">
        <v>0.98262400000000005</v>
      </c>
      <c r="AB9743">
        <v>31</v>
      </c>
      <c r="AC9743">
        <v>19.4894999999999</v>
      </c>
      <c r="AD9743">
        <v>-1.10980821045</v>
      </c>
      <c r="AE9743">
        <v>4.0846900000000002</v>
      </c>
      <c r="AF9743">
        <v>-3.7163702307545599</v>
      </c>
      <c r="AG9743">
        <v>-1.10980821045</v>
      </c>
      <c r="AH9743">
        <v>19.5003070857335</v>
      </c>
      <c r="AI9743">
        <v>93.199854006490199</v>
      </c>
      <c r="AJ9743">
        <v>100.79004220377</v>
      </c>
      <c r="AK9743">
        <v>19.8822800099468</v>
      </c>
      <c r="AL9743">
        <v>88.354070935193306</v>
      </c>
      <c r="AM9743">
        <v>93.757004359045695</v>
      </c>
      <c r="AN9743">
        <v>0.999999981444055</v>
      </c>
    </row>
    <row r="9744" spans="1:40" x14ac:dyDescent="0.25">
      <c r="A9744" t="str">
        <f>"20190312150913436"</f>
        <v>20190312150913436</v>
      </c>
      <c r="B9744" t="str">
        <f>"1552374553429465"</f>
        <v>1552374553429465</v>
      </c>
      <c r="C9744" t="s">
        <v>40</v>
      </c>
      <c r="D9744">
        <v>4.5212669999999999</v>
      </c>
      <c r="E9744">
        <v>0.45378010000000002</v>
      </c>
      <c r="F9744" t="s">
        <v>90</v>
      </c>
      <c r="G9744">
        <v>-219.8279</v>
      </c>
      <c r="H9744" s="1">
        <v>-3.5807939999999999E-6</v>
      </c>
      <c r="I9744">
        <v>-58.153199999999998</v>
      </c>
      <c r="J9744">
        <v>-238.22540000000001</v>
      </c>
      <c r="K9744">
        <v>1.1098049999999999</v>
      </c>
      <c r="L9744">
        <v>-62.06223</v>
      </c>
      <c r="M9744">
        <v>0.99977539999999998</v>
      </c>
      <c r="N9744">
        <v>0</v>
      </c>
      <c r="O9744">
        <v>1.8131959999999999E-2</v>
      </c>
      <c r="P9744">
        <v>0.9962377</v>
      </c>
      <c r="Q9744">
        <v>1.8167530000000001E-2</v>
      </c>
      <c r="R9744">
        <v>8.4739309999999998E-2</v>
      </c>
      <c r="S9744">
        <v>2.9617460000000002</v>
      </c>
      <c r="T9744">
        <v>-0.17714949999999999</v>
      </c>
      <c r="U9744">
        <v>0.62438959999999999</v>
      </c>
      <c r="V9744">
        <v>-6.664436E-2</v>
      </c>
      <c r="W9744">
        <v>2.91662E-2</v>
      </c>
      <c r="X9744">
        <v>0.99735039999999997</v>
      </c>
      <c r="Y9744">
        <v>-0.1882161</v>
      </c>
      <c r="Z9744">
        <v>4.4915240000000002E-3</v>
      </c>
      <c r="AA9744">
        <v>0.98211740000000003</v>
      </c>
      <c r="AB9744">
        <v>31</v>
      </c>
      <c r="AC9744">
        <v>18.397500000000001</v>
      </c>
      <c r="AD9744">
        <v>-1.1098085807939999</v>
      </c>
      <c r="AE9744">
        <v>3.90903</v>
      </c>
      <c r="AF9744">
        <v>-3.5623810406649699</v>
      </c>
      <c r="AG9744">
        <v>-1.1098085807939999</v>
      </c>
      <c r="AH9744">
        <v>18.401288507718998</v>
      </c>
      <c r="AI9744">
        <v>93.388645204481094</v>
      </c>
      <c r="AJ9744">
        <v>100.95658766464101</v>
      </c>
      <c r="AK9744">
        <v>18.775773020283399</v>
      </c>
      <c r="AL9744">
        <v>88.328662784963498</v>
      </c>
      <c r="AM9744">
        <v>93.822901653218096</v>
      </c>
      <c r="AN9744">
        <v>0.99999997916120398</v>
      </c>
    </row>
    <row r="9745" spans="1:40" x14ac:dyDescent="0.25">
      <c r="A9745" t="str">
        <f>"20190312150913448"</f>
        <v>20190312150913448</v>
      </c>
      <c r="B9745" t="str">
        <f>"1552374553439225"</f>
        <v>1552374553439225</v>
      </c>
      <c r="C9745" t="s">
        <v>40</v>
      </c>
      <c r="D9745">
        <v>4.4188510000000001</v>
      </c>
      <c r="E9745">
        <v>0.4539822</v>
      </c>
      <c r="F9745" t="s">
        <v>90</v>
      </c>
      <c r="G9745">
        <v>-219.47290000000001</v>
      </c>
      <c r="H9745" s="1">
        <v>-3.4404670000000001E-6</v>
      </c>
      <c r="I9745">
        <v>-58.085709999999999</v>
      </c>
      <c r="J9745">
        <v>-238.0694</v>
      </c>
      <c r="K9745">
        <v>1.1098059999999901</v>
      </c>
      <c r="L9745">
        <v>-62.059510000000003</v>
      </c>
      <c r="M9745">
        <v>0.99977769999999999</v>
      </c>
      <c r="N9745">
        <v>0</v>
      </c>
      <c r="O9745">
        <v>1.799512E-2</v>
      </c>
      <c r="P9745">
        <v>0.99614170000000002</v>
      </c>
      <c r="Q9745">
        <v>1.85454E-2</v>
      </c>
      <c r="R9745">
        <v>8.5778999999999994E-2</v>
      </c>
      <c r="S9745">
        <v>2.9611049999999999</v>
      </c>
      <c r="T9745">
        <v>-0.17524339999999999</v>
      </c>
      <c r="U9745">
        <v>0.62789919999999899</v>
      </c>
      <c r="V9745">
        <v>-6.7822030000000005E-2</v>
      </c>
      <c r="W9745">
        <v>2.9548939999999999E-2</v>
      </c>
      <c r="X9745">
        <v>0.99725969999999997</v>
      </c>
      <c r="Y9745">
        <v>-0.18951119999999999</v>
      </c>
      <c r="Z9745">
        <v>4.4895439999999998E-3</v>
      </c>
      <c r="AA9745">
        <v>0.98186830000000003</v>
      </c>
      <c r="AB9745">
        <v>31</v>
      </c>
      <c r="AC9745">
        <v>18.596499999999899</v>
      </c>
      <c r="AD9745">
        <v>-1.10980944046699</v>
      </c>
      <c r="AE9745">
        <v>3.97379999999999</v>
      </c>
      <c r="AF9745">
        <v>-3.6261394195253902</v>
      </c>
      <c r="AG9745">
        <v>-1.10980944046699</v>
      </c>
      <c r="AH9745">
        <v>18.601644710547902</v>
      </c>
      <c r="AI9745">
        <v>93.351392395399799</v>
      </c>
      <c r="AJ9745">
        <v>101.030703676537</v>
      </c>
      <c r="AK9745">
        <v>18.9842500515939</v>
      </c>
      <c r="AL9745">
        <v>88.306723872505799</v>
      </c>
      <c r="AM9745">
        <v>93.890603096734296</v>
      </c>
      <c r="AN9745">
        <v>0.999999938426265</v>
      </c>
    </row>
    <row r="9746" spans="1:40" x14ac:dyDescent="0.25">
      <c r="A9746" t="str">
        <f>"20190312150913459"</f>
        <v>20190312150913459</v>
      </c>
      <c r="B9746" t="str">
        <f>"1552374553448985"</f>
        <v>1552374553448985</v>
      </c>
      <c r="C9746" t="s">
        <v>40</v>
      </c>
      <c r="D9746">
        <v>4.420966</v>
      </c>
      <c r="E9746">
        <v>0.45412570000000002</v>
      </c>
      <c r="F9746" t="s">
        <v>90</v>
      </c>
      <c r="G9746">
        <v>-219.02189999999999</v>
      </c>
      <c r="H9746" s="1">
        <v>-3.2601890000000001E-6</v>
      </c>
      <c r="I9746">
        <v>-58.0113699999999</v>
      </c>
      <c r="J9746">
        <v>-237.91470000000001</v>
      </c>
      <c r="K9746">
        <v>1.1098079999999999</v>
      </c>
      <c r="L9746">
        <v>-62.05688</v>
      </c>
      <c r="M9746">
        <v>0.99978009999999995</v>
      </c>
      <c r="N9746">
        <v>0</v>
      </c>
      <c r="O9746">
        <v>1.7859429999999999E-2</v>
      </c>
      <c r="P9746">
        <v>0.99602710000000005</v>
      </c>
      <c r="Q9746">
        <v>1.8994690000000002E-2</v>
      </c>
      <c r="R9746">
        <v>8.700099E-2</v>
      </c>
      <c r="S9746">
        <v>2.9606479999999999</v>
      </c>
      <c r="T9746">
        <v>-0.17250260000000001</v>
      </c>
      <c r="U9746">
        <v>0.62921139999999998</v>
      </c>
      <c r="V9746">
        <v>-6.9180560000000002E-2</v>
      </c>
      <c r="W9746">
        <v>3.000268E-2</v>
      </c>
      <c r="X9746">
        <v>0.99715290000000001</v>
      </c>
      <c r="Y9746">
        <v>-0.1900994</v>
      </c>
      <c r="Z9746">
        <v>4.4446490000000002E-3</v>
      </c>
      <c r="AA9746">
        <v>0.98175480000000004</v>
      </c>
      <c r="AB9746">
        <v>31</v>
      </c>
      <c r="AC9746">
        <v>18.892800000000001</v>
      </c>
      <c r="AD9746">
        <v>-1.109811260189</v>
      </c>
      <c r="AE9746">
        <v>4.0455100000000099</v>
      </c>
      <c r="AF9746">
        <v>-3.6952375912042701</v>
      </c>
      <c r="AG9746">
        <v>-1.109811260189</v>
      </c>
      <c r="AH9746">
        <v>18.899683545170699</v>
      </c>
      <c r="AI9746">
        <v>93.298305377123995</v>
      </c>
      <c r="AJ9746">
        <v>101.062825271647</v>
      </c>
      <c r="AK9746">
        <v>19.289491957962198</v>
      </c>
      <c r="AL9746">
        <v>88.280715071613898</v>
      </c>
      <c r="AM9746">
        <v>93.968712132085201</v>
      </c>
      <c r="AN9746">
        <v>1.0000000083337499</v>
      </c>
    </row>
    <row r="9747" spans="1:40" x14ac:dyDescent="0.25">
      <c r="A9747" t="str">
        <f>"20190312150913475"</f>
        <v>20190312150913475</v>
      </c>
      <c r="B9747" t="str">
        <f>"1552374553469482"</f>
        <v>1552374553469482</v>
      </c>
      <c r="C9747" t="s">
        <v>40</v>
      </c>
      <c r="D9747">
        <v>4.4390910000000003</v>
      </c>
      <c r="E9747">
        <v>0.4539784</v>
      </c>
      <c r="F9747" t="s">
        <v>90</v>
      </c>
      <c r="G9747">
        <v>-218.50149999999999</v>
      </c>
      <c r="H9747" s="1">
        <v>-3.0542360000000001E-6</v>
      </c>
      <c r="I9747">
        <v>-57.913930000000001</v>
      </c>
      <c r="J9747">
        <v>-237.69659999999999</v>
      </c>
      <c r="K9747">
        <v>1.109809</v>
      </c>
      <c r="L9747">
        <v>-62.053130000000003</v>
      </c>
      <c r="M9747">
        <v>0.99978339999999999</v>
      </c>
      <c r="N9747">
        <v>0</v>
      </c>
      <c r="O9747">
        <v>1.7668590000000001E-2</v>
      </c>
      <c r="P9747">
        <v>0.99592820000000004</v>
      </c>
      <c r="Q9747">
        <v>1.9314749999999999E-2</v>
      </c>
      <c r="R9747">
        <v>8.8057910000000003E-2</v>
      </c>
      <c r="S9747">
        <v>2.9600070000000001</v>
      </c>
      <c r="T9747">
        <v>-0.16921720000000001</v>
      </c>
      <c r="U9747">
        <v>0.63168329999999995</v>
      </c>
      <c r="V9747">
        <v>-7.0429850000000002E-2</v>
      </c>
      <c r="W9747">
        <v>3.0328689999999998E-2</v>
      </c>
      <c r="X9747">
        <v>0.99705560000000004</v>
      </c>
      <c r="Y9747">
        <v>-0.19112270000000001</v>
      </c>
      <c r="Z9747">
        <v>4.4003540000000004E-3</v>
      </c>
      <c r="AA9747">
        <v>0.98155630000000005</v>
      </c>
      <c r="AB9747">
        <v>31</v>
      </c>
      <c r="AC9747">
        <v>19.1951</v>
      </c>
      <c r="AD9747">
        <v>-1.1098120542359999</v>
      </c>
      <c r="AE9747">
        <v>4.13919999999999</v>
      </c>
      <c r="AF9747">
        <v>-3.7872851030468699</v>
      </c>
      <c r="AG9747">
        <v>-1.1098120542359999</v>
      </c>
      <c r="AH9747">
        <v>19.2038980344221</v>
      </c>
      <c r="AI9747">
        <v>93.245132417717102</v>
      </c>
      <c r="AJ9747">
        <v>101.15638568568301</v>
      </c>
      <c r="AK9747">
        <v>19.605226623631999</v>
      </c>
      <c r="AL9747">
        <v>88.262027610166598</v>
      </c>
      <c r="AM9747">
        <v>94.040538434584704</v>
      </c>
      <c r="AN9747">
        <v>1.0000000313497399</v>
      </c>
    </row>
    <row r="9748" spans="1:40" x14ac:dyDescent="0.25">
      <c r="A9748" t="str">
        <f>"20190312150913485"</f>
        <v>20190312150913485</v>
      </c>
      <c r="B9748" t="str">
        <f>"1552374553479241"</f>
        <v>1552374553479241</v>
      </c>
      <c r="C9748" t="s">
        <v>40</v>
      </c>
      <c r="D9748">
        <v>4.4273980000000002</v>
      </c>
      <c r="E9748">
        <v>0.45390730000000001</v>
      </c>
      <c r="F9748" t="s">
        <v>90</v>
      </c>
      <c r="G9748">
        <v>-218.4931</v>
      </c>
      <c r="H9748" s="1">
        <v>-3.048517E-6</v>
      </c>
      <c r="I9748">
        <v>-57.925870000000003</v>
      </c>
      <c r="J9748">
        <v>-237.56319999999999</v>
      </c>
      <c r="K9748">
        <v>1.10981</v>
      </c>
      <c r="L9748">
        <v>-62.050870000000003</v>
      </c>
      <c r="M9748">
        <v>0.99978549999999999</v>
      </c>
      <c r="N9748">
        <v>0</v>
      </c>
      <c r="O9748">
        <v>1.755162E-2</v>
      </c>
      <c r="P9748">
        <v>0.99580950000000001</v>
      </c>
      <c r="Q9748">
        <v>1.97851E-2</v>
      </c>
      <c r="R9748">
        <v>8.9287610000000003E-2</v>
      </c>
      <c r="S9748">
        <v>2.9593349999999998</v>
      </c>
      <c r="T9748">
        <v>-0.17102619999999999</v>
      </c>
      <c r="U9748">
        <v>0.63601680000000005</v>
      </c>
      <c r="V9748">
        <v>-7.1777540000000001E-2</v>
      </c>
      <c r="W9748">
        <v>3.0801970000000001E-2</v>
      </c>
      <c r="X9748">
        <v>0.99694499999999997</v>
      </c>
      <c r="Y9748">
        <v>-0.19264870000000001</v>
      </c>
      <c r="Z9748">
        <v>4.4978680000000004E-3</v>
      </c>
      <c r="AA9748">
        <v>0.9812575</v>
      </c>
      <c r="AB9748">
        <v>31</v>
      </c>
      <c r="AC9748">
        <v>19.0701</v>
      </c>
      <c r="AD9748">
        <v>-1.1098130485169999</v>
      </c>
      <c r="AE9748">
        <v>4.125</v>
      </c>
      <c r="AF9748">
        <v>-3.7774114943888999</v>
      </c>
      <c r="AG9748">
        <v>-1.1098130485169999</v>
      </c>
      <c r="AH9748">
        <v>19.077841471327002</v>
      </c>
      <c r="AI9748">
        <v>93.266044308561803</v>
      </c>
      <c r="AJ9748">
        <v>101.199702795893</v>
      </c>
      <c r="AK9748">
        <v>19.47985004577</v>
      </c>
      <c r="AL9748">
        <v>88.234898029924693</v>
      </c>
      <c r="AM9748">
        <v>94.118046766564305</v>
      </c>
      <c r="AN9748">
        <v>1.0000000548146599</v>
      </c>
    </row>
    <row r="9749" spans="1:40" x14ac:dyDescent="0.25">
      <c r="A9749" t="str">
        <f>"20190312150913493"</f>
        <v>20190312150913493</v>
      </c>
      <c r="B9749" t="str">
        <f>"1552374553489001"</f>
        <v>1552374553489001</v>
      </c>
      <c r="C9749" t="s">
        <v>40</v>
      </c>
      <c r="D9749">
        <v>4.4426259999999997</v>
      </c>
      <c r="E9749">
        <v>0.45379140000000001</v>
      </c>
      <c r="F9749" t="s">
        <v>90</v>
      </c>
      <c r="G9749">
        <v>-218.55789999999999</v>
      </c>
      <c r="H9749" s="1">
        <v>-3.0742210000000001E-6</v>
      </c>
      <c r="I9749">
        <v>-57.937649999999998</v>
      </c>
      <c r="J9749">
        <v>-237.44380000000001</v>
      </c>
      <c r="K9749">
        <v>1.109809</v>
      </c>
      <c r="L9749">
        <v>-62.04889</v>
      </c>
      <c r="M9749">
        <v>0.99978730000000005</v>
      </c>
      <c r="N9749">
        <v>0</v>
      </c>
      <c r="O9749">
        <v>1.744764E-2</v>
      </c>
      <c r="P9749">
        <v>0.99571350000000003</v>
      </c>
      <c r="Q9749">
        <v>2.0056029999999999E-2</v>
      </c>
      <c r="R9749">
        <v>9.0291209999999997E-2</v>
      </c>
      <c r="S9749">
        <v>2.9586640000000002</v>
      </c>
      <c r="T9749">
        <v>-0.17277100000000001</v>
      </c>
      <c r="U9749">
        <v>0.64031979999999999</v>
      </c>
      <c r="V9749">
        <v>-7.2885950000000005E-2</v>
      </c>
      <c r="W9749">
        <v>3.10765E-2</v>
      </c>
      <c r="X9749">
        <v>0.99685599999999996</v>
      </c>
      <c r="Y9749">
        <v>-0.19415160000000001</v>
      </c>
      <c r="Z9749">
        <v>4.5933379999999998E-3</v>
      </c>
      <c r="AA9749">
        <v>0.98096079999999997</v>
      </c>
      <c r="AB9749">
        <v>31</v>
      </c>
      <c r="AC9749">
        <v>18.885899999999999</v>
      </c>
      <c r="AD9749">
        <v>-1.109812074221</v>
      </c>
      <c r="AE9749">
        <v>4.1112399999999996</v>
      </c>
      <c r="AF9749">
        <v>-3.76865462822109</v>
      </c>
      <c r="AG9749">
        <v>-1.109812074221</v>
      </c>
      <c r="AH9749">
        <v>18.8924725463451</v>
      </c>
      <c r="AI9749">
        <v>93.297086235441895</v>
      </c>
      <c r="AJ9749">
        <v>101.28123565182599</v>
      </c>
      <c r="AK9749">
        <v>19.296630780042999</v>
      </c>
      <c r="AL9749">
        <v>88.219160984760904</v>
      </c>
      <c r="AM9749">
        <v>94.181787009418201</v>
      </c>
      <c r="AN9749">
        <v>0.99999999764782599</v>
      </c>
    </row>
    <row r="9750" spans="1:40" x14ac:dyDescent="0.25">
      <c r="A9750" t="str">
        <f>"20190312150913502"</f>
        <v>20190312150913502</v>
      </c>
      <c r="B9750" t="str">
        <f>"1552374553498761"</f>
        <v>1552374553498761</v>
      </c>
      <c r="C9750" t="s">
        <v>40</v>
      </c>
      <c r="D9750">
        <v>4.4533829999999996</v>
      </c>
      <c r="E9750">
        <v>0.45382499999999998</v>
      </c>
      <c r="F9750" t="s">
        <v>90</v>
      </c>
      <c r="G9750">
        <v>-218.6405</v>
      </c>
      <c r="H9750" s="1">
        <v>-3.106952E-6</v>
      </c>
      <c r="I9750">
        <v>-57.952840000000002</v>
      </c>
      <c r="J9750">
        <v>-237.3185</v>
      </c>
      <c r="K9750">
        <v>1.10981</v>
      </c>
      <c r="L9750">
        <v>-62.046779999999998</v>
      </c>
      <c r="M9750">
        <v>0.99978909999999999</v>
      </c>
      <c r="N9750">
        <v>0</v>
      </c>
      <c r="O9750">
        <v>1.7338309999999999E-2</v>
      </c>
      <c r="P9750">
        <v>0.99555709999999997</v>
      </c>
      <c r="Q9750">
        <v>2.0406150000000001E-2</v>
      </c>
      <c r="R9750">
        <v>9.1924169999999999E-2</v>
      </c>
      <c r="S9750">
        <v>2.9579930000000001</v>
      </c>
      <c r="T9750">
        <v>-0.1745871</v>
      </c>
      <c r="U9750">
        <v>0.64434809999999998</v>
      </c>
      <c r="V9750">
        <v>-7.4630440000000006E-2</v>
      </c>
      <c r="W9750">
        <v>3.1429190000000003E-2</v>
      </c>
      <c r="X9750">
        <v>0.99671580000000004</v>
      </c>
      <c r="Y9750">
        <v>-0.19557169999999999</v>
      </c>
      <c r="Z9750">
        <v>4.6896660000000003E-3</v>
      </c>
      <c r="AA9750">
        <v>0.98067820000000006</v>
      </c>
      <c r="AB9750">
        <v>31</v>
      </c>
      <c r="AC9750">
        <v>18.678000000000001</v>
      </c>
      <c r="AD9750">
        <v>-1.1098131069520001</v>
      </c>
      <c r="AE9750">
        <v>4.0939399999999999</v>
      </c>
      <c r="AF9750">
        <v>-3.7568044687210498</v>
      </c>
      <c r="AG9750">
        <v>-1.1098131069520001</v>
      </c>
      <c r="AH9750">
        <v>18.6832403624412</v>
      </c>
      <c r="AI9750">
        <v>93.332905849037502</v>
      </c>
      <c r="AJ9750">
        <v>101.369356179452</v>
      </c>
      <c r="AK9750">
        <v>19.089492800735101</v>
      </c>
      <c r="AL9750">
        <v>88.198943358500102</v>
      </c>
      <c r="AM9750">
        <v>94.282108206461203</v>
      </c>
      <c r="AN9750">
        <v>0.99999994126414304</v>
      </c>
    </row>
    <row r="9751" spans="1:40" x14ac:dyDescent="0.25">
      <c r="A9751" t="str">
        <f>"20190312150913514"</f>
        <v>20190312150913514</v>
      </c>
      <c r="B9751" t="str">
        <f>"1552374553509501"</f>
        <v>1552374553509501</v>
      </c>
      <c r="C9751" t="s">
        <v>40</v>
      </c>
      <c r="D9751">
        <v>4.4388259999999997</v>
      </c>
      <c r="E9751">
        <v>0.45373629999999998</v>
      </c>
      <c r="F9751" t="s">
        <v>90</v>
      </c>
      <c r="G9751">
        <v>-218.66630000000001</v>
      </c>
      <c r="H9751" s="1">
        <v>-3.1180820000000002E-6</v>
      </c>
      <c r="I9751">
        <v>-57.952550000000002</v>
      </c>
      <c r="J9751">
        <v>-237.1593</v>
      </c>
      <c r="K9751">
        <v>1.1098110000000001</v>
      </c>
      <c r="L9751">
        <v>-62.04419</v>
      </c>
      <c r="M9751">
        <v>0.99979150000000006</v>
      </c>
      <c r="N9751">
        <v>0</v>
      </c>
      <c r="O9751">
        <v>1.7199760000000001E-2</v>
      </c>
      <c r="P9751">
        <v>0.99543519999999996</v>
      </c>
      <c r="Q9751">
        <v>2.062659E-2</v>
      </c>
      <c r="R9751">
        <v>9.3184580000000003E-2</v>
      </c>
      <c r="S9751">
        <v>2.9570620000000001</v>
      </c>
      <c r="T9751">
        <v>-0.17594660000000001</v>
      </c>
      <c r="U9751">
        <v>0.64907840000000006</v>
      </c>
      <c r="V9751">
        <v>-7.603095E-2</v>
      </c>
      <c r="W9751">
        <v>3.1653189999999998E-2</v>
      </c>
      <c r="X9751">
        <v>0.99660289999999996</v>
      </c>
      <c r="Y9751">
        <v>-0.19726089999999999</v>
      </c>
      <c r="Z9751">
        <v>4.7845329999999997E-3</v>
      </c>
      <c r="AA9751">
        <v>0.98033930000000002</v>
      </c>
      <c r="AB9751">
        <v>31</v>
      </c>
      <c r="AC9751">
        <v>18.492999999999899</v>
      </c>
      <c r="AD9751">
        <v>-1.109814118082</v>
      </c>
      <c r="AE9751">
        <v>4.0916399999999902</v>
      </c>
      <c r="AF9751">
        <v>-3.7600303912115298</v>
      </c>
      <c r="AG9751">
        <v>-1.109814118082</v>
      </c>
      <c r="AH9751">
        <v>18.4971347117101</v>
      </c>
      <c r="AI9751">
        <v>93.364932319215299</v>
      </c>
      <c r="AJ9751">
        <v>101.490320285054</v>
      </c>
      <c r="AK9751">
        <v>18.908027619576799</v>
      </c>
      <c r="AL9751">
        <v>88.186102793716799</v>
      </c>
      <c r="AM9751">
        <v>94.362650906068197</v>
      </c>
      <c r="AN9751">
        <v>0.99999998504174403</v>
      </c>
    </row>
    <row r="9752" spans="1:40" x14ac:dyDescent="0.25">
      <c r="A9752" t="str">
        <f>"20190312150913526"</f>
        <v>20190312150913526</v>
      </c>
      <c r="B9752" t="str">
        <f>"1552374553519257"</f>
        <v>1552374553519257</v>
      </c>
      <c r="C9752" t="s">
        <v>40</v>
      </c>
      <c r="D9752">
        <v>4.508108</v>
      </c>
      <c r="E9752">
        <v>0.45349620000000002</v>
      </c>
      <c r="F9752" t="s">
        <v>90</v>
      </c>
      <c r="G9752">
        <v>-218.66810000000001</v>
      </c>
      <c r="H9752" s="1">
        <v>-3.1182909999999998E-6</v>
      </c>
      <c r="I9752">
        <v>-57.955739999999999</v>
      </c>
      <c r="J9752">
        <v>-237.0059</v>
      </c>
      <c r="K9752">
        <v>1.109807</v>
      </c>
      <c r="L9752">
        <v>-62.04166</v>
      </c>
      <c r="M9752">
        <v>0.99979359999999995</v>
      </c>
      <c r="N9752">
        <v>0</v>
      </c>
      <c r="O9752">
        <v>1.7066339999999999E-2</v>
      </c>
      <c r="P9752">
        <v>0.99532580000000004</v>
      </c>
      <c r="Q9752">
        <v>2.0846839999999998E-2</v>
      </c>
      <c r="R9752">
        <v>9.4298060000000003E-2</v>
      </c>
      <c r="S9752">
        <v>2.9562529999999998</v>
      </c>
      <c r="T9752">
        <v>-0.177429799999999</v>
      </c>
      <c r="U9752">
        <v>0.65362549999999997</v>
      </c>
      <c r="V9752">
        <v>-7.7278730000000004E-2</v>
      </c>
      <c r="W9752">
        <v>3.1876710000000003E-2</v>
      </c>
      <c r="X9752">
        <v>0.99649980000000005</v>
      </c>
      <c r="Y9752">
        <v>-0.19887750000000001</v>
      </c>
      <c r="Z9752">
        <v>4.8810889999999999E-3</v>
      </c>
      <c r="AA9752">
        <v>0.9800122</v>
      </c>
      <c r="AB9752">
        <v>31</v>
      </c>
      <c r="AC9752">
        <v>18.337799999999898</v>
      </c>
      <c r="AD9752">
        <v>-1.1098101182910001</v>
      </c>
      <c r="AE9752">
        <v>4.08591999999999</v>
      </c>
      <c r="AF9752">
        <v>-3.7592289760444202</v>
      </c>
      <c r="AG9752">
        <v>-1.1098101182910001</v>
      </c>
      <c r="AH9752">
        <v>18.340864908630699</v>
      </c>
      <c r="AI9752">
        <v>93.392403786173801</v>
      </c>
      <c r="AJ9752">
        <v>101.583182548414</v>
      </c>
      <c r="AK9752">
        <v>18.755020836822201</v>
      </c>
      <c r="AL9752">
        <v>88.173289582254895</v>
      </c>
      <c r="AM9752">
        <v>94.434422135742693</v>
      </c>
      <c r="AN9752">
        <v>0.99999998907543797</v>
      </c>
    </row>
    <row r="9753" spans="1:40" x14ac:dyDescent="0.25">
      <c r="A9753" t="str">
        <f>"20190312150913535"</f>
        <v>20190312150913535</v>
      </c>
      <c r="B9753" t="str">
        <f>"1552374553529017"</f>
        <v>1552374553529017</v>
      </c>
      <c r="C9753" t="s">
        <v>40</v>
      </c>
      <c r="D9753">
        <v>4.4691130000000001</v>
      </c>
      <c r="E9753">
        <v>0.45348100000000002</v>
      </c>
      <c r="F9753" t="s">
        <v>90</v>
      </c>
      <c r="G9753">
        <v>-218.99170000000001</v>
      </c>
      <c r="H9753" s="1">
        <v>-3.244898E-6</v>
      </c>
      <c r="I9753">
        <v>-58.024500000000003</v>
      </c>
      <c r="J9753">
        <v>-236.85579999999999</v>
      </c>
      <c r="K9753">
        <v>1.109807</v>
      </c>
      <c r="L9753">
        <v>-62.039219999999901</v>
      </c>
      <c r="M9753">
        <v>0.99979589999999996</v>
      </c>
      <c r="N9753">
        <v>0</v>
      </c>
      <c r="O9753">
        <v>1.6935599999999999E-2</v>
      </c>
      <c r="P9753">
        <v>0.99519440000000003</v>
      </c>
      <c r="Q9753">
        <v>2.094944E-2</v>
      </c>
      <c r="R9753">
        <v>9.5651490000000006E-2</v>
      </c>
      <c r="S9753">
        <v>2.9554749999999999</v>
      </c>
      <c r="T9753">
        <v>-0.18207899999999999</v>
      </c>
      <c r="U9753">
        <v>0.65905760000000002</v>
      </c>
      <c r="V9753">
        <v>-7.8763749999999993E-2</v>
      </c>
      <c r="W9753">
        <v>3.1982990000000003E-2</v>
      </c>
      <c r="X9753">
        <v>0.99638020000000005</v>
      </c>
      <c r="Y9753">
        <v>-0.20075609999999999</v>
      </c>
      <c r="Z9753">
        <v>5.0741179999999999E-3</v>
      </c>
      <c r="AA9753">
        <v>0.9796281</v>
      </c>
      <c r="AB9753">
        <v>31</v>
      </c>
      <c r="AC9753">
        <v>17.864099999999901</v>
      </c>
      <c r="AD9753">
        <v>-1.1098102448980001</v>
      </c>
      <c r="AE9753">
        <v>4.0147199999999899</v>
      </c>
      <c r="AF9753">
        <v>-3.6980001734014998</v>
      </c>
      <c r="AG9753">
        <v>-1.1098102448980001</v>
      </c>
      <c r="AH9753">
        <v>17.863901923330499</v>
      </c>
      <c r="AI9753">
        <v>93.481357064635503</v>
      </c>
      <c r="AJ9753">
        <v>101.695583362477</v>
      </c>
      <c r="AK9753">
        <v>18.2763748043349</v>
      </c>
      <c r="AL9753">
        <v>88.167197231289194</v>
      </c>
      <c r="AM9753">
        <v>94.519826354279004</v>
      </c>
      <c r="AN9753">
        <v>1.00000007145771</v>
      </c>
    </row>
    <row r="9754" spans="1:40" x14ac:dyDescent="0.25">
      <c r="A9754" t="str">
        <f>"20190312150913548"</f>
        <v>20190312150913548</v>
      </c>
      <c r="B9754" t="str">
        <f>"1552374553538778"</f>
        <v>1552374553538778</v>
      </c>
      <c r="C9754" t="s">
        <v>40</v>
      </c>
      <c r="D9754">
        <v>4.4602570000000004</v>
      </c>
      <c r="E9754">
        <v>0.4534879</v>
      </c>
      <c r="F9754" t="s">
        <v>90</v>
      </c>
      <c r="G9754">
        <v>-218.94110000000001</v>
      </c>
      <c r="H9754" s="1">
        <v>-3.2244949999999999E-6</v>
      </c>
      <c r="I9754">
        <v>-58.017139999999998</v>
      </c>
      <c r="J9754">
        <v>-236.69409999999999</v>
      </c>
      <c r="K9754">
        <v>1.109807</v>
      </c>
      <c r="L9754">
        <v>-62.036589999999997</v>
      </c>
      <c r="M9754">
        <v>0.99979819999999997</v>
      </c>
      <c r="N9754">
        <v>0</v>
      </c>
      <c r="O9754">
        <v>1.679485E-2</v>
      </c>
      <c r="P9754">
        <v>0.99508700000000005</v>
      </c>
      <c r="Q9754">
        <v>2.1272389999999999E-2</v>
      </c>
      <c r="R9754">
        <v>9.6693609999999999E-2</v>
      </c>
      <c r="S9754">
        <v>2.95459</v>
      </c>
      <c r="T9754">
        <v>-0.18303530000000001</v>
      </c>
      <c r="U9754">
        <v>0.66333009999999903</v>
      </c>
      <c r="V9754">
        <v>-7.9948259999999993E-2</v>
      </c>
      <c r="W9754">
        <v>3.2308499999999997E-2</v>
      </c>
      <c r="X9754">
        <v>0.99627529999999997</v>
      </c>
      <c r="Y9754">
        <v>-0.20229849999999999</v>
      </c>
      <c r="Z9754">
        <v>5.1571569999999999E-3</v>
      </c>
      <c r="AA9754">
        <v>0.97931029999999997</v>
      </c>
      <c r="AB9754">
        <v>31</v>
      </c>
      <c r="AC9754">
        <v>17.752999999999901</v>
      </c>
      <c r="AD9754">
        <v>-1.1098102244950001</v>
      </c>
      <c r="AE9754">
        <v>4.0194499999999902</v>
      </c>
      <c r="AF9754">
        <v>-3.7069256772297798</v>
      </c>
      <c r="AG9754">
        <v>-1.1098102244950001</v>
      </c>
      <c r="AH9754">
        <v>17.752013974226401</v>
      </c>
      <c r="AI9754">
        <v>93.501986295813197</v>
      </c>
      <c r="AJ9754">
        <v>101.79485611472499</v>
      </c>
      <c r="AK9754">
        <v>18.1688463269419</v>
      </c>
      <c r="AL9754">
        <v>88.148537141486102</v>
      </c>
      <c r="AM9754">
        <v>94.587991958084004</v>
      </c>
      <c r="AN9754">
        <v>1.00000001841968</v>
      </c>
    </row>
    <row r="9755" spans="1:40" x14ac:dyDescent="0.25">
      <c r="A9755" t="str">
        <f>"20190312150913563"</f>
        <v>20190312150913563</v>
      </c>
      <c r="B9755" t="str">
        <f>"1552374553559274"</f>
        <v>1552374553559274</v>
      </c>
      <c r="C9755" t="s">
        <v>40</v>
      </c>
      <c r="D9755">
        <v>4.4488669999999999</v>
      </c>
      <c r="E9755">
        <v>0.45364310000000002</v>
      </c>
      <c r="F9755" t="s">
        <v>90</v>
      </c>
      <c r="G9755">
        <v>-218.90770000000001</v>
      </c>
      <c r="H9755" s="1">
        <v>-3.2089790000000002E-6</v>
      </c>
      <c r="I9755">
        <v>-58.024000000000001</v>
      </c>
      <c r="J9755">
        <v>-236.48330000000001</v>
      </c>
      <c r="K9755">
        <v>1.1098110000000001</v>
      </c>
      <c r="L9755">
        <v>-62.033230000000003</v>
      </c>
      <c r="M9755">
        <v>0.9998011</v>
      </c>
      <c r="N9755">
        <v>0</v>
      </c>
      <c r="O9755">
        <v>1.6611959999999999E-2</v>
      </c>
      <c r="P9755">
        <v>0.99494950000000004</v>
      </c>
      <c r="Q9755">
        <v>2.1534250000000001E-2</v>
      </c>
      <c r="R9755">
        <v>9.8039799999999996E-2</v>
      </c>
      <c r="S9755">
        <v>2.9540099999999998</v>
      </c>
      <c r="T9755">
        <v>-0.18432029999999999</v>
      </c>
      <c r="U9755">
        <v>0.66641240000000002</v>
      </c>
      <c r="V9755">
        <v>-8.1478579999999995E-2</v>
      </c>
      <c r="W9755">
        <v>3.2574909999999999E-2</v>
      </c>
      <c r="X9755">
        <v>0.99614259999999999</v>
      </c>
      <c r="Y9755">
        <v>-0.20348379999999999</v>
      </c>
      <c r="Z9755">
        <v>5.2414419999999998E-3</v>
      </c>
      <c r="AA9755">
        <v>0.9790643</v>
      </c>
      <c r="AB9755">
        <v>31</v>
      </c>
      <c r="AC9755">
        <v>17.575600000000001</v>
      </c>
      <c r="AD9755">
        <v>-1.109814208979</v>
      </c>
      <c r="AE9755">
        <v>4.0092299999999996</v>
      </c>
      <c r="AF9755">
        <v>-3.7026603361579</v>
      </c>
      <c r="AG9755">
        <v>-1.109814208979</v>
      </c>
      <c r="AH9755">
        <v>17.573175752287501</v>
      </c>
      <c r="AI9755">
        <v>93.536213578204197</v>
      </c>
      <c r="AJ9755">
        <v>101.89816240462</v>
      </c>
      <c r="AK9755">
        <v>17.993273386579599</v>
      </c>
      <c r="AL9755">
        <v>88.133264865592494</v>
      </c>
      <c r="AM9755">
        <v>94.676046819810793</v>
      </c>
      <c r="AN9755">
        <v>0.999999981647542</v>
      </c>
    </row>
    <row r="9756" spans="1:40" x14ac:dyDescent="0.25">
      <c r="A9756" t="str">
        <f>"20190312150913573"</f>
        <v>20190312150913573</v>
      </c>
      <c r="B9756" t="str">
        <f>"1552374553569034"</f>
        <v>1552374553569034</v>
      </c>
      <c r="C9756" t="s">
        <v>40</v>
      </c>
      <c r="D9756">
        <v>4.5730209999999998</v>
      </c>
      <c r="E9756">
        <v>0.45371460000000002</v>
      </c>
      <c r="F9756" t="s">
        <v>90</v>
      </c>
      <c r="G9756">
        <v>-218.61660000000001</v>
      </c>
      <c r="H9756" s="1">
        <v>-3.0911770000000002E-6</v>
      </c>
      <c r="I9756">
        <v>-57.983919999999998</v>
      </c>
      <c r="J9756">
        <v>-236.34559999999999</v>
      </c>
      <c r="K9756">
        <v>1.109812</v>
      </c>
      <c r="L9756">
        <v>-62.031100000000002</v>
      </c>
      <c r="M9756">
        <v>0.99980309999999994</v>
      </c>
      <c r="N9756">
        <v>0</v>
      </c>
      <c r="O9756">
        <v>1.6492070000000001E-2</v>
      </c>
      <c r="P9756">
        <v>0.99485270000000003</v>
      </c>
      <c r="Q9756">
        <v>2.1736169999999999E-2</v>
      </c>
      <c r="R9756">
        <v>9.8973749999999999E-2</v>
      </c>
      <c r="S9756">
        <v>2.9532470000000002</v>
      </c>
      <c r="T9756">
        <v>-0.183444</v>
      </c>
      <c r="U9756">
        <v>0.66931149999999995</v>
      </c>
      <c r="V9756">
        <v>-8.2533430000000005E-2</v>
      </c>
      <c r="W9756">
        <v>3.2779839999999998E-2</v>
      </c>
      <c r="X9756">
        <v>0.99604899999999996</v>
      </c>
      <c r="Y9756">
        <v>-0.2045708</v>
      </c>
      <c r="Z9756">
        <v>5.2579690000000004E-3</v>
      </c>
      <c r="AA9756">
        <v>0.97883770000000003</v>
      </c>
      <c r="AB9756">
        <v>31</v>
      </c>
      <c r="AC9756">
        <v>17.7289999999999</v>
      </c>
      <c r="AD9756">
        <v>-1.1098150911769999</v>
      </c>
      <c r="AE9756">
        <v>4.04718</v>
      </c>
      <c r="AF9756">
        <v>-3.7402929759652799</v>
      </c>
      <c r="AG9756">
        <v>-1.1098150911769999</v>
      </c>
      <c r="AH9756">
        <v>17.727313126352101</v>
      </c>
      <c r="AI9756">
        <v>93.505341007648099</v>
      </c>
      <c r="AJ9756">
        <v>101.914117505698</v>
      </c>
      <c r="AK9756">
        <v>18.151559485686001</v>
      </c>
      <c r="AL9756">
        <v>88.121516903506205</v>
      </c>
      <c r="AM9756">
        <v>94.736753937786304</v>
      </c>
      <c r="AN9756">
        <v>0.99999994768949296</v>
      </c>
    </row>
    <row r="9757" spans="1:40" x14ac:dyDescent="0.25">
      <c r="A9757" t="str">
        <f>"20190312150913583"</f>
        <v>20190312150913583</v>
      </c>
      <c r="B9757" t="str">
        <f>"1552374553578793"</f>
        <v>1552374553578793</v>
      </c>
      <c r="C9757" t="s">
        <v>40</v>
      </c>
      <c r="D9757">
        <v>4.5090070000000004</v>
      </c>
      <c r="E9757">
        <v>0.4538334</v>
      </c>
      <c r="F9757" t="s">
        <v>90</v>
      </c>
      <c r="G9757">
        <v>-218.38470000000001</v>
      </c>
      <c r="H9757" s="1">
        <v>-2.998386E-6</v>
      </c>
      <c r="I9757">
        <v>-57.946350000000002</v>
      </c>
      <c r="J9757">
        <v>-236.21010000000001</v>
      </c>
      <c r="K9757">
        <v>1.1098129999999999</v>
      </c>
      <c r="L9757">
        <v>-62.028930000000003</v>
      </c>
      <c r="M9757">
        <v>0.99980500000000005</v>
      </c>
      <c r="N9757">
        <v>0</v>
      </c>
      <c r="O9757">
        <v>1.6374340000000001E-2</v>
      </c>
      <c r="P9757">
        <v>0.99477800000000005</v>
      </c>
      <c r="Q9757">
        <v>2.1921599999999999E-2</v>
      </c>
      <c r="R9757">
        <v>9.9680950000000004E-2</v>
      </c>
      <c r="S9757">
        <v>2.9527130000000001</v>
      </c>
      <c r="T9757">
        <v>-0.1824498</v>
      </c>
      <c r="U9757">
        <v>0.67150880000000002</v>
      </c>
      <c r="V9757">
        <v>-8.3358829999999995E-2</v>
      </c>
      <c r="W9757">
        <v>3.2967620000000003E-2</v>
      </c>
      <c r="X9757">
        <v>0.99597409999999997</v>
      </c>
      <c r="Y9757">
        <v>-0.20541870000000001</v>
      </c>
      <c r="Z9757">
        <v>5.2630369999999999E-3</v>
      </c>
      <c r="AA9757">
        <v>0.97865999999999997</v>
      </c>
      <c r="AB9757">
        <v>31</v>
      </c>
      <c r="AC9757">
        <v>17.825399999999998</v>
      </c>
      <c r="AD9757">
        <v>-1.1098159983860001</v>
      </c>
      <c r="AE9757">
        <v>4.0825800000000001</v>
      </c>
      <c r="AF9757">
        <v>-3.7762272249094502</v>
      </c>
      <c r="AG9757">
        <v>-1.1098159983860001</v>
      </c>
      <c r="AH9757">
        <v>17.824214217060302</v>
      </c>
      <c r="AI9757">
        <v>93.485722687046703</v>
      </c>
      <c r="AJ9757">
        <v>101.96177653161401</v>
      </c>
      <c r="AK9757">
        <v>18.253607754635102</v>
      </c>
      <c r="AL9757">
        <v>88.110752150294999</v>
      </c>
      <c r="AM9757">
        <v>94.7842645651928</v>
      </c>
      <c r="AN9757">
        <v>0.99999998318912098</v>
      </c>
    </row>
    <row r="9758" spans="1:40" x14ac:dyDescent="0.25">
      <c r="A9758" t="str">
        <f>"20190312150913592"</f>
        <v>20190312150913592</v>
      </c>
      <c r="B9758" t="str">
        <f>"1552374553589530"</f>
        <v>1552374553589530</v>
      </c>
      <c r="C9758" t="s">
        <v>40</v>
      </c>
      <c r="D9758">
        <v>4.4615460000000002</v>
      </c>
      <c r="E9758">
        <v>0.45398270000000002</v>
      </c>
      <c r="F9758" t="s">
        <v>90</v>
      </c>
      <c r="G9758">
        <v>-218.14230000000001</v>
      </c>
      <c r="H9758" s="1">
        <v>-2.9006249999999999E-6</v>
      </c>
      <c r="I9758">
        <v>-57.911110000000001</v>
      </c>
      <c r="J9758">
        <v>-236.08439999999999</v>
      </c>
      <c r="K9758">
        <v>1.1098129999999999</v>
      </c>
      <c r="L9758">
        <v>-62.026980000000002</v>
      </c>
      <c r="M9758">
        <v>0.99980690000000005</v>
      </c>
      <c r="N9758">
        <v>0</v>
      </c>
      <c r="O9758">
        <v>1.6264770000000001E-2</v>
      </c>
      <c r="P9758">
        <v>0.99465320000000002</v>
      </c>
      <c r="Q9758">
        <v>2.2243519999999999E-2</v>
      </c>
      <c r="R9758">
        <v>0.1008493</v>
      </c>
      <c r="S9758">
        <v>2.9523320000000002</v>
      </c>
      <c r="T9758">
        <v>-0.18134649999999999</v>
      </c>
      <c r="U9758">
        <v>0.67285159999999999</v>
      </c>
      <c r="V9758">
        <v>-8.463822E-2</v>
      </c>
      <c r="W9758">
        <v>3.3292160000000001E-2</v>
      </c>
      <c r="X9758">
        <v>0.99585539999999995</v>
      </c>
      <c r="Y9758">
        <v>-0.2059793</v>
      </c>
      <c r="Z9758">
        <v>5.2552839999999998E-3</v>
      </c>
      <c r="AA9758">
        <v>0.97854229999999998</v>
      </c>
      <c r="AB9758">
        <v>31</v>
      </c>
      <c r="AC9758">
        <v>17.9420999999999</v>
      </c>
      <c r="AD9758">
        <v>-1.1098159006249999</v>
      </c>
      <c r="AE9758">
        <v>4.1158700000000001</v>
      </c>
      <c r="AF9758">
        <v>-3.8096362819493299</v>
      </c>
      <c r="AG9758">
        <v>-1.1098159006249999</v>
      </c>
      <c r="AH9758">
        <v>17.941460172353899</v>
      </c>
      <c r="AI9758">
        <v>93.462664207868201</v>
      </c>
      <c r="AJ9758">
        <v>101.987964688147</v>
      </c>
      <c r="AK9758">
        <v>18.3750105591857</v>
      </c>
      <c r="AL9758">
        <v>88.092147171682896</v>
      </c>
      <c r="AM9758">
        <v>94.8579208923734</v>
      </c>
      <c r="AN9758">
        <v>0.99999998695569603</v>
      </c>
    </row>
    <row r="9759" spans="1:40" x14ac:dyDescent="0.25">
      <c r="A9759" t="str">
        <f>"20190312150913603"</f>
        <v>20190312150913603</v>
      </c>
      <c r="B9759" t="str">
        <f>"1552374553599289"</f>
        <v>1552374553599289</v>
      </c>
      <c r="C9759" t="s">
        <v>40</v>
      </c>
      <c r="D9759">
        <v>4.4795930000000004</v>
      </c>
      <c r="E9759">
        <v>0.45411629999999997</v>
      </c>
      <c r="F9759" t="s">
        <v>90</v>
      </c>
      <c r="G9759">
        <v>-217.85820000000001</v>
      </c>
      <c r="H9759" s="1">
        <v>-2.788107E-6</v>
      </c>
      <c r="I9759">
        <v>-57.858440000000002</v>
      </c>
      <c r="J9759">
        <v>-235.9299</v>
      </c>
      <c r="K9759">
        <v>1.1098140000000001</v>
      </c>
      <c r="L9759">
        <v>-62.0246</v>
      </c>
      <c r="M9759">
        <v>0.99980880000000005</v>
      </c>
      <c r="N9759">
        <v>0</v>
      </c>
      <c r="O9759">
        <v>1.6130640000000002E-2</v>
      </c>
      <c r="P9759">
        <v>0.99457329999999999</v>
      </c>
      <c r="Q9759">
        <v>2.2562570000000001E-2</v>
      </c>
      <c r="R9759">
        <v>0.10156220000000001</v>
      </c>
      <c r="S9759">
        <v>2.9517060000000002</v>
      </c>
      <c r="T9759">
        <v>-0.179733</v>
      </c>
      <c r="U9759">
        <v>0.67507930000000005</v>
      </c>
      <c r="V9759">
        <v>-8.5485850000000002E-2</v>
      </c>
      <c r="W9759">
        <v>3.3613369999999997E-2</v>
      </c>
      <c r="X9759">
        <v>0.9957722</v>
      </c>
      <c r="Y9759">
        <v>-0.2068615</v>
      </c>
      <c r="Z9759">
        <v>5.2437959999999898E-3</v>
      </c>
      <c r="AA9759">
        <v>0.97835620000000001</v>
      </c>
      <c r="AB9759">
        <v>31</v>
      </c>
      <c r="AC9759">
        <v>18.0717</v>
      </c>
      <c r="AD9759">
        <v>-1.10981678810699</v>
      </c>
      <c r="AE9759">
        <v>4.1661599999999899</v>
      </c>
      <c r="AF9759">
        <v>-3.8602680059299699</v>
      </c>
      <c r="AG9759">
        <v>-1.10981678810699</v>
      </c>
      <c r="AH9759">
        <v>18.071838420108399</v>
      </c>
      <c r="AI9759">
        <v>93.436858795492597</v>
      </c>
      <c r="AJ9759">
        <v>102.05756204932</v>
      </c>
      <c r="AK9759">
        <v>18.512825453270999</v>
      </c>
      <c r="AL9759">
        <v>88.073732877498998</v>
      </c>
      <c r="AM9759">
        <v>94.9067433453192</v>
      </c>
      <c r="AN9759">
        <v>0.99999998174290905</v>
      </c>
    </row>
    <row r="9760" spans="1:40" x14ac:dyDescent="0.25">
      <c r="A9760" t="str">
        <f>"20190312150913615"</f>
        <v>20190312150913615</v>
      </c>
      <c r="B9760" t="str">
        <f>"1552374553609049"</f>
        <v>1552374553609049</v>
      </c>
      <c r="C9760" t="s">
        <v>40</v>
      </c>
      <c r="D9760">
        <v>4.4878920000000004</v>
      </c>
      <c r="E9760">
        <v>0.45412409999999998</v>
      </c>
      <c r="F9760" t="s">
        <v>90</v>
      </c>
      <c r="G9760">
        <v>-217.58439999999999</v>
      </c>
      <c r="H9760" s="1">
        <v>-2.6772049999999999E-6</v>
      </c>
      <c r="I9760">
        <v>-57.821469999999998</v>
      </c>
      <c r="J9760">
        <v>-235.7722</v>
      </c>
      <c r="K9760">
        <v>1.1098140000000001</v>
      </c>
      <c r="L9760">
        <v>-62.022190000000002</v>
      </c>
      <c r="M9760">
        <v>0.99981100000000001</v>
      </c>
      <c r="N9760">
        <v>0</v>
      </c>
      <c r="O9760">
        <v>1.5993529999999999E-2</v>
      </c>
      <c r="P9760">
        <v>0.99448899999999996</v>
      </c>
      <c r="Q9760">
        <v>2.2987690000000002E-2</v>
      </c>
      <c r="R9760">
        <v>0.10228959999999999</v>
      </c>
      <c r="S9760">
        <v>2.9513699999999998</v>
      </c>
      <c r="T9760">
        <v>-0.17854429999999999</v>
      </c>
      <c r="U9760">
        <v>0.67617799999999995</v>
      </c>
      <c r="V9760">
        <v>-8.6350640000000006E-2</v>
      </c>
      <c r="W9760">
        <v>3.4041330000000002E-2</v>
      </c>
      <c r="X9760">
        <v>0.99568310000000004</v>
      </c>
      <c r="Y9760">
        <v>-0.2073691</v>
      </c>
      <c r="Z9760">
        <v>5.232858E-3</v>
      </c>
      <c r="AA9760">
        <v>0.97824880000000003</v>
      </c>
      <c r="AB9760">
        <v>31</v>
      </c>
      <c r="AC9760">
        <v>18.187799999999999</v>
      </c>
      <c r="AD9760">
        <v>-1.10981667720499</v>
      </c>
      <c r="AE9760">
        <v>4.2007199999999996</v>
      </c>
      <c r="AF9760">
        <v>-3.8955076844079501</v>
      </c>
      <c r="AG9760">
        <v>-1.10981667720499</v>
      </c>
      <c r="AH9760">
        <v>18.188368574761402</v>
      </c>
      <c r="AI9760">
        <v>93.414494874525204</v>
      </c>
      <c r="AJ9760">
        <v>102.08873367203699</v>
      </c>
      <c r="AK9760">
        <v>18.633932075320299</v>
      </c>
      <c r="AL9760">
        <v>88.049198648321905</v>
      </c>
      <c r="AM9760">
        <v>94.956576120457399</v>
      </c>
      <c r="AN9760">
        <v>1.00000004040109</v>
      </c>
    </row>
    <row r="9761" spans="1:40" x14ac:dyDescent="0.25">
      <c r="A9761" t="str">
        <f>"20190312150913626"</f>
        <v>20190312150913626</v>
      </c>
      <c r="B9761" t="str">
        <f>"1552374553618810"</f>
        <v>1552374553618810</v>
      </c>
      <c r="C9761" t="s">
        <v>40</v>
      </c>
      <c r="D9761">
        <v>4.5088460000000001</v>
      </c>
      <c r="E9761">
        <v>0.45411109999999999</v>
      </c>
      <c r="F9761" t="s">
        <v>90</v>
      </c>
      <c r="G9761">
        <v>-217.5187</v>
      </c>
      <c r="H9761" s="1">
        <v>-2.6481519999999998E-6</v>
      </c>
      <c r="I9761">
        <v>-57.826369999999997</v>
      </c>
      <c r="J9761">
        <v>-235.6232</v>
      </c>
      <c r="K9761">
        <v>1.109818</v>
      </c>
      <c r="L9761">
        <v>-62.019930000000002</v>
      </c>
      <c r="M9761">
        <v>0.99981319999999996</v>
      </c>
      <c r="N9761">
        <v>0</v>
      </c>
      <c r="O9761">
        <v>1.5863749999999999E-2</v>
      </c>
      <c r="P9761">
        <v>0.99442350000000002</v>
      </c>
      <c r="Q9761">
        <v>2.3165809999999998E-2</v>
      </c>
      <c r="R9761">
        <v>0.1028863</v>
      </c>
      <c r="S9761">
        <v>2.9509889999999999</v>
      </c>
      <c r="T9761">
        <v>-0.1794202</v>
      </c>
      <c r="U9761">
        <v>0.67831419999999998</v>
      </c>
      <c r="V9761">
        <v>-8.7077929999999998E-2</v>
      </c>
      <c r="W9761">
        <v>3.4221950000000001E-2</v>
      </c>
      <c r="X9761">
        <v>0.99561350000000004</v>
      </c>
      <c r="Y9761">
        <v>-0.2081913</v>
      </c>
      <c r="Z9761">
        <v>5.2911549999999996E-3</v>
      </c>
      <c r="AA9761">
        <v>0.97807379999999999</v>
      </c>
      <c r="AB9761">
        <v>31</v>
      </c>
      <c r="AC9761">
        <v>18.104500000000002</v>
      </c>
      <c r="AD9761">
        <v>-1.1098206481520001</v>
      </c>
      <c r="AE9761">
        <v>4.1935599999999997</v>
      </c>
      <c r="AF9761">
        <v>-3.89192912629058</v>
      </c>
      <c r="AG9761">
        <v>-1.1098206481520001</v>
      </c>
      <c r="AH9761">
        <v>18.104183650295901</v>
      </c>
      <c r="AI9761">
        <v>93.429786460155199</v>
      </c>
      <c r="AJ9761">
        <v>102.13245735073799</v>
      </c>
      <c r="AK9761">
        <v>18.551018296545799</v>
      </c>
      <c r="AL9761">
        <v>88.038843722606998</v>
      </c>
      <c r="AM9761">
        <v>94.9984600247017</v>
      </c>
      <c r="AN9761">
        <v>0.99999997456856804</v>
      </c>
    </row>
    <row r="9762" spans="1:40" x14ac:dyDescent="0.25">
      <c r="A9762" t="str">
        <f>"20190312150913637"</f>
        <v>20190312150913637</v>
      </c>
      <c r="B9762" t="str">
        <f>"1552374553629545"</f>
        <v>1552374553629545</v>
      </c>
      <c r="C9762" t="s">
        <v>40</v>
      </c>
      <c r="D9762">
        <v>4.5130270000000001</v>
      </c>
      <c r="E9762">
        <v>0.45418930000000002</v>
      </c>
      <c r="F9762" t="s">
        <v>90</v>
      </c>
      <c r="G9762">
        <v>-217.5044</v>
      </c>
      <c r="H9762" s="1">
        <v>-2.6390160000000001E-6</v>
      </c>
      <c r="I9762">
        <v>-57.843209999999999</v>
      </c>
      <c r="J9762">
        <v>-235.46729999999999</v>
      </c>
      <c r="K9762">
        <v>1.109818</v>
      </c>
      <c r="L9762">
        <v>-62.017580000000002</v>
      </c>
      <c r="M9762">
        <v>0.99981529999999996</v>
      </c>
      <c r="N9762">
        <v>0</v>
      </c>
      <c r="O9762">
        <v>1.5728249999999999E-2</v>
      </c>
      <c r="P9762">
        <v>0.99434389999999995</v>
      </c>
      <c r="Q9762">
        <v>2.3318709999999999E-2</v>
      </c>
      <c r="R9762">
        <v>0.1036171</v>
      </c>
      <c r="S9762">
        <v>2.9506839999999999</v>
      </c>
      <c r="T9762">
        <v>-0.18073610000000001</v>
      </c>
      <c r="U9762">
        <v>0.6801758</v>
      </c>
      <c r="V9762">
        <v>-8.7944300000000003E-2</v>
      </c>
      <c r="W9762">
        <v>3.4377779999999997E-2</v>
      </c>
      <c r="X9762">
        <v>0.99553199999999997</v>
      </c>
      <c r="Y9762">
        <v>-0.20892540000000001</v>
      </c>
      <c r="Z9762">
        <v>5.3604079999999997E-3</v>
      </c>
      <c r="AA9762">
        <v>0.97791689999999998</v>
      </c>
      <c r="AB9762">
        <v>31</v>
      </c>
      <c r="AC9762">
        <v>17.962899999999902</v>
      </c>
      <c r="AD9762">
        <v>-1.1098206390159999</v>
      </c>
      <c r="AE9762">
        <v>4.1743699999999997</v>
      </c>
      <c r="AF9762">
        <v>-3.8772691313718401</v>
      </c>
      <c r="AG9762">
        <v>-1.1098206390159999</v>
      </c>
      <c r="AH9762">
        <v>17.961287254890699</v>
      </c>
      <c r="AI9762">
        <v>93.456372498660301</v>
      </c>
      <c r="AJ9762">
        <v>102.18141311164401</v>
      </c>
      <c r="AK9762">
        <v>18.408496886508001</v>
      </c>
      <c r="AL9762">
        <v>88.029910109247695</v>
      </c>
      <c r="AM9762">
        <v>95.048346944842194</v>
      </c>
      <c r="AN9762">
        <v>0.99999999734210898</v>
      </c>
    </row>
    <row r="9763" spans="1:40" x14ac:dyDescent="0.25">
      <c r="A9763" t="str">
        <f>"20190312150913649"</f>
        <v>20190312150913649</v>
      </c>
      <c r="B9763" t="str">
        <f>"1552374553639305"</f>
        <v>1552374553639305</v>
      </c>
      <c r="C9763" t="s">
        <v>40</v>
      </c>
      <c r="D9763">
        <v>4.5269399999999997</v>
      </c>
      <c r="E9763">
        <v>0.45422820000000003</v>
      </c>
      <c r="F9763" t="s">
        <v>90</v>
      </c>
      <c r="G9763">
        <v>-217.42449999999999</v>
      </c>
      <c r="H9763" s="1">
        <v>-2.6038509999999999E-6</v>
      </c>
      <c r="I9763">
        <v>-57.848320000000001</v>
      </c>
      <c r="J9763">
        <v>-235.31039999999999</v>
      </c>
      <c r="K9763">
        <v>1.109818</v>
      </c>
      <c r="L9763">
        <v>-62.015259999999998</v>
      </c>
      <c r="M9763">
        <v>0.99981730000000002</v>
      </c>
      <c r="N9763">
        <v>0</v>
      </c>
      <c r="O9763">
        <v>1.559174E-2</v>
      </c>
      <c r="P9763">
        <v>0.99427580000000004</v>
      </c>
      <c r="Q9763">
        <v>2.334756E-2</v>
      </c>
      <c r="R9763">
        <v>0.1042621</v>
      </c>
      <c r="S9763">
        <v>2.9503020000000002</v>
      </c>
      <c r="T9763">
        <v>-0.181474</v>
      </c>
      <c r="U9763">
        <v>0.68173219999999901</v>
      </c>
      <c r="V9763">
        <v>-8.8726009999999994E-2</v>
      </c>
      <c r="W9763">
        <v>3.4409240000000001E-2</v>
      </c>
      <c r="X9763">
        <v>0.9954615</v>
      </c>
      <c r="Y9763">
        <v>-0.20957210000000001</v>
      </c>
      <c r="Z9763">
        <v>5.4105000000000004E-3</v>
      </c>
      <c r="AA9763">
        <v>0.97777820000000004</v>
      </c>
      <c r="AB9763">
        <v>31</v>
      </c>
      <c r="AC9763">
        <v>17.8858999999999</v>
      </c>
      <c r="AD9763">
        <v>-1.1098206038509999</v>
      </c>
      <c r="AE9763">
        <v>4.1669400000000003</v>
      </c>
      <c r="AF9763">
        <v>-3.8733984525117102</v>
      </c>
      <c r="AG9763">
        <v>-1.1098206038509999</v>
      </c>
      <c r="AH9763">
        <v>17.883389436225201</v>
      </c>
      <c r="AI9763">
        <v>93.470873417963404</v>
      </c>
      <c r="AJ9763">
        <v>102.22103441993301</v>
      </c>
      <c r="AK9763">
        <v>18.3316811851053</v>
      </c>
      <c r="AL9763">
        <v>88.028106422215203</v>
      </c>
      <c r="AM9763">
        <v>95.0933439854699</v>
      </c>
      <c r="AN9763">
        <v>0.99999994931507197</v>
      </c>
    </row>
    <row r="9764" spans="1:40" x14ac:dyDescent="0.25">
      <c r="A9764" t="str">
        <f>"20190312150913659"</f>
        <v>20190312150913659</v>
      </c>
      <c r="B9764" t="str">
        <f>"1552374553649066"</f>
        <v>1552374553649066</v>
      </c>
      <c r="C9764" t="s">
        <v>40</v>
      </c>
      <c r="D9764">
        <v>4.4910759999999996</v>
      </c>
      <c r="E9764">
        <v>0.45420260000000001</v>
      </c>
      <c r="F9764" t="s">
        <v>90</v>
      </c>
      <c r="G9764">
        <v>-217.4427</v>
      </c>
      <c r="H9764" s="1">
        <v>-2.606695E-6</v>
      </c>
      <c r="I9764">
        <v>-57.876130000000003</v>
      </c>
      <c r="J9764">
        <v>-235.1592</v>
      </c>
      <c r="K9764">
        <v>1.1098170000000001</v>
      </c>
      <c r="L9764">
        <v>-62.012999999999998</v>
      </c>
      <c r="M9764">
        <v>0.99981929999999997</v>
      </c>
      <c r="N9764">
        <v>0</v>
      </c>
      <c r="O9764">
        <v>1.546024E-2</v>
      </c>
      <c r="P9764">
        <v>0.99424020000000002</v>
      </c>
      <c r="Q9764">
        <v>2.3314129999999999E-2</v>
      </c>
      <c r="R9764">
        <v>0.104608399999999</v>
      </c>
      <c r="S9764">
        <v>2.9499209999999998</v>
      </c>
      <c r="T9764">
        <v>-0.18322869999999999</v>
      </c>
      <c r="U9764">
        <v>0.6833496</v>
      </c>
      <c r="V9764">
        <v>-8.9204099999999995E-2</v>
      </c>
      <c r="W9764">
        <v>3.4378260000000001E-2</v>
      </c>
      <c r="X9764">
        <v>0.99541990000000002</v>
      </c>
      <c r="Y9764">
        <v>-0.210229</v>
      </c>
      <c r="Z9764">
        <v>5.4912379999999998E-3</v>
      </c>
      <c r="AA9764">
        <v>0.97763679999999997</v>
      </c>
      <c r="AB9764">
        <v>31</v>
      </c>
      <c r="AC9764">
        <v>17.7164999999999</v>
      </c>
      <c r="AD9764">
        <v>-1.1098196066949999</v>
      </c>
      <c r="AE9764">
        <v>4.13687</v>
      </c>
      <c r="AF9764">
        <v>-3.8481374152815602</v>
      </c>
      <c r="AG9764">
        <v>-1.1098196066949999</v>
      </c>
      <c r="AH9764">
        <v>17.712430311824399</v>
      </c>
      <c r="AI9764">
        <v>93.503806729764193</v>
      </c>
      <c r="AJ9764">
        <v>102.25738845761499</v>
      </c>
      <c r="AK9764">
        <v>18.159571819774001</v>
      </c>
      <c r="AL9764">
        <v>88.029882609582401</v>
      </c>
      <c r="AM9764">
        <v>95.120856229826899</v>
      </c>
      <c r="AN9764">
        <v>1.0000000067667201</v>
      </c>
    </row>
    <row r="9765" spans="1:40" x14ac:dyDescent="0.25">
      <c r="A9765" t="str">
        <f>"20190312150913671"</f>
        <v>20190312150913671</v>
      </c>
      <c r="B9765" t="str">
        <f>"1552374553658826"</f>
        <v>1552374553658826</v>
      </c>
      <c r="C9765" t="s">
        <v>40</v>
      </c>
      <c r="D9765">
        <v>4.517423</v>
      </c>
      <c r="E9765">
        <v>0.45423049999999998</v>
      </c>
      <c r="F9765" t="s">
        <v>90</v>
      </c>
      <c r="G9765">
        <v>-217.6009</v>
      </c>
      <c r="H9765" s="1">
        <v>-2.663847E-6</v>
      </c>
      <c r="I9765">
        <v>-57.936709999999998</v>
      </c>
      <c r="J9765">
        <v>-235.0085</v>
      </c>
      <c r="K9765">
        <v>1.1098170000000001</v>
      </c>
      <c r="L9765">
        <v>-62.010829999999999</v>
      </c>
      <c r="M9765">
        <v>0.99982150000000003</v>
      </c>
      <c r="N9765">
        <v>0</v>
      </c>
      <c r="O9765">
        <v>1.5329270000000001E-2</v>
      </c>
      <c r="P9765">
        <v>0.99419840000000004</v>
      </c>
      <c r="Q9765">
        <v>2.325992E-2</v>
      </c>
      <c r="R9765">
        <v>0.105018</v>
      </c>
      <c r="S9765">
        <v>2.9496920000000002</v>
      </c>
      <c r="T9765">
        <v>-0.18644340000000001</v>
      </c>
      <c r="U9765">
        <v>0.6847839</v>
      </c>
      <c r="V9765">
        <v>-8.9744400000000002E-2</v>
      </c>
      <c r="W9765">
        <v>3.4326790000000003E-2</v>
      </c>
      <c r="X9765">
        <v>0.99537310000000001</v>
      </c>
      <c r="Y9765">
        <v>-0.2108109</v>
      </c>
      <c r="Z9765">
        <v>5.6138050000000004E-3</v>
      </c>
      <c r="AA9765">
        <v>0.97751080000000001</v>
      </c>
      <c r="AB9765">
        <v>31</v>
      </c>
      <c r="AC9765">
        <v>17.407599999999999</v>
      </c>
      <c r="AD9765">
        <v>-1.1098196638469999</v>
      </c>
      <c r="AE9765">
        <v>4.0741199999999997</v>
      </c>
      <c r="AF9765">
        <v>-3.7921656589261201</v>
      </c>
      <c r="AG9765">
        <v>-1.1098196638469999</v>
      </c>
      <c r="AH9765">
        <v>17.400955100326801</v>
      </c>
      <c r="AI9765">
        <v>93.565867430635095</v>
      </c>
      <c r="AJ9765">
        <v>102.29416562362999</v>
      </c>
      <c r="AK9765">
        <v>17.843919369762599</v>
      </c>
      <c r="AL9765">
        <v>88.032833345761105</v>
      </c>
      <c r="AM9765">
        <v>95.151947241223297</v>
      </c>
      <c r="AN9765">
        <v>0.99999999702333697</v>
      </c>
    </row>
    <row r="9766" spans="1:40" x14ac:dyDescent="0.25">
      <c r="A9766" t="str">
        <f>"20190312150913681"</f>
        <v>20190312150913681</v>
      </c>
      <c r="B9766" t="str">
        <f>"1552374553679322"</f>
        <v>1552374553679322</v>
      </c>
      <c r="C9766" t="s">
        <v>40</v>
      </c>
      <c r="D9766">
        <v>4.5040750000000003</v>
      </c>
      <c r="E9766">
        <v>0.45373000000000002</v>
      </c>
      <c r="F9766" t="s">
        <v>90</v>
      </c>
      <c r="G9766">
        <v>-217.56450000000001</v>
      </c>
      <c r="H9766" s="1">
        <v>-2.645127E-6</v>
      </c>
      <c r="I9766">
        <v>-57.954259999999998</v>
      </c>
      <c r="J9766">
        <v>-234.85499999999999</v>
      </c>
      <c r="K9766">
        <v>1.1098159999999999</v>
      </c>
      <c r="L9766">
        <v>-62.008580000000002</v>
      </c>
      <c r="M9766">
        <v>0.99982340000000003</v>
      </c>
      <c r="N9766">
        <v>0</v>
      </c>
      <c r="O9766">
        <v>1.519592E-2</v>
      </c>
      <c r="P9766">
        <v>0.99416919999999998</v>
      </c>
      <c r="Q9766">
        <v>2.3346289999999999E-2</v>
      </c>
      <c r="R9766">
        <v>0.10527540000000001</v>
      </c>
      <c r="S9766">
        <v>2.9494630000000002</v>
      </c>
      <c r="T9766">
        <v>-0.18765000000000001</v>
      </c>
      <c r="U9766">
        <v>0.68588260000000001</v>
      </c>
      <c r="V9766">
        <v>-9.0135220000000002E-2</v>
      </c>
      <c r="W9766">
        <v>3.4416380000000003E-2</v>
      </c>
      <c r="X9766">
        <v>0.99533470000000002</v>
      </c>
      <c r="Y9766">
        <v>-0.2112974</v>
      </c>
      <c r="Z9766">
        <v>5.6738689999999998E-3</v>
      </c>
      <c r="AA9766">
        <v>0.97740539999999998</v>
      </c>
      <c r="AB9766">
        <v>31</v>
      </c>
      <c r="AC9766">
        <v>17.290499999999899</v>
      </c>
      <c r="AD9766">
        <v>-1.109818645127</v>
      </c>
      <c r="AE9766">
        <v>4.0543199999999997</v>
      </c>
      <c r="AF9766">
        <v>-3.7763432997329498</v>
      </c>
      <c r="AG9766">
        <v>-1.109818645127</v>
      </c>
      <c r="AH9766">
        <v>17.2826240098772</v>
      </c>
      <c r="AI9766">
        <v>93.589785312308507</v>
      </c>
      <c r="AJ9766">
        <v>102.325701369838</v>
      </c>
      <c r="AK9766">
        <v>17.7251673845212</v>
      </c>
      <c r="AL9766">
        <v>88.027697197871703</v>
      </c>
      <c r="AM9766">
        <v>95.174460019829695</v>
      </c>
      <c r="AN9766">
        <v>1.0000000050604201</v>
      </c>
    </row>
    <row r="9767" spans="1:40" x14ac:dyDescent="0.25">
      <c r="A9767" t="str">
        <f>"20190312150913692"</f>
        <v>20190312150913692</v>
      </c>
      <c r="B9767" t="str">
        <f>"1552374553689081"</f>
        <v>1552374553689081</v>
      </c>
      <c r="C9767" t="s">
        <v>40</v>
      </c>
      <c r="D9767">
        <v>4.5193409999999998</v>
      </c>
      <c r="E9767">
        <v>0.45373000000000002</v>
      </c>
      <c r="F9767" t="s">
        <v>90</v>
      </c>
      <c r="G9767">
        <v>-217.31899999999999</v>
      </c>
      <c r="H9767" s="1">
        <v>-2.5491639999999999E-6</v>
      </c>
      <c r="I9767">
        <v>-57.901479999999999</v>
      </c>
      <c r="J9767">
        <v>-234.70419999999999</v>
      </c>
      <c r="K9767">
        <v>1.1098209999999999</v>
      </c>
      <c r="L9767">
        <v>-62.006410000000002</v>
      </c>
      <c r="M9767">
        <v>0.99982539999999998</v>
      </c>
      <c r="N9767">
        <v>0</v>
      </c>
      <c r="O9767">
        <v>1.506472E-2</v>
      </c>
      <c r="P9767">
        <v>0.99411000000000005</v>
      </c>
      <c r="Q9767">
        <v>2.3240340000000002E-2</v>
      </c>
      <c r="R9767">
        <v>0.10585550000000001</v>
      </c>
      <c r="S9767">
        <v>2.948868</v>
      </c>
      <c r="T9767">
        <v>-0.18662819999999999</v>
      </c>
      <c r="U9767">
        <v>0.69064329999999996</v>
      </c>
      <c r="V9767">
        <v>-9.0846490000000002E-2</v>
      </c>
      <c r="W9767">
        <v>3.4312490000000001E-2</v>
      </c>
      <c r="X9767">
        <v>0.99527359999999998</v>
      </c>
      <c r="Y9767">
        <v>-0.21296599999999999</v>
      </c>
      <c r="Z9767">
        <v>5.7033459999999998E-3</v>
      </c>
      <c r="AA9767">
        <v>0.97704299999999999</v>
      </c>
      <c r="AB9767">
        <v>31</v>
      </c>
      <c r="AC9767">
        <v>17.385199999999902</v>
      </c>
      <c r="AD9767">
        <v>-1.1098235491640001</v>
      </c>
      <c r="AE9767">
        <v>4.10492999999998</v>
      </c>
      <c r="AF9767">
        <v>-3.8277697598852698</v>
      </c>
      <c r="AG9767">
        <v>-1.1098235491640001</v>
      </c>
      <c r="AH9767">
        <v>17.377991296672</v>
      </c>
      <c r="AI9767">
        <v>93.568840360161602</v>
      </c>
      <c r="AJ9767">
        <v>102.421920614496</v>
      </c>
      <c r="AK9767">
        <v>17.8291365789872</v>
      </c>
      <c r="AL9767">
        <v>88.0336531352675</v>
      </c>
      <c r="AM9767">
        <v>95.215386542597997</v>
      </c>
      <c r="AN9767">
        <v>0.99999998528613998</v>
      </c>
    </row>
    <row r="9768" spans="1:40" x14ac:dyDescent="0.25">
      <c r="A9768" t="str">
        <f>"20190312150913703"</f>
        <v>20190312150913703</v>
      </c>
      <c r="B9768" t="str">
        <f>"1552374553698842"</f>
        <v>1552374553698842</v>
      </c>
      <c r="C9768" t="s">
        <v>40</v>
      </c>
      <c r="D9768">
        <v>4.5217429999999998</v>
      </c>
      <c r="E9768">
        <v>0.43704609999999999</v>
      </c>
      <c r="F9768" t="s">
        <v>90</v>
      </c>
      <c r="G9768">
        <v>-217.20740000000001</v>
      </c>
      <c r="H9768" s="1">
        <v>-2.5018369999999999E-6</v>
      </c>
      <c r="I9768">
        <v>-57.898339999999997</v>
      </c>
      <c r="J9768">
        <v>-234.548</v>
      </c>
      <c r="K9768">
        <v>1.10982</v>
      </c>
      <c r="L9768">
        <v>-62.004179999999998</v>
      </c>
      <c r="M9768">
        <v>0.99982740000000003</v>
      </c>
      <c r="N9768">
        <v>0</v>
      </c>
      <c r="O9768">
        <v>1.4929039999999999E-2</v>
      </c>
      <c r="P9768">
        <v>0.99407190000000001</v>
      </c>
      <c r="Q9768">
        <v>2.3362560000000001E-2</v>
      </c>
      <c r="R9768">
        <v>0.106187</v>
      </c>
      <c r="S9768">
        <v>2.9484710000000001</v>
      </c>
      <c r="T9768">
        <v>-0.18702170000000001</v>
      </c>
      <c r="U9768">
        <v>0.69226069999999995</v>
      </c>
      <c r="V9768">
        <v>-9.1314000000000006E-2</v>
      </c>
      <c r="W9768">
        <v>3.4437349999999999E-2</v>
      </c>
      <c r="X9768">
        <v>0.99522650000000001</v>
      </c>
      <c r="Y9768">
        <v>-0.21363260000000001</v>
      </c>
      <c r="Z9768">
        <v>5.7450610000000001E-3</v>
      </c>
      <c r="AA9768">
        <v>0.97689720000000002</v>
      </c>
      <c r="AB9768">
        <v>31</v>
      </c>
      <c r="AC9768">
        <v>17.340599999999899</v>
      </c>
      <c r="AD9768">
        <v>-1.109822501837</v>
      </c>
      <c r="AE9768">
        <v>4.1058399999999997</v>
      </c>
      <c r="AF9768">
        <v>-3.8316262042017502</v>
      </c>
      <c r="AG9768">
        <v>-1.109822501837</v>
      </c>
      <c r="AH9768">
        <v>17.3327383211343</v>
      </c>
      <c r="AI9768">
        <v>93.577531595882704</v>
      </c>
      <c r="AJ9768">
        <v>102.46549630889</v>
      </c>
      <c r="AK9768">
        <v>17.785861886994098</v>
      </c>
      <c r="AL9768">
        <v>88.026494947183807</v>
      </c>
      <c r="AM9768">
        <v>95.242323282023193</v>
      </c>
      <c r="AN9768">
        <v>0.99999998198663598</v>
      </c>
    </row>
    <row r="9769" spans="1:40" x14ac:dyDescent="0.25">
      <c r="A9769" t="str">
        <f>"20190312150913716"</f>
        <v>20190312150913716</v>
      </c>
      <c r="B9769" t="str">
        <f>"1552374553709577"</f>
        <v>1552374553709577</v>
      </c>
      <c r="C9769" t="s">
        <v>40</v>
      </c>
      <c r="D9769">
        <v>4.5394959999999998</v>
      </c>
      <c r="E9769">
        <v>0.43662430000000002</v>
      </c>
      <c r="F9769" t="s">
        <v>89</v>
      </c>
      <c r="G9769">
        <v>-221.07650000000001</v>
      </c>
      <c r="H9769" s="1">
        <v>-1.6227750000000001E-7</v>
      </c>
      <c r="I9769">
        <v>-58.207459999999998</v>
      </c>
      <c r="J9769">
        <v>-234.38040000000001</v>
      </c>
      <c r="K9769">
        <v>1.10982</v>
      </c>
      <c r="L9769">
        <v>-62.001829999999998</v>
      </c>
      <c r="M9769">
        <v>0.99982939999999998</v>
      </c>
      <c r="N9769">
        <v>0</v>
      </c>
      <c r="O9769">
        <v>1.478323E-2</v>
      </c>
      <c r="P9769">
        <v>0.99401329999999999</v>
      </c>
      <c r="Q9769">
        <v>2.3487210000000001E-2</v>
      </c>
      <c r="R9769">
        <v>0.1067039</v>
      </c>
      <c r="S9769">
        <v>2.9352260000000001</v>
      </c>
      <c r="T9769">
        <v>-0.24181069999999999</v>
      </c>
      <c r="U9769">
        <v>0.82723999999999998</v>
      </c>
      <c r="V9769">
        <v>-9.1976550000000004E-2</v>
      </c>
      <c r="W9769">
        <v>3.4564589999999999E-2</v>
      </c>
      <c r="X9769">
        <v>0.99516110000000002</v>
      </c>
      <c r="Y9769">
        <v>-0.25624780000000003</v>
      </c>
      <c r="Z9769">
        <v>9.1448120000000004E-3</v>
      </c>
      <c r="AA9769">
        <v>0.96656790000000004</v>
      </c>
      <c r="AB9769">
        <v>31</v>
      </c>
      <c r="AC9769">
        <v>13.303900000000001</v>
      </c>
      <c r="AD9769">
        <v>-1.1098201622774999</v>
      </c>
      <c r="AE9769">
        <v>3.7943699999999998</v>
      </c>
      <c r="AF9769">
        <v>-3.5742663685123799</v>
      </c>
      <c r="AG9769">
        <v>-1.1098201622774999</v>
      </c>
      <c r="AH9769">
        <v>13.273123021290001</v>
      </c>
      <c r="AI9769">
        <v>94.615932323650597</v>
      </c>
      <c r="AJ9769">
        <v>105.071439387122</v>
      </c>
      <c r="AK9769">
        <v>13.7906807520142</v>
      </c>
      <c r="AL9769">
        <v>88.019200336465403</v>
      </c>
      <c r="AM9769">
        <v>95.280490994204897</v>
      </c>
      <c r="AN9769">
        <v>1.00000000579249</v>
      </c>
    </row>
    <row r="9770" spans="1:40" x14ac:dyDescent="0.25">
      <c r="A9770" t="str">
        <f>"20190312150913726"</f>
        <v>20190312150913726</v>
      </c>
      <c r="B9770" t="str">
        <f>"1552374553719337"</f>
        <v>1552374553719337</v>
      </c>
      <c r="C9770" t="s">
        <v>40</v>
      </c>
      <c r="D9770">
        <v>4.534192</v>
      </c>
      <c r="E9770">
        <v>0.43651790000000001</v>
      </c>
      <c r="F9770" t="s">
        <v>89</v>
      </c>
      <c r="G9770">
        <v>-221.46510000000001</v>
      </c>
      <c r="H9770" s="1">
        <v>-2.5393419999999999E-7</v>
      </c>
      <c r="I9770">
        <v>-58.338549999999998</v>
      </c>
      <c r="J9770">
        <v>-234.23859999999999</v>
      </c>
      <c r="K9770">
        <v>1.109818</v>
      </c>
      <c r="L9770">
        <v>-61.999850000000002</v>
      </c>
      <c r="M9770">
        <v>0.99983120000000003</v>
      </c>
      <c r="N9770">
        <v>0</v>
      </c>
      <c r="O9770">
        <v>1.4659899999999899E-2</v>
      </c>
      <c r="P9770">
        <v>0.99394669999999896</v>
      </c>
      <c r="Q9770">
        <v>2.353355E-2</v>
      </c>
      <c r="R9770">
        <v>0.1073133</v>
      </c>
      <c r="S9770">
        <v>2.9346920000000001</v>
      </c>
      <c r="T9770">
        <v>-0.25218160000000001</v>
      </c>
      <c r="U9770">
        <v>0.83239750000000001</v>
      </c>
      <c r="V9770">
        <v>-9.27095E-2</v>
      </c>
      <c r="W9770">
        <v>3.4613190000000002E-2</v>
      </c>
      <c r="X9770">
        <v>0.99509139999999996</v>
      </c>
      <c r="Y9770">
        <v>-0.25791340000000001</v>
      </c>
      <c r="Z9770">
        <v>9.6155530000000006E-3</v>
      </c>
      <c r="AA9770">
        <v>0.96612019999999998</v>
      </c>
      <c r="AB9770">
        <v>31</v>
      </c>
      <c r="AC9770">
        <v>12.773499999999901</v>
      </c>
      <c r="AD9770">
        <v>-1.1098182539342001</v>
      </c>
      <c r="AE9770">
        <v>3.6613000000000002</v>
      </c>
      <c r="AF9770">
        <v>-3.4495732970539201</v>
      </c>
      <c r="AG9770">
        <v>-1.1098182539342001</v>
      </c>
      <c r="AH9770">
        <v>12.7369544781254</v>
      </c>
      <c r="AI9770">
        <v>94.807478788274906</v>
      </c>
      <c r="AJ9770">
        <v>105.153990346315</v>
      </c>
      <c r="AK9770">
        <v>13.2424039307956</v>
      </c>
      <c r="AL9770">
        <v>88.016414101406099</v>
      </c>
      <c r="AM9770">
        <v>95.3227005386169</v>
      </c>
      <c r="AN9770">
        <v>1.0000000093330901</v>
      </c>
    </row>
    <row r="9771" spans="1:40" x14ac:dyDescent="0.25">
      <c r="A9771" t="str">
        <f>"20190312150913736"</f>
        <v>20190312150913736</v>
      </c>
      <c r="B9771" t="str">
        <f>"1552374553729098"</f>
        <v>1552374553729098</v>
      </c>
      <c r="C9771" t="s">
        <v>40</v>
      </c>
      <c r="D9771">
        <v>4.5640340000000004</v>
      </c>
      <c r="E9771">
        <v>0.43609540000000002</v>
      </c>
      <c r="F9771" t="s">
        <v>89</v>
      </c>
      <c r="G9771">
        <v>-221.32169999999999</v>
      </c>
      <c r="H9771" s="1">
        <v>-2.094874E-7</v>
      </c>
      <c r="I9771">
        <v>-58.32443</v>
      </c>
      <c r="J9771">
        <v>-234.083</v>
      </c>
      <c r="K9771">
        <v>1.109818</v>
      </c>
      <c r="L9771">
        <v>-61.997709999999998</v>
      </c>
      <c r="M9771">
        <v>0.99983319999999998</v>
      </c>
      <c r="N9771">
        <v>0</v>
      </c>
      <c r="O9771">
        <v>1.4524530000000001E-2</v>
      </c>
      <c r="P9771">
        <v>0.99388759999999998</v>
      </c>
      <c r="Q9771">
        <v>2.3677739999999999E-2</v>
      </c>
      <c r="R9771">
        <v>0.1078298</v>
      </c>
      <c r="S9771">
        <v>2.9340820000000001</v>
      </c>
      <c r="T9771">
        <v>-0.25209520000000002</v>
      </c>
      <c r="U9771">
        <v>0.83486939999999998</v>
      </c>
      <c r="V9771">
        <v>-9.3361940000000004E-2</v>
      </c>
      <c r="W9771">
        <v>3.4759499999999999E-2</v>
      </c>
      <c r="X9771">
        <v>0.9950253</v>
      </c>
      <c r="Y9771">
        <v>-0.25884669999999999</v>
      </c>
      <c r="Z9771">
        <v>9.6637279999999999E-3</v>
      </c>
      <c r="AA9771">
        <v>0.96587009999999995</v>
      </c>
      <c r="AB9771">
        <v>31</v>
      </c>
      <c r="AC9771">
        <v>12.7613</v>
      </c>
      <c r="AD9771">
        <v>-1.1098182094873901</v>
      </c>
      <c r="AE9771">
        <v>3.6732799999999899</v>
      </c>
      <c r="AF9771">
        <v>-3.4633390699924398</v>
      </c>
      <c r="AG9771">
        <v>-1.1098182094873901</v>
      </c>
      <c r="AH9771">
        <v>12.724434124497</v>
      </c>
      <c r="AI9771">
        <v>94.810554053066994</v>
      </c>
      <c r="AJ9771">
        <v>105.225939919718</v>
      </c>
      <c r="AK9771">
        <v>13.2339577511986</v>
      </c>
      <c r="AL9771">
        <v>88.008026112123702</v>
      </c>
      <c r="AM9771">
        <v>95.360295451744193</v>
      </c>
      <c r="AN9771">
        <v>1.0000000111604499</v>
      </c>
    </row>
    <row r="9772" spans="1:40" x14ac:dyDescent="0.25">
      <c r="A9772" t="str">
        <f>"20190312150913748"</f>
        <v>20190312150913748</v>
      </c>
      <c r="B9772" t="str">
        <f>"1552374553738859"</f>
        <v>1552374553738859</v>
      </c>
      <c r="C9772" t="s">
        <v>40</v>
      </c>
      <c r="D9772">
        <v>4.5337019999999999</v>
      </c>
      <c r="E9772">
        <v>0.4362877</v>
      </c>
      <c r="F9772" t="s">
        <v>89</v>
      </c>
      <c r="G9772">
        <v>-220.85290000000001</v>
      </c>
      <c r="H9772" s="1">
        <v>-8.5132229999999998E-8</v>
      </c>
      <c r="I9772">
        <v>-58.2108699999999</v>
      </c>
      <c r="J9772">
        <v>-233.9316</v>
      </c>
      <c r="K9772">
        <v>1.109818</v>
      </c>
      <c r="L9772">
        <v>-61.995609999999999</v>
      </c>
      <c r="M9772">
        <v>0.99983509999999998</v>
      </c>
      <c r="N9772">
        <v>0</v>
      </c>
      <c r="O9772">
        <v>1.439296E-2</v>
      </c>
      <c r="P9772">
        <v>0.99382309999999996</v>
      </c>
      <c r="Q9772">
        <v>2.3676260000000001E-2</v>
      </c>
      <c r="R9772">
        <v>0.1084222</v>
      </c>
      <c r="S9772">
        <v>2.9332120000000002</v>
      </c>
      <c r="T9772">
        <v>-0.2460542</v>
      </c>
      <c r="U9772">
        <v>0.83956909999999896</v>
      </c>
      <c r="V9772">
        <v>-9.4085950000000002E-2</v>
      </c>
      <c r="W9772">
        <v>3.4759970000000001E-2</v>
      </c>
      <c r="X9772">
        <v>0.99495710000000004</v>
      </c>
      <c r="Y9772">
        <v>-0.2605133</v>
      </c>
      <c r="Z9772">
        <v>9.5127909999999996E-3</v>
      </c>
      <c r="AA9772">
        <v>0.96542340000000004</v>
      </c>
      <c r="AB9772">
        <v>31</v>
      </c>
      <c r="AC9772">
        <v>13.0786999999999</v>
      </c>
      <c r="AD9772">
        <v>-1.1098180851322299</v>
      </c>
      <c r="AE9772">
        <v>3.7847400000000002</v>
      </c>
      <c r="AF9772">
        <v>-3.5723593748691802</v>
      </c>
      <c r="AG9772">
        <v>-1.1098180851322299</v>
      </c>
      <c r="AH9772">
        <v>13.0451463089006</v>
      </c>
      <c r="AI9772">
        <v>94.690845156631198</v>
      </c>
      <c r="AJ9772">
        <v>105.31475532065301</v>
      </c>
      <c r="AK9772">
        <v>13.5708986403232</v>
      </c>
      <c r="AL9772">
        <v>88.007999196737899</v>
      </c>
      <c r="AM9772">
        <v>95.401986998992399</v>
      </c>
      <c r="AN9772">
        <v>1.0000000261711</v>
      </c>
    </row>
    <row r="9773" spans="1:40" x14ac:dyDescent="0.25">
      <c r="A9773" t="str">
        <f>"20190312150913759"</f>
        <v>20190312150913759</v>
      </c>
      <c r="B9773" t="str">
        <f>"1552374553749593"</f>
        <v>1552374553749593</v>
      </c>
      <c r="C9773" t="s">
        <v>40</v>
      </c>
      <c r="D9773">
        <v>4.5843299999999996</v>
      </c>
      <c r="E9773">
        <v>0.43644709999999998</v>
      </c>
      <c r="F9773" t="s">
        <v>89</v>
      </c>
      <c r="G9773">
        <v>-220.7054</v>
      </c>
      <c r="H9773" s="1">
        <v>-3.577128E-8</v>
      </c>
      <c r="I9773">
        <v>-58.20825</v>
      </c>
      <c r="J9773">
        <v>-233.77850000000001</v>
      </c>
      <c r="K9773">
        <v>1.1098220000000001</v>
      </c>
      <c r="L9773">
        <v>-61.99353</v>
      </c>
      <c r="M9773">
        <v>0.99983699999999998</v>
      </c>
      <c r="N9773">
        <v>0</v>
      </c>
      <c r="O9773">
        <v>1.425974E-2</v>
      </c>
      <c r="P9773">
        <v>0.99375800000000003</v>
      </c>
      <c r="Q9773">
        <v>2.3603860000000001E-2</v>
      </c>
      <c r="R9773">
        <v>0.1090325</v>
      </c>
      <c r="S9773">
        <v>2.9328919999999998</v>
      </c>
      <c r="T9773">
        <v>-0.24610170000000001</v>
      </c>
      <c r="U9773">
        <v>0.83984380000000003</v>
      </c>
      <c r="V9773">
        <v>-9.4829579999999997E-2</v>
      </c>
      <c r="W9773">
        <v>3.4689919999999999E-2</v>
      </c>
      <c r="X9773">
        <v>0.99488889999999996</v>
      </c>
      <c r="Y9773">
        <v>-0.26075179999999998</v>
      </c>
      <c r="Z9773">
        <v>9.5362229999999999E-3</v>
      </c>
      <c r="AA9773">
        <v>0.96535879999999996</v>
      </c>
      <c r="AB9773">
        <v>31</v>
      </c>
      <c r="AC9773">
        <v>13.0731</v>
      </c>
      <c r="AD9773">
        <v>-1.10982203577127</v>
      </c>
      <c r="AE9773">
        <v>3.7852800000000002</v>
      </c>
      <c r="AF9773">
        <v>-3.5746949126547301</v>
      </c>
      <c r="AG9773">
        <v>-1.10982203577127</v>
      </c>
      <c r="AH9773">
        <v>13.039048626411599</v>
      </c>
      <c r="AI9773">
        <v>94.692679891618397</v>
      </c>
      <c r="AJ9773">
        <v>105.331126484382</v>
      </c>
      <c r="AK9773">
        <v>13.5656528686079</v>
      </c>
      <c r="AL9773">
        <v>88.012015099297599</v>
      </c>
      <c r="AM9773">
        <v>95.444798271479996</v>
      </c>
      <c r="AN9773">
        <v>0.99999998156789605</v>
      </c>
    </row>
    <row r="9774" spans="1:40" x14ac:dyDescent="0.25">
      <c r="A9774" t="str">
        <f>"20190312150913771"</f>
        <v>20190312150913771</v>
      </c>
      <c r="B9774" t="str">
        <f>"1552374553759354"</f>
        <v>1552374553759354</v>
      </c>
      <c r="C9774" t="s">
        <v>40</v>
      </c>
      <c r="D9774">
        <v>4.5529400000000004</v>
      </c>
      <c r="E9774">
        <v>0.43649060000000001</v>
      </c>
      <c r="F9774" t="s">
        <v>89</v>
      </c>
      <c r="G9774">
        <v>-220.62620000000001</v>
      </c>
      <c r="H9774" s="1">
        <v>-3.8818939999999997E-9</v>
      </c>
      <c r="I9774">
        <v>-58.2241199999999</v>
      </c>
      <c r="J9774">
        <v>-233.62530000000001</v>
      </c>
      <c r="K9774">
        <v>1.1098209999999999</v>
      </c>
      <c r="L9774">
        <v>-61.991489999999999</v>
      </c>
      <c r="M9774">
        <v>0.99983880000000003</v>
      </c>
      <c r="N9774">
        <v>0</v>
      </c>
      <c r="O9774">
        <v>1.412764E-2</v>
      </c>
      <c r="P9774">
        <v>0.99366980000000005</v>
      </c>
      <c r="Q9774">
        <v>2.3456899999999999E-2</v>
      </c>
      <c r="R9774">
        <v>0.1098647</v>
      </c>
      <c r="S9774">
        <v>2.9325260000000002</v>
      </c>
      <c r="T9774">
        <v>-0.2474536</v>
      </c>
      <c r="U9774">
        <v>0.84045409999999898</v>
      </c>
      <c r="V9774">
        <v>-9.5794470000000007E-2</v>
      </c>
      <c r="W9774">
        <v>3.4545050000000001E-2</v>
      </c>
      <c r="X9774">
        <v>0.99480150000000001</v>
      </c>
      <c r="Y9774">
        <v>-0.26108629999999999</v>
      </c>
      <c r="Z9774">
        <v>9.6140219999999998E-3</v>
      </c>
      <c r="AA9774">
        <v>0.9652676</v>
      </c>
      <c r="AB9774">
        <v>31</v>
      </c>
      <c r="AC9774">
        <v>12.9991</v>
      </c>
      <c r="AD9774">
        <v>-1.1098210038818901</v>
      </c>
      <c r="AE9774">
        <v>3.7673700000000001</v>
      </c>
      <c r="AF9774">
        <v>-3.5594013195477698</v>
      </c>
      <c r="AG9774">
        <v>-1.1098210038818901</v>
      </c>
      <c r="AH9774">
        <v>12.9638559404834</v>
      </c>
      <c r="AI9774">
        <v>94.719279292293095</v>
      </c>
      <c r="AJ9774">
        <v>105.352996020462</v>
      </c>
      <c r="AK9774">
        <v>13.489351402490099</v>
      </c>
      <c r="AL9774">
        <v>88.020320519217506</v>
      </c>
      <c r="AM9774">
        <v>95.500341278993602</v>
      </c>
      <c r="AN9774">
        <v>0.99999998268216606</v>
      </c>
    </row>
    <row r="9775" spans="1:40" x14ac:dyDescent="0.25">
      <c r="A9775" t="str">
        <f>"20190312150913781"</f>
        <v>20190312150913781</v>
      </c>
      <c r="B9775" t="str">
        <f>"1552374553778873"</f>
        <v>1552374553778873</v>
      </c>
      <c r="C9775" t="s">
        <v>40</v>
      </c>
      <c r="D9775">
        <v>4.5382089999999904</v>
      </c>
      <c r="E9775">
        <v>0.43671500000000002</v>
      </c>
      <c r="F9775" t="s">
        <v>89</v>
      </c>
      <c r="G9775">
        <v>-220.5626</v>
      </c>
      <c r="H9775" s="1">
        <v>2.1881019999999999E-8</v>
      </c>
      <c r="I9775">
        <v>-58.237490000000001</v>
      </c>
      <c r="J9775">
        <v>-233.465</v>
      </c>
      <c r="K9775">
        <v>1.1098220000000001</v>
      </c>
      <c r="L9775">
        <v>-61.9893199999999</v>
      </c>
      <c r="M9775">
        <v>0.99984079999999997</v>
      </c>
      <c r="N9775">
        <v>0</v>
      </c>
      <c r="O9775">
        <v>1.399008E-2</v>
      </c>
      <c r="P9775">
        <v>0.99360669999999995</v>
      </c>
      <c r="Q9775">
        <v>2.334002E-2</v>
      </c>
      <c r="R9775">
        <v>0.1104599</v>
      </c>
      <c r="S9775">
        <v>2.9318390000000001</v>
      </c>
      <c r="T9775">
        <v>-0.24909229999999999</v>
      </c>
      <c r="U9775">
        <v>0.84255979999999997</v>
      </c>
      <c r="V9775">
        <v>-9.6527730000000006E-2</v>
      </c>
      <c r="W9775">
        <v>3.4430199999999897E-2</v>
      </c>
      <c r="X9775">
        <v>0.99473460000000002</v>
      </c>
      <c r="Y9775">
        <v>-0.26190530000000001</v>
      </c>
      <c r="Z9775">
        <v>9.7241830000000008E-3</v>
      </c>
      <c r="AA9775">
        <v>0.96504460000000003</v>
      </c>
      <c r="AB9775">
        <v>31</v>
      </c>
      <c r="AC9775">
        <v>12.9024</v>
      </c>
      <c r="AD9775">
        <v>-1.10982197811897</v>
      </c>
      <c r="AE9775">
        <v>3.7518299999999898</v>
      </c>
      <c r="AF9775">
        <v>-3.54675006621695</v>
      </c>
      <c r="AG9775">
        <v>-1.10982197811897</v>
      </c>
      <c r="AH9775">
        <v>12.8658575017371</v>
      </c>
      <c r="AI9775">
        <v>94.753724549253405</v>
      </c>
      <c r="AJ9775">
        <v>105.412013479848</v>
      </c>
      <c r="AK9775">
        <v>13.3918419237359</v>
      </c>
      <c r="AL9775">
        <v>88.026904856868995</v>
      </c>
      <c r="AM9775">
        <v>95.542552979687898</v>
      </c>
      <c r="AN9775">
        <v>0.99999998288407599</v>
      </c>
    </row>
    <row r="9776" spans="1:40" x14ac:dyDescent="0.25">
      <c r="A9776" t="str">
        <f>"20190312150913793"</f>
        <v>20190312150913793</v>
      </c>
      <c r="B9776" t="str">
        <f>"1552374553789609"</f>
        <v>1552374553789609</v>
      </c>
      <c r="C9776" t="s">
        <v>40</v>
      </c>
      <c r="D9776">
        <v>4.5268709999999999</v>
      </c>
      <c r="E9776">
        <v>0.43712410000000002</v>
      </c>
      <c r="F9776" t="s">
        <v>89</v>
      </c>
      <c r="G9776">
        <v>-220.68530000000001</v>
      </c>
      <c r="H9776" s="1">
        <v>4.2442140000000002E-9</v>
      </c>
      <c r="I9776">
        <v>-58.315289999999997</v>
      </c>
      <c r="J9776">
        <v>-233.31270000000001</v>
      </c>
      <c r="K9776">
        <v>1.1098239999999999</v>
      </c>
      <c r="L9776">
        <v>-61.987340000000003</v>
      </c>
      <c r="M9776">
        <v>0.99984229999999996</v>
      </c>
      <c r="N9776">
        <v>0</v>
      </c>
      <c r="O9776">
        <v>1.386284E-2</v>
      </c>
      <c r="P9776">
        <v>0.99352030000000002</v>
      </c>
      <c r="Q9776">
        <v>2.3307850000000001E-2</v>
      </c>
      <c r="R9776">
        <v>0.1112382</v>
      </c>
      <c r="S9776">
        <v>2.9315950000000002</v>
      </c>
      <c r="T9776">
        <v>-0.25458750000000002</v>
      </c>
      <c r="U9776">
        <v>0.842804</v>
      </c>
      <c r="V9776">
        <v>-9.7433740000000005E-2</v>
      </c>
      <c r="W9776">
        <v>3.4399699999999998E-2</v>
      </c>
      <c r="X9776">
        <v>0.99464730000000001</v>
      </c>
      <c r="Y9776">
        <v>-0.26208569999999998</v>
      </c>
      <c r="Z9776">
        <v>9.9571030000000001E-3</v>
      </c>
      <c r="AA9776">
        <v>0.9649932</v>
      </c>
      <c r="AB9776">
        <v>31</v>
      </c>
      <c r="AC9776">
        <v>12.6273999999999</v>
      </c>
      <c r="AD9776">
        <v>-1.1098239957557801</v>
      </c>
      <c r="AE9776">
        <v>3.6720499999999898</v>
      </c>
      <c r="AF9776">
        <v>-3.4719064641239998</v>
      </c>
      <c r="AG9776">
        <v>-1.1098239957557801</v>
      </c>
      <c r="AH9776">
        <v>12.5874421241449</v>
      </c>
      <c r="AI9776">
        <v>94.858192963587697</v>
      </c>
      <c r="AJ9776">
        <v>105.42008286884599</v>
      </c>
      <c r="AK9776">
        <v>13.1045619165953</v>
      </c>
      <c r="AL9776">
        <v>88.028653373222198</v>
      </c>
      <c r="AM9776">
        <v>95.594734836900003</v>
      </c>
      <c r="AN9776">
        <v>0.99999996222388299</v>
      </c>
    </row>
    <row r="9777" spans="1:40" x14ac:dyDescent="0.25">
      <c r="A9777" t="str">
        <f>"20190312150913805"</f>
        <v>20190312150913805</v>
      </c>
      <c r="B9777" t="str">
        <f>"1552374553799374"</f>
        <v>1552374553799374</v>
      </c>
      <c r="C9777" t="s">
        <v>40</v>
      </c>
      <c r="D9777">
        <v>4.5220180000000001</v>
      </c>
      <c r="E9777">
        <v>0.43738650000000001</v>
      </c>
      <c r="F9777" t="s">
        <v>89</v>
      </c>
      <c r="G9777">
        <v>-220.53800000000001</v>
      </c>
      <c r="H9777" s="1">
        <v>5.5398800000000001E-8</v>
      </c>
      <c r="I9777">
        <v>-58.318600000000004</v>
      </c>
      <c r="J9777">
        <v>-233.15700000000001</v>
      </c>
      <c r="K9777">
        <v>1.109826</v>
      </c>
      <c r="L9777">
        <v>-61.985259999999997</v>
      </c>
      <c r="M9777">
        <v>0.99984410000000001</v>
      </c>
      <c r="N9777">
        <v>0</v>
      </c>
      <c r="O9777">
        <v>1.373394E-2</v>
      </c>
      <c r="P9777">
        <v>0.99343409999999999</v>
      </c>
      <c r="Q9777">
        <v>2.357689E-2</v>
      </c>
      <c r="R9777">
        <v>0.1119491</v>
      </c>
      <c r="S9777">
        <v>2.9312740000000002</v>
      </c>
      <c r="T9777">
        <v>-0.2546602</v>
      </c>
      <c r="U9777">
        <v>0.841827399999999</v>
      </c>
      <c r="V9777">
        <v>-9.8274650000000005E-2</v>
      </c>
      <c r="W9777">
        <v>3.4669899999999997E-2</v>
      </c>
      <c r="X9777">
        <v>0.99455519999999997</v>
      </c>
      <c r="Y9777">
        <v>-0.26194040000000002</v>
      </c>
      <c r="Z9777">
        <v>9.9661929999999999E-3</v>
      </c>
      <c r="AA9777">
        <v>0.96503260000000002</v>
      </c>
      <c r="AB9777">
        <v>31</v>
      </c>
      <c r="AC9777">
        <v>12.619</v>
      </c>
      <c r="AD9777">
        <v>-1.1098259446012</v>
      </c>
      <c r="AE9777">
        <v>3.66665999999999</v>
      </c>
      <c r="AF9777">
        <v>-3.4682565674014501</v>
      </c>
      <c r="AG9777">
        <v>-1.1098259446012</v>
      </c>
      <c r="AH9777">
        <v>12.5784511709979</v>
      </c>
      <c r="AI9777">
        <v>94.861772750026503</v>
      </c>
      <c r="AJ9777">
        <v>105.415130167629</v>
      </c>
      <c r="AK9777">
        <v>13.094958995957599</v>
      </c>
      <c r="AL9777">
        <v>88.013162842793093</v>
      </c>
      <c r="AM9777">
        <v>95.643229533630105</v>
      </c>
      <c r="AN9777">
        <v>0.99999997732283596</v>
      </c>
    </row>
    <row r="9778" spans="1:40" x14ac:dyDescent="0.25">
      <c r="A9778" t="str">
        <f>"20190312150913815"</f>
        <v>20190312150913815</v>
      </c>
      <c r="B9778" t="str">
        <f>"1552374553809129"</f>
        <v>1552374553809129</v>
      </c>
      <c r="C9778" t="s">
        <v>40</v>
      </c>
      <c r="D9778">
        <v>4.5507339999999896</v>
      </c>
      <c r="E9778">
        <v>0.43752920000000001</v>
      </c>
      <c r="F9778" t="s">
        <v>89</v>
      </c>
      <c r="G9778">
        <v>-220.43029999999999</v>
      </c>
      <c r="H9778" s="1">
        <v>9.5470339999999996E-8</v>
      </c>
      <c r="I9778">
        <v>-58.329689999999999</v>
      </c>
      <c r="J9778">
        <v>-233.0026</v>
      </c>
      <c r="K9778">
        <v>1.1098319999999999</v>
      </c>
      <c r="L9778">
        <v>-61.983280000000001</v>
      </c>
      <c r="M9778">
        <v>0.99984580000000001</v>
      </c>
      <c r="N9778">
        <v>0</v>
      </c>
      <c r="O9778">
        <v>1.361414E-2</v>
      </c>
      <c r="P9778">
        <v>0.99333859999999996</v>
      </c>
      <c r="Q9778">
        <v>2.3664879999999999E-2</v>
      </c>
      <c r="R9778">
        <v>0.11277719999999999</v>
      </c>
      <c r="S9778">
        <v>2.931</v>
      </c>
      <c r="T9778">
        <v>-0.25559609999999999</v>
      </c>
      <c r="U9778">
        <v>0.84188839999999998</v>
      </c>
      <c r="V9778">
        <v>-9.9222790000000005E-2</v>
      </c>
      <c r="W9778">
        <v>3.4758549999999999E-2</v>
      </c>
      <c r="X9778">
        <v>0.99445799999999995</v>
      </c>
      <c r="Y9778">
        <v>-0.26209120000000002</v>
      </c>
      <c r="Z9778">
        <v>1.00202E-2</v>
      </c>
      <c r="AA9778">
        <v>0.96499109999999999</v>
      </c>
      <c r="AB9778">
        <v>31</v>
      </c>
      <c r="AC9778">
        <v>12.5723</v>
      </c>
      <c r="AD9778">
        <v>-1.1098319045296601</v>
      </c>
      <c r="AE9778">
        <v>3.6535899999999999</v>
      </c>
      <c r="AF9778">
        <v>-3.4572367918237301</v>
      </c>
      <c r="AG9778">
        <v>-1.1098319045296601</v>
      </c>
      <c r="AH9778">
        <v>12.530834285404399</v>
      </c>
      <c r="AI9778">
        <v>94.879974833053097</v>
      </c>
      <c r="AJ9778">
        <v>105.424094270604</v>
      </c>
      <c r="AK9778">
        <v>13.046302962116</v>
      </c>
      <c r="AL9778">
        <v>88.008080586284095</v>
      </c>
      <c r="AM9778">
        <v>95.697871330982295</v>
      </c>
      <c r="AN9778">
        <v>1.0000000163087399</v>
      </c>
    </row>
    <row r="9779" spans="1:40" x14ac:dyDescent="0.25">
      <c r="A9779" t="str">
        <f>"20190312150913826"</f>
        <v>20190312150913826</v>
      </c>
      <c r="B9779" t="str">
        <f>"1552374553818890"</f>
        <v>1552374553818890</v>
      </c>
      <c r="C9779" t="s">
        <v>40</v>
      </c>
      <c r="D9779">
        <v>4.4962569999999999</v>
      </c>
      <c r="E9779">
        <v>0.43771510000000002</v>
      </c>
      <c r="F9779" t="s">
        <v>89</v>
      </c>
      <c r="G9779">
        <v>-220.4111</v>
      </c>
      <c r="H9779" s="1">
        <v>1.1142159999999999E-7</v>
      </c>
      <c r="I9779">
        <v>-58.360030000000002</v>
      </c>
      <c r="J9779">
        <v>-232.8544</v>
      </c>
      <c r="K9779">
        <v>1.109839</v>
      </c>
      <c r="L9779">
        <v>-61.981380000000001</v>
      </c>
      <c r="M9779">
        <v>0.99984720000000005</v>
      </c>
      <c r="N9779">
        <v>0</v>
      </c>
      <c r="O9779">
        <v>1.35012E-2</v>
      </c>
      <c r="P9779">
        <v>0.99325859999999999</v>
      </c>
      <c r="Q9779">
        <v>2.3720000000000001E-2</v>
      </c>
      <c r="R9779">
        <v>0.1134676</v>
      </c>
      <c r="S9779">
        <v>2.9305110000000001</v>
      </c>
      <c r="T9779">
        <v>-0.25829819999999998</v>
      </c>
      <c r="U9779">
        <v>0.8432617</v>
      </c>
      <c r="V9779">
        <v>-0.1000277</v>
      </c>
      <c r="W9779">
        <v>3.4814310000000001E-2</v>
      </c>
      <c r="X9779">
        <v>0.99437540000000002</v>
      </c>
      <c r="Y9779">
        <v>-0.26263950000000003</v>
      </c>
      <c r="Z9779">
        <v>1.01601E-2</v>
      </c>
      <c r="AA9779">
        <v>0.96484049999999999</v>
      </c>
      <c r="AB9779">
        <v>31</v>
      </c>
      <c r="AC9779">
        <v>12.443299999999899</v>
      </c>
      <c r="AD9779">
        <v>-1.1098388885783901</v>
      </c>
      <c r="AE9779">
        <v>3.6213500000000001</v>
      </c>
      <c r="AF9779">
        <v>-3.4278700948646699</v>
      </c>
      <c r="AG9779">
        <v>-1.1098388885783901</v>
      </c>
      <c r="AH9779">
        <v>12.4001189815204</v>
      </c>
      <c r="AI9779">
        <v>94.930515405662305</v>
      </c>
      <c r="AJ9779">
        <v>105.452847388736</v>
      </c>
      <c r="AK9779">
        <v>12.9129774452575</v>
      </c>
      <c r="AL9779">
        <v>88.004883819395104</v>
      </c>
      <c r="AM9779">
        <v>95.744259414163096</v>
      </c>
      <c r="AN9779">
        <v>1.0000000065366099</v>
      </c>
    </row>
    <row r="9780" spans="1:40" x14ac:dyDescent="0.25">
      <c r="A9780" t="str">
        <f>"20190312150913837"</f>
        <v>20190312150913837</v>
      </c>
      <c r="B9780" t="str">
        <f>"1552374553829626"</f>
        <v>1552374553829626</v>
      </c>
      <c r="C9780" t="s">
        <v>40</v>
      </c>
      <c r="D9780">
        <v>4.54298</v>
      </c>
      <c r="E9780">
        <v>0.4375676</v>
      </c>
      <c r="F9780" t="s">
        <v>89</v>
      </c>
      <c r="G9780">
        <v>-220.37690000000001</v>
      </c>
      <c r="H9780" s="1">
        <v>1.316205E-7</v>
      </c>
      <c r="I9780">
        <v>-58.387689999999999</v>
      </c>
      <c r="J9780">
        <v>-232.69139999999999</v>
      </c>
      <c r="K9780">
        <v>1.1098479999999999</v>
      </c>
      <c r="L9780">
        <v>-61.979280000000003</v>
      </c>
      <c r="M9780">
        <v>0.99984879999999998</v>
      </c>
      <c r="N9780">
        <v>0</v>
      </c>
      <c r="O9780">
        <v>1.3385920000000001E-2</v>
      </c>
      <c r="P9780">
        <v>0.99313910000000005</v>
      </c>
      <c r="Q9780">
        <v>2.388672E-2</v>
      </c>
      <c r="R9780">
        <v>0.1144739</v>
      </c>
      <c r="S9780">
        <v>2.9301759999999999</v>
      </c>
      <c r="T9780">
        <v>-0.26063130000000001</v>
      </c>
      <c r="U9780">
        <v>0.84393309999999999</v>
      </c>
      <c r="V9780">
        <v>-0.1011504</v>
      </c>
      <c r="W9780">
        <v>3.4980619999999997E-2</v>
      </c>
      <c r="X9780">
        <v>0.99425600000000003</v>
      </c>
      <c r="Y9780">
        <v>-0.26296629999999999</v>
      </c>
      <c r="Z9780">
        <v>1.027658E-2</v>
      </c>
      <c r="AA9780">
        <v>0.96475029999999995</v>
      </c>
      <c r="AB9780">
        <v>31</v>
      </c>
      <c r="AC9780">
        <v>12.314499999999899</v>
      </c>
      <c r="AD9780">
        <v>-1.1098478683794999</v>
      </c>
      <c r="AE9780">
        <v>3.5915900000000001</v>
      </c>
      <c r="AF9780">
        <v>-3.4009581977957799</v>
      </c>
      <c r="AG9780">
        <v>-1.1098478683794999</v>
      </c>
      <c r="AH9780">
        <v>12.2696282090339</v>
      </c>
      <c r="AI9780">
        <v>94.981778659491994</v>
      </c>
      <c r="AJ9780">
        <v>105.492581090773</v>
      </c>
      <c r="AK9780">
        <v>12.7805342353918</v>
      </c>
      <c r="AL9780">
        <v>87.995349178503702</v>
      </c>
      <c r="AM9780">
        <v>95.808986718578296</v>
      </c>
      <c r="AN9780">
        <v>1.0000000203658701</v>
      </c>
    </row>
    <row r="9781" spans="1:40" x14ac:dyDescent="0.25">
      <c r="A9781" t="str">
        <f>"20190312150913850"</f>
        <v>20190312150913850</v>
      </c>
      <c r="B9781" t="str">
        <f>"1552374553839386"</f>
        <v>1552374553839386</v>
      </c>
      <c r="C9781" t="s">
        <v>40</v>
      </c>
      <c r="D9781">
        <v>4.526764</v>
      </c>
      <c r="E9781">
        <v>0.43777430000000001</v>
      </c>
      <c r="F9781" t="s">
        <v>89</v>
      </c>
      <c r="G9781">
        <v>-220.21299999999999</v>
      </c>
      <c r="H9781" s="1">
        <v>1.8091660000000001E-7</v>
      </c>
      <c r="I9781">
        <v>-58.366759999999999</v>
      </c>
      <c r="J9781">
        <v>-232.53020000000001</v>
      </c>
      <c r="K9781">
        <v>1.109861</v>
      </c>
      <c r="L9781">
        <v>-61.977229999999999</v>
      </c>
      <c r="M9781">
        <v>0.99985020000000002</v>
      </c>
      <c r="N9781">
        <v>0</v>
      </c>
      <c r="O9781">
        <v>1.328056E-2</v>
      </c>
      <c r="P9781">
        <v>0.99301249999999996</v>
      </c>
      <c r="Q9781">
        <v>2.3981840000000001E-2</v>
      </c>
      <c r="R9781">
        <v>0.11554730000000001</v>
      </c>
      <c r="S9781">
        <v>2.9292600000000002</v>
      </c>
      <c r="T9781">
        <v>-0.26053169999999998</v>
      </c>
      <c r="U9781">
        <v>0.84802250000000001</v>
      </c>
      <c r="V9781">
        <v>-0.1023309</v>
      </c>
      <c r="W9781">
        <v>3.5074019999999997E-2</v>
      </c>
      <c r="X9781">
        <v>0.99413189999999996</v>
      </c>
      <c r="Y9781">
        <v>-0.26438600000000001</v>
      </c>
      <c r="Z9781">
        <v>1.034471E-2</v>
      </c>
      <c r="AA9781">
        <v>0.96436149999999998</v>
      </c>
      <c r="AB9781">
        <v>31</v>
      </c>
      <c r="AC9781">
        <v>12.3172</v>
      </c>
      <c r="AD9781">
        <v>-1.1098608190833901</v>
      </c>
      <c r="AE9781">
        <v>3.6104699999999998</v>
      </c>
      <c r="AF9781">
        <v>-3.4209842202296099</v>
      </c>
      <c r="AG9781">
        <v>-1.1098608190833901</v>
      </c>
      <c r="AH9781">
        <v>12.272308297427299</v>
      </c>
      <c r="AI9781">
        <v>94.978745175453099</v>
      </c>
      <c r="AJ9781">
        <v>105.576151101969</v>
      </c>
      <c r="AK9781">
        <v>12.788450845192299</v>
      </c>
      <c r="AL9781">
        <v>87.989994460719402</v>
      </c>
      <c r="AM9781">
        <v>95.877038603284305</v>
      </c>
      <c r="AN9781">
        <v>1.00000001728569</v>
      </c>
    </row>
    <row r="9782" spans="1:40" x14ac:dyDescent="0.25">
      <c r="A9782" t="str">
        <f>"20190312150913860"</f>
        <v>20190312150913860</v>
      </c>
      <c r="B9782" t="str">
        <f>"1552374553849146"</f>
        <v>1552374553849146</v>
      </c>
      <c r="C9782" t="s">
        <v>40</v>
      </c>
      <c r="D9782">
        <v>4.526516</v>
      </c>
      <c r="E9782">
        <v>0.43804349999999997</v>
      </c>
      <c r="F9782" t="s">
        <v>89</v>
      </c>
      <c r="G9782">
        <v>-220.1217</v>
      </c>
      <c r="H9782" s="1">
        <v>2.1528799999999999E-7</v>
      </c>
      <c r="I9782">
        <v>-58.377409999999998</v>
      </c>
      <c r="J9782">
        <v>-232.3792</v>
      </c>
      <c r="K9782">
        <v>1.109872</v>
      </c>
      <c r="L9782">
        <v>-61.97531</v>
      </c>
      <c r="M9782">
        <v>0.99985139999999995</v>
      </c>
      <c r="N9782">
        <v>0</v>
      </c>
      <c r="O9782">
        <v>1.3190790000000001E-2</v>
      </c>
      <c r="P9782">
        <v>0.99291070000000003</v>
      </c>
      <c r="Q9782">
        <v>2.415399E-2</v>
      </c>
      <c r="R9782">
        <v>0.1163841</v>
      </c>
      <c r="S9782">
        <v>2.9285890000000001</v>
      </c>
      <c r="T9782">
        <v>-0.26194299999999998</v>
      </c>
      <c r="U9782">
        <v>0.84960939999999996</v>
      </c>
      <c r="V9782">
        <v>-0.1032598</v>
      </c>
      <c r="W9782">
        <v>3.5245099999999897E-2</v>
      </c>
      <c r="X9782">
        <v>0.99402979999999996</v>
      </c>
      <c r="Y9782">
        <v>-0.26500099999999999</v>
      </c>
      <c r="Z9782">
        <v>1.04368E-2</v>
      </c>
      <c r="AA9782">
        <v>0.96419169999999998</v>
      </c>
      <c r="AB9782">
        <v>31</v>
      </c>
      <c r="AC9782">
        <v>12.257499999999901</v>
      </c>
      <c r="AD9782">
        <v>-1.1098717847120001</v>
      </c>
      <c r="AE9782">
        <v>3.5979000000000001</v>
      </c>
      <c r="AF9782">
        <v>-3.4101500470834698</v>
      </c>
      <c r="AG9782">
        <v>-1.1098717847120001</v>
      </c>
      <c r="AH9782">
        <v>12.2117178466242</v>
      </c>
      <c r="AI9782">
        <v>95.002733176861696</v>
      </c>
      <c r="AJ9782">
        <v>105.60251209849901</v>
      </c>
      <c r="AK9782">
        <v>12.727411028472501</v>
      </c>
      <c r="AL9782">
        <v>87.980186246816402</v>
      </c>
      <c r="AM9782">
        <v>95.930613200648907</v>
      </c>
      <c r="AN9782">
        <v>1.00000002332904</v>
      </c>
    </row>
    <row r="9783" spans="1:40" x14ac:dyDescent="0.25">
      <c r="A9783" t="str">
        <f>"20190312150913871"</f>
        <v>20190312150913871</v>
      </c>
      <c r="B9783" t="str">
        <f>"1552374553858906"</f>
        <v>1552374553858906</v>
      </c>
      <c r="C9783" t="s">
        <v>40</v>
      </c>
      <c r="D9783">
        <v>4.5072910000000004</v>
      </c>
      <c r="E9783">
        <v>0.4381507</v>
      </c>
      <c r="F9783" t="s">
        <v>90</v>
      </c>
      <c r="G9783">
        <v>-220.00110000000001</v>
      </c>
      <c r="H9783" s="1">
        <v>-3.6145389999999999E-6</v>
      </c>
      <c r="I9783">
        <v>-58.381790000000002</v>
      </c>
      <c r="J9783">
        <v>-232.2336</v>
      </c>
      <c r="K9783">
        <v>1.1098889999999999</v>
      </c>
      <c r="L9783">
        <v>-61.973480000000002</v>
      </c>
      <c r="M9783">
        <v>0.99985230000000003</v>
      </c>
      <c r="N9783">
        <v>0</v>
      </c>
      <c r="O9783">
        <v>1.312002E-2</v>
      </c>
      <c r="P9783">
        <v>0.99284510000000004</v>
      </c>
      <c r="Q9783">
        <v>2.4015640000000001E-2</v>
      </c>
      <c r="R9783">
        <v>0.1169702</v>
      </c>
      <c r="S9783">
        <v>2.9281769999999998</v>
      </c>
      <c r="T9783">
        <v>-0.2625517</v>
      </c>
      <c r="U9783">
        <v>0.85006709999999996</v>
      </c>
      <c r="V9783">
        <v>-0.1039182</v>
      </c>
      <c r="W9783">
        <v>3.510452E-2</v>
      </c>
      <c r="X9783">
        <v>0.99396620000000002</v>
      </c>
      <c r="Y9783">
        <v>-0.2652389</v>
      </c>
      <c r="Z9783">
        <v>1.047878E-2</v>
      </c>
      <c r="AA9783">
        <v>0.96412580000000003</v>
      </c>
      <c r="AB9783">
        <v>31</v>
      </c>
      <c r="AC9783">
        <v>12.2324999999999</v>
      </c>
      <c r="AD9783">
        <v>-1.109892614539</v>
      </c>
      <c r="AE9783">
        <v>3.5916899999999998</v>
      </c>
      <c r="AF9783">
        <v>-3.40507294024107</v>
      </c>
      <c r="AG9783">
        <v>-1.109892614539</v>
      </c>
      <c r="AH9783">
        <v>12.1862125830338</v>
      </c>
      <c r="AI9783">
        <v>95.0130270977577</v>
      </c>
      <c r="AJ9783">
        <v>105.61143240458399</v>
      </c>
      <c r="AK9783">
        <v>12.7015810221823</v>
      </c>
      <c r="AL9783">
        <v>87.988245955020304</v>
      </c>
      <c r="AM9783">
        <v>95.9685347234321</v>
      </c>
      <c r="AN9783">
        <v>1.00000006317905</v>
      </c>
    </row>
    <row r="9784" spans="1:40" x14ac:dyDescent="0.25">
      <c r="A9784" t="str">
        <f>"20190312150913883"</f>
        <v>20190312150913883</v>
      </c>
      <c r="B9784" t="str">
        <f>"1552374553879401"</f>
        <v>1552374553879401</v>
      </c>
      <c r="C9784" t="s">
        <v>40</v>
      </c>
      <c r="D9784">
        <v>4.561388</v>
      </c>
      <c r="E9784">
        <v>0.43830859999999999</v>
      </c>
      <c r="F9784" t="s">
        <v>90</v>
      </c>
      <c r="G9784">
        <v>-219.95830000000001</v>
      </c>
      <c r="H9784" s="1">
        <v>-3.5920519999999998E-6</v>
      </c>
      <c r="I9784">
        <v>-58.405189999999997</v>
      </c>
      <c r="J9784">
        <v>-232.0686</v>
      </c>
      <c r="K9784">
        <v>1.109909</v>
      </c>
      <c r="L9784">
        <v>-61.971369999999901</v>
      </c>
      <c r="M9784">
        <v>0.99985329999999994</v>
      </c>
      <c r="N9784">
        <v>0</v>
      </c>
      <c r="O9784">
        <v>1.3048769999999999E-2</v>
      </c>
      <c r="P9784">
        <v>0.99276249999999999</v>
      </c>
      <c r="Q9784">
        <v>2.3998999999999999E-2</v>
      </c>
      <c r="R9784">
        <v>0.11767270000000001</v>
      </c>
      <c r="S9784">
        <v>2.9277340000000001</v>
      </c>
      <c r="T9784">
        <v>-0.2647157</v>
      </c>
      <c r="U9784">
        <v>0.85104369999999996</v>
      </c>
      <c r="V9784">
        <v>-0.1046946</v>
      </c>
      <c r="W9784">
        <v>3.5084030000000002E-2</v>
      </c>
      <c r="X9784">
        <v>0.99388540000000003</v>
      </c>
      <c r="Y9784">
        <v>-0.26562570000000002</v>
      </c>
      <c r="Z9784">
        <v>1.058926E-2</v>
      </c>
      <c r="AA9784">
        <v>0.96401800000000004</v>
      </c>
      <c r="AB9784">
        <v>31</v>
      </c>
      <c r="AC9784">
        <v>12.110299999999899</v>
      </c>
      <c r="AD9784">
        <v>-1.1099125920520001</v>
      </c>
      <c r="AE9784">
        <v>3.5661799999999801</v>
      </c>
      <c r="AF9784">
        <v>-3.3817031905575399</v>
      </c>
      <c r="AG9784">
        <v>-1.1099125920520001</v>
      </c>
      <c r="AH9784">
        <v>12.0625682169707</v>
      </c>
      <c r="AI9784">
        <v>95.063025045767105</v>
      </c>
      <c r="AJ9784">
        <v>105.660673890252</v>
      </c>
      <c r="AK9784">
        <v>12.576699663269901</v>
      </c>
      <c r="AL9784">
        <v>87.989420578979207</v>
      </c>
      <c r="AM9784">
        <v>96.013286963736803</v>
      </c>
      <c r="AN9784">
        <v>1.00000001838168</v>
      </c>
    </row>
    <row r="9785" spans="1:40" x14ac:dyDescent="0.25">
      <c r="A9785" t="str">
        <f>"20190312150913895"</f>
        <v>20190312150913895</v>
      </c>
      <c r="B9785" t="str">
        <f>"1552374553889161"</f>
        <v>1552374553889161</v>
      </c>
      <c r="C9785" t="s">
        <v>40</v>
      </c>
      <c r="D9785">
        <v>4.6322939999999999</v>
      </c>
      <c r="E9785">
        <v>0.43830859999999999</v>
      </c>
      <c r="F9785" t="s">
        <v>90</v>
      </c>
      <c r="G9785">
        <v>-219.9555</v>
      </c>
      <c r="H9785" s="1">
        <v>-3.5836220000000001E-6</v>
      </c>
      <c r="I9785">
        <v>-58.446019999999997</v>
      </c>
      <c r="J9785">
        <v>-231.91139999999999</v>
      </c>
      <c r="K9785">
        <v>1.109931</v>
      </c>
      <c r="L9785">
        <v>-61.969389999999997</v>
      </c>
      <c r="M9785">
        <v>0.99985380000000001</v>
      </c>
      <c r="N9785">
        <v>0</v>
      </c>
      <c r="O9785">
        <v>1.300335E-2</v>
      </c>
      <c r="P9785">
        <v>0.9926973</v>
      </c>
      <c r="Q9785">
        <v>2.4180650000000001E-2</v>
      </c>
      <c r="R9785">
        <v>0.1181851</v>
      </c>
      <c r="S9785">
        <v>2.927368</v>
      </c>
      <c r="T9785">
        <v>-0.26823279999999999</v>
      </c>
      <c r="U9785">
        <v>0.85195919999999903</v>
      </c>
      <c r="V9785">
        <v>-0.1052551</v>
      </c>
      <c r="W9785">
        <v>3.5262250000000002E-2</v>
      </c>
      <c r="X9785">
        <v>0.99381989999999998</v>
      </c>
      <c r="Y9785">
        <v>-0.26595289999999999</v>
      </c>
      <c r="Z9785">
        <v>1.074895E-2</v>
      </c>
      <c r="AA9785">
        <v>0.96392610000000001</v>
      </c>
      <c r="AB9785">
        <v>31</v>
      </c>
      <c r="AC9785">
        <v>11.9558999999999</v>
      </c>
      <c r="AD9785">
        <v>-1.109934583622</v>
      </c>
      <c r="AE9785">
        <v>3.5233699999999999</v>
      </c>
      <c r="AF9785">
        <v>-3.3411014809191402</v>
      </c>
      <c r="AG9785">
        <v>-1.109934583622</v>
      </c>
      <c r="AH9785">
        <v>11.906292996816999</v>
      </c>
      <c r="AI9785">
        <v>95.128870720984196</v>
      </c>
      <c r="AJ9785">
        <v>105.674992563495</v>
      </c>
      <c r="AK9785">
        <v>12.415906201795099</v>
      </c>
      <c r="AL9785">
        <v>87.979203022468496</v>
      </c>
      <c r="AM9785">
        <v>96.045637811063997</v>
      </c>
      <c r="AN9785">
        <v>1.0000000279935399</v>
      </c>
    </row>
    <row r="9786" spans="1:40" x14ac:dyDescent="0.25">
      <c r="A9786" t="str">
        <f>"20190312150913905"</f>
        <v>20190312150913905</v>
      </c>
      <c r="B9786" t="str">
        <f>"1552374553898922"</f>
        <v>1552374553898922</v>
      </c>
      <c r="C9786" t="s">
        <v>40</v>
      </c>
      <c r="D9786">
        <v>4.8014549999999998</v>
      </c>
      <c r="E9786">
        <v>0.46573399999999998</v>
      </c>
      <c r="F9786" t="s">
        <v>90</v>
      </c>
      <c r="G9786">
        <v>-219.76990000000001</v>
      </c>
      <c r="H9786" s="1">
        <v>-3.50709E-6</v>
      </c>
      <c r="I9786">
        <v>-58.428569999999901</v>
      </c>
      <c r="J9786">
        <v>-231.76009999999999</v>
      </c>
      <c r="K9786">
        <v>1.1099540000000001</v>
      </c>
      <c r="L9786">
        <v>-61.967440000000003</v>
      </c>
      <c r="M9786">
        <v>0.99985429999999997</v>
      </c>
      <c r="N9786">
        <v>0</v>
      </c>
      <c r="O9786">
        <v>1.2965320000000001E-2</v>
      </c>
      <c r="P9786">
        <v>0.99265680000000001</v>
      </c>
      <c r="Q9786">
        <v>2.401151E-2</v>
      </c>
      <c r="R9786">
        <v>0.1185591</v>
      </c>
      <c r="S9786">
        <v>2.926971</v>
      </c>
      <c r="T9786">
        <v>-0.26757320000000001</v>
      </c>
      <c r="U9786">
        <v>0.85357669999999997</v>
      </c>
      <c r="V9786">
        <v>-0.105669</v>
      </c>
      <c r="W9786">
        <v>3.5089269999999999E-2</v>
      </c>
      <c r="X9786">
        <v>0.9937821</v>
      </c>
      <c r="Y9786">
        <v>-0.26651799999999998</v>
      </c>
      <c r="Z9786">
        <v>1.075186E-2</v>
      </c>
      <c r="AA9786">
        <v>0.96377000000000002</v>
      </c>
      <c r="AB9786">
        <v>31</v>
      </c>
      <c r="AC9786">
        <v>11.9901999999999</v>
      </c>
      <c r="AD9786">
        <v>-1.1099575070899901</v>
      </c>
      <c r="AE9786">
        <v>3.5388700000000002</v>
      </c>
      <c r="AF9786">
        <v>-3.3566460612227198</v>
      </c>
      <c r="AG9786">
        <v>-1.1099575070899901</v>
      </c>
      <c r="AH9786">
        <v>11.9409482401435</v>
      </c>
      <c r="AI9786">
        <v>95.113524336391805</v>
      </c>
      <c r="AJ9786">
        <v>105.700875526486</v>
      </c>
      <c r="AK9786">
        <v>12.453325793604501</v>
      </c>
      <c r="AL9786">
        <v>87.989120184190796</v>
      </c>
      <c r="AM9786">
        <v>96.069463414036207</v>
      </c>
      <c r="AN9786">
        <v>1.0000000283552699</v>
      </c>
    </row>
    <row r="9787" spans="1:40" x14ac:dyDescent="0.25">
      <c r="A9787" t="str">
        <f>"20190312150913916"</f>
        <v>20190312150913916</v>
      </c>
      <c r="B9787" t="str">
        <f>"1552374553909657"</f>
        <v>1552374553909657</v>
      </c>
      <c r="C9787" t="s">
        <v>40</v>
      </c>
      <c r="D9787">
        <v>4.6323179999999997</v>
      </c>
      <c r="E9787">
        <v>0.47737279999999999</v>
      </c>
      <c r="F9787" t="s">
        <v>90</v>
      </c>
      <c r="G9787">
        <v>-214.6987</v>
      </c>
      <c r="H9787" s="1">
        <v>-1.3551430000000001E-6</v>
      </c>
      <c r="I9787">
        <v>-58.295670000000001</v>
      </c>
      <c r="J9787">
        <v>-231.6019</v>
      </c>
      <c r="K9787">
        <v>1.1099840000000001</v>
      </c>
      <c r="L9787">
        <v>-61.965389999999999</v>
      </c>
      <c r="M9787">
        <v>0.99985429999999997</v>
      </c>
      <c r="N9787">
        <v>0</v>
      </c>
      <c r="O9787">
        <v>1.296016E-2</v>
      </c>
      <c r="P9787">
        <v>0.992587</v>
      </c>
      <c r="Q9787">
        <v>2.4206289999999998E-2</v>
      </c>
      <c r="R9787">
        <v>0.1191021</v>
      </c>
      <c r="S9787">
        <v>2.9509889999999999</v>
      </c>
      <c r="T9787">
        <v>-0.1919814</v>
      </c>
      <c r="U9787">
        <v>0.63507080000000005</v>
      </c>
      <c r="V9787">
        <v>-0.1062203</v>
      </c>
      <c r="W9787">
        <v>3.5277969999999999E-2</v>
      </c>
      <c r="X9787">
        <v>0.99371659999999995</v>
      </c>
      <c r="Y9787">
        <v>-0.19732849999999999</v>
      </c>
      <c r="Z9787">
        <v>5.5071449999999997E-3</v>
      </c>
      <c r="AA9787">
        <v>0.98032189999999997</v>
      </c>
      <c r="AB9787">
        <v>31</v>
      </c>
      <c r="AC9787">
        <v>16.903199999999998</v>
      </c>
      <c r="AD9787">
        <v>-1.1099853551429999</v>
      </c>
      <c r="AE9787">
        <v>3.6697199999999999</v>
      </c>
      <c r="AF9787">
        <v>-3.43617960108228</v>
      </c>
      <c r="AG9787">
        <v>-1.1099853551429999</v>
      </c>
      <c r="AH9787">
        <v>16.879830804696599</v>
      </c>
      <c r="AI9787">
        <v>93.6868439374215</v>
      </c>
      <c r="AJ9787">
        <v>101.50632055254199</v>
      </c>
      <c r="AK9787">
        <v>17.261752105006899</v>
      </c>
      <c r="AL9787">
        <v>87.978301683537396</v>
      </c>
      <c r="AM9787">
        <v>96.101290133259994</v>
      </c>
      <c r="AN9787">
        <v>0.99999998420748504</v>
      </c>
    </row>
    <row r="9788" spans="1:40" x14ac:dyDescent="0.25">
      <c r="A9788" t="str">
        <f>"20190312150913928"</f>
        <v>20190312150913928</v>
      </c>
      <c r="B9788" t="str">
        <f>"1552374553919418"</f>
        <v>1552374553919418</v>
      </c>
      <c r="C9788" t="s">
        <v>40</v>
      </c>
      <c r="D9788">
        <v>4.7437459999999998</v>
      </c>
      <c r="E9788">
        <v>0.4852881</v>
      </c>
      <c r="F9788" t="s">
        <v>90</v>
      </c>
      <c r="G9788">
        <v>-212.81030000000001</v>
      </c>
      <c r="H9788" s="1">
        <v>-5.0646909999999997E-7</v>
      </c>
      <c r="I9788">
        <v>-58.512920000000001</v>
      </c>
      <c r="J9788">
        <v>-231.44980000000001</v>
      </c>
      <c r="K9788">
        <v>1.1100129999999999</v>
      </c>
      <c r="L9788">
        <v>-61.963439999999999</v>
      </c>
      <c r="M9788">
        <v>0.99985409999999997</v>
      </c>
      <c r="N9788">
        <v>0</v>
      </c>
      <c r="O9788">
        <v>1.296777E-2</v>
      </c>
      <c r="P9788">
        <v>0.99252220000000002</v>
      </c>
      <c r="Q9788">
        <v>2.4431999999999999E-2</v>
      </c>
      <c r="R9788">
        <v>0.1195944</v>
      </c>
      <c r="S9788">
        <v>2.9613800000000001</v>
      </c>
      <c r="T9788">
        <v>-0.17492279999999999</v>
      </c>
      <c r="U9788">
        <v>0.54406739999999998</v>
      </c>
      <c r="V9788">
        <v>-0.106708399999999</v>
      </c>
      <c r="W9788">
        <v>3.5497670000000002E-2</v>
      </c>
      <c r="X9788">
        <v>0.99365650000000005</v>
      </c>
      <c r="Y9788">
        <v>-0.1676657</v>
      </c>
      <c r="Z9788">
        <v>4.147787E-3</v>
      </c>
      <c r="AA9788">
        <v>0.98583520000000002</v>
      </c>
      <c r="AB9788">
        <v>31</v>
      </c>
      <c r="AC9788">
        <v>18.639500000000002</v>
      </c>
      <c r="AD9788">
        <v>-1.1100135064690999</v>
      </c>
      <c r="AE9788">
        <v>3.4505200000000098</v>
      </c>
      <c r="AF9788">
        <v>-3.1975381057874501</v>
      </c>
      <c r="AG9788">
        <v>-1.1100135064690999</v>
      </c>
      <c r="AH9788">
        <v>18.618838724729301</v>
      </c>
      <c r="AI9788">
        <v>93.362694813306305</v>
      </c>
      <c r="AJ9788">
        <v>99.744728678340195</v>
      </c>
      <c r="AK9788">
        <v>18.923993642463099</v>
      </c>
      <c r="AL9788">
        <v>87.965705950719098</v>
      </c>
      <c r="AM9788">
        <v>96.129481554202499</v>
      </c>
      <c r="AN9788">
        <v>1.0000000035991099</v>
      </c>
    </row>
    <row r="9789" spans="1:40" x14ac:dyDescent="0.25">
      <c r="A9789" t="str">
        <f>"20190312150913938"</f>
        <v>20190312150913938</v>
      </c>
      <c r="B9789" t="str">
        <f>"1552374553929177"</f>
        <v>1552374553929177</v>
      </c>
      <c r="C9789" t="s">
        <v>40</v>
      </c>
      <c r="D9789">
        <v>4.680472</v>
      </c>
      <c r="E9789">
        <v>0.48765120000000001</v>
      </c>
      <c r="F9789" t="s">
        <v>90</v>
      </c>
      <c r="G9789">
        <v>-211.79740000000001</v>
      </c>
      <c r="H9789" s="1">
        <v>-2.6653200000000001E-8</v>
      </c>
      <c r="I9789">
        <v>-58.768239999999999</v>
      </c>
      <c r="J9789">
        <v>-231.291</v>
      </c>
      <c r="K9789">
        <v>1.11005</v>
      </c>
      <c r="L9789">
        <v>-61.961329999999997</v>
      </c>
      <c r="M9789">
        <v>0.99985360000000001</v>
      </c>
      <c r="N9789">
        <v>0</v>
      </c>
      <c r="O9789">
        <v>1.3005900000000001E-2</v>
      </c>
      <c r="P9789">
        <v>0.99249330000000002</v>
      </c>
      <c r="Q9789">
        <v>2.464388E-2</v>
      </c>
      <c r="R9789">
        <v>0.1197917</v>
      </c>
      <c r="S9789">
        <v>2.9685519999999999</v>
      </c>
      <c r="T9789">
        <v>-0.1676704</v>
      </c>
      <c r="U9789">
        <v>0.4826355</v>
      </c>
      <c r="V9789">
        <v>-0.1068711</v>
      </c>
      <c r="W9789">
        <v>3.5702579999999998E-2</v>
      </c>
      <c r="X9789">
        <v>0.99363170000000001</v>
      </c>
      <c r="Y9789">
        <v>-0.1474154</v>
      </c>
      <c r="Z9789">
        <v>3.4037120000000001E-3</v>
      </c>
      <c r="AA9789">
        <v>0.98906879999999997</v>
      </c>
      <c r="AB9789">
        <v>31</v>
      </c>
      <c r="AC9789">
        <v>19.493599999999901</v>
      </c>
      <c r="AD9789">
        <v>-1.1100500266531901</v>
      </c>
      <c r="AE9789">
        <v>3.19308999999999</v>
      </c>
      <c r="AF9789">
        <v>-2.93001962282912</v>
      </c>
      <c r="AG9789">
        <v>-1.1100500266531901</v>
      </c>
      <c r="AH9789">
        <v>19.4719914834176</v>
      </c>
      <c r="AI9789">
        <v>93.226513770281201</v>
      </c>
      <c r="AJ9789">
        <v>98.557298959095704</v>
      </c>
      <c r="AK9789">
        <v>19.722466336189399</v>
      </c>
      <c r="AL9789">
        <v>87.953958081276795</v>
      </c>
      <c r="AM9789">
        <v>96.138908015632097</v>
      </c>
      <c r="AN9789">
        <v>1.0000000307393699</v>
      </c>
    </row>
    <row r="9790" spans="1:40" x14ac:dyDescent="0.25">
      <c r="A9790" t="str">
        <f>"20190312150913949"</f>
        <v>20190312150913949</v>
      </c>
      <c r="B9790" t="str">
        <f>"1552374553938938"</f>
        <v>1552374553938938</v>
      </c>
      <c r="C9790" t="s">
        <v>40</v>
      </c>
      <c r="D9790">
        <v>4.6467409999999996</v>
      </c>
      <c r="E9790">
        <v>0.489815</v>
      </c>
      <c r="F9790" t="s">
        <v>90</v>
      </c>
      <c r="G9790">
        <v>-211.99959999999999</v>
      </c>
      <c r="H9790" s="1">
        <v>-8.2251060000000006E-8</v>
      </c>
      <c r="I9790">
        <v>-58.943750000000001</v>
      </c>
      <c r="J9790">
        <v>-231.14160000000001</v>
      </c>
      <c r="K9790">
        <v>1.110087</v>
      </c>
      <c r="L9790">
        <v>-61.959350000000001</v>
      </c>
      <c r="M9790">
        <v>0.99985270000000004</v>
      </c>
      <c r="N9790">
        <v>0</v>
      </c>
      <c r="O9790">
        <v>1.306802E-2</v>
      </c>
      <c r="P9790">
        <v>0.99246319999999999</v>
      </c>
      <c r="Q9790">
        <v>2.4805270000000001E-2</v>
      </c>
      <c r="R9790">
        <v>0.12000619999999999</v>
      </c>
      <c r="S9790">
        <v>2.9708399999999999</v>
      </c>
      <c r="T9790">
        <v>-0.1709447</v>
      </c>
      <c r="U9790">
        <v>0.46469120000000003</v>
      </c>
      <c r="V9790">
        <v>-0.10702739999999999</v>
      </c>
      <c r="W9790">
        <v>3.5856489999999998E-2</v>
      </c>
      <c r="X9790">
        <v>0.99360930000000003</v>
      </c>
      <c r="Y9790">
        <v>-0.14140620000000001</v>
      </c>
      <c r="Z9790">
        <v>3.2938160000000002E-3</v>
      </c>
      <c r="AA9790">
        <v>0.9899462</v>
      </c>
      <c r="AB9790">
        <v>31</v>
      </c>
      <c r="AC9790">
        <v>19.141999999999999</v>
      </c>
      <c r="AD9790">
        <v>-1.11008708225106</v>
      </c>
      <c r="AE9790">
        <v>3.0155999999999898</v>
      </c>
      <c r="AF9790">
        <v>-2.7561342655583898</v>
      </c>
      <c r="AG9790">
        <v>-1.11008708225106</v>
      </c>
      <c r="AH9790">
        <v>19.117040137492801</v>
      </c>
      <c r="AI9790">
        <v>93.289381805312004</v>
      </c>
      <c r="AJ9790">
        <v>98.203895328281803</v>
      </c>
      <c r="AK9790">
        <v>19.346570575646599</v>
      </c>
      <c r="AL9790">
        <v>87.945133968037993</v>
      </c>
      <c r="AM9790">
        <v>96.1479550584734</v>
      </c>
      <c r="AN9790">
        <v>0.999999996636185</v>
      </c>
    </row>
    <row r="9791" spans="1:40" x14ac:dyDescent="0.25">
      <c r="A9791" t="str">
        <f>"20190312150913960"</f>
        <v>20190312150913960</v>
      </c>
      <c r="B9791" t="str">
        <f>"1552374553948698"</f>
        <v>1552374553948698</v>
      </c>
      <c r="C9791" t="s">
        <v>40</v>
      </c>
      <c r="D9791">
        <v>4.6683649999999997</v>
      </c>
      <c r="E9791">
        <v>0.49126989999999998</v>
      </c>
      <c r="F9791" t="s">
        <v>90</v>
      </c>
      <c r="G9791">
        <v>-212.38249999999999</v>
      </c>
      <c r="H9791" s="1">
        <v>-2.136254E-7</v>
      </c>
      <c r="I9791">
        <v>-59.129179999999998</v>
      </c>
      <c r="J9791">
        <v>-230.98660000000001</v>
      </c>
      <c r="K9791">
        <v>1.1101209999999999</v>
      </c>
      <c r="L9791">
        <v>-61.957239999999999</v>
      </c>
      <c r="M9791">
        <v>0.99985159999999995</v>
      </c>
      <c r="N9791">
        <v>0</v>
      </c>
      <c r="O9791">
        <v>1.315815E-2</v>
      </c>
      <c r="P9791">
        <v>0.99243590000000004</v>
      </c>
      <c r="Q9791">
        <v>2.4938020000000002E-2</v>
      </c>
      <c r="R9791">
        <v>0.1202044</v>
      </c>
      <c r="S9791">
        <v>2.9729610000000002</v>
      </c>
      <c r="T9791">
        <v>-0.17592720000000001</v>
      </c>
      <c r="U9791">
        <v>0.44851679999999999</v>
      </c>
      <c r="V9791">
        <v>-0.1071401</v>
      </c>
      <c r="W9791">
        <v>3.5979919999999999E-2</v>
      </c>
      <c r="X9791">
        <v>0.9935927</v>
      </c>
      <c r="Y9791">
        <v>-0.1359427</v>
      </c>
      <c r="Z9791">
        <v>3.2227499999999999E-3</v>
      </c>
      <c r="AA9791">
        <v>0.99071149999999997</v>
      </c>
      <c r="AB9791">
        <v>31</v>
      </c>
      <c r="AC9791">
        <v>18.604099999999999</v>
      </c>
      <c r="AD9791">
        <v>-1.1101212136253999</v>
      </c>
      <c r="AE9791">
        <v>2.8280599999999998</v>
      </c>
      <c r="AF9791">
        <v>-2.57404631359636</v>
      </c>
      <c r="AG9791">
        <v>-1.1101212136253999</v>
      </c>
      <c r="AH9791">
        <v>18.575058941890401</v>
      </c>
      <c r="AI9791">
        <v>93.387863504626694</v>
      </c>
      <c r="AJ9791">
        <v>97.889540559109307</v>
      </c>
      <c r="AK9791">
        <v>18.785390552985099</v>
      </c>
      <c r="AL9791">
        <v>87.938057400050099</v>
      </c>
      <c r="AM9791">
        <v>96.154481240973894</v>
      </c>
      <c r="AN9791">
        <v>1.0000000045822499</v>
      </c>
    </row>
    <row r="9792" spans="1:40" x14ac:dyDescent="0.25">
      <c r="A9792" t="str">
        <f>"20190312150913973"</f>
        <v>20190312150913973</v>
      </c>
      <c r="B9792" t="str">
        <f>"1552374553969193"</f>
        <v>1552374553969193</v>
      </c>
      <c r="C9792" t="s">
        <v>40</v>
      </c>
      <c r="D9792">
        <v>4.6073729999999999</v>
      </c>
      <c r="E9792">
        <v>0.49441180000000001</v>
      </c>
      <c r="F9792" t="s">
        <v>90</v>
      </c>
      <c r="G9792">
        <v>-212.70509999999999</v>
      </c>
      <c r="H9792" s="1">
        <v>-3.2775639999999998E-7</v>
      </c>
      <c r="I9792">
        <v>-59.266120000000001</v>
      </c>
      <c r="J9792">
        <v>-230.82929999999999</v>
      </c>
      <c r="K9792">
        <v>1.110171</v>
      </c>
      <c r="L9792">
        <v>-61.955080000000002</v>
      </c>
      <c r="M9792">
        <v>0.99984969999999995</v>
      </c>
      <c r="N9792">
        <v>0</v>
      </c>
      <c r="O9792">
        <v>1.32963E-2</v>
      </c>
      <c r="P9792">
        <v>0.99235850000000003</v>
      </c>
      <c r="Q9792">
        <v>2.4916850000000001E-2</v>
      </c>
      <c r="R9792">
        <v>0.1208461</v>
      </c>
      <c r="S9792">
        <v>2.974396</v>
      </c>
      <c r="T9792">
        <v>-0.18061630000000001</v>
      </c>
      <c r="U9792">
        <v>0.43783569999999999</v>
      </c>
      <c r="V9792">
        <v>-0.10765</v>
      </c>
      <c r="W9792">
        <v>3.5947510000000002E-2</v>
      </c>
      <c r="X9792">
        <v>0.9935387</v>
      </c>
      <c r="Y9792">
        <v>-0.13224959999999999</v>
      </c>
      <c r="Z9792">
        <v>3.1880239999999998E-3</v>
      </c>
      <c r="AA9792">
        <v>0.99121130000000002</v>
      </c>
      <c r="AB9792">
        <v>31</v>
      </c>
      <c r="AC9792">
        <v>18.124199999999998</v>
      </c>
      <c r="AD9792">
        <v>-1.1101713277564</v>
      </c>
      <c r="AE9792">
        <v>2.6889599999999998</v>
      </c>
      <c r="AF9792">
        <v>-2.43876937173544</v>
      </c>
      <c r="AG9792">
        <v>-1.1101713277564</v>
      </c>
      <c r="AH9792">
        <v>18.091934185626201</v>
      </c>
      <c r="AI9792">
        <v>93.4800287507354</v>
      </c>
      <c r="AJ9792">
        <v>97.677120772654504</v>
      </c>
      <c r="AK9792">
        <v>18.289290828310399</v>
      </c>
      <c r="AL9792">
        <v>87.939915440013806</v>
      </c>
      <c r="AM9792">
        <v>96.183878682436998</v>
      </c>
      <c r="AN9792">
        <v>0.99999994718644303</v>
      </c>
    </row>
    <row r="9793" spans="1:40" x14ac:dyDescent="0.25">
      <c r="A9793" t="str">
        <f>"20190312150913985"</f>
        <v>20190312150913985</v>
      </c>
      <c r="B9793" t="str">
        <f>"1552374553978953"</f>
        <v>1552374553978953</v>
      </c>
      <c r="C9793" t="s">
        <v>40</v>
      </c>
      <c r="D9793">
        <v>4.5852740000000001</v>
      </c>
      <c r="E9793">
        <v>0.4956566</v>
      </c>
      <c r="F9793" t="s">
        <v>90</v>
      </c>
      <c r="G9793">
        <v>-211.62970000000001</v>
      </c>
      <c r="H9793" s="1">
        <v>1.362201E-7</v>
      </c>
      <c r="I9793">
        <v>-59.281019999999998</v>
      </c>
      <c r="J9793">
        <v>-230.65549999999999</v>
      </c>
      <c r="K9793">
        <v>1.1102299999999901</v>
      </c>
      <c r="L9793">
        <v>-61.95261</v>
      </c>
      <c r="M9793">
        <v>0.99984729999999999</v>
      </c>
      <c r="N9793">
        <v>0</v>
      </c>
      <c r="O9793">
        <v>1.347336E-2</v>
      </c>
      <c r="P9793">
        <v>0.99228930000000004</v>
      </c>
      <c r="Q9793">
        <v>2.4973929999999998E-2</v>
      </c>
      <c r="R9793">
        <v>0.1214032</v>
      </c>
      <c r="S9793">
        <v>2.976944</v>
      </c>
      <c r="T9793">
        <v>-0.17213539999999999</v>
      </c>
      <c r="U9793">
        <v>0.41461179999999997</v>
      </c>
      <c r="V9793">
        <v>-0.10803690000000001</v>
      </c>
      <c r="W9793">
        <v>3.5991820000000001E-2</v>
      </c>
      <c r="X9793">
        <v>0.99349520000000002</v>
      </c>
      <c r="Y9793">
        <v>-0.12440329999999999</v>
      </c>
      <c r="Z9793">
        <v>2.8019199999999998E-3</v>
      </c>
      <c r="AA9793">
        <v>0.99222779999999999</v>
      </c>
      <c r="AB9793">
        <v>31</v>
      </c>
      <c r="AC9793">
        <v>19.025799999999901</v>
      </c>
      <c r="AD9793">
        <v>-1.11022986377989</v>
      </c>
      <c r="AE9793">
        <v>2.6715900000000001</v>
      </c>
      <c r="AF9793">
        <v>-2.40695252082996</v>
      </c>
      <c r="AG9793">
        <v>-1.11022986377989</v>
      </c>
      <c r="AH9793">
        <v>18.996634206522501</v>
      </c>
      <c r="AI9793">
        <v>93.318291615391701</v>
      </c>
      <c r="AJ9793">
        <v>97.221134926644297</v>
      </c>
      <c r="AK9793">
        <v>19.180671050940301</v>
      </c>
      <c r="AL9793">
        <v>87.937375227237595</v>
      </c>
      <c r="AM9793">
        <v>96.206200371241096</v>
      </c>
      <c r="AN9793">
        <v>1.00000004764578</v>
      </c>
    </row>
    <row r="9794" spans="1:40" x14ac:dyDescent="0.25">
      <c r="A9794" t="str">
        <f>"20190312150913995"</f>
        <v>20190312150913995</v>
      </c>
      <c r="B9794" t="str">
        <f>"1552374553989690"</f>
        <v>1552374553989690</v>
      </c>
      <c r="C9794" t="s">
        <v>40</v>
      </c>
      <c r="D9794">
        <v>4.584111</v>
      </c>
      <c r="E9794">
        <v>0.49655680000000002</v>
      </c>
      <c r="F9794" t="s">
        <v>90</v>
      </c>
      <c r="G9794">
        <v>-210.9905</v>
      </c>
      <c r="H9794" s="1">
        <v>3.9375910000000002E-7</v>
      </c>
      <c r="I9794">
        <v>-59.269759999999998</v>
      </c>
      <c r="J9794">
        <v>-230.51050000000001</v>
      </c>
      <c r="K9794">
        <v>1.1102890000000001</v>
      </c>
      <c r="L9794">
        <v>-61.950470000000003</v>
      </c>
      <c r="M9794">
        <v>0.99984439999999997</v>
      </c>
      <c r="N9794">
        <v>0</v>
      </c>
      <c r="O9794">
        <v>1.368639E-2</v>
      </c>
      <c r="P9794">
        <v>0.99219840000000004</v>
      </c>
      <c r="Q9794">
        <v>2.5004180000000001E-2</v>
      </c>
      <c r="R9794">
        <v>0.12213549999999999</v>
      </c>
      <c r="S9794">
        <v>2.9778440000000002</v>
      </c>
      <c r="T9794">
        <v>-0.16812009999999999</v>
      </c>
      <c r="U9794">
        <v>0.40625</v>
      </c>
      <c r="V9794">
        <v>-0.1085636</v>
      </c>
      <c r="W9794">
        <v>3.6008510000000001E-2</v>
      </c>
      <c r="X9794">
        <v>0.99343709999999996</v>
      </c>
      <c r="Y9794">
        <v>-0.1214295</v>
      </c>
      <c r="Z9794">
        <v>2.6409139999999998E-3</v>
      </c>
      <c r="AA9794">
        <v>0.99259660000000005</v>
      </c>
      <c r="AB9794">
        <v>31</v>
      </c>
      <c r="AC9794">
        <v>19.52</v>
      </c>
      <c r="AD9794">
        <v>-1.1102886062409001</v>
      </c>
      <c r="AE9794">
        <v>2.6807099999999902</v>
      </c>
      <c r="AF9794">
        <v>-2.40564513444984</v>
      </c>
      <c r="AG9794">
        <v>-1.1102886062409001</v>
      </c>
      <c r="AH9794">
        <v>19.492965136276801</v>
      </c>
      <c r="AI9794">
        <v>93.235462439855198</v>
      </c>
      <c r="AJ9794">
        <v>97.035353121499597</v>
      </c>
      <c r="AK9794">
        <v>19.672202700921801</v>
      </c>
      <c r="AL9794">
        <v>87.936418179839904</v>
      </c>
      <c r="AM9794">
        <v>96.236580775141704</v>
      </c>
      <c r="AN9794">
        <v>0.99999996984689399</v>
      </c>
    </row>
    <row r="9795" spans="1:40" x14ac:dyDescent="0.25">
      <c r="A9795" t="str">
        <f>"20190312150914006"</f>
        <v>20190312150914006</v>
      </c>
      <c r="B9795" t="str">
        <f>"1552374553999449"</f>
        <v>1552374553999449</v>
      </c>
      <c r="C9795" t="s">
        <v>40</v>
      </c>
      <c r="D9795">
        <v>4.583774</v>
      </c>
      <c r="E9795">
        <v>0.49724580000000002</v>
      </c>
      <c r="F9795" t="s">
        <v>90</v>
      </c>
      <c r="G9795">
        <v>-210.5771</v>
      </c>
      <c r="H9795" s="1">
        <v>5.3312989999999996E-7</v>
      </c>
      <c r="I9795">
        <v>-59.264800000000001</v>
      </c>
      <c r="J9795">
        <v>-230.35939999999999</v>
      </c>
      <c r="K9795">
        <v>1.110349</v>
      </c>
      <c r="L9795">
        <v>-61.948210000000003</v>
      </c>
      <c r="M9795">
        <v>0.99984099999999998</v>
      </c>
      <c r="N9795">
        <v>0</v>
      </c>
      <c r="O9795">
        <v>1.391972E-2</v>
      </c>
      <c r="P9795">
        <v>0.99213030000000002</v>
      </c>
      <c r="Q9795">
        <v>2.5151130000000001E-2</v>
      </c>
      <c r="R9795">
        <v>0.1226579</v>
      </c>
      <c r="S9795">
        <v>2.9783940000000002</v>
      </c>
      <c r="T9795">
        <v>-0.16589590000000001</v>
      </c>
      <c r="U9795">
        <v>0.40127560000000001</v>
      </c>
      <c r="V9795">
        <v>-0.1088606</v>
      </c>
      <c r="W9795">
        <v>3.6141939999999997E-2</v>
      </c>
      <c r="X9795">
        <v>0.99339980000000006</v>
      </c>
      <c r="Y9795">
        <v>-0.1195529</v>
      </c>
      <c r="Z9795">
        <v>2.5409299999999998E-3</v>
      </c>
      <c r="AA9795">
        <v>0.99282459999999995</v>
      </c>
      <c r="AB9795">
        <v>31</v>
      </c>
      <c r="AC9795">
        <v>19.7822999999999</v>
      </c>
      <c r="AD9795">
        <v>-1.1103484668701</v>
      </c>
      <c r="AE9795">
        <v>2.6834099999999901</v>
      </c>
      <c r="AF9795">
        <v>-2.4003434054093602</v>
      </c>
      <c r="AG9795">
        <v>-1.1103484668701</v>
      </c>
      <c r="AH9795">
        <v>19.7566211989644</v>
      </c>
      <c r="AI9795">
        <v>93.193282471555506</v>
      </c>
      <c r="AJ9795">
        <v>96.927235988975895</v>
      </c>
      <c r="AK9795">
        <v>19.9328523644044</v>
      </c>
      <c r="AL9795">
        <v>87.928768320572601</v>
      </c>
      <c r="AM9795">
        <v>96.253740288937095</v>
      </c>
      <c r="AN9795">
        <v>1.0000000163496801</v>
      </c>
    </row>
    <row r="9796" spans="1:40" x14ac:dyDescent="0.25">
      <c r="A9796" t="str">
        <f>"20190312150914017"</f>
        <v>20190312150914017</v>
      </c>
      <c r="B9796" t="str">
        <f>"1552374554009210"</f>
        <v>1552374554009210</v>
      </c>
      <c r="C9796" t="s">
        <v>40</v>
      </c>
      <c r="D9796">
        <v>4.5371649999999999</v>
      </c>
      <c r="E9796">
        <v>0.49757299999999899</v>
      </c>
      <c r="F9796" t="s">
        <v>73</v>
      </c>
      <c r="G9796">
        <v>-209.6773</v>
      </c>
      <c r="H9796" s="1">
        <v>-4.9399500000000002E-7</v>
      </c>
      <c r="I9796">
        <v>-59.191110000000002</v>
      </c>
      <c r="J9796">
        <v>-230.20150000000001</v>
      </c>
      <c r="K9796">
        <v>1.1104149999999999</v>
      </c>
      <c r="L9796">
        <v>-61.945740000000001</v>
      </c>
      <c r="M9796">
        <v>0.99983690000000003</v>
      </c>
      <c r="N9796">
        <v>0</v>
      </c>
      <c r="O9796">
        <v>1.422266E-2</v>
      </c>
      <c r="P9796">
        <v>0.9920158</v>
      </c>
      <c r="Q9796">
        <v>2.5101189999999999E-2</v>
      </c>
      <c r="R9796">
        <v>0.1235907</v>
      </c>
      <c r="S9796">
        <v>2.9787599999999999</v>
      </c>
      <c r="T9796">
        <v>-0.15991920000000001</v>
      </c>
      <c r="U9796">
        <v>0.39709470000000002</v>
      </c>
      <c r="V9796">
        <v>-0.1094994</v>
      </c>
      <c r="W9796">
        <v>3.6075700000000002E-2</v>
      </c>
      <c r="X9796">
        <v>0.99333199999999999</v>
      </c>
      <c r="Y9796">
        <v>-0.117881</v>
      </c>
      <c r="Z9796">
        <v>2.388626E-3</v>
      </c>
      <c r="AA9796">
        <v>0.99302489999999999</v>
      </c>
      <c r="AB9796">
        <v>31</v>
      </c>
      <c r="AC9796">
        <v>20.5242</v>
      </c>
      <c r="AD9796">
        <v>-1.1104154939949999</v>
      </c>
      <c r="AE9796">
        <v>2.7546300000000001</v>
      </c>
      <c r="AF9796">
        <v>-2.4553645992369302</v>
      </c>
      <c r="AG9796">
        <v>-1.1104154939949999</v>
      </c>
      <c r="AH9796">
        <v>20.502353693414602</v>
      </c>
      <c r="AI9796">
        <v>93.078179896654603</v>
      </c>
      <c r="AJ9796">
        <v>96.829224740548099</v>
      </c>
      <c r="AK9796">
        <v>20.678693016106202</v>
      </c>
      <c r="AL9796">
        <v>87.932566073996199</v>
      </c>
      <c r="AM9796">
        <v>96.290570169544694</v>
      </c>
      <c r="AN9796">
        <v>1.00000001847742</v>
      </c>
    </row>
    <row r="9797" spans="1:40" x14ac:dyDescent="0.25">
      <c r="A9797" t="str">
        <f>"20190312150914028"</f>
        <v>20190312150914028</v>
      </c>
      <c r="B9797" t="str">
        <f>"1552374554018970"</f>
        <v>1552374554018970</v>
      </c>
      <c r="C9797" t="s">
        <v>40</v>
      </c>
      <c r="D9797">
        <v>4.7877660000000004</v>
      </c>
      <c r="E9797">
        <v>0.49816670000000002</v>
      </c>
      <c r="F9797" t="s">
        <v>73</v>
      </c>
      <c r="G9797">
        <v>-208.8879</v>
      </c>
      <c r="H9797" s="1">
        <v>-1.0190670000000001E-6</v>
      </c>
      <c r="I9797">
        <v>-59.103610000000003</v>
      </c>
      <c r="J9797">
        <v>-230.04920000000001</v>
      </c>
      <c r="K9797">
        <v>1.1104830000000001</v>
      </c>
      <c r="L9797">
        <v>-61.943240000000003</v>
      </c>
      <c r="M9797">
        <v>0.99983219999999995</v>
      </c>
      <c r="N9797">
        <v>0</v>
      </c>
      <c r="O9797">
        <v>1.454227E-2</v>
      </c>
      <c r="P9797">
        <v>0.99195</v>
      </c>
      <c r="Q9797">
        <v>2.507916E-2</v>
      </c>
      <c r="R9797">
        <v>0.1241217</v>
      </c>
      <c r="S9797">
        <v>2.978577</v>
      </c>
      <c r="T9797">
        <v>-0.1551807</v>
      </c>
      <c r="U9797">
        <v>0.39718629999999999</v>
      </c>
      <c r="V9797">
        <v>-0.10971930000000001</v>
      </c>
      <c r="W9797">
        <v>3.6039000000000002E-2</v>
      </c>
      <c r="X9797">
        <v>0.99330909999999994</v>
      </c>
      <c r="Y9797">
        <v>-0.1176109</v>
      </c>
      <c r="Z9797">
        <v>2.2945230000000001E-3</v>
      </c>
      <c r="AA9797">
        <v>0.99305710000000003</v>
      </c>
      <c r="AB9797">
        <v>31</v>
      </c>
      <c r="AC9797">
        <v>21.161300000000001</v>
      </c>
      <c r="AD9797">
        <v>-1.11048401906699</v>
      </c>
      <c r="AE9797">
        <v>2.8396300000000001</v>
      </c>
      <c r="AF9797">
        <v>-2.5247474668072201</v>
      </c>
      <c r="AG9797">
        <v>-1.11048401906699</v>
      </c>
      <c r="AH9797">
        <v>21.143164112468899</v>
      </c>
      <c r="AI9797">
        <v>92.985363470618296</v>
      </c>
      <c r="AJ9797">
        <v>96.809559312327195</v>
      </c>
      <c r="AK9797">
        <v>21.322310222266001</v>
      </c>
      <c r="AL9797">
        <v>87.934670265000307</v>
      </c>
      <c r="AM9797">
        <v>96.303245649319507</v>
      </c>
      <c r="AN9797">
        <v>1.00000005122814</v>
      </c>
    </row>
    <row r="9798" spans="1:40" x14ac:dyDescent="0.25">
      <c r="A9798" t="str">
        <f>"20190312150914038"</f>
        <v>20190312150914038</v>
      </c>
      <c r="B9798" t="str">
        <f>"1552374554028730"</f>
        <v>1552374554028730</v>
      </c>
      <c r="C9798" t="s">
        <v>40</v>
      </c>
      <c r="D9798">
        <v>4.608047</v>
      </c>
      <c r="E9798">
        <v>0.49864229999999998</v>
      </c>
      <c r="F9798" t="s">
        <v>73</v>
      </c>
      <c r="G9798">
        <v>-208.22890000000001</v>
      </c>
      <c r="H9798" s="1">
        <v>-1.450279E-6</v>
      </c>
      <c r="I9798">
        <v>-59.05733</v>
      </c>
      <c r="J9798">
        <v>-229.898</v>
      </c>
      <c r="K9798">
        <v>1.1105480000000001</v>
      </c>
      <c r="L9798">
        <v>-61.9407</v>
      </c>
      <c r="M9798">
        <v>0.99982680000000002</v>
      </c>
      <c r="N9798">
        <v>0</v>
      </c>
      <c r="O9798">
        <v>1.490347E-2</v>
      </c>
      <c r="P9798">
        <v>0.99183060000000001</v>
      </c>
      <c r="Q9798">
        <v>2.4898529999999999E-2</v>
      </c>
      <c r="R9798">
        <v>0.12511</v>
      </c>
      <c r="S9798">
        <v>2.9788969999999999</v>
      </c>
      <c r="T9798">
        <v>-0.1516024</v>
      </c>
      <c r="U9798">
        <v>0.3939819</v>
      </c>
      <c r="V9798">
        <v>-0.1103561</v>
      </c>
      <c r="W9798">
        <v>3.584267E-2</v>
      </c>
      <c r="X9798">
        <v>0.99324559999999995</v>
      </c>
      <c r="Y9798">
        <v>-0.1161968</v>
      </c>
      <c r="Z9798">
        <v>2.187516E-3</v>
      </c>
      <c r="AA9798">
        <v>0.99322379999999999</v>
      </c>
      <c r="AB9798">
        <v>31</v>
      </c>
      <c r="AC9798">
        <v>21.669099999999901</v>
      </c>
      <c r="AD9798">
        <v>-1.1105494502790001</v>
      </c>
      <c r="AE9798">
        <v>2.88336999999999</v>
      </c>
      <c r="AF9798">
        <v>-2.5534945544638799</v>
      </c>
      <c r="AG9798">
        <v>-1.1105494502790001</v>
      </c>
      <c r="AH9798">
        <v>21.653781638523899</v>
      </c>
      <c r="AI9798">
        <v>92.9157668888693</v>
      </c>
      <c r="AJ9798">
        <v>96.725471607035104</v>
      </c>
      <c r="AK9798">
        <v>21.832084503548199</v>
      </c>
      <c r="AL9798">
        <v>87.945926299324299</v>
      </c>
      <c r="AM9798">
        <v>96.339934060834494</v>
      </c>
      <c r="AN9798">
        <v>0.99999999385964899</v>
      </c>
    </row>
    <row r="9799" spans="1:40" x14ac:dyDescent="0.25">
      <c r="A9799" t="str">
        <f>"20190312150914051"</f>
        <v>20190312150914051</v>
      </c>
      <c r="B9799" t="str">
        <f>"1552374554039466"</f>
        <v>1552374554039466</v>
      </c>
      <c r="C9799" t="s">
        <v>40</v>
      </c>
      <c r="D9799">
        <v>4.5939300000000003</v>
      </c>
      <c r="E9799">
        <v>0.49900109999999998</v>
      </c>
      <c r="F9799" t="s">
        <v>73</v>
      </c>
      <c r="G9799">
        <v>-208.21549999999999</v>
      </c>
      <c r="H9799" s="1">
        <v>-1.4530549999999999E-6</v>
      </c>
      <c r="I9799">
        <v>-59.078850000000003</v>
      </c>
      <c r="J9799">
        <v>-229.74340000000001</v>
      </c>
      <c r="K9799">
        <v>1.110614</v>
      </c>
      <c r="L9799">
        <v>-61.938020000000002</v>
      </c>
      <c r="M9799">
        <v>0.99982059999999995</v>
      </c>
      <c r="N9799">
        <v>0</v>
      </c>
      <c r="O9799">
        <v>1.531618E-2</v>
      </c>
      <c r="P9799">
        <v>0.99170829999999999</v>
      </c>
      <c r="Q9799">
        <v>2.4969069999999999E-2</v>
      </c>
      <c r="R9799">
        <v>0.12606019999999901</v>
      </c>
      <c r="S9799">
        <v>2.978958</v>
      </c>
      <c r="T9799">
        <v>-0.15257789999999999</v>
      </c>
      <c r="U9799">
        <v>0.3931885</v>
      </c>
      <c r="V9799">
        <v>-0.1109034</v>
      </c>
      <c r="W9799">
        <v>3.5896989999999997E-2</v>
      </c>
      <c r="X9799">
        <v>0.99318269999999997</v>
      </c>
      <c r="Y9799">
        <v>-0.1155239</v>
      </c>
      <c r="Z9799">
        <v>2.1633949999999998E-3</v>
      </c>
      <c r="AA9799">
        <v>0.99330229999999997</v>
      </c>
      <c r="AB9799">
        <v>31</v>
      </c>
      <c r="AC9799">
        <v>21.527899999999999</v>
      </c>
      <c r="AD9799">
        <v>-1.1106154530550001</v>
      </c>
      <c r="AE9799">
        <v>2.85916999999999</v>
      </c>
      <c r="AF9799">
        <v>-2.5224917065463299</v>
      </c>
      <c r="AG9799">
        <v>-1.1106154530550001</v>
      </c>
      <c r="AH9799">
        <v>21.5129049162176</v>
      </c>
      <c r="AI9799">
        <v>92.935228881248804</v>
      </c>
      <c r="AJ9799">
        <v>96.687668749170101</v>
      </c>
      <c r="AK9799">
        <v>21.6887415270776</v>
      </c>
      <c r="AL9799">
        <v>87.942812035625806</v>
      </c>
      <c r="AM9799">
        <v>96.371518588819697</v>
      </c>
      <c r="AN9799">
        <v>1.00000001680095</v>
      </c>
    </row>
    <row r="9800" spans="1:40" x14ac:dyDescent="0.25">
      <c r="A9800" t="str">
        <f>"20190312150914061"</f>
        <v>20190312150914061</v>
      </c>
      <c r="B9800" t="str">
        <f>"1552374554058986"</f>
        <v>1552374554058986</v>
      </c>
      <c r="C9800" t="s">
        <v>40</v>
      </c>
      <c r="D9800">
        <v>4.602277</v>
      </c>
      <c r="E9800">
        <v>0.49974190000000002</v>
      </c>
      <c r="F9800" t="s">
        <v>73</v>
      </c>
      <c r="G9800">
        <v>-207.96379999999999</v>
      </c>
      <c r="H9800" s="1">
        <v>-1.6171519999999999E-6</v>
      </c>
      <c r="I9800">
        <v>-59.063339999999997</v>
      </c>
      <c r="J9800">
        <v>-229.58279999999999</v>
      </c>
      <c r="K9800">
        <v>1.1106830000000001</v>
      </c>
      <c r="L9800">
        <v>-61.935119999999998</v>
      </c>
      <c r="M9800">
        <v>0.99981330000000002</v>
      </c>
      <c r="N9800">
        <v>0</v>
      </c>
      <c r="O9800">
        <v>1.5781489999999999E-2</v>
      </c>
      <c r="P9800">
        <v>0.99158109999999999</v>
      </c>
      <c r="Q9800">
        <v>2.4912610000000002E-2</v>
      </c>
      <c r="R9800">
        <v>0.1270686</v>
      </c>
      <c r="S9800">
        <v>2.9789430000000001</v>
      </c>
      <c r="T9800">
        <v>-0.15190629999999999</v>
      </c>
      <c r="U9800">
        <v>0.3931885</v>
      </c>
      <c r="V9800">
        <v>-0.1114578</v>
      </c>
      <c r="W9800">
        <v>3.5823140000000003E-2</v>
      </c>
      <c r="X9800">
        <v>0.99312330000000004</v>
      </c>
      <c r="Y9800">
        <v>-0.1150646</v>
      </c>
      <c r="Z9800">
        <v>2.1186450000000002E-3</v>
      </c>
      <c r="AA9800">
        <v>0.99335580000000001</v>
      </c>
      <c r="AB9800">
        <v>31</v>
      </c>
      <c r="AC9800">
        <v>21.619</v>
      </c>
      <c r="AD9800">
        <v>-1.110684617152</v>
      </c>
      <c r="AE9800">
        <v>2.87177999999999</v>
      </c>
      <c r="AF9800">
        <v>-2.52367550851727</v>
      </c>
      <c r="AG9800">
        <v>-1.110684617152</v>
      </c>
      <c r="AH9800">
        <v>21.605593450858901</v>
      </c>
      <c r="AI9800">
        <v>92.922991243564397</v>
      </c>
      <c r="AJ9800">
        <v>96.6623337895509</v>
      </c>
      <c r="AK9800">
        <v>21.780822453591298</v>
      </c>
      <c r="AL9800">
        <v>87.947046045881194</v>
      </c>
      <c r="AM9800">
        <v>96.403485372397796</v>
      </c>
      <c r="AN9800">
        <v>1.0000000137715901</v>
      </c>
    </row>
    <row r="9801" spans="1:40" x14ac:dyDescent="0.25">
      <c r="A9801" t="str">
        <f>"20190312150914075"</f>
        <v>20190312150914075</v>
      </c>
      <c r="B9801" t="str">
        <f>"1552374554069722"</f>
        <v>1552374554069722</v>
      </c>
      <c r="C9801" t="s">
        <v>40</v>
      </c>
      <c r="D9801">
        <v>4.605855</v>
      </c>
      <c r="E9801">
        <v>0.50004700000000002</v>
      </c>
      <c r="F9801" t="s">
        <v>73</v>
      </c>
      <c r="G9801">
        <v>-207.9083</v>
      </c>
      <c r="H9801" s="1">
        <v>-1.643867E-6</v>
      </c>
      <c r="I9801">
        <v>-59.09554</v>
      </c>
      <c r="J9801">
        <v>-229.39699999999999</v>
      </c>
      <c r="K9801">
        <v>1.1107640000000001</v>
      </c>
      <c r="L9801">
        <v>-61.931579999999997</v>
      </c>
      <c r="M9801">
        <v>0.99980340000000001</v>
      </c>
      <c r="N9801">
        <v>0</v>
      </c>
      <c r="O9801">
        <v>1.6396810000000001E-2</v>
      </c>
      <c r="P9801">
        <v>0.99141939999999995</v>
      </c>
      <c r="Q9801">
        <v>2.4726720000000001E-2</v>
      </c>
      <c r="R9801">
        <v>0.1283598</v>
      </c>
      <c r="S9801">
        <v>2.9793090000000002</v>
      </c>
      <c r="T9801">
        <v>-0.152671</v>
      </c>
      <c r="U9801">
        <v>0.39031979999999999</v>
      </c>
      <c r="V9801">
        <v>-0.1121471</v>
      </c>
      <c r="W9801">
        <v>3.5617269999999999E-2</v>
      </c>
      <c r="X9801">
        <v>0.99305310000000002</v>
      </c>
      <c r="Y9801">
        <v>-0.11349860000000001</v>
      </c>
      <c r="Z9801">
        <v>2.057882E-3</v>
      </c>
      <c r="AA9801">
        <v>0.99353610000000003</v>
      </c>
      <c r="AB9801">
        <v>31</v>
      </c>
      <c r="AC9801">
        <v>21.488700000000001</v>
      </c>
      <c r="AD9801">
        <v>-1.1107656438669999</v>
      </c>
      <c r="AE9801">
        <v>2.8360400000000001</v>
      </c>
      <c r="AF9801">
        <v>-2.4767861572559</v>
      </c>
      <c r="AG9801">
        <v>-1.1107656438669999</v>
      </c>
      <c r="AH9801">
        <v>21.475915973570199</v>
      </c>
      <c r="AI9801">
        <v>92.941321295018895</v>
      </c>
      <c r="AJ9801">
        <v>96.578774288602702</v>
      </c>
      <c r="AK9801">
        <v>21.6467835229213</v>
      </c>
      <c r="AL9801">
        <v>87.958849053906903</v>
      </c>
      <c r="AM9801">
        <v>96.443206750925398</v>
      </c>
      <c r="AN9801">
        <v>1.0000000106901299</v>
      </c>
    </row>
    <row r="9802" spans="1:40" x14ac:dyDescent="0.25">
      <c r="A9802" t="str">
        <f>"20190312150914086"</f>
        <v>20190312150914086</v>
      </c>
      <c r="B9802" t="str">
        <f>"1552374554079481"</f>
        <v>1552374554079481</v>
      </c>
      <c r="C9802" t="s">
        <v>40</v>
      </c>
      <c r="D9802">
        <v>4.5678479999999997</v>
      </c>
      <c r="E9802">
        <v>0.50038959999999999</v>
      </c>
      <c r="F9802" t="s">
        <v>73</v>
      </c>
      <c r="G9802">
        <v>-207.8544</v>
      </c>
      <c r="H9802" s="1">
        <v>-1.677323E-6</v>
      </c>
      <c r="I9802">
        <v>-59.098469999999899</v>
      </c>
      <c r="J9802">
        <v>-229.2516</v>
      </c>
      <c r="K9802">
        <v>1.110827</v>
      </c>
      <c r="L9802">
        <v>-61.928710000000002</v>
      </c>
      <c r="M9802">
        <v>0.99979499999999999</v>
      </c>
      <c r="N9802">
        <v>0</v>
      </c>
      <c r="O9802">
        <v>1.6900519999999999E-2</v>
      </c>
      <c r="P9802">
        <v>0.99130890000000005</v>
      </c>
      <c r="Q9802">
        <v>2.4636890000000002E-2</v>
      </c>
      <c r="R9802">
        <v>0.1292278</v>
      </c>
      <c r="S9802">
        <v>2.9790649999999999</v>
      </c>
      <c r="T9802">
        <v>-0.15360499999999999</v>
      </c>
      <c r="U9802">
        <v>0.39178469999999999</v>
      </c>
      <c r="V9802">
        <v>-0.1125216</v>
      </c>
      <c r="W9802">
        <v>3.551149E-2</v>
      </c>
      <c r="X9802">
        <v>0.99301450000000002</v>
      </c>
      <c r="Y9802">
        <v>-0.1134879</v>
      </c>
      <c r="Z9802">
        <v>2.044457E-3</v>
      </c>
      <c r="AA9802">
        <v>0.99353720000000001</v>
      </c>
      <c r="AB9802">
        <v>31</v>
      </c>
      <c r="AC9802">
        <v>21.397200000000002</v>
      </c>
      <c r="AD9802">
        <v>-1.1108286773230001</v>
      </c>
      <c r="AE9802">
        <v>2.8302399999999999</v>
      </c>
      <c r="AF9802">
        <v>-2.4616689882024101</v>
      </c>
      <c r="AG9802">
        <v>-1.1108286773230001</v>
      </c>
      <c r="AH9802">
        <v>21.385333811369101</v>
      </c>
      <c r="AI9802">
        <v>92.953998425628797</v>
      </c>
      <c r="AJ9802">
        <v>96.5664250917212</v>
      </c>
      <c r="AK9802">
        <v>21.555190947461501</v>
      </c>
      <c r="AL9802">
        <v>87.964913589294298</v>
      </c>
      <c r="AM9802">
        <v>96.464790285312105</v>
      </c>
      <c r="AN9802">
        <v>0.99999998679941504</v>
      </c>
    </row>
    <row r="9803" spans="1:40" x14ac:dyDescent="0.25">
      <c r="A9803" t="str">
        <f>"20190312150914097"</f>
        <v>20190312150914097</v>
      </c>
      <c r="B9803" t="str">
        <f>"1552374554089242"</f>
        <v>1552374554089242</v>
      </c>
      <c r="C9803" t="s">
        <v>40</v>
      </c>
      <c r="D9803">
        <v>4.5947490000000002</v>
      </c>
      <c r="E9803">
        <v>0.50073970000000001</v>
      </c>
      <c r="F9803" t="s">
        <v>73</v>
      </c>
      <c r="G9803">
        <v>-207.3706</v>
      </c>
      <c r="H9803" s="1">
        <v>-1.9970929999999999E-6</v>
      </c>
      <c r="I9803">
        <v>-59.052410000000002</v>
      </c>
      <c r="J9803">
        <v>-229.101</v>
      </c>
      <c r="K9803">
        <v>1.1108929999999999</v>
      </c>
      <c r="L9803">
        <v>-61.925600000000003</v>
      </c>
      <c r="M9803">
        <v>0.99978480000000003</v>
      </c>
      <c r="N9803">
        <v>0</v>
      </c>
      <c r="O9803">
        <v>1.7486539999999998E-2</v>
      </c>
      <c r="P9803">
        <v>0.99115339999999996</v>
      </c>
      <c r="Q9803">
        <v>2.4637119999999998E-2</v>
      </c>
      <c r="R9803">
        <v>0.13041459999999999</v>
      </c>
      <c r="S9803">
        <v>2.979034</v>
      </c>
      <c r="T9803">
        <v>-0.15123629999999999</v>
      </c>
      <c r="U9803">
        <v>0.39160159999999999</v>
      </c>
      <c r="V9803">
        <v>-0.1131339</v>
      </c>
      <c r="W9803">
        <v>3.5495279999999997E-2</v>
      </c>
      <c r="X9803">
        <v>0.99294550000000004</v>
      </c>
      <c r="Y9803">
        <v>-0.1128522</v>
      </c>
      <c r="Z9803">
        <v>1.9673550000000001E-3</v>
      </c>
      <c r="AA9803">
        <v>0.99360979999999999</v>
      </c>
      <c r="AB9803">
        <v>31</v>
      </c>
      <c r="AC9803">
        <v>21.730399999999999</v>
      </c>
      <c r="AD9803">
        <v>-1.110894997093</v>
      </c>
      <c r="AE9803">
        <v>2.8731900000000001</v>
      </c>
      <c r="AF9803">
        <v>-2.4863511960478299</v>
      </c>
      <c r="AG9803">
        <v>-1.110894997093</v>
      </c>
      <c r="AH9803">
        <v>21.7215299684431</v>
      </c>
      <c r="AI9803">
        <v>92.908742495422999</v>
      </c>
      <c r="AJ9803">
        <v>96.529931705840994</v>
      </c>
      <c r="AK9803">
        <v>21.8915713034635</v>
      </c>
      <c r="AL9803">
        <v>87.9658429261642</v>
      </c>
      <c r="AM9803">
        <v>96.500116800379701</v>
      </c>
      <c r="AN9803">
        <v>0.99999998010086899</v>
      </c>
    </row>
    <row r="9804" spans="1:40" x14ac:dyDescent="0.25">
      <c r="A9804" t="str">
        <f>"20190312150914106"</f>
        <v>20190312150914106</v>
      </c>
      <c r="B9804" t="str">
        <f>"1552374554099002"</f>
        <v>1552374554099002</v>
      </c>
      <c r="C9804" t="s">
        <v>40</v>
      </c>
      <c r="D9804">
        <v>4.5957330000000001</v>
      </c>
      <c r="E9804">
        <v>0.50082119999999997</v>
      </c>
      <c r="F9804" t="s">
        <v>73</v>
      </c>
      <c r="G9804">
        <v>-206.92490000000001</v>
      </c>
      <c r="H9804" s="1">
        <v>-2.2930980000000001E-6</v>
      </c>
      <c r="I9804">
        <v>-59.004660000000001</v>
      </c>
      <c r="J9804">
        <v>-228.95750000000001</v>
      </c>
      <c r="K9804">
        <v>1.1109549999999999</v>
      </c>
      <c r="L9804">
        <v>-61.922580000000004</v>
      </c>
      <c r="M9804">
        <v>0.99977459999999996</v>
      </c>
      <c r="N9804">
        <v>0</v>
      </c>
      <c r="O9804">
        <v>1.806058E-2</v>
      </c>
      <c r="P9804">
        <v>0.99103220000000003</v>
      </c>
      <c r="Q9804">
        <v>2.4625089999999999E-2</v>
      </c>
      <c r="R9804">
        <v>0.13133529999999999</v>
      </c>
      <c r="S9804">
        <v>2.978882</v>
      </c>
      <c r="T9804">
        <v>-0.14922489999999999</v>
      </c>
      <c r="U9804">
        <v>0.3923645</v>
      </c>
      <c r="V9804">
        <v>-0.1134915</v>
      </c>
      <c r="W9804">
        <v>3.5468119999999999E-2</v>
      </c>
      <c r="X9804">
        <v>0.9929057</v>
      </c>
      <c r="Y9804">
        <v>-0.1125427</v>
      </c>
      <c r="Z9804">
        <v>1.904979E-3</v>
      </c>
      <c r="AA9804">
        <v>0.99364509999999995</v>
      </c>
      <c r="AB9804">
        <v>31</v>
      </c>
      <c r="AC9804">
        <v>22.032599999999999</v>
      </c>
      <c r="AD9804">
        <v>-1.1109572930979901</v>
      </c>
      <c r="AE9804">
        <v>2.9179200000000001</v>
      </c>
      <c r="AF9804">
        <v>-2.51321794412469</v>
      </c>
      <c r="AG9804">
        <v>-1.1109572930979901</v>
      </c>
      <c r="AH9804">
        <v>22.026670750414802</v>
      </c>
      <c r="AI9804">
        <v>92.868793582824594</v>
      </c>
      <c r="AJ9804">
        <v>96.509233396655603</v>
      </c>
      <c r="AK9804">
        <v>22.197403336627801</v>
      </c>
      <c r="AL9804">
        <v>87.967400138340494</v>
      </c>
      <c r="AM9804">
        <v>96.520745189677797</v>
      </c>
      <c r="AN9804">
        <v>1.00000001860053</v>
      </c>
    </row>
    <row r="9805" spans="1:40" x14ac:dyDescent="0.25">
      <c r="A9805" t="str">
        <f>"20190312150914117"</f>
        <v>20190312150914117</v>
      </c>
      <c r="B9805" t="str">
        <f>"1552374554108762"</f>
        <v>1552374554108762</v>
      </c>
      <c r="C9805" t="s">
        <v>40</v>
      </c>
      <c r="D9805">
        <v>4.6031360000000001</v>
      </c>
      <c r="E9805">
        <v>0.50115029999999905</v>
      </c>
      <c r="F9805" t="s">
        <v>73</v>
      </c>
      <c r="G9805">
        <v>-206.43360000000001</v>
      </c>
      <c r="H9805" s="1">
        <v>-2.6225100000000002E-6</v>
      </c>
      <c r="I9805">
        <v>-58.940269999999998</v>
      </c>
      <c r="J9805">
        <v>-228.8047</v>
      </c>
      <c r="K9805">
        <v>1.1110169999999999</v>
      </c>
      <c r="L9805">
        <v>-61.919159999999998</v>
      </c>
      <c r="M9805">
        <v>0.99976229999999999</v>
      </c>
      <c r="N9805">
        <v>0</v>
      </c>
      <c r="O9805">
        <v>1.872099E-2</v>
      </c>
      <c r="P9805">
        <v>0.99085900000000005</v>
      </c>
      <c r="Q9805">
        <v>2.4773779999999999E-2</v>
      </c>
      <c r="R9805">
        <v>0.13260749999999999</v>
      </c>
      <c r="S9805">
        <v>2.9785460000000001</v>
      </c>
      <c r="T9805">
        <v>-0.1469126</v>
      </c>
      <c r="U9805">
        <v>0.39437870000000003</v>
      </c>
      <c r="V9805">
        <v>-0.1141168</v>
      </c>
      <c r="W9805">
        <v>3.5600600000000003E-2</v>
      </c>
      <c r="X9805">
        <v>0.99282930000000003</v>
      </c>
      <c r="Y9805">
        <v>-0.1125656</v>
      </c>
      <c r="Z9805">
        <v>1.8437939999999999E-3</v>
      </c>
      <c r="AA9805">
        <v>0.99364260000000004</v>
      </c>
      <c r="AB9805">
        <v>31</v>
      </c>
      <c r="AC9805">
        <v>22.371099999999899</v>
      </c>
      <c r="AD9805">
        <v>-1.11101962251</v>
      </c>
      <c r="AE9805">
        <v>2.9788899999999998</v>
      </c>
      <c r="AF9805">
        <v>-2.5533446580763801</v>
      </c>
      <c r="AG9805">
        <v>-1.11101962251</v>
      </c>
      <c r="AH9805">
        <v>22.368740422357501</v>
      </c>
      <c r="AI9805">
        <v>92.825137378171306</v>
      </c>
      <c r="AJ9805">
        <v>96.512007038225505</v>
      </c>
      <c r="AK9805">
        <v>22.541394846533802</v>
      </c>
      <c r="AL9805">
        <v>87.959804825893102</v>
      </c>
      <c r="AM9805">
        <v>96.556860473297903</v>
      </c>
      <c r="AN9805">
        <v>1.0000000328505401</v>
      </c>
    </row>
    <row r="9806" spans="1:40" x14ac:dyDescent="0.25">
      <c r="A9806" t="str">
        <f>"20190312150914128"</f>
        <v>20190312150914128</v>
      </c>
      <c r="B9806" t="str">
        <f>"1552374554119498"</f>
        <v>1552374554119498</v>
      </c>
      <c r="C9806" t="s">
        <v>40</v>
      </c>
      <c r="D9806">
        <v>4.5997479999999999</v>
      </c>
      <c r="E9806">
        <v>0.50140549999999995</v>
      </c>
      <c r="F9806" t="s">
        <v>73</v>
      </c>
      <c r="G9806">
        <v>-206.3185</v>
      </c>
      <c r="H9806" s="1">
        <v>-2.697882E-6</v>
      </c>
      <c r="I9806">
        <v>-58.932029999999997</v>
      </c>
      <c r="J9806">
        <v>-228.65020000000001</v>
      </c>
      <c r="K9806">
        <v>1.1110770000000001</v>
      </c>
      <c r="L9806">
        <v>-61.915619999999997</v>
      </c>
      <c r="M9806">
        <v>0.99974909999999995</v>
      </c>
      <c r="N9806">
        <v>0</v>
      </c>
      <c r="O9806">
        <v>1.941505E-2</v>
      </c>
      <c r="P9806">
        <v>0.9907203</v>
      </c>
      <c r="Q9806">
        <v>2.480282E-2</v>
      </c>
      <c r="R9806">
        <v>0.13363459999999999</v>
      </c>
      <c r="S9806">
        <v>2.9784090000000001</v>
      </c>
      <c r="T9806">
        <v>-0.14716019999999999</v>
      </c>
      <c r="U9806">
        <v>0.39566040000000002</v>
      </c>
      <c r="V9806">
        <v>-0.11446240000000001</v>
      </c>
      <c r="W9806">
        <v>3.5614890000000003E-2</v>
      </c>
      <c r="X9806">
        <v>0.99278900000000003</v>
      </c>
      <c r="Y9806">
        <v>-0.11230270000000001</v>
      </c>
      <c r="Z9806">
        <v>1.8063700000000001E-3</v>
      </c>
      <c r="AA9806">
        <v>0.99367240000000001</v>
      </c>
      <c r="AB9806">
        <v>31</v>
      </c>
      <c r="AC9806">
        <v>22.331700000000001</v>
      </c>
      <c r="AD9806">
        <v>-1.1110796978819999</v>
      </c>
      <c r="AE9806">
        <v>2.9835899999999902</v>
      </c>
      <c r="AF9806">
        <v>-2.5432442616355702</v>
      </c>
      <c r="AG9806">
        <v>-1.1110796978819999</v>
      </c>
      <c r="AH9806">
        <v>22.331111131892701</v>
      </c>
      <c r="AI9806">
        <v>92.830125617183299</v>
      </c>
      <c r="AJ9806">
        <v>96.497303836028095</v>
      </c>
      <c r="AK9806">
        <v>22.5029134525806</v>
      </c>
      <c r="AL9806">
        <v>87.958985543783598</v>
      </c>
      <c r="AM9806">
        <v>96.576808694338396</v>
      </c>
      <c r="AN9806">
        <v>1.00000002996223</v>
      </c>
    </row>
    <row r="9807" spans="1:40" x14ac:dyDescent="0.25">
      <c r="A9807" t="str">
        <f>"20190312150914139"</f>
        <v>20190312150914139</v>
      </c>
      <c r="B9807" t="str">
        <f>"1552374554128903"</f>
        <v>1552374554128903</v>
      </c>
      <c r="C9807" t="s">
        <v>40</v>
      </c>
      <c r="D9807">
        <v>4.571491</v>
      </c>
      <c r="E9807">
        <v>0.50169629999999998</v>
      </c>
      <c r="F9807" t="s">
        <v>73</v>
      </c>
      <c r="G9807">
        <v>-206.28290000000001</v>
      </c>
      <c r="H9807" s="1">
        <v>-2.7194149999999999E-6</v>
      </c>
      <c r="I9807">
        <v>-58.936129999999999</v>
      </c>
      <c r="J9807">
        <v>-228.4933</v>
      </c>
      <c r="K9807">
        <v>1.1111359999999999</v>
      </c>
      <c r="L9807">
        <v>-61.911869999999901</v>
      </c>
      <c r="M9807">
        <v>0.99973449999999997</v>
      </c>
      <c r="N9807">
        <v>0</v>
      </c>
      <c r="O9807">
        <v>2.015689E-2</v>
      </c>
      <c r="P9807">
        <v>0.99056869999999997</v>
      </c>
      <c r="Q9807">
        <v>2.4975460000000001E-2</v>
      </c>
      <c r="R9807">
        <v>0.13472219999999999</v>
      </c>
      <c r="S9807">
        <v>2.9782709999999999</v>
      </c>
      <c r="T9807">
        <v>-0.14794360000000001</v>
      </c>
      <c r="U9807">
        <v>0.39672849999999998</v>
      </c>
      <c r="V9807">
        <v>-0.11482150000000001</v>
      </c>
      <c r="W9807">
        <v>3.5773100000000002E-2</v>
      </c>
      <c r="X9807">
        <v>0.99274180000000001</v>
      </c>
      <c r="Y9807">
        <v>-0.1119217</v>
      </c>
      <c r="Z9807">
        <v>1.7699619999999999E-3</v>
      </c>
      <c r="AA9807">
        <v>0.99371549999999997</v>
      </c>
      <c r="AB9807">
        <v>31</v>
      </c>
      <c r="AC9807">
        <v>22.2104</v>
      </c>
      <c r="AD9807">
        <v>-1.111138719415</v>
      </c>
      <c r="AE9807">
        <v>2.9757399999999801</v>
      </c>
      <c r="AF9807">
        <v>-2.5212160573644802</v>
      </c>
      <c r="AG9807">
        <v>-1.111138719415</v>
      </c>
      <c r="AH9807">
        <v>22.211262562107901</v>
      </c>
      <c r="AI9807">
        <v>92.845642709149104</v>
      </c>
      <c r="AJ9807">
        <v>96.475965631203493</v>
      </c>
      <c r="AK9807">
        <v>22.381495577029501</v>
      </c>
      <c r="AL9807">
        <v>87.949914909586596</v>
      </c>
      <c r="AM9807">
        <v>96.597571243682793</v>
      </c>
      <c r="AN9807">
        <v>0.99999998650654998</v>
      </c>
    </row>
    <row r="9808" spans="1:40" x14ac:dyDescent="0.25">
      <c r="A9808" t="str">
        <f>"20190312150914151"</f>
        <v>20190312150914151</v>
      </c>
      <c r="B9808" t="str">
        <f>"1552374554139638"</f>
        <v>1552374554139638</v>
      </c>
      <c r="C9808" t="s">
        <v>40</v>
      </c>
      <c r="D9808">
        <v>4.65205</v>
      </c>
      <c r="E9808">
        <v>0.50169629999999998</v>
      </c>
      <c r="F9808" t="s">
        <v>73</v>
      </c>
      <c r="G9808">
        <v>-206.11199999999999</v>
      </c>
      <c r="H9808" s="1">
        <v>-2.8316839999999999E-6</v>
      </c>
      <c r="I9808">
        <v>-58.922370000000001</v>
      </c>
      <c r="J9808">
        <v>-228.34549999999999</v>
      </c>
      <c r="K9808">
        <v>1.1111899999999999</v>
      </c>
      <c r="L9808">
        <v>-61.908169999999998</v>
      </c>
      <c r="M9808">
        <v>0.99971929999999998</v>
      </c>
      <c r="N9808">
        <v>0</v>
      </c>
      <c r="O9808">
        <v>2.0892040000000001E-2</v>
      </c>
      <c r="P9808">
        <v>0.99039069999999996</v>
      </c>
      <c r="Q9808">
        <v>2.4865490000000001E-2</v>
      </c>
      <c r="R9808">
        <v>0.1360451</v>
      </c>
      <c r="S9808">
        <v>2.9781650000000002</v>
      </c>
      <c r="T9808">
        <v>-0.1478536</v>
      </c>
      <c r="U9808">
        <v>0.3977966</v>
      </c>
      <c r="V9808">
        <v>-0.1154217</v>
      </c>
      <c r="W9808">
        <v>3.5648730000000003E-2</v>
      </c>
      <c r="X9808">
        <v>0.99267669999999997</v>
      </c>
      <c r="Y9808">
        <v>-0.1115473</v>
      </c>
      <c r="Z9808">
        <v>1.7233750000000001E-3</v>
      </c>
      <c r="AA9808">
        <v>0.99375760000000002</v>
      </c>
      <c r="AB9808">
        <v>31</v>
      </c>
      <c r="AC9808">
        <v>22.2334999999999</v>
      </c>
      <c r="AD9808">
        <v>-1.1111928316839901</v>
      </c>
      <c r="AE9808">
        <v>2.9857999999999998</v>
      </c>
      <c r="AF9808">
        <v>-2.5144466588976502</v>
      </c>
      <c r="AG9808">
        <v>-1.1111928316839901</v>
      </c>
      <c r="AH9808">
        <v>22.236470985936901</v>
      </c>
      <c r="AI9808">
        <v>92.842697722635705</v>
      </c>
      <c r="AJ9808">
        <v>96.451464773718001</v>
      </c>
      <c r="AK9808">
        <v>22.405754471073699</v>
      </c>
      <c r="AL9808">
        <v>87.957045393615005</v>
      </c>
      <c r="AM9808">
        <v>96.632182989354206</v>
      </c>
      <c r="AN9808">
        <v>1.00000001575219</v>
      </c>
    </row>
    <row r="9809" spans="1:40" x14ac:dyDescent="0.25">
      <c r="A9809" t="str">
        <f>"20190312150914162"</f>
        <v>20190312150914162</v>
      </c>
      <c r="B9809" t="str">
        <f>"1552374554159158"</f>
        <v>1552374554159158</v>
      </c>
      <c r="C9809" t="s">
        <v>40</v>
      </c>
      <c r="D9809">
        <v>4.6064829999999999</v>
      </c>
      <c r="E9809">
        <v>0.53737400000000002</v>
      </c>
      <c r="F9809" t="s">
        <v>73</v>
      </c>
      <c r="G9809">
        <v>-206.01689999999999</v>
      </c>
      <c r="H9809" s="1">
        <v>-2.8992449999999999E-6</v>
      </c>
      <c r="I9809">
        <v>-58.895679999999999</v>
      </c>
      <c r="J9809">
        <v>-228.1842</v>
      </c>
      <c r="K9809">
        <v>1.111246</v>
      </c>
      <c r="L9809">
        <v>-61.904020000000003</v>
      </c>
      <c r="M9809">
        <v>0.99970170000000003</v>
      </c>
      <c r="N9809">
        <v>0</v>
      </c>
      <c r="O9809">
        <v>2.1718169999999998E-2</v>
      </c>
      <c r="P9809">
        <v>0.99020220000000003</v>
      </c>
      <c r="Q9809">
        <v>2.4943880000000002E-2</v>
      </c>
      <c r="R9809">
        <v>0.1373963</v>
      </c>
      <c r="S9809">
        <v>2.977646</v>
      </c>
      <c r="T9809">
        <v>-0.14818410000000001</v>
      </c>
      <c r="U9809">
        <v>0.40173340000000002</v>
      </c>
      <c r="V9809">
        <v>-0.1159611</v>
      </c>
      <c r="W9809">
        <v>3.5711619999999999E-2</v>
      </c>
      <c r="X9809">
        <v>0.99261160000000004</v>
      </c>
      <c r="Y9809">
        <v>-0.11203929999999999</v>
      </c>
      <c r="Z9809">
        <v>1.698684E-3</v>
      </c>
      <c r="AA9809">
        <v>0.99370239999999999</v>
      </c>
      <c r="AB9809">
        <v>31</v>
      </c>
      <c r="AC9809">
        <v>22.167300000000001</v>
      </c>
      <c r="AD9809">
        <v>-1.111248899245</v>
      </c>
      <c r="AE9809">
        <v>3.0083399999999898</v>
      </c>
      <c r="AF9809">
        <v>-2.5199489245151199</v>
      </c>
      <c r="AG9809">
        <v>-1.111248899245</v>
      </c>
      <c r="AH9809">
        <v>22.172697614414499</v>
      </c>
      <c r="AI9809">
        <v>92.850821401247501</v>
      </c>
      <c r="AJ9809">
        <v>96.483900755277901</v>
      </c>
      <c r="AK9809">
        <v>22.3430869890107</v>
      </c>
      <c r="AL9809">
        <v>87.9534398209843</v>
      </c>
      <c r="AM9809">
        <v>96.663332176494393</v>
      </c>
      <c r="AN9809">
        <v>1.0000000424853901</v>
      </c>
    </row>
    <row r="9810" spans="1:40" x14ac:dyDescent="0.25">
      <c r="A9810" t="str">
        <f>"20190312150914174"</f>
        <v>20190312150914174</v>
      </c>
      <c r="B9810" t="str">
        <f>"1552374554168918"</f>
        <v>1552374554168918</v>
      </c>
      <c r="C9810" t="s">
        <v>40</v>
      </c>
      <c r="D9810">
        <v>4.6491939999999996</v>
      </c>
      <c r="E9810">
        <v>0.54118159999999904</v>
      </c>
      <c r="F9810" t="s">
        <v>90</v>
      </c>
      <c r="G9810">
        <v>-212.2861</v>
      </c>
      <c r="H9810" s="1">
        <v>-1.7788570000000001E-7</v>
      </c>
      <c r="I9810">
        <v>-61.241050000000001</v>
      </c>
      <c r="J9810">
        <v>-228.0162</v>
      </c>
      <c r="K9810">
        <v>1.1113029999999999</v>
      </c>
      <c r="L9810">
        <v>-61.899479999999997</v>
      </c>
      <c r="M9810">
        <v>0.99968129999999999</v>
      </c>
      <c r="N9810">
        <v>0</v>
      </c>
      <c r="O9810">
        <v>2.2631430000000001E-2</v>
      </c>
      <c r="P9810">
        <v>0.9900255</v>
      </c>
      <c r="Q9810">
        <v>2.4731860000000001E-2</v>
      </c>
      <c r="R9810">
        <v>0.13870150000000001</v>
      </c>
      <c r="S9810">
        <v>3.0175320000000001</v>
      </c>
      <c r="T9810">
        <v>-0.2109193</v>
      </c>
      <c r="U9810">
        <v>0.12582399999999999</v>
      </c>
      <c r="V9810">
        <v>-0.1163677</v>
      </c>
      <c r="W9810">
        <v>3.5485750000000003E-2</v>
      </c>
      <c r="X9810">
        <v>0.99257209999999996</v>
      </c>
      <c r="Y9810">
        <v>-1.9046299999999999E-2</v>
      </c>
      <c r="Z9810">
        <v>-9.1454109999999998E-4</v>
      </c>
      <c r="AA9810">
        <v>0.99981819999999999</v>
      </c>
      <c r="AB9810">
        <v>31</v>
      </c>
      <c r="AC9810">
        <v>15.730099999999901</v>
      </c>
      <c r="AD9810">
        <v>-1.1113031778857001</v>
      </c>
      <c r="AE9810">
        <v>0.65843000000000196</v>
      </c>
      <c r="AF9810">
        <v>-0.30074596177741902</v>
      </c>
      <c r="AG9810">
        <v>-1.1113031778857001</v>
      </c>
      <c r="AH9810">
        <v>15.6629331995815</v>
      </c>
      <c r="AI9810">
        <v>94.057655252968203</v>
      </c>
      <c r="AJ9810">
        <v>91.100008338935893</v>
      </c>
      <c r="AK9810">
        <v>15.705187655715999</v>
      </c>
      <c r="AL9810">
        <v>87.966389394326796</v>
      </c>
      <c r="AM9810">
        <v>96.686748632287305</v>
      </c>
      <c r="AN9810">
        <v>1.0000000268773801</v>
      </c>
    </row>
    <row r="9811" spans="1:40" x14ac:dyDescent="0.25">
      <c r="A9811" t="str">
        <f>"20190312150914185"</f>
        <v>20190312150914185</v>
      </c>
      <c r="B9811" t="str">
        <f>"1552374554178678"</f>
        <v>1552374554178678</v>
      </c>
      <c r="C9811" t="s">
        <v>40</v>
      </c>
      <c r="D9811">
        <v>4.6739069999999998</v>
      </c>
      <c r="E9811">
        <v>0.54347469999999998</v>
      </c>
      <c r="F9811" t="s">
        <v>90</v>
      </c>
      <c r="G9811">
        <v>-212.49789999999999</v>
      </c>
      <c r="H9811" s="1">
        <v>-3.074488E-7</v>
      </c>
      <c r="I9811">
        <v>-61.38644</v>
      </c>
      <c r="J9811">
        <v>-227.87129999999999</v>
      </c>
      <c r="K9811">
        <v>1.111351</v>
      </c>
      <c r="L9811">
        <v>-61.895479999999999</v>
      </c>
      <c r="M9811">
        <v>0.99966279999999996</v>
      </c>
      <c r="N9811">
        <v>0</v>
      </c>
      <c r="O9811">
        <v>2.3430349999999999E-2</v>
      </c>
      <c r="P9811">
        <v>0.98981359999999996</v>
      </c>
      <c r="Q9811">
        <v>2.4587520000000002E-2</v>
      </c>
      <c r="R9811">
        <v>0.1402292</v>
      </c>
      <c r="S9811">
        <v>3.0216370000000001</v>
      </c>
      <c r="T9811">
        <v>-0.21638679999999999</v>
      </c>
      <c r="U9811">
        <v>9.9884029999999999E-2</v>
      </c>
      <c r="V9811">
        <v>-0.1171099</v>
      </c>
      <c r="W9811">
        <v>3.5327070000000002E-2</v>
      </c>
      <c r="X9811">
        <v>0.99249039999999999</v>
      </c>
      <c r="Y9811">
        <v>-9.645374E-3</v>
      </c>
      <c r="Z9811">
        <v>-1.330302E-3</v>
      </c>
      <c r="AA9811">
        <v>0.99995259999999997</v>
      </c>
      <c r="AB9811">
        <v>31</v>
      </c>
      <c r="AC9811">
        <v>15.3734</v>
      </c>
      <c r="AD9811">
        <v>-1.1113513074488</v>
      </c>
      <c r="AE9811">
        <v>0.50904000000000504</v>
      </c>
      <c r="AF9811">
        <v>-0.14790144922298101</v>
      </c>
      <c r="AG9811">
        <v>-1.1113513074488</v>
      </c>
      <c r="AH9811">
        <v>15.301231311804299</v>
      </c>
      <c r="AI9811">
        <v>94.153990104130301</v>
      </c>
      <c r="AJ9811">
        <v>90.553802811704998</v>
      </c>
      <c r="AK9811">
        <v>15.3422506896671</v>
      </c>
      <c r="AL9811">
        <v>87.975486661738699</v>
      </c>
      <c r="AM9811">
        <v>96.7295560824451</v>
      </c>
      <c r="AN9811">
        <v>0.99999996232247601</v>
      </c>
    </row>
    <row r="9812" spans="1:40" x14ac:dyDescent="0.25">
      <c r="A9812" t="str">
        <f>"20190312150914196"</f>
        <v>20190312150914196</v>
      </c>
      <c r="B9812" t="str">
        <f>"1552374554189414"</f>
        <v>1552374554189414</v>
      </c>
      <c r="C9812" t="s">
        <v>40</v>
      </c>
      <c r="D9812">
        <v>4.8907309999999997</v>
      </c>
      <c r="E9812">
        <v>0.54508319999999999</v>
      </c>
      <c r="F9812" t="s">
        <v>41</v>
      </c>
      <c r="G9812">
        <v>-226.8708</v>
      </c>
      <c r="H9812">
        <v>1.0390619999999999</v>
      </c>
      <c r="I9812">
        <v>-61.866919999999901</v>
      </c>
      <c r="J9812">
        <v>-227.71639999999999</v>
      </c>
      <c r="K9812">
        <v>1.1113980000000001</v>
      </c>
      <c r="L9812">
        <v>-61.890929999999997</v>
      </c>
      <c r="M9812">
        <v>0.99964129999999995</v>
      </c>
      <c r="N9812">
        <v>0</v>
      </c>
      <c r="O9812">
        <v>2.4334890000000001E-2</v>
      </c>
      <c r="P9812">
        <v>0.98958919999999995</v>
      </c>
      <c r="Q9812">
        <v>2.4439570000000001E-2</v>
      </c>
      <c r="R9812">
        <v>0.1418316</v>
      </c>
      <c r="S9812">
        <v>3.0240330000000002</v>
      </c>
      <c r="T9812">
        <v>-0.21846189999999999</v>
      </c>
      <c r="U9812">
        <v>8.6425779999999994E-2</v>
      </c>
      <c r="V9812">
        <v>-0.11782280000000001</v>
      </c>
      <c r="W9812">
        <v>3.5164559999999997E-2</v>
      </c>
      <c r="X9812">
        <v>0.99241190000000001</v>
      </c>
      <c r="Y9812">
        <v>-4.2852339999999997E-3</v>
      </c>
      <c r="Z9812">
        <v>-1.600628E-3</v>
      </c>
      <c r="AA9812">
        <v>0.99998949999999998</v>
      </c>
      <c r="AB9812">
        <v>31</v>
      </c>
      <c r="AC9812">
        <v>0.84559999999999003</v>
      </c>
      <c r="AD9812">
        <v>-7.2335999999999706E-2</v>
      </c>
      <c r="AE9812">
        <v>2.4010000000011099E-2</v>
      </c>
      <c r="AF9812">
        <v>-3.3991644997624902E-3</v>
      </c>
      <c r="AG9812">
        <v>-7.2335999999999706E-2</v>
      </c>
      <c r="AH9812">
        <v>0.83979340393792301</v>
      </c>
      <c r="AI9812">
        <v>94.923007573392994</v>
      </c>
      <c r="AJ9812">
        <v>90.231910271285003</v>
      </c>
      <c r="AK9812">
        <v>0.84290984839005201</v>
      </c>
      <c r="AL9812">
        <v>87.984803802888806</v>
      </c>
      <c r="AM9812">
        <v>96.770673313827501</v>
      </c>
      <c r="AN9812">
        <v>1.00000006887071</v>
      </c>
    </row>
    <row r="9813" spans="1:40" x14ac:dyDescent="0.25">
      <c r="A9813" t="str">
        <f>"20190312150914207"</f>
        <v>20190312150914207</v>
      </c>
      <c r="B9813" t="str">
        <f>"1552374554199174"</f>
        <v>1552374554199174</v>
      </c>
      <c r="C9813" t="s">
        <v>40</v>
      </c>
      <c r="D9813">
        <v>4.6387309999999999</v>
      </c>
      <c r="E9813">
        <v>0.54627840000000005</v>
      </c>
      <c r="F9813" t="s">
        <v>90</v>
      </c>
      <c r="G9813">
        <v>-212.5104</v>
      </c>
      <c r="H9813" s="1">
        <v>-3.4186379999999999E-7</v>
      </c>
      <c r="I9813">
        <v>-61.495640000000002</v>
      </c>
      <c r="J9813">
        <v>-227.5558</v>
      </c>
      <c r="K9813">
        <v>1.1114470000000001</v>
      </c>
      <c r="L9813">
        <v>-61.886139999999997</v>
      </c>
      <c r="M9813">
        <v>0.9996176</v>
      </c>
      <c r="N9813">
        <v>0</v>
      </c>
      <c r="O9813">
        <v>2.5287E-2</v>
      </c>
      <c r="P9813">
        <v>0.98936109999999999</v>
      </c>
      <c r="Q9813">
        <v>2.4320140000000001E-2</v>
      </c>
      <c r="R9813">
        <v>0.14343439999999999</v>
      </c>
      <c r="S9813">
        <v>3.025757</v>
      </c>
      <c r="T9813">
        <v>-0.22115029999999999</v>
      </c>
      <c r="U9813">
        <v>7.86438E-2</v>
      </c>
      <c r="V9813">
        <v>-0.1184892</v>
      </c>
      <c r="W9813">
        <v>3.5031130000000001E-2</v>
      </c>
      <c r="X9813">
        <v>0.99233720000000003</v>
      </c>
      <c r="Y9813">
        <v>-7.5968379999999999E-4</v>
      </c>
      <c r="Z9813">
        <v>-1.8175310000000001E-3</v>
      </c>
      <c r="AA9813">
        <v>0.99999800000000005</v>
      </c>
      <c r="AB9813">
        <v>31</v>
      </c>
      <c r="AC9813">
        <v>15.045400000000001</v>
      </c>
      <c r="AD9813">
        <v>-1.11144734186379</v>
      </c>
      <c r="AE9813">
        <v>0.39050000000000201</v>
      </c>
      <c r="AF9813">
        <v>-9.8445750544368608E-3</v>
      </c>
      <c r="AG9813">
        <v>-1.11144734186379</v>
      </c>
      <c r="AH9813">
        <v>14.968830570080801</v>
      </c>
      <c r="AI9813">
        <v>94.246462993057193</v>
      </c>
      <c r="AJ9813">
        <v>90.037681802713607</v>
      </c>
      <c r="AK9813">
        <v>15.010039998120501</v>
      </c>
      <c r="AL9813">
        <v>87.992453342073503</v>
      </c>
      <c r="AM9813">
        <v>96.809117132093505</v>
      </c>
      <c r="AN9813">
        <v>0.99999999454477795</v>
      </c>
    </row>
    <row r="9814" spans="1:40" x14ac:dyDescent="0.25">
      <c r="A9814" t="str">
        <f>"20190312150914218"</f>
        <v>20190312150914218</v>
      </c>
      <c r="B9814" t="str">
        <f>"1552374554208935"</f>
        <v>1552374554208935</v>
      </c>
      <c r="C9814" t="s">
        <v>40</v>
      </c>
      <c r="D9814">
        <v>4.6625920000000001</v>
      </c>
      <c r="E9814">
        <v>0.54702119999999999</v>
      </c>
      <c r="F9814" t="s">
        <v>41</v>
      </c>
      <c r="G9814">
        <v>-226.59190000000001</v>
      </c>
      <c r="H9814">
        <v>1.0404690000000001</v>
      </c>
      <c r="I9814">
        <v>-61.862720000000003</v>
      </c>
      <c r="J9814">
        <v>-227.40049999999999</v>
      </c>
      <c r="K9814">
        <v>1.111494</v>
      </c>
      <c r="L9814">
        <v>-61.88129</v>
      </c>
      <c r="M9814">
        <v>0.99959299999999995</v>
      </c>
      <c r="N9814">
        <v>0</v>
      </c>
      <c r="O9814">
        <v>2.6240550000000001E-2</v>
      </c>
      <c r="P9814">
        <v>0.98914990000000003</v>
      </c>
      <c r="Q9814">
        <v>2.419849E-2</v>
      </c>
      <c r="R9814">
        <v>0.14490320000000001</v>
      </c>
      <c r="S9814">
        <v>3.0270229999999998</v>
      </c>
      <c r="T9814">
        <v>-0.22299079999999999</v>
      </c>
      <c r="U9814">
        <v>7.4157710000000002E-2</v>
      </c>
      <c r="V9814">
        <v>-0.11901970000000001</v>
      </c>
      <c r="W9814">
        <v>3.4896259999999998E-2</v>
      </c>
      <c r="X9814">
        <v>0.99227849999999995</v>
      </c>
      <c r="Y9814">
        <v>1.675967E-3</v>
      </c>
      <c r="Z9814">
        <v>-1.9915890000000002E-3</v>
      </c>
      <c r="AA9814">
        <v>0.99999660000000001</v>
      </c>
      <c r="AB9814">
        <v>31</v>
      </c>
      <c r="AC9814">
        <v>0.808599999999984</v>
      </c>
      <c r="AD9814">
        <v>-7.1024999999999894E-2</v>
      </c>
      <c r="AE9814">
        <v>1.8570000000003899E-2</v>
      </c>
      <c r="AF9814">
        <v>2.6355099368289298E-3</v>
      </c>
      <c r="AG9814">
        <v>-7.1024999999999894E-2</v>
      </c>
      <c r="AH9814">
        <v>0.80261962910850604</v>
      </c>
      <c r="AI9814">
        <v>95.056988676398205</v>
      </c>
      <c r="AJ9814">
        <v>89.8118622470069</v>
      </c>
      <c r="AK9814">
        <v>0.80576036485291502</v>
      </c>
      <c r="AL9814">
        <v>88.000185621952895</v>
      </c>
      <c r="AM9814">
        <v>96.839715545608001</v>
      </c>
      <c r="AN9814">
        <v>1.00000002975616</v>
      </c>
    </row>
    <row r="9815" spans="1:40" x14ac:dyDescent="0.25">
      <c r="A9815" t="str">
        <f>"20190312150914229"</f>
        <v>20190312150914229</v>
      </c>
      <c r="B9815" t="str">
        <f>"1552374554218694"</f>
        <v>1552374554218694</v>
      </c>
      <c r="C9815" t="s">
        <v>40</v>
      </c>
      <c r="D9815">
        <v>4.5942249999999998</v>
      </c>
      <c r="E9815">
        <v>0.54768209999999995</v>
      </c>
      <c r="F9815" t="s">
        <v>90</v>
      </c>
      <c r="G9815">
        <v>-212.37729999999999</v>
      </c>
      <c r="H9815" s="1">
        <v>-2.9124499999999999E-7</v>
      </c>
      <c r="I9815">
        <v>-61.519930000000002</v>
      </c>
      <c r="J9815">
        <v>-227.2516</v>
      </c>
      <c r="K9815">
        <v>1.1115440000000001</v>
      </c>
      <c r="L9815">
        <v>-61.8765</v>
      </c>
      <c r="M9815">
        <v>0.99956789999999995</v>
      </c>
      <c r="N9815">
        <v>0</v>
      </c>
      <c r="O9815">
        <v>2.7175299999999999E-2</v>
      </c>
      <c r="P9815">
        <v>0.98887150000000001</v>
      </c>
      <c r="Q9815">
        <v>2.4020329999999999E-2</v>
      </c>
      <c r="R9815">
        <v>0.146820799999999</v>
      </c>
      <c r="S9815">
        <v>3.0277400000000001</v>
      </c>
      <c r="T9815">
        <v>-0.2240084</v>
      </c>
      <c r="U9815">
        <v>7.2814939999999995E-2</v>
      </c>
      <c r="V9815">
        <v>-0.12001879999999999</v>
      </c>
      <c r="W9815">
        <v>3.470326E-2</v>
      </c>
      <c r="X9815">
        <v>0.99216490000000002</v>
      </c>
      <c r="Y9815">
        <v>3.0531619999999999E-3</v>
      </c>
      <c r="Z9815">
        <v>-2.1200910000000002E-3</v>
      </c>
      <c r="AA9815">
        <v>0.99999309999999997</v>
      </c>
      <c r="AB9815">
        <v>31</v>
      </c>
      <c r="AC9815">
        <v>14.8743</v>
      </c>
      <c r="AD9815">
        <v>-1.111544291245</v>
      </c>
      <c r="AE9815">
        <v>0.356569999999997</v>
      </c>
      <c r="AF9815">
        <v>4.7535332398240301E-2</v>
      </c>
      <c r="AG9815">
        <v>-1.111544291245</v>
      </c>
      <c r="AH9815">
        <v>14.795916873780801</v>
      </c>
      <c r="AI9815">
        <v>94.296257074598998</v>
      </c>
      <c r="AJ9815">
        <v>89.815924584000598</v>
      </c>
      <c r="AK9815">
        <v>14.8376866948678</v>
      </c>
      <c r="AL9815">
        <v>88.011250367081601</v>
      </c>
      <c r="AM9815">
        <v>96.897362242744094</v>
      </c>
      <c r="AN9815">
        <v>1.00000000870003</v>
      </c>
    </row>
    <row r="9816" spans="1:40" x14ac:dyDescent="0.25">
      <c r="A9816" t="str">
        <f>"20190312150914239"</f>
        <v>20190312150914239</v>
      </c>
      <c r="B9816" t="str">
        <f>"1552374554229119"</f>
        <v>1552374554229119</v>
      </c>
      <c r="C9816" t="s">
        <v>40</v>
      </c>
      <c r="D9816">
        <v>4.5969579999999999</v>
      </c>
      <c r="E9816">
        <v>0.54822269999999995</v>
      </c>
      <c r="F9816" t="s">
        <v>41</v>
      </c>
      <c r="G9816">
        <v>-226.3126</v>
      </c>
      <c r="H9816">
        <v>1.0414030000000001</v>
      </c>
      <c r="I9816">
        <v>-61.8538</v>
      </c>
      <c r="J9816">
        <v>-227.09800000000001</v>
      </c>
      <c r="K9816">
        <v>1.111591</v>
      </c>
      <c r="L9816">
        <v>-61.871369999999999</v>
      </c>
      <c r="M9816">
        <v>0.99954050000000005</v>
      </c>
      <c r="N9816">
        <v>0</v>
      </c>
      <c r="O9816">
        <v>2.8162779999999998E-2</v>
      </c>
      <c r="P9816">
        <v>0.98864490000000005</v>
      </c>
      <c r="Q9816">
        <v>2.3775770000000002E-2</v>
      </c>
      <c r="R9816">
        <v>0.14837839999999999</v>
      </c>
      <c r="S9816">
        <v>3.0283199999999999</v>
      </c>
      <c r="T9816">
        <v>-0.22620509999999999</v>
      </c>
      <c r="U9816">
        <v>7.3394780000000007E-2</v>
      </c>
      <c r="V9816">
        <v>-0.12060510000000001</v>
      </c>
      <c r="W9816">
        <v>3.444593E-2</v>
      </c>
      <c r="X9816">
        <v>0.9921027</v>
      </c>
      <c r="Y9816">
        <v>3.8477759999999998E-3</v>
      </c>
      <c r="Z9816">
        <v>-2.2436610000000001E-3</v>
      </c>
      <c r="AA9816">
        <v>0.99999009999999999</v>
      </c>
      <c r="AB9816">
        <v>31</v>
      </c>
      <c r="AC9816">
        <v>0.785399999999981</v>
      </c>
      <c r="AD9816">
        <v>-7.0187999999999903E-2</v>
      </c>
      <c r="AE9816">
        <v>1.75699999999991E-2</v>
      </c>
      <c r="AF9816">
        <v>4.5213167566174597E-3</v>
      </c>
      <c r="AG9816">
        <v>-7.0187999999999903E-2</v>
      </c>
      <c r="AH9816">
        <v>0.77936220033522596</v>
      </c>
      <c r="AI9816">
        <v>95.145989375238202</v>
      </c>
      <c r="AJ9816">
        <v>89.667613515517203</v>
      </c>
      <c r="AK9816">
        <v>0.78252938408763795</v>
      </c>
      <c r="AL9816">
        <v>88.026002974231602</v>
      </c>
      <c r="AM9816">
        <v>96.931159686063395</v>
      </c>
      <c r="AN9816">
        <v>0.99999993979343005</v>
      </c>
    </row>
    <row r="9817" spans="1:40" x14ac:dyDescent="0.25">
      <c r="A9817" t="str">
        <f>"20190312150914252"</f>
        <v>20190312150914252</v>
      </c>
      <c r="B9817" t="str">
        <f>"1552374554249616"</f>
        <v>1552374554249616</v>
      </c>
      <c r="C9817" t="s">
        <v>40</v>
      </c>
      <c r="D9817">
        <v>4.571688</v>
      </c>
      <c r="E9817">
        <v>0.54900099999999996</v>
      </c>
      <c r="F9817" t="s">
        <v>90</v>
      </c>
      <c r="G9817">
        <v>-212.32550000000001</v>
      </c>
      <c r="H9817" s="1">
        <v>-2.6652970000000002E-7</v>
      </c>
      <c r="I9817">
        <v>-61.510660000000001</v>
      </c>
      <c r="J9817">
        <v>-226.93639999999999</v>
      </c>
      <c r="K9817">
        <v>1.1116379999999999</v>
      </c>
      <c r="L9817">
        <v>-61.865780000000001</v>
      </c>
      <c r="M9817">
        <v>0.99950989999999995</v>
      </c>
      <c r="N9817">
        <v>0</v>
      </c>
      <c r="O9817">
        <v>2.9232350000000001E-2</v>
      </c>
      <c r="P9817">
        <v>0.98838269999999995</v>
      </c>
      <c r="Q9817">
        <v>2.3939729999999999E-2</v>
      </c>
      <c r="R9817">
        <v>0.15008969999999999</v>
      </c>
      <c r="S9817">
        <v>3.0288240000000002</v>
      </c>
      <c r="T9817">
        <v>-0.22791040000000001</v>
      </c>
      <c r="U9817">
        <v>7.3944090000000004E-2</v>
      </c>
      <c r="V9817">
        <v>-0.12126530000000001</v>
      </c>
      <c r="W9817">
        <v>3.4596509999999997E-2</v>
      </c>
      <c r="X9817">
        <v>0.99201700000000004</v>
      </c>
      <c r="Y9817">
        <v>4.7337769999999998E-3</v>
      </c>
      <c r="Z9817">
        <v>-2.3737519999999998E-3</v>
      </c>
      <c r="AA9817">
        <v>0.99998600000000004</v>
      </c>
      <c r="AB9817">
        <v>31</v>
      </c>
      <c r="AC9817">
        <v>14.6108999999999</v>
      </c>
      <c r="AD9817">
        <v>-1.1116382665297</v>
      </c>
      <c r="AE9817">
        <v>0.35512000000001298</v>
      </c>
      <c r="AF9817">
        <v>7.17544013365565E-2</v>
      </c>
      <c r="AG9817">
        <v>-1.1116382665297</v>
      </c>
      <c r="AH9817">
        <v>14.5309725664872</v>
      </c>
      <c r="AI9817">
        <v>94.374627470388205</v>
      </c>
      <c r="AJ9817">
        <v>89.717073931321096</v>
      </c>
      <c r="AK9817">
        <v>14.5736080658747</v>
      </c>
      <c r="AL9817">
        <v>88.017370269664198</v>
      </c>
      <c r="AM9817">
        <v>96.969325321506702</v>
      </c>
      <c r="AN9817">
        <v>0.99999995988863399</v>
      </c>
    </row>
    <row r="9818" spans="1:40" x14ac:dyDescent="0.25">
      <c r="A9818" t="str">
        <f>"20190312150914263"</f>
        <v>20190312150914263</v>
      </c>
      <c r="B9818" t="str">
        <f>"1552374554259375"</f>
        <v>1552374554259375</v>
      </c>
      <c r="C9818" t="s">
        <v>40</v>
      </c>
      <c r="D9818">
        <v>4.5927619999999996</v>
      </c>
      <c r="E9818">
        <v>0.54920760000000002</v>
      </c>
      <c r="F9818" t="s">
        <v>41</v>
      </c>
      <c r="G9818">
        <v>-226.03149999999999</v>
      </c>
      <c r="H9818">
        <v>1.0440449999999999</v>
      </c>
      <c r="I9818">
        <v>-61.844119999999997</v>
      </c>
      <c r="J9818">
        <v>-226.7775</v>
      </c>
      <c r="K9818">
        <v>1.111683</v>
      </c>
      <c r="L9818">
        <v>-61.860169999999997</v>
      </c>
      <c r="M9818">
        <v>0.99947810000000004</v>
      </c>
      <c r="N9818">
        <v>0</v>
      </c>
      <c r="O9818">
        <v>3.0300000000000001E-2</v>
      </c>
      <c r="P9818">
        <v>0.98808790000000002</v>
      </c>
      <c r="Q9818">
        <v>2.3980399999999999E-2</v>
      </c>
      <c r="R9818">
        <v>0.15201210000000001</v>
      </c>
      <c r="S9818">
        <v>3.0296630000000002</v>
      </c>
      <c r="T9818">
        <v>-0.2263067</v>
      </c>
      <c r="U9818">
        <v>7.2998049999999995E-2</v>
      </c>
      <c r="V9818">
        <v>-0.12213980000000001</v>
      </c>
      <c r="W9818">
        <v>3.4622729999999997E-2</v>
      </c>
      <c r="X9818">
        <v>0.99190880000000003</v>
      </c>
      <c r="Y9818">
        <v>6.1153559999999997E-3</v>
      </c>
      <c r="Z9818">
        <v>-2.4875679999999999E-3</v>
      </c>
      <c r="AA9818">
        <v>0.99997820000000004</v>
      </c>
      <c r="AB9818">
        <v>31</v>
      </c>
      <c r="AC9818">
        <v>0.74600000000000899</v>
      </c>
      <c r="AD9818">
        <v>-6.7637999999999796E-2</v>
      </c>
      <c r="AE9818">
        <v>1.6049999999999801E-2</v>
      </c>
      <c r="AF9818">
        <v>6.5091040792720099E-3</v>
      </c>
      <c r="AG9818">
        <v>-6.7637999999999796E-2</v>
      </c>
      <c r="AH9818">
        <v>0.74006282582139804</v>
      </c>
      <c r="AI9818">
        <v>95.221835957923801</v>
      </c>
      <c r="AJ9818">
        <v>89.496077139874302</v>
      </c>
      <c r="AK9818">
        <v>0.74317578919301897</v>
      </c>
      <c r="AL9818">
        <v>88.015867085538801</v>
      </c>
      <c r="AM9818">
        <v>97.019842785130294</v>
      </c>
      <c r="AN9818">
        <v>0.99999996584706496</v>
      </c>
    </row>
    <row r="9819" spans="1:40" x14ac:dyDescent="0.25">
      <c r="A9819" t="str">
        <f>"20190312150914275"</f>
        <v>20190312150914275</v>
      </c>
      <c r="B9819" t="str">
        <f>"1552374554269135"</f>
        <v>1552374554269135</v>
      </c>
      <c r="C9819" t="s">
        <v>40</v>
      </c>
      <c r="D9819">
        <v>4.647284</v>
      </c>
      <c r="E9819">
        <v>0.54944999999999999</v>
      </c>
      <c r="F9819" t="s">
        <v>90</v>
      </c>
      <c r="G9819">
        <v>-211.8486</v>
      </c>
      <c r="H9819" s="1">
        <v>-5.3578450000000003E-8</v>
      </c>
      <c r="I9819">
        <v>-61.479210000000002</v>
      </c>
      <c r="J9819">
        <v>-226.6129</v>
      </c>
      <c r="K9819">
        <v>1.111728</v>
      </c>
      <c r="L9819">
        <v>-61.854030000000002</v>
      </c>
      <c r="M9819">
        <v>0.99944250000000001</v>
      </c>
      <c r="N9819">
        <v>0</v>
      </c>
      <c r="O9819">
        <v>3.1448169999999998E-2</v>
      </c>
      <c r="P9819">
        <v>0.98779019999999995</v>
      </c>
      <c r="Q9819">
        <v>2.418257E-2</v>
      </c>
      <c r="R9819">
        <v>0.15390119999999999</v>
      </c>
      <c r="S9819">
        <v>3.0297550000000002</v>
      </c>
      <c r="T9819">
        <v>-0.2256117</v>
      </c>
      <c r="U9819">
        <v>7.7301030000000007E-2</v>
      </c>
      <c r="V9819">
        <v>-0.12290180000000001</v>
      </c>
      <c r="W9819">
        <v>3.4810489999999999E-2</v>
      </c>
      <c r="X9819">
        <v>0.99180809999999997</v>
      </c>
      <c r="Y9819">
        <v>5.8437280000000003E-3</v>
      </c>
      <c r="Z9819">
        <v>-2.555047E-3</v>
      </c>
      <c r="AA9819">
        <v>0.99997970000000003</v>
      </c>
      <c r="AB9819">
        <v>31</v>
      </c>
      <c r="AC9819">
        <v>14.764299999999899</v>
      </c>
      <c r="AD9819">
        <v>-1.1117280535784499</v>
      </c>
      <c r="AE9819">
        <v>0.37482000000000598</v>
      </c>
      <c r="AF9819">
        <v>8.9199395424741396E-2</v>
      </c>
      <c r="AG9819">
        <v>-1.1117280535784499</v>
      </c>
      <c r="AH9819">
        <v>14.685573229397701</v>
      </c>
      <c r="AI9819">
        <v>94.329071393489997</v>
      </c>
      <c r="AJ9819">
        <v>89.651992743864199</v>
      </c>
      <c r="AK9819">
        <v>14.727863282678101</v>
      </c>
      <c r="AL9819">
        <v>88.005102739004997</v>
      </c>
      <c r="AM9819">
        <v>97.063906736029395</v>
      </c>
      <c r="AN9819">
        <v>0.99999996494144405</v>
      </c>
    </row>
    <row r="9820" spans="1:40" x14ac:dyDescent="0.25">
      <c r="A9820" t="str">
        <f>"20190312150914286"</f>
        <v>20190312150914286</v>
      </c>
      <c r="B9820" t="str">
        <f>"1552374554278895"</f>
        <v>1552374554278895</v>
      </c>
      <c r="C9820" t="s">
        <v>40</v>
      </c>
      <c r="D9820">
        <v>4.5513690000000002</v>
      </c>
      <c r="E9820">
        <v>0.54970769999999902</v>
      </c>
      <c r="F9820" t="s">
        <v>90</v>
      </c>
      <c r="G9820">
        <v>-211.69370000000001</v>
      </c>
      <c r="H9820" s="1">
        <v>1.9593019999999999E-8</v>
      </c>
      <c r="I9820">
        <v>-61.453960000000002</v>
      </c>
      <c r="J9820">
        <v>-226.46469999999999</v>
      </c>
      <c r="K9820">
        <v>1.111769</v>
      </c>
      <c r="L9820">
        <v>-61.84845</v>
      </c>
      <c r="M9820">
        <v>0.9994092</v>
      </c>
      <c r="N9820">
        <v>0</v>
      </c>
      <c r="O9820">
        <v>3.2491449999999998E-2</v>
      </c>
      <c r="P9820">
        <v>0.98750360000000004</v>
      </c>
      <c r="Q9820">
        <v>2.42572E-2</v>
      </c>
      <c r="R9820">
        <v>0.1557191</v>
      </c>
      <c r="S9820">
        <v>3.0299529999999999</v>
      </c>
      <c r="T9820">
        <v>-0.2257808</v>
      </c>
      <c r="U9820">
        <v>8.1237790000000004E-2</v>
      </c>
      <c r="V9820">
        <v>-0.1236965</v>
      </c>
      <c r="W9820">
        <v>3.4871489999999998E-2</v>
      </c>
      <c r="X9820">
        <v>0.99170720000000001</v>
      </c>
      <c r="Y9820">
        <v>5.5885700000000002E-3</v>
      </c>
      <c r="Z9820">
        <v>-2.6248209999999998E-3</v>
      </c>
      <c r="AA9820">
        <v>0.99998089999999995</v>
      </c>
      <c r="AB9820">
        <v>31</v>
      </c>
      <c r="AC9820">
        <v>14.7709999999999</v>
      </c>
      <c r="AD9820">
        <v>-1.1117689804069799</v>
      </c>
      <c r="AE9820">
        <v>0.394490000000004</v>
      </c>
      <c r="AF9820">
        <v>8.5197342265923903E-2</v>
      </c>
      <c r="AG9820">
        <v>-1.1117689804069799</v>
      </c>
      <c r="AH9820">
        <v>14.6928410704827</v>
      </c>
      <c r="AI9820">
        <v>94.327103877085506</v>
      </c>
      <c r="AJ9820">
        <v>89.667770623455297</v>
      </c>
      <c r="AK9820">
        <v>14.735089669743701</v>
      </c>
      <c r="AL9820">
        <v>88.001605658633594</v>
      </c>
      <c r="AM9820">
        <v>97.1098329594126</v>
      </c>
      <c r="AN9820">
        <v>1.00000000772945</v>
      </c>
    </row>
    <row r="9821" spans="1:40" x14ac:dyDescent="0.25">
      <c r="A9821" t="str">
        <f>"20190312150914296"</f>
        <v>20190312150914296</v>
      </c>
      <c r="B9821" t="str">
        <f>"1552374554289633"</f>
        <v>1552374554289633</v>
      </c>
      <c r="C9821" t="s">
        <v>40</v>
      </c>
      <c r="D9821">
        <v>4.7903760000000002</v>
      </c>
      <c r="E9821">
        <v>0.55015619999999998</v>
      </c>
      <c r="F9821" t="s">
        <v>41</v>
      </c>
      <c r="G9821">
        <v>-225.4787</v>
      </c>
      <c r="H9821">
        <v>1.0382260000000001</v>
      </c>
      <c r="I9821">
        <v>-61.821060000000003</v>
      </c>
      <c r="J9821">
        <v>-226.3098</v>
      </c>
      <c r="K9821">
        <v>1.1118110000000001</v>
      </c>
      <c r="L9821">
        <v>-61.842289999999998</v>
      </c>
      <c r="M9821">
        <v>0.99937169999999997</v>
      </c>
      <c r="N9821">
        <v>0</v>
      </c>
      <c r="O9821">
        <v>3.3619080000000003E-2</v>
      </c>
      <c r="P9821">
        <v>0.98718890000000004</v>
      </c>
      <c r="Q9821">
        <v>2.412216E-2</v>
      </c>
      <c r="R9821">
        <v>0.15772269999999999</v>
      </c>
      <c r="S9821">
        <v>3.030151</v>
      </c>
      <c r="T9821">
        <v>-0.22604479999999999</v>
      </c>
      <c r="U9821">
        <v>8.4747310000000006E-2</v>
      </c>
      <c r="V9821">
        <v>-0.1245928</v>
      </c>
      <c r="W9821">
        <v>3.4722330000000003E-2</v>
      </c>
      <c r="X9821">
        <v>0.99160020000000004</v>
      </c>
      <c r="Y9821">
        <v>5.558052E-3</v>
      </c>
      <c r="Z9821">
        <v>-2.7104590000000001E-3</v>
      </c>
      <c r="AA9821">
        <v>0.99998089999999995</v>
      </c>
      <c r="AB9821">
        <v>31</v>
      </c>
      <c r="AC9821">
        <v>0.83109999999999196</v>
      </c>
      <c r="AD9821">
        <v>-7.3584999999999998E-2</v>
      </c>
      <c r="AE9821">
        <v>2.12300000000098E-2</v>
      </c>
      <c r="AF9821">
        <v>6.6723082491451603E-3</v>
      </c>
      <c r="AG9821">
        <v>-7.3584999999999998E-2</v>
      </c>
      <c r="AH9821">
        <v>0.82488171357448503</v>
      </c>
      <c r="AI9821">
        <v>95.097509644568404</v>
      </c>
      <c r="AJ9821">
        <v>89.536555655651696</v>
      </c>
      <c r="AK9821">
        <v>0.82818422667420499</v>
      </c>
      <c r="AL9821">
        <v>88.010157023190899</v>
      </c>
      <c r="AM9821">
        <v>97.161582303450601</v>
      </c>
      <c r="AN9821">
        <v>0.99999998132625401</v>
      </c>
    </row>
    <row r="9822" spans="1:40" x14ac:dyDescent="0.25">
      <c r="A9822" t="str">
        <f>"20190312150914308"</f>
        <v>20190312150914308</v>
      </c>
      <c r="B9822" t="str">
        <f>"1552374554299393"</f>
        <v>1552374554299393</v>
      </c>
      <c r="C9822" t="s">
        <v>40</v>
      </c>
      <c r="D9822">
        <v>4.5947389999999997</v>
      </c>
      <c r="E9822">
        <v>0.55050659999999996</v>
      </c>
      <c r="F9822" t="s">
        <v>90</v>
      </c>
      <c r="G9822">
        <v>-211.49690000000001</v>
      </c>
      <c r="H9822" s="1">
        <v>1.143437E-7</v>
      </c>
      <c r="I9822">
        <v>-61.41516</v>
      </c>
      <c r="J9822">
        <v>-226.15049999999999</v>
      </c>
      <c r="K9822">
        <v>1.111853</v>
      </c>
      <c r="L9822">
        <v>-61.835819999999998</v>
      </c>
      <c r="M9822">
        <v>0.99933150000000004</v>
      </c>
      <c r="N9822">
        <v>0</v>
      </c>
      <c r="O9822">
        <v>3.4792179999999999E-2</v>
      </c>
      <c r="P9822">
        <v>0.98687820000000004</v>
      </c>
      <c r="Q9822">
        <v>2.423291E-2</v>
      </c>
      <c r="R9822">
        <v>0.15963820000000001</v>
      </c>
      <c r="S9822">
        <v>3.0305330000000001</v>
      </c>
      <c r="T9822">
        <v>-0.22746250000000001</v>
      </c>
      <c r="U9822">
        <v>8.7371829999999998E-2</v>
      </c>
      <c r="V9822">
        <v>-0.12535779999999999</v>
      </c>
      <c r="W9822">
        <v>3.4818590000000003E-2</v>
      </c>
      <c r="X9822">
        <v>0.99150039999999995</v>
      </c>
      <c r="Y9822">
        <v>5.8646189999999997E-3</v>
      </c>
      <c r="Z9822">
        <v>-2.8263670000000002E-3</v>
      </c>
      <c r="AA9822">
        <v>0.99997879999999995</v>
      </c>
      <c r="AB9822">
        <v>31</v>
      </c>
      <c r="AC9822">
        <v>14.6535999999999</v>
      </c>
      <c r="AD9822">
        <v>-1.1118528856562999</v>
      </c>
      <c r="AE9822">
        <v>0.42065999999999798</v>
      </c>
      <c r="AF9822">
        <v>8.8945887288409603E-2</v>
      </c>
      <c r="AG9822">
        <v>-1.1118528856562999</v>
      </c>
      <c r="AH9822">
        <v>14.575519678183101</v>
      </c>
      <c r="AI9822">
        <v>94.362119815479602</v>
      </c>
      <c r="AJ9822">
        <v>89.650361647450197</v>
      </c>
      <c r="AK9822">
        <v>14.618136067888701</v>
      </c>
      <c r="AL9822">
        <v>88.004638387163297</v>
      </c>
      <c r="AM9822">
        <v>97.205811315805803</v>
      </c>
      <c r="AN9822">
        <v>0.99999997771529303</v>
      </c>
    </row>
    <row r="9823" spans="1:40" x14ac:dyDescent="0.25">
      <c r="A9823" t="str">
        <f>"20190312150914317"</f>
        <v>20190312150914317</v>
      </c>
      <c r="B9823" t="str">
        <f>"1552374554309152"</f>
        <v>1552374554309152</v>
      </c>
      <c r="C9823" t="s">
        <v>40</v>
      </c>
      <c r="D9823">
        <v>4.6587129999999997</v>
      </c>
      <c r="E9823">
        <v>0.55116549999999997</v>
      </c>
      <c r="F9823" t="s">
        <v>41</v>
      </c>
      <c r="G9823">
        <v>-225.1977</v>
      </c>
      <c r="H9823">
        <v>1.040343</v>
      </c>
      <c r="I9823">
        <v>-61.807450000000003</v>
      </c>
      <c r="J9823">
        <v>-226.00790000000001</v>
      </c>
      <c r="K9823">
        <v>1.111891</v>
      </c>
      <c r="L9823">
        <v>-61.829830000000001</v>
      </c>
      <c r="M9823">
        <v>0.9992936</v>
      </c>
      <c r="N9823">
        <v>0</v>
      </c>
      <c r="O9823">
        <v>3.5865109999999999E-2</v>
      </c>
      <c r="P9823">
        <v>0.98654900000000001</v>
      </c>
      <c r="Q9823">
        <v>2.4198500000000001E-2</v>
      </c>
      <c r="R9823">
        <v>0.16166529999999901</v>
      </c>
      <c r="S9823">
        <v>3.0308380000000001</v>
      </c>
      <c r="T9823">
        <v>-0.22749369999999999</v>
      </c>
      <c r="U9823">
        <v>9.0515139999999994E-2</v>
      </c>
      <c r="V9823">
        <v>-0.12633330000000001</v>
      </c>
      <c r="W9823">
        <v>3.4769979999999999E-2</v>
      </c>
      <c r="X9823">
        <v>0.99137830000000005</v>
      </c>
      <c r="Y9823">
        <v>5.9018500000000002E-3</v>
      </c>
      <c r="Z9823">
        <v>-2.9081580000000001E-3</v>
      </c>
      <c r="AA9823">
        <v>0.99997840000000005</v>
      </c>
      <c r="AB9823">
        <v>31</v>
      </c>
      <c r="AC9823">
        <v>0.81020000000000802</v>
      </c>
      <c r="AD9823">
        <v>-7.1547999999999903E-2</v>
      </c>
      <c r="AE9823">
        <v>2.23799999999982E-2</v>
      </c>
      <c r="AF9823">
        <v>6.6423820261455697E-3</v>
      </c>
      <c r="AG9823">
        <v>-7.1547999999999903E-2</v>
      </c>
      <c r="AH9823">
        <v>0.80421451862288196</v>
      </c>
      <c r="AI9823">
        <v>95.083836593016102</v>
      </c>
      <c r="AJ9823">
        <v>89.526778249696093</v>
      </c>
      <c r="AK9823">
        <v>0.80741824942641405</v>
      </c>
      <c r="AL9823">
        <v>88.007425254879905</v>
      </c>
      <c r="AM9823">
        <v>97.262173513903704</v>
      </c>
      <c r="AN9823">
        <v>0.99999999395449002</v>
      </c>
    </row>
    <row r="9824" spans="1:40" x14ac:dyDescent="0.25">
      <c r="A9824" t="str">
        <f>"20190312150914330"</f>
        <v>20190312150914330</v>
      </c>
      <c r="B9824" t="str">
        <f>"1552374554318911"</f>
        <v>1552374554318911</v>
      </c>
      <c r="C9824" t="s">
        <v>40</v>
      </c>
      <c r="D9824">
        <v>4.6193289999999996</v>
      </c>
      <c r="E9824">
        <v>0.55166539999999997</v>
      </c>
      <c r="F9824" t="s">
        <v>90</v>
      </c>
      <c r="G9824">
        <v>-211.4025</v>
      </c>
      <c r="H9824" s="1">
        <v>1.6207539999999899E-7</v>
      </c>
      <c r="I9824">
        <v>-61.38796</v>
      </c>
      <c r="J9824">
        <v>-225.85409999999999</v>
      </c>
      <c r="K9824">
        <v>1.1119289999999999</v>
      </c>
      <c r="L9824">
        <v>-61.823180000000001</v>
      </c>
      <c r="M9824">
        <v>0.99925079999999999</v>
      </c>
      <c r="N9824">
        <v>0</v>
      </c>
      <c r="O9824">
        <v>3.7041030000000003E-2</v>
      </c>
      <c r="P9824">
        <v>0.98624080000000003</v>
      </c>
      <c r="Q9824">
        <v>2.424099E-2</v>
      </c>
      <c r="R9824">
        <v>0.16352939999999999</v>
      </c>
      <c r="S9824">
        <v>3.0315699999999999</v>
      </c>
      <c r="T9824">
        <v>-0.23078950000000001</v>
      </c>
      <c r="U9824">
        <v>9.1705320000000007E-2</v>
      </c>
      <c r="V9824">
        <v>-0.12704460000000001</v>
      </c>
      <c r="W9824">
        <v>3.4799999999999998E-2</v>
      </c>
      <c r="X9824">
        <v>0.99128629999999995</v>
      </c>
      <c r="Y9824">
        <v>6.684565E-3</v>
      </c>
      <c r="Z9824">
        <v>-3.0684890000000002E-3</v>
      </c>
      <c r="AA9824">
        <v>0.99997290000000005</v>
      </c>
      <c r="AB9824">
        <v>31</v>
      </c>
      <c r="AC9824">
        <v>14.4515999999999</v>
      </c>
      <c r="AD9824">
        <v>-1.1119288379246</v>
      </c>
      <c r="AE9824">
        <v>0.43522000000000799</v>
      </c>
      <c r="AF9824">
        <v>9.9824108484151602E-2</v>
      </c>
      <c r="AG9824">
        <v>-1.1119288379246</v>
      </c>
      <c r="AH9824">
        <v>14.372793370445001</v>
      </c>
      <c r="AI9824">
        <v>94.423681165194793</v>
      </c>
      <c r="AJ9824">
        <v>89.602067044348004</v>
      </c>
      <c r="AK9824">
        <v>14.4160861492553</v>
      </c>
      <c r="AL9824">
        <v>88.005704105281097</v>
      </c>
      <c r="AM9824">
        <v>97.303292317903001</v>
      </c>
      <c r="AN9824">
        <v>0.99999994947842297</v>
      </c>
    </row>
    <row r="9825" spans="1:40" x14ac:dyDescent="0.25">
      <c r="A9825" t="str">
        <f>"20190312150914339"</f>
        <v>20190312150914339</v>
      </c>
      <c r="B9825" t="str">
        <f>"1552374554329248"</f>
        <v>1552374554329248</v>
      </c>
      <c r="C9825" t="s">
        <v>40</v>
      </c>
      <c r="D9825">
        <v>4.6785050000000004</v>
      </c>
      <c r="E9825">
        <v>0.55221640000000005</v>
      </c>
      <c r="F9825" t="s">
        <v>41</v>
      </c>
      <c r="G9825">
        <v>-224.9195</v>
      </c>
      <c r="H9825">
        <v>1.0393399999999999</v>
      </c>
      <c r="I9825">
        <v>-61.794510000000002</v>
      </c>
      <c r="J9825">
        <v>-225.69749999999999</v>
      </c>
      <c r="K9825">
        <v>1.1119699999999999</v>
      </c>
      <c r="L9825">
        <v>-61.816249999999997</v>
      </c>
      <c r="M9825">
        <v>0.99920469999999895</v>
      </c>
      <c r="N9825">
        <v>0</v>
      </c>
      <c r="O9825">
        <v>3.8258029999999998E-2</v>
      </c>
      <c r="P9825">
        <v>0.98590549999999999</v>
      </c>
      <c r="Q9825">
        <v>2.421798E-2</v>
      </c>
      <c r="R9825">
        <v>0.16554170000000001</v>
      </c>
      <c r="S9825">
        <v>3.0321500000000001</v>
      </c>
      <c r="T9825">
        <v>-0.23555029999999999</v>
      </c>
      <c r="U9825">
        <v>9.3536380000000002E-2</v>
      </c>
      <c r="V9825">
        <v>-0.12786339999999999</v>
      </c>
      <c r="W9825">
        <v>3.4763309999999999E-2</v>
      </c>
      <c r="X9825">
        <v>0.99118229999999996</v>
      </c>
      <c r="Y9825">
        <v>7.2942559999999998E-3</v>
      </c>
      <c r="Z9825">
        <v>-3.2489099999999998E-3</v>
      </c>
      <c r="AA9825">
        <v>0.99996810000000003</v>
      </c>
      <c r="AB9825">
        <v>31</v>
      </c>
      <c r="AC9825">
        <v>0.77799999999999103</v>
      </c>
      <c r="AD9825">
        <v>-7.2630000000000194E-2</v>
      </c>
      <c r="AE9825">
        <v>2.1740000000001199E-2</v>
      </c>
      <c r="AF9825">
        <v>7.9731126848865096E-3</v>
      </c>
      <c r="AG9825">
        <v>-7.2630000000000194E-2</v>
      </c>
      <c r="AH9825">
        <v>0.77154329265136101</v>
      </c>
      <c r="AI9825">
        <v>95.377462342074097</v>
      </c>
      <c r="AJ9825">
        <v>89.407927655941293</v>
      </c>
      <c r="AK9825">
        <v>0.77499531602532301</v>
      </c>
      <c r="AL9825">
        <v>88.007807549958798</v>
      </c>
      <c r="AM9825">
        <v>97.350611593491195</v>
      </c>
      <c r="AN9825">
        <v>0.99999994430750105</v>
      </c>
    </row>
    <row r="9826" spans="1:40" x14ac:dyDescent="0.25">
      <c r="A9826" t="str">
        <f>"20190312150914352"</f>
        <v>20190312150914352</v>
      </c>
      <c r="B9826" t="str">
        <f>"1552374554348767"</f>
        <v>1552374554348767</v>
      </c>
      <c r="C9826" t="s">
        <v>40</v>
      </c>
      <c r="D9826">
        <v>4.6550159999999998</v>
      </c>
      <c r="E9826">
        <v>0.56392310000000001</v>
      </c>
      <c r="F9826" t="s">
        <v>90</v>
      </c>
      <c r="G9826">
        <v>-211.63630000000001</v>
      </c>
      <c r="H9826" s="1">
        <v>6.5674560000000003E-8</v>
      </c>
      <c r="I9826">
        <v>-61.3733199999999</v>
      </c>
      <c r="J9826">
        <v>-225.5368</v>
      </c>
      <c r="K9826">
        <v>1.1120099999999999</v>
      </c>
      <c r="L9826">
        <v>-61.808839999999996</v>
      </c>
      <c r="M9826">
        <v>0.99915500000000002</v>
      </c>
      <c r="N9826">
        <v>0</v>
      </c>
      <c r="O9826">
        <v>3.9534739999999999E-2</v>
      </c>
      <c r="P9826">
        <v>0.98549310000000001</v>
      </c>
      <c r="Q9826">
        <v>2.414144E-2</v>
      </c>
      <c r="R9826">
        <v>0.1679899</v>
      </c>
      <c r="S9826">
        <v>3.0327449999999998</v>
      </c>
      <c r="T9826">
        <v>-0.23983180000000001</v>
      </c>
      <c r="U9826">
        <v>9.5520019999999997E-2</v>
      </c>
      <c r="V9826">
        <v>-0.12906189999999901</v>
      </c>
      <c r="W9826">
        <v>3.467133E-2</v>
      </c>
      <c r="X9826">
        <v>0.99103019999999997</v>
      </c>
      <c r="Y9826">
        <v>7.9137400000000007E-3</v>
      </c>
      <c r="Z9826">
        <v>-3.4322430000000002E-3</v>
      </c>
      <c r="AA9826">
        <v>0.99996280000000004</v>
      </c>
      <c r="AB9826">
        <v>31</v>
      </c>
      <c r="AC9826">
        <v>13.9004999999999</v>
      </c>
      <c r="AD9826">
        <v>-1.1120099343254399</v>
      </c>
      <c r="AE9826">
        <v>0.43552000000001001</v>
      </c>
      <c r="AF9826">
        <v>0.113681086158536</v>
      </c>
      <c r="AG9826">
        <v>-1.1120099343254399</v>
      </c>
      <c r="AH9826">
        <v>13.818503510492301</v>
      </c>
      <c r="AI9826">
        <v>94.600667020788293</v>
      </c>
      <c r="AJ9826">
        <v>89.528653771587599</v>
      </c>
      <c r="AK9826">
        <v>13.863640530282</v>
      </c>
      <c r="AL9826">
        <v>88.013080838496407</v>
      </c>
      <c r="AM9826">
        <v>97.419872875596397</v>
      </c>
      <c r="AN9826">
        <v>0.99999996623380805</v>
      </c>
    </row>
    <row r="9827" spans="1:40" x14ac:dyDescent="0.25">
      <c r="A9827" t="str">
        <f>"20190312150914362"</f>
        <v>20190312150914362</v>
      </c>
      <c r="B9827" t="str">
        <f>"1552374554359504"</f>
        <v>1552374554359504</v>
      </c>
      <c r="C9827" t="s">
        <v>40</v>
      </c>
      <c r="D9827">
        <v>4.6062130000000003</v>
      </c>
      <c r="E9827">
        <v>0.56336079999999999</v>
      </c>
      <c r="F9827" t="s">
        <v>41</v>
      </c>
      <c r="G9827">
        <v>-224.65639999999999</v>
      </c>
      <c r="H9827">
        <v>1.007055</v>
      </c>
      <c r="I9827">
        <v>-61.804679999999998</v>
      </c>
      <c r="J9827">
        <v>-225.386</v>
      </c>
      <c r="K9827">
        <v>1.1120509999999999</v>
      </c>
      <c r="L9827">
        <v>-61.801789999999997</v>
      </c>
      <c r="M9827">
        <v>0.9991063</v>
      </c>
      <c r="N9827">
        <v>0</v>
      </c>
      <c r="O9827">
        <v>4.0745320000000002E-2</v>
      </c>
      <c r="P9827">
        <v>0.98514650000000004</v>
      </c>
      <c r="Q9827">
        <v>2.406817E-2</v>
      </c>
      <c r="R9827">
        <v>0.17002139999999999</v>
      </c>
      <c r="S9827">
        <v>3.050583</v>
      </c>
      <c r="T9827">
        <v>-0.3637145</v>
      </c>
      <c r="U9827">
        <v>1.464844E-2</v>
      </c>
      <c r="V9827">
        <v>-0.1299071</v>
      </c>
      <c r="W9827">
        <v>3.4585560000000001E-2</v>
      </c>
      <c r="X9827">
        <v>0.99092279999999999</v>
      </c>
      <c r="Y9827">
        <v>3.5410379999999998E-2</v>
      </c>
      <c r="Z9827">
        <v>-6.9434780000000003E-3</v>
      </c>
      <c r="AA9827">
        <v>0.99934880000000004</v>
      </c>
      <c r="AB9827">
        <v>31</v>
      </c>
      <c r="AC9827">
        <v>0.72960000000000402</v>
      </c>
      <c r="AD9827">
        <v>-0.10499600000000001</v>
      </c>
      <c r="AE9827">
        <v>-2.8900000000007201E-3</v>
      </c>
      <c r="AF9827">
        <v>3.1955483272337097E-2</v>
      </c>
      <c r="AG9827">
        <v>-0.10499600000000001</v>
      </c>
      <c r="AH9827">
        <v>0.71408789250064397</v>
      </c>
      <c r="AI9827">
        <v>98.356312238279003</v>
      </c>
      <c r="AJ9827">
        <v>87.437719316999605</v>
      </c>
      <c r="AK9827">
        <v>0.72247271999929497</v>
      </c>
      <c r="AL9827">
        <v>88.017998124747393</v>
      </c>
      <c r="AM9827">
        <v>97.4687176629823</v>
      </c>
      <c r="AN9827">
        <v>1.0000000055753799</v>
      </c>
    </row>
    <row r="9828" spans="1:40" x14ac:dyDescent="0.25">
      <c r="A9828" t="str">
        <f>"20190312150914375"</f>
        <v>20190312150914375</v>
      </c>
      <c r="B9828" t="str">
        <f>"1552374554369269"</f>
        <v>1552374554369269</v>
      </c>
      <c r="C9828" t="s">
        <v>40</v>
      </c>
      <c r="D9828">
        <v>4.6309800000000001</v>
      </c>
      <c r="E9828">
        <v>0.56328619999999996</v>
      </c>
      <c r="F9828" t="s">
        <v>41</v>
      </c>
      <c r="G9828">
        <v>-224.64670000000001</v>
      </c>
      <c r="H9828">
        <v>1.0274369999999999</v>
      </c>
      <c r="I9828">
        <v>-61.795830000000002</v>
      </c>
      <c r="J9828">
        <v>-225.22550000000001</v>
      </c>
      <c r="K9828">
        <v>1.112093</v>
      </c>
      <c r="L9828">
        <v>-61.793909999999997</v>
      </c>
      <c r="M9828">
        <v>0.99905129999999998</v>
      </c>
      <c r="N9828">
        <v>0</v>
      </c>
      <c r="O9828">
        <v>4.2071310000000001E-2</v>
      </c>
      <c r="P9828">
        <v>0.98474740000000005</v>
      </c>
      <c r="Q9828">
        <v>2.4019740000000001E-2</v>
      </c>
      <c r="R9828">
        <v>0.17232549999999999</v>
      </c>
      <c r="S9828">
        <v>3.0494690000000002</v>
      </c>
      <c r="T9828">
        <v>-0.34909430000000002</v>
      </c>
      <c r="U9828">
        <v>2.4841309999999998E-2</v>
      </c>
      <c r="V9828">
        <v>-0.1309138</v>
      </c>
      <c r="W9828">
        <v>3.452504E-2</v>
      </c>
      <c r="X9828">
        <v>0.99079240000000002</v>
      </c>
      <c r="Y9828">
        <v>3.3440940000000002E-2</v>
      </c>
      <c r="Z9828">
        <v>-6.7073259999999996E-3</v>
      </c>
      <c r="AA9828">
        <v>0.99941820000000003</v>
      </c>
      <c r="AB9828">
        <v>31</v>
      </c>
      <c r="AC9828">
        <v>0.57880000000000098</v>
      </c>
      <c r="AD9828">
        <v>-8.4655999999999801E-2</v>
      </c>
      <c r="AE9828">
        <v>-1.9200000000054701E-3</v>
      </c>
      <c r="AF9828">
        <v>2.5720498673431201E-2</v>
      </c>
      <c r="AG9828">
        <v>-8.4655999999999801E-2</v>
      </c>
      <c r="AH9828">
        <v>0.56609668592212903</v>
      </c>
      <c r="AI9828">
        <v>98.496538886009105</v>
      </c>
      <c r="AJ9828">
        <v>87.398565891290701</v>
      </c>
      <c r="AK9828">
        <v>0.572969144195416</v>
      </c>
      <c r="AL9828">
        <v>88.021467707874393</v>
      </c>
      <c r="AM9828">
        <v>97.526913838864004</v>
      </c>
      <c r="AN9828">
        <v>0.99999999065760004</v>
      </c>
    </row>
    <row r="9829" spans="1:40" x14ac:dyDescent="0.25">
      <c r="A9829" t="str">
        <f>"20190312150914385"</f>
        <v>20190312150914385</v>
      </c>
      <c r="B9829" t="str">
        <f>"1552374554379024"</f>
        <v>1552374554379024</v>
      </c>
      <c r="C9829" t="s">
        <v>40</v>
      </c>
      <c r="D9829">
        <v>4.5963000000000003</v>
      </c>
      <c r="E9829">
        <v>0.56283070000000002</v>
      </c>
      <c r="F9829" t="s">
        <v>41</v>
      </c>
      <c r="G9829">
        <v>-224.37299999999999</v>
      </c>
      <c r="H9829">
        <v>1.015687</v>
      </c>
      <c r="I9829">
        <v>-61.785150000000002</v>
      </c>
      <c r="J9829">
        <v>-225.06870000000001</v>
      </c>
      <c r="K9829">
        <v>1.112134</v>
      </c>
      <c r="L9829">
        <v>-61.78613</v>
      </c>
      <c r="M9829">
        <v>0.99899539999999998</v>
      </c>
      <c r="N9829">
        <v>0</v>
      </c>
      <c r="O9829">
        <v>4.3376489999999997E-2</v>
      </c>
      <c r="P9829">
        <v>0.9843575</v>
      </c>
      <c r="Q9829">
        <v>2.4101689999999999E-2</v>
      </c>
      <c r="R9829">
        <v>0.17452709999999999</v>
      </c>
      <c r="S9829">
        <v>3.0492400000000002</v>
      </c>
      <c r="T9829">
        <v>-0.34489389999999998</v>
      </c>
      <c r="U9829">
        <v>3.2226560000000001E-2</v>
      </c>
      <c r="V9829">
        <v>-0.13183889999999901</v>
      </c>
      <c r="W9829">
        <v>3.4595090000000002E-2</v>
      </c>
      <c r="X9829">
        <v>0.99066730000000003</v>
      </c>
      <c r="Y9829">
        <v>3.2336080000000003E-2</v>
      </c>
      <c r="Z9829">
        <v>-6.7122559999999998E-3</v>
      </c>
      <c r="AA9829">
        <v>0.99945450000000002</v>
      </c>
      <c r="AB9829">
        <v>31</v>
      </c>
      <c r="AC9829">
        <v>0.69570000000001597</v>
      </c>
      <c r="AD9829">
        <v>-9.6446999999999894E-2</v>
      </c>
      <c r="AE9829">
        <v>9.80000000005532E-4</v>
      </c>
      <c r="AF9829">
        <v>2.8649245917019801E-2</v>
      </c>
      <c r="AG9829">
        <v>-9.6446999999999894E-2</v>
      </c>
      <c r="AH9829">
        <v>0.68198059470304595</v>
      </c>
      <c r="AI9829">
        <v>98.042497794558997</v>
      </c>
      <c r="AJ9829">
        <v>87.594482435593093</v>
      </c>
      <c r="AK9829">
        <v>0.68936226662918998</v>
      </c>
      <c r="AL9829">
        <v>88.017451772930102</v>
      </c>
      <c r="AM9829">
        <v>97.5804324033776</v>
      </c>
      <c r="AN9829">
        <v>1.0000000075472999</v>
      </c>
    </row>
    <row r="9830" spans="1:40" x14ac:dyDescent="0.25">
      <c r="A9830" t="str">
        <f>"20190312150914396"</f>
        <v>20190312150914396</v>
      </c>
      <c r="B9830" t="str">
        <f>"1552374554388784"</f>
        <v>1552374554388784</v>
      </c>
      <c r="C9830" t="s">
        <v>40</v>
      </c>
      <c r="D9830">
        <v>4.5810469999999999</v>
      </c>
      <c r="E9830">
        <v>0.5629364</v>
      </c>
      <c r="F9830" t="s">
        <v>41</v>
      </c>
      <c r="G9830">
        <v>-224.0994</v>
      </c>
      <c r="H9830">
        <v>1.003652</v>
      </c>
      <c r="I9830">
        <v>-61.772689999999997</v>
      </c>
      <c r="J9830">
        <v>-224.9119</v>
      </c>
      <c r="K9830">
        <v>1.112177</v>
      </c>
      <c r="L9830">
        <v>-61.777979999999999</v>
      </c>
      <c r="M9830">
        <v>0.99893600000000005</v>
      </c>
      <c r="N9830">
        <v>0</v>
      </c>
      <c r="O9830">
        <v>4.4719639999999998E-2</v>
      </c>
      <c r="P9830">
        <v>0.98395549999999998</v>
      </c>
      <c r="Q9830">
        <v>2.4018930000000001E-2</v>
      </c>
      <c r="R9830">
        <v>0.17679010000000001</v>
      </c>
      <c r="S9830">
        <v>3.0485229999999999</v>
      </c>
      <c r="T9830">
        <v>-0.34117219999999998</v>
      </c>
      <c r="U9830">
        <v>4.2358399999999997E-2</v>
      </c>
      <c r="V9830">
        <v>-0.132788299999999</v>
      </c>
      <c r="W9830">
        <v>3.450073E-2</v>
      </c>
      <c r="X9830">
        <v>0.99054379999999997</v>
      </c>
      <c r="Y9830">
        <v>3.037018E-2</v>
      </c>
      <c r="Z9830">
        <v>-6.6816699999999998E-3</v>
      </c>
      <c r="AA9830">
        <v>0.99951639999999997</v>
      </c>
      <c r="AB9830">
        <v>31</v>
      </c>
      <c r="AC9830">
        <v>0.8125</v>
      </c>
      <c r="AD9830">
        <v>-0.108524999999999</v>
      </c>
      <c r="AE9830">
        <v>5.2900000000022304E-3</v>
      </c>
      <c r="AF9830">
        <v>3.0508045267063601E-2</v>
      </c>
      <c r="AG9830">
        <v>-0.108524999999999</v>
      </c>
      <c r="AH9830">
        <v>0.79769280822132305</v>
      </c>
      <c r="AI9830">
        <v>97.741854006312707</v>
      </c>
      <c r="AJ9830">
        <v>87.809769999070497</v>
      </c>
      <c r="AK9830">
        <v>0.805619161104699</v>
      </c>
      <c r="AL9830">
        <v>88.0228614691773</v>
      </c>
      <c r="AM9830">
        <v>97.635319762924496</v>
      </c>
      <c r="AN9830">
        <v>1.0000000263529301</v>
      </c>
    </row>
    <row r="9831" spans="1:40" x14ac:dyDescent="0.25">
      <c r="A9831" t="str">
        <f>"20190312150914408"</f>
        <v>20190312150914408</v>
      </c>
      <c r="B9831" t="str">
        <f>"1552374554399520"</f>
        <v>1552374554399520</v>
      </c>
      <c r="C9831" t="s">
        <v>40</v>
      </c>
      <c r="D9831">
        <v>4.852112</v>
      </c>
      <c r="E9831">
        <v>0.5629364</v>
      </c>
      <c r="F9831" t="s">
        <v>41</v>
      </c>
      <c r="G9831">
        <v>-224.09030000000001</v>
      </c>
      <c r="H9831">
        <v>1.0225709999999999</v>
      </c>
      <c r="I9831">
        <v>-61.765009999999997</v>
      </c>
      <c r="J9831">
        <v>-224.755</v>
      </c>
      <c r="K9831">
        <v>1.1122209999999999</v>
      </c>
      <c r="L9831">
        <v>-61.769680000000001</v>
      </c>
      <c r="M9831">
        <v>0.99887429999999999</v>
      </c>
      <c r="N9831">
        <v>0</v>
      </c>
      <c r="O9831">
        <v>4.607762E-2</v>
      </c>
      <c r="P9831">
        <v>0.98354070000000005</v>
      </c>
      <c r="Q9831">
        <v>2.4085550000000001E-2</v>
      </c>
      <c r="R9831">
        <v>0.1790747</v>
      </c>
      <c r="S9831">
        <v>3.0483549999999999</v>
      </c>
      <c r="T9831">
        <v>-0.33249709999999899</v>
      </c>
      <c r="U9831">
        <v>4.8248289999999999E-2</v>
      </c>
      <c r="V9831">
        <v>-0.133745899999999</v>
      </c>
      <c r="W9831">
        <v>3.4555530000000001E-2</v>
      </c>
      <c r="X9831">
        <v>0.99041299999999999</v>
      </c>
      <c r="Y9831">
        <v>2.9816120000000002E-2</v>
      </c>
      <c r="Z9831">
        <v>-6.6304160000000001E-3</v>
      </c>
      <c r="AA9831">
        <v>0.99953340000000002</v>
      </c>
      <c r="AB9831">
        <v>31</v>
      </c>
      <c r="AC9831">
        <v>0.66469999999998197</v>
      </c>
      <c r="AD9831">
        <v>-8.9649999999999994E-2</v>
      </c>
      <c r="AE9831">
        <v>4.6700000000114896E-3</v>
      </c>
      <c r="AF9831">
        <v>2.5500844535792998E-2</v>
      </c>
      <c r="AG9831">
        <v>-8.9649999999999994E-2</v>
      </c>
      <c r="AH9831">
        <v>0.65234311631778596</v>
      </c>
      <c r="AI9831">
        <v>97.819111609203503</v>
      </c>
      <c r="AJ9831">
        <v>87.761381746503005</v>
      </c>
      <c r="AK9831">
        <v>0.65896810012263896</v>
      </c>
      <c r="AL9831">
        <v>88.019719696391903</v>
      </c>
      <c r="AM9831">
        <v>97.690728593368505</v>
      </c>
      <c r="AN9831">
        <v>0.99999998049469496</v>
      </c>
    </row>
    <row r="9832" spans="1:40" x14ac:dyDescent="0.25">
      <c r="A9832" t="str">
        <f>"20190312150914419"</f>
        <v>20190312150914419</v>
      </c>
      <c r="B9832" t="str">
        <f>"1552374554409280"</f>
        <v>1552374554409280</v>
      </c>
      <c r="C9832" t="s">
        <v>40</v>
      </c>
      <c r="D9832">
        <v>4.57193</v>
      </c>
      <c r="E9832">
        <v>0.56302339999999995</v>
      </c>
      <c r="F9832" t="s">
        <v>41</v>
      </c>
      <c r="G9832">
        <v>-223.8169</v>
      </c>
      <c r="H9832">
        <v>1.0100150000000001</v>
      </c>
      <c r="I9832">
        <v>-61.752940000000002</v>
      </c>
      <c r="J9832">
        <v>-224.6036</v>
      </c>
      <c r="K9832">
        <v>1.1122620000000001</v>
      </c>
      <c r="L9832">
        <v>-61.76144</v>
      </c>
      <c r="M9832">
        <v>0.99881169999999997</v>
      </c>
      <c r="N9832">
        <v>0</v>
      </c>
      <c r="O9832">
        <v>4.7413070000000002E-2</v>
      </c>
      <c r="P9832">
        <v>0.98311590000000004</v>
      </c>
      <c r="Q9832">
        <v>2.409944E-2</v>
      </c>
      <c r="R9832">
        <v>0.18139</v>
      </c>
      <c r="S9832">
        <v>3.0482480000000001</v>
      </c>
      <c r="T9832">
        <v>-0.33225969999999999</v>
      </c>
      <c r="U9832">
        <v>5.5328370000000002E-2</v>
      </c>
      <c r="V9832">
        <v>-0.134757399999999</v>
      </c>
      <c r="W9832">
        <v>3.4557440000000002E-2</v>
      </c>
      <c r="X9832">
        <v>0.99027589999999999</v>
      </c>
      <c r="Y9832">
        <v>2.88296E-2</v>
      </c>
      <c r="Z9832">
        <v>-6.7171230000000002E-3</v>
      </c>
      <c r="AA9832">
        <v>0.99956179999999994</v>
      </c>
      <c r="AB9832">
        <v>31</v>
      </c>
      <c r="AC9832">
        <v>0.78669999999999596</v>
      </c>
      <c r="AD9832">
        <v>-0.102247</v>
      </c>
      <c r="AE9832">
        <v>8.4999999999979502E-3</v>
      </c>
      <c r="AF9832">
        <v>2.83332438001597E-2</v>
      </c>
      <c r="AG9832">
        <v>-0.102247</v>
      </c>
      <c r="AH9832">
        <v>0.773159437976353</v>
      </c>
      <c r="AI9832">
        <v>97.528410202532797</v>
      </c>
      <c r="AJ9832">
        <v>87.901274821233798</v>
      </c>
      <c r="AK9832">
        <v>0.78040549603725196</v>
      </c>
      <c r="AL9832">
        <v>88.019610365091097</v>
      </c>
      <c r="AM9832">
        <v>97.749248159113705</v>
      </c>
      <c r="AN9832">
        <v>1.0000000658174499</v>
      </c>
    </row>
    <row r="9833" spans="1:40" x14ac:dyDescent="0.25">
      <c r="A9833" t="str">
        <f>"20190312150914430"</f>
        <v>20190312150914430</v>
      </c>
      <c r="B9833" t="str">
        <f>"1552374554419041"</f>
        <v>1552374554419041</v>
      </c>
      <c r="C9833" t="s">
        <v>40</v>
      </c>
      <c r="D9833">
        <v>4.5653940000000004</v>
      </c>
      <c r="E9833">
        <v>0.56321690000000002</v>
      </c>
      <c r="F9833" t="s">
        <v>73</v>
      </c>
      <c r="G9833">
        <v>-207.5497</v>
      </c>
      <c r="H9833" s="1">
        <v>-1.6757980000000001E-6</v>
      </c>
      <c r="I9833">
        <v>-61.437629999999999</v>
      </c>
      <c r="J9833">
        <v>-224.45179999999999</v>
      </c>
      <c r="K9833">
        <v>1.112304</v>
      </c>
      <c r="L9833">
        <v>-61.752929999999999</v>
      </c>
      <c r="M9833">
        <v>0.99874600000000002</v>
      </c>
      <c r="N9833">
        <v>0</v>
      </c>
      <c r="O9833">
        <v>4.8774919999999999E-2</v>
      </c>
      <c r="P9833">
        <v>0.98269220000000002</v>
      </c>
      <c r="Q9833">
        <v>2.428423E-2</v>
      </c>
      <c r="R9833">
        <v>0.18364710000000001</v>
      </c>
      <c r="S9833">
        <v>3.045715</v>
      </c>
      <c r="T9833">
        <v>-0.1986434</v>
      </c>
      <c r="U9833">
        <v>5.7830810000000003E-2</v>
      </c>
      <c r="V9833">
        <v>-0.13568629999999901</v>
      </c>
      <c r="W9833">
        <v>3.473043E-2</v>
      </c>
      <c r="X9833">
        <v>0.99014290000000005</v>
      </c>
      <c r="Y9833">
        <v>2.9641210000000001E-2</v>
      </c>
      <c r="Z9833">
        <v>-4.1418519999999997E-3</v>
      </c>
      <c r="AA9833">
        <v>0.999552</v>
      </c>
      <c r="AB9833">
        <v>31</v>
      </c>
      <c r="AC9833">
        <v>16.902099999999901</v>
      </c>
      <c r="AD9833">
        <v>-1.1123056757979899</v>
      </c>
      <c r="AE9833">
        <v>0.31530000000000002</v>
      </c>
      <c r="AF9833">
        <v>0.50733005339580095</v>
      </c>
      <c r="AG9833">
        <v>-1.1123056757979899</v>
      </c>
      <c r="AH9833">
        <v>16.824522088348601</v>
      </c>
      <c r="AI9833">
        <v>93.780730483965499</v>
      </c>
      <c r="AJ9833">
        <v>88.272814806156603</v>
      </c>
      <c r="AK9833">
        <v>16.868881148458499</v>
      </c>
      <c r="AL9833">
        <v>88.009692621940005</v>
      </c>
      <c r="AM9833">
        <v>97.803044141702998</v>
      </c>
      <c r="AN9833">
        <v>0.99999996859804197</v>
      </c>
    </row>
    <row r="9834" spans="1:40" x14ac:dyDescent="0.25">
      <c r="A9834" t="str">
        <f>"20190312150914441"</f>
        <v>20190312150914441</v>
      </c>
      <c r="B9834" t="str">
        <f>"1552374554429571"</f>
        <v>1552374554429571</v>
      </c>
      <c r="C9834" t="s">
        <v>40</v>
      </c>
      <c r="D9834">
        <v>4.5518390000000002</v>
      </c>
      <c r="E9834">
        <v>0.56354839999999995</v>
      </c>
      <c r="F9834" t="s">
        <v>41</v>
      </c>
      <c r="G9834">
        <v>-223.51429999999999</v>
      </c>
      <c r="H9834">
        <v>1.0513269999999999</v>
      </c>
      <c r="I9834">
        <v>-61.733440000000002</v>
      </c>
      <c r="J9834">
        <v>-224.29599999999999</v>
      </c>
      <c r="K9834">
        <v>1.1123459999999901</v>
      </c>
      <c r="L9834">
        <v>-61.7440199999999</v>
      </c>
      <c r="M9834">
        <v>0.9986756</v>
      </c>
      <c r="N9834">
        <v>0</v>
      </c>
      <c r="O9834">
        <v>5.0193290000000002E-2</v>
      </c>
      <c r="P9834">
        <v>0.98217469999999996</v>
      </c>
      <c r="Q9834">
        <v>2.4592949999999999E-2</v>
      </c>
      <c r="R9834">
        <v>0.1863554</v>
      </c>
      <c r="S9834">
        <v>3.0458980000000002</v>
      </c>
      <c r="T9834">
        <v>-0.19809779999999999</v>
      </c>
      <c r="U9834">
        <v>6.3293459999999996E-2</v>
      </c>
      <c r="V9834">
        <v>-0.13701569999999999</v>
      </c>
      <c r="W9834">
        <v>3.5023499999999999E-2</v>
      </c>
      <c r="X9834">
        <v>0.98994950000000004</v>
      </c>
      <c r="Y9834">
        <v>2.926873E-2</v>
      </c>
      <c r="Z9834">
        <v>-4.2100849999999997E-3</v>
      </c>
      <c r="AA9834">
        <v>0.99956270000000003</v>
      </c>
      <c r="AB9834">
        <v>31</v>
      </c>
      <c r="AC9834">
        <v>0.78169999999999995</v>
      </c>
      <c r="AD9834">
        <v>-6.1018999999999698E-2</v>
      </c>
      <c r="AE9834">
        <v>1.05799999999902E-2</v>
      </c>
      <c r="AF9834">
        <v>2.8498321440836801E-2</v>
      </c>
      <c r="AG9834">
        <v>-6.1018999999999698E-2</v>
      </c>
      <c r="AH9834">
        <v>0.77651499392557999</v>
      </c>
      <c r="AI9834">
        <v>94.490092217232103</v>
      </c>
      <c r="AJ9834">
        <v>87.898171892823399</v>
      </c>
      <c r="AK9834">
        <v>0.779429925315412</v>
      </c>
      <c r="AL9834">
        <v>87.992890748248101</v>
      </c>
      <c r="AM9834">
        <v>97.880059596427103</v>
      </c>
      <c r="AN9834">
        <v>0.99999998007449398</v>
      </c>
    </row>
    <row r="9835" spans="1:40" x14ac:dyDescent="0.25">
      <c r="A9835" t="str">
        <f>"20190312150914452"</f>
        <v>20190312150914452</v>
      </c>
      <c r="B9835" t="str">
        <f>"1552374554449090"</f>
        <v>1552374554449090</v>
      </c>
      <c r="C9835" t="s">
        <v>40</v>
      </c>
      <c r="D9835">
        <v>4.5550509999999997</v>
      </c>
      <c r="E9835">
        <v>0.56450159999999905</v>
      </c>
      <c r="F9835" t="s">
        <v>73</v>
      </c>
      <c r="G9835">
        <v>-206.99109999999999</v>
      </c>
      <c r="H9835" s="1">
        <v>-2.0189770000000001E-6</v>
      </c>
      <c r="I9835">
        <v>-61.352040000000002</v>
      </c>
      <c r="J9835">
        <v>-224.13730000000001</v>
      </c>
      <c r="K9835">
        <v>1.112393</v>
      </c>
      <c r="L9835">
        <v>-61.734589999999997</v>
      </c>
      <c r="M9835">
        <v>0.99859989999999998</v>
      </c>
      <c r="N9835">
        <v>0</v>
      </c>
      <c r="O9835">
        <v>5.1676640000000003E-2</v>
      </c>
      <c r="P9835">
        <v>0.98161799999999999</v>
      </c>
      <c r="Q9835">
        <v>2.4747390000000001E-2</v>
      </c>
      <c r="R9835">
        <v>0.1892452</v>
      </c>
      <c r="S9835">
        <v>3.046265</v>
      </c>
      <c r="T9835">
        <v>-0.19581100000000001</v>
      </c>
      <c r="U9835">
        <v>6.9000240000000004E-2</v>
      </c>
      <c r="V9835">
        <v>-0.13846410000000001</v>
      </c>
      <c r="W9835">
        <v>3.5160749999999998E-2</v>
      </c>
      <c r="X9835">
        <v>0.98974309999999999</v>
      </c>
      <c r="Y9835">
        <v>2.8885930000000001E-2</v>
      </c>
      <c r="Z9835">
        <v>-4.243798E-3</v>
      </c>
      <c r="AA9835">
        <v>0.99957370000000001</v>
      </c>
      <c r="AB9835">
        <v>31</v>
      </c>
      <c r="AC9835">
        <v>17.1462</v>
      </c>
      <c r="AD9835">
        <v>-1.112395018977</v>
      </c>
      <c r="AE9835">
        <v>0.382550000000001</v>
      </c>
      <c r="AF9835">
        <v>0.50196408351341804</v>
      </c>
      <c r="AG9835">
        <v>-1.112395018977</v>
      </c>
      <c r="AH9835">
        <v>17.0712400189765</v>
      </c>
      <c r="AI9835">
        <v>93.726626856961204</v>
      </c>
      <c r="AJ9835">
        <v>88.3157556823503</v>
      </c>
      <c r="AK9835">
        <v>17.1148072266353</v>
      </c>
      <c r="AL9835">
        <v>87.985022085283902</v>
      </c>
      <c r="AM9835">
        <v>97.963936390635695</v>
      </c>
      <c r="AN9835">
        <v>0.99999999466349099</v>
      </c>
    </row>
    <row r="9836" spans="1:40" x14ac:dyDescent="0.25">
      <c r="A9836" t="str">
        <f>"20190312150914464"</f>
        <v>20190312150914464</v>
      </c>
      <c r="B9836" t="str">
        <f>"1552374554458850"</f>
        <v>1552374554458850</v>
      </c>
      <c r="C9836" t="s">
        <v>40</v>
      </c>
      <c r="D9836">
        <v>4.473382</v>
      </c>
      <c r="E9836">
        <v>0.56491480000000005</v>
      </c>
      <c r="F9836" t="s">
        <v>73</v>
      </c>
      <c r="G9836">
        <v>-206.38460000000001</v>
      </c>
      <c r="H9836" s="1">
        <v>-2.4007090000000002E-6</v>
      </c>
      <c r="I9836">
        <v>-61.325339999999997</v>
      </c>
      <c r="J9836">
        <v>-223.9735</v>
      </c>
      <c r="K9836">
        <v>1.112441</v>
      </c>
      <c r="L9836">
        <v>-61.724760000000003</v>
      </c>
      <c r="M9836">
        <v>0.99851860000000003</v>
      </c>
      <c r="N9836">
        <v>0</v>
      </c>
      <c r="O9836">
        <v>5.3221930000000001E-2</v>
      </c>
      <c r="P9836">
        <v>0.98106629999999995</v>
      </c>
      <c r="Q9836">
        <v>2.482966E-2</v>
      </c>
      <c r="R9836">
        <v>0.19207450000000001</v>
      </c>
      <c r="S9836">
        <v>3.0474700000000001</v>
      </c>
      <c r="T9836">
        <v>-0.1909574</v>
      </c>
      <c r="U9836">
        <v>7.0251460000000002E-2</v>
      </c>
      <c r="V9836">
        <v>-0.13979079999999999</v>
      </c>
      <c r="W9836">
        <v>3.522604E-2</v>
      </c>
      <c r="X9836">
        <v>0.9895543</v>
      </c>
      <c r="Y9836">
        <v>3.0034519999999999E-2</v>
      </c>
      <c r="Z9836">
        <v>-4.2697000000000004E-3</v>
      </c>
      <c r="AA9836">
        <v>0.99953970000000003</v>
      </c>
      <c r="AB9836">
        <v>31</v>
      </c>
      <c r="AC9836">
        <v>17.588899999999899</v>
      </c>
      <c r="AD9836">
        <v>-1.1124434007089901</v>
      </c>
      <c r="AE9836">
        <v>0.399419999999992</v>
      </c>
      <c r="AF9836">
        <v>0.53518158940167404</v>
      </c>
      <c r="AG9836">
        <v>-1.1124434007089901</v>
      </c>
      <c r="AH9836">
        <v>17.515199804215801</v>
      </c>
      <c r="AI9836">
        <v>93.632456437724798</v>
      </c>
      <c r="AJ9836">
        <v>88.249856738398805</v>
      </c>
      <c r="AK9836">
        <v>17.5586495447406</v>
      </c>
      <c r="AL9836">
        <v>87.981278990623693</v>
      </c>
      <c r="AM9836">
        <v>98.040764035870396</v>
      </c>
      <c r="AN9836">
        <v>1.0000000271536</v>
      </c>
    </row>
    <row r="9837" spans="1:40" x14ac:dyDescent="0.25">
      <c r="A9837" t="str">
        <f>"20190312150914476"</f>
        <v>20190312150914476</v>
      </c>
      <c r="B9837" t="str">
        <f>"1552374554469586"</f>
        <v>1552374554469586</v>
      </c>
      <c r="C9837" t="s">
        <v>40</v>
      </c>
      <c r="D9837">
        <v>4.5332739999999996</v>
      </c>
      <c r="E9837">
        <v>0.56527959999999899</v>
      </c>
      <c r="F9837" t="s">
        <v>73</v>
      </c>
      <c r="G9837">
        <v>-206.18119999999999</v>
      </c>
      <c r="H9837" s="1">
        <v>-2.5240700000000001E-6</v>
      </c>
      <c r="I9837">
        <v>-61.282600000000002</v>
      </c>
      <c r="J9837">
        <v>-223.81049999999999</v>
      </c>
      <c r="K9837">
        <v>1.1124940000000001</v>
      </c>
      <c r="L9837">
        <v>-61.714449999999999</v>
      </c>
      <c r="M9837">
        <v>0.99843199999999999</v>
      </c>
      <c r="N9837">
        <v>0</v>
      </c>
      <c r="O9837">
        <v>5.4820000000000001E-2</v>
      </c>
      <c r="P9837">
        <v>0.98049660000000005</v>
      </c>
      <c r="Q9837">
        <v>2.520617E-2</v>
      </c>
      <c r="R9837">
        <v>0.19491359999999999</v>
      </c>
      <c r="S9837">
        <v>3.047882</v>
      </c>
      <c r="T9837">
        <v>-0.1905656</v>
      </c>
      <c r="U9837">
        <v>7.5744629999999993E-2</v>
      </c>
      <c r="V9837">
        <v>-0.14107939999999999</v>
      </c>
      <c r="W9837">
        <v>3.5582959999999997E-2</v>
      </c>
      <c r="X9837">
        <v>0.98935859999999998</v>
      </c>
      <c r="Y9837">
        <v>2.9835E-2</v>
      </c>
      <c r="Z9837">
        <v>-4.353689E-3</v>
      </c>
      <c r="AA9837">
        <v>0.99954529999999997</v>
      </c>
      <c r="AB9837">
        <v>31</v>
      </c>
      <c r="AC9837">
        <v>17.629300000000001</v>
      </c>
      <c r="AD9837">
        <v>-1.11249652407</v>
      </c>
      <c r="AE9837">
        <v>0.43184999999999701</v>
      </c>
      <c r="AF9837">
        <v>0.53317774253817396</v>
      </c>
      <c r="AG9837">
        <v>-1.11249652407</v>
      </c>
      <c r="AH9837">
        <v>17.556589541108799</v>
      </c>
      <c r="AI9837">
        <v>93.624108826574698</v>
      </c>
      <c r="AJ9837">
        <v>88.260513640557406</v>
      </c>
      <c r="AK9837">
        <v>17.599879639820699</v>
      </c>
      <c r="AL9837">
        <v>87.960816080376901</v>
      </c>
      <c r="AM9837">
        <v>98.115485284973801</v>
      </c>
      <c r="AN9837">
        <v>0.99999999177034005</v>
      </c>
    </row>
    <row r="9838" spans="1:40" x14ac:dyDescent="0.25">
      <c r="A9838" t="str">
        <f>"20190312150914487"</f>
        <v>20190312150914487</v>
      </c>
      <c r="B9838" t="str">
        <f>"1552374554479346"</f>
        <v>1552374554479346</v>
      </c>
      <c r="C9838" t="s">
        <v>40</v>
      </c>
      <c r="D9838">
        <v>4.5105409999999999</v>
      </c>
      <c r="E9838">
        <v>0.5657257</v>
      </c>
      <c r="F9838" t="s">
        <v>73</v>
      </c>
      <c r="G9838">
        <v>-205.7251</v>
      </c>
      <c r="H9838" s="1">
        <v>-2.806533E-6</v>
      </c>
      <c r="I9838">
        <v>-61.229190000000003</v>
      </c>
      <c r="J9838">
        <v>-223.65629999999999</v>
      </c>
      <c r="K9838">
        <v>1.112549</v>
      </c>
      <c r="L9838">
        <v>-61.704590000000003</v>
      </c>
      <c r="M9838">
        <v>0.99834679999999998</v>
      </c>
      <c r="N9838">
        <v>0</v>
      </c>
      <c r="O9838">
        <v>5.6347189999999998E-2</v>
      </c>
      <c r="P9838">
        <v>0.97998209999999997</v>
      </c>
      <c r="Q9838">
        <v>2.519969E-2</v>
      </c>
      <c r="R9838">
        <v>0.19748470000000001</v>
      </c>
      <c r="S9838">
        <v>3.0482179999999999</v>
      </c>
      <c r="T9838">
        <v>-0.18750739999999999</v>
      </c>
      <c r="U9838">
        <v>8.1787109999999996E-2</v>
      </c>
      <c r="V9838">
        <v>-0.14216589999999901</v>
      </c>
      <c r="W9838">
        <v>3.5559140000000003E-2</v>
      </c>
      <c r="X9838">
        <v>0.98920390000000002</v>
      </c>
      <c r="Y9838">
        <v>2.9389889999999998E-2</v>
      </c>
      <c r="Z9838">
        <v>-4.363352E-3</v>
      </c>
      <c r="AA9838">
        <v>0.99955850000000002</v>
      </c>
      <c r="AB9838">
        <v>31</v>
      </c>
      <c r="AC9838">
        <v>17.931199999999901</v>
      </c>
      <c r="AD9838">
        <v>-1.112551806533</v>
      </c>
      <c r="AE9838">
        <v>0.47539999999999999</v>
      </c>
      <c r="AF9838">
        <v>0.53373986267611795</v>
      </c>
      <c r="AG9838">
        <v>-1.112551806533</v>
      </c>
      <c r="AH9838">
        <v>17.8607874779326</v>
      </c>
      <c r="AI9838">
        <v>93.562773293606298</v>
      </c>
      <c r="AJ9838">
        <v>88.288320528639304</v>
      </c>
      <c r="AK9838">
        <v>17.9033622287855</v>
      </c>
      <c r="AL9838">
        <v>87.962181697279703</v>
      </c>
      <c r="AM9838">
        <v>98.178404808584503</v>
      </c>
      <c r="AN9838">
        <v>0.99999997566777898</v>
      </c>
    </row>
    <row r="9839" spans="1:40" x14ac:dyDescent="0.25">
      <c r="A9839" t="str">
        <f>"20190312150914498"</f>
        <v>20190312150914498</v>
      </c>
      <c r="B9839" t="str">
        <f>"1552374554489107"</f>
        <v>1552374554489107</v>
      </c>
      <c r="C9839" t="s">
        <v>40</v>
      </c>
      <c r="D9839">
        <v>4.5435569999999998</v>
      </c>
      <c r="E9839">
        <v>0.56619900000000001</v>
      </c>
      <c r="F9839" t="s">
        <v>41</v>
      </c>
      <c r="G9839">
        <v>-222.67519999999999</v>
      </c>
      <c r="H9839">
        <v>1.0520969999999901</v>
      </c>
      <c r="I9839">
        <v>-61.676969999999997</v>
      </c>
      <c r="J9839">
        <v>-223.4939</v>
      </c>
      <c r="K9839">
        <v>1.1126100000000001</v>
      </c>
      <c r="L9839">
        <v>-61.693820000000002</v>
      </c>
      <c r="M9839">
        <v>0.99825169999999996</v>
      </c>
      <c r="N9839">
        <v>0</v>
      </c>
      <c r="O9839">
        <v>5.8007280000000001E-2</v>
      </c>
      <c r="P9839">
        <v>0.9793577</v>
      </c>
      <c r="Q9839">
        <v>2.5327470000000001E-2</v>
      </c>
      <c r="R9839">
        <v>0.20054259999999999</v>
      </c>
      <c r="S9839">
        <v>3.0487060000000001</v>
      </c>
      <c r="T9839">
        <v>-0.18799360000000001</v>
      </c>
      <c r="U9839">
        <v>8.6395260000000001E-2</v>
      </c>
      <c r="V9839">
        <v>-0.1436152</v>
      </c>
      <c r="W9839">
        <v>3.5663500000000001E-2</v>
      </c>
      <c r="X9839">
        <v>0.98899079999999995</v>
      </c>
      <c r="Y9839">
        <v>2.9542470000000001E-2</v>
      </c>
      <c r="Z9839">
        <v>-4.4806070000000002E-3</v>
      </c>
      <c r="AA9839">
        <v>0.99955349999999998</v>
      </c>
      <c r="AB9839">
        <v>31</v>
      </c>
      <c r="AC9839">
        <v>0.81870000000000598</v>
      </c>
      <c r="AD9839">
        <v>-6.0513000000000199E-2</v>
      </c>
      <c r="AE9839">
        <v>1.6849999999997999E-2</v>
      </c>
      <c r="AF9839">
        <v>3.0505405948162999E-2</v>
      </c>
      <c r="AG9839">
        <v>-6.0513000000000199E-2</v>
      </c>
      <c r="AH9839">
        <v>0.81385437458438303</v>
      </c>
      <c r="AI9839">
        <v>94.249349476952105</v>
      </c>
      <c r="AJ9839">
        <v>87.853408152771095</v>
      </c>
      <c r="AK9839">
        <v>0.81667089209252497</v>
      </c>
      <c r="AL9839">
        <v>87.956198577981297</v>
      </c>
      <c r="AM9839">
        <v>98.2623894324757</v>
      </c>
      <c r="AN9839">
        <v>1.0000000066939601</v>
      </c>
    </row>
    <row r="9840" spans="1:40" x14ac:dyDescent="0.25">
      <c r="A9840" t="str">
        <f>"20190312150914510"</f>
        <v>20190312150914510</v>
      </c>
      <c r="B9840" t="str">
        <f>"1552374554498867"</f>
        <v>1552374554498867</v>
      </c>
      <c r="C9840" t="s">
        <v>40</v>
      </c>
      <c r="D9840">
        <v>4.5166219999999999</v>
      </c>
      <c r="E9840">
        <v>0.56619900000000001</v>
      </c>
      <c r="F9840" t="s">
        <v>73</v>
      </c>
      <c r="G9840">
        <v>-205.3929</v>
      </c>
      <c r="H9840" s="1">
        <v>-3.0061520000000001E-6</v>
      </c>
      <c r="I9840">
        <v>-61.146340000000002</v>
      </c>
      <c r="J9840">
        <v>-223.32910000000001</v>
      </c>
      <c r="K9840">
        <v>1.1126799999999999</v>
      </c>
      <c r="L9840">
        <v>-61.682589999999998</v>
      </c>
      <c r="M9840">
        <v>0.99815019999999999</v>
      </c>
      <c r="N9840">
        <v>0</v>
      </c>
      <c r="O9840">
        <v>5.9727160000000001E-2</v>
      </c>
      <c r="P9840">
        <v>0.97869209999999995</v>
      </c>
      <c r="Q9840">
        <v>2.5474409999999999E-2</v>
      </c>
      <c r="R9840">
        <v>0.20374719999999999</v>
      </c>
      <c r="S9840">
        <v>3.0491790000000001</v>
      </c>
      <c r="T9840">
        <v>-0.18742349999999999</v>
      </c>
      <c r="U9840">
        <v>9.2224120000000007E-2</v>
      </c>
      <c r="V9840">
        <v>-0.14515510000000001</v>
      </c>
      <c r="W9840">
        <v>3.5785490000000003E-2</v>
      </c>
      <c r="X9840">
        <v>0.98876149999999996</v>
      </c>
      <c r="Y9840">
        <v>2.935815E-2</v>
      </c>
      <c r="Z9840">
        <v>-4.5659350000000001E-3</v>
      </c>
      <c r="AA9840">
        <v>0.99955850000000002</v>
      </c>
      <c r="AB9840">
        <v>31</v>
      </c>
      <c r="AC9840">
        <v>17.936199999999999</v>
      </c>
      <c r="AD9840">
        <v>-1.1126830061520001</v>
      </c>
      <c r="AE9840">
        <v>0.536250000000002</v>
      </c>
      <c r="AF9840">
        <v>0.53400155252203496</v>
      </c>
      <c r="AG9840">
        <v>-1.1126830061520001</v>
      </c>
      <c r="AH9840">
        <v>17.867505646343201</v>
      </c>
      <c r="AI9840">
        <v>93.561855687934695</v>
      </c>
      <c r="AJ9840">
        <v>88.288125323131794</v>
      </c>
      <c r="AK9840">
        <v>17.910080378166398</v>
      </c>
      <c r="AL9840">
        <v>87.949204493589505</v>
      </c>
      <c r="AM9840">
        <v>98.351648625485893</v>
      </c>
      <c r="AN9840">
        <v>0.99999995411639897</v>
      </c>
    </row>
    <row r="9841" spans="1:40" x14ac:dyDescent="0.25">
      <c r="A9841" t="str">
        <f>"20190312150914521"</f>
        <v>20190312150914521</v>
      </c>
      <c r="B9841" t="str">
        <f>"1552374554509603"</f>
        <v>1552374554509603</v>
      </c>
      <c r="C9841" t="s">
        <v>40</v>
      </c>
      <c r="D9841">
        <v>4.6398910000000004</v>
      </c>
      <c r="E9841">
        <v>0.57333400000000001</v>
      </c>
      <c r="F9841" t="s">
        <v>73</v>
      </c>
      <c r="G9841">
        <v>-205.1755</v>
      </c>
      <c r="H9841" s="1">
        <v>-3.1343249999999998E-6</v>
      </c>
      <c r="I9841">
        <v>-61.07423</v>
      </c>
      <c r="J9841">
        <v>-223.1806</v>
      </c>
      <c r="K9841">
        <v>1.112738</v>
      </c>
      <c r="L9841">
        <v>-61.672269999999997</v>
      </c>
      <c r="M9841">
        <v>0.99805440000000001</v>
      </c>
      <c r="N9841">
        <v>0</v>
      </c>
      <c r="O9841">
        <v>6.1305510000000001E-2</v>
      </c>
      <c r="P9841">
        <v>0.97807239999999995</v>
      </c>
      <c r="Q9841">
        <v>2.586573E-2</v>
      </c>
      <c r="R9841">
        <v>0.206653</v>
      </c>
      <c r="S9841">
        <v>3.048889</v>
      </c>
      <c r="T9841">
        <v>-0.1868747</v>
      </c>
      <c r="U9841">
        <v>0.1021729</v>
      </c>
      <c r="V9841">
        <v>-0.14653720000000001</v>
      </c>
      <c r="W9841">
        <v>3.6152419999999998E-2</v>
      </c>
      <c r="X9841">
        <v>0.98854430000000004</v>
      </c>
      <c r="Y9841">
        <v>2.767876E-2</v>
      </c>
      <c r="Z9841">
        <v>-4.5977420000000001E-3</v>
      </c>
      <c r="AA9841">
        <v>0.99960629999999995</v>
      </c>
      <c r="AB9841">
        <v>31</v>
      </c>
      <c r="AC9841">
        <v>18.005099999999999</v>
      </c>
      <c r="AD9841">
        <v>-1.112741134325</v>
      </c>
      <c r="AE9841">
        <v>0.59803999999999002</v>
      </c>
      <c r="AF9841">
        <v>0.50504125966218605</v>
      </c>
      <c r="AG9841">
        <v>-1.112741134325</v>
      </c>
      <c r="AH9841">
        <v>17.939451654323701</v>
      </c>
      <c r="AI9841">
        <v>93.547970255457997</v>
      </c>
      <c r="AJ9841">
        <v>88.387403801778106</v>
      </c>
      <c r="AK9841">
        <v>17.981022917615</v>
      </c>
      <c r="AL9841">
        <v>87.928167415099793</v>
      </c>
      <c r="AM9841">
        <v>98.431857370490505</v>
      </c>
      <c r="AN9841">
        <v>0.99999999075909296</v>
      </c>
    </row>
    <row r="9842" spans="1:40" x14ac:dyDescent="0.25">
      <c r="A9842" t="str">
        <f>"20190312150914530"</f>
        <v>20190312150914530</v>
      </c>
      <c r="B9842" t="str">
        <f>"1552374554519363"</f>
        <v>1552374554519363</v>
      </c>
      <c r="C9842" t="s">
        <v>40</v>
      </c>
      <c r="D9842">
        <v>4.5171530000000004</v>
      </c>
      <c r="E9842">
        <v>0.57418190000000002</v>
      </c>
      <c r="F9842" t="s">
        <v>73</v>
      </c>
      <c r="G9842">
        <v>-202.64789999999999</v>
      </c>
      <c r="H9842" s="1">
        <v>-4.4069610000000003E-6</v>
      </c>
      <c r="I9842">
        <v>-61.304099999999998</v>
      </c>
      <c r="J9842">
        <v>-223.04859999999999</v>
      </c>
      <c r="K9842">
        <v>1.112798</v>
      </c>
      <c r="L9842">
        <v>-61.662779999999998</v>
      </c>
      <c r="M9842">
        <v>0.99796490000000004</v>
      </c>
      <c r="N9842">
        <v>0</v>
      </c>
      <c r="O9842">
        <v>6.2745709999999996E-2</v>
      </c>
      <c r="P9842">
        <v>0.97746719999999998</v>
      </c>
      <c r="Q9842">
        <v>2.578283E-2</v>
      </c>
      <c r="R9842">
        <v>0.20950730000000001</v>
      </c>
      <c r="S9842">
        <v>3.0600740000000002</v>
      </c>
      <c r="T9842">
        <v>-0.16583609999999999</v>
      </c>
      <c r="U9842">
        <v>5.487061E-2</v>
      </c>
      <c r="V9842">
        <v>-0.1480003</v>
      </c>
      <c r="W9842">
        <v>3.6046149999999999E-2</v>
      </c>
      <c r="X9842">
        <v>0.98833020000000005</v>
      </c>
      <c r="Y9842">
        <v>4.468929E-2</v>
      </c>
      <c r="Z9842">
        <v>-4.6056580000000003E-3</v>
      </c>
      <c r="AA9842">
        <v>0.9989903</v>
      </c>
      <c r="AB9842">
        <v>31</v>
      </c>
      <c r="AC9842">
        <v>20.400700000000001</v>
      </c>
      <c r="AD9842">
        <v>-1.1128024069610001</v>
      </c>
      <c r="AE9842">
        <v>0.35868000000000599</v>
      </c>
      <c r="AF9842">
        <v>0.919431019527023</v>
      </c>
      <c r="AG9842">
        <v>-1.1128024069610001</v>
      </c>
      <c r="AH9842">
        <v>20.322554134517201</v>
      </c>
      <c r="AI9842">
        <v>93.1310195900449</v>
      </c>
      <c r="AJ9842">
        <v>87.409596318529793</v>
      </c>
      <c r="AK9842">
        <v>20.373754910349401</v>
      </c>
      <c r="AL9842">
        <v>87.934260225871398</v>
      </c>
      <c r="AM9842">
        <v>98.5166345862512</v>
      </c>
      <c r="AN9842">
        <v>0.99999999898097602</v>
      </c>
    </row>
    <row r="9843" spans="1:40" x14ac:dyDescent="0.25">
      <c r="A9843" t="str">
        <f>"20190312150914541"</f>
        <v>20190312150914541</v>
      </c>
      <c r="B9843" t="str">
        <f>"1552374554538883"</f>
        <v>1552374554538883</v>
      </c>
      <c r="C9843" t="s">
        <v>40</v>
      </c>
      <c r="D9843">
        <v>4.5283259999999999</v>
      </c>
      <c r="E9843">
        <v>0.57737320000000003</v>
      </c>
      <c r="F9843" t="s">
        <v>73</v>
      </c>
      <c r="G9843">
        <v>-202.12700000000001</v>
      </c>
      <c r="H9843" s="1">
        <v>-4.6705329999999999E-6</v>
      </c>
      <c r="I9843">
        <v>-61.272759999999998</v>
      </c>
      <c r="J9843">
        <v>-222.88419999999999</v>
      </c>
      <c r="K9843">
        <v>1.1128629999999999</v>
      </c>
      <c r="L9843">
        <v>-61.650759999999998</v>
      </c>
      <c r="M9843">
        <v>0.99784879999999998</v>
      </c>
      <c r="N9843">
        <v>0</v>
      </c>
      <c r="O9843">
        <v>6.4563529999999994E-2</v>
      </c>
      <c r="P9843">
        <v>0.97667040000000005</v>
      </c>
      <c r="Q9843">
        <v>2.618825E-2</v>
      </c>
      <c r="R9843">
        <v>0.21314179999999999</v>
      </c>
      <c r="S9843">
        <v>3.0612339999999998</v>
      </c>
      <c r="T9843">
        <v>-0.16282460000000001</v>
      </c>
      <c r="U9843">
        <v>5.706787E-2</v>
      </c>
      <c r="V9843">
        <v>-0.1498864</v>
      </c>
      <c r="W9843">
        <v>3.6420210000000001E-2</v>
      </c>
      <c r="X9843">
        <v>0.98803220000000003</v>
      </c>
      <c r="Y9843">
        <v>4.5800689999999998E-2</v>
      </c>
      <c r="Z9843">
        <v>-4.6463600000000004E-3</v>
      </c>
      <c r="AA9843">
        <v>0.99893980000000004</v>
      </c>
      <c r="AB9843">
        <v>31</v>
      </c>
      <c r="AC9843">
        <v>20.757199999999902</v>
      </c>
      <c r="AD9843">
        <v>-1.1128676705329901</v>
      </c>
      <c r="AE9843">
        <v>0.378</v>
      </c>
      <c r="AF9843">
        <v>0.96027421985592898</v>
      </c>
      <c r="AG9843">
        <v>-1.1128676705329901</v>
      </c>
      <c r="AH9843">
        <v>20.678873173622801</v>
      </c>
      <c r="AI9843">
        <v>93.077185528559795</v>
      </c>
      <c r="AJ9843">
        <v>87.341239931648701</v>
      </c>
      <c r="AK9843">
        <v>20.7310490993634</v>
      </c>
      <c r="AL9843">
        <v>87.912814078754195</v>
      </c>
      <c r="AM9843">
        <v>98.626109825292104</v>
      </c>
      <c r="AN9843">
        <v>0.99999999641912196</v>
      </c>
    </row>
    <row r="9844" spans="1:40" x14ac:dyDescent="0.25">
      <c r="A9844" t="str">
        <f>"20190312150914553"</f>
        <v>20190312150914553</v>
      </c>
      <c r="B9844" t="str">
        <f>"1552374554549619"</f>
        <v>1552374554549619</v>
      </c>
      <c r="C9844" t="s">
        <v>40</v>
      </c>
      <c r="D9844">
        <v>4.5430710000000003</v>
      </c>
      <c r="E9844">
        <v>0.57740499999999995</v>
      </c>
      <c r="F9844" t="s">
        <v>41</v>
      </c>
      <c r="G9844">
        <v>-222.12530000000001</v>
      </c>
      <c r="H9844">
        <v>1.040254</v>
      </c>
      <c r="I9844">
        <v>-61.639209999999999</v>
      </c>
      <c r="J9844">
        <v>-222.73009999999999</v>
      </c>
      <c r="K9844">
        <v>1.112927</v>
      </c>
      <c r="L9844">
        <v>-61.639099999999999</v>
      </c>
      <c r="M9844">
        <v>0.99773310000000004</v>
      </c>
      <c r="N9844">
        <v>0</v>
      </c>
      <c r="O9844">
        <v>6.6324439999999998E-2</v>
      </c>
      <c r="P9844">
        <v>0.97593890000000005</v>
      </c>
      <c r="Q9844">
        <v>2.6275489999999999E-2</v>
      </c>
      <c r="R9844">
        <v>0.21645500000000001</v>
      </c>
      <c r="S9844">
        <v>3.0691679999999999</v>
      </c>
      <c r="T9844">
        <v>-0.29380509999999999</v>
      </c>
      <c r="U9844">
        <v>4.7424319999999999E-2</v>
      </c>
      <c r="V9844">
        <v>-0.15150229999999901</v>
      </c>
      <c r="W9844">
        <v>3.6479789999999998E-2</v>
      </c>
      <c r="X9844">
        <v>0.98778350000000004</v>
      </c>
      <c r="Y9844">
        <v>5.0371949999999999E-2</v>
      </c>
      <c r="Z9844">
        <v>-8.7357089999999995E-3</v>
      </c>
      <c r="AA9844">
        <v>0.99869229999999998</v>
      </c>
      <c r="AB9844">
        <v>31</v>
      </c>
      <c r="AC9844">
        <v>0.60479999999998302</v>
      </c>
      <c r="AD9844">
        <v>-7.2672999999999904E-2</v>
      </c>
      <c r="AE9844">
        <v>-1.09999999999388E-4</v>
      </c>
      <c r="AF9844">
        <v>3.96528528511896E-2</v>
      </c>
      <c r="AG9844">
        <v>-7.2672999999999904E-2</v>
      </c>
      <c r="AH9844">
        <v>0.59487176166707301</v>
      </c>
      <c r="AI9844">
        <v>96.949801539168803</v>
      </c>
      <c r="AJ9844">
        <v>86.186429987901406</v>
      </c>
      <c r="AK9844">
        <v>0.60060480059447197</v>
      </c>
      <c r="AL9844">
        <v>87.909398096959407</v>
      </c>
      <c r="AM9844">
        <v>98.719846428445706</v>
      </c>
      <c r="AN9844">
        <v>0.99999998242799204</v>
      </c>
    </row>
    <row r="9845" spans="1:40" x14ac:dyDescent="0.25">
      <c r="A9845" t="str">
        <f>"20190312150914566"</f>
        <v>20190312150914566</v>
      </c>
      <c r="B9845" t="str">
        <f>"1552374554559379"</f>
        <v>1552374554559379</v>
      </c>
      <c r="C9845" t="s">
        <v>40</v>
      </c>
      <c r="D9845">
        <v>4.4710460000000003</v>
      </c>
      <c r="E9845">
        <v>0.57773439999999998</v>
      </c>
      <c r="F9845" t="s">
        <v>41</v>
      </c>
      <c r="G9845">
        <v>-221.8518</v>
      </c>
      <c r="H9845">
        <v>1.027525</v>
      </c>
      <c r="I9845">
        <v>-61.622570000000003</v>
      </c>
      <c r="J9845">
        <v>-222.5607</v>
      </c>
      <c r="K9845">
        <v>1.1129979999999999</v>
      </c>
      <c r="L9845">
        <v>-61.626010000000001</v>
      </c>
      <c r="M9845">
        <v>0.99760090000000001</v>
      </c>
      <c r="N9845">
        <v>0</v>
      </c>
      <c r="O9845">
        <v>6.8282319999999994E-2</v>
      </c>
      <c r="P9845">
        <v>0.97520700000000005</v>
      </c>
      <c r="Q9845">
        <v>2.6031329999999998E-2</v>
      </c>
      <c r="R9845">
        <v>0.21975890000000001</v>
      </c>
      <c r="S9845">
        <v>3.0691989999999998</v>
      </c>
      <c r="T9845">
        <v>-0.29842220000000003</v>
      </c>
      <c r="U9845">
        <v>5.7708740000000001E-2</v>
      </c>
      <c r="V9845">
        <v>-0.1529134</v>
      </c>
      <c r="W9845">
        <v>3.620864E-2</v>
      </c>
      <c r="X9845">
        <v>0.98757600000000001</v>
      </c>
      <c r="Y9845">
        <v>4.8967150000000001E-2</v>
      </c>
      <c r="Z9845">
        <v>-8.9932329999999998E-3</v>
      </c>
      <c r="AA9845">
        <v>0.99875990000000003</v>
      </c>
      <c r="AB9845">
        <v>31</v>
      </c>
      <c r="AC9845">
        <v>0.70889999999999898</v>
      </c>
      <c r="AD9845">
        <v>-8.5472999999999896E-2</v>
      </c>
      <c r="AE9845">
        <v>3.44000000000477E-3</v>
      </c>
      <c r="AF9845">
        <v>4.43320530295256E-2</v>
      </c>
      <c r="AG9845">
        <v>-8.5472999999999896E-2</v>
      </c>
      <c r="AH9845">
        <v>0.69734280531925197</v>
      </c>
      <c r="AI9845">
        <v>96.973924622810102</v>
      </c>
      <c r="AJ9845">
        <v>86.362440495542799</v>
      </c>
      <c r="AK9845">
        <v>0.70395877207783797</v>
      </c>
      <c r="AL9845">
        <v>87.924944081752898</v>
      </c>
      <c r="AM9845">
        <v>98.801618035609295</v>
      </c>
      <c r="AN9845">
        <v>0.99999996464310403</v>
      </c>
    </row>
    <row r="9846" spans="1:40" x14ac:dyDescent="0.25">
      <c r="A9846" t="str">
        <f>"20190312150914576"</f>
        <v>20190312150914576</v>
      </c>
      <c r="B9846" t="str">
        <f>"1552374554569139"</f>
        <v>1552374554569139</v>
      </c>
      <c r="C9846" t="s">
        <v>40</v>
      </c>
      <c r="D9846">
        <v>4.5449039999999998</v>
      </c>
      <c r="E9846">
        <v>0.57847550000000003</v>
      </c>
      <c r="F9846" t="s">
        <v>41</v>
      </c>
      <c r="G9846">
        <v>-221.5763</v>
      </c>
      <c r="H9846">
        <v>1.018907</v>
      </c>
      <c r="I9846">
        <v>-61.605179999999997</v>
      </c>
      <c r="J9846">
        <v>-222.3998</v>
      </c>
      <c r="K9846">
        <v>1.11307</v>
      </c>
      <c r="L9846">
        <v>-61.613100000000003</v>
      </c>
      <c r="M9846">
        <v>0.99746690000000005</v>
      </c>
      <c r="N9846">
        <v>0</v>
      </c>
      <c r="O9846">
        <v>7.02121E-2</v>
      </c>
      <c r="P9846">
        <v>0.97434160000000003</v>
      </c>
      <c r="Q9846">
        <v>2.6084880000000001E-2</v>
      </c>
      <c r="R9846">
        <v>0.22355839999999999</v>
      </c>
      <c r="S9846">
        <v>3.069366</v>
      </c>
      <c r="T9846">
        <v>-0.29352279999999997</v>
      </c>
      <c r="U9846">
        <v>6.5399170000000006E-2</v>
      </c>
      <c r="V9846">
        <v>-0.15485929999999901</v>
      </c>
      <c r="W9846">
        <v>3.6231039999999999E-2</v>
      </c>
      <c r="X9846">
        <v>0.98727200000000004</v>
      </c>
      <c r="Y9846">
        <v>4.8410740000000001E-2</v>
      </c>
      <c r="Z9846">
        <v>-9.0025959999999999E-3</v>
      </c>
      <c r="AA9846">
        <v>0.99878690000000003</v>
      </c>
      <c r="AB9846">
        <v>31</v>
      </c>
      <c r="AC9846">
        <v>0.82349999999999501</v>
      </c>
      <c r="AD9846">
        <v>-9.4162999999999997E-2</v>
      </c>
      <c r="AE9846">
        <v>7.9199999999985896E-3</v>
      </c>
      <c r="AF9846">
        <v>4.9278725326691697E-2</v>
      </c>
      <c r="AG9846">
        <v>-9.4162999999999997E-2</v>
      </c>
      <c r="AH9846">
        <v>0.81141545121121605</v>
      </c>
      <c r="AI9846">
        <v>96.607375782248397</v>
      </c>
      <c r="AJ9846">
        <v>86.524592512957298</v>
      </c>
      <c r="AK9846">
        <v>0.81834595239612795</v>
      </c>
      <c r="AL9846">
        <v>87.923659983647795</v>
      </c>
      <c r="AM9846">
        <v>98.914536357715605</v>
      </c>
      <c r="AN9846">
        <v>1.0000000465199801</v>
      </c>
    </row>
    <row r="9847" spans="1:40" x14ac:dyDescent="0.25">
      <c r="A9847" t="str">
        <f>"20190312150914587"</f>
        <v>20190312150914587</v>
      </c>
      <c r="B9847" t="str">
        <f>"1552374554578899"</f>
        <v>1552374554578899</v>
      </c>
      <c r="C9847" t="s">
        <v>40</v>
      </c>
      <c r="D9847">
        <v>4.4980379999999904</v>
      </c>
      <c r="E9847">
        <v>0.57863249999999999</v>
      </c>
      <c r="F9847" t="s">
        <v>41</v>
      </c>
      <c r="G9847">
        <v>-221.57069999999999</v>
      </c>
      <c r="H9847">
        <v>1.0318350000000001</v>
      </c>
      <c r="I9847">
        <v>-61.593850000000003</v>
      </c>
      <c r="J9847">
        <v>-222.25470000000001</v>
      </c>
      <c r="K9847">
        <v>1.1131329999999999</v>
      </c>
      <c r="L9847">
        <v>-61.601289999999999</v>
      </c>
      <c r="M9847">
        <v>0.99734129999999999</v>
      </c>
      <c r="N9847">
        <v>0</v>
      </c>
      <c r="O9847">
        <v>7.1970590000000001E-2</v>
      </c>
      <c r="P9847">
        <v>0.9735779</v>
      </c>
      <c r="Q9847">
        <v>2.6188050000000001E-2</v>
      </c>
      <c r="R9847">
        <v>0.2268493</v>
      </c>
      <c r="S9847">
        <v>3.0705719999999999</v>
      </c>
      <c r="T9847">
        <v>-0.30098459999999899</v>
      </c>
      <c r="U9847">
        <v>7.1838379999999993E-2</v>
      </c>
      <c r="V9847">
        <v>-0.15646109999999999</v>
      </c>
      <c r="W9847">
        <v>3.6306810000000002E-2</v>
      </c>
      <c r="X9847">
        <v>0.98701660000000002</v>
      </c>
      <c r="Y9847">
        <v>4.8052640000000001E-2</v>
      </c>
      <c r="Z9847">
        <v>-9.3804739999999998E-3</v>
      </c>
      <c r="AA9847">
        <v>0.99880080000000004</v>
      </c>
      <c r="AB9847">
        <v>31</v>
      </c>
      <c r="AC9847">
        <v>0.68400000000002503</v>
      </c>
      <c r="AD9847">
        <v>-8.1297999999999801E-2</v>
      </c>
      <c r="AE9847">
        <v>7.4400000000025496E-3</v>
      </c>
      <c r="AF9847">
        <v>4.1228037540920498E-2</v>
      </c>
      <c r="AG9847">
        <v>-8.1297999999999801E-2</v>
      </c>
      <c r="AH9847">
        <v>0.67325163676852995</v>
      </c>
      <c r="AI9847">
        <v>96.872621167509493</v>
      </c>
      <c r="AJ9847">
        <v>86.495743477835902</v>
      </c>
      <c r="AK9847">
        <v>0.67939449680946096</v>
      </c>
      <c r="AL9847">
        <v>87.919315757751605</v>
      </c>
      <c r="AM9847">
        <v>99.0075330830729</v>
      </c>
      <c r="AN9847">
        <v>1.0000000144705701</v>
      </c>
    </row>
    <row r="9848" spans="1:40" x14ac:dyDescent="0.25">
      <c r="A9848" t="str">
        <f>"20190312150914598"</f>
        <v>20190312150914598</v>
      </c>
      <c r="B9848" t="str">
        <f>"1552374554589635"</f>
        <v>1552374554589635</v>
      </c>
      <c r="C9848" t="s">
        <v>40</v>
      </c>
      <c r="D9848">
        <v>4.4763400000000004</v>
      </c>
      <c r="E9848">
        <v>0.57863249999999999</v>
      </c>
      <c r="F9848" t="s">
        <v>41</v>
      </c>
      <c r="G9848">
        <v>-221.29660000000001</v>
      </c>
      <c r="H9848">
        <v>1.020073</v>
      </c>
      <c r="I9848">
        <v>-61.576140000000002</v>
      </c>
      <c r="J9848">
        <v>-222.09639999999999</v>
      </c>
      <c r="K9848">
        <v>1.1132</v>
      </c>
      <c r="L9848">
        <v>-61.587949999999999</v>
      </c>
      <c r="M9848">
        <v>0.99719729999999995</v>
      </c>
      <c r="N9848">
        <v>0</v>
      </c>
      <c r="O9848">
        <v>7.3937890000000006E-2</v>
      </c>
      <c r="P9848">
        <v>0.97275919999999905</v>
      </c>
      <c r="Q9848">
        <v>2.6576740000000001E-2</v>
      </c>
      <c r="R9848">
        <v>0.23028970000000001</v>
      </c>
      <c r="S9848">
        <v>3.0706180000000001</v>
      </c>
      <c r="T9848">
        <v>-0.2983809</v>
      </c>
      <c r="U9848">
        <v>8.0902100000000005E-2</v>
      </c>
      <c r="V9848">
        <v>-0.1580134</v>
      </c>
      <c r="W9848">
        <v>3.6668489999999998E-2</v>
      </c>
      <c r="X9848">
        <v>0.98675590000000002</v>
      </c>
      <c r="Y9848">
        <v>4.7082239999999997E-2</v>
      </c>
      <c r="Z9848">
        <v>-9.4422399999999993E-3</v>
      </c>
      <c r="AA9848">
        <v>0.99884640000000002</v>
      </c>
      <c r="AB9848">
        <v>31</v>
      </c>
      <c r="AC9848">
        <v>0.79979999999997597</v>
      </c>
      <c r="AD9848">
        <v>-9.3126999999999904E-2</v>
      </c>
      <c r="AE9848">
        <v>1.1809999999996899E-2</v>
      </c>
      <c r="AF9848">
        <v>4.6728326253634898E-2</v>
      </c>
      <c r="AG9848">
        <v>-9.3126999999999904E-2</v>
      </c>
      <c r="AH9848">
        <v>0.787805244946574</v>
      </c>
      <c r="AI9848">
        <v>96.729967853150995</v>
      </c>
      <c r="AJ9848">
        <v>86.605502832515597</v>
      </c>
      <c r="AK9848">
        <v>0.79466551364004501</v>
      </c>
      <c r="AL9848">
        <v>87.898579201490406</v>
      </c>
      <c r="AM9848">
        <v>99.097775818490007</v>
      </c>
      <c r="AN9848">
        <v>1.0000000094616199</v>
      </c>
    </row>
    <row r="9849" spans="1:40" x14ac:dyDescent="0.25">
      <c r="A9849" t="str">
        <f>"20190312150914611"</f>
        <v>20190312150914611</v>
      </c>
      <c r="B9849" t="str">
        <f>"1552374554599395"</f>
        <v>1552374554599395</v>
      </c>
      <c r="C9849" t="s">
        <v>40</v>
      </c>
      <c r="D9849">
        <v>4.5995359999999996</v>
      </c>
      <c r="E9849">
        <v>0.55245569999999999</v>
      </c>
      <c r="F9849" t="s">
        <v>41</v>
      </c>
      <c r="G9849">
        <v>-221.29</v>
      </c>
      <c r="H9849">
        <v>1.035228</v>
      </c>
      <c r="I9849">
        <v>-61.563980000000001</v>
      </c>
      <c r="J9849">
        <v>-221.9314</v>
      </c>
      <c r="K9849">
        <v>1.1132679999999999</v>
      </c>
      <c r="L9849">
        <v>-61.57376</v>
      </c>
      <c r="M9849">
        <v>0.99704029999999999</v>
      </c>
      <c r="N9849">
        <v>0</v>
      </c>
      <c r="O9849">
        <v>7.6024320000000006E-2</v>
      </c>
      <c r="P9849">
        <v>0.97178140000000002</v>
      </c>
      <c r="Q9849">
        <v>2.6947820000000001E-2</v>
      </c>
      <c r="R9849">
        <v>0.23433899999999999</v>
      </c>
      <c r="S9849">
        <v>3.0704189999999998</v>
      </c>
      <c r="T9849">
        <v>-0.29701290000000002</v>
      </c>
      <c r="U9849">
        <v>9.1613769999999997E-2</v>
      </c>
      <c r="V9849">
        <v>-0.16006819999999999</v>
      </c>
      <c r="W9849">
        <v>3.7006810000000001E-2</v>
      </c>
      <c r="X9849">
        <v>0.98641199999999996</v>
      </c>
      <c r="Y9849">
        <v>4.5690700000000001E-2</v>
      </c>
      <c r="Z9849">
        <v>-9.5327280000000007E-3</v>
      </c>
      <c r="AA9849">
        <v>0.99891010000000002</v>
      </c>
      <c r="AB9849">
        <v>31</v>
      </c>
      <c r="AC9849">
        <v>0.64140000000000397</v>
      </c>
      <c r="AD9849">
        <v>-7.8039999999999804E-2</v>
      </c>
      <c r="AE9849">
        <v>9.7799999999921196E-3</v>
      </c>
      <c r="AF9849">
        <v>3.8444502181211399E-2</v>
      </c>
      <c r="AG9849">
        <v>-7.8039999999999804E-2</v>
      </c>
      <c r="AH9849">
        <v>0.63094874711720095</v>
      </c>
      <c r="AI9849">
        <v>97.037996998347893</v>
      </c>
      <c r="AJ9849">
        <v>86.513206739998793</v>
      </c>
      <c r="AK9849">
        <v>0.63691800322861503</v>
      </c>
      <c r="AL9849">
        <v>87.879181671940302</v>
      </c>
      <c r="AM9849">
        <v>99.217223622063898</v>
      </c>
      <c r="AN9849">
        <v>0.99999998319080696</v>
      </c>
    </row>
    <row r="9850" spans="1:40" x14ac:dyDescent="0.25">
      <c r="A9850" t="str">
        <f>"20190312150914620"</f>
        <v>20190312150914620</v>
      </c>
      <c r="B9850" t="str">
        <f>"1552374554609155"</f>
        <v>1552374554609155</v>
      </c>
      <c r="C9850" t="s">
        <v>40</v>
      </c>
      <c r="D9850">
        <v>4.6919459999999997</v>
      </c>
      <c r="E9850">
        <v>0.53993210000000003</v>
      </c>
      <c r="F9850" t="s">
        <v>73</v>
      </c>
      <c r="G9850">
        <v>-197.62110000000001</v>
      </c>
      <c r="H9850" s="1">
        <v>-7.4621399999999902E-6</v>
      </c>
      <c r="I9850">
        <v>-59.135660000000001</v>
      </c>
      <c r="J9850">
        <v>-221.78219999999999</v>
      </c>
      <c r="K9850">
        <v>1.1133299999999999</v>
      </c>
      <c r="L9850">
        <v>-61.560609999999997</v>
      </c>
      <c r="M9850">
        <v>0.99689179999999999</v>
      </c>
      <c r="N9850">
        <v>0</v>
      </c>
      <c r="O9850">
        <v>7.7944200000000005E-2</v>
      </c>
      <c r="P9850">
        <v>0.97084459999999995</v>
      </c>
      <c r="Q9850">
        <v>2.721003E-2</v>
      </c>
      <c r="R9850">
        <v>0.2381607</v>
      </c>
      <c r="S9850">
        <v>3.01796</v>
      </c>
      <c r="T9850">
        <v>-0.138205299999999</v>
      </c>
      <c r="U9850">
        <v>0.30267329999999998</v>
      </c>
      <c r="V9850">
        <v>-0.16205839999999999</v>
      </c>
      <c r="W9850">
        <v>3.7237920000000001E-2</v>
      </c>
      <c r="X9850">
        <v>0.98607829999999996</v>
      </c>
      <c r="Y9850">
        <v>-2.1984090000000001E-2</v>
      </c>
      <c r="Z9850">
        <v>-3.0508269999999999E-3</v>
      </c>
      <c r="AA9850">
        <v>0.99975369999999997</v>
      </c>
      <c r="AB9850">
        <v>32</v>
      </c>
      <c r="AC9850">
        <v>24.161099999999902</v>
      </c>
      <c r="AD9850">
        <v>-1.1133374621399901</v>
      </c>
      <c r="AE9850">
        <v>2.4249499999999999</v>
      </c>
      <c r="AF9850">
        <v>-0.53310958505224904</v>
      </c>
      <c r="AG9850">
        <v>-1.1133374621399901</v>
      </c>
      <c r="AH9850">
        <v>24.225682332168201</v>
      </c>
      <c r="AI9850">
        <v>92.630649480577006</v>
      </c>
      <c r="AJ9850">
        <v>91.260645610129998</v>
      </c>
      <c r="AK9850">
        <v>24.2571105161642</v>
      </c>
      <c r="AL9850">
        <v>87.865930948111</v>
      </c>
      <c r="AM9850">
        <v>99.332924207648006</v>
      </c>
      <c r="AN9850">
        <v>1.00000000071368</v>
      </c>
    </row>
    <row r="9851" spans="1:40" x14ac:dyDescent="0.25">
      <c r="A9851" t="str">
        <f>"20190312150914631"</f>
        <v>20190312150914631</v>
      </c>
      <c r="B9851" t="str">
        <f>"1552374554618914"</f>
        <v>1552374554618914</v>
      </c>
      <c r="C9851" t="s">
        <v>40</v>
      </c>
      <c r="D9851">
        <v>4.7915049999999999</v>
      </c>
      <c r="E9851">
        <v>0.53993210000000003</v>
      </c>
      <c r="F9851" t="s">
        <v>73</v>
      </c>
      <c r="G9851">
        <v>-193.00460000000001</v>
      </c>
      <c r="H9851" s="1">
        <v>-7.4786270000000004E-6</v>
      </c>
      <c r="I9851">
        <v>-57.609349999999999</v>
      </c>
      <c r="J9851">
        <v>-221.64400000000001</v>
      </c>
      <c r="K9851">
        <v>1.1133869999999999</v>
      </c>
      <c r="L9851">
        <v>-61.548029999999997</v>
      </c>
      <c r="M9851">
        <v>0.99674790000000002</v>
      </c>
      <c r="N9851">
        <v>0</v>
      </c>
      <c r="O9851">
        <v>7.9762120000000006E-2</v>
      </c>
      <c r="P9851">
        <v>0.96995339999999997</v>
      </c>
      <c r="Q9851">
        <v>2.7392340000000001E-2</v>
      </c>
      <c r="R9851">
        <v>0.24174390000000001</v>
      </c>
      <c r="S9851">
        <v>2.9925540000000002</v>
      </c>
      <c r="T9851">
        <v>-0.11577510000000001</v>
      </c>
      <c r="U9851">
        <v>0.4108887</v>
      </c>
      <c r="V9851">
        <v>-0.16390839999999901</v>
      </c>
      <c r="W9851">
        <v>3.7390399999999997E-2</v>
      </c>
      <c r="X9851">
        <v>0.9857667</v>
      </c>
      <c r="Y9851">
        <v>-5.6584959999999997E-2</v>
      </c>
      <c r="Z9851">
        <v>-1.9747950000000001E-3</v>
      </c>
      <c r="AA9851">
        <v>0.9983959</v>
      </c>
      <c r="AB9851">
        <v>32</v>
      </c>
      <c r="AC9851">
        <v>28.639399999999899</v>
      </c>
      <c r="AD9851">
        <v>-1.113394478627</v>
      </c>
      <c r="AE9851">
        <v>3.9386800000000002</v>
      </c>
      <c r="AF9851">
        <v>-1.63920834586363</v>
      </c>
      <c r="AG9851">
        <v>-1.113394478627</v>
      </c>
      <c r="AH9851">
        <v>28.8195704242438</v>
      </c>
      <c r="AI9851">
        <v>92.208856965439793</v>
      </c>
      <c r="AJ9851">
        <v>93.255379366212296</v>
      </c>
      <c r="AK9851">
        <v>28.887614832383399</v>
      </c>
      <c r="AL9851">
        <v>87.857188389556995</v>
      </c>
      <c r="AM9851">
        <v>99.440488857709596</v>
      </c>
      <c r="AN9851">
        <v>0.99999999621580404</v>
      </c>
    </row>
    <row r="9852" spans="1:40" x14ac:dyDescent="0.25">
      <c r="A9852" t="str">
        <f>"20190312150914642"</f>
        <v>20190312150914642</v>
      </c>
      <c r="B9852" t="str">
        <f>"1552374554639810"</f>
        <v>1552374554639810</v>
      </c>
      <c r="C9852" t="s">
        <v>40</v>
      </c>
      <c r="D9852">
        <v>4.547663</v>
      </c>
      <c r="E9852">
        <v>0.46184890000000001</v>
      </c>
      <c r="F9852" t="s">
        <v>73</v>
      </c>
      <c r="G9852">
        <v>-192.71530000000001</v>
      </c>
      <c r="H9852" s="1">
        <v>-7.497667E-6</v>
      </c>
      <c r="I9852">
        <v>-57.468040000000002</v>
      </c>
      <c r="J9852">
        <v>-221.48310000000001</v>
      </c>
      <c r="K9852">
        <v>1.1134520000000001</v>
      </c>
      <c r="L9852">
        <v>-61.533200000000001</v>
      </c>
      <c r="M9852">
        <v>0.99657410000000002</v>
      </c>
      <c r="N9852">
        <v>0</v>
      </c>
      <c r="O9852">
        <v>8.1904249999999998E-2</v>
      </c>
      <c r="P9852">
        <v>0.96882500000000005</v>
      </c>
      <c r="Q9852">
        <v>2.7547180000000001E-2</v>
      </c>
      <c r="R9852">
        <v>0.24621019999999999</v>
      </c>
      <c r="S9852">
        <v>2.9910429999999999</v>
      </c>
      <c r="T9852">
        <v>-0.1151175</v>
      </c>
      <c r="U9852">
        <v>0.42184450000000001</v>
      </c>
      <c r="V9852">
        <v>-0.16633919999999999</v>
      </c>
      <c r="W9852">
        <v>3.7507140000000001E-2</v>
      </c>
      <c r="X9852">
        <v>0.98535499999999998</v>
      </c>
      <c r="Y9852">
        <v>-5.8094699999999999E-2</v>
      </c>
      <c r="Z9852">
        <v>-2.016646E-3</v>
      </c>
      <c r="AA9852">
        <v>0.998309</v>
      </c>
      <c r="AB9852">
        <v>32</v>
      </c>
      <c r="AC9852">
        <v>28.767799999999902</v>
      </c>
      <c r="AD9852">
        <v>-1.113459497667</v>
      </c>
      <c r="AE9852">
        <v>4.0651599999999899</v>
      </c>
      <c r="AF9852">
        <v>-1.69265367152164</v>
      </c>
      <c r="AG9852">
        <v>-1.113459497667</v>
      </c>
      <c r="AH9852">
        <v>28.961571681721601</v>
      </c>
      <c r="AI9852">
        <v>92.197967924923503</v>
      </c>
      <c r="AJ9852">
        <v>93.344836215911798</v>
      </c>
      <c r="AK9852">
        <v>29.0323526910955</v>
      </c>
      <c r="AL9852">
        <v>87.850494983626604</v>
      </c>
      <c r="AM9852">
        <v>99.5818458686052</v>
      </c>
      <c r="AN9852">
        <v>0.99999999551630903</v>
      </c>
    </row>
    <row r="9853" spans="1:40" x14ac:dyDescent="0.25">
      <c r="A9853" t="str">
        <f>"20190312150914654"</f>
        <v>20190312150914654</v>
      </c>
      <c r="B9853" t="str">
        <f>"1552374554649570"</f>
        <v>1552374554649570</v>
      </c>
      <c r="C9853" t="s">
        <v>40</v>
      </c>
      <c r="D9853">
        <v>4.5353459999999997</v>
      </c>
      <c r="E9853">
        <v>0.45547330000000003</v>
      </c>
      <c r="F9853" t="s">
        <v>73</v>
      </c>
      <c r="G9853">
        <v>-206.74709999999999</v>
      </c>
      <c r="H9853" s="1">
        <v>-3.14307E-6</v>
      </c>
      <c r="I9853">
        <v>-56.121079999999999</v>
      </c>
      <c r="J9853">
        <v>-221.32589999999999</v>
      </c>
      <c r="K9853">
        <v>1.1135170000000001</v>
      </c>
      <c r="L9853">
        <v>-61.518160000000002</v>
      </c>
      <c r="M9853">
        <v>0.99639460000000002</v>
      </c>
      <c r="N9853">
        <v>0</v>
      </c>
      <c r="O9853">
        <v>8.4056510000000001E-2</v>
      </c>
      <c r="P9853">
        <v>0.96783209999999997</v>
      </c>
      <c r="Q9853">
        <v>2.7799790000000001E-2</v>
      </c>
      <c r="R9853">
        <v>0.25005640000000001</v>
      </c>
      <c r="S9853">
        <v>2.8377840000000001</v>
      </c>
      <c r="T9853">
        <v>-0.2144229</v>
      </c>
      <c r="U9853">
        <v>1.0422359999999999</v>
      </c>
      <c r="V9853">
        <v>-0.16813420000000001</v>
      </c>
      <c r="W9853">
        <v>3.7727770000000001E-2</v>
      </c>
      <c r="X9853">
        <v>0.98504190000000003</v>
      </c>
      <c r="Y9853">
        <v>-0.26417669999999999</v>
      </c>
      <c r="Z9853">
        <v>3.5377730000000001E-3</v>
      </c>
      <c r="AA9853">
        <v>0.96446779999999999</v>
      </c>
      <c r="AB9853">
        <v>32</v>
      </c>
      <c r="AC9853">
        <v>14.578799999999999</v>
      </c>
      <c r="AD9853">
        <v>-1.1135201430699999</v>
      </c>
      <c r="AE9853">
        <v>5.3970799999999803</v>
      </c>
      <c r="AF9853">
        <v>-4.1312569287001102</v>
      </c>
      <c r="AG9853">
        <v>-1.1135201430699999</v>
      </c>
      <c r="AH9853">
        <v>14.9044187797452</v>
      </c>
      <c r="AI9853">
        <v>94.117970840625802</v>
      </c>
      <c r="AJ9853">
        <v>105.49248836829</v>
      </c>
      <c r="AK9853">
        <v>15.5064151267137</v>
      </c>
      <c r="AL9853">
        <v>87.837844913561696</v>
      </c>
      <c r="AM9853">
        <v>99.686317517041701</v>
      </c>
      <c r="AN9853">
        <v>1.0000000192972101</v>
      </c>
    </row>
    <row r="9854" spans="1:40" x14ac:dyDescent="0.25">
      <c r="A9854" t="str">
        <f>"20190312150914666"</f>
        <v>20190312150914666</v>
      </c>
      <c r="B9854" t="str">
        <f>"1552374554659330"</f>
        <v>1552374554659330</v>
      </c>
      <c r="C9854" t="s">
        <v>40</v>
      </c>
      <c r="D9854">
        <v>4.5618220000000003</v>
      </c>
      <c r="E9854">
        <v>0.4514666</v>
      </c>
      <c r="F9854" t="s">
        <v>73</v>
      </c>
      <c r="G9854">
        <v>-207.60140000000001</v>
      </c>
      <c r="H9854" s="1">
        <v>-2.6221490000000001E-6</v>
      </c>
      <c r="I9854">
        <v>-56.152050000000003</v>
      </c>
      <c r="J9854">
        <v>-221.16249999999999</v>
      </c>
      <c r="K9854">
        <v>1.1135870000000001</v>
      </c>
      <c r="L9854">
        <v>-61.50235</v>
      </c>
      <c r="M9854">
        <v>0.99620160000000002</v>
      </c>
      <c r="N9854">
        <v>0</v>
      </c>
      <c r="O9854">
        <v>8.6312429999999996E-2</v>
      </c>
      <c r="P9854">
        <v>0.96679499999999996</v>
      </c>
      <c r="Q9854">
        <v>2.7767509999999999E-2</v>
      </c>
      <c r="R9854">
        <v>0.25404060000000001</v>
      </c>
      <c r="S9854">
        <v>2.8212890000000002</v>
      </c>
      <c r="T9854">
        <v>-0.2289014</v>
      </c>
      <c r="U9854">
        <v>1.1030879999999901</v>
      </c>
      <c r="V9854">
        <v>-0.16996720000000001</v>
      </c>
      <c r="W9854">
        <v>3.7661050000000001E-2</v>
      </c>
      <c r="X9854">
        <v>0.98472979999999999</v>
      </c>
      <c r="Y9854">
        <v>-0.28183920000000001</v>
      </c>
      <c r="Z9854">
        <v>4.2997269999999997E-3</v>
      </c>
      <c r="AA9854">
        <v>0.95945199999999997</v>
      </c>
      <c r="AB9854">
        <v>32</v>
      </c>
      <c r="AC9854">
        <v>13.5610999999999</v>
      </c>
      <c r="AD9854">
        <v>-1.113589622149</v>
      </c>
      <c r="AE9854">
        <v>5.3502999999999901</v>
      </c>
      <c r="AF9854">
        <v>-4.1356306905489397</v>
      </c>
      <c r="AG9854">
        <v>-1.113589622149</v>
      </c>
      <c r="AH9854">
        <v>13.891259047538901</v>
      </c>
      <c r="AI9854">
        <v>94.393522551199297</v>
      </c>
      <c r="AJ9854">
        <v>106.57903712176901</v>
      </c>
      <c r="AK9854">
        <v>14.536526441382</v>
      </c>
      <c r="AL9854">
        <v>87.841670346353993</v>
      </c>
      <c r="AM9854">
        <v>99.792927851497595</v>
      </c>
      <c r="AN9854">
        <v>0.999999991385491</v>
      </c>
    </row>
    <row r="9855" spans="1:40" x14ac:dyDescent="0.25">
      <c r="A9855" t="str">
        <f>"20190312150914676"</f>
        <v>20190312150914676</v>
      </c>
      <c r="B9855" t="str">
        <f>"1552374554669091"</f>
        <v>1552374554669091</v>
      </c>
      <c r="C9855" t="s">
        <v>40</v>
      </c>
      <c r="D9855">
        <v>4.6424919999999998</v>
      </c>
      <c r="E9855">
        <v>0.44991589999999998</v>
      </c>
      <c r="F9855" t="s">
        <v>73</v>
      </c>
      <c r="G9855">
        <v>-208.28120000000001</v>
      </c>
      <c r="H9855" s="1">
        <v>-2.1649729999999999E-6</v>
      </c>
      <c r="I9855">
        <v>-56.246139999999997</v>
      </c>
      <c r="J9855">
        <v>-221.00559999999999</v>
      </c>
      <c r="K9855">
        <v>1.1136539999999999</v>
      </c>
      <c r="L9855">
        <v>-61.486569999999901</v>
      </c>
      <c r="M9855">
        <v>0.99600580000000005</v>
      </c>
      <c r="N9855">
        <v>0</v>
      </c>
      <c r="O9855">
        <v>8.854252E-2</v>
      </c>
      <c r="P9855">
        <v>0.96568869999999896</v>
      </c>
      <c r="Q9855">
        <v>2.8034670000000001E-2</v>
      </c>
      <c r="R9855">
        <v>0.2581851</v>
      </c>
      <c r="S9855">
        <v>2.8088380000000002</v>
      </c>
      <c r="T9855">
        <v>-0.24282490000000001</v>
      </c>
      <c r="U9855">
        <v>1.1461490000000001</v>
      </c>
      <c r="V9855">
        <v>-0.17199610000000001</v>
      </c>
      <c r="W9855">
        <v>3.7892629999999997E-2</v>
      </c>
      <c r="X9855">
        <v>0.98436860000000004</v>
      </c>
      <c r="Y9855">
        <v>-0.29368729999999998</v>
      </c>
      <c r="Z9855">
        <v>4.876488E-3</v>
      </c>
      <c r="AA9855">
        <v>0.95588910000000005</v>
      </c>
      <c r="AB9855">
        <v>32</v>
      </c>
      <c r="AC9855">
        <v>12.7243999999999</v>
      </c>
      <c r="AD9855">
        <v>-1.1136561649729999</v>
      </c>
      <c r="AE9855">
        <v>5.2404299999999804</v>
      </c>
      <c r="AF9855">
        <v>-4.0664876882873298</v>
      </c>
      <c r="AG9855">
        <v>-1.1136561649729999</v>
      </c>
      <c r="AH9855">
        <v>13.0529627307721</v>
      </c>
      <c r="AI9855">
        <v>94.656853106193694</v>
      </c>
      <c r="AJ9855">
        <v>107.303771270515</v>
      </c>
      <c r="AK9855">
        <v>13.7170109070344</v>
      </c>
      <c r="AL9855">
        <v>87.828392385298798</v>
      </c>
      <c r="AM9855">
        <v>99.911086354670502</v>
      </c>
      <c r="AN9855">
        <v>1.0000000252447401</v>
      </c>
    </row>
    <row r="9856" spans="1:40" x14ac:dyDescent="0.25">
      <c r="A9856" t="str">
        <f>"20190312150914688"</f>
        <v>20190312150914688</v>
      </c>
      <c r="B9856" t="str">
        <f>"1552374554678850"</f>
        <v>1552374554678850</v>
      </c>
      <c r="C9856" t="s">
        <v>40</v>
      </c>
      <c r="D9856">
        <v>4.4949620000000001</v>
      </c>
      <c r="E9856">
        <v>0.44864039999999999</v>
      </c>
      <c r="F9856" t="s">
        <v>73</v>
      </c>
      <c r="G9856">
        <v>-208.5154</v>
      </c>
      <c r="H9856" s="1">
        <v>-2.0104330000000001E-6</v>
      </c>
      <c r="I9856">
        <v>-56.267659999999999</v>
      </c>
      <c r="J9856">
        <v>-220.8484</v>
      </c>
      <c r="K9856">
        <v>1.1137220000000001</v>
      </c>
      <c r="L9856">
        <v>-61.470489999999998</v>
      </c>
      <c r="M9856">
        <v>0.99580279999999999</v>
      </c>
      <c r="N9856">
        <v>0</v>
      </c>
      <c r="O9856">
        <v>9.0796260000000004E-2</v>
      </c>
      <c r="P9856">
        <v>0.96472060000000004</v>
      </c>
      <c r="Q9856">
        <v>2.8171769999999999E-2</v>
      </c>
      <c r="R9856">
        <v>0.26176460000000001</v>
      </c>
      <c r="S9856">
        <v>2.8009490000000001</v>
      </c>
      <c r="T9856">
        <v>-0.24973919999999999</v>
      </c>
      <c r="U9856">
        <v>1.1703490000000001</v>
      </c>
      <c r="V9856">
        <v>-0.17342639999999901</v>
      </c>
      <c r="W9856">
        <v>3.800079E-2</v>
      </c>
      <c r="X9856">
        <v>0.98411349999999997</v>
      </c>
      <c r="Y9856">
        <v>-0.29946349999999999</v>
      </c>
      <c r="Z9856">
        <v>5.0771499999999999E-3</v>
      </c>
      <c r="AA9856">
        <v>0.9540942</v>
      </c>
      <c r="AB9856">
        <v>32</v>
      </c>
      <c r="AC9856">
        <v>12.332999999999901</v>
      </c>
      <c r="AD9856">
        <v>-1.113724010433</v>
      </c>
      <c r="AE9856">
        <v>5.2028299999999996</v>
      </c>
      <c r="AF9856">
        <v>-4.0335485373407503</v>
      </c>
      <c r="AG9856">
        <v>-1.113724010433</v>
      </c>
      <c r="AH9856">
        <v>12.666790358898901</v>
      </c>
      <c r="AI9856">
        <v>94.789033851679605</v>
      </c>
      <c r="AJ9856">
        <v>107.66329241733</v>
      </c>
      <c r="AK9856">
        <v>13.3400702011193</v>
      </c>
      <c r="AL9856">
        <v>87.822190923530002</v>
      </c>
      <c r="AM9856">
        <v>99.9943894072197</v>
      </c>
      <c r="AN9856">
        <v>1.0000000785699099</v>
      </c>
    </row>
    <row r="9857" spans="1:40" x14ac:dyDescent="0.25">
      <c r="A9857" t="str">
        <f>"20190312150914700"</f>
        <v>20190312150914700</v>
      </c>
      <c r="B9857" t="str">
        <f>"1552374554689587"</f>
        <v>1552374554689587</v>
      </c>
      <c r="C9857" t="s">
        <v>40</v>
      </c>
      <c r="D9857">
        <v>4.5029110000000001</v>
      </c>
      <c r="E9857">
        <v>0.44777709999999998</v>
      </c>
      <c r="F9857" t="s">
        <v>73</v>
      </c>
      <c r="G9857">
        <v>-208.7722</v>
      </c>
      <c r="H9857" s="1">
        <v>-1.8322940000000001E-6</v>
      </c>
      <c r="I9857">
        <v>-56.323569999999997</v>
      </c>
      <c r="J9857">
        <v>-220.68389999999999</v>
      </c>
      <c r="K9857">
        <v>1.1137900000000001</v>
      </c>
      <c r="L9857">
        <v>-61.453220000000002</v>
      </c>
      <c r="M9857">
        <v>0.99558049999999998</v>
      </c>
      <c r="N9857">
        <v>0</v>
      </c>
      <c r="O9857">
        <v>9.3199550000000006E-2</v>
      </c>
      <c r="P9857">
        <v>0.96369340000000003</v>
      </c>
      <c r="Q9857">
        <v>2.8709559999999999E-2</v>
      </c>
      <c r="R9857">
        <v>0.26546350000000002</v>
      </c>
      <c r="S9857">
        <v>2.794098</v>
      </c>
      <c r="T9857">
        <v>-0.25768530000000001</v>
      </c>
      <c r="U9857">
        <v>1.1908570000000001</v>
      </c>
      <c r="V9857">
        <v>-0.17483950000000001</v>
      </c>
      <c r="W9857">
        <v>3.8510170000000003E-2</v>
      </c>
      <c r="X9857">
        <v>0.98384360000000004</v>
      </c>
      <c r="Y9857">
        <v>-0.30387910000000001</v>
      </c>
      <c r="Z9857">
        <v>5.2287899999999997E-3</v>
      </c>
      <c r="AA9857">
        <v>0.95269630000000005</v>
      </c>
      <c r="AB9857">
        <v>32</v>
      </c>
      <c r="AC9857">
        <v>11.9116999999999</v>
      </c>
      <c r="AD9857">
        <v>-1.1137918322939999</v>
      </c>
      <c r="AE9857">
        <v>5.1296499999999901</v>
      </c>
      <c r="AF9857">
        <v>-3.9678171995373601</v>
      </c>
      <c r="AG9857">
        <v>-1.1137918322939999</v>
      </c>
      <c r="AH9857">
        <v>12.2476303209282</v>
      </c>
      <c r="AI9857">
        <v>94.944501325108305</v>
      </c>
      <c r="AJ9857">
        <v>107.95056721247499</v>
      </c>
      <c r="AK9857">
        <v>12.9224051187366</v>
      </c>
      <c r="AL9857">
        <v>87.792984173282406</v>
      </c>
      <c r="AM9857">
        <v>100.076870448794</v>
      </c>
      <c r="AN9857">
        <v>1.00000005660731</v>
      </c>
    </row>
    <row r="9858" spans="1:40" x14ac:dyDescent="0.25">
      <c r="A9858" t="str">
        <f>"20190312150914711"</f>
        <v>20190312150914711</v>
      </c>
      <c r="B9858" t="str">
        <f>"1552374554699347"</f>
        <v>1552374554699347</v>
      </c>
      <c r="C9858" t="s">
        <v>40</v>
      </c>
      <c r="D9858">
        <v>4.5013560000000004</v>
      </c>
      <c r="E9858">
        <v>0.44726339999999998</v>
      </c>
      <c r="F9858" t="s">
        <v>73</v>
      </c>
      <c r="G9858">
        <v>-208.88489999999999</v>
      </c>
      <c r="H9858" s="1">
        <v>-1.756804E-6</v>
      </c>
      <c r="I9858">
        <v>-56.338009999999997</v>
      </c>
      <c r="J9858">
        <v>-220.5341</v>
      </c>
      <c r="K9858">
        <v>1.1138520000000001</v>
      </c>
      <c r="L9858">
        <v>-61.437040000000003</v>
      </c>
      <c r="M9858">
        <v>0.99536959999999997</v>
      </c>
      <c r="N9858">
        <v>0</v>
      </c>
      <c r="O9858">
        <v>9.5423090000000002E-2</v>
      </c>
      <c r="P9858">
        <v>0.96257250000000005</v>
      </c>
      <c r="Q9858">
        <v>2.8937669999999999E-2</v>
      </c>
      <c r="R9858">
        <v>0.26947490000000002</v>
      </c>
      <c r="S9858">
        <v>2.7879179999999999</v>
      </c>
      <c r="T9858">
        <v>-0.26317230000000003</v>
      </c>
      <c r="U9858">
        <v>1.2086490000000001</v>
      </c>
      <c r="V9858">
        <v>-0.17674809999999999</v>
      </c>
      <c r="W9858">
        <v>3.870552E-2</v>
      </c>
      <c r="X9858">
        <v>0.9834948</v>
      </c>
      <c r="Y9858">
        <v>-0.30760219999999999</v>
      </c>
      <c r="Z9858">
        <v>5.3146879999999997E-3</v>
      </c>
      <c r="AA9858">
        <v>0.95150020000000002</v>
      </c>
      <c r="AB9858">
        <v>32</v>
      </c>
      <c r="AC9858">
        <v>11.6492</v>
      </c>
      <c r="AD9858">
        <v>-1.1138537568039999</v>
      </c>
      <c r="AE9858">
        <v>5.09903</v>
      </c>
      <c r="AF9858">
        <v>-3.9338992274350502</v>
      </c>
      <c r="AG9858">
        <v>-1.1138537568039999</v>
      </c>
      <c r="AH9858">
        <v>11.9906351687568</v>
      </c>
      <c r="AI9858">
        <v>95.044125005805796</v>
      </c>
      <c r="AJ9858">
        <v>108.163679022678</v>
      </c>
      <c r="AK9858">
        <v>12.6685265549467</v>
      </c>
      <c r="AL9858">
        <v>87.781782999677006</v>
      </c>
      <c r="AM9858">
        <v>100.188118407022</v>
      </c>
      <c r="AN9858">
        <v>1.00000001487956</v>
      </c>
    </row>
    <row r="9859" spans="1:40" x14ac:dyDescent="0.25">
      <c r="A9859" t="str">
        <f>"20190312150914721"</f>
        <v>20190312150914721</v>
      </c>
      <c r="B9859" t="str">
        <f>"1552374554709106"</f>
        <v>1552374554709106</v>
      </c>
      <c r="C9859" t="s">
        <v>40</v>
      </c>
      <c r="D9859">
        <v>4.5128240000000002</v>
      </c>
      <c r="E9859">
        <v>0.44693300000000002</v>
      </c>
      <c r="F9859" t="s">
        <v>73</v>
      </c>
      <c r="G9859">
        <v>-208.90819999999999</v>
      </c>
      <c r="H9859" s="1">
        <v>-1.746627E-6</v>
      </c>
      <c r="I9859">
        <v>-56.32058</v>
      </c>
      <c r="J9859">
        <v>-220.38030000000001</v>
      </c>
      <c r="K9859">
        <v>1.1139129999999999</v>
      </c>
      <c r="L9859">
        <v>-61.420200000000001</v>
      </c>
      <c r="M9859">
        <v>0.99514550000000002</v>
      </c>
      <c r="N9859">
        <v>0</v>
      </c>
      <c r="O9859">
        <v>9.7730919999999999E-2</v>
      </c>
      <c r="P9859">
        <v>0.96160009999999996</v>
      </c>
      <c r="Q9859">
        <v>2.9204250000000001E-2</v>
      </c>
      <c r="R9859">
        <v>0.27289629999999998</v>
      </c>
      <c r="S9859">
        <v>2.7819060000000002</v>
      </c>
      <c r="T9859">
        <v>-0.2665305</v>
      </c>
      <c r="U9859">
        <v>1.2243040000000001</v>
      </c>
      <c r="V9859">
        <v>-0.17797449999999901</v>
      </c>
      <c r="W9859">
        <v>3.8947099999999998E-2</v>
      </c>
      <c r="X9859">
        <v>0.98326400000000003</v>
      </c>
      <c r="Y9859">
        <v>-0.31061660000000002</v>
      </c>
      <c r="Z9859">
        <v>5.3173439999999999E-3</v>
      </c>
      <c r="AA9859">
        <v>0.95052040000000004</v>
      </c>
      <c r="AB9859">
        <v>32</v>
      </c>
      <c r="AC9859">
        <v>11.472099999999999</v>
      </c>
      <c r="AD9859">
        <v>-1.1139147466270001</v>
      </c>
      <c r="AE9859">
        <v>5.09961999999999</v>
      </c>
      <c r="AF9859">
        <v>-3.92306627984948</v>
      </c>
      <c r="AG9859">
        <v>-1.1139147466270001</v>
      </c>
      <c r="AH9859">
        <v>11.8225268480483</v>
      </c>
      <c r="AI9859">
        <v>95.1100766025761</v>
      </c>
      <c r="AJ9859">
        <v>108.35738046097499</v>
      </c>
      <c r="AK9859">
        <v>12.5061343416608</v>
      </c>
      <c r="AL9859">
        <v>87.767930887938107</v>
      </c>
      <c r="AM9859">
        <v>100.259671351508</v>
      </c>
      <c r="AN9859">
        <v>0.99999994647232804</v>
      </c>
    </row>
    <row r="9860" spans="1:40" x14ac:dyDescent="0.25">
      <c r="A9860" t="str">
        <f>"20190312150914731"</f>
        <v>20190312150914731</v>
      </c>
      <c r="B9860" t="str">
        <f>"1552374554729602"</f>
        <v>1552374554729602</v>
      </c>
      <c r="C9860" t="s">
        <v>40</v>
      </c>
      <c r="D9860">
        <v>4.5193640000000004</v>
      </c>
      <c r="E9860">
        <v>0.44674229999999998</v>
      </c>
      <c r="F9860" t="s">
        <v>73</v>
      </c>
      <c r="G9860">
        <v>-208.98750000000001</v>
      </c>
      <c r="H9860" s="1">
        <v>-1.6894829999999901E-6</v>
      </c>
      <c r="I9860">
        <v>-56.345910000000003</v>
      </c>
      <c r="J9860">
        <v>-220.24279999999999</v>
      </c>
      <c r="K9860">
        <v>1.1139699999999999</v>
      </c>
      <c r="L9860">
        <v>-61.40466</v>
      </c>
      <c r="M9860">
        <v>0.99493620000000005</v>
      </c>
      <c r="N9860">
        <v>0</v>
      </c>
      <c r="O9860">
        <v>9.9837850000000006E-2</v>
      </c>
      <c r="P9860">
        <v>0.96060959999999995</v>
      </c>
      <c r="Q9860">
        <v>2.9434040000000002E-2</v>
      </c>
      <c r="R9860">
        <v>0.2763389</v>
      </c>
      <c r="S9860">
        <v>2.7770389999999998</v>
      </c>
      <c r="T9860">
        <v>-0.27152120000000002</v>
      </c>
      <c r="U9860">
        <v>1.236877</v>
      </c>
      <c r="V9860">
        <v>-0.17942259999999999</v>
      </c>
      <c r="W9860">
        <v>3.9149589999999998E-2</v>
      </c>
      <c r="X9860">
        <v>0.9829928</v>
      </c>
      <c r="Y9860">
        <v>-0.31278349999999999</v>
      </c>
      <c r="Z9860">
        <v>5.3283269999999999E-3</v>
      </c>
      <c r="AA9860">
        <v>0.94980949999999997</v>
      </c>
      <c r="AB9860">
        <v>32</v>
      </c>
      <c r="AC9860">
        <v>11.255299999999901</v>
      </c>
      <c r="AD9860">
        <v>-1.1139716894830001</v>
      </c>
      <c r="AE9860">
        <v>5.0587499999999999</v>
      </c>
      <c r="AF9860">
        <v>-3.8780870915103001</v>
      </c>
      <c r="AG9860">
        <v>-1.1139716894830001</v>
      </c>
      <c r="AH9860">
        <v>11.609535589208701</v>
      </c>
      <c r="AI9860">
        <v>95.200149712739702</v>
      </c>
      <c r="AJ9860">
        <v>108.47154913879901</v>
      </c>
      <c r="AK9860">
        <v>12.290720443139699</v>
      </c>
      <c r="AL9860">
        <v>87.756320335068096</v>
      </c>
      <c r="AM9860">
        <v>100.344147103021</v>
      </c>
      <c r="AN9860">
        <v>1.0000000023198801</v>
      </c>
    </row>
    <row r="9861" spans="1:40" x14ac:dyDescent="0.25">
      <c r="A9861" t="str">
        <f>"20190312150914742"</f>
        <v>20190312150914742</v>
      </c>
      <c r="B9861" t="str">
        <f>"1552374554739362"</f>
        <v>1552374554739362</v>
      </c>
      <c r="C9861" t="s">
        <v>40</v>
      </c>
      <c r="D9861">
        <v>4.516629</v>
      </c>
      <c r="E9861">
        <v>0.44664310000000002</v>
      </c>
      <c r="F9861" t="s">
        <v>73</v>
      </c>
      <c r="G9861">
        <v>-209.15309999999999</v>
      </c>
      <c r="H9861" s="1">
        <v>-1.5670169999999901E-6</v>
      </c>
      <c r="I9861">
        <v>-56.410609999999998</v>
      </c>
      <c r="J9861">
        <v>-220.08439999999999</v>
      </c>
      <c r="K9861">
        <v>1.1140319999999999</v>
      </c>
      <c r="L9861">
        <v>-61.386539999999997</v>
      </c>
      <c r="M9861">
        <v>0.99468789999999996</v>
      </c>
      <c r="N9861">
        <v>0</v>
      </c>
      <c r="O9861">
        <v>0.10228089999999999</v>
      </c>
      <c r="P9861">
        <v>0.95951759999999997</v>
      </c>
      <c r="Q9861">
        <v>2.9872059999999999E-2</v>
      </c>
      <c r="R9861">
        <v>0.28006009999999998</v>
      </c>
      <c r="S9861">
        <v>2.7723849999999999</v>
      </c>
      <c r="T9861">
        <v>-0.27849079999999998</v>
      </c>
      <c r="U9861">
        <v>1.248505</v>
      </c>
      <c r="V9861">
        <v>-0.1808313</v>
      </c>
      <c r="W9861">
        <v>3.9558879999999998E-2</v>
      </c>
      <c r="X9861">
        <v>0.98271819999999999</v>
      </c>
      <c r="Y9861">
        <v>-0.3143203</v>
      </c>
      <c r="Z9861">
        <v>5.3121610000000001E-3</v>
      </c>
      <c r="AA9861">
        <v>0.94930210000000004</v>
      </c>
      <c r="AB9861">
        <v>32</v>
      </c>
      <c r="AC9861">
        <v>10.931299999999901</v>
      </c>
      <c r="AD9861">
        <v>-1.1140335670169901</v>
      </c>
      <c r="AE9861">
        <v>4.97593</v>
      </c>
      <c r="AF9861">
        <v>-3.7990075838830499</v>
      </c>
      <c r="AG9861">
        <v>-1.1140335670169901</v>
      </c>
      <c r="AH9861">
        <v>11.285843684652299</v>
      </c>
      <c r="AI9861">
        <v>95.3446147148736</v>
      </c>
      <c r="AJ9861">
        <v>108.60411128528099</v>
      </c>
      <c r="AK9861">
        <v>11.9600918510373</v>
      </c>
      <c r="AL9861">
        <v>87.732851473908696</v>
      </c>
      <c r="AM9861">
        <v>100.426437386373</v>
      </c>
      <c r="AN9861">
        <v>0.99999996232889099</v>
      </c>
    </row>
    <row r="9862" spans="1:40" x14ac:dyDescent="0.25">
      <c r="A9862" t="str">
        <f>"20190312150914754"</f>
        <v>20190312150914754</v>
      </c>
      <c r="B9862" t="str">
        <f>"1552374554749122"</f>
        <v>1552374554749122</v>
      </c>
      <c r="C9862" t="s">
        <v>40</v>
      </c>
      <c r="D9862">
        <v>4.5600100000000001</v>
      </c>
      <c r="E9862">
        <v>0.44678869999999998</v>
      </c>
      <c r="F9862" t="s">
        <v>73</v>
      </c>
      <c r="G9862">
        <v>-209.02180000000001</v>
      </c>
      <c r="H9862" s="1">
        <v>-1.66659E-6</v>
      </c>
      <c r="I9862">
        <v>-56.350140000000003</v>
      </c>
      <c r="J9862">
        <v>-219.92169999999999</v>
      </c>
      <c r="K9862">
        <v>1.114096</v>
      </c>
      <c r="L9862">
        <v>-61.367249999999999</v>
      </c>
      <c r="M9862">
        <v>0.99442019999999998</v>
      </c>
      <c r="N9862">
        <v>0</v>
      </c>
      <c r="O9862">
        <v>0.104849499999999</v>
      </c>
      <c r="P9862">
        <v>0.95843730000000005</v>
      </c>
      <c r="Q9862">
        <v>2.9900099999999999E-2</v>
      </c>
      <c r="R9862">
        <v>0.28373219999999999</v>
      </c>
      <c r="S9862">
        <v>2.7675169999999998</v>
      </c>
      <c r="T9862">
        <v>-0.27869650000000001</v>
      </c>
      <c r="U9862">
        <v>1.259949</v>
      </c>
      <c r="V9862">
        <v>-0.18206259999999999</v>
      </c>
      <c r="W9862">
        <v>3.9561260000000001E-2</v>
      </c>
      <c r="X9862">
        <v>0.9824908</v>
      </c>
      <c r="Y9862">
        <v>-0.31575330000000001</v>
      </c>
      <c r="Z9862">
        <v>5.1471199999999998E-3</v>
      </c>
      <c r="AA9862">
        <v>0.94882739999999999</v>
      </c>
      <c r="AB9862">
        <v>32</v>
      </c>
      <c r="AC9862">
        <v>10.899899999999899</v>
      </c>
      <c r="AD9862">
        <v>-1.11409766659</v>
      </c>
      <c r="AE9862">
        <v>5.01710999999999</v>
      </c>
      <c r="AF9862">
        <v>-3.8136495596203202</v>
      </c>
      <c r="AG9862">
        <v>-1.11409766659</v>
      </c>
      <c r="AH9862">
        <v>11.268744306090399</v>
      </c>
      <c r="AI9862">
        <v>95.350065703235202</v>
      </c>
      <c r="AJ9862">
        <v>108.697217448228</v>
      </c>
      <c r="AK9862">
        <v>11.948628992915401</v>
      </c>
      <c r="AL9862">
        <v>87.732715151746405</v>
      </c>
      <c r="AM9862">
        <v>100.498234922645</v>
      </c>
      <c r="AN9862">
        <v>1.0000000278480901</v>
      </c>
    </row>
    <row r="9863" spans="1:40" x14ac:dyDescent="0.25">
      <c r="A9863" t="str">
        <f>"20190312150914765"</f>
        <v>20190312150914765</v>
      </c>
      <c r="B9863" t="str">
        <f>"1552374554758882"</f>
        <v>1552374554758882</v>
      </c>
      <c r="C9863" t="s">
        <v>40</v>
      </c>
      <c r="D9863">
        <v>4.5121339999999996</v>
      </c>
      <c r="E9863">
        <v>0.44687250000000001</v>
      </c>
      <c r="F9863" t="s">
        <v>73</v>
      </c>
      <c r="G9863">
        <v>-208.99529999999999</v>
      </c>
      <c r="H9863" s="1">
        <v>-1.6842600000000001E-6</v>
      </c>
      <c r="I9863">
        <v>-56.346980000000002</v>
      </c>
      <c r="J9863">
        <v>-219.76519999999999</v>
      </c>
      <c r="K9863">
        <v>1.114161</v>
      </c>
      <c r="L9863">
        <v>-61.348570000000002</v>
      </c>
      <c r="M9863">
        <v>0.9941546</v>
      </c>
      <c r="N9863">
        <v>0</v>
      </c>
      <c r="O9863">
        <v>0.10733620000000001</v>
      </c>
      <c r="P9863">
        <v>0.9573275</v>
      </c>
      <c r="Q9863">
        <v>2.9554489999999999E-2</v>
      </c>
      <c r="R9863">
        <v>0.28748990000000002</v>
      </c>
      <c r="S9863">
        <v>2.763077</v>
      </c>
      <c r="T9863">
        <v>-0.28173429999999999</v>
      </c>
      <c r="U9863">
        <v>1.269531</v>
      </c>
      <c r="V9863">
        <v>-0.18346129999999999</v>
      </c>
      <c r="W9863">
        <v>3.9188189999999998E-2</v>
      </c>
      <c r="X9863">
        <v>0.98224549999999999</v>
      </c>
      <c r="Y9863">
        <v>-0.31666309999999998</v>
      </c>
      <c r="Z9863">
        <v>5.0144050000000004E-3</v>
      </c>
      <c r="AA9863">
        <v>0.94852479999999995</v>
      </c>
      <c r="AB9863">
        <v>32</v>
      </c>
      <c r="AC9863">
        <v>10.7699</v>
      </c>
      <c r="AD9863">
        <v>-1.1141626842600001</v>
      </c>
      <c r="AE9863">
        <v>5.0015899999999904</v>
      </c>
      <c r="AF9863">
        <v>-3.7833057803964798</v>
      </c>
      <c r="AG9863">
        <v>-1.1141626842600001</v>
      </c>
      <c r="AH9863">
        <v>11.1464314182797</v>
      </c>
      <c r="AI9863">
        <v>95.407120799881596</v>
      </c>
      <c r="AJ9863">
        <v>108.748166288161</v>
      </c>
      <c r="AK9863">
        <v>11.8236075069072</v>
      </c>
      <c r="AL9863">
        <v>87.754106997546103</v>
      </c>
      <c r="AM9863">
        <v>100.57965643796</v>
      </c>
      <c r="AN9863">
        <v>0.99999999255170702</v>
      </c>
    </row>
    <row r="9864" spans="1:40" x14ac:dyDescent="0.25">
      <c r="A9864" t="str">
        <f>"20190312150914778"</f>
        <v>20190312150914778</v>
      </c>
      <c r="B9864" t="str">
        <f>"1552374554769618"</f>
        <v>1552374554769618</v>
      </c>
      <c r="C9864" t="s">
        <v>40</v>
      </c>
      <c r="D9864">
        <v>4.5599080000000001</v>
      </c>
      <c r="E9864">
        <v>0.44698080000000001</v>
      </c>
      <c r="F9864" t="s">
        <v>73</v>
      </c>
      <c r="G9864">
        <v>-208.85740000000001</v>
      </c>
      <c r="H9864" s="1">
        <v>-1.7875099999999899E-6</v>
      </c>
      <c r="I9864">
        <v>-56.288310000000003</v>
      </c>
      <c r="J9864">
        <v>-219.58789999999999</v>
      </c>
      <c r="K9864">
        <v>1.114228</v>
      </c>
      <c r="L9864">
        <v>-61.326569999999997</v>
      </c>
      <c r="M9864">
        <v>0.99383900000000003</v>
      </c>
      <c r="N9864">
        <v>0</v>
      </c>
      <c r="O9864">
        <v>0.110218</v>
      </c>
      <c r="P9864">
        <v>0.95607109999999995</v>
      </c>
      <c r="Q9864">
        <v>2.9753310000000002E-2</v>
      </c>
      <c r="R9864">
        <v>0.29162120000000002</v>
      </c>
      <c r="S9864">
        <v>2.7581479999999998</v>
      </c>
      <c r="T9864">
        <v>-0.28172789999999998</v>
      </c>
      <c r="U9864">
        <v>1.279541</v>
      </c>
      <c r="V9864">
        <v>-0.1848649</v>
      </c>
      <c r="W9864">
        <v>3.9358289999999997E-2</v>
      </c>
      <c r="X9864">
        <v>0.9819755</v>
      </c>
      <c r="Y9864">
        <v>-0.3174013</v>
      </c>
      <c r="Z9864">
        <v>4.7802130000000002E-3</v>
      </c>
      <c r="AA9864">
        <v>0.94827930000000005</v>
      </c>
      <c r="AB9864">
        <v>32</v>
      </c>
      <c r="AC9864">
        <v>10.7304999999999</v>
      </c>
      <c r="AD9864">
        <v>-1.11422978751</v>
      </c>
      <c r="AE9864">
        <v>5.0382600000000002</v>
      </c>
      <c r="AF9864">
        <v>-3.7912906001325499</v>
      </c>
      <c r="AG9864">
        <v>-1.11422978751</v>
      </c>
      <c r="AH9864">
        <v>11.1221991977063</v>
      </c>
      <c r="AI9864">
        <v>95.416762780648895</v>
      </c>
      <c r="AJ9864">
        <v>108.823010635937</v>
      </c>
      <c r="AK9864">
        <v>11.803334589322001</v>
      </c>
      <c r="AL9864">
        <v>87.744353464818502</v>
      </c>
      <c r="AM9864">
        <v>100.661613530737</v>
      </c>
      <c r="AN9864">
        <v>0.99999999442199194</v>
      </c>
    </row>
    <row r="9865" spans="1:40" x14ac:dyDescent="0.25">
      <c r="A9865" t="str">
        <f>"20190312150914788"</f>
        <v>20190312150914788</v>
      </c>
      <c r="B9865" t="str">
        <f>"1552374554779379"</f>
        <v>1552374554779379</v>
      </c>
      <c r="C9865" t="s">
        <v>40</v>
      </c>
      <c r="D9865">
        <v>4.5381260000000001</v>
      </c>
      <c r="E9865">
        <v>0.44696740000000001</v>
      </c>
      <c r="F9865" t="s">
        <v>73</v>
      </c>
      <c r="G9865">
        <v>-208.64930000000001</v>
      </c>
      <c r="H9865" s="1">
        <v>-1.9435570000000002E-6</v>
      </c>
      <c r="I9865">
        <v>-56.198950000000004</v>
      </c>
      <c r="J9865">
        <v>-219.45670000000001</v>
      </c>
      <c r="K9865">
        <v>1.1142799999999999</v>
      </c>
      <c r="L9865">
        <v>-61.31006</v>
      </c>
      <c r="M9865">
        <v>0.99359790000000003</v>
      </c>
      <c r="N9865">
        <v>0</v>
      </c>
      <c r="O9865">
        <v>0.1123687</v>
      </c>
      <c r="P9865">
        <v>0.95513610000000004</v>
      </c>
      <c r="Q9865">
        <v>2.9203989999999999E-2</v>
      </c>
      <c r="R9865">
        <v>0.29472379999999998</v>
      </c>
      <c r="S9865">
        <v>2.7529140000000001</v>
      </c>
      <c r="T9865">
        <v>-0.28041840000000001</v>
      </c>
      <c r="U9865">
        <v>1.2904659999999999</v>
      </c>
      <c r="V9865">
        <v>-0.1859258</v>
      </c>
      <c r="W9865">
        <v>3.8788429999999999E-2</v>
      </c>
      <c r="X9865">
        <v>0.9817979</v>
      </c>
      <c r="Y9865">
        <v>-0.31913609999999998</v>
      </c>
      <c r="Z9865">
        <v>4.6426089999999998E-3</v>
      </c>
      <c r="AA9865">
        <v>0.94769749999999997</v>
      </c>
      <c r="AB9865">
        <v>32</v>
      </c>
      <c r="AC9865">
        <v>10.807399999999999</v>
      </c>
      <c r="AD9865">
        <v>-1.1142819435569999</v>
      </c>
      <c r="AE9865">
        <v>5.1111099999999903</v>
      </c>
      <c r="AF9865">
        <v>-3.8309575482812601</v>
      </c>
      <c r="AG9865">
        <v>-1.1142819435569999</v>
      </c>
      <c r="AH9865">
        <v>11.215874661145101</v>
      </c>
      <c r="AI9865">
        <v>95.370911863321794</v>
      </c>
      <c r="AJ9865">
        <v>108.85840472179299</v>
      </c>
      <c r="AK9865">
        <v>11.9043565303206</v>
      </c>
      <c r="AL9865">
        <v>87.7770290723861</v>
      </c>
      <c r="AM9865">
        <v>100.72327829835299</v>
      </c>
      <c r="AN9865">
        <v>1.00000003092595</v>
      </c>
    </row>
    <row r="9866" spans="1:40" x14ac:dyDescent="0.25">
      <c r="A9866" t="str">
        <f>"20190312150914798"</f>
        <v>20190312150914798</v>
      </c>
      <c r="B9866" t="str">
        <f>"1552374554789139"</f>
        <v>1552374554789139</v>
      </c>
      <c r="C9866" t="s">
        <v>40</v>
      </c>
      <c r="D9866">
        <v>4.5712149999999996</v>
      </c>
      <c r="E9866">
        <v>0.44705990000000001</v>
      </c>
      <c r="F9866" t="s">
        <v>73</v>
      </c>
      <c r="G9866">
        <v>-208.6447</v>
      </c>
      <c r="H9866" s="1">
        <v>-1.9466309999999999E-6</v>
      </c>
      <c r="I9866">
        <v>-56.198390000000003</v>
      </c>
      <c r="J9866">
        <v>-219.30179999999999</v>
      </c>
      <c r="K9866">
        <v>1.114333</v>
      </c>
      <c r="L9866">
        <v>-61.290069999999901</v>
      </c>
      <c r="M9866">
        <v>0.99330309999999999</v>
      </c>
      <c r="N9866">
        <v>0</v>
      </c>
      <c r="O9866">
        <v>0.114944699999999</v>
      </c>
      <c r="P9866">
        <v>0.95407500000000001</v>
      </c>
      <c r="Q9866">
        <v>2.8900430000000001E-2</v>
      </c>
      <c r="R9866">
        <v>0.29817110000000002</v>
      </c>
      <c r="S9866">
        <v>2.7485810000000002</v>
      </c>
      <c r="T9866">
        <v>-0.28326829999999997</v>
      </c>
      <c r="U9866">
        <v>1.299469</v>
      </c>
      <c r="V9866">
        <v>-0.18692710000000001</v>
      </c>
      <c r="W9866">
        <v>3.8462990000000002E-2</v>
      </c>
      <c r="X9866">
        <v>0.98162059999999995</v>
      </c>
      <c r="Y9866">
        <v>-0.3197835</v>
      </c>
      <c r="Z9866">
        <v>4.4780979999999998E-3</v>
      </c>
      <c r="AA9866">
        <v>0.94748010000000005</v>
      </c>
      <c r="AB9866">
        <v>32</v>
      </c>
      <c r="AC9866">
        <v>10.6570999999999</v>
      </c>
      <c r="AD9866">
        <v>-1.114334946631</v>
      </c>
      <c r="AE9866">
        <v>5.0916799999999798</v>
      </c>
      <c r="AF9866">
        <v>-3.7990492655342001</v>
      </c>
      <c r="AG9866">
        <v>-1.114334946631</v>
      </c>
      <c r="AH9866">
        <v>11.073188169402799</v>
      </c>
      <c r="AI9866">
        <v>95.437447341339194</v>
      </c>
      <c r="AJ9866">
        <v>108.936346462071</v>
      </c>
      <c r="AK9866">
        <v>11.759677458597301</v>
      </c>
      <c r="AL9866">
        <v>87.795689426930394</v>
      </c>
      <c r="AM9866">
        <v>100.781580026664</v>
      </c>
      <c r="AN9866">
        <v>1.0000000723292499</v>
      </c>
    </row>
    <row r="9867" spans="1:40" x14ac:dyDescent="0.25">
      <c r="A9867" t="str">
        <f>"20190312150914809"</f>
        <v>20190312150914809</v>
      </c>
      <c r="B9867" t="str">
        <f>"1552374554798899"</f>
        <v>1552374554798899</v>
      </c>
      <c r="C9867" t="s">
        <v>40</v>
      </c>
      <c r="D9867">
        <v>4.5521099999999999</v>
      </c>
      <c r="E9867">
        <v>0.44713960000000003</v>
      </c>
      <c r="F9867" t="s">
        <v>73</v>
      </c>
      <c r="G9867">
        <v>-208.57470000000001</v>
      </c>
      <c r="H9867" s="1">
        <v>-1.997366E-6</v>
      </c>
      <c r="I9867">
        <v>-56.174950000000003</v>
      </c>
      <c r="J9867">
        <v>-219.15180000000001</v>
      </c>
      <c r="K9867">
        <v>1.1143909999999999</v>
      </c>
      <c r="L9867">
        <v>-61.270319999999998</v>
      </c>
      <c r="M9867">
        <v>0.99300759999999999</v>
      </c>
      <c r="N9867">
        <v>0</v>
      </c>
      <c r="O9867">
        <v>0.11746769999999999</v>
      </c>
      <c r="P9867">
        <v>0.95301409999999998</v>
      </c>
      <c r="Q9867">
        <v>2.8454299999999998E-2</v>
      </c>
      <c r="R9867">
        <v>0.30158649999999998</v>
      </c>
      <c r="S9867">
        <v>2.7440950000000002</v>
      </c>
      <c r="T9867">
        <v>-0.2850586</v>
      </c>
      <c r="U9867">
        <v>1.3085020000000001</v>
      </c>
      <c r="V9867">
        <v>-0.1879489</v>
      </c>
      <c r="W9867">
        <v>3.799603E-2</v>
      </c>
      <c r="X9867">
        <v>0.98144359999999997</v>
      </c>
      <c r="Y9867">
        <v>-0.32051570000000001</v>
      </c>
      <c r="Z9867">
        <v>4.30278E-3</v>
      </c>
      <c r="AA9867">
        <v>0.9472334</v>
      </c>
      <c r="AB9867">
        <v>32</v>
      </c>
      <c r="AC9867">
        <v>10.5771</v>
      </c>
      <c r="AD9867">
        <v>-1.1143929973659901</v>
      </c>
      <c r="AE9867">
        <v>5.0953699999999902</v>
      </c>
      <c r="AF9867">
        <v>-3.7834479337475</v>
      </c>
      <c r="AG9867">
        <v>-1.1143929973659901</v>
      </c>
      <c r="AH9867">
        <v>11.0033079505511</v>
      </c>
      <c r="AI9867">
        <v>95.470782634727101</v>
      </c>
      <c r="AJ9867">
        <v>108.975347786466</v>
      </c>
      <c r="AK9867">
        <v>11.688846644328001</v>
      </c>
      <c r="AL9867">
        <v>87.822463707078896</v>
      </c>
      <c r="AM9867">
        <v>100.84103142581</v>
      </c>
      <c r="AN9867">
        <v>1.00000001364396</v>
      </c>
    </row>
    <row r="9868" spans="1:40" x14ac:dyDescent="0.25">
      <c r="A9868" t="str">
        <f>"20190312150914820"</f>
        <v>20190312150914820</v>
      </c>
      <c r="B9868" t="str">
        <f>"1552374554809634"</f>
        <v>1552374554809634</v>
      </c>
      <c r="C9868" t="s">
        <v>40</v>
      </c>
      <c r="D9868">
        <v>4.5486040000000001</v>
      </c>
      <c r="E9868">
        <v>0.44727939999999999</v>
      </c>
      <c r="F9868" t="s">
        <v>73</v>
      </c>
      <c r="G9868">
        <v>-208.52760000000001</v>
      </c>
      <c r="H9868" s="1">
        <v>-2.0312000000000001E-6</v>
      </c>
      <c r="I9868">
        <v>-56.160369999999901</v>
      </c>
      <c r="J9868">
        <v>-218.99930000000001</v>
      </c>
      <c r="K9868">
        <v>1.1144480000000001</v>
      </c>
      <c r="L9868">
        <v>-61.249850000000002</v>
      </c>
      <c r="M9868">
        <v>0.9926971</v>
      </c>
      <c r="N9868">
        <v>0</v>
      </c>
      <c r="O9868">
        <v>0.1200623</v>
      </c>
      <c r="P9868">
        <v>0.95190260000000004</v>
      </c>
      <c r="Q9868">
        <v>2.825677E-2</v>
      </c>
      <c r="R9868">
        <v>0.30509550000000002</v>
      </c>
      <c r="S9868">
        <v>2.7395019999999999</v>
      </c>
      <c r="T9868">
        <v>-0.28735169999999999</v>
      </c>
      <c r="U9868">
        <v>1.3176270000000001</v>
      </c>
      <c r="V9868">
        <v>-0.1890028</v>
      </c>
      <c r="W9868">
        <v>3.7775410000000002E-2</v>
      </c>
      <c r="X9868">
        <v>0.9812497</v>
      </c>
      <c r="Y9868">
        <v>-0.32121670000000002</v>
      </c>
      <c r="Z9868">
        <v>4.1235409999999997E-3</v>
      </c>
      <c r="AA9868">
        <v>0.94699670000000002</v>
      </c>
      <c r="AB9868">
        <v>32</v>
      </c>
      <c r="AC9868">
        <v>10.471699999999901</v>
      </c>
      <c r="AD9868">
        <v>-1.1144500312000001</v>
      </c>
      <c r="AE9868">
        <v>5.08948</v>
      </c>
      <c r="AF9868">
        <v>-3.7608594895406702</v>
      </c>
      <c r="AG9868">
        <v>-1.1144500312000001</v>
      </c>
      <c r="AH9868">
        <v>10.907106450254799</v>
      </c>
      <c r="AI9868">
        <v>95.5173958049904</v>
      </c>
      <c r="AJ9868">
        <v>109.024612136119</v>
      </c>
      <c r="AK9868">
        <v>11.5909893490289</v>
      </c>
      <c r="AL9868">
        <v>87.835113368632094</v>
      </c>
      <c r="AM9868">
        <v>100.902471182014</v>
      </c>
      <c r="AN9868">
        <v>1.00000000687929</v>
      </c>
    </row>
    <row r="9869" spans="1:40" x14ac:dyDescent="0.25">
      <c r="A9869" t="str">
        <f>"20190312150914832"</f>
        <v>20190312150914832</v>
      </c>
      <c r="B9869" t="str">
        <f>"1552374554829154"</f>
        <v>1552374554829154</v>
      </c>
      <c r="C9869" t="s">
        <v>40</v>
      </c>
      <c r="D9869">
        <v>4.5975159999999997</v>
      </c>
      <c r="E9869">
        <v>0.4475614</v>
      </c>
      <c r="F9869" t="s">
        <v>73</v>
      </c>
      <c r="G9869">
        <v>-208.4776</v>
      </c>
      <c r="H9869" s="1">
        <v>-2.0667710000000001E-6</v>
      </c>
      <c r="I9869">
        <v>-56.146059999999999</v>
      </c>
      <c r="J9869">
        <v>-218.8443</v>
      </c>
      <c r="K9869">
        <v>1.1145080000000001</v>
      </c>
      <c r="L9869">
        <v>-61.228549999999998</v>
      </c>
      <c r="M9869">
        <v>0.99236950000000002</v>
      </c>
      <c r="N9869">
        <v>0</v>
      </c>
      <c r="O9869">
        <v>0.1227391</v>
      </c>
      <c r="P9869">
        <v>0.95083930000000005</v>
      </c>
      <c r="Q9869">
        <v>2.84335E-2</v>
      </c>
      <c r="R9869">
        <v>0.3083767</v>
      </c>
      <c r="S9869">
        <v>2.7349549999999998</v>
      </c>
      <c r="T9869">
        <v>-0.28968630000000001</v>
      </c>
      <c r="U9869">
        <v>1.32666</v>
      </c>
      <c r="V9869">
        <v>-0.1897489</v>
      </c>
      <c r="W9869">
        <v>3.793266E-2</v>
      </c>
      <c r="X9869">
        <v>0.98109959999999996</v>
      </c>
      <c r="Y9869">
        <v>-0.32180760000000003</v>
      </c>
      <c r="Z9869">
        <v>3.9276709999999998E-3</v>
      </c>
      <c r="AA9869">
        <v>0.946797</v>
      </c>
      <c r="AB9869">
        <v>32</v>
      </c>
      <c r="AC9869">
        <v>10.3667</v>
      </c>
      <c r="AD9869">
        <v>-1.114510066771</v>
      </c>
      <c r="AE9869">
        <v>5.08249</v>
      </c>
      <c r="AF9869">
        <v>-3.7367484790782801</v>
      </c>
      <c r="AG9869">
        <v>-1.114510066771</v>
      </c>
      <c r="AH9869">
        <v>10.8114252624618</v>
      </c>
      <c r="AI9869">
        <v>95.564816175330407</v>
      </c>
      <c r="AJ9869">
        <v>109.066664051611</v>
      </c>
      <c r="AK9869">
        <v>11.493143090148401</v>
      </c>
      <c r="AL9869">
        <v>87.826097083372204</v>
      </c>
      <c r="AM9869">
        <v>100.94610599112001</v>
      </c>
      <c r="AN9869">
        <v>0.99999997843302202</v>
      </c>
    </row>
    <row r="9870" spans="1:40" x14ac:dyDescent="0.25">
      <c r="A9870" t="str">
        <f>"20190312150914843"</f>
        <v>20190312150914843</v>
      </c>
      <c r="B9870" t="str">
        <f>"1552374554838914"</f>
        <v>1552374554838914</v>
      </c>
      <c r="C9870" t="s">
        <v>40</v>
      </c>
      <c r="D9870">
        <v>4.5646129999999996</v>
      </c>
      <c r="E9870">
        <v>0.44768629999999998</v>
      </c>
      <c r="F9870" t="s">
        <v>73</v>
      </c>
      <c r="G9870">
        <v>-208.36869999999999</v>
      </c>
      <c r="H9870" s="1">
        <v>-2.145006E-6</v>
      </c>
      <c r="I9870">
        <v>-56.112279999999998</v>
      </c>
      <c r="J9870">
        <v>-218.68219999999999</v>
      </c>
      <c r="K9870">
        <v>1.114571</v>
      </c>
      <c r="L9870">
        <v>-61.205930000000002</v>
      </c>
      <c r="M9870">
        <v>0.99201629999999996</v>
      </c>
      <c r="N9870">
        <v>0</v>
      </c>
      <c r="O9870">
        <v>0.1255599</v>
      </c>
      <c r="P9870">
        <v>0.94956569999999996</v>
      </c>
      <c r="Q9870">
        <v>2.8248700000000002E-2</v>
      </c>
      <c r="R9870">
        <v>0.3122933</v>
      </c>
      <c r="S9870">
        <v>2.7311709999999998</v>
      </c>
      <c r="T9870">
        <v>-0.29057090000000002</v>
      </c>
      <c r="U9870">
        <v>1.333893</v>
      </c>
      <c r="V9870">
        <v>-0.19100639999999999</v>
      </c>
      <c r="W9870">
        <v>3.7720610000000002E-2</v>
      </c>
      <c r="X9870">
        <v>0.98086370000000001</v>
      </c>
      <c r="Y9870">
        <v>-0.32166529999999999</v>
      </c>
      <c r="Z9870">
        <v>3.6579339999999998E-3</v>
      </c>
      <c r="AA9870">
        <v>0.94684639999999998</v>
      </c>
      <c r="AB9870">
        <v>32</v>
      </c>
      <c r="AC9870">
        <v>10.313499999999999</v>
      </c>
      <c r="AD9870">
        <v>-1.1145731450059999</v>
      </c>
      <c r="AE9870">
        <v>5.0936499999999896</v>
      </c>
      <c r="AF9870">
        <v>-3.7233240625911801</v>
      </c>
      <c r="AG9870">
        <v>-1.1145731450059999</v>
      </c>
      <c r="AH9870">
        <v>10.770349184100199</v>
      </c>
      <c r="AI9870">
        <v>95.586096545649795</v>
      </c>
      <c r="AJ9870">
        <v>109.070335867765</v>
      </c>
      <c r="AK9870">
        <v>11.450145716019801</v>
      </c>
      <c r="AL9870">
        <v>87.838255279879405</v>
      </c>
      <c r="AM9870">
        <v>101.019463321028</v>
      </c>
      <c r="AN9870">
        <v>0.99999994361870903</v>
      </c>
    </row>
    <row r="9871" spans="1:40" x14ac:dyDescent="0.25">
      <c r="A9871" t="str">
        <f>"20190312150914855"</f>
        <v>20190312150914855</v>
      </c>
      <c r="B9871" t="str">
        <f>"1552374554849651"</f>
        <v>1552374554849651</v>
      </c>
      <c r="C9871" t="s">
        <v>40</v>
      </c>
      <c r="D9871">
        <v>4.5938739999999996</v>
      </c>
      <c r="E9871">
        <v>0.44780160000000002</v>
      </c>
      <c r="F9871" t="s">
        <v>73</v>
      </c>
      <c r="G9871">
        <v>-208.30359999999999</v>
      </c>
      <c r="H9871" s="1">
        <v>-2.1926270000000001E-6</v>
      </c>
      <c r="I9871">
        <v>-56.088790000000003</v>
      </c>
      <c r="J9871">
        <v>-218.52600000000001</v>
      </c>
      <c r="K9871">
        <v>1.1146309999999999</v>
      </c>
      <c r="L9871">
        <v>-61.183410000000002</v>
      </c>
      <c r="M9871">
        <v>0.99166049999999994</v>
      </c>
      <c r="N9871">
        <v>0</v>
      </c>
      <c r="O9871">
        <v>0.12833789999999901</v>
      </c>
      <c r="P9871">
        <v>0.9483355</v>
      </c>
      <c r="Q9871">
        <v>2.8276309999999999E-2</v>
      </c>
      <c r="R9871">
        <v>0.31600699999999998</v>
      </c>
      <c r="S9871">
        <v>2.726013</v>
      </c>
      <c r="T9871">
        <v>-0.29275099999999998</v>
      </c>
      <c r="U9871">
        <v>1.344055</v>
      </c>
      <c r="V9871">
        <v>-0.19210450000000001</v>
      </c>
      <c r="W9871">
        <v>3.7722039999999998E-2</v>
      </c>
      <c r="X9871">
        <v>0.9806492</v>
      </c>
      <c r="Y9871">
        <v>-0.32255830000000002</v>
      </c>
      <c r="Z9871">
        <v>3.4589600000000001E-3</v>
      </c>
      <c r="AA9871">
        <v>0.94654329999999998</v>
      </c>
      <c r="AB9871">
        <v>32</v>
      </c>
      <c r="AC9871">
        <v>10.222399999999899</v>
      </c>
      <c r="AD9871">
        <v>-1.1146331926269999</v>
      </c>
      <c r="AE9871">
        <v>5.0946199999999902</v>
      </c>
      <c r="AF9871">
        <v>-3.7051842271879298</v>
      </c>
      <c r="AG9871">
        <v>-1.1146331926269999</v>
      </c>
      <c r="AH9871">
        <v>10.689923393917599</v>
      </c>
      <c r="AI9871">
        <v>95.626593692744393</v>
      </c>
      <c r="AJ9871">
        <v>109.116588022315</v>
      </c>
      <c r="AK9871">
        <v>11.3686085111298</v>
      </c>
      <c r="AL9871">
        <v>87.838173350679497</v>
      </c>
      <c r="AM9871">
        <v>101.083614585177</v>
      </c>
      <c r="AN9871">
        <v>0.99999997234132498</v>
      </c>
    </row>
    <row r="9872" spans="1:40" x14ac:dyDescent="0.25">
      <c r="A9872" t="str">
        <f>"20190312150914866"</f>
        <v>20190312150914866</v>
      </c>
      <c r="B9872" t="str">
        <f>"1552374554859410"</f>
        <v>1552374554859410</v>
      </c>
      <c r="C9872" t="s">
        <v>40</v>
      </c>
      <c r="D9872">
        <v>4.5994599999999997</v>
      </c>
      <c r="E9872">
        <v>0.44799749999999999</v>
      </c>
      <c r="F9872" t="s">
        <v>73</v>
      </c>
      <c r="G9872">
        <v>-208.2056</v>
      </c>
      <c r="H9872" s="1">
        <v>-2.2655350000000001E-6</v>
      </c>
      <c r="I9872">
        <v>-56.049019999999999</v>
      </c>
      <c r="J9872">
        <v>-218.3716</v>
      </c>
      <c r="K9872">
        <v>1.1146910000000001</v>
      </c>
      <c r="L9872">
        <v>-61.16095</v>
      </c>
      <c r="M9872">
        <v>0.99129920000000005</v>
      </c>
      <c r="N9872">
        <v>0</v>
      </c>
      <c r="O9872">
        <v>0.1310984</v>
      </c>
      <c r="P9872">
        <v>0.94719869999999995</v>
      </c>
      <c r="Q9872">
        <v>2.8189929999999998E-2</v>
      </c>
      <c r="R9872">
        <v>0.31940600000000002</v>
      </c>
      <c r="S9872">
        <v>2.721085</v>
      </c>
      <c r="T9872">
        <v>-0.29388309999999901</v>
      </c>
      <c r="U9872">
        <v>1.353729</v>
      </c>
      <c r="V9872">
        <v>-0.19289539999999999</v>
      </c>
      <c r="W9872">
        <v>3.7613880000000002E-2</v>
      </c>
      <c r="X9872">
        <v>0.98049810000000004</v>
      </c>
      <c r="Y9872">
        <v>-0.32330609999999999</v>
      </c>
      <c r="Z9872">
        <v>3.2391099999999999E-3</v>
      </c>
      <c r="AA9872">
        <v>0.94628889999999999</v>
      </c>
      <c r="AB9872">
        <v>32</v>
      </c>
      <c r="AC9872">
        <v>10.165999999999899</v>
      </c>
      <c r="AD9872">
        <v>-1.1146932655349999</v>
      </c>
      <c r="AE9872">
        <v>5.1119300000000001</v>
      </c>
      <c r="AF9872">
        <v>-3.69946389005035</v>
      </c>
      <c r="AG9872">
        <v>-1.1146932655349999</v>
      </c>
      <c r="AH9872">
        <v>10.6462946007857</v>
      </c>
      <c r="AI9872">
        <v>95.648270085433396</v>
      </c>
      <c r="AJ9872">
        <v>109.161746396526</v>
      </c>
      <c r="AK9872">
        <v>11.3257301255475</v>
      </c>
      <c r="AL9872">
        <v>87.844374883712206</v>
      </c>
      <c r="AM9872">
        <v>101.12978156765099</v>
      </c>
      <c r="AN9872">
        <v>0.999999981706712</v>
      </c>
    </row>
    <row r="9873" spans="1:40" x14ac:dyDescent="0.25">
      <c r="A9873" t="str">
        <f>"20190312150914877"</f>
        <v>20190312150914877</v>
      </c>
      <c r="B9873" t="str">
        <f>"1552374554869170"</f>
        <v>1552374554869170</v>
      </c>
      <c r="C9873" t="s">
        <v>40</v>
      </c>
      <c r="D9873">
        <v>4.5815849999999996</v>
      </c>
      <c r="E9873">
        <v>0.44814409999999999</v>
      </c>
      <c r="F9873" t="s">
        <v>73</v>
      </c>
      <c r="G9873">
        <v>-208.1277</v>
      </c>
      <c r="H9873" s="1">
        <v>-2.3211149999999999E-6</v>
      </c>
      <c r="I9873">
        <v>-56.026159999999997</v>
      </c>
      <c r="J9873">
        <v>-218.20429999999999</v>
      </c>
      <c r="K9873">
        <v>1.1147609999999999</v>
      </c>
      <c r="L9873">
        <v>-61.135800000000003</v>
      </c>
      <c r="M9873">
        <v>0.99089000000000005</v>
      </c>
      <c r="N9873">
        <v>0</v>
      </c>
      <c r="O9873">
        <v>0.13415379999999999</v>
      </c>
      <c r="P9873">
        <v>0.94590730000000001</v>
      </c>
      <c r="Q9873">
        <v>2.8057720000000001E-2</v>
      </c>
      <c r="R9873">
        <v>0.32322139999999999</v>
      </c>
      <c r="S9873">
        <v>2.7168269999999999</v>
      </c>
      <c r="T9873">
        <v>-0.29563159999999999</v>
      </c>
      <c r="U9873">
        <v>1.3618159999999999</v>
      </c>
      <c r="V9873">
        <v>-0.19382969999999999</v>
      </c>
      <c r="W9873">
        <v>3.7455679999999998E-2</v>
      </c>
      <c r="X9873">
        <v>0.98031990000000002</v>
      </c>
      <c r="Y9873">
        <v>-0.32323800000000003</v>
      </c>
      <c r="Z9873">
        <v>2.951759E-3</v>
      </c>
      <c r="AA9873">
        <v>0.94631310000000002</v>
      </c>
      <c r="AB9873">
        <v>32</v>
      </c>
      <c r="AC9873">
        <v>10.0765999999999</v>
      </c>
      <c r="AD9873">
        <v>-1.1147633211149901</v>
      </c>
      <c r="AE9873">
        <v>5.1096399999999997</v>
      </c>
      <c r="AF9873">
        <v>-3.67575119637916</v>
      </c>
      <c r="AG9873">
        <v>-1.1147633211149901</v>
      </c>
      <c r="AH9873">
        <v>10.568139684483601</v>
      </c>
      <c r="AI9873">
        <v>95.689551538866894</v>
      </c>
      <c r="AJ9873">
        <v>109.17841083805099</v>
      </c>
      <c r="AK9873">
        <v>11.244528469906699</v>
      </c>
      <c r="AL9873">
        <v>87.853445493271195</v>
      </c>
      <c r="AM9873">
        <v>101.18431537277699</v>
      </c>
      <c r="AN9873">
        <v>0.99999999345118096</v>
      </c>
    </row>
    <row r="9874" spans="1:40" x14ac:dyDescent="0.25">
      <c r="A9874" t="str">
        <f>"20190312150914889"</f>
        <v>20190312150914889</v>
      </c>
      <c r="B9874" t="str">
        <f>"1552374554878931"</f>
        <v>1552374554878931</v>
      </c>
      <c r="C9874" t="s">
        <v>40</v>
      </c>
      <c r="D9874">
        <v>5.1256870000000001</v>
      </c>
      <c r="E9874">
        <v>0.44837900000000003</v>
      </c>
      <c r="F9874" t="s">
        <v>73</v>
      </c>
      <c r="G9874">
        <v>-208.02289999999999</v>
      </c>
      <c r="H9874" s="1">
        <v>-2.3982690000000002E-6</v>
      </c>
      <c r="I9874">
        <v>-55.986539999999998</v>
      </c>
      <c r="J9874">
        <v>-218.05850000000001</v>
      </c>
      <c r="K9874">
        <v>1.1148209999999901</v>
      </c>
      <c r="L9874">
        <v>-61.113590000000002</v>
      </c>
      <c r="M9874">
        <v>0.99052240000000003</v>
      </c>
      <c r="N9874">
        <v>0</v>
      </c>
      <c r="O9874">
        <v>0.13684009999999999</v>
      </c>
      <c r="P9874">
        <v>0.94471280000000002</v>
      </c>
      <c r="Q9874">
        <v>2.781693E-2</v>
      </c>
      <c r="R9874">
        <v>0.32671729999999999</v>
      </c>
      <c r="S9874">
        <v>2.711716</v>
      </c>
      <c r="T9874">
        <v>-0.29690699999999998</v>
      </c>
      <c r="U9874">
        <v>1.3714599999999999</v>
      </c>
      <c r="V9874">
        <v>-0.19479920000000001</v>
      </c>
      <c r="W9874">
        <v>3.7189319999999998E-2</v>
      </c>
      <c r="X9874">
        <v>0.98013790000000001</v>
      </c>
      <c r="Y9874">
        <v>-0.3240709</v>
      </c>
      <c r="Z9874">
        <v>2.7404980000000001E-3</v>
      </c>
      <c r="AA9874">
        <v>0.9460288</v>
      </c>
      <c r="AB9874">
        <v>32</v>
      </c>
      <c r="AC9874">
        <v>10.035600000000001</v>
      </c>
      <c r="AD9874">
        <v>-1.1148233982689999</v>
      </c>
      <c r="AE9874">
        <v>5.1270499999999899</v>
      </c>
      <c r="AF9874">
        <v>-3.6695346956569601</v>
      </c>
      <c r="AG9874">
        <v>-1.1148233982689999</v>
      </c>
      <c r="AH9874">
        <v>10.5396764068894</v>
      </c>
      <c r="AI9874">
        <v>95.7045060770199</v>
      </c>
      <c r="AJ9874">
        <v>109.196271832919</v>
      </c>
      <c r="AK9874">
        <v>11.2157520859682</v>
      </c>
      <c r="AL9874">
        <v>87.868717533532902</v>
      </c>
      <c r="AM9874">
        <v>101.240870447101</v>
      </c>
      <c r="AN9874">
        <v>1.00000003842955</v>
      </c>
    </row>
    <row r="9875" spans="1:40" x14ac:dyDescent="0.25">
      <c r="A9875" t="str">
        <f>"20190312150914899"</f>
        <v>20190312150914899</v>
      </c>
      <c r="B9875" t="str">
        <f>"1552374554889667"</f>
        <v>1552374554889667</v>
      </c>
      <c r="C9875" t="s">
        <v>40</v>
      </c>
      <c r="D9875">
        <v>4.634849</v>
      </c>
      <c r="E9875">
        <v>0.44862180000000002</v>
      </c>
      <c r="F9875" t="s">
        <v>73</v>
      </c>
      <c r="G9875">
        <v>-207.90010000000001</v>
      </c>
      <c r="H9875" s="1">
        <v>-2.4897489999999999E-6</v>
      </c>
      <c r="I9875">
        <v>-55.936129999999999</v>
      </c>
      <c r="J9875">
        <v>-217.90940000000001</v>
      </c>
      <c r="K9875">
        <v>1.1148830000000001</v>
      </c>
      <c r="L9875">
        <v>-61.090330000000002</v>
      </c>
      <c r="M9875">
        <v>0.99013370000000001</v>
      </c>
      <c r="N9875">
        <v>0</v>
      </c>
      <c r="O9875">
        <v>0.1396242</v>
      </c>
      <c r="P9875">
        <v>0.94349910000000003</v>
      </c>
      <c r="Q9875">
        <v>2.7722879999999998E-2</v>
      </c>
      <c r="R9875">
        <v>0.33021339999999999</v>
      </c>
      <c r="S9875">
        <v>2.7071529999999999</v>
      </c>
      <c r="T9875">
        <v>-0.29709390000000002</v>
      </c>
      <c r="U9875">
        <v>1.379761</v>
      </c>
      <c r="V9875">
        <v>-0.19567770000000001</v>
      </c>
      <c r="W9875">
        <v>3.707162E-2</v>
      </c>
      <c r="X9875">
        <v>0.97996729999999999</v>
      </c>
      <c r="Y9875">
        <v>-0.32436910000000002</v>
      </c>
      <c r="Z9875">
        <v>2.480197E-3</v>
      </c>
      <c r="AA9875">
        <v>0.94592730000000003</v>
      </c>
      <c r="AB9875">
        <v>32</v>
      </c>
      <c r="AC9875">
        <v>10.0092999999999</v>
      </c>
      <c r="AD9875">
        <v>-1.1148854897489999</v>
      </c>
      <c r="AE9875">
        <v>5.1541999999999897</v>
      </c>
      <c r="AF9875">
        <v>-3.67007671742584</v>
      </c>
      <c r="AG9875">
        <v>-1.1148854897489999</v>
      </c>
      <c r="AH9875">
        <v>10.5277042259225</v>
      </c>
      <c r="AI9875">
        <v>95.710477813323905</v>
      </c>
      <c r="AJ9875">
        <v>109.219132417496</v>
      </c>
      <c r="AK9875">
        <v>11.204686030208499</v>
      </c>
      <c r="AL9875">
        <v>87.875465793211703</v>
      </c>
      <c r="AM9875">
        <v>101.29217988414401</v>
      </c>
      <c r="AN9875">
        <v>0.99999998817800195</v>
      </c>
    </row>
    <row r="9876" spans="1:40" x14ac:dyDescent="0.25">
      <c r="A9876" t="str">
        <f>"20190312150914911"</f>
        <v>20190312150914911</v>
      </c>
      <c r="B9876" t="str">
        <f>"1552374554899427"</f>
        <v>1552374554899427</v>
      </c>
      <c r="C9876" t="s">
        <v>40</v>
      </c>
      <c r="D9876">
        <v>4.6051169999999999</v>
      </c>
      <c r="E9876">
        <v>0.44880799999999998</v>
      </c>
      <c r="F9876" t="s">
        <v>73</v>
      </c>
      <c r="G9876">
        <v>-207.7664</v>
      </c>
      <c r="H9876" s="1">
        <v>-2.5890929999999999E-6</v>
      </c>
      <c r="I9876">
        <v>-55.882159999999999</v>
      </c>
      <c r="J9876">
        <v>-217.75460000000001</v>
      </c>
      <c r="K9876">
        <v>1.1149519999999999</v>
      </c>
      <c r="L9876">
        <v>-61.0657</v>
      </c>
      <c r="M9876">
        <v>0.98971560000000003</v>
      </c>
      <c r="N9876">
        <v>0</v>
      </c>
      <c r="O9876">
        <v>0.14255519999999999</v>
      </c>
      <c r="P9876">
        <v>0.94213029999999998</v>
      </c>
      <c r="Q9876">
        <v>2.7412249999999999E-2</v>
      </c>
      <c r="R9876">
        <v>0.33412439999999999</v>
      </c>
      <c r="S9876">
        <v>2.7026819999999998</v>
      </c>
      <c r="T9876">
        <v>-0.29706949999999999</v>
      </c>
      <c r="U9876">
        <v>1.387756</v>
      </c>
      <c r="V9876">
        <v>-0.19684260000000001</v>
      </c>
      <c r="W9876">
        <v>3.6732349999999997E-2</v>
      </c>
      <c r="X9876">
        <v>0.97974680000000003</v>
      </c>
      <c r="Y9876">
        <v>-0.3244319</v>
      </c>
      <c r="Z9876">
        <v>2.1908019999999999E-3</v>
      </c>
      <c r="AA9876">
        <v>0.94590649999999998</v>
      </c>
      <c r="AB9876">
        <v>32</v>
      </c>
      <c r="AC9876">
        <v>9.9882000000000009</v>
      </c>
      <c r="AD9876">
        <v>-1.1149545890929999</v>
      </c>
      <c r="AE9876">
        <v>5.1835399999999998</v>
      </c>
      <c r="AF9876">
        <v>-3.6705887980379699</v>
      </c>
      <c r="AG9876">
        <v>-1.1149545890929999</v>
      </c>
      <c r="AH9876">
        <v>10.521876895986599</v>
      </c>
      <c r="AI9876">
        <v>95.713544693707604</v>
      </c>
      <c r="AJ9876">
        <v>109.231481277177</v>
      </c>
      <c r="AK9876">
        <v>11.199385665040699</v>
      </c>
      <c r="AL9876">
        <v>87.894917876860305</v>
      </c>
      <c r="AM9876">
        <v>101.360151392313</v>
      </c>
      <c r="AN9876">
        <v>1.0000000334107599</v>
      </c>
    </row>
    <row r="9877" spans="1:40" x14ac:dyDescent="0.25">
      <c r="A9877" t="str">
        <f>"20190312150914920"</f>
        <v>20190312150914920</v>
      </c>
      <c r="B9877" t="str">
        <f>"1552374554909187"</f>
        <v>1552374554909187</v>
      </c>
      <c r="C9877" t="s">
        <v>40</v>
      </c>
      <c r="D9877">
        <v>4.5980059999999998</v>
      </c>
      <c r="E9877">
        <v>0.44892109999999902</v>
      </c>
      <c r="F9877" t="s">
        <v>73</v>
      </c>
      <c r="G9877">
        <v>-207.61490000000001</v>
      </c>
      <c r="H9877" s="1">
        <v>-2.7039320000000001E-6</v>
      </c>
      <c r="I9877">
        <v>-55.812350000000002</v>
      </c>
      <c r="J9877">
        <v>-217.6063</v>
      </c>
      <c r="K9877">
        <v>1.115016</v>
      </c>
      <c r="L9877">
        <v>-61.04175</v>
      </c>
      <c r="M9877">
        <v>0.98930269999999998</v>
      </c>
      <c r="N9877">
        <v>0</v>
      </c>
      <c r="O9877">
        <v>0.145392299999999</v>
      </c>
      <c r="P9877">
        <v>0.94090419999999997</v>
      </c>
      <c r="Q9877">
        <v>2.7630200000000001E-2</v>
      </c>
      <c r="R9877">
        <v>0.33754410000000001</v>
      </c>
      <c r="S9877">
        <v>2.6972809999999998</v>
      </c>
      <c r="T9877">
        <v>-0.29659219999999997</v>
      </c>
      <c r="U9877">
        <v>1.3974610000000001</v>
      </c>
      <c r="V9877">
        <v>-0.19760169999999999</v>
      </c>
      <c r="W9877">
        <v>3.6927229999999998E-2</v>
      </c>
      <c r="X9877">
        <v>0.97958659999999997</v>
      </c>
      <c r="Y9877">
        <v>-0.32518849999999999</v>
      </c>
      <c r="Z9877">
        <v>1.944075E-3</v>
      </c>
      <c r="AA9877">
        <v>0.94564720000000002</v>
      </c>
      <c r="AB9877">
        <v>32</v>
      </c>
      <c r="AC9877">
        <v>9.9914000000000005</v>
      </c>
      <c r="AD9877">
        <v>-1.1150187039319901</v>
      </c>
      <c r="AE9877">
        <v>5.2293999999999903</v>
      </c>
      <c r="AF9877">
        <v>-3.68502471538496</v>
      </c>
      <c r="AG9877">
        <v>-1.1150187039319901</v>
      </c>
      <c r="AH9877">
        <v>10.5425210899721</v>
      </c>
      <c r="AI9877">
        <v>95.701546296109896</v>
      </c>
      <c r="AJ9877">
        <v>109.26652380790399</v>
      </c>
      <c r="AK9877">
        <v>11.223521051596199</v>
      </c>
      <c r="AL9877">
        <v>87.883744381079296</v>
      </c>
      <c r="AM9877">
        <v>101.404630854955</v>
      </c>
      <c r="AN9877">
        <v>0.99999997952896102</v>
      </c>
    </row>
    <row r="9878" spans="1:40" x14ac:dyDescent="0.25">
      <c r="A9878" t="str">
        <f>"20190312150914932"</f>
        <v>20190312150914932</v>
      </c>
      <c r="B9878" t="str">
        <f>"1552374554929683"</f>
        <v>1552374554929683</v>
      </c>
      <c r="C9878" t="s">
        <v>40</v>
      </c>
      <c r="D9878">
        <v>4.6047640000000003</v>
      </c>
      <c r="E9878">
        <v>0.44920110000000002</v>
      </c>
      <c r="F9878" t="s">
        <v>73</v>
      </c>
      <c r="G9878">
        <v>-207.4794</v>
      </c>
      <c r="H9878" s="1">
        <v>-2.8063109999999998E-6</v>
      </c>
      <c r="I9878">
        <v>-55.751390000000001</v>
      </c>
      <c r="J9878">
        <v>-217.4572</v>
      </c>
      <c r="K9878">
        <v>1.1150819999999999</v>
      </c>
      <c r="L9878">
        <v>-61.017000000000003</v>
      </c>
      <c r="M9878">
        <v>0.98887119999999995</v>
      </c>
      <c r="N9878">
        <v>0</v>
      </c>
      <c r="O9878">
        <v>0.1482977</v>
      </c>
      <c r="P9878">
        <v>0.93956059999999997</v>
      </c>
      <c r="Q9878">
        <v>2.7752079999999998E-2</v>
      </c>
      <c r="R9878">
        <v>0.34125650000000002</v>
      </c>
      <c r="S9878">
        <v>2.69252</v>
      </c>
      <c r="T9878">
        <v>-0.296458099999999</v>
      </c>
      <c r="U9878">
        <v>1.4065859999999999</v>
      </c>
      <c r="V9878">
        <v>-0.1986</v>
      </c>
      <c r="W9878">
        <v>3.7020629999999999E-2</v>
      </c>
      <c r="X9878">
        <v>0.97938119999999995</v>
      </c>
      <c r="Y9878">
        <v>-0.32562669999999999</v>
      </c>
      <c r="Z9878">
        <v>1.6762050000000001E-3</v>
      </c>
      <c r="AA9878">
        <v>0.94549689999999997</v>
      </c>
      <c r="AB9878">
        <v>32</v>
      </c>
      <c r="AC9878">
        <v>9.9778000000000002</v>
      </c>
      <c r="AD9878">
        <v>-1.1150848063109999</v>
      </c>
      <c r="AE9878">
        <v>5.2656099999999899</v>
      </c>
      <c r="AF9878">
        <v>-3.6915270072325801</v>
      </c>
      <c r="AG9878">
        <v>-1.1150848063109999</v>
      </c>
      <c r="AH9878">
        <v>10.545374009741399</v>
      </c>
      <c r="AI9878">
        <v>95.6994283942376</v>
      </c>
      <c r="AJ9878">
        <v>109.29317351029</v>
      </c>
      <c r="AK9878">
        <v>11.2283435454978</v>
      </c>
      <c r="AL9878">
        <v>87.878389360271797</v>
      </c>
      <c r="AM9878">
        <v>101.46306700159199</v>
      </c>
      <c r="AN9878">
        <v>1.00000001097951</v>
      </c>
    </row>
    <row r="9879" spans="1:40" x14ac:dyDescent="0.25">
      <c r="A9879" t="str">
        <f>"20190312150914943"</f>
        <v>20190312150914943</v>
      </c>
      <c r="B9879" t="str">
        <f>"1552374554939446"</f>
        <v>1552374554939446</v>
      </c>
      <c r="C9879" t="s">
        <v>40</v>
      </c>
      <c r="D9879">
        <v>4.621232</v>
      </c>
      <c r="E9879">
        <v>0.44936229999999999</v>
      </c>
      <c r="F9879" t="s">
        <v>73</v>
      </c>
      <c r="G9879">
        <v>-207.37809999999999</v>
      </c>
      <c r="H9879" s="1">
        <v>-2.8818370000000001E-6</v>
      </c>
      <c r="I9879">
        <v>-55.709470000000003</v>
      </c>
      <c r="J9879">
        <v>-217.29939999999999</v>
      </c>
      <c r="K9879">
        <v>1.115154</v>
      </c>
      <c r="L9879">
        <v>-60.990540000000003</v>
      </c>
      <c r="M9879">
        <v>0.98840139999999999</v>
      </c>
      <c r="N9879">
        <v>0</v>
      </c>
      <c r="O9879">
        <v>0.15139559999999999</v>
      </c>
      <c r="P9879">
        <v>0.93819609999999998</v>
      </c>
      <c r="Q9879">
        <v>2.8034900000000001E-2</v>
      </c>
      <c r="R9879">
        <v>0.34496710000000003</v>
      </c>
      <c r="S9879">
        <v>2.6877140000000002</v>
      </c>
      <c r="T9879">
        <v>-0.29735</v>
      </c>
      <c r="U9879">
        <v>1.415314</v>
      </c>
      <c r="V9879">
        <v>-0.19941300000000001</v>
      </c>
      <c r="W9879">
        <v>3.7275559999999999E-2</v>
      </c>
      <c r="X9879">
        <v>0.97920629999999997</v>
      </c>
      <c r="Y9879">
        <v>-0.32577349999999999</v>
      </c>
      <c r="Z9879">
        <v>1.3787770000000001E-3</v>
      </c>
      <c r="AA9879">
        <v>0.94544680000000003</v>
      </c>
      <c r="AB9879">
        <v>32</v>
      </c>
      <c r="AC9879">
        <v>9.9213000000000005</v>
      </c>
      <c r="AD9879">
        <v>-1.1151568818369999</v>
      </c>
      <c r="AE9879">
        <v>5.2810699999999997</v>
      </c>
      <c r="AF9879">
        <v>-3.6817944923674499</v>
      </c>
      <c r="AG9879">
        <v>-1.1151568818369999</v>
      </c>
      <c r="AH9879">
        <v>10.503113085212901</v>
      </c>
      <c r="AI9879">
        <v>95.721721802362495</v>
      </c>
      <c r="AJ9879">
        <v>109.317766246395</v>
      </c>
      <c r="AK9879">
        <v>11.185462441754799</v>
      </c>
      <c r="AL9879">
        <v>87.863772824336095</v>
      </c>
      <c r="AM9879">
        <v>101.5107439926</v>
      </c>
      <c r="AN9879">
        <v>0.999999994951001</v>
      </c>
    </row>
    <row r="9880" spans="1:40" x14ac:dyDescent="0.25">
      <c r="A9880" t="str">
        <f>"20190312150914956"</f>
        <v>20190312150914956</v>
      </c>
      <c r="B9880" t="str">
        <f>"1552374554949202"</f>
        <v>1552374554949202</v>
      </c>
      <c r="C9880" t="s">
        <v>40</v>
      </c>
      <c r="D9880">
        <v>4.6098109999999997</v>
      </c>
      <c r="E9880">
        <v>0.44950129999999999</v>
      </c>
      <c r="F9880" t="s">
        <v>73</v>
      </c>
      <c r="G9880">
        <v>-207.2466</v>
      </c>
      <c r="H9880" s="1">
        <v>-2.973962E-6</v>
      </c>
      <c r="I9880">
        <v>-55.651649999999997</v>
      </c>
      <c r="J9880">
        <v>-217.14</v>
      </c>
      <c r="K9880">
        <v>1.1152329999999999</v>
      </c>
      <c r="L9880">
        <v>-60.962919999999997</v>
      </c>
      <c r="M9880">
        <v>0.98790409999999995</v>
      </c>
      <c r="N9880">
        <v>0</v>
      </c>
      <c r="O9880">
        <v>0.15460589999999999</v>
      </c>
      <c r="P9880">
        <v>0.93676610000000005</v>
      </c>
      <c r="Q9880">
        <v>2.8041839999999998E-2</v>
      </c>
      <c r="R9880">
        <v>0.3488309</v>
      </c>
      <c r="S9880">
        <v>2.6826629999999998</v>
      </c>
      <c r="T9880">
        <v>-0.29758600000000002</v>
      </c>
      <c r="U9880">
        <v>1.4247129999999999</v>
      </c>
      <c r="V9880">
        <v>-0.20027500000000001</v>
      </c>
      <c r="W9880">
        <v>3.7251739999999998E-2</v>
      </c>
      <c r="X9880">
        <v>0.97903130000000005</v>
      </c>
      <c r="Y9880">
        <v>-0.32603569999999998</v>
      </c>
      <c r="Z9880">
        <v>1.071708E-3</v>
      </c>
      <c r="AA9880">
        <v>0.9453568</v>
      </c>
      <c r="AB9880">
        <v>32</v>
      </c>
      <c r="AC9880">
        <v>9.8933999999999802</v>
      </c>
      <c r="AD9880">
        <v>-1.1152359739619999</v>
      </c>
      <c r="AE9880">
        <v>5.3112699999999897</v>
      </c>
      <c r="AF9880">
        <v>-3.68139869933065</v>
      </c>
      <c r="AG9880">
        <v>-1.1152359739619999</v>
      </c>
      <c r="AH9880">
        <v>10.492143767795101</v>
      </c>
      <c r="AI9880">
        <v>95.727483352997297</v>
      </c>
      <c r="AJ9880">
        <v>109.334539879132</v>
      </c>
      <c r="AK9880">
        <v>11.175040425212501</v>
      </c>
      <c r="AL9880">
        <v>87.865138626954604</v>
      </c>
      <c r="AM9880">
        <v>101.561175475384</v>
      </c>
      <c r="AN9880">
        <v>1.0000000270688501</v>
      </c>
    </row>
    <row r="9881" spans="1:40" x14ac:dyDescent="0.25">
      <c r="A9881" t="str">
        <f>"20190312150914966"</f>
        <v>20190312150914966</v>
      </c>
      <c r="B9881" t="str">
        <f>"1552374554958963"</f>
        <v>1552374554958963</v>
      </c>
      <c r="C9881" t="s">
        <v>40</v>
      </c>
      <c r="D9881">
        <v>4.6054940000000002</v>
      </c>
      <c r="E9881">
        <v>0.44962940000000001</v>
      </c>
      <c r="F9881" t="s">
        <v>73</v>
      </c>
      <c r="G9881">
        <v>-207.13079999999999</v>
      </c>
      <c r="H9881" s="1">
        <v>-3.0491120000000001E-6</v>
      </c>
      <c r="I9881">
        <v>-55.598329999999997</v>
      </c>
      <c r="J9881">
        <v>-216.98740000000001</v>
      </c>
      <c r="K9881">
        <v>1.115313</v>
      </c>
      <c r="L9881">
        <v>-60.936250000000001</v>
      </c>
      <c r="M9881">
        <v>0.98741509999999999</v>
      </c>
      <c r="N9881">
        <v>0</v>
      </c>
      <c r="O9881">
        <v>0.15769729999999901</v>
      </c>
      <c r="P9881">
        <v>0.93534070000000002</v>
      </c>
      <c r="Q9881">
        <v>2.8051719999999999E-2</v>
      </c>
      <c r="R9881">
        <v>0.35263470000000002</v>
      </c>
      <c r="S9881">
        <v>2.6771240000000001</v>
      </c>
      <c r="T9881">
        <v>-0.29828739999999998</v>
      </c>
      <c r="U9881">
        <v>1.4348449999999999</v>
      </c>
      <c r="V9881">
        <v>-0.20119670000000001</v>
      </c>
      <c r="W9881">
        <v>3.7229819999999997E-2</v>
      </c>
      <c r="X9881">
        <v>0.97884309999999997</v>
      </c>
      <c r="Y9881">
        <v>-0.32667800000000002</v>
      </c>
      <c r="Z9881">
        <v>7.9712459999999995E-4</v>
      </c>
      <c r="AA9881">
        <v>0.94513539999999996</v>
      </c>
      <c r="AB9881">
        <v>32</v>
      </c>
      <c r="AC9881">
        <v>9.8566000000000091</v>
      </c>
      <c r="AD9881">
        <v>-1.115316049112</v>
      </c>
      <c r="AE9881">
        <v>5.3379199999999898</v>
      </c>
      <c r="AF9881">
        <v>-3.68021417560248</v>
      </c>
      <c r="AG9881">
        <v>-1.115316049112</v>
      </c>
      <c r="AH9881">
        <v>10.471417351624501</v>
      </c>
      <c r="AI9881">
        <v>95.738117646895503</v>
      </c>
      <c r="AJ9881">
        <v>109.36419334539301</v>
      </c>
      <c r="AK9881">
        <v>11.1552000259796</v>
      </c>
      <c r="AL9881">
        <v>87.866395349502298</v>
      </c>
      <c r="AM9881">
        <v>101.615112037049</v>
      </c>
      <c r="AN9881">
        <v>0.99999999300286602</v>
      </c>
    </row>
    <row r="9882" spans="1:40" x14ac:dyDescent="0.25">
      <c r="A9882" t="str">
        <f>"20190312150914977"</f>
        <v>20190312150914977</v>
      </c>
      <c r="B9882" t="str">
        <f>"1552374554969698"</f>
        <v>1552374554969698</v>
      </c>
      <c r="C9882" t="s">
        <v>40</v>
      </c>
      <c r="D9882">
        <v>4.5810259999999996</v>
      </c>
      <c r="E9882">
        <v>0.44966889999999998</v>
      </c>
      <c r="F9882" t="s">
        <v>73</v>
      </c>
      <c r="G9882">
        <v>-206.976</v>
      </c>
      <c r="H9882" s="1">
        <v>-3.1506010000000002E-6</v>
      </c>
      <c r="I9882">
        <v>-55.522539999999999</v>
      </c>
      <c r="J9882">
        <v>-216.83240000000001</v>
      </c>
      <c r="K9882">
        <v>1.115394</v>
      </c>
      <c r="L9882">
        <v>-60.908290000000001</v>
      </c>
      <c r="M9882">
        <v>0.98689570000000004</v>
      </c>
      <c r="N9882">
        <v>0</v>
      </c>
      <c r="O9882">
        <v>0.1609141</v>
      </c>
      <c r="P9882">
        <v>0.93375750000000002</v>
      </c>
      <c r="Q9882">
        <v>2.8124070000000001E-2</v>
      </c>
      <c r="R9882">
        <v>0.35679949999999999</v>
      </c>
      <c r="S9882">
        <v>2.6716609999999998</v>
      </c>
      <c r="T9882">
        <v>-0.29763339999999999</v>
      </c>
      <c r="U9882">
        <v>1.4447019999999999</v>
      </c>
      <c r="V9882">
        <v>-0.202378</v>
      </c>
      <c r="W9882">
        <v>3.7263650000000002E-2</v>
      </c>
      <c r="X9882">
        <v>0.97859819999999997</v>
      </c>
      <c r="Y9882">
        <v>-0.327121</v>
      </c>
      <c r="Z9882">
        <v>4.9562569999999999E-4</v>
      </c>
      <c r="AA9882">
        <v>0.94498230000000005</v>
      </c>
      <c r="AB9882">
        <v>32</v>
      </c>
      <c r="AC9882">
        <v>9.8564000000000007</v>
      </c>
      <c r="AD9882">
        <v>-1.1153971506010001</v>
      </c>
      <c r="AE9882">
        <v>5.3857499999999998</v>
      </c>
      <c r="AF9882">
        <v>-3.6929880336977998</v>
      </c>
      <c r="AG9882">
        <v>-1.1153971506010001</v>
      </c>
      <c r="AH9882">
        <v>10.4911806349779</v>
      </c>
      <c r="AI9882">
        <v>95.7268045770507</v>
      </c>
      <c r="AJ9882">
        <v>109.392517747906</v>
      </c>
      <c r="AK9882">
        <v>11.177975779913799</v>
      </c>
      <c r="AL9882">
        <v>87.864455565053902</v>
      </c>
      <c r="AM9882">
        <v>101.68428269082099</v>
      </c>
      <c r="AN9882">
        <v>0.99999993576927904</v>
      </c>
    </row>
    <row r="9883" spans="1:40" x14ac:dyDescent="0.25">
      <c r="A9883" t="str">
        <f>"20190312150914989"</f>
        <v>20190312150914989</v>
      </c>
      <c r="B9883" t="str">
        <f>"1552374554979458"</f>
        <v>1552374554979458</v>
      </c>
      <c r="C9883" t="s">
        <v>40</v>
      </c>
      <c r="D9883">
        <v>4.6242650000000003</v>
      </c>
      <c r="E9883">
        <v>0.44995689999999999</v>
      </c>
      <c r="F9883" t="s">
        <v>73</v>
      </c>
      <c r="G9883">
        <v>-206.76310000000001</v>
      </c>
      <c r="H9883" s="1">
        <v>-3.2927700000000001E-6</v>
      </c>
      <c r="I9883">
        <v>-55.406370000000003</v>
      </c>
      <c r="J9883">
        <v>-216.67230000000001</v>
      </c>
      <c r="K9883">
        <v>1.1154770000000001</v>
      </c>
      <c r="L9883">
        <v>-60.879060000000003</v>
      </c>
      <c r="M9883">
        <v>0.98634239999999995</v>
      </c>
      <c r="N9883">
        <v>0</v>
      </c>
      <c r="O9883">
        <v>0.16426979999999999</v>
      </c>
      <c r="P9883">
        <v>0.93225309999999995</v>
      </c>
      <c r="Q9883">
        <v>2.801609E-2</v>
      </c>
      <c r="R9883">
        <v>0.36072070000000001</v>
      </c>
      <c r="S9883">
        <v>2.6652369999999999</v>
      </c>
      <c r="T9883">
        <v>-0.29523349999999998</v>
      </c>
      <c r="U9883">
        <v>1.456299</v>
      </c>
      <c r="V9883">
        <v>-0.20316909999999999</v>
      </c>
      <c r="W9883">
        <v>3.7121649999999999E-2</v>
      </c>
      <c r="X9883">
        <v>0.97843970000000002</v>
      </c>
      <c r="Y9883">
        <v>-0.32805499999999999</v>
      </c>
      <c r="Z9883">
        <v>2.0578689999999999E-4</v>
      </c>
      <c r="AA9883">
        <v>0.94465860000000001</v>
      </c>
      <c r="AB9883">
        <v>32</v>
      </c>
      <c r="AC9883">
        <v>9.9091999999999896</v>
      </c>
      <c r="AD9883">
        <v>-1.11548029277</v>
      </c>
      <c r="AE9883">
        <v>5.4726900000000001</v>
      </c>
      <c r="AF9883">
        <v>-3.7341757874245798</v>
      </c>
      <c r="AG9883">
        <v>-1.11548029277</v>
      </c>
      <c r="AH9883">
        <v>10.570983999260401</v>
      </c>
      <c r="AI9883">
        <v>95.682082597381395</v>
      </c>
      <c r="AJ9883">
        <v>109.455650459195</v>
      </c>
      <c r="AK9883">
        <v>11.266502021815199</v>
      </c>
      <c r="AL9883">
        <v>87.872597279268604</v>
      </c>
      <c r="AM9883">
        <v>101.730541179461</v>
      </c>
      <c r="AN9883">
        <v>0.99999997331481005</v>
      </c>
    </row>
    <row r="9884" spans="1:40" x14ac:dyDescent="0.25">
      <c r="A9884" t="str">
        <f>"20190312150914998"</f>
        <v>20190312150914998</v>
      </c>
      <c r="B9884" t="str">
        <f>"1552374554989219"</f>
        <v>1552374554989219</v>
      </c>
      <c r="C9884" t="s">
        <v>40</v>
      </c>
      <c r="D9884">
        <v>4.683122</v>
      </c>
      <c r="E9884">
        <v>0.4498682</v>
      </c>
      <c r="F9884" t="s">
        <v>73</v>
      </c>
      <c r="G9884">
        <v>-206.60499999999999</v>
      </c>
      <c r="H9884" s="1">
        <v>-3.395557E-6</v>
      </c>
      <c r="I9884">
        <v>-55.332920000000001</v>
      </c>
      <c r="J9884">
        <v>-216.52940000000001</v>
      </c>
      <c r="K9884">
        <v>1.1155539999999999</v>
      </c>
      <c r="L9884">
        <v>-60.852359999999997</v>
      </c>
      <c r="M9884">
        <v>0.98583069999999895</v>
      </c>
      <c r="N9884">
        <v>0</v>
      </c>
      <c r="O9884">
        <v>0.1673125</v>
      </c>
      <c r="P9884">
        <v>0.93081380000000002</v>
      </c>
      <c r="Q9884">
        <v>2.7828559999999999E-2</v>
      </c>
      <c r="R9884">
        <v>0.3644328</v>
      </c>
      <c r="S9884">
        <v>2.6598660000000001</v>
      </c>
      <c r="T9884">
        <v>-0.29471839999999999</v>
      </c>
      <c r="U9884">
        <v>1.4653320000000001</v>
      </c>
      <c r="V9884">
        <v>-0.2040525</v>
      </c>
      <c r="W9884">
        <v>3.6900549999999997E-2</v>
      </c>
      <c r="X9884">
        <v>0.97826429999999998</v>
      </c>
      <c r="Y9884">
        <v>-0.32842189999999999</v>
      </c>
      <c r="Z9884" s="1">
        <v>-7.8478829999999993E-5</v>
      </c>
      <c r="AA9884">
        <v>0.94453109999999996</v>
      </c>
      <c r="AB9884">
        <v>32</v>
      </c>
      <c r="AC9884">
        <v>9.9244000000000199</v>
      </c>
      <c r="AD9884">
        <v>-1.115557395557</v>
      </c>
      <c r="AE9884">
        <v>5.5194400000000003</v>
      </c>
      <c r="AF9884">
        <v>-3.7448912405778998</v>
      </c>
      <c r="AG9884">
        <v>-1.115557395557</v>
      </c>
      <c r="AH9884">
        <v>10.6056756635976</v>
      </c>
      <c r="AI9884">
        <v>95.664262661332501</v>
      </c>
      <c r="AJ9884">
        <v>109.44825683213</v>
      </c>
      <c r="AK9884">
        <v>11.3026118657576</v>
      </c>
      <c r="AL9884">
        <v>87.885274238976393</v>
      </c>
      <c r="AM9884">
        <v>101.782177517523</v>
      </c>
      <c r="AN9884">
        <v>1.0000000570005101</v>
      </c>
    </row>
    <row r="9885" spans="1:40" x14ac:dyDescent="0.25">
      <c r="A9885" t="str">
        <f>"20190312150915010"</f>
        <v>20190312150915010</v>
      </c>
      <c r="B9885" t="str">
        <f>"1552374554998980"</f>
        <v>1552374554998980</v>
      </c>
      <c r="C9885" t="s">
        <v>40</v>
      </c>
      <c r="D9885">
        <v>4.5896330000000001</v>
      </c>
      <c r="E9885">
        <v>0.4498682</v>
      </c>
      <c r="F9885" t="s">
        <v>73</v>
      </c>
      <c r="G9885">
        <v>-206.48740000000001</v>
      </c>
      <c r="H9885" s="1">
        <v>-3.4750709999999998E-6</v>
      </c>
      <c r="I9885">
        <v>-55.264229999999998</v>
      </c>
      <c r="J9885">
        <v>-216.3759</v>
      </c>
      <c r="K9885">
        <v>1.1156360000000001</v>
      </c>
      <c r="L9885">
        <v>-60.823120000000003</v>
      </c>
      <c r="M9885">
        <v>0.98526210000000003</v>
      </c>
      <c r="N9885">
        <v>0</v>
      </c>
      <c r="O9885">
        <v>0.17062720000000001</v>
      </c>
      <c r="P9885">
        <v>0.92932899999999996</v>
      </c>
      <c r="Q9885">
        <v>2.773076E-2</v>
      </c>
      <c r="R9885">
        <v>0.36821009999999998</v>
      </c>
      <c r="S9885">
        <v>2.6536249999999999</v>
      </c>
      <c r="T9885">
        <v>-0.29479040000000001</v>
      </c>
      <c r="U9885">
        <v>1.476685</v>
      </c>
      <c r="V9885">
        <v>-0.20474100000000001</v>
      </c>
      <c r="W9885">
        <v>3.6769990000000002E-2</v>
      </c>
      <c r="X9885">
        <v>0.97812529999999998</v>
      </c>
      <c r="Y9885">
        <v>-0.32928499999999999</v>
      </c>
      <c r="Z9885">
        <v>-3.6399810000000001E-4</v>
      </c>
      <c r="AA9885">
        <v>0.94423049999999997</v>
      </c>
      <c r="AB9885">
        <v>32</v>
      </c>
      <c r="AC9885">
        <v>9.8884999999999899</v>
      </c>
      <c r="AD9885">
        <v>-1.1156394750709999</v>
      </c>
      <c r="AE9885">
        <v>5.5588899999999901</v>
      </c>
      <c r="AF9885">
        <v>-3.75368495741073</v>
      </c>
      <c r="AG9885">
        <v>-1.1156394750709999</v>
      </c>
      <c r="AH9885">
        <v>10.5896124540079</v>
      </c>
      <c r="AI9885">
        <v>95.670793006011607</v>
      </c>
      <c r="AJ9885">
        <v>109.517817763232</v>
      </c>
      <c r="AK9885">
        <v>11.290469172001099</v>
      </c>
      <c r="AL9885">
        <v>87.8927597478461</v>
      </c>
      <c r="AM9885">
        <v>101.82244796732201</v>
      </c>
      <c r="AN9885">
        <v>1.00000000587284</v>
      </c>
    </row>
    <row r="9886" spans="1:40" x14ac:dyDescent="0.25">
      <c r="A9886" t="str">
        <f>"20190312150915021"</f>
        <v>20190312150915021</v>
      </c>
      <c r="B9886" t="str">
        <f>"1552374555009714"</f>
        <v>1552374555009714</v>
      </c>
      <c r="C9886" t="s">
        <v>40</v>
      </c>
      <c r="D9886">
        <v>4.597969</v>
      </c>
      <c r="E9886">
        <v>0.42605379999999998</v>
      </c>
      <c r="F9886" t="s">
        <v>73</v>
      </c>
      <c r="G9886">
        <v>-206.36369999999999</v>
      </c>
      <c r="H9886" s="1">
        <v>-3.5574009999999998E-6</v>
      </c>
      <c r="I9886">
        <v>-55.198039999999999</v>
      </c>
      <c r="J9886">
        <v>-216.22329999999999</v>
      </c>
      <c r="K9886">
        <v>1.1157170000000001</v>
      </c>
      <c r="L9886">
        <v>-60.793640000000003</v>
      </c>
      <c r="M9886">
        <v>0.98467870000000002</v>
      </c>
      <c r="N9886">
        <v>0</v>
      </c>
      <c r="O9886">
        <v>0.1739607</v>
      </c>
      <c r="P9886">
        <v>0.92785910000000005</v>
      </c>
      <c r="Q9886">
        <v>2.777868E-2</v>
      </c>
      <c r="R9886">
        <v>0.37189480000000003</v>
      </c>
      <c r="S9886">
        <v>2.6475979999999999</v>
      </c>
      <c r="T9886">
        <v>-0.29501830000000001</v>
      </c>
      <c r="U9886">
        <v>1.4874879999999999</v>
      </c>
      <c r="V9886">
        <v>-0.20532010000000001</v>
      </c>
      <c r="W9886">
        <v>3.6786190000000003E-2</v>
      </c>
      <c r="X9886">
        <v>0.97800330000000002</v>
      </c>
      <c r="Y9886">
        <v>-0.32994669999999998</v>
      </c>
      <c r="Z9886">
        <v>-6.6256520000000001E-4</v>
      </c>
      <c r="AA9886">
        <v>0.94399940000000004</v>
      </c>
      <c r="AB9886">
        <v>32</v>
      </c>
      <c r="AC9886">
        <v>9.8596000000000004</v>
      </c>
      <c r="AD9886">
        <v>-1.1157205574010001</v>
      </c>
      <c r="AE9886">
        <v>5.5956000000000001</v>
      </c>
      <c r="AF9886">
        <v>-3.7585570436772402</v>
      </c>
      <c r="AG9886">
        <v>-1.1157205574010001</v>
      </c>
      <c r="AH9886">
        <v>10.5802526197961</v>
      </c>
      <c r="AI9886">
        <v>95.674811179769407</v>
      </c>
      <c r="AJ9886">
        <v>109.557208509926</v>
      </c>
      <c r="AK9886">
        <v>11.283320828173199</v>
      </c>
      <c r="AL9886">
        <v>87.891830938703094</v>
      </c>
      <c r="AM9886">
        <v>101.856379205764</v>
      </c>
      <c r="AN9886">
        <v>1.0000000110248</v>
      </c>
    </row>
    <row r="9887" spans="1:40" x14ac:dyDescent="0.25">
      <c r="A9887" t="str">
        <f>"20190312150915033"</f>
        <v>20190312150915033</v>
      </c>
      <c r="B9887" t="str">
        <f>"1552374555029234"</f>
        <v>1552374555029234</v>
      </c>
      <c r="C9887" t="s">
        <v>40</v>
      </c>
      <c r="D9887">
        <v>4.6309199999999997</v>
      </c>
      <c r="E9887">
        <v>0.42219699999999999</v>
      </c>
      <c r="F9887" t="s">
        <v>73</v>
      </c>
      <c r="G9887">
        <v>-207.15899999999999</v>
      </c>
      <c r="H9887" s="1">
        <v>-3.1908949999999999E-6</v>
      </c>
      <c r="I9887">
        <v>-54.889290000000003</v>
      </c>
      <c r="J9887">
        <v>-216.06549999999999</v>
      </c>
      <c r="K9887">
        <v>1.1157999999999999</v>
      </c>
      <c r="L9887">
        <v>-60.762270000000001</v>
      </c>
      <c r="M9887">
        <v>0.9840506</v>
      </c>
      <c r="N9887">
        <v>0</v>
      </c>
      <c r="O9887">
        <v>0.17747839999999901</v>
      </c>
      <c r="P9887">
        <v>0.92627060000000006</v>
      </c>
      <c r="Q9887">
        <v>2.7885509999999999E-2</v>
      </c>
      <c r="R9887">
        <v>0.37582589999999999</v>
      </c>
      <c r="S9887">
        <v>2.5713810000000001</v>
      </c>
      <c r="T9887">
        <v>-0.31651010000000002</v>
      </c>
      <c r="U9887">
        <v>1.674957</v>
      </c>
      <c r="V9887">
        <v>-0.20598169999999999</v>
      </c>
      <c r="W9887">
        <v>3.6858139999999998E-2</v>
      </c>
      <c r="X9887">
        <v>0.97786150000000005</v>
      </c>
      <c r="Y9887">
        <v>-0.38732490000000003</v>
      </c>
      <c r="Z9887">
        <v>2.1436739999999999E-3</v>
      </c>
      <c r="AA9887">
        <v>0.9219408</v>
      </c>
      <c r="AB9887">
        <v>32</v>
      </c>
      <c r="AC9887">
        <v>8.9064999999999603</v>
      </c>
      <c r="AD9887">
        <v>-1.1158031908949999</v>
      </c>
      <c r="AE9887">
        <v>5.8729799999999903</v>
      </c>
      <c r="AF9887">
        <v>-4.1534707437404599</v>
      </c>
      <c r="AG9887">
        <v>-1.1158031908949999</v>
      </c>
      <c r="AH9887">
        <v>9.7013685801941492</v>
      </c>
      <c r="AI9887">
        <v>96.035589390417002</v>
      </c>
      <c r="AJ9887">
        <v>113.177338580195</v>
      </c>
      <c r="AK9887">
        <v>10.6119219893805</v>
      </c>
      <c r="AL9887">
        <v>87.887705788384295</v>
      </c>
      <c r="AM9887">
        <v>101.89517299885701</v>
      </c>
      <c r="AN9887">
        <v>1.0000000482006901</v>
      </c>
    </row>
    <row r="9888" spans="1:40" x14ac:dyDescent="0.25">
      <c r="A9888" t="str">
        <f>"20190312150915043"</f>
        <v>20190312150915043</v>
      </c>
      <c r="B9888" t="str">
        <f>"1552374555038994"</f>
        <v>1552374555038994</v>
      </c>
      <c r="C9888" t="s">
        <v>40</v>
      </c>
      <c r="D9888">
        <v>4.6406109999999998</v>
      </c>
      <c r="E9888">
        <v>0.42174590000000001</v>
      </c>
      <c r="F9888" t="s">
        <v>73</v>
      </c>
      <c r="G9888">
        <v>-207.51400000000001</v>
      </c>
      <c r="H9888" s="1">
        <v>-2.9682959999999999E-6</v>
      </c>
      <c r="I9888">
        <v>-55.017539999999997</v>
      </c>
      <c r="J9888">
        <v>-215.9117</v>
      </c>
      <c r="K9888">
        <v>1.1158809999999999</v>
      </c>
      <c r="L9888">
        <v>-60.731479999999998</v>
      </c>
      <c r="M9888">
        <v>0.98342220000000002</v>
      </c>
      <c r="N9888">
        <v>0</v>
      </c>
      <c r="O9888">
        <v>0.18092749999999999</v>
      </c>
      <c r="P9888">
        <v>0.92465529999999996</v>
      </c>
      <c r="Q9888">
        <v>2.804514E-2</v>
      </c>
      <c r="R9888">
        <v>0.37977149999999998</v>
      </c>
      <c r="S9888">
        <v>2.5529630000000001</v>
      </c>
      <c r="T9888">
        <v>-0.3331113</v>
      </c>
      <c r="U9888">
        <v>1.7150270000000001</v>
      </c>
      <c r="V9888">
        <v>-0.20673330000000001</v>
      </c>
      <c r="W9888">
        <v>3.6981550000000002E-2</v>
      </c>
      <c r="X9888">
        <v>0.97769810000000001</v>
      </c>
      <c r="Y9888">
        <v>-0.3969975</v>
      </c>
      <c r="Z9888">
        <v>2.4461579999999999E-3</v>
      </c>
      <c r="AA9888">
        <v>0.91781639999999998</v>
      </c>
      <c r="AB9888">
        <v>32</v>
      </c>
      <c r="AC9888">
        <v>8.3976999999999808</v>
      </c>
      <c r="AD9888">
        <v>-1.115883968296</v>
      </c>
      <c r="AE9888">
        <v>5.71394</v>
      </c>
      <c r="AF9888">
        <v>-4.0512441885773303</v>
      </c>
      <c r="AG9888">
        <v>-1.115883968296</v>
      </c>
      <c r="AH9888">
        <v>9.1821497129435397</v>
      </c>
      <c r="AI9888">
        <v>96.344451549356805</v>
      </c>
      <c r="AJ9888">
        <v>113.80748846901101</v>
      </c>
      <c r="AK9888">
        <v>10.098002270602301</v>
      </c>
      <c r="AL9888">
        <v>87.880629849490603</v>
      </c>
      <c r="AM9888">
        <v>101.939271687939</v>
      </c>
      <c r="AN9888">
        <v>0.99999993355644901</v>
      </c>
    </row>
    <row r="9889" spans="1:40" x14ac:dyDescent="0.25">
      <c r="A9889" t="str">
        <f>"20190312150915055"</f>
        <v>20190312150915055</v>
      </c>
      <c r="B9889" t="str">
        <f>"1552374555049731"</f>
        <v>1552374555049731</v>
      </c>
      <c r="C9889" t="s">
        <v>40</v>
      </c>
      <c r="D9889">
        <v>4.631996</v>
      </c>
      <c r="E9889">
        <v>0.4213035</v>
      </c>
      <c r="F9889" t="s">
        <v>73</v>
      </c>
      <c r="G9889">
        <v>-207.60409999999999</v>
      </c>
      <c r="H9889" s="1">
        <v>-2.9040430000000002E-6</v>
      </c>
      <c r="I9889">
        <v>-55.085079999999998</v>
      </c>
      <c r="J9889">
        <v>-215.75890000000001</v>
      </c>
      <c r="K9889">
        <v>1.115964</v>
      </c>
      <c r="L9889">
        <v>-60.699770000000001</v>
      </c>
      <c r="M9889">
        <v>0.98276739999999996</v>
      </c>
      <c r="N9889">
        <v>0</v>
      </c>
      <c r="O9889">
        <v>0.18444920000000001</v>
      </c>
      <c r="P9889">
        <v>0.92303420000000003</v>
      </c>
      <c r="Q9889">
        <v>2.824132E-2</v>
      </c>
      <c r="R9889">
        <v>0.38368000000000002</v>
      </c>
      <c r="S9889">
        <v>2.544495</v>
      </c>
      <c r="T9889">
        <v>-0.34177740000000001</v>
      </c>
      <c r="U9889">
        <v>1.72940099999999</v>
      </c>
      <c r="V9889">
        <v>-0.2073787</v>
      </c>
      <c r="W9889">
        <v>3.7142149999999999E-2</v>
      </c>
      <c r="X9889">
        <v>0.97755539999999996</v>
      </c>
      <c r="Y9889">
        <v>-0.39862419999999998</v>
      </c>
      <c r="Z9889">
        <v>2.20412E-3</v>
      </c>
      <c r="AA9889">
        <v>0.91711180000000003</v>
      </c>
      <c r="AB9889">
        <v>32</v>
      </c>
      <c r="AC9889">
        <v>8.1548000000000194</v>
      </c>
      <c r="AD9889">
        <v>-1.115966904043</v>
      </c>
      <c r="AE9889">
        <v>5.61468999999998</v>
      </c>
      <c r="AF9889">
        <v>-3.9637246309559999</v>
      </c>
      <c r="AG9889">
        <v>-1.115966904043</v>
      </c>
      <c r="AH9889">
        <v>8.9370187793301792</v>
      </c>
      <c r="AI9889">
        <v>96.5119575351371</v>
      </c>
      <c r="AJ9889">
        <v>113.918126296602</v>
      </c>
      <c r="AK9889">
        <v>9.8400609623653708</v>
      </c>
      <c r="AL9889">
        <v>87.871421988197696</v>
      </c>
      <c r="AM9889">
        <v>101.977168021317</v>
      </c>
      <c r="AN9889">
        <v>1.0000000122947299</v>
      </c>
    </row>
    <row r="9890" spans="1:40" x14ac:dyDescent="0.25">
      <c r="A9890" t="str">
        <f>"20190312150915066"</f>
        <v>20190312150915066</v>
      </c>
      <c r="B9890" t="str">
        <f>"1552374555059491"</f>
        <v>1552374555059491</v>
      </c>
      <c r="C9890" t="s">
        <v>40</v>
      </c>
      <c r="D9890">
        <v>4.6227330000000002</v>
      </c>
      <c r="E9890">
        <v>0.42140539999999999</v>
      </c>
      <c r="F9890" t="s">
        <v>73</v>
      </c>
      <c r="G9890">
        <v>-207.63829999999999</v>
      </c>
      <c r="H9890" s="1">
        <v>-2.874287E-6</v>
      </c>
      <c r="I9890">
        <v>-55.116329999999998</v>
      </c>
      <c r="J9890">
        <v>-215.6086</v>
      </c>
      <c r="K9890">
        <v>1.1160410000000001</v>
      </c>
      <c r="L9890">
        <v>-60.668370000000003</v>
      </c>
      <c r="M9890">
        <v>0.98210779999999998</v>
      </c>
      <c r="N9890">
        <v>0</v>
      </c>
      <c r="O9890">
        <v>0.18792880000000001</v>
      </c>
      <c r="P9890">
        <v>0.92144950000000003</v>
      </c>
      <c r="Q9890">
        <v>2.8449990000000001E-2</v>
      </c>
      <c r="R9890">
        <v>0.38745499999999999</v>
      </c>
      <c r="S9890">
        <v>2.536041</v>
      </c>
      <c r="T9890">
        <v>-0.34851120000000002</v>
      </c>
      <c r="U9890">
        <v>1.7436830000000001</v>
      </c>
      <c r="V9890">
        <v>-0.20793010000000001</v>
      </c>
      <c r="W9890">
        <v>3.731607E-2</v>
      </c>
      <c r="X9890">
        <v>0.97743170000000001</v>
      </c>
      <c r="Y9890">
        <v>-0.40027180000000001</v>
      </c>
      <c r="Z9890">
        <v>1.9421130000000001E-3</v>
      </c>
      <c r="AA9890">
        <v>0.91639440000000005</v>
      </c>
      <c r="AB9890">
        <v>32</v>
      </c>
      <c r="AC9890">
        <v>7.9702999999999999</v>
      </c>
      <c r="AD9890">
        <v>-1.116043874287</v>
      </c>
      <c r="AE9890">
        <v>5.5520399999999901</v>
      </c>
      <c r="AF9890">
        <v>-3.9036109071901199</v>
      </c>
      <c r="AG9890">
        <v>-1.116043874287</v>
      </c>
      <c r="AH9890">
        <v>8.7561417825189007</v>
      </c>
      <c r="AI9890">
        <v>96.6401261254654</v>
      </c>
      <c r="AJ9890">
        <v>114.027983662458</v>
      </c>
      <c r="AK9890">
        <v>9.6516190848810695</v>
      </c>
      <c r="AL9890">
        <v>87.8614503209063</v>
      </c>
      <c r="AM9890">
        <v>102.009566522111</v>
      </c>
      <c r="AN9890">
        <v>1.0000000718655699</v>
      </c>
    </row>
    <row r="9891" spans="1:40" x14ac:dyDescent="0.25">
      <c r="A9891" t="str">
        <f>"20190312150915078"</f>
        <v>20190312150915078</v>
      </c>
      <c r="B9891" t="str">
        <f>"1552374555069251"</f>
        <v>1552374555069251</v>
      </c>
      <c r="C9891" t="s">
        <v>40</v>
      </c>
      <c r="D9891">
        <v>4.6225709999999998</v>
      </c>
      <c r="E9891">
        <v>0.42155209999999999</v>
      </c>
      <c r="F9891" t="s">
        <v>41</v>
      </c>
      <c r="G9891">
        <v>-214.7269</v>
      </c>
      <c r="H9891">
        <v>0.99426700000000001</v>
      </c>
      <c r="I9891">
        <v>-60.057000000000002</v>
      </c>
      <c r="J9891">
        <v>-215.44739999999999</v>
      </c>
      <c r="K9891">
        <v>1.116131</v>
      </c>
      <c r="L9891">
        <v>-60.633789999999998</v>
      </c>
      <c r="M9891">
        <v>0.98137059999999998</v>
      </c>
      <c r="N9891">
        <v>0</v>
      </c>
      <c r="O9891">
        <v>0.19173999999999999</v>
      </c>
      <c r="P9891">
        <v>0.91967049999999995</v>
      </c>
      <c r="Q9891">
        <v>2.8568909999999999E-2</v>
      </c>
      <c r="R9891">
        <v>0.39165030000000001</v>
      </c>
      <c r="S9891">
        <v>2.5292509999999999</v>
      </c>
      <c r="T9891">
        <v>-0.34929779999999999</v>
      </c>
      <c r="U9891">
        <v>1.75338699999999</v>
      </c>
      <c r="V9891">
        <v>-0.20860010000000001</v>
      </c>
      <c r="W9891">
        <v>3.739659E-2</v>
      </c>
      <c r="X9891">
        <v>0.97728579999999998</v>
      </c>
      <c r="Y9891">
        <v>-0.40025919999999998</v>
      </c>
      <c r="Z9891">
        <v>1.4969969999999999E-3</v>
      </c>
      <c r="AA9891">
        <v>0.91640069999999996</v>
      </c>
      <c r="AB9891">
        <v>32</v>
      </c>
      <c r="AC9891">
        <v>0.72049999999998704</v>
      </c>
      <c r="AD9891">
        <v>-0.121863999999999</v>
      </c>
      <c r="AE9891">
        <v>0.57679000000000902</v>
      </c>
      <c r="AF9891">
        <v>-0.42059478028635899</v>
      </c>
      <c r="AG9891">
        <v>-0.121863999999999</v>
      </c>
      <c r="AH9891">
        <v>0.80371910262484902</v>
      </c>
      <c r="AI9891">
        <v>97.651409872592694</v>
      </c>
      <c r="AJ9891">
        <v>117.623542269209</v>
      </c>
      <c r="AK9891">
        <v>0.91526782944896701</v>
      </c>
      <c r="AL9891">
        <v>87.856833533117694</v>
      </c>
      <c r="AM9891">
        <v>102.048881383962</v>
      </c>
      <c r="AN9891">
        <v>1.0000000207726301</v>
      </c>
    </row>
    <row r="9892" spans="1:40" x14ac:dyDescent="0.25">
      <c r="A9892" t="str">
        <f>"20190312150915089"</f>
        <v>20190312150915089</v>
      </c>
      <c r="B9892" t="str">
        <f>"1552374555079011"</f>
        <v>1552374555079011</v>
      </c>
      <c r="C9892" t="s">
        <v>40</v>
      </c>
      <c r="D9892">
        <v>4.5813759999999997</v>
      </c>
      <c r="E9892">
        <v>0.42155870000000001</v>
      </c>
      <c r="F9892" t="s">
        <v>73</v>
      </c>
      <c r="G9892">
        <v>-207.3732</v>
      </c>
      <c r="H9892" s="1">
        <v>-3.0523410000000001E-6</v>
      </c>
      <c r="I9892">
        <v>-54.985750000000003</v>
      </c>
      <c r="J9892">
        <v>-215.2961</v>
      </c>
      <c r="K9892">
        <v>1.116212</v>
      </c>
      <c r="L9892">
        <v>-60.600769999999997</v>
      </c>
      <c r="M9892">
        <v>0.98065729999999995</v>
      </c>
      <c r="N9892">
        <v>0</v>
      </c>
      <c r="O9892">
        <v>0.19535469999999999</v>
      </c>
      <c r="P9892">
        <v>0.91797819999999997</v>
      </c>
      <c r="Q9892">
        <v>2.869625E-2</v>
      </c>
      <c r="R9892">
        <v>0.39559179999999999</v>
      </c>
      <c r="S9892">
        <v>2.5216669999999999</v>
      </c>
      <c r="T9892">
        <v>-0.34858119999999998</v>
      </c>
      <c r="U9892">
        <v>1.7639469999999999</v>
      </c>
      <c r="V9892">
        <v>-0.20920240000000001</v>
      </c>
      <c r="W9892">
        <v>3.7487609999999998E-2</v>
      </c>
      <c r="X9892">
        <v>0.97715350000000001</v>
      </c>
      <c r="Y9892">
        <v>-0.40077770000000001</v>
      </c>
      <c r="Z9892">
        <v>1.1016649999999999E-3</v>
      </c>
      <c r="AA9892">
        <v>0.91617470000000001</v>
      </c>
      <c r="AB9892">
        <v>32</v>
      </c>
      <c r="AC9892">
        <v>7.9228999999999896</v>
      </c>
      <c r="AD9892">
        <v>-1.1162150523409999</v>
      </c>
      <c r="AE9892">
        <v>5.6150199999999897</v>
      </c>
      <c r="AF9892">
        <v>-3.9073024904989699</v>
      </c>
      <c r="AG9892">
        <v>-1.1162150523409999</v>
      </c>
      <c r="AH9892">
        <v>8.7515963451370506</v>
      </c>
      <c r="AI9892">
        <v>96.642953255701102</v>
      </c>
      <c r="AJ9892">
        <v>114.05920456877</v>
      </c>
      <c r="AK9892">
        <v>9.6490096581746805</v>
      </c>
      <c r="AL9892">
        <v>87.851614689576493</v>
      </c>
      <c r="AM9892">
        <v>102.084237588183</v>
      </c>
      <c r="AN9892">
        <v>0.99999996381575995</v>
      </c>
    </row>
    <row r="9893" spans="1:40" x14ac:dyDescent="0.25">
      <c r="A9893" t="str">
        <f>"20190312150915100"</f>
        <v>20190312150915100</v>
      </c>
      <c r="B9893" t="str">
        <f>"1552374555089747"</f>
        <v>1552374555089747</v>
      </c>
      <c r="C9893" t="s">
        <v>40</v>
      </c>
      <c r="D9893">
        <v>4.5928000000000004</v>
      </c>
      <c r="E9893">
        <v>0.4215662</v>
      </c>
      <c r="F9893" t="s">
        <v>41</v>
      </c>
      <c r="G9893">
        <v>-214.40289999999999</v>
      </c>
      <c r="H9893">
        <v>0.99276109999999995</v>
      </c>
      <c r="I9893">
        <v>-59.970440000000004</v>
      </c>
      <c r="J9893">
        <v>-215.14580000000001</v>
      </c>
      <c r="K9893">
        <v>1.116287</v>
      </c>
      <c r="L9893">
        <v>-60.56738</v>
      </c>
      <c r="M9893">
        <v>0.97992639999999998</v>
      </c>
      <c r="N9893">
        <v>0</v>
      </c>
      <c r="O9893">
        <v>0.198988</v>
      </c>
      <c r="P9893">
        <v>0.91628399999999999</v>
      </c>
      <c r="Q9893">
        <v>2.9027270000000001E-2</v>
      </c>
      <c r="R9893">
        <v>0.39947660000000002</v>
      </c>
      <c r="S9893">
        <v>2.514084</v>
      </c>
      <c r="T9893">
        <v>-0.3475029</v>
      </c>
      <c r="U9893">
        <v>1.77478</v>
      </c>
      <c r="V9893">
        <v>-0.2097339</v>
      </c>
      <c r="W9893">
        <v>3.7784459999999999E-2</v>
      </c>
      <c r="X9893">
        <v>0.97702809999999995</v>
      </c>
      <c r="Y9893">
        <v>-0.40134560000000002</v>
      </c>
      <c r="Z9893">
        <v>7.0768410000000002E-4</v>
      </c>
      <c r="AA9893">
        <v>0.91592640000000003</v>
      </c>
      <c r="AB9893">
        <v>32</v>
      </c>
      <c r="AC9893">
        <v>0.74290000000001999</v>
      </c>
      <c r="AD9893">
        <v>-0.12352589999999999</v>
      </c>
      <c r="AE9893">
        <v>0.59694000000000302</v>
      </c>
      <c r="AF9893">
        <v>-0.429938352672528</v>
      </c>
      <c r="AG9893">
        <v>-0.12352589999999999</v>
      </c>
      <c r="AH9893">
        <v>0.83284192187450701</v>
      </c>
      <c r="AI9893">
        <v>97.507939551244704</v>
      </c>
      <c r="AJ9893">
        <v>117.304160103429</v>
      </c>
      <c r="AK9893">
        <v>0.94537363084718995</v>
      </c>
      <c r="AL9893">
        <v>87.834594329109294</v>
      </c>
      <c r="AM9893">
        <v>102.115542000633</v>
      </c>
      <c r="AN9893">
        <v>0.99999994120815405</v>
      </c>
    </row>
    <row r="9894" spans="1:40" x14ac:dyDescent="0.25">
      <c r="A9894" t="str">
        <f>"20190312150915111"</f>
        <v>20190312150915111</v>
      </c>
      <c r="B9894" t="str">
        <f>"1552374555099507"</f>
        <v>1552374555099507</v>
      </c>
      <c r="C9894" t="s">
        <v>40</v>
      </c>
      <c r="D9894">
        <v>4.5996230000000002</v>
      </c>
      <c r="E9894">
        <v>0.4216763</v>
      </c>
      <c r="F9894" t="s">
        <v>73</v>
      </c>
      <c r="G9894">
        <v>-207.05019999999999</v>
      </c>
      <c r="H9894" s="1">
        <v>-3.270145E-6</v>
      </c>
      <c r="I9894">
        <v>-54.800220000000003</v>
      </c>
      <c r="J9894">
        <v>-214.99510000000001</v>
      </c>
      <c r="K9894">
        <v>1.1163639999999999</v>
      </c>
      <c r="L9894">
        <v>-60.533169999999998</v>
      </c>
      <c r="M9894">
        <v>0.9791685</v>
      </c>
      <c r="N9894">
        <v>0</v>
      </c>
      <c r="O9894">
        <v>0.2026831</v>
      </c>
      <c r="P9894">
        <v>0.91455569999999997</v>
      </c>
      <c r="Q9894">
        <v>2.919194E-2</v>
      </c>
      <c r="R9894">
        <v>0.40340520000000002</v>
      </c>
      <c r="S9894">
        <v>2.5065460000000002</v>
      </c>
      <c r="T9894">
        <v>-0.34562330000000002</v>
      </c>
      <c r="U9894">
        <v>1.785614</v>
      </c>
      <c r="V9894">
        <v>-0.21025279999999999</v>
      </c>
      <c r="W9894">
        <v>3.7915499999999998E-2</v>
      </c>
      <c r="X9894">
        <v>0.97691150000000004</v>
      </c>
      <c r="Y9894">
        <v>-0.40185140000000003</v>
      </c>
      <c r="Z9894">
        <v>3.039017E-4</v>
      </c>
      <c r="AA9894">
        <v>0.91570479999999999</v>
      </c>
      <c r="AB9894">
        <v>32</v>
      </c>
      <c r="AC9894">
        <v>7.9449000000000103</v>
      </c>
      <c r="AD9894">
        <v>-1.11636727014499</v>
      </c>
      <c r="AE9894">
        <v>5.7329499999999998</v>
      </c>
      <c r="AF9894">
        <v>-3.9522104933914801</v>
      </c>
      <c r="AG9894">
        <v>-1.11636727014499</v>
      </c>
      <c r="AH9894">
        <v>8.8274202819001495</v>
      </c>
      <c r="AI9894">
        <v>96.584240585771497</v>
      </c>
      <c r="AJ9894">
        <v>114.11900558548101</v>
      </c>
      <c r="AK9894">
        <v>9.7359946846342709</v>
      </c>
      <c r="AL9894">
        <v>87.827080929172595</v>
      </c>
      <c r="AM9894">
        <v>102.1460346641</v>
      </c>
      <c r="AN9894">
        <v>0.999999951940168</v>
      </c>
    </row>
    <row r="9895" spans="1:40" x14ac:dyDescent="0.25">
      <c r="A9895" t="str">
        <f>"20190312150915121"</f>
        <v>20190312150915121</v>
      </c>
      <c r="B9895" t="str">
        <f>"1552374555119027"</f>
        <v>1552374555119027</v>
      </c>
      <c r="C9895" t="s">
        <v>40</v>
      </c>
      <c r="D9895">
        <v>4.6233529999999998</v>
      </c>
      <c r="E9895">
        <v>0.42202899999999999</v>
      </c>
      <c r="F9895" t="s">
        <v>73</v>
      </c>
      <c r="G9895">
        <v>-206.92070000000001</v>
      </c>
      <c r="H9895" s="1">
        <v>-3.3560020000000002E-6</v>
      </c>
      <c r="I9895">
        <v>-54.732550000000003</v>
      </c>
      <c r="J9895">
        <v>-214.8485</v>
      </c>
      <c r="K9895">
        <v>1.1164369999999999</v>
      </c>
      <c r="L9895">
        <v>-60.499479999999998</v>
      </c>
      <c r="M9895">
        <v>0.97841160000000005</v>
      </c>
      <c r="N9895">
        <v>0</v>
      </c>
      <c r="O9895">
        <v>0.20630560000000001</v>
      </c>
      <c r="P9895">
        <v>0.91272189999999997</v>
      </c>
      <c r="Q9895">
        <v>2.9254479999999999E-2</v>
      </c>
      <c r="R9895">
        <v>0.40753279999999997</v>
      </c>
      <c r="S9895">
        <v>2.4993289999999999</v>
      </c>
      <c r="T9895">
        <v>-0.34555599999999997</v>
      </c>
      <c r="U9895">
        <v>1.7955019999999999</v>
      </c>
      <c r="V9895">
        <v>-0.21105889999999999</v>
      </c>
      <c r="W9895">
        <v>3.7939809999999997E-2</v>
      </c>
      <c r="X9895">
        <v>0.97673679999999996</v>
      </c>
      <c r="Y9895">
        <v>-0.40212560000000003</v>
      </c>
      <c r="Z9895">
        <v>-1.02371E-4</v>
      </c>
      <c r="AA9895">
        <v>0.91558450000000002</v>
      </c>
      <c r="AB9895">
        <v>32</v>
      </c>
      <c r="AC9895">
        <v>7.9277999999999897</v>
      </c>
      <c r="AD9895">
        <v>-1.116440356002</v>
      </c>
      <c r="AE9895">
        <v>5.7669300000000003</v>
      </c>
      <c r="AF9895">
        <v>-3.9558750912163001</v>
      </c>
      <c r="AG9895">
        <v>-1.116440356002</v>
      </c>
      <c r="AH9895">
        <v>8.8325160283345596</v>
      </c>
      <c r="AI9895">
        <v>96.580521281742094</v>
      </c>
      <c r="AJ9895">
        <v>114.126479207576</v>
      </c>
      <c r="AK9895">
        <v>9.7421109722997095</v>
      </c>
      <c r="AL9895">
        <v>87.825687240969899</v>
      </c>
      <c r="AM9895">
        <v>102.19332700069999</v>
      </c>
      <c r="AN9895">
        <v>1.00000003246314</v>
      </c>
    </row>
    <row r="9896" spans="1:40" x14ac:dyDescent="0.25">
      <c r="A9896" t="str">
        <f>"20190312150915133"</f>
        <v>20190312150915133</v>
      </c>
      <c r="B9896" t="str">
        <f>"1552374555128787"</f>
        <v>1552374555128787</v>
      </c>
      <c r="C9896" t="s">
        <v>40</v>
      </c>
      <c r="D9896">
        <v>4.6070599999999997</v>
      </c>
      <c r="E9896">
        <v>0.42224859999999997</v>
      </c>
      <c r="F9896" t="s">
        <v>73</v>
      </c>
      <c r="G9896">
        <v>-206.73410000000001</v>
      </c>
      <c r="H9896" s="1">
        <v>-3.481896E-6</v>
      </c>
      <c r="I9896">
        <v>-54.624920000000003</v>
      </c>
      <c r="J9896">
        <v>-214.69550000000001</v>
      </c>
      <c r="K9896">
        <v>1.1165130000000001</v>
      </c>
      <c r="L9896">
        <v>-60.463349999999998</v>
      </c>
      <c r="M9896">
        <v>0.97759309999999999</v>
      </c>
      <c r="N9896">
        <v>0</v>
      </c>
      <c r="O9896">
        <v>0.21014869999999999</v>
      </c>
      <c r="P9896">
        <v>0.91087419999999997</v>
      </c>
      <c r="Q9896">
        <v>2.9163439999999999E-2</v>
      </c>
      <c r="R9896">
        <v>0.41165259999999998</v>
      </c>
      <c r="S9896">
        <v>2.4922490000000002</v>
      </c>
      <c r="T9896">
        <v>-0.34290479999999901</v>
      </c>
      <c r="U9896">
        <v>1.8043210000000001</v>
      </c>
      <c r="V9896">
        <v>-0.21163969999999999</v>
      </c>
      <c r="W9896">
        <v>3.7814960000000002E-2</v>
      </c>
      <c r="X9896">
        <v>0.97661589999999998</v>
      </c>
      <c r="Y9896">
        <v>-0.40193069999999997</v>
      </c>
      <c r="Z9896">
        <v>-5.5983659999999996E-4</v>
      </c>
      <c r="AA9896">
        <v>0.91566990000000004</v>
      </c>
      <c r="AB9896">
        <v>32</v>
      </c>
      <c r="AC9896">
        <v>7.9613999999999896</v>
      </c>
      <c r="AD9896">
        <v>-1.1165164818959901</v>
      </c>
      <c r="AE9896">
        <v>5.8384299999999998</v>
      </c>
      <c r="AF9896">
        <v>-3.98388023619203</v>
      </c>
      <c r="AG9896">
        <v>-1.1165164818959901</v>
      </c>
      <c r="AH9896">
        <v>8.8968344239729902</v>
      </c>
      <c r="AI9896">
        <v>96.534020443924504</v>
      </c>
      <c r="AJ9896">
        <v>114.122179558412</v>
      </c>
      <c r="AK9896">
        <v>9.8118078639085606</v>
      </c>
      <c r="AL9896">
        <v>87.832845631158193</v>
      </c>
      <c r="AM9896">
        <v>102.22734107023599</v>
      </c>
      <c r="AN9896">
        <v>0.99999997497435</v>
      </c>
    </row>
    <row r="9897" spans="1:40" x14ac:dyDescent="0.25">
      <c r="A9897" t="str">
        <f>"20190312150915145"</f>
        <v>20190312150915145</v>
      </c>
      <c r="B9897" t="str">
        <f>"1552374555139526"</f>
        <v>1552374555139526</v>
      </c>
      <c r="C9897" t="s">
        <v>40</v>
      </c>
      <c r="D9897">
        <v>4.5941939999999999</v>
      </c>
      <c r="E9897">
        <v>0.42245749999999999</v>
      </c>
      <c r="F9897" t="s">
        <v>73</v>
      </c>
      <c r="G9897">
        <v>-206.61269999999999</v>
      </c>
      <c r="H9897" s="1">
        <v>-3.5622040000000001E-6</v>
      </c>
      <c r="I9897">
        <v>-54.562179999999998</v>
      </c>
      <c r="J9897">
        <v>-214.5367</v>
      </c>
      <c r="K9897">
        <v>1.1165889999999901</v>
      </c>
      <c r="L9897">
        <v>-60.425600000000003</v>
      </c>
      <c r="M9897">
        <v>0.97672300000000001</v>
      </c>
      <c r="N9897">
        <v>0</v>
      </c>
      <c r="O9897">
        <v>0.2141554</v>
      </c>
      <c r="P9897">
        <v>0.90882189999999996</v>
      </c>
      <c r="Q9897">
        <v>2.9048560000000001E-2</v>
      </c>
      <c r="R9897">
        <v>0.41617209999999899</v>
      </c>
      <c r="S9897">
        <v>2.48468</v>
      </c>
      <c r="T9897">
        <v>-0.34322429999999998</v>
      </c>
      <c r="U9897">
        <v>1.8140559999999999</v>
      </c>
      <c r="V9897">
        <v>-0.21249080000000001</v>
      </c>
      <c r="W9897">
        <v>3.7659619999999998E-2</v>
      </c>
      <c r="X9897">
        <v>0.97643709999999995</v>
      </c>
      <c r="Y9897">
        <v>-0.40186630000000001</v>
      </c>
      <c r="Z9897">
        <v>-1.030436E-3</v>
      </c>
      <c r="AA9897">
        <v>0.91569780000000001</v>
      </c>
      <c r="AB9897">
        <v>32</v>
      </c>
      <c r="AC9897">
        <v>7.9240000000000004</v>
      </c>
      <c r="AD9897">
        <v>-1.1165925622039901</v>
      </c>
      <c r="AE9897">
        <v>5.8634199999999899</v>
      </c>
      <c r="AF9897">
        <v>-3.9792141575542801</v>
      </c>
      <c r="AG9897">
        <v>-1.1165925622039901</v>
      </c>
      <c r="AH9897">
        <v>8.8819452244630597</v>
      </c>
      <c r="AI9897">
        <v>96.544775523059897</v>
      </c>
      <c r="AJ9897">
        <v>114.132931334549</v>
      </c>
      <c r="AK9897">
        <v>9.7964215523839009</v>
      </c>
      <c r="AL9897">
        <v>87.841752353191197</v>
      </c>
      <c r="AM9897">
        <v>102.277204353854</v>
      </c>
      <c r="AN9897">
        <v>0.99999999865979705</v>
      </c>
    </row>
    <row r="9898" spans="1:40" x14ac:dyDescent="0.25">
      <c r="A9898" t="str">
        <f>"20190312150915157"</f>
        <v>20190312150915157</v>
      </c>
      <c r="B9898" t="str">
        <f>"1552374555149283"</f>
        <v>1552374555149283</v>
      </c>
      <c r="C9898" t="s">
        <v>40</v>
      </c>
      <c r="D9898">
        <v>4.6101919999999996</v>
      </c>
      <c r="E9898">
        <v>0.42274299999999998</v>
      </c>
      <c r="F9898" t="s">
        <v>41</v>
      </c>
      <c r="G9898">
        <v>-213.6574</v>
      </c>
      <c r="H9898">
        <v>0.99448130000000001</v>
      </c>
      <c r="I9898">
        <v>-59.777529999999999</v>
      </c>
      <c r="J9898">
        <v>-214.37700000000001</v>
      </c>
      <c r="K9898">
        <v>1.11666</v>
      </c>
      <c r="L9898">
        <v>-60.386409999999998</v>
      </c>
      <c r="M9898">
        <v>0.97581399999999996</v>
      </c>
      <c r="N9898">
        <v>0</v>
      </c>
      <c r="O9898">
        <v>0.21825849999999999</v>
      </c>
      <c r="P9898">
        <v>0.90675329999999998</v>
      </c>
      <c r="Q9898">
        <v>2.8997680000000001E-2</v>
      </c>
      <c r="R9898">
        <v>0.42066330000000002</v>
      </c>
      <c r="S9898">
        <v>2.4762729999999999</v>
      </c>
      <c r="T9898">
        <v>-0.34386630000000001</v>
      </c>
      <c r="U9898">
        <v>1.824951</v>
      </c>
      <c r="V9898">
        <v>-0.21322379999999999</v>
      </c>
      <c r="W9898">
        <v>3.7571470000000003E-2</v>
      </c>
      <c r="X9898">
        <v>0.9762807</v>
      </c>
      <c r="Y9898">
        <v>-0.40213140000000003</v>
      </c>
      <c r="Z9898">
        <v>-1.4946029999999999E-3</v>
      </c>
      <c r="AA9898">
        <v>0.91558070000000003</v>
      </c>
      <c r="AB9898">
        <v>32</v>
      </c>
      <c r="AC9898">
        <v>0.71960000000001401</v>
      </c>
      <c r="AD9898">
        <v>-0.122178699999999</v>
      </c>
      <c r="AE9898">
        <v>0.60887999999999198</v>
      </c>
      <c r="AF9898">
        <v>-0.429905321769323</v>
      </c>
      <c r="AG9898">
        <v>-0.122178699999999</v>
      </c>
      <c r="AH9898">
        <v>0.82135315101926498</v>
      </c>
      <c r="AI9898">
        <v>97.507835644135298</v>
      </c>
      <c r="AJ9898">
        <v>117.628057464637</v>
      </c>
      <c r="AK9898">
        <v>0.93507604990639703</v>
      </c>
      <c r="AL9898">
        <v>87.846806566148601</v>
      </c>
      <c r="AM9898">
        <v>102.32017752086701</v>
      </c>
      <c r="AN9898">
        <v>1.0000000047184401</v>
      </c>
    </row>
    <row r="9899" spans="1:40" x14ac:dyDescent="0.25">
      <c r="A9899" t="str">
        <f>"20190312150915167"</f>
        <v>20190312150915167</v>
      </c>
      <c r="B9899" t="str">
        <f>"1552374555159042"</f>
        <v>1552374555159042</v>
      </c>
      <c r="C9899" t="s">
        <v>40</v>
      </c>
      <c r="D9899">
        <v>4.6612450000000001</v>
      </c>
      <c r="E9899">
        <v>0.4229735</v>
      </c>
      <c r="F9899" t="s">
        <v>73</v>
      </c>
      <c r="G9899">
        <v>-206.3853</v>
      </c>
      <c r="H9899" s="1">
        <v>-3.7126790000000001E-6</v>
      </c>
      <c r="I9899">
        <v>-54.444420000000001</v>
      </c>
      <c r="J9899">
        <v>-214.23179999999999</v>
      </c>
      <c r="K9899">
        <v>1.1167229999999999</v>
      </c>
      <c r="L9899">
        <v>-60.350430000000003</v>
      </c>
      <c r="M9899">
        <v>0.97496839999999996</v>
      </c>
      <c r="N9899">
        <v>0</v>
      </c>
      <c r="O9899">
        <v>0.22200490000000001</v>
      </c>
      <c r="P9899">
        <v>0.90493310000000005</v>
      </c>
      <c r="Q9899">
        <v>2.9176000000000001E-2</v>
      </c>
      <c r="R9899">
        <v>0.4245526</v>
      </c>
      <c r="S9899">
        <v>2.4681700000000002</v>
      </c>
      <c r="T9899">
        <v>-0.34487410000000002</v>
      </c>
      <c r="U9899">
        <v>1.8351440000000001</v>
      </c>
      <c r="V9899">
        <v>-0.213676</v>
      </c>
      <c r="W9899">
        <v>3.7720610000000002E-2</v>
      </c>
      <c r="X9899">
        <v>0.97617609999999999</v>
      </c>
      <c r="Y9899">
        <v>-0.40250180000000002</v>
      </c>
      <c r="Z9899">
        <v>-1.9148329999999999E-3</v>
      </c>
      <c r="AA9899">
        <v>0.91541719999999904</v>
      </c>
      <c r="AB9899">
        <v>32</v>
      </c>
      <c r="AC9899">
        <v>7.84649999999999</v>
      </c>
      <c r="AD9899">
        <v>-1.1167267126789999</v>
      </c>
      <c r="AE9899">
        <v>5.9060100000000002</v>
      </c>
      <c r="AF9899">
        <v>-3.9652432488287799</v>
      </c>
      <c r="AG9899">
        <v>-1.1167267126789999</v>
      </c>
      <c r="AH9899">
        <v>8.8475283947882506</v>
      </c>
      <c r="AI9899">
        <v>96.570397095412105</v>
      </c>
      <c r="AJ9899">
        <v>114.14074170529</v>
      </c>
      <c r="AK9899">
        <v>9.7595589690199294</v>
      </c>
      <c r="AL9899">
        <v>87.838255461950794</v>
      </c>
      <c r="AM9899">
        <v>102.34678771805601</v>
      </c>
      <c r="AN9899">
        <v>1.0000000278029899</v>
      </c>
    </row>
    <row r="9900" spans="1:40" x14ac:dyDescent="0.25">
      <c r="A9900" t="str">
        <f>"20190312150915178"</f>
        <v>20190312150915178</v>
      </c>
      <c r="B9900" t="str">
        <f>"1552374555169779"</f>
        <v>1552374555169779</v>
      </c>
      <c r="C9900" t="s">
        <v>40</v>
      </c>
      <c r="D9900">
        <v>4.6188949999999904</v>
      </c>
      <c r="E9900">
        <v>0.4232496</v>
      </c>
      <c r="F9900" t="s">
        <v>41</v>
      </c>
      <c r="G9900">
        <v>-213.376</v>
      </c>
      <c r="H9900">
        <v>0.99665389999999998</v>
      </c>
      <c r="I9900">
        <v>-59.709180000000003</v>
      </c>
      <c r="J9900">
        <v>-214.08240000000001</v>
      </c>
      <c r="K9900">
        <v>1.116784</v>
      </c>
      <c r="L9900">
        <v>-60.312559999999998</v>
      </c>
      <c r="M9900">
        <v>0.97407169999999998</v>
      </c>
      <c r="N9900">
        <v>0</v>
      </c>
      <c r="O9900">
        <v>0.22590640000000001</v>
      </c>
      <c r="P9900">
        <v>0.90277249999999998</v>
      </c>
      <c r="Q9900">
        <v>2.9066950000000001E-2</v>
      </c>
      <c r="R9900">
        <v>0.42913509999999999</v>
      </c>
      <c r="S9900">
        <v>2.46109</v>
      </c>
      <c r="T9900">
        <v>-0.34529140000000003</v>
      </c>
      <c r="U9900">
        <v>1.844238</v>
      </c>
      <c r="V9900">
        <v>-0.2147202</v>
      </c>
      <c r="W9900">
        <v>3.7571470000000003E-2</v>
      </c>
      <c r="X9900">
        <v>0.97595270000000001</v>
      </c>
      <c r="Y9900">
        <v>-0.4022888</v>
      </c>
      <c r="Z9900">
        <v>-2.3883379999999998E-3</v>
      </c>
      <c r="AA9900">
        <v>0.91550969999999998</v>
      </c>
      <c r="AB9900">
        <v>32</v>
      </c>
      <c r="AC9900">
        <v>0.70640000000003</v>
      </c>
      <c r="AD9900">
        <v>-0.120130099999999</v>
      </c>
      <c r="AE9900">
        <v>0.60337999999999403</v>
      </c>
      <c r="AF9900">
        <v>-0.42114543813593303</v>
      </c>
      <c r="AG9900">
        <v>-0.120130099999999</v>
      </c>
      <c r="AH9900">
        <v>0.810894889653059</v>
      </c>
      <c r="AI9900">
        <v>97.489794934165303</v>
      </c>
      <c r="AJ9900">
        <v>117.445507842994</v>
      </c>
      <c r="AK9900">
        <v>0.92159928551088</v>
      </c>
      <c r="AL9900">
        <v>87.846806612298593</v>
      </c>
      <c r="AM9900">
        <v>102.40801243308501</v>
      </c>
      <c r="AN9900">
        <v>1.00000002614164</v>
      </c>
    </row>
    <row r="9901" spans="1:40" x14ac:dyDescent="0.25">
      <c r="A9901" t="str">
        <f>"20190312150915190"</f>
        <v>20190312150915190</v>
      </c>
      <c r="B9901" t="str">
        <f>"1552374555179539"</f>
        <v>1552374555179539</v>
      </c>
      <c r="C9901" t="s">
        <v>40</v>
      </c>
      <c r="D9901">
        <v>4.6256279999999999</v>
      </c>
      <c r="E9901">
        <v>0.42349140000000002</v>
      </c>
      <c r="F9901" t="s">
        <v>73</v>
      </c>
      <c r="G9901">
        <v>-206.1541</v>
      </c>
      <c r="H9901" s="1">
        <v>-3.86740599999999E-6</v>
      </c>
      <c r="I9901">
        <v>-54.31711</v>
      </c>
      <c r="J9901">
        <v>-213.93119999999999</v>
      </c>
      <c r="K9901">
        <v>1.116843</v>
      </c>
      <c r="L9901">
        <v>-60.273650000000004</v>
      </c>
      <c r="M9901">
        <v>0.97314140000000005</v>
      </c>
      <c r="N9901">
        <v>0</v>
      </c>
      <c r="O9901">
        <v>0.22988040000000001</v>
      </c>
      <c r="P9901">
        <v>0.90079969999999998</v>
      </c>
      <c r="Q9901">
        <v>2.9153370000000001E-2</v>
      </c>
      <c r="R9901">
        <v>0.43325530000000001</v>
      </c>
      <c r="S9901">
        <v>2.4526059999999998</v>
      </c>
      <c r="T9901">
        <v>-0.34547519999999998</v>
      </c>
      <c r="U9901">
        <v>1.8546750000000001</v>
      </c>
      <c r="V9901">
        <v>-0.2152037</v>
      </c>
      <c r="W9901">
        <v>3.7629610000000001E-2</v>
      </c>
      <c r="X9901">
        <v>0.97584389999999999</v>
      </c>
      <c r="Y9901">
        <v>-0.40257399999999999</v>
      </c>
      <c r="Z9901">
        <v>-2.8392909999999999E-3</v>
      </c>
      <c r="AA9901">
        <v>0.91538299999999995</v>
      </c>
      <c r="AB9901">
        <v>32</v>
      </c>
      <c r="AC9901">
        <v>7.7770999999999901</v>
      </c>
      <c r="AD9901">
        <v>-1.1168468674059999</v>
      </c>
      <c r="AE9901">
        <v>5.9565400000000004</v>
      </c>
      <c r="AF9901">
        <v>-3.9576136144512502</v>
      </c>
      <c r="AG9901">
        <v>-1.1168468674059999</v>
      </c>
      <c r="AH9901">
        <v>8.8234949890695997</v>
      </c>
      <c r="AI9901">
        <v>96.587971028839505</v>
      </c>
      <c r="AJ9901">
        <v>114.15772705731</v>
      </c>
      <c r="AK9901">
        <v>9.7346862439762702</v>
      </c>
      <c r="AL9901">
        <v>87.843472954316596</v>
      </c>
      <c r="AM9901">
        <v>102.43642746511399</v>
      </c>
      <c r="AN9901">
        <v>0.99999996860482498</v>
      </c>
    </row>
    <row r="9902" spans="1:40" x14ac:dyDescent="0.25">
      <c r="A9902" t="str">
        <f>"20190312150915200"</f>
        <v>20190312150915200</v>
      </c>
      <c r="B9902" t="str">
        <f>"1552374555189299"</f>
        <v>1552374555189299</v>
      </c>
      <c r="C9902" t="s">
        <v>40</v>
      </c>
      <c r="D9902">
        <v>4.6390279999999997</v>
      </c>
      <c r="E9902">
        <v>0.42370619999999998</v>
      </c>
      <c r="F9902" t="s">
        <v>41</v>
      </c>
      <c r="G9902">
        <v>-213.0615</v>
      </c>
      <c r="H9902">
        <v>0.99398710000000001</v>
      </c>
      <c r="I9902">
        <v>-59.610599999999998</v>
      </c>
      <c r="J9902">
        <v>-213.78829999999999</v>
      </c>
      <c r="K9902">
        <v>1.1168960000000001</v>
      </c>
      <c r="L9902">
        <v>-60.2363</v>
      </c>
      <c r="M9902">
        <v>0.97223990000000005</v>
      </c>
      <c r="N9902">
        <v>0</v>
      </c>
      <c r="O9902">
        <v>0.23366310000000001</v>
      </c>
      <c r="P9902">
        <v>0.89878019999999903</v>
      </c>
      <c r="Q9902">
        <v>2.9291729999999998E-2</v>
      </c>
      <c r="R9902">
        <v>0.43741989999999997</v>
      </c>
      <c r="S9902">
        <v>2.4449619999999999</v>
      </c>
      <c r="T9902">
        <v>-0.34539039999999999</v>
      </c>
      <c r="U9902">
        <v>1.864166</v>
      </c>
      <c r="V9902">
        <v>-0.21593380000000001</v>
      </c>
      <c r="W9902">
        <v>3.7735869999999998E-2</v>
      </c>
      <c r="X9902">
        <v>0.97567859999999995</v>
      </c>
      <c r="Y9902">
        <v>-0.4026634</v>
      </c>
      <c r="Z9902">
        <v>-3.2782240000000002E-3</v>
      </c>
      <c r="AA9902">
        <v>0.91534230000000005</v>
      </c>
      <c r="AB9902">
        <v>32</v>
      </c>
      <c r="AC9902">
        <v>0.726799999999997</v>
      </c>
      <c r="AD9902">
        <v>-0.1229089</v>
      </c>
      <c r="AE9902">
        <v>0.62570000000000103</v>
      </c>
      <c r="AF9902">
        <v>-0.43145077725805298</v>
      </c>
      <c r="AG9902">
        <v>-0.1229089</v>
      </c>
      <c r="AH9902">
        <v>0.83910914673108605</v>
      </c>
      <c r="AI9902">
        <v>97.421819644333596</v>
      </c>
      <c r="AJ9902">
        <v>117.211193635713</v>
      </c>
      <c r="AK9902">
        <v>0.95150435155261304</v>
      </c>
      <c r="AL9902">
        <v>87.837380588482404</v>
      </c>
      <c r="AM9902">
        <v>102.47934776583401</v>
      </c>
      <c r="AN9902">
        <v>1.0000000661825199</v>
      </c>
    </row>
    <row r="9903" spans="1:40" x14ac:dyDescent="0.25">
      <c r="A9903" t="str">
        <f>"20190312150915211"</f>
        <v>20190312150915211</v>
      </c>
      <c r="B9903" t="str">
        <f>"1552374555208820"</f>
        <v>1552374555208820</v>
      </c>
      <c r="C9903" t="s">
        <v>40</v>
      </c>
      <c r="D9903">
        <v>4.6325440000000002</v>
      </c>
      <c r="E9903">
        <v>0.42402610000000002</v>
      </c>
      <c r="F9903" t="s">
        <v>73</v>
      </c>
      <c r="G9903">
        <v>-205.89619999999999</v>
      </c>
      <c r="H9903" s="1">
        <v>-4.0416629999999901E-6</v>
      </c>
      <c r="I9903">
        <v>-54.167319999999997</v>
      </c>
      <c r="J9903">
        <v>-213.62880000000001</v>
      </c>
      <c r="K9903">
        <v>1.1169530000000001</v>
      </c>
      <c r="L9903">
        <v>-60.193730000000002</v>
      </c>
      <c r="M9903">
        <v>0.97120640000000003</v>
      </c>
      <c r="N9903">
        <v>0</v>
      </c>
      <c r="O9903">
        <v>0.23792170000000001</v>
      </c>
      <c r="P9903">
        <v>0.89651199999999998</v>
      </c>
      <c r="Q9903">
        <v>2.90224E-2</v>
      </c>
      <c r="R9903">
        <v>0.44206800000000002</v>
      </c>
      <c r="S9903">
        <v>2.4370270000000001</v>
      </c>
      <c r="T9903">
        <v>-0.34489049999999999</v>
      </c>
      <c r="U9903">
        <v>1.8740540000000001</v>
      </c>
      <c r="V9903">
        <v>-0.21670890000000001</v>
      </c>
      <c r="W9903">
        <v>3.7433760000000003E-2</v>
      </c>
      <c r="X9903">
        <v>0.97551829999999995</v>
      </c>
      <c r="Y9903">
        <v>-0.40245510000000001</v>
      </c>
      <c r="Z9903">
        <v>-3.787318E-3</v>
      </c>
      <c r="AA9903">
        <v>0.91543189999999997</v>
      </c>
      <c r="AB9903">
        <v>32</v>
      </c>
      <c r="AC9903">
        <v>7.7326000000000104</v>
      </c>
      <c r="AD9903">
        <v>-1.1169570416629999</v>
      </c>
      <c r="AE9903">
        <v>6.0264100000000003</v>
      </c>
      <c r="AF9903">
        <v>-3.9620084411196301</v>
      </c>
      <c r="AG9903">
        <v>-1.1169570416629999</v>
      </c>
      <c r="AH9903">
        <v>8.8298233320470896</v>
      </c>
      <c r="AI9903">
        <v>96.583505030513095</v>
      </c>
      <c r="AJ9903">
        <v>114.166134149008</v>
      </c>
      <c r="AK9903">
        <v>9.7422217176364398</v>
      </c>
      <c r="AL9903">
        <v>87.854702298656093</v>
      </c>
      <c r="AM9903">
        <v>102.524724962775</v>
      </c>
      <c r="AN9903">
        <v>0.99999999368091796</v>
      </c>
    </row>
    <row r="9904" spans="1:40" x14ac:dyDescent="0.25">
      <c r="A9904" t="str">
        <f>"20190312150915222"</f>
        <v>20190312150915222</v>
      </c>
      <c r="B9904" t="str">
        <f>"1552374555219554"</f>
        <v>1552374555219554</v>
      </c>
      <c r="C9904" t="s">
        <v>40</v>
      </c>
      <c r="D9904">
        <v>4.6216140000000001</v>
      </c>
      <c r="E9904">
        <v>0.42422280000000001</v>
      </c>
      <c r="F9904" t="s">
        <v>73</v>
      </c>
      <c r="G9904">
        <v>-205.7987</v>
      </c>
      <c r="H9904" s="1">
        <v>-4.1058580000000001E-6</v>
      </c>
      <c r="I9904">
        <v>-54.118270000000003</v>
      </c>
      <c r="J9904">
        <v>-213.4813</v>
      </c>
      <c r="K9904">
        <v>1.1170020000000001</v>
      </c>
      <c r="L9904">
        <v>-60.153930000000003</v>
      </c>
      <c r="M9904">
        <v>0.97022960000000003</v>
      </c>
      <c r="N9904">
        <v>0</v>
      </c>
      <c r="O9904">
        <v>0.24187349999999999</v>
      </c>
      <c r="P9904">
        <v>0.89428560000000001</v>
      </c>
      <c r="Q9904">
        <v>2.9133030000000001E-2</v>
      </c>
      <c r="R9904">
        <v>0.44654739999999998</v>
      </c>
      <c r="S9904">
        <v>2.4284210000000002</v>
      </c>
      <c r="T9904">
        <v>-0.34641440000000001</v>
      </c>
      <c r="U9904">
        <v>1.884247</v>
      </c>
      <c r="V9904">
        <v>-0.21762509999999999</v>
      </c>
      <c r="W9904">
        <v>3.7510010000000003E-2</v>
      </c>
      <c r="X9904">
        <v>0.97531140000000005</v>
      </c>
      <c r="Y9904">
        <v>-0.40271010000000002</v>
      </c>
      <c r="Z9904">
        <v>-4.2558739999999998E-3</v>
      </c>
      <c r="AA9904">
        <v>0.91531770000000001</v>
      </c>
      <c r="AB9904">
        <v>32</v>
      </c>
      <c r="AC9904">
        <v>7.6825999999999999</v>
      </c>
      <c r="AD9904">
        <v>-1.1170061058580001</v>
      </c>
      <c r="AE9904">
        <v>6.03566</v>
      </c>
      <c r="AF9904">
        <v>-3.9464752887503902</v>
      </c>
      <c r="AG9904">
        <v>-1.1170061058580001</v>
      </c>
      <c r="AH9904">
        <v>8.7994062988554393</v>
      </c>
      <c r="AI9904">
        <v>96.606872934846194</v>
      </c>
      <c r="AJ9904">
        <v>114.15591760904999</v>
      </c>
      <c r="AK9904">
        <v>9.70834285846861</v>
      </c>
      <c r="AL9904">
        <v>87.850330451457495</v>
      </c>
      <c r="AM9904">
        <v>102.578578805403</v>
      </c>
      <c r="AN9904">
        <v>1.00000000598508</v>
      </c>
    </row>
    <row r="9905" spans="1:40" x14ac:dyDescent="0.25">
      <c r="A9905" t="str">
        <f>"20190312150915234"</f>
        <v>20190312150915234</v>
      </c>
      <c r="B9905" t="str">
        <f>"1552374555229315"</f>
        <v>1552374555229315</v>
      </c>
      <c r="C9905" t="s">
        <v>40</v>
      </c>
      <c r="D9905">
        <v>4.6239540000000003</v>
      </c>
      <c r="E9905">
        <v>0.42442619999999998</v>
      </c>
      <c r="F9905" t="s">
        <v>73</v>
      </c>
      <c r="G9905">
        <v>-205.69229999999999</v>
      </c>
      <c r="H9905" s="1">
        <v>-4.1783689999999999E-6</v>
      </c>
      <c r="I9905">
        <v>-54.053809999999999</v>
      </c>
      <c r="J9905">
        <v>-213.32859999999999</v>
      </c>
      <c r="K9905">
        <v>1.117046</v>
      </c>
      <c r="L9905">
        <v>-60.111660000000001</v>
      </c>
      <c r="M9905">
        <v>0.96919040000000001</v>
      </c>
      <c r="N9905">
        <v>0</v>
      </c>
      <c r="O9905">
        <v>0.24600420000000001</v>
      </c>
      <c r="P9905">
        <v>0.89199969999999995</v>
      </c>
      <c r="Q9905">
        <v>2.9025269999999999E-2</v>
      </c>
      <c r="R9905">
        <v>0.45110319999999998</v>
      </c>
      <c r="S9905">
        <v>2.4196780000000002</v>
      </c>
      <c r="T9905">
        <v>-0.34700120000000001</v>
      </c>
      <c r="U9905">
        <v>1.8950199999999999</v>
      </c>
      <c r="V9905">
        <v>-0.2184479</v>
      </c>
      <c r="W9905">
        <v>3.7370859999999999E-2</v>
      </c>
      <c r="X9905">
        <v>0.97513280000000002</v>
      </c>
      <c r="Y9905">
        <v>-0.40296159999999998</v>
      </c>
      <c r="Z9905">
        <v>-4.7372650000000001E-3</v>
      </c>
      <c r="AA9905">
        <v>0.91520460000000003</v>
      </c>
      <c r="AB9905">
        <v>32</v>
      </c>
      <c r="AC9905">
        <v>7.6363000000000003</v>
      </c>
      <c r="AD9905">
        <v>-1.1170501783689999</v>
      </c>
      <c r="AE9905">
        <v>6.0578500000000002</v>
      </c>
      <c r="AF9905">
        <v>-3.9411907127401999</v>
      </c>
      <c r="AG9905">
        <v>-1.1170501783689999</v>
      </c>
      <c r="AH9905">
        <v>8.77669379973978</v>
      </c>
      <c r="AI9905">
        <v>96.622708086914301</v>
      </c>
      <c r="AJ9905">
        <v>114.18255326206599</v>
      </c>
      <c r="AK9905">
        <v>9.6856150754391805</v>
      </c>
      <c r="AL9905">
        <v>87.858308787162997</v>
      </c>
      <c r="AM9905">
        <v>102.626852516288</v>
      </c>
      <c r="AN9905">
        <v>1.00000002191369</v>
      </c>
    </row>
    <row r="9906" spans="1:40" x14ac:dyDescent="0.25">
      <c r="A9906" t="str">
        <f>"20190312150915245"</f>
        <v>20190312150915245</v>
      </c>
      <c r="B9906" t="str">
        <f>"1552374555239074"</f>
        <v>1552374555239074</v>
      </c>
      <c r="C9906" t="s">
        <v>40</v>
      </c>
      <c r="D9906">
        <v>4.6529559999999996</v>
      </c>
      <c r="E9906">
        <v>0.42469820000000003</v>
      </c>
      <c r="F9906" t="s">
        <v>73</v>
      </c>
      <c r="G9906">
        <v>-205.60300000000001</v>
      </c>
      <c r="H9906" s="1">
        <v>-4.2381780000000002E-6</v>
      </c>
      <c r="I9906">
        <v>-54.00414</v>
      </c>
      <c r="J9906">
        <v>-213.17670000000001</v>
      </c>
      <c r="K9906">
        <v>1.117089</v>
      </c>
      <c r="L9906">
        <v>-60.069310000000002</v>
      </c>
      <c r="M9906">
        <v>0.96813629999999995</v>
      </c>
      <c r="N9906">
        <v>0</v>
      </c>
      <c r="O9906">
        <v>0.2501197</v>
      </c>
      <c r="P9906">
        <v>0.88978250000000003</v>
      </c>
      <c r="Q9906">
        <v>2.8887929999999999E-2</v>
      </c>
      <c r="R9906">
        <v>0.45546979999999998</v>
      </c>
      <c r="S9906">
        <v>2.4107509999999999</v>
      </c>
      <c r="T9906">
        <v>-0.34857559999999999</v>
      </c>
      <c r="U9906">
        <v>1.905853</v>
      </c>
      <c r="V9906">
        <v>-0.21908530000000001</v>
      </c>
      <c r="W9906">
        <v>3.7206469999999998E-2</v>
      </c>
      <c r="X9906">
        <v>0.97499599999999997</v>
      </c>
      <c r="Y9906">
        <v>-0.40326640000000002</v>
      </c>
      <c r="Z9906">
        <v>-5.2304789999999997E-3</v>
      </c>
      <c r="AA9906">
        <v>0.91506770000000004</v>
      </c>
      <c r="AB9906">
        <v>32</v>
      </c>
      <c r="AC9906">
        <v>7.5737000000000299</v>
      </c>
      <c r="AD9906">
        <v>-1.1170932381780001</v>
      </c>
      <c r="AE9906">
        <v>6.0651699999999904</v>
      </c>
      <c r="AF9906">
        <v>-3.9258463896345299</v>
      </c>
      <c r="AG9906">
        <v>-1.1170932381780001</v>
      </c>
      <c r="AH9906">
        <v>8.7342952409294803</v>
      </c>
      <c r="AI9906">
        <v>96.653780196426396</v>
      </c>
      <c r="AJ9906">
        <v>114.202720354959</v>
      </c>
      <c r="AK9906">
        <v>9.6409584862456903</v>
      </c>
      <c r="AL9906">
        <v>87.867734031226604</v>
      </c>
      <c r="AM9906">
        <v>102.664228870008</v>
      </c>
      <c r="AN9906">
        <v>0.999999945050973</v>
      </c>
    </row>
    <row r="9907" spans="1:40" x14ac:dyDescent="0.25">
      <c r="A9907" t="str">
        <f>"20190312150915256"</f>
        <v>20190312150915256</v>
      </c>
      <c r="B9907" t="str">
        <f>"1552374555248835"</f>
        <v>1552374555248835</v>
      </c>
      <c r="C9907" t="s">
        <v>40</v>
      </c>
      <c r="D9907">
        <v>4.6456189999999999</v>
      </c>
      <c r="E9907">
        <v>0.42495500000000003</v>
      </c>
      <c r="F9907" t="s">
        <v>41</v>
      </c>
      <c r="G9907">
        <v>-212.32849999999999</v>
      </c>
      <c r="H9907">
        <v>0.99340700000000004</v>
      </c>
      <c r="I9907">
        <v>-59.393180000000001</v>
      </c>
      <c r="J9907">
        <v>-213.02520000000001</v>
      </c>
      <c r="K9907">
        <v>1.1171260000000001</v>
      </c>
      <c r="L9907">
        <v>-60.025910000000003</v>
      </c>
      <c r="M9907">
        <v>0.9670571</v>
      </c>
      <c r="N9907">
        <v>0</v>
      </c>
      <c r="O9907">
        <v>0.25425999999999999</v>
      </c>
      <c r="P9907">
        <v>0.88748099999999996</v>
      </c>
      <c r="Q9907">
        <v>2.866206E-2</v>
      </c>
      <c r="R9907">
        <v>0.45995219999999998</v>
      </c>
      <c r="S9907">
        <v>2.40239</v>
      </c>
      <c r="T9907">
        <v>-0.35035149999999998</v>
      </c>
      <c r="U9907">
        <v>1.915619</v>
      </c>
      <c r="V9907">
        <v>-0.21982969999999999</v>
      </c>
      <c r="W9907">
        <v>3.695296E-2</v>
      </c>
      <c r="X9907">
        <v>0.97483810000000004</v>
      </c>
      <c r="Y9907">
        <v>-0.40319240000000001</v>
      </c>
      <c r="Z9907">
        <v>-5.7587899999999997E-3</v>
      </c>
      <c r="AA9907">
        <v>0.9150971</v>
      </c>
      <c r="AB9907">
        <v>32</v>
      </c>
      <c r="AC9907">
        <v>0.69670000000002097</v>
      </c>
      <c r="AD9907">
        <v>-0.123719</v>
      </c>
      <c r="AE9907">
        <v>0.63272999999998703</v>
      </c>
      <c r="AF9907">
        <v>-0.42739052043862102</v>
      </c>
      <c r="AG9907">
        <v>-0.123719</v>
      </c>
      <c r="AH9907">
        <v>0.82051101987104902</v>
      </c>
      <c r="AI9907">
        <v>97.616899610870703</v>
      </c>
      <c r="AJ9907">
        <v>117.514256363268</v>
      </c>
      <c r="AK9907">
        <v>0.93338490541235097</v>
      </c>
      <c r="AL9907">
        <v>87.882269133018397</v>
      </c>
      <c r="AM9907">
        <v>102.70785545977</v>
      </c>
      <c r="AN9907">
        <v>0.99999996973323002</v>
      </c>
    </row>
    <row r="9908" spans="1:40" x14ac:dyDescent="0.25">
      <c r="A9908" t="str">
        <f>"20190312150915268"</f>
        <v>20190312150915268</v>
      </c>
      <c r="B9908" t="str">
        <f>"1552374555259572"</f>
        <v>1552374555259572</v>
      </c>
      <c r="C9908" t="s">
        <v>40</v>
      </c>
      <c r="D9908">
        <v>4.6633190000000004</v>
      </c>
      <c r="E9908">
        <v>0.42517919999999998</v>
      </c>
      <c r="F9908" t="s">
        <v>73</v>
      </c>
      <c r="G9908">
        <v>-205.43299999999999</v>
      </c>
      <c r="H9908" s="1">
        <v>-4.350549E-6</v>
      </c>
      <c r="I9908">
        <v>-53.916820000000001</v>
      </c>
      <c r="J9908">
        <v>-212.87270000000001</v>
      </c>
      <c r="K9908">
        <v>1.117162</v>
      </c>
      <c r="L9908">
        <v>-59.981870000000001</v>
      </c>
      <c r="M9908">
        <v>0.96595039999999999</v>
      </c>
      <c r="N9908">
        <v>0</v>
      </c>
      <c r="O9908">
        <v>0.258432</v>
      </c>
      <c r="P9908">
        <v>0.88515469999999896</v>
      </c>
      <c r="Q9908">
        <v>2.8413089999999998E-2</v>
      </c>
      <c r="R9908">
        <v>0.46442870000000003</v>
      </c>
      <c r="S9908">
        <v>2.39357</v>
      </c>
      <c r="T9908">
        <v>-0.35219450000000002</v>
      </c>
      <c r="U9908">
        <v>1.9259949999999999</v>
      </c>
      <c r="V9908">
        <v>-0.22054270000000001</v>
      </c>
      <c r="W9908">
        <v>3.6678019999999999E-2</v>
      </c>
      <c r="X9908">
        <v>0.97468750000000004</v>
      </c>
      <c r="Y9908">
        <v>-0.40331119999999998</v>
      </c>
      <c r="Z9908">
        <v>-6.2854740000000001E-3</v>
      </c>
      <c r="AA9908">
        <v>0.91504129999999995</v>
      </c>
      <c r="AB9908">
        <v>32</v>
      </c>
      <c r="AC9908">
        <v>7.43970000000001</v>
      </c>
      <c r="AD9908">
        <v>-1.1171663505489999</v>
      </c>
      <c r="AE9908">
        <v>6.0650499999999896</v>
      </c>
      <c r="AF9908">
        <v>-3.8835740324508099</v>
      </c>
      <c r="AG9908">
        <v>-1.1171663505489999</v>
      </c>
      <c r="AH9908">
        <v>8.6374485508176893</v>
      </c>
      <c r="AI9908">
        <v>96.727778292070298</v>
      </c>
      <c r="AJ9908">
        <v>114.209661162458</v>
      </c>
      <c r="AK9908">
        <v>9.5360225140436707</v>
      </c>
      <c r="AL9908">
        <v>87.898032871831504</v>
      </c>
      <c r="AM9908">
        <v>102.749632922046</v>
      </c>
      <c r="AN9908">
        <v>1.00000004116532</v>
      </c>
    </row>
    <row r="9909" spans="1:40" x14ac:dyDescent="0.25">
      <c r="A9909" t="str">
        <f>"20190312150915279"</f>
        <v>20190312150915279</v>
      </c>
      <c r="B9909" t="str">
        <f>"1552374555269331"</f>
        <v>1552374555269331</v>
      </c>
      <c r="C9909" t="s">
        <v>40</v>
      </c>
      <c r="D9909">
        <v>4.6413320000000002</v>
      </c>
      <c r="E9909">
        <v>0.42542259999999998</v>
      </c>
      <c r="F9909" t="s">
        <v>41</v>
      </c>
      <c r="G9909">
        <v>-212.03989999999999</v>
      </c>
      <c r="H9909">
        <v>0.99351719999999999</v>
      </c>
      <c r="I9909">
        <v>-59.305509999999998</v>
      </c>
      <c r="J9909">
        <v>-212.7174</v>
      </c>
      <c r="K9909">
        <v>1.1171899999999999</v>
      </c>
      <c r="L9909">
        <v>-59.936070000000001</v>
      </c>
      <c r="M9909">
        <v>0.96479760000000003</v>
      </c>
      <c r="N9909">
        <v>0</v>
      </c>
      <c r="O9909">
        <v>0.26270290000000002</v>
      </c>
      <c r="P9909">
        <v>0.88267019999999996</v>
      </c>
      <c r="Q9909">
        <v>2.850857E-2</v>
      </c>
      <c r="R9909">
        <v>0.46912749999999998</v>
      </c>
      <c r="S9909">
        <v>2.3846280000000002</v>
      </c>
      <c r="T9909">
        <v>-0.35400559999999998</v>
      </c>
      <c r="U9909">
        <v>1.93634</v>
      </c>
      <c r="V9909">
        <v>-0.22141720000000001</v>
      </c>
      <c r="W9909">
        <v>3.674521E-2</v>
      </c>
      <c r="X9909">
        <v>0.97448659999999998</v>
      </c>
      <c r="Y9909">
        <v>-0.40335009999999999</v>
      </c>
      <c r="Z9909">
        <v>-6.8344809999999999E-3</v>
      </c>
      <c r="AA9909">
        <v>0.91502019999999995</v>
      </c>
      <c r="AB9909">
        <v>32</v>
      </c>
      <c r="AC9909">
        <v>0.67750000000000898</v>
      </c>
      <c r="AD9909">
        <v>-0.1236728</v>
      </c>
      <c r="AE9909">
        <v>0.63055999999999501</v>
      </c>
      <c r="AF9909">
        <v>-0.42286412630062598</v>
      </c>
      <c r="AG9909">
        <v>-0.1236728</v>
      </c>
      <c r="AH9909">
        <v>0.80498967427178603</v>
      </c>
      <c r="AI9909">
        <v>97.745224194158595</v>
      </c>
      <c r="AJ9909">
        <v>117.713116059493</v>
      </c>
      <c r="AK9909">
        <v>0.917669551884571</v>
      </c>
      <c r="AL9909">
        <v>87.894180401257202</v>
      </c>
      <c r="AM9909">
        <v>102.801077741387</v>
      </c>
      <c r="AN9909">
        <v>0.99999996024667104</v>
      </c>
    </row>
    <row r="9910" spans="1:40" x14ac:dyDescent="0.25">
      <c r="A9910" t="str">
        <f>"20190312150915291"</f>
        <v>20190312150915291</v>
      </c>
      <c r="B9910" t="str">
        <f>"1552374555288851"</f>
        <v>1552374555288851</v>
      </c>
      <c r="C9910" t="s">
        <v>40</v>
      </c>
      <c r="D9910">
        <v>4.6698240000000002</v>
      </c>
      <c r="E9910">
        <v>0.42572070000000001</v>
      </c>
      <c r="F9910" t="s">
        <v>73</v>
      </c>
      <c r="G9910">
        <v>-205.22620000000001</v>
      </c>
      <c r="H9910" s="1">
        <v>-4.490551E-6</v>
      </c>
      <c r="I9910">
        <v>-53.795389999999998</v>
      </c>
      <c r="J9910">
        <v>-212.56270000000001</v>
      </c>
      <c r="K9910">
        <v>1.117218</v>
      </c>
      <c r="L9910">
        <v>-59.889679999999998</v>
      </c>
      <c r="M9910">
        <v>0.96362530000000002</v>
      </c>
      <c r="N9910">
        <v>0</v>
      </c>
      <c r="O9910">
        <v>0.26697070000000001</v>
      </c>
      <c r="P9910">
        <v>0.88026499999999996</v>
      </c>
      <c r="Q9910">
        <v>2.8245200000000002E-2</v>
      </c>
      <c r="R9910">
        <v>0.47364099999999998</v>
      </c>
      <c r="S9910">
        <v>2.3753359999999999</v>
      </c>
      <c r="T9910">
        <v>-0.35424549999999999</v>
      </c>
      <c r="U9910">
        <v>1.9471130000000001</v>
      </c>
      <c r="V9910">
        <v>-0.22209039999999999</v>
      </c>
      <c r="W9910">
        <v>3.6459289999999998E-2</v>
      </c>
      <c r="X9910">
        <v>0.97434419999999999</v>
      </c>
      <c r="Y9910">
        <v>-0.40355990000000003</v>
      </c>
      <c r="Z9910">
        <v>-7.3456349999999997E-3</v>
      </c>
      <c r="AA9910">
        <v>0.91492370000000001</v>
      </c>
      <c r="AB9910">
        <v>32</v>
      </c>
      <c r="AC9910">
        <v>7.3365</v>
      </c>
      <c r="AD9910">
        <v>-1.117222490551</v>
      </c>
      <c r="AE9910">
        <v>6.09429</v>
      </c>
      <c r="AF9910">
        <v>-3.8612973581810999</v>
      </c>
      <c r="AG9910">
        <v>-1.117222490551</v>
      </c>
      <c r="AH9910">
        <v>8.5795728782332397</v>
      </c>
      <c r="AI9910">
        <v>96.771983347052796</v>
      </c>
      <c r="AJ9910">
        <v>114.23046407983399</v>
      </c>
      <c r="AK9910">
        <v>9.4745382027096596</v>
      </c>
      <c r="AL9910">
        <v>87.910573526809102</v>
      </c>
      <c r="AM9910">
        <v>102.840524547017</v>
      </c>
      <c r="AN9910">
        <v>1.00000002283655</v>
      </c>
    </row>
    <row r="9911" spans="1:40" x14ac:dyDescent="0.25">
      <c r="A9911" t="str">
        <f>"20190312150915302"</f>
        <v>20190312150915302</v>
      </c>
      <c r="B9911" t="str">
        <f>"1552374555299587"</f>
        <v>1552374555299587</v>
      </c>
      <c r="C9911" t="s">
        <v>40</v>
      </c>
      <c r="D9911">
        <v>4.6693059999999997</v>
      </c>
      <c r="E9911">
        <v>0.4258595</v>
      </c>
      <c r="F9911" t="s">
        <v>73</v>
      </c>
      <c r="G9911">
        <v>-205.14760000000001</v>
      </c>
      <c r="H9911" s="1">
        <v>-4.5418560000000001E-6</v>
      </c>
      <c r="I9911">
        <v>-53.757890000000003</v>
      </c>
      <c r="J9911">
        <v>-212.4135</v>
      </c>
      <c r="K9911">
        <v>1.1172409999999999</v>
      </c>
      <c r="L9911">
        <v>-59.844479999999997</v>
      </c>
      <c r="M9911">
        <v>0.96247419999999995</v>
      </c>
      <c r="N9911">
        <v>0</v>
      </c>
      <c r="O9911">
        <v>0.27109040000000001</v>
      </c>
      <c r="P9911">
        <v>0.87787399999999904</v>
      </c>
      <c r="Q9911">
        <v>2.7764649999999998E-2</v>
      </c>
      <c r="R9911">
        <v>0.47808620000000002</v>
      </c>
      <c r="S9911">
        <v>2.3665159999999998</v>
      </c>
      <c r="T9911">
        <v>-0.35656379999999999</v>
      </c>
      <c r="U9911">
        <v>1.9569700000000001</v>
      </c>
      <c r="V9911">
        <v>-0.22283919999999999</v>
      </c>
      <c r="W9911">
        <v>3.5955130000000002E-2</v>
      </c>
      <c r="X9911">
        <v>0.9741919</v>
      </c>
      <c r="Y9911">
        <v>-0.40359660000000003</v>
      </c>
      <c r="Z9911">
        <v>-7.8971130000000007E-3</v>
      </c>
      <c r="AA9911">
        <v>0.91490289999999996</v>
      </c>
      <c r="AB9911">
        <v>32</v>
      </c>
      <c r="AC9911">
        <v>7.2658999999999798</v>
      </c>
      <c r="AD9911">
        <v>-1.1172455418559999</v>
      </c>
      <c r="AE9911">
        <v>6.0865900000000002</v>
      </c>
      <c r="AF9911">
        <v>-3.8354781699469598</v>
      </c>
      <c r="AG9911">
        <v>-1.1172455418559999</v>
      </c>
      <c r="AH9911">
        <v>8.5254673998688499</v>
      </c>
      <c r="AI9911">
        <v>96.815132179049897</v>
      </c>
      <c r="AJ9911">
        <v>114.222255975672</v>
      </c>
      <c r="AK9911">
        <v>9.4150265416069505</v>
      </c>
      <c r="AL9911">
        <v>87.939478609164993</v>
      </c>
      <c r="AM9911">
        <v>102.884322332043</v>
      </c>
      <c r="AN9911">
        <v>0.999999969227783</v>
      </c>
    </row>
    <row r="9912" spans="1:40" x14ac:dyDescent="0.25">
      <c r="A9912" t="str">
        <f>"20190312150915315"</f>
        <v>20190312150915315</v>
      </c>
      <c r="B9912" t="str">
        <f>"1552374555309349"</f>
        <v>1552374555309349</v>
      </c>
      <c r="C9912" t="s">
        <v>40</v>
      </c>
      <c r="D9912">
        <v>4.6889890000000003</v>
      </c>
      <c r="E9912">
        <v>0.42603730000000001</v>
      </c>
      <c r="F9912" t="s">
        <v>73</v>
      </c>
      <c r="G9912">
        <v>-205.0761</v>
      </c>
      <c r="H9912" s="1">
        <v>-4.5894700000000003E-6</v>
      </c>
      <c r="I9912">
        <v>-53.719569999999997</v>
      </c>
      <c r="J9912">
        <v>-212.25239999999999</v>
      </c>
      <c r="K9912">
        <v>1.1172629999999999</v>
      </c>
      <c r="L9912">
        <v>-59.794490000000003</v>
      </c>
      <c r="M9912">
        <v>0.96120510000000003</v>
      </c>
      <c r="N9912">
        <v>0</v>
      </c>
      <c r="O9912">
        <v>0.27555669999999999</v>
      </c>
      <c r="P9912">
        <v>0.87532579999999904</v>
      </c>
      <c r="Q9912">
        <v>2.7120910000000002E-2</v>
      </c>
      <c r="R9912">
        <v>0.48277239999999999</v>
      </c>
      <c r="S9912">
        <v>2.357132</v>
      </c>
      <c r="T9912">
        <v>-0.35891410000000001</v>
      </c>
      <c r="U9912">
        <v>1.9676210000000001</v>
      </c>
      <c r="V9912">
        <v>-0.2235087</v>
      </c>
      <c r="W9912">
        <v>3.5291320000000001E-2</v>
      </c>
      <c r="X9912">
        <v>0.97406280000000001</v>
      </c>
      <c r="Y9912">
        <v>-0.40359220000000001</v>
      </c>
      <c r="Z9912">
        <v>-8.5015590000000005E-3</v>
      </c>
      <c r="AA9912">
        <v>0.91489949999999998</v>
      </c>
      <c r="AB9912">
        <v>32</v>
      </c>
      <c r="AC9912">
        <v>7.1762999999999897</v>
      </c>
      <c r="AD9912">
        <v>-1.1172675894699999</v>
      </c>
      <c r="AE9912">
        <v>6.0749199999999997</v>
      </c>
      <c r="AF9912">
        <v>-3.8082884654290301</v>
      </c>
      <c r="AG9912">
        <v>-1.1172675894699999</v>
      </c>
      <c r="AH9912">
        <v>8.4531769224560502</v>
      </c>
      <c r="AI9912">
        <v>96.871386172029801</v>
      </c>
      <c r="AJ9912">
        <v>114.252309693173</v>
      </c>
      <c r="AK9912">
        <v>9.3384981653766701</v>
      </c>
      <c r="AL9912">
        <v>87.9775362942827</v>
      </c>
      <c r="AM9912">
        <v>102.923389772514</v>
      </c>
      <c r="AN9912">
        <v>0.99999997729343504</v>
      </c>
    </row>
    <row r="9913" spans="1:40" x14ac:dyDescent="0.25">
      <c r="A9913" t="str">
        <f>"20190312150915324"</f>
        <v>20190312150915324</v>
      </c>
      <c r="B9913" t="str">
        <f>"1552374555319106"</f>
        <v>1552374555319106</v>
      </c>
      <c r="C9913" t="s">
        <v>40</v>
      </c>
      <c r="D9913">
        <v>4.6966890000000001</v>
      </c>
      <c r="E9913">
        <v>0.42603730000000001</v>
      </c>
      <c r="F9913" t="s">
        <v>73</v>
      </c>
      <c r="G9913">
        <v>-204.99700000000001</v>
      </c>
      <c r="H9913" s="1">
        <v>-4.6419350000000003E-6</v>
      </c>
      <c r="I9913">
        <v>-53.678220000000003</v>
      </c>
      <c r="J9913">
        <v>-212.11609999999999</v>
      </c>
      <c r="K9913">
        <v>1.117273</v>
      </c>
      <c r="L9913">
        <v>-59.752009999999999</v>
      </c>
      <c r="M9913">
        <v>0.96011440000000003</v>
      </c>
      <c r="N9913">
        <v>0</v>
      </c>
      <c r="O9913">
        <v>0.279333</v>
      </c>
      <c r="P9913">
        <v>0.87316629999999995</v>
      </c>
      <c r="Q9913">
        <v>2.6644169999999998E-2</v>
      </c>
      <c r="R9913">
        <v>0.48669390000000001</v>
      </c>
      <c r="S9913">
        <v>2.3471980000000001</v>
      </c>
      <c r="T9913">
        <v>-0.36144539999999997</v>
      </c>
      <c r="U9913">
        <v>1.9786680000000001</v>
      </c>
      <c r="V9913">
        <v>-0.22403880000000001</v>
      </c>
      <c r="W9913">
        <v>3.4798099999999998E-2</v>
      </c>
      <c r="X9913">
        <v>0.97395880000000001</v>
      </c>
      <c r="Y9913">
        <v>-0.40442600000000001</v>
      </c>
      <c r="Z9913">
        <v>-8.9788719999999902E-3</v>
      </c>
      <c r="AA9913">
        <v>0.91452659999999997</v>
      </c>
      <c r="AB9913">
        <v>32</v>
      </c>
      <c r="AC9913">
        <v>7.1190999999999702</v>
      </c>
      <c r="AD9913">
        <v>-1.1172776419349999</v>
      </c>
      <c r="AE9913">
        <v>6.0737899999999998</v>
      </c>
      <c r="AF9913">
        <v>-3.78921482997076</v>
      </c>
      <c r="AG9913">
        <v>-1.1172776419349999</v>
      </c>
      <c r="AH9913">
        <v>8.4124982999040707</v>
      </c>
      <c r="AI9913">
        <v>96.904581769577206</v>
      </c>
      <c r="AJ9913">
        <v>114.24807869910499</v>
      </c>
      <c r="AK9913">
        <v>9.2939004730375192</v>
      </c>
      <c r="AL9913">
        <v>88.005813169709199</v>
      </c>
      <c r="AM9913">
        <v>102.954344342585</v>
      </c>
      <c r="AN9913">
        <v>1.00000001788324</v>
      </c>
    </row>
    <row r="9914" spans="1:40" x14ac:dyDescent="0.25">
      <c r="A9914" t="str">
        <f>"20190312150915335"</f>
        <v>20190312150915335</v>
      </c>
      <c r="B9914" t="str">
        <f>"1552374555328867"</f>
        <v>1552374555328867</v>
      </c>
      <c r="C9914" t="s">
        <v>40</v>
      </c>
      <c r="D9914">
        <v>4.6972339999999999</v>
      </c>
      <c r="E9914">
        <v>0.4263805</v>
      </c>
      <c r="F9914" t="s">
        <v>41</v>
      </c>
      <c r="G9914">
        <v>-211.28110000000001</v>
      </c>
      <c r="H9914">
        <v>0.98769779999999996</v>
      </c>
      <c r="I9914">
        <v>-59.041649999999997</v>
      </c>
      <c r="J9914">
        <v>-211.96799999999999</v>
      </c>
      <c r="K9914">
        <v>1.117289</v>
      </c>
      <c r="L9914">
        <v>-59.704619999999998</v>
      </c>
      <c r="M9914">
        <v>0.95890580000000003</v>
      </c>
      <c r="N9914">
        <v>0</v>
      </c>
      <c r="O9914">
        <v>0.28345359999999997</v>
      </c>
      <c r="P9914">
        <v>0.87099340000000003</v>
      </c>
      <c r="Q9914">
        <v>2.6049030000000001E-2</v>
      </c>
      <c r="R9914">
        <v>0.49060389999999998</v>
      </c>
      <c r="S9914">
        <v>2.3380580000000002</v>
      </c>
      <c r="T9914">
        <v>-0.3628188</v>
      </c>
      <c r="U9914">
        <v>1.9892879999999999</v>
      </c>
      <c r="V9914">
        <v>-0.22420880000000001</v>
      </c>
      <c r="W9914">
        <v>3.4194780000000001E-2</v>
      </c>
      <c r="X9914">
        <v>0.97394099999999995</v>
      </c>
      <c r="Y9914">
        <v>-0.40469040000000001</v>
      </c>
      <c r="Z9914">
        <v>-9.5113109999999997E-3</v>
      </c>
      <c r="AA9914">
        <v>0.91440429999999995</v>
      </c>
      <c r="AB9914">
        <v>32</v>
      </c>
      <c r="AC9914">
        <v>0.68689999999997997</v>
      </c>
      <c r="AD9914">
        <v>-0.12959119999999899</v>
      </c>
      <c r="AE9914">
        <v>0.66297000000000095</v>
      </c>
      <c r="AF9914">
        <v>-0.43307501783564101</v>
      </c>
      <c r="AG9914">
        <v>-0.12959119999999899</v>
      </c>
      <c r="AH9914">
        <v>0.83133940155631003</v>
      </c>
      <c r="AI9914">
        <v>97.8711609001504</v>
      </c>
      <c r="AJ9914">
        <v>117.516651027775</v>
      </c>
      <c r="AK9914">
        <v>0.94629437849476095</v>
      </c>
      <c r="AL9914">
        <v>88.040401352118906</v>
      </c>
      <c r="AM9914">
        <v>102.964071041624</v>
      </c>
      <c r="AN9914">
        <v>0.99999997022884302</v>
      </c>
    </row>
    <row r="9915" spans="1:40" x14ac:dyDescent="0.25">
      <c r="A9915" t="str">
        <f>"20190312150915347"</f>
        <v>20190312150915347</v>
      </c>
      <c r="B9915" t="str">
        <f>"1552374555339603"</f>
        <v>1552374555339603</v>
      </c>
      <c r="C9915" t="s">
        <v>40</v>
      </c>
      <c r="D9915">
        <v>4.6979620000000004</v>
      </c>
      <c r="E9915">
        <v>0.4265562</v>
      </c>
      <c r="F9915" t="s">
        <v>73</v>
      </c>
      <c r="G9915">
        <v>-204.89070000000001</v>
      </c>
      <c r="H9915" s="1">
        <v>-4.7062580000000003E-6</v>
      </c>
      <c r="I9915">
        <v>-53.638849999999998</v>
      </c>
      <c r="J9915">
        <v>-211.81190000000001</v>
      </c>
      <c r="K9915">
        <v>1.1173040000000001</v>
      </c>
      <c r="L9915">
        <v>-59.654240000000001</v>
      </c>
      <c r="M9915">
        <v>0.95761160000000001</v>
      </c>
      <c r="N9915">
        <v>0</v>
      </c>
      <c r="O9915">
        <v>0.28779579999999999</v>
      </c>
      <c r="P9915">
        <v>0.86852269999999898</v>
      </c>
      <c r="Q9915">
        <v>2.598754E-2</v>
      </c>
      <c r="R9915">
        <v>0.49496770000000001</v>
      </c>
      <c r="S9915">
        <v>2.3303530000000001</v>
      </c>
      <c r="T9915">
        <v>-0.36789240000000001</v>
      </c>
      <c r="U9915">
        <v>1.9972840000000001</v>
      </c>
      <c r="V9915">
        <v>-0.2246822</v>
      </c>
      <c r="W9915">
        <v>3.4119009999999998E-2</v>
      </c>
      <c r="X9915">
        <v>0.97383459999999999</v>
      </c>
      <c r="Y9915">
        <v>-0.40385910000000003</v>
      </c>
      <c r="Z9915">
        <v>-1.025091E-2</v>
      </c>
      <c r="AA9915">
        <v>0.91476369999999896</v>
      </c>
      <c r="AB9915">
        <v>32</v>
      </c>
      <c r="AC9915">
        <v>6.92119999999999</v>
      </c>
      <c r="AD9915">
        <v>-1.1173087062580001</v>
      </c>
      <c r="AE9915">
        <v>6.01539</v>
      </c>
      <c r="AF9915">
        <v>-3.7136708368284101</v>
      </c>
      <c r="AG9915">
        <v>-1.1173087062580001</v>
      </c>
      <c r="AH9915">
        <v>8.23737445364773</v>
      </c>
      <c r="AI9915">
        <v>97.049044192925606</v>
      </c>
      <c r="AJ9915">
        <v>114.267368735918</v>
      </c>
      <c r="AK9915">
        <v>9.1046179337190196</v>
      </c>
      <c r="AL9915">
        <v>88.044745271823601</v>
      </c>
      <c r="AM9915">
        <v>102.991887336247</v>
      </c>
      <c r="AN9915">
        <v>1.0000000129986899</v>
      </c>
    </row>
    <row r="9916" spans="1:40" x14ac:dyDescent="0.25">
      <c r="A9916" t="str">
        <f>"20190312150915359"</f>
        <v>20190312150915359</v>
      </c>
      <c r="B9916" t="str">
        <f>"1552374555349363"</f>
        <v>1552374555349363</v>
      </c>
      <c r="C9916" t="s">
        <v>40</v>
      </c>
      <c r="D9916">
        <v>4.7049909999999997</v>
      </c>
      <c r="E9916">
        <v>0.42677559999999898</v>
      </c>
      <c r="F9916" t="s">
        <v>41</v>
      </c>
      <c r="G9916">
        <v>-211.0069</v>
      </c>
      <c r="H9916">
        <v>0.98987879999999995</v>
      </c>
      <c r="I9916">
        <v>-58.957920000000001</v>
      </c>
      <c r="J9916">
        <v>-211.66300000000001</v>
      </c>
      <c r="K9916">
        <v>1.1173169999999999</v>
      </c>
      <c r="L9916">
        <v>-59.605319999999899</v>
      </c>
      <c r="M9916">
        <v>0.95635510000000001</v>
      </c>
      <c r="N9916">
        <v>0</v>
      </c>
      <c r="O9916">
        <v>0.29194369999999997</v>
      </c>
      <c r="P9916">
        <v>0.86623600000000001</v>
      </c>
      <c r="Q9916">
        <v>2.5846040000000001E-2</v>
      </c>
      <c r="R9916">
        <v>0.49896620000000003</v>
      </c>
      <c r="S9916">
        <v>2.3209529999999998</v>
      </c>
      <c r="T9916">
        <v>-0.36742399999999997</v>
      </c>
      <c r="U9916">
        <v>2.0076900000000002</v>
      </c>
      <c r="V9916">
        <v>-0.22494839999999999</v>
      </c>
      <c r="W9916">
        <v>3.3968900000000003E-2</v>
      </c>
      <c r="X9916">
        <v>0.97377840000000004</v>
      </c>
      <c r="Y9916">
        <v>-0.40409990000000001</v>
      </c>
      <c r="Z9916">
        <v>-1.0749710000000001E-2</v>
      </c>
      <c r="AA9916">
        <v>0.91465169999999996</v>
      </c>
      <c r="AB9916">
        <v>32</v>
      </c>
      <c r="AC9916">
        <v>0.65609999999998003</v>
      </c>
      <c r="AD9916">
        <v>-0.1274382</v>
      </c>
      <c r="AE9916">
        <v>0.64739999999999698</v>
      </c>
      <c r="AF9916">
        <v>-0.41961178687634099</v>
      </c>
      <c r="AG9916">
        <v>-0.1274382</v>
      </c>
      <c r="AH9916">
        <v>0.80121600448655295</v>
      </c>
      <c r="AI9916">
        <v>98.0202952178402</v>
      </c>
      <c r="AJ9916">
        <v>117.641890808781</v>
      </c>
      <c r="AK9916">
        <v>0.91337923796755505</v>
      </c>
      <c r="AL9916">
        <v>88.053350944308505</v>
      </c>
      <c r="AM9916">
        <v>103.007481950082</v>
      </c>
      <c r="AN9916">
        <v>1.0000000205681601</v>
      </c>
    </row>
    <row r="9917" spans="1:40" x14ac:dyDescent="0.25">
      <c r="A9917" t="str">
        <f>"20190312150915369"</f>
        <v>20190312150915369</v>
      </c>
      <c r="B9917" t="str">
        <f>"1552374555359124"</f>
        <v>1552374555359124</v>
      </c>
      <c r="C9917" t="s">
        <v>40</v>
      </c>
      <c r="D9917">
        <v>4.7099339999999996</v>
      </c>
      <c r="E9917">
        <v>0.42701679999999997</v>
      </c>
      <c r="F9917" t="s">
        <v>73</v>
      </c>
      <c r="G9917">
        <v>-204.6403</v>
      </c>
      <c r="H9917" s="1">
        <v>-4.8689839999999999E-6</v>
      </c>
      <c r="I9917">
        <v>-53.48048</v>
      </c>
      <c r="J9917">
        <v>-211.52080000000001</v>
      </c>
      <c r="K9917">
        <v>1.1173280000000001</v>
      </c>
      <c r="L9917">
        <v>-59.558010000000003</v>
      </c>
      <c r="M9917">
        <v>0.95513650000000005</v>
      </c>
      <c r="N9917">
        <v>0</v>
      </c>
      <c r="O9917">
        <v>0.2959059</v>
      </c>
      <c r="P9917">
        <v>0.86408449999999903</v>
      </c>
      <c r="Q9917">
        <v>2.5685030000000001E-2</v>
      </c>
      <c r="R9917">
        <v>0.502691</v>
      </c>
      <c r="S9917">
        <v>2.3125</v>
      </c>
      <c r="T9917">
        <v>-0.36792249999999999</v>
      </c>
      <c r="U9917">
        <v>2.0168460000000001</v>
      </c>
      <c r="V9917">
        <v>-0.2251001</v>
      </c>
      <c r="W9917">
        <v>3.3802099999999898E-2</v>
      </c>
      <c r="X9917">
        <v>0.97374910000000003</v>
      </c>
      <c r="Y9917">
        <v>-0.40404420000000002</v>
      </c>
      <c r="Z9917">
        <v>-1.1273129999999999E-2</v>
      </c>
      <c r="AA9917">
        <v>0.91466999999999998</v>
      </c>
      <c r="AB9917">
        <v>32</v>
      </c>
      <c r="AC9917">
        <v>6.8805000000000103</v>
      </c>
      <c r="AD9917">
        <v>-1.1173328689839901</v>
      </c>
      <c r="AE9917">
        <v>6.0775299999999799</v>
      </c>
      <c r="AF9917">
        <v>-3.71416125942807</v>
      </c>
      <c r="AG9917">
        <v>-1.1173328689839901</v>
      </c>
      <c r="AH9917">
        <v>8.2486481492129808</v>
      </c>
      <c r="AI9917">
        <v>97.041110675772003</v>
      </c>
      <c r="AJ9917">
        <v>114.240853965651</v>
      </c>
      <c r="AK9917">
        <v>9.1150218261210494</v>
      </c>
      <c r="AL9917">
        <v>88.062913280175195</v>
      </c>
      <c r="AM9917">
        <v>103.016333607389</v>
      </c>
      <c r="AN9917">
        <v>0.99999997336761404</v>
      </c>
    </row>
    <row r="9918" spans="1:40" x14ac:dyDescent="0.25">
      <c r="A9918" t="str">
        <f>"20190312150915380"</f>
        <v>20190312150915380</v>
      </c>
      <c r="B9918" t="str">
        <f>"1552374555368884"</f>
        <v>1552374555368884</v>
      </c>
      <c r="C9918" t="s">
        <v>40</v>
      </c>
      <c r="D9918">
        <v>4.7243180000000002</v>
      </c>
      <c r="E9918">
        <v>0.42722710000000003</v>
      </c>
      <c r="F9918" t="s">
        <v>41</v>
      </c>
      <c r="G9918">
        <v>-210.7012</v>
      </c>
      <c r="H9918">
        <v>0.98625529999999995</v>
      </c>
      <c r="I9918">
        <v>-58.83811</v>
      </c>
      <c r="J9918">
        <v>-211.37559999999999</v>
      </c>
      <c r="K9918">
        <v>1.117337</v>
      </c>
      <c r="L9918">
        <v>-59.50909</v>
      </c>
      <c r="M9918">
        <v>0.95387339999999998</v>
      </c>
      <c r="N9918">
        <v>0</v>
      </c>
      <c r="O9918">
        <v>0.29995229999999901</v>
      </c>
      <c r="P9918">
        <v>0.86182950000000003</v>
      </c>
      <c r="Q9918">
        <v>2.574218E-2</v>
      </c>
      <c r="R9918">
        <v>0.50654449999999995</v>
      </c>
      <c r="S9918">
        <v>2.3047490000000002</v>
      </c>
      <c r="T9918">
        <v>-0.36863780000000002</v>
      </c>
      <c r="U9918">
        <v>2.025055</v>
      </c>
      <c r="V9918">
        <v>-0.2253231</v>
      </c>
      <c r="W9918">
        <v>3.3852130000000001E-2</v>
      </c>
      <c r="X9918">
        <v>0.9736958</v>
      </c>
      <c r="Y9918">
        <v>-0.40355639999999998</v>
      </c>
      <c r="Z9918">
        <v>-1.184443E-2</v>
      </c>
      <c r="AA9918">
        <v>0.91487810000000003</v>
      </c>
      <c r="AB9918">
        <v>32</v>
      </c>
      <c r="AC9918">
        <v>0.67439999999999101</v>
      </c>
      <c r="AD9918">
        <v>-0.1310817</v>
      </c>
      <c r="AE9918">
        <v>0.67098000000000002</v>
      </c>
      <c r="AF9918">
        <v>-0.429619360590346</v>
      </c>
      <c r="AG9918">
        <v>-0.1310817</v>
      </c>
      <c r="AH9918">
        <v>0.82888259191426505</v>
      </c>
      <c r="AI9918">
        <v>97.992297194242099</v>
      </c>
      <c r="AJ9918">
        <v>117.398225637805</v>
      </c>
      <c r="AK9918">
        <v>0.94276272637788305</v>
      </c>
      <c r="AL9918">
        <v>88.060045160208801</v>
      </c>
      <c r="AM9918">
        <v>103.029477625859</v>
      </c>
      <c r="AN9918">
        <v>0.999999988518393</v>
      </c>
    </row>
    <row r="9919" spans="1:40" x14ac:dyDescent="0.25">
      <c r="A9919" t="str">
        <f>"20190312150915392"</f>
        <v>20190312150915392</v>
      </c>
      <c r="B9919" t="str">
        <f>"1552374555389379"</f>
        <v>1552374555389379</v>
      </c>
      <c r="C9919" t="s">
        <v>40</v>
      </c>
      <c r="D9919">
        <v>4.6948239999999997</v>
      </c>
      <c r="E9919">
        <v>0.42766979999999999</v>
      </c>
      <c r="F9919" t="s">
        <v>73</v>
      </c>
      <c r="G9919">
        <v>-204.43190000000001</v>
      </c>
      <c r="H9919" s="1">
        <v>-5.0019180000000004E-6</v>
      </c>
      <c r="I9919">
        <v>-53.359789999999997</v>
      </c>
      <c r="J9919">
        <v>-211.22559999999999</v>
      </c>
      <c r="K9919">
        <v>1.117348</v>
      </c>
      <c r="L9919">
        <v>-59.457610000000003</v>
      </c>
      <c r="M9919">
        <v>0.95254680000000003</v>
      </c>
      <c r="N9919">
        <v>0</v>
      </c>
      <c r="O9919">
        <v>0.304139099999999</v>
      </c>
      <c r="P9919">
        <v>0.85948930000000001</v>
      </c>
      <c r="Q9919">
        <v>2.5738939999999998E-2</v>
      </c>
      <c r="R9919">
        <v>0.5105054</v>
      </c>
      <c r="S9919">
        <v>2.2966000000000002</v>
      </c>
      <c r="T9919">
        <v>-0.36955399999999999</v>
      </c>
      <c r="U9919">
        <v>2.0338440000000002</v>
      </c>
      <c r="V9919">
        <v>-0.2255279</v>
      </c>
      <c r="W9919">
        <v>3.3842120000000003E-2</v>
      </c>
      <c r="X9919">
        <v>0.97364870000000003</v>
      </c>
      <c r="Y9919">
        <v>-0.40313719999999997</v>
      </c>
      <c r="Z9919">
        <v>-1.2438050000000001E-2</v>
      </c>
      <c r="AA9919">
        <v>0.91505499999999995</v>
      </c>
      <c r="AB9919">
        <v>32</v>
      </c>
      <c r="AC9919">
        <v>6.7936999999999701</v>
      </c>
      <c r="AD9919">
        <v>-1.117353001918</v>
      </c>
      <c r="AE9919">
        <v>6.0978199999999898</v>
      </c>
      <c r="AF9919">
        <v>-3.68727843210725</v>
      </c>
      <c r="AG9919">
        <v>-1.117353001918</v>
      </c>
      <c r="AH9919">
        <v>8.2036455724950095</v>
      </c>
      <c r="AI9919">
        <v>97.081587206642894</v>
      </c>
      <c r="AJ9919">
        <v>114.20240510646499</v>
      </c>
      <c r="AK9919">
        <v>9.0633493061834205</v>
      </c>
      <c r="AL9919">
        <v>88.0606189584106</v>
      </c>
      <c r="AM9919">
        <v>103.041525009917</v>
      </c>
      <c r="AN9919">
        <v>0.99999995688809595</v>
      </c>
    </row>
    <row r="9920" spans="1:40" x14ac:dyDescent="0.25">
      <c r="A9920" t="str">
        <f>"20190312150915403"</f>
        <v>20190312150915403</v>
      </c>
      <c r="B9920" t="str">
        <f>"1552374555399138"</f>
        <v>1552374555399138</v>
      </c>
      <c r="C9920" t="s">
        <v>40</v>
      </c>
      <c r="D9920">
        <v>4.7310910000000002</v>
      </c>
      <c r="E9920">
        <v>0.42791210000000002</v>
      </c>
      <c r="F9920" t="s">
        <v>73</v>
      </c>
      <c r="G9920">
        <v>-204.3194</v>
      </c>
      <c r="H9920" s="1">
        <v>-5.0729329999999996E-6</v>
      </c>
      <c r="I9920">
        <v>-53.298000000000002</v>
      </c>
      <c r="J9920">
        <v>-211.08099999999999</v>
      </c>
      <c r="K9920">
        <v>1.1173569999999999</v>
      </c>
      <c r="L9920">
        <v>-59.407589999999999</v>
      </c>
      <c r="M9920">
        <v>0.95124880000000001</v>
      </c>
      <c r="N9920">
        <v>0</v>
      </c>
      <c r="O9920">
        <v>0.30817430000000001</v>
      </c>
      <c r="P9920">
        <v>0.85723320000000003</v>
      </c>
      <c r="Q9920">
        <v>2.5913039999999998E-2</v>
      </c>
      <c r="R9920">
        <v>0.51427579999999995</v>
      </c>
      <c r="S9920">
        <v>2.2889400000000002</v>
      </c>
      <c r="T9920">
        <v>-0.37032900000000002</v>
      </c>
      <c r="U9920">
        <v>2.0415040000000002</v>
      </c>
      <c r="V9920">
        <v>-0.2256831</v>
      </c>
      <c r="W9920">
        <v>3.4011300000000001E-2</v>
      </c>
      <c r="X9920">
        <v>0.97360690000000005</v>
      </c>
      <c r="Y9920">
        <v>-0.40251110000000001</v>
      </c>
      <c r="Z9920">
        <v>-1.3025500000000001E-2</v>
      </c>
      <c r="AA9920">
        <v>0.91532239999999998</v>
      </c>
      <c r="AB9920">
        <v>32</v>
      </c>
      <c r="AC9920">
        <v>6.7615999999999801</v>
      </c>
      <c r="AD9920">
        <v>-1.1173620729329901</v>
      </c>
      <c r="AE9920">
        <v>6.1095899999999901</v>
      </c>
      <c r="AF9920">
        <v>-3.6730566666387099</v>
      </c>
      <c r="AG9920">
        <v>-1.1173620729329901</v>
      </c>
      <c r="AH9920">
        <v>8.1922636802464606</v>
      </c>
      <c r="AI9920">
        <v>97.094298454925806</v>
      </c>
      <c r="AJ9920">
        <v>114.14940059516501</v>
      </c>
      <c r="AK9920">
        <v>9.0472662990017891</v>
      </c>
      <c r="AL9920">
        <v>88.050920183875505</v>
      </c>
      <c r="AM9920">
        <v>103.050733722019</v>
      </c>
      <c r="AN9920">
        <v>1.00000001294045</v>
      </c>
    </row>
    <row r="9921" spans="1:40" x14ac:dyDescent="0.25">
      <c r="A9921" t="str">
        <f>"20190312150915413"</f>
        <v>20190312150915413</v>
      </c>
      <c r="B9921" t="str">
        <f>"1552374555408899"</f>
        <v>1552374555408899</v>
      </c>
      <c r="C9921" t="s">
        <v>40</v>
      </c>
      <c r="D9921">
        <v>4.7072310000000002</v>
      </c>
      <c r="E9921">
        <v>0.42813859999999898</v>
      </c>
      <c r="F9921" t="s">
        <v>73</v>
      </c>
      <c r="G9921">
        <v>-204.1935</v>
      </c>
      <c r="H9921" s="1">
        <v>-5.1548320000000002E-6</v>
      </c>
      <c r="I9921">
        <v>-53.217970000000001</v>
      </c>
      <c r="J9921">
        <v>-210.9331</v>
      </c>
      <c r="K9921">
        <v>1.1173649999999999</v>
      </c>
      <c r="L9921">
        <v>-59.355350000000001</v>
      </c>
      <c r="M9921">
        <v>0.94990090000000005</v>
      </c>
      <c r="N9921">
        <v>0</v>
      </c>
      <c r="O9921">
        <v>0.31230429999999998</v>
      </c>
      <c r="P9921">
        <v>0.85497780000000001</v>
      </c>
      <c r="Q9921">
        <v>2.589431E-2</v>
      </c>
      <c r="R9921">
        <v>0.51801779999999997</v>
      </c>
      <c r="S9921">
        <v>2.2810060000000001</v>
      </c>
      <c r="T9921">
        <v>-0.37005100000000002</v>
      </c>
      <c r="U9921">
        <v>2.0498959999999999</v>
      </c>
      <c r="V9921">
        <v>-0.22570879999999999</v>
      </c>
      <c r="W9921">
        <v>3.3989859999999997E-2</v>
      </c>
      <c r="X9921">
        <v>0.97360170000000001</v>
      </c>
      <c r="Y9921">
        <v>-0.4020108</v>
      </c>
      <c r="Z9921">
        <v>-1.358007E-2</v>
      </c>
      <c r="AA9921">
        <v>0.91553419999999996</v>
      </c>
      <c r="AB9921">
        <v>32</v>
      </c>
      <c r="AC9921">
        <v>6.7395999999999896</v>
      </c>
      <c r="AD9921">
        <v>-1.1173701548320001</v>
      </c>
      <c r="AE9921">
        <v>6.1373800000000003</v>
      </c>
      <c r="AF9921">
        <v>-3.67023472030183</v>
      </c>
      <c r="AG9921">
        <v>-1.1173701548320001</v>
      </c>
      <c r="AH9921">
        <v>8.1961674412410996</v>
      </c>
      <c r="AI9921">
        <v>97.092465900225307</v>
      </c>
      <c r="AJ9921">
        <v>114.12278242982801</v>
      </c>
      <c r="AK9921">
        <v>9.0496574349463099</v>
      </c>
      <c r="AL9921">
        <v>88.052149332937006</v>
      </c>
      <c r="AM9921">
        <v>103.052236336286</v>
      </c>
      <c r="AN9921">
        <v>1.0000000216115701</v>
      </c>
    </row>
    <row r="9922" spans="1:40" x14ac:dyDescent="0.25">
      <c r="A9922" t="str">
        <f>"20190312150915424"</f>
        <v>20190312150915424</v>
      </c>
      <c r="B9922" t="str">
        <f>"1552374555419635"</f>
        <v>1552374555419635</v>
      </c>
      <c r="C9922" t="s">
        <v>40</v>
      </c>
      <c r="D9922">
        <v>4.7240460000000004</v>
      </c>
      <c r="E9922">
        <v>0.42838510000000002</v>
      </c>
      <c r="F9922" t="s">
        <v>73</v>
      </c>
      <c r="G9922">
        <v>-204.07149999999999</v>
      </c>
      <c r="H9922" s="1">
        <v>-5.2340080000000004E-6</v>
      </c>
      <c r="I9922">
        <v>-53.141190000000002</v>
      </c>
      <c r="J9922">
        <v>-210.792</v>
      </c>
      <c r="K9922">
        <v>1.1173729999999999</v>
      </c>
      <c r="L9922">
        <v>-59.305300000000003</v>
      </c>
      <c r="M9922">
        <v>0.94859729999999998</v>
      </c>
      <c r="N9922">
        <v>0</v>
      </c>
      <c r="O9922">
        <v>0.31624190000000002</v>
      </c>
      <c r="P9922">
        <v>0.85275080000000003</v>
      </c>
      <c r="Q9922">
        <v>2.6000909999999999E-2</v>
      </c>
      <c r="R9922">
        <v>0.52167050000000004</v>
      </c>
      <c r="S9922">
        <v>2.272888</v>
      </c>
      <c r="T9922">
        <v>-0.37012919999999999</v>
      </c>
      <c r="U9922">
        <v>2.0584410000000002</v>
      </c>
      <c r="V9922">
        <v>-0.22583890000000001</v>
      </c>
      <c r="W9922">
        <v>3.409185E-2</v>
      </c>
      <c r="X9922">
        <v>0.97356799999999999</v>
      </c>
      <c r="Y9922">
        <v>-0.40175729999999998</v>
      </c>
      <c r="Z9922">
        <v>-1.410696E-2</v>
      </c>
      <c r="AA9922">
        <v>0.91563760000000005</v>
      </c>
      <c r="AB9922">
        <v>32</v>
      </c>
      <c r="AC9922">
        <v>6.7205000000000101</v>
      </c>
      <c r="AD9922">
        <v>-1.1173782340079901</v>
      </c>
      <c r="AE9922">
        <v>6.16411</v>
      </c>
      <c r="AF9922">
        <v>-3.6671845804666199</v>
      </c>
      <c r="AG9922">
        <v>-1.1173782340079901</v>
      </c>
      <c r="AH9922">
        <v>8.2019016460767098</v>
      </c>
      <c r="AI9922">
        <v>97.089400207817206</v>
      </c>
      <c r="AJ9922">
        <v>114.090084292188</v>
      </c>
      <c r="AK9922">
        <v>9.0536162651706693</v>
      </c>
      <c r="AL9922">
        <v>88.0463024166298</v>
      </c>
      <c r="AM9922">
        <v>103.059938477869</v>
      </c>
      <c r="AN9922">
        <v>1.0000000568068099</v>
      </c>
    </row>
    <row r="9923" spans="1:40" x14ac:dyDescent="0.25">
      <c r="A9923" t="str">
        <f>"20190312150915436"</f>
        <v>20190312150915436</v>
      </c>
      <c r="B9923" t="str">
        <f>"1552374555429394"</f>
        <v>1552374555429394</v>
      </c>
      <c r="C9923" t="s">
        <v>40</v>
      </c>
      <c r="D9923">
        <v>4.7221900000000003</v>
      </c>
      <c r="E9923">
        <v>0.4286179</v>
      </c>
      <c r="F9923" t="s">
        <v>41</v>
      </c>
      <c r="G9923">
        <v>-209.98220000000001</v>
      </c>
      <c r="H9923">
        <v>0.98508169999999995</v>
      </c>
      <c r="I9923">
        <v>-58.566609999999997</v>
      </c>
      <c r="J9923">
        <v>-210.63900000000001</v>
      </c>
      <c r="K9923">
        <v>1.117381</v>
      </c>
      <c r="L9923">
        <v>-59.24973</v>
      </c>
      <c r="M9923">
        <v>0.94716109999999998</v>
      </c>
      <c r="N9923">
        <v>0</v>
      </c>
      <c r="O9923">
        <v>0.3205173</v>
      </c>
      <c r="P9923">
        <v>0.85024040000000001</v>
      </c>
      <c r="Q9923">
        <v>2.5898870000000001E-2</v>
      </c>
      <c r="R9923">
        <v>0.52575709999999998</v>
      </c>
      <c r="S9923">
        <v>2.2651059999999998</v>
      </c>
      <c r="T9923">
        <v>-0.37007180000000001</v>
      </c>
      <c r="U9923">
        <v>2.0665279999999999</v>
      </c>
      <c r="V9923">
        <v>-0.22611829999999999</v>
      </c>
      <c r="W9923">
        <v>3.3982709999999999E-2</v>
      </c>
      <c r="X9923">
        <v>0.97350689999999995</v>
      </c>
      <c r="Y9923">
        <v>-0.40100960000000002</v>
      </c>
      <c r="Z9923">
        <v>-1.470488E-2</v>
      </c>
      <c r="AA9923">
        <v>0.91595579999999999</v>
      </c>
      <c r="AB9923">
        <v>32</v>
      </c>
      <c r="AC9923">
        <v>0.65680000000000405</v>
      </c>
      <c r="AD9923">
        <v>-0.13229929999999901</v>
      </c>
      <c r="AE9923">
        <v>0.68312000000000905</v>
      </c>
      <c r="AF9923">
        <v>-0.42819694302033401</v>
      </c>
      <c r="AG9923">
        <v>-0.13229929999999901</v>
      </c>
      <c r="AH9923">
        <v>0.82503200264280296</v>
      </c>
      <c r="AI9923">
        <v>98.1004382037748</v>
      </c>
      <c r="AJ9923">
        <v>117.429604388499</v>
      </c>
      <c r="AK9923">
        <v>0.93890017157163397</v>
      </c>
      <c r="AL9923">
        <v>88.052559187111996</v>
      </c>
      <c r="AM9923">
        <v>103.076333387571</v>
      </c>
      <c r="AN9923">
        <v>0.99999999726072097</v>
      </c>
    </row>
    <row r="9924" spans="1:40" x14ac:dyDescent="0.25">
      <c r="A9924" t="str">
        <f>"20190312150915447"</f>
        <v>20190312150915447</v>
      </c>
      <c r="B9924" t="str">
        <f>"1552374555439155"</f>
        <v>1552374555439155</v>
      </c>
      <c r="C9924" t="s">
        <v>40</v>
      </c>
      <c r="D9924">
        <v>4.7254930000000002</v>
      </c>
      <c r="E9924">
        <v>0.42886930000000001</v>
      </c>
      <c r="F9924" t="s">
        <v>73</v>
      </c>
      <c r="G9924">
        <v>-203.83109999999999</v>
      </c>
      <c r="H9924" s="1">
        <v>-5.3911449999999997E-6</v>
      </c>
      <c r="I9924">
        <v>-52.985050000000001</v>
      </c>
      <c r="J9924">
        <v>-210.48830000000001</v>
      </c>
      <c r="K9924">
        <v>1.1173900000000001</v>
      </c>
      <c r="L9924">
        <v>-59.194580000000002</v>
      </c>
      <c r="M9924">
        <v>0.94572670000000003</v>
      </c>
      <c r="N9924">
        <v>0</v>
      </c>
      <c r="O9924">
        <v>0.3247254</v>
      </c>
      <c r="P9924">
        <v>0.8478793</v>
      </c>
      <c r="Q9924">
        <v>2.5951519999999999E-2</v>
      </c>
      <c r="R9924">
        <v>0.52955390000000002</v>
      </c>
      <c r="S9924">
        <v>2.2559969999999998</v>
      </c>
      <c r="T9924">
        <v>-0.37027929999999998</v>
      </c>
      <c r="U9924">
        <v>2.0759889999999999</v>
      </c>
      <c r="V9924">
        <v>-0.22614529999999999</v>
      </c>
      <c r="W9924">
        <v>3.40337E-2</v>
      </c>
      <c r="X9924">
        <v>0.97349889999999994</v>
      </c>
      <c r="Y9924">
        <v>-0.40088610000000002</v>
      </c>
      <c r="Z9924">
        <v>-1.526487E-2</v>
      </c>
      <c r="AA9924">
        <v>0.9160007</v>
      </c>
      <c r="AB9924">
        <v>32</v>
      </c>
      <c r="AC9924">
        <v>6.6572000000000102</v>
      </c>
      <c r="AD9924">
        <v>-1.1173953911450001</v>
      </c>
      <c r="AE9924">
        <v>6.20953</v>
      </c>
      <c r="AF9924">
        <v>-3.6559642028940198</v>
      </c>
      <c r="AG9924">
        <v>-1.1173953911450001</v>
      </c>
      <c r="AH9924">
        <v>8.1895466181860197</v>
      </c>
      <c r="AI9924">
        <v>97.101915049971893</v>
      </c>
      <c r="AJ9924">
        <v>114.05686295924301</v>
      </c>
      <c r="AK9924">
        <v>9.0378825243768599</v>
      </c>
      <c r="AL9924">
        <v>88.049636085095102</v>
      </c>
      <c r="AM9924">
        <v>103.077944897888</v>
      </c>
      <c r="AN9924">
        <v>1.00000004887449</v>
      </c>
    </row>
    <row r="9925" spans="1:40" x14ac:dyDescent="0.25">
      <c r="A9925" t="str">
        <f>"20190312150915458"</f>
        <v>20190312150915458</v>
      </c>
      <c r="B9925" t="str">
        <f>"1552374555448915"</f>
        <v>1552374555448915</v>
      </c>
      <c r="C9925" t="s">
        <v>40</v>
      </c>
      <c r="D9925">
        <v>4.7256260000000001</v>
      </c>
      <c r="E9925">
        <v>0.42909330000000001</v>
      </c>
      <c r="F9925" t="s">
        <v>41</v>
      </c>
      <c r="G9925">
        <v>-209.6893</v>
      </c>
      <c r="H9925">
        <v>0.98571010000000003</v>
      </c>
      <c r="I9925">
        <v>-58.453609999999998</v>
      </c>
      <c r="J9925">
        <v>-210.33840000000001</v>
      </c>
      <c r="K9925">
        <v>1.1173979999999999</v>
      </c>
      <c r="L9925">
        <v>-59.138820000000003</v>
      </c>
      <c r="M9925">
        <v>0.94427830000000001</v>
      </c>
      <c r="N9925">
        <v>0</v>
      </c>
      <c r="O9925">
        <v>0.32891320000000002</v>
      </c>
      <c r="P9925">
        <v>0.84551069999999995</v>
      </c>
      <c r="Q9925">
        <v>2.5872200000000001E-2</v>
      </c>
      <c r="R9925">
        <v>0.53333149999999996</v>
      </c>
      <c r="S9925">
        <v>2.2477109999999998</v>
      </c>
      <c r="T9925">
        <v>-0.37044250000000001</v>
      </c>
      <c r="U9925">
        <v>2.084473</v>
      </c>
      <c r="V9925">
        <v>-0.22617280000000001</v>
      </c>
      <c r="W9925">
        <v>3.3952690000000001E-2</v>
      </c>
      <c r="X9925">
        <v>0.97349529999999995</v>
      </c>
      <c r="Y9925">
        <v>-0.40039789999999997</v>
      </c>
      <c r="Z9925">
        <v>-1.58452E-2</v>
      </c>
      <c r="AA9925">
        <v>0.91620440000000003</v>
      </c>
      <c r="AB9925">
        <v>32</v>
      </c>
      <c r="AC9925">
        <v>0.64910000000000401</v>
      </c>
      <c r="AD9925">
        <v>-0.131687899999999</v>
      </c>
      <c r="AE9925">
        <v>0.68520999999999699</v>
      </c>
      <c r="AF9925">
        <v>-0.42528601497186003</v>
      </c>
      <c r="AG9925">
        <v>-0.131687899999999</v>
      </c>
      <c r="AH9925">
        <v>0.82236186958976099</v>
      </c>
      <c r="AI9925">
        <v>98.095380903561207</v>
      </c>
      <c r="AJ9925">
        <v>117.34583159255</v>
      </c>
      <c r="AK9925">
        <v>0.93514113485196604</v>
      </c>
      <c r="AL9925">
        <v>88.054280224104204</v>
      </c>
      <c r="AM9925">
        <v>103.07952724998501</v>
      </c>
      <c r="AN9925">
        <v>1.0000000098700801</v>
      </c>
    </row>
    <row r="9926" spans="1:40" x14ac:dyDescent="0.25">
      <c r="A9926" t="str">
        <f>"20190312150915470"</f>
        <v>20190312150915470</v>
      </c>
      <c r="B9926" t="str">
        <f>"1552374555459651"</f>
        <v>1552374555459651</v>
      </c>
      <c r="C9926" t="s">
        <v>40</v>
      </c>
      <c r="D9926">
        <v>4.7446840000000003</v>
      </c>
      <c r="E9926">
        <v>0.4293167</v>
      </c>
      <c r="F9926" t="s">
        <v>73</v>
      </c>
      <c r="G9926">
        <v>-203.59829999999999</v>
      </c>
      <c r="H9926" s="1">
        <v>-5.5249950000000001E-6</v>
      </c>
      <c r="I9926">
        <v>-52.838250000000002</v>
      </c>
      <c r="J9926">
        <v>-210.20259999999999</v>
      </c>
      <c r="K9926">
        <v>1.1174040000000001</v>
      </c>
      <c r="L9926">
        <v>-59.087710000000001</v>
      </c>
      <c r="M9926">
        <v>0.94294739999999999</v>
      </c>
      <c r="N9926">
        <v>0</v>
      </c>
      <c r="O9926">
        <v>0.33270939999999999</v>
      </c>
      <c r="P9926">
        <v>0.84336480000000003</v>
      </c>
      <c r="Q9926">
        <v>2.5965180000000001E-2</v>
      </c>
      <c r="R9926">
        <v>0.53671380000000002</v>
      </c>
      <c r="S9926">
        <v>2.239182</v>
      </c>
      <c r="T9926">
        <v>-0.37121710000000002</v>
      </c>
      <c r="U9926">
        <v>2.09314</v>
      </c>
      <c r="V9926">
        <v>-0.22615859999999999</v>
      </c>
      <c r="W9926">
        <v>3.4044659999999997E-2</v>
      </c>
      <c r="X9926">
        <v>0.97349540000000001</v>
      </c>
      <c r="Y9926">
        <v>-0.40036690000000003</v>
      </c>
      <c r="Z9926">
        <v>-1.6373169999999999E-2</v>
      </c>
      <c r="AA9926">
        <v>0.91620860000000004</v>
      </c>
      <c r="AB9926">
        <v>32</v>
      </c>
      <c r="AC9926">
        <v>6.6042999999999896</v>
      </c>
      <c r="AD9926">
        <v>-1.117409524995</v>
      </c>
      <c r="AE9926">
        <v>6.2494599999999902</v>
      </c>
      <c r="AF9926">
        <v>-3.6408966747512501</v>
      </c>
      <c r="AG9926">
        <v>-1.117409524995</v>
      </c>
      <c r="AH9926">
        <v>8.1838039458803102</v>
      </c>
      <c r="AI9926">
        <v>97.110933720643501</v>
      </c>
      <c r="AJ9926">
        <v>113.983827202819</v>
      </c>
      <c r="AK9926">
        <v>9.0265929157888998</v>
      </c>
      <c r="AL9926">
        <v>88.049007707839095</v>
      </c>
      <c r="AM9926">
        <v>103.07873300020999</v>
      </c>
      <c r="AN9926">
        <v>1.00000002252481</v>
      </c>
    </row>
    <row r="9927" spans="1:40" x14ac:dyDescent="0.25">
      <c r="A9927" t="str">
        <f>"20190312150915482"</f>
        <v>20190312150915482</v>
      </c>
      <c r="B9927" t="str">
        <f>"1552374555469411"</f>
        <v>1552374555469411</v>
      </c>
      <c r="C9927" t="s">
        <v>40</v>
      </c>
      <c r="D9927">
        <v>4.7439530000000003</v>
      </c>
      <c r="E9927">
        <v>0.42951879999999998</v>
      </c>
      <c r="F9927" t="s">
        <v>41</v>
      </c>
      <c r="G9927">
        <v>-209.38980000000001</v>
      </c>
      <c r="H9927">
        <v>0.9821278</v>
      </c>
      <c r="I9927">
        <v>-58.322690000000001</v>
      </c>
      <c r="J9927">
        <v>-210.0369</v>
      </c>
      <c r="K9927">
        <v>1.1174109999999999</v>
      </c>
      <c r="L9927">
        <v>-59.024540000000002</v>
      </c>
      <c r="M9927">
        <v>0.94129969999999996</v>
      </c>
      <c r="N9927">
        <v>0</v>
      </c>
      <c r="O9927">
        <v>0.33734259999999999</v>
      </c>
      <c r="P9927">
        <v>0.84078519999999901</v>
      </c>
      <c r="Q9927">
        <v>2.6074989999999999E-2</v>
      </c>
      <c r="R9927">
        <v>0.54074060000000002</v>
      </c>
      <c r="S9927">
        <v>2.231735</v>
      </c>
      <c r="T9927">
        <v>-0.37144939999999999</v>
      </c>
      <c r="U9927">
        <v>2.1007389999999999</v>
      </c>
      <c r="V9927">
        <v>-0.22603019999999999</v>
      </c>
      <c r="W9927">
        <v>3.4155699999999997E-2</v>
      </c>
      <c r="X9927">
        <v>0.97352130000000003</v>
      </c>
      <c r="Y9927">
        <v>-0.39907740000000003</v>
      </c>
      <c r="Z9927">
        <v>-1.706862E-2</v>
      </c>
      <c r="AA9927">
        <v>0.91675839999999997</v>
      </c>
      <c r="AB9927">
        <v>32</v>
      </c>
      <c r="AC9927">
        <v>0.64709999999999401</v>
      </c>
      <c r="AD9927">
        <v>-0.13528319999999999</v>
      </c>
      <c r="AE9927">
        <v>0.70184999999999997</v>
      </c>
      <c r="AF9927">
        <v>-0.43368176819550902</v>
      </c>
      <c r="AG9927">
        <v>-0.13528319999999999</v>
      </c>
      <c r="AH9927">
        <v>0.829290463966602</v>
      </c>
      <c r="AI9927">
        <v>98.225556907874704</v>
      </c>
      <c r="AJ9927">
        <v>117.607552022498</v>
      </c>
      <c r="AK9927">
        <v>0.94557077677631596</v>
      </c>
      <c r="AL9927">
        <v>88.0426418233059</v>
      </c>
      <c r="AM9927">
        <v>103.071226871883</v>
      </c>
      <c r="AN9927">
        <v>0.99999999235410997</v>
      </c>
    </row>
    <row r="9928" spans="1:40" x14ac:dyDescent="0.25">
      <c r="A9928" t="str">
        <f>"20190312150915493"</f>
        <v>20190312150915493</v>
      </c>
      <c r="B9928" t="str">
        <f>"1552374555488931"</f>
        <v>1552374555488931</v>
      </c>
      <c r="C9928" t="s">
        <v>40</v>
      </c>
      <c r="D9928">
        <v>4.768859</v>
      </c>
      <c r="E9928">
        <v>0.42994769999999999</v>
      </c>
      <c r="F9928" t="s">
        <v>73</v>
      </c>
      <c r="G9928">
        <v>-203.3518</v>
      </c>
      <c r="H9928" s="1">
        <v>-5.6434089999999997E-6</v>
      </c>
      <c r="I9928">
        <v>-52.677219999999998</v>
      </c>
      <c r="J9928">
        <v>-209.89599999999999</v>
      </c>
      <c r="K9928">
        <v>1.1174120000000001</v>
      </c>
      <c r="L9928">
        <v>-58.969850000000001</v>
      </c>
      <c r="M9928">
        <v>0.93987779999999999</v>
      </c>
      <c r="N9928">
        <v>0</v>
      </c>
      <c r="O9928">
        <v>0.34128429999999998</v>
      </c>
      <c r="P9928">
        <v>0.83865460000000003</v>
      </c>
      <c r="Q9928">
        <v>2.6167019999999999E-2</v>
      </c>
      <c r="R9928">
        <v>0.54403480000000004</v>
      </c>
      <c r="S9928">
        <v>2.2224729999999999</v>
      </c>
      <c r="T9928">
        <v>-0.37149100000000002</v>
      </c>
      <c r="U9928">
        <v>2.1101990000000002</v>
      </c>
      <c r="V9928">
        <v>-0.22577269999999999</v>
      </c>
      <c r="W9928">
        <v>3.4252449999999997E-2</v>
      </c>
      <c r="X9928">
        <v>0.97357769999999999</v>
      </c>
      <c r="Y9928">
        <v>-0.39921869999999998</v>
      </c>
      <c r="Z9928">
        <v>-1.757415E-2</v>
      </c>
      <c r="AA9928">
        <v>0.91668729999999998</v>
      </c>
      <c r="AB9928">
        <v>32</v>
      </c>
      <c r="AC9928">
        <v>6.5441999999999796</v>
      </c>
      <c r="AD9928">
        <v>-1.117417643409</v>
      </c>
      <c r="AE9928">
        <v>6.2926299999999999</v>
      </c>
      <c r="AF9928">
        <v>-3.6262223837176002</v>
      </c>
      <c r="AG9928">
        <v>-1.117417643409</v>
      </c>
      <c r="AH9928">
        <v>8.1751228366048192</v>
      </c>
      <c r="AI9928">
        <v>97.121916485446505</v>
      </c>
      <c r="AJ9928">
        <v>113.920538971345</v>
      </c>
      <c r="AK9928">
        <v>9.0128100146155301</v>
      </c>
      <c r="AL9928">
        <v>88.037095304989606</v>
      </c>
      <c r="AM9928">
        <v>103.056115775492</v>
      </c>
      <c r="AN9928">
        <v>1.0000000401667899</v>
      </c>
    </row>
    <row r="9929" spans="1:40" x14ac:dyDescent="0.25">
      <c r="A9929" t="str">
        <f>"20190312150915504"</f>
        <v>20190312150915504</v>
      </c>
      <c r="B9929" t="str">
        <f>"1552374555499667"</f>
        <v>1552374555499667</v>
      </c>
      <c r="C9929" t="s">
        <v>40</v>
      </c>
      <c r="D9929">
        <v>4.7345160000000002</v>
      </c>
      <c r="E9929">
        <v>0.43010759999999998</v>
      </c>
      <c r="F9929" t="s">
        <v>73</v>
      </c>
      <c r="G9929">
        <v>-203.25280000000001</v>
      </c>
      <c r="H9929" s="1">
        <v>-5.688989E-6</v>
      </c>
      <c r="I9929">
        <v>-52.625439999999998</v>
      </c>
      <c r="J9929">
        <v>-209.74860000000001</v>
      </c>
      <c r="K9929">
        <v>1.1174189999999999</v>
      </c>
      <c r="L9929">
        <v>-58.912379999999999</v>
      </c>
      <c r="M9929">
        <v>0.93837040000000005</v>
      </c>
      <c r="N9929">
        <v>0</v>
      </c>
      <c r="O9929">
        <v>0.34540729999999997</v>
      </c>
      <c r="P9929">
        <v>0.83643419999999902</v>
      </c>
      <c r="Q9929">
        <v>2.6282079999999999E-2</v>
      </c>
      <c r="R9929">
        <v>0.54743679999999995</v>
      </c>
      <c r="S9929">
        <v>2.2159580000000001</v>
      </c>
      <c r="T9929">
        <v>-0.37273119999999998</v>
      </c>
      <c r="U9929">
        <v>2.1162719999999999</v>
      </c>
      <c r="V9929">
        <v>-0.2254565</v>
      </c>
      <c r="W9929">
        <v>3.4372529999999998E-2</v>
      </c>
      <c r="X9929">
        <v>0.97364669999999998</v>
      </c>
      <c r="Y9929">
        <v>-0.39788509999999999</v>
      </c>
      <c r="Z9929">
        <v>-1.8258969999999999E-2</v>
      </c>
      <c r="AA9929">
        <v>0.9172536</v>
      </c>
      <c r="AB9929">
        <v>32</v>
      </c>
      <c r="AC9929">
        <v>6.4958</v>
      </c>
      <c r="AD9929">
        <v>-1.117424688989</v>
      </c>
      <c r="AE9929">
        <v>6.2869400000000004</v>
      </c>
      <c r="AF9929">
        <v>-3.6010433116859</v>
      </c>
      <c r="AG9929">
        <v>-1.117424688989</v>
      </c>
      <c r="AH9929">
        <v>8.1432385509679293</v>
      </c>
      <c r="AI9929">
        <v>97.153109864873201</v>
      </c>
      <c r="AJ9929">
        <v>113.855621782932</v>
      </c>
      <c r="AK9929">
        <v>8.9737664871652498</v>
      </c>
      <c r="AL9929">
        <v>88.030211095830595</v>
      </c>
      <c r="AM9929">
        <v>103.03756312652899</v>
      </c>
      <c r="AN9929">
        <v>1.00000000031587</v>
      </c>
    </row>
    <row r="9930" spans="1:40" x14ac:dyDescent="0.25">
      <c r="A9930" t="str">
        <f>"20190312150915516"</f>
        <v>20190312150915516</v>
      </c>
      <c r="B9930" t="str">
        <f>"1552374555509426"</f>
        <v>1552374555509426</v>
      </c>
      <c r="C9930" t="s">
        <v>40</v>
      </c>
      <c r="D9930">
        <v>4.8610629999999997</v>
      </c>
      <c r="E9930">
        <v>0.43005019999999999</v>
      </c>
      <c r="F9930" t="s">
        <v>73</v>
      </c>
      <c r="G9930">
        <v>-203.1276</v>
      </c>
      <c r="H9930" s="1">
        <v>-5.7494079999999998E-6</v>
      </c>
      <c r="I9930">
        <v>-52.541899999999998</v>
      </c>
      <c r="J9930">
        <v>-209.6019</v>
      </c>
      <c r="K9930">
        <v>1.117426</v>
      </c>
      <c r="L9930">
        <v>-58.853909999999999</v>
      </c>
      <c r="M9930">
        <v>0.93684639999999997</v>
      </c>
      <c r="N9930">
        <v>0</v>
      </c>
      <c r="O9930">
        <v>0.34951939999999998</v>
      </c>
      <c r="P9930">
        <v>0.83404500000000004</v>
      </c>
      <c r="Q9930">
        <v>2.6362880000000002E-2</v>
      </c>
      <c r="R9930">
        <v>0.5510661</v>
      </c>
      <c r="S9930">
        <v>2.2079620000000002</v>
      </c>
      <c r="T9930">
        <v>-0.37263750000000001</v>
      </c>
      <c r="U9930">
        <v>2.1244200000000002</v>
      </c>
      <c r="V9930">
        <v>-0.22542010000000001</v>
      </c>
      <c r="W9930">
        <v>3.4453070000000002E-2</v>
      </c>
      <c r="X9930">
        <v>0.97365219999999997</v>
      </c>
      <c r="Y9930">
        <v>-0.39730910000000003</v>
      </c>
      <c r="Z9930">
        <v>-1.8828540000000001E-2</v>
      </c>
      <c r="AA9930">
        <v>0.91749170000000002</v>
      </c>
      <c r="AB9930">
        <v>32</v>
      </c>
      <c r="AC9930">
        <v>6.4743000000000004</v>
      </c>
      <c r="AD9930">
        <v>-1.1174317494079999</v>
      </c>
      <c r="AE9930">
        <v>6.3120099999999999</v>
      </c>
      <c r="AF9930">
        <v>-3.59585547431519</v>
      </c>
      <c r="AG9930">
        <v>-1.1174317494079999</v>
      </c>
      <c r="AH9930">
        <v>8.1477981034418807</v>
      </c>
      <c r="AI9930">
        <v>97.151505784100706</v>
      </c>
      <c r="AJ9930">
        <v>113.81323432628599</v>
      </c>
      <c r="AK9930">
        <v>8.9758255464998093</v>
      </c>
      <c r="AL9930">
        <v>88.025593602336002</v>
      </c>
      <c r="AM9930">
        <v>103.035458982346</v>
      </c>
      <c r="AN9930">
        <v>0.99999992104063395</v>
      </c>
    </row>
    <row r="9931" spans="1:40" x14ac:dyDescent="0.25">
      <c r="A9931" t="str">
        <f>"20190312150915526"</f>
        <v>20190312150915526</v>
      </c>
      <c r="B9931" t="str">
        <f>"1552374555519187"</f>
        <v>1552374555519187</v>
      </c>
      <c r="C9931" t="s">
        <v>40</v>
      </c>
      <c r="D9931">
        <v>4.8015049999999997</v>
      </c>
      <c r="E9931">
        <v>0.42982579999999998</v>
      </c>
      <c r="F9931" t="s">
        <v>73</v>
      </c>
      <c r="G9931">
        <v>-203.00909999999999</v>
      </c>
      <c r="H9931" s="1">
        <v>-5.8081880000000002E-6</v>
      </c>
      <c r="I9931">
        <v>-52.452620000000003</v>
      </c>
      <c r="J9931">
        <v>-209.45750000000001</v>
      </c>
      <c r="K9931">
        <v>1.1174299999999999</v>
      </c>
      <c r="L9931">
        <v>-58.796019999999999</v>
      </c>
      <c r="M9931">
        <v>0.93532660000000001</v>
      </c>
      <c r="N9931">
        <v>0</v>
      </c>
      <c r="O9931">
        <v>0.3535662</v>
      </c>
      <c r="P9931">
        <v>0.83184740000000001</v>
      </c>
      <c r="Q9931">
        <v>2.643877E-2</v>
      </c>
      <c r="R9931">
        <v>0.55437440000000004</v>
      </c>
      <c r="S9931">
        <v>2.1983799999999998</v>
      </c>
      <c r="T9931">
        <v>-0.37260929999999998</v>
      </c>
      <c r="U9931">
        <v>2.1345209999999999</v>
      </c>
      <c r="V9931">
        <v>-0.22508110000000001</v>
      </c>
      <c r="W9931">
        <v>3.4533609999999999E-2</v>
      </c>
      <c r="X9931">
        <v>0.97372789999999998</v>
      </c>
      <c r="Y9931">
        <v>-0.39753500000000003</v>
      </c>
      <c r="Z9931">
        <v>-1.9339840000000001E-2</v>
      </c>
      <c r="AA9931">
        <v>0.91738319999999995</v>
      </c>
      <c r="AB9931">
        <v>32</v>
      </c>
      <c r="AC9931">
        <v>6.4484000000000199</v>
      </c>
      <c r="AD9931">
        <v>-1.11743580818799</v>
      </c>
      <c r="AE9931">
        <v>6.3433999999999999</v>
      </c>
      <c r="AF9931">
        <v>-3.5985799219978101</v>
      </c>
      <c r="AG9931">
        <v>-1.11743580818799</v>
      </c>
      <c r="AH9931">
        <v>8.1504299958234192</v>
      </c>
      <c r="AI9931">
        <v>97.148744841080898</v>
      </c>
      <c r="AJ9931">
        <v>113.82242956662699</v>
      </c>
      <c r="AK9931">
        <v>8.9793067303241596</v>
      </c>
      <c r="AL9931">
        <v>88.020976502631399</v>
      </c>
      <c r="AM9931">
        <v>103.015546067789</v>
      </c>
      <c r="AN9931">
        <v>1.0000000475176201</v>
      </c>
    </row>
    <row r="9932" spans="1:40" x14ac:dyDescent="0.25">
      <c r="A9932" t="str">
        <f>"20190312150915536"</f>
        <v>20190312150915536</v>
      </c>
      <c r="B9932" t="str">
        <f>"1552374555528947"</f>
        <v>1552374555528947</v>
      </c>
      <c r="C9932" t="s">
        <v>40</v>
      </c>
      <c r="D9932">
        <v>4.8209780000000002</v>
      </c>
      <c r="E9932">
        <v>0.42982579999999998</v>
      </c>
      <c r="F9932" t="s">
        <v>41</v>
      </c>
      <c r="G9932">
        <v>-208.67410000000001</v>
      </c>
      <c r="H9932">
        <v>0.98384470000000002</v>
      </c>
      <c r="I9932">
        <v>-58.028530000000003</v>
      </c>
      <c r="J9932">
        <v>-209.32089999999999</v>
      </c>
      <c r="K9932">
        <v>1.1174389999999901</v>
      </c>
      <c r="L9932">
        <v>-58.740299999999998</v>
      </c>
      <c r="M9932">
        <v>0.93386840000000004</v>
      </c>
      <c r="N9932">
        <v>0</v>
      </c>
      <c r="O9932">
        <v>0.35739979999999999</v>
      </c>
      <c r="P9932">
        <v>0.82975789999999905</v>
      </c>
      <c r="Q9932">
        <v>2.643419E-2</v>
      </c>
      <c r="R9932">
        <v>0.55749709999999997</v>
      </c>
      <c r="S9932">
        <v>2.1887819999999998</v>
      </c>
      <c r="T9932">
        <v>-0.37329889999999999</v>
      </c>
      <c r="U9932">
        <v>2.1450200000000001</v>
      </c>
      <c r="V9932">
        <v>-0.22474720000000001</v>
      </c>
      <c r="W9932">
        <v>3.4535040000000003E-2</v>
      </c>
      <c r="X9932">
        <v>0.97380500000000003</v>
      </c>
      <c r="Y9932">
        <v>-0.39804689999999998</v>
      </c>
      <c r="Z9932">
        <v>-1.9841060000000001E-2</v>
      </c>
      <c r="AA9932">
        <v>0.91715049999999998</v>
      </c>
      <c r="AB9932">
        <v>32</v>
      </c>
      <c r="AC9932">
        <v>0.64679999999998405</v>
      </c>
      <c r="AD9932">
        <v>-0.133594299999999</v>
      </c>
      <c r="AE9932">
        <v>0.71176999999999402</v>
      </c>
      <c r="AF9932">
        <v>-0.42535955922680602</v>
      </c>
      <c r="AG9932">
        <v>-0.133594299999999</v>
      </c>
      <c r="AH9932">
        <v>0.842228177324571</v>
      </c>
      <c r="AI9932">
        <v>98.058798281512793</v>
      </c>
      <c r="AJ9932">
        <v>116.795636443356</v>
      </c>
      <c r="AK9932">
        <v>0.95295671165986395</v>
      </c>
      <c r="AL9932">
        <v>88.0208945760929</v>
      </c>
      <c r="AM9932">
        <v>102.995899894978</v>
      </c>
      <c r="AN9932">
        <v>1.00000007546031</v>
      </c>
    </row>
    <row r="9933" spans="1:40" x14ac:dyDescent="0.25">
      <c r="A9933" t="str">
        <f>"20190312150915549"</f>
        <v>20190312150915549</v>
      </c>
      <c r="B9933" t="str">
        <f>"1552374555539684"</f>
        <v>1552374555539684</v>
      </c>
      <c r="C9933" t="s">
        <v>40</v>
      </c>
      <c r="D9933">
        <v>4.8655970000000002</v>
      </c>
      <c r="E9933">
        <v>0.41310619999999998</v>
      </c>
      <c r="F9933" t="s">
        <v>73</v>
      </c>
      <c r="G9933">
        <v>-202.78729999999999</v>
      </c>
      <c r="H9933" s="1">
        <v>-5.918025E-6</v>
      </c>
      <c r="I9933">
        <v>-52.286969999999997</v>
      </c>
      <c r="J9933">
        <v>-209.17099999999999</v>
      </c>
      <c r="K9933">
        <v>1.1174440000000001</v>
      </c>
      <c r="L9933">
        <v>-58.678620000000002</v>
      </c>
      <c r="M9933">
        <v>0.93224700000000005</v>
      </c>
      <c r="N9933">
        <v>0</v>
      </c>
      <c r="O9933">
        <v>0.36160789999999998</v>
      </c>
      <c r="P9933">
        <v>0.827154099999999</v>
      </c>
      <c r="Q9933">
        <v>2.6860390000000001E-2</v>
      </c>
      <c r="R9933">
        <v>0.56133299999999997</v>
      </c>
      <c r="S9933">
        <v>2.1804350000000001</v>
      </c>
      <c r="T9933">
        <v>-0.37291770000000002</v>
      </c>
      <c r="U9933">
        <v>2.1536249999999999</v>
      </c>
      <c r="V9933">
        <v>-0.22487760000000001</v>
      </c>
      <c r="W9933">
        <v>3.4956309999999997E-2</v>
      </c>
      <c r="X9933">
        <v>0.97375979999999995</v>
      </c>
      <c r="Y9933">
        <v>-0.3975281</v>
      </c>
      <c r="Z9933">
        <v>-2.0404240000000001E-2</v>
      </c>
      <c r="AA9933">
        <v>0.91736309999999999</v>
      </c>
      <c r="AB9933">
        <v>32</v>
      </c>
      <c r="AC9933">
        <v>6.3837000000000002</v>
      </c>
      <c r="AD9933">
        <v>-1.1174499180249999</v>
      </c>
      <c r="AE9933">
        <v>6.3916499999999896</v>
      </c>
      <c r="AF9933">
        <v>-3.5954667422319999</v>
      </c>
      <c r="AG9933">
        <v>-1.1174499180249999</v>
      </c>
      <c r="AH9933">
        <v>8.1385637356715108</v>
      </c>
      <c r="AI9933">
        <v>97.158465362011299</v>
      </c>
      <c r="AJ9933">
        <v>113.834953853301</v>
      </c>
      <c r="AK9933">
        <v>8.9672902871144906</v>
      </c>
      <c r="AL9933">
        <v>87.996742877173702</v>
      </c>
      <c r="AM9933">
        <v>103.00376709292701</v>
      </c>
      <c r="AN9933">
        <v>1.0000000133433</v>
      </c>
    </row>
    <row r="9934" spans="1:40" x14ac:dyDescent="0.25">
      <c r="A9934" t="str">
        <f>"20190312150915560"</f>
        <v>20190312150915560</v>
      </c>
      <c r="B9934" t="str">
        <f>"1552374555549445"</f>
        <v>1552374555549445</v>
      </c>
      <c r="C9934" t="s">
        <v>40</v>
      </c>
      <c r="D9934">
        <v>4.8414679999999999</v>
      </c>
      <c r="E9934">
        <v>0.41161389999999998</v>
      </c>
      <c r="F9934" t="s">
        <v>73</v>
      </c>
      <c r="G9934">
        <v>-204.3167</v>
      </c>
      <c r="H9934" s="1">
        <v>-5.0508960000000001E-6</v>
      </c>
      <c r="I9934">
        <v>-53.403709999999997</v>
      </c>
      <c r="J9934">
        <v>-209.0248</v>
      </c>
      <c r="K9934">
        <v>1.1174539999999999</v>
      </c>
      <c r="L9934">
        <v>-58.617609999999999</v>
      </c>
      <c r="M9934">
        <v>0.93064329999999995</v>
      </c>
      <c r="N9934">
        <v>0</v>
      </c>
      <c r="O9934">
        <v>0.36571569999999998</v>
      </c>
      <c r="P9934">
        <v>0.82479179999999996</v>
      </c>
      <c r="Q9934">
        <v>2.709247E-2</v>
      </c>
      <c r="R9934">
        <v>0.56478709999999999</v>
      </c>
      <c r="S9934">
        <v>2.096527</v>
      </c>
      <c r="T9934">
        <v>-0.48261209999999999</v>
      </c>
      <c r="U9934">
        <v>2.278168</v>
      </c>
      <c r="V9934">
        <v>-0.22466220000000001</v>
      </c>
      <c r="W9934">
        <v>3.5191720000000003E-2</v>
      </c>
      <c r="X9934">
        <v>0.97380100000000003</v>
      </c>
      <c r="Y9934">
        <v>-0.43624099999999999</v>
      </c>
      <c r="Z9934">
        <v>-2.354558E-2</v>
      </c>
      <c r="AA9934">
        <v>0.89952180000000004</v>
      </c>
      <c r="AB9934">
        <v>32</v>
      </c>
      <c r="AC9934">
        <v>4.7081</v>
      </c>
      <c r="AD9934">
        <v>-1.1174590508960001</v>
      </c>
      <c r="AE9934">
        <v>5.2138999999999998</v>
      </c>
      <c r="AF9934">
        <v>-3.0534374217954601</v>
      </c>
      <c r="AG9934">
        <v>-1.1174590508960001</v>
      </c>
      <c r="AH9934">
        <v>6.13365611270254</v>
      </c>
      <c r="AI9934">
        <v>99.262998391363894</v>
      </c>
      <c r="AJ9934">
        <v>116.464896017407</v>
      </c>
      <c r="AK9934">
        <v>6.9421849678716798</v>
      </c>
      <c r="AL9934">
        <v>87.983246495323002</v>
      </c>
      <c r="AM9934">
        <v>102.991203126343</v>
      </c>
      <c r="AN9934">
        <v>0.99999997443319899</v>
      </c>
    </row>
    <row r="9935" spans="1:40" x14ac:dyDescent="0.25">
      <c r="A9935" t="str">
        <f>"20190312150915570"</f>
        <v>20190312150915570</v>
      </c>
      <c r="B9935" t="str">
        <f>"1552374555559204"</f>
        <v>1552374555559204</v>
      </c>
      <c r="C9935" t="s">
        <v>40</v>
      </c>
      <c r="D9935">
        <v>4.830203</v>
      </c>
      <c r="E9935">
        <v>0.41092820000000002</v>
      </c>
      <c r="F9935" t="s">
        <v>73</v>
      </c>
      <c r="G9935">
        <v>-204.28110000000001</v>
      </c>
      <c r="H9935" s="1">
        <v>-5.0746810000000004E-6</v>
      </c>
      <c r="I9935">
        <v>-53.378149999999998</v>
      </c>
      <c r="J9935">
        <v>-208.88890000000001</v>
      </c>
      <c r="K9935">
        <v>1.1174599999999999</v>
      </c>
      <c r="L9935">
        <v>-58.560180000000003</v>
      </c>
      <c r="M9935">
        <v>0.92913349999999995</v>
      </c>
      <c r="N9935">
        <v>0</v>
      </c>
      <c r="O9935">
        <v>0.36953449999999999</v>
      </c>
      <c r="P9935">
        <v>0.82257780000000003</v>
      </c>
      <c r="Q9935">
        <v>2.7056770000000001E-2</v>
      </c>
      <c r="R9935">
        <v>0.56800869999999903</v>
      </c>
      <c r="S9935">
        <v>2.0801240000000001</v>
      </c>
      <c r="T9935">
        <v>-0.4900082</v>
      </c>
      <c r="U9935">
        <v>2.2975159999999999</v>
      </c>
      <c r="V9935">
        <v>-0.22447110000000001</v>
      </c>
      <c r="W9935">
        <v>3.5158849999999998E-2</v>
      </c>
      <c r="X9935">
        <v>0.97384630000000005</v>
      </c>
      <c r="Y9935">
        <v>-0.43982060000000001</v>
      </c>
      <c r="Z9935">
        <v>-2.422498E-2</v>
      </c>
      <c r="AA9935">
        <v>0.89775890000000003</v>
      </c>
      <c r="AB9935">
        <v>32</v>
      </c>
      <c r="AC9935">
        <v>4.6077999999999903</v>
      </c>
      <c r="AD9935">
        <v>-1.117465074681</v>
      </c>
      <c r="AE9935">
        <v>5.1820300000000001</v>
      </c>
      <c r="AF9935">
        <v>-3.0335204825823601</v>
      </c>
      <c r="AG9935">
        <v>-1.117465074681</v>
      </c>
      <c r="AH9935">
        <v>6.0398323824162903</v>
      </c>
      <c r="AI9935">
        <v>99.388015358011501</v>
      </c>
      <c r="AJ9935">
        <v>116.66820185301</v>
      </c>
      <c r="AK9935">
        <v>6.85058756013402</v>
      </c>
      <c r="AL9935">
        <v>87.985131061143804</v>
      </c>
      <c r="AM9935">
        <v>102.97994371967501</v>
      </c>
      <c r="AN9935">
        <v>1.0000000177461099</v>
      </c>
    </row>
    <row r="9936" spans="1:40" x14ac:dyDescent="0.25">
      <c r="A9936" t="str">
        <f>"20190312150915581"</f>
        <v>20190312150915581</v>
      </c>
      <c r="B9936" t="str">
        <f>"1552374555579699"</f>
        <v>1552374555579699</v>
      </c>
      <c r="C9936" t="s">
        <v>40</v>
      </c>
      <c r="D9936">
        <v>4.8601279999999996</v>
      </c>
      <c r="E9936">
        <v>0.41032249999999998</v>
      </c>
      <c r="F9936" t="s">
        <v>73</v>
      </c>
      <c r="G9936">
        <v>-204.19370000000001</v>
      </c>
      <c r="H9936" s="1">
        <v>-5.1334639999999999E-6</v>
      </c>
      <c r="I9936">
        <v>-53.313929999999999</v>
      </c>
      <c r="J9936">
        <v>-208.7448</v>
      </c>
      <c r="K9936">
        <v>1.1174660000000001</v>
      </c>
      <c r="L9936">
        <v>-58.498779999999996</v>
      </c>
      <c r="M9936">
        <v>0.92751189999999994</v>
      </c>
      <c r="N9936">
        <v>0</v>
      </c>
      <c r="O9936">
        <v>0.37358590000000003</v>
      </c>
      <c r="P9936">
        <v>0.82024030000000003</v>
      </c>
      <c r="Q9936">
        <v>2.7340630000000001E-2</v>
      </c>
      <c r="R9936">
        <v>0.57136540000000002</v>
      </c>
      <c r="S9936">
        <v>2.067825</v>
      </c>
      <c r="T9936">
        <v>-0.49213980000000002</v>
      </c>
      <c r="U9936">
        <v>2.310486</v>
      </c>
      <c r="V9936">
        <v>-0.2242102</v>
      </c>
      <c r="W9936">
        <v>3.5446680000000001E-2</v>
      </c>
      <c r="X9936">
        <v>0.97389599999999998</v>
      </c>
      <c r="Y9936">
        <v>-0.44108199999999997</v>
      </c>
      <c r="Z9936">
        <v>-2.4907180000000001E-2</v>
      </c>
      <c r="AA9936">
        <v>0.89712109999999901</v>
      </c>
      <c r="AB9936">
        <v>32</v>
      </c>
      <c r="AC9936">
        <v>4.5510999999999902</v>
      </c>
      <c r="AD9936">
        <v>-1.117471133464</v>
      </c>
      <c r="AE9936">
        <v>5.1848499999999902</v>
      </c>
      <c r="AF9936">
        <v>-3.0295394364202801</v>
      </c>
      <c r="AG9936">
        <v>-1.117471133464</v>
      </c>
      <c r="AH9936">
        <v>6.0012121865569696</v>
      </c>
      <c r="AI9936">
        <v>99.437827521092203</v>
      </c>
      <c r="AJ9936">
        <v>116.78561454210499</v>
      </c>
      <c r="AK9936">
        <v>6.8147926336045597</v>
      </c>
      <c r="AL9936">
        <v>87.968629396291007</v>
      </c>
      <c r="AM9936">
        <v>102.964728042072</v>
      </c>
      <c r="AN9936">
        <v>1.00000004986153</v>
      </c>
    </row>
    <row r="9937" spans="1:40" x14ac:dyDescent="0.25">
      <c r="A9937" t="str">
        <f>"20190312150915593"</f>
        <v>20190312150915593</v>
      </c>
      <c r="B9937" t="str">
        <f>"1552374555589460"</f>
        <v>1552374555589460</v>
      </c>
      <c r="C9937" t="s">
        <v>40</v>
      </c>
      <c r="D9937">
        <v>4.8468830000000001</v>
      </c>
      <c r="E9937">
        <v>0.41003529999999999</v>
      </c>
      <c r="F9937" t="s">
        <v>73</v>
      </c>
      <c r="G9937">
        <v>-204.26740000000001</v>
      </c>
      <c r="H9937" s="1">
        <v>-5.0687019999999999E-6</v>
      </c>
      <c r="I9937">
        <v>-53.436689999999999</v>
      </c>
      <c r="J9937">
        <v>-208.60310000000001</v>
      </c>
      <c r="K9937">
        <v>1.117467</v>
      </c>
      <c r="L9937">
        <v>-58.4373199999999</v>
      </c>
      <c r="M9937">
        <v>0.92589489999999997</v>
      </c>
      <c r="N9937">
        <v>0</v>
      </c>
      <c r="O9937">
        <v>0.37757570000000001</v>
      </c>
      <c r="P9937">
        <v>0.81790560000000001</v>
      </c>
      <c r="Q9937">
        <v>2.761802E-2</v>
      </c>
      <c r="R9937">
        <v>0.57468920000000001</v>
      </c>
      <c r="S9937">
        <v>2.0556489999999998</v>
      </c>
      <c r="T9937">
        <v>-0.51304439999999996</v>
      </c>
      <c r="U9937">
        <v>2.3240660000000002</v>
      </c>
      <c r="V9937">
        <v>-0.22397810000000001</v>
      </c>
      <c r="W9937">
        <v>3.5728309999999999E-2</v>
      </c>
      <c r="X9937">
        <v>0.97393909999999995</v>
      </c>
      <c r="Y9937">
        <v>-0.44240829999999998</v>
      </c>
      <c r="Z9937">
        <v>-2.6530740000000001E-2</v>
      </c>
      <c r="AA9937">
        <v>0.89642129999999998</v>
      </c>
      <c r="AB9937">
        <v>32</v>
      </c>
      <c r="AC9937">
        <v>4.3357000000000001</v>
      </c>
      <c r="AD9937">
        <v>-1.1174720687020001</v>
      </c>
      <c r="AE9937">
        <v>5.0006299999999797</v>
      </c>
      <c r="AF9937">
        <v>-2.9102716444642001</v>
      </c>
      <c r="AG9937">
        <v>-1.1174720687020001</v>
      </c>
      <c r="AH9937">
        <v>5.7393641809745404</v>
      </c>
      <c r="AI9937">
        <v>99.851385783116598</v>
      </c>
      <c r="AJ9937">
        <v>116.888296080884</v>
      </c>
      <c r="AK9937">
        <v>6.5313647938815302</v>
      </c>
      <c r="AL9937">
        <v>87.952482930459993</v>
      </c>
      <c r="AM9937">
        <v>102.951206031884</v>
      </c>
      <c r="AN9937">
        <v>1.0000000359619301</v>
      </c>
    </row>
    <row r="9938" spans="1:40" x14ac:dyDescent="0.25">
      <c r="A9938" t="str">
        <f>"20190312150915605"</f>
        <v>20190312150915605</v>
      </c>
      <c r="B9938" t="str">
        <f>"1552374555599219"</f>
        <v>1552374555599219</v>
      </c>
      <c r="C9938" t="s">
        <v>40</v>
      </c>
      <c r="D9938">
        <v>4.8536999999999999</v>
      </c>
      <c r="E9938">
        <v>0.41014600000000001</v>
      </c>
      <c r="F9938" t="s">
        <v>73</v>
      </c>
      <c r="G9938">
        <v>-204.1893</v>
      </c>
      <c r="H9938" s="1">
        <v>-5.1172410000000004E-6</v>
      </c>
      <c r="I9938">
        <v>-53.39723</v>
      </c>
      <c r="J9938">
        <v>-208.4564</v>
      </c>
      <c r="K9938">
        <v>1.117472</v>
      </c>
      <c r="L9938">
        <v>-58.373440000000002</v>
      </c>
      <c r="M9938">
        <v>0.92420170000000001</v>
      </c>
      <c r="N9938">
        <v>0</v>
      </c>
      <c r="O9938">
        <v>0.38170159999999997</v>
      </c>
      <c r="P9938">
        <v>0.81537720000000002</v>
      </c>
      <c r="Q9938">
        <v>2.7959100000000001E-2</v>
      </c>
      <c r="R9938">
        <v>0.57825459999999995</v>
      </c>
      <c r="S9938">
        <v>2.0447850000000001</v>
      </c>
      <c r="T9938">
        <v>-0.51768720000000001</v>
      </c>
      <c r="U9938">
        <v>2.3349000000000002</v>
      </c>
      <c r="V9938">
        <v>-0.22389780000000001</v>
      </c>
      <c r="W9938">
        <v>3.6069980000000001E-2</v>
      </c>
      <c r="X9938">
        <v>0.97394499999999995</v>
      </c>
      <c r="Y9938">
        <v>-0.44285669999999999</v>
      </c>
      <c r="Z9938">
        <v>-2.7466529999999999E-2</v>
      </c>
      <c r="AA9938">
        <v>0.89617159999999996</v>
      </c>
      <c r="AB9938">
        <v>32</v>
      </c>
      <c r="AC9938">
        <v>4.2670999999999903</v>
      </c>
      <c r="AD9938">
        <v>-1.1174771172409901</v>
      </c>
      <c r="AE9938">
        <v>4.9762099999999903</v>
      </c>
      <c r="AF9938">
        <v>-2.88660685595837</v>
      </c>
      <c r="AG9938">
        <v>-1.1174771172409901</v>
      </c>
      <c r="AH9938">
        <v>5.6785206899027001</v>
      </c>
      <c r="AI9938">
        <v>99.9499005405319</v>
      </c>
      <c r="AJ9938">
        <v>116.945952930091</v>
      </c>
      <c r="AK9938">
        <v>6.46736820306963</v>
      </c>
      <c r="AL9938">
        <v>87.932894116868795</v>
      </c>
      <c r="AM9938">
        <v>102.946643488764</v>
      </c>
      <c r="AN9938">
        <v>1.00000006566351</v>
      </c>
    </row>
    <row r="9939" spans="1:40" x14ac:dyDescent="0.25">
      <c r="A9939" t="str">
        <f>"20190312150915615"</f>
        <v>20190312150915615</v>
      </c>
      <c r="B9939" t="str">
        <f>"1552374555608979"</f>
        <v>1552374555608979</v>
      </c>
      <c r="C9939" t="s">
        <v>40</v>
      </c>
      <c r="D9939">
        <v>4.893186</v>
      </c>
      <c r="E9939">
        <v>0.41014080000000003</v>
      </c>
      <c r="F9939" t="s">
        <v>73</v>
      </c>
      <c r="G9939">
        <v>-204.15960000000001</v>
      </c>
      <c r="H9939" s="1">
        <v>-5.1264730000000003E-6</v>
      </c>
      <c r="I9939">
        <v>-53.423760000000001</v>
      </c>
      <c r="J9939">
        <v>-208.31460000000001</v>
      </c>
      <c r="K9939">
        <v>1.1174759999999999</v>
      </c>
      <c r="L9939">
        <v>-58.31033</v>
      </c>
      <c r="M9939">
        <v>0.92254040000000004</v>
      </c>
      <c r="N9939">
        <v>0</v>
      </c>
      <c r="O9939">
        <v>0.38569920000000002</v>
      </c>
      <c r="P9939">
        <v>0.81298939999999997</v>
      </c>
      <c r="Q9939">
        <v>2.8119000000000002E-2</v>
      </c>
      <c r="R9939">
        <v>0.58159930000000004</v>
      </c>
      <c r="S9939">
        <v>2.0349729999999999</v>
      </c>
      <c r="T9939">
        <v>-0.52923869999999995</v>
      </c>
      <c r="U9939">
        <v>2.3441770000000002</v>
      </c>
      <c r="V9939">
        <v>-0.223687</v>
      </c>
      <c r="W9939">
        <v>3.6233899999999999E-2</v>
      </c>
      <c r="X9939">
        <v>0.9739873</v>
      </c>
      <c r="Y9939">
        <v>-0.44287480000000001</v>
      </c>
      <c r="Z9939">
        <v>-2.8804449999999999E-2</v>
      </c>
      <c r="AA9939">
        <v>0.89612069999999999</v>
      </c>
      <c r="AB9939">
        <v>32</v>
      </c>
      <c r="AC9939">
        <v>4.1550000000000002</v>
      </c>
      <c r="AD9939">
        <v>-1.117481126473</v>
      </c>
      <c r="AE9939">
        <v>4.8865700000000096</v>
      </c>
      <c r="AF9939">
        <v>-2.8201075691864199</v>
      </c>
      <c r="AG9939">
        <v>-1.117481126473</v>
      </c>
      <c r="AH9939">
        <v>5.5498946941818996</v>
      </c>
      <c r="AI9939">
        <v>100.176580002907</v>
      </c>
      <c r="AJ9939">
        <v>116.936814534829</v>
      </c>
      <c r="AK9939">
        <v>6.3248005412277104</v>
      </c>
      <c r="AL9939">
        <v>87.9234959446201</v>
      </c>
      <c r="AM9939">
        <v>102.934321484577</v>
      </c>
      <c r="AN9939">
        <v>1.0000000150197399</v>
      </c>
    </row>
    <row r="9940" spans="1:40" x14ac:dyDescent="0.25">
      <c r="A9940" t="str">
        <f>"20190312150915626"</f>
        <v>20190312150915626</v>
      </c>
      <c r="B9940" t="str">
        <f>"1552374555619715"</f>
        <v>1552374555619715</v>
      </c>
      <c r="C9940" t="s">
        <v>40</v>
      </c>
      <c r="D9940">
        <v>4.8398589999999997</v>
      </c>
      <c r="E9940">
        <v>0.41034209999999899</v>
      </c>
      <c r="F9940" t="s">
        <v>73</v>
      </c>
      <c r="G9940">
        <v>-204.1164</v>
      </c>
      <c r="H9940" s="1">
        <v>-5.1467649999999997E-6</v>
      </c>
      <c r="I9940">
        <v>-53.431530000000002</v>
      </c>
      <c r="J9940">
        <v>-208.17590000000001</v>
      </c>
      <c r="K9940">
        <v>1.1174820000000001</v>
      </c>
      <c r="L9940">
        <v>-58.248350000000002</v>
      </c>
      <c r="M9940">
        <v>0.92089699999999997</v>
      </c>
      <c r="N9940">
        <v>0</v>
      </c>
      <c r="O9940">
        <v>0.38960669999999997</v>
      </c>
      <c r="P9940">
        <v>0.81062389999999995</v>
      </c>
      <c r="Q9940">
        <v>2.8142670000000002E-2</v>
      </c>
      <c r="R9940">
        <v>0.58489040000000003</v>
      </c>
      <c r="S9940">
        <v>2.025131</v>
      </c>
      <c r="T9940">
        <v>-0.53904759999999996</v>
      </c>
      <c r="U9940">
        <v>2.353424</v>
      </c>
      <c r="V9940">
        <v>-0.2235075</v>
      </c>
      <c r="W9940">
        <v>3.6261069999999999E-2</v>
      </c>
      <c r="X9940">
        <v>0.97402750000000005</v>
      </c>
      <c r="Y9940">
        <v>-0.44297979999999998</v>
      </c>
      <c r="Z9940">
        <v>-3.0052829999999999E-2</v>
      </c>
      <c r="AA9940">
        <v>0.89602769999999998</v>
      </c>
      <c r="AB9940">
        <v>32</v>
      </c>
      <c r="AC9940">
        <v>4.0595000000000097</v>
      </c>
      <c r="AD9940">
        <v>-1.1174871467649901</v>
      </c>
      <c r="AE9940">
        <v>4.8168199999999999</v>
      </c>
      <c r="AF9940">
        <v>-2.7673203216834801</v>
      </c>
      <c r="AG9940">
        <v>-1.1174871467649901</v>
      </c>
      <c r="AH9940">
        <v>5.4441543524151301</v>
      </c>
      <c r="AI9940">
        <v>100.36933278809001</v>
      </c>
      <c r="AJ9940">
        <v>116.944704628957</v>
      </c>
      <c r="AK9940">
        <v>6.2085147901014102</v>
      </c>
      <c r="AL9940">
        <v>87.921938203434294</v>
      </c>
      <c r="AM9940">
        <v>102.923775350009</v>
      </c>
      <c r="AN9940">
        <v>1.00000001925502</v>
      </c>
    </row>
    <row r="9941" spans="1:40" x14ac:dyDescent="0.25">
      <c r="A9941" t="str">
        <f>"20190312150915637"</f>
        <v>20190312150915637</v>
      </c>
      <c r="B9941" t="str">
        <f>"1552374555629475"</f>
        <v>1552374555629475</v>
      </c>
      <c r="C9941" t="s">
        <v>40</v>
      </c>
      <c r="D9941">
        <v>4.8367449999999996</v>
      </c>
      <c r="E9941">
        <v>0.41056579999999898</v>
      </c>
      <c r="F9941" t="s">
        <v>73</v>
      </c>
      <c r="G9941">
        <v>-204.00280000000001</v>
      </c>
      <c r="H9941" s="1">
        <v>-5.2199099999999996E-6</v>
      </c>
      <c r="I9941">
        <v>-53.3628</v>
      </c>
      <c r="J9941">
        <v>-208.03360000000001</v>
      </c>
      <c r="K9941">
        <v>1.1174850000000001</v>
      </c>
      <c r="L9941">
        <v>-58.183720000000001</v>
      </c>
      <c r="M9941">
        <v>0.91918889999999998</v>
      </c>
      <c r="N9941">
        <v>0</v>
      </c>
      <c r="O9941">
        <v>0.39361940000000001</v>
      </c>
      <c r="P9941">
        <v>0.80809439999999999</v>
      </c>
      <c r="Q9941">
        <v>2.8217720000000002E-2</v>
      </c>
      <c r="R9941">
        <v>0.58837689999999998</v>
      </c>
      <c r="S9941">
        <v>2.0163570000000002</v>
      </c>
      <c r="T9941">
        <v>-0.53994619999999904</v>
      </c>
      <c r="U9941">
        <v>2.3605960000000001</v>
      </c>
      <c r="V9941">
        <v>-0.22345809999999999</v>
      </c>
      <c r="W9941">
        <v>3.6337300000000003E-2</v>
      </c>
      <c r="X9941">
        <v>0.97403600000000001</v>
      </c>
      <c r="Y9941">
        <v>-0.4423937</v>
      </c>
      <c r="Z9941">
        <v>-3.091926E-2</v>
      </c>
      <c r="AA9941">
        <v>0.89628779999999997</v>
      </c>
      <c r="AB9941">
        <v>32</v>
      </c>
      <c r="AC9941">
        <v>4.0307999999999904</v>
      </c>
      <c r="AD9941">
        <v>-1.1174902199099901</v>
      </c>
      <c r="AE9941">
        <v>4.8209199999999903</v>
      </c>
      <c r="AF9941">
        <v>-2.7577456352236598</v>
      </c>
      <c r="AG9941">
        <v>-1.1174902199099901</v>
      </c>
      <c r="AH9941">
        <v>5.4313495181801699</v>
      </c>
      <c r="AI9941">
        <v>100.395592774363</v>
      </c>
      <c r="AJ9941">
        <v>116.91899747443701</v>
      </c>
      <c r="AK9941">
        <v>6.1930205044732096</v>
      </c>
      <c r="AL9941">
        <v>87.917567679057001</v>
      </c>
      <c r="AM9941">
        <v>102.92090581919599</v>
      </c>
      <c r="AN9941">
        <v>1.0000000255614401</v>
      </c>
    </row>
    <row r="9942" spans="1:40" x14ac:dyDescent="0.25">
      <c r="A9942" t="str">
        <f>"20190312150915648"</f>
        <v>20190312150915648</v>
      </c>
      <c r="B9942" t="str">
        <f>"1552374555639236"</f>
        <v>1552374555639236</v>
      </c>
      <c r="C9942" t="s">
        <v>40</v>
      </c>
      <c r="D9942">
        <v>4.8097379999999896</v>
      </c>
      <c r="E9942">
        <v>0.41058899999999998</v>
      </c>
      <c r="F9942" t="s">
        <v>73</v>
      </c>
      <c r="G9942">
        <v>-203.8759</v>
      </c>
      <c r="H9942" s="1">
        <v>-5.3033419999999996E-6</v>
      </c>
      <c r="I9942">
        <v>-53.277990000000003</v>
      </c>
      <c r="J9942">
        <v>-207.89179999999999</v>
      </c>
      <c r="K9942">
        <v>1.1174850000000001</v>
      </c>
      <c r="L9942">
        <v>-58.1188</v>
      </c>
      <c r="M9942">
        <v>0.91746709999999998</v>
      </c>
      <c r="N9942">
        <v>0</v>
      </c>
      <c r="O9942">
        <v>0.39761619999999998</v>
      </c>
      <c r="P9942">
        <v>0.80556110000000003</v>
      </c>
      <c r="Q9942">
        <v>2.8195649999999999E-2</v>
      </c>
      <c r="R9942">
        <v>0.59184150000000002</v>
      </c>
      <c r="S9942">
        <v>2.0070190000000001</v>
      </c>
      <c r="T9942">
        <v>-0.53944409999999998</v>
      </c>
      <c r="U9942">
        <v>2.368134</v>
      </c>
      <c r="V9942">
        <v>-0.22340070000000001</v>
      </c>
      <c r="W9942">
        <v>3.6316340000000003E-2</v>
      </c>
      <c r="X9942">
        <v>0.97404990000000002</v>
      </c>
      <c r="Y9942">
        <v>-0.44201020000000002</v>
      </c>
      <c r="Z9942">
        <v>-3.1686659999999998E-2</v>
      </c>
      <c r="AA9942">
        <v>0.89645019999999997</v>
      </c>
      <c r="AB9942">
        <v>32</v>
      </c>
      <c r="AC9942">
        <v>4.0158999999999798</v>
      </c>
      <c r="AD9942">
        <v>-1.1174903033420001</v>
      </c>
      <c r="AE9942">
        <v>4.8408099999999896</v>
      </c>
      <c r="AF9942">
        <v>-2.75766920691045</v>
      </c>
      <c r="AG9942">
        <v>-1.1174903033420001</v>
      </c>
      <c r="AH9942">
        <v>5.4380194486092304</v>
      </c>
      <c r="AI9942">
        <v>100.38573093313001</v>
      </c>
      <c r="AJ9942">
        <v>116.88998133230901</v>
      </c>
      <c r="AK9942">
        <v>6.1988369519013604</v>
      </c>
      <c r="AL9942">
        <v>87.918769293752206</v>
      </c>
      <c r="AM9942">
        <v>102.917519998667</v>
      </c>
      <c r="AN9942">
        <v>0.99999997850074696</v>
      </c>
    </row>
    <row r="9943" spans="1:40" x14ac:dyDescent="0.25">
      <c r="A9943" t="str">
        <f>"20190312150915659"</f>
        <v>20190312150915659</v>
      </c>
      <c r="B9943" t="str">
        <f>"1552374555648995"</f>
        <v>1552374555648995</v>
      </c>
      <c r="C9943" t="s">
        <v>40</v>
      </c>
      <c r="D9943">
        <v>4.8055029999999999</v>
      </c>
      <c r="E9943">
        <v>0.41058420000000001</v>
      </c>
      <c r="F9943" t="s">
        <v>73</v>
      </c>
      <c r="G9943">
        <v>-203.73740000000001</v>
      </c>
      <c r="H9943" s="1">
        <v>-5.3969190000000003E-6</v>
      </c>
      <c r="I9943">
        <v>-53.174370000000003</v>
      </c>
      <c r="J9943">
        <v>-207.75049999999999</v>
      </c>
      <c r="K9943">
        <v>1.1174869999999999</v>
      </c>
      <c r="L9943">
        <v>-58.053249999999998</v>
      </c>
      <c r="M9943">
        <v>0.91572929999999997</v>
      </c>
      <c r="N9943">
        <v>0</v>
      </c>
      <c r="O9943">
        <v>0.40160220000000002</v>
      </c>
      <c r="P9943">
        <v>0.80308259999999998</v>
      </c>
      <c r="Q9943">
        <v>2.808592E-2</v>
      </c>
      <c r="R9943">
        <v>0.5952054</v>
      </c>
      <c r="S9943">
        <v>1.996872</v>
      </c>
      <c r="T9943">
        <v>-0.53713159999999904</v>
      </c>
      <c r="U9943">
        <v>2.3765869999999998</v>
      </c>
      <c r="V9943">
        <v>-0.22323480000000001</v>
      </c>
      <c r="W9943">
        <v>3.6210079999999999E-2</v>
      </c>
      <c r="X9943">
        <v>0.97409190000000001</v>
      </c>
      <c r="Y9943">
        <v>-0.44197979999999998</v>
      </c>
      <c r="Z9943">
        <v>-3.2309240000000003E-2</v>
      </c>
      <c r="AA9943">
        <v>0.89644299999999999</v>
      </c>
      <c r="AB9943">
        <v>32</v>
      </c>
      <c r="AC9943">
        <v>4.0130999999999801</v>
      </c>
      <c r="AD9943">
        <v>-1.117492396919</v>
      </c>
      <c r="AE9943">
        <v>4.8788799999999997</v>
      </c>
      <c r="AF9943">
        <v>-2.7696205131651701</v>
      </c>
      <c r="AG9943">
        <v>-1.117492396919</v>
      </c>
      <c r="AH9943">
        <v>5.4637521599521204</v>
      </c>
      <c r="AI9943">
        <v>100.33871304381501</v>
      </c>
      <c r="AJ9943">
        <v>116.88082180088099</v>
      </c>
      <c r="AK9943">
        <v>6.2267306597843604</v>
      </c>
      <c r="AL9943">
        <v>87.924861569626898</v>
      </c>
      <c r="AM9943">
        <v>102.907710797913</v>
      </c>
      <c r="AN9943">
        <v>0.99999998773512799</v>
      </c>
    </row>
    <row r="9944" spans="1:40" x14ac:dyDescent="0.25">
      <c r="A9944" t="str">
        <f>"20190312150915670"</f>
        <v>20190312150915670</v>
      </c>
      <c r="B9944" t="str">
        <f>"1552374555659732"</f>
        <v>1552374555659732</v>
      </c>
      <c r="C9944" t="s">
        <v>40</v>
      </c>
      <c r="D9944">
        <v>4.8260350000000001</v>
      </c>
      <c r="E9944">
        <v>0.41076760000000001</v>
      </c>
      <c r="F9944" t="s">
        <v>73</v>
      </c>
      <c r="G9944">
        <v>-203.63499999999999</v>
      </c>
      <c r="H9944" s="1">
        <v>-5.4627459999999901E-6</v>
      </c>
      <c r="I9944">
        <v>-53.112810000000003</v>
      </c>
      <c r="J9944">
        <v>-207.6138</v>
      </c>
      <c r="K9944">
        <v>1.11748799999999</v>
      </c>
      <c r="L9944">
        <v>-57.989109999999997</v>
      </c>
      <c r="M9944">
        <v>0.91402779999999995</v>
      </c>
      <c r="N9944">
        <v>0</v>
      </c>
      <c r="O9944">
        <v>0.40545969999999998</v>
      </c>
      <c r="P9944">
        <v>0.80070640000000004</v>
      </c>
      <c r="Q9944">
        <v>2.8118609999999999E-2</v>
      </c>
      <c r="R9944">
        <v>0.5983967</v>
      </c>
      <c r="S9944">
        <v>1.986801</v>
      </c>
      <c r="T9944">
        <v>-0.53947869999999998</v>
      </c>
      <c r="U9944">
        <v>2.38504</v>
      </c>
      <c r="V9944">
        <v>-0.22300600000000001</v>
      </c>
      <c r="W9944">
        <v>3.6247719999999997E-2</v>
      </c>
      <c r="X9944">
        <v>0.97414290000000003</v>
      </c>
      <c r="Y9944">
        <v>-0.44203419999999999</v>
      </c>
      <c r="Z9944">
        <v>-3.317498E-2</v>
      </c>
      <c r="AA9944">
        <v>0.89638449999999903</v>
      </c>
      <c r="AB9944">
        <v>32</v>
      </c>
      <c r="AC9944">
        <v>3.9788000000000001</v>
      </c>
      <c r="AD9944">
        <v>-1.11749346274599</v>
      </c>
      <c r="AE9944">
        <v>4.8762999999999996</v>
      </c>
      <c r="AF9944">
        <v>-2.75712573543233</v>
      </c>
      <c r="AG9944">
        <v>-1.11749346274599</v>
      </c>
      <c r="AH9944">
        <v>5.4427166025656897</v>
      </c>
      <c r="AI9944">
        <v>100.379191906939</v>
      </c>
      <c r="AJ9944">
        <v>116.865479307664</v>
      </c>
      <c r="AK9944">
        <v>6.2027169833958604</v>
      </c>
      <c r="AL9944">
        <v>87.922703526649798</v>
      </c>
      <c r="AM9944">
        <v>102.89427120849599</v>
      </c>
      <c r="AN9944">
        <v>0.99999998143080404</v>
      </c>
    </row>
    <row r="9945" spans="1:40" x14ac:dyDescent="0.25">
      <c r="A9945" t="str">
        <f>"20190312150915682"</f>
        <v>20190312150915682</v>
      </c>
      <c r="B9945" t="str">
        <f>"1552374555679251"</f>
        <v>1552374555679251</v>
      </c>
      <c r="C9945" t="s">
        <v>40</v>
      </c>
      <c r="D9945">
        <v>4.8159159999999996</v>
      </c>
      <c r="E9945">
        <v>0.41092020000000001</v>
      </c>
      <c r="F9945" t="s">
        <v>73</v>
      </c>
      <c r="G9945">
        <v>-203.52109999999999</v>
      </c>
      <c r="H9945" s="1">
        <v>-5.5226049999999998E-6</v>
      </c>
      <c r="I9945">
        <v>-53.040399999999998</v>
      </c>
      <c r="J9945">
        <v>-207.47</v>
      </c>
      <c r="K9945">
        <v>1.1174900000000001</v>
      </c>
      <c r="L9945">
        <v>-57.921019999999999</v>
      </c>
      <c r="M9945">
        <v>0.91221759999999996</v>
      </c>
      <c r="N9945">
        <v>0</v>
      </c>
      <c r="O9945">
        <v>0.40951609999999999</v>
      </c>
      <c r="P9945">
        <v>0.79806880000000002</v>
      </c>
      <c r="Q9945">
        <v>2.78068E-2</v>
      </c>
      <c r="R9945">
        <v>0.60192440000000003</v>
      </c>
      <c r="S9945">
        <v>1.9781040000000001</v>
      </c>
      <c r="T9945">
        <v>-0.5401224</v>
      </c>
      <c r="U9945">
        <v>2.3918759999999999</v>
      </c>
      <c r="V9945">
        <v>-0.2229671</v>
      </c>
      <c r="W9945">
        <v>3.5937509999999999E-2</v>
      </c>
      <c r="X9945">
        <v>0.97416329999999995</v>
      </c>
      <c r="Y9945">
        <v>-0.44130009999999997</v>
      </c>
      <c r="Z9945">
        <v>-3.405648E-2</v>
      </c>
      <c r="AA9945">
        <v>0.89671309999999904</v>
      </c>
      <c r="AB9945">
        <v>32</v>
      </c>
      <c r="AC9945">
        <v>3.9489000000000001</v>
      </c>
      <c r="AD9945">
        <v>-1.1174955226049901</v>
      </c>
      <c r="AE9945">
        <v>4.8806199999999897</v>
      </c>
      <c r="AF9945">
        <v>-2.7481964583098502</v>
      </c>
      <c r="AG9945">
        <v>-1.1174955226049901</v>
      </c>
      <c r="AH9945">
        <v>5.4293612358324896</v>
      </c>
      <c r="AI9945">
        <v>100.405819733637</v>
      </c>
      <c r="AJ9945">
        <v>116.84730473898701</v>
      </c>
      <c r="AK9945">
        <v>6.18703026060723</v>
      </c>
      <c r="AL9945">
        <v>87.940488843495999</v>
      </c>
      <c r="AM9945">
        <v>102.891836203987</v>
      </c>
      <c r="AN9945">
        <v>0.99999998368714904</v>
      </c>
    </row>
    <row r="9946" spans="1:40" x14ac:dyDescent="0.25">
      <c r="A9946" t="str">
        <f>"20190312150915693"</f>
        <v>20190312150915693</v>
      </c>
      <c r="B9946" t="str">
        <f>"1552374555689012"</f>
        <v>1552374555689012</v>
      </c>
      <c r="C9946" t="s">
        <v>40</v>
      </c>
      <c r="D9946">
        <v>4.7982250000000004</v>
      </c>
      <c r="E9946">
        <v>0.41095720000000002</v>
      </c>
      <c r="F9946" t="s">
        <v>73</v>
      </c>
      <c r="G9946">
        <v>-203.39580000000001</v>
      </c>
      <c r="H9946" s="1">
        <v>-5.5836100000000001E-6</v>
      </c>
      <c r="I9946">
        <v>-52.953449999999997</v>
      </c>
      <c r="J9946">
        <v>-207.3261</v>
      </c>
      <c r="K9946">
        <v>1.117494</v>
      </c>
      <c r="L9946">
        <v>-57.851840000000003</v>
      </c>
      <c r="M9946">
        <v>0.91038289999999999</v>
      </c>
      <c r="N9946">
        <v>0</v>
      </c>
      <c r="O9946">
        <v>0.41357870000000002</v>
      </c>
      <c r="P9946">
        <v>0.79534329999999998</v>
      </c>
      <c r="Q9946">
        <v>2.7895710000000001E-2</v>
      </c>
      <c r="R9946">
        <v>0.60551709999999903</v>
      </c>
      <c r="S9946">
        <v>1.968018</v>
      </c>
      <c r="T9946">
        <v>-0.53980850000000002</v>
      </c>
      <c r="U9946">
        <v>2.399597</v>
      </c>
      <c r="V9946">
        <v>-0.22302069999999999</v>
      </c>
      <c r="W9946">
        <v>3.6025189999999999E-2</v>
      </c>
      <c r="X9946">
        <v>0.97414780000000001</v>
      </c>
      <c r="Y9946">
        <v>-0.441021</v>
      </c>
      <c r="Z9946">
        <v>-3.484077E-2</v>
      </c>
      <c r="AA9946">
        <v>0.89682030000000001</v>
      </c>
      <c r="AB9946">
        <v>32</v>
      </c>
      <c r="AC9946">
        <v>3.9302999999999799</v>
      </c>
      <c r="AD9946">
        <v>-1.1174995836099999</v>
      </c>
      <c r="AE9946">
        <v>4.89839</v>
      </c>
      <c r="AF9946">
        <v>-2.74716142393634</v>
      </c>
      <c r="AG9946">
        <v>-1.1174995836099999</v>
      </c>
      <c r="AH9946">
        <v>5.4323824679553896</v>
      </c>
      <c r="AI9946">
        <v>100.402130410529</v>
      </c>
      <c r="AJ9946">
        <v>116.825770913713</v>
      </c>
      <c r="AK9946">
        <v>6.1892229307629298</v>
      </c>
      <c r="AL9946">
        <v>87.935461910652805</v>
      </c>
      <c r="AM9946">
        <v>102.89503006055401</v>
      </c>
      <c r="AN9946">
        <v>0.99999999159393305</v>
      </c>
    </row>
    <row r="9947" spans="1:40" x14ac:dyDescent="0.25">
      <c r="A9947" t="str">
        <f>"20190312150915705"</f>
        <v>20190312150915705</v>
      </c>
      <c r="B9947" t="str">
        <f>"1552374555699747"</f>
        <v>1552374555699747</v>
      </c>
      <c r="C9947" t="s">
        <v>40</v>
      </c>
      <c r="D9947">
        <v>4.7788890000000004</v>
      </c>
      <c r="E9947">
        <v>0.41106680000000001</v>
      </c>
      <c r="F9947" t="s">
        <v>73</v>
      </c>
      <c r="G9947">
        <v>-203.26499999999999</v>
      </c>
      <c r="H9947" s="1">
        <v>-5.6484979999999997E-6</v>
      </c>
      <c r="I9947">
        <v>-52.85501</v>
      </c>
      <c r="J9947">
        <v>-207.18010000000001</v>
      </c>
      <c r="K9947">
        <v>1.1174949999999999</v>
      </c>
      <c r="L9947">
        <v>-57.781280000000002</v>
      </c>
      <c r="M9947">
        <v>0.90850109999999995</v>
      </c>
      <c r="N9947">
        <v>0</v>
      </c>
      <c r="O9947">
        <v>0.41769630000000002</v>
      </c>
      <c r="P9947">
        <v>0.79265739999999996</v>
      </c>
      <c r="Q9947">
        <v>2.7993730000000001E-2</v>
      </c>
      <c r="R9947">
        <v>0.60902429999999996</v>
      </c>
      <c r="S9947">
        <v>1.9573210000000001</v>
      </c>
      <c r="T9947">
        <v>-0.5386031</v>
      </c>
      <c r="U9947">
        <v>2.408325</v>
      </c>
      <c r="V9947">
        <v>-0.22291630000000001</v>
      </c>
      <c r="W9947">
        <v>3.6125730000000002E-2</v>
      </c>
      <c r="X9947">
        <v>0.97416800000000003</v>
      </c>
      <c r="Y9947">
        <v>-0.4409999</v>
      </c>
      <c r="Z9947">
        <v>-3.5548940000000001E-2</v>
      </c>
      <c r="AA9947">
        <v>0.89680289999999996</v>
      </c>
      <c r="AB9947">
        <v>32</v>
      </c>
      <c r="AC9947">
        <v>3.9151000000000198</v>
      </c>
      <c r="AD9947">
        <v>-1.1175006484979999</v>
      </c>
      <c r="AE9947">
        <v>4.9262699999999997</v>
      </c>
      <c r="AF9947">
        <v>-2.7535758750935999</v>
      </c>
      <c r="AG9947">
        <v>-1.1175006484979999</v>
      </c>
      <c r="AH9947">
        <v>5.4433193629845498</v>
      </c>
      <c r="AI9947">
        <v>100.38103070251201</v>
      </c>
      <c r="AJ9947">
        <v>116.833177434036</v>
      </c>
      <c r="AK9947">
        <v>6.20167021750862</v>
      </c>
      <c r="AL9947">
        <v>87.929697696925999</v>
      </c>
      <c r="AM9947">
        <v>102.888936972473</v>
      </c>
      <c r="AN9947">
        <v>1.00000001869886</v>
      </c>
    </row>
    <row r="9948" spans="1:40" x14ac:dyDescent="0.25">
      <c r="A9948" t="str">
        <f>"20190312150915716"</f>
        <v>20190312150915716</v>
      </c>
      <c r="B9948" t="str">
        <f>"1552374555709508"</f>
        <v>1552374555709508</v>
      </c>
      <c r="C9948" t="s">
        <v>40</v>
      </c>
      <c r="D9948">
        <v>4.7829040000000003</v>
      </c>
      <c r="E9948">
        <v>0.41113179999999999</v>
      </c>
      <c r="F9948" t="s">
        <v>73</v>
      </c>
      <c r="G9948">
        <v>-203.13419999999999</v>
      </c>
      <c r="H9948" s="1">
        <v>-5.7127850000000004E-6</v>
      </c>
      <c r="I9948">
        <v>-52.760489999999997</v>
      </c>
      <c r="J9948">
        <v>-207.0351</v>
      </c>
      <c r="K9948">
        <v>1.117497</v>
      </c>
      <c r="L9948">
        <v>-57.709870000000002</v>
      </c>
      <c r="M9948">
        <v>0.90660719999999995</v>
      </c>
      <c r="N9948">
        <v>0</v>
      </c>
      <c r="O9948">
        <v>0.42179119999999998</v>
      </c>
      <c r="P9948">
        <v>0.7897054</v>
      </c>
      <c r="Q9948">
        <v>2.793027E-2</v>
      </c>
      <c r="R9948">
        <v>0.61285019999999901</v>
      </c>
      <c r="S9948">
        <v>1.947174</v>
      </c>
      <c r="T9948">
        <v>-0.53781849999999998</v>
      </c>
      <c r="U9948">
        <v>2.4163510000000001</v>
      </c>
      <c r="V9948">
        <v>-0.2232295</v>
      </c>
      <c r="W9948">
        <v>3.6056159999999997E-2</v>
      </c>
      <c r="X9948">
        <v>0.97409889999999999</v>
      </c>
      <c r="Y9948">
        <v>-0.44074279999999999</v>
      </c>
      <c r="Z9948">
        <v>-3.6301279999999998E-2</v>
      </c>
      <c r="AA9948">
        <v>0.89689909999999995</v>
      </c>
      <c r="AB9948">
        <v>32</v>
      </c>
      <c r="AC9948">
        <v>3.9009</v>
      </c>
      <c r="AD9948">
        <v>-1.1175027127849999</v>
      </c>
      <c r="AE9948">
        <v>4.9493799999999899</v>
      </c>
      <c r="AF9948">
        <v>-2.7553554380688299</v>
      </c>
      <c r="AG9948">
        <v>-1.1175027127849999</v>
      </c>
      <c r="AH9948">
        <v>5.4531487868644204</v>
      </c>
      <c r="AI9948">
        <v>100.36513349974901</v>
      </c>
      <c r="AJ9948">
        <v>116.806460123422</v>
      </c>
      <c r="AK9948">
        <v>6.21108908283066</v>
      </c>
      <c r="AL9948">
        <v>87.933686451625604</v>
      </c>
      <c r="AM9948">
        <v>102.907324961117</v>
      </c>
      <c r="AN9948">
        <v>1.0000000616627001</v>
      </c>
    </row>
    <row r="9949" spans="1:40" x14ac:dyDescent="0.25">
      <c r="A9949" t="str">
        <f>"20190312150915728"</f>
        <v>20190312150915728</v>
      </c>
      <c r="B9949" t="str">
        <f>"1552374555719268"</f>
        <v>1552374555719268</v>
      </c>
      <c r="C9949" t="s">
        <v>40</v>
      </c>
      <c r="D9949">
        <v>4.786727</v>
      </c>
      <c r="E9949">
        <v>0.41116140000000001</v>
      </c>
      <c r="F9949" t="s">
        <v>73</v>
      </c>
      <c r="G9949">
        <v>-203.00989999999999</v>
      </c>
      <c r="H9949" s="1">
        <v>-5.7744680000000003E-6</v>
      </c>
      <c r="I9949">
        <v>-52.66675</v>
      </c>
      <c r="J9949">
        <v>-206.89189999999999</v>
      </c>
      <c r="K9949">
        <v>1.1175010000000001</v>
      </c>
      <c r="L9949">
        <v>-57.638849999999998</v>
      </c>
      <c r="M9949">
        <v>0.90471590000000002</v>
      </c>
      <c r="N9949">
        <v>0</v>
      </c>
      <c r="O9949">
        <v>0.42583270000000001</v>
      </c>
      <c r="P9949">
        <v>0.78701750000000004</v>
      </c>
      <c r="Q9949">
        <v>2.8126160000000001E-2</v>
      </c>
      <c r="R9949">
        <v>0.61628930000000004</v>
      </c>
      <c r="S9949">
        <v>1.9357759999999999</v>
      </c>
      <c r="T9949">
        <v>-0.53741300000000003</v>
      </c>
      <c r="U9949">
        <v>2.425262</v>
      </c>
      <c r="V9949">
        <v>-0.2231387</v>
      </c>
      <c r="W9949">
        <v>3.6254389999999997E-2</v>
      </c>
      <c r="X9949">
        <v>0.97411230000000004</v>
      </c>
      <c r="Y9949">
        <v>-0.44096449999999998</v>
      </c>
      <c r="Z9949">
        <v>-3.7024460000000002E-2</v>
      </c>
      <c r="AA9949">
        <v>0.89676060000000002</v>
      </c>
      <c r="AB9949">
        <v>32</v>
      </c>
      <c r="AC9949">
        <v>3.8820000000000001</v>
      </c>
      <c r="AD9949">
        <v>-1.1175067744679901</v>
      </c>
      <c r="AE9949">
        <v>4.9720999999999904</v>
      </c>
      <c r="AF9949">
        <v>-2.7588918796819302</v>
      </c>
      <c r="AG9949">
        <v>-1.1175067744679901</v>
      </c>
      <c r="AH9949">
        <v>5.4585181144274504</v>
      </c>
      <c r="AI9949">
        <v>100.354580023842</v>
      </c>
      <c r="AJ9949">
        <v>116.81334511673001</v>
      </c>
      <c r="AK9949">
        <v>6.2173729018203003</v>
      </c>
      <c r="AL9949">
        <v>87.922321185585304</v>
      </c>
      <c r="AM9949">
        <v>102.902079009063</v>
      </c>
      <c r="AN9949">
        <v>1.0000000166216201</v>
      </c>
    </row>
    <row r="9950" spans="1:40" x14ac:dyDescent="0.25">
      <c r="A9950" t="str">
        <f>"20190312150915739"</f>
        <v>20190312150915739</v>
      </c>
      <c r="B9950" t="str">
        <f>"1552374555729028"</f>
        <v>1552374555729028</v>
      </c>
      <c r="C9950" t="s">
        <v>40</v>
      </c>
      <c r="D9950">
        <v>4.7914370000000002</v>
      </c>
      <c r="E9950">
        <v>0.41125200000000001</v>
      </c>
      <c r="F9950" t="s">
        <v>73</v>
      </c>
      <c r="G9950">
        <v>-202.88749999999999</v>
      </c>
      <c r="H9950" s="1">
        <v>-5.8347420000000001E-6</v>
      </c>
      <c r="I9950">
        <v>-52.577300000000001</v>
      </c>
      <c r="J9950">
        <v>-206.7483</v>
      </c>
      <c r="K9950">
        <v>1.117502</v>
      </c>
      <c r="L9950">
        <v>-57.56671</v>
      </c>
      <c r="M9950">
        <v>0.90279529999999997</v>
      </c>
      <c r="N9950">
        <v>0</v>
      </c>
      <c r="O9950">
        <v>0.42988969999999999</v>
      </c>
      <c r="P9950">
        <v>0.78425819999999902</v>
      </c>
      <c r="Q9950">
        <v>2.832378E-2</v>
      </c>
      <c r="R9950">
        <v>0.6197878</v>
      </c>
      <c r="S9950">
        <v>1.925354</v>
      </c>
      <c r="T9950">
        <v>-0.5373038</v>
      </c>
      <c r="U9950">
        <v>2.433624</v>
      </c>
      <c r="V9950">
        <v>-0.2231107</v>
      </c>
      <c r="W9950">
        <v>3.6452150000000003E-2</v>
      </c>
      <c r="X9950">
        <v>0.97411130000000001</v>
      </c>
      <c r="Y9950">
        <v>-0.44084640000000003</v>
      </c>
      <c r="Z9950">
        <v>-3.7798940000000003E-2</v>
      </c>
      <c r="AA9950">
        <v>0.89678630000000004</v>
      </c>
      <c r="AB9950">
        <v>32</v>
      </c>
      <c r="AC9950">
        <v>3.86080000000001</v>
      </c>
      <c r="AD9950">
        <v>-1.117507834742</v>
      </c>
      <c r="AE9950">
        <v>4.9894100000000003</v>
      </c>
      <c r="AF9950">
        <v>-2.75836826062406</v>
      </c>
      <c r="AG9950">
        <v>-1.117507834742</v>
      </c>
      <c r="AH9950">
        <v>5.4595392168265899</v>
      </c>
      <c r="AI9950">
        <v>100.353471389239</v>
      </c>
      <c r="AJ9950">
        <v>116.804653283568</v>
      </c>
      <c r="AK9950">
        <v>6.2180372853494097</v>
      </c>
      <c r="AL9950">
        <v>87.910982810119606</v>
      </c>
      <c r="AM9950">
        <v>102.90052699221199</v>
      </c>
      <c r="AN9950">
        <v>0.99999998424090097</v>
      </c>
    </row>
    <row r="9951" spans="1:40" x14ac:dyDescent="0.25">
      <c r="A9951" t="str">
        <f>"20190312150915749"</f>
        <v>20190312150915749</v>
      </c>
      <c r="B9951" t="str">
        <f>"1552374555739765"</f>
        <v>1552374555739765</v>
      </c>
      <c r="C9951" t="s">
        <v>40</v>
      </c>
      <c r="D9951">
        <v>4.8031240000000004</v>
      </c>
      <c r="E9951">
        <v>0.41126479999999999</v>
      </c>
      <c r="F9951" t="s">
        <v>73</v>
      </c>
      <c r="G9951">
        <v>-202.76419999999999</v>
      </c>
      <c r="H9951" s="1">
        <v>-5.8954520000000001E-6</v>
      </c>
      <c r="I9951">
        <v>-52.487419999999901</v>
      </c>
      <c r="J9951">
        <v>-206.62090000000001</v>
      </c>
      <c r="K9951">
        <v>1.117505</v>
      </c>
      <c r="L9951">
        <v>-57.502079999999999</v>
      </c>
      <c r="M9951">
        <v>0.90107349999999997</v>
      </c>
      <c r="N9951">
        <v>0</v>
      </c>
      <c r="O9951">
        <v>0.4334867</v>
      </c>
      <c r="P9951">
        <v>0.7815706</v>
      </c>
      <c r="Q9951">
        <v>2.8390789999999999E-2</v>
      </c>
      <c r="R9951">
        <v>0.62317060000000002</v>
      </c>
      <c r="S9951">
        <v>1.9151309999999999</v>
      </c>
      <c r="T9951">
        <v>-0.5371804</v>
      </c>
      <c r="U9951">
        <v>2.441589</v>
      </c>
      <c r="V9951">
        <v>-0.22343669999999999</v>
      </c>
      <c r="W9951">
        <v>3.6513139999999999E-2</v>
      </c>
      <c r="X9951">
        <v>0.97403430000000002</v>
      </c>
      <c r="Y9951">
        <v>-0.4410519</v>
      </c>
      <c r="Z9951">
        <v>-3.8457489999999997E-2</v>
      </c>
      <c r="AA9951">
        <v>0.89665729999999999</v>
      </c>
      <c r="AB9951">
        <v>32</v>
      </c>
      <c r="AC9951">
        <v>3.8567000000000098</v>
      </c>
      <c r="AD9951">
        <v>-1.1175108954520001</v>
      </c>
      <c r="AE9951">
        <v>5.0146600000000099</v>
      </c>
      <c r="AF9951">
        <v>-2.7608210840743399</v>
      </c>
      <c r="AG9951">
        <v>-1.1175108954520001</v>
      </c>
      <c r="AH9951">
        <v>5.4784469970484304</v>
      </c>
      <c r="AI9951">
        <v>100.32379915456001</v>
      </c>
      <c r="AJ9951">
        <v>116.745466997462</v>
      </c>
      <c r="AK9951">
        <v>6.2357313251287803</v>
      </c>
      <c r="AL9951">
        <v>87.9074860308138</v>
      </c>
      <c r="AM9951">
        <v>102.91973173243299</v>
      </c>
      <c r="AN9951">
        <v>0.999999992938019</v>
      </c>
    </row>
    <row r="9952" spans="1:40" x14ac:dyDescent="0.25">
      <c r="A9952" t="str">
        <f>"20190312150915760"</f>
        <v>20190312150915760</v>
      </c>
      <c r="B9952" t="str">
        <f>"1552374555749524"</f>
        <v>1552374555749524</v>
      </c>
      <c r="C9952" t="s">
        <v>40</v>
      </c>
      <c r="D9952">
        <v>4.9119349999999997</v>
      </c>
      <c r="E9952">
        <v>0.41159289999999998</v>
      </c>
      <c r="F9952" t="s">
        <v>73</v>
      </c>
      <c r="G9952">
        <v>-202.65860000000001</v>
      </c>
      <c r="H9952" s="1">
        <v>-5.9481830000000002E-6</v>
      </c>
      <c r="I9952">
        <v>-52.40569</v>
      </c>
      <c r="J9952">
        <v>-206.4914</v>
      </c>
      <c r="K9952">
        <v>1.117505</v>
      </c>
      <c r="L9952">
        <v>-57.435760000000002</v>
      </c>
      <c r="M9952">
        <v>0.89930519999999903</v>
      </c>
      <c r="N9952">
        <v>0</v>
      </c>
      <c r="O9952">
        <v>0.43714340000000002</v>
      </c>
      <c r="P9952">
        <v>0.77901039999999999</v>
      </c>
      <c r="Q9952">
        <v>2.847972E-2</v>
      </c>
      <c r="R9952">
        <v>0.62636389999999997</v>
      </c>
      <c r="S9952">
        <v>1.904663</v>
      </c>
      <c r="T9952">
        <v>-0.53717969999999904</v>
      </c>
      <c r="U9952">
        <v>2.4497990000000001</v>
      </c>
      <c r="V9952">
        <v>-0.22346940000000001</v>
      </c>
      <c r="W9952">
        <v>3.6601300000000003E-2</v>
      </c>
      <c r="X9952">
        <v>0.97402350000000004</v>
      </c>
      <c r="Y9952">
        <v>-0.44128990000000001</v>
      </c>
      <c r="Z9952">
        <v>-3.9132519999999997E-2</v>
      </c>
      <c r="AA9952">
        <v>0.89651099999999995</v>
      </c>
      <c r="AB9952">
        <v>32</v>
      </c>
      <c r="AC9952">
        <v>3.83279999999999</v>
      </c>
      <c r="AD9952">
        <v>-1.1175109481829999</v>
      </c>
      <c r="AE9952">
        <v>5.0300699999999896</v>
      </c>
      <c r="AF9952">
        <v>-2.7620559388879098</v>
      </c>
      <c r="AG9952">
        <v>-1.1175109481829999</v>
      </c>
      <c r="AH9952">
        <v>5.4751848969839196</v>
      </c>
      <c r="AI9952">
        <v>100.327681958696</v>
      </c>
      <c r="AJ9952">
        <v>116.76948602047599</v>
      </c>
      <c r="AK9952">
        <v>6.2334126596123696</v>
      </c>
      <c r="AL9952">
        <v>87.902431477769497</v>
      </c>
      <c r="AM9952">
        <v>102.921697544381</v>
      </c>
      <c r="AN9952">
        <v>1.0000000032251499</v>
      </c>
    </row>
    <row r="9953" spans="1:40" x14ac:dyDescent="0.25">
      <c r="A9953" t="str">
        <f>"20190312150915770"</f>
        <v>20190312150915770</v>
      </c>
      <c r="B9953" t="str">
        <f>"1552374555759284"</f>
        <v>1552374555759284</v>
      </c>
      <c r="C9953" t="s">
        <v>40</v>
      </c>
      <c r="D9953">
        <v>4.7623810000000004</v>
      </c>
      <c r="E9953">
        <v>0.4116805</v>
      </c>
      <c r="F9953" t="s">
        <v>73</v>
      </c>
      <c r="G9953">
        <v>-202.5333</v>
      </c>
      <c r="H9953" s="1">
        <v>-6.0104229999999997E-6</v>
      </c>
      <c r="I9953">
        <v>-52.310720000000003</v>
      </c>
      <c r="J9953">
        <v>-206.3612</v>
      </c>
      <c r="K9953">
        <v>1.1175060000000001</v>
      </c>
      <c r="L9953">
        <v>-57.36835</v>
      </c>
      <c r="M9953">
        <v>0.89750849999999904</v>
      </c>
      <c r="N9953">
        <v>0</v>
      </c>
      <c r="O9953">
        <v>0.4408205</v>
      </c>
      <c r="P9953">
        <v>0.77637239999999996</v>
      </c>
      <c r="Q9953">
        <v>2.8319670000000002E-2</v>
      </c>
      <c r="R9953">
        <v>0.62963780000000003</v>
      </c>
      <c r="S9953">
        <v>1.896317</v>
      </c>
      <c r="T9953">
        <v>-0.53540059999999901</v>
      </c>
      <c r="U9953">
        <v>2.4554140000000002</v>
      </c>
      <c r="V9953">
        <v>-0.223578</v>
      </c>
      <c r="W9953">
        <v>3.6438810000000002E-2</v>
      </c>
      <c r="X9953">
        <v>0.97400469999999895</v>
      </c>
      <c r="Y9953">
        <v>-0.44057099999999999</v>
      </c>
      <c r="Z9953">
        <v>-3.9777630000000001E-2</v>
      </c>
      <c r="AA9953">
        <v>0.89683609999999903</v>
      </c>
      <c r="AB9953">
        <v>32</v>
      </c>
      <c r="AC9953">
        <v>3.8279000000000001</v>
      </c>
      <c r="AD9953">
        <v>-1.1175120104230001</v>
      </c>
      <c r="AE9953">
        <v>5.0576299999999899</v>
      </c>
      <c r="AF9953">
        <v>-2.7662069649541201</v>
      </c>
      <c r="AG9953">
        <v>-1.1175120104230001</v>
      </c>
      <c r="AH9953">
        <v>5.4949551847003697</v>
      </c>
      <c r="AI9953">
        <v>100.295618607435</v>
      </c>
      <c r="AJ9953">
        <v>116.721070688203</v>
      </c>
      <c r="AK9953">
        <v>6.2526207743846003</v>
      </c>
      <c r="AL9953">
        <v>87.911747744336594</v>
      </c>
      <c r="AM9953">
        <v>102.928007359665</v>
      </c>
      <c r="AN9953">
        <v>1.0000000322901501</v>
      </c>
    </row>
    <row r="9954" spans="1:40" x14ac:dyDescent="0.25">
      <c r="A9954" t="str">
        <f>"20190312150915781"</f>
        <v>20190312150915781</v>
      </c>
      <c r="B9954" t="str">
        <f>"1552374555769044"</f>
        <v>1552374555769044</v>
      </c>
      <c r="C9954" t="s">
        <v>40</v>
      </c>
      <c r="D9954">
        <v>4.7543449999999998</v>
      </c>
      <c r="E9954">
        <v>0.4117442</v>
      </c>
      <c r="F9954" t="s">
        <v>73</v>
      </c>
      <c r="G9954">
        <v>-202.42760000000001</v>
      </c>
      <c r="H9954" s="1">
        <v>-6.06264599999999E-6</v>
      </c>
      <c r="I9954">
        <v>-52.232599999999998</v>
      </c>
      <c r="J9954">
        <v>-206.2234</v>
      </c>
      <c r="K9954">
        <v>1.1175040000000001</v>
      </c>
      <c r="L9954">
        <v>-57.29636</v>
      </c>
      <c r="M9954">
        <v>0.8955864</v>
      </c>
      <c r="N9954">
        <v>0</v>
      </c>
      <c r="O9954">
        <v>0.44471270000000002</v>
      </c>
      <c r="P9954">
        <v>0.77365989999999996</v>
      </c>
      <c r="Q9954">
        <v>2.813819E-2</v>
      </c>
      <c r="R9954">
        <v>0.63297599999999998</v>
      </c>
      <c r="S9954">
        <v>1.8863529999999999</v>
      </c>
      <c r="T9954">
        <v>-0.53589209999999998</v>
      </c>
      <c r="U9954">
        <v>2.462799</v>
      </c>
      <c r="V9954">
        <v>-0.2235386</v>
      </c>
      <c r="W9954">
        <v>3.6258680000000001E-2</v>
      </c>
      <c r="X9954">
        <v>0.97402040000000001</v>
      </c>
      <c r="Y9954">
        <v>-0.44030609999999998</v>
      </c>
      <c r="Z9954">
        <v>-4.0581810000000003E-2</v>
      </c>
      <c r="AA9954">
        <v>0.89693020000000001</v>
      </c>
      <c r="AB9954">
        <v>32</v>
      </c>
      <c r="AC9954">
        <v>3.7957999999999799</v>
      </c>
      <c r="AD9954">
        <v>-1.1175100626459999</v>
      </c>
      <c r="AE9954">
        <v>5.0637600000000003</v>
      </c>
      <c r="AF9954">
        <v>-2.7611186673843</v>
      </c>
      <c r="AG9954">
        <v>-1.1175100626459999</v>
      </c>
      <c r="AH9954">
        <v>5.4809193871989903</v>
      </c>
      <c r="AI9954">
        <v>100.319936845245</v>
      </c>
      <c r="AJ9954">
        <v>116.737560409902</v>
      </c>
      <c r="AK9954">
        <v>6.2380351365207103</v>
      </c>
      <c r="AL9954">
        <v>87.922075125131599</v>
      </c>
      <c r="AM9954">
        <v>102.925604295927</v>
      </c>
      <c r="AN9954">
        <v>0.99999996859073004</v>
      </c>
    </row>
    <row r="9955" spans="1:40" x14ac:dyDescent="0.25">
      <c r="A9955" t="str">
        <f>"20190312150915793"</f>
        <v>20190312150915793</v>
      </c>
      <c r="B9955" t="str">
        <f>"1552374555789539"</f>
        <v>1552374555789539</v>
      </c>
      <c r="C9955" t="s">
        <v>40</v>
      </c>
      <c r="D9955">
        <v>4.7543199999999999</v>
      </c>
      <c r="E9955">
        <v>0.41194120000000001</v>
      </c>
      <c r="F9955" t="s">
        <v>73</v>
      </c>
      <c r="G9955">
        <v>-202.3357</v>
      </c>
      <c r="H9955" s="1">
        <v>-6.1061400000000001E-6</v>
      </c>
      <c r="I9955">
        <v>-52.176729999999999</v>
      </c>
      <c r="J9955">
        <v>-206.08099999999999</v>
      </c>
      <c r="K9955">
        <v>1.117497</v>
      </c>
      <c r="L9955">
        <v>-57.220950000000002</v>
      </c>
      <c r="M9955">
        <v>0.89357659999999905</v>
      </c>
      <c r="N9955">
        <v>0</v>
      </c>
      <c r="O9955">
        <v>0.4487372</v>
      </c>
      <c r="P9955">
        <v>0.77072580000000002</v>
      </c>
      <c r="Q9955">
        <v>2.7861219999999999E-2</v>
      </c>
      <c r="R9955">
        <v>0.6365575</v>
      </c>
      <c r="S9955">
        <v>1.8760380000000001</v>
      </c>
      <c r="T9955">
        <v>-0.53925819999999902</v>
      </c>
      <c r="U9955">
        <v>2.4704899999999999</v>
      </c>
      <c r="V9955">
        <v>-0.2236649</v>
      </c>
      <c r="W9955">
        <v>3.5978959999999997E-2</v>
      </c>
      <c r="X9955">
        <v>0.97400180000000003</v>
      </c>
      <c r="Y9955">
        <v>-0.44003300000000001</v>
      </c>
      <c r="Z9955">
        <v>-4.1631210000000002E-2</v>
      </c>
      <c r="AA9955">
        <v>0.89701600000000004</v>
      </c>
      <c r="AB9955">
        <v>32</v>
      </c>
      <c r="AC9955">
        <v>3.7452999999999799</v>
      </c>
      <c r="AD9955">
        <v>-1.11750310614</v>
      </c>
      <c r="AE9955">
        <v>5.0442200000000001</v>
      </c>
      <c r="AF9955">
        <v>-2.7402641310669602</v>
      </c>
      <c r="AG9955">
        <v>-1.11750310614</v>
      </c>
      <c r="AH9955">
        <v>5.4386096854314303</v>
      </c>
      <c r="AI9955">
        <v>100.39806720427799</v>
      </c>
      <c r="AJ9955">
        <v>116.741423701538</v>
      </c>
      <c r="AK9955">
        <v>6.1916343569943804</v>
      </c>
      <c r="AL9955">
        <v>87.938112408995593</v>
      </c>
      <c r="AM9955">
        <v>102.932900496909</v>
      </c>
      <c r="AN9955">
        <v>0.99999998972896498</v>
      </c>
    </row>
    <row r="9956" spans="1:40" x14ac:dyDescent="0.25">
      <c r="A9956" t="str">
        <f>"20190312150915805"</f>
        <v>20190312150915805</v>
      </c>
      <c r="B9956" t="str">
        <f>"1552374555799299"</f>
        <v>1552374555799299</v>
      </c>
      <c r="C9956" t="s">
        <v>40</v>
      </c>
      <c r="D9956">
        <v>4.7576419999999997</v>
      </c>
      <c r="E9956">
        <v>0.4120721</v>
      </c>
      <c r="F9956" t="s">
        <v>73</v>
      </c>
      <c r="G9956">
        <v>-202.22300000000001</v>
      </c>
      <c r="H9956" s="1">
        <v>-6.1612410000000001E-6</v>
      </c>
      <c r="I9956">
        <v>-52.096980000000002</v>
      </c>
      <c r="J9956">
        <v>-205.94069999999999</v>
      </c>
      <c r="K9956">
        <v>1.1174959999999901</v>
      </c>
      <c r="L9956">
        <v>-57.146299999999997</v>
      </c>
      <c r="M9956">
        <v>0.89157640000000005</v>
      </c>
      <c r="N9956">
        <v>0</v>
      </c>
      <c r="O9956">
        <v>0.4526984</v>
      </c>
      <c r="P9956">
        <v>0.76794340000000005</v>
      </c>
      <c r="Q9956">
        <v>2.7672479999999999E-2</v>
      </c>
      <c r="R9956">
        <v>0.63991969999999898</v>
      </c>
      <c r="S9956">
        <v>1.865585</v>
      </c>
      <c r="T9956">
        <v>-0.54038120000000001</v>
      </c>
      <c r="U9956">
        <v>2.4777529999999999</v>
      </c>
      <c r="V9956">
        <v>-0.2235925</v>
      </c>
      <c r="W9956">
        <v>3.5792160000000003E-2</v>
      </c>
      <c r="X9956">
        <v>0.97402529999999998</v>
      </c>
      <c r="Y9956">
        <v>-0.43977369999999999</v>
      </c>
      <c r="Z9956">
        <v>-4.2509280000000003E-2</v>
      </c>
      <c r="AA9956">
        <v>0.89710210000000001</v>
      </c>
      <c r="AB9956">
        <v>32</v>
      </c>
      <c r="AC9956">
        <v>3.7176999999999998</v>
      </c>
      <c r="AD9956">
        <v>-1.1175021612410001</v>
      </c>
      <c r="AE9956">
        <v>5.04931999999999</v>
      </c>
      <c r="AF9956">
        <v>-2.7322922203077802</v>
      </c>
      <c r="AG9956">
        <v>-1.1175021612410001</v>
      </c>
      <c r="AH9956">
        <v>5.4284466267448899</v>
      </c>
      <c r="AI9956">
        <v>100.41924995856699</v>
      </c>
      <c r="AJ9956">
        <v>116.717417876224</v>
      </c>
      <c r="AK9956">
        <v>6.1791799323980401</v>
      </c>
      <c r="AL9956">
        <v>87.948822148926297</v>
      </c>
      <c r="AM9956">
        <v>102.92855337653501</v>
      </c>
      <c r="AN9956">
        <v>0.99999998490690201</v>
      </c>
    </row>
    <row r="9957" spans="1:40" x14ac:dyDescent="0.25">
      <c r="A9957" t="str">
        <f>"20190312150915816"</f>
        <v>20190312150915816</v>
      </c>
      <c r="B9957" t="str">
        <f>"1552374555809059"</f>
        <v>1552374555809059</v>
      </c>
      <c r="C9957" t="s">
        <v>40</v>
      </c>
      <c r="D9957">
        <v>4.7516030000000002</v>
      </c>
      <c r="E9957">
        <v>0.41221200000000002</v>
      </c>
      <c r="F9957" t="s">
        <v>73</v>
      </c>
      <c r="G9957">
        <v>-202.1165</v>
      </c>
      <c r="H9957" s="1">
        <v>-6.2128440000000004E-6</v>
      </c>
      <c r="I9957">
        <v>-52.024679999999996</v>
      </c>
      <c r="J9957">
        <v>-205.79040000000001</v>
      </c>
      <c r="K9957">
        <v>1.1174949999999999</v>
      </c>
      <c r="L9957">
        <v>-57.064819999999997</v>
      </c>
      <c r="M9957">
        <v>0.88940529999999995</v>
      </c>
      <c r="N9957">
        <v>0</v>
      </c>
      <c r="O9957">
        <v>0.4569493</v>
      </c>
      <c r="P9957">
        <v>0.76480729999999997</v>
      </c>
      <c r="Q9957">
        <v>2.731513E-2</v>
      </c>
      <c r="R9957">
        <v>0.64367989999999997</v>
      </c>
      <c r="S9957">
        <v>1.855423</v>
      </c>
      <c r="T9957">
        <v>-0.54218580000000005</v>
      </c>
      <c r="U9957">
        <v>2.4848940000000002</v>
      </c>
      <c r="V9957">
        <v>-0.22370970000000001</v>
      </c>
      <c r="W9957">
        <v>3.5432369999999998E-2</v>
      </c>
      <c r="X9957">
        <v>0.97401159999999998</v>
      </c>
      <c r="Y9957">
        <v>-0.4391331</v>
      </c>
      <c r="Z9957">
        <v>-4.3533849999999999E-2</v>
      </c>
      <c r="AA9957">
        <v>0.89736659999999902</v>
      </c>
      <c r="AB9957">
        <v>32</v>
      </c>
      <c r="AC9957">
        <v>3.6739000000000002</v>
      </c>
      <c r="AD9957">
        <v>-1.1175012128440001</v>
      </c>
      <c r="AE9957">
        <v>5.0401400000000001</v>
      </c>
      <c r="AF9957">
        <v>-2.7169385008834799</v>
      </c>
      <c r="AG9957">
        <v>-1.1175012128440001</v>
      </c>
      <c r="AH9957">
        <v>5.3978236980941698</v>
      </c>
      <c r="AI9957">
        <v>100.47700093506801</v>
      </c>
      <c r="AJ9957">
        <v>116.717923266244</v>
      </c>
      <c r="AK9957">
        <v>6.1454913923947396</v>
      </c>
      <c r="AL9957">
        <v>87.9694497938371</v>
      </c>
      <c r="AM9957">
        <v>102.935278058039</v>
      </c>
      <c r="AN9957">
        <v>1.0000000398262301</v>
      </c>
    </row>
    <row r="9958" spans="1:40" x14ac:dyDescent="0.25">
      <c r="A9958" t="str">
        <f>"20190312150915827"</f>
        <v>20190312150915827</v>
      </c>
      <c r="B9958" t="str">
        <f>"1552374555818819"</f>
        <v>1552374555818819</v>
      </c>
      <c r="C9958" t="s">
        <v>40</v>
      </c>
      <c r="D9958">
        <v>4.7585920000000002</v>
      </c>
      <c r="E9958">
        <v>0.41238209999999997</v>
      </c>
      <c r="F9958" t="s">
        <v>73</v>
      </c>
      <c r="G9958">
        <v>-202.0034</v>
      </c>
      <c r="H9958" s="1">
        <v>-6.268184E-6</v>
      </c>
      <c r="I9958">
        <v>-51.944459999999999</v>
      </c>
      <c r="J9958">
        <v>-205.65809999999999</v>
      </c>
      <c r="K9958">
        <v>1.1174930000000001</v>
      </c>
      <c r="L9958">
        <v>-56.99268</v>
      </c>
      <c r="M9958">
        <v>0.88747389999999904</v>
      </c>
      <c r="N9958">
        <v>0</v>
      </c>
      <c r="O9958">
        <v>0.46068890000000001</v>
      </c>
      <c r="P9958">
        <v>0.76202209999999904</v>
      </c>
      <c r="Q9958">
        <v>2.7273229999999999E-2</v>
      </c>
      <c r="R9958">
        <v>0.64697640000000001</v>
      </c>
      <c r="S9958">
        <v>1.843842</v>
      </c>
      <c r="T9958">
        <v>-0.54409110000000005</v>
      </c>
      <c r="U9958">
        <v>2.4930110000000001</v>
      </c>
      <c r="V9958">
        <v>-0.22381499999999999</v>
      </c>
      <c r="W9958">
        <v>3.5388059999999999E-2</v>
      </c>
      <c r="X9958">
        <v>0.97398899999999999</v>
      </c>
      <c r="Y9958">
        <v>-0.4394807</v>
      </c>
      <c r="Z9958">
        <v>-4.4384649999999998E-2</v>
      </c>
      <c r="AA9958">
        <v>0.89715480000000003</v>
      </c>
      <c r="AB9958">
        <v>32</v>
      </c>
      <c r="AC9958">
        <v>3.6546999999999898</v>
      </c>
      <c r="AD9958">
        <v>-1.1174992681839999</v>
      </c>
      <c r="AE9958">
        <v>5.0482199999999997</v>
      </c>
      <c r="AF9958">
        <v>-2.7095846773847598</v>
      </c>
      <c r="AG9958">
        <v>-1.1174992681839999</v>
      </c>
      <c r="AH9958">
        <v>5.3960529643670903</v>
      </c>
      <c r="AI9958">
        <v>100.485271628303</v>
      </c>
      <c r="AJ9958">
        <v>116.66314780453899</v>
      </c>
      <c r="AK9958">
        <v>6.1406873664570298</v>
      </c>
      <c r="AL9958">
        <v>87.971990123817406</v>
      </c>
      <c r="AM9958">
        <v>102.941451928427</v>
      </c>
      <c r="AN9958">
        <v>1.00000002056828</v>
      </c>
    </row>
    <row r="9959" spans="1:40" x14ac:dyDescent="0.25">
      <c r="A9959" t="str">
        <f>"20190312150915838"</f>
        <v>20190312150915838</v>
      </c>
      <c r="B9959" t="str">
        <f>"1552374555829556"</f>
        <v>1552374555829556</v>
      </c>
      <c r="C9959" t="s">
        <v>40</v>
      </c>
      <c r="D9959">
        <v>4.7565160000000004</v>
      </c>
      <c r="E9959">
        <v>0.4125317</v>
      </c>
      <c r="F9959" t="s">
        <v>73</v>
      </c>
      <c r="G9959">
        <v>-201.8897</v>
      </c>
      <c r="H9959" s="1">
        <v>-6.325062E-6</v>
      </c>
      <c r="I9959">
        <v>-51.855739999999997</v>
      </c>
      <c r="J9959">
        <v>-205.52539999999999</v>
      </c>
      <c r="K9959">
        <v>1.1174919999999999</v>
      </c>
      <c r="L9959">
        <v>-56.919370000000001</v>
      </c>
      <c r="M9959">
        <v>0.88551619999999998</v>
      </c>
      <c r="N9959">
        <v>0</v>
      </c>
      <c r="O9959">
        <v>0.46444069999999998</v>
      </c>
      <c r="P9959">
        <v>0.75929099999999905</v>
      </c>
      <c r="Q9959">
        <v>2.707072E-2</v>
      </c>
      <c r="R9959">
        <v>0.65018799999999999</v>
      </c>
      <c r="S9959">
        <v>1.8338779999999999</v>
      </c>
      <c r="T9959">
        <v>-0.5438347</v>
      </c>
      <c r="U9959">
        <v>2.499908</v>
      </c>
      <c r="V9959">
        <v>-0.22379850000000001</v>
      </c>
      <c r="W9959">
        <v>3.5186479999999999E-2</v>
      </c>
      <c r="X9959">
        <v>0.97400010000000004</v>
      </c>
      <c r="Y9959">
        <v>-0.43923050000000002</v>
      </c>
      <c r="Z9959">
        <v>-4.5121080000000001E-2</v>
      </c>
      <c r="AA9959">
        <v>0.89724059999999894</v>
      </c>
      <c r="AB9959">
        <v>32</v>
      </c>
      <c r="AC9959">
        <v>3.6356999999999799</v>
      </c>
      <c r="AD9959">
        <v>-1.1174983250620001</v>
      </c>
      <c r="AE9959">
        <v>5.0636299999999803</v>
      </c>
      <c r="AF9959">
        <v>-2.70853302023691</v>
      </c>
      <c r="AG9959">
        <v>-1.1174983250620001</v>
      </c>
      <c r="AH9959">
        <v>5.3981798904223002</v>
      </c>
      <c r="AI9959">
        <v>100.48283689488601</v>
      </c>
      <c r="AJ9959">
        <v>116.645177395014</v>
      </c>
      <c r="AK9959">
        <v>6.1420924575904703</v>
      </c>
      <c r="AL9959">
        <v>87.983547015071494</v>
      </c>
      <c r="AM9959">
        <v>102.940387470369</v>
      </c>
      <c r="AN9959">
        <v>1.00000002588852</v>
      </c>
    </row>
    <row r="9960" spans="1:40" x14ac:dyDescent="0.25">
      <c r="A9960" t="str">
        <f>"20190312150915849"</f>
        <v>20190312150915849</v>
      </c>
      <c r="B9960" t="str">
        <f>"1552374555839316"</f>
        <v>1552374555839316</v>
      </c>
      <c r="C9960" t="s">
        <v>40</v>
      </c>
      <c r="D9960">
        <v>4.74336</v>
      </c>
      <c r="E9960">
        <v>0.41264060000000002</v>
      </c>
      <c r="F9960" t="s">
        <v>73</v>
      </c>
      <c r="G9960">
        <v>-201.77760000000001</v>
      </c>
      <c r="H9960" s="1">
        <v>-6.3809080000000004E-6</v>
      </c>
      <c r="I9960">
        <v>-51.769860000000001</v>
      </c>
      <c r="J9960">
        <v>-205.39240000000001</v>
      </c>
      <c r="K9960">
        <v>1.1174930000000001</v>
      </c>
      <c r="L9960">
        <v>-56.84534</v>
      </c>
      <c r="M9960">
        <v>0.88353470000000001</v>
      </c>
      <c r="N9960">
        <v>0</v>
      </c>
      <c r="O9960">
        <v>0.46819929999999899</v>
      </c>
      <c r="P9960">
        <v>0.75634749999999995</v>
      </c>
      <c r="Q9960">
        <v>2.686858E-2</v>
      </c>
      <c r="R9960">
        <v>0.65361819999999904</v>
      </c>
      <c r="S9960">
        <v>1.824173</v>
      </c>
      <c r="T9960">
        <v>-0.54392369999999901</v>
      </c>
      <c r="U9960">
        <v>2.5064389999999999</v>
      </c>
      <c r="V9960">
        <v>-0.2240606</v>
      </c>
      <c r="W9960">
        <v>3.4978710000000003E-2</v>
      </c>
      <c r="X9960">
        <v>0.97394729999999996</v>
      </c>
      <c r="Y9960">
        <v>-0.43884390000000001</v>
      </c>
      <c r="Z9960">
        <v>-4.590122E-2</v>
      </c>
      <c r="AA9960">
        <v>0.89739020000000003</v>
      </c>
      <c r="AB9960">
        <v>32</v>
      </c>
      <c r="AC9960">
        <v>3.6147999999999998</v>
      </c>
      <c r="AD9960">
        <v>-1.1174993809080001</v>
      </c>
      <c r="AE9960">
        <v>5.0754799999999998</v>
      </c>
      <c r="AF9960">
        <v>-2.7051281944740602</v>
      </c>
      <c r="AG9960">
        <v>-1.1174993809080001</v>
      </c>
      <c r="AH9960">
        <v>5.39698775940807</v>
      </c>
      <c r="AI9960">
        <v>100.48724750292099</v>
      </c>
      <c r="AJ9960">
        <v>116.62136871073599</v>
      </c>
      <c r="AK9960">
        <v>6.1395439806282699</v>
      </c>
      <c r="AL9960">
        <v>87.995458645430503</v>
      </c>
      <c r="AM9960">
        <v>102.955710145803</v>
      </c>
      <c r="AN9960">
        <v>1.00000000290145</v>
      </c>
    </row>
    <row r="9961" spans="1:40" x14ac:dyDescent="0.25">
      <c r="A9961" t="str">
        <f>"20190312150915859"</f>
        <v>20190312150915859</v>
      </c>
      <c r="B9961" t="str">
        <f>"1552374555849076"</f>
        <v>1552374555849076</v>
      </c>
      <c r="C9961" t="s">
        <v>40</v>
      </c>
      <c r="D9961">
        <v>4.7650030000000001</v>
      </c>
      <c r="E9961">
        <v>0.41272959999999898</v>
      </c>
      <c r="F9961" t="s">
        <v>73</v>
      </c>
      <c r="G9961">
        <v>-201.6686</v>
      </c>
      <c r="H9961" s="1">
        <v>-6.4357089999999997E-6</v>
      </c>
      <c r="I9961">
        <v>-51.683109999999999</v>
      </c>
      <c r="J9961">
        <v>-205.25399999999999</v>
      </c>
      <c r="K9961">
        <v>1.1174959999999901</v>
      </c>
      <c r="L9961">
        <v>-56.76746</v>
      </c>
      <c r="M9961">
        <v>0.88144889999999998</v>
      </c>
      <c r="N9961">
        <v>0</v>
      </c>
      <c r="O9961">
        <v>0.47211439999999999</v>
      </c>
      <c r="P9961">
        <v>0.75341789999999997</v>
      </c>
      <c r="Q9961">
        <v>2.6637190000000002E-2</v>
      </c>
      <c r="R9961">
        <v>0.65700230000000004</v>
      </c>
      <c r="S9961">
        <v>1.8133699999999999</v>
      </c>
      <c r="T9961">
        <v>-0.54418269999999902</v>
      </c>
      <c r="U9961">
        <v>2.5138240000000001</v>
      </c>
      <c r="V9961">
        <v>-0.2240982</v>
      </c>
      <c r="W9961">
        <v>3.4746630000000001E-2</v>
      </c>
      <c r="X9961">
        <v>0.97394689999999995</v>
      </c>
      <c r="Y9961">
        <v>-0.43869140000000001</v>
      </c>
      <c r="Z9961">
        <v>-4.6704860000000001E-2</v>
      </c>
      <c r="AA9961">
        <v>0.89742330000000003</v>
      </c>
      <c r="AB9961">
        <v>32</v>
      </c>
      <c r="AC9961">
        <v>3.5854000000000199</v>
      </c>
      <c r="AD9961">
        <v>-1.11750243570899</v>
      </c>
      <c r="AE9961">
        <v>5.0843499999999997</v>
      </c>
      <c r="AF9961">
        <v>-2.7019176457831202</v>
      </c>
      <c r="AG9961">
        <v>-1.11750243570899</v>
      </c>
      <c r="AH9961">
        <v>5.3873559073077404</v>
      </c>
      <c r="AI9961">
        <v>100.50437292804</v>
      </c>
      <c r="AJ9961">
        <v>116.635113109043</v>
      </c>
      <c r="AK9961">
        <v>6.1296634761146001</v>
      </c>
      <c r="AL9961">
        <v>88.0087638282494</v>
      </c>
      <c r="AM9961">
        <v>102.95781603595999</v>
      </c>
      <c r="AN9961">
        <v>0.99999994777960199</v>
      </c>
    </row>
    <row r="9962" spans="1:40" x14ac:dyDescent="0.25">
      <c r="A9962" t="str">
        <f>"20190312150915871"</f>
        <v>20190312150915871</v>
      </c>
      <c r="B9962" t="str">
        <f>"1552374555858835"</f>
        <v>1552374555858835</v>
      </c>
      <c r="C9962" t="s">
        <v>40</v>
      </c>
      <c r="D9962">
        <v>4.7444540000000002</v>
      </c>
      <c r="E9962">
        <v>0.41284280000000001</v>
      </c>
      <c r="F9962" t="s">
        <v>73</v>
      </c>
      <c r="G9962">
        <v>-201.55709999999999</v>
      </c>
      <c r="H9962" s="1">
        <v>-6.4913610000000002E-6</v>
      </c>
      <c r="I9962">
        <v>-51.596899999999998</v>
      </c>
      <c r="J9962">
        <v>-205.1215</v>
      </c>
      <c r="K9962">
        <v>1.1174959999999901</v>
      </c>
      <c r="L9962">
        <v>-56.692079999999997</v>
      </c>
      <c r="M9962">
        <v>0.8794324</v>
      </c>
      <c r="N9962">
        <v>0</v>
      </c>
      <c r="O9962">
        <v>0.47586010000000001</v>
      </c>
      <c r="P9962">
        <v>0.75049200000000005</v>
      </c>
      <c r="Q9962">
        <v>2.6320010000000001E-2</v>
      </c>
      <c r="R9962">
        <v>0.66035519999999903</v>
      </c>
      <c r="S9962">
        <v>1.8025819999999999</v>
      </c>
      <c r="T9962">
        <v>-0.54489719999999997</v>
      </c>
      <c r="U9962">
        <v>2.5211790000000001</v>
      </c>
      <c r="V9962">
        <v>-0.2242865</v>
      </c>
      <c r="W9962">
        <v>3.4425909999999997E-2</v>
      </c>
      <c r="X9962">
        <v>0.97391499999999998</v>
      </c>
      <c r="Y9962">
        <v>-0.43869049999999998</v>
      </c>
      <c r="Z9962">
        <v>-4.7501929999999998E-2</v>
      </c>
      <c r="AA9962">
        <v>0.89738189999999995</v>
      </c>
      <c r="AB9962">
        <v>32</v>
      </c>
      <c r="AC9962">
        <v>3.5644</v>
      </c>
      <c r="AD9962">
        <v>-1.1175024913610001</v>
      </c>
      <c r="AE9962">
        <v>5.09518</v>
      </c>
      <c r="AF9962">
        <v>-2.6977953659938101</v>
      </c>
      <c r="AG9962">
        <v>-1.1175024913610001</v>
      </c>
      <c r="AH9962">
        <v>5.3857288924150701</v>
      </c>
      <c r="AI9962">
        <v>100.51000284533301</v>
      </c>
      <c r="AJ9962">
        <v>116.60700166077901</v>
      </c>
      <c r="AK9962">
        <v>6.1264171713628999</v>
      </c>
      <c r="AL9962">
        <v>88.027150839875105</v>
      </c>
      <c r="AM9962">
        <v>102.96874641781299</v>
      </c>
      <c r="AN9962">
        <v>1.00000000229328</v>
      </c>
    </row>
    <row r="9963" spans="1:40" x14ac:dyDescent="0.25">
      <c r="A9963" t="str">
        <f>"20190312150915882"</f>
        <v>20190312150915882</v>
      </c>
      <c r="B9963" t="str">
        <f>"1552374555879331"</f>
        <v>1552374555879331</v>
      </c>
      <c r="C9963" t="s">
        <v>40</v>
      </c>
      <c r="D9963">
        <v>4.747897</v>
      </c>
      <c r="E9963">
        <v>0.4131938</v>
      </c>
      <c r="F9963" t="s">
        <v>73</v>
      </c>
      <c r="G9963">
        <v>-201.453</v>
      </c>
      <c r="H9963" s="1">
        <v>-6.5434160000000003E-6</v>
      </c>
      <c r="I9963">
        <v>-51.516030000000001</v>
      </c>
      <c r="J9963">
        <v>-204.98699999999999</v>
      </c>
      <c r="K9963">
        <v>1.117494</v>
      </c>
      <c r="L9963">
        <v>-56.614989999999999</v>
      </c>
      <c r="M9963">
        <v>0.87736460000000005</v>
      </c>
      <c r="N9963">
        <v>0</v>
      </c>
      <c r="O9963">
        <v>0.47966180000000003</v>
      </c>
      <c r="P9963">
        <v>0.74756929999999999</v>
      </c>
      <c r="Q9963">
        <v>2.631588E-2</v>
      </c>
      <c r="R9963">
        <v>0.66366230000000004</v>
      </c>
      <c r="S9963">
        <v>1.7919309999999999</v>
      </c>
      <c r="T9963">
        <v>-0.54584809999999995</v>
      </c>
      <c r="U9963">
        <v>2.5282589999999998</v>
      </c>
      <c r="V9963">
        <v>-0.22437099999999999</v>
      </c>
      <c r="W9963">
        <v>3.442067E-2</v>
      </c>
      <c r="X9963">
        <v>0.97389570000000003</v>
      </c>
      <c r="Y9963">
        <v>-0.43854769999999998</v>
      </c>
      <c r="Z9963">
        <v>-4.8347389999999997E-2</v>
      </c>
      <c r="AA9963">
        <v>0.8974065</v>
      </c>
      <c r="AB9963">
        <v>32</v>
      </c>
      <c r="AC9963">
        <v>3.53399999999999</v>
      </c>
      <c r="AD9963">
        <v>-1.1175005434159999</v>
      </c>
      <c r="AE9963">
        <v>5.0989599999999902</v>
      </c>
      <c r="AF9963">
        <v>-2.6914126975055601</v>
      </c>
      <c r="AG9963">
        <v>-1.1175005434159999</v>
      </c>
      <c r="AH9963">
        <v>5.3724980750247404</v>
      </c>
      <c r="AI9963">
        <v>100.535101053296</v>
      </c>
      <c r="AJ9963">
        <v>116.609089114528</v>
      </c>
      <c r="AK9963">
        <v>6.11197556760282</v>
      </c>
      <c r="AL9963">
        <v>88.027451206413502</v>
      </c>
      <c r="AM9963">
        <v>102.973715527053</v>
      </c>
      <c r="AN9963">
        <v>0.99999998132136902</v>
      </c>
    </row>
    <row r="9964" spans="1:40" x14ac:dyDescent="0.25">
      <c r="A9964" t="str">
        <f>"20190312150915894"</f>
        <v>20190312150915894</v>
      </c>
      <c r="B9964" t="str">
        <f>"1552374555889091"</f>
        <v>1552374555889091</v>
      </c>
      <c r="C9964" t="s">
        <v>40</v>
      </c>
      <c r="D9964">
        <v>4.7537050000000001</v>
      </c>
      <c r="E9964">
        <v>0.4131938</v>
      </c>
      <c r="F9964" t="s">
        <v>73</v>
      </c>
      <c r="G9964">
        <v>-201.3272</v>
      </c>
      <c r="H9964" s="1">
        <v>-6.6072909999999998E-6</v>
      </c>
      <c r="I9964">
        <v>-51.411729999999999</v>
      </c>
      <c r="J9964">
        <v>-204.84190000000001</v>
      </c>
      <c r="K9964">
        <v>1.117497</v>
      </c>
      <c r="L9964">
        <v>-56.53058</v>
      </c>
      <c r="M9964">
        <v>0.8751061</v>
      </c>
      <c r="N9964">
        <v>0</v>
      </c>
      <c r="O9964">
        <v>0.48376999999999998</v>
      </c>
      <c r="P9964">
        <v>0.74439359999999999</v>
      </c>
      <c r="Q9964">
        <v>2.6186069999999999E-2</v>
      </c>
      <c r="R9964">
        <v>0.66722740000000003</v>
      </c>
      <c r="S9964">
        <v>1.78244</v>
      </c>
      <c r="T9964">
        <v>-0.54425780000000001</v>
      </c>
      <c r="U9964">
        <v>2.5341490000000002</v>
      </c>
      <c r="V9964">
        <v>-0.22445519999999999</v>
      </c>
      <c r="W9964">
        <v>3.4289140000000003E-2</v>
      </c>
      <c r="X9964">
        <v>0.97388090000000005</v>
      </c>
      <c r="Y9964">
        <v>-0.43762060000000003</v>
      </c>
      <c r="Z9964">
        <v>-4.910577E-2</v>
      </c>
      <c r="AA9964">
        <v>0.89781789999999995</v>
      </c>
      <c r="AB9964">
        <v>32</v>
      </c>
      <c r="AC9964">
        <v>3.5146999999999999</v>
      </c>
      <c r="AD9964">
        <v>-1.1175036072910001</v>
      </c>
      <c r="AE9964">
        <v>5.1188500000000001</v>
      </c>
      <c r="AF9964">
        <v>-2.6922456998655901</v>
      </c>
      <c r="AG9964">
        <v>-1.1175036072910001</v>
      </c>
      <c r="AH9964">
        <v>5.3783116555243202</v>
      </c>
      <c r="AI9964">
        <v>100.525588835235</v>
      </c>
      <c r="AJ9964">
        <v>116.59137853860599</v>
      </c>
      <c r="AK9964">
        <v>6.1174535130805801</v>
      </c>
      <c r="AL9964">
        <v>88.034991699590606</v>
      </c>
      <c r="AM9964">
        <v>102.978609935222</v>
      </c>
      <c r="AN9964">
        <v>0.99999994465689301</v>
      </c>
    </row>
    <row r="9965" spans="1:40" x14ac:dyDescent="0.25">
      <c r="A9965" t="str">
        <f>"20190312150915907"</f>
        <v>20190312150915907</v>
      </c>
      <c r="B9965" t="str">
        <f>"1552374555898851"</f>
        <v>1552374555898851</v>
      </c>
      <c r="C9965" t="s">
        <v>40</v>
      </c>
      <c r="D9965">
        <v>4.7549359999999998</v>
      </c>
      <c r="E9965">
        <v>0.43736039999999998</v>
      </c>
      <c r="F9965" t="s">
        <v>73</v>
      </c>
      <c r="G9965">
        <v>-201.20859999999999</v>
      </c>
      <c r="H9965" s="1">
        <v>-6.6677529999999997E-6</v>
      </c>
      <c r="I9965">
        <v>-51.311990000000002</v>
      </c>
      <c r="J9965">
        <v>-204.69239999999999</v>
      </c>
      <c r="K9965">
        <v>1.117497</v>
      </c>
      <c r="L9965">
        <v>-56.443080000000002</v>
      </c>
      <c r="M9965">
        <v>0.87275579999999997</v>
      </c>
      <c r="N9965">
        <v>0</v>
      </c>
      <c r="O9965">
        <v>0.48799730000000002</v>
      </c>
      <c r="P9965">
        <v>0.74113030000000002</v>
      </c>
      <c r="Q9965">
        <v>2.6060449999999999E-2</v>
      </c>
      <c r="R9965">
        <v>0.67085519999999998</v>
      </c>
      <c r="S9965">
        <v>1.7702180000000001</v>
      </c>
      <c r="T9965">
        <v>-0.54447730000000005</v>
      </c>
      <c r="U9965">
        <v>2.5426329999999999</v>
      </c>
      <c r="V9965">
        <v>-0.22449649999999999</v>
      </c>
      <c r="W9965">
        <v>3.4162850000000002E-2</v>
      </c>
      <c r="X9965">
        <v>0.97387590000000002</v>
      </c>
      <c r="Y9965">
        <v>-0.43763020000000002</v>
      </c>
      <c r="Z9965">
        <v>-4.9953570000000003E-2</v>
      </c>
      <c r="AA9965">
        <v>0.89776639999999996</v>
      </c>
      <c r="AB9965">
        <v>32</v>
      </c>
      <c r="AC9965">
        <v>3.4838</v>
      </c>
      <c r="AD9965">
        <v>-1.1175036677529999</v>
      </c>
      <c r="AE9965">
        <v>5.1310900000000004</v>
      </c>
      <c r="AF9965">
        <v>-2.6909548666902898</v>
      </c>
      <c r="AG9965">
        <v>-1.1175036677529999</v>
      </c>
      <c r="AH9965">
        <v>5.3705356848529604</v>
      </c>
      <c r="AI9965">
        <v>100.538489615614</v>
      </c>
      <c r="AJ9965">
        <v>116.61356841560701</v>
      </c>
      <c r="AK9965">
        <v>6.1100495975306597</v>
      </c>
      <c r="AL9965">
        <v>88.042231980684306</v>
      </c>
      <c r="AM9965">
        <v>102.980981524767</v>
      </c>
      <c r="AN9965">
        <v>1.00000002371659</v>
      </c>
    </row>
    <row r="9966" spans="1:40" x14ac:dyDescent="0.25">
      <c r="A9966" t="str">
        <f>"20190312150915919"</f>
        <v>20190312150915919</v>
      </c>
      <c r="B9966" t="str">
        <f>"1552374555909588"</f>
        <v>1552374555909588</v>
      </c>
      <c r="C9966" t="s">
        <v>40</v>
      </c>
      <c r="D9966">
        <v>4.7586839999999997</v>
      </c>
      <c r="E9966">
        <v>0.440747</v>
      </c>
      <c r="F9966" t="s">
        <v>73</v>
      </c>
      <c r="G9966">
        <v>-200.08109999999999</v>
      </c>
      <c r="H9966" s="1">
        <v>-7.2106579999999902E-6</v>
      </c>
      <c r="I9966">
        <v>-50.567999999999998</v>
      </c>
      <c r="J9966">
        <v>-204.54239999999999</v>
      </c>
      <c r="K9966">
        <v>1.1174980000000001</v>
      </c>
      <c r="L9966">
        <v>-56.354030000000002</v>
      </c>
      <c r="M9966">
        <v>0.87036919999999995</v>
      </c>
      <c r="N9966">
        <v>0</v>
      </c>
      <c r="O9966">
        <v>0.49224129999999999</v>
      </c>
      <c r="P9966">
        <v>0.7377437</v>
      </c>
      <c r="Q9966">
        <v>2.588737E-2</v>
      </c>
      <c r="R9966">
        <v>0.67458439999999997</v>
      </c>
      <c r="S9966">
        <v>1.8873439999999999</v>
      </c>
      <c r="T9966">
        <v>-0.45738689999999999</v>
      </c>
      <c r="U9966">
        <v>2.404633</v>
      </c>
      <c r="V9966">
        <v>-0.2246599</v>
      </c>
      <c r="W9966">
        <v>3.3986049999999997E-2</v>
      </c>
      <c r="X9966">
        <v>0.9738443</v>
      </c>
      <c r="Y9966">
        <v>-0.38148670000000001</v>
      </c>
      <c r="Z9966">
        <v>-4.7510620000000003E-2</v>
      </c>
      <c r="AA9966">
        <v>0.92315259999999999</v>
      </c>
      <c r="AB9966">
        <v>32</v>
      </c>
      <c r="AC9966">
        <v>4.4612999999999898</v>
      </c>
      <c r="AD9966">
        <v>-1.1175052106579999</v>
      </c>
      <c r="AE9966">
        <v>5.7860299999999896</v>
      </c>
      <c r="AF9966">
        <v>-2.77524287144719</v>
      </c>
      <c r="AG9966">
        <v>-1.1175052106579999</v>
      </c>
      <c r="AH9966">
        <v>6.5777444104209097</v>
      </c>
      <c r="AI9966">
        <v>98.896323328893303</v>
      </c>
      <c r="AJ9966">
        <v>112.875565165872</v>
      </c>
      <c r="AK9966">
        <v>7.2261685850933297</v>
      </c>
      <c r="AL9966">
        <v>88.052367560899697</v>
      </c>
      <c r="AM9966">
        <v>102.99051661081801</v>
      </c>
      <c r="AN9966">
        <v>0.99999992145254801</v>
      </c>
    </row>
    <row r="9967" spans="1:40" x14ac:dyDescent="0.25">
      <c r="A9967" t="str">
        <f>"20190312150915933"</f>
        <v>20190312150915933</v>
      </c>
      <c r="B9967" t="str">
        <f>"1552374555929109"</f>
        <v>1552374555929109</v>
      </c>
      <c r="C9967" t="s">
        <v>40</v>
      </c>
      <c r="D9967">
        <v>4.7160710000000003</v>
      </c>
      <c r="E9967">
        <v>0.44350279999999997</v>
      </c>
      <c r="F9967" t="s">
        <v>73</v>
      </c>
      <c r="G9967">
        <v>-199.63650000000001</v>
      </c>
      <c r="H9967" s="1">
        <v>-3.1549999999999999E-6</v>
      </c>
      <c r="I9967">
        <v>-50.154299999999999</v>
      </c>
      <c r="J9967">
        <v>-204.39109999999999</v>
      </c>
      <c r="K9967">
        <v>1.1174949999999999</v>
      </c>
      <c r="L9967">
        <v>-56.263179999999998</v>
      </c>
      <c r="M9967">
        <v>0.86793310000000001</v>
      </c>
      <c r="N9967">
        <v>0</v>
      </c>
      <c r="O9967">
        <v>0.49652400000000002</v>
      </c>
      <c r="P9967">
        <v>0.73422679999999996</v>
      </c>
      <c r="Q9967">
        <v>2.5846480000000002E-2</v>
      </c>
      <c r="R9967">
        <v>0.67841209999999996</v>
      </c>
      <c r="S9967">
        <v>1.8935390000000001</v>
      </c>
      <c r="T9967">
        <v>-0.43132310000000001</v>
      </c>
      <c r="U9967">
        <v>2.3929140000000002</v>
      </c>
      <c r="V9967">
        <v>-0.2249245</v>
      </c>
      <c r="W9967">
        <v>3.3939829999999997E-2</v>
      </c>
      <c r="X9967">
        <v>0.97378489999999995</v>
      </c>
      <c r="Y9967">
        <v>-0.37327050000000001</v>
      </c>
      <c r="Z9967">
        <v>-4.614476E-2</v>
      </c>
      <c r="AA9967">
        <v>0.92657420000000001</v>
      </c>
      <c r="AB9967">
        <v>32</v>
      </c>
      <c r="AC9967">
        <v>4.7545999999999804</v>
      </c>
      <c r="AD9967">
        <v>-1.117498155</v>
      </c>
      <c r="AE9967">
        <v>6.1088800000000001</v>
      </c>
      <c r="AF9967">
        <v>-2.8815063903353</v>
      </c>
      <c r="AG9967">
        <v>-1.117498155</v>
      </c>
      <c r="AH9967">
        <v>7.0142648841826496</v>
      </c>
      <c r="AI9967">
        <v>98.383194574762101</v>
      </c>
      <c r="AJ9967">
        <v>112.33318258454</v>
      </c>
      <c r="AK9967">
        <v>7.6649718244393696</v>
      </c>
      <c r="AL9967">
        <v>88.055017428450995</v>
      </c>
      <c r="AM9967">
        <v>103.00606307633301</v>
      </c>
      <c r="AN9967">
        <v>0.99999998711434401</v>
      </c>
    </row>
    <row r="9968" spans="1:40" x14ac:dyDescent="0.25">
      <c r="A9968" t="str">
        <f>"20190312150915944"</f>
        <v>20190312150915944</v>
      </c>
      <c r="B9968" t="str">
        <f>"1552374555938869"</f>
        <v>1552374555938869</v>
      </c>
      <c r="C9968" t="s">
        <v>40</v>
      </c>
      <c r="D9968">
        <v>4.7623300000000004</v>
      </c>
      <c r="E9968">
        <v>0.4444652</v>
      </c>
      <c r="F9968" t="s">
        <v>73</v>
      </c>
      <c r="G9968">
        <v>-199.10980000000001</v>
      </c>
      <c r="H9968" s="1">
        <v>-3.330227E-6</v>
      </c>
      <c r="I9968">
        <v>-49.619779999999999</v>
      </c>
      <c r="J9968">
        <v>-204.24039999999999</v>
      </c>
      <c r="K9968">
        <v>1.1174959999999901</v>
      </c>
      <c r="L9968">
        <v>-56.1721199999999</v>
      </c>
      <c r="M9968">
        <v>0.86548169999999902</v>
      </c>
      <c r="N9968">
        <v>0</v>
      </c>
      <c r="O9968">
        <v>0.50078500000000004</v>
      </c>
      <c r="P9968">
        <v>0.7307534</v>
      </c>
      <c r="Q9968">
        <v>2.569691E-2</v>
      </c>
      <c r="R9968">
        <v>0.68215780000000004</v>
      </c>
      <c r="S9968">
        <v>1.8961490000000001</v>
      </c>
      <c r="T9968">
        <v>-0.40121770000000001</v>
      </c>
      <c r="U9968">
        <v>2.3851930000000001</v>
      </c>
      <c r="V9968">
        <v>-0.22511139999999999</v>
      </c>
      <c r="W9968">
        <v>3.3786379999999998E-2</v>
      </c>
      <c r="X9968">
        <v>0.97374709999999998</v>
      </c>
      <c r="Y9968">
        <v>-0.36659429999999998</v>
      </c>
      <c r="Z9968">
        <v>-4.40626E-2</v>
      </c>
      <c r="AA9968">
        <v>0.92933690000000002</v>
      </c>
      <c r="AB9968">
        <v>32</v>
      </c>
      <c r="AC9968">
        <v>5.1305999999999798</v>
      </c>
      <c r="AD9968">
        <v>-1.11749933022699</v>
      </c>
      <c r="AE9968">
        <v>6.5523399999999903</v>
      </c>
      <c r="AF9968">
        <v>-3.0469037587914198</v>
      </c>
      <c r="AG9968">
        <v>-1.11749933022699</v>
      </c>
      <c r="AH9968">
        <v>7.5855750985649797</v>
      </c>
      <c r="AI9968">
        <v>97.7842743474625</v>
      </c>
      <c r="AJ9968">
        <v>111.88388590242199</v>
      </c>
      <c r="AK9968">
        <v>8.2506591763545902</v>
      </c>
      <c r="AL9968">
        <v>88.063814610420295</v>
      </c>
      <c r="AM9968">
        <v>103.016990598636</v>
      </c>
      <c r="AN9968">
        <v>1.00000003832093</v>
      </c>
    </row>
    <row r="9969" spans="1:40" x14ac:dyDescent="0.25">
      <c r="A9969" t="str">
        <f>"20190312150915955"</f>
        <v>20190312150915955</v>
      </c>
      <c r="B9969" t="str">
        <f>"1552374555949603"</f>
        <v>1552374555949603</v>
      </c>
      <c r="C9969" t="s">
        <v>40</v>
      </c>
      <c r="D9969">
        <v>4.7576400000000003</v>
      </c>
      <c r="E9969">
        <v>0.44543129999999997</v>
      </c>
      <c r="F9969" t="s">
        <v>73</v>
      </c>
      <c r="G9969">
        <v>-198.90450000000001</v>
      </c>
      <c r="H9969" s="1">
        <v>-3.3920720000000002E-6</v>
      </c>
      <c r="I9969">
        <v>-49.424239999999998</v>
      </c>
      <c r="J9969">
        <v>-204.10730000000001</v>
      </c>
      <c r="K9969">
        <v>1.1174949999999999</v>
      </c>
      <c r="L9969">
        <v>-56.090209999999999</v>
      </c>
      <c r="M9969">
        <v>0.86328859999999996</v>
      </c>
      <c r="N9969">
        <v>0</v>
      </c>
      <c r="O9969">
        <v>0.50455609999999995</v>
      </c>
      <c r="P9969">
        <v>0.72773369999999904</v>
      </c>
      <c r="Q9969">
        <v>2.5752560000000001E-2</v>
      </c>
      <c r="R9969">
        <v>0.68537609999999904</v>
      </c>
      <c r="S9969">
        <v>1.88913</v>
      </c>
      <c r="T9969">
        <v>-0.39563789999999999</v>
      </c>
      <c r="U9969">
        <v>2.389008</v>
      </c>
      <c r="V9969">
        <v>-0.225163</v>
      </c>
      <c r="W9969">
        <v>3.3841169999999997E-2</v>
      </c>
      <c r="X9969">
        <v>0.97373319999999997</v>
      </c>
      <c r="Y9969">
        <v>-0.3649501</v>
      </c>
      <c r="Z9969">
        <v>-4.4117950000000003E-2</v>
      </c>
      <c r="AA9969">
        <v>0.92998119999999995</v>
      </c>
      <c r="AB9969">
        <v>32</v>
      </c>
      <c r="AC9969">
        <v>5.2027999999999901</v>
      </c>
      <c r="AD9969">
        <v>-1.1174983920720001</v>
      </c>
      <c r="AE9969">
        <v>6.66596999999999</v>
      </c>
      <c r="AF9969">
        <v>-3.0760726999322201</v>
      </c>
      <c r="AG9969">
        <v>-1.1174983920720001</v>
      </c>
      <c r="AH9969">
        <v>7.7206472691546297</v>
      </c>
      <c r="AI9969">
        <v>97.658183905468206</v>
      </c>
      <c r="AJ9969">
        <v>111.723405700821</v>
      </c>
      <c r="AK9969">
        <v>8.3856675444627999</v>
      </c>
      <c r="AL9969">
        <v>88.060673451991306</v>
      </c>
      <c r="AM9969">
        <v>103.020052226969</v>
      </c>
      <c r="AN9969">
        <v>0.99999997306910404</v>
      </c>
    </row>
    <row r="9970" spans="1:40" x14ac:dyDescent="0.25">
      <c r="A9970" t="str">
        <f>"20190312150915967"</f>
        <v>20190312150915967</v>
      </c>
      <c r="B9970" t="str">
        <f>"1552374555959363"</f>
        <v>1552374555959363</v>
      </c>
      <c r="C9970" t="s">
        <v>40</v>
      </c>
      <c r="D9970">
        <v>4.7675999999999998</v>
      </c>
      <c r="E9970">
        <v>0.44598690000000002</v>
      </c>
      <c r="F9970" t="s">
        <v>73</v>
      </c>
      <c r="G9970">
        <v>-198.696</v>
      </c>
      <c r="H9970" s="1">
        <v>-3.4574850000000002E-6</v>
      </c>
      <c r="I9970">
        <v>-49.220509999999997</v>
      </c>
      <c r="J9970">
        <v>-203.9753</v>
      </c>
      <c r="K9970">
        <v>1.1174959999999901</v>
      </c>
      <c r="L9970">
        <v>-56.008699999999997</v>
      </c>
      <c r="M9970">
        <v>0.86109429999999998</v>
      </c>
      <c r="N9970">
        <v>0</v>
      </c>
      <c r="O9970">
        <v>0.50829179999999996</v>
      </c>
      <c r="P9970">
        <v>0.72480299999999998</v>
      </c>
      <c r="Q9970">
        <v>2.5455470000000001E-2</v>
      </c>
      <c r="R9970">
        <v>0.68848580000000004</v>
      </c>
      <c r="S9970">
        <v>1.8838349999999999</v>
      </c>
      <c r="T9970">
        <v>-0.38903339999999997</v>
      </c>
      <c r="U9970">
        <v>2.3915410000000001</v>
      </c>
      <c r="V9970">
        <v>-0.22510260000000001</v>
      </c>
      <c r="W9970">
        <v>3.3545709999999999E-2</v>
      </c>
      <c r="X9970">
        <v>0.9737574</v>
      </c>
      <c r="Y9970">
        <v>-0.36267630000000001</v>
      </c>
      <c r="Z9970">
        <v>-4.4072420000000001E-2</v>
      </c>
      <c r="AA9970">
        <v>0.93087240000000004</v>
      </c>
      <c r="AB9970">
        <v>32</v>
      </c>
      <c r="AC9970">
        <v>5.2793000000000001</v>
      </c>
      <c r="AD9970">
        <v>-1.1174994574849999</v>
      </c>
      <c r="AE9970">
        <v>6.7881899999999904</v>
      </c>
      <c r="AF9970">
        <v>-3.1095819412645098</v>
      </c>
      <c r="AG9970">
        <v>-1.1174994574849999</v>
      </c>
      <c r="AH9970">
        <v>7.8641778242280198</v>
      </c>
      <c r="AI9970">
        <v>97.527712541474799</v>
      </c>
      <c r="AJ9970">
        <v>111.57438434857001</v>
      </c>
      <c r="AK9970">
        <v>8.5301581308905003</v>
      </c>
      <c r="AL9970">
        <v>88.077611703013702</v>
      </c>
      <c r="AM9970">
        <v>103.016366076022</v>
      </c>
      <c r="AN9970">
        <v>0.99999998462046102</v>
      </c>
    </row>
    <row r="9971" spans="1:40" x14ac:dyDescent="0.25">
      <c r="A9971" t="str">
        <f>"20190312150915976"</f>
        <v>20190312150915976</v>
      </c>
      <c r="B9971" t="str">
        <f>"1552374555969124"</f>
        <v>1552374555969124</v>
      </c>
      <c r="C9971" t="s">
        <v>40</v>
      </c>
      <c r="D9971">
        <v>4.7209120000000002</v>
      </c>
      <c r="E9971">
        <v>0.4466446</v>
      </c>
      <c r="F9971" t="s">
        <v>73</v>
      </c>
      <c r="G9971">
        <v>-198.53749999999999</v>
      </c>
      <c r="H9971" s="1">
        <v>-3.5074530000000001E-6</v>
      </c>
      <c r="I9971">
        <v>-49.06512</v>
      </c>
      <c r="J9971">
        <v>-203.84729999999999</v>
      </c>
      <c r="K9971">
        <v>1.1174959999999901</v>
      </c>
      <c r="L9971">
        <v>-55.928530000000002</v>
      </c>
      <c r="M9971">
        <v>0.85894289999999995</v>
      </c>
      <c r="N9971">
        <v>0</v>
      </c>
      <c r="O9971">
        <v>0.51191900000000001</v>
      </c>
      <c r="P9971">
        <v>0.72181519999999899</v>
      </c>
      <c r="Q9971">
        <v>2.563756E-2</v>
      </c>
      <c r="R9971">
        <v>0.69161079999999997</v>
      </c>
      <c r="S9971">
        <v>1.8765259999999999</v>
      </c>
      <c r="T9971">
        <v>-0.3856367</v>
      </c>
      <c r="U9971">
        <v>2.3961489999999999</v>
      </c>
      <c r="V9971">
        <v>-0.2252094</v>
      </c>
      <c r="W9971">
        <v>3.3725850000000002E-2</v>
      </c>
      <c r="X9971">
        <v>0.97372650000000005</v>
      </c>
      <c r="Y9971">
        <v>-0.36139009999999999</v>
      </c>
      <c r="Z9971">
        <v>-4.4288899999999999E-2</v>
      </c>
      <c r="AA9971">
        <v>0.93136229999999998</v>
      </c>
      <c r="AB9971">
        <v>32</v>
      </c>
      <c r="AC9971">
        <v>5.3097999999999903</v>
      </c>
      <c r="AD9971">
        <v>-1.1174995074530001</v>
      </c>
      <c r="AE9971">
        <v>6.86341</v>
      </c>
      <c r="AF9971">
        <v>-3.1255033420383702</v>
      </c>
      <c r="AG9971">
        <v>-1.1174995074530001</v>
      </c>
      <c r="AH9971">
        <v>7.9432220922540901</v>
      </c>
      <c r="AI9971">
        <v>97.458507521580202</v>
      </c>
      <c r="AJ9971">
        <v>111.478672375652</v>
      </c>
      <c r="AK9971">
        <v>8.6088532045287103</v>
      </c>
      <c r="AL9971">
        <v>88.067284630823906</v>
      </c>
      <c r="AM9971">
        <v>103.022730412936</v>
      </c>
      <c r="AN9971">
        <v>1.00000000180441</v>
      </c>
    </row>
    <row r="9972" spans="1:40" x14ac:dyDescent="0.25">
      <c r="A9972" t="str">
        <f>"20190312150915989"</f>
        <v>20190312150915989</v>
      </c>
      <c r="B9972" t="str">
        <f>"1552374555978884"</f>
        <v>1552374555978884</v>
      </c>
      <c r="C9972" t="s">
        <v>40</v>
      </c>
      <c r="D9972">
        <v>5.2144879999999896</v>
      </c>
      <c r="E9972">
        <v>0.44721729999999998</v>
      </c>
      <c r="F9972" t="s">
        <v>73</v>
      </c>
      <c r="G9972">
        <v>-198.38040000000001</v>
      </c>
      <c r="H9972" s="1">
        <v>-3.557722E-6</v>
      </c>
      <c r="I9972">
        <v>-48.909660000000002</v>
      </c>
      <c r="J9972">
        <v>-203.70439999999999</v>
      </c>
      <c r="K9972">
        <v>1.1174980000000001</v>
      </c>
      <c r="L9972">
        <v>-55.838439999999999</v>
      </c>
      <c r="M9972">
        <v>0.85651929999999998</v>
      </c>
      <c r="N9972">
        <v>0</v>
      </c>
      <c r="O9972">
        <v>0.51596370000000003</v>
      </c>
      <c r="P9972">
        <v>0.71850480000000005</v>
      </c>
      <c r="Q9972">
        <v>2.5707259999999999E-2</v>
      </c>
      <c r="R9972">
        <v>0.69504670000000002</v>
      </c>
      <c r="S9972">
        <v>1.8696900000000001</v>
      </c>
      <c r="T9972">
        <v>-0.38218990000000003</v>
      </c>
      <c r="U9972">
        <v>2.4004819999999998</v>
      </c>
      <c r="V9972">
        <v>-0.22526599999999999</v>
      </c>
      <c r="W9972">
        <v>3.3793990000000003E-2</v>
      </c>
      <c r="X9972">
        <v>0.97371110000000005</v>
      </c>
      <c r="Y9972">
        <v>-0.35947869999999998</v>
      </c>
      <c r="Z9972">
        <v>-4.4583060000000001E-2</v>
      </c>
      <c r="AA9972">
        <v>0.93208769999999996</v>
      </c>
      <c r="AB9972">
        <v>32</v>
      </c>
      <c r="AC9972">
        <v>5.3239999999999803</v>
      </c>
      <c r="AD9972">
        <v>-1.11750155772199</v>
      </c>
      <c r="AE9972">
        <v>6.9287799999999997</v>
      </c>
      <c r="AF9972">
        <v>-3.13659067998206</v>
      </c>
      <c r="AG9972">
        <v>-1.11750155772199</v>
      </c>
      <c r="AH9972">
        <v>8.0048181672000798</v>
      </c>
      <c r="AI9972">
        <v>97.405859259734697</v>
      </c>
      <c r="AJ9972">
        <v>111.397125565124</v>
      </c>
      <c r="AK9972">
        <v>8.6697246043457401</v>
      </c>
      <c r="AL9972">
        <v>88.063378373490593</v>
      </c>
      <c r="AM9972">
        <v>103.02609069491901</v>
      </c>
      <c r="AN9972">
        <v>1.00000005538966</v>
      </c>
    </row>
    <row r="9973" spans="1:40" x14ac:dyDescent="0.25">
      <c r="A9973" t="str">
        <f>"20190312150916000"</f>
        <v>20190312150916000</v>
      </c>
      <c r="B9973" t="str">
        <f>"1552374555989620"</f>
        <v>1552374555989620</v>
      </c>
      <c r="C9973" t="s">
        <v>40</v>
      </c>
      <c r="D9973">
        <v>4.7505420000000003</v>
      </c>
      <c r="E9973">
        <v>0.44788040000000001</v>
      </c>
      <c r="F9973" t="s">
        <v>73</v>
      </c>
      <c r="G9973">
        <v>-198.18010000000001</v>
      </c>
      <c r="H9973" s="1">
        <v>-3.62819E-6</v>
      </c>
      <c r="I9973">
        <v>-48.69876</v>
      </c>
      <c r="J9973">
        <v>-203.57060000000001</v>
      </c>
      <c r="K9973">
        <v>1.117502</v>
      </c>
      <c r="L9973">
        <v>-55.753230000000002</v>
      </c>
      <c r="M9973">
        <v>0.85422520000000002</v>
      </c>
      <c r="N9973">
        <v>0</v>
      </c>
      <c r="O9973">
        <v>0.51975309999999997</v>
      </c>
      <c r="P9973">
        <v>0.71533469999999999</v>
      </c>
      <c r="Q9973">
        <v>2.562072E-2</v>
      </c>
      <c r="R9973">
        <v>0.69831209999999999</v>
      </c>
      <c r="S9973">
        <v>1.8615109999999999</v>
      </c>
      <c r="T9973">
        <v>-0.37655889999999997</v>
      </c>
      <c r="U9973">
        <v>2.4058229999999998</v>
      </c>
      <c r="V9973">
        <v>-0.22538459999999999</v>
      </c>
      <c r="W9973">
        <v>3.3704869999999998E-2</v>
      </c>
      <c r="X9973">
        <v>0.97368670000000002</v>
      </c>
      <c r="Y9973">
        <v>-0.3583325</v>
      </c>
      <c r="Z9973">
        <v>-4.4529409999999998E-2</v>
      </c>
      <c r="AA9973">
        <v>0.93253149999999996</v>
      </c>
      <c r="AB9973">
        <v>32</v>
      </c>
      <c r="AC9973">
        <v>5.3905000000000003</v>
      </c>
      <c r="AD9973">
        <v>-1.11750562819</v>
      </c>
      <c r="AE9973">
        <v>7.0544700000000002</v>
      </c>
      <c r="AF9973">
        <v>-3.1743364906296199</v>
      </c>
      <c r="AG9973">
        <v>-1.11750562819</v>
      </c>
      <c r="AH9973">
        <v>8.1429180418739904</v>
      </c>
      <c r="AI9973">
        <v>97.286555791329704</v>
      </c>
      <c r="AJ9973">
        <v>111.297223397221</v>
      </c>
      <c r="AK9973">
        <v>8.81092192800822</v>
      </c>
      <c r="AL9973">
        <v>88.068487401638706</v>
      </c>
      <c r="AM9973">
        <v>103.033030163427</v>
      </c>
      <c r="AN9973">
        <v>1.0000000129678801</v>
      </c>
    </row>
    <row r="9974" spans="1:40" x14ac:dyDescent="0.25">
      <c r="A9974" t="str">
        <f>"20190312150916011"</f>
        <v>20190312150916011</v>
      </c>
      <c r="B9974" t="str">
        <f>"1552374555999379"</f>
        <v>1552374555999379</v>
      </c>
      <c r="C9974" t="s">
        <v>40</v>
      </c>
      <c r="D9974">
        <v>4.7192850000000002</v>
      </c>
      <c r="E9974">
        <v>0.44832339999999998</v>
      </c>
      <c r="F9974" t="s">
        <v>73</v>
      </c>
      <c r="G9974">
        <v>-197.99950000000001</v>
      </c>
      <c r="H9974" s="1">
        <v>-3.6902529999999998E-6</v>
      </c>
      <c r="I9974">
        <v>-48.511539999999997</v>
      </c>
      <c r="J9974">
        <v>-203.45</v>
      </c>
      <c r="K9974">
        <v>1.1175040000000001</v>
      </c>
      <c r="L9974">
        <v>-55.675569999999901</v>
      </c>
      <c r="M9974">
        <v>0.85213639999999902</v>
      </c>
      <c r="N9974">
        <v>0</v>
      </c>
      <c r="O9974">
        <v>0.52317049999999998</v>
      </c>
      <c r="P9974">
        <v>0.71254200000000001</v>
      </c>
      <c r="Q9974">
        <v>2.5500129999999999E-2</v>
      </c>
      <c r="R9974">
        <v>0.70116590000000001</v>
      </c>
      <c r="S9974">
        <v>1.854263</v>
      </c>
      <c r="T9974">
        <v>-0.37194319999999997</v>
      </c>
      <c r="U9974">
        <v>2.4102779999999999</v>
      </c>
      <c r="V9974">
        <v>-0.22537199999999999</v>
      </c>
      <c r="W9974">
        <v>3.3584780000000002E-2</v>
      </c>
      <c r="X9974">
        <v>0.9736937</v>
      </c>
      <c r="Y9974">
        <v>-0.35719279999999998</v>
      </c>
      <c r="Z9974">
        <v>-4.4529560000000003E-2</v>
      </c>
      <c r="AA9974">
        <v>0.93296860000000004</v>
      </c>
      <c r="AB9974">
        <v>32</v>
      </c>
      <c r="AC9974">
        <v>5.4504999999999697</v>
      </c>
      <c r="AD9974">
        <v>-1.1175076902529999</v>
      </c>
      <c r="AE9974">
        <v>7.1640299999999897</v>
      </c>
      <c r="AF9974">
        <v>-3.2040641733599502</v>
      </c>
      <c r="AG9974">
        <v>-1.1175076902529999</v>
      </c>
      <c r="AH9974">
        <v>8.2658440067175398</v>
      </c>
      <c r="AI9974">
        <v>97.184627755873294</v>
      </c>
      <c r="AJ9974">
        <v>111.187674964623</v>
      </c>
      <c r="AK9974">
        <v>8.9352687597056502</v>
      </c>
      <c r="AL9974">
        <v>88.075371825502501</v>
      </c>
      <c r="AM9974">
        <v>103.032235938702</v>
      </c>
      <c r="AN9974">
        <v>0.99999994862566699</v>
      </c>
    </row>
    <row r="9975" spans="1:40" x14ac:dyDescent="0.25">
      <c r="A9975" t="str">
        <f>"20190312150916021"</f>
        <v>20190312150916021</v>
      </c>
      <c r="B9975" t="str">
        <f>"1552374556009140"</f>
        <v>1552374556009140</v>
      </c>
      <c r="C9975" t="s">
        <v>40</v>
      </c>
      <c r="D9975">
        <v>5.1105919999999996</v>
      </c>
      <c r="E9975">
        <v>0.448799</v>
      </c>
      <c r="F9975" t="s">
        <v>73</v>
      </c>
      <c r="G9975">
        <v>-197.88910000000001</v>
      </c>
      <c r="H9975" s="1">
        <v>-3.724866E-6</v>
      </c>
      <c r="I9975">
        <v>-48.403730000000003</v>
      </c>
      <c r="J9975">
        <v>-203.3229</v>
      </c>
      <c r="K9975">
        <v>1.1175060000000001</v>
      </c>
      <c r="L9975">
        <v>-55.593139999999998</v>
      </c>
      <c r="M9975">
        <v>0.84991479999999997</v>
      </c>
      <c r="N9975">
        <v>0</v>
      </c>
      <c r="O9975">
        <v>0.52677200000000002</v>
      </c>
      <c r="P9975">
        <v>0.70937510000000004</v>
      </c>
      <c r="Q9975">
        <v>2.5156669999999999E-2</v>
      </c>
      <c r="R9975">
        <v>0.70438210000000001</v>
      </c>
      <c r="S9975">
        <v>1.8469390000000001</v>
      </c>
      <c r="T9975">
        <v>-0.37115730000000002</v>
      </c>
      <c r="U9975">
        <v>2.4151919999999998</v>
      </c>
      <c r="V9975">
        <v>-0.2256435</v>
      </c>
      <c r="W9975">
        <v>3.3234979999999997E-2</v>
      </c>
      <c r="X9975">
        <v>0.97364289999999998</v>
      </c>
      <c r="Y9975">
        <v>-0.35596290000000003</v>
      </c>
      <c r="Z9975">
        <v>-4.5001369999999999E-2</v>
      </c>
      <c r="AA9975">
        <v>0.93341589999999997</v>
      </c>
      <c r="AB9975">
        <v>32</v>
      </c>
      <c r="AC9975">
        <v>5.43379999999999</v>
      </c>
      <c r="AD9975">
        <v>-1.117509724866</v>
      </c>
      <c r="AE9975">
        <v>7.1894099999999996</v>
      </c>
      <c r="AF9975">
        <v>-3.1990735065360898</v>
      </c>
      <c r="AG9975">
        <v>-1.117509724866</v>
      </c>
      <c r="AH9975">
        <v>8.27879956827325</v>
      </c>
      <c r="AI9975">
        <v>97.176405078271998</v>
      </c>
      <c r="AJ9975">
        <v>111.127407259007</v>
      </c>
      <c r="AK9975">
        <v>8.9454693324069101</v>
      </c>
      <c r="AL9975">
        <v>88.095425230596504</v>
      </c>
      <c r="AM9975">
        <v>103.048056160657</v>
      </c>
      <c r="AN9975">
        <v>1.0000000248541201</v>
      </c>
    </row>
    <row r="9976" spans="1:40" x14ac:dyDescent="0.25">
      <c r="A9976" t="str">
        <f>"20190312150916032"</f>
        <v>20190312150916032</v>
      </c>
      <c r="B9976" t="str">
        <f>"1552374556029636"</f>
        <v>1552374556029636</v>
      </c>
      <c r="C9976" t="s">
        <v>40</v>
      </c>
      <c r="D9976">
        <v>5.0392150000000004</v>
      </c>
      <c r="E9976">
        <v>0.4496192</v>
      </c>
      <c r="F9976" t="s">
        <v>73</v>
      </c>
      <c r="G9976">
        <v>-197.76349999999999</v>
      </c>
      <c r="H9976" s="1">
        <v>-3.7678990000000001E-6</v>
      </c>
      <c r="I9976">
        <v>-48.273789999999998</v>
      </c>
      <c r="J9976">
        <v>-203.19659999999999</v>
      </c>
      <c r="K9976">
        <v>1.1175040000000001</v>
      </c>
      <c r="L9976">
        <v>-55.510219999999997</v>
      </c>
      <c r="M9976">
        <v>0.84768269999999901</v>
      </c>
      <c r="N9976">
        <v>0</v>
      </c>
      <c r="O9976">
        <v>0.53035639999999995</v>
      </c>
      <c r="P9976">
        <v>0.7062522</v>
      </c>
      <c r="Q9976">
        <v>2.5300659999999999E-2</v>
      </c>
      <c r="R9976">
        <v>0.70750809999999997</v>
      </c>
      <c r="S9976">
        <v>1.8385929999999999</v>
      </c>
      <c r="T9976">
        <v>-0.36958259999999998</v>
      </c>
      <c r="U9976">
        <v>2.4206539999999999</v>
      </c>
      <c r="V9976">
        <v>-0.22583739999999999</v>
      </c>
      <c r="W9976">
        <v>3.3374620000000001E-2</v>
      </c>
      <c r="X9976">
        <v>0.97359309999999999</v>
      </c>
      <c r="Y9976">
        <v>-0.35508830000000002</v>
      </c>
      <c r="Z9976">
        <v>-4.5354999999999999E-2</v>
      </c>
      <c r="AA9976">
        <v>0.93373189999999995</v>
      </c>
      <c r="AB9976">
        <v>32</v>
      </c>
      <c r="AC9976">
        <v>5.4330999999999898</v>
      </c>
      <c r="AD9976">
        <v>-1.117507767899</v>
      </c>
      <c r="AE9976">
        <v>7.2364299999999897</v>
      </c>
      <c r="AF9976">
        <v>-3.2041051829122198</v>
      </c>
      <c r="AG9976">
        <v>-1.117507767899</v>
      </c>
      <c r="AH9976">
        <v>8.3172444328890798</v>
      </c>
      <c r="AI9976">
        <v>97.146369578627997</v>
      </c>
      <c r="AJ9976">
        <v>111.068500160344</v>
      </c>
      <c r="AK9976">
        <v>8.9828541450311796</v>
      </c>
      <c r="AL9976">
        <v>88.087419883914393</v>
      </c>
      <c r="AM9976">
        <v>103.059529556136</v>
      </c>
      <c r="AN9976">
        <v>0.99999996043325601</v>
      </c>
    </row>
    <row r="9977" spans="1:40" x14ac:dyDescent="0.25">
      <c r="A9977" t="str">
        <f>"20190312150916043"</f>
        <v>20190312150916043</v>
      </c>
      <c r="B9977" t="str">
        <f>"1552374556039362"</f>
        <v>1552374556039362</v>
      </c>
      <c r="C9977" t="s">
        <v>40</v>
      </c>
      <c r="D9977">
        <v>4.7422040000000001</v>
      </c>
      <c r="E9977">
        <v>0.45002819999999999</v>
      </c>
      <c r="F9977" t="s">
        <v>73</v>
      </c>
      <c r="G9977">
        <v>-197.5564</v>
      </c>
      <c r="H9977" s="1">
        <v>-3.8437119999999996E-6</v>
      </c>
      <c r="I9977">
        <v>-48.049860000000002</v>
      </c>
      <c r="J9977">
        <v>-203.07499999999999</v>
      </c>
      <c r="K9977">
        <v>1.117507</v>
      </c>
      <c r="L9977">
        <v>-55.430079999999997</v>
      </c>
      <c r="M9977">
        <v>0.84551659999999995</v>
      </c>
      <c r="N9977">
        <v>0</v>
      </c>
      <c r="O9977">
        <v>0.53380300000000003</v>
      </c>
      <c r="P9977">
        <v>0.70336619999999905</v>
      </c>
      <c r="Q9977">
        <v>2.536219E-2</v>
      </c>
      <c r="R9977">
        <v>0.71037510000000004</v>
      </c>
      <c r="S9977">
        <v>1.832535</v>
      </c>
      <c r="T9977">
        <v>-0.36308560000000001</v>
      </c>
      <c r="U9977">
        <v>2.4239199999999999</v>
      </c>
      <c r="V9977">
        <v>-0.2258365</v>
      </c>
      <c r="W9977">
        <v>3.3435140000000002E-2</v>
      </c>
      <c r="X9977">
        <v>0.97359130000000005</v>
      </c>
      <c r="Y9977">
        <v>-0.35336970000000001</v>
      </c>
      <c r="Z9977">
        <v>-4.5132419999999999E-2</v>
      </c>
      <c r="AA9977">
        <v>0.93439439999999996</v>
      </c>
      <c r="AB9977">
        <v>32</v>
      </c>
      <c r="AC9977">
        <v>5.5185999999999904</v>
      </c>
      <c r="AD9977">
        <v>-1.117510843712</v>
      </c>
      <c r="AE9977">
        <v>7.3802199999999996</v>
      </c>
      <c r="AF9977">
        <v>-3.2467649757819301</v>
      </c>
      <c r="AG9977">
        <v>-1.117510843712</v>
      </c>
      <c r="AH9977">
        <v>8.4815967116569198</v>
      </c>
      <c r="AI9977">
        <v>97.014958593957303</v>
      </c>
      <c r="AJ9977">
        <v>110.946903400803</v>
      </c>
      <c r="AK9977">
        <v>9.1502893983178293</v>
      </c>
      <c r="AL9977">
        <v>88.083950533288998</v>
      </c>
      <c r="AM9977">
        <v>103.059502612725</v>
      </c>
      <c r="AN9977">
        <v>1.0000000263773701</v>
      </c>
    </row>
    <row r="9978" spans="1:40" x14ac:dyDescent="0.25">
      <c r="A9978" t="str">
        <f>"20190312150916053"</f>
        <v>20190312150916053</v>
      </c>
      <c r="B9978" t="str">
        <f>"1552374556049123"</f>
        <v>1552374556049123</v>
      </c>
      <c r="C9978" t="s">
        <v>40</v>
      </c>
      <c r="D9978">
        <v>4.7413660000000002</v>
      </c>
      <c r="E9978">
        <v>0.45029069999999999</v>
      </c>
      <c r="F9978" t="s">
        <v>73</v>
      </c>
      <c r="G9978">
        <v>-197.40610000000001</v>
      </c>
      <c r="H9978" s="1">
        <v>-3.8999779999999997E-6</v>
      </c>
      <c r="I9978">
        <v>-47.884860000000003</v>
      </c>
      <c r="J9978">
        <v>-202.96019999999999</v>
      </c>
      <c r="K9978">
        <v>1.11751</v>
      </c>
      <c r="L9978">
        <v>-55.353270000000002</v>
      </c>
      <c r="M9978">
        <v>0.84344710000000001</v>
      </c>
      <c r="N9978">
        <v>0</v>
      </c>
      <c r="O9978">
        <v>0.53706690000000001</v>
      </c>
      <c r="P9978">
        <v>0.70041169999999997</v>
      </c>
      <c r="Q9978">
        <v>2.5333660000000001E-2</v>
      </c>
      <c r="R9978">
        <v>0.71328930000000001</v>
      </c>
      <c r="S9978">
        <v>1.8249660000000001</v>
      </c>
      <c r="T9978">
        <v>-0.35975309999999999</v>
      </c>
      <c r="U9978">
        <v>2.4289860000000001</v>
      </c>
      <c r="V9978">
        <v>-0.22611529999999999</v>
      </c>
      <c r="W9978">
        <v>3.3399390000000001E-2</v>
      </c>
      <c r="X9978">
        <v>0.97352780000000005</v>
      </c>
      <c r="Y9978">
        <v>-0.35255599999999998</v>
      </c>
      <c r="Z9978">
        <v>-4.5202680000000002E-2</v>
      </c>
      <c r="AA9978">
        <v>0.93469829999999998</v>
      </c>
      <c r="AB9978">
        <v>32</v>
      </c>
      <c r="AC9978">
        <v>5.5540999999999698</v>
      </c>
      <c r="AD9978">
        <v>-1.1175138999779901</v>
      </c>
      <c r="AE9978">
        <v>7.4684099999999898</v>
      </c>
      <c r="AF9978">
        <v>-3.2694107433097601</v>
      </c>
      <c r="AG9978">
        <v>-1.1175138999779901</v>
      </c>
      <c r="AH9978">
        <v>8.5727151763218306</v>
      </c>
      <c r="AI9978">
        <v>96.944418699582201</v>
      </c>
      <c r="AJ9978">
        <v>110.87555097505999</v>
      </c>
      <c r="AK9978">
        <v>9.2427987871343404</v>
      </c>
      <c r="AL9978">
        <v>88.085999975933007</v>
      </c>
      <c r="AM9978">
        <v>103.07589478362701</v>
      </c>
      <c r="AN9978">
        <v>1.00000001275965</v>
      </c>
    </row>
    <row r="9979" spans="1:40" x14ac:dyDescent="0.25">
      <c r="A9979" t="str">
        <f>"20190312150916062"</f>
        <v>20190312150916062</v>
      </c>
      <c r="B9979" t="str">
        <f>"1552374556058883"</f>
        <v>1552374556058883</v>
      </c>
      <c r="C9979" t="s">
        <v>40</v>
      </c>
      <c r="D9979">
        <v>4.7302780000000002</v>
      </c>
      <c r="E9979">
        <v>0.45047300000000001</v>
      </c>
      <c r="F9979" t="s">
        <v>73</v>
      </c>
      <c r="G9979">
        <v>-197.2919</v>
      </c>
      <c r="H9979" s="1">
        <v>-3.945416E-6</v>
      </c>
      <c r="I9979">
        <v>-47.754159999999999</v>
      </c>
      <c r="J9979">
        <v>-202.8389</v>
      </c>
      <c r="K9979">
        <v>1.1175139999999999</v>
      </c>
      <c r="L9979">
        <v>-55.271880000000003</v>
      </c>
      <c r="M9979">
        <v>0.84124390000000004</v>
      </c>
      <c r="N9979">
        <v>0</v>
      </c>
      <c r="O9979">
        <v>0.54051150000000003</v>
      </c>
      <c r="P9979">
        <v>0.69727709999999998</v>
      </c>
      <c r="Q9979">
        <v>2.5491380000000001E-2</v>
      </c>
      <c r="R9979">
        <v>0.71634819999999999</v>
      </c>
      <c r="S9979">
        <v>1.8163450000000001</v>
      </c>
      <c r="T9979">
        <v>-0.35809170000000001</v>
      </c>
      <c r="U9979">
        <v>2.435028</v>
      </c>
      <c r="V9979">
        <v>-0.22640199999999999</v>
      </c>
      <c r="W9979">
        <v>3.3549990000000002E-2</v>
      </c>
      <c r="X9979">
        <v>0.97345599999999999</v>
      </c>
      <c r="Y9979">
        <v>-0.35197889999999998</v>
      </c>
      <c r="Z9979">
        <v>-4.5482710000000003E-2</v>
      </c>
      <c r="AA9979">
        <v>0.93490229999999996</v>
      </c>
      <c r="AB9979">
        <v>32</v>
      </c>
      <c r="AC9979">
        <v>5.5469999999999899</v>
      </c>
      <c r="AD9979">
        <v>-1.11751794541599</v>
      </c>
      <c r="AE9979">
        <v>7.5177199999999997</v>
      </c>
      <c r="AF9979">
        <v>-3.27935843634156</v>
      </c>
      <c r="AG9979">
        <v>-1.11751794541599</v>
      </c>
      <c r="AH9979">
        <v>8.6073246724010808</v>
      </c>
      <c r="AI9979">
        <v>96.917652727725695</v>
      </c>
      <c r="AJ9979">
        <v>110.85665305401599</v>
      </c>
      <c r="AK9979">
        <v>9.2784199155058609</v>
      </c>
      <c r="AL9979">
        <v>88.077366417941903</v>
      </c>
      <c r="AM9979">
        <v>103.092835817256</v>
      </c>
      <c r="AN9979">
        <v>1.0000000256844901</v>
      </c>
    </row>
    <row r="9980" spans="1:40" x14ac:dyDescent="0.25">
      <c r="A9980" t="str">
        <f>"20190312150916073"</f>
        <v>20190312150916073</v>
      </c>
      <c r="B9980" t="str">
        <f>"1552374556069618"</f>
        <v>1552374556069618</v>
      </c>
      <c r="C9980" t="s">
        <v>40</v>
      </c>
      <c r="D9980">
        <v>4.7532649999999999</v>
      </c>
      <c r="E9980">
        <v>0.45069670000000001</v>
      </c>
      <c r="F9980" t="s">
        <v>73</v>
      </c>
      <c r="G9980">
        <v>-197.2047</v>
      </c>
      <c r="H9980" s="1">
        <v>-3.9797339999999999E-6</v>
      </c>
      <c r="I9980">
        <v>-47.65513</v>
      </c>
      <c r="J9980">
        <v>-202.72929999999999</v>
      </c>
      <c r="K9980">
        <v>1.1175189999999999</v>
      </c>
      <c r="L9980">
        <v>-55.197270000000003</v>
      </c>
      <c r="M9980">
        <v>0.83923049999999999</v>
      </c>
      <c r="N9980">
        <v>0</v>
      </c>
      <c r="O9980">
        <v>0.54363209999999995</v>
      </c>
      <c r="P9980">
        <v>0.69450149999999999</v>
      </c>
      <c r="Q9980">
        <v>2.54267E-2</v>
      </c>
      <c r="R9980">
        <v>0.71904179999999995</v>
      </c>
      <c r="S9980">
        <v>1.8065340000000001</v>
      </c>
      <c r="T9980">
        <v>-0.35832039999999998</v>
      </c>
      <c r="U9980">
        <v>2.4422299999999999</v>
      </c>
      <c r="V9980">
        <v>-0.22655239999999999</v>
      </c>
      <c r="W9980">
        <v>3.3480889999999999E-2</v>
      </c>
      <c r="X9980">
        <v>0.97342340000000005</v>
      </c>
      <c r="Y9980">
        <v>-0.35226299999999999</v>
      </c>
      <c r="Z9980">
        <v>-4.5905880000000003E-2</v>
      </c>
      <c r="AA9980">
        <v>0.93477449999999995</v>
      </c>
      <c r="AB9980">
        <v>32</v>
      </c>
      <c r="AC9980">
        <v>5.5245999999999897</v>
      </c>
      <c r="AD9980">
        <v>-1.1175229797340001</v>
      </c>
      <c r="AE9980">
        <v>7.5421399999999901</v>
      </c>
      <c r="AF9980">
        <v>-3.2796439419304502</v>
      </c>
      <c r="AG9980">
        <v>-1.1175229797340001</v>
      </c>
      <c r="AH9980">
        <v>8.61416455848663</v>
      </c>
      <c r="AI9980">
        <v>96.912857282480005</v>
      </c>
      <c r="AJ9980">
        <v>110.843174043548</v>
      </c>
      <c r="AK9980">
        <v>9.2848668830932493</v>
      </c>
      <c r="AL9980">
        <v>88.081327804962697</v>
      </c>
      <c r="AM9980">
        <v>103.10165715689401</v>
      </c>
      <c r="AN9980">
        <v>1.00000003780425</v>
      </c>
    </row>
    <row r="9981" spans="1:40" x14ac:dyDescent="0.25">
      <c r="A9981" t="str">
        <f>"20190312150916084"</f>
        <v>20190312150916084</v>
      </c>
      <c r="B9981" t="str">
        <f>"1552374556079378"</f>
        <v>1552374556079378</v>
      </c>
      <c r="C9981" t="s">
        <v>40</v>
      </c>
      <c r="D9981">
        <v>5.1696489999999997</v>
      </c>
      <c r="E9981">
        <v>0.45109110000000002</v>
      </c>
      <c r="F9981" t="s">
        <v>73</v>
      </c>
      <c r="G9981">
        <v>-197.1551</v>
      </c>
      <c r="H9981" s="1">
        <v>-3.9940409999999999E-6</v>
      </c>
      <c r="I9981">
        <v>-47.60915</v>
      </c>
      <c r="J9981">
        <v>-202.60159999999999</v>
      </c>
      <c r="K9981">
        <v>1.1175250000000001</v>
      </c>
      <c r="L9981">
        <v>-55.110230000000001</v>
      </c>
      <c r="M9981">
        <v>0.83686970000000005</v>
      </c>
      <c r="N9981">
        <v>0</v>
      </c>
      <c r="O9981">
        <v>0.54725970000000002</v>
      </c>
      <c r="P9981">
        <v>0.69129160000000001</v>
      </c>
      <c r="Q9981">
        <v>2.5344680000000001E-2</v>
      </c>
      <c r="R9981">
        <v>0.72213130000000003</v>
      </c>
      <c r="S9981">
        <v>1.7983089999999999</v>
      </c>
      <c r="T9981">
        <v>-0.36052800000000002</v>
      </c>
      <c r="U9981">
        <v>2.448029</v>
      </c>
      <c r="V9981">
        <v>-0.22667660000000001</v>
      </c>
      <c r="W9981">
        <v>3.3394149999999997E-2</v>
      </c>
      <c r="X9981">
        <v>0.97339739999999997</v>
      </c>
      <c r="Y9981">
        <v>-0.35134009999999999</v>
      </c>
      <c r="Z9981">
        <v>-4.6718250000000003E-2</v>
      </c>
      <c r="AA9981">
        <v>0.93508159999999896</v>
      </c>
      <c r="AB9981">
        <v>32</v>
      </c>
      <c r="AC9981">
        <v>5.4464999999999799</v>
      </c>
      <c r="AD9981">
        <v>-1.117528994041</v>
      </c>
      <c r="AE9981">
        <v>7.50108</v>
      </c>
      <c r="AF9981">
        <v>-3.2498026923279602</v>
      </c>
      <c r="AG9981">
        <v>-1.117528994041</v>
      </c>
      <c r="AH9981">
        <v>8.53961467645785</v>
      </c>
      <c r="AI9981">
        <v>96.973043313034594</v>
      </c>
      <c r="AJ9981">
        <v>110.834629074509</v>
      </c>
      <c r="AK9981">
        <v>9.2051674299796797</v>
      </c>
      <c r="AL9981">
        <v>88.086300299726105</v>
      </c>
      <c r="AM9981">
        <v>103.108929794167</v>
      </c>
      <c r="AN9981">
        <v>0.99999997428427001</v>
      </c>
    </row>
    <row r="9982" spans="1:40" x14ac:dyDescent="0.25">
      <c r="A9982" t="str">
        <f>"20190312150916096"</f>
        <v>20190312150916096</v>
      </c>
      <c r="B9982" t="str">
        <f>"1552374556089138"</f>
        <v>1552374556089138</v>
      </c>
      <c r="C9982" t="s">
        <v>40</v>
      </c>
      <c r="D9982">
        <v>5.1623390000000002</v>
      </c>
      <c r="E9982">
        <v>0.45147029999999999</v>
      </c>
      <c r="F9982" t="s">
        <v>73</v>
      </c>
      <c r="G9982">
        <v>-197.048</v>
      </c>
      <c r="H9982" s="1">
        <v>-4.0318710000000001E-6</v>
      </c>
      <c r="I9982">
        <v>-47.496110000000002</v>
      </c>
      <c r="J9982">
        <v>-202.45939999999999</v>
      </c>
      <c r="K9982">
        <v>1.1175269999999999</v>
      </c>
      <c r="L9982">
        <v>-55.011629999999997</v>
      </c>
      <c r="M9982">
        <v>0.83420219999999901</v>
      </c>
      <c r="N9982">
        <v>0</v>
      </c>
      <c r="O9982">
        <v>0.55131719999999995</v>
      </c>
      <c r="P9982">
        <v>0.6876525</v>
      </c>
      <c r="Q9982">
        <v>2.5361450000000001E-2</v>
      </c>
      <c r="R9982">
        <v>0.72559689999999999</v>
      </c>
      <c r="S9982">
        <v>1.7897029999999901</v>
      </c>
      <c r="T9982">
        <v>-0.36013630000000002</v>
      </c>
      <c r="U9982">
        <v>2.453735</v>
      </c>
      <c r="V9982">
        <v>-0.22684309999999999</v>
      </c>
      <c r="W9982">
        <v>3.3404639999999999E-2</v>
      </c>
      <c r="X9982">
        <v>0.97335830000000001</v>
      </c>
      <c r="Y9982">
        <v>-0.349993</v>
      </c>
      <c r="Z9982">
        <v>-4.728359E-2</v>
      </c>
      <c r="AA9982">
        <v>0.93555820000000001</v>
      </c>
      <c r="AB9982">
        <v>32</v>
      </c>
      <c r="AC9982">
        <v>5.41139999999998</v>
      </c>
      <c r="AD9982">
        <v>-1.1175310318709999</v>
      </c>
      <c r="AE9982">
        <v>7.5155200000000004</v>
      </c>
      <c r="AF9982">
        <v>-3.2391552493064899</v>
      </c>
      <c r="AG9982">
        <v>-1.1175310318709999</v>
      </c>
      <c r="AH9982">
        <v>8.5340452705079795</v>
      </c>
      <c r="AI9982">
        <v>96.979854808333897</v>
      </c>
      <c r="AJ9982">
        <v>110.78460036828</v>
      </c>
      <c r="AK9982">
        <v>9.1962454847282107</v>
      </c>
      <c r="AL9982">
        <v>88.085699021094996</v>
      </c>
      <c r="AM9982">
        <v>103.118734512472</v>
      </c>
      <c r="AN9982">
        <v>1.00000002108501</v>
      </c>
    </row>
    <row r="9983" spans="1:40" x14ac:dyDescent="0.25">
      <c r="A9983" t="str">
        <f>"20190312150916108"</f>
        <v>20190312150916108</v>
      </c>
      <c r="B9983" t="str">
        <f>"1552374556098898"</f>
        <v>1552374556098898</v>
      </c>
      <c r="C9983" t="s">
        <v>40</v>
      </c>
      <c r="D9983">
        <v>4.7298369999999998</v>
      </c>
      <c r="E9983">
        <v>0.4519262</v>
      </c>
      <c r="F9983" t="s">
        <v>73</v>
      </c>
      <c r="G9983">
        <v>-196.91820000000001</v>
      </c>
      <c r="H9983" s="1">
        <v>-4.0827669999999998E-6</v>
      </c>
      <c r="I9983">
        <v>-47.349040000000002</v>
      </c>
      <c r="J9983">
        <v>-202.31729999999999</v>
      </c>
      <c r="K9983">
        <v>1.1175360000000001</v>
      </c>
      <c r="L9983">
        <v>-54.912480000000002</v>
      </c>
      <c r="M9983">
        <v>0.83151039999999998</v>
      </c>
      <c r="N9983">
        <v>0</v>
      </c>
      <c r="O9983">
        <v>0.55536850000000004</v>
      </c>
      <c r="P9983">
        <v>0.68400569999999905</v>
      </c>
      <c r="Q9983">
        <v>2.5382640000000001E-2</v>
      </c>
      <c r="R9983">
        <v>0.72903499999999999</v>
      </c>
      <c r="S9983">
        <v>1.7794490000000001</v>
      </c>
      <c r="T9983">
        <v>-0.35887350000000001</v>
      </c>
      <c r="U9983">
        <v>2.460693</v>
      </c>
      <c r="V9983">
        <v>-0.2269892</v>
      </c>
      <c r="W9983">
        <v>3.3420850000000002E-2</v>
      </c>
      <c r="X9983">
        <v>0.97332359999999896</v>
      </c>
      <c r="Y9983">
        <v>-0.34926859999999998</v>
      </c>
      <c r="Z9983">
        <v>-4.7697410000000003E-2</v>
      </c>
      <c r="AA9983">
        <v>0.93580790000000003</v>
      </c>
      <c r="AB9983">
        <v>32</v>
      </c>
      <c r="AC9983">
        <v>5.3990999999999696</v>
      </c>
      <c r="AD9983">
        <v>-1.1175400827669999</v>
      </c>
      <c r="AE9983">
        <v>7.5634399999999902</v>
      </c>
      <c r="AF9983">
        <v>-3.2439317451725498</v>
      </c>
      <c r="AG9983">
        <v>-1.1175400827669999</v>
      </c>
      <c r="AH9983">
        <v>8.5666901215411002</v>
      </c>
      <c r="AI9983">
        <v>96.955602361740503</v>
      </c>
      <c r="AJ9983">
        <v>110.740075263804</v>
      </c>
      <c r="AK9983">
        <v>9.2282267333675208</v>
      </c>
      <c r="AL9983">
        <v>88.084769582727603</v>
      </c>
      <c r="AM9983">
        <v>103.127343022684</v>
      </c>
      <c r="AN9983">
        <v>0.99999994022415895</v>
      </c>
    </row>
    <row r="9984" spans="1:40" x14ac:dyDescent="0.25">
      <c r="A9984" t="str">
        <f>"20190312150916120"</f>
        <v>20190312150916120</v>
      </c>
      <c r="B9984" t="str">
        <f>"1552374556109635"</f>
        <v>1552374556109635</v>
      </c>
      <c r="C9984" t="s">
        <v>40</v>
      </c>
      <c r="D9984">
        <v>4.7353360000000002</v>
      </c>
      <c r="E9984">
        <v>0.4523452</v>
      </c>
      <c r="F9984" t="s">
        <v>73</v>
      </c>
      <c r="G9984">
        <v>-196.78819999999999</v>
      </c>
      <c r="H9984" s="1">
        <v>-4.1317020000000002E-6</v>
      </c>
      <c r="I9984">
        <v>-47.205820000000003</v>
      </c>
      <c r="J9984">
        <v>-202.17599999999999</v>
      </c>
      <c r="K9984">
        <v>1.117542</v>
      </c>
      <c r="L9984">
        <v>-54.812840000000001</v>
      </c>
      <c r="M9984">
        <v>0.82880200000000004</v>
      </c>
      <c r="N9984">
        <v>0</v>
      </c>
      <c r="O9984">
        <v>0.55940230000000002</v>
      </c>
      <c r="P9984">
        <v>0.68044579999999999</v>
      </c>
      <c r="Q9984">
        <v>2.5702530000000001E-2</v>
      </c>
      <c r="R9984">
        <v>0.73234750000000004</v>
      </c>
      <c r="S9984">
        <v>1.7698670000000001</v>
      </c>
      <c r="T9984">
        <v>-0.35772720000000002</v>
      </c>
      <c r="U9984">
        <v>2.4669189999999999</v>
      </c>
      <c r="V9984">
        <v>-0.2269988</v>
      </c>
      <c r="W9984">
        <v>3.3737280000000001E-2</v>
      </c>
      <c r="X9984">
        <v>0.97331049999999997</v>
      </c>
      <c r="Y9984">
        <v>-0.34825149999999999</v>
      </c>
      <c r="Z9984">
        <v>-4.8138939999999998E-2</v>
      </c>
      <c r="AA9984">
        <v>0.93616429999999995</v>
      </c>
      <c r="AB9984">
        <v>32</v>
      </c>
      <c r="AC9984">
        <v>5.3877999999999897</v>
      </c>
      <c r="AD9984">
        <v>-1.1175461317019999</v>
      </c>
      <c r="AE9984">
        <v>7.6070199999999897</v>
      </c>
      <c r="AF9984">
        <v>-3.2443925355985099</v>
      </c>
      <c r="AG9984">
        <v>-1.1175461317019999</v>
      </c>
      <c r="AH9984">
        <v>8.5979111989190198</v>
      </c>
      <c r="AI9984">
        <v>96.933628437539198</v>
      </c>
      <c r="AJ9984">
        <v>110.67382826959</v>
      </c>
      <c r="AK9984">
        <v>9.2573791791211892</v>
      </c>
      <c r="AL9984">
        <v>88.066629352730303</v>
      </c>
      <c r="AM9984">
        <v>103.128049558168</v>
      </c>
      <c r="AN9984">
        <v>0.99999999433674402</v>
      </c>
    </row>
    <row r="9985" spans="1:40" x14ac:dyDescent="0.25">
      <c r="A9985" t="str">
        <f>"20190312150916133"</f>
        <v>20190312150916133</v>
      </c>
      <c r="B9985" t="str">
        <f>"1552374556129154"</f>
        <v>1552374556129154</v>
      </c>
      <c r="C9985" t="s">
        <v>40</v>
      </c>
      <c r="D9985">
        <v>4.7454879999999999</v>
      </c>
      <c r="E9985">
        <v>0.45312019999999997</v>
      </c>
      <c r="F9985" t="s">
        <v>73</v>
      </c>
      <c r="G9985">
        <v>-196.6354</v>
      </c>
      <c r="H9985" s="1">
        <v>-4.1937740000000001E-6</v>
      </c>
      <c r="I9985">
        <v>-47.028399999999998</v>
      </c>
      <c r="J9985">
        <v>-202.04310000000001</v>
      </c>
      <c r="K9985">
        <v>1.1175550000000001</v>
      </c>
      <c r="L9985">
        <v>-54.717959999999998</v>
      </c>
      <c r="M9985">
        <v>0.82622240000000002</v>
      </c>
      <c r="N9985">
        <v>0</v>
      </c>
      <c r="O9985">
        <v>0.56320539999999997</v>
      </c>
      <c r="P9985">
        <v>0.67693099999999995</v>
      </c>
      <c r="Q9985">
        <v>2.5851579999999999E-2</v>
      </c>
      <c r="R9985">
        <v>0.73559240000000004</v>
      </c>
      <c r="S9985">
        <v>1.760391</v>
      </c>
      <c r="T9985">
        <v>-0.35507080000000002</v>
      </c>
      <c r="U9985">
        <v>2.4732970000000001</v>
      </c>
      <c r="V9985">
        <v>-0.2271862</v>
      </c>
      <c r="W9985">
        <v>3.3879769999999997E-2</v>
      </c>
      <c r="X9985">
        <v>0.97326179999999995</v>
      </c>
      <c r="Y9985">
        <v>-0.34747209999999901</v>
      </c>
      <c r="Z9985">
        <v>-4.832695E-2</v>
      </c>
      <c r="AA9985">
        <v>0.93644419999999995</v>
      </c>
      <c r="AB9985">
        <v>32</v>
      </c>
      <c r="AC9985">
        <v>5.4077000000000002</v>
      </c>
      <c r="AD9985">
        <v>-1.1175591937739999</v>
      </c>
      <c r="AE9985">
        <v>7.6895600000000002</v>
      </c>
      <c r="AF9985">
        <v>-3.2618013673795399</v>
      </c>
      <c r="AG9985">
        <v>-1.1175591937739999</v>
      </c>
      <c r="AH9985">
        <v>8.6768253978472902</v>
      </c>
      <c r="AI9985">
        <v>96.874454206102897</v>
      </c>
      <c r="AJ9985">
        <v>110.60229761792201</v>
      </c>
      <c r="AK9985">
        <v>9.3367866901068108</v>
      </c>
      <c r="AL9985">
        <v>88.058460559581505</v>
      </c>
      <c r="AM9985">
        <v>103.139146296014</v>
      </c>
      <c r="AN9985">
        <v>0.99999996981246597</v>
      </c>
    </row>
    <row r="9986" spans="1:40" x14ac:dyDescent="0.25">
      <c r="A9986" t="str">
        <f>"20190312150916146"</f>
        <v>20190312150916146</v>
      </c>
      <c r="B9986" t="str">
        <f>"1552374556139190"</f>
        <v>1552374556139190</v>
      </c>
      <c r="C9986" t="s">
        <v>40</v>
      </c>
      <c r="D9986">
        <v>4.7553489999999998</v>
      </c>
      <c r="E9986">
        <v>0.45333849999999998</v>
      </c>
      <c r="F9986" t="s">
        <v>73</v>
      </c>
      <c r="G9986">
        <v>-196.49760000000001</v>
      </c>
      <c r="H9986" s="1">
        <v>-4.2433459999999997E-6</v>
      </c>
      <c r="I9986">
        <v>-46.881160000000001</v>
      </c>
      <c r="J9986">
        <v>-201.89590000000001</v>
      </c>
      <c r="K9986">
        <v>1.1175619999999999</v>
      </c>
      <c r="L9986">
        <v>-54.612209999999997</v>
      </c>
      <c r="M9986">
        <v>0.82333709999999904</v>
      </c>
      <c r="N9986">
        <v>0</v>
      </c>
      <c r="O9986">
        <v>0.56741490000000006</v>
      </c>
      <c r="P9986">
        <v>0.67307159999999999</v>
      </c>
      <c r="Q9986">
        <v>2.6254610000000001E-2</v>
      </c>
      <c r="R9986">
        <v>0.73911119999999997</v>
      </c>
      <c r="S9986">
        <v>1.753098</v>
      </c>
      <c r="T9986">
        <v>-0.3532941</v>
      </c>
      <c r="U9986">
        <v>2.4774479999999999</v>
      </c>
      <c r="V9986">
        <v>-0.22730880000000001</v>
      </c>
      <c r="W9986">
        <v>3.4276750000000002E-2</v>
      </c>
      <c r="X9986">
        <v>0.97321930000000001</v>
      </c>
      <c r="Y9986">
        <v>-0.34528180000000003</v>
      </c>
      <c r="Z9986">
        <v>-4.8762270000000003E-2</v>
      </c>
      <c r="AA9986">
        <v>0.93723140000000005</v>
      </c>
      <c r="AB9986">
        <v>32</v>
      </c>
      <c r="AC9986">
        <v>5.3982999999999999</v>
      </c>
      <c r="AD9986">
        <v>-1.1175662433460001</v>
      </c>
      <c r="AE9986">
        <v>7.7310499999999998</v>
      </c>
      <c r="AF9986">
        <v>-3.2566949170728998</v>
      </c>
      <c r="AG9986">
        <v>-1.1175662433460001</v>
      </c>
      <c r="AH9986">
        <v>8.7096768615404994</v>
      </c>
      <c r="AI9986">
        <v>96.853285076187603</v>
      </c>
      <c r="AJ9986">
        <v>110.501617041153</v>
      </c>
      <c r="AK9986">
        <v>9.3655478816569495</v>
      </c>
      <c r="AL9986">
        <v>88.035702112815599</v>
      </c>
      <c r="AM9986">
        <v>103.14654474413</v>
      </c>
      <c r="AN9986">
        <v>0.99999999602024603</v>
      </c>
    </row>
    <row r="9987" spans="1:40" x14ac:dyDescent="0.25">
      <c r="A9987" t="str">
        <f>"20190312150916156"</f>
        <v>20190312150916156</v>
      </c>
      <c r="B9987" t="str">
        <f>"1552374556148950"</f>
        <v>1552374556148950</v>
      </c>
      <c r="C9987" t="s">
        <v>40</v>
      </c>
      <c r="D9987">
        <v>4.7878790000000002</v>
      </c>
      <c r="E9987">
        <v>0.45333849999999998</v>
      </c>
      <c r="F9987" t="s">
        <v>73</v>
      </c>
      <c r="G9987">
        <v>-196.37289999999999</v>
      </c>
      <c r="H9987" s="1">
        <v>-4.2976189999999996E-6</v>
      </c>
      <c r="I9987">
        <v>-46.729190000000003</v>
      </c>
      <c r="J9987">
        <v>-201.7636</v>
      </c>
      <c r="K9987">
        <v>1.117567</v>
      </c>
      <c r="L9987">
        <v>-54.515720000000002</v>
      </c>
      <c r="M9987">
        <v>0.82070679999999996</v>
      </c>
      <c r="N9987">
        <v>0</v>
      </c>
      <c r="O9987">
        <v>0.57121269999999902</v>
      </c>
      <c r="P9987">
        <v>0.66943260000000004</v>
      </c>
      <c r="Q9987">
        <v>2.618084E-2</v>
      </c>
      <c r="R9987">
        <v>0.74241140000000005</v>
      </c>
      <c r="S9987">
        <v>1.7414400000000001</v>
      </c>
      <c r="T9987">
        <v>-0.35237540000000001</v>
      </c>
      <c r="U9987">
        <v>2.4855649999999998</v>
      </c>
      <c r="V9987">
        <v>-0.2275954</v>
      </c>
      <c r="W9987">
        <v>3.4194309999999999E-2</v>
      </c>
      <c r="X9987">
        <v>0.97315529999999995</v>
      </c>
      <c r="Y9987">
        <v>-0.34534480000000001</v>
      </c>
      <c r="Z9987">
        <v>-4.9126820000000002E-2</v>
      </c>
      <c r="AA9987">
        <v>0.93718919999999994</v>
      </c>
      <c r="AB9987">
        <v>32</v>
      </c>
      <c r="AC9987">
        <v>5.3907000000000096</v>
      </c>
      <c r="AD9987">
        <v>-1.117571297619</v>
      </c>
      <c r="AE9987">
        <v>7.7865299999999902</v>
      </c>
      <c r="AF9987">
        <v>-3.26600039717952</v>
      </c>
      <c r="AG9987">
        <v>-1.117571297619</v>
      </c>
      <c r="AH9987">
        <v>8.7507845931789205</v>
      </c>
      <c r="AI9987">
        <v>96.822961207454398</v>
      </c>
      <c r="AJ9987">
        <v>110.466767312455</v>
      </c>
      <c r="AK9987">
        <v>9.4070162748799504</v>
      </c>
      <c r="AL9987">
        <v>88.040428507039493</v>
      </c>
      <c r="AM9987">
        <v>103.16337920511501</v>
      </c>
      <c r="AN9987">
        <v>1.0000000774278099</v>
      </c>
    </row>
    <row r="9988" spans="1:40" x14ac:dyDescent="0.25">
      <c r="A9988" t="str">
        <f>"20190312150916168"</f>
        <v>20190312150916168</v>
      </c>
      <c r="B9988" t="str">
        <f>"1552374556159688"</f>
        <v>1552374556159688</v>
      </c>
      <c r="C9988" t="s">
        <v>40</v>
      </c>
      <c r="D9988">
        <v>4.7687999999999997</v>
      </c>
      <c r="E9988">
        <v>0.46349560000000001</v>
      </c>
      <c r="F9988" t="s">
        <v>73</v>
      </c>
      <c r="G9988">
        <v>-196.28270000000001</v>
      </c>
      <c r="H9988" s="1">
        <v>-4.3405199999999999E-6</v>
      </c>
      <c r="I9988">
        <v>-46.612009999999998</v>
      </c>
      <c r="J9988">
        <v>-201.63849999999999</v>
      </c>
      <c r="K9988">
        <v>1.117577</v>
      </c>
      <c r="L9988">
        <v>-54.42389</v>
      </c>
      <c r="M9988">
        <v>0.8181967</v>
      </c>
      <c r="N9988">
        <v>0</v>
      </c>
      <c r="O9988">
        <v>0.57480229999999999</v>
      </c>
      <c r="P9988">
        <v>0.66600009999999998</v>
      </c>
      <c r="Q9988">
        <v>2.621414E-2</v>
      </c>
      <c r="R9988">
        <v>0.74549100000000001</v>
      </c>
      <c r="S9988">
        <v>1.7294309999999999</v>
      </c>
      <c r="T9988">
        <v>-0.35263299999999997</v>
      </c>
      <c r="U9988">
        <v>2.4938959999999999</v>
      </c>
      <c r="V9988">
        <v>-0.22782250000000001</v>
      </c>
      <c r="W9988">
        <v>3.4219569999999998E-2</v>
      </c>
      <c r="X9988">
        <v>0.9731012</v>
      </c>
      <c r="Y9988">
        <v>-0.34576279999999998</v>
      </c>
      <c r="Z9988">
        <v>-4.9607350000000001E-2</v>
      </c>
      <c r="AA9988">
        <v>0.9370098</v>
      </c>
      <c r="AB9988">
        <v>32</v>
      </c>
      <c r="AC9988">
        <v>5.3557999999999799</v>
      </c>
      <c r="AD9988">
        <v>-1.1175813405199999</v>
      </c>
      <c r="AE9988">
        <v>7.8118800000000004</v>
      </c>
      <c r="AF9988">
        <v>-3.2678903291360202</v>
      </c>
      <c r="AG9988">
        <v>-1.1175813405199999</v>
      </c>
      <c r="AH9988">
        <v>8.7512396117900906</v>
      </c>
      <c r="AI9988">
        <v>96.822235281742294</v>
      </c>
      <c r="AJ9988">
        <v>110.476651575801</v>
      </c>
      <c r="AK9988">
        <v>9.4080970445092298</v>
      </c>
      <c r="AL9988">
        <v>88.038980231986699</v>
      </c>
      <c r="AM9988">
        <v>103.176762914153</v>
      </c>
      <c r="AN9988">
        <v>1.0000000079593301</v>
      </c>
    </row>
    <row r="9989" spans="1:40" x14ac:dyDescent="0.25">
      <c r="A9989" t="str">
        <f>"20190312150916179"</f>
        <v>20190312150916179</v>
      </c>
      <c r="B9989" t="str">
        <f>"1552374556169447"</f>
        <v>1552374556169447</v>
      </c>
      <c r="C9989" t="s">
        <v>40</v>
      </c>
      <c r="D9989">
        <v>4.7636520000000004</v>
      </c>
      <c r="E9989">
        <v>0.46295239999999999</v>
      </c>
      <c r="F9989" t="s">
        <v>73</v>
      </c>
      <c r="G9989">
        <v>-196.55289999999999</v>
      </c>
      <c r="H9989" s="1">
        <v>-3.9829600000000004E-6</v>
      </c>
      <c r="I9989">
        <v>-47.418149999999997</v>
      </c>
      <c r="J9989">
        <v>-201.51310000000001</v>
      </c>
      <c r="K9989">
        <v>1.1175839999999999</v>
      </c>
      <c r="L9989">
        <v>-54.330840000000002</v>
      </c>
      <c r="M9989">
        <v>0.81565089999999996</v>
      </c>
      <c r="N9989">
        <v>0</v>
      </c>
      <c r="O9989">
        <v>0.57840919999999996</v>
      </c>
      <c r="P9989">
        <v>0.66275099999999998</v>
      </c>
      <c r="Q9989">
        <v>2.5928240000000002E-2</v>
      </c>
      <c r="R9989">
        <v>0.74839089999999997</v>
      </c>
      <c r="S9989">
        <v>1.7780910000000001</v>
      </c>
      <c r="T9989">
        <v>-0.39074209999999998</v>
      </c>
      <c r="U9989">
        <v>2.4494319999999998</v>
      </c>
      <c r="V9989">
        <v>-0.22776260000000001</v>
      </c>
      <c r="W9989">
        <v>3.3932200000000003E-2</v>
      </c>
      <c r="X9989">
        <v>0.97312529999999997</v>
      </c>
      <c r="Y9989">
        <v>-0.32165820000000001</v>
      </c>
      <c r="Z9989">
        <v>-5.6955480000000003E-2</v>
      </c>
      <c r="AA9989">
        <v>0.94514129999999996</v>
      </c>
      <c r="AB9989">
        <v>32</v>
      </c>
      <c r="AC9989">
        <v>4.9602000000000102</v>
      </c>
      <c r="AD9989">
        <v>-1.1175879829599999</v>
      </c>
      <c r="AE9989">
        <v>6.9126899999999996</v>
      </c>
      <c r="AF9989">
        <v>-2.72255788493817</v>
      </c>
      <c r="AG9989">
        <v>-1.1175879829599999</v>
      </c>
      <c r="AH9989">
        <v>7.9083332697764304</v>
      </c>
      <c r="AI9989">
        <v>97.610846538937693</v>
      </c>
      <c r="AJ9989">
        <v>108.996763772452</v>
      </c>
      <c r="AK9989">
        <v>8.43819053128977</v>
      </c>
      <c r="AL9989">
        <v>88.055454916677405</v>
      </c>
      <c r="AM9989">
        <v>103.173104382224</v>
      </c>
      <c r="AN9989">
        <v>1.0000000228278401</v>
      </c>
    </row>
    <row r="9990" spans="1:40" x14ac:dyDescent="0.25">
      <c r="A9990" t="str">
        <f>"20190312150916190"</f>
        <v>20190312150916190</v>
      </c>
      <c r="B9990" t="str">
        <f>"1552374556179207"</f>
        <v>1552374556179207</v>
      </c>
      <c r="C9990" t="s">
        <v>40</v>
      </c>
      <c r="D9990">
        <v>4.7339699999999896</v>
      </c>
      <c r="E9990">
        <v>0.46309990000000001</v>
      </c>
      <c r="F9990" t="s">
        <v>73</v>
      </c>
      <c r="G9990">
        <v>-196.21789999999999</v>
      </c>
      <c r="H9990" s="1">
        <v>-4.1593309999999999E-6</v>
      </c>
      <c r="I9990">
        <v>-46.949170000000002</v>
      </c>
      <c r="J9990">
        <v>-201.3905</v>
      </c>
      <c r="K9990">
        <v>1.1175919999999999</v>
      </c>
      <c r="L9990">
        <v>-54.239139999999999</v>
      </c>
      <c r="M9990">
        <v>0.81313789999999997</v>
      </c>
      <c r="N9990">
        <v>0</v>
      </c>
      <c r="O9990">
        <v>0.58193669999999997</v>
      </c>
      <c r="P9990">
        <v>0.65967379999999998</v>
      </c>
      <c r="Q9990">
        <v>2.5808299999999999E-2</v>
      </c>
      <c r="R9990">
        <v>0.75110889999999997</v>
      </c>
      <c r="S9990">
        <v>1.764114</v>
      </c>
      <c r="T9990">
        <v>-0.37233270000000002</v>
      </c>
      <c r="U9990">
        <v>2.4592589999999999</v>
      </c>
      <c r="V9990">
        <v>-0.22754350000000001</v>
      </c>
      <c r="W9990">
        <v>3.3814009999999999E-2</v>
      </c>
      <c r="X9990">
        <v>0.97318070000000001</v>
      </c>
      <c r="Y9990">
        <v>-0.3227815</v>
      </c>
      <c r="Z9990">
        <v>-5.4724780000000001E-2</v>
      </c>
      <c r="AA9990">
        <v>0.94489009999999996</v>
      </c>
      <c r="AB9990">
        <v>32</v>
      </c>
      <c r="AC9990">
        <v>5.1726000000000099</v>
      </c>
      <c r="AD9990">
        <v>-1.117596159331</v>
      </c>
      <c r="AE9990">
        <v>7.2899699999999896</v>
      </c>
      <c r="AF9990">
        <v>-2.8729423369900999</v>
      </c>
      <c r="AG9990">
        <v>-1.117596159331</v>
      </c>
      <c r="AH9990">
        <v>8.3189537498593094</v>
      </c>
      <c r="AI9990">
        <v>97.236923859199095</v>
      </c>
      <c r="AJ9990">
        <v>109.052301629067</v>
      </c>
      <c r="AK9990">
        <v>8.8717422381018096</v>
      </c>
      <c r="AL9990">
        <v>88.062230651975298</v>
      </c>
      <c r="AM9990">
        <v>103.16015042534799</v>
      </c>
      <c r="AN9990">
        <v>1.0000000532585001</v>
      </c>
    </row>
    <row r="9991" spans="1:40" x14ac:dyDescent="0.25">
      <c r="A9991" t="str">
        <f>"20190312150916201"</f>
        <v>20190312150916201</v>
      </c>
      <c r="B9991" t="str">
        <f>"1552374556188967"</f>
        <v>1552374556188967</v>
      </c>
      <c r="C9991" t="s">
        <v>40</v>
      </c>
      <c r="D9991">
        <v>4.7453469999999998</v>
      </c>
      <c r="E9991">
        <v>0.46338390000000002</v>
      </c>
      <c r="F9991" t="s">
        <v>73</v>
      </c>
      <c r="G9991">
        <v>-195.9367</v>
      </c>
      <c r="H9991" s="1">
        <v>-4.2968140000000001E-6</v>
      </c>
      <c r="I9991">
        <v>-46.576450000000001</v>
      </c>
      <c r="J9991">
        <v>-201.2663</v>
      </c>
      <c r="K9991">
        <v>1.1176029999999999</v>
      </c>
      <c r="L9991">
        <v>-54.145479999999999</v>
      </c>
      <c r="M9991">
        <v>0.81056490000000003</v>
      </c>
      <c r="N9991">
        <v>0</v>
      </c>
      <c r="O9991">
        <v>0.58551529999999996</v>
      </c>
      <c r="P9991">
        <v>0.65652980000000005</v>
      </c>
      <c r="Q9991">
        <v>2.5710480000000001E-2</v>
      </c>
      <c r="R9991">
        <v>0.75386180000000003</v>
      </c>
      <c r="S9991">
        <v>1.754715</v>
      </c>
      <c r="T9991">
        <v>-0.35957129999999998</v>
      </c>
      <c r="U9991">
        <v>2.465363</v>
      </c>
      <c r="V9991">
        <v>-0.22732160000000001</v>
      </c>
      <c r="W9991">
        <v>3.3717740000000003E-2</v>
      </c>
      <c r="X9991">
        <v>0.97323579999999998</v>
      </c>
      <c r="Y9991">
        <v>-0.32204349999999998</v>
      </c>
      <c r="Z9991">
        <v>-5.3387120000000003E-2</v>
      </c>
      <c r="AA9991">
        <v>0.94521840000000001</v>
      </c>
      <c r="AB9991">
        <v>32</v>
      </c>
      <c r="AC9991">
        <v>5.3295999999999903</v>
      </c>
      <c r="AD9991">
        <v>-1.1176072968140001</v>
      </c>
      <c r="AE9991">
        <v>7.5690299999999997</v>
      </c>
      <c r="AF9991">
        <v>-2.9715515617522601</v>
      </c>
      <c r="AG9991">
        <v>-1.1176072968140001</v>
      </c>
      <c r="AH9991">
        <v>8.6267151635189308</v>
      </c>
      <c r="AI9991">
        <v>96.983302980334003</v>
      </c>
      <c r="AJ9991">
        <v>109.00674089562</v>
      </c>
      <c r="AK9991">
        <v>9.1923543919135202</v>
      </c>
      <c r="AL9991">
        <v>88.067749481492996</v>
      </c>
      <c r="AM9991">
        <v>103.14704417355</v>
      </c>
      <c r="AN9991">
        <v>0.99999995910945205</v>
      </c>
    </row>
    <row r="9992" spans="1:40" x14ac:dyDescent="0.25">
      <c r="A9992" t="str">
        <f>"20190312150916211"</f>
        <v>20190312150916211</v>
      </c>
      <c r="B9992" t="str">
        <f>"1552374556209462"</f>
        <v>1552374556209462</v>
      </c>
      <c r="C9992" t="s">
        <v>40</v>
      </c>
      <c r="D9992">
        <v>4.9471869999999996</v>
      </c>
      <c r="E9992">
        <v>0.46440480000000001</v>
      </c>
      <c r="F9992" t="s">
        <v>73</v>
      </c>
      <c r="G9992">
        <v>-195.7885</v>
      </c>
      <c r="H9992" s="1">
        <v>-4.3623940000000002E-6</v>
      </c>
      <c r="I9992">
        <v>-46.393729999999998</v>
      </c>
      <c r="J9992">
        <v>-201.15219999999999</v>
      </c>
      <c r="K9992">
        <v>1.117612</v>
      </c>
      <c r="L9992">
        <v>-54.058349999999997</v>
      </c>
      <c r="M9992">
        <v>0.808172</v>
      </c>
      <c r="N9992">
        <v>0</v>
      </c>
      <c r="O9992">
        <v>0.5888137</v>
      </c>
      <c r="P9992">
        <v>0.65363490000000002</v>
      </c>
      <c r="Q9992">
        <v>2.563435E-2</v>
      </c>
      <c r="R9992">
        <v>0.75637580000000004</v>
      </c>
      <c r="S9992">
        <v>1.746124</v>
      </c>
      <c r="T9992">
        <v>-0.35625309999999999</v>
      </c>
      <c r="U9992">
        <v>2.4709780000000001</v>
      </c>
      <c r="V9992">
        <v>-0.2270877</v>
      </c>
      <c r="W9992">
        <v>3.3643880000000001E-2</v>
      </c>
      <c r="X9992">
        <v>0.97329299999999996</v>
      </c>
      <c r="Y9992">
        <v>-0.3213858</v>
      </c>
      <c r="Z9992">
        <v>-5.3371790000000002E-2</v>
      </c>
      <c r="AA9992">
        <v>0.94544309999999998</v>
      </c>
      <c r="AB9992">
        <v>32</v>
      </c>
      <c r="AC9992">
        <v>5.3636999999999899</v>
      </c>
      <c r="AD9992">
        <v>-1.1176163623940001</v>
      </c>
      <c r="AE9992">
        <v>7.6646199999999904</v>
      </c>
      <c r="AF9992">
        <v>-2.9936223177782</v>
      </c>
      <c r="AG9992">
        <v>-1.1176163623940001</v>
      </c>
      <c r="AH9992">
        <v>8.7240043630424502</v>
      </c>
      <c r="AI9992">
        <v>96.908996130749301</v>
      </c>
      <c r="AJ9992">
        <v>108.93954135606199</v>
      </c>
      <c r="AK9992">
        <v>9.2908069101329591</v>
      </c>
      <c r="AL9992">
        <v>88.071983827234703</v>
      </c>
      <c r="AM9992">
        <v>103.133240706042</v>
      </c>
      <c r="AN9992">
        <v>0.999999999000872</v>
      </c>
    </row>
    <row r="9993" spans="1:40" x14ac:dyDescent="0.25">
      <c r="A9993" t="str">
        <f>"20190312150916223"</f>
        <v>20190312150916223</v>
      </c>
      <c r="B9993" t="str">
        <f>"1552374556219222"</f>
        <v>1552374556219222</v>
      </c>
      <c r="C9993" t="s">
        <v>40</v>
      </c>
      <c r="D9993">
        <v>5.0192969999999999</v>
      </c>
      <c r="E9993">
        <v>0.46503670000000003</v>
      </c>
      <c r="F9993" t="s">
        <v>73</v>
      </c>
      <c r="G9993">
        <v>-195.45939999999999</v>
      </c>
      <c r="H9993" s="1">
        <v>-4.5100220000000002E-6</v>
      </c>
      <c r="I9993">
        <v>-45.983919999999998</v>
      </c>
      <c r="J9993">
        <v>-201.0248</v>
      </c>
      <c r="K9993">
        <v>1.117621</v>
      </c>
      <c r="L9993">
        <v>-53.96069</v>
      </c>
      <c r="M9993">
        <v>0.80548090000000006</v>
      </c>
      <c r="N9993">
        <v>0</v>
      </c>
      <c r="O9993">
        <v>0.59248970000000001</v>
      </c>
      <c r="P9993">
        <v>0.65010599999999996</v>
      </c>
      <c r="Q9993">
        <v>2.5622120000000002E-2</v>
      </c>
      <c r="R9993">
        <v>0.75941150000000002</v>
      </c>
      <c r="S9993">
        <v>1.74276699999999</v>
      </c>
      <c r="T9993">
        <v>-0.34214099999999997</v>
      </c>
      <c r="U9993">
        <v>2.4718629999999999</v>
      </c>
      <c r="V9993">
        <v>-0.22718579999999999</v>
      </c>
      <c r="W9993">
        <v>3.3625759999999998E-2</v>
      </c>
      <c r="X9993">
        <v>0.97327070000000004</v>
      </c>
      <c r="Y9993">
        <v>-0.31802639999999999</v>
      </c>
      <c r="Z9993">
        <v>-5.1925159999999998E-2</v>
      </c>
      <c r="AA9993">
        <v>0.94665880000000002</v>
      </c>
      <c r="AB9993">
        <v>32</v>
      </c>
      <c r="AC9993">
        <v>5.5654000000000101</v>
      </c>
      <c r="AD9993">
        <v>-1.1176255100220001</v>
      </c>
      <c r="AE9993">
        <v>7.9767700000000001</v>
      </c>
      <c r="AF9993">
        <v>-3.0871768236416699</v>
      </c>
      <c r="AG9993">
        <v>-1.1176255100220001</v>
      </c>
      <c r="AH9993">
        <v>9.0896822085744304</v>
      </c>
      <c r="AI9993">
        <v>96.640693799208805</v>
      </c>
      <c r="AJ9993">
        <v>108.75929993945</v>
      </c>
      <c r="AK9993">
        <v>9.66447464552299</v>
      </c>
      <c r="AL9993">
        <v>88.073022553731093</v>
      </c>
      <c r="AM9993">
        <v>103.139007983301</v>
      </c>
      <c r="AN9993">
        <v>0.99999996746785302</v>
      </c>
    </row>
    <row r="9994" spans="1:40" x14ac:dyDescent="0.25">
      <c r="A9994" t="str">
        <f>"20190312150916234"</f>
        <v>20190312150916234</v>
      </c>
      <c r="B9994" t="str">
        <f>"1552374556228982"</f>
        <v>1552374556228982</v>
      </c>
      <c r="C9994" t="s">
        <v>40</v>
      </c>
      <c r="D9994">
        <v>4.7173489999999996</v>
      </c>
      <c r="E9994">
        <v>0.46484999999999999</v>
      </c>
      <c r="F9994" t="s">
        <v>73</v>
      </c>
      <c r="G9994">
        <v>-195.2432</v>
      </c>
      <c r="H9994" s="1">
        <v>-4.6097359999999901E-6</v>
      </c>
      <c r="I9994">
        <v>-45.709319999999998</v>
      </c>
      <c r="J9994">
        <v>-200.9034</v>
      </c>
      <c r="K9994">
        <v>1.117629</v>
      </c>
      <c r="L9994">
        <v>-53.86618</v>
      </c>
      <c r="M9994">
        <v>0.80287739999999996</v>
      </c>
      <c r="N9994">
        <v>0</v>
      </c>
      <c r="O9994">
        <v>0.59601280000000001</v>
      </c>
      <c r="P9994">
        <v>0.64700899999999995</v>
      </c>
      <c r="Q9994">
        <v>2.5474980000000001E-2</v>
      </c>
      <c r="R9994">
        <v>0.76205669999999903</v>
      </c>
      <c r="S9994">
        <v>1.7351380000000001</v>
      </c>
      <c r="T9994">
        <v>-0.3354145</v>
      </c>
      <c r="U9994">
        <v>2.4763489999999999</v>
      </c>
      <c r="V9994">
        <v>-0.22688610000000001</v>
      </c>
      <c r="W9994">
        <v>3.3481370000000003E-2</v>
      </c>
      <c r="X9994">
        <v>0.97334560000000003</v>
      </c>
      <c r="Y9994">
        <v>-0.31661149999999999</v>
      </c>
      <c r="Z9994">
        <v>-5.1428250000000002E-2</v>
      </c>
      <c r="AA9994">
        <v>0.94716009999999995</v>
      </c>
      <c r="AB9994">
        <v>32</v>
      </c>
      <c r="AC9994">
        <v>5.6601999999999997</v>
      </c>
      <c r="AD9994">
        <v>-1.117633609736</v>
      </c>
      <c r="AE9994">
        <v>8.15686</v>
      </c>
      <c r="AF9994">
        <v>-3.13591733017984</v>
      </c>
      <c r="AG9994">
        <v>-1.117633609736</v>
      </c>
      <c r="AH9994">
        <v>9.2890655022498407</v>
      </c>
      <c r="AI9994">
        <v>96.503435771427704</v>
      </c>
      <c r="AJ9994">
        <v>108.654288134472</v>
      </c>
      <c r="AK9994">
        <v>9.8676147215232302</v>
      </c>
      <c r="AL9994">
        <v>88.081300178098601</v>
      </c>
      <c r="AM9994">
        <v>103.12130052709399</v>
      </c>
      <c r="AN9994">
        <v>0.99999998077482299</v>
      </c>
    </row>
    <row r="9995" spans="1:40" x14ac:dyDescent="0.25">
      <c r="A9995" t="str">
        <f>"20190312150916245"</f>
        <v>20190312150916245</v>
      </c>
      <c r="B9995" t="str">
        <f>"1552374556239718"</f>
        <v>1552374556239718</v>
      </c>
      <c r="C9995" t="s">
        <v>40</v>
      </c>
      <c r="D9995">
        <v>4.7049969999999997</v>
      </c>
      <c r="E9995">
        <v>0.46484999999999999</v>
      </c>
      <c r="F9995" t="s">
        <v>73</v>
      </c>
      <c r="G9995">
        <v>-195.16069999999999</v>
      </c>
      <c r="H9995" s="1">
        <v>-4.6537269999999997E-6</v>
      </c>
      <c r="I9995">
        <v>-45.592700000000001</v>
      </c>
      <c r="J9995">
        <v>-200.7808</v>
      </c>
      <c r="K9995">
        <v>1.117642</v>
      </c>
      <c r="L9995">
        <v>-53.770479999999999</v>
      </c>
      <c r="M9995">
        <v>0.80022930000000003</v>
      </c>
      <c r="N9995">
        <v>0</v>
      </c>
      <c r="O9995">
        <v>0.59956350000000003</v>
      </c>
      <c r="P9995">
        <v>0.64366119999999905</v>
      </c>
      <c r="Q9995">
        <v>2.538634E-2</v>
      </c>
      <c r="R9995">
        <v>0.76488940000000005</v>
      </c>
      <c r="S9995">
        <v>1.7241820000000001</v>
      </c>
      <c r="T9995">
        <v>-0.33556000000000002</v>
      </c>
      <c r="U9995">
        <v>2.4840390000000001</v>
      </c>
      <c r="V9995">
        <v>-0.22684409999999999</v>
      </c>
      <c r="W9995">
        <v>3.338986E-2</v>
      </c>
      <c r="X9995">
        <v>0.97335859999999996</v>
      </c>
      <c r="Y9995">
        <v>-0.3166175</v>
      </c>
      <c r="Z9995">
        <v>-5.18886E-2</v>
      </c>
      <c r="AA9995">
        <v>0.947133</v>
      </c>
      <c r="AB9995">
        <v>32</v>
      </c>
      <c r="AC9995">
        <v>5.6200999999999999</v>
      </c>
      <c r="AD9995">
        <v>-1.117646653727</v>
      </c>
      <c r="AE9995">
        <v>8.1777800000000003</v>
      </c>
      <c r="AF9995">
        <v>-3.1349692389256498</v>
      </c>
      <c r="AG9995">
        <v>-1.117646653727</v>
      </c>
      <c r="AH9995">
        <v>9.2834292884913001</v>
      </c>
      <c r="AI9995">
        <v>96.507224537368401</v>
      </c>
      <c r="AJ9995">
        <v>108.65957712143501</v>
      </c>
      <c r="AK9995">
        <v>9.8620092033020992</v>
      </c>
      <c r="AL9995">
        <v>88.086546373674807</v>
      </c>
      <c r="AM9995">
        <v>103.11878644056399</v>
      </c>
      <c r="AN9995">
        <v>1.00000004632479</v>
      </c>
    </row>
    <row r="9996" spans="1:40" x14ac:dyDescent="0.25">
      <c r="A9996" t="str">
        <f>"20190312150916257"</f>
        <v>20190312150916257</v>
      </c>
      <c r="B9996" t="str">
        <f>"1552374556249478"</f>
        <v>1552374556249478</v>
      </c>
      <c r="C9996" t="s">
        <v>40</v>
      </c>
      <c r="D9996">
        <v>4.6627789999999996</v>
      </c>
      <c r="E9996">
        <v>0.44151839999999998</v>
      </c>
      <c r="F9996" t="s">
        <v>73</v>
      </c>
      <c r="G9996">
        <v>-195.0797</v>
      </c>
      <c r="H9996" s="1">
        <v>-4.6965660000000004E-6</v>
      </c>
      <c r="I9996">
        <v>-45.478929999999998</v>
      </c>
      <c r="J9996">
        <v>-200.648</v>
      </c>
      <c r="K9996">
        <v>1.1176549999999901</v>
      </c>
      <c r="L9996">
        <v>-53.66525</v>
      </c>
      <c r="M9996">
        <v>0.79731940000000001</v>
      </c>
      <c r="N9996">
        <v>0</v>
      </c>
      <c r="O9996">
        <v>0.60342779999999996</v>
      </c>
      <c r="P9996">
        <v>0.64007599999999998</v>
      </c>
      <c r="Q9996">
        <v>2.5204150000000002E-2</v>
      </c>
      <c r="R9996">
        <v>0.76789799999999997</v>
      </c>
      <c r="S9996">
        <v>1.713165</v>
      </c>
      <c r="T9996">
        <v>-0.33585229999999999</v>
      </c>
      <c r="U9996">
        <v>2.4916079999999998</v>
      </c>
      <c r="V9996">
        <v>-0.226691</v>
      </c>
      <c r="W9996">
        <v>3.3206380000000001E-2</v>
      </c>
      <c r="X9996">
        <v>0.9734005</v>
      </c>
      <c r="Y9996">
        <v>-0.31623390000000001</v>
      </c>
      <c r="Z9996">
        <v>-5.2431180000000001E-2</v>
      </c>
      <c r="AA9996">
        <v>0.9472313</v>
      </c>
      <c r="AB9996">
        <v>32</v>
      </c>
      <c r="AC9996">
        <v>5.56829999999999</v>
      </c>
      <c r="AD9996">
        <v>-1.1176596965659999</v>
      </c>
      <c r="AE9996">
        <v>8.1863200000000003</v>
      </c>
      <c r="AF9996">
        <v>-3.1274376271505901</v>
      </c>
      <c r="AG9996">
        <v>-1.1176596965659999</v>
      </c>
      <c r="AH9996">
        <v>9.2622656935420302</v>
      </c>
      <c r="AI9996">
        <v>96.522121977806407</v>
      </c>
      <c r="AJ9996">
        <v>108.657440587693</v>
      </c>
      <c r="AK9996">
        <v>9.8396948675663207</v>
      </c>
      <c r="AL9996">
        <v>88.097064753747304</v>
      </c>
      <c r="AM9996">
        <v>103.109693489964</v>
      </c>
      <c r="AN9996">
        <v>1.00000000327697</v>
      </c>
    </row>
    <row r="9997" spans="1:40" x14ac:dyDescent="0.25">
      <c r="A9997" t="str">
        <f>"20190312150916268"</f>
        <v>20190312150916268</v>
      </c>
      <c r="B9997" t="str">
        <f>"1552374556259238"</f>
        <v>1552374556259238</v>
      </c>
      <c r="C9997" t="s">
        <v>40</v>
      </c>
      <c r="D9997">
        <v>4.6588640000000003</v>
      </c>
      <c r="E9997">
        <v>0.43909759999999998</v>
      </c>
      <c r="F9997" t="s">
        <v>73</v>
      </c>
      <c r="G9997">
        <v>-195.81559999999999</v>
      </c>
      <c r="H9997" s="1">
        <v>-4.7959890000000002E-6</v>
      </c>
      <c r="I9997">
        <v>-45.54166</v>
      </c>
      <c r="J9997">
        <v>-200.53</v>
      </c>
      <c r="K9997">
        <v>1.1176619999999999</v>
      </c>
      <c r="L9997">
        <v>-53.571199999999997</v>
      </c>
      <c r="M9997">
        <v>0.79470959999999902</v>
      </c>
      <c r="N9997">
        <v>0</v>
      </c>
      <c r="O9997">
        <v>0.60686059999999997</v>
      </c>
      <c r="P9997">
        <v>0.63683469999999998</v>
      </c>
      <c r="Q9997">
        <v>2.5092030000000001E-2</v>
      </c>
      <c r="R9997">
        <v>0.7705919</v>
      </c>
      <c r="S9997">
        <v>1.5583499999999999</v>
      </c>
      <c r="T9997">
        <v>-0.36041780000000001</v>
      </c>
      <c r="U9997">
        <v>2.619659</v>
      </c>
      <c r="V9997">
        <v>-0.2265962</v>
      </c>
      <c r="W9997">
        <v>3.3092009999999998E-2</v>
      </c>
      <c r="X9997">
        <v>0.97342649999999997</v>
      </c>
      <c r="Y9997">
        <v>-0.37365470000000001</v>
      </c>
      <c r="Z9997">
        <v>-5.3285899999999997E-2</v>
      </c>
      <c r="AA9997">
        <v>0.92603610000000003</v>
      </c>
      <c r="AB9997">
        <v>32</v>
      </c>
      <c r="AC9997">
        <v>4.7144000000000101</v>
      </c>
      <c r="AD9997">
        <v>-1.1176667959890001</v>
      </c>
      <c r="AE9997">
        <v>8.0295399999999901</v>
      </c>
      <c r="AF9997">
        <v>-3.4704421550185001</v>
      </c>
      <c r="AG9997">
        <v>-1.1176667959890001</v>
      </c>
      <c r="AH9997">
        <v>8.4976308153800009</v>
      </c>
      <c r="AI9997">
        <v>96.942371012016494</v>
      </c>
      <c r="AJ9997">
        <v>112.215160686781</v>
      </c>
      <c r="AK9997">
        <v>9.2467765893137894</v>
      </c>
      <c r="AL9997">
        <v>88.103621335471502</v>
      </c>
      <c r="AM9997">
        <v>103.104062441998</v>
      </c>
      <c r="AN9997">
        <v>1.0000000349412601</v>
      </c>
    </row>
    <row r="9998" spans="1:40" x14ac:dyDescent="0.25">
      <c r="A9998" t="str">
        <f>"20190312150916278"</f>
        <v>20190312150916278</v>
      </c>
      <c r="B9998" t="str">
        <f>"1552374556268999"</f>
        <v>1552374556268999</v>
      </c>
      <c r="C9998" t="s">
        <v>40</v>
      </c>
      <c r="D9998">
        <v>4.7185160000000002</v>
      </c>
      <c r="E9998">
        <v>0.43782700000000002</v>
      </c>
      <c r="F9998" t="s">
        <v>73</v>
      </c>
      <c r="G9998">
        <v>-195.89580000000001</v>
      </c>
      <c r="H9998" s="1">
        <v>-4.7858059999999997E-6</v>
      </c>
      <c r="I9998">
        <v>-45.590299999999999</v>
      </c>
      <c r="J9998">
        <v>-200.40309999999999</v>
      </c>
      <c r="K9998">
        <v>1.117675</v>
      </c>
      <c r="L9998">
        <v>-53.46893</v>
      </c>
      <c r="M9998">
        <v>0.79186919999999905</v>
      </c>
      <c r="N9998">
        <v>0</v>
      </c>
      <c r="O9998">
        <v>0.61056239999999995</v>
      </c>
      <c r="P9998">
        <v>0.63318750000000001</v>
      </c>
      <c r="Q9998">
        <v>2.5125310000000001E-2</v>
      </c>
      <c r="R9998">
        <v>0.77359049999999996</v>
      </c>
      <c r="S9998">
        <v>1.5322720000000001</v>
      </c>
      <c r="T9998">
        <v>-0.3695524</v>
      </c>
      <c r="U9998">
        <v>2.638855</v>
      </c>
      <c r="V9998">
        <v>-0.2266531</v>
      </c>
      <c r="W9998">
        <v>3.311965E-2</v>
      </c>
      <c r="X9998">
        <v>0.97341230000000001</v>
      </c>
      <c r="Y9998">
        <v>-0.37913419999999998</v>
      </c>
      <c r="Z9998">
        <v>-5.4782270000000001E-2</v>
      </c>
      <c r="AA9998">
        <v>0.9237187</v>
      </c>
      <c r="AB9998">
        <v>32</v>
      </c>
      <c r="AC9998">
        <v>4.5072999999999803</v>
      </c>
      <c r="AD9998">
        <v>-1.1176797858059999</v>
      </c>
      <c r="AE9998">
        <v>7.8786300000000002</v>
      </c>
      <c r="AF9998">
        <v>-3.43504626724663</v>
      </c>
      <c r="AG9998">
        <v>-1.1176797858059999</v>
      </c>
      <c r="AH9998">
        <v>8.2550772551644194</v>
      </c>
      <c r="AI9998">
        <v>97.1251696194647</v>
      </c>
      <c r="AJ9998">
        <v>112.59283731187</v>
      </c>
      <c r="AK9998">
        <v>9.0108296760319107</v>
      </c>
      <c r="AL9998">
        <v>88.1020367877653</v>
      </c>
      <c r="AM9998">
        <v>103.10742398152</v>
      </c>
      <c r="AN9998">
        <v>1.0000000223735099</v>
      </c>
    </row>
    <row r="9999" spans="1:40" x14ac:dyDescent="0.25">
      <c r="A9999" t="str">
        <f>"20190312150916290"</f>
        <v>20190312150916290</v>
      </c>
      <c r="B9999" t="str">
        <f>"1552374556279735"</f>
        <v>1552374556279735</v>
      </c>
      <c r="C9999" t="s">
        <v>40</v>
      </c>
      <c r="D9999">
        <v>4.7170860000000001</v>
      </c>
      <c r="E9999">
        <v>0.43656499999999998</v>
      </c>
      <c r="F9999" t="s">
        <v>73</v>
      </c>
      <c r="G9999">
        <v>-195.97120000000001</v>
      </c>
      <c r="H9999" s="1">
        <v>-4.7482989999999997E-6</v>
      </c>
      <c r="I9999">
        <v>-45.691479999999999</v>
      </c>
      <c r="J9999">
        <v>-200.286</v>
      </c>
      <c r="K9999">
        <v>1.117686</v>
      </c>
      <c r="L9999">
        <v>-53.373629999999999</v>
      </c>
      <c r="M9999">
        <v>0.78921809999999903</v>
      </c>
      <c r="N9999">
        <v>0</v>
      </c>
      <c r="O9999">
        <v>0.61398540000000001</v>
      </c>
      <c r="P9999">
        <v>0.62969390000000003</v>
      </c>
      <c r="Q9999">
        <v>2.489941E-2</v>
      </c>
      <c r="R9999">
        <v>0.77644429999999998</v>
      </c>
      <c r="S9999">
        <v>1.5118100000000001</v>
      </c>
      <c r="T9999">
        <v>-0.38125890000000001</v>
      </c>
      <c r="U9999">
        <v>2.6530149999999999</v>
      </c>
      <c r="V9999">
        <v>-0.22682840000000001</v>
      </c>
      <c r="W9999">
        <v>3.2885169999999998E-2</v>
      </c>
      <c r="X9999">
        <v>0.97337940000000001</v>
      </c>
      <c r="Y9999">
        <v>-0.38268390000000002</v>
      </c>
      <c r="Z9999">
        <v>-5.6754659999999998E-2</v>
      </c>
      <c r="AA9999">
        <v>0.92213449999999997</v>
      </c>
      <c r="AB9999">
        <v>32</v>
      </c>
      <c r="AC9999">
        <v>4.31479999999996</v>
      </c>
      <c r="AD9999">
        <v>-1.1176907482989999</v>
      </c>
      <c r="AE9999">
        <v>7.68215</v>
      </c>
      <c r="AF9999">
        <v>-3.3598697029272699</v>
      </c>
      <c r="AG9999">
        <v>-1.1176907482989999</v>
      </c>
      <c r="AH9999">
        <v>7.9940462757002999</v>
      </c>
      <c r="AI9999">
        <v>97.344567338468707</v>
      </c>
      <c r="AJ9999">
        <v>112.796845234391</v>
      </c>
      <c r="AK9999">
        <v>8.7431534864441005</v>
      </c>
      <c r="AL9999">
        <v>88.1154787949541</v>
      </c>
      <c r="AM9999">
        <v>103.117639260247</v>
      </c>
      <c r="AN9999">
        <v>1.0000000068984201</v>
      </c>
    </row>
    <row r="10000" spans="1:40" x14ac:dyDescent="0.25">
      <c r="A10000" t="str">
        <f>"20190312150916302"</f>
        <v>20190312150916302</v>
      </c>
      <c r="B10000" t="str">
        <f>"1552374556289494"</f>
        <v>1552374556289494</v>
      </c>
      <c r="C10000" t="s">
        <v>40</v>
      </c>
      <c r="D10000">
        <v>4.6882570000000001</v>
      </c>
      <c r="E10000">
        <v>0.43591590000000002</v>
      </c>
      <c r="F10000" t="s">
        <v>73</v>
      </c>
      <c r="G10000">
        <v>-196.02199999999999</v>
      </c>
      <c r="H10000" s="1">
        <v>-4.7268350000000001E-6</v>
      </c>
      <c r="I10000">
        <v>-45.752119999999998</v>
      </c>
      <c r="J10000">
        <v>-200.16319999999999</v>
      </c>
      <c r="K10000">
        <v>1.1176969999999999</v>
      </c>
      <c r="L10000">
        <v>-53.273009999999999</v>
      </c>
      <c r="M10000">
        <v>0.78641099999999997</v>
      </c>
      <c r="N10000">
        <v>0</v>
      </c>
      <c r="O10000">
        <v>0.61757669999999998</v>
      </c>
      <c r="P10000">
        <v>0.62596569999999996</v>
      </c>
      <c r="Q10000">
        <v>2.4767290000000001E-2</v>
      </c>
      <c r="R10000">
        <v>0.77945719999999996</v>
      </c>
      <c r="S10000">
        <v>1.491806</v>
      </c>
      <c r="T10000">
        <v>-0.39103729999999998</v>
      </c>
      <c r="U10000">
        <v>2.6664729999999999</v>
      </c>
      <c r="V10000">
        <v>-0.22705829999999999</v>
      </c>
      <c r="W10000">
        <v>3.2744099999999998E-2</v>
      </c>
      <c r="X10000">
        <v>0.97333060000000005</v>
      </c>
      <c r="Y10000">
        <v>-0.3857758</v>
      </c>
      <c r="Z10000">
        <v>-5.851112E-2</v>
      </c>
      <c r="AA10000">
        <v>0.92073530000000003</v>
      </c>
      <c r="AB10000">
        <v>32</v>
      </c>
      <c r="AC10000">
        <v>4.1411999999999596</v>
      </c>
      <c r="AD10000">
        <v>-1.117701726835</v>
      </c>
      <c r="AE10000">
        <v>7.5208899999999996</v>
      </c>
      <c r="AF10000">
        <v>-3.3013160656673799</v>
      </c>
      <c r="AG10000">
        <v>-1.117701726835</v>
      </c>
      <c r="AH10000">
        <v>7.7703430886135303</v>
      </c>
      <c r="AI10000">
        <v>97.541468016642796</v>
      </c>
      <c r="AJ10000">
        <v>113.01874806091</v>
      </c>
      <c r="AK10000">
        <v>8.5162301889020995</v>
      </c>
      <c r="AL10000">
        <v>88.123565950978502</v>
      </c>
      <c r="AM10000">
        <v>103.13110962965401</v>
      </c>
      <c r="AN10000">
        <v>1.0000000522900201</v>
      </c>
    </row>
    <row r="10001" spans="1:40" x14ac:dyDescent="0.25">
      <c r="A10001" t="str">
        <f>"20190312150916315"</f>
        <v>20190312150916315</v>
      </c>
      <c r="B10001" t="str">
        <f>"1552374556309015"</f>
        <v>1552374556309015</v>
      </c>
      <c r="C10001" t="s">
        <v>40</v>
      </c>
      <c r="D10001">
        <v>4.7016150000000003</v>
      </c>
      <c r="E10001">
        <v>0.43519289999999999</v>
      </c>
      <c r="F10001" t="s">
        <v>73</v>
      </c>
      <c r="G10001">
        <v>-196.0223</v>
      </c>
      <c r="H10001" s="1">
        <v>-4.7237689999999998E-6</v>
      </c>
      <c r="I10001">
        <v>-45.758319999999998</v>
      </c>
      <c r="J10001">
        <v>-200.02080000000001</v>
      </c>
      <c r="K10001">
        <v>1.11771</v>
      </c>
      <c r="L10001">
        <v>-53.154789999999998</v>
      </c>
      <c r="M10001">
        <v>0.78311140000000001</v>
      </c>
      <c r="N10001">
        <v>0</v>
      </c>
      <c r="O10001">
        <v>0.62175530000000001</v>
      </c>
      <c r="P10001">
        <v>0.6216081</v>
      </c>
      <c r="Q10001">
        <v>2.468772E-2</v>
      </c>
      <c r="R10001">
        <v>0.7829393</v>
      </c>
      <c r="S10001">
        <v>1.475082</v>
      </c>
      <c r="T10001">
        <v>-0.3981517</v>
      </c>
      <c r="U10001">
        <v>2.6769099999999999</v>
      </c>
      <c r="V10001">
        <v>-0.22730639999999999</v>
      </c>
      <c r="W10001">
        <v>3.2654019999999999E-2</v>
      </c>
      <c r="X10001">
        <v>0.97327569999999997</v>
      </c>
      <c r="Y10001">
        <v>-0.38684489999999999</v>
      </c>
      <c r="Z10001">
        <v>-6.0108019999999998E-2</v>
      </c>
      <c r="AA10001">
        <v>0.92018370000000005</v>
      </c>
      <c r="AB10001">
        <v>32</v>
      </c>
      <c r="AC10001">
        <v>3.9984999999999999</v>
      </c>
      <c r="AD10001">
        <v>-1.1177147237689999</v>
      </c>
      <c r="AE10001">
        <v>7.3964699999999999</v>
      </c>
      <c r="AF10001">
        <v>-3.24901643427396</v>
      </c>
      <c r="AG10001">
        <v>-1.1177147237689999</v>
      </c>
      <c r="AH10001">
        <v>7.59643293392313</v>
      </c>
      <c r="AI10001">
        <v>97.704346359521296</v>
      </c>
      <c r="AJ10001">
        <v>113.15653637037001</v>
      </c>
      <c r="AK10001">
        <v>8.3373369437431499</v>
      </c>
      <c r="AL10001">
        <v>88.128729886170404</v>
      </c>
      <c r="AM10001">
        <v>103.145675398428</v>
      </c>
      <c r="AN10001">
        <v>1.0000000363568</v>
      </c>
    </row>
    <row r="10002" spans="1:40" x14ac:dyDescent="0.25">
      <c r="A10002" t="str">
        <f>"20190312150916332"</f>
        <v>20190312150916332</v>
      </c>
      <c r="B10002" t="str">
        <f>"1552374556319750"</f>
        <v>1552374556319750</v>
      </c>
      <c r="C10002" t="s">
        <v>40</v>
      </c>
      <c r="D10002">
        <v>4.6680020000000004</v>
      </c>
      <c r="E10002">
        <v>0.43493880000000001</v>
      </c>
      <c r="F10002" t="s">
        <v>73</v>
      </c>
      <c r="G10002">
        <v>-196.0076</v>
      </c>
      <c r="H10002" s="1">
        <v>-4.7303890000000004E-6</v>
      </c>
      <c r="I10002">
        <v>-45.73995</v>
      </c>
      <c r="J10002">
        <v>-199.84360000000001</v>
      </c>
      <c r="K10002">
        <v>1.117721</v>
      </c>
      <c r="L10002">
        <v>-53.006039999999999</v>
      </c>
      <c r="M10002">
        <v>0.7789471</v>
      </c>
      <c r="N10002">
        <v>0</v>
      </c>
      <c r="O10002">
        <v>0.62696459999999998</v>
      </c>
      <c r="P10002">
        <v>0.61604700000000001</v>
      </c>
      <c r="Q10002">
        <v>2.4655860000000002E-2</v>
      </c>
      <c r="R10002">
        <v>0.78732340000000001</v>
      </c>
      <c r="S10002">
        <v>1.455414</v>
      </c>
      <c r="T10002">
        <v>-0.40534009999999998</v>
      </c>
      <c r="U10002">
        <v>2.6889949999999998</v>
      </c>
      <c r="V10002">
        <v>-0.22771</v>
      </c>
      <c r="W10002">
        <v>3.2607320000000002E-2</v>
      </c>
      <c r="X10002">
        <v>0.97318289999999996</v>
      </c>
      <c r="Y10002">
        <v>-0.38769160000000003</v>
      </c>
      <c r="Z10002">
        <v>-6.1902440000000003E-2</v>
      </c>
      <c r="AA10002">
        <v>0.91970830000000003</v>
      </c>
      <c r="AB10002">
        <v>32</v>
      </c>
      <c r="AC10002">
        <v>3.8360000000000101</v>
      </c>
      <c r="AD10002">
        <v>-1.117725730389</v>
      </c>
      <c r="AE10002">
        <v>7.2660900000000002</v>
      </c>
      <c r="AF10002">
        <v>-3.1959762383534498</v>
      </c>
      <c r="AG10002">
        <v>-1.117725730389</v>
      </c>
      <c r="AH10002">
        <v>7.4071423787953199</v>
      </c>
      <c r="AI10002">
        <v>97.888199761340204</v>
      </c>
      <c r="AJ10002">
        <v>113.338856354863</v>
      </c>
      <c r="AK10002">
        <v>8.1442822362832601</v>
      </c>
      <c r="AL10002">
        <v>88.131406992419898</v>
      </c>
      <c r="AM10002">
        <v>103.16941586332</v>
      </c>
      <c r="AN10002">
        <v>1.00000001913499</v>
      </c>
    </row>
    <row r="10003" spans="1:40" x14ac:dyDescent="0.25">
      <c r="A10003" t="str">
        <f>"20190312150916352"</f>
        <v>20190312150916352</v>
      </c>
      <c r="B10003" t="str">
        <f>"1552374556349031"</f>
        <v>1552374556349031</v>
      </c>
      <c r="C10003" t="s">
        <v>40</v>
      </c>
      <c r="D10003">
        <v>4.6706320000000003</v>
      </c>
      <c r="E10003">
        <v>0.43518180000000001</v>
      </c>
      <c r="F10003" t="s">
        <v>73</v>
      </c>
      <c r="G10003">
        <v>-195.91810000000001</v>
      </c>
      <c r="H10003" s="1">
        <v>-4.7759929999999997E-6</v>
      </c>
      <c r="I10003">
        <v>-45.617660000000001</v>
      </c>
      <c r="J10003">
        <v>-199.62010000000001</v>
      </c>
      <c r="K10003">
        <v>1.117739</v>
      </c>
      <c r="L10003">
        <v>-52.815640000000002</v>
      </c>
      <c r="M10003">
        <v>0.77360340000000005</v>
      </c>
      <c r="N10003">
        <v>0</v>
      </c>
      <c r="O10003">
        <v>0.633546099999999</v>
      </c>
      <c r="P10003">
        <v>0.6088557</v>
      </c>
      <c r="Q10003">
        <v>2.4492610000000001E-2</v>
      </c>
      <c r="R10003">
        <v>0.79290280000000002</v>
      </c>
      <c r="S10003">
        <v>1.4347989999999999</v>
      </c>
      <c r="T10003">
        <v>-0.4085357</v>
      </c>
      <c r="U10003">
        <v>2.7004999999999999</v>
      </c>
      <c r="V10003">
        <v>-0.2283192</v>
      </c>
      <c r="W10003">
        <v>3.242432E-2</v>
      </c>
      <c r="X10003">
        <v>0.97304619999999997</v>
      </c>
      <c r="Y10003">
        <v>-0.38702930000000002</v>
      </c>
      <c r="Z10003">
        <v>-6.3428970000000001E-2</v>
      </c>
      <c r="AA10003">
        <v>0.91988320000000001</v>
      </c>
      <c r="AB10003">
        <v>32</v>
      </c>
      <c r="AC10003">
        <v>3.7019999999999902</v>
      </c>
      <c r="AD10003">
        <v>-1.117743775993</v>
      </c>
      <c r="AE10003">
        <v>7.1979800000000003</v>
      </c>
      <c r="AF10003">
        <v>-3.1629318778819702</v>
      </c>
      <c r="AG10003">
        <v>-1.117743775993</v>
      </c>
      <c r="AH10003">
        <v>7.2857791786249404</v>
      </c>
      <c r="AI10003">
        <v>98.010384416692006</v>
      </c>
      <c r="AJ10003">
        <v>113.466823657985</v>
      </c>
      <c r="AK10003">
        <v>8.0209767143769906</v>
      </c>
      <c r="AL10003">
        <v>88.141897539512399</v>
      </c>
      <c r="AM10003">
        <v>103.205205756509</v>
      </c>
      <c r="AN10003">
        <v>0.99999995047526902</v>
      </c>
    </row>
    <row r="10004" spans="1:40" x14ac:dyDescent="0.25">
      <c r="A10004" t="str">
        <f>"20190312150916365"</f>
        <v>20190312150916365</v>
      </c>
      <c r="B10004" t="str">
        <f>"1552374556359767"</f>
        <v>1552374556359767</v>
      </c>
      <c r="C10004" t="s">
        <v>40</v>
      </c>
      <c r="D10004">
        <v>4.7187390000000002</v>
      </c>
      <c r="E10004">
        <v>0.43528040000000001</v>
      </c>
      <c r="F10004" t="s">
        <v>73</v>
      </c>
      <c r="G10004">
        <v>-195.82480000000001</v>
      </c>
      <c r="H10004" s="1">
        <v>-4.8065490000000004E-6</v>
      </c>
      <c r="I10004">
        <v>-45.52393</v>
      </c>
      <c r="J10004">
        <v>-199.4873</v>
      </c>
      <c r="K10004">
        <v>1.1177509999999999</v>
      </c>
      <c r="L10004">
        <v>-52.701140000000002</v>
      </c>
      <c r="M10004">
        <v>0.77038059999999997</v>
      </c>
      <c r="N10004">
        <v>0</v>
      </c>
      <c r="O10004">
        <v>0.6374611</v>
      </c>
      <c r="P10004">
        <v>0.6047534</v>
      </c>
      <c r="Q10004">
        <v>2.4435149999999999E-2</v>
      </c>
      <c r="R10004">
        <v>0.79603789999999996</v>
      </c>
      <c r="S10004">
        <v>1.4117740000000001</v>
      </c>
      <c r="T10004">
        <v>-0.41576940000000001</v>
      </c>
      <c r="U10004">
        <v>2.7123110000000001</v>
      </c>
      <c r="V10004">
        <v>-0.22840969999999999</v>
      </c>
      <c r="W10004">
        <v>3.2360930000000003E-2</v>
      </c>
      <c r="X10004">
        <v>0.97302710000000003</v>
      </c>
      <c r="Y10004">
        <v>-0.39017780000000002</v>
      </c>
      <c r="Z10004">
        <v>-6.4972820000000001E-2</v>
      </c>
      <c r="AA10004">
        <v>0.91844420000000004</v>
      </c>
      <c r="AB10004">
        <v>32</v>
      </c>
      <c r="AC10004">
        <v>3.6624999999999899</v>
      </c>
      <c r="AD10004">
        <v>-1.1177558065490001</v>
      </c>
      <c r="AE10004">
        <v>7.1772099999999996</v>
      </c>
      <c r="AF10004">
        <v>-3.1344172878645802</v>
      </c>
      <c r="AG10004">
        <v>-1.1177558065490001</v>
      </c>
      <c r="AH10004">
        <v>7.2576332398131402</v>
      </c>
      <c r="AI10004">
        <v>98.047629420704993</v>
      </c>
      <c r="AJ10004">
        <v>113.35848781056799</v>
      </c>
      <c r="AK10004">
        <v>7.9841837416970201</v>
      </c>
      <c r="AL10004">
        <v>88.145531479225696</v>
      </c>
      <c r="AM10004">
        <v>103.21050668541</v>
      </c>
      <c r="AN10004">
        <v>0.99999997908948202</v>
      </c>
    </row>
    <row r="10005" spans="1:40" x14ac:dyDescent="0.25">
      <c r="A10005" t="str">
        <f>"20190312150916376"</f>
        <v>20190312150916376</v>
      </c>
      <c r="B10005" t="str">
        <f>"1552374556369526"</f>
        <v>1552374556369526</v>
      </c>
      <c r="C10005" t="s">
        <v>40</v>
      </c>
      <c r="D10005">
        <v>4.7279489999999997</v>
      </c>
      <c r="E10005">
        <v>0.43548809999999899</v>
      </c>
      <c r="F10005" t="s">
        <v>73</v>
      </c>
      <c r="G10005">
        <v>-195.7406</v>
      </c>
      <c r="H10005" s="1">
        <v>-4.8456879999999997E-6</v>
      </c>
      <c r="I10005">
        <v>-45.416400000000003</v>
      </c>
      <c r="J10005">
        <v>-199.3664</v>
      </c>
      <c r="K10005">
        <v>1.1177459999999999</v>
      </c>
      <c r="L10005">
        <v>-52.595370000000003</v>
      </c>
      <c r="M10005">
        <v>0.76740620000000004</v>
      </c>
      <c r="N10005">
        <v>0</v>
      </c>
      <c r="O10005">
        <v>0.64103859999999901</v>
      </c>
      <c r="P10005">
        <v>0.60181960000000001</v>
      </c>
      <c r="Q10005">
        <v>2.438562E-2</v>
      </c>
      <c r="R10005">
        <v>0.79825970000000002</v>
      </c>
      <c r="S10005">
        <v>1.3984529999999999</v>
      </c>
      <c r="T10005">
        <v>-0.41720649999999998</v>
      </c>
      <c r="U10005">
        <v>2.719055</v>
      </c>
      <c r="V10005">
        <v>-0.22746469999999999</v>
      </c>
      <c r="W10005">
        <v>3.2329480000000001E-2</v>
      </c>
      <c r="X10005">
        <v>0.97324949999999999</v>
      </c>
      <c r="Y10005">
        <v>-0.39040380000000002</v>
      </c>
      <c r="Z10005">
        <v>-6.5749150000000006E-2</v>
      </c>
      <c r="AA10005">
        <v>0.91829289999999997</v>
      </c>
      <c r="AB10005">
        <v>32</v>
      </c>
      <c r="AC10005">
        <v>3.6257999999999901</v>
      </c>
      <c r="AD10005">
        <v>-1.1177508456880001</v>
      </c>
      <c r="AE10005">
        <v>7.1789699999999899</v>
      </c>
      <c r="AF10005">
        <v>-3.1248034278126799</v>
      </c>
      <c r="AG10005">
        <v>-1.1177508456880001</v>
      </c>
      <c r="AH10005">
        <v>7.2451003723872898</v>
      </c>
      <c r="AI10005">
        <v>98.063010876707196</v>
      </c>
      <c r="AJ10005">
        <v>113.33048081494501</v>
      </c>
      <c r="AK10005">
        <v>7.9690176823415602</v>
      </c>
      <c r="AL10005">
        <v>88.147334389795802</v>
      </c>
      <c r="AM10005">
        <v>103.15485384375999</v>
      </c>
      <c r="AN10005">
        <v>0.99999998713670502</v>
      </c>
    </row>
    <row r="10006" spans="1:40" x14ac:dyDescent="0.25">
      <c r="A10006" t="str">
        <f>"20190312150916387"</f>
        <v>20190312150916387</v>
      </c>
      <c r="B10006" t="str">
        <f>"1552374556379287"</f>
        <v>1552374556379287</v>
      </c>
      <c r="C10006" t="s">
        <v>40</v>
      </c>
      <c r="D10006">
        <v>4.6589589999999896</v>
      </c>
      <c r="E10006">
        <v>0.43574079999999898</v>
      </c>
      <c r="F10006" t="s">
        <v>73</v>
      </c>
      <c r="G10006">
        <v>-195.65360000000001</v>
      </c>
      <c r="H10006" s="1">
        <v>-4.8771329999999997E-6</v>
      </c>
      <c r="I10006">
        <v>-45.318240000000003</v>
      </c>
      <c r="J10006">
        <v>-199.2577</v>
      </c>
      <c r="K10006">
        <v>1.1177509999999999</v>
      </c>
      <c r="L10006">
        <v>-52.499850000000002</v>
      </c>
      <c r="M10006">
        <v>0.76471290000000003</v>
      </c>
      <c r="N10006">
        <v>0</v>
      </c>
      <c r="O10006">
        <v>0.64424910000000002</v>
      </c>
      <c r="P10006">
        <v>0.59821959999999996</v>
      </c>
      <c r="Q10006">
        <v>2.4010299999999998E-2</v>
      </c>
      <c r="R10006">
        <v>0.80097240000000003</v>
      </c>
      <c r="S10006">
        <v>1.3894959999999901</v>
      </c>
      <c r="T10006">
        <v>-0.41830689999999998</v>
      </c>
      <c r="U10006">
        <v>2.7233890000000001</v>
      </c>
      <c r="V10006">
        <v>-0.22776959999999999</v>
      </c>
      <c r="W10006">
        <v>3.194487E-2</v>
      </c>
      <c r="X10006">
        <v>0.97319089999999997</v>
      </c>
      <c r="Y10006">
        <v>-0.38956030000000003</v>
      </c>
      <c r="Z10006">
        <v>-6.6483909999999993E-2</v>
      </c>
      <c r="AA10006">
        <v>0.91859820000000003</v>
      </c>
      <c r="AB10006">
        <v>32</v>
      </c>
      <c r="AC10006">
        <v>3.6040999999999799</v>
      </c>
      <c r="AD10006">
        <v>-1.1177558771329901</v>
      </c>
      <c r="AE10006">
        <v>7.1816099999999903</v>
      </c>
      <c r="AF10006">
        <v>-3.1100002976172498</v>
      </c>
      <c r="AG10006">
        <v>-1.1177558771329901</v>
      </c>
      <c r="AH10006">
        <v>7.2432660208072299</v>
      </c>
      <c r="AI10006">
        <v>98.070654008160403</v>
      </c>
      <c r="AJ10006">
        <v>113.236961503402</v>
      </c>
      <c r="AK10006">
        <v>7.9615565500865104</v>
      </c>
      <c r="AL10006">
        <v>88.169382325811</v>
      </c>
      <c r="AM10006">
        <v>103.17263809846401</v>
      </c>
      <c r="AN10006">
        <v>0.99999999662314298</v>
      </c>
    </row>
    <row r="10007" spans="1:40" x14ac:dyDescent="0.25">
      <c r="A10007" t="str">
        <f>"20190312150916398"</f>
        <v>20190312150916398</v>
      </c>
      <c r="B10007" t="str">
        <f>"1552374556389047"</f>
        <v>1552374556389047</v>
      </c>
      <c r="C10007" t="s">
        <v>40</v>
      </c>
      <c r="D10007">
        <v>4.7089280000000002</v>
      </c>
      <c r="E10007">
        <v>0.436025</v>
      </c>
      <c r="F10007" t="s">
        <v>73</v>
      </c>
      <c r="G10007">
        <v>-195.5855</v>
      </c>
      <c r="H10007" s="1">
        <v>-4.9042410000000001E-6</v>
      </c>
      <c r="I10007">
        <v>-45.23404</v>
      </c>
      <c r="J10007">
        <v>-199.1336</v>
      </c>
      <c r="K10007">
        <v>1.1177520000000001</v>
      </c>
      <c r="L10007">
        <v>-52.389470000000003</v>
      </c>
      <c r="M10007">
        <v>0.76160209999999995</v>
      </c>
      <c r="N10007">
        <v>0</v>
      </c>
      <c r="O10007">
        <v>0.64792359999999904</v>
      </c>
      <c r="P10007">
        <v>0.59429969999999999</v>
      </c>
      <c r="Q10007">
        <v>2.3736920000000002E-2</v>
      </c>
      <c r="R10007">
        <v>0.80389330000000003</v>
      </c>
      <c r="S10007">
        <v>1.378876</v>
      </c>
      <c r="T10007">
        <v>-0.41970190000000002</v>
      </c>
      <c r="U10007">
        <v>2.7282099999999998</v>
      </c>
      <c r="V10007">
        <v>-0.22783890000000001</v>
      </c>
      <c r="W10007">
        <v>3.1668439999999999E-2</v>
      </c>
      <c r="X10007">
        <v>0.97318369999999998</v>
      </c>
      <c r="Y10007">
        <v>-0.38865880000000003</v>
      </c>
      <c r="Z10007">
        <v>-6.7351930000000004E-2</v>
      </c>
      <c r="AA10007">
        <v>0.91891679999999998</v>
      </c>
      <c r="AB10007">
        <v>32</v>
      </c>
      <c r="AC10007">
        <v>3.5480999999999998</v>
      </c>
      <c r="AD10007">
        <v>-1.117756904241</v>
      </c>
      <c r="AE10007">
        <v>7.15543</v>
      </c>
      <c r="AF10007">
        <v>-3.09041148147706</v>
      </c>
      <c r="AG10007">
        <v>-1.117756904241</v>
      </c>
      <c r="AH10007">
        <v>7.19800862226906</v>
      </c>
      <c r="AI10007">
        <v>98.120794051739907</v>
      </c>
      <c r="AJ10007">
        <v>113.23590696857801</v>
      </c>
      <c r="AK10007">
        <v>7.9127335193397901</v>
      </c>
      <c r="AL10007">
        <v>88.185228593268405</v>
      </c>
      <c r="AM10007">
        <v>103.17660021802899</v>
      </c>
      <c r="AN10007">
        <v>0.99999998419546599</v>
      </c>
    </row>
    <row r="10008" spans="1:40" x14ac:dyDescent="0.25">
      <c r="A10008" t="str">
        <f>"20190312150916409"</f>
        <v>20190312150916409</v>
      </c>
      <c r="B10008" t="str">
        <f>"1552374556399782"</f>
        <v>1552374556399782</v>
      </c>
      <c r="C10008" t="s">
        <v>40</v>
      </c>
      <c r="D10008">
        <v>4.7600429999999996</v>
      </c>
      <c r="E10008">
        <v>0.43622850000000002</v>
      </c>
      <c r="F10008" t="s">
        <v>73</v>
      </c>
      <c r="G10008">
        <v>-195.50020000000001</v>
      </c>
      <c r="H10008" s="1">
        <v>-4.9396939999999997E-6</v>
      </c>
      <c r="I10008">
        <v>-45.125329999999998</v>
      </c>
      <c r="J10008">
        <v>-199.02189999999999</v>
      </c>
      <c r="K10008">
        <v>1.1177539999999999</v>
      </c>
      <c r="L10008">
        <v>-52.289279999999998</v>
      </c>
      <c r="M10008">
        <v>0.75877469999999902</v>
      </c>
      <c r="N10008">
        <v>0</v>
      </c>
      <c r="O10008">
        <v>0.65123240000000004</v>
      </c>
      <c r="P10008">
        <v>0.59136350000000004</v>
      </c>
      <c r="Q10008">
        <v>2.3376330000000001E-2</v>
      </c>
      <c r="R10008">
        <v>0.80606619999999995</v>
      </c>
      <c r="S10008">
        <v>1.367264</v>
      </c>
      <c r="T10008">
        <v>-0.42061140000000002</v>
      </c>
      <c r="U10008">
        <v>2.7334900000000002</v>
      </c>
      <c r="V10008">
        <v>-0.22715460000000001</v>
      </c>
      <c r="W10008">
        <v>3.1320999999999898E-2</v>
      </c>
      <c r="X10008">
        <v>0.97335490000000002</v>
      </c>
      <c r="Y10008">
        <v>-0.38850380000000001</v>
      </c>
      <c r="Z10008">
        <v>-6.8044729999999998E-2</v>
      </c>
      <c r="AA10008">
        <v>0.91893130000000001</v>
      </c>
      <c r="AB10008">
        <v>32</v>
      </c>
      <c r="AC10008">
        <v>3.5216999999999801</v>
      </c>
      <c r="AD10008">
        <v>-1.117758939694</v>
      </c>
      <c r="AE10008">
        <v>7.1639499999999998</v>
      </c>
      <c r="AF10008">
        <v>-3.0821964543875899</v>
      </c>
      <c r="AG10008">
        <v>-1.117758939694</v>
      </c>
      <c r="AH10008">
        <v>7.1970450043569603</v>
      </c>
      <c r="AI10008">
        <v>98.125028239070602</v>
      </c>
      <c r="AJ10008">
        <v>113.183446561232</v>
      </c>
      <c r="AK10008">
        <v>7.9086520232871997</v>
      </c>
      <c r="AL10008">
        <v>88.205145328893394</v>
      </c>
      <c r="AM10008">
        <v>103.136169125991</v>
      </c>
      <c r="AN10008">
        <v>0.99999998934808498</v>
      </c>
    </row>
    <row r="10009" spans="1:40" x14ac:dyDescent="0.25">
      <c r="A10009" t="str">
        <f>"20190312150916420"</f>
        <v>20190312150916420</v>
      </c>
      <c r="B10009" t="str">
        <f>"1552374556409543"</f>
        <v>1552374556409543</v>
      </c>
      <c r="C10009" t="s">
        <v>40</v>
      </c>
      <c r="D10009">
        <v>4.7129070000000004</v>
      </c>
      <c r="E10009">
        <v>0.43651879999999998</v>
      </c>
      <c r="F10009" t="s">
        <v>73</v>
      </c>
      <c r="G10009">
        <v>-195.4332</v>
      </c>
      <c r="H10009" s="1">
        <v>-4.9591999999999999E-6</v>
      </c>
      <c r="I10009">
        <v>-45.057850000000002</v>
      </c>
      <c r="J10009">
        <v>-198.9025</v>
      </c>
      <c r="K10009">
        <v>1.117756</v>
      </c>
      <c r="L10009">
        <v>-52.181339999999999</v>
      </c>
      <c r="M10009">
        <v>0.75572490000000003</v>
      </c>
      <c r="N10009">
        <v>0</v>
      </c>
      <c r="O10009">
        <v>0.65476909999999999</v>
      </c>
      <c r="P10009">
        <v>0.58742569999999905</v>
      </c>
      <c r="Q10009">
        <v>2.3324359999999999E-2</v>
      </c>
      <c r="R10009">
        <v>0.80894200000000005</v>
      </c>
      <c r="S10009">
        <v>1.35849</v>
      </c>
      <c r="T10009">
        <v>-0.4231181</v>
      </c>
      <c r="U10009">
        <v>2.7373959999999999</v>
      </c>
      <c r="V10009">
        <v>-0.2273559</v>
      </c>
      <c r="W10009">
        <v>3.1263799999999897E-2</v>
      </c>
      <c r="X10009">
        <v>0.9733098</v>
      </c>
      <c r="Y10009">
        <v>-0.387125</v>
      </c>
      <c r="Z10009">
        <v>-6.9104109999999996E-2</v>
      </c>
      <c r="AA10009">
        <v>0.91943399999999997</v>
      </c>
      <c r="AB10009">
        <v>32</v>
      </c>
      <c r="AC10009">
        <v>3.4693000000000001</v>
      </c>
      <c r="AD10009">
        <v>-1.1177609592</v>
      </c>
      <c r="AE10009">
        <v>7.1234900000000003</v>
      </c>
      <c r="AF10009">
        <v>-3.0513285295495902</v>
      </c>
      <c r="AG10009">
        <v>-1.1177609592</v>
      </c>
      <c r="AH10009">
        <v>7.1444683889908198</v>
      </c>
      <c r="AI10009">
        <v>98.187441011950298</v>
      </c>
      <c r="AJ10009">
        <v>113.126826651302</v>
      </c>
      <c r="AK10009">
        <v>7.8487848689108599</v>
      </c>
      <c r="AL10009">
        <v>88.208424359511895</v>
      </c>
      <c r="AM10009">
        <v>103.147994006636</v>
      </c>
      <c r="AN10009">
        <v>1.00000004861564</v>
      </c>
    </row>
    <row r="10010" spans="1:40" x14ac:dyDescent="0.25">
      <c r="A10010" t="str">
        <f>"20190312150916431"</f>
        <v>20190312150916431</v>
      </c>
      <c r="B10010" t="str">
        <f>"1552374556429062"</f>
        <v>1552374556429062</v>
      </c>
      <c r="C10010" t="s">
        <v>40</v>
      </c>
      <c r="D10010">
        <v>4.7538600000000004</v>
      </c>
      <c r="E10010">
        <v>0.43707620000000003</v>
      </c>
      <c r="F10010" t="s">
        <v>73</v>
      </c>
      <c r="G10010">
        <v>-195.34700000000001</v>
      </c>
      <c r="H10010" s="1">
        <v>-4.9976469999999996E-6</v>
      </c>
      <c r="I10010">
        <v>-44.942360000000001</v>
      </c>
      <c r="J10010">
        <v>-198.78620000000001</v>
      </c>
      <c r="K10010">
        <v>1.1177589999999999</v>
      </c>
      <c r="L10010">
        <v>-52.074860000000001</v>
      </c>
      <c r="M10010">
        <v>0.7527199</v>
      </c>
      <c r="N10010">
        <v>0</v>
      </c>
      <c r="O10010">
        <v>0.65822139999999996</v>
      </c>
      <c r="P10010">
        <v>0.58351540000000002</v>
      </c>
      <c r="Q10010">
        <v>2.3203729999999999E-2</v>
      </c>
      <c r="R10010">
        <v>0.81177049999999995</v>
      </c>
      <c r="S10010">
        <v>1.3470610000000001</v>
      </c>
      <c r="T10010">
        <v>-0.42347439999999997</v>
      </c>
      <c r="U10010">
        <v>2.7425540000000002</v>
      </c>
      <c r="V10010">
        <v>-0.22759769999999999</v>
      </c>
      <c r="W10010">
        <v>3.113703E-2</v>
      </c>
      <c r="X10010">
        <v>0.97325729999999999</v>
      </c>
      <c r="Y10010">
        <v>-0.38669759999999997</v>
      </c>
      <c r="Z10010">
        <v>-6.9752930000000005E-2</v>
      </c>
      <c r="AA10010">
        <v>0.91956479999999996</v>
      </c>
      <c r="AB10010">
        <v>32</v>
      </c>
      <c r="AC10010">
        <v>3.4392</v>
      </c>
      <c r="AD10010">
        <v>-1.117763997647</v>
      </c>
      <c r="AE10010">
        <v>7.1325000000000003</v>
      </c>
      <c r="AF10010">
        <v>-3.0445962019380901</v>
      </c>
      <c r="AG10010">
        <v>-1.117763997647</v>
      </c>
      <c r="AH10010">
        <v>7.1417817017785996</v>
      </c>
      <c r="AI10010">
        <v>98.192782224415197</v>
      </c>
      <c r="AJ10010">
        <v>113.088922621188</v>
      </c>
      <c r="AK10010">
        <v>7.8437241322697799</v>
      </c>
      <c r="AL10010">
        <v>88.2156911959908</v>
      </c>
      <c r="AM10010">
        <v>103.162176055167</v>
      </c>
      <c r="AN10010">
        <v>0.9999999998429</v>
      </c>
    </row>
    <row r="10011" spans="1:40" x14ac:dyDescent="0.25">
      <c r="A10011" t="str">
        <f>"20190312150916442"</f>
        <v>20190312150916442</v>
      </c>
      <c r="B10011" t="str">
        <f>"1552374556438822"</f>
        <v>1552374556438822</v>
      </c>
      <c r="C10011" t="s">
        <v>40</v>
      </c>
      <c r="D10011">
        <v>4.7273500000000004</v>
      </c>
      <c r="E10011">
        <v>0.43736059999999999</v>
      </c>
      <c r="F10011" t="s">
        <v>73</v>
      </c>
      <c r="G10011">
        <v>-195.25970000000001</v>
      </c>
      <c r="H10011" s="1">
        <v>-5.0326459999999999E-6</v>
      </c>
      <c r="I10011">
        <v>-44.833880000000001</v>
      </c>
      <c r="J10011">
        <v>-198.67150000000001</v>
      </c>
      <c r="K10011">
        <v>1.1177629999999901</v>
      </c>
      <c r="L10011">
        <v>-51.969479999999997</v>
      </c>
      <c r="M10011">
        <v>0.74973619999999996</v>
      </c>
      <c r="N10011">
        <v>0</v>
      </c>
      <c r="O10011">
        <v>0.66161789999999998</v>
      </c>
      <c r="P10011">
        <v>0.58011689999999905</v>
      </c>
      <c r="Q10011">
        <v>2.3169869999999999E-2</v>
      </c>
      <c r="R10011">
        <v>0.81420360000000003</v>
      </c>
      <c r="S10011">
        <v>1.337494</v>
      </c>
      <c r="T10011">
        <v>-0.42393769999999997</v>
      </c>
      <c r="U10011">
        <v>2.7463069999999998</v>
      </c>
      <c r="V10011">
        <v>-0.227266</v>
      </c>
      <c r="W10011">
        <v>3.1109390000000001E-2</v>
      </c>
      <c r="X10011">
        <v>0.97333570000000003</v>
      </c>
      <c r="Y10011">
        <v>-0.38563750000000002</v>
      </c>
      <c r="Z10011">
        <v>-7.0457759999999994E-2</v>
      </c>
      <c r="AA10011">
        <v>0.9199562</v>
      </c>
      <c r="AB10011">
        <v>32</v>
      </c>
      <c r="AC10011">
        <v>3.4117999999999902</v>
      </c>
      <c r="AD10011">
        <v>-1.11776803264599</v>
      </c>
      <c r="AE10011">
        <v>7.1355999999999904</v>
      </c>
      <c r="AF10011">
        <v>-3.0321934346654702</v>
      </c>
      <c r="AG10011">
        <v>-1.11776803264599</v>
      </c>
      <c r="AH10011">
        <v>7.1370213758249497</v>
      </c>
      <c r="AI10011">
        <v>98.202437868397794</v>
      </c>
      <c r="AJ10011">
        <v>113.018415465247</v>
      </c>
      <c r="AK10011">
        <v>7.83458208962137</v>
      </c>
      <c r="AL10011">
        <v>88.217275631483602</v>
      </c>
      <c r="AM10011">
        <v>103.14263799812301</v>
      </c>
      <c r="AN10011">
        <v>1.0000000068983299</v>
      </c>
    </row>
    <row r="10012" spans="1:40" x14ac:dyDescent="0.25">
      <c r="A10012" t="str">
        <f>"20190312150916455"</f>
        <v>20190312150916455</v>
      </c>
      <c r="B10012" t="str">
        <f>"1552374556449558"</f>
        <v>1552374556449558</v>
      </c>
      <c r="C10012" t="s">
        <v>40</v>
      </c>
      <c r="D10012">
        <v>4.712561</v>
      </c>
      <c r="E10012">
        <v>0.43768610000000002</v>
      </c>
      <c r="F10012" t="s">
        <v>73</v>
      </c>
      <c r="G10012">
        <v>-195.1782</v>
      </c>
      <c r="H10012" s="1">
        <v>-5.0649779999999996E-6</v>
      </c>
      <c r="I10012">
        <v>-44.733330000000002</v>
      </c>
      <c r="J10012">
        <v>-198.55439999999999</v>
      </c>
      <c r="K10012">
        <v>1.117767</v>
      </c>
      <c r="L10012">
        <v>-51.860199999999999</v>
      </c>
      <c r="M10012">
        <v>0.74665019999999904</v>
      </c>
      <c r="N10012">
        <v>0</v>
      </c>
      <c r="O10012">
        <v>0.66509859999999998</v>
      </c>
      <c r="P10012">
        <v>0.57620629999999995</v>
      </c>
      <c r="Q10012">
        <v>2.340832E-2</v>
      </c>
      <c r="R10012">
        <v>0.81696899999999995</v>
      </c>
      <c r="S10012">
        <v>1.32785</v>
      </c>
      <c r="T10012">
        <v>-0.42488219999999999</v>
      </c>
      <c r="U10012">
        <v>2.7505799999999998</v>
      </c>
      <c r="V10012">
        <v>-0.227405</v>
      </c>
      <c r="W10012">
        <v>3.1343870000000003E-2</v>
      </c>
      <c r="X10012">
        <v>0.97329569999999999</v>
      </c>
      <c r="Y10012">
        <v>-0.38454909999999998</v>
      </c>
      <c r="Z10012">
        <v>-7.1248580000000006E-2</v>
      </c>
      <c r="AA10012">
        <v>0.92035080000000002</v>
      </c>
      <c r="AB10012">
        <v>32</v>
      </c>
      <c r="AC10012">
        <v>3.3761999999999799</v>
      </c>
      <c r="AD10012">
        <v>-1.1177720649780001</v>
      </c>
      <c r="AE10012">
        <v>7.1268699999999896</v>
      </c>
      <c r="AF10012">
        <v>-3.0154350515005302</v>
      </c>
      <c r="AG10012">
        <v>-1.1177720649780001</v>
      </c>
      <c r="AH10012">
        <v>7.1184731169668396</v>
      </c>
      <c r="AI10012">
        <v>98.227185641156694</v>
      </c>
      <c r="AJ10012">
        <v>112.95785584392399</v>
      </c>
      <c r="AK10012">
        <v>7.81120492984551</v>
      </c>
      <c r="AL10012">
        <v>88.203834342543502</v>
      </c>
      <c r="AM10012">
        <v>103.150918683909</v>
      </c>
      <c r="AN10012">
        <v>0.99999999592503297</v>
      </c>
    </row>
    <row r="10013" spans="1:40" x14ac:dyDescent="0.25">
      <c r="A10013" t="str">
        <f>"20190312150916467"</f>
        <v>20190312150916467</v>
      </c>
      <c r="B10013" t="str">
        <f>"1552374556459318"</f>
        <v>1552374556459318</v>
      </c>
      <c r="C10013" t="s">
        <v>40</v>
      </c>
      <c r="D10013">
        <v>4.7670719999999998</v>
      </c>
      <c r="E10013">
        <v>0.43780390000000002</v>
      </c>
      <c r="F10013" t="s">
        <v>73</v>
      </c>
      <c r="G10013">
        <v>-195.08770000000001</v>
      </c>
      <c r="H10013" s="1">
        <v>-5.1091080000000001E-6</v>
      </c>
      <c r="I10013">
        <v>-44.603999999999999</v>
      </c>
      <c r="J10013">
        <v>-198.43199999999999</v>
      </c>
      <c r="K10013">
        <v>1.117769</v>
      </c>
      <c r="L10013">
        <v>-51.745510000000003</v>
      </c>
      <c r="M10013">
        <v>0.74340249999999997</v>
      </c>
      <c r="N10013">
        <v>0</v>
      </c>
      <c r="O10013">
        <v>0.66872659999999995</v>
      </c>
      <c r="P10013">
        <v>0.57217320000000005</v>
      </c>
      <c r="Q10013">
        <v>2.369137E-2</v>
      </c>
      <c r="R10013">
        <v>0.81979059999999904</v>
      </c>
      <c r="S10013">
        <v>1.316559</v>
      </c>
      <c r="T10013">
        <v>-0.42449910000000002</v>
      </c>
      <c r="U10013">
        <v>2.7557070000000001</v>
      </c>
      <c r="V10013">
        <v>-0.22746150000000001</v>
      </c>
      <c r="W10013">
        <v>3.1624590000000001E-2</v>
      </c>
      <c r="X10013">
        <v>0.97327350000000001</v>
      </c>
      <c r="Y10013">
        <v>-0.38381019999999999</v>
      </c>
      <c r="Z10013">
        <v>-7.1822510000000006E-2</v>
      </c>
      <c r="AA10013">
        <v>0.92061459999999995</v>
      </c>
      <c r="AB10013">
        <v>32</v>
      </c>
      <c r="AC10013">
        <v>3.3443000000000001</v>
      </c>
      <c r="AD10013">
        <v>-1.117774109108</v>
      </c>
      <c r="AE10013">
        <v>7.1415099999999896</v>
      </c>
      <c r="AF10013">
        <v>-3.0123131474511702</v>
      </c>
      <c r="AG10013">
        <v>-1.117774109108</v>
      </c>
      <c r="AH10013">
        <v>7.1194087115479903</v>
      </c>
      <c r="AI10013">
        <v>98.227573691075605</v>
      </c>
      <c r="AJ10013">
        <v>112.933845250687</v>
      </c>
      <c r="AK10013">
        <v>7.8108533374635103</v>
      </c>
      <c r="AL10013">
        <v>88.187742440956796</v>
      </c>
      <c r="AM10013">
        <v>103.154362112621</v>
      </c>
      <c r="AN10013">
        <v>1.00000007723858</v>
      </c>
    </row>
    <row r="10014" spans="1:40" x14ac:dyDescent="0.25">
      <c r="A10014" t="str">
        <f>"20190312150916477"</f>
        <v>20190312150916477</v>
      </c>
      <c r="B10014" t="str">
        <f>"1552374556469079"</f>
        <v>1552374556469079</v>
      </c>
      <c r="C10014" t="s">
        <v>40</v>
      </c>
      <c r="D10014">
        <v>4.7193849999999999</v>
      </c>
      <c r="E10014">
        <v>0.43810490000000002</v>
      </c>
      <c r="F10014" t="s">
        <v>73</v>
      </c>
      <c r="G10014">
        <v>-194.99250000000001</v>
      </c>
      <c r="H10014" s="1">
        <v>-5.1594500000000002E-6</v>
      </c>
      <c r="I10014">
        <v>-44.459560000000003</v>
      </c>
      <c r="J10014">
        <v>-198.3185</v>
      </c>
      <c r="K10014">
        <v>1.117772</v>
      </c>
      <c r="L10014">
        <v>-51.637700000000002</v>
      </c>
      <c r="M10014">
        <v>0.74035439999999997</v>
      </c>
      <c r="N10014">
        <v>0</v>
      </c>
      <c r="O10014">
        <v>0.67209960000000002</v>
      </c>
      <c r="P10014">
        <v>0.5687371</v>
      </c>
      <c r="Q10014">
        <v>2.3727399999999999E-2</v>
      </c>
      <c r="R10014">
        <v>0.82217709999999999</v>
      </c>
      <c r="S10014">
        <v>1.303741</v>
      </c>
      <c r="T10014">
        <v>-0.42369380000000001</v>
      </c>
      <c r="U10014">
        <v>2.761749</v>
      </c>
      <c r="V10014">
        <v>-0.2271098</v>
      </c>
      <c r="W10014">
        <v>3.1667960000000002E-2</v>
      </c>
      <c r="X10014">
        <v>0.97335419999999995</v>
      </c>
      <c r="Y10014">
        <v>-0.3838954</v>
      </c>
      <c r="Z10014">
        <v>-7.2230920000000004E-2</v>
      </c>
      <c r="AA10014">
        <v>0.92054709999999995</v>
      </c>
      <c r="AB10014">
        <v>32</v>
      </c>
      <c r="AC10014">
        <v>3.3259999999999899</v>
      </c>
      <c r="AD10014">
        <v>-1.1177771594499999</v>
      </c>
      <c r="AE10014">
        <v>7.17814</v>
      </c>
      <c r="AF10014">
        <v>-3.0189404975485599</v>
      </c>
      <c r="AG10014">
        <v>-1.1177771594499999</v>
      </c>
      <c r="AH10014">
        <v>7.1447882590144802</v>
      </c>
      <c r="AI10014">
        <v>98.2004373044592</v>
      </c>
      <c r="AJ10014">
        <v>112.905877719584</v>
      </c>
      <c r="AK10014">
        <v>7.8365443131573</v>
      </c>
      <c r="AL10014">
        <v>88.185256246296504</v>
      </c>
      <c r="AM10014">
        <v>103.13367730797501</v>
      </c>
      <c r="AN10014">
        <v>1.0000000598021099</v>
      </c>
    </row>
    <row r="10015" spans="1:40" x14ac:dyDescent="0.25">
      <c r="A10015" t="str">
        <f>"20190312150916488"</f>
        <v>20190312150916488</v>
      </c>
      <c r="B10015" t="str">
        <f>"1552374556478839"</f>
        <v>1552374556478839</v>
      </c>
      <c r="C10015" t="s">
        <v>40</v>
      </c>
      <c r="D10015">
        <v>4.7656140000000002</v>
      </c>
      <c r="E10015">
        <v>0.43836340000000001</v>
      </c>
      <c r="F10015" t="s">
        <v>73</v>
      </c>
      <c r="G10015">
        <v>-194.9049</v>
      </c>
      <c r="H10015" s="1">
        <v>-5.1986999999999999E-6</v>
      </c>
      <c r="I10015">
        <v>-44.341799999999999</v>
      </c>
      <c r="J10015">
        <v>-198.2071</v>
      </c>
      <c r="K10015">
        <v>1.1177729999999999</v>
      </c>
      <c r="L10015">
        <v>-51.531219999999998</v>
      </c>
      <c r="M10015">
        <v>0.73733909999999903</v>
      </c>
      <c r="N10015">
        <v>0</v>
      </c>
      <c r="O10015">
        <v>0.67540619999999996</v>
      </c>
      <c r="P10015">
        <v>0.5649168</v>
      </c>
      <c r="Q10015">
        <v>2.3937469999999999E-2</v>
      </c>
      <c r="R10015">
        <v>0.82480059999999999</v>
      </c>
      <c r="S10015">
        <v>1.2941279999999999</v>
      </c>
      <c r="T10015">
        <v>-0.42375299999999999</v>
      </c>
      <c r="U10015">
        <v>2.7658999999999998</v>
      </c>
      <c r="V10015">
        <v>-0.2272689</v>
      </c>
      <c r="W10015">
        <v>3.1873859999999997E-2</v>
      </c>
      <c r="X10015">
        <v>0.97331029999999996</v>
      </c>
      <c r="Y10015">
        <v>-0.38293949999999999</v>
      </c>
      <c r="Z10015">
        <v>-7.2840059999999998E-2</v>
      </c>
      <c r="AA10015">
        <v>0.92089719999999997</v>
      </c>
      <c r="AB10015">
        <v>32</v>
      </c>
      <c r="AC10015">
        <v>3.3021999999999898</v>
      </c>
      <c r="AD10015">
        <v>-1.1177781986999999</v>
      </c>
      <c r="AE10015">
        <v>7.1894200000000001</v>
      </c>
      <c r="AF10015">
        <v>-3.0108551805841399</v>
      </c>
      <c r="AG10015">
        <v>-1.1177781986999999</v>
      </c>
      <c r="AH10015">
        <v>7.1485003825638103</v>
      </c>
      <c r="AI10015">
        <v>98.200155388751995</v>
      </c>
      <c r="AJ10015">
        <v>112.84019156470301</v>
      </c>
      <c r="AK10015">
        <v>7.8368191723080001</v>
      </c>
      <c r="AL10015">
        <v>88.173453011046504</v>
      </c>
      <c r="AM10015">
        <v>103.143130957461</v>
      </c>
      <c r="AN10015">
        <v>1.0000000179722901</v>
      </c>
    </row>
    <row r="10016" spans="1:40" x14ac:dyDescent="0.25">
      <c r="A10016" t="str">
        <f>"20190312150916500"</f>
        <v>20190312150916500</v>
      </c>
      <c r="B10016" t="str">
        <f>"1552374556489575"</f>
        <v>1552374556489575</v>
      </c>
      <c r="C10016" t="s">
        <v>40</v>
      </c>
      <c r="D10016">
        <v>4.7342440000000003</v>
      </c>
      <c r="E10016">
        <v>0.43836340000000001</v>
      </c>
      <c r="F10016" t="s">
        <v>73</v>
      </c>
      <c r="G10016">
        <v>-194.81809999999999</v>
      </c>
      <c r="H10016" s="1">
        <v>-5.2431370000000002E-6</v>
      </c>
      <c r="I10016">
        <v>-44.213239999999999</v>
      </c>
      <c r="J10016">
        <v>-198.09219999999999</v>
      </c>
      <c r="K10016">
        <v>1.1177820000000001</v>
      </c>
      <c r="L10016">
        <v>-51.420259999999999</v>
      </c>
      <c r="M10016">
        <v>0.73419690000000004</v>
      </c>
      <c r="N10016">
        <v>0</v>
      </c>
      <c r="O10016">
        <v>0.67882069999999906</v>
      </c>
      <c r="P10016">
        <v>0.56100709999999998</v>
      </c>
      <c r="Q10016">
        <v>2.4001350000000001E-2</v>
      </c>
      <c r="R10016">
        <v>0.82746299999999995</v>
      </c>
      <c r="S10016">
        <v>1.2831269999999999</v>
      </c>
      <c r="T10016">
        <v>-0.42320229999999998</v>
      </c>
      <c r="U10016">
        <v>2.7706599999999999</v>
      </c>
      <c r="V10016">
        <v>-0.227358</v>
      </c>
      <c r="W10016">
        <v>3.1935329999999998E-2</v>
      </c>
      <c r="X10016">
        <v>0.97328749999999997</v>
      </c>
      <c r="Y10016">
        <v>-0.3822837</v>
      </c>
      <c r="Z10016">
        <v>-7.3345869999999994E-2</v>
      </c>
      <c r="AA10016">
        <v>0.92112950000000005</v>
      </c>
      <c r="AB10016">
        <v>32</v>
      </c>
      <c r="AC10016">
        <v>3.2740999999999998</v>
      </c>
      <c r="AD10016">
        <v>-1.117787243137</v>
      </c>
      <c r="AE10016">
        <v>7.20702</v>
      </c>
      <c r="AF10016">
        <v>-3.0090856704285498</v>
      </c>
      <c r="AG10016">
        <v>-1.117787243137</v>
      </c>
      <c r="AH10016">
        <v>7.1540322597105703</v>
      </c>
      <c r="AI10016">
        <v>98.195622356602996</v>
      </c>
      <c r="AJ10016">
        <v>112.81230054284001</v>
      </c>
      <c r="AK10016">
        <v>7.8411875673189799</v>
      </c>
      <c r="AL10016">
        <v>88.169929288844102</v>
      </c>
      <c r="AM10016">
        <v>103.14840201549499</v>
      </c>
      <c r="AN10016">
        <v>1.00000004156122</v>
      </c>
    </row>
    <row r="10017" spans="1:40" x14ac:dyDescent="0.25">
      <c r="A10017" t="str">
        <f>"20190312150916512"</f>
        <v>20190312150916512</v>
      </c>
      <c r="B10017" t="str">
        <f>"1552374556509096"</f>
        <v>1552374556509096</v>
      </c>
      <c r="C10017" t="s">
        <v>40</v>
      </c>
      <c r="D10017">
        <v>4.7595789999999996</v>
      </c>
      <c r="E10017">
        <v>0.44781939999999998</v>
      </c>
      <c r="F10017" t="s">
        <v>73</v>
      </c>
      <c r="G10017">
        <v>-194.73750000000001</v>
      </c>
      <c r="H10017" s="1">
        <v>-5.2885630000000001E-6</v>
      </c>
      <c r="I10017">
        <v>-44.084940000000003</v>
      </c>
      <c r="J10017">
        <v>-197.97380000000001</v>
      </c>
      <c r="K10017">
        <v>1.117783</v>
      </c>
      <c r="L10017">
        <v>-51.304780000000001</v>
      </c>
      <c r="M10017">
        <v>0.73092729999999995</v>
      </c>
      <c r="N10017">
        <v>0</v>
      </c>
      <c r="O10017">
        <v>0.6823399</v>
      </c>
      <c r="P10017">
        <v>0.55714319999999995</v>
      </c>
      <c r="Q10017">
        <v>2.393926E-2</v>
      </c>
      <c r="R10017">
        <v>0.83007129999999996</v>
      </c>
      <c r="S10017">
        <v>1.2699279999999999</v>
      </c>
      <c r="T10017">
        <v>-0.42314459999999998</v>
      </c>
      <c r="U10017">
        <v>2.7768250000000001</v>
      </c>
      <c r="V10017">
        <v>-0.22722059999999999</v>
      </c>
      <c r="W10017">
        <v>3.1875760000000003E-2</v>
      </c>
      <c r="X10017">
        <v>0.97332149999999995</v>
      </c>
      <c r="Y10017">
        <v>-0.38225629999999999</v>
      </c>
      <c r="Z10017">
        <v>-7.3907349999999997E-2</v>
      </c>
      <c r="AA10017">
        <v>0.92109600000000003</v>
      </c>
      <c r="AB10017">
        <v>32</v>
      </c>
      <c r="AC10017">
        <v>3.2363</v>
      </c>
      <c r="AD10017">
        <v>-1.1177882885629999</v>
      </c>
      <c r="AE10017">
        <v>7.2198399999999898</v>
      </c>
      <c r="AF10017">
        <v>-3.0091035229493799</v>
      </c>
      <c r="AG10017">
        <v>-1.1177882885629999</v>
      </c>
      <c r="AH10017">
        <v>7.1497548356514598</v>
      </c>
      <c r="AI10017">
        <v>98.199731588635302</v>
      </c>
      <c r="AJ10017">
        <v>112.824671425048</v>
      </c>
      <c r="AK10017">
        <v>7.8372921905334403</v>
      </c>
      <c r="AL10017">
        <v>88.173344067737105</v>
      </c>
      <c r="AM10017">
        <v>103.14028870299001</v>
      </c>
      <c r="AN10017">
        <v>1.0000000037510901</v>
      </c>
    </row>
    <row r="10018" spans="1:40" x14ac:dyDescent="0.25">
      <c r="A10018" t="str">
        <f>"20190312150916526"</f>
        <v>20190312150916526</v>
      </c>
      <c r="B10018" t="str">
        <f>"1552374556518855"</f>
        <v>1552374556518855</v>
      </c>
      <c r="C10018" t="s">
        <v>40</v>
      </c>
      <c r="D10018">
        <v>4.6970169999999998</v>
      </c>
      <c r="E10018">
        <v>0.44839440000000003</v>
      </c>
      <c r="F10018" t="s">
        <v>73</v>
      </c>
      <c r="G10018">
        <v>-194.5659</v>
      </c>
      <c r="H10018" s="1">
        <v>-5.1921429999999999E-6</v>
      </c>
      <c r="I10018">
        <v>-44.226349999999996</v>
      </c>
      <c r="J10018">
        <v>-197.8348</v>
      </c>
      <c r="K10018">
        <v>1.117785</v>
      </c>
      <c r="L10018">
        <v>-51.168149999999997</v>
      </c>
      <c r="M10018">
        <v>0.72705280000000005</v>
      </c>
      <c r="N10018">
        <v>0</v>
      </c>
      <c r="O10018">
        <v>0.68646689999999999</v>
      </c>
      <c r="P10018">
        <v>0.55249649999999995</v>
      </c>
      <c r="Q10018">
        <v>2.3758540000000002E-2</v>
      </c>
      <c r="R10018">
        <v>0.83317659999999905</v>
      </c>
      <c r="S10018">
        <v>1.3196110000000001</v>
      </c>
      <c r="T10018">
        <v>-0.4328342</v>
      </c>
      <c r="U10018">
        <v>2.740936</v>
      </c>
      <c r="V10018">
        <v>-0.2271495</v>
      </c>
      <c r="W10018">
        <v>3.1696080000000001E-2</v>
      </c>
      <c r="X10018">
        <v>0.97334399999999999</v>
      </c>
      <c r="Y10018">
        <v>-0.35891479999999998</v>
      </c>
      <c r="Z10018">
        <v>-7.788022E-2</v>
      </c>
      <c r="AA10018">
        <v>0.93011549999999998</v>
      </c>
      <c r="AB10018">
        <v>32</v>
      </c>
      <c r="AC10018">
        <v>3.2688999999999999</v>
      </c>
      <c r="AD10018">
        <v>-1.117790192143</v>
      </c>
      <c r="AE10018">
        <v>6.9417999999999997</v>
      </c>
      <c r="AF10018">
        <v>-2.7450280015663</v>
      </c>
      <c r="AG10018">
        <v>-1.117790192143</v>
      </c>
      <c r="AH10018">
        <v>6.99410912948104</v>
      </c>
      <c r="AI10018">
        <v>98.461876517357396</v>
      </c>
      <c r="AJ10018">
        <v>111.428872735936</v>
      </c>
      <c r="AK10018">
        <v>7.5961961637469697</v>
      </c>
      <c r="AL10018">
        <v>88.183644243133401</v>
      </c>
      <c r="AM10018">
        <v>103.136026425266</v>
      </c>
      <c r="AN10018">
        <v>1.0000000395868001</v>
      </c>
    </row>
    <row r="10019" spans="1:40" x14ac:dyDescent="0.25">
      <c r="A10019" t="str">
        <f>"20190312150916541"</f>
        <v>20190312150916541</v>
      </c>
      <c r="B10019" t="str">
        <f>"1552374556529591"</f>
        <v>1552374556529591</v>
      </c>
      <c r="C10019" t="s">
        <v>40</v>
      </c>
      <c r="D10019">
        <v>4.7123369999999998</v>
      </c>
      <c r="E10019">
        <v>0.44889980000000002</v>
      </c>
      <c r="F10019" t="s">
        <v>73</v>
      </c>
      <c r="G10019">
        <v>-194.3948</v>
      </c>
      <c r="H10019" s="1">
        <v>-5.290739E-6</v>
      </c>
      <c r="I10019">
        <v>-43.949289999999998</v>
      </c>
      <c r="J10019">
        <v>-197.69210000000001</v>
      </c>
      <c r="K10019">
        <v>1.117785</v>
      </c>
      <c r="L10019">
        <v>-51.025849999999998</v>
      </c>
      <c r="M10019">
        <v>0.72302109999999997</v>
      </c>
      <c r="N10019">
        <v>0</v>
      </c>
      <c r="O10019">
        <v>0.69071199999999999</v>
      </c>
      <c r="P10019">
        <v>0.54751130000000003</v>
      </c>
      <c r="Q10019">
        <v>2.3582970000000002E-2</v>
      </c>
      <c r="R10019">
        <v>0.83646599999999904</v>
      </c>
      <c r="S10019">
        <v>1.3082279999999999</v>
      </c>
      <c r="T10019">
        <v>-0.42509019999999997</v>
      </c>
      <c r="U10019">
        <v>2.7452999999999999</v>
      </c>
      <c r="V10019">
        <v>-0.2272631</v>
      </c>
      <c r="W10019">
        <v>3.1517839999999998E-2</v>
      </c>
      <c r="X10019">
        <v>0.97332320000000005</v>
      </c>
      <c r="Y10019">
        <v>-0.35714079999999998</v>
      </c>
      <c r="Z10019">
        <v>-7.7320739999999999E-2</v>
      </c>
      <c r="AA10019">
        <v>0.93084480000000003</v>
      </c>
      <c r="AB10019">
        <v>32</v>
      </c>
      <c r="AC10019">
        <v>3.2972999999999999</v>
      </c>
      <c r="AD10019">
        <v>-1.117790290739</v>
      </c>
      <c r="AE10019">
        <v>7.07655999999999</v>
      </c>
      <c r="AF10019">
        <v>-2.7822065740572901</v>
      </c>
      <c r="AG10019">
        <v>-1.117790290739</v>
      </c>
      <c r="AH10019">
        <v>7.1263663738872296</v>
      </c>
      <c r="AI10019">
        <v>98.312794797307404</v>
      </c>
      <c r="AJ10019">
        <v>111.32618384680499</v>
      </c>
      <c r="AK10019">
        <v>7.7314439951194496</v>
      </c>
      <c r="AL10019">
        <v>88.193861623950696</v>
      </c>
      <c r="AM10019">
        <v>103.142639039147</v>
      </c>
      <c r="AN10019">
        <v>0.99999997125905704</v>
      </c>
    </row>
    <row r="10020" spans="1:40" x14ac:dyDescent="0.25">
      <c r="A10020" t="str">
        <f>"20190312150916556"</f>
        <v>20190312150916556</v>
      </c>
      <c r="B10020" t="str">
        <f>"1552374556549111"</f>
        <v>1552374556549111</v>
      </c>
      <c r="C10020" t="s">
        <v>40</v>
      </c>
      <c r="D10020">
        <v>4.7591460000000003</v>
      </c>
      <c r="E10020">
        <v>0.44894119999999998</v>
      </c>
      <c r="F10020" t="s">
        <v>73</v>
      </c>
      <c r="G10020">
        <v>-194.26750000000001</v>
      </c>
      <c r="H10020" s="1">
        <v>-5.359981E-6</v>
      </c>
      <c r="I10020">
        <v>-43.751989999999999</v>
      </c>
      <c r="J10020">
        <v>-197.5361</v>
      </c>
      <c r="K10020">
        <v>1.1177859999999999</v>
      </c>
      <c r="L10020">
        <v>-50.868319999999997</v>
      </c>
      <c r="M10020">
        <v>0.71855769999999997</v>
      </c>
      <c r="N10020">
        <v>0</v>
      </c>
      <c r="O10020">
        <v>0.69535400000000003</v>
      </c>
      <c r="P10020">
        <v>0.54242179999999995</v>
      </c>
      <c r="Q10020">
        <v>2.295498E-2</v>
      </c>
      <c r="R10020">
        <v>0.83979269999999995</v>
      </c>
      <c r="S10020">
        <v>1.2950740000000001</v>
      </c>
      <c r="T10020">
        <v>-0.42271140000000001</v>
      </c>
      <c r="U10020">
        <v>2.7507320000000002</v>
      </c>
      <c r="V10020">
        <v>-0.22690650000000001</v>
      </c>
      <c r="W10020">
        <v>3.0896340000000001E-2</v>
      </c>
      <c r="X10020">
        <v>0.97342629999999997</v>
      </c>
      <c r="Y10020">
        <v>-0.35548970000000002</v>
      </c>
      <c r="Z10020">
        <v>-7.7754790000000004E-2</v>
      </c>
      <c r="AA10020">
        <v>0.93144039999999995</v>
      </c>
      <c r="AB10020">
        <v>32</v>
      </c>
      <c r="AC10020">
        <v>3.26859999999999</v>
      </c>
      <c r="AD10020">
        <v>-1.1177913599809901</v>
      </c>
      <c r="AE10020">
        <v>7.1163299999999996</v>
      </c>
      <c r="AF10020">
        <v>-2.7841589484386802</v>
      </c>
      <c r="AG10020">
        <v>-1.1177913599809901</v>
      </c>
      <c r="AH10020">
        <v>7.1519080712369103</v>
      </c>
      <c r="AI10020">
        <v>98.286627940627199</v>
      </c>
      <c r="AJ10020">
        <v>111.270414599761</v>
      </c>
      <c r="AK10020">
        <v>7.7556938847560897</v>
      </c>
      <c r="AL10020">
        <v>88.229488271707794</v>
      </c>
      <c r="AM10020">
        <v>103.12138922948201</v>
      </c>
      <c r="AN10020">
        <v>0.999999952549666</v>
      </c>
    </row>
    <row r="10021" spans="1:40" x14ac:dyDescent="0.25">
      <c r="A10021" t="str">
        <f>"20190312150916571"</f>
        <v>20190312150916571</v>
      </c>
      <c r="B10021" t="str">
        <f>"1552374556558872"</f>
        <v>1552374556558872</v>
      </c>
      <c r="C10021" t="s">
        <v>40</v>
      </c>
      <c r="D10021">
        <v>4.7342510000000004</v>
      </c>
      <c r="E10021">
        <v>0.44933289999999998</v>
      </c>
      <c r="F10021" t="s">
        <v>73</v>
      </c>
      <c r="G10021">
        <v>-194.1431</v>
      </c>
      <c r="H10021" s="1">
        <v>-5.4331950000000004E-6</v>
      </c>
      <c r="I10021">
        <v>-43.547260000000001</v>
      </c>
      <c r="J10021">
        <v>-197.3946</v>
      </c>
      <c r="K10021">
        <v>1.1177859999999999</v>
      </c>
      <c r="L10021">
        <v>-50.723939999999999</v>
      </c>
      <c r="M10021">
        <v>0.71446219999999905</v>
      </c>
      <c r="N10021">
        <v>0</v>
      </c>
      <c r="O10021">
        <v>0.69956149999999995</v>
      </c>
      <c r="P10021">
        <v>0.53742330000000005</v>
      </c>
      <c r="Q10021">
        <v>2.279579E-2</v>
      </c>
      <c r="R10021">
        <v>0.84300450000000005</v>
      </c>
      <c r="S10021">
        <v>1.2782899999999999</v>
      </c>
      <c r="T10021">
        <v>-0.42111920000000003</v>
      </c>
      <c r="U10021">
        <v>2.7581479999999998</v>
      </c>
      <c r="V10021">
        <v>-0.22697300000000001</v>
      </c>
      <c r="W10021">
        <v>3.073524E-2</v>
      </c>
      <c r="X10021">
        <v>0.97341599999999995</v>
      </c>
      <c r="Y10021">
        <v>-0.35563090000000003</v>
      </c>
      <c r="Z10021">
        <v>-7.8147889999999998E-2</v>
      </c>
      <c r="AA10021">
        <v>0.9313536</v>
      </c>
      <c r="AB10021">
        <v>32</v>
      </c>
      <c r="AC10021">
        <v>3.2514999999999898</v>
      </c>
      <c r="AD10021">
        <v>-1.1177914331950001</v>
      </c>
      <c r="AE10021">
        <v>7.1766800000000002</v>
      </c>
      <c r="AF10021">
        <v>-2.79677478817587</v>
      </c>
      <c r="AG10021">
        <v>-1.1177914331950001</v>
      </c>
      <c r="AH10021">
        <v>7.1992773299126798</v>
      </c>
      <c r="AI10021">
        <v>98.2350739952699</v>
      </c>
      <c r="AJ10021">
        <v>111.230149467784</v>
      </c>
      <c r="AK10021">
        <v>7.8039093393564603</v>
      </c>
      <c r="AL10021">
        <v>88.238723185638193</v>
      </c>
      <c r="AM10021">
        <v>103.125235709278</v>
      </c>
      <c r="AN10021">
        <v>1.00000005338142</v>
      </c>
    </row>
    <row r="10022" spans="1:40" x14ac:dyDescent="0.25">
      <c r="A10022" t="str">
        <f>"20190312150916584"</f>
        <v>20190312150916584</v>
      </c>
      <c r="B10022" t="str">
        <f>"1552374556579367"</f>
        <v>1552374556579367</v>
      </c>
      <c r="C10022" t="s">
        <v>40</v>
      </c>
      <c r="D10022">
        <v>4.7684860000000002</v>
      </c>
      <c r="E10022">
        <v>0.44966790000000001</v>
      </c>
      <c r="F10022" t="s">
        <v>73</v>
      </c>
      <c r="G10022">
        <v>-194.0215</v>
      </c>
      <c r="H10022" s="1">
        <v>-5.5030870000000002E-6</v>
      </c>
      <c r="I10022">
        <v>-43.350769999999997</v>
      </c>
      <c r="J10022">
        <v>-197.2663</v>
      </c>
      <c r="K10022">
        <v>1.1177859999999999</v>
      </c>
      <c r="L10022">
        <v>-50.591799999999999</v>
      </c>
      <c r="M10022">
        <v>0.71071019999999996</v>
      </c>
      <c r="N10022">
        <v>0</v>
      </c>
      <c r="O10022">
        <v>0.70337289999999997</v>
      </c>
      <c r="P10022">
        <v>0.53310880000000005</v>
      </c>
      <c r="Q10022">
        <v>2.2619090000000001E-2</v>
      </c>
      <c r="R10022">
        <v>0.8457443</v>
      </c>
      <c r="S10022">
        <v>1.2644500000000001</v>
      </c>
      <c r="T10022">
        <v>-0.4190218</v>
      </c>
      <c r="U10022">
        <v>2.7639469999999999</v>
      </c>
      <c r="V10022">
        <v>-0.22674069999999999</v>
      </c>
      <c r="W10022">
        <v>3.056319E-2</v>
      </c>
      <c r="X10022">
        <v>0.97347550000000005</v>
      </c>
      <c r="Y10022">
        <v>-0.3552321</v>
      </c>
      <c r="Z10022">
        <v>-7.8412850000000006E-2</v>
      </c>
      <c r="AA10022">
        <v>0.93148359999999997</v>
      </c>
      <c r="AB10022">
        <v>32</v>
      </c>
      <c r="AC10022">
        <v>3.2447999999999899</v>
      </c>
      <c r="AD10022">
        <v>-1.117791503087</v>
      </c>
      <c r="AE10022">
        <v>7.2410299999999896</v>
      </c>
      <c r="AF10022">
        <v>-2.80846160241641</v>
      </c>
      <c r="AG10022">
        <v>-1.117791503087</v>
      </c>
      <c r="AH10022">
        <v>7.2558483778796798</v>
      </c>
      <c r="AI10022">
        <v>98.175593821928203</v>
      </c>
      <c r="AJ10022">
        <v>111.15951615952299</v>
      </c>
      <c r="AK10022">
        <v>7.8602958022837797</v>
      </c>
      <c r="AL10022">
        <v>88.248585466167199</v>
      </c>
      <c r="AM10022">
        <v>103.11149304528701</v>
      </c>
      <c r="AN10022">
        <v>1.00000000135985</v>
      </c>
    </row>
    <row r="10023" spans="1:40" x14ac:dyDescent="0.25">
      <c r="A10023" t="str">
        <f>"20190312150916600"</f>
        <v>20190312150916600</v>
      </c>
      <c r="B10023" t="str">
        <f>"1552374556589127"</f>
        <v>1552374556589127</v>
      </c>
      <c r="C10023" t="s">
        <v>40</v>
      </c>
      <c r="D10023">
        <v>5.0557290000000004</v>
      </c>
      <c r="E10023">
        <v>0.45008150000000002</v>
      </c>
      <c r="F10023" t="s">
        <v>73</v>
      </c>
      <c r="G10023">
        <v>-193.89660000000001</v>
      </c>
      <c r="H10023" s="1">
        <v>-5.577509E-6</v>
      </c>
      <c r="I10023">
        <v>-43.143259999999998</v>
      </c>
      <c r="J10023">
        <v>-197.1063</v>
      </c>
      <c r="K10023">
        <v>1.1177859999999999</v>
      </c>
      <c r="L10023">
        <v>-50.424289999999999</v>
      </c>
      <c r="M10023">
        <v>0.7059609</v>
      </c>
      <c r="N10023">
        <v>0</v>
      </c>
      <c r="O10023">
        <v>0.70813950000000003</v>
      </c>
      <c r="P10023">
        <v>0.52774209999999999</v>
      </c>
      <c r="Q10023">
        <v>2.252811E-2</v>
      </c>
      <c r="R10023">
        <v>0.84910580000000002</v>
      </c>
      <c r="S10023">
        <v>1.252594</v>
      </c>
      <c r="T10023">
        <v>-0.41550110000000001</v>
      </c>
      <c r="U10023">
        <v>2.7687379999999999</v>
      </c>
      <c r="V10023">
        <v>-0.22635459999999999</v>
      </c>
      <c r="W10023">
        <v>3.0479300000000001E-2</v>
      </c>
      <c r="X10023">
        <v>0.97356799999999999</v>
      </c>
      <c r="Y10023">
        <v>-0.3528637</v>
      </c>
      <c r="Z10023">
        <v>-7.8665460000000006E-2</v>
      </c>
      <c r="AA10023">
        <v>0.93236200000000002</v>
      </c>
      <c r="AB10023">
        <v>32</v>
      </c>
      <c r="AC10023">
        <v>3.20969999999999</v>
      </c>
      <c r="AD10023">
        <v>-1.1177915775089999</v>
      </c>
      <c r="AE10023">
        <v>7.2810300000000003</v>
      </c>
      <c r="AF10023">
        <v>-2.8119428124674899</v>
      </c>
      <c r="AG10023">
        <v>-1.1177915775089999</v>
      </c>
      <c r="AH10023">
        <v>7.2788531999359201</v>
      </c>
      <c r="AI10023">
        <v>98.152118489348098</v>
      </c>
      <c r="AJ10023">
        <v>111.122380966205</v>
      </c>
      <c r="AK10023">
        <v>7.8827777018989398</v>
      </c>
      <c r="AL10023">
        <v>88.253394284874005</v>
      </c>
      <c r="AM10023">
        <v>103.088735023022</v>
      </c>
      <c r="AN10023">
        <v>1.0000000216468199</v>
      </c>
    </row>
    <row r="10024" spans="1:40" x14ac:dyDescent="0.25">
      <c r="A10024" t="str">
        <f>"20190312150916622"</f>
        <v>20190312150916622</v>
      </c>
      <c r="B10024" t="str">
        <f>"1552374556619383"</f>
        <v>1552374556619383</v>
      </c>
      <c r="C10024" t="s">
        <v>40</v>
      </c>
      <c r="D10024">
        <v>4.7568380000000001</v>
      </c>
      <c r="E10024">
        <v>0.45109129999999997</v>
      </c>
      <c r="F10024" t="s">
        <v>73</v>
      </c>
      <c r="G10024">
        <v>-193.7294</v>
      </c>
      <c r="H10024" s="1">
        <v>-5.68142399999999E-6</v>
      </c>
      <c r="I10024">
        <v>-42.856319999999997</v>
      </c>
      <c r="J10024">
        <v>-196.89519999999999</v>
      </c>
      <c r="K10024">
        <v>1.1177870000000001</v>
      </c>
      <c r="L10024">
        <v>-50.200290000000003</v>
      </c>
      <c r="M10024">
        <v>0.69960180000000005</v>
      </c>
      <c r="N10024">
        <v>0</v>
      </c>
      <c r="O10024">
        <v>0.71442269999999997</v>
      </c>
      <c r="P10024">
        <v>0.52052989999999999</v>
      </c>
      <c r="Q10024">
        <v>2.2295479999999999E-2</v>
      </c>
      <c r="R10024">
        <v>0.85355230000000004</v>
      </c>
      <c r="S10024">
        <v>1.238022</v>
      </c>
      <c r="T10024">
        <v>-0.40980430000000001</v>
      </c>
      <c r="U10024">
        <v>2.7745669999999998</v>
      </c>
      <c r="V10024">
        <v>-0.2258984</v>
      </c>
      <c r="W10024">
        <v>3.0256249999999998E-2</v>
      </c>
      <c r="X10024">
        <v>0.97368089999999996</v>
      </c>
      <c r="Y10024">
        <v>-0.3493098</v>
      </c>
      <c r="Z10024">
        <v>-7.8795660000000003E-2</v>
      </c>
      <c r="AA10024">
        <v>0.93368830000000003</v>
      </c>
      <c r="AB10024">
        <v>32</v>
      </c>
      <c r="AC10024">
        <v>3.1657999999999902</v>
      </c>
      <c r="AD10024">
        <v>-1.117792681424</v>
      </c>
      <c r="AE10024">
        <v>7.3439699999999899</v>
      </c>
      <c r="AF10024">
        <v>-2.8212454095152402</v>
      </c>
      <c r="AG10024">
        <v>-1.117792681424</v>
      </c>
      <c r="AH10024">
        <v>7.3190986818790096</v>
      </c>
      <c r="AI10024">
        <v>98.110191011408602</v>
      </c>
      <c r="AJ10024">
        <v>111.07983048456499</v>
      </c>
      <c r="AK10024">
        <v>7.9232626899806204</v>
      </c>
      <c r="AL10024">
        <v>88.266179987349105</v>
      </c>
      <c r="AM10024">
        <v>103.06179851700701</v>
      </c>
      <c r="AN10024">
        <v>1.0000000114057099</v>
      </c>
    </row>
    <row r="10025" spans="1:40" x14ac:dyDescent="0.25">
      <c r="A10025" t="str">
        <f>"20190312150916634"</f>
        <v>20190312150916634</v>
      </c>
      <c r="B10025" t="str">
        <f>"1552374556629143"</f>
        <v>1552374556629143</v>
      </c>
      <c r="C10025" t="s">
        <v>40</v>
      </c>
      <c r="D10025">
        <v>4.7845329999999997</v>
      </c>
      <c r="E10025">
        <v>0.4513992</v>
      </c>
      <c r="F10025" t="s">
        <v>73</v>
      </c>
      <c r="G10025">
        <v>-193.53569999999999</v>
      </c>
      <c r="H10025" s="1">
        <v>-5.7898799999999997E-6</v>
      </c>
      <c r="I10025">
        <v>-42.549439999999997</v>
      </c>
      <c r="J10025">
        <v>-196.78110000000001</v>
      </c>
      <c r="K10025">
        <v>1.1177840000000001</v>
      </c>
      <c r="L10025">
        <v>-50.077210000000001</v>
      </c>
      <c r="M10025">
        <v>0.69611000000000001</v>
      </c>
      <c r="N10025">
        <v>0</v>
      </c>
      <c r="O10025">
        <v>0.71782539999999995</v>
      </c>
      <c r="P10025">
        <v>0.51642390000000005</v>
      </c>
      <c r="Q10025">
        <v>2.2100930000000001E-2</v>
      </c>
      <c r="R10025">
        <v>0.85604789999999997</v>
      </c>
      <c r="S10025">
        <v>1.2210080000000001</v>
      </c>
      <c r="T10025">
        <v>-0.40626210000000001</v>
      </c>
      <c r="U10025">
        <v>2.7807010000000001</v>
      </c>
      <c r="V10025">
        <v>-0.2258278</v>
      </c>
      <c r="W10025">
        <v>3.0063699999999999E-2</v>
      </c>
      <c r="X10025">
        <v>0.97370330000000005</v>
      </c>
      <c r="Y10025">
        <v>-0.3502729</v>
      </c>
      <c r="Z10025">
        <v>-7.8641150000000007E-2</v>
      </c>
      <c r="AA10025">
        <v>0.93334050000000002</v>
      </c>
      <c r="AB10025">
        <v>32</v>
      </c>
      <c r="AC10025">
        <v>3.2454000000000098</v>
      </c>
      <c r="AD10025">
        <v>-1.11778978988</v>
      </c>
      <c r="AE10025">
        <v>7.5277699999999896</v>
      </c>
      <c r="AF10025">
        <v>-2.8576227314622602</v>
      </c>
      <c r="AG10025">
        <v>-1.11778978988</v>
      </c>
      <c r="AH10025">
        <v>7.5234986376299</v>
      </c>
      <c r="AI10025">
        <v>97.907322816944202</v>
      </c>
      <c r="AJ10025">
        <v>110.798094547411</v>
      </c>
      <c r="AK10025">
        <v>8.12517651747633</v>
      </c>
      <c r="AL10025">
        <v>88.277217409664701</v>
      </c>
      <c r="AM10025">
        <v>103.057566124544</v>
      </c>
      <c r="AN10025">
        <v>1.0000000688707</v>
      </c>
    </row>
    <row r="10026" spans="1:40" x14ac:dyDescent="0.25">
      <c r="A10026" t="str">
        <f>"20190312150916646"</f>
        <v>20190312150916646</v>
      </c>
      <c r="B10026" t="str">
        <f>"1552374556638903"</f>
        <v>1552374556638903</v>
      </c>
      <c r="C10026" t="s">
        <v>40</v>
      </c>
      <c r="D10026">
        <v>4.7356790000000002</v>
      </c>
      <c r="E10026">
        <v>0.45160640000000002</v>
      </c>
      <c r="F10026" t="s">
        <v>73</v>
      </c>
      <c r="G10026">
        <v>-193.4819</v>
      </c>
      <c r="H10026" s="1">
        <v>-5.8116990000000004E-6</v>
      </c>
      <c r="I10026">
        <v>-42.482030000000002</v>
      </c>
      <c r="J10026">
        <v>-196.66929999999999</v>
      </c>
      <c r="K10026">
        <v>1.117783</v>
      </c>
      <c r="L10026">
        <v>-49.955959999999997</v>
      </c>
      <c r="M10026">
        <v>0.6926639</v>
      </c>
      <c r="N10026">
        <v>0</v>
      </c>
      <c r="O10026">
        <v>0.72115119999999999</v>
      </c>
      <c r="P10026">
        <v>0.51271259999999996</v>
      </c>
      <c r="Q10026">
        <v>2.220544E-2</v>
      </c>
      <c r="R10026">
        <v>0.85827310000000001</v>
      </c>
      <c r="S10026">
        <v>1.2098390000000001</v>
      </c>
      <c r="T10026">
        <v>-0.40989829999999999</v>
      </c>
      <c r="U10026">
        <v>2.7851870000000001</v>
      </c>
      <c r="V10026">
        <v>-0.22538030000000001</v>
      </c>
      <c r="W10026">
        <v>3.0177610000000001E-2</v>
      </c>
      <c r="X10026">
        <v>0.97380339999999999</v>
      </c>
      <c r="Y10026">
        <v>-0.34952830000000001</v>
      </c>
      <c r="Z10026">
        <v>-7.9910040000000002E-2</v>
      </c>
      <c r="AA10026">
        <v>0.93351189999999995</v>
      </c>
      <c r="AB10026">
        <v>32</v>
      </c>
      <c r="AC10026">
        <v>3.18739999999999</v>
      </c>
      <c r="AD10026">
        <v>-1.117788811699</v>
      </c>
      <c r="AE10026">
        <v>7.4739299999999904</v>
      </c>
      <c r="AF10026">
        <v>-2.8250846888112999</v>
      </c>
      <c r="AG10026">
        <v>-1.117788811699</v>
      </c>
      <c r="AH10026">
        <v>7.4570994642396702</v>
      </c>
      <c r="AI10026">
        <v>97.979384453877898</v>
      </c>
      <c r="AJ10026">
        <v>110.748941305122</v>
      </c>
      <c r="AK10026">
        <v>8.0522597912684795</v>
      </c>
      <c r="AL10026">
        <v>88.270687791714593</v>
      </c>
      <c r="AM10026">
        <v>103.03128146941</v>
      </c>
      <c r="AN10026">
        <v>1.0000000148124799</v>
      </c>
    </row>
    <row r="10027" spans="1:40" x14ac:dyDescent="0.25">
      <c r="A10027" t="str">
        <f>"20190312150916658"</f>
        <v>20190312150916658</v>
      </c>
      <c r="B10027" t="str">
        <f>"1552374556649639"</f>
        <v>1552374556649639</v>
      </c>
      <c r="C10027" t="s">
        <v>40</v>
      </c>
      <c r="D10027">
        <v>4.7602029999999997</v>
      </c>
      <c r="E10027">
        <v>0.45180959999999998</v>
      </c>
      <c r="F10027" t="s">
        <v>73</v>
      </c>
      <c r="G10027">
        <v>-193.39179999999999</v>
      </c>
      <c r="H10027" s="1">
        <v>-5.8657950000000003E-6</v>
      </c>
      <c r="I10027">
        <v>-42.331490000000002</v>
      </c>
      <c r="J10027">
        <v>-196.5498</v>
      </c>
      <c r="K10027">
        <v>1.1177840000000001</v>
      </c>
      <c r="L10027">
        <v>-49.824579999999997</v>
      </c>
      <c r="M10027">
        <v>0.68893479999999996</v>
      </c>
      <c r="N10027">
        <v>0</v>
      </c>
      <c r="O10027">
        <v>0.72471459999999999</v>
      </c>
      <c r="P10027">
        <v>0.50814649999999995</v>
      </c>
      <c r="Q10027">
        <v>2.2124419999999999E-2</v>
      </c>
      <c r="R10027">
        <v>0.86098649999999999</v>
      </c>
      <c r="S10027">
        <v>1.1991579999999999</v>
      </c>
      <c r="T10027">
        <v>-0.40897660000000002</v>
      </c>
      <c r="U10027">
        <v>2.7896420000000002</v>
      </c>
      <c r="V10027">
        <v>-0.22552990000000001</v>
      </c>
      <c r="W10027">
        <v>3.0092770000000001E-2</v>
      </c>
      <c r="X10027">
        <v>0.97377139999999995</v>
      </c>
      <c r="Y10027">
        <v>-0.34826639999999998</v>
      </c>
      <c r="Z10027">
        <v>-8.0365320000000004E-2</v>
      </c>
      <c r="AA10027">
        <v>0.93394429999999995</v>
      </c>
      <c r="AB10027">
        <v>32</v>
      </c>
      <c r="AC10027">
        <v>3.1580000000000101</v>
      </c>
      <c r="AD10027">
        <v>-1.1177898657950001</v>
      </c>
      <c r="AE10027">
        <v>7.4930899999999898</v>
      </c>
      <c r="AF10027">
        <v>-2.8205288175517</v>
      </c>
      <c r="AG10027">
        <v>-1.1177898657950001</v>
      </c>
      <c r="AH10027">
        <v>7.4655314420037904</v>
      </c>
      <c r="AI10027">
        <v>97.9731991587294</v>
      </c>
      <c r="AJ10027">
        <v>110.696907728729</v>
      </c>
      <c r="AK10027">
        <v>8.0584735965479695</v>
      </c>
      <c r="AL10027">
        <v>88.275550991903003</v>
      </c>
      <c r="AM10027">
        <v>103.04004956436199</v>
      </c>
      <c r="AN10027">
        <v>1.0000000250291201</v>
      </c>
    </row>
    <row r="10028" spans="1:40" x14ac:dyDescent="0.25">
      <c r="A10028" t="str">
        <f>"20190312150916670"</f>
        <v>20190312150916670</v>
      </c>
      <c r="B10028" t="str">
        <f>"1552374556659399"</f>
        <v>1552374556659399</v>
      </c>
      <c r="C10028" t="s">
        <v>40</v>
      </c>
      <c r="D10028">
        <v>4.7711690000000004</v>
      </c>
      <c r="E10028">
        <v>0.45190659999999999</v>
      </c>
      <c r="F10028" t="s">
        <v>73</v>
      </c>
      <c r="G10028">
        <v>-193.30600000000001</v>
      </c>
      <c r="H10028" s="1">
        <v>-5.9215869999999996E-6</v>
      </c>
      <c r="I10028">
        <v>-42.178930000000001</v>
      </c>
      <c r="J10028">
        <v>-196.44210000000001</v>
      </c>
      <c r="K10028">
        <v>1.1177870000000001</v>
      </c>
      <c r="L10028">
        <v>-49.705199999999998</v>
      </c>
      <c r="M10028">
        <v>0.68554289999999996</v>
      </c>
      <c r="N10028">
        <v>0</v>
      </c>
      <c r="O10028">
        <v>0.72792400000000002</v>
      </c>
      <c r="P10028">
        <v>0.50420739999999997</v>
      </c>
      <c r="Q10028">
        <v>2.2371990000000001E-2</v>
      </c>
      <c r="R10028">
        <v>0.86329279999999997</v>
      </c>
      <c r="S10028">
        <v>1.1858219999999999</v>
      </c>
      <c r="T10028">
        <v>-0.40862949999999998</v>
      </c>
      <c r="U10028">
        <v>2.795013</v>
      </c>
      <c r="V10028">
        <v>-0.22543160000000001</v>
      </c>
      <c r="W10028">
        <v>3.0342520000000001E-2</v>
      </c>
      <c r="X10028">
        <v>0.97378640000000005</v>
      </c>
      <c r="Y10028">
        <v>-0.3483214</v>
      </c>
      <c r="Z10028">
        <v>-8.0811659999999993E-2</v>
      </c>
      <c r="AA10028">
        <v>0.93388530000000003</v>
      </c>
      <c r="AB10028">
        <v>32</v>
      </c>
      <c r="AC10028">
        <v>3.1361000000000199</v>
      </c>
      <c r="AD10028">
        <v>-1.1177929215869999</v>
      </c>
      <c r="AE10028">
        <v>7.5262699999999896</v>
      </c>
      <c r="AF10028">
        <v>-2.82389134634932</v>
      </c>
      <c r="AG10028">
        <v>-1.1177929215869999</v>
      </c>
      <c r="AH10028">
        <v>7.4883445017066901</v>
      </c>
      <c r="AI10028">
        <v>97.9510615857792</v>
      </c>
      <c r="AJ10028">
        <v>110.66170475192099</v>
      </c>
      <c r="AK10028">
        <v>8.08078750665908</v>
      </c>
      <c r="AL10028">
        <v>88.261234814202197</v>
      </c>
      <c r="AM10028">
        <v>103.034366095145</v>
      </c>
      <c r="AN10028">
        <v>1.00000001381173</v>
      </c>
    </row>
    <row r="10029" spans="1:40" x14ac:dyDescent="0.25">
      <c r="A10029" t="str">
        <f>"20190312150916681"</f>
        <v>20190312150916681</v>
      </c>
      <c r="B10029" t="str">
        <f>"1552374556669159"</f>
        <v>1552374556669159</v>
      </c>
      <c r="C10029" t="s">
        <v>40</v>
      </c>
      <c r="D10029">
        <v>5.1039209999999997</v>
      </c>
      <c r="E10029">
        <v>0.45213959999999997</v>
      </c>
      <c r="F10029" t="s">
        <v>73</v>
      </c>
      <c r="G10029">
        <v>-193.23609999999999</v>
      </c>
      <c r="H10029" s="1">
        <v>-5.9674050000000002E-6</v>
      </c>
      <c r="I10029">
        <v>-42.053840000000001</v>
      </c>
      <c r="J10029">
        <v>-196.33179999999999</v>
      </c>
      <c r="K10029">
        <v>1.1177870000000001</v>
      </c>
      <c r="L10029">
        <v>-49.58182</v>
      </c>
      <c r="M10029">
        <v>0.68203380000000002</v>
      </c>
      <c r="N10029">
        <v>0</v>
      </c>
      <c r="O10029">
        <v>0.73121289999999906</v>
      </c>
      <c r="P10029">
        <v>0.50028839999999997</v>
      </c>
      <c r="Q10029">
        <v>2.242224E-2</v>
      </c>
      <c r="R10029">
        <v>0.86556849999999996</v>
      </c>
      <c r="S10029">
        <v>1.1734009999999999</v>
      </c>
      <c r="T10029">
        <v>-0.40910550000000001</v>
      </c>
      <c r="U10029">
        <v>2.800354</v>
      </c>
      <c r="V10029">
        <v>-0.22516240000000001</v>
      </c>
      <c r="W10029">
        <v>3.0398749999999999E-2</v>
      </c>
      <c r="X10029">
        <v>0.97384689999999996</v>
      </c>
      <c r="Y10029">
        <v>-0.34798990000000002</v>
      </c>
      <c r="Z10029">
        <v>-8.1441159999999999E-2</v>
      </c>
      <c r="AA10029">
        <v>0.93395419999999996</v>
      </c>
      <c r="AB10029">
        <v>32</v>
      </c>
      <c r="AC10029">
        <v>3.0956999999999901</v>
      </c>
      <c r="AD10029">
        <v>-1.117792967405</v>
      </c>
      <c r="AE10029">
        <v>7.5279799999999897</v>
      </c>
      <c r="AF10029">
        <v>-2.8178070871616998</v>
      </c>
      <c r="AG10029">
        <v>-1.117792967405</v>
      </c>
      <c r="AH10029">
        <v>7.4755491749884104</v>
      </c>
      <c r="AI10029">
        <v>97.964933776972401</v>
      </c>
      <c r="AJ10029">
        <v>110.653255633795</v>
      </c>
      <c r="AK10029">
        <v>8.0668044085690198</v>
      </c>
      <c r="AL10029">
        <v>88.258011539872001</v>
      </c>
      <c r="AM10029">
        <v>103.018550367366</v>
      </c>
      <c r="AN10029">
        <v>0.99999998750746599</v>
      </c>
    </row>
    <row r="10030" spans="1:40" x14ac:dyDescent="0.25">
      <c r="A10030" t="str">
        <f>"20190312150916693"</f>
        <v>20190312150916693</v>
      </c>
      <c r="B10030" t="str">
        <f>"1552374556689655"</f>
        <v>1552374556689655</v>
      </c>
      <c r="C10030" t="s">
        <v>40</v>
      </c>
      <c r="D10030">
        <v>5.077547</v>
      </c>
      <c r="E10030">
        <v>0.45254129999999998</v>
      </c>
      <c r="F10030" t="s">
        <v>73</v>
      </c>
      <c r="G10030">
        <v>-193.13650000000001</v>
      </c>
      <c r="H10030" s="1">
        <v>-6.0210539999999998E-6</v>
      </c>
      <c r="I10030">
        <v>-41.872280000000003</v>
      </c>
      <c r="J10030">
        <v>-196.22380000000001</v>
      </c>
      <c r="K10030">
        <v>1.1177889999999999</v>
      </c>
      <c r="L10030">
        <v>-49.459530000000001</v>
      </c>
      <c r="M10030">
        <v>0.67856090000000002</v>
      </c>
      <c r="N10030">
        <v>0</v>
      </c>
      <c r="O10030">
        <v>0.7344368</v>
      </c>
      <c r="P10030">
        <v>0.49625069999999999</v>
      </c>
      <c r="Q10030">
        <v>2.2369099999999999E-2</v>
      </c>
      <c r="R10030">
        <v>0.86789110000000003</v>
      </c>
      <c r="S10030">
        <v>1.1623840000000001</v>
      </c>
      <c r="T10030">
        <v>-0.40663860000000002</v>
      </c>
      <c r="U10030">
        <v>2.8046259999999998</v>
      </c>
      <c r="V10030">
        <v>-0.22508429999999999</v>
      </c>
      <c r="W10030">
        <v>3.0347280000000001E-2</v>
      </c>
      <c r="X10030">
        <v>0.97386660000000003</v>
      </c>
      <c r="Y10030">
        <v>-0.34717949999999997</v>
      </c>
      <c r="Z10030">
        <v>-8.1514920000000005E-2</v>
      </c>
      <c r="AA10030">
        <v>0.93424929999999995</v>
      </c>
      <c r="AB10030">
        <v>32</v>
      </c>
      <c r="AC10030">
        <v>3.0872999999999902</v>
      </c>
      <c r="AD10030">
        <v>-1.117795021054</v>
      </c>
      <c r="AE10030">
        <v>7.58725</v>
      </c>
      <c r="AF10030">
        <v>-2.82853980026078</v>
      </c>
      <c r="AG10030">
        <v>-1.117795021054</v>
      </c>
      <c r="AH10030">
        <v>7.5277036629794196</v>
      </c>
      <c r="AI10030">
        <v>97.913518940687396</v>
      </c>
      <c r="AJ10030">
        <v>110.593744205514</v>
      </c>
      <c r="AK10030">
        <v>8.1188931233503894</v>
      </c>
      <c r="AL10030">
        <v>88.260961983676694</v>
      </c>
      <c r="AM10030">
        <v>103.013934191584</v>
      </c>
      <c r="AN10030">
        <v>1.0000000270527201</v>
      </c>
    </row>
    <row r="10031" spans="1:40" x14ac:dyDescent="0.25">
      <c r="A10031" t="str">
        <f>"20190312150916712"</f>
        <v>20190312150916712</v>
      </c>
      <c r="B10031" t="str">
        <f>"1552374556699415"</f>
        <v>1552374556699415</v>
      </c>
      <c r="C10031" t="s">
        <v>40</v>
      </c>
      <c r="D10031">
        <v>4.7849709999999996</v>
      </c>
      <c r="E10031">
        <v>0.45276860000000002</v>
      </c>
      <c r="F10031" t="s">
        <v>73</v>
      </c>
      <c r="G10031">
        <v>-193.05119999999999</v>
      </c>
      <c r="H10031" s="1">
        <v>-6.0605879999999997E-6</v>
      </c>
      <c r="I10031">
        <v>-41.725520000000003</v>
      </c>
      <c r="J10031">
        <v>-196.05860000000001</v>
      </c>
      <c r="K10031">
        <v>1.1177840000000001</v>
      </c>
      <c r="L10031">
        <v>-49.270629999999997</v>
      </c>
      <c r="M10031">
        <v>0.67318929999999999</v>
      </c>
      <c r="N10031">
        <v>0</v>
      </c>
      <c r="O10031">
        <v>0.73936359999999901</v>
      </c>
      <c r="P10031">
        <v>0.4902126</v>
      </c>
      <c r="Q10031">
        <v>2.2519709999999998E-2</v>
      </c>
      <c r="R10031">
        <v>0.87131199999999998</v>
      </c>
      <c r="S10031">
        <v>1.152023</v>
      </c>
      <c r="T10031">
        <v>-0.40589439999999999</v>
      </c>
      <c r="U10031">
        <v>2.8083800000000001</v>
      </c>
      <c r="V10031">
        <v>-0.2247479</v>
      </c>
      <c r="W10031">
        <v>3.0505040000000001E-2</v>
      </c>
      <c r="X10031">
        <v>0.97393940000000001</v>
      </c>
      <c r="Y10031">
        <v>-0.34375689999999998</v>
      </c>
      <c r="Z10031">
        <v>-8.2327890000000001E-2</v>
      </c>
      <c r="AA10031">
        <v>0.93544289999999997</v>
      </c>
      <c r="AB10031">
        <v>32</v>
      </c>
      <c r="AC10031">
        <v>3.0074000000000098</v>
      </c>
      <c r="AD10031">
        <v>-1.117790060588</v>
      </c>
      <c r="AE10031">
        <v>7.5451099999999904</v>
      </c>
      <c r="AF10031">
        <v>-2.8028672840161701</v>
      </c>
      <c r="AG10031">
        <v>-1.117790060588</v>
      </c>
      <c r="AH10031">
        <v>7.4623993431330202</v>
      </c>
      <c r="AI10031">
        <v>97.982241667668902</v>
      </c>
      <c r="AJ10031">
        <v>110.586111746201</v>
      </c>
      <c r="AK10031">
        <v>8.0494051698091091</v>
      </c>
      <c r="AL10031">
        <v>88.251918882040101</v>
      </c>
      <c r="AM10031">
        <v>102.994206476214</v>
      </c>
      <c r="AN10031">
        <v>1.0000000654460801</v>
      </c>
    </row>
    <row r="10032" spans="1:40" x14ac:dyDescent="0.25">
      <c r="A10032" t="str">
        <f>"20190312150916725"</f>
        <v>20190312150916725</v>
      </c>
      <c r="B10032" t="str">
        <f>"1552374556718935"</f>
        <v>1552374556718935</v>
      </c>
      <c r="C10032" t="s">
        <v>40</v>
      </c>
      <c r="D10032">
        <v>4.805809</v>
      </c>
      <c r="E10032">
        <v>0.45323249999999998</v>
      </c>
      <c r="F10032" t="s">
        <v>73</v>
      </c>
      <c r="G10032">
        <v>-192.92140000000001</v>
      </c>
      <c r="H10032" s="1">
        <v>-6.1277559999999996E-6</v>
      </c>
      <c r="I10032">
        <v>-41.481259999999999</v>
      </c>
      <c r="J10032">
        <v>-195.9314</v>
      </c>
      <c r="K10032">
        <v>1.117785</v>
      </c>
      <c r="L10032">
        <v>-49.123570000000001</v>
      </c>
      <c r="M10032">
        <v>0.66900280000000001</v>
      </c>
      <c r="N10032">
        <v>0</v>
      </c>
      <c r="O10032">
        <v>0.74315390000000003</v>
      </c>
      <c r="P10032">
        <v>0.48535339999999999</v>
      </c>
      <c r="Q10032">
        <v>2.222969E-2</v>
      </c>
      <c r="R10032">
        <v>0.87403549999999997</v>
      </c>
      <c r="S10032">
        <v>1.133972</v>
      </c>
      <c r="T10032">
        <v>-0.40403749999999999</v>
      </c>
      <c r="U10032">
        <v>2.8155519999999998</v>
      </c>
      <c r="V10032">
        <v>-0.22466949999999999</v>
      </c>
      <c r="W10032">
        <v>3.0216690000000001E-2</v>
      </c>
      <c r="X10032">
        <v>0.97396640000000001</v>
      </c>
      <c r="Y10032">
        <v>-0.34443829999999998</v>
      </c>
      <c r="Z10032">
        <v>-8.2524459999999994E-2</v>
      </c>
      <c r="AA10032">
        <v>0.93517479999999997</v>
      </c>
      <c r="AB10032">
        <v>32</v>
      </c>
      <c r="AC10032">
        <v>3.00999999999999</v>
      </c>
      <c r="AD10032">
        <v>-1.117791127756</v>
      </c>
      <c r="AE10032">
        <v>7.6423100000000002</v>
      </c>
      <c r="AF10032">
        <v>-2.82376377639372</v>
      </c>
      <c r="AG10032">
        <v>-1.117791127756</v>
      </c>
      <c r="AH10032">
        <v>7.55381962842372</v>
      </c>
      <c r="AI10032">
        <v>97.891421116020794</v>
      </c>
      <c r="AJ10032">
        <v>110.49671478742</v>
      </c>
      <c r="AK10032">
        <v>8.1414550203831997</v>
      </c>
      <c r="AL10032">
        <v>88.268447608909298</v>
      </c>
      <c r="AM10032">
        <v>102.989479512096</v>
      </c>
      <c r="AN10032">
        <v>0.99999999045688304</v>
      </c>
    </row>
    <row r="10033" spans="1:40" x14ac:dyDescent="0.25">
      <c r="A10033" t="str">
        <f>"20190312150916739"</f>
        <v>20190312150916739</v>
      </c>
      <c r="B10033" t="str">
        <f>"1552374556729670"</f>
        <v>1552374556729670</v>
      </c>
      <c r="C10033" t="s">
        <v>40</v>
      </c>
      <c r="D10033">
        <v>4.8253139999999997</v>
      </c>
      <c r="E10033">
        <v>0.45347480000000001</v>
      </c>
      <c r="F10033" t="s">
        <v>73</v>
      </c>
      <c r="G10033">
        <v>-192.81290000000001</v>
      </c>
      <c r="H10033" s="1">
        <v>-6.1819190000000004E-6</v>
      </c>
      <c r="I10033">
        <v>-41.282969999999999</v>
      </c>
      <c r="J10033">
        <v>-195.79949999999999</v>
      </c>
      <c r="K10033">
        <v>1.1177779999999999</v>
      </c>
      <c r="L10033">
        <v>-48.968539999999997</v>
      </c>
      <c r="M10033">
        <v>0.66459539999999995</v>
      </c>
      <c r="N10033">
        <v>0</v>
      </c>
      <c r="O10033">
        <v>0.74709789999999998</v>
      </c>
      <c r="P10033">
        <v>0.48031740000000001</v>
      </c>
      <c r="Q10033">
        <v>2.2172790000000001E-2</v>
      </c>
      <c r="R10033">
        <v>0.87681450000000005</v>
      </c>
      <c r="S10033">
        <v>1.121567</v>
      </c>
      <c r="T10033">
        <v>-0.40200259999999999</v>
      </c>
      <c r="U10033">
        <v>2.8197939999999999</v>
      </c>
      <c r="V10033">
        <v>-0.2245115</v>
      </c>
      <c r="W10033">
        <v>3.0163309999999999E-2</v>
      </c>
      <c r="X10033">
        <v>0.97400450000000005</v>
      </c>
      <c r="Y10033">
        <v>-0.34292620000000001</v>
      </c>
      <c r="Z10033">
        <v>-8.2824789999999995E-2</v>
      </c>
      <c r="AA10033">
        <v>0.93570390000000003</v>
      </c>
      <c r="AB10033">
        <v>32</v>
      </c>
      <c r="AC10033">
        <v>2.9865999999999802</v>
      </c>
      <c r="AD10033">
        <v>-1.117784181919</v>
      </c>
      <c r="AE10033">
        <v>7.6855700000000002</v>
      </c>
      <c r="AF10033">
        <v>-2.8248256148112199</v>
      </c>
      <c r="AG10033">
        <v>-1.117784181919</v>
      </c>
      <c r="AH10033">
        <v>7.5879165614754198</v>
      </c>
      <c r="AI10033">
        <v>97.860269102010804</v>
      </c>
      <c r="AJ10033">
        <v>110.41926609614799</v>
      </c>
      <c r="AK10033">
        <v>8.1734667660274294</v>
      </c>
      <c r="AL10033">
        <v>88.271507473149001</v>
      </c>
      <c r="AM10033">
        <v>102.98016351651999</v>
      </c>
      <c r="AN10033">
        <v>1.00000000246132</v>
      </c>
    </row>
    <row r="10034" spans="1:40" x14ac:dyDescent="0.25">
      <c r="A10034" t="str">
        <f>"20190312150916756"</f>
        <v>20190312150916756</v>
      </c>
      <c r="B10034" t="str">
        <f>"1552374556749192"</f>
        <v>1552374556749192</v>
      </c>
      <c r="C10034" t="s">
        <v>40</v>
      </c>
      <c r="D10034">
        <v>4.8960920000000003</v>
      </c>
      <c r="E10034">
        <v>0.45393689999999998</v>
      </c>
      <c r="F10034" t="s">
        <v>73</v>
      </c>
      <c r="G10034">
        <v>-192.71430000000001</v>
      </c>
      <c r="H10034" s="1">
        <v>-6.2338350000000003E-6</v>
      </c>
      <c r="I10034">
        <v>-41.094760000000001</v>
      </c>
      <c r="J10034">
        <v>-195.64410000000001</v>
      </c>
      <c r="K10034">
        <v>1.1177779999999999</v>
      </c>
      <c r="L10034">
        <v>-48.78387</v>
      </c>
      <c r="M10034">
        <v>0.65934199999999998</v>
      </c>
      <c r="N10034">
        <v>0</v>
      </c>
      <c r="O10034">
        <v>0.75173829999999997</v>
      </c>
      <c r="P10034">
        <v>0.47456150000000002</v>
      </c>
      <c r="Q10034">
        <v>2.174659E-2</v>
      </c>
      <c r="R10034">
        <v>0.87995369999999995</v>
      </c>
      <c r="S10034">
        <v>1.106995</v>
      </c>
      <c r="T10034">
        <v>-0.40107769999999998</v>
      </c>
      <c r="U10034">
        <v>2.8252259999999998</v>
      </c>
      <c r="V10034">
        <v>-0.22406519999999999</v>
      </c>
      <c r="W10034">
        <v>2.974626E-2</v>
      </c>
      <c r="X10034">
        <v>0.97412010000000004</v>
      </c>
      <c r="Y10034">
        <v>-0.34115269999999998</v>
      </c>
      <c r="Z10034">
        <v>-8.3457509999999999E-2</v>
      </c>
      <c r="AA10034">
        <v>0.93629569999999995</v>
      </c>
      <c r="AB10034">
        <v>32</v>
      </c>
      <c r="AC10034">
        <v>2.9298000000000002</v>
      </c>
      <c r="AD10034">
        <v>-1.1177842338349999</v>
      </c>
      <c r="AE10034">
        <v>7.6891099999999897</v>
      </c>
      <c r="AF10034">
        <v>-2.8155779813075501</v>
      </c>
      <c r="AG10034">
        <v>-1.1177842338349999</v>
      </c>
      <c r="AH10034">
        <v>7.5727990653898303</v>
      </c>
      <c r="AI10034">
        <v>97.876979032566894</v>
      </c>
      <c r="AJ10034">
        <v>110.39520926094499</v>
      </c>
      <c r="AK10034">
        <v>8.15623728486384</v>
      </c>
      <c r="AL10034">
        <v>88.295413421245797</v>
      </c>
      <c r="AM10034">
        <v>102.953746410623</v>
      </c>
      <c r="AN10034">
        <v>1.00000001152951</v>
      </c>
    </row>
    <row r="10035" spans="1:40" x14ac:dyDescent="0.25">
      <c r="A10035" t="str">
        <f>"20190312150916770"</f>
        <v>20190312150916770</v>
      </c>
      <c r="B10035" t="str">
        <f>"1552374556758951"</f>
        <v>1552374556758951</v>
      </c>
      <c r="C10035" t="s">
        <v>40</v>
      </c>
      <c r="D10035">
        <v>4.7961910000000003</v>
      </c>
      <c r="E10035">
        <v>0.45420840000000001</v>
      </c>
      <c r="F10035" t="s">
        <v>73</v>
      </c>
      <c r="G10035">
        <v>-192.59559999999999</v>
      </c>
      <c r="H10035" s="1">
        <v>-6.2922989999999996E-6</v>
      </c>
      <c r="I10035">
        <v>-40.880240000000001</v>
      </c>
      <c r="J10035">
        <v>-195.51920000000001</v>
      </c>
      <c r="K10035">
        <v>1.1177760000000001</v>
      </c>
      <c r="L10035">
        <v>-48.633540000000004</v>
      </c>
      <c r="M10035">
        <v>0.65506319999999996</v>
      </c>
      <c r="N10035">
        <v>0</v>
      </c>
      <c r="O10035">
        <v>0.75546979999999997</v>
      </c>
      <c r="P10035">
        <v>0.46969640000000001</v>
      </c>
      <c r="Q10035">
        <v>2.1424060000000002E-2</v>
      </c>
      <c r="R10035">
        <v>0.88256809999999997</v>
      </c>
      <c r="S10035">
        <v>1.0917049999999999</v>
      </c>
      <c r="T10035">
        <v>-0.40029589999999998</v>
      </c>
      <c r="U10035">
        <v>2.8304140000000002</v>
      </c>
      <c r="V10035">
        <v>-0.2239112</v>
      </c>
      <c r="W10035">
        <v>2.9427399999999999E-2</v>
      </c>
      <c r="X10035">
        <v>0.97416519999999995</v>
      </c>
      <c r="Y10035">
        <v>-0.34080359999999998</v>
      </c>
      <c r="Z10035">
        <v>-8.3918030000000005E-2</v>
      </c>
      <c r="AA10035">
        <v>0.93638169999999998</v>
      </c>
      <c r="AB10035">
        <v>32</v>
      </c>
      <c r="AC10035">
        <v>2.92360000000002</v>
      </c>
      <c r="AD10035">
        <v>-1.1177822922989999</v>
      </c>
      <c r="AE10035">
        <v>7.7533000000000003</v>
      </c>
      <c r="AF10035">
        <v>-2.8191359013264998</v>
      </c>
      <c r="AG10035">
        <v>-1.1177822922989999</v>
      </c>
      <c r="AH10035">
        <v>7.6342181432021698</v>
      </c>
      <c r="AI10035">
        <v>97.820731667078306</v>
      </c>
      <c r="AJ10035">
        <v>110.267993652195</v>
      </c>
      <c r="AK10035">
        <v>8.2145146625422907</v>
      </c>
      <c r="AL10035">
        <v>88.313690764366697</v>
      </c>
      <c r="AM10035">
        <v>102.944564181855</v>
      </c>
      <c r="AN10035">
        <v>1.0000000171236101</v>
      </c>
    </row>
    <row r="10036" spans="1:40" x14ac:dyDescent="0.25">
      <c r="A10036" t="str">
        <f>"20190312150916783"</f>
        <v>20190312150916783</v>
      </c>
      <c r="B10036" t="str">
        <f>"1552374556779447"</f>
        <v>1552374556779447</v>
      </c>
      <c r="C10036" t="s">
        <v>40</v>
      </c>
      <c r="D10036">
        <v>4.9568969999999997</v>
      </c>
      <c r="E10036">
        <v>0.45475919999999997</v>
      </c>
      <c r="F10036" t="s">
        <v>73</v>
      </c>
      <c r="G10036">
        <v>-192.5129</v>
      </c>
      <c r="H10036" s="1">
        <v>-6.3346780000000003E-6</v>
      </c>
      <c r="I10036">
        <v>-40.725830000000002</v>
      </c>
      <c r="J10036">
        <v>-195.40799999999999</v>
      </c>
      <c r="K10036">
        <v>1.1177729999999999</v>
      </c>
      <c r="L10036">
        <v>-48.498600000000003</v>
      </c>
      <c r="M10036">
        <v>0.6512175</v>
      </c>
      <c r="N10036">
        <v>0</v>
      </c>
      <c r="O10036">
        <v>0.75878730000000005</v>
      </c>
      <c r="P10036">
        <v>0.46551579999999898</v>
      </c>
      <c r="Q10036">
        <v>2.1839879999999999E-2</v>
      </c>
      <c r="R10036">
        <v>0.884770099999999</v>
      </c>
      <c r="S10036">
        <v>1.0778810000000001</v>
      </c>
      <c r="T10036">
        <v>-0.40077469999999998</v>
      </c>
      <c r="U10036">
        <v>2.8352659999999998</v>
      </c>
      <c r="V10036">
        <v>-0.22357299999999999</v>
      </c>
      <c r="W10036">
        <v>2.9850169999999999E-2</v>
      </c>
      <c r="X10036">
        <v>0.97423000000000004</v>
      </c>
      <c r="Y10036">
        <v>-0.34056629999999999</v>
      </c>
      <c r="Z10036">
        <v>-8.4561360000000002E-2</v>
      </c>
      <c r="AA10036">
        <v>0.93641010000000002</v>
      </c>
      <c r="AB10036">
        <v>32</v>
      </c>
      <c r="AC10036">
        <v>2.8950999999999798</v>
      </c>
      <c r="AD10036">
        <v>-1.1177793346779901</v>
      </c>
      <c r="AE10036">
        <v>7.7727700000000004</v>
      </c>
      <c r="AF10036">
        <v>-2.8141174126553801</v>
      </c>
      <c r="AG10036">
        <v>-1.1177793346779901</v>
      </c>
      <c r="AH10036">
        <v>7.6449918435215496</v>
      </c>
      <c r="AI10036">
        <v>97.812772823644906</v>
      </c>
      <c r="AJ10036">
        <v>110.208634244366</v>
      </c>
      <c r="AK10036">
        <v>8.2228089933279094</v>
      </c>
      <c r="AL10036">
        <v>88.289457162332695</v>
      </c>
      <c r="AM10036">
        <v>102.92483870250101</v>
      </c>
      <c r="AN10036">
        <v>1.00000000593901</v>
      </c>
    </row>
    <row r="10037" spans="1:40" x14ac:dyDescent="0.25">
      <c r="A10037" t="str">
        <f>"20190312150916801"</f>
        <v>20190312150916801</v>
      </c>
      <c r="B10037" t="str">
        <f>"1552374556789211"</f>
        <v>1552374556789211</v>
      </c>
      <c r="C10037" t="s">
        <v>40</v>
      </c>
      <c r="D10037">
        <v>4.8139620000000001</v>
      </c>
      <c r="E10037">
        <v>0.45505499999999999</v>
      </c>
      <c r="F10037" t="s">
        <v>73</v>
      </c>
      <c r="G10037">
        <v>-192.41130000000001</v>
      </c>
      <c r="H10037" s="1">
        <v>-6.3865289999999999E-6</v>
      </c>
      <c r="I10037">
        <v>-40.536799999999999</v>
      </c>
      <c r="J10037">
        <v>-195.25030000000001</v>
      </c>
      <c r="K10037">
        <v>1.1177760000000001</v>
      </c>
      <c r="L10037">
        <v>-48.304110000000001</v>
      </c>
      <c r="M10037">
        <v>0.64568289999999995</v>
      </c>
      <c r="N10037">
        <v>0</v>
      </c>
      <c r="O10037">
        <v>0.76350240000000003</v>
      </c>
      <c r="P10037">
        <v>0.45948260000000002</v>
      </c>
      <c r="Q10037">
        <v>2.192508E-2</v>
      </c>
      <c r="R10037">
        <v>0.88791609999999999</v>
      </c>
      <c r="S10037">
        <v>1.068344</v>
      </c>
      <c r="T10037">
        <v>-0.39849659999999998</v>
      </c>
      <c r="U10037">
        <v>2.8384399999999999</v>
      </c>
      <c r="V10037">
        <v>-0.22312080000000001</v>
      </c>
      <c r="W10037">
        <v>2.9947399999999999E-2</v>
      </c>
      <c r="X10037">
        <v>0.97433069999999999</v>
      </c>
      <c r="Y10037">
        <v>-0.33684069999999999</v>
      </c>
      <c r="Z10037">
        <v>-8.500974E-2</v>
      </c>
      <c r="AA10037">
        <v>0.9377162</v>
      </c>
      <c r="AB10037">
        <v>32</v>
      </c>
      <c r="AC10037">
        <v>2.8389999999999902</v>
      </c>
      <c r="AD10037">
        <v>-1.117782386529</v>
      </c>
      <c r="AE10037">
        <v>7.7673099999999904</v>
      </c>
      <c r="AF10037">
        <v>-2.79676626630215</v>
      </c>
      <c r="AG10037">
        <v>-1.117782386529</v>
      </c>
      <c r="AH10037">
        <v>7.6247686140338899</v>
      </c>
      <c r="AI10037">
        <v>97.836513633386701</v>
      </c>
      <c r="AJ10037">
        <v>110.143044757727</v>
      </c>
      <c r="AK10037">
        <v>8.1980751051400205</v>
      </c>
      <c r="AL10037">
        <v>88.283883835730705</v>
      </c>
      <c r="AM10037">
        <v>102.898283545232</v>
      </c>
      <c r="AN10037">
        <v>1.00000002556094</v>
      </c>
    </row>
    <row r="10038" spans="1:40" x14ac:dyDescent="0.25">
      <c r="A10038" t="str">
        <f>"20190312150916814"</f>
        <v>20190312150916814</v>
      </c>
      <c r="B10038" t="str">
        <f>"1552374556809703"</f>
        <v>1552374556809703</v>
      </c>
      <c r="C10038" t="s">
        <v>40</v>
      </c>
      <c r="D10038">
        <v>4.7813489999999996</v>
      </c>
      <c r="E10038">
        <v>0.45563340000000002</v>
      </c>
      <c r="F10038" t="s">
        <v>42</v>
      </c>
      <c r="G10038">
        <v>-192.29509999999999</v>
      </c>
      <c r="H10038" s="1">
        <v>-6.5541449999999998E-7</v>
      </c>
      <c r="I10038">
        <v>-40.306579999999997</v>
      </c>
      <c r="J10038">
        <v>-195.14160000000001</v>
      </c>
      <c r="K10038">
        <v>1.117774</v>
      </c>
      <c r="L10038">
        <v>-48.168239999999997</v>
      </c>
      <c r="M10038">
        <v>0.64181659999999996</v>
      </c>
      <c r="N10038">
        <v>0</v>
      </c>
      <c r="O10038">
        <v>0.76675519999999997</v>
      </c>
      <c r="P10038">
        <v>0.45546829999999999</v>
      </c>
      <c r="Q10038">
        <v>2.195167E-2</v>
      </c>
      <c r="R10038">
        <v>0.88998129999999998</v>
      </c>
      <c r="S10038">
        <v>1.0511170000000001</v>
      </c>
      <c r="T10038">
        <v>-0.39757239999999999</v>
      </c>
      <c r="U10038">
        <v>2.8445740000000002</v>
      </c>
      <c r="V10038">
        <v>-0.2225974</v>
      </c>
      <c r="W10038">
        <v>2.998934E-2</v>
      </c>
      <c r="X10038">
        <v>0.97444909999999996</v>
      </c>
      <c r="Y10038">
        <v>-0.33773910000000001</v>
      </c>
      <c r="Z10038">
        <v>-8.5290660000000004E-2</v>
      </c>
      <c r="AA10038">
        <v>0.93736750000000002</v>
      </c>
      <c r="AB10038">
        <v>32</v>
      </c>
      <c r="AC10038">
        <v>2.8465000000000198</v>
      </c>
      <c r="AD10038">
        <v>-1.1177746554144901</v>
      </c>
      <c r="AE10038">
        <v>7.8616599999999996</v>
      </c>
      <c r="AF10038">
        <v>-2.8131243576108802</v>
      </c>
      <c r="AG10038">
        <v>-1.1177746554144901</v>
      </c>
      <c r="AH10038">
        <v>7.7175889840934602</v>
      </c>
      <c r="AI10038">
        <v>97.749017012625799</v>
      </c>
      <c r="AJ10038">
        <v>110.02721210394</v>
      </c>
      <c r="AK10038">
        <v>8.2900101664033805</v>
      </c>
      <c r="AL10038">
        <v>88.281479736944405</v>
      </c>
      <c r="AM10038">
        <v>102.867523483239</v>
      </c>
      <c r="AN10038">
        <v>1.0000000057456</v>
      </c>
    </row>
    <row r="10039" spans="1:40" x14ac:dyDescent="0.25">
      <c r="A10039" t="str">
        <f>"20190312150916826"</f>
        <v>20190312150916826</v>
      </c>
      <c r="B10039" t="str">
        <f>"1552374556819463"</f>
        <v>1552374556819463</v>
      </c>
      <c r="C10039" t="s">
        <v>40</v>
      </c>
      <c r="D10039">
        <v>4.798476</v>
      </c>
      <c r="E10039">
        <v>0.45589760000000001</v>
      </c>
      <c r="F10039" t="s">
        <v>42</v>
      </c>
      <c r="G10039">
        <v>-192.2132</v>
      </c>
      <c r="H10039" s="1">
        <v>-6.9213809999999899E-7</v>
      </c>
      <c r="I10039">
        <v>-40.17015</v>
      </c>
      <c r="J10039">
        <v>-195.0333</v>
      </c>
      <c r="K10039">
        <v>1.117775</v>
      </c>
      <c r="L10039">
        <v>-48.03201</v>
      </c>
      <c r="M10039">
        <v>0.63793149999999998</v>
      </c>
      <c r="N10039">
        <v>0</v>
      </c>
      <c r="O10039">
        <v>0.76999059999999997</v>
      </c>
      <c r="P10039">
        <v>0.45128249999999998</v>
      </c>
      <c r="Q10039">
        <v>2.1777700000000001E-2</v>
      </c>
      <c r="R10039">
        <v>0.8921154</v>
      </c>
      <c r="S10039">
        <v>1.0424800000000001</v>
      </c>
      <c r="T10039">
        <v>-0.3979066</v>
      </c>
      <c r="U10039">
        <v>2.8471679999999999</v>
      </c>
      <c r="V10039">
        <v>-0.22224720000000001</v>
      </c>
      <c r="W10039">
        <v>2.982634E-2</v>
      </c>
      <c r="X10039">
        <v>0.97453400000000001</v>
      </c>
      <c r="Y10039">
        <v>-0.33578209999999997</v>
      </c>
      <c r="Z10039">
        <v>-8.5973430000000003E-2</v>
      </c>
      <c r="AA10039">
        <v>0.93800799999999995</v>
      </c>
      <c r="AB10039">
        <v>32</v>
      </c>
      <c r="AC10039">
        <v>2.8200999999999898</v>
      </c>
      <c r="AD10039">
        <v>-1.1177756921380999</v>
      </c>
      <c r="AE10039">
        <v>7.8618600000000001</v>
      </c>
      <c r="AF10039">
        <v>-2.7940609963879601</v>
      </c>
      <c r="AG10039">
        <v>-1.1177756921380999</v>
      </c>
      <c r="AH10039">
        <v>7.7150338780893497</v>
      </c>
      <c r="AI10039">
        <v>97.757337530174794</v>
      </c>
      <c r="AJ10039">
        <v>109.908257873208</v>
      </c>
      <c r="AK10039">
        <v>8.2811802956787393</v>
      </c>
      <c r="AL10039">
        <v>88.2908230723218</v>
      </c>
      <c r="AM10039">
        <v>102.84686989898699</v>
      </c>
      <c r="AN10039">
        <v>0.99999997281081698</v>
      </c>
    </row>
    <row r="10040" spans="1:40" x14ac:dyDescent="0.25">
      <c r="A10040" t="str">
        <f>"20190312150916838"</f>
        <v>20190312150916838</v>
      </c>
      <c r="B10040" t="str">
        <f>"1552374556829223"</f>
        <v>1552374556829223</v>
      </c>
      <c r="C10040" t="s">
        <v>40</v>
      </c>
      <c r="D10040">
        <v>5.0326969999999998</v>
      </c>
      <c r="E10040">
        <v>0.45589760000000001</v>
      </c>
      <c r="F10040" t="s">
        <v>42</v>
      </c>
      <c r="G10040">
        <v>-192.14570000000001</v>
      </c>
      <c r="H10040" s="1">
        <v>-7.2815980000000005E-7</v>
      </c>
      <c r="I10040">
        <v>-40.044319999999999</v>
      </c>
      <c r="J10040">
        <v>-194.92259999999999</v>
      </c>
      <c r="K10040">
        <v>1.1177820000000001</v>
      </c>
      <c r="L10040">
        <v>-47.890659999999997</v>
      </c>
      <c r="M10040">
        <v>0.63390669999999905</v>
      </c>
      <c r="N10040">
        <v>0</v>
      </c>
      <c r="O10040">
        <v>0.77330739999999998</v>
      </c>
      <c r="P10040">
        <v>0.44695940000000001</v>
      </c>
      <c r="Q10040">
        <v>2.131249E-2</v>
      </c>
      <c r="R10040">
        <v>0.89430030000000005</v>
      </c>
      <c r="S10040">
        <v>1.030716</v>
      </c>
      <c r="T10040">
        <v>-0.3989798</v>
      </c>
      <c r="U10040">
        <v>2.8511350000000002</v>
      </c>
      <c r="V10040">
        <v>-0.2218793</v>
      </c>
      <c r="W10040">
        <v>2.9373059999999999E-2</v>
      </c>
      <c r="X10040">
        <v>0.97463160000000004</v>
      </c>
      <c r="Y10040">
        <v>-0.33473199999999997</v>
      </c>
      <c r="Z10040">
        <v>-8.6780300000000005E-2</v>
      </c>
      <c r="AA10040">
        <v>0.93830899999999995</v>
      </c>
      <c r="AB10040">
        <v>32</v>
      </c>
      <c r="AC10040">
        <v>2.7768999999999799</v>
      </c>
      <c r="AD10040">
        <v>-1.1177827281598001</v>
      </c>
      <c r="AE10040">
        <v>7.8463399999999899</v>
      </c>
      <c r="AF10040">
        <v>-2.7765958678579801</v>
      </c>
      <c r="AG10040">
        <v>-1.1177827281598001</v>
      </c>
      <c r="AH10040">
        <v>7.6898554751561301</v>
      </c>
      <c r="AI10040">
        <v>97.785143214745403</v>
      </c>
      <c r="AJ10040">
        <v>109.85326076585601</v>
      </c>
      <c r="AK10040">
        <v>8.2518361635194299</v>
      </c>
      <c r="AL10040">
        <v>88.316805497685294</v>
      </c>
      <c r="AM10040">
        <v>102.82506565469301</v>
      </c>
      <c r="AN10040">
        <v>0.99999997807040597</v>
      </c>
    </row>
    <row r="10041" spans="1:40" x14ac:dyDescent="0.25">
      <c r="A10041" t="str">
        <f>"20190312150916857"</f>
        <v>20190312150916857</v>
      </c>
      <c r="B10041" t="str">
        <f>"1552374556848743"</f>
        <v>1552374556848743</v>
      </c>
      <c r="C10041" t="s">
        <v>40</v>
      </c>
      <c r="D10041">
        <v>4.7938879999999999</v>
      </c>
      <c r="E10041">
        <v>0.4664586</v>
      </c>
      <c r="F10041" t="s">
        <v>42</v>
      </c>
      <c r="G10041">
        <v>-192.08349999999999</v>
      </c>
      <c r="H10041" s="1">
        <v>-7.6678769999999997E-7</v>
      </c>
      <c r="I10041">
        <v>-39.915709999999997</v>
      </c>
      <c r="J10041">
        <v>-194.7654</v>
      </c>
      <c r="K10041">
        <v>1.117788</v>
      </c>
      <c r="L10041">
        <v>-47.687649999999998</v>
      </c>
      <c r="M10041">
        <v>0.62811539999999999</v>
      </c>
      <c r="N10041">
        <v>0</v>
      </c>
      <c r="O10041">
        <v>0.77801849999999995</v>
      </c>
      <c r="P10041">
        <v>0.44133800000000001</v>
      </c>
      <c r="Q10041">
        <v>2.0971070000000001E-2</v>
      </c>
      <c r="R10041">
        <v>0.89709589999999995</v>
      </c>
      <c r="S10041">
        <v>1.0167389999999901</v>
      </c>
      <c r="T10041">
        <v>-0.40029999999999999</v>
      </c>
      <c r="U10041">
        <v>2.855988</v>
      </c>
      <c r="V10041">
        <v>-0.22071789999999999</v>
      </c>
      <c r="W10041">
        <v>2.9063249999999999E-2</v>
      </c>
      <c r="X10041">
        <v>0.97490460000000001</v>
      </c>
      <c r="Y10041">
        <v>-0.3323081</v>
      </c>
      <c r="Z10041">
        <v>-8.7922449999999999E-2</v>
      </c>
      <c r="AA10041">
        <v>0.93906389999999995</v>
      </c>
      <c r="AB10041">
        <v>32</v>
      </c>
      <c r="AC10041">
        <v>2.6819000000000099</v>
      </c>
      <c r="AD10041">
        <v>-1.1177887667877</v>
      </c>
      <c r="AE10041">
        <v>7.7719399999999998</v>
      </c>
      <c r="AF10041">
        <v>-2.7445968921358102</v>
      </c>
      <c r="AG10041">
        <v>-1.1177887667877</v>
      </c>
      <c r="AH10041">
        <v>7.5915439672236298</v>
      </c>
      <c r="AI10041">
        <v>97.883597234667107</v>
      </c>
      <c r="AJ10041">
        <v>109.876616984945</v>
      </c>
      <c r="AK10041">
        <v>8.1494664631353508</v>
      </c>
      <c r="AL10041">
        <v>88.334563957723205</v>
      </c>
      <c r="AM10041">
        <v>102.75668145630399</v>
      </c>
      <c r="AN10041">
        <v>1.00000002149106</v>
      </c>
    </row>
    <row r="10042" spans="1:40" x14ac:dyDescent="0.25">
      <c r="A10042" t="str">
        <f>"20190312150916869"</f>
        <v>20190312150916869</v>
      </c>
      <c r="B10042" t="str">
        <f>"1552374556859479"</f>
        <v>1552374556859479</v>
      </c>
      <c r="C10042" t="s">
        <v>40</v>
      </c>
      <c r="D10042">
        <v>4.7736739999999998</v>
      </c>
      <c r="E10042">
        <v>0.46646599999999999</v>
      </c>
      <c r="F10042" t="s">
        <v>73</v>
      </c>
      <c r="G10042">
        <v>-192.12739999999999</v>
      </c>
      <c r="H10042" s="1">
        <v>-6.2876509999999899E-6</v>
      </c>
      <c r="I10042">
        <v>-40.736800000000002</v>
      </c>
      <c r="J10042">
        <v>-194.66489999999999</v>
      </c>
      <c r="K10042">
        <v>1.117793</v>
      </c>
      <c r="L10042">
        <v>-47.556399999999996</v>
      </c>
      <c r="M10042">
        <v>0.62436740000000002</v>
      </c>
      <c r="N10042">
        <v>0</v>
      </c>
      <c r="O10042">
        <v>0.78102950000000004</v>
      </c>
      <c r="P10042">
        <v>0.43746859999999999</v>
      </c>
      <c r="Q10042">
        <v>2.1136760000000001E-2</v>
      </c>
      <c r="R10042">
        <v>0.89898519999999904</v>
      </c>
      <c r="S10042">
        <v>1.072845</v>
      </c>
      <c r="T10042">
        <v>-0.45461049999999997</v>
      </c>
      <c r="U10042">
        <v>2.8269350000000002</v>
      </c>
      <c r="V10042">
        <v>-0.22023229999999999</v>
      </c>
      <c r="W10042">
        <v>2.9242939999999999E-2</v>
      </c>
      <c r="X10042">
        <v>0.97500900000000001</v>
      </c>
      <c r="Y10042">
        <v>-0.30879179999999901</v>
      </c>
      <c r="Z10042">
        <v>-0.1016304</v>
      </c>
      <c r="AA10042">
        <v>0.94568439999999998</v>
      </c>
      <c r="AB10042">
        <v>32</v>
      </c>
      <c r="AC10042">
        <v>2.5374999999999899</v>
      </c>
      <c r="AD10042">
        <v>-1.1177992876509999</v>
      </c>
      <c r="AE10042">
        <v>6.8195999999999897</v>
      </c>
      <c r="AF10042">
        <v>-2.2237745894588801</v>
      </c>
      <c r="AG10042">
        <v>-1.1177992876509999</v>
      </c>
      <c r="AH10042">
        <v>6.75185029792957</v>
      </c>
      <c r="AI10042">
        <v>98.936319986768197</v>
      </c>
      <c r="AJ10042">
        <v>108.229701981768</v>
      </c>
      <c r="AK10042">
        <v>7.1959802054930497</v>
      </c>
      <c r="AL10042">
        <v>88.324264036572799</v>
      </c>
      <c r="AM10042">
        <v>102.72821238989999</v>
      </c>
      <c r="AN10042">
        <v>0.99999998279206603</v>
      </c>
    </row>
    <row r="10043" spans="1:40" x14ac:dyDescent="0.25">
      <c r="A10043" t="str">
        <f>"20190312150916880"</f>
        <v>20190312150916880</v>
      </c>
      <c r="B10043" t="str">
        <f>"1552374556869239"</f>
        <v>1552374556869239</v>
      </c>
      <c r="C10043" t="s">
        <v>40</v>
      </c>
      <c r="D10043">
        <v>4.7483199999999997</v>
      </c>
      <c r="E10043">
        <v>0.46656609999999998</v>
      </c>
      <c r="F10043" t="s">
        <v>73</v>
      </c>
      <c r="G10043">
        <v>-192.05709999999999</v>
      </c>
      <c r="H10043" s="1">
        <v>-6.327341E-6</v>
      </c>
      <c r="I10043">
        <v>-40.594580000000001</v>
      </c>
      <c r="J10043">
        <v>-194.56049999999999</v>
      </c>
      <c r="K10043">
        <v>1.117799</v>
      </c>
      <c r="L10043">
        <v>-47.418520000000001</v>
      </c>
      <c r="M10043">
        <v>0.62042589999999997</v>
      </c>
      <c r="N10043">
        <v>0</v>
      </c>
      <c r="O10043">
        <v>0.78416399999999997</v>
      </c>
      <c r="P10043">
        <v>0.43333939999999999</v>
      </c>
      <c r="Q10043">
        <v>2.1539510000000001E-2</v>
      </c>
      <c r="R10043">
        <v>0.90097340000000004</v>
      </c>
      <c r="S10043">
        <v>1.0606990000000001</v>
      </c>
      <c r="T10043">
        <v>-0.45465149999999999</v>
      </c>
      <c r="U10043">
        <v>2.8316349999999999</v>
      </c>
      <c r="V10043">
        <v>-0.21979770000000001</v>
      </c>
      <c r="W10043">
        <v>2.9658090000000002E-2</v>
      </c>
      <c r="X10043">
        <v>0.97509460000000003</v>
      </c>
      <c r="Y10043">
        <v>-0.30809189999999997</v>
      </c>
      <c r="Z10043">
        <v>-0.1022276</v>
      </c>
      <c r="AA10043">
        <v>0.94584820000000003</v>
      </c>
      <c r="AB10043">
        <v>32</v>
      </c>
      <c r="AC10043">
        <v>2.5033999999999899</v>
      </c>
      <c r="AD10043">
        <v>-1.117805327341</v>
      </c>
      <c r="AE10043">
        <v>6.8239399999999897</v>
      </c>
      <c r="AF10043">
        <v>-2.2183887230814201</v>
      </c>
      <c r="AG10043">
        <v>-1.117805327341</v>
      </c>
      <c r="AH10043">
        <v>6.74528559277518</v>
      </c>
      <c r="AI10043">
        <v>98.946173086925697</v>
      </c>
      <c r="AJ10043">
        <v>108.20499520919699</v>
      </c>
      <c r="AK10043">
        <v>7.1881579702053804</v>
      </c>
      <c r="AL10043">
        <v>88.300467493979596</v>
      </c>
      <c r="AM10043">
        <v>102.702831790831</v>
      </c>
      <c r="AN10043">
        <v>1.00000005508844</v>
      </c>
    </row>
    <row r="10044" spans="1:40" x14ac:dyDescent="0.25">
      <c r="A10044" t="str">
        <f>"20190312150916894"</f>
        <v>20190312150916894</v>
      </c>
      <c r="B10044" t="str">
        <f>"1552374556888760"</f>
        <v>1552374556888760</v>
      </c>
      <c r="C10044" t="s">
        <v>40</v>
      </c>
      <c r="D10044">
        <v>4.7582009999999997</v>
      </c>
      <c r="E10044">
        <v>0.46700520000000001</v>
      </c>
      <c r="F10044" t="s">
        <v>73</v>
      </c>
      <c r="G10044">
        <v>-192.00479999999999</v>
      </c>
      <c r="H10044" s="1">
        <v>-6.351917E-6</v>
      </c>
      <c r="I10044">
        <v>-40.503599999999999</v>
      </c>
      <c r="J10044">
        <v>-194.44649999999999</v>
      </c>
      <c r="K10044">
        <v>1.1178079999999999</v>
      </c>
      <c r="L10044">
        <v>-47.26605</v>
      </c>
      <c r="M10044">
        <v>0.61606559999999999</v>
      </c>
      <c r="N10044">
        <v>0</v>
      </c>
      <c r="O10044">
        <v>0.78759409999999996</v>
      </c>
      <c r="P10044">
        <v>0.42862479999999997</v>
      </c>
      <c r="Q10044">
        <v>2.1985709999999999E-2</v>
      </c>
      <c r="R10044">
        <v>0.90321510000000005</v>
      </c>
      <c r="S10044">
        <v>1.048325</v>
      </c>
      <c r="T10044">
        <v>-0.45852229999999999</v>
      </c>
      <c r="U10044">
        <v>2.836487</v>
      </c>
      <c r="V10044">
        <v>-0.2194855</v>
      </c>
      <c r="W10044">
        <v>3.011374E-2</v>
      </c>
      <c r="X10044">
        <v>0.97515090000000004</v>
      </c>
      <c r="Y10044">
        <v>-0.30702560000000001</v>
      </c>
      <c r="Z10044">
        <v>-0.1037425</v>
      </c>
      <c r="AA10044">
        <v>0.94603000000000004</v>
      </c>
      <c r="AB10044">
        <v>32</v>
      </c>
      <c r="AC10044">
        <v>2.4416999999999902</v>
      </c>
      <c r="AD10044">
        <v>-1.1178143519169901</v>
      </c>
      <c r="AE10044">
        <v>6.7624500000000003</v>
      </c>
      <c r="AF10044">
        <v>-2.1902791186025699</v>
      </c>
      <c r="AG10044">
        <v>-1.1178143519169901</v>
      </c>
      <c r="AH10044">
        <v>6.6696373904330004</v>
      </c>
      <c r="AI10044">
        <v>99.047323488520703</v>
      </c>
      <c r="AJ10044">
        <v>108.179949100192</v>
      </c>
      <c r="AK10044">
        <v>7.1085085962246701</v>
      </c>
      <c r="AL10044">
        <v>88.274348911304799</v>
      </c>
      <c r="AM10044">
        <v>102.68466431003</v>
      </c>
      <c r="AN10044">
        <v>0.99999999990892297</v>
      </c>
    </row>
    <row r="10045" spans="1:40" x14ac:dyDescent="0.25">
      <c r="A10045" t="str">
        <f>"20190312150916907"</f>
        <v>20190312150916907</v>
      </c>
      <c r="B10045" t="str">
        <f>"1552374556899495"</f>
        <v>1552374556899495</v>
      </c>
      <c r="C10045" t="s">
        <v>40</v>
      </c>
      <c r="D10045">
        <v>4.9785779999999997</v>
      </c>
      <c r="E10045">
        <v>0.46743669999999998</v>
      </c>
      <c r="F10045" t="s">
        <v>42</v>
      </c>
      <c r="G10045">
        <v>-191.9314</v>
      </c>
      <c r="H10045" s="1">
        <v>-5.2989210000000004E-7</v>
      </c>
      <c r="I10045">
        <v>-40.373609999999999</v>
      </c>
      <c r="J10045">
        <v>-194.3477</v>
      </c>
      <c r="K10045">
        <v>1.1178189999999999</v>
      </c>
      <c r="L10045">
        <v>-47.132869999999997</v>
      </c>
      <c r="M10045">
        <v>0.61224789999999996</v>
      </c>
      <c r="N10045">
        <v>0</v>
      </c>
      <c r="O10045">
        <v>0.79056539999999997</v>
      </c>
      <c r="P10045">
        <v>0.42437649999999999</v>
      </c>
      <c r="Q10045">
        <v>2.224607E-2</v>
      </c>
      <c r="R10045">
        <v>0.90521249999999998</v>
      </c>
      <c r="S10045">
        <v>1.0366059999999999</v>
      </c>
      <c r="T10045">
        <v>-0.46071089999999998</v>
      </c>
      <c r="U10045">
        <v>2.8407589999999998</v>
      </c>
      <c r="V10045">
        <v>-0.21935070000000001</v>
      </c>
      <c r="W10045">
        <v>3.0379219999999998E-2</v>
      </c>
      <c r="X10045">
        <v>0.97517299999999996</v>
      </c>
      <c r="Y10045">
        <v>-0.30635990000000002</v>
      </c>
      <c r="Z10045">
        <v>-0.1047985</v>
      </c>
      <c r="AA10045">
        <v>0.94612940000000001</v>
      </c>
      <c r="AB10045">
        <v>32</v>
      </c>
      <c r="AC10045">
        <v>2.4163000000000001</v>
      </c>
      <c r="AD10045">
        <v>-1.1178195298921001</v>
      </c>
      <c r="AE10045">
        <v>6.7592600000000003</v>
      </c>
      <c r="AF10045">
        <v>-2.1755196787912898</v>
      </c>
      <c r="AG10045">
        <v>-1.1178195298921001</v>
      </c>
      <c r="AH10045">
        <v>6.6619986057194396</v>
      </c>
      <c r="AI10045">
        <v>99.062412513669699</v>
      </c>
      <c r="AJ10045">
        <v>108.08479140285</v>
      </c>
      <c r="AK10045">
        <v>7.0968043369409699</v>
      </c>
      <c r="AL10045">
        <v>88.259131070942701</v>
      </c>
      <c r="AM10045">
        <v>102.67684768848601</v>
      </c>
      <c r="AN10045">
        <v>1.00000000326364</v>
      </c>
    </row>
    <row r="10046" spans="1:40" x14ac:dyDescent="0.25">
      <c r="A10046" t="str">
        <f>"20190312150916925"</f>
        <v>20190312150916925</v>
      </c>
      <c r="B10046" t="str">
        <f>"1552374556919015"</f>
        <v>1552374556919015</v>
      </c>
      <c r="C10046" t="s">
        <v>40</v>
      </c>
      <c r="D10046">
        <v>4.7422820000000003</v>
      </c>
      <c r="E10046">
        <v>0.46837699999999999</v>
      </c>
      <c r="F10046" t="s">
        <v>42</v>
      </c>
      <c r="G10046">
        <v>-191.81790000000001</v>
      </c>
      <c r="H10046" s="1">
        <v>-6.0601160000000005E-7</v>
      </c>
      <c r="I10046">
        <v>-40.12576</v>
      </c>
      <c r="J10046">
        <v>-194.19659999999999</v>
      </c>
      <c r="K10046">
        <v>1.117834</v>
      </c>
      <c r="L10046">
        <v>-46.926360000000003</v>
      </c>
      <c r="M10046">
        <v>0.60631979999999996</v>
      </c>
      <c r="N10046">
        <v>0</v>
      </c>
      <c r="O10046">
        <v>0.79512090000000002</v>
      </c>
      <c r="P10046">
        <v>0.41778149999999997</v>
      </c>
      <c r="Q10046">
        <v>2.2336789999999999E-2</v>
      </c>
      <c r="R10046">
        <v>0.90827290000000005</v>
      </c>
      <c r="S10046">
        <v>1.0267489999999999</v>
      </c>
      <c r="T10046">
        <v>-0.4536828</v>
      </c>
      <c r="U10046">
        <v>2.8439329999999998</v>
      </c>
      <c r="V10046">
        <v>-0.21915390000000001</v>
      </c>
      <c r="W10046">
        <v>3.0475970000000002E-2</v>
      </c>
      <c r="X10046">
        <v>0.97521420000000003</v>
      </c>
      <c r="Y10046">
        <v>-0.3024481</v>
      </c>
      <c r="Z10046">
        <v>-0.1042434</v>
      </c>
      <c r="AA10046">
        <v>0.94744839999999997</v>
      </c>
      <c r="AB10046">
        <v>32</v>
      </c>
      <c r="AC10046">
        <v>2.3786999999999798</v>
      </c>
      <c r="AD10046">
        <v>-1.1178346060116</v>
      </c>
      <c r="AE10046">
        <v>6.8005999999999904</v>
      </c>
      <c r="AF10046">
        <v>-2.17968969518911</v>
      </c>
      <c r="AG10046">
        <v>-1.1178346060116</v>
      </c>
      <c r="AH10046">
        <v>6.6890693702701602</v>
      </c>
      <c r="AI10046">
        <v>99.028289182650695</v>
      </c>
      <c r="AJ10046">
        <v>108.04863639952499</v>
      </c>
      <c r="AK10046">
        <v>7.1234998711305604</v>
      </c>
      <c r="AL10046">
        <v>88.253585089197003</v>
      </c>
      <c r="AM10046">
        <v>102.66532335737</v>
      </c>
      <c r="AN10046">
        <v>0.99999997625714498</v>
      </c>
    </row>
    <row r="10047" spans="1:40" x14ac:dyDescent="0.25">
      <c r="A10047" t="str">
        <f>"20190312150916948"</f>
        <v>20190312150916948</v>
      </c>
      <c r="B10047" t="str">
        <f>"1552374556939511"</f>
        <v>1552374556939511</v>
      </c>
      <c r="C10047" t="s">
        <v>40</v>
      </c>
      <c r="D10047">
        <v>4.7673360000000002</v>
      </c>
      <c r="E10047">
        <v>0.46913280000000002</v>
      </c>
      <c r="F10047" t="s">
        <v>42</v>
      </c>
      <c r="G10047">
        <v>-191.64760000000001</v>
      </c>
      <c r="H10047" s="1">
        <v>-7.1746759999999895E-7</v>
      </c>
      <c r="I10047">
        <v>-39.760309999999997</v>
      </c>
      <c r="J10047">
        <v>-194.0104</v>
      </c>
      <c r="K10047">
        <v>1.1178509999999999</v>
      </c>
      <c r="L10047">
        <v>-46.666809999999998</v>
      </c>
      <c r="M10047">
        <v>0.59885250000000001</v>
      </c>
      <c r="N10047">
        <v>0</v>
      </c>
      <c r="O10047">
        <v>0.80075989999999997</v>
      </c>
      <c r="P10047">
        <v>0.40927730000000001</v>
      </c>
      <c r="Q10047">
        <v>2.2499080000000001E-2</v>
      </c>
      <c r="R10047">
        <v>0.91213259999999996</v>
      </c>
      <c r="S10047">
        <v>1.0130459999999999</v>
      </c>
      <c r="T10047">
        <v>-0.44424960000000002</v>
      </c>
      <c r="U10047">
        <v>2.847931</v>
      </c>
      <c r="V10047">
        <v>-0.21914110000000001</v>
      </c>
      <c r="W10047">
        <v>3.0638970000000001E-2</v>
      </c>
      <c r="X10047">
        <v>0.97521199999999997</v>
      </c>
      <c r="Y10047">
        <v>-0.29794419999999999</v>
      </c>
      <c r="Z10047">
        <v>-0.1033394</v>
      </c>
      <c r="AA10047">
        <v>0.94897319999999996</v>
      </c>
      <c r="AB10047">
        <v>32</v>
      </c>
      <c r="AC10047">
        <v>2.3627999999999898</v>
      </c>
      <c r="AD10047">
        <v>-1.1178517174675999</v>
      </c>
      <c r="AE10047">
        <v>6.9065000000000003</v>
      </c>
      <c r="AF10047">
        <v>-2.1926945398244202</v>
      </c>
      <c r="AG10047">
        <v>-1.1178517174675999</v>
      </c>
      <c r="AH10047">
        <v>6.7868047038208497</v>
      </c>
      <c r="AI10047">
        <v>98.907646107269997</v>
      </c>
      <c r="AJ10047">
        <v>107.90471168301799</v>
      </c>
      <c r="AK10047">
        <v>7.2192949721580097</v>
      </c>
      <c r="AL10047">
        <v>88.244241566796603</v>
      </c>
      <c r="AM10047">
        <v>102.664635130802</v>
      </c>
      <c r="AN10047">
        <v>1.00000000656793</v>
      </c>
    </row>
    <row r="10048" spans="1:40" x14ac:dyDescent="0.25">
      <c r="A10048" t="str">
        <f>"20190312150916962"</f>
        <v>20190312150916962</v>
      </c>
      <c r="B10048" t="str">
        <f>"1552374556959031"</f>
        <v>1552374556959031</v>
      </c>
      <c r="C10048" t="s">
        <v>40</v>
      </c>
      <c r="D10048">
        <v>4.7626549999999996</v>
      </c>
      <c r="E10048">
        <v>0.46965859999999898</v>
      </c>
      <c r="F10048" t="s">
        <v>42</v>
      </c>
      <c r="G10048">
        <v>-191.48400000000001</v>
      </c>
      <c r="H10048" s="1">
        <v>-8.3118309999999998E-7</v>
      </c>
      <c r="I10048">
        <v>-39.393770000000004</v>
      </c>
      <c r="J10048">
        <v>-193.88910000000001</v>
      </c>
      <c r="K10048">
        <v>1.117866</v>
      </c>
      <c r="L10048">
        <v>-46.495179999999998</v>
      </c>
      <c r="M10048">
        <v>0.59389999999999998</v>
      </c>
      <c r="N10048">
        <v>0</v>
      </c>
      <c r="O10048">
        <v>0.80443980000000004</v>
      </c>
      <c r="P10048">
        <v>0.403889</v>
      </c>
      <c r="Q10048">
        <v>2.232452E-2</v>
      </c>
      <c r="R10048">
        <v>0.91453549999999995</v>
      </c>
      <c r="S10048">
        <v>0.99168400000000001</v>
      </c>
      <c r="T10048">
        <v>-0.43878109999999998</v>
      </c>
      <c r="U10048">
        <v>2.8548279999999999</v>
      </c>
      <c r="V10048">
        <v>-0.21887760000000001</v>
      </c>
      <c r="W10048">
        <v>3.0470250000000001E-2</v>
      </c>
      <c r="X10048">
        <v>0.97527649999999999</v>
      </c>
      <c r="Y10048">
        <v>-0.29906260000000001</v>
      </c>
      <c r="Z10048">
        <v>-0.10269259999999999</v>
      </c>
      <c r="AA10048">
        <v>0.94869159999999997</v>
      </c>
      <c r="AB10048">
        <v>32</v>
      </c>
      <c r="AC10048">
        <v>2.4051</v>
      </c>
      <c r="AD10048">
        <v>-1.1178668311830999</v>
      </c>
      <c r="AE10048">
        <v>7.1014099999999898</v>
      </c>
      <c r="AF10048">
        <v>-2.2333057102620302</v>
      </c>
      <c r="AG10048">
        <v>-1.1178668311830999</v>
      </c>
      <c r="AH10048">
        <v>6.9863120435775601</v>
      </c>
      <c r="AI10048">
        <v>98.665777006297006</v>
      </c>
      <c r="AJ10048">
        <v>107.727454227191</v>
      </c>
      <c r="AK10048">
        <v>7.4192881476584498</v>
      </c>
      <c r="AL10048">
        <v>88.253913094601202</v>
      </c>
      <c r="AM10048">
        <v>102.649087560757</v>
      </c>
      <c r="AN10048">
        <v>1.0000000456845299</v>
      </c>
    </row>
    <row r="10049" spans="1:40" x14ac:dyDescent="0.25">
      <c r="A10049" t="str">
        <f>"20190312150916981"</f>
        <v>20190312150916981</v>
      </c>
      <c r="B10049" t="str">
        <f>"1552374556969767"</f>
        <v>1552374556969767</v>
      </c>
      <c r="C10049" t="s">
        <v>40</v>
      </c>
      <c r="D10049">
        <v>4.7824540000000004</v>
      </c>
      <c r="E10049">
        <v>0.46998010000000001</v>
      </c>
      <c r="F10049" t="s">
        <v>42</v>
      </c>
      <c r="G10049">
        <v>-191.37780000000001</v>
      </c>
      <c r="H10049" s="1">
        <v>-9.044639E-7</v>
      </c>
      <c r="I10049">
        <v>-39.157110000000003</v>
      </c>
      <c r="J10049">
        <v>-193.74629999999999</v>
      </c>
      <c r="K10049">
        <v>1.117875</v>
      </c>
      <c r="L10049">
        <v>-46.289790000000004</v>
      </c>
      <c r="M10049">
        <v>0.5879624</v>
      </c>
      <c r="N10049">
        <v>0</v>
      </c>
      <c r="O10049">
        <v>0.80878950000000005</v>
      </c>
      <c r="P10049">
        <v>0.39743640000000002</v>
      </c>
      <c r="Q10049">
        <v>2.2604740000000002E-2</v>
      </c>
      <c r="R10049">
        <v>0.91735129999999998</v>
      </c>
      <c r="S10049">
        <v>0.97839359999999997</v>
      </c>
      <c r="T10049">
        <v>-0.4355173</v>
      </c>
      <c r="U10049">
        <v>2.8588870000000002</v>
      </c>
      <c r="V10049">
        <v>-0.2185716</v>
      </c>
      <c r="W10049">
        <v>3.075669E-2</v>
      </c>
      <c r="X10049">
        <v>0.97533610000000004</v>
      </c>
      <c r="Y10049">
        <v>-0.2963943</v>
      </c>
      <c r="Z10049">
        <v>-0.1028263</v>
      </c>
      <c r="AA10049">
        <v>0.94951419999999997</v>
      </c>
      <c r="AB10049">
        <v>32</v>
      </c>
      <c r="AC10049">
        <v>2.3684999999999801</v>
      </c>
      <c r="AD10049">
        <v>-1.1178759044638999</v>
      </c>
      <c r="AE10049">
        <v>7.1326799999999997</v>
      </c>
      <c r="AF10049">
        <v>-2.22899837631256</v>
      </c>
      <c r="AG10049">
        <v>-1.1178759044638999</v>
      </c>
      <c r="AH10049">
        <v>7.0069785620900404</v>
      </c>
      <c r="AI10049">
        <v>98.644511002770003</v>
      </c>
      <c r="AJ10049">
        <v>107.646450121626</v>
      </c>
      <c r="AK10049">
        <v>7.4374611843675797</v>
      </c>
      <c r="AL10049">
        <v>88.237493538970796</v>
      </c>
      <c r="AM10049">
        <v>102.63122434701</v>
      </c>
      <c r="AN10049">
        <v>1.0000000131347599</v>
      </c>
    </row>
    <row r="10050" spans="1:40" x14ac:dyDescent="0.25">
      <c r="A10050" t="str">
        <f>"20190312150916996"</f>
        <v>20190312150916996</v>
      </c>
      <c r="B10050" t="str">
        <f>"1552374556989287"</f>
        <v>1552374556989287</v>
      </c>
      <c r="C10050" t="s">
        <v>40</v>
      </c>
      <c r="D10050">
        <v>4.7878319999999999</v>
      </c>
      <c r="E10050">
        <v>0.47029500000000002</v>
      </c>
      <c r="F10050" t="s">
        <v>42</v>
      </c>
      <c r="G10050">
        <v>-191.25989999999999</v>
      </c>
      <c r="H10050" s="1">
        <v>-9.9335359999999991E-7</v>
      </c>
      <c r="I10050">
        <v>-38.876759999999997</v>
      </c>
      <c r="J10050">
        <v>-193.63069999999999</v>
      </c>
      <c r="K10050">
        <v>1.1178859999999999</v>
      </c>
      <c r="L10050">
        <v>-46.121090000000002</v>
      </c>
      <c r="M10050">
        <v>0.58307419999999899</v>
      </c>
      <c r="N10050">
        <v>0</v>
      </c>
      <c r="O10050">
        <v>0.8123205</v>
      </c>
      <c r="P10050">
        <v>0.39200879999999999</v>
      </c>
      <c r="Q10050">
        <v>2.266365E-2</v>
      </c>
      <c r="R10050">
        <v>0.91968229999999995</v>
      </c>
      <c r="S10050">
        <v>0.96083070000000004</v>
      </c>
      <c r="T10050">
        <v>-0.43198629999999999</v>
      </c>
      <c r="U10050">
        <v>2.864655</v>
      </c>
      <c r="V10050">
        <v>-0.2184545</v>
      </c>
      <c r="W10050">
        <v>3.08177E-2</v>
      </c>
      <c r="X10050">
        <v>0.97536040000000002</v>
      </c>
      <c r="Y10050">
        <v>-0.29642610000000003</v>
      </c>
      <c r="Z10050">
        <v>-0.10261389999999999</v>
      </c>
      <c r="AA10050">
        <v>0.94952720000000002</v>
      </c>
      <c r="AB10050">
        <v>32</v>
      </c>
      <c r="AC10050">
        <v>2.3708</v>
      </c>
      <c r="AD10050">
        <v>-1.1178869933536</v>
      </c>
      <c r="AE10050">
        <v>7.2443299999999997</v>
      </c>
      <c r="AF10050">
        <v>-2.24992351262964</v>
      </c>
      <c r="AG10050">
        <v>-1.1178869933536</v>
      </c>
      <c r="AH10050">
        <v>7.1146254625368002</v>
      </c>
      <c r="AI10050">
        <v>98.520259503644795</v>
      </c>
      <c r="AJ10050">
        <v>107.548996526373</v>
      </c>
      <c r="AK10050">
        <v>7.5451787662566296</v>
      </c>
      <c r="AL10050">
        <v>88.233996250494599</v>
      </c>
      <c r="AM10050">
        <v>102.624369678013</v>
      </c>
      <c r="AN10050">
        <v>1.0000000045458499</v>
      </c>
    </row>
    <row r="10051" spans="1:40" x14ac:dyDescent="0.25">
      <c r="A10051" t="str">
        <f>"20190312150917013"</f>
        <v>20190312150917013</v>
      </c>
      <c r="B10051" t="str">
        <f>"1552374557009783"</f>
        <v>1552374557009783</v>
      </c>
      <c r="C10051" t="s">
        <v>40</v>
      </c>
      <c r="D10051">
        <v>5.0614059999999998</v>
      </c>
      <c r="E10051">
        <v>0.47035090000000002</v>
      </c>
      <c r="F10051" t="s">
        <v>42</v>
      </c>
      <c r="G10051">
        <v>-191.1772</v>
      </c>
      <c r="H10051" s="1">
        <v>-1.0554619999999999E-6</v>
      </c>
      <c r="I10051">
        <v>-38.680680000000002</v>
      </c>
      <c r="J10051">
        <v>-193.4871</v>
      </c>
      <c r="K10051">
        <v>1.1178999999999999</v>
      </c>
      <c r="L10051">
        <v>-45.90878</v>
      </c>
      <c r="M10051">
        <v>0.57690609999999998</v>
      </c>
      <c r="N10051">
        <v>0</v>
      </c>
      <c r="O10051">
        <v>0.81671260000000001</v>
      </c>
      <c r="P10051">
        <v>0.38525470000000001</v>
      </c>
      <c r="Q10051">
        <v>2.2089609999999999E-2</v>
      </c>
      <c r="R10051">
        <v>0.92254590000000003</v>
      </c>
      <c r="S10051">
        <v>0.94616699999999998</v>
      </c>
      <c r="T10051">
        <v>-0.4311024</v>
      </c>
      <c r="U10051">
        <v>2.8693240000000002</v>
      </c>
      <c r="V10051">
        <v>-0.21821869999999999</v>
      </c>
      <c r="W10051">
        <v>3.024719E-2</v>
      </c>
      <c r="X10051">
        <v>0.97543100000000005</v>
      </c>
      <c r="Y10051">
        <v>-0.29404459999999999</v>
      </c>
      <c r="Z10051">
        <v>-0.1032682</v>
      </c>
      <c r="AA10051">
        <v>0.95019659999999995</v>
      </c>
      <c r="AB10051">
        <v>32</v>
      </c>
      <c r="AC10051">
        <v>2.3098999999999901</v>
      </c>
      <c r="AD10051">
        <v>-1.1179010554619999</v>
      </c>
      <c r="AE10051">
        <v>7.2281000000000004</v>
      </c>
      <c r="AF10051">
        <v>-2.2350842618807798</v>
      </c>
      <c r="AG10051">
        <v>-1.1179010554619999</v>
      </c>
      <c r="AH10051">
        <v>7.08273508718377</v>
      </c>
      <c r="AI10051">
        <v>98.559787455512705</v>
      </c>
      <c r="AJ10051">
        <v>107.51402672825201</v>
      </c>
      <c r="AK10051">
        <v>7.5106884333417998</v>
      </c>
      <c r="AL10051">
        <v>88.266699243728098</v>
      </c>
      <c r="AM10051">
        <v>102.610295434165</v>
      </c>
      <c r="AN10051">
        <v>0.99999996464679197</v>
      </c>
    </row>
    <row r="10052" spans="1:40" x14ac:dyDescent="0.25">
      <c r="A10052" t="str">
        <f>"20190312150917027"</f>
        <v>20190312150917027</v>
      </c>
      <c r="B10052" t="str">
        <f>"1552374557019543"</f>
        <v>1552374557019543</v>
      </c>
      <c r="C10052" t="s">
        <v>40</v>
      </c>
      <c r="D10052">
        <v>4.7495029999999998</v>
      </c>
      <c r="E10052">
        <v>0.47035090000000002</v>
      </c>
      <c r="F10052" t="s">
        <v>42</v>
      </c>
      <c r="G10052">
        <v>-191.07</v>
      </c>
      <c r="H10052" s="1">
        <v>-1.1478639999999999E-6</v>
      </c>
      <c r="I10052">
        <v>-38.398850000000003</v>
      </c>
      <c r="J10052">
        <v>-193.38130000000001</v>
      </c>
      <c r="K10052">
        <v>1.1179079999999999</v>
      </c>
      <c r="L10052">
        <v>-45.750309999999999</v>
      </c>
      <c r="M10052">
        <v>0.57228970000000001</v>
      </c>
      <c r="N10052">
        <v>0</v>
      </c>
      <c r="O10052">
        <v>0.81995379999999995</v>
      </c>
      <c r="P10052">
        <v>0.3803127</v>
      </c>
      <c r="Q10052">
        <v>2.176078E-2</v>
      </c>
      <c r="R10052">
        <v>0.92460189999999998</v>
      </c>
      <c r="S10052">
        <v>0.92552190000000001</v>
      </c>
      <c r="T10052">
        <v>-0.42805280000000001</v>
      </c>
      <c r="U10052">
        <v>2.87561</v>
      </c>
      <c r="V10052">
        <v>-0.2179343</v>
      </c>
      <c r="W10052">
        <v>2.992357E-2</v>
      </c>
      <c r="X10052">
        <v>0.97550460000000006</v>
      </c>
      <c r="Y10052">
        <v>-0.2954215</v>
      </c>
      <c r="Z10052">
        <v>-0.1030549</v>
      </c>
      <c r="AA10052">
        <v>0.94979250000000004</v>
      </c>
      <c r="AB10052">
        <v>32</v>
      </c>
      <c r="AC10052">
        <v>2.3113000000000099</v>
      </c>
      <c r="AD10052">
        <v>-1.117909147864</v>
      </c>
      <c r="AE10052">
        <v>7.3514599999999897</v>
      </c>
      <c r="AF10052">
        <v>-2.2645359996563199</v>
      </c>
      <c r="AG10052">
        <v>-1.117909147864</v>
      </c>
      <c r="AH10052">
        <v>7.1996699399274</v>
      </c>
      <c r="AI10052">
        <v>98.425294647788107</v>
      </c>
      <c r="AJ10052">
        <v>107.460098290292</v>
      </c>
      <c r="AK10052">
        <v>7.6297504153485702</v>
      </c>
      <c r="AL10052">
        <v>88.285249765702105</v>
      </c>
      <c r="AM10052">
        <v>102.593465408169</v>
      </c>
      <c r="AN10052">
        <v>1.00000000188959</v>
      </c>
    </row>
    <row r="10053" spans="1:40" x14ac:dyDescent="0.25">
      <c r="A10053" t="str">
        <f>"20190312150917039"</f>
        <v>20190312150917039</v>
      </c>
      <c r="B10053" t="str">
        <f>"1552374557029303"</f>
        <v>1552374557029303</v>
      </c>
      <c r="C10053" t="s">
        <v>40</v>
      </c>
      <c r="D10053">
        <v>5.1809149999999997</v>
      </c>
      <c r="E10053">
        <v>0.45548850000000002</v>
      </c>
      <c r="F10053" t="s">
        <v>42</v>
      </c>
      <c r="G10053">
        <v>-191.0102</v>
      </c>
      <c r="H10053" s="1">
        <v>-1.1983879999999999E-6</v>
      </c>
      <c r="I10053">
        <v>-38.243940000000002</v>
      </c>
      <c r="J10053">
        <v>-193.2834</v>
      </c>
      <c r="K10053">
        <v>1.1179140000000001</v>
      </c>
      <c r="L10053">
        <v>-45.601410000000001</v>
      </c>
      <c r="M10053">
        <v>0.56794909999999998</v>
      </c>
      <c r="N10053">
        <v>0</v>
      </c>
      <c r="O10053">
        <v>0.82296630000000004</v>
      </c>
      <c r="P10053">
        <v>0.37563170000000001</v>
      </c>
      <c r="Q10053">
        <v>2.1384050000000002E-2</v>
      </c>
      <c r="R10053">
        <v>0.92652230000000002</v>
      </c>
      <c r="S10053">
        <v>0.90989690000000001</v>
      </c>
      <c r="T10053">
        <v>-0.42898209999999998</v>
      </c>
      <c r="U10053">
        <v>2.8804630000000002</v>
      </c>
      <c r="V10053">
        <v>-0.21771199999999999</v>
      </c>
      <c r="W10053">
        <v>2.9550839999999998E-2</v>
      </c>
      <c r="X10053">
        <v>0.97556560000000003</v>
      </c>
      <c r="Y10053">
        <v>-0.29553570000000001</v>
      </c>
      <c r="Z10053">
        <v>-0.10378800000000001</v>
      </c>
      <c r="AA10053">
        <v>0.9496772</v>
      </c>
      <c r="AB10053">
        <v>32</v>
      </c>
      <c r="AC10053">
        <v>2.2732000000000001</v>
      </c>
      <c r="AD10053">
        <v>-1.11791519838799</v>
      </c>
      <c r="AE10053">
        <v>7.3574699999999904</v>
      </c>
      <c r="AF10053">
        <v>-2.2604478621067399</v>
      </c>
      <c r="AG10053">
        <v>-1.11791519838799</v>
      </c>
      <c r="AH10053">
        <v>7.19496771252921</v>
      </c>
      <c r="AI10053">
        <v>98.431628915220699</v>
      </c>
      <c r="AJ10053">
        <v>107.441189483312</v>
      </c>
      <c r="AK10053">
        <v>7.6241012134170703</v>
      </c>
      <c r="AL10053">
        <v>88.306615073178193</v>
      </c>
      <c r="AM10053">
        <v>102.580267189304</v>
      </c>
      <c r="AN10053">
        <v>1.0000000034960299</v>
      </c>
    </row>
    <row r="10054" spans="1:40" x14ac:dyDescent="0.25">
      <c r="A10054" t="str">
        <f>"20190312150917052"</f>
        <v>20190312150917052</v>
      </c>
      <c r="B10054" t="str">
        <f>"1552374557049801"</f>
        <v>1552374557049801</v>
      </c>
      <c r="C10054" t="s">
        <v>40</v>
      </c>
      <c r="D10054">
        <v>4.7417439999999997</v>
      </c>
      <c r="E10054">
        <v>0.45506210000000002</v>
      </c>
      <c r="F10054" t="s">
        <v>42</v>
      </c>
      <c r="G10054">
        <v>-190.01910000000001</v>
      </c>
      <c r="H10054" s="1">
        <v>-2.967063E-6</v>
      </c>
      <c r="I10054">
        <v>-33.506439999999998</v>
      </c>
      <c r="J10054">
        <v>-193.1893</v>
      </c>
      <c r="K10054">
        <v>1.1179220000000001</v>
      </c>
      <c r="L10054">
        <v>-45.45673</v>
      </c>
      <c r="M10054">
        <v>0.56372299999999997</v>
      </c>
      <c r="N10054">
        <v>0</v>
      </c>
      <c r="O10054">
        <v>0.82586680000000001</v>
      </c>
      <c r="P10054">
        <v>0.37095790000000001</v>
      </c>
      <c r="Q10054">
        <v>2.0949079999999998E-2</v>
      </c>
      <c r="R10054">
        <v>0.9284133</v>
      </c>
      <c r="S10054">
        <v>0.78919980000000001</v>
      </c>
      <c r="T10054">
        <v>-0.27027820000000002</v>
      </c>
      <c r="U10054">
        <v>2.924194</v>
      </c>
      <c r="V10054">
        <v>-0.2176255</v>
      </c>
      <c r="W10054">
        <v>2.9117110000000002E-2</v>
      </c>
      <c r="X10054">
        <v>0.97559790000000002</v>
      </c>
      <c r="Y10054">
        <v>-0.329679</v>
      </c>
      <c r="Z10054">
        <v>-6.494685E-2</v>
      </c>
      <c r="AA10054">
        <v>0.94185649999999999</v>
      </c>
      <c r="AB10054">
        <v>32</v>
      </c>
      <c r="AC10054">
        <v>3.1701999999999901</v>
      </c>
      <c r="AD10054">
        <v>-1.11792496706299</v>
      </c>
      <c r="AE10054">
        <v>11.950289999999899</v>
      </c>
      <c r="AF10054">
        <v>-4.0854190109206101</v>
      </c>
      <c r="AG10054">
        <v>-1.11792496706299</v>
      </c>
      <c r="AH10054">
        <v>11.562861273322101</v>
      </c>
      <c r="AI10054">
        <v>95.208666126248701</v>
      </c>
      <c r="AJ10054">
        <v>109.459460437936</v>
      </c>
      <c r="AK10054">
        <v>12.314226145108201</v>
      </c>
      <c r="AL10054">
        <v>88.331476603620999</v>
      </c>
      <c r="AM10054">
        <v>102.575024782399</v>
      </c>
      <c r="AN10054">
        <v>0.99999996341470498</v>
      </c>
    </row>
    <row r="10055" spans="1:40" x14ac:dyDescent="0.25">
      <c r="A10055" t="str">
        <f>"20190312150917070"</f>
        <v>20190312150917070</v>
      </c>
      <c r="B10055" t="str">
        <f>"1552374557059562"</f>
        <v>1552374557059562</v>
      </c>
      <c r="C10055" t="s">
        <v>40</v>
      </c>
      <c r="D10055">
        <v>4.763388</v>
      </c>
      <c r="E10055">
        <v>0.45442379999999999</v>
      </c>
      <c r="F10055" t="s">
        <v>42</v>
      </c>
      <c r="G10055">
        <v>-190.1097</v>
      </c>
      <c r="H10055" s="1">
        <v>-2.8837329999999999E-6</v>
      </c>
      <c r="I10055">
        <v>-33.756839999999997</v>
      </c>
      <c r="J10055">
        <v>-193.05529999999999</v>
      </c>
      <c r="K10055">
        <v>1.117929</v>
      </c>
      <c r="L10055">
        <v>-45.248139999999999</v>
      </c>
      <c r="M10055">
        <v>0.55762089999999997</v>
      </c>
      <c r="N10055">
        <v>0</v>
      </c>
      <c r="O10055">
        <v>0.82999899999999904</v>
      </c>
      <c r="P10055">
        <v>0.36434670000000002</v>
      </c>
      <c r="Q10055">
        <v>2.0618239999999999E-2</v>
      </c>
      <c r="R10055">
        <v>0.9310351</v>
      </c>
      <c r="S10055">
        <v>0.77110290000000004</v>
      </c>
      <c r="T10055">
        <v>-0.27991739999999998</v>
      </c>
      <c r="U10055">
        <v>2.929535</v>
      </c>
      <c r="V10055">
        <v>-0.21737119999999999</v>
      </c>
      <c r="W10055">
        <v>2.8791089999999998E-2</v>
      </c>
      <c r="X10055">
        <v>0.97566430000000004</v>
      </c>
      <c r="Y10055">
        <v>-0.32863399999999998</v>
      </c>
      <c r="Z10055">
        <v>-6.7739289999999994E-2</v>
      </c>
      <c r="AA10055">
        <v>0.942025</v>
      </c>
      <c r="AB10055">
        <v>32</v>
      </c>
      <c r="AC10055">
        <v>2.9455999999999798</v>
      </c>
      <c r="AD10055">
        <v>-1.1179318837329999</v>
      </c>
      <c r="AE10055">
        <v>11.491299999999899</v>
      </c>
      <c r="AF10055">
        <v>-3.9283749195127098</v>
      </c>
      <c r="AG10055">
        <v>-1.1179318837329999</v>
      </c>
      <c r="AH10055">
        <v>11.0827690276497</v>
      </c>
      <c r="AI10055">
        <v>95.431082293426201</v>
      </c>
      <c r="AJ10055">
        <v>109.51727328556601</v>
      </c>
      <c r="AK10055">
        <v>11.811421189897301</v>
      </c>
      <c r="AL10055">
        <v>88.350164062832903</v>
      </c>
      <c r="AM10055">
        <v>102.559969446214</v>
      </c>
      <c r="AN10055">
        <v>0.99999999587365895</v>
      </c>
    </row>
    <row r="10056" spans="1:40" x14ac:dyDescent="0.25">
      <c r="A10056" t="str">
        <f>"20190312150917083"</f>
        <v>20190312150917083</v>
      </c>
      <c r="B10056" t="str">
        <f>"1552374557079079"</f>
        <v>1552374557079079</v>
      </c>
      <c r="C10056" t="s">
        <v>40</v>
      </c>
      <c r="D10056">
        <v>4.7779579999999999</v>
      </c>
      <c r="E10056">
        <v>0.45432230000000001</v>
      </c>
      <c r="F10056" t="s">
        <v>42</v>
      </c>
      <c r="G10056">
        <v>-190.15299999999999</v>
      </c>
      <c r="H10056" s="1">
        <v>-2.872546E-6</v>
      </c>
      <c r="I10056">
        <v>-33.809780000000003</v>
      </c>
      <c r="J10056">
        <v>-192.95079999999999</v>
      </c>
      <c r="K10056">
        <v>1.117936</v>
      </c>
      <c r="L10056">
        <v>-45.083280000000002</v>
      </c>
      <c r="M10056">
        <v>0.55278939999999999</v>
      </c>
      <c r="N10056">
        <v>0</v>
      </c>
      <c r="O10056">
        <v>0.83322469999999904</v>
      </c>
      <c r="P10056">
        <v>0.3590796</v>
      </c>
      <c r="Q10056">
        <v>2.0550140000000001E-2</v>
      </c>
      <c r="R10056">
        <v>0.93308069999999999</v>
      </c>
      <c r="S10056">
        <v>0.74520869999999995</v>
      </c>
      <c r="T10056">
        <v>-0.28704370000000001</v>
      </c>
      <c r="U10056">
        <v>2.9369510000000001</v>
      </c>
      <c r="V10056">
        <v>-0.2172163</v>
      </c>
      <c r="W10056">
        <v>2.8725790000000001E-2</v>
      </c>
      <c r="X10056">
        <v>0.97570069999999998</v>
      </c>
      <c r="Y10056">
        <v>-0.3315497</v>
      </c>
      <c r="Z10056">
        <v>-6.9732359999999993E-2</v>
      </c>
      <c r="AA10056">
        <v>0.94085719999999995</v>
      </c>
      <c r="AB10056">
        <v>32</v>
      </c>
      <c r="AC10056">
        <v>2.7977999999999899</v>
      </c>
      <c r="AD10056">
        <v>-1.117938872546</v>
      </c>
      <c r="AE10056">
        <v>11.2735</v>
      </c>
      <c r="AF10056">
        <v>-3.86518425313926</v>
      </c>
      <c r="AG10056">
        <v>-1.117938872546</v>
      </c>
      <c r="AH10056">
        <v>10.840413746954299</v>
      </c>
      <c r="AI10056">
        <v>95.548139834447895</v>
      </c>
      <c r="AJ10056">
        <v>109.62385561383699</v>
      </c>
      <c r="AK10056">
        <v>11.563044877480101</v>
      </c>
      <c r="AL10056">
        <v>88.353906989341297</v>
      </c>
      <c r="AM10056">
        <v>102.550849427052</v>
      </c>
      <c r="AN10056">
        <v>0.99999997398865104</v>
      </c>
    </row>
    <row r="10057" spans="1:40" x14ac:dyDescent="0.25">
      <c r="A10057" t="str">
        <f>"20190312150917095"</f>
        <v>20190312150917095</v>
      </c>
      <c r="B10057" t="str">
        <f>"1552374557089815"</f>
        <v>1552374557089815</v>
      </c>
      <c r="C10057" t="s">
        <v>40</v>
      </c>
      <c r="D10057">
        <v>4.733314</v>
      </c>
      <c r="E10057">
        <v>0.45444279999999998</v>
      </c>
      <c r="F10057" t="s">
        <v>42</v>
      </c>
      <c r="G10057">
        <v>-190.18129999999999</v>
      </c>
      <c r="H10057" s="1">
        <v>-2.849139E-6</v>
      </c>
      <c r="I10057">
        <v>-33.881909999999998</v>
      </c>
      <c r="J10057">
        <v>-192.86250000000001</v>
      </c>
      <c r="K10057">
        <v>1.117942</v>
      </c>
      <c r="L10057">
        <v>-44.941740000000003</v>
      </c>
      <c r="M10057">
        <v>0.54864029999999997</v>
      </c>
      <c r="N10057">
        <v>0</v>
      </c>
      <c r="O10057">
        <v>0.83596239999999999</v>
      </c>
      <c r="P10057">
        <v>0.3545797</v>
      </c>
      <c r="Q10057">
        <v>2.0519309999999999E-2</v>
      </c>
      <c r="R10057">
        <v>0.93480059999999998</v>
      </c>
      <c r="S10057">
        <v>0.72732540000000001</v>
      </c>
      <c r="T10057">
        <v>-0.29359679999999999</v>
      </c>
      <c r="U10057">
        <v>2.9417420000000001</v>
      </c>
      <c r="V10057">
        <v>-0.21706710000000001</v>
      </c>
      <c r="W10057">
        <v>2.8697670000000002E-2</v>
      </c>
      <c r="X10057">
        <v>0.97573480000000001</v>
      </c>
      <c r="Y10057">
        <v>-0.3326383</v>
      </c>
      <c r="Z10057">
        <v>-7.1604680000000004E-2</v>
      </c>
      <c r="AA10057">
        <v>0.94033219999999995</v>
      </c>
      <c r="AB10057">
        <v>32</v>
      </c>
      <c r="AC10057">
        <v>2.6812000000000098</v>
      </c>
      <c r="AD10057">
        <v>-1.1179448491390001</v>
      </c>
      <c r="AE10057">
        <v>11.05983</v>
      </c>
      <c r="AF10057">
        <v>-3.79021671243432</v>
      </c>
      <c r="AG10057">
        <v>-1.1179448491390001</v>
      </c>
      <c r="AH10057">
        <v>10.6150389494357</v>
      </c>
      <c r="AI10057">
        <v>95.6643031352219</v>
      </c>
      <c r="AJ10057">
        <v>109.649665821005</v>
      </c>
      <c r="AK10057">
        <v>11.3267204128543</v>
      </c>
      <c r="AL10057">
        <v>88.355518921512598</v>
      </c>
      <c r="AM10057">
        <v>102.54207699429099</v>
      </c>
      <c r="AN10057">
        <v>1.00000004104843</v>
      </c>
    </row>
    <row r="10058" spans="1:40" x14ac:dyDescent="0.25">
      <c r="A10058" t="str">
        <f>"20190312150917114"</f>
        <v>20190312150917114</v>
      </c>
      <c r="B10058" t="str">
        <f>"1552374557109336"</f>
        <v>1552374557109336</v>
      </c>
      <c r="C10058" t="s">
        <v>40</v>
      </c>
      <c r="D10058">
        <v>4.752853</v>
      </c>
      <c r="E10058">
        <v>0.45469670000000001</v>
      </c>
      <c r="F10058" t="s">
        <v>42</v>
      </c>
      <c r="G10058">
        <v>-190.1568</v>
      </c>
      <c r="H10058" s="1">
        <v>-2.8846389999999999E-6</v>
      </c>
      <c r="I10058">
        <v>-33.783949999999997</v>
      </c>
      <c r="J10058">
        <v>-192.72839999999999</v>
      </c>
      <c r="K10058">
        <v>1.117958</v>
      </c>
      <c r="L10058">
        <v>-44.724119999999999</v>
      </c>
      <c r="M10058">
        <v>0.54225100000000004</v>
      </c>
      <c r="N10058">
        <v>0</v>
      </c>
      <c r="O10058">
        <v>0.84012089999999995</v>
      </c>
      <c r="P10058">
        <v>0.3477922</v>
      </c>
      <c r="Q10058">
        <v>2.0399609999999999E-2</v>
      </c>
      <c r="R10058">
        <v>0.93734969999999995</v>
      </c>
      <c r="S10058">
        <v>0.71412659999999994</v>
      </c>
      <c r="T10058">
        <v>-0.29505700000000001</v>
      </c>
      <c r="U10058">
        <v>2.944855</v>
      </c>
      <c r="V10058">
        <v>-0.21670300000000001</v>
      </c>
      <c r="W10058">
        <v>2.8585659999999999E-2</v>
      </c>
      <c r="X10058">
        <v>0.97581899999999999</v>
      </c>
      <c r="Y10058">
        <v>-0.32967049999999998</v>
      </c>
      <c r="Z10058">
        <v>-7.2553919999999994E-2</v>
      </c>
      <c r="AA10058">
        <v>0.94130400000000003</v>
      </c>
      <c r="AB10058">
        <v>32</v>
      </c>
      <c r="AC10058">
        <v>2.5715999999999801</v>
      </c>
      <c r="AD10058">
        <v>-1.1179608846389999</v>
      </c>
      <c r="AE10058">
        <v>10.94017</v>
      </c>
      <c r="AF10058">
        <v>-3.73520376166895</v>
      </c>
      <c r="AG10058">
        <v>-1.1179608846389999</v>
      </c>
      <c r="AH10058">
        <v>10.4826354780604</v>
      </c>
      <c r="AI10058">
        <v>95.736785899833507</v>
      </c>
      <c r="AJ10058">
        <v>109.612150985992</v>
      </c>
      <c r="AK10058">
        <v>11.184240262380801</v>
      </c>
      <c r="AL10058">
        <v>88.361939229964705</v>
      </c>
      <c r="AM10058">
        <v>102.52065703814</v>
      </c>
      <c r="AN10058">
        <v>1.0000000254638099</v>
      </c>
    </row>
    <row r="10059" spans="1:40" x14ac:dyDescent="0.25">
      <c r="A10059" t="str">
        <f>"20190312150917128"</f>
        <v>20190312150917128</v>
      </c>
      <c r="B10059" t="str">
        <f>"1552374557119095"</f>
        <v>1552374557119095</v>
      </c>
      <c r="C10059" t="s">
        <v>40</v>
      </c>
      <c r="D10059">
        <v>4.7374340000000004</v>
      </c>
      <c r="E10059">
        <v>0.45494839999999998</v>
      </c>
      <c r="F10059" t="s">
        <v>42</v>
      </c>
      <c r="G10059">
        <v>-190.10149999999999</v>
      </c>
      <c r="H10059" s="1">
        <v>-2.9602850000000001E-6</v>
      </c>
      <c r="I10059">
        <v>-33.573309999999999</v>
      </c>
      <c r="J10059">
        <v>-192.62280000000001</v>
      </c>
      <c r="K10059">
        <v>1.117964</v>
      </c>
      <c r="L10059">
        <v>-44.550350000000002</v>
      </c>
      <c r="M10059">
        <v>0.53714249999999997</v>
      </c>
      <c r="N10059">
        <v>0</v>
      </c>
      <c r="O10059">
        <v>0.84339619999999904</v>
      </c>
      <c r="P10059">
        <v>0.34228029999999998</v>
      </c>
      <c r="Q10059">
        <v>2.0619599999999998E-2</v>
      </c>
      <c r="R10059">
        <v>0.93937159999999997</v>
      </c>
      <c r="S10059">
        <v>0.69476319999999903</v>
      </c>
      <c r="T10059">
        <v>-0.29567759999999998</v>
      </c>
      <c r="U10059">
        <v>2.9491580000000002</v>
      </c>
      <c r="V10059">
        <v>-0.2165145</v>
      </c>
      <c r="W10059">
        <v>2.8809680000000001E-2</v>
      </c>
      <c r="X10059">
        <v>0.9758542</v>
      </c>
      <c r="Y10059">
        <v>-0.33010929999999999</v>
      </c>
      <c r="Z10059">
        <v>-7.3101879999999994E-2</v>
      </c>
      <c r="AA10059">
        <v>0.9411079</v>
      </c>
      <c r="AB10059">
        <v>32</v>
      </c>
      <c r="AC10059">
        <v>2.5213000000000201</v>
      </c>
      <c r="AD10059">
        <v>-1.117966960285</v>
      </c>
      <c r="AE10059">
        <v>10.977040000000001</v>
      </c>
      <c r="AF10059">
        <v>-3.7332995371687798</v>
      </c>
      <c r="AG10059">
        <v>-1.117966960285</v>
      </c>
      <c r="AH10059">
        <v>10.5095955817771</v>
      </c>
      <c r="AI10059">
        <v>95.724164510503897</v>
      </c>
      <c r="AJ10059">
        <v>109.556447946711</v>
      </c>
      <c r="AK10059">
        <v>11.2088792861295</v>
      </c>
      <c r="AL10059">
        <v>88.349098454522306</v>
      </c>
      <c r="AM10059">
        <v>102.509671848422</v>
      </c>
      <c r="AN10059">
        <v>0.99999997301479504</v>
      </c>
    </row>
    <row r="10060" spans="1:40" x14ac:dyDescent="0.25">
      <c r="A10060" t="str">
        <f>"20190312150917150"</f>
        <v>20190312150917150</v>
      </c>
      <c r="B10060" t="str">
        <f>"1552374557139591"</f>
        <v>1552374557139591</v>
      </c>
      <c r="C10060" t="s">
        <v>40</v>
      </c>
      <c r="D10060">
        <v>5.2208899999999998</v>
      </c>
      <c r="E10060">
        <v>0.45540449999999999</v>
      </c>
      <c r="F10060" t="s">
        <v>42</v>
      </c>
      <c r="G10060">
        <v>-190.06290000000001</v>
      </c>
      <c r="H10060" s="1">
        <v>-3.0140610000000001E-6</v>
      </c>
      <c r="I10060">
        <v>-33.424030000000002</v>
      </c>
      <c r="J10060">
        <v>-192.46809999999999</v>
      </c>
      <c r="K10060">
        <v>1.1179749999999999</v>
      </c>
      <c r="L10060">
        <v>-44.291110000000003</v>
      </c>
      <c r="M10060">
        <v>0.52951719999999902</v>
      </c>
      <c r="N10060">
        <v>0</v>
      </c>
      <c r="O10060">
        <v>0.84820429999999902</v>
      </c>
      <c r="P10060">
        <v>0.33405570000000001</v>
      </c>
      <c r="Q10060">
        <v>2.0587580000000001E-2</v>
      </c>
      <c r="R10060">
        <v>0.94232850000000001</v>
      </c>
      <c r="S10060">
        <v>0.67932130000000002</v>
      </c>
      <c r="T10060">
        <v>-0.2966761</v>
      </c>
      <c r="U10060">
        <v>2.9526059999999998</v>
      </c>
      <c r="V10060">
        <v>-0.216248</v>
      </c>
      <c r="W10060">
        <v>2.8784420000000002E-2</v>
      </c>
      <c r="X10060">
        <v>0.97591410000000001</v>
      </c>
      <c r="Y10060">
        <v>-0.3265265</v>
      </c>
      <c r="Z10060">
        <v>-7.4044609999999997E-2</v>
      </c>
      <c r="AA10060">
        <v>0.94228330000000005</v>
      </c>
      <c r="AB10060">
        <v>32</v>
      </c>
      <c r="AC10060">
        <v>2.4051999999999798</v>
      </c>
      <c r="AD10060">
        <v>-1.1179780140609901</v>
      </c>
      <c r="AE10060">
        <v>10.8670799999999</v>
      </c>
      <c r="AF10060">
        <v>-3.6774005824127198</v>
      </c>
      <c r="AG10060">
        <v>-1.1179780140609901</v>
      </c>
      <c r="AH10060">
        <v>10.3871420221215</v>
      </c>
      <c r="AI10060">
        <v>95.793410730184902</v>
      </c>
      <c r="AJ10060">
        <v>109.495689975555</v>
      </c>
      <c r="AK10060">
        <v>11.0754624856561</v>
      </c>
      <c r="AL10060">
        <v>88.350546449449993</v>
      </c>
      <c r="AM10060">
        <v>102.49401514807001</v>
      </c>
      <c r="AN10060">
        <v>1.0000000354587699</v>
      </c>
    </row>
    <row r="10061" spans="1:40" x14ac:dyDescent="0.25">
      <c r="A10061" t="str">
        <f>"20190312150917171"</f>
        <v>20190312150917171</v>
      </c>
      <c r="B10061" t="str">
        <f>"1552374557159111"</f>
        <v>1552374557159111</v>
      </c>
      <c r="C10061" t="s">
        <v>40</v>
      </c>
      <c r="D10061">
        <v>5.1929360000000004</v>
      </c>
      <c r="E10061">
        <v>0.45573069999999999</v>
      </c>
      <c r="F10061" t="s">
        <v>42</v>
      </c>
      <c r="G10061">
        <v>-190.0044</v>
      </c>
      <c r="H10061" s="1">
        <v>-3.0956550000000001E-6</v>
      </c>
      <c r="I10061">
        <v>-33.197580000000002</v>
      </c>
      <c r="J10061">
        <v>-192.31659999999999</v>
      </c>
      <c r="K10061">
        <v>1.117982</v>
      </c>
      <c r="L10061">
        <v>-44.031829999999999</v>
      </c>
      <c r="M10061">
        <v>0.52188429999999997</v>
      </c>
      <c r="N10061">
        <v>0</v>
      </c>
      <c r="O10061">
        <v>0.85292190000000001</v>
      </c>
      <c r="P10061">
        <v>0.32566000000000001</v>
      </c>
      <c r="Q10061">
        <v>2.0600509999999999E-2</v>
      </c>
      <c r="R10061">
        <v>0.94526250000000001</v>
      </c>
      <c r="S10061">
        <v>0.65676880000000004</v>
      </c>
      <c r="T10061">
        <v>-0.29802980000000001</v>
      </c>
      <c r="U10061">
        <v>2.957306</v>
      </c>
      <c r="V10061">
        <v>-0.21617210000000001</v>
      </c>
      <c r="W10061">
        <v>2.8799189999999999E-2</v>
      </c>
      <c r="X10061">
        <v>0.97593050000000003</v>
      </c>
      <c r="Y10061">
        <v>-0.32522210000000001</v>
      </c>
      <c r="Z10061">
        <v>-7.5011649999999999E-2</v>
      </c>
      <c r="AA10061">
        <v>0.94265790000000005</v>
      </c>
      <c r="AB10061">
        <v>32</v>
      </c>
      <c r="AC10061">
        <v>2.31219999999999</v>
      </c>
      <c r="AD10061">
        <v>-1.1179850956549999</v>
      </c>
      <c r="AE10061">
        <v>10.8342499999999</v>
      </c>
      <c r="AF10061">
        <v>-3.6452709018245901</v>
      </c>
      <c r="AG10061">
        <v>-1.1179850956549999</v>
      </c>
      <c r="AH10061">
        <v>10.342975217382699</v>
      </c>
      <c r="AI10061">
        <v>95.820911470718599</v>
      </c>
      <c r="AJ10061">
        <v>109.414460396596</v>
      </c>
      <c r="AK10061">
        <v>11.0233854586142</v>
      </c>
      <c r="AL10061">
        <v>88.349699872915394</v>
      </c>
      <c r="AM10061">
        <v>102.489564255104</v>
      </c>
      <c r="AN10061">
        <v>1.0000000554966499</v>
      </c>
    </row>
    <row r="10062" spans="1:40" x14ac:dyDescent="0.25">
      <c r="A10062" t="str">
        <f>"20190312150917192"</f>
        <v>20190312150917192</v>
      </c>
      <c r="B10062" t="str">
        <f>"1552374557189368"</f>
        <v>1552374557189368</v>
      </c>
      <c r="C10062" t="s">
        <v>40</v>
      </c>
      <c r="D10062">
        <v>4.9853310000000004</v>
      </c>
      <c r="E10062">
        <v>0.45598109999999997</v>
      </c>
      <c r="F10062" t="s">
        <v>42</v>
      </c>
      <c r="G10062">
        <v>-189.9468</v>
      </c>
      <c r="H10062" s="1">
        <v>-3.1945160000000001E-6</v>
      </c>
      <c r="I10062">
        <v>-32.942729999999997</v>
      </c>
      <c r="J10062">
        <v>-192.17140000000001</v>
      </c>
      <c r="K10062">
        <v>1.117985</v>
      </c>
      <c r="L10062">
        <v>-43.778260000000003</v>
      </c>
      <c r="M10062">
        <v>0.51441539999999997</v>
      </c>
      <c r="N10062">
        <v>0</v>
      </c>
      <c r="O10062">
        <v>0.85744719999999996</v>
      </c>
      <c r="P10062">
        <v>0.31717509999999999</v>
      </c>
      <c r="Q10062">
        <v>2.0746799999999999E-2</v>
      </c>
      <c r="R10062">
        <v>0.94813999999999998</v>
      </c>
      <c r="S10062">
        <v>0.63302609999999904</v>
      </c>
      <c r="T10062">
        <v>-0.29863689999999998</v>
      </c>
      <c r="U10062">
        <v>2.9621279999999999</v>
      </c>
      <c r="V10062">
        <v>-0.2163969</v>
      </c>
      <c r="W10062">
        <v>2.8940750000000001E-2</v>
      </c>
      <c r="X10062">
        <v>0.97587650000000004</v>
      </c>
      <c r="Y10062">
        <v>-0.3245111</v>
      </c>
      <c r="Z10062">
        <v>-7.5756530000000002E-2</v>
      </c>
      <c r="AA10062">
        <v>0.94284330000000005</v>
      </c>
      <c r="AB10062">
        <v>32</v>
      </c>
      <c r="AC10062">
        <v>2.2246000000000001</v>
      </c>
      <c r="AD10062">
        <v>-1.117988194516</v>
      </c>
      <c r="AE10062">
        <v>10.83553</v>
      </c>
      <c r="AF10062">
        <v>-3.62970394497319</v>
      </c>
      <c r="AG10062">
        <v>-1.117988194516</v>
      </c>
      <c r="AH10062">
        <v>10.330575882468001</v>
      </c>
      <c r="AI10062">
        <v>95.829830625217696</v>
      </c>
      <c r="AJ10062">
        <v>109.359202253646</v>
      </c>
      <c r="AK10062">
        <v>11.0066092142249</v>
      </c>
      <c r="AL10062">
        <v>88.341585715223204</v>
      </c>
      <c r="AM10062">
        <v>102.50281420152599</v>
      </c>
      <c r="AN10062">
        <v>1.0000000642961999</v>
      </c>
    </row>
    <row r="10063" spans="1:40" x14ac:dyDescent="0.25">
      <c r="A10063" t="str">
        <f>"20190312150917206"</f>
        <v>20190312150917206</v>
      </c>
      <c r="B10063" t="str">
        <f>"1552374557199127"</f>
        <v>1552374557199127</v>
      </c>
      <c r="C10063" t="s">
        <v>40</v>
      </c>
      <c r="D10063">
        <v>4.7373609999999999</v>
      </c>
      <c r="E10063">
        <v>0.45634350000000001</v>
      </c>
      <c r="F10063" t="s">
        <v>42</v>
      </c>
      <c r="G10063">
        <v>-189.92580000000001</v>
      </c>
      <c r="H10063" s="1">
        <v>-3.24723E-6</v>
      </c>
      <c r="I10063">
        <v>-32.828509999999902</v>
      </c>
      <c r="J10063">
        <v>-192.07429999999999</v>
      </c>
      <c r="K10063">
        <v>1.1179829999999999</v>
      </c>
      <c r="L10063">
        <v>-43.606140000000003</v>
      </c>
      <c r="M10063">
        <v>0.50934120000000005</v>
      </c>
      <c r="N10063">
        <v>0</v>
      </c>
      <c r="O10063">
        <v>0.86047109999999905</v>
      </c>
      <c r="P10063">
        <v>0.31138680000000002</v>
      </c>
      <c r="Q10063">
        <v>2.0827519999999999E-2</v>
      </c>
      <c r="R10063">
        <v>0.95005499999999998</v>
      </c>
      <c r="S10063">
        <v>0.60848999999999998</v>
      </c>
      <c r="T10063">
        <v>-0.30295229999999901</v>
      </c>
      <c r="U10063">
        <v>2.9671630000000002</v>
      </c>
      <c r="V10063">
        <v>-0.21658440000000001</v>
      </c>
      <c r="W10063">
        <v>2.9017970000000001E-2</v>
      </c>
      <c r="X10063">
        <v>0.97583249999999999</v>
      </c>
      <c r="Y10063">
        <v>-0.32673849999999999</v>
      </c>
      <c r="Z10063">
        <v>-7.7167059999999996E-2</v>
      </c>
      <c r="AA10063">
        <v>0.94195930000000005</v>
      </c>
      <c r="AB10063">
        <v>32</v>
      </c>
      <c r="AC10063">
        <v>2.1484999999999799</v>
      </c>
      <c r="AD10063">
        <v>-1.11798624723</v>
      </c>
      <c r="AE10063">
        <v>10.77763</v>
      </c>
      <c r="AF10063">
        <v>-3.6037663389035499</v>
      </c>
      <c r="AG10063">
        <v>-1.11798624723</v>
      </c>
      <c r="AH10063">
        <v>10.262783221524799</v>
      </c>
      <c r="AI10063">
        <v>95.868438692010798</v>
      </c>
      <c r="AJ10063">
        <v>109.348674973049</v>
      </c>
      <c r="AK10063">
        <v>10.9344293187354</v>
      </c>
      <c r="AL10063">
        <v>88.337159297108002</v>
      </c>
      <c r="AM10063">
        <v>102.513852812218</v>
      </c>
      <c r="AN10063">
        <v>0.99999995648126405</v>
      </c>
    </row>
    <row r="10064" spans="1:40" x14ac:dyDescent="0.25">
      <c r="A10064" t="str">
        <f>"20190312150917218"</f>
        <v>20190312150917218</v>
      </c>
      <c r="B10064" t="str">
        <f>"1552374557209863"</f>
        <v>1552374557209863</v>
      </c>
      <c r="C10064" t="s">
        <v>40</v>
      </c>
      <c r="D10064">
        <v>4.7262589999999998</v>
      </c>
      <c r="E10064">
        <v>0.45657029999999899</v>
      </c>
      <c r="F10064" t="s">
        <v>42</v>
      </c>
      <c r="G10064">
        <v>-189.8853</v>
      </c>
      <c r="H10064" s="1">
        <v>-3.3326839999999999E-6</v>
      </c>
      <c r="I10064">
        <v>-32.646059999999999</v>
      </c>
      <c r="J10064">
        <v>-191.9854</v>
      </c>
      <c r="K10064">
        <v>1.1179840000000001</v>
      </c>
      <c r="L10064">
        <v>-43.446010000000001</v>
      </c>
      <c r="M10064">
        <v>0.50462180000000001</v>
      </c>
      <c r="N10064">
        <v>0</v>
      </c>
      <c r="O10064">
        <v>0.86324709999999905</v>
      </c>
      <c r="P10064">
        <v>0.30641699999999999</v>
      </c>
      <c r="Q10064">
        <v>2.099407E-2</v>
      </c>
      <c r="R10064">
        <v>0.95166589999999995</v>
      </c>
      <c r="S10064">
        <v>0.59315490000000004</v>
      </c>
      <c r="T10064">
        <v>-0.30294979999999999</v>
      </c>
      <c r="U10064">
        <v>2.9699399999999998</v>
      </c>
      <c r="V10064">
        <v>-0.21634320000000001</v>
      </c>
      <c r="W10064">
        <v>2.9190029999999999E-2</v>
      </c>
      <c r="X10064">
        <v>0.97588090000000005</v>
      </c>
      <c r="Y10064">
        <v>-0.32641320000000001</v>
      </c>
      <c r="Z10064">
        <v>-7.7537910000000002E-2</v>
      </c>
      <c r="AA10064">
        <v>0.94204160000000003</v>
      </c>
      <c r="AB10064">
        <v>32</v>
      </c>
      <c r="AC10064">
        <v>2.1000999999999901</v>
      </c>
      <c r="AD10064">
        <v>-1.117987332684</v>
      </c>
      <c r="AE10064">
        <v>10.799950000000001</v>
      </c>
      <c r="AF10064">
        <v>-3.6001053926445201</v>
      </c>
      <c r="AG10064">
        <v>-1.117987332684</v>
      </c>
      <c r="AH10064">
        <v>10.2774987714705</v>
      </c>
      <c r="AI10064">
        <v>95.8616616378022</v>
      </c>
      <c r="AJ10064">
        <v>109.304849081551</v>
      </c>
      <c r="AK10064">
        <v>10.9470377505409</v>
      </c>
      <c r="AL10064">
        <v>88.327296853881904</v>
      </c>
      <c r="AM10064">
        <v>102.499754502258</v>
      </c>
      <c r="AN10064">
        <v>0.99999998451122496</v>
      </c>
    </row>
    <row r="10065" spans="1:40" x14ac:dyDescent="0.25">
      <c r="A10065" t="str">
        <f>"20190312150917239"</f>
        <v>20190312150917239</v>
      </c>
      <c r="B10065" t="str">
        <f>"1552374557229387"</f>
        <v>1552374557229387</v>
      </c>
      <c r="C10065" t="s">
        <v>40</v>
      </c>
      <c r="D10065">
        <v>5.1359360000000001</v>
      </c>
      <c r="E10065">
        <v>0.45718569999999997</v>
      </c>
      <c r="F10065" t="s">
        <v>42</v>
      </c>
      <c r="G10065">
        <v>-189.83699999999999</v>
      </c>
      <c r="H10065" s="1">
        <v>-3.4374100000000002E-6</v>
      </c>
      <c r="I10065">
        <v>-32.421939999999999</v>
      </c>
      <c r="J10065">
        <v>-191.8552</v>
      </c>
      <c r="K10065">
        <v>1.1179889999999999</v>
      </c>
      <c r="L10065">
        <v>-43.207920000000001</v>
      </c>
      <c r="M10065">
        <v>0.49760090000000001</v>
      </c>
      <c r="N10065">
        <v>0</v>
      </c>
      <c r="O10065">
        <v>0.86731309999999995</v>
      </c>
      <c r="P10065">
        <v>0.29850159999999998</v>
      </c>
      <c r="Q10065">
        <v>2.1203059999999999E-2</v>
      </c>
      <c r="R10065">
        <v>0.95417359999999896</v>
      </c>
      <c r="S10065">
        <v>0.57929989999999998</v>
      </c>
      <c r="T10065">
        <v>-0.30145129999999998</v>
      </c>
      <c r="U10065">
        <v>2.9725039999999998</v>
      </c>
      <c r="V10065">
        <v>-0.21653269999999999</v>
      </c>
      <c r="W10065">
        <v>2.9394989999999999E-2</v>
      </c>
      <c r="X10065">
        <v>0.9758327</v>
      </c>
      <c r="Y10065">
        <v>-0.32312689999999999</v>
      </c>
      <c r="Z10065">
        <v>-7.7768580000000004E-2</v>
      </c>
      <c r="AA10065">
        <v>0.94315490000000002</v>
      </c>
      <c r="AB10065">
        <v>32</v>
      </c>
      <c r="AC10065">
        <v>2.0181999999999798</v>
      </c>
      <c r="AD10065">
        <v>-1.1179924374100001</v>
      </c>
      <c r="AE10065">
        <v>10.78598</v>
      </c>
      <c r="AF10065">
        <v>-3.5798337885548599</v>
      </c>
      <c r="AG10065">
        <v>-1.1179924374100001</v>
      </c>
      <c r="AH10065">
        <v>10.253480550167801</v>
      </c>
      <c r="AI10065">
        <v>95.877425824858804</v>
      </c>
      <c r="AJ10065">
        <v>109.245806686246</v>
      </c>
      <c r="AK10065">
        <v>10.9178285586675</v>
      </c>
      <c r="AL10065">
        <v>88.315548439762196</v>
      </c>
      <c r="AM10065">
        <v>102.510957257025</v>
      </c>
      <c r="AN10065">
        <v>0.999999966997839</v>
      </c>
    </row>
    <row r="10066" spans="1:40" x14ac:dyDescent="0.25">
      <c r="A10066" t="str">
        <f>"20190312150917252"</f>
        <v>20190312150917252</v>
      </c>
      <c r="B10066" t="str">
        <f>"1552374557249097"</f>
        <v>1552374557249097</v>
      </c>
      <c r="C10066" t="s">
        <v>40</v>
      </c>
      <c r="D10066">
        <v>4.6715809999999998</v>
      </c>
      <c r="E10066">
        <v>0.45764719999999998</v>
      </c>
      <c r="F10066" t="s">
        <v>42</v>
      </c>
      <c r="G10066">
        <v>-189.77</v>
      </c>
      <c r="H10066" s="1">
        <v>-3.5811950000000002E-6</v>
      </c>
      <c r="I10066">
        <v>-32.114460000000001</v>
      </c>
      <c r="J10066">
        <v>-191.77029999999999</v>
      </c>
      <c r="K10066">
        <v>1.118001</v>
      </c>
      <c r="L10066">
        <v>-43.050049999999999</v>
      </c>
      <c r="M10066">
        <v>0.49294589999999999</v>
      </c>
      <c r="N10066">
        <v>0</v>
      </c>
      <c r="O10066">
        <v>0.8699673</v>
      </c>
      <c r="P10066">
        <v>0.29316579999999998</v>
      </c>
      <c r="Q10066">
        <v>2.0795439999999998E-2</v>
      </c>
      <c r="R10066">
        <v>0.9558354</v>
      </c>
      <c r="S10066">
        <v>0.55935669999999904</v>
      </c>
      <c r="T10066">
        <v>-0.29989650000000001</v>
      </c>
      <c r="U10066">
        <v>2.9757690000000001</v>
      </c>
      <c r="V10066">
        <v>-0.2167521</v>
      </c>
      <c r="W10066">
        <v>2.89827E-2</v>
      </c>
      <c r="X10066">
        <v>0.97579629999999995</v>
      </c>
      <c r="Y10066">
        <v>-0.32434370000000001</v>
      </c>
      <c r="Z10066">
        <v>-7.7689649999999999E-2</v>
      </c>
      <c r="AA10066">
        <v>0.94274360000000001</v>
      </c>
      <c r="AB10066">
        <v>32</v>
      </c>
      <c r="AC10066">
        <v>2.0002999999999802</v>
      </c>
      <c r="AD10066">
        <v>-1.1180045811949999</v>
      </c>
      <c r="AE10066">
        <v>10.9355899999999</v>
      </c>
      <c r="AF10066">
        <v>-3.61420008864593</v>
      </c>
      <c r="AG10066">
        <v>-1.1180045811949999</v>
      </c>
      <c r="AH10066">
        <v>10.395356525845299</v>
      </c>
      <c r="AI10066">
        <v>95.800434276045607</v>
      </c>
      <c r="AJ10066">
        <v>109.17125829106899</v>
      </c>
      <c r="AK10066">
        <v>11.0623602284402</v>
      </c>
      <c r="AL10066">
        <v>88.3391809496203</v>
      </c>
      <c r="AM10066">
        <v>102.52368659165801</v>
      </c>
      <c r="AN10066">
        <v>0.999999944423693</v>
      </c>
    </row>
    <row r="10067" spans="1:40" x14ac:dyDescent="0.25">
      <c r="A10067" t="str">
        <f>"20190312150917264"</f>
        <v>20190312150917264</v>
      </c>
      <c r="B10067" t="str">
        <f>"1552374557259832"</f>
        <v>1552374557259832</v>
      </c>
      <c r="C10067" t="s">
        <v>40</v>
      </c>
      <c r="D10067">
        <v>4.6955629999999999</v>
      </c>
      <c r="E10067">
        <v>0.45787450000000002</v>
      </c>
      <c r="F10067" t="s">
        <v>42</v>
      </c>
      <c r="G10067">
        <v>-189.7697</v>
      </c>
      <c r="H10067" s="1">
        <v>-3.5720490000000001E-6</v>
      </c>
      <c r="I10067">
        <v>-32.135899999999999</v>
      </c>
      <c r="J10067">
        <v>-191.68180000000001</v>
      </c>
      <c r="K10067">
        <v>1.118004</v>
      </c>
      <c r="L10067">
        <v>-42.883850000000002</v>
      </c>
      <c r="M10067">
        <v>0.48804009999999998</v>
      </c>
      <c r="N10067">
        <v>0</v>
      </c>
      <c r="O10067">
        <v>0.87272879999999997</v>
      </c>
      <c r="P10067">
        <v>0.28776410000000002</v>
      </c>
      <c r="Q10067">
        <v>2.0613530000000001E-2</v>
      </c>
      <c r="R10067">
        <v>0.95747950000000004</v>
      </c>
      <c r="S10067">
        <v>0.54585269999999997</v>
      </c>
      <c r="T10067">
        <v>-0.30503930000000001</v>
      </c>
      <c r="U10067">
        <v>2.9778440000000002</v>
      </c>
      <c r="V10067">
        <v>-0.21676679999999901</v>
      </c>
      <c r="W10067">
        <v>2.8800630000000001E-2</v>
      </c>
      <c r="X10067">
        <v>0.97579850000000001</v>
      </c>
      <c r="Y10067">
        <v>-0.32329360000000001</v>
      </c>
      <c r="Z10067">
        <v>-7.9406889999999994E-2</v>
      </c>
      <c r="AA10067">
        <v>0.94296120000000005</v>
      </c>
      <c r="AB10067">
        <v>32</v>
      </c>
      <c r="AC10067">
        <v>1.9120999999999999</v>
      </c>
      <c r="AD10067">
        <v>-1.1180075720489999</v>
      </c>
      <c r="AE10067">
        <v>10.747949999999999</v>
      </c>
      <c r="AF10067">
        <v>-3.5398473003972399</v>
      </c>
      <c r="AG10067">
        <v>-1.1180075720489999</v>
      </c>
      <c r="AH10067">
        <v>10.207004521695801</v>
      </c>
      <c r="AI10067">
        <v>95.908315745557303</v>
      </c>
      <c r="AJ10067">
        <v>109.126837177082</v>
      </c>
      <c r="AK10067">
        <v>10.861095761810001</v>
      </c>
      <c r="AL10067">
        <v>88.349617269598099</v>
      </c>
      <c r="AM10067">
        <v>102.52448179615899</v>
      </c>
      <c r="AN10067">
        <v>1.0000000172364401</v>
      </c>
    </row>
    <row r="10068" spans="1:40" x14ac:dyDescent="0.25">
      <c r="A10068" t="str">
        <f>"20190312150917282"</f>
        <v>20190312150917282</v>
      </c>
      <c r="B10068" t="str">
        <f>"1552374557279352"</f>
        <v>1552374557279352</v>
      </c>
      <c r="C10068" t="s">
        <v>40</v>
      </c>
      <c r="D10068">
        <v>4.7338509999999996</v>
      </c>
      <c r="E10068">
        <v>0.45862540000000002</v>
      </c>
      <c r="F10068" t="s">
        <v>42</v>
      </c>
      <c r="G10068">
        <v>-189.75479999999999</v>
      </c>
      <c r="H10068" s="1">
        <v>-3.6040160000000002E-6</v>
      </c>
      <c r="I10068">
        <v>-32.067549999999997</v>
      </c>
      <c r="J10068">
        <v>-191.56909999999999</v>
      </c>
      <c r="K10068">
        <v>1.1180060000000001</v>
      </c>
      <c r="L10068">
        <v>-42.668120000000002</v>
      </c>
      <c r="M10068">
        <v>0.48167510000000002</v>
      </c>
      <c r="N10068">
        <v>0</v>
      </c>
      <c r="O10068">
        <v>0.87625779999999998</v>
      </c>
      <c r="P10068">
        <v>0.28080670000000002</v>
      </c>
      <c r="Q10068">
        <v>2.0621609999999999E-2</v>
      </c>
      <c r="R10068">
        <v>0.95954280000000003</v>
      </c>
      <c r="S10068">
        <v>0.53096009999999905</v>
      </c>
      <c r="T10068">
        <v>-0.3080521</v>
      </c>
      <c r="U10068">
        <v>2.980286</v>
      </c>
      <c r="V10068">
        <v>-0.21674769999999999</v>
      </c>
      <c r="W10068">
        <v>2.88092E-2</v>
      </c>
      <c r="X10068">
        <v>0.97580250000000002</v>
      </c>
      <c r="Y10068">
        <v>-0.32112289999999999</v>
      </c>
      <c r="Z10068">
        <v>-8.0711199999999997E-2</v>
      </c>
      <c r="AA10068">
        <v>0.94359199999999999</v>
      </c>
      <c r="AB10068">
        <v>32</v>
      </c>
      <c r="AC10068">
        <v>1.8143</v>
      </c>
      <c r="AD10068">
        <v>-1.1180096040159999</v>
      </c>
      <c r="AE10068">
        <v>10.600569999999999</v>
      </c>
      <c r="AF10068">
        <v>-3.4789240793291598</v>
      </c>
      <c r="AG10068">
        <v>-1.1180096040159999</v>
      </c>
      <c r="AH10068">
        <v>10.054894948169601</v>
      </c>
      <c r="AI10068">
        <v>95.998556924126206</v>
      </c>
      <c r="AJ10068">
        <v>109.08526601889</v>
      </c>
      <c r="AK10068">
        <v>10.698306905447</v>
      </c>
      <c r="AL10068">
        <v>88.349126057449695</v>
      </c>
      <c r="AM10068">
        <v>102.523363324404</v>
      </c>
      <c r="AN10068">
        <v>1.00000002723308</v>
      </c>
    </row>
    <row r="10069" spans="1:40" x14ac:dyDescent="0.25">
      <c r="A10069" t="str">
        <f>"20190312150917303"</f>
        <v>20190312150917303</v>
      </c>
      <c r="B10069" t="str">
        <f>"1552374557299848"</f>
        <v>1552374557299848</v>
      </c>
      <c r="C10069" t="s">
        <v>40</v>
      </c>
      <c r="D10069">
        <v>4.8140900000000002</v>
      </c>
      <c r="E10069">
        <v>0.4590322</v>
      </c>
      <c r="F10069" t="s">
        <v>42</v>
      </c>
      <c r="G10069">
        <v>-189.69649999999999</v>
      </c>
      <c r="H10069" s="1">
        <v>-3.717162E-6</v>
      </c>
      <c r="I10069">
        <v>-31.82789</v>
      </c>
      <c r="J10069">
        <v>-191.43180000000001</v>
      </c>
      <c r="K10069">
        <v>1.1180030000000001</v>
      </c>
      <c r="L10069">
        <v>-42.400419999999997</v>
      </c>
      <c r="M10069">
        <v>0.47377330000000001</v>
      </c>
      <c r="N10069">
        <v>0</v>
      </c>
      <c r="O10069">
        <v>0.88055519999999998</v>
      </c>
      <c r="P10069">
        <v>0.27230270000000001</v>
      </c>
      <c r="Q10069">
        <v>2.0195299999999999E-2</v>
      </c>
      <c r="R10069">
        <v>0.96199970000000001</v>
      </c>
      <c r="S10069">
        <v>0.51516720000000005</v>
      </c>
      <c r="T10069">
        <v>-0.30758340000000001</v>
      </c>
      <c r="U10069">
        <v>2.9823300000000001</v>
      </c>
      <c r="V10069">
        <v>-0.2166023</v>
      </c>
      <c r="W10069">
        <v>2.8386419999999999E-2</v>
      </c>
      <c r="X10069">
        <v>0.97584709999999997</v>
      </c>
      <c r="Y10069">
        <v>-0.31756790000000001</v>
      </c>
      <c r="Z10069">
        <v>-8.1265920000000005E-2</v>
      </c>
      <c r="AA10069">
        <v>0.9447468</v>
      </c>
      <c r="AB10069">
        <v>32</v>
      </c>
      <c r="AC10069">
        <v>1.73530000000002</v>
      </c>
      <c r="AD10069">
        <v>-1.1180067171619901</v>
      </c>
      <c r="AE10069">
        <v>10.57253</v>
      </c>
      <c r="AF10069">
        <v>-3.4437372475722898</v>
      </c>
      <c r="AG10069">
        <v>-1.1180067171619901</v>
      </c>
      <c r="AH10069">
        <v>10.023507327545101</v>
      </c>
      <c r="AI10069">
        <v>96.021656502302093</v>
      </c>
      <c r="AJ10069">
        <v>108.960983692</v>
      </c>
      <c r="AK10069">
        <v>10.657390130575401</v>
      </c>
      <c r="AL10069">
        <v>88.373359358795</v>
      </c>
      <c r="AM10069">
        <v>102.51467311972399</v>
      </c>
      <c r="AN10069">
        <v>0.99999995389205698</v>
      </c>
    </row>
    <row r="10070" spans="1:40" x14ac:dyDescent="0.25">
      <c r="A10070" t="str">
        <f>"20190312150917317"</f>
        <v>20190312150917317</v>
      </c>
      <c r="B10070" t="str">
        <f>"1552374557309608"</f>
        <v>1552374557309608</v>
      </c>
      <c r="C10070" t="s">
        <v>40</v>
      </c>
      <c r="D10070">
        <v>4.7320190000000002</v>
      </c>
      <c r="E10070">
        <v>0.45899909999999999</v>
      </c>
      <c r="F10070" t="s">
        <v>42</v>
      </c>
      <c r="G10070">
        <v>-189.64850000000001</v>
      </c>
      <c r="H10070" s="1">
        <v>-3.8355300000000004E-6</v>
      </c>
      <c r="I10070">
        <v>-31.571850000000001</v>
      </c>
      <c r="J10070">
        <v>-191.34530000000001</v>
      </c>
      <c r="K10070">
        <v>1.118004</v>
      </c>
      <c r="L10070">
        <v>-42.227910000000001</v>
      </c>
      <c r="M10070">
        <v>0.46868320000000002</v>
      </c>
      <c r="N10070">
        <v>0</v>
      </c>
      <c r="O10070">
        <v>0.88327500000000003</v>
      </c>
      <c r="P10070">
        <v>0.2668084</v>
      </c>
      <c r="Q10070">
        <v>2.016134E-2</v>
      </c>
      <c r="R10070">
        <v>0.96353869999999997</v>
      </c>
      <c r="S10070">
        <v>0.49172969999999999</v>
      </c>
      <c r="T10070">
        <v>-0.30826969999999998</v>
      </c>
      <c r="U10070">
        <v>2.985779</v>
      </c>
      <c r="V10070">
        <v>-0.21653919999999999</v>
      </c>
      <c r="W10070">
        <v>2.8354009999999999E-2</v>
      </c>
      <c r="X10070">
        <v>0.97586209999999995</v>
      </c>
      <c r="Y10070">
        <v>-0.31949240000000001</v>
      </c>
      <c r="Z10070">
        <v>-8.1768209999999994E-2</v>
      </c>
      <c r="AA10070">
        <v>0.94405430000000001</v>
      </c>
      <c r="AB10070">
        <v>32</v>
      </c>
      <c r="AC10070">
        <v>1.6967999999999901</v>
      </c>
      <c r="AD10070">
        <v>-1.1180078355299901</v>
      </c>
      <c r="AE10070">
        <v>10.656059999999901</v>
      </c>
      <c r="AF10070">
        <v>-3.45872615650861</v>
      </c>
      <c r="AG10070">
        <v>-1.1180078355299901</v>
      </c>
      <c r="AH10070">
        <v>10.099889252957199</v>
      </c>
      <c r="AI10070">
        <v>95.978482798483199</v>
      </c>
      <c r="AJ10070">
        <v>108.903864869014</v>
      </c>
      <c r="AK10070">
        <v>10.734080820826</v>
      </c>
      <c r="AL10070">
        <v>88.375217148540898</v>
      </c>
      <c r="AM10070">
        <v>102.51095592958799</v>
      </c>
      <c r="AN10070">
        <v>1.0000000066180601</v>
      </c>
    </row>
    <row r="10071" spans="1:40" x14ac:dyDescent="0.25">
      <c r="A10071" t="str">
        <f>"20190312150917332"</f>
        <v>20190312150917332</v>
      </c>
      <c r="B10071" t="str">
        <f>"1552374557319368"</f>
        <v>1552374557319368</v>
      </c>
      <c r="C10071" t="s">
        <v>40</v>
      </c>
      <c r="D10071">
        <v>4.7274370000000001</v>
      </c>
      <c r="E10071">
        <v>0.45899909999999999</v>
      </c>
      <c r="F10071" t="s">
        <v>42</v>
      </c>
      <c r="G10071">
        <v>-189.61779999999999</v>
      </c>
      <c r="H10071" s="1">
        <v>-3.9372329999999996E-6</v>
      </c>
      <c r="I10071">
        <v>-31.347449999999998</v>
      </c>
      <c r="J10071">
        <v>-191.2595</v>
      </c>
      <c r="K10071">
        <v>1.118004</v>
      </c>
      <c r="L10071">
        <v>-42.054900000000004</v>
      </c>
      <c r="M10071">
        <v>0.46357480000000001</v>
      </c>
      <c r="N10071">
        <v>0</v>
      </c>
      <c r="O10071">
        <v>0.8859667</v>
      </c>
      <c r="P10071">
        <v>0.26128849999999998</v>
      </c>
      <c r="Q10071">
        <v>2.0125569999999999E-2</v>
      </c>
      <c r="R10071">
        <v>0.96505090000000004</v>
      </c>
      <c r="S10071">
        <v>0.4744873</v>
      </c>
      <c r="T10071">
        <v>-0.30708550000000001</v>
      </c>
      <c r="U10071">
        <v>2.988556</v>
      </c>
      <c r="V10071">
        <v>-0.21648970000000001</v>
      </c>
      <c r="W10071">
        <v>2.8319690000000002E-2</v>
      </c>
      <c r="X10071">
        <v>0.97587409999999997</v>
      </c>
      <c r="Y10071">
        <v>-0.31946819999999998</v>
      </c>
      <c r="Z10071">
        <v>-8.1813540000000004E-2</v>
      </c>
      <c r="AA10071">
        <v>0.94405859999999997</v>
      </c>
      <c r="AB10071">
        <v>32</v>
      </c>
      <c r="AC10071">
        <v>1.6417000000000099</v>
      </c>
      <c r="AD10071">
        <v>-1.1180079372329901</v>
      </c>
      <c r="AE10071">
        <v>10.70745</v>
      </c>
      <c r="AF10071">
        <v>-3.4725069671822402</v>
      </c>
      <c r="AG10071">
        <v>-1.1180079372329901</v>
      </c>
      <c r="AH10071">
        <v>10.1403086311281</v>
      </c>
      <c r="AI10071">
        <v>95.954835493419395</v>
      </c>
      <c r="AJ10071">
        <v>108.903556975928</v>
      </c>
      <c r="AK10071">
        <v>10.7765535083985</v>
      </c>
      <c r="AL10071">
        <v>88.377184362805096</v>
      </c>
      <c r="AM10071">
        <v>102.508037021885</v>
      </c>
      <c r="AN10071">
        <v>1.0000000270492899</v>
      </c>
    </row>
    <row r="10072" spans="1:40" x14ac:dyDescent="0.25">
      <c r="A10072" t="str">
        <f>"20190312150917351"</f>
        <v>20190312150917351</v>
      </c>
      <c r="B10072" t="str">
        <f>"1552374557339865"</f>
        <v>1552374557339865</v>
      </c>
      <c r="C10072" t="s">
        <v>40</v>
      </c>
      <c r="D10072">
        <v>4.7568539999999997</v>
      </c>
      <c r="E10072">
        <v>0.44200660000000003</v>
      </c>
      <c r="F10072" t="s">
        <v>42</v>
      </c>
      <c r="G10072">
        <v>-189.59530000000001</v>
      </c>
      <c r="H10072" s="1">
        <v>-4.0196980000000002E-6</v>
      </c>
      <c r="I10072">
        <v>-31.164549999999998</v>
      </c>
      <c r="J10072">
        <v>-191.137</v>
      </c>
      <c r="K10072">
        <v>1.1180030000000001</v>
      </c>
      <c r="L10072">
        <v>-41.80341</v>
      </c>
      <c r="M10072">
        <v>0.45614680000000002</v>
      </c>
      <c r="N10072">
        <v>0</v>
      </c>
      <c r="O10072">
        <v>0.88981379999999999</v>
      </c>
      <c r="P10072">
        <v>0.25329889999999999</v>
      </c>
      <c r="Q10072">
        <v>1.984203E-2</v>
      </c>
      <c r="R10072">
        <v>0.9671845</v>
      </c>
      <c r="S10072">
        <v>0.4571228</v>
      </c>
      <c r="T10072">
        <v>-0.30708530000000001</v>
      </c>
      <c r="U10072">
        <v>2.9912719999999999</v>
      </c>
      <c r="V10072">
        <v>-0.21639320000000001</v>
      </c>
      <c r="W10072">
        <v>2.8038469999999999E-2</v>
      </c>
      <c r="X10072">
        <v>0.97590359999999998</v>
      </c>
      <c r="Y10072">
        <v>-0.31702930000000001</v>
      </c>
      <c r="Z10072">
        <v>-8.2384440000000003E-2</v>
      </c>
      <c r="AA10072">
        <v>0.94483079999999997</v>
      </c>
      <c r="AB10072">
        <v>32</v>
      </c>
      <c r="AC10072">
        <v>1.5416999999999901</v>
      </c>
      <c r="AD10072">
        <v>-1.1180070196979901</v>
      </c>
      <c r="AE10072">
        <v>10.638859999999999</v>
      </c>
      <c r="AF10072">
        <v>-3.4440853377095402</v>
      </c>
      <c r="AG10072">
        <v>-1.1180070196979901</v>
      </c>
      <c r="AH10072">
        <v>10.061836777467599</v>
      </c>
      <c r="AI10072">
        <v>96.001215627168904</v>
      </c>
      <c r="AJ10072">
        <v>108.895660486708</v>
      </c>
      <c r="AK10072">
        <v>10.6935598771373</v>
      </c>
      <c r="AL10072">
        <v>88.393303446587396</v>
      </c>
      <c r="AM10072">
        <v>102.502270877274</v>
      </c>
      <c r="AN10072">
        <v>1.0000000046495701</v>
      </c>
    </row>
    <row r="10073" spans="1:40" x14ac:dyDescent="0.25">
      <c r="A10073" t="str">
        <f>"20190312150917374"</f>
        <v>20190312150917374</v>
      </c>
      <c r="B10073" t="str">
        <f>"1552374557369143"</f>
        <v>1552374557369143</v>
      </c>
      <c r="C10073" t="s">
        <v>40</v>
      </c>
      <c r="D10073">
        <v>4.7106209999999997</v>
      </c>
      <c r="E10073">
        <v>0.44024049999999998</v>
      </c>
      <c r="F10073" t="s">
        <v>42</v>
      </c>
      <c r="G10073">
        <v>-189.85849999999999</v>
      </c>
      <c r="H10073" s="1">
        <v>-6.1257209999999998E-7</v>
      </c>
      <c r="I10073">
        <v>-28.997800000000002</v>
      </c>
      <c r="J10073">
        <v>-191.0052</v>
      </c>
      <c r="K10073">
        <v>1.1180049999999999</v>
      </c>
      <c r="L10073">
        <v>-41.526699999999998</v>
      </c>
      <c r="M10073">
        <v>0.44797219999999999</v>
      </c>
      <c r="N10073">
        <v>0</v>
      </c>
      <c r="O10073">
        <v>0.89395720000000001</v>
      </c>
      <c r="P10073">
        <v>0.24479319999999999</v>
      </c>
      <c r="Q10073">
        <v>1.9834290000000001E-2</v>
      </c>
      <c r="R10073">
        <v>0.96937240000000002</v>
      </c>
      <c r="S10073">
        <v>0.3023071</v>
      </c>
      <c r="T10073">
        <v>-0.26436589999999999</v>
      </c>
      <c r="U10073">
        <v>3.0280459999999998</v>
      </c>
      <c r="V10073">
        <v>-0.21602089999999999</v>
      </c>
      <c r="W10073">
        <v>2.8039419999999999E-2</v>
      </c>
      <c r="X10073">
        <v>0.97598609999999997</v>
      </c>
      <c r="Y10073">
        <v>-0.35719220000000002</v>
      </c>
      <c r="Z10073">
        <v>-7.0233799999999999E-2</v>
      </c>
      <c r="AA10073">
        <v>0.93138659999999995</v>
      </c>
      <c r="AB10073">
        <v>32</v>
      </c>
      <c r="AC10073">
        <v>1.1467000000000001</v>
      </c>
      <c r="AD10073">
        <v>-1.1180056125720901</v>
      </c>
      <c r="AE10073">
        <v>12.528899999999901</v>
      </c>
      <c r="AF10073">
        <v>-4.5519238558289503</v>
      </c>
      <c r="AG10073">
        <v>-1.1180056125720901</v>
      </c>
      <c r="AH10073">
        <v>11.6231525062316</v>
      </c>
      <c r="AI10073">
        <v>95.118008307524207</v>
      </c>
      <c r="AJ10073">
        <v>111.38658186195499</v>
      </c>
      <c r="AK10073">
        <v>12.5326621881436</v>
      </c>
      <c r="AL10073">
        <v>88.393249071657706</v>
      </c>
      <c r="AM10073">
        <v>102.48041361166</v>
      </c>
      <c r="AN10073">
        <v>1.0000000528519699</v>
      </c>
    </row>
    <row r="10074" spans="1:40" x14ac:dyDescent="0.25">
      <c r="A10074" t="str">
        <f>"20190312150917394"</f>
        <v>20190312150917394</v>
      </c>
      <c r="B10074" t="str">
        <f>"1552374557389640"</f>
        <v>1552374557389640</v>
      </c>
      <c r="C10074" t="s">
        <v>40</v>
      </c>
      <c r="D10074">
        <v>4.7183469999999996</v>
      </c>
      <c r="E10074">
        <v>0.44085849999999999</v>
      </c>
      <c r="F10074" t="s">
        <v>42</v>
      </c>
      <c r="G10074">
        <v>-189.90379999999999</v>
      </c>
      <c r="H10074" s="1">
        <v>-7.0284940000000002E-7</v>
      </c>
      <c r="I10074">
        <v>-28.768630000000002</v>
      </c>
      <c r="J10074">
        <v>-190.8792</v>
      </c>
      <c r="K10074">
        <v>1.117999</v>
      </c>
      <c r="L10074">
        <v>-41.255890000000001</v>
      </c>
      <c r="M10074">
        <v>0.43996859999999999</v>
      </c>
      <c r="N10074">
        <v>0</v>
      </c>
      <c r="O10074">
        <v>0.89792329999999998</v>
      </c>
      <c r="P10074">
        <v>0.2364811</v>
      </c>
      <c r="Q10074">
        <v>1.9426840000000001E-2</v>
      </c>
      <c r="R10074">
        <v>0.97144189999999997</v>
      </c>
      <c r="S10074">
        <v>0.26193240000000001</v>
      </c>
      <c r="T10074">
        <v>-0.26588099999999998</v>
      </c>
      <c r="U10074">
        <v>3.0340880000000001</v>
      </c>
      <c r="V10074">
        <v>-0.21565790000000001</v>
      </c>
      <c r="W10074">
        <v>2.763999E-2</v>
      </c>
      <c r="X10074">
        <v>0.97607770000000005</v>
      </c>
      <c r="Y10074">
        <v>-0.36131799999999997</v>
      </c>
      <c r="Z10074">
        <v>-7.0966230000000005E-2</v>
      </c>
      <c r="AA10074">
        <v>0.92973819999999996</v>
      </c>
      <c r="AB10074">
        <v>32</v>
      </c>
      <c r="AC10074">
        <v>0.97540000000000704</v>
      </c>
      <c r="AD10074">
        <v>-1.1179997028494</v>
      </c>
      <c r="AE10074">
        <v>12.487259999999999</v>
      </c>
      <c r="AF10074">
        <v>-4.5820344761650604</v>
      </c>
      <c r="AG10074">
        <v>-1.1179997028494</v>
      </c>
      <c r="AH10074">
        <v>11.550659803611399</v>
      </c>
      <c r="AI10074">
        <v>95.141087090916699</v>
      </c>
      <c r="AJ10074">
        <v>111.63774645112601</v>
      </c>
      <c r="AK10074">
        <v>12.4764860908471</v>
      </c>
      <c r="AL10074">
        <v>88.4161434944387</v>
      </c>
      <c r="AM10074">
        <v>102.458964327823</v>
      </c>
      <c r="AN10074">
        <v>0.99999998765845</v>
      </c>
    </row>
    <row r="10075" spans="1:40" x14ac:dyDescent="0.25">
      <c r="A10075" t="str">
        <f>"20190312150917408"</f>
        <v>20190312150917408</v>
      </c>
      <c r="B10075" t="str">
        <f>"1552374557399400"</f>
        <v>1552374557399400</v>
      </c>
      <c r="C10075" t="s">
        <v>40</v>
      </c>
      <c r="D10075">
        <v>4.737673</v>
      </c>
      <c r="E10075">
        <v>0.44121440000000001</v>
      </c>
      <c r="F10075" t="s">
        <v>42</v>
      </c>
      <c r="G10075">
        <v>-189.8948</v>
      </c>
      <c r="H10075" s="1">
        <v>-6.8321899999999997E-7</v>
      </c>
      <c r="I10075">
        <v>-28.818110000000001</v>
      </c>
      <c r="J10075">
        <v>-190.7989</v>
      </c>
      <c r="K10075">
        <v>1.118001</v>
      </c>
      <c r="L10075">
        <v>-41.08032</v>
      </c>
      <c r="M10075">
        <v>0.43477680000000002</v>
      </c>
      <c r="N10075">
        <v>0</v>
      </c>
      <c r="O10075">
        <v>0.90044859999999904</v>
      </c>
      <c r="P10075">
        <v>0.2312119</v>
      </c>
      <c r="Q10075">
        <v>1.9307210000000002E-2</v>
      </c>
      <c r="R10075">
        <v>0.97271180000000002</v>
      </c>
      <c r="S10075">
        <v>0.24021909999999999</v>
      </c>
      <c r="T10075">
        <v>-0.27282509999999999</v>
      </c>
      <c r="U10075">
        <v>3.0351870000000001</v>
      </c>
      <c r="V10075">
        <v>-0.2153118</v>
      </c>
      <c r="W10075">
        <v>2.7528919999999998E-2</v>
      </c>
      <c r="X10075">
        <v>0.97615719999999995</v>
      </c>
      <c r="Y10075">
        <v>-0.36257830000000002</v>
      </c>
      <c r="Z10075">
        <v>-7.3106900000000002E-2</v>
      </c>
      <c r="AA10075">
        <v>0.9290815</v>
      </c>
      <c r="AB10075">
        <v>32</v>
      </c>
      <c r="AC10075">
        <v>0.90409999999999902</v>
      </c>
      <c r="AD10075">
        <v>-1.1180016832189901</v>
      </c>
      <c r="AE10075">
        <v>12.26221</v>
      </c>
      <c r="AF10075">
        <v>-4.4805490160024304</v>
      </c>
      <c r="AG10075">
        <v>-1.1180016832189901</v>
      </c>
      <c r="AH10075">
        <v>11.3417229854967</v>
      </c>
      <c r="AI10075">
        <v>95.238206852266998</v>
      </c>
      <c r="AJ10075">
        <v>111.556503917475</v>
      </c>
      <c r="AK10075">
        <v>12.245812652830599</v>
      </c>
      <c r="AL10075">
        <v>88.422509693348502</v>
      </c>
      <c r="AM10075">
        <v>102.438610825677</v>
      </c>
      <c r="AN10075">
        <v>0.99999994588372099</v>
      </c>
    </row>
    <row r="10076" spans="1:40" x14ac:dyDescent="0.25">
      <c r="A10076" t="str">
        <f>"20190312150917428"</f>
        <v>20190312150917428</v>
      </c>
      <c r="B10076" t="str">
        <f>"1552374557419898"</f>
        <v>1552374557419898</v>
      </c>
      <c r="C10076" t="s">
        <v>40</v>
      </c>
      <c r="D10076">
        <v>4.7066129999999999</v>
      </c>
      <c r="E10076">
        <v>0.44172640000000002</v>
      </c>
      <c r="F10076" t="s">
        <v>42</v>
      </c>
      <c r="G10076">
        <v>-189.87860000000001</v>
      </c>
      <c r="H10076" s="1">
        <v>-7.1785440000000001E-7</v>
      </c>
      <c r="I10076">
        <v>-28.744060000000001</v>
      </c>
      <c r="J10076">
        <v>-190.6842</v>
      </c>
      <c r="K10076">
        <v>1.118007</v>
      </c>
      <c r="L10076">
        <v>-40.824100000000001</v>
      </c>
      <c r="M10076">
        <v>0.42720209999999997</v>
      </c>
      <c r="N10076">
        <v>0</v>
      </c>
      <c r="O10076">
        <v>0.90406690000000001</v>
      </c>
      <c r="P10076">
        <v>0.22353390000000001</v>
      </c>
      <c r="Q10076">
        <v>1.9399710000000001E-2</v>
      </c>
      <c r="R10076">
        <v>0.97450309999999996</v>
      </c>
      <c r="S10076">
        <v>0.2264709</v>
      </c>
      <c r="T10076">
        <v>-0.27512609999999998</v>
      </c>
      <c r="U10076">
        <v>3.0357970000000001</v>
      </c>
      <c r="V10076">
        <v>-0.2148159</v>
      </c>
      <c r="W10076">
        <v>2.7632839999999999E-2</v>
      </c>
      <c r="X10076">
        <v>0.97626360000000001</v>
      </c>
      <c r="Y10076">
        <v>-0.358956099999999</v>
      </c>
      <c r="Z10076">
        <v>-7.4259759999999994E-2</v>
      </c>
      <c r="AA10076">
        <v>0.93039559999999999</v>
      </c>
      <c r="AB10076">
        <v>32</v>
      </c>
      <c r="AC10076">
        <v>0.80559999999999798</v>
      </c>
      <c r="AD10076">
        <v>-1.1180077178543999</v>
      </c>
      <c r="AE10076">
        <v>12.08004</v>
      </c>
      <c r="AF10076">
        <v>-4.3951796695501697</v>
      </c>
      <c r="AG10076">
        <v>-1.1180077178543999</v>
      </c>
      <c r="AH10076">
        <v>11.170966300553699</v>
      </c>
      <c r="AI10076">
        <v>95.320743292785096</v>
      </c>
      <c r="AJ10076">
        <v>111.476992565637</v>
      </c>
      <c r="AK10076">
        <v>12.056451952084201</v>
      </c>
      <c r="AL10076">
        <v>88.416553383992706</v>
      </c>
      <c r="AM10076">
        <v>102.40954057859101</v>
      </c>
      <c r="AN10076">
        <v>1.00000003071211</v>
      </c>
    </row>
    <row r="10077" spans="1:40" x14ac:dyDescent="0.25">
      <c r="A10077" t="str">
        <f>"20190312150917450"</f>
        <v>20190312150917450</v>
      </c>
      <c r="B10077" t="str">
        <f>"1552374557439419"</f>
        <v>1552374557439419</v>
      </c>
      <c r="C10077" t="s">
        <v>40</v>
      </c>
      <c r="D10077">
        <v>4.7172000000000001</v>
      </c>
      <c r="E10077">
        <v>0.4424556</v>
      </c>
      <c r="F10077" t="s">
        <v>42</v>
      </c>
      <c r="G10077">
        <v>-189.84829999999999</v>
      </c>
      <c r="H10077" s="1">
        <v>-8.1445240000000001E-7</v>
      </c>
      <c r="I10077">
        <v>-28.53144</v>
      </c>
      <c r="J10077">
        <v>-190.5598</v>
      </c>
      <c r="K10077">
        <v>1.1180099999999999</v>
      </c>
      <c r="L10077">
        <v>-40.539639999999999</v>
      </c>
      <c r="M10077">
        <v>0.41878959999999998</v>
      </c>
      <c r="N10077">
        <v>0</v>
      </c>
      <c r="O10077">
        <v>0.90799439999999998</v>
      </c>
      <c r="P10077">
        <v>0.21485779999999999</v>
      </c>
      <c r="Q10077">
        <v>1.9473549999999999E-2</v>
      </c>
      <c r="R10077">
        <v>0.97645119999999996</v>
      </c>
      <c r="S10077">
        <v>0.20649719999999999</v>
      </c>
      <c r="T10077">
        <v>-0.27617839999999999</v>
      </c>
      <c r="U10077">
        <v>3.0366209999999998</v>
      </c>
      <c r="V10077">
        <v>-0.21443509999999999</v>
      </c>
      <c r="W10077">
        <v>2.7715299999999998E-2</v>
      </c>
      <c r="X10077">
        <v>0.97634489999999996</v>
      </c>
      <c r="Y10077">
        <v>-0.35640110000000003</v>
      </c>
      <c r="Z10077">
        <v>-7.510501E-2</v>
      </c>
      <c r="AA10077">
        <v>0.93130959999999996</v>
      </c>
      <c r="AB10077">
        <v>32</v>
      </c>
      <c r="AC10077">
        <v>0.71150000000000002</v>
      </c>
      <c r="AD10077">
        <v>-1.1180108144523999</v>
      </c>
      <c r="AE10077">
        <v>12.0082</v>
      </c>
      <c r="AF10077">
        <v>-4.3456869601411796</v>
      </c>
      <c r="AG10077">
        <v>-1.1180108144523999</v>
      </c>
      <c r="AH10077">
        <v>11.1063148761097</v>
      </c>
      <c r="AI10077">
        <v>95.355471284065004</v>
      </c>
      <c r="AJ10077">
        <v>111.3694486016</v>
      </c>
      <c r="AK10077">
        <v>11.9785296870722</v>
      </c>
      <c r="AL10077">
        <v>88.411826846618695</v>
      </c>
      <c r="AM10077">
        <v>102.387222494765</v>
      </c>
      <c r="AN10077">
        <v>0.99999995686105403</v>
      </c>
    </row>
    <row r="10078" spans="1:40" x14ac:dyDescent="0.25">
      <c r="A10078" t="str">
        <f>"20190312150917464"</f>
        <v>20190312150917464</v>
      </c>
      <c r="B10078" t="str">
        <f>"1552374557458937"</f>
        <v>1552374557458937</v>
      </c>
      <c r="C10078" t="s">
        <v>40</v>
      </c>
      <c r="D10078">
        <v>4.6897120000000001</v>
      </c>
      <c r="E10078">
        <v>0.44317260000000003</v>
      </c>
      <c r="F10078" t="s">
        <v>42</v>
      </c>
      <c r="G10078">
        <v>-189.82650000000001</v>
      </c>
      <c r="H10078" s="1">
        <v>-8.3590439999999999E-7</v>
      </c>
      <c r="I10078">
        <v>-28.49043</v>
      </c>
      <c r="J10078">
        <v>-190.48150000000001</v>
      </c>
      <c r="K10078">
        <v>1.118012</v>
      </c>
      <c r="L10078">
        <v>-40.35727</v>
      </c>
      <c r="M10078">
        <v>0.41339340000000002</v>
      </c>
      <c r="N10078">
        <v>0</v>
      </c>
      <c r="O10078">
        <v>0.91046380000000005</v>
      </c>
      <c r="P10078">
        <v>0.20922299999999999</v>
      </c>
      <c r="Q10078">
        <v>1.9537619999999999E-2</v>
      </c>
      <c r="R10078">
        <v>0.97767280000000001</v>
      </c>
      <c r="S10078">
        <v>0.18484500000000001</v>
      </c>
      <c r="T10078">
        <v>-0.2818214</v>
      </c>
      <c r="U10078">
        <v>3.0372919999999999</v>
      </c>
      <c r="V10078">
        <v>-0.2142722</v>
      </c>
      <c r="W10078">
        <v>2.7782979999999999E-2</v>
      </c>
      <c r="X10078">
        <v>0.97637879999999999</v>
      </c>
      <c r="Y10078">
        <v>-0.35748780000000002</v>
      </c>
      <c r="Z10078">
        <v>-7.694136E-2</v>
      </c>
      <c r="AA10078">
        <v>0.93074299999999999</v>
      </c>
      <c r="AB10078">
        <v>32</v>
      </c>
      <c r="AC10078">
        <v>0.65500000000000103</v>
      </c>
      <c r="AD10078">
        <v>-1.1180128359043999</v>
      </c>
      <c r="AE10078">
        <v>11.86684</v>
      </c>
      <c r="AF10078">
        <v>-4.2718652655945997</v>
      </c>
      <c r="AG10078">
        <v>-1.1180128359043999</v>
      </c>
      <c r="AH10078">
        <v>10.9788421161429</v>
      </c>
      <c r="AI10078">
        <v>95.421272826984307</v>
      </c>
      <c r="AJ10078">
        <v>111.26100156446699</v>
      </c>
      <c r="AK10078">
        <v>11.8335860904391</v>
      </c>
      <c r="AL10078">
        <v>88.407947667446194</v>
      </c>
      <c r="AM10078">
        <v>102.377685950075</v>
      </c>
      <c r="AN10078">
        <v>1.00000001537998</v>
      </c>
    </row>
    <row r="10079" spans="1:40" x14ac:dyDescent="0.25">
      <c r="A10079" t="str">
        <f>"20190312150917483"</f>
        <v>20190312150917483</v>
      </c>
      <c r="B10079" t="str">
        <f>"1552374557479433"</f>
        <v>1552374557479433</v>
      </c>
      <c r="C10079" t="s">
        <v>40</v>
      </c>
      <c r="D10079">
        <v>4.7643329999999997</v>
      </c>
      <c r="E10079">
        <v>0.44392999999999999</v>
      </c>
      <c r="F10079" t="s">
        <v>42</v>
      </c>
      <c r="G10079">
        <v>-189.78870000000001</v>
      </c>
      <c r="H10079" s="1">
        <v>-9.7148049999999992E-7</v>
      </c>
      <c r="I10079">
        <v>-28.190059999999999</v>
      </c>
      <c r="J10079">
        <v>-190.3784</v>
      </c>
      <c r="K10079">
        <v>1.118012</v>
      </c>
      <c r="L10079">
        <v>-40.111690000000003</v>
      </c>
      <c r="M10079">
        <v>0.40612759999999998</v>
      </c>
      <c r="N10079">
        <v>0</v>
      </c>
      <c r="O10079">
        <v>0.91372799999999998</v>
      </c>
      <c r="P10079">
        <v>0.20164789999999999</v>
      </c>
      <c r="Q10079">
        <v>1.9838850000000002E-2</v>
      </c>
      <c r="R10079">
        <v>0.97925720000000005</v>
      </c>
      <c r="S10079">
        <v>0.17294309999999999</v>
      </c>
      <c r="T10079">
        <v>-0.27906920000000002</v>
      </c>
      <c r="U10079">
        <v>3.0370789999999999</v>
      </c>
      <c r="V10079">
        <v>-0.21405669999999999</v>
      </c>
      <c r="W10079">
        <v>2.8088990000000001E-2</v>
      </c>
      <c r="X10079">
        <v>0.97641730000000004</v>
      </c>
      <c r="Y10079">
        <v>-0.35367749999999998</v>
      </c>
      <c r="Z10079">
        <v>-7.6717030000000005E-2</v>
      </c>
      <c r="AA10079">
        <v>0.93221600000000004</v>
      </c>
      <c r="AB10079">
        <v>32</v>
      </c>
      <c r="AC10079">
        <v>0.58969999999999301</v>
      </c>
      <c r="AD10079">
        <v>-1.1180129714805001</v>
      </c>
      <c r="AE10079">
        <v>11.92163</v>
      </c>
      <c r="AF10079">
        <v>-4.2658001276278101</v>
      </c>
      <c r="AG10079">
        <v>-1.1180129714805001</v>
      </c>
      <c r="AH10079">
        <v>11.036691942989</v>
      </c>
      <c r="AI10079">
        <v>95.397706559137802</v>
      </c>
      <c r="AJ10079">
        <v>111.13205316541</v>
      </c>
      <c r="AK10079">
        <v>11.885098770212499</v>
      </c>
      <c r="AL10079">
        <v>88.390407720572696</v>
      </c>
      <c r="AM10079">
        <v>102.365147920773</v>
      </c>
      <c r="AN10079">
        <v>1.0000000029567</v>
      </c>
    </row>
    <row r="10080" spans="1:40" x14ac:dyDescent="0.25">
      <c r="A10080" t="str">
        <f>"20190312150917497"</f>
        <v>20190312150917497</v>
      </c>
      <c r="B10080" t="str">
        <f>"1552374557489193"</f>
        <v>1552374557489193</v>
      </c>
      <c r="C10080" t="s">
        <v>40</v>
      </c>
      <c r="D10080">
        <v>4.727328</v>
      </c>
      <c r="E10080">
        <v>0.44444080000000002</v>
      </c>
      <c r="F10080" t="s">
        <v>42</v>
      </c>
      <c r="G10080">
        <v>-189.75110000000001</v>
      </c>
      <c r="H10080" s="1">
        <v>-1.1247809999999999E-6</v>
      </c>
      <c r="I10080">
        <v>-27.848240000000001</v>
      </c>
      <c r="J10080">
        <v>-190.3081</v>
      </c>
      <c r="K10080">
        <v>1.118009</v>
      </c>
      <c r="L10080">
        <v>-39.94061</v>
      </c>
      <c r="M10080">
        <v>0.40106760000000002</v>
      </c>
      <c r="N10080">
        <v>0</v>
      </c>
      <c r="O10080">
        <v>0.91596029999999995</v>
      </c>
      <c r="P10080">
        <v>0.1963657</v>
      </c>
      <c r="Q10080">
        <v>1.9905860000000001E-2</v>
      </c>
      <c r="R10080">
        <v>0.98032870000000005</v>
      </c>
      <c r="S10080">
        <v>0.15534970000000001</v>
      </c>
      <c r="T10080">
        <v>-0.27688740000000001</v>
      </c>
      <c r="U10080">
        <v>3.0371700000000001</v>
      </c>
      <c r="V10080">
        <v>-0.21392030000000001</v>
      </c>
      <c r="W10080">
        <v>2.8158579999999999E-2</v>
      </c>
      <c r="X10080">
        <v>0.97644520000000001</v>
      </c>
      <c r="Y10080">
        <v>-0.35388960000000003</v>
      </c>
      <c r="Z10080">
        <v>-7.6424720000000002E-2</v>
      </c>
      <c r="AA10080">
        <v>0.93215950000000003</v>
      </c>
      <c r="AB10080">
        <v>32</v>
      </c>
      <c r="AC10080">
        <v>0.55699999999998795</v>
      </c>
      <c r="AD10080">
        <v>-1.1180101247809999</v>
      </c>
      <c r="AE10080">
        <v>12.092369999999899</v>
      </c>
      <c r="AF10080">
        <v>-4.3033112473762598</v>
      </c>
      <c r="AG10080">
        <v>-1.1180101247809999</v>
      </c>
      <c r="AH10080">
        <v>11.2048608366267</v>
      </c>
      <c r="AI10080">
        <v>95.321501858874299</v>
      </c>
      <c r="AJ10080">
        <v>111.009662327905</v>
      </c>
      <c r="AK10080">
        <v>12.0547642324136</v>
      </c>
      <c r="AL10080">
        <v>88.386418948130697</v>
      </c>
      <c r="AM10080">
        <v>102.35716858670401</v>
      </c>
      <c r="AN10080">
        <v>1.0000000144913701</v>
      </c>
    </row>
    <row r="10081" spans="1:40" x14ac:dyDescent="0.25">
      <c r="A10081" t="str">
        <f>"20190312150917517"</f>
        <v>20190312150917517</v>
      </c>
      <c r="B10081" t="str">
        <f>"1552374557509688"</f>
        <v>1552374557509688</v>
      </c>
      <c r="C10081" t="s">
        <v>40</v>
      </c>
      <c r="D10081">
        <v>4.7595369999999999</v>
      </c>
      <c r="E10081">
        <v>0.44489630000000002</v>
      </c>
      <c r="F10081" t="s">
        <v>42</v>
      </c>
      <c r="G10081">
        <v>-189.72929999999999</v>
      </c>
      <c r="H10081" s="1">
        <v>-1.216486E-6</v>
      </c>
      <c r="I10081">
        <v>-27.64349</v>
      </c>
      <c r="J10081">
        <v>-190.2002</v>
      </c>
      <c r="K10081">
        <v>1.1180139999999901</v>
      </c>
      <c r="L10081">
        <v>-39.673549999999999</v>
      </c>
      <c r="M10081">
        <v>0.39316230000000002</v>
      </c>
      <c r="N10081">
        <v>0</v>
      </c>
      <c r="O10081">
        <v>0.91938129999999996</v>
      </c>
      <c r="P10081">
        <v>0.18824859999999999</v>
      </c>
      <c r="Q10081">
        <v>2.013392E-2</v>
      </c>
      <c r="R10081">
        <v>0.98191499999999998</v>
      </c>
      <c r="S10081">
        <v>0.14295959999999999</v>
      </c>
      <c r="T10081">
        <v>-0.2761287</v>
      </c>
      <c r="U10081">
        <v>3.0371700000000001</v>
      </c>
      <c r="V10081">
        <v>-0.21358969999999999</v>
      </c>
      <c r="W10081">
        <v>2.8394519999999999E-2</v>
      </c>
      <c r="X10081">
        <v>0.97651069999999995</v>
      </c>
      <c r="Y10081">
        <v>-0.34962559999999998</v>
      </c>
      <c r="Z10081">
        <v>-7.6755229999999994E-2</v>
      </c>
      <c r="AA10081">
        <v>0.93374009999999996</v>
      </c>
      <c r="AB10081">
        <v>32</v>
      </c>
      <c r="AC10081">
        <v>0.47089999999999999</v>
      </c>
      <c r="AD10081">
        <v>-1.11801521648599</v>
      </c>
      <c r="AE10081">
        <v>12.030059999999899</v>
      </c>
      <c r="AF10081">
        <v>-4.2604354423944697</v>
      </c>
      <c r="AG10081">
        <v>-1.11801521648599</v>
      </c>
      <c r="AH10081">
        <v>11.1501046733504</v>
      </c>
      <c r="AI10081">
        <v>95.350988719986503</v>
      </c>
      <c r="AJ10081">
        <v>110.91176901312301</v>
      </c>
      <c r="AK10081">
        <v>11.9885821684541</v>
      </c>
      <c r="AL10081">
        <v>88.372895114988395</v>
      </c>
      <c r="AM10081">
        <v>102.33785451721999</v>
      </c>
      <c r="AN10081">
        <v>0.99999997796330398</v>
      </c>
    </row>
    <row r="10082" spans="1:40" x14ac:dyDescent="0.25">
      <c r="A10082" t="str">
        <f>"20190312150917532"</f>
        <v>20190312150917532</v>
      </c>
      <c r="B10082" t="str">
        <f>"1552374557529208"</f>
        <v>1552374557529208</v>
      </c>
      <c r="C10082" t="s">
        <v>40</v>
      </c>
      <c r="D10082">
        <v>4.8378800000000002</v>
      </c>
      <c r="E10082">
        <v>0.4545284</v>
      </c>
      <c r="F10082" t="s">
        <v>42</v>
      </c>
      <c r="G10082">
        <v>-189.7079</v>
      </c>
      <c r="H10082" s="1">
        <v>-1.3423390000000001E-6</v>
      </c>
      <c r="I10082">
        <v>-27.358969999999999</v>
      </c>
      <c r="J10082">
        <v>-190.1268</v>
      </c>
      <c r="K10082">
        <v>1.1180139999999901</v>
      </c>
      <c r="L10082">
        <v>-39.487819999999999</v>
      </c>
      <c r="M10082">
        <v>0.38766289999999998</v>
      </c>
      <c r="N10082">
        <v>0</v>
      </c>
      <c r="O10082">
        <v>0.92171360000000002</v>
      </c>
      <c r="P10082">
        <v>0.1827578</v>
      </c>
      <c r="Q10082">
        <v>2.0438620000000001E-2</v>
      </c>
      <c r="R10082">
        <v>0.98294550000000003</v>
      </c>
      <c r="S10082">
        <v>0.1214447</v>
      </c>
      <c r="T10082">
        <v>-0.27577970000000002</v>
      </c>
      <c r="U10082">
        <v>3.0376280000000002</v>
      </c>
      <c r="V10082">
        <v>-0.21321760000000001</v>
      </c>
      <c r="W10082">
        <v>2.8707199999999999E-2</v>
      </c>
      <c r="X10082">
        <v>0.97658290000000003</v>
      </c>
      <c r="Y10082">
        <v>-0.35063660000000002</v>
      </c>
      <c r="Z10082">
        <v>-7.6951249999999999E-2</v>
      </c>
      <c r="AA10082">
        <v>0.93334479999999997</v>
      </c>
      <c r="AB10082">
        <v>32</v>
      </c>
      <c r="AC10082">
        <v>0.41890000000000699</v>
      </c>
      <c r="AD10082">
        <v>-1.11801534233899</v>
      </c>
      <c r="AE10082">
        <v>12.1288499999999</v>
      </c>
      <c r="AF10082">
        <v>-4.2798263377647396</v>
      </c>
      <c r="AG10082">
        <v>-1.11801534233899</v>
      </c>
      <c r="AH10082">
        <v>11.247182631855701</v>
      </c>
      <c r="AI10082">
        <v>95.3078324914608</v>
      </c>
      <c r="AJ10082">
        <v>110.833036336794</v>
      </c>
      <c r="AK10082">
        <v>12.0857763069423</v>
      </c>
      <c r="AL10082">
        <v>88.354972607440004</v>
      </c>
      <c r="AM10082">
        <v>102.31613426884201</v>
      </c>
      <c r="AN10082">
        <v>1.0000000044270001</v>
      </c>
    </row>
    <row r="10083" spans="1:40" x14ac:dyDescent="0.25">
      <c r="A10083" t="str">
        <f>"20190312150917552"</f>
        <v>20190312150917552</v>
      </c>
      <c r="B10083" t="str">
        <f>"1552374557549704"</f>
        <v>1552374557549704</v>
      </c>
      <c r="C10083" t="s">
        <v>40</v>
      </c>
      <c r="D10083">
        <v>4.8012509999999997</v>
      </c>
      <c r="E10083">
        <v>0.45538640000000002</v>
      </c>
      <c r="F10083" t="s">
        <v>42</v>
      </c>
      <c r="G10083">
        <v>-189.3545</v>
      </c>
      <c r="H10083" s="1">
        <v>-1.7575380000000001E-6</v>
      </c>
      <c r="I10083">
        <v>-26.53725</v>
      </c>
      <c r="J10083">
        <v>-190.02080000000001</v>
      </c>
      <c r="K10083">
        <v>1.118023</v>
      </c>
      <c r="L10083">
        <v>-39.213839999999998</v>
      </c>
      <c r="M10083">
        <v>0.3795499</v>
      </c>
      <c r="N10083">
        <v>0</v>
      </c>
      <c r="O10083">
        <v>0.92508400000000002</v>
      </c>
      <c r="P10083">
        <v>0.17466139999999999</v>
      </c>
      <c r="Q10083">
        <v>2.0809709999999999E-2</v>
      </c>
      <c r="R10083">
        <v>0.98440859999999997</v>
      </c>
      <c r="S10083">
        <v>0.1803284</v>
      </c>
      <c r="T10083">
        <v>-0.26105640000000002</v>
      </c>
      <c r="U10083">
        <v>3.0239560000000001</v>
      </c>
      <c r="V10083">
        <v>-0.2126797</v>
      </c>
      <c r="W10083">
        <v>2.9090419999999999E-2</v>
      </c>
      <c r="X10083">
        <v>0.97668889999999997</v>
      </c>
      <c r="Y10083">
        <v>-0.32397179999999998</v>
      </c>
      <c r="Z10083">
        <v>-7.4019680000000004E-2</v>
      </c>
      <c r="AA10083">
        <v>0.94316670000000002</v>
      </c>
      <c r="AB10083">
        <v>32</v>
      </c>
      <c r="AC10083">
        <v>0.666300000000006</v>
      </c>
      <c r="AD10083">
        <v>-1.118024757538</v>
      </c>
      <c r="AE10083">
        <v>12.676589999999999</v>
      </c>
      <c r="AF10083">
        <v>-4.1630604107030198</v>
      </c>
      <c r="AG10083">
        <v>-1.118024757538</v>
      </c>
      <c r="AH10083">
        <v>11.8885512035934</v>
      </c>
      <c r="AI10083">
        <v>95.072146869742795</v>
      </c>
      <c r="AJ10083">
        <v>109.29892241959099</v>
      </c>
      <c r="AK10083">
        <v>12.6458966096554</v>
      </c>
      <c r="AL10083">
        <v>88.333006632735703</v>
      </c>
      <c r="AM10083">
        <v>102.28471538434501</v>
      </c>
      <c r="AN10083">
        <v>1.0000000573555301</v>
      </c>
    </row>
    <row r="10084" spans="1:40" x14ac:dyDescent="0.25">
      <c r="A10084" t="str">
        <f>"20190312150917576"</f>
        <v>20190312150917576</v>
      </c>
      <c r="B10084" t="str">
        <f>"1552374557569224"</f>
        <v>1552374557569224</v>
      </c>
      <c r="C10084" t="s">
        <v>40</v>
      </c>
      <c r="D10084">
        <v>4.7928199999999999</v>
      </c>
      <c r="E10084">
        <v>0.4562485</v>
      </c>
      <c r="F10084" t="s">
        <v>42</v>
      </c>
      <c r="G10084">
        <v>-189.321</v>
      </c>
      <c r="H10084" s="1">
        <v>-1.9217650000000001E-6</v>
      </c>
      <c r="I10084">
        <v>-26.168289999999999</v>
      </c>
      <c r="J10084">
        <v>-189.9085</v>
      </c>
      <c r="K10084">
        <v>1.1180239999999999</v>
      </c>
      <c r="L10084">
        <v>-38.915500000000002</v>
      </c>
      <c r="M10084">
        <v>0.37071199999999999</v>
      </c>
      <c r="N10084">
        <v>0</v>
      </c>
      <c r="O10084">
        <v>0.92866090000000001</v>
      </c>
      <c r="P10084">
        <v>0.16598209999999999</v>
      </c>
      <c r="Q10084">
        <v>2.113042E-2</v>
      </c>
      <c r="R10084">
        <v>0.98590239999999996</v>
      </c>
      <c r="S10084">
        <v>0.1622314</v>
      </c>
      <c r="T10084">
        <v>-0.25917899999999999</v>
      </c>
      <c r="U10084">
        <v>3.0242</v>
      </c>
      <c r="V10084">
        <v>-0.2119743</v>
      </c>
      <c r="W10084">
        <v>2.9426919999999999E-2</v>
      </c>
      <c r="X10084">
        <v>0.97683209999999998</v>
      </c>
      <c r="Y10084">
        <v>-0.32058049999999999</v>
      </c>
      <c r="Z10084">
        <v>-7.3997850000000004E-2</v>
      </c>
      <c r="AA10084">
        <v>0.94432649999999996</v>
      </c>
      <c r="AB10084">
        <v>32</v>
      </c>
      <c r="AC10084">
        <v>0.58750000000000502</v>
      </c>
      <c r="AD10084">
        <v>-1.1180259217649999</v>
      </c>
      <c r="AE10084">
        <v>12.747210000000001</v>
      </c>
      <c r="AF10084">
        <v>-4.14844836896778</v>
      </c>
      <c r="AG10084">
        <v>-1.1180259217649999</v>
      </c>
      <c r="AH10084">
        <v>11.964757629286799</v>
      </c>
      <c r="AI10084">
        <v>95.045393617178306</v>
      </c>
      <c r="AJ10084">
        <v>109.122572223185</v>
      </c>
      <c r="AK10084">
        <v>12.712790054087501</v>
      </c>
      <c r="AL10084">
        <v>88.313718248589296</v>
      </c>
      <c r="AM10084">
        <v>102.243460789056</v>
      </c>
      <c r="AN10084">
        <v>0.99999999953579299</v>
      </c>
    </row>
    <row r="10085" spans="1:40" x14ac:dyDescent="0.25">
      <c r="A10085" t="str">
        <f>"20190312150917596"</f>
        <v>20190312150917596</v>
      </c>
      <c r="B10085" t="str">
        <f>"1552374557589721"</f>
        <v>1552374557589721</v>
      </c>
      <c r="C10085" t="s">
        <v>40</v>
      </c>
      <c r="D10085">
        <v>4.7450929999999998</v>
      </c>
      <c r="E10085">
        <v>0.45056069999999998</v>
      </c>
      <c r="F10085" t="s">
        <v>42</v>
      </c>
      <c r="G10085">
        <v>-189.28149999999999</v>
      </c>
      <c r="H10085" s="1">
        <v>-2.1710660000000002E-6</v>
      </c>
      <c r="I10085">
        <v>-25.6035</v>
      </c>
      <c r="J10085">
        <v>-189.809</v>
      </c>
      <c r="K10085">
        <v>1.1180319999999999</v>
      </c>
      <c r="L10085">
        <v>-38.643709999999999</v>
      </c>
      <c r="M10085">
        <v>0.36265920000000001</v>
      </c>
      <c r="N10085">
        <v>0</v>
      </c>
      <c r="O10085">
        <v>0.93183519999999997</v>
      </c>
      <c r="P10085">
        <v>0.158418899999999</v>
      </c>
      <c r="Q10085">
        <v>2.1993289999999999E-2</v>
      </c>
      <c r="R10085">
        <v>0.98712699999999998</v>
      </c>
      <c r="S10085">
        <v>0.1424561</v>
      </c>
      <c r="T10085">
        <v>-0.25400440000000002</v>
      </c>
      <c r="U10085">
        <v>3.0243530000000001</v>
      </c>
      <c r="V10085">
        <v>-0.21101700000000001</v>
      </c>
      <c r="W10085">
        <v>3.0311060000000001E-2</v>
      </c>
      <c r="X10085">
        <v>0.97701229999999994</v>
      </c>
      <c r="Y10085">
        <v>-0.31853969999999998</v>
      </c>
      <c r="Z10085">
        <v>-7.2959650000000001E-2</v>
      </c>
      <c r="AA10085">
        <v>0.94509750000000003</v>
      </c>
      <c r="AB10085">
        <v>32</v>
      </c>
      <c r="AC10085">
        <v>0.52750000000003106</v>
      </c>
      <c r="AD10085">
        <v>-1.118034171066</v>
      </c>
      <c r="AE10085">
        <v>13.040209999999901</v>
      </c>
      <c r="AF10085">
        <v>-4.2070759070529702</v>
      </c>
      <c r="AG10085">
        <v>-1.118034171066</v>
      </c>
      <c r="AH10085">
        <v>12.253697344991901</v>
      </c>
      <c r="AI10085">
        <v>94.9321819404434</v>
      </c>
      <c r="AJ10085">
        <v>108.94894238331</v>
      </c>
      <c r="AK10085">
        <v>13.0039450444101</v>
      </c>
      <c r="AL10085">
        <v>88.263038117946905</v>
      </c>
      <c r="AM10085">
        <v>102.187643892268</v>
      </c>
      <c r="AN10085">
        <v>0.99999998449930605</v>
      </c>
    </row>
    <row r="10086" spans="1:40" x14ac:dyDescent="0.25">
      <c r="A10086" t="str">
        <f>"20190312150917619"</f>
        <v>20190312150917619</v>
      </c>
      <c r="B10086" t="str">
        <f>"1552374557609240"</f>
        <v>1552374557609240</v>
      </c>
      <c r="C10086" t="s">
        <v>40</v>
      </c>
      <c r="D10086">
        <v>4.8356529999999998</v>
      </c>
      <c r="E10086">
        <v>0.44993</v>
      </c>
      <c r="F10086" t="s">
        <v>42</v>
      </c>
      <c r="G10086">
        <v>-189.30719999999999</v>
      </c>
      <c r="H10086" s="1">
        <v>-7.3943019999999898E-7</v>
      </c>
      <c r="I10086">
        <v>-18.930060000000001</v>
      </c>
      <c r="J10086">
        <v>-189.70060000000001</v>
      </c>
      <c r="K10086">
        <v>1.1180349999999999</v>
      </c>
      <c r="L10086">
        <v>-38.33914</v>
      </c>
      <c r="M10086">
        <v>0.35363240000000001</v>
      </c>
      <c r="N10086">
        <v>0</v>
      </c>
      <c r="O10086">
        <v>0.93529810000000002</v>
      </c>
      <c r="P10086">
        <v>0.14968699999999999</v>
      </c>
      <c r="Q10086">
        <v>2.2996679999999999E-2</v>
      </c>
      <c r="R10086">
        <v>0.98846599999999996</v>
      </c>
      <c r="S10086">
        <v>7.7148439999999999E-2</v>
      </c>
      <c r="T10086">
        <v>-0.17187520000000001</v>
      </c>
      <c r="U10086">
        <v>3.0305789999999999</v>
      </c>
      <c r="V10086">
        <v>-0.21021780000000001</v>
      </c>
      <c r="W10086">
        <v>3.1332430000000001E-2</v>
      </c>
      <c r="X10086">
        <v>0.97715229999999997</v>
      </c>
      <c r="Y10086">
        <v>-0.32975959999999899</v>
      </c>
      <c r="Z10086">
        <v>-4.9553600000000003E-2</v>
      </c>
      <c r="AA10086">
        <v>0.94276349999999998</v>
      </c>
      <c r="AB10086">
        <v>32</v>
      </c>
      <c r="AC10086">
        <v>0.39340000000001402</v>
      </c>
      <c r="AD10086">
        <v>-1.1180357394302001</v>
      </c>
      <c r="AE10086">
        <v>19.409079999999999</v>
      </c>
      <c r="AF10086">
        <v>-6.4747824089596699</v>
      </c>
      <c r="AG10086">
        <v>-1.1180357394302001</v>
      </c>
      <c r="AH10086">
        <v>18.233395687635198</v>
      </c>
      <c r="AI10086">
        <v>93.307041320956799</v>
      </c>
      <c r="AJ10086">
        <v>109.55023958284001</v>
      </c>
      <c r="AK10086">
        <v>19.381164295776699</v>
      </c>
      <c r="AL10086">
        <v>88.204490011749797</v>
      </c>
      <c r="AM10086">
        <v>102.141168904995</v>
      </c>
      <c r="AN10086">
        <v>0.999999931000915</v>
      </c>
    </row>
    <row r="10087" spans="1:40" x14ac:dyDescent="0.25">
      <c r="A10087" t="str">
        <f>"20190312150917641"</f>
        <v>20190312150917641</v>
      </c>
      <c r="B10087" t="str">
        <f>"1552374557639627"</f>
        <v>1552374557639627</v>
      </c>
      <c r="C10087" t="s">
        <v>40</v>
      </c>
      <c r="D10087">
        <v>4.8551929999999999</v>
      </c>
      <c r="E10087">
        <v>0.45068639999999999</v>
      </c>
      <c r="F10087" t="s">
        <v>42</v>
      </c>
      <c r="G10087">
        <v>-189.37110000000001</v>
      </c>
      <c r="H10087" s="1">
        <v>-1.76935999999999E-6</v>
      </c>
      <c r="I10087">
        <v>-16.50282</v>
      </c>
      <c r="J10087">
        <v>-189.59989999999999</v>
      </c>
      <c r="K10087">
        <v>1.1180380000000001</v>
      </c>
      <c r="L10087">
        <v>-38.047449999999998</v>
      </c>
      <c r="M10087">
        <v>0.34498630000000002</v>
      </c>
      <c r="N10087">
        <v>0</v>
      </c>
      <c r="O10087">
        <v>0.93852170000000001</v>
      </c>
      <c r="P10087">
        <v>0.14185909999999999</v>
      </c>
      <c r="Q10087">
        <v>2.382923E-2</v>
      </c>
      <c r="R10087">
        <v>0.98960000000000004</v>
      </c>
      <c r="S10087">
        <v>4.5745849999999998E-2</v>
      </c>
      <c r="T10087">
        <v>-0.15522429999999901</v>
      </c>
      <c r="U10087">
        <v>3.0316770000000002</v>
      </c>
      <c r="V10087">
        <v>-0.2089432</v>
      </c>
      <c r="W10087">
        <v>3.219317E-2</v>
      </c>
      <c r="X10087">
        <v>0.97739770000000004</v>
      </c>
      <c r="Y10087">
        <v>-0.33081700000000003</v>
      </c>
      <c r="Z10087">
        <v>-4.4988380000000001E-2</v>
      </c>
      <c r="AA10087">
        <v>0.94262199999999996</v>
      </c>
      <c r="AB10087">
        <v>32</v>
      </c>
      <c r="AC10087">
        <v>0.22879999999997799</v>
      </c>
      <c r="AD10087">
        <v>-1.1180397693599999</v>
      </c>
      <c r="AE10087">
        <v>21.544630000000002</v>
      </c>
      <c r="AF10087">
        <v>-7.1990663314672103</v>
      </c>
      <c r="AG10087">
        <v>-1.1180397693599999</v>
      </c>
      <c r="AH10087">
        <v>20.246157930968199</v>
      </c>
      <c r="AI10087">
        <v>92.978466752068002</v>
      </c>
      <c r="AJ10087">
        <v>109.574212163404</v>
      </c>
      <c r="AK10087">
        <v>21.517050911694302</v>
      </c>
      <c r="AL10087">
        <v>88.155148399594296</v>
      </c>
      <c r="AM10087">
        <v>102.066777416283</v>
      </c>
      <c r="AN10087">
        <v>0.99999996249308798</v>
      </c>
    </row>
    <row r="10088" spans="1:40" x14ac:dyDescent="0.25">
      <c r="A10088" t="str">
        <f>"20190312150917663"</f>
        <v>20190312150917663</v>
      </c>
      <c r="B10088" t="str">
        <f>"1552374557659265"</f>
        <v>1552374557659265</v>
      </c>
      <c r="C10088" t="s">
        <v>40</v>
      </c>
      <c r="D10088">
        <v>4.8852539999999998</v>
      </c>
      <c r="E10088">
        <v>0.44957419999999998</v>
      </c>
      <c r="F10088" t="s">
        <v>42</v>
      </c>
      <c r="G10088">
        <v>-189.38810000000001</v>
      </c>
      <c r="H10088" s="1">
        <v>-2.4062590000000001E-6</v>
      </c>
      <c r="I10088">
        <v>-15.01118</v>
      </c>
      <c r="J10088">
        <v>-189.505</v>
      </c>
      <c r="K10088">
        <v>1.1180429999999999</v>
      </c>
      <c r="L10088">
        <v>-37.764310000000002</v>
      </c>
      <c r="M10088">
        <v>0.33660050000000002</v>
      </c>
      <c r="N10088">
        <v>0</v>
      </c>
      <c r="O10088">
        <v>0.9415618</v>
      </c>
      <c r="P10088">
        <v>0.1347071</v>
      </c>
      <c r="Q10088">
        <v>2.4439389999999998E-2</v>
      </c>
      <c r="R10088">
        <v>0.99058400000000002</v>
      </c>
      <c r="S10088">
        <v>2.786255E-2</v>
      </c>
      <c r="T10088">
        <v>-0.1471094</v>
      </c>
      <c r="U10088">
        <v>3.0310670000000002</v>
      </c>
      <c r="V10088">
        <v>-0.207291</v>
      </c>
      <c r="W10088">
        <v>3.2841799999999997E-2</v>
      </c>
      <c r="X10088">
        <v>0.97772789999999998</v>
      </c>
      <c r="Y10088">
        <v>-0.32795570000000002</v>
      </c>
      <c r="Z10088">
        <v>-4.2895450000000002E-2</v>
      </c>
      <c r="AA10088">
        <v>0.94371870000000002</v>
      </c>
      <c r="AB10088">
        <v>32</v>
      </c>
      <c r="AC10088">
        <v>0.116899999999986</v>
      </c>
      <c r="AD10088">
        <v>-1.118045406259</v>
      </c>
      <c r="AE10088">
        <v>22.753129999999899</v>
      </c>
      <c r="AF10088">
        <v>-7.5310722258364597</v>
      </c>
      <c r="AG10088">
        <v>-1.118045406259</v>
      </c>
      <c r="AH10088">
        <v>21.4128586585257</v>
      </c>
      <c r="AI10088">
        <v>92.819886801572196</v>
      </c>
      <c r="AJ10088">
        <v>109.377177715735</v>
      </c>
      <c r="AK10088">
        <v>22.726143322860999</v>
      </c>
      <c r="AL10088">
        <v>88.117965032456098</v>
      </c>
      <c r="AM10088">
        <v>101.970197763112</v>
      </c>
      <c r="AN10088">
        <v>0.99999999447332499</v>
      </c>
    </row>
    <row r="10089" spans="1:40" x14ac:dyDescent="0.25">
      <c r="A10089" t="str">
        <f>"20190312150917685"</f>
        <v>20190312150917685</v>
      </c>
      <c r="B10089" t="str">
        <f>"1552374557679761"</f>
        <v>1552374557679761</v>
      </c>
      <c r="C10089" t="s">
        <v>40</v>
      </c>
      <c r="D10089">
        <v>5.1163019999999904</v>
      </c>
      <c r="E10089">
        <v>0.44973839999999998</v>
      </c>
      <c r="F10089" t="s">
        <v>42</v>
      </c>
      <c r="G10089">
        <v>-189.53479999999999</v>
      </c>
      <c r="H10089" s="1">
        <v>-2.88086E-6</v>
      </c>
      <c r="I10089">
        <v>-23.84422</v>
      </c>
      <c r="J10089">
        <v>-189.40940000000001</v>
      </c>
      <c r="K10089">
        <v>1.1180410000000001</v>
      </c>
      <c r="L10089">
        <v>-37.470669999999998</v>
      </c>
      <c r="M10089">
        <v>0.3279127</v>
      </c>
      <c r="N10089">
        <v>0</v>
      </c>
      <c r="O10089">
        <v>0.94462259999999998</v>
      </c>
      <c r="P10089">
        <v>0.1282635</v>
      </c>
      <c r="Q10089">
        <v>2.5356179999999999E-2</v>
      </c>
      <c r="R10089">
        <v>0.99141590000000002</v>
      </c>
      <c r="S10089">
        <v>-6.5002439999999996E-3</v>
      </c>
      <c r="T10089">
        <v>-0.24379980000000001</v>
      </c>
      <c r="U10089">
        <v>3.0354000000000001</v>
      </c>
      <c r="V10089">
        <v>-0.20464940000000001</v>
      </c>
      <c r="W10089">
        <v>3.3817340000000001E-2</v>
      </c>
      <c r="X10089">
        <v>0.97825099999999998</v>
      </c>
      <c r="Y10089">
        <v>-0.32992529999999998</v>
      </c>
      <c r="Z10089">
        <v>-7.1184369999999997E-2</v>
      </c>
      <c r="AA10089">
        <v>0.94131929999999997</v>
      </c>
      <c r="AB10089">
        <v>32</v>
      </c>
      <c r="AC10089">
        <v>-0.125399999999984</v>
      </c>
      <c r="AD10089">
        <v>-1.11804388086</v>
      </c>
      <c r="AE10089">
        <v>13.626449999999901</v>
      </c>
      <c r="AF10089">
        <v>-4.5564399597935203</v>
      </c>
      <c r="AG10089">
        <v>-1.11804388086</v>
      </c>
      <c r="AH10089">
        <v>12.745967774792099</v>
      </c>
      <c r="AI10089">
        <v>94.721818596718506</v>
      </c>
      <c r="AJ10089">
        <v>109.670999362933</v>
      </c>
      <c r="AK10089">
        <v>13.5820050707829</v>
      </c>
      <c r="AL10089">
        <v>88.062039652755203</v>
      </c>
      <c r="AM10089">
        <v>101.815831661849</v>
      </c>
      <c r="AN10089">
        <v>1.0000000042030099</v>
      </c>
    </row>
    <row r="10090" spans="1:40" x14ac:dyDescent="0.25">
      <c r="A10090" t="str">
        <f>"20190312150917699"</f>
        <v>20190312150917699</v>
      </c>
      <c r="B10090" t="str">
        <f>"1552374557689522"</f>
        <v>1552374557689522</v>
      </c>
      <c r="C10090" t="s">
        <v>40</v>
      </c>
      <c r="D10090">
        <v>4.9657049999999998</v>
      </c>
      <c r="E10090">
        <v>0.4541038</v>
      </c>
      <c r="F10090" t="s">
        <v>42</v>
      </c>
      <c r="G10090">
        <v>-189.52549999999999</v>
      </c>
      <c r="H10090" s="1">
        <v>-3.0141000000000001E-6</v>
      </c>
      <c r="I10090">
        <v>-23.537479999999999</v>
      </c>
      <c r="J10090">
        <v>-189.34639999999999</v>
      </c>
      <c r="K10090">
        <v>1.1180300000000001</v>
      </c>
      <c r="L10090">
        <v>-37.270969999999998</v>
      </c>
      <c r="M10090">
        <v>0.32202160000000002</v>
      </c>
      <c r="N10090">
        <v>0</v>
      </c>
      <c r="O10090">
        <v>0.94664720000000002</v>
      </c>
      <c r="P10090">
        <v>0.1234238</v>
      </c>
      <c r="Q10090">
        <v>2.5882269999999999E-2</v>
      </c>
      <c r="R10090">
        <v>0.99201649999999997</v>
      </c>
      <c r="S10090">
        <v>-2.528381E-2</v>
      </c>
      <c r="T10090">
        <v>-0.24357770000000001</v>
      </c>
      <c r="U10090">
        <v>3.0354920000000001</v>
      </c>
      <c r="V10090">
        <v>-0.20333329999999999</v>
      </c>
      <c r="W10090">
        <v>3.4373019999999997E-2</v>
      </c>
      <c r="X10090">
        <v>0.97850599999999999</v>
      </c>
      <c r="Y10090">
        <v>-0.32986959999999999</v>
      </c>
      <c r="Z10090">
        <v>-7.1357820000000002E-2</v>
      </c>
      <c r="AA10090">
        <v>0.94132570000000004</v>
      </c>
      <c r="AB10090">
        <v>32</v>
      </c>
      <c r="AC10090">
        <v>-0.17910000000000501</v>
      </c>
      <c r="AD10090">
        <v>-1.1180330141000001</v>
      </c>
      <c r="AE10090">
        <v>13.73349</v>
      </c>
      <c r="AF10090">
        <v>-4.5621645815643701</v>
      </c>
      <c r="AG10090">
        <v>-1.1180330141000001</v>
      </c>
      <c r="AH10090">
        <v>12.8589312956261</v>
      </c>
      <c r="AI10090">
        <v>94.684448921006904</v>
      </c>
      <c r="AJ10090">
        <v>109.533955893249</v>
      </c>
      <c r="AK10090">
        <v>13.6899765359745</v>
      </c>
      <c r="AL10090">
        <v>88.030182932172295</v>
      </c>
      <c r="AM10090">
        <v>101.738985334438</v>
      </c>
      <c r="AN10090">
        <v>0.99999996371440403</v>
      </c>
    </row>
    <row r="10091" spans="1:40" x14ac:dyDescent="0.25">
      <c r="A10091" t="str">
        <f>"20190312150917718"</f>
        <v>20190312150917718</v>
      </c>
      <c r="B10091" t="str">
        <f>"1552374557709041"</f>
        <v>1552374557709041</v>
      </c>
      <c r="C10091" t="s">
        <v>40</v>
      </c>
      <c r="D10091">
        <v>4.8692120000000001</v>
      </c>
      <c r="E10091">
        <v>0.45644580000000001</v>
      </c>
      <c r="F10091" t="s">
        <v>42</v>
      </c>
      <c r="G10091">
        <v>-189.36259999999999</v>
      </c>
      <c r="H10091" s="1">
        <v>-1.593282E-6</v>
      </c>
      <c r="I10091">
        <v>-16.916779999999999</v>
      </c>
      <c r="J10091">
        <v>-189.26679999999999</v>
      </c>
      <c r="K10091">
        <v>1.1180139999999901</v>
      </c>
      <c r="L10091">
        <v>-37.013030000000001</v>
      </c>
      <c r="M10091">
        <v>0.31442500000000001</v>
      </c>
      <c r="N10091">
        <v>0</v>
      </c>
      <c r="O10091">
        <v>0.94919750000000003</v>
      </c>
      <c r="P10091">
        <v>0.1177763</v>
      </c>
      <c r="Q10091">
        <v>2.623381E-2</v>
      </c>
      <c r="R10091">
        <v>0.99269359999999995</v>
      </c>
      <c r="S10091">
        <v>-2.4108889999999998E-3</v>
      </c>
      <c r="T10091">
        <v>-0.166367299999999</v>
      </c>
      <c r="U10091">
        <v>3.028778</v>
      </c>
      <c r="V10091">
        <v>-0.2010614</v>
      </c>
      <c r="W10091">
        <v>3.4774270000000003E-2</v>
      </c>
      <c r="X10091">
        <v>0.97896119999999998</v>
      </c>
      <c r="Y10091">
        <v>-0.31519239999999998</v>
      </c>
      <c r="Z10091">
        <v>-4.9277010000000003E-2</v>
      </c>
      <c r="AA10091">
        <v>0.94774760000000002</v>
      </c>
      <c r="AB10091">
        <v>32</v>
      </c>
      <c r="AC10091">
        <v>-9.5799999999996999E-2</v>
      </c>
      <c r="AD10091">
        <v>-1.11801559328199</v>
      </c>
      <c r="AE10091">
        <v>20.096250000000001</v>
      </c>
      <c r="AF10091">
        <v>-6.3904344771431196</v>
      </c>
      <c r="AG10091">
        <v>-1.11801559328199</v>
      </c>
      <c r="AH10091">
        <v>18.987954844921301</v>
      </c>
      <c r="AI10091">
        <v>93.194054866067006</v>
      </c>
      <c r="AJ10091">
        <v>108.600763472008</v>
      </c>
      <c r="AK10091">
        <v>20.065643295599902</v>
      </c>
      <c r="AL10091">
        <v>88.007179286937102</v>
      </c>
      <c r="AM10091">
        <v>101.60615087617499</v>
      </c>
      <c r="AN10091">
        <v>0.99999998376471599</v>
      </c>
    </row>
    <row r="10092" spans="1:40" x14ac:dyDescent="0.25">
      <c r="A10092" t="str">
        <f>"20190312150917733"</f>
        <v>20190312150917733</v>
      </c>
      <c r="B10092" t="str">
        <f>"1552374557729537"</f>
        <v>1552374557729537</v>
      </c>
      <c r="C10092" t="s">
        <v>40</v>
      </c>
      <c r="D10092">
        <v>4.8400600000000003</v>
      </c>
      <c r="E10092">
        <v>0.45731319999999998</v>
      </c>
      <c r="F10092" t="s">
        <v>42</v>
      </c>
      <c r="G10092">
        <v>-189.2731</v>
      </c>
      <c r="H10092" s="1">
        <v>-1.7915600000000001E-6</v>
      </c>
      <c r="I10092">
        <v>-16.491589999999999</v>
      </c>
      <c r="J10092">
        <v>-189.20840000000001</v>
      </c>
      <c r="K10092">
        <v>1.1179859999999999</v>
      </c>
      <c r="L10092">
        <v>-36.81897</v>
      </c>
      <c r="M10092">
        <v>0.30872919999999998</v>
      </c>
      <c r="N10092">
        <v>0</v>
      </c>
      <c r="O10092">
        <v>0.95106550000000001</v>
      </c>
      <c r="P10092">
        <v>0.1131516</v>
      </c>
      <c r="Q10092">
        <v>2.6114419999999999E-2</v>
      </c>
      <c r="R10092">
        <v>0.99323450000000002</v>
      </c>
      <c r="S10092">
        <v>-9.307861E-4</v>
      </c>
      <c r="T10092">
        <v>-0.1648876</v>
      </c>
      <c r="U10092">
        <v>3.0265499999999999</v>
      </c>
      <c r="V10092">
        <v>-0.1997487</v>
      </c>
      <c r="W10092">
        <v>3.4683730000000003E-2</v>
      </c>
      <c r="X10092">
        <v>0.97923309999999997</v>
      </c>
      <c r="Y10092">
        <v>-0.3090347</v>
      </c>
      <c r="Z10092">
        <v>-4.9083349999999998E-2</v>
      </c>
      <c r="AA10092">
        <v>0.9497833</v>
      </c>
      <c r="AB10092">
        <v>32</v>
      </c>
      <c r="AC10092">
        <v>-6.4699999999987698E-2</v>
      </c>
      <c r="AD10092">
        <v>-1.1179877915600001</v>
      </c>
      <c r="AE10092">
        <v>20.327379999999899</v>
      </c>
      <c r="AF10092">
        <v>-6.31858603457718</v>
      </c>
      <c r="AG10092">
        <v>-1.1179877915600001</v>
      </c>
      <c r="AH10092">
        <v>19.2560000423506</v>
      </c>
      <c r="AI10092">
        <v>93.157532442586799</v>
      </c>
      <c r="AJ10092">
        <v>108.16652338337801</v>
      </c>
      <c r="AK10092">
        <v>20.296993959929999</v>
      </c>
      <c r="AL10092">
        <v>88.012369978979393</v>
      </c>
      <c r="AM10092">
        <v>101.52929607998701</v>
      </c>
      <c r="AN10092">
        <v>0.99999998420700598</v>
      </c>
    </row>
    <row r="10093" spans="1:40" x14ac:dyDescent="0.25">
      <c r="A10093" t="str">
        <f>"20190312150917754"</f>
        <v>20190312150917754</v>
      </c>
      <c r="B10093" t="str">
        <f>"1552374557749564"</f>
        <v>1552374557749564</v>
      </c>
      <c r="C10093" t="s">
        <v>40</v>
      </c>
      <c r="D10093">
        <v>4.8364760000000002</v>
      </c>
      <c r="E10093">
        <v>0.45799109999999998</v>
      </c>
      <c r="F10093" t="s">
        <v>42</v>
      </c>
      <c r="G10093">
        <v>-189.2645</v>
      </c>
      <c r="H10093" s="1">
        <v>-2.1679149999999998E-6</v>
      </c>
      <c r="I10093">
        <v>-15.61786</v>
      </c>
      <c r="J10093">
        <v>-189.1276</v>
      </c>
      <c r="K10093">
        <v>1.117944</v>
      </c>
      <c r="L10093">
        <v>-36.543550000000003</v>
      </c>
      <c r="M10093">
        <v>0.3006856</v>
      </c>
      <c r="N10093">
        <v>0</v>
      </c>
      <c r="O10093">
        <v>0.95363929999999997</v>
      </c>
      <c r="P10093">
        <v>0.10693809999999999</v>
      </c>
      <c r="Q10093">
        <v>2.628873E-2</v>
      </c>
      <c r="R10093">
        <v>0.99391810000000003</v>
      </c>
      <c r="S10093">
        <v>-8.0108639999999995E-3</v>
      </c>
      <c r="T10093">
        <v>-0.15954450000000001</v>
      </c>
      <c r="U10093">
        <v>3.0255429999999999</v>
      </c>
      <c r="V10093">
        <v>-0.1975992</v>
      </c>
      <c r="W10093">
        <v>3.4905800000000001E-2</v>
      </c>
      <c r="X10093">
        <v>0.97966120000000001</v>
      </c>
      <c r="Y10093">
        <v>-0.30322059999999901</v>
      </c>
      <c r="Z10093">
        <v>-4.7764859999999999E-2</v>
      </c>
      <c r="AA10093">
        <v>0.95172250000000003</v>
      </c>
      <c r="AB10093">
        <v>32</v>
      </c>
      <c r="AC10093">
        <v>-0.136899999999997</v>
      </c>
      <c r="AD10093">
        <v>-1.117946167915</v>
      </c>
      <c r="AE10093">
        <v>20.925689999999999</v>
      </c>
      <c r="AF10093">
        <v>-6.4048417393704096</v>
      </c>
      <c r="AG10093">
        <v>-1.117946167915</v>
      </c>
      <c r="AH10093">
        <v>19.8593126540257</v>
      </c>
      <c r="AI10093">
        <v>93.066741482191702</v>
      </c>
      <c r="AJ10093">
        <v>107.875069062736</v>
      </c>
      <c r="AK10093">
        <v>20.896509288182202</v>
      </c>
      <c r="AL10093">
        <v>87.999638552934101</v>
      </c>
      <c r="AM10093">
        <v>101.403644664201</v>
      </c>
      <c r="AN10093">
        <v>0.99999996274985903</v>
      </c>
    </row>
    <row r="10094" spans="1:40" x14ac:dyDescent="0.25">
      <c r="A10094" t="str">
        <f>"20190312150917775"</f>
        <v>20190312150917775</v>
      </c>
      <c r="B10094" t="str">
        <f>"1552374557769084"</f>
        <v>1552374557769084</v>
      </c>
      <c r="C10094" t="s">
        <v>40</v>
      </c>
      <c r="D10094">
        <v>4.8325139999999998</v>
      </c>
      <c r="E10094">
        <v>0.45824310000000001</v>
      </c>
      <c r="F10094" t="s">
        <v>42</v>
      </c>
      <c r="G10094">
        <v>-189.28039999999999</v>
      </c>
      <c r="H10094" s="1">
        <v>-2.6149359999999999E-6</v>
      </c>
      <c r="I10094">
        <v>-14.56926</v>
      </c>
      <c r="J10094">
        <v>-189.04349999999999</v>
      </c>
      <c r="K10094">
        <v>1.117893</v>
      </c>
      <c r="L10094">
        <v>-36.247529999999998</v>
      </c>
      <c r="M10094">
        <v>0.29210520000000001</v>
      </c>
      <c r="N10094">
        <v>0</v>
      </c>
      <c r="O10094">
        <v>0.95630269999999995</v>
      </c>
      <c r="P10094">
        <v>9.9852780000000002E-2</v>
      </c>
      <c r="Q10094">
        <v>2.6999269999999999E-2</v>
      </c>
      <c r="R10094">
        <v>0.99463579999999996</v>
      </c>
      <c r="S10094">
        <v>-2.1041870000000001E-2</v>
      </c>
      <c r="T10094">
        <v>-0.15388170000000001</v>
      </c>
      <c r="U10094">
        <v>3.024689</v>
      </c>
      <c r="V10094">
        <v>-0.1957808</v>
      </c>
      <c r="W10094">
        <v>3.5658740000000001E-2</v>
      </c>
      <c r="X10094">
        <v>0.97999919999999996</v>
      </c>
      <c r="Y10094">
        <v>-0.29875790000000002</v>
      </c>
      <c r="Z10094">
        <v>-4.6324379999999998E-2</v>
      </c>
      <c r="AA10094">
        <v>0.95320389999999999</v>
      </c>
      <c r="AB10094">
        <v>32</v>
      </c>
      <c r="AC10094">
        <v>-0.23689999999999101</v>
      </c>
      <c r="AD10094">
        <v>-1.117895614936</v>
      </c>
      <c r="AE10094">
        <v>21.678270000000001</v>
      </c>
      <c r="AF10094">
        <v>-6.5420127533984598</v>
      </c>
      <c r="AG10094">
        <v>-1.117895614936</v>
      </c>
      <c r="AH10094">
        <v>20.608642189526002</v>
      </c>
      <c r="AI10094">
        <v>92.959647769163695</v>
      </c>
      <c r="AJ10094">
        <v>107.61153389053101</v>
      </c>
      <c r="AK10094">
        <v>21.650952735790501</v>
      </c>
      <c r="AL10094">
        <v>87.956471567380405</v>
      </c>
      <c r="AM10094">
        <v>101.29761828930999</v>
      </c>
      <c r="AN10094">
        <v>1.0000000496938299</v>
      </c>
    </row>
    <row r="10095" spans="1:40" x14ac:dyDescent="0.25">
      <c r="A10095" t="str">
        <f>"20190312150917797"</f>
        <v>20190312150917797</v>
      </c>
      <c r="B10095" t="str">
        <f>"1552374557789580"</f>
        <v>1552374557789580</v>
      </c>
      <c r="C10095" t="s">
        <v>40</v>
      </c>
      <c r="D10095">
        <v>4.9473419999999999</v>
      </c>
      <c r="E10095">
        <v>0.45922059999999998</v>
      </c>
      <c r="F10095" t="s">
        <v>42</v>
      </c>
      <c r="G10095">
        <v>-189.33600000000001</v>
      </c>
      <c r="H10095" s="1">
        <v>-2.740039E-6</v>
      </c>
      <c r="I10095">
        <v>-14.25469</v>
      </c>
      <c r="J10095">
        <v>-188.96299999999999</v>
      </c>
      <c r="K10095">
        <v>1.117826</v>
      </c>
      <c r="L10095">
        <v>-35.95505</v>
      </c>
      <c r="M10095">
        <v>0.28370400000000001</v>
      </c>
      <c r="N10095">
        <v>0</v>
      </c>
      <c r="O10095">
        <v>0.95882889999999998</v>
      </c>
      <c r="P10095">
        <v>9.3157719999999999E-2</v>
      </c>
      <c r="Q10095">
        <v>2.67575E-2</v>
      </c>
      <c r="R10095">
        <v>0.99529179999999995</v>
      </c>
      <c r="S10095">
        <v>-4.0222170000000002E-2</v>
      </c>
      <c r="T10095">
        <v>-0.15372930000000001</v>
      </c>
      <c r="U10095">
        <v>3.024384</v>
      </c>
      <c r="V10095">
        <v>-0.19376760000000001</v>
      </c>
      <c r="W10095">
        <v>3.5465740000000003E-2</v>
      </c>
      <c r="X10095">
        <v>0.98040620000000001</v>
      </c>
      <c r="Y10095">
        <v>-0.29642970000000002</v>
      </c>
      <c r="Z10095">
        <v>-4.6491589999999999E-2</v>
      </c>
      <c r="AA10095">
        <v>0.95392239999999995</v>
      </c>
      <c r="AB10095">
        <v>32</v>
      </c>
      <c r="AC10095">
        <v>-0.37299999999999001</v>
      </c>
      <c r="AD10095">
        <v>-1.1178287400389999</v>
      </c>
      <c r="AE10095">
        <v>21.70036</v>
      </c>
      <c r="AF10095">
        <v>-6.4974049615260396</v>
      </c>
      <c r="AG10095">
        <v>-1.1178287400389999</v>
      </c>
      <c r="AH10095">
        <v>20.647985582976499</v>
      </c>
      <c r="AI10095">
        <v>92.956185852261996</v>
      </c>
      <c r="AJ10095">
        <v>107.46748576015101</v>
      </c>
      <c r="AK10095">
        <v>21.674988372798001</v>
      </c>
      <c r="AL10095">
        <v>87.967536569150198</v>
      </c>
      <c r="AM10095">
        <v>101.17986298933501</v>
      </c>
      <c r="AN10095">
        <v>1.00000000926097</v>
      </c>
    </row>
    <row r="10096" spans="1:40" x14ac:dyDescent="0.25">
      <c r="A10096" t="str">
        <f>"20190312150917812"</f>
        <v>20190312150917812</v>
      </c>
      <c r="B10096" t="str">
        <f>"1552374557799340"</f>
        <v>1552374557799340</v>
      </c>
      <c r="C10096" t="s">
        <v>40</v>
      </c>
      <c r="D10096">
        <v>4.9533950000000004</v>
      </c>
      <c r="E10096">
        <v>0.45959840000000002</v>
      </c>
      <c r="F10096" t="s">
        <v>42</v>
      </c>
      <c r="G10096">
        <v>-189.3357</v>
      </c>
      <c r="H10096" s="1">
        <v>-2.563873E-6</v>
      </c>
      <c r="I10096">
        <v>-14.66545</v>
      </c>
      <c r="J10096">
        <v>-188.911</v>
      </c>
      <c r="K10096">
        <v>1.117775</v>
      </c>
      <c r="L10096">
        <v>-35.760620000000003</v>
      </c>
      <c r="M10096">
        <v>0.27817239999999999</v>
      </c>
      <c r="N10096">
        <v>0</v>
      </c>
      <c r="O10096">
        <v>0.96044859999999999</v>
      </c>
      <c r="P10096">
        <v>8.8578219999999999E-2</v>
      </c>
      <c r="Q10096">
        <v>2.6784530000000001E-2</v>
      </c>
      <c r="R10096">
        <v>0.99570910000000001</v>
      </c>
      <c r="S10096">
        <v>-5.2917480000000003E-2</v>
      </c>
      <c r="T10096">
        <v>-0.15874649999999901</v>
      </c>
      <c r="U10096">
        <v>3.0234070000000002</v>
      </c>
      <c r="V10096">
        <v>-0.19262170000000001</v>
      </c>
      <c r="W10096">
        <v>3.5523390000000002E-2</v>
      </c>
      <c r="X10096">
        <v>0.98062990000000005</v>
      </c>
      <c r="Y10096">
        <v>-0.2949312</v>
      </c>
      <c r="Z10096">
        <v>-4.8157779999999997E-2</v>
      </c>
      <c r="AA10096">
        <v>0.95430420000000005</v>
      </c>
      <c r="AB10096">
        <v>32</v>
      </c>
      <c r="AC10096">
        <v>-0.424700000000029</v>
      </c>
      <c r="AD10096">
        <v>-1.1177775638730001</v>
      </c>
      <c r="AE10096">
        <v>21.09517</v>
      </c>
      <c r="AF10096">
        <v>-6.2589285101188503</v>
      </c>
      <c r="AG10096">
        <v>-1.1177775638730001</v>
      </c>
      <c r="AH10096">
        <v>20.087907018138601</v>
      </c>
      <c r="AI10096">
        <v>93.040997579084006</v>
      </c>
      <c r="AJ10096">
        <v>107.30582959565</v>
      </c>
      <c r="AK10096">
        <v>21.070064573855898</v>
      </c>
      <c r="AL10096">
        <v>87.964231397828101</v>
      </c>
      <c r="AM10096">
        <v>101.112926314304</v>
      </c>
      <c r="AN10096">
        <v>1.0000000156609901</v>
      </c>
    </row>
    <row r="10097" spans="1:40" x14ac:dyDescent="0.25">
      <c r="A10097" t="str">
        <f>"20190312150917831"</f>
        <v>20190312150917831</v>
      </c>
      <c r="B10097" t="str">
        <f>"1552374557819836"</f>
        <v>1552374557819836</v>
      </c>
      <c r="C10097" t="s">
        <v>40</v>
      </c>
      <c r="D10097">
        <v>4.9421619999999997</v>
      </c>
      <c r="E10097">
        <v>0.46001229999999999</v>
      </c>
      <c r="F10097" t="s">
        <v>42</v>
      </c>
      <c r="G10097">
        <v>-189.35249999999999</v>
      </c>
      <c r="H10097" s="1">
        <v>-2.4727690000000001E-6</v>
      </c>
      <c r="I10097">
        <v>-14.870850000000001</v>
      </c>
      <c r="J10097">
        <v>-188.84190000000001</v>
      </c>
      <c r="K10097">
        <v>1.117699</v>
      </c>
      <c r="L10097">
        <v>-35.494999999999997</v>
      </c>
      <c r="M10097">
        <v>0.27069219999999999</v>
      </c>
      <c r="N10097">
        <v>0</v>
      </c>
      <c r="O10097">
        <v>0.96258379999999999</v>
      </c>
      <c r="P10097">
        <v>8.3988119999999999E-2</v>
      </c>
      <c r="Q10097">
        <v>2.6776629999999999E-2</v>
      </c>
      <c r="R10097">
        <v>0.99610690000000002</v>
      </c>
      <c r="S10097">
        <v>-6.3888550000000002E-2</v>
      </c>
      <c r="T10097">
        <v>-0.1617547</v>
      </c>
      <c r="U10097">
        <v>3.02298</v>
      </c>
      <c r="V10097">
        <v>-0.18950330000000001</v>
      </c>
      <c r="W10097">
        <v>3.5592499999999999E-2</v>
      </c>
      <c r="X10097">
        <v>0.98123479999999996</v>
      </c>
      <c r="Y10097">
        <v>-0.29095860000000001</v>
      </c>
      <c r="Z10097">
        <v>-4.9276229999999997E-2</v>
      </c>
      <c r="AA10097">
        <v>0.95546589999999998</v>
      </c>
      <c r="AB10097">
        <v>32</v>
      </c>
      <c r="AC10097">
        <v>-0.51059999999998196</v>
      </c>
      <c r="AD10097">
        <v>-1.117701472769</v>
      </c>
      <c r="AE10097">
        <v>20.62415</v>
      </c>
      <c r="AF10097">
        <v>-6.0569939260478396</v>
      </c>
      <c r="AG10097">
        <v>-1.117701472769</v>
      </c>
      <c r="AH10097">
        <v>19.6581165031163</v>
      </c>
      <c r="AI10097">
        <v>93.110178693170099</v>
      </c>
      <c r="AJ10097">
        <v>107.124939053532</v>
      </c>
      <c r="AK10097">
        <v>20.600436317042</v>
      </c>
      <c r="AL10097">
        <v>87.960269209673996</v>
      </c>
      <c r="AM10097">
        <v>100.930809548273</v>
      </c>
      <c r="AN10097">
        <v>1.0000000297490801</v>
      </c>
    </row>
    <row r="10098" spans="1:40" x14ac:dyDescent="0.25">
      <c r="A10098" t="str">
        <f>"20190312150917847"</f>
        <v>20190312150917847</v>
      </c>
      <c r="B10098" t="str">
        <f>"1552374557839356"</f>
        <v>1552374557839356</v>
      </c>
      <c r="C10098" t="s">
        <v>40</v>
      </c>
      <c r="D10098">
        <v>4.9663740000000001</v>
      </c>
      <c r="E10098">
        <v>0.46771879999999999</v>
      </c>
      <c r="F10098" t="s">
        <v>42</v>
      </c>
      <c r="G10098">
        <v>-189.34460000000001</v>
      </c>
      <c r="H10098" s="1">
        <v>-2.3864760000000001E-6</v>
      </c>
      <c r="I10098">
        <v>-15.07526</v>
      </c>
      <c r="J10098">
        <v>-188.7877</v>
      </c>
      <c r="K10098">
        <v>1.117631</v>
      </c>
      <c r="L10098">
        <v>-35.281590000000001</v>
      </c>
      <c r="M10098">
        <v>0.26474560000000003</v>
      </c>
      <c r="N10098">
        <v>0</v>
      </c>
      <c r="O10098">
        <v>0.9642366</v>
      </c>
      <c r="P10098">
        <v>7.9927490000000004E-2</v>
      </c>
      <c r="Q10098">
        <v>2.7294970000000002E-2</v>
      </c>
      <c r="R10098">
        <v>0.9964269</v>
      </c>
      <c r="S10098">
        <v>-7.4417109999999995E-2</v>
      </c>
      <c r="T10098">
        <v>-0.16543840000000001</v>
      </c>
      <c r="U10098">
        <v>3.0224609999999998</v>
      </c>
      <c r="V10098">
        <v>-0.18744540000000001</v>
      </c>
      <c r="W10098">
        <v>3.6165280000000001E-2</v>
      </c>
      <c r="X10098">
        <v>0.98160899999999995</v>
      </c>
      <c r="Y10098">
        <v>-0.28838059999999899</v>
      </c>
      <c r="Z10098">
        <v>-5.0558249999999999E-2</v>
      </c>
      <c r="AA10098">
        <v>0.95618020000000004</v>
      </c>
      <c r="AB10098">
        <v>32</v>
      </c>
      <c r="AC10098">
        <v>-0.55690000000001205</v>
      </c>
      <c r="AD10098">
        <v>-1.117633386476</v>
      </c>
      <c r="AE10098">
        <v>20.206329999999902</v>
      </c>
      <c r="AF10098">
        <v>-5.8690424702156196</v>
      </c>
      <c r="AG10098">
        <v>-1.117633386476</v>
      </c>
      <c r="AH10098">
        <v>19.278834258705</v>
      </c>
      <c r="AI10098">
        <v>93.174319405720794</v>
      </c>
      <c r="AJ10098">
        <v>106.93178656844201</v>
      </c>
      <c r="AK10098">
        <v>20.183364790796901</v>
      </c>
      <c r="AL10098">
        <v>87.927430060299201</v>
      </c>
      <c r="AM10098">
        <v>100.81089572115</v>
      </c>
      <c r="AN10098">
        <v>0.99999996716981798</v>
      </c>
    </row>
    <row r="10099" spans="1:40" x14ac:dyDescent="0.25">
      <c r="A10099" t="str">
        <f>"20190312150917864"</f>
        <v>20190312150917864</v>
      </c>
      <c r="B10099" t="str">
        <f>"1552374557859385"</f>
        <v>1552374557859385</v>
      </c>
      <c r="C10099" t="s">
        <v>40</v>
      </c>
      <c r="D10099">
        <v>4.8085290000000001</v>
      </c>
      <c r="E10099">
        <v>0.46807409999999999</v>
      </c>
      <c r="F10099" t="s">
        <v>42</v>
      </c>
      <c r="G10099">
        <v>-188.95740000000001</v>
      </c>
      <c r="H10099" s="1">
        <v>-2.497582E-6</v>
      </c>
      <c r="I10099">
        <v>-14.976369999999999</v>
      </c>
      <c r="J10099">
        <v>-188.72989999999999</v>
      </c>
      <c r="K10099">
        <v>1.117556</v>
      </c>
      <c r="L10099">
        <v>-35.047609999999999</v>
      </c>
      <c r="M10099">
        <v>0.25830160000000002</v>
      </c>
      <c r="N10099">
        <v>0</v>
      </c>
      <c r="O10099">
        <v>0.96598300000000004</v>
      </c>
      <c r="P10099">
        <v>7.4842359999999997E-2</v>
      </c>
      <c r="Q10099">
        <v>2.7992610000000001E-2</v>
      </c>
      <c r="R10099">
        <v>0.99680239999999998</v>
      </c>
      <c r="S10099">
        <v>-2.522278E-2</v>
      </c>
      <c r="T10099">
        <v>-0.16607920000000001</v>
      </c>
      <c r="U10099">
        <v>3.017334</v>
      </c>
      <c r="V10099">
        <v>-0.18589919999999999</v>
      </c>
      <c r="W10099">
        <v>3.6909129999999998E-2</v>
      </c>
      <c r="X10099">
        <v>0.98187539999999995</v>
      </c>
      <c r="Y10099">
        <v>-0.26636959999999998</v>
      </c>
      <c r="Z10099">
        <v>-5.1167110000000002E-2</v>
      </c>
      <c r="AA10099">
        <v>0.96251189999999998</v>
      </c>
      <c r="AB10099">
        <v>32</v>
      </c>
      <c r="AC10099">
        <v>-0.22750000000001999</v>
      </c>
      <c r="AD10099">
        <v>-1.1175584975820001</v>
      </c>
      <c r="AE10099">
        <v>20.07124</v>
      </c>
      <c r="AF10099">
        <v>-5.3879175922505498</v>
      </c>
      <c r="AG10099">
        <v>-1.1175584975820001</v>
      </c>
      <c r="AH10099">
        <v>19.271493663782302</v>
      </c>
      <c r="AI10099">
        <v>93.196568589725999</v>
      </c>
      <c r="AJ10099">
        <v>105.61991105665101</v>
      </c>
      <c r="AK10099">
        <v>20.0416830882439</v>
      </c>
      <c r="AL10099">
        <v>87.884782288711094</v>
      </c>
      <c r="AM10099">
        <v>100.720953049806</v>
      </c>
      <c r="AN10099">
        <v>1.0000000487815699</v>
      </c>
    </row>
    <row r="10100" spans="1:40" x14ac:dyDescent="0.25">
      <c r="A10100" t="str">
        <f>"20190312150917886"</f>
        <v>20190312150917886</v>
      </c>
      <c r="B10100" t="str">
        <f>"1552374557878903"</f>
        <v>1552374557878903</v>
      </c>
      <c r="C10100" t="s">
        <v>40</v>
      </c>
      <c r="D10100">
        <v>4.8219190000000003</v>
      </c>
      <c r="E10100">
        <v>0.46876699999999999</v>
      </c>
      <c r="F10100" t="s">
        <v>42</v>
      </c>
      <c r="G10100">
        <v>-189.024</v>
      </c>
      <c r="H10100" s="1">
        <v>-4.2308600000000002E-6</v>
      </c>
      <c r="I10100">
        <v>-10.908519999999999</v>
      </c>
      <c r="J10100">
        <v>-188.65719999999999</v>
      </c>
      <c r="K10100">
        <v>1.1174539999999999</v>
      </c>
      <c r="L10100">
        <v>-34.74335</v>
      </c>
      <c r="M10100">
        <v>0.25005519999999998</v>
      </c>
      <c r="N10100">
        <v>0</v>
      </c>
      <c r="O10100">
        <v>0.96815090000000004</v>
      </c>
      <c r="P10100">
        <v>6.7976159999999994E-2</v>
      </c>
      <c r="Q10100">
        <v>2.838746E-2</v>
      </c>
      <c r="R10100">
        <v>0.99728300000000003</v>
      </c>
      <c r="S10100">
        <v>-3.675842E-2</v>
      </c>
      <c r="T10100">
        <v>-0.13964460000000001</v>
      </c>
      <c r="U10100">
        <v>3.0162960000000001</v>
      </c>
      <c r="V10100">
        <v>-0.184282</v>
      </c>
      <c r="W10100">
        <v>3.7357050000000003E-2</v>
      </c>
      <c r="X10100">
        <v>0.98216320000000001</v>
      </c>
      <c r="Y10100">
        <v>-0.26183820000000002</v>
      </c>
      <c r="Z10100">
        <v>-4.323428E-2</v>
      </c>
      <c r="AA10100">
        <v>0.96414290000000002</v>
      </c>
      <c r="AB10100">
        <v>32</v>
      </c>
      <c r="AC10100">
        <v>-0.36680000000001201</v>
      </c>
      <c r="AD10100">
        <v>-1.1174582308600001</v>
      </c>
      <c r="AE10100">
        <v>23.83483</v>
      </c>
      <c r="AF10100">
        <v>-6.3017859134656096</v>
      </c>
      <c r="AG10100">
        <v>-1.1174582308600001</v>
      </c>
      <c r="AH10100">
        <v>22.9353861987824</v>
      </c>
      <c r="AI10100">
        <v>92.689828318352795</v>
      </c>
      <c r="AJ10100">
        <v>105.363603793552</v>
      </c>
      <c r="AK10100">
        <v>23.8116181450184</v>
      </c>
      <c r="AL10100">
        <v>87.859100500855703</v>
      </c>
      <c r="AM10100">
        <v>100.626778392107</v>
      </c>
      <c r="AN10100">
        <v>0.99999997807147101</v>
      </c>
    </row>
    <row r="10101" spans="1:40" x14ac:dyDescent="0.25">
      <c r="A10101" t="str">
        <f>"20190312150917909"</f>
        <v>20190312150917909</v>
      </c>
      <c r="B10101" t="str">
        <f>"1552374557899402"</f>
        <v>1552374557899402</v>
      </c>
      <c r="C10101" t="s">
        <v>40</v>
      </c>
      <c r="D10101">
        <v>5.0453060000000001</v>
      </c>
      <c r="E10101">
        <v>0.4695529</v>
      </c>
      <c r="F10101" t="s">
        <v>42</v>
      </c>
      <c r="G10101">
        <v>-189.13079999999999</v>
      </c>
      <c r="H10101" s="1">
        <v>-1.612992E-6</v>
      </c>
      <c r="I10101">
        <v>-6.9666929999999896</v>
      </c>
      <c r="J10101">
        <v>-188.58600000000001</v>
      </c>
      <c r="K10101">
        <v>1.11734</v>
      </c>
      <c r="L10101">
        <v>-34.434019999999997</v>
      </c>
      <c r="M10101">
        <v>0.2418362</v>
      </c>
      <c r="N10101">
        <v>0</v>
      </c>
      <c r="O10101">
        <v>0.97023689999999996</v>
      </c>
      <c r="P10101">
        <v>6.1154479999999997E-2</v>
      </c>
      <c r="Q10101">
        <v>2.8979230000000002E-2</v>
      </c>
      <c r="R10101">
        <v>0.99770749999999997</v>
      </c>
      <c r="S10101">
        <v>-5.1406859999999999E-2</v>
      </c>
      <c r="T10101">
        <v>-0.12129910000000001</v>
      </c>
      <c r="U10101">
        <v>3.0151370000000002</v>
      </c>
      <c r="V10101">
        <v>-0.1826644</v>
      </c>
      <c r="W10101">
        <v>3.8006989999999997E-2</v>
      </c>
      <c r="X10101">
        <v>0.98244039999999999</v>
      </c>
      <c r="Y10101">
        <v>-0.25834509999999999</v>
      </c>
      <c r="Z10101">
        <v>-3.7721640000000001E-2</v>
      </c>
      <c r="AA10101">
        <v>0.9653159</v>
      </c>
      <c r="AB10101">
        <v>32</v>
      </c>
      <c r="AC10101">
        <v>-0.54480000000000905</v>
      </c>
      <c r="AD10101">
        <v>-1.117341612992</v>
      </c>
      <c r="AE10101">
        <v>27.467327000000001</v>
      </c>
      <c r="AF10101">
        <v>-7.1598937092385997</v>
      </c>
      <c r="AG10101">
        <v>-1.117341612992</v>
      </c>
      <c r="AH10101">
        <v>26.476330159786599</v>
      </c>
      <c r="AI10101">
        <v>92.332837576798497</v>
      </c>
      <c r="AJ10101">
        <v>105.132333634235</v>
      </c>
      <c r="AK10101">
        <v>27.450110909388801</v>
      </c>
      <c r="AL10101">
        <v>87.821835211429402</v>
      </c>
      <c r="AM10101">
        <v>100.532689388004</v>
      </c>
      <c r="AN10101">
        <v>0.99999997693418896</v>
      </c>
    </row>
    <row r="10102" spans="1:40" x14ac:dyDescent="0.25">
      <c r="A10102" t="str">
        <f>"20190312150917931"</f>
        <v>20190312150917931</v>
      </c>
      <c r="B10102" t="str">
        <f>"1552374557918919"</f>
        <v>1552374557918919</v>
      </c>
      <c r="C10102" t="s">
        <v>40</v>
      </c>
      <c r="D10102">
        <v>4.9573320000000001</v>
      </c>
      <c r="E10102">
        <v>0.47051229999999999</v>
      </c>
      <c r="F10102" t="s">
        <v>42</v>
      </c>
      <c r="G10102">
        <v>-189.25399999999999</v>
      </c>
      <c r="H10102" s="1">
        <v>-2.9867469999999902E-6</v>
      </c>
      <c r="I10102">
        <v>-3.713514</v>
      </c>
      <c r="J10102">
        <v>-188.517</v>
      </c>
      <c r="K10102">
        <v>1.1172200000000001</v>
      </c>
      <c r="L10102">
        <v>-34.123109999999997</v>
      </c>
      <c r="M10102">
        <v>0.2337236</v>
      </c>
      <c r="N10102">
        <v>0</v>
      </c>
      <c r="O10102">
        <v>0.97222339999999996</v>
      </c>
      <c r="P10102">
        <v>5.4489000000000003E-2</v>
      </c>
      <c r="Q10102">
        <v>2.9893300000000001E-2</v>
      </c>
      <c r="R10102">
        <v>0.99806680000000003</v>
      </c>
      <c r="S10102">
        <v>-6.5536499999999998E-2</v>
      </c>
      <c r="T10102">
        <v>-0.1096265</v>
      </c>
      <c r="U10102">
        <v>3.0140989999999999</v>
      </c>
      <c r="V10102">
        <v>-0.18101719999999999</v>
      </c>
      <c r="W10102">
        <v>3.8979020000000003E-2</v>
      </c>
      <c r="X10102">
        <v>0.9827072</v>
      </c>
      <c r="Y10102">
        <v>-0.2548068</v>
      </c>
      <c r="Z10102">
        <v>-3.4231999999999999E-2</v>
      </c>
      <c r="AA10102">
        <v>0.96638590000000002</v>
      </c>
      <c r="AB10102">
        <v>32</v>
      </c>
      <c r="AC10102">
        <v>-0.73700000000002297</v>
      </c>
      <c r="AD10102">
        <v>-1.117222986747</v>
      </c>
      <c r="AE10102">
        <v>30.409596000000001</v>
      </c>
      <c r="AF10102">
        <v>-7.8140341632892598</v>
      </c>
      <c r="AG10102">
        <v>-1.117222986747</v>
      </c>
      <c r="AH10102">
        <v>29.355344246287</v>
      </c>
      <c r="AI10102">
        <v>92.106270262689407</v>
      </c>
      <c r="AJ10102">
        <v>104.905798013338</v>
      </c>
      <c r="AK10102">
        <v>30.398084691723302</v>
      </c>
      <c r="AL10102">
        <v>87.766100771725206</v>
      </c>
      <c r="AM10102">
        <v>100.437034911076</v>
      </c>
      <c r="AN10102">
        <v>1.00000001581392</v>
      </c>
    </row>
    <row r="10103" spans="1:40" x14ac:dyDescent="0.25">
      <c r="A10103" t="str">
        <f>"20190312150917956"</f>
        <v>20190312150917956</v>
      </c>
      <c r="B10103" t="str">
        <f>"1552374557949465"</f>
        <v>1552374557949465</v>
      </c>
      <c r="C10103" t="s">
        <v>40</v>
      </c>
      <c r="D10103">
        <v>4.8608719999999996</v>
      </c>
      <c r="E10103">
        <v>0.47280810000000001</v>
      </c>
      <c r="F10103" t="s">
        <v>42</v>
      </c>
      <c r="G10103">
        <v>-189.37880000000001</v>
      </c>
      <c r="H10103" s="1">
        <v>-4.2572449999999901E-6</v>
      </c>
      <c r="I10103">
        <v>-0.70031069999999995</v>
      </c>
      <c r="J10103">
        <v>-188.44800000000001</v>
      </c>
      <c r="K10103">
        <v>1.117097</v>
      </c>
      <c r="L10103">
        <v>-33.800109999999997</v>
      </c>
      <c r="M10103">
        <v>0.22545870000000001</v>
      </c>
      <c r="N10103">
        <v>0</v>
      </c>
      <c r="O10103">
        <v>0.97417350000000003</v>
      </c>
      <c r="P10103">
        <v>4.8155320000000001E-2</v>
      </c>
      <c r="Q10103">
        <v>3.0467600000000001E-2</v>
      </c>
      <c r="R10103">
        <v>0.99837509999999996</v>
      </c>
      <c r="S10103">
        <v>-7.7697749999999996E-2</v>
      </c>
      <c r="T10103">
        <v>-0.10071769999999999</v>
      </c>
      <c r="U10103">
        <v>3.0130620000000001</v>
      </c>
      <c r="V10103">
        <v>-0.17889939999999999</v>
      </c>
      <c r="W10103">
        <v>3.962272E-2</v>
      </c>
      <c r="X10103">
        <v>0.98306919999999998</v>
      </c>
      <c r="Y10103">
        <v>-0.25050060000000002</v>
      </c>
      <c r="Z10103">
        <v>-3.1579009999999998E-2</v>
      </c>
      <c r="AA10103">
        <v>0.9676013</v>
      </c>
      <c r="AB10103">
        <v>32</v>
      </c>
      <c r="AC10103">
        <v>-0.93080000000003305</v>
      </c>
      <c r="AD10103">
        <v>-1.1171012572450001</v>
      </c>
      <c r="AE10103">
        <v>33.099799299999901</v>
      </c>
      <c r="AF10103">
        <v>-8.3605291151510297</v>
      </c>
      <c r="AG10103">
        <v>-1.1171012572450001</v>
      </c>
      <c r="AH10103">
        <v>32.001141842467298</v>
      </c>
      <c r="AI10103">
        <v>91.934403677839398</v>
      </c>
      <c r="AJ10103">
        <v>104.641667387455</v>
      </c>
      <c r="AK10103">
        <v>33.094099799298597</v>
      </c>
      <c r="AL10103">
        <v>87.7291909350092</v>
      </c>
      <c r="AM10103">
        <v>100.31384736856999</v>
      </c>
      <c r="AN10103">
        <v>1.00000000362459</v>
      </c>
    </row>
    <row r="10104" spans="1:40" x14ac:dyDescent="0.25">
      <c r="A10104" t="str">
        <f>"20190312150917977"</f>
        <v>20190312150917977</v>
      </c>
      <c r="B10104" t="str">
        <f>"1552374557968985"</f>
        <v>1552374557968985</v>
      </c>
      <c r="C10104" t="s">
        <v>40</v>
      </c>
      <c r="D10104">
        <v>4.85623</v>
      </c>
      <c r="E10104">
        <v>0.47430459999999902</v>
      </c>
      <c r="F10104" t="s">
        <v>42</v>
      </c>
      <c r="G10104">
        <v>-189.30600000000001</v>
      </c>
      <c r="H10104" s="1">
        <v>-4.178352E-6</v>
      </c>
      <c r="I10104">
        <v>-0.91432000000000002</v>
      </c>
      <c r="J10104">
        <v>-188.38579999999999</v>
      </c>
      <c r="K10104">
        <v>1.1169819999999999</v>
      </c>
      <c r="L10104">
        <v>-33.498289999999997</v>
      </c>
      <c r="M10104">
        <v>0.2179043</v>
      </c>
      <c r="N10104">
        <v>0</v>
      </c>
      <c r="O10104">
        <v>0.97589139999999996</v>
      </c>
      <c r="P10104">
        <v>4.3520639999999999E-2</v>
      </c>
      <c r="Q10104">
        <v>3.0952299999999901E-2</v>
      </c>
      <c r="R10104">
        <v>0.99857289999999999</v>
      </c>
      <c r="S10104">
        <v>-7.8582760000000001E-2</v>
      </c>
      <c r="T10104">
        <v>-0.10230740000000001</v>
      </c>
      <c r="U10104">
        <v>3.0117799999999999</v>
      </c>
      <c r="V10104">
        <v>-0.17583679999999999</v>
      </c>
      <c r="W10104">
        <v>4.01959E-2</v>
      </c>
      <c r="X10104">
        <v>0.98359839999999998</v>
      </c>
      <c r="Y10104">
        <v>-0.24328720000000001</v>
      </c>
      <c r="Z10104">
        <v>-3.2209170000000002E-2</v>
      </c>
      <c r="AA10104">
        <v>0.96941940000000004</v>
      </c>
      <c r="AB10104">
        <v>32</v>
      </c>
      <c r="AC10104">
        <v>-0.92019999999999402</v>
      </c>
      <c r="AD10104">
        <v>-1.1169861783520001</v>
      </c>
      <c r="AE10104">
        <v>32.583970000000001</v>
      </c>
      <c r="AF10104">
        <v>-7.9894359583785803</v>
      </c>
      <c r="AG10104">
        <v>-1.1169861783520001</v>
      </c>
      <c r="AH10104">
        <v>31.563267478910898</v>
      </c>
      <c r="AI10104">
        <v>91.964864796136894</v>
      </c>
      <c r="AJ10104">
        <v>104.20460865922</v>
      </c>
      <c r="AK10104">
        <v>32.577885121673198</v>
      </c>
      <c r="AL10104">
        <v>87.696324065309696</v>
      </c>
      <c r="AM10104">
        <v>100.135635695866</v>
      </c>
      <c r="AN10104">
        <v>1.0000000515467999</v>
      </c>
    </row>
    <row r="10105" spans="1:40" x14ac:dyDescent="0.25">
      <c r="A10105" t="str">
        <f>"20190312150918000"</f>
        <v>20190312150918000</v>
      </c>
      <c r="B10105" t="str">
        <f>"1552374557989482"</f>
        <v>1552374557989482</v>
      </c>
      <c r="C10105" t="s">
        <v>40</v>
      </c>
      <c r="D10105">
        <v>4.8470009999999997</v>
      </c>
      <c r="E10105">
        <v>0.47484539999999997</v>
      </c>
      <c r="F10105" t="s">
        <v>42</v>
      </c>
      <c r="G10105">
        <v>-189.2671</v>
      </c>
      <c r="H10105" s="1">
        <v>-4.2936510000000002E-6</v>
      </c>
      <c r="I10105">
        <v>-0.66163539999999998</v>
      </c>
      <c r="J10105">
        <v>-188.32329999999999</v>
      </c>
      <c r="K10105">
        <v>1.1168439999999999</v>
      </c>
      <c r="L10105">
        <v>-33.182830000000003</v>
      </c>
      <c r="M10105">
        <v>0.21019309999999999</v>
      </c>
      <c r="N10105">
        <v>0</v>
      </c>
      <c r="O10105">
        <v>0.97758160000000005</v>
      </c>
      <c r="P10105">
        <v>3.8230199999999999E-2</v>
      </c>
      <c r="Q10105">
        <v>3.1417540000000001E-2</v>
      </c>
      <c r="R10105">
        <v>0.99877490000000002</v>
      </c>
      <c r="S10105">
        <v>-8.0810549999999995E-2</v>
      </c>
      <c r="T10105">
        <v>-0.1024231</v>
      </c>
      <c r="U10105">
        <v>3.0109859999999999</v>
      </c>
      <c r="V10105">
        <v>-0.1732706</v>
      </c>
      <c r="W10105">
        <v>4.074477E-2</v>
      </c>
      <c r="X10105">
        <v>0.98403110000000005</v>
      </c>
      <c r="Y10105">
        <v>-0.2363469</v>
      </c>
      <c r="Z10105">
        <v>-3.2369080000000001E-2</v>
      </c>
      <c r="AA10105">
        <v>0.97112940000000003</v>
      </c>
      <c r="AB10105">
        <v>32</v>
      </c>
      <c r="AC10105">
        <v>-0.94380000000000996</v>
      </c>
      <c r="AD10105">
        <v>-1.116848293651</v>
      </c>
      <c r="AE10105">
        <v>32.521194599999902</v>
      </c>
      <c r="AF10105">
        <v>-7.7498337596417004</v>
      </c>
      <c r="AG10105">
        <v>-1.116848293651</v>
      </c>
      <c r="AH10105">
        <v>31.558970766024999</v>
      </c>
      <c r="AI10105">
        <v>91.9683760910156</v>
      </c>
      <c r="AJ10105">
        <v>103.796930057932</v>
      </c>
      <c r="AK10105">
        <v>32.515779388228303</v>
      </c>
      <c r="AL10105">
        <v>87.6648502765388</v>
      </c>
      <c r="AM10105">
        <v>99.986410931764695</v>
      </c>
      <c r="AN10105">
        <v>1.00000002143696</v>
      </c>
    </row>
    <row r="10106" spans="1:40" x14ac:dyDescent="0.25">
      <c r="A10106" t="str">
        <f>"20190312150918020"</f>
        <v>20190312150918020</v>
      </c>
      <c r="B10106" t="str">
        <f>"1552374558009001"</f>
        <v>1552374558009001</v>
      </c>
      <c r="C10106" t="s">
        <v>40</v>
      </c>
      <c r="D10106">
        <v>4.8951289999999998</v>
      </c>
      <c r="E10106">
        <v>0.48843170000000002</v>
      </c>
      <c r="F10106" t="s">
        <v>42</v>
      </c>
      <c r="G10106">
        <v>-189.32149999999999</v>
      </c>
      <c r="H10106" s="1">
        <v>-4.2766730000000004E-6</v>
      </c>
      <c r="I10106">
        <v>-0.67871859999999995</v>
      </c>
      <c r="J10106">
        <v>-188.26820000000001</v>
      </c>
      <c r="K10106">
        <v>1.1167039999999999</v>
      </c>
      <c r="L10106">
        <v>-32.893979999999999</v>
      </c>
      <c r="M10106">
        <v>0.2033104</v>
      </c>
      <c r="N10106">
        <v>0</v>
      </c>
      <c r="O10106">
        <v>0.97903649999999998</v>
      </c>
      <c r="P10106">
        <v>3.4317309999999997E-2</v>
      </c>
      <c r="Q10106">
        <v>3.1668830000000002E-2</v>
      </c>
      <c r="R10106">
        <v>0.99890909999999999</v>
      </c>
      <c r="S10106">
        <v>-9.2452999999999994E-2</v>
      </c>
      <c r="T10106">
        <v>-0.1034403</v>
      </c>
      <c r="U10106">
        <v>3.0104679999999999</v>
      </c>
      <c r="V10106">
        <v>-0.1701888</v>
      </c>
      <c r="W10106">
        <v>4.1089239999999999E-2</v>
      </c>
      <c r="X10106">
        <v>0.9845545</v>
      </c>
      <c r="Y10106">
        <v>-0.23326640000000001</v>
      </c>
      <c r="Z10106">
        <v>-3.2781619999999997E-2</v>
      </c>
      <c r="AA10106">
        <v>0.97186019999999895</v>
      </c>
      <c r="AB10106">
        <v>32</v>
      </c>
      <c r="AC10106">
        <v>-1.0532999999999699</v>
      </c>
      <c r="AD10106">
        <v>-1.1167082766730001</v>
      </c>
      <c r="AE10106">
        <v>32.215261400000003</v>
      </c>
      <c r="AF10106">
        <v>-7.57240540073518</v>
      </c>
      <c r="AG10106">
        <v>-1.1167082766730001</v>
      </c>
      <c r="AH10106">
        <v>31.290599114781799</v>
      </c>
      <c r="AI10106">
        <v>91.986623574376495</v>
      </c>
      <c r="AJ10106">
        <v>103.604173665121</v>
      </c>
      <c r="AK10106">
        <v>32.213195338094899</v>
      </c>
      <c r="AL10106">
        <v>87.645097144381893</v>
      </c>
      <c r="AM10106">
        <v>99.807159963368505</v>
      </c>
      <c r="AN10106">
        <v>1.0000000583797299</v>
      </c>
    </row>
    <row r="10107" spans="1:40" x14ac:dyDescent="0.25">
      <c r="A10107" t="str">
        <f>"20190312150918042"</f>
        <v>20190312150918042</v>
      </c>
      <c r="B10107" t="str">
        <f>"1552374558039257"</f>
        <v>1552374558039257</v>
      </c>
      <c r="C10107" t="s">
        <v>40</v>
      </c>
      <c r="D10107">
        <v>4.767868</v>
      </c>
      <c r="E10107">
        <v>0.47272690000000001</v>
      </c>
      <c r="F10107" t="s">
        <v>42</v>
      </c>
      <c r="G10107">
        <v>-188.22819999999999</v>
      </c>
      <c r="H10107" s="1">
        <v>-3.7968560000000001E-6</v>
      </c>
      <c r="I10107">
        <v>-2.2492529999999999</v>
      </c>
      <c r="J10107">
        <v>-188.21369999999999</v>
      </c>
      <c r="K10107">
        <v>1.116552</v>
      </c>
      <c r="L10107">
        <v>-32.598239999999997</v>
      </c>
      <c r="M10107">
        <v>0.19644120000000001</v>
      </c>
      <c r="N10107">
        <v>0</v>
      </c>
      <c r="O10107">
        <v>0.98043820000000004</v>
      </c>
      <c r="P10107">
        <v>3.1125159999999999E-2</v>
      </c>
      <c r="Q10107">
        <v>3.0985260000000001E-2</v>
      </c>
      <c r="R10107">
        <v>0.99903509999999995</v>
      </c>
      <c r="S10107">
        <v>3.9215090000000001E-3</v>
      </c>
      <c r="T10107">
        <v>-0.1095626</v>
      </c>
      <c r="U10107">
        <v>3.0066220000000001</v>
      </c>
      <c r="V10107">
        <v>-0.166407</v>
      </c>
      <c r="W10107">
        <v>4.0513699999999903E-2</v>
      </c>
      <c r="X10107">
        <v>0.98522449999999995</v>
      </c>
      <c r="Y10107">
        <v>-0.19517670000000001</v>
      </c>
      <c r="Z10107">
        <v>-3.5001869999999997E-2</v>
      </c>
      <c r="AA10107">
        <v>0.98014330000000005</v>
      </c>
      <c r="AB10107">
        <v>32</v>
      </c>
      <c r="AC10107">
        <v>-1.4499999999998099E-2</v>
      </c>
      <c r="AD10107">
        <v>-1.116555796856</v>
      </c>
      <c r="AE10107">
        <v>30.348987000000001</v>
      </c>
      <c r="AF10107">
        <v>-5.9683829138725502</v>
      </c>
      <c r="AG10107">
        <v>-1.116555796856</v>
      </c>
      <c r="AH10107">
        <v>29.714496245616299</v>
      </c>
      <c r="AI10107">
        <v>92.109841799463993</v>
      </c>
      <c r="AJ10107">
        <v>101.357172604127</v>
      </c>
      <c r="AK10107">
        <v>30.328527471422699</v>
      </c>
      <c r="AL10107">
        <v>87.6781004623885</v>
      </c>
      <c r="AM10107">
        <v>99.586925107687307</v>
      </c>
      <c r="AN10107">
        <v>0.999999982468469</v>
      </c>
    </row>
    <row r="10108" spans="1:40" x14ac:dyDescent="0.25">
      <c r="A10108" t="str">
        <f>"20190312150918064"</f>
        <v>20190312150918064</v>
      </c>
      <c r="B10108" t="str">
        <f>"1552374558059284"</f>
        <v>1552374558059284</v>
      </c>
      <c r="C10108" t="s">
        <v>40</v>
      </c>
      <c r="D10108">
        <v>4.7491300000000001</v>
      </c>
      <c r="E10108">
        <v>0.47042450000000002</v>
      </c>
      <c r="F10108" t="s">
        <v>42</v>
      </c>
      <c r="G10108">
        <v>-189.64089999999999</v>
      </c>
      <c r="H10108" s="1">
        <v>-3.399313E-7</v>
      </c>
      <c r="I10108">
        <v>0.27667829999999999</v>
      </c>
      <c r="J10108">
        <v>-188.15960000000001</v>
      </c>
      <c r="K10108">
        <v>1.116384</v>
      </c>
      <c r="L10108">
        <v>-32.29327</v>
      </c>
      <c r="M10108">
        <v>0.1895501</v>
      </c>
      <c r="N10108">
        <v>0</v>
      </c>
      <c r="O10108">
        <v>0.98179400000000006</v>
      </c>
      <c r="P10108">
        <v>2.827816E-2</v>
      </c>
      <c r="Q10108">
        <v>3.052241E-2</v>
      </c>
      <c r="R10108">
        <v>0.99913399999999997</v>
      </c>
      <c r="S10108">
        <v>-0.1306763</v>
      </c>
      <c r="T10108">
        <v>-0.1022351</v>
      </c>
      <c r="U10108">
        <v>3.010132</v>
      </c>
      <c r="V10108">
        <v>-0.16227039999999901</v>
      </c>
      <c r="W10108">
        <v>4.016637E-2</v>
      </c>
      <c r="X10108">
        <v>0.98592849999999999</v>
      </c>
      <c r="Y10108">
        <v>-0.23194600000000001</v>
      </c>
      <c r="Z10108">
        <v>-3.2541590000000002E-2</v>
      </c>
      <c r="AA10108">
        <v>0.97218419999999905</v>
      </c>
      <c r="AB10108">
        <v>32</v>
      </c>
      <c r="AC10108">
        <v>-1.4812999999999701</v>
      </c>
      <c r="AD10108">
        <v>-1.1163843399313</v>
      </c>
      <c r="AE10108">
        <v>32.5699483</v>
      </c>
      <c r="AF10108">
        <v>-7.6196118883029103</v>
      </c>
      <c r="AG10108">
        <v>-1.1163843399313</v>
      </c>
      <c r="AH10108">
        <v>31.661475732080799</v>
      </c>
      <c r="AI10108">
        <v>91.963402989710502</v>
      </c>
      <c r="AJ10108">
        <v>103.531417133665</v>
      </c>
      <c r="AK10108">
        <v>32.584564518433403</v>
      </c>
      <c r="AL10108">
        <v>87.698017289583007</v>
      </c>
      <c r="AM10108">
        <v>99.346312825362006</v>
      </c>
      <c r="AN10108">
        <v>1.0000000135536899</v>
      </c>
    </row>
    <row r="10109" spans="1:40" x14ac:dyDescent="0.25">
      <c r="A10109" t="str">
        <f>"20190312150918087"</f>
        <v>20190312150918087</v>
      </c>
      <c r="B10109" t="str">
        <f>"1552374558079780"</f>
        <v>1552374558079780</v>
      </c>
      <c r="C10109" t="s">
        <v>40</v>
      </c>
      <c r="D10109">
        <v>4.7412729999999996</v>
      </c>
      <c r="E10109">
        <v>0.46957650000000001</v>
      </c>
      <c r="F10109" t="s">
        <v>42</v>
      </c>
      <c r="G10109">
        <v>-189.61670000000001</v>
      </c>
      <c r="H10109" s="1">
        <v>-2.5392749999999999E-6</v>
      </c>
      <c r="I10109">
        <v>-4.6065719999999999</v>
      </c>
      <c r="J10109">
        <v>-188.1046</v>
      </c>
      <c r="K10109">
        <v>1.116209</v>
      </c>
      <c r="L10109">
        <v>-31.970490000000002</v>
      </c>
      <c r="M10109">
        <v>0.18248929999999999</v>
      </c>
      <c r="N10109">
        <v>0</v>
      </c>
      <c r="O10109">
        <v>0.98313130000000004</v>
      </c>
      <c r="P10109">
        <v>2.55049E-2</v>
      </c>
      <c r="Q10109">
        <v>3.0707189999999999E-2</v>
      </c>
      <c r="R10109">
        <v>0.99920299999999995</v>
      </c>
      <c r="S10109">
        <v>-0.15846250000000001</v>
      </c>
      <c r="T10109">
        <v>-0.121402</v>
      </c>
      <c r="U10109">
        <v>3.0108030000000001</v>
      </c>
      <c r="V10109">
        <v>-0.15790219999999999</v>
      </c>
      <c r="W10109">
        <v>4.0466530000000001E-2</v>
      </c>
      <c r="X10109">
        <v>0.98662530000000004</v>
      </c>
      <c r="Y10109">
        <v>-0.2338846</v>
      </c>
      <c r="Z10109">
        <v>-3.8687520000000003E-2</v>
      </c>
      <c r="AA10109">
        <v>0.97149439999999998</v>
      </c>
      <c r="AB10109">
        <v>32</v>
      </c>
      <c r="AC10109">
        <v>-1.5121</v>
      </c>
      <c r="AD10109">
        <v>-1.1162115392750001</v>
      </c>
      <c r="AE10109">
        <v>27.363917999999899</v>
      </c>
      <c r="AF10109">
        <v>-6.4699699399950799</v>
      </c>
      <c r="AG10109">
        <v>-1.1162115392750001</v>
      </c>
      <c r="AH10109">
        <v>26.584286225286</v>
      </c>
      <c r="AI10109">
        <v>92.336188450307105</v>
      </c>
      <c r="AJ10109">
        <v>103.678473543317</v>
      </c>
      <c r="AK10109">
        <v>27.383036963287701</v>
      </c>
      <c r="AL10109">
        <v>87.680805511018306</v>
      </c>
      <c r="AM10109">
        <v>99.092663674844204</v>
      </c>
      <c r="AN10109">
        <v>1.0000000637075801</v>
      </c>
    </row>
    <row r="10110" spans="1:40" x14ac:dyDescent="0.25">
      <c r="A10110" t="str">
        <f>"20190312150918110"</f>
        <v>20190312150918110</v>
      </c>
      <c r="B10110" t="str">
        <f>"1552374558099303"</f>
        <v>1552374558099303</v>
      </c>
      <c r="C10110" t="s">
        <v>40</v>
      </c>
      <c r="D10110">
        <v>4.774686</v>
      </c>
      <c r="E10110">
        <v>0.46897680000000003</v>
      </c>
      <c r="F10110" t="s">
        <v>42</v>
      </c>
      <c r="G10110">
        <v>-189.53370000000001</v>
      </c>
      <c r="H10110" s="1">
        <v>-1.3968210000000001E-6</v>
      </c>
      <c r="I10110">
        <v>-7.3039869999999896</v>
      </c>
      <c r="J10110">
        <v>-188.053</v>
      </c>
      <c r="K10110">
        <v>1.116039</v>
      </c>
      <c r="L10110">
        <v>-31.655460000000001</v>
      </c>
      <c r="M10110">
        <v>0.17579929999999999</v>
      </c>
      <c r="N10110">
        <v>0</v>
      </c>
      <c r="O10110">
        <v>0.9843499</v>
      </c>
      <c r="P10110">
        <v>2.250475E-2</v>
      </c>
      <c r="Q10110">
        <v>3.1473590000000003E-2</v>
      </c>
      <c r="R10110">
        <v>0.99925120000000001</v>
      </c>
      <c r="S10110">
        <v>-0.17445369999999999</v>
      </c>
      <c r="T10110">
        <v>-0.13625479999999901</v>
      </c>
      <c r="U10110">
        <v>3.0110169999999998</v>
      </c>
      <c r="V10110">
        <v>-0.15414229999999901</v>
      </c>
      <c r="W10110">
        <v>4.1328400000000001E-2</v>
      </c>
      <c r="X10110">
        <v>0.9871839</v>
      </c>
      <c r="Y10110">
        <v>-0.23240060000000001</v>
      </c>
      <c r="Z10110">
        <v>-4.3492780000000002E-2</v>
      </c>
      <c r="AA10110">
        <v>0.97164720000000004</v>
      </c>
      <c r="AB10110">
        <v>32</v>
      </c>
      <c r="AC10110">
        <v>-1.4807000000000099</v>
      </c>
      <c r="AD10110">
        <v>-1.116040396821</v>
      </c>
      <c r="AE10110">
        <v>24.351472999999999</v>
      </c>
      <c r="AF10110">
        <v>-5.7269441313687199</v>
      </c>
      <c r="AG10110">
        <v>-1.116040396821</v>
      </c>
      <c r="AH10110">
        <v>23.6623229256131</v>
      </c>
      <c r="AI10110">
        <v>92.624701326060105</v>
      </c>
      <c r="AJ10110">
        <v>103.60554879683301</v>
      </c>
      <c r="AK10110">
        <v>24.371068123640999</v>
      </c>
      <c r="AL10110">
        <v>87.631382424648294</v>
      </c>
      <c r="AM10110">
        <v>98.874699684823696</v>
      </c>
      <c r="AN10110">
        <v>0.99999996885752895</v>
      </c>
    </row>
    <row r="10111" spans="1:40" x14ac:dyDescent="0.25">
      <c r="A10111" t="str">
        <f>"20190312150918131"</f>
        <v>20190312150918131</v>
      </c>
      <c r="B10111" t="str">
        <f>"1552374558119796"</f>
        <v>1552374558119796</v>
      </c>
      <c r="C10111" t="s">
        <v>40</v>
      </c>
      <c r="D10111">
        <v>4.8910400000000003</v>
      </c>
      <c r="E10111">
        <v>0.46961330000000001</v>
      </c>
      <c r="F10111" t="s">
        <v>42</v>
      </c>
      <c r="G10111">
        <v>-189.52680000000001</v>
      </c>
      <c r="H10111" s="1">
        <v>-1.051055E-6</v>
      </c>
      <c r="I10111">
        <v>-8.1128309999999999</v>
      </c>
      <c r="J10111">
        <v>-188.00530000000001</v>
      </c>
      <c r="K10111">
        <v>1.115904</v>
      </c>
      <c r="L10111">
        <v>-31.352630000000001</v>
      </c>
      <c r="M10111">
        <v>0.16952519999999999</v>
      </c>
      <c r="N10111">
        <v>0</v>
      </c>
      <c r="O10111">
        <v>0.98545020000000005</v>
      </c>
      <c r="P10111">
        <v>1.9836449999999999E-2</v>
      </c>
      <c r="Q10111">
        <v>3.2187630000000002E-2</v>
      </c>
      <c r="R10111">
        <v>0.99928499999999998</v>
      </c>
      <c r="S10111">
        <v>-0.18849179999999999</v>
      </c>
      <c r="T10111">
        <v>-0.142736</v>
      </c>
      <c r="U10111">
        <v>3.0109859999999999</v>
      </c>
      <c r="V10111">
        <v>-0.15047869999999999</v>
      </c>
      <c r="W10111">
        <v>4.212689E-2</v>
      </c>
      <c r="X10111">
        <v>0.98771529999999996</v>
      </c>
      <c r="Y10111">
        <v>-0.23071259999999999</v>
      </c>
      <c r="Z10111">
        <v>-4.5638779999999997E-2</v>
      </c>
      <c r="AA10111">
        <v>0.97195100000000001</v>
      </c>
      <c r="AB10111">
        <v>32</v>
      </c>
      <c r="AC10111">
        <v>-1.5215000000000001</v>
      </c>
      <c r="AD10111">
        <v>-1.1159050510549999</v>
      </c>
      <c r="AE10111">
        <v>23.239799000000001</v>
      </c>
      <c r="AF10111">
        <v>-5.4270402627184398</v>
      </c>
      <c r="AG10111">
        <v>-1.1159050510549999</v>
      </c>
      <c r="AH10111">
        <v>22.5935503166613</v>
      </c>
      <c r="AI10111">
        <v>92.749483440767193</v>
      </c>
      <c r="AJ10111">
        <v>103.50673442289499</v>
      </c>
      <c r="AK10111">
        <v>23.2629861799306</v>
      </c>
      <c r="AL10111">
        <v>87.585592541860706</v>
      </c>
      <c r="AM10111">
        <v>98.662417765363102</v>
      </c>
      <c r="AN10111">
        <v>1.0000000139344201</v>
      </c>
    </row>
    <row r="10112" spans="1:40" x14ac:dyDescent="0.25">
      <c r="A10112" t="str">
        <f>"20190312150918155"</f>
        <v>20190312150918155</v>
      </c>
      <c r="B10112" t="str">
        <f>"1552374558149075"</f>
        <v>1552374558149075</v>
      </c>
      <c r="C10112" t="s">
        <v>40</v>
      </c>
      <c r="D10112">
        <v>4.8975920000000004</v>
      </c>
      <c r="E10112">
        <v>0.47025240000000001</v>
      </c>
      <c r="F10112" t="s">
        <v>42</v>
      </c>
      <c r="G10112">
        <v>-189.56</v>
      </c>
      <c r="H10112" s="1">
        <v>-1.562696E-6</v>
      </c>
      <c r="I10112">
        <v>-6.9064550000000002</v>
      </c>
      <c r="J10112">
        <v>-187.95660000000001</v>
      </c>
      <c r="K10112">
        <v>1.1157649999999999</v>
      </c>
      <c r="L10112">
        <v>-31.031220000000001</v>
      </c>
      <c r="M10112">
        <v>0.16304080000000001</v>
      </c>
      <c r="N10112">
        <v>0</v>
      </c>
      <c r="O10112">
        <v>0.98654410000000003</v>
      </c>
      <c r="P10112">
        <v>1.6855459999999999E-2</v>
      </c>
      <c r="Q10112">
        <v>3.2718619999999997E-2</v>
      </c>
      <c r="R10112">
        <v>0.9993225</v>
      </c>
      <c r="S10112">
        <v>-0.19145200000000001</v>
      </c>
      <c r="T10112">
        <v>-0.13741600000000001</v>
      </c>
      <c r="U10112">
        <v>3.0103759999999999</v>
      </c>
      <c r="V10112">
        <v>-0.14691670000000001</v>
      </c>
      <c r="W10112">
        <v>4.2736690000000001E-2</v>
      </c>
      <c r="X10112">
        <v>0.98822520000000003</v>
      </c>
      <c r="Y10112">
        <v>-0.22527929999999999</v>
      </c>
      <c r="Z10112">
        <v>-4.40527E-2</v>
      </c>
      <c r="AA10112">
        <v>0.97329779999999999</v>
      </c>
      <c r="AB10112">
        <v>32</v>
      </c>
      <c r="AC10112">
        <v>-1.6033999999999899</v>
      </c>
      <c r="AD10112">
        <v>-1.1157665626959901</v>
      </c>
      <c r="AE10112">
        <v>24.124765</v>
      </c>
      <c r="AF10112">
        <v>-5.5038339766212196</v>
      </c>
      <c r="AG10112">
        <v>-1.1157665626959901</v>
      </c>
      <c r="AH10112">
        <v>23.4904459439493</v>
      </c>
      <c r="AI10112">
        <v>92.647831669141596</v>
      </c>
      <c r="AJ10112">
        <v>103.186589226137</v>
      </c>
      <c r="AK10112">
        <v>24.152394790377301</v>
      </c>
      <c r="AL10112">
        <v>87.550622030187398</v>
      </c>
      <c r="AM10112">
        <v>98.456069115507205</v>
      </c>
      <c r="AN10112">
        <v>0.99999999366304304</v>
      </c>
    </row>
    <row r="10113" spans="1:40" x14ac:dyDescent="0.25">
      <c r="A10113" t="str">
        <f>"20190312150918179"</f>
        <v>20190312150918179</v>
      </c>
      <c r="B10113" t="str">
        <f>"1552374558169572"</f>
        <v>1552374558169572</v>
      </c>
      <c r="C10113" t="s">
        <v>40</v>
      </c>
      <c r="D10113">
        <v>4.6450570000000004</v>
      </c>
      <c r="E10113">
        <v>0.470607</v>
      </c>
      <c r="F10113" t="s">
        <v>42</v>
      </c>
      <c r="G10113">
        <v>-189.7193</v>
      </c>
      <c r="H10113" s="1">
        <v>-2.8403729999999998E-6</v>
      </c>
      <c r="I10113">
        <v>-3.8623180000000001</v>
      </c>
      <c r="J10113">
        <v>-187.90819999999999</v>
      </c>
      <c r="K10113">
        <v>1.1156189999999999</v>
      </c>
      <c r="L10113">
        <v>-30.69717</v>
      </c>
      <c r="M10113">
        <v>0.1565019</v>
      </c>
      <c r="N10113">
        <v>0</v>
      </c>
      <c r="O10113">
        <v>0.98760289999999995</v>
      </c>
      <c r="P10113">
        <v>1.2193600000000001E-2</v>
      </c>
      <c r="Q10113">
        <v>3.3482280000000003E-2</v>
      </c>
      <c r="R10113">
        <v>0.9993649</v>
      </c>
      <c r="S10113">
        <v>-0.1952362</v>
      </c>
      <c r="T10113">
        <v>-0.1235883</v>
      </c>
      <c r="U10113">
        <v>3.009369</v>
      </c>
      <c r="V10113">
        <v>-0.1449693</v>
      </c>
      <c r="W10113">
        <v>4.355465E-2</v>
      </c>
      <c r="X10113">
        <v>0.9884771</v>
      </c>
      <c r="Y10113">
        <v>-0.22007399999999999</v>
      </c>
      <c r="Z10113">
        <v>-3.9728840000000001E-2</v>
      </c>
      <c r="AA10113">
        <v>0.97467380000000003</v>
      </c>
      <c r="AB10113">
        <v>32</v>
      </c>
      <c r="AC10113">
        <v>-1.8111000000000099</v>
      </c>
      <c r="AD10113">
        <v>-1.1156218403730001</v>
      </c>
      <c r="AE10113">
        <v>26.834852000000001</v>
      </c>
      <c r="AF10113">
        <v>-5.9785089314663402</v>
      </c>
      <c r="AG10113">
        <v>-1.1156218403730001</v>
      </c>
      <c r="AH10113">
        <v>26.175637171103698</v>
      </c>
      <c r="AI10113">
        <v>92.379306611124505</v>
      </c>
      <c r="AJ10113">
        <v>102.865653028998</v>
      </c>
      <c r="AK10113">
        <v>26.872870379764201</v>
      </c>
      <c r="AL10113">
        <v>87.503712809530995</v>
      </c>
      <c r="AM10113">
        <v>98.343475013705401</v>
      </c>
      <c r="AN10113">
        <v>1.00000004135176</v>
      </c>
    </row>
    <row r="10114" spans="1:40" x14ac:dyDescent="0.25">
      <c r="A10114" t="str">
        <f>"20190312150918200"</f>
        <v>20190312150918200</v>
      </c>
      <c r="B10114" t="str">
        <f>"1552374558189092"</f>
        <v>1552374558189092</v>
      </c>
      <c r="C10114" t="s">
        <v>40</v>
      </c>
      <c r="D10114">
        <v>4.8588779999999998</v>
      </c>
      <c r="E10114">
        <v>0.47058309999999998</v>
      </c>
      <c r="F10114" t="s">
        <v>42</v>
      </c>
      <c r="G10114">
        <v>-189.9196</v>
      </c>
      <c r="H10114" s="1">
        <v>-3.8822449999999996E-6</v>
      </c>
      <c r="I10114">
        <v>-1.35084</v>
      </c>
      <c r="J10114">
        <v>-187.86529999999999</v>
      </c>
      <c r="K10114">
        <v>1.115472</v>
      </c>
      <c r="L10114">
        <v>-30.389279999999999</v>
      </c>
      <c r="M10114">
        <v>0.150663299999999</v>
      </c>
      <c r="N10114">
        <v>0</v>
      </c>
      <c r="O10114">
        <v>0.98851069999999996</v>
      </c>
      <c r="P10114">
        <v>8.7375890000000005E-3</v>
      </c>
      <c r="Q10114">
        <v>3.4031730000000003E-2</v>
      </c>
      <c r="R10114">
        <v>0.99938260000000001</v>
      </c>
      <c r="S10114">
        <v>-0.20619199999999999</v>
      </c>
      <c r="T10114">
        <v>-0.1143605</v>
      </c>
      <c r="U10114">
        <v>3.0082399999999998</v>
      </c>
      <c r="V10114">
        <v>-0.14253339999999901</v>
      </c>
      <c r="W10114">
        <v>4.4166329999999997E-2</v>
      </c>
      <c r="X10114">
        <v>0.98880409999999996</v>
      </c>
      <c r="Y10114">
        <v>-0.2178747</v>
      </c>
      <c r="Z10114">
        <v>-3.6837259999999997E-2</v>
      </c>
      <c r="AA10114">
        <v>0.97528130000000002</v>
      </c>
      <c r="AB10114">
        <v>32</v>
      </c>
      <c r="AC10114">
        <v>-2.0543000000000098</v>
      </c>
      <c r="AD10114">
        <v>-1.1154758822449999</v>
      </c>
      <c r="AE10114">
        <v>29.038440000000001</v>
      </c>
      <c r="AF10114">
        <v>-6.3968039024399497</v>
      </c>
      <c r="AG10114">
        <v>-1.1154758822449999</v>
      </c>
      <c r="AH10114">
        <v>28.355756791204598</v>
      </c>
      <c r="AI10114">
        <v>92.197604990431202</v>
      </c>
      <c r="AJ10114">
        <v>102.712610279348</v>
      </c>
      <c r="AK10114">
        <v>29.089728940161802</v>
      </c>
      <c r="AL10114">
        <v>87.468632242629695</v>
      </c>
      <c r="AM10114">
        <v>98.2025290400899</v>
      </c>
      <c r="AN10114">
        <v>0.99999999149901897</v>
      </c>
    </row>
    <row r="10115" spans="1:40" x14ac:dyDescent="0.25">
      <c r="A10115" t="str">
        <f>"20190312150918222"</f>
        <v>20190312150918222</v>
      </c>
      <c r="B10115" t="str">
        <f>"1552374558219348"</f>
        <v>1552374558219348</v>
      </c>
      <c r="C10115" t="s">
        <v>40</v>
      </c>
      <c r="D10115">
        <v>4.5973240000000004</v>
      </c>
      <c r="E10115">
        <v>0.47056740000000002</v>
      </c>
      <c r="F10115" t="s">
        <v>42</v>
      </c>
      <c r="G10115">
        <v>-190.18270000000001</v>
      </c>
      <c r="H10115" s="1">
        <v>-9.8665290000000005E-7</v>
      </c>
      <c r="I10115">
        <v>1.7756879999999999</v>
      </c>
      <c r="J10115">
        <v>-187.82490000000001</v>
      </c>
      <c r="K10115">
        <v>1.1153120000000001</v>
      </c>
      <c r="L10115">
        <v>-30.087859999999999</v>
      </c>
      <c r="M10115">
        <v>0.14513229999999999</v>
      </c>
      <c r="N10115">
        <v>0</v>
      </c>
      <c r="O10115">
        <v>0.9893383</v>
      </c>
      <c r="P10115">
        <v>5.4791019999999996E-3</v>
      </c>
      <c r="Q10115">
        <v>3.3769550000000002E-2</v>
      </c>
      <c r="R10115">
        <v>0.99941460000000004</v>
      </c>
      <c r="S10115">
        <v>-0.2166748</v>
      </c>
      <c r="T10115">
        <v>-0.1042922</v>
      </c>
      <c r="U10115">
        <v>3.0072939999999999</v>
      </c>
      <c r="V10115">
        <v>-0.140206</v>
      </c>
      <c r="W10115">
        <v>4.3967680000000002E-2</v>
      </c>
      <c r="X10115">
        <v>0.98914559999999996</v>
      </c>
      <c r="Y10115">
        <v>-0.21582799999999999</v>
      </c>
      <c r="Z10115">
        <v>-3.365547E-2</v>
      </c>
      <c r="AA10115">
        <v>0.97585120000000003</v>
      </c>
      <c r="AB10115">
        <v>32</v>
      </c>
      <c r="AC10115">
        <v>-2.3577999999999899</v>
      </c>
      <c r="AD10115">
        <v>-1.1153129866528999</v>
      </c>
      <c r="AE10115">
        <v>31.863548000000002</v>
      </c>
      <c r="AF10115">
        <v>-6.9491332910182404</v>
      </c>
      <c r="AG10115">
        <v>-1.1153129866528999</v>
      </c>
      <c r="AH10115">
        <v>31.145965264311101</v>
      </c>
      <c r="AI10115">
        <v>92.0016661597884</v>
      </c>
      <c r="AJ10115">
        <v>102.57754590275199</v>
      </c>
      <c r="AK10115">
        <v>31.931262561950302</v>
      </c>
      <c r="AL10115">
        <v>87.480025008614504</v>
      </c>
      <c r="AM10115">
        <v>98.067620825100093</v>
      </c>
      <c r="AN10115">
        <v>0.999999948659969</v>
      </c>
    </row>
    <row r="10116" spans="1:40" x14ac:dyDescent="0.25">
      <c r="A10116" t="str">
        <f>"20190312150918243"</f>
        <v>20190312150918243</v>
      </c>
      <c r="B10116" t="str">
        <f>"1552374558239844"</f>
        <v>1552374558239844</v>
      </c>
      <c r="C10116" t="s">
        <v>40</v>
      </c>
      <c r="D10116">
        <v>4.6032070000000003</v>
      </c>
      <c r="E10116">
        <v>0.47070899999999999</v>
      </c>
      <c r="F10116" t="s">
        <v>42</v>
      </c>
      <c r="G10116">
        <v>-190.50489999999999</v>
      </c>
      <c r="H10116" s="1">
        <v>-2.6758240000000001E-6</v>
      </c>
      <c r="I10116">
        <v>5.513363</v>
      </c>
      <c r="J10116">
        <v>-187.7868</v>
      </c>
      <c r="K10116">
        <v>1.1151450000000001</v>
      </c>
      <c r="L10116">
        <v>-29.79251</v>
      </c>
      <c r="M10116">
        <v>0.13989560000000001</v>
      </c>
      <c r="N10116">
        <v>0</v>
      </c>
      <c r="O10116">
        <v>0.99009259999999999</v>
      </c>
      <c r="P10116">
        <v>2.6743309999999998E-3</v>
      </c>
      <c r="Q10116">
        <v>3.3938950000000002E-2</v>
      </c>
      <c r="R10116">
        <v>0.99942030000000004</v>
      </c>
      <c r="S10116">
        <v>-0.22630310000000001</v>
      </c>
      <c r="T10116">
        <v>-9.4178079999999997E-2</v>
      </c>
      <c r="U10116">
        <v>3.006195</v>
      </c>
      <c r="V10116">
        <v>-0.13772980000000001</v>
      </c>
      <c r="W10116">
        <v>4.4204430000000003E-2</v>
      </c>
      <c r="X10116">
        <v>0.98948290000000005</v>
      </c>
      <c r="Y10116">
        <v>-0.2138033</v>
      </c>
      <c r="Z10116">
        <v>-3.0444849999999999E-2</v>
      </c>
      <c r="AA10116">
        <v>0.9764022</v>
      </c>
      <c r="AB10116">
        <v>32</v>
      </c>
      <c r="AC10116">
        <v>-2.71809999999999</v>
      </c>
      <c r="AD10116">
        <v>-1.115147675824</v>
      </c>
      <c r="AE10116">
        <v>35.305872999999998</v>
      </c>
      <c r="AF10116">
        <v>-7.6233030907168597</v>
      </c>
      <c r="AG10116">
        <v>-1.115147675824</v>
      </c>
      <c r="AH10116">
        <v>34.544096054586198</v>
      </c>
      <c r="AI10116">
        <v>91.805558353185305</v>
      </c>
      <c r="AJ10116">
        <v>102.44475278419</v>
      </c>
      <c r="AK10116">
        <v>35.392836515039399</v>
      </c>
      <c r="AL10116">
        <v>87.466447083343596</v>
      </c>
      <c r="AM10116">
        <v>97.924296665279201</v>
      </c>
      <c r="AN10116">
        <v>0.99999996941603697</v>
      </c>
    </row>
    <row r="10117" spans="1:40" x14ac:dyDescent="0.25">
      <c r="A10117" t="str">
        <f>"20190312150918267"</f>
        <v>20190312150918267</v>
      </c>
      <c r="B10117" t="str">
        <f>"1552374558259364"</f>
        <v>1552374558259364</v>
      </c>
      <c r="C10117" t="s">
        <v>40</v>
      </c>
      <c r="D10117">
        <v>4.7483769999999996</v>
      </c>
      <c r="E10117">
        <v>0.47089560000000003</v>
      </c>
      <c r="F10117" t="s">
        <v>42</v>
      </c>
      <c r="G10117">
        <v>-190.70760000000001</v>
      </c>
      <c r="H10117" s="1">
        <v>-3.711838E-6</v>
      </c>
      <c r="I10117">
        <v>7.8026309999999999</v>
      </c>
      <c r="J10117">
        <v>-187.7473</v>
      </c>
      <c r="K10117">
        <v>1.1149549999999999</v>
      </c>
      <c r="L10117">
        <v>-29.472840000000001</v>
      </c>
      <c r="M10117">
        <v>0.13444410000000001</v>
      </c>
      <c r="N10117">
        <v>0</v>
      </c>
      <c r="O10117">
        <v>0.9908479</v>
      </c>
      <c r="P10117">
        <v>-6.0623739999999995E-4</v>
      </c>
      <c r="Q10117">
        <v>3.417887E-2</v>
      </c>
      <c r="R10117">
        <v>0.99941559999999896</v>
      </c>
      <c r="S10117">
        <v>-0.23349</v>
      </c>
      <c r="T10117">
        <v>-8.9146379999999997E-2</v>
      </c>
      <c r="U10117">
        <v>3.0054020000000001</v>
      </c>
      <c r="V10117">
        <v>-0.1355114</v>
      </c>
      <c r="W10117">
        <v>4.4511210000000002E-2</v>
      </c>
      <c r="X10117">
        <v>0.98977539999999997</v>
      </c>
      <c r="Y10117">
        <v>-0.21077009999999999</v>
      </c>
      <c r="Z10117">
        <v>-2.8868020000000001E-2</v>
      </c>
      <c r="AA10117">
        <v>0.97710929999999996</v>
      </c>
      <c r="AB10117">
        <v>32</v>
      </c>
      <c r="AC10117">
        <v>-2.9603000000000099</v>
      </c>
      <c r="AD10117">
        <v>-1.114958711838</v>
      </c>
      <c r="AE10117">
        <v>37.275471000000003</v>
      </c>
      <c r="AF10117">
        <v>-7.9381934386750101</v>
      </c>
      <c r="AG10117">
        <v>-1.114958711838</v>
      </c>
      <c r="AH10117">
        <v>36.5065233244827</v>
      </c>
      <c r="AI10117">
        <v>91.709425144924893</v>
      </c>
      <c r="AJ10117">
        <v>102.267760063019</v>
      </c>
      <c r="AK10117">
        <v>37.376253065816101</v>
      </c>
      <c r="AL10117">
        <v>87.448852553803704</v>
      </c>
      <c r="AM10117">
        <v>97.795967646899996</v>
      </c>
      <c r="AN10117">
        <v>0.999999964895391</v>
      </c>
    </row>
    <row r="10118" spans="1:40" x14ac:dyDescent="0.25">
      <c r="A10118" t="str">
        <f>"20190312150918289"</f>
        <v>20190312150918289</v>
      </c>
      <c r="B10118" t="str">
        <f>"1552374558279860"</f>
        <v>1552374558279860</v>
      </c>
      <c r="C10118" t="s">
        <v>40</v>
      </c>
      <c r="D10118">
        <v>4.7476089999999997</v>
      </c>
      <c r="E10118">
        <v>0.47121410000000002</v>
      </c>
      <c r="F10118" t="s">
        <v>42</v>
      </c>
      <c r="G10118">
        <v>-190.9136</v>
      </c>
      <c r="H10118" s="1">
        <v>-3.6873120000000001E-7</v>
      </c>
      <c r="I10118">
        <v>9.8819990000000004</v>
      </c>
      <c r="J10118">
        <v>-187.70869999999999</v>
      </c>
      <c r="K10118">
        <v>1.114773</v>
      </c>
      <c r="L10118">
        <v>-29.14828</v>
      </c>
      <c r="M10118">
        <v>0.12913160000000001</v>
      </c>
      <c r="N10118">
        <v>0</v>
      </c>
      <c r="O10118">
        <v>0.99155459999999995</v>
      </c>
      <c r="P10118">
        <v>-3.9852109999999998E-3</v>
      </c>
      <c r="Q10118">
        <v>3.4323239999999998E-2</v>
      </c>
      <c r="R10118">
        <v>0.99940280000000004</v>
      </c>
      <c r="S10118">
        <v>-0.24172969999999999</v>
      </c>
      <c r="T10118">
        <v>-8.5120440000000006E-2</v>
      </c>
      <c r="U10118">
        <v>3.0045169999999999</v>
      </c>
      <c r="V10118">
        <v>-0.13353289999999901</v>
      </c>
      <c r="W10118">
        <v>4.4718439999999998E-2</v>
      </c>
      <c r="X10118">
        <v>0.99003490000000005</v>
      </c>
      <c r="Y10118">
        <v>-0.2082184</v>
      </c>
      <c r="Z10118">
        <v>-2.7608239999999999E-2</v>
      </c>
      <c r="AA10118">
        <v>0.97769260000000002</v>
      </c>
      <c r="AB10118">
        <v>32</v>
      </c>
      <c r="AC10118">
        <v>-3.2048999999999999</v>
      </c>
      <c r="AD10118">
        <v>-1.1147733687312</v>
      </c>
      <c r="AE10118">
        <v>39.030279</v>
      </c>
      <c r="AF10118">
        <v>-8.2118154204791107</v>
      </c>
      <c r="AG10118">
        <v>-1.1147733687312</v>
      </c>
      <c r="AH10118">
        <v>38.258564122377201</v>
      </c>
      <c r="AI10118">
        <v>91.6318591167732</v>
      </c>
      <c r="AJ10118">
        <v>102.114159580972</v>
      </c>
      <c r="AK10118">
        <v>39.145808982184697</v>
      </c>
      <c r="AL10118">
        <v>87.436967247316502</v>
      </c>
      <c r="AM10118">
        <v>97.681524300999598</v>
      </c>
      <c r="AN10118">
        <v>0.99999993873822501</v>
      </c>
    </row>
    <row r="10119" spans="1:40" x14ac:dyDescent="0.25">
      <c r="A10119" t="str">
        <f>"20190312150918312"</f>
        <v>20190312150918312</v>
      </c>
      <c r="B10119" t="str">
        <f>"1552374558299384"</f>
        <v>1552374558299384</v>
      </c>
      <c r="C10119" t="s">
        <v>40</v>
      </c>
      <c r="D10119">
        <v>4.562951</v>
      </c>
      <c r="E10119">
        <v>0.4718289</v>
      </c>
      <c r="F10119" t="s">
        <v>42</v>
      </c>
      <c r="G10119">
        <v>-191.09139999999999</v>
      </c>
      <c r="H10119" s="1">
        <v>-1.160577E-6</v>
      </c>
      <c r="I10119">
        <v>11.617520000000001</v>
      </c>
      <c r="J10119">
        <v>-187.6728</v>
      </c>
      <c r="K10119">
        <v>1.114619</v>
      </c>
      <c r="L10119">
        <v>-28.833279999999998</v>
      </c>
      <c r="M10119">
        <v>0.1241445</v>
      </c>
      <c r="N10119">
        <v>0</v>
      </c>
      <c r="O10119">
        <v>0.99219159999999995</v>
      </c>
      <c r="P10119">
        <v>-7.0731300000000004E-3</v>
      </c>
      <c r="Q10119">
        <v>3.4108649999999997E-2</v>
      </c>
      <c r="R10119">
        <v>0.99939310000000003</v>
      </c>
      <c r="S10119">
        <v>-0.24923709999999999</v>
      </c>
      <c r="T10119">
        <v>-8.2136749999999994E-2</v>
      </c>
      <c r="U10119">
        <v>3.0036320000000001</v>
      </c>
      <c r="V10119">
        <v>-0.13159379999999901</v>
      </c>
      <c r="W10119">
        <v>4.4557899999999998E-2</v>
      </c>
      <c r="X10119">
        <v>0.99030180000000001</v>
      </c>
      <c r="Y10119">
        <v>-0.20575260000000001</v>
      </c>
      <c r="Z10119">
        <v>-2.6679580000000001E-2</v>
      </c>
      <c r="AA10119">
        <v>0.97824029999999995</v>
      </c>
      <c r="AB10119">
        <v>32</v>
      </c>
      <c r="AC10119">
        <v>-3.4185999999999899</v>
      </c>
      <c r="AD10119">
        <v>-1.1146201605769901</v>
      </c>
      <c r="AE10119">
        <v>40.450800000000001</v>
      </c>
      <c r="AF10119">
        <v>-8.4079176195019301</v>
      </c>
      <c r="AG10119">
        <v>-1.1146201605769901</v>
      </c>
      <c r="AH10119">
        <v>39.683485466009998</v>
      </c>
      <c r="AI10119">
        <v>91.573964741648695</v>
      </c>
      <c r="AJ10119">
        <v>101.962603440729</v>
      </c>
      <c r="AK10119">
        <v>40.579729860235901</v>
      </c>
      <c r="AL10119">
        <v>87.446174833566204</v>
      </c>
      <c r="AM10119">
        <v>97.569263415196104</v>
      </c>
      <c r="AN10119">
        <v>0.99999999486704405</v>
      </c>
    </row>
    <row r="10120" spans="1:40" x14ac:dyDescent="0.25">
      <c r="A10120" t="str">
        <f>"20190312150918333"</f>
        <v>20190312150918333</v>
      </c>
      <c r="B10120" t="str">
        <f>"1552374558329636"</f>
        <v>1552374558329636</v>
      </c>
      <c r="C10120" t="s">
        <v>40</v>
      </c>
      <c r="D10120">
        <v>4.5846</v>
      </c>
      <c r="E10120">
        <v>0.47278229999999999</v>
      </c>
      <c r="F10120" t="s">
        <v>42</v>
      </c>
      <c r="G10120">
        <v>-191.1798</v>
      </c>
      <c r="H10120" s="1">
        <v>-1.6461809999999999E-6</v>
      </c>
      <c r="I10120">
        <v>12.69464</v>
      </c>
      <c r="J10120">
        <v>-187.6387</v>
      </c>
      <c r="K10120">
        <v>1.1144889999999901</v>
      </c>
      <c r="L10120">
        <v>-28.52206</v>
      </c>
      <c r="M10120">
        <v>0.1193838</v>
      </c>
      <c r="N10120">
        <v>0</v>
      </c>
      <c r="O10120">
        <v>0.99277579999999999</v>
      </c>
      <c r="P10120">
        <v>-1.074838E-2</v>
      </c>
      <c r="Q10120">
        <v>3.4704039999999999E-2</v>
      </c>
      <c r="R10120">
        <v>0.9993398</v>
      </c>
      <c r="S10120">
        <v>-0.25358579999999997</v>
      </c>
      <c r="T10120">
        <v>-8.059537E-2</v>
      </c>
      <c r="U10120">
        <v>3.002777</v>
      </c>
      <c r="V10120">
        <v>-0.1304736</v>
      </c>
      <c r="W10120">
        <v>4.5193360000000002E-2</v>
      </c>
      <c r="X10120">
        <v>0.9904212</v>
      </c>
      <c r="Y10120">
        <v>-0.20248830000000001</v>
      </c>
      <c r="Z10120">
        <v>-2.621774E-2</v>
      </c>
      <c r="AA10120">
        <v>0.97893359999999996</v>
      </c>
      <c r="AB10120">
        <v>32</v>
      </c>
      <c r="AC10120">
        <v>-3.5411000000000001</v>
      </c>
      <c r="AD10120">
        <v>-1.11449064618099</v>
      </c>
      <c r="AE10120">
        <v>41.216700000000003</v>
      </c>
      <c r="AF10120">
        <v>-8.4306120607144894</v>
      </c>
      <c r="AG10120">
        <v>-1.11449064618099</v>
      </c>
      <c r="AH10120">
        <v>40.469730064136499</v>
      </c>
      <c r="AI10120">
        <v>91.544325405441498</v>
      </c>
      <c r="AJ10120">
        <v>101.767499631075</v>
      </c>
      <c r="AK10120">
        <v>41.353553179657503</v>
      </c>
      <c r="AL10120">
        <v>87.409728893476696</v>
      </c>
      <c r="AM10120">
        <v>97.504672795443099</v>
      </c>
      <c r="AN10120">
        <v>0.99999997674724395</v>
      </c>
    </row>
    <row r="10121" spans="1:40" x14ac:dyDescent="0.25">
      <c r="A10121" t="str">
        <f>"20190312150918357"</f>
        <v>20190312150918357</v>
      </c>
      <c r="B10121" t="str">
        <f>"1552374558349157"</f>
        <v>1552374558349157</v>
      </c>
      <c r="C10121" t="s">
        <v>40</v>
      </c>
      <c r="D10121">
        <v>4.5610749999999998</v>
      </c>
      <c r="E10121">
        <v>0.47320869999999998</v>
      </c>
      <c r="F10121" t="s">
        <v>42</v>
      </c>
      <c r="G10121">
        <v>-191.32130000000001</v>
      </c>
      <c r="H10121" s="1">
        <v>-2.462954E-6</v>
      </c>
      <c r="I10121">
        <v>14.51079</v>
      </c>
      <c r="J10121">
        <v>-187.6037</v>
      </c>
      <c r="K10121">
        <v>1.114352</v>
      </c>
      <c r="L10121">
        <v>-28.189</v>
      </c>
      <c r="M10121">
        <v>0.11447160000000001</v>
      </c>
      <c r="N10121">
        <v>0</v>
      </c>
      <c r="O10121">
        <v>0.99335439999999997</v>
      </c>
      <c r="P10121">
        <v>-1.3447580000000001E-2</v>
      </c>
      <c r="Q10121">
        <v>3.4612610000000002E-2</v>
      </c>
      <c r="R10121">
        <v>0.99931029999999998</v>
      </c>
      <c r="S10121">
        <v>-0.25689699999999999</v>
      </c>
      <c r="T10121">
        <v>-7.7745679999999998E-2</v>
      </c>
      <c r="U10121">
        <v>3.0019230000000001</v>
      </c>
      <c r="V10121">
        <v>-0.1282316</v>
      </c>
      <c r="W10121">
        <v>4.5155250000000001E-2</v>
      </c>
      <c r="X10121">
        <v>0.99071569999999998</v>
      </c>
      <c r="Y10121">
        <v>-0.19874020000000001</v>
      </c>
      <c r="Z10121">
        <v>-2.5329730000000002E-2</v>
      </c>
      <c r="AA10121">
        <v>0.97972479999999995</v>
      </c>
      <c r="AB10121">
        <v>32</v>
      </c>
      <c r="AC10121">
        <v>-3.7176</v>
      </c>
      <c r="AD10121">
        <v>-1.1143544629539901</v>
      </c>
      <c r="AE10121">
        <v>42.69979</v>
      </c>
      <c r="AF10121">
        <v>-8.57562572251509</v>
      </c>
      <c r="AG10121">
        <v>-1.1143544629539901</v>
      </c>
      <c r="AH10121">
        <v>41.965106975049999</v>
      </c>
      <c r="AI10121">
        <v>91.490307780083597</v>
      </c>
      <c r="AJ10121">
        <v>101.54945492688</v>
      </c>
      <c r="AK10121">
        <v>42.846859229459902</v>
      </c>
      <c r="AL10121">
        <v>87.411914647120895</v>
      </c>
      <c r="AM10121">
        <v>97.374979778287795</v>
      </c>
      <c r="AN10121">
        <v>0.99999996903380495</v>
      </c>
    </row>
    <row r="10122" spans="1:40" x14ac:dyDescent="0.25">
      <c r="A10122" t="str">
        <f>"20190312150918381"</f>
        <v>20190312150918381</v>
      </c>
      <c r="B10122" t="str">
        <f>"1552374558369652"</f>
        <v>1552374558369652</v>
      </c>
      <c r="C10122" t="s">
        <v>40</v>
      </c>
      <c r="D10122">
        <v>4.8939550000000001</v>
      </c>
      <c r="E10122">
        <v>0.47344429999999998</v>
      </c>
      <c r="F10122" t="s">
        <v>42</v>
      </c>
      <c r="G10122">
        <v>-191.3075</v>
      </c>
      <c r="H10122" s="1">
        <v>-2.3711640000000001E-6</v>
      </c>
      <c r="I10122">
        <v>14.30537</v>
      </c>
      <c r="J10122">
        <v>-187.57040000000001</v>
      </c>
      <c r="K10122">
        <v>1.1142129999999999</v>
      </c>
      <c r="L10122">
        <v>-27.858889999999999</v>
      </c>
      <c r="M10122">
        <v>0.1097785</v>
      </c>
      <c r="N10122">
        <v>0</v>
      </c>
      <c r="O10122">
        <v>0.9938842</v>
      </c>
      <c r="P10122">
        <v>-1.5806170000000001E-2</v>
      </c>
      <c r="Q10122">
        <v>3.503448E-2</v>
      </c>
      <c r="R10122">
        <v>0.99926110000000001</v>
      </c>
      <c r="S10122">
        <v>-0.26159670000000002</v>
      </c>
      <c r="T10122">
        <v>-7.8704360000000001E-2</v>
      </c>
      <c r="U10122">
        <v>3.0012819999999998</v>
      </c>
      <c r="V10122">
        <v>-0.12587599999999999</v>
      </c>
      <c r="W10122">
        <v>4.5631119999999997E-2</v>
      </c>
      <c r="X10122">
        <v>0.99099599999999999</v>
      </c>
      <c r="Y10122">
        <v>-0.19565009999999999</v>
      </c>
      <c r="Z10122">
        <v>-2.5674550000000001E-2</v>
      </c>
      <c r="AA10122">
        <v>0.98033760000000003</v>
      </c>
      <c r="AB10122">
        <v>32</v>
      </c>
      <c r="AC10122">
        <v>-3.7370999999999901</v>
      </c>
      <c r="AD10122">
        <v>-1.1142153711639999</v>
      </c>
      <c r="AE10122">
        <v>42.164259999999999</v>
      </c>
      <c r="AF10122">
        <v>-8.3377929409487308</v>
      </c>
      <c r="AG10122">
        <v>-1.1142153711639999</v>
      </c>
      <c r="AH10122">
        <v>41.470369819940203</v>
      </c>
      <c r="AI10122">
        <v>91.508858546879097</v>
      </c>
      <c r="AJ10122">
        <v>101.367999982111</v>
      </c>
      <c r="AK10122">
        <v>42.314912737970801</v>
      </c>
      <c r="AL10122">
        <v>87.384621300681303</v>
      </c>
      <c r="AM10122">
        <v>97.238927024701994</v>
      </c>
      <c r="AN10122">
        <v>1.00000001925222</v>
      </c>
    </row>
    <row r="10123" spans="1:40" x14ac:dyDescent="0.25">
      <c r="A10123" t="str">
        <f>"20190312150918401"</f>
        <v>20190312150918401</v>
      </c>
      <c r="B10123" t="str">
        <f>"1552374558389172"</f>
        <v>1552374558389172</v>
      </c>
      <c r="C10123" t="s">
        <v>40</v>
      </c>
      <c r="D10123">
        <v>4.6774190000000004</v>
      </c>
      <c r="E10123">
        <v>0.4856299</v>
      </c>
      <c r="F10123" t="s">
        <v>42</v>
      </c>
      <c r="G10123">
        <v>-191.369</v>
      </c>
      <c r="H10123" s="1">
        <v>-2.6294190000000001E-6</v>
      </c>
      <c r="I10123">
        <v>14.869260000000001</v>
      </c>
      <c r="J10123">
        <v>-187.54159999999999</v>
      </c>
      <c r="K10123">
        <v>1.1140909999999999</v>
      </c>
      <c r="L10123">
        <v>-27.560580000000002</v>
      </c>
      <c r="M10123">
        <v>0.1056835</v>
      </c>
      <c r="N10123">
        <v>0</v>
      </c>
      <c r="O10123">
        <v>0.9943282</v>
      </c>
      <c r="P10123">
        <v>-1.8118860000000001E-2</v>
      </c>
      <c r="Q10123">
        <v>3.5589679999999999E-2</v>
      </c>
      <c r="R10123">
        <v>0.99920229999999999</v>
      </c>
      <c r="S10123">
        <v>-0.26676939999999999</v>
      </c>
      <c r="T10123">
        <v>-7.8249689999999997E-2</v>
      </c>
      <c r="U10123">
        <v>3.0007320000000002</v>
      </c>
      <c r="V10123">
        <v>-0.1240752</v>
      </c>
      <c r="W10123">
        <v>4.6231300000000003E-2</v>
      </c>
      <c r="X10123">
        <v>0.9911953</v>
      </c>
      <c r="Y10123">
        <v>-0.19330259999999999</v>
      </c>
      <c r="Z10123">
        <v>-2.5552470000000001E-2</v>
      </c>
      <c r="AA10123">
        <v>0.98080639999999997</v>
      </c>
      <c r="AB10123">
        <v>32</v>
      </c>
      <c r="AC10123">
        <v>-3.8274000000000399</v>
      </c>
      <c r="AD10123">
        <v>-1.114093629419</v>
      </c>
      <c r="AE10123">
        <v>42.429839999999999</v>
      </c>
      <c r="AF10123">
        <v>-8.2847503753172305</v>
      </c>
      <c r="AG10123">
        <v>-1.114093629419</v>
      </c>
      <c r="AH10123">
        <v>41.759111094055797</v>
      </c>
      <c r="AI10123">
        <v>91.499032145908501</v>
      </c>
      <c r="AJ10123">
        <v>101.221418444978</v>
      </c>
      <c r="AK10123">
        <v>42.587576272454399</v>
      </c>
      <c r="AL10123">
        <v>87.350197285088399</v>
      </c>
      <c r="AM10123">
        <v>97.135021151440995</v>
      </c>
      <c r="AN10123">
        <v>1.0000000555484001</v>
      </c>
    </row>
    <row r="10124" spans="1:40" x14ac:dyDescent="0.25">
      <c r="A10124" t="str">
        <f>"20190312150918423"</f>
        <v>20190312150918423</v>
      </c>
      <c r="B10124" t="str">
        <f>"1552374558419428"</f>
        <v>1552374558419428</v>
      </c>
      <c r="C10124" t="s">
        <v>40</v>
      </c>
      <c r="D10124">
        <v>4.773682</v>
      </c>
      <c r="E10124">
        <v>0.50296249999999998</v>
      </c>
      <c r="F10124" t="s">
        <v>42</v>
      </c>
      <c r="G10124">
        <v>-190.89099999999999</v>
      </c>
      <c r="H10124" s="1">
        <v>-4.4492060000000003E-6</v>
      </c>
      <c r="I10124">
        <v>29.596550000000001</v>
      </c>
      <c r="J10124">
        <v>-187.5137</v>
      </c>
      <c r="K10124">
        <v>1.11396299999999</v>
      </c>
      <c r="L10124">
        <v>-27.260069999999999</v>
      </c>
      <c r="M10124">
        <v>0.101688899999999</v>
      </c>
      <c r="N10124">
        <v>0</v>
      </c>
      <c r="O10124">
        <v>0.99474479999999998</v>
      </c>
      <c r="P10124">
        <v>-2.0417060000000001E-2</v>
      </c>
      <c r="Q10124">
        <v>3.5646190000000001E-2</v>
      </c>
      <c r="R10124">
        <v>0.99915589999999999</v>
      </c>
      <c r="S10124">
        <v>-0.1758728</v>
      </c>
      <c r="T10124">
        <v>-5.8500410000000003E-2</v>
      </c>
      <c r="U10124">
        <v>3.0012819999999998</v>
      </c>
      <c r="V10124">
        <v>-0.12235839999999901</v>
      </c>
      <c r="W10124">
        <v>4.6329420000000003E-2</v>
      </c>
      <c r="X10124">
        <v>0.99140410000000001</v>
      </c>
      <c r="Y10124">
        <v>-0.1597066</v>
      </c>
      <c r="Z10124">
        <v>-1.9194880000000001E-2</v>
      </c>
      <c r="AA10124">
        <v>0.98697789999999996</v>
      </c>
      <c r="AB10124">
        <v>32</v>
      </c>
      <c r="AC10124">
        <v>-3.3772999999999902</v>
      </c>
      <c r="AD10124">
        <v>-1.1139674492060001</v>
      </c>
      <c r="AE10124">
        <v>56.856619999999999</v>
      </c>
      <c r="AF10124">
        <v>-9.1383929326983306</v>
      </c>
      <c r="AG10124">
        <v>-1.1139674492060001</v>
      </c>
      <c r="AH10124">
        <v>56.196892654945898</v>
      </c>
      <c r="AI10124">
        <v>91.120882136313597</v>
      </c>
      <c r="AJ10124">
        <v>99.236241294863603</v>
      </c>
      <c r="AK10124">
        <v>56.945955896286399</v>
      </c>
      <c r="AL10124">
        <v>87.344569355447803</v>
      </c>
      <c r="AM10124">
        <v>97.035824973263203</v>
      </c>
      <c r="AN10124">
        <v>1.0000000413524499</v>
      </c>
    </row>
    <row r="10125" spans="1:40" x14ac:dyDescent="0.25">
      <c r="A10125" t="str">
        <f>"20190312150918445"</f>
        <v>20190312150918445</v>
      </c>
      <c r="B10125" t="str">
        <f>"1552374558438949"</f>
        <v>1552374558438949</v>
      </c>
      <c r="C10125" t="s">
        <v>40</v>
      </c>
      <c r="D10125">
        <v>4.8931750000000003</v>
      </c>
      <c r="E10125">
        <v>0.50342989999999999</v>
      </c>
      <c r="F10125" t="s">
        <v>42</v>
      </c>
      <c r="G10125">
        <v>-188.16759999999999</v>
      </c>
      <c r="H10125" s="1">
        <v>-3.246165E-6</v>
      </c>
      <c r="I10125">
        <v>16.441990000000001</v>
      </c>
      <c r="J10125">
        <v>-187.48599999999999</v>
      </c>
      <c r="K10125">
        <v>1.1138349999999999</v>
      </c>
      <c r="L10125">
        <v>-26.948969999999999</v>
      </c>
      <c r="M10125">
        <v>9.7688259999999999E-2</v>
      </c>
      <c r="N10125">
        <v>0</v>
      </c>
      <c r="O10125">
        <v>0.99514590000000003</v>
      </c>
      <c r="P10125">
        <v>-2.2600390000000001E-2</v>
      </c>
      <c r="Q10125">
        <v>3.5639230000000001E-2</v>
      </c>
      <c r="R10125">
        <v>0.99910909999999997</v>
      </c>
      <c r="S10125">
        <v>-4.4952390000000002E-2</v>
      </c>
      <c r="T10125">
        <v>-7.6580519999999999E-2</v>
      </c>
      <c r="U10125">
        <v>3.0043329999999999</v>
      </c>
      <c r="V10125">
        <v>-0.1205219</v>
      </c>
      <c r="W10125">
        <v>4.6358480000000001E-2</v>
      </c>
      <c r="X10125">
        <v>0.99162760000000005</v>
      </c>
      <c r="Y10125">
        <v>-0.1125686</v>
      </c>
      <c r="Z10125">
        <v>-2.5216479999999999E-2</v>
      </c>
      <c r="AA10125">
        <v>0.99332390000000004</v>
      </c>
      <c r="AB10125">
        <v>32</v>
      </c>
      <c r="AC10125">
        <v>-0.68160000000000298</v>
      </c>
      <c r="AD10125">
        <v>-1.113838246165</v>
      </c>
      <c r="AE10125">
        <v>43.39096</v>
      </c>
      <c r="AF10125">
        <v>-4.9141897396074601</v>
      </c>
      <c r="AG10125">
        <v>-1.113838246165</v>
      </c>
      <c r="AH10125">
        <v>43.088419627124203</v>
      </c>
      <c r="AI10125">
        <v>91.471236422728694</v>
      </c>
      <c r="AJ10125">
        <v>96.506411649121702</v>
      </c>
      <c r="AK10125">
        <v>43.382044700528198</v>
      </c>
      <c r="AL10125">
        <v>87.342902351719204</v>
      </c>
      <c r="AM10125">
        <v>96.929710925683693</v>
      </c>
      <c r="AN10125">
        <v>0.99999996706463901</v>
      </c>
    </row>
    <row r="10126" spans="1:40" x14ac:dyDescent="0.25">
      <c r="A10126" t="str">
        <f>"20190312150918468"</f>
        <v>20190312150918468</v>
      </c>
      <c r="B10126" t="str">
        <f>"1552374558459445"</f>
        <v>1552374558459445</v>
      </c>
      <c r="C10126" t="s">
        <v>40</v>
      </c>
      <c r="D10126">
        <v>4.7323250000000003</v>
      </c>
      <c r="E10126">
        <v>0.50396669999999999</v>
      </c>
      <c r="F10126" t="s">
        <v>42</v>
      </c>
      <c r="G10126">
        <v>-188.1814</v>
      </c>
      <c r="H10126" s="1">
        <v>-3.3602699999999998E-6</v>
      </c>
      <c r="I10126">
        <v>16.71368</v>
      </c>
      <c r="J10126">
        <v>-187.45820000000001</v>
      </c>
      <c r="K10126">
        <v>1.1137049999999999</v>
      </c>
      <c r="L10126">
        <v>-26.623080000000002</v>
      </c>
      <c r="M10126">
        <v>9.3642870000000003E-2</v>
      </c>
      <c r="N10126">
        <v>0</v>
      </c>
      <c r="O10126">
        <v>0.99553510000000001</v>
      </c>
      <c r="P10126">
        <v>-2.4580950000000001E-2</v>
      </c>
      <c r="Q10126">
        <v>3.5228919999999997E-2</v>
      </c>
      <c r="R10126">
        <v>0.99907690000000005</v>
      </c>
      <c r="S10126">
        <v>-4.7851560000000001E-2</v>
      </c>
      <c r="T10126">
        <v>-7.6640840000000002E-2</v>
      </c>
      <c r="U10126">
        <v>3.0043329999999999</v>
      </c>
      <c r="V10126">
        <v>-0.1184398</v>
      </c>
      <c r="W10126">
        <v>4.5979329999999999E-2</v>
      </c>
      <c r="X10126">
        <v>0.99189609999999995</v>
      </c>
      <c r="Y10126">
        <v>-0.1094879</v>
      </c>
      <c r="Z10126">
        <v>-2.5255409999999999E-2</v>
      </c>
      <c r="AA10126">
        <v>0.99366719999999997</v>
      </c>
      <c r="AB10126">
        <v>32</v>
      </c>
      <c r="AC10126">
        <v>-0.72319999999999096</v>
      </c>
      <c r="AD10126">
        <v>-1.11370836027</v>
      </c>
      <c r="AE10126">
        <v>43.336759999999998</v>
      </c>
      <c r="AF10126">
        <v>-4.7753332506498403</v>
      </c>
      <c r="AG10126">
        <v>-1.11370836027</v>
      </c>
      <c r="AH10126">
        <v>43.050153773459201</v>
      </c>
      <c r="AI10126">
        <v>91.472882757188401</v>
      </c>
      <c r="AJ10126">
        <v>96.3296515427472</v>
      </c>
      <c r="AK10126">
        <v>43.328511327819498</v>
      </c>
      <c r="AL10126">
        <v>87.364649268962694</v>
      </c>
      <c r="AM10126">
        <v>96.809303318034196</v>
      </c>
      <c r="AN10126">
        <v>0.999999979103249</v>
      </c>
    </row>
    <row r="10127" spans="1:40" x14ac:dyDescent="0.25">
      <c r="A10127" t="str">
        <f>"20190312150918481"</f>
        <v>20190312150918481</v>
      </c>
      <c r="B10127" t="str">
        <f>"1552374558469205"</f>
        <v>1552374558469205</v>
      </c>
      <c r="C10127" t="s">
        <v>40</v>
      </c>
      <c r="D10127">
        <v>4.6619669999999998</v>
      </c>
      <c r="E10127">
        <v>0.50423560000000001</v>
      </c>
      <c r="F10127" t="s">
        <v>42</v>
      </c>
      <c r="G10127">
        <v>-188.17449999999999</v>
      </c>
      <c r="H10127" s="1">
        <v>-3.352558E-6</v>
      </c>
      <c r="I10127">
        <v>16.69286</v>
      </c>
      <c r="J10127">
        <v>-187.44159999999999</v>
      </c>
      <c r="K10127">
        <v>1.113632</v>
      </c>
      <c r="L10127">
        <v>-26.422239999999999</v>
      </c>
      <c r="M10127">
        <v>9.1200539999999997E-2</v>
      </c>
      <c r="N10127">
        <v>0</v>
      </c>
      <c r="O10127">
        <v>0.99576200000000004</v>
      </c>
      <c r="P10127">
        <v>-2.605039E-2</v>
      </c>
      <c r="Q10127">
        <v>3.4751869999999997E-2</v>
      </c>
      <c r="R10127">
        <v>0.99905639999999996</v>
      </c>
      <c r="S10127">
        <v>-4.9682619999999997E-2</v>
      </c>
      <c r="T10127">
        <v>-7.7243690000000004E-2</v>
      </c>
      <c r="U10127">
        <v>3.0042719999999998</v>
      </c>
      <c r="V10127">
        <v>-0.1174547</v>
      </c>
      <c r="W10127">
        <v>4.551442E-2</v>
      </c>
      <c r="X10127">
        <v>0.99203470000000005</v>
      </c>
      <c r="Y10127">
        <v>-0.1076551</v>
      </c>
      <c r="Z10127">
        <v>-2.5465640000000001E-2</v>
      </c>
      <c r="AA10127">
        <v>0.99386209999999997</v>
      </c>
      <c r="AB10127">
        <v>32</v>
      </c>
      <c r="AC10127">
        <v>-0.7329</v>
      </c>
      <c r="AD10127">
        <v>-1.1136353525579901</v>
      </c>
      <c r="AE10127">
        <v>43.115099999999998</v>
      </c>
      <c r="AF10127">
        <v>-4.6591344376215797</v>
      </c>
      <c r="AG10127">
        <v>-1.1136353525579901</v>
      </c>
      <c r="AH10127">
        <v>42.839976290613201</v>
      </c>
      <c r="AI10127">
        <v>91.480356842037907</v>
      </c>
      <c r="AJ10127">
        <v>96.206904803308205</v>
      </c>
      <c r="AK10127">
        <v>43.106974911104601</v>
      </c>
      <c r="AL10127">
        <v>87.391314641594093</v>
      </c>
      <c r="AM10127">
        <v>96.7522586980852</v>
      </c>
      <c r="AN10127">
        <v>1.0000000074920501</v>
      </c>
    </row>
    <row r="10128" spans="1:40" x14ac:dyDescent="0.25">
      <c r="A10128" t="str">
        <f>"20190312150918501"</f>
        <v>20190312150918501</v>
      </c>
      <c r="B10128" t="str">
        <f>"1552374558489704"</f>
        <v>1552374558489704</v>
      </c>
      <c r="C10128" t="s">
        <v>40</v>
      </c>
      <c r="D10128">
        <v>4.6237130000000004</v>
      </c>
      <c r="E10128">
        <v>0.50477819999999995</v>
      </c>
      <c r="F10128" t="s">
        <v>42</v>
      </c>
      <c r="G10128">
        <v>-188.19280000000001</v>
      </c>
      <c r="H10128" s="1">
        <v>-3.5471479999999999E-6</v>
      </c>
      <c r="I10128">
        <v>17.154029999999999</v>
      </c>
      <c r="J10128">
        <v>-187.41990000000001</v>
      </c>
      <c r="K10128">
        <v>1.1135459999999999</v>
      </c>
      <c r="L10128">
        <v>-26.149349999999998</v>
      </c>
      <c r="M10128">
        <v>8.7948230000000002E-2</v>
      </c>
      <c r="N10128">
        <v>0</v>
      </c>
      <c r="O10128">
        <v>0.99605480000000002</v>
      </c>
      <c r="P10128">
        <v>-2.7267309999999999E-2</v>
      </c>
      <c r="Q10128">
        <v>3.4278280000000001E-2</v>
      </c>
      <c r="R10128">
        <v>0.99904029999999999</v>
      </c>
      <c r="S10128">
        <v>-5.178833E-2</v>
      </c>
      <c r="T10128">
        <v>-7.6774120000000001E-2</v>
      </c>
      <c r="U10128">
        <v>3.0041500000000001</v>
      </c>
      <c r="V10128">
        <v>-0.1154105</v>
      </c>
      <c r="W10128">
        <v>4.505808E-2</v>
      </c>
      <c r="X10128">
        <v>0.99229540000000005</v>
      </c>
      <c r="Y10128">
        <v>-0.1051053</v>
      </c>
      <c r="Z10128">
        <v>-2.532651E-2</v>
      </c>
      <c r="AA10128">
        <v>0.99413850000000004</v>
      </c>
      <c r="AB10128">
        <v>32</v>
      </c>
      <c r="AC10128">
        <v>-0.77289999999999204</v>
      </c>
      <c r="AD10128">
        <v>-1.1135495471479999</v>
      </c>
      <c r="AE10128">
        <v>43.303379999999997</v>
      </c>
      <c r="AF10128">
        <v>-4.57560204471761</v>
      </c>
      <c r="AG10128">
        <v>-1.1135495471479999</v>
      </c>
      <c r="AH10128">
        <v>43.039126751325703</v>
      </c>
      <c r="AI10128">
        <v>91.473779182068995</v>
      </c>
      <c r="AJ10128">
        <v>96.068469860188699</v>
      </c>
      <c r="AK10128">
        <v>43.2959877838843</v>
      </c>
      <c r="AL10128">
        <v>87.417487798277506</v>
      </c>
      <c r="AM10128">
        <v>96.634070696041306</v>
      </c>
      <c r="AN10128">
        <v>0.99999998747234797</v>
      </c>
    </row>
    <row r="10129" spans="1:40" x14ac:dyDescent="0.25">
      <c r="A10129" t="str">
        <f>"20190312150918516"</f>
        <v>20190312150918516</v>
      </c>
      <c r="B10129" t="str">
        <f>"1552374558509221"</f>
        <v>1552374558509221</v>
      </c>
      <c r="C10129" t="s">
        <v>40</v>
      </c>
      <c r="D10129">
        <v>4.6858040000000001</v>
      </c>
      <c r="E10129">
        <v>0.5052413</v>
      </c>
      <c r="F10129" t="s">
        <v>42</v>
      </c>
      <c r="G10129">
        <v>-188.15309999999999</v>
      </c>
      <c r="H10129" s="1">
        <v>-3.4751369999999902E-6</v>
      </c>
      <c r="I10129">
        <v>16.969750000000001</v>
      </c>
      <c r="J10129">
        <v>-187.40369999999999</v>
      </c>
      <c r="K10129">
        <v>1.113486</v>
      </c>
      <c r="L10129">
        <v>-25.939240000000002</v>
      </c>
      <c r="M10129">
        <v>8.5499580000000006E-2</v>
      </c>
      <c r="N10129">
        <v>0</v>
      </c>
      <c r="O10129">
        <v>0.9962683</v>
      </c>
      <c r="P10129">
        <v>-2.867544E-2</v>
      </c>
      <c r="Q10129">
        <v>3.376092E-2</v>
      </c>
      <c r="R10129">
        <v>0.99901850000000003</v>
      </c>
      <c r="S10129">
        <v>-5.1086430000000002E-2</v>
      </c>
      <c r="T10129">
        <v>-7.7582120000000004E-2</v>
      </c>
      <c r="U10129">
        <v>3.0041500000000001</v>
      </c>
      <c r="V10129">
        <v>-0.1143603</v>
      </c>
      <c r="W10129">
        <v>4.4544559999999997E-2</v>
      </c>
      <c r="X10129">
        <v>0.99244019999999999</v>
      </c>
      <c r="Y10129">
        <v>-0.10242809999999999</v>
      </c>
      <c r="Z10129">
        <v>-2.5604789999999999E-2</v>
      </c>
      <c r="AA10129">
        <v>0.99441080000000004</v>
      </c>
      <c r="AB10129">
        <v>32</v>
      </c>
      <c r="AC10129">
        <v>-0.74940000000000795</v>
      </c>
      <c r="AD10129">
        <v>-1.1134894751369999</v>
      </c>
      <c r="AE10129">
        <v>42.908990000000003</v>
      </c>
      <c r="AF10129">
        <v>-4.4126410532457401</v>
      </c>
      <c r="AG10129">
        <v>-1.1134894751369999</v>
      </c>
      <c r="AH10129">
        <v>42.659048351560003</v>
      </c>
      <c r="AI10129">
        <v>91.487267000569503</v>
      </c>
      <c r="AJ10129">
        <v>95.905657466189993</v>
      </c>
      <c r="AK10129">
        <v>42.9011149754499</v>
      </c>
      <c r="AL10129">
        <v>87.446939991582994</v>
      </c>
      <c r="AM10129">
        <v>96.573282749016201</v>
      </c>
      <c r="AN10129">
        <v>1.00000002330886</v>
      </c>
    </row>
    <row r="10130" spans="1:40" x14ac:dyDescent="0.25">
      <c r="A10130" t="str">
        <f>"20190312150918533"</f>
        <v>20190312150918533</v>
      </c>
      <c r="B10130" t="str">
        <f>"1552374558529716"</f>
        <v>1552374558529716</v>
      </c>
      <c r="C10130" t="s">
        <v>40</v>
      </c>
      <c r="D10130">
        <v>4.8464739999999997</v>
      </c>
      <c r="E10130">
        <v>0.50581480000000001</v>
      </c>
      <c r="F10130" t="s">
        <v>42</v>
      </c>
      <c r="G10130">
        <v>-188.14490000000001</v>
      </c>
      <c r="H10130" s="1">
        <v>-3.5775469999999999E-6</v>
      </c>
      <c r="I10130">
        <v>17.205069999999999</v>
      </c>
      <c r="J10130">
        <v>-187.3854</v>
      </c>
      <c r="K10130">
        <v>1.1134139999999999</v>
      </c>
      <c r="L10130">
        <v>-25.693269999999998</v>
      </c>
      <c r="M10130">
        <v>8.2682420000000006E-2</v>
      </c>
      <c r="N10130">
        <v>0</v>
      </c>
      <c r="O10130">
        <v>0.99650640000000001</v>
      </c>
      <c r="P10130">
        <v>-2.8932780000000002E-2</v>
      </c>
      <c r="Q10130">
        <v>3.3176089999999998E-2</v>
      </c>
      <c r="R10130">
        <v>0.99903059999999999</v>
      </c>
      <c r="S10130">
        <v>-5.160522E-2</v>
      </c>
      <c r="T10130">
        <v>-7.7530979999999999E-2</v>
      </c>
      <c r="U10130">
        <v>3.004089</v>
      </c>
      <c r="V10130">
        <v>-0.1117978</v>
      </c>
      <c r="W10130">
        <v>4.3973869999999998E-2</v>
      </c>
      <c r="X10130">
        <v>0.99275760000000002</v>
      </c>
      <c r="Y10130">
        <v>-9.9787210000000001E-2</v>
      </c>
      <c r="Z10130">
        <v>-2.560107E-2</v>
      </c>
      <c r="AA10130">
        <v>0.99467939999999999</v>
      </c>
      <c r="AB10130">
        <v>32</v>
      </c>
      <c r="AC10130">
        <v>-0.75950000000000195</v>
      </c>
      <c r="AD10130">
        <v>-1.1134175775470001</v>
      </c>
      <c r="AE10130">
        <v>42.898339999999997</v>
      </c>
      <c r="AF10130">
        <v>-4.3011868931947399</v>
      </c>
      <c r="AG10130">
        <v>-1.1134175775470001</v>
      </c>
      <c r="AH10130">
        <v>42.659902850960201</v>
      </c>
      <c r="AI10130">
        <v>91.487534144407405</v>
      </c>
      <c r="AJ10130">
        <v>95.757393221989204</v>
      </c>
      <c r="AK10130">
        <v>42.890642553423497</v>
      </c>
      <c r="AL10130">
        <v>87.4796702620677</v>
      </c>
      <c r="AM10130">
        <v>96.4252022900463</v>
      </c>
      <c r="AN10130">
        <v>1.0000000508426801</v>
      </c>
    </row>
    <row r="10131" spans="1:40" x14ac:dyDescent="0.25">
      <c r="A10131" t="str">
        <f>"20190312150918558"</f>
        <v>20190312150918558</v>
      </c>
      <c r="B10131" t="str">
        <f>"1552374558549236"</f>
        <v>1552374558549236</v>
      </c>
      <c r="C10131" t="s">
        <v>40</v>
      </c>
      <c r="D10131">
        <v>4.7017350000000002</v>
      </c>
      <c r="E10131">
        <v>0.50632219999999994</v>
      </c>
      <c r="F10131" t="s">
        <v>42</v>
      </c>
      <c r="G10131">
        <v>-188.0625</v>
      </c>
      <c r="H10131" s="1">
        <v>-3.5074640000000002E-6</v>
      </c>
      <c r="I10131">
        <v>17.007650000000002</v>
      </c>
      <c r="J10131">
        <v>-187.36060000000001</v>
      </c>
      <c r="K10131">
        <v>1.1133189999999999</v>
      </c>
      <c r="L10131">
        <v>-25.346309999999999</v>
      </c>
      <c r="M10131">
        <v>7.8797199999999998E-2</v>
      </c>
      <c r="N10131">
        <v>0</v>
      </c>
      <c r="O10131">
        <v>0.99682159999999997</v>
      </c>
      <c r="P10131">
        <v>-3.1010490000000002E-2</v>
      </c>
      <c r="Q10131">
        <v>3.2665859999999998E-2</v>
      </c>
      <c r="R10131">
        <v>0.99898509999999996</v>
      </c>
      <c r="S10131">
        <v>-4.7637939999999997E-2</v>
      </c>
      <c r="T10131">
        <v>-7.8331830000000005E-2</v>
      </c>
      <c r="U10131">
        <v>3.0041199999999999</v>
      </c>
      <c r="V10131">
        <v>-0.10997899999999999</v>
      </c>
      <c r="W10131">
        <v>4.346129E-2</v>
      </c>
      <c r="X10131">
        <v>0.99298319999999995</v>
      </c>
      <c r="Y10131">
        <v>-9.4593559999999993E-2</v>
      </c>
      <c r="Z10131">
        <v>-2.5884270000000001E-2</v>
      </c>
      <c r="AA10131">
        <v>0.99517940000000005</v>
      </c>
      <c r="AB10131">
        <v>32</v>
      </c>
      <c r="AC10131">
        <v>-0.70189999999999397</v>
      </c>
      <c r="AD10131">
        <v>-1.1133225074640001</v>
      </c>
      <c r="AE10131">
        <v>42.353960000000001</v>
      </c>
      <c r="AF10131">
        <v>-4.0345335726045404</v>
      </c>
      <c r="AG10131">
        <v>-1.1133225074640001</v>
      </c>
      <c r="AH10131">
        <v>42.137830062505699</v>
      </c>
      <c r="AI10131">
        <v>91.506571534773002</v>
      </c>
      <c r="AJ10131">
        <v>95.469176461177696</v>
      </c>
      <c r="AK10131">
        <v>42.345172930697899</v>
      </c>
      <c r="AL10131">
        <v>87.509066785160996</v>
      </c>
      <c r="AM10131">
        <v>96.320101426038605</v>
      </c>
      <c r="AN10131">
        <v>0.99999994982585005</v>
      </c>
    </row>
    <row r="10132" spans="1:40" x14ac:dyDescent="0.25">
      <c r="A10132" t="str">
        <f>"20190312150918581"</f>
        <v>20190312150918581</v>
      </c>
      <c r="B10132" t="str">
        <f>"1552374558568982"</f>
        <v>1552374558568982</v>
      </c>
      <c r="C10132" t="s">
        <v>40</v>
      </c>
      <c r="D10132">
        <v>4.7092989999999997</v>
      </c>
      <c r="E10132">
        <v>0.5068085</v>
      </c>
      <c r="F10132" t="s">
        <v>42</v>
      </c>
      <c r="G10132">
        <v>-188.02459999999999</v>
      </c>
      <c r="H10132" s="1">
        <v>-2.4945480000000001E-6</v>
      </c>
      <c r="I10132">
        <v>14.63081</v>
      </c>
      <c r="J10132">
        <v>-187.3382</v>
      </c>
      <c r="K10132">
        <v>1.1132299999999999</v>
      </c>
      <c r="L10132">
        <v>-25.016020000000001</v>
      </c>
      <c r="M10132">
        <v>7.5179570000000001E-2</v>
      </c>
      <c r="N10132">
        <v>0</v>
      </c>
      <c r="O10132">
        <v>0.99710149999999997</v>
      </c>
      <c r="P10132">
        <v>-3.2165369999999999E-2</v>
      </c>
      <c r="Q10132">
        <v>3.233453E-2</v>
      </c>
      <c r="R10132">
        <v>0.99895940000000005</v>
      </c>
      <c r="S10132">
        <v>-4.9896240000000001E-2</v>
      </c>
      <c r="T10132">
        <v>-8.3665009999999998E-2</v>
      </c>
      <c r="U10132">
        <v>3.0042420000000001</v>
      </c>
      <c r="V10132">
        <v>-0.10751189999999999</v>
      </c>
      <c r="W10132">
        <v>4.313115E-2</v>
      </c>
      <c r="X10132">
        <v>0.99326780000000003</v>
      </c>
      <c r="Y10132">
        <v>-9.1727219999999998E-2</v>
      </c>
      <c r="Z10132">
        <v>-2.7659380000000001E-2</v>
      </c>
      <c r="AA10132">
        <v>0.99539999999999995</v>
      </c>
      <c r="AB10132">
        <v>32</v>
      </c>
      <c r="AC10132">
        <v>-0.68639999999999102</v>
      </c>
      <c r="AD10132">
        <v>-1.1132324945480001</v>
      </c>
      <c r="AE10132">
        <v>39.646830000000001</v>
      </c>
      <c r="AF10132">
        <v>-3.6624058755565398</v>
      </c>
      <c r="AG10132">
        <v>-1.1132324945480001</v>
      </c>
      <c r="AH10132">
        <v>39.451912644368797</v>
      </c>
      <c r="AI10132">
        <v>91.609395886344799</v>
      </c>
      <c r="AJ10132">
        <v>95.303689863939098</v>
      </c>
      <c r="AK10132">
        <v>39.637178439983998</v>
      </c>
      <c r="AL10132">
        <v>87.528000326898706</v>
      </c>
      <c r="AM10132">
        <v>96.177678368396997</v>
      </c>
      <c r="AN10132">
        <v>1.0000000136293801</v>
      </c>
    </row>
    <row r="10133" spans="1:40" x14ac:dyDescent="0.25">
      <c r="A10133" t="str">
        <f>"20190312150918604"</f>
        <v>20190312150918604</v>
      </c>
      <c r="B10133" t="str">
        <f>"1552374558599238"</f>
        <v>1552374558599238</v>
      </c>
      <c r="C10133" t="s">
        <v>40</v>
      </c>
      <c r="D10133">
        <v>4.746346</v>
      </c>
      <c r="E10133">
        <v>0.50727599999999995</v>
      </c>
      <c r="F10133" t="s">
        <v>42</v>
      </c>
      <c r="G10133">
        <v>-187.96559999999999</v>
      </c>
      <c r="H10133" s="1">
        <v>-1.7965219999999901E-6</v>
      </c>
      <c r="I10133">
        <v>12.9793</v>
      </c>
      <c r="J10133">
        <v>-187.31809999999999</v>
      </c>
      <c r="K10133">
        <v>1.1131580000000001</v>
      </c>
      <c r="L10133">
        <v>-24.70505</v>
      </c>
      <c r="M10133">
        <v>7.1841489999999994E-2</v>
      </c>
      <c r="N10133">
        <v>0</v>
      </c>
      <c r="O10133">
        <v>0.99734809999999996</v>
      </c>
      <c r="P10133">
        <v>-3.338112E-2</v>
      </c>
      <c r="Q10133">
        <v>3.2573480000000002E-2</v>
      </c>
      <c r="R10133">
        <v>0.99891169999999996</v>
      </c>
      <c r="S10133">
        <v>-4.9606320000000002E-2</v>
      </c>
      <c r="T10133">
        <v>-8.8025450000000005E-2</v>
      </c>
      <c r="U10133">
        <v>3.0043639999999998</v>
      </c>
      <c r="V10133">
        <v>-0.1053887</v>
      </c>
      <c r="W10133">
        <v>4.3365050000000002E-2</v>
      </c>
      <c r="X10133">
        <v>0.99348519999999896</v>
      </c>
      <c r="Y10133">
        <v>-8.8296020000000003E-2</v>
      </c>
      <c r="Z10133">
        <v>-2.9113920000000001E-2</v>
      </c>
      <c r="AA10133">
        <v>0.99566869999999996</v>
      </c>
      <c r="AB10133">
        <v>32</v>
      </c>
      <c r="AC10133">
        <v>-0.64750000000000696</v>
      </c>
      <c r="AD10133">
        <v>-1.1131597965219999</v>
      </c>
      <c r="AE10133">
        <v>37.684350000000002</v>
      </c>
      <c r="AF10133">
        <v>-3.3503875208476699</v>
      </c>
      <c r="AG10133">
        <v>-1.1131597965219999</v>
      </c>
      <c r="AH10133">
        <v>37.507724325229802</v>
      </c>
      <c r="AI10133">
        <v>91.693196009862106</v>
      </c>
      <c r="AJ10133">
        <v>95.104413571802894</v>
      </c>
      <c r="AK10133">
        <v>37.6735133128022</v>
      </c>
      <c r="AL10133">
        <v>87.514586444033398</v>
      </c>
      <c r="AM10133">
        <v>96.055278745016494</v>
      </c>
      <c r="AN10133">
        <v>1.00000007413411</v>
      </c>
    </row>
    <row r="10134" spans="1:40" x14ac:dyDescent="0.25">
      <c r="A10134" t="str">
        <f>"20190312150918625"</f>
        <v>20190312150918625</v>
      </c>
      <c r="B10134" t="str">
        <f>"1552374558619734"</f>
        <v>1552374558619734</v>
      </c>
      <c r="C10134" t="s">
        <v>40</v>
      </c>
      <c r="D10134">
        <v>4.7058949999999999</v>
      </c>
      <c r="E10134">
        <v>0.50756120000000005</v>
      </c>
      <c r="F10134" t="s">
        <v>42</v>
      </c>
      <c r="G10134">
        <v>-187.93770000000001</v>
      </c>
      <c r="H10134" s="1">
        <v>-1.7325599999999899E-6</v>
      </c>
      <c r="I10134">
        <v>12.818659999999999</v>
      </c>
      <c r="J10134">
        <v>-187.2987</v>
      </c>
      <c r="K10134">
        <v>1.1130880000000001</v>
      </c>
      <c r="L10134">
        <v>-24.389309999999998</v>
      </c>
      <c r="M10134">
        <v>6.8515010000000001E-2</v>
      </c>
      <c r="N10134">
        <v>0</v>
      </c>
      <c r="O10134">
        <v>0.99758259999999999</v>
      </c>
      <c r="P10134">
        <v>-3.4783269999999998E-2</v>
      </c>
      <c r="Q10134">
        <v>3.2083779999999999E-2</v>
      </c>
      <c r="R10134">
        <v>0.99887969999999904</v>
      </c>
      <c r="S10134">
        <v>-4.9606320000000002E-2</v>
      </c>
      <c r="T10134">
        <v>-8.9130520000000005E-2</v>
      </c>
      <c r="U10134">
        <v>3.0045169999999999</v>
      </c>
      <c r="V10134">
        <v>-0.10345940000000001</v>
      </c>
      <c r="W10134">
        <v>4.2864359999999997E-2</v>
      </c>
      <c r="X10134">
        <v>0.99370959999999997</v>
      </c>
      <c r="Y10134">
        <v>-8.4972580000000006E-2</v>
      </c>
      <c r="Z10134">
        <v>-2.9492299999999999E-2</v>
      </c>
      <c r="AA10134">
        <v>0.99594669999999996</v>
      </c>
      <c r="AB10134">
        <v>32</v>
      </c>
      <c r="AC10134">
        <v>-0.63900000000001</v>
      </c>
      <c r="AD10134">
        <v>-1.11308973255999</v>
      </c>
      <c r="AE10134">
        <v>37.207970000000003</v>
      </c>
      <c r="AF10134">
        <v>-3.18412556270644</v>
      </c>
      <c r="AG10134">
        <v>-1.11308973255999</v>
      </c>
      <c r="AH10134">
        <v>37.043597028893103</v>
      </c>
      <c r="AI10134">
        <v>91.714792100494705</v>
      </c>
      <c r="AJ10134">
        <v>94.912849793766</v>
      </c>
      <c r="AK10134">
        <v>37.196850742916801</v>
      </c>
      <c r="AL10134">
        <v>87.543300347299905</v>
      </c>
      <c r="AM10134">
        <v>95.943896030421499</v>
      </c>
      <c r="AN10134">
        <v>0.99999998496936404</v>
      </c>
    </row>
    <row r="10135" spans="1:40" x14ac:dyDescent="0.25">
      <c r="A10135" t="str">
        <f>"20190312150918647"</f>
        <v>20190312150918647</v>
      </c>
      <c r="B10135" t="str">
        <f>"1552374558639254"</f>
        <v>1552374558639254</v>
      </c>
      <c r="C10135" t="s">
        <v>40</v>
      </c>
      <c r="D10135">
        <v>4.7460449999999996</v>
      </c>
      <c r="E10135">
        <v>0.50786369999999903</v>
      </c>
      <c r="F10135" t="s">
        <v>42</v>
      </c>
      <c r="G10135">
        <v>-187.9117</v>
      </c>
      <c r="H10135" s="1">
        <v>-1.149186E-6</v>
      </c>
      <c r="I10135">
        <v>11.39218</v>
      </c>
      <c r="J10135">
        <v>-187.28110000000001</v>
      </c>
      <c r="K10135">
        <v>1.1130310000000001</v>
      </c>
      <c r="L10135">
        <v>-24.08578</v>
      </c>
      <c r="M10135">
        <v>6.5373319999999999E-2</v>
      </c>
      <c r="N10135">
        <v>0</v>
      </c>
      <c r="O10135">
        <v>0.99779390000000001</v>
      </c>
      <c r="P10135">
        <v>-3.6009140000000002E-2</v>
      </c>
      <c r="Q10135">
        <v>3.2049420000000002E-2</v>
      </c>
      <c r="R10135">
        <v>0.99883739999999999</v>
      </c>
      <c r="S10135">
        <v>-5.1467899999999997E-2</v>
      </c>
      <c r="T10135">
        <v>-9.3466279999999999E-2</v>
      </c>
      <c r="U10135">
        <v>3.004578</v>
      </c>
      <c r="V10135">
        <v>-0.1015427</v>
      </c>
      <c r="W10135">
        <v>4.2816239999999998E-2</v>
      </c>
      <c r="X10135">
        <v>0.99390940000000005</v>
      </c>
      <c r="Y10135">
        <v>-8.2450490000000001E-2</v>
      </c>
      <c r="Z10135">
        <v>-3.0937929999999999E-2</v>
      </c>
      <c r="AA10135">
        <v>0.99611490000000003</v>
      </c>
      <c r="AB10135">
        <v>32</v>
      </c>
      <c r="AC10135">
        <v>-0.63059999999998695</v>
      </c>
      <c r="AD10135">
        <v>-1.11303214918599</v>
      </c>
      <c r="AE10135">
        <v>35.477960000000003</v>
      </c>
      <c r="AF10135">
        <v>-2.9458194794739399</v>
      </c>
      <c r="AG10135">
        <v>-1.11303214918599</v>
      </c>
      <c r="AH10135">
        <v>35.326072815473402</v>
      </c>
      <c r="AI10135">
        <v>91.798405219065103</v>
      </c>
      <c r="AJ10135">
        <v>94.766831040028407</v>
      </c>
      <c r="AK10135">
        <v>35.466154479093099</v>
      </c>
      <c r="AL10135">
        <v>87.546060046817701</v>
      </c>
      <c r="AM10135">
        <v>95.833380746961794</v>
      </c>
      <c r="AN10135">
        <v>1.0000000228696899</v>
      </c>
    </row>
    <row r="10136" spans="1:40" x14ac:dyDescent="0.25">
      <c r="A10136" t="str">
        <f>"20190312150918669"</f>
        <v>20190312150918669</v>
      </c>
      <c r="B10136" t="str">
        <f>"1552374558659750"</f>
        <v>1552374558659750</v>
      </c>
      <c r="C10136" t="s">
        <v>40</v>
      </c>
      <c r="D10136">
        <v>4.727652</v>
      </c>
      <c r="E10136">
        <v>0.5080017</v>
      </c>
      <c r="F10136" t="s">
        <v>42</v>
      </c>
      <c r="G10136">
        <v>-187.8922</v>
      </c>
      <c r="H10136" s="1">
        <v>-9.3704199999999998E-7</v>
      </c>
      <c r="I10136">
        <v>10.753539999999999</v>
      </c>
      <c r="J10136">
        <v>-187.26300000000001</v>
      </c>
      <c r="K10136">
        <v>1.112975</v>
      </c>
      <c r="L10136">
        <v>-23.75714</v>
      </c>
      <c r="M10136">
        <v>6.2017750000000003E-2</v>
      </c>
      <c r="N10136">
        <v>0</v>
      </c>
      <c r="O10136">
        <v>0.99800860000000002</v>
      </c>
      <c r="P10136">
        <v>-3.755733E-2</v>
      </c>
      <c r="Q10136">
        <v>3.2309129999999998E-2</v>
      </c>
      <c r="R10136">
        <v>0.99877199999999999</v>
      </c>
      <c r="S10136">
        <v>-5.2703859999999998E-2</v>
      </c>
      <c r="T10136">
        <v>-9.5991850000000004E-2</v>
      </c>
      <c r="U10136">
        <v>3.0046689999999998</v>
      </c>
      <c r="V10136">
        <v>-9.9736320000000003E-2</v>
      </c>
      <c r="W10136">
        <v>4.3056829999999997E-2</v>
      </c>
      <c r="X10136">
        <v>0.99408189999999996</v>
      </c>
      <c r="Y10136">
        <v>-7.9507579999999994E-2</v>
      </c>
      <c r="Z10136">
        <v>-3.178607E-2</v>
      </c>
      <c r="AA10136">
        <v>0.99632730000000003</v>
      </c>
      <c r="AB10136">
        <v>32</v>
      </c>
      <c r="AC10136">
        <v>-0.62919999999999698</v>
      </c>
      <c r="AD10136">
        <v>-1.112975937042</v>
      </c>
      <c r="AE10136">
        <v>34.510680000000001</v>
      </c>
      <c r="AF10136">
        <v>-2.7655299309424999</v>
      </c>
      <c r="AG10136">
        <v>-1.112975937042</v>
      </c>
      <c r="AH10136">
        <v>34.369480625497097</v>
      </c>
      <c r="AI10136">
        <v>91.848771654567798</v>
      </c>
      <c r="AJ10136">
        <v>94.600376283195402</v>
      </c>
      <c r="AK10136">
        <v>34.498522717672898</v>
      </c>
      <c r="AL10136">
        <v>87.532262534308401</v>
      </c>
      <c r="AM10136">
        <v>95.7293176630494</v>
      </c>
      <c r="AN10136">
        <v>1.0000000240222</v>
      </c>
    </row>
    <row r="10137" spans="1:40" x14ac:dyDescent="0.25">
      <c r="A10137" t="str">
        <f>"20190312150918684"</f>
        <v>20190312150918684</v>
      </c>
      <c r="B10137" t="str">
        <f>"1552374558679271"</f>
        <v>1552374558679271</v>
      </c>
      <c r="C10137" t="s">
        <v>40</v>
      </c>
      <c r="D10137">
        <v>4.8551789999999997</v>
      </c>
      <c r="E10137">
        <v>0.51233329999999999</v>
      </c>
      <c r="F10137" t="s">
        <v>42</v>
      </c>
      <c r="G10137">
        <v>-187.91220000000001</v>
      </c>
      <c r="H10137" s="1">
        <v>-9.9262589999999997E-7</v>
      </c>
      <c r="I10137">
        <v>10.93252</v>
      </c>
      <c r="J10137">
        <v>-187.25200000000001</v>
      </c>
      <c r="K10137">
        <v>1.1129469999999999</v>
      </c>
      <c r="L10137">
        <v>-23.548030000000001</v>
      </c>
      <c r="M10137">
        <v>5.9900799999999997E-2</v>
      </c>
      <c r="N10137">
        <v>0</v>
      </c>
      <c r="O10137">
        <v>0.99813819999999998</v>
      </c>
      <c r="P10137">
        <v>-3.8765719999999997E-2</v>
      </c>
      <c r="Q10137">
        <v>3.2481669999999997E-2</v>
      </c>
      <c r="R10137">
        <v>0.99872030000000001</v>
      </c>
      <c r="S10137">
        <v>-5.6228640000000003E-2</v>
      </c>
      <c r="T10137">
        <v>-9.6402169999999995E-2</v>
      </c>
      <c r="U10137">
        <v>3.0047000000000001</v>
      </c>
      <c r="V10137">
        <v>-9.8827849999999995E-2</v>
      </c>
      <c r="W10137">
        <v>4.3214509999999998E-2</v>
      </c>
      <c r="X10137">
        <v>0.99416579999999999</v>
      </c>
      <c r="Y10137">
        <v>-7.8561339999999993E-2</v>
      </c>
      <c r="Z10137">
        <v>-3.1928560000000002E-2</v>
      </c>
      <c r="AA10137">
        <v>0.99639789999999995</v>
      </c>
      <c r="AB10137">
        <v>32</v>
      </c>
      <c r="AC10137">
        <v>-0.66020000000000301</v>
      </c>
      <c r="AD10137">
        <v>-1.1129479926258901</v>
      </c>
      <c r="AE10137">
        <v>34.480549999999901</v>
      </c>
      <c r="AF10137">
        <v>-2.72172866528153</v>
      </c>
      <c r="AG10137">
        <v>-1.1129479926258901</v>
      </c>
      <c r="AH10137">
        <v>34.343310026834502</v>
      </c>
      <c r="AI10137">
        <v>91.8503111963837</v>
      </c>
      <c r="AJ10137">
        <v>94.531255547416194</v>
      </c>
      <c r="AK10137">
        <v>34.468962905213402</v>
      </c>
      <c r="AL10137">
        <v>87.523219753435299</v>
      </c>
      <c r="AM10137">
        <v>95.676997412242002</v>
      </c>
      <c r="AN10137">
        <v>1.0000000378499001</v>
      </c>
    </row>
    <row r="10138" spans="1:40" x14ac:dyDescent="0.25">
      <c r="A10138" t="str">
        <f>"20190312150918701"</f>
        <v>20190312150918701</v>
      </c>
      <c r="B10138" t="str">
        <f>"1552374558689030"</f>
        <v>1552374558689030</v>
      </c>
      <c r="C10138" t="s">
        <v>40</v>
      </c>
      <c r="D10138">
        <v>4.7317099999999996</v>
      </c>
      <c r="E10138">
        <v>0.51253599999999999</v>
      </c>
      <c r="F10138" t="s">
        <v>42</v>
      </c>
      <c r="G10138">
        <v>-187.47890000000001</v>
      </c>
      <c r="H10138" s="1">
        <v>-1.416543E-6</v>
      </c>
      <c r="I10138">
        <v>1.839513</v>
      </c>
      <c r="J10138">
        <v>-187.2397</v>
      </c>
      <c r="K10138">
        <v>1.112922</v>
      </c>
      <c r="L10138">
        <v>-23.302150000000001</v>
      </c>
      <c r="M10138">
        <v>5.7437219999999997E-2</v>
      </c>
      <c r="N10138">
        <v>0</v>
      </c>
      <c r="O10138">
        <v>0.99828349999999999</v>
      </c>
      <c r="P10138">
        <v>-4.0290430000000002E-2</v>
      </c>
      <c r="Q10138">
        <v>3.312507E-2</v>
      </c>
      <c r="R10138">
        <v>0.99863880000000005</v>
      </c>
      <c r="S10138">
        <v>-2.6885989999999999E-2</v>
      </c>
      <c r="T10138">
        <v>-0.13182539999999901</v>
      </c>
      <c r="U10138">
        <v>3.0070800000000002</v>
      </c>
      <c r="V10138">
        <v>-9.7891740000000005E-2</v>
      </c>
      <c r="W10138">
        <v>4.3835239999999998E-2</v>
      </c>
      <c r="X10138">
        <v>0.99423119999999998</v>
      </c>
      <c r="Y10138">
        <v>-6.6355869999999997E-2</v>
      </c>
      <c r="Z10138">
        <v>-4.3638709999999997E-2</v>
      </c>
      <c r="AA10138">
        <v>0.99684130000000004</v>
      </c>
      <c r="AB10138">
        <v>32</v>
      </c>
      <c r="AC10138">
        <v>-0.23920000000000999</v>
      </c>
      <c r="AD10138">
        <v>-1.112923416543</v>
      </c>
      <c r="AE10138">
        <v>25.141663000000001</v>
      </c>
      <c r="AF10138">
        <v>-1.6796758898706201</v>
      </c>
      <c r="AG10138">
        <v>-1.112923416543</v>
      </c>
      <c r="AH10138">
        <v>25.0373558570485</v>
      </c>
      <c r="AI10138">
        <v>92.539450974335296</v>
      </c>
      <c r="AJ10138">
        <v>93.838039074454201</v>
      </c>
      <c r="AK10138">
        <v>25.118302051265001</v>
      </c>
      <c r="AL10138">
        <v>87.487620714370195</v>
      </c>
      <c r="AM10138">
        <v>95.623202936002897</v>
      </c>
      <c r="AN10138">
        <v>1.00000000003976</v>
      </c>
    </row>
    <row r="10139" spans="1:40" x14ac:dyDescent="0.25">
      <c r="A10139" t="str">
        <f>"20190312150918724"</f>
        <v>20190312150918724</v>
      </c>
      <c r="B10139" t="str">
        <f>"1552374558719286"</f>
        <v>1552374558719286</v>
      </c>
      <c r="C10139" t="s">
        <v>40</v>
      </c>
      <c r="D10139">
        <v>4.7686070000000003</v>
      </c>
      <c r="E10139">
        <v>0.51269370000000003</v>
      </c>
      <c r="F10139" t="s">
        <v>42</v>
      </c>
      <c r="G10139">
        <v>-187.5059</v>
      </c>
      <c r="H10139" s="1">
        <v>-2.206332E-6</v>
      </c>
      <c r="I10139">
        <v>3.7445339999999998</v>
      </c>
      <c r="J10139">
        <v>-187.2242</v>
      </c>
      <c r="K10139">
        <v>1.112879</v>
      </c>
      <c r="L10139">
        <v>-22.977170000000001</v>
      </c>
      <c r="M10139">
        <v>5.4216220000000002E-2</v>
      </c>
      <c r="N10139">
        <v>0</v>
      </c>
      <c r="O10139">
        <v>0.99846420000000002</v>
      </c>
      <c r="P10139">
        <v>-4.2539970000000003E-2</v>
      </c>
      <c r="Q10139">
        <v>3.394465E-2</v>
      </c>
      <c r="R10139">
        <v>0.99851789999999996</v>
      </c>
      <c r="S10139">
        <v>-2.9602050000000001E-2</v>
      </c>
      <c r="T10139">
        <v>-0.1237323</v>
      </c>
      <c r="U10139">
        <v>3.0069889999999999</v>
      </c>
      <c r="V10139">
        <v>-9.6923079999999995E-2</v>
      </c>
      <c r="W10139">
        <v>4.4619350000000002E-2</v>
      </c>
      <c r="X10139">
        <v>0.99429120000000004</v>
      </c>
      <c r="Y10139">
        <v>-6.4038250000000005E-2</v>
      </c>
      <c r="Z10139">
        <v>-4.0979580000000002E-2</v>
      </c>
      <c r="AA10139">
        <v>0.99710569999999998</v>
      </c>
      <c r="AB10139">
        <v>32</v>
      </c>
      <c r="AC10139">
        <v>-0.28170000000000001</v>
      </c>
      <c r="AD10139">
        <v>-1.1128812063319999</v>
      </c>
      <c r="AE10139">
        <v>26.721703999999999</v>
      </c>
      <c r="AF10139">
        <v>-1.72713412718722</v>
      </c>
      <c r="AG10139">
        <v>-1.1128812063319999</v>
      </c>
      <c r="AH10139">
        <v>26.620955035493399</v>
      </c>
      <c r="AI10139">
        <v>92.388822903219705</v>
      </c>
      <c r="AJ10139">
        <v>93.712075692230002</v>
      </c>
      <c r="AK10139">
        <v>26.700126289485301</v>
      </c>
      <c r="AL10139">
        <v>87.442650464959101</v>
      </c>
      <c r="AM10139">
        <v>95.567577623853396</v>
      </c>
      <c r="AN10139">
        <v>0.99999998011427405</v>
      </c>
    </row>
    <row r="10140" spans="1:40" x14ac:dyDescent="0.25">
      <c r="A10140" t="str">
        <f>"20190312150918738"</f>
        <v>20190312150918738</v>
      </c>
      <c r="B10140" t="str">
        <f>"1552374558729046"</f>
        <v>1552374558729046</v>
      </c>
      <c r="C10140" t="s">
        <v>40</v>
      </c>
      <c r="D10140">
        <v>4.7564840000000004</v>
      </c>
      <c r="E10140">
        <v>0.51279330000000001</v>
      </c>
      <c r="F10140" t="s">
        <v>42</v>
      </c>
      <c r="G10140">
        <v>-187.54409999999999</v>
      </c>
      <c r="H10140" s="1">
        <v>-2.4604249999999998E-6</v>
      </c>
      <c r="I10140">
        <v>4.3526199999999999</v>
      </c>
      <c r="J10140">
        <v>-187.21469999999999</v>
      </c>
      <c r="K10140">
        <v>1.112857</v>
      </c>
      <c r="L10140">
        <v>-22.764189999999999</v>
      </c>
      <c r="M10140">
        <v>5.213247E-2</v>
      </c>
      <c r="N10140">
        <v>0</v>
      </c>
      <c r="O10140">
        <v>0.99857560000000001</v>
      </c>
      <c r="P10140">
        <v>-4.4250150000000002E-2</v>
      </c>
      <c r="Q10140">
        <v>3.404182E-2</v>
      </c>
      <c r="R10140">
        <v>0.99844029999999995</v>
      </c>
      <c r="S10140">
        <v>-3.5202030000000002E-2</v>
      </c>
      <c r="T10140">
        <v>-0.1224509</v>
      </c>
      <c r="U10140">
        <v>3.0071110000000001</v>
      </c>
      <c r="V10140">
        <v>-9.6548229999999999E-2</v>
      </c>
      <c r="W10140">
        <v>4.468747E-2</v>
      </c>
      <c r="X10140">
        <v>0.9943246</v>
      </c>
      <c r="Y10140">
        <v>-6.381212E-2</v>
      </c>
      <c r="Z10140">
        <v>-4.0560909999999999E-2</v>
      </c>
      <c r="AA10140">
        <v>0.9971373</v>
      </c>
      <c r="AB10140">
        <v>32</v>
      </c>
      <c r="AC10140">
        <v>-0.32939999999999198</v>
      </c>
      <c r="AD10140">
        <v>-1.1128594604249999</v>
      </c>
      <c r="AE10140">
        <v>27.116809999999901</v>
      </c>
      <c r="AF10140">
        <v>-1.7397797038280001</v>
      </c>
      <c r="AG10140">
        <v>-1.1128594604249999</v>
      </c>
      <c r="AH10140">
        <v>27.017260886028499</v>
      </c>
      <c r="AI10140">
        <v>92.353849130222997</v>
      </c>
      <c r="AJ10140">
        <v>93.684481253136198</v>
      </c>
      <c r="AK10140">
        <v>27.096082288409001</v>
      </c>
      <c r="AL10140">
        <v>87.438743554588996</v>
      </c>
      <c r="AM10140">
        <v>95.545994393990597</v>
      </c>
      <c r="AN10140">
        <v>0.99999997042814603</v>
      </c>
    </row>
    <row r="10141" spans="1:40" x14ac:dyDescent="0.25">
      <c r="A10141" t="str">
        <f>"20190312150918758"</f>
        <v>20190312150918758</v>
      </c>
      <c r="B10141" t="str">
        <f>"1552374558749543"</f>
        <v>1552374558749543</v>
      </c>
      <c r="C10141" t="s">
        <v>40</v>
      </c>
      <c r="D10141">
        <v>4.7405049999999997</v>
      </c>
      <c r="E10141">
        <v>0.51301989999999997</v>
      </c>
      <c r="F10141" t="s">
        <v>42</v>
      </c>
      <c r="G10141">
        <v>-187.57560000000001</v>
      </c>
      <c r="H10141" s="1">
        <v>-2.5263810000000002E-6</v>
      </c>
      <c r="I10141">
        <v>4.5193919999999999</v>
      </c>
      <c r="J10141">
        <v>-187.20310000000001</v>
      </c>
      <c r="K10141">
        <v>1.1128180000000001</v>
      </c>
      <c r="L10141">
        <v>-22.491879999999998</v>
      </c>
      <c r="M10141">
        <v>4.9491519999999997E-2</v>
      </c>
      <c r="N10141">
        <v>0</v>
      </c>
      <c r="O10141">
        <v>0.99871049999999995</v>
      </c>
      <c r="P10141">
        <v>-4.590317E-2</v>
      </c>
      <c r="Q10141">
        <v>3.382193E-2</v>
      </c>
      <c r="R10141">
        <v>0.99837319999999996</v>
      </c>
      <c r="S10141">
        <v>-3.9779660000000001E-2</v>
      </c>
      <c r="T10141">
        <v>-0.1226559</v>
      </c>
      <c r="U10141">
        <v>3.0071110000000001</v>
      </c>
      <c r="V10141">
        <v>-9.5559759999999994E-2</v>
      </c>
      <c r="W10141">
        <v>4.4433090000000001E-2</v>
      </c>
      <c r="X10141">
        <v>0.99443150000000002</v>
      </c>
      <c r="Y10141">
        <v>-6.2690549999999998E-2</v>
      </c>
      <c r="Z10141">
        <v>-4.0637960000000001E-2</v>
      </c>
      <c r="AA10141">
        <v>0.99720529999999996</v>
      </c>
      <c r="AB10141">
        <v>32</v>
      </c>
      <c r="AC10141">
        <v>-0.372500000000002</v>
      </c>
      <c r="AD10141">
        <v>-1.112820526381</v>
      </c>
      <c r="AE10141">
        <v>27.011272000000002</v>
      </c>
      <c r="AF10141">
        <v>-1.7060627236347801</v>
      </c>
      <c r="AG10141">
        <v>-1.112820526381</v>
      </c>
      <c r="AH10141">
        <v>26.914057153951401</v>
      </c>
      <c r="AI10141">
        <v>92.362933397684401</v>
      </c>
      <c r="AJ10141">
        <v>93.627085325787505</v>
      </c>
      <c r="AK10141">
        <v>26.991026138831302</v>
      </c>
      <c r="AL10141">
        <v>87.453332991162597</v>
      </c>
      <c r="AM10141">
        <v>95.488976082602903</v>
      </c>
      <c r="AN10141">
        <v>0.99999998770522702</v>
      </c>
    </row>
    <row r="10142" spans="1:40" x14ac:dyDescent="0.25">
      <c r="A10142" t="str">
        <f>"20190312150918775"</f>
        <v>20190312150918775</v>
      </c>
      <c r="B10142" t="str">
        <f>"1552374558769064"</f>
        <v>1552374558769064</v>
      </c>
      <c r="C10142" t="s">
        <v>40</v>
      </c>
      <c r="D10142">
        <v>4.7225890000000001</v>
      </c>
      <c r="E10142">
        <v>0.51682170000000005</v>
      </c>
      <c r="F10142" t="s">
        <v>42</v>
      </c>
      <c r="G10142">
        <v>-187.58179999999999</v>
      </c>
      <c r="H10142" s="1">
        <v>-2.3293190000000002E-6</v>
      </c>
      <c r="I10142">
        <v>4.0626179999999996</v>
      </c>
      <c r="J10142">
        <v>-187.19309999999999</v>
      </c>
      <c r="K10142">
        <v>1.112778</v>
      </c>
      <c r="L10142">
        <v>-22.244350000000001</v>
      </c>
      <c r="M10142">
        <v>4.7115700000000003E-2</v>
      </c>
      <c r="N10142">
        <v>0</v>
      </c>
      <c r="O10142">
        <v>0.99882599999999999</v>
      </c>
      <c r="P10142">
        <v>-4.7994500000000002E-2</v>
      </c>
      <c r="Q10142">
        <v>3.3613490000000003E-2</v>
      </c>
      <c r="R10142">
        <v>0.9982818</v>
      </c>
      <c r="S10142">
        <v>-4.289246E-2</v>
      </c>
      <c r="T10142">
        <v>-0.12602160000000001</v>
      </c>
      <c r="U10142">
        <v>3.0071720000000002</v>
      </c>
      <c r="V10142">
        <v>-9.5272969999999998E-2</v>
      </c>
      <c r="W10142">
        <v>4.4188239999999997E-2</v>
      </c>
      <c r="X10142">
        <v>0.99446990000000002</v>
      </c>
      <c r="Y10142">
        <v>-6.1347499999999999E-2</v>
      </c>
      <c r="Z10142">
        <v>-4.1758969999999999E-2</v>
      </c>
      <c r="AA10142">
        <v>0.99724250000000003</v>
      </c>
      <c r="AB10142">
        <v>32</v>
      </c>
      <c r="AC10142">
        <v>-0.38869999999999999</v>
      </c>
      <c r="AD10142">
        <v>-1.112780329319</v>
      </c>
      <c r="AE10142">
        <v>26.306967999999902</v>
      </c>
      <c r="AF10142">
        <v>-1.62491125064983</v>
      </c>
      <c r="AG10142">
        <v>-1.112780329319</v>
      </c>
      <c r="AH10142">
        <v>26.212542531306401</v>
      </c>
      <c r="AI10142">
        <v>92.426221182106104</v>
      </c>
      <c r="AJ10142">
        <v>93.547217027722297</v>
      </c>
      <c r="AK10142">
        <v>26.286422399964501</v>
      </c>
      <c r="AL10142">
        <v>87.467375587214903</v>
      </c>
      <c r="AM10142">
        <v>95.472392918924896</v>
      </c>
      <c r="AN10142">
        <v>0.99999996068646302</v>
      </c>
    </row>
    <row r="10143" spans="1:40" x14ac:dyDescent="0.25">
      <c r="A10143" t="str">
        <f>"20190312150918795"</f>
        <v>20190312150918795</v>
      </c>
      <c r="B10143" t="str">
        <f>"1552374558789558"</f>
        <v>1552374558789558</v>
      </c>
      <c r="C10143" t="s">
        <v>40</v>
      </c>
      <c r="D10143">
        <v>5.050338</v>
      </c>
      <c r="E10143">
        <v>0.51665909999999904</v>
      </c>
      <c r="F10143" t="s">
        <v>42</v>
      </c>
      <c r="G10143">
        <v>-187.33770000000001</v>
      </c>
      <c r="H10143" s="1">
        <v>-4.7121329999999996E-6</v>
      </c>
      <c r="I10143">
        <v>-0.48394969999999998</v>
      </c>
      <c r="J10143">
        <v>-187.1833</v>
      </c>
      <c r="K10143">
        <v>1.112735</v>
      </c>
      <c r="L10143">
        <v>-21.985690000000002</v>
      </c>
      <c r="M10143">
        <v>4.4659440000000002E-2</v>
      </c>
      <c r="N10143">
        <v>0</v>
      </c>
      <c r="O10143">
        <v>0.99893929999999997</v>
      </c>
      <c r="P10143">
        <v>-4.9155610000000002E-2</v>
      </c>
      <c r="Q10143">
        <v>3.36044E-2</v>
      </c>
      <c r="R10143">
        <v>0.99822569999999999</v>
      </c>
      <c r="S10143">
        <v>-1.9989010000000001E-2</v>
      </c>
      <c r="T10143">
        <v>-0.153893</v>
      </c>
      <c r="U10143">
        <v>3.009369</v>
      </c>
      <c r="V10143">
        <v>-9.3979430000000003E-2</v>
      </c>
      <c r="W10143">
        <v>4.4148699999999999E-2</v>
      </c>
      <c r="X10143">
        <v>0.9945948</v>
      </c>
      <c r="Y10143">
        <v>-5.128808E-2</v>
      </c>
      <c r="Z10143">
        <v>-5.0960650000000003E-2</v>
      </c>
      <c r="AA10143">
        <v>0.99738280000000001</v>
      </c>
      <c r="AB10143">
        <v>32</v>
      </c>
      <c r="AC10143">
        <v>-0.154400000000009</v>
      </c>
      <c r="AD10143">
        <v>-1.112739712133</v>
      </c>
      <c r="AE10143">
        <v>21.501740300000002</v>
      </c>
      <c r="AF10143">
        <v>-1.1115851491934601</v>
      </c>
      <c r="AG10143">
        <v>-1.112739712133</v>
      </c>
      <c r="AH10143">
        <v>21.416035739239</v>
      </c>
      <c r="AI10143">
        <v>92.970322495329995</v>
      </c>
      <c r="AJ10143">
        <v>92.971233170376195</v>
      </c>
      <c r="AK10143">
        <v>21.473714117386098</v>
      </c>
      <c r="AL10143">
        <v>87.469643447379099</v>
      </c>
      <c r="AM10143">
        <v>95.397861177394702</v>
      </c>
      <c r="AN10143">
        <v>1.0000000285809201</v>
      </c>
    </row>
    <row r="10144" spans="1:40" x14ac:dyDescent="0.25">
      <c r="A10144" t="str">
        <f>"20190312150918814"</f>
        <v>20190312150918814</v>
      </c>
      <c r="B10144" t="str">
        <f>"1552374558809078"</f>
        <v>1552374558809078</v>
      </c>
      <c r="C10144" t="s">
        <v>40</v>
      </c>
      <c r="D10144">
        <v>4.754467</v>
      </c>
      <c r="E10144">
        <v>0.5172966</v>
      </c>
      <c r="F10144" t="s">
        <v>42</v>
      </c>
      <c r="G10144">
        <v>-187.36349999999999</v>
      </c>
      <c r="H10144" s="1">
        <v>-8.024309E-7</v>
      </c>
      <c r="I10144">
        <v>-5.5368239999999999E-2</v>
      </c>
      <c r="J10144">
        <v>-187.17250000000001</v>
      </c>
      <c r="K10144">
        <v>1.1126910000000001</v>
      </c>
      <c r="L10144">
        <v>-21.678889999999999</v>
      </c>
      <c r="M10144">
        <v>4.1782510000000002E-2</v>
      </c>
      <c r="N10144">
        <v>0</v>
      </c>
      <c r="O10144">
        <v>0.99906439999999996</v>
      </c>
      <c r="P10144">
        <v>-4.9867590000000003E-2</v>
      </c>
      <c r="Q10144">
        <v>3.3052539999999998E-2</v>
      </c>
      <c r="R10144">
        <v>0.99820880000000001</v>
      </c>
      <c r="S10144">
        <v>-2.471924E-2</v>
      </c>
      <c r="T10144">
        <v>-0.15268799999999999</v>
      </c>
      <c r="U10144">
        <v>3.0092469999999998</v>
      </c>
      <c r="V10144">
        <v>-9.1816560000000005E-2</v>
      </c>
      <c r="W10144">
        <v>4.3566090000000002E-2</v>
      </c>
      <c r="X10144">
        <v>0.9948224</v>
      </c>
      <c r="Y10144">
        <v>-4.9980120000000003E-2</v>
      </c>
      <c r="Z10144">
        <v>-5.0575540000000002E-2</v>
      </c>
      <c r="AA10144">
        <v>0.99746880000000004</v>
      </c>
      <c r="AB10144">
        <v>32</v>
      </c>
      <c r="AC10144">
        <v>-0.190999999999974</v>
      </c>
      <c r="AD10144">
        <v>-1.1126918024308901</v>
      </c>
      <c r="AE10144">
        <v>21.623521759999999</v>
      </c>
      <c r="AF10144">
        <v>-1.09148458140279</v>
      </c>
      <c r="AG10144">
        <v>-1.1126918024308901</v>
      </c>
      <c r="AH10144">
        <v>21.539625556284602</v>
      </c>
      <c r="AI10144">
        <v>92.953368381959905</v>
      </c>
      <c r="AJ10144">
        <v>92.900886761335698</v>
      </c>
      <c r="AK10144">
        <v>21.595946164583399</v>
      </c>
      <c r="AL10144">
        <v>87.503056485379304</v>
      </c>
      <c r="AM10144">
        <v>95.273142138985406</v>
      </c>
      <c r="AN10144">
        <v>0.99999994621493904</v>
      </c>
    </row>
    <row r="10145" spans="1:40" x14ac:dyDescent="0.25">
      <c r="A10145" t="str">
        <f>"20190312150918836"</f>
        <v>20190312150918836</v>
      </c>
      <c r="B10145" t="str">
        <f>"1552374558829574"</f>
        <v>1552374558829574</v>
      </c>
      <c r="C10145" t="s">
        <v>40</v>
      </c>
      <c r="D10145">
        <v>4.8251739999999996</v>
      </c>
      <c r="E10145">
        <v>0.53403400000000001</v>
      </c>
      <c r="F10145" t="s">
        <v>42</v>
      </c>
      <c r="G10145">
        <v>-187.33009999999999</v>
      </c>
      <c r="H10145" s="1">
        <v>-8.5755689999999999E-7</v>
      </c>
      <c r="I10145">
        <v>8.0548999999999996E-2</v>
      </c>
      <c r="J10145">
        <v>-187.16229999999999</v>
      </c>
      <c r="K10145">
        <v>1.112644</v>
      </c>
      <c r="L10145">
        <v>-21.36703</v>
      </c>
      <c r="M10145">
        <v>3.8902800000000001E-2</v>
      </c>
      <c r="N10145">
        <v>0</v>
      </c>
      <c r="O10145">
        <v>0.99918130000000005</v>
      </c>
      <c r="P10145">
        <v>-5.11929E-2</v>
      </c>
      <c r="Q10145">
        <v>3.284248E-2</v>
      </c>
      <c r="R10145">
        <v>0.99814860000000005</v>
      </c>
      <c r="S10145">
        <v>-2.1804810000000001E-2</v>
      </c>
      <c r="T10145">
        <v>-0.15388879999999999</v>
      </c>
      <c r="U10145">
        <v>3.0093990000000002</v>
      </c>
      <c r="V10145">
        <v>-9.0264349999999993E-2</v>
      </c>
      <c r="W10145">
        <v>4.3320280000000003E-2</v>
      </c>
      <c r="X10145">
        <v>0.99497519999999995</v>
      </c>
      <c r="Y10145">
        <v>-4.6134620000000001E-2</v>
      </c>
      <c r="Z10145">
        <v>-5.0983470000000003E-2</v>
      </c>
      <c r="AA10145">
        <v>0.99763329999999995</v>
      </c>
      <c r="AB10145">
        <v>32</v>
      </c>
      <c r="AC10145">
        <v>-0.16779999999999901</v>
      </c>
      <c r="AD10145">
        <v>-1.1126448575568999</v>
      </c>
      <c r="AE10145">
        <v>21.447579000000001</v>
      </c>
      <c r="AF10145">
        <v>-0.99940577860862001</v>
      </c>
      <c r="AG10145">
        <v>-1.1126448575568999</v>
      </c>
      <c r="AH10145">
        <v>21.367311285402899</v>
      </c>
      <c r="AI10145">
        <v>92.977580917748398</v>
      </c>
      <c r="AJ10145">
        <v>92.677923782615295</v>
      </c>
      <c r="AK10145">
        <v>21.419588746207801</v>
      </c>
      <c r="AL10145">
        <v>87.517153740122694</v>
      </c>
      <c r="AM10145">
        <v>95.183694832601702</v>
      </c>
      <c r="AN10145">
        <v>0.99999997407761998</v>
      </c>
    </row>
    <row r="10146" spans="1:40" x14ac:dyDescent="0.25">
      <c r="A10146" t="str">
        <f>"20190312150918858"</f>
        <v>20190312150918858</v>
      </c>
      <c r="B10146" t="str">
        <f>"1552374558849094"</f>
        <v>1552374558849094</v>
      </c>
      <c r="C10146" t="s">
        <v>40</v>
      </c>
      <c r="D10146">
        <v>4.6207269999999996</v>
      </c>
      <c r="E10146">
        <v>0.54766959999999998</v>
      </c>
      <c r="F10146" t="s">
        <v>42</v>
      </c>
      <c r="G10146">
        <v>-185.5608</v>
      </c>
      <c r="H10146" s="1">
        <v>-2.0445710000000001E-6</v>
      </c>
      <c r="I10146">
        <v>22.185230000000001</v>
      </c>
      <c r="J10146">
        <v>-187.1525</v>
      </c>
      <c r="K10146">
        <v>1.112592</v>
      </c>
      <c r="L10146">
        <v>-21.039549999999998</v>
      </c>
      <c r="M10146">
        <v>3.5931640000000001E-2</v>
      </c>
      <c r="N10146">
        <v>0</v>
      </c>
      <c r="O10146">
        <v>0.99929319999999999</v>
      </c>
      <c r="P10146">
        <v>-5.2091209999999999E-2</v>
      </c>
      <c r="Q10146">
        <v>3.140337E-2</v>
      </c>
      <c r="R10146">
        <v>0.99814840000000005</v>
      </c>
      <c r="S10146">
        <v>0.1108246</v>
      </c>
      <c r="T10146">
        <v>-7.699454E-2</v>
      </c>
      <c r="U10146">
        <v>3.0137939999999999</v>
      </c>
      <c r="V10146">
        <v>-8.8188310000000006E-2</v>
      </c>
      <c r="W10146">
        <v>4.1847229999999999E-2</v>
      </c>
      <c r="X10146">
        <v>0.99522440000000001</v>
      </c>
      <c r="Y10146">
        <v>8.023606E-4</v>
      </c>
      <c r="Z10146">
        <v>-2.5505699999999999E-2</v>
      </c>
      <c r="AA10146">
        <v>0.99967439999999996</v>
      </c>
      <c r="AB10146">
        <v>32</v>
      </c>
      <c r="AC10146">
        <v>1.5916999999999999</v>
      </c>
      <c r="AD10146">
        <v>-1.1125940445710001</v>
      </c>
      <c r="AE10146">
        <v>43.224780000000003</v>
      </c>
      <c r="AF10146">
        <v>3.74152813323229E-2</v>
      </c>
      <c r="AG10146">
        <v>-1.1125940445710001</v>
      </c>
      <c r="AH10146">
        <v>43.225460540101601</v>
      </c>
      <c r="AI10146">
        <v>91.474428410426</v>
      </c>
      <c r="AJ10146">
        <v>89.950405683422105</v>
      </c>
      <c r="AK10146">
        <v>43.239793065129</v>
      </c>
      <c r="AL10146">
        <v>87.601629958571806</v>
      </c>
      <c r="AM10146">
        <v>95.063837887062405</v>
      </c>
      <c r="AN10146">
        <v>0.99999998751734398</v>
      </c>
    </row>
    <row r="10147" spans="1:40" x14ac:dyDescent="0.25">
      <c r="A10147" t="str">
        <f>"20190312150918881"</f>
        <v>20190312150918881</v>
      </c>
      <c r="B10147" t="str">
        <f>"1552374558879350"</f>
        <v>1552374558879350</v>
      </c>
      <c r="C10147" t="s">
        <v>40</v>
      </c>
      <c r="D10147">
        <v>4.8787919999999998</v>
      </c>
      <c r="E10147">
        <v>0.59219370000000005</v>
      </c>
      <c r="F10147" t="s">
        <v>42</v>
      </c>
      <c r="G10147">
        <v>-185.86619999999999</v>
      </c>
      <c r="H10147" s="1">
        <v>-3.9839059999999998E-6</v>
      </c>
      <c r="I10147">
        <v>-2.7899069999999999</v>
      </c>
      <c r="J10147">
        <v>-187.1438</v>
      </c>
      <c r="K10147">
        <v>1.112527</v>
      </c>
      <c r="L10147">
        <v>-20.717559999999999</v>
      </c>
      <c r="M10147">
        <v>3.3071669999999997E-2</v>
      </c>
      <c r="N10147">
        <v>0</v>
      </c>
      <c r="O10147">
        <v>0.99939259999999996</v>
      </c>
      <c r="P10147">
        <v>-5.302668E-2</v>
      </c>
      <c r="Q10147">
        <v>3.0517369999999999E-2</v>
      </c>
      <c r="R10147">
        <v>0.99812670000000003</v>
      </c>
      <c r="S10147">
        <v>0.21304319999999999</v>
      </c>
      <c r="T10147">
        <v>-0.18426729999999999</v>
      </c>
      <c r="U10147">
        <v>3.022491</v>
      </c>
      <c r="V10147">
        <v>-8.6262340000000007E-2</v>
      </c>
      <c r="W10147">
        <v>4.0930109999999999E-2</v>
      </c>
      <c r="X10147">
        <v>0.99543130000000002</v>
      </c>
      <c r="Y10147">
        <v>3.7151499999999997E-2</v>
      </c>
      <c r="Z10147">
        <v>-6.070652E-2</v>
      </c>
      <c r="AA10147">
        <v>0.99746400000000002</v>
      </c>
      <c r="AB10147">
        <v>32</v>
      </c>
      <c r="AC10147">
        <v>1.2776000000000001</v>
      </c>
      <c r="AD10147">
        <v>-1.112530983906</v>
      </c>
      <c r="AE10147">
        <v>17.927652999999999</v>
      </c>
      <c r="AF10147">
        <v>0.681357167997795</v>
      </c>
      <c r="AG10147">
        <v>-1.112530983906</v>
      </c>
      <c r="AH10147">
        <v>17.891547189972702</v>
      </c>
      <c r="AI10147">
        <v>93.5556102407472</v>
      </c>
      <c r="AJ10147">
        <v>87.819079952632194</v>
      </c>
      <c r="AK10147">
        <v>17.9390477348033</v>
      </c>
      <c r="AL10147">
        <v>87.654222088276498</v>
      </c>
      <c r="AM10147">
        <v>94.952779150054397</v>
      </c>
      <c r="AN10147">
        <v>0.99999996911328803</v>
      </c>
    </row>
    <row r="10148" spans="1:40" x14ac:dyDescent="0.25">
      <c r="A10148" t="str">
        <f>"20190312150918902"</f>
        <v>20190312150918902</v>
      </c>
      <c r="B10148" t="str">
        <f>"1552374558899846"</f>
        <v>1552374558899846</v>
      </c>
      <c r="C10148" t="s">
        <v>40</v>
      </c>
      <c r="D10148">
        <v>4.6306469999999997</v>
      </c>
      <c r="E10148">
        <v>0.59328780000000003</v>
      </c>
      <c r="F10148" t="s">
        <v>41</v>
      </c>
      <c r="G10148">
        <v>-187.01329999999999</v>
      </c>
      <c r="H10148">
        <v>0.95809299999999997</v>
      </c>
      <c r="I10148">
        <v>-19.990729999999999</v>
      </c>
      <c r="J10148">
        <v>-187.13630000000001</v>
      </c>
      <c r="K10148">
        <v>1.1124689999999999</v>
      </c>
      <c r="L10148">
        <v>-20.412569999999999</v>
      </c>
      <c r="M10148">
        <v>3.042769E-2</v>
      </c>
      <c r="N10148">
        <v>0</v>
      </c>
      <c r="O10148">
        <v>0.99947710000000001</v>
      </c>
      <c r="P10148">
        <v>-5.4160649999999998E-2</v>
      </c>
      <c r="Q10148">
        <v>2.9502509999999999E-2</v>
      </c>
      <c r="R10148">
        <v>0.99809630000000005</v>
      </c>
      <c r="S10148">
        <v>0.54833980000000004</v>
      </c>
      <c r="T10148">
        <v>-0.64905069999999998</v>
      </c>
      <c r="U10148">
        <v>3.0545960000000001</v>
      </c>
      <c r="V10148">
        <v>-8.4749290000000005E-2</v>
      </c>
      <c r="W10148">
        <v>3.9885259999999999E-2</v>
      </c>
      <c r="X10148">
        <v>0.99560369999999998</v>
      </c>
      <c r="Y10148">
        <v>0.142902799999999</v>
      </c>
      <c r="Z10148">
        <v>-0.20507069999999999</v>
      </c>
      <c r="AA10148">
        <v>0.96825859999999997</v>
      </c>
      <c r="AB10148">
        <v>32</v>
      </c>
      <c r="AC10148">
        <v>0.123000000000018</v>
      </c>
      <c r="AD10148">
        <v>-0.15437600000000001</v>
      </c>
      <c r="AE10148">
        <v>0.42184000000000299</v>
      </c>
      <c r="AF10148">
        <v>9.8009209569852096E-2</v>
      </c>
      <c r="AG10148">
        <v>-0.15437600000000001</v>
      </c>
      <c r="AH10148">
        <v>0.37865005198820401</v>
      </c>
      <c r="AI10148">
        <v>111.538832527859</v>
      </c>
      <c r="AJ10148">
        <v>75.488136875199302</v>
      </c>
      <c r="AK10148">
        <v>0.42049211218187699</v>
      </c>
      <c r="AL10148">
        <v>87.714136596378694</v>
      </c>
      <c r="AM10148">
        <v>94.865489170706198</v>
      </c>
      <c r="AN10148">
        <v>1.0000000017872299</v>
      </c>
    </row>
    <row r="10149" spans="1:40" x14ac:dyDescent="0.25">
      <c r="A10149" t="str">
        <f>"20190312150918926"</f>
        <v>20190312150918926</v>
      </c>
      <c r="B10149" t="str">
        <f>"1552374558919366"</f>
        <v>1552374558919366</v>
      </c>
      <c r="C10149" t="s">
        <v>40</v>
      </c>
      <c r="D10149">
        <v>4.6710440000000002</v>
      </c>
      <c r="E10149">
        <v>0.59727640000000004</v>
      </c>
      <c r="F10149" t="s">
        <v>41</v>
      </c>
      <c r="G10149">
        <v>-187.00790000000001</v>
      </c>
      <c r="H10149">
        <v>0.95441129999999996</v>
      </c>
      <c r="I10149">
        <v>-19.70365</v>
      </c>
      <c r="J10149">
        <v>-187.12899999999999</v>
      </c>
      <c r="K10149">
        <v>1.112395</v>
      </c>
      <c r="L10149">
        <v>-20.078130000000002</v>
      </c>
      <c r="M10149">
        <v>2.7614509999999998E-2</v>
      </c>
      <c r="N10149">
        <v>0</v>
      </c>
      <c r="O10149">
        <v>0.99955930000000004</v>
      </c>
      <c r="P10149">
        <v>-5.522229E-2</v>
      </c>
      <c r="Q10149">
        <v>2.9121580000000001E-2</v>
      </c>
      <c r="R10149">
        <v>0.99804930000000003</v>
      </c>
      <c r="S10149">
        <v>0.55244450000000001</v>
      </c>
      <c r="T10149">
        <v>-0.68145690000000003</v>
      </c>
      <c r="U10149">
        <v>3.055847</v>
      </c>
      <c r="V10149">
        <v>-8.2996799999999996E-2</v>
      </c>
      <c r="W10149">
        <v>3.9479779999999999E-2</v>
      </c>
      <c r="X10149">
        <v>0.99576750000000003</v>
      </c>
      <c r="Y10149">
        <v>0.14650879999999999</v>
      </c>
      <c r="Z10149">
        <v>-0.21470500000000001</v>
      </c>
      <c r="AA10149">
        <v>0.96562769999999998</v>
      </c>
      <c r="AB10149">
        <v>32</v>
      </c>
      <c r="AC10149">
        <v>0.121100000000012</v>
      </c>
      <c r="AD10149">
        <v>-0.15798369999999901</v>
      </c>
      <c r="AE10149">
        <v>0.37447999999999798</v>
      </c>
      <c r="AF10149">
        <v>9.5348738300392297E-2</v>
      </c>
      <c r="AG10149">
        <v>-0.15798369999999901</v>
      </c>
      <c r="AH10149">
        <v>0.32527111156423699</v>
      </c>
      <c r="AI10149">
        <v>114.989569711431</v>
      </c>
      <c r="AJ10149">
        <v>73.6622289370749</v>
      </c>
      <c r="AK10149">
        <v>0.37396728116160299</v>
      </c>
      <c r="AL10149">
        <v>87.737387239363301</v>
      </c>
      <c r="AM10149">
        <v>94.764565969288498</v>
      </c>
      <c r="AN10149">
        <v>1.00000001794766</v>
      </c>
    </row>
    <row r="10150" spans="1:40" x14ac:dyDescent="0.25">
      <c r="A10150" t="str">
        <f>"20190312150918947"</f>
        <v>20190312150918947</v>
      </c>
      <c r="B10150" t="str">
        <f>"1552374558939862"</f>
        <v>1552374558939862</v>
      </c>
      <c r="C10150" t="s">
        <v>40</v>
      </c>
      <c r="D10150">
        <v>4.7659279999999997</v>
      </c>
      <c r="E10150">
        <v>0.59827949999999996</v>
      </c>
      <c r="F10150" t="s">
        <v>41</v>
      </c>
      <c r="G10150">
        <v>-186.96860000000001</v>
      </c>
      <c r="H10150">
        <v>0.77231989999999995</v>
      </c>
      <c r="I10150">
        <v>-19.202449999999999</v>
      </c>
      <c r="J10150">
        <v>-187.12289999999999</v>
      </c>
      <c r="K10150">
        <v>1.112311</v>
      </c>
      <c r="L10150">
        <v>-19.763459999999998</v>
      </c>
      <c r="M10150">
        <v>2.5066229999999998E-2</v>
      </c>
      <c r="N10150">
        <v>0</v>
      </c>
      <c r="O10150">
        <v>0.99962589999999996</v>
      </c>
      <c r="P10150">
        <v>-5.6631040000000001E-2</v>
      </c>
      <c r="Q10150">
        <v>2.8895770000000001E-2</v>
      </c>
      <c r="R10150">
        <v>0.997977</v>
      </c>
      <c r="S10150">
        <v>0.56193539999999997</v>
      </c>
      <c r="T10150">
        <v>-1.1930149999999999</v>
      </c>
      <c r="U10150">
        <v>3.071777</v>
      </c>
      <c r="V10150">
        <v>-8.1852389999999997E-2</v>
      </c>
      <c r="W10150">
        <v>3.9341139999999997E-2</v>
      </c>
      <c r="X10150">
        <v>0.99586770000000002</v>
      </c>
      <c r="Y10150">
        <v>0.14335149999999999</v>
      </c>
      <c r="Z10150">
        <v>-0.3574446</v>
      </c>
      <c r="AA10150">
        <v>0.92286710000000005</v>
      </c>
      <c r="AB10150">
        <v>32</v>
      </c>
      <c r="AC10150">
        <v>0.15429999999997701</v>
      </c>
      <c r="AD10150">
        <v>-0.33999109999999899</v>
      </c>
      <c r="AE10150">
        <v>0.56101000000000301</v>
      </c>
      <c r="AF10150">
        <v>0.104505202777134</v>
      </c>
      <c r="AG10150">
        <v>-0.33999109999999899</v>
      </c>
      <c r="AH10150">
        <v>0.42096434677099298</v>
      </c>
      <c r="AI10150">
        <v>128.09130757009399</v>
      </c>
      <c r="AJ10150">
        <v>76.058061802694795</v>
      </c>
      <c r="AK10150">
        <v>0.55111366045401999</v>
      </c>
      <c r="AL10150">
        <v>87.745336878517406</v>
      </c>
      <c r="AM10150">
        <v>94.698694819822506</v>
      </c>
      <c r="AN10150">
        <v>1.0000000074742501</v>
      </c>
    </row>
    <row r="10151" spans="1:40" x14ac:dyDescent="0.25">
      <c r="A10151" t="str">
        <f>"20190312150918972"</f>
        <v>20190312150918972</v>
      </c>
      <c r="B10151" t="str">
        <f>"1552374558969142"</f>
        <v>1552374558969142</v>
      </c>
      <c r="C10151" t="s">
        <v>40</v>
      </c>
      <c r="D10151">
        <v>4.6967569999999998</v>
      </c>
      <c r="E10151">
        <v>0.59190319999999996</v>
      </c>
      <c r="F10151" t="s">
        <v>41</v>
      </c>
      <c r="G10151">
        <v>-186.9658</v>
      </c>
      <c r="H10151">
        <v>0.78029989999999905</v>
      </c>
      <c r="I10151">
        <v>-18.910710000000002</v>
      </c>
      <c r="J10151">
        <v>-187.11699999999999</v>
      </c>
      <c r="K10151">
        <v>1.1122620000000001</v>
      </c>
      <c r="L10151">
        <v>-19.41226</v>
      </c>
      <c r="M10151">
        <v>2.2323860000000001E-2</v>
      </c>
      <c r="N10151">
        <v>0</v>
      </c>
      <c r="O10151">
        <v>0.99968749999999995</v>
      </c>
      <c r="P10151">
        <v>-5.8824170000000002E-2</v>
      </c>
      <c r="Q10151">
        <v>2.8175430000000001E-2</v>
      </c>
      <c r="R10151">
        <v>0.9978707</v>
      </c>
      <c r="S10151">
        <v>0.565841699999999</v>
      </c>
      <c r="T10151">
        <v>-1.19641</v>
      </c>
      <c r="U10151">
        <v>3.072845</v>
      </c>
      <c r="V10151">
        <v>-8.1294720000000001E-2</v>
      </c>
      <c r="W10151">
        <v>3.8949949999999997E-2</v>
      </c>
      <c r="X10151">
        <v>0.99592879999999995</v>
      </c>
      <c r="Y10151">
        <v>0.14709179999999999</v>
      </c>
      <c r="Z10151">
        <v>-0.35812050000000001</v>
      </c>
      <c r="AA10151">
        <v>0.92201610000000001</v>
      </c>
      <c r="AB10151">
        <v>32</v>
      </c>
      <c r="AC10151">
        <v>0.15120000000001699</v>
      </c>
      <c r="AD10151">
        <v>-0.33196209999999998</v>
      </c>
      <c r="AE10151">
        <v>0.50154999999999805</v>
      </c>
      <c r="AF10151">
        <v>9.9862422772162396E-2</v>
      </c>
      <c r="AG10151">
        <v>-0.33196209999999998</v>
      </c>
      <c r="AH10151">
        <v>0.360165624440551</v>
      </c>
      <c r="AI10151">
        <v>131.61097894492201</v>
      </c>
      <c r="AJ10151">
        <v>74.503005393896899</v>
      </c>
      <c r="AK10151">
        <v>0.49989060437958699</v>
      </c>
      <c r="AL10151">
        <v>87.767767707506096</v>
      </c>
      <c r="AM10151">
        <v>94.666538895826505</v>
      </c>
      <c r="AN10151">
        <v>1.00000005238715</v>
      </c>
    </row>
    <row r="10152" spans="1:40" x14ac:dyDescent="0.25">
      <c r="A10152" t="str">
        <f>"20190312150918996"</f>
        <v>20190312150918996</v>
      </c>
      <c r="B10152" t="str">
        <f>"1552374558989639"</f>
        <v>1552374558989639</v>
      </c>
      <c r="C10152" t="s">
        <v>40</v>
      </c>
      <c r="D10152">
        <v>4.6934820000000004</v>
      </c>
      <c r="E10152">
        <v>0.59073739999999997</v>
      </c>
      <c r="F10152" t="s">
        <v>41</v>
      </c>
      <c r="G10152">
        <v>-186.9778</v>
      </c>
      <c r="H10152">
        <v>0.85984240000000001</v>
      </c>
      <c r="I10152">
        <v>-18.590039999999998</v>
      </c>
      <c r="J10152">
        <v>-187.11199999999999</v>
      </c>
      <c r="K10152">
        <v>1.112198</v>
      </c>
      <c r="L10152">
        <v>-19.065000000000001</v>
      </c>
      <c r="M10152">
        <v>1.9694400000000001E-2</v>
      </c>
      <c r="N10152">
        <v>0</v>
      </c>
      <c r="O10152">
        <v>0.99973999999999996</v>
      </c>
      <c r="P10152">
        <v>-6.1471150000000002E-2</v>
      </c>
      <c r="Q10152">
        <v>2.782517E-2</v>
      </c>
      <c r="R10152">
        <v>0.99772099999999997</v>
      </c>
      <c r="S10152">
        <v>0.51800539999999995</v>
      </c>
      <c r="T10152">
        <v>-0.94056930000000005</v>
      </c>
      <c r="U10152">
        <v>3.063507</v>
      </c>
      <c r="V10152">
        <v>-8.13059E-2</v>
      </c>
      <c r="W10152">
        <v>3.8865610000000002E-2</v>
      </c>
      <c r="X10152">
        <v>0.99593109999999996</v>
      </c>
      <c r="Y10152">
        <v>0.1401037</v>
      </c>
      <c r="Z10152">
        <v>-0.29009810000000003</v>
      </c>
      <c r="AA10152">
        <v>0.94668589999999997</v>
      </c>
      <c r="AB10152">
        <v>32</v>
      </c>
      <c r="AC10152">
        <v>0.13419999999999199</v>
      </c>
      <c r="AD10152">
        <v>-0.25235559999999901</v>
      </c>
      <c r="AE10152">
        <v>0.47496000000000199</v>
      </c>
      <c r="AF10152">
        <v>9.8950672864174694E-2</v>
      </c>
      <c r="AG10152">
        <v>-0.25235559999999901</v>
      </c>
      <c r="AH10152">
        <v>0.37854753650848499</v>
      </c>
      <c r="AI10152">
        <v>122.82084834135</v>
      </c>
      <c r="AJ10152">
        <v>75.350908702468004</v>
      </c>
      <c r="AK10152">
        <v>0.46558868318321001</v>
      </c>
      <c r="AL10152">
        <v>87.772603512551896</v>
      </c>
      <c r="AM10152">
        <v>94.667167092684707</v>
      </c>
      <c r="AN10152">
        <v>0.99999997048134504</v>
      </c>
    </row>
    <row r="10153" spans="1:40" x14ac:dyDescent="0.25">
      <c r="A10153" t="str">
        <f>"20190312150919015"</f>
        <v>20190312150919015</v>
      </c>
      <c r="B10153" t="str">
        <f>"1552374559009159"</f>
        <v>1552374559009159</v>
      </c>
      <c r="C10153" t="s">
        <v>40</v>
      </c>
      <c r="D10153">
        <v>4.6912099999999999</v>
      </c>
      <c r="E10153">
        <v>0.58717259999999905</v>
      </c>
      <c r="F10153" t="s">
        <v>41</v>
      </c>
      <c r="G10153">
        <v>-186.98599999999999</v>
      </c>
      <c r="H10153">
        <v>0.87651539999999994</v>
      </c>
      <c r="I10153">
        <v>-18.294840000000001</v>
      </c>
      <c r="J10153">
        <v>-187.10849999999999</v>
      </c>
      <c r="K10153">
        <v>1.112139</v>
      </c>
      <c r="L10153">
        <v>-18.777979999999999</v>
      </c>
      <c r="M10153">
        <v>1.7634049999999998E-2</v>
      </c>
      <c r="N10153">
        <v>0</v>
      </c>
      <c r="O10153">
        <v>0.99977700000000003</v>
      </c>
      <c r="P10153">
        <v>-6.3152860000000005E-2</v>
      </c>
      <c r="Q10153">
        <v>2.7933469999999998E-2</v>
      </c>
      <c r="R10153">
        <v>0.99761290000000002</v>
      </c>
      <c r="S10153">
        <v>0.50102230000000003</v>
      </c>
      <c r="T10153">
        <v>-0.93757749999999995</v>
      </c>
      <c r="U10153">
        <v>3.0638730000000001</v>
      </c>
      <c r="V10153">
        <v>-8.0925659999999996E-2</v>
      </c>
      <c r="W10153">
        <v>3.9121000000000003E-2</v>
      </c>
      <c r="X10153">
        <v>0.99595210000000001</v>
      </c>
      <c r="Y10153">
        <v>0.13704920000000001</v>
      </c>
      <c r="Z10153">
        <v>-0.28941909999999998</v>
      </c>
      <c r="AA10153">
        <v>0.94734050000000003</v>
      </c>
      <c r="AB10153">
        <v>32</v>
      </c>
      <c r="AC10153">
        <v>0.122500000000002</v>
      </c>
      <c r="AD10153">
        <v>-0.23562359999999999</v>
      </c>
      <c r="AE10153">
        <v>0.48313999999999802</v>
      </c>
      <c r="AF10153">
        <v>9.3144921147675197E-2</v>
      </c>
      <c r="AG10153">
        <v>-0.23562359999999999</v>
      </c>
      <c r="AH10153">
        <v>0.39659529432769403</v>
      </c>
      <c r="AI10153">
        <v>120.044162801886</v>
      </c>
      <c r="AJ10153">
        <v>76.782975306616706</v>
      </c>
      <c r="AK10153">
        <v>0.47061904412745198</v>
      </c>
      <c r="AL10153">
        <v>87.757959672715103</v>
      </c>
      <c r="AM10153">
        <v>94.645338571649006</v>
      </c>
      <c r="AN10153">
        <v>1.00000000029092</v>
      </c>
    </row>
    <row r="10154" spans="1:40" x14ac:dyDescent="0.25">
      <c r="A10154" t="str">
        <f>"20190312150919037"</f>
        <v>20190312150919037</v>
      </c>
      <c r="B10154" t="str">
        <f>"1552374559029654"</f>
        <v>1552374559029654</v>
      </c>
      <c r="C10154" t="s">
        <v>40</v>
      </c>
      <c r="D10154">
        <v>4.7407820000000003</v>
      </c>
      <c r="E10154">
        <v>0.58617319999999995</v>
      </c>
      <c r="F10154" t="s">
        <v>41</v>
      </c>
      <c r="G10154">
        <v>-186.99549999999999</v>
      </c>
      <c r="H10154">
        <v>0.82854869999999903</v>
      </c>
      <c r="I10154">
        <v>-18.025839999999999</v>
      </c>
      <c r="J10154">
        <v>-187.1053</v>
      </c>
      <c r="K10154">
        <v>1.112063</v>
      </c>
      <c r="L10154">
        <v>-18.470369999999999</v>
      </c>
      <c r="M10154">
        <v>1.554989E-2</v>
      </c>
      <c r="N10154">
        <v>0</v>
      </c>
      <c r="O10154">
        <v>0.99981030000000004</v>
      </c>
      <c r="P10154">
        <v>-6.5894419999999995E-2</v>
      </c>
      <c r="Q10154">
        <v>2.8084709999999999E-2</v>
      </c>
      <c r="R10154">
        <v>0.99743130000000002</v>
      </c>
      <c r="S10154">
        <v>0.45993040000000002</v>
      </c>
      <c r="T10154">
        <v>-1.1571149999999999</v>
      </c>
      <c r="U10154">
        <v>3.068695</v>
      </c>
      <c r="V10154">
        <v>-8.1579659999999998E-2</v>
      </c>
      <c r="W10154">
        <v>3.9397359999999999E-2</v>
      </c>
      <c r="X10154">
        <v>0.99588790000000005</v>
      </c>
      <c r="Y10154">
        <v>0.1234697</v>
      </c>
      <c r="Z10154">
        <v>-0.34971069999999999</v>
      </c>
      <c r="AA10154">
        <v>0.92868600000000001</v>
      </c>
      <c r="AB10154">
        <v>32</v>
      </c>
      <c r="AC10154">
        <v>0.109800000000006</v>
      </c>
      <c r="AD10154">
        <v>-0.2835143</v>
      </c>
      <c r="AE10154">
        <v>0.44453000000000298</v>
      </c>
      <c r="AF10154">
        <v>7.4364191503049196E-2</v>
      </c>
      <c r="AG10154">
        <v>-0.2835143</v>
      </c>
      <c r="AH10154">
        <v>0.32253183611875702</v>
      </c>
      <c r="AI10154">
        <v>130.581873047302</v>
      </c>
      <c r="AJ10154">
        <v>77.016554555832698</v>
      </c>
      <c r="AK10154">
        <v>0.43581782500550498</v>
      </c>
      <c r="AL10154">
        <v>87.742113309234398</v>
      </c>
      <c r="AM10154">
        <v>94.683014076989494</v>
      </c>
      <c r="AN10154">
        <v>1.0000000511335401</v>
      </c>
    </row>
    <row r="10155" spans="1:40" x14ac:dyDescent="0.25">
      <c r="A10155" t="str">
        <f>"20190312150919059"</f>
        <v>20190312150919059</v>
      </c>
      <c r="B10155" t="str">
        <f>"1552374559049183"</f>
        <v>1552374559049183</v>
      </c>
      <c r="C10155" t="s">
        <v>40</v>
      </c>
      <c r="D10155">
        <v>4.9296030000000002</v>
      </c>
      <c r="E10155">
        <v>0.58819709999999903</v>
      </c>
      <c r="F10155" t="s">
        <v>41</v>
      </c>
      <c r="G10155">
        <v>-186.99879999999999</v>
      </c>
      <c r="H10155">
        <v>0.83493709999999899</v>
      </c>
      <c r="I10155">
        <v>-17.734829999999999</v>
      </c>
      <c r="J10155">
        <v>-187.10249999999999</v>
      </c>
      <c r="K10155">
        <v>1.1119570000000001</v>
      </c>
      <c r="L10155">
        <v>-18.142790000000002</v>
      </c>
      <c r="M10155">
        <v>1.3442529999999999E-2</v>
      </c>
      <c r="N10155">
        <v>0</v>
      </c>
      <c r="O10155">
        <v>0.99983949999999999</v>
      </c>
      <c r="P10155">
        <v>-6.7950010000000005E-2</v>
      </c>
      <c r="Q10155">
        <v>2.7720740000000001E-2</v>
      </c>
      <c r="R10155">
        <v>0.99730350000000001</v>
      </c>
      <c r="S10155">
        <v>0.4443665</v>
      </c>
      <c r="T10155">
        <v>-1.156555</v>
      </c>
      <c r="U10155">
        <v>3.0696409999999998</v>
      </c>
      <c r="V10155">
        <v>-8.1521510000000005E-2</v>
      </c>
      <c r="W10155">
        <v>3.9165789999999999E-2</v>
      </c>
      <c r="X10155">
        <v>0.99590179999999995</v>
      </c>
      <c r="Y10155">
        <v>0.1209103</v>
      </c>
      <c r="Z10155">
        <v>-0.34965049999999998</v>
      </c>
      <c r="AA10155">
        <v>0.92904529999999996</v>
      </c>
      <c r="AB10155">
        <v>32</v>
      </c>
      <c r="AC10155">
        <v>0.103700000000003</v>
      </c>
      <c r="AD10155">
        <v>-0.27701989999999999</v>
      </c>
      <c r="AE10155">
        <v>0.40795999999999899</v>
      </c>
      <c r="AF10155">
        <v>6.8526811553195996E-2</v>
      </c>
      <c r="AG10155">
        <v>-0.27701989999999999</v>
      </c>
      <c r="AH10155">
        <v>0.28561532415642399</v>
      </c>
      <c r="AI10155">
        <v>133.32387928786699</v>
      </c>
      <c r="AJ10155">
        <v>76.508224677131807</v>
      </c>
      <c r="AK10155">
        <v>0.40374752295294197</v>
      </c>
      <c r="AL10155">
        <v>87.755391550377894</v>
      </c>
      <c r="AM10155">
        <v>94.679625829036695</v>
      </c>
      <c r="AN10155">
        <v>1.0000000554711199</v>
      </c>
    </row>
    <row r="10156" spans="1:40" x14ac:dyDescent="0.25">
      <c r="A10156" t="str">
        <f>"20190312150919082"</f>
        <v>20190312150919082</v>
      </c>
      <c r="B10156" t="str">
        <f>"1552374559079432"</f>
        <v>1552374559079432</v>
      </c>
      <c r="C10156" t="s">
        <v>40</v>
      </c>
      <c r="D10156">
        <v>4.880128</v>
      </c>
      <c r="E10156">
        <v>0.58991119999999997</v>
      </c>
      <c r="F10156" t="s">
        <v>41</v>
      </c>
      <c r="G10156">
        <v>-186.99799999999999</v>
      </c>
      <c r="H10156">
        <v>0.85143760000000002</v>
      </c>
      <c r="I10156">
        <v>-17.43984</v>
      </c>
      <c r="J10156">
        <v>-187.10040000000001</v>
      </c>
      <c r="K10156">
        <v>1.111842</v>
      </c>
      <c r="L10156">
        <v>-17.827819999999999</v>
      </c>
      <c r="M10156">
        <v>1.150725E-2</v>
      </c>
      <c r="N10156">
        <v>0</v>
      </c>
      <c r="O10156">
        <v>0.99986249999999999</v>
      </c>
      <c r="P10156">
        <v>-7.0392960000000004E-2</v>
      </c>
      <c r="Q10156">
        <v>2.7222739999999999E-2</v>
      </c>
      <c r="R10156">
        <v>0.99714780000000003</v>
      </c>
      <c r="S10156">
        <v>0.45603939999999998</v>
      </c>
      <c r="T10156">
        <v>-1.13815</v>
      </c>
      <c r="U10156">
        <v>3.0708310000000001</v>
      </c>
      <c r="V10156">
        <v>-8.2020880000000004E-2</v>
      </c>
      <c r="W10156">
        <v>3.8783659999999998E-2</v>
      </c>
      <c r="X10156">
        <v>0.99587570000000003</v>
      </c>
      <c r="Y10156">
        <v>0.1265164</v>
      </c>
      <c r="Z10156">
        <v>-0.34444760000000002</v>
      </c>
      <c r="AA10156">
        <v>0.9302416</v>
      </c>
      <c r="AB10156">
        <v>32</v>
      </c>
      <c r="AC10156">
        <v>0.10240000000001701</v>
      </c>
      <c r="AD10156">
        <v>-0.26040439999999998</v>
      </c>
      <c r="AE10156">
        <v>0.38798000000000199</v>
      </c>
      <c r="AF10156">
        <v>6.8908008100992804E-2</v>
      </c>
      <c r="AG10156">
        <v>-0.26040439999999998</v>
      </c>
      <c r="AH10156">
        <v>0.27381621758519398</v>
      </c>
      <c r="AI10156">
        <v>132.68419934735101</v>
      </c>
      <c r="AJ10156">
        <v>75.874389700865393</v>
      </c>
      <c r="AK10156">
        <v>0.38410166119462202</v>
      </c>
      <c r="AL10156">
        <v>87.777302517936107</v>
      </c>
      <c r="AM10156">
        <v>94.708285810386698</v>
      </c>
      <c r="AN10156">
        <v>1.0000000034447301</v>
      </c>
    </row>
    <row r="10157" spans="1:40" x14ac:dyDescent="0.25">
      <c r="A10157" t="str">
        <f>"20190312150919103"</f>
        <v>20190312150919103</v>
      </c>
      <c r="B10157" t="str">
        <f>"1552374559098950"</f>
        <v>1552374559098950</v>
      </c>
      <c r="C10157" t="s">
        <v>40</v>
      </c>
      <c r="D10157">
        <v>5.4689750000000004</v>
      </c>
      <c r="E10157">
        <v>0.59067209999999903</v>
      </c>
      <c r="F10157" t="s">
        <v>41</v>
      </c>
      <c r="G10157">
        <v>-186.9973</v>
      </c>
      <c r="H10157">
        <v>0.86640949999999906</v>
      </c>
      <c r="I10157">
        <v>-17.14547</v>
      </c>
      <c r="J10157">
        <v>-187.09880000000001</v>
      </c>
      <c r="K10157">
        <v>1.1117239999999999</v>
      </c>
      <c r="L10157">
        <v>-17.5108</v>
      </c>
      <c r="M10157">
        <v>9.6515690000000005E-3</v>
      </c>
      <c r="N10157">
        <v>0</v>
      </c>
      <c r="O10157">
        <v>0.99988109999999997</v>
      </c>
      <c r="P10157">
        <v>-7.2251629999999997E-2</v>
      </c>
      <c r="Q10157">
        <v>2.671132E-2</v>
      </c>
      <c r="R10157">
        <v>0.99702869999999999</v>
      </c>
      <c r="S10157">
        <v>0.46437070000000003</v>
      </c>
      <c r="T10157">
        <v>-1.1047979999999999</v>
      </c>
      <c r="U10157">
        <v>3.0715330000000001</v>
      </c>
      <c r="V10157">
        <v>-8.2016450000000005E-2</v>
      </c>
      <c r="W10157">
        <v>3.8378170000000003E-2</v>
      </c>
      <c r="X10157">
        <v>0.99589170000000005</v>
      </c>
      <c r="Y10157">
        <v>0.13128500000000001</v>
      </c>
      <c r="Z10157">
        <v>-0.33529199999999998</v>
      </c>
      <c r="AA10157">
        <v>0.93292209999999998</v>
      </c>
      <c r="AB10157">
        <v>32</v>
      </c>
      <c r="AC10157">
        <v>0.10150000000001499</v>
      </c>
      <c r="AD10157">
        <v>-0.24531449999999999</v>
      </c>
      <c r="AE10157">
        <v>0.36532999999999999</v>
      </c>
      <c r="AF10157">
        <v>6.9061088839173695E-2</v>
      </c>
      <c r="AG10157">
        <v>-0.24531449999999999</v>
      </c>
      <c r="AH10157">
        <v>0.258209938282081</v>
      </c>
      <c r="AI10157">
        <v>132.54564389164599</v>
      </c>
      <c r="AJ10157">
        <v>75.026100712358399</v>
      </c>
      <c r="AK10157">
        <v>0.36279609993705603</v>
      </c>
      <c r="AL10157">
        <v>87.800552532415196</v>
      </c>
      <c r="AM10157">
        <v>94.707957356776106</v>
      </c>
      <c r="AN10157">
        <v>0.99999993006601795</v>
      </c>
    </row>
    <row r="10158" spans="1:40" x14ac:dyDescent="0.25">
      <c r="A10158" t="str">
        <f>"20190312150919127"</f>
        <v>20190312150919127</v>
      </c>
      <c r="B10158" t="str">
        <f>"1552374559119447"</f>
        <v>1552374559119447</v>
      </c>
      <c r="C10158" t="s">
        <v>40</v>
      </c>
      <c r="D10158">
        <v>4.7730940000000004</v>
      </c>
      <c r="E10158">
        <v>0.59100719999999995</v>
      </c>
      <c r="F10158" t="s">
        <v>41</v>
      </c>
      <c r="G10158">
        <v>-186.99850000000001</v>
      </c>
      <c r="H10158">
        <v>0.88045819999999997</v>
      </c>
      <c r="I10158">
        <v>-16.851520000000001</v>
      </c>
      <c r="J10158">
        <v>-187.0976</v>
      </c>
      <c r="K10158">
        <v>1.111612</v>
      </c>
      <c r="L10158">
        <v>-17.18985</v>
      </c>
      <c r="M10158">
        <v>7.8790070000000004E-3</v>
      </c>
      <c r="N10158">
        <v>0</v>
      </c>
      <c r="O10158">
        <v>0.99989589999999995</v>
      </c>
      <c r="P10158">
        <v>-7.4093800000000001E-2</v>
      </c>
      <c r="Q10158">
        <v>2.6446040000000001E-2</v>
      </c>
      <c r="R10158">
        <v>0.99690060000000003</v>
      </c>
      <c r="S10158">
        <v>0.4666595</v>
      </c>
      <c r="T10158">
        <v>-1.0775399999999999</v>
      </c>
      <c r="U10158">
        <v>3.071625</v>
      </c>
      <c r="V10158">
        <v>-8.2080639999999996E-2</v>
      </c>
      <c r="W10158">
        <v>3.8205210000000003E-2</v>
      </c>
      <c r="X10158">
        <v>0.99589309999999998</v>
      </c>
      <c r="Y10158">
        <v>0.134108</v>
      </c>
      <c r="Z10158">
        <v>-0.32784609999999997</v>
      </c>
      <c r="AA10158">
        <v>0.9351642</v>
      </c>
      <c r="AB10158">
        <v>32</v>
      </c>
      <c r="AC10158">
        <v>9.9099999999992805E-2</v>
      </c>
      <c r="AD10158">
        <v>-0.23115379999999999</v>
      </c>
      <c r="AE10158">
        <v>0.33832999999999902</v>
      </c>
      <c r="AF10158">
        <v>6.7438745054917801E-2</v>
      </c>
      <c r="AG10158">
        <v>-0.23115379999999999</v>
      </c>
      <c r="AH10158">
        <v>0.237148813066001</v>
      </c>
      <c r="AI10158">
        <v>133.15386840351599</v>
      </c>
      <c r="AJ10158">
        <v>74.125673523921407</v>
      </c>
      <c r="AK10158">
        <v>0.33796393761411098</v>
      </c>
      <c r="AL10158">
        <v>87.810469767617803</v>
      </c>
      <c r="AM10158">
        <v>94.711618853501605</v>
      </c>
      <c r="AN10158">
        <v>0.99999996808078095</v>
      </c>
    </row>
    <row r="10159" spans="1:40" x14ac:dyDescent="0.25">
      <c r="A10159" t="str">
        <f>"20190312150919149"</f>
        <v>20190312150919149</v>
      </c>
      <c r="B10159" t="str">
        <f>"1552374559138967"</f>
        <v>1552374559138967</v>
      </c>
      <c r="C10159" t="s">
        <v>40</v>
      </c>
      <c r="D10159">
        <v>5.5030330000000003</v>
      </c>
      <c r="E10159">
        <v>0.59209309999999904</v>
      </c>
      <c r="F10159" t="s">
        <v>41</v>
      </c>
      <c r="G10159">
        <v>-186.96379999999999</v>
      </c>
      <c r="H10159">
        <v>0.80318999999999996</v>
      </c>
      <c r="I10159">
        <v>-16.305810000000001</v>
      </c>
      <c r="J10159">
        <v>-187.09690000000001</v>
      </c>
      <c r="K10159">
        <v>1.1115109999999999</v>
      </c>
      <c r="L10159">
        <v>-16.855129999999999</v>
      </c>
      <c r="M10159">
        <v>6.1345280000000002E-3</v>
      </c>
      <c r="N10159">
        <v>0</v>
      </c>
      <c r="O10159">
        <v>0.99990730000000005</v>
      </c>
      <c r="P10159">
        <v>-7.5331599999999999E-2</v>
      </c>
      <c r="Q10159">
        <v>2.6482550000000001E-2</v>
      </c>
      <c r="R10159">
        <v>0.99680679999999999</v>
      </c>
      <c r="S10159">
        <v>0.46447749999999999</v>
      </c>
      <c r="T10159">
        <v>-1.071895</v>
      </c>
      <c r="U10159">
        <v>3.0722960000000001</v>
      </c>
      <c r="V10159">
        <v>-8.1570240000000002E-2</v>
      </c>
      <c r="W10159">
        <v>3.8326239999999998E-2</v>
      </c>
      <c r="X10159">
        <v>0.99593039999999999</v>
      </c>
      <c r="Y10159">
        <v>0.13523760000000001</v>
      </c>
      <c r="Z10159">
        <v>-0.32624540000000002</v>
      </c>
      <c r="AA10159">
        <v>0.93556119999999998</v>
      </c>
      <c r="AB10159">
        <v>32</v>
      </c>
      <c r="AC10159">
        <v>0.13310000000001301</v>
      </c>
      <c r="AD10159">
        <v>-0.30832100000000001</v>
      </c>
      <c r="AE10159">
        <v>0.54931999999999803</v>
      </c>
      <c r="AF10159">
        <v>9.9977757888977198E-2</v>
      </c>
      <c r="AG10159">
        <v>-0.30832100000000001</v>
      </c>
      <c r="AH10159">
        <v>0.42396884004621599</v>
      </c>
      <c r="AI10159">
        <v>125.291309784083</v>
      </c>
      <c r="AJ10159">
        <v>76.731262754467906</v>
      </c>
      <c r="AK10159">
        <v>0.53367309136178198</v>
      </c>
      <c r="AL10159">
        <v>87.803530209826206</v>
      </c>
      <c r="AM10159">
        <v>94.682276804275602</v>
      </c>
      <c r="AN10159">
        <v>0.99999998318517702</v>
      </c>
    </row>
    <row r="10160" spans="1:40" x14ac:dyDescent="0.25">
      <c r="A10160" t="str">
        <f>"20190312150919171"</f>
        <v>20190312150919171</v>
      </c>
      <c r="B10160" t="str">
        <f>"1552374559159466"</f>
        <v>1552374559159466</v>
      </c>
      <c r="C10160" t="s">
        <v>40</v>
      </c>
      <c r="D10160">
        <v>4.7674190000000003</v>
      </c>
      <c r="E10160">
        <v>0.59211769999999997</v>
      </c>
      <c r="F10160" t="s">
        <v>41</v>
      </c>
      <c r="G10160">
        <v>-186.9682</v>
      </c>
      <c r="H10160">
        <v>0.81639669999999998</v>
      </c>
      <c r="I10160">
        <v>-16.012280000000001</v>
      </c>
      <c r="J10160">
        <v>-187.0967</v>
      </c>
      <c r="K10160">
        <v>1.111423</v>
      </c>
      <c r="L10160">
        <v>-16.54224</v>
      </c>
      <c r="M10160">
        <v>4.5751899999999998E-3</v>
      </c>
      <c r="N10160">
        <v>0</v>
      </c>
      <c r="O10160">
        <v>0.99991509999999995</v>
      </c>
      <c r="P10160">
        <v>-7.6547779999999996E-2</v>
      </c>
      <c r="Q10160">
        <v>2.599462E-2</v>
      </c>
      <c r="R10160">
        <v>0.99672700000000003</v>
      </c>
      <c r="S10160">
        <v>0.46913149999999998</v>
      </c>
      <c r="T10160">
        <v>-1.0762370000000001</v>
      </c>
      <c r="U10160">
        <v>3.0736690000000002</v>
      </c>
      <c r="V10160">
        <v>-8.1223909999999996E-2</v>
      </c>
      <c r="W10160">
        <v>3.7905979999999999E-2</v>
      </c>
      <c r="X10160">
        <v>0.99597480000000005</v>
      </c>
      <c r="Y10160">
        <v>0.13805300000000001</v>
      </c>
      <c r="Z10160">
        <v>-0.32720139999999998</v>
      </c>
      <c r="AA10160">
        <v>0.93481579999999997</v>
      </c>
      <c r="AB10160">
        <v>32</v>
      </c>
      <c r="AC10160">
        <v>0.128500000000002</v>
      </c>
      <c r="AD10160">
        <v>-0.29502630000000002</v>
      </c>
      <c r="AE10160">
        <v>0.52995999999999899</v>
      </c>
      <c r="AF10160">
        <v>9.7527413894355097E-2</v>
      </c>
      <c r="AG10160">
        <v>-0.29502630000000002</v>
      </c>
      <c r="AH10160">
        <v>0.410413791580236</v>
      </c>
      <c r="AI10160">
        <v>124.967999423905</v>
      </c>
      <c r="AJ10160">
        <v>76.6326273365503</v>
      </c>
      <c r="AK10160">
        <v>0.51477334281397702</v>
      </c>
      <c r="AL10160">
        <v>87.827626870034294</v>
      </c>
      <c r="AM10160">
        <v>94.662277744715695</v>
      </c>
      <c r="AN10160">
        <v>0.99999999455524402</v>
      </c>
    </row>
    <row r="10161" spans="1:40" x14ac:dyDescent="0.25">
      <c r="A10161" t="str">
        <f>"20190312150919195"</f>
        <v>20190312150919195</v>
      </c>
      <c r="B10161" t="str">
        <f>"1552374559189719"</f>
        <v>1552374559189719</v>
      </c>
      <c r="C10161" t="s">
        <v>40</v>
      </c>
      <c r="D10161">
        <v>4.9030389999999997</v>
      </c>
      <c r="E10161">
        <v>0.59220299999999904</v>
      </c>
      <c r="F10161" t="s">
        <v>41</v>
      </c>
      <c r="G10161">
        <v>-186.97200000000001</v>
      </c>
      <c r="H10161">
        <v>0.82503740000000003</v>
      </c>
      <c r="I10161">
        <v>-15.72064</v>
      </c>
      <c r="J10161">
        <v>-187.09700000000001</v>
      </c>
      <c r="K10161">
        <v>1.1113519999999999</v>
      </c>
      <c r="L10161">
        <v>-16.200289999999999</v>
      </c>
      <c r="M10161">
        <v>2.9388840000000001E-3</v>
      </c>
      <c r="N10161">
        <v>0</v>
      </c>
      <c r="O10161">
        <v>0.99992060000000005</v>
      </c>
      <c r="P10161">
        <v>-7.7181150000000004E-2</v>
      </c>
      <c r="Q10161">
        <v>2.5688909999999999E-2</v>
      </c>
      <c r="R10161">
        <v>0.99668610000000002</v>
      </c>
      <c r="S10161">
        <v>0.46574399999999999</v>
      </c>
      <c r="T10161">
        <v>-1.0714079999999999</v>
      </c>
      <c r="U10161">
        <v>3.073547</v>
      </c>
      <c r="V10161">
        <v>-8.0219189999999996E-2</v>
      </c>
      <c r="W10161">
        <v>3.7664870000000003E-2</v>
      </c>
      <c r="X10161">
        <v>0.99606539999999999</v>
      </c>
      <c r="Y10161">
        <v>0.13873659999999999</v>
      </c>
      <c r="Z10161">
        <v>-0.3259126</v>
      </c>
      <c r="AA10161">
        <v>0.93516469999999896</v>
      </c>
      <c r="AB10161">
        <v>32</v>
      </c>
      <c r="AC10161">
        <v>0.125</v>
      </c>
      <c r="AD10161">
        <v>-0.28631459999999997</v>
      </c>
      <c r="AE10161">
        <v>0.47964999999999902</v>
      </c>
      <c r="AF10161">
        <v>9.2669749586639094E-2</v>
      </c>
      <c r="AG10161">
        <v>-0.28631459999999997</v>
      </c>
      <c r="AH10161">
        <v>0.359923945863378</v>
      </c>
      <c r="AI10161">
        <v>127.609291838009</v>
      </c>
      <c r="AJ10161">
        <v>75.561627285307694</v>
      </c>
      <c r="AK10161">
        <v>0.469157734101735</v>
      </c>
      <c r="AL10161">
        <v>87.841451384980104</v>
      </c>
      <c r="AM10161">
        <v>94.604439023216202</v>
      </c>
      <c r="AN10161">
        <v>1.0000000209767601</v>
      </c>
    </row>
    <row r="10162" spans="1:40" x14ac:dyDescent="0.25">
      <c r="A10162" t="str">
        <f>"20190312150919216"</f>
        <v>20190312150919216</v>
      </c>
      <c r="B10162" t="str">
        <f>"1552374559209239"</f>
        <v>1552374559209239</v>
      </c>
      <c r="C10162" t="s">
        <v>40</v>
      </c>
      <c r="D10162">
        <v>4.7878639999999999</v>
      </c>
      <c r="E10162">
        <v>0.59215490000000004</v>
      </c>
      <c r="F10162" t="s">
        <v>41</v>
      </c>
      <c r="G10162">
        <v>-186.9796</v>
      </c>
      <c r="H10162">
        <v>0.84232680000000004</v>
      </c>
      <c r="I10162">
        <v>-15.42559</v>
      </c>
      <c r="J10162">
        <v>-187.0976</v>
      </c>
      <c r="K10162">
        <v>1.111302</v>
      </c>
      <c r="L10162">
        <v>-15.893280000000001</v>
      </c>
      <c r="M10162">
        <v>1.5202989999999999E-3</v>
      </c>
      <c r="N10162">
        <v>0</v>
      </c>
      <c r="O10162">
        <v>0.99992329999999996</v>
      </c>
      <c r="P10162">
        <v>-7.7524640000000006E-2</v>
      </c>
      <c r="Q10162">
        <v>2.6062849999999999E-2</v>
      </c>
      <c r="R10162">
        <v>0.99664969999999997</v>
      </c>
      <c r="S10162">
        <v>0.46531679999999997</v>
      </c>
      <c r="T10162">
        <v>-1.0673410000000001</v>
      </c>
      <c r="U10162">
        <v>3.0735169999999998</v>
      </c>
      <c r="V10162">
        <v>-7.9144939999999997E-2</v>
      </c>
      <c r="W10162">
        <v>3.8089900000000003E-2</v>
      </c>
      <c r="X10162">
        <v>0.9961352</v>
      </c>
      <c r="Y10162">
        <v>0.1400719</v>
      </c>
      <c r="Z10162">
        <v>-0.3247833</v>
      </c>
      <c r="AA10162">
        <v>0.93535860000000004</v>
      </c>
      <c r="AB10162">
        <v>32</v>
      </c>
      <c r="AC10162">
        <v>0.117999999999994</v>
      </c>
      <c r="AD10162">
        <v>-0.26897520000000003</v>
      </c>
      <c r="AE10162">
        <v>0.467689999999999</v>
      </c>
      <c r="AF10162">
        <v>8.94677549625153E-2</v>
      </c>
      <c r="AG10162">
        <v>-0.26897520000000003</v>
      </c>
      <c r="AH10162">
        <v>0.35688986459573901</v>
      </c>
      <c r="AI10162">
        <v>126.168429156217</v>
      </c>
      <c r="AJ10162">
        <v>75.9266998156304</v>
      </c>
      <c r="AK10162">
        <v>0.45576585309151602</v>
      </c>
      <c r="AL10162">
        <v>87.817081534108397</v>
      </c>
      <c r="AM10162">
        <v>94.542721834647097</v>
      </c>
      <c r="AN10162">
        <v>1.00000004934432</v>
      </c>
    </row>
    <row r="10163" spans="1:40" x14ac:dyDescent="0.25">
      <c r="A10163" t="str">
        <f>"20190312150919239"</f>
        <v>20190312150919239</v>
      </c>
      <c r="B10163" t="str">
        <f>"1552374559229734"</f>
        <v>1552374559229734</v>
      </c>
      <c r="C10163" t="s">
        <v>40</v>
      </c>
      <c r="D10163">
        <v>4.8145769999999999</v>
      </c>
      <c r="E10163">
        <v>0.59215509999999905</v>
      </c>
      <c r="F10163" t="s">
        <v>41</v>
      </c>
      <c r="G10163">
        <v>-186.98310000000001</v>
      </c>
      <c r="H10163">
        <v>0.84959340000000005</v>
      </c>
      <c r="I10163">
        <v>-15.13456</v>
      </c>
      <c r="J10163">
        <v>-187.09870000000001</v>
      </c>
      <c r="K10163">
        <v>1.111259</v>
      </c>
      <c r="L10163">
        <v>-15.56354</v>
      </c>
      <c r="M10163" s="1">
        <v>4.1074369999999999E-5</v>
      </c>
      <c r="N10163">
        <v>0</v>
      </c>
      <c r="O10163">
        <v>0.99992409999999998</v>
      </c>
      <c r="P10163">
        <v>-7.7994949999999993E-2</v>
      </c>
      <c r="Q10163">
        <v>2.6104740000000001E-2</v>
      </c>
      <c r="R10163">
        <v>0.99661200000000005</v>
      </c>
      <c r="S10163">
        <v>0.46347050000000001</v>
      </c>
      <c r="T10163">
        <v>-1.060325</v>
      </c>
      <c r="U10163">
        <v>3.0738530000000002</v>
      </c>
      <c r="V10163">
        <v>-7.8136699999999906E-2</v>
      </c>
      <c r="W10163">
        <v>3.8179480000000002E-2</v>
      </c>
      <c r="X10163">
        <v>0.99621130000000002</v>
      </c>
      <c r="Y10163">
        <v>0.14106959999999999</v>
      </c>
      <c r="Z10163">
        <v>-0.3228319</v>
      </c>
      <c r="AA10163">
        <v>0.9358841</v>
      </c>
      <c r="AB10163">
        <v>32</v>
      </c>
      <c r="AC10163">
        <v>0.11559999999999999</v>
      </c>
      <c r="AD10163">
        <v>-0.261665599999999</v>
      </c>
      <c r="AE10163">
        <v>0.42897999999999897</v>
      </c>
      <c r="AF10163">
        <v>8.5815158094960903E-2</v>
      </c>
      <c r="AG10163">
        <v>-0.261665599999999</v>
      </c>
      <c r="AH10163">
        <v>0.31850351645550801</v>
      </c>
      <c r="AI10163">
        <v>128.42350996035501</v>
      </c>
      <c r="AJ10163">
        <v>74.920742057478193</v>
      </c>
      <c r="AK10163">
        <v>0.42104348656254897</v>
      </c>
      <c r="AL10163">
        <v>87.811945102383305</v>
      </c>
      <c r="AM10163">
        <v>94.484747793818499</v>
      </c>
      <c r="AN10163">
        <v>0.99999998541382495</v>
      </c>
    </row>
    <row r="10164" spans="1:40" x14ac:dyDescent="0.25">
      <c r="A10164" t="str">
        <f>"20190312150919260"</f>
        <v>20190312150919260</v>
      </c>
      <c r="B10164" t="str">
        <f>"1552374559249258"</f>
        <v>1552374559249258</v>
      </c>
      <c r="C10164" t="s">
        <v>40</v>
      </c>
      <c r="D10164">
        <v>5.5024089999999903</v>
      </c>
      <c r="E10164">
        <v>0.5921495</v>
      </c>
      <c r="F10164" t="s">
        <v>41</v>
      </c>
      <c r="G10164">
        <v>-186.98990000000001</v>
      </c>
      <c r="H10164">
        <v>0.86295739999999999</v>
      </c>
      <c r="I10164">
        <v>-14.84118</v>
      </c>
      <c r="J10164">
        <v>-187.1001</v>
      </c>
      <c r="K10164">
        <v>1.1112420000000001</v>
      </c>
      <c r="L10164">
        <v>-15.25095</v>
      </c>
      <c r="M10164">
        <v>-1.3232729999999901E-3</v>
      </c>
      <c r="N10164">
        <v>0</v>
      </c>
      <c r="O10164">
        <v>0.99992289999999995</v>
      </c>
      <c r="P10164">
        <v>-7.7938499999999994E-2</v>
      </c>
      <c r="Q10164">
        <v>2.646722E-2</v>
      </c>
      <c r="R10164">
        <v>0.99660680000000001</v>
      </c>
      <c r="S10164">
        <v>0.46289059999999999</v>
      </c>
      <c r="T10164">
        <v>-1.0567029999999999</v>
      </c>
      <c r="U10164">
        <v>3.0740970000000001</v>
      </c>
      <c r="V10164">
        <v>-7.6719369999999995E-2</v>
      </c>
      <c r="W10164">
        <v>3.857878E-2</v>
      </c>
      <c r="X10164">
        <v>0.99630609999999997</v>
      </c>
      <c r="Y10164">
        <v>0.1422871</v>
      </c>
      <c r="Z10164">
        <v>-0.32179659999999999</v>
      </c>
      <c r="AA10164">
        <v>0.93605629999999995</v>
      </c>
      <c r="AB10164">
        <v>32</v>
      </c>
      <c r="AC10164">
        <v>0.110199999999991</v>
      </c>
      <c r="AD10164">
        <v>-0.24828459999999999</v>
      </c>
      <c r="AE10164">
        <v>0.40977000000000002</v>
      </c>
      <c r="AF10164">
        <v>8.2497631620493894E-2</v>
      </c>
      <c r="AG10164">
        <v>-0.24828459999999999</v>
      </c>
      <c r="AH10164">
        <v>0.30515015202408502</v>
      </c>
      <c r="AI10164">
        <v>128.14784034672101</v>
      </c>
      <c r="AJ10164">
        <v>74.8716851759539</v>
      </c>
      <c r="AK10164">
        <v>0.40195486948222497</v>
      </c>
      <c r="AL10164">
        <v>87.789050093412399</v>
      </c>
      <c r="AM10164">
        <v>94.403304031423801</v>
      </c>
      <c r="AN10164">
        <v>1.0000000144483401</v>
      </c>
    </row>
    <row r="10165" spans="1:40" x14ac:dyDescent="0.25">
      <c r="A10165" t="str">
        <f>"20190312150919283"</f>
        <v>20190312150919283</v>
      </c>
      <c r="B10165" t="str">
        <f>"1552374559279511"</f>
        <v>1552374559279511</v>
      </c>
      <c r="C10165" t="s">
        <v>40</v>
      </c>
      <c r="D10165">
        <v>5.7717029999999996</v>
      </c>
      <c r="E10165">
        <v>0.58658250000000001</v>
      </c>
      <c r="F10165" t="s">
        <v>41</v>
      </c>
      <c r="G10165">
        <v>-186.994</v>
      </c>
      <c r="H10165">
        <v>0.87232330000000002</v>
      </c>
      <c r="I10165">
        <v>-14.549440000000001</v>
      </c>
      <c r="J10165">
        <v>-187.1019</v>
      </c>
      <c r="K10165">
        <v>1.1109739999999999</v>
      </c>
      <c r="L10165">
        <v>-14.93146</v>
      </c>
      <c r="M10165">
        <v>-2.66147E-3</v>
      </c>
      <c r="N10165">
        <v>0</v>
      </c>
      <c r="O10165">
        <v>0.99993019999999999</v>
      </c>
      <c r="P10165">
        <v>-7.6781669999999996E-2</v>
      </c>
      <c r="Q10165">
        <v>2.7535359999999998E-2</v>
      </c>
      <c r="R10165">
        <v>0.99666759999999999</v>
      </c>
      <c r="S10165">
        <v>0.46456910000000001</v>
      </c>
      <c r="T10165">
        <v>-1.047083</v>
      </c>
      <c r="U10165">
        <v>3.074341</v>
      </c>
      <c r="V10165">
        <v>-7.4225230000000003E-2</v>
      </c>
      <c r="W10165">
        <v>3.8822259999999997E-2</v>
      </c>
      <c r="X10165">
        <v>0.99648550000000002</v>
      </c>
      <c r="Y10165">
        <v>0.14423520000000001</v>
      </c>
      <c r="Z10165">
        <v>-0.31908839999999999</v>
      </c>
      <c r="AA10165">
        <v>0.93668499999999999</v>
      </c>
      <c r="AB10165">
        <v>32</v>
      </c>
      <c r="AC10165">
        <v>0.107899999999972</v>
      </c>
      <c r="AD10165">
        <v>-0.23865069999999899</v>
      </c>
      <c r="AE10165">
        <v>0.38202000000000202</v>
      </c>
      <c r="AF10165">
        <v>8.0001705101625797E-2</v>
      </c>
      <c r="AG10165">
        <v>-0.23865069999999899</v>
      </c>
      <c r="AH10165">
        <v>0.28039084760465499</v>
      </c>
      <c r="AI10165">
        <v>129.29937263736301</v>
      </c>
      <c r="AJ10165">
        <v>74.075381011077496</v>
      </c>
      <c r="AK10165">
        <v>0.37679365287928401</v>
      </c>
      <c r="AL10165">
        <v>87.775089119861804</v>
      </c>
      <c r="AM10165">
        <v>94.259924720118704</v>
      </c>
      <c r="AN10165">
        <v>0.99999995217515403</v>
      </c>
    </row>
    <row r="10166" spans="1:40" x14ac:dyDescent="0.25">
      <c r="A10166" t="str">
        <f>"20190312150919304"</f>
        <v>20190312150919304</v>
      </c>
      <c r="B10166" t="str">
        <f>"1552374559299031"</f>
        <v>1552374559299031</v>
      </c>
      <c r="C10166" t="s">
        <v>40</v>
      </c>
      <c r="D10166">
        <v>4.9023810000000001</v>
      </c>
      <c r="E10166">
        <v>0.5847831</v>
      </c>
      <c r="F10166" t="s">
        <v>41</v>
      </c>
      <c r="G10166">
        <v>-187.00479999999999</v>
      </c>
      <c r="H10166">
        <v>0.91926920000000001</v>
      </c>
      <c r="I10166">
        <v>-14.23812</v>
      </c>
      <c r="J10166">
        <v>-187.10390000000001</v>
      </c>
      <c r="K10166">
        <v>1.110622</v>
      </c>
      <c r="L10166">
        <v>-14.61725</v>
      </c>
      <c r="M10166">
        <v>-3.9039489999999999E-3</v>
      </c>
      <c r="N10166">
        <v>0</v>
      </c>
      <c r="O10166">
        <v>0.99993980000000005</v>
      </c>
      <c r="P10166">
        <v>-7.5297240000000001E-2</v>
      </c>
      <c r="Q10166">
        <v>2.9533759999999999E-2</v>
      </c>
      <c r="R10166">
        <v>0.99672369999999999</v>
      </c>
      <c r="S10166">
        <v>0.42961120000000003</v>
      </c>
      <c r="T10166">
        <v>-0.8478812</v>
      </c>
      <c r="U10166">
        <v>3.0665589999999998</v>
      </c>
      <c r="V10166">
        <v>-7.1499190000000004E-2</v>
      </c>
      <c r="W10166">
        <v>3.9586040000000003E-2</v>
      </c>
      <c r="X10166">
        <v>0.99665479999999995</v>
      </c>
      <c r="Y10166">
        <v>0.1376822</v>
      </c>
      <c r="Z10166">
        <v>-0.26402239999999999</v>
      </c>
      <c r="AA10166">
        <v>0.95463909999999996</v>
      </c>
      <c r="AB10166">
        <v>32</v>
      </c>
      <c r="AC10166">
        <v>9.9100000000021199E-2</v>
      </c>
      <c r="AD10166">
        <v>-0.19135279999999999</v>
      </c>
      <c r="AE10166">
        <v>0.37913000000000002</v>
      </c>
      <c r="AF10166">
        <v>8.1214204102821597E-2</v>
      </c>
      <c r="AG10166">
        <v>-0.19135279999999999</v>
      </c>
      <c r="AH10166">
        <v>0.30581885003931297</v>
      </c>
      <c r="AI10166">
        <v>121.16324889612901</v>
      </c>
      <c r="AJ10166">
        <v>75.127630520010797</v>
      </c>
      <c r="AK10166">
        <v>0.36977940728934899</v>
      </c>
      <c r="AL10166">
        <v>87.731294162378205</v>
      </c>
      <c r="AM10166">
        <v>94.103322147945207</v>
      </c>
      <c r="AN10166">
        <v>0.99999998954828795</v>
      </c>
    </row>
    <row r="10167" spans="1:40" x14ac:dyDescent="0.25">
      <c r="A10167" t="str">
        <f>"20190312150919328"</f>
        <v>20190312150919328</v>
      </c>
      <c r="B10167" t="str">
        <f>"1552374559319527"</f>
        <v>1552374559319527</v>
      </c>
      <c r="C10167" t="s">
        <v>40</v>
      </c>
      <c r="D10167">
        <v>4.8092199999999998</v>
      </c>
      <c r="E10167">
        <v>0.55750880000000003</v>
      </c>
      <c r="F10167" t="s">
        <v>41</v>
      </c>
      <c r="G10167">
        <v>-187.0112</v>
      </c>
      <c r="H10167">
        <v>0.92599560000000003</v>
      </c>
      <c r="I10167">
        <v>-13.941269999999999</v>
      </c>
      <c r="J10167">
        <v>-187.10640000000001</v>
      </c>
      <c r="K10167">
        <v>1.1102730000000001</v>
      </c>
      <c r="L10167">
        <v>-14.27148</v>
      </c>
      <c r="M10167">
        <v>-5.2273600000000003E-3</v>
      </c>
      <c r="N10167">
        <v>0</v>
      </c>
      <c r="O10167">
        <v>0.99994720000000004</v>
      </c>
      <c r="P10167">
        <v>-7.4766780000000005E-2</v>
      </c>
      <c r="Q10167">
        <v>3.1173869999999999E-2</v>
      </c>
      <c r="R10167">
        <v>0.99671359999999998</v>
      </c>
      <c r="S10167">
        <v>0.4202728</v>
      </c>
      <c r="T10167">
        <v>-0.83756739999999996</v>
      </c>
      <c r="U10167">
        <v>3.0664370000000001</v>
      </c>
      <c r="V10167">
        <v>-6.9643969999999999E-2</v>
      </c>
      <c r="W10167">
        <v>3.9835700000000002E-2</v>
      </c>
      <c r="X10167">
        <v>0.9967762</v>
      </c>
      <c r="Y10167">
        <v>0.13625190000000001</v>
      </c>
      <c r="Z10167">
        <v>-0.26111659999999998</v>
      </c>
      <c r="AA10167">
        <v>0.95564300000000002</v>
      </c>
      <c r="AB10167">
        <v>33</v>
      </c>
      <c r="AC10167">
        <v>9.5200000000005502E-2</v>
      </c>
      <c r="AD10167">
        <v>-0.18427740000000001</v>
      </c>
      <c r="AE10167">
        <v>0.33020999999999701</v>
      </c>
      <c r="AF10167">
        <v>7.5279526868888003E-2</v>
      </c>
      <c r="AG10167">
        <v>-0.18427740000000001</v>
      </c>
      <c r="AH10167">
        <v>0.25607713501424201</v>
      </c>
      <c r="AI10167">
        <v>124.621303695856</v>
      </c>
      <c r="AJ10167">
        <v>73.618136540868093</v>
      </c>
      <c r="AK10167">
        <v>0.32434652209244602</v>
      </c>
      <c r="AL10167">
        <v>87.716978382191101</v>
      </c>
      <c r="AM10167">
        <v>93.996715947319501</v>
      </c>
      <c r="AN10167">
        <v>0.99999997921914496</v>
      </c>
    </row>
    <row r="10168" spans="1:40" x14ac:dyDescent="0.25">
      <c r="A10168" t="str">
        <f>"20190312150919451"</f>
        <v>20190312150919451</v>
      </c>
      <c r="B10168" t="str">
        <f>"1552374559439575"</f>
        <v>1552374559439575</v>
      </c>
      <c r="C10168" t="s">
        <v>40</v>
      </c>
      <c r="D10168">
        <v>4.7861779999999996</v>
      </c>
      <c r="E10168">
        <v>0.5347596</v>
      </c>
      <c r="F10168" t="s">
        <v>41</v>
      </c>
      <c r="G10168">
        <v>-187.04640000000001</v>
      </c>
      <c r="H10168">
        <v>1.0116579999999999</v>
      </c>
      <c r="I10168">
        <v>-11.78185</v>
      </c>
      <c r="J10168">
        <v>-187.126</v>
      </c>
      <c r="K10168">
        <v>1.1098669999999999</v>
      </c>
      <c r="L10168">
        <v>-12.395390000000001</v>
      </c>
      <c r="M10168">
        <v>-1.130168E-2</v>
      </c>
      <c r="N10168">
        <v>0</v>
      </c>
      <c r="O10168">
        <v>0.99992919999999996</v>
      </c>
      <c r="P10168">
        <v>-6.5473400000000001E-2</v>
      </c>
      <c r="Q10168">
        <v>3.8772649999999999E-2</v>
      </c>
      <c r="R10168">
        <v>0.99710080000000001</v>
      </c>
      <c r="S10168">
        <v>0.2431488</v>
      </c>
      <c r="T10168">
        <v>-0.31729279999999999</v>
      </c>
      <c r="U10168">
        <v>3.0377200000000002</v>
      </c>
      <c r="V10168">
        <v>-5.4304690000000003E-2</v>
      </c>
      <c r="W10168">
        <v>4.2344130000000001E-2</v>
      </c>
      <c r="X10168">
        <v>0.99762620000000002</v>
      </c>
      <c r="Y10168">
        <v>9.0620000000000006E-2</v>
      </c>
      <c r="Z10168">
        <v>-0.1034983</v>
      </c>
      <c r="AA10168">
        <v>0.99049290000000001</v>
      </c>
      <c r="AB10168">
        <v>34</v>
      </c>
      <c r="AC10168">
        <v>7.9599999999970805E-2</v>
      </c>
      <c r="AD10168">
        <v>-9.8209000000000005E-2</v>
      </c>
      <c r="AE10168">
        <v>0.61353999999999798</v>
      </c>
      <c r="AF10168">
        <v>8.4402222661669801E-2</v>
      </c>
      <c r="AG10168">
        <v>-9.8209000000000005E-2</v>
      </c>
      <c r="AH10168">
        <v>0.59754422512222105</v>
      </c>
      <c r="AI10168">
        <v>99.243225230951197</v>
      </c>
      <c r="AJ10168">
        <v>81.960243260343802</v>
      </c>
      <c r="AK10168">
        <v>0.61141462515067901</v>
      </c>
      <c r="AL10168">
        <v>87.5731345288944</v>
      </c>
      <c r="AM10168">
        <v>93.115758076071401</v>
      </c>
      <c r="AN10168">
        <v>1.00000002981394</v>
      </c>
    </row>
    <row r="10169" spans="1:40" x14ac:dyDescent="0.25">
      <c r="A10169" t="str">
        <f>"20190312150919473"</f>
        <v>20190312150919473</v>
      </c>
      <c r="B10169" t="str">
        <f>"1552374559469831"</f>
        <v>1552374559469831</v>
      </c>
      <c r="C10169" t="s">
        <v>40</v>
      </c>
      <c r="D10169">
        <v>5.0254699999999897</v>
      </c>
      <c r="E10169">
        <v>0.53365949999999995</v>
      </c>
      <c r="F10169" t="s">
        <v>42</v>
      </c>
      <c r="G10169">
        <v>-181.95830000000001</v>
      </c>
      <c r="H10169" s="1">
        <v>-2.8088979999999999E-6</v>
      </c>
      <c r="I10169">
        <v>191.61449999999999</v>
      </c>
      <c r="J10169">
        <v>-187.131</v>
      </c>
      <c r="K10169">
        <v>1.1100449999999999</v>
      </c>
      <c r="L10169">
        <v>-12.04358</v>
      </c>
      <c r="M10169">
        <v>-1.224135E-2</v>
      </c>
      <c r="N10169">
        <v>0</v>
      </c>
      <c r="O10169">
        <v>0.99991759999999996</v>
      </c>
      <c r="P10169">
        <v>-6.3580990000000004E-2</v>
      </c>
      <c r="Q10169">
        <v>3.8866199999999997E-2</v>
      </c>
      <c r="R10169">
        <v>0.99721959999999998</v>
      </c>
      <c r="S10169">
        <v>7.6354980000000003E-2</v>
      </c>
      <c r="T10169">
        <v>-1.6399029999999998E-2</v>
      </c>
      <c r="U10169">
        <v>3.0143740000000001</v>
      </c>
      <c r="V10169">
        <v>-5.1474899999999997E-2</v>
      </c>
      <c r="W10169">
        <v>4.2600909999999999E-2</v>
      </c>
      <c r="X10169">
        <v>0.99776520000000002</v>
      </c>
      <c r="Y10169">
        <v>3.7557430000000003E-2</v>
      </c>
      <c r="Z10169">
        <v>-5.436794E-3</v>
      </c>
      <c r="AA10169">
        <v>0.99927969999999999</v>
      </c>
      <c r="AB10169">
        <v>35</v>
      </c>
      <c r="AC10169">
        <v>5.1726999999999599</v>
      </c>
      <c r="AD10169">
        <v>-1.1100478088979999</v>
      </c>
      <c r="AE10169">
        <v>203.65808000000001</v>
      </c>
      <c r="AF10169">
        <v>7.6651533044914499</v>
      </c>
      <c r="AG10169">
        <v>-1.1100478088979999</v>
      </c>
      <c r="AH10169">
        <v>203.57345479424501</v>
      </c>
      <c r="AI10169">
        <v>90.312198799593901</v>
      </c>
      <c r="AJ10169">
        <v>87.843660112663102</v>
      </c>
      <c r="AK10169">
        <v>203.720736004423</v>
      </c>
      <c r="AL10169">
        <v>87.558408632662307</v>
      </c>
      <c r="AM10169">
        <v>92.9532821232157</v>
      </c>
      <c r="AN10169">
        <v>0.99999994859693697</v>
      </c>
    </row>
    <row r="10170" spans="1:40" x14ac:dyDescent="0.25">
      <c r="A10170" t="str">
        <f>"20190312150919495"</f>
        <v>20190312150919495</v>
      </c>
      <c r="B10170" t="str">
        <f>"1552374559489350"</f>
        <v>1552374559489350</v>
      </c>
      <c r="C10170" t="s">
        <v>40</v>
      </c>
      <c r="D10170">
        <v>4.8417139999999996</v>
      </c>
      <c r="E10170">
        <v>0.53279169999999998</v>
      </c>
      <c r="F10170" t="s">
        <v>42</v>
      </c>
      <c r="G10170">
        <v>-185.50319999999999</v>
      </c>
      <c r="H10170" s="1">
        <v>-3.4597140000000001E-6</v>
      </c>
      <c r="I10170">
        <v>55.838099999999997</v>
      </c>
      <c r="J10170">
        <v>-187.136</v>
      </c>
      <c r="K10170">
        <v>1.1101760000000001</v>
      </c>
      <c r="L10170">
        <v>-11.71448</v>
      </c>
      <c r="M10170">
        <v>-1.313054E-2</v>
      </c>
      <c r="N10170">
        <v>0</v>
      </c>
      <c r="O10170">
        <v>0.99990509999999999</v>
      </c>
      <c r="P10170">
        <v>-6.1529380000000002E-2</v>
      </c>
      <c r="Q10170">
        <v>3.8789669999999998E-2</v>
      </c>
      <c r="R10170">
        <v>0.99735119999999999</v>
      </c>
      <c r="S10170">
        <v>7.2296139999999995E-2</v>
      </c>
      <c r="T10170">
        <v>-4.9301619999999997E-2</v>
      </c>
      <c r="U10170">
        <v>3.0148929999999998</v>
      </c>
      <c r="V10170">
        <v>-4.8531539999999998E-2</v>
      </c>
      <c r="W10170">
        <v>4.2836260000000001E-2</v>
      </c>
      <c r="X10170">
        <v>0.99790270000000003</v>
      </c>
      <c r="Y10170">
        <v>3.70944E-2</v>
      </c>
      <c r="Z10170">
        <v>-1.6340420000000001E-2</v>
      </c>
      <c r="AA10170">
        <v>0.99917820000000002</v>
      </c>
      <c r="AB10170">
        <v>35</v>
      </c>
      <c r="AC10170">
        <v>1.6328</v>
      </c>
      <c r="AD10170">
        <v>-1.110179459714</v>
      </c>
      <c r="AE10170">
        <v>67.552579999999907</v>
      </c>
      <c r="AF10170">
        <v>2.5189888499414699</v>
      </c>
      <c r="AG10170">
        <v>-1.110179459714</v>
      </c>
      <c r="AH10170">
        <v>67.507094416107293</v>
      </c>
      <c r="AI10170">
        <v>90.941510512256599</v>
      </c>
      <c r="AJ10170">
        <v>87.863032006906906</v>
      </c>
      <c r="AK10170">
        <v>67.563197080689704</v>
      </c>
      <c r="AL10170">
        <v>87.544911942391195</v>
      </c>
      <c r="AM10170">
        <v>92.7843027533862</v>
      </c>
      <c r="AN10170">
        <v>1.00000002710642</v>
      </c>
    </row>
    <row r="10171" spans="1:40" x14ac:dyDescent="0.25">
      <c r="A10171" t="str">
        <f>"20190312150919509"</f>
        <v>20190312150919509</v>
      </c>
      <c r="B10171" t="str">
        <f>"1552374559499111"</f>
        <v>1552374559499111</v>
      </c>
      <c r="C10171" t="s">
        <v>40</v>
      </c>
      <c r="D10171">
        <v>4.8706950000000004</v>
      </c>
      <c r="E10171">
        <v>0.53317159999999997</v>
      </c>
      <c r="F10171" t="s">
        <v>42</v>
      </c>
      <c r="G10171">
        <v>-186.1344</v>
      </c>
      <c r="H10171" s="1">
        <v>-1.5101459999999999E-6</v>
      </c>
      <c r="I10171">
        <v>31.063289999999999</v>
      </c>
      <c r="J10171">
        <v>-187.1396</v>
      </c>
      <c r="K10171">
        <v>1.1102339999999999</v>
      </c>
      <c r="L10171">
        <v>-11.48401</v>
      </c>
      <c r="M10171">
        <v>-1.3752449999999999E-2</v>
      </c>
      <c r="N10171">
        <v>0</v>
      </c>
      <c r="O10171">
        <v>0.99989570000000005</v>
      </c>
      <c r="P10171">
        <v>-6.0566469999999997E-2</v>
      </c>
      <c r="Q10171">
        <v>3.8844959999999998E-2</v>
      </c>
      <c r="R10171">
        <v>0.99740799999999996</v>
      </c>
      <c r="S10171">
        <v>7.0602419999999999E-2</v>
      </c>
      <c r="T10171">
        <v>-7.8255770000000002E-2</v>
      </c>
      <c r="U10171">
        <v>3.0153810000000001</v>
      </c>
      <c r="V10171">
        <v>-4.6943940000000003E-2</v>
      </c>
      <c r="W10171">
        <v>4.3144960000000003E-2</v>
      </c>
      <c r="X10171">
        <v>0.99796530000000006</v>
      </c>
      <c r="Y10171">
        <v>3.7146419999999999E-2</v>
      </c>
      <c r="Z10171">
        <v>-2.5927289999999999E-2</v>
      </c>
      <c r="AA10171">
        <v>0.99897340000000001</v>
      </c>
      <c r="AB10171">
        <v>35</v>
      </c>
      <c r="AC10171">
        <v>1.0052000000000001</v>
      </c>
      <c r="AD10171">
        <v>-1.110235510146</v>
      </c>
      <c r="AE10171">
        <v>42.5473</v>
      </c>
      <c r="AF10171">
        <v>1.58915878426769</v>
      </c>
      <c r="AG10171">
        <v>-1.110235510146</v>
      </c>
      <c r="AH10171">
        <v>42.500529492252703</v>
      </c>
      <c r="AI10171">
        <v>91.495344981682294</v>
      </c>
      <c r="AJ10171">
        <v>87.858622141784593</v>
      </c>
      <c r="AK10171">
        <v>42.544718304995797</v>
      </c>
      <c r="AL10171">
        <v>87.527208253071905</v>
      </c>
      <c r="AM10171">
        <v>92.693188244256604</v>
      </c>
      <c r="AN10171">
        <v>0.99999998054010697</v>
      </c>
    </row>
    <row r="10172" spans="1:40" x14ac:dyDescent="0.25">
      <c r="A10172" t="str">
        <f>"20190312150919529"</f>
        <v>20190312150919529</v>
      </c>
      <c r="B10172" t="str">
        <f>"1552374559519607"</f>
        <v>1552374559519607</v>
      </c>
      <c r="C10172" t="s">
        <v>40</v>
      </c>
      <c r="D10172">
        <v>4.7672420000000004</v>
      </c>
      <c r="E10172">
        <v>0.53204669999999998</v>
      </c>
      <c r="F10172" t="s">
        <v>42</v>
      </c>
      <c r="G10172">
        <v>-186.1112</v>
      </c>
      <c r="H10172" s="1">
        <v>-4.7457140000000001E-6</v>
      </c>
      <c r="I10172">
        <v>29.08717</v>
      </c>
      <c r="J10172">
        <v>-187.1446</v>
      </c>
      <c r="K10172">
        <v>1.1102719999999999</v>
      </c>
      <c r="L10172">
        <v>-11.1843</v>
      </c>
      <c r="M10172">
        <v>-1.454362E-2</v>
      </c>
      <c r="N10172">
        <v>0</v>
      </c>
      <c r="O10172">
        <v>0.99988290000000002</v>
      </c>
      <c r="P10172">
        <v>-5.8419430000000001E-2</v>
      </c>
      <c r="Q10172">
        <v>3.9093650000000001E-2</v>
      </c>
      <c r="R10172">
        <v>0.99752629999999998</v>
      </c>
      <c r="S10172">
        <v>7.6446529999999999E-2</v>
      </c>
      <c r="T10172">
        <v>-8.2524059999999996E-2</v>
      </c>
      <c r="U10172">
        <v>3.0156559999999999</v>
      </c>
      <c r="V10172">
        <v>-4.4000310000000001E-2</v>
      </c>
      <c r="W10172">
        <v>4.3746159999999999E-2</v>
      </c>
      <c r="X10172">
        <v>0.99807330000000005</v>
      </c>
      <c r="Y10172">
        <v>3.9868710000000002E-2</v>
      </c>
      <c r="Z10172">
        <v>-2.7335379999999999E-2</v>
      </c>
      <c r="AA10172">
        <v>0.99883100000000002</v>
      </c>
      <c r="AB10172">
        <v>35</v>
      </c>
      <c r="AC10172">
        <v>1.0334000000000001</v>
      </c>
      <c r="AD10172">
        <v>-1.1102767457139999</v>
      </c>
      <c r="AE10172">
        <v>40.271470000000001</v>
      </c>
      <c r="AF10172">
        <v>1.61776145403363</v>
      </c>
      <c r="AG10172">
        <v>-1.1102767457139999</v>
      </c>
      <c r="AH10172">
        <v>40.221628966770197</v>
      </c>
      <c r="AI10172">
        <v>91.579912818476004</v>
      </c>
      <c r="AJ10172">
        <v>87.696737525381195</v>
      </c>
      <c r="AK10172">
        <v>40.269458691603504</v>
      </c>
      <c r="AL10172">
        <v>87.492729605804598</v>
      </c>
      <c r="AM10172">
        <v>92.524264245731601</v>
      </c>
      <c r="AN10172">
        <v>1.0000000329838601</v>
      </c>
    </row>
    <row r="10173" spans="1:40" x14ac:dyDescent="0.25">
      <c r="A10173" t="str">
        <f>"20190312150919551"</f>
        <v>20190312150919551</v>
      </c>
      <c r="B10173" t="str">
        <f>"1552374559549863"</f>
        <v>1552374559549863</v>
      </c>
      <c r="C10173" t="s">
        <v>40</v>
      </c>
      <c r="D10173">
        <v>4.7092970000000003</v>
      </c>
      <c r="E10173">
        <v>0.53107629999999995</v>
      </c>
      <c r="F10173" t="s">
        <v>42</v>
      </c>
      <c r="G10173">
        <v>-186.2518</v>
      </c>
      <c r="H10173" s="1">
        <v>-3.110887E-6</v>
      </c>
      <c r="I10173">
        <v>25.334510000000002</v>
      </c>
      <c r="J10173">
        <v>-187.15049999999999</v>
      </c>
      <c r="K10173">
        <v>1.1102890000000001</v>
      </c>
      <c r="L10173">
        <v>-10.834350000000001</v>
      </c>
      <c r="M10173">
        <v>-1.541141E-2</v>
      </c>
      <c r="N10173">
        <v>0</v>
      </c>
      <c r="O10173">
        <v>0.99986790000000003</v>
      </c>
      <c r="P10173">
        <v>-5.630926E-2</v>
      </c>
      <c r="Q10173">
        <v>3.9796070000000003E-2</v>
      </c>
      <c r="R10173">
        <v>0.9976199</v>
      </c>
      <c r="S10173">
        <v>7.3715210000000003E-2</v>
      </c>
      <c r="T10173">
        <v>-9.1675160000000006E-2</v>
      </c>
      <c r="U10173">
        <v>3.0153500000000002</v>
      </c>
      <c r="V10173">
        <v>-4.1016440000000001E-2</v>
      </c>
      <c r="W10173">
        <v>4.486706E-2</v>
      </c>
      <c r="X10173">
        <v>0.9981506</v>
      </c>
      <c r="Y10173">
        <v>3.9832180000000002E-2</v>
      </c>
      <c r="Z10173">
        <v>-3.0366779999999999E-2</v>
      </c>
      <c r="AA10173">
        <v>0.99874479999999999</v>
      </c>
      <c r="AB10173">
        <v>35</v>
      </c>
      <c r="AC10173">
        <v>0.89869999999999095</v>
      </c>
      <c r="AD10173">
        <v>-1.1102921108870001</v>
      </c>
      <c r="AE10173">
        <v>36.168859999999903</v>
      </c>
      <c r="AF10173">
        <v>1.45464391455319</v>
      </c>
      <c r="AG10173">
        <v>-1.1102921108870001</v>
      </c>
      <c r="AH10173">
        <v>36.1167009538906</v>
      </c>
      <c r="AI10173">
        <v>91.759394841739294</v>
      </c>
      <c r="AJ10173">
        <v>87.693589614858396</v>
      </c>
      <c r="AK10173">
        <v>36.163031195993597</v>
      </c>
      <c r="AL10173">
        <v>87.4284435782196</v>
      </c>
      <c r="AM10173">
        <v>92.353099296737</v>
      </c>
      <c r="AN10173">
        <v>1.0000000108518301</v>
      </c>
    </row>
    <row r="10174" spans="1:40" x14ac:dyDescent="0.25">
      <c r="A10174" t="str">
        <f>"20190312150919575"</f>
        <v>20190312150919575</v>
      </c>
      <c r="B10174" t="str">
        <f>"1552374559569383"</f>
        <v>1552374559569383</v>
      </c>
      <c r="C10174" t="s">
        <v>40</v>
      </c>
      <c r="D10174">
        <v>4.753501</v>
      </c>
      <c r="E10174">
        <v>0.53062169999999997</v>
      </c>
      <c r="F10174" t="s">
        <v>42</v>
      </c>
      <c r="G10174">
        <v>-186.3698</v>
      </c>
      <c r="H10174" s="1">
        <v>-1.7345329999999999E-6</v>
      </c>
      <c r="I10174">
        <v>21.906700000000001</v>
      </c>
      <c r="J10174">
        <v>-187.1567</v>
      </c>
      <c r="K10174">
        <v>1.1102909999999999</v>
      </c>
      <c r="L10174">
        <v>-10.47803</v>
      </c>
      <c r="M10174">
        <v>-1.6209540000000001E-2</v>
      </c>
      <c r="N10174">
        <v>0</v>
      </c>
      <c r="O10174">
        <v>0.99985310000000005</v>
      </c>
      <c r="P10174">
        <v>-5.4401930000000001E-2</v>
      </c>
      <c r="Q10174">
        <v>4.0409979999999998E-2</v>
      </c>
      <c r="R10174">
        <v>0.99770110000000001</v>
      </c>
      <c r="S10174">
        <v>7.1899409999999997E-2</v>
      </c>
      <c r="T10174">
        <v>-0.1022522</v>
      </c>
      <c r="U10174">
        <v>3.0152890000000001</v>
      </c>
      <c r="V10174">
        <v>-3.830393E-2</v>
      </c>
      <c r="W10174">
        <v>4.589787E-2</v>
      </c>
      <c r="X10174">
        <v>0.99821150000000003</v>
      </c>
      <c r="Y10174">
        <v>4.0026550000000001E-2</v>
      </c>
      <c r="Z10174">
        <v>-3.3866710000000001E-2</v>
      </c>
      <c r="AA10174">
        <v>0.99862450000000003</v>
      </c>
      <c r="AB10174">
        <v>35</v>
      </c>
      <c r="AC10174">
        <v>0.78690000000000204</v>
      </c>
      <c r="AD10174">
        <v>-1.11029273453299</v>
      </c>
      <c r="AE10174">
        <v>32.384729999999998</v>
      </c>
      <c r="AF10174">
        <v>1.31020719229148</v>
      </c>
      <c r="AG10174">
        <v>-1.11029273453299</v>
      </c>
      <c r="AH10174">
        <v>32.329740853185399</v>
      </c>
      <c r="AI10174">
        <v>91.965310557497503</v>
      </c>
      <c r="AJ10174">
        <v>87.679279720810499</v>
      </c>
      <c r="AK10174">
        <v>32.375322955566197</v>
      </c>
      <c r="AL10174">
        <v>87.369321576528094</v>
      </c>
      <c r="AM10174">
        <v>92.197507545714501</v>
      </c>
      <c r="AN10174">
        <v>1.0000000021281099</v>
      </c>
    </row>
    <row r="10175" spans="1:40" x14ac:dyDescent="0.25">
      <c r="A10175" t="str">
        <f>"20190312150919598"</f>
        <v>20190312150919598</v>
      </c>
      <c r="B10175" t="str">
        <f>"1552374559589879"</f>
        <v>1552374559589879</v>
      </c>
      <c r="C10175" t="s">
        <v>40</v>
      </c>
      <c r="D10175">
        <v>4.7277149999999999</v>
      </c>
      <c r="E10175">
        <v>0.53027829999999998</v>
      </c>
      <c r="F10175" t="s">
        <v>42</v>
      </c>
      <c r="G10175">
        <v>-186.35159999999999</v>
      </c>
      <c r="H10175" s="1">
        <v>-1.8862409999999999E-6</v>
      </c>
      <c r="I10175">
        <v>22.338280000000001</v>
      </c>
      <c r="J10175">
        <v>-187.16329999999999</v>
      </c>
      <c r="K10175">
        <v>1.1102700000000001</v>
      </c>
      <c r="L10175">
        <v>-10.11581</v>
      </c>
      <c r="M10175">
        <v>-1.6917430000000001E-2</v>
      </c>
      <c r="N10175">
        <v>0</v>
      </c>
      <c r="O10175">
        <v>0.99983909999999998</v>
      </c>
      <c r="P10175">
        <v>-5.2687940000000003E-2</v>
      </c>
      <c r="Q10175">
        <v>4.0884530000000002E-2</v>
      </c>
      <c r="R10175">
        <v>0.99777380000000004</v>
      </c>
      <c r="S10175">
        <v>7.3974609999999996E-2</v>
      </c>
      <c r="T10175">
        <v>-0.1020107</v>
      </c>
      <c r="U10175">
        <v>3.0150760000000001</v>
      </c>
      <c r="V10175">
        <v>-3.5875799999999999E-2</v>
      </c>
      <c r="W10175">
        <v>4.6772399999999999E-2</v>
      </c>
      <c r="X10175">
        <v>0.99826110000000001</v>
      </c>
      <c r="Y10175">
        <v>4.1422649999999998E-2</v>
      </c>
      <c r="Z10175">
        <v>-3.3787360000000002E-2</v>
      </c>
      <c r="AA10175">
        <v>0.99857030000000002</v>
      </c>
      <c r="AB10175">
        <v>35</v>
      </c>
      <c r="AC10175">
        <v>0.81170000000000098</v>
      </c>
      <c r="AD10175">
        <v>-1.1102718862409999</v>
      </c>
      <c r="AE10175">
        <v>32.454089999999901</v>
      </c>
      <c r="AF10175">
        <v>1.35904381807581</v>
      </c>
      <c r="AG10175">
        <v>-1.1102718862409999</v>
      </c>
      <c r="AH10175">
        <v>32.397819770458497</v>
      </c>
      <c r="AI10175">
        <v>91.9610324655997</v>
      </c>
      <c r="AJ10175">
        <v>87.597929442674797</v>
      </c>
      <c r="AK10175">
        <v>32.445314448159401</v>
      </c>
      <c r="AL10175">
        <v>87.319160754706004</v>
      </c>
      <c r="AM10175">
        <v>92.058226714005997</v>
      </c>
      <c r="AN10175">
        <v>0.99999997710030397</v>
      </c>
    </row>
    <row r="10176" spans="1:40" x14ac:dyDescent="0.25">
      <c r="A10176" t="str">
        <f>"20190312150919621"</f>
        <v>20190312150919621</v>
      </c>
      <c r="B10176" t="str">
        <f>"1552374559609400"</f>
        <v>1552374559609400</v>
      </c>
      <c r="C10176" t="s">
        <v>40</v>
      </c>
      <c r="D10176">
        <v>4.7008299999999998</v>
      </c>
      <c r="E10176">
        <v>0.52999799999999997</v>
      </c>
      <c r="F10176" t="s">
        <v>42</v>
      </c>
      <c r="G10176">
        <v>-186.2782</v>
      </c>
      <c r="H10176" s="1">
        <v>-2.851133E-6</v>
      </c>
      <c r="I10176">
        <v>24.739899999999999</v>
      </c>
      <c r="J10176">
        <v>-187.16970000000001</v>
      </c>
      <c r="K10176">
        <v>1.1102350000000001</v>
      </c>
      <c r="L10176">
        <v>-9.7648010000000003</v>
      </c>
      <c r="M10176">
        <v>-1.7498219999999998E-2</v>
      </c>
      <c r="N10176">
        <v>0</v>
      </c>
      <c r="O10176">
        <v>0.99982700000000002</v>
      </c>
      <c r="P10176">
        <v>-5.0864380000000001E-2</v>
      </c>
      <c r="Q10176">
        <v>4.130822E-2</v>
      </c>
      <c r="R10176">
        <v>0.99785089999999999</v>
      </c>
      <c r="S10176">
        <v>7.6553339999999998E-2</v>
      </c>
      <c r="T10176">
        <v>-9.6027730000000006E-2</v>
      </c>
      <c r="U10176">
        <v>3.0146790000000001</v>
      </c>
      <c r="V10176">
        <v>-3.3464439999999998E-2</v>
      </c>
      <c r="W10176">
        <v>4.7554020000000002E-2</v>
      </c>
      <c r="X10176">
        <v>0.99830790000000003</v>
      </c>
      <c r="Y10176">
        <v>4.2861539999999997E-2</v>
      </c>
      <c r="Z10176">
        <v>-3.181018E-2</v>
      </c>
      <c r="AA10176">
        <v>0.99857450000000003</v>
      </c>
      <c r="AB10176">
        <v>35</v>
      </c>
      <c r="AC10176">
        <v>0.89150000000000695</v>
      </c>
      <c r="AD10176">
        <v>-1.110237851133</v>
      </c>
      <c r="AE10176">
        <v>34.504700999999997</v>
      </c>
      <c r="AF10176">
        <v>1.49360103345457</v>
      </c>
      <c r="AG10176">
        <v>-1.110237851133</v>
      </c>
      <c r="AH10176">
        <v>34.448176784941403</v>
      </c>
      <c r="AI10176">
        <v>91.844227807325197</v>
      </c>
      <c r="AJ10176">
        <v>87.517329559546795</v>
      </c>
      <c r="AK10176">
        <v>34.498410919052503</v>
      </c>
      <c r="AL10176">
        <v>87.274327283507603</v>
      </c>
      <c r="AM10176">
        <v>91.919902162981799</v>
      </c>
      <c r="AN10176">
        <v>0.99999995838254097</v>
      </c>
    </row>
    <row r="10177" spans="1:40" x14ac:dyDescent="0.25">
      <c r="A10177" t="str">
        <f>"20190312150919641"</f>
        <v>20190312150919641</v>
      </c>
      <c r="B10177" t="str">
        <f>"1552374559629895"</f>
        <v>1552374559629895</v>
      </c>
      <c r="C10177" t="s">
        <v>40</v>
      </c>
      <c r="D10177">
        <v>4.7136329999999997</v>
      </c>
      <c r="E10177">
        <v>0.52981210000000001</v>
      </c>
      <c r="F10177" t="s">
        <v>42</v>
      </c>
      <c r="G10177">
        <v>-186.24010000000001</v>
      </c>
      <c r="H10177" s="1">
        <v>-3.1230040000000001E-6</v>
      </c>
      <c r="I10177">
        <v>25.357900000000001</v>
      </c>
      <c r="J10177">
        <v>-187.17590000000001</v>
      </c>
      <c r="K10177">
        <v>1.110185</v>
      </c>
      <c r="L10177">
        <v>-9.4377139999999997</v>
      </c>
      <c r="M10177">
        <v>-1.794658E-2</v>
      </c>
      <c r="N10177">
        <v>0</v>
      </c>
      <c r="O10177">
        <v>0.99981710000000001</v>
      </c>
      <c r="P10177">
        <v>-4.9356079999999997E-2</v>
      </c>
      <c r="Q10177">
        <v>4.142651E-2</v>
      </c>
      <c r="R10177">
        <v>0.99792179999999997</v>
      </c>
      <c r="S10177">
        <v>7.9788209999999998E-2</v>
      </c>
      <c r="T10177">
        <v>-9.5288040000000004E-2</v>
      </c>
      <c r="U10177">
        <v>3.014465</v>
      </c>
      <c r="V10177">
        <v>-3.150058E-2</v>
      </c>
      <c r="W10177">
        <v>4.7976499999999998E-2</v>
      </c>
      <c r="X10177">
        <v>0.99835160000000001</v>
      </c>
      <c r="Y10177">
        <v>4.4382409999999997E-2</v>
      </c>
      <c r="Z10177">
        <v>-3.156577E-2</v>
      </c>
      <c r="AA10177">
        <v>0.99851579999999995</v>
      </c>
      <c r="AB10177">
        <v>35</v>
      </c>
      <c r="AC10177">
        <v>0.93579999999999997</v>
      </c>
      <c r="AD10177">
        <v>-1.110188123004</v>
      </c>
      <c r="AE10177">
        <v>34.795614</v>
      </c>
      <c r="AF10177">
        <v>1.55853975784131</v>
      </c>
      <c r="AG10177">
        <v>-1.110188123004</v>
      </c>
      <c r="AH10177">
        <v>34.737877742098597</v>
      </c>
      <c r="AI10177">
        <v>91.8286549505343</v>
      </c>
      <c r="AJ10177">
        <v>87.431106572748703</v>
      </c>
      <c r="AK10177">
        <v>34.790540580310299</v>
      </c>
      <c r="AL10177">
        <v>87.250093343855198</v>
      </c>
      <c r="AM10177">
        <v>91.807230733673705</v>
      </c>
      <c r="AN10177">
        <v>0.99999997415757202</v>
      </c>
    </row>
    <row r="10178" spans="1:40" x14ac:dyDescent="0.25">
      <c r="A10178" t="str">
        <f>"20190312150919664"</f>
        <v>20190312150919664</v>
      </c>
      <c r="B10178" t="str">
        <f>"1552374559659177"</f>
        <v>1552374559659177</v>
      </c>
      <c r="C10178" t="s">
        <v>40</v>
      </c>
      <c r="D10178">
        <v>4.7466980000000003</v>
      </c>
      <c r="E10178">
        <v>0.52940520000000002</v>
      </c>
      <c r="F10178" t="s">
        <v>42</v>
      </c>
      <c r="G10178">
        <v>-186.22630000000001</v>
      </c>
      <c r="H10178" s="1">
        <v>-3.0392239999999999E-6</v>
      </c>
      <c r="I10178">
        <v>25.156929999999999</v>
      </c>
      <c r="J10178">
        <v>-187.18260000000001</v>
      </c>
      <c r="K10178">
        <v>1.1101209999999999</v>
      </c>
      <c r="L10178">
        <v>-9.0852050000000002</v>
      </c>
      <c r="M10178">
        <v>-1.8342540000000001E-2</v>
      </c>
      <c r="N10178">
        <v>0</v>
      </c>
      <c r="O10178">
        <v>0.99980800000000003</v>
      </c>
      <c r="P10178">
        <v>-4.8367069999999998E-2</v>
      </c>
      <c r="Q10178">
        <v>4.1482980000000003E-2</v>
      </c>
      <c r="R10178">
        <v>0.99796779999999996</v>
      </c>
      <c r="S10178">
        <v>8.2733150000000005E-2</v>
      </c>
      <c r="T10178">
        <v>-9.6734290000000001E-2</v>
      </c>
      <c r="U10178">
        <v>3.0143430000000002</v>
      </c>
      <c r="V10178">
        <v>-3.010759E-2</v>
      </c>
      <c r="W10178">
        <v>4.8329419999999998E-2</v>
      </c>
      <c r="X10178">
        <v>0.99837759999999998</v>
      </c>
      <c r="Y10178">
        <v>4.5753509999999997E-2</v>
      </c>
      <c r="Z10178">
        <v>-3.20439E-2</v>
      </c>
      <c r="AA10178">
        <v>0.99843870000000001</v>
      </c>
      <c r="AB10178">
        <v>35</v>
      </c>
      <c r="AC10178">
        <v>0.95629999999999804</v>
      </c>
      <c r="AD10178">
        <v>-1.1101240392239999</v>
      </c>
      <c r="AE10178">
        <v>34.242134999999998</v>
      </c>
      <c r="AF10178">
        <v>1.5825796926150999</v>
      </c>
      <c r="AG10178">
        <v>-1.1101240392239999</v>
      </c>
      <c r="AH10178">
        <v>34.182932688516999</v>
      </c>
      <c r="AI10178">
        <v>91.858093605253501</v>
      </c>
      <c r="AJ10178">
        <v>87.349249246834304</v>
      </c>
      <c r="AK10178">
        <v>34.237549869311998</v>
      </c>
      <c r="AL10178">
        <v>87.229849148773397</v>
      </c>
      <c r="AM10178">
        <v>91.727317598174395</v>
      </c>
      <c r="AN10178">
        <v>1.00000001599745</v>
      </c>
    </row>
    <row r="10179" spans="1:40" x14ac:dyDescent="0.25">
      <c r="A10179" t="str">
        <f>"20190312150919684"</f>
        <v>20190312150919684</v>
      </c>
      <c r="B10179" t="str">
        <f>"1552374559679671"</f>
        <v>1552374559679671</v>
      </c>
      <c r="C10179" t="s">
        <v>40</v>
      </c>
      <c r="D10179">
        <v>4.7412890000000001</v>
      </c>
      <c r="E10179">
        <v>0.52918569999999998</v>
      </c>
      <c r="F10179" t="s">
        <v>42</v>
      </c>
      <c r="G10179">
        <v>-186.2458</v>
      </c>
      <c r="H10179" s="1">
        <v>-3.0017559999999998E-6</v>
      </c>
      <c r="I10179">
        <v>25.07761</v>
      </c>
      <c r="J10179">
        <v>-187.18879999999999</v>
      </c>
      <c r="K10179">
        <v>1.1100570000000001</v>
      </c>
      <c r="L10179">
        <v>-8.7608339999999991</v>
      </c>
      <c r="M10179">
        <v>-1.863418E-2</v>
      </c>
      <c r="N10179">
        <v>0</v>
      </c>
      <c r="O10179">
        <v>0.99980100000000005</v>
      </c>
      <c r="P10179">
        <v>-4.6944630000000001E-2</v>
      </c>
      <c r="Q10179">
        <v>4.169548E-2</v>
      </c>
      <c r="R10179">
        <v>0.99802690000000005</v>
      </c>
      <c r="S10179">
        <v>8.2656859999999999E-2</v>
      </c>
      <c r="T10179">
        <v>-9.7946409999999998E-2</v>
      </c>
      <c r="U10179">
        <v>3.0141909999999998</v>
      </c>
      <c r="V10179">
        <v>-2.8385939999999998E-2</v>
      </c>
      <c r="W10179">
        <v>4.8786160000000002E-2</v>
      </c>
      <c r="X10179">
        <v>0.99840580000000001</v>
      </c>
      <c r="Y10179">
        <v>4.6020709999999999E-2</v>
      </c>
      <c r="Z10179">
        <v>-3.244619E-2</v>
      </c>
      <c r="AA10179">
        <v>0.99841340000000001</v>
      </c>
      <c r="AB10179">
        <v>35</v>
      </c>
      <c r="AC10179">
        <v>0.94299999999998296</v>
      </c>
      <c r="AD10179">
        <v>-1.1100600017560001</v>
      </c>
      <c r="AE10179">
        <v>33.838444000000003</v>
      </c>
      <c r="AF10179">
        <v>1.5717138228473999</v>
      </c>
      <c r="AG10179">
        <v>-1.1100600017560001</v>
      </c>
      <c r="AH10179">
        <v>33.7786731533905</v>
      </c>
      <c r="AI10179">
        <v>91.880186590307602</v>
      </c>
      <c r="AJ10179">
        <v>87.335962131582207</v>
      </c>
      <c r="AK10179">
        <v>33.833434315067898</v>
      </c>
      <c r="AL10179">
        <v>87.203648912928799</v>
      </c>
      <c r="AM10179">
        <v>91.6285527859025</v>
      </c>
      <c r="AN10179">
        <v>0.99999999623543401</v>
      </c>
    </row>
    <row r="10180" spans="1:40" x14ac:dyDescent="0.25">
      <c r="A10180" t="str">
        <f>"20190312150919698"</f>
        <v>20190312150919698</v>
      </c>
      <c r="B10180" t="str">
        <f>"1552374559689431"</f>
        <v>1552374559689431</v>
      </c>
      <c r="C10180" t="s">
        <v>40</v>
      </c>
      <c r="D10180">
        <v>4.7257699999999998</v>
      </c>
      <c r="E10180">
        <v>0.52914349999999999</v>
      </c>
      <c r="F10180" t="s">
        <v>42</v>
      </c>
      <c r="G10180">
        <v>-186.24529999999999</v>
      </c>
      <c r="H10180" s="1">
        <v>-2.8141849999999999E-6</v>
      </c>
      <c r="I10180">
        <v>24.64019</v>
      </c>
      <c r="J10180">
        <v>-187.19309999999999</v>
      </c>
      <c r="K10180">
        <v>1.11002</v>
      </c>
      <c r="L10180">
        <v>-8.5374759999999998</v>
      </c>
      <c r="M10180">
        <v>-1.8796230000000001E-2</v>
      </c>
      <c r="N10180">
        <v>0</v>
      </c>
      <c r="O10180">
        <v>0.99979689999999999</v>
      </c>
      <c r="P10180">
        <v>-4.6430680000000002E-2</v>
      </c>
      <c r="Q10180">
        <v>4.184189E-2</v>
      </c>
      <c r="R10180">
        <v>0.99804479999999995</v>
      </c>
      <c r="S10180">
        <v>8.5144040000000004E-2</v>
      </c>
      <c r="T10180">
        <v>-0.1001725</v>
      </c>
      <c r="U10180">
        <v>3.0141300000000002</v>
      </c>
      <c r="V10180">
        <v>-2.7705219999999999E-2</v>
      </c>
      <c r="W10180">
        <v>4.9083359999999999E-2</v>
      </c>
      <c r="X10180">
        <v>0.99841029999999997</v>
      </c>
      <c r="Y10180">
        <v>4.7005720000000001E-2</v>
      </c>
      <c r="Z10180">
        <v>-3.3182199999999898E-2</v>
      </c>
      <c r="AA10180">
        <v>0.99834330000000004</v>
      </c>
      <c r="AB10180">
        <v>35</v>
      </c>
      <c r="AC10180">
        <v>0.94779999999999998</v>
      </c>
      <c r="AD10180">
        <v>-1.1100228141849999</v>
      </c>
      <c r="AE10180">
        <v>33.177665999999903</v>
      </c>
      <c r="AF10180">
        <v>1.5695086500869599</v>
      </c>
      <c r="AG10180">
        <v>-1.1100228141849999</v>
      </c>
      <c r="AH10180">
        <v>33.116949066921102</v>
      </c>
      <c r="AI10180">
        <v>91.917585936514797</v>
      </c>
      <c r="AJ10180">
        <v>87.286616452470994</v>
      </c>
      <c r="AK10180">
        <v>33.172696959272898</v>
      </c>
      <c r="AL10180">
        <v>87.186600027665307</v>
      </c>
      <c r="AM10180">
        <v>91.589511767334599</v>
      </c>
      <c r="AN10180">
        <v>0.99999994129511205</v>
      </c>
    </row>
    <row r="10181" spans="1:40" x14ac:dyDescent="0.25">
      <c r="A10181" t="str">
        <f>"20190312150919718"</f>
        <v>20190312150919718</v>
      </c>
      <c r="B10181" t="str">
        <f>"1552374559709927"</f>
        <v>1552374559709927</v>
      </c>
      <c r="C10181" t="s">
        <v>40</v>
      </c>
      <c r="D10181">
        <v>4.7376120000000004</v>
      </c>
      <c r="E10181">
        <v>0.5290222</v>
      </c>
      <c r="F10181" t="s">
        <v>42</v>
      </c>
      <c r="G10181">
        <v>-186.24260000000001</v>
      </c>
      <c r="H10181" s="1">
        <v>-2.8401830000000001E-6</v>
      </c>
      <c r="I10181">
        <v>24.699680000000001</v>
      </c>
      <c r="J10181">
        <v>-187.19929999999999</v>
      </c>
      <c r="K10181">
        <v>1.109961</v>
      </c>
      <c r="L10181">
        <v>-8.2190860000000008</v>
      </c>
      <c r="M10181">
        <v>-1.899557E-2</v>
      </c>
      <c r="N10181">
        <v>0</v>
      </c>
      <c r="O10181">
        <v>0.99979169999999995</v>
      </c>
      <c r="P10181">
        <v>-4.4709720000000001E-2</v>
      </c>
      <c r="Q10181">
        <v>4.1824430000000003E-2</v>
      </c>
      <c r="R10181">
        <v>0.99812409999999996</v>
      </c>
      <c r="S10181">
        <v>8.6196899999999896E-2</v>
      </c>
      <c r="T10181">
        <v>-0.100662</v>
      </c>
      <c r="U10181">
        <v>3.0140989999999999</v>
      </c>
      <c r="V10181">
        <v>-2.5777769999999998E-2</v>
      </c>
      <c r="W10181">
        <v>4.9264339999999997E-2</v>
      </c>
      <c r="X10181">
        <v>0.99845309999999998</v>
      </c>
      <c r="Y10181">
        <v>4.7553489999999997E-2</v>
      </c>
      <c r="Z10181">
        <v>-3.3343699999999997E-2</v>
      </c>
      <c r="AA10181">
        <v>0.99831199999999998</v>
      </c>
      <c r="AB10181">
        <v>35</v>
      </c>
      <c r="AC10181">
        <v>0.95669999999998301</v>
      </c>
      <c r="AD10181">
        <v>-1.1099638401830001</v>
      </c>
      <c r="AE10181">
        <v>32.918765999999998</v>
      </c>
      <c r="AF10181">
        <v>1.5800606290088901</v>
      </c>
      <c r="AG10181">
        <v>-1.1099638401830001</v>
      </c>
      <c r="AH10181">
        <v>32.8573278134715</v>
      </c>
      <c r="AI10181">
        <v>91.9325596508166</v>
      </c>
      <c r="AJ10181">
        <v>87.246851045566103</v>
      </c>
      <c r="AK10181">
        <v>32.914018325931899</v>
      </c>
      <c r="AL10181">
        <v>87.176218329974702</v>
      </c>
      <c r="AM10181">
        <v>91.478917137055205</v>
      </c>
      <c r="AN10181">
        <v>1.0000000307607</v>
      </c>
    </row>
    <row r="10182" spans="1:40" x14ac:dyDescent="0.25">
      <c r="A10182" t="str">
        <f>"20190312150919741"</f>
        <v>20190312150919741</v>
      </c>
      <c r="B10182" t="str">
        <f>"1552374559729450"</f>
        <v>1552374559729450</v>
      </c>
      <c r="C10182" t="s">
        <v>40</v>
      </c>
      <c r="D10182">
        <v>4.7336340000000003</v>
      </c>
      <c r="E10182">
        <v>0.52882220000000002</v>
      </c>
      <c r="F10182" t="s">
        <v>42</v>
      </c>
      <c r="G10182">
        <v>-186.2276</v>
      </c>
      <c r="H10182" s="1">
        <v>-2.6348440000000001E-6</v>
      </c>
      <c r="I10182">
        <v>24.21482</v>
      </c>
      <c r="J10182">
        <v>-187.2062</v>
      </c>
      <c r="K10182">
        <v>1.109901</v>
      </c>
      <c r="L10182">
        <v>-7.866333</v>
      </c>
      <c r="M10182">
        <v>-1.9174569999999998E-2</v>
      </c>
      <c r="N10182">
        <v>0</v>
      </c>
      <c r="O10182">
        <v>0.99978679999999998</v>
      </c>
      <c r="P10182">
        <v>-4.2879599999999997E-2</v>
      </c>
      <c r="Q10182">
        <v>4.1818870000000001E-2</v>
      </c>
      <c r="R10182">
        <v>0.9982046</v>
      </c>
      <c r="S10182">
        <v>9.0301510000000001E-2</v>
      </c>
      <c r="T10182">
        <v>-0.1031463</v>
      </c>
      <c r="U10182">
        <v>3.014008</v>
      </c>
      <c r="V10182">
        <v>-2.376122E-2</v>
      </c>
      <c r="W10182">
        <v>4.9454369999999997E-2</v>
      </c>
      <c r="X10182">
        <v>0.99849370000000004</v>
      </c>
      <c r="Y10182">
        <v>4.9090710000000003E-2</v>
      </c>
      <c r="Z10182">
        <v>-3.416458E-2</v>
      </c>
      <c r="AA10182">
        <v>0.99820980000000004</v>
      </c>
      <c r="AB10182">
        <v>35</v>
      </c>
      <c r="AC10182">
        <v>0.97860000000000003</v>
      </c>
      <c r="AD10182">
        <v>-1.1099036348439999</v>
      </c>
      <c r="AE10182">
        <v>32.081153</v>
      </c>
      <c r="AF10182">
        <v>1.5916770778507301</v>
      </c>
      <c r="AG10182">
        <v>-1.1099036348439999</v>
      </c>
      <c r="AH10182">
        <v>32.018201698520301</v>
      </c>
      <c r="AI10182">
        <v>91.982903459003097</v>
      </c>
      <c r="AJ10182">
        <v>87.154076045537707</v>
      </c>
      <c r="AK10182">
        <v>32.076947516961802</v>
      </c>
      <c r="AL10182">
        <v>87.165317037298806</v>
      </c>
      <c r="AM10182">
        <v>91.363214128393295</v>
      </c>
      <c r="AN10182">
        <v>0.99999999961383701</v>
      </c>
    </row>
    <row r="10183" spans="1:40" x14ac:dyDescent="0.25">
      <c r="A10183" t="str">
        <f>"20190312150919762"</f>
        <v>20190312150919762</v>
      </c>
      <c r="B10183" t="str">
        <f>"1552374559759541"</f>
        <v>1552374559759541</v>
      </c>
      <c r="C10183" t="s">
        <v>40</v>
      </c>
      <c r="D10183">
        <v>4.72471</v>
      </c>
      <c r="E10183">
        <v>0.52863149999999903</v>
      </c>
      <c r="F10183" t="s">
        <v>42</v>
      </c>
      <c r="G10183">
        <v>-186.21709999999999</v>
      </c>
      <c r="H10183" s="1">
        <v>-2.4579510000000001E-6</v>
      </c>
      <c r="I10183">
        <v>23.79813</v>
      </c>
      <c r="J10183">
        <v>-187.21289999999999</v>
      </c>
      <c r="K10183">
        <v>1.1098650000000001</v>
      </c>
      <c r="L10183">
        <v>-7.5263369999999998</v>
      </c>
      <c r="M10183">
        <v>-1.9317270000000001E-2</v>
      </c>
      <c r="N10183">
        <v>0</v>
      </c>
      <c r="O10183">
        <v>0.99978279999999997</v>
      </c>
      <c r="P10183">
        <v>-4.1023530000000002E-2</v>
      </c>
      <c r="Q10183">
        <v>4.0789470000000001E-2</v>
      </c>
      <c r="R10183">
        <v>0.99832520000000002</v>
      </c>
      <c r="S10183">
        <v>9.4146729999999998E-2</v>
      </c>
      <c r="T10183">
        <v>-0.10564170000000001</v>
      </c>
      <c r="U10183">
        <v>3.013855</v>
      </c>
      <c r="V10183">
        <v>-2.17562E-2</v>
      </c>
      <c r="W10183">
        <v>4.8590889999999998E-2</v>
      </c>
      <c r="X10183">
        <v>0.99858179999999996</v>
      </c>
      <c r="Y10183">
        <v>5.0506240000000001E-2</v>
      </c>
      <c r="Z10183">
        <v>-3.498983E-2</v>
      </c>
      <c r="AA10183">
        <v>0.99811070000000002</v>
      </c>
      <c r="AB10183">
        <v>35</v>
      </c>
      <c r="AC10183">
        <v>0.99580000000000202</v>
      </c>
      <c r="AD10183">
        <v>-1.1098674579509999</v>
      </c>
      <c r="AE10183">
        <v>31.324466999999999</v>
      </c>
      <c r="AF10183">
        <v>1.59873089193231</v>
      </c>
      <c r="AG10183">
        <v>-1.1098674579509999</v>
      </c>
      <c r="AH10183">
        <v>31.260181144535</v>
      </c>
      <c r="AI10183">
        <v>92.0307344103052</v>
      </c>
      <c r="AJ10183">
        <v>87.072288398875401</v>
      </c>
      <c r="AK10183">
        <v>31.320706751734999</v>
      </c>
      <c r="AL10183">
        <v>87.2148503803826</v>
      </c>
      <c r="AM10183">
        <v>91.248111331237695</v>
      </c>
      <c r="AN10183">
        <v>1.00000000906033</v>
      </c>
    </row>
    <row r="10184" spans="1:40" x14ac:dyDescent="0.25">
      <c r="A10184" t="str">
        <f>"20190312150919777"</f>
        <v>20190312150919777</v>
      </c>
      <c r="B10184" t="str">
        <f>"1552374559769301"</f>
        <v>1552374559769301</v>
      </c>
      <c r="C10184" t="s">
        <v>40</v>
      </c>
      <c r="D10184">
        <v>5.5950040000000003</v>
      </c>
      <c r="E10184">
        <v>0.52856259999999999</v>
      </c>
      <c r="F10184" t="s">
        <v>42</v>
      </c>
      <c r="G10184">
        <v>-186.23779999999999</v>
      </c>
      <c r="H10184" s="1">
        <v>-1.9442080000000002E-6</v>
      </c>
      <c r="I10184">
        <v>22.419630000000002</v>
      </c>
      <c r="J10184">
        <v>-187.2175</v>
      </c>
      <c r="K10184">
        <v>1.1098410000000001</v>
      </c>
      <c r="L10184">
        <v>-7.291595</v>
      </c>
      <c r="M10184">
        <v>-1.9403630000000002E-2</v>
      </c>
      <c r="N10184">
        <v>0</v>
      </c>
      <c r="O10184">
        <v>0.99978040000000001</v>
      </c>
      <c r="P10184">
        <v>-4.0053989999999998E-2</v>
      </c>
      <c r="Q10184">
        <v>4.0452179999999997E-2</v>
      </c>
      <c r="R10184">
        <v>0.99837830000000005</v>
      </c>
      <c r="S10184">
        <v>9.8129270000000005E-2</v>
      </c>
      <c r="T10184">
        <v>-0.1116925</v>
      </c>
      <c r="U10184">
        <v>3.0136409999999998</v>
      </c>
      <c r="V10184">
        <v>-2.0696969999999999E-2</v>
      </c>
      <c r="W10184">
        <v>4.8354189999999998E-2</v>
      </c>
      <c r="X10184">
        <v>0.99861580000000005</v>
      </c>
      <c r="Y10184">
        <v>5.1910009999999999E-2</v>
      </c>
      <c r="Z10184">
        <v>-3.6991679999999999E-2</v>
      </c>
      <c r="AA10184">
        <v>0.99796640000000003</v>
      </c>
      <c r="AB10184">
        <v>35</v>
      </c>
      <c r="AC10184">
        <v>0.97970000000000801</v>
      </c>
      <c r="AD10184">
        <v>-1.109842944208</v>
      </c>
      <c r="AE10184">
        <v>29.711224999999999</v>
      </c>
      <c r="AF10184">
        <v>1.55387338280217</v>
      </c>
      <c r="AG10184">
        <v>-1.109842944208</v>
      </c>
      <c r="AH10184">
        <v>29.645300114554299</v>
      </c>
      <c r="AI10184">
        <v>92.141067303361893</v>
      </c>
      <c r="AJ10184">
        <v>86.999558549270503</v>
      </c>
      <c r="AK10184">
        <v>29.7067348042928</v>
      </c>
      <c r="AL10184">
        <v>87.228428238213695</v>
      </c>
      <c r="AM10184">
        <v>91.187322770665602</v>
      </c>
      <c r="AN10184">
        <v>1.0000000041336801</v>
      </c>
    </row>
    <row r="10185" spans="1:40" x14ac:dyDescent="0.25">
      <c r="A10185" t="str">
        <f>"20190312150919798"</f>
        <v>20190312150919798</v>
      </c>
      <c r="B10185" t="str">
        <f>"1552374559789797"</f>
        <v>1552374559789797</v>
      </c>
      <c r="C10185" t="s">
        <v>40</v>
      </c>
      <c r="D10185">
        <v>4.7587219999999997</v>
      </c>
      <c r="E10185">
        <v>0.52842480000000003</v>
      </c>
      <c r="F10185" t="s">
        <v>42</v>
      </c>
      <c r="G10185">
        <v>-186.22450000000001</v>
      </c>
      <c r="H10185" s="1">
        <v>-1.9731389999999998E-6</v>
      </c>
      <c r="I10185">
        <v>22.494240000000001</v>
      </c>
      <c r="J10185">
        <v>-187.22389999999999</v>
      </c>
      <c r="K10185">
        <v>1.1098059999999901</v>
      </c>
      <c r="L10185">
        <v>-6.9660950000000001</v>
      </c>
      <c r="M10185">
        <v>-1.9515999999999999E-2</v>
      </c>
      <c r="N10185">
        <v>0</v>
      </c>
      <c r="O10185">
        <v>0.99977709999999997</v>
      </c>
      <c r="P10185">
        <v>-3.8551330000000002E-2</v>
      </c>
      <c r="Q10185">
        <v>3.9983850000000001E-2</v>
      </c>
      <c r="R10185">
        <v>0.99845640000000002</v>
      </c>
      <c r="S10185">
        <v>0.10046389999999999</v>
      </c>
      <c r="T10185">
        <v>-0.1122837</v>
      </c>
      <c r="U10185">
        <v>3.013458</v>
      </c>
      <c r="V10185">
        <v>-1.9078250000000001E-2</v>
      </c>
      <c r="W10185">
        <v>4.8013640000000003E-2</v>
      </c>
      <c r="X10185">
        <v>0.99866440000000001</v>
      </c>
      <c r="Y10185">
        <v>5.2796280000000001E-2</v>
      </c>
      <c r="Z10185">
        <v>-3.7187999999999999E-2</v>
      </c>
      <c r="AA10185">
        <v>0.99791260000000004</v>
      </c>
      <c r="AB10185">
        <v>35</v>
      </c>
      <c r="AC10185">
        <v>0.99939999999997997</v>
      </c>
      <c r="AD10185">
        <v>-1.10980797313899</v>
      </c>
      <c r="AE10185">
        <v>29.460335000000001</v>
      </c>
      <c r="AF10185">
        <v>1.5719479709036801</v>
      </c>
      <c r="AG10185">
        <v>-1.10980797313899</v>
      </c>
      <c r="AH10185">
        <v>29.393553690533899</v>
      </c>
      <c r="AI10185">
        <v>92.159198428052903</v>
      </c>
      <c r="AJ10185">
        <v>86.938775480309701</v>
      </c>
      <c r="AK10185">
        <v>29.456471151833</v>
      </c>
      <c r="AL10185">
        <v>87.247962819784405</v>
      </c>
      <c r="AM10185">
        <v>91.094431980556493</v>
      </c>
      <c r="AN10185">
        <v>0.99999993653823305</v>
      </c>
    </row>
    <row r="10186" spans="1:40" x14ac:dyDescent="0.25">
      <c r="A10186" t="str">
        <f>"20190312150919821"</f>
        <v>20190312150919821</v>
      </c>
      <c r="B10186" t="str">
        <f>"1552374559809317"</f>
        <v>1552374559809317</v>
      </c>
      <c r="C10186" t="s">
        <v>40</v>
      </c>
      <c r="D10186">
        <v>4.7510469999999998</v>
      </c>
      <c r="E10186">
        <v>0.52829700000000002</v>
      </c>
      <c r="F10186" t="s">
        <v>42</v>
      </c>
      <c r="G10186">
        <v>-186.1994</v>
      </c>
      <c r="H10186" s="1">
        <v>-2.0609340000000001E-6</v>
      </c>
      <c r="I10186">
        <v>22.732659999999999</v>
      </c>
      <c r="J10186">
        <v>-187.2311</v>
      </c>
      <c r="K10186">
        <v>1.1097809999999999</v>
      </c>
      <c r="L10186">
        <v>-6.6059570000000001</v>
      </c>
      <c r="M10186">
        <v>-1.963463E-2</v>
      </c>
      <c r="N10186">
        <v>0</v>
      </c>
      <c r="O10186">
        <v>0.99977389999999999</v>
      </c>
      <c r="P10186">
        <v>-3.5727469999999997E-2</v>
      </c>
      <c r="Q10186">
        <v>3.942267E-2</v>
      </c>
      <c r="R10186">
        <v>0.99858369999999996</v>
      </c>
      <c r="S10186">
        <v>0.1039429</v>
      </c>
      <c r="T10186">
        <v>-0.11259810000000001</v>
      </c>
      <c r="U10186">
        <v>3.013153</v>
      </c>
      <c r="V10186">
        <v>-1.6131309999999999E-2</v>
      </c>
      <c r="W10186">
        <v>4.7578309999999999E-2</v>
      </c>
      <c r="X10186">
        <v>0.99873719999999999</v>
      </c>
      <c r="Y10186">
        <v>5.406884E-2</v>
      </c>
      <c r="Z10186">
        <v>-3.7293590000000001E-2</v>
      </c>
      <c r="AA10186">
        <v>0.99784050000000002</v>
      </c>
      <c r="AB10186">
        <v>35</v>
      </c>
      <c r="AC10186">
        <v>1.0317000000000001</v>
      </c>
      <c r="AD10186">
        <v>-1.10978306093399</v>
      </c>
      <c r="AE10186">
        <v>29.338616999999999</v>
      </c>
      <c r="AF10186">
        <v>1.6052790879466201</v>
      </c>
      <c r="AG10186">
        <v>-1.10978306093399</v>
      </c>
      <c r="AH10186">
        <v>29.270872292650498</v>
      </c>
      <c r="AI10186">
        <v>92.168031498198999</v>
      </c>
      <c r="AJ10186">
        <v>86.860917876688106</v>
      </c>
      <c r="AK10186">
        <v>29.3358569700152</v>
      </c>
      <c r="AL10186">
        <v>87.272933981845199</v>
      </c>
      <c r="AM10186">
        <v>90.925344145615796</v>
      </c>
      <c r="AN10186">
        <v>0.99999995470430503</v>
      </c>
    </row>
    <row r="10187" spans="1:40" x14ac:dyDescent="0.25">
      <c r="A10187" t="str">
        <f>"20190312150919840"</f>
        <v>20190312150919840</v>
      </c>
      <c r="B10187" t="str">
        <f>"1552374559829813"</f>
        <v>1552374559829813</v>
      </c>
      <c r="C10187" t="s">
        <v>40</v>
      </c>
      <c r="D10187">
        <v>4.7471569999999996</v>
      </c>
      <c r="E10187">
        <v>0.52809849999999903</v>
      </c>
      <c r="F10187" t="s">
        <v>42</v>
      </c>
      <c r="G10187">
        <v>-186.1627</v>
      </c>
      <c r="H10187" s="1">
        <v>-1.9151859999999999E-6</v>
      </c>
      <c r="I10187">
        <v>22.275649999999999</v>
      </c>
      <c r="J10187">
        <v>-187.23750000000001</v>
      </c>
      <c r="K10187">
        <v>1.109766</v>
      </c>
      <c r="L10187">
        <v>-6.2850950000000001</v>
      </c>
      <c r="M10187">
        <v>-1.9739380000000001E-2</v>
      </c>
      <c r="N10187">
        <v>0</v>
      </c>
      <c r="O10187">
        <v>0.99977099999999997</v>
      </c>
      <c r="P10187">
        <v>-3.4733029999999998E-2</v>
      </c>
      <c r="Q10187">
        <v>3.9504810000000001E-2</v>
      </c>
      <c r="R10187">
        <v>0.99861560000000005</v>
      </c>
      <c r="S10187">
        <v>0.1114502</v>
      </c>
      <c r="T10187">
        <v>-0.1157682</v>
      </c>
      <c r="U10187">
        <v>3.0128170000000001</v>
      </c>
      <c r="V10187">
        <v>-1.503059E-2</v>
      </c>
      <c r="W10187">
        <v>4.7756920000000001E-2</v>
      </c>
      <c r="X10187">
        <v>0.99874589999999996</v>
      </c>
      <c r="Y10187">
        <v>5.6658890000000003E-2</v>
      </c>
      <c r="Z10187">
        <v>-3.8341729999999997E-2</v>
      </c>
      <c r="AA10187">
        <v>0.99765709999999996</v>
      </c>
      <c r="AB10187">
        <v>35</v>
      </c>
      <c r="AC10187">
        <v>1.07480000000001</v>
      </c>
      <c r="AD10187">
        <v>-1.109767915186</v>
      </c>
      <c r="AE10187">
        <v>28.560745000000001</v>
      </c>
      <c r="AF10187">
        <v>1.6359147802821401</v>
      </c>
      <c r="AG10187">
        <v>-1.109767915186</v>
      </c>
      <c r="AH10187">
        <v>28.491007748498699</v>
      </c>
      <c r="AI10187">
        <v>92.226965433338606</v>
      </c>
      <c r="AJ10187">
        <v>86.7137628329682</v>
      </c>
      <c r="AK10187">
        <v>28.5595049767837</v>
      </c>
      <c r="AL10187">
        <v>87.262688880305603</v>
      </c>
      <c r="AM10187">
        <v>90.862205655658101</v>
      </c>
      <c r="AN10187">
        <v>1.00000000740522</v>
      </c>
    </row>
    <row r="10188" spans="1:40" x14ac:dyDescent="0.25">
      <c r="A10188" t="str">
        <f>"20190312150919863"</f>
        <v>20190312150919863</v>
      </c>
      <c r="B10188" t="str">
        <f>"1552374559859475"</f>
        <v>1552374559859475</v>
      </c>
      <c r="C10188" t="s">
        <v>40</v>
      </c>
      <c r="D10188">
        <v>4.765822</v>
      </c>
      <c r="E10188">
        <v>0.52782229999999997</v>
      </c>
      <c r="F10188" t="s">
        <v>42</v>
      </c>
      <c r="G10188">
        <v>-186.16030000000001</v>
      </c>
      <c r="H10188" s="1">
        <v>-1.957612E-6</v>
      </c>
      <c r="I10188">
        <v>22.398420000000002</v>
      </c>
      <c r="J10188">
        <v>-187.24459999999999</v>
      </c>
      <c r="K10188">
        <v>1.109756</v>
      </c>
      <c r="L10188">
        <v>-5.9306950000000001</v>
      </c>
      <c r="M10188">
        <v>-1.9856410000000001E-2</v>
      </c>
      <c r="N10188">
        <v>0</v>
      </c>
      <c r="O10188">
        <v>0.99976790000000004</v>
      </c>
      <c r="P10188">
        <v>-3.3506460000000002E-2</v>
      </c>
      <c r="Q10188">
        <v>3.9004160000000003E-2</v>
      </c>
      <c r="R10188">
        <v>0.99867709999999998</v>
      </c>
      <c r="S10188">
        <v>0.11314390000000001</v>
      </c>
      <c r="T10188">
        <v>-0.1165615</v>
      </c>
      <c r="U10188">
        <v>3.0126949999999999</v>
      </c>
      <c r="V10188">
        <v>-1.368452E-2</v>
      </c>
      <c r="W10188">
        <v>4.7351119999999997E-2</v>
      </c>
      <c r="X10188">
        <v>0.99878449999999996</v>
      </c>
      <c r="Y10188">
        <v>5.7336970000000001E-2</v>
      </c>
      <c r="Z10188">
        <v>-3.8604350000000003E-2</v>
      </c>
      <c r="AA10188">
        <v>0.99760819999999995</v>
      </c>
      <c r="AB10188">
        <v>36</v>
      </c>
      <c r="AC10188">
        <v>1.0842999999999801</v>
      </c>
      <c r="AD10188">
        <v>-1.109757957612</v>
      </c>
      <c r="AE10188">
        <v>28.329115000000002</v>
      </c>
      <c r="AF10188">
        <v>1.6441010617245799</v>
      </c>
      <c r="AG10188">
        <v>-1.109757957612</v>
      </c>
      <c r="AH10188">
        <v>28.258696349823101</v>
      </c>
      <c r="AI10188">
        <v>92.245135847718302</v>
      </c>
      <c r="AJ10188">
        <v>86.670264668378493</v>
      </c>
      <c r="AK10188">
        <v>28.328228861281598</v>
      </c>
      <c r="AL10188">
        <v>87.285965647785304</v>
      </c>
      <c r="AM10188">
        <v>90.784970315465102</v>
      </c>
      <c r="AN10188">
        <v>0.99999993604656501</v>
      </c>
    </row>
    <row r="10189" spans="1:40" x14ac:dyDescent="0.25">
      <c r="A10189" t="str">
        <f>"20190312150919885"</f>
        <v>20190312150919885</v>
      </c>
      <c r="B10189" t="str">
        <f>"1552374559879971"</f>
        <v>1552374559879971</v>
      </c>
      <c r="C10189" t="s">
        <v>40</v>
      </c>
      <c r="D10189">
        <v>4.7663580000000003</v>
      </c>
      <c r="E10189">
        <v>0.52774200000000004</v>
      </c>
      <c r="F10189" t="s">
        <v>42</v>
      </c>
      <c r="G10189">
        <v>-186.1824</v>
      </c>
      <c r="H10189" s="1">
        <v>-1.805458E-6</v>
      </c>
      <c r="I10189">
        <v>21.968589999999999</v>
      </c>
      <c r="J10189">
        <v>-187.2518</v>
      </c>
      <c r="K10189">
        <v>1.1097490000000001</v>
      </c>
      <c r="L10189">
        <v>-5.5769039999999999</v>
      </c>
      <c r="M10189">
        <v>-1.9975619999999999E-2</v>
      </c>
      <c r="N10189">
        <v>0</v>
      </c>
      <c r="O10189">
        <v>0.99976480000000001</v>
      </c>
      <c r="P10189">
        <v>-3.2714790000000001E-2</v>
      </c>
      <c r="Q10189">
        <v>3.924913E-2</v>
      </c>
      <c r="R10189">
        <v>0.99869379999999996</v>
      </c>
      <c r="S10189">
        <v>0.11470030000000001</v>
      </c>
      <c r="T10189">
        <v>-0.11982959999999999</v>
      </c>
      <c r="U10189">
        <v>3.0125120000000001</v>
      </c>
      <c r="V10189">
        <v>-1.277323E-2</v>
      </c>
      <c r="W10189">
        <v>4.767834E-2</v>
      </c>
      <c r="X10189">
        <v>0.99878109999999998</v>
      </c>
      <c r="Y10189">
        <v>5.797136E-2</v>
      </c>
      <c r="Z10189">
        <v>-3.9686190000000003E-2</v>
      </c>
      <c r="AA10189">
        <v>0.99752909999999995</v>
      </c>
      <c r="AB10189">
        <v>36</v>
      </c>
      <c r="AC10189">
        <v>1.0693999999999999</v>
      </c>
      <c r="AD10189">
        <v>-1.1097508054580001</v>
      </c>
      <c r="AE10189">
        <v>27.545494000000001</v>
      </c>
      <c r="AF10189">
        <v>1.61682420254931</v>
      </c>
      <c r="AG10189">
        <v>-1.1097508054580001</v>
      </c>
      <c r="AH10189">
        <v>27.474108115776701</v>
      </c>
      <c r="AI10189">
        <v>92.309077767581101</v>
      </c>
      <c r="AJ10189">
        <v>86.632084153314096</v>
      </c>
      <c r="AK10189">
        <v>27.544006319153201</v>
      </c>
      <c r="AL10189">
        <v>87.267196386147901</v>
      </c>
      <c r="AM10189">
        <v>90.732705369153607</v>
      </c>
      <c r="AN10189">
        <v>1.0000000326134899</v>
      </c>
    </row>
    <row r="10190" spans="1:40" x14ac:dyDescent="0.25">
      <c r="A10190" t="str">
        <f>"20190312150919908"</f>
        <v>20190312150919908</v>
      </c>
      <c r="B10190" t="str">
        <f>"1552374559899491"</f>
        <v>1552374559899491</v>
      </c>
      <c r="C10190" t="s">
        <v>40</v>
      </c>
      <c r="D10190">
        <v>4.759004</v>
      </c>
      <c r="E10190">
        <v>0.52746499999999996</v>
      </c>
      <c r="F10190" t="s">
        <v>42</v>
      </c>
      <c r="G10190">
        <v>-186.1771</v>
      </c>
      <c r="H10190" s="1">
        <v>-1.8832860000000001E-6</v>
      </c>
      <c r="I10190">
        <v>22.193180000000002</v>
      </c>
      <c r="J10190">
        <v>-187.2594</v>
      </c>
      <c r="K10190">
        <v>1.1097360000000001</v>
      </c>
      <c r="L10190">
        <v>-5.2029110000000003</v>
      </c>
      <c r="M10190">
        <v>-2.0103079999999999E-2</v>
      </c>
      <c r="N10190">
        <v>0</v>
      </c>
      <c r="O10190">
        <v>0.99976160000000003</v>
      </c>
      <c r="P10190">
        <v>-3.1824760000000001E-2</v>
      </c>
      <c r="Q10190">
        <v>3.9559950000000003E-2</v>
      </c>
      <c r="R10190">
        <v>0.99871030000000005</v>
      </c>
      <c r="S10190">
        <v>0.1165771</v>
      </c>
      <c r="T10190">
        <v>-0.12038509999999999</v>
      </c>
      <c r="U10190">
        <v>3.0124819999999999</v>
      </c>
      <c r="V10190">
        <v>-1.1754769999999999E-2</v>
      </c>
      <c r="W10190">
        <v>4.8065089999999998E-2</v>
      </c>
      <c r="X10190">
        <v>0.99877510000000003</v>
      </c>
      <c r="Y10190">
        <v>5.871929E-2</v>
      </c>
      <c r="Z10190">
        <v>-3.9868779999999999E-2</v>
      </c>
      <c r="AA10190">
        <v>0.99747810000000003</v>
      </c>
      <c r="AB10190">
        <v>36</v>
      </c>
      <c r="AC10190">
        <v>1.0823</v>
      </c>
      <c r="AD10190">
        <v>-1.1097378832860001</v>
      </c>
      <c r="AE10190">
        <v>27.396090999999998</v>
      </c>
      <c r="AF10190">
        <v>1.63017639534486</v>
      </c>
      <c r="AG10190">
        <v>-1.1097378832860001</v>
      </c>
      <c r="AH10190">
        <v>27.324031610413002</v>
      </c>
      <c r="AI10190">
        <v>92.321608289514302</v>
      </c>
      <c r="AJ10190">
        <v>86.5857291719838</v>
      </c>
      <c r="AK10190">
        <v>27.395103516803601</v>
      </c>
      <c r="AL10190">
        <v>87.245011895578997</v>
      </c>
      <c r="AM10190">
        <v>90.674293558635796</v>
      </c>
      <c r="AN10190">
        <v>1.00000006393723</v>
      </c>
    </row>
    <row r="10191" spans="1:40" x14ac:dyDescent="0.25">
      <c r="A10191" t="str">
        <f>"20190312150919930"</f>
        <v>20190312150919930</v>
      </c>
      <c r="B10191" t="str">
        <f>"1552374559919011"</f>
        <v>1552374559919011</v>
      </c>
      <c r="C10191" t="s">
        <v>40</v>
      </c>
      <c r="D10191">
        <v>4.7242739999999896</v>
      </c>
      <c r="E10191">
        <v>0.52730290000000002</v>
      </c>
      <c r="F10191" t="s">
        <v>42</v>
      </c>
      <c r="G10191">
        <v>-186.17140000000001</v>
      </c>
      <c r="H10191" s="1">
        <v>-2.0912080000000002E-6</v>
      </c>
      <c r="I10191">
        <v>22.799720000000001</v>
      </c>
      <c r="J10191">
        <v>-187.26650000000001</v>
      </c>
      <c r="K10191">
        <v>1.1097300000000001</v>
      </c>
      <c r="L10191">
        <v>-4.854279</v>
      </c>
      <c r="M10191">
        <v>-2.0222790000000001E-2</v>
      </c>
      <c r="N10191">
        <v>0</v>
      </c>
      <c r="O10191">
        <v>0.9997587</v>
      </c>
      <c r="P10191">
        <v>-3.1327750000000001E-2</v>
      </c>
      <c r="Q10191">
        <v>3.9628730000000001E-2</v>
      </c>
      <c r="R10191">
        <v>0.99872329999999998</v>
      </c>
      <c r="S10191">
        <v>0.1170349</v>
      </c>
      <c r="T10191">
        <v>-0.119378</v>
      </c>
      <c r="U10191">
        <v>3.0123289999999998</v>
      </c>
      <c r="V10191">
        <v>-1.113747E-2</v>
      </c>
      <c r="W10191">
        <v>4.8195109999999999E-2</v>
      </c>
      <c r="X10191">
        <v>0.99877579999999999</v>
      </c>
      <c r="Y10191">
        <v>5.8992650000000001E-2</v>
      </c>
      <c r="Z10191">
        <v>-3.9537179999999998E-2</v>
      </c>
      <c r="AA10191">
        <v>0.99747509999999995</v>
      </c>
      <c r="AB10191">
        <v>36</v>
      </c>
      <c r="AC10191">
        <v>1.0951</v>
      </c>
      <c r="AD10191">
        <v>-1.109732091208</v>
      </c>
      <c r="AE10191">
        <v>27.653998999999999</v>
      </c>
      <c r="AF10191">
        <v>1.65148232270915</v>
      </c>
      <c r="AG10191">
        <v>-1.109732091208</v>
      </c>
      <c r="AH10191">
        <v>27.5818496053625</v>
      </c>
      <c r="AI10191">
        <v>92.299889371684998</v>
      </c>
      <c r="AJ10191">
        <v>86.5734664843595</v>
      </c>
      <c r="AK10191">
        <v>27.653522864714901</v>
      </c>
      <c r="AL10191">
        <v>87.237553354827099</v>
      </c>
      <c r="AM10191">
        <v>90.638885701343696</v>
      </c>
      <c r="AN10191">
        <v>0.99999995526577501</v>
      </c>
    </row>
    <row r="10192" spans="1:40" x14ac:dyDescent="0.25">
      <c r="A10192" t="str">
        <f>"20190312150919952"</f>
        <v>20190312150919952</v>
      </c>
      <c r="B10192" t="str">
        <f>"1552374559949268"</f>
        <v>1552374559949268</v>
      </c>
      <c r="C10192" t="s">
        <v>40</v>
      </c>
      <c r="D10192">
        <v>5.749492</v>
      </c>
      <c r="E10192">
        <v>0.52707469999999901</v>
      </c>
      <c r="F10192" t="s">
        <v>42</v>
      </c>
      <c r="G10192">
        <v>-186.1738</v>
      </c>
      <c r="H10192" s="1">
        <v>-2.2456889999999999E-6</v>
      </c>
      <c r="I10192">
        <v>23.255510000000001</v>
      </c>
      <c r="J10192">
        <v>-187.27369999999999</v>
      </c>
      <c r="K10192">
        <v>1.109726</v>
      </c>
      <c r="L10192">
        <v>-4.5054930000000004</v>
      </c>
      <c r="M10192">
        <v>-2.03418E-2</v>
      </c>
      <c r="N10192">
        <v>0</v>
      </c>
      <c r="O10192">
        <v>0.99975579999999997</v>
      </c>
      <c r="P10192">
        <v>-3.1263659999999999E-2</v>
      </c>
      <c r="Q10192">
        <v>3.9893640000000001E-2</v>
      </c>
      <c r="R10192">
        <v>0.99871469999999996</v>
      </c>
      <c r="S10192">
        <v>0.1170959</v>
      </c>
      <c r="T10192">
        <v>-0.1189186</v>
      </c>
      <c r="U10192">
        <v>3.012238</v>
      </c>
      <c r="V10192">
        <v>-1.095395E-2</v>
      </c>
      <c r="W10192">
        <v>4.8515170000000003E-2</v>
      </c>
      <c r="X10192">
        <v>0.99876240000000005</v>
      </c>
      <c r="Y10192">
        <v>5.9133089999999999E-2</v>
      </c>
      <c r="Z10192">
        <v>-3.9386150000000002E-2</v>
      </c>
      <c r="AA10192">
        <v>0.99747280000000005</v>
      </c>
      <c r="AB10192">
        <v>36</v>
      </c>
      <c r="AC10192">
        <v>1.0998999999999901</v>
      </c>
      <c r="AD10192">
        <v>-1.1097282456890001</v>
      </c>
      <c r="AE10192">
        <v>27.761002999999999</v>
      </c>
      <c r="AF10192">
        <v>1.6617509864065301</v>
      </c>
      <c r="AG10192">
        <v>-1.1097282456890001</v>
      </c>
      <c r="AH10192">
        <v>27.688707797907998</v>
      </c>
      <c r="AI10192">
        <v>92.290995915561496</v>
      </c>
      <c r="AJ10192">
        <v>86.565486092906099</v>
      </c>
      <c r="AK10192">
        <v>27.760717797600901</v>
      </c>
      <c r="AL10192">
        <v>87.219193973312798</v>
      </c>
      <c r="AM10192">
        <v>90.628367609010198</v>
      </c>
      <c r="AN10192">
        <v>1.00000002119724</v>
      </c>
    </row>
    <row r="10193" spans="1:40" x14ac:dyDescent="0.25">
      <c r="A10193" t="str">
        <f>"20190312150919975"</f>
        <v>20190312150919975</v>
      </c>
      <c r="B10193" t="str">
        <f>"1552374559969292"</f>
        <v>1552374559969292</v>
      </c>
      <c r="C10193" t="s">
        <v>40</v>
      </c>
      <c r="D10193">
        <v>4.7531100000000004</v>
      </c>
      <c r="E10193">
        <v>0.52691790000000005</v>
      </c>
      <c r="F10193" t="s">
        <v>42</v>
      </c>
      <c r="G10193">
        <v>-186.18600000000001</v>
      </c>
      <c r="H10193" s="1">
        <v>-2.487511E-6</v>
      </c>
      <c r="I10193">
        <v>23.854189999999999</v>
      </c>
      <c r="J10193">
        <v>-187.28120000000001</v>
      </c>
      <c r="K10193">
        <v>1.109721</v>
      </c>
      <c r="L10193">
        <v>-4.1407170000000004</v>
      </c>
      <c r="M10193">
        <v>-2.046019E-2</v>
      </c>
      <c r="N10193">
        <v>0</v>
      </c>
      <c r="O10193">
        <v>0.99975290000000006</v>
      </c>
      <c r="P10193">
        <v>-3.098095E-2</v>
      </c>
      <c r="Q10193">
        <v>4.0330860000000003E-2</v>
      </c>
      <c r="R10193">
        <v>0.99870599999999998</v>
      </c>
      <c r="S10193">
        <v>0.1155243</v>
      </c>
      <c r="T10193">
        <v>-0.117867899999999</v>
      </c>
      <c r="U10193">
        <v>3.0121769999999999</v>
      </c>
      <c r="V10193">
        <v>-1.0553170000000001E-2</v>
      </c>
      <c r="W10193">
        <v>4.9002869999999997E-2</v>
      </c>
      <c r="X10193">
        <v>0.99874289999999999</v>
      </c>
      <c r="Y10193">
        <v>5.8732920000000001E-2</v>
      </c>
      <c r="Z10193">
        <v>-3.9040209999999999E-2</v>
      </c>
      <c r="AA10193">
        <v>0.99751009999999996</v>
      </c>
      <c r="AB10193">
        <v>36</v>
      </c>
      <c r="AC10193">
        <v>1.0952000000000299</v>
      </c>
      <c r="AD10193">
        <v>-1.109723487511</v>
      </c>
      <c r="AE10193">
        <v>27.994907000000001</v>
      </c>
      <c r="AF10193">
        <v>1.6651609247506001</v>
      </c>
      <c r="AG10193">
        <v>-1.109723487511</v>
      </c>
      <c r="AH10193">
        <v>27.922828150657399</v>
      </c>
      <c r="AI10193">
        <v>92.271848981325405</v>
      </c>
      <c r="AJ10193">
        <v>86.587242654524601</v>
      </c>
      <c r="AK10193">
        <v>27.994438359345502</v>
      </c>
      <c r="AL10193">
        <v>87.191217529938299</v>
      </c>
      <c r="AM10193">
        <v>90.605390636438699</v>
      </c>
      <c r="AN10193">
        <v>1.0000000154828399</v>
      </c>
    </row>
    <row r="10194" spans="1:40" x14ac:dyDescent="0.25">
      <c r="A10194" t="str">
        <f>"20190312150919999"</f>
        <v>20190312150919999</v>
      </c>
      <c r="B10194" t="str">
        <f>"1552374559989789"</f>
        <v>1552374559989789</v>
      </c>
      <c r="C10194" t="s">
        <v>40</v>
      </c>
      <c r="D10194">
        <v>4.7080270000000004</v>
      </c>
      <c r="E10194">
        <v>0.52676259999999997</v>
      </c>
      <c r="F10194" t="s">
        <v>42</v>
      </c>
      <c r="G10194">
        <v>-186.17449999999999</v>
      </c>
      <c r="H10194" s="1">
        <v>-2.9284289999999999E-6</v>
      </c>
      <c r="I10194">
        <v>24.877220000000001</v>
      </c>
      <c r="J10194">
        <v>-187.2895</v>
      </c>
      <c r="K10194">
        <v>1.1097079999999999</v>
      </c>
      <c r="L10194">
        <v>-3.7411799999999999</v>
      </c>
      <c r="M10194">
        <v>-2.057413E-2</v>
      </c>
      <c r="N10194">
        <v>0</v>
      </c>
      <c r="O10194">
        <v>0.99975020000000003</v>
      </c>
      <c r="P10194">
        <v>-3.102158E-2</v>
      </c>
      <c r="Q10194">
        <v>4.0267570000000003E-2</v>
      </c>
      <c r="R10194">
        <v>0.99870720000000002</v>
      </c>
      <c r="S10194">
        <v>0.114883399999999</v>
      </c>
      <c r="T10194">
        <v>-0.1151915</v>
      </c>
      <c r="U10194">
        <v>3.0121150000000001</v>
      </c>
      <c r="V10194">
        <v>-1.0478410000000001E-2</v>
      </c>
      <c r="W10194">
        <v>4.8988579999999997E-2</v>
      </c>
      <c r="X10194">
        <v>0.99874439999999998</v>
      </c>
      <c r="Y10194">
        <v>5.8636870000000001E-2</v>
      </c>
      <c r="Z10194">
        <v>-3.8155920000000003E-2</v>
      </c>
      <c r="AA10194">
        <v>0.99754989999999999</v>
      </c>
      <c r="AB10194">
        <v>36</v>
      </c>
      <c r="AC10194">
        <v>1.115</v>
      </c>
      <c r="AD10194">
        <v>-1.1097109284290001</v>
      </c>
      <c r="AE10194">
        <v>28.618400000000001</v>
      </c>
      <c r="AF10194">
        <v>1.70103132445071</v>
      </c>
      <c r="AG10194">
        <v>-1.1097109284290001</v>
      </c>
      <c r="AH10194">
        <v>28.546543654586699</v>
      </c>
      <c r="AI10194">
        <v>92.222242502923606</v>
      </c>
      <c r="AJ10194">
        <v>86.589891638171494</v>
      </c>
      <c r="AK10194">
        <v>28.618702285999301</v>
      </c>
      <c r="AL10194">
        <v>87.192037304311299</v>
      </c>
      <c r="AM10194">
        <v>90.601101385171006</v>
      </c>
      <c r="AN10194">
        <v>1.00000002728895</v>
      </c>
    </row>
    <row r="10195" spans="1:40" x14ac:dyDescent="0.25">
      <c r="A10195" t="str">
        <f>"20190312150920022"</f>
        <v>20190312150920022</v>
      </c>
      <c r="B10195" t="str">
        <f>"1552374560019070"</f>
        <v>1552374560019070</v>
      </c>
      <c r="C10195" t="s">
        <v>40</v>
      </c>
      <c r="D10195">
        <v>4.7100739999999996</v>
      </c>
      <c r="E10195">
        <v>0.52648660000000003</v>
      </c>
      <c r="F10195" t="s">
        <v>42</v>
      </c>
      <c r="G10195">
        <v>-186.20320000000001</v>
      </c>
      <c r="H10195" s="1">
        <v>-2.9908510000000002E-6</v>
      </c>
      <c r="I10195">
        <v>25.034610000000001</v>
      </c>
      <c r="J10195">
        <v>-187.297</v>
      </c>
      <c r="K10195">
        <v>1.1096950000000001</v>
      </c>
      <c r="L10195">
        <v>-3.3815919999999999</v>
      </c>
      <c r="M10195">
        <v>-2.065324E-2</v>
      </c>
      <c r="N10195">
        <v>0</v>
      </c>
      <c r="O10195">
        <v>0.99974819999999998</v>
      </c>
      <c r="P10195">
        <v>-3.0460649999999999E-2</v>
      </c>
      <c r="Q10195">
        <v>3.9706199999999997E-2</v>
      </c>
      <c r="R10195">
        <v>0.99874700000000005</v>
      </c>
      <c r="S10195">
        <v>0.1137085</v>
      </c>
      <c r="T10195">
        <v>-0.1161582</v>
      </c>
      <c r="U10195">
        <v>3.0120849999999999</v>
      </c>
      <c r="V10195">
        <v>-9.835735E-3</v>
      </c>
      <c r="W10195">
        <v>4.8466589999999997E-2</v>
      </c>
      <c r="X10195">
        <v>0.99877640000000001</v>
      </c>
      <c r="Y10195">
        <v>5.8327219999999999E-2</v>
      </c>
      <c r="Z10195">
        <v>-3.8476580000000003E-2</v>
      </c>
      <c r="AA10195">
        <v>0.99755570000000005</v>
      </c>
      <c r="AB10195">
        <v>36</v>
      </c>
      <c r="AC10195">
        <v>1.0937999999999799</v>
      </c>
      <c r="AD10195">
        <v>-1.1096979908509901</v>
      </c>
      <c r="AE10195">
        <v>28.416201999999998</v>
      </c>
      <c r="AF10195">
        <v>1.67792081510804</v>
      </c>
      <c r="AG10195">
        <v>-1.1096979908509901</v>
      </c>
      <c r="AH10195">
        <v>28.3443869430319</v>
      </c>
      <c r="AI10195">
        <v>92.238101419559399</v>
      </c>
      <c r="AJ10195">
        <v>86.612178760201502</v>
      </c>
      <c r="AK10195">
        <v>28.415684385018501</v>
      </c>
      <c r="AL10195">
        <v>87.221980689931002</v>
      </c>
      <c r="AM10195">
        <v>90.564218265084406</v>
      </c>
      <c r="AN10195">
        <v>1.00000002461308</v>
      </c>
    </row>
    <row r="10196" spans="1:40" x14ac:dyDescent="0.25">
      <c r="A10196" t="str">
        <f>"20190312150920042"</f>
        <v>20190312150920042</v>
      </c>
      <c r="B10196" t="str">
        <f>"1552374560039565"</f>
        <v>1552374560039565</v>
      </c>
      <c r="C10196" t="s">
        <v>40</v>
      </c>
      <c r="D10196">
        <v>4.7792940000000002</v>
      </c>
      <c r="E10196">
        <v>0.5136771</v>
      </c>
      <c r="F10196" t="s">
        <v>42</v>
      </c>
      <c r="G10196">
        <v>-186.2346</v>
      </c>
      <c r="H10196" s="1">
        <v>-2.9147330000000001E-6</v>
      </c>
      <c r="I10196">
        <v>24.870139999999999</v>
      </c>
      <c r="J10196">
        <v>-187.3038</v>
      </c>
      <c r="K10196">
        <v>1.109685</v>
      </c>
      <c r="L10196">
        <v>-3.0539550000000002</v>
      </c>
      <c r="M10196">
        <v>-2.0705080000000001E-2</v>
      </c>
      <c r="N10196">
        <v>0</v>
      </c>
      <c r="O10196">
        <v>0.99974689999999999</v>
      </c>
      <c r="P10196">
        <v>-3.0497509999999999E-2</v>
      </c>
      <c r="Q10196">
        <v>3.9723609999999999E-2</v>
      </c>
      <c r="R10196">
        <v>0.9987452</v>
      </c>
      <c r="S10196">
        <v>0.11326600000000001</v>
      </c>
      <c r="T10196">
        <v>-0.11830540000000001</v>
      </c>
      <c r="U10196">
        <v>3.0119319999999998</v>
      </c>
      <c r="V10196">
        <v>-9.8185660000000008E-3</v>
      </c>
      <c r="W10196">
        <v>4.8516120000000003E-2</v>
      </c>
      <c r="X10196">
        <v>0.9987741</v>
      </c>
      <c r="Y10196">
        <v>5.8233510000000002E-2</v>
      </c>
      <c r="Z10196">
        <v>-3.9188899999999999E-2</v>
      </c>
      <c r="AA10196">
        <v>0.99753349999999996</v>
      </c>
      <c r="AB10196">
        <v>36</v>
      </c>
      <c r="AC10196">
        <v>1.0691999999999899</v>
      </c>
      <c r="AD10196">
        <v>-1.1096879147329901</v>
      </c>
      <c r="AE10196">
        <v>27.924095000000001</v>
      </c>
      <c r="AF10196">
        <v>1.6445704405466499</v>
      </c>
      <c r="AG10196">
        <v>-1.1096879147329901</v>
      </c>
      <c r="AH10196">
        <v>27.852049421444899</v>
      </c>
      <c r="AI10196">
        <v>92.277622360130806</v>
      </c>
      <c r="AJ10196">
        <v>86.620799253202307</v>
      </c>
      <c r="AK10196">
        <v>27.9226194361602</v>
      </c>
      <c r="AL10196">
        <v>87.219139309184698</v>
      </c>
      <c r="AM10196">
        <v>90.563234740985905</v>
      </c>
      <c r="AN10196">
        <v>0.99999996048447903</v>
      </c>
    </row>
    <row r="10197" spans="1:40" x14ac:dyDescent="0.25">
      <c r="A10197" t="str">
        <f>"20190312150920064"</f>
        <v>20190312150920064</v>
      </c>
      <c r="B10197" t="str">
        <f>"1552374560059085"</f>
        <v>1552374560059085</v>
      </c>
      <c r="C10197" t="s">
        <v>40</v>
      </c>
      <c r="D10197">
        <v>4.8000080000000001</v>
      </c>
      <c r="E10197">
        <v>0.5134107</v>
      </c>
      <c r="F10197" t="s">
        <v>42</v>
      </c>
      <c r="G10197">
        <v>-187.18639999999999</v>
      </c>
      <c r="H10197" s="1">
        <v>-4.0944579999999996E-6</v>
      </c>
      <c r="I10197">
        <v>28.01369</v>
      </c>
      <c r="J10197">
        <v>-187.31129999999999</v>
      </c>
      <c r="K10197">
        <v>1.1096729999999999</v>
      </c>
      <c r="L10197">
        <v>-2.6968079999999999</v>
      </c>
      <c r="M10197">
        <v>-2.074208E-2</v>
      </c>
      <c r="N10197">
        <v>0</v>
      </c>
      <c r="O10197">
        <v>0.99974580000000002</v>
      </c>
      <c r="P10197">
        <v>-2.983543E-2</v>
      </c>
      <c r="Q10197">
        <v>3.9341639999999997E-2</v>
      </c>
      <c r="R10197">
        <v>0.99878029999999995</v>
      </c>
      <c r="S10197">
        <v>1.1367800000000001E-2</v>
      </c>
      <c r="T10197">
        <v>-0.1074553</v>
      </c>
      <c r="U10197">
        <v>3.0083920000000002</v>
      </c>
      <c r="V10197">
        <v>-9.1167209999999995E-3</v>
      </c>
      <c r="W10197">
        <v>4.8165590000000001E-2</v>
      </c>
      <c r="X10197">
        <v>0.99879779999999996</v>
      </c>
      <c r="Y10197">
        <v>2.4518180000000001E-2</v>
      </c>
      <c r="Z10197">
        <v>-3.5678729999999999E-2</v>
      </c>
      <c r="AA10197">
        <v>0.99906249999999996</v>
      </c>
      <c r="AB10197">
        <v>36</v>
      </c>
      <c r="AC10197">
        <v>0.124899999999996</v>
      </c>
      <c r="AD10197">
        <v>-1.1096770944579999</v>
      </c>
      <c r="AE10197">
        <v>30.710498000000001</v>
      </c>
      <c r="AF10197">
        <v>0.760904168514137</v>
      </c>
      <c r="AG10197">
        <v>-1.1096770944579999</v>
      </c>
      <c r="AH10197">
        <v>30.661268083371102</v>
      </c>
      <c r="AI10197">
        <v>92.072077805052302</v>
      </c>
      <c r="AJ10197">
        <v>88.578413296410503</v>
      </c>
      <c r="AK10197">
        <v>30.6907757948211</v>
      </c>
      <c r="AL10197">
        <v>87.239246932431598</v>
      </c>
      <c r="AM10197">
        <v>90.522963837663198</v>
      </c>
      <c r="AN10197">
        <v>1.0000000419733299</v>
      </c>
    </row>
    <row r="10198" spans="1:40" x14ac:dyDescent="0.25">
      <c r="A10198" t="str">
        <f>"20190312150920087"</f>
        <v>20190312150920087</v>
      </c>
      <c r="B10198" t="str">
        <f>"1552374560079581"</f>
        <v>1552374560079581</v>
      </c>
      <c r="C10198" t="s">
        <v>40</v>
      </c>
      <c r="D10198">
        <v>5.0136529999999997</v>
      </c>
      <c r="E10198">
        <v>0.51374690000000001</v>
      </c>
      <c r="F10198" t="s">
        <v>42</v>
      </c>
      <c r="G10198">
        <v>-187.19919999999999</v>
      </c>
      <c r="H10198" s="1">
        <v>-3.572466E-6</v>
      </c>
      <c r="I10198">
        <v>26.80219</v>
      </c>
      <c r="J10198">
        <v>-187.31870000000001</v>
      </c>
      <c r="K10198">
        <v>1.109653</v>
      </c>
      <c r="L10198">
        <v>-2.3370359999999999</v>
      </c>
      <c r="M10198">
        <v>-2.0743190000000002E-2</v>
      </c>
      <c r="N10198">
        <v>0</v>
      </c>
      <c r="O10198">
        <v>0.99974549999999995</v>
      </c>
      <c r="P10198">
        <v>-2.8719729999999999E-2</v>
      </c>
      <c r="Q10198">
        <v>3.97425E-2</v>
      </c>
      <c r="R10198">
        <v>0.99879709999999999</v>
      </c>
      <c r="S10198">
        <v>1.1428829999999999E-2</v>
      </c>
      <c r="T10198">
        <v>-0.1131703</v>
      </c>
      <c r="U10198">
        <v>3.0084529999999998</v>
      </c>
      <c r="V10198">
        <v>-7.9963780000000002E-3</v>
      </c>
      <c r="W10198">
        <v>4.8594709999999999E-2</v>
      </c>
      <c r="X10198">
        <v>0.99878659999999997</v>
      </c>
      <c r="Y10198">
        <v>2.4539229999999999E-2</v>
      </c>
      <c r="Z10198">
        <v>-3.7572920000000003E-2</v>
      </c>
      <c r="AA10198">
        <v>0.99899260000000001</v>
      </c>
      <c r="AB10198">
        <v>36</v>
      </c>
      <c r="AC10198">
        <v>0.119500000000016</v>
      </c>
      <c r="AD10198">
        <v>-1.1096565724659999</v>
      </c>
      <c r="AE10198">
        <v>29.139226000000001</v>
      </c>
      <c r="AF10198">
        <v>0.722890258441242</v>
      </c>
      <c r="AG10198">
        <v>-1.1096565724659999</v>
      </c>
      <c r="AH10198">
        <v>29.088294431458898</v>
      </c>
      <c r="AI10198">
        <v>92.183979149356801</v>
      </c>
      <c r="AJ10198">
        <v>88.576402016416196</v>
      </c>
      <c r="AK10198">
        <v>29.118426828484601</v>
      </c>
      <c r="AL10198">
        <v>87.214631310350001</v>
      </c>
      <c r="AM10198">
        <v>90.4587055154947</v>
      </c>
      <c r="AN10198">
        <v>1.00000003012033</v>
      </c>
    </row>
    <row r="10199" spans="1:40" x14ac:dyDescent="0.25">
      <c r="A10199" t="str">
        <f>"20190312150920109"</f>
        <v>20190312150920109</v>
      </c>
      <c r="B10199" t="str">
        <f>"1552374560099101"</f>
        <v>1552374560099101</v>
      </c>
      <c r="C10199" t="s">
        <v>40</v>
      </c>
      <c r="D10199">
        <v>5.0942020000000001</v>
      </c>
      <c r="E10199">
        <v>0.51428909999999906</v>
      </c>
      <c r="F10199" t="s">
        <v>42</v>
      </c>
      <c r="G10199">
        <v>-187.13980000000001</v>
      </c>
      <c r="H10199" s="1">
        <v>-4.2296850000000001E-6</v>
      </c>
      <c r="I10199">
        <v>28.309640000000002</v>
      </c>
      <c r="J10199">
        <v>-187.32660000000001</v>
      </c>
      <c r="K10199">
        <v>1.1096200000000001</v>
      </c>
      <c r="L10199">
        <v>-1.954742</v>
      </c>
      <c r="M10199">
        <v>-2.069083E-2</v>
      </c>
      <c r="N10199">
        <v>0</v>
      </c>
      <c r="O10199">
        <v>0.99974640000000004</v>
      </c>
      <c r="P10199">
        <v>-2.8396810000000001E-2</v>
      </c>
      <c r="Q10199">
        <v>3.948786E-2</v>
      </c>
      <c r="R10199">
        <v>0.9988165</v>
      </c>
      <c r="S10199">
        <v>1.7562870000000001E-2</v>
      </c>
      <c r="T10199">
        <v>-0.10893029999999999</v>
      </c>
      <c r="U10199">
        <v>3.0084529999999998</v>
      </c>
      <c r="V10199">
        <v>-7.7216609999999899E-3</v>
      </c>
      <c r="W10199">
        <v>4.8367519999999997E-2</v>
      </c>
      <c r="X10199">
        <v>0.99879969999999996</v>
      </c>
      <c r="Y10199">
        <v>2.6523959999999999E-2</v>
      </c>
      <c r="Z10199">
        <v>-3.6166089999999998E-2</v>
      </c>
      <c r="AA10199">
        <v>0.99899380000000004</v>
      </c>
      <c r="AB10199">
        <v>36</v>
      </c>
      <c r="AC10199">
        <v>0.18680000000000499</v>
      </c>
      <c r="AD10199">
        <v>-1.1096242296850001</v>
      </c>
      <c r="AE10199">
        <v>30.264382000000001</v>
      </c>
      <c r="AF10199">
        <v>0.81188857390061597</v>
      </c>
      <c r="AG10199">
        <v>-1.1096242296850001</v>
      </c>
      <c r="AH10199">
        <v>30.213423731367701</v>
      </c>
      <c r="AI10199">
        <v>92.102552614230007</v>
      </c>
      <c r="AJ10199">
        <v>88.460730658586002</v>
      </c>
      <c r="AK10199">
        <v>30.2446921386002</v>
      </c>
      <c r="AL10199">
        <v>87.227663415286401</v>
      </c>
      <c r="AM10199">
        <v>90.442941434975694</v>
      </c>
      <c r="AN10199">
        <v>0.99999994087981703</v>
      </c>
    </row>
    <row r="10200" spans="1:40" x14ac:dyDescent="0.25">
      <c r="A10200" t="str">
        <f>"20190312150920131"</f>
        <v>20190312150920131</v>
      </c>
      <c r="B10200" t="str">
        <f>"1552374560119600"</f>
        <v>1552374560119600</v>
      </c>
      <c r="C10200" t="s">
        <v>40</v>
      </c>
      <c r="D10200">
        <v>4.788532</v>
      </c>
      <c r="E10200">
        <v>0.51468309999999995</v>
      </c>
      <c r="F10200" t="s">
        <v>42</v>
      </c>
      <c r="G10200">
        <v>-187.05279999999999</v>
      </c>
      <c r="H10200" s="1">
        <v>-1.9235010000000001E-6</v>
      </c>
      <c r="I10200">
        <v>32.897869999999998</v>
      </c>
      <c r="J10200">
        <v>-187.33359999999999</v>
      </c>
      <c r="K10200">
        <v>1.10958</v>
      </c>
      <c r="L10200">
        <v>-1.6139220000000001</v>
      </c>
      <c r="M10200">
        <v>-2.060068E-2</v>
      </c>
      <c r="N10200">
        <v>0</v>
      </c>
      <c r="O10200">
        <v>0.99974810000000003</v>
      </c>
      <c r="P10200">
        <v>-2.8132999999999998E-2</v>
      </c>
      <c r="Q10200">
        <v>3.9404410000000001E-2</v>
      </c>
      <c r="R10200">
        <v>0.99882720000000003</v>
      </c>
      <c r="S10200">
        <v>2.3635860000000002E-2</v>
      </c>
      <c r="T10200">
        <v>-9.5768210000000006E-2</v>
      </c>
      <c r="U10200">
        <v>3.0080260000000001</v>
      </c>
      <c r="V10200">
        <v>-7.5435609999999998E-3</v>
      </c>
      <c r="W10200">
        <v>4.8307040000000002E-2</v>
      </c>
      <c r="X10200">
        <v>0.99880400000000003</v>
      </c>
      <c r="Y10200">
        <v>2.8452580000000002E-2</v>
      </c>
      <c r="Z10200">
        <v>-3.180438E-2</v>
      </c>
      <c r="AA10200">
        <v>0.99908909999999995</v>
      </c>
      <c r="AB10200">
        <v>36</v>
      </c>
      <c r="AC10200">
        <v>0.28079999999999899</v>
      </c>
      <c r="AD10200">
        <v>-1.109581923501</v>
      </c>
      <c r="AE10200">
        <v>34.511792</v>
      </c>
      <c r="AF10200">
        <v>0.99071099211867397</v>
      </c>
      <c r="AG10200">
        <v>-1.109581923501</v>
      </c>
      <c r="AH10200">
        <v>34.463061322479902</v>
      </c>
      <c r="AI10200">
        <v>91.843312235347696</v>
      </c>
      <c r="AJ10200">
        <v>88.353369439218795</v>
      </c>
      <c r="AK10200">
        <v>34.495148586893698</v>
      </c>
      <c r="AL10200">
        <v>87.231132752975995</v>
      </c>
      <c r="AM10200">
        <v>90.432723527345303</v>
      </c>
      <c r="AN10200">
        <v>0.99999995292106003</v>
      </c>
    </row>
    <row r="10201" spans="1:40" x14ac:dyDescent="0.25">
      <c r="A10201" t="str">
        <f>"20190312150920153"</f>
        <v>20190312150920153</v>
      </c>
      <c r="B10201" t="str">
        <f>"1552374560149853"</f>
        <v>1552374560149853</v>
      </c>
      <c r="C10201" t="s">
        <v>40</v>
      </c>
      <c r="D10201">
        <v>4.9590180000000004</v>
      </c>
      <c r="E10201">
        <v>0.51458429999999999</v>
      </c>
      <c r="F10201" t="s">
        <v>42</v>
      </c>
      <c r="G10201">
        <v>-186.98429999999999</v>
      </c>
      <c r="H10201" s="1">
        <v>-3.3450580000000001E-6</v>
      </c>
      <c r="I10201">
        <v>36.183219999999999</v>
      </c>
      <c r="J10201">
        <v>-187.34100000000001</v>
      </c>
      <c r="K10201">
        <v>1.1095330000000001</v>
      </c>
      <c r="L10201">
        <v>-1.25177</v>
      </c>
      <c r="M10201">
        <v>-2.044369E-2</v>
      </c>
      <c r="N10201">
        <v>0</v>
      </c>
      <c r="O10201">
        <v>0.9997511</v>
      </c>
      <c r="P10201">
        <v>-2.7562440000000001E-2</v>
      </c>
      <c r="Q10201">
        <v>3.9127919999999997E-2</v>
      </c>
      <c r="R10201">
        <v>0.99885400000000002</v>
      </c>
      <c r="S10201">
        <v>2.7801510000000001E-2</v>
      </c>
      <c r="T10201">
        <v>-8.8297249999999994E-2</v>
      </c>
      <c r="U10201">
        <v>3.0077820000000002</v>
      </c>
      <c r="V10201">
        <v>-7.1235810000000004E-3</v>
      </c>
      <c r="W10201">
        <v>4.8052230000000001E-2</v>
      </c>
      <c r="X10201">
        <v>0.99881940000000002</v>
      </c>
      <c r="Y10201">
        <v>2.9680519999999998E-2</v>
      </c>
      <c r="Z10201">
        <v>-2.9327329999999999E-2</v>
      </c>
      <c r="AA10201">
        <v>0.99912909999999999</v>
      </c>
      <c r="AB10201">
        <v>36</v>
      </c>
      <c r="AC10201">
        <v>0.35669999999998903</v>
      </c>
      <c r="AD10201">
        <v>-1.109536345058</v>
      </c>
      <c r="AE10201">
        <v>37.434989999999999</v>
      </c>
      <c r="AF10201">
        <v>1.12098065176116</v>
      </c>
      <c r="AG10201">
        <v>-1.109536345058</v>
      </c>
      <c r="AH10201">
        <v>37.387032672550497</v>
      </c>
      <c r="AI10201">
        <v>91.699106915438506</v>
      </c>
      <c r="AJ10201">
        <v>88.282607111089305</v>
      </c>
      <c r="AK10201">
        <v>37.4202870189552</v>
      </c>
      <c r="AL10201">
        <v>87.245749334796898</v>
      </c>
      <c r="AM10201">
        <v>90.408626630869094</v>
      </c>
      <c r="AN10201">
        <v>0.99999997801529805</v>
      </c>
    </row>
    <row r="10202" spans="1:40" x14ac:dyDescent="0.25">
      <c r="A10202" t="str">
        <f>"20190312150920176"</f>
        <v>20190312150920176</v>
      </c>
      <c r="B10202" t="str">
        <f>"1552374560169373"</f>
        <v>1552374560169373</v>
      </c>
      <c r="C10202" t="s">
        <v>40</v>
      </c>
      <c r="D10202">
        <v>4.9854250000000002</v>
      </c>
      <c r="E10202">
        <v>0.51471559999999905</v>
      </c>
      <c r="F10202" t="s">
        <v>42</v>
      </c>
      <c r="G10202">
        <v>-186.96879999999999</v>
      </c>
      <c r="H10202" s="1">
        <v>-3.9545279999999999E-6</v>
      </c>
      <c r="I10202">
        <v>37.597529999999999</v>
      </c>
      <c r="J10202">
        <v>-187.34819999999999</v>
      </c>
      <c r="K10202">
        <v>1.1094790000000001</v>
      </c>
      <c r="L10202">
        <v>-0.89080809999999999</v>
      </c>
      <c r="M10202">
        <v>-2.0209520000000002E-2</v>
      </c>
      <c r="N10202">
        <v>0</v>
      </c>
      <c r="O10202">
        <v>0.99975570000000002</v>
      </c>
      <c r="P10202">
        <v>-2.721339E-2</v>
      </c>
      <c r="Q10202">
        <v>3.867338E-2</v>
      </c>
      <c r="R10202">
        <v>0.99888129999999997</v>
      </c>
      <c r="S10202">
        <v>2.8808589999999999E-2</v>
      </c>
      <c r="T10202">
        <v>-8.5897089999999995E-2</v>
      </c>
      <c r="U10202">
        <v>3.0075989999999999</v>
      </c>
      <c r="V10202">
        <v>-7.0013230000000003E-3</v>
      </c>
      <c r="W10202">
        <v>4.761833E-2</v>
      </c>
      <c r="X10202">
        <v>0.99884099999999998</v>
      </c>
      <c r="Y10202">
        <v>2.9781700000000001E-2</v>
      </c>
      <c r="Z10202">
        <v>-2.853265E-2</v>
      </c>
      <c r="AA10202">
        <v>0.99914910000000001</v>
      </c>
      <c r="AB10202">
        <v>36</v>
      </c>
      <c r="AC10202">
        <v>0.37940000000000401</v>
      </c>
      <c r="AD10202">
        <v>-1.1094829545280001</v>
      </c>
      <c r="AE10202">
        <v>38.4883381</v>
      </c>
      <c r="AF10202">
        <v>1.15622381772546</v>
      </c>
      <c r="AG10202">
        <v>-1.1094829545280001</v>
      </c>
      <c r="AH10202">
        <v>38.440869145133497</v>
      </c>
      <c r="AI10202">
        <v>91.652468797859001</v>
      </c>
      <c r="AJ10202">
        <v>88.277177916174296</v>
      </c>
      <c r="AK10202">
        <v>38.474254074333203</v>
      </c>
      <c r="AL10202">
        <v>87.2706383450342</v>
      </c>
      <c r="AM10202">
        <v>90.401605149717696</v>
      </c>
      <c r="AN10202">
        <v>0.99999993357836703</v>
      </c>
    </row>
    <row r="10203" spans="1:40" x14ac:dyDescent="0.25">
      <c r="A10203" t="str">
        <f>"20190312150920199"</f>
        <v>20190312150920199</v>
      </c>
      <c r="B10203" t="str">
        <f>"1552374560189869"</f>
        <v>1552374560189869</v>
      </c>
      <c r="C10203" t="s">
        <v>40</v>
      </c>
      <c r="D10203">
        <v>4.7947280000000001</v>
      </c>
      <c r="E10203">
        <v>0.51485709999999996</v>
      </c>
      <c r="F10203" t="s">
        <v>42</v>
      </c>
      <c r="G10203">
        <v>-186.95930000000001</v>
      </c>
      <c r="H10203" s="1">
        <v>-3.7326539999999999E-6</v>
      </c>
      <c r="I10203">
        <v>37.07638</v>
      </c>
      <c r="J10203">
        <v>-187.35570000000001</v>
      </c>
      <c r="K10203">
        <v>1.1094040000000001</v>
      </c>
      <c r="L10203">
        <v>-0.50408940000000002</v>
      </c>
      <c r="M10203">
        <v>-1.986253E-2</v>
      </c>
      <c r="N10203">
        <v>0</v>
      </c>
      <c r="O10203">
        <v>0.9997625</v>
      </c>
      <c r="P10203">
        <v>-2.738341E-2</v>
      </c>
      <c r="Q10203">
        <v>3.8666039999999999E-2</v>
      </c>
      <c r="R10203">
        <v>0.99887689999999996</v>
      </c>
      <c r="S10203">
        <v>3.0807500000000002E-2</v>
      </c>
      <c r="T10203">
        <v>-8.7888480000000005E-2</v>
      </c>
      <c r="U10203">
        <v>3.0075989999999999</v>
      </c>
      <c r="V10203">
        <v>-7.5095140000000001E-3</v>
      </c>
      <c r="W10203">
        <v>4.7631659999999999E-2</v>
      </c>
      <c r="X10203">
        <v>0.99883679999999997</v>
      </c>
      <c r="Y10203">
        <v>3.009858E-2</v>
      </c>
      <c r="Z10203">
        <v>-2.919364E-2</v>
      </c>
      <c r="AA10203">
        <v>0.99912049999999997</v>
      </c>
      <c r="AB10203">
        <v>36</v>
      </c>
      <c r="AC10203">
        <v>0.39639999999999898</v>
      </c>
      <c r="AD10203">
        <v>-1.1094077326539999</v>
      </c>
      <c r="AE10203">
        <v>37.580469399999998</v>
      </c>
      <c r="AF10203">
        <v>1.1418000640950501</v>
      </c>
      <c r="AG10203">
        <v>-1.1094077326539999</v>
      </c>
      <c r="AH10203">
        <v>37.532475918733297</v>
      </c>
      <c r="AI10203">
        <v>91.692308035509996</v>
      </c>
      <c r="AJ10203">
        <v>88.257504930143597</v>
      </c>
      <c r="AK10203">
        <v>37.566224743696701</v>
      </c>
      <c r="AL10203">
        <v>87.269874071212797</v>
      </c>
      <c r="AM10203">
        <v>90.430756407753705</v>
      </c>
      <c r="AN10203">
        <v>1.00000006043455</v>
      </c>
    </row>
    <row r="10204" spans="1:40" x14ac:dyDescent="0.25">
      <c r="A10204" t="str">
        <f>"20190312150920223"</f>
        <v>20190312150920223</v>
      </c>
      <c r="B10204" t="str">
        <f>"1552374560219150"</f>
        <v>1552374560219150</v>
      </c>
      <c r="C10204" t="s">
        <v>40</v>
      </c>
      <c r="D10204">
        <v>4.7792469999999998</v>
      </c>
      <c r="E10204">
        <v>0.51464900000000002</v>
      </c>
      <c r="F10204" t="s">
        <v>42</v>
      </c>
      <c r="G10204">
        <v>-186.9659</v>
      </c>
      <c r="H10204" s="1">
        <v>-3.5352430000000002E-6</v>
      </c>
      <c r="I10204">
        <v>36.618929999999999</v>
      </c>
      <c r="J10204">
        <v>-187.36279999999999</v>
      </c>
      <c r="K10204">
        <v>1.109324</v>
      </c>
      <c r="L10204">
        <v>-0.12661739999999999</v>
      </c>
      <c r="M10204">
        <v>-1.9418310000000001E-2</v>
      </c>
      <c r="N10204">
        <v>0</v>
      </c>
      <c r="O10204">
        <v>0.99977110000000002</v>
      </c>
      <c r="P10204">
        <v>-2.7297439999999999E-2</v>
      </c>
      <c r="Q10204">
        <v>3.8322790000000002E-2</v>
      </c>
      <c r="R10204">
        <v>0.99889249999999996</v>
      </c>
      <c r="S10204">
        <v>3.158569E-2</v>
      </c>
      <c r="T10204">
        <v>-8.9884640000000002E-2</v>
      </c>
      <c r="U10204">
        <v>3.0077210000000001</v>
      </c>
      <c r="V10204">
        <v>-7.856844E-3</v>
      </c>
      <c r="W10204">
        <v>4.7307769999999999E-2</v>
      </c>
      <c r="X10204">
        <v>0.99884949999999995</v>
      </c>
      <c r="Y10204">
        <v>2.9912319999999999E-2</v>
      </c>
      <c r="Z10204">
        <v>-2.9855340000000001E-2</v>
      </c>
      <c r="AA10204">
        <v>0.99910659999999896</v>
      </c>
      <c r="AB10204">
        <v>36</v>
      </c>
      <c r="AC10204">
        <v>0.39689999999998798</v>
      </c>
      <c r="AD10204">
        <v>-1.1093275352430001</v>
      </c>
      <c r="AE10204">
        <v>36.7455474</v>
      </c>
      <c r="AF10204">
        <v>1.10937939937956</v>
      </c>
      <c r="AG10204">
        <v>-1.1093275352430001</v>
      </c>
      <c r="AH10204">
        <v>36.697468656341201</v>
      </c>
      <c r="AI10204">
        <v>91.730676313800799</v>
      </c>
      <c r="AJ10204">
        <v>88.268452633316997</v>
      </c>
      <c r="AK10204">
        <v>36.730988769911498</v>
      </c>
      <c r="AL10204">
        <v>87.2884524869785</v>
      </c>
      <c r="AM10204">
        <v>90.450673217148704</v>
      </c>
      <c r="AN10204">
        <v>1.00000003937513</v>
      </c>
    </row>
    <row r="10205" spans="1:40" x14ac:dyDescent="0.25">
      <c r="A10205" t="str">
        <f>"20190312150920243"</f>
        <v>20190312150920243</v>
      </c>
      <c r="B10205" t="str">
        <f>"1552374560239646"</f>
        <v>1552374560239646</v>
      </c>
      <c r="C10205" t="s">
        <v>40</v>
      </c>
      <c r="D10205">
        <v>5.113499</v>
      </c>
      <c r="E10205">
        <v>0.51458329999999997</v>
      </c>
      <c r="F10205" t="s">
        <v>42</v>
      </c>
      <c r="G10205">
        <v>-187.01009999999999</v>
      </c>
      <c r="H10205" s="1">
        <v>-2.811864E-6</v>
      </c>
      <c r="I10205">
        <v>34.951030000000003</v>
      </c>
      <c r="J10205">
        <v>-187.36920000000001</v>
      </c>
      <c r="K10205">
        <v>1.1092390000000001</v>
      </c>
      <c r="L10205">
        <v>0.22308349999999999</v>
      </c>
      <c r="M10205">
        <v>-1.890242E-2</v>
      </c>
      <c r="N10205">
        <v>0</v>
      </c>
      <c r="O10205">
        <v>0.99978080000000003</v>
      </c>
      <c r="P10205">
        <v>-2.768046E-2</v>
      </c>
      <c r="Q10205">
        <v>3.8257020000000003E-2</v>
      </c>
      <c r="R10205">
        <v>0.99888449999999995</v>
      </c>
      <c r="S10205">
        <v>3.024292E-2</v>
      </c>
      <c r="T10205">
        <v>-9.5121739999999996E-2</v>
      </c>
      <c r="U10205">
        <v>3.0078130000000001</v>
      </c>
      <c r="V10205">
        <v>-8.7460890000000003E-3</v>
      </c>
      <c r="W10205">
        <v>4.7260139999999999E-2</v>
      </c>
      <c r="X10205">
        <v>0.99884430000000002</v>
      </c>
      <c r="Y10205">
        <v>2.894969E-2</v>
      </c>
      <c r="Z10205">
        <v>-3.1593200000000002E-2</v>
      </c>
      <c r="AA10205">
        <v>0.99908149999999996</v>
      </c>
      <c r="AB10205">
        <v>37</v>
      </c>
      <c r="AC10205">
        <v>0.35910000000001202</v>
      </c>
      <c r="AD10205">
        <v>-1.1092418118639999</v>
      </c>
      <c r="AE10205">
        <v>34.727946499999902</v>
      </c>
      <c r="AF10205">
        <v>1.0144697974280099</v>
      </c>
      <c r="AG10205">
        <v>-1.1092418118639999</v>
      </c>
      <c r="AH10205">
        <v>34.679576086334201</v>
      </c>
      <c r="AI10205">
        <v>91.831223842472596</v>
      </c>
      <c r="AJ10205">
        <v>88.324423957545605</v>
      </c>
      <c r="AK10205">
        <v>34.712138567004502</v>
      </c>
      <c r="AL10205">
        <v>87.2911843669159</v>
      </c>
      <c r="AM10205">
        <v>90.501680973234002</v>
      </c>
      <c r="AN10205">
        <v>0.99999997527405204</v>
      </c>
    </row>
    <row r="10206" spans="1:40" x14ac:dyDescent="0.25">
      <c r="A10206" t="str">
        <f>"20190312150920265"</f>
        <v>20190312150920265</v>
      </c>
      <c r="B10206" t="str">
        <f>"1552374560259165"</f>
        <v>1552374560259165</v>
      </c>
      <c r="C10206" t="s">
        <v>40</v>
      </c>
      <c r="D10206">
        <v>4.8441720000000004</v>
      </c>
      <c r="E10206">
        <v>0.51457079999999999</v>
      </c>
      <c r="F10206" t="s">
        <v>42</v>
      </c>
      <c r="G10206">
        <v>-187.03270000000001</v>
      </c>
      <c r="H10206" s="1">
        <v>-3.0947920000000002E-6</v>
      </c>
      <c r="I10206">
        <v>35.619860000000003</v>
      </c>
      <c r="J10206">
        <v>-187.37530000000001</v>
      </c>
      <c r="K10206">
        <v>1.1091409999999999</v>
      </c>
      <c r="L10206">
        <v>0.57263180000000002</v>
      </c>
      <c r="M10206">
        <v>-1.8278550000000001E-2</v>
      </c>
      <c r="N10206">
        <v>0</v>
      </c>
      <c r="O10206">
        <v>0.99979229999999997</v>
      </c>
      <c r="P10206">
        <v>-2.7472090000000001E-2</v>
      </c>
      <c r="Q10206">
        <v>3.8319279999999997E-2</v>
      </c>
      <c r="R10206">
        <v>0.99888779999999999</v>
      </c>
      <c r="S10206">
        <v>2.8594970000000001E-2</v>
      </c>
      <c r="T10206">
        <v>-9.425509E-2</v>
      </c>
      <c r="U10206">
        <v>3.0077509999999998</v>
      </c>
      <c r="V10206">
        <v>-9.1504229999999995E-3</v>
      </c>
      <c r="W10206">
        <v>4.7338739999999997E-2</v>
      </c>
      <c r="X10206">
        <v>0.99883699999999997</v>
      </c>
      <c r="Y10206">
        <v>2.7778879999999999E-2</v>
      </c>
      <c r="Z10206">
        <v>-3.1307410000000001E-2</v>
      </c>
      <c r="AA10206">
        <v>0.99912369999999995</v>
      </c>
      <c r="AB10206">
        <v>37</v>
      </c>
      <c r="AC10206">
        <v>0.34260000000000401</v>
      </c>
      <c r="AD10206">
        <v>-1.1091440947919999</v>
      </c>
      <c r="AE10206">
        <v>35.0472281999999</v>
      </c>
      <c r="AF10206">
        <v>0.98219768133764096</v>
      </c>
      <c r="AG10206">
        <v>-1.1091440947919999</v>
      </c>
      <c r="AH10206">
        <v>35.000059381913303</v>
      </c>
      <c r="AI10206">
        <v>91.814369268142499</v>
      </c>
      <c r="AJ10206">
        <v>88.392545126038598</v>
      </c>
      <c r="AK10206">
        <v>35.031401194438303</v>
      </c>
      <c r="AL10206">
        <v>87.286675992669203</v>
      </c>
      <c r="AM10206">
        <v>90.5248763838229</v>
      </c>
      <c r="AN10206">
        <v>1.0000000195574299</v>
      </c>
    </row>
    <row r="10207" spans="1:40" x14ac:dyDescent="0.25">
      <c r="A10207" t="str">
        <f>"20190312150920288"</f>
        <v>20190312150920288</v>
      </c>
      <c r="B10207" t="str">
        <f>"1552374560279661"</f>
        <v>1552374560279661</v>
      </c>
      <c r="C10207" t="s">
        <v>40</v>
      </c>
      <c r="D10207">
        <v>4.7897860000000003</v>
      </c>
      <c r="E10207">
        <v>0.51432</v>
      </c>
      <c r="F10207" t="s">
        <v>42</v>
      </c>
      <c r="G10207">
        <v>-187.02889999999999</v>
      </c>
      <c r="H10207" s="1">
        <v>-3.3967699999999998E-6</v>
      </c>
      <c r="I10207">
        <v>36.322200000000002</v>
      </c>
      <c r="J10207">
        <v>-187.38159999999999</v>
      </c>
      <c r="K10207">
        <v>1.1090359999999999</v>
      </c>
      <c r="L10207">
        <v>0.95562740000000002</v>
      </c>
      <c r="M10207">
        <v>-1.7465709999999999E-2</v>
      </c>
      <c r="N10207">
        <v>0</v>
      </c>
      <c r="O10207">
        <v>0.99980659999999999</v>
      </c>
      <c r="P10207">
        <v>-2.7045349999999999E-2</v>
      </c>
      <c r="Q10207">
        <v>3.8294700000000001E-2</v>
      </c>
      <c r="R10207">
        <v>0.99890040000000002</v>
      </c>
      <c r="S10207">
        <v>2.914429E-2</v>
      </c>
      <c r="T10207">
        <v>-9.3315720000000005E-2</v>
      </c>
      <c r="U10207">
        <v>3.0077210000000001</v>
      </c>
      <c r="V10207">
        <v>-9.5233539999999995E-3</v>
      </c>
      <c r="W10207">
        <v>4.7332069999999997E-2</v>
      </c>
      <c r="X10207">
        <v>0.99883379999999999</v>
      </c>
      <c r="Y10207">
        <v>2.7148829999999999E-2</v>
      </c>
      <c r="Z10207">
        <v>-3.0996929999999999E-2</v>
      </c>
      <c r="AA10207">
        <v>0.99915069999999995</v>
      </c>
      <c r="AB10207">
        <v>37</v>
      </c>
      <c r="AC10207">
        <v>0.35269999999999802</v>
      </c>
      <c r="AD10207">
        <v>-1.1090393967700001</v>
      </c>
      <c r="AE10207">
        <v>35.366572599999998</v>
      </c>
      <c r="AF10207">
        <v>0.96942055010539896</v>
      </c>
      <c r="AG10207">
        <v>-1.1090393967700001</v>
      </c>
      <c r="AH10207">
        <v>35.320288293651899</v>
      </c>
      <c r="AI10207">
        <v>91.797791359192004</v>
      </c>
      <c r="AJ10207">
        <v>88.427822427387198</v>
      </c>
      <c r="AK10207">
        <v>35.350990222810402</v>
      </c>
      <c r="AL10207">
        <v>87.287058502967497</v>
      </c>
      <c r="AM10207">
        <v>90.546268515996502</v>
      </c>
      <c r="AN10207">
        <v>0.99999998957216696</v>
      </c>
    </row>
    <row r="10208" spans="1:40" x14ac:dyDescent="0.25">
      <c r="A10208" t="str">
        <f>"20190312150920309"</f>
        <v>20190312150920309</v>
      </c>
      <c r="B10208" t="str">
        <f>"1552374560299181"</f>
        <v>1552374560299181</v>
      </c>
      <c r="C10208" t="s">
        <v>40</v>
      </c>
      <c r="D10208">
        <v>4.9408699999999897</v>
      </c>
      <c r="E10208">
        <v>0.51433890000000004</v>
      </c>
      <c r="F10208" t="s">
        <v>42</v>
      </c>
      <c r="G10208">
        <v>-187.04910000000001</v>
      </c>
      <c r="H10208" s="1">
        <v>-3.2943590000000001E-6</v>
      </c>
      <c r="I10208">
        <v>36.091859999999997</v>
      </c>
      <c r="J10208">
        <v>-187.3871</v>
      </c>
      <c r="K10208">
        <v>1.1089450000000001</v>
      </c>
      <c r="L10208">
        <v>1.316406</v>
      </c>
      <c r="M10208">
        <v>-1.6606369999999999E-2</v>
      </c>
      <c r="N10208">
        <v>0</v>
      </c>
      <c r="O10208">
        <v>0.99982119999999997</v>
      </c>
      <c r="P10208">
        <v>-2.6024080000000002E-2</v>
      </c>
      <c r="Q10208">
        <v>3.8157080000000003E-2</v>
      </c>
      <c r="R10208">
        <v>0.99893279999999995</v>
      </c>
      <c r="S10208">
        <v>2.8457639999999999E-2</v>
      </c>
      <c r="T10208">
        <v>-9.4935660000000005E-2</v>
      </c>
      <c r="U10208">
        <v>3.0077210000000001</v>
      </c>
      <c r="V10208">
        <v>-9.3500440000000001E-3</v>
      </c>
      <c r="W10208">
        <v>4.721061E-2</v>
      </c>
      <c r="X10208">
        <v>0.99884119999999998</v>
      </c>
      <c r="Y10208">
        <v>2.6061399999999998E-2</v>
      </c>
      <c r="Z10208">
        <v>-3.1535689999999998E-2</v>
      </c>
      <c r="AA10208">
        <v>0.99916280000000002</v>
      </c>
      <c r="AB10208">
        <v>37</v>
      </c>
      <c r="AC10208">
        <v>0.33799999999999297</v>
      </c>
      <c r="AD10208">
        <v>-1.1089482943590001</v>
      </c>
      <c r="AE10208">
        <v>34.775454000000003</v>
      </c>
      <c r="AF10208">
        <v>0.91454115723810303</v>
      </c>
      <c r="AG10208">
        <v>-1.1089482943590001</v>
      </c>
      <c r="AH10208">
        <v>34.729731829402098</v>
      </c>
      <c r="AI10208">
        <v>91.828245629167895</v>
      </c>
      <c r="AJ10208">
        <v>88.491573675080602</v>
      </c>
      <c r="AK10208">
        <v>34.759465254661599</v>
      </c>
      <c r="AL10208">
        <v>87.294025475711194</v>
      </c>
      <c r="AM10208">
        <v>90.536323904763407</v>
      </c>
      <c r="AN10208">
        <v>1.0000000039184</v>
      </c>
    </row>
    <row r="10209" spans="1:40" x14ac:dyDescent="0.25">
      <c r="A10209" t="str">
        <f>"20190312150920332"</f>
        <v>20190312150920332</v>
      </c>
      <c r="B10209" t="str">
        <f>"1552374560329437"</f>
        <v>1552374560329437</v>
      </c>
      <c r="C10209" t="s">
        <v>40</v>
      </c>
      <c r="D10209">
        <v>4.8780349999999997</v>
      </c>
      <c r="E10209">
        <v>0.51442710000000003</v>
      </c>
      <c r="F10209" t="s">
        <v>42</v>
      </c>
      <c r="G10209">
        <v>-187.00659999999999</v>
      </c>
      <c r="H10209" s="1">
        <v>-3.858608E-6</v>
      </c>
      <c r="I10209">
        <v>37.389560000000003</v>
      </c>
      <c r="J10209">
        <v>-187.39230000000001</v>
      </c>
      <c r="K10209">
        <v>1.1088519999999999</v>
      </c>
      <c r="L10209">
        <v>1.6807559999999999</v>
      </c>
      <c r="M10209">
        <v>-1.5647000000000001E-2</v>
      </c>
      <c r="N10209">
        <v>0</v>
      </c>
      <c r="O10209">
        <v>0.99983659999999996</v>
      </c>
      <c r="P10209">
        <v>-2.519157E-2</v>
      </c>
      <c r="Q10209">
        <v>3.8420320000000001E-2</v>
      </c>
      <c r="R10209">
        <v>0.9989441</v>
      </c>
      <c r="S10209">
        <v>3.1723019999999998E-2</v>
      </c>
      <c r="T10209">
        <v>-9.2457650000000002E-2</v>
      </c>
      <c r="U10209">
        <v>3.007568</v>
      </c>
      <c r="V10209">
        <v>-9.4651779999999994E-3</v>
      </c>
      <c r="W10209">
        <v>4.748877E-2</v>
      </c>
      <c r="X10209">
        <v>0.99882689999999996</v>
      </c>
      <c r="Y10209">
        <v>2.618765E-2</v>
      </c>
      <c r="Z10209">
        <v>-3.071538E-2</v>
      </c>
      <c r="AA10209">
        <v>0.99918499999999999</v>
      </c>
      <c r="AB10209">
        <v>37</v>
      </c>
      <c r="AC10209">
        <v>0.38570000000001398</v>
      </c>
      <c r="AD10209">
        <v>-1.108855858608</v>
      </c>
      <c r="AE10209">
        <v>35.708803999999901</v>
      </c>
      <c r="AF10209">
        <v>0.94350164220962396</v>
      </c>
      <c r="AG10209">
        <v>-1.108855858608</v>
      </c>
      <c r="AH10209">
        <v>35.664011012989498</v>
      </c>
      <c r="AI10209">
        <v>91.780228834542299</v>
      </c>
      <c r="AJ10209">
        <v>88.4845771898528</v>
      </c>
      <c r="AK10209">
        <v>35.693717068955699</v>
      </c>
      <c r="AL10209">
        <v>87.2780701057427</v>
      </c>
      <c r="AM10209">
        <v>90.5429354368584</v>
      </c>
      <c r="AN10209">
        <v>0.99999997451714695</v>
      </c>
    </row>
    <row r="10210" spans="1:40" x14ac:dyDescent="0.25">
      <c r="A10210" t="str">
        <f>"20190312150920354"</f>
        <v>20190312150920354</v>
      </c>
      <c r="B10210" t="str">
        <f>"1552374560349933"</f>
        <v>1552374560349933</v>
      </c>
      <c r="C10210" t="s">
        <v>40</v>
      </c>
      <c r="D10210">
        <v>4.7961609999999997</v>
      </c>
      <c r="E10210">
        <v>0.51444690000000004</v>
      </c>
      <c r="F10210" t="s">
        <v>42</v>
      </c>
      <c r="G10210">
        <v>-186.95099999999999</v>
      </c>
      <c r="H10210" s="1">
        <v>-4.7507269999999998E-6</v>
      </c>
      <c r="I10210">
        <v>39.446129999999997</v>
      </c>
      <c r="J10210">
        <v>-187.3972</v>
      </c>
      <c r="K10210">
        <v>1.108768</v>
      </c>
      <c r="L10210">
        <v>2.0504760000000002</v>
      </c>
      <c r="M10210">
        <v>-1.4578249999999999E-2</v>
      </c>
      <c r="N10210">
        <v>0</v>
      </c>
      <c r="O10210">
        <v>0.99985259999999998</v>
      </c>
      <c r="P10210">
        <v>-2.3960889999999999E-2</v>
      </c>
      <c r="Q10210">
        <v>3.8531950000000002E-2</v>
      </c>
      <c r="R10210">
        <v>0.99897000000000002</v>
      </c>
      <c r="S10210">
        <v>3.5140989999999997E-2</v>
      </c>
      <c r="T10210">
        <v>-8.8303800000000002E-2</v>
      </c>
      <c r="U10210">
        <v>3.0074459999999998</v>
      </c>
      <c r="V10210">
        <v>-9.291756E-3</v>
      </c>
      <c r="W10210">
        <v>4.7614990000000003E-2</v>
      </c>
      <c r="X10210">
        <v>0.9988226</v>
      </c>
      <c r="Y10210">
        <v>2.6255440000000001E-2</v>
      </c>
      <c r="Z10210">
        <v>-2.9338340000000001E-2</v>
      </c>
      <c r="AA10210">
        <v>0.99922469999999997</v>
      </c>
      <c r="AB10210">
        <v>37</v>
      </c>
      <c r="AC10210">
        <v>0.44620000000000398</v>
      </c>
      <c r="AD10210">
        <v>-1.108772750727</v>
      </c>
      <c r="AE10210">
        <v>37.395653999999901</v>
      </c>
      <c r="AF10210">
        <v>0.99046758888747799</v>
      </c>
      <c r="AG10210">
        <v>-1.108772750727</v>
      </c>
      <c r="AH10210">
        <v>37.3523425031253</v>
      </c>
      <c r="AI10210">
        <v>91.699680452917704</v>
      </c>
      <c r="AJ10210">
        <v>88.481050629575904</v>
      </c>
      <c r="AK10210">
        <v>37.381919339811503</v>
      </c>
      <c r="AL10210">
        <v>87.270830262272796</v>
      </c>
      <c r="AM10210">
        <v>90.532990589570403</v>
      </c>
      <c r="AN10210">
        <v>1.00000005513651</v>
      </c>
    </row>
    <row r="10211" spans="1:40" x14ac:dyDescent="0.25">
      <c r="A10211" t="str">
        <f>"20190312150920377"</f>
        <v>20190312150920377</v>
      </c>
      <c r="B10211" t="str">
        <f>"1552374560369453"</f>
        <v>1552374560369453</v>
      </c>
      <c r="C10211" t="s">
        <v>40</v>
      </c>
      <c r="D10211">
        <v>4.7982779999999998</v>
      </c>
      <c r="E10211">
        <v>0.51450050000000003</v>
      </c>
      <c r="F10211" t="s">
        <v>42</v>
      </c>
      <c r="G10211">
        <v>-186.90780000000001</v>
      </c>
      <c r="H10211" s="1">
        <v>-9.3012719999999999E-7</v>
      </c>
      <c r="I10211">
        <v>39.963569999999997</v>
      </c>
      <c r="J10211">
        <v>-187.40170000000001</v>
      </c>
      <c r="K10211">
        <v>1.108673</v>
      </c>
      <c r="L10211">
        <v>2.42923</v>
      </c>
      <c r="M10211">
        <v>-1.3387690000000001E-2</v>
      </c>
      <c r="N10211">
        <v>0</v>
      </c>
      <c r="O10211">
        <v>0.99986909999999896</v>
      </c>
      <c r="P10211">
        <v>-2.3189319999999999E-2</v>
      </c>
      <c r="Q10211">
        <v>3.85958E-2</v>
      </c>
      <c r="R10211">
        <v>0.99898580000000003</v>
      </c>
      <c r="S10211">
        <v>3.8818360000000003E-2</v>
      </c>
      <c r="T10211">
        <v>-8.7951899999999902E-2</v>
      </c>
      <c r="U10211">
        <v>3.0074160000000001</v>
      </c>
      <c r="V10211">
        <v>-9.6989339999999993E-3</v>
      </c>
      <c r="W10211">
        <v>4.7694050000000002E-2</v>
      </c>
      <c r="X10211">
        <v>0.99881489999999995</v>
      </c>
      <c r="Y10211">
        <v>2.628693E-2</v>
      </c>
      <c r="Z10211">
        <v>-2.922232E-2</v>
      </c>
      <c r="AA10211">
        <v>0.99922719999999998</v>
      </c>
      <c r="AB10211">
        <v>37</v>
      </c>
      <c r="AC10211">
        <v>0.49389999999999601</v>
      </c>
      <c r="AD10211">
        <v>-1.1086739301271999</v>
      </c>
      <c r="AE10211">
        <v>37.53434</v>
      </c>
      <c r="AF10211">
        <v>0.99550618615877196</v>
      </c>
      <c r="AG10211">
        <v>-1.1086739301271999</v>
      </c>
      <c r="AH10211">
        <v>37.491658819332997</v>
      </c>
      <c r="AI10211">
        <v>91.693215801884406</v>
      </c>
      <c r="AJ10211">
        <v>88.478997582447406</v>
      </c>
      <c r="AK10211">
        <v>37.521256261954903</v>
      </c>
      <c r="AL10211">
        <v>87.266295149874196</v>
      </c>
      <c r="AM10211">
        <v>90.556349848771305</v>
      </c>
      <c r="AN10211">
        <v>0.99999999809407403</v>
      </c>
    </row>
    <row r="10212" spans="1:40" x14ac:dyDescent="0.25">
      <c r="A10212" t="str">
        <f>"20190312150920391"</f>
        <v>20190312150920391</v>
      </c>
      <c r="B10212" t="str">
        <f>"1552374560379214"</f>
        <v>1552374560379214</v>
      </c>
      <c r="C10212" t="s">
        <v>40</v>
      </c>
      <c r="D10212">
        <v>4.9107779999999996</v>
      </c>
      <c r="E10212">
        <v>0.51433899999999999</v>
      </c>
      <c r="F10212" t="s">
        <v>42</v>
      </c>
      <c r="G10212">
        <v>-186.8854</v>
      </c>
      <c r="H10212" s="1">
        <v>-8.1830889999999995E-7</v>
      </c>
      <c r="I10212">
        <v>39.617510000000003</v>
      </c>
      <c r="J10212">
        <v>-187.4042</v>
      </c>
      <c r="K10212">
        <v>1.1086180000000001</v>
      </c>
      <c r="L10212">
        <v>2.6643979999999998</v>
      </c>
      <c r="M10212">
        <v>-1.2601960000000001E-2</v>
      </c>
      <c r="N10212">
        <v>0</v>
      </c>
      <c r="O10212">
        <v>0.99987919999999997</v>
      </c>
      <c r="P10212">
        <v>-2.250535E-2</v>
      </c>
      <c r="Q10212">
        <v>3.8511400000000001E-2</v>
      </c>
      <c r="R10212">
        <v>0.99900469999999997</v>
      </c>
      <c r="S10212">
        <v>4.1748050000000002E-2</v>
      </c>
      <c r="T10212">
        <v>-8.9660290000000004E-2</v>
      </c>
      <c r="U10212">
        <v>3.0074770000000002</v>
      </c>
      <c r="V10212">
        <v>-9.7932729999999999E-3</v>
      </c>
      <c r="W10212">
        <v>4.761928E-2</v>
      </c>
      <c r="X10212">
        <v>0.99881759999999997</v>
      </c>
      <c r="Y10212">
        <v>2.6474080000000001E-2</v>
      </c>
      <c r="Z10212">
        <v>-2.9789019999999999E-2</v>
      </c>
      <c r="AA10212">
        <v>0.99920549999999997</v>
      </c>
      <c r="AB10212">
        <v>37</v>
      </c>
      <c r="AC10212">
        <v>0.51879999999999804</v>
      </c>
      <c r="AD10212">
        <v>-1.1086188183088901</v>
      </c>
      <c r="AE10212">
        <v>36.953111999999997</v>
      </c>
      <c r="AF10212">
        <v>0.98357463055636396</v>
      </c>
      <c r="AG10212">
        <v>-1.1086188183088901</v>
      </c>
      <c r="AH10212">
        <v>36.910424861012302</v>
      </c>
      <c r="AI10212">
        <v>91.719773456897499</v>
      </c>
      <c r="AJ10212">
        <v>88.473565611912306</v>
      </c>
      <c r="AK10212">
        <v>36.940166731602901</v>
      </c>
      <c r="AL10212">
        <v>87.270584173085197</v>
      </c>
      <c r="AM10212">
        <v>90.561759454987893</v>
      </c>
      <c r="AN10212">
        <v>1.0000000510467599</v>
      </c>
    </row>
    <row r="10213" spans="1:40" x14ac:dyDescent="0.25">
      <c r="A10213" t="str">
        <f>"20190312150920412"</f>
        <v>20190312150920412</v>
      </c>
      <c r="B10213" t="str">
        <f>"1552374560399713"</f>
        <v>1552374560399713</v>
      </c>
      <c r="C10213" t="s">
        <v>40</v>
      </c>
      <c r="D10213">
        <v>5.1363289999999999</v>
      </c>
      <c r="E10213">
        <v>0.51418189999999997</v>
      </c>
      <c r="F10213" t="s">
        <v>42</v>
      </c>
      <c r="G10213">
        <v>-186.88339999999999</v>
      </c>
      <c r="H10213" s="1">
        <v>-4.8340809999999997E-6</v>
      </c>
      <c r="I10213">
        <v>39.612470000000002</v>
      </c>
      <c r="J10213">
        <v>-187.4074</v>
      </c>
      <c r="K10213">
        <v>1.108538</v>
      </c>
      <c r="L10213">
        <v>3.0007630000000001</v>
      </c>
      <c r="M10213">
        <v>-1.142171E-2</v>
      </c>
      <c r="N10213">
        <v>0</v>
      </c>
      <c r="O10213">
        <v>0.99989329999999998</v>
      </c>
      <c r="P10213">
        <v>-2.1325790000000001E-2</v>
      </c>
      <c r="Q10213">
        <v>3.8886919999999998E-2</v>
      </c>
      <c r="R10213">
        <v>0.99901600000000002</v>
      </c>
      <c r="S10213">
        <v>4.2388919999999997E-2</v>
      </c>
      <c r="T10213">
        <v>-9.0237139999999993E-2</v>
      </c>
      <c r="U10213">
        <v>3.0074160000000001</v>
      </c>
      <c r="V10213">
        <v>-9.7826110000000001E-3</v>
      </c>
      <c r="W10213">
        <v>4.800745E-2</v>
      </c>
      <c r="X10213">
        <v>0.99879910000000005</v>
      </c>
      <c r="Y10213">
        <v>2.5507189999999999E-2</v>
      </c>
      <c r="Z10213">
        <v>-2.9982080000000001E-2</v>
      </c>
      <c r="AA10213">
        <v>0.99922489999999997</v>
      </c>
      <c r="AB10213">
        <v>37</v>
      </c>
      <c r="AC10213">
        <v>0.52400000000000002</v>
      </c>
      <c r="AD10213">
        <v>-1.108542834081</v>
      </c>
      <c r="AE10213">
        <v>36.611707000000003</v>
      </c>
      <c r="AF10213">
        <v>0.94128868012003397</v>
      </c>
      <c r="AG10213">
        <v>-1.108542834081</v>
      </c>
      <c r="AH10213">
        <v>36.569813803587301</v>
      </c>
      <c r="AI10213">
        <v>91.735703999875298</v>
      </c>
      <c r="AJ10213">
        <v>88.525560907967801</v>
      </c>
      <c r="AK10213">
        <v>36.598718190988002</v>
      </c>
      <c r="AL10213">
        <v>87.248318143237796</v>
      </c>
      <c r="AM10213">
        <v>90.561158295999405</v>
      </c>
      <c r="AN10213">
        <v>1.00000002844714</v>
      </c>
    </row>
    <row r="10214" spans="1:40" x14ac:dyDescent="0.25">
      <c r="A10214" t="str">
        <f>"20190312150920434"</f>
        <v>20190312150920434</v>
      </c>
      <c r="B10214" t="str">
        <f>"1552374560429965"</f>
        <v>1552374560429965</v>
      </c>
      <c r="C10214" t="s">
        <v>40</v>
      </c>
      <c r="D10214">
        <v>4.7973179999999997</v>
      </c>
      <c r="E10214">
        <v>0.5142196</v>
      </c>
      <c r="F10214" t="s">
        <v>42</v>
      </c>
      <c r="G10214">
        <v>-186.84630000000001</v>
      </c>
      <c r="H10214" s="1">
        <v>-1.2172740000000001E-6</v>
      </c>
      <c r="I10214">
        <v>40.75929</v>
      </c>
      <c r="J10214">
        <v>-187.41050000000001</v>
      </c>
      <c r="K10214">
        <v>1.1084529999999999</v>
      </c>
      <c r="L10214">
        <v>3.378876</v>
      </c>
      <c r="M10214">
        <v>-1.002372E-2</v>
      </c>
      <c r="N10214">
        <v>0</v>
      </c>
      <c r="O10214">
        <v>0.99990820000000002</v>
      </c>
      <c r="P10214">
        <v>-1.9738550000000001E-2</v>
      </c>
      <c r="Q10214">
        <v>3.8626540000000001E-2</v>
      </c>
      <c r="R10214">
        <v>0.99905869999999997</v>
      </c>
      <c r="S10214">
        <v>4.4692990000000002E-2</v>
      </c>
      <c r="T10214">
        <v>-8.8291880000000003E-2</v>
      </c>
      <c r="U10214">
        <v>3.007355</v>
      </c>
      <c r="V10214">
        <v>-9.5826950000000004E-3</v>
      </c>
      <c r="W10214">
        <v>4.7760730000000001E-2</v>
      </c>
      <c r="X10214">
        <v>0.9988129</v>
      </c>
      <c r="Y10214">
        <v>2.4875479999999998E-2</v>
      </c>
      <c r="Z10214">
        <v>-2.9337640000000002E-2</v>
      </c>
      <c r="AA10214">
        <v>0.99926000000000004</v>
      </c>
      <c r="AB10214">
        <v>37</v>
      </c>
      <c r="AC10214">
        <v>0.56419999999999904</v>
      </c>
      <c r="AD10214">
        <v>-1.108454217274</v>
      </c>
      <c r="AE10214">
        <v>37.380414000000002</v>
      </c>
      <c r="AF10214">
        <v>0.93805336695827701</v>
      </c>
      <c r="AG10214">
        <v>-1.108454217274</v>
      </c>
      <c r="AH10214">
        <v>37.340053876275</v>
      </c>
      <c r="AI10214">
        <v>91.699812468893199</v>
      </c>
      <c r="AJ10214">
        <v>88.560923433924003</v>
      </c>
      <c r="AK10214">
        <v>37.3682785040223</v>
      </c>
      <c r="AL10214">
        <v>87.262470484366403</v>
      </c>
      <c r="AM10214">
        <v>90.549683664296694</v>
      </c>
      <c r="AN10214">
        <v>1.00000006229</v>
      </c>
    </row>
    <row r="10215" spans="1:40" x14ac:dyDescent="0.25">
      <c r="A10215" t="str">
        <f>"20190312150920455"</f>
        <v>20190312150920455</v>
      </c>
      <c r="B10215" t="str">
        <f>"1552374560449486"</f>
        <v>1552374560449486</v>
      </c>
      <c r="C10215" t="s">
        <v>40</v>
      </c>
      <c r="D10215">
        <v>5.0848769999999996</v>
      </c>
      <c r="E10215">
        <v>0.51429199999999997</v>
      </c>
      <c r="F10215" t="s">
        <v>42</v>
      </c>
      <c r="G10215">
        <v>-186.7868</v>
      </c>
      <c r="H10215" s="1">
        <v>-1.3568230000000001E-6</v>
      </c>
      <c r="I10215">
        <v>41.122819999999997</v>
      </c>
      <c r="J10215">
        <v>-187.4128</v>
      </c>
      <c r="K10215">
        <v>1.108385</v>
      </c>
      <c r="L10215">
        <v>3.712555</v>
      </c>
      <c r="M10215">
        <v>-8.7373509999999904E-3</v>
      </c>
      <c r="N10215">
        <v>0</v>
      </c>
      <c r="O10215">
        <v>0.99992020000000004</v>
      </c>
      <c r="P10215">
        <v>-1.8621599999999999E-2</v>
      </c>
      <c r="Q10215">
        <v>3.8494880000000002E-2</v>
      </c>
      <c r="R10215">
        <v>0.99908520000000001</v>
      </c>
      <c r="S10215">
        <v>4.969788E-2</v>
      </c>
      <c r="T10215">
        <v>-8.8315610000000003E-2</v>
      </c>
      <c r="U10215">
        <v>3.0072329999999998</v>
      </c>
      <c r="V10215">
        <v>-9.7432549999999993E-3</v>
      </c>
      <c r="W10215">
        <v>4.7641179999999998E-2</v>
      </c>
      <c r="X10215">
        <v>0.99881699999999995</v>
      </c>
      <c r="Y10215">
        <v>2.5252630000000002E-2</v>
      </c>
      <c r="Z10215">
        <v>-2.934672E-2</v>
      </c>
      <c r="AA10215">
        <v>0.99925019999999998</v>
      </c>
      <c r="AB10215">
        <v>37</v>
      </c>
      <c r="AC10215">
        <v>0.626000000000004</v>
      </c>
      <c r="AD10215">
        <v>-1.1083863568229999</v>
      </c>
      <c r="AE10215">
        <v>37.410265000000003</v>
      </c>
      <c r="AF10215">
        <v>0.95202086610487902</v>
      </c>
      <c r="AG10215">
        <v>-1.1083863568229999</v>
      </c>
      <c r="AH10215">
        <v>37.370571972435002</v>
      </c>
      <c r="AI10215">
        <v>91.698306080446002</v>
      </c>
      <c r="AJ10215">
        <v>88.540697148317804</v>
      </c>
      <c r="AK10215">
        <v>37.399124503020602</v>
      </c>
      <c r="AL10215">
        <v>87.269327847468304</v>
      </c>
      <c r="AM10215">
        <v>90.558890852241404</v>
      </c>
      <c r="AN10215">
        <v>1.0000000062693899</v>
      </c>
    </row>
    <row r="10216" spans="1:40" x14ac:dyDescent="0.25">
      <c r="A10216" t="str">
        <f>"20190312150920478"</f>
        <v>20190312150920478</v>
      </c>
      <c r="B10216" t="str">
        <f>"1552374560469005"</f>
        <v>1552374560469005</v>
      </c>
      <c r="C10216" t="s">
        <v>40</v>
      </c>
      <c r="D10216">
        <v>4.9088029999999998</v>
      </c>
      <c r="E10216">
        <v>0.51410250000000002</v>
      </c>
      <c r="F10216" t="s">
        <v>42</v>
      </c>
      <c r="G10216">
        <v>-186.7285</v>
      </c>
      <c r="H10216" s="1">
        <v>-1.6560079999999999E-6</v>
      </c>
      <c r="I10216">
        <v>41.95646</v>
      </c>
      <c r="J10216">
        <v>-187.41489999999999</v>
      </c>
      <c r="K10216">
        <v>1.108309</v>
      </c>
      <c r="L10216">
        <v>4.1051330000000004</v>
      </c>
      <c r="M10216">
        <v>-7.17251E-3</v>
      </c>
      <c r="N10216">
        <v>0</v>
      </c>
      <c r="O10216">
        <v>0.9999325</v>
      </c>
      <c r="P10216">
        <v>-1.6838829999999999E-2</v>
      </c>
      <c r="Q10216">
        <v>3.8873970000000001E-2</v>
      </c>
      <c r="R10216">
        <v>0.99910220000000005</v>
      </c>
      <c r="S10216">
        <v>5.3802490000000001E-2</v>
      </c>
      <c r="T10216">
        <v>-8.7152240000000006E-2</v>
      </c>
      <c r="U10216">
        <v>3.0071110000000001</v>
      </c>
      <c r="V10216">
        <v>-9.5144640000000003E-3</v>
      </c>
      <c r="W10216">
        <v>4.8033180000000002E-2</v>
      </c>
      <c r="X10216">
        <v>0.99880040000000003</v>
      </c>
      <c r="Y10216">
        <v>2.505259E-2</v>
      </c>
      <c r="Z10216">
        <v>-2.896191E-2</v>
      </c>
      <c r="AA10216">
        <v>0.99926649999999995</v>
      </c>
      <c r="AB10216">
        <v>37</v>
      </c>
      <c r="AC10216">
        <v>0.68639999999999102</v>
      </c>
      <c r="AD10216">
        <v>-1.1083106560079901</v>
      </c>
      <c r="AE10216">
        <v>37.851326999999998</v>
      </c>
      <c r="AF10216">
        <v>0.957062433333836</v>
      </c>
      <c r="AG10216">
        <v>-1.1083106560079901</v>
      </c>
      <c r="AH10216">
        <v>37.813021326766403</v>
      </c>
      <c r="AI10216">
        <v>91.678338115061607</v>
      </c>
      <c r="AJ10216">
        <v>88.550130848934501</v>
      </c>
      <c r="AK10216">
        <v>37.841364971020901</v>
      </c>
      <c r="AL10216">
        <v>87.246842073540904</v>
      </c>
      <c r="AM10216">
        <v>90.545776857245102</v>
      </c>
      <c r="AN10216">
        <v>0.99999997522313899</v>
      </c>
    </row>
    <row r="10217" spans="1:40" x14ac:dyDescent="0.25">
      <c r="A10217" t="str">
        <f>"20190312150920500"</f>
        <v>20190312150920500</v>
      </c>
      <c r="B10217" t="str">
        <f>"1552374560489501"</f>
        <v>1552374560489501</v>
      </c>
      <c r="C10217" t="s">
        <v>40</v>
      </c>
      <c r="D10217">
        <v>4.8062209999999999</v>
      </c>
      <c r="E10217">
        <v>0.51395270000000004</v>
      </c>
      <c r="F10217" t="s">
        <v>42</v>
      </c>
      <c r="G10217">
        <v>-186.67840000000001</v>
      </c>
      <c r="H10217" s="1">
        <v>-1.806723E-6</v>
      </c>
      <c r="I10217">
        <v>42.360120000000002</v>
      </c>
      <c r="J10217">
        <v>-187.4162</v>
      </c>
      <c r="K10217">
        <v>1.1082590000000001</v>
      </c>
      <c r="L10217">
        <v>4.4772339999999904</v>
      </c>
      <c r="M10217">
        <v>-5.6502050000000002E-3</v>
      </c>
      <c r="N10217">
        <v>0</v>
      </c>
      <c r="O10217">
        <v>0.9999422</v>
      </c>
      <c r="P10217">
        <v>-1.464113E-2</v>
      </c>
      <c r="Q10217">
        <v>3.8780299999999997E-2</v>
      </c>
      <c r="R10217">
        <v>0.99914049999999999</v>
      </c>
      <c r="S10217">
        <v>5.7891850000000002E-2</v>
      </c>
      <c r="T10217">
        <v>-8.7119219999999997E-2</v>
      </c>
      <c r="U10217">
        <v>3.00705</v>
      </c>
      <c r="V10217">
        <v>-8.8320099999999995E-3</v>
      </c>
      <c r="W10217">
        <v>4.7948869999999998E-2</v>
      </c>
      <c r="X10217">
        <v>0.9988108</v>
      </c>
      <c r="Y10217">
        <v>2.488949E-2</v>
      </c>
      <c r="Z10217">
        <v>-2.8951649999999999E-2</v>
      </c>
      <c r="AA10217">
        <v>0.99927089999999996</v>
      </c>
      <c r="AB10217">
        <v>37</v>
      </c>
      <c r="AC10217">
        <v>0.73779999999999202</v>
      </c>
      <c r="AD10217">
        <v>-1.108260806723</v>
      </c>
      <c r="AE10217">
        <v>37.882885999999999</v>
      </c>
      <c r="AF10217">
        <v>0.95102961870243197</v>
      </c>
      <c r="AG10217">
        <v>-1.108260806723</v>
      </c>
      <c r="AH10217">
        <v>37.845734342831904</v>
      </c>
      <c r="AI10217">
        <v>91.676820502814707</v>
      </c>
      <c r="AJ10217">
        <v>88.560511006132302</v>
      </c>
      <c r="AK10217">
        <v>37.873900080392701</v>
      </c>
      <c r="AL10217">
        <v>87.251678476416501</v>
      </c>
      <c r="AM10217">
        <v>90.506626189048205</v>
      </c>
      <c r="AN10217">
        <v>1.0000000563657701</v>
      </c>
    </row>
    <row r="10218" spans="1:40" x14ac:dyDescent="0.25">
      <c r="A10218" t="str">
        <f>"20190312150920522"</f>
        <v>20190312150920522</v>
      </c>
      <c r="B10218" t="str">
        <f>"1552374560519757"</f>
        <v>1552374560519757</v>
      </c>
      <c r="C10218" t="s">
        <v>40</v>
      </c>
      <c r="D10218">
        <v>4.8234019999999997</v>
      </c>
      <c r="E10218">
        <v>0.51389229999999997</v>
      </c>
      <c r="F10218" t="s">
        <v>42</v>
      </c>
      <c r="G10218">
        <v>-186.62350000000001</v>
      </c>
      <c r="H10218" s="1">
        <v>-1.770413E-6</v>
      </c>
      <c r="I10218">
        <v>42.210509999999999</v>
      </c>
      <c r="J10218">
        <v>-187.417</v>
      </c>
      <c r="K10218">
        <v>1.108214</v>
      </c>
      <c r="L10218">
        <v>4.842041</v>
      </c>
      <c r="M10218">
        <v>-4.1324530000000003E-3</v>
      </c>
      <c r="N10218">
        <v>0</v>
      </c>
      <c r="O10218">
        <v>0.99994950000000005</v>
      </c>
      <c r="P10218">
        <v>-1.3088560000000001E-2</v>
      </c>
      <c r="Q10218">
        <v>3.8870960000000003E-2</v>
      </c>
      <c r="R10218">
        <v>0.99915849999999995</v>
      </c>
      <c r="S10218">
        <v>6.3171389999999994E-2</v>
      </c>
      <c r="T10218">
        <v>-8.8316199999999997E-2</v>
      </c>
      <c r="U10218">
        <v>3.0069270000000001</v>
      </c>
      <c r="V10218">
        <v>-8.7905299999999995E-3</v>
      </c>
      <c r="W10218">
        <v>4.8049840000000003E-2</v>
      </c>
      <c r="X10218">
        <v>0.99880619999999998</v>
      </c>
      <c r="Y10218">
        <v>2.5126470000000001E-2</v>
      </c>
      <c r="Z10218">
        <v>-2.9350009999999999E-2</v>
      </c>
      <c r="AA10218">
        <v>0.99925330000000001</v>
      </c>
      <c r="AB10218">
        <v>37</v>
      </c>
      <c r="AC10218">
        <v>0.79349999999999399</v>
      </c>
      <c r="AD10218">
        <v>-1.108215770413</v>
      </c>
      <c r="AE10218">
        <v>37.368468999999997</v>
      </c>
      <c r="AF10218">
        <v>0.94709055096152595</v>
      </c>
      <c r="AG10218">
        <v>-1.108215770413</v>
      </c>
      <c r="AH10218">
        <v>37.332051751428502</v>
      </c>
      <c r="AI10218">
        <v>91.699800482083205</v>
      </c>
      <c r="AJ10218">
        <v>88.546754015691207</v>
      </c>
      <c r="AK10218">
        <v>37.360503351492099</v>
      </c>
      <c r="AL10218">
        <v>87.245886333150494</v>
      </c>
      <c r="AM10218">
        <v>90.504249237813795</v>
      </c>
      <c r="AN10218">
        <v>0.99999994285007099</v>
      </c>
    </row>
    <row r="10219" spans="1:40" x14ac:dyDescent="0.25">
      <c r="A10219" t="str">
        <f>"20190312150920544"</f>
        <v>20190312150920544</v>
      </c>
      <c r="B10219" t="str">
        <f>"1552374560539278"</f>
        <v>1552374560539278</v>
      </c>
      <c r="C10219" t="s">
        <v>40</v>
      </c>
      <c r="D10219">
        <v>4.9562530000000002</v>
      </c>
      <c r="E10219">
        <v>0.51388120000000004</v>
      </c>
      <c r="F10219" t="s">
        <v>42</v>
      </c>
      <c r="G10219">
        <v>-186.58799999999999</v>
      </c>
      <c r="H10219" s="1">
        <v>-1.6529220000000001E-6</v>
      </c>
      <c r="I10219">
        <v>41.837470000000003</v>
      </c>
      <c r="J10219">
        <v>-187.41720000000001</v>
      </c>
      <c r="K10219">
        <v>1.1081799999999999</v>
      </c>
      <c r="L10219">
        <v>5.2068479999999999</v>
      </c>
      <c r="M10219">
        <v>-2.6000509999999999E-3</v>
      </c>
      <c r="N10219">
        <v>0</v>
      </c>
      <c r="O10219">
        <v>0.99995460000000003</v>
      </c>
      <c r="P10219">
        <v>-1.149856E-2</v>
      </c>
      <c r="Q10219">
        <v>3.916973E-2</v>
      </c>
      <c r="R10219">
        <v>0.99916640000000001</v>
      </c>
      <c r="S10219">
        <v>6.7382810000000001E-2</v>
      </c>
      <c r="T10219">
        <v>-9.0073940000000005E-2</v>
      </c>
      <c r="U10219">
        <v>3.0069270000000001</v>
      </c>
      <c r="V10219">
        <v>-8.7265810000000006E-3</v>
      </c>
      <c r="W10219">
        <v>4.8358949999999998E-2</v>
      </c>
      <c r="X10219">
        <v>0.99879189999999995</v>
      </c>
      <c r="Y10219">
        <v>2.4992960000000002E-2</v>
      </c>
      <c r="Z10219">
        <v>-2.9933459999999999E-2</v>
      </c>
      <c r="AA10219">
        <v>0.9992394</v>
      </c>
      <c r="AB10219">
        <v>37</v>
      </c>
      <c r="AC10219">
        <v>0.82920000000001404</v>
      </c>
      <c r="AD10219">
        <v>-1.1081816529220001</v>
      </c>
      <c r="AE10219">
        <v>36.630621999999903</v>
      </c>
      <c r="AF10219">
        <v>0.92359780702877903</v>
      </c>
      <c r="AG10219">
        <v>-1.1081816529220001</v>
      </c>
      <c r="AH10219">
        <v>36.594866317109897</v>
      </c>
      <c r="AI10219">
        <v>91.733973807136394</v>
      </c>
      <c r="AJ10219">
        <v>88.554250090820005</v>
      </c>
      <c r="AK10219">
        <v>36.623289588077199</v>
      </c>
      <c r="AL10219">
        <v>87.228155180472797</v>
      </c>
      <c r="AM10219">
        <v>90.500588299356096</v>
      </c>
      <c r="AN10219">
        <v>1.00000000038333</v>
      </c>
    </row>
    <row r="10220" spans="1:40" x14ac:dyDescent="0.25">
      <c r="A10220" t="str">
        <f>"20190312150920559"</f>
        <v>20190312150920559</v>
      </c>
      <c r="B10220" t="str">
        <f>"1552374560550014"</f>
        <v>1552374560550014</v>
      </c>
      <c r="C10220" t="s">
        <v>40</v>
      </c>
      <c r="D10220">
        <v>4.8406770000000003</v>
      </c>
      <c r="E10220">
        <v>0.51388670000000003</v>
      </c>
      <c r="F10220" t="s">
        <v>42</v>
      </c>
      <c r="G10220">
        <v>-186.51339999999999</v>
      </c>
      <c r="H10220" s="1">
        <v>-2.0536600000000001E-6</v>
      </c>
      <c r="I10220">
        <v>42.95675</v>
      </c>
      <c r="J10220">
        <v>-187.417</v>
      </c>
      <c r="K10220">
        <v>1.1081589999999999</v>
      </c>
      <c r="L10220">
        <v>5.4732669999999999</v>
      </c>
      <c r="M10220">
        <v>-1.4751530000000001E-3</v>
      </c>
      <c r="N10220">
        <v>0</v>
      </c>
      <c r="O10220">
        <v>0.99995679999999998</v>
      </c>
      <c r="P10220">
        <v>-1.0457279999999999E-2</v>
      </c>
      <c r="Q10220">
        <v>3.9398519999999999E-2</v>
      </c>
      <c r="R10220">
        <v>0.99916890000000003</v>
      </c>
      <c r="S10220">
        <v>7.1990970000000001E-2</v>
      </c>
      <c r="T10220">
        <v>-8.8267449999999997E-2</v>
      </c>
      <c r="U10220">
        <v>3.0068049999999999</v>
      </c>
      <c r="V10220">
        <v>-8.8055389999999994E-3</v>
      </c>
      <c r="W10220">
        <v>4.8595190000000003E-2</v>
      </c>
      <c r="X10220">
        <v>0.99877969999999905</v>
      </c>
      <c r="Y10220">
        <v>2.5400280000000001E-2</v>
      </c>
      <c r="Z10220">
        <v>-2.9334269999999999E-2</v>
      </c>
      <c r="AA10220">
        <v>0.99924690000000005</v>
      </c>
      <c r="AB10220">
        <v>37</v>
      </c>
      <c r="AC10220">
        <v>0.90360000000001095</v>
      </c>
      <c r="AD10220">
        <v>-1.10816105366</v>
      </c>
      <c r="AE10220">
        <v>37.483483</v>
      </c>
      <c r="AF10220">
        <v>0.95805833327689505</v>
      </c>
      <c r="AG10220">
        <v>-1.10816105366</v>
      </c>
      <c r="AH10220">
        <v>37.449396357264398</v>
      </c>
      <c r="AI10220">
        <v>91.694384593679999</v>
      </c>
      <c r="AJ10220">
        <v>88.534536368274999</v>
      </c>
      <c r="AK10220">
        <v>37.478036023974099</v>
      </c>
      <c r="AL10220">
        <v>87.2146035791814</v>
      </c>
      <c r="AM10220">
        <v>90.505123552286705</v>
      </c>
      <c r="AN10220">
        <v>0.99999995957015198</v>
      </c>
    </row>
    <row r="10221" spans="1:40" x14ac:dyDescent="0.25">
      <c r="A10221" t="str">
        <f>"20190312150920579"</f>
        <v>20190312150920579</v>
      </c>
      <c r="B10221" t="str">
        <f>"1552374560569534"</f>
        <v>1552374560569534</v>
      </c>
      <c r="C10221" t="s">
        <v>40</v>
      </c>
      <c r="D10221">
        <v>4.8387949999999904</v>
      </c>
      <c r="E10221">
        <v>0.51391039999999999</v>
      </c>
      <c r="F10221" t="s">
        <v>42</v>
      </c>
      <c r="G10221">
        <v>-186.46119999999999</v>
      </c>
      <c r="H10221" s="1">
        <v>-2.3721519999999999E-6</v>
      </c>
      <c r="I10221">
        <v>43.699060000000003</v>
      </c>
      <c r="J10221">
        <v>-187.41630000000001</v>
      </c>
      <c r="K10221">
        <v>1.1081319999999999</v>
      </c>
      <c r="L10221">
        <v>5.7991330000000003</v>
      </c>
      <c r="M10221" s="1">
        <v>-9.7090170000000006E-5</v>
      </c>
      <c r="N10221">
        <v>0</v>
      </c>
      <c r="O10221">
        <v>0.99995789999999996</v>
      </c>
      <c r="P10221">
        <v>-9.0293549999999993E-3</v>
      </c>
      <c r="Q10221">
        <v>3.9434400000000001E-2</v>
      </c>
      <c r="R10221">
        <v>0.9991814</v>
      </c>
      <c r="S10221">
        <v>7.5180049999999998E-2</v>
      </c>
      <c r="T10221">
        <v>-8.7164279999999997E-2</v>
      </c>
      <c r="U10221">
        <v>3.0067140000000001</v>
      </c>
      <c r="V10221">
        <v>-8.7517020000000001E-3</v>
      </c>
      <c r="W10221">
        <v>4.8639950000000001E-2</v>
      </c>
      <c r="X10221">
        <v>0.99877800000000005</v>
      </c>
      <c r="Y10221">
        <v>2.5082819999999999E-2</v>
      </c>
      <c r="Z10221">
        <v>-2.8968629999999999E-2</v>
      </c>
      <c r="AA10221">
        <v>0.99926559999999998</v>
      </c>
      <c r="AB10221">
        <v>37</v>
      </c>
      <c r="AC10221">
        <v>0.95510000000001505</v>
      </c>
      <c r="AD10221">
        <v>-1.1081343721519901</v>
      </c>
      <c r="AE10221">
        <v>37.899926999999998</v>
      </c>
      <c r="AF10221">
        <v>0.95796143288723301</v>
      </c>
      <c r="AG10221">
        <v>-1.1081343721519901</v>
      </c>
      <c r="AH10221">
        <v>37.867482259270098</v>
      </c>
      <c r="AI10221">
        <v>91.675659831829293</v>
      </c>
      <c r="AJ10221">
        <v>88.550855788259298</v>
      </c>
      <c r="AK10221">
        <v>37.895802729982897</v>
      </c>
      <c r="AL10221">
        <v>87.212035999298905</v>
      </c>
      <c r="AM10221">
        <v>90.502036243658495</v>
      </c>
      <c r="AN10221">
        <v>0.99999996515394896</v>
      </c>
    </row>
    <row r="10222" spans="1:40" x14ac:dyDescent="0.25">
      <c r="A10222" t="str">
        <f>"20190312150920601"</f>
        <v>20190312150920601</v>
      </c>
      <c r="B10222" t="str">
        <f>"1552374560589053"</f>
        <v>1552374560589053</v>
      </c>
      <c r="C10222" t="s">
        <v>40</v>
      </c>
      <c r="D10222">
        <v>4.8111079999999999</v>
      </c>
      <c r="E10222">
        <v>0.53832780000000002</v>
      </c>
      <c r="F10222" t="s">
        <v>42</v>
      </c>
      <c r="G10222">
        <v>-186.39510000000001</v>
      </c>
      <c r="H10222" s="1">
        <v>-2.6451529999999999E-6</v>
      </c>
      <c r="I10222">
        <v>44.308140000000002</v>
      </c>
      <c r="J10222">
        <v>-187.41499999999999</v>
      </c>
      <c r="K10222">
        <v>1.108114</v>
      </c>
      <c r="L10222">
        <v>6.1766360000000002</v>
      </c>
      <c r="M10222">
        <v>1.5005249999999999E-3</v>
      </c>
      <c r="N10222">
        <v>0</v>
      </c>
      <c r="O10222">
        <v>0.99995659999999997</v>
      </c>
      <c r="P10222">
        <v>-7.0456410000000001E-3</v>
      </c>
      <c r="Q10222">
        <v>3.9388069999999997E-2</v>
      </c>
      <c r="R10222">
        <v>0.99919919999999995</v>
      </c>
      <c r="S10222">
        <v>7.972717E-2</v>
      </c>
      <c r="T10222">
        <v>-8.6517689999999994E-2</v>
      </c>
      <c r="U10222">
        <v>3.0065919999999999</v>
      </c>
      <c r="V10222">
        <v>-8.362141E-3</v>
      </c>
      <c r="W10222">
        <v>4.8602329999999999E-2</v>
      </c>
      <c r="X10222">
        <v>0.99878319999999998</v>
      </c>
      <c r="Y10222">
        <v>2.499709E-2</v>
      </c>
      <c r="Z10222">
        <v>-2.8754499999999999E-2</v>
      </c>
      <c r="AA10222">
        <v>0.99927390000000005</v>
      </c>
      <c r="AB10222">
        <v>37</v>
      </c>
      <c r="AC10222">
        <v>1.0198999999999701</v>
      </c>
      <c r="AD10222">
        <v>-1.108116645153</v>
      </c>
      <c r="AE10222">
        <v>38.131504</v>
      </c>
      <c r="AF10222">
        <v>0.96186743499220395</v>
      </c>
      <c r="AG10222">
        <v>-1.108116645153</v>
      </c>
      <c r="AH10222">
        <v>38.1008381088783</v>
      </c>
      <c r="AI10222">
        <v>91.665378307974706</v>
      </c>
      <c r="AJ10222">
        <v>88.553857505150503</v>
      </c>
      <c r="AK10222">
        <v>38.129083073957098</v>
      </c>
      <c r="AL10222">
        <v>87.214194105580603</v>
      </c>
      <c r="AM10222">
        <v>90.4796878770007</v>
      </c>
      <c r="AN10222">
        <v>0.99999999624288605</v>
      </c>
    </row>
    <row r="10223" spans="1:40" x14ac:dyDescent="0.25">
      <c r="A10223" t="str">
        <f>"20190312150920624"</f>
        <v>20190312150920624</v>
      </c>
      <c r="B10223" t="str">
        <f>"1552374560619310"</f>
        <v>1552374560619310</v>
      </c>
      <c r="C10223" t="s">
        <v>40</v>
      </c>
      <c r="D10223">
        <v>5.0427850000000003</v>
      </c>
      <c r="E10223">
        <v>0.54288019999999904</v>
      </c>
      <c r="F10223" t="s">
        <v>42</v>
      </c>
      <c r="G10223">
        <v>-185.47559999999999</v>
      </c>
      <c r="H10223" s="1">
        <v>-4.0069770000000003E-6</v>
      </c>
      <c r="I10223">
        <v>27.10238</v>
      </c>
      <c r="J10223">
        <v>-187.41309999999999</v>
      </c>
      <c r="K10223">
        <v>1.1080950000000001</v>
      </c>
      <c r="L10223">
        <v>6.5515439999999998</v>
      </c>
      <c r="M10223">
        <v>3.0866859999999999E-3</v>
      </c>
      <c r="N10223">
        <v>0</v>
      </c>
      <c r="O10223">
        <v>0.99995290000000003</v>
      </c>
      <c r="P10223">
        <v>-4.9259120000000002E-3</v>
      </c>
      <c r="Q10223">
        <v>3.9438889999999997E-2</v>
      </c>
      <c r="R10223">
        <v>0.99920980000000004</v>
      </c>
      <c r="S10223">
        <v>0.2790222</v>
      </c>
      <c r="T10223">
        <v>-0.1594283</v>
      </c>
      <c r="U10223">
        <v>3.0106510000000002</v>
      </c>
      <c r="V10223">
        <v>-7.8253760000000002E-3</v>
      </c>
      <c r="W10223">
        <v>4.8661389999999999E-2</v>
      </c>
      <c r="X10223">
        <v>0.99878469999999997</v>
      </c>
      <c r="Y10223">
        <v>8.9080779999999998E-2</v>
      </c>
      <c r="Z10223">
        <v>-5.2662670000000002E-2</v>
      </c>
      <c r="AA10223">
        <v>0.99463120000000005</v>
      </c>
      <c r="AB10223">
        <v>38</v>
      </c>
      <c r="AC10223">
        <v>1.9375</v>
      </c>
      <c r="AD10223">
        <v>-1.108099006977</v>
      </c>
      <c r="AE10223">
        <v>20.550836</v>
      </c>
      <c r="AF10223">
        <v>1.8686690847862999</v>
      </c>
      <c r="AG10223">
        <v>-1.108099006977</v>
      </c>
      <c r="AH10223">
        <v>20.497649871833399</v>
      </c>
      <c r="AI10223">
        <v>93.081632207883302</v>
      </c>
      <c r="AJ10223">
        <v>84.791026789159403</v>
      </c>
      <c r="AK10223">
        <v>20.612458801073899</v>
      </c>
      <c r="AL10223">
        <v>87.210806280544602</v>
      </c>
      <c r="AM10223">
        <v>90.448897388930803</v>
      </c>
      <c r="AN10223">
        <v>1.0000000221701799</v>
      </c>
    </row>
    <row r="10224" spans="1:40" x14ac:dyDescent="0.25">
      <c r="A10224" t="str">
        <f>"20190312150920648"</f>
        <v>20190312150920648</v>
      </c>
      <c r="B10224" t="str">
        <f>"1552374560639807"</f>
        <v>1552374560639807</v>
      </c>
      <c r="C10224" t="s">
        <v>40</v>
      </c>
      <c r="D10224">
        <v>4.8667879999999997</v>
      </c>
      <c r="E10224">
        <v>0.54361959999999998</v>
      </c>
      <c r="F10224" t="s">
        <v>42</v>
      </c>
      <c r="G10224">
        <v>-184.97810000000001</v>
      </c>
      <c r="H10224" s="1">
        <v>-5.0449169999999996E-6</v>
      </c>
      <c r="I10224">
        <v>29.316130000000001</v>
      </c>
      <c r="J10224">
        <v>-187.41050000000001</v>
      </c>
      <c r="K10224">
        <v>1.108074</v>
      </c>
      <c r="L10224">
        <v>6.9371640000000001</v>
      </c>
      <c r="M10224">
        <v>4.7169380000000004E-3</v>
      </c>
      <c r="N10224">
        <v>0</v>
      </c>
      <c r="O10224">
        <v>0.99994649999999996</v>
      </c>
      <c r="P10224">
        <v>-3.0855359999999998E-3</v>
      </c>
      <c r="Q10224">
        <v>3.8879990000000003E-2</v>
      </c>
      <c r="R10224">
        <v>0.99923910000000005</v>
      </c>
      <c r="S10224">
        <v>0.32192989999999999</v>
      </c>
      <c r="T10224">
        <v>-0.1465033</v>
      </c>
      <c r="U10224">
        <v>3.009735</v>
      </c>
      <c r="V10224">
        <v>-7.6141200000000003E-3</v>
      </c>
      <c r="W10224">
        <v>4.8111760000000003E-2</v>
      </c>
      <c r="X10224">
        <v>0.9988129</v>
      </c>
      <c r="Y10224">
        <v>0.1015402</v>
      </c>
      <c r="Z10224">
        <v>-4.8354870000000001E-2</v>
      </c>
      <c r="AA10224">
        <v>0.99365559999999997</v>
      </c>
      <c r="AB10224">
        <v>38</v>
      </c>
      <c r="AC10224">
        <v>2.4323999999999999</v>
      </c>
      <c r="AD10224">
        <v>-1.1080790449169999</v>
      </c>
      <c r="AE10224">
        <v>22.378965999999998</v>
      </c>
      <c r="AF10224">
        <v>2.32118394433502</v>
      </c>
      <c r="AG10224">
        <v>-1.1080790449169999</v>
      </c>
      <c r="AH10224">
        <v>22.336069759779299</v>
      </c>
      <c r="AI10224">
        <v>92.824892955374295</v>
      </c>
      <c r="AJ10224">
        <v>84.067068877355993</v>
      </c>
      <c r="AK10224">
        <v>22.4836773323883</v>
      </c>
      <c r="AL10224">
        <v>87.242334525263004</v>
      </c>
      <c r="AM10224">
        <v>90.436766976387005</v>
      </c>
      <c r="AN10224">
        <v>0.99999996274003999</v>
      </c>
    </row>
    <row r="10225" spans="1:40" x14ac:dyDescent="0.25">
      <c r="A10225" t="str">
        <f>"20190312150920668"</f>
        <v>20190312150920668</v>
      </c>
      <c r="B10225" t="str">
        <f>"1552374560659326"</f>
        <v>1552374560659326</v>
      </c>
      <c r="C10225" t="s">
        <v>40</v>
      </c>
      <c r="D10225">
        <v>4.8443719999999999</v>
      </c>
      <c r="E10225">
        <v>0.54371539999999996</v>
      </c>
      <c r="F10225" t="s">
        <v>42</v>
      </c>
      <c r="G10225">
        <v>-184.7946</v>
      </c>
      <c r="H10225" s="1">
        <v>-1.6857570000000001E-6</v>
      </c>
      <c r="I10225">
        <v>30.53173</v>
      </c>
      <c r="J10225">
        <v>-187.4076</v>
      </c>
      <c r="K10225">
        <v>1.108061</v>
      </c>
      <c r="L10225">
        <v>7.2832030000000003</v>
      </c>
      <c r="M10225">
        <v>6.1791149999999998E-3</v>
      </c>
      <c r="N10225">
        <v>0</v>
      </c>
      <c r="O10225">
        <v>0.99993840000000001</v>
      </c>
      <c r="P10225">
        <v>-1.698015E-3</v>
      </c>
      <c r="Q10225">
        <v>3.8944020000000003E-2</v>
      </c>
      <c r="R10225">
        <v>0.99923989999999996</v>
      </c>
      <c r="S10225">
        <v>0.33358759999999998</v>
      </c>
      <c r="T10225">
        <v>-0.1413037</v>
      </c>
      <c r="U10225">
        <v>3.0088200000000001</v>
      </c>
      <c r="V10225">
        <v>-7.6860100000000001E-3</v>
      </c>
      <c r="W10225">
        <v>4.8184629999999999E-2</v>
      </c>
      <c r="X10225">
        <v>0.9988089</v>
      </c>
      <c r="Y10225">
        <v>0.103931</v>
      </c>
      <c r="Z10225">
        <v>-4.6640510000000003E-2</v>
      </c>
      <c r="AA10225">
        <v>0.99349030000000005</v>
      </c>
      <c r="AB10225">
        <v>38</v>
      </c>
      <c r="AC10225">
        <v>2.6129999999999902</v>
      </c>
      <c r="AD10225">
        <v>-1.108062685757</v>
      </c>
      <c r="AE10225">
        <v>23.248526999999999</v>
      </c>
      <c r="AF10225">
        <v>2.4637617438920998</v>
      </c>
      <c r="AG10225">
        <v>-1.108062685757</v>
      </c>
      <c r="AH10225">
        <v>23.212158176821799</v>
      </c>
      <c r="AI10225">
        <v>92.717771040098597</v>
      </c>
      <c r="AJ10225">
        <v>83.941252995942307</v>
      </c>
      <c r="AK10225">
        <v>23.368829925180901</v>
      </c>
      <c r="AL10225">
        <v>87.238154708612797</v>
      </c>
      <c r="AM10225">
        <v>90.440892389134802</v>
      </c>
      <c r="AN10225">
        <v>1.00000002601858</v>
      </c>
    </row>
    <row r="10226" spans="1:40" x14ac:dyDescent="0.25">
      <c r="A10226" t="str">
        <f>"20190312150920690"</f>
        <v>20190312150920690</v>
      </c>
      <c r="B10226" t="str">
        <f>"1552374560679821"</f>
        <v>1552374560679821</v>
      </c>
      <c r="C10226" t="s">
        <v>40</v>
      </c>
      <c r="D10226">
        <v>4.8537290000000004</v>
      </c>
      <c r="E10226">
        <v>0.54358240000000002</v>
      </c>
      <c r="F10226" t="s">
        <v>42</v>
      </c>
      <c r="G10226">
        <v>-184.6902</v>
      </c>
      <c r="H10226" s="1">
        <v>-2.0173000000000002E-6</v>
      </c>
      <c r="I10226">
        <v>31.424440000000001</v>
      </c>
      <c r="J10226">
        <v>-187.40369999999999</v>
      </c>
      <c r="K10226">
        <v>1.1080509999999999</v>
      </c>
      <c r="L10226">
        <v>7.6761780000000002</v>
      </c>
      <c r="M10226">
        <v>7.8390739999999997E-3</v>
      </c>
      <c r="N10226">
        <v>0</v>
      </c>
      <c r="O10226">
        <v>0.99992669999999995</v>
      </c>
      <c r="P10226">
        <v>-1.211265E-4</v>
      </c>
      <c r="Q10226">
        <v>3.861241E-2</v>
      </c>
      <c r="R10226">
        <v>0.99925419999999998</v>
      </c>
      <c r="S10226">
        <v>0.33860780000000001</v>
      </c>
      <c r="T10226">
        <v>-0.138075799999999</v>
      </c>
      <c r="U10226">
        <v>3.0082399999999998</v>
      </c>
      <c r="V10226">
        <v>-7.76757199999999E-3</v>
      </c>
      <c r="W10226">
        <v>4.7863129999999997E-2</v>
      </c>
      <c r="X10226">
        <v>0.99882369999999998</v>
      </c>
      <c r="Y10226">
        <v>0.10394390000000001</v>
      </c>
      <c r="Z10226">
        <v>-4.5581009999999998E-2</v>
      </c>
      <c r="AA10226">
        <v>0.99353809999999998</v>
      </c>
      <c r="AB10226">
        <v>38</v>
      </c>
      <c r="AC10226">
        <v>2.7134999999999798</v>
      </c>
      <c r="AD10226">
        <v>-1.1080530173000001</v>
      </c>
      <c r="AE10226">
        <v>23.748262</v>
      </c>
      <c r="AF10226">
        <v>2.5218250598534402</v>
      </c>
      <c r="AG10226">
        <v>-1.1080530173000001</v>
      </c>
      <c r="AH10226">
        <v>23.717836290964399</v>
      </c>
      <c r="AI10226">
        <v>92.659835877912101</v>
      </c>
      <c r="AJ10226">
        <v>83.930765989874203</v>
      </c>
      <c r="AK10226">
        <v>23.877251547165901</v>
      </c>
      <c r="AL10226">
        <v>87.256596505697601</v>
      </c>
      <c r="AM10226">
        <v>90.445564238403605</v>
      </c>
      <c r="AN10226">
        <v>0.99999999903493098</v>
      </c>
    </row>
    <row r="10227" spans="1:40" x14ac:dyDescent="0.25">
      <c r="A10227" t="str">
        <f>"20190312150920712"</f>
        <v>20190312150920712</v>
      </c>
      <c r="B10227" t="str">
        <f>"1552374560709101"</f>
        <v>1552374560709101</v>
      </c>
      <c r="C10227" t="s">
        <v>40</v>
      </c>
      <c r="D10227">
        <v>4.8659109999999997</v>
      </c>
      <c r="E10227">
        <v>0.54320760000000001</v>
      </c>
      <c r="F10227" t="s">
        <v>42</v>
      </c>
      <c r="G10227">
        <v>-184.60650000000001</v>
      </c>
      <c r="H10227" s="1">
        <v>-2.3190109999999998E-6</v>
      </c>
      <c r="I10227">
        <v>32.245530000000002</v>
      </c>
      <c r="J10227">
        <v>-187.39949999999999</v>
      </c>
      <c r="K10227">
        <v>1.1080380000000001</v>
      </c>
      <c r="L10227">
        <v>8.0424799999999994</v>
      </c>
      <c r="M10227">
        <v>9.3861210000000007E-3</v>
      </c>
      <c r="N10227">
        <v>0</v>
      </c>
      <c r="O10227">
        <v>0.9999133</v>
      </c>
      <c r="P10227">
        <v>8.0366899999999904E-4</v>
      </c>
      <c r="Q10227">
        <v>3.9071050000000003E-2</v>
      </c>
      <c r="R10227">
        <v>0.99923609999999896</v>
      </c>
      <c r="S10227">
        <v>0.34240720000000002</v>
      </c>
      <c r="T10227">
        <v>-0.1356356</v>
      </c>
      <c r="U10227">
        <v>3.0075069999999999</v>
      </c>
      <c r="V10227">
        <v>-8.3860629999999992E-3</v>
      </c>
      <c r="W10227">
        <v>4.833324E-2</v>
      </c>
      <c r="X10227">
        <v>0.99879600000000002</v>
      </c>
      <c r="Y10227">
        <v>0.1036753</v>
      </c>
      <c r="Z10227">
        <v>-4.4784499999999998E-2</v>
      </c>
      <c r="AA10227">
        <v>0.9936024</v>
      </c>
      <c r="AB10227">
        <v>38</v>
      </c>
      <c r="AC10227">
        <v>2.79299999999997</v>
      </c>
      <c r="AD10227">
        <v>-1.10804031901099</v>
      </c>
      <c r="AE10227">
        <v>24.203050000000001</v>
      </c>
      <c r="AF10227">
        <v>2.5603986909737002</v>
      </c>
      <c r="AG10227">
        <v>-1.10804031901099</v>
      </c>
      <c r="AH10227">
        <v>24.178191154273499</v>
      </c>
      <c r="AI10227">
        <v>92.609350493111506</v>
      </c>
      <c r="AJ10227">
        <v>83.955076095262001</v>
      </c>
      <c r="AK10227">
        <v>24.338617920865701</v>
      </c>
      <c r="AL10227">
        <v>87.229629809005502</v>
      </c>
      <c r="AM10227">
        <v>90.481053915288996</v>
      </c>
      <c r="AN10227">
        <v>0.99999993887876604</v>
      </c>
    </row>
    <row r="10228" spans="1:40" x14ac:dyDescent="0.25">
      <c r="A10228" t="str">
        <f>"20190312150920726"</f>
        <v>20190312150920726</v>
      </c>
      <c r="B10228" t="str">
        <f>"1552374560719838"</f>
        <v>1552374560719838</v>
      </c>
      <c r="C10228" t="s">
        <v>40</v>
      </c>
      <c r="D10228">
        <v>4.8583619999999996</v>
      </c>
      <c r="E10228">
        <v>0.5432901</v>
      </c>
      <c r="F10228" t="s">
        <v>42</v>
      </c>
      <c r="G10228">
        <v>-184.45500000000001</v>
      </c>
      <c r="H10228" s="1">
        <v>-2.9246720000000002E-6</v>
      </c>
      <c r="I10228">
        <v>33.906889999999997</v>
      </c>
      <c r="J10228">
        <v>-187.3964</v>
      </c>
      <c r="K10228">
        <v>1.1080319999999999</v>
      </c>
      <c r="L10228">
        <v>8.2894589999999901</v>
      </c>
      <c r="M10228">
        <v>1.0429280000000001E-2</v>
      </c>
      <c r="N10228">
        <v>0</v>
      </c>
      <c r="O10228">
        <v>0.99990290000000004</v>
      </c>
      <c r="P10228">
        <v>1.187446E-3</v>
      </c>
      <c r="Q10228">
        <v>3.8970030000000003E-2</v>
      </c>
      <c r="R10228">
        <v>0.99923969999999995</v>
      </c>
      <c r="S10228">
        <v>0.34233089999999999</v>
      </c>
      <c r="T10228">
        <v>-0.1288232</v>
      </c>
      <c r="U10228">
        <v>3.00705</v>
      </c>
      <c r="V10228">
        <v>-9.0442979999999992E-3</v>
      </c>
      <c r="W10228">
        <v>4.8240829999999998E-2</v>
      </c>
      <c r="X10228">
        <v>0.99879479999999998</v>
      </c>
      <c r="Y10228">
        <v>0.1026408</v>
      </c>
      <c r="Z10228">
        <v>-4.2547460000000002E-2</v>
      </c>
      <c r="AA10228">
        <v>0.99380809999999997</v>
      </c>
      <c r="AB10228">
        <v>38</v>
      </c>
      <c r="AC10228">
        <v>2.9413999999999798</v>
      </c>
      <c r="AD10228">
        <v>-1.1080349246719901</v>
      </c>
      <c r="AE10228">
        <v>25.617431</v>
      </c>
      <c r="AF10228">
        <v>2.6691287153604502</v>
      </c>
      <c r="AG10228">
        <v>-1.1080349246719901</v>
      </c>
      <c r="AH10228">
        <v>25.599446448164599</v>
      </c>
      <c r="AI10228">
        <v>92.465071458983601</v>
      </c>
      <c r="AJ10228">
        <v>84.047558011603002</v>
      </c>
      <c r="AK10228">
        <v>25.7620583018109</v>
      </c>
      <c r="AL10228">
        <v>87.234930905766404</v>
      </c>
      <c r="AM10228">
        <v>90.518811212436106</v>
      </c>
      <c r="AN10228">
        <v>1.00000001475622</v>
      </c>
    </row>
    <row r="10229" spans="1:40" x14ac:dyDescent="0.25">
      <c r="A10229" t="str">
        <f>"20190312150920745"</f>
        <v>20190312150920745</v>
      </c>
      <c r="B10229" t="str">
        <f>"1552374560739357"</f>
        <v>1552374560739357</v>
      </c>
      <c r="C10229" t="s">
        <v>40</v>
      </c>
      <c r="D10229">
        <v>4.8165559999999896</v>
      </c>
      <c r="E10229">
        <v>0.54301319999999997</v>
      </c>
      <c r="F10229" t="s">
        <v>42</v>
      </c>
      <c r="G10229">
        <v>-184.4247</v>
      </c>
      <c r="H10229" s="1">
        <v>-3.0498940000000001E-6</v>
      </c>
      <c r="I10229">
        <v>34.251159999999999</v>
      </c>
      <c r="J10229">
        <v>-187.3921</v>
      </c>
      <c r="K10229">
        <v>1.108025</v>
      </c>
      <c r="L10229">
        <v>8.5991210000000002</v>
      </c>
      <c r="M10229">
        <v>1.173682E-2</v>
      </c>
      <c r="N10229">
        <v>0</v>
      </c>
      <c r="O10229">
        <v>0.99988829999999995</v>
      </c>
      <c r="P10229">
        <v>1.799571E-3</v>
      </c>
      <c r="Q10229">
        <v>3.8899059999999999E-2</v>
      </c>
      <c r="R10229">
        <v>0.9992415</v>
      </c>
      <c r="S10229">
        <v>0.34417720000000002</v>
      </c>
      <c r="T10229">
        <v>-0.1283319</v>
      </c>
      <c r="U10229">
        <v>3.006866</v>
      </c>
      <c r="V10229">
        <v>-9.7382379999999998E-3</v>
      </c>
      <c r="W10229">
        <v>4.8180349999999997E-2</v>
      </c>
      <c r="X10229">
        <v>0.99879119999999999</v>
      </c>
      <c r="Y10229">
        <v>0.10195</v>
      </c>
      <c r="Z10229">
        <v>-4.2387180000000003E-2</v>
      </c>
      <c r="AA10229">
        <v>0.99388609999999999</v>
      </c>
      <c r="AB10229">
        <v>38</v>
      </c>
      <c r="AC10229">
        <v>2.9673999999999898</v>
      </c>
      <c r="AD10229">
        <v>-1.1080280498940001</v>
      </c>
      <c r="AE10229">
        <v>25.652038999999998</v>
      </c>
      <c r="AF10229">
        <v>2.66120969920033</v>
      </c>
      <c r="AG10229">
        <v>-1.1080280498940001</v>
      </c>
      <c r="AH10229">
        <v>25.637898565238402</v>
      </c>
      <c r="AI10229">
        <v>92.461481321284694</v>
      </c>
      <c r="AJ10229">
        <v>84.0739298974881</v>
      </c>
      <c r="AK10229">
        <v>25.7994497240527</v>
      </c>
      <c r="AL10229">
        <v>87.238400203891004</v>
      </c>
      <c r="AM10229">
        <v>90.558617514712097</v>
      </c>
      <c r="AN10229">
        <v>1.0000000203014501</v>
      </c>
    </row>
    <row r="10230" spans="1:40" x14ac:dyDescent="0.25">
      <c r="A10230" t="str">
        <f>"20190312150920768"</f>
        <v>20190312150920768</v>
      </c>
      <c r="B10230" t="str">
        <f>"1552374560759854"</f>
        <v>1552374560759854</v>
      </c>
      <c r="C10230" t="s">
        <v>40</v>
      </c>
      <c r="D10230">
        <v>4.8835610000000003</v>
      </c>
      <c r="E10230">
        <v>0.54276349999999995</v>
      </c>
      <c r="F10230" t="s">
        <v>42</v>
      </c>
      <c r="G10230">
        <v>-184.2388</v>
      </c>
      <c r="H10230" s="1">
        <v>-3.817513E-6</v>
      </c>
      <c r="I10230">
        <v>36.14931</v>
      </c>
      <c r="J10230">
        <v>-187.3861</v>
      </c>
      <c r="K10230">
        <v>1.1080159999999999</v>
      </c>
      <c r="L10230">
        <v>8.9904169999999901</v>
      </c>
      <c r="M10230">
        <v>1.3388829999999999E-2</v>
      </c>
      <c r="N10230">
        <v>0</v>
      </c>
      <c r="O10230">
        <v>0.99986750000000002</v>
      </c>
      <c r="P10230">
        <v>2.772488E-3</v>
      </c>
      <c r="Q10230">
        <v>3.8805939999999997E-2</v>
      </c>
      <c r="R10230">
        <v>0.99924290000000004</v>
      </c>
      <c r="S10230">
        <v>0.34410099999999999</v>
      </c>
      <c r="T10230">
        <v>-0.1209122</v>
      </c>
      <c r="U10230">
        <v>3.0063780000000002</v>
      </c>
      <c r="V10230">
        <v>-1.0415519999999999E-2</v>
      </c>
      <c r="W10230">
        <v>4.8099370000000002E-2</v>
      </c>
      <c r="X10230">
        <v>0.99878820000000001</v>
      </c>
      <c r="Y10230">
        <v>0.1003111</v>
      </c>
      <c r="Z10230">
        <v>-3.9949129999999999E-2</v>
      </c>
      <c r="AA10230">
        <v>0.99415379999999998</v>
      </c>
      <c r="AB10230">
        <v>38</v>
      </c>
      <c r="AC10230">
        <v>3.1473</v>
      </c>
      <c r="AD10230">
        <v>-1.1080198175129901</v>
      </c>
      <c r="AE10230">
        <v>27.158892999999999</v>
      </c>
      <c r="AF10230">
        <v>2.7788125752378798</v>
      </c>
      <c r="AG10230">
        <v>-1.1080198175129901</v>
      </c>
      <c r="AH10230">
        <v>27.154001308053701</v>
      </c>
      <c r="AI10230">
        <v>92.324532923209901</v>
      </c>
      <c r="AJ10230">
        <v>84.156960284898602</v>
      </c>
      <c r="AK10230">
        <v>27.318295962268301</v>
      </c>
      <c r="AL10230">
        <v>87.243045208931093</v>
      </c>
      <c r="AM10230">
        <v>90.597467718188</v>
      </c>
      <c r="AN10230">
        <v>0.99999995045525203</v>
      </c>
    </row>
    <row r="10231" spans="1:40" x14ac:dyDescent="0.25">
      <c r="A10231" t="str">
        <f>"20190312150920790"</f>
        <v>20190312150920790</v>
      </c>
      <c r="B10231" t="str">
        <f>"1552374560779377"</f>
        <v>1552374560779377</v>
      </c>
      <c r="C10231" t="s">
        <v>40</v>
      </c>
      <c r="D10231">
        <v>4.8864010000000002</v>
      </c>
      <c r="E10231">
        <v>0.54307249999999996</v>
      </c>
      <c r="F10231" t="s">
        <v>42</v>
      </c>
      <c r="G10231">
        <v>-184.1953</v>
      </c>
      <c r="H10231" s="1">
        <v>-4.1010220000000004E-6</v>
      </c>
      <c r="I10231">
        <v>36.79222</v>
      </c>
      <c r="J10231">
        <v>-187.37960000000001</v>
      </c>
      <c r="K10231">
        <v>1.108012</v>
      </c>
      <c r="L10231">
        <v>9.3683169999999993</v>
      </c>
      <c r="M10231">
        <v>1.498411E-2</v>
      </c>
      <c r="N10231">
        <v>0</v>
      </c>
      <c r="O10231">
        <v>0.99984470000000003</v>
      </c>
      <c r="P10231">
        <v>3.349931E-3</v>
      </c>
      <c r="Q10231">
        <v>3.8709029999999998E-2</v>
      </c>
      <c r="R10231">
        <v>0.99924489999999999</v>
      </c>
      <c r="S10231">
        <v>0.34498600000000001</v>
      </c>
      <c r="T10231">
        <v>-0.11980109999999999</v>
      </c>
      <c r="U10231">
        <v>3.0059809999999998</v>
      </c>
      <c r="V10231">
        <v>-1.1432370000000001E-2</v>
      </c>
      <c r="W10231">
        <v>4.8016499999999997E-2</v>
      </c>
      <c r="X10231">
        <v>0.99878109999999998</v>
      </c>
      <c r="Y10231">
        <v>9.9028889999999994E-2</v>
      </c>
      <c r="Z10231">
        <v>-3.958834E-2</v>
      </c>
      <c r="AA10231">
        <v>0.99429670000000003</v>
      </c>
      <c r="AB10231">
        <v>38</v>
      </c>
      <c r="AC10231">
        <v>3.1842999999999999</v>
      </c>
      <c r="AD10231">
        <v>-1.108016101022</v>
      </c>
      <c r="AE10231">
        <v>27.423902999999999</v>
      </c>
      <c r="AF10231">
        <v>2.7685426936421198</v>
      </c>
      <c r="AG10231">
        <v>-1.108016101022</v>
      </c>
      <c r="AH10231">
        <v>27.424367156352801</v>
      </c>
      <c r="AI10231">
        <v>92.301953342072295</v>
      </c>
      <c r="AJ10231">
        <v>84.235410618289606</v>
      </c>
      <c r="AK10231">
        <v>27.586018963472899</v>
      </c>
      <c r="AL10231">
        <v>87.247798896828201</v>
      </c>
      <c r="AM10231">
        <v>90.655797297587995</v>
      </c>
      <c r="AN10231">
        <v>0.99999998453663796</v>
      </c>
    </row>
    <row r="10232" spans="1:40" x14ac:dyDescent="0.25">
      <c r="A10232" t="str">
        <f>"20190312150920890"</f>
        <v>20190312150920890</v>
      </c>
      <c r="B10232" t="str">
        <f>"1552374560879901"</f>
        <v>1552374560879901</v>
      </c>
      <c r="C10232" t="s">
        <v>40</v>
      </c>
      <c r="D10232">
        <v>4.9224079999999999</v>
      </c>
      <c r="E10232">
        <v>0.54246899999999998</v>
      </c>
      <c r="F10232" t="s">
        <v>42</v>
      </c>
      <c r="G10232">
        <v>-184.09729999999999</v>
      </c>
      <c r="H10232" s="1">
        <v>-4.4668759999999997E-6</v>
      </c>
      <c r="I10232">
        <v>37.604489999999998</v>
      </c>
      <c r="J10232">
        <v>-187.34270000000001</v>
      </c>
      <c r="K10232">
        <v>1.107988</v>
      </c>
      <c r="L10232">
        <v>11.08911</v>
      </c>
      <c r="M10232">
        <v>2.223938E-2</v>
      </c>
      <c r="N10232">
        <v>0</v>
      </c>
      <c r="O10232">
        <v>0.99970879999999995</v>
      </c>
      <c r="P10232">
        <v>6.9128459999999899E-3</v>
      </c>
      <c r="Q10232">
        <v>4.0105429999999997E-2</v>
      </c>
      <c r="R10232">
        <v>0.99917160000000005</v>
      </c>
      <c r="S10232">
        <v>0.34939579999999998</v>
      </c>
      <c r="T10232">
        <v>-0.1179458</v>
      </c>
      <c r="U10232">
        <v>3.0056759999999998</v>
      </c>
      <c r="V10232">
        <v>-1.511026E-2</v>
      </c>
      <c r="W10232">
        <v>4.9521040000000002E-2</v>
      </c>
      <c r="X10232">
        <v>0.99865879999999996</v>
      </c>
      <c r="Y10232">
        <v>9.3259880000000003E-2</v>
      </c>
      <c r="Z10232">
        <v>-3.8979850000000003E-2</v>
      </c>
      <c r="AA10232">
        <v>0.9948785</v>
      </c>
      <c r="AB10232">
        <v>38</v>
      </c>
      <c r="AC10232">
        <v>3.2454000000000098</v>
      </c>
      <c r="AD10232">
        <v>-1.1079924668759999</v>
      </c>
      <c r="AE10232">
        <v>26.51538</v>
      </c>
      <c r="AF10232">
        <v>2.6503262584031799</v>
      </c>
      <c r="AG10232">
        <v>-1.1079924668759999</v>
      </c>
      <c r="AH10232">
        <v>26.535349918706999</v>
      </c>
      <c r="AI10232">
        <v>92.379191567103206</v>
      </c>
      <c r="AJ10232">
        <v>84.296266722955195</v>
      </c>
      <c r="AK10232">
        <v>26.690385382958699</v>
      </c>
      <c r="AL10232">
        <v>87.161492516735706</v>
      </c>
      <c r="AM10232">
        <v>90.866850687814406</v>
      </c>
      <c r="AN10232">
        <v>1.0000000260886901</v>
      </c>
    </row>
    <row r="10233" spans="1:40" x14ac:dyDescent="0.25">
      <c r="A10233" t="str">
        <f>"20190312150920913"</f>
        <v>20190312150920913</v>
      </c>
      <c r="B10233" t="str">
        <f>"1552374560909182"</f>
        <v>1552374560909182</v>
      </c>
      <c r="C10233" t="s">
        <v>40</v>
      </c>
      <c r="D10233">
        <v>4.7702780000000002</v>
      </c>
      <c r="E10233">
        <v>0.50669659999999905</v>
      </c>
      <c r="F10233" t="s">
        <v>42</v>
      </c>
      <c r="G10233">
        <v>-183.7124</v>
      </c>
      <c r="H10233" s="1">
        <v>-2.3963350000000002E-6</v>
      </c>
      <c r="I10233">
        <v>41.773699999999998</v>
      </c>
      <c r="J10233">
        <v>-187.333</v>
      </c>
      <c r="K10233">
        <v>1.107988</v>
      </c>
      <c r="L10233">
        <v>11.46744</v>
      </c>
      <c r="M10233">
        <v>2.383176E-2</v>
      </c>
      <c r="N10233">
        <v>0</v>
      </c>
      <c r="O10233">
        <v>0.99967189999999995</v>
      </c>
      <c r="P10233">
        <v>7.6701540000000002E-3</v>
      </c>
      <c r="Q10233">
        <v>4.0181969999999997E-2</v>
      </c>
      <c r="R10233">
        <v>0.99916289999999996</v>
      </c>
      <c r="S10233">
        <v>0.35545349999999998</v>
      </c>
      <c r="T10233">
        <v>-0.1084857</v>
      </c>
      <c r="U10233">
        <v>3.0043950000000001</v>
      </c>
      <c r="V10233">
        <v>-1.5943039999999999E-2</v>
      </c>
      <c r="W10233">
        <v>4.9625809999999999E-2</v>
      </c>
      <c r="X10233">
        <v>0.99864059999999999</v>
      </c>
      <c r="Y10233">
        <v>9.3715049999999994E-2</v>
      </c>
      <c r="Z10233">
        <v>-3.5865830000000001E-2</v>
      </c>
      <c r="AA10233">
        <v>0.99495290000000003</v>
      </c>
      <c r="AB10233">
        <v>38</v>
      </c>
      <c r="AC10233">
        <v>3.6205999999999898</v>
      </c>
      <c r="AD10233">
        <v>-1.107990396335</v>
      </c>
      <c r="AE10233">
        <v>30.306260000000002</v>
      </c>
      <c r="AF10233">
        <v>2.8934752022814898</v>
      </c>
      <c r="AG10233">
        <v>-1.107990396335</v>
      </c>
      <c r="AH10233">
        <v>30.343953273252701</v>
      </c>
      <c r="AI10233">
        <v>92.081755681558306</v>
      </c>
      <c r="AJ10233">
        <v>84.552978572042505</v>
      </c>
      <c r="AK10233">
        <v>30.501726864456899</v>
      </c>
      <c r="AL10233">
        <v>87.155482102198206</v>
      </c>
      <c r="AM10233">
        <v>90.914634664649597</v>
      </c>
      <c r="AN10233">
        <v>0.99999997475547797</v>
      </c>
    </row>
    <row r="10234" spans="1:40" x14ac:dyDescent="0.25">
      <c r="A10234" t="str">
        <f>"20190312150920934"</f>
        <v>20190312150920934</v>
      </c>
      <c r="B10234" t="str">
        <f>"1552374560929677"</f>
        <v>1552374560929677</v>
      </c>
      <c r="C10234" t="s">
        <v>40</v>
      </c>
      <c r="D10234">
        <v>4.8190530000000003</v>
      </c>
      <c r="E10234">
        <v>0.50714099999999995</v>
      </c>
      <c r="F10234" t="s">
        <v>42</v>
      </c>
      <c r="G10234">
        <v>-186.12389999999999</v>
      </c>
      <c r="H10234" s="1">
        <v>-1.6211550000000001E-6</v>
      </c>
      <c r="I10234">
        <v>61.381239999999998</v>
      </c>
      <c r="J10234">
        <v>-187.3227</v>
      </c>
      <c r="K10234">
        <v>1.1079920000000001</v>
      </c>
      <c r="L10234">
        <v>11.840120000000001</v>
      </c>
      <c r="M10234">
        <v>2.539338E-2</v>
      </c>
      <c r="N10234">
        <v>0</v>
      </c>
      <c r="O10234">
        <v>0.99963329999999995</v>
      </c>
      <c r="P10234">
        <v>7.1437619999999997E-3</v>
      </c>
      <c r="Q10234">
        <v>4.0232700000000003E-2</v>
      </c>
      <c r="R10234">
        <v>0.99916479999999996</v>
      </c>
      <c r="S10234">
        <v>7.2784420000000002E-2</v>
      </c>
      <c r="T10234">
        <v>-6.6697119999999999E-2</v>
      </c>
      <c r="U10234">
        <v>3.0046390000000001</v>
      </c>
      <c r="V10234">
        <v>-1.8029590000000002E-2</v>
      </c>
      <c r="W10234">
        <v>4.970774E-2</v>
      </c>
      <c r="X10234">
        <v>0.99860110000000002</v>
      </c>
      <c r="Y10234">
        <v>-1.183908E-3</v>
      </c>
      <c r="Z10234">
        <v>-2.2178590000000001E-2</v>
      </c>
      <c r="AA10234">
        <v>0.99975329999999996</v>
      </c>
      <c r="AB10234">
        <v>38</v>
      </c>
      <c r="AC10234">
        <v>1.1988000000000001</v>
      </c>
      <c r="AD10234">
        <v>-1.1079936211550001</v>
      </c>
      <c r="AE10234">
        <v>49.541119999999999</v>
      </c>
      <c r="AF10234">
        <v>-5.9628915092591002E-2</v>
      </c>
      <c r="AG10234">
        <v>-1.1079936211550001</v>
      </c>
      <c r="AH10234">
        <v>49.530825521702198</v>
      </c>
      <c r="AI10234">
        <v>91.281479272272804</v>
      </c>
      <c r="AJ10234">
        <v>90.068976914582805</v>
      </c>
      <c r="AK10234">
        <v>49.543252641841597</v>
      </c>
      <c r="AL10234">
        <v>87.150782247822207</v>
      </c>
      <c r="AM10234">
        <v>91.034354146287598</v>
      </c>
      <c r="AN10234">
        <v>1.0000000412263399</v>
      </c>
    </row>
    <row r="10235" spans="1:40" x14ac:dyDescent="0.25">
      <c r="A10235" t="str">
        <f>"20190312150920957"</f>
        <v>20190312150920957</v>
      </c>
      <c r="B10235" t="str">
        <f>"1552374560949197"</f>
        <v>1552374560949197</v>
      </c>
      <c r="C10235" t="s">
        <v>40</v>
      </c>
      <c r="D10235">
        <v>4.8808049999999996</v>
      </c>
      <c r="E10235">
        <v>0.50743509999999903</v>
      </c>
      <c r="F10235" t="s">
        <v>42</v>
      </c>
      <c r="G10235">
        <v>-186.2055</v>
      </c>
      <c r="H10235" s="1">
        <v>-3.684024E-6</v>
      </c>
      <c r="I10235">
        <v>56.651350000000001</v>
      </c>
      <c r="J10235">
        <v>-187.31139999999999</v>
      </c>
      <c r="K10235">
        <v>1.107996</v>
      </c>
      <c r="L10235">
        <v>12.233919999999999</v>
      </c>
      <c r="M10235">
        <v>2.702945E-2</v>
      </c>
      <c r="N10235">
        <v>0</v>
      </c>
      <c r="O10235">
        <v>0.99959010000000004</v>
      </c>
      <c r="P10235">
        <v>6.1528759999999998E-3</v>
      </c>
      <c r="Q10235">
        <v>4.049821E-2</v>
      </c>
      <c r="R10235">
        <v>0.99916059999999995</v>
      </c>
      <c r="S10235">
        <v>7.4920650000000005E-2</v>
      </c>
      <c r="T10235">
        <v>-7.4300530000000004E-2</v>
      </c>
      <c r="U10235">
        <v>3.0049739999999998</v>
      </c>
      <c r="V10235">
        <v>-2.0654809999999999E-2</v>
      </c>
      <c r="W10235">
        <v>5.0005380000000002E-2</v>
      </c>
      <c r="X10235">
        <v>0.99853530000000001</v>
      </c>
      <c r="Y10235">
        <v>-2.1145059999999999E-3</v>
      </c>
      <c r="Z10235">
        <v>-2.4700880000000001E-2</v>
      </c>
      <c r="AA10235">
        <v>0.99969269999999999</v>
      </c>
      <c r="AB10235">
        <v>38</v>
      </c>
      <c r="AC10235">
        <v>1.1058999999999899</v>
      </c>
      <c r="AD10235">
        <v>-1.1079996840240001</v>
      </c>
      <c r="AE10235">
        <v>44.417429999999896</v>
      </c>
      <c r="AF10235">
        <v>-9.5077121212464796E-2</v>
      </c>
      <c r="AG10235">
        <v>-1.1079996840240001</v>
      </c>
      <c r="AH10235">
        <v>44.403479872854803</v>
      </c>
      <c r="AI10235">
        <v>91.429401235639403</v>
      </c>
      <c r="AJ10235">
        <v>90.122682038978297</v>
      </c>
      <c r="AK10235">
        <v>44.417403433539398</v>
      </c>
      <c r="AL10235">
        <v>87.133707243121194</v>
      </c>
      <c r="AM10235">
        <v>91.185000366329305</v>
      </c>
      <c r="AN10235">
        <v>0.99999995227558403</v>
      </c>
    </row>
    <row r="10236" spans="1:40" x14ac:dyDescent="0.25">
      <c r="A10236" t="str">
        <f>"20190312150920980"</f>
        <v>20190312150920980</v>
      </c>
      <c r="B10236" t="str">
        <f>"1552374560969694"</f>
        <v>1552374560969694</v>
      </c>
      <c r="C10236" t="s">
        <v>40</v>
      </c>
      <c r="D10236">
        <v>4.9720789999999999</v>
      </c>
      <c r="E10236">
        <v>0.50607879999999905</v>
      </c>
      <c r="F10236" t="s">
        <v>42</v>
      </c>
      <c r="G10236">
        <v>-186.31280000000001</v>
      </c>
      <c r="H10236" s="1">
        <v>-2.0210350000000001E-6</v>
      </c>
      <c r="I10236">
        <v>52.7040199999999</v>
      </c>
      <c r="J10236">
        <v>-187.29949999999999</v>
      </c>
      <c r="K10236">
        <v>1.108006</v>
      </c>
      <c r="L10236">
        <v>12.621980000000001</v>
      </c>
      <c r="M10236">
        <v>2.8617940000000001E-2</v>
      </c>
      <c r="N10236">
        <v>0</v>
      </c>
      <c r="O10236">
        <v>0.99954569999999998</v>
      </c>
      <c r="P10236">
        <v>5.3109969999999996E-3</v>
      </c>
      <c r="Q10236">
        <v>4.0885970000000001E-2</v>
      </c>
      <c r="R10236">
        <v>0.99914970000000003</v>
      </c>
      <c r="S10236">
        <v>7.4157710000000002E-2</v>
      </c>
      <c r="T10236">
        <v>-8.2282419999999995E-2</v>
      </c>
      <c r="U10236">
        <v>3.0054020000000001</v>
      </c>
      <c r="V10236">
        <v>-2.3083050000000001E-2</v>
      </c>
      <c r="W10236">
        <v>5.0423040000000002E-2</v>
      </c>
      <c r="X10236">
        <v>0.99846120000000005</v>
      </c>
      <c r="Y10236">
        <v>-3.9625399999999996E-3</v>
      </c>
      <c r="Z10236">
        <v>-2.7346849999999999E-2</v>
      </c>
      <c r="AA10236">
        <v>0.99961820000000001</v>
      </c>
      <c r="AB10236">
        <v>38</v>
      </c>
      <c r="AC10236">
        <v>0.98669999999998403</v>
      </c>
      <c r="AD10236">
        <v>-1.1080080210349901</v>
      </c>
      <c r="AE10236">
        <v>40.0820399999999</v>
      </c>
      <c r="AF10236">
        <v>-0.16069813778594599</v>
      </c>
      <c r="AG10236">
        <v>-1.1080080210349901</v>
      </c>
      <c r="AH10236">
        <v>40.063264094340902</v>
      </c>
      <c r="AI10236">
        <v>91.5841818161162</v>
      </c>
      <c r="AJ10236">
        <v>90.229818410967695</v>
      </c>
      <c r="AK10236">
        <v>40.078905119265301</v>
      </c>
      <c r="AL10236">
        <v>87.109747110769803</v>
      </c>
      <c r="AM10236">
        <v>91.324363726241401</v>
      </c>
      <c r="AN10236">
        <v>1.0000000390327899</v>
      </c>
    </row>
    <row r="10237" spans="1:40" x14ac:dyDescent="0.25">
      <c r="A10237" t="str">
        <f>"20190312150921001"</f>
        <v>20190312150921001</v>
      </c>
      <c r="B10237" t="str">
        <f>"1552374560999950"</f>
        <v>1552374560999950</v>
      </c>
      <c r="C10237" t="s">
        <v>40</v>
      </c>
      <c r="D10237">
        <v>4.8587420000000003</v>
      </c>
      <c r="E10237">
        <v>0.50566750000000005</v>
      </c>
      <c r="F10237" t="s">
        <v>42</v>
      </c>
      <c r="G10237">
        <v>-186.51499999999999</v>
      </c>
      <c r="H10237" s="1">
        <v>-1.5141849999999901E-6</v>
      </c>
      <c r="I10237">
        <v>51.372729999999997</v>
      </c>
      <c r="J10237">
        <v>-187.28749999999999</v>
      </c>
      <c r="K10237">
        <v>1.108026</v>
      </c>
      <c r="L10237">
        <v>12.997769999999999</v>
      </c>
      <c r="M10237">
        <v>3.0120959999999999E-2</v>
      </c>
      <c r="N10237">
        <v>0</v>
      </c>
      <c r="O10237">
        <v>0.99950130000000004</v>
      </c>
      <c r="P10237">
        <v>3.9565779999999997E-3</v>
      </c>
      <c r="Q10237">
        <v>4.1434510000000001E-2</v>
      </c>
      <c r="R10237">
        <v>0.99913339999999995</v>
      </c>
      <c r="S10237">
        <v>6.0852049999999998E-2</v>
      </c>
      <c r="T10237">
        <v>-8.5943580000000006E-2</v>
      </c>
      <c r="U10237">
        <v>3.0057369999999999</v>
      </c>
      <c r="V10237">
        <v>-2.593881E-2</v>
      </c>
      <c r="W10237">
        <v>5.0999269999999999E-2</v>
      </c>
      <c r="X10237">
        <v>0.99836179999999997</v>
      </c>
      <c r="Y10237">
        <v>-9.8924319999999996E-3</v>
      </c>
      <c r="Z10237">
        <v>-2.8558429999999999E-2</v>
      </c>
      <c r="AA10237">
        <v>0.99954319999999997</v>
      </c>
      <c r="AB10237">
        <v>38</v>
      </c>
      <c r="AC10237">
        <v>0.77250000000000696</v>
      </c>
      <c r="AD10237">
        <v>-1.108027514185</v>
      </c>
      <c r="AE10237">
        <v>38.374959999999902</v>
      </c>
      <c r="AF10237">
        <v>-0.383473559749473</v>
      </c>
      <c r="AG10237">
        <v>-1.108027514185</v>
      </c>
      <c r="AH10237">
        <v>38.348857549031898</v>
      </c>
      <c r="AI10237">
        <v>91.654924696904999</v>
      </c>
      <c r="AJ10237">
        <v>90.572916265397097</v>
      </c>
      <c r="AK10237">
        <v>38.366777975993202</v>
      </c>
      <c r="AL10237">
        <v>87.0766889620771</v>
      </c>
      <c r="AM10237">
        <v>91.488288180471599</v>
      </c>
      <c r="AN10237">
        <v>1.0000000155519899</v>
      </c>
    </row>
    <row r="10238" spans="1:40" x14ac:dyDescent="0.25">
      <c r="A10238" t="str">
        <f>"20190312150921025"</f>
        <v>20190312150921025</v>
      </c>
      <c r="B10238" t="str">
        <f>"1552374561019470"</f>
        <v>1552374561019470</v>
      </c>
      <c r="C10238" t="s">
        <v>40</v>
      </c>
      <c r="D10238">
        <v>4.8691680000000002</v>
      </c>
      <c r="E10238">
        <v>0.50581969999999998</v>
      </c>
      <c r="F10238" t="s">
        <v>42</v>
      </c>
      <c r="G10238">
        <v>-186.63059999999999</v>
      </c>
      <c r="H10238" s="1">
        <v>-1.032872E-6</v>
      </c>
      <c r="I10238">
        <v>50.048740000000002</v>
      </c>
      <c r="J10238">
        <v>-187.27449999999999</v>
      </c>
      <c r="K10238">
        <v>1.108063</v>
      </c>
      <c r="L10238">
        <v>13.38794</v>
      </c>
      <c r="M10238">
        <v>3.1632899999999999E-2</v>
      </c>
      <c r="N10238">
        <v>0</v>
      </c>
      <c r="O10238">
        <v>0.99945450000000002</v>
      </c>
      <c r="P10238">
        <v>2.3302140000000002E-3</v>
      </c>
      <c r="Q10238">
        <v>4.1272839999999998E-2</v>
      </c>
      <c r="R10238">
        <v>0.99914519999999996</v>
      </c>
      <c r="S10238">
        <v>5.3298949999999998E-2</v>
      </c>
      <c r="T10238">
        <v>-8.9899899999999894E-2</v>
      </c>
      <c r="U10238">
        <v>3.0061339999999999</v>
      </c>
      <c r="V10238">
        <v>-2.9080370000000001E-2</v>
      </c>
      <c r="W10238">
        <v>5.086545E-2</v>
      </c>
      <c r="X10238">
        <v>0.998282</v>
      </c>
      <c r="Y10238">
        <v>-1.391886E-2</v>
      </c>
      <c r="Z10238">
        <v>-2.9865900000000001E-2</v>
      </c>
      <c r="AA10238">
        <v>0.99945700000000004</v>
      </c>
      <c r="AB10238">
        <v>38</v>
      </c>
      <c r="AC10238">
        <v>0.64390000000000203</v>
      </c>
      <c r="AD10238">
        <v>-1.1080640328719999</v>
      </c>
      <c r="AE10238">
        <v>36.660800000000002</v>
      </c>
      <c r="AF10238">
        <v>-0.51569095443972202</v>
      </c>
      <c r="AG10238">
        <v>-1.1080640328719999</v>
      </c>
      <c r="AH10238">
        <v>36.629369018513998</v>
      </c>
      <c r="AI10238">
        <v>91.732537409570796</v>
      </c>
      <c r="AJ10238">
        <v>90.8065921992619</v>
      </c>
      <c r="AK10238">
        <v>36.649753310983002</v>
      </c>
      <c r="AL10238">
        <v>87.084366075817002</v>
      </c>
      <c r="AM10238">
        <v>91.668578027539297</v>
      </c>
      <c r="AN10238">
        <v>0.99999995672351805</v>
      </c>
    </row>
    <row r="10239" spans="1:40" x14ac:dyDescent="0.25">
      <c r="A10239" t="str">
        <f>"20190312150921048"</f>
        <v>20190312150921048</v>
      </c>
      <c r="B10239" t="str">
        <f>"1552374561039966"</f>
        <v>1552374561039966</v>
      </c>
      <c r="C10239" t="s">
        <v>40</v>
      </c>
      <c r="D10239">
        <v>4.8537460000000001</v>
      </c>
      <c r="E10239">
        <v>0.50565070000000001</v>
      </c>
      <c r="F10239" t="s">
        <v>42</v>
      </c>
      <c r="G10239">
        <v>-186.71860000000001</v>
      </c>
      <c r="H10239" s="1">
        <v>-3.8686889999999998E-6</v>
      </c>
      <c r="I10239">
        <v>47.293979999999998</v>
      </c>
      <c r="J10239">
        <v>-187.2602</v>
      </c>
      <c r="K10239">
        <v>1.1081129999999999</v>
      </c>
      <c r="L10239">
        <v>13.79584</v>
      </c>
      <c r="M10239">
        <v>3.3139929999999998E-2</v>
      </c>
      <c r="N10239">
        <v>0</v>
      </c>
      <c r="O10239">
        <v>0.99940549999999995</v>
      </c>
      <c r="P10239">
        <v>5.7403E-4</v>
      </c>
      <c r="Q10239">
        <v>4.1671159999999999E-2</v>
      </c>
      <c r="R10239">
        <v>0.9991312</v>
      </c>
      <c r="S10239">
        <v>4.9285889999999999E-2</v>
      </c>
      <c r="T10239">
        <v>-9.8253969999999996E-2</v>
      </c>
      <c r="U10239">
        <v>3.0065</v>
      </c>
      <c r="V10239">
        <v>-3.2345470000000001E-2</v>
      </c>
      <c r="W10239">
        <v>5.1288800000000002E-2</v>
      </c>
      <c r="X10239">
        <v>0.99815989999999999</v>
      </c>
      <c r="Y10239">
        <v>-1.6763799999999999E-2</v>
      </c>
      <c r="Z10239">
        <v>-3.2631680000000003E-2</v>
      </c>
      <c r="AA10239">
        <v>0.99932679999999996</v>
      </c>
      <c r="AB10239">
        <v>39</v>
      </c>
      <c r="AC10239">
        <v>0.54159999999998798</v>
      </c>
      <c r="AD10239">
        <v>-1.1081168686889999</v>
      </c>
      <c r="AE10239">
        <v>33.498139999999999</v>
      </c>
      <c r="AF10239">
        <v>-0.56825204104184801</v>
      </c>
      <c r="AG10239">
        <v>-1.1081168686889999</v>
      </c>
      <c r="AH10239">
        <v>33.461081599536399</v>
      </c>
      <c r="AI10239">
        <v>91.896474303734706</v>
      </c>
      <c r="AJ10239">
        <v>90.9729307193887</v>
      </c>
      <c r="AK10239">
        <v>33.484247269240697</v>
      </c>
      <c r="AL10239">
        <v>87.0600782668497</v>
      </c>
      <c r="AM10239">
        <v>91.856025902561697</v>
      </c>
      <c r="AN10239">
        <v>0.99999997820148501</v>
      </c>
    </row>
    <row r="10240" spans="1:40" x14ac:dyDescent="0.25">
      <c r="A10240" t="str">
        <f>"20190312150921071"</f>
        <v>20190312150921071</v>
      </c>
      <c r="B10240" t="str">
        <f>"1552374561059485"</f>
        <v>1552374561059485</v>
      </c>
      <c r="C10240" t="s">
        <v>40</v>
      </c>
      <c r="D10240">
        <v>4.8323539999999996</v>
      </c>
      <c r="E10240">
        <v>0.50567320000000004</v>
      </c>
      <c r="F10240" t="s">
        <v>42</v>
      </c>
      <c r="G10240">
        <v>-186.774</v>
      </c>
      <c r="H10240" s="1">
        <v>-4.2184290000000003E-6</v>
      </c>
      <c r="I10240">
        <v>48.132129999999997</v>
      </c>
      <c r="J10240">
        <v>-187.24600000000001</v>
      </c>
      <c r="K10240">
        <v>1.108171</v>
      </c>
      <c r="L10240">
        <v>14.187290000000001</v>
      </c>
      <c r="M10240">
        <v>3.452715E-2</v>
      </c>
      <c r="N10240">
        <v>0</v>
      </c>
      <c r="O10240">
        <v>0.99935839999999998</v>
      </c>
      <c r="P10240">
        <v>-8.7967929999999996E-4</v>
      </c>
      <c r="Q10240">
        <v>4.2516190000000002E-2</v>
      </c>
      <c r="R10240">
        <v>0.99909539999999997</v>
      </c>
      <c r="S10240">
        <v>4.2572020000000002E-2</v>
      </c>
      <c r="T10240">
        <v>-9.7031119999999998E-2</v>
      </c>
      <c r="U10240">
        <v>3.0066220000000001</v>
      </c>
      <c r="V10240">
        <v>-3.5185710000000002E-2</v>
      </c>
      <c r="W10240">
        <v>5.2154060000000002E-2</v>
      </c>
      <c r="X10240">
        <v>0.99801899999999999</v>
      </c>
      <c r="Y10240">
        <v>-2.0383060000000001E-2</v>
      </c>
      <c r="Z10240">
        <v>-3.222187E-2</v>
      </c>
      <c r="AA10240">
        <v>0.99927290000000002</v>
      </c>
      <c r="AB10240">
        <v>39</v>
      </c>
      <c r="AC10240">
        <v>0.47199999999997899</v>
      </c>
      <c r="AD10240">
        <v>-1.1081752184289999</v>
      </c>
      <c r="AE10240">
        <v>33.944839999999999</v>
      </c>
      <c r="AF10240">
        <v>-0.69960768005256802</v>
      </c>
      <c r="AG10240">
        <v>-1.1081752184289999</v>
      </c>
      <c r="AH10240">
        <v>33.9047682675712</v>
      </c>
      <c r="AI10240">
        <v>91.8716443714885</v>
      </c>
      <c r="AJ10240">
        <v>91.1821015681098</v>
      </c>
      <c r="AK10240">
        <v>33.930087157247797</v>
      </c>
      <c r="AL10240">
        <v>87.010436146479904</v>
      </c>
      <c r="AM10240">
        <v>92.019157994536499</v>
      </c>
      <c r="AN10240">
        <v>1.00000000226184</v>
      </c>
    </row>
    <row r="10241" spans="1:40" x14ac:dyDescent="0.25">
      <c r="A10241" t="str">
        <f>"20190312150921090"</f>
        <v>20190312150921090</v>
      </c>
      <c r="B10241" t="str">
        <f>"1552374561079982"</f>
        <v>1552374561079982</v>
      </c>
      <c r="C10241" t="s">
        <v>40</v>
      </c>
      <c r="D10241">
        <v>4.9496960000000003</v>
      </c>
      <c r="E10241">
        <v>0.50576579999999904</v>
      </c>
      <c r="F10241" t="s">
        <v>42</v>
      </c>
      <c r="G10241">
        <v>-186.82</v>
      </c>
      <c r="H10241" s="1">
        <v>-4.0424989999999996E-6</v>
      </c>
      <c r="I10241">
        <v>47.741059999999997</v>
      </c>
      <c r="J10241">
        <v>-187.2329</v>
      </c>
      <c r="K10241">
        <v>1.108225</v>
      </c>
      <c r="L10241">
        <v>14.538119999999999</v>
      </c>
      <c r="M10241">
        <v>3.5711390000000003E-2</v>
      </c>
      <c r="N10241">
        <v>0</v>
      </c>
      <c r="O10241">
        <v>0.9993166</v>
      </c>
      <c r="P10241">
        <v>-1.645816E-3</v>
      </c>
      <c r="Q10241">
        <v>4.3057560000000002E-2</v>
      </c>
      <c r="R10241">
        <v>0.99907120000000005</v>
      </c>
      <c r="S10241">
        <v>3.8177490000000001E-2</v>
      </c>
      <c r="T10241">
        <v>-9.9311350000000007E-2</v>
      </c>
      <c r="U10241">
        <v>3.0069889999999999</v>
      </c>
      <c r="V10241">
        <v>-3.7137620000000003E-2</v>
      </c>
      <c r="W10241">
        <v>5.2709770000000003E-2</v>
      </c>
      <c r="X10241">
        <v>0.99791909999999895</v>
      </c>
      <c r="Y10241">
        <v>-2.3029910000000001E-2</v>
      </c>
      <c r="Z10241">
        <v>-3.2971569999999999E-2</v>
      </c>
      <c r="AA10241">
        <v>0.99919089999999999</v>
      </c>
      <c r="AB10241">
        <v>39</v>
      </c>
      <c r="AC10241">
        <v>0.41290000000000698</v>
      </c>
      <c r="AD10241">
        <v>-1.108229042499</v>
      </c>
      <c r="AE10241">
        <v>33.202939999999998</v>
      </c>
      <c r="AF10241">
        <v>-0.772280277110165</v>
      </c>
      <c r="AG10241">
        <v>-1.108229042499</v>
      </c>
      <c r="AH10241">
        <v>33.159569494043801</v>
      </c>
      <c r="AI10241">
        <v>91.913656530769501</v>
      </c>
      <c r="AJ10241">
        <v>91.3341669815795</v>
      </c>
      <c r="AK10241">
        <v>33.187070335710203</v>
      </c>
      <c r="AL10241">
        <v>86.978552525546604</v>
      </c>
      <c r="AM10241">
        <v>92.131282368287003</v>
      </c>
      <c r="AN10241">
        <v>1.0000000264087601</v>
      </c>
    </row>
    <row r="10242" spans="1:40" x14ac:dyDescent="0.25">
      <c r="A10242" t="str">
        <f>"20190312150921114"</f>
        <v>20190312150921114</v>
      </c>
      <c r="B10242" t="str">
        <f>"1552374561109262"</f>
        <v>1552374561109262</v>
      </c>
      <c r="C10242" t="s">
        <v>40</v>
      </c>
      <c r="D10242">
        <v>5.1515040000000001</v>
      </c>
      <c r="E10242">
        <v>0.5059804</v>
      </c>
      <c r="F10242" t="s">
        <v>42</v>
      </c>
      <c r="G10242">
        <v>-186.8134</v>
      </c>
      <c r="H10242" s="1">
        <v>-4.6139799999999997E-6</v>
      </c>
      <c r="I10242">
        <v>49.07047</v>
      </c>
      <c r="J10242">
        <v>-187.21770000000001</v>
      </c>
      <c r="K10242">
        <v>1.1082890000000001</v>
      </c>
      <c r="L10242">
        <v>14.9343</v>
      </c>
      <c r="M10242">
        <v>3.6964329999999997E-2</v>
      </c>
      <c r="N10242">
        <v>0</v>
      </c>
      <c r="O10242">
        <v>0.99927089999999996</v>
      </c>
      <c r="P10242">
        <v>-2.630622E-3</v>
      </c>
      <c r="Q10242">
        <v>4.34364E-2</v>
      </c>
      <c r="R10242">
        <v>0.99905270000000002</v>
      </c>
      <c r="S10242">
        <v>3.6529539999999999E-2</v>
      </c>
      <c r="T10242">
        <v>-9.6502779999999996E-2</v>
      </c>
      <c r="U10242">
        <v>3.0070190000000001</v>
      </c>
      <c r="V10242">
        <v>-3.9379360000000002E-2</v>
      </c>
      <c r="W10242">
        <v>5.3103560000000001E-2</v>
      </c>
      <c r="X10242">
        <v>0.99781229999999999</v>
      </c>
      <c r="Y10242">
        <v>-2.4830640000000001E-2</v>
      </c>
      <c r="Z10242">
        <v>-3.2036990000000001E-2</v>
      </c>
      <c r="AA10242">
        <v>0.99917820000000002</v>
      </c>
      <c r="AB10242">
        <v>39</v>
      </c>
      <c r="AC10242">
        <v>0.40430000000000599</v>
      </c>
      <c r="AD10242">
        <v>-1.1082936139799999</v>
      </c>
      <c r="AE10242">
        <v>34.13617</v>
      </c>
      <c r="AF10242">
        <v>-0.85695141060919899</v>
      </c>
      <c r="AG10242">
        <v>-1.1082936139799999</v>
      </c>
      <c r="AH10242">
        <v>34.091853042303804</v>
      </c>
      <c r="AI10242">
        <v>91.861387824533296</v>
      </c>
      <c r="AJ10242">
        <v>91.439914744010906</v>
      </c>
      <c r="AK10242">
        <v>34.120626083250201</v>
      </c>
      <c r="AL10242">
        <v>86.955958461246098</v>
      </c>
      <c r="AM10242">
        <v>92.260045110209106</v>
      </c>
      <c r="AN10242">
        <v>1.00000005405498</v>
      </c>
    </row>
    <row r="10243" spans="1:40" x14ac:dyDescent="0.25">
      <c r="A10243" t="str">
        <f>"20190312150921136"</f>
        <v>20190312150921136</v>
      </c>
      <c r="B10243" t="str">
        <f>"1552374561129758"</f>
        <v>1552374561129758</v>
      </c>
      <c r="C10243" t="s">
        <v>40</v>
      </c>
      <c r="D10243">
        <v>5.1672089999999997</v>
      </c>
      <c r="E10243">
        <v>0.50619629999999904</v>
      </c>
      <c r="F10243" t="s">
        <v>42</v>
      </c>
      <c r="G10243">
        <v>-186.80439999999999</v>
      </c>
      <c r="H10243" s="1">
        <v>-1.000003E-6</v>
      </c>
      <c r="I10243">
        <v>50.088039999999999</v>
      </c>
      <c r="J10243">
        <v>-187.20240000000001</v>
      </c>
      <c r="K10243">
        <v>1.108357</v>
      </c>
      <c r="L10243">
        <v>15.321870000000001</v>
      </c>
      <c r="M10243">
        <v>3.8096339999999999E-2</v>
      </c>
      <c r="N10243">
        <v>0</v>
      </c>
      <c r="O10243">
        <v>0.99922829999999996</v>
      </c>
      <c r="P10243">
        <v>-3.372852E-3</v>
      </c>
      <c r="Q10243">
        <v>4.329061E-2</v>
      </c>
      <c r="R10243">
        <v>0.99905679999999997</v>
      </c>
      <c r="S10243">
        <v>3.5354610000000002E-2</v>
      </c>
      <c r="T10243">
        <v>-9.4803090000000007E-2</v>
      </c>
      <c r="U10243">
        <v>3.00705</v>
      </c>
      <c r="V10243">
        <v>-4.1261350000000002E-2</v>
      </c>
      <c r="W10243">
        <v>5.2968319999999999E-2</v>
      </c>
      <c r="X10243">
        <v>0.99774339999999995</v>
      </c>
      <c r="Y10243">
        <v>-2.6353370000000001E-2</v>
      </c>
      <c r="Z10243">
        <v>-3.1470430000000001E-2</v>
      </c>
      <c r="AA10243">
        <v>0.99915719999999997</v>
      </c>
      <c r="AB10243">
        <v>39</v>
      </c>
      <c r="AC10243">
        <v>0.398000000000024</v>
      </c>
      <c r="AD10243">
        <v>-1.108358000003</v>
      </c>
      <c r="AE10243">
        <v>34.766170000000002</v>
      </c>
      <c r="AF10243">
        <v>-0.92587246579767102</v>
      </c>
      <c r="AG10243">
        <v>-1.108358000003</v>
      </c>
      <c r="AH10243">
        <v>34.720808830294899</v>
      </c>
      <c r="AI10243">
        <v>91.827726277318703</v>
      </c>
      <c r="AJ10243">
        <v>91.527499437810604</v>
      </c>
      <c r="AK10243">
        <v>34.750831113931298</v>
      </c>
      <c r="AL10243">
        <v>86.963717950529599</v>
      </c>
      <c r="AM10243">
        <v>92.368098742619196</v>
      </c>
      <c r="AN10243">
        <v>1.0000000170854999</v>
      </c>
    </row>
    <row r="10244" spans="1:40" x14ac:dyDescent="0.25">
      <c r="A10244" t="str">
        <f>"20190312150921159"</f>
        <v>20190312150921159</v>
      </c>
      <c r="B10244" t="str">
        <f>"1552374561149278"</f>
        <v>1552374561149278</v>
      </c>
      <c r="C10244" t="s">
        <v>40</v>
      </c>
      <c r="D10244">
        <v>4.8286809999999996</v>
      </c>
      <c r="E10244">
        <v>0.50626280000000001</v>
      </c>
      <c r="F10244" t="s">
        <v>42</v>
      </c>
      <c r="G10244">
        <v>-186.7911</v>
      </c>
      <c r="H10244" s="1">
        <v>-1.1326289999999999E-6</v>
      </c>
      <c r="I10244">
        <v>50.46743</v>
      </c>
      <c r="J10244">
        <v>-187.18639999999999</v>
      </c>
      <c r="K10244">
        <v>1.108441</v>
      </c>
      <c r="L10244">
        <v>15.7168299999999</v>
      </c>
      <c r="M10244">
        <v>3.9146809999999997E-2</v>
      </c>
      <c r="N10244">
        <v>0</v>
      </c>
      <c r="O10244">
        <v>0.99918759999999995</v>
      </c>
      <c r="P10244">
        <v>-3.5046180000000001E-3</v>
      </c>
      <c r="Q10244">
        <v>4.3193929999999998E-2</v>
      </c>
      <c r="R10244">
        <v>0.99906059999999997</v>
      </c>
      <c r="S10244">
        <v>3.5186769999999999E-2</v>
      </c>
      <c r="T10244">
        <v>-9.4830990000000004E-2</v>
      </c>
      <c r="U10244">
        <v>3.00705</v>
      </c>
      <c r="V10244">
        <v>-4.2454249999999999E-2</v>
      </c>
      <c r="W10244">
        <v>5.2878330000000001E-2</v>
      </c>
      <c r="X10244">
        <v>0.99769810000000003</v>
      </c>
      <c r="Y10244">
        <v>-2.7460060000000001E-2</v>
      </c>
      <c r="Z10244">
        <v>-3.14773E-2</v>
      </c>
      <c r="AA10244">
        <v>0.99912719999999999</v>
      </c>
      <c r="AB10244">
        <v>39</v>
      </c>
      <c r="AC10244">
        <v>0.39529999999999099</v>
      </c>
      <c r="AD10244">
        <v>-1.1084421326289999</v>
      </c>
      <c r="AE10244">
        <v>34.750599999999999</v>
      </c>
      <c r="AF10244">
        <v>-0.964459392020938</v>
      </c>
      <c r="AG10244">
        <v>-1.1084421326289999</v>
      </c>
      <c r="AH10244">
        <v>34.704131413918098</v>
      </c>
      <c r="AI10244">
        <v>91.828686800787295</v>
      </c>
      <c r="AJ10244">
        <v>91.591892110498705</v>
      </c>
      <c r="AK10244">
        <v>34.735220786325002</v>
      </c>
      <c r="AL10244">
        <v>86.968881151202595</v>
      </c>
      <c r="AM10244">
        <v>92.436591593450601</v>
      </c>
      <c r="AN10244">
        <v>0.99999998993512995</v>
      </c>
    </row>
    <row r="10245" spans="1:40" x14ac:dyDescent="0.25">
      <c r="A10245" t="str">
        <f>"20190312150921181"</f>
        <v>20190312150921181</v>
      </c>
      <c r="B10245" t="str">
        <f>"1552374561169779"</f>
        <v>1552374561169779</v>
      </c>
      <c r="C10245" t="s">
        <v>40</v>
      </c>
      <c r="D10245">
        <v>4.8431069999999998</v>
      </c>
      <c r="E10245">
        <v>0.50632370000000004</v>
      </c>
      <c r="F10245" t="s">
        <v>42</v>
      </c>
      <c r="G10245">
        <v>-186.7687</v>
      </c>
      <c r="H10245" s="1">
        <v>-1.403409E-6</v>
      </c>
      <c r="I10245">
        <v>51.245570000000001</v>
      </c>
      <c r="J10245">
        <v>-187.1705</v>
      </c>
      <c r="K10245">
        <v>1.108533</v>
      </c>
      <c r="L10245">
        <v>16.103449999999999</v>
      </c>
      <c r="M10245">
        <v>4.0065049999999998E-2</v>
      </c>
      <c r="N10245">
        <v>0</v>
      </c>
      <c r="O10245">
        <v>0.99915109999999996</v>
      </c>
      <c r="P10245">
        <v>-3.2773889999999999E-3</v>
      </c>
      <c r="Q10245">
        <v>4.3032210000000001E-2</v>
      </c>
      <c r="R10245">
        <v>0.99906830000000002</v>
      </c>
      <c r="S10245">
        <v>3.5354610000000002E-2</v>
      </c>
      <c r="T10245">
        <v>-9.3813419999999995E-2</v>
      </c>
      <c r="U10245">
        <v>3.0069889999999999</v>
      </c>
      <c r="V10245">
        <v>-4.3157269999999998E-2</v>
      </c>
      <c r="W10245">
        <v>5.271928E-2</v>
      </c>
      <c r="X10245">
        <v>0.99767640000000002</v>
      </c>
      <c r="Y10245">
        <v>-2.8322590000000002E-2</v>
      </c>
      <c r="Z10245">
        <v>-3.1138409999999998E-2</v>
      </c>
      <c r="AA10245">
        <v>0.99911369999999999</v>
      </c>
      <c r="AB10245">
        <v>39</v>
      </c>
      <c r="AC10245">
        <v>0.40180000000000798</v>
      </c>
      <c r="AD10245">
        <v>-1.1085344034089999</v>
      </c>
      <c r="AE10245">
        <v>35.142119999999998</v>
      </c>
      <c r="AF10245">
        <v>-1.00555767710901</v>
      </c>
      <c r="AG10245">
        <v>-1.1085344034089999</v>
      </c>
      <c r="AH10245">
        <v>35.095083145402199</v>
      </c>
      <c r="AI10245">
        <v>91.808435750516196</v>
      </c>
      <c r="AJ10245">
        <v>91.641211453418705</v>
      </c>
      <c r="AK10245">
        <v>35.126981876446898</v>
      </c>
      <c r="AL10245">
        <v>86.978006912388196</v>
      </c>
      <c r="AM10245">
        <v>92.476944229948899</v>
      </c>
      <c r="AN10245">
        <v>1.00000003577726</v>
      </c>
    </row>
    <row r="10246" spans="1:40" x14ac:dyDescent="0.25">
      <c r="A10246" t="str">
        <f>"20190312150921202"</f>
        <v>20190312150921202</v>
      </c>
      <c r="B10246" t="str">
        <f>"1552374561199054"</f>
        <v>1552374561199054</v>
      </c>
      <c r="C10246" t="s">
        <v>40</v>
      </c>
      <c r="D10246">
        <v>4.8466339999999999</v>
      </c>
      <c r="E10246">
        <v>0.50654569999999999</v>
      </c>
      <c r="F10246" t="s">
        <v>42</v>
      </c>
      <c r="G10246">
        <v>-186.73500000000001</v>
      </c>
      <c r="H10246" s="1">
        <v>-1.6024840000000001E-6</v>
      </c>
      <c r="I10246">
        <v>51.804209999999998</v>
      </c>
      <c r="J10246">
        <v>-187.15450000000001</v>
      </c>
      <c r="K10246">
        <v>1.108636</v>
      </c>
      <c r="L10246">
        <v>16.484739999999999</v>
      </c>
      <c r="M10246">
        <v>4.0854290000000001E-2</v>
      </c>
      <c r="N10246">
        <v>0</v>
      </c>
      <c r="O10246">
        <v>0.99911899999999998</v>
      </c>
      <c r="P10246">
        <v>-3.0979139999999998E-3</v>
      </c>
      <c r="Q10246">
        <v>4.2409860000000001E-2</v>
      </c>
      <c r="R10246">
        <v>0.99909550000000003</v>
      </c>
      <c r="S10246">
        <v>3.668213E-2</v>
      </c>
      <c r="T10246">
        <v>-9.3367339999999993E-2</v>
      </c>
      <c r="U10246">
        <v>3.0069270000000001</v>
      </c>
      <c r="V10246">
        <v>-4.3781899999999999E-2</v>
      </c>
      <c r="W10246">
        <v>5.2098350000000002E-2</v>
      </c>
      <c r="X10246">
        <v>0.99768179999999995</v>
      </c>
      <c r="Y10246">
        <v>-2.8670879999999999E-2</v>
      </c>
      <c r="Z10246">
        <v>-3.09894E-2</v>
      </c>
      <c r="AA10246">
        <v>0.99910840000000001</v>
      </c>
      <c r="AB10246">
        <v>39</v>
      </c>
      <c r="AC10246">
        <v>0.41949999999999898</v>
      </c>
      <c r="AD10246">
        <v>-1.1086376024839999</v>
      </c>
      <c r="AE10246">
        <v>35.319469999999903</v>
      </c>
      <c r="AF10246">
        <v>-1.0228609839140901</v>
      </c>
      <c r="AG10246">
        <v>-1.1086376024839999</v>
      </c>
      <c r="AH10246">
        <v>35.272371194403298</v>
      </c>
      <c r="AI10246">
        <v>91.799501526849994</v>
      </c>
      <c r="AJ10246">
        <v>91.661050726456807</v>
      </c>
      <c r="AK10246">
        <v>35.304610061602801</v>
      </c>
      <c r="AL10246">
        <v>87.013632532904694</v>
      </c>
      <c r="AM10246">
        <v>92.512734689822395</v>
      </c>
      <c r="AN10246">
        <v>1.0000000334457799</v>
      </c>
    </row>
    <row r="10247" spans="1:40" x14ac:dyDescent="0.25">
      <c r="A10247" t="str">
        <f>"20190312150921226"</f>
        <v>20190312150921226</v>
      </c>
      <c r="B10247" t="str">
        <f>"1552374561219550"</f>
        <v>1552374561219550</v>
      </c>
      <c r="C10247" t="s">
        <v>40</v>
      </c>
      <c r="D10247">
        <v>4.8805170000000002</v>
      </c>
      <c r="E10247">
        <v>0.50664229999999999</v>
      </c>
      <c r="F10247" t="s">
        <v>42</v>
      </c>
      <c r="G10247">
        <v>-186.697</v>
      </c>
      <c r="H10247" s="1">
        <v>-1.611925E-6</v>
      </c>
      <c r="I10247">
        <v>51.802230000000002</v>
      </c>
      <c r="J10247">
        <v>-187.1377</v>
      </c>
      <c r="K10247">
        <v>1.108752</v>
      </c>
      <c r="L10247">
        <v>16.880859999999998</v>
      </c>
      <c r="M10247">
        <v>4.1538140000000001E-2</v>
      </c>
      <c r="N10247">
        <v>0</v>
      </c>
      <c r="O10247">
        <v>0.9990907</v>
      </c>
      <c r="P10247">
        <v>-2.966041E-3</v>
      </c>
      <c r="Q10247">
        <v>4.2439900000000003E-2</v>
      </c>
      <c r="R10247">
        <v>0.99909460000000005</v>
      </c>
      <c r="S10247">
        <v>3.8955690000000001E-2</v>
      </c>
      <c r="T10247">
        <v>-9.4386460000000005E-2</v>
      </c>
      <c r="U10247">
        <v>3.0068359999999998</v>
      </c>
      <c r="V10247">
        <v>-4.434747E-2</v>
      </c>
      <c r="W10247">
        <v>5.212692E-2</v>
      </c>
      <c r="X10247">
        <v>0.99765530000000002</v>
      </c>
      <c r="Y10247">
        <v>-2.8599490000000002E-2</v>
      </c>
      <c r="Z10247">
        <v>-3.132683E-2</v>
      </c>
      <c r="AA10247">
        <v>0.99909999999999999</v>
      </c>
      <c r="AB10247">
        <v>39</v>
      </c>
      <c r="AC10247">
        <v>0.44069999999999199</v>
      </c>
      <c r="AD10247">
        <v>-1.1087536119250001</v>
      </c>
      <c r="AE10247">
        <v>34.921370000000003</v>
      </c>
      <c r="AF10247">
        <v>-1.0092988655300399</v>
      </c>
      <c r="AG10247">
        <v>-1.1087536119250001</v>
      </c>
      <c r="AH10247">
        <v>34.874383979949698</v>
      </c>
      <c r="AI10247">
        <v>91.820217115803203</v>
      </c>
      <c r="AJ10247">
        <v>91.6577333107237</v>
      </c>
      <c r="AK10247">
        <v>34.906599329537798</v>
      </c>
      <c r="AL10247">
        <v>87.011993282432897</v>
      </c>
      <c r="AM10247">
        <v>92.545219037905099</v>
      </c>
      <c r="AN10247">
        <v>1.0000000057510801</v>
      </c>
    </row>
    <row r="10248" spans="1:40" x14ac:dyDescent="0.25">
      <c r="A10248" t="str">
        <f>"20190312150921248"</f>
        <v>20190312150921248</v>
      </c>
      <c r="B10248" t="str">
        <f>"1552374561239070"</f>
        <v>1552374561239070</v>
      </c>
      <c r="C10248" t="s">
        <v>40</v>
      </c>
      <c r="D10248">
        <v>4.8720819999999998</v>
      </c>
      <c r="E10248">
        <v>0.50669390000000003</v>
      </c>
      <c r="F10248" t="s">
        <v>42</v>
      </c>
      <c r="G10248">
        <v>-186.66069999999999</v>
      </c>
      <c r="H10248" s="1">
        <v>-1.8216879999999999E-6</v>
      </c>
      <c r="I10248">
        <v>52.390300000000003</v>
      </c>
      <c r="J10248">
        <v>-187.12049999999999</v>
      </c>
      <c r="K10248">
        <v>1.1088659999999999</v>
      </c>
      <c r="L10248">
        <v>17.28464</v>
      </c>
      <c r="M10248">
        <v>4.2088639999999997E-2</v>
      </c>
      <c r="N10248">
        <v>0</v>
      </c>
      <c r="O10248">
        <v>0.99906759999999994</v>
      </c>
      <c r="P10248">
        <v>-2.71397E-3</v>
      </c>
      <c r="Q10248">
        <v>4.2098249999999997E-2</v>
      </c>
      <c r="R10248">
        <v>0.99910980000000005</v>
      </c>
      <c r="S10248">
        <v>4.0390009999999997E-2</v>
      </c>
      <c r="T10248">
        <v>-9.3886020000000001E-2</v>
      </c>
      <c r="U10248">
        <v>3.0068359999999998</v>
      </c>
      <c r="V10248">
        <v>-4.4662729999999998E-2</v>
      </c>
      <c r="W10248">
        <v>5.1782160000000001E-2</v>
      </c>
      <c r="X10248">
        <v>0.99765919999999997</v>
      </c>
      <c r="Y10248">
        <v>-2.86737E-2</v>
      </c>
      <c r="Z10248">
        <v>-3.115969E-2</v>
      </c>
      <c r="AA10248">
        <v>0.99910310000000002</v>
      </c>
      <c r="AB10248">
        <v>39</v>
      </c>
      <c r="AC10248">
        <v>0.45980000000000099</v>
      </c>
      <c r="AD10248">
        <v>-1.1088678216879999</v>
      </c>
      <c r="AE10248">
        <v>35.10566</v>
      </c>
      <c r="AF10248">
        <v>-1.01721057620981</v>
      </c>
      <c r="AG10248">
        <v>-1.1088678216879999</v>
      </c>
      <c r="AH10248">
        <v>35.058929844367597</v>
      </c>
      <c r="AI10248">
        <v>91.810824656326503</v>
      </c>
      <c r="AJ10248">
        <v>91.661931123679594</v>
      </c>
      <c r="AK10248">
        <v>35.091207830945599</v>
      </c>
      <c r="AL10248">
        <v>87.031773318032705</v>
      </c>
      <c r="AM10248">
        <v>92.563278591423298</v>
      </c>
      <c r="AN10248">
        <v>1.00000001544497</v>
      </c>
    </row>
    <row r="10249" spans="1:40" x14ac:dyDescent="0.25">
      <c r="A10249" t="str">
        <f>"20190312150921271"</f>
        <v>20190312150921271</v>
      </c>
      <c r="B10249" t="str">
        <f>"1552374561259566"</f>
        <v>1552374561259566</v>
      </c>
      <c r="C10249" t="s">
        <v>40</v>
      </c>
      <c r="D10249">
        <v>4.8715780000000004</v>
      </c>
      <c r="E10249">
        <v>0.50675309999999996</v>
      </c>
      <c r="F10249" t="s">
        <v>42</v>
      </c>
      <c r="G10249">
        <v>-186.6361</v>
      </c>
      <c r="H10249" s="1">
        <v>-1.8318960000000001E-6</v>
      </c>
      <c r="I10249">
        <v>52.401040000000002</v>
      </c>
      <c r="J10249">
        <v>-187.1037</v>
      </c>
      <c r="K10249">
        <v>1.1089770000000001</v>
      </c>
      <c r="L10249">
        <v>17.673279999999998</v>
      </c>
      <c r="M10249">
        <v>4.2504420000000001E-2</v>
      </c>
      <c r="N10249">
        <v>0</v>
      </c>
      <c r="O10249">
        <v>0.99904990000000005</v>
      </c>
      <c r="P10249">
        <v>-2.3144770000000001E-3</v>
      </c>
      <c r="Q10249">
        <v>4.2017800000000001E-2</v>
      </c>
      <c r="R10249">
        <v>0.99911419999999995</v>
      </c>
      <c r="S10249">
        <v>4.1473389999999999E-2</v>
      </c>
      <c r="T10249">
        <v>-9.4944719999999996E-2</v>
      </c>
      <c r="U10249">
        <v>3.0067750000000002</v>
      </c>
      <c r="V10249">
        <v>-4.4693370000000003E-2</v>
      </c>
      <c r="W10249">
        <v>5.1698830000000001E-2</v>
      </c>
      <c r="X10249">
        <v>0.9976621</v>
      </c>
      <c r="Y10249">
        <v>-2.8729660000000001E-2</v>
      </c>
      <c r="Z10249">
        <v>-3.1510410000000003E-2</v>
      </c>
      <c r="AA10249">
        <v>0.99909040000000005</v>
      </c>
      <c r="AB10249">
        <v>39</v>
      </c>
      <c r="AC10249">
        <v>0.46760000000000401</v>
      </c>
      <c r="AD10249">
        <v>-1.1089788318960001</v>
      </c>
      <c r="AE10249">
        <v>34.727759999999897</v>
      </c>
      <c r="AF10249">
        <v>-1.0079466506483801</v>
      </c>
      <c r="AG10249">
        <v>-1.1089788318960001</v>
      </c>
      <c r="AH10249">
        <v>34.680889498426197</v>
      </c>
      <c r="AI10249">
        <v>91.830730786629701</v>
      </c>
      <c r="AJ10249">
        <v>91.664744983190204</v>
      </c>
      <c r="AK10249">
        <v>34.7132523238921</v>
      </c>
      <c r="AL10249">
        <v>87.036554032448606</v>
      </c>
      <c r="AM10249">
        <v>92.565027285100598</v>
      </c>
      <c r="AN10249">
        <v>0.99999996606086705</v>
      </c>
    </row>
    <row r="10250" spans="1:40" x14ac:dyDescent="0.25">
      <c r="A10250" t="str">
        <f>"20190312150921293"</f>
        <v>20190312150921293</v>
      </c>
      <c r="B10250" t="str">
        <f>"1552374561289579"</f>
        <v>1552374561289579</v>
      </c>
      <c r="C10250" t="s">
        <v>40</v>
      </c>
      <c r="D10250">
        <v>4.8716080000000002</v>
      </c>
      <c r="E10250">
        <v>0.50673219999999997</v>
      </c>
      <c r="F10250" t="s">
        <v>42</v>
      </c>
      <c r="G10250">
        <v>-186.60159999999999</v>
      </c>
      <c r="H10250" s="1">
        <v>-1.9294149999999999E-6</v>
      </c>
      <c r="I10250">
        <v>52.660609999999998</v>
      </c>
      <c r="J10250">
        <v>-187.0873</v>
      </c>
      <c r="K10250">
        <v>1.109086</v>
      </c>
      <c r="L10250">
        <v>18.051909999999999</v>
      </c>
      <c r="M10250">
        <v>4.279993E-2</v>
      </c>
      <c r="N10250">
        <v>0</v>
      </c>
      <c r="O10250">
        <v>0.99903719999999996</v>
      </c>
      <c r="P10250">
        <v>-1.8152120000000001E-3</v>
      </c>
      <c r="Q10250">
        <v>4.2439999999999999E-2</v>
      </c>
      <c r="R10250">
        <v>0.99909729999999997</v>
      </c>
      <c r="S10250">
        <v>4.315186E-2</v>
      </c>
      <c r="T10250">
        <v>-9.5304490000000006E-2</v>
      </c>
      <c r="U10250">
        <v>3.0067750000000002</v>
      </c>
      <c r="V10250">
        <v>-4.4502100000000003E-2</v>
      </c>
      <c r="W10250">
        <v>5.2117400000000001E-2</v>
      </c>
      <c r="X10250">
        <v>0.99764889999999995</v>
      </c>
      <c r="Y10250">
        <v>-2.846777E-2</v>
      </c>
      <c r="Z10250">
        <v>-3.1629089999999999E-2</v>
      </c>
      <c r="AA10250">
        <v>0.99909420000000004</v>
      </c>
      <c r="AB10250">
        <v>39</v>
      </c>
      <c r="AC10250">
        <v>0.48570000000000801</v>
      </c>
      <c r="AD10250">
        <v>-1.109087929415</v>
      </c>
      <c r="AE10250">
        <v>34.608699999999999</v>
      </c>
      <c r="AF10250">
        <v>-0.99504212149395499</v>
      </c>
      <c r="AG10250">
        <v>-1.109087929415</v>
      </c>
      <c r="AH10250">
        <v>34.562284981528201</v>
      </c>
      <c r="AI10250">
        <v>91.837203970707193</v>
      </c>
      <c r="AJ10250">
        <v>91.649079926173599</v>
      </c>
      <c r="AK10250">
        <v>34.594388677979097</v>
      </c>
      <c r="AL10250">
        <v>87.012539445489097</v>
      </c>
      <c r="AM10250">
        <v>92.554098295475498</v>
      </c>
      <c r="AN10250">
        <v>0.99999999397918904</v>
      </c>
    </row>
    <row r="10251" spans="1:40" x14ac:dyDescent="0.25">
      <c r="A10251" t="str">
        <f>"20190312150921314"</f>
        <v>20190312150921314</v>
      </c>
      <c r="B10251" t="str">
        <f>"1552374561309098"</f>
        <v>1552374561309098</v>
      </c>
      <c r="C10251" t="s">
        <v>40</v>
      </c>
      <c r="D10251">
        <v>4.8413729999999999</v>
      </c>
      <c r="E10251">
        <v>0.50667289999999998</v>
      </c>
      <c r="F10251" t="s">
        <v>42</v>
      </c>
      <c r="G10251">
        <v>-186.56729999999999</v>
      </c>
      <c r="H10251" s="1">
        <v>-2.1627769999999999E-6</v>
      </c>
      <c r="I10251">
        <v>53.25488</v>
      </c>
      <c r="J10251">
        <v>-187.07060000000001</v>
      </c>
      <c r="K10251">
        <v>1.109194</v>
      </c>
      <c r="L10251">
        <v>18.437159999999999</v>
      </c>
      <c r="M10251">
        <v>4.299526E-2</v>
      </c>
      <c r="N10251">
        <v>0</v>
      </c>
      <c r="O10251">
        <v>0.99902869999999999</v>
      </c>
      <c r="P10251">
        <v>-1.536932E-3</v>
      </c>
      <c r="Q10251">
        <v>4.2591520000000001E-2</v>
      </c>
      <c r="R10251">
        <v>0.99909139999999996</v>
      </c>
      <c r="S10251">
        <v>4.4418329999999999E-2</v>
      </c>
      <c r="T10251">
        <v>-9.4730969999999998E-2</v>
      </c>
      <c r="U10251">
        <v>3.0068049999999999</v>
      </c>
      <c r="V10251">
        <v>-4.4432300000000001E-2</v>
      </c>
      <c r="W10251">
        <v>5.2265970000000002E-2</v>
      </c>
      <c r="X10251">
        <v>0.99764419999999998</v>
      </c>
      <c r="Y10251">
        <v>-2.8242550000000002E-2</v>
      </c>
      <c r="Z10251">
        <v>-3.1438239999999999E-2</v>
      </c>
      <c r="AA10251">
        <v>0.99910659999999896</v>
      </c>
      <c r="AB10251">
        <v>39</v>
      </c>
      <c r="AC10251">
        <v>0.50330000000002395</v>
      </c>
      <c r="AD10251">
        <v>-1.1091961627769999</v>
      </c>
      <c r="AE10251">
        <v>34.817720000000001</v>
      </c>
      <c r="AF10251">
        <v>-0.99322424806409804</v>
      </c>
      <c r="AG10251">
        <v>-1.1091961627769999</v>
      </c>
      <c r="AH10251">
        <v>34.771878727860397</v>
      </c>
      <c r="AI10251">
        <v>91.826327311374001</v>
      </c>
      <c r="AJ10251">
        <v>91.636152263547501</v>
      </c>
      <c r="AK10251">
        <v>34.803740615047303</v>
      </c>
      <c r="AL10251">
        <v>87.004015278069204</v>
      </c>
      <c r="AM10251">
        <v>92.550109571268706</v>
      </c>
      <c r="AN10251">
        <v>0.99999995534848396</v>
      </c>
    </row>
    <row r="10252" spans="1:40" x14ac:dyDescent="0.25">
      <c r="A10252" t="str">
        <f>"20190312150921337"</f>
        <v>20190312150921337</v>
      </c>
      <c r="B10252" t="str">
        <f>"1552374561329594"</f>
        <v>1552374561329594</v>
      </c>
      <c r="C10252" t="s">
        <v>40</v>
      </c>
      <c r="D10252">
        <v>5.015034</v>
      </c>
      <c r="E10252">
        <v>0.50665300000000002</v>
      </c>
      <c r="F10252" t="s">
        <v>42</v>
      </c>
      <c r="G10252">
        <v>-186.5444</v>
      </c>
      <c r="H10252" s="1">
        <v>-2.3238020000000002E-6</v>
      </c>
      <c r="I10252">
        <v>53.62079</v>
      </c>
      <c r="J10252">
        <v>-187.05340000000001</v>
      </c>
      <c r="K10252">
        <v>1.1093090000000001</v>
      </c>
      <c r="L10252">
        <v>18.83521</v>
      </c>
      <c r="M10252">
        <v>4.308584E-2</v>
      </c>
      <c r="N10252">
        <v>0</v>
      </c>
      <c r="O10252">
        <v>0.99902469999999999</v>
      </c>
      <c r="P10252">
        <v>-1.1420860000000001E-3</v>
      </c>
      <c r="Q10252">
        <v>4.244618E-2</v>
      </c>
      <c r="R10252">
        <v>0.99909809999999999</v>
      </c>
      <c r="S10252">
        <v>4.4967649999999998E-2</v>
      </c>
      <c r="T10252">
        <v>-9.479332E-2</v>
      </c>
      <c r="U10252">
        <v>3.0068359999999998</v>
      </c>
      <c r="V10252">
        <v>-4.4142929999999997E-2</v>
      </c>
      <c r="W10252">
        <v>5.2117400000000001E-2</v>
      </c>
      <c r="X10252">
        <v>0.99766489999999997</v>
      </c>
      <c r="Y10252">
        <v>-2.8150850000000002E-2</v>
      </c>
      <c r="Z10252">
        <v>-3.1458399999999997E-2</v>
      </c>
      <c r="AA10252">
        <v>0.99910860000000001</v>
      </c>
      <c r="AB10252">
        <v>39</v>
      </c>
      <c r="AC10252">
        <v>0.509000000000014</v>
      </c>
      <c r="AD10252">
        <v>-1.109311323802</v>
      </c>
      <c r="AE10252">
        <v>34.785580000000003</v>
      </c>
      <c r="AF10252">
        <v>-0.98930266429772495</v>
      </c>
      <c r="AG10252">
        <v>-1.109311323802</v>
      </c>
      <c r="AH10252">
        <v>34.7398840301489</v>
      </c>
      <c r="AI10252">
        <v>91.828202349116594</v>
      </c>
      <c r="AJ10252">
        <v>91.6311957788146</v>
      </c>
      <c r="AK10252">
        <v>34.771667112793097</v>
      </c>
      <c r="AL10252">
        <v>87.012539574642602</v>
      </c>
      <c r="AM10252">
        <v>92.533470928600394</v>
      </c>
      <c r="AN10252">
        <v>1.00000003717187</v>
      </c>
    </row>
    <row r="10253" spans="1:40" x14ac:dyDescent="0.25">
      <c r="A10253" t="str">
        <f>"20190312150921359"</f>
        <v>20190312150921359</v>
      </c>
      <c r="B10253" t="str">
        <f>"1552374561349118"</f>
        <v>1552374561349118</v>
      </c>
      <c r="C10253" t="s">
        <v>40</v>
      </c>
      <c r="D10253">
        <v>4.8633480000000002</v>
      </c>
      <c r="E10253">
        <v>0.50660989999999995</v>
      </c>
      <c r="F10253" t="s">
        <v>42</v>
      </c>
      <c r="G10253">
        <v>-186.5231</v>
      </c>
      <c r="H10253" s="1">
        <v>-2.341771E-6</v>
      </c>
      <c r="I10253">
        <v>53.653849999999998</v>
      </c>
      <c r="J10253">
        <v>-187.03620000000001</v>
      </c>
      <c r="K10253">
        <v>1.1094280000000001</v>
      </c>
      <c r="L10253">
        <v>19.2319</v>
      </c>
      <c r="M10253">
        <v>4.305345E-2</v>
      </c>
      <c r="N10253">
        <v>0</v>
      </c>
      <c r="O10253">
        <v>0.99902610000000003</v>
      </c>
      <c r="P10253">
        <v>-6.8559929999999995E-4</v>
      </c>
      <c r="Q10253">
        <v>4.3063039999999997E-2</v>
      </c>
      <c r="R10253">
        <v>0.99907210000000002</v>
      </c>
      <c r="S10253">
        <v>4.579163E-2</v>
      </c>
      <c r="T10253">
        <v>-9.5796820000000005E-2</v>
      </c>
      <c r="U10253">
        <v>3.0068359999999998</v>
      </c>
      <c r="V10253">
        <v>-4.3668180000000001E-2</v>
      </c>
      <c r="W10253">
        <v>5.2729760000000001E-2</v>
      </c>
      <c r="X10253">
        <v>0.99765360000000003</v>
      </c>
      <c r="Y10253">
        <v>-2.7844879999999999E-2</v>
      </c>
      <c r="Z10253">
        <v>-3.1791229999999997E-2</v>
      </c>
      <c r="AA10253">
        <v>0.99910659999999896</v>
      </c>
      <c r="AB10253">
        <v>39</v>
      </c>
      <c r="AC10253">
        <v>0.51310000000000799</v>
      </c>
      <c r="AD10253">
        <v>-1.1094303417710001</v>
      </c>
      <c r="AE10253">
        <v>34.421949999999903</v>
      </c>
      <c r="AF10253">
        <v>-0.96842284524474198</v>
      </c>
      <c r="AG10253">
        <v>-1.1094303417710001</v>
      </c>
      <c r="AH10253">
        <v>34.376419662827203</v>
      </c>
      <c r="AI10253">
        <v>91.847732827432907</v>
      </c>
      <c r="AJ10253">
        <v>91.613660499433394</v>
      </c>
      <c r="AK10253">
        <v>34.407948316126799</v>
      </c>
      <c r="AL10253">
        <v>86.9774055732927</v>
      </c>
      <c r="AM10253">
        <v>92.506287145413694</v>
      </c>
      <c r="AN10253">
        <v>1.00000002156356</v>
      </c>
    </row>
    <row r="10254" spans="1:40" x14ac:dyDescent="0.25">
      <c r="A10254" t="str">
        <f>"20190312150921382"</f>
        <v>20190312150921382</v>
      </c>
      <c r="B10254" t="str">
        <f>"1552374561379187"</f>
        <v>1552374561379187</v>
      </c>
      <c r="C10254" t="s">
        <v>40</v>
      </c>
      <c r="D10254">
        <v>4.8393009999999999</v>
      </c>
      <c r="E10254">
        <v>0.50647169999999997</v>
      </c>
      <c r="F10254" t="s">
        <v>42</v>
      </c>
      <c r="G10254">
        <v>-186.48500000000001</v>
      </c>
      <c r="H10254" s="1">
        <v>-2.7700199999999999E-6</v>
      </c>
      <c r="I10254">
        <v>54.6363699999999</v>
      </c>
      <c r="J10254">
        <v>-187.0198</v>
      </c>
      <c r="K10254">
        <v>1.1095489999999999</v>
      </c>
      <c r="L10254">
        <v>19.615600000000001</v>
      </c>
      <c r="M10254">
        <v>4.2892130000000001E-2</v>
      </c>
      <c r="N10254">
        <v>0</v>
      </c>
      <c r="O10254">
        <v>0.9990329</v>
      </c>
      <c r="P10254">
        <v>-7.8119539999999996E-4</v>
      </c>
      <c r="Q10254">
        <v>4.3642319999999998E-2</v>
      </c>
      <c r="R10254">
        <v>0.99904689999999996</v>
      </c>
      <c r="S10254">
        <v>4.6813960000000002E-2</v>
      </c>
      <c r="T10254">
        <v>-9.4222899999999998E-2</v>
      </c>
      <c r="U10254">
        <v>3.006866</v>
      </c>
      <c r="V10254">
        <v>-4.3617370000000003E-2</v>
      </c>
      <c r="W10254">
        <v>5.3303549999999998E-2</v>
      </c>
      <c r="X10254">
        <v>0.99762530000000005</v>
      </c>
      <c r="Y10254">
        <v>-2.7343739999999998E-2</v>
      </c>
      <c r="Z10254">
        <v>-3.1269560000000002E-2</v>
      </c>
      <c r="AA10254">
        <v>0.99913689999999999</v>
      </c>
      <c r="AB10254">
        <v>39</v>
      </c>
      <c r="AC10254">
        <v>0.53479999999998995</v>
      </c>
      <c r="AD10254">
        <v>-1.1095517700199999</v>
      </c>
      <c r="AE10254">
        <v>35.020769999999899</v>
      </c>
      <c r="AF10254">
        <v>-0.96690754060665096</v>
      </c>
      <c r="AG10254">
        <v>-1.1095517700199999</v>
      </c>
      <c r="AH10254">
        <v>34.976376648863102</v>
      </c>
      <c r="AI10254">
        <v>91.816284982337294</v>
      </c>
      <c r="AJ10254">
        <v>91.583514944794501</v>
      </c>
      <c r="AK10254">
        <v>35.007326930309503</v>
      </c>
      <c r="AL10254">
        <v>86.944483435038407</v>
      </c>
      <c r="AM10254">
        <v>92.503445597235199</v>
      </c>
      <c r="AN10254">
        <v>0.99999999130420403</v>
      </c>
    </row>
    <row r="10255" spans="1:40" x14ac:dyDescent="0.25">
      <c r="A10255" t="str">
        <f>"20190312150921398"</f>
        <v>20190312150921398</v>
      </c>
      <c r="B10255" t="str">
        <f>"1552374561389922"</f>
        <v>1552374561389922</v>
      </c>
      <c r="C10255" t="s">
        <v>40</v>
      </c>
      <c r="D10255">
        <v>4.7989410000000001</v>
      </c>
      <c r="E10255">
        <v>0.50647169999999997</v>
      </c>
      <c r="F10255" t="s">
        <v>42</v>
      </c>
      <c r="G10255">
        <v>-186.48750000000001</v>
      </c>
      <c r="H10255" s="1">
        <v>-2.9265580000000002E-6</v>
      </c>
      <c r="I10255">
        <v>55.002299999999998</v>
      </c>
      <c r="J10255">
        <v>-187.0077</v>
      </c>
      <c r="K10255">
        <v>1.1096509999999999</v>
      </c>
      <c r="L10255">
        <v>19.900569999999998</v>
      </c>
      <c r="M10255">
        <v>4.2676459999999999E-2</v>
      </c>
      <c r="N10255">
        <v>0</v>
      </c>
      <c r="O10255">
        <v>0.99904210000000004</v>
      </c>
      <c r="P10255">
        <v>-8.7793039999999902E-4</v>
      </c>
      <c r="Q10255">
        <v>4.3645509999999998E-2</v>
      </c>
      <c r="R10255">
        <v>0.99904669999999896</v>
      </c>
      <c r="S10255">
        <v>4.5227049999999998E-2</v>
      </c>
      <c r="T10255">
        <v>-9.4285250000000001E-2</v>
      </c>
      <c r="U10255">
        <v>3.0070190000000001</v>
      </c>
      <c r="V10255">
        <v>-4.3512240000000001E-2</v>
      </c>
      <c r="W10255">
        <v>5.3302120000000001E-2</v>
      </c>
      <c r="X10255">
        <v>0.99763000000000002</v>
      </c>
      <c r="Y10255">
        <v>-2.7655909999999999E-2</v>
      </c>
      <c r="Z10255">
        <v>-3.1289070000000002E-2</v>
      </c>
      <c r="AA10255">
        <v>0.99912769999999995</v>
      </c>
      <c r="AB10255">
        <v>39</v>
      </c>
      <c r="AC10255">
        <v>0.52019999999998801</v>
      </c>
      <c r="AD10255">
        <v>-1.1096539265580001</v>
      </c>
      <c r="AE10255">
        <v>35.101730000000003</v>
      </c>
      <c r="AF10255">
        <v>-0.97738512895847296</v>
      </c>
      <c r="AG10255">
        <v>-1.1096539265580001</v>
      </c>
      <c r="AH10255">
        <v>35.0569222486249</v>
      </c>
      <c r="AI10255">
        <v>91.812269638600398</v>
      </c>
      <c r="AJ10255">
        <v>91.596989597745093</v>
      </c>
      <c r="AK10255">
        <v>35.088095004903899</v>
      </c>
      <c r="AL10255">
        <v>86.944565584528107</v>
      </c>
      <c r="AM10255">
        <v>92.497407494895995</v>
      </c>
      <c r="AN10255">
        <v>1.0000000239631499</v>
      </c>
    </row>
    <row r="10256" spans="1:40" x14ac:dyDescent="0.25">
      <c r="A10256" t="str">
        <f>"20190312150921415"</f>
        <v>20190312150921415</v>
      </c>
      <c r="B10256" t="str">
        <f>"1552374561409442"</f>
        <v>1552374561409442</v>
      </c>
      <c r="C10256" t="s">
        <v>40</v>
      </c>
      <c r="D10256">
        <v>4.8086510000000002</v>
      </c>
      <c r="E10256">
        <v>0.50304929999999903</v>
      </c>
      <c r="F10256" t="s">
        <v>42</v>
      </c>
      <c r="G10256">
        <v>-186.4778</v>
      </c>
      <c r="H10256" s="1">
        <v>-3.0534470000000001E-6</v>
      </c>
      <c r="I10256">
        <v>55.294080000000001</v>
      </c>
      <c r="J10256">
        <v>-186.99520000000001</v>
      </c>
      <c r="K10256">
        <v>1.1097649999999999</v>
      </c>
      <c r="L10256">
        <v>20.1983</v>
      </c>
      <c r="M10256">
        <v>4.2374200000000001E-2</v>
      </c>
      <c r="N10256">
        <v>0</v>
      </c>
      <c r="O10256">
        <v>0.99905489999999997</v>
      </c>
      <c r="P10256">
        <v>-1.212E-3</v>
      </c>
      <c r="Q10256">
        <v>4.3853879999999998E-2</v>
      </c>
      <c r="R10256">
        <v>0.99903719999999996</v>
      </c>
      <c r="S10256">
        <v>4.501343E-2</v>
      </c>
      <c r="T10256">
        <v>-9.4275830000000005E-2</v>
      </c>
      <c r="U10256">
        <v>3.0070190000000001</v>
      </c>
      <c r="V10256">
        <v>-4.3557909999999998E-2</v>
      </c>
      <c r="W10256">
        <v>5.3504490000000002E-2</v>
      </c>
      <c r="X10256">
        <v>0.99761710000000003</v>
      </c>
      <c r="Y10256">
        <v>-2.7424440000000001E-2</v>
      </c>
      <c r="Z10256">
        <v>-3.1286670000000003E-2</v>
      </c>
      <c r="AA10256">
        <v>0.99913410000000002</v>
      </c>
      <c r="AB10256">
        <v>39</v>
      </c>
      <c r="AC10256">
        <v>0.51740000000000896</v>
      </c>
      <c r="AD10256">
        <v>-1.10976805344699</v>
      </c>
      <c r="AE10256">
        <v>35.095779999999998</v>
      </c>
      <c r="AF10256">
        <v>-0.96932106202809298</v>
      </c>
      <c r="AG10256">
        <v>-1.10976805344699</v>
      </c>
      <c r="AH10256">
        <v>35.051139947681101</v>
      </c>
      <c r="AI10256">
        <v>91.8127660341232</v>
      </c>
      <c r="AJ10256">
        <v>91.584081273372703</v>
      </c>
      <c r="AK10256">
        <v>35.082097715012203</v>
      </c>
      <c r="AL10256">
        <v>86.932953841768494</v>
      </c>
      <c r="AM10256">
        <v>92.500057710426006</v>
      </c>
      <c r="AN10256">
        <v>0.99999995009306697</v>
      </c>
    </row>
    <row r="10257" spans="1:40" x14ac:dyDescent="0.25">
      <c r="A10257" t="str">
        <f>"20190312150921439"</f>
        <v>20190312150921439</v>
      </c>
      <c r="B10257" t="str">
        <f>"1552374561428962"</f>
        <v>1552374561428962</v>
      </c>
      <c r="C10257" t="s">
        <v>40</v>
      </c>
      <c r="D10257">
        <v>4.8077129999999997</v>
      </c>
      <c r="E10257">
        <v>0.50282839999999995</v>
      </c>
      <c r="F10257" t="s">
        <v>42</v>
      </c>
      <c r="G10257">
        <v>-186.89060000000001</v>
      </c>
      <c r="H10257" s="1">
        <v>-1.0831299999999901E-6</v>
      </c>
      <c r="I10257">
        <v>40.399760000000001</v>
      </c>
      <c r="J10257">
        <v>-186.9778</v>
      </c>
      <c r="K10257">
        <v>1.1099190000000001</v>
      </c>
      <c r="L10257">
        <v>20.617159999999998</v>
      </c>
      <c r="M10257">
        <v>4.1817170000000001E-2</v>
      </c>
      <c r="N10257">
        <v>0</v>
      </c>
      <c r="O10257">
        <v>0.99907829999999997</v>
      </c>
      <c r="P10257">
        <v>-1.888226E-3</v>
      </c>
      <c r="Q10257">
        <v>4.3909539999999997E-2</v>
      </c>
      <c r="R10257">
        <v>0.99903370000000002</v>
      </c>
      <c r="S10257">
        <v>1.557922E-2</v>
      </c>
      <c r="T10257">
        <v>-0.16536319999999999</v>
      </c>
      <c r="U10257">
        <v>3.0101619999999998</v>
      </c>
      <c r="V10257">
        <v>-4.3697659999999999E-2</v>
      </c>
      <c r="W10257">
        <v>5.355306E-2</v>
      </c>
      <c r="X10257">
        <v>0.99760839999999995</v>
      </c>
      <c r="Y10257">
        <v>-3.6655380000000001E-2</v>
      </c>
      <c r="Z10257">
        <v>-5.4761539999999997E-2</v>
      </c>
      <c r="AA10257">
        <v>0.9978264</v>
      </c>
      <c r="AB10257">
        <v>39</v>
      </c>
      <c r="AC10257">
        <v>8.7199999999995698E-2</v>
      </c>
      <c r="AD10257">
        <v>-1.10992008313</v>
      </c>
      <c r="AE10257">
        <v>19.782599999999999</v>
      </c>
      <c r="AF10257">
        <v>-0.73784486780472203</v>
      </c>
      <c r="AG10257">
        <v>-1.10992008313</v>
      </c>
      <c r="AH10257">
        <v>19.706907197760501</v>
      </c>
      <c r="AI10257">
        <v>93.221319078754107</v>
      </c>
      <c r="AJ10257">
        <v>92.144205522830703</v>
      </c>
      <c r="AK10257">
        <v>19.7519246895341</v>
      </c>
      <c r="AL10257">
        <v>86.9301670443473</v>
      </c>
      <c r="AM10257">
        <v>92.508090445108706</v>
      </c>
      <c r="AN10257">
        <v>0.99999996773769895</v>
      </c>
    </row>
    <row r="10258" spans="1:40" x14ac:dyDescent="0.25">
      <c r="A10258" t="str">
        <f>"20190312150921462"</f>
        <v>20190312150921462</v>
      </c>
      <c r="B10258" t="str">
        <f>"1552374561449458"</f>
        <v>1552374561449458</v>
      </c>
      <c r="C10258" t="s">
        <v>40</v>
      </c>
      <c r="D10258">
        <v>4.8809209999999998</v>
      </c>
      <c r="E10258">
        <v>0.50215540000000003</v>
      </c>
      <c r="F10258" t="s">
        <v>42</v>
      </c>
      <c r="G10258">
        <v>-186.89320000000001</v>
      </c>
      <c r="H10258" s="1">
        <v>-1.705201E-6</v>
      </c>
      <c r="I10258">
        <v>42.229790000000001</v>
      </c>
      <c r="J10258">
        <v>-186.9615</v>
      </c>
      <c r="K10258">
        <v>1.1100639999999999</v>
      </c>
      <c r="L10258">
        <v>21.02197</v>
      </c>
      <c r="M10258">
        <v>4.1138500000000001E-2</v>
      </c>
      <c r="N10258">
        <v>0</v>
      </c>
      <c r="O10258">
        <v>0.9991063</v>
      </c>
      <c r="P10258">
        <v>-2.7068389999999999E-3</v>
      </c>
      <c r="Q10258">
        <v>4.3996729999999998E-2</v>
      </c>
      <c r="R10258">
        <v>0.99902800000000003</v>
      </c>
      <c r="S10258">
        <v>1.177979E-2</v>
      </c>
      <c r="T10258">
        <v>-0.154563899999999</v>
      </c>
      <c r="U10258">
        <v>3.0097049999999999</v>
      </c>
      <c r="V10258">
        <v>-4.3856350000000002E-2</v>
      </c>
      <c r="W10258">
        <v>5.3633050000000002E-2</v>
      </c>
      <c r="X10258">
        <v>0.99759719999999996</v>
      </c>
      <c r="Y10258">
        <v>-3.7234650000000001E-2</v>
      </c>
      <c r="Z10258">
        <v>-5.1204510000000002E-2</v>
      </c>
      <c r="AA10258">
        <v>0.99799380000000004</v>
      </c>
      <c r="AB10258">
        <v>39</v>
      </c>
      <c r="AC10258">
        <v>6.8299999999993505E-2</v>
      </c>
      <c r="AD10258">
        <v>-1.1100657052009999</v>
      </c>
      <c r="AE10258">
        <v>21.207820000000002</v>
      </c>
      <c r="AF10258">
        <v>-0.80205944314643896</v>
      </c>
      <c r="AG10258">
        <v>-1.1100657052009999</v>
      </c>
      <c r="AH10258">
        <v>21.134772153561801</v>
      </c>
      <c r="AI10258">
        <v>93.004435809836295</v>
      </c>
      <c r="AJ10258">
        <v>92.173317918195906</v>
      </c>
      <c r="AK10258">
        <v>21.1790967513531</v>
      </c>
      <c r="AL10258">
        <v>86.9255775456609</v>
      </c>
      <c r="AM10258">
        <v>92.517215217037602</v>
      </c>
      <c r="AN10258">
        <v>1.00000002846773</v>
      </c>
    </row>
    <row r="10259" spans="1:40" x14ac:dyDescent="0.25">
      <c r="A10259" t="str">
        <f>"20190312150921483"</f>
        <v>20190312150921483</v>
      </c>
      <c r="B10259" t="str">
        <f>"1552374561479714"</f>
        <v>1552374561479714</v>
      </c>
      <c r="C10259" t="s">
        <v>40</v>
      </c>
      <c r="D10259">
        <v>4.7635870000000002</v>
      </c>
      <c r="E10259">
        <v>0.50100540000000005</v>
      </c>
      <c r="F10259" t="s">
        <v>42</v>
      </c>
      <c r="G10259">
        <v>-186.93219999999999</v>
      </c>
      <c r="H10259" s="1">
        <v>-1.8328419999999999E-6</v>
      </c>
      <c r="I10259">
        <v>42.635330000000003</v>
      </c>
      <c r="J10259">
        <v>-186.94669999999999</v>
      </c>
      <c r="K10259">
        <v>1.1101920000000001</v>
      </c>
      <c r="L10259">
        <v>21.394439999999999</v>
      </c>
      <c r="M10259">
        <v>4.0392480000000001E-2</v>
      </c>
      <c r="N10259">
        <v>0</v>
      </c>
      <c r="O10259">
        <v>0.99913669999999999</v>
      </c>
      <c r="P10259">
        <v>-3.6244580000000001E-3</v>
      </c>
      <c r="Q10259">
        <v>4.3680789999999997E-2</v>
      </c>
      <c r="R10259">
        <v>0.99903889999999995</v>
      </c>
      <c r="S10259">
        <v>4.0740969999999996E-3</v>
      </c>
      <c r="T10259">
        <v>-0.15458060000000001</v>
      </c>
      <c r="U10259">
        <v>3.009735</v>
      </c>
      <c r="V10259">
        <v>-4.4044519999999997E-2</v>
      </c>
      <c r="W10259">
        <v>5.3312119999999998E-2</v>
      </c>
      <c r="X10259">
        <v>0.99760610000000005</v>
      </c>
      <c r="Y10259">
        <v>-3.904357E-2</v>
      </c>
      <c r="Z10259">
        <v>-5.1210249999999999E-2</v>
      </c>
      <c r="AA10259">
        <v>0.99792440000000004</v>
      </c>
      <c r="AB10259">
        <v>39</v>
      </c>
      <c r="AC10259">
        <v>1.4499999999998099E-2</v>
      </c>
      <c r="AD10259">
        <v>-1.110193832842</v>
      </c>
      <c r="AE10259">
        <v>21.24089</v>
      </c>
      <c r="AF10259">
        <v>-0.84122643765802996</v>
      </c>
      <c r="AG10259">
        <v>-1.110193832842</v>
      </c>
      <c r="AH10259">
        <v>21.166316640207299</v>
      </c>
      <c r="AI10259">
        <v>93.000103694871996</v>
      </c>
      <c r="AJ10259">
        <v>92.275944926766599</v>
      </c>
      <c r="AK10259">
        <v>21.2120991978496</v>
      </c>
      <c r="AL10259">
        <v>86.943991787552605</v>
      </c>
      <c r="AM10259">
        <v>92.527979071809398</v>
      </c>
      <c r="AN10259">
        <v>1.0000000163190601</v>
      </c>
    </row>
    <row r="10260" spans="1:40" x14ac:dyDescent="0.25">
      <c r="A10260" t="str">
        <f>"20190312150921506"</f>
        <v>20190312150921506</v>
      </c>
      <c r="B10260" t="str">
        <f>"1552374561499234"</f>
        <v>1552374561499234</v>
      </c>
      <c r="C10260" t="s">
        <v>40</v>
      </c>
      <c r="D10260">
        <v>4.9813330000000002</v>
      </c>
      <c r="E10260">
        <v>0.50054620000000005</v>
      </c>
      <c r="F10260" t="s">
        <v>42</v>
      </c>
      <c r="G10260">
        <v>-187.00579999999999</v>
      </c>
      <c r="H10260" s="1">
        <v>-2.5930570000000001E-6</v>
      </c>
      <c r="I10260">
        <v>44.439210000000003</v>
      </c>
      <c r="J10260">
        <v>-186.93119999999999</v>
      </c>
      <c r="K10260">
        <v>1.1103229999999999</v>
      </c>
      <c r="L10260">
        <v>21.796019999999999</v>
      </c>
      <c r="M10260">
        <v>3.9461900000000001E-2</v>
      </c>
      <c r="N10260">
        <v>0</v>
      </c>
      <c r="O10260">
        <v>0.9991738</v>
      </c>
      <c r="P10260">
        <v>-4.6611179999999997E-3</v>
      </c>
      <c r="Q10260">
        <v>4.360439E-2</v>
      </c>
      <c r="R10260">
        <v>0.99903799999999998</v>
      </c>
      <c r="S10260">
        <v>-7.7209469999999997E-3</v>
      </c>
      <c r="T10260">
        <v>-0.14496919999999999</v>
      </c>
      <c r="U10260">
        <v>3.0091860000000001</v>
      </c>
      <c r="V10260">
        <v>-4.4167930000000001E-2</v>
      </c>
      <c r="W10260">
        <v>5.323021E-2</v>
      </c>
      <c r="X10260">
        <v>0.99760499999999996</v>
      </c>
      <c r="Y10260">
        <v>-4.2024449999999998E-2</v>
      </c>
      <c r="Z10260">
        <v>-4.8042229999999998E-2</v>
      </c>
      <c r="AA10260">
        <v>0.99796090000000004</v>
      </c>
      <c r="AB10260">
        <v>40</v>
      </c>
      <c r="AC10260">
        <v>-7.4600000000003705E-2</v>
      </c>
      <c r="AD10260">
        <v>-1.110325593057</v>
      </c>
      <c r="AE10260">
        <v>22.643189999999901</v>
      </c>
      <c r="AF10260">
        <v>-0.96580514135874196</v>
      </c>
      <c r="AG10260">
        <v>-1.110325593057</v>
      </c>
      <c r="AH10260">
        <v>22.568341932469501</v>
      </c>
      <c r="AI10260">
        <v>92.814016366646499</v>
      </c>
      <c r="AJ10260">
        <v>92.450459799636604</v>
      </c>
      <c r="AK10260">
        <v>22.616269809023201</v>
      </c>
      <c r="AL10260">
        <v>86.948691504128206</v>
      </c>
      <c r="AM10260">
        <v>92.535055875517699</v>
      </c>
      <c r="AN10260">
        <v>0.99999999866106404</v>
      </c>
    </row>
    <row r="10261" spans="1:40" x14ac:dyDescent="0.25">
      <c r="A10261" t="str">
        <f>"20190312150921527"</f>
        <v>20190312150921527</v>
      </c>
      <c r="B10261" t="str">
        <f>"1552374561519731"</f>
        <v>1552374561519731</v>
      </c>
      <c r="C10261" t="s">
        <v>40</v>
      </c>
      <c r="D10261">
        <v>4.7380170000000001</v>
      </c>
      <c r="E10261">
        <v>0.49255369999999998</v>
      </c>
      <c r="F10261" t="s">
        <v>42</v>
      </c>
      <c r="G10261">
        <v>-187.0453</v>
      </c>
      <c r="H10261" s="1">
        <v>-3.0722579999999999E-6</v>
      </c>
      <c r="I10261">
        <v>45.57255</v>
      </c>
      <c r="J10261">
        <v>-186.91679999999999</v>
      </c>
      <c r="K10261">
        <v>1.1104339999999999</v>
      </c>
      <c r="L10261">
        <v>22.181609999999999</v>
      </c>
      <c r="M10261">
        <v>3.8454919999999997E-2</v>
      </c>
      <c r="N10261">
        <v>0</v>
      </c>
      <c r="O10261">
        <v>0.99921300000000002</v>
      </c>
      <c r="P10261">
        <v>-5.7924659999999996E-3</v>
      </c>
      <c r="Q10261">
        <v>4.3472909999999997E-2</v>
      </c>
      <c r="R10261">
        <v>0.99903779999999998</v>
      </c>
      <c r="S10261">
        <v>-1.4434809999999999E-2</v>
      </c>
      <c r="T10261">
        <v>-0.14051429999999901</v>
      </c>
      <c r="U10261">
        <v>3.008972</v>
      </c>
      <c r="V10261">
        <v>-4.4307630000000001E-2</v>
      </c>
      <c r="W10261">
        <v>5.309403E-2</v>
      </c>
      <c r="X10261">
        <v>0.99760599999999999</v>
      </c>
      <c r="Y10261">
        <v>-4.324472E-2</v>
      </c>
      <c r="Z10261">
        <v>-4.6573749999999997E-2</v>
      </c>
      <c r="AA10261">
        <v>0.99797829999999998</v>
      </c>
      <c r="AB10261">
        <v>40</v>
      </c>
      <c r="AC10261">
        <v>-0.128500000000002</v>
      </c>
      <c r="AD10261">
        <v>-1.1104370722579999</v>
      </c>
      <c r="AE10261">
        <v>23.390940000000001</v>
      </c>
      <c r="AF10261">
        <v>-1.0256328396308501</v>
      </c>
      <c r="AG10261">
        <v>-1.1104370722579999</v>
      </c>
      <c r="AH10261">
        <v>23.316149644454001</v>
      </c>
      <c r="AI10261">
        <v>92.724034428831999</v>
      </c>
      <c r="AJ10261">
        <v>92.518708095559404</v>
      </c>
      <c r="AK10261">
        <v>23.3650984901786</v>
      </c>
      <c r="AL10261">
        <v>86.956504903779603</v>
      </c>
      <c r="AM10261">
        <v>92.5430610199803</v>
      </c>
      <c r="AN10261">
        <v>0.99999993666692699</v>
      </c>
    </row>
    <row r="10262" spans="1:40" x14ac:dyDescent="0.25">
      <c r="A10262" t="str">
        <f>"20190312150921550"</f>
        <v>20190312150921550</v>
      </c>
      <c r="B10262" t="str">
        <f>"1552374561539251"</f>
        <v>1552374561539251</v>
      </c>
      <c r="C10262" t="s">
        <v>40</v>
      </c>
      <c r="D10262">
        <v>5.0908980000000001</v>
      </c>
      <c r="E10262">
        <v>0.49349280000000001</v>
      </c>
      <c r="F10262" t="s">
        <v>42</v>
      </c>
      <c r="G10262">
        <v>-187.42869999999999</v>
      </c>
      <c r="H10262" s="1">
        <v>-1.113685E-6</v>
      </c>
      <c r="I10262">
        <v>40.910240000000002</v>
      </c>
      <c r="J10262">
        <v>-186.90190000000001</v>
      </c>
      <c r="K10262">
        <v>1.1105499999999999</v>
      </c>
      <c r="L10262">
        <v>22.592929999999999</v>
      </c>
      <c r="M10262">
        <v>3.7288769999999999E-2</v>
      </c>
      <c r="N10262">
        <v>0</v>
      </c>
      <c r="O10262">
        <v>0.99925710000000001</v>
      </c>
      <c r="P10262">
        <v>-6.7529019999999999E-3</v>
      </c>
      <c r="Q10262">
        <v>4.3755290000000002E-2</v>
      </c>
      <c r="R10262">
        <v>0.9990194</v>
      </c>
      <c r="S10262">
        <v>-8.2275390000000004E-2</v>
      </c>
      <c r="T10262">
        <v>-0.17847479999999999</v>
      </c>
      <c r="U10262">
        <v>3.0101619999999998</v>
      </c>
      <c r="V10262">
        <v>-4.4117650000000001E-2</v>
      </c>
      <c r="W10262">
        <v>5.3373549999999999E-2</v>
      </c>
      <c r="X10262">
        <v>0.99759949999999997</v>
      </c>
      <c r="Y10262">
        <v>-6.4532160000000005E-2</v>
      </c>
      <c r="Z10262">
        <v>-5.9052390000000003E-2</v>
      </c>
      <c r="AA10262">
        <v>0.99616689999999997</v>
      </c>
      <c r="AB10262">
        <v>40</v>
      </c>
      <c r="AC10262">
        <v>-0.52679999999997995</v>
      </c>
      <c r="AD10262">
        <v>-1.1105511136849999</v>
      </c>
      <c r="AE10262">
        <v>18.317309999999999</v>
      </c>
      <c r="AF10262">
        <v>-1.2050699745887099</v>
      </c>
      <c r="AG10262">
        <v>-1.1105511136849999</v>
      </c>
      <c r="AH10262">
        <v>18.218014315783002</v>
      </c>
      <c r="AI10262">
        <v>93.480786265281793</v>
      </c>
      <c r="AJ10262">
        <v>93.784440190652205</v>
      </c>
      <c r="AK10262">
        <v>18.291570819091501</v>
      </c>
      <c r="AL10262">
        <v>86.940466833351294</v>
      </c>
      <c r="AM10262">
        <v>92.532187712891499</v>
      </c>
      <c r="AN10262">
        <v>0.99999993264068499</v>
      </c>
    </row>
    <row r="10263" spans="1:40" x14ac:dyDescent="0.25">
      <c r="A10263" t="str">
        <f>"20190312150921573"</f>
        <v>20190312150921573</v>
      </c>
      <c r="B10263" t="str">
        <f>"1552374561569037"</f>
        <v>1552374561569037</v>
      </c>
      <c r="C10263" t="s">
        <v>40</v>
      </c>
      <c r="D10263">
        <v>4.6720569999999997</v>
      </c>
      <c r="E10263">
        <v>0.49419869999999999</v>
      </c>
      <c r="F10263" t="s">
        <v>42</v>
      </c>
      <c r="G10263">
        <v>-187.4769</v>
      </c>
      <c r="H10263" s="1">
        <v>-2.7506629999999998E-6</v>
      </c>
      <c r="I10263">
        <v>45.001390000000001</v>
      </c>
      <c r="J10263">
        <v>-186.88810000000001</v>
      </c>
      <c r="K10263">
        <v>1.1106499999999999</v>
      </c>
      <c r="L10263">
        <v>22.98883</v>
      </c>
      <c r="M10263">
        <v>3.6086840000000002E-2</v>
      </c>
      <c r="N10263">
        <v>0</v>
      </c>
      <c r="O10263">
        <v>0.99930110000000005</v>
      </c>
      <c r="P10263">
        <v>-7.9715580000000001E-3</v>
      </c>
      <c r="Q10263">
        <v>4.4154220000000001E-2</v>
      </c>
      <c r="R10263">
        <v>0.99899289999999996</v>
      </c>
      <c r="S10263">
        <v>-7.7209470000000002E-2</v>
      </c>
      <c r="T10263">
        <v>-0.149121799999999</v>
      </c>
      <c r="U10263">
        <v>3.0089419999999998</v>
      </c>
      <c r="V10263">
        <v>-4.4148100000000003E-2</v>
      </c>
      <c r="W10263">
        <v>5.376922E-2</v>
      </c>
      <c r="X10263">
        <v>0.99757700000000005</v>
      </c>
      <c r="Y10263">
        <v>-6.1680159999999998E-2</v>
      </c>
      <c r="Z10263">
        <v>-4.93952E-2</v>
      </c>
      <c r="AA10263">
        <v>0.99687300000000001</v>
      </c>
      <c r="AB10263">
        <v>40</v>
      </c>
      <c r="AC10263">
        <v>-0.588799999999992</v>
      </c>
      <c r="AD10263">
        <v>-1.110652750663</v>
      </c>
      <c r="AE10263">
        <v>22.012560000000001</v>
      </c>
      <c r="AF10263">
        <v>-1.3793090759896001</v>
      </c>
      <c r="AG10263">
        <v>-1.110652750663</v>
      </c>
      <c r="AH10263">
        <v>21.921206010514201</v>
      </c>
      <c r="AI10263">
        <v>92.894734528803298</v>
      </c>
      <c r="AJ10263">
        <v>93.600374094315299</v>
      </c>
      <c r="AK10263">
        <v>21.992619580556301</v>
      </c>
      <c r="AL10263">
        <v>86.917764302013595</v>
      </c>
      <c r="AM10263">
        <v>92.533990228992806</v>
      </c>
      <c r="AN10263">
        <v>1.0000000273409999</v>
      </c>
    </row>
    <row r="10264" spans="1:40" x14ac:dyDescent="0.25">
      <c r="A10264" t="str">
        <f>"20190312150921595"</f>
        <v>20190312150921595</v>
      </c>
      <c r="B10264" t="str">
        <f>"1552374561589533"</f>
        <v>1552374561589533</v>
      </c>
      <c r="C10264" t="s">
        <v>40</v>
      </c>
      <c r="D10264">
        <v>4.7621169999999999</v>
      </c>
      <c r="E10264">
        <v>0.49375200000000002</v>
      </c>
      <c r="F10264" t="s">
        <v>42</v>
      </c>
      <c r="G10264">
        <v>-187.52459999999999</v>
      </c>
      <c r="H10264" s="1">
        <v>-4.292776E-6</v>
      </c>
      <c r="I10264">
        <v>48.615780000000001</v>
      </c>
      <c r="J10264">
        <v>-186.8749</v>
      </c>
      <c r="K10264">
        <v>1.1107469999999999</v>
      </c>
      <c r="L10264">
        <v>23.381869999999999</v>
      </c>
      <c r="M10264">
        <v>3.4818630000000003E-2</v>
      </c>
      <c r="N10264">
        <v>0</v>
      </c>
      <c r="O10264">
        <v>0.99934610000000001</v>
      </c>
      <c r="P10264">
        <v>-9.2806950000000003E-3</v>
      </c>
      <c r="Q10264">
        <v>4.4351130000000002E-2</v>
      </c>
      <c r="R10264">
        <v>0.99897290000000005</v>
      </c>
      <c r="S10264">
        <v>-7.4707029999999994E-2</v>
      </c>
      <c r="T10264">
        <v>-0.1303724</v>
      </c>
      <c r="U10264">
        <v>3.0081790000000002</v>
      </c>
      <c r="V10264">
        <v>-4.420234E-2</v>
      </c>
      <c r="W10264">
        <v>5.3964440000000002E-2</v>
      </c>
      <c r="X10264">
        <v>0.99756400000000001</v>
      </c>
      <c r="Y10264">
        <v>-5.9598239999999997E-2</v>
      </c>
      <c r="Z10264">
        <v>-4.321415E-2</v>
      </c>
      <c r="AA10264">
        <v>0.99728660000000002</v>
      </c>
      <c r="AB10264">
        <v>40</v>
      </c>
      <c r="AC10264">
        <v>-0.64969999999999495</v>
      </c>
      <c r="AD10264">
        <v>-1.1107512927759999</v>
      </c>
      <c r="AE10264">
        <v>25.233910000000002</v>
      </c>
      <c r="AF10264">
        <v>-1.5250050485098701</v>
      </c>
      <c r="AG10264">
        <v>-1.1107512927759999</v>
      </c>
      <c r="AH10264">
        <v>25.147292004468198</v>
      </c>
      <c r="AI10264">
        <v>92.524468561506794</v>
      </c>
      <c r="AJ10264">
        <v>93.470333030130703</v>
      </c>
      <c r="AK10264">
        <v>25.217963914447498</v>
      </c>
      <c r="AL10264">
        <v>86.906562582163801</v>
      </c>
      <c r="AM10264">
        <v>92.537132423096907</v>
      </c>
      <c r="AN10264">
        <v>0.99999997087099401</v>
      </c>
    </row>
    <row r="10265" spans="1:40" x14ac:dyDescent="0.25">
      <c r="A10265" t="str">
        <f>"20190312150921616"</f>
        <v>20190312150921616</v>
      </c>
      <c r="B10265" t="str">
        <f>"1552374561610029"</f>
        <v>1552374561610029</v>
      </c>
      <c r="C10265" t="s">
        <v>40</v>
      </c>
      <c r="D10265">
        <v>4.6400839999999999</v>
      </c>
      <c r="E10265">
        <v>0.4939672</v>
      </c>
      <c r="F10265" t="s">
        <v>42</v>
      </c>
      <c r="G10265">
        <v>-187.548</v>
      </c>
      <c r="H10265" s="1">
        <v>-4.0285130000000002E-6</v>
      </c>
      <c r="I10265">
        <v>48.009459999999997</v>
      </c>
      <c r="J10265">
        <v>-186.86250000000001</v>
      </c>
      <c r="K10265">
        <v>1.11084</v>
      </c>
      <c r="L10265">
        <v>23.77054</v>
      </c>
      <c r="M10265">
        <v>3.3492830000000001E-2</v>
      </c>
      <c r="N10265">
        <v>0</v>
      </c>
      <c r="O10265">
        <v>0.99939129999999998</v>
      </c>
      <c r="P10265">
        <v>-1.081611E-2</v>
      </c>
      <c r="Q10265">
        <v>4.4492230000000001E-2</v>
      </c>
      <c r="R10265">
        <v>0.99895120000000004</v>
      </c>
      <c r="S10265">
        <v>-8.221436E-2</v>
      </c>
      <c r="T10265">
        <v>-0.13568139999999901</v>
      </c>
      <c r="U10265">
        <v>3.0083310000000001</v>
      </c>
      <c r="V10265">
        <v>-4.4425569999999998E-2</v>
      </c>
      <c r="W10265">
        <v>5.4102999999999998E-2</v>
      </c>
      <c r="X10265">
        <v>0.99754659999999995</v>
      </c>
      <c r="Y10265">
        <v>-6.0757609999999997E-2</v>
      </c>
      <c r="Z10265">
        <v>-4.4968149999999998E-2</v>
      </c>
      <c r="AA10265">
        <v>0.99713909999999994</v>
      </c>
      <c r="AB10265">
        <v>40</v>
      </c>
      <c r="AC10265">
        <v>-0.68549999999999001</v>
      </c>
      <c r="AD10265">
        <v>-1.1108440285129999</v>
      </c>
      <c r="AE10265">
        <v>24.23892</v>
      </c>
      <c r="AF10265">
        <v>-1.49384905449789</v>
      </c>
      <c r="AG10265">
        <v>-1.1108440285129999</v>
      </c>
      <c r="AH10265">
        <v>24.151674193135701</v>
      </c>
      <c r="AI10265">
        <v>92.628418417511497</v>
      </c>
      <c r="AJ10265">
        <v>93.539396250845101</v>
      </c>
      <c r="AK10265">
        <v>24.223313682993201</v>
      </c>
      <c r="AL10265">
        <v>86.898612131118796</v>
      </c>
      <c r="AM10265">
        <v>92.549972960979503</v>
      </c>
      <c r="AN10265">
        <v>0.99999999252519201</v>
      </c>
    </row>
    <row r="10266" spans="1:40" x14ac:dyDescent="0.25">
      <c r="A10266" t="str">
        <f>"20190312150921641"</f>
        <v>20190312150921641</v>
      </c>
      <c r="B10266" t="str">
        <f>"1552374561629552"</f>
        <v>1552374561629552</v>
      </c>
      <c r="C10266" t="s">
        <v>40</v>
      </c>
      <c r="D10266">
        <v>4.7395060000000004</v>
      </c>
      <c r="E10266">
        <v>0.49447639999999998</v>
      </c>
      <c r="F10266" t="s">
        <v>42</v>
      </c>
      <c r="G10266">
        <v>-187.57499999999999</v>
      </c>
      <c r="H10266" s="1">
        <v>-4.4139659999999999E-6</v>
      </c>
      <c r="I10266">
        <v>48.919150000000002</v>
      </c>
      <c r="J10266">
        <v>-186.84950000000001</v>
      </c>
      <c r="K10266">
        <v>1.1109500000000001</v>
      </c>
      <c r="L10266">
        <v>24.19275</v>
      </c>
      <c r="M10266">
        <v>3.1977239999999997E-2</v>
      </c>
      <c r="N10266">
        <v>0</v>
      </c>
      <c r="O10266">
        <v>0.99944080000000002</v>
      </c>
      <c r="P10266">
        <v>-1.21488E-2</v>
      </c>
      <c r="Q10266">
        <v>4.4804900000000002E-2</v>
      </c>
      <c r="R10266">
        <v>0.99892190000000003</v>
      </c>
      <c r="S10266">
        <v>-8.5235599999999995E-2</v>
      </c>
      <c r="T10266">
        <v>-0.13287349999999901</v>
      </c>
      <c r="U10266">
        <v>3.0081479999999998</v>
      </c>
      <c r="V10266">
        <v>-4.4256900000000002E-2</v>
      </c>
      <c r="W10266">
        <v>5.441439E-2</v>
      </c>
      <c r="X10266">
        <v>0.99753720000000001</v>
      </c>
      <c r="Y10266">
        <v>-6.0247469999999997E-2</v>
      </c>
      <c r="Z10266">
        <v>-4.4045420000000002E-2</v>
      </c>
      <c r="AA10266">
        <v>0.99721119999999996</v>
      </c>
      <c r="AB10266">
        <v>40</v>
      </c>
      <c r="AC10266">
        <v>-0.72549999999998205</v>
      </c>
      <c r="AD10266">
        <v>-1.1109544139659999</v>
      </c>
      <c r="AE10266">
        <v>24.726400000000002</v>
      </c>
      <c r="AF10266">
        <v>-1.5127974941123801</v>
      </c>
      <c r="AG10266">
        <v>-1.1109544139659999</v>
      </c>
      <c r="AH10266">
        <v>24.6408534675375</v>
      </c>
      <c r="AI10266">
        <v>92.576637267064399</v>
      </c>
      <c r="AJ10266">
        <v>93.513200397218</v>
      </c>
      <c r="AK10266">
        <v>24.7122325089572</v>
      </c>
      <c r="AL10266">
        <v>86.880744601413895</v>
      </c>
      <c r="AM10266">
        <v>92.540328123938906</v>
      </c>
      <c r="AN10266">
        <v>1.00000003221026</v>
      </c>
    </row>
    <row r="10267" spans="1:40" x14ac:dyDescent="0.25">
      <c r="A10267" t="str">
        <f>"20190312150921663"</f>
        <v>20190312150921663</v>
      </c>
      <c r="B10267" t="str">
        <f>"1552374561659806"</f>
        <v>1552374561659806</v>
      </c>
      <c r="C10267" t="s">
        <v>40</v>
      </c>
      <c r="D10267">
        <v>4.7546410000000003</v>
      </c>
      <c r="E10267">
        <v>0.49486740000000001</v>
      </c>
      <c r="F10267" t="s">
        <v>42</v>
      </c>
      <c r="G10267">
        <v>-187.60990000000001</v>
      </c>
      <c r="H10267" s="1">
        <v>-1.109693E-6</v>
      </c>
      <c r="I10267">
        <v>51.040210000000002</v>
      </c>
      <c r="J10267">
        <v>-186.83799999999999</v>
      </c>
      <c r="K10267">
        <v>1.1110420000000001</v>
      </c>
      <c r="L10267">
        <v>24.591190000000001</v>
      </c>
      <c r="M10267">
        <v>3.048004E-2</v>
      </c>
      <c r="N10267">
        <v>0</v>
      </c>
      <c r="O10267">
        <v>0.99948749999999997</v>
      </c>
      <c r="P10267">
        <v>-1.3810680000000001E-2</v>
      </c>
      <c r="Q10267">
        <v>4.5304339999999999E-2</v>
      </c>
      <c r="R10267">
        <v>0.99887780000000004</v>
      </c>
      <c r="S10267">
        <v>-8.5189819999999999E-2</v>
      </c>
      <c r="T10267">
        <v>-0.1244624</v>
      </c>
      <c r="U10267">
        <v>3.0077820000000002</v>
      </c>
      <c r="V10267">
        <v>-4.4435019999999999E-2</v>
      </c>
      <c r="W10267">
        <v>5.4912420000000003E-2</v>
      </c>
      <c r="X10267">
        <v>0.997502</v>
      </c>
      <c r="Y10267">
        <v>-5.8743749999999997E-2</v>
      </c>
      <c r="Z10267">
        <v>-4.1271950000000002E-2</v>
      </c>
      <c r="AA10267">
        <v>0.99741959999999996</v>
      </c>
      <c r="AB10267">
        <v>40</v>
      </c>
      <c r="AC10267">
        <v>-0.77190000000001602</v>
      </c>
      <c r="AD10267">
        <v>-1.111043109693</v>
      </c>
      <c r="AE10267">
        <v>26.449019999999901</v>
      </c>
      <c r="AF10267">
        <v>-1.57497028508954</v>
      </c>
      <c r="AG10267">
        <v>-1.111043109693</v>
      </c>
      <c r="AH10267">
        <v>26.366714573747799</v>
      </c>
      <c r="AI10267">
        <v>92.4086193523258</v>
      </c>
      <c r="AJ10267">
        <v>93.418402879051996</v>
      </c>
      <c r="AK10267">
        <v>26.4370684003351</v>
      </c>
      <c r="AL10267">
        <v>86.852166888846298</v>
      </c>
      <c r="AM10267">
        <v>92.550628550350694</v>
      </c>
      <c r="AN10267">
        <v>1.00000004243832</v>
      </c>
    </row>
    <row r="10268" spans="1:40" x14ac:dyDescent="0.25">
      <c r="A10268" t="str">
        <f>"20190312150921684"</f>
        <v>20190312150921684</v>
      </c>
      <c r="B10268" t="str">
        <f>"1552374561679770"</f>
        <v>1552374561679770</v>
      </c>
      <c r="C10268" t="s">
        <v>40</v>
      </c>
      <c r="D10268">
        <v>4.598338</v>
      </c>
      <c r="E10268">
        <v>0.4951296</v>
      </c>
      <c r="F10268" t="s">
        <v>42</v>
      </c>
      <c r="G10268">
        <v>-187.67449999999999</v>
      </c>
      <c r="H10268" s="1">
        <v>-2.0872160000000001E-6</v>
      </c>
      <c r="I10268">
        <v>53.536560000000001</v>
      </c>
      <c r="J10268">
        <v>-186.82759999999999</v>
      </c>
      <c r="K10268">
        <v>1.111124</v>
      </c>
      <c r="L10268">
        <v>24.968139999999998</v>
      </c>
      <c r="M10268">
        <v>2.9007499999999999E-2</v>
      </c>
      <c r="N10268">
        <v>0</v>
      </c>
      <c r="O10268">
        <v>0.99953130000000001</v>
      </c>
      <c r="P10268">
        <v>-1.5085299999999901E-2</v>
      </c>
      <c r="Q10268">
        <v>4.5964280000000003E-2</v>
      </c>
      <c r="R10268">
        <v>0.99882919999999997</v>
      </c>
      <c r="S10268">
        <v>-8.6914060000000001E-2</v>
      </c>
      <c r="T10268">
        <v>-0.1154372</v>
      </c>
      <c r="U10268">
        <v>3.0074160000000001</v>
      </c>
      <c r="V10268">
        <v>-4.4250280000000003E-2</v>
      </c>
      <c r="W10268">
        <v>5.5572780000000002E-2</v>
      </c>
      <c r="X10268">
        <v>0.99747359999999896</v>
      </c>
      <c r="Y10268">
        <v>-5.7851270000000003E-2</v>
      </c>
      <c r="Z10268">
        <v>-3.8291609999999997E-2</v>
      </c>
      <c r="AA10268">
        <v>0.99759059999999999</v>
      </c>
      <c r="AB10268">
        <v>40</v>
      </c>
      <c r="AC10268">
        <v>-0.84690000000000498</v>
      </c>
      <c r="AD10268">
        <v>-1.111126087216</v>
      </c>
      <c r="AE10268">
        <v>28.56842</v>
      </c>
      <c r="AF10268">
        <v>-1.6727535422831701</v>
      </c>
      <c r="AG10268">
        <v>-1.111126087216</v>
      </c>
      <c r="AH10268">
        <v>28.4887721868323</v>
      </c>
      <c r="AI10268">
        <v>92.22969563481</v>
      </c>
      <c r="AJ10268">
        <v>93.360334506119401</v>
      </c>
      <c r="AK10268">
        <v>28.559461589955401</v>
      </c>
      <c r="AL10268">
        <v>86.814273054469396</v>
      </c>
      <c r="AM10268">
        <v>92.5401103740639</v>
      </c>
      <c r="AN10268">
        <v>1.0000000019269799</v>
      </c>
    </row>
    <row r="10269" spans="1:40" x14ac:dyDescent="0.25">
      <c r="A10269" t="str">
        <f>"20190312150921707"</f>
        <v>20190312150921707</v>
      </c>
      <c r="B10269" t="str">
        <f>"1552374561699290"</f>
        <v>1552374561699290</v>
      </c>
      <c r="C10269" t="s">
        <v>40</v>
      </c>
      <c r="D10269">
        <v>4.6066649999999996</v>
      </c>
      <c r="E10269">
        <v>0.4953418</v>
      </c>
      <c r="F10269" t="s">
        <v>42</v>
      </c>
      <c r="G10269">
        <v>-187.73580000000001</v>
      </c>
      <c r="H10269" s="1">
        <v>-3.0315999999999999E-6</v>
      </c>
      <c r="I10269">
        <v>55.763300000000001</v>
      </c>
      <c r="J10269">
        <v>-186.8175</v>
      </c>
      <c r="K10269">
        <v>1.1111979999999999</v>
      </c>
      <c r="L10269">
        <v>25.360289999999999</v>
      </c>
      <c r="M10269">
        <v>2.74253E-2</v>
      </c>
      <c r="N10269">
        <v>0</v>
      </c>
      <c r="O10269">
        <v>0.99957589999999996</v>
      </c>
      <c r="P10269">
        <v>-1.6462089999999999E-2</v>
      </c>
      <c r="Q10269">
        <v>4.5945199999999999E-2</v>
      </c>
      <c r="R10269">
        <v>0.99880829999999998</v>
      </c>
      <c r="S10269">
        <v>-8.8684079999999998E-2</v>
      </c>
      <c r="T10269">
        <v>-0.108502399999999</v>
      </c>
      <c r="U10269">
        <v>3.0071720000000002</v>
      </c>
      <c r="V10269">
        <v>-4.405626E-2</v>
      </c>
      <c r="W10269">
        <v>5.5555159999999999E-2</v>
      </c>
      <c r="X10269">
        <v>0.99748320000000001</v>
      </c>
      <c r="Y10269">
        <v>-5.6862530000000001E-2</v>
      </c>
      <c r="Z10269">
        <v>-3.6000409999999997E-2</v>
      </c>
      <c r="AA10269">
        <v>0.99773279999999998</v>
      </c>
      <c r="AB10269">
        <v>40</v>
      </c>
      <c r="AC10269">
        <v>-0.91830000000001599</v>
      </c>
      <c r="AD10269">
        <v>-1.1112010315999901</v>
      </c>
      <c r="AE10269">
        <v>30.403009999999998</v>
      </c>
      <c r="AF10269">
        <v>-1.74947132553808</v>
      </c>
      <c r="AG10269">
        <v>-1.1112010315999901</v>
      </c>
      <c r="AH10269">
        <v>30.3259136977385</v>
      </c>
      <c r="AI10269">
        <v>92.095010934678697</v>
      </c>
      <c r="AJ10269">
        <v>93.301676202966405</v>
      </c>
      <c r="AK10269">
        <v>30.396652106016401</v>
      </c>
      <c r="AL10269">
        <v>86.815284264222498</v>
      </c>
      <c r="AM10269">
        <v>92.528963177272701</v>
      </c>
      <c r="AN10269">
        <v>1.00000003206502</v>
      </c>
    </row>
    <row r="10270" spans="1:40" x14ac:dyDescent="0.25">
      <c r="A10270" t="str">
        <f>"20190312150921728"</f>
        <v>20190312150921728</v>
      </c>
      <c r="B10270" t="str">
        <f>"1552374561719786"</f>
        <v>1552374561719786</v>
      </c>
      <c r="C10270" t="s">
        <v>40</v>
      </c>
      <c r="D10270">
        <v>4.6978470000000003</v>
      </c>
      <c r="E10270">
        <v>0.49564439999999998</v>
      </c>
      <c r="F10270" t="s">
        <v>42</v>
      </c>
      <c r="G10270">
        <v>-187.75800000000001</v>
      </c>
      <c r="H10270" s="1">
        <v>-3.33189E-6</v>
      </c>
      <c r="I10270">
        <v>56.472450000000002</v>
      </c>
      <c r="J10270">
        <v>-186.80779999999999</v>
      </c>
      <c r="K10270">
        <v>1.111254</v>
      </c>
      <c r="L10270">
        <v>25.765409999999999</v>
      </c>
      <c r="M10270">
        <v>2.5751550000000002E-2</v>
      </c>
      <c r="N10270">
        <v>0</v>
      </c>
      <c r="O10270">
        <v>0.99962030000000002</v>
      </c>
      <c r="P10270">
        <v>-1.8446580000000001E-2</v>
      </c>
      <c r="Q10270">
        <v>4.6010019999999999E-2</v>
      </c>
      <c r="R10270">
        <v>0.99877070000000001</v>
      </c>
      <c r="S10270">
        <v>-9.0896610000000003E-2</v>
      </c>
      <c r="T10270">
        <v>-0.1073986</v>
      </c>
      <c r="U10270">
        <v>3.0070190000000001</v>
      </c>
      <c r="V10270">
        <v>-4.4376680000000002E-2</v>
      </c>
      <c r="W10270">
        <v>5.5620389999999999E-2</v>
      </c>
      <c r="X10270">
        <v>0.9974653</v>
      </c>
      <c r="Y10270">
        <v>-5.5926139999999999E-2</v>
      </c>
      <c r="Z10270">
        <v>-3.5639410000000003E-2</v>
      </c>
      <c r="AA10270">
        <v>0.99779859999999998</v>
      </c>
      <c r="AB10270">
        <v>40</v>
      </c>
      <c r="AC10270">
        <v>-0.95019999999999505</v>
      </c>
      <c r="AD10270">
        <v>-1.1112573318899901</v>
      </c>
      <c r="AE10270">
        <v>30.707039999999999</v>
      </c>
      <c r="AF10270">
        <v>-1.73840222753774</v>
      </c>
      <c r="AG10270">
        <v>-1.1112573318899901</v>
      </c>
      <c r="AH10270">
        <v>30.6323064151123</v>
      </c>
      <c r="AI10270">
        <v>92.074290361613507</v>
      </c>
      <c r="AJ10270">
        <v>93.248086748864793</v>
      </c>
      <c r="AK10270">
        <v>30.7017121912071</v>
      </c>
      <c r="AL10270">
        <v>86.811540878377599</v>
      </c>
      <c r="AM10270">
        <v>92.547377770974904</v>
      </c>
      <c r="AN10270">
        <v>0.99999997110783101</v>
      </c>
    </row>
    <row r="10271" spans="1:40" x14ac:dyDescent="0.25">
      <c r="A10271" t="str">
        <f>"20190312150921751"</f>
        <v>20190312150921751</v>
      </c>
      <c r="B10271" t="str">
        <f>"1552374561739306"</f>
        <v>1552374561739306</v>
      </c>
      <c r="C10271" t="s">
        <v>40</v>
      </c>
      <c r="D10271">
        <v>4.5951649999999997</v>
      </c>
      <c r="E10271">
        <v>0.495666</v>
      </c>
      <c r="F10271" t="s">
        <v>42</v>
      </c>
      <c r="G10271">
        <v>-187.8485</v>
      </c>
      <c r="H10271" s="1">
        <v>-4.3720669999999998E-6</v>
      </c>
      <c r="I10271">
        <v>58.934539999999998</v>
      </c>
      <c r="J10271">
        <v>-186.79900000000001</v>
      </c>
      <c r="K10271">
        <v>1.1113040000000001</v>
      </c>
      <c r="L10271">
        <v>26.161899999999999</v>
      </c>
      <c r="M10271">
        <v>2.4086389999999999E-2</v>
      </c>
      <c r="N10271">
        <v>0</v>
      </c>
      <c r="O10271">
        <v>0.99966169999999999</v>
      </c>
      <c r="P10271">
        <v>-2.04529E-2</v>
      </c>
      <c r="Q10271">
        <v>4.6524679999999999E-2</v>
      </c>
      <c r="R10271">
        <v>0.99870769999999998</v>
      </c>
      <c r="S10271">
        <v>-9.4329830000000003E-2</v>
      </c>
      <c r="T10271">
        <v>-0.1007292</v>
      </c>
      <c r="U10271">
        <v>3.0065919999999999</v>
      </c>
      <c r="V10271">
        <v>-4.4727339999999997E-2</v>
      </c>
      <c r="W10271">
        <v>5.6135989999999997E-2</v>
      </c>
      <c r="X10271">
        <v>0.9974208</v>
      </c>
      <c r="Y10271">
        <v>-5.5407959999999999E-2</v>
      </c>
      <c r="Z10271">
        <v>-3.34355E-2</v>
      </c>
      <c r="AA10271">
        <v>0.99790380000000001</v>
      </c>
      <c r="AB10271">
        <v>40</v>
      </c>
      <c r="AC10271">
        <v>-1.0494999999999901</v>
      </c>
      <c r="AD10271">
        <v>-1.1113083720670001</v>
      </c>
      <c r="AE10271">
        <v>32.772640000000003</v>
      </c>
      <c r="AF10271">
        <v>-1.8364985430720999</v>
      </c>
      <c r="AG10271">
        <v>-1.1113083720670001</v>
      </c>
      <c r="AH10271">
        <v>32.700288878205903</v>
      </c>
      <c r="AI10271">
        <v>91.943368730901497</v>
      </c>
      <c r="AJ10271">
        <v>93.214442405531898</v>
      </c>
      <c r="AK10271">
        <v>32.770667156996502</v>
      </c>
      <c r="AL10271">
        <v>86.7819530968995</v>
      </c>
      <c r="AM10271">
        <v>92.567594455042496</v>
      </c>
      <c r="AN10271">
        <v>1.00000001829469</v>
      </c>
    </row>
    <row r="10272" spans="1:40" x14ac:dyDescent="0.25">
      <c r="A10272" t="str">
        <f>"20190312150921772"</f>
        <v>20190312150921772</v>
      </c>
      <c r="B10272" t="str">
        <f>"1552374561769563"</f>
        <v>1552374561769563</v>
      </c>
      <c r="C10272" t="s">
        <v>40</v>
      </c>
      <c r="D10272">
        <v>4.6620599999999897</v>
      </c>
      <c r="E10272">
        <v>0.49595600000000001</v>
      </c>
      <c r="F10272" t="s">
        <v>42</v>
      </c>
      <c r="G10272">
        <v>-187.93029999999999</v>
      </c>
      <c r="H10272" s="1">
        <v>-7.1129030000000004E-7</v>
      </c>
      <c r="I10272">
        <v>60.119959999999999</v>
      </c>
      <c r="J10272">
        <v>-186.791</v>
      </c>
      <c r="K10272">
        <v>1.1113489999999999</v>
      </c>
      <c r="L10272">
        <v>26.547519999999999</v>
      </c>
      <c r="M10272">
        <v>2.2449469999999999E-2</v>
      </c>
      <c r="N10272">
        <v>0</v>
      </c>
      <c r="O10272">
        <v>0.99969980000000003</v>
      </c>
      <c r="P10272">
        <v>-2.216568E-2</v>
      </c>
      <c r="Q10272">
        <v>4.7160800000000003E-2</v>
      </c>
      <c r="R10272">
        <v>0.99864140000000001</v>
      </c>
      <c r="S10272">
        <v>-0.1001587</v>
      </c>
      <c r="T10272">
        <v>-9.8387119999999995E-2</v>
      </c>
      <c r="U10272">
        <v>3.0064090000000001</v>
      </c>
      <c r="V10272">
        <v>-4.4812280000000003E-2</v>
      </c>
      <c r="W10272">
        <v>5.6774890000000001E-2</v>
      </c>
      <c r="X10272">
        <v>0.99738079999999996</v>
      </c>
      <c r="Y10272">
        <v>-5.5708529999999999E-2</v>
      </c>
      <c r="Z10272">
        <v>-3.266148E-2</v>
      </c>
      <c r="AA10272">
        <v>0.99791269999999999</v>
      </c>
      <c r="AB10272">
        <v>40</v>
      </c>
      <c r="AC10272">
        <v>-1.13929999999999</v>
      </c>
      <c r="AD10272">
        <v>-1.1113497112902999</v>
      </c>
      <c r="AE10272">
        <v>33.57244</v>
      </c>
      <c r="AF10272">
        <v>-1.8906632071176199</v>
      </c>
      <c r="AG10272">
        <v>-1.1113497112902999</v>
      </c>
      <c r="AH10272">
        <v>33.501730970811899</v>
      </c>
      <c r="AI10272">
        <v>91.896954492696196</v>
      </c>
      <c r="AJ10272">
        <v>93.230049174037802</v>
      </c>
      <c r="AK10272">
        <v>33.573437172624899</v>
      </c>
      <c r="AL10272">
        <v>86.745288269644504</v>
      </c>
      <c r="AM10272">
        <v>92.572566962778694</v>
      </c>
      <c r="AN10272">
        <v>0.99999999439097498</v>
      </c>
    </row>
    <row r="10273" spans="1:40" x14ac:dyDescent="0.25">
      <c r="A10273" t="str">
        <f>"20190312150921794"</f>
        <v>20190312150921794</v>
      </c>
      <c r="B10273" t="str">
        <f>"1552374561790059"</f>
        <v>1552374561790059</v>
      </c>
      <c r="C10273" t="s">
        <v>40</v>
      </c>
      <c r="D10273">
        <v>4.6866199999999996</v>
      </c>
      <c r="E10273">
        <v>0.49597000000000002</v>
      </c>
      <c r="F10273" t="s">
        <v>42</v>
      </c>
      <c r="G10273">
        <v>-188.03229999999999</v>
      </c>
      <c r="H10273" s="1">
        <v>-1.691661E-6</v>
      </c>
      <c r="I10273">
        <v>62.762469999999901</v>
      </c>
      <c r="J10273">
        <v>-186.7833</v>
      </c>
      <c r="K10273">
        <v>1.1113820000000001</v>
      </c>
      <c r="L10273">
        <v>26.951319999999999</v>
      </c>
      <c r="M10273">
        <v>2.0723769999999999E-2</v>
      </c>
      <c r="N10273">
        <v>0</v>
      </c>
      <c r="O10273">
        <v>0.99973699999999999</v>
      </c>
      <c r="P10273">
        <v>-2.3476940000000002E-2</v>
      </c>
      <c r="Q10273">
        <v>4.770949E-2</v>
      </c>
      <c r="R10273">
        <v>0.99858530000000001</v>
      </c>
      <c r="S10273">
        <v>-0.1030426</v>
      </c>
      <c r="T10273">
        <v>-9.2251059999999996E-2</v>
      </c>
      <c r="U10273">
        <v>3.0061339999999999</v>
      </c>
      <c r="V10273">
        <v>-4.4406620000000001E-2</v>
      </c>
      <c r="W10273">
        <v>5.7329499999999999E-2</v>
      </c>
      <c r="X10273">
        <v>0.99736720000000001</v>
      </c>
      <c r="Y10273">
        <v>-5.4946490000000001E-2</v>
      </c>
      <c r="Z10273">
        <v>-3.0631129999999999E-2</v>
      </c>
      <c r="AA10273">
        <v>0.99801930000000005</v>
      </c>
      <c r="AB10273">
        <v>40</v>
      </c>
      <c r="AC10273">
        <v>-1.2489999999999899</v>
      </c>
      <c r="AD10273">
        <v>-1.11138369166099</v>
      </c>
      <c r="AE10273">
        <v>35.811149999999898</v>
      </c>
      <c r="AF10273">
        <v>-1.9889962056053201</v>
      </c>
      <c r="AG10273">
        <v>-1.11138369166099</v>
      </c>
      <c r="AH10273">
        <v>35.743189170056297</v>
      </c>
      <c r="AI10273">
        <v>91.778207793273495</v>
      </c>
      <c r="AJ10273">
        <v>93.185045295428196</v>
      </c>
      <c r="AK10273">
        <v>35.815734693880501</v>
      </c>
      <c r="AL10273">
        <v>86.713459552188596</v>
      </c>
      <c r="AM10273">
        <v>92.549344561683995</v>
      </c>
      <c r="AN10273">
        <v>0.99999997555295606</v>
      </c>
    </row>
    <row r="10274" spans="1:40" x14ac:dyDescent="0.25">
      <c r="A10274" t="str">
        <f>"20190312150921818"</f>
        <v>20190312150921818</v>
      </c>
      <c r="B10274" t="str">
        <f>"1552374561809579"</f>
        <v>1552374561809579</v>
      </c>
      <c r="C10274" t="s">
        <v>40</v>
      </c>
      <c r="D10274">
        <v>4.7212759999999996</v>
      </c>
      <c r="E10274">
        <v>0.4957452</v>
      </c>
      <c r="F10274" t="s">
        <v>42</v>
      </c>
      <c r="G10274">
        <v>-188.11519999999999</v>
      </c>
      <c r="H10274" s="1">
        <v>-2.3895199999999999E-6</v>
      </c>
      <c r="I10274">
        <v>64.423450000000003</v>
      </c>
      <c r="J10274">
        <v>-186.77610000000001</v>
      </c>
      <c r="K10274">
        <v>1.111416</v>
      </c>
      <c r="L10274">
        <v>27.368010000000002</v>
      </c>
      <c r="M10274">
        <v>1.8936700000000001E-2</v>
      </c>
      <c r="N10274">
        <v>0</v>
      </c>
      <c r="O10274">
        <v>0.99977229999999995</v>
      </c>
      <c r="P10274">
        <v>-2.456931E-2</v>
      </c>
      <c r="Q10274">
        <v>4.8567630000000001E-2</v>
      </c>
      <c r="R10274">
        <v>0.99851769999999995</v>
      </c>
      <c r="S10274">
        <v>-0.10684200000000001</v>
      </c>
      <c r="T10274">
        <v>-8.9155200000000004E-2</v>
      </c>
      <c r="U10274">
        <v>3.0060120000000001</v>
      </c>
      <c r="V10274">
        <v>-4.3721959999999997E-2</v>
      </c>
      <c r="W10274">
        <v>5.8195419999999998E-2</v>
      </c>
      <c r="X10274">
        <v>0.99734730000000005</v>
      </c>
      <c r="Y10274">
        <v>-5.442408E-2</v>
      </c>
      <c r="Z10274">
        <v>-2.960664E-2</v>
      </c>
      <c r="AA10274">
        <v>0.99807889999999999</v>
      </c>
      <c r="AB10274">
        <v>40</v>
      </c>
      <c r="AC10274">
        <v>-1.33909999999997</v>
      </c>
      <c r="AD10274">
        <v>-1.11141838952</v>
      </c>
      <c r="AE10274">
        <v>37.055439999999997</v>
      </c>
      <c r="AF10274">
        <v>-2.0387698608733902</v>
      </c>
      <c r="AG10274">
        <v>-1.11141838952</v>
      </c>
      <c r="AH10274">
        <v>36.990202264405298</v>
      </c>
      <c r="AI10274">
        <v>91.718401348374002</v>
      </c>
      <c r="AJ10274">
        <v>93.154749923596</v>
      </c>
      <c r="AK10274">
        <v>37.063012518463502</v>
      </c>
      <c r="AL10274">
        <v>86.663763016457196</v>
      </c>
      <c r="AM10274">
        <v>92.510139524913598</v>
      </c>
      <c r="AN10274">
        <v>0.99999997675625296</v>
      </c>
    </row>
    <row r="10275" spans="1:40" x14ac:dyDescent="0.25">
      <c r="A10275" t="str">
        <f>"20190312150921839"</f>
        <v>20190312150921839</v>
      </c>
      <c r="B10275" t="str">
        <f>"1552374561830075"</f>
        <v>1552374561830075</v>
      </c>
      <c r="C10275" t="s">
        <v>40</v>
      </c>
      <c r="D10275">
        <v>4.8302889999999996</v>
      </c>
      <c r="E10275">
        <v>0.49601109999999998</v>
      </c>
      <c r="F10275" t="s">
        <v>42</v>
      </c>
      <c r="G10275">
        <v>-188.17339999999999</v>
      </c>
      <c r="H10275" s="1">
        <v>-2.5272670000000001E-6</v>
      </c>
      <c r="I10275">
        <v>64.768609999999995</v>
      </c>
      <c r="J10275">
        <v>-186.77</v>
      </c>
      <c r="K10275">
        <v>1.111448</v>
      </c>
      <c r="L10275">
        <v>27.759429999999998</v>
      </c>
      <c r="M10275">
        <v>1.7255779999999998E-2</v>
      </c>
      <c r="N10275">
        <v>0</v>
      </c>
      <c r="O10275">
        <v>0.99980259999999999</v>
      </c>
      <c r="P10275">
        <v>-2.5509230000000001E-2</v>
      </c>
      <c r="Q10275">
        <v>4.9837060000000002E-2</v>
      </c>
      <c r="R10275">
        <v>0.99843159999999997</v>
      </c>
      <c r="S10275">
        <v>-0.11230469999999999</v>
      </c>
      <c r="T10275">
        <v>-8.9329359999999997E-2</v>
      </c>
      <c r="U10275">
        <v>3.0060419999999999</v>
      </c>
      <c r="V10275">
        <v>-4.2991080000000001E-2</v>
      </c>
      <c r="W10275">
        <v>5.9473030000000003E-2</v>
      </c>
      <c r="X10275">
        <v>0.99730370000000002</v>
      </c>
      <c r="Y10275">
        <v>-5.4556189999999997E-2</v>
      </c>
      <c r="Z10275">
        <v>-2.96644E-2</v>
      </c>
      <c r="AA10275">
        <v>0.99806989999999995</v>
      </c>
      <c r="AB10275">
        <v>40</v>
      </c>
      <c r="AC10275">
        <v>-1.40339999999997</v>
      </c>
      <c r="AD10275">
        <v>-1.1114505272670001</v>
      </c>
      <c r="AE10275">
        <v>37.009180000000001</v>
      </c>
      <c r="AF10275">
        <v>-2.0400070148317999</v>
      </c>
      <c r="AG10275">
        <v>-1.1114505272670001</v>
      </c>
      <c r="AH10275">
        <v>36.946177018661103</v>
      </c>
      <c r="AI10275">
        <v>91.720488114898799</v>
      </c>
      <c r="AJ10275">
        <v>93.160414270910096</v>
      </c>
      <c r="AK10275">
        <v>37.019142982913102</v>
      </c>
      <c r="AL10275">
        <v>86.590434310697205</v>
      </c>
      <c r="AM10275">
        <v>92.468338777727297</v>
      </c>
      <c r="AN10275">
        <v>0.99999997214531799</v>
      </c>
    </row>
    <row r="10276" spans="1:40" x14ac:dyDescent="0.25">
      <c r="A10276" t="str">
        <f>"20190312150921864"</f>
        <v>20190312150921864</v>
      </c>
      <c r="B10276" t="str">
        <f>"1552374561859355"</f>
        <v>1552374561859355</v>
      </c>
      <c r="C10276" t="s">
        <v>40</v>
      </c>
      <c r="D10276">
        <v>4.6032479999999998</v>
      </c>
      <c r="E10276">
        <v>0.49647849999999999</v>
      </c>
      <c r="F10276" t="s">
        <v>42</v>
      </c>
      <c r="G10276">
        <v>-188.25040000000001</v>
      </c>
      <c r="H10276" s="1">
        <v>-3.5299010000000001E-6</v>
      </c>
      <c r="I10276">
        <v>67.137609999999995</v>
      </c>
      <c r="J10276">
        <v>-186.76400000000001</v>
      </c>
      <c r="K10276">
        <v>1.111477</v>
      </c>
      <c r="L10276">
        <v>28.191469999999999</v>
      </c>
      <c r="M10276">
        <v>1.539984E-2</v>
      </c>
      <c r="N10276">
        <v>0</v>
      </c>
      <c r="O10276">
        <v>0.99983290000000002</v>
      </c>
      <c r="P10276">
        <v>-2.6207569999999999E-2</v>
      </c>
      <c r="Q10276">
        <v>5.2193719999999999E-2</v>
      </c>
      <c r="R10276">
        <v>0.99829299999999999</v>
      </c>
      <c r="S10276">
        <v>-0.1130066</v>
      </c>
      <c r="T10276">
        <v>-8.4846619999999998E-2</v>
      </c>
      <c r="U10276">
        <v>3.0060730000000002</v>
      </c>
      <c r="V10276">
        <v>-4.1848450000000002E-2</v>
      </c>
      <c r="W10276">
        <v>6.1839980000000003E-2</v>
      </c>
      <c r="X10276">
        <v>0.99720839999999999</v>
      </c>
      <c r="Y10276">
        <v>-5.2936570000000002E-2</v>
      </c>
      <c r="Z10276">
        <v>-2.817909E-2</v>
      </c>
      <c r="AA10276">
        <v>0.99820019999999998</v>
      </c>
      <c r="AB10276">
        <v>40</v>
      </c>
      <c r="AC10276">
        <v>-1.4863999999999999</v>
      </c>
      <c r="AD10276">
        <v>-1.111480529901</v>
      </c>
      <c r="AE10276">
        <v>38.9461399999999</v>
      </c>
      <c r="AF10276">
        <v>-2.0843219914719802</v>
      </c>
      <c r="AG10276">
        <v>-1.111480529901</v>
      </c>
      <c r="AH10276">
        <v>38.887003492984398</v>
      </c>
      <c r="AI10276">
        <v>91.634854773093593</v>
      </c>
      <c r="AJ10276">
        <v>93.068086402252604</v>
      </c>
      <c r="AK10276">
        <v>38.958681032548597</v>
      </c>
      <c r="AL10276">
        <v>86.454568079649704</v>
      </c>
      <c r="AM10276">
        <v>92.403041818776401</v>
      </c>
      <c r="AN10276">
        <v>1.00000003446218</v>
      </c>
    </row>
    <row r="10277" spans="1:40" x14ac:dyDescent="0.25">
      <c r="A10277" t="str">
        <f>"20190312150921896"</f>
        <v>20190312150921896</v>
      </c>
      <c r="B10277" t="str">
        <f>"1552374561889611"</f>
        <v>1552374561889611</v>
      </c>
      <c r="C10277" t="s">
        <v>40</v>
      </c>
      <c r="D10277">
        <v>4.5932149999999998</v>
      </c>
      <c r="E10277">
        <v>0.49688919999999998</v>
      </c>
      <c r="F10277" t="s">
        <v>42</v>
      </c>
      <c r="G10277">
        <v>-188.38579999999999</v>
      </c>
      <c r="H10277" s="1">
        <v>-1.286857E-6</v>
      </c>
      <c r="I10277">
        <v>71.965000000000003</v>
      </c>
      <c r="J10277">
        <v>-186.75739999999999</v>
      </c>
      <c r="K10277">
        <v>1.111513</v>
      </c>
      <c r="L10277">
        <v>28.770969999999998</v>
      </c>
      <c r="M10277">
        <v>1.291133E-2</v>
      </c>
      <c r="N10277">
        <v>0</v>
      </c>
      <c r="O10277">
        <v>0.99986799999999998</v>
      </c>
      <c r="P10277">
        <v>-2.660643E-2</v>
      </c>
      <c r="Q10277">
        <v>5.5630270000000002E-2</v>
      </c>
      <c r="R10277">
        <v>0.99809689999999995</v>
      </c>
      <c r="S10277">
        <v>-0.1113739</v>
      </c>
      <c r="T10277">
        <v>-7.6331969999999999E-2</v>
      </c>
      <c r="U10277">
        <v>3.006195</v>
      </c>
      <c r="V10277">
        <v>-3.9779700000000001E-2</v>
      </c>
      <c r="W10277">
        <v>6.5293870000000004E-2</v>
      </c>
      <c r="X10277">
        <v>0.99707290000000004</v>
      </c>
      <c r="Y10277">
        <v>-4.991085E-2</v>
      </c>
      <c r="Z10277">
        <v>-2.535569E-2</v>
      </c>
      <c r="AA10277">
        <v>0.99843170000000003</v>
      </c>
      <c r="AB10277">
        <v>40</v>
      </c>
      <c r="AC10277">
        <v>-1.6283999999999901</v>
      </c>
      <c r="AD10277">
        <v>-1.111514286857</v>
      </c>
      <c r="AE10277">
        <v>43.194029999999998</v>
      </c>
      <c r="AF10277">
        <v>-2.18453922846648</v>
      </c>
      <c r="AG10277">
        <v>-1.111514286857</v>
      </c>
      <c r="AH10277">
        <v>43.140876477349799</v>
      </c>
      <c r="AI10277">
        <v>91.473997711238596</v>
      </c>
      <c r="AJ10277">
        <v>92.898829888760801</v>
      </c>
      <c r="AK10277">
        <v>43.210448954906198</v>
      </c>
      <c r="AL10277">
        <v>86.2562736558952</v>
      </c>
      <c r="AM10277">
        <v>92.284688290541595</v>
      </c>
      <c r="AN10277">
        <v>1.0000000409530301</v>
      </c>
    </row>
    <row r="10278" spans="1:40" x14ac:dyDescent="0.25">
      <c r="A10278" t="str">
        <f>"20190312150921917"</f>
        <v>20190312150921917</v>
      </c>
      <c r="B10278" t="str">
        <f>"1552374561910107"</f>
        <v>1552374561910107</v>
      </c>
      <c r="C10278" t="s">
        <v>40</v>
      </c>
      <c r="D10278">
        <v>4.8689960000000001</v>
      </c>
      <c r="E10278">
        <v>0.49715389999999998</v>
      </c>
      <c r="F10278" t="s">
        <v>42</v>
      </c>
      <c r="G10278">
        <v>-188.65430000000001</v>
      </c>
      <c r="H10278" s="1">
        <v>-8.5295540000000003E-7</v>
      </c>
      <c r="I10278">
        <v>81.064610000000002</v>
      </c>
      <c r="J10278">
        <v>-186.75370000000001</v>
      </c>
      <c r="K10278">
        <v>1.1115389999999901</v>
      </c>
      <c r="L10278">
        <v>29.163419999999999</v>
      </c>
      <c r="M10278">
        <v>1.1226949999999999E-2</v>
      </c>
      <c r="N10278">
        <v>0</v>
      </c>
      <c r="O10278">
        <v>0.9998882</v>
      </c>
      <c r="P10278">
        <v>-2.6311379999999999E-2</v>
      </c>
      <c r="Q10278">
        <v>5.7885230000000003E-2</v>
      </c>
      <c r="R10278">
        <v>0.99797650000000004</v>
      </c>
      <c r="S10278">
        <v>-0.1090546</v>
      </c>
      <c r="T10278">
        <v>-6.3901310000000003E-2</v>
      </c>
      <c r="U10278">
        <v>3.0063780000000002</v>
      </c>
      <c r="V10278">
        <v>-3.7815559999999998E-2</v>
      </c>
      <c r="W10278">
        <v>6.7563349999999994E-2</v>
      </c>
      <c r="X10278">
        <v>0.9969981</v>
      </c>
      <c r="Y10278">
        <v>-4.7460219999999997E-2</v>
      </c>
      <c r="Z10278">
        <v>-2.1229479999999998E-2</v>
      </c>
      <c r="AA10278">
        <v>0.99864750000000002</v>
      </c>
      <c r="AB10278">
        <v>40</v>
      </c>
      <c r="AC10278">
        <v>-1.9005999999999901</v>
      </c>
      <c r="AD10278">
        <v>-1.1115398529553999</v>
      </c>
      <c r="AE10278">
        <v>51.90119</v>
      </c>
      <c r="AF10278">
        <v>-2.4820637796977998</v>
      </c>
      <c r="AG10278">
        <v>-1.1115398529553999</v>
      </c>
      <c r="AH10278">
        <v>51.852828449729202</v>
      </c>
      <c r="AI10278">
        <v>91.226625201894606</v>
      </c>
      <c r="AJ10278">
        <v>92.740512253936501</v>
      </c>
      <c r="AK10278">
        <v>51.924098255898897</v>
      </c>
      <c r="AL10278">
        <v>86.125954062428903</v>
      </c>
      <c r="AM10278">
        <v>92.172154453324794</v>
      </c>
      <c r="AN10278">
        <v>1.0000000171224701</v>
      </c>
    </row>
    <row r="10279" spans="1:40" x14ac:dyDescent="0.25">
      <c r="A10279" t="str">
        <f>"20190312150921940"</f>
        <v>20190312150921940</v>
      </c>
      <c r="B10279" t="str">
        <f>"1552374561929630"</f>
        <v>1552374561929630</v>
      </c>
      <c r="C10279" t="s">
        <v>40</v>
      </c>
      <c r="D10279">
        <v>4.6020859999999999</v>
      </c>
      <c r="E10279">
        <v>0.497367</v>
      </c>
      <c r="F10279" t="s">
        <v>42</v>
      </c>
      <c r="G10279">
        <v>-188.816</v>
      </c>
      <c r="H10279" s="1">
        <v>-3.6275049999999999E-6</v>
      </c>
      <c r="I10279">
        <v>87.599009999999893</v>
      </c>
      <c r="J10279">
        <v>-186.75049999999999</v>
      </c>
      <c r="K10279">
        <v>1.1115539999999999</v>
      </c>
      <c r="L10279">
        <v>29.567049999999998</v>
      </c>
      <c r="M10279">
        <v>9.4948529999999993E-3</v>
      </c>
      <c r="N10279">
        <v>0</v>
      </c>
      <c r="O10279">
        <v>0.99990610000000002</v>
      </c>
      <c r="P10279">
        <v>-2.65501E-2</v>
      </c>
      <c r="Q10279">
        <v>5.988682E-2</v>
      </c>
      <c r="R10279">
        <v>0.99785199999999996</v>
      </c>
      <c r="S10279">
        <v>-0.1061096</v>
      </c>
      <c r="T10279">
        <v>-5.7190419999999999E-2</v>
      </c>
      <c r="U10279">
        <v>3.0065919999999999</v>
      </c>
      <c r="V10279">
        <v>-3.6335760000000002E-2</v>
      </c>
      <c r="W10279">
        <v>6.9579909999999995E-2</v>
      </c>
      <c r="X10279">
        <v>0.99691439999999998</v>
      </c>
      <c r="Y10279">
        <v>-4.4751829999999999E-2</v>
      </c>
      <c r="Z10279">
        <v>-1.9001509999999999E-2</v>
      </c>
      <c r="AA10279">
        <v>0.99881739999999997</v>
      </c>
      <c r="AB10279">
        <v>40</v>
      </c>
      <c r="AC10279">
        <v>-2.0654999999999801</v>
      </c>
      <c r="AD10279">
        <v>-1.1115576275049901</v>
      </c>
      <c r="AE10279">
        <v>58.031959999999998</v>
      </c>
      <c r="AF10279">
        <v>-2.6154803499376902</v>
      </c>
      <c r="AG10279">
        <v>-1.1115576275049901</v>
      </c>
      <c r="AH10279">
        <v>57.988483089769801</v>
      </c>
      <c r="AI10279">
        <v>91.097029973324595</v>
      </c>
      <c r="AJ10279">
        <v>92.582486779210896</v>
      </c>
      <c r="AK10279">
        <v>58.058078411817</v>
      </c>
      <c r="AL10279">
        <v>86.010140942330807</v>
      </c>
      <c r="AM10279">
        <v>92.087405415995093</v>
      </c>
      <c r="AN10279">
        <v>0.99999998612887198</v>
      </c>
    </row>
    <row r="10280" spans="1:40" x14ac:dyDescent="0.25">
      <c r="A10280" t="str">
        <f>"20190312150921963"</f>
        <v>20190312150921963</v>
      </c>
      <c r="B10280" t="str">
        <f>"1552374561959883"</f>
        <v>1552374561959883</v>
      </c>
      <c r="C10280" t="s">
        <v>40</v>
      </c>
      <c r="D10280">
        <v>4.7290970000000003</v>
      </c>
      <c r="E10280">
        <v>0.49762630000000002</v>
      </c>
      <c r="F10280" t="s">
        <v>42</v>
      </c>
      <c r="G10280">
        <v>-188.99889999999999</v>
      </c>
      <c r="H10280" s="1">
        <v>-2.03118E-6</v>
      </c>
      <c r="I10280">
        <v>93.953540000000004</v>
      </c>
      <c r="J10280">
        <v>-186.74799999999999</v>
      </c>
      <c r="K10280">
        <v>1.111575</v>
      </c>
      <c r="L10280">
        <v>29.982030000000002</v>
      </c>
      <c r="M10280">
        <v>7.7142560000000001E-3</v>
      </c>
      <c r="N10280">
        <v>0</v>
      </c>
      <c r="O10280">
        <v>0.99992130000000001</v>
      </c>
      <c r="P10280">
        <v>-2.613886E-2</v>
      </c>
      <c r="Q10280">
        <v>6.2937660000000006E-2</v>
      </c>
      <c r="R10280">
        <v>0.99767510000000004</v>
      </c>
      <c r="S10280">
        <v>-0.104995699999999</v>
      </c>
      <c r="T10280">
        <v>-5.1908370000000002E-2</v>
      </c>
      <c r="U10280">
        <v>3.0067750000000002</v>
      </c>
      <c r="V10280">
        <v>-3.4162400000000002E-2</v>
      </c>
      <c r="W10280">
        <v>7.2652949999999994E-2</v>
      </c>
      <c r="X10280">
        <v>0.99677210000000005</v>
      </c>
      <c r="Y10280">
        <v>-4.2602149999999998E-2</v>
      </c>
      <c r="Z10280">
        <v>-1.7247370000000001E-2</v>
      </c>
      <c r="AA10280">
        <v>0.99894320000000003</v>
      </c>
      <c r="AB10280">
        <v>40</v>
      </c>
      <c r="AC10280">
        <v>-2.2509000000000001</v>
      </c>
      <c r="AD10280">
        <v>-1.11157703118</v>
      </c>
      <c r="AE10280">
        <v>63.971510000000002</v>
      </c>
      <c r="AF10280">
        <v>-2.7435224495480899</v>
      </c>
      <c r="AG10280">
        <v>-1.11157703118</v>
      </c>
      <c r="AH10280">
        <v>63.932962057374198</v>
      </c>
      <c r="AI10280">
        <v>90.995162930453702</v>
      </c>
      <c r="AJ10280">
        <v>92.457196880752207</v>
      </c>
      <c r="AK10280">
        <v>64.001454330015605</v>
      </c>
      <c r="AL10280">
        <v>85.833622054114997</v>
      </c>
      <c r="AM10280">
        <v>91.962931626040998</v>
      </c>
      <c r="AN10280">
        <v>1.0000000700279299</v>
      </c>
    </row>
    <row r="10281" spans="1:40" x14ac:dyDescent="0.25">
      <c r="A10281" t="str">
        <f>"20190312150921987"</f>
        <v>20190312150921987</v>
      </c>
      <c r="B10281" t="str">
        <f>"1552374561979404"</f>
        <v>1552374561979404</v>
      </c>
      <c r="C10281" t="s">
        <v>40</v>
      </c>
      <c r="D10281">
        <v>4.6055919999999997</v>
      </c>
      <c r="E10281">
        <v>0.49780459999999899</v>
      </c>
      <c r="F10281" t="s">
        <v>42</v>
      </c>
      <c r="G10281">
        <v>-189.27379999999999</v>
      </c>
      <c r="H10281" s="1">
        <v>-2.3751060000000001E-6</v>
      </c>
      <c r="I10281">
        <v>104.8689</v>
      </c>
      <c r="J10281">
        <v>-186.74619999999999</v>
      </c>
      <c r="K10281">
        <v>1.1115969999999999</v>
      </c>
      <c r="L10281">
        <v>30.39508</v>
      </c>
      <c r="M10281">
        <v>5.9430400000000001E-3</v>
      </c>
      <c r="N10281">
        <v>0</v>
      </c>
      <c r="O10281">
        <v>0.99993319999999997</v>
      </c>
      <c r="P10281">
        <v>-2.5557119999999999E-2</v>
      </c>
      <c r="Q10281">
        <v>6.5466010000000005E-2</v>
      </c>
      <c r="R10281">
        <v>0.99752750000000001</v>
      </c>
      <c r="S10281">
        <v>-0.10142519999999999</v>
      </c>
      <c r="T10281">
        <v>-4.4636250000000002E-2</v>
      </c>
      <c r="U10281">
        <v>3.0071409999999998</v>
      </c>
      <c r="V10281">
        <v>-3.1825880000000001E-2</v>
      </c>
      <c r="W10281">
        <v>7.5207019999999999E-2</v>
      </c>
      <c r="X10281">
        <v>0.99665990000000004</v>
      </c>
      <c r="Y10281">
        <v>-3.964459E-2</v>
      </c>
      <c r="Z10281">
        <v>-1.483134E-2</v>
      </c>
      <c r="AA10281">
        <v>0.99910379999999999</v>
      </c>
      <c r="AB10281">
        <v>41</v>
      </c>
      <c r="AC10281">
        <v>-2.5276000000000001</v>
      </c>
      <c r="AD10281">
        <v>-1.111599375106</v>
      </c>
      <c r="AE10281">
        <v>74.473819999999904</v>
      </c>
      <c r="AF10281">
        <v>-2.9695171915873599</v>
      </c>
      <c r="AG10281">
        <v>-1.111599375106</v>
      </c>
      <c r="AH10281">
        <v>74.440916928301505</v>
      </c>
      <c r="AI10281">
        <v>90.854833863239193</v>
      </c>
      <c r="AJ10281">
        <v>92.284370582627702</v>
      </c>
      <c r="AK10281">
        <v>74.508414280859299</v>
      </c>
      <c r="AL10281">
        <v>85.686882596281094</v>
      </c>
      <c r="AM10281">
        <v>91.828978156293104</v>
      </c>
      <c r="AN10281">
        <v>0.99999996938153202</v>
      </c>
    </row>
    <row r="10282" spans="1:40" x14ac:dyDescent="0.25">
      <c r="A10282" t="str">
        <f>"20190312150922007"</f>
        <v>20190312150922007</v>
      </c>
      <c r="B10282" t="str">
        <f>"1552374561999899"</f>
        <v>1552374561999899</v>
      </c>
      <c r="C10282" t="s">
        <v>40</v>
      </c>
      <c r="D10282">
        <v>4.5476650000000003</v>
      </c>
      <c r="E10282">
        <v>0.49794749999999999</v>
      </c>
      <c r="F10282" t="s">
        <v>77</v>
      </c>
      <c r="G10282">
        <v>-189.66239999999999</v>
      </c>
      <c r="H10282" s="1">
        <v>-1.4652960000000001E-7</v>
      </c>
      <c r="I10282">
        <v>119.8086</v>
      </c>
      <c r="J10282">
        <v>-186.74520000000001</v>
      </c>
      <c r="K10282">
        <v>1.111613</v>
      </c>
      <c r="L10282">
        <v>30.795719999999999</v>
      </c>
      <c r="M10282">
        <v>4.2272469999999999E-3</v>
      </c>
      <c r="N10282">
        <v>0</v>
      </c>
      <c r="O10282">
        <v>0.99994179999999999</v>
      </c>
      <c r="P10282">
        <v>-2.4703550000000001E-2</v>
      </c>
      <c r="Q10282">
        <v>6.8203710000000001E-2</v>
      </c>
      <c r="R10282">
        <v>0.99736550000000002</v>
      </c>
      <c r="S10282">
        <v>-9.8083500000000004E-2</v>
      </c>
      <c r="T10282">
        <v>-3.7388089999999999E-2</v>
      </c>
      <c r="U10282">
        <v>3.0073850000000002</v>
      </c>
      <c r="V10282">
        <v>-2.927366E-2</v>
      </c>
      <c r="W10282">
        <v>7.7970269999999994E-2</v>
      </c>
      <c r="X10282">
        <v>0.99652580000000002</v>
      </c>
      <c r="Y10282">
        <v>-3.6819280000000003E-2</v>
      </c>
      <c r="Z10282">
        <v>-1.2423450000000001E-2</v>
      </c>
      <c r="AA10282">
        <v>0.99924469999999999</v>
      </c>
      <c r="AB10282">
        <v>41</v>
      </c>
      <c r="AC10282">
        <v>-2.9171999999999798</v>
      </c>
      <c r="AD10282">
        <v>-1.1116131465296</v>
      </c>
      <c r="AE10282">
        <v>89.012879999999996</v>
      </c>
      <c r="AF10282">
        <v>-3.2929588956679998</v>
      </c>
      <c r="AG10282">
        <v>-1.1116131465296</v>
      </c>
      <c r="AH10282">
        <v>88.985889293004504</v>
      </c>
      <c r="AI10282">
        <v>90.715213075376496</v>
      </c>
      <c r="AJ10282">
        <v>92.119286509890401</v>
      </c>
      <c r="AK10282">
        <v>89.053735212752002</v>
      </c>
      <c r="AL10282">
        <v>85.528093671127905</v>
      </c>
      <c r="AM10282">
        <v>91.682620726084707</v>
      </c>
      <c r="AN10282">
        <v>0.99999999011965401</v>
      </c>
    </row>
    <row r="10283" spans="1:40" x14ac:dyDescent="0.25">
      <c r="A10283" t="str">
        <f>"20190312150922030"</f>
        <v>20190312150922030</v>
      </c>
      <c r="B10283" t="str">
        <f>"1552374562019418"</f>
        <v>1552374562019418</v>
      </c>
      <c r="C10283" t="s">
        <v>40</v>
      </c>
      <c r="D10283">
        <v>4.602201</v>
      </c>
      <c r="E10283">
        <v>0.49802940000000001</v>
      </c>
      <c r="F10283" t="s">
        <v>77</v>
      </c>
      <c r="G10283">
        <v>-190.3597</v>
      </c>
      <c r="H10283" s="1">
        <v>-9.7463929999999996E-6</v>
      </c>
      <c r="I10283">
        <v>145.77719999999999</v>
      </c>
      <c r="J10283">
        <v>-186.7449</v>
      </c>
      <c r="K10283">
        <v>1.1116360000000001</v>
      </c>
      <c r="L10283">
        <v>31.203800000000001</v>
      </c>
      <c r="M10283">
        <v>2.4812810000000001E-3</v>
      </c>
      <c r="N10283">
        <v>0</v>
      </c>
      <c r="O10283">
        <v>0.99994749999999999</v>
      </c>
      <c r="P10283">
        <v>-2.4023010000000001E-2</v>
      </c>
      <c r="Q10283">
        <v>7.1605530000000001E-2</v>
      </c>
      <c r="R10283">
        <v>0.99714369999999997</v>
      </c>
      <c r="S10283">
        <v>-9.4543459999999996E-2</v>
      </c>
      <c r="T10283">
        <v>-2.90767E-2</v>
      </c>
      <c r="U10283">
        <v>3.007568</v>
      </c>
      <c r="V10283">
        <v>-2.686796E-2</v>
      </c>
      <c r="W10283">
        <v>8.1396860000000001E-2</v>
      </c>
      <c r="X10283">
        <v>0.99631950000000002</v>
      </c>
      <c r="Y10283">
        <v>-3.3898280000000003E-2</v>
      </c>
      <c r="Z10283">
        <v>-9.6621820000000001E-3</v>
      </c>
      <c r="AA10283">
        <v>0.99937860000000001</v>
      </c>
      <c r="AB10283">
        <v>41</v>
      </c>
      <c r="AC10283">
        <v>-3.6147999999999998</v>
      </c>
      <c r="AD10283">
        <v>-1.1116457463930001</v>
      </c>
      <c r="AE10283">
        <v>114.57340000000001</v>
      </c>
      <c r="AF10283">
        <v>-3.8987250689285702</v>
      </c>
      <c r="AG10283">
        <v>-1.1116457463930001</v>
      </c>
      <c r="AH10283">
        <v>114.553304384946</v>
      </c>
      <c r="AI10283">
        <v>90.555669326642303</v>
      </c>
      <c r="AJ10283">
        <v>91.949261123836706</v>
      </c>
      <c r="AK10283">
        <v>114.625020649676</v>
      </c>
      <c r="AL10283">
        <v>85.331137918739103</v>
      </c>
      <c r="AM10283">
        <v>91.544733093756093</v>
      </c>
      <c r="AN10283">
        <v>0.99999994108633306</v>
      </c>
    </row>
    <row r="10284" spans="1:40" x14ac:dyDescent="0.25">
      <c r="A10284" t="str">
        <f>"20190312150922053"</f>
        <v>20190312150922053</v>
      </c>
      <c r="B10284" t="str">
        <f>"1552374562049675"</f>
        <v>1552374562049675</v>
      </c>
      <c r="C10284" t="s">
        <v>40</v>
      </c>
      <c r="D10284">
        <v>4.5872299999999999</v>
      </c>
      <c r="E10284">
        <v>0.49806280000000003</v>
      </c>
      <c r="F10284" t="s">
        <v>42</v>
      </c>
      <c r="G10284">
        <v>-191.7141</v>
      </c>
      <c r="H10284" s="1">
        <v>-2.4534009999999999E-6</v>
      </c>
      <c r="I10284">
        <v>194.2449</v>
      </c>
      <c r="J10284">
        <v>-186.74529999999999</v>
      </c>
      <c r="K10284">
        <v>1.111653</v>
      </c>
      <c r="L10284">
        <v>31.617519999999999</v>
      </c>
      <c r="M10284">
        <v>7.1564329999999996E-4</v>
      </c>
      <c r="N10284">
        <v>0</v>
      </c>
      <c r="O10284">
        <v>0.99995009999999995</v>
      </c>
      <c r="P10284">
        <v>-2.3609560000000002E-2</v>
      </c>
      <c r="Q10284">
        <v>7.4727890000000005E-2</v>
      </c>
      <c r="R10284">
        <v>0.99692449999999999</v>
      </c>
      <c r="S10284">
        <v>-9.1674800000000001E-2</v>
      </c>
      <c r="T10284">
        <v>-2.0507930000000001E-2</v>
      </c>
      <c r="U10284">
        <v>3.0078429999999998</v>
      </c>
      <c r="V10284">
        <v>-2.4708810000000001E-2</v>
      </c>
      <c r="W10284">
        <v>8.4542160000000005E-2</v>
      </c>
      <c r="X10284">
        <v>0.99611349999999999</v>
      </c>
      <c r="Y10284">
        <v>-3.1179080000000001E-2</v>
      </c>
      <c r="Z10284">
        <v>-6.8147529999999998E-3</v>
      </c>
      <c r="AA10284">
        <v>0.99949060000000001</v>
      </c>
      <c r="AB10284">
        <v>41</v>
      </c>
      <c r="AC10284">
        <v>-4.9688000000000097</v>
      </c>
      <c r="AD10284">
        <v>-1.1116554534009999</v>
      </c>
      <c r="AE10284">
        <v>162.62737999999999</v>
      </c>
      <c r="AF10284">
        <v>-5.0849503256238302</v>
      </c>
      <c r="AG10284">
        <v>-1.1116554534009999</v>
      </c>
      <c r="AH10284">
        <v>162.61619106549699</v>
      </c>
      <c r="AI10284">
        <v>90.391480443478997</v>
      </c>
      <c r="AJ10284">
        <v>91.7910350004571</v>
      </c>
      <c r="AK10284">
        <v>162.699471708766</v>
      </c>
      <c r="AL10284">
        <v>85.150302212801293</v>
      </c>
      <c r="AM10284">
        <v>91.4209427693892</v>
      </c>
      <c r="AN10284">
        <v>1.00000000349566</v>
      </c>
    </row>
    <row r="10285" spans="1:40" x14ac:dyDescent="0.25">
      <c r="A10285" t="str">
        <f>"20190312150922076"</f>
        <v>20190312150922076</v>
      </c>
      <c r="B10285" t="str">
        <f>"1552374562069195"</f>
        <v>1552374562069195</v>
      </c>
      <c r="C10285" t="s">
        <v>40</v>
      </c>
      <c r="D10285">
        <v>4.5908810000000004</v>
      </c>
      <c r="E10285">
        <v>0.49814249999999999</v>
      </c>
      <c r="F10285" t="s">
        <v>42</v>
      </c>
      <c r="G10285">
        <v>-193.27539999999999</v>
      </c>
      <c r="H10285" s="1">
        <v>-4.9150990000000004E-6</v>
      </c>
      <c r="I10285">
        <v>248.57239999999999</v>
      </c>
      <c r="J10285">
        <v>-186.74639999999999</v>
      </c>
      <c r="K10285">
        <v>1.111661</v>
      </c>
      <c r="L10285">
        <v>32.031829999999999</v>
      </c>
      <c r="M10285">
        <v>-1.044824E-3</v>
      </c>
      <c r="N10285">
        <v>0</v>
      </c>
      <c r="O10285">
        <v>0.99994970000000005</v>
      </c>
      <c r="P10285">
        <v>-2.279869E-2</v>
      </c>
      <c r="Q10285">
        <v>7.7489779999999994E-2</v>
      </c>
      <c r="R10285">
        <v>0.99673239999999996</v>
      </c>
      <c r="S10285">
        <v>-9.0545650000000005E-2</v>
      </c>
      <c r="T10285">
        <v>-1.541412E-2</v>
      </c>
      <c r="U10285">
        <v>3.00827</v>
      </c>
      <c r="V10285">
        <v>-2.2155569999999999E-2</v>
      </c>
      <c r="W10285">
        <v>8.7328939999999994E-2</v>
      </c>
      <c r="X10285">
        <v>0.99593310000000002</v>
      </c>
      <c r="Y10285">
        <v>-2.9040469999999999E-2</v>
      </c>
      <c r="Z10285">
        <v>-5.1216029999999997E-3</v>
      </c>
      <c r="AA10285">
        <v>0.99956509999999998</v>
      </c>
      <c r="AB10285">
        <v>41</v>
      </c>
      <c r="AC10285">
        <v>-6.5289999999999901</v>
      </c>
      <c r="AD10285">
        <v>-1.111665915099</v>
      </c>
      <c r="AE10285">
        <v>216.54057</v>
      </c>
      <c r="AF10285">
        <v>-6.3025724380393902</v>
      </c>
      <c r="AG10285">
        <v>-1.111665915099</v>
      </c>
      <c r="AH10285">
        <v>216.541571927869</v>
      </c>
      <c r="AI10285">
        <v>90.294013958851195</v>
      </c>
      <c r="AJ10285">
        <v>91.667157393273698</v>
      </c>
      <c r="AK10285">
        <v>216.636124857873</v>
      </c>
      <c r="AL10285">
        <v>84.990038427816799</v>
      </c>
      <c r="AM10285">
        <v>91.274394143063702</v>
      </c>
      <c r="AN10285">
        <v>0.99999997635957805</v>
      </c>
    </row>
    <row r="10286" spans="1:40" x14ac:dyDescent="0.25">
      <c r="A10286" t="str">
        <f>"20190312150922097"</f>
        <v>20190312150922097</v>
      </c>
      <c r="B10286" t="str">
        <f>"1552374562089691"</f>
        <v>1552374562089691</v>
      </c>
      <c r="C10286" t="s">
        <v>40</v>
      </c>
      <c r="D10286">
        <v>4.6929299999999996</v>
      </c>
      <c r="E10286">
        <v>0.49818950000000001</v>
      </c>
      <c r="F10286" t="s">
        <v>49</v>
      </c>
      <c r="G10286">
        <v>-196.7261</v>
      </c>
      <c r="H10286" s="1">
        <v>-1.089793E-5</v>
      </c>
      <c r="I10286">
        <v>375.55700000000002</v>
      </c>
      <c r="J10286">
        <v>-186.74809999999999</v>
      </c>
      <c r="K10286">
        <v>1.1116740000000001</v>
      </c>
      <c r="L10286">
        <v>32.423029999999997</v>
      </c>
      <c r="M10286">
        <v>-2.6961569999999998E-3</v>
      </c>
      <c r="N10286">
        <v>0</v>
      </c>
      <c r="O10286">
        <v>0.99994649999999996</v>
      </c>
      <c r="P10286">
        <v>-2.2061339999999999E-2</v>
      </c>
      <c r="Q10286">
        <v>8.0447080000000004E-2</v>
      </c>
      <c r="R10286">
        <v>0.99651469999999998</v>
      </c>
      <c r="S10286">
        <v>-8.7402339999999995E-2</v>
      </c>
      <c r="T10286">
        <v>-9.7360610000000007E-3</v>
      </c>
      <c r="U10286">
        <v>3.0086059999999999</v>
      </c>
      <c r="V10286">
        <v>-1.9785239999999999E-2</v>
      </c>
      <c r="W10286">
        <v>9.0308289999999999E-2</v>
      </c>
      <c r="X10286">
        <v>0.99571730000000003</v>
      </c>
      <c r="Y10286">
        <v>-2.6343120000000001E-2</v>
      </c>
      <c r="Z10286">
        <v>-3.2347919999999998E-3</v>
      </c>
      <c r="AA10286">
        <v>0.99964770000000003</v>
      </c>
      <c r="AB10286">
        <v>41</v>
      </c>
      <c r="AC10286">
        <v>-9.9779999999999998</v>
      </c>
      <c r="AD10286">
        <v>-1.11168489793</v>
      </c>
      <c r="AE10286">
        <v>343.13396999999998</v>
      </c>
      <c r="AF10286">
        <v>-9.0526796007806301</v>
      </c>
      <c r="AG10286">
        <v>-1.11168489793</v>
      </c>
      <c r="AH10286">
        <v>343.15602748059598</v>
      </c>
      <c r="AI10286">
        <v>90.185549641599593</v>
      </c>
      <c r="AJ10286">
        <v>91.511149505899695</v>
      </c>
      <c r="AK10286">
        <v>343.277214576689</v>
      </c>
      <c r="AL10286">
        <v>84.818656929035399</v>
      </c>
      <c r="AM10286">
        <v>91.138336744114696</v>
      </c>
      <c r="AN10286">
        <v>0.99999999224193503</v>
      </c>
    </row>
    <row r="10287" spans="1:40" x14ac:dyDescent="0.25">
      <c r="A10287" t="str">
        <f>"20190312150922119"</f>
        <v>20190312150922119</v>
      </c>
      <c r="B10287" t="str">
        <f>"1552374562109211"</f>
        <v>1552374562109211</v>
      </c>
      <c r="C10287" t="s">
        <v>40</v>
      </c>
      <c r="D10287">
        <v>4.6127269999999996</v>
      </c>
      <c r="E10287">
        <v>0.49819570000000002</v>
      </c>
      <c r="F10287" t="s">
        <v>91</v>
      </c>
      <c r="G10287">
        <v>-196.923</v>
      </c>
      <c r="H10287">
        <v>0.56317329999999999</v>
      </c>
      <c r="I10287">
        <v>391.87</v>
      </c>
      <c r="J10287">
        <v>-186.75049999999999</v>
      </c>
      <c r="K10287">
        <v>1.1116760000000001</v>
      </c>
      <c r="L10287">
        <v>32.828189999999999</v>
      </c>
      <c r="M10287">
        <v>-4.3881140000000003E-3</v>
      </c>
      <c r="N10287">
        <v>0</v>
      </c>
      <c r="O10287">
        <v>0.9999403</v>
      </c>
      <c r="P10287">
        <v>-2.1240829999999999E-2</v>
      </c>
      <c r="Q10287">
        <v>8.4560769999999993E-2</v>
      </c>
      <c r="R10287">
        <v>0.99619190000000002</v>
      </c>
      <c r="S10287">
        <v>-8.5174559999999996E-2</v>
      </c>
      <c r="T10287">
        <v>-4.5915840000000001E-3</v>
      </c>
      <c r="U10287">
        <v>3.008972</v>
      </c>
      <c r="V10287">
        <v>-1.729723E-2</v>
      </c>
      <c r="W10287">
        <v>9.4443330000000006E-2</v>
      </c>
      <c r="X10287">
        <v>0.99538000000000004</v>
      </c>
      <c r="Y10287">
        <v>-2.3908639999999998E-2</v>
      </c>
      <c r="Z10287">
        <v>-1.525417E-3</v>
      </c>
      <c r="AA10287">
        <v>0.99971299999999996</v>
      </c>
      <c r="AB10287">
        <v>41</v>
      </c>
      <c r="AC10287">
        <v>-10.172499999999999</v>
      </c>
      <c r="AD10287">
        <v>-0.54850270000000001</v>
      </c>
      <c r="AE10287">
        <v>359.04181</v>
      </c>
      <c r="AF10287">
        <v>-8.5967867181604696</v>
      </c>
      <c r="AG10287">
        <v>-0.54850270000000001</v>
      </c>
      <c r="AH10287">
        <v>359.08215582806298</v>
      </c>
      <c r="AI10287">
        <v>90.087494915020201</v>
      </c>
      <c r="AJ10287">
        <v>91.371456402459401</v>
      </c>
      <c r="AK10287">
        <v>359.18546773389699</v>
      </c>
      <c r="AL10287">
        <v>84.580719303565004</v>
      </c>
      <c r="AM10287">
        <v>90.995558013094396</v>
      </c>
      <c r="AN10287">
        <v>1.0000000405735801</v>
      </c>
    </row>
    <row r="10288" spans="1:40" x14ac:dyDescent="0.25">
      <c r="A10288" t="str">
        <f>"20190312150922141"</f>
        <v>20190312150922141</v>
      </c>
      <c r="B10288" t="str">
        <f>"1552374562129711"</f>
        <v>1552374562129711</v>
      </c>
      <c r="C10288" t="s">
        <v>40</v>
      </c>
      <c r="D10288">
        <v>4.6198410000000001</v>
      </c>
      <c r="E10288">
        <v>0.49813030000000003</v>
      </c>
      <c r="F10288" t="s">
        <v>91</v>
      </c>
      <c r="G10288">
        <v>-196.62010000000001</v>
      </c>
      <c r="H10288">
        <v>1.855011</v>
      </c>
      <c r="I10288">
        <v>391.87</v>
      </c>
      <c r="J10288">
        <v>-186.7535</v>
      </c>
      <c r="K10288">
        <v>1.1116779999999999</v>
      </c>
      <c r="L10288">
        <v>33.225490000000001</v>
      </c>
      <c r="M10288">
        <v>-6.0227400000000004E-3</v>
      </c>
      <c r="N10288">
        <v>0</v>
      </c>
      <c r="O10288">
        <v>0.99993180000000004</v>
      </c>
      <c r="P10288">
        <v>-2.0043789999999999E-2</v>
      </c>
      <c r="Q10288">
        <v>8.7886069999999997E-2</v>
      </c>
      <c r="R10288">
        <v>0.99592890000000001</v>
      </c>
      <c r="S10288">
        <v>-8.2717899999999997E-2</v>
      </c>
      <c r="T10288">
        <v>6.2299969999999897E-3</v>
      </c>
      <c r="U10288">
        <v>3.0091860000000001</v>
      </c>
      <c r="V10288">
        <v>-1.4484530000000001E-2</v>
      </c>
      <c r="W10288">
        <v>9.7790879999999997E-2</v>
      </c>
      <c r="X10288">
        <v>0.99510160000000003</v>
      </c>
      <c r="Y10288">
        <v>-2.1456759999999998E-2</v>
      </c>
      <c r="Z10288">
        <v>2.0696360000000001E-3</v>
      </c>
      <c r="AA10288">
        <v>0.99976770000000004</v>
      </c>
      <c r="AB10288">
        <v>41</v>
      </c>
      <c r="AC10288">
        <v>-9.8666</v>
      </c>
      <c r="AD10288">
        <v>0.74333299999999902</v>
      </c>
      <c r="AE10288">
        <v>358.64451000000003</v>
      </c>
      <c r="AF10288">
        <v>-7.7062571767127297</v>
      </c>
      <c r="AG10288">
        <v>0.74333299999999902</v>
      </c>
      <c r="AH10288">
        <v>358.69589190321602</v>
      </c>
      <c r="AI10288">
        <v>89.881292320069804</v>
      </c>
      <c r="AJ10288">
        <v>91.230758723783495</v>
      </c>
      <c r="AK10288">
        <v>358.77943337357902</v>
      </c>
      <c r="AL10288">
        <v>84.3880264891054</v>
      </c>
      <c r="AM10288">
        <v>90.833928750186502</v>
      </c>
      <c r="AN10288">
        <v>1.0000000260715201</v>
      </c>
    </row>
    <row r="10289" spans="1:40" x14ac:dyDescent="0.25">
      <c r="A10289" t="str">
        <f>"20190312150922163"</f>
        <v>20190312150922163</v>
      </c>
      <c r="B10289" t="str">
        <f>"1552374562159963"</f>
        <v>1552374562159963</v>
      </c>
      <c r="C10289" t="s">
        <v>40</v>
      </c>
      <c r="D10289">
        <v>4.5860310000000002</v>
      </c>
      <c r="E10289">
        <v>0.49739840000000002</v>
      </c>
      <c r="F10289" t="s">
        <v>91</v>
      </c>
      <c r="G10289">
        <v>-196.2713</v>
      </c>
      <c r="H10289">
        <v>2.7603140000000002</v>
      </c>
      <c r="I10289">
        <v>391.87</v>
      </c>
      <c r="J10289">
        <v>-186.75720000000001</v>
      </c>
      <c r="K10289">
        <v>1.1116699999999999</v>
      </c>
      <c r="L10289">
        <v>33.630519999999997</v>
      </c>
      <c r="M10289">
        <v>-7.6562660000000001E-3</v>
      </c>
      <c r="N10289">
        <v>0</v>
      </c>
      <c r="O10289">
        <v>0.99992040000000004</v>
      </c>
      <c r="P10289">
        <v>-1.885597E-2</v>
      </c>
      <c r="Q10289">
        <v>9.225672E-2</v>
      </c>
      <c r="R10289">
        <v>0.99555669999999996</v>
      </c>
      <c r="S10289">
        <v>-7.9864500000000005E-2</v>
      </c>
      <c r="T10289">
        <v>1.383388E-2</v>
      </c>
      <c r="U10289">
        <v>3.00943</v>
      </c>
      <c r="V10289">
        <v>-1.168685E-2</v>
      </c>
      <c r="W10289">
        <v>0.10218190000000001</v>
      </c>
      <c r="X10289">
        <v>0.9946971</v>
      </c>
      <c r="Y10289">
        <v>-1.8873729999999998E-2</v>
      </c>
      <c r="Z10289">
        <v>4.595376E-3</v>
      </c>
      <c r="AA10289">
        <v>0.99981129999999996</v>
      </c>
      <c r="AB10289">
        <v>41</v>
      </c>
      <c r="AC10289">
        <v>-9.5140999999999796</v>
      </c>
      <c r="AD10289">
        <v>1.64864399999999</v>
      </c>
      <c r="AE10289">
        <v>358.23947999999899</v>
      </c>
      <c r="AF10289">
        <v>-6.7707631310458796</v>
      </c>
      <c r="AG10289">
        <v>1.64864399999999</v>
      </c>
      <c r="AH10289">
        <v>358.29424222919801</v>
      </c>
      <c r="AI10289">
        <v>89.736409899753198</v>
      </c>
      <c r="AJ10289">
        <v>91.082601777319297</v>
      </c>
      <c r="AK10289">
        <v>358.36200311278901</v>
      </c>
      <c r="AL10289">
        <v>84.135172245535102</v>
      </c>
      <c r="AM10289">
        <v>90.673145997819702</v>
      </c>
      <c r="AN10289">
        <v>1.00000002194947</v>
      </c>
    </row>
    <row r="10290" spans="1:40" x14ac:dyDescent="0.25">
      <c r="A10290" t="str">
        <f>"20190312150922186"</f>
        <v>20190312150922186</v>
      </c>
      <c r="B10290" t="str">
        <f>"1552374562179483"</f>
        <v>1552374562179483</v>
      </c>
      <c r="C10290" t="s">
        <v>40</v>
      </c>
      <c r="D10290">
        <v>4.5866040000000003</v>
      </c>
      <c r="E10290">
        <v>0.49744939999999999</v>
      </c>
      <c r="F10290" t="s">
        <v>42</v>
      </c>
      <c r="G10290">
        <v>-187.9246</v>
      </c>
      <c r="H10290" s="1">
        <v>-2.8615090000000001E-6</v>
      </c>
      <c r="I10290">
        <v>75.444879999999998</v>
      </c>
      <c r="J10290">
        <v>-186.76159999999999</v>
      </c>
      <c r="K10290">
        <v>1.1116539999999999</v>
      </c>
      <c r="L10290">
        <v>34.034790000000001</v>
      </c>
      <c r="M10290">
        <v>-9.2439480000000001E-3</v>
      </c>
      <c r="N10290">
        <v>0</v>
      </c>
      <c r="O10290">
        <v>0.99990690000000004</v>
      </c>
      <c r="P10290">
        <v>-1.7271689999999999E-2</v>
      </c>
      <c r="Q10290">
        <v>9.6016400000000002E-2</v>
      </c>
      <c r="R10290">
        <v>0.9952299</v>
      </c>
      <c r="S10290">
        <v>-8.4289550000000005E-2</v>
      </c>
      <c r="T10290">
        <v>-8.0268859999999997E-2</v>
      </c>
      <c r="U10290">
        <v>3.0192260000000002</v>
      </c>
      <c r="V10290">
        <v>-8.5344679999999999E-3</v>
      </c>
      <c r="W10290">
        <v>0.1059635</v>
      </c>
      <c r="X10290">
        <v>0.99433340000000003</v>
      </c>
      <c r="Y10290">
        <v>-1.8654879999999999E-2</v>
      </c>
      <c r="Z10290">
        <v>-2.656733E-2</v>
      </c>
      <c r="AA10290">
        <v>0.99947299999999994</v>
      </c>
      <c r="AB10290">
        <v>41</v>
      </c>
      <c r="AC10290">
        <v>-1.16300000000001</v>
      </c>
      <c r="AD10290">
        <v>-1.1116568615089999</v>
      </c>
      <c r="AE10290">
        <v>41.410089999999997</v>
      </c>
      <c r="AF10290">
        <v>-0.77957693741578205</v>
      </c>
      <c r="AG10290">
        <v>-1.1116568615089999</v>
      </c>
      <c r="AH10290">
        <v>41.389267784181897</v>
      </c>
      <c r="AI10290">
        <v>91.538240557366905</v>
      </c>
      <c r="AJ10290">
        <v>91.0790523674534</v>
      </c>
      <c r="AK10290">
        <v>41.411532317578001</v>
      </c>
      <c r="AL10290">
        <v>83.917319286762293</v>
      </c>
      <c r="AM10290">
        <v>90.491763617143505</v>
      </c>
      <c r="AN10290">
        <v>1.0000000054159199</v>
      </c>
    </row>
    <row r="10291" spans="1:40" x14ac:dyDescent="0.25">
      <c r="A10291" t="str">
        <f>"20190312150922208"</f>
        <v>20190312150922208</v>
      </c>
      <c r="B10291" t="str">
        <f>"1552374562199979"</f>
        <v>1552374562199979</v>
      </c>
      <c r="C10291" t="s">
        <v>40</v>
      </c>
      <c r="D10291">
        <v>4.6209819999999997</v>
      </c>
      <c r="E10291">
        <v>0.49749910000000003</v>
      </c>
      <c r="F10291" t="s">
        <v>42</v>
      </c>
      <c r="G10291">
        <v>-187.9614</v>
      </c>
      <c r="H10291" s="1">
        <v>-4.6219279999999997E-6</v>
      </c>
      <c r="I10291">
        <v>79.563670000000002</v>
      </c>
      <c r="J10291">
        <v>-186.76679999999999</v>
      </c>
      <c r="K10291">
        <v>1.111634</v>
      </c>
      <c r="L10291">
        <v>34.456299999999999</v>
      </c>
      <c r="M10291">
        <v>-1.084967E-2</v>
      </c>
      <c r="N10291">
        <v>0</v>
      </c>
      <c r="O10291">
        <v>0.99989070000000002</v>
      </c>
      <c r="P10291">
        <v>-1.505896E-2</v>
      </c>
      <c r="Q10291">
        <v>0.10054399999999999</v>
      </c>
      <c r="R10291">
        <v>0.9948186</v>
      </c>
      <c r="S10291">
        <v>-7.9589839999999995E-2</v>
      </c>
      <c r="T10291">
        <v>-7.3740719999999996E-2</v>
      </c>
      <c r="U10291">
        <v>3.020111</v>
      </c>
      <c r="V10291">
        <v>-4.7380240000000004E-3</v>
      </c>
      <c r="W10291">
        <v>0.1105138</v>
      </c>
      <c r="X10291">
        <v>0.99386330000000001</v>
      </c>
      <c r="Y10291">
        <v>-1.548829E-2</v>
      </c>
      <c r="Z10291">
        <v>-2.4401430000000002E-2</v>
      </c>
      <c r="AA10291">
        <v>0.99958219999999998</v>
      </c>
      <c r="AB10291">
        <v>41</v>
      </c>
      <c r="AC10291">
        <v>-1.1946000000000001</v>
      </c>
      <c r="AD10291">
        <v>-1.1116386219279999</v>
      </c>
      <c r="AE10291">
        <v>45.107370000000003</v>
      </c>
      <c r="AF10291">
        <v>-0.70467723591138098</v>
      </c>
      <c r="AG10291">
        <v>-1.1116386219279999</v>
      </c>
      <c r="AH10291">
        <v>45.090310431031298</v>
      </c>
      <c r="AI10291">
        <v>91.412088972942797</v>
      </c>
      <c r="AJ10291">
        <v>90.8953530057194</v>
      </c>
      <c r="AK10291">
        <v>45.109515683493498</v>
      </c>
      <c r="AL10291">
        <v>83.655065299728804</v>
      </c>
      <c r="AM10291">
        <v>90.273142918052201</v>
      </c>
      <c r="AN10291">
        <v>1.0000000039743699</v>
      </c>
    </row>
    <row r="10292" spans="1:40" x14ac:dyDescent="0.25">
      <c r="A10292" t="str">
        <f>"20190312150922231"</f>
        <v>20190312150922231</v>
      </c>
      <c r="B10292" t="str">
        <f>"1552374562219499"</f>
        <v>1552374562219499</v>
      </c>
      <c r="C10292" t="s">
        <v>40</v>
      </c>
      <c r="D10292">
        <v>4.5836389999999998</v>
      </c>
      <c r="E10292">
        <v>0.49792950000000002</v>
      </c>
      <c r="F10292" t="s">
        <v>42</v>
      </c>
      <c r="G10292">
        <v>-188.04900000000001</v>
      </c>
      <c r="H10292" s="1">
        <v>-3.8099769999999999E-6</v>
      </c>
      <c r="I10292">
        <v>87.707210000000003</v>
      </c>
      <c r="J10292">
        <v>-186.7723</v>
      </c>
      <c r="K10292">
        <v>1.111615</v>
      </c>
      <c r="L10292">
        <v>34.85886</v>
      </c>
      <c r="M10292">
        <v>-1.2342240000000001E-2</v>
      </c>
      <c r="N10292">
        <v>0</v>
      </c>
      <c r="O10292">
        <v>0.99987329999999996</v>
      </c>
      <c r="P10292">
        <v>-1.225217E-2</v>
      </c>
      <c r="Q10292">
        <v>0.1050387</v>
      </c>
      <c r="R10292">
        <v>0.99439259999999996</v>
      </c>
      <c r="S10292">
        <v>-7.2738650000000002E-2</v>
      </c>
      <c r="T10292">
        <v>-6.3062190000000004E-2</v>
      </c>
      <c r="U10292">
        <v>3.0208740000000001</v>
      </c>
      <c r="V10292">
        <v>-4.6165650000000002E-4</v>
      </c>
      <c r="W10292">
        <v>0.11503149999999999</v>
      </c>
      <c r="X10292">
        <v>0.99336179999999996</v>
      </c>
      <c r="Y10292">
        <v>-1.1725340000000001E-2</v>
      </c>
      <c r="Z10292">
        <v>-2.0864810000000001E-2</v>
      </c>
      <c r="AA10292">
        <v>0.99971350000000003</v>
      </c>
      <c r="AB10292">
        <v>41</v>
      </c>
      <c r="AC10292">
        <v>-1.2766999999999999</v>
      </c>
      <c r="AD10292">
        <v>-1.1116188099769999</v>
      </c>
      <c r="AE10292">
        <v>52.848350000000003</v>
      </c>
      <c r="AF10292">
        <v>-0.62402683753415999</v>
      </c>
      <c r="AG10292">
        <v>-1.1116188099769999</v>
      </c>
      <c r="AH10292">
        <v>52.8367192072187</v>
      </c>
      <c r="AI10292">
        <v>91.205170057752994</v>
      </c>
      <c r="AJ10292">
        <v>90.676659004457207</v>
      </c>
      <c r="AK10292">
        <v>52.852095535135902</v>
      </c>
      <c r="AL10292">
        <v>83.394558490905496</v>
      </c>
      <c r="AM10292">
        <v>90.026627727309801</v>
      </c>
      <c r="AN10292">
        <v>1.0000000624091001</v>
      </c>
    </row>
    <row r="10293" spans="1:40" x14ac:dyDescent="0.25">
      <c r="A10293" t="str">
        <f>"20190312150922252"</f>
        <v>20190312150922252</v>
      </c>
      <c r="B10293" t="str">
        <f>"1552374562249755"</f>
        <v>1552374562249755</v>
      </c>
      <c r="C10293" t="s">
        <v>40</v>
      </c>
      <c r="D10293">
        <v>4.5927569999999998</v>
      </c>
      <c r="E10293">
        <v>0.4997605</v>
      </c>
      <c r="F10293" t="s">
        <v>42</v>
      </c>
      <c r="G10293">
        <v>-187.55119999999999</v>
      </c>
      <c r="H10293" s="1">
        <v>-1.8071630000000001E-6</v>
      </c>
      <c r="I10293">
        <v>72.832769999999996</v>
      </c>
      <c r="J10293">
        <v>-186.7784</v>
      </c>
      <c r="K10293">
        <v>1.111594</v>
      </c>
      <c r="L10293">
        <v>35.262050000000002</v>
      </c>
      <c r="M10293">
        <v>-1.379273E-2</v>
      </c>
      <c r="N10293">
        <v>0</v>
      </c>
      <c r="O10293">
        <v>0.99985420000000003</v>
      </c>
      <c r="P10293">
        <v>-8.3348060000000002E-3</v>
      </c>
      <c r="Q10293">
        <v>0.1098445</v>
      </c>
      <c r="R10293">
        <v>0.99391379999999996</v>
      </c>
      <c r="S10293">
        <v>-6.2057500000000002E-2</v>
      </c>
      <c r="T10293">
        <v>-8.8566300000000001E-2</v>
      </c>
      <c r="U10293">
        <v>3.0255130000000001</v>
      </c>
      <c r="V10293">
        <v>4.8820950000000004E-3</v>
      </c>
      <c r="W10293">
        <v>0.1198625</v>
      </c>
      <c r="X10293">
        <v>0.99277850000000001</v>
      </c>
      <c r="Y10293">
        <v>-6.7058309999999998E-3</v>
      </c>
      <c r="Z10293">
        <v>-2.9253049999999999E-2</v>
      </c>
      <c r="AA10293">
        <v>0.99954960000000004</v>
      </c>
      <c r="AB10293">
        <v>41</v>
      </c>
      <c r="AC10293">
        <v>-0.77279999999998905</v>
      </c>
      <c r="AD10293">
        <v>-1.1115958071630001</v>
      </c>
      <c r="AE10293">
        <v>37.570720000000001</v>
      </c>
      <c r="AF10293">
        <v>-0.25427493241732602</v>
      </c>
      <c r="AG10293">
        <v>-1.1115958071630001</v>
      </c>
      <c r="AH10293">
        <v>37.544953252750702</v>
      </c>
      <c r="AI10293">
        <v>91.695825498427396</v>
      </c>
      <c r="AJ10293">
        <v>90.388032384168</v>
      </c>
      <c r="AK10293">
        <v>37.562265849266801</v>
      </c>
      <c r="AL10293">
        <v>83.115832880024698</v>
      </c>
      <c r="AM10293">
        <v>89.718244116007</v>
      </c>
      <c r="AN10293">
        <v>1.0000000019100399</v>
      </c>
    </row>
    <row r="10294" spans="1:40" x14ac:dyDescent="0.25">
      <c r="A10294" t="str">
        <f>"20190312150922277"</f>
        <v>20190312150922277</v>
      </c>
      <c r="B10294" t="str">
        <f>"1552374562269276"</f>
        <v>1552374562269276</v>
      </c>
      <c r="C10294" t="s">
        <v>40</v>
      </c>
      <c r="D10294">
        <v>4.9024660000000004</v>
      </c>
      <c r="E10294">
        <v>0.50020989999999999</v>
      </c>
      <c r="F10294" t="s">
        <v>42</v>
      </c>
      <c r="G10294">
        <v>-187.5042</v>
      </c>
      <c r="H10294" s="1">
        <v>-3.9584449999999998E-6</v>
      </c>
      <c r="I10294">
        <v>97.828029999999998</v>
      </c>
      <c r="J10294">
        <v>-186.78569999999999</v>
      </c>
      <c r="K10294">
        <v>1.1115740000000001</v>
      </c>
      <c r="L10294">
        <v>35.702729999999903</v>
      </c>
      <c r="M10294">
        <v>-1.5322270000000001E-2</v>
      </c>
      <c r="N10294">
        <v>0</v>
      </c>
      <c r="O10294">
        <v>0.9998319</v>
      </c>
      <c r="P10294">
        <v>-4.7696639999999998E-3</v>
      </c>
      <c r="Q10294">
        <v>0.1142193</v>
      </c>
      <c r="R10294">
        <v>0.99344410000000005</v>
      </c>
      <c r="S10294">
        <v>-3.507996E-2</v>
      </c>
      <c r="T10294">
        <v>-5.3727150000000001E-2</v>
      </c>
      <c r="U10294">
        <v>3.0240170000000002</v>
      </c>
      <c r="V10294">
        <v>9.9547750000000008E-3</v>
      </c>
      <c r="W10294">
        <v>0.1242629</v>
      </c>
      <c r="X10294">
        <v>0.99219939999999995</v>
      </c>
      <c r="Y10294">
        <v>3.7255399999999998E-3</v>
      </c>
      <c r="Z10294">
        <v>-1.7760229999999998E-2</v>
      </c>
      <c r="AA10294">
        <v>0.99983529999999998</v>
      </c>
      <c r="AB10294">
        <v>41</v>
      </c>
      <c r="AC10294">
        <v>-0.71850000000000502</v>
      </c>
      <c r="AD10294">
        <v>-1.1115779584450001</v>
      </c>
      <c r="AE10294">
        <v>62.125300000000003</v>
      </c>
      <c r="AF10294">
        <v>0.23345851077770999</v>
      </c>
      <c r="AG10294">
        <v>-1.1115779584450001</v>
      </c>
      <c r="AH10294">
        <v>62.109134709732203</v>
      </c>
      <c r="AI10294">
        <v>91.025315799770695</v>
      </c>
      <c r="AJ10294">
        <v>89.784635151897206</v>
      </c>
      <c r="AK10294">
        <v>62.119519660293697</v>
      </c>
      <c r="AL10294">
        <v>82.861808864900198</v>
      </c>
      <c r="AM10294">
        <v>89.425168512898694</v>
      </c>
      <c r="AN10294">
        <v>1.00000000761103</v>
      </c>
    </row>
    <row r="10295" spans="1:40" x14ac:dyDescent="0.25">
      <c r="A10295" t="str">
        <f>"20190312150922299"</f>
        <v>20190312150922299</v>
      </c>
      <c r="B10295" t="str">
        <f>"1552374562289771"</f>
        <v>1552374562289771</v>
      </c>
      <c r="C10295" t="s">
        <v>40</v>
      </c>
      <c r="D10295">
        <v>4.6199960000000004</v>
      </c>
      <c r="E10295">
        <v>0.50058720000000001</v>
      </c>
      <c r="F10295" t="s">
        <v>42</v>
      </c>
      <c r="G10295">
        <v>-187.33150000000001</v>
      </c>
      <c r="H10295" s="1">
        <v>-2.5120280000000002E-6</v>
      </c>
      <c r="I10295">
        <v>114.38500000000001</v>
      </c>
      <c r="J10295">
        <v>-186.79300000000001</v>
      </c>
      <c r="K10295">
        <v>1.111545</v>
      </c>
      <c r="L10295">
        <v>36.11215</v>
      </c>
      <c r="M10295">
        <v>-1.668965E-2</v>
      </c>
      <c r="N10295">
        <v>0</v>
      </c>
      <c r="O10295">
        <v>0.99980979999999997</v>
      </c>
      <c r="P10295">
        <v>-8.2428320000000005E-4</v>
      </c>
      <c r="Q10295">
        <v>0.11853</v>
      </c>
      <c r="R10295">
        <v>0.99295009999999995</v>
      </c>
      <c r="S10295">
        <v>-2.0980829999999999E-2</v>
      </c>
      <c r="T10295">
        <v>-4.2729740000000002E-2</v>
      </c>
      <c r="U10295">
        <v>3.024597</v>
      </c>
      <c r="V10295">
        <v>1.524589E-2</v>
      </c>
      <c r="W10295">
        <v>0.12860139999999901</v>
      </c>
      <c r="X10295">
        <v>0.99157919999999999</v>
      </c>
      <c r="Y10295">
        <v>9.7551909999999999E-3</v>
      </c>
      <c r="Z10295">
        <v>-1.4122549999999999E-2</v>
      </c>
      <c r="AA10295">
        <v>0.99985270000000004</v>
      </c>
      <c r="AB10295">
        <v>41</v>
      </c>
      <c r="AC10295">
        <v>-0.53849999999999898</v>
      </c>
      <c r="AD10295">
        <v>-1.1115475120280001</v>
      </c>
      <c r="AE10295">
        <v>78.272850000000005</v>
      </c>
      <c r="AF10295">
        <v>0.76783315384047601</v>
      </c>
      <c r="AG10295">
        <v>-1.1115475120280001</v>
      </c>
      <c r="AH10295">
        <v>78.255154035634405</v>
      </c>
      <c r="AI10295">
        <v>90.813743637785507</v>
      </c>
      <c r="AJ10295">
        <v>89.4378365501979</v>
      </c>
      <c r="AK10295">
        <v>78.266814415590602</v>
      </c>
      <c r="AL10295">
        <v>82.611220201366507</v>
      </c>
      <c r="AM10295">
        <v>89.119126008914293</v>
      </c>
      <c r="AN10295">
        <v>1.00000003355824</v>
      </c>
    </row>
    <row r="10296" spans="1:40" x14ac:dyDescent="0.25">
      <c r="A10296" t="str">
        <f>"20190312150922320"</f>
        <v>20190312150922320</v>
      </c>
      <c r="B10296" t="str">
        <f>"1552374562309291"</f>
        <v>1552374562309291</v>
      </c>
      <c r="C10296" t="s">
        <v>40</v>
      </c>
      <c r="D10296">
        <v>4.6344940000000001</v>
      </c>
      <c r="E10296">
        <v>0.50075400000000003</v>
      </c>
      <c r="F10296" t="s">
        <v>42</v>
      </c>
      <c r="G10296">
        <v>-187.0308</v>
      </c>
      <c r="H10296" s="1">
        <v>-9.8231680000000006E-7</v>
      </c>
      <c r="I10296">
        <v>160.14519999999999</v>
      </c>
      <c r="J10296">
        <v>-186.8006</v>
      </c>
      <c r="K10296">
        <v>1.1115200000000001</v>
      </c>
      <c r="L10296">
        <v>36.50656</v>
      </c>
      <c r="M10296">
        <v>-1.7955909999999999E-2</v>
      </c>
      <c r="N10296">
        <v>0</v>
      </c>
      <c r="O10296">
        <v>0.99978769999999995</v>
      </c>
      <c r="P10296">
        <v>3.7521970000000001E-3</v>
      </c>
      <c r="Q10296">
        <v>0.1224505</v>
      </c>
      <c r="R10296">
        <v>0.99246749999999995</v>
      </c>
      <c r="S10296">
        <v>-5.7983399999999999E-3</v>
      </c>
      <c r="T10296">
        <v>-2.7104969999999999E-2</v>
      </c>
      <c r="U10296">
        <v>3.0245359999999999</v>
      </c>
      <c r="V10296">
        <v>2.1069439999999998E-2</v>
      </c>
      <c r="W10296">
        <v>0.13255129999999901</v>
      </c>
      <c r="X10296">
        <v>0.99095219999999995</v>
      </c>
      <c r="Y10296">
        <v>1.604009E-2</v>
      </c>
      <c r="Z10296">
        <v>-8.9585849999999998E-3</v>
      </c>
      <c r="AA10296">
        <v>0.99983120000000003</v>
      </c>
      <c r="AB10296">
        <v>41</v>
      </c>
      <c r="AC10296">
        <v>-0.23019999999999599</v>
      </c>
      <c r="AD10296">
        <v>-1.1115209823168</v>
      </c>
      <c r="AE10296">
        <v>123.638639999999</v>
      </c>
      <c r="AF10296">
        <v>1.9898339748717</v>
      </c>
      <c r="AG10296">
        <v>-1.1115209823168</v>
      </c>
      <c r="AH10296">
        <v>123.612848019856</v>
      </c>
      <c r="AI10296">
        <v>90.515120368739304</v>
      </c>
      <c r="AJ10296">
        <v>89.077771893629901</v>
      </c>
      <c r="AK10296">
        <v>123.633859090954</v>
      </c>
      <c r="AL10296">
        <v>82.382952949786997</v>
      </c>
      <c r="AM10296">
        <v>88.781971392049002</v>
      </c>
      <c r="AN10296">
        <v>1.0000000155592199</v>
      </c>
    </row>
    <row r="10297" spans="1:40" x14ac:dyDescent="0.25">
      <c r="A10297" t="str">
        <f>"20190312150922342"</f>
        <v>20190312150922342</v>
      </c>
      <c r="B10297" t="str">
        <f>"1552374562339548"</f>
        <v>1552374562339548</v>
      </c>
      <c r="C10297" t="s">
        <v>40</v>
      </c>
      <c r="D10297">
        <v>4.8882729999999999</v>
      </c>
      <c r="E10297">
        <v>0.50040980000000002</v>
      </c>
      <c r="F10297" t="s">
        <v>61</v>
      </c>
      <c r="G10297">
        <v>-186.30500000000001</v>
      </c>
      <c r="H10297" s="1">
        <v>6.8019850000000001E-6</v>
      </c>
      <c r="I10297">
        <v>200.2594</v>
      </c>
      <c r="J10297">
        <v>-186.80869999999999</v>
      </c>
      <c r="K10297">
        <v>1.11148799999999</v>
      </c>
      <c r="L10297">
        <v>36.907589999999999</v>
      </c>
      <c r="M10297">
        <v>-1.9191110000000001E-2</v>
      </c>
      <c r="N10297">
        <v>0</v>
      </c>
      <c r="O10297">
        <v>0.9997646</v>
      </c>
      <c r="P10297">
        <v>7.7394480000000003E-3</v>
      </c>
      <c r="Q10297">
        <v>0.12751119999999999</v>
      </c>
      <c r="R10297">
        <v>0.99180690000000005</v>
      </c>
      <c r="S10297">
        <v>9.1552730000000002E-3</v>
      </c>
      <c r="T10297">
        <v>-2.0534750000000001E-2</v>
      </c>
      <c r="U10297">
        <v>3.0252690000000002</v>
      </c>
      <c r="V10297">
        <v>2.6266339999999999E-2</v>
      </c>
      <c r="W10297">
        <v>0.13763590000000001</v>
      </c>
      <c r="X10297">
        <v>0.99013450000000003</v>
      </c>
      <c r="Y10297">
        <v>2.2217629999999999E-2</v>
      </c>
      <c r="Z10297">
        <v>-6.7848609999999997E-3</v>
      </c>
      <c r="AA10297">
        <v>0.99973009999999995</v>
      </c>
      <c r="AB10297">
        <v>41</v>
      </c>
      <c r="AC10297">
        <v>0.50369999999998005</v>
      </c>
      <c r="AD10297">
        <v>-1.1114811980149999</v>
      </c>
      <c r="AE10297">
        <v>163.35181</v>
      </c>
      <c r="AF10297">
        <v>3.6385019201289102</v>
      </c>
      <c r="AG10297">
        <v>-1.1114811980149999</v>
      </c>
      <c r="AH10297">
        <v>163.30449546295401</v>
      </c>
      <c r="AI10297">
        <v>90.389863107979494</v>
      </c>
      <c r="AJ10297">
        <v>88.723633926172099</v>
      </c>
      <c r="AK10297">
        <v>163.348805704499</v>
      </c>
      <c r="AL10297">
        <v>82.088930588840299</v>
      </c>
      <c r="AM10297">
        <v>88.480410950033999</v>
      </c>
      <c r="AN10297">
        <v>0.99999994483802601</v>
      </c>
    </row>
    <row r="10298" spans="1:40" x14ac:dyDescent="0.25">
      <c r="A10298" t="str">
        <f>"20190312150922364"</f>
        <v>20190312150922364</v>
      </c>
      <c r="B10298" t="str">
        <f>"1552374562360043"</f>
        <v>1552374562360043</v>
      </c>
      <c r="C10298" t="s">
        <v>40</v>
      </c>
      <c r="D10298">
        <v>4.608085</v>
      </c>
      <c r="E10298">
        <v>0.49994339999999998</v>
      </c>
      <c r="F10298" t="s">
        <v>42</v>
      </c>
      <c r="G10298">
        <v>-185.84059999999999</v>
      </c>
      <c r="H10298" s="1">
        <v>-4.9288540000000004E-6</v>
      </c>
      <c r="I10298">
        <v>199.40219999999999</v>
      </c>
      <c r="J10298">
        <v>-186.8176</v>
      </c>
      <c r="K10298">
        <v>1.11145</v>
      </c>
      <c r="L10298">
        <v>37.320920000000001</v>
      </c>
      <c r="M10298">
        <v>-2.0409360000000001E-2</v>
      </c>
      <c r="N10298">
        <v>0</v>
      </c>
      <c r="O10298">
        <v>0.99974030000000003</v>
      </c>
      <c r="P10298">
        <v>1.0957089999999999E-2</v>
      </c>
      <c r="Q10298">
        <v>0.1315962</v>
      </c>
      <c r="R10298">
        <v>0.99124279999999998</v>
      </c>
      <c r="S10298">
        <v>1.8035889999999999E-2</v>
      </c>
      <c r="T10298">
        <v>-2.0707369999999999E-2</v>
      </c>
      <c r="U10298">
        <v>3.0273129999999999</v>
      </c>
      <c r="V10298">
        <v>3.0683370000000001E-2</v>
      </c>
      <c r="W10298">
        <v>0.141741899999999</v>
      </c>
      <c r="X10298">
        <v>0.98942799999999997</v>
      </c>
      <c r="Y10298">
        <v>2.6366279999999999E-2</v>
      </c>
      <c r="Z10298">
        <v>-6.8366340000000003E-3</v>
      </c>
      <c r="AA10298">
        <v>0.99962899999999999</v>
      </c>
      <c r="AB10298">
        <v>41</v>
      </c>
      <c r="AC10298">
        <v>0.97700000000000398</v>
      </c>
      <c r="AD10298">
        <v>-1.1114549288539901</v>
      </c>
      <c r="AE10298">
        <v>162.08127999999999</v>
      </c>
      <c r="AF10298">
        <v>4.2847402197880902</v>
      </c>
      <c r="AG10298">
        <v>-1.1114549288539901</v>
      </c>
      <c r="AH10298">
        <v>162.01995669306399</v>
      </c>
      <c r="AI10298">
        <v>90.392904817824203</v>
      </c>
      <c r="AJ10298">
        <v>88.485122894365603</v>
      </c>
      <c r="AK10298">
        <v>162.080414293746</v>
      </c>
      <c r="AL10298">
        <v>81.851344962653997</v>
      </c>
      <c r="AM10298">
        <v>88.223757196470302</v>
      </c>
      <c r="AN10298">
        <v>1.00000000129708</v>
      </c>
    </row>
    <row r="10299" spans="1:40" x14ac:dyDescent="0.25">
      <c r="A10299" t="str">
        <f>"20190312150922387"</f>
        <v>20190312150922387</v>
      </c>
      <c r="B10299" t="str">
        <f>"1552374562379564"</f>
        <v>1552374562379564</v>
      </c>
      <c r="C10299" t="s">
        <v>40</v>
      </c>
      <c r="D10299">
        <v>4.5823049999999999</v>
      </c>
      <c r="E10299">
        <v>0.49935160000000001</v>
      </c>
      <c r="F10299" t="s">
        <v>42</v>
      </c>
      <c r="G10299">
        <v>-185.20660000000001</v>
      </c>
      <c r="H10299" s="1">
        <v>-1.933195E-6</v>
      </c>
      <c r="I10299">
        <v>241.35740000000001</v>
      </c>
      <c r="J10299">
        <v>-186.8272</v>
      </c>
      <c r="K10299">
        <v>1.111397</v>
      </c>
      <c r="L10299">
        <v>37.744259999999997</v>
      </c>
      <c r="M10299">
        <v>-2.1593520000000001E-2</v>
      </c>
      <c r="N10299">
        <v>0</v>
      </c>
      <c r="O10299">
        <v>0.99971529999999997</v>
      </c>
      <c r="P10299">
        <v>1.185074E-2</v>
      </c>
      <c r="Q10299">
        <v>0.13241220000000001</v>
      </c>
      <c r="R10299">
        <v>0.99112389999999995</v>
      </c>
      <c r="S10299">
        <v>2.3910520000000001E-2</v>
      </c>
      <c r="T10299">
        <v>-1.6496899999999998E-2</v>
      </c>
      <c r="U10299">
        <v>3.0284420000000001</v>
      </c>
      <c r="V10299">
        <v>3.2764469999999997E-2</v>
      </c>
      <c r="W10299">
        <v>0.14257449999999999</v>
      </c>
      <c r="X10299">
        <v>0.9892417</v>
      </c>
      <c r="Y10299">
        <v>2.9487079999999999E-2</v>
      </c>
      <c r="Z10299">
        <v>-5.4440649999999997E-3</v>
      </c>
      <c r="AA10299">
        <v>0.9995503</v>
      </c>
      <c r="AB10299">
        <v>41</v>
      </c>
      <c r="AC10299">
        <v>1.62059999999999</v>
      </c>
      <c r="AD10299">
        <v>-1.111398933195</v>
      </c>
      <c r="AE10299">
        <v>203.61313999999999</v>
      </c>
      <c r="AF10299">
        <v>6.0169937765185804</v>
      </c>
      <c r="AG10299">
        <v>-1.111398933195</v>
      </c>
      <c r="AH10299">
        <v>203.52459951104001</v>
      </c>
      <c r="AI10299">
        <v>90.312738735798803</v>
      </c>
      <c r="AJ10299">
        <v>88.306602925031001</v>
      </c>
      <c r="AK10299">
        <v>203.61655636962499</v>
      </c>
      <c r="AL10299">
        <v>81.803151600505004</v>
      </c>
      <c r="AM10299">
        <v>88.103011776537301</v>
      </c>
      <c r="AN10299">
        <v>1.0000000697817499</v>
      </c>
    </row>
    <row r="10300" spans="1:40" x14ac:dyDescent="0.25">
      <c r="A10300" t="str">
        <f>"20190312150922409"</f>
        <v>20190312150922409</v>
      </c>
      <c r="B10300" t="str">
        <f>"1552374562400059"</f>
        <v>1552374562400059</v>
      </c>
      <c r="C10300" t="s">
        <v>40</v>
      </c>
      <c r="D10300">
        <v>4.5927410000000002</v>
      </c>
      <c r="E10300">
        <v>0.4916277</v>
      </c>
      <c r="F10300" t="s">
        <v>42</v>
      </c>
      <c r="G10300">
        <v>-185.7945</v>
      </c>
      <c r="H10300" s="1">
        <v>-2.7084600000000002E-6</v>
      </c>
      <c r="I10300">
        <v>184.2073</v>
      </c>
      <c r="J10300">
        <v>-186.83690000000001</v>
      </c>
      <c r="K10300">
        <v>1.111353</v>
      </c>
      <c r="L10300">
        <v>38.153260000000003</v>
      </c>
      <c r="M10300">
        <v>-2.269123E-2</v>
      </c>
      <c r="N10300">
        <v>0</v>
      </c>
      <c r="O10300">
        <v>0.99969079999999999</v>
      </c>
      <c r="P10300">
        <v>1.623513E-2</v>
      </c>
      <c r="Q10300">
        <v>0.1359986</v>
      </c>
      <c r="R10300">
        <v>0.99057600000000001</v>
      </c>
      <c r="S10300">
        <v>2.1362300000000001E-2</v>
      </c>
      <c r="T10300">
        <v>-2.2990110000000001E-2</v>
      </c>
      <c r="U10300">
        <v>3.0296940000000001</v>
      </c>
      <c r="V10300">
        <v>3.8229100000000002E-2</v>
      </c>
      <c r="W10300">
        <v>0.14618120000000001</v>
      </c>
      <c r="X10300">
        <v>0.98851889999999998</v>
      </c>
      <c r="Y10300">
        <v>2.9740630000000001E-2</v>
      </c>
      <c r="Z10300">
        <v>-7.5833389999999997E-3</v>
      </c>
      <c r="AA10300">
        <v>0.99952890000000005</v>
      </c>
      <c r="AB10300">
        <v>41</v>
      </c>
      <c r="AC10300">
        <v>1.04240000000001</v>
      </c>
      <c r="AD10300">
        <v>-1.1113557084600001</v>
      </c>
      <c r="AE10300">
        <v>146.05403999999999</v>
      </c>
      <c r="AF10300">
        <v>4.3561965541922802</v>
      </c>
      <c r="AG10300">
        <v>-1.1113557084600001</v>
      </c>
      <c r="AH10300">
        <v>145.984323614397</v>
      </c>
      <c r="AI10300">
        <v>90.435981281098606</v>
      </c>
      <c r="AJ10300">
        <v>88.290791580264695</v>
      </c>
      <c r="AK10300">
        <v>146.05353231292401</v>
      </c>
      <c r="AL10300">
        <v>81.594314251140304</v>
      </c>
      <c r="AM10300">
        <v>87.785297695315293</v>
      </c>
      <c r="AN10300">
        <v>1.00000001148873</v>
      </c>
    </row>
    <row r="10301" spans="1:40" x14ac:dyDescent="0.25">
      <c r="A10301" t="str">
        <f>"20190312150922423"</f>
        <v>20190312150922423</v>
      </c>
      <c r="B10301" t="str">
        <f>"1552374562419579"</f>
        <v>1552374562419579</v>
      </c>
      <c r="C10301" t="s">
        <v>40</v>
      </c>
      <c r="D10301">
        <v>4.6226409999999998</v>
      </c>
      <c r="E10301">
        <v>0.49119439999999998</v>
      </c>
      <c r="F10301" t="s">
        <v>42</v>
      </c>
      <c r="G10301">
        <v>-187.05590000000001</v>
      </c>
      <c r="H10301" s="1">
        <v>-8.8891429999999996E-7</v>
      </c>
      <c r="I10301">
        <v>59.958269999999999</v>
      </c>
      <c r="J10301">
        <v>-186.8433</v>
      </c>
      <c r="K10301">
        <v>1.1113280000000001</v>
      </c>
      <c r="L10301">
        <v>38.41422</v>
      </c>
      <c r="M10301">
        <v>-2.3371510000000002E-2</v>
      </c>
      <c r="N10301">
        <v>0</v>
      </c>
      <c r="O10301">
        <v>0.99967510000000004</v>
      </c>
      <c r="P10301">
        <v>1.7852199999999999E-2</v>
      </c>
      <c r="Q10301">
        <v>0.1369852</v>
      </c>
      <c r="R10301">
        <v>0.99041219999999996</v>
      </c>
      <c r="S10301">
        <v>-3.0639650000000001E-2</v>
      </c>
      <c r="T10301">
        <v>-0.15547149999999901</v>
      </c>
      <c r="U10301">
        <v>3.0503849999999999</v>
      </c>
      <c r="V10301">
        <v>4.0523539999999997E-2</v>
      </c>
      <c r="W10301">
        <v>0.14717829999999901</v>
      </c>
      <c r="X10301">
        <v>0.98827949999999998</v>
      </c>
      <c r="Y10301">
        <v>1.3343280000000001E-2</v>
      </c>
      <c r="Z10301">
        <v>-5.087738E-2</v>
      </c>
      <c r="AA10301">
        <v>0.9986157</v>
      </c>
      <c r="AB10301">
        <v>41</v>
      </c>
      <c r="AC10301">
        <v>-0.212600000000008</v>
      </c>
      <c r="AD10301">
        <v>-1.1113288889143</v>
      </c>
      <c r="AE10301">
        <v>21.544049999999999</v>
      </c>
      <c r="AF10301">
        <v>0.29022891025347702</v>
      </c>
      <c r="AG10301">
        <v>-1.1113288889143</v>
      </c>
      <c r="AH10301">
        <v>21.485966951025901</v>
      </c>
      <c r="AI10301">
        <v>92.960628683189299</v>
      </c>
      <c r="AJ10301">
        <v>89.2261050935886</v>
      </c>
      <c r="AK10301">
        <v>21.516646126668</v>
      </c>
      <c r="AL10301">
        <v>81.536559773217903</v>
      </c>
      <c r="AM10301">
        <v>87.6519518369998</v>
      </c>
      <c r="AN10301">
        <v>0.99999998970263504</v>
      </c>
    </row>
    <row r="10302" spans="1:40" x14ac:dyDescent="0.25">
      <c r="A10302" t="str">
        <f>"20190312150922443"</f>
        <v>20190312150922443</v>
      </c>
      <c r="B10302" t="str">
        <f>"1552374562440076"</f>
        <v>1552374562440076</v>
      </c>
      <c r="C10302" t="s">
        <v>40</v>
      </c>
      <c r="D10302">
        <v>4.5998640000000002</v>
      </c>
      <c r="E10302">
        <v>0.49043920000000002</v>
      </c>
      <c r="F10302" t="s">
        <v>42</v>
      </c>
      <c r="G10302">
        <v>-187.0513</v>
      </c>
      <c r="H10302" s="1">
        <v>-8.7722989999999998E-7</v>
      </c>
      <c r="I10302">
        <v>59.920299999999997</v>
      </c>
      <c r="J10302">
        <v>-186.85230000000001</v>
      </c>
      <c r="K10302">
        <v>1.1112869999999999</v>
      </c>
      <c r="L10302">
        <v>38.772979999999997</v>
      </c>
      <c r="M10302">
        <v>-2.427143E-2</v>
      </c>
      <c r="N10302">
        <v>0</v>
      </c>
      <c r="O10302">
        <v>0.99965349999999997</v>
      </c>
      <c r="P10302">
        <v>2.104762E-2</v>
      </c>
      <c r="Q10302">
        <v>0.13866199999999901</v>
      </c>
      <c r="R10302">
        <v>0.99011610000000005</v>
      </c>
      <c r="S10302">
        <v>-2.9510499999999999E-2</v>
      </c>
      <c r="T10302">
        <v>-0.15768099999999999</v>
      </c>
      <c r="U10302">
        <v>3.0513919999999999</v>
      </c>
      <c r="V10302">
        <v>4.4611640000000001E-2</v>
      </c>
      <c r="W10302">
        <v>0.1488708</v>
      </c>
      <c r="X10302">
        <v>0.9878498</v>
      </c>
      <c r="Y10302">
        <v>1.4616580000000001E-2</v>
      </c>
      <c r="Z10302">
        <v>-5.1579499999999903E-2</v>
      </c>
      <c r="AA10302">
        <v>0.9985619</v>
      </c>
      <c r="AB10302">
        <v>41</v>
      </c>
      <c r="AC10302">
        <v>-0.198999999999983</v>
      </c>
      <c r="AD10302">
        <v>-1.1112878772299</v>
      </c>
      <c r="AE10302">
        <v>21.147320000000001</v>
      </c>
      <c r="AF10302">
        <v>0.31349532723405799</v>
      </c>
      <c r="AG10302">
        <v>-1.1112878772299</v>
      </c>
      <c r="AH10302">
        <v>21.087691573569199</v>
      </c>
      <c r="AI10302">
        <v>93.016273541548003</v>
      </c>
      <c r="AJ10302">
        <v>89.148288183806699</v>
      </c>
      <c r="AK10302">
        <v>21.119279721814799</v>
      </c>
      <c r="AL10302">
        <v>81.438506300628504</v>
      </c>
      <c r="AM10302">
        <v>87.414259581609002</v>
      </c>
      <c r="AN10302">
        <v>0.99999997043808397</v>
      </c>
    </row>
    <row r="10303" spans="1:40" x14ac:dyDescent="0.25">
      <c r="A10303" t="str">
        <f>"20190312150922467"</f>
        <v>20190312150922467</v>
      </c>
      <c r="B10303" t="str">
        <f>"1552374562459596"</f>
        <v>1552374562459596</v>
      </c>
      <c r="C10303" t="s">
        <v>40</v>
      </c>
      <c r="D10303">
        <v>4.6179290000000002</v>
      </c>
      <c r="E10303">
        <v>0.48948380000000002</v>
      </c>
      <c r="F10303" t="s">
        <v>42</v>
      </c>
      <c r="G10303">
        <v>-187.0317</v>
      </c>
      <c r="H10303" s="1">
        <v>-8.1970299999999899E-7</v>
      </c>
      <c r="I10303">
        <v>59.735939999999999</v>
      </c>
      <c r="J10303">
        <v>-186.86359999999999</v>
      </c>
      <c r="K10303">
        <v>1.1112379999999999</v>
      </c>
      <c r="L10303">
        <v>39.203189999999999</v>
      </c>
      <c r="M10303">
        <v>-2.529723E-2</v>
      </c>
      <c r="N10303">
        <v>0</v>
      </c>
      <c r="O10303">
        <v>0.99962790000000001</v>
      </c>
      <c r="P10303">
        <v>2.4042560000000001E-2</v>
      </c>
      <c r="Q10303">
        <v>0.14000799999999999</v>
      </c>
      <c r="R10303">
        <v>0.98985840000000003</v>
      </c>
      <c r="S10303">
        <v>-2.6123049999999998E-2</v>
      </c>
      <c r="T10303">
        <v>-0.1618541</v>
      </c>
      <c r="U10303">
        <v>3.0531619999999999</v>
      </c>
      <c r="V10303">
        <v>4.8629560000000002E-2</v>
      </c>
      <c r="W10303">
        <v>0.15023149999999999</v>
      </c>
      <c r="X10303">
        <v>0.9874541</v>
      </c>
      <c r="Y10303">
        <v>1.6756589999999998E-2</v>
      </c>
      <c r="Z10303">
        <v>-5.2907559999999999E-2</v>
      </c>
      <c r="AA10303">
        <v>0.99845879999999998</v>
      </c>
      <c r="AB10303">
        <v>41</v>
      </c>
      <c r="AC10303">
        <v>-0.16810000000000899</v>
      </c>
      <c r="AD10303">
        <v>-1.1112388197030001</v>
      </c>
      <c r="AE10303">
        <v>20.53275</v>
      </c>
      <c r="AF10303">
        <v>0.35037635592785599</v>
      </c>
      <c r="AG10303">
        <v>-1.1112388197030001</v>
      </c>
      <c r="AH10303">
        <v>20.470476811307002</v>
      </c>
      <c r="AI10303">
        <v>93.106794578952105</v>
      </c>
      <c r="AJ10303">
        <v>89.019410903703303</v>
      </c>
      <c r="AK10303">
        <v>20.5036103208061</v>
      </c>
      <c r="AL10303">
        <v>81.359657171073493</v>
      </c>
      <c r="AM10303">
        <v>87.180608900988602</v>
      </c>
      <c r="AN10303">
        <v>0.99999996865242602</v>
      </c>
    </row>
    <row r="10304" spans="1:40" x14ac:dyDescent="0.25">
      <c r="A10304" t="str">
        <f>"20190312150922489"</f>
        <v>20190312150922489</v>
      </c>
      <c r="B10304" t="str">
        <f>"1552374562480092"</f>
        <v>1552374562480092</v>
      </c>
      <c r="C10304" t="s">
        <v>40</v>
      </c>
      <c r="D10304">
        <v>4.585661</v>
      </c>
      <c r="E10304">
        <v>0.48906100000000002</v>
      </c>
      <c r="F10304" t="s">
        <v>42</v>
      </c>
      <c r="G10304">
        <v>-187.04079999999999</v>
      </c>
      <c r="H10304" s="1">
        <v>-1.352095E-6</v>
      </c>
      <c r="I10304">
        <v>61.307519999999997</v>
      </c>
      <c r="J10304">
        <v>-186.8751</v>
      </c>
      <c r="K10304">
        <v>1.1111850000000001</v>
      </c>
      <c r="L10304">
        <v>39.627499999999998</v>
      </c>
      <c r="M10304">
        <v>-2.6253100000000001E-2</v>
      </c>
      <c r="N10304">
        <v>0</v>
      </c>
      <c r="O10304">
        <v>0.99960320000000003</v>
      </c>
      <c r="P10304">
        <v>2.7272069999999999E-2</v>
      </c>
      <c r="Q10304">
        <v>0.14150070000000001</v>
      </c>
      <c r="R10304">
        <v>0.98956250000000001</v>
      </c>
      <c r="S10304">
        <v>-2.44751E-2</v>
      </c>
      <c r="T10304">
        <v>-0.1534838</v>
      </c>
      <c r="U10304">
        <v>3.0530400000000002</v>
      </c>
      <c r="V10304">
        <v>5.2811509999999999E-2</v>
      </c>
      <c r="W10304">
        <v>0.1517366</v>
      </c>
      <c r="X10304">
        <v>0.98700909999999997</v>
      </c>
      <c r="Y10304">
        <v>1.8250120000000002E-2</v>
      </c>
      <c r="Z10304">
        <v>-5.017812E-2</v>
      </c>
      <c r="AA10304">
        <v>0.9985735</v>
      </c>
      <c r="AB10304">
        <v>41</v>
      </c>
      <c r="AC10304">
        <v>-0.165699999999986</v>
      </c>
      <c r="AD10304">
        <v>-1.1111863520950001</v>
      </c>
      <c r="AE10304">
        <v>21.680019999999999</v>
      </c>
      <c r="AF10304">
        <v>0.40249722730731802</v>
      </c>
      <c r="AG10304">
        <v>-1.1111863520950001</v>
      </c>
      <c r="AH10304">
        <v>21.6201051278478</v>
      </c>
      <c r="AI10304">
        <v>92.941674724032197</v>
      </c>
      <c r="AJ10304">
        <v>88.933458992860494</v>
      </c>
      <c r="AK10304">
        <v>21.652382891179901</v>
      </c>
      <c r="AL10304">
        <v>81.272421567169005</v>
      </c>
      <c r="AM10304">
        <v>86.937217771189395</v>
      </c>
      <c r="AN10304">
        <v>1.0000000074254201</v>
      </c>
    </row>
    <row r="10305" spans="1:40" x14ac:dyDescent="0.25">
      <c r="A10305" t="str">
        <f>"20190312150922510"</f>
        <v>20190312150922510</v>
      </c>
      <c r="B10305" t="str">
        <f>"1552374562499611"</f>
        <v>1552374562499611</v>
      </c>
      <c r="C10305" t="s">
        <v>40</v>
      </c>
      <c r="D10305">
        <v>4.5993899999999996</v>
      </c>
      <c r="E10305">
        <v>0.48351830000000001</v>
      </c>
      <c r="F10305" t="s">
        <v>42</v>
      </c>
      <c r="G10305">
        <v>-187.01230000000001</v>
      </c>
      <c r="H10305" s="1">
        <v>-1.752677E-6</v>
      </c>
      <c r="I10305">
        <v>62.462350000000001</v>
      </c>
      <c r="J10305">
        <v>-186.8861</v>
      </c>
      <c r="K10305">
        <v>1.1111420000000001</v>
      </c>
      <c r="L10305">
        <v>40.021239999999999</v>
      </c>
      <c r="M10305">
        <v>-2.7102049999999999E-2</v>
      </c>
      <c r="N10305">
        <v>0</v>
      </c>
      <c r="O10305">
        <v>0.99958040000000004</v>
      </c>
      <c r="P10305">
        <v>3.0421630000000002E-2</v>
      </c>
      <c r="Q10305">
        <v>0.14176349999999999</v>
      </c>
      <c r="R10305">
        <v>0.98943300000000001</v>
      </c>
      <c r="S10305">
        <v>-1.8341059999999999E-2</v>
      </c>
      <c r="T10305">
        <v>-0.14858450000000001</v>
      </c>
      <c r="U10305">
        <v>3.0534059999999998</v>
      </c>
      <c r="V10305">
        <v>5.6813339999999997E-2</v>
      </c>
      <c r="W10305">
        <v>0.15201139999999999</v>
      </c>
      <c r="X10305">
        <v>0.98674450000000002</v>
      </c>
      <c r="Y10305">
        <v>2.110563E-2</v>
      </c>
      <c r="Z10305">
        <v>-4.8571759999999999E-2</v>
      </c>
      <c r="AA10305">
        <v>0.9985967</v>
      </c>
      <c r="AB10305">
        <v>42</v>
      </c>
      <c r="AC10305">
        <v>-0.126200000000011</v>
      </c>
      <c r="AD10305">
        <v>-1.1111437526770001</v>
      </c>
      <c r="AE10305">
        <v>22.441109999999998</v>
      </c>
      <c r="AF10305">
        <v>0.48089928729696402</v>
      </c>
      <c r="AG10305">
        <v>-1.1111437526770001</v>
      </c>
      <c r="AH10305">
        <v>22.381417519268801</v>
      </c>
      <c r="AI10305">
        <v>92.841507499592794</v>
      </c>
      <c r="AJ10305">
        <v>88.769101176841701</v>
      </c>
      <c r="AK10305">
        <v>22.414141846956099</v>
      </c>
      <c r="AL10305">
        <v>81.256491525139793</v>
      </c>
      <c r="AM10305">
        <v>86.7047450284918</v>
      </c>
      <c r="AN10305">
        <v>0.999999964806082</v>
      </c>
    </row>
    <row r="10306" spans="1:40" x14ac:dyDescent="0.25">
      <c r="A10306" t="str">
        <f>"20190312150922531"</f>
        <v>20190312150922531</v>
      </c>
      <c r="B10306" t="str">
        <f>"1552374562529867"</f>
        <v>1552374562529867</v>
      </c>
      <c r="C10306" t="s">
        <v>40</v>
      </c>
      <c r="D10306">
        <v>4.5975020000000004</v>
      </c>
      <c r="E10306">
        <v>0.4843286</v>
      </c>
      <c r="F10306" t="s">
        <v>41</v>
      </c>
      <c r="G10306">
        <v>-186.90369999999999</v>
      </c>
      <c r="H10306">
        <v>1.0471250000000001</v>
      </c>
      <c r="I10306">
        <v>41.020510000000002</v>
      </c>
      <c r="J10306">
        <v>-186.89760000000001</v>
      </c>
      <c r="K10306">
        <v>1.1110930000000001</v>
      </c>
      <c r="L10306">
        <v>40.422910000000002</v>
      </c>
      <c r="M10306">
        <v>-2.792799E-2</v>
      </c>
      <c r="N10306">
        <v>0</v>
      </c>
      <c r="O10306">
        <v>0.99955760000000005</v>
      </c>
      <c r="P10306">
        <v>3.3246150000000002E-2</v>
      </c>
      <c r="Q10306">
        <v>0.14207539999999999</v>
      </c>
      <c r="R10306">
        <v>0.98929739999999999</v>
      </c>
      <c r="S10306">
        <v>-5.3894039999999997E-2</v>
      </c>
      <c r="T10306">
        <v>-0.1961638</v>
      </c>
      <c r="U10306">
        <v>3.061798</v>
      </c>
      <c r="V10306">
        <v>6.0466730000000003E-2</v>
      </c>
      <c r="W10306">
        <v>0.15233279999999999</v>
      </c>
      <c r="X10306">
        <v>0.98647790000000002</v>
      </c>
      <c r="Y10306">
        <v>1.03686E-2</v>
      </c>
      <c r="Z10306">
        <v>-6.3893060000000002E-2</v>
      </c>
      <c r="AA10306">
        <v>0.99790290000000004</v>
      </c>
      <c r="AB10306">
        <v>42</v>
      </c>
      <c r="AC10306">
        <v>-6.0999999999751201E-3</v>
      </c>
      <c r="AD10306">
        <v>-6.3967999999999997E-2</v>
      </c>
      <c r="AE10306">
        <v>0.59759999999999902</v>
      </c>
      <c r="AF10306">
        <v>1.0473033376180401E-2</v>
      </c>
      <c r="AG10306">
        <v>-6.3967999999999997E-2</v>
      </c>
      <c r="AH10306">
        <v>0.59076898748761897</v>
      </c>
      <c r="AI10306">
        <v>96.178901803988197</v>
      </c>
      <c r="AJ10306">
        <v>88.984378370567299</v>
      </c>
      <c r="AK10306">
        <v>0.59431438315864804</v>
      </c>
      <c r="AL10306">
        <v>81.2378606678963</v>
      </c>
      <c r="AM10306">
        <v>86.492410706662298</v>
      </c>
      <c r="AN10306">
        <v>1.00000007729056</v>
      </c>
    </row>
    <row r="10307" spans="1:40" x14ac:dyDescent="0.25">
      <c r="A10307" t="str">
        <f>"20190312150922546"</f>
        <v>20190312150922546</v>
      </c>
      <c r="B10307" t="str">
        <f>"1552374562539627"</f>
        <v>1552374562539627</v>
      </c>
      <c r="C10307" t="s">
        <v>40</v>
      </c>
      <c r="D10307">
        <v>4.5870620000000004</v>
      </c>
      <c r="E10307">
        <v>0.48394589999999998</v>
      </c>
      <c r="F10307" t="s">
        <v>42</v>
      </c>
      <c r="G10307">
        <v>-187.1431</v>
      </c>
      <c r="H10307" s="1">
        <v>-9.0469689999999997E-7</v>
      </c>
      <c r="I10307">
        <v>60.072809999999997</v>
      </c>
      <c r="J10307">
        <v>-186.90559999999999</v>
      </c>
      <c r="K10307">
        <v>1.111059</v>
      </c>
      <c r="L10307">
        <v>40.695279999999997</v>
      </c>
      <c r="M10307">
        <v>-2.846626E-2</v>
      </c>
      <c r="N10307">
        <v>0</v>
      </c>
      <c r="O10307">
        <v>0.99954240000000005</v>
      </c>
      <c r="P10307">
        <v>3.4590990000000002E-2</v>
      </c>
      <c r="Q10307">
        <v>0.14215059999999999</v>
      </c>
      <c r="R10307">
        <v>0.98924049999999997</v>
      </c>
      <c r="S10307">
        <v>-3.8208010000000001E-2</v>
      </c>
      <c r="T10307">
        <v>-0.17294479999999901</v>
      </c>
      <c r="U10307">
        <v>3.0585629999999999</v>
      </c>
      <c r="V10307">
        <v>6.2353440000000003E-2</v>
      </c>
      <c r="W10307">
        <v>0.15241289999999999</v>
      </c>
      <c r="X10307">
        <v>0.986348</v>
      </c>
      <c r="Y10307">
        <v>1.5999320000000001E-2</v>
      </c>
      <c r="Z10307">
        <v>-5.6414199999999901E-2</v>
      </c>
      <c r="AA10307">
        <v>0.99827929999999998</v>
      </c>
      <c r="AB10307">
        <v>42</v>
      </c>
      <c r="AC10307">
        <v>-0.23750000000001101</v>
      </c>
      <c r="AD10307">
        <v>-1.1110599046968901</v>
      </c>
      <c r="AE10307">
        <v>19.37753</v>
      </c>
      <c r="AF10307">
        <v>0.31320140742908897</v>
      </c>
      <c r="AG10307">
        <v>-1.1110599046968901</v>
      </c>
      <c r="AH10307">
        <v>19.3129539944584</v>
      </c>
      <c r="AI10307">
        <v>93.292122566557197</v>
      </c>
      <c r="AJ10307">
        <v>89.070906197535905</v>
      </c>
      <c r="AK10307">
        <v>19.347422082166599</v>
      </c>
      <c r="AL10307">
        <v>81.233216461603604</v>
      </c>
      <c r="AM10307">
        <v>86.382776406809</v>
      </c>
      <c r="AN10307">
        <v>1.0000000103351201</v>
      </c>
    </row>
    <row r="10308" spans="1:40" x14ac:dyDescent="0.25">
      <c r="A10308" t="str">
        <f>"20190312150922566"</f>
        <v>20190312150922566</v>
      </c>
      <c r="B10308" t="str">
        <f>"1552374562559148"</f>
        <v>1552374562559148</v>
      </c>
      <c r="C10308" t="s">
        <v>40</v>
      </c>
      <c r="D10308">
        <v>4.5795620000000001</v>
      </c>
      <c r="E10308">
        <v>0.48336810000000002</v>
      </c>
      <c r="F10308" t="s">
        <v>41</v>
      </c>
      <c r="G10308">
        <v>-186.91839999999999</v>
      </c>
      <c r="H10308">
        <v>1.048675</v>
      </c>
      <c r="I10308">
        <v>41.763150000000003</v>
      </c>
      <c r="J10308">
        <v>-186.91679999999999</v>
      </c>
      <c r="K10308">
        <v>1.1110040000000001</v>
      </c>
      <c r="L10308">
        <v>41.070590000000003</v>
      </c>
      <c r="M10308">
        <v>-2.9169859999999999E-2</v>
      </c>
      <c r="N10308">
        <v>0</v>
      </c>
      <c r="O10308">
        <v>0.99952200000000002</v>
      </c>
      <c r="P10308">
        <v>3.7559219999999997E-2</v>
      </c>
      <c r="Q10308">
        <v>0.14268259999999999</v>
      </c>
      <c r="R10308">
        <v>0.98905560000000003</v>
      </c>
      <c r="S10308">
        <v>-3.6849979999999997E-2</v>
      </c>
      <c r="T10308">
        <v>-0.17874470000000001</v>
      </c>
      <c r="U10308">
        <v>3.0596009999999998</v>
      </c>
      <c r="V10308">
        <v>6.602616E-2</v>
      </c>
      <c r="W10308">
        <v>0.15295159999999999</v>
      </c>
      <c r="X10308">
        <v>0.98602559999999995</v>
      </c>
      <c r="Y10308">
        <v>1.7151710000000001E-2</v>
      </c>
      <c r="Z10308">
        <v>-5.8277900000000001E-2</v>
      </c>
      <c r="AA10308">
        <v>0.99815299999999996</v>
      </c>
      <c r="AB10308">
        <v>42</v>
      </c>
      <c r="AC10308">
        <v>-1.59999999999627E-3</v>
      </c>
      <c r="AD10308">
        <v>-6.2329000000000002E-2</v>
      </c>
      <c r="AE10308">
        <v>0.69255999999999995</v>
      </c>
      <c r="AF10308">
        <v>1.8454147657800901E-2</v>
      </c>
      <c r="AG10308">
        <v>-6.2329000000000002E-2</v>
      </c>
      <c r="AH10308">
        <v>0.68674954586878501</v>
      </c>
      <c r="AI10308">
        <v>95.184063221418</v>
      </c>
      <c r="AJ10308">
        <v>88.460733767397798</v>
      </c>
      <c r="AK10308">
        <v>0.68981910567753801</v>
      </c>
      <c r="AL10308">
        <v>81.201985530105205</v>
      </c>
      <c r="AM10308">
        <v>86.169084004212493</v>
      </c>
      <c r="AN10308">
        <v>1.00000006480113</v>
      </c>
    </row>
    <row r="10309" spans="1:40" x14ac:dyDescent="0.25">
      <c r="A10309" t="str">
        <f>"20190312150922588"</f>
        <v>20190312150922588</v>
      </c>
      <c r="B10309" t="str">
        <f>"1552374562580075"</f>
        <v>1552374562580075</v>
      </c>
      <c r="C10309" t="s">
        <v>40</v>
      </c>
      <c r="D10309">
        <v>4.5806430000000002</v>
      </c>
      <c r="E10309">
        <v>0.4836646</v>
      </c>
      <c r="F10309" t="s">
        <v>41</v>
      </c>
      <c r="G10309">
        <v>-186.92789999999999</v>
      </c>
      <c r="H10309">
        <v>1.0466420000000001</v>
      </c>
      <c r="I10309">
        <v>42.133589999999998</v>
      </c>
      <c r="J10309">
        <v>-186.92959999999999</v>
      </c>
      <c r="K10309">
        <v>1.1109469999999999</v>
      </c>
      <c r="L10309">
        <v>41.48892</v>
      </c>
      <c r="M10309">
        <v>-2.9905169999999998E-2</v>
      </c>
      <c r="N10309">
        <v>0</v>
      </c>
      <c r="O10309">
        <v>0.99950019999999995</v>
      </c>
      <c r="P10309">
        <v>4.0425030000000001E-2</v>
      </c>
      <c r="Q10309">
        <v>0.14321610000000001</v>
      </c>
      <c r="R10309">
        <v>0.98886549999999995</v>
      </c>
      <c r="S10309">
        <v>-3.2623289999999999E-2</v>
      </c>
      <c r="T10309">
        <v>-0.18538279999999999</v>
      </c>
      <c r="U10309">
        <v>3.061188</v>
      </c>
      <c r="V10309">
        <v>6.9629839999999998E-2</v>
      </c>
      <c r="W10309">
        <v>0.1534906</v>
      </c>
      <c r="X10309">
        <v>0.98569379999999995</v>
      </c>
      <c r="Y10309">
        <v>1.9272810000000001E-2</v>
      </c>
      <c r="Z10309">
        <v>-6.0400530000000001E-2</v>
      </c>
      <c r="AA10309">
        <v>0.99798819999999999</v>
      </c>
      <c r="AB10309">
        <v>42</v>
      </c>
      <c r="AC10309">
        <v>1.6999999999995901E-3</v>
      </c>
      <c r="AD10309">
        <v>-6.4304999999999807E-2</v>
      </c>
      <c r="AE10309">
        <v>0.64467000000000496</v>
      </c>
      <c r="AF10309">
        <v>2.0772536796357498E-2</v>
      </c>
      <c r="AG10309">
        <v>-6.4304999999999807E-2</v>
      </c>
      <c r="AH10309">
        <v>0.63798303085975405</v>
      </c>
      <c r="AI10309">
        <v>95.752616312489096</v>
      </c>
      <c r="AJ10309">
        <v>88.135125363895796</v>
      </c>
      <c r="AK10309">
        <v>0.64155200800477097</v>
      </c>
      <c r="AL10309">
        <v>81.170733271593207</v>
      </c>
      <c r="AM10309">
        <v>85.959313326684494</v>
      </c>
      <c r="AN10309">
        <v>0.99999997313261202</v>
      </c>
    </row>
    <row r="10310" spans="1:40" x14ac:dyDescent="0.25">
      <c r="A10310" t="str">
        <f>"20190312150922612"</f>
        <v>20190312150922612</v>
      </c>
      <c r="B10310" t="str">
        <f>"1552374562599595"</f>
        <v>1552374562599595</v>
      </c>
      <c r="C10310" t="s">
        <v>40</v>
      </c>
      <c r="D10310">
        <v>4.5804600000000004</v>
      </c>
      <c r="E10310">
        <v>0.48404629999999998</v>
      </c>
      <c r="F10310" t="s">
        <v>41</v>
      </c>
      <c r="G10310">
        <v>-186.9367</v>
      </c>
      <c r="H10310">
        <v>1.0484639999999901</v>
      </c>
      <c r="I10310">
        <v>42.507620000000003</v>
      </c>
      <c r="J10310">
        <v>-186.9427</v>
      </c>
      <c r="K10310">
        <v>1.1108990000000001</v>
      </c>
      <c r="L10310">
        <v>41.909120000000001</v>
      </c>
      <c r="M10310">
        <v>-3.0595399999999998E-2</v>
      </c>
      <c r="N10310">
        <v>0</v>
      </c>
      <c r="O10310">
        <v>0.99947920000000001</v>
      </c>
      <c r="P10310">
        <v>4.242638E-2</v>
      </c>
      <c r="Q10310">
        <v>0.14318</v>
      </c>
      <c r="R10310">
        <v>0.98878690000000002</v>
      </c>
      <c r="S10310">
        <v>-2.131653E-2</v>
      </c>
      <c r="T10310">
        <v>-0.1877924</v>
      </c>
      <c r="U10310">
        <v>3.0618590000000001</v>
      </c>
      <c r="V10310">
        <v>7.2329569999999996E-2</v>
      </c>
      <c r="W10310">
        <v>0.1534576</v>
      </c>
      <c r="X10310">
        <v>0.98550450000000001</v>
      </c>
      <c r="Y10310">
        <v>2.365078E-2</v>
      </c>
      <c r="Z10310">
        <v>-6.1165509999999999E-2</v>
      </c>
      <c r="AA10310">
        <v>0.99784740000000005</v>
      </c>
      <c r="AB10310">
        <v>42</v>
      </c>
      <c r="AC10310">
        <v>6.0000000000002196E-3</v>
      </c>
      <c r="AD10310">
        <v>-6.2435000000000199E-2</v>
      </c>
      <c r="AE10310">
        <v>0.59850000000000103</v>
      </c>
      <c r="AF10310">
        <v>2.4047827692127301E-2</v>
      </c>
      <c r="AG10310">
        <v>-6.2435000000000199E-2</v>
      </c>
      <c r="AH10310">
        <v>0.59159878571537405</v>
      </c>
      <c r="AI10310">
        <v>96.019535290907996</v>
      </c>
      <c r="AJ10310">
        <v>87.672272263391307</v>
      </c>
      <c r="AK10310">
        <v>0.59537009540420704</v>
      </c>
      <c r="AL10310">
        <v>81.172646589952805</v>
      </c>
      <c r="AM10310">
        <v>85.802391522994995</v>
      </c>
      <c r="AN10310">
        <v>0.99999996060719598</v>
      </c>
    </row>
    <row r="10311" spans="1:40" x14ac:dyDescent="0.25">
      <c r="A10311" t="str">
        <f>"20190312150922632"</f>
        <v>20190312150922632</v>
      </c>
      <c r="B10311" t="str">
        <f>"1552374562629851"</f>
        <v>1552374562629851</v>
      </c>
      <c r="C10311" t="s">
        <v>40</v>
      </c>
      <c r="D10311">
        <v>4.6055140000000003</v>
      </c>
      <c r="E10311">
        <v>0.48419869999999998</v>
      </c>
      <c r="F10311" t="s">
        <v>41</v>
      </c>
      <c r="G10311">
        <v>-186.94640000000001</v>
      </c>
      <c r="H10311">
        <v>1.050824</v>
      </c>
      <c r="I10311">
        <v>42.882579999999997</v>
      </c>
      <c r="J10311">
        <v>-186.95509999999999</v>
      </c>
      <c r="K10311">
        <v>1.110846</v>
      </c>
      <c r="L10311">
        <v>42.29889</v>
      </c>
      <c r="M10311">
        <v>-3.1192649999999999E-2</v>
      </c>
      <c r="N10311">
        <v>0</v>
      </c>
      <c r="O10311">
        <v>0.99946060000000003</v>
      </c>
      <c r="P10311">
        <v>4.4378189999999998E-2</v>
      </c>
      <c r="Q10311">
        <v>0.143291</v>
      </c>
      <c r="R10311">
        <v>0.98868509999999998</v>
      </c>
      <c r="S10311">
        <v>-1.1871339999999999E-2</v>
      </c>
      <c r="T10311">
        <v>-0.18899450000000001</v>
      </c>
      <c r="U10311">
        <v>3.06189</v>
      </c>
      <c r="V10311">
        <v>7.4885300000000002E-2</v>
      </c>
      <c r="W10311">
        <v>0.15357019999999999</v>
      </c>
      <c r="X10311">
        <v>0.98529610000000001</v>
      </c>
      <c r="Y10311">
        <v>2.732619E-2</v>
      </c>
      <c r="Z10311">
        <v>-6.1550880000000002E-2</v>
      </c>
      <c r="AA10311">
        <v>0.9977298</v>
      </c>
      <c r="AB10311">
        <v>42</v>
      </c>
      <c r="AC10311">
        <v>8.6999999999761695E-3</v>
      </c>
      <c r="AD10311">
        <v>-6.0021999999999999E-2</v>
      </c>
      <c r="AE10311">
        <v>0.58368999999999704</v>
      </c>
      <c r="AF10311">
        <v>2.6622113874162901E-2</v>
      </c>
      <c r="AG10311">
        <v>-6.0021999999999999E-2</v>
      </c>
      <c r="AH10311">
        <v>0.57703410699387103</v>
      </c>
      <c r="AI10311">
        <v>95.932177877196494</v>
      </c>
      <c r="AJ10311">
        <v>87.358468273849994</v>
      </c>
      <c r="AK10311">
        <v>0.58075789970119496</v>
      </c>
      <c r="AL10311">
        <v>81.1661181306564</v>
      </c>
      <c r="AM10311">
        <v>85.653713966328198</v>
      </c>
      <c r="AN10311">
        <v>1.0000000095796699</v>
      </c>
    </row>
    <row r="10312" spans="1:40" x14ac:dyDescent="0.25">
      <c r="A10312" t="str">
        <f>"20190312150922646"</f>
        <v>20190312150922646</v>
      </c>
      <c r="B10312" t="str">
        <f>"1552374562639612"</f>
        <v>1552374562639612</v>
      </c>
      <c r="C10312" t="s">
        <v>40</v>
      </c>
      <c r="D10312">
        <v>4.7255580000000004</v>
      </c>
      <c r="E10312">
        <v>0.48458889999999999</v>
      </c>
      <c r="F10312" t="s">
        <v>41</v>
      </c>
      <c r="G10312">
        <v>-186.9564</v>
      </c>
      <c r="H10312">
        <v>1.0511490000000001</v>
      </c>
      <c r="I10312">
        <v>43.256210000000003</v>
      </c>
      <c r="J10312">
        <v>-186.96340000000001</v>
      </c>
      <c r="K10312">
        <v>1.1108089999999999</v>
      </c>
      <c r="L10312">
        <v>42.555509999999998</v>
      </c>
      <c r="M10312">
        <v>-3.1565339999999997E-2</v>
      </c>
      <c r="N10312">
        <v>0</v>
      </c>
      <c r="O10312">
        <v>0.99944889999999997</v>
      </c>
      <c r="P10312">
        <v>4.4987659999999999E-2</v>
      </c>
      <c r="Q10312">
        <v>0.1428586</v>
      </c>
      <c r="R10312">
        <v>0.98872020000000005</v>
      </c>
      <c r="S10312">
        <v>-4.379272E-3</v>
      </c>
      <c r="T10312">
        <v>-0.19096199999999999</v>
      </c>
      <c r="U10312">
        <v>3.062195</v>
      </c>
      <c r="V10312">
        <v>7.5876650000000004E-2</v>
      </c>
      <c r="W10312">
        <v>0.15313860000000001</v>
      </c>
      <c r="X10312">
        <v>0.98528740000000004</v>
      </c>
      <c r="Y10312">
        <v>3.014033E-2</v>
      </c>
      <c r="Z10312">
        <v>-6.2179570000000003E-2</v>
      </c>
      <c r="AA10312">
        <v>0.99760979999999999</v>
      </c>
      <c r="AB10312">
        <v>42</v>
      </c>
      <c r="AC10312">
        <v>7.0000000000049996E-3</v>
      </c>
      <c r="AD10312">
        <v>-5.9659999999999998E-2</v>
      </c>
      <c r="AE10312">
        <v>0.70069999999999699</v>
      </c>
      <c r="AF10312">
        <v>2.8905982082839801E-2</v>
      </c>
      <c r="AG10312">
        <v>-5.9659999999999998E-2</v>
      </c>
      <c r="AH10312">
        <v>0.69509133404495305</v>
      </c>
      <c r="AI10312">
        <v>94.901483626071993</v>
      </c>
      <c r="AJ10312">
        <v>87.618676922230193</v>
      </c>
      <c r="AK10312">
        <v>0.69824553995322203</v>
      </c>
      <c r="AL10312">
        <v>81.191142727826303</v>
      </c>
      <c r="AM10312">
        <v>85.596362879894201</v>
      </c>
      <c r="AN10312">
        <v>0.99999997871197099</v>
      </c>
    </row>
    <row r="10313" spans="1:40" x14ac:dyDescent="0.25">
      <c r="A10313" t="str">
        <f>"20190312150922667"</f>
        <v>20190312150922667</v>
      </c>
      <c r="B10313" t="str">
        <f>"1552374562659132"</f>
        <v>1552374562659132</v>
      </c>
      <c r="C10313" t="s">
        <v>40</v>
      </c>
      <c r="D10313">
        <v>4.8710040000000001</v>
      </c>
      <c r="E10313">
        <v>0.48528329999999997</v>
      </c>
      <c r="F10313" t="s">
        <v>41</v>
      </c>
      <c r="G10313">
        <v>-186.9631</v>
      </c>
      <c r="H10313">
        <v>1.0432250000000001</v>
      </c>
      <c r="I10313">
        <v>43.62294</v>
      </c>
      <c r="J10313">
        <v>-186.97569999999999</v>
      </c>
      <c r="K10313">
        <v>1.1107549999999999</v>
      </c>
      <c r="L10313">
        <v>42.933929999999997</v>
      </c>
      <c r="M10313">
        <v>-3.2073089999999999E-2</v>
      </c>
      <c r="N10313">
        <v>0</v>
      </c>
      <c r="O10313">
        <v>0.9994326</v>
      </c>
      <c r="P10313">
        <v>4.6556180000000003E-2</v>
      </c>
      <c r="Q10313">
        <v>0.14207800000000001</v>
      </c>
      <c r="R10313">
        <v>0.98875999999999997</v>
      </c>
      <c r="S10313">
        <v>5.0354000000000002E-4</v>
      </c>
      <c r="T10313">
        <v>-0.19389999999999999</v>
      </c>
      <c r="U10313">
        <v>3.0622250000000002</v>
      </c>
      <c r="V10313">
        <v>7.7966869999999994E-2</v>
      </c>
      <c r="W10313">
        <v>0.1523592</v>
      </c>
      <c r="X10313">
        <v>0.98524500000000004</v>
      </c>
      <c r="Y10313">
        <v>3.2238790000000003E-2</v>
      </c>
      <c r="Z10313">
        <v>-6.3128249999999997E-2</v>
      </c>
      <c r="AA10313">
        <v>0.99748460000000005</v>
      </c>
      <c r="AB10313">
        <v>42</v>
      </c>
      <c r="AC10313">
        <v>1.2599999999991901E-2</v>
      </c>
      <c r="AD10313">
        <v>-6.7529999999999799E-2</v>
      </c>
      <c r="AE10313">
        <v>0.68901000000000301</v>
      </c>
      <c r="AF10313">
        <v>3.4363381551702897E-2</v>
      </c>
      <c r="AG10313">
        <v>-6.7529999999999799E-2</v>
      </c>
      <c r="AH10313">
        <v>0.68170507476543496</v>
      </c>
      <c r="AI10313">
        <v>95.650160612052304</v>
      </c>
      <c r="AJ10313">
        <v>87.114277526284098</v>
      </c>
      <c r="AK10313">
        <v>0.68590301927649799</v>
      </c>
      <c r="AL10313">
        <v>81.236328931870204</v>
      </c>
      <c r="AM10313">
        <v>85.475356287034003</v>
      </c>
      <c r="AN10313">
        <v>0.999999934333616</v>
      </c>
    </row>
    <row r="10314" spans="1:40" x14ac:dyDescent="0.25">
      <c r="A10314" t="str">
        <f>"20190312150922690"</f>
        <v>20190312150922690</v>
      </c>
      <c r="B10314" t="str">
        <f>"1552374562679627"</f>
        <v>1552374562679627</v>
      </c>
      <c r="C10314" t="s">
        <v>40</v>
      </c>
      <c r="D10314">
        <v>4.5135829999999997</v>
      </c>
      <c r="E10314">
        <v>0.48514659999999898</v>
      </c>
      <c r="F10314" t="s">
        <v>41</v>
      </c>
      <c r="G10314">
        <v>-186.97200000000001</v>
      </c>
      <c r="H10314">
        <v>1.0421959999999999</v>
      </c>
      <c r="I10314">
        <v>43.996589999999998</v>
      </c>
      <c r="J10314">
        <v>-186.99019999999999</v>
      </c>
      <c r="K10314">
        <v>1.1106879999999999</v>
      </c>
      <c r="L10314">
        <v>43.371519999999997</v>
      </c>
      <c r="M10314">
        <v>-3.26025E-2</v>
      </c>
      <c r="N10314">
        <v>0</v>
      </c>
      <c r="O10314">
        <v>0.99941550000000001</v>
      </c>
      <c r="P10314">
        <v>4.7836999999999998E-2</v>
      </c>
      <c r="Q10314">
        <v>0.14137829999999901</v>
      </c>
      <c r="R10314">
        <v>0.98879919999999999</v>
      </c>
      <c r="S10314">
        <v>1.0467529999999999E-2</v>
      </c>
      <c r="T10314">
        <v>-0.19754930000000001</v>
      </c>
      <c r="U10314">
        <v>3.0619809999999998</v>
      </c>
      <c r="V10314">
        <v>7.9794119999999996E-2</v>
      </c>
      <c r="W10314">
        <v>0.151658399999999</v>
      </c>
      <c r="X10314">
        <v>0.9852069</v>
      </c>
      <c r="Y10314">
        <v>3.6013650000000001E-2</v>
      </c>
      <c r="Z10314">
        <v>-6.4310580000000006E-2</v>
      </c>
      <c r="AA10314">
        <v>0.9972799</v>
      </c>
      <c r="AB10314">
        <v>42</v>
      </c>
      <c r="AC10314">
        <v>1.81999999999789E-2</v>
      </c>
      <c r="AD10314">
        <v>-6.8491999999999997E-2</v>
      </c>
      <c r="AE10314">
        <v>0.62507000000000001</v>
      </c>
      <c r="AF10314">
        <v>3.8113023280925799E-2</v>
      </c>
      <c r="AG10314">
        <v>-6.8491999999999997E-2</v>
      </c>
      <c r="AH10314">
        <v>0.61674549518627697</v>
      </c>
      <c r="AI10314">
        <v>96.324986850415399</v>
      </c>
      <c r="AJ10314">
        <v>86.463789402944499</v>
      </c>
      <c r="AK10314">
        <v>0.62170633134959996</v>
      </c>
      <c r="AL10314">
        <v>81.276954526043795</v>
      </c>
      <c r="AM10314">
        <v>85.369593218689005</v>
      </c>
      <c r="AN10314">
        <v>1.00000000384237</v>
      </c>
    </row>
    <row r="10315" spans="1:40" x14ac:dyDescent="0.25">
      <c r="A10315" t="str">
        <f>"20190312150922712"</f>
        <v>20190312150922712</v>
      </c>
      <c r="B10315" t="str">
        <f>"1552374562709884"</f>
        <v>1552374562709884</v>
      </c>
      <c r="C10315" t="s">
        <v>40</v>
      </c>
      <c r="D10315">
        <v>4.4832099999999997</v>
      </c>
      <c r="E10315">
        <v>0.48479470000000002</v>
      </c>
      <c r="F10315" t="s">
        <v>41</v>
      </c>
      <c r="G10315">
        <v>-186.98599999999999</v>
      </c>
      <c r="H10315">
        <v>1.045663</v>
      </c>
      <c r="I10315">
        <v>44.373339999999999</v>
      </c>
      <c r="J10315">
        <v>-187.00409999999999</v>
      </c>
      <c r="K10315">
        <v>1.1106259999999999</v>
      </c>
      <c r="L10315">
        <v>43.78622</v>
      </c>
      <c r="M10315">
        <v>-3.305077E-2</v>
      </c>
      <c r="N10315">
        <v>0</v>
      </c>
      <c r="O10315">
        <v>0.99940059999999997</v>
      </c>
      <c r="P10315">
        <v>4.7819960000000002E-2</v>
      </c>
      <c r="Q10315">
        <v>0.14044609999999999</v>
      </c>
      <c r="R10315">
        <v>0.98893279999999995</v>
      </c>
      <c r="S10315">
        <v>1.2207030000000001E-2</v>
      </c>
      <c r="T10315">
        <v>-0.19876089999999999</v>
      </c>
      <c r="U10315">
        <v>3.0618289999999999</v>
      </c>
      <c r="V10315">
        <v>8.0246600000000001E-2</v>
      </c>
      <c r="W10315">
        <v>0.1507241</v>
      </c>
      <c r="X10315">
        <v>0.98531349999999995</v>
      </c>
      <c r="Y10315">
        <v>3.7028510000000001E-2</v>
      </c>
      <c r="Z10315">
        <v>-6.4703869999999997E-2</v>
      </c>
      <c r="AA10315">
        <v>0.99721729999999997</v>
      </c>
      <c r="AB10315">
        <v>42</v>
      </c>
      <c r="AC10315">
        <v>1.8100000000003998E-2</v>
      </c>
      <c r="AD10315">
        <v>-6.4963000000000104E-2</v>
      </c>
      <c r="AE10315">
        <v>0.58711999999999798</v>
      </c>
      <c r="AF10315">
        <v>3.7042832982823598E-2</v>
      </c>
      <c r="AG10315">
        <v>-6.4963000000000104E-2</v>
      </c>
      <c r="AH10315">
        <v>0.57911770456302902</v>
      </c>
      <c r="AI10315">
        <v>96.387498301381598</v>
      </c>
      <c r="AJ10315">
        <v>86.340104067573904</v>
      </c>
      <c r="AK10315">
        <v>0.58392609000004903</v>
      </c>
      <c r="AL10315">
        <v>81.331108311150501</v>
      </c>
      <c r="AM10315">
        <v>85.343952782820494</v>
      </c>
      <c r="AN10315">
        <v>0.99999998220730901</v>
      </c>
    </row>
    <row r="10316" spans="1:40" x14ac:dyDescent="0.25">
      <c r="A10316" t="str">
        <f>"20190312150922733"</f>
        <v>20190312150922733</v>
      </c>
      <c r="B10316" t="str">
        <f>"1552374562729403"</f>
        <v>1552374562729403</v>
      </c>
      <c r="C10316" t="s">
        <v>40</v>
      </c>
      <c r="D10316">
        <v>4.7088479999999997</v>
      </c>
      <c r="E10316">
        <v>0.48463790000000001</v>
      </c>
      <c r="F10316" t="s">
        <v>41</v>
      </c>
      <c r="G10316">
        <v>-187.00120000000001</v>
      </c>
      <c r="H10316">
        <v>1.047787</v>
      </c>
      <c r="I10316">
        <v>44.749969999999998</v>
      </c>
      <c r="J10316">
        <v>-187.0172</v>
      </c>
      <c r="K10316">
        <v>1.110574</v>
      </c>
      <c r="L10316">
        <v>44.173279999999998</v>
      </c>
      <c r="M10316">
        <v>-3.3419650000000002E-2</v>
      </c>
      <c r="N10316">
        <v>0</v>
      </c>
      <c r="O10316">
        <v>0.99938830000000001</v>
      </c>
      <c r="P10316">
        <v>4.7483499999999998E-2</v>
      </c>
      <c r="Q10316">
        <v>0.14025609999999999</v>
      </c>
      <c r="R10316">
        <v>0.98897599999999997</v>
      </c>
      <c r="S10316">
        <v>8.8500980000000007E-3</v>
      </c>
      <c r="T10316">
        <v>-0.1996406</v>
      </c>
      <c r="U10316">
        <v>3.061493</v>
      </c>
      <c r="V10316">
        <v>8.0296370000000006E-2</v>
      </c>
      <c r="W10316">
        <v>0.15053039999999901</v>
      </c>
      <c r="X10316">
        <v>0.98533899999999996</v>
      </c>
      <c r="Y10316">
        <v>3.6304299999999998E-2</v>
      </c>
      <c r="Z10316">
        <v>-6.4995919999999999E-2</v>
      </c>
      <c r="AA10316">
        <v>0.99722489999999997</v>
      </c>
      <c r="AB10316">
        <v>42</v>
      </c>
      <c r="AC10316">
        <v>1.5999999999991101E-2</v>
      </c>
      <c r="AD10316">
        <v>-6.2786999999999898E-2</v>
      </c>
      <c r="AE10316">
        <v>0.57669000000000603</v>
      </c>
      <c r="AF10316">
        <v>3.48520538544363E-2</v>
      </c>
      <c r="AG10316">
        <v>-6.2786999999999898E-2</v>
      </c>
      <c r="AH10316">
        <v>0.56909241546770595</v>
      </c>
      <c r="AI10316">
        <v>96.284204250369598</v>
      </c>
      <c r="AJ10316">
        <v>86.495499319547406</v>
      </c>
      <c r="AK10316">
        <v>0.57360530887513606</v>
      </c>
      <c r="AL10316">
        <v>81.342334103851996</v>
      </c>
      <c r="AM10316">
        <v>85.341197788587095</v>
      </c>
      <c r="AN10316">
        <v>0.99999992664016502</v>
      </c>
    </row>
    <row r="10317" spans="1:40" x14ac:dyDescent="0.25">
      <c r="A10317" t="str">
        <f>"20190312150922746"</f>
        <v>20190312150922746</v>
      </c>
      <c r="B10317" t="str">
        <f>"1552374562739164"</f>
        <v>1552374562739164</v>
      </c>
      <c r="C10317" t="s">
        <v>40</v>
      </c>
      <c r="D10317">
        <v>4.4825670000000004</v>
      </c>
      <c r="E10317">
        <v>0.48227029999999899</v>
      </c>
      <c r="F10317" t="s">
        <v>41</v>
      </c>
      <c r="G10317">
        <v>-187.01519999999999</v>
      </c>
      <c r="H10317">
        <v>1.0482610000000001</v>
      </c>
      <c r="I10317">
        <v>45.125430000000001</v>
      </c>
      <c r="J10317">
        <v>-187.02629999999999</v>
      </c>
      <c r="K10317">
        <v>1.110533</v>
      </c>
      <c r="L10317">
        <v>44.441679999999998</v>
      </c>
      <c r="M10317">
        <v>-3.3648780000000003E-2</v>
      </c>
      <c r="N10317">
        <v>0</v>
      </c>
      <c r="O10317">
        <v>0.99938059999999995</v>
      </c>
      <c r="P10317">
        <v>4.72348E-2</v>
      </c>
      <c r="Q10317">
        <v>0.14006479999999999</v>
      </c>
      <c r="R10317">
        <v>0.98901499999999998</v>
      </c>
      <c r="S10317">
        <v>6.1645509999999999E-3</v>
      </c>
      <c r="T10317">
        <v>-0.20038039999999999</v>
      </c>
      <c r="U10317">
        <v>3.0615540000000001</v>
      </c>
      <c r="V10317">
        <v>8.0289920000000001E-2</v>
      </c>
      <c r="W10317">
        <v>0.15033669999999999</v>
      </c>
      <c r="X10317">
        <v>0.98536919999999995</v>
      </c>
      <c r="Y10317">
        <v>3.5658589999999997E-2</v>
      </c>
      <c r="Z10317">
        <v>-6.5234529999999999E-2</v>
      </c>
      <c r="AA10317">
        <v>0.99723260000000002</v>
      </c>
      <c r="AB10317">
        <v>42</v>
      </c>
      <c r="AC10317">
        <v>1.1099999999999E-2</v>
      </c>
      <c r="AD10317">
        <v>-6.22719999999998E-2</v>
      </c>
      <c r="AE10317">
        <v>0.68375000000000297</v>
      </c>
      <c r="AF10317">
        <v>3.3821826749240801E-2</v>
      </c>
      <c r="AG10317">
        <v>-6.22719999999998E-2</v>
      </c>
      <c r="AH10317">
        <v>0.67737224990955902</v>
      </c>
      <c r="AI10317">
        <v>95.246037091339005</v>
      </c>
      <c r="AJ10317">
        <v>87.141542308136707</v>
      </c>
      <c r="AK10317">
        <v>0.68106892668524699</v>
      </c>
      <c r="AL10317">
        <v>81.353560925502507</v>
      </c>
      <c r="AM10317">
        <v>85.341712516143801</v>
      </c>
      <c r="AN10317">
        <v>1.00000002746456</v>
      </c>
    </row>
    <row r="10318" spans="1:40" x14ac:dyDescent="0.25">
      <c r="A10318" t="str">
        <f>"20190312150922767"</f>
        <v>20190312150922767</v>
      </c>
      <c r="B10318" t="str">
        <f>"1552374562759659"</f>
        <v>1552374562759659</v>
      </c>
      <c r="C10318" t="s">
        <v>40</v>
      </c>
      <c r="D10318">
        <v>4.4826069999999998</v>
      </c>
      <c r="E10318">
        <v>0.48238569999999997</v>
      </c>
      <c r="F10318" t="s">
        <v>42</v>
      </c>
      <c r="G10318">
        <v>-187.12989999999999</v>
      </c>
      <c r="H10318" s="1">
        <v>-1.0044089999999999E-6</v>
      </c>
      <c r="I10318">
        <v>70.355549999999994</v>
      </c>
      <c r="J10318">
        <v>-187.03899999999999</v>
      </c>
      <c r="K10318">
        <v>1.110471</v>
      </c>
      <c r="L10318">
        <v>44.812809999999999</v>
      </c>
      <c r="M10318">
        <v>-3.3920640000000002E-2</v>
      </c>
      <c r="N10318">
        <v>0</v>
      </c>
      <c r="O10318">
        <v>0.99937129999999996</v>
      </c>
      <c r="P10318">
        <v>4.6776579999999998E-2</v>
      </c>
      <c r="Q10318">
        <v>0.139844</v>
      </c>
      <c r="R10318">
        <v>0.98906799999999995</v>
      </c>
      <c r="S10318">
        <v>-1.2207030000000001E-2</v>
      </c>
      <c r="T10318">
        <v>-0.13081129999999999</v>
      </c>
      <c r="U10318">
        <v>3.0524290000000001</v>
      </c>
      <c r="V10318">
        <v>8.0122750000000006E-2</v>
      </c>
      <c r="W10318">
        <v>0.150111299999999</v>
      </c>
      <c r="X10318">
        <v>0.98541710000000005</v>
      </c>
      <c r="Y10318">
        <v>2.9929040000000001E-2</v>
      </c>
      <c r="Z10318">
        <v>-4.2768819999999999E-2</v>
      </c>
      <c r="AA10318">
        <v>0.99863659999999999</v>
      </c>
      <c r="AB10318">
        <v>42</v>
      </c>
      <c r="AC10318">
        <v>-9.0899999999976402E-2</v>
      </c>
      <c r="AD10318">
        <v>-1.110472004409</v>
      </c>
      <c r="AE10318">
        <v>25.542739999999899</v>
      </c>
      <c r="AF10318">
        <v>0.77416129083476704</v>
      </c>
      <c r="AG10318">
        <v>-1.110472004409</v>
      </c>
      <c r="AH10318">
        <v>25.482958663530301</v>
      </c>
      <c r="AI10318">
        <v>92.494052876606602</v>
      </c>
      <c r="AJ10318">
        <v>88.259914123109198</v>
      </c>
      <c r="AK10318">
        <v>25.5188882207669</v>
      </c>
      <c r="AL10318">
        <v>81.366623035883606</v>
      </c>
      <c r="AM10318">
        <v>85.3515938640858</v>
      </c>
      <c r="AN10318">
        <v>0.99999995921383</v>
      </c>
    </row>
    <row r="10319" spans="1:40" x14ac:dyDescent="0.25">
      <c r="A10319" t="str">
        <f>"20190312150922789"</f>
        <v>20190312150922789</v>
      </c>
      <c r="B10319" t="str">
        <f>"1552374562779180"</f>
        <v>1552374562779180</v>
      </c>
      <c r="C10319" t="s">
        <v>40</v>
      </c>
      <c r="D10319">
        <v>4.675306</v>
      </c>
      <c r="E10319">
        <v>0.48249570000000003</v>
      </c>
      <c r="F10319" t="s">
        <v>42</v>
      </c>
      <c r="G10319">
        <v>-187.15379999999999</v>
      </c>
      <c r="H10319" s="1">
        <v>-1.245599E-6</v>
      </c>
      <c r="I10319">
        <v>71.082939999999994</v>
      </c>
      <c r="J10319">
        <v>-187.05369999999999</v>
      </c>
      <c r="K10319">
        <v>1.1104019999999999</v>
      </c>
      <c r="L10319">
        <v>45.240600000000001</v>
      </c>
      <c r="M10319">
        <v>-3.4175860000000002E-2</v>
      </c>
      <c r="N10319">
        <v>0</v>
      </c>
      <c r="O10319">
        <v>0.99936250000000004</v>
      </c>
      <c r="P10319">
        <v>4.6475200000000001E-2</v>
      </c>
      <c r="Q10319">
        <v>0.1396577</v>
      </c>
      <c r="R10319">
        <v>0.9891086</v>
      </c>
      <c r="S10319">
        <v>-1.333618E-2</v>
      </c>
      <c r="T10319">
        <v>-0.1290134</v>
      </c>
      <c r="U10319">
        <v>3.0520320000000001</v>
      </c>
      <c r="V10319">
        <v>8.0098810000000006E-2</v>
      </c>
      <c r="W10319">
        <v>0.14991940000000001</v>
      </c>
      <c r="X10319">
        <v>0.98544830000000005</v>
      </c>
      <c r="Y10319">
        <v>2.9814230000000001E-2</v>
      </c>
      <c r="Z10319">
        <v>-4.2186990000000001E-2</v>
      </c>
      <c r="AA10319">
        <v>0.99866480000000002</v>
      </c>
      <c r="AB10319">
        <v>42</v>
      </c>
      <c r="AC10319">
        <v>-0.100099999999997</v>
      </c>
      <c r="AD10319">
        <v>-1.1104032455990001</v>
      </c>
      <c r="AE10319">
        <v>25.84234</v>
      </c>
      <c r="AF10319">
        <v>0.78174645255300701</v>
      </c>
      <c r="AG10319">
        <v>-1.1104032455990001</v>
      </c>
      <c r="AH10319">
        <v>25.783061317966499</v>
      </c>
      <c r="AI10319">
        <v>92.464911289622293</v>
      </c>
      <c r="AJ10319">
        <v>88.263315056690402</v>
      </c>
      <c r="AK10319">
        <v>25.818798845220002</v>
      </c>
      <c r="AL10319">
        <v>81.377744289277999</v>
      </c>
      <c r="AM10319">
        <v>85.353123168419003</v>
      </c>
      <c r="AN10319">
        <v>0.99999999891633296</v>
      </c>
    </row>
    <row r="10320" spans="1:40" x14ac:dyDescent="0.25">
      <c r="A10320" t="str">
        <f>"20190312150922811"</f>
        <v>20190312150922811</v>
      </c>
      <c r="B10320" t="str">
        <f>"1552374562799676"</f>
        <v>1552374562799676</v>
      </c>
      <c r="C10320" t="s">
        <v>40</v>
      </c>
      <c r="D10320">
        <v>4.4725070000000002</v>
      </c>
      <c r="E10320">
        <v>0.48236319999999999</v>
      </c>
      <c r="F10320" t="s">
        <v>42</v>
      </c>
      <c r="G10320">
        <v>-187.1661</v>
      </c>
      <c r="H10320" s="1">
        <v>-1.1892810000000001E-6</v>
      </c>
      <c r="I10320">
        <v>70.927070000000001</v>
      </c>
      <c r="J10320">
        <v>-187.06800000000001</v>
      </c>
      <c r="K10320">
        <v>1.1103430000000001</v>
      </c>
      <c r="L10320">
        <v>45.652470000000001</v>
      </c>
      <c r="M10320">
        <v>-3.4371209999999999E-2</v>
      </c>
      <c r="N10320">
        <v>0</v>
      </c>
      <c r="O10320">
        <v>0.99935580000000002</v>
      </c>
      <c r="P10320">
        <v>4.6843610000000001E-2</v>
      </c>
      <c r="Q10320">
        <v>0.13961560000000001</v>
      </c>
      <c r="R10320">
        <v>0.98909720000000001</v>
      </c>
      <c r="S10320">
        <v>-1.3351439999999999E-2</v>
      </c>
      <c r="T10320">
        <v>-0.13194719999999999</v>
      </c>
      <c r="U10320">
        <v>3.0522770000000001</v>
      </c>
      <c r="V10320">
        <v>8.0681299999999997E-2</v>
      </c>
      <c r="W10320">
        <v>0.149872799999999</v>
      </c>
      <c r="X10320">
        <v>0.9854079</v>
      </c>
      <c r="Y10320">
        <v>3.0005150000000001E-2</v>
      </c>
      <c r="Z10320">
        <v>-4.3140570000000003E-2</v>
      </c>
      <c r="AA10320">
        <v>0.99861840000000002</v>
      </c>
      <c r="AB10320">
        <v>42</v>
      </c>
      <c r="AC10320">
        <v>-9.8100000000016493E-2</v>
      </c>
      <c r="AD10320">
        <v>-1.110344189281</v>
      </c>
      <c r="AE10320">
        <v>25.2746</v>
      </c>
      <c r="AF10320">
        <v>0.76923829165363899</v>
      </c>
      <c r="AG10320">
        <v>-1.110344189281</v>
      </c>
      <c r="AH10320">
        <v>25.214374718821599</v>
      </c>
      <c r="AI10320">
        <v>92.520285914735894</v>
      </c>
      <c r="AJ10320">
        <v>88.252566564779499</v>
      </c>
      <c r="AK10320">
        <v>25.250530375205301</v>
      </c>
      <c r="AL10320">
        <v>81.380445043570703</v>
      </c>
      <c r="AM10320">
        <v>85.319288976678493</v>
      </c>
      <c r="AN10320">
        <v>1.0000000288659601</v>
      </c>
    </row>
    <row r="10321" spans="1:40" x14ac:dyDescent="0.25">
      <c r="A10321" t="str">
        <f>"20190312150922824"</f>
        <v>20190312150922824</v>
      </c>
      <c r="B10321" t="str">
        <f>"1552374562819196"</f>
        <v>1552374562819196</v>
      </c>
      <c r="C10321" t="s">
        <v>40</v>
      </c>
      <c r="D10321">
        <v>4.4490749999999997</v>
      </c>
      <c r="E10321">
        <v>0.48237419999999998</v>
      </c>
      <c r="F10321" t="s">
        <v>42</v>
      </c>
      <c r="G10321">
        <v>-187.1833</v>
      </c>
      <c r="H10321" s="1">
        <v>-1.4735759999999999E-6</v>
      </c>
      <c r="I10321">
        <v>71.775930000000002</v>
      </c>
      <c r="J10321">
        <v>-187.0763</v>
      </c>
      <c r="K10321">
        <v>1.1103080000000001</v>
      </c>
      <c r="L10321">
        <v>45.89264</v>
      </c>
      <c r="M10321">
        <v>-3.4468459999999999E-2</v>
      </c>
      <c r="N10321">
        <v>0</v>
      </c>
      <c r="O10321">
        <v>0.99935240000000003</v>
      </c>
      <c r="P10321">
        <v>4.7038879999999998E-2</v>
      </c>
      <c r="Q10321">
        <v>0.13962479999999999</v>
      </c>
      <c r="R10321">
        <v>0.98908660000000004</v>
      </c>
      <c r="S10321">
        <v>-1.3473509999999999E-2</v>
      </c>
      <c r="T10321">
        <v>-0.12972139999999999</v>
      </c>
      <c r="U10321">
        <v>3.0520019999999999</v>
      </c>
      <c r="V10321">
        <v>8.0984260000000002E-2</v>
      </c>
      <c r="W10321">
        <v>0.1498794</v>
      </c>
      <c r="X10321">
        <v>0.98538199999999998</v>
      </c>
      <c r="Y10321">
        <v>3.006195E-2</v>
      </c>
      <c r="Z10321">
        <v>-4.2417719999999999E-2</v>
      </c>
      <c r="AA10321">
        <v>0.99864759999999997</v>
      </c>
      <c r="AB10321">
        <v>42</v>
      </c>
      <c r="AC10321">
        <v>-0.106999999999999</v>
      </c>
      <c r="AD10321">
        <v>-1.110309473576</v>
      </c>
      <c r="AE10321">
        <v>25.883289999999999</v>
      </c>
      <c r="AF10321">
        <v>0.78382601751689696</v>
      </c>
      <c r="AG10321">
        <v>-1.110309473576</v>
      </c>
      <c r="AH10321">
        <v>25.824077552644599</v>
      </c>
      <c r="AI10321">
        <v>92.460791118423202</v>
      </c>
      <c r="AJ10321">
        <v>88.261462051198095</v>
      </c>
      <c r="AK10321">
        <v>25.859817319498799</v>
      </c>
      <c r="AL10321">
        <v>81.380062193961706</v>
      </c>
      <c r="AM10321">
        <v>85.301668405737402</v>
      </c>
      <c r="AN10321">
        <v>0.99999998541805302</v>
      </c>
    </row>
    <row r="10322" spans="1:40" x14ac:dyDescent="0.25">
      <c r="A10322" t="str">
        <f>"20190312150922836"</f>
        <v>20190312150922836</v>
      </c>
      <c r="B10322" t="str">
        <f>"1552374562829932"</f>
        <v>1552374562829932</v>
      </c>
      <c r="C10322" t="s">
        <v>40</v>
      </c>
      <c r="D10322">
        <v>4.4257350000000004</v>
      </c>
      <c r="E10322">
        <v>0.48217460000000001</v>
      </c>
      <c r="F10322" t="s">
        <v>42</v>
      </c>
      <c r="G10322">
        <v>-187.18379999999999</v>
      </c>
      <c r="H10322" s="1">
        <v>-1.5465729999999901E-6</v>
      </c>
      <c r="I10322">
        <v>71.990840000000006</v>
      </c>
      <c r="J10322">
        <v>-187.08449999999999</v>
      </c>
      <c r="K10322">
        <v>1.1102749999999999</v>
      </c>
      <c r="L10322">
        <v>46.129910000000002</v>
      </c>
      <c r="M10322">
        <v>-3.4542929999999999E-2</v>
      </c>
      <c r="N10322">
        <v>0</v>
      </c>
      <c r="O10322">
        <v>0.99934979999999995</v>
      </c>
      <c r="P10322">
        <v>4.7085050000000003E-2</v>
      </c>
      <c r="Q10322">
        <v>0.1390865</v>
      </c>
      <c r="R10322">
        <v>0.98916020000000004</v>
      </c>
      <c r="S10322">
        <v>-1.2573239999999999E-2</v>
      </c>
      <c r="T10322">
        <v>-0.12984419999999999</v>
      </c>
      <c r="U10322">
        <v>3.0520320000000001</v>
      </c>
      <c r="V10322">
        <v>8.1117899999999896E-2</v>
      </c>
      <c r="W10322">
        <v>0.14933949999999999</v>
      </c>
      <c r="X10322">
        <v>0.98545300000000002</v>
      </c>
      <c r="Y10322">
        <v>3.0431050000000001E-2</v>
      </c>
      <c r="Z10322">
        <v>-4.2457000000000002E-2</v>
      </c>
      <c r="AA10322">
        <v>0.99863480000000004</v>
      </c>
      <c r="AB10322">
        <v>42</v>
      </c>
      <c r="AC10322">
        <v>-9.92999999999995E-2</v>
      </c>
      <c r="AD10322">
        <v>-1.110276546573</v>
      </c>
      <c r="AE10322">
        <v>25.86093</v>
      </c>
      <c r="AF10322">
        <v>0.79265824059760803</v>
      </c>
      <c r="AG10322">
        <v>-1.110276546573</v>
      </c>
      <c r="AH10322">
        <v>25.8013686744621</v>
      </c>
      <c r="AI10322">
        <v>92.462853654038895</v>
      </c>
      <c r="AJ10322">
        <v>88.240337853288807</v>
      </c>
      <c r="AK10322">
        <v>25.837407891887501</v>
      </c>
      <c r="AL10322">
        <v>81.411348497867294</v>
      </c>
      <c r="AM10322">
        <v>85.294287566026199</v>
      </c>
      <c r="AN10322">
        <v>1.0000000075848301</v>
      </c>
    </row>
    <row r="10323" spans="1:40" x14ac:dyDescent="0.25">
      <c r="A10323" t="str">
        <f>"20190312150922855"</f>
        <v>20190312150922855</v>
      </c>
      <c r="B10323" t="str">
        <f>"1552374562849451"</f>
        <v>1552374562849451</v>
      </c>
      <c r="C10323" t="s">
        <v>40</v>
      </c>
      <c r="D10323">
        <v>4.4208769999999999</v>
      </c>
      <c r="E10323">
        <v>0.47904580000000002</v>
      </c>
      <c r="F10323" t="s">
        <v>42</v>
      </c>
      <c r="G10323">
        <v>-187.20160000000001</v>
      </c>
      <c r="H10323" s="1">
        <v>-1.3131570000000001E-6</v>
      </c>
      <c r="I10323">
        <v>71.318879999999993</v>
      </c>
      <c r="J10323">
        <v>-187.0966</v>
      </c>
      <c r="K10323">
        <v>1.1102299999999901</v>
      </c>
      <c r="L10323">
        <v>46.476379999999999</v>
      </c>
      <c r="M10323">
        <v>-3.4635260000000001E-2</v>
      </c>
      <c r="N10323">
        <v>0</v>
      </c>
      <c r="O10323">
        <v>0.99934650000000003</v>
      </c>
      <c r="P10323">
        <v>4.7904740000000001E-2</v>
      </c>
      <c r="Q10323">
        <v>0.1386425</v>
      </c>
      <c r="R10323">
        <v>0.98918320000000004</v>
      </c>
      <c r="S10323">
        <v>-1.4190670000000001E-2</v>
      </c>
      <c r="T10323">
        <v>-0.1345459</v>
      </c>
      <c r="U10323">
        <v>3.05246</v>
      </c>
      <c r="V10323">
        <v>8.2044439999999996E-2</v>
      </c>
      <c r="W10323">
        <v>0.14889349999999901</v>
      </c>
      <c r="X10323">
        <v>0.98544379999999998</v>
      </c>
      <c r="Y10323">
        <v>2.999514E-2</v>
      </c>
      <c r="Z10323">
        <v>-4.3985349999999999E-2</v>
      </c>
      <c r="AA10323">
        <v>0.99858179999999996</v>
      </c>
      <c r="AB10323">
        <v>42</v>
      </c>
      <c r="AC10323">
        <v>-0.105000000000018</v>
      </c>
      <c r="AD10323">
        <v>-1.1102313131570001</v>
      </c>
      <c r="AE10323">
        <v>24.842500000000001</v>
      </c>
      <c r="AF10323">
        <v>0.75402950348209996</v>
      </c>
      <c r="AG10323">
        <v>-1.1102313131570001</v>
      </c>
      <c r="AH10323">
        <v>24.781735400273899</v>
      </c>
      <c r="AI10323">
        <v>92.563972811840102</v>
      </c>
      <c r="AJ10323">
        <v>88.257209083787401</v>
      </c>
      <c r="AK10323">
        <v>24.818049550881799</v>
      </c>
      <c r="AL10323">
        <v>81.437191487257394</v>
      </c>
      <c r="AM10323">
        <v>85.240739541475804</v>
      </c>
      <c r="AN10323">
        <v>1.0000000237177999</v>
      </c>
    </row>
    <row r="10324" spans="1:40" x14ac:dyDescent="0.25">
      <c r="A10324" t="str">
        <f>"20190312150922879"</f>
        <v>20190312150922879</v>
      </c>
      <c r="B10324" t="str">
        <f>"1552374562869947"</f>
        <v>1552374562869947</v>
      </c>
      <c r="C10324" t="s">
        <v>40</v>
      </c>
      <c r="D10324">
        <v>4.3843889999999996</v>
      </c>
      <c r="E10324">
        <v>0.48156199999999999</v>
      </c>
      <c r="F10324" t="s">
        <v>42</v>
      </c>
      <c r="G10324">
        <v>-187.33609999999999</v>
      </c>
      <c r="H10324" s="1">
        <v>-3.2420949999999999E-6</v>
      </c>
      <c r="I10324">
        <v>66.08869</v>
      </c>
      <c r="J10324">
        <v>-187.11269999999999</v>
      </c>
      <c r="K10324">
        <v>1.1101749999999999</v>
      </c>
      <c r="L10324">
        <v>46.939329999999998</v>
      </c>
      <c r="M10324">
        <v>-3.4725159999999998E-2</v>
      </c>
      <c r="N10324">
        <v>0</v>
      </c>
      <c r="O10324">
        <v>0.99934330000000005</v>
      </c>
      <c r="P10324">
        <v>4.9021809999999999E-2</v>
      </c>
      <c r="Q10324">
        <v>0.13867979999999899</v>
      </c>
      <c r="R10324">
        <v>0.98912319999999998</v>
      </c>
      <c r="S10324">
        <v>-3.7353520000000001E-2</v>
      </c>
      <c r="T10324">
        <v>-0.17316119999999999</v>
      </c>
      <c r="U10324">
        <v>3.0588989999999998</v>
      </c>
      <c r="V10324">
        <v>8.3265450000000005E-2</v>
      </c>
      <c r="W10324">
        <v>0.1489279</v>
      </c>
      <c r="X10324">
        <v>0.9853362</v>
      </c>
      <c r="Y10324">
        <v>2.254076E-2</v>
      </c>
      <c r="Z10324">
        <v>-5.6458139999999997E-2</v>
      </c>
      <c r="AA10324">
        <v>0.99815050000000005</v>
      </c>
      <c r="AB10324">
        <v>42</v>
      </c>
      <c r="AC10324">
        <v>-0.22339999999999799</v>
      </c>
      <c r="AD10324">
        <v>-1.1101782420949999</v>
      </c>
      <c r="AE10324">
        <v>19.149360000000001</v>
      </c>
      <c r="AF10324">
        <v>0.440255433576696</v>
      </c>
      <c r="AG10324">
        <v>-1.1101782420949999</v>
      </c>
      <c r="AH10324">
        <v>19.081442556128099</v>
      </c>
      <c r="AI10324">
        <v>93.328890565100593</v>
      </c>
      <c r="AJ10324">
        <v>88.678281079903599</v>
      </c>
      <c r="AK10324">
        <v>19.118780573008099</v>
      </c>
      <c r="AL10324">
        <v>81.435198437000295</v>
      </c>
      <c r="AM10324">
        <v>85.169718486491007</v>
      </c>
      <c r="AN10324">
        <v>1.0000000407962699</v>
      </c>
    </row>
    <row r="10325" spans="1:40" x14ac:dyDescent="0.25">
      <c r="A10325" t="str">
        <f>"20190312150922902"</f>
        <v>20190312150922902</v>
      </c>
      <c r="B10325" t="str">
        <f>"1552374562889467"</f>
        <v>1552374562889467</v>
      </c>
      <c r="C10325" t="s">
        <v>40</v>
      </c>
      <c r="D10325">
        <v>4.3572879999999996</v>
      </c>
      <c r="E10325">
        <v>0.48140500000000003</v>
      </c>
      <c r="F10325" t="s">
        <v>42</v>
      </c>
      <c r="G10325">
        <v>-187.2303</v>
      </c>
      <c r="H10325" s="1">
        <v>-2.5965500000000002E-6</v>
      </c>
      <c r="I10325">
        <v>74.540180000000007</v>
      </c>
      <c r="J10325">
        <v>-187.12700000000001</v>
      </c>
      <c r="K10325">
        <v>1.110134</v>
      </c>
      <c r="L10325">
        <v>47.347200000000001</v>
      </c>
      <c r="M10325">
        <v>-3.4779610000000002E-2</v>
      </c>
      <c r="N10325">
        <v>0</v>
      </c>
      <c r="O10325">
        <v>0.99934140000000005</v>
      </c>
      <c r="P10325">
        <v>4.9824779999999999E-2</v>
      </c>
      <c r="Q10325">
        <v>0.1386375</v>
      </c>
      <c r="R10325">
        <v>0.989089</v>
      </c>
      <c r="S10325">
        <v>-1.300049E-2</v>
      </c>
      <c r="T10325">
        <v>-0.1227128</v>
      </c>
      <c r="U10325">
        <v>3.0508419999999998</v>
      </c>
      <c r="V10325">
        <v>8.4134109999999998E-2</v>
      </c>
      <c r="W10325">
        <v>0.14888399999999999</v>
      </c>
      <c r="X10325">
        <v>0.98526899999999995</v>
      </c>
      <c r="Y10325">
        <v>3.052593E-2</v>
      </c>
      <c r="Z10325">
        <v>-4.014409E-2</v>
      </c>
      <c r="AA10325">
        <v>0.99872749999999999</v>
      </c>
      <c r="AB10325">
        <v>42</v>
      </c>
      <c r="AC10325">
        <v>-0.10329999999999</v>
      </c>
      <c r="AD10325">
        <v>-1.1101365965500001</v>
      </c>
      <c r="AE10325">
        <v>27.192979999999999</v>
      </c>
      <c r="AF10325">
        <v>0.84117250930263199</v>
      </c>
      <c r="AG10325">
        <v>-1.1101365965500001</v>
      </c>
      <c r="AH10325">
        <v>27.134896398963001</v>
      </c>
      <c r="AI10325">
        <v>92.341641547380704</v>
      </c>
      <c r="AJ10325">
        <v>88.224419047530901</v>
      </c>
      <c r="AK10325">
        <v>27.170619739635299</v>
      </c>
      <c r="AL10325">
        <v>81.437741711799504</v>
      </c>
      <c r="AM10325">
        <v>85.119237854493505</v>
      </c>
      <c r="AN10325">
        <v>0.99999999814124496</v>
      </c>
    </row>
    <row r="10326" spans="1:40" x14ac:dyDescent="0.25">
      <c r="A10326" t="str">
        <f>"20190312150922922"</f>
        <v>20190312150922922</v>
      </c>
      <c r="B10326" t="str">
        <f>"1552374562919725"</f>
        <v>1552374562919725</v>
      </c>
      <c r="C10326" t="s">
        <v>40</v>
      </c>
      <c r="D10326">
        <v>4.4081979999999996</v>
      </c>
      <c r="E10326">
        <v>0.48122110000000001</v>
      </c>
      <c r="F10326" t="s">
        <v>42</v>
      </c>
      <c r="G10326">
        <v>-187.2287</v>
      </c>
      <c r="H10326" s="1">
        <v>-2.320896E-6</v>
      </c>
      <c r="I10326">
        <v>73.896929999999998</v>
      </c>
      <c r="J10326">
        <v>-187.14070000000001</v>
      </c>
      <c r="K10326">
        <v>1.110098</v>
      </c>
      <c r="L10326">
        <v>47.740600000000001</v>
      </c>
      <c r="M10326">
        <v>-3.4816840000000002E-2</v>
      </c>
      <c r="N10326">
        <v>0</v>
      </c>
      <c r="O10326">
        <v>0.99934000000000001</v>
      </c>
      <c r="P10326">
        <v>5.0692899999999999E-2</v>
      </c>
      <c r="Q10326">
        <v>0.13830889999999901</v>
      </c>
      <c r="R10326">
        <v>0.9890909</v>
      </c>
      <c r="S10326">
        <v>-1.1688230000000001E-2</v>
      </c>
      <c r="T10326">
        <v>-0.12759699999999999</v>
      </c>
      <c r="U10326">
        <v>3.0515750000000001</v>
      </c>
      <c r="V10326">
        <v>8.5049899999999998E-2</v>
      </c>
      <c r="W10326">
        <v>0.14855489999999999</v>
      </c>
      <c r="X10326">
        <v>0.98524</v>
      </c>
      <c r="Y10326">
        <v>3.0993900000000001E-2</v>
      </c>
      <c r="Z10326">
        <v>-4.1728809999999998E-2</v>
      </c>
      <c r="AA10326">
        <v>0.99864810000000004</v>
      </c>
      <c r="AB10326">
        <v>42</v>
      </c>
      <c r="AC10326">
        <v>-8.7999999999993805E-2</v>
      </c>
      <c r="AD10326">
        <v>-1.1101003208959901</v>
      </c>
      <c r="AE10326">
        <v>26.156330000000001</v>
      </c>
      <c r="AF10326">
        <v>0.82130365578098796</v>
      </c>
      <c r="AG10326">
        <v>-1.1101003208959901</v>
      </c>
      <c r="AH10326">
        <v>26.096528524166001</v>
      </c>
      <c r="AI10326">
        <v>92.434589032478897</v>
      </c>
      <c r="AJ10326">
        <v>88.197396022492796</v>
      </c>
      <c r="AK10326">
        <v>26.133037776539901</v>
      </c>
      <c r="AL10326">
        <v>81.456809392691994</v>
      </c>
      <c r="AM10326">
        <v>85.066227642439202</v>
      </c>
      <c r="AN10326">
        <v>0.99999995070200798</v>
      </c>
    </row>
    <row r="10327" spans="1:40" x14ac:dyDescent="0.25">
      <c r="A10327" t="str">
        <f>"20190312150922945"</f>
        <v>20190312150922945</v>
      </c>
      <c r="B10327" t="str">
        <f>"1552374562939244"</f>
        <v>1552374562939244</v>
      </c>
      <c r="C10327" t="s">
        <v>40</v>
      </c>
      <c r="D10327">
        <v>4.5953689999999998</v>
      </c>
      <c r="E10327">
        <v>0.4705471</v>
      </c>
      <c r="F10327" t="s">
        <v>42</v>
      </c>
      <c r="G10327">
        <v>-187.2294</v>
      </c>
      <c r="H10327" s="1">
        <v>-2.3744149999999999E-6</v>
      </c>
      <c r="I10327">
        <v>74.021990000000002</v>
      </c>
      <c r="J10327">
        <v>-187.15549999999999</v>
      </c>
      <c r="K10327">
        <v>1.1100719999999999</v>
      </c>
      <c r="L10327">
        <v>48.163760000000003</v>
      </c>
      <c r="M10327">
        <v>-3.4845429999999997E-2</v>
      </c>
      <c r="N10327">
        <v>0</v>
      </c>
      <c r="O10327">
        <v>0.99933890000000003</v>
      </c>
      <c r="P10327">
        <v>5.1510260000000002E-2</v>
      </c>
      <c r="Q10327">
        <v>0.138156</v>
      </c>
      <c r="R10327">
        <v>0.98907009999999995</v>
      </c>
      <c r="S10327">
        <v>-1.029968E-2</v>
      </c>
      <c r="T10327">
        <v>-0.12889809999999999</v>
      </c>
      <c r="U10327">
        <v>3.0516359999999998</v>
      </c>
      <c r="V10327">
        <v>8.5904430000000004E-2</v>
      </c>
      <c r="W10327">
        <v>0.1484026</v>
      </c>
      <c r="X10327">
        <v>0.98518879999999998</v>
      </c>
      <c r="Y10327">
        <v>3.1477030000000003E-2</v>
      </c>
      <c r="Z10327">
        <v>-4.21524E-2</v>
      </c>
      <c r="AA10327">
        <v>0.99861520000000004</v>
      </c>
      <c r="AB10327">
        <v>42</v>
      </c>
      <c r="AC10327">
        <v>-7.3900000000008903E-2</v>
      </c>
      <c r="AD10327">
        <v>-1.1100743744149999</v>
      </c>
      <c r="AE10327">
        <v>25.858229999999999</v>
      </c>
      <c r="AF10327">
        <v>0.82571277765831597</v>
      </c>
      <c r="AG10327">
        <v>-1.1100743744149999</v>
      </c>
      <c r="AH10327">
        <v>25.797557718898599</v>
      </c>
      <c r="AI10327">
        <v>92.462669951804202</v>
      </c>
      <c r="AJ10327">
        <v>88.166736875374596</v>
      </c>
      <c r="AK10327">
        <v>25.834628910975798</v>
      </c>
      <c r="AL10327">
        <v>81.465633232652195</v>
      </c>
      <c r="AM10327">
        <v>85.016646777518801</v>
      </c>
      <c r="AN10327">
        <v>0.99999993721291003</v>
      </c>
    </row>
    <row r="10328" spans="1:40" x14ac:dyDescent="0.25">
      <c r="A10328" t="str">
        <f>"20190312150922967"</f>
        <v>20190312150922967</v>
      </c>
      <c r="B10328" t="str">
        <f>"1552374562959739"</f>
        <v>1552374562959739</v>
      </c>
      <c r="C10328" t="s">
        <v>40</v>
      </c>
      <c r="D10328">
        <v>4.6841369999999998</v>
      </c>
      <c r="E10328">
        <v>0.47043089999999999</v>
      </c>
      <c r="F10328" t="s">
        <v>42</v>
      </c>
      <c r="G10328">
        <v>-187.83709999999999</v>
      </c>
      <c r="H10328" s="1">
        <v>-8.7613259999999995E-7</v>
      </c>
      <c r="I10328">
        <v>70.531540000000007</v>
      </c>
      <c r="J10328">
        <v>-187.17019999999999</v>
      </c>
      <c r="K10328">
        <v>1.11005</v>
      </c>
      <c r="L10328">
        <v>48.58466</v>
      </c>
      <c r="M10328">
        <v>-3.4864239999999998E-2</v>
      </c>
      <c r="N10328">
        <v>0</v>
      </c>
      <c r="O10328">
        <v>0.99933819999999995</v>
      </c>
      <c r="P10328">
        <v>5.234772E-2</v>
      </c>
      <c r="Q10328">
        <v>0.13771069999999999</v>
      </c>
      <c r="R10328">
        <v>0.98908819999999997</v>
      </c>
      <c r="S10328">
        <v>-9.32312E-2</v>
      </c>
      <c r="T10328">
        <v>-0.1518227</v>
      </c>
      <c r="U10328">
        <v>3.0592039999999998</v>
      </c>
      <c r="V10328">
        <v>8.6768990000000004E-2</v>
      </c>
      <c r="W10328">
        <v>0.14795839999999999</v>
      </c>
      <c r="X10328">
        <v>0.9851799</v>
      </c>
      <c r="Y10328">
        <v>4.4443460000000001E-3</v>
      </c>
      <c r="Z10328">
        <v>-4.9510310000000002E-2</v>
      </c>
      <c r="AA10328">
        <v>0.99876370000000003</v>
      </c>
      <c r="AB10328">
        <v>42</v>
      </c>
      <c r="AC10328">
        <v>-0.66689999999999805</v>
      </c>
      <c r="AD10328">
        <v>-1.1100508761326</v>
      </c>
      <c r="AE10328">
        <v>21.94688</v>
      </c>
      <c r="AF10328">
        <v>9.8456317037055902E-2</v>
      </c>
      <c r="AG10328">
        <v>-1.1100508761326</v>
      </c>
      <c r="AH10328">
        <v>21.900812629879201</v>
      </c>
      <c r="AI10328">
        <v>92.901545713367597</v>
      </c>
      <c r="AJ10328">
        <v>89.742425382748905</v>
      </c>
      <c r="AK10328">
        <v>21.929147280344601</v>
      </c>
      <c r="AL10328">
        <v>81.491368581698296</v>
      </c>
      <c r="AM10328">
        <v>84.966704394921805</v>
      </c>
      <c r="AN10328">
        <v>0.99999999056009503</v>
      </c>
    </row>
    <row r="10329" spans="1:40" x14ac:dyDescent="0.25">
      <c r="A10329" t="str">
        <f>"20190312150922992"</f>
        <v>20190312150922992</v>
      </c>
      <c r="B10329" t="str">
        <f>"1552374562979343"</f>
        <v>1552374562979343</v>
      </c>
      <c r="C10329" t="s">
        <v>40</v>
      </c>
      <c r="D10329">
        <v>4.6542110000000001</v>
      </c>
      <c r="E10329">
        <v>0.47016150000000001</v>
      </c>
      <c r="F10329" t="s">
        <v>42</v>
      </c>
      <c r="G10329">
        <v>-187.83959999999999</v>
      </c>
      <c r="H10329" s="1">
        <v>-1.0300230000000001E-6</v>
      </c>
      <c r="I10329">
        <v>70.985690000000005</v>
      </c>
      <c r="J10329">
        <v>-187.18629999999999</v>
      </c>
      <c r="K10329">
        <v>1.1100300000000001</v>
      </c>
      <c r="L10329">
        <v>49.046199999999999</v>
      </c>
      <c r="M10329">
        <v>-3.4878510000000001E-2</v>
      </c>
      <c r="N10329">
        <v>0</v>
      </c>
      <c r="O10329">
        <v>0.99933760000000005</v>
      </c>
      <c r="P10329">
        <v>5.2837660000000002E-2</v>
      </c>
      <c r="Q10329">
        <v>0.13702</v>
      </c>
      <c r="R10329">
        <v>0.98915810000000004</v>
      </c>
      <c r="S10329">
        <v>-9.1415410000000002E-2</v>
      </c>
      <c r="T10329">
        <v>-0.1515869</v>
      </c>
      <c r="U10329">
        <v>3.0590519999999999</v>
      </c>
      <c r="V10329">
        <v>8.7283029999999998E-2</v>
      </c>
      <c r="W10329">
        <v>0.14727219999999999</v>
      </c>
      <c r="X10329">
        <v>0.98523729999999998</v>
      </c>
      <c r="Y10329">
        <v>5.0493059999999999E-3</v>
      </c>
      <c r="Z10329">
        <v>-4.9436380000000002E-2</v>
      </c>
      <c r="AA10329">
        <v>0.99876450000000006</v>
      </c>
      <c r="AB10329">
        <v>42</v>
      </c>
      <c r="AC10329">
        <v>-0.65330000000000099</v>
      </c>
      <c r="AD10329">
        <v>-1.1100310300230001</v>
      </c>
      <c r="AE10329">
        <v>21.939489999999999</v>
      </c>
      <c r="AF10329">
        <v>0.112068899075899</v>
      </c>
      <c r="AG10329">
        <v>-1.1100310300230001</v>
      </c>
      <c r="AH10329">
        <v>21.892933727055102</v>
      </c>
      <c r="AI10329">
        <v>92.902527657395297</v>
      </c>
      <c r="AJ10329">
        <v>89.706708158559394</v>
      </c>
      <c r="AK10329">
        <v>21.921342921978599</v>
      </c>
      <c r="AL10329">
        <v>81.531120367668507</v>
      </c>
      <c r="AM10329">
        <v>84.937333926417395</v>
      </c>
      <c r="AN10329">
        <v>0.99999998276505497</v>
      </c>
    </row>
    <row r="10330" spans="1:40" x14ac:dyDescent="0.25">
      <c r="A10330" t="str">
        <f>"20190312150923012"</f>
        <v>20190312150923012</v>
      </c>
      <c r="B10330" t="str">
        <f>"1552374562999840"</f>
        <v>1552374562999840</v>
      </c>
      <c r="C10330" t="s">
        <v>40</v>
      </c>
      <c r="D10330">
        <v>4.347855</v>
      </c>
      <c r="E10330">
        <v>0.47009250000000002</v>
      </c>
      <c r="F10330" t="s">
        <v>42</v>
      </c>
      <c r="G10330">
        <v>-187.85159999999999</v>
      </c>
      <c r="H10330" s="1">
        <v>-1.1316619999999999E-6</v>
      </c>
      <c r="I10330">
        <v>71.293750000000003</v>
      </c>
      <c r="J10330">
        <v>-187.2</v>
      </c>
      <c r="K10330">
        <v>1.110009</v>
      </c>
      <c r="L10330">
        <v>49.436070000000001</v>
      </c>
      <c r="M10330">
        <v>-3.4887420000000002E-2</v>
      </c>
      <c r="N10330">
        <v>0</v>
      </c>
      <c r="O10330">
        <v>0.99933720000000004</v>
      </c>
      <c r="P10330">
        <v>5.2258699999999998E-2</v>
      </c>
      <c r="Q10330">
        <v>0.13680290000000001</v>
      </c>
      <c r="R10330">
        <v>0.98921890000000001</v>
      </c>
      <c r="S10330">
        <v>-9.1476440000000006E-2</v>
      </c>
      <c r="T10330">
        <v>-0.15262229999999999</v>
      </c>
      <c r="U10330">
        <v>3.0588989999999998</v>
      </c>
      <c r="V10330">
        <v>8.672088E-2</v>
      </c>
      <c r="W10330">
        <v>0.14706229999999901</v>
      </c>
      <c r="X10330">
        <v>0.98531829999999998</v>
      </c>
      <c r="Y10330">
        <v>5.0373270000000003E-3</v>
      </c>
      <c r="Z10330">
        <v>-4.9775670000000001E-2</v>
      </c>
      <c r="AA10330">
        <v>0.99874770000000002</v>
      </c>
      <c r="AB10330">
        <v>42</v>
      </c>
      <c r="AC10330">
        <v>-0.65160000000000196</v>
      </c>
      <c r="AD10330">
        <v>-1.1100101316619999</v>
      </c>
      <c r="AE10330">
        <v>21.857679999999998</v>
      </c>
      <c r="AF10330">
        <v>0.111109666287354</v>
      </c>
      <c r="AG10330">
        <v>-1.1100101316619999</v>
      </c>
      <c r="AH10330">
        <v>21.810906880001401</v>
      </c>
      <c r="AI10330">
        <v>92.913370375061206</v>
      </c>
      <c r="AJ10330">
        <v>89.708124934558299</v>
      </c>
      <c r="AK10330">
        <v>21.839416814064101</v>
      </c>
      <c r="AL10330">
        <v>81.543279217566393</v>
      </c>
      <c r="AM10330">
        <v>84.970183808859602</v>
      </c>
      <c r="AN10330">
        <v>0.99999999171207699</v>
      </c>
    </row>
    <row r="10331" spans="1:40" x14ac:dyDescent="0.25">
      <c r="A10331" t="str">
        <f>"20190312150923034"</f>
        <v>20190312150923034</v>
      </c>
      <c r="B10331" t="str">
        <f>"1552374563030096"</f>
        <v>1552374563030096</v>
      </c>
      <c r="C10331" t="s">
        <v>40</v>
      </c>
      <c r="D10331">
        <v>4.6411379999999998</v>
      </c>
      <c r="E10331">
        <v>0.47004299999999999</v>
      </c>
      <c r="F10331" t="s">
        <v>42</v>
      </c>
      <c r="G10331">
        <v>-187.87360000000001</v>
      </c>
      <c r="H10331" s="1">
        <v>-1.178529E-6</v>
      </c>
      <c r="I10331">
        <v>71.448650000000001</v>
      </c>
      <c r="J10331">
        <v>-187.21440000000001</v>
      </c>
      <c r="K10331">
        <v>1.109996</v>
      </c>
      <c r="L10331">
        <v>49.848179999999999</v>
      </c>
      <c r="M10331">
        <v>-3.4894699999999897E-2</v>
      </c>
      <c r="N10331">
        <v>0</v>
      </c>
      <c r="O10331">
        <v>0.99933680000000003</v>
      </c>
      <c r="P10331">
        <v>5.116565E-2</v>
      </c>
      <c r="Q10331">
        <v>0.13713789999999901</v>
      </c>
      <c r="R10331">
        <v>0.98922960000000004</v>
      </c>
      <c r="S10331">
        <v>-9.3612669999999995E-2</v>
      </c>
      <c r="T10331">
        <v>-0.15425320000000001</v>
      </c>
      <c r="U10331">
        <v>3.0589900000000001</v>
      </c>
      <c r="V10331">
        <v>8.5640910000000001E-2</v>
      </c>
      <c r="W10331">
        <v>0.14740799999999901</v>
      </c>
      <c r="X10331">
        <v>0.98536109999999999</v>
      </c>
      <c r="Y10331">
        <v>4.3494880000000003E-3</v>
      </c>
      <c r="Z10331">
        <v>-5.0304250000000002E-2</v>
      </c>
      <c r="AA10331">
        <v>0.99872450000000002</v>
      </c>
      <c r="AB10331">
        <v>42</v>
      </c>
      <c r="AC10331">
        <v>-0.65919999999999801</v>
      </c>
      <c r="AD10331">
        <v>-1.1099971785289999</v>
      </c>
      <c r="AE10331">
        <v>21.600470000000001</v>
      </c>
      <c r="AF10331">
        <v>9.4734315292550206E-2</v>
      </c>
      <c r="AG10331">
        <v>-1.1099971785289999</v>
      </c>
      <c r="AH10331">
        <v>21.5534545782515</v>
      </c>
      <c r="AI10331">
        <v>92.948084470669798</v>
      </c>
      <c r="AJ10331">
        <v>89.748168375115299</v>
      </c>
      <c r="AK10331">
        <v>21.582225848683599</v>
      </c>
      <c r="AL10331">
        <v>81.523253810881798</v>
      </c>
      <c r="AM10331">
        <v>85.032721441633896</v>
      </c>
      <c r="AN10331">
        <v>0.99999999066141898</v>
      </c>
    </row>
    <row r="10332" spans="1:40" x14ac:dyDescent="0.25">
      <c r="A10332" t="str">
        <f>"20190312150923056"</f>
        <v>20190312150923056</v>
      </c>
      <c r="B10332" t="str">
        <f>"1552374563049616"</f>
        <v>1552374563049616</v>
      </c>
      <c r="C10332" t="s">
        <v>40</v>
      </c>
      <c r="D10332">
        <v>4.78721</v>
      </c>
      <c r="E10332">
        <v>0.4698889</v>
      </c>
      <c r="F10332" t="s">
        <v>42</v>
      </c>
      <c r="G10332">
        <v>-187.91470000000001</v>
      </c>
      <c r="H10332" s="1">
        <v>-1.3501729999999999E-6</v>
      </c>
      <c r="I10332">
        <v>71.917829999999995</v>
      </c>
      <c r="J10332">
        <v>-187.2295</v>
      </c>
      <c r="K10332">
        <v>1.1099829999999999</v>
      </c>
      <c r="L10332">
        <v>50.280029999999996</v>
      </c>
      <c r="M10332">
        <v>-3.4900859999999999E-2</v>
      </c>
      <c r="N10332">
        <v>0</v>
      </c>
      <c r="O10332">
        <v>0.99933640000000001</v>
      </c>
      <c r="P10332">
        <v>4.9893899999999998E-2</v>
      </c>
      <c r="Q10332">
        <v>0.13691829999999999</v>
      </c>
      <c r="R10332">
        <v>0.98932500000000001</v>
      </c>
      <c r="S10332">
        <v>-9.7076419999999997E-2</v>
      </c>
      <c r="T10332">
        <v>-0.15385399999999999</v>
      </c>
      <c r="U10332">
        <v>3.059021</v>
      </c>
      <c r="V10332">
        <v>8.4383550000000002E-2</v>
      </c>
      <c r="W10332">
        <v>0.1472019</v>
      </c>
      <c r="X10332">
        <v>0.98550040000000005</v>
      </c>
      <c r="Y10332">
        <v>3.2259889999999999E-3</v>
      </c>
      <c r="Z10332">
        <v>-5.0173099999999998E-2</v>
      </c>
      <c r="AA10332">
        <v>0.99873529999999999</v>
      </c>
      <c r="AB10332">
        <v>42</v>
      </c>
      <c r="AC10332">
        <v>-0.68520000000000802</v>
      </c>
      <c r="AD10332">
        <v>-1.109984350173</v>
      </c>
      <c r="AE10332">
        <v>21.637799999999999</v>
      </c>
      <c r="AF10332">
        <v>7.0251671348106198E-2</v>
      </c>
      <c r="AG10332">
        <v>-1.109984350173</v>
      </c>
      <c r="AH10332">
        <v>21.591769381115</v>
      </c>
      <c r="AI10332">
        <v>92.942841145871498</v>
      </c>
      <c r="AJ10332">
        <v>89.813581277312394</v>
      </c>
      <c r="AK10332">
        <v>21.620395592176699</v>
      </c>
      <c r="AL10332">
        <v>81.535192881488896</v>
      </c>
      <c r="AM10332">
        <v>85.105981452556705</v>
      </c>
      <c r="AN10332">
        <v>1.00000001063718</v>
      </c>
    </row>
    <row r="10333" spans="1:40" x14ac:dyDescent="0.25">
      <c r="A10333" t="str">
        <f>"20190312150923080"</f>
        <v>20190312150923080</v>
      </c>
      <c r="B10333" t="str">
        <f>"1552374563070116"</f>
        <v>1552374563070116</v>
      </c>
      <c r="C10333" t="s">
        <v>40</v>
      </c>
      <c r="D10333">
        <v>4.4028070000000001</v>
      </c>
      <c r="E10333">
        <v>0.46988279999999899</v>
      </c>
      <c r="F10333" t="s">
        <v>42</v>
      </c>
      <c r="G10333">
        <v>-187.96209999999999</v>
      </c>
      <c r="H10333" s="1">
        <v>-1.480515E-6</v>
      </c>
      <c r="I10333">
        <v>72.241259999999997</v>
      </c>
      <c r="J10333">
        <v>-187.24549999999999</v>
      </c>
      <c r="K10333">
        <v>1.1099699999999999</v>
      </c>
      <c r="L10333">
        <v>50.739109999999997</v>
      </c>
      <c r="M10333">
        <v>-3.4906119999999999E-2</v>
      </c>
      <c r="N10333">
        <v>0</v>
      </c>
      <c r="O10333">
        <v>0.99933609999999995</v>
      </c>
      <c r="P10333">
        <v>4.9360189999999998E-2</v>
      </c>
      <c r="Q10333">
        <v>0.13582569999999999</v>
      </c>
      <c r="R10333">
        <v>0.9895024</v>
      </c>
      <c r="S10333">
        <v>-0.1020508</v>
      </c>
      <c r="T10333">
        <v>-0.15460560000000001</v>
      </c>
      <c r="U10333">
        <v>3.0588989999999998</v>
      </c>
      <c r="V10333">
        <v>8.3865170000000003E-2</v>
      </c>
      <c r="W10333">
        <v>0.14612739999999999</v>
      </c>
      <c r="X10333">
        <v>0.98570449999999998</v>
      </c>
      <c r="Y10333">
        <v>1.607979E-3</v>
      </c>
      <c r="Z10333">
        <v>-5.0418339999999999E-2</v>
      </c>
      <c r="AA10333">
        <v>0.99872689999999997</v>
      </c>
      <c r="AB10333">
        <v>42</v>
      </c>
      <c r="AC10333">
        <v>-0.71659999999999902</v>
      </c>
      <c r="AD10333">
        <v>-1.1099714805149901</v>
      </c>
      <c r="AE10333">
        <v>21.50215</v>
      </c>
      <c r="AF10333">
        <v>3.4342840007250602E-2</v>
      </c>
      <c r="AG10333">
        <v>-1.1099714805149901</v>
      </c>
      <c r="AH10333">
        <v>21.4569457503707</v>
      </c>
      <c r="AI10333">
        <v>92.961277115377399</v>
      </c>
      <c r="AJ10333">
        <v>89.908295517379202</v>
      </c>
      <c r="AK10333">
        <v>21.485663523674699</v>
      </c>
      <c r="AL10333">
        <v>81.597429894370194</v>
      </c>
      <c r="AM10333">
        <v>85.136903739099694</v>
      </c>
      <c r="AN10333">
        <v>0.999999972545069</v>
      </c>
    </row>
    <row r="10334" spans="1:40" x14ac:dyDescent="0.25">
      <c r="A10334" t="str">
        <f>"20190312150923104"</f>
        <v>20190312150923104</v>
      </c>
      <c r="B10334" t="str">
        <f>"1552374563099391"</f>
        <v>1552374563099391</v>
      </c>
      <c r="C10334" t="s">
        <v>40</v>
      </c>
      <c r="D10334">
        <v>4.578722</v>
      </c>
      <c r="E10334">
        <v>0.46982220000000002</v>
      </c>
      <c r="F10334" t="s">
        <v>42</v>
      </c>
      <c r="G10334">
        <v>-187.97380000000001</v>
      </c>
      <c r="H10334" s="1">
        <v>-1.478381E-6</v>
      </c>
      <c r="I10334">
        <v>72.24109</v>
      </c>
      <c r="J10334">
        <v>-187.26079999999999</v>
      </c>
      <c r="K10334">
        <v>1.1099509999999999</v>
      </c>
      <c r="L10334">
        <v>51.17633</v>
      </c>
      <c r="M10334">
        <v>-3.4909999999999997E-2</v>
      </c>
      <c r="N10334">
        <v>0</v>
      </c>
      <c r="O10334">
        <v>0.99933570000000005</v>
      </c>
      <c r="P10334">
        <v>4.8885240000000003E-2</v>
      </c>
      <c r="Q10334">
        <v>0.1348017</v>
      </c>
      <c r="R10334">
        <v>0.98966600000000005</v>
      </c>
      <c r="S10334">
        <v>-0.1035919</v>
      </c>
      <c r="T10334">
        <v>-0.15789329999999999</v>
      </c>
      <c r="U10334">
        <v>3.0586549999999999</v>
      </c>
      <c r="V10334">
        <v>8.3402749999999998E-2</v>
      </c>
      <c r="W10334">
        <v>0.145124</v>
      </c>
      <c r="X10334">
        <v>0.98589199999999999</v>
      </c>
      <c r="Y10334">
        <v>1.1084230000000001E-3</v>
      </c>
      <c r="Z10334">
        <v>-5.1491339999999997E-2</v>
      </c>
      <c r="AA10334">
        <v>0.99867280000000003</v>
      </c>
      <c r="AB10334">
        <v>43</v>
      </c>
      <c r="AC10334">
        <v>-0.71300000000002195</v>
      </c>
      <c r="AD10334">
        <v>-1.109952478381</v>
      </c>
      <c r="AE10334">
        <v>21.06476</v>
      </c>
      <c r="AF10334">
        <v>2.27824848711447E-2</v>
      </c>
      <c r="AG10334">
        <v>-1.109952478381</v>
      </c>
      <c r="AH10334">
        <v>21.0185200988345</v>
      </c>
      <c r="AI10334">
        <v>93.022883482074107</v>
      </c>
      <c r="AJ10334">
        <v>89.937895736113205</v>
      </c>
      <c r="AK10334">
        <v>21.047819380900101</v>
      </c>
      <c r="AL10334">
        <v>81.655540306803402</v>
      </c>
      <c r="AM10334">
        <v>85.164506024339204</v>
      </c>
      <c r="AN10334">
        <v>1.00000001487378</v>
      </c>
    </row>
    <row r="10335" spans="1:40" x14ac:dyDescent="0.25">
      <c r="A10335" t="str">
        <f>"20190312150923124"</f>
        <v>20190312150923124</v>
      </c>
      <c r="B10335" t="str">
        <f>"1552374563119888"</f>
        <v>1552374563119888</v>
      </c>
      <c r="C10335" t="s">
        <v>40</v>
      </c>
      <c r="D10335">
        <v>4.4172440000000002</v>
      </c>
      <c r="E10335">
        <v>0.46971089999999999</v>
      </c>
      <c r="F10335" t="s">
        <v>42</v>
      </c>
      <c r="G10335">
        <v>-187.9829</v>
      </c>
      <c r="H10335" s="1">
        <v>-1.4175040000000001E-6</v>
      </c>
      <c r="I10335">
        <v>72.102980000000002</v>
      </c>
      <c r="J10335">
        <v>-187.27459999999999</v>
      </c>
      <c r="K10335">
        <v>1.1099460000000001</v>
      </c>
      <c r="L10335">
        <v>51.569490000000002</v>
      </c>
      <c r="M10335">
        <v>-3.4912770000000003E-2</v>
      </c>
      <c r="N10335">
        <v>0</v>
      </c>
      <c r="O10335">
        <v>0.99933539999999998</v>
      </c>
      <c r="P10335">
        <v>4.869573E-2</v>
      </c>
      <c r="Q10335">
        <v>0.13461319999999999</v>
      </c>
      <c r="R10335">
        <v>0.98970100000000005</v>
      </c>
      <c r="S10335">
        <v>-0.105545</v>
      </c>
      <c r="T10335">
        <v>-0.16222990000000001</v>
      </c>
      <c r="U10335">
        <v>3.058624</v>
      </c>
      <c r="V10335">
        <v>8.3219169999999995E-2</v>
      </c>
      <c r="W10335">
        <v>0.144957</v>
      </c>
      <c r="X10335">
        <v>0.98593209999999998</v>
      </c>
      <c r="Y10335">
        <v>4.7643490000000001E-4</v>
      </c>
      <c r="Z10335">
        <v>-5.2901620000000003E-2</v>
      </c>
      <c r="AA10335">
        <v>0.99859960000000003</v>
      </c>
      <c r="AB10335">
        <v>43</v>
      </c>
      <c r="AC10335">
        <v>-0.70830000000000803</v>
      </c>
      <c r="AD10335">
        <v>-1.1099474175039901</v>
      </c>
      <c r="AE10335">
        <v>20.53349</v>
      </c>
      <c r="AF10335">
        <v>9.0259047944604102E-3</v>
      </c>
      <c r="AG10335">
        <v>-1.1099474175039901</v>
      </c>
      <c r="AH10335">
        <v>20.4859121678371</v>
      </c>
      <c r="AI10335">
        <v>93.101310572324195</v>
      </c>
      <c r="AJ10335">
        <v>89.974756007283901</v>
      </c>
      <c r="AK10335">
        <v>20.5159611543042</v>
      </c>
      <c r="AL10335">
        <v>81.665211122265305</v>
      </c>
      <c r="AM10335">
        <v>85.175294568908896</v>
      </c>
      <c r="AN10335">
        <v>1.00000003395744</v>
      </c>
    </row>
    <row r="10336" spans="1:40" x14ac:dyDescent="0.25">
      <c r="A10336" t="str">
        <f>"20190312150923146"</f>
        <v>20190312150923146</v>
      </c>
      <c r="B10336" t="str">
        <f>"1552374563139408"</f>
        <v>1552374563139408</v>
      </c>
      <c r="C10336" t="s">
        <v>40</v>
      </c>
      <c r="D10336">
        <v>4.7800190000000002</v>
      </c>
      <c r="E10336">
        <v>0.46968969999999999</v>
      </c>
      <c r="F10336" t="s">
        <v>42</v>
      </c>
      <c r="G10336">
        <v>-187.9922</v>
      </c>
      <c r="H10336" s="1">
        <v>-1.423092E-6</v>
      </c>
      <c r="I10336">
        <v>72.11985</v>
      </c>
      <c r="J10336">
        <v>-187.28899999999999</v>
      </c>
      <c r="K10336">
        <v>1.109945</v>
      </c>
      <c r="L10336">
        <v>51.983089999999997</v>
      </c>
      <c r="M10336">
        <v>-3.4915340000000003E-2</v>
      </c>
      <c r="N10336">
        <v>0</v>
      </c>
      <c r="O10336">
        <v>0.99933490000000003</v>
      </c>
      <c r="P10336">
        <v>4.8869049999999997E-2</v>
      </c>
      <c r="Q10336">
        <v>0.13463129999999901</v>
      </c>
      <c r="R10336">
        <v>0.98968990000000001</v>
      </c>
      <c r="S10336">
        <v>-0.1068268</v>
      </c>
      <c r="T10336">
        <v>-0.1652161</v>
      </c>
      <c r="U10336">
        <v>3.058929</v>
      </c>
      <c r="V10336">
        <v>8.3396090000000006E-2</v>
      </c>
      <c r="W10336">
        <v>0.145008</v>
      </c>
      <c r="X10336">
        <v>0.98590960000000005</v>
      </c>
      <c r="Y10336" s="1">
        <v>6.632791E-5</v>
      </c>
      <c r="Z10336">
        <v>-5.3866829999999997E-2</v>
      </c>
      <c r="AA10336">
        <v>0.9985482</v>
      </c>
      <c r="AB10336">
        <v>43</v>
      </c>
      <c r="AC10336">
        <v>-0.70319999999998095</v>
      </c>
      <c r="AD10336">
        <v>-1.109946423092</v>
      </c>
      <c r="AE10336">
        <v>20.136759999999899</v>
      </c>
      <c r="AF10336">
        <v>3.4848207257287501E-4</v>
      </c>
      <c r="AG10336">
        <v>-1.109946423092</v>
      </c>
      <c r="AH10336">
        <v>20.088076106015599</v>
      </c>
      <c r="AI10336">
        <v>93.162604753016694</v>
      </c>
      <c r="AJ10336">
        <v>89.9990060495645</v>
      </c>
      <c r="AK10336">
        <v>20.118717226121799</v>
      </c>
      <c r="AL10336">
        <v>81.662257411223393</v>
      </c>
      <c r="AM10336">
        <v>85.164976229641297</v>
      </c>
      <c r="AN10336">
        <v>0.99999998363172304</v>
      </c>
    </row>
    <row r="10337" spans="1:40" x14ac:dyDescent="0.25">
      <c r="A10337" t="str">
        <f>"20190312150923168"</f>
        <v>20190312150923168</v>
      </c>
      <c r="B10337" t="str">
        <f>"1552374563159904"</f>
        <v>1552374563159904</v>
      </c>
      <c r="C10337" t="s">
        <v>40</v>
      </c>
      <c r="D10337">
        <v>4.4448349999999897</v>
      </c>
      <c r="E10337">
        <v>0.46966530000000001</v>
      </c>
      <c r="F10337" t="s">
        <v>42</v>
      </c>
      <c r="G10337">
        <v>-187.99430000000001</v>
      </c>
      <c r="H10337" s="1">
        <v>-1.524762E-6</v>
      </c>
      <c r="I10337">
        <v>72.357699999999994</v>
      </c>
      <c r="J10337">
        <v>-187.30430000000001</v>
      </c>
      <c r="K10337">
        <v>1.109945</v>
      </c>
      <c r="L10337">
        <v>52.41977</v>
      </c>
      <c r="M10337">
        <v>-3.4917190000000001E-2</v>
      </c>
      <c r="N10337">
        <v>0</v>
      </c>
      <c r="O10337">
        <v>0.99933439999999996</v>
      </c>
      <c r="P10337">
        <v>4.8960579999999997E-2</v>
      </c>
      <c r="Q10337">
        <v>0.13351950000000001</v>
      </c>
      <c r="R10337">
        <v>0.98983600000000005</v>
      </c>
      <c r="S10337">
        <v>-0.105896</v>
      </c>
      <c r="T10337">
        <v>-0.16665279999999999</v>
      </c>
      <c r="U10337">
        <v>3.0591430000000002</v>
      </c>
      <c r="V10337">
        <v>8.3495749999999994E-2</v>
      </c>
      <c r="W10337">
        <v>0.1439435</v>
      </c>
      <c r="X10337">
        <v>0.98605719999999997</v>
      </c>
      <c r="Y10337">
        <v>3.7495859999999998E-4</v>
      </c>
      <c r="Z10337">
        <v>-5.4330379999999998E-2</v>
      </c>
      <c r="AA10337">
        <v>0.99852289999999999</v>
      </c>
      <c r="AB10337">
        <v>43</v>
      </c>
      <c r="AC10337">
        <v>-0.68999999999999695</v>
      </c>
      <c r="AD10337">
        <v>-1.109946524762</v>
      </c>
      <c r="AE10337">
        <v>19.937929999999898</v>
      </c>
      <c r="AF10337">
        <v>6.6156457290738003E-3</v>
      </c>
      <c r="AG10337">
        <v>-1.109946524762</v>
      </c>
      <c r="AH10337">
        <v>19.888301584718199</v>
      </c>
      <c r="AI10337">
        <v>93.194307222321498</v>
      </c>
      <c r="AJ10337">
        <v>89.980941129465705</v>
      </c>
      <c r="AK10337">
        <v>19.9192511149216</v>
      </c>
      <c r="AL10337">
        <v>81.723895899171396</v>
      </c>
      <c r="AM10337">
        <v>85.159946878365105</v>
      </c>
      <c r="AN10337">
        <v>1.0000000365660699</v>
      </c>
    </row>
    <row r="10338" spans="1:40" x14ac:dyDescent="0.25">
      <c r="A10338" t="str">
        <f>"20190312150923190"</f>
        <v>20190312150923190</v>
      </c>
      <c r="B10338" t="str">
        <f>"1552374563179424"</f>
        <v>1552374563179424</v>
      </c>
      <c r="C10338" t="s">
        <v>40</v>
      </c>
      <c r="D10338">
        <v>4.6180510000000004</v>
      </c>
      <c r="E10338">
        <v>0.490456</v>
      </c>
      <c r="F10338" t="s">
        <v>42</v>
      </c>
      <c r="G10338">
        <v>-187.98500000000001</v>
      </c>
      <c r="H10338" s="1">
        <v>-1.4376940000000001E-6</v>
      </c>
      <c r="I10338">
        <v>72.150899999999993</v>
      </c>
      <c r="J10338">
        <v>-187.3186</v>
      </c>
      <c r="K10338">
        <v>1.1099460000000001</v>
      </c>
      <c r="L10338">
        <v>52.829990000000002</v>
      </c>
      <c r="M10338">
        <v>-3.49188E-2</v>
      </c>
      <c r="N10338">
        <v>0</v>
      </c>
      <c r="O10338">
        <v>0.99933380000000005</v>
      </c>
      <c r="P10338">
        <v>4.9154650000000001E-2</v>
      </c>
      <c r="Q10338">
        <v>0.13270889999999999</v>
      </c>
      <c r="R10338">
        <v>0.98993549999999997</v>
      </c>
      <c r="S10338">
        <v>-0.105545</v>
      </c>
      <c r="T10338">
        <v>-0.17209289999999999</v>
      </c>
      <c r="U10338">
        <v>3.0592350000000001</v>
      </c>
      <c r="V10338">
        <v>8.3695710000000006E-2</v>
      </c>
      <c r="W10338">
        <v>0.1431837</v>
      </c>
      <c r="X10338">
        <v>0.98615079999999999</v>
      </c>
      <c r="Y10338">
        <v>4.9540079999999995E-4</v>
      </c>
      <c r="Z10338">
        <v>-5.609683E-2</v>
      </c>
      <c r="AA10338">
        <v>0.99842520000000001</v>
      </c>
      <c r="AB10338">
        <v>43</v>
      </c>
      <c r="AC10338">
        <v>-0.66640000000000998</v>
      </c>
      <c r="AD10338">
        <v>-1.1099474376939999</v>
      </c>
      <c r="AE10338">
        <v>19.320909999999898</v>
      </c>
      <c r="AF10338">
        <v>8.6788297160024196E-3</v>
      </c>
      <c r="AG10338">
        <v>-1.1099474376939999</v>
      </c>
      <c r="AH10338">
        <v>19.2688800934338</v>
      </c>
      <c r="AI10338">
        <v>93.296771670849793</v>
      </c>
      <c r="AJ10338">
        <v>89.974193607630397</v>
      </c>
      <c r="AK10338">
        <v>19.300823782721299</v>
      </c>
      <c r="AL10338">
        <v>81.767884375488407</v>
      </c>
      <c r="AM10338">
        <v>85.148869215266799</v>
      </c>
      <c r="AN10338">
        <v>0.99999997207936597</v>
      </c>
    </row>
    <row r="10339" spans="1:40" x14ac:dyDescent="0.25">
      <c r="A10339" t="str">
        <f>"20190312150923212"</f>
        <v>20190312150923212</v>
      </c>
      <c r="B10339" t="str">
        <f>"1552374563209680"</f>
        <v>1552374563209680</v>
      </c>
      <c r="C10339" t="s">
        <v>40</v>
      </c>
      <c r="D10339">
        <v>4.432766</v>
      </c>
      <c r="E10339">
        <v>0.52888020000000002</v>
      </c>
      <c r="F10339" t="s">
        <v>41</v>
      </c>
      <c r="G10339">
        <v>-187.29839999999999</v>
      </c>
      <c r="H10339">
        <v>1.0530379999999999</v>
      </c>
      <c r="I10339">
        <v>53.838520000000003</v>
      </c>
      <c r="J10339">
        <v>-187.33349999999999</v>
      </c>
      <c r="K10339">
        <v>1.109945</v>
      </c>
      <c r="L10339">
        <v>53.254240000000003</v>
      </c>
      <c r="M10339">
        <v>-3.492029E-2</v>
      </c>
      <c r="N10339">
        <v>0</v>
      </c>
      <c r="O10339">
        <v>0.99933300000000003</v>
      </c>
      <c r="P10339">
        <v>4.9478590000000003E-2</v>
      </c>
      <c r="Q10339">
        <v>0.13189619999999999</v>
      </c>
      <c r="R10339">
        <v>0.99002789999999996</v>
      </c>
      <c r="S10339">
        <v>6.0852049999999998E-2</v>
      </c>
      <c r="T10339">
        <v>-0.17213829999999999</v>
      </c>
      <c r="U10339">
        <v>3.0505680000000002</v>
      </c>
      <c r="V10339">
        <v>8.4024950000000001E-2</v>
      </c>
      <c r="W10339">
        <v>0.1424366</v>
      </c>
      <c r="X10339">
        <v>0.98623099999999997</v>
      </c>
      <c r="Y10339">
        <v>5.4815370000000002E-2</v>
      </c>
      <c r="Z10339">
        <v>-5.6239190000000001E-2</v>
      </c>
      <c r="AA10339">
        <v>0.99691149999999995</v>
      </c>
      <c r="AB10339">
        <v>43</v>
      </c>
      <c r="AC10339">
        <v>3.5099999999999902E-2</v>
      </c>
      <c r="AD10339">
        <v>-5.69070000000002E-2</v>
      </c>
      <c r="AE10339">
        <v>0.58427999999999203</v>
      </c>
      <c r="AF10339">
        <v>5.4963465492808797E-2</v>
      </c>
      <c r="AG10339">
        <v>-5.69070000000002E-2</v>
      </c>
      <c r="AH10339">
        <v>0.57724173211464402</v>
      </c>
      <c r="AI10339">
        <v>95.605085152656102</v>
      </c>
      <c r="AJ10339">
        <v>84.560842217762399</v>
      </c>
      <c r="AK10339">
        <v>0.58263831532323196</v>
      </c>
      <c r="AL10339">
        <v>81.811133428374504</v>
      </c>
      <c r="AM10339">
        <v>85.130271701625702</v>
      </c>
      <c r="AN10339">
        <v>0.999999981301531</v>
      </c>
    </row>
    <row r="10340" spans="1:40" x14ac:dyDescent="0.25">
      <c r="A10340" t="str">
        <f>"20190312150923235"</f>
        <v>20190312150923235</v>
      </c>
      <c r="B10340" t="str">
        <f>"1552374563230176"</f>
        <v>1552374563230176</v>
      </c>
      <c r="C10340" t="s">
        <v>40</v>
      </c>
      <c r="D10340">
        <v>4.4142340000000004</v>
      </c>
      <c r="E10340">
        <v>0.52805230000000003</v>
      </c>
      <c r="F10340" t="s">
        <v>42</v>
      </c>
      <c r="G10340">
        <v>-181.85429999999999</v>
      </c>
      <c r="H10340" s="1">
        <v>-5.0272870000000004E-6</v>
      </c>
      <c r="I10340">
        <v>97.983379999999997</v>
      </c>
      <c r="J10340">
        <v>-187.3484</v>
      </c>
      <c r="K10340">
        <v>1.109958</v>
      </c>
      <c r="L10340">
        <v>53.682250000000003</v>
      </c>
      <c r="M10340">
        <v>-3.4921670000000002E-2</v>
      </c>
      <c r="N10340">
        <v>0</v>
      </c>
      <c r="O10340">
        <v>0.99933209999999995</v>
      </c>
      <c r="P10340">
        <v>5.0182230000000001E-2</v>
      </c>
      <c r="Q10340">
        <v>0.1316406</v>
      </c>
      <c r="R10340">
        <v>0.99002650000000003</v>
      </c>
      <c r="S10340">
        <v>0.37014770000000002</v>
      </c>
      <c r="T10340">
        <v>-7.4983240000000007E-2</v>
      </c>
      <c r="U10340">
        <v>3.0216980000000002</v>
      </c>
      <c r="V10340">
        <v>8.4730120000000006E-2</v>
      </c>
      <c r="W10340">
        <v>0.1422639</v>
      </c>
      <c r="X10340">
        <v>0.98619559999999995</v>
      </c>
      <c r="Y10340">
        <v>0.15614149999999999</v>
      </c>
      <c r="Z10340">
        <v>-2.4540780000000002E-2</v>
      </c>
      <c r="AA10340">
        <v>0.98742980000000002</v>
      </c>
      <c r="AB10340">
        <v>43</v>
      </c>
      <c r="AC10340">
        <v>5.4941000000000004</v>
      </c>
      <c r="AD10340">
        <v>-1.109963027287</v>
      </c>
      <c r="AE10340">
        <v>44.301130000000001</v>
      </c>
      <c r="AF10340">
        <v>7.03355910475603</v>
      </c>
      <c r="AG10340">
        <v>-1.109963027287</v>
      </c>
      <c r="AH10340">
        <v>44.054994583332501</v>
      </c>
      <c r="AI10340">
        <v>91.425216410025399</v>
      </c>
      <c r="AJ10340">
        <v>80.929049822167997</v>
      </c>
      <c r="AK10340">
        <v>44.626735477060201</v>
      </c>
      <c r="AL10340">
        <v>81.821130251896193</v>
      </c>
      <c r="AM10340">
        <v>85.089426651461096</v>
      </c>
      <c r="AN10340">
        <v>0.99999998596889195</v>
      </c>
    </row>
    <row r="10341" spans="1:40" x14ac:dyDescent="0.25">
      <c r="A10341" t="str">
        <f>"20190312150923258"</f>
        <v>20190312150923258</v>
      </c>
      <c r="B10341" t="str">
        <f>"1552374563249700"</f>
        <v>1552374563249700</v>
      </c>
      <c r="C10341" t="s">
        <v>40</v>
      </c>
      <c r="D10341">
        <v>4.4342249999999996</v>
      </c>
      <c r="E10341">
        <v>0.52769169999999999</v>
      </c>
      <c r="F10341" t="s">
        <v>42</v>
      </c>
      <c r="G10341">
        <v>-182.05600000000001</v>
      </c>
      <c r="H10341" s="1">
        <v>-4.755919E-6</v>
      </c>
      <c r="I10341">
        <v>97.41234</v>
      </c>
      <c r="J10341">
        <v>-187.3638</v>
      </c>
      <c r="K10341">
        <v>1.1099730000000001</v>
      </c>
      <c r="L10341">
        <v>54.123750000000001</v>
      </c>
      <c r="M10341">
        <v>-3.4922740000000001E-2</v>
      </c>
      <c r="N10341">
        <v>0</v>
      </c>
      <c r="O10341">
        <v>0.99933090000000002</v>
      </c>
      <c r="P10341">
        <v>5.1358040000000001E-2</v>
      </c>
      <c r="Q10341">
        <v>0.1305132</v>
      </c>
      <c r="R10341">
        <v>0.99011550000000004</v>
      </c>
      <c r="S10341">
        <v>0.36572270000000001</v>
      </c>
      <c r="T10341">
        <v>-7.6701759999999994E-2</v>
      </c>
      <c r="U10341">
        <v>3.021881</v>
      </c>
      <c r="V10341">
        <v>8.5909840000000001E-2</v>
      </c>
      <c r="W10341">
        <v>0.14124100000000001</v>
      </c>
      <c r="X10341">
        <v>0.98624060000000002</v>
      </c>
      <c r="Y10341">
        <v>0.1547087</v>
      </c>
      <c r="Z10341">
        <v>-2.5106420000000001E-2</v>
      </c>
      <c r="AA10341">
        <v>0.98764110000000005</v>
      </c>
      <c r="AB10341">
        <v>43</v>
      </c>
      <c r="AC10341">
        <v>5.3078000000000101</v>
      </c>
      <c r="AD10341">
        <v>-1.1099777559189901</v>
      </c>
      <c r="AE10341">
        <v>43.288589999999999</v>
      </c>
      <c r="AF10341">
        <v>6.8119950269785203</v>
      </c>
      <c r="AG10341">
        <v>-1.1099777559189901</v>
      </c>
      <c r="AH10341">
        <v>43.048923094823003</v>
      </c>
      <c r="AI10341">
        <v>91.458849429607994</v>
      </c>
      <c r="AJ10341">
        <v>81.008159905688004</v>
      </c>
      <c r="AK10341">
        <v>43.598682393969199</v>
      </c>
      <c r="AL10341">
        <v>81.880336244882301</v>
      </c>
      <c r="AM10341">
        <v>85.0216227467712</v>
      </c>
      <c r="AN10341">
        <v>1.00000002088909</v>
      </c>
    </row>
    <row r="10342" spans="1:40" x14ac:dyDescent="0.25">
      <c r="A10342" t="str">
        <f>"20190312150923279"</f>
        <v>20190312150923279</v>
      </c>
      <c r="B10342" t="str">
        <f>"1552374563269221"</f>
        <v>1552374563269221</v>
      </c>
      <c r="C10342" t="s">
        <v>40</v>
      </c>
      <c r="D10342">
        <v>4.4298659999999996</v>
      </c>
      <c r="E10342">
        <v>0.52736249999999996</v>
      </c>
      <c r="F10342" t="s">
        <v>42</v>
      </c>
      <c r="G10342">
        <v>-182.35679999999999</v>
      </c>
      <c r="H10342" s="1">
        <v>-4.0027300000000002E-6</v>
      </c>
      <c r="I10342">
        <v>95.434259999999995</v>
      </c>
      <c r="J10342">
        <v>-187.37809999999999</v>
      </c>
      <c r="K10342">
        <v>1.10999</v>
      </c>
      <c r="L10342">
        <v>54.5334199999999</v>
      </c>
      <c r="M10342">
        <v>-3.4923540000000003E-2</v>
      </c>
      <c r="N10342">
        <v>0</v>
      </c>
      <c r="O10342">
        <v>0.99932969999999999</v>
      </c>
      <c r="P10342">
        <v>5.229574E-2</v>
      </c>
      <c r="Q10342">
        <v>0.12967880000000001</v>
      </c>
      <c r="R10342">
        <v>0.99017599999999995</v>
      </c>
      <c r="S10342">
        <v>0.3662415</v>
      </c>
      <c r="T10342">
        <v>-8.1189510000000006E-2</v>
      </c>
      <c r="U10342">
        <v>3.0216669999999999</v>
      </c>
      <c r="V10342">
        <v>8.685023E-2</v>
      </c>
      <c r="W10342">
        <v>0.1405112</v>
      </c>
      <c r="X10342">
        <v>0.98626239999999998</v>
      </c>
      <c r="Y10342">
        <v>0.154880399999999</v>
      </c>
      <c r="Z10342">
        <v>-2.6575580000000001E-2</v>
      </c>
      <c r="AA10342">
        <v>0.98757569999999995</v>
      </c>
      <c r="AB10342">
        <v>43</v>
      </c>
      <c r="AC10342">
        <v>5.0212999999999903</v>
      </c>
      <c r="AD10342">
        <v>-1.1099940027299999</v>
      </c>
      <c r="AE10342">
        <v>40.900840000000002</v>
      </c>
      <c r="AF10342">
        <v>6.4420505956889196</v>
      </c>
      <c r="AG10342">
        <v>-1.1099940027299999</v>
      </c>
      <c r="AH10342">
        <v>40.671005107489698</v>
      </c>
      <c r="AI10342">
        <v>91.544089523012502</v>
      </c>
      <c r="AJ10342">
        <v>80.999455488474894</v>
      </c>
      <c r="AK10342">
        <v>41.1929940525931</v>
      </c>
      <c r="AL10342">
        <v>81.922571259369604</v>
      </c>
      <c r="AM10342">
        <v>84.967517236360493</v>
      </c>
      <c r="AN10342">
        <v>0.99999994071512399</v>
      </c>
    </row>
    <row r="10343" spans="1:40" x14ac:dyDescent="0.25">
      <c r="A10343" t="str">
        <f>"20190312150923304"</f>
        <v>20190312150923304</v>
      </c>
      <c r="B10343" t="str">
        <f>"1552374563299473"</f>
        <v>1552374563299473</v>
      </c>
      <c r="C10343" t="s">
        <v>40</v>
      </c>
      <c r="D10343">
        <v>4.4578300000000004</v>
      </c>
      <c r="E10343">
        <v>0.52724340000000003</v>
      </c>
      <c r="F10343" t="s">
        <v>42</v>
      </c>
      <c r="G10343">
        <v>-182.6036</v>
      </c>
      <c r="H10343" s="1">
        <v>-3.4137379999999998E-6</v>
      </c>
      <c r="I10343">
        <v>93.896450000000002</v>
      </c>
      <c r="J10343">
        <v>-187.39429999999999</v>
      </c>
      <c r="K10343">
        <v>1.110007</v>
      </c>
      <c r="L10343">
        <v>54.996949999999998</v>
      </c>
      <c r="M10343">
        <v>-3.4919720000000001E-2</v>
      </c>
      <c r="N10343">
        <v>0</v>
      </c>
      <c r="O10343">
        <v>0.99932849999999995</v>
      </c>
      <c r="P10343">
        <v>5.3199839999999998E-2</v>
      </c>
      <c r="Q10343">
        <v>0.1298839</v>
      </c>
      <c r="R10343">
        <v>0.99010100000000001</v>
      </c>
      <c r="S10343">
        <v>0.36650090000000002</v>
      </c>
      <c r="T10343">
        <v>-8.5205080000000002E-2</v>
      </c>
      <c r="U10343">
        <v>3.021576</v>
      </c>
      <c r="V10343">
        <v>8.7748430000000002E-2</v>
      </c>
      <c r="W10343">
        <v>0.14083409999999999</v>
      </c>
      <c r="X10343">
        <v>0.98613689999999998</v>
      </c>
      <c r="Y10343">
        <v>0.1549595</v>
      </c>
      <c r="Z10343">
        <v>-2.7889500000000001E-2</v>
      </c>
      <c r="AA10343">
        <v>0.98752709999999999</v>
      </c>
      <c r="AB10343">
        <v>43</v>
      </c>
      <c r="AC10343">
        <v>4.7906999999999798</v>
      </c>
      <c r="AD10343">
        <v>-1.110010413738</v>
      </c>
      <c r="AE10343">
        <v>38.899500000000003</v>
      </c>
      <c r="AF10343">
        <v>6.1412952640578</v>
      </c>
      <c r="AG10343">
        <v>-1.110010413738</v>
      </c>
      <c r="AH10343">
        <v>38.677449691933298</v>
      </c>
      <c r="AI10343">
        <v>91.623561672829098</v>
      </c>
      <c r="AJ10343">
        <v>80.977762318511907</v>
      </c>
      <c r="AK10343">
        <v>39.177707249288801</v>
      </c>
      <c r="AL10343">
        <v>81.903885183546706</v>
      </c>
      <c r="AM10343">
        <v>84.915099341003199</v>
      </c>
      <c r="AN10343">
        <v>1.0000000081159399</v>
      </c>
    </row>
    <row r="10344" spans="1:40" x14ac:dyDescent="0.25">
      <c r="A10344" t="str">
        <f>"20190312150923325"</f>
        <v>20190312150923325</v>
      </c>
      <c r="B10344" t="str">
        <f>"1552374563319968"</f>
        <v>1552374563319968</v>
      </c>
      <c r="C10344" t="s">
        <v>40</v>
      </c>
      <c r="D10344">
        <v>4.4791410000000003</v>
      </c>
      <c r="E10344">
        <v>0.52706350000000002</v>
      </c>
      <c r="F10344" t="s">
        <v>42</v>
      </c>
      <c r="G10344">
        <v>-182.6054</v>
      </c>
      <c r="H10344" s="1">
        <v>-3.5479349999999999E-6</v>
      </c>
      <c r="I10344">
        <v>94.292159999999996</v>
      </c>
      <c r="J10344">
        <v>-187.40889999999999</v>
      </c>
      <c r="K10344">
        <v>1.1100099999999999</v>
      </c>
      <c r="L10344">
        <v>55.413569999999901</v>
      </c>
      <c r="M10344">
        <v>-3.489449E-2</v>
      </c>
      <c r="N10344">
        <v>0</v>
      </c>
      <c r="O10344">
        <v>0.9993282</v>
      </c>
      <c r="P10344">
        <v>5.4983030000000002E-2</v>
      </c>
      <c r="Q10344">
        <v>0.1297817</v>
      </c>
      <c r="R10344">
        <v>0.99001689999999998</v>
      </c>
      <c r="S10344">
        <v>0.36822510000000003</v>
      </c>
      <c r="T10344">
        <v>-8.5349079999999994E-2</v>
      </c>
      <c r="U10344">
        <v>3.021423</v>
      </c>
      <c r="V10344">
        <v>8.9506569999999994E-2</v>
      </c>
      <c r="W10344">
        <v>0.14083119999999999</v>
      </c>
      <c r="X10344">
        <v>0.9859793</v>
      </c>
      <c r="Y10344">
        <v>0.15549569999999999</v>
      </c>
      <c r="Z10344">
        <v>-2.7935890000000001E-2</v>
      </c>
      <c r="AA10344">
        <v>0.98744149999999997</v>
      </c>
      <c r="AB10344">
        <v>43</v>
      </c>
      <c r="AC10344">
        <v>4.8034999999999801</v>
      </c>
      <c r="AD10344">
        <v>-1.110013547935</v>
      </c>
      <c r="AE10344">
        <v>38.878590000000003</v>
      </c>
      <c r="AF10344">
        <v>6.1523683571031196</v>
      </c>
      <c r="AG10344">
        <v>-1.110013547935</v>
      </c>
      <c r="AH10344">
        <v>38.656247110978903</v>
      </c>
      <c r="AI10344">
        <v>91.624362256332006</v>
      </c>
      <c r="AJ10344">
        <v>80.956887533830994</v>
      </c>
      <c r="AK10344">
        <v>39.158513853096501</v>
      </c>
      <c r="AL10344">
        <v>81.904053082314505</v>
      </c>
      <c r="AM10344">
        <v>84.812943275559405</v>
      </c>
      <c r="AN10344">
        <v>1.00000001649754</v>
      </c>
    </row>
    <row r="10345" spans="1:40" x14ac:dyDescent="0.25">
      <c r="A10345" t="str">
        <f>"20190312150923347"</f>
        <v>20190312150923347</v>
      </c>
      <c r="B10345" t="str">
        <f>"1552374563339488"</f>
        <v>1552374563339488</v>
      </c>
      <c r="C10345" t="s">
        <v>40</v>
      </c>
      <c r="D10345">
        <v>4.474545</v>
      </c>
      <c r="E10345">
        <v>0.5270224</v>
      </c>
      <c r="F10345" t="s">
        <v>42</v>
      </c>
      <c r="G10345">
        <v>-182.57919999999999</v>
      </c>
      <c r="H10345" s="1">
        <v>-3.6647849999999998E-6</v>
      </c>
      <c r="I10345">
        <v>94.615099999999998</v>
      </c>
      <c r="J10345">
        <v>-187.423</v>
      </c>
      <c r="K10345">
        <v>1.10999</v>
      </c>
      <c r="L10345">
        <v>55.820799999999998</v>
      </c>
      <c r="M10345">
        <v>-3.483062E-2</v>
      </c>
      <c r="N10345">
        <v>0</v>
      </c>
      <c r="O10345">
        <v>0.99932929999999998</v>
      </c>
      <c r="P10345">
        <v>5.5824169999999999E-2</v>
      </c>
      <c r="Q10345">
        <v>0.12941549999999999</v>
      </c>
      <c r="R10345">
        <v>0.99001779999999995</v>
      </c>
      <c r="S10345">
        <v>0.37216189999999999</v>
      </c>
      <c r="T10345">
        <v>-8.5535169999999994E-2</v>
      </c>
      <c r="U10345">
        <v>3.0207820000000001</v>
      </c>
      <c r="V10345">
        <v>9.0292629999999999E-2</v>
      </c>
      <c r="W10345">
        <v>0.1405537</v>
      </c>
      <c r="X10345">
        <v>0.98594720000000002</v>
      </c>
      <c r="Y10345">
        <v>0.15672520000000001</v>
      </c>
      <c r="Z10345">
        <v>-2.7997790000000002E-2</v>
      </c>
      <c r="AA10345">
        <v>0.98724529999999999</v>
      </c>
      <c r="AB10345">
        <v>43</v>
      </c>
      <c r="AC10345">
        <v>4.8438000000000097</v>
      </c>
      <c r="AD10345">
        <v>-1.1099936647849999</v>
      </c>
      <c r="AE10345">
        <v>38.7943</v>
      </c>
      <c r="AF10345">
        <v>6.1871889399359299</v>
      </c>
      <c r="AG10345">
        <v>-1.1099936647849999</v>
      </c>
      <c r="AH10345">
        <v>38.570942539950003</v>
      </c>
      <c r="AI10345">
        <v>91.627605610765002</v>
      </c>
      <c r="AJ10345">
        <v>80.886784816277</v>
      </c>
      <c r="AK10345">
        <v>39.079802984846999</v>
      </c>
      <c r="AL10345">
        <v>81.920112193188601</v>
      </c>
      <c r="AM10345">
        <v>84.767472120398693</v>
      </c>
      <c r="AN10345">
        <v>0.99999999140192297</v>
      </c>
    </row>
    <row r="10346" spans="1:40" x14ac:dyDescent="0.25">
      <c r="A10346" t="str">
        <f>"20190312150923369"</f>
        <v>20190312150923369</v>
      </c>
      <c r="B10346" t="str">
        <f>"1552374563359984"</f>
        <v>1552374563359984</v>
      </c>
      <c r="C10346" t="s">
        <v>40</v>
      </c>
      <c r="D10346">
        <v>4.4992169999999998</v>
      </c>
      <c r="E10346">
        <v>0.52691889999999997</v>
      </c>
      <c r="F10346" t="s">
        <v>42</v>
      </c>
      <c r="G10346">
        <v>-182.66059999999999</v>
      </c>
      <c r="H10346" s="1">
        <v>-3.5097660000000002E-6</v>
      </c>
      <c r="I10346">
        <v>94.223200000000006</v>
      </c>
      <c r="J10346">
        <v>-187.43790000000001</v>
      </c>
      <c r="K10346">
        <v>1.109958</v>
      </c>
      <c r="L10346">
        <v>56.250549999999997</v>
      </c>
      <c r="M10346">
        <v>-3.4720500000000001E-2</v>
      </c>
      <c r="N10346">
        <v>0</v>
      </c>
      <c r="O10346">
        <v>0.99933209999999995</v>
      </c>
      <c r="P10346">
        <v>5.6941029999999997E-2</v>
      </c>
      <c r="Q10346">
        <v>0.1289351</v>
      </c>
      <c r="R10346">
        <v>0.99001689999999998</v>
      </c>
      <c r="S10346">
        <v>0.37458799999999998</v>
      </c>
      <c r="T10346">
        <v>-8.7306499999999995E-2</v>
      </c>
      <c r="U10346">
        <v>3.0205380000000002</v>
      </c>
      <c r="V10346">
        <v>9.1312370000000004E-2</v>
      </c>
      <c r="W10346">
        <v>0.14015610000000001</v>
      </c>
      <c r="X10346">
        <v>0.98590990000000001</v>
      </c>
      <c r="Y10346">
        <v>0.15740509999999999</v>
      </c>
      <c r="Z10346">
        <v>-2.8576609999999999E-2</v>
      </c>
      <c r="AA10346">
        <v>0.98712060000000001</v>
      </c>
      <c r="AB10346">
        <v>43</v>
      </c>
      <c r="AC10346">
        <v>4.7773000000000199</v>
      </c>
      <c r="AD10346">
        <v>-1.1099615097660001</v>
      </c>
      <c r="AE10346">
        <v>37.972650000000002</v>
      </c>
      <c r="AF10346">
        <v>6.0878136703395498</v>
      </c>
      <c r="AG10346">
        <v>-1.1099615097660001</v>
      </c>
      <c r="AH10346">
        <v>37.752117082697801</v>
      </c>
      <c r="AI10346">
        <v>91.662619195597102</v>
      </c>
      <c r="AJ10346">
        <v>80.839483436113596</v>
      </c>
      <c r="AK10346">
        <v>38.255925476501801</v>
      </c>
      <c r="AL10346">
        <v>81.943120870462494</v>
      </c>
      <c r="AM10346">
        <v>84.708511915784598</v>
      </c>
      <c r="AN10346">
        <v>1.00000000610011</v>
      </c>
    </row>
    <row r="10347" spans="1:40" x14ac:dyDescent="0.25">
      <c r="A10347" t="str">
        <f>"20190312150923392"</f>
        <v>20190312150923392</v>
      </c>
      <c r="B10347" t="str">
        <f>"1552374563389264"</f>
        <v>1552374563389264</v>
      </c>
      <c r="C10347" t="s">
        <v>40</v>
      </c>
      <c r="D10347">
        <v>4.4860009999999999</v>
      </c>
      <c r="E10347">
        <v>0.52675240000000001</v>
      </c>
      <c r="F10347" t="s">
        <v>42</v>
      </c>
      <c r="G10347">
        <v>-182.74430000000001</v>
      </c>
      <c r="H10347" s="1">
        <v>-3.3381010000000001E-6</v>
      </c>
      <c r="I10347">
        <v>93.784229999999994</v>
      </c>
      <c r="J10347">
        <v>-187.4529</v>
      </c>
      <c r="K10347">
        <v>1.109915</v>
      </c>
      <c r="L10347">
        <v>56.685639999999999</v>
      </c>
      <c r="M10347">
        <v>-3.4550820000000003E-2</v>
      </c>
      <c r="N10347">
        <v>0</v>
      </c>
      <c r="O10347">
        <v>0.99933700000000003</v>
      </c>
      <c r="P10347">
        <v>5.7905699999999997E-2</v>
      </c>
      <c r="Q10347">
        <v>0.12856719999999999</v>
      </c>
      <c r="R10347">
        <v>0.99000880000000002</v>
      </c>
      <c r="S10347">
        <v>0.37767030000000001</v>
      </c>
      <c r="T10347">
        <v>-8.9312909999999995E-2</v>
      </c>
      <c r="U10347">
        <v>3.0201419999999999</v>
      </c>
      <c r="V10347">
        <v>9.2124910000000004E-2</v>
      </c>
      <c r="W10347">
        <v>0.1398606</v>
      </c>
      <c r="X10347">
        <v>0.98587630000000004</v>
      </c>
      <c r="Y10347">
        <v>0.15824289999999999</v>
      </c>
      <c r="Z10347">
        <v>-2.923303E-2</v>
      </c>
      <c r="AA10347">
        <v>0.98696740000000005</v>
      </c>
      <c r="AB10347">
        <v>43</v>
      </c>
      <c r="AC10347">
        <v>4.7085999999999899</v>
      </c>
      <c r="AD10347">
        <v>-1.109918338101</v>
      </c>
      <c r="AE10347">
        <v>37.098590000000002</v>
      </c>
      <c r="AF10347">
        <v>5.9823896160289101</v>
      </c>
      <c r="AG10347">
        <v>-1.109918338101</v>
      </c>
      <c r="AH10347">
        <v>36.881251643214704</v>
      </c>
      <c r="AI10347">
        <v>91.701534688705095</v>
      </c>
      <c r="AJ10347">
        <v>80.786481740986304</v>
      </c>
      <c r="AK10347">
        <v>37.379775641452802</v>
      </c>
      <c r="AL10347">
        <v>81.960220411283203</v>
      </c>
      <c r="AM10347">
        <v>84.661515741045605</v>
      </c>
      <c r="AN10347">
        <v>1.0000000326882701</v>
      </c>
    </row>
    <row r="10348" spans="1:40" x14ac:dyDescent="0.25">
      <c r="A10348" t="str">
        <f>"20190312150923413"</f>
        <v>20190312150923413</v>
      </c>
      <c r="B10348" t="str">
        <f>"1552374563409760"</f>
        <v>1552374563409760</v>
      </c>
      <c r="C10348" t="s">
        <v>40</v>
      </c>
      <c r="D10348">
        <v>4.4989470000000003</v>
      </c>
      <c r="E10348">
        <v>0.52666400000000002</v>
      </c>
      <c r="F10348" t="s">
        <v>42</v>
      </c>
      <c r="G10348">
        <v>-182.82919999999999</v>
      </c>
      <c r="H10348" s="1">
        <v>-3.2243849999999998E-6</v>
      </c>
      <c r="I10348">
        <v>93.51643</v>
      </c>
      <c r="J10348">
        <v>-187.46680000000001</v>
      </c>
      <c r="K10348">
        <v>1.109853</v>
      </c>
      <c r="L10348">
        <v>57.092590000000001</v>
      </c>
      <c r="M10348">
        <v>-3.4323739999999998E-2</v>
      </c>
      <c r="N10348">
        <v>0</v>
      </c>
      <c r="O10348">
        <v>0.99934409999999896</v>
      </c>
      <c r="P10348">
        <v>5.8470840000000003E-2</v>
      </c>
      <c r="Q10348">
        <v>0.12858739999999999</v>
      </c>
      <c r="R10348">
        <v>0.98997290000000004</v>
      </c>
      <c r="S10348">
        <v>0.37911990000000001</v>
      </c>
      <c r="T10348">
        <v>-9.1007350000000001E-2</v>
      </c>
      <c r="U10348">
        <v>3.0199280000000002</v>
      </c>
      <c r="V10348">
        <v>9.2483430000000005E-2</v>
      </c>
      <c r="W10348">
        <v>0.13993749999999999</v>
      </c>
      <c r="X10348">
        <v>0.98583180000000004</v>
      </c>
      <c r="Y10348">
        <v>0.15849150000000001</v>
      </c>
      <c r="Z10348">
        <v>-2.9788100000000001E-2</v>
      </c>
      <c r="AA10348">
        <v>0.98691090000000004</v>
      </c>
      <c r="AB10348">
        <v>43</v>
      </c>
      <c r="AC10348">
        <v>4.6376000000000097</v>
      </c>
      <c r="AD10348">
        <v>-1.1098562243850001</v>
      </c>
      <c r="AE10348">
        <v>36.423839999999998</v>
      </c>
      <c r="AF10348">
        <v>5.8797806867081501</v>
      </c>
      <c r="AG10348">
        <v>-1.1098562243850001</v>
      </c>
      <c r="AH10348">
        <v>36.210101403217401</v>
      </c>
      <c r="AI10348">
        <v>91.7329091462625</v>
      </c>
      <c r="AJ10348">
        <v>80.776836509750694</v>
      </c>
      <c r="AK10348">
        <v>36.7011586383029</v>
      </c>
      <c r="AL10348">
        <v>81.955770448672595</v>
      </c>
      <c r="AM10348">
        <v>84.640620336299804</v>
      </c>
      <c r="AN10348">
        <v>1.0000000133110201</v>
      </c>
    </row>
    <row r="10349" spans="1:40" x14ac:dyDescent="0.25">
      <c r="A10349" t="str">
        <f>"20190312150923437"</f>
        <v>20190312150923437</v>
      </c>
      <c r="B10349" t="str">
        <f>"1552374563429280"</f>
        <v>1552374563429280</v>
      </c>
      <c r="C10349" t="s">
        <v>40</v>
      </c>
      <c r="D10349">
        <v>4.4689579999999998</v>
      </c>
      <c r="E10349">
        <v>0.52656530000000001</v>
      </c>
      <c r="F10349" t="s">
        <v>42</v>
      </c>
      <c r="G10349">
        <v>-182.84270000000001</v>
      </c>
      <c r="H10349" s="1">
        <v>-3.3300069999999999E-6</v>
      </c>
      <c r="I10349">
        <v>93.837339999999998</v>
      </c>
      <c r="J10349">
        <v>-187.48159999999999</v>
      </c>
      <c r="K10349">
        <v>1.109782</v>
      </c>
      <c r="L10349">
        <v>57.531619999999997</v>
      </c>
      <c r="M10349">
        <v>-3.3989909999999998E-2</v>
      </c>
      <c r="N10349">
        <v>0</v>
      </c>
      <c r="O10349">
        <v>0.99935469999999904</v>
      </c>
      <c r="P10349">
        <v>5.9992940000000002E-2</v>
      </c>
      <c r="Q10349">
        <v>0.12790180000000001</v>
      </c>
      <c r="R10349">
        <v>0.98997069999999998</v>
      </c>
      <c r="S10349">
        <v>0.38002010000000003</v>
      </c>
      <c r="T10349">
        <v>-9.1210719999999995E-2</v>
      </c>
      <c r="U10349">
        <v>3.0197750000000001</v>
      </c>
      <c r="V10349">
        <v>9.3699480000000002E-2</v>
      </c>
      <c r="W10349">
        <v>0.13930149999999999</v>
      </c>
      <c r="X10349">
        <v>0.98580699999999999</v>
      </c>
      <c r="Y10349">
        <v>0.1584573</v>
      </c>
      <c r="Z10349">
        <v>-2.9856150000000001E-2</v>
      </c>
      <c r="AA10349">
        <v>0.98691430000000002</v>
      </c>
      <c r="AB10349">
        <v>43</v>
      </c>
      <c r="AC10349">
        <v>4.6388999999999703</v>
      </c>
      <c r="AD10349">
        <v>-1.109785330007</v>
      </c>
      <c r="AE10349">
        <v>36.305720000000001</v>
      </c>
      <c r="AF10349">
        <v>5.8649384468987602</v>
      </c>
      <c r="AG10349">
        <v>-1.109785330007</v>
      </c>
      <c r="AH10349">
        <v>36.093868465624801</v>
      </c>
      <c r="AI10349">
        <v>91.738344515575207</v>
      </c>
      <c r="AJ10349">
        <v>80.7706012033413</v>
      </c>
      <c r="AK10349">
        <v>36.5841012911132</v>
      </c>
      <c r="AL10349">
        <v>81.9925706755443</v>
      </c>
      <c r="AM10349">
        <v>84.570433329897099</v>
      </c>
      <c r="AN10349">
        <v>0.99999997085175896</v>
      </c>
    </row>
    <row r="10350" spans="1:40" x14ac:dyDescent="0.25">
      <c r="A10350" t="str">
        <f>"20190312150923449"</f>
        <v>20190312150923449</v>
      </c>
      <c r="B10350" t="str">
        <f>"1552374563439041"</f>
        <v>1552374563439041</v>
      </c>
      <c r="C10350" t="s">
        <v>40</v>
      </c>
      <c r="D10350">
        <v>4.4677930000000003</v>
      </c>
      <c r="E10350">
        <v>0.52655929999999995</v>
      </c>
      <c r="F10350" t="s">
        <v>42</v>
      </c>
      <c r="G10350">
        <v>-182.94669999999999</v>
      </c>
      <c r="H10350" s="1">
        <v>-3.0779319999999998E-6</v>
      </c>
      <c r="I10350">
        <v>93.177909999999997</v>
      </c>
      <c r="J10350">
        <v>-187.4898</v>
      </c>
      <c r="K10350">
        <v>1.109734</v>
      </c>
      <c r="L10350">
        <v>57.778869999999998</v>
      </c>
      <c r="M10350">
        <v>-3.375976E-2</v>
      </c>
      <c r="N10350">
        <v>0</v>
      </c>
      <c r="O10350">
        <v>0.99936210000000003</v>
      </c>
      <c r="P10350">
        <v>6.0860879999999999E-2</v>
      </c>
      <c r="Q10350">
        <v>0.1278793</v>
      </c>
      <c r="R10350">
        <v>0.98992060000000004</v>
      </c>
      <c r="S10350">
        <v>0.38410949999999999</v>
      </c>
      <c r="T10350">
        <v>-9.3999269999999996E-2</v>
      </c>
      <c r="U10350">
        <v>3.0192570000000001</v>
      </c>
      <c r="V10350">
        <v>9.4353670000000001E-2</v>
      </c>
      <c r="W10350">
        <v>0.13930200000000001</v>
      </c>
      <c r="X10350">
        <v>0.98574450000000002</v>
      </c>
      <c r="Y10350">
        <v>0.15956300000000001</v>
      </c>
      <c r="Z10350">
        <v>-3.076831E-2</v>
      </c>
      <c r="AA10350">
        <v>0.98670820000000004</v>
      </c>
      <c r="AB10350">
        <v>43</v>
      </c>
      <c r="AC10350">
        <v>4.5431000000000097</v>
      </c>
      <c r="AD10350">
        <v>-1.1097370779319999</v>
      </c>
      <c r="AE10350">
        <v>35.399039999999999</v>
      </c>
      <c r="AF10350">
        <v>5.7301139470189604</v>
      </c>
      <c r="AG10350">
        <v>-1.1097370779319999</v>
      </c>
      <c r="AH10350">
        <v>35.191449521474397</v>
      </c>
      <c r="AI10350">
        <v>91.782720480651903</v>
      </c>
      <c r="AJ10350">
        <v>80.751867662077501</v>
      </c>
      <c r="AK10350">
        <v>35.672171810116097</v>
      </c>
      <c r="AL10350">
        <v>81.992541503073397</v>
      </c>
      <c r="AM10350">
        <v>84.5324095982469</v>
      </c>
      <c r="AN10350">
        <v>0.99999994076335696</v>
      </c>
    </row>
    <row r="10351" spans="1:40" x14ac:dyDescent="0.25">
      <c r="A10351" t="str">
        <f>"20190312150923470"</f>
        <v>20190312150923470</v>
      </c>
      <c r="B10351" t="str">
        <f>"1552374563459539"</f>
        <v>1552374563459539</v>
      </c>
      <c r="C10351" t="s">
        <v>40</v>
      </c>
      <c r="D10351">
        <v>4.4675929999999999</v>
      </c>
      <c r="E10351">
        <v>0.52647409999999994</v>
      </c>
      <c r="F10351" t="s">
        <v>42</v>
      </c>
      <c r="G10351">
        <v>-182.9203</v>
      </c>
      <c r="H10351" s="1">
        <v>-3.1737849999999998E-6</v>
      </c>
      <c r="I10351">
        <v>93.438990000000004</v>
      </c>
      <c r="J10351">
        <v>-187.50280000000001</v>
      </c>
      <c r="K10351">
        <v>1.1096539999999999</v>
      </c>
      <c r="L10351">
        <v>58.175379999999997</v>
      </c>
      <c r="M10351">
        <v>-3.331866E-2</v>
      </c>
      <c r="N10351">
        <v>0</v>
      </c>
      <c r="O10351">
        <v>0.9993763</v>
      </c>
      <c r="P10351">
        <v>6.2152739999999998E-2</v>
      </c>
      <c r="Q10351">
        <v>0.12767229999999999</v>
      </c>
      <c r="R10351">
        <v>0.9898671</v>
      </c>
      <c r="S10351">
        <v>0.38684079999999998</v>
      </c>
      <c r="T10351">
        <v>-9.3947409999999995E-2</v>
      </c>
      <c r="U10351">
        <v>3.0188899999999999</v>
      </c>
      <c r="V10351">
        <v>9.5234669999999993E-2</v>
      </c>
      <c r="W10351">
        <v>0.13912449999999901</v>
      </c>
      <c r="X10351">
        <v>0.98568489999999997</v>
      </c>
      <c r="Y10351">
        <v>0.16002069999999999</v>
      </c>
      <c r="Z10351">
        <v>-3.0752829999999998E-2</v>
      </c>
      <c r="AA10351">
        <v>0.98663449999999997</v>
      </c>
      <c r="AB10351">
        <v>43</v>
      </c>
      <c r="AC10351">
        <v>4.5824999999999996</v>
      </c>
      <c r="AD10351">
        <v>-1.1096571737850001</v>
      </c>
      <c r="AE10351">
        <v>35.26361</v>
      </c>
      <c r="AF10351">
        <v>5.7493735008820996</v>
      </c>
      <c r="AG10351">
        <v>-1.1096571737850001</v>
      </c>
      <c r="AH10351">
        <v>35.057197765369303</v>
      </c>
      <c r="AI10351">
        <v>91.789080411054002</v>
      </c>
      <c r="AJ10351">
        <v>80.686412124302606</v>
      </c>
      <c r="AK10351">
        <v>35.542843862811502</v>
      </c>
      <c r="AL10351">
        <v>82.002811949956595</v>
      </c>
      <c r="AM10351">
        <v>84.481339635072302</v>
      </c>
      <c r="AN10351">
        <v>0.99999999547913399</v>
      </c>
    </row>
    <row r="10352" spans="1:40" x14ac:dyDescent="0.25">
      <c r="A10352" t="str">
        <f>"20190312150923482"</f>
        <v>20190312150923482</v>
      </c>
      <c r="B10352" t="str">
        <f>"1552374563479056"</f>
        <v>1552374563479056</v>
      </c>
      <c r="C10352" t="s">
        <v>40</v>
      </c>
      <c r="D10352">
        <v>4.4896310000000001</v>
      </c>
      <c r="E10352">
        <v>0.52638479999999999</v>
      </c>
      <c r="F10352" t="s">
        <v>42</v>
      </c>
      <c r="G10352">
        <v>-182.9119</v>
      </c>
      <c r="H10352" s="1">
        <v>-3.2600359999999999E-6</v>
      </c>
      <c r="I10352">
        <v>93.685839999999999</v>
      </c>
      <c r="J10352">
        <v>-187.51089999999999</v>
      </c>
      <c r="K10352">
        <v>1.109602</v>
      </c>
      <c r="L10352">
        <v>58.4223</v>
      </c>
      <c r="M10352">
        <v>-3.3006830000000001E-2</v>
      </c>
      <c r="N10352">
        <v>0</v>
      </c>
      <c r="O10352">
        <v>0.99938629999999995</v>
      </c>
      <c r="P10352">
        <v>6.2721520000000003E-2</v>
      </c>
      <c r="Q10352">
        <v>0.12768160000000001</v>
      </c>
      <c r="R10352">
        <v>0.98982999999999999</v>
      </c>
      <c r="S10352">
        <v>0.39022829999999997</v>
      </c>
      <c r="T10352">
        <v>-9.4320299999999996E-2</v>
      </c>
      <c r="U10352">
        <v>3.0183719999999998</v>
      </c>
      <c r="V10352">
        <v>9.5511910000000005E-2</v>
      </c>
      <c r="W10352">
        <v>0.13915</v>
      </c>
      <c r="X10352">
        <v>0.98565449999999999</v>
      </c>
      <c r="Y10352">
        <v>0.16082279999999999</v>
      </c>
      <c r="Z10352">
        <v>-3.0876290000000001E-2</v>
      </c>
      <c r="AA10352">
        <v>0.98650020000000005</v>
      </c>
      <c r="AB10352">
        <v>43</v>
      </c>
      <c r="AC10352">
        <v>4.5989999999999798</v>
      </c>
      <c r="AD10352">
        <v>-1.109605260036</v>
      </c>
      <c r="AE10352">
        <v>35.263539999999999</v>
      </c>
      <c r="AF10352">
        <v>5.7549088015252599</v>
      </c>
      <c r="AG10352">
        <v>-1.109605260036</v>
      </c>
      <c r="AH10352">
        <v>35.058383058570698</v>
      </c>
      <c r="AI10352">
        <v>91.788892805734704</v>
      </c>
      <c r="AJ10352">
        <v>80.677912314004402</v>
      </c>
      <c r="AK10352">
        <v>35.5449071152036</v>
      </c>
      <c r="AL10352">
        <v>82.001336757305793</v>
      </c>
      <c r="AM10352">
        <v>84.465204094310494</v>
      </c>
      <c r="AN10352">
        <v>1.00000002041104</v>
      </c>
    </row>
    <row r="10353" spans="1:40" x14ac:dyDescent="0.25">
      <c r="A10353" t="str">
        <f>"20190312150923505"</f>
        <v>20190312150923505</v>
      </c>
      <c r="B10353" t="str">
        <f>"1552374563499552"</f>
        <v>1552374563499552</v>
      </c>
      <c r="C10353" t="s">
        <v>40</v>
      </c>
      <c r="D10353">
        <v>4.4882390000000001</v>
      </c>
      <c r="E10353">
        <v>0.52634289999999995</v>
      </c>
      <c r="F10353" t="s">
        <v>42</v>
      </c>
      <c r="G10353">
        <v>-182.89089999999999</v>
      </c>
      <c r="H10353" s="1">
        <v>-3.3880040000000001E-6</v>
      </c>
      <c r="I10353">
        <v>94.045479999999998</v>
      </c>
      <c r="J10353">
        <v>-187.52379999999999</v>
      </c>
      <c r="K10353">
        <v>1.10951</v>
      </c>
      <c r="L10353">
        <v>58.828060000000001</v>
      </c>
      <c r="M10353">
        <v>-3.2421899999999997E-2</v>
      </c>
      <c r="N10353">
        <v>0</v>
      </c>
      <c r="O10353">
        <v>0.99940490000000004</v>
      </c>
      <c r="P10353">
        <v>6.3949019999999995E-2</v>
      </c>
      <c r="Q10353">
        <v>0.1278289</v>
      </c>
      <c r="R10353">
        <v>0.98973239999999996</v>
      </c>
      <c r="S10353">
        <v>0.3914185</v>
      </c>
      <c r="T10353">
        <v>-9.4009880000000004E-2</v>
      </c>
      <c r="U10353">
        <v>3.0181269999999998</v>
      </c>
      <c r="V10353">
        <v>9.6187700000000001E-2</v>
      </c>
      <c r="W10353">
        <v>0.13931760000000001</v>
      </c>
      <c r="X10353">
        <v>0.98556509999999997</v>
      </c>
      <c r="Y10353">
        <v>0.16063829999999901</v>
      </c>
      <c r="Z10353">
        <v>-3.0777820000000001E-2</v>
      </c>
      <c r="AA10353">
        <v>0.98653329999999995</v>
      </c>
      <c r="AB10353">
        <v>43</v>
      </c>
      <c r="AC10353">
        <v>4.6329000000000002</v>
      </c>
      <c r="AD10353">
        <v>-1.109513388004</v>
      </c>
      <c r="AE10353">
        <v>35.217419999999997</v>
      </c>
      <c r="AF10353">
        <v>5.7667324898620498</v>
      </c>
      <c r="AG10353">
        <v>-1.109513388004</v>
      </c>
      <c r="AH10353">
        <v>35.014522541793802</v>
      </c>
      <c r="AI10353">
        <v>91.790828305796694</v>
      </c>
      <c r="AJ10353">
        <v>80.647602784033495</v>
      </c>
      <c r="AK10353">
        <v>35.503563376055297</v>
      </c>
      <c r="AL10353">
        <v>81.991639500397895</v>
      </c>
      <c r="AM10353">
        <v>84.425786242471105</v>
      </c>
      <c r="AN10353">
        <v>1.00000001681952</v>
      </c>
    </row>
    <row r="10354" spans="1:40" x14ac:dyDescent="0.25">
      <c r="A10354" t="str">
        <f>"20190312150923526"</f>
        <v>20190312150923526</v>
      </c>
      <c r="B10354" t="str">
        <f>"1552374563519074"</f>
        <v>1552374563519074</v>
      </c>
      <c r="C10354" t="s">
        <v>40</v>
      </c>
      <c r="D10354">
        <v>4.5062550000000003</v>
      </c>
      <c r="E10354">
        <v>0.52625200000000005</v>
      </c>
      <c r="F10354" t="s">
        <v>42</v>
      </c>
      <c r="G10354">
        <v>-182.9023</v>
      </c>
      <c r="H10354" s="1">
        <v>-3.4164949999999999E-6</v>
      </c>
      <c r="I10354">
        <v>94.138050000000007</v>
      </c>
      <c r="J10354">
        <v>-187.5368</v>
      </c>
      <c r="K10354">
        <v>1.109423</v>
      </c>
      <c r="L10354">
        <v>59.250399999999999</v>
      </c>
      <c r="M10354">
        <v>-3.1719520000000001E-2</v>
      </c>
      <c r="N10354">
        <v>0</v>
      </c>
      <c r="O10354">
        <v>0.99942699999999995</v>
      </c>
      <c r="P10354">
        <v>6.5536339999999998E-2</v>
      </c>
      <c r="Q10354">
        <v>0.1278666</v>
      </c>
      <c r="R10354">
        <v>0.9896237</v>
      </c>
      <c r="S10354">
        <v>0.39498899999999998</v>
      </c>
      <c r="T10354">
        <v>-9.4827179999999997E-2</v>
      </c>
      <c r="U10354">
        <v>3.0178530000000001</v>
      </c>
      <c r="V10354">
        <v>9.710763E-2</v>
      </c>
      <c r="W10354">
        <v>0.13937099999999999</v>
      </c>
      <c r="X10354">
        <v>0.98546730000000005</v>
      </c>
      <c r="Y10354">
        <v>0.16110269999999999</v>
      </c>
      <c r="Z10354">
        <v>-3.1045449999999999E-2</v>
      </c>
      <c r="AA10354">
        <v>0.98644920000000003</v>
      </c>
      <c r="AB10354">
        <v>43</v>
      </c>
      <c r="AC10354">
        <v>4.6345000000000001</v>
      </c>
      <c r="AD10354">
        <v>-1.1094264164950001</v>
      </c>
      <c r="AE10354">
        <v>34.887650000000001</v>
      </c>
      <c r="AF10354">
        <v>5.7331673035896404</v>
      </c>
      <c r="AG10354">
        <v>-1.1094264164950001</v>
      </c>
      <c r="AH10354">
        <v>34.688607868692202</v>
      </c>
      <c r="AI10354">
        <v>91.807333016352501</v>
      </c>
      <c r="AJ10354">
        <v>80.615264558769695</v>
      </c>
      <c r="AK10354">
        <v>35.176690438022497</v>
      </c>
      <c r="AL10354">
        <v>81.988549492879201</v>
      </c>
      <c r="AM10354">
        <v>84.372260677198199</v>
      </c>
      <c r="AN10354">
        <v>0.99999998340725305</v>
      </c>
    </row>
    <row r="10355" spans="1:40" x14ac:dyDescent="0.25">
      <c r="A10355" t="str">
        <f>"20190312150923548"</f>
        <v>20190312150923548</v>
      </c>
      <c r="B10355" t="str">
        <f>"1552374563539569"</f>
        <v>1552374563539569</v>
      </c>
      <c r="C10355" t="s">
        <v>40</v>
      </c>
      <c r="D10355">
        <v>4.4869719999999997</v>
      </c>
      <c r="E10355">
        <v>0.5261673</v>
      </c>
      <c r="F10355" t="s">
        <v>42</v>
      </c>
      <c r="G10355">
        <v>-182.85480000000001</v>
      </c>
      <c r="H10355" s="1">
        <v>-3.5979159999999999E-6</v>
      </c>
      <c r="I10355">
        <v>94.63409</v>
      </c>
      <c r="J10355">
        <v>-187.5497</v>
      </c>
      <c r="K10355">
        <v>1.1093409999999999</v>
      </c>
      <c r="L10355">
        <v>59.675989999999999</v>
      </c>
      <c r="M10355">
        <v>-3.0928589999999999E-2</v>
      </c>
      <c r="N10355">
        <v>0</v>
      </c>
      <c r="O10355">
        <v>0.99945139999999999</v>
      </c>
      <c r="P10355">
        <v>6.7245479999999996E-2</v>
      </c>
      <c r="Q10355">
        <v>0.12756680000000001</v>
      </c>
      <c r="R10355">
        <v>0.98954770000000003</v>
      </c>
      <c r="S10355">
        <v>0.3992462</v>
      </c>
      <c r="T10355">
        <v>-9.4603179999999995E-2</v>
      </c>
      <c r="U10355">
        <v>3.017242</v>
      </c>
      <c r="V10355">
        <v>9.8061270000000006E-2</v>
      </c>
      <c r="W10355">
        <v>0.1390825</v>
      </c>
      <c r="X10355">
        <v>0.98541369999999895</v>
      </c>
      <c r="Y10355">
        <v>0.16171579999999999</v>
      </c>
      <c r="Z10355">
        <v>-3.097515E-2</v>
      </c>
      <c r="AA10355">
        <v>0.98635110000000004</v>
      </c>
      <c r="AB10355">
        <v>43</v>
      </c>
      <c r="AC10355">
        <v>4.6948999999999899</v>
      </c>
      <c r="AD10355">
        <v>-1.1093445979159999</v>
      </c>
      <c r="AE10355">
        <v>34.958099999999902</v>
      </c>
      <c r="AF10355">
        <v>5.7682284402181701</v>
      </c>
      <c r="AG10355">
        <v>-1.1093445979159999</v>
      </c>
      <c r="AH10355">
        <v>34.761771223202501</v>
      </c>
      <c r="AI10355">
        <v>91.803206772065394</v>
      </c>
      <c r="AJ10355">
        <v>80.578416596119695</v>
      </c>
      <c r="AK10355">
        <v>35.254557767042499</v>
      </c>
      <c r="AL10355">
        <v>82.005242495592</v>
      </c>
      <c r="AM10355">
        <v>84.317046687254702</v>
      </c>
      <c r="AN10355">
        <v>1.00000005731397</v>
      </c>
    </row>
    <row r="10356" spans="1:40" x14ac:dyDescent="0.25">
      <c r="A10356" t="str">
        <f>"20190312150923571"</f>
        <v>20190312150923571</v>
      </c>
      <c r="B10356" t="str">
        <f>"1552374563559089"</f>
        <v>1552374563559089</v>
      </c>
      <c r="C10356" t="s">
        <v>40</v>
      </c>
      <c r="D10356">
        <v>4.4891300000000003</v>
      </c>
      <c r="E10356">
        <v>0.52611049999999904</v>
      </c>
      <c r="F10356" t="s">
        <v>42</v>
      </c>
      <c r="G10356">
        <v>-182.84739999999999</v>
      </c>
      <c r="H10356" s="1">
        <v>-3.6455690000000001E-6</v>
      </c>
      <c r="I10356">
        <v>94.76831</v>
      </c>
      <c r="J10356">
        <v>-187.56229999999999</v>
      </c>
      <c r="K10356">
        <v>1.1092630000000001</v>
      </c>
      <c r="L10356">
        <v>60.108220000000003</v>
      </c>
      <c r="M10356">
        <v>-3.005766E-2</v>
      </c>
      <c r="N10356">
        <v>0</v>
      </c>
      <c r="O10356">
        <v>0.99947759999999997</v>
      </c>
      <c r="P10356">
        <v>6.9767889999999999E-2</v>
      </c>
      <c r="Q10356">
        <v>0.12769910000000001</v>
      </c>
      <c r="R10356">
        <v>0.98935600000000001</v>
      </c>
      <c r="S10356">
        <v>0.40420529999999999</v>
      </c>
      <c r="T10356">
        <v>-9.5358490000000004E-2</v>
      </c>
      <c r="U10356">
        <v>3.0165099999999998</v>
      </c>
      <c r="V10356">
        <v>9.9743750000000006E-2</v>
      </c>
      <c r="W10356">
        <v>0.13922079999999901</v>
      </c>
      <c r="X10356">
        <v>0.98522529999999997</v>
      </c>
      <c r="Y10356">
        <v>0.16247929999999999</v>
      </c>
      <c r="Z10356">
        <v>-3.1225630000000001E-2</v>
      </c>
      <c r="AA10356">
        <v>0.98621769999999997</v>
      </c>
      <c r="AB10356">
        <v>43</v>
      </c>
      <c r="AC10356">
        <v>4.7149000000000001</v>
      </c>
      <c r="AD10356">
        <v>-1.1092666455689999</v>
      </c>
      <c r="AE10356">
        <v>34.660089999999997</v>
      </c>
      <c r="AF10356">
        <v>5.7488626603605404</v>
      </c>
      <c r="AG10356">
        <v>-1.1092666455689999</v>
      </c>
      <c r="AH10356">
        <v>34.468035355572603</v>
      </c>
      <c r="AI10356">
        <v>91.818184990393803</v>
      </c>
      <c r="AJ10356">
        <v>80.530901020856604</v>
      </c>
      <c r="AK10356">
        <v>34.9617699158904</v>
      </c>
      <c r="AL10356">
        <v>81.997240736814604</v>
      </c>
      <c r="AM10356">
        <v>84.219098643462402</v>
      </c>
      <c r="AN10356">
        <v>1.0000000692883899</v>
      </c>
    </row>
    <row r="10357" spans="1:40" x14ac:dyDescent="0.25">
      <c r="A10357" t="str">
        <f>"20190312150923593"</f>
        <v>20190312150923593</v>
      </c>
      <c r="B10357" t="str">
        <f>"1552374563589344"</f>
        <v>1552374563589344</v>
      </c>
      <c r="C10357" t="s">
        <v>40</v>
      </c>
      <c r="D10357">
        <v>4.4391319999999999</v>
      </c>
      <c r="E10357">
        <v>0.52706319999999995</v>
      </c>
      <c r="F10357" t="s">
        <v>42</v>
      </c>
      <c r="G10357">
        <v>-182.81729999999999</v>
      </c>
      <c r="H10357" s="1">
        <v>-3.6940090000000002E-6</v>
      </c>
      <c r="I10357">
        <v>94.887140000000002</v>
      </c>
      <c r="J10357">
        <v>-187.57409999999999</v>
      </c>
      <c r="K10357">
        <v>1.109197</v>
      </c>
      <c r="L10357">
        <v>60.526730000000001</v>
      </c>
      <c r="M10357">
        <v>-2.9162339999999998E-2</v>
      </c>
      <c r="N10357">
        <v>0</v>
      </c>
      <c r="O10357">
        <v>0.99950380000000005</v>
      </c>
      <c r="P10357">
        <v>7.2557860000000002E-2</v>
      </c>
      <c r="Q10357">
        <v>0.12746279999999999</v>
      </c>
      <c r="R10357">
        <v>0.9891858</v>
      </c>
      <c r="S10357">
        <v>0.41143800000000003</v>
      </c>
      <c r="T10357">
        <v>-9.6184729999999996E-2</v>
      </c>
      <c r="U10357">
        <v>3.0156860000000001</v>
      </c>
      <c r="V10357">
        <v>0.10166600000000001</v>
      </c>
      <c r="W10357">
        <v>0.13898750000000001</v>
      </c>
      <c r="X10357">
        <v>0.98506159999999998</v>
      </c>
      <c r="Y10357">
        <v>0.1639524</v>
      </c>
      <c r="Z10357">
        <v>-3.1496799999999998E-2</v>
      </c>
      <c r="AA10357">
        <v>0.98596530000000004</v>
      </c>
      <c r="AB10357">
        <v>43</v>
      </c>
      <c r="AC10357">
        <v>4.7567999999999904</v>
      </c>
      <c r="AD10357">
        <v>-1.109200694009</v>
      </c>
      <c r="AE10357">
        <v>34.360409999999902</v>
      </c>
      <c r="AF10357">
        <v>5.7509972214010503</v>
      </c>
      <c r="AG10357">
        <v>-1.109200694009</v>
      </c>
      <c r="AH10357">
        <v>34.172124151973499</v>
      </c>
      <c r="AI10357">
        <v>91.833359841742407</v>
      </c>
      <c r="AJ10357">
        <v>80.446927406904194</v>
      </c>
      <c r="AK10357">
        <v>34.670424922086603</v>
      </c>
      <c r="AL10357">
        <v>82.010737941269497</v>
      </c>
      <c r="AM10357">
        <v>84.107493922741</v>
      </c>
      <c r="AN10357">
        <v>0.999999928253402</v>
      </c>
    </row>
    <row r="10358" spans="1:40" x14ac:dyDescent="0.25">
      <c r="A10358" t="str">
        <f>"20190312150923615"</f>
        <v>20190312150923615</v>
      </c>
      <c r="B10358" t="str">
        <f>"1552374563609841"</f>
        <v>1552374563609841</v>
      </c>
      <c r="C10358" t="s">
        <v>40</v>
      </c>
      <c r="D10358">
        <v>4.4563009999999998</v>
      </c>
      <c r="E10358">
        <v>0.52782790000000002</v>
      </c>
      <c r="F10358" t="s">
        <v>42</v>
      </c>
      <c r="G10358">
        <v>-182.6292</v>
      </c>
      <c r="H10358" s="1">
        <v>-3.9006009999999998E-6</v>
      </c>
      <c r="I10358">
        <v>95.347120000000004</v>
      </c>
      <c r="J10358">
        <v>-187.5857</v>
      </c>
      <c r="K10358">
        <v>1.109135</v>
      </c>
      <c r="L10358">
        <v>60.950710000000001</v>
      </c>
      <c r="M10358">
        <v>-2.8215259999999999E-2</v>
      </c>
      <c r="N10358">
        <v>0</v>
      </c>
      <c r="O10358">
        <v>0.99953069999999999</v>
      </c>
      <c r="P10358">
        <v>7.6007679999999994E-2</v>
      </c>
      <c r="Q10358">
        <v>0.1270135</v>
      </c>
      <c r="R10358">
        <v>0.98898450000000004</v>
      </c>
      <c r="S10358">
        <v>0.42799379999999998</v>
      </c>
      <c r="T10358">
        <v>-9.6003169999999999E-2</v>
      </c>
      <c r="U10358">
        <v>3.013763</v>
      </c>
      <c r="V10358">
        <v>0.1041931</v>
      </c>
      <c r="W10358">
        <v>0.13853750000000001</v>
      </c>
      <c r="X10358">
        <v>0.98486099999999999</v>
      </c>
      <c r="Y10358">
        <v>0.1684137</v>
      </c>
      <c r="Z10358">
        <v>-3.1434799999999999E-2</v>
      </c>
      <c r="AA10358">
        <v>0.98521510000000001</v>
      </c>
      <c r="AB10358">
        <v>43</v>
      </c>
      <c r="AC10358">
        <v>4.9565000000000001</v>
      </c>
      <c r="AD10358">
        <v>-1.109138900601</v>
      </c>
      <c r="AE10358">
        <v>34.396409999999896</v>
      </c>
      <c r="AF10358">
        <v>5.9190696974130201</v>
      </c>
      <c r="AG10358">
        <v>-1.109138900601</v>
      </c>
      <c r="AH10358">
        <v>34.208009341493103</v>
      </c>
      <c r="AI10358">
        <v>91.829898975627401</v>
      </c>
      <c r="AJ10358">
        <v>80.183215619811094</v>
      </c>
      <c r="AK10358">
        <v>34.7340391876807</v>
      </c>
      <c r="AL10358">
        <v>82.036773611149997</v>
      </c>
      <c r="AM10358">
        <v>83.960872853793703</v>
      </c>
      <c r="AN10358">
        <v>1.00000001515742</v>
      </c>
    </row>
    <row r="10359" spans="1:40" x14ac:dyDescent="0.25">
      <c r="A10359" t="str">
        <f>"20190312150923628"</f>
        <v>20190312150923628</v>
      </c>
      <c r="B10359" t="str">
        <f>"1552374563619602"</f>
        <v>1552374563619602</v>
      </c>
      <c r="C10359" t="s">
        <v>40</v>
      </c>
      <c r="D10359">
        <v>4.394539</v>
      </c>
      <c r="E10359">
        <v>0.52814179999999999</v>
      </c>
      <c r="F10359" t="s">
        <v>42</v>
      </c>
      <c r="G10359">
        <v>-182.4718</v>
      </c>
      <c r="H10359" s="1">
        <v>-4.0200259999999999E-6</v>
      </c>
      <c r="I10359">
        <v>95.575010000000006</v>
      </c>
      <c r="J10359">
        <v>-187.59280000000001</v>
      </c>
      <c r="K10359">
        <v>1.1090990000000001</v>
      </c>
      <c r="L10359">
        <v>61.214939999999999</v>
      </c>
      <c r="M10359">
        <v>-2.7610849999999999E-2</v>
      </c>
      <c r="N10359">
        <v>0</v>
      </c>
      <c r="O10359">
        <v>0.99954739999999997</v>
      </c>
      <c r="P10359">
        <v>7.7604320000000004E-2</v>
      </c>
      <c r="Q10359">
        <v>0.1269641</v>
      </c>
      <c r="R10359">
        <v>0.98886689999999999</v>
      </c>
      <c r="S10359">
        <v>0.44480900000000001</v>
      </c>
      <c r="T10359">
        <v>-9.6473100000000006E-2</v>
      </c>
      <c r="U10359">
        <v>3.0116269999999998</v>
      </c>
      <c r="V10359">
        <v>0.1052004</v>
      </c>
      <c r="W10359">
        <v>0.1384888</v>
      </c>
      <c r="X10359">
        <v>0.98476079999999999</v>
      </c>
      <c r="Y10359">
        <v>0.17329990000000001</v>
      </c>
      <c r="Z10359">
        <v>-3.1585410000000001E-2</v>
      </c>
      <c r="AA10359">
        <v>0.98436250000000003</v>
      </c>
      <c r="AB10359">
        <v>43</v>
      </c>
      <c r="AC10359">
        <v>5.1210000000000004</v>
      </c>
      <c r="AD10359">
        <v>-1.1091030200259999</v>
      </c>
      <c r="AE10359">
        <v>34.360069999999901</v>
      </c>
      <c r="AF10359">
        <v>6.0616472063109601</v>
      </c>
      <c r="AG10359">
        <v>-1.1091030200259999</v>
      </c>
      <c r="AH10359">
        <v>34.170733411993901</v>
      </c>
      <c r="AI10359">
        <v>91.830477918549093</v>
      </c>
      <c r="AJ10359">
        <v>79.940776924003202</v>
      </c>
      <c r="AK10359">
        <v>34.721933965094202</v>
      </c>
      <c r="AL10359">
        <v>82.039591373837794</v>
      </c>
      <c r="AM10359">
        <v>83.902310800117405</v>
      </c>
      <c r="AN10359">
        <v>1.0000000525511099</v>
      </c>
    </row>
    <row r="10360" spans="1:40" x14ac:dyDescent="0.25">
      <c r="A10360" t="str">
        <f>"20190312150923641"</f>
        <v>20190312150923641</v>
      </c>
      <c r="B10360" t="str">
        <f>"1552374563629360"</f>
        <v>1552374563629360</v>
      </c>
      <c r="C10360" t="s">
        <v>40</v>
      </c>
      <c r="D10360">
        <v>4.4602089999999999</v>
      </c>
      <c r="E10360">
        <v>0.52847270000000002</v>
      </c>
      <c r="F10360" t="s">
        <v>42</v>
      </c>
      <c r="G10360">
        <v>-182.3972</v>
      </c>
      <c r="H10360" s="1">
        <v>-4.1172070000000001E-6</v>
      </c>
      <c r="I10360">
        <v>95.802220000000005</v>
      </c>
      <c r="J10360">
        <v>-187.5992</v>
      </c>
      <c r="K10360">
        <v>1.109065</v>
      </c>
      <c r="L10360">
        <v>61.461640000000003</v>
      </c>
      <c r="M10360">
        <v>-2.7038389999999999E-2</v>
      </c>
      <c r="N10360">
        <v>0</v>
      </c>
      <c r="O10360">
        <v>0.99956299999999998</v>
      </c>
      <c r="P10360">
        <v>7.9219639999999994E-2</v>
      </c>
      <c r="Q10360">
        <v>0.12660839999999901</v>
      </c>
      <c r="R10360">
        <v>0.98878440000000001</v>
      </c>
      <c r="S10360">
        <v>0.45225520000000002</v>
      </c>
      <c r="T10360">
        <v>-9.6542840000000005E-2</v>
      </c>
      <c r="U10360">
        <v>3.0106809999999999</v>
      </c>
      <c r="V10360">
        <v>0.1062565</v>
      </c>
      <c r="W10360">
        <v>0.13813320000000001</v>
      </c>
      <c r="X10360">
        <v>0.9846973</v>
      </c>
      <c r="Y10360">
        <v>0.17516189999999901</v>
      </c>
      <c r="Z10360">
        <v>-3.160781E-2</v>
      </c>
      <c r="AA10360">
        <v>0.98403220000000002</v>
      </c>
      <c r="AB10360">
        <v>43</v>
      </c>
      <c r="AC10360">
        <v>5.2019999999999902</v>
      </c>
      <c r="AD10360">
        <v>-1.109069117207</v>
      </c>
      <c r="AE10360">
        <v>34.340579999999903</v>
      </c>
      <c r="AF10360">
        <v>6.1224354147792699</v>
      </c>
      <c r="AG10360">
        <v>-1.109069117207</v>
      </c>
      <c r="AH10360">
        <v>34.1525359556165</v>
      </c>
      <c r="AI10360">
        <v>91.830803835061104</v>
      </c>
      <c r="AJ10360">
        <v>79.836690525812301</v>
      </c>
      <c r="AK10360">
        <v>34.7146937465184</v>
      </c>
      <c r="AL10360">
        <v>82.060163043186193</v>
      </c>
      <c r="AM10360">
        <v>83.841170483349103</v>
      </c>
      <c r="AN10360">
        <v>0.99999999868088896</v>
      </c>
    </row>
    <row r="10361" spans="1:40" x14ac:dyDescent="0.25">
      <c r="A10361" t="str">
        <f>"20190312150923659"</f>
        <v>20190312150923659</v>
      </c>
      <c r="B10361" t="str">
        <f>"1552374563649856"</f>
        <v>1552374563649856</v>
      </c>
      <c r="C10361" t="s">
        <v>40</v>
      </c>
      <c r="D10361">
        <v>4.4768800000000004</v>
      </c>
      <c r="E10361">
        <v>0.52912729999999997</v>
      </c>
      <c r="F10361" t="s">
        <v>42</v>
      </c>
      <c r="G10361">
        <v>-182.36340000000001</v>
      </c>
      <c r="H10361" s="1">
        <v>-4.0976270000000001E-6</v>
      </c>
      <c r="I10361">
        <v>95.718289999999996</v>
      </c>
      <c r="J10361">
        <v>-187.6079</v>
      </c>
      <c r="K10361">
        <v>1.1090329999999999</v>
      </c>
      <c r="L10361">
        <v>61.80753</v>
      </c>
      <c r="M10361">
        <v>-2.6226490000000002E-2</v>
      </c>
      <c r="N10361">
        <v>0</v>
      </c>
      <c r="O10361">
        <v>0.99958440000000004</v>
      </c>
      <c r="P10361">
        <v>8.1932640000000001E-2</v>
      </c>
      <c r="Q10361">
        <v>0.1262191</v>
      </c>
      <c r="R10361">
        <v>0.98861310000000002</v>
      </c>
      <c r="S10361">
        <v>0.4599915</v>
      </c>
      <c r="T10361">
        <v>-9.74381E-2</v>
      </c>
      <c r="U10361">
        <v>3.0096440000000002</v>
      </c>
      <c r="V10361">
        <v>0.10817350000000001</v>
      </c>
      <c r="W10361">
        <v>0.1377427</v>
      </c>
      <c r="X10361">
        <v>0.98454330000000001</v>
      </c>
      <c r="Y10361">
        <v>0.17688299999999901</v>
      </c>
      <c r="Z10361">
        <v>-3.1901470000000001E-2</v>
      </c>
      <c r="AA10361">
        <v>0.9837148</v>
      </c>
      <c r="AB10361">
        <v>43</v>
      </c>
      <c r="AC10361">
        <v>5.24449999999998</v>
      </c>
      <c r="AD10361">
        <v>-1.1090370976270001</v>
      </c>
      <c r="AE10361">
        <v>33.910759999999897</v>
      </c>
      <c r="AF10361">
        <v>6.1257207116887296</v>
      </c>
      <c r="AG10361">
        <v>-1.1090370976270001</v>
      </c>
      <c r="AH10361">
        <v>33.7263086081879</v>
      </c>
      <c r="AI10361">
        <v>91.853106831438396</v>
      </c>
      <c r="AJ10361">
        <v>79.705572326355707</v>
      </c>
      <c r="AK10361">
        <v>34.296039273599099</v>
      </c>
      <c r="AL10361">
        <v>82.082753263167007</v>
      </c>
      <c r="AM10361">
        <v>83.729961676247299</v>
      </c>
      <c r="AN10361">
        <v>1.0000000335402099</v>
      </c>
    </row>
    <row r="10362" spans="1:40" x14ac:dyDescent="0.25">
      <c r="A10362" t="str">
        <f>"20190312150923682"</f>
        <v>20190312150923682</v>
      </c>
      <c r="B10362" t="str">
        <f>"1552374563669376"</f>
        <v>1552374563669376</v>
      </c>
      <c r="C10362" t="s">
        <v>40</v>
      </c>
      <c r="D10362">
        <v>4.4630159999999997</v>
      </c>
      <c r="E10362">
        <v>0.52971979999999996</v>
      </c>
      <c r="F10362" t="s">
        <v>42</v>
      </c>
      <c r="G10362">
        <v>-182.25620000000001</v>
      </c>
      <c r="H10362" s="1">
        <v>-4.1530510000000002E-6</v>
      </c>
      <c r="I10362">
        <v>95.797290000000004</v>
      </c>
      <c r="J10362">
        <v>-187.6183</v>
      </c>
      <c r="K10362">
        <v>1.1089899999999999</v>
      </c>
      <c r="L10362">
        <v>62.233490000000003</v>
      </c>
      <c r="M10362">
        <v>-2.5218129999999998E-2</v>
      </c>
      <c r="N10362">
        <v>0</v>
      </c>
      <c r="O10362">
        <v>0.9996102</v>
      </c>
      <c r="P10362">
        <v>8.4380079999999996E-2</v>
      </c>
      <c r="Q10362">
        <v>0.1255597</v>
      </c>
      <c r="R10362">
        <v>0.98849120000000001</v>
      </c>
      <c r="S10362">
        <v>0.47358699999999998</v>
      </c>
      <c r="T10362">
        <v>-9.8141549999999994E-2</v>
      </c>
      <c r="U10362">
        <v>3.0078429999999998</v>
      </c>
      <c r="V10362">
        <v>0.1096328</v>
      </c>
      <c r="W10362">
        <v>0.13708429999999999</v>
      </c>
      <c r="X10362">
        <v>0.98447379999999995</v>
      </c>
      <c r="Y10362">
        <v>0.1803177</v>
      </c>
      <c r="Z10362">
        <v>-3.2130640000000002E-2</v>
      </c>
      <c r="AA10362">
        <v>0.9830835</v>
      </c>
      <c r="AB10362">
        <v>43</v>
      </c>
      <c r="AC10362">
        <v>5.3620999999999901</v>
      </c>
      <c r="AD10362">
        <v>-1.1089941530509999</v>
      </c>
      <c r="AE10362">
        <v>33.563800000000001</v>
      </c>
      <c r="AF10362">
        <v>6.2002708926039301</v>
      </c>
      <c r="AG10362">
        <v>-1.1089941530509999</v>
      </c>
      <c r="AH10362">
        <v>33.382354828410001</v>
      </c>
      <c r="AI10362">
        <v>91.870750340118903</v>
      </c>
      <c r="AJ10362">
        <v>79.478069714937106</v>
      </c>
      <c r="AK10362">
        <v>33.971382678116598</v>
      </c>
      <c r="AL10362">
        <v>82.120838291151202</v>
      </c>
      <c r="AM10362">
        <v>83.645618922595105</v>
      </c>
      <c r="AN10362">
        <v>1.0000000595143801</v>
      </c>
    </row>
    <row r="10363" spans="1:40" x14ac:dyDescent="0.25">
      <c r="A10363" t="str">
        <f>"20190312150923695"</f>
        <v>20190312150923695</v>
      </c>
      <c r="B10363" t="str">
        <f>"1552374563689872"</f>
        <v>1552374563689872</v>
      </c>
      <c r="C10363" t="s">
        <v>40</v>
      </c>
      <c r="D10363">
        <v>4.7518609999999999</v>
      </c>
      <c r="E10363">
        <v>0.5301979</v>
      </c>
      <c r="F10363" t="s">
        <v>42</v>
      </c>
      <c r="G10363">
        <v>-182.20590000000001</v>
      </c>
      <c r="H10363" s="1">
        <v>-4.133336E-6</v>
      </c>
      <c r="I10363">
        <v>95.700029999999998</v>
      </c>
      <c r="J10363">
        <v>-187.62430000000001</v>
      </c>
      <c r="K10363">
        <v>1.1089659999999999</v>
      </c>
      <c r="L10363">
        <v>62.493259999999999</v>
      </c>
      <c r="M10363">
        <v>-2.4599579999999999E-2</v>
      </c>
      <c r="N10363">
        <v>0</v>
      </c>
      <c r="O10363">
        <v>0.99962549999999994</v>
      </c>
      <c r="P10363">
        <v>8.5481280000000007E-2</v>
      </c>
      <c r="Q10363">
        <v>0.1249885</v>
      </c>
      <c r="R10363">
        <v>0.98846889999999998</v>
      </c>
      <c r="S10363">
        <v>0.48616029999999999</v>
      </c>
      <c r="T10363">
        <v>-9.9613430000000003E-2</v>
      </c>
      <c r="U10363">
        <v>3.0060730000000002</v>
      </c>
      <c r="V10363">
        <v>0.1101279</v>
      </c>
      <c r="W10363">
        <v>0.1365151</v>
      </c>
      <c r="X10363">
        <v>0.98449759999999997</v>
      </c>
      <c r="Y10363">
        <v>0.1838041</v>
      </c>
      <c r="Z10363">
        <v>-3.2610399999999998E-2</v>
      </c>
      <c r="AA10363">
        <v>0.98242180000000001</v>
      </c>
      <c r="AB10363">
        <v>43</v>
      </c>
      <c r="AC10363">
        <v>5.4183999999999903</v>
      </c>
      <c r="AD10363">
        <v>-1.10897013333599</v>
      </c>
      <c r="AE10363">
        <v>33.206769999999999</v>
      </c>
      <c r="AF10363">
        <v>6.2269266775133501</v>
      </c>
      <c r="AG10363">
        <v>-1.10897013333599</v>
      </c>
      <c r="AH10363">
        <v>33.027539861565103</v>
      </c>
      <c r="AI10363">
        <v>91.889835272479601</v>
      </c>
      <c r="AJ10363">
        <v>79.322935252189794</v>
      </c>
      <c r="AK10363">
        <v>33.627709108873702</v>
      </c>
      <c r="AL10363">
        <v>82.153760291088204</v>
      </c>
      <c r="AM10363">
        <v>83.617311973868098</v>
      </c>
      <c r="AN10363">
        <v>1.0000000256460799</v>
      </c>
    </row>
    <row r="10364" spans="1:40" x14ac:dyDescent="0.25">
      <c r="A10364" t="str">
        <f>"20190312150923716"</f>
        <v>20190312150923716</v>
      </c>
      <c r="B10364" t="str">
        <f>"1552374563709393"</f>
        <v>1552374563709393</v>
      </c>
      <c r="C10364" t="s">
        <v>40</v>
      </c>
      <c r="D10364">
        <v>4.4648770000000004</v>
      </c>
      <c r="E10364">
        <v>0.53062640000000005</v>
      </c>
      <c r="F10364" t="s">
        <v>42</v>
      </c>
      <c r="G10364">
        <v>-182.13929999999999</v>
      </c>
      <c r="H10364" s="1">
        <v>-4.221878E-6</v>
      </c>
      <c r="I10364">
        <v>95.908199999999994</v>
      </c>
      <c r="J10364">
        <v>-187.63310000000001</v>
      </c>
      <c r="K10364">
        <v>1.108935</v>
      </c>
      <c r="L10364">
        <v>62.878599999999999</v>
      </c>
      <c r="M10364">
        <v>-2.3679169999999999E-2</v>
      </c>
      <c r="N10364">
        <v>0</v>
      </c>
      <c r="O10364">
        <v>0.99964759999999997</v>
      </c>
      <c r="P10364">
        <v>8.7498179999999995E-2</v>
      </c>
      <c r="Q10364">
        <v>0.1230661</v>
      </c>
      <c r="R10364">
        <v>0.98853369999999996</v>
      </c>
      <c r="S10364">
        <v>0.49325560000000002</v>
      </c>
      <c r="T10364">
        <v>-9.9727629999999998E-2</v>
      </c>
      <c r="U10364">
        <v>3.0049440000000001</v>
      </c>
      <c r="V10364">
        <v>0.1112412</v>
      </c>
      <c r="W10364">
        <v>0.1345951</v>
      </c>
      <c r="X10364">
        <v>0.98463679999999998</v>
      </c>
      <c r="Y10364">
        <v>0.18521650000000001</v>
      </c>
      <c r="Z10364">
        <v>-3.2650419999999999E-2</v>
      </c>
      <c r="AA10364">
        <v>0.98215520000000001</v>
      </c>
      <c r="AB10364">
        <v>43</v>
      </c>
      <c r="AC10364">
        <v>5.4938000000000198</v>
      </c>
      <c r="AD10364">
        <v>-1.1089392218780001</v>
      </c>
      <c r="AE10364">
        <v>33.029599999999903</v>
      </c>
      <c r="AF10364">
        <v>6.2675544651947703</v>
      </c>
      <c r="AG10364">
        <v>-1.1089392218780001</v>
      </c>
      <c r="AH10364">
        <v>32.854202531076801</v>
      </c>
      <c r="AI10364">
        <v>91.898970467002499</v>
      </c>
      <c r="AJ10364">
        <v>79.199528595798995</v>
      </c>
      <c r="AK10364">
        <v>33.465065503073703</v>
      </c>
      <c r="AL10364">
        <v>82.264793142834904</v>
      </c>
      <c r="AM10364">
        <v>83.554232609356703</v>
      </c>
      <c r="AN10364">
        <v>1.0000000367178401</v>
      </c>
    </row>
    <row r="10365" spans="1:40" x14ac:dyDescent="0.25">
      <c r="A10365" t="str">
        <f>"20190312150923739"</f>
        <v>20190312150923739</v>
      </c>
      <c r="B10365" t="str">
        <f>"1552374563729888"</f>
        <v>1552374563729888</v>
      </c>
      <c r="C10365" t="s">
        <v>40</v>
      </c>
      <c r="D10365">
        <v>4.4667640000000004</v>
      </c>
      <c r="E10365">
        <v>0.53101589999999999</v>
      </c>
      <c r="F10365" t="s">
        <v>42</v>
      </c>
      <c r="G10365">
        <v>-182.2116</v>
      </c>
      <c r="H10365" s="1">
        <v>-3.9796339999999996E-6</v>
      </c>
      <c r="I10365">
        <v>95.252849999999995</v>
      </c>
      <c r="J10365">
        <v>-187.6429</v>
      </c>
      <c r="K10365">
        <v>1.1089</v>
      </c>
      <c r="L10365">
        <v>63.331020000000002</v>
      </c>
      <c r="M10365">
        <v>-2.259359E-2</v>
      </c>
      <c r="N10365">
        <v>0</v>
      </c>
      <c r="O10365">
        <v>0.99967260000000002</v>
      </c>
      <c r="P10365">
        <v>8.9721019999999999E-2</v>
      </c>
      <c r="Q10365">
        <v>0.1213041</v>
      </c>
      <c r="R10365">
        <v>0.98855219999999999</v>
      </c>
      <c r="S10365">
        <v>0.50291439999999998</v>
      </c>
      <c r="T10365">
        <v>-0.1028678</v>
      </c>
      <c r="U10365">
        <v>3.0031129999999999</v>
      </c>
      <c r="V10365">
        <v>0.1123967</v>
      </c>
      <c r="W10365">
        <v>0.13283529999999999</v>
      </c>
      <c r="X10365">
        <v>0.98474450000000002</v>
      </c>
      <c r="Y10365">
        <v>0.18731329999999999</v>
      </c>
      <c r="Z10365">
        <v>-3.3683310000000001E-2</v>
      </c>
      <c r="AA10365">
        <v>0.98172250000000005</v>
      </c>
      <c r="AB10365">
        <v>43</v>
      </c>
      <c r="AC10365">
        <v>5.4312999999999896</v>
      </c>
      <c r="AD10365">
        <v>-1.1089039796339999</v>
      </c>
      <c r="AE10365">
        <v>31.92183</v>
      </c>
      <c r="AF10365">
        <v>6.1439885382420103</v>
      </c>
      <c r="AG10365">
        <v>-1.1089039796339999</v>
      </c>
      <c r="AH10365">
        <v>31.753718501353699</v>
      </c>
      <c r="AI10365">
        <v>91.963680542728994</v>
      </c>
      <c r="AJ10365">
        <v>79.049228814255102</v>
      </c>
      <c r="AK10365">
        <v>32.361657897229399</v>
      </c>
      <c r="AL10365">
        <v>82.366535521503806</v>
      </c>
      <c r="AM10365">
        <v>83.488556566132303</v>
      </c>
      <c r="AN10365">
        <v>0.99999998268861401</v>
      </c>
    </row>
    <row r="10366" spans="1:40" x14ac:dyDescent="0.25">
      <c r="A10366" t="str">
        <f>"20190312150923761"</f>
        <v>20190312150923761</v>
      </c>
      <c r="B10366" t="str">
        <f>"1552374563749412"</f>
        <v>1552374563749412</v>
      </c>
      <c r="C10366" t="s">
        <v>40</v>
      </c>
      <c r="D10366">
        <v>4.4770490000000001</v>
      </c>
      <c r="E10366">
        <v>0.53137819999999902</v>
      </c>
      <c r="F10366" t="s">
        <v>42</v>
      </c>
      <c r="G10366">
        <v>-182.33699999999999</v>
      </c>
      <c r="H10366" s="1">
        <v>-3.6550990000000001E-6</v>
      </c>
      <c r="I10366">
        <v>94.397229999999993</v>
      </c>
      <c r="J10366">
        <v>-187.6514</v>
      </c>
      <c r="K10366">
        <v>1.108873</v>
      </c>
      <c r="L10366">
        <v>63.73865</v>
      </c>
      <c r="M10366">
        <v>-2.160931E-2</v>
      </c>
      <c r="N10366">
        <v>0</v>
      </c>
      <c r="O10366">
        <v>0.99969419999999998</v>
      </c>
      <c r="P10366">
        <v>9.2010540000000002E-2</v>
      </c>
      <c r="Q10366">
        <v>0.1197738</v>
      </c>
      <c r="R10366">
        <v>0.98852839999999997</v>
      </c>
      <c r="S10366">
        <v>0.51261899999999905</v>
      </c>
      <c r="T10366">
        <v>-0.1071336</v>
      </c>
      <c r="U10366">
        <v>3.0013730000000001</v>
      </c>
      <c r="V10366">
        <v>0.11371680000000001</v>
      </c>
      <c r="W10366">
        <v>0.13130439999999999</v>
      </c>
      <c r="X10366">
        <v>0.98479830000000002</v>
      </c>
      <c r="Y10366">
        <v>0.1895162</v>
      </c>
      <c r="Z10366">
        <v>-3.5082719999999998E-2</v>
      </c>
      <c r="AA10366">
        <v>0.98125059999999997</v>
      </c>
      <c r="AB10366">
        <v>43</v>
      </c>
      <c r="AC10366">
        <v>5.3143999999999698</v>
      </c>
      <c r="AD10366">
        <v>-1.1088766550989999</v>
      </c>
      <c r="AE10366">
        <v>30.658580000000001</v>
      </c>
      <c r="AF10366">
        <v>5.9681379468901401</v>
      </c>
      <c r="AG10366">
        <v>-1.1088766550989999</v>
      </c>
      <c r="AH10366">
        <v>30.497838717710501</v>
      </c>
      <c r="AI10366">
        <v>92.043582883645897</v>
      </c>
      <c r="AJ10366">
        <v>78.9276813178532</v>
      </c>
      <c r="AK10366">
        <v>31.0960840692331</v>
      </c>
      <c r="AL10366">
        <v>82.455025082973606</v>
      </c>
      <c r="AM10366">
        <v>83.413104605896905</v>
      </c>
      <c r="AN10366">
        <v>1.00000002387224</v>
      </c>
    </row>
    <row r="10367" spans="1:40" x14ac:dyDescent="0.25">
      <c r="A10367" t="str">
        <f>"20190312150923774"</f>
        <v>20190312150923774</v>
      </c>
      <c r="B10367" t="str">
        <f>"1552374563769904"</f>
        <v>1552374563769904</v>
      </c>
      <c r="C10367" t="s">
        <v>40</v>
      </c>
      <c r="D10367">
        <v>5.2230540000000003</v>
      </c>
      <c r="E10367">
        <v>0.53166720000000001</v>
      </c>
      <c r="F10367" t="s">
        <v>42</v>
      </c>
      <c r="G10367">
        <v>-182.4426</v>
      </c>
      <c r="H10367" s="1">
        <v>-3.3740619999999998E-6</v>
      </c>
      <c r="I10367">
        <v>93.653959999999998</v>
      </c>
      <c r="J10367">
        <v>-187.65639999999999</v>
      </c>
      <c r="K10367">
        <v>1.1088530000000001</v>
      </c>
      <c r="L10367">
        <v>63.994929999999997</v>
      </c>
      <c r="M10367">
        <v>-2.098392E-2</v>
      </c>
      <c r="N10367">
        <v>0</v>
      </c>
      <c r="O10367">
        <v>0.99970749999999997</v>
      </c>
      <c r="P10367">
        <v>9.3261629999999998E-2</v>
      </c>
      <c r="Q10367">
        <v>0.1190922</v>
      </c>
      <c r="R10367">
        <v>0.98849339999999997</v>
      </c>
      <c r="S10367">
        <v>0.52229309999999995</v>
      </c>
      <c r="T10367">
        <v>-0.1111891</v>
      </c>
      <c r="U10367">
        <v>2.9996640000000001</v>
      </c>
      <c r="V10367">
        <v>0.11435240000000001</v>
      </c>
      <c r="W10367">
        <v>0.13062269999999901</v>
      </c>
      <c r="X10367">
        <v>0.98481540000000001</v>
      </c>
      <c r="Y10367">
        <v>0.19205910000000001</v>
      </c>
      <c r="Z10367">
        <v>-3.6411159999999998E-2</v>
      </c>
      <c r="AA10367">
        <v>0.98070760000000001</v>
      </c>
      <c r="AB10367">
        <v>43</v>
      </c>
      <c r="AC10367">
        <v>5.2137999999999902</v>
      </c>
      <c r="AD10367">
        <v>-1.1088563740620001</v>
      </c>
      <c r="AE10367">
        <v>29.659029999999898</v>
      </c>
      <c r="AF10367">
        <v>5.8271586475788899</v>
      </c>
      <c r="AG10367">
        <v>-1.1088563740620001</v>
      </c>
      <c r="AH10367">
        <v>29.5030822207824</v>
      </c>
      <c r="AI10367">
        <v>92.111659649784997</v>
      </c>
      <c r="AJ10367">
        <v>78.827303183185194</v>
      </c>
      <c r="AK10367">
        <v>30.093474390448801</v>
      </c>
      <c r="AL10367">
        <v>82.494423264854206</v>
      </c>
      <c r="AM10367">
        <v>83.376728520528602</v>
      </c>
      <c r="AN10367">
        <v>1.0000000666091</v>
      </c>
    </row>
    <row r="10368" spans="1:40" x14ac:dyDescent="0.25">
      <c r="A10368" t="str">
        <f>"20190312150923788"</f>
        <v>20190312150923788</v>
      </c>
      <c r="B10368" t="str">
        <f>"1552374563779665"</f>
        <v>1552374563779665</v>
      </c>
      <c r="C10368" t="s">
        <v>40</v>
      </c>
      <c r="D10368">
        <v>4.4655820000000004</v>
      </c>
      <c r="E10368">
        <v>0.53181330000000004</v>
      </c>
      <c r="F10368" t="s">
        <v>42</v>
      </c>
      <c r="G10368">
        <v>-182.42080000000001</v>
      </c>
      <c r="H10368" s="1">
        <v>-3.3965960000000001E-6</v>
      </c>
      <c r="I10368">
        <v>93.70317</v>
      </c>
      <c r="J10368">
        <v>-187.6617</v>
      </c>
      <c r="K10368">
        <v>1.108838</v>
      </c>
      <c r="L10368">
        <v>64.266940000000005</v>
      </c>
      <c r="M10368">
        <v>-2.0314349999999998E-2</v>
      </c>
      <c r="N10368">
        <v>0</v>
      </c>
      <c r="O10368">
        <v>0.99972130000000003</v>
      </c>
      <c r="P10368">
        <v>9.4616039999999998E-2</v>
      </c>
      <c r="Q10368">
        <v>0.1182816</v>
      </c>
      <c r="R10368">
        <v>0.98846210000000001</v>
      </c>
      <c r="S10368">
        <v>0.52844239999999998</v>
      </c>
      <c r="T10368">
        <v>-0.1119199</v>
      </c>
      <c r="U10368">
        <v>2.998535</v>
      </c>
      <c r="V10368">
        <v>0.11504780000000001</v>
      </c>
      <c r="W10368">
        <v>0.12981139999999999</v>
      </c>
      <c r="X10368">
        <v>0.98484159999999998</v>
      </c>
      <c r="Y10368">
        <v>0.1934138</v>
      </c>
      <c r="Z10368">
        <v>-3.6653140000000001E-2</v>
      </c>
      <c r="AA10368">
        <v>0.98043239999999998</v>
      </c>
      <c r="AB10368">
        <v>43</v>
      </c>
      <c r="AC10368">
        <v>5.2408999999999804</v>
      </c>
      <c r="AD10368">
        <v>-1.108841396596</v>
      </c>
      <c r="AE10368">
        <v>29.436229999999899</v>
      </c>
      <c r="AF10368">
        <v>5.8298212797444799</v>
      </c>
      <c r="AG10368">
        <v>-1.108841396596</v>
      </c>
      <c r="AH10368">
        <v>29.283405858794801</v>
      </c>
      <c r="AI10368">
        <v>92.126819905013505</v>
      </c>
      <c r="AJ10368">
        <v>78.740609065776397</v>
      </c>
      <c r="AK10368">
        <v>29.878658003455602</v>
      </c>
      <c r="AL10368">
        <v>82.541305914767904</v>
      </c>
      <c r="AM10368">
        <v>83.336987832911106</v>
      </c>
      <c r="AN10368">
        <v>0.99999998647267896</v>
      </c>
    </row>
    <row r="10369" spans="1:40" x14ac:dyDescent="0.25">
      <c r="A10369" t="str">
        <f>"20190312150923804"</f>
        <v>20190312150923804</v>
      </c>
      <c r="B10369" t="str">
        <f>"1552374563799184"</f>
        <v>1552374563799184</v>
      </c>
      <c r="C10369" t="s">
        <v>40</v>
      </c>
      <c r="D10369">
        <v>4.4532020000000001</v>
      </c>
      <c r="E10369">
        <v>0.53208449999999996</v>
      </c>
      <c r="F10369" t="s">
        <v>42</v>
      </c>
      <c r="G10369">
        <v>-182.43530000000001</v>
      </c>
      <c r="H10369" s="1">
        <v>-3.3638330000000002E-6</v>
      </c>
      <c r="I10369">
        <v>93.61824</v>
      </c>
      <c r="J10369">
        <v>-187.66739999999999</v>
      </c>
      <c r="K10369">
        <v>1.108814</v>
      </c>
      <c r="L10369">
        <v>64.578490000000002</v>
      </c>
      <c r="M10369">
        <v>-1.9535839999999999E-2</v>
      </c>
      <c r="N10369">
        <v>0</v>
      </c>
      <c r="O10369">
        <v>0.99973670000000003</v>
      </c>
      <c r="P10369">
        <v>9.705105E-2</v>
      </c>
      <c r="Q10369">
        <v>0.11689960000000001</v>
      </c>
      <c r="R10369">
        <v>0.9883904</v>
      </c>
      <c r="S10369">
        <v>0.53373719999999902</v>
      </c>
      <c r="T10369">
        <v>-0.1132402</v>
      </c>
      <c r="U10369">
        <v>2.9974980000000002</v>
      </c>
      <c r="V10369">
        <v>0.1167151</v>
      </c>
      <c r="W10369">
        <v>0.12842410000000001</v>
      </c>
      <c r="X10369">
        <v>0.98482729999999996</v>
      </c>
      <c r="Y10369">
        <v>0.194384</v>
      </c>
      <c r="Z10369">
        <v>-3.7089179999999999E-2</v>
      </c>
      <c r="AA10369">
        <v>0.98022410000000004</v>
      </c>
      <c r="AB10369">
        <v>43</v>
      </c>
      <c r="AC10369">
        <v>5.2320999999999698</v>
      </c>
      <c r="AD10369">
        <v>-1.1088173638329999</v>
      </c>
      <c r="AE10369">
        <v>29.039750000000002</v>
      </c>
      <c r="AF10369">
        <v>5.7902819941094199</v>
      </c>
      <c r="AG10369">
        <v>-1.1088173638329999</v>
      </c>
      <c r="AH10369">
        <v>28.891189514955599</v>
      </c>
      <c r="AI10369">
        <v>92.155067291615694</v>
      </c>
      <c r="AJ10369">
        <v>78.667102705026295</v>
      </c>
      <c r="AK10369">
        <v>29.486567672530601</v>
      </c>
      <c r="AL10369">
        <v>82.621463340885597</v>
      </c>
      <c r="AM10369">
        <v>83.241215638360103</v>
      </c>
      <c r="AN10369">
        <v>0.99999998742705398</v>
      </c>
    </row>
    <row r="10370" spans="1:40" x14ac:dyDescent="0.25">
      <c r="A10370" t="str">
        <f>"20190312150923827"</f>
        <v>20190312150923827</v>
      </c>
      <c r="B10370" t="str">
        <f>"1552374563819680"</f>
        <v>1552374563819680</v>
      </c>
      <c r="C10370" t="s">
        <v>40</v>
      </c>
      <c r="D10370">
        <v>4.4704920000000001</v>
      </c>
      <c r="E10370">
        <v>0.53228529999999996</v>
      </c>
      <c r="F10370" t="s">
        <v>42</v>
      </c>
      <c r="G10370">
        <v>-182.44130000000001</v>
      </c>
      <c r="H10370" s="1">
        <v>-3.2850290000000001E-6</v>
      </c>
      <c r="I10370">
        <v>93.391310000000004</v>
      </c>
      <c r="J10370">
        <v>-187.67509999999999</v>
      </c>
      <c r="K10370">
        <v>1.1087830000000001</v>
      </c>
      <c r="L10370">
        <v>65.017150000000001</v>
      </c>
      <c r="M10370">
        <v>-1.8409399999999999E-2</v>
      </c>
      <c r="N10370">
        <v>0</v>
      </c>
      <c r="O10370">
        <v>0.99975800000000004</v>
      </c>
      <c r="P10370">
        <v>9.9782679999999999E-2</v>
      </c>
      <c r="Q10370">
        <v>0.11601309999999999</v>
      </c>
      <c r="R10370">
        <v>0.98822279999999996</v>
      </c>
      <c r="S10370">
        <v>0.54333500000000001</v>
      </c>
      <c r="T10370">
        <v>-0.1152778</v>
      </c>
      <c r="U10370">
        <v>2.995514</v>
      </c>
      <c r="V10370">
        <v>0.1183394</v>
      </c>
      <c r="W10370">
        <v>0.1275298</v>
      </c>
      <c r="X10370">
        <v>0.98474969999999995</v>
      </c>
      <c r="Y10370">
        <v>0.1964283</v>
      </c>
      <c r="Z10370">
        <v>-3.7762980000000002E-2</v>
      </c>
      <c r="AA10370">
        <v>0.97979070000000001</v>
      </c>
      <c r="AB10370">
        <v>43</v>
      </c>
      <c r="AC10370">
        <v>5.2337999999999703</v>
      </c>
      <c r="AD10370">
        <v>-1.108786285029</v>
      </c>
      <c r="AE10370">
        <v>28.37416</v>
      </c>
      <c r="AF10370">
        <v>5.7468152146729903</v>
      </c>
      <c r="AG10370">
        <v>-1.108786285029</v>
      </c>
      <c r="AH10370">
        <v>28.2313009797235</v>
      </c>
      <c r="AI10370">
        <v>92.203985409927498</v>
      </c>
      <c r="AJ10370">
        <v>78.493974078856596</v>
      </c>
      <c r="AK10370">
        <v>28.8316084730839</v>
      </c>
      <c r="AL10370">
        <v>82.673128010404596</v>
      </c>
      <c r="AM10370">
        <v>83.147508419847995</v>
      </c>
      <c r="AN10370">
        <v>1.0000000175652399</v>
      </c>
    </row>
    <row r="10371" spans="1:40" x14ac:dyDescent="0.25">
      <c r="A10371" t="str">
        <f>"20190312150923839"</f>
        <v>20190312150923839</v>
      </c>
      <c r="B10371" t="str">
        <f>"1552374563829442"</f>
        <v>1552374563829442</v>
      </c>
      <c r="C10371" t="s">
        <v>40</v>
      </c>
      <c r="D10371">
        <v>4.5180790000000002</v>
      </c>
      <c r="E10371">
        <v>0.53220699999999999</v>
      </c>
      <c r="F10371" t="s">
        <v>42</v>
      </c>
      <c r="G10371">
        <v>-182.36349999999999</v>
      </c>
      <c r="H10371" s="1">
        <v>-3.4256049999999998E-6</v>
      </c>
      <c r="I10371">
        <v>93.743610000000004</v>
      </c>
      <c r="J10371">
        <v>-187.67920000000001</v>
      </c>
      <c r="K10371">
        <v>1.1087610000000001</v>
      </c>
      <c r="L10371">
        <v>65.268460000000005</v>
      </c>
      <c r="M10371">
        <v>-1.7745179999999999E-2</v>
      </c>
      <c r="N10371">
        <v>0</v>
      </c>
      <c r="O10371">
        <v>0.99977000000000005</v>
      </c>
      <c r="P10371">
        <v>0.1012547</v>
      </c>
      <c r="Q10371">
        <v>0.115715899999999</v>
      </c>
      <c r="R10371">
        <v>0.98810790000000004</v>
      </c>
      <c r="S10371">
        <v>0.55348209999999998</v>
      </c>
      <c r="T10371">
        <v>-0.1155398</v>
      </c>
      <c r="U10371">
        <v>2.9934080000000001</v>
      </c>
      <c r="V10371">
        <v>0.1191598</v>
      </c>
      <c r="W10371">
        <v>0.1272266</v>
      </c>
      <c r="X10371">
        <v>0.98468999999999995</v>
      </c>
      <c r="Y10371">
        <v>0.19911000000000001</v>
      </c>
      <c r="Z10371">
        <v>-3.7853739999999997E-2</v>
      </c>
      <c r="AA10371">
        <v>0.97924580000000006</v>
      </c>
      <c r="AB10371">
        <v>43</v>
      </c>
      <c r="AC10371">
        <v>5.3157000000000201</v>
      </c>
      <c r="AD10371">
        <v>-1.108764425605</v>
      </c>
      <c r="AE10371">
        <v>28.475149999999999</v>
      </c>
      <c r="AF10371">
        <v>5.8116814528585499</v>
      </c>
      <c r="AG10371">
        <v>-1.108764425605</v>
      </c>
      <c r="AH10371">
        <v>28.334817248261299</v>
      </c>
      <c r="AI10371">
        <v>92.195233224560496</v>
      </c>
      <c r="AJ10371">
        <v>78.408967037261206</v>
      </c>
      <c r="AK10371">
        <v>28.945930082713801</v>
      </c>
      <c r="AL10371">
        <v>82.690642859762093</v>
      </c>
      <c r="AM10371">
        <v>83.100044913551798</v>
      </c>
      <c r="AN10371">
        <v>1.00000003089179</v>
      </c>
    </row>
    <row r="10372" spans="1:40" x14ac:dyDescent="0.25">
      <c r="A10372" t="str">
        <f>"20190312150923852"</f>
        <v>20190312150923852</v>
      </c>
      <c r="B10372" t="str">
        <f>"1552374563849937"</f>
        <v>1552374563849937</v>
      </c>
      <c r="C10372" t="s">
        <v>40</v>
      </c>
      <c r="D10372">
        <v>4.5275189999999998</v>
      </c>
      <c r="E10372">
        <v>0.53177509999999995</v>
      </c>
      <c r="F10372" t="s">
        <v>42</v>
      </c>
      <c r="G10372">
        <v>-182.35759999999999</v>
      </c>
      <c r="H10372" s="1">
        <v>-3.462872E-6</v>
      </c>
      <c r="I10372">
        <v>93.848500000000001</v>
      </c>
      <c r="J10372">
        <v>-187.68289999999999</v>
      </c>
      <c r="K10372">
        <v>1.1087419999999999</v>
      </c>
      <c r="L10372">
        <v>65.505340000000004</v>
      </c>
      <c r="M10372">
        <v>-1.7106940000000001E-2</v>
      </c>
      <c r="N10372">
        <v>0</v>
      </c>
      <c r="O10372">
        <v>0.99978109999999998</v>
      </c>
      <c r="P10372">
        <v>0.1026748</v>
      </c>
      <c r="Q10372">
        <v>0.11542379999999999</v>
      </c>
      <c r="R10372">
        <v>0.98799559999999997</v>
      </c>
      <c r="S10372">
        <v>0.55722050000000001</v>
      </c>
      <c r="T10372">
        <v>-0.1160987</v>
      </c>
      <c r="U10372">
        <v>2.9926149999999998</v>
      </c>
      <c r="V10372">
        <v>0.11995400000000001</v>
      </c>
      <c r="W10372">
        <v>0.1269286</v>
      </c>
      <c r="X10372">
        <v>0.98463199999999995</v>
      </c>
      <c r="Y10372">
        <v>0.199712</v>
      </c>
      <c r="Z10372">
        <v>-3.8040480000000002E-2</v>
      </c>
      <c r="AA10372">
        <v>0.97911599999999999</v>
      </c>
      <c r="AB10372">
        <v>43</v>
      </c>
      <c r="AC10372">
        <v>5.3252999999999897</v>
      </c>
      <c r="AD10372">
        <v>-1.1087454628719999</v>
      </c>
      <c r="AE10372">
        <v>28.343160000000001</v>
      </c>
      <c r="AF10372">
        <v>5.8008463684901699</v>
      </c>
      <c r="AG10372">
        <v>-1.1087454628719999</v>
      </c>
      <c r="AH10372">
        <v>28.206214344959601</v>
      </c>
      <c r="AI10372">
        <v>92.204955380127799</v>
      </c>
      <c r="AJ10372">
        <v>78.378673484454893</v>
      </c>
      <c r="AK10372">
        <v>28.817870545306899</v>
      </c>
      <c r="AL10372">
        <v>82.7078563561561</v>
      </c>
      <c r="AM10372">
        <v>83.054099323283694</v>
      </c>
      <c r="AN10372">
        <v>1.00000000351897</v>
      </c>
    </row>
    <row r="10373" spans="1:40" x14ac:dyDescent="0.25">
      <c r="A10373" t="str">
        <f>"20190312150923865"</f>
        <v>20190312150923865</v>
      </c>
      <c r="B10373" t="str">
        <f>"1552374563859697"</f>
        <v>1552374563859697</v>
      </c>
      <c r="C10373" t="s">
        <v>40</v>
      </c>
      <c r="D10373">
        <v>4.5381609999999997</v>
      </c>
      <c r="E10373">
        <v>0.53177509999999995</v>
      </c>
      <c r="F10373" t="s">
        <v>42</v>
      </c>
      <c r="G10373">
        <v>-182.37620000000001</v>
      </c>
      <c r="H10373" s="1">
        <v>-3.4930970000000002E-6</v>
      </c>
      <c r="I10373">
        <v>93.95187</v>
      </c>
      <c r="J10373">
        <v>-187.6867</v>
      </c>
      <c r="K10373">
        <v>1.1087209999999901</v>
      </c>
      <c r="L10373">
        <v>65.755219999999994</v>
      </c>
      <c r="M10373">
        <v>-1.642451E-2</v>
      </c>
      <c r="N10373">
        <v>0</v>
      </c>
      <c r="O10373">
        <v>0.99979249999999997</v>
      </c>
      <c r="P10373">
        <v>0.1041849</v>
      </c>
      <c r="Q10373">
        <v>0.1154985</v>
      </c>
      <c r="R10373">
        <v>0.9878287</v>
      </c>
      <c r="S10373">
        <v>0.55816650000000001</v>
      </c>
      <c r="T10373">
        <v>-0.11662019999999999</v>
      </c>
      <c r="U10373">
        <v>2.9920650000000002</v>
      </c>
      <c r="V10373">
        <v>0.1207956</v>
      </c>
      <c r="W10373">
        <v>0.12699579999999999</v>
      </c>
      <c r="X10373">
        <v>0.98452039999999996</v>
      </c>
      <c r="Y10373">
        <v>0.19937350000000001</v>
      </c>
      <c r="Z10373">
        <v>-3.8218889999999998E-2</v>
      </c>
      <c r="AA10373">
        <v>0.97917799999999999</v>
      </c>
      <c r="AB10373">
        <v>43</v>
      </c>
      <c r="AC10373">
        <v>5.3104999999999896</v>
      </c>
      <c r="AD10373">
        <v>-1.1087244930969999</v>
      </c>
      <c r="AE10373">
        <v>28.196650000000002</v>
      </c>
      <c r="AF10373">
        <v>5.7643261219025401</v>
      </c>
      <c r="AG10373">
        <v>-1.1087244930969999</v>
      </c>
      <c r="AH10373">
        <v>28.0637128954336</v>
      </c>
      <c r="AI10373">
        <v>92.216210880700601</v>
      </c>
      <c r="AJ10373">
        <v>78.392804126971299</v>
      </c>
      <c r="AK10373">
        <v>28.671043007162599</v>
      </c>
      <c r="AL10373">
        <v>82.703974378319202</v>
      </c>
      <c r="AM10373">
        <v>83.005062784091905</v>
      </c>
      <c r="AN10373">
        <v>0.99999996410657899</v>
      </c>
    </row>
    <row r="10374" spans="1:40" x14ac:dyDescent="0.25">
      <c r="A10374" t="str">
        <f>"20190312150923881"</f>
        <v>20190312150923881</v>
      </c>
      <c r="B10374" t="str">
        <f>"1552374563869456"</f>
        <v>1552374563869456</v>
      </c>
      <c r="C10374" t="s">
        <v>40</v>
      </c>
      <c r="D10374">
        <v>4.5317470000000002</v>
      </c>
      <c r="E10374">
        <v>0.53133030000000003</v>
      </c>
      <c r="F10374" t="s">
        <v>42</v>
      </c>
      <c r="G10374">
        <v>-182.32249999999999</v>
      </c>
      <c r="H10374" s="1">
        <v>-3.6106720000000001E-6</v>
      </c>
      <c r="I10374">
        <v>94.255390000000006</v>
      </c>
      <c r="J10374">
        <v>-187.69110000000001</v>
      </c>
      <c r="K10374">
        <v>1.108689</v>
      </c>
      <c r="L10374">
        <v>66.059969999999893</v>
      </c>
      <c r="M10374">
        <v>-1.556167E-2</v>
      </c>
      <c r="N10374">
        <v>0</v>
      </c>
      <c r="O10374">
        <v>0.99980619999999998</v>
      </c>
      <c r="P10374">
        <v>0.1072602</v>
      </c>
      <c r="Q10374">
        <v>0.11568870000000001</v>
      </c>
      <c r="R10374">
        <v>0.9874773</v>
      </c>
      <c r="S10374">
        <v>0.5629883</v>
      </c>
      <c r="T10374">
        <v>-0.1163641</v>
      </c>
      <c r="U10374">
        <v>2.9911799999999999</v>
      </c>
      <c r="V10374">
        <v>0.1230247</v>
      </c>
      <c r="W10374">
        <v>0.12716939999999999</v>
      </c>
      <c r="X10374">
        <v>0.98422189999999998</v>
      </c>
      <c r="Y10374">
        <v>0.20010549999999999</v>
      </c>
      <c r="Z10374">
        <v>-3.8138459999999999E-2</v>
      </c>
      <c r="AA10374">
        <v>0.97903180000000001</v>
      </c>
      <c r="AB10374">
        <v>43</v>
      </c>
      <c r="AC10374">
        <v>5.3686000000000096</v>
      </c>
      <c r="AD10374">
        <v>-1.1086926106720001</v>
      </c>
      <c r="AE10374">
        <v>28.195419999999999</v>
      </c>
      <c r="AF10374">
        <v>5.7980981874993898</v>
      </c>
      <c r="AG10374">
        <v>-1.1086926106720001</v>
      </c>
      <c r="AH10374">
        <v>28.066576654129499</v>
      </c>
      <c r="AI10374">
        <v>92.215404173377806</v>
      </c>
      <c r="AJ10374">
        <v>78.327819334693402</v>
      </c>
      <c r="AK10374">
        <v>28.680653182571898</v>
      </c>
      <c r="AL10374">
        <v>82.693946354768698</v>
      </c>
      <c r="AM10374">
        <v>82.875157756672806</v>
      </c>
      <c r="AN10374">
        <v>0.99999994077302801</v>
      </c>
    </row>
    <row r="10375" spans="1:40" x14ac:dyDescent="0.25">
      <c r="A10375" t="str">
        <f>"20190312150923918"</f>
        <v>20190312150923918</v>
      </c>
      <c r="B10375" t="str">
        <f>"1552374563909473"</f>
        <v>1552374563909473</v>
      </c>
      <c r="C10375" t="s">
        <v>40</v>
      </c>
      <c r="D10375">
        <v>4.5382759999999998</v>
      </c>
      <c r="E10375">
        <v>0.53050019999999998</v>
      </c>
      <c r="F10375" t="s">
        <v>42</v>
      </c>
      <c r="G10375">
        <v>-182.34870000000001</v>
      </c>
      <c r="H10375" s="1">
        <v>-3.5685670000000002E-6</v>
      </c>
      <c r="I10375">
        <v>94.152140000000003</v>
      </c>
      <c r="J10375">
        <v>-187.69980000000001</v>
      </c>
      <c r="K10375">
        <v>1.108595</v>
      </c>
      <c r="L10375">
        <v>66.752780000000001</v>
      </c>
      <c r="M10375">
        <v>-1.3491619999999999E-2</v>
      </c>
      <c r="N10375">
        <v>0</v>
      </c>
      <c r="O10375">
        <v>0.99983619999999995</v>
      </c>
      <c r="P10375">
        <v>0.11077819999999999</v>
      </c>
      <c r="Q10375">
        <v>0.1157649</v>
      </c>
      <c r="R10375">
        <v>0.98707990000000001</v>
      </c>
      <c r="S10375">
        <v>0.56863399999999997</v>
      </c>
      <c r="T10375">
        <v>-0.1180085</v>
      </c>
      <c r="U10375">
        <v>2.9901119999999999</v>
      </c>
      <c r="V10375">
        <v>0.1245222</v>
      </c>
      <c r="W10375">
        <v>0.1272219</v>
      </c>
      <c r="X10375">
        <v>0.98402679999999998</v>
      </c>
      <c r="Y10375">
        <v>0.1999213</v>
      </c>
      <c r="Z10375">
        <v>-3.8685940000000002E-2</v>
      </c>
      <c r="AA10375">
        <v>0.97904800000000003</v>
      </c>
      <c r="AB10375">
        <v>43</v>
      </c>
      <c r="AC10375">
        <v>5.3510999999999997</v>
      </c>
      <c r="AD10375">
        <v>-1.1085985685669999</v>
      </c>
      <c r="AE10375">
        <v>27.399359999999898</v>
      </c>
      <c r="AF10375">
        <v>5.7112952687629104</v>
      </c>
      <c r="AG10375">
        <v>-1.1085985685669999</v>
      </c>
      <c r="AH10375">
        <v>27.2816444936437</v>
      </c>
      <c r="AI10375">
        <v>92.277632106242294</v>
      </c>
      <c r="AJ10375">
        <v>78.176130195068893</v>
      </c>
      <c r="AK10375">
        <v>27.895089365527799</v>
      </c>
      <c r="AL10375">
        <v>82.690913883808605</v>
      </c>
      <c r="AM10375">
        <v>82.787924509757502</v>
      </c>
      <c r="AN10375">
        <v>0.99999996662534396</v>
      </c>
    </row>
    <row r="10376" spans="1:40" x14ac:dyDescent="0.25">
      <c r="A10376" t="str">
        <f>"20190312150923938"</f>
        <v>20190312150923938</v>
      </c>
      <c r="B10376" t="str">
        <f>"1552374563929968"</f>
        <v>1552374563929968</v>
      </c>
      <c r="C10376" t="s">
        <v>40</v>
      </c>
      <c r="D10376">
        <v>4.5274179999999999</v>
      </c>
      <c r="E10376">
        <v>0.53012649999999994</v>
      </c>
      <c r="F10376" t="s">
        <v>42</v>
      </c>
      <c r="G10376">
        <v>-182.46029999999999</v>
      </c>
      <c r="H10376" s="1">
        <v>-3.5204159999999998E-6</v>
      </c>
      <c r="I10376">
        <v>94.097880000000004</v>
      </c>
      <c r="J10376">
        <v>-187.70439999999999</v>
      </c>
      <c r="K10376">
        <v>1.1085419999999999</v>
      </c>
      <c r="L10376">
        <v>67.166780000000003</v>
      </c>
      <c r="M10376">
        <v>-1.218089E-2</v>
      </c>
      <c r="N10376">
        <v>0</v>
      </c>
      <c r="O10376">
        <v>0.99985299999999999</v>
      </c>
      <c r="P10376">
        <v>0.11209</v>
      </c>
      <c r="Q10376">
        <v>0.1155481</v>
      </c>
      <c r="R10376">
        <v>0.98695719999999998</v>
      </c>
      <c r="S10376">
        <v>0.57275390000000004</v>
      </c>
      <c r="T10376">
        <v>-0.1211851</v>
      </c>
      <c r="U10376">
        <v>2.9891969999999999</v>
      </c>
      <c r="V10376">
        <v>0.1245566</v>
      </c>
      <c r="W10376">
        <v>0.12699299999999999</v>
      </c>
      <c r="X10376">
        <v>0.98405209999999999</v>
      </c>
      <c r="Y10376">
        <v>0.1999861</v>
      </c>
      <c r="Z10376">
        <v>-3.9733249999999998E-2</v>
      </c>
      <c r="AA10376">
        <v>0.9789928</v>
      </c>
      <c r="AB10376">
        <v>43</v>
      </c>
      <c r="AC10376">
        <v>5.2441000000000004</v>
      </c>
      <c r="AD10376">
        <v>-1.108545520416</v>
      </c>
      <c r="AE10376">
        <v>26.931100000000001</v>
      </c>
      <c r="AF10376">
        <v>5.5626987845246196</v>
      </c>
      <c r="AG10376">
        <v>-1.108545520416</v>
      </c>
      <c r="AH10376">
        <v>26.821434954348799</v>
      </c>
      <c r="AI10376">
        <v>92.317459852959999</v>
      </c>
      <c r="AJ10376">
        <v>78.283109070294699</v>
      </c>
      <c r="AK10376">
        <v>27.414628648744301</v>
      </c>
      <c r="AL10376">
        <v>82.704136761387105</v>
      </c>
      <c r="AM10376">
        <v>82.786136637612401</v>
      </c>
      <c r="AN10376">
        <v>1.00000005208348</v>
      </c>
    </row>
    <row r="10377" spans="1:40" x14ac:dyDescent="0.25">
      <c r="A10377" t="str">
        <f>"20190312150923961"</f>
        <v>20190312150923961</v>
      </c>
      <c r="B10377" t="str">
        <f>"1552374563949488"</f>
        <v>1552374563949488</v>
      </c>
      <c r="C10377" t="s">
        <v>40</v>
      </c>
      <c r="D10377">
        <v>4.5490789999999999</v>
      </c>
      <c r="E10377">
        <v>0.52975680000000003</v>
      </c>
      <c r="F10377" t="s">
        <v>42</v>
      </c>
      <c r="G10377">
        <v>-182.55269999999999</v>
      </c>
      <c r="H10377" s="1">
        <v>-3.4627969999999998E-6</v>
      </c>
      <c r="I10377">
        <v>94.000810000000001</v>
      </c>
      <c r="J10377">
        <v>-187.70840000000001</v>
      </c>
      <c r="K10377">
        <v>1.1084860000000001</v>
      </c>
      <c r="L10377">
        <v>67.587159999999997</v>
      </c>
      <c r="M10377">
        <v>-1.079125E-2</v>
      </c>
      <c r="N10377">
        <v>0</v>
      </c>
      <c r="O10377">
        <v>0.99986889999999995</v>
      </c>
      <c r="P10377">
        <v>0.1133366</v>
      </c>
      <c r="Q10377">
        <v>0.1153573</v>
      </c>
      <c r="R10377">
        <v>0.98683710000000002</v>
      </c>
      <c r="S10377">
        <v>0.57382200000000005</v>
      </c>
      <c r="T10377">
        <v>-0.1234758</v>
      </c>
      <c r="U10377">
        <v>2.9889220000000001</v>
      </c>
      <c r="V10377">
        <v>0.1244493</v>
      </c>
      <c r="W10377">
        <v>0.1267896</v>
      </c>
      <c r="X10377">
        <v>0.98409179999999996</v>
      </c>
      <c r="Y10377">
        <v>0.1989726</v>
      </c>
      <c r="Z10377">
        <v>-4.049059E-2</v>
      </c>
      <c r="AA10377">
        <v>0.97916820000000004</v>
      </c>
      <c r="AB10377">
        <v>43</v>
      </c>
      <c r="AC10377">
        <v>5.1557000000000199</v>
      </c>
      <c r="AD10377">
        <v>-1.1084894627969999</v>
      </c>
      <c r="AE10377">
        <v>26.413650000000001</v>
      </c>
      <c r="AF10377">
        <v>5.4312424374365103</v>
      </c>
      <c r="AG10377">
        <v>-1.1084894627969999</v>
      </c>
      <c r="AH10377">
        <v>26.311831871134199</v>
      </c>
      <c r="AI10377">
        <v>92.362632820406006</v>
      </c>
      <c r="AJ10377">
        <v>78.336912742054594</v>
      </c>
      <c r="AK10377">
        <v>26.889396417885202</v>
      </c>
      <c r="AL10377">
        <v>82.715884952172004</v>
      </c>
      <c r="AM10377">
        <v>82.792573392228206</v>
      </c>
      <c r="AN10377">
        <v>0.99999995088294302</v>
      </c>
    </row>
    <row r="10378" spans="1:40" x14ac:dyDescent="0.25">
      <c r="A10378" t="str">
        <f>"20190312150923982"</f>
        <v>20190312150923982</v>
      </c>
      <c r="B10378" t="str">
        <f>"1552374563979746"</f>
        <v>1552374563979746</v>
      </c>
      <c r="C10378" t="s">
        <v>40</v>
      </c>
      <c r="D10378">
        <v>4.5176819999999998</v>
      </c>
      <c r="E10378">
        <v>0.52923929999999997</v>
      </c>
      <c r="F10378" t="s">
        <v>42</v>
      </c>
      <c r="G10378">
        <v>-182.64429999999999</v>
      </c>
      <c r="H10378" s="1">
        <v>-3.421002E-6</v>
      </c>
      <c r="I10378">
        <v>93.949600000000004</v>
      </c>
      <c r="J10378">
        <v>-187.71180000000001</v>
      </c>
      <c r="K10378">
        <v>1.10843</v>
      </c>
      <c r="L10378">
        <v>68.009190000000004</v>
      </c>
      <c r="M10378">
        <v>-9.3373680000000004E-3</v>
      </c>
      <c r="N10378">
        <v>0</v>
      </c>
      <c r="O10378">
        <v>0.99988350000000004</v>
      </c>
      <c r="P10378">
        <v>0.11454589999999901</v>
      </c>
      <c r="Q10378">
        <v>0.11520329999999999</v>
      </c>
      <c r="R10378">
        <v>0.98671549999999997</v>
      </c>
      <c r="S10378">
        <v>0.57412719999999995</v>
      </c>
      <c r="T10378">
        <v>-0.1256719</v>
      </c>
      <c r="U10378">
        <v>2.9887700000000001</v>
      </c>
      <c r="V10378">
        <v>0.12424200000000001</v>
      </c>
      <c r="W10378">
        <v>0.12662309999999999</v>
      </c>
      <c r="X10378">
        <v>0.98413949999999994</v>
      </c>
      <c r="Y10378">
        <v>0.19764760000000001</v>
      </c>
      <c r="Z10378">
        <v>-4.1217660000000003E-2</v>
      </c>
      <c r="AA10378">
        <v>0.9794062</v>
      </c>
      <c r="AB10378">
        <v>43</v>
      </c>
      <c r="AC10378">
        <v>5.0675000000000203</v>
      </c>
      <c r="AD10378">
        <v>-1.1084334210019999</v>
      </c>
      <c r="AE10378">
        <v>25.94041</v>
      </c>
      <c r="AF10378">
        <v>5.3001902396726903</v>
      </c>
      <c r="AG10378">
        <v>-1.1084334210019999</v>
      </c>
      <c r="AH10378">
        <v>25.846501284509401</v>
      </c>
      <c r="AI10378">
        <v>92.405639953919803</v>
      </c>
      <c r="AJ10378">
        <v>78.411347756608706</v>
      </c>
      <c r="AK10378">
        <v>26.407617648619201</v>
      </c>
      <c r="AL10378">
        <v>82.7255027160639</v>
      </c>
      <c r="AM10378">
        <v>82.804798244461495</v>
      </c>
      <c r="AN10378">
        <v>1.0000000197389201</v>
      </c>
    </row>
    <row r="10379" spans="1:40" x14ac:dyDescent="0.25">
      <c r="A10379" t="str">
        <f>"20190312150924006"</f>
        <v>20190312150924006</v>
      </c>
      <c r="B10379" t="str">
        <f>"1552374564000240"</f>
        <v>1552374564000240</v>
      </c>
      <c r="C10379" t="s">
        <v>40</v>
      </c>
      <c r="D10379">
        <v>4.5473480000000004</v>
      </c>
      <c r="E10379">
        <v>0.52890530000000002</v>
      </c>
      <c r="F10379" t="s">
        <v>42</v>
      </c>
      <c r="G10379">
        <v>-182.74969999999999</v>
      </c>
      <c r="H10379" s="1">
        <v>-3.3688080000000001E-6</v>
      </c>
      <c r="I10379">
        <v>93.878649999999993</v>
      </c>
      <c r="J10379">
        <v>-187.71459999999999</v>
      </c>
      <c r="K10379">
        <v>1.1083700000000001</v>
      </c>
      <c r="L10379">
        <v>68.448459999999997</v>
      </c>
      <c r="M10379">
        <v>-7.76888199999999E-3</v>
      </c>
      <c r="N10379">
        <v>0</v>
      </c>
      <c r="O10379">
        <v>0.99989680000000003</v>
      </c>
      <c r="P10379">
        <v>0.11611589999999999</v>
      </c>
      <c r="Q10379">
        <v>0.1148706</v>
      </c>
      <c r="R10379">
        <v>0.98657079999999997</v>
      </c>
      <c r="S10379">
        <v>0.57328800000000002</v>
      </c>
      <c r="T10379">
        <v>-0.1280617</v>
      </c>
      <c r="U10379">
        <v>2.9887999999999999</v>
      </c>
      <c r="V10379">
        <v>0.1242815</v>
      </c>
      <c r="W10379">
        <v>0.12627730000000001</v>
      </c>
      <c r="X10379">
        <v>0.98417889999999997</v>
      </c>
      <c r="Y10379">
        <v>0.19583629999999999</v>
      </c>
      <c r="Z10379">
        <v>-4.2009280000000003E-2</v>
      </c>
      <c r="AA10379">
        <v>0.97973639999999995</v>
      </c>
      <c r="AB10379">
        <v>43</v>
      </c>
      <c r="AC10379">
        <v>4.9649000000000001</v>
      </c>
      <c r="AD10379">
        <v>-1.108373368808</v>
      </c>
      <c r="AE10379">
        <v>25.43019</v>
      </c>
      <c r="AF10379">
        <v>5.15289944581159</v>
      </c>
      <c r="AG10379">
        <v>-1.108373368808</v>
      </c>
      <c r="AH10379">
        <v>25.3444701526453</v>
      </c>
      <c r="AI10379">
        <v>92.453941614666505</v>
      </c>
      <c r="AJ10379">
        <v>78.507579171689798</v>
      </c>
      <c r="AK10379">
        <v>25.886734663561899</v>
      </c>
      <c r="AL10379">
        <v>82.745475613836007</v>
      </c>
      <c r="AM10379">
        <v>82.802819792119905</v>
      </c>
      <c r="AN10379">
        <v>0.99999997747137404</v>
      </c>
    </row>
    <row r="10380" spans="1:40" x14ac:dyDescent="0.25">
      <c r="A10380" t="str">
        <f>"20190312150924028"</f>
        <v>20190312150924028</v>
      </c>
      <c r="B10380" t="str">
        <f>"1552374564019763"</f>
        <v>1552374564019763</v>
      </c>
      <c r="C10380" t="s">
        <v>40</v>
      </c>
      <c r="D10380">
        <v>4.5296000000000003</v>
      </c>
      <c r="E10380">
        <v>0.52858109999999903</v>
      </c>
      <c r="F10380" t="s">
        <v>42</v>
      </c>
      <c r="G10380">
        <v>-182.8305</v>
      </c>
      <c r="H10380" s="1">
        <v>-3.329461E-6</v>
      </c>
      <c r="I10380">
        <v>93.826210000000003</v>
      </c>
      <c r="J10380">
        <v>-187.7167</v>
      </c>
      <c r="K10380">
        <v>1.1083160000000001</v>
      </c>
      <c r="L10380">
        <v>68.882230000000007</v>
      </c>
      <c r="M10380">
        <v>-6.1768910000000003E-3</v>
      </c>
      <c r="N10380">
        <v>0</v>
      </c>
      <c r="O10380">
        <v>0.99990789999999996</v>
      </c>
      <c r="P10380">
        <v>0.1183374</v>
      </c>
      <c r="Q10380">
        <v>0.11490209999999999</v>
      </c>
      <c r="R10380">
        <v>0.98630309999999999</v>
      </c>
      <c r="S10380">
        <v>0.57511899999999905</v>
      </c>
      <c r="T10380">
        <v>-0.13051450000000001</v>
      </c>
      <c r="U10380">
        <v>2.9883120000000001</v>
      </c>
      <c r="V10380">
        <v>0.1249479</v>
      </c>
      <c r="W10380">
        <v>0.12629290000000001</v>
      </c>
      <c r="X10380">
        <v>0.98409250000000004</v>
      </c>
      <c r="Y10380">
        <v>0.19487699999999999</v>
      </c>
      <c r="Z10380">
        <v>-4.2821690000000003E-2</v>
      </c>
      <c r="AA10380">
        <v>0.97989250000000006</v>
      </c>
      <c r="AB10380">
        <v>43</v>
      </c>
      <c r="AC10380">
        <v>4.8861999999999997</v>
      </c>
      <c r="AD10380">
        <v>-1.1083193294609901</v>
      </c>
      <c r="AE10380">
        <v>24.94398</v>
      </c>
      <c r="AF10380">
        <v>5.0306296465465801</v>
      </c>
      <c r="AG10380">
        <v>-1.1083193294609901</v>
      </c>
      <c r="AH10380">
        <v>24.866043096444301</v>
      </c>
      <c r="AI10380">
        <v>92.501463916878294</v>
      </c>
      <c r="AJ10380">
        <v>78.562904739126097</v>
      </c>
      <c r="AK10380">
        <v>25.394009247281002</v>
      </c>
      <c r="AL10380">
        <v>82.744574469006906</v>
      </c>
      <c r="AM10380">
        <v>82.764007749950395</v>
      </c>
      <c r="AN10380">
        <v>0.99999996143053405</v>
      </c>
    </row>
    <row r="10381" spans="1:40" x14ac:dyDescent="0.25">
      <c r="A10381" t="str">
        <f>"20190312150924049"</f>
        <v>20190312150924049</v>
      </c>
      <c r="B10381" t="str">
        <f>"1552374564040257"</f>
        <v>1552374564040257</v>
      </c>
      <c r="C10381" t="s">
        <v>40</v>
      </c>
      <c r="D10381">
        <v>4.5614679999999996</v>
      </c>
      <c r="E10381">
        <v>0.52826649999999997</v>
      </c>
      <c r="F10381" t="s">
        <v>42</v>
      </c>
      <c r="G10381">
        <v>-182.84800000000001</v>
      </c>
      <c r="H10381" s="1">
        <v>-3.3812529999999999E-6</v>
      </c>
      <c r="I10381">
        <v>93.992050000000006</v>
      </c>
      <c r="J10381">
        <v>-187.71799999999999</v>
      </c>
      <c r="K10381">
        <v>1.108276</v>
      </c>
      <c r="L10381">
        <v>69.289000000000001</v>
      </c>
      <c r="M10381">
        <v>-4.6573830000000002E-3</v>
      </c>
      <c r="N10381">
        <v>0</v>
      </c>
      <c r="O10381">
        <v>0.99991609999999997</v>
      </c>
      <c r="P10381">
        <v>0.121166</v>
      </c>
      <c r="Q10381">
        <v>0.1148853</v>
      </c>
      <c r="R10381">
        <v>0.98596159999999999</v>
      </c>
      <c r="S10381">
        <v>0.57926940000000005</v>
      </c>
      <c r="T10381">
        <v>-0.1318657</v>
      </c>
      <c r="U10381">
        <v>2.9875180000000001</v>
      </c>
      <c r="V10381">
        <v>0.1262895</v>
      </c>
      <c r="W10381">
        <v>0.12625939999999999</v>
      </c>
      <c r="X10381">
        <v>0.98392559999999996</v>
      </c>
      <c r="Y10381">
        <v>0.19474350000000001</v>
      </c>
      <c r="Z10381">
        <v>-4.3270929999999999E-2</v>
      </c>
      <c r="AA10381">
        <v>0.97989930000000003</v>
      </c>
      <c r="AB10381">
        <v>43</v>
      </c>
      <c r="AC10381">
        <v>4.87</v>
      </c>
      <c r="AD10381">
        <v>-1.1082793812530001</v>
      </c>
      <c r="AE10381">
        <v>24.703050000000001</v>
      </c>
      <c r="AF10381">
        <v>4.9753674456363104</v>
      </c>
      <c r="AG10381">
        <v>-1.1082793812530001</v>
      </c>
      <c r="AH10381">
        <v>24.632374076630999</v>
      </c>
      <c r="AI10381">
        <v>92.525230819663904</v>
      </c>
      <c r="AJ10381">
        <v>78.580757460663307</v>
      </c>
      <c r="AK10381">
        <v>25.1542524646846</v>
      </c>
      <c r="AL10381">
        <v>82.746509867196494</v>
      </c>
      <c r="AM10381">
        <v>82.6859225298506</v>
      </c>
      <c r="AN10381">
        <v>1.00000003011698</v>
      </c>
    </row>
    <row r="10382" spans="1:40" x14ac:dyDescent="0.25">
      <c r="A10382" t="str">
        <f>"20190312150924072"</f>
        <v>20190312150924072</v>
      </c>
      <c r="B10382" t="str">
        <f>"1552374564059777"</f>
        <v>1552374564059777</v>
      </c>
      <c r="C10382" t="s">
        <v>40</v>
      </c>
      <c r="D10382">
        <v>4.5344230000000003</v>
      </c>
      <c r="E10382">
        <v>0.527949</v>
      </c>
      <c r="F10382" t="s">
        <v>42</v>
      </c>
      <c r="G10382">
        <v>-182.85400000000001</v>
      </c>
      <c r="H10382" s="1">
        <v>-3.4122149999999999E-6</v>
      </c>
      <c r="I10382">
        <v>94.087770000000006</v>
      </c>
      <c r="J10382">
        <v>-187.71870000000001</v>
      </c>
      <c r="K10382">
        <v>1.108239</v>
      </c>
      <c r="L10382">
        <v>69.723969999999994</v>
      </c>
      <c r="M10382">
        <v>-3.0110079999999999E-3</v>
      </c>
      <c r="N10382">
        <v>0</v>
      </c>
      <c r="O10382">
        <v>0.99992230000000004</v>
      </c>
      <c r="P10382">
        <v>0.1237152</v>
      </c>
      <c r="Q10382">
        <v>0.1142938</v>
      </c>
      <c r="R10382">
        <v>0.98571370000000003</v>
      </c>
      <c r="S10382">
        <v>0.58572389999999996</v>
      </c>
      <c r="T10382">
        <v>-0.133460299999999</v>
      </c>
      <c r="U10382">
        <v>2.9862980000000001</v>
      </c>
      <c r="V10382">
        <v>0.127224</v>
      </c>
      <c r="W10382">
        <v>0.1256543</v>
      </c>
      <c r="X10382">
        <v>0.9838827</v>
      </c>
      <c r="Y10382">
        <v>0.1952393</v>
      </c>
      <c r="Z10382">
        <v>-4.3799999999999999E-2</v>
      </c>
      <c r="AA10382">
        <v>0.97977709999999996</v>
      </c>
      <c r="AB10382">
        <v>43</v>
      </c>
      <c r="AC10382">
        <v>4.8646999999999903</v>
      </c>
      <c r="AD10382">
        <v>-1.1082424122149901</v>
      </c>
      <c r="AE10382">
        <v>24.363800000000001</v>
      </c>
      <c r="AF10382">
        <v>4.9282368856107297</v>
      </c>
      <c r="AG10382">
        <v>-1.1082424122149901</v>
      </c>
      <c r="AH10382">
        <v>24.3006882068563</v>
      </c>
      <c r="AI10382">
        <v>92.559161250156507</v>
      </c>
      <c r="AJ10382">
        <v>78.535763244250603</v>
      </c>
      <c r="AK10382">
        <v>24.8201363286299</v>
      </c>
      <c r="AL10382">
        <v>82.781458083274401</v>
      </c>
      <c r="AM10382">
        <v>82.6320755788893</v>
      </c>
      <c r="AN10382">
        <v>1.00000005832188</v>
      </c>
    </row>
    <row r="10383" spans="1:40" x14ac:dyDescent="0.25">
      <c r="A10383" t="str">
        <f>"20190312150924093"</f>
        <v>20190312150924093</v>
      </c>
      <c r="B10383" t="str">
        <f>"1552374564090033"</f>
        <v>1552374564090033</v>
      </c>
      <c r="C10383" t="s">
        <v>40</v>
      </c>
      <c r="D10383">
        <v>4.5254240000000001</v>
      </c>
      <c r="E10383">
        <v>0.52748019999999995</v>
      </c>
      <c r="F10383" t="s">
        <v>42</v>
      </c>
      <c r="G10383">
        <v>-182.9187</v>
      </c>
      <c r="H10383" s="1">
        <v>-3.3527070000000001E-6</v>
      </c>
      <c r="I10383">
        <v>93.963480000000004</v>
      </c>
      <c r="J10383">
        <v>-187.71870000000001</v>
      </c>
      <c r="K10383">
        <v>1.108198</v>
      </c>
      <c r="L10383">
        <v>70.148160000000004</v>
      </c>
      <c r="M10383">
        <v>-1.391895E-3</v>
      </c>
      <c r="N10383">
        <v>0</v>
      </c>
      <c r="O10383">
        <v>0.99992590000000003</v>
      </c>
      <c r="P10383">
        <v>0.1259393</v>
      </c>
      <c r="Q10383">
        <v>0.1137994</v>
      </c>
      <c r="R10383">
        <v>0.98548919999999995</v>
      </c>
      <c r="S10383">
        <v>0.59112549999999997</v>
      </c>
      <c r="T10383">
        <v>-0.13648199999999999</v>
      </c>
      <c r="U10383">
        <v>2.9851380000000001</v>
      </c>
      <c r="V10383">
        <v>0.12785879999999999</v>
      </c>
      <c r="W10383">
        <v>0.12515000000000001</v>
      </c>
      <c r="X10383">
        <v>0.98386459999999998</v>
      </c>
      <c r="Y10383">
        <v>0.19542119999999999</v>
      </c>
      <c r="Z10383">
        <v>-4.4798369999999997E-2</v>
      </c>
      <c r="AA10383">
        <v>0.97969569999999995</v>
      </c>
      <c r="AB10383">
        <v>43</v>
      </c>
      <c r="AC10383">
        <v>4.8000000000000096</v>
      </c>
      <c r="AD10383">
        <v>-1.1082013527069901</v>
      </c>
      <c r="AE10383">
        <v>23.81532</v>
      </c>
      <c r="AF10383">
        <v>4.8231102515606796</v>
      </c>
      <c r="AG10383">
        <v>-1.1082013527069901</v>
      </c>
      <c r="AH10383">
        <v>23.759177150801701</v>
      </c>
      <c r="AI10383">
        <v>92.617211120893998</v>
      </c>
      <c r="AJ10383">
        <v>78.524893269968999</v>
      </c>
      <c r="AK10383">
        <v>24.269095607789499</v>
      </c>
      <c r="AL10383">
        <v>82.810581634564898</v>
      </c>
      <c r="AM10383">
        <v>82.595584638860203</v>
      </c>
      <c r="AN10383">
        <v>0.99999997318529898</v>
      </c>
    </row>
    <row r="10384" spans="1:40" x14ac:dyDescent="0.25">
      <c r="A10384" t="str">
        <f>"20190312150924118"</f>
        <v>20190312150924118</v>
      </c>
      <c r="B10384" t="str">
        <f>"1552374564109552"</f>
        <v>1552374564109552</v>
      </c>
      <c r="C10384" t="s">
        <v>40</v>
      </c>
      <c r="D10384">
        <v>4.548457</v>
      </c>
      <c r="E10384">
        <v>0.52718399999999999</v>
      </c>
      <c r="F10384" t="s">
        <v>42</v>
      </c>
      <c r="G10384">
        <v>-182.9992</v>
      </c>
      <c r="H10384" s="1">
        <v>-3.2869269999999999E-6</v>
      </c>
      <c r="I10384">
        <v>93.833129999999997</v>
      </c>
      <c r="J10384">
        <v>-187.71789999999999</v>
      </c>
      <c r="K10384">
        <v>1.1081719999999999</v>
      </c>
      <c r="L10384">
        <v>70.612300000000005</v>
      </c>
      <c r="M10384">
        <v>3.8866980000000002E-4</v>
      </c>
      <c r="N10384">
        <v>0</v>
      </c>
      <c r="O10384">
        <v>0.99992669999999995</v>
      </c>
      <c r="P10384">
        <v>0.12752450000000001</v>
      </c>
      <c r="Q10384">
        <v>0.1139355</v>
      </c>
      <c r="R10384">
        <v>0.98526959999999997</v>
      </c>
      <c r="S10384">
        <v>0.59465029999999997</v>
      </c>
      <c r="T10384">
        <v>-0.13963229999999999</v>
      </c>
      <c r="U10384">
        <v>2.984283</v>
      </c>
      <c r="V10384">
        <v>0.12769819999999901</v>
      </c>
      <c r="W10384">
        <v>0.12528059999999999</v>
      </c>
      <c r="X10384">
        <v>0.98386890000000005</v>
      </c>
      <c r="Y10384">
        <v>0.19483230000000001</v>
      </c>
      <c r="Z10384">
        <v>-4.5840649999999997E-2</v>
      </c>
      <c r="AA10384">
        <v>0.97976479999999999</v>
      </c>
      <c r="AB10384">
        <v>43</v>
      </c>
      <c r="AC10384">
        <v>4.7186999999999797</v>
      </c>
      <c r="AD10384">
        <v>-1.1081752869269901</v>
      </c>
      <c r="AE10384">
        <v>23.220829999999999</v>
      </c>
      <c r="AF10384">
        <v>4.6993952420814598</v>
      </c>
      <c r="AG10384">
        <v>-1.1081752869269901</v>
      </c>
      <c r="AH10384">
        <v>23.171980699736601</v>
      </c>
      <c r="AI10384">
        <v>92.683476291233205</v>
      </c>
      <c r="AJ10384">
        <v>78.535613857029603</v>
      </c>
      <c r="AK10384">
        <v>23.669665347376998</v>
      </c>
      <c r="AL10384">
        <v>82.803039897772194</v>
      </c>
      <c r="AM10384">
        <v>82.604814075867196</v>
      </c>
      <c r="AN10384">
        <v>1.0000000357034</v>
      </c>
    </row>
    <row r="10385" spans="1:40" x14ac:dyDescent="0.25">
      <c r="A10385" t="str">
        <f>"20190312150924140"</f>
        <v>20190312150924140</v>
      </c>
      <c r="B10385" t="str">
        <f>"1552374564130049"</f>
        <v>1552374564130049</v>
      </c>
      <c r="C10385" t="s">
        <v>40</v>
      </c>
      <c r="D10385">
        <v>4.5185259999999996</v>
      </c>
      <c r="E10385">
        <v>0.52691999999999894</v>
      </c>
      <c r="F10385" t="s">
        <v>42</v>
      </c>
      <c r="G10385">
        <v>-182.99369999999999</v>
      </c>
      <c r="H10385" s="1">
        <v>-3.4105030000000001E-6</v>
      </c>
      <c r="I10385">
        <v>94.191940000000002</v>
      </c>
      <c r="J10385">
        <v>-187.7165</v>
      </c>
      <c r="K10385">
        <v>1.1081559999999999</v>
      </c>
      <c r="L10385">
        <v>71.037750000000003</v>
      </c>
      <c r="M10385">
        <v>2.0249130000000001E-3</v>
      </c>
      <c r="N10385">
        <v>0</v>
      </c>
      <c r="O10385">
        <v>0.99992479999999995</v>
      </c>
      <c r="P10385">
        <v>0.1288089</v>
      </c>
      <c r="Q10385">
        <v>0.1138381</v>
      </c>
      <c r="R10385">
        <v>0.98511380000000004</v>
      </c>
      <c r="S10385">
        <v>0.59779359999999904</v>
      </c>
      <c r="T10385">
        <v>-0.14022560000000001</v>
      </c>
      <c r="U10385">
        <v>2.9837039999999999</v>
      </c>
      <c r="V10385">
        <v>0.1273764</v>
      </c>
      <c r="W10385">
        <v>0.12518029999999999</v>
      </c>
      <c r="X10385">
        <v>0.98392329999999995</v>
      </c>
      <c r="Y10385">
        <v>0.1942545</v>
      </c>
      <c r="Z10385">
        <v>-4.604159E-2</v>
      </c>
      <c r="AA10385">
        <v>0.97987009999999997</v>
      </c>
      <c r="AB10385">
        <v>43</v>
      </c>
      <c r="AC10385">
        <v>4.7228000000000003</v>
      </c>
      <c r="AD10385">
        <v>-1.1081594105029999</v>
      </c>
      <c r="AE10385">
        <v>23.15419</v>
      </c>
      <c r="AF10385">
        <v>4.6656415132105398</v>
      </c>
      <c r="AG10385">
        <v>-1.1081594105029999</v>
      </c>
      <c r="AH10385">
        <v>23.112879244481402</v>
      </c>
      <c r="AI10385">
        <v>92.6907814110711</v>
      </c>
      <c r="AJ10385">
        <v>78.587452646395406</v>
      </c>
      <c r="AK10385">
        <v>23.6051141700027</v>
      </c>
      <c r="AL10385">
        <v>82.808831698506097</v>
      </c>
      <c r="AM10385">
        <v>82.623647821145497</v>
      </c>
      <c r="AN10385">
        <v>0.99999995753396898</v>
      </c>
    </row>
    <row r="10386" spans="1:40" x14ac:dyDescent="0.25">
      <c r="A10386" t="str">
        <f>"20190312150924161"</f>
        <v>20190312150924161</v>
      </c>
      <c r="B10386" t="str">
        <f>"1552374564149569"</f>
        <v>1552374564149569</v>
      </c>
      <c r="C10386" t="s">
        <v>40</v>
      </c>
      <c r="D10386">
        <v>4.5502469999999997</v>
      </c>
      <c r="E10386">
        <v>0.51401189999999997</v>
      </c>
      <c r="F10386" t="s">
        <v>42</v>
      </c>
      <c r="G10386">
        <v>-183.02500000000001</v>
      </c>
      <c r="H10386" s="1">
        <v>-3.46749E-6</v>
      </c>
      <c r="I10386">
        <v>94.383899999999997</v>
      </c>
      <c r="J10386">
        <v>-187.71449999999999</v>
      </c>
      <c r="K10386">
        <v>1.1081379999999901</v>
      </c>
      <c r="L10386">
        <v>71.448269999999994</v>
      </c>
      <c r="M10386">
        <v>3.604922E-3</v>
      </c>
      <c r="N10386">
        <v>0</v>
      </c>
      <c r="O10386">
        <v>0.99992029999999998</v>
      </c>
      <c r="P10386">
        <v>0.1300056</v>
      </c>
      <c r="Q10386">
        <v>0.1139563</v>
      </c>
      <c r="R10386">
        <v>0.98494289999999995</v>
      </c>
      <c r="S10386">
        <v>0.5995026</v>
      </c>
      <c r="T10386">
        <v>-0.14160699999999901</v>
      </c>
      <c r="U10386">
        <v>2.9833069999999999</v>
      </c>
      <c r="V10386">
        <v>0.12702260000000001</v>
      </c>
      <c r="W10386">
        <v>0.1252972</v>
      </c>
      <c r="X10386">
        <v>0.9839542</v>
      </c>
      <c r="Y10386">
        <v>0.19326499999999999</v>
      </c>
      <c r="Z10386">
        <v>-4.6501920000000002E-2</v>
      </c>
      <c r="AA10386">
        <v>0.98004400000000003</v>
      </c>
      <c r="AB10386">
        <v>43</v>
      </c>
      <c r="AC10386">
        <v>4.6894999999999802</v>
      </c>
      <c r="AD10386">
        <v>-1.1081414674900001</v>
      </c>
      <c r="AE10386">
        <v>22.93563</v>
      </c>
      <c r="AF10386">
        <v>4.5964830039254903</v>
      </c>
      <c r="AG10386">
        <v>-1.1081414674900001</v>
      </c>
      <c r="AH10386">
        <v>22.9010731776815</v>
      </c>
      <c r="AI10386">
        <v>92.716191570023696</v>
      </c>
      <c r="AJ10386">
        <v>78.650936785692707</v>
      </c>
      <c r="AK10386">
        <v>23.384071206846599</v>
      </c>
      <c r="AL10386">
        <v>82.802080964448393</v>
      </c>
      <c r="AM10386">
        <v>82.644140103014195</v>
      </c>
      <c r="AN10386">
        <v>0.99999999846812004</v>
      </c>
    </row>
    <row r="10387" spans="1:40" x14ac:dyDescent="0.25">
      <c r="A10387" t="str">
        <f>"20190312150924183"</f>
        <v>20190312150924183</v>
      </c>
      <c r="B10387" t="str">
        <f>"1552374564179825"</f>
        <v>1552374564179825</v>
      </c>
      <c r="C10387" t="s">
        <v>40</v>
      </c>
      <c r="D10387">
        <v>4.545204</v>
      </c>
      <c r="E10387">
        <v>0.5141078</v>
      </c>
      <c r="F10387" t="s">
        <v>42</v>
      </c>
      <c r="G10387">
        <v>-185.0977</v>
      </c>
      <c r="H10387" s="1">
        <v>-4.0830090000000002E-6</v>
      </c>
      <c r="I10387">
        <v>87.123339999999999</v>
      </c>
      <c r="J10387">
        <v>-187.71180000000001</v>
      </c>
      <c r="K10387">
        <v>1.1081240000000001</v>
      </c>
      <c r="L10387">
        <v>71.865049999999997</v>
      </c>
      <c r="M10387">
        <v>5.2094999999999997E-3</v>
      </c>
      <c r="N10387">
        <v>0</v>
      </c>
      <c r="O10387">
        <v>0.99991319999999995</v>
      </c>
      <c r="P10387">
        <v>0.13079560000000001</v>
      </c>
      <c r="Q10387">
        <v>0.113055</v>
      </c>
      <c r="R10387">
        <v>0.98494219999999999</v>
      </c>
      <c r="S10387">
        <v>0.50152589999999997</v>
      </c>
      <c r="T10387">
        <v>-0.21238370000000001</v>
      </c>
      <c r="U10387">
        <v>3.0042420000000001</v>
      </c>
      <c r="V10387">
        <v>0.12623199999999901</v>
      </c>
      <c r="W10387">
        <v>0.1243987</v>
      </c>
      <c r="X10387">
        <v>0.98416990000000004</v>
      </c>
      <c r="Y10387">
        <v>0.1591205</v>
      </c>
      <c r="Z10387">
        <v>-6.9588849999999994E-2</v>
      </c>
      <c r="AA10387">
        <v>0.9848036</v>
      </c>
      <c r="AB10387">
        <v>43</v>
      </c>
      <c r="AC10387">
        <v>2.6141000000000001</v>
      </c>
      <c r="AD10387">
        <v>-1.1081280830089999</v>
      </c>
      <c r="AE10387">
        <v>15.258290000000001</v>
      </c>
      <c r="AF10387">
        <v>2.5216498455746699</v>
      </c>
      <c r="AG10387">
        <v>-1.1081280830089999</v>
      </c>
      <c r="AH10387">
        <v>15.1938496295916</v>
      </c>
      <c r="AI10387">
        <v>94.115254997985303</v>
      </c>
      <c r="AJ10387">
        <v>80.576788709048799</v>
      </c>
      <c r="AK10387">
        <v>15.4414938512659</v>
      </c>
      <c r="AL10387">
        <v>82.853967006651999</v>
      </c>
      <c r="AM10387">
        <v>82.691011742083901</v>
      </c>
      <c r="AN10387">
        <v>0.99999997322584899</v>
      </c>
    </row>
    <row r="10388" spans="1:40" x14ac:dyDescent="0.25">
      <c r="A10388" t="str">
        <f>"20190312150924206"</f>
        <v>20190312150924206</v>
      </c>
      <c r="B10388" t="str">
        <f>"1552374564199347"</f>
        <v>1552374564199347</v>
      </c>
      <c r="C10388" t="s">
        <v>40</v>
      </c>
      <c r="D10388">
        <v>4.7745439999999997</v>
      </c>
      <c r="E10388">
        <v>0.51310879999999903</v>
      </c>
      <c r="F10388" t="s">
        <v>42</v>
      </c>
      <c r="G10388">
        <v>-185.054</v>
      </c>
      <c r="H10388" s="1">
        <v>-4.3234010000000002E-6</v>
      </c>
      <c r="I10388">
        <v>87.665639999999996</v>
      </c>
      <c r="J10388">
        <v>-187.7081</v>
      </c>
      <c r="K10388">
        <v>1.1081080000000001</v>
      </c>
      <c r="L10388">
        <v>72.307130000000001</v>
      </c>
      <c r="M10388">
        <v>6.9112610000000001E-3</v>
      </c>
      <c r="N10388">
        <v>0</v>
      </c>
      <c r="O10388">
        <v>0.99990279999999998</v>
      </c>
      <c r="P10388">
        <v>0.13215859999999999</v>
      </c>
      <c r="Q10388">
        <v>0.112221</v>
      </c>
      <c r="R10388">
        <v>0.98485560000000005</v>
      </c>
      <c r="S10388">
        <v>0.50511170000000005</v>
      </c>
      <c r="T10388">
        <v>-0.21060380000000001</v>
      </c>
      <c r="U10388">
        <v>3.0029599999999999</v>
      </c>
      <c r="V10388">
        <v>0.12591840000000001</v>
      </c>
      <c r="W10388">
        <v>0.12356499999999999</v>
      </c>
      <c r="X10388">
        <v>0.9843151</v>
      </c>
      <c r="Y10388">
        <v>0.15865889999999999</v>
      </c>
      <c r="Z10388">
        <v>-6.9032189999999993E-2</v>
      </c>
      <c r="AA10388">
        <v>0.98491719999999905</v>
      </c>
      <c r="AB10388">
        <v>43</v>
      </c>
      <c r="AC10388">
        <v>2.6541000000000001</v>
      </c>
      <c r="AD10388">
        <v>-1.108112323401</v>
      </c>
      <c r="AE10388">
        <v>15.3585099999999</v>
      </c>
      <c r="AF10388">
        <v>2.5350683021008198</v>
      </c>
      <c r="AG10388">
        <v>-1.108112323401</v>
      </c>
      <c r="AH10388">
        <v>15.299156001141</v>
      </c>
      <c r="AI10388">
        <v>94.087141876045493</v>
      </c>
      <c r="AJ10388">
        <v>80.591581961575898</v>
      </c>
      <c r="AK10388">
        <v>15.547303900189201</v>
      </c>
      <c r="AL10388">
        <v>82.902105996867107</v>
      </c>
      <c r="AM10388">
        <v>82.710037896908005</v>
      </c>
      <c r="AN10388">
        <v>0.99999998438578497</v>
      </c>
    </row>
    <row r="10389" spans="1:40" x14ac:dyDescent="0.25">
      <c r="A10389" t="str">
        <f>"20190312150924229"</f>
        <v>20190312150924229</v>
      </c>
      <c r="B10389" t="str">
        <f>"1552374564219841"</f>
        <v>1552374564219841</v>
      </c>
      <c r="C10389" t="s">
        <v>40</v>
      </c>
      <c r="D10389">
        <v>4.570163</v>
      </c>
      <c r="E10389">
        <v>0.50261299999999998</v>
      </c>
      <c r="F10389" t="s">
        <v>42</v>
      </c>
      <c r="G10389">
        <v>-185.07239999999999</v>
      </c>
      <c r="H10389" s="1">
        <v>-4.5059060000000001E-6</v>
      </c>
      <c r="I10389">
        <v>88.098659999999995</v>
      </c>
      <c r="J10389">
        <v>-187.7037</v>
      </c>
      <c r="K10389">
        <v>1.1080890000000001</v>
      </c>
      <c r="L10389">
        <v>72.750789999999995</v>
      </c>
      <c r="M10389">
        <v>8.6200589999999994E-3</v>
      </c>
      <c r="N10389">
        <v>0</v>
      </c>
      <c r="O10389">
        <v>0.99988960000000005</v>
      </c>
      <c r="P10389">
        <v>0.13368289999999999</v>
      </c>
      <c r="Q10389">
        <v>0.111401</v>
      </c>
      <c r="R10389">
        <v>0.98474289999999998</v>
      </c>
      <c r="S10389">
        <v>0.50120540000000002</v>
      </c>
      <c r="T10389">
        <v>-0.21071529999999999</v>
      </c>
      <c r="U10389">
        <v>3.002869</v>
      </c>
      <c r="V10389">
        <v>0.1257586</v>
      </c>
      <c r="W10389">
        <v>0.1227454</v>
      </c>
      <c r="X10389">
        <v>0.98443809999999998</v>
      </c>
      <c r="Y10389">
        <v>0.1557289</v>
      </c>
      <c r="Z10389">
        <v>-6.9092799999999996E-2</v>
      </c>
      <c r="AA10389">
        <v>0.98538049999999999</v>
      </c>
      <c r="AB10389">
        <v>43</v>
      </c>
      <c r="AC10389">
        <v>2.6313</v>
      </c>
      <c r="AD10389">
        <v>-1.108093505906</v>
      </c>
      <c r="AE10389">
        <v>15.347869999999901</v>
      </c>
      <c r="AF10389">
        <v>2.4863028817514699</v>
      </c>
      <c r="AG10389">
        <v>-1.108093505906</v>
      </c>
      <c r="AH10389">
        <v>15.292545133368201</v>
      </c>
      <c r="AI10389">
        <v>94.0908643287883</v>
      </c>
      <c r="AJ10389">
        <v>80.765498804205095</v>
      </c>
      <c r="AK10389">
        <v>15.532916979554701</v>
      </c>
      <c r="AL10389">
        <v>82.949426067905094</v>
      </c>
      <c r="AM10389">
        <v>82.720090012838696</v>
      </c>
      <c r="AN10389">
        <v>1.0000000157133599</v>
      </c>
    </row>
    <row r="10390" spans="1:40" x14ac:dyDescent="0.25">
      <c r="A10390" t="str">
        <f>"20190312150924251"</f>
        <v>20190312150924251</v>
      </c>
      <c r="B10390" t="str">
        <f>"1552374564239361"</f>
        <v>1552374564239361</v>
      </c>
      <c r="C10390" t="s">
        <v>40</v>
      </c>
      <c r="D10390">
        <v>4.570316</v>
      </c>
      <c r="E10390">
        <v>0.50133749999999999</v>
      </c>
      <c r="F10390" t="s">
        <v>42</v>
      </c>
      <c r="G10390">
        <v>-185.16849999999999</v>
      </c>
      <c r="H10390" s="1">
        <v>-1.6791130000000001E-6</v>
      </c>
      <c r="I10390">
        <v>90.80462</v>
      </c>
      <c r="J10390">
        <v>-187.69880000000001</v>
      </c>
      <c r="K10390">
        <v>1.1080760000000001</v>
      </c>
      <c r="L10390">
        <v>73.168329999999997</v>
      </c>
      <c r="M10390">
        <v>1.022903E-2</v>
      </c>
      <c r="N10390">
        <v>0</v>
      </c>
      <c r="O10390">
        <v>0.99987440000000005</v>
      </c>
      <c r="P10390">
        <v>0.1354794</v>
      </c>
      <c r="Q10390">
        <v>0.1104057</v>
      </c>
      <c r="R10390">
        <v>0.98460950000000003</v>
      </c>
      <c r="S10390">
        <v>0.4226685</v>
      </c>
      <c r="T10390">
        <v>-0.18474550000000001</v>
      </c>
      <c r="U10390">
        <v>3.0100099999999999</v>
      </c>
      <c r="V10390">
        <v>0.12596779999999999</v>
      </c>
      <c r="W10390">
        <v>0.1217487</v>
      </c>
      <c r="X10390">
        <v>0.9845351</v>
      </c>
      <c r="Y10390">
        <v>0.12866259999999999</v>
      </c>
      <c r="Z10390">
        <v>-6.0705740000000001E-2</v>
      </c>
      <c r="AA10390">
        <v>0.98982859999999995</v>
      </c>
      <c r="AB10390">
        <v>43</v>
      </c>
      <c r="AC10390">
        <v>2.5303000000000102</v>
      </c>
      <c r="AD10390">
        <v>-1.108077679113</v>
      </c>
      <c r="AE10390">
        <v>17.636289999999899</v>
      </c>
      <c r="AF10390">
        <v>2.3406986115481101</v>
      </c>
      <c r="AG10390">
        <v>-1.108077679113</v>
      </c>
      <c r="AH10390">
        <v>17.593202527133698</v>
      </c>
      <c r="AI10390">
        <v>93.572518440800195</v>
      </c>
      <c r="AJ10390">
        <v>82.421553822462002</v>
      </c>
      <c r="AK10390">
        <v>17.782786094810799</v>
      </c>
      <c r="AL10390">
        <v>83.006964201553899</v>
      </c>
      <c r="AM10390">
        <v>82.708820778312003</v>
      </c>
      <c r="AN10390">
        <v>0.99999999786026905</v>
      </c>
    </row>
    <row r="10391" spans="1:40" x14ac:dyDescent="0.25">
      <c r="A10391" t="str">
        <f>"20190312150924272"</f>
        <v>20190312150924272</v>
      </c>
      <c r="B10391" t="str">
        <f>"1552374564269616"</f>
        <v>1552374564269616</v>
      </c>
      <c r="C10391" t="s">
        <v>40</v>
      </c>
      <c r="D10391">
        <v>4.5977430000000004</v>
      </c>
      <c r="E10391">
        <v>0.50126309999999996</v>
      </c>
      <c r="F10391" t="s">
        <v>42</v>
      </c>
      <c r="G10391">
        <v>-185.28219999999999</v>
      </c>
      <c r="H10391" s="1">
        <v>-1.5667089999999901E-6</v>
      </c>
      <c r="I10391">
        <v>90.563190000000006</v>
      </c>
      <c r="J10391">
        <v>-187.69329999999999</v>
      </c>
      <c r="K10391">
        <v>1.1080669999999999</v>
      </c>
      <c r="L10391">
        <v>73.582700000000003</v>
      </c>
      <c r="M10391">
        <v>1.1826720000000001E-2</v>
      </c>
      <c r="N10391">
        <v>0</v>
      </c>
      <c r="O10391">
        <v>0.99985679999999999</v>
      </c>
      <c r="P10391">
        <v>0.13734199999999999</v>
      </c>
      <c r="Q10391">
        <v>0.10953889999999999</v>
      </c>
      <c r="R10391">
        <v>0.98444830000000005</v>
      </c>
      <c r="S10391">
        <v>0.41828920000000003</v>
      </c>
      <c r="T10391">
        <v>-0.19179650000000001</v>
      </c>
      <c r="U10391">
        <v>3.0108640000000002</v>
      </c>
      <c r="V10391">
        <v>0.12625459999999999</v>
      </c>
      <c r="W10391">
        <v>0.12088069999999999</v>
      </c>
      <c r="X10391">
        <v>0.98460530000000002</v>
      </c>
      <c r="Y10391">
        <v>0.125607</v>
      </c>
      <c r="Z10391">
        <v>-6.301292E-2</v>
      </c>
      <c r="AA10391">
        <v>0.99007690000000004</v>
      </c>
      <c r="AB10391">
        <v>43</v>
      </c>
      <c r="AC10391">
        <v>2.4110999999999998</v>
      </c>
      <c r="AD10391">
        <v>-1.108068566709</v>
      </c>
      <c r="AE10391">
        <v>16.98049</v>
      </c>
      <c r="AF10391">
        <v>2.2009063117410399</v>
      </c>
      <c r="AG10391">
        <v>-1.108068566709</v>
      </c>
      <c r="AH10391">
        <v>16.937122345497301</v>
      </c>
      <c r="AI10391">
        <v>93.711977390885593</v>
      </c>
      <c r="AJ10391">
        <v>82.596147040810806</v>
      </c>
      <c r="AK10391">
        <v>17.115429234697402</v>
      </c>
      <c r="AL10391">
        <v>83.057066885235002</v>
      </c>
      <c r="AM10391">
        <v>82.6929150453891</v>
      </c>
      <c r="AN10391">
        <v>0.99999998222086905</v>
      </c>
    </row>
    <row r="10392" spans="1:40" x14ac:dyDescent="0.25">
      <c r="A10392" t="str">
        <f>"20190312150924294"</f>
        <v>20190312150924294</v>
      </c>
      <c r="B10392" t="str">
        <f>"1552374564290112"</f>
        <v>1552374564290112</v>
      </c>
      <c r="C10392" t="s">
        <v>40</v>
      </c>
      <c r="D10392">
        <v>4.6012930000000001</v>
      </c>
      <c r="E10392">
        <v>0.50190040000000002</v>
      </c>
      <c r="F10392" t="s">
        <v>41</v>
      </c>
      <c r="G10392">
        <v>-187.5574</v>
      </c>
      <c r="H10392">
        <v>1.043228</v>
      </c>
      <c r="I10392">
        <v>74.54898</v>
      </c>
      <c r="J10392">
        <v>-187.68680000000001</v>
      </c>
      <c r="K10392">
        <v>1.1080490000000001</v>
      </c>
      <c r="L10392">
        <v>74.02216</v>
      </c>
      <c r="M10392">
        <v>1.352181E-2</v>
      </c>
      <c r="N10392">
        <v>0</v>
      </c>
      <c r="O10392">
        <v>0.99983529999999998</v>
      </c>
      <c r="P10392">
        <v>0.13942399999999999</v>
      </c>
      <c r="Q10392">
        <v>0.1092524</v>
      </c>
      <c r="R10392">
        <v>0.98418740000000005</v>
      </c>
      <c r="S10392">
        <v>0.42335509999999899</v>
      </c>
      <c r="T10392">
        <v>-0.20201669999999999</v>
      </c>
      <c r="U10392">
        <v>3.0108030000000001</v>
      </c>
      <c r="V10392">
        <v>0.12666859999999999</v>
      </c>
      <c r="W10392">
        <v>0.1205919</v>
      </c>
      <c r="X10392">
        <v>0.98458760000000001</v>
      </c>
      <c r="Y10392">
        <v>0.1255317</v>
      </c>
      <c r="Z10392">
        <v>-6.6347950000000003E-2</v>
      </c>
      <c r="AA10392">
        <v>0.98986850000000004</v>
      </c>
      <c r="AB10392">
        <v>43</v>
      </c>
      <c r="AC10392">
        <v>0.12940000000000301</v>
      </c>
      <c r="AD10392">
        <v>-6.4821000000000004E-2</v>
      </c>
      <c r="AE10392">
        <v>0.52681999999999995</v>
      </c>
      <c r="AF10392">
        <v>0.120542981693279</v>
      </c>
      <c r="AG10392">
        <v>-6.4821000000000004E-2</v>
      </c>
      <c r="AH10392">
        <v>0.52108171061479003</v>
      </c>
      <c r="AI10392">
        <v>96.910337817411801</v>
      </c>
      <c r="AJ10392">
        <v>76.974761802692498</v>
      </c>
      <c r="AK10392">
        <v>0.53875645853552601</v>
      </c>
      <c r="AL10392">
        <v>83.073736257939601</v>
      </c>
      <c r="AM10392">
        <v>82.669084335739299</v>
      </c>
      <c r="AN10392">
        <v>1.00000004132266</v>
      </c>
    </row>
    <row r="10393" spans="1:40" x14ac:dyDescent="0.25">
      <c r="A10393" t="str">
        <f>"20190312150924319"</f>
        <v>20190312150924319</v>
      </c>
      <c r="B10393" t="str">
        <f>"1552374564309632"</f>
        <v>1552374564309632</v>
      </c>
      <c r="C10393" t="s">
        <v>40</v>
      </c>
      <c r="D10393">
        <v>4.5679239999999997</v>
      </c>
      <c r="E10393">
        <v>0.50230900000000001</v>
      </c>
      <c r="F10393" t="s">
        <v>41</v>
      </c>
      <c r="G10393">
        <v>-187.5547</v>
      </c>
      <c r="H10393">
        <v>1.04471</v>
      </c>
      <c r="I10393">
        <v>74.935009999999906</v>
      </c>
      <c r="J10393">
        <v>-187.679</v>
      </c>
      <c r="K10393">
        <v>1.108047</v>
      </c>
      <c r="L10393">
        <v>74.489289999999997</v>
      </c>
      <c r="M10393">
        <v>1.5324549999999999E-2</v>
      </c>
      <c r="N10393">
        <v>0</v>
      </c>
      <c r="O10393">
        <v>0.99980919999999895</v>
      </c>
      <c r="P10393">
        <v>0.14175019999999999</v>
      </c>
      <c r="Q10393">
        <v>0.1091549</v>
      </c>
      <c r="R10393">
        <v>0.98386589999999996</v>
      </c>
      <c r="S10393">
        <v>0.43501279999999998</v>
      </c>
      <c r="T10393">
        <v>-0.2088351</v>
      </c>
      <c r="U10393">
        <v>3.0097659999999999</v>
      </c>
      <c r="V10393">
        <v>0.12722240000000001</v>
      </c>
      <c r="W10393">
        <v>0.1204911</v>
      </c>
      <c r="X10393">
        <v>0.98452850000000003</v>
      </c>
      <c r="Y10393">
        <v>0.1275259</v>
      </c>
      <c r="Z10393">
        <v>-6.857017E-2</v>
      </c>
      <c r="AA10393">
        <v>0.98946210000000001</v>
      </c>
      <c r="AB10393">
        <v>43</v>
      </c>
      <c r="AC10393">
        <v>0.124300000000005</v>
      </c>
      <c r="AD10393">
        <v>-6.3336999999999893E-2</v>
      </c>
      <c r="AE10393">
        <v>0.44571999999999401</v>
      </c>
      <c r="AF10393">
        <v>0.115294350044205</v>
      </c>
      <c r="AG10393">
        <v>-6.3336999999999893E-2</v>
      </c>
      <c r="AH10393">
        <v>0.43934137371201498</v>
      </c>
      <c r="AI10393">
        <v>97.938250195899698</v>
      </c>
      <c r="AJ10393">
        <v>75.295693155257695</v>
      </c>
      <c r="AK10393">
        <v>0.45861226038591302</v>
      </c>
      <c r="AL10393">
        <v>83.079553847058904</v>
      </c>
      <c r="AM10393">
        <v>82.636947089393104</v>
      </c>
      <c r="AN10393">
        <v>1.0000000057766101</v>
      </c>
    </row>
    <row r="10394" spans="1:40" x14ac:dyDescent="0.25">
      <c r="A10394" t="str">
        <f>"20190312150924341"</f>
        <v>20190312150924341</v>
      </c>
      <c r="B10394" t="str">
        <f>"1552374564330129"</f>
        <v>1552374564330129</v>
      </c>
      <c r="C10394" t="s">
        <v>40</v>
      </c>
      <c r="D10394">
        <v>4.5523049999999996</v>
      </c>
      <c r="E10394">
        <v>0.50251840000000003</v>
      </c>
      <c r="F10394" t="s">
        <v>42</v>
      </c>
      <c r="G10394">
        <v>-185.36170000000001</v>
      </c>
      <c r="H10394" s="1">
        <v>-1.4029329999999901E-6</v>
      </c>
      <c r="I10394">
        <v>90.144069999999999</v>
      </c>
      <c r="J10394">
        <v>-187.6712</v>
      </c>
      <c r="K10394">
        <v>1.108042</v>
      </c>
      <c r="L10394">
        <v>74.917180000000002</v>
      </c>
      <c r="M10394">
        <v>1.697647E-2</v>
      </c>
      <c r="N10394">
        <v>0</v>
      </c>
      <c r="O10394">
        <v>0.99978250000000002</v>
      </c>
      <c r="P10394">
        <v>0.14380679999999901</v>
      </c>
      <c r="Q10394">
        <v>0.1093112</v>
      </c>
      <c r="R10394">
        <v>0.98355000000000004</v>
      </c>
      <c r="S10394">
        <v>0.44535829999999998</v>
      </c>
      <c r="T10394">
        <v>-0.2129518</v>
      </c>
      <c r="U10394">
        <v>3.0086360000000001</v>
      </c>
      <c r="V10394">
        <v>0.12765679999999999</v>
      </c>
      <c r="W10394">
        <v>0.120645</v>
      </c>
      <c r="X10394">
        <v>0.98445340000000003</v>
      </c>
      <c r="Y10394">
        <v>0.12925699999999901</v>
      </c>
      <c r="Z10394">
        <v>-6.9913240000000001E-2</v>
      </c>
      <c r="AA10394">
        <v>0.98914340000000001</v>
      </c>
      <c r="AB10394">
        <v>43</v>
      </c>
      <c r="AC10394">
        <v>2.3094999999999799</v>
      </c>
      <c r="AD10394">
        <v>-1.108043402933</v>
      </c>
      <c r="AE10394">
        <v>15.2268899999999</v>
      </c>
      <c r="AF10394">
        <v>2.0400893449701698</v>
      </c>
      <c r="AG10394">
        <v>-1.108043402933</v>
      </c>
      <c r="AH10394">
        <v>15.1853027362358</v>
      </c>
      <c r="AI10394">
        <v>94.136339917450499</v>
      </c>
      <c r="AJ10394">
        <v>82.348338878313697</v>
      </c>
      <c r="AK10394">
        <v>15.361742866920199</v>
      </c>
      <c r="AL10394">
        <v>83.070671088646407</v>
      </c>
      <c r="AM10394">
        <v>82.611525910351403</v>
      </c>
      <c r="AN10394">
        <v>0.99999998569139903</v>
      </c>
    </row>
    <row r="10395" spans="1:40" x14ac:dyDescent="0.25">
      <c r="A10395" t="str">
        <f>"20190312150924362"</f>
        <v>20190312150924362</v>
      </c>
      <c r="B10395" t="str">
        <f>"1552374564359409"</f>
        <v>1552374564359409</v>
      </c>
      <c r="C10395" t="s">
        <v>40</v>
      </c>
      <c r="D10395">
        <v>4.5696079999999997</v>
      </c>
      <c r="E10395">
        <v>0.5026349</v>
      </c>
      <c r="F10395" t="s">
        <v>42</v>
      </c>
      <c r="G10395">
        <v>-185.32650000000001</v>
      </c>
      <c r="H10395" s="1">
        <v>-1.522398E-6</v>
      </c>
      <c r="I10395">
        <v>90.46763</v>
      </c>
      <c r="J10395">
        <v>-187.66309999999999</v>
      </c>
      <c r="K10395">
        <v>1.1080399999999999</v>
      </c>
      <c r="L10395">
        <v>75.320740000000001</v>
      </c>
      <c r="M10395">
        <v>1.8534660000000001E-2</v>
      </c>
      <c r="N10395">
        <v>0</v>
      </c>
      <c r="O10395">
        <v>0.99975480000000005</v>
      </c>
      <c r="P10395">
        <v>0.14592189999999999</v>
      </c>
      <c r="Q10395">
        <v>0.10901660000000001</v>
      </c>
      <c r="R10395">
        <v>0.98327120000000001</v>
      </c>
      <c r="S10395">
        <v>0.45349119999999998</v>
      </c>
      <c r="T10395">
        <v>-0.21431210000000001</v>
      </c>
      <c r="U10395">
        <v>3.0076900000000002</v>
      </c>
      <c r="V10395">
        <v>0.12823950000000001</v>
      </c>
      <c r="W10395">
        <v>0.1203472</v>
      </c>
      <c r="X10395">
        <v>0.98441409999999996</v>
      </c>
      <c r="Y10395">
        <v>0.13036829999999999</v>
      </c>
      <c r="Z10395">
        <v>-7.0357429999999999E-2</v>
      </c>
      <c r="AA10395">
        <v>0.98896609999999996</v>
      </c>
      <c r="AB10395">
        <v>43</v>
      </c>
      <c r="AC10395">
        <v>2.33659999999997</v>
      </c>
      <c r="AD10395">
        <v>-1.108041522398</v>
      </c>
      <c r="AE10395">
        <v>15.146890000000001</v>
      </c>
      <c r="AF10395">
        <v>2.0447476244858098</v>
      </c>
      <c r="AG10395">
        <v>-1.108041522398</v>
      </c>
      <c r="AH10395">
        <v>15.1086263583756</v>
      </c>
      <c r="AI10395">
        <v>94.156708247259203</v>
      </c>
      <c r="AJ10395">
        <v>82.292621809388905</v>
      </c>
      <c r="AK10395">
        <v>15.286573824771899</v>
      </c>
      <c r="AL10395">
        <v>83.087858891411102</v>
      </c>
      <c r="AM10395">
        <v>82.577882775109003</v>
      </c>
      <c r="AN10395">
        <v>0.99999996909344901</v>
      </c>
    </row>
    <row r="10396" spans="1:40" x14ac:dyDescent="0.25">
      <c r="A10396" t="str">
        <f>"20190312150924385"</f>
        <v>20190312150924385</v>
      </c>
      <c r="B10396" t="str">
        <f>"1552374564379905"</f>
        <v>1552374564379905</v>
      </c>
      <c r="C10396" t="s">
        <v>40</v>
      </c>
      <c r="D10396">
        <v>4.5806789999999999</v>
      </c>
      <c r="E10396">
        <v>0.50256540000000005</v>
      </c>
      <c r="F10396" t="s">
        <v>42</v>
      </c>
      <c r="G10396">
        <v>-185.29480000000001</v>
      </c>
      <c r="H10396" s="1">
        <v>-1.6319190000000001E-6</v>
      </c>
      <c r="I10396">
        <v>90.76464</v>
      </c>
      <c r="J10396">
        <v>-187.65379999999999</v>
      </c>
      <c r="K10396">
        <v>1.1080369999999999</v>
      </c>
      <c r="L10396">
        <v>75.753879999999995</v>
      </c>
      <c r="M10396">
        <v>2.0207030000000001E-2</v>
      </c>
      <c r="N10396">
        <v>0</v>
      </c>
      <c r="O10396">
        <v>0.99972240000000001</v>
      </c>
      <c r="P10396">
        <v>0.14735960000000001</v>
      </c>
      <c r="Q10396">
        <v>0.1086684</v>
      </c>
      <c r="R10396">
        <v>0.98309530000000001</v>
      </c>
      <c r="S10396">
        <v>0.46105960000000001</v>
      </c>
      <c r="T10396">
        <v>-0.21570719999999999</v>
      </c>
      <c r="U10396">
        <v>3.0065309999999998</v>
      </c>
      <c r="V10396">
        <v>0.12803039999999999</v>
      </c>
      <c r="W10396">
        <v>0.1200017</v>
      </c>
      <c r="X10396">
        <v>0.98448349999999996</v>
      </c>
      <c r="Y10396">
        <v>0.13119430000000001</v>
      </c>
      <c r="Z10396">
        <v>-7.0819419999999994E-2</v>
      </c>
      <c r="AA10396">
        <v>0.98882389999999998</v>
      </c>
      <c r="AB10396">
        <v>43</v>
      </c>
      <c r="AC10396">
        <v>2.35899999999998</v>
      </c>
      <c r="AD10396">
        <v>-1.1080386319190001</v>
      </c>
      <c r="AE10396">
        <v>15.0107599999999</v>
      </c>
      <c r="AF10396">
        <v>2.0443025062624001</v>
      </c>
      <c r="AG10396">
        <v>-1.1080386319190001</v>
      </c>
      <c r="AH10396">
        <v>14.9757327904242</v>
      </c>
      <c r="AI10396">
        <v>94.192799575011307</v>
      </c>
      <c r="AJ10396">
        <v>82.226731835330298</v>
      </c>
      <c r="AK10396">
        <v>15.155180466003101</v>
      </c>
      <c r="AL10396">
        <v>83.107799146443199</v>
      </c>
      <c r="AM10396">
        <v>82.590366811534295</v>
      </c>
      <c r="AN10396">
        <v>0.99999997654964901</v>
      </c>
    </row>
    <row r="10397" spans="1:40" x14ac:dyDescent="0.25">
      <c r="A10397" t="str">
        <f>"20190312150924408"</f>
        <v>20190312150924408</v>
      </c>
      <c r="B10397" t="str">
        <f>"1552374564399425"</f>
        <v>1552374564399425</v>
      </c>
      <c r="C10397" t="s">
        <v>40</v>
      </c>
      <c r="D10397">
        <v>4.7925779999999998</v>
      </c>
      <c r="E10397">
        <v>0.50284989999999996</v>
      </c>
      <c r="F10397" t="s">
        <v>41</v>
      </c>
      <c r="G10397">
        <v>-187.4838</v>
      </c>
      <c r="H10397">
        <v>1.0287360000000001</v>
      </c>
      <c r="I10397">
        <v>76.852040000000002</v>
      </c>
      <c r="J10397">
        <v>-187.64359999999999</v>
      </c>
      <c r="K10397">
        <v>1.1080410000000001</v>
      </c>
      <c r="L10397">
        <v>76.189089999999993</v>
      </c>
      <c r="M10397">
        <v>2.1887609999999998E-2</v>
      </c>
      <c r="N10397">
        <v>0</v>
      </c>
      <c r="O10397">
        <v>0.99968699999999999</v>
      </c>
      <c r="P10397">
        <v>0.14949680000000001</v>
      </c>
      <c r="Q10397">
        <v>0.1087629</v>
      </c>
      <c r="R10397">
        <v>0.98276209999999997</v>
      </c>
      <c r="S10397">
        <v>0.46546939999999998</v>
      </c>
      <c r="T10397">
        <v>-0.2170647</v>
      </c>
      <c r="U10397">
        <v>3.0058289999999999</v>
      </c>
      <c r="V10397">
        <v>0.12851789999999999</v>
      </c>
      <c r="W10397">
        <v>0.12009350000000001</v>
      </c>
      <c r="X10397">
        <v>0.98440879999999997</v>
      </c>
      <c r="Y10397">
        <v>0.13097449999999999</v>
      </c>
      <c r="Z10397">
        <v>-7.1268590000000007E-2</v>
      </c>
      <c r="AA10397">
        <v>0.9888207</v>
      </c>
      <c r="AB10397">
        <v>43</v>
      </c>
      <c r="AC10397">
        <v>0.15979999999998901</v>
      </c>
      <c r="AD10397">
        <v>-7.9304999999999903E-2</v>
      </c>
      <c r="AE10397">
        <v>0.66294999999999504</v>
      </c>
      <c r="AF10397">
        <v>0.14331207281679201</v>
      </c>
      <c r="AG10397">
        <v>-7.9304999999999903E-2</v>
      </c>
      <c r="AH10397">
        <v>0.65739826151356096</v>
      </c>
      <c r="AI10397">
        <v>96.722233951194795</v>
      </c>
      <c r="AJ10397">
        <v>77.701990854732898</v>
      </c>
      <c r="AK10397">
        <v>0.67749546676055095</v>
      </c>
      <c r="AL10397">
        <v>83.102501188994097</v>
      </c>
      <c r="AM10397">
        <v>82.561910452879602</v>
      </c>
      <c r="AN10397">
        <v>0.999999992440049</v>
      </c>
    </row>
    <row r="10398" spans="1:40" x14ac:dyDescent="0.25">
      <c r="A10398" t="str">
        <f>"20190312150924429"</f>
        <v>20190312150924429</v>
      </c>
      <c r="B10398" t="str">
        <f>"1552374564419921"</f>
        <v>1552374564419921</v>
      </c>
      <c r="C10398" t="s">
        <v>40</v>
      </c>
      <c r="D10398">
        <v>4.6202059999999996</v>
      </c>
      <c r="E10398">
        <v>0.50281739999999997</v>
      </c>
      <c r="F10398" t="s">
        <v>41</v>
      </c>
      <c r="G10398">
        <v>-187.4777</v>
      </c>
      <c r="H10398">
        <v>1.0322579999999999</v>
      </c>
      <c r="I10398">
        <v>77.239930000000001</v>
      </c>
      <c r="J10398">
        <v>-187.63300000000001</v>
      </c>
      <c r="K10398">
        <v>1.108039</v>
      </c>
      <c r="L10398">
        <v>76.613529999999997</v>
      </c>
      <c r="M10398">
        <v>2.352655E-2</v>
      </c>
      <c r="N10398">
        <v>0</v>
      </c>
      <c r="O10398">
        <v>0.99964980000000003</v>
      </c>
      <c r="P10398">
        <v>0.15117559999999999</v>
      </c>
      <c r="Q10398">
        <v>0.10851139999999999</v>
      </c>
      <c r="R10398">
        <v>0.98253299999999999</v>
      </c>
      <c r="S10398">
        <v>0.47424319999999998</v>
      </c>
      <c r="T10398">
        <v>-0.21667890000000001</v>
      </c>
      <c r="U10398">
        <v>3.0044559999999998</v>
      </c>
      <c r="V10398">
        <v>0.12858459999999999</v>
      </c>
      <c r="W10398">
        <v>0.11984259999999999</v>
      </c>
      <c r="X10398">
        <v>0.98443069999999999</v>
      </c>
      <c r="Y10398">
        <v>0.13223750000000001</v>
      </c>
      <c r="Z10398">
        <v>-7.1148680000000006E-2</v>
      </c>
      <c r="AA10398">
        <v>0.98866129999999997</v>
      </c>
      <c r="AB10398">
        <v>43</v>
      </c>
      <c r="AC10398">
        <v>0.15529999999998201</v>
      </c>
      <c r="AD10398">
        <v>-7.5781000000000098E-2</v>
      </c>
      <c r="AE10398">
        <v>0.62639999999998897</v>
      </c>
      <c r="AF10398">
        <v>0.13860773060401299</v>
      </c>
      <c r="AG10398">
        <v>-7.5781000000000098E-2</v>
      </c>
      <c r="AH10398">
        <v>0.62131367495893297</v>
      </c>
      <c r="AI10398">
        <v>96.788695392040097</v>
      </c>
      <c r="AJ10398">
        <v>77.4239206600692</v>
      </c>
      <c r="AK10398">
        <v>0.64108154367067005</v>
      </c>
      <c r="AL10398">
        <v>83.116981508473799</v>
      </c>
      <c r="AM10398">
        <v>82.558257089115102</v>
      </c>
      <c r="AN10398">
        <v>1.0000000256171999</v>
      </c>
    </row>
    <row r="10399" spans="1:40" x14ac:dyDescent="0.25">
      <c r="A10399" t="str">
        <f>"20190312150924441"</f>
        <v>20190312150924441</v>
      </c>
      <c r="B10399" t="str">
        <f>"1552374564429682"</f>
        <v>1552374564429682</v>
      </c>
      <c r="C10399" t="s">
        <v>40</v>
      </c>
      <c r="D10399">
        <v>4.7598339999999997</v>
      </c>
      <c r="E10399">
        <v>0.50266920000000004</v>
      </c>
      <c r="F10399" t="s">
        <v>41</v>
      </c>
      <c r="G10399">
        <v>-187.47130000000001</v>
      </c>
      <c r="H10399">
        <v>1.034937</v>
      </c>
      <c r="I10399">
        <v>77.627110000000002</v>
      </c>
      <c r="J10399">
        <v>-187.62700000000001</v>
      </c>
      <c r="K10399">
        <v>1.108039</v>
      </c>
      <c r="L10399">
        <v>76.843409999999906</v>
      </c>
      <c r="M10399">
        <v>2.4414370000000001E-2</v>
      </c>
      <c r="N10399">
        <v>0</v>
      </c>
      <c r="O10399">
        <v>0.99962850000000003</v>
      </c>
      <c r="P10399">
        <v>0.15220059999999999</v>
      </c>
      <c r="Q10399">
        <v>0.1084238</v>
      </c>
      <c r="R10399">
        <v>0.98238440000000005</v>
      </c>
      <c r="S10399">
        <v>0.4789429</v>
      </c>
      <c r="T10399">
        <v>-0.21662149999999999</v>
      </c>
      <c r="U10399">
        <v>3.003571</v>
      </c>
      <c r="V10399">
        <v>0.1287373</v>
      </c>
      <c r="W10399">
        <v>0.1197545</v>
      </c>
      <c r="X10399">
        <v>0.9844214</v>
      </c>
      <c r="Y10399">
        <v>0.13291120000000001</v>
      </c>
      <c r="Z10399">
        <v>-7.1136420000000006E-2</v>
      </c>
      <c r="AA10399">
        <v>0.9885718</v>
      </c>
      <c r="AB10399">
        <v>43</v>
      </c>
      <c r="AC10399">
        <v>0.15569999999999501</v>
      </c>
      <c r="AD10399">
        <v>-7.3102E-2</v>
      </c>
      <c r="AE10399">
        <v>0.78370000000001006</v>
      </c>
      <c r="AF10399">
        <v>0.135385405879766</v>
      </c>
      <c r="AG10399">
        <v>-7.3102E-2</v>
      </c>
      <c r="AH10399">
        <v>0.78073291003298395</v>
      </c>
      <c r="AI10399">
        <v>95.270943587021705</v>
      </c>
      <c r="AJ10399">
        <v>80.162277556178793</v>
      </c>
      <c r="AK10399">
        <v>0.79574932443439705</v>
      </c>
      <c r="AL10399">
        <v>83.122065448436601</v>
      </c>
      <c r="AM10399">
        <v>82.549449317422898</v>
      </c>
      <c r="AN10399">
        <v>0.999999962729749</v>
      </c>
    </row>
    <row r="10400" spans="1:40" x14ac:dyDescent="0.25">
      <c r="A10400" t="str">
        <f>"20190312150924453"</f>
        <v>20190312150924453</v>
      </c>
      <c r="B10400" t="str">
        <f>"1552374564450177"</f>
        <v>1552374564450177</v>
      </c>
      <c r="C10400" t="s">
        <v>40</v>
      </c>
      <c r="D10400">
        <v>4.6123719999999997</v>
      </c>
      <c r="E10400">
        <v>0.50260590000000005</v>
      </c>
      <c r="F10400" t="s">
        <v>42</v>
      </c>
      <c r="G10400">
        <v>-185.14660000000001</v>
      </c>
      <c r="H10400" s="1">
        <v>-2.2011520000000001E-6</v>
      </c>
      <c r="I10400">
        <v>92.321470000000005</v>
      </c>
      <c r="J10400">
        <v>-187.62090000000001</v>
      </c>
      <c r="K10400">
        <v>1.1080380000000001</v>
      </c>
      <c r="L10400">
        <v>77.068659999999994</v>
      </c>
      <c r="M10400">
        <v>2.528422E-2</v>
      </c>
      <c r="N10400">
        <v>0</v>
      </c>
      <c r="O10400">
        <v>0.99960680000000002</v>
      </c>
      <c r="P10400">
        <v>0.15309710000000001</v>
      </c>
      <c r="Q10400">
        <v>0.10844910000000001</v>
      </c>
      <c r="R10400">
        <v>0.98224230000000001</v>
      </c>
      <c r="S10400">
        <v>0.48124689999999998</v>
      </c>
      <c r="T10400">
        <v>-0.21497550000000001</v>
      </c>
      <c r="U10400">
        <v>3.0029599999999999</v>
      </c>
      <c r="V10400">
        <v>0.12877949999999999</v>
      </c>
      <c r="W10400">
        <v>0.1197796</v>
      </c>
      <c r="X10400">
        <v>0.98441279999999998</v>
      </c>
      <c r="Y10400">
        <v>0.13282559999999999</v>
      </c>
      <c r="Z10400">
        <v>-7.0606600000000005E-2</v>
      </c>
      <c r="AA10400">
        <v>0.98862130000000004</v>
      </c>
      <c r="AB10400">
        <v>43</v>
      </c>
      <c r="AC10400">
        <v>2.4742999999999902</v>
      </c>
      <c r="AD10400">
        <v>-1.1080402011520001</v>
      </c>
      <c r="AE10400">
        <v>15.252809999999901</v>
      </c>
      <c r="AF10400">
        <v>2.0771444733564799</v>
      </c>
      <c r="AG10400">
        <v>-1.1080402011520001</v>
      </c>
      <c r="AH10400">
        <v>15.2321747720181</v>
      </c>
      <c r="AI10400">
        <v>94.122540947655196</v>
      </c>
      <c r="AJ10400">
        <v>82.234724187463499</v>
      </c>
      <c r="AK10400">
        <v>15.4130279483257</v>
      </c>
      <c r="AL10400">
        <v>83.120616716363301</v>
      </c>
      <c r="AM10400">
        <v>82.546970105823505</v>
      </c>
      <c r="AN10400">
        <v>0.99999993650012198</v>
      </c>
    </row>
    <row r="10401" spans="1:40" x14ac:dyDescent="0.25">
      <c r="A10401" t="str">
        <f>"20190312150924465"</f>
        <v>20190312150924465</v>
      </c>
      <c r="B10401" t="str">
        <f>"1552374564459937"</f>
        <v>1552374564459937</v>
      </c>
      <c r="C10401" t="s">
        <v>40</v>
      </c>
      <c r="D10401">
        <v>4.5981839999999998</v>
      </c>
      <c r="E10401">
        <v>0.50256369999999995</v>
      </c>
      <c r="F10401" t="s">
        <v>41</v>
      </c>
      <c r="G10401">
        <v>-187.46809999999999</v>
      </c>
      <c r="H10401">
        <v>1.04016</v>
      </c>
      <c r="I10401">
        <v>78.015990000000002</v>
      </c>
      <c r="J10401">
        <v>-187.61410000000001</v>
      </c>
      <c r="K10401">
        <v>1.108039</v>
      </c>
      <c r="L10401">
        <v>77.312529999999995</v>
      </c>
      <c r="M10401">
        <v>2.6226019999999999E-2</v>
      </c>
      <c r="N10401">
        <v>0</v>
      </c>
      <c r="O10401">
        <v>0.99958259999999999</v>
      </c>
      <c r="P10401">
        <v>0.15369059999999901</v>
      </c>
      <c r="Q10401">
        <v>0.1080928</v>
      </c>
      <c r="R10401">
        <v>0.98218890000000003</v>
      </c>
      <c r="S10401">
        <v>0.48387150000000001</v>
      </c>
      <c r="T10401">
        <v>-0.2151497</v>
      </c>
      <c r="U10401">
        <v>3.0025629999999999</v>
      </c>
      <c r="V10401">
        <v>0.128443899999999</v>
      </c>
      <c r="W10401">
        <v>0.1194265</v>
      </c>
      <c r="X10401">
        <v>0.98449960000000003</v>
      </c>
      <c r="Y10401">
        <v>0.13275390000000001</v>
      </c>
      <c r="Z10401">
        <v>-7.0665610000000004E-2</v>
      </c>
      <c r="AA10401">
        <v>0.98862669999999997</v>
      </c>
      <c r="AB10401">
        <v>43</v>
      </c>
      <c r="AC10401">
        <v>0.14600000000001501</v>
      </c>
      <c r="AD10401">
        <v>-6.7878999999999995E-2</v>
      </c>
      <c r="AE10401">
        <v>0.70345999999999198</v>
      </c>
      <c r="AF10401">
        <v>0.12637142161499801</v>
      </c>
      <c r="AG10401">
        <v>-6.7878999999999995E-2</v>
      </c>
      <c r="AH10401">
        <v>0.70079173265760097</v>
      </c>
      <c r="AI10401">
        <v>95.445153092766901</v>
      </c>
      <c r="AJ10401">
        <v>79.777899309550406</v>
      </c>
      <c r="AK10401">
        <v>0.71532254780849602</v>
      </c>
      <c r="AL10401">
        <v>83.140994522824101</v>
      </c>
      <c r="AM10401">
        <v>82.566823307493905</v>
      </c>
      <c r="AN10401">
        <v>0.99999999337480905</v>
      </c>
    </row>
    <row r="10402" spans="1:40" x14ac:dyDescent="0.25">
      <c r="A10402" t="str">
        <f>"20190312150924477"</f>
        <v>20190312150924477</v>
      </c>
      <c r="B10402" t="str">
        <f>"1552374564469697"</f>
        <v>1552374564469697</v>
      </c>
      <c r="C10402" t="s">
        <v>40</v>
      </c>
      <c r="D10402">
        <v>4.6114680000000003</v>
      </c>
      <c r="E10402">
        <v>0.50256369999999995</v>
      </c>
      <c r="F10402" t="s">
        <v>41</v>
      </c>
      <c r="G10402">
        <v>-187.4391</v>
      </c>
      <c r="H10402">
        <v>1.0301940000000001</v>
      </c>
      <c r="I10402">
        <v>78.395359999999997</v>
      </c>
      <c r="J10402">
        <v>-187.60720000000001</v>
      </c>
      <c r="K10402">
        <v>1.108039</v>
      </c>
      <c r="L10402">
        <v>77.550869999999904</v>
      </c>
      <c r="M10402">
        <v>2.7146509999999999E-2</v>
      </c>
      <c r="N10402">
        <v>0</v>
      </c>
      <c r="O10402">
        <v>0.99955799999999995</v>
      </c>
      <c r="P10402">
        <v>0.15456110000000001</v>
      </c>
      <c r="Q10402">
        <v>0.1083707</v>
      </c>
      <c r="R10402">
        <v>0.9820217</v>
      </c>
      <c r="S10402">
        <v>0.4851685</v>
      </c>
      <c r="T10402">
        <v>-0.2158302</v>
      </c>
      <c r="U10402">
        <v>3.0022280000000001</v>
      </c>
      <c r="V10402">
        <v>0.1284122</v>
      </c>
      <c r="W10402">
        <v>0.1197053</v>
      </c>
      <c r="X10402">
        <v>0.98446990000000001</v>
      </c>
      <c r="Y10402">
        <v>0.13227230000000001</v>
      </c>
      <c r="Z10402">
        <v>-7.0893040000000004E-2</v>
      </c>
      <c r="AA10402">
        <v>0.98867499999999997</v>
      </c>
      <c r="AB10402">
        <v>43</v>
      </c>
      <c r="AC10402">
        <v>0.16810000000000899</v>
      </c>
      <c r="AD10402">
        <v>-7.78449999999999E-2</v>
      </c>
      <c r="AE10402">
        <v>0.84449000000000696</v>
      </c>
      <c r="AF10402">
        <v>0.14393497890003301</v>
      </c>
      <c r="AG10402">
        <v>-7.78449999999999E-2</v>
      </c>
      <c r="AH10402">
        <v>0.84186162016363297</v>
      </c>
      <c r="AI10402">
        <v>95.207841887482203</v>
      </c>
      <c r="AJ10402">
        <v>80.297822021001295</v>
      </c>
      <c r="AK10402">
        <v>0.85761769436065804</v>
      </c>
      <c r="AL10402">
        <v>83.124905207645597</v>
      </c>
      <c r="AM10402">
        <v>82.568415623453404</v>
      </c>
      <c r="AN10402">
        <v>1.0000000179814601</v>
      </c>
    </row>
    <row r="10403" spans="1:40" x14ac:dyDescent="0.25">
      <c r="A10403" t="str">
        <f>"20190312150924495"</f>
        <v>20190312150924495</v>
      </c>
      <c r="B10403" t="str">
        <f>"1552374564490104"</f>
        <v>1552374564490104</v>
      </c>
      <c r="C10403" t="s">
        <v>40</v>
      </c>
      <c r="D10403">
        <v>4.5525200000000003</v>
      </c>
      <c r="E10403">
        <v>0.5183179</v>
      </c>
      <c r="F10403" t="s">
        <v>41</v>
      </c>
      <c r="G10403">
        <v>-187.46789999999999</v>
      </c>
      <c r="H10403">
        <v>1.0467280000000001</v>
      </c>
      <c r="I10403">
        <v>78.407049999999998</v>
      </c>
      <c r="J10403">
        <v>-187.59690000000001</v>
      </c>
      <c r="K10403">
        <v>1.1080299999999901</v>
      </c>
      <c r="L10403">
        <v>77.894069999999999</v>
      </c>
      <c r="M10403">
        <v>2.8472000000000001E-2</v>
      </c>
      <c r="N10403">
        <v>0</v>
      </c>
      <c r="O10403">
        <v>0.99952110000000005</v>
      </c>
      <c r="P10403">
        <v>0.15575910000000001</v>
      </c>
      <c r="Q10403">
        <v>0.1081917</v>
      </c>
      <c r="R10403">
        <v>0.98185219999999995</v>
      </c>
      <c r="S10403">
        <v>0.48811339999999998</v>
      </c>
      <c r="T10403">
        <v>-0.21496770000000001</v>
      </c>
      <c r="U10403">
        <v>3.0018310000000001</v>
      </c>
      <c r="V10403">
        <v>0.12830639999999999</v>
      </c>
      <c r="W10403">
        <v>0.1195278</v>
      </c>
      <c r="X10403">
        <v>0.98450519999999997</v>
      </c>
      <c r="Y10403">
        <v>0.13192679999999901</v>
      </c>
      <c r="Z10403">
        <v>-7.0612590000000003E-2</v>
      </c>
      <c r="AA10403">
        <v>0.98874119999999999</v>
      </c>
      <c r="AB10403">
        <v>43</v>
      </c>
      <c r="AC10403">
        <v>0.12900000000001899</v>
      </c>
      <c r="AD10403">
        <v>-6.1301999999999697E-2</v>
      </c>
      <c r="AE10403">
        <v>0.51297999999999799</v>
      </c>
      <c r="AF10403">
        <v>0.11282566011928601</v>
      </c>
      <c r="AG10403">
        <v>-6.1301999999999697E-2</v>
      </c>
      <c r="AH10403">
        <v>0.50960056447108704</v>
      </c>
      <c r="AI10403">
        <v>96.698703771319003</v>
      </c>
      <c r="AJ10403">
        <v>77.516082830497993</v>
      </c>
      <c r="AK10403">
        <v>0.52552859112954398</v>
      </c>
      <c r="AL10403">
        <v>83.135148341848193</v>
      </c>
      <c r="AM10403">
        <v>82.574733491072905</v>
      </c>
      <c r="AN10403">
        <v>0.99999995804041897</v>
      </c>
    </row>
    <row r="10404" spans="1:40" x14ac:dyDescent="0.25">
      <c r="A10404" t="str">
        <f>"20190312150924520"</f>
        <v>20190312150924520</v>
      </c>
      <c r="B10404" t="str">
        <f>"1552374564509624"</f>
        <v>1552374564509624</v>
      </c>
      <c r="C10404" t="s">
        <v>40</v>
      </c>
      <c r="D10404">
        <v>4.5632429999999999</v>
      </c>
      <c r="E10404">
        <v>0.52024190000000003</v>
      </c>
      <c r="F10404" t="s">
        <v>42</v>
      </c>
      <c r="G10404">
        <v>-183.78219999999999</v>
      </c>
      <c r="H10404" s="1">
        <v>-3.9770560000000001E-6</v>
      </c>
      <c r="I10404">
        <v>96.332419999999999</v>
      </c>
      <c r="J10404">
        <v>-187.58199999999999</v>
      </c>
      <c r="K10404">
        <v>1.1080299999999901</v>
      </c>
      <c r="L10404">
        <v>78.366460000000004</v>
      </c>
      <c r="M10404">
        <v>3.0296279999999998E-2</v>
      </c>
      <c r="N10404">
        <v>0</v>
      </c>
      <c r="O10404">
        <v>0.99946740000000001</v>
      </c>
      <c r="P10404">
        <v>0.15748519999999999</v>
      </c>
      <c r="Q10404">
        <v>0.1081384</v>
      </c>
      <c r="R10404">
        <v>0.98158259999999997</v>
      </c>
      <c r="S10404">
        <v>0.61599729999999997</v>
      </c>
      <c r="T10404">
        <v>-0.178926799999999</v>
      </c>
      <c r="U10404">
        <v>2.9774479999999999</v>
      </c>
      <c r="V10404">
        <v>0.1282403</v>
      </c>
      <c r="W10404">
        <v>0.1194757</v>
      </c>
      <c r="X10404">
        <v>0.98452019999999996</v>
      </c>
      <c r="Y10404">
        <v>0.17248289999999999</v>
      </c>
      <c r="Z10404">
        <v>-5.8874040000000002E-2</v>
      </c>
      <c r="AA10404">
        <v>0.98325149999999994</v>
      </c>
      <c r="AB10404">
        <v>43</v>
      </c>
      <c r="AC10404">
        <v>3.7997999999999998</v>
      </c>
      <c r="AD10404">
        <v>-1.1080339770559999</v>
      </c>
      <c r="AE10404">
        <v>17.9659599999999</v>
      </c>
      <c r="AF10404">
        <v>3.2419104706072499</v>
      </c>
      <c r="AG10404">
        <v>-1.1080339770559999</v>
      </c>
      <c r="AH10404">
        <v>18.007278579446499</v>
      </c>
      <c r="AI10404">
        <v>93.465540969654796</v>
      </c>
      <c r="AJ10404">
        <v>79.794176109252405</v>
      </c>
      <c r="AK10404">
        <v>18.330297450710798</v>
      </c>
      <c r="AL10404">
        <v>83.138155430679106</v>
      </c>
      <c r="AM10404">
        <v>82.578627946138397</v>
      </c>
      <c r="AN10404">
        <v>1.0000000208213</v>
      </c>
    </row>
    <row r="10405" spans="1:40" x14ac:dyDescent="0.25">
      <c r="A10405" t="str">
        <f>"20190312150924542"</f>
        <v>20190312150924542</v>
      </c>
      <c r="B10405" t="str">
        <f>"1552374564539880"</f>
        <v>1552374564539880</v>
      </c>
      <c r="C10405" t="s">
        <v>40</v>
      </c>
      <c r="D10405">
        <v>4.5457349999999996</v>
      </c>
      <c r="E10405">
        <v>0.5211903</v>
      </c>
      <c r="F10405" t="s">
        <v>42</v>
      </c>
      <c r="G10405">
        <v>-183.5214</v>
      </c>
      <c r="H10405" s="1">
        <v>-4.4546779999999997E-6</v>
      </c>
      <c r="I10405">
        <v>97.337919999999997</v>
      </c>
      <c r="J10405">
        <v>-187.5676</v>
      </c>
      <c r="K10405">
        <v>1.1080319999999999</v>
      </c>
      <c r="L10405">
        <v>78.799160000000001</v>
      </c>
      <c r="M10405">
        <v>3.1967540000000003E-2</v>
      </c>
      <c r="N10405">
        <v>0</v>
      </c>
      <c r="O10405">
        <v>0.99941539999999995</v>
      </c>
      <c r="P10405">
        <v>0.15957099999999999</v>
      </c>
      <c r="Q10405">
        <v>0.10832749999999999</v>
      </c>
      <c r="R10405">
        <v>0.98122489999999996</v>
      </c>
      <c r="S10405">
        <v>0.63639829999999997</v>
      </c>
      <c r="T10405">
        <v>-0.17365630000000001</v>
      </c>
      <c r="U10405">
        <v>2.9732970000000001</v>
      </c>
      <c r="V10405">
        <v>0.12868879999999999</v>
      </c>
      <c r="W10405">
        <v>0.1196632</v>
      </c>
      <c r="X10405">
        <v>0.98443890000000001</v>
      </c>
      <c r="Y10405">
        <v>0.17758669999999999</v>
      </c>
      <c r="Z10405">
        <v>-5.715303E-2</v>
      </c>
      <c r="AA10405">
        <v>0.98244419999999999</v>
      </c>
      <c r="AB10405">
        <v>43</v>
      </c>
      <c r="AC10405">
        <v>4.04619999999999</v>
      </c>
      <c r="AD10405">
        <v>-1.1080364546779999</v>
      </c>
      <c r="AE10405">
        <v>18.53876</v>
      </c>
      <c r="AF10405">
        <v>3.4397206555660498</v>
      </c>
      <c r="AG10405">
        <v>-1.1080364546779999</v>
      </c>
      <c r="AH10405">
        <v>18.5952330308256</v>
      </c>
      <c r="AI10405">
        <v>93.353304091568106</v>
      </c>
      <c r="AJ10405">
        <v>79.519965975960801</v>
      </c>
      <c r="AK10405">
        <v>18.9431284228327</v>
      </c>
      <c r="AL10405">
        <v>83.127334825884603</v>
      </c>
      <c r="AM10405">
        <v>82.552355601752893</v>
      </c>
      <c r="AN10405">
        <v>1.0000000182564399</v>
      </c>
    </row>
    <row r="10406" spans="1:40" x14ac:dyDescent="0.25">
      <c r="A10406" t="str">
        <f>"20190312150924565"</f>
        <v>20190312150924565</v>
      </c>
      <c r="B10406" t="str">
        <f>"1552374564559400"</f>
        <v>1552374564559400</v>
      </c>
      <c r="C10406" t="s">
        <v>40</v>
      </c>
      <c r="D10406">
        <v>4.5422840000000004</v>
      </c>
      <c r="E10406">
        <v>0.52123770000000003</v>
      </c>
      <c r="F10406" t="s">
        <v>42</v>
      </c>
      <c r="G10406">
        <v>-183.20849999999999</v>
      </c>
      <c r="H10406" s="1">
        <v>-5.0987790000000003E-6</v>
      </c>
      <c r="I10406">
        <v>98.709959999999995</v>
      </c>
      <c r="J10406">
        <v>-187.55260000000001</v>
      </c>
      <c r="K10406">
        <v>1.1080289999999999</v>
      </c>
      <c r="L10406">
        <v>79.225709999999907</v>
      </c>
      <c r="M10406">
        <v>3.361476E-2</v>
      </c>
      <c r="N10406">
        <v>0</v>
      </c>
      <c r="O10406">
        <v>0.99936130000000001</v>
      </c>
      <c r="P10406">
        <v>0.16163959999999999</v>
      </c>
      <c r="Q10406">
        <v>0.1080219</v>
      </c>
      <c r="R10406">
        <v>0.98092000000000001</v>
      </c>
      <c r="S10406">
        <v>0.65020749999999905</v>
      </c>
      <c r="T10406">
        <v>-0.16527559999999999</v>
      </c>
      <c r="U10406">
        <v>2.96991</v>
      </c>
      <c r="V10406">
        <v>0.12914030000000001</v>
      </c>
      <c r="W10406">
        <v>0.1193559</v>
      </c>
      <c r="X10406">
        <v>0.98441710000000004</v>
      </c>
      <c r="Y10406">
        <v>0.18058930000000001</v>
      </c>
      <c r="Z10406">
        <v>-5.4417930000000003E-2</v>
      </c>
      <c r="AA10406">
        <v>0.98205200000000004</v>
      </c>
      <c r="AB10406">
        <v>43</v>
      </c>
      <c r="AC10406">
        <v>4.3441000000000196</v>
      </c>
      <c r="AD10406">
        <v>-1.1080340987790001</v>
      </c>
      <c r="AE10406">
        <v>19.484249999999999</v>
      </c>
      <c r="AF10406">
        <v>3.6753150055789998</v>
      </c>
      <c r="AG10406">
        <v>-1.1080340987790001</v>
      </c>
      <c r="AH10406">
        <v>19.5590154238878</v>
      </c>
      <c r="AI10406">
        <v>93.186731396718201</v>
      </c>
      <c r="AJ10406">
        <v>79.357708366067598</v>
      </c>
      <c r="AK10406">
        <v>19.932154030765801</v>
      </c>
      <c r="AL10406">
        <v>83.145069049593801</v>
      </c>
      <c r="AM10406">
        <v>82.526357044294997</v>
      </c>
      <c r="AN10406">
        <v>1.0000000373606499</v>
      </c>
    </row>
    <row r="10407" spans="1:40" x14ac:dyDescent="0.25">
      <c r="A10407" t="str">
        <f>"20190312150924586"</f>
        <v>20190312150924586</v>
      </c>
      <c r="B10407" t="str">
        <f>"1552374564579896"</f>
        <v>1552374564579896</v>
      </c>
      <c r="C10407" t="s">
        <v>40</v>
      </c>
      <c r="D10407">
        <v>4.5645439999999997</v>
      </c>
      <c r="E10407">
        <v>0.52129389999999998</v>
      </c>
      <c r="F10407" t="s">
        <v>42</v>
      </c>
      <c r="G10407">
        <v>-183.1591</v>
      </c>
      <c r="H10407" s="1">
        <v>-5.2673899999999999E-6</v>
      </c>
      <c r="I10407">
        <v>99.082589999999996</v>
      </c>
      <c r="J10407">
        <v>-187.53739999999999</v>
      </c>
      <c r="K10407">
        <v>1.108026</v>
      </c>
      <c r="L10407">
        <v>79.641019999999997</v>
      </c>
      <c r="M10407">
        <v>3.5218579999999999E-2</v>
      </c>
      <c r="N10407">
        <v>0</v>
      </c>
      <c r="O10407">
        <v>0.99930609999999997</v>
      </c>
      <c r="P10407">
        <v>0.163906</v>
      </c>
      <c r="Q10407">
        <v>0.10769919999999999</v>
      </c>
      <c r="R10407">
        <v>0.98057930000000004</v>
      </c>
      <c r="S10407">
        <v>0.65678409999999998</v>
      </c>
      <c r="T10407">
        <v>-0.16563889999999901</v>
      </c>
      <c r="U10407">
        <v>2.9683839999999999</v>
      </c>
      <c r="V10407">
        <v>0.12983359999999999</v>
      </c>
      <c r="W10407">
        <v>0.1190302</v>
      </c>
      <c r="X10407">
        <v>0.9843653</v>
      </c>
      <c r="Y10407">
        <v>0.18119009999999999</v>
      </c>
      <c r="Z10407">
        <v>-5.454411E-2</v>
      </c>
      <c r="AA10407">
        <v>0.98193439999999999</v>
      </c>
      <c r="AB10407">
        <v>43</v>
      </c>
      <c r="AC10407">
        <v>4.3782999999999896</v>
      </c>
      <c r="AD10407">
        <v>-1.1080312673899999</v>
      </c>
      <c r="AE10407">
        <v>19.441569999999999</v>
      </c>
      <c r="AF10407">
        <v>3.6794539589017301</v>
      </c>
      <c r="AG10407">
        <v>-1.1080312673899999</v>
      </c>
      <c r="AH10407">
        <v>19.523361556078999</v>
      </c>
      <c r="AI10407">
        <v>93.192209440525005</v>
      </c>
      <c r="AJ10407">
        <v>79.326987847505393</v>
      </c>
      <c r="AK10407">
        <v>19.897933590566002</v>
      </c>
      <c r="AL10407">
        <v>83.163864003471701</v>
      </c>
      <c r="AM10407">
        <v>82.486300518918597</v>
      </c>
      <c r="AN10407">
        <v>0.99999999802254402</v>
      </c>
    </row>
    <row r="10408" spans="1:40" x14ac:dyDescent="0.25">
      <c r="A10408" t="str">
        <f>"20190312150924600"</f>
        <v>20190312150924600</v>
      </c>
      <c r="B10408" t="str">
        <f>"1552374564590314"</f>
        <v>1552374564590314</v>
      </c>
      <c r="C10408" t="s">
        <v>40</v>
      </c>
      <c r="D10408">
        <v>4.6428820000000002</v>
      </c>
      <c r="E10408">
        <v>0.52149699999999999</v>
      </c>
      <c r="F10408" t="s">
        <v>42</v>
      </c>
      <c r="G10408">
        <v>-183.11840000000001</v>
      </c>
      <c r="H10408" s="1">
        <v>-5.400184E-6</v>
      </c>
      <c r="I10408">
        <v>99.375309999999999</v>
      </c>
      <c r="J10408">
        <v>-187.5273</v>
      </c>
      <c r="K10408">
        <v>1.1080270000000001</v>
      </c>
      <c r="L10408">
        <v>79.907169999999994</v>
      </c>
      <c r="M10408">
        <v>3.6246359999999998E-2</v>
      </c>
      <c r="N10408">
        <v>0</v>
      </c>
      <c r="O10408">
        <v>0.99926930000000003</v>
      </c>
      <c r="P10408">
        <v>0.165187</v>
      </c>
      <c r="Q10408">
        <v>0.10729080000000001</v>
      </c>
      <c r="R10408">
        <v>0.98040910000000003</v>
      </c>
      <c r="S10408">
        <v>0.66430659999999997</v>
      </c>
      <c r="T10408">
        <v>-0.16657139999999901</v>
      </c>
      <c r="U10408">
        <v>2.966675</v>
      </c>
      <c r="V10408">
        <v>0.1301042</v>
      </c>
      <c r="W10408">
        <v>0.118620699999999</v>
      </c>
      <c r="X10408">
        <v>0.984379</v>
      </c>
      <c r="Y10408">
        <v>0.1826663</v>
      </c>
      <c r="Z10408">
        <v>-5.4855519999999998E-2</v>
      </c>
      <c r="AA10408">
        <v>0.98164340000000005</v>
      </c>
      <c r="AB10408">
        <v>43</v>
      </c>
      <c r="AC10408">
        <v>4.4088999999999796</v>
      </c>
      <c r="AD10408">
        <v>-1.1080324001840001</v>
      </c>
      <c r="AE10408">
        <v>19.468139999999998</v>
      </c>
      <c r="AF10408">
        <v>3.6889345852434401</v>
      </c>
      <c r="AG10408">
        <v>-1.1080324001840001</v>
      </c>
      <c r="AH10408">
        <v>19.554909023780102</v>
      </c>
      <c r="AI10408">
        <v>93.186968714421695</v>
      </c>
      <c r="AJ10408">
        <v>79.316985745468202</v>
      </c>
      <c r="AK10408">
        <v>19.930640759955001</v>
      </c>
      <c r="AL10408">
        <v>83.187494016240507</v>
      </c>
      <c r="AM10408">
        <v>82.470923481408207</v>
      </c>
      <c r="AN10408">
        <v>0.99999999448356502</v>
      </c>
    </row>
    <row r="10409" spans="1:40" x14ac:dyDescent="0.25">
      <c r="A10409" t="str">
        <f>"20190312150924620"</f>
        <v>20190312150924620</v>
      </c>
      <c r="B10409" t="str">
        <f>"1552374564609834"</f>
        <v>1552374564609834</v>
      </c>
      <c r="C10409" t="s">
        <v>40</v>
      </c>
      <c r="D10409">
        <v>4.5268819999999996</v>
      </c>
      <c r="E10409">
        <v>0.52130129999999997</v>
      </c>
      <c r="F10409" t="s">
        <v>42</v>
      </c>
      <c r="G10409">
        <v>-183.0635</v>
      </c>
      <c r="H10409" s="1">
        <v>-1.854231E-6</v>
      </c>
      <c r="I10409">
        <v>99.673360000000002</v>
      </c>
      <c r="J10409">
        <v>-187.51220000000001</v>
      </c>
      <c r="K10409">
        <v>1.108025</v>
      </c>
      <c r="L10409">
        <v>80.291809999999998</v>
      </c>
      <c r="M10409">
        <v>3.7731750000000001E-2</v>
      </c>
      <c r="N10409">
        <v>0</v>
      </c>
      <c r="O10409">
        <v>0.9992143</v>
      </c>
      <c r="P10409">
        <v>0.16724510000000001</v>
      </c>
      <c r="Q10409">
        <v>0.10694579999999999</v>
      </c>
      <c r="R10409">
        <v>0.98009780000000002</v>
      </c>
      <c r="S10409">
        <v>0.6696472</v>
      </c>
      <c r="T10409">
        <v>-0.16622529999999999</v>
      </c>
      <c r="U10409">
        <v>2.9653019999999999</v>
      </c>
      <c r="V10409">
        <v>0.13070570000000001</v>
      </c>
      <c r="W10409">
        <v>0.11827310000000001</v>
      </c>
      <c r="X10409">
        <v>0.98434109999999997</v>
      </c>
      <c r="Y10409">
        <v>0.18298590000000001</v>
      </c>
      <c r="Z10409">
        <v>-5.4749699999999998E-2</v>
      </c>
      <c r="AA10409">
        <v>0.98158990000000002</v>
      </c>
      <c r="AB10409">
        <v>43</v>
      </c>
      <c r="AC10409">
        <v>4.4486999999999997</v>
      </c>
      <c r="AD10409">
        <v>-1.1080268542309999</v>
      </c>
      <c r="AE10409">
        <v>19.381550000000001</v>
      </c>
      <c r="AF10409">
        <v>3.70268218123908</v>
      </c>
      <c r="AG10409">
        <v>-1.1080268542309999</v>
      </c>
      <c r="AH10409">
        <v>19.475150778974299</v>
      </c>
      <c r="AI10409">
        <v>93.199114468581598</v>
      </c>
      <c r="AJ10409">
        <v>79.235208260870493</v>
      </c>
      <c r="AK10409">
        <v>19.854950936951301</v>
      </c>
      <c r="AL10409">
        <v>83.207550945870395</v>
      </c>
      <c r="AM10409">
        <v>82.436229145416704</v>
      </c>
      <c r="AN10409">
        <v>0.99999995367265304</v>
      </c>
    </row>
    <row r="10410" spans="1:40" x14ac:dyDescent="0.25">
      <c r="A10410" t="str">
        <f>"20190312150924642"</f>
        <v>20190312150924642</v>
      </c>
      <c r="B10410" t="str">
        <f>"1552374564629354"</f>
        <v>1552374564629354</v>
      </c>
      <c r="C10410" t="s">
        <v>40</v>
      </c>
      <c r="D10410">
        <v>4.5718249999999996</v>
      </c>
      <c r="E10410">
        <v>0.52124579999999998</v>
      </c>
      <c r="F10410" t="s">
        <v>42</v>
      </c>
      <c r="G10410">
        <v>-183.07390000000001</v>
      </c>
      <c r="H10410" s="1">
        <v>-1.89216E-6</v>
      </c>
      <c r="I10410">
        <v>99.792919999999995</v>
      </c>
      <c r="J10410">
        <v>-187.49520000000001</v>
      </c>
      <c r="K10410">
        <v>1.1080239999999999</v>
      </c>
      <c r="L10410">
        <v>80.707819999999998</v>
      </c>
      <c r="M10410">
        <v>3.9336299999999998E-2</v>
      </c>
      <c r="N10410">
        <v>0</v>
      </c>
      <c r="O10410">
        <v>0.99915240000000005</v>
      </c>
      <c r="P10410">
        <v>0.16950989999999999</v>
      </c>
      <c r="Q10410">
        <v>0.1066112</v>
      </c>
      <c r="R10410">
        <v>0.97974510000000004</v>
      </c>
      <c r="S10410">
        <v>0.67462159999999904</v>
      </c>
      <c r="T10410">
        <v>-0.1684203</v>
      </c>
      <c r="U10410">
        <v>2.964172</v>
      </c>
      <c r="V10410">
        <v>0.13139799999999999</v>
      </c>
      <c r="W10410">
        <v>0.1179398</v>
      </c>
      <c r="X10410">
        <v>0.98428899999999997</v>
      </c>
      <c r="Y10410">
        <v>0.1830454</v>
      </c>
      <c r="Z10410">
        <v>-5.5475370000000003E-2</v>
      </c>
      <c r="AA10410">
        <v>0.98153800000000002</v>
      </c>
      <c r="AB10410">
        <v>43</v>
      </c>
      <c r="AC10410">
        <v>4.4212999999999996</v>
      </c>
      <c r="AD10410">
        <v>-1.1080258921599999</v>
      </c>
      <c r="AE10410">
        <v>19.085100000000001</v>
      </c>
      <c r="AF10410">
        <v>3.65539166610154</v>
      </c>
      <c r="AG10410">
        <v>-1.1080258921599999</v>
      </c>
      <c r="AH10410">
        <v>19.182891776615701</v>
      </c>
      <c r="AI10410">
        <v>93.247491110767299</v>
      </c>
      <c r="AJ10410">
        <v>79.211357157979293</v>
      </c>
      <c r="AK10410">
        <v>19.559472041025298</v>
      </c>
      <c r="AL10410">
        <v>83.226782772101501</v>
      </c>
      <c r="AM10410">
        <v>82.396236360650406</v>
      </c>
      <c r="AN10410">
        <v>1.00000003317451</v>
      </c>
    </row>
    <row r="10411" spans="1:40" x14ac:dyDescent="0.25">
      <c r="A10411" t="str">
        <f>"20190312150924653"</f>
        <v>20190312150924653</v>
      </c>
      <c r="B10411" t="str">
        <f>"1552374564649850"</f>
        <v>1552374564649850</v>
      </c>
      <c r="C10411" t="s">
        <v>40</v>
      </c>
      <c r="D10411">
        <v>4.5398519999999998</v>
      </c>
      <c r="E10411">
        <v>0.52111269999999998</v>
      </c>
      <c r="F10411" t="s">
        <v>42</v>
      </c>
      <c r="G10411">
        <v>-183.00409999999999</v>
      </c>
      <c r="H10411" s="1">
        <v>-2.0629499999999999E-6</v>
      </c>
      <c r="I10411">
        <v>100.2402</v>
      </c>
      <c r="J10411">
        <v>-187.4855</v>
      </c>
      <c r="K10411">
        <v>1.1080270000000001</v>
      </c>
      <c r="L10411">
        <v>80.937529999999995</v>
      </c>
      <c r="M10411">
        <v>4.0220680000000002E-2</v>
      </c>
      <c r="N10411">
        <v>0</v>
      </c>
      <c r="O10411">
        <v>0.99911700000000003</v>
      </c>
      <c r="P10411">
        <v>0.1707167</v>
      </c>
      <c r="Q10411">
        <v>0.10647230000000001</v>
      </c>
      <c r="R10411">
        <v>0.9795507</v>
      </c>
      <c r="S10411">
        <v>0.68116759999999998</v>
      </c>
      <c r="T10411">
        <v>-0.1680536</v>
      </c>
      <c r="U10411">
        <v>2.9624630000000001</v>
      </c>
      <c r="V10411">
        <v>0.13173840000000001</v>
      </c>
      <c r="W10411">
        <v>0.1178086</v>
      </c>
      <c r="X10411">
        <v>0.9842592</v>
      </c>
      <c r="Y10411">
        <v>0.18436</v>
      </c>
      <c r="Z10411">
        <v>-5.5362740000000001E-2</v>
      </c>
      <c r="AA10411">
        <v>0.98129829999999996</v>
      </c>
      <c r="AB10411">
        <v>43</v>
      </c>
      <c r="AC10411">
        <v>4.4813999999999998</v>
      </c>
      <c r="AD10411">
        <v>-1.10802906295</v>
      </c>
      <c r="AE10411">
        <v>19.3026699999999</v>
      </c>
      <c r="AF10411">
        <v>3.6898129745273498</v>
      </c>
      <c r="AG10411">
        <v>-1.10802906295</v>
      </c>
      <c r="AH10411">
        <v>19.4066304752834</v>
      </c>
      <c r="AI10411">
        <v>93.210387810035201</v>
      </c>
      <c r="AJ10411">
        <v>79.234757752524203</v>
      </c>
      <c r="AK10411">
        <v>19.785341912525301</v>
      </c>
      <c r="AL10411">
        <v>83.234352679592902</v>
      </c>
      <c r="AM10411">
        <v>82.376541296683996</v>
      </c>
      <c r="AN10411">
        <v>1.0000000225265699</v>
      </c>
    </row>
    <row r="10412" spans="1:40" x14ac:dyDescent="0.25">
      <c r="A10412" t="str">
        <f>"20190312150924666"</f>
        <v>20190312150924666</v>
      </c>
      <c r="B10412" t="str">
        <f>"1552374564659610"</f>
        <v>1552374564659610</v>
      </c>
      <c r="C10412" t="s">
        <v>40</v>
      </c>
      <c r="D10412">
        <v>4.5486009999999997</v>
      </c>
      <c r="E10412">
        <v>0.52103849999999996</v>
      </c>
      <c r="F10412" t="s">
        <v>42</v>
      </c>
      <c r="G10412">
        <v>-182.96629999999999</v>
      </c>
      <c r="H10412" s="1">
        <v>-2.1631629999999999E-6</v>
      </c>
      <c r="I10412">
        <v>100.5051</v>
      </c>
      <c r="J10412">
        <v>-187.47499999999999</v>
      </c>
      <c r="K10412">
        <v>1.1080289999999999</v>
      </c>
      <c r="L10412">
        <v>81.184880000000007</v>
      </c>
      <c r="M10412">
        <v>4.1172159999999999E-2</v>
      </c>
      <c r="N10412">
        <v>0</v>
      </c>
      <c r="O10412">
        <v>0.99907809999999997</v>
      </c>
      <c r="P10412">
        <v>0.17196229999999901</v>
      </c>
      <c r="Q10412">
        <v>0.1060093</v>
      </c>
      <c r="R10412">
        <v>0.97938289999999995</v>
      </c>
      <c r="S10412">
        <v>0.68400569999999905</v>
      </c>
      <c r="T10412">
        <v>-0.16770479999999999</v>
      </c>
      <c r="U10412">
        <v>2.9616389999999999</v>
      </c>
      <c r="V10412">
        <v>0.1320489</v>
      </c>
      <c r="W10412">
        <v>0.1173583</v>
      </c>
      <c r="X10412">
        <v>0.98427129999999996</v>
      </c>
      <c r="Y10412">
        <v>0.18437799999999999</v>
      </c>
      <c r="Z10412">
        <v>-5.5253950000000003E-2</v>
      </c>
      <c r="AA10412">
        <v>0.98130110000000004</v>
      </c>
      <c r="AB10412">
        <v>43</v>
      </c>
      <c r="AC10412">
        <v>4.5087000000000002</v>
      </c>
      <c r="AD10412">
        <v>-1.108031163163</v>
      </c>
      <c r="AE10412">
        <v>19.3202199999999</v>
      </c>
      <c r="AF10412">
        <v>3.6978279427408598</v>
      </c>
      <c r="AG10412">
        <v>-1.108031163163</v>
      </c>
      <c r="AH10412">
        <v>19.428878509478199</v>
      </c>
      <c r="AI10412">
        <v>93.206610888587207</v>
      </c>
      <c r="AJ10412">
        <v>79.2239858396578</v>
      </c>
      <c r="AK10412">
        <v>19.8086593359752</v>
      </c>
      <c r="AL10412">
        <v>83.260332618300694</v>
      </c>
      <c r="AM10412">
        <v>82.358878112018303</v>
      </c>
      <c r="AN10412">
        <v>0.99999993728689296</v>
      </c>
    </row>
    <row r="10413" spans="1:40" x14ac:dyDescent="0.25">
      <c r="A10413" t="str">
        <f>"20190312150924679"</f>
        <v>20190312150924679</v>
      </c>
      <c r="B10413" t="str">
        <f>"1552374564669370"</f>
        <v>1552374564669370</v>
      </c>
      <c r="C10413" t="s">
        <v>40</v>
      </c>
      <c r="D10413">
        <v>4.5069850000000002</v>
      </c>
      <c r="E10413">
        <v>0.52096589999999998</v>
      </c>
      <c r="F10413" t="s">
        <v>42</v>
      </c>
      <c r="G10413">
        <v>-182.95230000000001</v>
      </c>
      <c r="H10413" s="1">
        <v>-2.2192229999999999E-6</v>
      </c>
      <c r="I10413">
        <v>100.65900000000001</v>
      </c>
      <c r="J10413">
        <v>-187.46369999999999</v>
      </c>
      <c r="K10413">
        <v>1.108034</v>
      </c>
      <c r="L10413">
        <v>81.441009999999906</v>
      </c>
      <c r="M10413">
        <v>4.2155989999999997E-2</v>
      </c>
      <c r="N10413">
        <v>0</v>
      </c>
      <c r="O10413">
        <v>0.99903679999999995</v>
      </c>
      <c r="P10413">
        <v>0.1732254</v>
      </c>
      <c r="Q10413">
        <v>0.1057649</v>
      </c>
      <c r="R10413">
        <v>0.97918680000000002</v>
      </c>
      <c r="S10413">
        <v>0.68757630000000003</v>
      </c>
      <c r="T10413">
        <v>-0.1684533</v>
      </c>
      <c r="U10413">
        <v>2.9606319999999999</v>
      </c>
      <c r="V10413">
        <v>0.1323472</v>
      </c>
      <c r="W10413">
        <v>0.1171362</v>
      </c>
      <c r="X10413">
        <v>0.98425779999999996</v>
      </c>
      <c r="Y10413">
        <v>0.1846034</v>
      </c>
      <c r="Z10413">
        <v>-5.5506079999999999E-2</v>
      </c>
      <c r="AA10413">
        <v>0.98124440000000002</v>
      </c>
      <c r="AB10413">
        <v>43</v>
      </c>
      <c r="AC10413">
        <v>4.5113999999999796</v>
      </c>
      <c r="AD10413">
        <v>-1.108036219223</v>
      </c>
      <c r="AE10413">
        <v>19.21799</v>
      </c>
      <c r="AF10413">
        <v>3.6855636675902899</v>
      </c>
      <c r="AG10413">
        <v>-1.108036219223</v>
      </c>
      <c r="AH10413">
        <v>19.330198069897602</v>
      </c>
      <c r="AI10413">
        <v>93.222761532820599</v>
      </c>
      <c r="AJ10413">
        <v>79.205344901912596</v>
      </c>
      <c r="AK10413">
        <v>19.709583487036099</v>
      </c>
      <c r="AL10413">
        <v>83.273147111168299</v>
      </c>
      <c r="AM10413">
        <v>82.341717561028503</v>
      </c>
      <c r="AN10413">
        <v>1.00000004377955</v>
      </c>
    </row>
    <row r="10414" spans="1:40" x14ac:dyDescent="0.25">
      <c r="A10414" t="str">
        <f>"20190312150924698"</f>
        <v>20190312150924698</v>
      </c>
      <c r="B10414" t="str">
        <f>"1552374564689470"</f>
        <v>1552374564689470</v>
      </c>
      <c r="C10414" t="s">
        <v>40</v>
      </c>
      <c r="D10414">
        <v>4.5581909999999999</v>
      </c>
      <c r="E10414">
        <v>0.52082410000000001</v>
      </c>
      <c r="F10414" t="s">
        <v>42</v>
      </c>
      <c r="G10414">
        <v>-182.9342</v>
      </c>
      <c r="H10414" s="1">
        <v>-2.288223E-6</v>
      </c>
      <c r="I10414">
        <v>100.8476</v>
      </c>
      <c r="J10414">
        <v>-187.44720000000001</v>
      </c>
      <c r="K10414">
        <v>1.1080460000000001</v>
      </c>
      <c r="L10414">
        <v>81.807040000000001</v>
      </c>
      <c r="M10414">
        <v>4.3558670000000001E-2</v>
      </c>
      <c r="N10414">
        <v>0</v>
      </c>
      <c r="O10414">
        <v>0.99897610000000003</v>
      </c>
      <c r="P10414">
        <v>0.17541089999999901</v>
      </c>
      <c r="Q10414">
        <v>0.1049443</v>
      </c>
      <c r="R10414">
        <v>0.97888589999999998</v>
      </c>
      <c r="S10414">
        <v>0.69081119999999996</v>
      </c>
      <c r="T10414">
        <v>-0.168992899999999</v>
      </c>
      <c r="U10414">
        <v>2.9598080000000002</v>
      </c>
      <c r="V10414">
        <v>0.13315550000000001</v>
      </c>
      <c r="W10414">
        <v>0.116359</v>
      </c>
      <c r="X10414">
        <v>0.98424089999999997</v>
      </c>
      <c r="Y10414">
        <v>0.18429860000000001</v>
      </c>
      <c r="Z10414">
        <v>-5.5688139999999997E-2</v>
      </c>
      <c r="AA10414">
        <v>0.98129140000000004</v>
      </c>
      <c r="AB10414">
        <v>43</v>
      </c>
      <c r="AC10414">
        <v>4.5129999999999999</v>
      </c>
      <c r="AD10414">
        <v>-1.1080482882229901</v>
      </c>
      <c r="AE10414">
        <v>19.040559999999999</v>
      </c>
      <c r="AF10414">
        <v>3.66751291949199</v>
      </c>
      <c r="AG10414">
        <v>-1.1080482882229901</v>
      </c>
      <c r="AH10414">
        <v>19.157652806218302</v>
      </c>
      <c r="AI10414">
        <v>93.251297489638802</v>
      </c>
      <c r="AJ10414">
        <v>79.162503916700501</v>
      </c>
      <c r="AK10414">
        <v>19.536992682275301</v>
      </c>
      <c r="AL10414">
        <v>83.317983551410194</v>
      </c>
      <c r="AM10414">
        <v>82.295374620805703</v>
      </c>
      <c r="AN10414">
        <v>0.999999976647029</v>
      </c>
    </row>
    <row r="10415" spans="1:40" x14ac:dyDescent="0.25">
      <c r="A10415" t="str">
        <f>"20190312150924720"</f>
        <v>20190312150924720</v>
      </c>
      <c r="B10415" t="str">
        <f>"1552374564709970"</f>
        <v>1552374564709970</v>
      </c>
      <c r="C10415" t="s">
        <v>40</v>
      </c>
      <c r="D10415">
        <v>4.5658510000000003</v>
      </c>
      <c r="E10415">
        <v>0.51992819999999995</v>
      </c>
      <c r="F10415" t="s">
        <v>42</v>
      </c>
      <c r="G10415">
        <v>-182.9254</v>
      </c>
      <c r="H10415" s="1">
        <v>-2.3443020000000002E-6</v>
      </c>
      <c r="I10415">
        <v>101.0055</v>
      </c>
      <c r="J10415">
        <v>-187.42779999999999</v>
      </c>
      <c r="K10415">
        <v>1.1080680000000001</v>
      </c>
      <c r="L10415">
        <v>82.22287</v>
      </c>
      <c r="M10415">
        <v>4.5142979999999999E-2</v>
      </c>
      <c r="N10415">
        <v>0</v>
      </c>
      <c r="O10415">
        <v>0.99890480000000004</v>
      </c>
      <c r="P10415">
        <v>0.17755370000000001</v>
      </c>
      <c r="Q10415">
        <v>0.1044139</v>
      </c>
      <c r="R10415">
        <v>0.97855630000000005</v>
      </c>
      <c r="S10415">
        <v>0.69673160000000001</v>
      </c>
      <c r="T10415">
        <v>-0.17073199999999999</v>
      </c>
      <c r="U10415">
        <v>2.9581599999999999</v>
      </c>
      <c r="V10415">
        <v>0.13374440000000001</v>
      </c>
      <c r="W10415">
        <v>0.11590200000000001</v>
      </c>
      <c r="X10415">
        <v>0.98421499999999995</v>
      </c>
      <c r="Y10415">
        <v>0.18471489999999999</v>
      </c>
      <c r="Z10415">
        <v>-5.6268970000000001E-2</v>
      </c>
      <c r="AA10415">
        <v>0.98118000000000005</v>
      </c>
      <c r="AB10415">
        <v>43</v>
      </c>
      <c r="AC10415">
        <v>4.50239999999999</v>
      </c>
      <c r="AD10415">
        <v>-1.1080703443019999</v>
      </c>
      <c r="AE10415">
        <v>18.782630000000001</v>
      </c>
      <c r="AF10415">
        <v>3.63786818632741</v>
      </c>
      <c r="AG10415">
        <v>-1.1080703443019999</v>
      </c>
      <c r="AH10415">
        <v>18.904526994013299</v>
      </c>
      <c r="AI10415">
        <v>93.294195942584693</v>
      </c>
      <c r="AJ10415">
        <v>79.107510556199003</v>
      </c>
      <c r="AK10415">
        <v>19.283232241934702</v>
      </c>
      <c r="AL10415">
        <v>83.344346264128205</v>
      </c>
      <c r="AM10415">
        <v>82.261510569149806</v>
      </c>
      <c r="AN10415">
        <v>1.00000000218017</v>
      </c>
    </row>
    <row r="10416" spans="1:40" x14ac:dyDescent="0.25">
      <c r="A10416" t="str">
        <f>"20190312150924743"</f>
        <v>20190312150924743</v>
      </c>
      <c r="B10416" t="str">
        <f>"1552374564740222"</f>
        <v>1552374564740222</v>
      </c>
      <c r="C10416" t="s">
        <v>40</v>
      </c>
      <c r="D10416">
        <v>4.5762099999999997</v>
      </c>
      <c r="E10416">
        <v>0.51911260000000004</v>
      </c>
      <c r="F10416" t="s">
        <v>42</v>
      </c>
      <c r="G10416">
        <v>-180.00710000000001</v>
      </c>
      <c r="H10416" s="1">
        <v>-4.0416189999999999E-6</v>
      </c>
      <c r="I10416">
        <v>113.7114</v>
      </c>
      <c r="J10416">
        <v>-187.4066</v>
      </c>
      <c r="K10416">
        <v>1.1080989999999999</v>
      </c>
      <c r="L10416">
        <v>82.662570000000002</v>
      </c>
      <c r="M10416">
        <v>4.6798550000000001E-2</v>
      </c>
      <c r="N10416">
        <v>0</v>
      </c>
      <c r="O10416">
        <v>0.99882720000000003</v>
      </c>
      <c r="P10416">
        <v>0.17966960000000001</v>
      </c>
      <c r="Q10416">
        <v>0.10448</v>
      </c>
      <c r="R10416">
        <v>0.97816289999999995</v>
      </c>
      <c r="S10416">
        <v>0.69535829999999998</v>
      </c>
      <c r="T10416">
        <v>-0.1038326</v>
      </c>
      <c r="U10416">
        <v>2.950653</v>
      </c>
      <c r="V10416">
        <v>0.13424059999999999</v>
      </c>
      <c r="W10416">
        <v>0.11607489999999999</v>
      </c>
      <c r="X10416">
        <v>0.98412699999999997</v>
      </c>
      <c r="Y10416">
        <v>0.1834382</v>
      </c>
      <c r="Z10416">
        <v>-3.4342129999999998E-2</v>
      </c>
      <c r="AA10416">
        <v>0.98243119999999995</v>
      </c>
      <c r="AB10416">
        <v>43</v>
      </c>
      <c r="AC10416">
        <v>7.3994999999999802</v>
      </c>
      <c r="AD10416">
        <v>-1.1081030416190001</v>
      </c>
      <c r="AE10416">
        <v>31.048829999999899</v>
      </c>
      <c r="AF10416">
        <v>5.9310907871493104</v>
      </c>
      <c r="AG10416">
        <v>-1.1081030416190001</v>
      </c>
      <c r="AH10416">
        <v>31.323365953181899</v>
      </c>
      <c r="AI10416">
        <v>91.990720851768302</v>
      </c>
      <c r="AJ10416">
        <v>79.277961638216496</v>
      </c>
      <c r="AK10416">
        <v>31.899200380467299</v>
      </c>
      <c r="AL10416">
        <v>83.334372067579807</v>
      </c>
      <c r="AM10416">
        <v>82.232464055141307</v>
      </c>
      <c r="AN10416">
        <v>0.99999993661368203</v>
      </c>
    </row>
    <row r="10417" spans="1:40" x14ac:dyDescent="0.25">
      <c r="A10417" t="str">
        <f>"20190312150924757"</f>
        <v>20190312150924757</v>
      </c>
      <c r="B10417" t="str">
        <f>"1552374564749984"</f>
        <v>1552374564749984</v>
      </c>
      <c r="C10417" t="s">
        <v>40</v>
      </c>
      <c r="D10417">
        <v>4.5659080000000003</v>
      </c>
      <c r="E10417">
        <v>0.51864730000000003</v>
      </c>
      <c r="F10417" t="s">
        <v>42</v>
      </c>
      <c r="G10417">
        <v>-180.14449999999999</v>
      </c>
      <c r="H10417" s="1">
        <v>-3.9199569999999996E-6</v>
      </c>
      <c r="I10417">
        <v>113.46129999999999</v>
      </c>
      <c r="J10417">
        <v>-187.3929</v>
      </c>
      <c r="K10417">
        <v>1.1081270000000001</v>
      </c>
      <c r="L10417">
        <v>82.938839999999999</v>
      </c>
      <c r="M10417">
        <v>4.7818579999999999E-2</v>
      </c>
      <c r="N10417">
        <v>0</v>
      </c>
      <c r="O10417">
        <v>0.99877780000000005</v>
      </c>
      <c r="P10417">
        <v>0.18079709999999999</v>
      </c>
      <c r="Q10417">
        <v>0.1048837</v>
      </c>
      <c r="R10417">
        <v>0.97791189999999995</v>
      </c>
      <c r="S10417">
        <v>0.69570919999999903</v>
      </c>
      <c r="T10417">
        <v>-0.1061566</v>
      </c>
      <c r="U10417">
        <v>2.9505309999999998</v>
      </c>
      <c r="V10417">
        <v>0.1343712</v>
      </c>
      <c r="W10417">
        <v>0.1165684</v>
      </c>
      <c r="X10417">
        <v>0.98405089999999995</v>
      </c>
      <c r="Y10417">
        <v>0.18254790000000001</v>
      </c>
      <c r="Z10417">
        <v>-3.5111139999999999E-2</v>
      </c>
      <c r="AA10417">
        <v>0.98256980000000005</v>
      </c>
      <c r="AB10417">
        <v>43</v>
      </c>
      <c r="AC10417">
        <v>7.2484000000000002</v>
      </c>
      <c r="AD10417">
        <v>-1.108130919957</v>
      </c>
      <c r="AE10417">
        <v>30.522459999999899</v>
      </c>
      <c r="AF10417">
        <v>5.7732486530596896</v>
      </c>
      <c r="AG10417">
        <v>-1.108130919957</v>
      </c>
      <c r="AH10417">
        <v>30.7957488546263</v>
      </c>
      <c r="AI10417">
        <v>92.025542876288</v>
      </c>
      <c r="AJ10417">
        <v>79.382059841152696</v>
      </c>
      <c r="AK10417">
        <v>31.351818155619601</v>
      </c>
      <c r="AL10417">
        <v>83.305903717061099</v>
      </c>
      <c r="AM10417">
        <v>82.224405647014507</v>
      </c>
      <c r="AN10417">
        <v>0.99999999252940397</v>
      </c>
    </row>
    <row r="10418" spans="1:40" x14ac:dyDescent="0.25">
      <c r="A10418" t="str">
        <f>"20190312150924776"</f>
        <v>20190312150924776</v>
      </c>
      <c r="B10418" t="str">
        <f>"1552374564769502"</f>
        <v>1552374564769502</v>
      </c>
      <c r="C10418" t="s">
        <v>40</v>
      </c>
      <c r="D10418">
        <v>4.5973350000000002</v>
      </c>
      <c r="E10418">
        <v>0.51826870000000003</v>
      </c>
      <c r="F10418" t="s">
        <v>42</v>
      </c>
      <c r="G10418">
        <v>-180.06229999999999</v>
      </c>
      <c r="H10418" s="1">
        <v>-4.1359660000000002E-6</v>
      </c>
      <c r="I10418">
        <v>114.0318</v>
      </c>
      <c r="J10418">
        <v>-187.37450000000001</v>
      </c>
      <c r="K10418">
        <v>1.108177</v>
      </c>
      <c r="L10418">
        <v>83.301909999999907</v>
      </c>
      <c r="M10418">
        <v>4.9134700000000003E-2</v>
      </c>
      <c r="N10418">
        <v>0</v>
      </c>
      <c r="O10418">
        <v>0.99871220000000005</v>
      </c>
      <c r="P10418">
        <v>0.18208360000000001</v>
      </c>
      <c r="Q10418">
        <v>0.10496</v>
      </c>
      <c r="R10418">
        <v>0.97766509999999995</v>
      </c>
      <c r="S10418">
        <v>0.69560239999999995</v>
      </c>
      <c r="T10418">
        <v>-0.10515149999999999</v>
      </c>
      <c r="U10418">
        <v>2.9504389999999998</v>
      </c>
      <c r="V10418">
        <v>0.13436400000000001</v>
      </c>
      <c r="W10418">
        <v>0.116789</v>
      </c>
      <c r="X10418">
        <v>0.9840257</v>
      </c>
      <c r="Y10418">
        <v>0.18122769999999999</v>
      </c>
      <c r="Z10418">
        <v>-3.478125E-2</v>
      </c>
      <c r="AA10418">
        <v>0.98282590000000003</v>
      </c>
      <c r="AB10418">
        <v>43</v>
      </c>
      <c r="AC10418">
        <v>7.3122000000000096</v>
      </c>
      <c r="AD10418">
        <v>-1.1081811359660001</v>
      </c>
      <c r="AE10418">
        <v>30.729890000000001</v>
      </c>
      <c r="AF10418">
        <v>5.7862205409410397</v>
      </c>
      <c r="AG10418">
        <v>-1.1081811359660001</v>
      </c>
      <c r="AH10418">
        <v>31.0139074650216</v>
      </c>
      <c r="AI10418">
        <v>92.011724605550697</v>
      </c>
      <c r="AJ10418">
        <v>79.431907640180398</v>
      </c>
      <c r="AK10418">
        <v>31.568510731858101</v>
      </c>
      <c r="AL10418">
        <v>83.293177168764004</v>
      </c>
      <c r="AM10418">
        <v>82.224620509942199</v>
      </c>
      <c r="AN10418">
        <v>0.99999996663874402</v>
      </c>
    </row>
    <row r="10419" spans="1:40" x14ac:dyDescent="0.25">
      <c r="A10419" t="str">
        <f>"20190312150924789"</f>
        <v>20190312150924789</v>
      </c>
      <c r="B10419" t="str">
        <f>"1552374564780238"</f>
        <v>1552374564780238</v>
      </c>
      <c r="C10419" t="s">
        <v>40</v>
      </c>
      <c r="D10419">
        <v>4.6073909999999998</v>
      </c>
      <c r="E10419">
        <v>0.51802020000000004</v>
      </c>
      <c r="F10419" t="s">
        <v>42</v>
      </c>
      <c r="G10419">
        <v>-180.0874</v>
      </c>
      <c r="H10419" s="1">
        <v>-4.1731029999999998E-6</v>
      </c>
      <c r="I10419">
        <v>114.1605</v>
      </c>
      <c r="J10419">
        <v>-187.36170000000001</v>
      </c>
      <c r="K10419">
        <v>1.1082179999999999</v>
      </c>
      <c r="L10419">
        <v>83.549589999999995</v>
      </c>
      <c r="M10419">
        <v>5.0015070000000002E-2</v>
      </c>
      <c r="N10419">
        <v>0</v>
      </c>
      <c r="O10419">
        <v>0.99866710000000003</v>
      </c>
      <c r="P10419">
        <v>0.18296979999999999</v>
      </c>
      <c r="Q10419">
        <v>0.1046354</v>
      </c>
      <c r="R10419">
        <v>0.97753440000000003</v>
      </c>
      <c r="S10419">
        <v>0.69667049999999997</v>
      </c>
      <c r="T10419">
        <v>-0.1059452</v>
      </c>
      <c r="U10419">
        <v>2.9501650000000001</v>
      </c>
      <c r="V10419">
        <v>0.13438029999999901</v>
      </c>
      <c r="W10419">
        <v>0.1165793</v>
      </c>
      <c r="X10419">
        <v>0.98404840000000005</v>
      </c>
      <c r="Y10419">
        <v>0.18071609999999999</v>
      </c>
      <c r="Z10419">
        <v>-3.5044550000000001E-2</v>
      </c>
      <c r="AA10419">
        <v>0.98291079999999997</v>
      </c>
      <c r="AB10419">
        <v>43</v>
      </c>
      <c r="AC10419">
        <v>7.27430000000001</v>
      </c>
      <c r="AD10419">
        <v>-1.108222173103</v>
      </c>
      <c r="AE10419">
        <v>30.610909999999901</v>
      </c>
      <c r="AF10419">
        <v>5.7269581829906002</v>
      </c>
      <c r="AG10419">
        <v>-1.108222173103</v>
      </c>
      <c r="AH10419">
        <v>30.898114056415501</v>
      </c>
      <c r="AI10419">
        <v>92.019774268536594</v>
      </c>
      <c r="AJ10419">
        <v>79.4994061777833</v>
      </c>
      <c r="AK10419">
        <v>31.4439129031033</v>
      </c>
      <c r="AL10419">
        <v>83.305275130133197</v>
      </c>
      <c r="AM10419">
        <v>82.223865990255604</v>
      </c>
      <c r="AN10419">
        <v>1.0000000258795601</v>
      </c>
    </row>
    <row r="10420" spans="1:40" x14ac:dyDescent="0.25">
      <c r="A10420" t="str">
        <f>"20190312150924801"</f>
        <v>20190312150924801</v>
      </c>
      <c r="B10420" t="str">
        <f>"1552374564789999"</f>
        <v>1552374564789999</v>
      </c>
      <c r="C10420" t="s">
        <v>40</v>
      </c>
      <c r="D10420">
        <v>4.6078679999999999</v>
      </c>
      <c r="E10420">
        <v>0.51777029999999902</v>
      </c>
      <c r="F10420" t="s">
        <v>42</v>
      </c>
      <c r="G10420">
        <v>-180.14</v>
      </c>
      <c r="H10420" s="1">
        <v>-4.13846E-6</v>
      </c>
      <c r="I10420">
        <v>114.09990000000001</v>
      </c>
      <c r="J10420">
        <v>-187.34870000000001</v>
      </c>
      <c r="K10420">
        <v>1.1082639999999999</v>
      </c>
      <c r="L10420">
        <v>83.796940000000006</v>
      </c>
      <c r="M10420">
        <v>5.087854E-2</v>
      </c>
      <c r="N10420">
        <v>0</v>
      </c>
      <c r="O10420">
        <v>0.99862189999999995</v>
      </c>
      <c r="P10420">
        <v>0.18367359999999999</v>
      </c>
      <c r="Q10420">
        <v>0.10458339999999899</v>
      </c>
      <c r="R10420">
        <v>0.9774079</v>
      </c>
      <c r="S10420">
        <v>0.69731140000000003</v>
      </c>
      <c r="T10420">
        <v>-0.1070083</v>
      </c>
      <c r="U10420">
        <v>2.9498899999999999</v>
      </c>
      <c r="V10420">
        <v>0.13423099999999999</v>
      </c>
      <c r="W10420">
        <v>0.116656</v>
      </c>
      <c r="X10420">
        <v>0.98405960000000003</v>
      </c>
      <c r="Y10420">
        <v>0.18008550000000001</v>
      </c>
      <c r="Z10420">
        <v>-3.5397829999999998E-2</v>
      </c>
      <c r="AA10420">
        <v>0.9830139</v>
      </c>
      <c r="AB10420">
        <v>43</v>
      </c>
      <c r="AC10420">
        <v>7.2087000000000199</v>
      </c>
      <c r="AD10420">
        <v>-1.1082681384599999</v>
      </c>
      <c r="AE10420">
        <v>30.302959999999999</v>
      </c>
      <c r="AF10420">
        <v>5.6503110469735196</v>
      </c>
      <c r="AG10420">
        <v>-1.1082681384599999</v>
      </c>
      <c r="AH10420">
        <v>30.5917777487767</v>
      </c>
      <c r="AI10420">
        <v>92.0403040222388</v>
      </c>
      <c r="AJ10420">
        <v>79.5353851024081</v>
      </c>
      <c r="AK10420">
        <v>31.1289437505487</v>
      </c>
      <c r="AL10420">
        <v>83.300849775403293</v>
      </c>
      <c r="AM10420">
        <v>82.2324872765968</v>
      </c>
      <c r="AN10420">
        <v>0.99999994002457804</v>
      </c>
    </row>
    <row r="10421" spans="1:40" x14ac:dyDescent="0.25">
      <c r="A10421" t="str">
        <f>"20190312150924820"</f>
        <v>20190312150924820</v>
      </c>
      <c r="B10421" t="str">
        <f>"1552374564809518"</f>
        <v>1552374564809518</v>
      </c>
      <c r="C10421" t="s">
        <v>40</v>
      </c>
      <c r="D10421">
        <v>4.5915489999999997</v>
      </c>
      <c r="E10421">
        <v>0.5175902</v>
      </c>
      <c r="F10421" t="s">
        <v>42</v>
      </c>
      <c r="G10421">
        <v>-180.20169999999999</v>
      </c>
      <c r="H10421" s="1">
        <v>-4.0931069999999998E-6</v>
      </c>
      <c r="I10421">
        <v>114.01479999999999</v>
      </c>
      <c r="J10421">
        <v>-187.33</v>
      </c>
      <c r="K10421">
        <v>1.1083379999999901</v>
      </c>
      <c r="L10421">
        <v>84.146090000000001</v>
      </c>
      <c r="M10421">
        <v>5.2065750000000001E-2</v>
      </c>
      <c r="N10421">
        <v>0</v>
      </c>
      <c r="O10421">
        <v>0.99855819999999995</v>
      </c>
      <c r="P10421">
        <v>0.18448039999999999</v>
      </c>
      <c r="Q10421">
        <v>0.1036014</v>
      </c>
      <c r="R10421">
        <v>0.97736060000000002</v>
      </c>
      <c r="S10421">
        <v>0.69767760000000001</v>
      </c>
      <c r="T10421">
        <v>-0.1081877</v>
      </c>
      <c r="U10421">
        <v>2.9498289999999998</v>
      </c>
      <c r="V10421">
        <v>0.1338531</v>
      </c>
      <c r="W10421">
        <v>0.1158764</v>
      </c>
      <c r="X10421">
        <v>0.98420319999999994</v>
      </c>
      <c r="Y10421">
        <v>0.17903269999999999</v>
      </c>
      <c r="Z10421">
        <v>-3.5787819999999998E-2</v>
      </c>
      <c r="AA10421">
        <v>0.98319199999999995</v>
      </c>
      <c r="AB10421">
        <v>43</v>
      </c>
      <c r="AC10421">
        <v>7.1283000000000198</v>
      </c>
      <c r="AD10421">
        <v>-1.1083420931069901</v>
      </c>
      <c r="AE10421">
        <v>29.868709999999901</v>
      </c>
      <c r="AF10421">
        <v>5.5561222395202696</v>
      </c>
      <c r="AG10421">
        <v>-1.1083420931069901</v>
      </c>
      <c r="AH10421">
        <v>30.160072145843401</v>
      </c>
      <c r="AI10421">
        <v>92.069798086438894</v>
      </c>
      <c r="AJ10421">
        <v>79.561937653336699</v>
      </c>
      <c r="AK10421">
        <v>30.687601215773199</v>
      </c>
      <c r="AL10421">
        <v>83.345822741994397</v>
      </c>
      <c r="AM10421">
        <v>82.255205728264599</v>
      </c>
      <c r="AN10421">
        <v>0.99999996567340399</v>
      </c>
    </row>
    <row r="10422" spans="1:40" x14ac:dyDescent="0.25">
      <c r="A10422" t="str">
        <f>"20190312150924842"</f>
        <v>20190312150924842</v>
      </c>
      <c r="B10422" t="str">
        <f>"1552374564839774"</f>
        <v>1552374564839774</v>
      </c>
      <c r="C10422" t="s">
        <v>40</v>
      </c>
      <c r="D10422">
        <v>4.6048479999999996</v>
      </c>
      <c r="E10422">
        <v>0.51536949999999904</v>
      </c>
      <c r="F10422" t="s">
        <v>42</v>
      </c>
      <c r="G10422">
        <v>-180.2997</v>
      </c>
      <c r="H10422" s="1">
        <v>-4.0012010000000001E-6</v>
      </c>
      <c r="I10422">
        <v>113.8214</v>
      </c>
      <c r="J10422">
        <v>-187.3065</v>
      </c>
      <c r="K10422">
        <v>1.1084290000000001</v>
      </c>
      <c r="L10422">
        <v>84.574979999999996</v>
      </c>
      <c r="M10422">
        <v>5.3476019999999999E-2</v>
      </c>
      <c r="N10422">
        <v>0</v>
      </c>
      <c r="O10422">
        <v>0.99848049999999999</v>
      </c>
      <c r="P10422">
        <v>0.18580340000000001</v>
      </c>
      <c r="Q10422">
        <v>0.1033131</v>
      </c>
      <c r="R10422">
        <v>0.97714049999999997</v>
      </c>
      <c r="S10422">
        <v>0.69869999999999999</v>
      </c>
      <c r="T10422">
        <v>-0.1101525</v>
      </c>
      <c r="U10422">
        <v>2.9492799999999999</v>
      </c>
      <c r="V10422">
        <v>0.133778799999999</v>
      </c>
      <c r="W10422">
        <v>0.1158438</v>
      </c>
      <c r="X10422">
        <v>0.98421720000000001</v>
      </c>
      <c r="Y10422">
        <v>0.1780013</v>
      </c>
      <c r="Z10422">
        <v>-3.6441429999999997E-2</v>
      </c>
      <c r="AA10422">
        <v>0.98335530000000004</v>
      </c>
      <c r="AB10422">
        <v>43</v>
      </c>
      <c r="AC10422">
        <v>7.0067999999999904</v>
      </c>
      <c r="AD10422">
        <v>-1.108433001201</v>
      </c>
      <c r="AE10422">
        <v>29.246419999999901</v>
      </c>
      <c r="AF10422">
        <v>5.4252820251984604</v>
      </c>
      <c r="AG10422">
        <v>-1.108433001201</v>
      </c>
      <c r="AH10422">
        <v>29.5391671258202</v>
      </c>
      <c r="AI10422">
        <v>92.113648105393096</v>
      </c>
      <c r="AJ10422">
        <v>79.592812723328606</v>
      </c>
      <c r="AK10422">
        <v>30.0536969981769</v>
      </c>
      <c r="AL10422">
        <v>83.347703645452199</v>
      </c>
      <c r="AM10422">
        <v>82.259561394145607</v>
      </c>
      <c r="AN10422">
        <v>1.0000000250518499</v>
      </c>
    </row>
    <row r="10423" spans="1:40" x14ac:dyDescent="0.25">
      <c r="A10423" t="str">
        <f>"20190312150924855"</f>
        <v>20190312150924855</v>
      </c>
      <c r="B10423" t="str">
        <f>"1552374564849535"</f>
        <v>1552374564849535</v>
      </c>
      <c r="C10423" t="s">
        <v>40</v>
      </c>
      <c r="D10423">
        <v>4.6185199999999904</v>
      </c>
      <c r="E10423">
        <v>0.51527900000000004</v>
      </c>
      <c r="F10423" t="s">
        <v>42</v>
      </c>
      <c r="G10423">
        <v>-183.30240000000001</v>
      </c>
      <c r="H10423" s="1">
        <v>-2.52442E-6</v>
      </c>
      <c r="I10423">
        <v>101.8295</v>
      </c>
      <c r="J10423">
        <v>-187.2928</v>
      </c>
      <c r="K10423">
        <v>1.108481</v>
      </c>
      <c r="L10423">
        <v>84.818539999999999</v>
      </c>
      <c r="M10423">
        <v>5.4244229999999997E-2</v>
      </c>
      <c r="N10423">
        <v>0</v>
      </c>
      <c r="O10423">
        <v>0.99843729999999997</v>
      </c>
      <c r="P10423">
        <v>0.18643789999999999</v>
      </c>
      <c r="Q10423">
        <v>0.1031372</v>
      </c>
      <c r="R10423">
        <v>0.97703819999999997</v>
      </c>
      <c r="S10423">
        <v>0.68682860000000001</v>
      </c>
      <c r="T10423">
        <v>-0.19013070000000001</v>
      </c>
      <c r="U10423">
        <v>2.959686</v>
      </c>
      <c r="V10423">
        <v>0.1336503</v>
      </c>
      <c r="W10423">
        <v>0.1158106</v>
      </c>
      <c r="X10423">
        <v>0.98423859999999996</v>
      </c>
      <c r="Y10423">
        <v>0.17243249999999999</v>
      </c>
      <c r="Z10423">
        <v>-6.2657939999999995E-2</v>
      </c>
      <c r="AA10423">
        <v>0.98302639999999997</v>
      </c>
      <c r="AB10423">
        <v>43</v>
      </c>
      <c r="AC10423">
        <v>3.99039999999999</v>
      </c>
      <c r="AD10423">
        <v>-1.10848352442</v>
      </c>
      <c r="AE10423">
        <v>17.010959999999901</v>
      </c>
      <c r="AF10423">
        <v>3.04942102670632</v>
      </c>
      <c r="AG10423">
        <v>-1.10848352442</v>
      </c>
      <c r="AH10423">
        <v>17.133428408431001</v>
      </c>
      <c r="AI10423">
        <v>93.644595909470794</v>
      </c>
      <c r="AJ10423">
        <v>79.908127335288697</v>
      </c>
      <c r="AK10423">
        <v>17.437949230023001</v>
      </c>
      <c r="AL10423">
        <v>83.349618986933294</v>
      </c>
      <c r="AM10423">
        <v>82.267072498903602</v>
      </c>
      <c r="AN10423">
        <v>1.0000000597462</v>
      </c>
    </row>
    <row r="10424" spans="1:40" x14ac:dyDescent="0.25">
      <c r="A10424" t="str">
        <f>"20190312150924875"</f>
        <v>20190312150924875</v>
      </c>
      <c r="B10424" t="str">
        <f>"1552374564870030"</f>
        <v>1552374564870030</v>
      </c>
      <c r="C10424" t="s">
        <v>40</v>
      </c>
      <c r="D10424">
        <v>4.6058110000000001</v>
      </c>
      <c r="E10424">
        <v>0.51855079999999998</v>
      </c>
      <c r="F10424" t="s">
        <v>42</v>
      </c>
      <c r="G10424">
        <v>-183.25450000000001</v>
      </c>
      <c r="H10424" s="1">
        <v>-2.6586459999999998E-6</v>
      </c>
      <c r="I10424">
        <v>102.1865</v>
      </c>
      <c r="J10424">
        <v>-187.27029999999999</v>
      </c>
      <c r="K10424">
        <v>1.1085700000000001</v>
      </c>
      <c r="L10424">
        <v>85.214419999999905</v>
      </c>
      <c r="M10424">
        <v>5.5454299999999998E-2</v>
      </c>
      <c r="N10424">
        <v>0</v>
      </c>
      <c r="O10424">
        <v>0.99836800000000003</v>
      </c>
      <c r="P10424">
        <v>0.18753500000000001</v>
      </c>
      <c r="Q10424">
        <v>0.1026649</v>
      </c>
      <c r="R10424">
        <v>0.97687789999999997</v>
      </c>
      <c r="S10424">
        <v>0.68804929999999997</v>
      </c>
      <c r="T10424">
        <v>-0.18886439999999999</v>
      </c>
      <c r="U10424">
        <v>2.9591669999999999</v>
      </c>
      <c r="V10424">
        <v>0.13354340000000001</v>
      </c>
      <c r="W10424">
        <v>0.1155629</v>
      </c>
      <c r="X10424">
        <v>0.98428210000000005</v>
      </c>
      <c r="Y10424">
        <v>0.17166699999999999</v>
      </c>
      <c r="Z10424">
        <v>-6.2247959999999998E-2</v>
      </c>
      <c r="AA10424">
        <v>0.98318649999999996</v>
      </c>
      <c r="AB10424">
        <v>43</v>
      </c>
      <c r="AC10424">
        <v>4.0157999999999801</v>
      </c>
      <c r="AD10424">
        <v>-1.1085726586460001</v>
      </c>
      <c r="AE10424">
        <v>16.972079999999998</v>
      </c>
      <c r="AF10424">
        <v>3.0560101902590402</v>
      </c>
      <c r="AG10424">
        <v>-1.1085726586460001</v>
      </c>
      <c r="AH10424">
        <v>17.0995877052639</v>
      </c>
      <c r="AI10424">
        <v>93.651617732524898</v>
      </c>
      <c r="AJ10424">
        <v>79.867170417687504</v>
      </c>
      <c r="AK10424">
        <v>17.405861981311901</v>
      </c>
      <c r="AL10424">
        <v>83.363906272778607</v>
      </c>
      <c r="AM10424">
        <v>82.273520279467903</v>
      </c>
      <c r="AN10424">
        <v>0.99999993796018805</v>
      </c>
    </row>
    <row r="10425" spans="1:40" x14ac:dyDescent="0.25">
      <c r="A10425" t="str">
        <f>"20190312150924889"</f>
        <v>20190312150924889</v>
      </c>
      <c r="B10425" t="str">
        <f>"1552374564879791"</f>
        <v>1552374564879791</v>
      </c>
      <c r="C10425" t="s">
        <v>40</v>
      </c>
      <c r="D10425">
        <v>4.5601839999999996</v>
      </c>
      <c r="E10425">
        <v>0.52086100000000002</v>
      </c>
      <c r="F10425" t="s">
        <v>42</v>
      </c>
      <c r="G10425">
        <v>-182.80770000000001</v>
      </c>
      <c r="H10425" s="1">
        <v>-3.2546460000000001E-6</v>
      </c>
      <c r="I10425">
        <v>103.5886</v>
      </c>
      <c r="J10425">
        <v>-187.25559999999999</v>
      </c>
      <c r="K10425">
        <v>1.108619</v>
      </c>
      <c r="L10425">
        <v>85.468959999999996</v>
      </c>
      <c r="M10425">
        <v>5.6204099999999903E-2</v>
      </c>
      <c r="N10425">
        <v>0</v>
      </c>
      <c r="O10425">
        <v>0.99832430000000005</v>
      </c>
      <c r="P10425">
        <v>0.1883029</v>
      </c>
      <c r="Q10425">
        <v>0.1028613</v>
      </c>
      <c r="R10425">
        <v>0.97670950000000001</v>
      </c>
      <c r="S10425">
        <v>0.71697999999999995</v>
      </c>
      <c r="T10425">
        <v>-0.1781092</v>
      </c>
      <c r="U10425">
        <v>2.9520870000000001</v>
      </c>
      <c r="V10425">
        <v>0.1335703</v>
      </c>
      <c r="W10425">
        <v>0.11589439999999999</v>
      </c>
      <c r="X10425">
        <v>0.98423950000000004</v>
      </c>
      <c r="Y10425">
        <v>0.1806092</v>
      </c>
      <c r="Z10425">
        <v>-5.8735870000000003E-2</v>
      </c>
      <c r="AA10425">
        <v>0.98179959999999999</v>
      </c>
      <c r="AB10425">
        <v>43</v>
      </c>
      <c r="AC10425">
        <v>4.4478999999999704</v>
      </c>
      <c r="AD10425">
        <v>-1.1086222546460001</v>
      </c>
      <c r="AE10425">
        <v>18.11964</v>
      </c>
      <c r="AF10425">
        <v>3.4103324607921901</v>
      </c>
      <c r="AG10425">
        <v>-1.1086222546460001</v>
      </c>
      <c r="AH10425">
        <v>18.2764786283429</v>
      </c>
      <c r="AI10425">
        <v>93.412461005130297</v>
      </c>
      <c r="AJ10425">
        <v>79.430344805933004</v>
      </c>
      <c r="AK10425">
        <v>18.6249585730788</v>
      </c>
      <c r="AL10425">
        <v>83.344784419023199</v>
      </c>
      <c r="AM10425">
        <v>82.271652276938894</v>
      </c>
      <c r="AN10425">
        <v>0.99999996517684897</v>
      </c>
    </row>
    <row r="10426" spans="1:40" x14ac:dyDescent="0.25">
      <c r="A10426" t="str">
        <f>"20190312150924900"</f>
        <v>20190312150924900</v>
      </c>
      <c r="B10426" t="str">
        <f>"1552374564890058"</f>
        <v>1552374564890058</v>
      </c>
      <c r="C10426" t="s">
        <v>40</v>
      </c>
      <c r="D10426">
        <v>4.5246510000000004</v>
      </c>
      <c r="E10426">
        <v>0.52258420000000005</v>
      </c>
      <c r="F10426" t="s">
        <v>42</v>
      </c>
      <c r="G10426">
        <v>-182.46449999999999</v>
      </c>
      <c r="H10426" s="1">
        <v>-3.696827E-6</v>
      </c>
      <c r="I10426">
        <v>104.6195</v>
      </c>
      <c r="J10426">
        <v>-187.2422</v>
      </c>
      <c r="K10426">
        <v>1.108665</v>
      </c>
      <c r="L10426">
        <v>85.698149999999998</v>
      </c>
      <c r="M10426">
        <v>5.6859630000000001E-2</v>
      </c>
      <c r="N10426">
        <v>0</v>
      </c>
      <c r="O10426">
        <v>0.99828570000000005</v>
      </c>
      <c r="P10426">
        <v>0.18914410000000001</v>
      </c>
      <c r="Q10426">
        <v>0.10263949999999999</v>
      </c>
      <c r="R10426">
        <v>0.97657039999999995</v>
      </c>
      <c r="S10426">
        <v>0.73738099999999995</v>
      </c>
      <c r="T10426">
        <v>-0.170622</v>
      </c>
      <c r="U10426">
        <v>2.9473569999999998</v>
      </c>
      <c r="V10426">
        <v>0.13376080000000001</v>
      </c>
      <c r="W10426">
        <v>0.1157874</v>
      </c>
      <c r="X10426">
        <v>0.9842263</v>
      </c>
      <c r="Y10426">
        <v>0.18676129999999999</v>
      </c>
      <c r="Z10426">
        <v>-5.6280650000000002E-2</v>
      </c>
      <c r="AA10426">
        <v>0.98079190000000005</v>
      </c>
      <c r="AB10426">
        <v>43</v>
      </c>
      <c r="AC10426">
        <v>4.7777000000000003</v>
      </c>
      <c r="AD10426">
        <v>-1.1086686968269901</v>
      </c>
      <c r="AE10426">
        <v>18.92135</v>
      </c>
      <c r="AF10426">
        <v>3.68212067977354</v>
      </c>
      <c r="AG10426">
        <v>-1.1086686968269901</v>
      </c>
      <c r="AH10426">
        <v>19.100770869000002</v>
      </c>
      <c r="AI10426">
        <v>93.2619757877534</v>
      </c>
      <c r="AJ10426">
        <v>79.088743296353996</v>
      </c>
      <c r="AK10426">
        <v>19.4840090014807</v>
      </c>
      <c r="AL10426">
        <v>83.350957130782206</v>
      </c>
      <c r="AM10426">
        <v>82.260660940559802</v>
      </c>
      <c r="AN10426">
        <v>1.0000000416135399</v>
      </c>
    </row>
    <row r="10427" spans="1:40" x14ac:dyDescent="0.25">
      <c r="A10427" t="str">
        <f>"20190312150924920"</f>
        <v>20190312150924920</v>
      </c>
      <c r="B10427" t="str">
        <f>"1552374564909578"</f>
        <v>1552374564909578</v>
      </c>
      <c r="C10427" t="s">
        <v>40</v>
      </c>
      <c r="D10427">
        <v>4.5651960000000003</v>
      </c>
      <c r="E10427">
        <v>0.52527080000000004</v>
      </c>
      <c r="F10427" t="s">
        <v>42</v>
      </c>
      <c r="G10427">
        <v>-182.25559999999999</v>
      </c>
      <c r="H10427" s="1">
        <v>-3.943799E-6</v>
      </c>
      <c r="I10427">
        <v>105.182</v>
      </c>
      <c r="J10427">
        <v>-187.22069999999999</v>
      </c>
      <c r="K10427">
        <v>1.1087320000000001</v>
      </c>
      <c r="L10427">
        <v>86.06241</v>
      </c>
      <c r="M10427">
        <v>5.7860750000000002E-2</v>
      </c>
      <c r="N10427">
        <v>0</v>
      </c>
      <c r="O10427">
        <v>0.99822599999999995</v>
      </c>
      <c r="P10427">
        <v>0.19005230000000001</v>
      </c>
      <c r="Q10427">
        <v>0.1031236</v>
      </c>
      <c r="R10427">
        <v>0.97634299999999996</v>
      </c>
      <c r="S10427">
        <v>0.75338749999999999</v>
      </c>
      <c r="T10427">
        <v>-0.16750039999999999</v>
      </c>
      <c r="U10427">
        <v>2.9436650000000002</v>
      </c>
      <c r="V10427">
        <v>0.13367879999999999</v>
      </c>
      <c r="W10427">
        <v>0.1164443</v>
      </c>
      <c r="X10427">
        <v>0.98415989999999998</v>
      </c>
      <c r="Y10427">
        <v>0.19108990000000001</v>
      </c>
      <c r="Z10427">
        <v>-5.5256930000000003E-2</v>
      </c>
      <c r="AA10427">
        <v>0.980016</v>
      </c>
      <c r="AB10427">
        <v>43</v>
      </c>
      <c r="AC10427">
        <v>4.9650999999999996</v>
      </c>
      <c r="AD10427">
        <v>-1.1087359437989901</v>
      </c>
      <c r="AE10427">
        <v>19.119589999999999</v>
      </c>
      <c r="AF10427">
        <v>3.8383054024625101</v>
      </c>
      <c r="AG10427">
        <v>-1.1087359437989901</v>
      </c>
      <c r="AH10427">
        <v>19.314019004304001</v>
      </c>
      <c r="AI10427">
        <v>93.222617455918297</v>
      </c>
      <c r="AJ10427">
        <v>78.7599647721662</v>
      </c>
      <c r="AK10427">
        <v>19.722910886942099</v>
      </c>
      <c r="AL10427">
        <v>83.313062945740597</v>
      </c>
      <c r="AM10427">
        <v>82.264832444944801</v>
      </c>
      <c r="AN10427">
        <v>1.00000000266997</v>
      </c>
    </row>
    <row r="10428" spans="1:40" x14ac:dyDescent="0.25">
      <c r="A10428" t="str">
        <f>"20190312150924943"</f>
        <v>20190312150924943</v>
      </c>
      <c r="B10428" t="str">
        <f>"1552374564939835"</f>
        <v>1552374564939835</v>
      </c>
      <c r="C10428" t="s">
        <v>40</v>
      </c>
      <c r="D10428">
        <v>4.554411</v>
      </c>
      <c r="E10428">
        <v>0.52771440000000003</v>
      </c>
      <c r="F10428" t="s">
        <v>42</v>
      </c>
      <c r="G10428">
        <v>-181.804</v>
      </c>
      <c r="H10428" s="1">
        <v>-4.5205430000000003E-6</v>
      </c>
      <c r="I10428">
        <v>106.5236</v>
      </c>
      <c r="J10428">
        <v>-187.1943</v>
      </c>
      <c r="K10428">
        <v>1.108814</v>
      </c>
      <c r="L10428">
        <v>86.500369999999904</v>
      </c>
      <c r="M10428">
        <v>5.900362E-2</v>
      </c>
      <c r="N10428">
        <v>0</v>
      </c>
      <c r="O10428">
        <v>0.99815670000000001</v>
      </c>
      <c r="P10428">
        <v>0.19123560000000001</v>
      </c>
      <c r="Q10428">
        <v>0.1029289</v>
      </c>
      <c r="R10428">
        <v>0.97613249999999996</v>
      </c>
      <c r="S10428">
        <v>0.77780150000000003</v>
      </c>
      <c r="T10428">
        <v>-0.15920790000000001</v>
      </c>
      <c r="U10428">
        <v>2.93811</v>
      </c>
      <c r="V10428">
        <v>0.1337235</v>
      </c>
      <c r="W10428">
        <v>0.116441</v>
      </c>
      <c r="X10428">
        <v>0.98415419999999998</v>
      </c>
      <c r="Y10428">
        <v>0.1980693</v>
      </c>
      <c r="Z10428">
        <v>-5.2528980000000003E-2</v>
      </c>
      <c r="AA10428">
        <v>0.97877939999999997</v>
      </c>
      <c r="AB10428">
        <v>43</v>
      </c>
      <c r="AC10428">
        <v>5.3902999999999901</v>
      </c>
      <c r="AD10428">
        <v>-1.1088185205429999</v>
      </c>
      <c r="AE10428">
        <v>20.023230000000002</v>
      </c>
      <c r="AF10428">
        <v>4.18737152134082</v>
      </c>
      <c r="AG10428">
        <v>-1.1088185205429999</v>
      </c>
      <c r="AH10428">
        <v>20.248519523933702</v>
      </c>
      <c r="AI10428">
        <v>93.069592012920396</v>
      </c>
      <c r="AJ10428">
        <v>78.3159964057688</v>
      </c>
      <c r="AK10428">
        <v>20.706668048731601</v>
      </c>
      <c r="AL10428">
        <v>83.313253199177794</v>
      </c>
      <c r="AM10428">
        <v>82.262232988625001</v>
      </c>
      <c r="AN10428">
        <v>0.99999998515544397</v>
      </c>
    </row>
    <row r="10429" spans="1:40" x14ac:dyDescent="0.25">
      <c r="A10429" t="str">
        <f>"20190312150924967"</f>
        <v>20190312150924967</v>
      </c>
      <c r="B10429" t="str">
        <f>"1552374564959355"</f>
        <v>1552374564959355</v>
      </c>
      <c r="C10429" t="s">
        <v>40</v>
      </c>
      <c r="D10429">
        <v>4.5741560000000003</v>
      </c>
      <c r="E10429">
        <v>0.5286788</v>
      </c>
      <c r="F10429" t="s">
        <v>42</v>
      </c>
      <c r="G10429">
        <v>-181.4896</v>
      </c>
      <c r="H10429" s="1">
        <v>-4.9023609999999998E-6</v>
      </c>
      <c r="I10429">
        <v>107.3998</v>
      </c>
      <c r="J10429">
        <v>-187.1677</v>
      </c>
      <c r="K10429">
        <v>1.108903</v>
      </c>
      <c r="L10429">
        <v>86.934110000000004</v>
      </c>
      <c r="M10429">
        <v>6.0061099999999999E-2</v>
      </c>
      <c r="N10429">
        <v>0</v>
      </c>
      <c r="O10429">
        <v>0.99809150000000002</v>
      </c>
      <c r="P10429">
        <v>0.19342909999999999</v>
      </c>
      <c r="Q10429">
        <v>0.10272820000000001</v>
      </c>
      <c r="R10429">
        <v>0.97572130000000001</v>
      </c>
      <c r="S10429">
        <v>0.80056759999999905</v>
      </c>
      <c r="T10429">
        <v>-0.15560589999999999</v>
      </c>
      <c r="U10429">
        <v>2.932922</v>
      </c>
      <c r="V10429">
        <v>0.1348712</v>
      </c>
      <c r="W10429">
        <v>0.1164055</v>
      </c>
      <c r="X10429">
        <v>0.98400180000000004</v>
      </c>
      <c r="Y10429">
        <v>0.2045556</v>
      </c>
      <c r="Z10429">
        <v>-5.1340959999999998E-2</v>
      </c>
      <c r="AA10429">
        <v>0.97750760000000003</v>
      </c>
      <c r="AB10429">
        <v>43</v>
      </c>
      <c r="AC10429">
        <v>5.6780999999999997</v>
      </c>
      <c r="AD10429">
        <v>-1.108907902361</v>
      </c>
      <c r="AE10429">
        <v>20.465689999999899</v>
      </c>
      <c r="AF10429">
        <v>4.4264620186009704</v>
      </c>
      <c r="AG10429">
        <v>-1.108907902361</v>
      </c>
      <c r="AH10429">
        <v>20.713338391709598</v>
      </c>
      <c r="AI10429">
        <v>92.996917271814397</v>
      </c>
      <c r="AJ10429">
        <v>77.937275256560696</v>
      </c>
      <c r="AK10429">
        <v>21.210036069453199</v>
      </c>
      <c r="AL10429">
        <v>83.315301304244002</v>
      </c>
      <c r="AM10429">
        <v>82.195443656589106</v>
      </c>
      <c r="AN10429">
        <v>1.00000001171146</v>
      </c>
    </row>
    <row r="10430" spans="1:40" x14ac:dyDescent="0.25">
      <c r="A10430" t="str">
        <f>"20190312150924989"</f>
        <v>20190312150924989</v>
      </c>
      <c r="B10430" t="str">
        <f>"1552374564979850"</f>
        <v>1552374564979850</v>
      </c>
      <c r="C10430" t="s">
        <v>40</v>
      </c>
      <c r="D10430">
        <v>4.5735679999999999</v>
      </c>
      <c r="E10430">
        <v>0.52959440000000002</v>
      </c>
      <c r="F10430" t="s">
        <v>42</v>
      </c>
      <c r="G10430">
        <v>-181.39869999999999</v>
      </c>
      <c r="H10430" s="1">
        <v>-5.0241830000000003E-6</v>
      </c>
      <c r="I10430">
        <v>107.6867</v>
      </c>
      <c r="J10430">
        <v>-187.1403</v>
      </c>
      <c r="K10430">
        <v>1.1089929999999999</v>
      </c>
      <c r="L10430">
        <v>87.374359999999996</v>
      </c>
      <c r="M10430">
        <v>6.1057050000000002E-2</v>
      </c>
      <c r="N10430">
        <v>0</v>
      </c>
      <c r="O10430">
        <v>0.9980291</v>
      </c>
      <c r="P10430">
        <v>0.1949552</v>
      </c>
      <c r="Q10430">
        <v>0.1022204</v>
      </c>
      <c r="R10430">
        <v>0.97547090000000003</v>
      </c>
      <c r="S10430">
        <v>0.8144226</v>
      </c>
      <c r="T10430">
        <v>-0.15654670000000001</v>
      </c>
      <c r="U10430">
        <v>2.9296880000000001</v>
      </c>
      <c r="V10430">
        <v>0.1354012</v>
      </c>
      <c r="W10430">
        <v>0.11605260000000001</v>
      </c>
      <c r="X10430">
        <v>0.98397069999999998</v>
      </c>
      <c r="Y10430">
        <v>0.20814379999999999</v>
      </c>
      <c r="Z10430">
        <v>-5.164908E-2</v>
      </c>
      <c r="AA10430">
        <v>0.97673359999999998</v>
      </c>
      <c r="AB10430">
        <v>43</v>
      </c>
      <c r="AC10430">
        <v>5.7416</v>
      </c>
      <c r="AD10430">
        <v>-1.108998024183</v>
      </c>
      <c r="AE10430">
        <v>20.312339999999999</v>
      </c>
      <c r="AF10430">
        <v>4.4781825656660397</v>
      </c>
      <c r="AG10430">
        <v>-1.108998024183</v>
      </c>
      <c r="AH10430">
        <v>20.5682619995831</v>
      </c>
      <c r="AI10430">
        <v>93.015765172644507</v>
      </c>
      <c r="AJ10430">
        <v>77.717083413088901</v>
      </c>
      <c r="AK10430">
        <v>21.079312071141501</v>
      </c>
      <c r="AL10430">
        <v>83.335658979976301</v>
      </c>
      <c r="AM10430">
        <v>82.164909892090293</v>
      </c>
      <c r="AN10430">
        <v>1.0000000146933401</v>
      </c>
    </row>
    <row r="10431" spans="1:40" x14ac:dyDescent="0.25">
      <c r="A10431" t="str">
        <f>"20190312150925010"</f>
        <v>20190312150925010</v>
      </c>
      <c r="B10431" t="str">
        <f>"1552374564999876"</f>
        <v>1552374564999876</v>
      </c>
      <c r="C10431" t="s">
        <v>40</v>
      </c>
      <c r="D10431">
        <v>5.1017479999999997</v>
      </c>
      <c r="E10431">
        <v>0.5302346</v>
      </c>
      <c r="F10431" t="s">
        <v>42</v>
      </c>
      <c r="G10431">
        <v>-181.30170000000001</v>
      </c>
      <c r="H10431" s="1">
        <v>-5.1732249999999999E-6</v>
      </c>
      <c r="I10431">
        <v>108.0489</v>
      </c>
      <c r="J10431">
        <v>-187.1147</v>
      </c>
      <c r="K10431">
        <v>1.1090739999999999</v>
      </c>
      <c r="L10431">
        <v>87.780090000000001</v>
      </c>
      <c r="M10431">
        <v>6.1916140000000001E-2</v>
      </c>
      <c r="N10431">
        <v>0</v>
      </c>
      <c r="O10431">
        <v>0.99797460000000004</v>
      </c>
      <c r="P10431">
        <v>0.19617670000000001</v>
      </c>
      <c r="Q10431">
        <v>0.1018279</v>
      </c>
      <c r="R10431">
        <v>0.97526710000000005</v>
      </c>
      <c r="S10431">
        <v>0.8265228</v>
      </c>
      <c r="T10431">
        <v>-0.15699199999999999</v>
      </c>
      <c r="U10431">
        <v>2.9267270000000001</v>
      </c>
      <c r="V10431">
        <v>0.13576199999999999</v>
      </c>
      <c r="W10431">
        <v>0.1157888</v>
      </c>
      <c r="X10431">
        <v>0.98395200000000005</v>
      </c>
      <c r="Y10431">
        <v>0.2112975</v>
      </c>
      <c r="Z10431">
        <v>-5.1795689999999998E-2</v>
      </c>
      <c r="AA10431">
        <v>0.97604849999999999</v>
      </c>
      <c r="AB10431">
        <v>43</v>
      </c>
      <c r="AC10431">
        <v>5.8129999999999802</v>
      </c>
      <c r="AD10431">
        <v>-1.1090791732249901</v>
      </c>
      <c r="AE10431">
        <v>20.268809999999998</v>
      </c>
      <c r="AF10431">
        <v>4.5342001844083404</v>
      </c>
      <c r="AG10431">
        <v>-1.1090791732249901</v>
      </c>
      <c r="AH10431">
        <v>20.533063941672602</v>
      </c>
      <c r="AI10431">
        <v>93.019189892127699</v>
      </c>
      <c r="AJ10431">
        <v>77.547538815964302</v>
      </c>
      <c r="AK10431">
        <v>21.056964234133702</v>
      </c>
      <c r="AL10431">
        <v>83.350875778827003</v>
      </c>
      <c r="AM10431">
        <v>82.144144830289207</v>
      </c>
      <c r="AN10431">
        <v>0.99999995257671803</v>
      </c>
    </row>
    <row r="10432" spans="1:40" x14ac:dyDescent="0.25">
      <c r="A10432" t="str">
        <f>"20190312150925032"</f>
        <v>20190312150925032</v>
      </c>
      <c r="B10432" t="str">
        <f>"1552374565019396"</f>
        <v>1552374565019396</v>
      </c>
      <c r="C10432" t="s">
        <v>40</v>
      </c>
      <c r="D10432">
        <v>4.6274389999999999</v>
      </c>
      <c r="E10432">
        <v>0.53087879999999998</v>
      </c>
      <c r="F10432" t="s">
        <v>42</v>
      </c>
      <c r="G10432">
        <v>-181.1208</v>
      </c>
      <c r="H10432" s="1">
        <v>-5.4857130000000004E-6</v>
      </c>
      <c r="I10432">
        <v>108.7487</v>
      </c>
      <c r="J10432">
        <v>-187.0889</v>
      </c>
      <c r="K10432">
        <v>1.1091530000000001</v>
      </c>
      <c r="L10432">
        <v>88.184749999999994</v>
      </c>
      <c r="M10432">
        <v>6.2708600000000003E-2</v>
      </c>
      <c r="N10432">
        <v>0</v>
      </c>
      <c r="O10432">
        <v>0.99792380000000003</v>
      </c>
      <c r="P10432">
        <v>0.1976793</v>
      </c>
      <c r="Q10432">
        <v>0.1017304</v>
      </c>
      <c r="R10432">
        <v>0.97497370000000005</v>
      </c>
      <c r="S10432">
        <v>0.83586119999999997</v>
      </c>
      <c r="T10432">
        <v>-0.15466279999999999</v>
      </c>
      <c r="U10432">
        <v>2.9241030000000001</v>
      </c>
      <c r="V10432">
        <v>0.13647529999999999</v>
      </c>
      <c r="W10432">
        <v>0.1158049</v>
      </c>
      <c r="X10432">
        <v>0.98385149999999999</v>
      </c>
      <c r="Y10432">
        <v>0.21364459999999999</v>
      </c>
      <c r="Z10432">
        <v>-5.1034429999999999E-2</v>
      </c>
      <c r="AA10432">
        <v>0.97557749999999999</v>
      </c>
      <c r="AB10432">
        <v>43</v>
      </c>
      <c r="AC10432">
        <v>5.96809999999999</v>
      </c>
      <c r="AD10432">
        <v>-1.1091584857129999</v>
      </c>
      <c r="AE10432">
        <v>20.563949999999998</v>
      </c>
      <c r="AF10432">
        <v>4.6541877683838697</v>
      </c>
      <c r="AG10432">
        <v>-1.1091584857129999</v>
      </c>
      <c r="AH10432">
        <v>20.841837632802701</v>
      </c>
      <c r="AI10432">
        <v>92.973192048978703</v>
      </c>
      <c r="AJ10432">
        <v>77.411821697336507</v>
      </c>
      <c r="AK10432">
        <v>21.3839634362275</v>
      </c>
      <c r="AL10432">
        <v>83.349947574484005</v>
      </c>
      <c r="AM10432">
        <v>82.102592696254604</v>
      </c>
      <c r="AN10432">
        <v>1.00000002821317</v>
      </c>
    </row>
    <row r="10433" spans="1:40" x14ac:dyDescent="0.25">
      <c r="A10433" t="str">
        <f>"20190312150925054"</f>
        <v>20190312150925054</v>
      </c>
      <c r="B10433" t="str">
        <f>"1552374565049653"</f>
        <v>1552374565049653</v>
      </c>
      <c r="C10433" t="s">
        <v>40</v>
      </c>
      <c r="D10433">
        <v>4.6221120000000004</v>
      </c>
      <c r="E10433">
        <v>0.53164739999999999</v>
      </c>
      <c r="F10433" t="s">
        <v>42</v>
      </c>
      <c r="G10433">
        <v>-180.8672</v>
      </c>
      <c r="H10433" s="1">
        <v>-2.4401370000000001E-6</v>
      </c>
      <c r="I10433">
        <v>109.67789999999999</v>
      </c>
      <c r="J10433">
        <v>-187.0615</v>
      </c>
      <c r="K10433">
        <v>1.1092409999999999</v>
      </c>
      <c r="L10433">
        <v>88.610349999999997</v>
      </c>
      <c r="M10433">
        <v>6.346098E-2</v>
      </c>
      <c r="N10433">
        <v>0</v>
      </c>
      <c r="O10433">
        <v>0.99787499999999996</v>
      </c>
      <c r="P10433">
        <v>0.19869790000000001</v>
      </c>
      <c r="Q10433">
        <v>0.1019496</v>
      </c>
      <c r="R10433">
        <v>0.97474380000000005</v>
      </c>
      <c r="S10433">
        <v>0.84562680000000001</v>
      </c>
      <c r="T10433">
        <v>-0.15075239999999901</v>
      </c>
      <c r="U10433">
        <v>2.921265</v>
      </c>
      <c r="V10433">
        <v>0.13673969999999999</v>
      </c>
      <c r="W10433">
        <v>0.1161346</v>
      </c>
      <c r="X10433">
        <v>0.98377590000000004</v>
      </c>
      <c r="Y10433">
        <v>0.21618760000000001</v>
      </c>
      <c r="Z10433">
        <v>-4.975359E-2</v>
      </c>
      <c r="AA10433">
        <v>0.97508340000000004</v>
      </c>
      <c r="AB10433">
        <v>42</v>
      </c>
      <c r="AC10433">
        <v>6.1942999999999904</v>
      </c>
      <c r="AD10433">
        <v>-1.1092434401369999</v>
      </c>
      <c r="AE10433">
        <v>21.067550000000001</v>
      </c>
      <c r="AF10433">
        <v>4.8323679165592797</v>
      </c>
      <c r="AG10433">
        <v>-1.1092434401369999</v>
      </c>
      <c r="AH10433">
        <v>21.363702407688699</v>
      </c>
      <c r="AI10433">
        <v>92.899124203895298</v>
      </c>
      <c r="AJ10433">
        <v>77.254450551544096</v>
      </c>
      <c r="AK10433">
        <v>21.931483790541002</v>
      </c>
      <c r="AL10433">
        <v>83.330928684310905</v>
      </c>
      <c r="AM10433">
        <v>82.086885934705904</v>
      </c>
      <c r="AN10433">
        <v>1.00000000614703</v>
      </c>
    </row>
    <row r="10434" spans="1:40" x14ac:dyDescent="0.25">
      <c r="A10434" t="str">
        <f>"20190312150925077"</f>
        <v>20190312150925077</v>
      </c>
      <c r="B10434" t="str">
        <f>"1552374565070152"</f>
        <v>1552374565070152</v>
      </c>
      <c r="C10434" t="s">
        <v>40</v>
      </c>
      <c r="D10434">
        <v>4.6069750000000003</v>
      </c>
      <c r="E10434">
        <v>0.53206739999999997</v>
      </c>
      <c r="F10434" t="s">
        <v>42</v>
      </c>
      <c r="G10434">
        <v>-180.50980000000001</v>
      </c>
      <c r="H10434" s="1">
        <v>-2.9797E-6</v>
      </c>
      <c r="I10434">
        <v>110.98390000000001</v>
      </c>
      <c r="J10434">
        <v>-187.03309999999999</v>
      </c>
      <c r="K10434">
        <v>1.109343</v>
      </c>
      <c r="L10434">
        <v>89.046109999999999</v>
      </c>
      <c r="M10434">
        <v>6.4134949999999996E-2</v>
      </c>
      <c r="N10434">
        <v>0</v>
      </c>
      <c r="O10434">
        <v>0.99783069999999896</v>
      </c>
      <c r="P10434">
        <v>0.19970250000000001</v>
      </c>
      <c r="Q10434">
        <v>0.1015209</v>
      </c>
      <c r="R10434">
        <v>0.97458319999999998</v>
      </c>
      <c r="S10434">
        <v>0.85467530000000003</v>
      </c>
      <c r="T10434">
        <v>-0.14470160000000001</v>
      </c>
      <c r="U10434">
        <v>2.9186399999999999</v>
      </c>
      <c r="V10434">
        <v>0.13705829999999999</v>
      </c>
      <c r="W10434">
        <v>0.1158115</v>
      </c>
      <c r="X10434">
        <v>0.98376969999999997</v>
      </c>
      <c r="Y10434">
        <v>0.21857550000000001</v>
      </c>
      <c r="Z10434">
        <v>-4.7766259999999998E-2</v>
      </c>
      <c r="AA10434">
        <v>0.97465029999999997</v>
      </c>
      <c r="AB10434">
        <v>42</v>
      </c>
      <c r="AC10434">
        <v>6.5232999999999697</v>
      </c>
      <c r="AD10434">
        <v>-1.1093459797</v>
      </c>
      <c r="AE10434">
        <v>21.93779</v>
      </c>
      <c r="AF10434">
        <v>5.0907726873268002</v>
      </c>
      <c r="AG10434">
        <v>-1.1093459797</v>
      </c>
      <c r="AH10434">
        <v>22.2587388699184</v>
      </c>
      <c r="AI10434">
        <v>92.781482572925498</v>
      </c>
      <c r="AJ10434">
        <v>77.117510749805803</v>
      </c>
      <c r="AK10434">
        <v>22.8604040020277</v>
      </c>
      <c r="AL10434">
        <v>83.3495670188899</v>
      </c>
      <c r="AM10434">
        <v>82.068633597493303</v>
      </c>
      <c r="AN10434">
        <v>1.0000000518846099</v>
      </c>
    </row>
    <row r="10435" spans="1:40" x14ac:dyDescent="0.25">
      <c r="A10435" t="str">
        <f>"20190312150925099"</f>
        <v>20190312150925099</v>
      </c>
      <c r="B10435" t="str">
        <f>"1552374565089953"</f>
        <v>1552374565089953</v>
      </c>
      <c r="C10435" t="s">
        <v>40</v>
      </c>
      <c r="D10435">
        <v>4.9437329999999999</v>
      </c>
      <c r="E10435">
        <v>0.53238989999999997</v>
      </c>
      <c r="F10435" t="s">
        <v>42</v>
      </c>
      <c r="G10435">
        <v>-180.36160000000001</v>
      </c>
      <c r="H10435" s="1">
        <v>-3.2429319999999999E-6</v>
      </c>
      <c r="I10435">
        <v>111.6416</v>
      </c>
      <c r="J10435">
        <v>-187.0061</v>
      </c>
      <c r="K10435">
        <v>1.1094469999999901</v>
      </c>
      <c r="L10435">
        <v>89.45966</v>
      </c>
      <c r="M10435">
        <v>6.4674110000000007E-2</v>
      </c>
      <c r="N10435">
        <v>0</v>
      </c>
      <c r="O10435">
        <v>0.99779499999999999</v>
      </c>
      <c r="P10435">
        <v>0.2001665</v>
      </c>
      <c r="Q10435">
        <v>0.1011053</v>
      </c>
      <c r="R10435">
        <v>0.97453120000000004</v>
      </c>
      <c r="S10435">
        <v>0.86119080000000003</v>
      </c>
      <c r="T10435">
        <v>-0.1431992</v>
      </c>
      <c r="U10435">
        <v>2.9167179999999999</v>
      </c>
      <c r="V10435">
        <v>0.13696240000000001</v>
      </c>
      <c r="W10435">
        <v>0.11549139999999999</v>
      </c>
      <c r="X10435">
        <v>0.98382060000000005</v>
      </c>
      <c r="Y10435">
        <v>0.2202316</v>
      </c>
      <c r="Z10435">
        <v>-4.7275299999999999E-2</v>
      </c>
      <c r="AA10435">
        <v>0.97430130000000004</v>
      </c>
      <c r="AB10435">
        <v>42</v>
      </c>
      <c r="AC10435">
        <v>6.6444999999999901</v>
      </c>
      <c r="AD10435">
        <v>-1.1094502429319999</v>
      </c>
      <c r="AE10435">
        <v>22.181940000000001</v>
      </c>
      <c r="AF10435">
        <v>5.1839291559757799</v>
      </c>
      <c r="AG10435">
        <v>-1.1094502429319999</v>
      </c>
      <c r="AH10435">
        <v>22.513582838725199</v>
      </c>
      <c r="AI10435">
        <v>92.749376978623701</v>
      </c>
      <c r="AJ10435">
        <v>77.033204882950699</v>
      </c>
      <c r="AK10435">
        <v>23.1293193495152</v>
      </c>
      <c r="AL10435">
        <v>83.368030734366897</v>
      </c>
      <c r="AM10435">
        <v>82.074517492022096</v>
      </c>
      <c r="AN10435">
        <v>0.99999996773603905</v>
      </c>
    </row>
    <row r="10436" spans="1:40" x14ac:dyDescent="0.25">
      <c r="A10436" t="str">
        <f>"20190312150925121"</f>
        <v>20190312150925121</v>
      </c>
      <c r="B10436" t="str">
        <f>"1552374565109474"</f>
        <v>1552374565109474</v>
      </c>
      <c r="C10436" t="s">
        <v>40</v>
      </c>
      <c r="D10436">
        <v>4.7730189999999997</v>
      </c>
      <c r="E10436">
        <v>0.53223369999999903</v>
      </c>
      <c r="F10436" t="s">
        <v>42</v>
      </c>
      <c r="G10436">
        <v>-180.31739999999999</v>
      </c>
      <c r="H10436" s="1">
        <v>-3.3769039999999999E-6</v>
      </c>
      <c r="I10436">
        <v>112.00060000000001</v>
      </c>
      <c r="J10436">
        <v>-186.97919999999999</v>
      </c>
      <c r="K10436">
        <v>1.1095630000000001</v>
      </c>
      <c r="L10436">
        <v>89.867739999999998</v>
      </c>
      <c r="M10436">
        <v>6.5102300000000002E-2</v>
      </c>
      <c r="N10436">
        <v>0</v>
      </c>
      <c r="O10436">
        <v>0.99776640000000005</v>
      </c>
      <c r="P10436">
        <v>0.20056570000000001</v>
      </c>
      <c r="Q10436">
        <v>0.1008971</v>
      </c>
      <c r="R10436">
        <v>0.97447070000000002</v>
      </c>
      <c r="S10436">
        <v>0.86515810000000004</v>
      </c>
      <c r="T10436">
        <v>-0.14350299999999999</v>
      </c>
      <c r="U10436">
        <v>2.9155880000000001</v>
      </c>
      <c r="V10436">
        <v>0.13691049999999999</v>
      </c>
      <c r="W10436">
        <v>0.1153706</v>
      </c>
      <c r="X10436">
        <v>0.98384199999999999</v>
      </c>
      <c r="Y10436">
        <v>0.22113289999999999</v>
      </c>
      <c r="Z10436">
        <v>-4.7377080000000002E-2</v>
      </c>
      <c r="AA10436">
        <v>0.97409219999999996</v>
      </c>
      <c r="AB10436">
        <v>42</v>
      </c>
      <c r="AC10436">
        <v>6.6618000000000004</v>
      </c>
      <c r="AD10436">
        <v>-1.1095663769039901</v>
      </c>
      <c r="AE10436">
        <v>22.132860000000001</v>
      </c>
      <c r="AF10436">
        <v>5.1946322468833204</v>
      </c>
      <c r="AG10436">
        <v>-1.1095663769039901</v>
      </c>
      <c r="AH10436">
        <v>22.467867655061902</v>
      </c>
      <c r="AI10436">
        <v>92.754681062655706</v>
      </c>
      <c r="AJ10436">
        <v>76.981803833532894</v>
      </c>
      <c r="AK10436">
        <v>23.087234972826302</v>
      </c>
      <c r="AL10436">
        <v>83.374998661187107</v>
      </c>
      <c r="AM10436">
        <v>82.077652739994903</v>
      </c>
      <c r="AN10436">
        <v>0.99999997065930402</v>
      </c>
    </row>
    <row r="10437" spans="1:40" x14ac:dyDescent="0.25">
      <c r="A10437" t="str">
        <f>"20190312150925145"</f>
        <v>20190312150925145</v>
      </c>
      <c r="B10437" t="str">
        <f>"1552374565139740"</f>
        <v>1552374565139740</v>
      </c>
      <c r="C10437" t="s">
        <v>40</v>
      </c>
      <c r="D10437">
        <v>4.7856990000000001</v>
      </c>
      <c r="E10437">
        <v>0.50053530000000002</v>
      </c>
      <c r="F10437" t="s">
        <v>42</v>
      </c>
      <c r="G10437">
        <v>-180.26050000000001</v>
      </c>
      <c r="H10437" s="1">
        <v>-3.5613640000000002E-6</v>
      </c>
      <c r="I10437">
        <v>112.4983</v>
      </c>
      <c r="J10437">
        <v>-186.94980000000001</v>
      </c>
      <c r="K10437">
        <v>1.109702</v>
      </c>
      <c r="L10437">
        <v>90.313509999999994</v>
      </c>
      <c r="M10437">
        <v>6.5451529999999994E-2</v>
      </c>
      <c r="N10437">
        <v>0</v>
      </c>
      <c r="O10437">
        <v>0.99774289999999999</v>
      </c>
      <c r="P10437">
        <v>0.20140179999999999</v>
      </c>
      <c r="Q10437">
        <v>0.1011732</v>
      </c>
      <c r="R10437">
        <v>0.97426959999999996</v>
      </c>
      <c r="S10437">
        <v>0.86550899999999997</v>
      </c>
      <c r="T10437">
        <v>-0.14293529999999999</v>
      </c>
      <c r="U10437">
        <v>2.9152830000000001</v>
      </c>
      <c r="V10437">
        <v>0.137377799999999</v>
      </c>
      <c r="W10437">
        <v>0.1157339</v>
      </c>
      <c r="X10437">
        <v>0.9837342</v>
      </c>
      <c r="Y10437">
        <v>0.2209296</v>
      </c>
      <c r="Z10437">
        <v>-4.7193489999999998E-2</v>
      </c>
      <c r="AA10437">
        <v>0.97414730000000005</v>
      </c>
      <c r="AB10437">
        <v>42</v>
      </c>
      <c r="AC10437">
        <v>6.6893000000000002</v>
      </c>
      <c r="AD10437">
        <v>-1.1097055613639999</v>
      </c>
      <c r="AE10437">
        <v>22.18479</v>
      </c>
      <c r="AF10437">
        <v>5.2108098792647901</v>
      </c>
      <c r="AG10437">
        <v>-1.1097055613639999</v>
      </c>
      <c r="AH10437">
        <v>22.5234246235343</v>
      </c>
      <c r="AI10437">
        <v>92.748151743659605</v>
      </c>
      <c r="AJ10437">
        <v>76.9737564307502</v>
      </c>
      <c r="AK10437">
        <v>23.1449485374844</v>
      </c>
      <c r="AL10437">
        <v>83.354042830123106</v>
      </c>
      <c r="AM10437">
        <v>82.050097486187099</v>
      </c>
      <c r="AN10437">
        <v>0.99999998589584405</v>
      </c>
    </row>
    <row r="10438" spans="1:40" x14ac:dyDescent="0.25">
      <c r="A10438" t="str">
        <f>"20190312150925168"</f>
        <v>20190312150925168</v>
      </c>
      <c r="B10438" t="str">
        <f>"1552374565159260"</f>
        <v>1552374565159260</v>
      </c>
      <c r="C10438" t="s">
        <v>40</v>
      </c>
      <c r="D10438">
        <v>4.7655849999999997</v>
      </c>
      <c r="E10438">
        <v>0.49994810000000001</v>
      </c>
      <c r="F10438" t="s">
        <v>41</v>
      </c>
      <c r="G10438">
        <v>-186.72380000000001</v>
      </c>
      <c r="H10438">
        <v>1.020335</v>
      </c>
      <c r="I10438">
        <v>91.39246</v>
      </c>
      <c r="J10438">
        <v>-186.9213</v>
      </c>
      <c r="K10438">
        <v>1.109834</v>
      </c>
      <c r="L10438">
        <v>90.743589999999998</v>
      </c>
      <c r="M10438">
        <v>6.5673300000000004E-2</v>
      </c>
      <c r="N10438">
        <v>0</v>
      </c>
      <c r="O10438">
        <v>0.99772780000000005</v>
      </c>
      <c r="P10438">
        <v>0.2020738</v>
      </c>
      <c r="Q10438">
        <v>0.1021275</v>
      </c>
      <c r="R10438">
        <v>0.97403090000000003</v>
      </c>
      <c r="S10438">
        <v>0.62319950000000002</v>
      </c>
      <c r="T10438">
        <v>-0.2464993</v>
      </c>
      <c r="U10438">
        <v>2.976013</v>
      </c>
      <c r="V10438">
        <v>0.13781309999999999</v>
      </c>
      <c r="W10438">
        <v>0.11676250000000001</v>
      </c>
      <c r="X10438">
        <v>0.98355170000000003</v>
      </c>
      <c r="Y10438">
        <v>0.13955890000000001</v>
      </c>
      <c r="Z10438">
        <v>-8.1004030000000005E-2</v>
      </c>
      <c r="AA10438">
        <v>0.98689499999999997</v>
      </c>
      <c r="AB10438">
        <v>42</v>
      </c>
      <c r="AC10438">
        <v>0.19749999999998999</v>
      </c>
      <c r="AD10438">
        <v>-8.9498999999999995E-2</v>
      </c>
      <c r="AE10438">
        <v>0.64887000000000195</v>
      </c>
      <c r="AF10438">
        <v>0.151811969962271</v>
      </c>
      <c r="AG10438">
        <v>-8.9498999999999995E-2</v>
      </c>
      <c r="AH10438">
        <v>0.64913820713121695</v>
      </c>
      <c r="AI10438">
        <v>97.646302320012197</v>
      </c>
      <c r="AJ10438">
        <v>76.836985995465497</v>
      </c>
      <c r="AK10438">
        <v>0.67263463870243501</v>
      </c>
      <c r="AL10438">
        <v>83.294705782080001</v>
      </c>
      <c r="AM10438">
        <v>82.023770038306196</v>
      </c>
      <c r="AN10438">
        <v>0.999999939255373</v>
      </c>
    </row>
    <row r="10439" spans="1:40" x14ac:dyDescent="0.25">
      <c r="A10439" t="str">
        <f>"20190312150925188"</f>
        <v>20190312150925188</v>
      </c>
      <c r="B10439" t="str">
        <f>"1552374565179763"</f>
        <v>1552374565179763</v>
      </c>
      <c r="C10439" t="s">
        <v>40</v>
      </c>
      <c r="D10439">
        <v>5.1030170000000004</v>
      </c>
      <c r="E10439">
        <v>0.50044049999999995</v>
      </c>
      <c r="F10439" t="s">
        <v>41</v>
      </c>
      <c r="G10439">
        <v>-186.70699999999999</v>
      </c>
      <c r="H10439">
        <v>1.0253540000000001</v>
      </c>
      <c r="I10439">
        <v>91.770939999999996</v>
      </c>
      <c r="J10439">
        <v>-186.89500000000001</v>
      </c>
      <c r="K10439">
        <v>1.109937</v>
      </c>
      <c r="L10439">
        <v>91.141139999999993</v>
      </c>
      <c r="M10439">
        <v>6.5809439999999997E-2</v>
      </c>
      <c r="N10439">
        <v>0</v>
      </c>
      <c r="O10439">
        <v>0.99771829999999995</v>
      </c>
      <c r="P10439">
        <v>0.2023838</v>
      </c>
      <c r="Q10439">
        <v>0.10238800000000001</v>
      </c>
      <c r="R10439">
        <v>0.9739392</v>
      </c>
      <c r="S10439">
        <v>0.62071229999999999</v>
      </c>
      <c r="T10439">
        <v>-0.24480499999999999</v>
      </c>
      <c r="U10439">
        <v>2.9768680000000001</v>
      </c>
      <c r="V10439">
        <v>0.13796720000000001</v>
      </c>
      <c r="W10439">
        <v>0.1170841</v>
      </c>
      <c r="X10439">
        <v>0.98349189999999997</v>
      </c>
      <c r="Y10439">
        <v>0.13858609999999999</v>
      </c>
      <c r="Z10439">
        <v>-8.0439659999999996E-2</v>
      </c>
      <c r="AA10439">
        <v>0.98707820000000002</v>
      </c>
      <c r="AB10439">
        <v>42</v>
      </c>
      <c r="AC10439">
        <v>0.18800000000001599</v>
      </c>
      <c r="AD10439">
        <v>-8.4583000000000005E-2</v>
      </c>
      <c r="AE10439">
        <v>0.62979999999998804</v>
      </c>
      <c r="AF10439">
        <v>0.14376003464133799</v>
      </c>
      <c r="AG10439">
        <v>-8.4583000000000005E-2</v>
      </c>
      <c r="AH10439">
        <v>0.63036837211361096</v>
      </c>
      <c r="AI10439">
        <v>97.453186633650702</v>
      </c>
      <c r="AJ10439">
        <v>77.153002796349398</v>
      </c>
      <c r="AK10439">
        <v>0.65206250928131304</v>
      </c>
      <c r="AL10439">
        <v>83.276152446758402</v>
      </c>
      <c r="AM10439">
        <v>82.014486886424095</v>
      </c>
      <c r="AN10439">
        <v>0.99999997605712898</v>
      </c>
    </row>
    <row r="10440" spans="1:40" x14ac:dyDescent="0.25">
      <c r="A10440" t="str">
        <f>"20190312150925211"</f>
        <v>20190312150925211</v>
      </c>
      <c r="B10440" t="str">
        <f>"1552374565199578"</f>
        <v>1552374565199578</v>
      </c>
      <c r="C10440" t="s">
        <v>40</v>
      </c>
      <c r="D10440">
        <v>4.8085610000000001</v>
      </c>
      <c r="E10440">
        <v>0.49982939999999998</v>
      </c>
      <c r="F10440" t="s">
        <v>41</v>
      </c>
      <c r="G10440">
        <v>-186.68340000000001</v>
      </c>
      <c r="H10440">
        <v>1.02576</v>
      </c>
      <c r="I10440">
        <v>92.146100000000004</v>
      </c>
      <c r="J10440">
        <v>-186.8674</v>
      </c>
      <c r="K10440">
        <v>1.11002</v>
      </c>
      <c r="L10440">
        <v>91.558139999999995</v>
      </c>
      <c r="M10440">
        <v>6.5896670000000004E-2</v>
      </c>
      <c r="N10440">
        <v>0</v>
      </c>
      <c r="O10440">
        <v>0.99771209999999999</v>
      </c>
      <c r="P10440">
        <v>0.20228769999999999</v>
      </c>
      <c r="Q10440">
        <v>0.10228080000000001</v>
      </c>
      <c r="R10440">
        <v>0.97397040000000001</v>
      </c>
      <c r="S10440">
        <v>0.62629699999999999</v>
      </c>
      <c r="T10440">
        <v>-0.2493234</v>
      </c>
      <c r="U10440">
        <v>2.9763489999999999</v>
      </c>
      <c r="V10440">
        <v>0.13775950000000001</v>
      </c>
      <c r="W10440">
        <v>0.117032</v>
      </c>
      <c r="X10440">
        <v>0.98352720000000005</v>
      </c>
      <c r="Y10440">
        <v>0.14028350000000001</v>
      </c>
      <c r="Z10440">
        <v>-8.190219E-2</v>
      </c>
      <c r="AA10440">
        <v>0.98671810000000004</v>
      </c>
      <c r="AB10440">
        <v>42</v>
      </c>
      <c r="AC10440">
        <v>0.183999999999997</v>
      </c>
      <c r="AD10440">
        <v>-8.4260000000000002E-2</v>
      </c>
      <c r="AE10440">
        <v>0.58795999999999504</v>
      </c>
      <c r="AF10440">
        <v>0.14219118377749401</v>
      </c>
      <c r="AG10440">
        <v>-8.4260000000000002E-2</v>
      </c>
      <c r="AH10440">
        <v>0.58781275780831099</v>
      </c>
      <c r="AI10440">
        <v>97.931763744716307</v>
      </c>
      <c r="AJ10440">
        <v>76.401444669675698</v>
      </c>
      <c r="AK10440">
        <v>0.61060782715770801</v>
      </c>
      <c r="AL10440">
        <v>83.279158119772305</v>
      </c>
      <c r="AM10440">
        <v>82.026636291398503</v>
      </c>
      <c r="AN10440">
        <v>0.99999996100204402</v>
      </c>
    </row>
    <row r="10441" spans="1:40" x14ac:dyDescent="0.25">
      <c r="A10441" t="str">
        <f>"20190312150925232"</f>
        <v>20190312150925232</v>
      </c>
      <c r="B10441" t="str">
        <f>"1552374565229834"</f>
        <v>1552374565229834</v>
      </c>
      <c r="C10441" t="s">
        <v>40</v>
      </c>
      <c r="D10441">
        <v>4.79697</v>
      </c>
      <c r="E10441">
        <v>0.49909809999999999</v>
      </c>
      <c r="F10441" t="s">
        <v>41</v>
      </c>
      <c r="G10441">
        <v>-186.666</v>
      </c>
      <c r="H10441">
        <v>1.028972</v>
      </c>
      <c r="I10441">
        <v>92.522400000000005</v>
      </c>
      <c r="J10441">
        <v>-186.84059999999999</v>
      </c>
      <c r="K10441">
        <v>1.11009</v>
      </c>
      <c r="L10441">
        <v>91.962159999999997</v>
      </c>
      <c r="M10441">
        <v>6.5943050000000003E-2</v>
      </c>
      <c r="N10441">
        <v>0</v>
      </c>
      <c r="O10441">
        <v>0.9977087</v>
      </c>
      <c r="P10441">
        <v>0.20226769999999999</v>
      </c>
      <c r="Q10441">
        <v>0.1023703</v>
      </c>
      <c r="R10441">
        <v>0.97396519999999998</v>
      </c>
      <c r="S10441">
        <v>0.62138369999999998</v>
      </c>
      <c r="T10441">
        <v>-0.25030439999999998</v>
      </c>
      <c r="U10441">
        <v>2.977417</v>
      </c>
      <c r="V10441">
        <v>0.1376761</v>
      </c>
      <c r="W10441">
        <v>0.11716409999999999</v>
      </c>
      <c r="X10441">
        <v>0.98352320000000004</v>
      </c>
      <c r="Y10441">
        <v>0.138600799999999</v>
      </c>
      <c r="Z10441">
        <v>-8.2216670000000006E-2</v>
      </c>
      <c r="AA10441">
        <v>0.98692970000000002</v>
      </c>
      <c r="AB10441">
        <v>42</v>
      </c>
      <c r="AC10441">
        <v>0.17459999999999801</v>
      </c>
      <c r="AD10441">
        <v>-8.1117999999999996E-2</v>
      </c>
      <c r="AE10441">
        <v>0.56024000000000695</v>
      </c>
      <c r="AF10441">
        <v>0.134697824385791</v>
      </c>
      <c r="AG10441">
        <v>-8.1117999999999996E-2</v>
      </c>
      <c r="AH10441">
        <v>0.55983754715813805</v>
      </c>
      <c r="AI10441">
        <v>98.018796473181396</v>
      </c>
      <c r="AJ10441">
        <v>76.471677889442404</v>
      </c>
      <c r="AK10441">
        <v>0.58149953828554801</v>
      </c>
      <c r="AL10441">
        <v>83.271537246298905</v>
      </c>
      <c r="AM10441">
        <v>82.031369372461199</v>
      </c>
      <c r="AN10441">
        <v>1.00000000988913</v>
      </c>
    </row>
    <row r="10442" spans="1:40" x14ac:dyDescent="0.25">
      <c r="A10442" t="str">
        <f>"20190312150925256"</f>
        <v>20190312150925256</v>
      </c>
      <c r="B10442" t="str">
        <f>"1552374565249354"</f>
        <v>1552374565249354</v>
      </c>
      <c r="C10442" t="s">
        <v>40</v>
      </c>
      <c r="D10442">
        <v>5.1340820000000003</v>
      </c>
      <c r="E10442">
        <v>0.49889020000000001</v>
      </c>
      <c r="F10442" t="s">
        <v>41</v>
      </c>
      <c r="G10442">
        <v>-186.6473</v>
      </c>
      <c r="H10442">
        <v>1.030365</v>
      </c>
      <c r="I10442">
        <v>92.897549999999995</v>
      </c>
      <c r="J10442">
        <v>-186.81200000000001</v>
      </c>
      <c r="K10442">
        <v>1.1101570000000001</v>
      </c>
      <c r="L10442">
        <v>92.393829999999994</v>
      </c>
      <c r="M10442">
        <v>6.59661E-2</v>
      </c>
      <c r="N10442">
        <v>0</v>
      </c>
      <c r="O10442">
        <v>0.99770689999999995</v>
      </c>
      <c r="P10442">
        <v>0.20258590000000001</v>
      </c>
      <c r="Q10442">
        <v>0.1019181</v>
      </c>
      <c r="R10442">
        <v>0.97394650000000005</v>
      </c>
      <c r="S10442">
        <v>0.61566160000000003</v>
      </c>
      <c r="T10442">
        <v>-0.25392730000000002</v>
      </c>
      <c r="U10442">
        <v>2.979034</v>
      </c>
      <c r="V10442">
        <v>0.137956299999999</v>
      </c>
      <c r="W10442">
        <v>0.1167493</v>
      </c>
      <c r="X10442">
        <v>0.98353330000000005</v>
      </c>
      <c r="Y10442">
        <v>0.13663339999999999</v>
      </c>
      <c r="Z10442">
        <v>-8.3381590000000005E-2</v>
      </c>
      <c r="AA10442">
        <v>0.98710629999999999</v>
      </c>
      <c r="AB10442">
        <v>42</v>
      </c>
      <c r="AC10442">
        <v>0.16470000000001001</v>
      </c>
      <c r="AD10442">
        <v>-7.9792000000000002E-2</v>
      </c>
      <c r="AE10442">
        <v>0.50371999999998696</v>
      </c>
      <c r="AF10442">
        <v>0.12820271821076301</v>
      </c>
      <c r="AG10442">
        <v>-7.9792000000000002E-2</v>
      </c>
      <c r="AH10442">
        <v>0.50210628363330501</v>
      </c>
      <c r="AI10442">
        <v>98.753359146858202</v>
      </c>
      <c r="AJ10442">
        <v>75.676704834783493</v>
      </c>
      <c r="AK10442">
        <v>0.52432186706704997</v>
      </c>
      <c r="AL10442">
        <v>83.2954680135269</v>
      </c>
      <c r="AM10442">
        <v>82.015441413083394</v>
      </c>
      <c r="AN10442">
        <v>1.00000004598453</v>
      </c>
    </row>
    <row r="10443" spans="1:40" x14ac:dyDescent="0.25">
      <c r="A10443" t="str">
        <f>"20190312150925278"</f>
        <v>20190312150925278</v>
      </c>
      <c r="B10443" t="str">
        <f>"1552374565269850"</f>
        <v>1552374565269850</v>
      </c>
      <c r="C10443" t="s">
        <v>40</v>
      </c>
      <c r="D10443">
        <v>4.8410820000000001</v>
      </c>
      <c r="E10443">
        <v>0.49873390000000001</v>
      </c>
      <c r="F10443" t="s">
        <v>41</v>
      </c>
      <c r="G10443">
        <v>-186.62989999999999</v>
      </c>
      <c r="H10443">
        <v>1.0357529999999999</v>
      </c>
      <c r="I10443">
        <v>93.275130000000004</v>
      </c>
      <c r="J10443">
        <v>-186.78389999999999</v>
      </c>
      <c r="K10443">
        <v>1.110214</v>
      </c>
      <c r="L10443">
        <v>92.818299999999994</v>
      </c>
      <c r="M10443">
        <v>6.5975439999999996E-2</v>
      </c>
      <c r="N10443">
        <v>0</v>
      </c>
      <c r="O10443">
        <v>0.99770610000000004</v>
      </c>
      <c r="P10443">
        <v>0.20257449999999999</v>
      </c>
      <c r="Q10443">
        <v>0.10200620000000001</v>
      </c>
      <c r="R10443">
        <v>0.97393960000000002</v>
      </c>
      <c r="S10443">
        <v>0.61524959999999995</v>
      </c>
      <c r="T10443">
        <v>-0.25150499999999998</v>
      </c>
      <c r="U10443">
        <v>2.9786069999999998</v>
      </c>
      <c r="V10443">
        <v>0.13792389999999999</v>
      </c>
      <c r="W10443">
        <v>0.1168672</v>
      </c>
      <c r="X10443">
        <v>0.98352379999999995</v>
      </c>
      <c r="Y10443">
        <v>0.1365344</v>
      </c>
      <c r="Z10443">
        <v>-8.260489E-2</v>
      </c>
      <c r="AA10443">
        <v>0.98718530000000004</v>
      </c>
      <c r="AB10443">
        <v>42</v>
      </c>
      <c r="AC10443">
        <v>0.153999999999996</v>
      </c>
      <c r="AD10443">
        <v>-7.4460999999999805E-2</v>
      </c>
      <c r="AE10443">
        <v>0.45683000000001001</v>
      </c>
      <c r="AF10443">
        <v>0.120643266114614</v>
      </c>
      <c r="AG10443">
        <v>-7.4460999999999805E-2</v>
      </c>
      <c r="AH10443">
        <v>0.455137917730842</v>
      </c>
      <c r="AI10443">
        <v>98.986317911735597</v>
      </c>
      <c r="AJ10443">
        <v>75.154042144635397</v>
      </c>
      <c r="AK10443">
        <v>0.47670720818566198</v>
      </c>
      <c r="AL10443">
        <v>83.288666003048405</v>
      </c>
      <c r="AM10443">
        <v>82.017216354364905</v>
      </c>
      <c r="AN10443">
        <v>1.0000000048967399</v>
      </c>
    </row>
    <row r="10444" spans="1:40" x14ac:dyDescent="0.25">
      <c r="A10444" t="str">
        <f>"20190312150925300"</f>
        <v>20190312150925300</v>
      </c>
      <c r="B10444" t="str">
        <f>"1552374565289876"</f>
        <v>1552374565289876</v>
      </c>
      <c r="C10444" t="s">
        <v>40</v>
      </c>
      <c r="D10444">
        <v>4.8530480000000003</v>
      </c>
      <c r="E10444">
        <v>0.49857820000000003</v>
      </c>
      <c r="F10444" t="s">
        <v>41</v>
      </c>
      <c r="G10444">
        <v>-186.6123</v>
      </c>
      <c r="H10444">
        <v>1.0393619999999999</v>
      </c>
      <c r="I10444">
        <v>93.651179999999997</v>
      </c>
      <c r="J10444">
        <v>-186.75649999999999</v>
      </c>
      <c r="K10444">
        <v>1.110255</v>
      </c>
      <c r="L10444">
        <v>93.231170000000006</v>
      </c>
      <c r="M10444">
        <v>6.5980289999999997E-2</v>
      </c>
      <c r="N10444">
        <v>0</v>
      </c>
      <c r="O10444">
        <v>0.99770550000000002</v>
      </c>
      <c r="P10444">
        <v>0.20315720000000001</v>
      </c>
      <c r="Q10444">
        <v>0.10278660000000001</v>
      </c>
      <c r="R10444">
        <v>0.97373620000000005</v>
      </c>
      <c r="S10444">
        <v>0.61399840000000006</v>
      </c>
      <c r="T10444">
        <v>-0.25341809999999998</v>
      </c>
      <c r="U10444">
        <v>2.9791259999999999</v>
      </c>
      <c r="V10444">
        <v>0.13850419999999999</v>
      </c>
      <c r="W10444">
        <v>0.11766939999999999</v>
      </c>
      <c r="X10444">
        <v>0.98334659999999996</v>
      </c>
      <c r="Y10444">
        <v>0.1360874</v>
      </c>
      <c r="Z10444">
        <v>-8.3220730000000007E-2</v>
      </c>
      <c r="AA10444">
        <v>0.9871953</v>
      </c>
      <c r="AB10444">
        <v>42</v>
      </c>
      <c r="AC10444">
        <v>0.14419999999998301</v>
      </c>
      <c r="AD10444">
        <v>-7.0892999999999803E-2</v>
      </c>
      <c r="AE10444">
        <v>0.42001000000001898</v>
      </c>
      <c r="AF10444">
        <v>0.11328304213528401</v>
      </c>
      <c r="AG10444">
        <v>-7.0892999999999803E-2</v>
      </c>
      <c r="AH10444">
        <v>0.41795808650773197</v>
      </c>
      <c r="AI10444">
        <v>99.297460108832595</v>
      </c>
      <c r="AJ10444">
        <v>74.8349411596149</v>
      </c>
      <c r="AK10444">
        <v>0.43880272009370003</v>
      </c>
      <c r="AL10444">
        <v>83.242384086104195</v>
      </c>
      <c r="AM10444">
        <v>81.982639609639506</v>
      </c>
      <c r="AN10444">
        <v>1.00000001842277</v>
      </c>
    </row>
    <row r="10445" spans="1:40" x14ac:dyDescent="0.25">
      <c r="A10445" t="str">
        <f>"20190312150925323"</f>
        <v>20190312150925323</v>
      </c>
      <c r="B10445" t="str">
        <f>"1552374565320134"</f>
        <v>1552374565320134</v>
      </c>
      <c r="C10445" t="s">
        <v>40</v>
      </c>
      <c r="D10445">
        <v>4.8840209999999997</v>
      </c>
      <c r="E10445">
        <v>0.49836069999999999</v>
      </c>
      <c r="F10445" t="s">
        <v>41</v>
      </c>
      <c r="G10445">
        <v>-186.59229999999999</v>
      </c>
      <c r="H10445">
        <v>1.0431549999999901</v>
      </c>
      <c r="I10445">
        <v>94.027140000000003</v>
      </c>
      <c r="J10445">
        <v>-186.72980000000001</v>
      </c>
      <c r="K10445">
        <v>1.1102909999999999</v>
      </c>
      <c r="L10445">
        <v>93.634190000000004</v>
      </c>
      <c r="M10445">
        <v>6.598511E-2</v>
      </c>
      <c r="N10445">
        <v>0</v>
      </c>
      <c r="O10445">
        <v>0.99770510000000001</v>
      </c>
      <c r="P10445">
        <v>0.2045003</v>
      </c>
      <c r="Q10445">
        <v>0.1031493</v>
      </c>
      <c r="R10445">
        <v>0.97341659999999997</v>
      </c>
      <c r="S10445">
        <v>0.61441040000000002</v>
      </c>
      <c r="T10445">
        <v>-0.25117919999999999</v>
      </c>
      <c r="U10445">
        <v>2.9792480000000001</v>
      </c>
      <c r="V10445">
        <v>0.13985249999999999</v>
      </c>
      <c r="W10445">
        <v>0.11804729999999999</v>
      </c>
      <c r="X10445">
        <v>0.98311040000000005</v>
      </c>
      <c r="Y10445">
        <v>0.136217899999999</v>
      </c>
      <c r="Z10445">
        <v>-8.2485390000000006E-2</v>
      </c>
      <c r="AA10445">
        <v>0.98723899999999998</v>
      </c>
      <c r="AB10445">
        <v>42</v>
      </c>
      <c r="AC10445">
        <v>0.137500000000017</v>
      </c>
      <c r="AD10445">
        <v>-6.7136000000000001E-2</v>
      </c>
      <c r="AE10445">
        <v>0.39294999999999802</v>
      </c>
      <c r="AF10445">
        <v>0.108448132115933</v>
      </c>
      <c r="AG10445">
        <v>-6.7136000000000001E-2</v>
      </c>
      <c r="AH10445">
        <v>0.39099911312366298</v>
      </c>
      <c r="AI10445">
        <v>99.394892933724407</v>
      </c>
      <c r="AJ10445">
        <v>74.498029517718194</v>
      </c>
      <c r="AK10445">
        <v>0.41127672717882502</v>
      </c>
      <c r="AL10445">
        <v>83.220579734740696</v>
      </c>
      <c r="AM10445">
        <v>81.903703302975799</v>
      </c>
      <c r="AN10445">
        <v>0.99999997269084895</v>
      </c>
    </row>
    <row r="10446" spans="1:40" x14ac:dyDescent="0.25">
      <c r="A10446" t="str">
        <f>"20190312150925346"</f>
        <v>20190312150925346</v>
      </c>
      <c r="B10446" t="str">
        <f>"1552374565339654"</f>
        <v>1552374565339654</v>
      </c>
      <c r="C10446" t="s">
        <v>40</v>
      </c>
      <c r="D10446">
        <v>4.9053490000000002</v>
      </c>
      <c r="E10446">
        <v>0.49820900000000001</v>
      </c>
      <c r="F10446" t="s">
        <v>41</v>
      </c>
      <c r="G10446">
        <v>-186.5712</v>
      </c>
      <c r="H10446">
        <v>1.045269</v>
      </c>
      <c r="I10446">
        <v>94.401269999999997</v>
      </c>
      <c r="J10446">
        <v>-186.7011</v>
      </c>
      <c r="K10446">
        <v>1.110317</v>
      </c>
      <c r="L10446">
        <v>94.068600000000004</v>
      </c>
      <c r="M10446">
        <v>6.5991569999999999E-2</v>
      </c>
      <c r="N10446">
        <v>0</v>
      </c>
      <c r="O10446">
        <v>0.99770449999999999</v>
      </c>
      <c r="P10446">
        <v>0.20604149999999999</v>
      </c>
      <c r="Q10446">
        <v>0.1036398</v>
      </c>
      <c r="R10446">
        <v>0.9730394</v>
      </c>
      <c r="S10446">
        <v>0.61627200000000004</v>
      </c>
      <c r="T10446">
        <v>-0.25251099999999999</v>
      </c>
      <c r="U10446">
        <v>2.9792179999999999</v>
      </c>
      <c r="V10446">
        <v>0.14140159999999999</v>
      </c>
      <c r="W10446">
        <v>0.11855010000000001</v>
      </c>
      <c r="X10446">
        <v>0.98282829999999999</v>
      </c>
      <c r="Y10446">
        <v>0.136798</v>
      </c>
      <c r="Z10446">
        <v>-8.2911990000000005E-2</v>
      </c>
      <c r="AA10446">
        <v>0.98712310000000003</v>
      </c>
      <c r="AB10446">
        <v>42</v>
      </c>
      <c r="AC10446">
        <v>0.12989999999999199</v>
      </c>
      <c r="AD10446">
        <v>-6.5047999999999995E-2</v>
      </c>
      <c r="AE10446">
        <v>0.33266999999999303</v>
      </c>
      <c r="AF10446">
        <v>0.10420386921465299</v>
      </c>
      <c r="AG10446">
        <v>-6.5047999999999995E-2</v>
      </c>
      <c r="AH10446">
        <v>0.32958403655087298</v>
      </c>
      <c r="AI10446">
        <v>100.65741936593101</v>
      </c>
      <c r="AJ10446">
        <v>72.454721398692897</v>
      </c>
      <c r="AK10446">
        <v>0.35173189478986999</v>
      </c>
      <c r="AL10446">
        <v>83.191567901975304</v>
      </c>
      <c r="AM10446">
        <v>81.812914425889502</v>
      </c>
      <c r="AN10446">
        <v>1.00000000298673</v>
      </c>
    </row>
    <row r="10447" spans="1:40" x14ac:dyDescent="0.25">
      <c r="A10447" t="str">
        <f>"20190312150925368"</f>
        <v>20190312150925368</v>
      </c>
      <c r="B10447" t="str">
        <f>"1552374565360150"</f>
        <v>1552374565360150</v>
      </c>
      <c r="C10447" t="s">
        <v>40</v>
      </c>
      <c r="D10447">
        <v>4.885999</v>
      </c>
      <c r="E10447">
        <v>0.49806159999999999</v>
      </c>
      <c r="F10447" t="s">
        <v>41</v>
      </c>
      <c r="G10447">
        <v>-186.48050000000001</v>
      </c>
      <c r="H10447">
        <v>1.020659</v>
      </c>
      <c r="I10447">
        <v>95.128299999999996</v>
      </c>
      <c r="J10447">
        <v>-186.67330000000001</v>
      </c>
      <c r="K10447">
        <v>1.1103449999999999</v>
      </c>
      <c r="L10447">
        <v>94.488590000000002</v>
      </c>
      <c r="M10447">
        <v>6.5998020000000004E-2</v>
      </c>
      <c r="N10447">
        <v>0</v>
      </c>
      <c r="O10447">
        <v>0.99770400000000004</v>
      </c>
      <c r="P10447">
        <v>0.206923</v>
      </c>
      <c r="Q10447">
        <v>0.1046025</v>
      </c>
      <c r="R10447">
        <v>0.97274930000000004</v>
      </c>
      <c r="S10447">
        <v>0.61976619999999905</v>
      </c>
      <c r="T10447">
        <v>-0.25203330000000002</v>
      </c>
      <c r="U10447">
        <v>2.978729</v>
      </c>
      <c r="V10447">
        <v>0.14228859999999999</v>
      </c>
      <c r="W10447">
        <v>0.11952260000000001</v>
      </c>
      <c r="X10447">
        <v>0.98258239999999997</v>
      </c>
      <c r="Y10447">
        <v>0.13793649999999999</v>
      </c>
      <c r="Z10447">
        <v>-8.2753099999999996E-2</v>
      </c>
      <c r="AA10447">
        <v>0.98697789999999996</v>
      </c>
      <c r="AB10447">
        <v>42</v>
      </c>
      <c r="AC10447">
        <v>0.192800000000005</v>
      </c>
      <c r="AD10447">
        <v>-8.9686000000000099E-2</v>
      </c>
      <c r="AE10447">
        <v>0.63970999999999301</v>
      </c>
      <c r="AF10447">
        <v>0.14749736430664701</v>
      </c>
      <c r="AG10447">
        <v>-8.9686000000000099E-2</v>
      </c>
      <c r="AH10447">
        <v>0.63951754001874495</v>
      </c>
      <c r="AI10447">
        <v>97.781421012981795</v>
      </c>
      <c r="AJ10447">
        <v>77.012495166085401</v>
      </c>
      <c r="AK10447">
        <v>0.66240601979830604</v>
      </c>
      <c r="AL10447">
        <v>83.135448273628199</v>
      </c>
      <c r="AM10447">
        <v>81.760226960377494</v>
      </c>
      <c r="AN10447">
        <v>0.999999935195237</v>
      </c>
    </row>
    <row r="10448" spans="1:40" x14ac:dyDescent="0.25">
      <c r="A10448" t="str">
        <f>"20190312150925390"</f>
        <v>20190312150925390</v>
      </c>
      <c r="B10448" t="str">
        <f>"1552374565379668"</f>
        <v>1552374565379668</v>
      </c>
      <c r="C10448" t="s">
        <v>40</v>
      </c>
      <c r="D10448">
        <v>4.8992519999999997</v>
      </c>
      <c r="E10448">
        <v>0.4979653</v>
      </c>
      <c r="F10448" t="s">
        <v>41</v>
      </c>
      <c r="G10448">
        <v>-186.46190000000001</v>
      </c>
      <c r="H10448">
        <v>1.0249950000000001</v>
      </c>
      <c r="I10448">
        <v>95.501949999999994</v>
      </c>
      <c r="J10448">
        <v>-186.64670000000001</v>
      </c>
      <c r="K10448">
        <v>1.1103670000000001</v>
      </c>
      <c r="L10448">
        <v>94.890559999999994</v>
      </c>
      <c r="M10448">
        <v>6.6003809999999996E-2</v>
      </c>
      <c r="N10448">
        <v>0</v>
      </c>
      <c r="O10448">
        <v>0.99770360000000002</v>
      </c>
      <c r="P10448">
        <v>0.20743130000000001</v>
      </c>
      <c r="Q10448">
        <v>0.1048253</v>
      </c>
      <c r="R10448">
        <v>0.97261699999999995</v>
      </c>
      <c r="S10448">
        <v>0.62094119999999997</v>
      </c>
      <c r="T10448">
        <v>-0.25093910000000003</v>
      </c>
      <c r="U10448">
        <v>2.9789430000000001</v>
      </c>
      <c r="V10448">
        <v>0.14279459999999999</v>
      </c>
      <c r="W10448">
        <v>0.1197536</v>
      </c>
      <c r="X10448">
        <v>0.98248089999999999</v>
      </c>
      <c r="Y10448">
        <v>0.138295899999999</v>
      </c>
      <c r="Z10448">
        <v>-8.2385169999999994E-2</v>
      </c>
      <c r="AA10448">
        <v>0.98695840000000001</v>
      </c>
      <c r="AB10448">
        <v>42</v>
      </c>
      <c r="AC10448">
        <v>0.184799999999995</v>
      </c>
      <c r="AD10448">
        <v>-8.5372000000000003E-2</v>
      </c>
      <c r="AE10448">
        <v>0.61138999999999999</v>
      </c>
      <c r="AF10448">
        <v>0.14150998941161599</v>
      </c>
      <c r="AG10448">
        <v>-8.5372000000000003E-2</v>
      </c>
      <c r="AH10448">
        <v>0.61133335979954095</v>
      </c>
      <c r="AI10448">
        <v>97.747605524391801</v>
      </c>
      <c r="AJ10448">
        <v>76.966853823494901</v>
      </c>
      <c r="AK10448">
        <v>0.63327871612037501</v>
      </c>
      <c r="AL10448">
        <v>83.122117443390593</v>
      </c>
      <c r="AM10448">
        <v>81.730487099397195</v>
      </c>
      <c r="AN10448">
        <v>0.99999997068346402</v>
      </c>
    </row>
    <row r="10449" spans="1:40" x14ac:dyDescent="0.25">
      <c r="A10449" t="str">
        <f>"20190312150925411"</f>
        <v>20190312150925411</v>
      </c>
      <c r="B10449" t="str">
        <f>"1552374565409924"</f>
        <v>1552374565409924</v>
      </c>
      <c r="C10449" t="s">
        <v>40</v>
      </c>
      <c r="D10449">
        <v>4.9055580000000001</v>
      </c>
      <c r="E10449">
        <v>0.49796430000000003</v>
      </c>
      <c r="F10449" t="s">
        <v>41</v>
      </c>
      <c r="G10449">
        <v>-186.44120000000001</v>
      </c>
      <c r="H10449">
        <v>1.027282</v>
      </c>
      <c r="I10449">
        <v>95.874080000000006</v>
      </c>
      <c r="J10449">
        <v>-186.61949999999999</v>
      </c>
      <c r="K10449">
        <v>1.110384</v>
      </c>
      <c r="L10449">
        <v>95.299989999999994</v>
      </c>
      <c r="M10449">
        <v>6.6008289999999997E-2</v>
      </c>
      <c r="N10449">
        <v>0</v>
      </c>
      <c r="O10449">
        <v>0.99770320000000001</v>
      </c>
      <c r="P10449">
        <v>0.2081363</v>
      </c>
      <c r="Q10449">
        <v>0.1046155</v>
      </c>
      <c r="R10449">
        <v>0.97248900000000005</v>
      </c>
      <c r="S10449">
        <v>0.62199399999999905</v>
      </c>
      <c r="T10449">
        <v>-0.25168800000000002</v>
      </c>
      <c r="U10449">
        <v>2.9789430000000001</v>
      </c>
      <c r="V10449">
        <v>0.1434986</v>
      </c>
      <c r="W10449">
        <v>0.11955</v>
      </c>
      <c r="X10449">
        <v>0.98240320000000003</v>
      </c>
      <c r="Y10449">
        <v>0.13862169999999999</v>
      </c>
      <c r="Z10449">
        <v>-8.2624470000000005E-2</v>
      </c>
      <c r="AA10449">
        <v>0.98689269999999996</v>
      </c>
      <c r="AB10449">
        <v>42</v>
      </c>
      <c r="AC10449">
        <v>0.178299999999978</v>
      </c>
      <c r="AD10449">
        <v>-8.3101999999999995E-2</v>
      </c>
      <c r="AE10449">
        <v>0.57408999999999799</v>
      </c>
      <c r="AF10449">
        <v>0.13738645475612701</v>
      </c>
      <c r="AG10449">
        <v>-8.3101999999999995E-2</v>
      </c>
      <c r="AH10449">
        <v>0.57364568262628801</v>
      </c>
      <c r="AI10449">
        <v>98.019186724400996</v>
      </c>
      <c r="AJ10449">
        <v>76.5315167172092</v>
      </c>
      <c r="AK10449">
        <v>0.59569316728516997</v>
      </c>
      <c r="AL10449">
        <v>83.133867816801697</v>
      </c>
      <c r="AM10449">
        <v>81.689636984439105</v>
      </c>
      <c r="AN10449">
        <v>1.0000000490360901</v>
      </c>
    </row>
    <row r="10450" spans="1:40" x14ac:dyDescent="0.25">
      <c r="A10450" t="str">
        <f>"20190312150925424"</f>
        <v>20190312150925424</v>
      </c>
      <c r="B10450" t="str">
        <f>"1552374565419684"</f>
        <v>1552374565419684</v>
      </c>
      <c r="C10450" t="s">
        <v>40</v>
      </c>
      <c r="D10450">
        <v>4.9296309999999997</v>
      </c>
      <c r="E10450">
        <v>0.49793100000000001</v>
      </c>
      <c r="F10450" t="s">
        <v>41</v>
      </c>
      <c r="G10450">
        <v>-186.4212</v>
      </c>
      <c r="H10450">
        <v>1.02948</v>
      </c>
      <c r="I10450">
        <v>96.24579</v>
      </c>
      <c r="J10450">
        <v>-186.60390000000001</v>
      </c>
      <c r="K10450">
        <v>1.1103909999999999</v>
      </c>
      <c r="L10450">
        <v>95.536529999999999</v>
      </c>
      <c r="M10450">
        <v>6.601042E-2</v>
      </c>
      <c r="N10450">
        <v>0</v>
      </c>
      <c r="O10450">
        <v>0.99770300000000001</v>
      </c>
      <c r="P10450">
        <v>0.20863190000000001</v>
      </c>
      <c r="Q10450">
        <v>0.1044582</v>
      </c>
      <c r="R10450">
        <v>0.97239969999999998</v>
      </c>
      <c r="S10450">
        <v>0.62425229999999998</v>
      </c>
      <c r="T10450">
        <v>-0.25483689999999998</v>
      </c>
      <c r="U10450">
        <v>2.9786679999999999</v>
      </c>
      <c r="V10450">
        <v>0.14399529999999999</v>
      </c>
      <c r="W10450">
        <v>0.11939470000000001</v>
      </c>
      <c r="X10450">
        <v>0.98234929999999998</v>
      </c>
      <c r="Y10450">
        <v>0.13933709999999999</v>
      </c>
      <c r="Z10450">
        <v>-8.364779E-2</v>
      </c>
      <c r="AA10450">
        <v>0.98670570000000002</v>
      </c>
      <c r="AB10450">
        <v>42</v>
      </c>
      <c r="AC10450">
        <v>0.18270000000001099</v>
      </c>
      <c r="AD10450">
        <v>-8.09109999999999E-2</v>
      </c>
      <c r="AE10450">
        <v>0.70926</v>
      </c>
      <c r="AF10450">
        <v>0.13384402479316701</v>
      </c>
      <c r="AG10450">
        <v>-8.09109999999999E-2</v>
      </c>
      <c r="AH10450">
        <v>0.71109596918517404</v>
      </c>
      <c r="AI10450">
        <v>96.380309618346004</v>
      </c>
      <c r="AJ10450">
        <v>79.340378056682596</v>
      </c>
      <c r="AK10450">
        <v>0.72809222649691596</v>
      </c>
      <c r="AL10450">
        <v>83.142829318977903</v>
      </c>
      <c r="AM10450">
        <v>81.660824536170395</v>
      </c>
      <c r="AN10450">
        <v>0.99999994401033299</v>
      </c>
    </row>
    <row r="10451" spans="1:40" x14ac:dyDescent="0.25">
      <c r="A10451" t="str">
        <f>"20190312150925438"</f>
        <v>20190312150925438</v>
      </c>
      <c r="B10451" t="str">
        <f>"1552374565429444"</f>
        <v>1552374565429444</v>
      </c>
      <c r="C10451" t="s">
        <v>40</v>
      </c>
      <c r="D10451">
        <v>4.9343399999999997</v>
      </c>
      <c r="E10451">
        <v>0.49781170000000002</v>
      </c>
      <c r="F10451" t="s">
        <v>41</v>
      </c>
      <c r="G10451">
        <v>-186.37860000000001</v>
      </c>
      <c r="H10451">
        <v>1.017998</v>
      </c>
      <c r="I10451">
        <v>96.609449999999995</v>
      </c>
      <c r="J10451">
        <v>-186.58770000000001</v>
      </c>
      <c r="K10451">
        <v>1.110393</v>
      </c>
      <c r="L10451">
        <v>95.781189999999995</v>
      </c>
      <c r="M10451">
        <v>6.6011860000000006E-2</v>
      </c>
      <c r="N10451">
        <v>0</v>
      </c>
      <c r="O10451">
        <v>0.99770289999999995</v>
      </c>
      <c r="P10451">
        <v>0.2091857</v>
      </c>
      <c r="Q10451">
        <v>0.1044799</v>
      </c>
      <c r="R10451">
        <v>0.97227839999999999</v>
      </c>
      <c r="S10451">
        <v>0.62541199999999997</v>
      </c>
      <c r="T10451">
        <v>-0.25648520000000002</v>
      </c>
      <c r="U10451">
        <v>2.9785159999999999</v>
      </c>
      <c r="V10451">
        <v>0.1445533</v>
      </c>
      <c r="W10451">
        <v>0.11941789999999899</v>
      </c>
      <c r="X10451">
        <v>0.98226460000000004</v>
      </c>
      <c r="Y10451">
        <v>0.13970450000000001</v>
      </c>
      <c r="Z10451">
        <v>-8.4183670000000002E-2</v>
      </c>
      <c r="AA10451">
        <v>0.98660820000000005</v>
      </c>
      <c r="AB10451">
        <v>42</v>
      </c>
      <c r="AC10451">
        <v>0.209100000000006</v>
      </c>
      <c r="AD10451">
        <v>-9.2395000000000005E-2</v>
      </c>
      <c r="AE10451">
        <v>0.82825999999998601</v>
      </c>
      <c r="AF10451">
        <v>0.152182200443434</v>
      </c>
      <c r="AG10451">
        <v>-9.2395000000000005E-2</v>
      </c>
      <c r="AH10451">
        <v>0.83054159570435204</v>
      </c>
      <c r="AI10451">
        <v>96.244741096057297</v>
      </c>
      <c r="AJ10451">
        <v>79.616732574813895</v>
      </c>
      <c r="AK10451">
        <v>0.84940897119817205</v>
      </c>
      <c r="AL10451">
        <v>83.141490987233894</v>
      </c>
      <c r="AM10451">
        <v>81.628254619741995</v>
      </c>
      <c r="AN10451">
        <v>1.0000000178972299</v>
      </c>
    </row>
    <row r="10452" spans="1:40" x14ac:dyDescent="0.25">
      <c r="A10452" t="str">
        <f>"20190312150925449"</f>
        <v>20190312150925449</v>
      </c>
      <c r="B10452" t="str">
        <f>"1552374565439204"</f>
        <v>1552374565439204</v>
      </c>
      <c r="C10452" t="s">
        <v>40</v>
      </c>
      <c r="D10452">
        <v>4.9348679999999998</v>
      </c>
      <c r="E10452">
        <v>0.49769819999999998</v>
      </c>
      <c r="F10452" t="s">
        <v>41</v>
      </c>
      <c r="G10452">
        <v>-186.411</v>
      </c>
      <c r="H10452">
        <v>1.037596</v>
      </c>
      <c r="I10452">
        <v>96.621700000000004</v>
      </c>
      <c r="J10452">
        <v>-186.57259999999999</v>
      </c>
      <c r="K10452">
        <v>1.1104000000000001</v>
      </c>
      <c r="L10452">
        <v>96.008420000000001</v>
      </c>
      <c r="M10452">
        <v>6.6013130000000003E-2</v>
      </c>
      <c r="N10452">
        <v>0</v>
      </c>
      <c r="O10452">
        <v>0.9977028</v>
      </c>
      <c r="P10452">
        <v>0.20995920000000001</v>
      </c>
      <c r="Q10452">
        <v>0.10411040000000001</v>
      </c>
      <c r="R10452">
        <v>0.97215130000000005</v>
      </c>
      <c r="S10452">
        <v>0.62596130000000005</v>
      </c>
      <c r="T10452">
        <v>-0.25797530000000002</v>
      </c>
      <c r="U10452">
        <v>2.978577</v>
      </c>
      <c r="V10452">
        <v>0.14533099999999999</v>
      </c>
      <c r="W10452">
        <v>0.11904960000000001</v>
      </c>
      <c r="X10452">
        <v>0.98219449999999997</v>
      </c>
      <c r="Y10452">
        <v>0.13986499999999999</v>
      </c>
      <c r="Z10452">
        <v>-8.4664970000000006E-2</v>
      </c>
      <c r="AA10452">
        <v>0.98654430000000004</v>
      </c>
      <c r="AB10452">
        <v>42</v>
      </c>
      <c r="AC10452">
        <v>0.161600000000021</v>
      </c>
      <c r="AD10452">
        <v>-7.2803999999999994E-2</v>
      </c>
      <c r="AE10452">
        <v>0.61328000000000304</v>
      </c>
      <c r="AF10452">
        <v>0.119187594611968</v>
      </c>
      <c r="AG10452">
        <v>-7.2803999999999994E-2</v>
      </c>
      <c r="AH10452">
        <v>0.61451306809060202</v>
      </c>
      <c r="AI10452">
        <v>96.634085073025801</v>
      </c>
      <c r="AJ10452">
        <v>79.023508915672394</v>
      </c>
      <c r="AK10452">
        <v>0.63018443013098302</v>
      </c>
      <c r="AL10452">
        <v>83.162744321717199</v>
      </c>
      <c r="AM10452">
        <v>81.583265774664994</v>
      </c>
      <c r="AN10452">
        <v>0.99999997132570395</v>
      </c>
    </row>
    <row r="10453" spans="1:40" x14ac:dyDescent="0.25">
      <c r="A10453" t="str">
        <f>"20190312150925468"</f>
        <v>20190312150925468</v>
      </c>
      <c r="B10453" t="str">
        <f>"1552374565459715"</f>
        <v>1552374565459715</v>
      </c>
      <c r="C10453" t="s">
        <v>40</v>
      </c>
      <c r="D10453">
        <v>5.0616659999999998</v>
      </c>
      <c r="E10453">
        <v>0.4977413</v>
      </c>
      <c r="F10453" t="s">
        <v>41</v>
      </c>
      <c r="G10453">
        <v>-186.36709999999999</v>
      </c>
      <c r="H10453">
        <v>1.025112</v>
      </c>
      <c r="I10453">
        <v>96.983090000000004</v>
      </c>
      <c r="J10453">
        <v>-186.5506</v>
      </c>
      <c r="K10453">
        <v>1.110395</v>
      </c>
      <c r="L10453">
        <v>96.341309999999993</v>
      </c>
      <c r="M10453">
        <v>6.6014790000000004E-2</v>
      </c>
      <c r="N10453">
        <v>0</v>
      </c>
      <c r="O10453">
        <v>0.99770270000000005</v>
      </c>
      <c r="P10453">
        <v>0.2112493</v>
      </c>
      <c r="Q10453">
        <v>0.1040162</v>
      </c>
      <c r="R10453">
        <v>0.97188189999999997</v>
      </c>
      <c r="S10453">
        <v>0.62738039999999995</v>
      </c>
      <c r="T10453">
        <v>-0.2606559</v>
      </c>
      <c r="U10453">
        <v>2.9783330000000001</v>
      </c>
      <c r="V10453">
        <v>0.14663309999999999</v>
      </c>
      <c r="W10453">
        <v>0.1189549</v>
      </c>
      <c r="X10453">
        <v>0.98201249999999995</v>
      </c>
      <c r="Y10453">
        <v>0.14031440000000001</v>
      </c>
      <c r="Z10453">
        <v>-8.5538160000000002E-2</v>
      </c>
      <c r="AA10453">
        <v>0.98640510000000003</v>
      </c>
      <c r="AB10453">
        <v>41</v>
      </c>
      <c r="AC10453">
        <v>0.18350000000000899</v>
      </c>
      <c r="AD10453">
        <v>-8.5282999999999998E-2</v>
      </c>
      <c r="AE10453">
        <v>0.64178000000001101</v>
      </c>
      <c r="AF10453">
        <v>0.13846742181690599</v>
      </c>
      <c r="AG10453">
        <v>-8.5282999999999998E-2</v>
      </c>
      <c r="AH10453">
        <v>0.64201463789213797</v>
      </c>
      <c r="AI10453">
        <v>97.398503935206506</v>
      </c>
      <c r="AJ10453">
        <v>77.829081048607506</v>
      </c>
      <c r="AK10453">
        <v>0.66229088191020302</v>
      </c>
      <c r="AL10453">
        <v>83.1682095512719</v>
      </c>
      <c r="AM10453">
        <v>81.507399424289602</v>
      </c>
      <c r="AN10453">
        <v>1.00000004220293</v>
      </c>
    </row>
    <row r="10454" spans="1:40" x14ac:dyDescent="0.25">
      <c r="A10454" t="str">
        <f>"20190312150925481"</f>
        <v>20190312150925481</v>
      </c>
      <c r="B10454" t="str">
        <f>"1552374565469460"</f>
        <v>1552374565469460</v>
      </c>
      <c r="C10454" t="s">
        <v>40</v>
      </c>
      <c r="D10454">
        <v>4.9171180000000003</v>
      </c>
      <c r="E10454">
        <v>0.49766139999999998</v>
      </c>
      <c r="F10454" t="s">
        <v>41</v>
      </c>
      <c r="G10454">
        <v>-186.3364</v>
      </c>
      <c r="H10454">
        <v>1.021261</v>
      </c>
      <c r="I10454">
        <v>97.350149999999999</v>
      </c>
      <c r="J10454">
        <v>-186.5351</v>
      </c>
      <c r="K10454">
        <v>1.1103989999999999</v>
      </c>
      <c r="L10454">
        <v>96.574920000000006</v>
      </c>
      <c r="M10454">
        <v>6.6015669999999999E-2</v>
      </c>
      <c r="N10454">
        <v>0</v>
      </c>
      <c r="O10454">
        <v>0.9977026</v>
      </c>
      <c r="P10454">
        <v>0.21215819999999999</v>
      </c>
      <c r="Q10454">
        <v>0.1036622</v>
      </c>
      <c r="R10454">
        <v>0.97172170000000002</v>
      </c>
      <c r="S10454">
        <v>0.63197329999999996</v>
      </c>
      <c r="T10454">
        <v>-0.26310090000000003</v>
      </c>
      <c r="U10454">
        <v>2.9775999999999998</v>
      </c>
      <c r="V10454">
        <v>0.14754879999999901</v>
      </c>
      <c r="W10454">
        <v>0.11860080000000001</v>
      </c>
      <c r="X10454">
        <v>0.98191819999999996</v>
      </c>
      <c r="Y10454">
        <v>0.1418044</v>
      </c>
      <c r="Z10454">
        <v>-8.6332370000000005E-2</v>
      </c>
      <c r="AA10454">
        <v>0.98612279999999997</v>
      </c>
      <c r="AB10454">
        <v>41</v>
      </c>
      <c r="AC10454">
        <v>0.19870000000000199</v>
      </c>
      <c r="AD10454">
        <v>-8.9137999999999898E-2</v>
      </c>
      <c r="AE10454">
        <v>0.77523000000000697</v>
      </c>
      <c r="AF10454">
        <v>0.14528084789118501</v>
      </c>
      <c r="AG10454">
        <v>-8.9137999999999898E-2</v>
      </c>
      <c r="AH10454">
        <v>0.777017666322253</v>
      </c>
      <c r="AI10454">
        <v>96.4337235557296</v>
      </c>
      <c r="AJ10454">
        <v>79.409550825869999</v>
      </c>
      <c r="AK10454">
        <v>0.79549265338207897</v>
      </c>
      <c r="AL10454">
        <v>83.188642858018596</v>
      </c>
      <c r="AM10454">
        <v>81.454336525330504</v>
      </c>
      <c r="AN10454">
        <v>1.00000007481665</v>
      </c>
    </row>
    <row r="10455" spans="1:40" x14ac:dyDescent="0.25">
      <c r="A10455" t="str">
        <f>"20190312150925501"</f>
        <v>20190312150925501</v>
      </c>
      <c r="B10455" t="str">
        <f>"1552374565489956"</f>
        <v>1552374565489956</v>
      </c>
      <c r="C10455" t="s">
        <v>40</v>
      </c>
      <c r="D10455">
        <v>4.9282969999999997</v>
      </c>
      <c r="E10455">
        <v>0.49749399999999999</v>
      </c>
      <c r="F10455" t="s">
        <v>41</v>
      </c>
      <c r="G10455">
        <v>-186.3673</v>
      </c>
      <c r="H10455">
        <v>1.0400799999999999</v>
      </c>
      <c r="I10455">
        <v>97.362369999999999</v>
      </c>
      <c r="J10455">
        <v>-186.51009999999999</v>
      </c>
      <c r="K10455">
        <v>1.1104050000000001</v>
      </c>
      <c r="L10455">
        <v>96.952479999999994</v>
      </c>
      <c r="M10455">
        <v>6.6016930000000001E-2</v>
      </c>
      <c r="N10455">
        <v>0</v>
      </c>
      <c r="O10455">
        <v>0.99770250000000005</v>
      </c>
      <c r="P10455">
        <v>0.2141622</v>
      </c>
      <c r="Q10455">
        <v>0.1030943</v>
      </c>
      <c r="R10455">
        <v>0.97134240000000005</v>
      </c>
      <c r="S10455">
        <v>0.63435359999999996</v>
      </c>
      <c r="T10455">
        <v>-0.26589000000000002</v>
      </c>
      <c r="U10455">
        <v>2.9771730000000001</v>
      </c>
      <c r="V10455">
        <v>0.14957110000000001</v>
      </c>
      <c r="W10455">
        <v>0.1180302</v>
      </c>
      <c r="X10455">
        <v>0.98168089999999997</v>
      </c>
      <c r="Y10455">
        <v>0.1425698</v>
      </c>
      <c r="Z10455">
        <v>-8.7240750000000006E-2</v>
      </c>
      <c r="AA10455">
        <v>0.98593249999999999</v>
      </c>
      <c r="AB10455">
        <v>41</v>
      </c>
      <c r="AC10455">
        <v>0.14279999999999399</v>
      </c>
      <c r="AD10455">
        <v>-7.0324999999999901E-2</v>
      </c>
      <c r="AE10455">
        <v>0.40988999999998998</v>
      </c>
      <c r="AF10455">
        <v>0.112473140949628</v>
      </c>
      <c r="AG10455">
        <v>-7.0324999999999901E-2</v>
      </c>
      <c r="AH10455">
        <v>0.40772111389495602</v>
      </c>
      <c r="AI10455">
        <v>99.440352877194599</v>
      </c>
      <c r="AJ10455">
        <v>74.578054034669904</v>
      </c>
      <c r="AK10455">
        <v>0.42875671397171</v>
      </c>
      <c r="AL10455">
        <v>83.221566683532799</v>
      </c>
      <c r="AM10455">
        <v>81.336912430877803</v>
      </c>
      <c r="AN10455">
        <v>1.00000001574602</v>
      </c>
    </row>
    <row r="10456" spans="1:40" x14ac:dyDescent="0.25">
      <c r="A10456" t="str">
        <f>"20190312150925514"</f>
        <v>20190312150925514</v>
      </c>
      <c r="B10456" t="str">
        <f>"1552374565509477"</f>
        <v>1552374565509477</v>
      </c>
      <c r="C10456" t="s">
        <v>40</v>
      </c>
      <c r="D10456">
        <v>5.02454</v>
      </c>
      <c r="E10456">
        <v>0.49738979999999999</v>
      </c>
      <c r="F10456" t="s">
        <v>41</v>
      </c>
      <c r="G10456">
        <v>-186.34289999999999</v>
      </c>
      <c r="H10456">
        <v>1.0396669999999999</v>
      </c>
      <c r="I10456">
        <v>97.730800000000002</v>
      </c>
      <c r="J10456">
        <v>-186.49449999999999</v>
      </c>
      <c r="K10456">
        <v>1.110409</v>
      </c>
      <c r="L10456">
        <v>97.188419999999994</v>
      </c>
      <c r="M10456">
        <v>6.6017629999999994E-2</v>
      </c>
      <c r="N10456">
        <v>0</v>
      </c>
      <c r="O10456">
        <v>0.99770250000000005</v>
      </c>
      <c r="P10456">
        <v>0.21534429999999999</v>
      </c>
      <c r="Q10456">
        <v>0.102963</v>
      </c>
      <c r="R10456">
        <v>0.97109500000000004</v>
      </c>
      <c r="S10456">
        <v>0.63906859999999999</v>
      </c>
      <c r="T10456">
        <v>-0.27053139999999998</v>
      </c>
      <c r="U10456">
        <v>2.976318</v>
      </c>
      <c r="V10456">
        <v>0.1507656</v>
      </c>
      <c r="W10456">
        <v>0.11789669999999999</v>
      </c>
      <c r="X10456">
        <v>0.9815142</v>
      </c>
      <c r="Y10456">
        <v>0.1440921</v>
      </c>
      <c r="Z10456">
        <v>-8.8752029999999996E-2</v>
      </c>
      <c r="AA10456">
        <v>0.98557629999999996</v>
      </c>
      <c r="AB10456">
        <v>41</v>
      </c>
      <c r="AC10456">
        <v>0.15160000000000101</v>
      </c>
      <c r="AD10456">
        <v>-7.0741999999999999E-2</v>
      </c>
      <c r="AE10456">
        <v>0.54238000000000797</v>
      </c>
      <c r="AF10456">
        <v>0.11366490281411901</v>
      </c>
      <c r="AG10456">
        <v>-7.0741999999999999E-2</v>
      </c>
      <c r="AH10456">
        <v>0.54264358440624905</v>
      </c>
      <c r="AI10456">
        <v>97.271441008655401</v>
      </c>
      <c r="AJ10456">
        <v>78.169576052151896</v>
      </c>
      <c r="AK10456">
        <v>0.558915199643922</v>
      </c>
      <c r="AL10456">
        <v>83.229269421676307</v>
      </c>
      <c r="AM10456">
        <v>81.267329505662303</v>
      </c>
      <c r="AN10456">
        <v>1.0000000114079399</v>
      </c>
    </row>
    <row r="10457" spans="1:40" x14ac:dyDescent="0.25">
      <c r="A10457" t="str">
        <f>"20190312150925526"</f>
        <v>20190312150925526</v>
      </c>
      <c r="B10457" t="str">
        <f>"1552374565519236"</f>
        <v>1552374565519236</v>
      </c>
      <c r="C10457" t="s">
        <v>40</v>
      </c>
      <c r="D10457">
        <v>4.9522300000000001</v>
      </c>
      <c r="E10457">
        <v>0.49734499999999998</v>
      </c>
      <c r="F10457" t="s">
        <v>41</v>
      </c>
      <c r="G10457">
        <v>-186.2997</v>
      </c>
      <c r="H10457">
        <v>1.0278989999999999</v>
      </c>
      <c r="I10457">
        <v>98.091080000000005</v>
      </c>
      <c r="J10457">
        <v>-186.47980000000001</v>
      </c>
      <c r="K10457">
        <v>1.110412</v>
      </c>
      <c r="L10457">
        <v>97.411159999999995</v>
      </c>
      <c r="M10457">
        <v>6.6018270000000004E-2</v>
      </c>
      <c r="N10457">
        <v>0</v>
      </c>
      <c r="O10457">
        <v>0.99770250000000005</v>
      </c>
      <c r="P10457">
        <v>0.2160638</v>
      </c>
      <c r="Q10457">
        <v>0.1028758</v>
      </c>
      <c r="R10457">
        <v>0.97094440000000004</v>
      </c>
      <c r="S10457">
        <v>0.64190669999999905</v>
      </c>
      <c r="T10457">
        <v>-0.27200800000000003</v>
      </c>
      <c r="U10457">
        <v>2.9758</v>
      </c>
      <c r="V10457">
        <v>0.1514924</v>
      </c>
      <c r="W10457">
        <v>0.1178076</v>
      </c>
      <c r="X10457">
        <v>0.98141290000000003</v>
      </c>
      <c r="Y10457">
        <v>0.14501600000000001</v>
      </c>
      <c r="Z10457">
        <v>-8.9232770000000003E-2</v>
      </c>
      <c r="AA10457">
        <v>0.98539730000000003</v>
      </c>
      <c r="AB10457">
        <v>41</v>
      </c>
      <c r="AC10457">
        <v>0.18010000000001</v>
      </c>
      <c r="AD10457">
        <v>-8.2513000000000197E-2</v>
      </c>
      <c r="AE10457">
        <v>0.67992000000000896</v>
      </c>
      <c r="AF10457">
        <v>0.132984548576904</v>
      </c>
      <c r="AG10457">
        <v>-8.2513000000000197E-2</v>
      </c>
      <c r="AH10457">
        <v>0.68095635332009197</v>
      </c>
      <c r="AI10457">
        <v>96.782082505245697</v>
      </c>
      <c r="AJ10457">
        <v>78.949737565419099</v>
      </c>
      <c r="AK10457">
        <v>0.69870941059656599</v>
      </c>
      <c r="AL10457">
        <v>83.234409741985402</v>
      </c>
      <c r="AM10457">
        <v>81.224993662010505</v>
      </c>
      <c r="AN10457">
        <v>0.99999992908096202</v>
      </c>
    </row>
    <row r="10458" spans="1:40" x14ac:dyDescent="0.25">
      <c r="A10458" t="str">
        <f>"20190312150925539"</f>
        <v>20190312150925539</v>
      </c>
      <c r="B10458" t="str">
        <f>"1552374565529972"</f>
        <v>1552374565529972</v>
      </c>
      <c r="C10458" t="s">
        <v>40</v>
      </c>
      <c r="D10458">
        <v>4.9528879999999997</v>
      </c>
      <c r="E10458">
        <v>0.49751980000000001</v>
      </c>
      <c r="F10458" t="s">
        <v>41</v>
      </c>
      <c r="G10458">
        <v>-186.25450000000001</v>
      </c>
      <c r="H10458">
        <v>1.0147809999999999</v>
      </c>
      <c r="I10458">
        <v>98.451769999999996</v>
      </c>
      <c r="J10458">
        <v>-186.4632</v>
      </c>
      <c r="K10458">
        <v>1.110419</v>
      </c>
      <c r="L10458">
        <v>97.660889999999995</v>
      </c>
      <c r="M10458">
        <v>6.6018889999999997E-2</v>
      </c>
      <c r="N10458">
        <v>0</v>
      </c>
      <c r="O10458">
        <v>0.99770239999999999</v>
      </c>
      <c r="P10458">
        <v>0.21681320000000001</v>
      </c>
      <c r="Q10458">
        <v>0.1027414</v>
      </c>
      <c r="R10458">
        <v>0.97079159999999998</v>
      </c>
      <c r="S10458">
        <v>0.64375309999999997</v>
      </c>
      <c r="T10458">
        <v>-0.27347670000000002</v>
      </c>
      <c r="U10458">
        <v>2.9754939999999999</v>
      </c>
      <c r="V10458">
        <v>0.1522492</v>
      </c>
      <c r="W10458">
        <v>0.11767179999999999</v>
      </c>
      <c r="X10458">
        <v>0.98131219999999997</v>
      </c>
      <c r="Y10458">
        <v>0.145611299999999</v>
      </c>
      <c r="Z10458">
        <v>-8.970989E-2</v>
      </c>
      <c r="AA10458">
        <v>0.98526619999999998</v>
      </c>
      <c r="AB10458">
        <v>41</v>
      </c>
      <c r="AC10458">
        <v>0.208699999999993</v>
      </c>
      <c r="AD10458">
        <v>-9.5638000000000098E-2</v>
      </c>
      <c r="AE10458">
        <v>0.79087999999998704</v>
      </c>
      <c r="AF10458">
        <v>0.153921248983516</v>
      </c>
      <c r="AG10458">
        <v>-9.5638000000000098E-2</v>
      </c>
      <c r="AH10458">
        <v>0.79210496184346302</v>
      </c>
      <c r="AI10458">
        <v>96.759282806618003</v>
      </c>
      <c r="AJ10458">
        <v>79.003370618990203</v>
      </c>
      <c r="AK10458">
        <v>0.812569165369742</v>
      </c>
      <c r="AL10458">
        <v>83.242245846553601</v>
      </c>
      <c r="AM10458">
        <v>81.180953599490806</v>
      </c>
      <c r="AN10458">
        <v>1.00000005264235</v>
      </c>
    </row>
    <row r="10459" spans="1:40" x14ac:dyDescent="0.25">
      <c r="A10459" t="str">
        <f>"20190312150925560"</f>
        <v>20190312150925560</v>
      </c>
      <c r="B10459" t="str">
        <f>"1552374565549492"</f>
        <v>1552374565549492</v>
      </c>
      <c r="C10459" t="s">
        <v>40</v>
      </c>
      <c r="D10459">
        <v>4.941986</v>
      </c>
      <c r="E10459">
        <v>0.51481399999999999</v>
      </c>
      <c r="F10459" t="s">
        <v>41</v>
      </c>
      <c r="G10459">
        <v>-186.28819999999999</v>
      </c>
      <c r="H10459">
        <v>1.036392</v>
      </c>
      <c r="I10459">
        <v>98.464659999999995</v>
      </c>
      <c r="J10459">
        <v>-186.43960000000001</v>
      </c>
      <c r="K10459">
        <v>1.1104240000000001</v>
      </c>
      <c r="L10459">
        <v>98.018010000000004</v>
      </c>
      <c r="M10459">
        <v>6.6019640000000004E-2</v>
      </c>
      <c r="N10459">
        <v>0</v>
      </c>
      <c r="O10459">
        <v>0.99770239999999999</v>
      </c>
      <c r="P10459">
        <v>0.21811559999999999</v>
      </c>
      <c r="Q10459">
        <v>0.10273930000000001</v>
      </c>
      <c r="R10459">
        <v>0.97050000000000003</v>
      </c>
      <c r="S10459">
        <v>0.6473236</v>
      </c>
      <c r="T10459">
        <v>-0.27400200000000002</v>
      </c>
      <c r="U10459">
        <v>2.9746700000000001</v>
      </c>
      <c r="V10459">
        <v>0.153566799999999</v>
      </c>
      <c r="W10459">
        <v>0.1176661</v>
      </c>
      <c r="X10459">
        <v>0.98110750000000002</v>
      </c>
      <c r="Y10459">
        <v>0.146792899999999</v>
      </c>
      <c r="Z10459">
        <v>-8.9885789999999993E-2</v>
      </c>
      <c r="AA10459">
        <v>0.98507480000000003</v>
      </c>
      <c r="AB10459">
        <v>41</v>
      </c>
      <c r="AC10459">
        <v>0.15140000000002299</v>
      </c>
      <c r="AD10459">
        <v>-7.4032000000000098E-2</v>
      </c>
      <c r="AE10459">
        <v>0.446649999999991</v>
      </c>
      <c r="AF10459">
        <v>0.11865469425011201</v>
      </c>
      <c r="AG10459">
        <v>-7.4032000000000098E-2</v>
      </c>
      <c r="AH10459">
        <v>0.44471341403159598</v>
      </c>
      <c r="AI10459">
        <v>99.137451320546106</v>
      </c>
      <c r="AJ10459">
        <v>75.0608307363714</v>
      </c>
      <c r="AK10459">
        <v>0.46618632982019598</v>
      </c>
      <c r="AL10459">
        <v>83.242574358806294</v>
      </c>
      <c r="AM10459">
        <v>81.104020598760002</v>
      </c>
      <c r="AN10459">
        <v>0.99999999985385002</v>
      </c>
    </row>
    <row r="10460" spans="1:40" x14ac:dyDescent="0.25">
      <c r="A10460" t="str">
        <f>"20190312150925581"</f>
        <v>20190312150925581</v>
      </c>
      <c r="B10460" t="str">
        <f>"1552374565569988"</f>
        <v>1552374565569988</v>
      </c>
      <c r="C10460" t="s">
        <v>40</v>
      </c>
      <c r="D10460">
        <v>4.8952660000000003</v>
      </c>
      <c r="E10460">
        <v>0.51509380000000005</v>
      </c>
      <c r="F10460" t="s">
        <v>42</v>
      </c>
      <c r="G10460">
        <v>-182.91909999999999</v>
      </c>
      <c r="H10460" s="1">
        <v>-2.4144699999999999E-6</v>
      </c>
      <c r="I10460">
        <v>111.2067</v>
      </c>
      <c r="J10460">
        <v>-186.4128</v>
      </c>
      <c r="K10460">
        <v>1.110428</v>
      </c>
      <c r="L10460">
        <v>98.422610000000006</v>
      </c>
      <c r="M10460">
        <v>6.6020259999999997E-2</v>
      </c>
      <c r="N10460">
        <v>0</v>
      </c>
      <c r="O10460">
        <v>0.99770239999999999</v>
      </c>
      <c r="P10460">
        <v>0.2192413</v>
      </c>
      <c r="Q10460">
        <v>0.1024982</v>
      </c>
      <c r="R10460">
        <v>0.97027180000000002</v>
      </c>
      <c r="S10460">
        <v>0.78503420000000002</v>
      </c>
      <c r="T10460">
        <v>-0.24761569999999999</v>
      </c>
      <c r="U10460">
        <v>2.940979</v>
      </c>
      <c r="V10460">
        <v>0.15470390000000001</v>
      </c>
      <c r="W10460">
        <v>0.11742130000000001</v>
      </c>
      <c r="X10460">
        <v>0.9809582</v>
      </c>
      <c r="Y10460">
        <v>0.19268650000000001</v>
      </c>
      <c r="Z10460">
        <v>-8.1424200000000002E-2</v>
      </c>
      <c r="AA10460">
        <v>0.97787630000000003</v>
      </c>
      <c r="AB10460">
        <v>41</v>
      </c>
      <c r="AC10460">
        <v>3.4937000000000098</v>
      </c>
      <c r="AD10460">
        <v>-1.1104304144699999</v>
      </c>
      <c r="AE10460">
        <v>12.784090000000001</v>
      </c>
      <c r="AF10460">
        <v>2.6235510361283598</v>
      </c>
      <c r="AG10460">
        <v>-1.1104304144699999</v>
      </c>
      <c r="AH10460">
        <v>12.8963364578834</v>
      </c>
      <c r="AI10460">
        <v>94.822968645959804</v>
      </c>
      <c r="AJ10460">
        <v>78.501016513842103</v>
      </c>
      <c r="AK10460">
        <v>13.2072544375992</v>
      </c>
      <c r="AL10460">
        <v>83.256698442080506</v>
      </c>
      <c r="AM10460">
        <v>81.037872837536</v>
      </c>
      <c r="AN10460">
        <v>1.00000002425806</v>
      </c>
    </row>
    <row r="10461" spans="1:40" x14ac:dyDescent="0.25">
      <c r="A10461" t="str">
        <f>"20190312150925603"</f>
        <v>20190312150925603</v>
      </c>
      <c r="B10461" t="str">
        <f>"1552374565589509"</f>
        <v>1552374565589509</v>
      </c>
      <c r="C10461" t="s">
        <v>40</v>
      </c>
      <c r="D10461">
        <v>4.9201110000000003</v>
      </c>
      <c r="E10461">
        <v>0.51494249999999997</v>
      </c>
      <c r="F10461" t="s">
        <v>42</v>
      </c>
      <c r="G10461">
        <v>-183.01900000000001</v>
      </c>
      <c r="H10461" s="1">
        <v>-2.3310510000000001E-6</v>
      </c>
      <c r="I10461">
        <v>111.0397</v>
      </c>
      <c r="J10461">
        <v>-186.3871</v>
      </c>
      <c r="K10461">
        <v>1.110439</v>
      </c>
      <c r="L10461">
        <v>98.811250000000001</v>
      </c>
      <c r="M10461">
        <v>6.6020640000000005E-2</v>
      </c>
      <c r="N10461">
        <v>0</v>
      </c>
      <c r="O10461">
        <v>0.99770239999999999</v>
      </c>
      <c r="P10461">
        <v>0.22014359999999999</v>
      </c>
      <c r="Q10461">
        <v>0.1027549</v>
      </c>
      <c r="R10461">
        <v>0.97004029999999997</v>
      </c>
      <c r="S10461">
        <v>0.79093930000000001</v>
      </c>
      <c r="T10461">
        <v>-0.25879469999999999</v>
      </c>
      <c r="U10461">
        <v>2.9405209999999999</v>
      </c>
      <c r="V10461">
        <v>0.15561900000000001</v>
      </c>
      <c r="W10461">
        <v>0.11767320000000001</v>
      </c>
      <c r="X10461">
        <v>0.98078319999999997</v>
      </c>
      <c r="Y10461">
        <v>0.19447729999999999</v>
      </c>
      <c r="Z10461">
        <v>-8.504958E-2</v>
      </c>
      <c r="AA10461">
        <v>0.977213</v>
      </c>
      <c r="AB10461">
        <v>41</v>
      </c>
      <c r="AC10461">
        <v>3.3680999999999899</v>
      </c>
      <c r="AD10461">
        <v>-1.110441331051</v>
      </c>
      <c r="AE10461">
        <v>12.228449999999899</v>
      </c>
      <c r="AF10461">
        <v>2.53390507003098</v>
      </c>
      <c r="AG10461">
        <v>-1.110441331051</v>
      </c>
      <c r="AH10461">
        <v>12.329652003871299</v>
      </c>
      <c r="AI10461">
        <v>95.041521335893094</v>
      </c>
      <c r="AJ10461">
        <v>78.386663515458494</v>
      </c>
      <c r="AK10461">
        <v>12.636220692525299</v>
      </c>
      <c r="AL10461">
        <v>83.2421645120953</v>
      </c>
      <c r="AM10461">
        <v>80.984146310747605</v>
      </c>
      <c r="AN10461">
        <v>0.99999997028073895</v>
      </c>
    </row>
    <row r="10462" spans="1:40" x14ac:dyDescent="0.25">
      <c r="A10462" t="str">
        <f>"20190312150925625"</f>
        <v>20190312150925625</v>
      </c>
      <c r="B10462" t="str">
        <f>"1552374565619765"</f>
        <v>1552374565619765</v>
      </c>
      <c r="C10462" t="s">
        <v>40</v>
      </c>
      <c r="D10462">
        <v>4.9138609999999998</v>
      </c>
      <c r="E10462">
        <v>0.51487309999999997</v>
      </c>
      <c r="F10462" t="s">
        <v>42</v>
      </c>
      <c r="G10462">
        <v>-182.89940000000001</v>
      </c>
      <c r="H10462" s="1">
        <v>-2.6044940000000001E-6</v>
      </c>
      <c r="I10462">
        <v>111.7497</v>
      </c>
      <c r="J10462">
        <v>-186.36</v>
      </c>
      <c r="K10462">
        <v>1.1104459999999901</v>
      </c>
      <c r="L10462">
        <v>99.220860000000002</v>
      </c>
      <c r="M10462">
        <v>6.6020880000000004E-2</v>
      </c>
      <c r="N10462">
        <v>0</v>
      </c>
      <c r="O10462">
        <v>0.99770239999999999</v>
      </c>
      <c r="P10462">
        <v>0.22084280000000001</v>
      </c>
      <c r="Q10462">
        <v>0.1027124</v>
      </c>
      <c r="R10462">
        <v>0.96988589999999997</v>
      </c>
      <c r="S10462">
        <v>0.79238889999999995</v>
      </c>
      <c r="T10462">
        <v>-0.25228640000000002</v>
      </c>
      <c r="U10462">
        <v>2.9395449999999999</v>
      </c>
      <c r="V10462">
        <v>0.1563263</v>
      </c>
      <c r="W10462">
        <v>0.1176273</v>
      </c>
      <c r="X10462">
        <v>0.9806762</v>
      </c>
      <c r="Y10462">
        <v>0.19505400000000001</v>
      </c>
      <c r="Z10462">
        <v>-8.2942340000000003E-2</v>
      </c>
      <c r="AA10462">
        <v>0.97727909999999996</v>
      </c>
      <c r="AB10462">
        <v>41</v>
      </c>
      <c r="AC10462">
        <v>3.4605999999999901</v>
      </c>
      <c r="AD10462">
        <v>-1.1104486044939901</v>
      </c>
      <c r="AE10462">
        <v>12.528840000000001</v>
      </c>
      <c r="AF10462">
        <v>2.6067614504704402</v>
      </c>
      <c r="AG10462">
        <v>-1.1104486044939901</v>
      </c>
      <c r="AH10462">
        <v>12.6377579587251</v>
      </c>
      <c r="AI10462">
        <v>94.918523184276197</v>
      </c>
      <c r="AJ10462">
        <v>78.345185865832406</v>
      </c>
      <c r="AK10462">
        <v>12.951495187282401</v>
      </c>
      <c r="AL10462">
        <v>83.244812653051397</v>
      </c>
      <c r="AM10462">
        <v>80.942874452651495</v>
      </c>
      <c r="AN10462">
        <v>0.99999995151170795</v>
      </c>
    </row>
    <row r="10463" spans="1:40" x14ac:dyDescent="0.25">
      <c r="A10463" t="str">
        <f>"20190312150925639"</f>
        <v>20190312150925639</v>
      </c>
      <c r="B10463" t="str">
        <f>"1552374565629525"</f>
        <v>1552374565629525</v>
      </c>
      <c r="C10463" t="s">
        <v>40</v>
      </c>
      <c r="D10463">
        <v>4.9352999999999998</v>
      </c>
      <c r="E10463">
        <v>0.51496759999999997</v>
      </c>
      <c r="F10463" t="s">
        <v>42</v>
      </c>
      <c r="G10463">
        <v>-182.84540000000001</v>
      </c>
      <c r="H10463" s="1">
        <v>-2.7820819999999999E-6</v>
      </c>
      <c r="I10463">
        <v>112.22929999999999</v>
      </c>
      <c r="J10463">
        <v>-186.34270000000001</v>
      </c>
      <c r="K10463">
        <v>1.1104449999999999</v>
      </c>
      <c r="L10463">
        <v>99.481170000000006</v>
      </c>
      <c r="M10463">
        <v>6.6020969999999998E-2</v>
      </c>
      <c r="N10463">
        <v>0</v>
      </c>
      <c r="O10463">
        <v>0.99770239999999999</v>
      </c>
      <c r="P10463">
        <v>0.22092310000000001</v>
      </c>
      <c r="Q10463">
        <v>0.1027322</v>
      </c>
      <c r="R10463">
        <v>0.96986550000000005</v>
      </c>
      <c r="S10463">
        <v>0.79403690000000005</v>
      </c>
      <c r="T10463">
        <v>-0.25087809999999999</v>
      </c>
      <c r="U10463">
        <v>2.9389340000000002</v>
      </c>
      <c r="V10463">
        <v>0.1564075</v>
      </c>
      <c r="W10463">
        <v>0.11764520000000001</v>
      </c>
      <c r="X10463">
        <v>0.98066120000000001</v>
      </c>
      <c r="Y10463">
        <v>0.19562550000000001</v>
      </c>
      <c r="Z10463">
        <v>-8.2488350000000002E-2</v>
      </c>
      <c r="AA10463">
        <v>0.9772033</v>
      </c>
      <c r="AB10463">
        <v>41</v>
      </c>
      <c r="AC10463">
        <v>3.4972999999999899</v>
      </c>
      <c r="AD10463">
        <v>-1.110447782082</v>
      </c>
      <c r="AE10463">
        <v>12.74813</v>
      </c>
      <c r="AF10463">
        <v>2.6293725880152801</v>
      </c>
      <c r="AG10463">
        <v>-1.110447782082</v>
      </c>
      <c r="AH10463">
        <v>12.8604820109252</v>
      </c>
      <c r="AI10463">
        <v>94.835465380551298</v>
      </c>
      <c r="AJ10463">
        <v>78.444917646571497</v>
      </c>
      <c r="AK10463">
        <v>13.173408520070501</v>
      </c>
      <c r="AL10463">
        <v>83.243780516688105</v>
      </c>
      <c r="AM10463">
        <v>80.938111676486699</v>
      </c>
      <c r="AN10463">
        <v>1.00000004416236</v>
      </c>
    </row>
    <row r="10464" spans="1:40" x14ac:dyDescent="0.25">
      <c r="A10464" t="str">
        <f>"20190312150925650"</f>
        <v>20190312150925650</v>
      </c>
      <c r="B10464" t="str">
        <f>"1552374565639285"</f>
        <v>1552374565639285</v>
      </c>
      <c r="C10464" t="s">
        <v>40</v>
      </c>
      <c r="D10464">
        <v>4.9408560000000001</v>
      </c>
      <c r="E10464">
        <v>0.51492729999999998</v>
      </c>
      <c r="F10464" t="s">
        <v>42</v>
      </c>
      <c r="G10464">
        <v>-182.82329999999999</v>
      </c>
      <c r="H10464" s="1">
        <v>-2.8774370000000001E-6</v>
      </c>
      <c r="I10464">
        <v>112.4923</v>
      </c>
      <c r="J10464">
        <v>-186.32859999999999</v>
      </c>
      <c r="K10464">
        <v>1.1104459999999901</v>
      </c>
      <c r="L10464">
        <v>99.694119999999998</v>
      </c>
      <c r="M10464">
        <v>6.6021049999999998E-2</v>
      </c>
      <c r="N10464">
        <v>0</v>
      </c>
      <c r="O10464">
        <v>0.99770250000000005</v>
      </c>
      <c r="P10464">
        <v>0.2215936</v>
      </c>
      <c r="Q10464">
        <v>0.1030722</v>
      </c>
      <c r="R10464">
        <v>0.96967639999999999</v>
      </c>
      <c r="S10464">
        <v>0.79489140000000003</v>
      </c>
      <c r="T10464">
        <v>-0.25080560000000002</v>
      </c>
      <c r="U10464">
        <v>2.9386899999999998</v>
      </c>
      <c r="V10464">
        <v>0.1570888</v>
      </c>
      <c r="W10464">
        <v>0.1179819</v>
      </c>
      <c r="X10464">
        <v>0.98051180000000004</v>
      </c>
      <c r="Y10464">
        <v>0.19591120000000001</v>
      </c>
      <c r="Z10464">
        <v>-8.2465830000000004E-2</v>
      </c>
      <c r="AA10464">
        <v>0.97714800000000002</v>
      </c>
      <c r="AB10464">
        <v>41</v>
      </c>
      <c r="AC10464">
        <v>3.5053000000000001</v>
      </c>
      <c r="AD10464">
        <v>-1.1104488774369901</v>
      </c>
      <c r="AE10464">
        <v>12.79818</v>
      </c>
      <c r="AF10464">
        <v>2.6341565401938398</v>
      </c>
      <c r="AG10464">
        <v>-1.1104488774369901</v>
      </c>
      <c r="AH10464">
        <v>12.9112831173569</v>
      </c>
      <c r="AI10464">
        <v>94.816941884958894</v>
      </c>
      <c r="AJ10464">
        <v>78.468784144534894</v>
      </c>
      <c r="AK10464">
        <v>13.2239596613191</v>
      </c>
      <c r="AL10464">
        <v>83.224353467767301</v>
      </c>
      <c r="AM10464">
        <v>80.897934453688094</v>
      </c>
      <c r="AN10464">
        <v>1.0000000048761399</v>
      </c>
    </row>
    <row r="10465" spans="1:40" x14ac:dyDescent="0.25">
      <c r="A10465" t="str">
        <f>"20190312150925662"</f>
        <v>20190312150925662</v>
      </c>
      <c r="B10465" t="str">
        <f>"1552374565659780"</f>
        <v>1552374565659780</v>
      </c>
      <c r="C10465" t="s">
        <v>40</v>
      </c>
      <c r="D10465">
        <v>4.9235559999999996</v>
      </c>
      <c r="E10465">
        <v>0.5148973</v>
      </c>
      <c r="F10465" t="s">
        <v>42</v>
      </c>
      <c r="G10465">
        <v>-182.79640000000001</v>
      </c>
      <c r="H10465" s="1">
        <v>-2.9625579999999999E-6</v>
      </c>
      <c r="I10465">
        <v>112.7214</v>
      </c>
      <c r="J10465">
        <v>-186.31370000000001</v>
      </c>
      <c r="K10465">
        <v>1.1104480000000001</v>
      </c>
      <c r="L10465">
        <v>99.920320000000004</v>
      </c>
      <c r="M10465">
        <v>6.6021079999999996E-2</v>
      </c>
      <c r="N10465">
        <v>0</v>
      </c>
      <c r="O10465">
        <v>0.99770250000000005</v>
      </c>
      <c r="P10465">
        <v>0.22198480000000001</v>
      </c>
      <c r="Q10465">
        <v>0.1031861</v>
      </c>
      <c r="R10465">
        <v>0.96957490000000002</v>
      </c>
      <c r="S10465">
        <v>0.79670719999999995</v>
      </c>
      <c r="T10465">
        <v>-0.25046869999999999</v>
      </c>
      <c r="U10465">
        <v>2.9383849999999998</v>
      </c>
      <c r="V10465">
        <v>0.15748579999999901</v>
      </c>
      <c r="W10465">
        <v>0.11809269999999999</v>
      </c>
      <c r="X10465">
        <v>0.98043480000000005</v>
      </c>
      <c r="Y10465">
        <v>0.1965017</v>
      </c>
      <c r="Z10465">
        <v>-8.2352590000000003E-2</v>
      </c>
      <c r="AA10465">
        <v>0.97703899999999999</v>
      </c>
      <c r="AB10465">
        <v>41</v>
      </c>
      <c r="AC10465">
        <v>3.5173000000000001</v>
      </c>
      <c r="AD10465">
        <v>-1.1104509625579999</v>
      </c>
      <c r="AE10465">
        <v>12.801080000000001</v>
      </c>
      <c r="AF10465">
        <v>2.64587302506725</v>
      </c>
      <c r="AG10465">
        <v>-1.1104509625579999</v>
      </c>
      <c r="AH10465">
        <v>12.915024021011799</v>
      </c>
      <c r="AI10465">
        <v>94.8147645615594</v>
      </c>
      <c r="AJ10465">
        <v>78.422140997533603</v>
      </c>
      <c r="AK10465">
        <v>13.229950524032001</v>
      </c>
      <c r="AL10465">
        <v>83.217960573889698</v>
      </c>
      <c r="AM10465">
        <v>80.874613347343697</v>
      </c>
      <c r="AN10465">
        <v>1.0000000300229801</v>
      </c>
    </row>
    <row r="10466" spans="1:40" x14ac:dyDescent="0.25">
      <c r="A10466" t="str">
        <f>"20190312150925695"</f>
        <v>20190312150925695</v>
      </c>
      <c r="B10466" t="str">
        <f>"1552374565690036"</f>
        <v>1552374565690036</v>
      </c>
      <c r="C10466" t="s">
        <v>40</v>
      </c>
      <c r="D10466">
        <v>5.0768009999999997</v>
      </c>
      <c r="E10466">
        <v>0.51497170000000003</v>
      </c>
      <c r="F10466" t="s">
        <v>42</v>
      </c>
      <c r="G10466">
        <v>-182.7698</v>
      </c>
      <c r="H10466" s="1">
        <v>-3.0554049999999999E-6</v>
      </c>
      <c r="I10466">
        <v>112.9734</v>
      </c>
      <c r="J10466">
        <v>-186.27459999999999</v>
      </c>
      <c r="K10466">
        <v>1.1104560000000001</v>
      </c>
      <c r="L10466">
        <v>100.5104</v>
      </c>
      <c r="M10466">
        <v>6.6021239999999995E-2</v>
      </c>
      <c r="N10466">
        <v>0</v>
      </c>
      <c r="O10466">
        <v>0.99770250000000005</v>
      </c>
      <c r="P10466">
        <v>0.2232594</v>
      </c>
      <c r="Q10466">
        <v>0.1033332</v>
      </c>
      <c r="R10466">
        <v>0.96926650000000003</v>
      </c>
      <c r="S10466">
        <v>0.7976837</v>
      </c>
      <c r="T10466">
        <v>-0.24995039999999999</v>
      </c>
      <c r="U10466">
        <v>2.93811</v>
      </c>
      <c r="V10466">
        <v>0.15877759999999999</v>
      </c>
      <c r="W10466">
        <v>0.1182319</v>
      </c>
      <c r="X10466">
        <v>0.98020960000000001</v>
      </c>
      <c r="Y10466">
        <v>0.1968307</v>
      </c>
      <c r="Z10466">
        <v>-8.2184499999999994E-2</v>
      </c>
      <c r="AA10466">
        <v>0.97698689999999999</v>
      </c>
      <c r="AB10466">
        <v>41</v>
      </c>
      <c r="AC10466">
        <v>3.5047999999999799</v>
      </c>
      <c r="AD10466">
        <v>-1.11045905540499</v>
      </c>
      <c r="AE10466">
        <v>12.4629999999999</v>
      </c>
      <c r="AF10466">
        <v>2.6547029400810702</v>
      </c>
      <c r="AG10466">
        <v>-1.11045905540499</v>
      </c>
      <c r="AH10466">
        <v>12.574707059121099</v>
      </c>
      <c r="AI10466">
        <v>94.938344426305903</v>
      </c>
      <c r="AJ10466">
        <v>78.079075808379898</v>
      </c>
      <c r="AK10466">
        <v>12.8997606426056</v>
      </c>
      <c r="AL10466">
        <v>83.209928420209593</v>
      </c>
      <c r="AM10466">
        <v>80.798958390371197</v>
      </c>
      <c r="AN10466">
        <v>0.99999998418576397</v>
      </c>
    </row>
    <row r="10467" spans="1:40" x14ac:dyDescent="0.25">
      <c r="A10467" t="str">
        <f>"20190312150925708"</f>
        <v>20190312150925708</v>
      </c>
      <c r="B10467" t="str">
        <f>"1552374565699796"</f>
        <v>1552374565699796</v>
      </c>
      <c r="C10467" t="s">
        <v>40</v>
      </c>
      <c r="D10467">
        <v>4.9269590000000001</v>
      </c>
      <c r="E10467">
        <v>0.51498569999999999</v>
      </c>
      <c r="F10467" t="s">
        <v>42</v>
      </c>
      <c r="G10467">
        <v>-182.71100000000001</v>
      </c>
      <c r="H10467" s="1">
        <v>-3.2697229999999998E-6</v>
      </c>
      <c r="I10467">
        <v>113.55719999999999</v>
      </c>
      <c r="J10467">
        <v>-186.25819999999999</v>
      </c>
      <c r="K10467">
        <v>1.1104609999999999</v>
      </c>
      <c r="L10467">
        <v>100.75790000000001</v>
      </c>
      <c r="M10467">
        <v>6.6022339999999999E-2</v>
      </c>
      <c r="N10467">
        <v>0</v>
      </c>
      <c r="O10467">
        <v>0.99770250000000005</v>
      </c>
      <c r="P10467">
        <v>0.22409860000000001</v>
      </c>
      <c r="Q10467">
        <v>0.1031912</v>
      </c>
      <c r="R10467">
        <v>0.9690879</v>
      </c>
      <c r="S10467">
        <v>0.80221560000000003</v>
      </c>
      <c r="T10467">
        <v>-0.24997710000000001</v>
      </c>
      <c r="U10467">
        <v>2.9369809999999998</v>
      </c>
      <c r="V10467">
        <v>0.15962570000000001</v>
      </c>
      <c r="W10467">
        <v>0.1180856</v>
      </c>
      <c r="X10467">
        <v>0.98008949999999995</v>
      </c>
      <c r="Y10467">
        <v>0.19832759999999999</v>
      </c>
      <c r="Z10467">
        <v>-8.2194660000000003E-2</v>
      </c>
      <c r="AA10467">
        <v>0.97668330000000003</v>
      </c>
      <c r="AB10467">
        <v>41</v>
      </c>
      <c r="AC10467">
        <v>3.5472000000000001</v>
      </c>
      <c r="AD10467">
        <v>-1.1104642697229901</v>
      </c>
      <c r="AE10467">
        <v>12.799299999999899</v>
      </c>
      <c r="AF10467">
        <v>2.6756179669906399</v>
      </c>
      <c r="AG10467">
        <v>-1.1104642697229901</v>
      </c>
      <c r="AH10467">
        <v>12.915306274010501</v>
      </c>
      <c r="AI10467">
        <v>94.812540848262003</v>
      </c>
      <c r="AJ10467">
        <v>78.295803154997301</v>
      </c>
      <c r="AK10467">
        <v>13.236207861434901</v>
      </c>
      <c r="AL10467">
        <v>83.218370039324796</v>
      </c>
      <c r="AM10467">
        <v>80.749545030480107</v>
      </c>
      <c r="AN10467">
        <v>1.0000000005190499</v>
      </c>
    </row>
    <row r="10468" spans="1:40" x14ac:dyDescent="0.25">
      <c r="A10468" t="str">
        <f>"20190312150925725"</f>
        <v>20190312150925725</v>
      </c>
      <c r="B10468" t="str">
        <f>"1552374565719316"</f>
        <v>1552374565719316</v>
      </c>
      <c r="C10468" t="s">
        <v>40</v>
      </c>
      <c r="D10468">
        <v>4.9418119999999996</v>
      </c>
      <c r="E10468">
        <v>0.51477550000000005</v>
      </c>
      <c r="F10468" t="s">
        <v>42</v>
      </c>
      <c r="G10468">
        <v>-182.69309999999999</v>
      </c>
      <c r="H10468" s="1">
        <v>-3.3465020000000001E-6</v>
      </c>
      <c r="I10468">
        <v>113.7688</v>
      </c>
      <c r="J10468">
        <v>-186.23869999999999</v>
      </c>
      <c r="K10468">
        <v>1.1104609999999999</v>
      </c>
      <c r="L10468">
        <v>101.0527</v>
      </c>
      <c r="M10468">
        <v>6.6026489999999993E-2</v>
      </c>
      <c r="N10468">
        <v>0</v>
      </c>
      <c r="O10468">
        <v>0.99770230000000004</v>
      </c>
      <c r="P10468">
        <v>0.22568240000000001</v>
      </c>
      <c r="Q10468">
        <v>0.10294440000000001</v>
      </c>
      <c r="R10468">
        <v>0.96874649999999995</v>
      </c>
      <c r="S10468">
        <v>0.80458069999999904</v>
      </c>
      <c r="T10468">
        <v>-0.25060909999999997</v>
      </c>
      <c r="U10468">
        <v>2.9363100000000002</v>
      </c>
      <c r="V10468">
        <v>0.16122500000000001</v>
      </c>
      <c r="W10468">
        <v>0.1178323</v>
      </c>
      <c r="X10468">
        <v>0.97985820000000001</v>
      </c>
      <c r="Y10468">
        <v>0.1991076</v>
      </c>
      <c r="Z10468">
        <v>-8.2403920000000005E-2</v>
      </c>
      <c r="AA10468">
        <v>0.97650689999999996</v>
      </c>
      <c r="AB10468">
        <v>41</v>
      </c>
      <c r="AC10468">
        <v>3.5455999999999999</v>
      </c>
      <c r="AD10468">
        <v>-1.1104643465019901</v>
      </c>
      <c r="AE10468">
        <v>12.7160999999999</v>
      </c>
      <c r="AF10468">
        <v>2.6792070094237599</v>
      </c>
      <c r="AG10468">
        <v>-1.1104643465019901</v>
      </c>
      <c r="AH10468">
        <v>12.8316794769952</v>
      </c>
      <c r="AI10468">
        <v>94.842190682411498</v>
      </c>
      <c r="AJ10468">
        <v>78.206291600970502</v>
      </c>
      <c r="AK10468">
        <v>13.155351742334201</v>
      </c>
      <c r="AL10468">
        <v>83.232985240602204</v>
      </c>
      <c r="AM10468">
        <v>80.656323760122305</v>
      </c>
      <c r="AN10468">
        <v>1.00000002182776</v>
      </c>
    </row>
    <row r="10469" spans="1:40" x14ac:dyDescent="0.25">
      <c r="A10469" t="str">
        <f>"20190312150925738"</f>
        <v>20190312150925738</v>
      </c>
      <c r="B10469" t="str">
        <f>"1552374565730052"</f>
        <v>1552374565730052</v>
      </c>
      <c r="C10469" t="s">
        <v>40</v>
      </c>
      <c r="D10469">
        <v>4.9495370000000003</v>
      </c>
      <c r="E10469">
        <v>0.51482950000000005</v>
      </c>
      <c r="F10469" t="s">
        <v>42</v>
      </c>
      <c r="G10469">
        <v>-182.7123</v>
      </c>
      <c r="H10469" s="1">
        <v>-3.3768049999999999E-6</v>
      </c>
      <c r="I10469">
        <v>113.8729</v>
      </c>
      <c r="J10469">
        <v>-186.22200000000001</v>
      </c>
      <c r="K10469">
        <v>1.110455</v>
      </c>
      <c r="L10469">
        <v>101.3049</v>
      </c>
      <c r="M10469">
        <v>6.6036750000000005E-2</v>
      </c>
      <c r="N10469">
        <v>0</v>
      </c>
      <c r="O10469">
        <v>0.99770159999999997</v>
      </c>
      <c r="P10469">
        <v>0.22638810000000001</v>
      </c>
      <c r="Q10469">
        <v>0.1028365</v>
      </c>
      <c r="R10469">
        <v>0.96859340000000005</v>
      </c>
      <c r="S10469">
        <v>0.80749510000000002</v>
      </c>
      <c r="T10469">
        <v>-0.25428190000000001</v>
      </c>
      <c r="U10469">
        <v>2.9356689999999999</v>
      </c>
      <c r="V10469">
        <v>0.1619303</v>
      </c>
      <c r="W10469">
        <v>0.1177182</v>
      </c>
      <c r="X10469">
        <v>0.97975559999999995</v>
      </c>
      <c r="Y10469">
        <v>0.2000268</v>
      </c>
      <c r="Z10469">
        <v>-8.3601770000000006E-2</v>
      </c>
      <c r="AA10469">
        <v>0.97621720000000001</v>
      </c>
      <c r="AB10469">
        <v>41</v>
      </c>
      <c r="AC10469">
        <v>3.5097</v>
      </c>
      <c r="AD10469">
        <v>-1.110458376805</v>
      </c>
      <c r="AE10469">
        <v>12.5679999999999</v>
      </c>
      <c r="AF10469">
        <v>2.6527801284565098</v>
      </c>
      <c r="AG10469">
        <v>-1.110458376805</v>
      </c>
      <c r="AH10469">
        <v>12.680523431210601</v>
      </c>
      <c r="AI10469">
        <v>94.899210357497395</v>
      </c>
      <c r="AJ10469">
        <v>78.184065224176905</v>
      </c>
      <c r="AK10469">
        <v>13.0025395483356</v>
      </c>
      <c r="AL10469">
        <v>83.239568468394395</v>
      </c>
      <c r="AM10469">
        <v>80.6152089161547</v>
      </c>
      <c r="AN10469">
        <v>1.00000001620034</v>
      </c>
    </row>
    <row r="10470" spans="1:40" x14ac:dyDescent="0.25">
      <c r="A10470" t="str">
        <f>"20190312150925759"</f>
        <v>20190312150925759</v>
      </c>
      <c r="B10470" t="str">
        <f>"1552374565749572"</f>
        <v>1552374565749572</v>
      </c>
      <c r="C10470" t="s">
        <v>40</v>
      </c>
      <c r="D10470">
        <v>4.9820159999999998</v>
      </c>
      <c r="E10470">
        <v>0.51487039999999995</v>
      </c>
      <c r="F10470" t="s">
        <v>42</v>
      </c>
      <c r="G10470">
        <v>-182.6833</v>
      </c>
      <c r="H10470" s="1">
        <v>-3.4694019999999998E-6</v>
      </c>
      <c r="I10470">
        <v>114.1224</v>
      </c>
      <c r="J10470">
        <v>-186.1979</v>
      </c>
      <c r="K10470">
        <v>1.1104430000000001</v>
      </c>
      <c r="L10470">
        <v>101.6682</v>
      </c>
      <c r="M10470">
        <v>6.6062259999999998E-2</v>
      </c>
      <c r="N10470">
        <v>0</v>
      </c>
      <c r="O10470">
        <v>0.99770000000000003</v>
      </c>
      <c r="P10470">
        <v>0.2275508</v>
      </c>
      <c r="Q10470">
        <v>0.1027154</v>
      </c>
      <c r="R10470">
        <v>0.96833369999999996</v>
      </c>
      <c r="S10470">
        <v>0.8102722</v>
      </c>
      <c r="T10470">
        <v>-0.25426949999999998</v>
      </c>
      <c r="U10470">
        <v>2.9349059999999998</v>
      </c>
      <c r="V10470">
        <v>0.16308520000000001</v>
      </c>
      <c r="W10470">
        <v>0.1175875</v>
      </c>
      <c r="X10470">
        <v>0.97957969999999905</v>
      </c>
      <c r="Y10470">
        <v>0.2009251</v>
      </c>
      <c r="Z10470">
        <v>-8.3600309999999997E-2</v>
      </c>
      <c r="AA10470">
        <v>0.97603289999999998</v>
      </c>
      <c r="AB10470">
        <v>41</v>
      </c>
      <c r="AC10470">
        <v>3.5146000000000002</v>
      </c>
      <c r="AD10470">
        <v>-1.110446469402</v>
      </c>
      <c r="AE10470">
        <v>12.4542</v>
      </c>
      <c r="AF10470">
        <v>2.6644534079597801</v>
      </c>
      <c r="AG10470">
        <v>-1.110446469402</v>
      </c>
      <c r="AH10470">
        <v>12.5666618793853</v>
      </c>
      <c r="AI10470">
        <v>94.940527509627401</v>
      </c>
      <c r="AJ10470">
        <v>78.029112641630107</v>
      </c>
      <c r="AK10470">
        <v>12.893928575705401</v>
      </c>
      <c r="AL10470">
        <v>83.247109260516595</v>
      </c>
      <c r="AM10470">
        <v>80.547812697564595</v>
      </c>
      <c r="AN10470">
        <v>0.99999999563368902</v>
      </c>
    </row>
    <row r="10471" spans="1:40" x14ac:dyDescent="0.25">
      <c r="A10471" t="str">
        <f>"20190312150925781"</f>
        <v>20190312150925781</v>
      </c>
      <c r="B10471" t="str">
        <f>"1552374565770069"</f>
        <v>1552374565770069</v>
      </c>
      <c r="C10471" t="s">
        <v>40</v>
      </c>
      <c r="D10471">
        <v>5.0103720000000003</v>
      </c>
      <c r="E10471">
        <v>0.51488400000000001</v>
      </c>
      <c r="F10471" t="s">
        <v>42</v>
      </c>
      <c r="G10471">
        <v>-182.6465</v>
      </c>
      <c r="H10471" s="1">
        <v>-3.5936659999999999E-6</v>
      </c>
      <c r="I10471">
        <v>114.45869999999999</v>
      </c>
      <c r="J10471">
        <v>-186.17060000000001</v>
      </c>
      <c r="K10471">
        <v>1.1104229999999999</v>
      </c>
      <c r="L10471">
        <v>102.0795</v>
      </c>
      <c r="M10471">
        <v>6.6115900000000005E-2</v>
      </c>
      <c r="N10471">
        <v>0</v>
      </c>
      <c r="O10471">
        <v>0.99769649999999999</v>
      </c>
      <c r="P10471">
        <v>0.2287585</v>
      </c>
      <c r="Q10471">
        <v>0.10261190000000001</v>
      </c>
      <c r="R10471">
        <v>0.96806009999999998</v>
      </c>
      <c r="S10471">
        <v>0.81457519999999894</v>
      </c>
      <c r="T10471">
        <v>-0.25470009999999998</v>
      </c>
      <c r="U10471">
        <v>2.933716</v>
      </c>
      <c r="V10471">
        <v>0.16426079999999901</v>
      </c>
      <c r="W10471">
        <v>0.11747050000000001</v>
      </c>
      <c r="X10471">
        <v>0.97939730000000003</v>
      </c>
      <c r="Y10471">
        <v>0.20230029999999999</v>
      </c>
      <c r="Z10471">
        <v>-8.374492E-2</v>
      </c>
      <c r="AA10471">
        <v>0.9757363</v>
      </c>
      <c r="AB10471">
        <v>41</v>
      </c>
      <c r="AC10471">
        <v>3.5240999999999998</v>
      </c>
      <c r="AD10471">
        <v>-1.1104265936659901</v>
      </c>
      <c r="AE10471">
        <v>12.3791999999999</v>
      </c>
      <c r="AF10471">
        <v>2.6778992872985099</v>
      </c>
      <c r="AG10471">
        <v>-1.1104265936659901</v>
      </c>
      <c r="AH10471">
        <v>12.492153403421501</v>
      </c>
      <c r="AI10471">
        <v>94.967399197808007</v>
      </c>
      <c r="AJ10471">
        <v>77.900817154525797</v>
      </c>
      <c r="AK10471">
        <v>12.8241213526483</v>
      </c>
      <c r="AL10471">
        <v>83.253859680372699</v>
      </c>
      <c r="AM10471">
        <v>80.479178803744304</v>
      </c>
      <c r="AN10471">
        <v>1.0000000000170799</v>
      </c>
    </row>
    <row r="10472" spans="1:40" x14ac:dyDescent="0.25">
      <c r="A10472" t="str">
        <f>"20190312150925802"</f>
        <v>20190312150925802</v>
      </c>
      <c r="B10472" t="str">
        <f>"1552374565799348"</f>
        <v>1552374565799348</v>
      </c>
      <c r="C10472" t="s">
        <v>40</v>
      </c>
      <c r="D10472">
        <v>4.9497530000000003</v>
      </c>
      <c r="E10472">
        <v>0.51500769999999996</v>
      </c>
      <c r="F10472" t="s">
        <v>42</v>
      </c>
      <c r="G10472">
        <v>-182.6378</v>
      </c>
      <c r="H10472" s="1">
        <v>-3.6907090000000001E-6</v>
      </c>
      <c r="I10472">
        <v>114.73699999999999</v>
      </c>
      <c r="J10472">
        <v>-186.1454</v>
      </c>
      <c r="K10472">
        <v>1.1104039999999999</v>
      </c>
      <c r="L10472">
        <v>102.459</v>
      </c>
      <c r="M10472">
        <v>6.6198789999999993E-2</v>
      </c>
      <c r="N10472">
        <v>0</v>
      </c>
      <c r="O10472">
        <v>0.99769110000000005</v>
      </c>
      <c r="P10472">
        <v>0.2297727</v>
      </c>
      <c r="Q10472">
        <v>0.1025712</v>
      </c>
      <c r="R10472">
        <v>0.96782420000000002</v>
      </c>
      <c r="S10472">
        <v>0.81858830000000005</v>
      </c>
      <c r="T10472">
        <v>-0.25729289999999999</v>
      </c>
      <c r="U10472">
        <v>2.9328310000000002</v>
      </c>
      <c r="V10472">
        <v>0.165214</v>
      </c>
      <c r="W10472">
        <v>0.1174132</v>
      </c>
      <c r="X10472">
        <v>0.9792438</v>
      </c>
      <c r="Y10472">
        <v>0.20351459999999999</v>
      </c>
      <c r="Z10472">
        <v>-8.4589079999999997E-2</v>
      </c>
      <c r="AA10472">
        <v>0.97541089999999997</v>
      </c>
      <c r="AB10472">
        <v>41</v>
      </c>
      <c r="AC10472">
        <v>3.5075999999999898</v>
      </c>
      <c r="AD10472">
        <v>-1.1104076907089999</v>
      </c>
      <c r="AE10472">
        <v>12.278</v>
      </c>
      <c r="AF10472">
        <v>2.6668550489567999</v>
      </c>
      <c r="AG10472">
        <v>-1.1104076907089999</v>
      </c>
      <c r="AH10472">
        <v>12.389596766570801</v>
      </c>
      <c r="AI10472">
        <v>95.007321066532199</v>
      </c>
      <c r="AJ10472">
        <v>77.852454451817806</v>
      </c>
      <c r="AK10472">
        <v>12.7219192392482</v>
      </c>
      <c r="AL10472">
        <v>83.257165420503497</v>
      </c>
      <c r="AM10472">
        <v>80.423476725804406</v>
      </c>
      <c r="AN10472">
        <v>0.99999997258433904</v>
      </c>
    </row>
    <row r="10473" spans="1:40" x14ac:dyDescent="0.25">
      <c r="A10473" t="str">
        <f>"20190312150925814"</f>
        <v>20190312150925814</v>
      </c>
      <c r="B10473" t="str">
        <f>"1552374565810084"</f>
        <v>1552374565810084</v>
      </c>
      <c r="C10473" t="s">
        <v>40</v>
      </c>
      <c r="D10473">
        <v>4.8947529999999997</v>
      </c>
      <c r="E10473">
        <v>0.51492629999999995</v>
      </c>
      <c r="F10473" t="s">
        <v>42</v>
      </c>
      <c r="G10473">
        <v>-182.58799999999999</v>
      </c>
      <c r="H10473" s="1">
        <v>-3.8398659999999998E-6</v>
      </c>
      <c r="I10473">
        <v>115.13639999999999</v>
      </c>
      <c r="J10473">
        <v>-186.13130000000001</v>
      </c>
      <c r="K10473">
        <v>1.1103879999999999</v>
      </c>
      <c r="L10473">
        <v>102.6713</v>
      </c>
      <c r="M10473">
        <v>6.6264649999999994E-2</v>
      </c>
      <c r="N10473">
        <v>0</v>
      </c>
      <c r="O10473">
        <v>0.99768670000000004</v>
      </c>
      <c r="P10473">
        <v>0.22995380000000001</v>
      </c>
      <c r="Q10473">
        <v>0.102629399999999</v>
      </c>
      <c r="R10473">
        <v>0.96777500000000005</v>
      </c>
      <c r="S10473">
        <v>0.82266240000000002</v>
      </c>
      <c r="T10473">
        <v>-0.25678119999999999</v>
      </c>
      <c r="U10473">
        <v>2.9316409999999999</v>
      </c>
      <c r="V10473">
        <v>0.16533819999999999</v>
      </c>
      <c r="W10473">
        <v>0.117461999999999</v>
      </c>
      <c r="X10473">
        <v>0.979217</v>
      </c>
      <c r="Y10473">
        <v>0.2048131</v>
      </c>
      <c r="Z10473">
        <v>-8.4427269999999999E-2</v>
      </c>
      <c r="AA10473">
        <v>0.97515309999999999</v>
      </c>
      <c r="AB10473">
        <v>41</v>
      </c>
      <c r="AC10473">
        <v>3.5433000000000101</v>
      </c>
      <c r="AD10473">
        <v>-1.110391839866</v>
      </c>
      <c r="AE10473">
        <v>12.4650999999999</v>
      </c>
      <c r="AF10473">
        <v>2.68967214154413</v>
      </c>
      <c r="AG10473">
        <v>-1.110391839866</v>
      </c>
      <c r="AH10473">
        <v>12.5801554273937</v>
      </c>
      <c r="AI10473">
        <v>94.933235594591906</v>
      </c>
      <c r="AJ10473">
        <v>77.931701119132697</v>
      </c>
      <c r="AK10473">
        <v>12.912304861813899</v>
      </c>
      <c r="AL10473">
        <v>83.254350004537699</v>
      </c>
      <c r="AM10473">
        <v>80.416153605600002</v>
      </c>
      <c r="AN10473">
        <v>0.99999998745611995</v>
      </c>
    </row>
    <row r="10474" spans="1:40" x14ac:dyDescent="0.25">
      <c r="A10474" t="str">
        <f>"20190312150925825"</f>
        <v>20190312150925825</v>
      </c>
      <c r="B10474" t="str">
        <f>"1552374565819844"</f>
        <v>1552374565819844</v>
      </c>
      <c r="C10474" t="s">
        <v>40</v>
      </c>
      <c r="D10474">
        <v>4.9387869999999996</v>
      </c>
      <c r="E10474">
        <v>0.51493</v>
      </c>
      <c r="F10474" t="s">
        <v>42</v>
      </c>
      <c r="G10474">
        <v>-182.58449999999999</v>
      </c>
      <c r="H10474" s="1">
        <v>-3.9015300000000002E-6</v>
      </c>
      <c r="I10474">
        <v>115.31489999999999</v>
      </c>
      <c r="J10474">
        <v>-186.1172</v>
      </c>
      <c r="K10474">
        <v>1.1103639999999999</v>
      </c>
      <c r="L10474">
        <v>102.8818</v>
      </c>
      <c r="M10474">
        <v>6.6336229999999996E-2</v>
      </c>
      <c r="N10474">
        <v>0</v>
      </c>
      <c r="O10474">
        <v>0.99768199999999996</v>
      </c>
      <c r="P10474">
        <v>0.23028770000000001</v>
      </c>
      <c r="Q10474">
        <v>0.1027416</v>
      </c>
      <c r="R10474">
        <v>0.96768370000000004</v>
      </c>
      <c r="S10474">
        <v>0.82241819999999899</v>
      </c>
      <c r="T10474">
        <v>-0.25747500000000001</v>
      </c>
      <c r="U10474">
        <v>2.9317630000000001</v>
      </c>
      <c r="V10474">
        <v>0.1656125</v>
      </c>
      <c r="W10474">
        <v>0.1175638</v>
      </c>
      <c r="X10474">
        <v>0.97915850000000004</v>
      </c>
      <c r="Y10474">
        <v>0.2046519</v>
      </c>
      <c r="Z10474">
        <v>-8.4652130000000006E-2</v>
      </c>
      <c r="AA10474">
        <v>0.97516749999999996</v>
      </c>
      <c r="AB10474">
        <v>41</v>
      </c>
      <c r="AC10474">
        <v>3.5327000000000002</v>
      </c>
      <c r="AD10474">
        <v>-1.1103679015300001</v>
      </c>
      <c r="AE10474">
        <v>12.4330999999999</v>
      </c>
      <c r="AF10474">
        <v>2.6802764860624002</v>
      </c>
      <c r="AG10474">
        <v>-1.1103679015300001</v>
      </c>
      <c r="AH10474">
        <v>12.5474802145363</v>
      </c>
      <c r="AI10474">
        <v>94.946105770675601</v>
      </c>
      <c r="AJ10474">
        <v>77.942223571110205</v>
      </c>
      <c r="AK10474">
        <v>12.8785115076497</v>
      </c>
      <c r="AL10474">
        <v>83.248477075660901</v>
      </c>
      <c r="AM10474">
        <v>80.399986567942605</v>
      </c>
      <c r="AN10474">
        <v>1.0000000576744601</v>
      </c>
    </row>
    <row r="10475" spans="1:40" x14ac:dyDescent="0.25">
      <c r="A10475" t="str">
        <f>"20190312150925837"</f>
        <v>20190312150925837</v>
      </c>
      <c r="B10475" t="str">
        <f>"1552374565829605"</f>
        <v>1552374565829605</v>
      </c>
      <c r="C10475" t="s">
        <v>40</v>
      </c>
      <c r="D10475">
        <v>4.9025369999999997</v>
      </c>
      <c r="E10475">
        <v>0.51493</v>
      </c>
      <c r="F10475" t="s">
        <v>42</v>
      </c>
      <c r="G10475">
        <v>-182.5701</v>
      </c>
      <c r="H10475" s="1">
        <v>-3.9729739999999996E-6</v>
      </c>
      <c r="I10475">
        <v>115.5136</v>
      </c>
      <c r="J10475">
        <v>-186.10290000000001</v>
      </c>
      <c r="K10475">
        <v>1.1103430000000001</v>
      </c>
      <c r="L10475">
        <v>103.0967</v>
      </c>
      <c r="M10475">
        <v>6.6430790000000003E-2</v>
      </c>
      <c r="N10475">
        <v>0</v>
      </c>
      <c r="O10475">
        <v>0.9976758</v>
      </c>
      <c r="P10475">
        <v>0.2307314</v>
      </c>
      <c r="Q10475">
        <v>0.1026982</v>
      </c>
      <c r="R10475">
        <v>0.96758259999999996</v>
      </c>
      <c r="S10475">
        <v>0.82324219999999904</v>
      </c>
      <c r="T10475">
        <v>-0.25769959999999997</v>
      </c>
      <c r="U10475">
        <v>2.9316409999999999</v>
      </c>
      <c r="V10475">
        <v>0.16597529999999999</v>
      </c>
      <c r="W10475">
        <v>0.1175084</v>
      </c>
      <c r="X10475">
        <v>0.97910370000000002</v>
      </c>
      <c r="Y10475">
        <v>0.20482210000000001</v>
      </c>
      <c r="Z10475">
        <v>-8.4723320000000005E-2</v>
      </c>
      <c r="AA10475">
        <v>0.97512560000000004</v>
      </c>
      <c r="AB10475">
        <v>41</v>
      </c>
      <c r="AC10475">
        <v>3.5327999999999999</v>
      </c>
      <c r="AD10475">
        <v>-1.1103469729739901</v>
      </c>
      <c r="AE10475">
        <v>12.416899999999901</v>
      </c>
      <c r="AF10475">
        <v>2.6802081626328902</v>
      </c>
      <c r="AG10475">
        <v>-1.1103469729739901</v>
      </c>
      <c r="AH10475">
        <v>12.531477087388801</v>
      </c>
      <c r="AI10475">
        <v>94.952028579176996</v>
      </c>
      <c r="AJ10475">
        <v>77.927575559235393</v>
      </c>
      <c r="AK10475">
        <v>12.8629041894584</v>
      </c>
      <c r="AL10475">
        <v>83.251673295678501</v>
      </c>
      <c r="AM10475">
        <v>80.378820495822893</v>
      </c>
      <c r="AN10475">
        <v>1.00000003981716</v>
      </c>
    </row>
    <row r="10476" spans="1:40" x14ac:dyDescent="0.25">
      <c r="A10476" t="str">
        <f>"20190312150925849"</f>
        <v>20190312150925849</v>
      </c>
      <c r="B10476" t="str">
        <f>"1552374565839364"</f>
        <v>1552374565839364</v>
      </c>
      <c r="C10476" t="s">
        <v>40</v>
      </c>
      <c r="D10476">
        <v>4.9348989999999997</v>
      </c>
      <c r="E10476">
        <v>0.51493909999999998</v>
      </c>
      <c r="F10476" t="s">
        <v>42</v>
      </c>
      <c r="G10476">
        <v>-182.55199999999999</v>
      </c>
      <c r="H10476" s="1">
        <v>-4.0477129999999999E-6</v>
      </c>
      <c r="I10476">
        <v>115.7191</v>
      </c>
      <c r="J10476">
        <v>-186.0889</v>
      </c>
      <c r="K10476">
        <v>1.1103209999999999</v>
      </c>
      <c r="L10476">
        <v>103.30629999999999</v>
      </c>
      <c r="M10476">
        <v>6.653365E-2</v>
      </c>
      <c r="N10476">
        <v>0</v>
      </c>
      <c r="O10476">
        <v>0.99766889999999997</v>
      </c>
      <c r="P10476">
        <v>0.23126140000000001</v>
      </c>
      <c r="Q10476">
        <v>0.1024607</v>
      </c>
      <c r="R10476">
        <v>0.96748129999999999</v>
      </c>
      <c r="S10476">
        <v>0.82460020000000001</v>
      </c>
      <c r="T10476">
        <v>-0.25785200000000003</v>
      </c>
      <c r="U10476">
        <v>2.931244</v>
      </c>
      <c r="V10476">
        <v>0.16641600000000001</v>
      </c>
      <c r="W10476">
        <v>0.1172588</v>
      </c>
      <c r="X10476">
        <v>0.97905880000000001</v>
      </c>
      <c r="Y10476">
        <v>0.2051731</v>
      </c>
      <c r="Z10476">
        <v>-8.4774829999999995E-2</v>
      </c>
      <c r="AA10476">
        <v>0.97504729999999995</v>
      </c>
      <c r="AB10476">
        <v>41</v>
      </c>
      <c r="AC10476">
        <v>3.53689999999997</v>
      </c>
      <c r="AD10476">
        <v>-1.110325047713</v>
      </c>
      <c r="AE10476">
        <v>12.412800000000001</v>
      </c>
      <c r="AF10476">
        <v>2.6832399699166101</v>
      </c>
      <c r="AG10476">
        <v>-1.110325047713</v>
      </c>
      <c r="AH10476">
        <v>12.527926724904701</v>
      </c>
      <c r="AI10476">
        <v>94.953022424322995</v>
      </c>
      <c r="AJ10476">
        <v>77.910996403162997</v>
      </c>
      <c r="AK10476">
        <v>12.8600756791054</v>
      </c>
      <c r="AL10476">
        <v>83.266073761156207</v>
      </c>
      <c r="AM10476">
        <v>80.353319522518007</v>
      </c>
      <c r="AN10476">
        <v>1.00000002254543</v>
      </c>
    </row>
    <row r="10477" spans="1:40" x14ac:dyDescent="0.25">
      <c r="A10477" t="str">
        <f>"20190312150925861"</f>
        <v>20190312150925861</v>
      </c>
      <c r="B10477" t="str">
        <f>"1552374565850101"</f>
        <v>1552374565850101</v>
      </c>
      <c r="C10477" t="s">
        <v>40</v>
      </c>
      <c r="D10477">
        <v>4.9058539999999997</v>
      </c>
      <c r="E10477">
        <v>0.51493909999999998</v>
      </c>
      <c r="F10477" t="s">
        <v>42</v>
      </c>
      <c r="G10477">
        <v>-182.5428</v>
      </c>
      <c r="H10477" s="1">
        <v>-4.1078319999999999E-6</v>
      </c>
      <c r="I10477">
        <v>115.8886</v>
      </c>
      <c r="J10477">
        <v>-186.0736</v>
      </c>
      <c r="K10477">
        <v>1.110298</v>
      </c>
      <c r="L10477">
        <v>103.5335</v>
      </c>
      <c r="M10477">
        <v>6.6660620000000004E-2</v>
      </c>
      <c r="N10477">
        <v>0</v>
      </c>
      <c r="O10477">
        <v>0.99766049999999995</v>
      </c>
      <c r="P10477">
        <v>0.23193720000000001</v>
      </c>
      <c r="Q10477">
        <v>0.1019767</v>
      </c>
      <c r="R10477">
        <v>0.96737059999999997</v>
      </c>
      <c r="S10477">
        <v>0.82597350000000003</v>
      </c>
      <c r="T10477">
        <v>-0.25862810000000003</v>
      </c>
      <c r="U10477">
        <v>2.9307859999999999</v>
      </c>
      <c r="V10477">
        <v>0.16697989999999999</v>
      </c>
      <c r="W10477">
        <v>0.11676159999999999</v>
      </c>
      <c r="X10477">
        <v>0.97902219999999995</v>
      </c>
      <c r="Y10477">
        <v>0.20550570000000001</v>
      </c>
      <c r="Z10477">
        <v>-8.5031449999999995E-2</v>
      </c>
      <c r="AA10477">
        <v>0.97495489999999996</v>
      </c>
      <c r="AB10477">
        <v>41</v>
      </c>
      <c r="AC10477">
        <v>3.5308000000000002</v>
      </c>
      <c r="AD10477">
        <v>-1.1103021078319999</v>
      </c>
      <c r="AE10477">
        <v>12.355099999999901</v>
      </c>
      <c r="AF10477">
        <v>2.67924773040613</v>
      </c>
      <c r="AG10477">
        <v>-1.1103021078319999</v>
      </c>
      <c r="AH10477">
        <v>12.4699027448242</v>
      </c>
      <c r="AI10477">
        <v>94.975164924320694</v>
      </c>
      <c r="AJ10477">
        <v>77.873943289069302</v>
      </c>
      <c r="AK10477">
        <v>12.802718993905801</v>
      </c>
      <c r="AL10477">
        <v>83.294758201292595</v>
      </c>
      <c r="AM10477">
        <v>80.320894093260605</v>
      </c>
      <c r="AN10477">
        <v>1.0000000131657001</v>
      </c>
    </row>
    <row r="10478" spans="1:40" x14ac:dyDescent="0.25">
      <c r="A10478" t="str">
        <f>"20190312150925874"</f>
        <v>20190312150925874</v>
      </c>
      <c r="B10478" t="str">
        <f>"1552374565869621"</f>
        <v>1552374565869621</v>
      </c>
      <c r="C10478" t="s">
        <v>40</v>
      </c>
      <c r="D10478">
        <v>4.9684710000000001</v>
      </c>
      <c r="E10478">
        <v>0.51489319999999905</v>
      </c>
      <c r="F10478" t="s">
        <v>42</v>
      </c>
      <c r="G10478">
        <v>-182.53980000000001</v>
      </c>
      <c r="H10478" s="1">
        <v>-4.1599300000000002E-6</v>
      </c>
      <c r="I10478">
        <v>116.0393</v>
      </c>
      <c r="J10478">
        <v>-186.05889999999999</v>
      </c>
      <c r="K10478">
        <v>1.110271</v>
      </c>
      <c r="L10478">
        <v>103.7513</v>
      </c>
      <c r="M10478">
        <v>6.6806050000000006E-2</v>
      </c>
      <c r="N10478">
        <v>0</v>
      </c>
      <c r="O10478">
        <v>0.99765079999999995</v>
      </c>
      <c r="P10478">
        <v>0.23231479999999999</v>
      </c>
      <c r="Q10478">
        <v>0.1018206</v>
      </c>
      <c r="R10478">
        <v>0.9672965</v>
      </c>
      <c r="S10478">
        <v>0.82797240000000005</v>
      </c>
      <c r="T10478">
        <v>-0.26014589999999999</v>
      </c>
      <c r="U10478">
        <v>2.9301149999999998</v>
      </c>
      <c r="V10478">
        <v>0.16722619999999999</v>
      </c>
      <c r="W10478">
        <v>0.1165916</v>
      </c>
      <c r="X10478">
        <v>0.97900039999999999</v>
      </c>
      <c r="Y10478">
        <v>0.20602570000000001</v>
      </c>
      <c r="Z10478">
        <v>-8.5531739999999995E-2</v>
      </c>
      <c r="AA10478">
        <v>0.97480140000000004</v>
      </c>
      <c r="AB10478">
        <v>41</v>
      </c>
      <c r="AC10478">
        <v>3.5190999999999799</v>
      </c>
      <c r="AD10478">
        <v>-1.11027515992999</v>
      </c>
      <c r="AE10478">
        <v>12.287999999999901</v>
      </c>
      <c r="AF10478">
        <v>2.67008331217919</v>
      </c>
      <c r="AG10478">
        <v>-1.11027515992999</v>
      </c>
      <c r="AH10478">
        <v>12.402091225014299</v>
      </c>
      <c r="AI10478">
        <v>95.001663566897093</v>
      </c>
      <c r="AJ10478">
        <v>77.850075359066594</v>
      </c>
      <c r="AK10478">
        <v>12.734752552692701</v>
      </c>
      <c r="AL10478">
        <v>83.304565333271398</v>
      </c>
      <c r="AM10478">
        <v>80.306676058162196</v>
      </c>
      <c r="AN10478">
        <v>0.99999999317857902</v>
      </c>
    </row>
    <row r="10479" spans="1:40" x14ac:dyDescent="0.25">
      <c r="A10479" t="str">
        <f>"20190312150925892"</f>
        <v>20190312150925892</v>
      </c>
      <c r="B10479" t="str">
        <f>"1552374565879381"</f>
        <v>1552374565879381</v>
      </c>
      <c r="C10479" t="s">
        <v>40</v>
      </c>
      <c r="D10479">
        <v>5.0172330000000001</v>
      </c>
      <c r="E10479">
        <v>0.50456909999999999</v>
      </c>
      <c r="F10479" t="s">
        <v>42</v>
      </c>
      <c r="G10479">
        <v>-182.5444</v>
      </c>
      <c r="H10479" s="1">
        <v>-4.204832E-6</v>
      </c>
      <c r="I10479">
        <v>116.1748</v>
      </c>
      <c r="J10479">
        <v>-186.0376</v>
      </c>
      <c r="K10479">
        <v>1.1102320000000001</v>
      </c>
      <c r="L10479">
        <v>104.0659</v>
      </c>
      <c r="M10479">
        <v>6.7046120000000001E-2</v>
      </c>
      <c r="N10479">
        <v>0</v>
      </c>
      <c r="O10479">
        <v>0.99763469999999999</v>
      </c>
      <c r="P10479">
        <v>0.233406</v>
      </c>
      <c r="Q10479">
        <v>0.1011942</v>
      </c>
      <c r="R10479">
        <v>0.9670995</v>
      </c>
      <c r="S10479">
        <v>0.82884219999999897</v>
      </c>
      <c r="T10479">
        <v>-0.26184289999999999</v>
      </c>
      <c r="U10479">
        <v>2.929916</v>
      </c>
      <c r="V10479">
        <v>0.16810369999999999</v>
      </c>
      <c r="W10479">
        <v>0.115943699999999</v>
      </c>
      <c r="X10479">
        <v>0.97892710000000005</v>
      </c>
      <c r="Y10479">
        <v>0.20606260000000001</v>
      </c>
      <c r="Z10479">
        <v>-8.6085220000000004E-2</v>
      </c>
      <c r="AA10479">
        <v>0.97474490000000003</v>
      </c>
      <c r="AB10479">
        <v>41</v>
      </c>
      <c r="AC10479">
        <v>3.4931999999999999</v>
      </c>
      <c r="AD10479">
        <v>-1.11023620483199</v>
      </c>
      <c r="AE10479">
        <v>12.1089</v>
      </c>
      <c r="AF10479">
        <v>2.6528022449067001</v>
      </c>
      <c r="AG10479">
        <v>-1.11023620483199</v>
      </c>
      <c r="AH10479">
        <v>12.221035186104499</v>
      </c>
      <c r="AI10479">
        <v>95.073351388969996</v>
      </c>
      <c r="AJ10479">
        <v>77.752886056991201</v>
      </c>
      <c r="AK10479">
        <v>12.554827167313199</v>
      </c>
      <c r="AL10479">
        <v>83.341941007992901</v>
      </c>
      <c r="AM10479">
        <v>80.256068362183001</v>
      </c>
      <c r="AN10479">
        <v>1.0000000313188899</v>
      </c>
    </row>
    <row r="10480" spans="1:40" x14ac:dyDescent="0.25">
      <c r="A10480" t="str">
        <f>"20190312150925904"</f>
        <v>20190312150925904</v>
      </c>
      <c r="B10480" t="str">
        <f>"1552374565899876"</f>
        <v>1552374565899876</v>
      </c>
      <c r="C10480" t="s">
        <v>40</v>
      </c>
      <c r="D10480">
        <v>4.9464819999999996</v>
      </c>
      <c r="E10480">
        <v>0.50453549999999903</v>
      </c>
      <c r="F10480" t="s">
        <v>41</v>
      </c>
      <c r="G10480">
        <v>-185.8015</v>
      </c>
      <c r="H10480">
        <v>0.98394289999999995</v>
      </c>
      <c r="I10480">
        <v>104.9903</v>
      </c>
      <c r="J10480">
        <v>-186.02160000000001</v>
      </c>
      <c r="K10480">
        <v>1.1101989999999999</v>
      </c>
      <c r="L10480">
        <v>104.3018</v>
      </c>
      <c r="M10480">
        <v>6.7250149999999995E-2</v>
      </c>
      <c r="N10480">
        <v>0</v>
      </c>
      <c r="O10480">
        <v>0.99762110000000004</v>
      </c>
      <c r="P10480">
        <v>0.23409730000000001</v>
      </c>
      <c r="Q10480">
        <v>0.1014162</v>
      </c>
      <c r="R10480">
        <v>0.96690909999999997</v>
      </c>
      <c r="S10480">
        <v>0.756073</v>
      </c>
      <c r="T10480">
        <v>-0.40463480000000002</v>
      </c>
      <c r="U10480">
        <v>2.961929</v>
      </c>
      <c r="V10480">
        <v>0.1686156</v>
      </c>
      <c r="W10480">
        <v>0.1161469</v>
      </c>
      <c r="X10480">
        <v>0.97881499999999999</v>
      </c>
      <c r="Y10480">
        <v>0.1794491</v>
      </c>
      <c r="Z10480">
        <v>-0.13173029999999999</v>
      </c>
      <c r="AA10480">
        <v>0.97490779999999999</v>
      </c>
      <c r="AB10480">
        <v>40</v>
      </c>
      <c r="AC10480">
        <v>0.22010000000000199</v>
      </c>
      <c r="AD10480">
        <v>-0.12625609999999901</v>
      </c>
      <c r="AE10480">
        <v>0.688500000000004</v>
      </c>
      <c r="AF10480">
        <v>0.16816393355950901</v>
      </c>
      <c r="AG10480">
        <v>-0.12625609999999901</v>
      </c>
      <c r="AH10480">
        <v>0.68096828593686898</v>
      </c>
      <c r="AI10480">
        <v>100.203943247019</v>
      </c>
      <c r="AJ10480">
        <v>76.128440733906501</v>
      </c>
      <c r="AK10480">
        <v>0.71269735357247799</v>
      </c>
      <c r="AL10480">
        <v>83.3302195294374</v>
      </c>
      <c r="AM10480">
        <v>80.225870347935299</v>
      </c>
      <c r="AN10480">
        <v>1.0000000635839801</v>
      </c>
    </row>
    <row r="10481" spans="1:40" x14ac:dyDescent="0.25">
      <c r="A10481" t="str">
        <f>"20190312150925916"</f>
        <v>20190312150925916</v>
      </c>
      <c r="B10481" t="str">
        <f>"1552374565909637"</f>
        <v>1552374565909637</v>
      </c>
      <c r="C10481" t="s">
        <v>40</v>
      </c>
      <c r="D10481">
        <v>4.9965570000000001</v>
      </c>
      <c r="E10481">
        <v>0.50449500000000003</v>
      </c>
      <c r="F10481" t="s">
        <v>41</v>
      </c>
      <c r="G10481">
        <v>-185.75540000000001</v>
      </c>
      <c r="H10481">
        <v>0.96628329999999996</v>
      </c>
      <c r="I10481">
        <v>105.3415</v>
      </c>
      <c r="J10481">
        <v>-186.00659999999999</v>
      </c>
      <c r="K10481">
        <v>1.1101650000000001</v>
      </c>
      <c r="L10481">
        <v>104.52119999999999</v>
      </c>
      <c r="M10481">
        <v>6.7478049999999998E-2</v>
      </c>
      <c r="N10481">
        <v>0</v>
      </c>
      <c r="O10481">
        <v>0.99760570000000004</v>
      </c>
      <c r="P10481">
        <v>0.2346154</v>
      </c>
      <c r="Q10481">
        <v>0.10159029999999999</v>
      </c>
      <c r="R10481">
        <v>0.96676519999999999</v>
      </c>
      <c r="S10481">
        <v>0.75811770000000001</v>
      </c>
      <c r="T10481">
        <v>-0.41005459999999999</v>
      </c>
      <c r="U10481">
        <v>2.9621430000000002</v>
      </c>
      <c r="V10481">
        <v>0.16892860000000001</v>
      </c>
      <c r="W10481">
        <v>0.11630269999999999</v>
      </c>
      <c r="X10481">
        <v>0.97874249999999996</v>
      </c>
      <c r="Y10481">
        <v>0.17978269999999999</v>
      </c>
      <c r="Z10481">
        <v>-0.13343559999999999</v>
      </c>
      <c r="AA10481">
        <v>0.97461430000000004</v>
      </c>
      <c r="AB10481">
        <v>40</v>
      </c>
      <c r="AC10481">
        <v>0.25119999999998299</v>
      </c>
      <c r="AD10481">
        <v>-0.1438817</v>
      </c>
      <c r="AE10481">
        <v>0.82030000000000303</v>
      </c>
      <c r="AF10481">
        <v>0.18992649250466201</v>
      </c>
      <c r="AG10481">
        <v>-0.1438817</v>
      </c>
      <c r="AH10481">
        <v>0.81252765408647898</v>
      </c>
      <c r="AI10481">
        <v>99.783372291441395</v>
      </c>
      <c r="AJ10481">
        <v>76.843462665171202</v>
      </c>
      <c r="AK10481">
        <v>0.84674388383105004</v>
      </c>
      <c r="AL10481">
        <v>83.321231750407605</v>
      </c>
      <c r="AM10481">
        <v>80.207366317235</v>
      </c>
      <c r="AN10481">
        <v>1.0000000356157399</v>
      </c>
    </row>
    <row r="10482" spans="1:40" x14ac:dyDescent="0.25">
      <c r="A10482" t="str">
        <f>"20190312150925929"</f>
        <v>20190312150925929</v>
      </c>
      <c r="B10482" t="str">
        <f>"1552374565919397"</f>
        <v>1552374565919397</v>
      </c>
      <c r="C10482" t="s">
        <v>40</v>
      </c>
      <c r="D10482">
        <v>4.9964629999999897</v>
      </c>
      <c r="E10482">
        <v>0.50449100000000002</v>
      </c>
      <c r="F10482" t="s">
        <v>41</v>
      </c>
      <c r="G10482">
        <v>-185.79220000000001</v>
      </c>
      <c r="H10482">
        <v>0.99548460000000005</v>
      </c>
      <c r="I10482">
        <v>105.3567</v>
      </c>
      <c r="J10482">
        <v>-185.99199999999999</v>
      </c>
      <c r="K10482">
        <v>1.110131</v>
      </c>
      <c r="L10482">
        <v>104.7349</v>
      </c>
      <c r="M10482">
        <v>6.7714239999999995E-2</v>
      </c>
      <c r="N10482">
        <v>0</v>
      </c>
      <c r="O10482">
        <v>0.99758970000000002</v>
      </c>
      <c r="P10482">
        <v>0.23528760000000001</v>
      </c>
      <c r="Q10482">
        <v>0.1018836</v>
      </c>
      <c r="R10482">
        <v>0.96657099999999996</v>
      </c>
      <c r="S10482">
        <v>0.75982669999999997</v>
      </c>
      <c r="T10482">
        <v>-0.40652630000000001</v>
      </c>
      <c r="U10482">
        <v>2.9614560000000001</v>
      </c>
      <c r="V10482">
        <v>0.16939100000000001</v>
      </c>
      <c r="W10482">
        <v>0.1165769</v>
      </c>
      <c r="X10482">
        <v>0.97862990000000005</v>
      </c>
      <c r="Y10482">
        <v>0.1801691</v>
      </c>
      <c r="Z10482">
        <v>-0.1323202</v>
      </c>
      <c r="AA10482">
        <v>0.97469510000000004</v>
      </c>
      <c r="AB10482">
        <v>40</v>
      </c>
      <c r="AC10482">
        <v>0.19980000000001</v>
      </c>
      <c r="AD10482">
        <v>-0.1146464</v>
      </c>
      <c r="AE10482">
        <v>0.62180000000000701</v>
      </c>
      <c r="AF10482">
        <v>0.15253167336248</v>
      </c>
      <c r="AG10482">
        <v>-0.1146464</v>
      </c>
      <c r="AH10482">
        <v>0.61495425906384105</v>
      </c>
      <c r="AI10482">
        <v>100.256558427027</v>
      </c>
      <c r="AJ10482">
        <v>76.069637810142495</v>
      </c>
      <c r="AK10482">
        <v>0.64387766629420895</v>
      </c>
      <c r="AL10482">
        <v>83.305413294555805</v>
      </c>
      <c r="AM10482">
        <v>80.179974709460495</v>
      </c>
      <c r="AN10482">
        <v>0.99999998283430902</v>
      </c>
    </row>
    <row r="10483" spans="1:40" x14ac:dyDescent="0.25">
      <c r="A10483" t="str">
        <f>"20190312150925939"</f>
        <v>20190312150925939</v>
      </c>
      <c r="B10483" t="str">
        <f>"1552374565930133"</f>
        <v>1552374565930133</v>
      </c>
      <c r="C10483" t="s">
        <v>40</v>
      </c>
      <c r="D10483">
        <v>5.064616</v>
      </c>
      <c r="E10483">
        <v>0.50486529999999996</v>
      </c>
      <c r="F10483" t="s">
        <v>41</v>
      </c>
      <c r="G10483">
        <v>-185.74180000000001</v>
      </c>
      <c r="H10483">
        <v>0.97712860000000001</v>
      </c>
      <c r="I10483">
        <v>105.7069</v>
      </c>
      <c r="J10483">
        <v>-185.9768</v>
      </c>
      <c r="K10483">
        <v>1.110088</v>
      </c>
      <c r="L10483">
        <v>104.9558</v>
      </c>
      <c r="M10483">
        <v>6.7985390000000007E-2</v>
      </c>
      <c r="N10483">
        <v>0</v>
      </c>
      <c r="O10483">
        <v>0.99757130000000005</v>
      </c>
      <c r="P10483">
        <v>0.23596710000000001</v>
      </c>
      <c r="Q10483">
        <v>0.10207629999999999</v>
      </c>
      <c r="R10483">
        <v>0.96638500000000005</v>
      </c>
      <c r="S10483">
        <v>0.76173400000000002</v>
      </c>
      <c r="T10483">
        <v>-0.40518890000000002</v>
      </c>
      <c r="U10483">
        <v>2.9610289999999999</v>
      </c>
      <c r="V10483">
        <v>0.169826799999999</v>
      </c>
      <c r="W10483">
        <v>0.1167488</v>
      </c>
      <c r="X10483">
        <v>0.97853389999999996</v>
      </c>
      <c r="Y10483">
        <v>0.1805389</v>
      </c>
      <c r="Z10483">
        <v>-0.13189229999999999</v>
      </c>
      <c r="AA10483">
        <v>0.97468469999999996</v>
      </c>
      <c r="AB10483">
        <v>40</v>
      </c>
      <c r="AC10483">
        <v>0.234999999999985</v>
      </c>
      <c r="AD10483">
        <v>-0.13295939999999901</v>
      </c>
      <c r="AE10483">
        <v>0.75110000000000798</v>
      </c>
      <c r="AF10483">
        <v>0.17829751483421999</v>
      </c>
      <c r="AG10483">
        <v>-0.13295939999999901</v>
      </c>
      <c r="AH10483">
        <v>0.74410207255284899</v>
      </c>
      <c r="AI10483">
        <v>99.857606634536396</v>
      </c>
      <c r="AJ10483">
        <v>76.525162673116398</v>
      </c>
      <c r="AK10483">
        <v>0.77663125112363696</v>
      </c>
      <c r="AL10483">
        <v>83.295496608727902</v>
      </c>
      <c r="AM10483">
        <v>80.154257068062407</v>
      </c>
      <c r="AN10483">
        <v>1.0000000088744401</v>
      </c>
    </row>
    <row r="10484" spans="1:40" x14ac:dyDescent="0.25">
      <c r="A10484" t="str">
        <f>"20190312150925953"</f>
        <v>20190312150925953</v>
      </c>
      <c r="B10484" t="str">
        <f>"1552374565949652"</f>
        <v>1552374565949652</v>
      </c>
      <c r="C10484" t="s">
        <v>40</v>
      </c>
      <c r="D10484">
        <v>4.9689759999999996</v>
      </c>
      <c r="E10484">
        <v>0.50493409999999905</v>
      </c>
      <c r="F10484" t="s">
        <v>41</v>
      </c>
      <c r="G10484">
        <v>-185.77799999999999</v>
      </c>
      <c r="H10484">
        <v>1.00664</v>
      </c>
      <c r="I10484">
        <v>105.7225</v>
      </c>
      <c r="J10484">
        <v>-185.96260000000001</v>
      </c>
      <c r="K10484">
        <v>1.1100490000000001</v>
      </c>
      <c r="L10484">
        <v>105.16079999999999</v>
      </c>
      <c r="M10484">
        <v>6.8270979999999995E-2</v>
      </c>
      <c r="N10484">
        <v>0</v>
      </c>
      <c r="O10484">
        <v>0.99755179999999999</v>
      </c>
      <c r="P10484">
        <v>0.23668149999999999</v>
      </c>
      <c r="Q10484">
        <v>0.1023247</v>
      </c>
      <c r="R10484">
        <v>0.96618400000000004</v>
      </c>
      <c r="S10484">
        <v>0.76672359999999995</v>
      </c>
      <c r="T10484">
        <v>-0.39932329999999999</v>
      </c>
      <c r="U10484">
        <v>2.9592900000000002</v>
      </c>
      <c r="V10484">
        <v>0.17028509999999999</v>
      </c>
      <c r="W10484">
        <v>0.1169757</v>
      </c>
      <c r="X10484">
        <v>0.97842720000000005</v>
      </c>
      <c r="Y10484">
        <v>0.18199750000000001</v>
      </c>
      <c r="Z10484">
        <v>-0.13004089999999999</v>
      </c>
      <c r="AA10484">
        <v>0.97466209999999998</v>
      </c>
      <c r="AB10484">
        <v>40</v>
      </c>
      <c r="AC10484">
        <v>0.184600000000017</v>
      </c>
      <c r="AD10484">
        <v>-0.103409</v>
      </c>
      <c r="AE10484">
        <v>0.56170000000000098</v>
      </c>
      <c r="AF10484">
        <v>0.14148898047684799</v>
      </c>
      <c r="AG10484">
        <v>-0.103409</v>
      </c>
      <c r="AH10484">
        <v>0.55598635945209296</v>
      </c>
      <c r="AI10484">
        <v>100.21768070493501</v>
      </c>
      <c r="AJ10484">
        <v>75.722274263262904</v>
      </c>
      <c r="AK10484">
        <v>0.58295230059943104</v>
      </c>
      <c r="AL10484">
        <v>83.282406834203698</v>
      </c>
      <c r="AM10484">
        <v>80.127153709645398</v>
      </c>
      <c r="AN10484">
        <v>1.0000000576861601</v>
      </c>
    </row>
    <row r="10485" spans="1:40" x14ac:dyDescent="0.25">
      <c r="A10485" t="str">
        <f>"20190312150925968"</f>
        <v>20190312150925968</v>
      </c>
      <c r="B10485" t="str">
        <f>"1552374565959413"</f>
        <v>1552374565959413</v>
      </c>
      <c r="C10485" t="s">
        <v>40</v>
      </c>
      <c r="D10485">
        <v>4.9773459999999998</v>
      </c>
      <c r="E10485">
        <v>0.50524049999999998</v>
      </c>
      <c r="F10485" t="s">
        <v>41</v>
      </c>
      <c r="G10485">
        <v>-185.72559999999999</v>
      </c>
      <c r="H10485">
        <v>0.98651560000000005</v>
      </c>
      <c r="I10485">
        <v>106.0712</v>
      </c>
      <c r="J10485">
        <v>-185.94329999999999</v>
      </c>
      <c r="K10485">
        <v>1.1099859999999999</v>
      </c>
      <c r="L10485">
        <v>105.437</v>
      </c>
      <c r="M10485">
        <v>6.8694149999999995E-2</v>
      </c>
      <c r="N10485">
        <v>0</v>
      </c>
      <c r="O10485">
        <v>0.99752280000000004</v>
      </c>
      <c r="P10485">
        <v>0.23764189999999999</v>
      </c>
      <c r="Q10485">
        <v>0.1028019</v>
      </c>
      <c r="R10485">
        <v>0.96589760000000002</v>
      </c>
      <c r="S10485">
        <v>0.7700958</v>
      </c>
      <c r="T10485">
        <v>-0.4015186</v>
      </c>
      <c r="U10485">
        <v>2.9588619999999999</v>
      </c>
      <c r="V10485">
        <v>0.17086579999999901</v>
      </c>
      <c r="W10485">
        <v>0.11742130000000001</v>
      </c>
      <c r="X10485">
        <v>0.97827249999999999</v>
      </c>
      <c r="Y10485">
        <v>0.1826325</v>
      </c>
      <c r="Z10485">
        <v>-0.13072980000000001</v>
      </c>
      <c r="AA10485">
        <v>0.97445119999999996</v>
      </c>
      <c r="AB10485">
        <v>40</v>
      </c>
      <c r="AC10485">
        <v>0.217700000000007</v>
      </c>
      <c r="AD10485">
        <v>-0.12347039999999999</v>
      </c>
      <c r="AE10485">
        <v>0.63419999999999199</v>
      </c>
      <c r="AF10485">
        <v>0.16792100437725099</v>
      </c>
      <c r="AG10485">
        <v>-0.12347039999999999</v>
      </c>
      <c r="AH10485">
        <v>0.62641766309255797</v>
      </c>
      <c r="AI10485">
        <v>100.779189770831</v>
      </c>
      <c r="AJ10485">
        <v>74.993779206904705</v>
      </c>
      <c r="AK10485">
        <v>0.66018292315203497</v>
      </c>
      <c r="AL10485">
        <v>83.256698167856001</v>
      </c>
      <c r="AM10485">
        <v>80.092616070866896</v>
      </c>
      <c r="AN10485">
        <v>0.99999998377978905</v>
      </c>
    </row>
    <row r="10486" spans="1:40" x14ac:dyDescent="0.25">
      <c r="A10486" t="str">
        <f>"20190312150925981"</f>
        <v>20190312150925981</v>
      </c>
      <c r="B10486" t="str">
        <f>"1552374565970148"</f>
        <v>1552374565970148</v>
      </c>
      <c r="C10486" t="s">
        <v>40</v>
      </c>
      <c r="D10486">
        <v>5.0188030000000001</v>
      </c>
      <c r="E10486">
        <v>0.50527569999999999</v>
      </c>
      <c r="F10486" t="s">
        <v>41</v>
      </c>
      <c r="G10486">
        <v>-185.68440000000001</v>
      </c>
      <c r="H10486">
        <v>0.97416040000000004</v>
      </c>
      <c r="I10486">
        <v>106.4238</v>
      </c>
      <c r="J10486">
        <v>-185.92519999999999</v>
      </c>
      <c r="K10486">
        <v>1.1099239999999999</v>
      </c>
      <c r="L10486">
        <v>105.69499999999999</v>
      </c>
      <c r="M10486">
        <v>6.915143E-2</v>
      </c>
      <c r="N10486">
        <v>0</v>
      </c>
      <c r="O10486">
        <v>0.99749120000000002</v>
      </c>
      <c r="P10486">
        <v>0.2393634</v>
      </c>
      <c r="Q10486">
        <v>0.1032414</v>
      </c>
      <c r="R10486">
        <v>0.96542550000000005</v>
      </c>
      <c r="S10486">
        <v>0.77590939999999997</v>
      </c>
      <c r="T10486">
        <v>-0.407192</v>
      </c>
      <c r="U10486">
        <v>2.9583439999999999</v>
      </c>
      <c r="V10486">
        <v>0.17218710000000001</v>
      </c>
      <c r="W10486">
        <v>0.11782330000000001</v>
      </c>
      <c r="X10486">
        <v>0.97799250000000004</v>
      </c>
      <c r="Y10486">
        <v>0.18395600000000001</v>
      </c>
      <c r="Z10486">
        <v>-0.13251160000000001</v>
      </c>
      <c r="AA10486">
        <v>0.97396139999999998</v>
      </c>
      <c r="AB10486">
        <v>40</v>
      </c>
      <c r="AC10486">
        <v>0.240799999999978</v>
      </c>
      <c r="AD10486">
        <v>-0.13576359999999901</v>
      </c>
      <c r="AE10486">
        <v>0.728800000000006</v>
      </c>
      <c r="AF10486">
        <v>0.18406150944482999</v>
      </c>
      <c r="AG10486">
        <v>-0.13576359999999901</v>
      </c>
      <c r="AH10486">
        <v>0.72114663028820503</v>
      </c>
      <c r="AI10486">
        <v>100.33782565697101</v>
      </c>
      <c r="AJ10486">
        <v>75.681832593012899</v>
      </c>
      <c r="AK10486">
        <v>0.75654666526269398</v>
      </c>
      <c r="AL10486">
        <v>83.233504566892904</v>
      </c>
      <c r="AM10486">
        <v>80.0147373890306</v>
      </c>
      <c r="AN10486">
        <v>1.0000000287427699</v>
      </c>
    </row>
    <row r="10487" spans="1:40" x14ac:dyDescent="0.25">
      <c r="A10487" t="str">
        <f>"20190312150925999"</f>
        <v>20190312150925999</v>
      </c>
      <c r="B10487" t="str">
        <f>"1552374565989669"</f>
        <v>1552374565989669</v>
      </c>
      <c r="C10487" t="s">
        <v>40</v>
      </c>
      <c r="D10487">
        <v>4.9785059999999897</v>
      </c>
      <c r="E10487">
        <v>0.5055113</v>
      </c>
      <c r="F10487" t="s">
        <v>41</v>
      </c>
      <c r="G10487">
        <v>-185.72790000000001</v>
      </c>
      <c r="H10487">
        <v>1.0075750000000001</v>
      </c>
      <c r="I10487">
        <v>106.4415</v>
      </c>
      <c r="J10487">
        <v>-185.90280000000001</v>
      </c>
      <c r="K10487">
        <v>1.1098269999999999</v>
      </c>
      <c r="L10487">
        <v>106.0104</v>
      </c>
      <c r="M10487">
        <v>6.9794320000000007E-2</v>
      </c>
      <c r="N10487">
        <v>0</v>
      </c>
      <c r="O10487">
        <v>0.99744650000000001</v>
      </c>
      <c r="P10487">
        <v>0.2407359</v>
      </c>
      <c r="Q10487">
        <v>0.1031132</v>
      </c>
      <c r="R10487">
        <v>0.96509789999999995</v>
      </c>
      <c r="S10487">
        <v>0.78138730000000001</v>
      </c>
      <c r="T10487">
        <v>-0.405418</v>
      </c>
      <c r="U10487">
        <v>2.9570620000000001</v>
      </c>
      <c r="V10487">
        <v>0.17297489999999999</v>
      </c>
      <c r="W10487">
        <v>0.1176495</v>
      </c>
      <c r="X10487">
        <v>0.97787429999999997</v>
      </c>
      <c r="Y10487">
        <v>0.18513279999999999</v>
      </c>
      <c r="Z10487">
        <v>-0.13194529999999999</v>
      </c>
      <c r="AA10487">
        <v>0.97381530000000005</v>
      </c>
      <c r="AB10487">
        <v>40</v>
      </c>
      <c r="AC10487">
        <v>0.17490000000000799</v>
      </c>
      <c r="AD10487">
        <v>-0.102252</v>
      </c>
      <c r="AE10487">
        <v>0.43109999999999998</v>
      </c>
      <c r="AF10487">
        <v>0.13772834321445801</v>
      </c>
      <c r="AG10487">
        <v>-0.102252</v>
      </c>
      <c r="AH10487">
        <v>0.421877207717819</v>
      </c>
      <c r="AI10487">
        <v>102.974873605797</v>
      </c>
      <c r="AJ10487">
        <v>71.919927161749698</v>
      </c>
      <c r="AK10487">
        <v>0.45541733214754099</v>
      </c>
      <c r="AL10487">
        <v>83.243531672397495</v>
      </c>
      <c r="AM10487">
        <v>79.968790105020005</v>
      </c>
      <c r="AN10487">
        <v>0.99999993374037199</v>
      </c>
    </row>
    <row r="10488" spans="1:40" x14ac:dyDescent="0.25">
      <c r="A10488" t="str">
        <f>"20190312150926016"</f>
        <v>20190312150926016</v>
      </c>
      <c r="B10488" t="str">
        <f>"1552374566010165"</f>
        <v>1552374566010165</v>
      </c>
      <c r="C10488" t="s">
        <v>40</v>
      </c>
      <c r="D10488">
        <v>4.9523270000000004</v>
      </c>
      <c r="E10488">
        <v>0.50582959999999999</v>
      </c>
      <c r="F10488" t="s">
        <v>41</v>
      </c>
      <c r="G10488">
        <v>-185.69329999999999</v>
      </c>
      <c r="H10488">
        <v>1.001152</v>
      </c>
      <c r="I10488">
        <v>106.7968</v>
      </c>
      <c r="J10488">
        <v>-185.88030000000001</v>
      </c>
      <c r="K10488">
        <v>1.109721</v>
      </c>
      <c r="L10488">
        <v>106.3229</v>
      </c>
      <c r="M10488">
        <v>7.0529359999999999E-2</v>
      </c>
      <c r="N10488">
        <v>0</v>
      </c>
      <c r="O10488">
        <v>0.99739489999999997</v>
      </c>
      <c r="P10488">
        <v>0.2427743</v>
      </c>
      <c r="Q10488">
        <v>0.1023254</v>
      </c>
      <c r="R10488">
        <v>0.96467099999999995</v>
      </c>
      <c r="S10488">
        <v>0.78721619999999903</v>
      </c>
      <c r="T10488">
        <v>-0.40846199999999999</v>
      </c>
      <c r="U10488">
        <v>2.955765</v>
      </c>
      <c r="V10488">
        <v>0.174345899999999</v>
      </c>
      <c r="W10488">
        <v>0.116809</v>
      </c>
      <c r="X10488">
        <v>0.97773160000000003</v>
      </c>
      <c r="Y10488">
        <v>0.186275</v>
      </c>
      <c r="Z10488">
        <v>-0.13291629999999999</v>
      </c>
      <c r="AA10488">
        <v>0.97346540000000004</v>
      </c>
      <c r="AB10488">
        <v>40</v>
      </c>
      <c r="AC10488">
        <v>0.18700000000001099</v>
      </c>
      <c r="AD10488">
        <v>-0.108568999999999</v>
      </c>
      <c r="AE10488">
        <v>0.47389999999999999</v>
      </c>
      <c r="AF10488">
        <v>0.146455383081223</v>
      </c>
      <c r="AG10488">
        <v>-0.108568999999999</v>
      </c>
      <c r="AH10488">
        <v>0.46480155503728099</v>
      </c>
      <c r="AI10488">
        <v>102.55946237502199</v>
      </c>
      <c r="AJ10488">
        <v>72.510762667934401</v>
      </c>
      <c r="AK10488">
        <v>0.49927636891759902</v>
      </c>
      <c r="AL10488">
        <v>83.292023300989598</v>
      </c>
      <c r="AM10488">
        <v>79.889471256399403</v>
      </c>
      <c r="AN10488">
        <v>0.99999995848318401</v>
      </c>
    </row>
    <row r="10489" spans="1:40" x14ac:dyDescent="0.25">
      <c r="A10489" t="str">
        <f>"20190312150926029"</f>
        <v>20190312150926029</v>
      </c>
      <c r="B10489" t="str">
        <f>"1552374566019925"</f>
        <v>1552374566019925</v>
      </c>
      <c r="C10489" t="s">
        <v>40</v>
      </c>
      <c r="D10489">
        <v>5.0014699999999896</v>
      </c>
      <c r="E10489">
        <v>0.50590079999999904</v>
      </c>
      <c r="F10489" t="s">
        <v>41</v>
      </c>
      <c r="G10489">
        <v>-185.65690000000001</v>
      </c>
      <c r="H10489">
        <v>0.99378010000000006</v>
      </c>
      <c r="I10489">
        <v>107.1511</v>
      </c>
      <c r="J10489">
        <v>-185.8638</v>
      </c>
      <c r="K10489">
        <v>1.1096429999999999</v>
      </c>
      <c r="L10489">
        <v>106.54859999999999</v>
      </c>
      <c r="M10489">
        <v>7.1121599999999993E-2</v>
      </c>
      <c r="N10489">
        <v>0</v>
      </c>
      <c r="O10489">
        <v>0.99735280000000004</v>
      </c>
      <c r="P10489">
        <v>0.24373420000000001</v>
      </c>
      <c r="Q10489">
        <v>0.10210950000000001</v>
      </c>
      <c r="R10489">
        <v>0.96445179999999997</v>
      </c>
      <c r="S10489">
        <v>0.79598999999999998</v>
      </c>
      <c r="T10489">
        <v>-0.4134504</v>
      </c>
      <c r="U10489">
        <v>2.9533999999999998</v>
      </c>
      <c r="V10489">
        <v>0.1747609</v>
      </c>
      <c r="W10489">
        <v>0.11655459999999999</v>
      </c>
      <c r="X10489">
        <v>0.97768790000000005</v>
      </c>
      <c r="Y10489">
        <v>0.1885269</v>
      </c>
      <c r="Z10489">
        <v>-0.13452439999999999</v>
      </c>
      <c r="AA10489">
        <v>0.97281070000000003</v>
      </c>
      <c r="AB10489">
        <v>40</v>
      </c>
      <c r="AC10489">
        <v>0.20689999999999001</v>
      </c>
      <c r="AD10489">
        <v>-0.1158629</v>
      </c>
      <c r="AE10489">
        <v>0.60250000000000603</v>
      </c>
      <c r="AF10489">
        <v>0.158284263307508</v>
      </c>
      <c r="AG10489">
        <v>-0.1158629</v>
      </c>
      <c r="AH10489">
        <v>0.59597593457009201</v>
      </c>
      <c r="AI10489">
        <v>100.64150667383799</v>
      </c>
      <c r="AJ10489">
        <v>75.126279671263802</v>
      </c>
      <c r="AK10489">
        <v>0.62742763263495505</v>
      </c>
      <c r="AL10489">
        <v>83.306699797604495</v>
      </c>
      <c r="AM10489">
        <v>79.865459555503804</v>
      </c>
      <c r="AN10489">
        <v>0.99999998837819004</v>
      </c>
    </row>
    <row r="10490" spans="1:40" x14ac:dyDescent="0.25">
      <c r="A10490" t="str">
        <f>"20190312150926042"</f>
        <v>20190312150926042</v>
      </c>
      <c r="B10490" t="str">
        <f>"1552374566029685"</f>
        <v>1552374566029685</v>
      </c>
      <c r="C10490" t="s">
        <v>40</v>
      </c>
      <c r="D10490">
        <v>4.9741039999999996</v>
      </c>
      <c r="E10490">
        <v>0.50594399999999995</v>
      </c>
      <c r="F10490" t="s">
        <v>41</v>
      </c>
      <c r="G10490">
        <v>-185.6062</v>
      </c>
      <c r="H10490">
        <v>0.9766783</v>
      </c>
      <c r="I10490">
        <v>107.4999</v>
      </c>
      <c r="J10490">
        <v>-185.8468</v>
      </c>
      <c r="K10490">
        <v>1.109551</v>
      </c>
      <c r="L10490">
        <v>106.7807</v>
      </c>
      <c r="M10490">
        <v>7.1785870000000002E-2</v>
      </c>
      <c r="N10490">
        <v>0</v>
      </c>
      <c r="O10490">
        <v>0.9973052</v>
      </c>
      <c r="P10490">
        <v>0.24505569999999999</v>
      </c>
      <c r="Q10490">
        <v>0.1020143</v>
      </c>
      <c r="R10490">
        <v>0.96412690000000001</v>
      </c>
      <c r="S10490">
        <v>0.79946899999999999</v>
      </c>
      <c r="T10490">
        <v>-0.4126493</v>
      </c>
      <c r="U10490">
        <v>2.9522249999999999</v>
      </c>
      <c r="V10490">
        <v>0.17547599999999999</v>
      </c>
      <c r="W10490">
        <v>0.1164154</v>
      </c>
      <c r="X10490">
        <v>0.97757640000000001</v>
      </c>
      <c r="Y10490">
        <v>0.1890473</v>
      </c>
      <c r="Z10490">
        <v>-0.13428289999999901</v>
      </c>
      <c r="AA10490">
        <v>0.97274320000000003</v>
      </c>
      <c r="AB10490">
        <v>40</v>
      </c>
      <c r="AC10490">
        <v>0.24060000000000001</v>
      </c>
      <c r="AD10490">
        <v>-0.13287269999999901</v>
      </c>
      <c r="AE10490">
        <v>0.71919999999999995</v>
      </c>
      <c r="AF10490">
        <v>0.18273533039105699</v>
      </c>
      <c r="AG10490">
        <v>-0.13287269999999901</v>
      </c>
      <c r="AH10490">
        <v>0.71273859321292499</v>
      </c>
      <c r="AI10490">
        <v>100.236426661967</v>
      </c>
      <c r="AJ10490">
        <v>75.619974835078295</v>
      </c>
      <c r="AK10490">
        <v>0.74769222119369305</v>
      </c>
      <c r="AL10490">
        <v>83.314730080156394</v>
      </c>
      <c r="AM10490">
        <v>79.823718687076394</v>
      </c>
      <c r="AN10490">
        <v>0.99999999488505997</v>
      </c>
    </row>
    <row r="10491" spans="1:40" x14ac:dyDescent="0.25">
      <c r="A10491" t="str">
        <f>"20190312150926055"</f>
        <v>20190312150926055</v>
      </c>
      <c r="B10491" t="str">
        <f>"1552374566050181"</f>
        <v>1552374566050181</v>
      </c>
      <c r="C10491" t="s">
        <v>40</v>
      </c>
      <c r="D10491">
        <v>4.9669220000000003</v>
      </c>
      <c r="E10491">
        <v>0.50624829999999998</v>
      </c>
      <c r="F10491" t="s">
        <v>41</v>
      </c>
      <c r="G10491">
        <v>-185.6464</v>
      </c>
      <c r="H10491">
        <v>1.006569</v>
      </c>
      <c r="I10491">
        <v>107.5159</v>
      </c>
      <c r="J10491">
        <v>-185.83019999999999</v>
      </c>
      <c r="K10491">
        <v>1.109459</v>
      </c>
      <c r="L10491">
        <v>107.0027</v>
      </c>
      <c r="M10491">
        <v>7.2498649999999998E-2</v>
      </c>
      <c r="N10491">
        <v>0</v>
      </c>
      <c r="O10491">
        <v>0.99725370000000002</v>
      </c>
      <c r="P10491">
        <v>0.2465957</v>
      </c>
      <c r="Q10491">
        <v>0.10210180000000001</v>
      </c>
      <c r="R10491">
        <v>0.96372500000000005</v>
      </c>
      <c r="S10491">
        <v>0.80409240000000004</v>
      </c>
      <c r="T10491">
        <v>-0.41336050000000002</v>
      </c>
      <c r="U10491">
        <v>2.950974</v>
      </c>
      <c r="V10491">
        <v>0.17636769999999999</v>
      </c>
      <c r="W10491">
        <v>0.11645709999999999</v>
      </c>
      <c r="X10491">
        <v>0.97741100000000003</v>
      </c>
      <c r="Y10491">
        <v>0.18986059999999999</v>
      </c>
      <c r="Z10491">
        <v>-0.13451640000000001</v>
      </c>
      <c r="AA10491">
        <v>0.97255250000000004</v>
      </c>
      <c r="AB10491">
        <v>40</v>
      </c>
      <c r="AC10491">
        <v>0.18379999999999</v>
      </c>
      <c r="AD10491">
        <v>-0.102889999999999</v>
      </c>
      <c r="AE10491">
        <v>0.51319999999999699</v>
      </c>
      <c r="AF10491">
        <v>0.141079622622128</v>
      </c>
      <c r="AG10491">
        <v>-0.102889999999999</v>
      </c>
      <c r="AH10491">
        <v>0.50710994776737595</v>
      </c>
      <c r="AI10491">
        <v>101.060224683784</v>
      </c>
      <c r="AJ10491">
        <v>74.453261341202193</v>
      </c>
      <c r="AK10491">
        <v>0.53633041228689704</v>
      </c>
      <c r="AL10491">
        <v>83.312324802434503</v>
      </c>
      <c r="AM10491">
        <v>79.771401448454796</v>
      </c>
      <c r="AN10491">
        <v>1.0000000423323401</v>
      </c>
    </row>
    <row r="10492" spans="1:40" x14ac:dyDescent="0.25">
      <c r="A10492" t="str">
        <f>"20190312150926070"</f>
        <v>20190312150926070</v>
      </c>
      <c r="B10492" t="str">
        <f>"1552374566059941"</f>
        <v>1552374566059941</v>
      </c>
      <c r="C10492" t="s">
        <v>40</v>
      </c>
      <c r="D10492">
        <v>4.925789</v>
      </c>
      <c r="E10492">
        <v>0.50641499999999995</v>
      </c>
      <c r="F10492" t="s">
        <v>41</v>
      </c>
      <c r="G10492">
        <v>-185.5934</v>
      </c>
      <c r="H10492">
        <v>0.98825200000000002</v>
      </c>
      <c r="I10492">
        <v>107.8634</v>
      </c>
      <c r="J10492">
        <v>-185.809</v>
      </c>
      <c r="K10492">
        <v>1.1093379999999999</v>
      </c>
      <c r="L10492">
        <v>107.2829</v>
      </c>
      <c r="M10492">
        <v>7.3465719999999998E-2</v>
      </c>
      <c r="N10492">
        <v>0</v>
      </c>
      <c r="O10492">
        <v>0.99718289999999998</v>
      </c>
      <c r="P10492">
        <v>0.24865290000000001</v>
      </c>
      <c r="Q10492">
        <v>0.1020992</v>
      </c>
      <c r="R10492">
        <v>0.96319650000000001</v>
      </c>
      <c r="S10492">
        <v>0.81126399999999999</v>
      </c>
      <c r="T10492">
        <v>-0.41531439999999997</v>
      </c>
      <c r="U10492">
        <v>2.949341</v>
      </c>
      <c r="V10492">
        <v>0.17754300000000001</v>
      </c>
      <c r="W10492">
        <v>0.1163955</v>
      </c>
      <c r="X10492">
        <v>0.97720549999999995</v>
      </c>
      <c r="Y10492">
        <v>0.1912229</v>
      </c>
      <c r="Z10492">
        <v>-0.13513710000000001</v>
      </c>
      <c r="AA10492">
        <v>0.97219940000000005</v>
      </c>
      <c r="AB10492">
        <v>40</v>
      </c>
      <c r="AC10492">
        <v>0.215600000000023</v>
      </c>
      <c r="AD10492">
        <v>-0.121085999999999</v>
      </c>
      <c r="AE10492">
        <v>0.58050000000000002</v>
      </c>
      <c r="AF10492">
        <v>0.166017795608808</v>
      </c>
      <c r="AG10492">
        <v>-0.121085999999999</v>
      </c>
      <c r="AH10492">
        <v>0.57286825386892903</v>
      </c>
      <c r="AI10492">
        <v>101.47592527374999</v>
      </c>
      <c r="AJ10492">
        <v>73.838358639394002</v>
      </c>
      <c r="AK10492">
        <v>0.60860641152196504</v>
      </c>
      <c r="AL10492">
        <v>83.315878166921294</v>
      </c>
      <c r="AM10492">
        <v>79.702573268224199</v>
      </c>
      <c r="AN10492">
        <v>1.0000000092497401</v>
      </c>
    </row>
    <row r="10493" spans="1:40" x14ac:dyDescent="0.25">
      <c r="A10493" t="str">
        <f>"20190312150926081"</f>
        <v>20190312150926081</v>
      </c>
      <c r="B10493" t="str">
        <f>"1552374566069701"</f>
        <v>1552374566069701</v>
      </c>
      <c r="C10493" t="s">
        <v>40</v>
      </c>
      <c r="D10493">
        <v>4.9962650000000002</v>
      </c>
      <c r="E10493">
        <v>0.5065771</v>
      </c>
      <c r="F10493" t="s">
        <v>41</v>
      </c>
      <c r="G10493">
        <v>-185.55009999999999</v>
      </c>
      <c r="H10493">
        <v>0.97760179999999997</v>
      </c>
      <c r="I10493">
        <v>108.2148</v>
      </c>
      <c r="J10493">
        <v>-185.79310000000001</v>
      </c>
      <c r="K10493">
        <v>1.1092489999999999</v>
      </c>
      <c r="L10493">
        <v>107.49039999999999</v>
      </c>
      <c r="M10493">
        <v>7.4237600000000001E-2</v>
      </c>
      <c r="N10493">
        <v>0</v>
      </c>
      <c r="O10493">
        <v>0.9971257</v>
      </c>
      <c r="P10493">
        <v>0.24999250000000001</v>
      </c>
      <c r="Q10493">
        <v>0.1017875</v>
      </c>
      <c r="R10493">
        <v>0.96288269999999998</v>
      </c>
      <c r="S10493">
        <v>0.81889339999999999</v>
      </c>
      <c r="T10493">
        <v>-0.41664810000000002</v>
      </c>
      <c r="U10493">
        <v>2.9473880000000001</v>
      </c>
      <c r="V10493">
        <v>0.17816960000000001</v>
      </c>
      <c r="W10493">
        <v>0.1160398</v>
      </c>
      <c r="X10493">
        <v>0.97713380000000005</v>
      </c>
      <c r="Y10493">
        <v>0.19294990000000001</v>
      </c>
      <c r="Z10493">
        <v>-0.13556799999999999</v>
      </c>
      <c r="AA10493">
        <v>0.97179819999999995</v>
      </c>
      <c r="AB10493">
        <v>40</v>
      </c>
      <c r="AC10493">
        <v>0.243000000000023</v>
      </c>
      <c r="AD10493">
        <v>-0.13164719999999899</v>
      </c>
      <c r="AE10493">
        <v>0.72440000000000204</v>
      </c>
      <c r="AF10493">
        <v>0.18310958425611201</v>
      </c>
      <c r="AG10493">
        <v>-0.13164719999999899</v>
      </c>
      <c r="AH10493">
        <v>0.71909515576300997</v>
      </c>
      <c r="AI10493">
        <v>100.060278933695</v>
      </c>
      <c r="AJ10493">
        <v>75.713877280068004</v>
      </c>
      <c r="AK10493">
        <v>0.75362984823858503</v>
      </c>
      <c r="AL10493">
        <v>83.336397606438297</v>
      </c>
      <c r="AM10493">
        <v>79.666270397018906</v>
      </c>
      <c r="AN10493">
        <v>1.0000000523253101</v>
      </c>
    </row>
    <row r="10494" spans="1:40" x14ac:dyDescent="0.25">
      <c r="A10494" t="str">
        <f>"20190312150926094"</f>
        <v>20190312150926094</v>
      </c>
      <c r="B10494" t="str">
        <f>"1552374566090197"</f>
        <v>1552374566090197</v>
      </c>
      <c r="C10494" t="s">
        <v>40</v>
      </c>
      <c r="D10494">
        <v>4.9530880000000002</v>
      </c>
      <c r="E10494">
        <v>0.50692680000000001</v>
      </c>
      <c r="F10494" t="s">
        <v>41</v>
      </c>
      <c r="G10494">
        <v>-185.5864</v>
      </c>
      <c r="H10494">
        <v>1.0044850000000001</v>
      </c>
      <c r="I10494">
        <v>108.22929999999999</v>
      </c>
      <c r="J10494">
        <v>-185.77709999999999</v>
      </c>
      <c r="K10494">
        <v>1.1091530000000001</v>
      </c>
      <c r="L10494">
        <v>107.6962</v>
      </c>
      <c r="M10494">
        <v>7.5075299999999998E-2</v>
      </c>
      <c r="N10494">
        <v>0</v>
      </c>
      <c r="O10494">
        <v>0.99706300000000003</v>
      </c>
      <c r="P10494">
        <v>0.25113809999999998</v>
      </c>
      <c r="Q10494">
        <v>0.1019748</v>
      </c>
      <c r="R10494">
        <v>0.96256470000000005</v>
      </c>
      <c r="S10494">
        <v>0.82418819999999904</v>
      </c>
      <c r="T10494">
        <v>-0.41765479999999999</v>
      </c>
      <c r="U10494">
        <v>2.9458009999999999</v>
      </c>
      <c r="V10494">
        <v>0.17854020000000001</v>
      </c>
      <c r="W10494">
        <v>0.1161843</v>
      </c>
      <c r="X10494">
        <v>0.9770489</v>
      </c>
      <c r="Y10494">
        <v>0.19386929999999999</v>
      </c>
      <c r="Z10494">
        <v>-0.13590179999999999</v>
      </c>
      <c r="AA10494">
        <v>0.97156849999999995</v>
      </c>
      <c r="AB10494">
        <v>40</v>
      </c>
      <c r="AC10494">
        <v>0.19069999999999199</v>
      </c>
      <c r="AD10494">
        <v>-0.104667999999999</v>
      </c>
      <c r="AE10494">
        <v>0.53309999999999003</v>
      </c>
      <c r="AF10494">
        <v>0.145173096270093</v>
      </c>
      <c r="AG10494">
        <v>-0.104667999999999</v>
      </c>
      <c r="AH10494">
        <v>0.52787330826181</v>
      </c>
      <c r="AI10494">
        <v>100.823441192784</v>
      </c>
      <c r="AJ10494">
        <v>74.622947886220004</v>
      </c>
      <c r="AK10494">
        <v>0.55738752020467197</v>
      </c>
      <c r="AL10494">
        <v>83.328061459213501</v>
      </c>
      <c r="AM10494">
        <v>79.6443600317332</v>
      </c>
      <c r="AN10494">
        <v>0.999999973786869</v>
      </c>
    </row>
    <row r="10495" spans="1:40" x14ac:dyDescent="0.25">
      <c r="A10495" t="str">
        <f>"20190312150926106"</f>
        <v>20190312150926106</v>
      </c>
      <c r="B10495" t="str">
        <f>"1552374566099956"</f>
        <v>1552374566099956</v>
      </c>
      <c r="C10495" t="s">
        <v>40</v>
      </c>
      <c r="D10495">
        <v>4.9961219999999997</v>
      </c>
      <c r="E10495">
        <v>0.50709439999999995</v>
      </c>
      <c r="F10495" t="s">
        <v>41</v>
      </c>
      <c r="G10495">
        <v>-185.5291</v>
      </c>
      <c r="H10495">
        <v>0.9848384</v>
      </c>
      <c r="I10495">
        <v>108.5752</v>
      </c>
      <c r="J10495">
        <v>-185.75919999999999</v>
      </c>
      <c r="K10495">
        <v>1.1090519999999999</v>
      </c>
      <c r="L10495">
        <v>107.9235</v>
      </c>
      <c r="M10495">
        <v>7.6035430000000001E-2</v>
      </c>
      <c r="N10495">
        <v>0</v>
      </c>
      <c r="O10495">
        <v>0.9969903</v>
      </c>
      <c r="P10495">
        <v>0.25262479999999998</v>
      </c>
      <c r="Q10495">
        <v>0.10199950000000001</v>
      </c>
      <c r="R10495">
        <v>0.96217299999999994</v>
      </c>
      <c r="S10495">
        <v>0.8303528</v>
      </c>
      <c r="T10495">
        <v>-0.41639350000000003</v>
      </c>
      <c r="U10495">
        <v>2.9441380000000001</v>
      </c>
      <c r="V10495">
        <v>0.17913889999999999</v>
      </c>
      <c r="W10495">
        <v>0.1161606</v>
      </c>
      <c r="X10495">
        <v>0.97694210000000004</v>
      </c>
      <c r="Y10495">
        <v>0.19496749999999999</v>
      </c>
      <c r="Z10495">
        <v>-0.13550479999999901</v>
      </c>
      <c r="AA10495">
        <v>0.97140420000000005</v>
      </c>
      <c r="AB10495">
        <v>40</v>
      </c>
      <c r="AC10495">
        <v>0.230099999999993</v>
      </c>
      <c r="AD10495">
        <v>-0.12421359999999999</v>
      </c>
      <c r="AE10495">
        <v>0.65169999999999095</v>
      </c>
      <c r="AF10495">
        <v>0.174247349822376</v>
      </c>
      <c r="AG10495">
        <v>-0.12421359999999999</v>
      </c>
      <c r="AH10495">
        <v>0.64643017220102605</v>
      </c>
      <c r="AI10495">
        <v>100.51063766040799</v>
      </c>
      <c r="AJ10495">
        <v>74.914285554387206</v>
      </c>
      <c r="AK10495">
        <v>0.68092813488423998</v>
      </c>
      <c r="AL10495">
        <v>83.329428457585706</v>
      </c>
      <c r="AM10495">
        <v>79.609278349857206</v>
      </c>
      <c r="AN10495">
        <v>0.999999948618988</v>
      </c>
    </row>
    <row r="10496" spans="1:40" x14ac:dyDescent="0.25">
      <c r="A10496" t="str">
        <f>"20190312150926118"</f>
        <v>20190312150926118</v>
      </c>
      <c r="B10496" t="str">
        <f>"1552374566109718"</f>
        <v>1552374566109718</v>
      </c>
      <c r="C10496" t="s">
        <v>40</v>
      </c>
      <c r="D10496">
        <v>4.9962099999999996</v>
      </c>
      <c r="E10496">
        <v>0.50724999999999998</v>
      </c>
      <c r="F10496" t="s">
        <v>41</v>
      </c>
      <c r="G10496">
        <v>-185.4753</v>
      </c>
      <c r="H10496">
        <v>0.96801689999999996</v>
      </c>
      <c r="I10496">
        <v>108.92230000000001</v>
      </c>
      <c r="J10496">
        <v>-185.74199999999999</v>
      </c>
      <c r="K10496">
        <v>1.1089549999999999</v>
      </c>
      <c r="L10496">
        <v>108.13930000000001</v>
      </c>
      <c r="M10496">
        <v>7.7027079999999998E-2</v>
      </c>
      <c r="N10496">
        <v>0</v>
      </c>
      <c r="O10496">
        <v>0.99691419999999997</v>
      </c>
      <c r="P10496">
        <v>0.25387159999999998</v>
      </c>
      <c r="Q10496">
        <v>0.1021117</v>
      </c>
      <c r="R10496">
        <v>0.96183280000000004</v>
      </c>
      <c r="S10496">
        <v>0.83633419999999903</v>
      </c>
      <c r="T10496">
        <v>-0.41545130000000002</v>
      </c>
      <c r="U10496">
        <v>2.942383</v>
      </c>
      <c r="V10496">
        <v>0.17946309999999999</v>
      </c>
      <c r="W10496">
        <v>0.11622739999999999</v>
      </c>
      <c r="X10496">
        <v>0.97687469999999998</v>
      </c>
      <c r="Y10496">
        <v>0.1959825</v>
      </c>
      <c r="Z10496">
        <v>-0.1352148</v>
      </c>
      <c r="AA10496">
        <v>0.97124029999999995</v>
      </c>
      <c r="AB10496">
        <v>40</v>
      </c>
      <c r="AC10496">
        <v>0.26670000000001398</v>
      </c>
      <c r="AD10496">
        <v>-0.14093809999999901</v>
      </c>
      <c r="AE10496">
        <v>0.78300000000000103</v>
      </c>
      <c r="AF10496">
        <v>0.19978828600694301</v>
      </c>
      <c r="AG10496">
        <v>-0.14093809999999901</v>
      </c>
      <c r="AH10496">
        <v>0.77861466492464604</v>
      </c>
      <c r="AI10496">
        <v>99.944667368117805</v>
      </c>
      <c r="AJ10496">
        <v>75.608697562122202</v>
      </c>
      <c r="AK10496">
        <v>0.81610030247079401</v>
      </c>
      <c r="AL10496">
        <v>83.325575316642301</v>
      </c>
      <c r="AM10496">
        <v>79.590181752847997</v>
      </c>
      <c r="AN10496">
        <v>0.99999999613622903</v>
      </c>
    </row>
    <row r="10497" spans="1:40" x14ac:dyDescent="0.25">
      <c r="A10497" t="str">
        <f>"20190312150926129"</f>
        <v>20190312150926129</v>
      </c>
      <c r="B10497" t="str">
        <f>"1552374566119477"</f>
        <v>1552374566119477</v>
      </c>
      <c r="C10497" t="s">
        <v>40</v>
      </c>
      <c r="D10497">
        <v>4.9393630000000002</v>
      </c>
      <c r="E10497">
        <v>0.5073993</v>
      </c>
      <c r="F10497" t="s">
        <v>41</v>
      </c>
      <c r="G10497">
        <v>-185.51349999999999</v>
      </c>
      <c r="H10497">
        <v>0.9966739</v>
      </c>
      <c r="I10497">
        <v>108.93770000000001</v>
      </c>
      <c r="J10497">
        <v>-185.72620000000001</v>
      </c>
      <c r="K10497">
        <v>1.108867</v>
      </c>
      <c r="L10497">
        <v>108.3342</v>
      </c>
      <c r="M10497">
        <v>7.7961500000000003E-2</v>
      </c>
      <c r="N10497">
        <v>0</v>
      </c>
      <c r="O10497">
        <v>0.99684150000000005</v>
      </c>
      <c r="P10497">
        <v>0.25519969999999997</v>
      </c>
      <c r="Q10497">
        <v>0.10216160000000001</v>
      </c>
      <c r="R10497">
        <v>0.961476</v>
      </c>
      <c r="S10497">
        <v>0.84130859999999996</v>
      </c>
      <c r="T10497">
        <v>-0.4135626</v>
      </c>
      <c r="U10497">
        <v>2.940887</v>
      </c>
      <c r="V10497">
        <v>0.179923</v>
      </c>
      <c r="W10497">
        <v>0.116235</v>
      </c>
      <c r="X10497">
        <v>0.97678920000000002</v>
      </c>
      <c r="Y10497">
        <v>0.1967351</v>
      </c>
      <c r="Z10497">
        <v>-0.13462109999999999</v>
      </c>
      <c r="AA10497">
        <v>0.97117070000000005</v>
      </c>
      <c r="AB10497">
        <v>40</v>
      </c>
      <c r="AC10497">
        <v>0.21270000000001199</v>
      </c>
      <c r="AD10497">
        <v>-0.1121931</v>
      </c>
      <c r="AE10497">
        <v>0.60350000000001003</v>
      </c>
      <c r="AF10497">
        <v>0.16007630218364999</v>
      </c>
      <c r="AG10497">
        <v>-0.1121931</v>
      </c>
      <c r="AH10497">
        <v>0.59980795140708199</v>
      </c>
      <c r="AI10497">
        <v>100.244099136622</v>
      </c>
      <c r="AJ10497">
        <v>75.057211403025903</v>
      </c>
      <c r="AK10497">
        <v>0.63085758518033297</v>
      </c>
      <c r="AL10497">
        <v>83.325136931112496</v>
      </c>
      <c r="AM10497">
        <v>79.563197075494003</v>
      </c>
      <c r="AN10497">
        <v>1.0000000011953201</v>
      </c>
    </row>
    <row r="10498" spans="1:40" x14ac:dyDescent="0.25">
      <c r="A10498" t="str">
        <f>"20190312150926140"</f>
        <v>20190312150926140</v>
      </c>
      <c r="B10498" t="str">
        <f>"1552374566129237"</f>
        <v>1552374566129237</v>
      </c>
      <c r="C10498" t="s">
        <v>40</v>
      </c>
      <c r="D10498">
        <v>4.9557869999999999</v>
      </c>
      <c r="E10498">
        <v>0.50755079999999997</v>
      </c>
      <c r="F10498" t="s">
        <v>41</v>
      </c>
      <c r="G10498">
        <v>-185.453</v>
      </c>
      <c r="H10498">
        <v>0.97527680000000005</v>
      </c>
      <c r="I10498">
        <v>109.2818</v>
      </c>
      <c r="J10498">
        <v>-185.7088</v>
      </c>
      <c r="K10498">
        <v>1.108773</v>
      </c>
      <c r="L10498">
        <v>108.5448</v>
      </c>
      <c r="M10498">
        <v>7.9017610000000002E-2</v>
      </c>
      <c r="N10498">
        <v>0</v>
      </c>
      <c r="O10498">
        <v>0.99675840000000004</v>
      </c>
      <c r="P10498">
        <v>0.25695849999999998</v>
      </c>
      <c r="Q10498">
        <v>0.1018358</v>
      </c>
      <c r="R10498">
        <v>0.96104199999999995</v>
      </c>
      <c r="S10498">
        <v>0.84677119999999995</v>
      </c>
      <c r="T10498">
        <v>-0.41432140000000001</v>
      </c>
      <c r="U10498">
        <v>2.9394840000000002</v>
      </c>
      <c r="V10498">
        <v>0.18069950000000001</v>
      </c>
      <c r="W10498">
        <v>0.1158627</v>
      </c>
      <c r="X10498">
        <v>0.97669010000000001</v>
      </c>
      <c r="Y10498">
        <v>0.1974775</v>
      </c>
      <c r="Z10498">
        <v>-0.13486400000000001</v>
      </c>
      <c r="AA10498">
        <v>0.97098620000000002</v>
      </c>
      <c r="AB10498">
        <v>40</v>
      </c>
      <c r="AC10498">
        <v>0.25579999999999298</v>
      </c>
      <c r="AD10498">
        <v>-0.13349619999999901</v>
      </c>
      <c r="AE10498">
        <v>0.73700000000000898</v>
      </c>
      <c r="AF10498">
        <v>0.19115975941372099</v>
      </c>
      <c r="AG10498">
        <v>-0.13349619999999901</v>
      </c>
      <c r="AH10498">
        <v>0.73343349363222998</v>
      </c>
      <c r="AI10498">
        <v>99.989124163427704</v>
      </c>
      <c r="AJ10498">
        <v>75.391613383252206</v>
      </c>
      <c r="AK10498">
        <v>0.76960248090499905</v>
      </c>
      <c r="AL10498">
        <v>83.346613333417196</v>
      </c>
      <c r="AM10498">
        <v>79.518110752093506</v>
      </c>
      <c r="AN10498">
        <v>1.0000000129947699</v>
      </c>
    </row>
    <row r="10499" spans="1:40" x14ac:dyDescent="0.25">
      <c r="A10499" t="str">
        <f>"20190312150926153"</f>
        <v>20190312150926153</v>
      </c>
      <c r="B10499" t="str">
        <f>"1552374566149734"</f>
        <v>1552374566149734</v>
      </c>
      <c r="C10499" t="s">
        <v>40</v>
      </c>
      <c r="D10499">
        <v>4.998837</v>
      </c>
      <c r="E10499">
        <v>0.50781520000000002</v>
      </c>
      <c r="F10499" t="s">
        <v>41</v>
      </c>
      <c r="G10499">
        <v>-185.49039999999999</v>
      </c>
      <c r="H10499">
        <v>1.0022070000000001</v>
      </c>
      <c r="I10499">
        <v>109.29649999999999</v>
      </c>
      <c r="J10499">
        <v>-185.69200000000001</v>
      </c>
      <c r="K10499">
        <v>1.108681</v>
      </c>
      <c r="L10499">
        <v>108.7469</v>
      </c>
      <c r="M10499">
        <v>8.0089960000000002E-2</v>
      </c>
      <c r="N10499">
        <v>0</v>
      </c>
      <c r="O10499">
        <v>0.99667280000000003</v>
      </c>
      <c r="P10499">
        <v>0.2584245</v>
      </c>
      <c r="Q10499">
        <v>0.1018947</v>
      </c>
      <c r="R10499">
        <v>0.96064260000000001</v>
      </c>
      <c r="S10499">
        <v>0.85305789999999904</v>
      </c>
      <c r="T10499">
        <v>-0.41643619999999998</v>
      </c>
      <c r="U10499">
        <v>2.9376530000000001</v>
      </c>
      <c r="V10499">
        <v>0.18116570000000001</v>
      </c>
      <c r="W10499">
        <v>0.1158783</v>
      </c>
      <c r="X10499">
        <v>0.97660179999999996</v>
      </c>
      <c r="Y10499">
        <v>0.1984755</v>
      </c>
      <c r="Z10499">
        <v>-0.13554920000000001</v>
      </c>
      <c r="AA10499">
        <v>0.97068730000000003</v>
      </c>
      <c r="AB10499">
        <v>40</v>
      </c>
      <c r="AC10499">
        <v>0.20160000000001299</v>
      </c>
      <c r="AD10499">
        <v>-0.106473999999999</v>
      </c>
      <c r="AE10499">
        <v>0.54959999999999798</v>
      </c>
      <c r="AF10499">
        <v>0.151904703420013</v>
      </c>
      <c r="AG10499">
        <v>-0.106473999999999</v>
      </c>
      <c r="AH10499">
        <v>0.54592277093538399</v>
      </c>
      <c r="AI10499">
        <v>100.641604441499</v>
      </c>
      <c r="AJ10499">
        <v>74.450608998355307</v>
      </c>
      <c r="AK10499">
        <v>0.57657906953243598</v>
      </c>
      <c r="AL10499">
        <v>83.345712926733796</v>
      </c>
      <c r="AM10499">
        <v>79.490740423416995</v>
      </c>
      <c r="AN10499">
        <v>0.99999993351530703</v>
      </c>
    </row>
    <row r="10500" spans="1:40" x14ac:dyDescent="0.25">
      <c r="A10500" t="str">
        <f>"20190312150926167"</f>
        <v>20190312150926167</v>
      </c>
      <c r="B10500" t="str">
        <f>"1552374566159494"</f>
        <v>1552374566159494</v>
      </c>
      <c r="C10500" t="s">
        <v>40</v>
      </c>
      <c r="D10500">
        <v>4.9737369999999999</v>
      </c>
      <c r="E10500">
        <v>0.50802040000000004</v>
      </c>
      <c r="F10500" t="s">
        <v>41</v>
      </c>
      <c r="G10500">
        <v>-185.43020000000001</v>
      </c>
      <c r="H10500">
        <v>0.98226080000000004</v>
      </c>
      <c r="I10500">
        <v>109.6408</v>
      </c>
      <c r="J10500">
        <v>-185.67060000000001</v>
      </c>
      <c r="K10500">
        <v>1.1085700000000001</v>
      </c>
      <c r="L10500">
        <v>108.9986</v>
      </c>
      <c r="M10500">
        <v>8.1469459999999994E-2</v>
      </c>
      <c r="N10500">
        <v>0</v>
      </c>
      <c r="O10500">
        <v>0.99656100000000003</v>
      </c>
      <c r="P10500">
        <v>0.26048880000000002</v>
      </c>
      <c r="Q10500">
        <v>0.10145270000000001</v>
      </c>
      <c r="R10500">
        <v>0.96013170000000003</v>
      </c>
      <c r="S10500">
        <v>0.85972599999999999</v>
      </c>
      <c r="T10500">
        <v>-0.41515829999999998</v>
      </c>
      <c r="U10500">
        <v>2.9356689999999999</v>
      </c>
      <c r="V10500">
        <v>0.18193999999999999</v>
      </c>
      <c r="W10500">
        <v>0.115382399999999</v>
      </c>
      <c r="X10500">
        <v>0.97651670000000002</v>
      </c>
      <c r="Y10500">
        <v>0.1993423</v>
      </c>
      <c r="Z10500">
        <v>-0.13515099999999999</v>
      </c>
      <c r="AA10500">
        <v>0.97056529999999996</v>
      </c>
      <c r="AB10500">
        <v>40</v>
      </c>
      <c r="AC10500">
        <v>0.24039999999999301</v>
      </c>
      <c r="AD10500">
        <v>-0.12630919999999901</v>
      </c>
      <c r="AE10500">
        <v>0.64220000000000199</v>
      </c>
      <c r="AF10500">
        <v>0.18112941173660699</v>
      </c>
      <c r="AG10500">
        <v>-0.12630919999999901</v>
      </c>
      <c r="AH10500">
        <v>0.63800514428585098</v>
      </c>
      <c r="AI10500">
        <v>100.782790357614</v>
      </c>
      <c r="AJ10500">
        <v>74.150776321981596</v>
      </c>
      <c r="AK10500">
        <v>0.67513883160124799</v>
      </c>
      <c r="AL10500">
        <v>83.374318644154101</v>
      </c>
      <c r="AM10500">
        <v>79.445931886858304</v>
      </c>
      <c r="AN10500">
        <v>1.00000006360432</v>
      </c>
    </row>
    <row r="10501" spans="1:40" x14ac:dyDescent="0.25">
      <c r="A10501" t="str">
        <f>"20190312150926182"</f>
        <v>20190312150926182</v>
      </c>
      <c r="B10501" t="str">
        <f>"1552374566179989"</f>
        <v>1552374566179989</v>
      </c>
      <c r="C10501" t="s">
        <v>40</v>
      </c>
      <c r="D10501">
        <v>4.984883</v>
      </c>
      <c r="E10501">
        <v>0.50828459999999998</v>
      </c>
      <c r="F10501" t="s">
        <v>41</v>
      </c>
      <c r="G10501">
        <v>-185.3777</v>
      </c>
      <c r="H10501">
        <v>0.96852760000000004</v>
      </c>
      <c r="I10501">
        <v>109.9881</v>
      </c>
      <c r="J10501">
        <v>-185.64670000000001</v>
      </c>
      <c r="K10501">
        <v>1.1084540000000001</v>
      </c>
      <c r="L10501">
        <v>109.27589999999999</v>
      </c>
      <c r="M10501">
        <v>8.3076419999999998E-2</v>
      </c>
      <c r="N10501">
        <v>0</v>
      </c>
      <c r="O10501">
        <v>0.99642830000000004</v>
      </c>
      <c r="P10501">
        <v>0.26366119999999998</v>
      </c>
      <c r="Q10501">
        <v>0.10120659999999999</v>
      </c>
      <c r="R10501">
        <v>0.95929140000000002</v>
      </c>
      <c r="S10501">
        <v>0.86793519999999902</v>
      </c>
      <c r="T10501">
        <v>-0.4150469</v>
      </c>
      <c r="U10501">
        <v>2.932938</v>
      </c>
      <c r="V10501">
        <v>0.18362609999999999</v>
      </c>
      <c r="W10501">
        <v>0.1150698</v>
      </c>
      <c r="X10501">
        <v>0.97623789999999999</v>
      </c>
      <c r="Y10501">
        <v>0.20050660000000001</v>
      </c>
      <c r="Z10501">
        <v>-0.1351395</v>
      </c>
      <c r="AA10501">
        <v>0.97032700000000005</v>
      </c>
      <c r="AB10501">
        <v>40</v>
      </c>
      <c r="AC10501">
        <v>0.26900000000000501</v>
      </c>
      <c r="AD10501">
        <v>-0.13992640000000001</v>
      </c>
      <c r="AE10501">
        <v>0.71220000000000905</v>
      </c>
      <c r="AF10501">
        <v>0.202069883352088</v>
      </c>
      <c r="AG10501">
        <v>-0.13992640000000001</v>
      </c>
      <c r="AH10501">
        <v>0.70816475605302498</v>
      </c>
      <c r="AI10501">
        <v>100.75831600094899</v>
      </c>
      <c r="AJ10501">
        <v>74.074271567124001</v>
      </c>
      <c r="AK10501">
        <v>0.74960586770017101</v>
      </c>
      <c r="AL10501">
        <v>83.392349114869603</v>
      </c>
      <c r="AM10501">
        <v>79.347379258616897</v>
      </c>
      <c r="AN10501">
        <v>1.0000000204348201</v>
      </c>
    </row>
    <row r="10502" spans="1:40" x14ac:dyDescent="0.25">
      <c r="A10502" t="str">
        <f>"20190312150926196"</f>
        <v>20190312150926196</v>
      </c>
      <c r="B10502" t="str">
        <f>"1552374566189750"</f>
        <v>1552374566189750</v>
      </c>
      <c r="C10502" t="s">
        <v>40</v>
      </c>
      <c r="D10502">
        <v>5.0152830000000002</v>
      </c>
      <c r="E10502">
        <v>0.51873029999999998</v>
      </c>
      <c r="F10502" t="s">
        <v>41</v>
      </c>
      <c r="G10502">
        <v>-185.42670000000001</v>
      </c>
      <c r="H10502">
        <v>1.004767</v>
      </c>
      <c r="I10502">
        <v>110.00790000000001</v>
      </c>
      <c r="J10502">
        <v>-185.62459999999999</v>
      </c>
      <c r="K10502">
        <v>1.1083510000000001</v>
      </c>
      <c r="L10502">
        <v>109.5248</v>
      </c>
      <c r="M10502">
        <v>8.4589789999999998E-2</v>
      </c>
      <c r="N10502">
        <v>0</v>
      </c>
      <c r="O10502">
        <v>0.99630099999999999</v>
      </c>
      <c r="P10502">
        <v>0.26625650000000001</v>
      </c>
      <c r="Q10502">
        <v>0.1012588</v>
      </c>
      <c r="R10502">
        <v>0.9585688</v>
      </c>
      <c r="S10502">
        <v>0.87980650000000005</v>
      </c>
      <c r="T10502">
        <v>-0.41488120000000001</v>
      </c>
      <c r="U10502">
        <v>2.9292600000000002</v>
      </c>
      <c r="V10502">
        <v>0.18481690000000001</v>
      </c>
      <c r="W10502">
        <v>0.1150665</v>
      </c>
      <c r="X10502">
        <v>0.97601349999999998</v>
      </c>
      <c r="Y10502">
        <v>0.20296230000000001</v>
      </c>
      <c r="Z10502">
        <v>-0.13511039999999999</v>
      </c>
      <c r="AA10502">
        <v>0.96982029999999997</v>
      </c>
      <c r="AB10502">
        <v>40</v>
      </c>
      <c r="AC10502">
        <v>0.19789999999997501</v>
      </c>
      <c r="AD10502">
        <v>-0.103584</v>
      </c>
      <c r="AE10502">
        <v>0.48310000000000702</v>
      </c>
      <c r="AF10502">
        <v>0.15039965492086299</v>
      </c>
      <c r="AG10502">
        <v>-0.103584</v>
      </c>
      <c r="AH10502">
        <v>0.47924365946826197</v>
      </c>
      <c r="AI10502">
        <v>101.652399779582</v>
      </c>
      <c r="AJ10502">
        <v>72.576728439042597</v>
      </c>
      <c r="AK10502">
        <v>0.51285883671517796</v>
      </c>
      <c r="AL10502">
        <v>83.392539114318595</v>
      </c>
      <c r="AM10502">
        <v>79.277486320185801</v>
      </c>
      <c r="AN10502">
        <v>0.99999996906505395</v>
      </c>
    </row>
    <row r="10503" spans="1:40" x14ac:dyDescent="0.25">
      <c r="A10503" t="str">
        <f>"20190312150926210"</f>
        <v>20190312150926210</v>
      </c>
      <c r="B10503" t="str">
        <f>"1552374566199511"</f>
        <v>1552374566199511</v>
      </c>
      <c r="C10503" t="s">
        <v>40</v>
      </c>
      <c r="D10503">
        <v>5.0211959999999998</v>
      </c>
      <c r="E10503">
        <v>0.51917100000000005</v>
      </c>
      <c r="F10503" t="s">
        <v>41</v>
      </c>
      <c r="G10503">
        <v>-185.34790000000001</v>
      </c>
      <c r="H10503">
        <v>0.98841060000000003</v>
      </c>
      <c r="I10503">
        <v>110.35509999999999</v>
      </c>
      <c r="J10503">
        <v>-185.60230000000001</v>
      </c>
      <c r="K10503">
        <v>1.108252</v>
      </c>
      <c r="L10503">
        <v>109.7727</v>
      </c>
      <c r="M10503">
        <v>8.6143289999999997E-2</v>
      </c>
      <c r="N10503">
        <v>0</v>
      </c>
      <c r="O10503">
        <v>0.9961679</v>
      </c>
      <c r="P10503">
        <v>0.26868809999999999</v>
      </c>
      <c r="Q10503">
        <v>0.1013148</v>
      </c>
      <c r="R10503">
        <v>0.95788410000000002</v>
      </c>
      <c r="S10503">
        <v>0.96830749999999999</v>
      </c>
      <c r="T10503">
        <v>-0.41964119999999999</v>
      </c>
      <c r="U10503">
        <v>2.9050289999999999</v>
      </c>
      <c r="V10503">
        <v>0.1858022</v>
      </c>
      <c r="W10503">
        <v>0.1150684</v>
      </c>
      <c r="X10503">
        <v>0.97582619999999998</v>
      </c>
      <c r="Y10503">
        <v>0.23034299999999999</v>
      </c>
      <c r="Z10503">
        <v>-0.1366443</v>
      </c>
      <c r="AA10503">
        <v>0.96346799999999999</v>
      </c>
      <c r="AB10503">
        <v>40</v>
      </c>
      <c r="AC10503">
        <v>0.25440000000000401</v>
      </c>
      <c r="AD10503">
        <v>-0.1198414</v>
      </c>
      <c r="AE10503">
        <v>0.58239999999999204</v>
      </c>
      <c r="AF10503">
        <v>0.19629865185095699</v>
      </c>
      <c r="AG10503">
        <v>-0.1198414</v>
      </c>
      <c r="AH10503">
        <v>0.58147615801718999</v>
      </c>
      <c r="AI10503">
        <v>101.04920316965099</v>
      </c>
      <c r="AJ10503">
        <v>71.345998737065301</v>
      </c>
      <c r="AK10503">
        <v>0.62530763965818903</v>
      </c>
      <c r="AL10503">
        <v>83.392429619576802</v>
      </c>
      <c r="AM10503">
        <v>79.219637589180707</v>
      </c>
      <c r="AN10503">
        <v>0.99999998340491902</v>
      </c>
    </row>
    <row r="10504" spans="1:40" x14ac:dyDescent="0.25">
      <c r="A10504" t="str">
        <f>"20190312150926227"</f>
        <v>20190312150926227</v>
      </c>
      <c r="B10504" t="str">
        <f>"1552374566220010"</f>
        <v>1552374566220010</v>
      </c>
      <c r="C10504" t="s">
        <v>40</v>
      </c>
      <c r="D10504">
        <v>4.9662989999999896</v>
      </c>
      <c r="E10504">
        <v>0.51824749999999997</v>
      </c>
      <c r="F10504" t="s">
        <v>42</v>
      </c>
      <c r="G10504">
        <v>-183.10310000000001</v>
      </c>
      <c r="H10504" s="1">
        <v>-4.4600090000000001E-6</v>
      </c>
      <c r="I10504">
        <v>117.17740000000001</v>
      </c>
      <c r="J10504">
        <v>-185.57480000000001</v>
      </c>
      <c r="K10504">
        <v>1.1081369999999999</v>
      </c>
      <c r="L10504">
        <v>110.0716</v>
      </c>
      <c r="M10504">
        <v>8.8087280000000004E-2</v>
      </c>
      <c r="N10504">
        <v>0</v>
      </c>
      <c r="O10504">
        <v>0.99599780000000004</v>
      </c>
      <c r="P10504">
        <v>0.2728159</v>
      </c>
      <c r="Q10504">
        <v>0.1013175</v>
      </c>
      <c r="R10504">
        <v>0.95671640000000002</v>
      </c>
      <c r="S10504">
        <v>0.97978209999999999</v>
      </c>
      <c r="T10504">
        <v>-0.43449090000000001</v>
      </c>
      <c r="U10504">
        <v>2.9030300000000002</v>
      </c>
      <c r="V10504">
        <v>0.1881417</v>
      </c>
      <c r="W10504">
        <v>0.1149978</v>
      </c>
      <c r="X10504">
        <v>0.97538619999999998</v>
      </c>
      <c r="Y10504">
        <v>0.23185649999999999</v>
      </c>
      <c r="Z10504">
        <v>-0.1413256</v>
      </c>
      <c r="AA10504">
        <v>0.96242899999999998</v>
      </c>
      <c r="AB10504">
        <v>40</v>
      </c>
      <c r="AC10504">
        <v>2.47169999999999</v>
      </c>
      <c r="AD10504">
        <v>-1.108141460009</v>
      </c>
      <c r="AE10504">
        <v>7.1058000000000003</v>
      </c>
      <c r="AF10504">
        <v>1.7970992379988999</v>
      </c>
      <c r="AG10504">
        <v>-1.108141460009</v>
      </c>
      <c r="AH10504">
        <v>7.14099756429124</v>
      </c>
      <c r="AI10504">
        <v>98.558107035855201</v>
      </c>
      <c r="AJ10504">
        <v>75.874307085241298</v>
      </c>
      <c r="AK10504">
        <v>7.4465689669686501</v>
      </c>
      <c r="AL10504">
        <v>83.396501951400793</v>
      </c>
      <c r="AM10504">
        <v>79.082333328969298</v>
      </c>
      <c r="AN10504">
        <v>1.0000000162170799</v>
      </c>
    </row>
    <row r="10505" spans="1:40" x14ac:dyDescent="0.25">
      <c r="A10505" t="str">
        <f>"20190312150926239"</f>
        <v>20190312150926239</v>
      </c>
      <c r="B10505" t="str">
        <f>"1552374566229765"</f>
        <v>1552374566229765</v>
      </c>
      <c r="C10505" t="s">
        <v>40</v>
      </c>
      <c r="D10505">
        <v>4.9901479999999996</v>
      </c>
      <c r="E10505">
        <v>0.51836159999999998</v>
      </c>
      <c r="F10505" t="s">
        <v>42</v>
      </c>
      <c r="G10505">
        <v>-183.1165</v>
      </c>
      <c r="H10505" s="1">
        <v>-4.5138519999999996E-6</v>
      </c>
      <c r="I10505">
        <v>117.30840000000001</v>
      </c>
      <c r="J10505">
        <v>-185.55459999999999</v>
      </c>
      <c r="K10505">
        <v>1.1080559999999999</v>
      </c>
      <c r="L10505">
        <v>110.2873</v>
      </c>
      <c r="M10505">
        <v>8.9543979999999995E-2</v>
      </c>
      <c r="N10505">
        <v>0</v>
      </c>
      <c r="O10505">
        <v>0.99586799999999998</v>
      </c>
      <c r="P10505">
        <v>0.2750862</v>
      </c>
      <c r="Q10505">
        <v>0.10111009999999999</v>
      </c>
      <c r="R10505">
        <v>0.9560881</v>
      </c>
      <c r="S10505">
        <v>0.98570250000000004</v>
      </c>
      <c r="T10505">
        <v>-0.44432149999999998</v>
      </c>
      <c r="U10505">
        <v>2.9017029999999999</v>
      </c>
      <c r="V10505">
        <v>0.18905140000000001</v>
      </c>
      <c r="W10505">
        <v>0.11474529999999999</v>
      </c>
      <c r="X10505">
        <v>0.97524</v>
      </c>
      <c r="Y10505">
        <v>0.23218510000000001</v>
      </c>
      <c r="Z10505">
        <v>-0.1444375</v>
      </c>
      <c r="AA10505">
        <v>0.96188770000000001</v>
      </c>
      <c r="AB10505">
        <v>40</v>
      </c>
      <c r="AC10505">
        <v>2.4380999999999902</v>
      </c>
      <c r="AD10505">
        <v>-1.1080605138520001</v>
      </c>
      <c r="AE10505">
        <v>7.0210999999999997</v>
      </c>
      <c r="AF10505">
        <v>1.7604066609965601</v>
      </c>
      <c r="AG10505">
        <v>-1.1080605138520001</v>
      </c>
      <c r="AH10505">
        <v>7.0544353107488504</v>
      </c>
      <c r="AI10505">
        <v>98.665165365805294</v>
      </c>
      <c r="AJ10505">
        <v>75.988237113875201</v>
      </c>
      <c r="AK10505">
        <v>7.3547187076039302</v>
      </c>
      <c r="AL10505">
        <v>83.411065345713297</v>
      </c>
      <c r="AM10505">
        <v>79.029217384017301</v>
      </c>
      <c r="AN10505">
        <v>0.99999998665702405</v>
      </c>
    </row>
    <row r="10506" spans="1:40" x14ac:dyDescent="0.25">
      <c r="A10506" t="str">
        <f>"20190312150926251"</f>
        <v>20190312150926251</v>
      </c>
      <c r="B10506" t="str">
        <f>"1552374566239525"</f>
        <v>1552374566239525</v>
      </c>
      <c r="C10506" t="s">
        <v>40</v>
      </c>
      <c r="D10506">
        <v>4.9765030000000001</v>
      </c>
      <c r="E10506">
        <v>0.51804019999999995</v>
      </c>
      <c r="F10506" t="s">
        <v>41</v>
      </c>
      <c r="G10506">
        <v>-185.28970000000001</v>
      </c>
      <c r="H10506">
        <v>0.98840709999999998</v>
      </c>
      <c r="I10506">
        <v>111.06</v>
      </c>
      <c r="J10506">
        <v>-185.535</v>
      </c>
      <c r="K10506">
        <v>1.1079810000000001</v>
      </c>
      <c r="L10506">
        <v>110.49209999999999</v>
      </c>
      <c r="M10506">
        <v>9.0959410000000004E-2</v>
      </c>
      <c r="N10506">
        <v>0</v>
      </c>
      <c r="O10506">
        <v>0.99573970000000001</v>
      </c>
      <c r="P10506">
        <v>0.2772696</v>
      </c>
      <c r="Q10506">
        <v>0.1010215</v>
      </c>
      <c r="R10506">
        <v>0.9554665</v>
      </c>
      <c r="S10506">
        <v>0.99369810000000003</v>
      </c>
      <c r="T10506">
        <v>-0.4489628</v>
      </c>
      <c r="U10506">
        <v>2.8993679999999999</v>
      </c>
      <c r="V10506">
        <v>0.1899141</v>
      </c>
      <c r="W10506">
        <v>0.1146141</v>
      </c>
      <c r="X10506">
        <v>0.97508779999999995</v>
      </c>
      <c r="Y10506">
        <v>0.23334489999999999</v>
      </c>
      <c r="Z10506">
        <v>-0.1459115</v>
      </c>
      <c r="AA10506">
        <v>0.96138440000000003</v>
      </c>
      <c r="AB10506">
        <v>40</v>
      </c>
      <c r="AC10506">
        <v>0.245299999999986</v>
      </c>
      <c r="AD10506">
        <v>-0.119573899999999</v>
      </c>
      <c r="AE10506">
        <v>0.56790000000000795</v>
      </c>
      <c r="AF10506">
        <v>0.18568356562097099</v>
      </c>
      <c r="AG10506">
        <v>-0.119573899999999</v>
      </c>
      <c r="AH10506">
        <v>0.56668741094041997</v>
      </c>
      <c r="AI10506">
        <v>101.33832010270299</v>
      </c>
      <c r="AJ10506">
        <v>71.857846865194304</v>
      </c>
      <c r="AK10506">
        <v>0.608203030098736</v>
      </c>
      <c r="AL10506">
        <v>83.418632481679097</v>
      </c>
      <c r="AM10506">
        <v>78.978699176779898</v>
      </c>
      <c r="AN10506">
        <v>0.99999998750322905</v>
      </c>
    </row>
    <row r="10507" spans="1:40" x14ac:dyDescent="0.25">
      <c r="A10507" t="str">
        <f>"20190312150926262"</f>
        <v>20190312150926262</v>
      </c>
      <c r="B10507" t="str">
        <f>"1552374566260021"</f>
        <v>1552374566260021</v>
      </c>
      <c r="C10507" t="s">
        <v>40</v>
      </c>
      <c r="D10507">
        <v>4.9867540000000004</v>
      </c>
      <c r="E10507">
        <v>0.51796779999999998</v>
      </c>
      <c r="F10507" t="s">
        <v>42</v>
      </c>
      <c r="G10507">
        <v>-183.06549999999999</v>
      </c>
      <c r="H10507" s="1">
        <v>-4.6742470000000003E-6</v>
      </c>
      <c r="I10507">
        <v>117.66119999999999</v>
      </c>
      <c r="J10507">
        <v>-185.5147</v>
      </c>
      <c r="K10507">
        <v>1.1079060000000001</v>
      </c>
      <c r="L10507">
        <v>110.7029</v>
      </c>
      <c r="M10507">
        <v>9.2440369999999994E-2</v>
      </c>
      <c r="N10507">
        <v>0</v>
      </c>
      <c r="O10507">
        <v>0.99560329999999997</v>
      </c>
      <c r="P10507">
        <v>0.27957169999999998</v>
      </c>
      <c r="Q10507">
        <v>0.10086680000000001</v>
      </c>
      <c r="R10507">
        <v>0.95481179999999999</v>
      </c>
      <c r="S10507">
        <v>0.99812319999999999</v>
      </c>
      <c r="T10507">
        <v>-0.4478105</v>
      </c>
      <c r="U10507">
        <v>2.8975219999999999</v>
      </c>
      <c r="V10507">
        <v>0.19083410000000001</v>
      </c>
      <c r="W10507">
        <v>0.11441560000000001</v>
      </c>
      <c r="X10507">
        <v>0.97493149999999995</v>
      </c>
      <c r="Y10507">
        <v>0.23341719999999999</v>
      </c>
      <c r="Z10507">
        <v>-0.14556559999999999</v>
      </c>
      <c r="AA10507">
        <v>0.96141929999999998</v>
      </c>
      <c r="AB10507">
        <v>40</v>
      </c>
      <c r="AC10507">
        <v>2.44920000000001</v>
      </c>
      <c r="AD10507">
        <v>-1.107910674247</v>
      </c>
      <c r="AE10507">
        <v>6.9582999999999897</v>
      </c>
      <c r="AF10507">
        <v>1.7558037961091999</v>
      </c>
      <c r="AG10507">
        <v>-1.107910674247</v>
      </c>
      <c r="AH10507">
        <v>6.99709755367856</v>
      </c>
      <c r="AI10507">
        <v>98.731109802260804</v>
      </c>
      <c r="AJ10507">
        <v>75.913446558026294</v>
      </c>
      <c r="AK10507">
        <v>7.2986085802868299</v>
      </c>
      <c r="AL10507">
        <v>83.430081132941595</v>
      </c>
      <c r="AM10507">
        <v>78.924893898625797</v>
      </c>
      <c r="AN10507">
        <v>1.0000000064692101</v>
      </c>
    </row>
    <row r="10508" spans="1:40" x14ac:dyDescent="0.25">
      <c r="A10508" t="str">
        <f>"20190312150926274"</f>
        <v>20190312150926274</v>
      </c>
      <c r="B10508" t="str">
        <f>"1552374566269781"</f>
        <v>1552374566269781</v>
      </c>
      <c r="C10508" t="s">
        <v>40</v>
      </c>
      <c r="D10508">
        <v>4.9572609999999999</v>
      </c>
      <c r="E10508">
        <v>0.51804519999999998</v>
      </c>
      <c r="F10508" t="s">
        <v>41</v>
      </c>
      <c r="G10508">
        <v>-185.2662</v>
      </c>
      <c r="H10508">
        <v>0.99901150000000005</v>
      </c>
      <c r="I10508">
        <v>111.4186</v>
      </c>
      <c r="J10508">
        <v>-185.49440000000001</v>
      </c>
      <c r="K10508">
        <v>1.107834</v>
      </c>
      <c r="L10508">
        <v>110.90779999999999</v>
      </c>
      <c r="M10508">
        <v>9.3934649999999995E-2</v>
      </c>
      <c r="N10508">
        <v>0</v>
      </c>
      <c r="O10508">
        <v>0.9954634</v>
      </c>
      <c r="P10508">
        <v>0.28191060000000001</v>
      </c>
      <c r="Q10508">
        <v>0.10066609999999999</v>
      </c>
      <c r="R10508">
        <v>0.95414509999999997</v>
      </c>
      <c r="S10508">
        <v>1.0043329999999999</v>
      </c>
      <c r="T10508">
        <v>-0.44031239999999999</v>
      </c>
      <c r="U10508">
        <v>2.894409</v>
      </c>
      <c r="V10508">
        <v>0.19177830000000001</v>
      </c>
      <c r="W10508">
        <v>0.1141722</v>
      </c>
      <c r="X10508">
        <v>0.97477469999999999</v>
      </c>
      <c r="Y10508">
        <v>0.2342312</v>
      </c>
      <c r="Z10508">
        <v>-0.14323060000000001</v>
      </c>
      <c r="AA10508">
        <v>0.96157210000000004</v>
      </c>
      <c r="AB10508">
        <v>40</v>
      </c>
      <c r="AC10508">
        <v>0.228200000000015</v>
      </c>
      <c r="AD10508">
        <v>-0.1088225</v>
      </c>
      <c r="AE10508">
        <v>0.51080000000000303</v>
      </c>
      <c r="AF10508">
        <v>0.17267029966675801</v>
      </c>
      <c r="AG10508">
        <v>-0.1088225</v>
      </c>
      <c r="AH10508">
        <v>0.51065803387633601</v>
      </c>
      <c r="AI10508">
        <v>101.41314988277701</v>
      </c>
      <c r="AJ10508">
        <v>71.317911347882401</v>
      </c>
      <c r="AK10508">
        <v>0.54993544753516599</v>
      </c>
      <c r="AL10508">
        <v>83.444118620564595</v>
      </c>
      <c r="AM10508">
        <v>78.869716143542703</v>
      </c>
      <c r="AN10508">
        <v>0.99999996168190897</v>
      </c>
    </row>
    <row r="10509" spans="1:40" x14ac:dyDescent="0.25">
      <c r="A10509" t="str">
        <f>"20190312150926287"</f>
        <v>20190312150926287</v>
      </c>
      <c r="B10509" t="str">
        <f>"1552374566279541"</f>
        <v>1552374566279541</v>
      </c>
      <c r="C10509" t="s">
        <v>40</v>
      </c>
      <c r="D10509">
        <v>5.0197940000000001</v>
      </c>
      <c r="E10509">
        <v>0.51840010000000003</v>
      </c>
      <c r="F10509" t="s">
        <v>41</v>
      </c>
      <c r="G10509">
        <v>-185.19489999999999</v>
      </c>
      <c r="H10509">
        <v>0.97705399999999998</v>
      </c>
      <c r="I10509">
        <v>111.76309999999999</v>
      </c>
      <c r="J10509">
        <v>-185.47219999999999</v>
      </c>
      <c r="K10509">
        <v>1.1077520000000001</v>
      </c>
      <c r="L10509">
        <v>111.1297</v>
      </c>
      <c r="M10509">
        <v>9.5575969999999996E-2</v>
      </c>
      <c r="N10509">
        <v>0</v>
      </c>
      <c r="O10509">
        <v>0.9953071</v>
      </c>
      <c r="P10509">
        <v>0.28397719999999999</v>
      </c>
      <c r="Q10509">
        <v>0.10090399999999999</v>
      </c>
      <c r="R10509">
        <v>0.95350690000000005</v>
      </c>
      <c r="S10509">
        <v>1.0125120000000001</v>
      </c>
      <c r="T10509">
        <v>-0.44215019999999999</v>
      </c>
      <c r="U10509">
        <v>2.8916780000000002</v>
      </c>
      <c r="V10509">
        <v>0.19231019999999999</v>
      </c>
      <c r="W10509">
        <v>0.11436730000000001</v>
      </c>
      <c r="X10509">
        <v>0.97464709999999999</v>
      </c>
      <c r="Y10509">
        <v>0.2353066</v>
      </c>
      <c r="Z10509">
        <v>-0.143824799999999</v>
      </c>
      <c r="AA10509">
        <v>0.96122070000000004</v>
      </c>
      <c r="AB10509">
        <v>40</v>
      </c>
      <c r="AC10509">
        <v>0.27729999999999599</v>
      </c>
      <c r="AD10509">
        <v>-0.13069799999999901</v>
      </c>
      <c r="AE10509">
        <v>0.63339999999999397</v>
      </c>
      <c r="AF10509">
        <v>0.20805191539128001</v>
      </c>
      <c r="AG10509">
        <v>-0.13069799999999901</v>
      </c>
      <c r="AH10509">
        <v>0.63434124627730104</v>
      </c>
      <c r="AI10509">
        <v>101.077051448405</v>
      </c>
      <c r="AJ10509">
        <v>71.841489228312696</v>
      </c>
      <c r="AK10509">
        <v>0.68026199616810801</v>
      </c>
      <c r="AL10509">
        <v>83.432866966294995</v>
      </c>
      <c r="AM10509">
        <v>78.8381956114345</v>
      </c>
      <c r="AN10509">
        <v>1.0000000309358601</v>
      </c>
    </row>
    <row r="10510" spans="1:40" x14ac:dyDescent="0.25">
      <c r="A10510" t="str">
        <f>"20190312150926298"</f>
        <v>20190312150926298</v>
      </c>
      <c r="B10510" t="str">
        <f>"1552374566290277"</f>
        <v>1552374566290277</v>
      </c>
      <c r="C10510" t="s">
        <v>40</v>
      </c>
      <c r="D10510">
        <v>4.9651180000000004</v>
      </c>
      <c r="E10510">
        <v>0.51847659999999995</v>
      </c>
      <c r="F10510" t="s">
        <v>42</v>
      </c>
      <c r="G10510">
        <v>-182.923</v>
      </c>
      <c r="H10510" s="1">
        <v>-4.9890089999999996E-6</v>
      </c>
      <c r="I10510">
        <v>118.336</v>
      </c>
      <c r="J10510">
        <v>-185.45050000000001</v>
      </c>
      <c r="K10510">
        <v>1.107674</v>
      </c>
      <c r="L10510">
        <v>111.3412</v>
      </c>
      <c r="M10510">
        <v>9.7192890000000004E-2</v>
      </c>
      <c r="N10510">
        <v>0</v>
      </c>
      <c r="O10510">
        <v>0.9951506</v>
      </c>
      <c r="P10510">
        <v>0.28644950000000002</v>
      </c>
      <c r="Q10510">
        <v>0.10106229999999999</v>
      </c>
      <c r="R10510">
        <v>0.95275030000000005</v>
      </c>
      <c r="S10510">
        <v>1.021927</v>
      </c>
      <c r="T10510">
        <v>-0.44408520000000001</v>
      </c>
      <c r="U10510">
        <v>2.8889309999999999</v>
      </c>
      <c r="V10510">
        <v>0.1932808</v>
      </c>
      <c r="W10510">
        <v>0.1144791</v>
      </c>
      <c r="X10510">
        <v>0.97444189999999997</v>
      </c>
      <c r="Y10510">
        <v>0.23677100000000001</v>
      </c>
      <c r="Z10510">
        <v>-0.14443310000000001</v>
      </c>
      <c r="AA10510">
        <v>0.96076980000000001</v>
      </c>
      <c r="AB10510">
        <v>40</v>
      </c>
      <c r="AC10510">
        <v>2.5274999999999999</v>
      </c>
      <c r="AD10510">
        <v>-1.107678989009</v>
      </c>
      <c r="AE10510">
        <v>6.9947999999999899</v>
      </c>
      <c r="AF10510">
        <v>1.7957762306721801</v>
      </c>
      <c r="AG10510">
        <v>-1.107678989009</v>
      </c>
      <c r="AH10510">
        <v>7.0509617241381504</v>
      </c>
      <c r="AI10510">
        <v>98.6560382394632</v>
      </c>
      <c r="AJ10510">
        <v>75.711380074886407</v>
      </c>
      <c r="AK10510">
        <v>7.3598794995978301</v>
      </c>
      <c r="AL10510">
        <v>83.426418573985103</v>
      </c>
      <c r="AM10510">
        <v>78.780984166293194</v>
      </c>
      <c r="AN10510">
        <v>0.999999974230529</v>
      </c>
    </row>
    <row r="10511" spans="1:40" x14ac:dyDescent="0.25">
      <c r="A10511" t="str">
        <f>"20190312150926310"</f>
        <v>20190312150926310</v>
      </c>
      <c r="B10511" t="str">
        <f>"1552374566299531"</f>
        <v>1552374566299531</v>
      </c>
      <c r="C10511" t="s">
        <v>40</v>
      </c>
      <c r="D10511">
        <v>5.0077610000000004</v>
      </c>
      <c r="E10511">
        <v>0.51849339999999999</v>
      </c>
      <c r="F10511" t="s">
        <v>41</v>
      </c>
      <c r="G10511">
        <v>-185.1729</v>
      </c>
      <c r="H10511">
        <v>0.98904060000000005</v>
      </c>
      <c r="I10511">
        <v>112.119</v>
      </c>
      <c r="J10511">
        <v>-185.43010000000001</v>
      </c>
      <c r="K10511">
        <v>1.1076029999999999</v>
      </c>
      <c r="L10511">
        <v>111.5385</v>
      </c>
      <c r="M10511">
        <v>9.8732630000000002E-2</v>
      </c>
      <c r="N10511">
        <v>0</v>
      </c>
      <c r="O10511">
        <v>0.99499899999999997</v>
      </c>
      <c r="P10511">
        <v>0.28877589999999997</v>
      </c>
      <c r="Q10511">
        <v>0.10121330000000001</v>
      </c>
      <c r="R10511">
        <v>0.95203170000000004</v>
      </c>
      <c r="S10511">
        <v>1.0298769999999999</v>
      </c>
      <c r="T10511">
        <v>-0.44014389999999998</v>
      </c>
      <c r="U10511">
        <v>2.885818</v>
      </c>
      <c r="V10511">
        <v>0.1941775</v>
      </c>
      <c r="W10511">
        <v>0.1145871</v>
      </c>
      <c r="X10511">
        <v>0.97425090000000003</v>
      </c>
      <c r="Y10511">
        <v>0.2380043</v>
      </c>
      <c r="Z10511">
        <v>-0.14320359999999999</v>
      </c>
      <c r="AA10511">
        <v>0.96064910000000003</v>
      </c>
      <c r="AB10511">
        <v>40</v>
      </c>
      <c r="AC10511">
        <v>0.25720000000001098</v>
      </c>
      <c r="AD10511">
        <v>-0.1185624</v>
      </c>
      <c r="AE10511">
        <v>0.58050000000000002</v>
      </c>
      <c r="AF10511">
        <v>0.19192967522542301</v>
      </c>
      <c r="AG10511">
        <v>-0.1185624</v>
      </c>
      <c r="AH10511">
        <v>0.58274006769236197</v>
      </c>
      <c r="AI10511">
        <v>100.93732248339499</v>
      </c>
      <c r="AJ10511">
        <v>71.770325868051202</v>
      </c>
      <c r="AK10511">
        <v>0.62488401277356698</v>
      </c>
      <c r="AL10511">
        <v>83.420189549441403</v>
      </c>
      <c r="AM10511">
        <v>78.728111388081501</v>
      </c>
      <c r="AN10511">
        <v>0.99999996057173401</v>
      </c>
    </row>
    <row r="10512" spans="1:40" x14ac:dyDescent="0.25">
      <c r="A10512" t="str">
        <f>"20190312150926321"</f>
        <v>20190312150926321</v>
      </c>
      <c r="B10512" t="str">
        <f>"1552374566310266"</f>
        <v>1552374566310266</v>
      </c>
      <c r="C10512" t="s">
        <v>40</v>
      </c>
      <c r="D10512">
        <v>5.0169519999999999</v>
      </c>
      <c r="E10512">
        <v>0.51854860000000003</v>
      </c>
      <c r="F10512" t="s">
        <v>42</v>
      </c>
      <c r="G10512">
        <v>-182.80430000000001</v>
      </c>
      <c r="H10512" s="1">
        <v>-5.2248639999999996E-6</v>
      </c>
      <c r="I10512">
        <v>118.83669999999999</v>
      </c>
      <c r="J10512">
        <v>-185.40880000000001</v>
      </c>
      <c r="K10512">
        <v>1.1075269999999999</v>
      </c>
      <c r="L10512">
        <v>111.7405</v>
      </c>
      <c r="M10512">
        <v>0.10033789999999999</v>
      </c>
      <c r="N10512">
        <v>0</v>
      </c>
      <c r="O10512">
        <v>0.99483840000000001</v>
      </c>
      <c r="P10512">
        <v>0.29112199999999999</v>
      </c>
      <c r="Q10512">
        <v>0.10118679999999999</v>
      </c>
      <c r="R10512">
        <v>0.95131969999999999</v>
      </c>
      <c r="S10512">
        <v>1.037277</v>
      </c>
      <c r="T10512">
        <v>-0.43754090000000001</v>
      </c>
      <c r="U10512">
        <v>2.883057</v>
      </c>
      <c r="V10512">
        <v>0.19502920000000001</v>
      </c>
      <c r="W10512">
        <v>0.11451649999999999</v>
      </c>
      <c r="X10512">
        <v>0.97408910000000004</v>
      </c>
      <c r="Y10512">
        <v>0.23895429999999901</v>
      </c>
      <c r="Z10512">
        <v>-0.1423904</v>
      </c>
      <c r="AA10512">
        <v>0.9605342</v>
      </c>
      <c r="AB10512">
        <v>40</v>
      </c>
      <c r="AC10512">
        <v>2.6044999999999998</v>
      </c>
      <c r="AD10512">
        <v>-1.1075322248639901</v>
      </c>
      <c r="AE10512">
        <v>7.0961999999999898</v>
      </c>
      <c r="AF10512">
        <v>1.83975928535</v>
      </c>
      <c r="AG10512">
        <v>-1.1075322248639901</v>
      </c>
      <c r="AH10512">
        <v>7.1678658054299103</v>
      </c>
      <c r="AI10512">
        <v>98.511847126763101</v>
      </c>
      <c r="AJ10512">
        <v>75.604768380045599</v>
      </c>
      <c r="AK10512">
        <v>7.4826226726860297</v>
      </c>
      <c r="AL10512">
        <v>83.424261670935806</v>
      </c>
      <c r="AM10512">
        <v>78.678112889529103</v>
      </c>
      <c r="AN10512">
        <v>0.99999999618184998</v>
      </c>
    </row>
    <row r="10513" spans="1:40" x14ac:dyDescent="0.25">
      <c r="A10513" t="str">
        <f>"20190312150926334"</f>
        <v>20190312150926334</v>
      </c>
      <c r="B10513" t="str">
        <f>"1552374566329786"</f>
        <v>1552374566329786</v>
      </c>
      <c r="C10513" t="s">
        <v>40</v>
      </c>
      <c r="D10513">
        <v>4.9916049999999998</v>
      </c>
      <c r="E10513">
        <v>0.51881860000000002</v>
      </c>
      <c r="F10513" t="s">
        <v>41</v>
      </c>
      <c r="G10513">
        <v>-185.14259999999999</v>
      </c>
      <c r="H10513">
        <v>0.99652160000000001</v>
      </c>
      <c r="I10513">
        <v>112.4742</v>
      </c>
      <c r="J10513">
        <v>-185.38560000000001</v>
      </c>
      <c r="K10513">
        <v>1.107443</v>
      </c>
      <c r="L10513">
        <v>111.9554</v>
      </c>
      <c r="M10513">
        <v>0.1021026</v>
      </c>
      <c r="N10513">
        <v>0</v>
      </c>
      <c r="O10513">
        <v>0.99465879999999995</v>
      </c>
      <c r="P10513">
        <v>0.29369840000000003</v>
      </c>
      <c r="Q10513">
        <v>0.1011927</v>
      </c>
      <c r="R10513">
        <v>0.95052680000000001</v>
      </c>
      <c r="S10513">
        <v>1.0446169999999999</v>
      </c>
      <c r="T10513">
        <v>-0.43572529999999998</v>
      </c>
      <c r="U10513">
        <v>2.8802029999999998</v>
      </c>
      <c r="V10513">
        <v>0.19596479999999999</v>
      </c>
      <c r="W10513">
        <v>0.1144749</v>
      </c>
      <c r="X10513">
        <v>0.97390620000000006</v>
      </c>
      <c r="Y10513">
        <v>0.23972830000000001</v>
      </c>
      <c r="Z10513">
        <v>-0.14183080000000001</v>
      </c>
      <c r="AA10513">
        <v>0.9604241</v>
      </c>
      <c r="AB10513">
        <v>40</v>
      </c>
      <c r="AC10513">
        <v>0.243000000000023</v>
      </c>
      <c r="AD10513">
        <v>-0.110921399999999</v>
      </c>
      <c r="AE10513">
        <v>0.51879999999999804</v>
      </c>
      <c r="AF10513">
        <v>0.1819326292763</v>
      </c>
      <c r="AG10513">
        <v>-0.110921399999999</v>
      </c>
      <c r="AH10513">
        <v>0.52135734383000198</v>
      </c>
      <c r="AI10513">
        <v>101.35816838908799</v>
      </c>
      <c r="AJ10513">
        <v>70.763078192794495</v>
      </c>
      <c r="AK10513">
        <v>0.56321977818505498</v>
      </c>
      <c r="AL10513">
        <v>83.426660952363093</v>
      </c>
      <c r="AM10513">
        <v>78.6231313714284</v>
      </c>
      <c r="AN10513">
        <v>0.999999995983745</v>
      </c>
    </row>
    <row r="10514" spans="1:40" x14ac:dyDescent="0.25">
      <c r="A10514" t="str">
        <f>"20190312150926351"</f>
        <v>20190312150926351</v>
      </c>
      <c r="B10514" t="str">
        <f>"1552374566339546"</f>
        <v>1552374566339546</v>
      </c>
      <c r="C10514" t="s">
        <v>40</v>
      </c>
      <c r="D10514">
        <v>5.0136580000000004</v>
      </c>
      <c r="E10514">
        <v>0.51881579999999905</v>
      </c>
      <c r="F10514" t="s">
        <v>42</v>
      </c>
      <c r="G10514">
        <v>-182.69720000000001</v>
      </c>
      <c r="H10514" s="1">
        <v>-5.4381350000000004E-6</v>
      </c>
      <c r="I10514">
        <v>119.28959999999999</v>
      </c>
      <c r="J10514">
        <v>-185.35380000000001</v>
      </c>
      <c r="K10514">
        <v>1.1073280000000001</v>
      </c>
      <c r="L10514">
        <v>112.24550000000001</v>
      </c>
      <c r="M10514">
        <v>0.1045418</v>
      </c>
      <c r="N10514">
        <v>0</v>
      </c>
      <c r="O10514">
        <v>0.99440539999999999</v>
      </c>
      <c r="P10514">
        <v>0.29766989999999999</v>
      </c>
      <c r="Q10514">
        <v>0.1015172</v>
      </c>
      <c r="R10514">
        <v>0.94925599999999999</v>
      </c>
      <c r="S10514">
        <v>1.054459</v>
      </c>
      <c r="T10514">
        <v>-0.43436130000000001</v>
      </c>
      <c r="U10514">
        <v>2.8765869999999998</v>
      </c>
      <c r="V10514">
        <v>0.19768810000000001</v>
      </c>
      <c r="W10514">
        <v>0.1147278</v>
      </c>
      <c r="X10514">
        <v>0.97352810000000001</v>
      </c>
      <c r="Y10514">
        <v>0.24065639999999999</v>
      </c>
      <c r="Z10514">
        <v>-0.14141049999999999</v>
      </c>
      <c r="AA10514">
        <v>0.96025389999999999</v>
      </c>
      <c r="AB10514">
        <v>39</v>
      </c>
      <c r="AC10514">
        <v>2.6565999999999899</v>
      </c>
      <c r="AD10514">
        <v>-1.107333438135</v>
      </c>
      <c r="AE10514">
        <v>7.0440999999999798</v>
      </c>
      <c r="AF10514">
        <v>1.8651995642955901</v>
      </c>
      <c r="AG10514">
        <v>-1.107333438135</v>
      </c>
      <c r="AH10514">
        <v>7.1290163183208</v>
      </c>
      <c r="AI10514">
        <v>98.545872025173907</v>
      </c>
      <c r="AJ10514">
        <v>75.338076552198302</v>
      </c>
      <c r="AK10514">
        <v>7.4517132543291398</v>
      </c>
      <c r="AL10514">
        <v>83.412074823754395</v>
      </c>
      <c r="AM10514">
        <v>78.521388417195297</v>
      </c>
      <c r="AN10514">
        <v>1.0000000072320301</v>
      </c>
    </row>
    <row r="10515" spans="1:40" x14ac:dyDescent="0.25">
      <c r="A10515" t="str">
        <f>"20190312150926365"</f>
        <v>20190312150926365</v>
      </c>
      <c r="B10515" t="str">
        <f>"1552374566360042"</f>
        <v>1552374566360042</v>
      </c>
      <c r="C10515" t="s">
        <v>40</v>
      </c>
      <c r="D10515">
        <v>4.9641250000000001</v>
      </c>
      <c r="E10515">
        <v>0.51887740000000004</v>
      </c>
      <c r="F10515" t="s">
        <v>77</v>
      </c>
      <c r="G10515">
        <v>-182.6138</v>
      </c>
      <c r="H10515" s="1">
        <v>-1.956361E-6</v>
      </c>
      <c r="I10515">
        <v>119.6241</v>
      </c>
      <c r="J10515">
        <v>-185.32579999999999</v>
      </c>
      <c r="K10515">
        <v>1.107226</v>
      </c>
      <c r="L10515">
        <v>112.4958</v>
      </c>
      <c r="M10515">
        <v>0.1067063</v>
      </c>
      <c r="N10515">
        <v>0</v>
      </c>
      <c r="O10515">
        <v>0.99417540000000004</v>
      </c>
      <c r="P10515">
        <v>0.30064489999999999</v>
      </c>
      <c r="Q10515">
        <v>0.1013717</v>
      </c>
      <c r="R10515">
        <v>0.94833350000000005</v>
      </c>
      <c r="S10515">
        <v>1.0665129999999901</v>
      </c>
      <c r="T10515">
        <v>-0.4310061</v>
      </c>
      <c r="U10515">
        <v>2.8720089999999998</v>
      </c>
      <c r="V10515">
        <v>0.19864789999999999</v>
      </c>
      <c r="W10515">
        <v>0.1145246</v>
      </c>
      <c r="X10515">
        <v>0.97335660000000002</v>
      </c>
      <c r="Y10515">
        <v>0.24263779999999999</v>
      </c>
      <c r="Z10515">
        <v>-0.14036560000000001</v>
      </c>
      <c r="AA10515">
        <v>0.95990850000000005</v>
      </c>
      <c r="AB10515">
        <v>39</v>
      </c>
      <c r="AC10515">
        <v>2.7119999999999802</v>
      </c>
      <c r="AD10515">
        <v>-1.1072279563609999</v>
      </c>
      <c r="AE10515">
        <v>7.1282999999999896</v>
      </c>
      <c r="AF10515">
        <v>1.89583383789681</v>
      </c>
      <c r="AG10515">
        <v>-1.1072279563609999</v>
      </c>
      <c r="AH10515">
        <v>7.22474252551158</v>
      </c>
      <c r="AI10515">
        <v>98.431912195259201</v>
      </c>
      <c r="AJ10515">
        <v>75.296600898769597</v>
      </c>
      <c r="AK10515">
        <v>7.55096313381262</v>
      </c>
      <c r="AL10515">
        <v>83.423794338338993</v>
      </c>
      <c r="AM10515">
        <v>78.465170488328795</v>
      </c>
      <c r="AN10515">
        <v>0.99999997147156405</v>
      </c>
    </row>
    <row r="10516" spans="1:40" x14ac:dyDescent="0.25">
      <c r="A10516" t="str">
        <f>"20190312150926379"</f>
        <v>20190312150926379</v>
      </c>
      <c r="B10516" t="str">
        <f>"1552374566369802"</f>
        <v>1552374566369802</v>
      </c>
      <c r="C10516" t="s">
        <v>40</v>
      </c>
      <c r="D10516">
        <v>4.9492849999999997</v>
      </c>
      <c r="E10516">
        <v>0.51901520000000001</v>
      </c>
      <c r="F10516" t="s">
        <v>77</v>
      </c>
      <c r="G10516">
        <v>-182.58359999999999</v>
      </c>
      <c r="H10516" s="1">
        <v>-2.0182539999999998E-6</v>
      </c>
      <c r="I10516">
        <v>119.80710000000001</v>
      </c>
      <c r="J10516">
        <v>-185.29570000000001</v>
      </c>
      <c r="K10516">
        <v>1.1071219999999999</v>
      </c>
      <c r="L10516">
        <v>112.7572</v>
      </c>
      <c r="M10516">
        <v>0.1090545</v>
      </c>
      <c r="N10516">
        <v>0</v>
      </c>
      <c r="O10516">
        <v>0.99392060000000004</v>
      </c>
      <c r="P10516">
        <v>0.30383310000000002</v>
      </c>
      <c r="Q10516">
        <v>0.10156519999999999</v>
      </c>
      <c r="R10516">
        <v>0.94729609999999997</v>
      </c>
      <c r="S10516">
        <v>1.075974</v>
      </c>
      <c r="T10516">
        <v>-0.4344537</v>
      </c>
      <c r="U10516">
        <v>2.8687740000000002</v>
      </c>
      <c r="V10516">
        <v>0.19965720000000001</v>
      </c>
      <c r="W10516">
        <v>0.1146577</v>
      </c>
      <c r="X10516">
        <v>0.97313439999999995</v>
      </c>
      <c r="Y10516">
        <v>0.2434239</v>
      </c>
      <c r="Z10516">
        <v>-0.1414658</v>
      </c>
      <c r="AA10516">
        <v>0.95954790000000001</v>
      </c>
      <c r="AB10516">
        <v>39</v>
      </c>
      <c r="AC10516">
        <v>2.7121000000000199</v>
      </c>
      <c r="AD10516">
        <v>-1.1071240182540001</v>
      </c>
      <c r="AE10516">
        <v>7.0499000000000001</v>
      </c>
      <c r="AF10516">
        <v>1.88648279859345</v>
      </c>
      <c r="AG10516">
        <v>-1.1071240182540001</v>
      </c>
      <c r="AH10516">
        <v>7.1500422104724803</v>
      </c>
      <c r="AI10516">
        <v>98.514970317752301</v>
      </c>
      <c r="AJ10516">
        <v>75.219775416887501</v>
      </c>
      <c r="AK10516">
        <v>7.4771414693532501</v>
      </c>
      <c r="AL10516">
        <v>83.416117712430093</v>
      </c>
      <c r="AM10516">
        <v>78.405570975469303</v>
      </c>
      <c r="AN10516">
        <v>0.99999997307224398</v>
      </c>
    </row>
    <row r="10517" spans="1:40" x14ac:dyDescent="0.25">
      <c r="A10517" t="str">
        <f>"20190312150926396"</f>
        <v>20190312150926396</v>
      </c>
      <c r="B10517" t="str">
        <f>"1552374566390298"</f>
        <v>1552374566390298</v>
      </c>
      <c r="C10517" t="s">
        <v>40</v>
      </c>
      <c r="D10517">
        <v>4.9665990000000004</v>
      </c>
      <c r="E10517">
        <v>0.51948709999999998</v>
      </c>
      <c r="F10517" t="s">
        <v>41</v>
      </c>
      <c r="G10517">
        <v>-185.00470000000001</v>
      </c>
      <c r="H10517">
        <v>0.99093880000000001</v>
      </c>
      <c r="I10517">
        <v>113.5239</v>
      </c>
      <c r="J10517">
        <v>-185.2636</v>
      </c>
      <c r="K10517">
        <v>1.107008</v>
      </c>
      <c r="L10517">
        <v>113.0304</v>
      </c>
      <c r="M10517">
        <v>0.1115742</v>
      </c>
      <c r="N10517">
        <v>0</v>
      </c>
      <c r="O10517">
        <v>0.99364079999999999</v>
      </c>
      <c r="P10517">
        <v>0.30749670000000001</v>
      </c>
      <c r="Q10517">
        <v>0.1017704</v>
      </c>
      <c r="R10517">
        <v>0.94609120000000002</v>
      </c>
      <c r="S10517">
        <v>1.0868990000000001</v>
      </c>
      <c r="T10517">
        <v>-0.43407190000000001</v>
      </c>
      <c r="U10517">
        <v>2.8648380000000002</v>
      </c>
      <c r="V10517">
        <v>0.20099230000000001</v>
      </c>
      <c r="W10517">
        <v>0.1147965</v>
      </c>
      <c r="X10517">
        <v>0.97284320000000002</v>
      </c>
      <c r="Y10517">
        <v>0.24460870000000001</v>
      </c>
      <c r="Z10517">
        <v>-0.1413509</v>
      </c>
      <c r="AA10517">
        <v>0.95926359999999999</v>
      </c>
      <c r="AB10517">
        <v>39</v>
      </c>
      <c r="AC10517">
        <v>0.25889999999998198</v>
      </c>
      <c r="AD10517">
        <v>-0.116069199999999</v>
      </c>
      <c r="AE10517">
        <v>0.493499999999997</v>
      </c>
      <c r="AF10517">
        <v>0.19380785292186301</v>
      </c>
      <c r="AG10517">
        <v>-0.116069199999999</v>
      </c>
      <c r="AH10517">
        <v>0.49771765899896803</v>
      </c>
      <c r="AI10517">
        <v>102.26027903834699</v>
      </c>
      <c r="AJ10517">
        <v>68.724401616327697</v>
      </c>
      <c r="AK10517">
        <v>0.54658614245353498</v>
      </c>
      <c r="AL10517">
        <v>83.408112485042295</v>
      </c>
      <c r="AM10517">
        <v>78.326761959320393</v>
      </c>
      <c r="AN10517">
        <v>1.00000001642888</v>
      </c>
    </row>
    <row r="10518" spans="1:40" x14ac:dyDescent="0.25">
      <c r="A10518" t="str">
        <f>"20190312150926410"</f>
        <v>20190312150926410</v>
      </c>
      <c r="B10518" t="str">
        <f>"1552374566400061"</f>
        <v>1552374566400061</v>
      </c>
      <c r="C10518" t="s">
        <v>40</v>
      </c>
      <c r="D10518">
        <v>4.9620939999999996</v>
      </c>
      <c r="E10518">
        <v>0.51952989999999999</v>
      </c>
      <c r="F10518" t="s">
        <v>77</v>
      </c>
      <c r="G10518">
        <v>-182.47800000000001</v>
      </c>
      <c r="H10518" s="1">
        <v>-2.1806290000000001E-6</v>
      </c>
      <c r="I10518">
        <v>120.2629</v>
      </c>
      <c r="J10518">
        <v>-185.23310000000001</v>
      </c>
      <c r="K10518">
        <v>1.106908</v>
      </c>
      <c r="L10518">
        <v>113.2842</v>
      </c>
      <c r="M10518">
        <v>0.11397649999999999</v>
      </c>
      <c r="N10518">
        <v>0</v>
      </c>
      <c r="O10518">
        <v>0.99336809999999998</v>
      </c>
      <c r="P10518">
        <v>0.31044719999999998</v>
      </c>
      <c r="Q10518">
        <v>0.1013896</v>
      </c>
      <c r="R10518">
        <v>0.94516809999999996</v>
      </c>
      <c r="S10518">
        <v>1.101532</v>
      </c>
      <c r="T10518">
        <v>-0.43775500000000001</v>
      </c>
      <c r="U10518">
        <v>2.8600159999999999</v>
      </c>
      <c r="V10518">
        <v>0.2016965</v>
      </c>
      <c r="W10518">
        <v>0.1143612</v>
      </c>
      <c r="X10518">
        <v>0.97274870000000002</v>
      </c>
      <c r="Y10518">
        <v>0.24702260000000001</v>
      </c>
      <c r="Z10518">
        <v>-0.1425186</v>
      </c>
      <c r="AA10518">
        <v>0.95847190000000004</v>
      </c>
      <c r="AB10518">
        <v>39</v>
      </c>
      <c r="AC10518">
        <v>2.7551000000000201</v>
      </c>
      <c r="AD10518">
        <v>-1.106910180629</v>
      </c>
      <c r="AE10518">
        <v>6.9786999999999999</v>
      </c>
      <c r="AF10518">
        <v>1.90028227006738</v>
      </c>
      <c r="AG10518">
        <v>-1.106910180629</v>
      </c>
      <c r="AH10518">
        <v>7.0928838667093004</v>
      </c>
      <c r="AI10518">
        <v>98.572394810057503</v>
      </c>
      <c r="AJ10518">
        <v>75.001885981948305</v>
      </c>
      <c r="AK10518">
        <v>7.4259897926497098</v>
      </c>
      <c r="AL10518">
        <v>83.433218560034803</v>
      </c>
      <c r="AM10518">
        <v>78.285885073105206</v>
      </c>
      <c r="AN10518">
        <v>0.99999999776468995</v>
      </c>
    </row>
    <row r="10519" spans="1:40" x14ac:dyDescent="0.25">
      <c r="A10519" t="str">
        <f>"20190312150926429"</f>
        <v>20190312150926429</v>
      </c>
      <c r="B10519" t="str">
        <f>"1552374566419580"</f>
        <v>1552374566419580</v>
      </c>
      <c r="C10519" t="s">
        <v>40</v>
      </c>
      <c r="D10519">
        <v>4.9502129999999998</v>
      </c>
      <c r="E10519">
        <v>0.52012309999999995</v>
      </c>
      <c r="F10519" t="s">
        <v>77</v>
      </c>
      <c r="G10519">
        <v>-182.42189999999999</v>
      </c>
      <c r="H10519" s="1">
        <v>-2.2689660000000001E-6</v>
      </c>
      <c r="I10519">
        <v>120.51220000000001</v>
      </c>
      <c r="J10519">
        <v>-185.1918</v>
      </c>
      <c r="K10519">
        <v>1.106776</v>
      </c>
      <c r="L10519">
        <v>113.61969999999999</v>
      </c>
      <c r="M10519">
        <v>0.1172605</v>
      </c>
      <c r="N10519">
        <v>0</v>
      </c>
      <c r="O10519">
        <v>0.99298580000000003</v>
      </c>
      <c r="P10519">
        <v>0.3149691</v>
      </c>
      <c r="Q10519">
        <v>0.1004664</v>
      </c>
      <c r="R10519">
        <v>0.94376959999999999</v>
      </c>
      <c r="S10519">
        <v>1.11084</v>
      </c>
      <c r="T10519">
        <v>-0.43738929999999998</v>
      </c>
      <c r="U10519">
        <v>2.8560789999999998</v>
      </c>
      <c r="V10519">
        <v>0.2031569</v>
      </c>
      <c r="W10519">
        <v>0.1133588</v>
      </c>
      <c r="X10519">
        <v>0.97256209999999998</v>
      </c>
      <c r="Y10519">
        <v>0.24698490000000001</v>
      </c>
      <c r="Z10519">
        <v>-0.14242079999999999</v>
      </c>
      <c r="AA10519">
        <v>0.95849609999999996</v>
      </c>
      <c r="AB10519">
        <v>39</v>
      </c>
      <c r="AC10519">
        <v>2.7698999999999998</v>
      </c>
      <c r="AD10519">
        <v>-1.106778268966</v>
      </c>
      <c r="AE10519">
        <v>6.8925000000000098</v>
      </c>
      <c r="AF10519">
        <v>1.9002899952982799</v>
      </c>
      <c r="AG10519">
        <v>-1.106778268966</v>
      </c>
      <c r="AH10519">
        <v>7.0140655630541602</v>
      </c>
      <c r="AI10519">
        <v>98.6597980840166</v>
      </c>
      <c r="AJ10519">
        <v>74.841006277652795</v>
      </c>
      <c r="AK10519">
        <v>7.3507262175725501</v>
      </c>
      <c r="AL10519">
        <v>83.491027752343101</v>
      </c>
      <c r="AM10519">
        <v>78.201236703083296</v>
      </c>
      <c r="AN10519">
        <v>0.99999999095573</v>
      </c>
    </row>
    <row r="10520" spans="1:40" x14ac:dyDescent="0.25">
      <c r="A10520" t="str">
        <f>"20190312150926441"</f>
        <v>20190312150926441</v>
      </c>
      <c r="B10520" t="str">
        <f>"1552374566430314"</f>
        <v>1552374566430314</v>
      </c>
      <c r="C10520" t="s">
        <v>40</v>
      </c>
      <c r="D10520">
        <v>4.9916679999999998</v>
      </c>
      <c r="E10520">
        <v>0.52039919999999995</v>
      </c>
      <c r="F10520" t="s">
        <v>77</v>
      </c>
      <c r="G10520">
        <v>-182.37039999999999</v>
      </c>
      <c r="H10520" s="1">
        <v>-2.3500130000000001E-6</v>
      </c>
      <c r="I10520">
        <v>120.74079999999999</v>
      </c>
      <c r="J10520">
        <v>-185.1651</v>
      </c>
      <c r="K10520">
        <v>1.10669</v>
      </c>
      <c r="L10520">
        <v>113.8312</v>
      </c>
      <c r="M10520">
        <v>0.1193897</v>
      </c>
      <c r="N10520">
        <v>0</v>
      </c>
      <c r="O10520">
        <v>0.99273199999999995</v>
      </c>
      <c r="P10520">
        <v>0.3175289</v>
      </c>
      <c r="Q10520">
        <v>0.10027700000000001</v>
      </c>
      <c r="R10520">
        <v>0.94293150000000003</v>
      </c>
      <c r="S10520">
        <v>1.1288450000000001</v>
      </c>
      <c r="T10520">
        <v>-0.44281969999999998</v>
      </c>
      <c r="U10520">
        <v>2.8491520000000001</v>
      </c>
      <c r="V10520">
        <v>0.20373050000000001</v>
      </c>
      <c r="W10520">
        <v>0.1131233</v>
      </c>
      <c r="X10520">
        <v>0.97246960000000005</v>
      </c>
      <c r="Y10520">
        <v>0.25084640000000002</v>
      </c>
      <c r="Z10520">
        <v>-0.1441849</v>
      </c>
      <c r="AA10520">
        <v>0.95722870000000004</v>
      </c>
      <c r="AB10520">
        <v>39</v>
      </c>
      <c r="AC10520">
        <v>2.7947000000000002</v>
      </c>
      <c r="AD10520">
        <v>-1.1066923500129999</v>
      </c>
      <c r="AE10520">
        <v>6.9095999999999904</v>
      </c>
      <c r="AF10520">
        <v>1.9076195308561801</v>
      </c>
      <c r="AG10520">
        <v>-1.1066923500129999</v>
      </c>
      <c r="AH10520">
        <v>7.0386832308132998</v>
      </c>
      <c r="AI10520">
        <v>98.629106354643099</v>
      </c>
      <c r="AJ10520">
        <v>74.836001450214297</v>
      </c>
      <c r="AK10520">
        <v>7.3760993659124203</v>
      </c>
      <c r="AL10520">
        <v>83.504608716840295</v>
      </c>
      <c r="AM10520">
        <v>78.167767691935296</v>
      </c>
      <c r="AN10520">
        <v>1.0000000602786401</v>
      </c>
    </row>
    <row r="10521" spans="1:40" x14ac:dyDescent="0.25">
      <c r="A10521" t="str">
        <f>"20190312150926453"</f>
        <v>20190312150926453</v>
      </c>
      <c r="B10521" t="str">
        <f>"1552374566449835"</f>
        <v>1552374566449835</v>
      </c>
      <c r="C10521" t="s">
        <v>40</v>
      </c>
      <c r="D10521">
        <v>4.9447419999999997</v>
      </c>
      <c r="E10521">
        <v>0.52071199999999995</v>
      </c>
      <c r="F10521" t="s">
        <v>41</v>
      </c>
      <c r="G10521">
        <v>-184.86850000000001</v>
      </c>
      <c r="H10521">
        <v>0.99077380000000004</v>
      </c>
      <c r="I10521">
        <v>114.57250000000001</v>
      </c>
      <c r="J10521">
        <v>-185.13839999999999</v>
      </c>
      <c r="K10521">
        <v>1.106608</v>
      </c>
      <c r="L10521">
        <v>114.0385</v>
      </c>
      <c r="M10521">
        <v>0.12152830000000001</v>
      </c>
      <c r="N10521">
        <v>0</v>
      </c>
      <c r="O10521">
        <v>0.99247240000000003</v>
      </c>
      <c r="P10521">
        <v>0.320081</v>
      </c>
      <c r="Q10521">
        <v>0.1000574</v>
      </c>
      <c r="R10521">
        <v>0.94209160000000003</v>
      </c>
      <c r="S10521">
        <v>1.13855</v>
      </c>
      <c r="T10521">
        <v>-0.44495459999999898</v>
      </c>
      <c r="U10521">
        <v>2.8455050000000002</v>
      </c>
      <c r="V10521">
        <v>0.20428669999999999</v>
      </c>
      <c r="W10521">
        <v>0.1128594</v>
      </c>
      <c r="X10521">
        <v>0.97238349999999996</v>
      </c>
      <c r="Y10521">
        <v>0.25196239999999998</v>
      </c>
      <c r="Z10521">
        <v>-0.14486940000000001</v>
      </c>
      <c r="AA10521">
        <v>0.95683220000000002</v>
      </c>
      <c r="AB10521">
        <v>39</v>
      </c>
      <c r="AC10521">
        <v>0.26989999999997799</v>
      </c>
      <c r="AD10521">
        <v>-0.115834199999999</v>
      </c>
      <c r="AE10521">
        <v>0.53400000000000603</v>
      </c>
      <c r="AF10521">
        <v>0.19566224641747201</v>
      </c>
      <c r="AG10521">
        <v>-0.115834199999999</v>
      </c>
      <c r="AH10521">
        <v>0.54251248174313005</v>
      </c>
      <c r="AI10521">
        <v>101.356792700827</v>
      </c>
      <c r="AJ10521">
        <v>70.167682574707797</v>
      </c>
      <c r="AK10521">
        <v>0.58823555605714795</v>
      </c>
      <c r="AL10521">
        <v>83.519826040934404</v>
      </c>
      <c r="AM10521">
        <v>78.135358306358398</v>
      </c>
      <c r="AN10521">
        <v>0.99999998551874902</v>
      </c>
    </row>
    <row r="10522" spans="1:40" x14ac:dyDescent="0.25">
      <c r="A10522" t="str">
        <f>"20190312150926465"</f>
        <v>20190312150926465</v>
      </c>
      <c r="B10522" t="str">
        <f>"1552374566459594"</f>
        <v>1552374566459594</v>
      </c>
      <c r="C10522" t="s">
        <v>40</v>
      </c>
      <c r="D10522">
        <v>4.9809049999999999</v>
      </c>
      <c r="E10522">
        <v>0.52084949999999997</v>
      </c>
      <c r="F10522" t="s">
        <v>77</v>
      </c>
      <c r="G10522">
        <v>-182.2988</v>
      </c>
      <c r="H10522" s="1">
        <v>-2.4633140000000002E-6</v>
      </c>
      <c r="I10522">
        <v>121.0609</v>
      </c>
      <c r="J10522">
        <v>-185.11</v>
      </c>
      <c r="K10522">
        <v>1.1065179999999999</v>
      </c>
      <c r="L10522">
        <v>114.2561</v>
      </c>
      <c r="M10522">
        <v>0.12380090000000001</v>
      </c>
      <c r="N10522">
        <v>0</v>
      </c>
      <c r="O10522">
        <v>0.9921915</v>
      </c>
      <c r="P10522">
        <v>0.32283210000000001</v>
      </c>
      <c r="Q10522">
        <v>9.9551790000000001E-2</v>
      </c>
      <c r="R10522">
        <v>0.94120610000000005</v>
      </c>
      <c r="S10522">
        <v>1.149017</v>
      </c>
      <c r="T10522">
        <v>-0.44778380000000001</v>
      </c>
      <c r="U10522">
        <v>2.841583</v>
      </c>
      <c r="V10522">
        <v>0.2049135</v>
      </c>
      <c r="W10522">
        <v>0.112306</v>
      </c>
      <c r="X10522">
        <v>0.9723157</v>
      </c>
      <c r="Y10522">
        <v>0.25318659999999998</v>
      </c>
      <c r="Z10522">
        <v>-0.14577290000000001</v>
      </c>
      <c r="AA10522">
        <v>0.95637169999999905</v>
      </c>
      <c r="AB10522">
        <v>39</v>
      </c>
      <c r="AC10522">
        <v>2.8112000000000101</v>
      </c>
      <c r="AD10522">
        <v>-1.106520463314</v>
      </c>
      <c r="AE10522">
        <v>6.8048000000000002</v>
      </c>
      <c r="AF10522">
        <v>1.90402586940541</v>
      </c>
      <c r="AG10522">
        <v>-1.106520463314</v>
      </c>
      <c r="AH10522">
        <v>6.94367294350437</v>
      </c>
      <c r="AI10522">
        <v>98.73706000624</v>
      </c>
      <c r="AJ10522">
        <v>74.665828448930995</v>
      </c>
      <c r="AK10522">
        <v>7.2845244177950503</v>
      </c>
      <c r="AL10522">
        <v>83.551736496519695</v>
      </c>
      <c r="AM10522">
        <v>78.099185022669104</v>
      </c>
      <c r="AN10522">
        <v>1.0000000002923699</v>
      </c>
    </row>
    <row r="10523" spans="1:40" x14ac:dyDescent="0.25">
      <c r="A10523" t="str">
        <f>"20190312150926478"</f>
        <v>20190312150926478</v>
      </c>
      <c r="B10523" t="str">
        <f>"1552374566470330"</f>
        <v>1552374566470330</v>
      </c>
      <c r="C10523" t="s">
        <v>40</v>
      </c>
      <c r="D10523">
        <v>4.9387179999999997</v>
      </c>
      <c r="E10523">
        <v>0.52093849999999997</v>
      </c>
      <c r="F10523" t="s">
        <v>77</v>
      </c>
      <c r="G10523">
        <v>-182.2595</v>
      </c>
      <c r="H10523" s="1">
        <v>-2.5252180000000001E-6</v>
      </c>
      <c r="I10523">
        <v>121.2355</v>
      </c>
      <c r="J10523">
        <v>-185.08090000000001</v>
      </c>
      <c r="K10523">
        <v>1.1064309999999999</v>
      </c>
      <c r="L10523">
        <v>114.47329999999999</v>
      </c>
      <c r="M10523">
        <v>0.12614110000000001</v>
      </c>
      <c r="N10523">
        <v>0</v>
      </c>
      <c r="O10523">
        <v>0.99189660000000002</v>
      </c>
      <c r="P10523">
        <v>0.32539570000000001</v>
      </c>
      <c r="Q10523">
        <v>9.9528859999999997E-2</v>
      </c>
      <c r="R10523">
        <v>0.94032530000000003</v>
      </c>
      <c r="S10523">
        <v>1.15889</v>
      </c>
      <c r="T10523">
        <v>-0.44985320000000001</v>
      </c>
      <c r="U10523">
        <v>2.8374790000000001</v>
      </c>
      <c r="V10523">
        <v>0.20529240000000001</v>
      </c>
      <c r="W10523">
        <v>0.1122392</v>
      </c>
      <c r="X10523">
        <v>0.97224350000000004</v>
      </c>
      <c r="Y10523">
        <v>0.2542044</v>
      </c>
      <c r="Z10523">
        <v>-0.1464481</v>
      </c>
      <c r="AA10523">
        <v>0.95599849999999997</v>
      </c>
      <c r="AB10523">
        <v>39</v>
      </c>
      <c r="AC10523">
        <v>2.8214000000000099</v>
      </c>
      <c r="AD10523">
        <v>-1.106433525218</v>
      </c>
      <c r="AE10523">
        <v>6.7622</v>
      </c>
      <c r="AF10523">
        <v>1.90239042645441</v>
      </c>
      <c r="AG10523">
        <v>-1.106433525218</v>
      </c>
      <c r="AH10523">
        <v>6.9066225260948801</v>
      </c>
      <c r="AI10523">
        <v>98.779795332334501</v>
      </c>
      <c r="AJ10523">
        <v>74.600079945399401</v>
      </c>
      <c r="AK10523">
        <v>7.2487736340951496</v>
      </c>
      <c r="AL10523">
        <v>83.555588305040402</v>
      </c>
      <c r="AM10523">
        <v>78.076948691319799</v>
      </c>
      <c r="AN10523">
        <v>1.00000001540332</v>
      </c>
    </row>
    <row r="10524" spans="1:40" x14ac:dyDescent="0.25">
      <c r="A10524" t="str">
        <f>"20190312150926494"</f>
        <v>20190312150926494</v>
      </c>
      <c r="B10524" t="str">
        <f>"1552374566489850"</f>
        <v>1552374566489850</v>
      </c>
      <c r="C10524" t="s">
        <v>40</v>
      </c>
      <c r="D10524">
        <v>4.9974360000000004</v>
      </c>
      <c r="E10524">
        <v>0.52115730000000005</v>
      </c>
      <c r="F10524" t="s">
        <v>77</v>
      </c>
      <c r="G10524">
        <v>-182.2191</v>
      </c>
      <c r="H10524" s="1">
        <v>-2.5907809999999999E-6</v>
      </c>
      <c r="I10524">
        <v>121.4216</v>
      </c>
      <c r="J10524">
        <v>-185.04150000000001</v>
      </c>
      <c r="K10524">
        <v>1.1063130000000001</v>
      </c>
      <c r="L10524">
        <v>114.7619</v>
      </c>
      <c r="M10524">
        <v>0.1293069</v>
      </c>
      <c r="N10524">
        <v>0</v>
      </c>
      <c r="O10524">
        <v>0.99148890000000001</v>
      </c>
      <c r="P10524">
        <v>0.32950079999999998</v>
      </c>
      <c r="Q10524">
        <v>9.8894460000000003E-2</v>
      </c>
      <c r="R10524">
        <v>0.93896170000000001</v>
      </c>
      <c r="S10524">
        <v>1.1673579999999999</v>
      </c>
      <c r="T10524">
        <v>-0.45131450000000001</v>
      </c>
      <c r="U10524">
        <v>2.8341980000000002</v>
      </c>
      <c r="V10524">
        <v>0.206453</v>
      </c>
      <c r="W10524">
        <v>0.11153879999999999</v>
      </c>
      <c r="X10524">
        <v>0.97207829999999995</v>
      </c>
      <c r="Y10524">
        <v>0.25392550000000003</v>
      </c>
      <c r="Z10524">
        <v>-0.14690400000000001</v>
      </c>
      <c r="AA10524">
        <v>0.95600269999999998</v>
      </c>
      <c r="AB10524">
        <v>39</v>
      </c>
      <c r="AC10524">
        <v>2.8224000000000098</v>
      </c>
      <c r="AD10524">
        <v>-1.1063155907809901</v>
      </c>
      <c r="AE10524">
        <v>6.6597</v>
      </c>
      <c r="AF10524">
        <v>1.8931660713888301</v>
      </c>
      <c r="AG10524">
        <v>-1.1063155907809901</v>
      </c>
      <c r="AH10524">
        <v>6.8094710428053098</v>
      </c>
      <c r="AI10524">
        <v>98.896334570044303</v>
      </c>
      <c r="AJ10524">
        <v>74.463029607377806</v>
      </c>
      <c r="AK10524">
        <v>7.1538037324955397</v>
      </c>
      <c r="AL10524">
        <v>83.595971642239604</v>
      </c>
      <c r="AM10524">
        <v>78.009509495207297</v>
      </c>
      <c r="AN10524">
        <v>0.99999998322266503</v>
      </c>
    </row>
    <row r="10525" spans="1:40" x14ac:dyDescent="0.25">
      <c r="A10525" t="str">
        <f>"20190312150926506"</f>
        <v>20190312150926506</v>
      </c>
      <c r="B10525" t="str">
        <f>"1552374566499610"</f>
        <v>1552374566499610</v>
      </c>
      <c r="C10525" t="s">
        <v>40</v>
      </c>
      <c r="D10525">
        <v>4.9475360000000004</v>
      </c>
      <c r="E10525">
        <v>0.52121320000000004</v>
      </c>
      <c r="F10525" t="s">
        <v>77</v>
      </c>
      <c r="G10525">
        <v>-182.15559999999999</v>
      </c>
      <c r="H10525" s="1">
        <v>-2.6810560000000001E-6</v>
      </c>
      <c r="I10525">
        <v>121.6708</v>
      </c>
      <c r="J10525">
        <v>-185.01490000000001</v>
      </c>
      <c r="K10525">
        <v>1.1062379999999901</v>
      </c>
      <c r="L10525">
        <v>114.95399999999999</v>
      </c>
      <c r="M10525">
        <v>0.13144719999999999</v>
      </c>
      <c r="N10525">
        <v>0</v>
      </c>
      <c r="O10525">
        <v>0.99120739999999996</v>
      </c>
      <c r="P10525">
        <v>0.33213939999999997</v>
      </c>
      <c r="Q10525">
        <v>9.8260280000000005E-2</v>
      </c>
      <c r="R10525">
        <v>0.93809830000000005</v>
      </c>
      <c r="S10525">
        <v>1.181335</v>
      </c>
      <c r="T10525">
        <v>-0.45286920000000003</v>
      </c>
      <c r="U10525">
        <v>2.8281710000000002</v>
      </c>
      <c r="V10525">
        <v>0.20709259999999999</v>
      </c>
      <c r="W10525">
        <v>0.11086260000000001</v>
      </c>
      <c r="X10525">
        <v>0.97201959999999998</v>
      </c>
      <c r="Y10525">
        <v>0.25655480000000003</v>
      </c>
      <c r="Z10525">
        <v>-0.14743609999999999</v>
      </c>
      <c r="AA10525">
        <v>0.95521840000000002</v>
      </c>
      <c r="AB10525">
        <v>39</v>
      </c>
      <c r="AC10525">
        <v>2.8593000000000099</v>
      </c>
      <c r="AD10525">
        <v>-1.1062406810559999</v>
      </c>
      <c r="AE10525">
        <v>6.7168000000000001</v>
      </c>
      <c r="AF10525">
        <v>1.9076711895092999</v>
      </c>
      <c r="AG10525">
        <v>-1.1062406810559999</v>
      </c>
      <c r="AH10525">
        <v>6.8764853416080802</v>
      </c>
      <c r="AI10525">
        <v>98.811757450545201</v>
      </c>
      <c r="AJ10525">
        <v>74.494947597576001</v>
      </c>
      <c r="AK10525">
        <v>7.2214284227608196</v>
      </c>
      <c r="AL10525">
        <v>83.634956828811895</v>
      </c>
      <c r="AM10525">
        <v>77.9727372697362</v>
      </c>
      <c r="AN10525">
        <v>0.99999998191883899</v>
      </c>
    </row>
    <row r="10526" spans="1:40" x14ac:dyDescent="0.25">
      <c r="A10526" t="str">
        <f>"20190312150926517"</f>
        <v>20190312150926517</v>
      </c>
      <c r="B10526" t="str">
        <f>"1552374566510346"</f>
        <v>1552374566510346</v>
      </c>
      <c r="C10526" t="s">
        <v>40</v>
      </c>
      <c r="D10526">
        <v>4.8987230000000004</v>
      </c>
      <c r="E10526">
        <v>0.52135159999999903</v>
      </c>
      <c r="F10526" t="s">
        <v>77</v>
      </c>
      <c r="G10526">
        <v>-182.11779999999999</v>
      </c>
      <c r="H10526" s="1">
        <v>-2.738742E-6</v>
      </c>
      <c r="I10526">
        <v>121.8325</v>
      </c>
      <c r="J10526">
        <v>-184.9862</v>
      </c>
      <c r="K10526">
        <v>1.1061620000000001</v>
      </c>
      <c r="L10526">
        <v>115.1557</v>
      </c>
      <c r="M10526">
        <v>0.13374929999999999</v>
      </c>
      <c r="N10526">
        <v>0</v>
      </c>
      <c r="O10526">
        <v>0.99089930000000004</v>
      </c>
      <c r="P10526">
        <v>0.33471400000000001</v>
      </c>
      <c r="Q10526">
        <v>9.7640859999999996E-2</v>
      </c>
      <c r="R10526">
        <v>0.93724750000000001</v>
      </c>
      <c r="S10526">
        <v>1.1895899999999999</v>
      </c>
      <c r="T10526">
        <v>-0.45423799999999998</v>
      </c>
      <c r="U10526">
        <v>2.8243710000000002</v>
      </c>
      <c r="V10526">
        <v>0.2075091</v>
      </c>
      <c r="W10526">
        <v>0.11020389999999999</v>
      </c>
      <c r="X10526">
        <v>0.97200569999999997</v>
      </c>
      <c r="Y10526">
        <v>0.2571155</v>
      </c>
      <c r="Z10526">
        <v>-0.14789249999999901</v>
      </c>
      <c r="AA10526">
        <v>0.95499710000000004</v>
      </c>
      <c r="AB10526">
        <v>39</v>
      </c>
      <c r="AC10526">
        <v>2.8683999999999998</v>
      </c>
      <c r="AD10526">
        <v>-1.1061647387419999</v>
      </c>
      <c r="AE10526">
        <v>6.6768000000000001</v>
      </c>
      <c r="AF10526">
        <v>1.9053531772410499</v>
      </c>
      <c r="AG10526">
        <v>-1.1061647387419999</v>
      </c>
      <c r="AH10526">
        <v>6.8419520359969397</v>
      </c>
      <c r="AI10526">
        <v>98.852545140725098</v>
      </c>
      <c r="AJ10526">
        <v>74.438493982429193</v>
      </c>
      <c r="AK10526">
        <v>7.1879259054431897</v>
      </c>
      <c r="AL10526">
        <v>83.6729303821473</v>
      </c>
      <c r="AM10526">
        <v>77.949087414230704</v>
      </c>
      <c r="AN10526">
        <v>1.0000000034952501</v>
      </c>
    </row>
    <row r="10527" spans="1:40" x14ac:dyDescent="0.25">
      <c r="A10527" t="str">
        <f>"20190312150926528"</f>
        <v>20190312150926528</v>
      </c>
      <c r="B10527" t="str">
        <f>"1552374566520107"</f>
        <v>1552374566520107</v>
      </c>
      <c r="C10527" t="s">
        <v>40</v>
      </c>
      <c r="D10527">
        <v>5.0127220000000001</v>
      </c>
      <c r="E10527">
        <v>0.52151729999999996</v>
      </c>
      <c r="F10527" t="s">
        <v>77</v>
      </c>
      <c r="G10527">
        <v>-182.09110000000001</v>
      </c>
      <c r="H10527" s="1">
        <v>-2.7871189999999999E-6</v>
      </c>
      <c r="I10527">
        <v>121.9726</v>
      </c>
      <c r="J10527">
        <v>-184.9588</v>
      </c>
      <c r="K10527">
        <v>1.1060909999999999</v>
      </c>
      <c r="L10527">
        <v>115.34610000000001</v>
      </c>
      <c r="M10527">
        <v>0.13594220000000001</v>
      </c>
      <c r="N10527">
        <v>0</v>
      </c>
      <c r="O10527">
        <v>0.99060079999999995</v>
      </c>
      <c r="P10527">
        <v>0.33738459999999998</v>
      </c>
      <c r="Q10527">
        <v>9.7013730000000006E-2</v>
      </c>
      <c r="R10527">
        <v>0.93635460000000004</v>
      </c>
      <c r="S10527">
        <v>1.197937</v>
      </c>
      <c r="T10527">
        <v>-0.4577135</v>
      </c>
      <c r="U10527">
        <v>2.8207399999999998</v>
      </c>
      <c r="V10527">
        <v>0.20813219999999999</v>
      </c>
      <c r="W10527">
        <v>0.1095366</v>
      </c>
      <c r="X10527">
        <v>0.97194789999999998</v>
      </c>
      <c r="Y10527">
        <v>0.2577488</v>
      </c>
      <c r="Z10527">
        <v>-0.14901010000000001</v>
      </c>
      <c r="AA10527">
        <v>0.95465259999999996</v>
      </c>
      <c r="AB10527">
        <v>39</v>
      </c>
      <c r="AC10527">
        <v>2.8676999999999802</v>
      </c>
      <c r="AD10527">
        <v>-1.106093787119</v>
      </c>
      <c r="AE10527">
        <v>6.6264999999999903</v>
      </c>
      <c r="AF10527">
        <v>1.89566197033439</v>
      </c>
      <c r="AG10527">
        <v>-1.106093787119</v>
      </c>
      <c r="AH10527">
        <v>6.7953880314456301</v>
      </c>
      <c r="AI10527">
        <v>98.910579185535596</v>
      </c>
      <c r="AJ10527">
        <v>74.412863460386006</v>
      </c>
      <c r="AK10527">
        <v>7.1410276760134304</v>
      </c>
      <c r="AL10527">
        <v>83.711396711176704</v>
      </c>
      <c r="AM10527">
        <v>77.913266210536705</v>
      </c>
      <c r="AN10527">
        <v>0.999999999865404</v>
      </c>
    </row>
    <row r="10528" spans="1:40" x14ac:dyDescent="0.25">
      <c r="A10528" t="str">
        <f>"20190312150926539"</f>
        <v>20190312150926539</v>
      </c>
      <c r="B10528" t="str">
        <f>"1552374566529867"</f>
        <v>1552374566529867</v>
      </c>
      <c r="C10528" t="s">
        <v>40</v>
      </c>
      <c r="D10528">
        <v>4.9895820000000004</v>
      </c>
      <c r="E10528">
        <v>0.52160390000000001</v>
      </c>
      <c r="F10528" t="s">
        <v>77</v>
      </c>
      <c r="G10528">
        <v>-182.054</v>
      </c>
      <c r="H10528" s="1">
        <v>-2.8413990000000002E-6</v>
      </c>
      <c r="I10528">
        <v>122.1234</v>
      </c>
      <c r="J10528">
        <v>-184.92910000000001</v>
      </c>
      <c r="K10528">
        <v>1.1060179999999999</v>
      </c>
      <c r="L10528">
        <v>115.54819999999999</v>
      </c>
      <c r="M10528">
        <v>0.13830729999999999</v>
      </c>
      <c r="N10528">
        <v>0</v>
      </c>
      <c r="O10528">
        <v>0.99027330000000002</v>
      </c>
      <c r="P10528">
        <v>0.34029910000000002</v>
      </c>
      <c r="Q10528">
        <v>9.6107239999999997E-2</v>
      </c>
      <c r="R10528">
        <v>0.93539289999999997</v>
      </c>
      <c r="S10528">
        <v>1.207184</v>
      </c>
      <c r="T10528">
        <v>-0.45967799999999998</v>
      </c>
      <c r="U10528">
        <v>2.8165740000000001</v>
      </c>
      <c r="V10528">
        <v>0.2088351</v>
      </c>
      <c r="W10528">
        <v>0.108589</v>
      </c>
      <c r="X10528">
        <v>0.97190339999999997</v>
      </c>
      <c r="Y10528">
        <v>0.25856390000000001</v>
      </c>
      <c r="Z10528">
        <v>-0.1496527</v>
      </c>
      <c r="AA10528">
        <v>0.95433159999999895</v>
      </c>
      <c r="AB10528">
        <v>39</v>
      </c>
      <c r="AC10528">
        <v>2.8751000000000002</v>
      </c>
      <c r="AD10528">
        <v>-1.106020841399</v>
      </c>
      <c r="AE10528">
        <v>6.5751999999999997</v>
      </c>
      <c r="AF10528">
        <v>1.89299449994927</v>
      </c>
      <c r="AG10528">
        <v>-1.106020841399</v>
      </c>
      <c r="AH10528">
        <v>6.7493668249963799</v>
      </c>
      <c r="AI10528">
        <v>98.966321287416093</v>
      </c>
      <c r="AJ10528">
        <v>74.332788576321803</v>
      </c>
      <c r="AK10528">
        <v>7.0965246999365101</v>
      </c>
      <c r="AL10528">
        <v>83.766015658641194</v>
      </c>
      <c r="AM10528">
        <v>77.873114480981201</v>
      </c>
      <c r="AN10528">
        <v>0.99999994442228302</v>
      </c>
    </row>
    <row r="10529" spans="1:40" x14ac:dyDescent="0.25">
      <c r="A10529" t="str">
        <f>"20190312150926552"</f>
        <v>20190312150926552</v>
      </c>
      <c r="B10529" t="str">
        <f>"1552374566539627"</f>
        <v>1552374566539627</v>
      </c>
      <c r="C10529" t="s">
        <v>40</v>
      </c>
      <c r="D10529">
        <v>4.9933820000000004</v>
      </c>
      <c r="E10529">
        <v>0.52172909999999995</v>
      </c>
      <c r="F10529" t="s">
        <v>77</v>
      </c>
      <c r="G10529">
        <v>-182.01390000000001</v>
      </c>
      <c r="H10529" s="1">
        <v>-2.900578E-6</v>
      </c>
      <c r="I10529">
        <v>122.2881</v>
      </c>
      <c r="J10529">
        <v>-184.89920000000001</v>
      </c>
      <c r="K10529">
        <v>1.105947</v>
      </c>
      <c r="L10529">
        <v>115.74850000000001</v>
      </c>
      <c r="M10529">
        <v>0.14068329999999901</v>
      </c>
      <c r="N10529">
        <v>0</v>
      </c>
      <c r="O10529">
        <v>0.9899386</v>
      </c>
      <c r="P10529">
        <v>0.34333520000000001</v>
      </c>
      <c r="Q10529">
        <v>9.5403479999999999E-2</v>
      </c>
      <c r="R10529">
        <v>0.93435500000000005</v>
      </c>
      <c r="S10529">
        <v>1.216324</v>
      </c>
      <c r="T10529">
        <v>-0.46146710000000002</v>
      </c>
      <c r="U10529">
        <v>2.812119</v>
      </c>
      <c r="V10529">
        <v>0.20965990000000001</v>
      </c>
      <c r="W10529">
        <v>0.10784340000000001</v>
      </c>
      <c r="X10529">
        <v>0.97180889999999998</v>
      </c>
      <c r="Y10529">
        <v>0.25937490000000002</v>
      </c>
      <c r="Z10529">
        <v>-0.150252</v>
      </c>
      <c r="AA10529">
        <v>0.95401729999999996</v>
      </c>
      <c r="AB10529">
        <v>39</v>
      </c>
      <c r="AC10529">
        <v>2.8853</v>
      </c>
      <c r="AD10529">
        <v>-1.105949900578</v>
      </c>
      <c r="AE10529">
        <v>6.5395999999999903</v>
      </c>
      <c r="AF10529">
        <v>1.89120443358136</v>
      </c>
      <c r="AG10529">
        <v>-1.105949900578</v>
      </c>
      <c r="AH10529">
        <v>6.7196385325091699</v>
      </c>
      <c r="AI10529">
        <v>99.002525103275801</v>
      </c>
      <c r="AJ10529">
        <v>74.281042458502696</v>
      </c>
      <c r="AK10529">
        <v>7.0677663656751104</v>
      </c>
      <c r="AL10529">
        <v>83.808988132646107</v>
      </c>
      <c r="AM10529">
        <v>77.825496312461198</v>
      </c>
      <c r="AN10529">
        <v>1.0000000053553899</v>
      </c>
    </row>
    <row r="10530" spans="1:40" x14ac:dyDescent="0.25">
      <c r="A10530" t="str">
        <f>"20190312150926565"</f>
        <v>20190312150926565</v>
      </c>
      <c r="B10530" t="str">
        <f>"1552374566560123"</f>
        <v>1552374566560123</v>
      </c>
      <c r="C10530" t="s">
        <v>40</v>
      </c>
      <c r="D10530">
        <v>5.0255720000000004</v>
      </c>
      <c r="E10530">
        <v>0.52211589999999997</v>
      </c>
      <c r="F10530" t="s">
        <v>77</v>
      </c>
      <c r="G10530">
        <v>-181.97069999999999</v>
      </c>
      <c r="H10530" s="1">
        <v>-2.9607680000000001E-6</v>
      </c>
      <c r="I10530">
        <v>122.45350000000001</v>
      </c>
      <c r="J10530">
        <v>-184.86420000000001</v>
      </c>
      <c r="K10530">
        <v>1.105864</v>
      </c>
      <c r="L10530">
        <v>115.98</v>
      </c>
      <c r="M10530">
        <v>0.14345359999999999</v>
      </c>
      <c r="N10530">
        <v>0</v>
      </c>
      <c r="O10530">
        <v>0.9895408</v>
      </c>
      <c r="P10530">
        <v>0.34678680000000001</v>
      </c>
      <c r="Q10530">
        <v>9.4767450000000003E-2</v>
      </c>
      <c r="R10530">
        <v>0.93314419999999998</v>
      </c>
      <c r="S10530">
        <v>1.2261959999999901</v>
      </c>
      <c r="T10530">
        <v>-0.46308060000000001</v>
      </c>
      <c r="U10530">
        <v>2.8074949999999999</v>
      </c>
      <c r="V10530">
        <v>0.21053620000000001</v>
      </c>
      <c r="W10530">
        <v>0.1071607</v>
      </c>
      <c r="X10530">
        <v>0.97169490000000003</v>
      </c>
      <c r="Y10530">
        <v>0.2600345</v>
      </c>
      <c r="Z10530">
        <v>-0.15078429999999901</v>
      </c>
      <c r="AA10530">
        <v>0.95375370000000004</v>
      </c>
      <c r="AB10530">
        <v>39</v>
      </c>
      <c r="AC10530">
        <v>2.8935000000000102</v>
      </c>
      <c r="AD10530">
        <v>-1.1058669607680001</v>
      </c>
      <c r="AE10530">
        <v>6.4734999999999996</v>
      </c>
      <c r="AF10530">
        <v>1.8888684346794899</v>
      </c>
      <c r="AG10530">
        <v>-1.1058669607680001</v>
      </c>
      <c r="AH10530">
        <v>6.6596746561925597</v>
      </c>
      <c r="AI10530">
        <v>99.076468895590807</v>
      </c>
      <c r="AJ10530">
        <v>74.165192812036807</v>
      </c>
      <c r="AK10530">
        <v>7.0101378178164397</v>
      </c>
      <c r="AL10530">
        <v>83.848331579184602</v>
      </c>
      <c r="AM10530">
        <v>77.774747504806996</v>
      </c>
      <c r="AN10530">
        <v>0.99999994291046801</v>
      </c>
    </row>
    <row r="10531" spans="1:40" x14ac:dyDescent="0.25">
      <c r="A10531" t="str">
        <f>"20190312150926579"</f>
        <v>20190312150926579</v>
      </c>
      <c r="B10531" t="str">
        <f>"1552374566569884"</f>
        <v>1552374566569884</v>
      </c>
      <c r="C10531" t="s">
        <v>40</v>
      </c>
      <c r="D10531">
        <v>5.0067599999999999</v>
      </c>
      <c r="E10531">
        <v>0.52237979999999995</v>
      </c>
      <c r="F10531" t="s">
        <v>77</v>
      </c>
      <c r="G10531">
        <v>-181.9306</v>
      </c>
      <c r="H10531" s="1">
        <v>-3.0175540000000001E-6</v>
      </c>
      <c r="I10531">
        <v>122.61</v>
      </c>
      <c r="J10531">
        <v>-184.8244</v>
      </c>
      <c r="K10531">
        <v>1.1057859999999999</v>
      </c>
      <c r="L10531">
        <v>116.2355</v>
      </c>
      <c r="M10531">
        <v>0.14656649999999999</v>
      </c>
      <c r="N10531">
        <v>0</v>
      </c>
      <c r="O10531">
        <v>0.98908450000000003</v>
      </c>
      <c r="P10531">
        <v>0.3506417</v>
      </c>
      <c r="Q10531">
        <v>9.4124260000000001E-2</v>
      </c>
      <c r="R10531">
        <v>0.93176769999999998</v>
      </c>
      <c r="S10531">
        <v>1.2396240000000001</v>
      </c>
      <c r="T10531">
        <v>-0.46731080000000003</v>
      </c>
      <c r="U10531">
        <v>2.8016969999999999</v>
      </c>
      <c r="V10531">
        <v>0.21149960000000001</v>
      </c>
      <c r="W10531">
        <v>0.10646899999999999</v>
      </c>
      <c r="X10531">
        <v>0.97156180000000003</v>
      </c>
      <c r="Y10531">
        <v>0.26146760000000002</v>
      </c>
      <c r="Z10531">
        <v>-0.15213779999999999</v>
      </c>
      <c r="AA10531">
        <v>0.95314679999999996</v>
      </c>
      <c r="AB10531">
        <v>39</v>
      </c>
      <c r="AC10531">
        <v>2.8937999999999899</v>
      </c>
      <c r="AD10531">
        <v>-1.1057890175539999</v>
      </c>
      <c r="AE10531">
        <v>6.3744999999999896</v>
      </c>
      <c r="AF10531">
        <v>1.8812098023907999</v>
      </c>
      <c r="AG10531">
        <v>-1.1057890175539999</v>
      </c>
      <c r="AH10531">
        <v>6.5660042833254701</v>
      </c>
      <c r="AI10531">
        <v>99.196249680215004</v>
      </c>
      <c r="AJ10531">
        <v>74.012592440152602</v>
      </c>
      <c r="AK10531">
        <v>6.9191135212975601</v>
      </c>
      <c r="AL10531">
        <v>83.888191646467106</v>
      </c>
      <c r="AM10531">
        <v>77.718868024511096</v>
      </c>
      <c r="AN10531">
        <v>1.0000000299901901</v>
      </c>
    </row>
    <row r="10532" spans="1:40" x14ac:dyDescent="0.25">
      <c r="A10532" t="str">
        <f>"20190312150926596"</f>
        <v>20190312150926596</v>
      </c>
      <c r="B10532" t="str">
        <f>"1552374566590379"</f>
        <v>1552374566590379</v>
      </c>
      <c r="C10532" t="s">
        <v>40</v>
      </c>
      <c r="D10532">
        <v>4.9948949999999996</v>
      </c>
      <c r="E10532">
        <v>0.52267730000000001</v>
      </c>
      <c r="F10532" t="s">
        <v>77</v>
      </c>
      <c r="G10532">
        <v>-181.8869</v>
      </c>
      <c r="H10532" s="1">
        <v>-3.0820579999999998E-6</v>
      </c>
      <c r="I10532">
        <v>122.7895</v>
      </c>
      <c r="J10532">
        <v>-184.77959999999999</v>
      </c>
      <c r="K10532">
        <v>1.105707</v>
      </c>
      <c r="L10532">
        <v>116.5179</v>
      </c>
      <c r="M10532">
        <v>0.15004529999999999</v>
      </c>
      <c r="N10532">
        <v>0</v>
      </c>
      <c r="O10532">
        <v>0.98856279999999996</v>
      </c>
      <c r="P10532">
        <v>0.35571920000000001</v>
      </c>
      <c r="Q10532">
        <v>9.3192090000000005E-2</v>
      </c>
      <c r="R10532">
        <v>0.92993499999999996</v>
      </c>
      <c r="S10532">
        <v>1.2530669999999999</v>
      </c>
      <c r="T10532">
        <v>-0.4716977</v>
      </c>
      <c r="U10532">
        <v>2.795776</v>
      </c>
      <c r="V10532">
        <v>0.21337829999999999</v>
      </c>
      <c r="W10532">
        <v>0.1054747</v>
      </c>
      <c r="X10532">
        <v>0.97125939999999999</v>
      </c>
      <c r="Y10532">
        <v>0.2625557</v>
      </c>
      <c r="Z10532">
        <v>-0.15353649999999999</v>
      </c>
      <c r="AA10532">
        <v>0.9526232</v>
      </c>
      <c r="AB10532">
        <v>39</v>
      </c>
      <c r="AC10532">
        <v>2.8926999999999898</v>
      </c>
      <c r="AD10532">
        <v>-1.1057100820579999</v>
      </c>
      <c r="AE10532">
        <v>6.2716000000000003</v>
      </c>
      <c r="AF10532">
        <v>1.8708609817753099</v>
      </c>
      <c r="AG10532">
        <v>-1.1057100820579999</v>
      </c>
      <c r="AH10532">
        <v>6.46886883812991</v>
      </c>
      <c r="AI10532">
        <v>99.324689695662499</v>
      </c>
      <c r="AJ10532">
        <v>73.869606798628197</v>
      </c>
      <c r="AK10532">
        <v>6.8241468070098099</v>
      </c>
      <c r="AL10532">
        <v>83.945483362464202</v>
      </c>
      <c r="AM10532">
        <v>77.609393592824802</v>
      </c>
      <c r="AN10532">
        <v>1.0000000166696601</v>
      </c>
    </row>
    <row r="10533" spans="1:40" x14ac:dyDescent="0.25">
      <c r="A10533" t="str">
        <f>"20190312150926609"</f>
        <v>20190312150926609</v>
      </c>
      <c r="B10533" t="str">
        <f>"1552374566600139"</f>
        <v>1552374566600139</v>
      </c>
      <c r="C10533" t="s">
        <v>40</v>
      </c>
      <c r="D10533">
        <v>5.0235849999999997</v>
      </c>
      <c r="E10533">
        <v>0.52281540000000004</v>
      </c>
      <c r="F10533" t="s">
        <v>77</v>
      </c>
      <c r="G10533">
        <v>-181.81909999999999</v>
      </c>
      <c r="H10533" s="1">
        <v>-3.1670910000000001E-6</v>
      </c>
      <c r="I10533">
        <v>123.017</v>
      </c>
      <c r="J10533">
        <v>-184.7415</v>
      </c>
      <c r="K10533">
        <v>1.1056490000000001</v>
      </c>
      <c r="L10533">
        <v>116.753</v>
      </c>
      <c r="M10533">
        <v>0.15296940000000001</v>
      </c>
      <c r="N10533">
        <v>0</v>
      </c>
      <c r="O10533">
        <v>0.98811450000000001</v>
      </c>
      <c r="P10533">
        <v>0.359601</v>
      </c>
      <c r="Q10533">
        <v>9.3255270000000001E-2</v>
      </c>
      <c r="R10533">
        <v>0.92843450000000005</v>
      </c>
      <c r="S10533">
        <v>1.269882</v>
      </c>
      <c r="T10533">
        <v>-0.4742942</v>
      </c>
      <c r="U10533">
        <v>2.787811</v>
      </c>
      <c r="V10533">
        <v>0.2145801</v>
      </c>
      <c r="W10533">
        <v>0.1054913</v>
      </c>
      <c r="X10533">
        <v>0.97099270000000004</v>
      </c>
      <c r="Y10533">
        <v>0.26543099999999997</v>
      </c>
      <c r="Z10533">
        <v>-0.15440709999999999</v>
      </c>
      <c r="AA10533">
        <v>0.95168529999999996</v>
      </c>
      <c r="AB10533">
        <v>39</v>
      </c>
      <c r="AC10533">
        <v>2.9224000000000099</v>
      </c>
      <c r="AD10533">
        <v>-1.10565216709099</v>
      </c>
      <c r="AE10533">
        <v>6.2640000000000198</v>
      </c>
      <c r="AF10533">
        <v>1.8815456648145701</v>
      </c>
      <c r="AG10533">
        <v>-1.10565216709099</v>
      </c>
      <c r="AH10533">
        <v>6.4717620231299904</v>
      </c>
      <c r="AI10533">
        <v>99.316388479374098</v>
      </c>
      <c r="AJ10533">
        <v>73.789183271267305</v>
      </c>
      <c r="AK10533">
        <v>6.8298158457899296</v>
      </c>
      <c r="AL10533">
        <v>83.944526381165304</v>
      </c>
      <c r="AM10533">
        <v>77.538464736082602</v>
      </c>
      <c r="AN10533">
        <v>0.99999992857249198</v>
      </c>
    </row>
    <row r="10534" spans="1:40" x14ac:dyDescent="0.25">
      <c r="A10534" t="str">
        <f>"20190312150926625"</f>
        <v>20190312150926625</v>
      </c>
      <c r="B10534" t="str">
        <f>"1552374566619658"</f>
        <v>1552374566619658</v>
      </c>
      <c r="C10534" t="s">
        <v>40</v>
      </c>
      <c r="D10534">
        <v>5.3020300000000002</v>
      </c>
      <c r="E10534">
        <v>0.52282090000000003</v>
      </c>
      <c r="F10534" t="s">
        <v>77</v>
      </c>
      <c r="G10534">
        <v>-181.7466</v>
      </c>
      <c r="H10534" s="1">
        <v>-3.255077E-6</v>
      </c>
      <c r="I10534">
        <v>123.2503</v>
      </c>
      <c r="J10534">
        <v>-184.69980000000001</v>
      </c>
      <c r="K10534">
        <v>1.1055919999999999</v>
      </c>
      <c r="L10534">
        <v>117.0064</v>
      </c>
      <c r="M10534">
        <v>0.15614639999999999</v>
      </c>
      <c r="N10534">
        <v>0</v>
      </c>
      <c r="O10534">
        <v>0.98761739999999998</v>
      </c>
      <c r="P10534">
        <v>0.36343730000000002</v>
      </c>
      <c r="Q10534">
        <v>9.3241459999999998E-2</v>
      </c>
      <c r="R10534">
        <v>0.92694089999999996</v>
      </c>
      <c r="S10534">
        <v>1.282394</v>
      </c>
      <c r="T10534">
        <v>-0.47343730000000001</v>
      </c>
      <c r="U10534">
        <v>2.7821199999999999</v>
      </c>
      <c r="V10534">
        <v>0.2154884</v>
      </c>
      <c r="W10534">
        <v>0.1054353</v>
      </c>
      <c r="X10534">
        <v>0.97079769999999999</v>
      </c>
      <c r="Y10534">
        <v>0.266621</v>
      </c>
      <c r="Z10534">
        <v>-0.15413869999999999</v>
      </c>
      <c r="AA10534">
        <v>0.95139600000000002</v>
      </c>
      <c r="AB10534">
        <v>39</v>
      </c>
      <c r="AC10534">
        <v>2.9531999999999998</v>
      </c>
      <c r="AD10534">
        <v>-1.1055952550769901</v>
      </c>
      <c r="AE10534">
        <v>6.2438999999999902</v>
      </c>
      <c r="AF10534">
        <v>1.89338147879591</v>
      </c>
      <c r="AG10534">
        <v>-1.1055952550769901</v>
      </c>
      <c r="AH10534">
        <v>6.4628899773181798</v>
      </c>
      <c r="AI10534">
        <v>99.322985431426403</v>
      </c>
      <c r="AJ10534">
        <v>73.671418129067305</v>
      </c>
      <c r="AK10534">
        <v>6.8246744355475197</v>
      </c>
      <c r="AL10534">
        <v>83.947753455904504</v>
      </c>
      <c r="AM10534">
        <v>77.484939793833703</v>
      </c>
      <c r="AN10534">
        <v>1.0000000136729601</v>
      </c>
    </row>
    <row r="10535" spans="1:40" x14ac:dyDescent="0.25">
      <c r="A10535" t="str">
        <f>"20190312150926640"</f>
        <v>20190312150926640</v>
      </c>
      <c r="B10535" t="str">
        <f>"1552374566629430"</f>
        <v>1552374566629430</v>
      </c>
      <c r="C10535" t="s">
        <v>40</v>
      </c>
      <c r="D10535">
        <v>5.0281539999999998</v>
      </c>
      <c r="E10535">
        <v>0.52282459999999997</v>
      </c>
      <c r="F10535" t="s">
        <v>77</v>
      </c>
      <c r="G10535">
        <v>-181.67240000000001</v>
      </c>
      <c r="H10535" s="1">
        <v>-3.349453E-6</v>
      </c>
      <c r="I10535">
        <v>123.50360000000001</v>
      </c>
      <c r="J10535">
        <v>-184.65430000000001</v>
      </c>
      <c r="K10535">
        <v>1.1055410000000001</v>
      </c>
      <c r="L10535">
        <v>117.2748</v>
      </c>
      <c r="M10535">
        <v>0.1595502</v>
      </c>
      <c r="N10535">
        <v>0</v>
      </c>
      <c r="O10535">
        <v>0.98707319999999998</v>
      </c>
      <c r="P10535">
        <v>0.36832429999999999</v>
      </c>
      <c r="Q10535">
        <v>9.3397969999999997E-2</v>
      </c>
      <c r="R10535">
        <v>0.92499410000000004</v>
      </c>
      <c r="S10535">
        <v>1.293793</v>
      </c>
      <c r="T10535">
        <v>-0.47249360000000001</v>
      </c>
      <c r="U10535">
        <v>2.7767029999999999</v>
      </c>
      <c r="V10535">
        <v>0.21728539999999999</v>
      </c>
      <c r="W10535">
        <v>0.1055377</v>
      </c>
      <c r="X10535">
        <v>0.97038590000000002</v>
      </c>
      <c r="Y10535">
        <v>0.26724029999999999</v>
      </c>
      <c r="Z10535">
        <v>-0.15384139999999999</v>
      </c>
      <c r="AA10535">
        <v>0.95127050000000002</v>
      </c>
      <c r="AB10535">
        <v>39</v>
      </c>
      <c r="AC10535">
        <v>2.9818999999999898</v>
      </c>
      <c r="AD10535">
        <v>-1.105544349453</v>
      </c>
      <c r="AE10535">
        <v>6.2287999999999997</v>
      </c>
      <c r="AF10535">
        <v>1.9010501528821599</v>
      </c>
      <c r="AG10535">
        <v>-1.105544349453</v>
      </c>
      <c r="AH10535">
        <v>6.45926389080853</v>
      </c>
      <c r="AI10535">
        <v>99.324357333169402</v>
      </c>
      <c r="AJ10535">
        <v>73.6001191244262</v>
      </c>
      <c r="AK10535">
        <v>6.8233650058811701</v>
      </c>
      <c r="AL10535">
        <v>83.941853203425694</v>
      </c>
      <c r="AM10535">
        <v>77.378719625640599</v>
      </c>
      <c r="AN10535">
        <v>0.99999997304662902</v>
      </c>
    </row>
    <row r="10536" spans="1:40" x14ac:dyDescent="0.25">
      <c r="A10536" t="str">
        <f>"20190312150926652"</f>
        <v>20190312150926652</v>
      </c>
      <c r="B10536" t="str">
        <f>"1552374566649914"</f>
        <v>1552374566649914</v>
      </c>
      <c r="C10536" t="s">
        <v>40</v>
      </c>
      <c r="D10536">
        <v>5.2112319999999999</v>
      </c>
      <c r="E10536">
        <v>0.5228585</v>
      </c>
      <c r="F10536" t="s">
        <v>77</v>
      </c>
      <c r="G10536">
        <v>-181.58160000000001</v>
      </c>
      <c r="H10536" s="1">
        <v>-3.4550960000000001E-6</v>
      </c>
      <c r="I10536">
        <v>123.7803</v>
      </c>
      <c r="J10536">
        <v>-184.6163</v>
      </c>
      <c r="K10536">
        <v>1.1055010000000001</v>
      </c>
      <c r="L10536">
        <v>117.49509999999999</v>
      </c>
      <c r="M10536">
        <v>0.16235959999999999</v>
      </c>
      <c r="N10536">
        <v>0</v>
      </c>
      <c r="O10536">
        <v>0.98661500000000002</v>
      </c>
      <c r="P10536">
        <v>0.37194529999999998</v>
      </c>
      <c r="Q10536">
        <v>9.3563770000000004E-2</v>
      </c>
      <c r="R10536">
        <v>0.92352719999999999</v>
      </c>
      <c r="S10536">
        <v>1.308289</v>
      </c>
      <c r="T10536">
        <v>-0.47071160000000001</v>
      </c>
      <c r="U10536">
        <v>2.7698520000000002</v>
      </c>
      <c r="V10536">
        <v>0.2183409</v>
      </c>
      <c r="W10536">
        <v>0.1056662</v>
      </c>
      <c r="X10536">
        <v>0.97013499999999997</v>
      </c>
      <c r="Y10536">
        <v>0.26951449999999999</v>
      </c>
      <c r="Z10536">
        <v>-0.15329609999999999</v>
      </c>
      <c r="AA10536">
        <v>0.95071669999999997</v>
      </c>
      <c r="AB10536">
        <v>39</v>
      </c>
      <c r="AC10536">
        <v>3.03469999999998</v>
      </c>
      <c r="AD10536">
        <v>-1.105504455096</v>
      </c>
      <c r="AE10536">
        <v>6.2851999999999997</v>
      </c>
      <c r="AF10536">
        <v>1.9255363523379001</v>
      </c>
      <c r="AG10536">
        <v>-1.105504455096</v>
      </c>
      <c r="AH10536">
        <v>6.5307100957117097</v>
      </c>
      <c r="AI10536">
        <v>99.222483070194798</v>
      </c>
      <c r="AJ10536">
        <v>73.572198687048896</v>
      </c>
      <c r="AK10536">
        <v>6.8978260849808803</v>
      </c>
      <c r="AL10536">
        <v>83.934449499110102</v>
      </c>
      <c r="AM10536">
        <v>77.316214215086603</v>
      </c>
      <c r="AN10536">
        <v>1.00000000633012</v>
      </c>
    </row>
    <row r="10537" spans="1:40" x14ac:dyDescent="0.25">
      <c r="A10537" t="str">
        <f>"20190312150926665"</f>
        <v>20190312150926665</v>
      </c>
      <c r="B10537" t="str">
        <f>"1552374566659674"</f>
        <v>1552374566659674</v>
      </c>
      <c r="C10537" t="s">
        <v>40</v>
      </c>
      <c r="D10537">
        <v>4.9933649999999998</v>
      </c>
      <c r="E10537">
        <v>0.522868</v>
      </c>
      <c r="F10537" t="s">
        <v>77</v>
      </c>
      <c r="G10537">
        <v>-181.49680000000001</v>
      </c>
      <c r="H10537" s="1">
        <v>-3.5987259999999998E-6</v>
      </c>
      <c r="I10537">
        <v>124.03189999999999</v>
      </c>
      <c r="J10537">
        <v>-184.5805</v>
      </c>
      <c r="K10537">
        <v>1.105467</v>
      </c>
      <c r="L10537">
        <v>117.7007</v>
      </c>
      <c r="M10537">
        <v>0.16499040000000001</v>
      </c>
      <c r="N10537">
        <v>0</v>
      </c>
      <c r="O10537">
        <v>0.98617849999999996</v>
      </c>
      <c r="P10537">
        <v>0.37493389999999999</v>
      </c>
      <c r="Q10537">
        <v>9.3669500000000003E-2</v>
      </c>
      <c r="R10537">
        <v>0.92230730000000005</v>
      </c>
      <c r="S10537">
        <v>1.3192440000000001</v>
      </c>
      <c r="T10537">
        <v>-0.46751930000000003</v>
      </c>
      <c r="U10537">
        <v>2.7644350000000002</v>
      </c>
      <c r="V10537">
        <v>0.21890789999999999</v>
      </c>
      <c r="W10537">
        <v>0.10574500000000001</v>
      </c>
      <c r="X10537">
        <v>0.96999869999999999</v>
      </c>
      <c r="Y10537">
        <v>0.2708082</v>
      </c>
      <c r="Z10537">
        <v>-0.15229589999999901</v>
      </c>
      <c r="AA10537">
        <v>0.95050979999999996</v>
      </c>
      <c r="AB10537">
        <v>39</v>
      </c>
      <c r="AC10537">
        <v>3.0836999999999901</v>
      </c>
      <c r="AD10537">
        <v>-1.1054705987260001</v>
      </c>
      <c r="AE10537">
        <v>6.3311999999999902</v>
      </c>
      <c r="AF10537">
        <v>1.94870178480798</v>
      </c>
      <c r="AG10537">
        <v>-1.1054705987260001</v>
      </c>
      <c r="AH10537">
        <v>6.5908415254613404</v>
      </c>
      <c r="AI10537">
        <v>99.137480763117594</v>
      </c>
      <c r="AJ10537">
        <v>73.528730869015206</v>
      </c>
      <c r="AK10537">
        <v>6.9612280457191602</v>
      </c>
      <c r="AL10537">
        <v>83.929909577894605</v>
      </c>
      <c r="AM10537">
        <v>77.282617207763394</v>
      </c>
      <c r="AN10537">
        <v>1.00000007585454</v>
      </c>
    </row>
    <row r="10538" spans="1:40" x14ac:dyDescent="0.25">
      <c r="A10538" t="str">
        <f>"20190312150926678"</f>
        <v>20190312150926678</v>
      </c>
      <c r="B10538" t="str">
        <f>"1552374566669434"</f>
        <v>1552374566669434</v>
      </c>
      <c r="C10538" t="s">
        <v>40</v>
      </c>
      <c r="D10538">
        <v>5.0365630000000001</v>
      </c>
      <c r="E10538">
        <v>0.52291030000000005</v>
      </c>
      <c r="F10538" t="s">
        <v>77</v>
      </c>
      <c r="G10538">
        <v>-181.43190000000001</v>
      </c>
      <c r="H10538" s="1">
        <v>-3.7242380000000001E-6</v>
      </c>
      <c r="I10538">
        <v>124.2444</v>
      </c>
      <c r="J10538">
        <v>-184.5394</v>
      </c>
      <c r="K10538">
        <v>1.1054310000000001</v>
      </c>
      <c r="L10538">
        <v>117.9312</v>
      </c>
      <c r="M10538">
        <v>0.16795940000000001</v>
      </c>
      <c r="N10538">
        <v>0</v>
      </c>
      <c r="O10538">
        <v>0.98567709999999997</v>
      </c>
      <c r="P10538">
        <v>0.37819029999999998</v>
      </c>
      <c r="Q10538">
        <v>9.3858200000000003E-2</v>
      </c>
      <c r="R10538">
        <v>0.92095749999999998</v>
      </c>
      <c r="S10538">
        <v>1.3281099999999999</v>
      </c>
      <c r="T10538">
        <v>-0.46629340000000002</v>
      </c>
      <c r="U10538">
        <v>2.7601469999999999</v>
      </c>
      <c r="V10538">
        <v>0.21942929999999999</v>
      </c>
      <c r="W10538">
        <v>0.1059071</v>
      </c>
      <c r="X10538">
        <v>0.96986309999999998</v>
      </c>
      <c r="Y10538">
        <v>0.27099459999999997</v>
      </c>
      <c r="Z10538">
        <v>-0.15189720000000001</v>
      </c>
      <c r="AA10538">
        <v>0.95052049999999999</v>
      </c>
      <c r="AB10538">
        <v>39</v>
      </c>
      <c r="AC10538">
        <v>3.1074999999999799</v>
      </c>
      <c r="AD10538">
        <v>-1.105434724238</v>
      </c>
      <c r="AE10538">
        <v>6.3131999999999904</v>
      </c>
      <c r="AF10538">
        <v>1.9546207495397401</v>
      </c>
      <c r="AG10538">
        <v>-1.105434724238</v>
      </c>
      <c r="AH10538">
        <v>6.5830178799258796</v>
      </c>
      <c r="AI10538">
        <v>99.144802174053396</v>
      </c>
      <c r="AJ10538">
        <v>73.462864035834002</v>
      </c>
      <c r="AK10538">
        <v>6.95547644748412</v>
      </c>
      <c r="AL10538">
        <v>83.920568913008793</v>
      </c>
      <c r="AM10538">
        <v>77.251591220225507</v>
      </c>
      <c r="AN10538">
        <v>0.99999998213525398</v>
      </c>
    </row>
    <row r="10539" spans="1:40" x14ac:dyDescent="0.25">
      <c r="A10539" t="str">
        <f>"20190312150926689"</f>
        <v>20190312150926689</v>
      </c>
      <c r="B10539" t="str">
        <f>"1552374566680172"</f>
        <v>1552374566680172</v>
      </c>
      <c r="C10539" t="s">
        <v>40</v>
      </c>
      <c r="D10539">
        <v>5.1329729999999998</v>
      </c>
      <c r="E10539">
        <v>0.52295859999999905</v>
      </c>
      <c r="F10539" t="s">
        <v>77</v>
      </c>
      <c r="G10539">
        <v>-181.35239999999999</v>
      </c>
      <c r="H10539" s="1">
        <v>-3.8718139999999999E-6</v>
      </c>
      <c r="I10539">
        <v>124.49339999999999</v>
      </c>
      <c r="J10539">
        <v>-184.50470000000001</v>
      </c>
      <c r="K10539">
        <v>1.1054060000000001</v>
      </c>
      <c r="L10539">
        <v>118.1229</v>
      </c>
      <c r="M10539">
        <v>0.17043449999999999</v>
      </c>
      <c r="N10539">
        <v>0</v>
      </c>
      <c r="O10539">
        <v>0.98525209999999996</v>
      </c>
      <c r="P10539">
        <v>0.38103320000000002</v>
      </c>
      <c r="Q10539">
        <v>9.3610139999999994E-2</v>
      </c>
      <c r="R10539">
        <v>0.91981020000000002</v>
      </c>
      <c r="S10539">
        <v>1.3381350000000001</v>
      </c>
      <c r="T10539">
        <v>-0.4641459</v>
      </c>
      <c r="U10539">
        <v>2.7552949999999998</v>
      </c>
      <c r="V10539">
        <v>0.2199893</v>
      </c>
      <c r="W10539">
        <v>0.1056373</v>
      </c>
      <c r="X10539">
        <v>0.96976569999999995</v>
      </c>
      <c r="Y10539">
        <v>0.27208120000000002</v>
      </c>
      <c r="Z10539">
        <v>-0.15121660000000001</v>
      </c>
      <c r="AA10539">
        <v>0.95031860000000001</v>
      </c>
      <c r="AB10539">
        <v>39</v>
      </c>
      <c r="AC10539">
        <v>3.1523000000000199</v>
      </c>
      <c r="AD10539">
        <v>-1.105409871814</v>
      </c>
      <c r="AE10539">
        <v>6.3704999999999901</v>
      </c>
      <c r="AF10539">
        <v>1.9725792735169601</v>
      </c>
      <c r="AG10539">
        <v>-1.105409871814</v>
      </c>
      <c r="AH10539">
        <v>6.6536624177452097</v>
      </c>
      <c r="AI10539">
        <v>99.050223687212906</v>
      </c>
      <c r="AJ10539">
        <v>73.486743269678996</v>
      </c>
      <c r="AK10539">
        <v>7.0273909485902104</v>
      </c>
      <c r="AL10539">
        <v>83.936114762622097</v>
      </c>
      <c r="AM10539">
        <v>77.218882051708803</v>
      </c>
      <c r="AN10539">
        <v>1.00000002208113</v>
      </c>
    </row>
    <row r="10540" spans="1:40" x14ac:dyDescent="0.25">
      <c r="A10540" t="str">
        <f>"20190312150926700"</f>
        <v>20190312150926700</v>
      </c>
      <c r="B10540" t="str">
        <f>"1552374566689931"</f>
        <v>1552374566689931</v>
      </c>
      <c r="C10540" t="s">
        <v>40</v>
      </c>
      <c r="D10540">
        <v>5.041347</v>
      </c>
      <c r="E10540">
        <v>0.52298339999999999</v>
      </c>
      <c r="F10540" t="s">
        <v>77</v>
      </c>
      <c r="G10540">
        <v>-181.29570000000001</v>
      </c>
      <c r="H10540" s="1">
        <v>-3.9631649999999997E-6</v>
      </c>
      <c r="I10540">
        <v>124.6782</v>
      </c>
      <c r="J10540">
        <v>-184.4692</v>
      </c>
      <c r="K10540">
        <v>1.105383</v>
      </c>
      <c r="L10540">
        <v>118.31699999999999</v>
      </c>
      <c r="M10540">
        <v>0.1729475</v>
      </c>
      <c r="N10540">
        <v>0</v>
      </c>
      <c r="O10540">
        <v>0.98481410000000003</v>
      </c>
      <c r="P10540">
        <v>0.38376339999999998</v>
      </c>
      <c r="Q10540">
        <v>9.364364E-2</v>
      </c>
      <c r="R10540">
        <v>0.91867109999999996</v>
      </c>
      <c r="S10540">
        <v>1.346649</v>
      </c>
      <c r="T10540">
        <v>-0.46388570000000001</v>
      </c>
      <c r="U10540">
        <v>2.7509160000000001</v>
      </c>
      <c r="V10540">
        <v>0.2204033</v>
      </c>
      <c r="W10540">
        <v>0.1056516</v>
      </c>
      <c r="X10540">
        <v>0.96967009999999998</v>
      </c>
      <c r="Y10540">
        <v>0.272603599999999</v>
      </c>
      <c r="Z10540">
        <v>-0.15113840000000001</v>
      </c>
      <c r="AA10540">
        <v>0.95018130000000001</v>
      </c>
      <c r="AB10540">
        <v>39</v>
      </c>
      <c r="AC10540">
        <v>3.17349999999999</v>
      </c>
      <c r="AD10540">
        <v>-1.105386963165</v>
      </c>
      <c r="AE10540">
        <v>6.3611999999999904</v>
      </c>
      <c r="AF10540">
        <v>1.97757259757026</v>
      </c>
      <c r="AG10540">
        <v>-1.105386963165</v>
      </c>
      <c r="AH10540">
        <v>6.6533652964261902</v>
      </c>
      <c r="AI10540">
        <v>99.048582404360999</v>
      </c>
      <c r="AJ10540">
        <v>73.446528143096501</v>
      </c>
      <c r="AK10540">
        <v>7.0285093358893898</v>
      </c>
      <c r="AL10540">
        <v>83.935290621020997</v>
      </c>
      <c r="AM10540">
        <v>77.194400551685604</v>
      </c>
      <c r="AN10540">
        <v>0.999999989033729</v>
      </c>
    </row>
    <row r="10541" spans="1:40" x14ac:dyDescent="0.25">
      <c r="A10541" t="str">
        <f>"20190312150926711"</f>
        <v>20190312150926711</v>
      </c>
      <c r="B10541" t="str">
        <f>"1552374566699691"</f>
        <v>1552374566699691</v>
      </c>
      <c r="C10541" t="s">
        <v>40</v>
      </c>
      <c r="D10541">
        <v>4.9574949999999998</v>
      </c>
      <c r="E10541">
        <v>0.523034</v>
      </c>
      <c r="F10541" t="s">
        <v>77</v>
      </c>
      <c r="G10541">
        <v>-181.2336</v>
      </c>
      <c r="H10541" s="1">
        <v>-4.0238999999999997E-6</v>
      </c>
      <c r="I10541">
        <v>124.87869999999999</v>
      </c>
      <c r="J10541">
        <v>-184.4348</v>
      </c>
      <c r="K10541">
        <v>1.105364</v>
      </c>
      <c r="L10541">
        <v>118.5012</v>
      </c>
      <c r="M10541">
        <v>0.1753381</v>
      </c>
      <c r="N10541">
        <v>0</v>
      </c>
      <c r="O10541">
        <v>0.98439129999999997</v>
      </c>
      <c r="P10541">
        <v>0.38630520000000002</v>
      </c>
      <c r="Q10541">
        <v>9.3702579999999994E-2</v>
      </c>
      <c r="R10541">
        <v>0.9175991</v>
      </c>
      <c r="S10541">
        <v>1.354538</v>
      </c>
      <c r="T10541">
        <v>-0.46275040000000001</v>
      </c>
      <c r="U10541">
        <v>2.746918</v>
      </c>
      <c r="V10541">
        <v>0.22074070000000001</v>
      </c>
      <c r="W10541">
        <v>0.1056942</v>
      </c>
      <c r="X10541">
        <v>0.96958869999999997</v>
      </c>
      <c r="Y10541">
        <v>0.2730378</v>
      </c>
      <c r="Z10541">
        <v>-0.1507754</v>
      </c>
      <c r="AA10541">
        <v>0.95011429999999997</v>
      </c>
      <c r="AB10541">
        <v>39</v>
      </c>
      <c r="AC10541">
        <v>3.2012</v>
      </c>
      <c r="AD10541">
        <v>-1.1053680239000001</v>
      </c>
      <c r="AE10541">
        <v>6.3774999999999897</v>
      </c>
      <c r="AF10541">
        <v>1.9856039574587401</v>
      </c>
      <c r="AG10541">
        <v>-1.1053680239000001</v>
      </c>
      <c r="AH10541">
        <v>6.67975376733499</v>
      </c>
      <c r="AI10541">
        <v>99.013203801857998</v>
      </c>
      <c r="AJ10541">
        <v>73.445046926175294</v>
      </c>
      <c r="AK10541">
        <v>7.0557474399501103</v>
      </c>
      <c r="AL10541">
        <v>83.932836046147301</v>
      </c>
      <c r="AM10541">
        <v>77.174404050168903</v>
      </c>
      <c r="AN10541">
        <v>0.99999998385890898</v>
      </c>
    </row>
    <row r="10542" spans="1:40" x14ac:dyDescent="0.25">
      <c r="A10542" t="str">
        <f>"20190312150926723"</f>
        <v>20190312150926723</v>
      </c>
      <c r="B10542" t="str">
        <f>"1552374566720186"</f>
        <v>1552374566720186</v>
      </c>
      <c r="C10542" t="s">
        <v>40</v>
      </c>
      <c r="D10542">
        <v>4.999752</v>
      </c>
      <c r="E10542">
        <v>0.52314620000000001</v>
      </c>
      <c r="F10542" t="s">
        <v>77</v>
      </c>
      <c r="G10542">
        <v>-181.1737</v>
      </c>
      <c r="H10542" s="1">
        <v>-4.0814350000000003E-6</v>
      </c>
      <c r="I10542">
        <v>125.0681</v>
      </c>
      <c r="J10542">
        <v>-184.39869999999999</v>
      </c>
      <c r="K10542">
        <v>1.1053459999999999</v>
      </c>
      <c r="L10542">
        <v>118.6938</v>
      </c>
      <c r="M10542">
        <v>0.17784079999999999</v>
      </c>
      <c r="N10542">
        <v>0</v>
      </c>
      <c r="O10542">
        <v>0.98394230000000005</v>
      </c>
      <c r="P10542">
        <v>0.3890805</v>
      </c>
      <c r="Q10542">
        <v>9.3954689999999993E-2</v>
      </c>
      <c r="R10542">
        <v>0.91639999999999999</v>
      </c>
      <c r="S10542">
        <v>1.3622129999999999</v>
      </c>
      <c r="T10542">
        <v>-0.46172259999999998</v>
      </c>
      <c r="U10542">
        <v>2.7430729999999999</v>
      </c>
      <c r="V10542">
        <v>0.2212229</v>
      </c>
      <c r="W10542">
        <v>0.10592799999999999</v>
      </c>
      <c r="X10542">
        <v>0.96945329999999996</v>
      </c>
      <c r="Y10542">
        <v>0.27327950000000001</v>
      </c>
      <c r="Z10542">
        <v>-0.1504392</v>
      </c>
      <c r="AA10542">
        <v>0.95009809999999995</v>
      </c>
      <c r="AB10542">
        <v>39</v>
      </c>
      <c r="AC10542">
        <v>3.2249999999999899</v>
      </c>
      <c r="AD10542">
        <v>-1.1053500814349999</v>
      </c>
      <c r="AE10542">
        <v>6.3742999999999999</v>
      </c>
      <c r="AF10542">
        <v>1.99214288889377</v>
      </c>
      <c r="AG10542">
        <v>-1.1053500814349999</v>
      </c>
      <c r="AH10542">
        <v>6.6861895293367697</v>
      </c>
      <c r="AI10542">
        <v>99.002851525440306</v>
      </c>
      <c r="AJ10542">
        <v>73.408631898358195</v>
      </c>
      <c r="AK10542">
        <v>7.0636791061394497</v>
      </c>
      <c r="AL10542">
        <v>83.919364807542607</v>
      </c>
      <c r="AM10542">
        <v>77.145581052688001</v>
      </c>
      <c r="AN10542">
        <v>1.00000000677465</v>
      </c>
    </row>
    <row r="10543" spans="1:40" x14ac:dyDescent="0.25">
      <c r="A10543" t="str">
        <f>"20190312150926734"</f>
        <v>20190312150926734</v>
      </c>
      <c r="B10543" t="str">
        <f>"1552374566729946"</f>
        <v>1552374566729946</v>
      </c>
      <c r="C10543" t="s">
        <v>40</v>
      </c>
      <c r="D10543">
        <v>5.112724</v>
      </c>
      <c r="E10543">
        <v>0.52322970000000002</v>
      </c>
      <c r="F10543" t="s">
        <v>77</v>
      </c>
      <c r="G10543">
        <v>-181.0977</v>
      </c>
      <c r="H10543" s="1">
        <v>-4.1487340000000003E-6</v>
      </c>
      <c r="I10543">
        <v>125.2865</v>
      </c>
      <c r="J10543">
        <v>-184.36070000000001</v>
      </c>
      <c r="K10543">
        <v>1.1053309999999901</v>
      </c>
      <c r="L10543">
        <v>118.89100000000001</v>
      </c>
      <c r="M10543">
        <v>0.18041080000000001</v>
      </c>
      <c r="N10543">
        <v>0</v>
      </c>
      <c r="O10543">
        <v>0.98347430000000002</v>
      </c>
      <c r="P10543">
        <v>0.39179170000000002</v>
      </c>
      <c r="Q10543">
        <v>9.4143679999999993E-2</v>
      </c>
      <c r="R10543">
        <v>0.9152247</v>
      </c>
      <c r="S10543">
        <v>1.371216</v>
      </c>
      <c r="T10543">
        <v>-0.4591578</v>
      </c>
      <c r="U10543">
        <v>2.7385860000000002</v>
      </c>
      <c r="V10543">
        <v>0.22157070000000001</v>
      </c>
      <c r="W10543">
        <v>0.106102</v>
      </c>
      <c r="X10543">
        <v>0.96935490000000002</v>
      </c>
      <c r="Y10543">
        <v>0.2739453</v>
      </c>
      <c r="Z10543">
        <v>-0.14961559999999999</v>
      </c>
      <c r="AA10543">
        <v>0.9500364</v>
      </c>
      <c r="AB10543">
        <v>39</v>
      </c>
      <c r="AC10543">
        <v>3.2629999999999999</v>
      </c>
      <c r="AD10543">
        <v>-1.10533514873399</v>
      </c>
      <c r="AE10543">
        <v>6.3954999999999904</v>
      </c>
      <c r="AF10543">
        <v>2.00790704103879</v>
      </c>
      <c r="AG10543">
        <v>-1.10533514873399</v>
      </c>
      <c r="AH10543">
        <v>6.7200127450351799</v>
      </c>
      <c r="AI10543">
        <v>98.956112931140794</v>
      </c>
      <c r="AJ10543">
        <v>73.364110981995495</v>
      </c>
      <c r="AK10543">
        <v>7.1001427992622199</v>
      </c>
      <c r="AL10543">
        <v>83.909339201971207</v>
      </c>
      <c r="AM10543">
        <v>77.124781294119401</v>
      </c>
      <c r="AN10543">
        <v>1.00000006582824</v>
      </c>
    </row>
    <row r="10544" spans="1:40" x14ac:dyDescent="0.25">
      <c r="A10544" t="str">
        <f>"20190312150926746"</f>
        <v>20190312150926746</v>
      </c>
      <c r="B10544" t="str">
        <f>"1552374566739707"</f>
        <v>1552374566739707</v>
      </c>
      <c r="C10544" t="s">
        <v>40</v>
      </c>
      <c r="D10544">
        <v>5.1770199999999997</v>
      </c>
      <c r="E10544">
        <v>0.52326260000000002</v>
      </c>
      <c r="F10544" t="s">
        <v>77</v>
      </c>
      <c r="G10544">
        <v>-181.0299</v>
      </c>
      <c r="H10544" s="1">
        <v>-4.2113949999999997E-6</v>
      </c>
      <c r="I10544">
        <v>125.4915</v>
      </c>
      <c r="J10544">
        <v>-184.32390000000001</v>
      </c>
      <c r="K10544">
        <v>1.105318</v>
      </c>
      <c r="L10544">
        <v>119.0818</v>
      </c>
      <c r="M10544">
        <v>0.1828978</v>
      </c>
      <c r="N10544">
        <v>0</v>
      </c>
      <c r="O10544">
        <v>0.98301479999999997</v>
      </c>
      <c r="P10544">
        <v>0.39418320000000001</v>
      </c>
      <c r="Q10544">
        <v>9.41578E-2</v>
      </c>
      <c r="R10544">
        <v>0.9141958</v>
      </c>
      <c r="S10544">
        <v>1.379837</v>
      </c>
      <c r="T10544">
        <v>-0.4579008</v>
      </c>
      <c r="U10544">
        <v>2.7343289999999998</v>
      </c>
      <c r="V10544">
        <v>0.22165750000000001</v>
      </c>
      <c r="W10544">
        <v>0.1061067</v>
      </c>
      <c r="X10544">
        <v>0.96933449999999999</v>
      </c>
      <c r="Y10544">
        <v>0.27452539999999997</v>
      </c>
      <c r="Z10544">
        <v>-0.14920429999999901</v>
      </c>
      <c r="AA10544">
        <v>0.94993360000000004</v>
      </c>
      <c r="AB10544">
        <v>39</v>
      </c>
      <c r="AC10544">
        <v>3.2940000000000098</v>
      </c>
      <c r="AD10544">
        <v>-1.1053222113950001</v>
      </c>
      <c r="AE10544">
        <v>6.4097</v>
      </c>
      <c r="AF10544">
        <v>2.01848480104286</v>
      </c>
      <c r="AG10544">
        <v>-1.1053222113950001</v>
      </c>
      <c r="AH10544">
        <v>6.7454080640563996</v>
      </c>
      <c r="AI10544">
        <v>98.921767485760199</v>
      </c>
      <c r="AJ10544">
        <v>73.340800066384404</v>
      </c>
      <c r="AK10544">
        <v>7.1271697070913902</v>
      </c>
      <c r="AL10544">
        <v>83.909068139486706</v>
      </c>
      <c r="AM10544">
        <v>77.119643607283294</v>
      </c>
      <c r="AN10544">
        <v>1.00000002599069</v>
      </c>
    </row>
    <row r="10545" spans="1:40" x14ac:dyDescent="0.25">
      <c r="A10545" t="str">
        <f>"20190312150926758"</f>
        <v>20190312150926758</v>
      </c>
      <c r="B10545" t="str">
        <f>"1552374566749467"</f>
        <v>1552374566749467</v>
      </c>
      <c r="C10545" t="s">
        <v>40</v>
      </c>
      <c r="D10545">
        <v>4.976305</v>
      </c>
      <c r="E10545">
        <v>0.52334919999999996</v>
      </c>
      <c r="F10545" t="s">
        <v>77</v>
      </c>
      <c r="G10545">
        <v>-180.96889999999999</v>
      </c>
      <c r="H10545" s="1">
        <v>-4.2703649999999999E-6</v>
      </c>
      <c r="I10545">
        <v>125.6858</v>
      </c>
      <c r="J10545">
        <v>-184.2807</v>
      </c>
      <c r="K10545">
        <v>1.105305</v>
      </c>
      <c r="L10545">
        <v>119.3005</v>
      </c>
      <c r="M10545">
        <v>0.18575549999999999</v>
      </c>
      <c r="N10545">
        <v>0</v>
      </c>
      <c r="O10545">
        <v>0.98247890000000004</v>
      </c>
      <c r="P10545">
        <v>0.3972677</v>
      </c>
      <c r="Q10545">
        <v>9.4146709999999995E-2</v>
      </c>
      <c r="R10545">
        <v>0.91286080000000003</v>
      </c>
      <c r="S10545">
        <v>1.3871770000000001</v>
      </c>
      <c r="T10545">
        <v>-0.45701079999999999</v>
      </c>
      <c r="U10545">
        <v>2.730515</v>
      </c>
      <c r="V10545">
        <v>0.22211539999999999</v>
      </c>
      <c r="W10545">
        <v>0.1060807</v>
      </c>
      <c r="X10545">
        <v>0.96923250000000005</v>
      </c>
      <c r="Y10545">
        <v>0.27431749999999999</v>
      </c>
      <c r="Z10545">
        <v>-0.1489027</v>
      </c>
      <c r="AA10545">
        <v>0.95004100000000002</v>
      </c>
      <c r="AB10545">
        <v>39</v>
      </c>
      <c r="AC10545">
        <v>3.3117999999999999</v>
      </c>
      <c r="AD10545">
        <v>-1.105309270365</v>
      </c>
      <c r="AE10545">
        <v>6.3853</v>
      </c>
      <c r="AF10545">
        <v>2.0202050216887502</v>
      </c>
      <c r="AG10545">
        <v>-1.105309270365</v>
      </c>
      <c r="AH10545">
        <v>6.7304773902175397</v>
      </c>
      <c r="AI10545">
        <v>98.938912993100402</v>
      </c>
      <c r="AJ10545">
        <v>73.292463446695393</v>
      </c>
      <c r="AK10545">
        <v>7.1135267493023999</v>
      </c>
      <c r="AL10545">
        <v>83.910566141108703</v>
      </c>
      <c r="AM10545">
        <v>77.092612741624094</v>
      </c>
      <c r="AN10545">
        <v>1.0000000024429501</v>
      </c>
    </row>
    <row r="10546" spans="1:40" x14ac:dyDescent="0.25">
      <c r="A10546" t="str">
        <f>"20190312150926774"</f>
        <v>20190312150926774</v>
      </c>
      <c r="B10546" t="str">
        <f>"1552374566769962"</f>
        <v>1552374566769962</v>
      </c>
      <c r="C10546" t="s">
        <v>40</v>
      </c>
      <c r="D10546">
        <v>5.1094499999999998</v>
      </c>
      <c r="E10546">
        <v>0.52347979999999905</v>
      </c>
      <c r="F10546" t="s">
        <v>77</v>
      </c>
      <c r="G10546">
        <v>-180.89769999999999</v>
      </c>
      <c r="H10546" s="1">
        <v>-4.3361660000000004E-6</v>
      </c>
      <c r="I10546">
        <v>125.901</v>
      </c>
      <c r="J10546">
        <v>-184.22880000000001</v>
      </c>
      <c r="K10546">
        <v>1.105289</v>
      </c>
      <c r="L10546">
        <v>119.5595</v>
      </c>
      <c r="M10546">
        <v>0.1891418</v>
      </c>
      <c r="N10546">
        <v>0</v>
      </c>
      <c r="O10546">
        <v>0.98183260000000006</v>
      </c>
      <c r="P10546">
        <v>0.40093770000000001</v>
      </c>
      <c r="Q10546">
        <v>9.3816010000000005E-2</v>
      </c>
      <c r="R10546">
        <v>0.91128900000000002</v>
      </c>
      <c r="S10546">
        <v>1.396927</v>
      </c>
      <c r="T10546">
        <v>-0.45641579999999898</v>
      </c>
      <c r="U10546">
        <v>2.7255250000000002</v>
      </c>
      <c r="V10546">
        <v>0.22266710000000001</v>
      </c>
      <c r="W10546">
        <v>0.1057336</v>
      </c>
      <c r="X10546">
        <v>0.9691438</v>
      </c>
      <c r="Y10546">
        <v>0.27441670000000001</v>
      </c>
      <c r="Z10546">
        <v>-0.14869099999999999</v>
      </c>
      <c r="AA10546">
        <v>0.95004549999999999</v>
      </c>
      <c r="AB10546">
        <v>39</v>
      </c>
      <c r="AC10546">
        <v>3.3311000000000202</v>
      </c>
      <c r="AD10546">
        <v>-1.105293336166</v>
      </c>
      <c r="AE10546">
        <v>6.3415000000000097</v>
      </c>
      <c r="AF10546">
        <v>2.0232071360321302</v>
      </c>
      <c r="AG10546">
        <v>-1.105293336166</v>
      </c>
      <c r="AH10546">
        <v>6.6976642960654402</v>
      </c>
      <c r="AI10546">
        <v>98.977187426930399</v>
      </c>
      <c r="AJ10546">
        <v>73.191666000585897</v>
      </c>
      <c r="AK10546">
        <v>7.0833429605698202</v>
      </c>
      <c r="AL10546">
        <v>83.930565777095396</v>
      </c>
      <c r="AM10546">
        <v>77.060486055735396</v>
      </c>
      <c r="AN10546">
        <v>0.99999996833490401</v>
      </c>
    </row>
    <row r="10547" spans="1:40" x14ac:dyDescent="0.25">
      <c r="A10547" t="str">
        <f>"20190312150926789"</f>
        <v>20190312150926789</v>
      </c>
      <c r="B10547" t="str">
        <f>"1552374566779724"</f>
        <v>1552374566779724</v>
      </c>
      <c r="C10547" t="s">
        <v>40</v>
      </c>
      <c r="D10547">
        <v>5.0277240000000001</v>
      </c>
      <c r="E10547">
        <v>0.52358509999999903</v>
      </c>
      <c r="F10547" t="s">
        <v>77</v>
      </c>
      <c r="G10547">
        <v>-180.81309999999999</v>
      </c>
      <c r="H10547" s="1">
        <v>-4.4133919999999997E-6</v>
      </c>
      <c r="I10547">
        <v>126.15300000000001</v>
      </c>
      <c r="J10547">
        <v>-184.1773</v>
      </c>
      <c r="K10547">
        <v>1.105278</v>
      </c>
      <c r="L10547">
        <v>119.81270000000001</v>
      </c>
      <c r="M10547">
        <v>0.19245419999999999</v>
      </c>
      <c r="N10547">
        <v>0</v>
      </c>
      <c r="O10547">
        <v>0.98118870000000002</v>
      </c>
      <c r="P10547">
        <v>0.40450469999999999</v>
      </c>
      <c r="Q10547">
        <v>9.3423140000000002E-2</v>
      </c>
      <c r="R10547">
        <v>0.90975170000000005</v>
      </c>
      <c r="S10547">
        <v>1.4086609999999999</v>
      </c>
      <c r="T10547">
        <v>-0.45583800000000002</v>
      </c>
      <c r="U10547">
        <v>2.7192229999999999</v>
      </c>
      <c r="V10547">
        <v>0.2231841</v>
      </c>
      <c r="W10547">
        <v>0.1053263</v>
      </c>
      <c r="X10547">
        <v>0.96906919999999996</v>
      </c>
      <c r="Y10547">
        <v>0.27531820000000001</v>
      </c>
      <c r="Z10547">
        <v>-0.1485061</v>
      </c>
      <c r="AA10547">
        <v>0.94981360000000004</v>
      </c>
      <c r="AB10547">
        <v>38</v>
      </c>
      <c r="AC10547">
        <v>3.3642000000000101</v>
      </c>
      <c r="AD10547">
        <v>-1.1052824133920001</v>
      </c>
      <c r="AE10547">
        <v>6.3402999999999796</v>
      </c>
      <c r="AF10547">
        <v>2.0327340602895201</v>
      </c>
      <c r="AG10547">
        <v>-1.1052824133920001</v>
      </c>
      <c r="AH10547">
        <v>6.7101549357744199</v>
      </c>
      <c r="AI10547">
        <v>98.958566440109607</v>
      </c>
      <c r="AJ10547">
        <v>73.146655174977198</v>
      </c>
      <c r="AK10547">
        <v>7.0978754733590899</v>
      </c>
      <c r="AL10547">
        <v>83.954033236546096</v>
      </c>
      <c r="AM10547">
        <v>77.030492387450195</v>
      </c>
      <c r="AN10547">
        <v>0.99999994317656804</v>
      </c>
    </row>
    <row r="10548" spans="1:40" x14ac:dyDescent="0.25">
      <c r="A10548" t="str">
        <f>"20190312150926802"</f>
        <v>20190312150926802</v>
      </c>
      <c r="B10548" t="str">
        <f>"1552374566789485"</f>
        <v>1552374566789485</v>
      </c>
      <c r="C10548" t="s">
        <v>40</v>
      </c>
      <c r="D10548">
        <v>4.9667729999999999</v>
      </c>
      <c r="E10548">
        <v>0.52368349999999997</v>
      </c>
      <c r="F10548" t="s">
        <v>77</v>
      </c>
      <c r="G10548">
        <v>-180.74080000000001</v>
      </c>
      <c r="H10548" s="1">
        <v>-4.4825270000000004E-6</v>
      </c>
      <c r="I10548">
        <v>126.38039999999999</v>
      </c>
      <c r="J10548">
        <v>-184.1311</v>
      </c>
      <c r="K10548">
        <v>1.1052660000000001</v>
      </c>
      <c r="L10548">
        <v>120.036</v>
      </c>
      <c r="M10548">
        <v>0.19537860000000001</v>
      </c>
      <c r="N10548">
        <v>0</v>
      </c>
      <c r="O10548">
        <v>0.98061050000000005</v>
      </c>
      <c r="P10548">
        <v>0.40773300000000001</v>
      </c>
      <c r="Q10548">
        <v>9.3286919999999995E-2</v>
      </c>
      <c r="R10548">
        <v>0.9083234</v>
      </c>
      <c r="S10548">
        <v>1.4196930000000001</v>
      </c>
      <c r="T10548">
        <v>-0.4566152</v>
      </c>
      <c r="U10548">
        <v>2.713257</v>
      </c>
      <c r="V10548">
        <v>0.2237345</v>
      </c>
      <c r="W10548">
        <v>0.1051764</v>
      </c>
      <c r="X10548">
        <v>0.9689586</v>
      </c>
      <c r="Y10548">
        <v>0.27632630000000002</v>
      </c>
      <c r="Z10548">
        <v>-0.14875539999999901</v>
      </c>
      <c r="AA10548">
        <v>0.94948169999999998</v>
      </c>
      <c r="AB10548">
        <v>38</v>
      </c>
      <c r="AC10548">
        <v>3.3902999999999901</v>
      </c>
      <c r="AD10548">
        <v>-1.1052704825270001</v>
      </c>
      <c r="AE10548">
        <v>6.3443999999999896</v>
      </c>
      <c r="AF10548">
        <v>2.0371502709226701</v>
      </c>
      <c r="AG10548">
        <v>-1.1052704825270001</v>
      </c>
      <c r="AH10548">
        <v>6.7257857845315199</v>
      </c>
      <c r="AI10548">
        <v>98.938103849188394</v>
      </c>
      <c r="AJ10548">
        <v>73.149143549257502</v>
      </c>
      <c r="AK10548">
        <v>7.1139158334402604</v>
      </c>
      <c r="AL10548">
        <v>83.962670098940706</v>
      </c>
      <c r="AM10548">
        <v>76.998159732986906</v>
      </c>
      <c r="AN10548">
        <v>0.99999998506058396</v>
      </c>
    </row>
    <row r="10549" spans="1:40" x14ac:dyDescent="0.25">
      <c r="A10549" t="str">
        <f>"20190312150926819"</f>
        <v>20190312150926819</v>
      </c>
      <c r="B10549" t="str">
        <f>"1552374566809929"</f>
        <v>1552374566809929</v>
      </c>
      <c r="C10549" t="s">
        <v>40</v>
      </c>
      <c r="D10549">
        <v>5.1393690000000003</v>
      </c>
      <c r="E10549">
        <v>0.52385590000000004</v>
      </c>
      <c r="F10549" t="s">
        <v>77</v>
      </c>
      <c r="G10549">
        <v>-180.66839999999999</v>
      </c>
      <c r="H10549" s="1">
        <v>-4.5479990000000001E-6</v>
      </c>
      <c r="I10549">
        <v>126.5936</v>
      </c>
      <c r="J10549">
        <v>-184.07210000000001</v>
      </c>
      <c r="K10549">
        <v>1.105259</v>
      </c>
      <c r="L10549">
        <v>120.3154</v>
      </c>
      <c r="M10549">
        <v>0.19904089999999999</v>
      </c>
      <c r="N10549">
        <v>0</v>
      </c>
      <c r="O10549">
        <v>0.97987380000000002</v>
      </c>
      <c r="P10549">
        <v>0.41195290000000001</v>
      </c>
      <c r="Q10549">
        <v>9.2941759999999998E-2</v>
      </c>
      <c r="R10549">
        <v>0.90645279999999995</v>
      </c>
      <c r="S10549">
        <v>1.4298550000000001</v>
      </c>
      <c r="T10549">
        <v>-0.45639659999999899</v>
      </c>
      <c r="U10549">
        <v>2.70784</v>
      </c>
      <c r="V10549">
        <v>0.22461210000000001</v>
      </c>
      <c r="W10549">
        <v>0.10481219999999999</v>
      </c>
      <c r="X10549">
        <v>0.96879510000000002</v>
      </c>
      <c r="Y10549">
        <v>0.2763158</v>
      </c>
      <c r="Z10549">
        <v>-0.14865789999999901</v>
      </c>
      <c r="AA10549">
        <v>0.94950009999999996</v>
      </c>
      <c r="AB10549">
        <v>38</v>
      </c>
      <c r="AC10549">
        <v>3.4037000000000099</v>
      </c>
      <c r="AD10549">
        <v>-1.1052635479990001</v>
      </c>
      <c r="AE10549">
        <v>6.2781999999999902</v>
      </c>
      <c r="AF10549">
        <v>2.03702568669368</v>
      </c>
      <c r="AG10549">
        <v>-1.1052635479990001</v>
      </c>
      <c r="AH10549">
        <v>6.6703328640926403</v>
      </c>
      <c r="AI10549">
        <v>99.004974764542595</v>
      </c>
      <c r="AJ10549">
        <v>73.018066981139896</v>
      </c>
      <c r="AK10549">
        <v>7.0614744690170399</v>
      </c>
      <c r="AL10549">
        <v>83.983653708013506</v>
      </c>
      <c r="AM10549">
        <v>76.946775435047797</v>
      </c>
      <c r="AN10549">
        <v>1.00000006925962</v>
      </c>
    </row>
    <row r="10550" spans="1:40" x14ac:dyDescent="0.25">
      <c r="A10550" t="str">
        <f>"20190312150926831"</f>
        <v>20190312150926831</v>
      </c>
      <c r="B10550" t="str">
        <f>"1552374566819689"</f>
        <v>1552374566819689</v>
      </c>
      <c r="C10550" t="s">
        <v>40</v>
      </c>
      <c r="D10550">
        <v>5.15238</v>
      </c>
      <c r="E10550">
        <v>0.52392490000000003</v>
      </c>
      <c r="F10550" t="s">
        <v>77</v>
      </c>
      <c r="G10550">
        <v>-180.5752</v>
      </c>
      <c r="H10550" s="1">
        <v>-4.6285559999999997E-6</v>
      </c>
      <c r="I10550">
        <v>126.85380000000001</v>
      </c>
      <c r="J10550">
        <v>-184.02760000000001</v>
      </c>
      <c r="K10550">
        <v>1.1052519999999999</v>
      </c>
      <c r="L10550">
        <v>120.5231</v>
      </c>
      <c r="M10550">
        <v>0.20176359999999999</v>
      </c>
      <c r="N10550">
        <v>0</v>
      </c>
      <c r="O10550">
        <v>0.97931679999999999</v>
      </c>
      <c r="P10550">
        <v>0.41462090000000001</v>
      </c>
      <c r="Q10550">
        <v>9.2667579999999999E-2</v>
      </c>
      <c r="R10550">
        <v>0.9052637</v>
      </c>
      <c r="S10550">
        <v>1.444107</v>
      </c>
      <c r="T10550">
        <v>-0.45642939999999999</v>
      </c>
      <c r="U10550">
        <v>2.7001040000000001</v>
      </c>
      <c r="V10550">
        <v>0.22476470000000001</v>
      </c>
      <c r="W10550">
        <v>0.1045329</v>
      </c>
      <c r="X10550">
        <v>0.96878980000000003</v>
      </c>
      <c r="Y10550">
        <v>0.27867239999999999</v>
      </c>
      <c r="Z10550">
        <v>-0.1486884</v>
      </c>
      <c r="AA10550">
        <v>0.94880629999999999</v>
      </c>
      <c r="AB10550">
        <v>38</v>
      </c>
      <c r="AC10550">
        <v>3.4524000000000101</v>
      </c>
      <c r="AD10550">
        <v>-1.1052566285559999</v>
      </c>
      <c r="AE10550">
        <v>6.3307000000000002</v>
      </c>
      <c r="AF10550">
        <v>2.05563624441666</v>
      </c>
      <c r="AG10550">
        <v>-1.1052566285559999</v>
      </c>
      <c r="AH10550">
        <v>6.7388042128332701</v>
      </c>
      <c r="AI10550">
        <v>98.915735269114506</v>
      </c>
      <c r="AJ10550">
        <v>73.035953054536293</v>
      </c>
      <c r="AK10550">
        <v>7.1315296257693399</v>
      </c>
      <c r="AL10550">
        <v>83.999744315773199</v>
      </c>
      <c r="AM10550">
        <v>76.938142137509004</v>
      </c>
      <c r="AN10550">
        <v>0.99999998706626902</v>
      </c>
    </row>
    <row r="10551" spans="1:40" x14ac:dyDescent="0.25">
      <c r="A10551" t="str">
        <f>"20190312150926842"</f>
        <v>20190312150926842</v>
      </c>
      <c r="B10551" t="str">
        <f>"1552374566829449"</f>
        <v>1552374566829449</v>
      </c>
      <c r="C10551" t="s">
        <v>40</v>
      </c>
      <c r="D10551">
        <v>5.1598889999999997</v>
      </c>
      <c r="E10551">
        <v>0.52399739999999995</v>
      </c>
      <c r="F10551" t="s">
        <v>77</v>
      </c>
      <c r="G10551">
        <v>-180.51390000000001</v>
      </c>
      <c r="H10551" s="1">
        <v>-4.6853909999999996E-6</v>
      </c>
      <c r="I10551">
        <v>127.0399</v>
      </c>
      <c r="J10551">
        <v>-183.9862</v>
      </c>
      <c r="K10551">
        <v>1.1052489999999999</v>
      </c>
      <c r="L10551">
        <v>120.71469999999999</v>
      </c>
      <c r="M10551">
        <v>0.20427519999999999</v>
      </c>
      <c r="N10551">
        <v>0</v>
      </c>
      <c r="O10551">
        <v>0.978796</v>
      </c>
      <c r="P10551">
        <v>0.41723759999999999</v>
      </c>
      <c r="Q10551">
        <v>9.2436820000000003E-2</v>
      </c>
      <c r="R10551">
        <v>0.9040842</v>
      </c>
      <c r="S10551">
        <v>1.4531860000000001</v>
      </c>
      <c r="T10551">
        <v>-0.45710889999999998</v>
      </c>
      <c r="U10551">
        <v>2.6951749999999999</v>
      </c>
      <c r="V10551">
        <v>0.22507489999999999</v>
      </c>
      <c r="W10551">
        <v>0.104294899999999</v>
      </c>
      <c r="X10551">
        <v>0.96874340000000003</v>
      </c>
      <c r="Y10551">
        <v>0.27939649999999999</v>
      </c>
      <c r="Z10551">
        <v>-0.148896</v>
      </c>
      <c r="AA10551">
        <v>0.94856079999999998</v>
      </c>
      <c r="AB10551">
        <v>38</v>
      </c>
      <c r="AC10551">
        <v>3.47229999999999</v>
      </c>
      <c r="AD10551">
        <v>-1.105253685391</v>
      </c>
      <c r="AE10551">
        <v>6.3251999999999997</v>
      </c>
      <c r="AF10551">
        <v>2.0585354033157599</v>
      </c>
      <c r="AG10551">
        <v>-1.105253685391</v>
      </c>
      <c r="AH10551">
        <v>6.7429707687862397</v>
      </c>
      <c r="AI10551">
        <v>98.909700241270698</v>
      </c>
      <c r="AJ10551">
        <v>73.023296899707901</v>
      </c>
      <c r="AK10551">
        <v>7.1363021589952602</v>
      </c>
      <c r="AL10551">
        <v>84.013455471470905</v>
      </c>
      <c r="AM10551">
        <v>76.9201297707761</v>
      </c>
      <c r="AN10551">
        <v>0.99999995590978896</v>
      </c>
    </row>
    <row r="10552" spans="1:40" x14ac:dyDescent="0.25">
      <c r="A10552" t="str">
        <f>"20190312150926853"</f>
        <v>20190312150926853</v>
      </c>
      <c r="B10552" t="str">
        <f>"1552374566849945"</f>
        <v>1552374566849945</v>
      </c>
      <c r="C10552" t="s">
        <v>40</v>
      </c>
      <c r="D10552">
        <v>5.1454760000000004</v>
      </c>
      <c r="E10552">
        <v>0.524115</v>
      </c>
      <c r="F10552" t="s">
        <v>77</v>
      </c>
      <c r="G10552">
        <v>-180.4502</v>
      </c>
      <c r="H10552" s="1">
        <v>-4.7413349999999997E-6</v>
      </c>
      <c r="I10552">
        <v>127.22110000000001</v>
      </c>
      <c r="J10552">
        <v>-183.94659999999999</v>
      </c>
      <c r="K10552">
        <v>1.105246</v>
      </c>
      <c r="L10552">
        <v>120.89449999999999</v>
      </c>
      <c r="M10552">
        <v>0.20663409999999999</v>
      </c>
      <c r="N10552">
        <v>0</v>
      </c>
      <c r="O10552">
        <v>0.97830079999999997</v>
      </c>
      <c r="P10552">
        <v>0.4200451</v>
      </c>
      <c r="Q10552">
        <v>9.2273910000000001E-2</v>
      </c>
      <c r="R10552">
        <v>0.90279989999999999</v>
      </c>
      <c r="S10552">
        <v>1.462067</v>
      </c>
      <c r="T10552">
        <v>-0.45699780000000001</v>
      </c>
      <c r="U10552">
        <v>2.6902620000000002</v>
      </c>
      <c r="V10552">
        <v>0.2257459</v>
      </c>
      <c r="W10552">
        <v>0.1041194</v>
      </c>
      <c r="X10552">
        <v>0.96860619999999997</v>
      </c>
      <c r="Y10552">
        <v>0.280230599999999</v>
      </c>
      <c r="Z10552">
        <v>-0.14885619999999999</v>
      </c>
      <c r="AA10552">
        <v>0.94832090000000002</v>
      </c>
      <c r="AB10552">
        <v>38</v>
      </c>
      <c r="AC10552">
        <v>3.4963999999999902</v>
      </c>
      <c r="AD10552">
        <v>-1.1052507413349999</v>
      </c>
      <c r="AE10552">
        <v>6.3266000000000098</v>
      </c>
      <c r="AF10552">
        <v>2.06519984801804</v>
      </c>
      <c r="AG10552">
        <v>-1.1052507413349999</v>
      </c>
      <c r="AH10552">
        <v>6.7546691604629503</v>
      </c>
      <c r="AI10552">
        <v>98.893373318079099</v>
      </c>
      <c r="AJ10552">
        <v>72.999299963032001</v>
      </c>
      <c r="AK10552">
        <v>7.14927864058917</v>
      </c>
      <c r="AL10552">
        <v>84.023566285392505</v>
      </c>
      <c r="AM10552">
        <v>76.8806883639608</v>
      </c>
      <c r="AN10552">
        <v>1.0000000157508</v>
      </c>
    </row>
    <row r="10553" spans="1:40" x14ac:dyDescent="0.25">
      <c r="A10553" t="str">
        <f>"20190312150926874"</f>
        <v>20190312150926874</v>
      </c>
      <c r="B10553" t="str">
        <f>"1552374566869465"</f>
        <v>1552374566869465</v>
      </c>
      <c r="C10553" t="s">
        <v>40</v>
      </c>
      <c r="D10553">
        <v>5.0553299999999997</v>
      </c>
      <c r="E10553">
        <v>0.5406185</v>
      </c>
      <c r="F10553" t="s">
        <v>77</v>
      </c>
      <c r="G10553">
        <v>-180.3861</v>
      </c>
      <c r="H10553" s="1">
        <v>-4.7945280000000004E-6</v>
      </c>
      <c r="I10553">
        <v>127.39149999999999</v>
      </c>
      <c r="J10553">
        <v>-183.8707</v>
      </c>
      <c r="K10553">
        <v>1.10524</v>
      </c>
      <c r="L10553">
        <v>121.23480000000001</v>
      </c>
      <c r="M10553">
        <v>0.2111007</v>
      </c>
      <c r="N10553">
        <v>0</v>
      </c>
      <c r="O10553">
        <v>0.97734670000000001</v>
      </c>
      <c r="P10553">
        <v>0.4255601</v>
      </c>
      <c r="Q10553">
        <v>9.1010649999999998E-2</v>
      </c>
      <c r="R10553">
        <v>0.90034199999999998</v>
      </c>
      <c r="S10553">
        <v>1.471481</v>
      </c>
      <c r="T10553">
        <v>-0.4567679</v>
      </c>
      <c r="U10553">
        <v>2.6850429999999998</v>
      </c>
      <c r="V10553">
        <v>0.22720560000000001</v>
      </c>
      <c r="W10553">
        <v>0.1028317</v>
      </c>
      <c r="X10553">
        <v>0.9684024</v>
      </c>
      <c r="Y10553">
        <v>0.27919179999999999</v>
      </c>
      <c r="Z10553">
        <v>-0.14872449999999901</v>
      </c>
      <c r="AA10553">
        <v>0.94864800000000005</v>
      </c>
      <c r="AB10553">
        <v>38</v>
      </c>
      <c r="AC10553">
        <v>3.4845999999999999</v>
      </c>
      <c r="AD10553">
        <v>-1.105244794528</v>
      </c>
      <c r="AE10553">
        <v>6.1566999999999803</v>
      </c>
      <c r="AF10553">
        <v>2.0560366536382899</v>
      </c>
      <c r="AG10553">
        <v>-1.105244794528</v>
      </c>
      <c r="AH10553">
        <v>6.5926927048387398</v>
      </c>
      <c r="AI10553">
        <v>99.092763719137807</v>
      </c>
      <c r="AJ10553">
        <v>72.679075442157199</v>
      </c>
      <c r="AK10553">
        <v>6.9937436239377098</v>
      </c>
      <c r="AL10553">
        <v>84.097744015456499</v>
      </c>
      <c r="AM10553">
        <v>76.796137952145202</v>
      </c>
      <c r="AN10553">
        <v>0.99999997576100397</v>
      </c>
    </row>
    <row r="10554" spans="1:40" x14ac:dyDescent="0.25">
      <c r="A10554" t="str">
        <f>"20190312150926886"</f>
        <v>20190312150926886</v>
      </c>
      <c r="B10554" t="str">
        <f>"1552374566880201"</f>
        <v>1552374566880201</v>
      </c>
      <c r="C10554" t="s">
        <v>40</v>
      </c>
      <c r="D10554">
        <v>5.0812160000000004</v>
      </c>
      <c r="E10554">
        <v>0.54131980000000002</v>
      </c>
      <c r="F10554" t="s">
        <v>77</v>
      </c>
      <c r="G10554">
        <v>-181.16159999999999</v>
      </c>
      <c r="H10554" s="1">
        <v>-4.2336969999999999E-6</v>
      </c>
      <c r="I10554">
        <v>125.64790000000001</v>
      </c>
      <c r="J10554">
        <v>-183.82490000000001</v>
      </c>
      <c r="K10554">
        <v>1.10524</v>
      </c>
      <c r="L10554">
        <v>121.4371</v>
      </c>
      <c r="M10554">
        <v>0.21375630000000001</v>
      </c>
      <c r="N10554">
        <v>0</v>
      </c>
      <c r="O10554">
        <v>0.97676929999999995</v>
      </c>
      <c r="P10554">
        <v>0.42893969999999998</v>
      </c>
      <c r="Q10554">
        <v>9.0442690000000006E-2</v>
      </c>
      <c r="R10554">
        <v>0.89879409999999904</v>
      </c>
      <c r="S10554">
        <v>1.6171879999999901</v>
      </c>
      <c r="T10554">
        <v>-0.65977159999999901</v>
      </c>
      <c r="U10554">
        <v>2.634369</v>
      </c>
      <c r="V10554">
        <v>0.2281937</v>
      </c>
      <c r="W10554">
        <v>0.1022474</v>
      </c>
      <c r="X10554">
        <v>0.96823199999999998</v>
      </c>
      <c r="Y10554">
        <v>0.31690679999999999</v>
      </c>
      <c r="Z10554">
        <v>-0.21137320000000001</v>
      </c>
      <c r="AA10554">
        <v>0.92460339999999996</v>
      </c>
      <c r="AB10554">
        <v>38</v>
      </c>
      <c r="AC10554">
        <v>2.66330000000002</v>
      </c>
      <c r="AD10554">
        <v>-1.1052442336970001</v>
      </c>
      <c r="AE10554">
        <v>4.2107999999999999</v>
      </c>
      <c r="AF10554">
        <v>1.6217362709749901</v>
      </c>
      <c r="AG10554">
        <v>-1.1052442336970001</v>
      </c>
      <c r="AH10554">
        <v>4.4631867918409496</v>
      </c>
      <c r="AI10554">
        <v>103.102166151573</v>
      </c>
      <c r="AJ10554">
        <v>70.030962483886</v>
      </c>
      <c r="AK10554">
        <v>4.87561582649617</v>
      </c>
      <c r="AL10554">
        <v>84.131399781560802</v>
      </c>
      <c r="AM10554">
        <v>76.738488442980298</v>
      </c>
      <c r="AN10554">
        <v>1.00000005067522</v>
      </c>
    </row>
    <row r="10555" spans="1:40" x14ac:dyDescent="0.25">
      <c r="A10555" t="str">
        <f>"20190312150926898"</f>
        <v>20190312150926898</v>
      </c>
      <c r="B10555" t="str">
        <f>"1552374566889961"</f>
        <v>1552374566889961</v>
      </c>
      <c r="C10555" t="s">
        <v>40</v>
      </c>
      <c r="D10555">
        <v>5.1965440000000003</v>
      </c>
      <c r="E10555">
        <v>0.54078219999999899</v>
      </c>
      <c r="F10555" t="s">
        <v>77</v>
      </c>
      <c r="G10555">
        <v>-181.04560000000001</v>
      </c>
      <c r="H10555" s="1">
        <v>-4.3175039999999999E-6</v>
      </c>
      <c r="I10555">
        <v>125.9084</v>
      </c>
      <c r="J10555">
        <v>-183.7756</v>
      </c>
      <c r="K10555">
        <v>1.1052379999999999</v>
      </c>
      <c r="L10555">
        <v>121.651</v>
      </c>
      <c r="M10555">
        <v>0.21656539999999999</v>
      </c>
      <c r="N10555">
        <v>0</v>
      </c>
      <c r="O10555">
        <v>0.97615039999999997</v>
      </c>
      <c r="P10555">
        <v>0.43256339999999999</v>
      </c>
      <c r="Q10555">
        <v>8.9969850000000004E-2</v>
      </c>
      <c r="R10555">
        <v>0.89710330000000005</v>
      </c>
      <c r="S10555">
        <v>1.6313930000000001</v>
      </c>
      <c r="T10555">
        <v>-0.64875590000000005</v>
      </c>
      <c r="U10555">
        <v>2.6245270000000001</v>
      </c>
      <c r="V10555">
        <v>0.22930059999999999</v>
      </c>
      <c r="W10555">
        <v>0.1017569</v>
      </c>
      <c r="X10555">
        <v>0.9680221</v>
      </c>
      <c r="Y10555">
        <v>0.3197257</v>
      </c>
      <c r="Z10555">
        <v>-0.20808599999999999</v>
      </c>
      <c r="AA10555">
        <v>0.92437860000000005</v>
      </c>
      <c r="AB10555">
        <v>38</v>
      </c>
      <c r="AC10555">
        <v>2.72999999999998</v>
      </c>
      <c r="AD10555">
        <v>-1.105242317504</v>
      </c>
      <c r="AE10555">
        <v>4.2573999999999899</v>
      </c>
      <c r="AF10555">
        <v>1.66363421047326</v>
      </c>
      <c r="AG10555">
        <v>-1.105242317504</v>
      </c>
      <c r="AH10555">
        <v>4.5312311660414899</v>
      </c>
      <c r="AI10555">
        <v>102.896800826872</v>
      </c>
      <c r="AJ10555">
        <v>69.839370830148098</v>
      </c>
      <c r="AK10555">
        <v>4.9518981458390696</v>
      </c>
      <c r="AL10555">
        <v>84.159650467681502</v>
      </c>
      <c r="AM10555">
        <v>76.673663669112102</v>
      </c>
      <c r="AN10555">
        <v>1.00000000897319</v>
      </c>
    </row>
    <row r="10556" spans="1:40" x14ac:dyDescent="0.25">
      <c r="A10556" t="str">
        <f>"20190312150926909"</f>
        <v>20190312150926909</v>
      </c>
      <c r="B10556" t="str">
        <f>"1552374566900356"</f>
        <v>1552374566900356</v>
      </c>
      <c r="C10556" t="s">
        <v>40</v>
      </c>
      <c r="D10556">
        <v>4.9100599999999996</v>
      </c>
      <c r="E10556">
        <v>0.54078219999999899</v>
      </c>
      <c r="F10556" t="s">
        <v>77</v>
      </c>
      <c r="G10556">
        <v>-180.8793</v>
      </c>
      <c r="H10556" s="1">
        <v>-4.4381699999999997E-6</v>
      </c>
      <c r="I10556">
        <v>126.2838</v>
      </c>
      <c r="J10556">
        <v>-183.73419999999999</v>
      </c>
      <c r="K10556">
        <v>1.105237</v>
      </c>
      <c r="L10556">
        <v>121.8288</v>
      </c>
      <c r="M10556">
        <v>0.2189007</v>
      </c>
      <c r="N10556">
        <v>0</v>
      </c>
      <c r="O10556">
        <v>0.97562939999999998</v>
      </c>
      <c r="P10556">
        <v>0.43616460000000001</v>
      </c>
      <c r="Q10556">
        <v>9.0021699999999996E-2</v>
      </c>
      <c r="R10556">
        <v>0.89535279999999995</v>
      </c>
      <c r="S10556">
        <v>1.6364749999999999</v>
      </c>
      <c r="T10556">
        <v>-0.62448599999999999</v>
      </c>
      <c r="U10556">
        <v>2.617661</v>
      </c>
      <c r="V10556">
        <v>0.230877</v>
      </c>
      <c r="W10556">
        <v>0.101782</v>
      </c>
      <c r="X10556">
        <v>0.96764470000000002</v>
      </c>
      <c r="Y10556">
        <v>0.3206599</v>
      </c>
      <c r="Z10556">
        <v>-0.2007931</v>
      </c>
      <c r="AA10556">
        <v>0.92566700000000002</v>
      </c>
      <c r="AB10556">
        <v>38</v>
      </c>
      <c r="AC10556">
        <v>2.8548999999999798</v>
      </c>
      <c r="AD10556">
        <v>-1.10524143817</v>
      </c>
      <c r="AE10556">
        <v>4.4549999999999903</v>
      </c>
      <c r="AF10556">
        <v>1.7346453840470699</v>
      </c>
      <c r="AG10556">
        <v>-1.10524143817</v>
      </c>
      <c r="AH10556">
        <v>4.7640781856936103</v>
      </c>
      <c r="AI10556">
        <v>102.297746932273</v>
      </c>
      <c r="AJ10556">
        <v>69.992962262240198</v>
      </c>
      <c r="AK10556">
        <v>5.1891226815759097</v>
      </c>
      <c r="AL10556">
        <v>84.1582048735321</v>
      </c>
      <c r="AM10556">
        <v>76.580305666053206</v>
      </c>
      <c r="AN10556">
        <v>1.0000000150455399</v>
      </c>
    </row>
    <row r="10557" spans="1:40" x14ac:dyDescent="0.25">
      <c r="A10557" t="str">
        <f>"20190312150926922"</f>
        <v>20190312150926922</v>
      </c>
      <c r="B10557" t="str">
        <f>"1552374566919876"</f>
        <v>1552374566919876</v>
      </c>
      <c r="C10557" t="s">
        <v>40</v>
      </c>
      <c r="D10557">
        <v>5.0560510000000001</v>
      </c>
      <c r="E10557">
        <v>0.54373059999999995</v>
      </c>
      <c r="F10557" t="s">
        <v>77</v>
      </c>
      <c r="G10557">
        <v>-180.81829999999999</v>
      </c>
      <c r="H10557" s="1">
        <v>-4.4901789999999999E-6</v>
      </c>
      <c r="I10557">
        <v>126.45140000000001</v>
      </c>
      <c r="J10557">
        <v>-183.68109999999999</v>
      </c>
      <c r="K10557">
        <v>1.105235</v>
      </c>
      <c r="L10557">
        <v>122.0545</v>
      </c>
      <c r="M10557">
        <v>0.22186629999999999</v>
      </c>
      <c r="N10557">
        <v>0</v>
      </c>
      <c r="O10557">
        <v>0.97495929999999997</v>
      </c>
      <c r="P10557">
        <v>0.44053100000000001</v>
      </c>
      <c r="Q10557">
        <v>8.9993219999999999E-2</v>
      </c>
      <c r="R10557">
        <v>0.89321539999999999</v>
      </c>
      <c r="S10557">
        <v>1.6470340000000001</v>
      </c>
      <c r="T10557">
        <v>-0.62428549999999905</v>
      </c>
      <c r="U10557">
        <v>2.6110380000000002</v>
      </c>
      <c r="V10557">
        <v>0.2326598</v>
      </c>
      <c r="W10557">
        <v>0.1017242</v>
      </c>
      <c r="X10557">
        <v>0.96722359999999996</v>
      </c>
      <c r="Y10557">
        <v>0.32153150000000003</v>
      </c>
      <c r="Z10557">
        <v>-0.2007195</v>
      </c>
      <c r="AA10557">
        <v>0.9253806</v>
      </c>
      <c r="AB10557">
        <v>38</v>
      </c>
      <c r="AC10557">
        <v>2.8627999999999898</v>
      </c>
      <c r="AD10557">
        <v>-1.1052394901789999</v>
      </c>
      <c r="AE10557">
        <v>4.3968999999999996</v>
      </c>
      <c r="AF10557">
        <v>1.7386466990693901</v>
      </c>
      <c r="AG10557">
        <v>-1.1052394901789999</v>
      </c>
      <c r="AH10557">
        <v>4.7133698091510396</v>
      </c>
      <c r="AI10557">
        <v>102.407413415376</v>
      </c>
      <c r="AJ10557">
        <v>69.752217303415094</v>
      </c>
      <c r="AK10557">
        <v>5.1439577790503499</v>
      </c>
      <c r="AL10557">
        <v>84.161533431140001</v>
      </c>
      <c r="AM10557">
        <v>76.474800889169799</v>
      </c>
      <c r="AN10557">
        <v>0.99999994389931801</v>
      </c>
    </row>
    <row r="10558" spans="1:40" x14ac:dyDescent="0.25">
      <c r="A10558" t="str">
        <f>"20190312150926934"</f>
        <v>20190312150926934</v>
      </c>
      <c r="B10558" t="str">
        <f>"1552374566929636"</f>
        <v>1552374566929636</v>
      </c>
      <c r="C10558" t="s">
        <v>40</v>
      </c>
      <c r="D10558">
        <v>5.1568740000000002</v>
      </c>
      <c r="E10558">
        <v>0.54366179999999997</v>
      </c>
      <c r="F10558" t="s">
        <v>77</v>
      </c>
      <c r="G10558">
        <v>-177.53899999999999</v>
      </c>
      <c r="H10558" s="1">
        <v>-4.5102189999999999E-6</v>
      </c>
      <c r="I10558">
        <v>131.5352</v>
      </c>
      <c r="J10558">
        <v>-183.6326</v>
      </c>
      <c r="K10558">
        <v>1.1052360000000001</v>
      </c>
      <c r="L10558">
        <v>122.2568</v>
      </c>
      <c r="M10558">
        <v>0.22452800000000001</v>
      </c>
      <c r="N10558">
        <v>0</v>
      </c>
      <c r="O10558">
        <v>0.97434980000000004</v>
      </c>
      <c r="P10558">
        <v>0.44491269999999999</v>
      </c>
      <c r="Q10558">
        <v>8.9869160000000003E-2</v>
      </c>
      <c r="R10558">
        <v>0.8910534</v>
      </c>
      <c r="S10558">
        <v>1.663834</v>
      </c>
      <c r="T10558">
        <v>-0.29939729999999998</v>
      </c>
      <c r="U10558">
        <v>2.5682369999999999</v>
      </c>
      <c r="V10558">
        <v>0.23476610000000001</v>
      </c>
      <c r="W10558">
        <v>0.10156569999999999</v>
      </c>
      <c r="X10558">
        <v>0.96673129999999996</v>
      </c>
      <c r="Y10558">
        <v>0.33867900000000001</v>
      </c>
      <c r="Z10558">
        <v>-9.8725809999999997E-2</v>
      </c>
      <c r="AA10558">
        <v>0.93570819999999999</v>
      </c>
      <c r="AB10558">
        <v>38</v>
      </c>
      <c r="AC10558">
        <v>6.0935999999999799</v>
      </c>
      <c r="AD10558">
        <v>-1.1052405102189999</v>
      </c>
      <c r="AE10558">
        <v>9.2783999999999995</v>
      </c>
      <c r="AF10558">
        <v>3.81664339396501</v>
      </c>
      <c r="AG10558">
        <v>-1.1052405102189999</v>
      </c>
      <c r="AH10558">
        <v>10.3076012329202</v>
      </c>
      <c r="AI10558">
        <v>95.742017316383993</v>
      </c>
      <c r="AJ10558">
        <v>69.681686348453198</v>
      </c>
      <c r="AK10558">
        <v>11.046943765541</v>
      </c>
      <c r="AL10558">
        <v>84.170662770177401</v>
      </c>
      <c r="AM10558">
        <v>76.350224563351901</v>
      </c>
      <c r="AN10558">
        <v>1.0000000597626899</v>
      </c>
    </row>
    <row r="10559" spans="1:40" x14ac:dyDescent="0.25">
      <c r="A10559" t="str">
        <f>"20190312150926946"</f>
        <v>20190312150926946</v>
      </c>
      <c r="B10559" t="str">
        <f>"1552374566940373"</f>
        <v>1552374566940373</v>
      </c>
      <c r="C10559" t="s">
        <v>40</v>
      </c>
      <c r="D10559">
        <v>5.1617790000000001</v>
      </c>
      <c r="E10559">
        <v>0.54489699999999996</v>
      </c>
      <c r="F10559" t="s">
        <v>77</v>
      </c>
      <c r="G10559">
        <v>-177.07849999999999</v>
      </c>
      <c r="H10559" s="1">
        <v>-4.4756300000000004E-6</v>
      </c>
      <c r="I10559">
        <v>132.27180000000001</v>
      </c>
      <c r="J10559">
        <v>-183.58760000000001</v>
      </c>
      <c r="K10559">
        <v>1.1052360000000001</v>
      </c>
      <c r="L10559">
        <v>122.4438</v>
      </c>
      <c r="M10559">
        <v>0.22698760000000001</v>
      </c>
      <c r="N10559">
        <v>0</v>
      </c>
      <c r="O10559">
        <v>0.97377970000000003</v>
      </c>
      <c r="P10559">
        <v>0.44873459999999898</v>
      </c>
      <c r="Q10559">
        <v>8.8953539999999998E-2</v>
      </c>
      <c r="R10559">
        <v>0.88922690000000004</v>
      </c>
      <c r="S10559">
        <v>1.67474399999999</v>
      </c>
      <c r="T10559">
        <v>-0.28241490000000002</v>
      </c>
      <c r="U10559">
        <v>2.5590670000000002</v>
      </c>
      <c r="V10559">
        <v>0.23644519999999999</v>
      </c>
      <c r="W10559">
        <v>0.10062359999999999</v>
      </c>
      <c r="X10559">
        <v>0.96642050000000002</v>
      </c>
      <c r="Y10559">
        <v>0.34092509999999998</v>
      </c>
      <c r="Z10559">
        <v>-9.3237689999999998E-2</v>
      </c>
      <c r="AA10559">
        <v>0.93545540000000005</v>
      </c>
      <c r="AB10559">
        <v>38</v>
      </c>
      <c r="AC10559">
        <v>6.5091000000000099</v>
      </c>
      <c r="AD10559">
        <v>-1.1052404756299901</v>
      </c>
      <c r="AE10559">
        <v>9.8280000000000101</v>
      </c>
      <c r="AF10559">
        <v>4.07226856351134</v>
      </c>
      <c r="AG10559">
        <v>-1.1052404756299901</v>
      </c>
      <c r="AH10559">
        <v>10.952777024433001</v>
      </c>
      <c r="AI10559">
        <v>95.4031712502331</v>
      </c>
      <c r="AJ10559">
        <v>69.604745982430202</v>
      </c>
      <c r="AK10559">
        <v>11.737472143067301</v>
      </c>
      <c r="AL10559">
        <v>84.224918812273899</v>
      </c>
      <c r="AM10559">
        <v>76.252035676958101</v>
      </c>
      <c r="AN10559">
        <v>1.00000001215012</v>
      </c>
    </row>
    <row r="10560" spans="1:40" x14ac:dyDescent="0.25">
      <c r="A10560" t="str">
        <f>"20190312150926957"</f>
        <v>20190312150926957</v>
      </c>
      <c r="B10560" t="str">
        <f>"1552374566950132"</f>
        <v>1552374566950132</v>
      </c>
      <c r="C10560" t="s">
        <v>40</v>
      </c>
      <c r="D10560">
        <v>5.1321089999999998</v>
      </c>
      <c r="E10560">
        <v>0.54627809999999999</v>
      </c>
      <c r="F10560" t="s">
        <v>77</v>
      </c>
      <c r="G10560">
        <v>-177.33750000000001</v>
      </c>
      <c r="H10560" s="1">
        <v>-4.4875099999999997E-6</v>
      </c>
      <c r="I10560">
        <v>131.83760000000001</v>
      </c>
      <c r="J10560">
        <v>-183.54040000000001</v>
      </c>
      <c r="K10560">
        <v>1.105232</v>
      </c>
      <c r="L10560">
        <v>122.6366</v>
      </c>
      <c r="M10560">
        <v>0.2295324</v>
      </c>
      <c r="N10560">
        <v>0</v>
      </c>
      <c r="O10560">
        <v>0.97318309999999997</v>
      </c>
      <c r="P10560">
        <v>0.45242199999999999</v>
      </c>
      <c r="Q10560">
        <v>8.7891609999999995E-2</v>
      </c>
      <c r="R10560">
        <v>0.88746239999999998</v>
      </c>
      <c r="S10560">
        <v>1.6954039999999999</v>
      </c>
      <c r="T10560">
        <v>-0.29980580000000001</v>
      </c>
      <c r="U10560">
        <v>2.5481410000000002</v>
      </c>
      <c r="V10560">
        <v>0.23789450000000001</v>
      </c>
      <c r="W10560">
        <v>9.9538520000000005E-2</v>
      </c>
      <c r="X10560">
        <v>0.96617719999999896</v>
      </c>
      <c r="Y10560">
        <v>0.34527069999999999</v>
      </c>
      <c r="Z10560">
        <v>-9.8895769999999994E-2</v>
      </c>
      <c r="AA10560">
        <v>0.93327800000000005</v>
      </c>
      <c r="AB10560">
        <v>38</v>
      </c>
      <c r="AC10560">
        <v>6.2028999999999996</v>
      </c>
      <c r="AD10560">
        <v>-1.10523648751</v>
      </c>
      <c r="AE10560">
        <v>9.2010000000000005</v>
      </c>
      <c r="AF10560">
        <v>3.8865242797829</v>
      </c>
      <c r="AG10560">
        <v>-1.10523648751</v>
      </c>
      <c r="AH10560">
        <v>10.277260478948699</v>
      </c>
      <c r="AI10560">
        <v>95.744033724014002</v>
      </c>
      <c r="AJ10560">
        <v>69.285019026040203</v>
      </c>
      <c r="AK10560">
        <v>11.0430386046063</v>
      </c>
      <c r="AL10560">
        <v>84.287403228179897</v>
      </c>
      <c r="AM10560">
        <v>76.167643906103393</v>
      </c>
      <c r="AN10560">
        <v>1.00000004594693</v>
      </c>
    </row>
    <row r="10561" spans="1:40" x14ac:dyDescent="0.25">
      <c r="A10561" t="str">
        <f>"20190312150926977"</f>
        <v>20190312150926977</v>
      </c>
      <c r="B10561" t="str">
        <f>"1552374566969652"</f>
        <v>1552374566969652</v>
      </c>
      <c r="C10561" t="s">
        <v>40</v>
      </c>
      <c r="D10561">
        <v>4.9110379999999996</v>
      </c>
      <c r="E10561">
        <v>0.54763309999999998</v>
      </c>
      <c r="F10561" t="s">
        <v>77</v>
      </c>
      <c r="G10561">
        <v>-177.55889999999999</v>
      </c>
      <c r="H10561" s="1">
        <v>-4.5005969999999999E-6</v>
      </c>
      <c r="I10561">
        <v>131.47399999999999</v>
      </c>
      <c r="J10561">
        <v>-183.46600000000001</v>
      </c>
      <c r="K10561">
        <v>1.105224</v>
      </c>
      <c r="L10561">
        <v>122.9366</v>
      </c>
      <c r="M10561">
        <v>0.2335043</v>
      </c>
      <c r="N10561">
        <v>0</v>
      </c>
      <c r="O10561">
        <v>0.97223780000000004</v>
      </c>
      <c r="P10561">
        <v>0.45909309999999998</v>
      </c>
      <c r="Q10561">
        <v>8.6301890000000006E-2</v>
      </c>
      <c r="R10561">
        <v>0.88418639999999904</v>
      </c>
      <c r="S10561">
        <v>1.7168730000000001</v>
      </c>
      <c r="T10561">
        <v>-0.31723750000000001</v>
      </c>
      <c r="U10561">
        <v>2.5366059999999999</v>
      </c>
      <c r="V10561">
        <v>0.24117359999999999</v>
      </c>
      <c r="W10561">
        <v>9.7892439999999997E-2</v>
      </c>
      <c r="X10561">
        <v>0.96553219999999995</v>
      </c>
      <c r="Y10561">
        <v>0.34850419999999999</v>
      </c>
      <c r="Z10561">
        <v>-0.1045281</v>
      </c>
      <c r="AA10561">
        <v>0.93146059999999997</v>
      </c>
      <c r="AB10561">
        <v>38</v>
      </c>
      <c r="AC10561">
        <v>5.9070999999999803</v>
      </c>
      <c r="AD10561">
        <v>-1.105228500597</v>
      </c>
      <c r="AE10561">
        <v>8.5373999999999892</v>
      </c>
      <c r="AF10561">
        <v>3.7079921394152602</v>
      </c>
      <c r="AG10561">
        <v>-1.105228500597</v>
      </c>
      <c r="AH10561">
        <v>9.5723391588042208</v>
      </c>
      <c r="AI10561">
        <v>96.145089313187995</v>
      </c>
      <c r="AJ10561">
        <v>68.825360402382401</v>
      </c>
      <c r="AK10561">
        <v>10.3247475860513</v>
      </c>
      <c r="AL10561">
        <v>84.382179510377597</v>
      </c>
      <c r="AM10561">
        <v>75.975455012645895</v>
      </c>
      <c r="AN10561">
        <v>1.0000000321914699</v>
      </c>
    </row>
    <row r="10562" spans="1:40" x14ac:dyDescent="0.25">
      <c r="A10562" t="str">
        <f>"20190312150926992"</f>
        <v>20190312150926992</v>
      </c>
      <c r="B10562" t="str">
        <f>"1552374566979414"</f>
        <v>1552374566979414</v>
      </c>
      <c r="C10562" t="s">
        <v>40</v>
      </c>
      <c r="D10562">
        <v>5.1406720000000004</v>
      </c>
      <c r="E10562">
        <v>0.54817939999999998</v>
      </c>
      <c r="F10562" t="s">
        <v>77</v>
      </c>
      <c r="G10562">
        <v>-177.52979999999999</v>
      </c>
      <c r="H10562" s="1">
        <v>-4.4887069999999999E-6</v>
      </c>
      <c r="I10562">
        <v>131.49510000000001</v>
      </c>
      <c r="J10562">
        <v>-183.39949999999999</v>
      </c>
      <c r="K10562">
        <v>1.1052109999999999</v>
      </c>
      <c r="L10562">
        <v>123.20050000000001</v>
      </c>
      <c r="M10562">
        <v>0.2370227</v>
      </c>
      <c r="N10562">
        <v>0</v>
      </c>
      <c r="O10562">
        <v>0.97138599999999997</v>
      </c>
      <c r="P10562">
        <v>0.46425630000000001</v>
      </c>
      <c r="Q10562">
        <v>8.6241509999999993E-2</v>
      </c>
      <c r="R10562">
        <v>0.88149219999999895</v>
      </c>
      <c r="S10562">
        <v>1.746445</v>
      </c>
      <c r="T10562">
        <v>-0.32515929999999998</v>
      </c>
      <c r="U10562">
        <v>2.5178989999999999</v>
      </c>
      <c r="V10562">
        <v>0.24332770000000001</v>
      </c>
      <c r="W10562">
        <v>9.7788040000000007E-2</v>
      </c>
      <c r="X10562">
        <v>0.96500209999999997</v>
      </c>
      <c r="Y10562">
        <v>0.35557450000000002</v>
      </c>
      <c r="Z10562">
        <v>-0.1071424</v>
      </c>
      <c r="AA10562">
        <v>0.92848649999999999</v>
      </c>
      <c r="AB10562">
        <v>38</v>
      </c>
      <c r="AC10562">
        <v>5.8696999999999901</v>
      </c>
      <c r="AD10562">
        <v>-1.105215488707</v>
      </c>
      <c r="AE10562">
        <v>8.2946000000000009</v>
      </c>
      <c r="AF10562">
        <v>3.69248223229022</v>
      </c>
      <c r="AG10562">
        <v>-1.105215488707</v>
      </c>
      <c r="AH10562">
        <v>9.3391122296112101</v>
      </c>
      <c r="AI10562">
        <v>96.280294739704999</v>
      </c>
      <c r="AJ10562">
        <v>68.427233363321406</v>
      </c>
      <c r="AK10562">
        <v>10.1032145156643</v>
      </c>
      <c r="AL10562">
        <v>84.388189630251105</v>
      </c>
      <c r="AM10562">
        <v>75.847740495116796</v>
      </c>
      <c r="AN10562">
        <v>0.99999996167937</v>
      </c>
    </row>
    <row r="10563" spans="1:40" x14ac:dyDescent="0.25">
      <c r="A10563" t="str">
        <f>"20190312150927005"</f>
        <v>20190312150927005</v>
      </c>
      <c r="B10563" t="str">
        <f>"1552374566999908"</f>
        <v>1552374566999908</v>
      </c>
      <c r="C10563" t="s">
        <v>40</v>
      </c>
      <c r="D10563">
        <v>5.0357070000000004</v>
      </c>
      <c r="E10563">
        <v>0.54940659999999997</v>
      </c>
      <c r="F10563" t="s">
        <v>77</v>
      </c>
      <c r="G10563">
        <v>-177.57919999999999</v>
      </c>
      <c r="H10563" s="1">
        <v>-4.5090910000000001E-6</v>
      </c>
      <c r="I10563">
        <v>131.46</v>
      </c>
      <c r="J10563">
        <v>-183.34219999999999</v>
      </c>
      <c r="K10563">
        <v>1.1051899999999999</v>
      </c>
      <c r="L10563">
        <v>123.4251</v>
      </c>
      <c r="M10563">
        <v>0.24004039999999999</v>
      </c>
      <c r="N10563">
        <v>0</v>
      </c>
      <c r="O10563">
        <v>0.97064470000000003</v>
      </c>
      <c r="P10563">
        <v>0.46897</v>
      </c>
      <c r="Q10563">
        <v>8.6215120000000006E-2</v>
      </c>
      <c r="R10563">
        <v>0.87899609999999995</v>
      </c>
      <c r="S10563">
        <v>1.7659609999999999</v>
      </c>
      <c r="T10563">
        <v>-0.3353353</v>
      </c>
      <c r="U10563">
        <v>2.5060419999999999</v>
      </c>
      <c r="V10563">
        <v>0.24550159999999999</v>
      </c>
      <c r="W10563">
        <v>9.7714960000000003E-2</v>
      </c>
      <c r="X10563">
        <v>0.96445879999999995</v>
      </c>
      <c r="Y10563">
        <v>0.3593614</v>
      </c>
      <c r="Z10563">
        <v>-0.11044180000000001</v>
      </c>
      <c r="AA10563">
        <v>0.92664020000000002</v>
      </c>
      <c r="AB10563">
        <v>38</v>
      </c>
      <c r="AC10563">
        <v>5.7629999999999999</v>
      </c>
      <c r="AD10563">
        <v>-1.10519450909099</v>
      </c>
      <c r="AE10563">
        <v>8.0349000000000004</v>
      </c>
      <c r="AF10563">
        <v>3.6203170679121599</v>
      </c>
      <c r="AG10563">
        <v>-1.10519450909099</v>
      </c>
      <c r="AH10563">
        <v>9.0701273048812094</v>
      </c>
      <c r="AI10563">
        <v>96.4565835097887</v>
      </c>
      <c r="AJ10563">
        <v>68.240718904012397</v>
      </c>
      <c r="AK10563">
        <v>9.8282938449098491</v>
      </c>
      <c r="AL10563">
        <v>84.392397243923696</v>
      </c>
      <c r="AM10563">
        <v>75.718737090388004</v>
      </c>
      <c r="AN10563">
        <v>1.0000000129539</v>
      </c>
    </row>
    <row r="10564" spans="1:40" x14ac:dyDescent="0.25">
      <c r="A10564" t="str">
        <f>"20190312150927019"</f>
        <v>20190312150927019</v>
      </c>
      <c r="B10564" t="str">
        <f>"1552374567009669"</f>
        <v>1552374567009669</v>
      </c>
      <c r="C10564" t="s">
        <v>40</v>
      </c>
      <c r="D10564">
        <v>4.77203</v>
      </c>
      <c r="E10564">
        <v>0.54893859999999906</v>
      </c>
      <c r="F10564" t="s">
        <v>77</v>
      </c>
      <c r="G10564">
        <v>-177.40700000000001</v>
      </c>
      <c r="H10564" s="1">
        <v>-4.4807810000000001E-6</v>
      </c>
      <c r="I10564">
        <v>131.69499999999999</v>
      </c>
      <c r="J10564">
        <v>-183.2808</v>
      </c>
      <c r="K10564">
        <v>1.105159</v>
      </c>
      <c r="L10564">
        <v>123.6615</v>
      </c>
      <c r="M10564">
        <v>0.2432655</v>
      </c>
      <c r="N10564">
        <v>0</v>
      </c>
      <c r="O10564">
        <v>0.96984150000000002</v>
      </c>
      <c r="P10564">
        <v>0.47617720000000002</v>
      </c>
      <c r="Q10564">
        <v>8.6364999999999997E-2</v>
      </c>
      <c r="R10564">
        <v>0.87509789999999998</v>
      </c>
      <c r="S10564">
        <v>1.788208</v>
      </c>
      <c r="T10564">
        <v>-0.33297909999999997</v>
      </c>
      <c r="U10564">
        <v>2.4915769999999999</v>
      </c>
      <c r="V10564">
        <v>0.25023779999999901</v>
      </c>
      <c r="W10564">
        <v>9.7765740000000004E-2</v>
      </c>
      <c r="X10564">
        <v>0.96323570000000003</v>
      </c>
      <c r="Y10564">
        <v>0.36432009999999998</v>
      </c>
      <c r="Z10564">
        <v>-0.1096866</v>
      </c>
      <c r="AA10564">
        <v>0.92479180000000005</v>
      </c>
      <c r="AB10564">
        <v>38</v>
      </c>
      <c r="AC10564">
        <v>5.8737999999999797</v>
      </c>
      <c r="AD10564">
        <v>-1.105163480781</v>
      </c>
      <c r="AE10564">
        <v>8.0334999999999894</v>
      </c>
      <c r="AF10564">
        <v>3.6972152459590699</v>
      </c>
      <c r="AG10564">
        <v>-1.105163480781</v>
      </c>
      <c r="AH10564">
        <v>9.1088381080751706</v>
      </c>
      <c r="AI10564">
        <v>96.414315054127997</v>
      </c>
      <c r="AJ10564">
        <v>67.908102096323205</v>
      </c>
      <c r="AK10564">
        <v>9.8925082043598405</v>
      </c>
      <c r="AL10564">
        <v>84.389474003799506</v>
      </c>
      <c r="AM10564">
        <v>75.437121629134097</v>
      </c>
      <c r="AN10564">
        <v>1.0000000551105299</v>
      </c>
    </row>
    <row r="10565" spans="1:40" x14ac:dyDescent="0.25">
      <c r="A10565" t="str">
        <f>"20190312150927032"</f>
        <v>20190312150927032</v>
      </c>
      <c r="B10565" t="str">
        <f>"1552374567020406"</f>
        <v>1552374567020406</v>
      </c>
      <c r="C10565" t="s">
        <v>40</v>
      </c>
      <c r="D10565">
        <v>5.0669750000000002</v>
      </c>
      <c r="E10565">
        <v>0.54927720000000002</v>
      </c>
      <c r="F10565" t="s">
        <v>77</v>
      </c>
      <c r="G10565">
        <v>-177.31909999999999</v>
      </c>
      <c r="H10565" s="1">
        <v>-4.4771020000000004E-6</v>
      </c>
      <c r="I10565">
        <v>131.8432</v>
      </c>
      <c r="J10565">
        <v>-183.22929999999999</v>
      </c>
      <c r="K10565">
        <v>1.1051310000000001</v>
      </c>
      <c r="L10565">
        <v>123.8575</v>
      </c>
      <c r="M10565">
        <v>0.24597340000000001</v>
      </c>
      <c r="N10565">
        <v>0</v>
      </c>
      <c r="O10565">
        <v>0.96915819999999997</v>
      </c>
      <c r="P10565">
        <v>0.48067159999999898</v>
      </c>
      <c r="Q10565">
        <v>8.5934849999999993E-2</v>
      </c>
      <c r="R10565">
        <v>0.87267980000000001</v>
      </c>
      <c r="S10565">
        <v>1.8060149999999999</v>
      </c>
      <c r="T10565">
        <v>-0.3347929</v>
      </c>
      <c r="U10565">
        <v>2.4785309999999998</v>
      </c>
      <c r="V10565">
        <v>0.2524959</v>
      </c>
      <c r="W10565">
        <v>9.7277890000000006E-2</v>
      </c>
      <c r="X10565">
        <v>0.96269559999999998</v>
      </c>
      <c r="Y10565">
        <v>0.36833280000000002</v>
      </c>
      <c r="Z10565">
        <v>-0.1103242</v>
      </c>
      <c r="AA10565">
        <v>0.92312479999999997</v>
      </c>
      <c r="AB10565">
        <v>38</v>
      </c>
      <c r="AC10565">
        <v>5.9101999999999997</v>
      </c>
      <c r="AD10565">
        <v>-1.1051354771020001</v>
      </c>
      <c r="AE10565">
        <v>7.9856999999999898</v>
      </c>
      <c r="AF10565">
        <v>3.7180739335667701</v>
      </c>
      <c r="AG10565">
        <v>-1.1051354771020001</v>
      </c>
      <c r="AH10565">
        <v>9.0818360946016803</v>
      </c>
      <c r="AI10565">
        <v>96.425256944848698</v>
      </c>
      <c r="AJ10565">
        <v>67.735968099660695</v>
      </c>
      <c r="AK10565">
        <v>9.8754820159538497</v>
      </c>
      <c r="AL10565">
        <v>84.417559273040993</v>
      </c>
      <c r="AM10565">
        <v>75.303483773246299</v>
      </c>
      <c r="AN10565">
        <v>0.99999999282951002</v>
      </c>
    </row>
    <row r="10566" spans="1:40" x14ac:dyDescent="0.25">
      <c r="A10566" t="str">
        <f>"20190312150927042"</f>
        <v>20190312150927042</v>
      </c>
      <c r="B10566" t="str">
        <f>"1552374567039924"</f>
        <v>1552374567039924</v>
      </c>
      <c r="C10566" t="s">
        <v>40</v>
      </c>
      <c r="D10566">
        <v>5.0587580000000001</v>
      </c>
      <c r="E10566">
        <v>0.54988559999999997</v>
      </c>
      <c r="F10566" t="s">
        <v>77</v>
      </c>
      <c r="G10566">
        <v>-177.15430000000001</v>
      </c>
      <c r="H10566" s="1">
        <v>-4.4576710000000004E-6</v>
      </c>
      <c r="I10566">
        <v>132.0882</v>
      </c>
      <c r="J10566">
        <v>-183.1781</v>
      </c>
      <c r="K10566">
        <v>1.1050899999999999</v>
      </c>
      <c r="L10566">
        <v>124.0506</v>
      </c>
      <c r="M10566">
        <v>0.2486631</v>
      </c>
      <c r="N10566">
        <v>0</v>
      </c>
      <c r="O10566">
        <v>0.96847159999999999</v>
      </c>
      <c r="P10566">
        <v>0.48465629999999998</v>
      </c>
      <c r="Q10566">
        <v>8.5491949999999997E-2</v>
      </c>
      <c r="R10566">
        <v>0.87051679999999998</v>
      </c>
      <c r="S10566">
        <v>1.8210599999999999</v>
      </c>
      <c r="T10566">
        <v>-0.33127770000000001</v>
      </c>
      <c r="U10566">
        <v>2.4672700000000001</v>
      </c>
      <c r="V10566">
        <v>0.25421919999999998</v>
      </c>
      <c r="W10566">
        <v>9.6782419999999994E-2</v>
      </c>
      <c r="X10566">
        <v>0.96229200000000004</v>
      </c>
      <c r="Y10566">
        <v>0.37148350000000002</v>
      </c>
      <c r="Z10566">
        <v>-0.1092142</v>
      </c>
      <c r="AA10566">
        <v>0.92199359999999997</v>
      </c>
      <c r="AB10566">
        <v>38</v>
      </c>
      <c r="AC10566">
        <v>6.0237999999999898</v>
      </c>
      <c r="AD10566">
        <v>-1.105094457671</v>
      </c>
      <c r="AE10566">
        <v>8.0375999999999905</v>
      </c>
      <c r="AF10566">
        <v>3.7897904161577598</v>
      </c>
      <c r="AG10566">
        <v>-1.105094457671</v>
      </c>
      <c r="AH10566">
        <v>9.1721232121705096</v>
      </c>
      <c r="AI10566">
        <v>96.353890664092106</v>
      </c>
      <c r="AJ10566">
        <v>67.550284456952596</v>
      </c>
      <c r="AK10566">
        <v>9.9855690562938602</v>
      </c>
      <c r="AL10566">
        <v>84.446082607426206</v>
      </c>
      <c r="AM10566">
        <v>75.201631472882198</v>
      </c>
      <c r="AN10566">
        <v>1.00000006586684</v>
      </c>
    </row>
    <row r="10567" spans="1:40" x14ac:dyDescent="0.25">
      <c r="A10567" t="str">
        <f>"20190312150927054"</f>
        <v>20190312150927054</v>
      </c>
      <c r="B10567" t="str">
        <f>"1552374567049684"</f>
        <v>1552374567049684</v>
      </c>
      <c r="C10567" t="s">
        <v>40</v>
      </c>
      <c r="D10567">
        <v>5.0408989999999996</v>
      </c>
      <c r="E10567">
        <v>0.54987869999999905</v>
      </c>
      <c r="F10567" t="s">
        <v>77</v>
      </c>
      <c r="G10567">
        <v>-177.0951</v>
      </c>
      <c r="H10567" s="1">
        <v>-4.4538719999999999E-6</v>
      </c>
      <c r="I10567">
        <v>132.18469999999999</v>
      </c>
      <c r="J10567">
        <v>-183.12880000000001</v>
      </c>
      <c r="K10567">
        <v>1.1050359999999999</v>
      </c>
      <c r="L10567">
        <v>124.2332</v>
      </c>
      <c r="M10567">
        <v>0.25127480000000002</v>
      </c>
      <c r="N10567">
        <v>0</v>
      </c>
      <c r="O10567">
        <v>0.96779720000000002</v>
      </c>
      <c r="P10567">
        <v>0.48887589999999997</v>
      </c>
      <c r="Q10567">
        <v>8.4872169999999997E-2</v>
      </c>
      <c r="R10567">
        <v>0.86821489999999901</v>
      </c>
      <c r="S10567">
        <v>1.8369450000000001</v>
      </c>
      <c r="T10567">
        <v>-0.33371390000000001</v>
      </c>
      <c r="U10567">
        <v>2.4563139999999999</v>
      </c>
      <c r="V10567">
        <v>0.25628529999999999</v>
      </c>
      <c r="W10567">
        <v>9.6097559999999999E-2</v>
      </c>
      <c r="X10567">
        <v>0.96181240000000001</v>
      </c>
      <c r="Y10567">
        <v>0.37472299999999997</v>
      </c>
      <c r="Z10567">
        <v>-0.11001610000000001</v>
      </c>
      <c r="AA10567">
        <v>0.92058629999999997</v>
      </c>
      <c r="AB10567">
        <v>38</v>
      </c>
      <c r="AC10567">
        <v>6.0336999999999996</v>
      </c>
      <c r="AD10567">
        <v>-1.105040453872</v>
      </c>
      <c r="AE10567">
        <v>7.9514999999999896</v>
      </c>
      <c r="AF10567">
        <v>3.7953110510997199</v>
      </c>
      <c r="AG10567">
        <v>-1.105040453872</v>
      </c>
      <c r="AH10567">
        <v>9.1010685856369893</v>
      </c>
      <c r="AI10567">
        <v>96.394165685913094</v>
      </c>
      <c r="AJ10567">
        <v>67.362976322494504</v>
      </c>
      <c r="AK10567">
        <v>9.9224467637655707</v>
      </c>
      <c r="AL10567">
        <v>84.485505557991502</v>
      </c>
      <c r="AM10567">
        <v>75.0795956738706</v>
      </c>
      <c r="AN10567">
        <v>0.99999999441390097</v>
      </c>
    </row>
    <row r="10568" spans="1:40" x14ac:dyDescent="0.25">
      <c r="A10568" t="str">
        <f>"20190312150927066"</f>
        <v>20190312150927066</v>
      </c>
      <c r="B10568" t="str">
        <f>"1552374567059445"</f>
        <v>1552374567059445</v>
      </c>
      <c r="C10568" t="s">
        <v>40</v>
      </c>
      <c r="D10568">
        <v>4.8157889999999997</v>
      </c>
      <c r="E10568">
        <v>0.54945739999999998</v>
      </c>
      <c r="F10568" t="s">
        <v>77</v>
      </c>
      <c r="G10568">
        <v>-177.04730000000001</v>
      </c>
      <c r="H10568" s="1">
        <v>-4.4581300000000001E-6</v>
      </c>
      <c r="I10568">
        <v>132.2817</v>
      </c>
      <c r="J10568">
        <v>-183.07849999999999</v>
      </c>
      <c r="K10568">
        <v>1.104978</v>
      </c>
      <c r="L10568">
        <v>124.4188</v>
      </c>
      <c r="M10568">
        <v>0.2539479</v>
      </c>
      <c r="N10568">
        <v>0</v>
      </c>
      <c r="O10568">
        <v>0.96709920000000005</v>
      </c>
      <c r="P10568">
        <v>0.49292760000000002</v>
      </c>
      <c r="Q10568">
        <v>8.413466E-2</v>
      </c>
      <c r="R10568">
        <v>0.86599300000000001</v>
      </c>
      <c r="S10568">
        <v>1.8490139999999999</v>
      </c>
      <c r="T10568">
        <v>-0.33597519999999997</v>
      </c>
      <c r="U10568">
        <v>2.4470670000000001</v>
      </c>
      <c r="V10568">
        <v>0.25810949999999999</v>
      </c>
      <c r="W10568">
        <v>9.5295859999999996E-2</v>
      </c>
      <c r="X10568">
        <v>0.96140429999999999</v>
      </c>
      <c r="Y10568">
        <v>0.37667499999999998</v>
      </c>
      <c r="Z10568">
        <v>-0.1107699</v>
      </c>
      <c r="AA10568">
        <v>0.91969880000000004</v>
      </c>
      <c r="AB10568">
        <v>38</v>
      </c>
      <c r="AC10568">
        <v>6.0311999999999797</v>
      </c>
      <c r="AD10568">
        <v>-1.1049824581299901</v>
      </c>
      <c r="AE10568">
        <v>7.86289999999999</v>
      </c>
      <c r="AF10568">
        <v>3.7893272389661798</v>
      </c>
      <c r="AG10568">
        <v>-1.1049824581299901</v>
      </c>
      <c r="AH10568">
        <v>9.0246549375490996</v>
      </c>
      <c r="AI10568">
        <v>96.440990895526994</v>
      </c>
      <c r="AJ10568">
        <v>67.223141522713703</v>
      </c>
      <c r="AK10568">
        <v>9.8500956289051</v>
      </c>
      <c r="AL10568">
        <v>84.5316515189201</v>
      </c>
      <c r="AM10568">
        <v>74.972090881550599</v>
      </c>
      <c r="AN10568">
        <v>1.0000000214909299</v>
      </c>
    </row>
    <row r="10569" spans="1:40" x14ac:dyDescent="0.25">
      <c r="A10569" t="str">
        <f>"20190312150927076"</f>
        <v>20190312150927076</v>
      </c>
      <c r="B10569" t="str">
        <f>"1552374567070181"</f>
        <v>1552374567070181</v>
      </c>
      <c r="C10569" t="s">
        <v>40</v>
      </c>
      <c r="D10569">
        <v>5.0727989999999998</v>
      </c>
      <c r="E10569">
        <v>0.54961389999999999</v>
      </c>
      <c r="F10569" t="s">
        <v>77</v>
      </c>
      <c r="G10569">
        <v>-177.02619999999999</v>
      </c>
      <c r="H10569" s="1">
        <v>-4.4762389999999996E-6</v>
      </c>
      <c r="I10569">
        <v>132.36750000000001</v>
      </c>
      <c r="J10569">
        <v>-183.02940000000001</v>
      </c>
      <c r="K10569">
        <v>1.1049040000000001</v>
      </c>
      <c r="L10569">
        <v>124.5968</v>
      </c>
      <c r="M10569">
        <v>0.2565925</v>
      </c>
      <c r="N10569">
        <v>0</v>
      </c>
      <c r="O10569">
        <v>0.96640090000000001</v>
      </c>
      <c r="P10569">
        <v>0.49709799999999899</v>
      </c>
      <c r="Q10569">
        <v>8.3714720000000006E-2</v>
      </c>
      <c r="R10569">
        <v>0.86364660000000004</v>
      </c>
      <c r="S10569">
        <v>1.857712</v>
      </c>
      <c r="T10569">
        <v>-0.33916629999999998</v>
      </c>
      <c r="U10569">
        <v>2.4397739999999999</v>
      </c>
      <c r="V10569">
        <v>0.26011810000000002</v>
      </c>
      <c r="W10569">
        <v>9.4800780000000001E-2</v>
      </c>
      <c r="X10569">
        <v>0.96091179999999998</v>
      </c>
      <c r="Y10569">
        <v>0.37747029999999998</v>
      </c>
      <c r="Z10569">
        <v>-0.1118236</v>
      </c>
      <c r="AA10569">
        <v>0.91924519999999998</v>
      </c>
      <c r="AB10569">
        <v>38</v>
      </c>
      <c r="AC10569">
        <v>6.0032000000000201</v>
      </c>
      <c r="AD10569">
        <v>-1.104908476239</v>
      </c>
      <c r="AE10569">
        <v>7.7706999999999997</v>
      </c>
      <c r="AF10569">
        <v>3.7604201950804201</v>
      </c>
      <c r="AG10569">
        <v>-1.104908476239</v>
      </c>
      <c r="AH10569">
        <v>8.9378623791407605</v>
      </c>
      <c r="AI10569">
        <v>96.500630926865995</v>
      </c>
      <c r="AJ10569">
        <v>67.182085557611003</v>
      </c>
      <c r="AK10569">
        <v>9.7594552457036894</v>
      </c>
      <c r="AL10569">
        <v>84.560146678551206</v>
      </c>
      <c r="AM10569">
        <v>74.853089798724994</v>
      </c>
      <c r="AN10569">
        <v>1.00000005060772</v>
      </c>
    </row>
    <row r="10570" spans="1:40" x14ac:dyDescent="0.25">
      <c r="A10570" t="str">
        <f>"20190312150927088"</f>
        <v>20190312150927088</v>
      </c>
      <c r="B10570" t="str">
        <f>"1552374567079941"</f>
        <v>1552374567079941</v>
      </c>
      <c r="C10570" t="s">
        <v>40</v>
      </c>
      <c r="D10570">
        <v>5.0544289999999998</v>
      </c>
      <c r="E10570">
        <v>0.54968859999999997</v>
      </c>
      <c r="F10570" t="s">
        <v>77</v>
      </c>
      <c r="G10570">
        <v>-176.9512</v>
      </c>
      <c r="H10570" s="1">
        <v>-4.4724840000000004E-6</v>
      </c>
      <c r="I10570">
        <v>132.4922</v>
      </c>
      <c r="J10570">
        <v>-182.97280000000001</v>
      </c>
      <c r="K10570">
        <v>1.104816</v>
      </c>
      <c r="L10570">
        <v>124.79989999999999</v>
      </c>
      <c r="M10570">
        <v>0.259652299999999</v>
      </c>
      <c r="N10570">
        <v>0</v>
      </c>
      <c r="O10570">
        <v>0.96558310000000003</v>
      </c>
      <c r="P10570">
        <v>0.50109809999999999</v>
      </c>
      <c r="Q10570">
        <v>8.3141720000000002E-2</v>
      </c>
      <c r="R10570">
        <v>0.86138740000000003</v>
      </c>
      <c r="S10570">
        <v>1.8706050000000001</v>
      </c>
      <c r="T10570">
        <v>-0.34004709999999899</v>
      </c>
      <c r="U10570">
        <v>2.429916</v>
      </c>
      <c r="V10570">
        <v>0.26153009999999999</v>
      </c>
      <c r="W10570">
        <v>9.4153280000000006E-2</v>
      </c>
      <c r="X10570">
        <v>0.96059209999999995</v>
      </c>
      <c r="Y10570">
        <v>0.3793841</v>
      </c>
      <c r="Z10570">
        <v>-0.11211790000000001</v>
      </c>
      <c r="AA10570">
        <v>0.91842109999999999</v>
      </c>
      <c r="AB10570">
        <v>38</v>
      </c>
      <c r="AC10570">
        <v>6.0216000000000003</v>
      </c>
      <c r="AD10570">
        <v>-1.1048204724840001</v>
      </c>
      <c r="AE10570">
        <v>7.6923000000000004</v>
      </c>
      <c r="AF10570">
        <v>3.76925941329098</v>
      </c>
      <c r="AG10570">
        <v>-1.1048204724840001</v>
      </c>
      <c r="AH10570">
        <v>8.8785485595989808</v>
      </c>
      <c r="AI10570">
        <v>96.534319576538806</v>
      </c>
      <c r="AJ10570">
        <v>66.997051988869401</v>
      </c>
      <c r="AK10570">
        <v>9.7085822510941107</v>
      </c>
      <c r="AL10570">
        <v>84.597412151417203</v>
      </c>
      <c r="AM10570">
        <v>74.769842665096306</v>
      </c>
      <c r="AN10570">
        <v>1.0000000079615801</v>
      </c>
    </row>
    <row r="10571" spans="1:40" x14ac:dyDescent="0.25">
      <c r="A10571" t="str">
        <f>"20190312150927098"</f>
        <v>20190312150927098</v>
      </c>
      <c r="B10571" t="str">
        <f>"1552374567089701"</f>
        <v>1552374567089701</v>
      </c>
      <c r="C10571" t="s">
        <v>40</v>
      </c>
      <c r="D10571">
        <v>4.999771</v>
      </c>
      <c r="E10571">
        <v>0.54947749999999995</v>
      </c>
      <c r="F10571" t="s">
        <v>77</v>
      </c>
      <c r="G10571">
        <v>-176.87809999999999</v>
      </c>
      <c r="H10571" s="1">
        <v>-4.4774420000000004E-6</v>
      </c>
      <c r="I10571">
        <v>132.63669999999999</v>
      </c>
      <c r="J10571">
        <v>-182.9255</v>
      </c>
      <c r="K10571">
        <v>1.104735</v>
      </c>
      <c r="L10571">
        <v>124.9675</v>
      </c>
      <c r="M10571">
        <v>0.26223629999999998</v>
      </c>
      <c r="N10571">
        <v>0</v>
      </c>
      <c r="O10571">
        <v>0.96488450000000003</v>
      </c>
      <c r="P10571">
        <v>0.50487850000000001</v>
      </c>
      <c r="Q10571">
        <v>8.2633319999999996E-2</v>
      </c>
      <c r="R10571">
        <v>0.85922600000000005</v>
      </c>
      <c r="S10571">
        <v>1.882477</v>
      </c>
      <c r="T10571">
        <v>-0.34124829999999901</v>
      </c>
      <c r="U10571">
        <v>2.4205930000000002</v>
      </c>
      <c r="V10571">
        <v>0.26317970000000002</v>
      </c>
      <c r="W10571">
        <v>9.3571269999999998E-2</v>
      </c>
      <c r="X10571">
        <v>0.96019829999999995</v>
      </c>
      <c r="Y10571">
        <v>0.38140079999999998</v>
      </c>
      <c r="Z10571">
        <v>-0.11252620000000001</v>
      </c>
      <c r="AA10571">
        <v>0.9175354</v>
      </c>
      <c r="AB10571">
        <v>38</v>
      </c>
      <c r="AC10571">
        <v>6.0473999999999997</v>
      </c>
      <c r="AD10571">
        <v>-1.1047394774420001</v>
      </c>
      <c r="AE10571">
        <v>7.6691999999999796</v>
      </c>
      <c r="AF10571">
        <v>3.7760269251356702</v>
      </c>
      <c r="AG10571">
        <v>-1.1047394774420001</v>
      </c>
      <c r="AH10571">
        <v>8.8732438502503808</v>
      </c>
      <c r="AI10571">
        <v>96.535345738715804</v>
      </c>
      <c r="AJ10571">
        <v>66.947723321455996</v>
      </c>
      <c r="AK10571">
        <v>9.7063528206208698</v>
      </c>
      <c r="AL10571">
        <v>84.630906461699993</v>
      </c>
      <c r="AM10571">
        <v>74.672291771135605</v>
      </c>
      <c r="AN10571">
        <v>0.99999995619219495</v>
      </c>
    </row>
    <row r="10572" spans="1:40" x14ac:dyDescent="0.25">
      <c r="A10572" t="str">
        <f>"20190312150927109"</f>
        <v>20190312150927109</v>
      </c>
      <c r="B10572" t="str">
        <f>"1552374567099461"</f>
        <v>1552374567099461</v>
      </c>
      <c r="C10572" t="s">
        <v>40</v>
      </c>
      <c r="D10572">
        <v>5.1076790000000001</v>
      </c>
      <c r="E10572">
        <v>0.54963649999999997</v>
      </c>
      <c r="F10572" t="s">
        <v>77</v>
      </c>
      <c r="G10572">
        <v>-176.7552</v>
      </c>
      <c r="H10572" s="1">
        <v>-4.470232E-6</v>
      </c>
      <c r="I10572">
        <v>132.83879999999999</v>
      </c>
      <c r="J10572">
        <v>-182.8776</v>
      </c>
      <c r="K10572">
        <v>1.104652</v>
      </c>
      <c r="L10572">
        <v>125.1353</v>
      </c>
      <c r="M10572">
        <v>0.26487529999999998</v>
      </c>
      <c r="N10572">
        <v>0</v>
      </c>
      <c r="O10572">
        <v>0.9641634</v>
      </c>
      <c r="P10572">
        <v>0.50847399999999998</v>
      </c>
      <c r="Q10572">
        <v>8.2139110000000001E-2</v>
      </c>
      <c r="R10572">
        <v>0.85715069999999904</v>
      </c>
      <c r="S10572">
        <v>1.891357</v>
      </c>
      <c r="T10572">
        <v>-0.33862809999999999</v>
      </c>
      <c r="U10572">
        <v>2.4127350000000001</v>
      </c>
      <c r="V10572">
        <v>0.26457649999999999</v>
      </c>
      <c r="W10572">
        <v>9.3003450000000001E-2</v>
      </c>
      <c r="X10572">
        <v>0.95986959999999999</v>
      </c>
      <c r="Y10572">
        <v>0.38247500000000001</v>
      </c>
      <c r="Z10572">
        <v>-0.1116948</v>
      </c>
      <c r="AA10572">
        <v>0.91718980000000006</v>
      </c>
      <c r="AB10572">
        <v>38</v>
      </c>
      <c r="AC10572">
        <v>6.1223999999999901</v>
      </c>
      <c r="AD10572">
        <v>-1.1046564702320001</v>
      </c>
      <c r="AE10572">
        <v>7.7034999999999902</v>
      </c>
      <c r="AF10572">
        <v>3.8148944139904999</v>
      </c>
      <c r="AG10572">
        <v>-1.1046564702320001</v>
      </c>
      <c r="AH10572">
        <v>8.9375116563819397</v>
      </c>
      <c r="AI10572">
        <v>96.485280718706505</v>
      </c>
      <c r="AJ10572">
        <v>66.8852342689419</v>
      </c>
      <c r="AK10572">
        <v>9.7802249419471092</v>
      </c>
      <c r="AL10572">
        <v>84.663582921346006</v>
      </c>
      <c r="AM10572">
        <v>74.589771719020803</v>
      </c>
      <c r="AN10572">
        <v>1.00000000753415</v>
      </c>
    </row>
    <row r="10573" spans="1:40" x14ac:dyDescent="0.25">
      <c r="A10573" t="str">
        <f>"20190312150927119"</f>
        <v>20190312150927119</v>
      </c>
      <c r="B10573" t="str">
        <f>"1552374567110197"</f>
        <v>1552374567110197</v>
      </c>
      <c r="C10573" t="s">
        <v>40</v>
      </c>
      <c r="D10573">
        <v>5.049188</v>
      </c>
      <c r="E10573">
        <v>0.5496164</v>
      </c>
      <c r="F10573" t="s">
        <v>77</v>
      </c>
      <c r="G10573">
        <v>-176.7054</v>
      </c>
      <c r="H10573" s="1">
        <v>-4.4722350000000001E-6</v>
      </c>
      <c r="I10573">
        <v>132.93350000000001</v>
      </c>
      <c r="J10573">
        <v>-182.82749999999999</v>
      </c>
      <c r="K10573">
        <v>1.1045579999999999</v>
      </c>
      <c r="L10573">
        <v>125.3091</v>
      </c>
      <c r="M10573">
        <v>0.26766319999999999</v>
      </c>
      <c r="N10573">
        <v>0</v>
      </c>
      <c r="O10573">
        <v>0.96339300000000005</v>
      </c>
      <c r="P10573">
        <v>0.51210990000000001</v>
      </c>
      <c r="Q10573">
        <v>8.1617460000000003E-2</v>
      </c>
      <c r="R10573">
        <v>0.85503340000000005</v>
      </c>
      <c r="S10573">
        <v>1.9026639999999999</v>
      </c>
      <c r="T10573">
        <v>-0.3405241</v>
      </c>
      <c r="U10573">
        <v>2.4039000000000001</v>
      </c>
      <c r="V10573">
        <v>0.26587820000000001</v>
      </c>
      <c r="W10573">
        <v>9.2405230000000005E-2</v>
      </c>
      <c r="X10573">
        <v>0.95956770000000002</v>
      </c>
      <c r="Y10573">
        <v>0.38405309999999998</v>
      </c>
      <c r="Z10573">
        <v>-0.11231439999999999</v>
      </c>
      <c r="AA10573">
        <v>0.9164544</v>
      </c>
      <c r="AB10573">
        <v>38</v>
      </c>
      <c r="AC10573">
        <v>6.1220999999999801</v>
      </c>
      <c r="AD10573">
        <v>-1.104562472235</v>
      </c>
      <c r="AE10573">
        <v>7.6243999999999996</v>
      </c>
      <c r="AF10573">
        <v>3.80905557535461</v>
      </c>
      <c r="AG10573">
        <v>-1.104562472235</v>
      </c>
      <c r="AH10573">
        <v>8.8717803525218208</v>
      </c>
      <c r="AI10573">
        <v>96.526500536639702</v>
      </c>
      <c r="AJ10573">
        <v>66.763969538282396</v>
      </c>
      <c r="AK10573">
        <v>9.7178932518628791</v>
      </c>
      <c r="AL10573">
        <v>84.698006907123101</v>
      </c>
      <c r="AM10573">
        <v>74.512945995218502</v>
      </c>
      <c r="AN10573">
        <v>1.0000000573249399</v>
      </c>
    </row>
    <row r="10574" spans="1:40" x14ac:dyDescent="0.25">
      <c r="A10574" t="str">
        <f>"20190312150927130"</f>
        <v>20190312150927130</v>
      </c>
      <c r="B10574" t="str">
        <f>"1552374567119957"</f>
        <v>1552374567119957</v>
      </c>
      <c r="C10574" t="s">
        <v>40</v>
      </c>
      <c r="D10574">
        <v>5.0240039999999997</v>
      </c>
      <c r="E10574">
        <v>0.54947519999999905</v>
      </c>
      <c r="F10574" t="s">
        <v>77</v>
      </c>
      <c r="G10574">
        <v>-176.67570000000001</v>
      </c>
      <c r="H10574" s="1">
        <v>-4.4830570000000002E-6</v>
      </c>
      <c r="I10574">
        <v>133.0155</v>
      </c>
      <c r="J10574">
        <v>-182.7775</v>
      </c>
      <c r="K10574">
        <v>1.1044560000000001</v>
      </c>
      <c r="L10574">
        <v>125.4803</v>
      </c>
      <c r="M10574">
        <v>0.27048290000000003</v>
      </c>
      <c r="N10574">
        <v>0</v>
      </c>
      <c r="O10574">
        <v>0.96260509999999999</v>
      </c>
      <c r="P10574">
        <v>0.51564849999999995</v>
      </c>
      <c r="Q10574">
        <v>8.1116519999999998E-2</v>
      </c>
      <c r="R10574">
        <v>0.85295180000000004</v>
      </c>
      <c r="S10574">
        <v>1.9126129999999999</v>
      </c>
      <c r="T10574">
        <v>-0.34340870000000001</v>
      </c>
      <c r="U10574">
        <v>2.3959199999999998</v>
      </c>
      <c r="V10574">
        <v>0.2670479</v>
      </c>
      <c r="W10574">
        <v>9.1826900000000003E-2</v>
      </c>
      <c r="X10574">
        <v>0.95929830000000005</v>
      </c>
      <c r="Y10574">
        <v>0.38509690000000002</v>
      </c>
      <c r="Z10574">
        <v>-0.11325060000000001</v>
      </c>
      <c r="AA10574">
        <v>0.91590099999999997</v>
      </c>
      <c r="AB10574">
        <v>38</v>
      </c>
      <c r="AC10574">
        <v>6.1017999999999901</v>
      </c>
      <c r="AD10574">
        <v>-1.104460483057</v>
      </c>
      <c r="AE10574">
        <v>7.5351999999999997</v>
      </c>
      <c r="AF10574">
        <v>3.7867879293076299</v>
      </c>
      <c r="AG10574">
        <v>-1.104460483057</v>
      </c>
      <c r="AH10574">
        <v>8.7908161528625097</v>
      </c>
      <c r="AI10574">
        <v>96.582115467185204</v>
      </c>
      <c r="AJ10574">
        <v>66.695247904041295</v>
      </c>
      <c r="AK10574">
        <v>9.6352500960594192</v>
      </c>
      <c r="AL10574">
        <v>84.731283927583704</v>
      </c>
      <c r="AM10574">
        <v>74.443947393214899</v>
      </c>
      <c r="AN10574">
        <v>0.99999999442045495</v>
      </c>
    </row>
    <row r="10575" spans="1:40" x14ac:dyDescent="0.25">
      <c r="A10575" t="str">
        <f>"20190312150927142"</f>
        <v>20190312150927142</v>
      </c>
      <c r="B10575" t="str">
        <f>"1552374567129717"</f>
        <v>1552374567129717</v>
      </c>
      <c r="C10575" t="s">
        <v>40</v>
      </c>
      <c r="D10575">
        <v>5.2565309999999998</v>
      </c>
      <c r="E10575">
        <v>0.5497417</v>
      </c>
      <c r="F10575" t="s">
        <v>77</v>
      </c>
      <c r="G10575">
        <v>-176.57149999999999</v>
      </c>
      <c r="H10575" s="1">
        <v>-4.4792640000000003E-6</v>
      </c>
      <c r="I10575">
        <v>133.19280000000001</v>
      </c>
      <c r="J10575">
        <v>-182.72280000000001</v>
      </c>
      <c r="K10575">
        <v>1.1043449999999999</v>
      </c>
      <c r="L10575">
        <v>125.6656</v>
      </c>
      <c r="M10575">
        <v>0.27358840000000001</v>
      </c>
      <c r="N10575">
        <v>0</v>
      </c>
      <c r="O10575">
        <v>0.961727</v>
      </c>
      <c r="P10575">
        <v>0.51955010000000001</v>
      </c>
      <c r="Q10575">
        <v>8.0476300000000001E-2</v>
      </c>
      <c r="R10575">
        <v>0.850641599999999</v>
      </c>
      <c r="S10575">
        <v>1.9215850000000001</v>
      </c>
      <c r="T10575">
        <v>-0.34197719999999998</v>
      </c>
      <c r="U10575">
        <v>2.3880460000000001</v>
      </c>
      <c r="V10575">
        <v>0.26834590000000003</v>
      </c>
      <c r="W10575">
        <v>9.1098029999999997E-2</v>
      </c>
      <c r="X10575">
        <v>0.95900549999999996</v>
      </c>
      <c r="Y10575">
        <v>0.3857179</v>
      </c>
      <c r="Z10575">
        <v>-0.11278639999999999</v>
      </c>
      <c r="AA10575">
        <v>0.91569699999999998</v>
      </c>
      <c r="AB10575">
        <v>38</v>
      </c>
      <c r="AC10575">
        <v>6.1513000000000098</v>
      </c>
      <c r="AD10575">
        <v>-1.1043494792640001</v>
      </c>
      <c r="AE10575">
        <v>7.5271999999999997</v>
      </c>
      <c r="AF10575">
        <v>3.8078174027131402</v>
      </c>
      <c r="AG10575">
        <v>-1.1043494792640001</v>
      </c>
      <c r="AH10575">
        <v>8.80937019329183</v>
      </c>
      <c r="AI10575">
        <v>96.564215377672198</v>
      </c>
      <c r="AJ10575">
        <v>66.623765541997798</v>
      </c>
      <c r="AK10575">
        <v>9.6604381032753501</v>
      </c>
      <c r="AL10575">
        <v>84.773220706519197</v>
      </c>
      <c r="AM10575">
        <v>74.367484727862106</v>
      </c>
      <c r="AN10575">
        <v>0.999999961073469</v>
      </c>
    </row>
    <row r="10576" spans="1:40" x14ac:dyDescent="0.25">
      <c r="A10576" t="str">
        <f>"20190312150927152"</f>
        <v>20190312150927152</v>
      </c>
      <c r="B10576" t="str">
        <f>"1552374567139476"</f>
        <v>1552374567139476</v>
      </c>
      <c r="C10576" t="s">
        <v>40</v>
      </c>
      <c r="D10576">
        <v>4.9780879999999996</v>
      </c>
      <c r="E10576">
        <v>0.5495949</v>
      </c>
      <c r="F10576" t="s">
        <v>77</v>
      </c>
      <c r="G10576">
        <v>-176.52969999999999</v>
      </c>
      <c r="H10576" s="1">
        <v>-4.483594E-6</v>
      </c>
      <c r="I10576">
        <v>133.27930000000001</v>
      </c>
      <c r="J10576">
        <v>-182.6738</v>
      </c>
      <c r="K10576">
        <v>1.1042379999999901</v>
      </c>
      <c r="L10576">
        <v>125.82899999999999</v>
      </c>
      <c r="M10576">
        <v>0.27642489999999997</v>
      </c>
      <c r="N10576">
        <v>0</v>
      </c>
      <c r="O10576">
        <v>0.96091539999999998</v>
      </c>
      <c r="P10576">
        <v>0.52337279999999997</v>
      </c>
      <c r="Q10576">
        <v>8.0408149999999998E-2</v>
      </c>
      <c r="R10576">
        <v>0.84830149999999904</v>
      </c>
      <c r="S10576">
        <v>1.934296</v>
      </c>
      <c r="T10576">
        <v>-0.34492060000000002</v>
      </c>
      <c r="U10576">
        <v>2.3779750000000002</v>
      </c>
      <c r="V10576">
        <v>0.26985379999999998</v>
      </c>
      <c r="W10576">
        <v>9.0939900000000004E-2</v>
      </c>
      <c r="X10576">
        <v>0.95859740000000004</v>
      </c>
      <c r="Y10576">
        <v>0.38777099999999998</v>
      </c>
      <c r="Z10576">
        <v>-0.11374960000000001</v>
      </c>
      <c r="AA10576">
        <v>0.91471020000000003</v>
      </c>
      <c r="AB10576">
        <v>38</v>
      </c>
      <c r="AC10576">
        <v>6.1440999999999999</v>
      </c>
      <c r="AD10576">
        <v>-1.1042424835939999</v>
      </c>
      <c r="AE10576">
        <v>7.4503000000000101</v>
      </c>
      <c r="AF10576">
        <v>3.7953310947623899</v>
      </c>
      <c r="AG10576">
        <v>-1.1042424835939999</v>
      </c>
      <c r="AH10576">
        <v>8.7441811028755598</v>
      </c>
      <c r="AI10576">
        <v>96.607797851316505</v>
      </c>
      <c r="AJ10576">
        <v>66.537190839280498</v>
      </c>
      <c r="AK10576">
        <v>9.5960717348991498</v>
      </c>
      <c r="AL10576">
        <v>84.782319154717996</v>
      </c>
      <c r="AM10576">
        <v>74.277611032270798</v>
      </c>
      <c r="AN10576">
        <v>1.0000000570366001</v>
      </c>
    </row>
    <row r="10577" spans="1:40" x14ac:dyDescent="0.25">
      <c r="A10577" t="str">
        <f>"20190312150927175"</f>
        <v>20190312150927175</v>
      </c>
      <c r="B10577" t="str">
        <f>"1552374567169733"</f>
        <v>1552374567169733</v>
      </c>
      <c r="C10577" t="s">
        <v>40</v>
      </c>
      <c r="D10577">
        <v>4.9199419999999998</v>
      </c>
      <c r="E10577">
        <v>0.54956740000000004</v>
      </c>
      <c r="F10577" t="s">
        <v>77</v>
      </c>
      <c r="G10577">
        <v>-176.45410000000001</v>
      </c>
      <c r="H10577" s="1">
        <v>-4.4819780000000003E-6</v>
      </c>
      <c r="I10577">
        <v>133.41079999999999</v>
      </c>
      <c r="J10577">
        <v>-182.56010000000001</v>
      </c>
      <c r="K10577">
        <v>1.103977</v>
      </c>
      <c r="L10577">
        <v>126.20140000000001</v>
      </c>
      <c r="M10577">
        <v>0.28310679999999999</v>
      </c>
      <c r="N10577">
        <v>0</v>
      </c>
      <c r="O10577">
        <v>0.95896769999999998</v>
      </c>
      <c r="P10577">
        <v>0.53274699999999997</v>
      </c>
      <c r="Q10577">
        <v>8.0161010000000005E-2</v>
      </c>
      <c r="R10577">
        <v>0.84246949999999998</v>
      </c>
      <c r="S10577">
        <v>1.944016</v>
      </c>
      <c r="T10577">
        <v>-0.34514250000000002</v>
      </c>
      <c r="U10577">
        <v>2.3697970000000002</v>
      </c>
      <c r="V10577">
        <v>0.27386050000000001</v>
      </c>
      <c r="W10577">
        <v>9.0462189999999998E-2</v>
      </c>
      <c r="X10577">
        <v>0.95750559999999996</v>
      </c>
      <c r="Y10577">
        <v>0.38515090000000002</v>
      </c>
      <c r="Z10577">
        <v>-0.1137166</v>
      </c>
      <c r="AA10577">
        <v>0.91582050000000004</v>
      </c>
      <c r="AB10577">
        <v>38</v>
      </c>
      <c r="AC10577">
        <v>6.1059999999999901</v>
      </c>
      <c r="AD10577">
        <v>-1.1039814819780001</v>
      </c>
      <c r="AE10577">
        <v>7.20939999999998</v>
      </c>
      <c r="AF10577">
        <v>3.7634800715564101</v>
      </c>
      <c r="AG10577">
        <v>-1.1039814819780001</v>
      </c>
      <c r="AH10577">
        <v>8.5268038094002705</v>
      </c>
      <c r="AI10577">
        <v>96.755077112748793</v>
      </c>
      <c r="AJ10577">
        <v>66.184749024357401</v>
      </c>
      <c r="AK10577">
        <v>9.3855708705201106</v>
      </c>
      <c r="AL10577">
        <v>84.809802791818001</v>
      </c>
      <c r="AM10577">
        <v>74.038701732682895</v>
      </c>
      <c r="AN10577">
        <v>0.999999977655602</v>
      </c>
    </row>
    <row r="10578" spans="1:40" x14ac:dyDescent="0.25">
      <c r="A10578" t="str">
        <f>"20190312150927188"</f>
        <v>20190312150927188</v>
      </c>
      <c r="B10578" t="str">
        <f>"1552374567179493"</f>
        <v>1552374567179493</v>
      </c>
      <c r="C10578" t="s">
        <v>40</v>
      </c>
      <c r="D10578">
        <v>4.9880110000000002</v>
      </c>
      <c r="E10578">
        <v>0.54944799999999905</v>
      </c>
      <c r="F10578" t="s">
        <v>77</v>
      </c>
      <c r="G10578">
        <v>-176.30189999999999</v>
      </c>
      <c r="H10578" s="1">
        <v>-4.4732239999999996E-6</v>
      </c>
      <c r="I10578">
        <v>133.66139999999999</v>
      </c>
      <c r="J10578">
        <v>-182.49860000000001</v>
      </c>
      <c r="K10578">
        <v>1.103828</v>
      </c>
      <c r="L10578">
        <v>126.3993</v>
      </c>
      <c r="M10578">
        <v>0.28678900000000002</v>
      </c>
      <c r="N10578">
        <v>0</v>
      </c>
      <c r="O10578">
        <v>0.95787270000000002</v>
      </c>
      <c r="P10578">
        <v>0.53824240000000001</v>
      </c>
      <c r="Q10578">
        <v>8.0037460000000005E-2</v>
      </c>
      <c r="R10578">
        <v>0.83898099999999998</v>
      </c>
      <c r="S10578">
        <v>1.9699709999999999</v>
      </c>
      <c r="T10578">
        <v>-0.34751659999999901</v>
      </c>
      <c r="U10578">
        <v>2.3482820000000002</v>
      </c>
      <c r="V10578">
        <v>0.276470099999999</v>
      </c>
      <c r="W10578">
        <v>9.0198609999999999E-2</v>
      </c>
      <c r="X10578">
        <v>0.95678030000000003</v>
      </c>
      <c r="Y10578">
        <v>0.39160929999999999</v>
      </c>
      <c r="Z10578">
        <v>-0.11456860000000001</v>
      </c>
      <c r="AA10578">
        <v>0.91297110000000004</v>
      </c>
      <c r="AB10578">
        <v>38</v>
      </c>
      <c r="AC10578">
        <v>6.1967000000000203</v>
      </c>
      <c r="AD10578">
        <v>-1.1038324732239999</v>
      </c>
      <c r="AE10578">
        <v>7.2620999999999896</v>
      </c>
      <c r="AF10578">
        <v>3.80256839062229</v>
      </c>
      <c r="AG10578">
        <v>-1.1038324732239999</v>
      </c>
      <c r="AH10578">
        <v>8.6190940017365492</v>
      </c>
      <c r="AI10578">
        <v>96.682977118007898</v>
      </c>
      <c r="AJ10578">
        <v>66.193906689785294</v>
      </c>
      <c r="AK10578">
        <v>9.4850805956024704</v>
      </c>
      <c r="AL10578">
        <v>84.824967046738806</v>
      </c>
      <c r="AM10578">
        <v>73.882884070447304</v>
      </c>
      <c r="AN10578">
        <v>1.0000000239540101</v>
      </c>
    </row>
    <row r="10579" spans="1:40" x14ac:dyDescent="0.25">
      <c r="A10579" t="str">
        <f>"20190312150927199"</f>
        <v>20190312150927199</v>
      </c>
      <c r="B10579" t="str">
        <f>"1552374567190229"</f>
        <v>1552374567190229</v>
      </c>
      <c r="C10579" t="s">
        <v>40</v>
      </c>
      <c r="D10579">
        <v>4.861586</v>
      </c>
      <c r="E10579">
        <v>0.54909149999999995</v>
      </c>
      <c r="F10579" t="s">
        <v>77</v>
      </c>
      <c r="G10579">
        <v>-176.21459999999999</v>
      </c>
      <c r="H10579" s="1">
        <v>-4.4644949999999999E-6</v>
      </c>
      <c r="I10579">
        <v>133.7954</v>
      </c>
      <c r="J10579">
        <v>-182.43369999999999</v>
      </c>
      <c r="K10579">
        <v>1.1036619999999999</v>
      </c>
      <c r="L10579">
        <v>126.60420000000001</v>
      </c>
      <c r="M10579">
        <v>0.29073789999999999</v>
      </c>
      <c r="N10579">
        <v>0</v>
      </c>
      <c r="O10579">
        <v>0.95668140000000002</v>
      </c>
      <c r="P10579">
        <v>0.54435369999999905</v>
      </c>
      <c r="Q10579">
        <v>8.0123760000000002E-2</v>
      </c>
      <c r="R10579">
        <v>0.83502049999999906</v>
      </c>
      <c r="S10579">
        <v>1.9845889999999999</v>
      </c>
      <c r="T10579">
        <v>-0.34860819999999998</v>
      </c>
      <c r="U10579">
        <v>2.3358150000000002</v>
      </c>
      <c r="V10579">
        <v>0.27955089999999999</v>
      </c>
      <c r="W10579">
        <v>9.0124529999999994E-2</v>
      </c>
      <c r="X10579">
        <v>0.95589170000000001</v>
      </c>
      <c r="Y10579">
        <v>0.39351229999999998</v>
      </c>
      <c r="Z10579">
        <v>-0.1149211</v>
      </c>
      <c r="AA10579">
        <v>0.91210809999999998</v>
      </c>
      <c r="AB10579">
        <v>38</v>
      </c>
      <c r="AC10579">
        <v>6.2190999999999903</v>
      </c>
      <c r="AD10579">
        <v>-1.1036664644950001</v>
      </c>
      <c r="AE10579">
        <v>7.1911999999999896</v>
      </c>
      <c r="AF10579">
        <v>3.80807433873089</v>
      </c>
      <c r="AG10579">
        <v>-1.1036664644950001</v>
      </c>
      <c r="AH10579">
        <v>8.5732926112949404</v>
      </c>
      <c r="AI10579">
        <v>96.709968242344601</v>
      </c>
      <c r="AJ10579">
        <v>66.050224727465206</v>
      </c>
      <c r="AK10579">
        <v>9.4456792256055397</v>
      </c>
      <c r="AL10579">
        <v>84.829228955664206</v>
      </c>
      <c r="AM10579">
        <v>73.698420478033</v>
      </c>
      <c r="AN10579">
        <v>1.0000000393637001</v>
      </c>
    </row>
    <row r="10580" spans="1:40" x14ac:dyDescent="0.25">
      <c r="A10580" t="str">
        <f>"20190312150927213"</f>
        <v>20190312150927213</v>
      </c>
      <c r="B10580" t="str">
        <f>"1552374567209749"</f>
        <v>1552374567209749</v>
      </c>
      <c r="C10580" t="s">
        <v>40</v>
      </c>
      <c r="D10580">
        <v>5.2160840000000004</v>
      </c>
      <c r="E10580">
        <v>0.54968600000000001</v>
      </c>
      <c r="F10580" t="s">
        <v>77</v>
      </c>
      <c r="G10580">
        <v>-176.1319</v>
      </c>
      <c r="H10580" s="1">
        <v>-4.4576310000000001E-6</v>
      </c>
      <c r="I10580">
        <v>133.92590000000001</v>
      </c>
      <c r="J10580">
        <v>-182.3674</v>
      </c>
      <c r="K10580">
        <v>1.10349599999999</v>
      </c>
      <c r="L10580">
        <v>126.8099</v>
      </c>
      <c r="M10580">
        <v>0.29482229999999998</v>
      </c>
      <c r="N10580">
        <v>0</v>
      </c>
      <c r="O10580">
        <v>0.95543029999999995</v>
      </c>
      <c r="P10580">
        <v>0.55068119999999998</v>
      </c>
      <c r="Q10580">
        <v>8.0209450000000002E-2</v>
      </c>
      <c r="R10580">
        <v>0.83085299999999995</v>
      </c>
      <c r="S10580">
        <v>1.999344</v>
      </c>
      <c r="T10580">
        <v>-0.35015570000000001</v>
      </c>
      <c r="U10580">
        <v>2.3229519999999999</v>
      </c>
      <c r="V10580">
        <v>0.28277170000000001</v>
      </c>
      <c r="W10580">
        <v>9.0043330000000005E-2</v>
      </c>
      <c r="X10580">
        <v>0.95495149999999995</v>
      </c>
      <c r="Y10580">
        <v>0.39537440000000001</v>
      </c>
      <c r="Z10580">
        <v>-0.115422</v>
      </c>
      <c r="AA10580">
        <v>0.91123920000000003</v>
      </c>
      <c r="AB10580">
        <v>38</v>
      </c>
      <c r="AC10580">
        <v>6.2355</v>
      </c>
      <c r="AD10580">
        <v>-1.1035004576309999</v>
      </c>
      <c r="AE10580">
        <v>7.1160000000000103</v>
      </c>
      <c r="AF10580">
        <v>3.8082759544517502</v>
      </c>
      <c r="AG10580">
        <v>-1.1035004576309999</v>
      </c>
      <c r="AH10580">
        <v>8.5222843721483006</v>
      </c>
      <c r="AI10580">
        <v>96.742090280504897</v>
      </c>
      <c r="AJ10580">
        <v>65.921998006472094</v>
      </c>
      <c r="AK10580">
        <v>9.3994685980118309</v>
      </c>
      <c r="AL10580">
        <v>84.833900169635697</v>
      </c>
      <c r="AM10580">
        <v>73.505395863338606</v>
      </c>
      <c r="AN10580">
        <v>1.0000000014753101</v>
      </c>
    </row>
    <row r="10581" spans="1:40" x14ac:dyDescent="0.25">
      <c r="A10581" t="str">
        <f>"20190312150927227"</f>
        <v>20190312150927227</v>
      </c>
      <c r="B10581" t="str">
        <f>"1552374567219510"</f>
        <v>1552374567219510</v>
      </c>
      <c r="C10581" t="s">
        <v>40</v>
      </c>
      <c r="D10581">
        <v>5.3765710000000002</v>
      </c>
      <c r="E10581">
        <v>0.54968600000000001</v>
      </c>
      <c r="F10581" t="s">
        <v>77</v>
      </c>
      <c r="G10581">
        <v>-176.07730000000001</v>
      </c>
      <c r="H10581" s="1">
        <v>-4.441848E-6</v>
      </c>
      <c r="I10581">
        <v>133.98249999999999</v>
      </c>
      <c r="J10581">
        <v>-182.2971</v>
      </c>
      <c r="K10581">
        <v>1.1033189999999999</v>
      </c>
      <c r="L10581">
        <v>127.0257</v>
      </c>
      <c r="M10581">
        <v>0.29919179999999901</v>
      </c>
      <c r="N10581">
        <v>0</v>
      </c>
      <c r="O10581">
        <v>0.95407070000000005</v>
      </c>
      <c r="P10581">
        <v>0.55724390000000001</v>
      </c>
      <c r="Q10581">
        <v>8.0020170000000002E-2</v>
      </c>
      <c r="R10581">
        <v>0.82648410000000005</v>
      </c>
      <c r="S10581">
        <v>2.0215299999999998</v>
      </c>
      <c r="T10581">
        <v>-0.35464449999999997</v>
      </c>
      <c r="U10581">
        <v>2.3051300000000001</v>
      </c>
      <c r="V10581">
        <v>0.28599659999999999</v>
      </c>
      <c r="W10581">
        <v>8.9678590000000002E-2</v>
      </c>
      <c r="X10581">
        <v>0.95402500000000001</v>
      </c>
      <c r="Y10581">
        <v>0.39950999999999998</v>
      </c>
      <c r="Z10581">
        <v>-0.11687259999999999</v>
      </c>
      <c r="AA10581">
        <v>0.90924839999999996</v>
      </c>
      <c r="AB10581">
        <v>37</v>
      </c>
      <c r="AC10581">
        <v>6.2197999999999896</v>
      </c>
      <c r="AD10581">
        <v>-1.103323441848</v>
      </c>
      <c r="AE10581">
        <v>6.9567999999999799</v>
      </c>
      <c r="AF10581">
        <v>3.8000407322943701</v>
      </c>
      <c r="AG10581">
        <v>-1.103323441848</v>
      </c>
      <c r="AH10581">
        <v>8.3820128102611697</v>
      </c>
      <c r="AI10581">
        <v>96.836282068255699</v>
      </c>
      <c r="AJ10581">
        <v>65.612523632261102</v>
      </c>
      <c r="AK10581">
        <v>9.2690760562102401</v>
      </c>
      <c r="AL10581">
        <v>84.854883128819395</v>
      </c>
      <c r="AM10581">
        <v>73.312376655662703</v>
      </c>
      <c r="AN10581">
        <v>1.0000000026704701</v>
      </c>
    </row>
    <row r="10582" spans="1:40" x14ac:dyDescent="0.25">
      <c r="A10582" t="str">
        <f>"20190312150927238"</f>
        <v>20190312150927238</v>
      </c>
      <c r="B10582" t="str">
        <f>"1552374567230245"</f>
        <v>1552374567230245</v>
      </c>
      <c r="C10582" t="s">
        <v>40</v>
      </c>
      <c r="D10582">
        <v>5.2413480000000003</v>
      </c>
      <c r="E10582">
        <v>0.59531509999999999</v>
      </c>
      <c r="F10582" t="s">
        <v>77</v>
      </c>
      <c r="G10582">
        <v>-175.9513</v>
      </c>
      <c r="H10582" s="1">
        <v>-4.4171119999999999E-6</v>
      </c>
      <c r="I10582">
        <v>134.1437</v>
      </c>
      <c r="J10582">
        <v>-182.2313</v>
      </c>
      <c r="K10582">
        <v>1.1031569999999999</v>
      </c>
      <c r="L10582">
        <v>127.2234</v>
      </c>
      <c r="M10582">
        <v>0.30334680000000003</v>
      </c>
      <c r="N10582">
        <v>0</v>
      </c>
      <c r="O10582">
        <v>0.95275750000000003</v>
      </c>
      <c r="P10582">
        <v>0.56343219999999905</v>
      </c>
      <c r="Q10582">
        <v>7.98957E-2</v>
      </c>
      <c r="R10582">
        <v>0.82229010000000002</v>
      </c>
      <c r="S10582">
        <v>2.0402680000000002</v>
      </c>
      <c r="T10582">
        <v>-0.3547342</v>
      </c>
      <c r="U10582">
        <v>2.2885589999999998</v>
      </c>
      <c r="V10582">
        <v>0.28903329999999999</v>
      </c>
      <c r="W10582">
        <v>8.9386980000000005E-2</v>
      </c>
      <c r="X10582">
        <v>0.95313680000000001</v>
      </c>
      <c r="Y10582">
        <v>0.4029317</v>
      </c>
      <c r="Z10582">
        <v>-0.11692039999999999</v>
      </c>
      <c r="AA10582">
        <v>0.90773110000000001</v>
      </c>
      <c r="AB10582">
        <v>37</v>
      </c>
      <c r="AC10582">
        <v>6.28</v>
      </c>
      <c r="AD10582">
        <v>-1.1031614171120001</v>
      </c>
      <c r="AE10582">
        <v>6.9202999999999903</v>
      </c>
      <c r="AF10582">
        <v>3.83113208134339</v>
      </c>
      <c r="AG10582">
        <v>-1.1031614171120001</v>
      </c>
      <c r="AH10582">
        <v>8.3825650285111593</v>
      </c>
      <c r="AI10582">
        <v>96.825455707826407</v>
      </c>
      <c r="AJ10582">
        <v>65.437903835491795</v>
      </c>
      <c r="AK10582">
        <v>9.2823453175434896</v>
      </c>
      <c r="AL10582">
        <v>84.871658612837194</v>
      </c>
      <c r="AM10582">
        <v>73.130372083910999</v>
      </c>
      <c r="AN10582">
        <v>1.0000000201083199</v>
      </c>
    </row>
    <row r="10583" spans="1:40" x14ac:dyDescent="0.25">
      <c r="A10583" t="str">
        <f>"20190312150927252"</f>
        <v>20190312150927252</v>
      </c>
      <c r="B10583" t="str">
        <f>"1552374567249765"</f>
        <v>1552374567249765</v>
      </c>
      <c r="C10583" t="s">
        <v>40</v>
      </c>
      <c r="D10583">
        <v>5.3158859999999999</v>
      </c>
      <c r="E10583">
        <v>0.59688769999999902</v>
      </c>
      <c r="F10583" t="s">
        <v>77</v>
      </c>
      <c r="G10583">
        <v>-175.3998</v>
      </c>
      <c r="H10583" s="1">
        <v>-3.686922E-6</v>
      </c>
      <c r="I10583">
        <v>133.21090000000001</v>
      </c>
      <c r="J10583">
        <v>-182.15620000000001</v>
      </c>
      <c r="K10583">
        <v>1.1029709999999999</v>
      </c>
      <c r="L10583">
        <v>127.4457</v>
      </c>
      <c r="M10583">
        <v>0.30813119999999999</v>
      </c>
      <c r="N10583">
        <v>0</v>
      </c>
      <c r="O10583">
        <v>0.95122070000000003</v>
      </c>
      <c r="P10583">
        <v>0.57185319999999995</v>
      </c>
      <c r="Q10583">
        <v>7.941339E-2</v>
      </c>
      <c r="R10583">
        <v>0.81650319999999899</v>
      </c>
      <c r="S10583">
        <v>2.3599239999999999</v>
      </c>
      <c r="T10583">
        <v>-0.38108439999999999</v>
      </c>
      <c r="U10583">
        <v>2.0683590000000001</v>
      </c>
      <c r="V10583">
        <v>0.2940585</v>
      </c>
      <c r="W10583">
        <v>8.8676480000000002E-2</v>
      </c>
      <c r="X10583">
        <v>0.95166490000000004</v>
      </c>
      <c r="Y10583">
        <v>0.50627909999999998</v>
      </c>
      <c r="Z10583">
        <v>-0.1248862</v>
      </c>
      <c r="AA10583">
        <v>0.85327889999999995</v>
      </c>
      <c r="AB10583">
        <v>37</v>
      </c>
      <c r="AC10583">
        <v>6.75640000000001</v>
      </c>
      <c r="AD10583">
        <v>-1.1029746869219901</v>
      </c>
      <c r="AE10583">
        <v>5.7652000000000001</v>
      </c>
      <c r="AF10583">
        <v>4.5802991347565696</v>
      </c>
      <c r="AG10583">
        <v>-1.1029746869219901</v>
      </c>
      <c r="AH10583">
        <v>7.4518033783076101</v>
      </c>
      <c r="AI10583">
        <v>97.186991219102893</v>
      </c>
      <c r="AJ10583">
        <v>58.4227679085513</v>
      </c>
      <c r="AK10583">
        <v>8.8161821052425697</v>
      </c>
      <c r="AL10583">
        <v>84.912529472437996</v>
      </c>
      <c r="AM10583">
        <v>72.829178212096494</v>
      </c>
      <c r="AN10583">
        <v>1.0000000007097201</v>
      </c>
    </row>
    <row r="10584" spans="1:40" x14ac:dyDescent="0.25">
      <c r="A10584" t="str">
        <f>"20190312150927264"</f>
        <v>20190312150927264</v>
      </c>
      <c r="B10584" t="str">
        <f>"1552374567259525"</f>
        <v>1552374567259525</v>
      </c>
      <c r="C10584" t="s">
        <v>40</v>
      </c>
      <c r="D10584">
        <v>5.3253849999999998</v>
      </c>
      <c r="E10584">
        <v>0.59710969999999997</v>
      </c>
      <c r="F10584" t="s">
        <v>77</v>
      </c>
      <c r="G10584">
        <v>-175.10079999999999</v>
      </c>
      <c r="H10584" s="1">
        <v>-3.5750570000000002E-6</v>
      </c>
      <c r="I10584">
        <v>133.4537</v>
      </c>
      <c r="J10584">
        <v>-182.09370000000001</v>
      </c>
      <c r="K10584">
        <v>1.102819</v>
      </c>
      <c r="L10584">
        <v>127.62860000000001</v>
      </c>
      <c r="M10584">
        <v>0.31212859999999998</v>
      </c>
      <c r="N10584">
        <v>0</v>
      </c>
      <c r="O10584">
        <v>0.94991630000000005</v>
      </c>
      <c r="P10584">
        <v>0.57691630000000005</v>
      </c>
      <c r="Q10584">
        <v>7.9644229999999996E-2</v>
      </c>
      <c r="R10584">
        <v>0.81291119999999994</v>
      </c>
      <c r="S10584">
        <v>2.3909449999999999</v>
      </c>
      <c r="T10584">
        <v>-0.37377739999999998</v>
      </c>
      <c r="U10584">
        <v>2.0359950000000002</v>
      </c>
      <c r="V10584">
        <v>0.29601739999999999</v>
      </c>
      <c r="W10584">
        <v>8.8764819999999994E-2</v>
      </c>
      <c r="X10584">
        <v>0.95104909999999998</v>
      </c>
      <c r="Y10584">
        <v>0.51503259999999995</v>
      </c>
      <c r="Z10584">
        <v>-0.1226125</v>
      </c>
      <c r="AA10584">
        <v>0.84835579999999999</v>
      </c>
      <c r="AB10584">
        <v>37</v>
      </c>
      <c r="AC10584">
        <v>6.9929000000000103</v>
      </c>
      <c r="AD10584">
        <v>-1.102822575057</v>
      </c>
      <c r="AE10584">
        <v>5.8250999999999902</v>
      </c>
      <c r="AF10584">
        <v>4.7552353015942703</v>
      </c>
      <c r="AG10584">
        <v>-1.102822575057</v>
      </c>
      <c r="AH10584">
        <v>7.60528008553423</v>
      </c>
      <c r="AI10584">
        <v>97.009453252147296</v>
      </c>
      <c r="AJ10584">
        <v>57.984133821148703</v>
      </c>
      <c r="AK10584">
        <v>9.0370772700584592</v>
      </c>
      <c r="AL10584">
        <v>84.907447627173696</v>
      </c>
      <c r="AM10584">
        <v>72.711061463284906</v>
      </c>
      <c r="AN10584">
        <v>0.99999994249159896</v>
      </c>
    </row>
    <row r="10585" spans="1:40" x14ac:dyDescent="0.25">
      <c r="A10585" t="str">
        <f>"20190312150927275"</f>
        <v>20190312150927275</v>
      </c>
      <c r="B10585" t="str">
        <f>"1552374567270260"</f>
        <v>1552374567270260</v>
      </c>
      <c r="C10585" t="s">
        <v>40</v>
      </c>
      <c r="D10585">
        <v>5.2452649999999998</v>
      </c>
      <c r="E10585">
        <v>0.59698439999999997</v>
      </c>
      <c r="F10585" t="s">
        <v>77</v>
      </c>
      <c r="G10585">
        <v>-174.93260000000001</v>
      </c>
      <c r="H10585" s="1">
        <v>-3.538503E-6</v>
      </c>
      <c r="I10585">
        <v>133.6439</v>
      </c>
      <c r="J10585">
        <v>-182.03149999999999</v>
      </c>
      <c r="K10585">
        <v>1.1026689999999999</v>
      </c>
      <c r="L10585">
        <v>127.8062</v>
      </c>
      <c r="M10585">
        <v>0.3161699</v>
      </c>
      <c r="N10585">
        <v>0</v>
      </c>
      <c r="O10585">
        <v>0.94857860000000005</v>
      </c>
      <c r="P10585">
        <v>0.58214909999999997</v>
      </c>
      <c r="Q10585">
        <v>8.0168349999999999E-2</v>
      </c>
      <c r="R10585">
        <v>0.80912019999999996</v>
      </c>
      <c r="S10585">
        <v>2.4048310000000002</v>
      </c>
      <c r="T10585">
        <v>-0.37034489999999998</v>
      </c>
      <c r="U10585">
        <v>2.0200200000000001</v>
      </c>
      <c r="V10585">
        <v>0.29816619999999999</v>
      </c>
      <c r="W10585">
        <v>8.9142869999999999E-2</v>
      </c>
      <c r="X10585">
        <v>0.95034229999999997</v>
      </c>
      <c r="Y10585">
        <v>0.51721569999999994</v>
      </c>
      <c r="Z10585">
        <v>-0.121517</v>
      </c>
      <c r="AA10585">
        <v>0.84718449999999901</v>
      </c>
      <c r="AB10585">
        <v>37</v>
      </c>
      <c r="AC10585">
        <v>7.09889999999998</v>
      </c>
      <c r="AD10585">
        <v>-1.1026725385030001</v>
      </c>
      <c r="AE10585">
        <v>5.8376999999999901</v>
      </c>
      <c r="AF10585">
        <v>4.8193657859014003</v>
      </c>
      <c r="AG10585">
        <v>-1.1026725385030001</v>
      </c>
      <c r="AH10585">
        <v>7.6724556850623502</v>
      </c>
      <c r="AI10585">
        <v>96.938826047272499</v>
      </c>
      <c r="AJ10585">
        <v>57.865483123200399</v>
      </c>
      <c r="AK10585">
        <v>9.1273626828745602</v>
      </c>
      <c r="AL10585">
        <v>84.885701095665198</v>
      </c>
      <c r="AM10585">
        <v>72.580953636274302</v>
      </c>
      <c r="AN10585">
        <v>1.0000000106317799</v>
      </c>
    </row>
    <row r="10586" spans="1:40" x14ac:dyDescent="0.25">
      <c r="A10586" t="str">
        <f>"20190312150927286"</f>
        <v>20190312150927286</v>
      </c>
      <c r="B10586" t="str">
        <f>"1552374567280021"</f>
        <v>1552374567280021</v>
      </c>
      <c r="C10586" t="s">
        <v>40</v>
      </c>
      <c r="D10586">
        <v>5.2672169999999996</v>
      </c>
      <c r="E10586">
        <v>0.59681870000000004</v>
      </c>
      <c r="F10586" t="s">
        <v>77</v>
      </c>
      <c r="G10586">
        <v>-174.88390000000001</v>
      </c>
      <c r="H10586" s="1">
        <v>-3.5517280000000002E-6</v>
      </c>
      <c r="I10586">
        <v>133.73570000000001</v>
      </c>
      <c r="J10586">
        <v>-181.96850000000001</v>
      </c>
      <c r="K10586">
        <v>1.102511</v>
      </c>
      <c r="L10586">
        <v>127.9851</v>
      </c>
      <c r="M10586">
        <v>0.32027529999999999</v>
      </c>
      <c r="N10586">
        <v>0</v>
      </c>
      <c r="O10586">
        <v>0.94720009999999999</v>
      </c>
      <c r="P10586">
        <v>0.58734580000000003</v>
      </c>
      <c r="Q10586">
        <v>8.0908690000000005E-2</v>
      </c>
      <c r="R10586">
        <v>0.80528180000000005</v>
      </c>
      <c r="S10586">
        <v>2.4174039999999999</v>
      </c>
      <c r="T10586">
        <v>-0.37293199999999999</v>
      </c>
      <c r="U10586">
        <v>2.0054020000000001</v>
      </c>
      <c r="V10586">
        <v>0.30024210000000001</v>
      </c>
      <c r="W10586">
        <v>8.9733679999999996E-2</v>
      </c>
      <c r="X10586">
        <v>0.94963280000000005</v>
      </c>
      <c r="Y10586">
        <v>0.51863740000000003</v>
      </c>
      <c r="Z10586">
        <v>-0.122353</v>
      </c>
      <c r="AA10586">
        <v>0.84619439999999901</v>
      </c>
      <c r="AB10586">
        <v>37</v>
      </c>
      <c r="AC10586">
        <v>7.0845999999999902</v>
      </c>
      <c r="AD10586">
        <v>-1.1025145517279999</v>
      </c>
      <c r="AE10586">
        <v>5.7506000000000004</v>
      </c>
      <c r="AF10586">
        <v>4.7992674051665203</v>
      </c>
      <c r="AG10586">
        <v>-1.1025145517279999</v>
      </c>
      <c r="AH10586">
        <v>7.6058617495054497</v>
      </c>
      <c r="AI10586">
        <v>96.989066773738202</v>
      </c>
      <c r="AJ10586">
        <v>57.748243351803097</v>
      </c>
      <c r="AK10586">
        <v>9.0607747414697393</v>
      </c>
      <c r="AL10586">
        <v>84.851713672582093</v>
      </c>
      <c r="AM10586">
        <v>72.454789439390197</v>
      </c>
      <c r="AN10586">
        <v>0.99999995338729497</v>
      </c>
    </row>
    <row r="10587" spans="1:40" x14ac:dyDescent="0.25">
      <c r="A10587" t="str">
        <f>"20190312150927298"</f>
        <v>20190312150927298</v>
      </c>
      <c r="B10587" t="str">
        <f>"1552374567289782"</f>
        <v>1552374567289782</v>
      </c>
      <c r="C10587" t="s">
        <v>40</v>
      </c>
      <c r="D10587">
        <v>5.2593220000000001</v>
      </c>
      <c r="E10587">
        <v>0.59632619999999903</v>
      </c>
      <c r="F10587" t="s">
        <v>77</v>
      </c>
      <c r="G10587">
        <v>-174.73249999999999</v>
      </c>
      <c r="H10587" s="1">
        <v>-3.5528309999999999E-6</v>
      </c>
      <c r="I10587">
        <v>133.91550000000001</v>
      </c>
      <c r="J10587">
        <v>-181.90090000000001</v>
      </c>
      <c r="K10587">
        <v>1.102339</v>
      </c>
      <c r="L10587">
        <v>128.17320000000001</v>
      </c>
      <c r="M10587">
        <v>0.324737099999999</v>
      </c>
      <c r="N10587">
        <v>0</v>
      </c>
      <c r="O10587">
        <v>0.94567939999999995</v>
      </c>
      <c r="P10587">
        <v>0.59070480000000003</v>
      </c>
      <c r="Q10587">
        <v>8.1182199999999996E-2</v>
      </c>
      <c r="R10587">
        <v>0.80279339999999999</v>
      </c>
      <c r="S10587">
        <v>2.4291529999999999</v>
      </c>
      <c r="T10587">
        <v>-0.37011430000000001</v>
      </c>
      <c r="U10587">
        <v>1.990845</v>
      </c>
      <c r="V10587">
        <v>0.29978399999999999</v>
      </c>
      <c r="W10587">
        <v>8.9910359999999995E-2</v>
      </c>
      <c r="X10587">
        <v>0.94976090000000002</v>
      </c>
      <c r="Y10587">
        <v>0.51974589999999998</v>
      </c>
      <c r="Z10587">
        <v>-0.1214442</v>
      </c>
      <c r="AA10587">
        <v>0.84564499999999998</v>
      </c>
      <c r="AB10587">
        <v>37</v>
      </c>
      <c r="AC10587">
        <v>7.1684000000000099</v>
      </c>
      <c r="AD10587">
        <v>-1.102342552831</v>
      </c>
      <c r="AE10587">
        <v>5.7423000000000002</v>
      </c>
      <c r="AF10587">
        <v>4.8450606140022696</v>
      </c>
      <c r="AG10587">
        <v>-1.102342552831</v>
      </c>
      <c r="AH10587">
        <v>7.6489579497700699</v>
      </c>
      <c r="AI10587">
        <v>96.941447485180603</v>
      </c>
      <c r="AJ10587">
        <v>57.648704281474998</v>
      </c>
      <c r="AK10587">
        <v>9.1212021781390593</v>
      </c>
      <c r="AL10587">
        <v>84.841550033984404</v>
      </c>
      <c r="AM10587">
        <v>72.482138948957001</v>
      </c>
      <c r="AN10587">
        <v>1.00000004333006</v>
      </c>
    </row>
    <row r="10588" spans="1:40" x14ac:dyDescent="0.25">
      <c r="A10588" t="str">
        <f>"20190312150927309"</f>
        <v>20190312150927309</v>
      </c>
      <c r="B10588" t="str">
        <f>"1552374567299541"</f>
        <v>1552374567299541</v>
      </c>
      <c r="C10588" t="s">
        <v>40</v>
      </c>
      <c r="D10588">
        <v>5.2381489999999999</v>
      </c>
      <c r="E10588">
        <v>0.59576560000000001</v>
      </c>
      <c r="F10588" t="s">
        <v>77</v>
      </c>
      <c r="G10588">
        <v>-174.61429999999999</v>
      </c>
      <c r="H10588" s="1">
        <v>-3.5736570000000001E-6</v>
      </c>
      <c r="I10588">
        <v>134.10839999999999</v>
      </c>
      <c r="J10588">
        <v>-181.83609999999999</v>
      </c>
      <c r="K10588">
        <v>1.102177</v>
      </c>
      <c r="L10588">
        <v>128.35079999999999</v>
      </c>
      <c r="M10588">
        <v>0.32902859999999901</v>
      </c>
      <c r="N10588">
        <v>0</v>
      </c>
      <c r="O10588">
        <v>0.94419450000000005</v>
      </c>
      <c r="P10588">
        <v>0.59575829999999996</v>
      </c>
      <c r="Q10588">
        <v>8.1268679999999996E-2</v>
      </c>
      <c r="R10588">
        <v>0.79904160000000002</v>
      </c>
      <c r="S10588">
        <v>2.434402</v>
      </c>
      <c r="T10588">
        <v>-0.36828719999999998</v>
      </c>
      <c r="U10588">
        <v>1.9829410000000001</v>
      </c>
      <c r="V10588">
        <v>0.30150529999999998</v>
      </c>
      <c r="W10588">
        <v>8.9851940000000005E-2</v>
      </c>
      <c r="X10588">
        <v>0.94922139999999999</v>
      </c>
      <c r="Y10588">
        <v>0.51847710000000002</v>
      </c>
      <c r="Z10588">
        <v>-0.12082560000000001</v>
      </c>
      <c r="AA10588">
        <v>0.84651209999999899</v>
      </c>
      <c r="AB10588">
        <v>37</v>
      </c>
      <c r="AC10588">
        <v>7.2218</v>
      </c>
      <c r="AD10588">
        <v>-1.1021805736570001</v>
      </c>
      <c r="AE10588">
        <v>5.7575999999999903</v>
      </c>
      <c r="AF10588">
        <v>4.8558017439406402</v>
      </c>
      <c r="AG10588">
        <v>-1.1021805736570001</v>
      </c>
      <c r="AH10588">
        <v>7.7036919354558702</v>
      </c>
      <c r="AI10588">
        <v>96.901182383547905</v>
      </c>
      <c r="AJ10588">
        <v>57.775892278725202</v>
      </c>
      <c r="AK10588">
        <v>9.1728121113326893</v>
      </c>
      <c r="AL10588">
        <v>84.844910847443998</v>
      </c>
      <c r="AM10588">
        <v>72.378365426110605</v>
      </c>
      <c r="AN10588">
        <v>1.0000000416339001</v>
      </c>
    </row>
    <row r="10589" spans="1:40" x14ac:dyDescent="0.25">
      <c r="A10589" t="str">
        <f>"20190312150927319"</f>
        <v>20190312150927319</v>
      </c>
      <c r="B10589" t="str">
        <f>"1552374567309301"</f>
        <v>1552374567309301</v>
      </c>
      <c r="C10589" t="s">
        <v>40</v>
      </c>
      <c r="D10589">
        <v>5.3657859999999999</v>
      </c>
      <c r="E10589">
        <v>0.59558710000000004</v>
      </c>
      <c r="F10589" t="s">
        <v>77</v>
      </c>
      <c r="G10589">
        <v>-174.5155</v>
      </c>
      <c r="H10589" s="1">
        <v>-3.5853089999999998E-6</v>
      </c>
      <c r="I10589">
        <v>134.25460000000001</v>
      </c>
      <c r="J10589">
        <v>-181.77600000000001</v>
      </c>
      <c r="K10589">
        <v>1.102028</v>
      </c>
      <c r="L10589">
        <v>128.5136</v>
      </c>
      <c r="M10589">
        <v>0.33303559999999999</v>
      </c>
      <c r="N10589">
        <v>0</v>
      </c>
      <c r="O10589">
        <v>0.94278830000000002</v>
      </c>
      <c r="P10589">
        <v>0.60069689999999998</v>
      </c>
      <c r="Q10589">
        <v>8.1185469999999996E-2</v>
      </c>
      <c r="R10589">
        <v>0.7953441</v>
      </c>
      <c r="S10589">
        <v>2.443146</v>
      </c>
      <c r="T10589">
        <v>-0.36783480000000002</v>
      </c>
      <c r="U10589">
        <v>1.970291</v>
      </c>
      <c r="V10589">
        <v>0.30338470000000001</v>
      </c>
      <c r="W10589">
        <v>8.9627780000000004E-2</v>
      </c>
      <c r="X10589">
        <v>0.94864360000000003</v>
      </c>
      <c r="Y10589">
        <v>0.51900089999999999</v>
      </c>
      <c r="Z10589">
        <v>-0.12070500000000001</v>
      </c>
      <c r="AA10589">
        <v>0.84620819999999997</v>
      </c>
      <c r="AB10589">
        <v>37</v>
      </c>
      <c r="AC10589">
        <v>7.2604999999999702</v>
      </c>
      <c r="AD10589">
        <v>-1.1020315853089999</v>
      </c>
      <c r="AE10589">
        <v>5.7410000000000103</v>
      </c>
      <c r="AF10589">
        <v>4.8647821448845896</v>
      </c>
      <c r="AG10589">
        <v>-1.1020315853089999</v>
      </c>
      <c r="AH10589">
        <v>7.7220189693482304</v>
      </c>
      <c r="AI10589">
        <v>96.885063290274402</v>
      </c>
      <c r="AJ10589">
        <v>57.789549292536599</v>
      </c>
      <c r="AK10589">
        <v>9.1929405467010703</v>
      </c>
      <c r="AL10589">
        <v>84.857806329081498</v>
      </c>
      <c r="AM10589">
        <v>72.265259243576907</v>
      </c>
      <c r="AN10589">
        <v>1.0000000474813799</v>
      </c>
    </row>
    <row r="10590" spans="1:40" x14ac:dyDescent="0.25">
      <c r="A10590" t="str">
        <f>"20190312150927331"</f>
        <v>20190312150927331</v>
      </c>
      <c r="B10590" t="str">
        <f>"1552374567320389"</f>
        <v>1552374567320389</v>
      </c>
      <c r="C10590" t="s">
        <v>40</v>
      </c>
      <c r="D10590">
        <v>5.2438690000000001</v>
      </c>
      <c r="E10590">
        <v>0.59515600000000002</v>
      </c>
      <c r="F10590" t="s">
        <v>77</v>
      </c>
      <c r="G10590">
        <v>-174.4622</v>
      </c>
      <c r="H10590" s="1">
        <v>-3.5953269999999998E-6</v>
      </c>
      <c r="I10590">
        <v>134.3433</v>
      </c>
      <c r="J10590">
        <v>-181.7123</v>
      </c>
      <c r="K10590">
        <v>1.1018619999999999</v>
      </c>
      <c r="L10590">
        <v>128.6832</v>
      </c>
      <c r="M10590">
        <v>0.337308</v>
      </c>
      <c r="N10590">
        <v>0</v>
      </c>
      <c r="O10590">
        <v>0.94126790000000005</v>
      </c>
      <c r="P10590">
        <v>0.60572300000000001</v>
      </c>
      <c r="Q10590">
        <v>8.0537869999999998E-2</v>
      </c>
      <c r="R10590">
        <v>0.79158909999999905</v>
      </c>
      <c r="S10590">
        <v>2.4541629999999999</v>
      </c>
      <c r="T10590">
        <v>-0.3697896</v>
      </c>
      <c r="U10590">
        <v>1.9561770000000001</v>
      </c>
      <c r="V10590">
        <v>0.30509249999999999</v>
      </c>
      <c r="W10590">
        <v>8.8837470000000002E-2</v>
      </c>
      <c r="X10590">
        <v>0.94817010000000002</v>
      </c>
      <c r="Y10590">
        <v>0.51989909999999995</v>
      </c>
      <c r="Z10590">
        <v>-0.1213344</v>
      </c>
      <c r="AA10590">
        <v>0.84556659999999995</v>
      </c>
      <c r="AB10590">
        <v>37</v>
      </c>
      <c r="AC10590">
        <v>7.2500999999999998</v>
      </c>
      <c r="AD10590">
        <v>-1.101865595327</v>
      </c>
      <c r="AE10590">
        <v>5.6600999999999999</v>
      </c>
      <c r="AF10590">
        <v>4.8461275513465303</v>
      </c>
      <c r="AG10590">
        <v>-1.101865595327</v>
      </c>
      <c r="AH10590">
        <v>7.6641243968155397</v>
      </c>
      <c r="AI10590">
        <v>96.928330140405606</v>
      </c>
      <c r="AJ10590">
        <v>57.694289330766601</v>
      </c>
      <c r="AK10590">
        <v>9.1344328123835101</v>
      </c>
      <c r="AL10590">
        <v>84.903269046747397</v>
      </c>
      <c r="AM10590">
        <v>72.163392862223802</v>
      </c>
      <c r="AN10590">
        <v>1.0000000340831201</v>
      </c>
    </row>
    <row r="10591" spans="1:40" x14ac:dyDescent="0.25">
      <c r="A10591" t="str">
        <f>"20190312150927341"</f>
        <v>20190312150927341</v>
      </c>
      <c r="B10591" t="str">
        <f>"1552374567330147"</f>
        <v>1552374567330147</v>
      </c>
      <c r="C10591" t="s">
        <v>40</v>
      </c>
      <c r="D10591">
        <v>5.2590830000000004</v>
      </c>
      <c r="E10591">
        <v>0.59492699999999998</v>
      </c>
      <c r="F10591" t="s">
        <v>77</v>
      </c>
      <c r="G10591">
        <v>-174.37190000000001</v>
      </c>
      <c r="H10591" s="1">
        <v>-3.6037770000000001E-6</v>
      </c>
      <c r="I10591">
        <v>134.47110000000001</v>
      </c>
      <c r="J10591">
        <v>-181.6456</v>
      </c>
      <c r="K10591">
        <v>1.101696</v>
      </c>
      <c r="L10591">
        <v>128.8587</v>
      </c>
      <c r="M10591">
        <v>0.34178979999999998</v>
      </c>
      <c r="N10591">
        <v>0</v>
      </c>
      <c r="O10591">
        <v>0.93964950000000003</v>
      </c>
      <c r="P10591">
        <v>0.61075780000000002</v>
      </c>
      <c r="Q10591">
        <v>8.0271800000000004E-2</v>
      </c>
      <c r="R10591">
        <v>0.787738099999999</v>
      </c>
      <c r="S10591">
        <v>2.4634550000000002</v>
      </c>
      <c r="T10591">
        <v>-0.36978879999999997</v>
      </c>
      <c r="U10591">
        <v>1.942429</v>
      </c>
      <c r="V10591">
        <v>0.30664219999999998</v>
      </c>
      <c r="W10591">
        <v>8.8427119999999998E-2</v>
      </c>
      <c r="X10591">
        <v>0.94770840000000001</v>
      </c>
      <c r="Y10591">
        <v>0.52029559999999997</v>
      </c>
      <c r="Z10591">
        <v>-0.1213521</v>
      </c>
      <c r="AA10591">
        <v>0.84532019999999997</v>
      </c>
      <c r="AB10591">
        <v>37</v>
      </c>
      <c r="AC10591">
        <v>7.2736999999999901</v>
      </c>
      <c r="AD10591">
        <v>-1.1016996037769999</v>
      </c>
      <c r="AE10591">
        <v>5.6124000000000001</v>
      </c>
      <c r="AF10591">
        <v>4.8473498436567599</v>
      </c>
      <c r="AG10591">
        <v>-1.1016996037769999</v>
      </c>
      <c r="AH10591">
        <v>7.6506754619622601</v>
      </c>
      <c r="AI10591">
        <v>96.935408547621407</v>
      </c>
      <c r="AJ10591">
        <v>57.642284243459798</v>
      </c>
      <c r="AK10591">
        <v>9.1237808800975202</v>
      </c>
      <c r="AL10591">
        <v>84.926873107069895</v>
      </c>
      <c r="AM10591">
        <v>72.070402337467399</v>
      </c>
      <c r="AN10591">
        <v>1.00000000290144</v>
      </c>
    </row>
    <row r="10592" spans="1:40" x14ac:dyDescent="0.25">
      <c r="A10592" t="str">
        <f>"20190312150927353"</f>
        <v>20190312150927353</v>
      </c>
      <c r="B10592" t="str">
        <f>"1552374567349668"</f>
        <v>1552374567349668</v>
      </c>
      <c r="C10592" t="s">
        <v>40</v>
      </c>
      <c r="D10592">
        <v>5.3633670000000002</v>
      </c>
      <c r="E10592">
        <v>0.59460219999999997</v>
      </c>
      <c r="F10592" t="s">
        <v>77</v>
      </c>
      <c r="G10592">
        <v>-174.334</v>
      </c>
      <c r="H10592" s="1">
        <v>-3.6190719999999999E-6</v>
      </c>
      <c r="I10592">
        <v>134.5557</v>
      </c>
      <c r="J10592">
        <v>-181.5754</v>
      </c>
      <c r="K10592">
        <v>1.1015189999999999</v>
      </c>
      <c r="L10592">
        <v>129.03970000000001</v>
      </c>
      <c r="M10592">
        <v>0.34655390000000003</v>
      </c>
      <c r="N10592">
        <v>0</v>
      </c>
      <c r="O10592">
        <v>0.93790249999999997</v>
      </c>
      <c r="P10592">
        <v>0.61614829999999998</v>
      </c>
      <c r="Q10592">
        <v>7.9765799999999998E-2</v>
      </c>
      <c r="R10592">
        <v>0.78358070000000002</v>
      </c>
      <c r="S10592">
        <v>2.4743499999999998</v>
      </c>
      <c r="T10592">
        <v>-0.37282690000000002</v>
      </c>
      <c r="U10592">
        <v>1.9279170000000001</v>
      </c>
      <c r="V10592">
        <v>0.30834590000000001</v>
      </c>
      <c r="W10592">
        <v>8.776689E-2</v>
      </c>
      <c r="X10592">
        <v>0.94721690000000003</v>
      </c>
      <c r="Y10592">
        <v>0.52076440000000002</v>
      </c>
      <c r="Z10592">
        <v>-0.12231789999999899</v>
      </c>
      <c r="AA10592">
        <v>0.84489219999999898</v>
      </c>
      <c r="AB10592">
        <v>37</v>
      </c>
      <c r="AC10592">
        <v>7.2413999999999898</v>
      </c>
      <c r="AD10592">
        <v>-1.101522619072</v>
      </c>
      <c r="AE10592">
        <v>5.5159999999999902</v>
      </c>
      <c r="AF10592">
        <v>4.8102844456649301</v>
      </c>
      <c r="AG10592">
        <v>-1.101522619072</v>
      </c>
      <c r="AH10592">
        <v>7.5730355605426798</v>
      </c>
      <c r="AI10592">
        <v>96.999672749896504</v>
      </c>
      <c r="AJ10592">
        <v>57.576867922235898</v>
      </c>
      <c r="AK10592">
        <v>9.0389742852702692</v>
      </c>
      <c r="AL10592">
        <v>84.964849333720593</v>
      </c>
      <c r="AM10592">
        <v>71.968465439056303</v>
      </c>
      <c r="AN10592">
        <v>1.0000000383363401</v>
      </c>
    </row>
    <row r="10593" spans="1:40" x14ac:dyDescent="0.25">
      <c r="A10593" t="str">
        <f>"20190312150927365"</f>
        <v>20190312150927365</v>
      </c>
      <c r="B10593" t="str">
        <f>"1552374567359428"</f>
        <v>1552374567359428</v>
      </c>
      <c r="C10593" t="s">
        <v>40</v>
      </c>
      <c r="D10593">
        <v>5.4565419999999998</v>
      </c>
      <c r="E10593">
        <v>0.5944159</v>
      </c>
      <c r="F10593" t="s">
        <v>77</v>
      </c>
      <c r="G10593">
        <v>-174.37110000000001</v>
      </c>
      <c r="H10593" s="1">
        <v>-3.6455169999999999E-6</v>
      </c>
      <c r="I10593">
        <v>134.58199999999999</v>
      </c>
      <c r="J10593">
        <v>-181.50980000000001</v>
      </c>
      <c r="K10593">
        <v>1.101356</v>
      </c>
      <c r="L10593">
        <v>129.20779999999999</v>
      </c>
      <c r="M10593">
        <v>0.35100749999999997</v>
      </c>
      <c r="N10593">
        <v>0</v>
      </c>
      <c r="O10593">
        <v>0.93624450000000004</v>
      </c>
      <c r="P10593">
        <v>0.62088259999999995</v>
      </c>
      <c r="Q10593">
        <v>7.9210929999999999E-2</v>
      </c>
      <c r="R10593">
        <v>0.77989129999999995</v>
      </c>
      <c r="S10593">
        <v>2.485992</v>
      </c>
      <c r="T10593">
        <v>-0.38010359999999999</v>
      </c>
      <c r="U10593">
        <v>1.9124909999999999</v>
      </c>
      <c r="V10593">
        <v>0.3095852</v>
      </c>
      <c r="W10593">
        <v>8.7075760000000002E-2</v>
      </c>
      <c r="X10593">
        <v>0.9468763</v>
      </c>
      <c r="Y10593">
        <v>0.52168249999999905</v>
      </c>
      <c r="Z10593">
        <v>-0.1246631</v>
      </c>
      <c r="AA10593">
        <v>0.84398249999999997</v>
      </c>
      <c r="AB10593">
        <v>37</v>
      </c>
      <c r="AC10593">
        <v>7.1387</v>
      </c>
      <c r="AD10593">
        <v>-1.1013596455170001</v>
      </c>
      <c r="AE10593">
        <v>5.3742000000000001</v>
      </c>
      <c r="AF10593">
        <v>4.7259619669115196</v>
      </c>
      <c r="AG10593">
        <v>-1.1013596455170001</v>
      </c>
      <c r="AH10593">
        <v>7.4253987011874596</v>
      </c>
      <c r="AI10593">
        <v>97.132307810005003</v>
      </c>
      <c r="AJ10593">
        <v>57.524918100730901</v>
      </c>
      <c r="AK10593">
        <v>8.8704146156233303</v>
      </c>
      <c r="AL10593">
        <v>85.004599941285505</v>
      </c>
      <c r="AM10593">
        <v>71.894625024448501</v>
      </c>
      <c r="AN10593">
        <v>0.99999995577015199</v>
      </c>
    </row>
    <row r="10594" spans="1:40" x14ac:dyDescent="0.25">
      <c r="A10594" t="str">
        <f>"20190312150927376"</f>
        <v>20190312150927376</v>
      </c>
      <c r="B10594" t="str">
        <f>"1552374567370164"</f>
        <v>1552374567370164</v>
      </c>
      <c r="C10594" t="s">
        <v>40</v>
      </c>
      <c r="D10594">
        <v>5.1899040000000003</v>
      </c>
      <c r="E10594">
        <v>0.59434049999999905</v>
      </c>
      <c r="F10594" t="s">
        <v>77</v>
      </c>
      <c r="G10594">
        <v>-174.37450000000001</v>
      </c>
      <c r="H10594" s="1">
        <v>-3.6674510000000002E-6</v>
      </c>
      <c r="I10594">
        <v>134.63579999999999</v>
      </c>
      <c r="J10594">
        <v>-181.43770000000001</v>
      </c>
      <c r="K10594">
        <v>1.1011740000000001</v>
      </c>
      <c r="L10594">
        <v>129.38749999999999</v>
      </c>
      <c r="M10594">
        <v>0.35595179999999998</v>
      </c>
      <c r="N10594">
        <v>0</v>
      </c>
      <c r="O10594">
        <v>0.93437550000000003</v>
      </c>
      <c r="P10594">
        <v>0.62602539999999995</v>
      </c>
      <c r="Q10594">
        <v>7.9007690000000005E-2</v>
      </c>
      <c r="R10594">
        <v>0.77578999999999998</v>
      </c>
      <c r="S10594">
        <v>2.4959410000000002</v>
      </c>
      <c r="T10594">
        <v>-0.3852583</v>
      </c>
      <c r="U10594">
        <v>1.8987430000000001</v>
      </c>
      <c r="V10594">
        <v>0.31086780000000003</v>
      </c>
      <c r="W10594">
        <v>8.6724679999999998E-2</v>
      </c>
      <c r="X10594">
        <v>0.94648829999999995</v>
      </c>
      <c r="Y10594">
        <v>0.52157869999999995</v>
      </c>
      <c r="Z10594">
        <v>-0.12629189999999901</v>
      </c>
      <c r="AA10594">
        <v>0.84380449999999996</v>
      </c>
      <c r="AB10594">
        <v>37</v>
      </c>
      <c r="AC10594">
        <v>7.0631999999999904</v>
      </c>
      <c r="AD10594">
        <v>-1.1011776674510001</v>
      </c>
      <c r="AE10594">
        <v>5.2483000000000004</v>
      </c>
      <c r="AF10594">
        <v>4.6591475244421998</v>
      </c>
      <c r="AG10594">
        <v>-1.1011776674510001</v>
      </c>
      <c r="AH10594">
        <v>7.30454702363373</v>
      </c>
      <c r="AI10594">
        <v>97.2433864854289</v>
      </c>
      <c r="AJ10594">
        <v>57.4685551809822</v>
      </c>
      <c r="AK10594">
        <v>8.73365073324352</v>
      </c>
      <c r="AL10594">
        <v>85.024792103002696</v>
      </c>
      <c r="AM10594">
        <v>71.817577209557498</v>
      </c>
      <c r="AN10594">
        <v>1.0000000306174099</v>
      </c>
    </row>
    <row r="10595" spans="1:40" x14ac:dyDescent="0.25">
      <c r="A10595" t="str">
        <f>"20190312150927388"</f>
        <v>20190312150927388</v>
      </c>
      <c r="B10595" t="str">
        <f>"1552374567379925"</f>
        <v>1552374567379925</v>
      </c>
      <c r="C10595" t="s">
        <v>40</v>
      </c>
      <c r="D10595">
        <v>5.2249749999999997</v>
      </c>
      <c r="E10595">
        <v>0.59418280000000001</v>
      </c>
      <c r="F10595" t="s">
        <v>77</v>
      </c>
      <c r="G10595">
        <v>-174.2045</v>
      </c>
      <c r="H10595" s="1">
        <v>-3.6612249999999998E-6</v>
      </c>
      <c r="I10595">
        <v>134.81809999999999</v>
      </c>
      <c r="J10595">
        <v>-181.363</v>
      </c>
      <c r="K10595">
        <v>1.100986</v>
      </c>
      <c r="L10595">
        <v>129.572</v>
      </c>
      <c r="M10595">
        <v>0.36107539999999999</v>
      </c>
      <c r="N10595">
        <v>0</v>
      </c>
      <c r="O10595">
        <v>0.93240719999999999</v>
      </c>
      <c r="P10595">
        <v>0.63112990000000002</v>
      </c>
      <c r="Q10595">
        <v>7.8870999999999997E-2</v>
      </c>
      <c r="R10595">
        <v>0.77165689999999998</v>
      </c>
      <c r="S10595">
        <v>2.5073850000000002</v>
      </c>
      <c r="T10595">
        <v>-0.38172329999999999</v>
      </c>
      <c r="U10595">
        <v>1.8825229999999999</v>
      </c>
      <c r="V10595">
        <v>0.31194929999999998</v>
      </c>
      <c r="W10595">
        <v>8.6441580000000004E-2</v>
      </c>
      <c r="X10595">
        <v>0.94615830000000001</v>
      </c>
      <c r="Y10595">
        <v>0.52236879999999997</v>
      </c>
      <c r="Z10595">
        <v>-0.12513450000000001</v>
      </c>
      <c r="AA10595">
        <v>0.84348819999999902</v>
      </c>
      <c r="AB10595">
        <v>37</v>
      </c>
      <c r="AC10595">
        <v>7.1585000000000001</v>
      </c>
      <c r="AD10595">
        <v>-1.1009896612250001</v>
      </c>
      <c r="AE10595">
        <v>5.2460999999999798</v>
      </c>
      <c r="AF10595">
        <v>4.7085138179934001</v>
      </c>
      <c r="AG10595">
        <v>-1.1009896612250001</v>
      </c>
      <c r="AH10595">
        <v>7.3638350749983204</v>
      </c>
      <c r="AI10595">
        <v>97.179409729421394</v>
      </c>
      <c r="AJ10595">
        <v>57.404722714767402</v>
      </c>
      <c r="AK10595">
        <v>8.8095600128573199</v>
      </c>
      <c r="AL10595">
        <v>85.041073631253994</v>
      </c>
      <c r="AM10595">
        <v>71.752562527467106</v>
      </c>
      <c r="AN10595">
        <v>1.0000000205911299</v>
      </c>
    </row>
    <row r="10596" spans="1:40" x14ac:dyDescent="0.25">
      <c r="A10596" t="str">
        <f>"20190312150927400"</f>
        <v>20190312150927400</v>
      </c>
      <c r="B10596" t="str">
        <f>"1552374567389684"</f>
        <v>1552374567389684</v>
      </c>
      <c r="C10596" t="s">
        <v>40</v>
      </c>
      <c r="D10596">
        <v>5.391025</v>
      </c>
      <c r="E10596">
        <v>0.59387369999999995</v>
      </c>
      <c r="F10596" t="s">
        <v>77</v>
      </c>
      <c r="G10596">
        <v>-174.05099999999999</v>
      </c>
      <c r="H10596" s="1">
        <v>-3.659713E-6</v>
      </c>
      <c r="I10596">
        <v>134.99350000000001</v>
      </c>
      <c r="J10596">
        <v>-181.28309999999999</v>
      </c>
      <c r="K10596">
        <v>1.100787</v>
      </c>
      <c r="L10596">
        <v>129.76560000000001</v>
      </c>
      <c r="M10596">
        <v>0.36658049999999998</v>
      </c>
      <c r="N10596">
        <v>0</v>
      </c>
      <c r="O10596">
        <v>0.93025610000000003</v>
      </c>
      <c r="P10596">
        <v>0.636683</v>
      </c>
      <c r="Q10596">
        <v>7.8706949999999998E-2</v>
      </c>
      <c r="R10596">
        <v>0.76709850000000002</v>
      </c>
      <c r="S10596">
        <v>2.5180359999999999</v>
      </c>
      <c r="T10596">
        <v>-0.37914710000000001</v>
      </c>
      <c r="U10596">
        <v>1.866989</v>
      </c>
      <c r="V10596">
        <v>0.31321769999999999</v>
      </c>
      <c r="W10596">
        <v>8.6120429999999998E-2</v>
      </c>
      <c r="X10596">
        <v>0.94576839999999995</v>
      </c>
      <c r="Y10596">
        <v>0.52249590000000001</v>
      </c>
      <c r="Z10596">
        <v>-0.1242645</v>
      </c>
      <c r="AA10596">
        <v>0.84353799999999901</v>
      </c>
      <c r="AB10596">
        <v>37</v>
      </c>
      <c r="AC10596">
        <v>7.2321</v>
      </c>
      <c r="AD10596">
        <v>-1.1007906597129999</v>
      </c>
      <c r="AE10596">
        <v>5.2279</v>
      </c>
      <c r="AF10596">
        <v>4.7397208586327402</v>
      </c>
      <c r="AG10596">
        <v>-1.1007906597129999</v>
      </c>
      <c r="AH10596">
        <v>7.4027014163163498</v>
      </c>
      <c r="AI10596">
        <v>97.138074452004901</v>
      </c>
      <c r="AJ10596">
        <v>57.3698208316885</v>
      </c>
      <c r="AK10596">
        <v>8.8587065733887904</v>
      </c>
      <c r="AL10596">
        <v>85.059542752019595</v>
      </c>
      <c r="AM10596">
        <v>71.676264601497195</v>
      </c>
      <c r="AN10596">
        <v>0.99999996124761603</v>
      </c>
    </row>
    <row r="10597" spans="1:40" x14ac:dyDescent="0.25">
      <c r="A10597" t="str">
        <f>"20190312150927413"</f>
        <v>20190312150927413</v>
      </c>
      <c r="B10597" t="str">
        <f>"1552374567410180"</f>
        <v>1552374567410180</v>
      </c>
      <c r="C10597" t="s">
        <v>40</v>
      </c>
      <c r="D10597">
        <v>5.2892640000000002</v>
      </c>
      <c r="E10597">
        <v>0.59369530000000004</v>
      </c>
      <c r="F10597" t="s">
        <v>77</v>
      </c>
      <c r="G10597">
        <v>-174.00720000000001</v>
      </c>
      <c r="H10597" s="1">
        <v>-3.6763330000000001E-6</v>
      </c>
      <c r="I10597">
        <v>135.08840000000001</v>
      </c>
      <c r="J10597">
        <v>-181.20240000000001</v>
      </c>
      <c r="K10597">
        <v>1.1005910000000001</v>
      </c>
      <c r="L10597">
        <v>129.95740000000001</v>
      </c>
      <c r="M10597">
        <v>0.37216399999999999</v>
      </c>
      <c r="N10597">
        <v>0</v>
      </c>
      <c r="O10597">
        <v>0.92803599999999997</v>
      </c>
      <c r="P10597">
        <v>0.64225390000000004</v>
      </c>
      <c r="Q10597">
        <v>7.8482850000000007E-2</v>
      </c>
      <c r="R10597">
        <v>0.76246349999999996</v>
      </c>
      <c r="S10597">
        <v>2.5295869999999998</v>
      </c>
      <c r="T10597">
        <v>-0.38270779999999999</v>
      </c>
      <c r="U10597">
        <v>1.850571</v>
      </c>
      <c r="V10597">
        <v>0.3144518</v>
      </c>
      <c r="W10597">
        <v>8.5741339999999999E-2</v>
      </c>
      <c r="X10597">
        <v>0.94539329999999999</v>
      </c>
      <c r="Y10597">
        <v>0.52266919999999994</v>
      </c>
      <c r="Z10597">
        <v>-0.12536410000000001</v>
      </c>
      <c r="AA10597">
        <v>0.84326789999999996</v>
      </c>
      <c r="AB10597">
        <v>37</v>
      </c>
      <c r="AC10597">
        <v>7.1951999999999998</v>
      </c>
      <c r="AD10597">
        <v>-1.1005946763329999</v>
      </c>
      <c r="AE10597">
        <v>5.1310000000000002</v>
      </c>
      <c r="AF10597">
        <v>4.6955819368023999</v>
      </c>
      <c r="AG10597">
        <v>-1.1005946763329999</v>
      </c>
      <c r="AH10597">
        <v>7.3268121430444904</v>
      </c>
      <c r="AI10597">
        <v>97.207996032194202</v>
      </c>
      <c r="AJ10597">
        <v>57.345142965772702</v>
      </c>
      <c r="AK10597">
        <v>8.7716574571891393</v>
      </c>
      <c r="AL10597">
        <v>85.081343849321598</v>
      </c>
      <c r="AM10597">
        <v>71.602111380841507</v>
      </c>
      <c r="AN10597">
        <v>1.00000000179656</v>
      </c>
    </row>
    <row r="10598" spans="1:40" x14ac:dyDescent="0.25">
      <c r="A10598" t="str">
        <f>"20190312150927426"</f>
        <v>20190312150927426</v>
      </c>
      <c r="B10598" t="str">
        <f>"1552374567419940"</f>
        <v>1552374567419940</v>
      </c>
      <c r="C10598" t="s">
        <v>40</v>
      </c>
      <c r="D10598">
        <v>5.2508480000000004</v>
      </c>
      <c r="E10598">
        <v>0.59364830000000002</v>
      </c>
      <c r="F10598" t="s">
        <v>77</v>
      </c>
      <c r="G10598">
        <v>-173.8092</v>
      </c>
      <c r="H10598" s="1">
        <v>-3.6655910000000001E-6</v>
      </c>
      <c r="I10598">
        <v>135.29150000000001</v>
      </c>
      <c r="J10598">
        <v>-181.11770000000001</v>
      </c>
      <c r="K10598">
        <v>1.100384</v>
      </c>
      <c r="L10598">
        <v>130.15620000000001</v>
      </c>
      <c r="M10598">
        <v>0.37803009999999998</v>
      </c>
      <c r="N10598">
        <v>0</v>
      </c>
      <c r="O10598">
        <v>0.92566150000000003</v>
      </c>
      <c r="P10598">
        <v>0.64822409999999997</v>
      </c>
      <c r="Q10598">
        <v>7.8276139999999994E-2</v>
      </c>
      <c r="R10598">
        <v>0.75741569999999903</v>
      </c>
      <c r="S10598">
        <v>2.5409090000000001</v>
      </c>
      <c r="T10598">
        <v>-0.37825569999999997</v>
      </c>
      <c r="U10598">
        <v>1.833237</v>
      </c>
      <c r="V10598">
        <v>0.31592629999999999</v>
      </c>
      <c r="W10598">
        <v>8.5365060000000006E-2</v>
      </c>
      <c r="X10598">
        <v>0.94493570000000005</v>
      </c>
      <c r="Y10598">
        <v>0.52300849999999999</v>
      </c>
      <c r="Z10598">
        <v>-0.1238906</v>
      </c>
      <c r="AA10598">
        <v>0.8432752</v>
      </c>
      <c r="AB10598">
        <v>37</v>
      </c>
      <c r="AC10598">
        <v>7.3085000000000004</v>
      </c>
      <c r="AD10598">
        <v>-1.1003876655910001</v>
      </c>
      <c r="AE10598">
        <v>5.1353</v>
      </c>
      <c r="AF10598">
        <v>4.7523642156209496</v>
      </c>
      <c r="AG10598">
        <v>-1.1003876655910001</v>
      </c>
      <c r="AH10598">
        <v>7.4049200489204301</v>
      </c>
      <c r="AI10598">
        <v>97.128512591420403</v>
      </c>
      <c r="AJ10598">
        <v>57.308274261169601</v>
      </c>
      <c r="AK10598">
        <v>8.8672802810897497</v>
      </c>
      <c r="AL10598">
        <v>85.102982671804597</v>
      </c>
      <c r="AM10598">
        <v>71.513347876477098</v>
      </c>
      <c r="AN10598">
        <v>1.0000000488174901</v>
      </c>
    </row>
    <row r="10599" spans="1:40" x14ac:dyDescent="0.25">
      <c r="A10599" t="str">
        <f>"20190312150927442"</f>
        <v>20190312150927442</v>
      </c>
      <c r="B10599" t="str">
        <f>"1552374567429699"</f>
        <v>1552374567429699</v>
      </c>
      <c r="C10599" t="s">
        <v>40</v>
      </c>
      <c r="D10599">
        <v>5.2298080000000002</v>
      </c>
      <c r="E10599">
        <v>0.59343199999999996</v>
      </c>
      <c r="F10599" t="s">
        <v>77</v>
      </c>
      <c r="G10599">
        <v>-173.66569999999999</v>
      </c>
      <c r="H10599" s="1">
        <v>-3.6610359999999999E-6</v>
      </c>
      <c r="I10599">
        <v>135.44720000000001</v>
      </c>
      <c r="J10599">
        <v>-181.00489999999999</v>
      </c>
      <c r="K10599">
        <v>1.100112</v>
      </c>
      <c r="L10599">
        <v>130.41460000000001</v>
      </c>
      <c r="M10599">
        <v>0.38589050000000003</v>
      </c>
      <c r="N10599">
        <v>0</v>
      </c>
      <c r="O10599">
        <v>0.9224116</v>
      </c>
      <c r="P10599">
        <v>0.65735549999999998</v>
      </c>
      <c r="Q10599">
        <v>7.7080510000000005E-2</v>
      </c>
      <c r="R10599">
        <v>0.74962810000000002</v>
      </c>
      <c r="S10599">
        <v>2.5544129999999998</v>
      </c>
      <c r="T10599">
        <v>-0.37719200000000003</v>
      </c>
      <c r="U10599">
        <v>1.81366</v>
      </c>
      <c r="V10599">
        <v>0.31931959999999998</v>
      </c>
      <c r="W10599">
        <v>8.390214E-2</v>
      </c>
      <c r="X10599">
        <v>0.94392560000000003</v>
      </c>
      <c r="Y10599">
        <v>0.52222489999999999</v>
      </c>
      <c r="Z10599">
        <v>-0.1234205</v>
      </c>
      <c r="AA10599">
        <v>0.84382969999999902</v>
      </c>
      <c r="AB10599">
        <v>37</v>
      </c>
      <c r="AC10599">
        <v>7.3391999999999999</v>
      </c>
      <c r="AD10599">
        <v>-1.1001156610359999</v>
      </c>
      <c r="AE10599">
        <v>5.0326000000000004</v>
      </c>
      <c r="AF10599">
        <v>4.7556437830839799</v>
      </c>
      <c r="AG10599">
        <v>-1.1001156610359999</v>
      </c>
      <c r="AH10599">
        <v>7.3626517796736604</v>
      </c>
      <c r="AI10599">
        <v>97.153937924401902</v>
      </c>
      <c r="AJ10599">
        <v>57.140995146620597</v>
      </c>
      <c r="AK10599">
        <v>8.8337445903746694</v>
      </c>
      <c r="AL10599">
        <v>85.187103671704506</v>
      </c>
      <c r="AM10599">
        <v>71.309889888588998</v>
      </c>
      <c r="AN10599">
        <v>1.0000000571880401</v>
      </c>
    </row>
    <row r="10600" spans="1:40" x14ac:dyDescent="0.25">
      <c r="A10600" t="str">
        <f>"20190312150927454"</f>
        <v>20190312150927454</v>
      </c>
      <c r="B10600" t="str">
        <f>"1552374567450196"</f>
        <v>1552374567450196</v>
      </c>
      <c r="C10600" t="s">
        <v>40</v>
      </c>
      <c r="D10600">
        <v>5.2388260000000004</v>
      </c>
      <c r="E10600">
        <v>0.59305180000000002</v>
      </c>
      <c r="F10600" t="s">
        <v>77</v>
      </c>
      <c r="G10600">
        <v>-173.5333</v>
      </c>
      <c r="H10600" s="1">
        <v>-3.6573760000000001E-6</v>
      </c>
      <c r="I10600">
        <v>135.59229999999999</v>
      </c>
      <c r="J10600">
        <v>-180.92859999999999</v>
      </c>
      <c r="K10600">
        <v>1.099931</v>
      </c>
      <c r="L10600">
        <v>130.5848</v>
      </c>
      <c r="M10600">
        <v>0.39121519999999999</v>
      </c>
      <c r="N10600">
        <v>0</v>
      </c>
      <c r="O10600">
        <v>0.92016540000000002</v>
      </c>
      <c r="P10600">
        <v>0.66319519999999998</v>
      </c>
      <c r="Q10600">
        <v>7.6088450000000002E-2</v>
      </c>
      <c r="R10600">
        <v>0.74456889999999998</v>
      </c>
      <c r="S10600">
        <v>2.5740050000000001</v>
      </c>
      <c r="T10600">
        <v>-0.37899909999999998</v>
      </c>
      <c r="U10600">
        <v>1.783768</v>
      </c>
      <c r="V10600">
        <v>0.32121490000000003</v>
      </c>
      <c r="W10600">
        <v>8.2744139999999994E-2</v>
      </c>
      <c r="X10600">
        <v>0.94338449999999996</v>
      </c>
      <c r="Y10600">
        <v>0.52685319999999902</v>
      </c>
      <c r="Z10600">
        <v>-0.1241017</v>
      </c>
      <c r="AA10600">
        <v>0.84084749999999997</v>
      </c>
      <c r="AB10600">
        <v>37</v>
      </c>
      <c r="AC10600">
        <v>7.39529999999999</v>
      </c>
      <c r="AD10600">
        <v>-1.099934657376</v>
      </c>
      <c r="AE10600">
        <v>5.0074999999999896</v>
      </c>
      <c r="AF10600">
        <v>4.7740744226749996</v>
      </c>
      <c r="AG10600">
        <v>-1.099934657376</v>
      </c>
      <c r="AH10600">
        <v>7.38972115124258</v>
      </c>
      <c r="AI10600">
        <v>97.126429969756202</v>
      </c>
      <c r="AJ10600">
        <v>57.135819181072499</v>
      </c>
      <c r="AK10600">
        <v>8.8662067163391995</v>
      </c>
      <c r="AL10600">
        <v>85.253683247599099</v>
      </c>
      <c r="AM10600">
        <v>71.196700729910205</v>
      </c>
      <c r="AN10600">
        <v>0.99999995976329803</v>
      </c>
    </row>
    <row r="10601" spans="1:40" x14ac:dyDescent="0.25">
      <c r="A10601" t="str">
        <f>"20190312150927465"</f>
        <v>20190312150927465</v>
      </c>
      <c r="B10601" t="str">
        <f>"1552374567459956"</f>
        <v>1552374567459956</v>
      </c>
      <c r="C10601" t="s">
        <v>40</v>
      </c>
      <c r="D10601">
        <v>5.3054969999999999</v>
      </c>
      <c r="E10601">
        <v>0.59290799999999999</v>
      </c>
      <c r="F10601" t="s">
        <v>77</v>
      </c>
      <c r="G10601">
        <v>-173.4263</v>
      </c>
      <c r="H10601" s="1">
        <v>-3.6541190000000002E-6</v>
      </c>
      <c r="I10601">
        <v>135.70869999999999</v>
      </c>
      <c r="J10601">
        <v>-180.84880000000001</v>
      </c>
      <c r="K10601">
        <v>1.0997440000000001</v>
      </c>
      <c r="L10601">
        <v>130.76169999999999</v>
      </c>
      <c r="M10601">
        <v>0.39678639999999998</v>
      </c>
      <c r="N10601">
        <v>0</v>
      </c>
      <c r="O10601">
        <v>0.91777629999999999</v>
      </c>
      <c r="P10601">
        <v>0.6692437</v>
      </c>
      <c r="Q10601">
        <v>7.5177250000000001E-2</v>
      </c>
      <c r="R10601">
        <v>0.73923030000000001</v>
      </c>
      <c r="S10601">
        <v>2.5849150000000001</v>
      </c>
      <c r="T10601">
        <v>-0.37898330000000002</v>
      </c>
      <c r="U10601">
        <v>1.7654570000000001</v>
      </c>
      <c r="V10601">
        <v>0.32316529999999999</v>
      </c>
      <c r="W10601">
        <v>8.1657770000000005E-2</v>
      </c>
      <c r="X10601">
        <v>0.94281289999999995</v>
      </c>
      <c r="Y10601">
        <v>0.52742769999999894</v>
      </c>
      <c r="Z10601">
        <v>-0.1240753</v>
      </c>
      <c r="AA10601">
        <v>0.84049110000000005</v>
      </c>
      <c r="AB10601">
        <v>37</v>
      </c>
      <c r="AC10601">
        <v>7.4225000000000101</v>
      </c>
      <c r="AD10601">
        <v>-1.0997476541189899</v>
      </c>
      <c r="AE10601">
        <v>4.9470000000000001</v>
      </c>
      <c r="AF10601">
        <v>4.7772749922007796</v>
      </c>
      <c r="AG10601">
        <v>-1.0997476541189899</v>
      </c>
      <c r="AH10601">
        <v>7.37422026612471</v>
      </c>
      <c r="AI10601">
        <v>97.134281030133806</v>
      </c>
      <c r="AJ10601">
        <v>57.063437478671602</v>
      </c>
      <c r="AK10601">
        <v>8.8549943979187091</v>
      </c>
      <c r="AL10601">
        <v>85.316139144954803</v>
      </c>
      <c r="AM10601">
        <v>71.079969054781202</v>
      </c>
      <c r="AN10601">
        <v>0.99999998346593599</v>
      </c>
    </row>
    <row r="10602" spans="1:40" x14ac:dyDescent="0.25">
      <c r="A10602" t="str">
        <f>"20190312150927476"</f>
        <v>20190312150927476</v>
      </c>
      <c r="B10602" t="str">
        <f>"1552374567469717"</f>
        <v>1552374567469717</v>
      </c>
      <c r="C10602" t="s">
        <v>40</v>
      </c>
      <c r="D10602">
        <v>5.2572199999999896</v>
      </c>
      <c r="E10602">
        <v>0.5927019</v>
      </c>
      <c r="F10602" t="s">
        <v>77</v>
      </c>
      <c r="G10602">
        <v>-173.34599999999901</v>
      </c>
      <c r="H10602" s="1">
        <v>-3.653798E-6</v>
      </c>
      <c r="I10602">
        <v>135.80179999999999</v>
      </c>
      <c r="J10602">
        <v>-180.77099999999999</v>
      </c>
      <c r="K10602">
        <v>1.0995619999999999</v>
      </c>
      <c r="L10602">
        <v>130.92959999999999</v>
      </c>
      <c r="M10602">
        <v>0.40224080000000001</v>
      </c>
      <c r="N10602">
        <v>0</v>
      </c>
      <c r="O10602">
        <v>0.91539839999999995</v>
      </c>
      <c r="P10602">
        <v>0.67508659999999998</v>
      </c>
      <c r="Q10602">
        <v>7.4591630000000006E-2</v>
      </c>
      <c r="R10602">
        <v>0.73395779999999999</v>
      </c>
      <c r="S10602">
        <v>2.5978240000000001</v>
      </c>
      <c r="T10602">
        <v>-0.3807837</v>
      </c>
      <c r="U10602">
        <v>1.7451019999999999</v>
      </c>
      <c r="V10602">
        <v>0.32503159999999998</v>
      </c>
      <c r="W10602">
        <v>8.0903069999999994E-2</v>
      </c>
      <c r="X10602">
        <v>0.94223619999999997</v>
      </c>
      <c r="Y10602">
        <v>0.52879240000000005</v>
      </c>
      <c r="Z10602">
        <v>-0.1246327</v>
      </c>
      <c r="AA10602">
        <v>0.83955059999999904</v>
      </c>
      <c r="AB10602">
        <v>37</v>
      </c>
      <c r="AC10602">
        <v>7.4250000000000096</v>
      </c>
      <c r="AD10602">
        <v>-1.0995656537980001</v>
      </c>
      <c r="AE10602">
        <v>4.8721999999999897</v>
      </c>
      <c r="AF10602">
        <v>4.7645954087212896</v>
      </c>
      <c r="AG10602">
        <v>-1.0995656537980001</v>
      </c>
      <c r="AH10602">
        <v>7.3351201252251697</v>
      </c>
      <c r="AI10602">
        <v>97.165155446051202</v>
      </c>
      <c r="AJ10602">
        <v>56.993887102241104</v>
      </c>
      <c r="AK10602">
        <v>8.8155771953572906</v>
      </c>
      <c r="AL10602">
        <v>85.359523673995895</v>
      </c>
      <c r="AM10602">
        <v>70.967733258802895</v>
      </c>
      <c r="AN10602">
        <v>0.99999995216221105</v>
      </c>
    </row>
    <row r="10603" spans="1:40" x14ac:dyDescent="0.25">
      <c r="A10603" t="str">
        <f>"20190312150927487"</f>
        <v>20190312150927487</v>
      </c>
      <c r="B10603" t="str">
        <f>"1552374567479477"</f>
        <v>1552374567479477</v>
      </c>
      <c r="C10603" t="s">
        <v>40</v>
      </c>
      <c r="D10603">
        <v>5.196434</v>
      </c>
      <c r="E10603">
        <v>0.59242830000000002</v>
      </c>
      <c r="F10603" t="s">
        <v>77</v>
      </c>
      <c r="G10603">
        <v>-173.23269999999999</v>
      </c>
      <c r="H10603" s="1">
        <v>-3.6456260000000002E-6</v>
      </c>
      <c r="I10603">
        <v>135.9127</v>
      </c>
      <c r="J10603">
        <v>-180.69489999999999</v>
      </c>
      <c r="K10603">
        <v>1.0993850000000001</v>
      </c>
      <c r="L10603">
        <v>131.0926</v>
      </c>
      <c r="M10603">
        <v>0.4075763</v>
      </c>
      <c r="N10603">
        <v>0</v>
      </c>
      <c r="O10603">
        <v>0.91303480000000004</v>
      </c>
      <c r="P10603">
        <v>0.68093309999999996</v>
      </c>
      <c r="Q10603">
        <v>7.4271889999999993E-2</v>
      </c>
      <c r="R10603">
        <v>0.72856969999999899</v>
      </c>
      <c r="S10603">
        <v>2.6101380000000001</v>
      </c>
      <c r="T10603">
        <v>-0.3807219</v>
      </c>
      <c r="U10603">
        <v>1.725357</v>
      </c>
      <c r="V10603">
        <v>0.32707930000000002</v>
      </c>
      <c r="W10603">
        <v>8.0409240000000007E-2</v>
      </c>
      <c r="X10603">
        <v>0.94156969999999995</v>
      </c>
      <c r="Y10603">
        <v>0.53009689999999998</v>
      </c>
      <c r="Z10603">
        <v>-0.12458379999999999</v>
      </c>
      <c r="AA10603">
        <v>0.83873489999999995</v>
      </c>
      <c r="AB10603">
        <v>37</v>
      </c>
      <c r="AC10603">
        <v>7.4621999999999904</v>
      </c>
      <c r="AD10603">
        <v>-1.099388645626</v>
      </c>
      <c r="AE10603">
        <v>4.8200999999999903</v>
      </c>
      <c r="AF10603">
        <v>4.7761451269899098</v>
      </c>
      <c r="AG10603">
        <v>-1.099388645626</v>
      </c>
      <c r="AH10603">
        <v>7.3309849349381198</v>
      </c>
      <c r="AI10603">
        <v>97.161719441216704</v>
      </c>
      <c r="AJ10603">
        <v>56.915710188672001</v>
      </c>
      <c r="AK10603">
        <v>8.8183648021892598</v>
      </c>
      <c r="AL10603">
        <v>85.3879107894833</v>
      </c>
      <c r="AM10603">
        <v>70.843968364847797</v>
      </c>
      <c r="AN10603">
        <v>1.0000000071619699</v>
      </c>
    </row>
    <row r="10604" spans="1:40" x14ac:dyDescent="0.25">
      <c r="A10604" t="str">
        <f>"20190312150927498"</f>
        <v>20190312150927498</v>
      </c>
      <c r="B10604" t="str">
        <f>"1552374567490213"</f>
        <v>1552374567490213</v>
      </c>
      <c r="C10604" t="s">
        <v>40</v>
      </c>
      <c r="D10604">
        <v>5.2964270000000004</v>
      </c>
      <c r="E10604">
        <v>0.59232459999999998</v>
      </c>
      <c r="F10604" t="s">
        <v>77</v>
      </c>
      <c r="G10604">
        <v>-173.11080000000001</v>
      </c>
      <c r="H10604" s="1">
        <v>-3.6351350000000001E-6</v>
      </c>
      <c r="I10604">
        <v>136.0274</v>
      </c>
      <c r="J10604">
        <v>-180.61349999999999</v>
      </c>
      <c r="K10604">
        <v>1.099199</v>
      </c>
      <c r="L10604">
        <v>131.26329999999999</v>
      </c>
      <c r="M10604">
        <v>0.41329060000000001</v>
      </c>
      <c r="N10604">
        <v>0</v>
      </c>
      <c r="O10604">
        <v>0.91046179999999999</v>
      </c>
      <c r="P10604">
        <v>0.68716060000000001</v>
      </c>
      <c r="Q10604">
        <v>7.4505370000000001E-2</v>
      </c>
      <c r="R10604">
        <v>0.72267519999999996</v>
      </c>
      <c r="S10604">
        <v>2.6218409999999999</v>
      </c>
      <c r="T10604">
        <v>-0.38006279999999998</v>
      </c>
      <c r="U10604">
        <v>1.7059629999999999</v>
      </c>
      <c r="V10604">
        <v>0.329312099999999</v>
      </c>
      <c r="W10604">
        <v>8.0455819999999997E-2</v>
      </c>
      <c r="X10604">
        <v>0.94078709999999999</v>
      </c>
      <c r="Y10604">
        <v>0.53089319999999995</v>
      </c>
      <c r="Z10604">
        <v>-0.1243204</v>
      </c>
      <c r="AA10604">
        <v>0.83827009999999902</v>
      </c>
      <c r="AB10604">
        <v>37</v>
      </c>
      <c r="AC10604">
        <v>7.5026999999999697</v>
      </c>
      <c r="AD10604">
        <v>-1.0992026351349999</v>
      </c>
      <c r="AE10604">
        <v>4.7641000000000098</v>
      </c>
      <c r="AF10604">
        <v>4.7893114438303597</v>
      </c>
      <c r="AG10604">
        <v>-1.0992026351349999</v>
      </c>
      <c r="AH10604">
        <v>7.3271751858241503</v>
      </c>
      <c r="AI10604">
        <v>97.157278243229896</v>
      </c>
      <c r="AJ10604">
        <v>56.829891365068001</v>
      </c>
      <c r="AK10604">
        <v>8.8223152711093604</v>
      </c>
      <c r="AL10604">
        <v>85.385233164674403</v>
      </c>
      <c r="AM10604">
        <v>70.707967234486006</v>
      </c>
      <c r="AN10604">
        <v>0.99999998285234604</v>
      </c>
    </row>
    <row r="10605" spans="1:40" x14ac:dyDescent="0.25">
      <c r="A10605" t="str">
        <f>"20190312150927510"</f>
        <v>20190312150927510</v>
      </c>
      <c r="B10605" t="str">
        <f>"1552374567499972"</f>
        <v>1552374567499972</v>
      </c>
      <c r="C10605" t="s">
        <v>40</v>
      </c>
      <c r="D10605">
        <v>5.2439989999999996</v>
      </c>
      <c r="E10605">
        <v>0.59215620000000002</v>
      </c>
      <c r="F10605" t="s">
        <v>77</v>
      </c>
      <c r="G10605">
        <v>-172.9735</v>
      </c>
      <c r="H10605" s="1">
        <v>-3.6183760000000001E-6</v>
      </c>
      <c r="I10605">
        <v>136.1437</v>
      </c>
      <c r="J10605">
        <v>-180.53049999999999</v>
      </c>
      <c r="K10605">
        <v>1.0990169999999999</v>
      </c>
      <c r="L10605">
        <v>131.43459999999999</v>
      </c>
      <c r="M10605">
        <v>0.41911900000000002</v>
      </c>
      <c r="N10605">
        <v>0</v>
      </c>
      <c r="O10605">
        <v>0.90779299999999996</v>
      </c>
      <c r="P10605">
        <v>0.69315150000000003</v>
      </c>
      <c r="Q10605">
        <v>7.4924110000000002E-2</v>
      </c>
      <c r="R10605">
        <v>0.71688739999999995</v>
      </c>
      <c r="S10605">
        <v>2.6360320000000002</v>
      </c>
      <c r="T10605">
        <v>-0.37925710000000001</v>
      </c>
      <c r="U10605">
        <v>1.683899</v>
      </c>
      <c r="V10605">
        <v>0.33117809999999998</v>
      </c>
      <c r="W10605">
        <v>8.0697720000000001E-2</v>
      </c>
      <c r="X10605">
        <v>0.94011109999999998</v>
      </c>
      <c r="Y10605">
        <v>0.53253989999999995</v>
      </c>
      <c r="Z10605">
        <v>-0.1239986</v>
      </c>
      <c r="AA10605">
        <v>0.83727280000000004</v>
      </c>
      <c r="AB10605">
        <v>37</v>
      </c>
      <c r="AC10605">
        <v>7.55699999999998</v>
      </c>
      <c r="AD10605">
        <v>-1.0990206183759901</v>
      </c>
      <c r="AE10605">
        <v>4.7091000000000003</v>
      </c>
      <c r="AF10605">
        <v>4.8137965651780101</v>
      </c>
      <c r="AG10605">
        <v>-1.0990206183759901</v>
      </c>
      <c r="AH10605">
        <v>7.3314148763957698</v>
      </c>
      <c r="AI10605">
        <v>97.142406977035293</v>
      </c>
      <c r="AJ10605">
        <v>56.711154357605601</v>
      </c>
      <c r="AK10605">
        <v>8.8391248311341499</v>
      </c>
      <c r="AL10605">
        <v>85.371328033455498</v>
      </c>
      <c r="AM10605">
        <v>70.593888342058804</v>
      </c>
      <c r="AN10605">
        <v>0.99999996813800796</v>
      </c>
    </row>
    <row r="10606" spans="1:40" x14ac:dyDescent="0.25">
      <c r="A10606" t="str">
        <f>"20190312150927520"</f>
        <v>20190312150927520</v>
      </c>
      <c r="B10606" t="str">
        <f>"1552374567509732"</f>
        <v>1552374567509732</v>
      </c>
      <c r="C10606" t="s">
        <v>40</v>
      </c>
      <c r="D10606">
        <v>5.2079719999999998</v>
      </c>
      <c r="E10606">
        <v>0.59189700000000001</v>
      </c>
      <c r="F10606" t="s">
        <v>77</v>
      </c>
      <c r="G10606">
        <v>-172.81219999999999</v>
      </c>
      <c r="H10606" s="1">
        <v>-3.59847E-6</v>
      </c>
      <c r="I10606">
        <v>136.27969999999999</v>
      </c>
      <c r="J10606">
        <v>-180.4512</v>
      </c>
      <c r="K10606">
        <v>1.0988439999999999</v>
      </c>
      <c r="L10606">
        <v>131.596</v>
      </c>
      <c r="M10606">
        <v>0.42468939999999999</v>
      </c>
      <c r="N10606">
        <v>0</v>
      </c>
      <c r="O10606">
        <v>0.90519989999999995</v>
      </c>
      <c r="P10606">
        <v>0.6996156</v>
      </c>
      <c r="Q10606">
        <v>7.5042579999999998E-2</v>
      </c>
      <c r="R10606">
        <v>0.71056790000000003</v>
      </c>
      <c r="S10606">
        <v>2.6490019999999999</v>
      </c>
      <c r="T10606">
        <v>-0.37719540000000001</v>
      </c>
      <c r="U10606">
        <v>1.6628879999999999</v>
      </c>
      <c r="V10606">
        <v>0.33395999999999998</v>
      </c>
      <c r="W10606">
        <v>8.061314E-2</v>
      </c>
      <c r="X10606">
        <v>0.93913380000000002</v>
      </c>
      <c r="Y10606">
        <v>0.53404130000000005</v>
      </c>
      <c r="Z10606">
        <v>-0.123278</v>
      </c>
      <c r="AA10606">
        <v>0.83642240000000001</v>
      </c>
      <c r="AB10606">
        <v>37</v>
      </c>
      <c r="AC10606">
        <v>7.6390000000000002</v>
      </c>
      <c r="AD10606">
        <v>-1.0988475984699999</v>
      </c>
      <c r="AE10606">
        <v>4.6836999999999804</v>
      </c>
      <c r="AF10606">
        <v>4.8533379988002601</v>
      </c>
      <c r="AG10606">
        <v>-1.0988475984699999</v>
      </c>
      <c r="AH10606">
        <v>7.3739371000870904</v>
      </c>
      <c r="AI10606">
        <v>97.095452579922707</v>
      </c>
      <c r="AJ10606">
        <v>56.6481034881499</v>
      </c>
      <c r="AK10606">
        <v>8.8959150249596401</v>
      </c>
      <c r="AL10606">
        <v>85.376190223879505</v>
      </c>
      <c r="AM10606">
        <v>70.424395753388893</v>
      </c>
      <c r="AN10606">
        <v>1.0000000271215399</v>
      </c>
    </row>
    <row r="10607" spans="1:40" x14ac:dyDescent="0.25">
      <c r="A10607" t="str">
        <f>"20190312150927532"</f>
        <v>20190312150927532</v>
      </c>
      <c r="B10607" t="str">
        <f>"1552374567519492"</f>
        <v>1552374567519492</v>
      </c>
      <c r="C10607" t="s">
        <v>40</v>
      </c>
      <c r="D10607">
        <v>5.3593580000000003</v>
      </c>
      <c r="E10607">
        <v>0.59162919999999997</v>
      </c>
      <c r="F10607" t="s">
        <v>77</v>
      </c>
      <c r="G10607">
        <v>-172.6711</v>
      </c>
      <c r="H10607" s="1">
        <v>-3.5780459999999999E-6</v>
      </c>
      <c r="I10607">
        <v>136.39080000000001</v>
      </c>
      <c r="J10607">
        <v>-180.3707</v>
      </c>
      <c r="K10607">
        <v>1.09867</v>
      </c>
      <c r="L10607">
        <v>131.75649999999999</v>
      </c>
      <c r="M10607">
        <v>0.43035689999999999</v>
      </c>
      <c r="N10607">
        <v>0</v>
      </c>
      <c r="O10607">
        <v>0.90251859999999995</v>
      </c>
      <c r="P10607">
        <v>0.70586819999999995</v>
      </c>
      <c r="Q10607">
        <v>7.5166789999999997E-2</v>
      </c>
      <c r="R10607">
        <v>0.70434370000000002</v>
      </c>
      <c r="S10607">
        <v>2.6620940000000002</v>
      </c>
      <c r="T10607">
        <v>-0.37598730000000002</v>
      </c>
      <c r="U10607">
        <v>1.640625</v>
      </c>
      <c r="V10607">
        <v>0.33641650000000001</v>
      </c>
      <c r="W10607">
        <v>8.0544229999999994E-2</v>
      </c>
      <c r="X10607">
        <v>0.9382625</v>
      </c>
      <c r="Y10607">
        <v>0.53570629999999997</v>
      </c>
      <c r="Z10607">
        <v>-0.1228472</v>
      </c>
      <c r="AA10607">
        <v>0.83542050000000001</v>
      </c>
      <c r="AB10607">
        <v>37</v>
      </c>
      <c r="AC10607">
        <v>7.6996000000000002</v>
      </c>
      <c r="AD10607">
        <v>-1.098673578046</v>
      </c>
      <c r="AE10607">
        <v>4.6343000000000201</v>
      </c>
      <c r="AF10607">
        <v>4.8822836058424102</v>
      </c>
      <c r="AG10607">
        <v>-1.098673578046</v>
      </c>
      <c r="AH10607">
        <v>7.3866624518363704</v>
      </c>
      <c r="AI10607">
        <v>97.073275654712106</v>
      </c>
      <c r="AJ10607">
        <v>56.5369174247042</v>
      </c>
      <c r="AK10607">
        <v>8.9222507819688293</v>
      </c>
      <c r="AL10607">
        <v>85.380151123021093</v>
      </c>
      <c r="AM10607">
        <v>70.274570549530594</v>
      </c>
      <c r="AN10607">
        <v>0.99999997668239604</v>
      </c>
    </row>
    <row r="10608" spans="1:40" x14ac:dyDescent="0.25">
      <c r="A10608" t="str">
        <f>"20190312150927544"</f>
        <v>20190312150927544</v>
      </c>
      <c r="B10608" t="str">
        <f>"1552374567539989"</f>
        <v>1552374567539989</v>
      </c>
      <c r="C10608" t="s">
        <v>40</v>
      </c>
      <c r="D10608">
        <v>5.381443</v>
      </c>
      <c r="E10608">
        <v>0.59144459999999999</v>
      </c>
      <c r="F10608" t="s">
        <v>77</v>
      </c>
      <c r="G10608">
        <v>-172.56970000000001</v>
      </c>
      <c r="H10608" s="1">
        <v>-3.565539E-6</v>
      </c>
      <c r="I10608">
        <v>136.47630000000001</v>
      </c>
      <c r="J10608">
        <v>-180.27510000000001</v>
      </c>
      <c r="K10608">
        <v>1.0984609999999999</v>
      </c>
      <c r="L10608">
        <v>131.9451</v>
      </c>
      <c r="M10608">
        <v>0.43706790000000001</v>
      </c>
      <c r="N10608">
        <v>0</v>
      </c>
      <c r="O10608">
        <v>0.89928699999999995</v>
      </c>
      <c r="P10608">
        <v>0.71290640000000005</v>
      </c>
      <c r="Q10608">
        <v>7.5421150000000006E-2</v>
      </c>
      <c r="R10608">
        <v>0.69719160000000002</v>
      </c>
      <c r="S10608">
        <v>2.6751559999999999</v>
      </c>
      <c r="T10608">
        <v>-0.37676389999999998</v>
      </c>
      <c r="U10608">
        <v>1.61854599999999</v>
      </c>
      <c r="V10608">
        <v>0.33891189999999999</v>
      </c>
      <c r="W10608">
        <v>8.0580349999999995E-2</v>
      </c>
      <c r="X10608">
        <v>0.93736090000000005</v>
      </c>
      <c r="Y10608">
        <v>0.53626819999999997</v>
      </c>
      <c r="Z10608">
        <v>-0.1229816</v>
      </c>
      <c r="AA10608">
        <v>0.83504009999999995</v>
      </c>
      <c r="AB10608">
        <v>37</v>
      </c>
      <c r="AC10608">
        <v>7.7053999999999903</v>
      </c>
      <c r="AD10608">
        <v>-1.098464565539</v>
      </c>
      <c r="AE10608">
        <v>4.5312000000000099</v>
      </c>
      <c r="AF10608">
        <v>4.8759238778420801</v>
      </c>
      <c r="AG10608">
        <v>-1.098464565539</v>
      </c>
      <c r="AH10608">
        <v>7.3328481997134496</v>
      </c>
      <c r="AI10608">
        <v>97.110390002527893</v>
      </c>
      <c r="AJ10608">
        <v>56.378370305195297</v>
      </c>
      <c r="AK10608">
        <v>8.8742278979242002</v>
      </c>
      <c r="AL10608">
        <v>85.378074786386406</v>
      </c>
      <c r="AM10608">
        <v>70.122053003590096</v>
      </c>
      <c r="AN10608">
        <v>0.99999996280826997</v>
      </c>
    </row>
    <row r="10609" spans="1:40" x14ac:dyDescent="0.25">
      <c r="A10609" t="str">
        <f>"20190312150927555"</f>
        <v>20190312150927555</v>
      </c>
      <c r="B10609" t="str">
        <f>"1552374567549749"</f>
        <v>1552374567549749</v>
      </c>
      <c r="C10609" t="s">
        <v>40</v>
      </c>
      <c r="D10609">
        <v>5.2443629999999999</v>
      </c>
      <c r="E10609">
        <v>0.59118269999999995</v>
      </c>
      <c r="F10609" t="s">
        <v>77</v>
      </c>
      <c r="G10609">
        <v>-172.43960000000001</v>
      </c>
      <c r="H10609" s="1">
        <v>-3.548569E-6</v>
      </c>
      <c r="I10609">
        <v>136.58369999999999</v>
      </c>
      <c r="J10609">
        <v>-180.1902</v>
      </c>
      <c r="K10609">
        <v>1.0982780000000001</v>
      </c>
      <c r="L10609">
        <v>132.1078</v>
      </c>
      <c r="M10609">
        <v>0.44304710000000003</v>
      </c>
      <c r="N10609">
        <v>0</v>
      </c>
      <c r="O10609">
        <v>0.89635569999999898</v>
      </c>
      <c r="P10609">
        <v>0.71925130000000004</v>
      </c>
      <c r="Q10609">
        <v>7.5531409999999993E-2</v>
      </c>
      <c r="R10609">
        <v>0.69063209999999997</v>
      </c>
      <c r="S10609">
        <v>2.6904300000000001</v>
      </c>
      <c r="T10609">
        <v>-0.37717040000000002</v>
      </c>
      <c r="U10609">
        <v>1.5927119999999999</v>
      </c>
      <c r="V10609">
        <v>0.34128560000000002</v>
      </c>
      <c r="W10609">
        <v>8.0494309999999999E-2</v>
      </c>
      <c r="X10609">
        <v>0.93650670000000003</v>
      </c>
      <c r="Y10609">
        <v>0.5386649</v>
      </c>
      <c r="Z10609">
        <v>-0.12306250000000001</v>
      </c>
      <c r="AA10609">
        <v>0.83348409999999995</v>
      </c>
      <c r="AB10609">
        <v>37</v>
      </c>
      <c r="AC10609">
        <v>7.7505999999999897</v>
      </c>
      <c r="AD10609">
        <v>-1.0982815485690001</v>
      </c>
      <c r="AE10609">
        <v>4.4758999999999904</v>
      </c>
      <c r="AF10609">
        <v>4.8912428708300499</v>
      </c>
      <c r="AG10609">
        <v>-1.0982815485690001</v>
      </c>
      <c r="AH10609">
        <v>7.3363611874619803</v>
      </c>
      <c r="AI10609">
        <v>97.100108526564895</v>
      </c>
      <c r="AJ10609">
        <v>56.308119000606503</v>
      </c>
      <c r="AK10609">
        <v>8.8855317597919505</v>
      </c>
      <c r="AL10609">
        <v>85.383020739264893</v>
      </c>
      <c r="AM10609">
        <v>69.977041328392303</v>
      </c>
      <c r="AN10609">
        <v>0.99999999692731301</v>
      </c>
    </row>
    <row r="10610" spans="1:40" x14ac:dyDescent="0.25">
      <c r="A10610" t="str">
        <f>"20190312150927567"</f>
        <v>20190312150927567</v>
      </c>
      <c r="B10610" t="str">
        <f>"1552374567559509"</f>
        <v>1552374567559509</v>
      </c>
      <c r="C10610" t="s">
        <v>40</v>
      </c>
      <c r="D10610">
        <v>5.3596789999999999</v>
      </c>
      <c r="E10610">
        <v>0.59104679999999998</v>
      </c>
      <c r="F10610" t="s">
        <v>77</v>
      </c>
      <c r="G10610">
        <v>-172.30090000000001</v>
      </c>
      <c r="H10610" s="1">
        <v>-3.5262249999999999E-6</v>
      </c>
      <c r="I10610">
        <v>136.68680000000001</v>
      </c>
      <c r="J10610">
        <v>-180.1044</v>
      </c>
      <c r="K10610">
        <v>1.0980909999999999</v>
      </c>
      <c r="L10610">
        <v>132.27119999999999</v>
      </c>
      <c r="M10610">
        <v>0.44907639999999999</v>
      </c>
      <c r="N10610">
        <v>0</v>
      </c>
      <c r="O10610">
        <v>0.89334969999999903</v>
      </c>
      <c r="P10610">
        <v>0.72554399999999997</v>
      </c>
      <c r="Q10610">
        <v>7.5408530000000001E-2</v>
      </c>
      <c r="R10610">
        <v>0.68403179999999997</v>
      </c>
      <c r="S10610">
        <v>2.7037200000000001</v>
      </c>
      <c r="T10610">
        <v>-0.3763899</v>
      </c>
      <c r="U10610">
        <v>1.5692600000000001</v>
      </c>
      <c r="V10610">
        <v>0.34357710000000002</v>
      </c>
      <c r="W10610">
        <v>8.017444E-2</v>
      </c>
      <c r="X10610">
        <v>0.93569590000000002</v>
      </c>
      <c r="Y10610">
        <v>0.54022479999999995</v>
      </c>
      <c r="Z10610">
        <v>-0.1227357</v>
      </c>
      <c r="AA10610">
        <v>0.83252219999999999</v>
      </c>
      <c r="AB10610">
        <v>37</v>
      </c>
      <c r="AC10610">
        <v>7.8034999999999801</v>
      </c>
      <c r="AD10610">
        <v>-1.0980945262249999</v>
      </c>
      <c r="AE10610">
        <v>4.4156000000000102</v>
      </c>
      <c r="AF10610">
        <v>4.9152288803935198</v>
      </c>
      <c r="AG10610">
        <v>-1.0980945262249999</v>
      </c>
      <c r="AH10610">
        <v>7.3399067241277898</v>
      </c>
      <c r="AI10610">
        <v>97.085966771273704</v>
      </c>
      <c r="AJ10610">
        <v>56.1914323336417</v>
      </c>
      <c r="AK10610">
        <v>8.9016581182427093</v>
      </c>
      <c r="AL10610">
        <v>85.401407338614604</v>
      </c>
      <c r="AM10610">
        <v>69.837327929026401</v>
      </c>
      <c r="AN10610">
        <v>0.99999999087526603</v>
      </c>
    </row>
    <row r="10611" spans="1:40" x14ac:dyDescent="0.25">
      <c r="A10611" t="str">
        <f>"20190312150927579"</f>
        <v>20190312150927579</v>
      </c>
      <c r="B10611" t="str">
        <f>"1552374567570245"</f>
        <v>1552374567570245</v>
      </c>
      <c r="C10611" t="s">
        <v>40</v>
      </c>
      <c r="D10611">
        <v>5.2825290000000003</v>
      </c>
      <c r="E10611">
        <v>0.59077309999999905</v>
      </c>
      <c r="F10611" t="s">
        <v>77</v>
      </c>
      <c r="G10611">
        <v>-172.20410000000001</v>
      </c>
      <c r="H10611" s="1">
        <v>-3.5123440000000002E-6</v>
      </c>
      <c r="I10611">
        <v>136.76339999999999</v>
      </c>
      <c r="J10611">
        <v>-180.00720000000001</v>
      </c>
      <c r="K10611">
        <v>1.0978870000000001</v>
      </c>
      <c r="L10611">
        <v>132.45179999999999</v>
      </c>
      <c r="M10611">
        <v>0.45589479999999999</v>
      </c>
      <c r="N10611">
        <v>0</v>
      </c>
      <c r="O10611">
        <v>0.88988860000000003</v>
      </c>
      <c r="P10611">
        <v>0.73239390000000004</v>
      </c>
      <c r="Q10611">
        <v>7.5317679999999998E-2</v>
      </c>
      <c r="R10611">
        <v>0.67670259999999904</v>
      </c>
      <c r="S10611">
        <v>2.7173769999999999</v>
      </c>
      <c r="T10611">
        <v>-0.37770330000000002</v>
      </c>
      <c r="U10611">
        <v>1.54512</v>
      </c>
      <c r="V10611">
        <v>0.34587509999999999</v>
      </c>
      <c r="W10611">
        <v>7.9876429999999998E-2</v>
      </c>
      <c r="X10611">
        <v>0.93487439999999999</v>
      </c>
      <c r="Y10611">
        <v>0.54115559999999996</v>
      </c>
      <c r="Z10611">
        <v>-0.123028399999999</v>
      </c>
      <c r="AA10611">
        <v>0.83187420000000001</v>
      </c>
      <c r="AB10611">
        <v>37</v>
      </c>
      <c r="AC10611">
        <v>7.8030999999999997</v>
      </c>
      <c r="AD10611">
        <v>-1.0978905123439999</v>
      </c>
      <c r="AE10611">
        <v>4.3115999999999897</v>
      </c>
      <c r="AF10611">
        <v>4.9045149190491797</v>
      </c>
      <c r="AG10611">
        <v>-1.0978905123439999</v>
      </c>
      <c r="AH10611">
        <v>7.2847116324535497</v>
      </c>
      <c r="AI10611">
        <v>97.1260211186964</v>
      </c>
      <c r="AJ10611">
        <v>56.049140595337001</v>
      </c>
      <c r="AK10611">
        <v>8.8502346712544799</v>
      </c>
      <c r="AL10611">
        <v>85.418536971035195</v>
      </c>
      <c r="AM10611">
        <v>69.697058780229099</v>
      </c>
      <c r="AN10611">
        <v>0.99999998632245701</v>
      </c>
    </row>
    <row r="10612" spans="1:40" x14ac:dyDescent="0.25">
      <c r="A10612" t="str">
        <f>"20190312150927591"</f>
        <v>20190312150927591</v>
      </c>
      <c r="B10612" t="str">
        <f>"1552374567580005"</f>
        <v>1552374567580005</v>
      </c>
      <c r="C10612" t="s">
        <v>40</v>
      </c>
      <c r="D10612">
        <v>5.2704420000000001</v>
      </c>
      <c r="E10612">
        <v>0.59048140000000005</v>
      </c>
      <c r="F10612" t="s">
        <v>77</v>
      </c>
      <c r="G10612">
        <v>-172.07650000000001</v>
      </c>
      <c r="H10612" s="1">
        <v>-3.4935780000000001E-6</v>
      </c>
      <c r="I10612">
        <v>136.8631</v>
      </c>
      <c r="J10612">
        <v>-179.9119</v>
      </c>
      <c r="K10612">
        <v>1.0976900000000001</v>
      </c>
      <c r="L10612">
        <v>132.6259</v>
      </c>
      <c r="M10612">
        <v>0.46257209999999899</v>
      </c>
      <c r="N10612">
        <v>0</v>
      </c>
      <c r="O10612">
        <v>0.88643530000000004</v>
      </c>
      <c r="P10612">
        <v>0.7390234</v>
      </c>
      <c r="Q10612">
        <v>7.5135750000000001E-2</v>
      </c>
      <c r="R10612">
        <v>0.66947670000000004</v>
      </c>
      <c r="S10612">
        <v>2.7313230000000002</v>
      </c>
      <c r="T10612">
        <v>-0.37811119999999998</v>
      </c>
      <c r="U10612">
        <v>1.5192410000000001</v>
      </c>
      <c r="V10612">
        <v>0.34807830000000001</v>
      </c>
      <c r="W10612">
        <v>7.9493800000000003E-2</v>
      </c>
      <c r="X10612">
        <v>0.93408899999999995</v>
      </c>
      <c r="Y10612">
        <v>0.54266599999999998</v>
      </c>
      <c r="Z10612">
        <v>-0.1230604</v>
      </c>
      <c r="AA10612">
        <v>0.83088490000000004</v>
      </c>
      <c r="AB10612">
        <v>37</v>
      </c>
      <c r="AC10612">
        <v>7.8353999999999902</v>
      </c>
      <c r="AD10612">
        <v>-1.0976934935780001</v>
      </c>
      <c r="AE10612">
        <v>4.2371999999999996</v>
      </c>
      <c r="AF10612">
        <v>4.9116260744258096</v>
      </c>
      <c r="AG10612">
        <v>-1.0976934935780001</v>
      </c>
      <c r="AH10612">
        <v>7.2709852222020199</v>
      </c>
      <c r="AI10612">
        <v>97.130705858028193</v>
      </c>
      <c r="AJ10612">
        <v>55.960564918829697</v>
      </c>
      <c r="AK10612">
        <v>8.8428630998282003</v>
      </c>
      <c r="AL10612">
        <v>85.440530115902206</v>
      </c>
      <c r="AM10612">
        <v>69.562627644600994</v>
      </c>
      <c r="AN10612">
        <v>1.0000000135451601</v>
      </c>
    </row>
    <row r="10613" spans="1:40" x14ac:dyDescent="0.25">
      <c r="A10613" t="str">
        <f>"20190312150927605"</f>
        <v>20190312150927605</v>
      </c>
      <c r="B10613" t="str">
        <f>"1552374567599524"</f>
        <v>1552374567599524</v>
      </c>
      <c r="C10613" t="s">
        <v>40</v>
      </c>
      <c r="D10613">
        <v>5.3014830000000002</v>
      </c>
      <c r="E10613">
        <v>0.58993229999999997</v>
      </c>
      <c r="F10613" t="s">
        <v>77</v>
      </c>
      <c r="G10613">
        <v>-171.959</v>
      </c>
      <c r="H10613" s="1">
        <v>-3.4764120000000002E-6</v>
      </c>
      <c r="I10613">
        <v>136.95519999999999</v>
      </c>
      <c r="J10613">
        <v>-179.80090000000001</v>
      </c>
      <c r="K10613">
        <v>1.097458</v>
      </c>
      <c r="L10613">
        <v>132.82560000000001</v>
      </c>
      <c r="M10613">
        <v>0.47032649999999998</v>
      </c>
      <c r="N10613">
        <v>0</v>
      </c>
      <c r="O10613">
        <v>0.88234460000000003</v>
      </c>
      <c r="P10613">
        <v>0.74645220000000001</v>
      </c>
      <c r="Q10613">
        <v>7.4968290000000007E-2</v>
      </c>
      <c r="R10613">
        <v>0.66120269999999903</v>
      </c>
      <c r="S10613">
        <v>2.744507</v>
      </c>
      <c r="T10613">
        <v>-0.3788087</v>
      </c>
      <c r="U10613">
        <v>1.494019</v>
      </c>
      <c r="V10613">
        <v>0.35034759999999998</v>
      </c>
      <c r="W10613">
        <v>7.9103060000000003E-2</v>
      </c>
      <c r="X10613">
        <v>0.93327340000000003</v>
      </c>
      <c r="Y10613">
        <v>0.54287640000000004</v>
      </c>
      <c r="Z10613">
        <v>-0.12310409999999999</v>
      </c>
      <c r="AA10613">
        <v>0.83074099999999995</v>
      </c>
      <c r="AB10613">
        <v>36</v>
      </c>
      <c r="AC10613">
        <v>7.8419000000000096</v>
      </c>
      <c r="AD10613">
        <v>-1.0974614764120001</v>
      </c>
      <c r="AE10613">
        <v>4.1295999999999804</v>
      </c>
      <c r="AF10613">
        <v>4.9024758704465601</v>
      </c>
      <c r="AG10613">
        <v>-1.0974614764120001</v>
      </c>
      <c r="AH10613">
        <v>7.2221998669086602</v>
      </c>
      <c r="AI10613">
        <v>97.166010999039997</v>
      </c>
      <c r="AJ10613">
        <v>55.831086158568397</v>
      </c>
      <c r="AK10613">
        <v>8.7976623184852194</v>
      </c>
      <c r="AL10613">
        <v>85.4629884716242</v>
      </c>
      <c r="AM10613">
        <v>69.424038695258005</v>
      </c>
      <c r="AN10613">
        <v>0.99999998703734105</v>
      </c>
    </row>
    <row r="10614" spans="1:40" x14ac:dyDescent="0.25">
      <c r="A10614" t="str">
        <f>"20190312150927618"</f>
        <v>20190312150927618</v>
      </c>
      <c r="B10614" t="str">
        <f>"1552374567610261"</f>
        <v>1552374567610261</v>
      </c>
      <c r="C10614" t="s">
        <v>40</v>
      </c>
      <c r="D10614">
        <v>5.3976389999999999</v>
      </c>
      <c r="E10614">
        <v>0.58964569999999905</v>
      </c>
      <c r="F10614" t="s">
        <v>77</v>
      </c>
      <c r="G10614">
        <v>-171.88130000000001</v>
      </c>
      <c r="H10614" s="1">
        <v>-3.4727530000000002E-6</v>
      </c>
      <c r="I10614">
        <v>137.03630000000001</v>
      </c>
      <c r="J10614">
        <v>-179.69149999999999</v>
      </c>
      <c r="K10614">
        <v>1.097245</v>
      </c>
      <c r="L10614">
        <v>133.01679999999999</v>
      </c>
      <c r="M10614">
        <v>0.47795799999999999</v>
      </c>
      <c r="N10614">
        <v>0</v>
      </c>
      <c r="O10614">
        <v>0.87823309999999999</v>
      </c>
      <c r="P10614">
        <v>0.75355799999999995</v>
      </c>
      <c r="Q10614">
        <v>7.5030009999999994E-2</v>
      </c>
      <c r="R10614">
        <v>0.65308559999999904</v>
      </c>
      <c r="S10614">
        <v>2.7583310000000001</v>
      </c>
      <c r="T10614">
        <v>-0.38223610000000002</v>
      </c>
      <c r="U10614">
        <v>1.466553</v>
      </c>
      <c r="V10614">
        <v>0.35239559999999998</v>
      </c>
      <c r="W10614">
        <v>7.8957139999999995E-2</v>
      </c>
      <c r="X10614">
        <v>0.93251439999999997</v>
      </c>
      <c r="Y10614">
        <v>0.54366979999999998</v>
      </c>
      <c r="Z10614">
        <v>-0.1240475</v>
      </c>
      <c r="AA10614">
        <v>0.83008159999999898</v>
      </c>
      <c r="AB10614">
        <v>36</v>
      </c>
      <c r="AC10614">
        <v>7.8101999999999796</v>
      </c>
      <c r="AD10614">
        <v>-1.0972484727529901</v>
      </c>
      <c r="AE10614">
        <v>4.0195000000000203</v>
      </c>
      <c r="AF10614">
        <v>4.86279273006034</v>
      </c>
      <c r="AG10614">
        <v>-1.0972484727529901</v>
      </c>
      <c r="AH10614">
        <v>7.1523529642466599</v>
      </c>
      <c r="AI10614">
        <v>97.230269436751001</v>
      </c>
      <c r="AJ10614">
        <v>55.788720262548999</v>
      </c>
      <c r="AK10614">
        <v>8.7181913417666301</v>
      </c>
      <c r="AL10614">
        <v>85.471375351593494</v>
      </c>
      <c r="AM10614">
        <v>69.298506871532595</v>
      </c>
      <c r="AN10614">
        <v>0.99999999753184898</v>
      </c>
    </row>
    <row r="10615" spans="1:40" x14ac:dyDescent="0.25">
      <c r="A10615" t="str">
        <f>"20190312150927633"</f>
        <v>20190312150927633</v>
      </c>
      <c r="B10615" t="str">
        <f>"1552374567629781"</f>
        <v>1552374567629781</v>
      </c>
      <c r="C10615" t="s">
        <v>40</v>
      </c>
      <c r="D10615">
        <v>5.1777490000000004</v>
      </c>
      <c r="E10615">
        <v>0.58883359999999996</v>
      </c>
      <c r="F10615" t="s">
        <v>77</v>
      </c>
      <c r="G10615">
        <v>-171.7706</v>
      </c>
      <c r="H10615" s="1">
        <v>-3.4579529999999999E-6</v>
      </c>
      <c r="I10615">
        <v>137.1266</v>
      </c>
      <c r="J10615">
        <v>-179.56540000000001</v>
      </c>
      <c r="K10615">
        <v>1.0970009999999999</v>
      </c>
      <c r="L10615">
        <v>133.23310000000001</v>
      </c>
      <c r="M10615">
        <v>0.48671989999999998</v>
      </c>
      <c r="N10615">
        <v>0</v>
      </c>
      <c r="O10615">
        <v>0.87340659999999903</v>
      </c>
      <c r="P10615">
        <v>0.76229829999999998</v>
      </c>
      <c r="Q10615">
        <v>7.4539869999999994E-2</v>
      </c>
      <c r="R10615">
        <v>0.64291919999999902</v>
      </c>
      <c r="S10615">
        <v>2.772583</v>
      </c>
      <c r="T10615">
        <v>-0.38407580000000002</v>
      </c>
      <c r="U10615">
        <v>1.4385829999999999</v>
      </c>
      <c r="V10615">
        <v>0.35564750000000001</v>
      </c>
      <c r="W10615">
        <v>7.8196080000000001E-2</v>
      </c>
      <c r="X10615">
        <v>0.93134329999999999</v>
      </c>
      <c r="Y10615">
        <v>0.54358919999999999</v>
      </c>
      <c r="Z10615">
        <v>-0.1243826</v>
      </c>
      <c r="AA10615">
        <v>0.83008409999999999</v>
      </c>
      <c r="AB10615">
        <v>36</v>
      </c>
      <c r="AC10615">
        <v>7.7948000000000004</v>
      </c>
      <c r="AD10615">
        <v>-1.0970044579530001</v>
      </c>
      <c r="AE10615">
        <v>3.89349999999998</v>
      </c>
      <c r="AF10615">
        <v>4.8369629157883702</v>
      </c>
      <c r="AG10615">
        <v>-1.0970044579530001</v>
      </c>
      <c r="AH10615">
        <v>7.0831662040383403</v>
      </c>
      <c r="AI10615">
        <v>97.288475770832306</v>
      </c>
      <c r="AJ10615">
        <v>55.671555337913503</v>
      </c>
      <c r="AK10615">
        <v>8.6470152366878299</v>
      </c>
      <c r="AL10615">
        <v>85.515116388219496</v>
      </c>
      <c r="AM10615">
        <v>69.099888489890205</v>
      </c>
      <c r="AN10615">
        <v>1.00000005681925</v>
      </c>
    </row>
    <row r="10616" spans="1:40" x14ac:dyDescent="0.25">
      <c r="A10616" t="str">
        <f>"20190312150927648"</f>
        <v>20190312150927648</v>
      </c>
      <c r="B10616" t="str">
        <f>"1552374567639541"</f>
        <v>1552374567639541</v>
      </c>
      <c r="C10616" t="s">
        <v>40</v>
      </c>
      <c r="D10616">
        <v>5.3404089999999904</v>
      </c>
      <c r="E10616">
        <v>0.58844659999999904</v>
      </c>
      <c r="F10616" t="s">
        <v>77</v>
      </c>
      <c r="G10616">
        <v>-171.67410000000001</v>
      </c>
      <c r="H10616" s="1">
        <v>-3.4479539999999999E-6</v>
      </c>
      <c r="I10616">
        <v>137.2131</v>
      </c>
      <c r="J10616">
        <v>-179.44220000000001</v>
      </c>
      <c r="K10616">
        <v>1.0967720000000001</v>
      </c>
      <c r="L10616">
        <v>133.4402</v>
      </c>
      <c r="M10616">
        <v>0.49524200000000002</v>
      </c>
      <c r="N10616">
        <v>0</v>
      </c>
      <c r="O10616">
        <v>0.86860179999999998</v>
      </c>
      <c r="P10616">
        <v>0.76927159999999895</v>
      </c>
      <c r="Q10616">
        <v>7.4334319999999995E-2</v>
      </c>
      <c r="R10616">
        <v>0.63458309999999996</v>
      </c>
      <c r="S10616">
        <v>2.787598</v>
      </c>
      <c r="T10616">
        <v>-0.38751550000000001</v>
      </c>
      <c r="U10616">
        <v>1.405945</v>
      </c>
      <c r="V10616">
        <v>0.35672769999999998</v>
      </c>
      <c r="W10616">
        <v>7.7809589999999998E-2</v>
      </c>
      <c r="X10616">
        <v>0.93096239999999997</v>
      </c>
      <c r="Y10616">
        <v>0.54481829999999998</v>
      </c>
      <c r="Z10616">
        <v>-0.1253166</v>
      </c>
      <c r="AA10616">
        <v>0.82913740000000002</v>
      </c>
      <c r="AB10616">
        <v>36</v>
      </c>
      <c r="AC10616">
        <v>7.7680999999999996</v>
      </c>
      <c r="AD10616">
        <v>-1.0967754479539999</v>
      </c>
      <c r="AE10616">
        <v>3.7728999999999902</v>
      </c>
      <c r="AF10616">
        <v>4.8020811046131602</v>
      </c>
      <c r="AG10616">
        <v>-1.0967754479539999</v>
      </c>
      <c r="AH10616">
        <v>7.0120836393333104</v>
      </c>
      <c r="AI10616">
        <v>97.353429627588895</v>
      </c>
      <c r="AJ10616">
        <v>55.595509674482997</v>
      </c>
      <c r="AK10616">
        <v>8.5692599612523903</v>
      </c>
      <c r="AL10616">
        <v>85.537327998405999</v>
      </c>
      <c r="AM10616">
        <v>69.034084783391194</v>
      </c>
      <c r="AN10616">
        <v>0.99999998722850802</v>
      </c>
    </row>
    <row r="10617" spans="1:40" x14ac:dyDescent="0.25">
      <c r="A10617" t="str">
        <f>"20190312150927661"</f>
        <v>20190312150927661</v>
      </c>
      <c r="B10617" t="str">
        <f>"1552374567650276"</f>
        <v>1552374567650276</v>
      </c>
      <c r="C10617" t="s">
        <v>40</v>
      </c>
      <c r="D10617">
        <v>5.3691110000000002</v>
      </c>
      <c r="E10617">
        <v>0.58844659999999904</v>
      </c>
      <c r="F10617" t="s">
        <v>77</v>
      </c>
      <c r="G10617">
        <v>-171.53219999999999</v>
      </c>
      <c r="H10617" s="1">
        <v>-3.4294999999999999E-6</v>
      </c>
      <c r="I10617">
        <v>137.33019999999999</v>
      </c>
      <c r="J10617">
        <v>-179.33170000000001</v>
      </c>
      <c r="K10617">
        <v>1.0965720000000001</v>
      </c>
      <c r="L10617">
        <v>133.6217</v>
      </c>
      <c r="M10617">
        <v>0.50285139999999995</v>
      </c>
      <c r="N10617">
        <v>0</v>
      </c>
      <c r="O10617">
        <v>0.86421789999999998</v>
      </c>
      <c r="P10617">
        <v>0.77548490000000003</v>
      </c>
      <c r="Q10617">
        <v>7.4118790000000004E-2</v>
      </c>
      <c r="R10617">
        <v>0.62700049999999996</v>
      </c>
      <c r="S10617">
        <v>2.8010250000000001</v>
      </c>
      <c r="T10617">
        <v>-0.38838470000000003</v>
      </c>
      <c r="U10617">
        <v>1.377518</v>
      </c>
      <c r="V10617">
        <v>0.357739799999999</v>
      </c>
      <c r="W10617">
        <v>7.7434500000000003E-2</v>
      </c>
      <c r="X10617">
        <v>0.93060520000000002</v>
      </c>
      <c r="Y10617">
        <v>0.54580519999999999</v>
      </c>
      <c r="Z10617">
        <v>-0.12540309999999999</v>
      </c>
      <c r="AA10617">
        <v>0.82847499999999996</v>
      </c>
      <c r="AB10617">
        <v>36</v>
      </c>
      <c r="AC10617">
        <v>7.7995000000000196</v>
      </c>
      <c r="AD10617">
        <v>-1.0965754295000001</v>
      </c>
      <c r="AE10617">
        <v>3.7084999999999799</v>
      </c>
      <c r="AF10617">
        <v>4.7989269957436802</v>
      </c>
      <c r="AG10617">
        <v>-1.0965754295000001</v>
      </c>
      <c r="AH10617">
        <v>7.0148022871793803</v>
      </c>
      <c r="AI10617">
        <v>97.351708065686495</v>
      </c>
      <c r="AJ10617">
        <v>55.623408327280899</v>
      </c>
      <c r="AK10617">
        <v>8.5696924747202896</v>
      </c>
      <c r="AL10617">
        <v>85.558883955092199</v>
      </c>
      <c r="AM10617">
        <v>68.972426824381202</v>
      </c>
      <c r="AN10617">
        <v>0.99999995228066396</v>
      </c>
    </row>
    <row r="10618" spans="1:40" x14ac:dyDescent="0.25">
      <c r="A10618" t="str">
        <f>"20190312150927672"</f>
        <v>20190312150927672</v>
      </c>
      <c r="B10618" t="str">
        <f>"1552374567669797"</f>
        <v>1552374567669797</v>
      </c>
      <c r="C10618" t="s">
        <v>40</v>
      </c>
      <c r="D10618">
        <v>5.4978980000000002</v>
      </c>
      <c r="E10618">
        <v>0.56829370000000001</v>
      </c>
      <c r="F10618" t="s">
        <v>77</v>
      </c>
      <c r="G10618">
        <v>-171.38550000000001</v>
      </c>
      <c r="H10618" s="1">
        <v>-3.4027609999999998E-6</v>
      </c>
      <c r="I10618">
        <v>137.43119999999999</v>
      </c>
      <c r="J10618">
        <v>-179.23400000000001</v>
      </c>
      <c r="K10618">
        <v>1.0964020000000001</v>
      </c>
      <c r="L10618">
        <v>133.77860000000001</v>
      </c>
      <c r="M10618">
        <v>0.50954889999999997</v>
      </c>
      <c r="N10618">
        <v>0</v>
      </c>
      <c r="O10618">
        <v>0.86028510000000002</v>
      </c>
      <c r="P10618">
        <v>0.78106519999999902</v>
      </c>
      <c r="Q10618">
        <v>7.3912740000000005E-2</v>
      </c>
      <c r="R10618">
        <v>0.62005969999999999</v>
      </c>
      <c r="S10618">
        <v>2.8146209999999998</v>
      </c>
      <c r="T10618">
        <v>-0.3884186</v>
      </c>
      <c r="U10618">
        <v>1.34939599999999</v>
      </c>
      <c r="V10618">
        <v>0.35885289999999997</v>
      </c>
      <c r="W10618">
        <v>7.7082689999999995E-2</v>
      </c>
      <c r="X10618">
        <v>0.93020579999999997</v>
      </c>
      <c r="Y10618">
        <v>0.54761839999999995</v>
      </c>
      <c r="Z10618">
        <v>-0.1252557</v>
      </c>
      <c r="AA10618">
        <v>0.82729989999999998</v>
      </c>
      <c r="AB10618">
        <v>36</v>
      </c>
      <c r="AC10618">
        <v>7.8484999999999996</v>
      </c>
      <c r="AD10618">
        <v>-1.096405402761</v>
      </c>
      <c r="AE10618">
        <v>3.6525999999999699</v>
      </c>
      <c r="AF10618">
        <v>4.8142046666326497</v>
      </c>
      <c r="AG10618">
        <v>-1.096405402761</v>
      </c>
      <c r="AH10618">
        <v>7.0296726879381097</v>
      </c>
      <c r="AI10618">
        <v>97.332745663726399</v>
      </c>
      <c r="AJ10618">
        <v>55.595076544598697</v>
      </c>
      <c r="AK10618">
        <v>8.5903998439522091</v>
      </c>
      <c r="AL10618">
        <v>85.579101769811103</v>
      </c>
      <c r="AM10618">
        <v>68.904484554161797</v>
      </c>
      <c r="AN10618">
        <v>0.99999998764484199</v>
      </c>
    </row>
    <row r="10619" spans="1:40" x14ac:dyDescent="0.25">
      <c r="A10619" t="str">
        <f>"20190312150927684"</f>
        <v>20190312150927684</v>
      </c>
      <c r="B10619" t="str">
        <f>"1552374567679556"</f>
        <v>1552374567679556</v>
      </c>
      <c r="C10619" t="s">
        <v>40</v>
      </c>
      <c r="D10619">
        <v>5.49071</v>
      </c>
      <c r="E10619">
        <v>0.57435760000000002</v>
      </c>
      <c r="F10619" t="s">
        <v>77</v>
      </c>
      <c r="G10619">
        <v>-172.08959999999999</v>
      </c>
      <c r="H10619" s="1">
        <v>-3.770057E-6</v>
      </c>
      <c r="I10619">
        <v>137.57640000000001</v>
      </c>
      <c r="J10619">
        <v>-179.1292</v>
      </c>
      <c r="K10619">
        <v>1.09622</v>
      </c>
      <c r="L10619">
        <v>133.94540000000001</v>
      </c>
      <c r="M10619">
        <v>0.51669750000000003</v>
      </c>
      <c r="N10619">
        <v>0</v>
      </c>
      <c r="O10619">
        <v>0.85600980000000004</v>
      </c>
      <c r="P10619">
        <v>0.78702139999999998</v>
      </c>
      <c r="Q10619">
        <v>7.3514540000000003E-2</v>
      </c>
      <c r="R10619">
        <v>0.61253000000000002</v>
      </c>
      <c r="S10619">
        <v>2.7289430000000001</v>
      </c>
      <c r="T10619">
        <v>-0.41879339999999998</v>
      </c>
      <c r="U10619">
        <v>1.450623</v>
      </c>
      <c r="V10619">
        <v>0.36009020000000003</v>
      </c>
      <c r="W10619">
        <v>7.6526919999999998E-2</v>
      </c>
      <c r="X10619">
        <v>0.92977339999999997</v>
      </c>
      <c r="Y10619">
        <v>0.50443939999999998</v>
      </c>
      <c r="Z10619">
        <v>-0.134040299999999</v>
      </c>
      <c r="AA10619">
        <v>0.85297959999999995</v>
      </c>
      <c r="AB10619">
        <v>36</v>
      </c>
      <c r="AC10619">
        <v>7.0396000000000001</v>
      </c>
      <c r="AD10619">
        <v>-1.0962237700569999</v>
      </c>
      <c r="AE10619">
        <v>3.6309999999999998</v>
      </c>
      <c r="AF10619">
        <v>4.0723986450724103</v>
      </c>
      <c r="AG10619">
        <v>-1.0962237700569999</v>
      </c>
      <c r="AH10619">
        <v>6.6196385534641697</v>
      </c>
      <c r="AI10619">
        <v>98.028480283929895</v>
      </c>
      <c r="AJ10619">
        <v>58.400189403706101</v>
      </c>
      <c r="AK10619">
        <v>7.8489331668026603</v>
      </c>
      <c r="AL10619">
        <v>85.611039212772098</v>
      </c>
      <c r="AM10619">
        <v>68.829205770055594</v>
      </c>
      <c r="AN10619">
        <v>0.99999994848414098</v>
      </c>
    </row>
    <row r="10620" spans="1:40" x14ac:dyDescent="0.25">
      <c r="A10620" t="str">
        <f>"20190312150927696"</f>
        <v>20190312150927696</v>
      </c>
      <c r="B10620" t="str">
        <f>"1552374567690293"</f>
        <v>1552374567690293</v>
      </c>
      <c r="C10620" t="s">
        <v>40</v>
      </c>
      <c r="D10620">
        <v>5.4478289999999996</v>
      </c>
      <c r="E10620">
        <v>0.57879849999999999</v>
      </c>
      <c r="F10620" t="s">
        <v>77</v>
      </c>
      <c r="G10620">
        <v>-171.80439999999999</v>
      </c>
      <c r="H10620" s="1">
        <v>-3.6551910000000001E-6</v>
      </c>
      <c r="I10620">
        <v>137.6069</v>
      </c>
      <c r="J10620">
        <v>-179.02549999999999</v>
      </c>
      <c r="K10620">
        <v>1.0960449999999999</v>
      </c>
      <c r="L10620">
        <v>134.1054</v>
      </c>
      <c r="M10620">
        <v>0.52374019999999999</v>
      </c>
      <c r="N10620">
        <v>0</v>
      </c>
      <c r="O10620">
        <v>0.85171810000000003</v>
      </c>
      <c r="P10620">
        <v>0.79272640000000005</v>
      </c>
      <c r="Q10620">
        <v>7.3327349999999999E-2</v>
      </c>
      <c r="R10620">
        <v>0.6051512</v>
      </c>
      <c r="S10620">
        <v>2.7721100000000001</v>
      </c>
      <c r="T10620">
        <v>-0.41487309999999999</v>
      </c>
      <c r="U10620">
        <v>1.3857269999999999</v>
      </c>
      <c r="V10620">
        <v>0.36114760000000001</v>
      </c>
      <c r="W10620">
        <v>7.6196949999999999E-2</v>
      </c>
      <c r="X10620">
        <v>0.92939039999999995</v>
      </c>
      <c r="Y10620">
        <v>0.51879790000000003</v>
      </c>
      <c r="Z10620">
        <v>-0.13276019999999999</v>
      </c>
      <c r="AA10620">
        <v>0.84452559999999999</v>
      </c>
      <c r="AB10620">
        <v>36</v>
      </c>
      <c r="AC10620">
        <v>7.2210999999999999</v>
      </c>
      <c r="AD10620">
        <v>-1.096048655191</v>
      </c>
      <c r="AE10620">
        <v>3.5014999999999898</v>
      </c>
      <c r="AF10620">
        <v>4.23800328983104</v>
      </c>
      <c r="AG10620">
        <v>-1.096048655191</v>
      </c>
      <c r="AH10620">
        <v>6.6413146459598904</v>
      </c>
      <c r="AI10620">
        <v>97.920285294389004</v>
      </c>
      <c r="AJ10620">
        <v>57.456946468067798</v>
      </c>
      <c r="AK10620">
        <v>7.9541847329444204</v>
      </c>
      <c r="AL10620">
        <v>85.630000866177099</v>
      </c>
      <c r="AM10620">
        <v>68.764597180609897</v>
      </c>
      <c r="AN10620">
        <v>1.00000003989361</v>
      </c>
    </row>
    <row r="10621" spans="1:40" x14ac:dyDescent="0.25">
      <c r="A10621" t="str">
        <f>"20190312150927707"</f>
        <v>20190312150927707</v>
      </c>
      <c r="B10621" t="str">
        <f>"1552374567700054"</f>
        <v>1552374567700054</v>
      </c>
      <c r="C10621" t="s">
        <v>40</v>
      </c>
      <c r="D10621">
        <v>5.3839980000000001</v>
      </c>
      <c r="E10621">
        <v>0.58338889999999999</v>
      </c>
      <c r="F10621" t="s">
        <v>77</v>
      </c>
      <c r="G10621">
        <v>-171.4785</v>
      </c>
      <c r="H10621" s="1">
        <v>-3.5409350000000002E-6</v>
      </c>
      <c r="I10621">
        <v>137.6866</v>
      </c>
      <c r="J10621">
        <v>-178.92259999999999</v>
      </c>
      <c r="K10621">
        <v>1.0958749999999999</v>
      </c>
      <c r="L10621">
        <v>134.2627</v>
      </c>
      <c r="M10621">
        <v>0.5306824</v>
      </c>
      <c r="N10621">
        <v>0</v>
      </c>
      <c r="O10621">
        <v>0.84740910000000003</v>
      </c>
      <c r="P10621">
        <v>0.79838679999999995</v>
      </c>
      <c r="Q10621">
        <v>7.251842E-2</v>
      </c>
      <c r="R10621">
        <v>0.59776219999999902</v>
      </c>
      <c r="S10621">
        <v>2.8057400000000001</v>
      </c>
      <c r="T10621">
        <v>-0.40748200000000001</v>
      </c>
      <c r="U10621">
        <v>1.3313900000000001</v>
      </c>
      <c r="V10621">
        <v>0.36225109999999999</v>
      </c>
      <c r="W10621">
        <v>7.524459E-2</v>
      </c>
      <c r="X10621">
        <v>0.92903840000000004</v>
      </c>
      <c r="Y10621">
        <v>0.52943339999999905</v>
      </c>
      <c r="Z10621">
        <v>-0.13032779999999999</v>
      </c>
      <c r="AA10621">
        <v>0.83828099999999905</v>
      </c>
      <c r="AB10621">
        <v>36</v>
      </c>
      <c r="AC10621">
        <v>7.4440999999999899</v>
      </c>
      <c r="AD10621">
        <v>-1.095878540935</v>
      </c>
      <c r="AE10621">
        <v>3.4239000000000002</v>
      </c>
      <c r="AF10621">
        <v>4.4128732098645198</v>
      </c>
      <c r="AG10621">
        <v>-1.095878540935</v>
      </c>
      <c r="AH10621">
        <v>6.7324074667783202</v>
      </c>
      <c r="AI10621">
        <v>97.752468487193894</v>
      </c>
      <c r="AJ10621">
        <v>56.756467559726801</v>
      </c>
      <c r="AK10621">
        <v>8.1240205589076595</v>
      </c>
      <c r="AL10621">
        <v>85.684723915335596</v>
      </c>
      <c r="AM10621">
        <v>68.698171084987493</v>
      </c>
      <c r="AN10621">
        <v>0.99999997822501796</v>
      </c>
    </row>
    <row r="10622" spans="1:40" x14ac:dyDescent="0.25">
      <c r="A10622" t="str">
        <f>"20190312150927721"</f>
        <v>20190312150927721</v>
      </c>
      <c r="B10622" t="str">
        <f>"1552374567709812"</f>
        <v>1552374567709812</v>
      </c>
      <c r="C10622" t="s">
        <v>40</v>
      </c>
      <c r="D10622">
        <v>5.3731489999999997</v>
      </c>
      <c r="E10622">
        <v>0.58592140000000004</v>
      </c>
      <c r="F10622" t="s">
        <v>77</v>
      </c>
      <c r="G10622">
        <v>-171.3176</v>
      </c>
      <c r="H10622" s="1">
        <v>-3.466372E-6</v>
      </c>
      <c r="I10622">
        <v>137.67830000000001</v>
      </c>
      <c r="J10622">
        <v>-178.79060000000001</v>
      </c>
      <c r="K10622">
        <v>1.0956589999999999</v>
      </c>
      <c r="L10622">
        <v>134.46</v>
      </c>
      <c r="M10622">
        <v>0.53954209999999903</v>
      </c>
      <c r="N10622">
        <v>0</v>
      </c>
      <c r="O10622">
        <v>0.84179470000000001</v>
      </c>
      <c r="P10622">
        <v>0.80538489999999996</v>
      </c>
      <c r="Q10622">
        <v>7.0852189999999995E-2</v>
      </c>
      <c r="R10622">
        <v>0.58850239999999998</v>
      </c>
      <c r="S10622">
        <v>2.8398129999999999</v>
      </c>
      <c r="T10622">
        <v>-0.40921239999999998</v>
      </c>
      <c r="U10622">
        <v>1.275406</v>
      </c>
      <c r="V10622">
        <v>0.36333860000000001</v>
      </c>
      <c r="W10622">
        <v>7.3412899999999906E-2</v>
      </c>
      <c r="X10622">
        <v>0.92876029999999998</v>
      </c>
      <c r="Y10622">
        <v>0.53805119999999995</v>
      </c>
      <c r="Z10622">
        <v>-0.13056429999999999</v>
      </c>
      <c r="AA10622">
        <v>0.8327388</v>
      </c>
      <c r="AB10622">
        <v>36</v>
      </c>
      <c r="AC10622">
        <v>7.4730000000000096</v>
      </c>
      <c r="AD10622">
        <v>-1.095662466372</v>
      </c>
      <c r="AE10622">
        <v>3.2183000000000002</v>
      </c>
      <c r="AF10622">
        <v>4.4738272425228196</v>
      </c>
      <c r="AG10622">
        <v>-1.095662466372</v>
      </c>
      <c r="AH10622">
        <v>6.6219983972448304</v>
      </c>
      <c r="AI10622">
        <v>97.806662052215103</v>
      </c>
      <c r="AJ10622">
        <v>55.957009151384497</v>
      </c>
      <c r="AK10622">
        <v>8.0663789403467092</v>
      </c>
      <c r="AL10622">
        <v>85.789963427825398</v>
      </c>
      <c r="AM10622">
        <v>68.634157664201098</v>
      </c>
      <c r="AN10622">
        <v>1.00000004349622</v>
      </c>
    </row>
    <row r="10623" spans="1:40" x14ac:dyDescent="0.25">
      <c r="A10623" t="str">
        <f>"20190312150927734"</f>
        <v>20190312150927734</v>
      </c>
      <c r="B10623" t="str">
        <f>"1552374567730309"</f>
        <v>1552374567730309</v>
      </c>
      <c r="C10623" t="s">
        <v>40</v>
      </c>
      <c r="D10623">
        <v>5.4960959999999996</v>
      </c>
      <c r="E10623">
        <v>0.58963949999999998</v>
      </c>
      <c r="F10623" t="s">
        <v>77</v>
      </c>
      <c r="G10623">
        <v>-171.09540000000001</v>
      </c>
      <c r="H10623" s="1">
        <v>-3.3948830000000001E-6</v>
      </c>
      <c r="I10623">
        <v>137.74950000000001</v>
      </c>
      <c r="J10623">
        <v>-178.67529999999999</v>
      </c>
      <c r="K10623">
        <v>1.0954889999999999</v>
      </c>
      <c r="L10623">
        <v>134.62799999999999</v>
      </c>
      <c r="M10623">
        <v>0.5472186</v>
      </c>
      <c r="N10623">
        <v>0</v>
      </c>
      <c r="O10623">
        <v>0.83682380000000001</v>
      </c>
      <c r="P10623">
        <v>0.81096950000000001</v>
      </c>
      <c r="Q10623">
        <v>6.9649550000000005E-2</v>
      </c>
      <c r="R10623">
        <v>0.58092809999999995</v>
      </c>
      <c r="S10623">
        <v>2.8656920000000001</v>
      </c>
      <c r="T10623">
        <v>-0.40802620000000001</v>
      </c>
      <c r="U10623">
        <v>1.225006</v>
      </c>
      <c r="V10623">
        <v>0.363624</v>
      </c>
      <c r="W10623">
        <v>7.2100800000000007E-2</v>
      </c>
      <c r="X10623">
        <v>0.92875129999999995</v>
      </c>
      <c r="Y10623">
        <v>0.5455314</v>
      </c>
      <c r="Z10623">
        <v>-0.13004739999999901</v>
      </c>
      <c r="AA10623">
        <v>0.82793919999999999</v>
      </c>
      <c r="AB10623">
        <v>36</v>
      </c>
      <c r="AC10623">
        <v>7.5798999999999799</v>
      </c>
      <c r="AD10623">
        <v>-1.095492394883</v>
      </c>
      <c r="AE10623">
        <v>3.1215000000000201</v>
      </c>
      <c r="AF10623">
        <v>4.5542078261196703</v>
      </c>
      <c r="AG10623">
        <v>-1.095492394883</v>
      </c>
      <c r="AH10623">
        <v>6.6423211802902697</v>
      </c>
      <c r="AI10623">
        <v>97.746081864290701</v>
      </c>
      <c r="AJ10623">
        <v>55.564101004146899</v>
      </c>
      <c r="AK10623">
        <v>8.1278129390918501</v>
      </c>
      <c r="AL10623">
        <v>85.865340640743597</v>
      </c>
      <c r="AM10623">
        <v>68.618701189084803</v>
      </c>
      <c r="AN10623">
        <v>0.99999995799416397</v>
      </c>
    </row>
    <row r="10624" spans="1:40" x14ac:dyDescent="0.25">
      <c r="A10624" t="str">
        <f>"20190312150927744"</f>
        <v>20190312150927744</v>
      </c>
      <c r="B10624" t="str">
        <f>"1552374567740068"</f>
        <v>1552374567740068</v>
      </c>
      <c r="C10624" t="s">
        <v>40</v>
      </c>
      <c r="D10624">
        <v>5.4944360000000003</v>
      </c>
      <c r="E10624">
        <v>0.59108669999999996</v>
      </c>
      <c r="F10624" t="s">
        <v>77</v>
      </c>
      <c r="G10624">
        <v>-170.86760000000001</v>
      </c>
      <c r="H10624" s="1">
        <v>-3.3101139999999998E-6</v>
      </c>
      <c r="I10624">
        <v>137.7929</v>
      </c>
      <c r="J10624">
        <v>-178.57409999999999</v>
      </c>
      <c r="K10624">
        <v>1.095337</v>
      </c>
      <c r="L10624">
        <v>134.77420000000001</v>
      </c>
      <c r="M10624">
        <v>0.55391619999999997</v>
      </c>
      <c r="N10624">
        <v>0</v>
      </c>
      <c r="O10624">
        <v>0.83240479999999994</v>
      </c>
      <c r="P10624">
        <v>0.81570540000000002</v>
      </c>
      <c r="Q10624">
        <v>6.8996210000000002E-2</v>
      </c>
      <c r="R10624">
        <v>0.57433809999999996</v>
      </c>
      <c r="S10624">
        <v>2.8938600000000001</v>
      </c>
      <c r="T10624">
        <v>-0.40603539999999999</v>
      </c>
      <c r="U10624">
        <v>1.1730499999999999</v>
      </c>
      <c r="V10624">
        <v>0.36374529999999999</v>
      </c>
      <c r="W10624">
        <v>7.1356939999999994E-2</v>
      </c>
      <c r="X10624">
        <v>0.92876130000000001</v>
      </c>
      <c r="Y10624">
        <v>0.55450619999999995</v>
      </c>
      <c r="Z10624">
        <v>-0.1292896</v>
      </c>
      <c r="AA10624">
        <v>0.82207479999999999</v>
      </c>
      <c r="AB10624">
        <v>36</v>
      </c>
      <c r="AC10624">
        <v>7.7064999999999699</v>
      </c>
      <c r="AD10624">
        <v>-1.095340310114</v>
      </c>
      <c r="AE10624">
        <v>3.0186999999999902</v>
      </c>
      <c r="AF10624">
        <v>4.6618344018799496</v>
      </c>
      <c r="AG10624">
        <v>-1.095340310114</v>
      </c>
      <c r="AH10624">
        <v>6.6657369962190103</v>
      </c>
      <c r="AI10624">
        <v>97.669264830804295</v>
      </c>
      <c r="AJ10624">
        <v>55.0321092726793</v>
      </c>
      <c r="AK10624">
        <v>8.2075891763827293</v>
      </c>
      <c r="AL10624">
        <v>85.908070937379904</v>
      </c>
      <c r="AM10624">
        <v>68.612422423567693</v>
      </c>
      <c r="AN10624">
        <v>1.00000000426797</v>
      </c>
    </row>
    <row r="10625" spans="1:40" x14ac:dyDescent="0.25">
      <c r="A10625" t="str">
        <f>"20190312150927757"</f>
        <v>20190312150927757</v>
      </c>
      <c r="B10625" t="str">
        <f>"1552374567749828"</f>
        <v>1552374567749828</v>
      </c>
      <c r="C10625" t="s">
        <v>40</v>
      </c>
      <c r="D10625">
        <v>5.3303880000000001</v>
      </c>
      <c r="E10625">
        <v>0.59130169999999904</v>
      </c>
      <c r="F10625" t="s">
        <v>77</v>
      </c>
      <c r="G10625">
        <v>-170.75550000000001</v>
      </c>
      <c r="H10625" s="1">
        <v>-3.2653689999999999E-6</v>
      </c>
      <c r="I10625">
        <v>137.83629999999999</v>
      </c>
      <c r="J10625">
        <v>-178.45140000000001</v>
      </c>
      <c r="K10625">
        <v>1.0951649999999999</v>
      </c>
      <c r="L10625">
        <v>134.9462</v>
      </c>
      <c r="M10625">
        <v>0.56196610000000002</v>
      </c>
      <c r="N10625">
        <v>0</v>
      </c>
      <c r="O10625">
        <v>0.82699040000000001</v>
      </c>
      <c r="P10625">
        <v>0.82128780000000001</v>
      </c>
      <c r="Q10625">
        <v>6.7989590000000003E-2</v>
      </c>
      <c r="R10625">
        <v>0.56644850000000002</v>
      </c>
      <c r="S10625">
        <v>2.9098820000000001</v>
      </c>
      <c r="T10625">
        <v>-0.40765580000000001</v>
      </c>
      <c r="U10625">
        <v>1.1396029999999999</v>
      </c>
      <c r="V10625">
        <v>0.3637495</v>
      </c>
      <c r="W10625">
        <v>7.0256319999999997E-2</v>
      </c>
      <c r="X10625">
        <v>0.92884359999999999</v>
      </c>
      <c r="Y10625">
        <v>0.55616739999999998</v>
      </c>
      <c r="Z10625">
        <v>-0.1293985</v>
      </c>
      <c r="AA10625">
        <v>0.82093479999999996</v>
      </c>
      <c r="AB10625">
        <v>36</v>
      </c>
      <c r="AC10625">
        <v>7.6958999999999902</v>
      </c>
      <c r="AD10625">
        <v>-1.095168265369</v>
      </c>
      <c r="AE10625">
        <v>2.8900999999999799</v>
      </c>
      <c r="AF10625">
        <v>4.6582885743280196</v>
      </c>
      <c r="AG10625">
        <v>-1.095168265369</v>
      </c>
      <c r="AH10625">
        <v>6.5987496567475503</v>
      </c>
      <c r="AI10625">
        <v>97.721393989938804</v>
      </c>
      <c r="AJ10625">
        <v>54.780392426008397</v>
      </c>
      <c r="AK10625">
        <v>8.1512295393770096</v>
      </c>
      <c r="AL10625">
        <v>85.971290647725098</v>
      </c>
      <c r="AM10625">
        <v>68.613921661376807</v>
      </c>
      <c r="AN10625">
        <v>1.0000000412555701</v>
      </c>
    </row>
    <row r="10626" spans="1:40" x14ac:dyDescent="0.25">
      <c r="A10626" t="str">
        <f>"20190312150927767"</f>
        <v>20190312150927767</v>
      </c>
      <c r="B10626" t="str">
        <f>"1552374567759589"</f>
        <v>1552374567759589</v>
      </c>
      <c r="C10626" t="s">
        <v>40</v>
      </c>
      <c r="D10626">
        <v>5.4507320000000004</v>
      </c>
      <c r="E10626">
        <v>0.59171189999999996</v>
      </c>
      <c r="F10626" t="s">
        <v>77</v>
      </c>
      <c r="G10626">
        <v>-170.55189999999999</v>
      </c>
      <c r="H10626" s="1">
        <v>-3.1980440000000001E-6</v>
      </c>
      <c r="I10626">
        <v>137.94630000000001</v>
      </c>
      <c r="J10626">
        <v>-178.35929999999999</v>
      </c>
      <c r="K10626">
        <v>1.0950329999999999</v>
      </c>
      <c r="L10626">
        <v>135.07399999999899</v>
      </c>
      <c r="M10626">
        <v>0.56797419999999899</v>
      </c>
      <c r="N10626">
        <v>0</v>
      </c>
      <c r="O10626">
        <v>0.82287479999999902</v>
      </c>
      <c r="P10626">
        <v>0.82542739999999903</v>
      </c>
      <c r="Q10626">
        <v>6.7332249999999996E-2</v>
      </c>
      <c r="R10626">
        <v>0.56047849999999999</v>
      </c>
      <c r="S10626">
        <v>2.9211580000000001</v>
      </c>
      <c r="T10626">
        <v>-0.40497929999999999</v>
      </c>
      <c r="U10626">
        <v>1.109421</v>
      </c>
      <c r="V10626">
        <v>0.36376120000000001</v>
      </c>
      <c r="W10626">
        <v>6.9529499999999994E-2</v>
      </c>
      <c r="X10626">
        <v>0.92889359999999999</v>
      </c>
      <c r="Y10626">
        <v>0.55872759999999999</v>
      </c>
      <c r="Z10626">
        <v>-0.12840770000000001</v>
      </c>
      <c r="AA10626">
        <v>0.81935029999999998</v>
      </c>
      <c r="AB10626">
        <v>36</v>
      </c>
      <c r="AC10626">
        <v>7.8074000000000003</v>
      </c>
      <c r="AD10626">
        <v>-1.095036198044</v>
      </c>
      <c r="AE10626">
        <v>2.8723000000000201</v>
      </c>
      <c r="AF10626">
        <v>4.7121512805778103</v>
      </c>
      <c r="AG10626">
        <v>-1.095036198044</v>
      </c>
      <c r="AH10626">
        <v>6.68310885329781</v>
      </c>
      <c r="AI10626">
        <v>97.627195991754107</v>
      </c>
      <c r="AJ10626">
        <v>54.8129591147922</v>
      </c>
      <c r="AK10626">
        <v>8.2502980498346492</v>
      </c>
      <c r="AL10626">
        <v>86.013036054627506</v>
      </c>
      <c r="AM10626">
        <v>68.614343125687199</v>
      </c>
      <c r="AN10626">
        <v>0.99999994105832302</v>
      </c>
    </row>
    <row r="10627" spans="1:40" x14ac:dyDescent="0.25">
      <c r="A10627" t="str">
        <f>"20190312150927778"</f>
        <v>20190312150927778</v>
      </c>
      <c r="B10627" t="str">
        <f>"1552374567770325"</f>
        <v>1552374567770325</v>
      </c>
      <c r="C10627" t="s">
        <v>40</v>
      </c>
      <c r="D10627">
        <v>5.3637119999999996</v>
      </c>
      <c r="E10627">
        <v>0.59161699999999995</v>
      </c>
      <c r="F10627" t="s">
        <v>77</v>
      </c>
      <c r="G10627">
        <v>-170.43510000000001</v>
      </c>
      <c r="H10627" s="1">
        <v>-3.1587450000000001E-6</v>
      </c>
      <c r="I10627">
        <v>138.00790000000001</v>
      </c>
      <c r="J10627">
        <v>-178.25099999999901</v>
      </c>
      <c r="K10627">
        <v>1.0948880000000001</v>
      </c>
      <c r="L10627">
        <v>135.22110000000001</v>
      </c>
      <c r="M10627">
        <v>0.57498019999999905</v>
      </c>
      <c r="N10627">
        <v>0</v>
      </c>
      <c r="O10627">
        <v>0.81799379999999999</v>
      </c>
      <c r="P10627">
        <v>0.83040930000000002</v>
      </c>
      <c r="Q10627">
        <v>6.714299E-2</v>
      </c>
      <c r="R10627">
        <v>0.55309339999999996</v>
      </c>
      <c r="S10627">
        <v>2.9307400000000001</v>
      </c>
      <c r="T10627">
        <v>-0.4049992</v>
      </c>
      <c r="U10627">
        <v>1.085083</v>
      </c>
      <c r="V10627">
        <v>0.36414459999999998</v>
      </c>
      <c r="W10627">
        <v>6.9247890000000006E-2</v>
      </c>
      <c r="X10627">
        <v>0.92876449999999999</v>
      </c>
      <c r="Y10627">
        <v>0.55856309999999998</v>
      </c>
      <c r="Z10627">
        <v>-0.12804160000000001</v>
      </c>
      <c r="AA10627">
        <v>0.81951980000000002</v>
      </c>
      <c r="AB10627">
        <v>36</v>
      </c>
      <c r="AC10627">
        <v>7.8158999999999699</v>
      </c>
      <c r="AD10627">
        <v>-1.0948911587450001</v>
      </c>
      <c r="AE10627">
        <v>2.7867999999999902</v>
      </c>
      <c r="AF10627">
        <v>4.7096855699814499</v>
      </c>
      <c r="AG10627">
        <v>-1.0948911587450001</v>
      </c>
      <c r="AH10627">
        <v>6.6586054989552199</v>
      </c>
      <c r="AI10627">
        <v>97.646006427735003</v>
      </c>
      <c r="AJ10627">
        <v>54.727921430547497</v>
      </c>
      <c r="AK10627">
        <v>8.2290310491762195</v>
      </c>
      <c r="AL10627">
        <v>86.029210451076295</v>
      </c>
      <c r="AM10627">
        <v>68.591135490931705</v>
      </c>
      <c r="AN10627">
        <v>1.0000000282194299</v>
      </c>
    </row>
    <row r="10628" spans="1:40" x14ac:dyDescent="0.25">
      <c r="A10628" t="str">
        <f>"20190312150927790"</f>
        <v>20190312150927790</v>
      </c>
      <c r="B10628" t="str">
        <f>"1552374567780084"</f>
        <v>1552374567780084</v>
      </c>
      <c r="C10628" t="s">
        <v>40</v>
      </c>
      <c r="D10628">
        <v>5.3214169999999896</v>
      </c>
      <c r="E10628">
        <v>0.59172689999999994</v>
      </c>
      <c r="F10628" t="s">
        <v>77</v>
      </c>
      <c r="G10628">
        <v>-170.25649999999999</v>
      </c>
      <c r="H10628" s="1">
        <v>-3.0987090000000001E-6</v>
      </c>
      <c r="I10628">
        <v>138.10230000000001</v>
      </c>
      <c r="J10628">
        <v>-178.13570000000001</v>
      </c>
      <c r="K10628">
        <v>1.094738</v>
      </c>
      <c r="L10628">
        <v>135.375</v>
      </c>
      <c r="M10628">
        <v>0.58237519999999998</v>
      </c>
      <c r="N10628">
        <v>0</v>
      </c>
      <c r="O10628">
        <v>0.81274440000000003</v>
      </c>
      <c r="P10628">
        <v>0.83561379999999996</v>
      </c>
      <c r="Q10628">
        <v>6.6876720000000001E-2</v>
      </c>
      <c r="R10628">
        <v>0.54523129999999997</v>
      </c>
      <c r="S10628">
        <v>2.9395899999999999</v>
      </c>
      <c r="T10628">
        <v>-0.40259430000000002</v>
      </c>
      <c r="U10628">
        <v>1.0594330000000001</v>
      </c>
      <c r="V10628">
        <v>0.36451919999999999</v>
      </c>
      <c r="W10628">
        <v>6.8888249999999998E-2</v>
      </c>
      <c r="X10628">
        <v>0.92864429999999998</v>
      </c>
      <c r="Y10628">
        <v>0.55832179999999998</v>
      </c>
      <c r="Z10628">
        <v>-0.1269208</v>
      </c>
      <c r="AA10628">
        <v>0.81985849999999905</v>
      </c>
      <c r="AB10628">
        <v>36</v>
      </c>
      <c r="AC10628">
        <v>7.8792000000000204</v>
      </c>
      <c r="AD10628">
        <v>-1.094741098709</v>
      </c>
      <c r="AE10628">
        <v>2.7273000000000098</v>
      </c>
      <c r="AF10628">
        <v>4.7345328974907401</v>
      </c>
      <c r="AG10628">
        <v>-1.094741098709</v>
      </c>
      <c r="AH10628">
        <v>6.6908763467098096</v>
      </c>
      <c r="AI10628">
        <v>97.607460067966699</v>
      </c>
      <c r="AJ10628">
        <v>54.716382573215199</v>
      </c>
      <c r="AK10628">
        <v>8.2693461723152897</v>
      </c>
      <c r="AL10628">
        <v>86.049865665257499</v>
      </c>
      <c r="AM10628">
        <v>68.568586002873204</v>
      </c>
      <c r="AN10628">
        <v>1.0000000370395901</v>
      </c>
    </row>
    <row r="10629" spans="1:40" x14ac:dyDescent="0.25">
      <c r="A10629" t="str">
        <f>"20190312150927803"</f>
        <v>20190312150927803</v>
      </c>
      <c r="B10629" t="str">
        <f>"1552374567799605"</f>
        <v>1552374567799605</v>
      </c>
      <c r="C10629" t="s">
        <v>40</v>
      </c>
      <c r="D10629">
        <v>5.2638920000000002</v>
      </c>
      <c r="E10629">
        <v>0.59174019999999905</v>
      </c>
      <c r="F10629" t="s">
        <v>77</v>
      </c>
      <c r="G10629">
        <v>-170.07939999999999</v>
      </c>
      <c r="H10629" s="1">
        <v>-3.0372419999999998E-6</v>
      </c>
      <c r="I10629">
        <v>138.19139999999999</v>
      </c>
      <c r="J10629">
        <v>-178.00960000000001</v>
      </c>
      <c r="K10629">
        <v>1.094584</v>
      </c>
      <c r="L10629">
        <v>135.54069999999999</v>
      </c>
      <c r="M10629">
        <v>0.59039149999999996</v>
      </c>
      <c r="N10629">
        <v>0</v>
      </c>
      <c r="O10629">
        <v>0.80693899999999996</v>
      </c>
      <c r="P10629">
        <v>0.84111449999999999</v>
      </c>
      <c r="Q10629">
        <v>6.6399780000000005E-2</v>
      </c>
      <c r="R10629">
        <v>0.53676579999999996</v>
      </c>
      <c r="S10629">
        <v>2.9494630000000002</v>
      </c>
      <c r="T10629">
        <v>-0.40079360000000003</v>
      </c>
      <c r="U10629">
        <v>1.031128</v>
      </c>
      <c r="V10629">
        <v>0.36474259999999997</v>
      </c>
      <c r="W10629">
        <v>6.8320249999999999E-2</v>
      </c>
      <c r="X10629">
        <v>0.92859849999999999</v>
      </c>
      <c r="Y10629">
        <v>0.55812289999999998</v>
      </c>
      <c r="Z10629">
        <v>-0.12593460000000001</v>
      </c>
      <c r="AA10629">
        <v>0.82014589999999998</v>
      </c>
      <c r="AB10629">
        <v>36</v>
      </c>
      <c r="AC10629">
        <v>7.9302000000000099</v>
      </c>
      <c r="AD10629">
        <v>-1.0945870372419999</v>
      </c>
      <c r="AE10629">
        <v>2.6507000000000001</v>
      </c>
      <c r="AF10629">
        <v>4.7534713423400898</v>
      </c>
      <c r="AG10629">
        <v>-1.0945870372419999</v>
      </c>
      <c r="AH10629">
        <v>6.7069195490616504</v>
      </c>
      <c r="AI10629">
        <v>97.584419521768197</v>
      </c>
      <c r="AJ10629">
        <v>54.673221763860901</v>
      </c>
      <c r="AK10629">
        <v>8.2931526226238095</v>
      </c>
      <c r="AL10629">
        <v>86.082486368426899</v>
      </c>
      <c r="AM10629">
        <v>68.555682184978394</v>
      </c>
      <c r="AN10629">
        <v>0.99999999750853596</v>
      </c>
    </row>
    <row r="10630" spans="1:40" x14ac:dyDescent="0.25">
      <c r="A10630" t="str">
        <f>"20190312150927815"</f>
        <v>20190312150927815</v>
      </c>
      <c r="B10630" t="str">
        <f>"1552374567809365"</f>
        <v>1552374567809365</v>
      </c>
      <c r="C10630" t="s">
        <v>40</v>
      </c>
      <c r="D10630">
        <v>5.5351670000000004</v>
      </c>
      <c r="E10630">
        <v>0.59174919999999998</v>
      </c>
      <c r="F10630" t="s">
        <v>42</v>
      </c>
      <c r="G10630">
        <v>-169.7919</v>
      </c>
      <c r="H10630" s="1">
        <v>-4.0865110000000002E-7</v>
      </c>
      <c r="I10630">
        <v>138.32140000000001</v>
      </c>
      <c r="J10630">
        <v>-177.89019999999999</v>
      </c>
      <c r="K10630">
        <v>1.094444</v>
      </c>
      <c r="L10630">
        <v>135.69319999999999</v>
      </c>
      <c r="M10630">
        <v>0.59790269999999901</v>
      </c>
      <c r="N10630">
        <v>0</v>
      </c>
      <c r="O10630">
        <v>0.8013884</v>
      </c>
      <c r="P10630">
        <v>0.84629869999999996</v>
      </c>
      <c r="Q10630">
        <v>6.6001710000000005E-2</v>
      </c>
      <c r="R10630">
        <v>0.52860430000000003</v>
      </c>
      <c r="S10630">
        <v>2.9588619999999999</v>
      </c>
      <c r="T10630">
        <v>-0.39411679999999999</v>
      </c>
      <c r="U10630">
        <v>1.0012209999999999</v>
      </c>
      <c r="V10630">
        <v>0.36508489999999999</v>
      </c>
      <c r="W10630">
        <v>6.783786E-2</v>
      </c>
      <c r="X10630">
        <v>0.92849939999999997</v>
      </c>
      <c r="Y10630">
        <v>0.55894670000000002</v>
      </c>
      <c r="Z10630">
        <v>-0.1235303</v>
      </c>
      <c r="AA10630">
        <v>0.81995049999999903</v>
      </c>
      <c r="AB10630">
        <v>36</v>
      </c>
      <c r="AC10630">
        <v>8.0982999999999894</v>
      </c>
      <c r="AD10630">
        <v>-1.0944444086511</v>
      </c>
      <c r="AE10630">
        <v>2.6282000000000201</v>
      </c>
      <c r="AF10630">
        <v>4.8392242885735604</v>
      </c>
      <c r="AG10630">
        <v>-1.0944444086511</v>
      </c>
      <c r="AH10630">
        <v>6.8362478487505696</v>
      </c>
      <c r="AI10630">
        <v>97.444601832030997</v>
      </c>
      <c r="AJ10630">
        <v>54.706191481363199</v>
      </c>
      <c r="AK10630">
        <v>8.4469038664054192</v>
      </c>
      <c r="AL10630">
        <v>86.110189748441201</v>
      </c>
      <c r="AM10630">
        <v>68.535304732497806</v>
      </c>
      <c r="AN10630">
        <v>1.00000004762887</v>
      </c>
    </row>
    <row r="10631" spans="1:40" x14ac:dyDescent="0.25">
      <c r="A10631" t="str">
        <f>"20190312150927827"</f>
        <v>20190312150927827</v>
      </c>
      <c r="B10631" t="str">
        <f>"1552374567820100"</f>
        <v>1552374567820100</v>
      </c>
      <c r="C10631" t="s">
        <v>40</v>
      </c>
      <c r="D10631">
        <v>5.3064809999999998</v>
      </c>
      <c r="E10631">
        <v>0.59167130000000001</v>
      </c>
      <c r="F10631" t="s">
        <v>42</v>
      </c>
      <c r="G10631">
        <v>-169.74</v>
      </c>
      <c r="H10631" s="1">
        <v>-4.1759880000000002E-7</v>
      </c>
      <c r="I10631">
        <v>138.36279999999999</v>
      </c>
      <c r="J10631">
        <v>-177.767</v>
      </c>
      <c r="K10631">
        <v>1.0943039999999999</v>
      </c>
      <c r="L10631">
        <v>135.84880000000001</v>
      </c>
      <c r="M10631">
        <v>0.60558000000000001</v>
      </c>
      <c r="N10631">
        <v>0</v>
      </c>
      <c r="O10631">
        <v>0.79560180000000003</v>
      </c>
      <c r="P10631">
        <v>0.85124949999999999</v>
      </c>
      <c r="Q10631">
        <v>6.5121079999999998E-2</v>
      </c>
      <c r="R10631">
        <v>0.52070490000000003</v>
      </c>
      <c r="S10631">
        <v>2.9685820000000001</v>
      </c>
      <c r="T10631">
        <v>-0.39863310000000002</v>
      </c>
      <c r="U10631">
        <v>0.97235110000000002</v>
      </c>
      <c r="V10631">
        <v>0.3648419</v>
      </c>
      <c r="W10631">
        <v>6.6897760000000001E-2</v>
      </c>
      <c r="X10631">
        <v>0.92866300000000002</v>
      </c>
      <c r="Y10631">
        <v>0.55883959999999999</v>
      </c>
      <c r="Z10631">
        <v>-0.1244914</v>
      </c>
      <c r="AA10631">
        <v>0.819878199999999</v>
      </c>
      <c r="AB10631">
        <v>36</v>
      </c>
      <c r="AC10631">
        <v>8.0269999999999797</v>
      </c>
      <c r="AD10631">
        <v>-1.0943044175987999</v>
      </c>
      <c r="AE10631">
        <v>2.5139999999999798</v>
      </c>
      <c r="AF10631">
        <v>4.7836112758093901</v>
      </c>
      <c r="AG10631">
        <v>-1.0943044175987999</v>
      </c>
      <c r="AH10631">
        <v>6.74792144111791</v>
      </c>
      <c r="AI10631">
        <v>97.536379752337098</v>
      </c>
      <c r="AJ10631">
        <v>54.667117100515703</v>
      </c>
      <c r="AK10631">
        <v>8.34355336603811</v>
      </c>
      <c r="AL10631">
        <v>86.164175761533301</v>
      </c>
      <c r="AM10631">
        <v>68.551728812451103</v>
      </c>
      <c r="AN10631">
        <v>0.99999994492881195</v>
      </c>
    </row>
    <row r="10632" spans="1:40" x14ac:dyDescent="0.25">
      <c r="A10632" t="str">
        <f>"20190312150927839"</f>
        <v>20190312150927839</v>
      </c>
      <c r="B10632" t="str">
        <f>"1552374567829861"</f>
        <v>1552374567829861</v>
      </c>
      <c r="C10632" t="s">
        <v>40</v>
      </c>
      <c r="D10632">
        <v>5.4218520000000003</v>
      </c>
      <c r="E10632">
        <v>0.5914509</v>
      </c>
      <c r="F10632" t="s">
        <v>42</v>
      </c>
      <c r="G10632">
        <v>-169.4984</v>
      </c>
      <c r="H10632" s="1">
        <v>-4.8109069999999997E-7</v>
      </c>
      <c r="I10632">
        <v>138.47280000000001</v>
      </c>
      <c r="J10632">
        <v>-177.63650000000001</v>
      </c>
      <c r="K10632">
        <v>1.0941620000000001</v>
      </c>
      <c r="L10632">
        <v>136.00960000000001</v>
      </c>
      <c r="M10632">
        <v>0.61362430000000001</v>
      </c>
      <c r="N10632">
        <v>0</v>
      </c>
      <c r="O10632">
        <v>0.78941289999999997</v>
      </c>
      <c r="P10632">
        <v>0.85651290000000002</v>
      </c>
      <c r="Q10632">
        <v>6.4697299999999999E-2</v>
      </c>
      <c r="R10632">
        <v>0.51205480000000003</v>
      </c>
      <c r="S10632">
        <v>2.9765630000000001</v>
      </c>
      <c r="T10632">
        <v>-0.39393099999999998</v>
      </c>
      <c r="U10632">
        <v>0.94461059999999997</v>
      </c>
      <c r="V10632">
        <v>0.36485499999999998</v>
      </c>
      <c r="W10632">
        <v>6.6404859999999996E-2</v>
      </c>
      <c r="X10632">
        <v>0.92869330000000005</v>
      </c>
      <c r="Y10632">
        <v>0.55827090000000001</v>
      </c>
      <c r="Z10632">
        <v>-0.12258330000000001</v>
      </c>
      <c r="AA10632">
        <v>0.82055279999999997</v>
      </c>
      <c r="AB10632">
        <v>36</v>
      </c>
      <c r="AC10632">
        <v>8.1380999999999997</v>
      </c>
      <c r="AD10632">
        <v>-1.09416248109069</v>
      </c>
      <c r="AE10632">
        <v>2.4632000000000001</v>
      </c>
      <c r="AF10632">
        <v>4.83351935511359</v>
      </c>
      <c r="AG10632">
        <v>-1.09416248109069</v>
      </c>
      <c r="AH10632">
        <v>6.8261938043905301</v>
      </c>
      <c r="AI10632">
        <v>97.452825593416705</v>
      </c>
      <c r="AJ10632">
        <v>54.698296356348997</v>
      </c>
      <c r="AK10632">
        <v>8.4354622129663994</v>
      </c>
      <c r="AL10632">
        <v>86.192480043746599</v>
      </c>
      <c r="AM10632">
        <v>68.551664885695004</v>
      </c>
      <c r="AN10632">
        <v>1.0000000109607501</v>
      </c>
    </row>
    <row r="10633" spans="1:40" x14ac:dyDescent="0.25">
      <c r="A10633" t="str">
        <f>"20190312150927851"</f>
        <v>20190312150927851</v>
      </c>
      <c r="B10633" t="str">
        <f>"1552374567839621"</f>
        <v>1552374567839621</v>
      </c>
      <c r="C10633" t="s">
        <v>40</v>
      </c>
      <c r="D10633">
        <v>5.2634089999999896</v>
      </c>
      <c r="E10633">
        <v>0.591244199999999</v>
      </c>
      <c r="F10633" t="s">
        <v>42</v>
      </c>
      <c r="G10633">
        <v>-169.2543</v>
      </c>
      <c r="H10633" s="1">
        <v>-5.4619249999999996E-7</v>
      </c>
      <c r="I10633">
        <v>138.5805</v>
      </c>
      <c r="J10633">
        <v>-177.51849999999999</v>
      </c>
      <c r="K10633">
        <v>1.0940379999999901</v>
      </c>
      <c r="L10633">
        <v>136.15209999999999</v>
      </c>
      <c r="M10633">
        <v>0.62081189999999997</v>
      </c>
      <c r="N10633">
        <v>0</v>
      </c>
      <c r="O10633">
        <v>0.78377209999999997</v>
      </c>
      <c r="P10633">
        <v>0.86109439999999904</v>
      </c>
      <c r="Q10633">
        <v>6.4031050000000006E-2</v>
      </c>
      <c r="R10633">
        <v>0.50439750000000005</v>
      </c>
      <c r="S10633">
        <v>2.9847260000000002</v>
      </c>
      <c r="T10633">
        <v>-0.38960929999999999</v>
      </c>
      <c r="U10633">
        <v>0.91542049999999997</v>
      </c>
      <c r="V10633">
        <v>0.3646818</v>
      </c>
      <c r="W10633">
        <v>6.5689259999999999E-2</v>
      </c>
      <c r="X10633">
        <v>0.92881219999999998</v>
      </c>
      <c r="Y10633">
        <v>0.55889509999999998</v>
      </c>
      <c r="Z10633">
        <v>-0.12089660000000001</v>
      </c>
      <c r="AA10633">
        <v>0.82037819999999995</v>
      </c>
      <c r="AB10633">
        <v>36</v>
      </c>
      <c r="AC10633">
        <v>8.2641999999999793</v>
      </c>
      <c r="AD10633">
        <v>-1.09403854619249</v>
      </c>
      <c r="AE10633">
        <v>2.4284000000000101</v>
      </c>
      <c r="AF10633">
        <v>4.8914893074495502</v>
      </c>
      <c r="AG10633">
        <v>-1.09403854619249</v>
      </c>
      <c r="AH10633">
        <v>6.9231730935589804</v>
      </c>
      <c r="AI10633">
        <v>97.354050714391704</v>
      </c>
      <c r="AJ10633">
        <v>54.757317494656199</v>
      </c>
      <c r="AK10633">
        <v>8.5471582218201192</v>
      </c>
      <c r="AL10633">
        <v>86.233570577913</v>
      </c>
      <c r="AM10633">
        <v>68.563417726445806</v>
      </c>
      <c r="AN10633">
        <v>0.99999999849971299</v>
      </c>
    </row>
    <row r="10634" spans="1:40" x14ac:dyDescent="0.25">
      <c r="A10634" t="str">
        <f>"20190312150927862"</f>
        <v>20190312150927862</v>
      </c>
      <c r="B10634" t="str">
        <f>"1552374567849381"</f>
        <v>1552374567849381</v>
      </c>
      <c r="C10634" t="s">
        <v>40</v>
      </c>
      <c r="D10634">
        <v>5.2399170000000002</v>
      </c>
      <c r="E10634">
        <v>0.59106230000000004</v>
      </c>
      <c r="F10634" t="s">
        <v>42</v>
      </c>
      <c r="G10634">
        <v>-169.0497</v>
      </c>
      <c r="H10634" s="1">
        <v>-6.0072239999999997E-7</v>
      </c>
      <c r="I10634">
        <v>138.67080000000001</v>
      </c>
      <c r="J10634">
        <v>-177.40209999999999</v>
      </c>
      <c r="K10634">
        <v>1.09392</v>
      </c>
      <c r="L10634">
        <v>136.291</v>
      </c>
      <c r="M10634">
        <v>0.62784269999999998</v>
      </c>
      <c r="N10634">
        <v>0</v>
      </c>
      <c r="O10634">
        <v>0.77815040000000002</v>
      </c>
      <c r="P10634">
        <v>0.86543340000000002</v>
      </c>
      <c r="Q10634">
        <v>6.3414570000000003E-2</v>
      </c>
      <c r="R10634">
        <v>0.49699480000000001</v>
      </c>
      <c r="S10634">
        <v>2.9915310000000002</v>
      </c>
      <c r="T10634">
        <v>-0.38645889999999999</v>
      </c>
      <c r="U10634">
        <v>0.88970949999999904</v>
      </c>
      <c r="V10634">
        <v>0.36431419999999998</v>
      </c>
      <c r="W10634">
        <v>6.5034540000000002E-2</v>
      </c>
      <c r="X10634">
        <v>0.92900249999999995</v>
      </c>
      <c r="Y10634">
        <v>0.5586103</v>
      </c>
      <c r="Z10634">
        <v>-0.11952649999999999</v>
      </c>
      <c r="AA10634">
        <v>0.82077279999999997</v>
      </c>
      <c r="AB10634">
        <v>36</v>
      </c>
      <c r="AC10634">
        <v>8.3523999999999798</v>
      </c>
      <c r="AD10634">
        <v>-1.0939206007224</v>
      </c>
      <c r="AE10634">
        <v>2.3798000000000101</v>
      </c>
      <c r="AF10634">
        <v>4.9278409923373498</v>
      </c>
      <c r="AG10634">
        <v>-1.0939206007224</v>
      </c>
      <c r="AH10634">
        <v>6.9860480587028402</v>
      </c>
      <c r="AI10634">
        <v>97.291727012272602</v>
      </c>
      <c r="AJ10634">
        <v>54.801499461426602</v>
      </c>
      <c r="AK10634">
        <v>8.61888314139083</v>
      </c>
      <c r="AL10634">
        <v>86.271163614202095</v>
      </c>
      <c r="AM10634">
        <v>68.587057566562095</v>
      </c>
      <c r="AN10634">
        <v>0.99999998636044996</v>
      </c>
    </row>
    <row r="10635" spans="1:40" x14ac:dyDescent="0.25">
      <c r="A10635" t="str">
        <f>"20190312150927872"</f>
        <v>20190312150927872</v>
      </c>
      <c r="B10635" t="str">
        <f>"1552374567869876"</f>
        <v>1552374567869876</v>
      </c>
      <c r="C10635" t="s">
        <v>40</v>
      </c>
      <c r="D10635">
        <v>5.2426550000000001</v>
      </c>
      <c r="E10635">
        <v>0.59036429999999995</v>
      </c>
      <c r="F10635" t="s">
        <v>42</v>
      </c>
      <c r="G10635">
        <v>-168.8468</v>
      </c>
      <c r="H10635" s="1">
        <v>-6.7731519999999898E-7</v>
      </c>
      <c r="I10635">
        <v>138.76089999999999</v>
      </c>
      <c r="J10635">
        <v>-177.2955</v>
      </c>
      <c r="K10635">
        <v>1.0938209999999999</v>
      </c>
      <c r="L10635">
        <v>136.41470000000001</v>
      </c>
      <c r="M10635">
        <v>0.63419809999999999</v>
      </c>
      <c r="N10635">
        <v>0</v>
      </c>
      <c r="O10635">
        <v>0.77297859999999996</v>
      </c>
      <c r="P10635">
        <v>0.8694288</v>
      </c>
      <c r="Q10635">
        <v>6.2987639999999998E-2</v>
      </c>
      <c r="R10635">
        <v>0.49002679999999998</v>
      </c>
      <c r="S10635">
        <v>2.9975890000000001</v>
      </c>
      <c r="T10635">
        <v>-0.38328869999999998</v>
      </c>
      <c r="U10635">
        <v>0.86540219999999901</v>
      </c>
      <c r="V10635">
        <v>0.36418689999999998</v>
      </c>
      <c r="W10635">
        <v>6.4568689999999998E-2</v>
      </c>
      <c r="X10635">
        <v>0.92908489999999999</v>
      </c>
      <c r="Y10635">
        <v>0.55858430000000003</v>
      </c>
      <c r="Z10635">
        <v>-0.1182025</v>
      </c>
      <c r="AA10635">
        <v>0.82098209999999905</v>
      </c>
      <c r="AB10635">
        <v>36</v>
      </c>
      <c r="AC10635">
        <v>8.4487000000000005</v>
      </c>
      <c r="AD10635">
        <v>-1.0938216773152001</v>
      </c>
      <c r="AE10635">
        <v>2.3461999999999801</v>
      </c>
      <c r="AF10635">
        <v>4.9661763935387402</v>
      </c>
      <c r="AG10635">
        <v>-1.0938216773152001</v>
      </c>
      <c r="AH10635">
        <v>7.0628680422343999</v>
      </c>
      <c r="AI10635">
        <v>97.220156760687502</v>
      </c>
      <c r="AJ10635">
        <v>54.887460619555</v>
      </c>
      <c r="AK10635">
        <v>8.7030718034221799</v>
      </c>
      <c r="AL10635">
        <v>86.297911058588099</v>
      </c>
      <c r="AM10635">
        <v>68.595589298802693</v>
      </c>
      <c r="AN10635">
        <v>0.99999998263396706</v>
      </c>
    </row>
    <row r="10636" spans="1:40" x14ac:dyDescent="0.25">
      <c r="A10636" t="str">
        <f>"20190312150927883"</f>
        <v>20190312150927883</v>
      </c>
      <c r="B10636" t="str">
        <f>"1552374567879636"</f>
        <v>1552374567879636</v>
      </c>
      <c r="C10636" t="s">
        <v>40</v>
      </c>
      <c r="D10636">
        <v>5.2254519999999998</v>
      </c>
      <c r="E10636">
        <v>0.58998919999999999</v>
      </c>
      <c r="F10636" t="s">
        <v>42</v>
      </c>
      <c r="G10636">
        <v>-168.57419999999999</v>
      </c>
      <c r="H10636" s="1">
        <v>-7.8613950000000001E-7</v>
      </c>
      <c r="I10636">
        <v>138.87389999999999</v>
      </c>
      <c r="J10636">
        <v>-177.1815</v>
      </c>
      <c r="K10636">
        <v>1.0937140000000001</v>
      </c>
      <c r="L10636">
        <v>136.54640000000001</v>
      </c>
      <c r="M10636">
        <v>0.64094390000000001</v>
      </c>
      <c r="N10636">
        <v>0</v>
      </c>
      <c r="O10636">
        <v>0.7673934</v>
      </c>
      <c r="P10636">
        <v>0.87358289999999905</v>
      </c>
      <c r="Q10636">
        <v>6.2287130000000003E-2</v>
      </c>
      <c r="R10636">
        <v>0.48267320000000002</v>
      </c>
      <c r="S10636">
        <v>3.0009000000000001</v>
      </c>
      <c r="T10636">
        <v>-0.37637029999999999</v>
      </c>
      <c r="U10636">
        <v>0.84619140000000004</v>
      </c>
      <c r="V10636">
        <v>0.36391570000000001</v>
      </c>
      <c r="W10636">
        <v>6.3832559999999997E-2</v>
      </c>
      <c r="X10636">
        <v>0.92924209999999996</v>
      </c>
      <c r="Y10636">
        <v>0.55677219999999905</v>
      </c>
      <c r="Z10636">
        <v>-0.11565400000000001</v>
      </c>
      <c r="AA10636">
        <v>0.82257459999999905</v>
      </c>
      <c r="AB10636">
        <v>36</v>
      </c>
      <c r="AC10636">
        <v>8.6073000000000093</v>
      </c>
      <c r="AD10636">
        <v>-1.09371478613949</v>
      </c>
      <c r="AE10636">
        <v>2.3274999999999801</v>
      </c>
      <c r="AF10636">
        <v>5.0383434165113803</v>
      </c>
      <c r="AG10636">
        <v>-1.09371478613949</v>
      </c>
      <c r="AH10636">
        <v>7.1957260252484199</v>
      </c>
      <c r="AI10636">
        <v>97.097278441256407</v>
      </c>
      <c r="AJ10636">
        <v>55.0008451981356</v>
      </c>
      <c r="AK10636">
        <v>8.8520952009431699</v>
      </c>
      <c r="AL10636">
        <v>86.340175663686296</v>
      </c>
      <c r="AM10636">
        <v>68.613379513780004</v>
      </c>
      <c r="AN10636">
        <v>1.00000005641752</v>
      </c>
    </row>
    <row r="10637" spans="1:40" x14ac:dyDescent="0.25">
      <c r="A10637" t="str">
        <f>"20190312150927894"</f>
        <v>20190312150927894</v>
      </c>
      <c r="B10637" t="str">
        <f>"1552374567889396"</f>
        <v>1552374567889396</v>
      </c>
      <c r="C10637" t="s">
        <v>40</v>
      </c>
      <c r="D10637">
        <v>5.1774899999999997</v>
      </c>
      <c r="E10637">
        <v>0.58951900000000002</v>
      </c>
      <c r="F10637" t="s">
        <v>42</v>
      </c>
      <c r="G10637">
        <v>-168.42949999999999</v>
      </c>
      <c r="H10637" s="1">
        <v>-8.42135199999999E-7</v>
      </c>
      <c r="I10637">
        <v>138.94399999999999</v>
      </c>
      <c r="J10637">
        <v>-177.071</v>
      </c>
      <c r="K10637">
        <v>1.0936189999999999</v>
      </c>
      <c r="L10637">
        <v>136.67019999999999</v>
      </c>
      <c r="M10637">
        <v>0.64739630000000004</v>
      </c>
      <c r="N10637">
        <v>0</v>
      </c>
      <c r="O10637">
        <v>0.76195690000000005</v>
      </c>
      <c r="P10637">
        <v>0.87748219999999999</v>
      </c>
      <c r="Q10637">
        <v>6.1705719999999999E-2</v>
      </c>
      <c r="R10637">
        <v>0.47562320000000002</v>
      </c>
      <c r="S10637">
        <v>3.0059200000000001</v>
      </c>
      <c r="T10637">
        <v>-0.37564120000000001</v>
      </c>
      <c r="U10637">
        <v>0.82347109999999901</v>
      </c>
      <c r="V10637">
        <v>0.36358000000000001</v>
      </c>
      <c r="W10637">
        <v>6.3225340000000005E-2</v>
      </c>
      <c r="X10637">
        <v>0.92941490000000004</v>
      </c>
      <c r="Y10637">
        <v>0.5559788</v>
      </c>
      <c r="Z10637">
        <v>-0.1150248</v>
      </c>
      <c r="AA10637">
        <v>0.82319920000000002</v>
      </c>
      <c r="AB10637">
        <v>36</v>
      </c>
      <c r="AC10637">
        <v>8.6415000000000006</v>
      </c>
      <c r="AD10637">
        <v>-1.0936198421351999</v>
      </c>
      <c r="AE10637">
        <v>2.2737999999999898</v>
      </c>
      <c r="AF10637">
        <v>5.03770758767992</v>
      </c>
      <c r="AG10637">
        <v>-1.0936198421351999</v>
      </c>
      <c r="AH10637">
        <v>7.2199635213452904</v>
      </c>
      <c r="AI10637">
        <v>97.081108310596093</v>
      </c>
      <c r="AJ10637">
        <v>55.094708963905703</v>
      </c>
      <c r="AK10637">
        <v>8.8714359236617604</v>
      </c>
      <c r="AL10637">
        <v>86.375036869405207</v>
      </c>
      <c r="AM10637">
        <v>68.634942789924494</v>
      </c>
      <c r="AN10637">
        <v>0.99999995818006204</v>
      </c>
    </row>
    <row r="10638" spans="1:40" x14ac:dyDescent="0.25">
      <c r="A10638" t="str">
        <f>"20190312150927905"</f>
        <v>20190312150927905</v>
      </c>
      <c r="B10638" t="str">
        <f>"1552374567900132"</f>
        <v>1552374567900132</v>
      </c>
      <c r="C10638" t="s">
        <v>40</v>
      </c>
      <c r="D10638">
        <v>5.2497239999999996</v>
      </c>
      <c r="E10638">
        <v>0.58900759999999996</v>
      </c>
      <c r="F10638" t="s">
        <v>42</v>
      </c>
      <c r="G10638">
        <v>-168.34309999999999</v>
      </c>
      <c r="H10638" s="1">
        <v>-8.7363279999999996E-7</v>
      </c>
      <c r="I10638">
        <v>138.9965</v>
      </c>
      <c r="J10638">
        <v>-176.94759999999999</v>
      </c>
      <c r="K10638">
        <v>1.09351</v>
      </c>
      <c r="L10638">
        <v>136.80770000000001</v>
      </c>
      <c r="M10638">
        <v>0.65453280000000003</v>
      </c>
      <c r="N10638">
        <v>0</v>
      </c>
      <c r="O10638">
        <v>0.75583449999999996</v>
      </c>
      <c r="P10638">
        <v>0.88182769999999999</v>
      </c>
      <c r="Q10638">
        <v>6.1059330000000002E-2</v>
      </c>
      <c r="R10638">
        <v>0.46760220000000002</v>
      </c>
      <c r="S10638">
        <v>3.0104519999999999</v>
      </c>
      <c r="T10638">
        <v>-0.37721710000000003</v>
      </c>
      <c r="U10638">
        <v>0.80238339999999997</v>
      </c>
      <c r="V10638">
        <v>0.36333890000000002</v>
      </c>
      <c r="W10638">
        <v>6.2543860000000007E-2</v>
      </c>
      <c r="X10638">
        <v>0.92955540000000003</v>
      </c>
      <c r="Y10638">
        <v>0.55385419999999996</v>
      </c>
      <c r="Z10638">
        <v>-0.1149618</v>
      </c>
      <c r="AA10638">
        <v>0.82463899999999901</v>
      </c>
      <c r="AB10638">
        <v>35</v>
      </c>
      <c r="AC10638">
        <v>8.6044999999999998</v>
      </c>
      <c r="AD10638">
        <v>-1.0935108736328001</v>
      </c>
      <c r="AE10638">
        <v>2.1887999999999801</v>
      </c>
      <c r="AF10638">
        <v>4.9959156511474596</v>
      </c>
      <c r="AG10638">
        <v>-1.0935108736328001</v>
      </c>
      <c r="AH10638">
        <v>7.1785024173642897</v>
      </c>
      <c r="AI10638">
        <v>97.126811824708398</v>
      </c>
      <c r="AJ10638">
        <v>55.163814765488503</v>
      </c>
      <c r="AK10638">
        <v>8.8139568968902005</v>
      </c>
      <c r="AL10638">
        <v>86.414160620153595</v>
      </c>
      <c r="AM10638">
        <v>68.650771173227994</v>
      </c>
      <c r="AN10638">
        <v>1.0000000661730299</v>
      </c>
    </row>
    <row r="10639" spans="1:40" x14ac:dyDescent="0.25">
      <c r="A10639" t="str">
        <f>"20190312150927916"</f>
        <v>20190312150927916</v>
      </c>
      <c r="B10639" t="str">
        <f>"1552374567909893"</f>
        <v>1552374567909893</v>
      </c>
      <c r="C10639" t="s">
        <v>40</v>
      </c>
      <c r="D10639">
        <v>5.246175</v>
      </c>
      <c r="E10639">
        <v>0.58843800000000002</v>
      </c>
      <c r="F10639" t="s">
        <v>42</v>
      </c>
      <c r="G10639">
        <v>-168.19130000000001</v>
      </c>
      <c r="H10639" s="1">
        <v>-9.3290579999999997E-7</v>
      </c>
      <c r="I10639">
        <v>139.0668</v>
      </c>
      <c r="J10639">
        <v>-176.81809999999999</v>
      </c>
      <c r="K10639">
        <v>1.093407</v>
      </c>
      <c r="L10639">
        <v>136.9478</v>
      </c>
      <c r="M10639">
        <v>0.66192059999999997</v>
      </c>
      <c r="N10639">
        <v>0</v>
      </c>
      <c r="O10639">
        <v>0.74937209999999999</v>
      </c>
      <c r="P10639">
        <v>0.88623680000000005</v>
      </c>
      <c r="Q10639">
        <v>6.0713549999999998E-2</v>
      </c>
      <c r="R10639">
        <v>0.4592367</v>
      </c>
      <c r="S10639">
        <v>3.015549</v>
      </c>
      <c r="T10639">
        <v>-0.37659009999999998</v>
      </c>
      <c r="U10639">
        <v>0.77801509999999996</v>
      </c>
      <c r="V10639">
        <v>0.3630295</v>
      </c>
      <c r="W10639">
        <v>6.2170259999999998E-2</v>
      </c>
      <c r="X10639">
        <v>0.92970129999999995</v>
      </c>
      <c r="Y10639">
        <v>0.55235819999999902</v>
      </c>
      <c r="Z10639">
        <v>-0.1142357</v>
      </c>
      <c r="AA10639">
        <v>0.82574249999999905</v>
      </c>
      <c r="AB10639">
        <v>35</v>
      </c>
      <c r="AC10639">
        <v>8.6267999999999692</v>
      </c>
      <c r="AD10639">
        <v>-1.0934079329058</v>
      </c>
      <c r="AE10639">
        <v>2.1190000000000002</v>
      </c>
      <c r="AF10639">
        <v>4.9872805060325103</v>
      </c>
      <c r="AG10639">
        <v>-1.0934079329058</v>
      </c>
      <c r="AH10639">
        <v>7.1903443500671198</v>
      </c>
      <c r="AI10639">
        <v>97.122280666565203</v>
      </c>
      <c r="AJ10639">
        <v>55.254512898532198</v>
      </c>
      <c r="AK10639">
        <v>8.8187050991704794</v>
      </c>
      <c r="AL10639">
        <v>86.435607943020798</v>
      </c>
      <c r="AM10639">
        <v>68.670363189534498</v>
      </c>
      <c r="AN10639">
        <v>1.0000000331601999</v>
      </c>
    </row>
    <row r="10640" spans="1:40" x14ac:dyDescent="0.25">
      <c r="A10640" t="str">
        <f>"20190312150927928"</f>
        <v>20190312150927928</v>
      </c>
      <c r="B10640" t="str">
        <f>"1552374567919654"</f>
        <v>1552374567919654</v>
      </c>
      <c r="C10640" t="s">
        <v>40</v>
      </c>
      <c r="D10640">
        <v>5.1672149999999997</v>
      </c>
      <c r="E10640">
        <v>0.58775619999999995</v>
      </c>
      <c r="F10640" t="s">
        <v>42</v>
      </c>
      <c r="G10640">
        <v>-168.02359999999999</v>
      </c>
      <c r="H10640" s="1">
        <v>-9.9907439999999999E-7</v>
      </c>
      <c r="I10640">
        <v>139.14080000000001</v>
      </c>
      <c r="J10640">
        <v>-176.69739999999999</v>
      </c>
      <c r="K10640">
        <v>1.0933109999999999</v>
      </c>
      <c r="L10640">
        <v>137.07689999999999</v>
      </c>
      <c r="M10640">
        <v>0.668728199999999</v>
      </c>
      <c r="N10640">
        <v>0</v>
      </c>
      <c r="O10640">
        <v>0.74330249999999998</v>
      </c>
      <c r="P10640">
        <v>0.8904107</v>
      </c>
      <c r="Q10640">
        <v>6.032651E-2</v>
      </c>
      <c r="R10640">
        <v>0.45114270000000001</v>
      </c>
      <c r="S10640">
        <v>3.020508</v>
      </c>
      <c r="T10640">
        <v>-0.37553540000000002</v>
      </c>
      <c r="U10640">
        <v>0.75320430000000005</v>
      </c>
      <c r="V10640">
        <v>0.36303829999999998</v>
      </c>
      <c r="W10640">
        <v>6.1743840000000001E-2</v>
      </c>
      <c r="X10640">
        <v>0.92972619999999895</v>
      </c>
      <c r="Y10640">
        <v>0.55156090000000002</v>
      </c>
      <c r="Z10640">
        <v>-0.1134455</v>
      </c>
      <c r="AA10640">
        <v>0.82638409999999995</v>
      </c>
      <c r="AB10640">
        <v>35</v>
      </c>
      <c r="AC10640">
        <v>8.6738</v>
      </c>
      <c r="AD10640">
        <v>-1.0933119990744</v>
      </c>
      <c r="AE10640">
        <v>2.0639000000000101</v>
      </c>
      <c r="AF10640">
        <v>4.9927649537200498</v>
      </c>
      <c r="AG10640">
        <v>-1.0933119990744</v>
      </c>
      <c r="AH10640">
        <v>7.2269624151973897</v>
      </c>
      <c r="AI10640">
        <v>97.094995763593502</v>
      </c>
      <c r="AJ10640">
        <v>55.361247819620303</v>
      </c>
      <c r="AK10640">
        <v>8.8516675695086295</v>
      </c>
      <c r="AL10640">
        <v>86.460086771148099</v>
      </c>
      <c r="AM10640">
        <v>68.670412542381499</v>
      </c>
      <c r="AN10640">
        <v>0.99999995800563601</v>
      </c>
    </row>
    <row r="10641" spans="1:40" x14ac:dyDescent="0.25">
      <c r="A10641" t="str">
        <f>"20190312150927938"</f>
        <v>20190312150927938</v>
      </c>
      <c r="B10641" t="str">
        <f>"1552374567929413"</f>
        <v>1552374567929413</v>
      </c>
      <c r="C10641" t="s">
        <v>40</v>
      </c>
      <c r="D10641">
        <v>4.9338329999999999</v>
      </c>
      <c r="E10641">
        <v>0.58775619999999995</v>
      </c>
      <c r="F10641" t="s">
        <v>42</v>
      </c>
      <c r="G10641">
        <v>-167.88579999999999</v>
      </c>
      <c r="H10641" s="1">
        <v>-1.05291E-6</v>
      </c>
      <c r="I10641">
        <v>139.2045</v>
      </c>
      <c r="J10641">
        <v>-176.58090000000001</v>
      </c>
      <c r="K10641">
        <v>1.0932280000000001</v>
      </c>
      <c r="L10641">
        <v>137.1987</v>
      </c>
      <c r="M10641">
        <v>0.67521309999999901</v>
      </c>
      <c r="N10641">
        <v>0</v>
      </c>
      <c r="O10641">
        <v>0.73741569999999901</v>
      </c>
      <c r="P10641">
        <v>0.89441649999999995</v>
      </c>
      <c r="Q10641">
        <v>6.0266729999999998E-2</v>
      </c>
      <c r="R10641">
        <v>0.44315569999999999</v>
      </c>
      <c r="S10641">
        <v>3.0246119999999999</v>
      </c>
      <c r="T10641">
        <v>-0.37528339999999999</v>
      </c>
      <c r="U10641">
        <v>0.73033139999999996</v>
      </c>
      <c r="V10641">
        <v>0.36322890000000002</v>
      </c>
      <c r="W10641">
        <v>6.1641050000000003E-2</v>
      </c>
      <c r="X10641">
        <v>0.92965869999999995</v>
      </c>
      <c r="Y10641">
        <v>0.55048240000000004</v>
      </c>
      <c r="Z10641">
        <v>-0.11289730000000001</v>
      </c>
      <c r="AA10641">
        <v>0.82717790000000002</v>
      </c>
      <c r="AB10641">
        <v>35</v>
      </c>
      <c r="AC10641">
        <v>8.6951000000000196</v>
      </c>
      <c r="AD10641">
        <v>-1.0932290529099999</v>
      </c>
      <c r="AE10641">
        <v>2.00579999999999</v>
      </c>
      <c r="AF10641">
        <v>4.9835344779842199</v>
      </c>
      <c r="AG10641">
        <v>-1.0932290529099999</v>
      </c>
      <c r="AH10641">
        <v>7.2425713479814302</v>
      </c>
      <c r="AI10641">
        <v>97.088383562641894</v>
      </c>
      <c r="AJ10641">
        <v>55.468563128451599</v>
      </c>
      <c r="AK10641">
        <v>8.8592102010272598</v>
      </c>
      <c r="AL10641">
        <v>86.465987860466498</v>
      </c>
      <c r="AM10641">
        <v>68.658811205270396</v>
      </c>
      <c r="AN10641">
        <v>1.0000000756629901</v>
      </c>
    </row>
    <row r="10642" spans="1:40" x14ac:dyDescent="0.25">
      <c r="A10642" t="str">
        <f>"20190312150927948"</f>
        <v>20190312150927948</v>
      </c>
      <c r="B10642" t="str">
        <f>"1552374567940149"</f>
        <v>1552374567940149</v>
      </c>
      <c r="C10642" t="s">
        <v>40</v>
      </c>
      <c r="D10642">
        <v>4.5866210000000001</v>
      </c>
      <c r="E10642">
        <v>0.56641189999999997</v>
      </c>
      <c r="F10642" t="s">
        <v>42</v>
      </c>
      <c r="G10642">
        <v>-167.75059999999999</v>
      </c>
      <c r="H10642" s="1">
        <v>-1.1092750000000001E-6</v>
      </c>
      <c r="I10642">
        <v>139.24700000000001</v>
      </c>
      <c r="J10642">
        <v>-176.46430000000001</v>
      </c>
      <c r="K10642">
        <v>1.0931489999999999</v>
      </c>
      <c r="L10642">
        <v>137.31890000000001</v>
      </c>
      <c r="M10642">
        <v>0.68162959999999995</v>
      </c>
      <c r="N10642">
        <v>0</v>
      </c>
      <c r="O10642">
        <v>0.73148780000000002</v>
      </c>
      <c r="P10642">
        <v>0.89819799999999905</v>
      </c>
      <c r="Q10642">
        <v>6.0194749999999998E-2</v>
      </c>
      <c r="R10642">
        <v>0.43545030000000001</v>
      </c>
      <c r="S10642">
        <v>3.0310670000000002</v>
      </c>
      <c r="T10642">
        <v>-0.37525950000000002</v>
      </c>
      <c r="U10642">
        <v>0.70310969999999995</v>
      </c>
      <c r="V10642">
        <v>0.36311169999999998</v>
      </c>
      <c r="W10642">
        <v>6.1542520000000003E-2</v>
      </c>
      <c r="X10642">
        <v>0.92971090000000001</v>
      </c>
      <c r="Y10642">
        <v>0.55068680000000003</v>
      </c>
      <c r="Z10642">
        <v>-0.112425</v>
      </c>
      <c r="AA10642">
        <v>0.82710620000000001</v>
      </c>
      <c r="AB10642">
        <v>35</v>
      </c>
      <c r="AC10642">
        <v>8.71370000000001</v>
      </c>
      <c r="AD10642">
        <v>-1.093150109275</v>
      </c>
      <c r="AE10642">
        <v>1.9280999999999999</v>
      </c>
      <c r="AF10642">
        <v>4.98568809544307</v>
      </c>
      <c r="AG10642">
        <v>-1.093150109275</v>
      </c>
      <c r="AH10642">
        <v>7.24236341444223</v>
      </c>
      <c r="AI10642">
        <v>97.0870393237538</v>
      </c>
      <c r="AJ10642">
        <v>55.456233758485297</v>
      </c>
      <c r="AK10642">
        <v>8.8602421396540905</v>
      </c>
      <c r="AL10642">
        <v>86.471643589067696</v>
      </c>
      <c r="AM10642">
        <v>68.666168192376901</v>
      </c>
      <c r="AN10642">
        <v>0.99999997301182397</v>
      </c>
    </row>
    <row r="10643" spans="1:40" x14ac:dyDescent="0.25">
      <c r="A10643" t="str">
        <f>"20190312150927959"</f>
        <v>20190312150927959</v>
      </c>
      <c r="B10643" t="str">
        <f>"1552374567949909"</f>
        <v>1552374567949909</v>
      </c>
      <c r="C10643" t="s">
        <v>40</v>
      </c>
      <c r="D10643">
        <v>4.9752749999999999</v>
      </c>
      <c r="E10643">
        <v>0.56664700000000001</v>
      </c>
      <c r="F10643" t="s">
        <v>42</v>
      </c>
      <c r="G10643">
        <v>-163.39529999999999</v>
      </c>
      <c r="H10643" s="1">
        <v>-3.467888E-6</v>
      </c>
      <c r="I10643">
        <v>140.98939999999999</v>
      </c>
      <c r="J10643">
        <v>-176.34</v>
      </c>
      <c r="K10643">
        <v>1.093075</v>
      </c>
      <c r="L10643">
        <v>137.44460000000001</v>
      </c>
      <c r="M10643">
        <v>0.68838710000000003</v>
      </c>
      <c r="N10643">
        <v>0</v>
      </c>
      <c r="O10643">
        <v>0.72513119999999998</v>
      </c>
      <c r="P10643">
        <v>0.90206359999999997</v>
      </c>
      <c r="Q10643">
        <v>5.9975500000000001E-2</v>
      </c>
      <c r="R10643">
        <v>0.42741600000000002</v>
      </c>
      <c r="S10643">
        <v>2.9543300000000001</v>
      </c>
      <c r="T10643">
        <v>-0.247114</v>
      </c>
      <c r="U10643">
        <v>0.82974239999999999</v>
      </c>
      <c r="V10643">
        <v>0.3627977</v>
      </c>
      <c r="W10643">
        <v>6.1306449999999998E-2</v>
      </c>
      <c r="X10643">
        <v>0.92984909999999998</v>
      </c>
      <c r="Y10643">
        <v>0.50867709999999999</v>
      </c>
      <c r="Z10643">
        <v>-7.3411190000000001E-2</v>
      </c>
      <c r="AA10643">
        <v>0.85782190000000003</v>
      </c>
      <c r="AB10643">
        <v>35</v>
      </c>
      <c r="AC10643">
        <v>12.944699999999999</v>
      </c>
      <c r="AD10643">
        <v>-1.0930784678879999</v>
      </c>
      <c r="AE10643">
        <v>3.54479999999998</v>
      </c>
      <c r="AF10643">
        <v>6.9017015843126401</v>
      </c>
      <c r="AG10643">
        <v>-1.0930784678879999</v>
      </c>
      <c r="AH10643">
        <v>11.4075109788535</v>
      </c>
      <c r="AI10643">
        <v>94.686848379986301</v>
      </c>
      <c r="AJ10643">
        <v>58.825482916922297</v>
      </c>
      <c r="AK10643">
        <v>13.3775787057497</v>
      </c>
      <c r="AL10643">
        <v>86.485195089019399</v>
      </c>
      <c r="AM10643">
        <v>68.685843960890296</v>
      </c>
      <c r="AN10643">
        <v>1.0000000003538501</v>
      </c>
    </row>
    <row r="10644" spans="1:40" x14ac:dyDescent="0.25">
      <c r="A10644" t="str">
        <f>"20190312150927970"</f>
        <v>20190312150927970</v>
      </c>
      <c r="B10644" t="str">
        <f>"1552374567959669"</f>
        <v>1552374567959669</v>
      </c>
      <c r="C10644" t="s">
        <v>40</v>
      </c>
      <c r="D10644">
        <v>4.9482150000000003</v>
      </c>
      <c r="E10644">
        <v>0.56542029999999999</v>
      </c>
      <c r="F10644" t="s">
        <v>42</v>
      </c>
      <c r="G10644">
        <v>-161.96549999999999</v>
      </c>
      <c r="H10644" s="1">
        <v>-4.2357559999999998E-6</v>
      </c>
      <c r="I10644">
        <v>141.33510000000001</v>
      </c>
      <c r="J10644">
        <v>-176.22299999999899</v>
      </c>
      <c r="K10644">
        <v>1.0930029999999999</v>
      </c>
      <c r="L10644">
        <v>137.5608</v>
      </c>
      <c r="M10644">
        <v>0.6946599</v>
      </c>
      <c r="N10644">
        <v>0</v>
      </c>
      <c r="O10644">
        <v>0.71912349999999903</v>
      </c>
      <c r="P10644">
        <v>0.90558640000000001</v>
      </c>
      <c r="Q10644">
        <v>6.0241959999999997E-2</v>
      </c>
      <c r="R10644">
        <v>0.41986230000000002</v>
      </c>
      <c r="S10644">
        <v>2.9609679999999998</v>
      </c>
      <c r="T10644">
        <v>-0.22516140000000001</v>
      </c>
      <c r="U10644">
        <v>0.80139159999999998</v>
      </c>
      <c r="V10644">
        <v>0.36250110000000002</v>
      </c>
      <c r="W10644">
        <v>6.1559179999999998E-2</v>
      </c>
      <c r="X10644">
        <v>0.92994810000000006</v>
      </c>
      <c r="Y10644">
        <v>0.5099281</v>
      </c>
      <c r="Z10644">
        <v>-6.6663299999999995E-2</v>
      </c>
      <c r="AA10644">
        <v>0.85763009999999995</v>
      </c>
      <c r="AB10644">
        <v>35</v>
      </c>
      <c r="AC10644">
        <v>14.257499999999901</v>
      </c>
      <c r="AD10644">
        <v>-1.0930072357559999</v>
      </c>
      <c r="AE10644">
        <v>3.77430000000001</v>
      </c>
      <c r="AF10644">
        <v>7.5905392729236896</v>
      </c>
      <c r="AG10644">
        <v>-1.0930072357559999</v>
      </c>
      <c r="AH10644">
        <v>12.5513175157493</v>
      </c>
      <c r="AI10644">
        <v>94.2615856074611</v>
      </c>
      <c r="AJ10644">
        <v>58.836114280126203</v>
      </c>
      <c r="AK10644">
        <v>14.708722672359</v>
      </c>
      <c r="AL10644">
        <v>86.470687409706002</v>
      </c>
      <c r="AM10644">
        <v>68.703771298403396</v>
      </c>
      <c r="AN10644">
        <v>1.0000000244185401</v>
      </c>
    </row>
    <row r="10645" spans="1:40" x14ac:dyDescent="0.25">
      <c r="A10645" t="str">
        <f>"20190312150927982"</f>
        <v>20190312150927982</v>
      </c>
      <c r="B10645" t="str">
        <f>"1552374567969429"</f>
        <v>1552374567969429</v>
      </c>
      <c r="C10645" t="s">
        <v>40</v>
      </c>
      <c r="D10645">
        <v>4.8748019999999999</v>
      </c>
      <c r="E10645">
        <v>0.5657529</v>
      </c>
      <c r="F10645" t="s">
        <v>42</v>
      </c>
      <c r="G10645">
        <v>-160.97030000000001</v>
      </c>
      <c r="H10645" s="1">
        <v>-4.6913450000000001E-6</v>
      </c>
      <c r="I10645">
        <v>141.6046</v>
      </c>
      <c r="J10645">
        <v>-176.08770000000001</v>
      </c>
      <c r="K10645">
        <v>1.09292099999999</v>
      </c>
      <c r="L10645">
        <v>137.69299999999899</v>
      </c>
      <c r="M10645">
        <v>0.70182480000000003</v>
      </c>
      <c r="N10645">
        <v>0</v>
      </c>
      <c r="O10645">
        <v>0.71213159999999998</v>
      </c>
      <c r="P10645">
        <v>0.90965839999999998</v>
      </c>
      <c r="Q10645">
        <v>6.0682630000000001E-2</v>
      </c>
      <c r="R10645">
        <v>0.41090080000000001</v>
      </c>
      <c r="S10645">
        <v>2.962723</v>
      </c>
      <c r="T10645">
        <v>-0.21230859999999999</v>
      </c>
      <c r="U10645">
        <v>0.78547670000000003</v>
      </c>
      <c r="V10645">
        <v>0.36238169999999997</v>
      </c>
      <c r="W10645">
        <v>6.1974679999999997E-2</v>
      </c>
      <c r="X10645">
        <v>0.92996699999999999</v>
      </c>
      <c r="Y10645">
        <v>0.50607570000000002</v>
      </c>
      <c r="Z10645">
        <v>-6.2455139999999999E-2</v>
      </c>
      <c r="AA10645">
        <v>0.86022480000000001</v>
      </c>
      <c r="AB10645">
        <v>35</v>
      </c>
      <c r="AC10645">
        <v>15.1174</v>
      </c>
      <c r="AD10645">
        <v>-1.0929256913449901</v>
      </c>
      <c r="AE10645">
        <v>3.9116000000000199</v>
      </c>
      <c r="AF10645">
        <v>7.9824620873988099</v>
      </c>
      <c r="AG10645">
        <v>-1.0929256913449901</v>
      </c>
      <c r="AH10645">
        <v>13.3321102463026</v>
      </c>
      <c r="AI10645">
        <v>94.023200693463195</v>
      </c>
      <c r="AJ10645">
        <v>59.0893735517406</v>
      </c>
      <c r="AK10645">
        <v>15.577527119640299</v>
      </c>
      <c r="AL10645">
        <v>86.446835345802498</v>
      </c>
      <c r="AM10645">
        <v>68.710551598302402</v>
      </c>
      <c r="AN10645">
        <v>0.999999989272496</v>
      </c>
    </row>
    <row r="10646" spans="1:40" x14ac:dyDescent="0.25">
      <c r="A10646" t="str">
        <f>"20190312150927995"</f>
        <v>20190312150927995</v>
      </c>
      <c r="B10646" t="str">
        <f>"1552374567989925"</f>
        <v>1552374567989925</v>
      </c>
      <c r="C10646" t="s">
        <v>40</v>
      </c>
      <c r="D10646">
        <v>5.0552530000000004</v>
      </c>
      <c r="E10646">
        <v>0.59973790000000005</v>
      </c>
      <c r="F10646" t="s">
        <v>42</v>
      </c>
      <c r="G10646">
        <v>-159.72970000000001</v>
      </c>
      <c r="H10646" s="1">
        <v>-6.9132889999999996E-7</v>
      </c>
      <c r="I10646">
        <v>141.845</v>
      </c>
      <c r="J10646">
        <v>-175.9357</v>
      </c>
      <c r="K10646">
        <v>1.0928389999999999</v>
      </c>
      <c r="L10646">
        <v>137.83770000000001</v>
      </c>
      <c r="M10646">
        <v>0.70973940000000002</v>
      </c>
      <c r="N10646">
        <v>0</v>
      </c>
      <c r="O10646">
        <v>0.70424290000000001</v>
      </c>
      <c r="P10646">
        <v>0.91420100000000004</v>
      </c>
      <c r="Q10646">
        <v>6.0800420000000001E-2</v>
      </c>
      <c r="R10646">
        <v>0.40067419999999998</v>
      </c>
      <c r="S10646">
        <v>2.970596</v>
      </c>
      <c r="T10646">
        <v>-0.19847239999999999</v>
      </c>
      <c r="U10646">
        <v>0.75399780000000005</v>
      </c>
      <c r="V10646">
        <v>0.36242999999999997</v>
      </c>
      <c r="W10646">
        <v>6.2059379999999997E-2</v>
      </c>
      <c r="X10646">
        <v>0.92994250000000001</v>
      </c>
      <c r="Y10646">
        <v>0.50588270000000002</v>
      </c>
      <c r="Z10646">
        <v>-5.8025199999999902E-2</v>
      </c>
      <c r="AA10646">
        <v>0.86064839999999998</v>
      </c>
      <c r="AB10646">
        <v>35</v>
      </c>
      <c r="AC10646">
        <v>16.2059999999999</v>
      </c>
      <c r="AD10646">
        <v>-1.09283969132889</v>
      </c>
      <c r="AE10646">
        <v>4.0072999999999803</v>
      </c>
      <c r="AF10646">
        <v>8.5335889767178799</v>
      </c>
      <c r="AG10646">
        <v>-1.09283969132889</v>
      </c>
      <c r="AH10646">
        <v>14.2652521187205</v>
      </c>
      <c r="AI10646">
        <v>93.761393332144195</v>
      </c>
      <c r="AJ10646">
        <v>59.111795704432502</v>
      </c>
      <c r="AK10646">
        <v>16.658747174537599</v>
      </c>
      <c r="AL10646">
        <v>86.441972938074301</v>
      </c>
      <c r="AM10646">
        <v>68.707457427744501</v>
      </c>
      <c r="AN10646">
        <v>0.999999962426116</v>
      </c>
    </row>
    <row r="10647" spans="1:40" x14ac:dyDescent="0.25">
      <c r="A10647" t="str">
        <f>"20190312150928013"</f>
        <v>20190312150928013</v>
      </c>
      <c r="B10647" t="str">
        <f>"1552374567999684"</f>
        <v>1552374567999684</v>
      </c>
      <c r="C10647" t="s">
        <v>40</v>
      </c>
      <c r="D10647">
        <v>5.2932980000000001</v>
      </c>
      <c r="E10647">
        <v>0.60571209999999998</v>
      </c>
      <c r="F10647" t="s">
        <v>42</v>
      </c>
      <c r="G10647">
        <v>-163.9401</v>
      </c>
      <c r="H10647" s="1">
        <v>-2.858989E-6</v>
      </c>
      <c r="I10647">
        <v>139.6687</v>
      </c>
      <c r="J10647">
        <v>-175.72649999999999</v>
      </c>
      <c r="K10647">
        <v>1.0927279999999999</v>
      </c>
      <c r="L10647">
        <v>138.03229999999999</v>
      </c>
      <c r="M10647">
        <v>0.72042709999999999</v>
      </c>
      <c r="N10647">
        <v>0</v>
      </c>
      <c r="O10647">
        <v>0.69330439999999904</v>
      </c>
      <c r="P10647">
        <v>0.92017450000000001</v>
      </c>
      <c r="Q10647">
        <v>6.0909730000000002E-2</v>
      </c>
      <c r="R10647">
        <v>0.38674150000000002</v>
      </c>
      <c r="S10647">
        <v>3.0933380000000001</v>
      </c>
      <c r="T10647">
        <v>-0.28181279999999997</v>
      </c>
      <c r="U10647">
        <v>0.47216799999999998</v>
      </c>
      <c r="V10647">
        <v>0.36234939999999999</v>
      </c>
      <c r="W10647">
        <v>6.2133149999999998E-2</v>
      </c>
      <c r="X10647">
        <v>0.92996900000000005</v>
      </c>
      <c r="Y10647">
        <v>0.5722083</v>
      </c>
      <c r="Z10647">
        <v>-8.2667229999999994E-2</v>
      </c>
      <c r="AA10647">
        <v>0.81593119999999997</v>
      </c>
      <c r="AB10647">
        <v>35</v>
      </c>
      <c r="AC10647">
        <v>11.786399999999899</v>
      </c>
      <c r="AD10647">
        <v>-1.0927308589889999</v>
      </c>
      <c r="AE10647">
        <v>1.6364000000000001</v>
      </c>
      <c r="AF10647">
        <v>6.9352696829036304</v>
      </c>
      <c r="AG10647">
        <v>-1.0927308589889999</v>
      </c>
      <c r="AH10647">
        <v>9.5467698536567198</v>
      </c>
      <c r="AI10647">
        <v>95.290769903474597</v>
      </c>
      <c r="AJ10647">
        <v>54.003396455118903</v>
      </c>
      <c r="AK10647">
        <v>11.8504363186963</v>
      </c>
      <c r="AL10647">
        <v>86.437738112914303</v>
      </c>
      <c r="AM10647">
        <v>68.712320984458799</v>
      </c>
      <c r="AN10647">
        <v>0.99999997848514099</v>
      </c>
    </row>
    <row r="10648" spans="1:40" x14ac:dyDescent="0.25">
      <c r="A10648" t="str">
        <f>"20190312150928028"</f>
        <v>20190312150928028</v>
      </c>
      <c r="B10648" t="str">
        <f>"1552374568020181"</f>
        <v>1552374568020181</v>
      </c>
      <c r="C10648" t="s">
        <v>40</v>
      </c>
      <c r="D10648">
        <v>5.0837409999999998</v>
      </c>
      <c r="E10648">
        <v>0.60999340000000002</v>
      </c>
      <c r="F10648" t="s">
        <v>42</v>
      </c>
      <c r="G10648">
        <v>-159.5325</v>
      </c>
      <c r="H10648" s="1">
        <v>-2.8914790000000002E-7</v>
      </c>
      <c r="I10648">
        <v>140.01560000000001</v>
      </c>
      <c r="J10648">
        <v>-175.54140000000001</v>
      </c>
      <c r="K10648">
        <v>1.0926370000000001</v>
      </c>
      <c r="L10648">
        <v>138.19990000000001</v>
      </c>
      <c r="M10648">
        <v>0.72968420000000001</v>
      </c>
      <c r="N10648">
        <v>0</v>
      </c>
      <c r="O10648">
        <v>0.68355359999999998</v>
      </c>
      <c r="P10648">
        <v>0.92512519999999998</v>
      </c>
      <c r="Q10648">
        <v>6.0760840000000003E-2</v>
      </c>
      <c r="R10648">
        <v>0.37476860000000001</v>
      </c>
      <c r="S10648">
        <v>3.1138759999999999</v>
      </c>
      <c r="T10648">
        <v>-0.21011569999999999</v>
      </c>
      <c r="U10648">
        <v>0.3813629</v>
      </c>
      <c r="V10648">
        <v>0.36192639999999998</v>
      </c>
      <c r="W10648">
        <v>6.1974189999999998E-2</v>
      </c>
      <c r="X10648">
        <v>0.93014430000000003</v>
      </c>
      <c r="Y10648">
        <v>0.58732130000000005</v>
      </c>
      <c r="Z10648">
        <v>-6.1583499999999999E-2</v>
      </c>
      <c r="AA10648">
        <v>0.80700760000000005</v>
      </c>
      <c r="AB10648">
        <v>35</v>
      </c>
      <c r="AC10648">
        <v>16.008900000000001</v>
      </c>
      <c r="AD10648">
        <v>-1.0926372891478999</v>
      </c>
      <c r="AE10648">
        <v>1.8156999999999901</v>
      </c>
      <c r="AF10648">
        <v>9.5755316088049405</v>
      </c>
      <c r="AG10648">
        <v>-1.0926372891478999</v>
      </c>
      <c r="AH10648">
        <v>12.8654381726474</v>
      </c>
      <c r="AI10648">
        <v>93.897479877386004</v>
      </c>
      <c r="AJ10648">
        <v>53.340303217779599</v>
      </c>
      <c r="AK10648">
        <v>16.074954469953301</v>
      </c>
      <c r="AL10648">
        <v>86.446863402799394</v>
      </c>
      <c r="AM10648">
        <v>68.738600434790797</v>
      </c>
      <c r="AN10648">
        <v>0.99999996903280197</v>
      </c>
    </row>
    <row r="10649" spans="1:40" x14ac:dyDescent="0.25">
      <c r="A10649" t="str">
        <f>"20190312150928041"</f>
        <v>20190312150928041</v>
      </c>
      <c r="B10649" t="str">
        <f>"1552374568029941"</f>
        <v>1552374568029941</v>
      </c>
      <c r="C10649" t="s">
        <v>40</v>
      </c>
      <c r="D10649">
        <v>5.1109819999999999</v>
      </c>
      <c r="E10649">
        <v>0.61056449999999995</v>
      </c>
      <c r="F10649" t="s">
        <v>42</v>
      </c>
      <c r="G10649">
        <v>-161.74510000000001</v>
      </c>
      <c r="H10649" s="1">
        <v>-3.8925310000000002E-6</v>
      </c>
      <c r="I10649">
        <v>139.56030000000001</v>
      </c>
      <c r="J10649">
        <v>-175.3776</v>
      </c>
      <c r="K10649">
        <v>1.092563</v>
      </c>
      <c r="L10649">
        <v>138.34450000000001</v>
      </c>
      <c r="M10649">
        <v>0.73771759999999997</v>
      </c>
      <c r="N10649">
        <v>0</v>
      </c>
      <c r="O10649">
        <v>0.67487469999999905</v>
      </c>
      <c r="P10649">
        <v>0.92930809999999997</v>
      </c>
      <c r="Q10649">
        <v>6.0835409999999999E-2</v>
      </c>
      <c r="R10649">
        <v>0.36426049999999999</v>
      </c>
      <c r="S10649">
        <v>3.1339109999999999</v>
      </c>
      <c r="T10649">
        <v>-0.24820049999999999</v>
      </c>
      <c r="U10649">
        <v>0.30902099999999999</v>
      </c>
      <c r="V10649">
        <v>0.36147760000000001</v>
      </c>
      <c r="W10649">
        <v>6.2046520000000001E-2</v>
      </c>
      <c r="X10649">
        <v>0.93031399999999997</v>
      </c>
      <c r="Y10649">
        <v>0.5957578</v>
      </c>
      <c r="Z10649">
        <v>-7.2298909999999994E-2</v>
      </c>
      <c r="AA10649">
        <v>0.79990349999999999</v>
      </c>
      <c r="AB10649">
        <v>35</v>
      </c>
      <c r="AC10649">
        <v>13.632499999999901</v>
      </c>
      <c r="AD10649">
        <v>-1.0925668925309999</v>
      </c>
      <c r="AE10649">
        <v>1.2158</v>
      </c>
      <c r="AF10649">
        <v>8.2520426990528399</v>
      </c>
      <c r="AG10649">
        <v>-1.0925668925309999</v>
      </c>
      <c r="AH10649">
        <v>10.8102840071088</v>
      </c>
      <c r="AI10649">
        <v>94.593057546804403</v>
      </c>
      <c r="AJ10649">
        <v>52.643654334809398</v>
      </c>
      <c r="AK10649">
        <v>13.6437586989802</v>
      </c>
      <c r="AL10649">
        <v>86.442711255216494</v>
      </c>
      <c r="AM10649">
        <v>68.766143444469293</v>
      </c>
      <c r="AN10649">
        <v>0.99999998227093501</v>
      </c>
    </row>
    <row r="10650" spans="1:40" x14ac:dyDescent="0.25">
      <c r="A10650" t="str">
        <f>"20190312150928054"</f>
        <v>20190312150928054</v>
      </c>
      <c r="B10650" t="str">
        <f>"1552374568049461"</f>
        <v>1552374568049461</v>
      </c>
      <c r="C10650" t="s">
        <v>40</v>
      </c>
      <c r="D10650">
        <v>5.0576359999999996</v>
      </c>
      <c r="E10650">
        <v>0.610286</v>
      </c>
      <c r="F10650" t="s">
        <v>42</v>
      </c>
      <c r="G10650">
        <v>-161.9666</v>
      </c>
      <c r="H10650" s="1">
        <v>-3.7996940000000001E-6</v>
      </c>
      <c r="I10650">
        <v>139.49369999999999</v>
      </c>
      <c r="J10650">
        <v>-175.23439999999999</v>
      </c>
      <c r="K10650">
        <v>1.092506</v>
      </c>
      <c r="L10650">
        <v>138.4674</v>
      </c>
      <c r="M10650">
        <v>0.74460609999999905</v>
      </c>
      <c r="N10650">
        <v>0</v>
      </c>
      <c r="O10650">
        <v>0.66726580000000002</v>
      </c>
      <c r="P10650">
        <v>0.93280790000000002</v>
      </c>
      <c r="Q10650">
        <v>6.0589749999999998E-2</v>
      </c>
      <c r="R10650">
        <v>0.35524430000000001</v>
      </c>
      <c r="S10650">
        <v>3.1395110000000002</v>
      </c>
      <c r="T10650">
        <v>-0.25576959999999999</v>
      </c>
      <c r="U10650">
        <v>0.26901249999999999</v>
      </c>
      <c r="V10650">
        <v>0.36094619999999999</v>
      </c>
      <c r="W10650">
        <v>6.1809040000000003E-2</v>
      </c>
      <c r="X10650">
        <v>0.93053620000000004</v>
      </c>
      <c r="Y10650">
        <v>0.59757349999999998</v>
      </c>
      <c r="Z10650">
        <v>-7.4097220000000005E-2</v>
      </c>
      <c r="AA10650">
        <v>0.79838310000000001</v>
      </c>
      <c r="AB10650">
        <v>35</v>
      </c>
      <c r="AC10650">
        <v>13.2677999999999</v>
      </c>
      <c r="AD10650">
        <v>-1.0925097996940001</v>
      </c>
      <c r="AE10650">
        <v>1.02629999999999</v>
      </c>
      <c r="AF10650">
        <v>8.0360833626941393</v>
      </c>
      <c r="AG10650">
        <v>-1.0925097996940001</v>
      </c>
      <c r="AH10650">
        <v>10.4950434289849</v>
      </c>
      <c r="AI10650">
        <v>94.724816854887607</v>
      </c>
      <c r="AJ10650">
        <v>52.558620929105402</v>
      </c>
      <c r="AK10650">
        <v>13.263413966655699</v>
      </c>
      <c r="AL10650">
        <v>86.456344328086104</v>
      </c>
      <c r="AM10650">
        <v>68.799197473631096</v>
      </c>
      <c r="AN10650">
        <v>1.0000000681152901</v>
      </c>
    </row>
    <row r="10651" spans="1:40" x14ac:dyDescent="0.25">
      <c r="A10651" t="str">
        <f>"20190312150928068"</f>
        <v>20190312150928068</v>
      </c>
      <c r="B10651" t="str">
        <f>"1552374568060197"</f>
        <v>1552374568060197</v>
      </c>
      <c r="C10651" t="s">
        <v>40</v>
      </c>
      <c r="D10651">
        <v>5.1039690000000002</v>
      </c>
      <c r="E10651">
        <v>0.61062139999999998</v>
      </c>
      <c r="F10651" t="s">
        <v>42</v>
      </c>
      <c r="G10651">
        <v>-161.8768</v>
      </c>
      <c r="H10651" s="1">
        <v>-3.842857E-6</v>
      </c>
      <c r="I10651">
        <v>139.4896</v>
      </c>
      <c r="J10651">
        <v>-175.0566</v>
      </c>
      <c r="K10651">
        <v>1.0924320000000001</v>
      </c>
      <c r="L10651">
        <v>138.6174</v>
      </c>
      <c r="M10651">
        <v>0.75301209999999996</v>
      </c>
      <c r="N10651">
        <v>0</v>
      </c>
      <c r="O10651">
        <v>0.65776389999999996</v>
      </c>
      <c r="P10651">
        <v>0.93689940000000005</v>
      </c>
      <c r="Q10651">
        <v>6.0656630000000003E-2</v>
      </c>
      <c r="R10651">
        <v>0.34429739999999998</v>
      </c>
      <c r="S10651">
        <v>3.141235</v>
      </c>
      <c r="T10651">
        <v>-0.25691950000000002</v>
      </c>
      <c r="U10651">
        <v>0.24038699999999999</v>
      </c>
      <c r="V10651">
        <v>0.36004649999999999</v>
      </c>
      <c r="W10651">
        <v>6.1899000000000003E-2</v>
      </c>
      <c r="X10651">
        <v>0.9308786</v>
      </c>
      <c r="Y10651">
        <v>0.59468449999999995</v>
      </c>
      <c r="Z10651">
        <v>-7.3775640000000003E-2</v>
      </c>
      <c r="AA10651">
        <v>0.80056700000000003</v>
      </c>
      <c r="AB10651">
        <v>35</v>
      </c>
      <c r="AC10651">
        <v>13.1798</v>
      </c>
      <c r="AD10651">
        <v>-1.092435842857</v>
      </c>
      <c r="AE10651">
        <v>0.87219999999999198</v>
      </c>
      <c r="AF10651">
        <v>7.9592556434016499</v>
      </c>
      <c r="AG10651">
        <v>-1.092435842857</v>
      </c>
      <c r="AH10651">
        <v>10.428592758421001</v>
      </c>
      <c r="AI10651">
        <v>94.760149873696093</v>
      </c>
      <c r="AJ10651">
        <v>52.648592996426899</v>
      </c>
      <c r="AK10651">
        <v>13.1642969196525</v>
      </c>
      <c r="AL10651">
        <v>86.451179756494795</v>
      </c>
      <c r="AM10651">
        <v>68.854458195462698</v>
      </c>
      <c r="AN10651">
        <v>0.99999996815060399</v>
      </c>
    </row>
    <row r="10652" spans="1:40" x14ac:dyDescent="0.25">
      <c r="A10652" t="str">
        <f>"20190312150928081"</f>
        <v>20190312150928081</v>
      </c>
      <c r="B10652" t="str">
        <f>"1552374568069957"</f>
        <v>1552374568069957</v>
      </c>
      <c r="C10652" t="s">
        <v>40</v>
      </c>
      <c r="D10652">
        <v>4.9837350000000002</v>
      </c>
      <c r="E10652">
        <v>0.61022900000000002</v>
      </c>
      <c r="F10652" t="s">
        <v>42</v>
      </c>
      <c r="G10652">
        <v>-161.94399999999999</v>
      </c>
      <c r="H10652" s="1">
        <v>-3.8168579999999999E-6</v>
      </c>
      <c r="I10652">
        <v>139.4571</v>
      </c>
      <c r="J10652">
        <v>-174.88829999999999</v>
      </c>
      <c r="K10652">
        <v>1.0923700000000001</v>
      </c>
      <c r="L10652">
        <v>138.7559</v>
      </c>
      <c r="M10652">
        <v>0.7608142</v>
      </c>
      <c r="N10652">
        <v>0</v>
      </c>
      <c r="O10652">
        <v>0.64872249999999998</v>
      </c>
      <c r="P10652">
        <v>0.94077829999999996</v>
      </c>
      <c r="Q10652">
        <v>6.0407849999999999E-2</v>
      </c>
      <c r="R10652">
        <v>0.33359739999999999</v>
      </c>
      <c r="S10652">
        <v>3.1450040000000001</v>
      </c>
      <c r="T10652">
        <v>-0.262015</v>
      </c>
      <c r="U10652">
        <v>0.20140079999999999</v>
      </c>
      <c r="V10652">
        <v>0.3595468</v>
      </c>
      <c r="W10652">
        <v>6.1657219999999999E-2</v>
      </c>
      <c r="X10652">
        <v>0.93108780000000002</v>
      </c>
      <c r="Y10652">
        <v>0.59492659999999997</v>
      </c>
      <c r="Z10652">
        <v>-7.4685100000000004E-2</v>
      </c>
      <c r="AA10652">
        <v>0.80030269999999903</v>
      </c>
      <c r="AB10652">
        <v>35</v>
      </c>
      <c r="AC10652">
        <v>12.944299999999901</v>
      </c>
      <c r="AD10652">
        <v>-1.0923738168579999</v>
      </c>
      <c r="AE10652">
        <v>0.70120000000000005</v>
      </c>
      <c r="AF10652">
        <v>7.8095826734291398</v>
      </c>
      <c r="AG10652">
        <v>-1.0923738168579999</v>
      </c>
      <c r="AH10652">
        <v>10.2320879001904</v>
      </c>
      <c r="AI10652">
        <v>94.850792306714894</v>
      </c>
      <c r="AJ10652">
        <v>52.647522861356101</v>
      </c>
      <c r="AK10652">
        <v>12.9181455668414</v>
      </c>
      <c r="AL10652">
        <v>86.465059364053303</v>
      </c>
      <c r="AM10652">
        <v>68.885544163017599</v>
      </c>
      <c r="AN10652">
        <v>1.0000000027386</v>
      </c>
    </row>
    <row r="10653" spans="1:40" x14ac:dyDescent="0.25">
      <c r="A10653" t="str">
        <f>"20190312150928095"</f>
        <v>20190312150928095</v>
      </c>
      <c r="B10653" t="str">
        <f>"1552374568089477"</f>
        <v>1552374568089477</v>
      </c>
      <c r="C10653" t="s">
        <v>40</v>
      </c>
      <c r="D10653">
        <v>5.0203509999999998</v>
      </c>
      <c r="E10653">
        <v>0.60912809999999995</v>
      </c>
      <c r="F10653" t="s">
        <v>42</v>
      </c>
      <c r="G10653">
        <v>-161.78100000000001</v>
      </c>
      <c r="H10653" s="1">
        <v>-3.8935689999999997E-6</v>
      </c>
      <c r="I10653">
        <v>139.4588</v>
      </c>
      <c r="J10653">
        <v>-174.7217</v>
      </c>
      <c r="K10653">
        <v>1.092317</v>
      </c>
      <c r="L10653">
        <v>138.88900000000001</v>
      </c>
      <c r="M10653">
        <v>0.76837869999999997</v>
      </c>
      <c r="N10653">
        <v>0</v>
      </c>
      <c r="O10653">
        <v>0.63974390000000003</v>
      </c>
      <c r="P10653">
        <v>0.94442559999999998</v>
      </c>
      <c r="Q10653">
        <v>6.0019169999999997E-2</v>
      </c>
      <c r="R10653">
        <v>0.32319959999999998</v>
      </c>
      <c r="S10653">
        <v>3.1458590000000002</v>
      </c>
      <c r="T10653">
        <v>-0.2621791</v>
      </c>
      <c r="U10653">
        <v>0.16871639999999999</v>
      </c>
      <c r="V10653">
        <v>0.35889300000000002</v>
      </c>
      <c r="W10653">
        <v>6.1286939999999998E-2</v>
      </c>
      <c r="X10653">
        <v>0.93136450000000004</v>
      </c>
      <c r="Y10653">
        <v>0.59383260000000004</v>
      </c>
      <c r="Z10653">
        <v>-7.417174E-2</v>
      </c>
      <c r="AA10653">
        <v>0.8011625</v>
      </c>
      <c r="AB10653">
        <v>35</v>
      </c>
      <c r="AC10653">
        <v>12.9406999999999</v>
      </c>
      <c r="AD10653">
        <v>-1.0923208935690001</v>
      </c>
      <c r="AE10653">
        <v>0.56979999999998598</v>
      </c>
      <c r="AF10653">
        <v>7.7868004595931399</v>
      </c>
      <c r="AG10653">
        <v>-1.0923208935690001</v>
      </c>
      <c r="AH10653">
        <v>10.2367481454919</v>
      </c>
      <c r="AI10653">
        <v>94.854349531184397</v>
      </c>
      <c r="AJ10653">
        <v>52.7407936273312</v>
      </c>
      <c r="AK10653">
        <v>12.9080764998616</v>
      </c>
      <c r="AL10653">
        <v>86.486315221420398</v>
      </c>
      <c r="AM10653">
        <v>68.926276779895503</v>
      </c>
      <c r="AN10653">
        <v>1.0000000531619</v>
      </c>
    </row>
    <row r="10654" spans="1:40" x14ac:dyDescent="0.25">
      <c r="A10654" t="str">
        <f>"20190312150928107"</f>
        <v>20190312150928107</v>
      </c>
      <c r="B10654" t="str">
        <f>"1552374568100213"</f>
        <v>1552374568100213</v>
      </c>
      <c r="C10654" t="s">
        <v>40</v>
      </c>
      <c r="D10654">
        <v>5.1736700000000004</v>
      </c>
      <c r="E10654">
        <v>0.60891669999999998</v>
      </c>
      <c r="F10654" t="s">
        <v>42</v>
      </c>
      <c r="G10654">
        <v>-161.94579999999999</v>
      </c>
      <c r="H10654" s="1">
        <v>-3.8141660000000002E-6</v>
      </c>
      <c r="I10654">
        <v>139.4675</v>
      </c>
      <c r="J10654">
        <v>-174.58170000000001</v>
      </c>
      <c r="K10654">
        <v>1.0922700000000001</v>
      </c>
      <c r="L10654">
        <v>138.99930000000001</v>
      </c>
      <c r="M10654">
        <v>0.77463149999999903</v>
      </c>
      <c r="N10654">
        <v>0</v>
      </c>
      <c r="O10654">
        <v>0.63215749999999904</v>
      </c>
      <c r="P10654">
        <v>0.9473222</v>
      </c>
      <c r="Q10654">
        <v>5.9767670000000002E-2</v>
      </c>
      <c r="R10654">
        <v>0.3146562</v>
      </c>
      <c r="S10654">
        <v>3.1448969999999998</v>
      </c>
      <c r="T10654">
        <v>-0.26888379999999901</v>
      </c>
      <c r="U10654">
        <v>0.14239499999999999</v>
      </c>
      <c r="V10654">
        <v>0.35815390000000003</v>
      </c>
      <c r="W10654">
        <v>6.1060400000000001E-2</v>
      </c>
      <c r="X10654">
        <v>0.93166380000000004</v>
      </c>
      <c r="Y10654">
        <v>0.59243349999999995</v>
      </c>
      <c r="Z10654">
        <v>-7.5582799999999895E-2</v>
      </c>
      <c r="AA10654">
        <v>0.8020659</v>
      </c>
      <c r="AB10654">
        <v>35</v>
      </c>
      <c r="AC10654">
        <v>12.635899999999999</v>
      </c>
      <c r="AD10654">
        <v>-1.092273814166</v>
      </c>
      <c r="AE10654">
        <v>0.46819999999999601</v>
      </c>
      <c r="AF10654">
        <v>7.5699411558853997</v>
      </c>
      <c r="AG10654">
        <v>-1.092273814166</v>
      </c>
      <c r="AH10654">
        <v>10.0110684429862</v>
      </c>
      <c r="AI10654">
        <v>94.973772154497198</v>
      </c>
      <c r="AJ10654">
        <v>52.904989813138201</v>
      </c>
      <c r="AK10654">
        <v>12.598355549786399</v>
      </c>
      <c r="AL10654">
        <v>86.499319218680995</v>
      </c>
      <c r="AM10654">
        <v>68.972043354751605</v>
      </c>
      <c r="AN10654">
        <v>1.0000000123818999</v>
      </c>
    </row>
    <row r="10655" spans="1:40" x14ac:dyDescent="0.25">
      <c r="A10655" t="str">
        <f>"20190312150928117"</f>
        <v>20190312150928117</v>
      </c>
      <c r="B10655" t="str">
        <f>"1552374568109977"</f>
        <v>1552374568109977</v>
      </c>
      <c r="C10655" t="s">
        <v>40</v>
      </c>
      <c r="D10655">
        <v>4.9974970000000001</v>
      </c>
      <c r="E10655">
        <v>0.60815869999999905</v>
      </c>
      <c r="F10655" t="s">
        <v>42</v>
      </c>
      <c r="G10655">
        <v>-162.27379999999999</v>
      </c>
      <c r="H10655" s="1">
        <v>-3.662082E-6</v>
      </c>
      <c r="I10655">
        <v>139.45070000000001</v>
      </c>
      <c r="J10655">
        <v>-174.4383</v>
      </c>
      <c r="K10655">
        <v>1.0922289999999999</v>
      </c>
      <c r="L10655">
        <v>139.10910000000001</v>
      </c>
      <c r="M10655">
        <v>0.78091529999999998</v>
      </c>
      <c r="N10655">
        <v>0</v>
      </c>
      <c r="O10655">
        <v>0.62437759999999998</v>
      </c>
      <c r="P10655">
        <v>0.95021549999999999</v>
      </c>
      <c r="Q10655">
        <v>5.9359759999999998E-2</v>
      </c>
      <c r="R10655">
        <v>0.30588720000000003</v>
      </c>
      <c r="S10655">
        <v>3.1461030000000001</v>
      </c>
      <c r="T10655">
        <v>-0.2792037</v>
      </c>
      <c r="U10655">
        <v>0.115387</v>
      </c>
      <c r="V10655">
        <v>0.35745149999999998</v>
      </c>
      <c r="W10655">
        <v>6.0677729999999999E-2</v>
      </c>
      <c r="X10655">
        <v>0.93195850000000002</v>
      </c>
      <c r="Y10655">
        <v>0.59099080000000004</v>
      </c>
      <c r="Z10655">
        <v>-7.7897499999999995E-2</v>
      </c>
      <c r="AA10655">
        <v>0.80290839999999997</v>
      </c>
      <c r="AB10655">
        <v>35</v>
      </c>
      <c r="AC10655">
        <v>12.1645</v>
      </c>
      <c r="AD10655">
        <v>-1.092232662082</v>
      </c>
      <c r="AE10655">
        <v>0.34159999999999902</v>
      </c>
      <c r="AF10655">
        <v>7.2710945700696197</v>
      </c>
      <c r="AG10655">
        <v>-1.092232662082</v>
      </c>
      <c r="AH10655">
        <v>9.63667546594559</v>
      </c>
      <c r="AI10655">
        <v>95.169826923111501</v>
      </c>
      <c r="AJ10655">
        <v>52.964601995997</v>
      </c>
      <c r="AK10655">
        <v>12.1213572866644</v>
      </c>
      <c r="AL10655">
        <v>86.521285294859496</v>
      </c>
      <c r="AM10655">
        <v>69.015747132112196</v>
      </c>
      <c r="AN10655">
        <v>1.00000000374622</v>
      </c>
    </row>
    <row r="10656" spans="1:40" x14ac:dyDescent="0.25">
      <c r="A10656" t="str">
        <f>"20190312150928128"</f>
        <v>20190312150928128</v>
      </c>
      <c r="B10656" t="str">
        <f>"1552374568119737"</f>
        <v>1552374568119737</v>
      </c>
      <c r="C10656" t="s">
        <v>40</v>
      </c>
      <c r="D10656">
        <v>5.0459100000000001</v>
      </c>
      <c r="E10656">
        <v>0.60753380000000001</v>
      </c>
      <c r="F10656" t="s">
        <v>42</v>
      </c>
      <c r="G10656">
        <v>-162.2047</v>
      </c>
      <c r="H10656" s="1">
        <v>-3.6918590000000001E-6</v>
      </c>
      <c r="I10656">
        <v>139.46690000000001</v>
      </c>
      <c r="J10656">
        <v>-174.30719999999999</v>
      </c>
      <c r="K10656">
        <v>1.0921860000000001</v>
      </c>
      <c r="L10656">
        <v>139.2081</v>
      </c>
      <c r="M10656">
        <v>0.78657639999999995</v>
      </c>
      <c r="N10656">
        <v>0</v>
      </c>
      <c r="O10656">
        <v>0.6172299</v>
      </c>
      <c r="P10656">
        <v>0.95266070000000003</v>
      </c>
      <c r="Q10656">
        <v>5.9322640000000003E-2</v>
      </c>
      <c r="R10656">
        <v>0.29819220000000002</v>
      </c>
      <c r="S10656">
        <v>3.145111</v>
      </c>
      <c r="T10656">
        <v>-0.28080060000000001</v>
      </c>
      <c r="U10656">
        <v>9.1979980000000003E-2</v>
      </c>
      <c r="V10656">
        <v>0.35649550000000002</v>
      </c>
      <c r="W10656">
        <v>6.0679629999999998E-2</v>
      </c>
      <c r="X10656">
        <v>0.9323245</v>
      </c>
      <c r="Y10656">
        <v>0.58958650000000001</v>
      </c>
      <c r="Z10656">
        <v>-7.7847180000000002E-2</v>
      </c>
      <c r="AA10656">
        <v>0.80394500000000002</v>
      </c>
      <c r="AB10656">
        <v>35</v>
      </c>
      <c r="AC10656">
        <v>12.1024999999999</v>
      </c>
      <c r="AD10656">
        <v>-1.0921896918589999</v>
      </c>
      <c r="AE10656">
        <v>0.25880000000000702</v>
      </c>
      <c r="AF10656">
        <v>7.20895531088585</v>
      </c>
      <c r="AG10656">
        <v>-1.0921896918589999</v>
      </c>
      <c r="AH10656">
        <v>9.6026823854629697</v>
      </c>
      <c r="AI10656">
        <v>95.197253894020605</v>
      </c>
      <c r="AJ10656">
        <v>53.103596664717799</v>
      </c>
      <c r="AK10656">
        <v>12.057090195956601</v>
      </c>
      <c r="AL10656">
        <v>86.521176275148093</v>
      </c>
      <c r="AM10656">
        <v>69.074507147074002</v>
      </c>
      <c r="AN10656">
        <v>1.0000000161587099</v>
      </c>
    </row>
    <row r="10657" spans="1:40" x14ac:dyDescent="0.25">
      <c r="A10657" t="str">
        <f>"20190312150928139"</f>
        <v>20190312150928139</v>
      </c>
      <c r="B10657" t="str">
        <f>"1552374568129497"</f>
        <v>1552374568129497</v>
      </c>
      <c r="C10657" t="s">
        <v>40</v>
      </c>
      <c r="D10657">
        <v>5.1065759999999996</v>
      </c>
      <c r="E10657">
        <v>0.60753380000000001</v>
      </c>
      <c r="F10657" t="s">
        <v>42</v>
      </c>
      <c r="G10657">
        <v>-162.09569999999999</v>
      </c>
      <c r="H10657" s="1">
        <v>-3.740346E-6</v>
      </c>
      <c r="I10657">
        <v>139.48400000000001</v>
      </c>
      <c r="J10657">
        <v>-174.17080000000001</v>
      </c>
      <c r="K10657">
        <v>1.0921510000000001</v>
      </c>
      <c r="L10657">
        <v>139.30869999999999</v>
      </c>
      <c r="M10657">
        <v>0.79236219999999902</v>
      </c>
      <c r="N10657">
        <v>0</v>
      </c>
      <c r="O10657">
        <v>0.60978409999999905</v>
      </c>
      <c r="P10657">
        <v>0.95522459999999998</v>
      </c>
      <c r="Q10657">
        <v>5.9359049999999997E-2</v>
      </c>
      <c r="R10657">
        <v>0.28986630000000002</v>
      </c>
      <c r="S10657">
        <v>3.1443479999999999</v>
      </c>
      <c r="T10657">
        <v>-0.28123039999999999</v>
      </c>
      <c r="U10657">
        <v>7.1060180000000001E-2</v>
      </c>
      <c r="V10657">
        <v>0.355846</v>
      </c>
      <c r="W10657">
        <v>6.0741509999999999E-2</v>
      </c>
      <c r="X10657">
        <v>0.93256859999999997</v>
      </c>
      <c r="Y10657">
        <v>0.58734419999999898</v>
      </c>
      <c r="Z10657">
        <v>-7.7394619999999997E-2</v>
      </c>
      <c r="AA10657">
        <v>0.80562829999999996</v>
      </c>
      <c r="AB10657">
        <v>35</v>
      </c>
      <c r="AC10657">
        <v>12.075100000000001</v>
      </c>
      <c r="AD10657">
        <v>-1.0921547403459999</v>
      </c>
      <c r="AE10657">
        <v>0.17530000000002099</v>
      </c>
      <c r="AF10657">
        <v>7.1668618100429402</v>
      </c>
      <c r="AG10657">
        <v>-1.0921547403459999</v>
      </c>
      <c r="AH10657">
        <v>9.5978231626111299</v>
      </c>
      <c r="AI10657">
        <v>95.209652632828494</v>
      </c>
      <c r="AJ10657">
        <v>53.250661810477503</v>
      </c>
      <c r="AK10657">
        <v>12.028088777601599</v>
      </c>
      <c r="AL10657">
        <v>86.517624379158903</v>
      </c>
      <c r="AM10657">
        <v>69.114335013698295</v>
      </c>
      <c r="AN10657">
        <v>1.0000000502295101</v>
      </c>
    </row>
    <row r="10658" spans="1:40" x14ac:dyDescent="0.25">
      <c r="A10658" t="str">
        <f>"20190312150928151"</f>
        <v>20190312150928151</v>
      </c>
      <c r="B10658" t="str">
        <f>"1552374568140233"</f>
        <v>1552374568140233</v>
      </c>
      <c r="C10658" t="s">
        <v>40</v>
      </c>
      <c r="D10658">
        <v>5.0966800000000001</v>
      </c>
      <c r="E10658">
        <v>0.60677490000000001</v>
      </c>
      <c r="F10658" t="s">
        <v>42</v>
      </c>
      <c r="G10658">
        <v>-161.94820000000001</v>
      </c>
      <c r="H10658" s="1">
        <v>-3.8111190000000001E-6</v>
      </c>
      <c r="I10658">
        <v>139.47810000000001</v>
      </c>
      <c r="J10658">
        <v>-174.00559999999999</v>
      </c>
      <c r="K10658">
        <v>1.0921069999999999</v>
      </c>
      <c r="L10658">
        <v>139.428</v>
      </c>
      <c r="M10658">
        <v>0.79924919999999899</v>
      </c>
      <c r="N10658">
        <v>0</v>
      </c>
      <c r="O10658">
        <v>0.60072819999999905</v>
      </c>
      <c r="P10658">
        <v>0.95822130000000005</v>
      </c>
      <c r="Q10658">
        <v>5.9637389999999998E-2</v>
      </c>
      <c r="R10658">
        <v>0.2797422</v>
      </c>
      <c r="S10658">
        <v>3.1448520000000002</v>
      </c>
      <c r="T10658">
        <v>-0.28100910000000001</v>
      </c>
      <c r="U10658">
        <v>4.3594359999999999E-2</v>
      </c>
      <c r="V10658">
        <v>0.35511110000000001</v>
      </c>
      <c r="W10658">
        <v>6.1048499999999999E-2</v>
      </c>
      <c r="X10658">
        <v>0.93282860000000001</v>
      </c>
      <c r="Y10658">
        <v>0.58524069999999995</v>
      </c>
      <c r="Z10658">
        <v>-7.6624769999999995E-2</v>
      </c>
      <c r="AA10658">
        <v>0.80723109999999998</v>
      </c>
      <c r="AB10658">
        <v>35</v>
      </c>
      <c r="AC10658">
        <v>12.0573999999999</v>
      </c>
      <c r="AD10658">
        <v>-1.0921108111190001</v>
      </c>
      <c r="AE10658">
        <v>5.0100000000014598E-2</v>
      </c>
      <c r="AF10658">
        <v>7.1457308448411299</v>
      </c>
      <c r="AG10658">
        <v>-1.0921108111190001</v>
      </c>
      <c r="AH10658">
        <v>9.5898675687357198</v>
      </c>
      <c r="AI10658">
        <v>95.217679781590903</v>
      </c>
      <c r="AJ10658">
        <v>53.308973587090897</v>
      </c>
      <c r="AK10658">
        <v>12.0091521481146</v>
      </c>
      <c r="AL10658">
        <v>86.5000022863629</v>
      </c>
      <c r="AM10658">
        <v>69.159069260427401</v>
      </c>
      <c r="AN10658">
        <v>1.0000000048367099</v>
      </c>
    </row>
    <row r="10659" spans="1:40" x14ac:dyDescent="0.25">
      <c r="A10659" t="str">
        <f>"20190312150928163"</f>
        <v>20190312150928163</v>
      </c>
      <c r="B10659" t="str">
        <f>"1552374568159753"</f>
        <v>1552374568159753</v>
      </c>
      <c r="C10659" t="s">
        <v>40</v>
      </c>
      <c r="D10659">
        <v>4.959238</v>
      </c>
      <c r="E10659">
        <v>0.60498960000000002</v>
      </c>
      <c r="F10659" t="s">
        <v>42</v>
      </c>
      <c r="G10659">
        <v>-162.11779999999999</v>
      </c>
      <c r="H10659" s="1">
        <v>-3.7290490000000001E-6</v>
      </c>
      <c r="I10659">
        <v>139.4889</v>
      </c>
      <c r="J10659">
        <v>-173.8527</v>
      </c>
      <c r="K10659">
        <v>1.092071</v>
      </c>
      <c r="L10659">
        <v>139.5367</v>
      </c>
      <c r="M10659">
        <v>0.80550559999999904</v>
      </c>
      <c r="N10659">
        <v>0</v>
      </c>
      <c r="O10659">
        <v>0.5923119</v>
      </c>
      <c r="P10659">
        <v>0.96082659999999998</v>
      </c>
      <c r="Q10659">
        <v>5.9758949999999998E-2</v>
      </c>
      <c r="R10659">
        <v>0.27063120000000002</v>
      </c>
      <c r="S10659">
        <v>3.1440890000000001</v>
      </c>
      <c r="T10659">
        <v>-0.2888424</v>
      </c>
      <c r="U10659">
        <v>1.6113280000000001E-2</v>
      </c>
      <c r="V10659">
        <v>0.35419099999999998</v>
      </c>
      <c r="W10659">
        <v>6.121033E-2</v>
      </c>
      <c r="X10659">
        <v>0.93316779999999999</v>
      </c>
      <c r="Y10659">
        <v>0.58359309999999998</v>
      </c>
      <c r="Z10659">
        <v>-7.8110600000000002E-2</v>
      </c>
      <c r="AA10659">
        <v>0.80828080000000002</v>
      </c>
      <c r="AB10659">
        <v>35</v>
      </c>
      <c r="AC10659">
        <v>11.7349</v>
      </c>
      <c r="AD10659">
        <v>-1.092074729049</v>
      </c>
      <c r="AE10659">
        <v>-4.7799999999995103E-2</v>
      </c>
      <c r="AF10659">
        <v>6.9303485977509096</v>
      </c>
      <c r="AG10659">
        <v>-1.092074729049</v>
      </c>
      <c r="AH10659">
        <v>9.3448279122341802</v>
      </c>
      <c r="AI10659">
        <v>95.362487369556206</v>
      </c>
      <c r="AJ10659">
        <v>53.438481495852002</v>
      </c>
      <c r="AK10659">
        <v>11.6853826471128</v>
      </c>
      <c r="AL10659">
        <v>86.490712917196106</v>
      </c>
      <c r="AM10659">
        <v>69.215357808690896</v>
      </c>
      <c r="AN10659">
        <v>1.00000005596827</v>
      </c>
    </row>
    <row r="10660" spans="1:40" x14ac:dyDescent="0.25">
      <c r="A10660" t="str">
        <f>"20190312150928178"</f>
        <v>20190312150928178</v>
      </c>
      <c r="B10660" t="str">
        <f>"1552374568169513"</f>
        <v>1552374568169513</v>
      </c>
      <c r="C10660" t="s">
        <v>40</v>
      </c>
      <c r="D10660">
        <v>4.931222</v>
      </c>
      <c r="E10660">
        <v>0.60498960000000002</v>
      </c>
      <c r="F10660" t="s">
        <v>42</v>
      </c>
      <c r="G10660">
        <v>-162.18279999999999</v>
      </c>
      <c r="H10660" s="1">
        <v>-3.6896760000000002E-6</v>
      </c>
      <c r="I10660">
        <v>139.5376</v>
      </c>
      <c r="J10660">
        <v>-173.68360000000001</v>
      </c>
      <c r="K10660">
        <v>1.0920350000000001</v>
      </c>
      <c r="L10660">
        <v>139.65260000000001</v>
      </c>
      <c r="M10660">
        <v>0.81226999999999905</v>
      </c>
      <c r="N10660">
        <v>0</v>
      </c>
      <c r="O10660">
        <v>0.58299999999999996</v>
      </c>
      <c r="P10660">
        <v>0.96363840000000001</v>
      </c>
      <c r="Q10660">
        <v>6.0028709999999999E-2</v>
      </c>
      <c r="R10660">
        <v>0.26038050000000001</v>
      </c>
      <c r="S10660">
        <v>3.1405180000000001</v>
      </c>
      <c r="T10660">
        <v>-0.29389150000000003</v>
      </c>
      <c r="U10660">
        <v>2.4414059999999999E-4</v>
      </c>
      <c r="V10660">
        <v>0.35339749999999998</v>
      </c>
      <c r="W10660">
        <v>6.1514920000000001E-2</v>
      </c>
      <c r="X10660">
        <v>0.93344850000000001</v>
      </c>
      <c r="Y10660">
        <v>0.57822289999999998</v>
      </c>
      <c r="Z10660">
        <v>-7.8620099999999998E-2</v>
      </c>
      <c r="AA10660">
        <v>0.81208199999999997</v>
      </c>
      <c r="AB10660">
        <v>35</v>
      </c>
      <c r="AC10660">
        <v>11.5008</v>
      </c>
      <c r="AD10660">
        <v>-1.0920386896759999</v>
      </c>
      <c r="AE10660">
        <v>-0.115000000000009</v>
      </c>
      <c r="AF10660">
        <v>6.7387429013534996</v>
      </c>
      <c r="AG10660">
        <v>-1.0920386896759999</v>
      </c>
      <c r="AH10660">
        <v>9.1933531779238695</v>
      </c>
      <c r="AI10660">
        <v>95.4724921261639</v>
      </c>
      <c r="AJ10660">
        <v>53.758522942075203</v>
      </c>
      <c r="AK10660">
        <v>11.450805519452899</v>
      </c>
      <c r="AL10660">
        <v>86.473228015445798</v>
      </c>
      <c r="AM10660">
        <v>69.263661851830904</v>
      </c>
      <c r="AN10660">
        <v>0.99999999027055297</v>
      </c>
    </row>
    <row r="10661" spans="1:40" x14ac:dyDescent="0.25">
      <c r="A10661" t="str">
        <f>"20190312150928192"</f>
        <v>20190312150928192</v>
      </c>
      <c r="B10661" t="str">
        <f>"1552374568190010"</f>
        <v>1552374568190010</v>
      </c>
      <c r="C10661" t="s">
        <v>40</v>
      </c>
      <c r="D10661">
        <v>5.0448579999999996</v>
      </c>
      <c r="E10661">
        <v>0.58540019999999904</v>
      </c>
      <c r="F10661" t="s">
        <v>42</v>
      </c>
      <c r="G10661">
        <v>-161.99799999999999</v>
      </c>
      <c r="H10661" s="1">
        <v>-3.7784830000000001E-6</v>
      </c>
      <c r="I10661">
        <v>139.52950000000001</v>
      </c>
      <c r="J10661">
        <v>-173.47739999999999</v>
      </c>
      <c r="K10661">
        <v>1.091993</v>
      </c>
      <c r="L10661">
        <v>139.791</v>
      </c>
      <c r="M10661">
        <v>0.82033840000000002</v>
      </c>
      <c r="N10661">
        <v>0</v>
      </c>
      <c r="O10661">
        <v>0.5715903</v>
      </c>
      <c r="P10661">
        <v>0.96694049999999998</v>
      </c>
      <c r="Q10661">
        <v>6.0083150000000002E-2</v>
      </c>
      <c r="R10661">
        <v>0.24782290000000001</v>
      </c>
      <c r="S10661">
        <v>3.1404269999999999</v>
      </c>
      <c r="T10661">
        <v>-0.29347659999999998</v>
      </c>
      <c r="U10661">
        <v>-3.3081050000000001E-2</v>
      </c>
      <c r="V10661">
        <v>0.35250150000000002</v>
      </c>
      <c r="W10661">
        <v>6.1609629999999999E-2</v>
      </c>
      <c r="X10661">
        <v>0.93378099999999997</v>
      </c>
      <c r="Y10661">
        <v>0.57553580000000004</v>
      </c>
      <c r="Z10661">
        <v>-7.754614E-2</v>
      </c>
      <c r="AA10661">
        <v>0.81409160000000003</v>
      </c>
      <c r="AB10661">
        <v>34</v>
      </c>
      <c r="AC10661">
        <v>11.479399999999901</v>
      </c>
      <c r="AD10661">
        <v>-1.091996778483</v>
      </c>
      <c r="AE10661">
        <v>-0.26149999999998302</v>
      </c>
      <c r="AF10661">
        <v>6.7164028684482497</v>
      </c>
      <c r="AG10661">
        <v>-1.091996778483</v>
      </c>
      <c r="AH10661">
        <v>9.1859672597118802</v>
      </c>
      <c r="AI10661">
        <v>95.481439265442305</v>
      </c>
      <c r="AJ10661">
        <v>53.8272584372002</v>
      </c>
      <c r="AK10661">
        <v>11.431732981136999</v>
      </c>
      <c r="AL10661">
        <v>86.467791271883897</v>
      </c>
      <c r="AM10661">
        <v>69.318522763139001</v>
      </c>
      <c r="AN10661">
        <v>1.0000000049859901</v>
      </c>
    </row>
    <row r="10662" spans="1:40" x14ac:dyDescent="0.25">
      <c r="A10662" t="str">
        <f>"20190312150928205"</f>
        <v>20190312150928205</v>
      </c>
      <c r="B10662" t="str">
        <f>"1552374568199769"</f>
        <v>1552374568199769</v>
      </c>
      <c r="C10662" t="s">
        <v>40</v>
      </c>
      <c r="D10662">
        <v>4.9668460000000003</v>
      </c>
      <c r="E10662">
        <v>0.58540019999999904</v>
      </c>
      <c r="F10662" t="s">
        <v>42</v>
      </c>
      <c r="G10662">
        <v>-136.48560000000001</v>
      </c>
      <c r="H10662" s="1">
        <v>-1.7921350000000001E-6</v>
      </c>
      <c r="I10662">
        <v>140.7518</v>
      </c>
      <c r="J10662">
        <v>-173.3185</v>
      </c>
      <c r="K10662">
        <v>1.091974</v>
      </c>
      <c r="L10662">
        <v>139.8955</v>
      </c>
      <c r="M10662">
        <v>0.82642549999999904</v>
      </c>
      <c r="N10662">
        <v>0</v>
      </c>
      <c r="O10662">
        <v>0.56275280000000005</v>
      </c>
      <c r="P10662">
        <v>0.96915949999999995</v>
      </c>
      <c r="Q10662">
        <v>5.9752689999999997E-2</v>
      </c>
      <c r="R10662">
        <v>0.23908119999999999</v>
      </c>
      <c r="S10662">
        <v>3.0876769999999998</v>
      </c>
      <c r="T10662">
        <v>-9.1147660000000005E-2</v>
      </c>
      <c r="U10662">
        <v>8.0200199999999999E-2</v>
      </c>
      <c r="V10662">
        <v>0.35091309999999998</v>
      </c>
      <c r="W10662">
        <v>6.1355960000000001E-2</v>
      </c>
      <c r="X10662">
        <v>0.93439570000000005</v>
      </c>
      <c r="Y10662">
        <v>0.54073850000000001</v>
      </c>
      <c r="Z10662">
        <v>-2.3768230000000001E-2</v>
      </c>
      <c r="AA10662">
        <v>0.84085489999999996</v>
      </c>
      <c r="AB10662">
        <v>34</v>
      </c>
      <c r="AC10662">
        <v>36.832900000000002</v>
      </c>
      <c r="AD10662">
        <v>-1.091975792135</v>
      </c>
      <c r="AE10662">
        <v>0.85630000000000395</v>
      </c>
      <c r="AF10662">
        <v>20.0058811203311</v>
      </c>
      <c r="AG10662">
        <v>-1.091975792135</v>
      </c>
      <c r="AH10662">
        <v>30.899495290376102</v>
      </c>
      <c r="AI10662">
        <v>91.699168284860306</v>
      </c>
      <c r="AJ10662">
        <v>57.078957850497297</v>
      </c>
      <c r="AK10662">
        <v>36.826709053775097</v>
      </c>
      <c r="AL10662">
        <v>86.482352815228694</v>
      </c>
      <c r="AM10662">
        <v>69.416289507910193</v>
      </c>
      <c r="AN10662">
        <v>0.99999994087880895</v>
      </c>
    </row>
    <row r="10663" spans="1:40" x14ac:dyDescent="0.25">
      <c r="A10663" t="str">
        <f>"20190312150928220"</f>
        <v>20190312150928220</v>
      </c>
      <c r="B10663" t="str">
        <f>"1552374568209529"</f>
        <v>1552374568209529</v>
      </c>
      <c r="C10663" t="s">
        <v>40</v>
      </c>
      <c r="D10663">
        <v>4.7391459999999999</v>
      </c>
      <c r="E10663">
        <v>0.5856441</v>
      </c>
      <c r="F10663" t="s">
        <v>42</v>
      </c>
      <c r="G10663">
        <v>-136.93299999999999</v>
      </c>
      <c r="H10663" s="1">
        <v>-1.5372759999999899E-6</v>
      </c>
      <c r="I10663">
        <v>140.5154</v>
      </c>
      <c r="J10663">
        <v>-173.12039999999999</v>
      </c>
      <c r="K10663">
        <v>1.0919410000000001</v>
      </c>
      <c r="L10663">
        <v>140.02099999999999</v>
      </c>
      <c r="M10663">
        <v>0.83382129999999999</v>
      </c>
      <c r="N10663">
        <v>0</v>
      </c>
      <c r="O10663">
        <v>0.55173450000000002</v>
      </c>
      <c r="P10663">
        <v>0.97199619999999998</v>
      </c>
      <c r="Q10663">
        <v>5.972558E-2</v>
      </c>
      <c r="R10663">
        <v>0.22728019999999999</v>
      </c>
      <c r="S10663">
        <v>3.0881959999999999</v>
      </c>
      <c r="T10663">
        <v>-9.2680810000000002E-2</v>
      </c>
      <c r="U10663">
        <v>5.2612300000000001E-2</v>
      </c>
      <c r="V10663">
        <v>0.34987750000000001</v>
      </c>
      <c r="W10663">
        <v>6.1379280000000001E-2</v>
      </c>
      <c r="X10663">
        <v>0.93478249999999996</v>
      </c>
      <c r="Y10663">
        <v>0.53707349999999998</v>
      </c>
      <c r="Z10663">
        <v>-2.3843969999999999E-2</v>
      </c>
      <c r="AA10663">
        <v>0.84319840000000001</v>
      </c>
      <c r="AB10663">
        <v>34</v>
      </c>
      <c r="AC10663">
        <v>36.187399999999997</v>
      </c>
      <c r="AD10663">
        <v>-1.0919425372759901</v>
      </c>
      <c r="AE10663">
        <v>0.49439999999998402</v>
      </c>
      <c r="AF10663">
        <v>19.539046331746601</v>
      </c>
      <c r="AG10663">
        <v>-1.0919425372759901</v>
      </c>
      <c r="AH10663">
        <v>30.4239477042298</v>
      </c>
      <c r="AI10663">
        <v>91.729767410890105</v>
      </c>
      <c r="AJ10663">
        <v>57.290373709247</v>
      </c>
      <c r="AK10663">
        <v>36.1743453841056</v>
      </c>
      <c r="AL10663">
        <v>86.4810143686732</v>
      </c>
      <c r="AM10663">
        <v>69.479748292781593</v>
      </c>
      <c r="AN10663">
        <v>1.0000000016629</v>
      </c>
    </row>
    <row r="10664" spans="1:40" x14ac:dyDescent="0.25">
      <c r="A10664" t="str">
        <f>"20190312150928234"</f>
        <v>20190312150928234</v>
      </c>
      <c r="B10664" t="str">
        <f>"1552374568230025"</f>
        <v>1552374568230025</v>
      </c>
      <c r="C10664" t="s">
        <v>40</v>
      </c>
      <c r="D10664">
        <v>5.4662490000000004</v>
      </c>
      <c r="E10664">
        <v>0.58642519999999998</v>
      </c>
      <c r="F10664" t="s">
        <v>42</v>
      </c>
      <c r="G10664">
        <v>-163.0001</v>
      </c>
      <c r="H10664" s="1">
        <v>-3.4057330000000001E-6</v>
      </c>
      <c r="I10664">
        <v>140.05359999999999</v>
      </c>
      <c r="J10664">
        <v>-172.9308</v>
      </c>
      <c r="K10664">
        <v>1.0919160000000001</v>
      </c>
      <c r="L10664">
        <v>140.13800000000001</v>
      </c>
      <c r="M10664">
        <v>0.84073050000000005</v>
      </c>
      <c r="N10664">
        <v>0</v>
      </c>
      <c r="O10664">
        <v>0.54114719999999905</v>
      </c>
      <c r="P10664">
        <v>0.97457990000000005</v>
      </c>
      <c r="Q10664">
        <v>5.9570919999999999E-2</v>
      </c>
      <c r="R10664">
        <v>0.21597540000000001</v>
      </c>
      <c r="S10664">
        <v>3.1047060000000002</v>
      </c>
      <c r="T10664">
        <v>-0.3349839</v>
      </c>
      <c r="U10664">
        <v>9.9792479999999996E-3</v>
      </c>
      <c r="V10664">
        <v>0.34891830000000001</v>
      </c>
      <c r="W10664">
        <v>6.1272199999999999E-2</v>
      </c>
      <c r="X10664">
        <v>0.93514799999999998</v>
      </c>
      <c r="Y10664">
        <v>0.53257429999999994</v>
      </c>
      <c r="Z10664">
        <v>-8.4340090000000006E-2</v>
      </c>
      <c r="AA10664">
        <v>0.84217070000000005</v>
      </c>
      <c r="AB10664">
        <v>34</v>
      </c>
      <c r="AC10664">
        <v>9.9306999999999999</v>
      </c>
      <c r="AD10664">
        <v>-1.0919194057329999</v>
      </c>
      <c r="AE10664">
        <v>-8.4400000000016406E-2</v>
      </c>
      <c r="AF10664">
        <v>5.38078380726785</v>
      </c>
      <c r="AG10664">
        <v>-1.0919194057329999</v>
      </c>
      <c r="AH10664">
        <v>8.2055511436237296</v>
      </c>
      <c r="AI10664">
        <v>96.349701194945098</v>
      </c>
      <c r="AJ10664">
        <v>56.745171830036298</v>
      </c>
      <c r="AK10664">
        <v>9.8730031874702107</v>
      </c>
      <c r="AL10664">
        <v>86.487161242572597</v>
      </c>
      <c r="AM10664">
        <v>69.538670778614303</v>
      </c>
      <c r="AN10664">
        <v>1.00000002223586</v>
      </c>
    </row>
    <row r="10665" spans="1:40" x14ac:dyDescent="0.25">
      <c r="A10665" t="str">
        <f>"20190312150928249"</f>
        <v>20190312150928249</v>
      </c>
      <c r="B10665" t="str">
        <f>"1552374568239786"</f>
        <v>1552374568239786</v>
      </c>
      <c r="C10665" t="s">
        <v>40</v>
      </c>
      <c r="D10665">
        <v>4.8834999999999997</v>
      </c>
      <c r="E10665">
        <v>0.58424359999999997</v>
      </c>
      <c r="F10665" t="s">
        <v>42</v>
      </c>
      <c r="G10665">
        <v>-162.67269999999999</v>
      </c>
      <c r="H10665" s="1">
        <v>-3.5545119999999999E-6</v>
      </c>
      <c r="I10665">
        <v>140.03110000000001</v>
      </c>
      <c r="J10665">
        <v>-172.72630000000001</v>
      </c>
      <c r="K10665">
        <v>1.0918969999999999</v>
      </c>
      <c r="L10665">
        <v>140.26089999999999</v>
      </c>
      <c r="M10665">
        <v>0.84799939999999996</v>
      </c>
      <c r="N10665">
        <v>0</v>
      </c>
      <c r="O10665">
        <v>0.52968319999999902</v>
      </c>
      <c r="P10665">
        <v>0.97711179999999997</v>
      </c>
      <c r="Q10665">
        <v>5.967476E-2</v>
      </c>
      <c r="R10665">
        <v>0.20418559999999999</v>
      </c>
      <c r="S10665">
        <v>3.1056370000000002</v>
      </c>
      <c r="T10665">
        <v>-0.3305765</v>
      </c>
      <c r="U10665">
        <v>-3.2363889999999999E-2</v>
      </c>
      <c r="V10665">
        <v>0.34752569999999999</v>
      </c>
      <c r="W10665">
        <v>6.1447340000000003E-2</v>
      </c>
      <c r="X10665">
        <v>0.93565489999999996</v>
      </c>
      <c r="Y10665">
        <v>0.53281679999999998</v>
      </c>
      <c r="Z10665">
        <v>-8.2229899999999995E-2</v>
      </c>
      <c r="AA10665">
        <v>0.84222600000000003</v>
      </c>
      <c r="AB10665">
        <v>34</v>
      </c>
      <c r="AC10665">
        <v>10.053599999999999</v>
      </c>
      <c r="AD10665">
        <v>-1.091900554512</v>
      </c>
      <c r="AE10665">
        <v>-0.22979999999998299</v>
      </c>
      <c r="AF10665">
        <v>5.4566802074288798</v>
      </c>
      <c r="AG10665">
        <v>-1.091900554512</v>
      </c>
      <c r="AH10665">
        <v>8.3071862446073101</v>
      </c>
      <c r="AI10665">
        <v>96.269353445465896</v>
      </c>
      <c r="AJ10665">
        <v>56.700584055760203</v>
      </c>
      <c r="AK10665">
        <v>9.9988473840579495</v>
      </c>
      <c r="AL10665">
        <v>86.477107401535207</v>
      </c>
      <c r="AM10665">
        <v>69.623740367683794</v>
      </c>
      <c r="AN10665">
        <v>0.99999998982378702</v>
      </c>
    </row>
    <row r="10666" spans="1:40" x14ac:dyDescent="0.25">
      <c r="A10666" t="str">
        <f>"20190312150928269"</f>
        <v>20190312150928269</v>
      </c>
      <c r="B10666" t="str">
        <f>"1552374568259305"</f>
        <v>1552374568259305</v>
      </c>
      <c r="C10666" t="s">
        <v>40</v>
      </c>
      <c r="D10666">
        <v>4.7930979999999996</v>
      </c>
      <c r="E10666">
        <v>0.5809512</v>
      </c>
      <c r="F10666" t="s">
        <v>42</v>
      </c>
      <c r="G10666">
        <v>-161.1035</v>
      </c>
      <c r="H10666" s="1">
        <v>-4.3050630000000001E-6</v>
      </c>
      <c r="I10666">
        <v>140.0641</v>
      </c>
      <c r="J10666">
        <v>-172.46279999999999</v>
      </c>
      <c r="K10666">
        <v>1.0918779999999999</v>
      </c>
      <c r="L10666">
        <v>140.4135</v>
      </c>
      <c r="M10666">
        <v>0.85707279999999997</v>
      </c>
      <c r="N10666">
        <v>0</v>
      </c>
      <c r="O10666">
        <v>0.51487109999999903</v>
      </c>
      <c r="P10666">
        <v>0.98014210000000002</v>
      </c>
      <c r="Q10666">
        <v>6.0654239999999998E-2</v>
      </c>
      <c r="R10666">
        <v>0.18879309999999999</v>
      </c>
      <c r="S10666">
        <v>3.09903</v>
      </c>
      <c r="T10666">
        <v>-0.29113810000000001</v>
      </c>
      <c r="U10666">
        <v>-5.2474979999999997E-2</v>
      </c>
      <c r="V10666">
        <v>0.34600350000000002</v>
      </c>
      <c r="W10666">
        <v>6.2506259999999994E-2</v>
      </c>
      <c r="X10666">
        <v>0.9361488</v>
      </c>
      <c r="Y10666">
        <v>0.52498319999999998</v>
      </c>
      <c r="Z10666">
        <v>-7.1064790000000003E-2</v>
      </c>
      <c r="AA10666">
        <v>0.84814059999999902</v>
      </c>
      <c r="AB10666">
        <v>34</v>
      </c>
      <c r="AC10666">
        <v>11.3592999999999</v>
      </c>
      <c r="AD10666">
        <v>-1.091882305063</v>
      </c>
      <c r="AE10666">
        <v>-0.34940000000000199</v>
      </c>
      <c r="AF10666">
        <v>6.0928219729628896</v>
      </c>
      <c r="AG10666">
        <v>-1.091882305063</v>
      </c>
      <c r="AH10666">
        <v>9.4700314981214504</v>
      </c>
      <c r="AI10666">
        <v>95.538299828890402</v>
      </c>
      <c r="AJ10666">
        <v>57.2436108911944</v>
      </c>
      <c r="AK10666">
        <v>11.313539814653099</v>
      </c>
      <c r="AL10666">
        <v>86.416318981639094</v>
      </c>
      <c r="AM10666">
        <v>69.715531165094504</v>
      </c>
      <c r="AN10666">
        <v>1.0000000151464301</v>
      </c>
    </row>
    <row r="10667" spans="1:40" x14ac:dyDescent="0.25">
      <c r="A10667" t="str">
        <f>"20190312150928286"</f>
        <v>20190312150928286</v>
      </c>
      <c r="B10667" t="str">
        <f>"1552374568279802"</f>
        <v>1552374568279802</v>
      </c>
      <c r="C10667" t="s">
        <v>40</v>
      </c>
      <c r="D10667">
        <v>4.7939259999999999</v>
      </c>
      <c r="E10667">
        <v>0.57805629999999997</v>
      </c>
      <c r="F10667" t="s">
        <v>42</v>
      </c>
      <c r="G10667">
        <v>-158.63939999999999</v>
      </c>
      <c r="H10667" s="1">
        <v>-6.8914779999999996E-7</v>
      </c>
      <c r="I10667">
        <v>140.0789</v>
      </c>
      <c r="J10667">
        <v>-172.22059999999999</v>
      </c>
      <c r="K10667">
        <v>1.0918589999999999</v>
      </c>
      <c r="L10667">
        <v>140.54839999999999</v>
      </c>
      <c r="M10667">
        <v>0.86513619999999902</v>
      </c>
      <c r="N10667">
        <v>0</v>
      </c>
      <c r="O10667">
        <v>0.50120299999999995</v>
      </c>
      <c r="P10667">
        <v>0.98276779999999997</v>
      </c>
      <c r="Q10667">
        <v>6.1464440000000002E-2</v>
      </c>
      <c r="R10667">
        <v>0.17432629999999999</v>
      </c>
      <c r="S10667">
        <v>3.0903170000000002</v>
      </c>
      <c r="T10667">
        <v>-0.2440957</v>
      </c>
      <c r="U10667">
        <v>-7.4783329999999995E-2</v>
      </c>
      <c r="V10667">
        <v>0.34495819999999999</v>
      </c>
      <c r="W10667">
        <v>6.3372380000000006E-2</v>
      </c>
      <c r="X10667">
        <v>0.93647619999999998</v>
      </c>
      <c r="Y10667">
        <v>0.51900049999999998</v>
      </c>
      <c r="Z10667">
        <v>-5.8620529999999997E-2</v>
      </c>
      <c r="AA10667">
        <v>0.8527614</v>
      </c>
      <c r="AB10667">
        <v>34</v>
      </c>
      <c r="AC10667">
        <v>13.5811999999999</v>
      </c>
      <c r="AD10667">
        <v>-1.0918596891478001</v>
      </c>
      <c r="AE10667">
        <v>-0.46949999999998199</v>
      </c>
      <c r="AF10667">
        <v>7.16805349416558</v>
      </c>
      <c r="AG10667">
        <v>-1.0918596891478001</v>
      </c>
      <c r="AH10667">
        <v>11.4423340660001</v>
      </c>
      <c r="AI10667">
        <v>94.623199347085006</v>
      </c>
      <c r="AJ10667">
        <v>57.934901671343198</v>
      </c>
      <c r="AK10667">
        <v>13.5462229921831</v>
      </c>
      <c r="AL10667">
        <v>86.366595123480096</v>
      </c>
      <c r="AM10667">
        <v>69.778337693909506</v>
      </c>
      <c r="AN10667">
        <v>0.99999994573026996</v>
      </c>
    </row>
    <row r="10668" spans="1:40" x14ac:dyDescent="0.25">
      <c r="A10668" t="str">
        <f>"20190312150928298"</f>
        <v>20190312150928298</v>
      </c>
      <c r="B10668" t="str">
        <f>"1552374568289563"</f>
        <v>1552374568289563</v>
      </c>
      <c r="C10668" t="s">
        <v>40</v>
      </c>
      <c r="D10668">
        <v>4.777431</v>
      </c>
      <c r="E10668">
        <v>0.57704100000000003</v>
      </c>
      <c r="F10668" t="s">
        <v>42</v>
      </c>
      <c r="G10668">
        <v>-156.57329999999999</v>
      </c>
      <c r="H10668" s="1">
        <v>-1.5692149999999999E-6</v>
      </c>
      <c r="I10668">
        <v>140.05539999999999</v>
      </c>
      <c r="J10668">
        <v>-172.06379999999999</v>
      </c>
      <c r="K10668">
        <v>1.091852</v>
      </c>
      <c r="L10668">
        <v>140.6328</v>
      </c>
      <c r="M10668">
        <v>0.87021469999999901</v>
      </c>
      <c r="N10668">
        <v>0</v>
      </c>
      <c r="O10668">
        <v>0.4923324</v>
      </c>
      <c r="P10668">
        <v>0.98422679999999996</v>
      </c>
      <c r="Q10668">
        <v>6.2443690000000003E-2</v>
      </c>
      <c r="R10668">
        <v>0.16552529999999999</v>
      </c>
      <c r="S10668">
        <v>3.0832980000000001</v>
      </c>
      <c r="T10668">
        <v>-0.21515000000000001</v>
      </c>
      <c r="U10668">
        <v>-9.7152710000000003E-2</v>
      </c>
      <c r="V10668">
        <v>0.34377970000000002</v>
      </c>
      <c r="W10668">
        <v>6.4414520000000003E-2</v>
      </c>
      <c r="X10668">
        <v>0.93683839999999996</v>
      </c>
      <c r="Y10668">
        <v>0.51720239999999995</v>
      </c>
      <c r="Z10668">
        <v>-5.1204699999999999E-2</v>
      </c>
      <c r="AA10668">
        <v>0.85432999999999903</v>
      </c>
      <c r="AB10668">
        <v>34</v>
      </c>
      <c r="AC10668">
        <v>15.4904999999999</v>
      </c>
      <c r="AD10668">
        <v>-1.091853569215</v>
      </c>
      <c r="AE10668">
        <v>-0.57740000000001102</v>
      </c>
      <c r="AF10668">
        <v>8.0901620264137204</v>
      </c>
      <c r="AG10668">
        <v>-1.091853569215</v>
      </c>
      <c r="AH10668">
        <v>13.1328442480617</v>
      </c>
      <c r="AI10668">
        <v>94.048980105251999</v>
      </c>
      <c r="AJ10668">
        <v>58.3658871179831</v>
      </c>
      <c r="AK10668">
        <v>15.463326416851</v>
      </c>
      <c r="AL10668">
        <v>86.306762655884697</v>
      </c>
      <c r="AM10668">
        <v>69.849018794714993</v>
      </c>
      <c r="AN10668">
        <v>0.99999995011673803</v>
      </c>
    </row>
    <row r="10669" spans="1:40" x14ac:dyDescent="0.25">
      <c r="A10669" t="str">
        <f>"20190312150928310"</f>
        <v>20190312150928310</v>
      </c>
      <c r="B10669" t="str">
        <f>"1552374568299322"</f>
        <v>1552374568299322</v>
      </c>
      <c r="C10669" t="s">
        <v>40</v>
      </c>
      <c r="D10669">
        <v>4.7911999999999999</v>
      </c>
      <c r="E10669">
        <v>0.57641519999999902</v>
      </c>
      <c r="F10669" t="s">
        <v>42</v>
      </c>
      <c r="G10669">
        <v>-155.65209999999999</v>
      </c>
      <c r="H10669" s="1">
        <v>-1.9524309999999999E-6</v>
      </c>
      <c r="I10669">
        <v>140.0103</v>
      </c>
      <c r="J10669">
        <v>-171.89510000000001</v>
      </c>
      <c r="K10669">
        <v>1.091842</v>
      </c>
      <c r="L10669">
        <v>140.72139999999999</v>
      </c>
      <c r="M10669">
        <v>0.87555899999999998</v>
      </c>
      <c r="N10669">
        <v>0</v>
      </c>
      <c r="O10669">
        <v>0.48276350000000001</v>
      </c>
      <c r="P10669">
        <v>0.98568679999999997</v>
      </c>
      <c r="Q10669">
        <v>6.3291239999999999E-2</v>
      </c>
      <c r="R10669">
        <v>0.15625559999999999</v>
      </c>
      <c r="S10669">
        <v>3.0807340000000001</v>
      </c>
      <c r="T10669">
        <v>-0.20495749999999999</v>
      </c>
      <c r="U10669">
        <v>-0.1168365</v>
      </c>
      <c r="V10669">
        <v>0.34234009999999998</v>
      </c>
      <c r="W10669">
        <v>6.5339069999999999E-2</v>
      </c>
      <c r="X10669">
        <v>0.93730150000000001</v>
      </c>
      <c r="Y10669">
        <v>0.51354599999999995</v>
      </c>
      <c r="Z10669">
        <v>-4.8143400000000003E-2</v>
      </c>
      <c r="AA10669">
        <v>0.85671039999999998</v>
      </c>
      <c r="AB10669">
        <v>34</v>
      </c>
      <c r="AC10669">
        <v>16.242999999999999</v>
      </c>
      <c r="AD10669">
        <v>-1.091843952431</v>
      </c>
      <c r="AE10669">
        <v>-0.71109999999998696</v>
      </c>
      <c r="AF10669">
        <v>8.4275526339040407</v>
      </c>
      <c r="AG10669">
        <v>-1.091843952431</v>
      </c>
      <c r="AH10669">
        <v>13.8184244632087</v>
      </c>
      <c r="AI10669">
        <v>93.859205349723496</v>
      </c>
      <c r="AJ10669">
        <v>58.621904995253701</v>
      </c>
      <c r="AK10669">
        <v>16.222349437091001</v>
      </c>
      <c r="AL10669">
        <v>86.2536782662023</v>
      </c>
      <c r="AM10669">
        <v>69.935779007297199</v>
      </c>
      <c r="AN10669">
        <v>1.0000000200193599</v>
      </c>
    </row>
    <row r="10670" spans="1:40" x14ac:dyDescent="0.25">
      <c r="A10670" t="str">
        <f>"20190312150928321"</f>
        <v>20190312150928321</v>
      </c>
      <c r="B10670" t="str">
        <f>"1552374568310057"</f>
        <v>1552374568310057</v>
      </c>
      <c r="C10670" t="s">
        <v>40</v>
      </c>
      <c r="D10670">
        <v>4.7821089999999904</v>
      </c>
      <c r="E10670">
        <v>0.57559369999999999</v>
      </c>
      <c r="F10670" t="s">
        <v>42</v>
      </c>
      <c r="G10670">
        <v>-156.10990000000001</v>
      </c>
      <c r="H10670" s="1">
        <v>-1.752763E-6</v>
      </c>
      <c r="I10670">
        <v>139.99799999999999</v>
      </c>
      <c r="J10670">
        <v>-171.73869999999999</v>
      </c>
      <c r="K10670">
        <v>1.091834</v>
      </c>
      <c r="L10670">
        <v>140.80179999999999</v>
      </c>
      <c r="M10670">
        <v>0.88040319999999905</v>
      </c>
      <c r="N10670">
        <v>0</v>
      </c>
      <c r="O10670">
        <v>0.4738713</v>
      </c>
      <c r="P10670">
        <v>0.9869734</v>
      </c>
      <c r="Q10670">
        <v>6.3745830000000003E-2</v>
      </c>
      <c r="R10670">
        <v>0.1477165</v>
      </c>
      <c r="S10670">
        <v>3.0796199999999998</v>
      </c>
      <c r="T10670">
        <v>-0.21301339999999999</v>
      </c>
      <c r="U10670">
        <v>-0.14112849999999999</v>
      </c>
      <c r="V10670">
        <v>0.34097</v>
      </c>
      <c r="W10670">
        <v>6.5867220000000004E-2</v>
      </c>
      <c r="X10670">
        <v>0.93776380000000004</v>
      </c>
      <c r="Y10670">
        <v>0.51147410000000004</v>
      </c>
      <c r="Z10670">
        <v>-4.9433320000000003E-2</v>
      </c>
      <c r="AA10670">
        <v>0.85787569999999902</v>
      </c>
      <c r="AB10670">
        <v>34</v>
      </c>
      <c r="AC10670">
        <v>15.628799999999901</v>
      </c>
      <c r="AD10670">
        <v>-1.091835752763</v>
      </c>
      <c r="AE10670">
        <v>-0.80379999999999496</v>
      </c>
      <c r="AF10670">
        <v>8.0757624170355697</v>
      </c>
      <c r="AG10670">
        <v>-1.091835752763</v>
      </c>
      <c r="AH10670">
        <v>13.316179274416699</v>
      </c>
      <c r="AI10670">
        <v>94.010324479624501</v>
      </c>
      <c r="AJ10670">
        <v>58.764762266957703</v>
      </c>
      <c r="AK10670">
        <v>15.6118760690642</v>
      </c>
      <c r="AL10670">
        <v>86.223352051032904</v>
      </c>
      <c r="AM10670">
        <v>70.018783177709807</v>
      </c>
      <c r="AN10670">
        <v>0.99999998808048396</v>
      </c>
    </row>
    <row r="10671" spans="1:40" x14ac:dyDescent="0.25">
      <c r="A10671" t="str">
        <f>"20190312150928334"</f>
        <v>20190312150928334</v>
      </c>
      <c r="B10671" t="str">
        <f>"1552374568329577"</f>
        <v>1552374568329577</v>
      </c>
      <c r="C10671" t="s">
        <v>40</v>
      </c>
      <c r="D10671">
        <v>4.8752890000000004</v>
      </c>
      <c r="E10671">
        <v>0.57424509999999995</v>
      </c>
      <c r="F10671" t="s">
        <v>42</v>
      </c>
      <c r="G10671">
        <v>-155.99</v>
      </c>
      <c r="H10671" s="1">
        <v>-1.798268E-6</v>
      </c>
      <c r="I10671">
        <v>139.97579999999999</v>
      </c>
      <c r="J10671">
        <v>-171.56880000000001</v>
      </c>
      <c r="K10671">
        <v>1.0918270000000001</v>
      </c>
      <c r="L10671">
        <v>140.8862</v>
      </c>
      <c r="M10671">
        <v>0.88554219999999895</v>
      </c>
      <c r="N10671">
        <v>0</v>
      </c>
      <c r="O10671">
        <v>0.46419640000000001</v>
      </c>
      <c r="P10671">
        <v>0.98830439999999997</v>
      </c>
      <c r="Q10671">
        <v>6.3653660000000001E-2</v>
      </c>
      <c r="R10671">
        <v>0.1385749</v>
      </c>
      <c r="S10671">
        <v>3.0775450000000002</v>
      </c>
      <c r="T10671">
        <v>-0.21336140000000001</v>
      </c>
      <c r="U10671">
        <v>-0.1614227</v>
      </c>
      <c r="V10671">
        <v>0.33937499999999998</v>
      </c>
      <c r="W10671">
        <v>6.5861500000000003E-2</v>
      </c>
      <c r="X10671">
        <v>0.93834260000000003</v>
      </c>
      <c r="Y10671">
        <v>0.50775590000000004</v>
      </c>
      <c r="Z10671">
        <v>-4.8817689999999997E-2</v>
      </c>
      <c r="AA10671">
        <v>0.86011669999999996</v>
      </c>
      <c r="AB10671">
        <v>34</v>
      </c>
      <c r="AC10671">
        <v>15.578799999999999</v>
      </c>
      <c r="AD10671">
        <v>-1.0918287982679999</v>
      </c>
      <c r="AE10671">
        <v>-0.91040000000000998</v>
      </c>
      <c r="AF10671">
        <v>8.0000132946145897</v>
      </c>
      <c r="AG10671">
        <v>-1.0918287982679999</v>
      </c>
      <c r="AH10671">
        <v>13.310177956355</v>
      </c>
      <c r="AI10671">
        <v>94.021698707562294</v>
      </c>
      <c r="AJ10671">
        <v>58.992246968057501</v>
      </c>
      <c r="AK10671">
        <v>15.5676954000448</v>
      </c>
      <c r="AL10671">
        <v>86.223680470787798</v>
      </c>
      <c r="AM10671">
        <v>70.116212609497396</v>
      </c>
      <c r="AN10671">
        <v>0.99999998139100399</v>
      </c>
    </row>
    <row r="10672" spans="1:40" x14ac:dyDescent="0.25">
      <c r="A10672" t="str">
        <f>"20190312150928347"</f>
        <v>20190312150928347</v>
      </c>
      <c r="B10672" t="str">
        <f>"1552374568339338"</f>
        <v>1552374568339338</v>
      </c>
      <c r="C10672" t="s">
        <v>40</v>
      </c>
      <c r="D10672">
        <v>4.905589</v>
      </c>
      <c r="E10672">
        <v>0.57309569999999999</v>
      </c>
      <c r="F10672" t="s">
        <v>42</v>
      </c>
      <c r="G10672">
        <v>-155.6208</v>
      </c>
      <c r="H10672" s="1">
        <v>-1.9510130000000002E-6</v>
      </c>
      <c r="I10672">
        <v>139.9546</v>
      </c>
      <c r="J10672">
        <v>-171.3887</v>
      </c>
      <c r="K10672">
        <v>1.0918190000000001</v>
      </c>
      <c r="L10672">
        <v>140.97380000000001</v>
      </c>
      <c r="M10672">
        <v>0.89085879999999995</v>
      </c>
      <c r="N10672">
        <v>0</v>
      </c>
      <c r="O10672">
        <v>0.4539089</v>
      </c>
      <c r="P10672">
        <v>0.98931119999999995</v>
      </c>
      <c r="Q10672">
        <v>6.3001420000000002E-2</v>
      </c>
      <c r="R10672">
        <v>0.13150829999999999</v>
      </c>
      <c r="S10672">
        <v>3.0742340000000001</v>
      </c>
      <c r="T10672">
        <v>-0.21046809999999999</v>
      </c>
      <c r="U10672">
        <v>-0.17956539999999999</v>
      </c>
      <c r="V10672">
        <v>0.33520119999999998</v>
      </c>
      <c r="W10672">
        <v>6.5427559999999996E-2</v>
      </c>
      <c r="X10672">
        <v>0.93987200000000004</v>
      </c>
      <c r="Y10672">
        <v>0.50298180000000003</v>
      </c>
      <c r="Z10672">
        <v>-4.7408989999999998E-2</v>
      </c>
      <c r="AA10672">
        <v>0.86299579999999998</v>
      </c>
      <c r="AB10672">
        <v>34</v>
      </c>
      <c r="AC10672">
        <v>15.7678999999999</v>
      </c>
      <c r="AD10672">
        <v>-1.0918209510129999</v>
      </c>
      <c r="AE10672">
        <v>-1.0192000000000101</v>
      </c>
      <c r="AF10672">
        <v>8.0281819885718892</v>
      </c>
      <c r="AG10672">
        <v>-1.0918209510129999</v>
      </c>
      <c r="AH10672">
        <v>13.522076551951701</v>
      </c>
      <c r="AI10672">
        <v>93.971615130996099</v>
      </c>
      <c r="AJ10672">
        <v>59.302003527650697</v>
      </c>
      <c r="AK10672">
        <v>15.763576158586</v>
      </c>
      <c r="AL10672">
        <v>86.248597189995195</v>
      </c>
      <c r="AM10672">
        <v>70.371448445107006</v>
      </c>
      <c r="AN10672">
        <v>0.99999999323649602</v>
      </c>
    </row>
    <row r="10673" spans="1:40" x14ac:dyDescent="0.25">
      <c r="A10673" t="str">
        <f>"20190312150928362"</f>
        <v>20190312150928362</v>
      </c>
      <c r="B10673" t="str">
        <f>"1552374568359833"</f>
        <v>1552374568359833</v>
      </c>
      <c r="C10673" t="s">
        <v>40</v>
      </c>
      <c r="D10673">
        <v>4.8641509999999997</v>
      </c>
      <c r="E10673">
        <v>0.57127430000000001</v>
      </c>
      <c r="F10673" t="s">
        <v>42</v>
      </c>
      <c r="G10673">
        <v>-155.82320000000001</v>
      </c>
      <c r="H10673" s="1">
        <v>-1.875298E-6</v>
      </c>
      <c r="I10673">
        <v>139.99629999999999</v>
      </c>
      <c r="J10673">
        <v>-171.16299999999899</v>
      </c>
      <c r="K10673">
        <v>1.091804</v>
      </c>
      <c r="L10673">
        <v>141.0797</v>
      </c>
      <c r="M10673">
        <v>0.89732459999999903</v>
      </c>
      <c r="N10673">
        <v>0</v>
      </c>
      <c r="O10673">
        <v>0.4409882</v>
      </c>
      <c r="P10673">
        <v>0.99087550000000002</v>
      </c>
      <c r="Q10673">
        <v>6.2805760000000002E-2</v>
      </c>
      <c r="R10673">
        <v>0.1192537</v>
      </c>
      <c r="S10673">
        <v>3.071777</v>
      </c>
      <c r="T10673">
        <v>-0.21546509999999999</v>
      </c>
      <c r="U10673">
        <v>-0.19290160000000001</v>
      </c>
      <c r="V10673">
        <v>0.33325050000000001</v>
      </c>
      <c r="W10673">
        <v>6.5339540000000002E-2</v>
      </c>
      <c r="X10673">
        <v>0.9405715</v>
      </c>
      <c r="Y10673">
        <v>0.49419800000000003</v>
      </c>
      <c r="Z10673">
        <v>-4.7435730000000002E-2</v>
      </c>
      <c r="AA10673">
        <v>0.86805429999999995</v>
      </c>
      <c r="AB10673">
        <v>34</v>
      </c>
      <c r="AC10673">
        <v>15.339799999999901</v>
      </c>
      <c r="AD10673">
        <v>-1.091805875298</v>
      </c>
      <c r="AE10673">
        <v>-1.0834000000000099</v>
      </c>
      <c r="AF10673">
        <v>7.69933001725762</v>
      </c>
      <c r="AG10673">
        <v>-1.091805875298</v>
      </c>
      <c r="AH10673">
        <v>13.2226080063156</v>
      </c>
      <c r="AI10673">
        <v>94.081464965559903</v>
      </c>
      <c r="AJ10673">
        <v>59.788386658255902</v>
      </c>
      <c r="AK10673">
        <v>15.3397876540929</v>
      </c>
      <c r="AL10673">
        <v>86.253651012794094</v>
      </c>
      <c r="AM10673">
        <v>70.4904381045436</v>
      </c>
      <c r="AN10673">
        <v>0.99999994892495403</v>
      </c>
    </row>
    <row r="10674" spans="1:40" x14ac:dyDescent="0.25">
      <c r="A10674" t="str">
        <f>"20190312150928375"</f>
        <v>20190312150928375</v>
      </c>
      <c r="B10674" t="str">
        <f>"1552374568369594"</f>
        <v>1552374568369594</v>
      </c>
      <c r="C10674" t="s">
        <v>40</v>
      </c>
      <c r="D10674">
        <v>4.8289589999999896</v>
      </c>
      <c r="E10674">
        <v>0.57044949999999905</v>
      </c>
      <c r="F10674" t="s">
        <v>42</v>
      </c>
      <c r="G10674">
        <v>-156.20740000000001</v>
      </c>
      <c r="H10674" s="1">
        <v>-1.717672E-6</v>
      </c>
      <c r="I10674">
        <v>140.02350000000001</v>
      </c>
      <c r="J10674">
        <v>-170.99619999999999</v>
      </c>
      <c r="K10674">
        <v>1.0918000000000001</v>
      </c>
      <c r="L10674">
        <v>141.15459999999999</v>
      </c>
      <c r="M10674">
        <v>0.90196370000000003</v>
      </c>
      <c r="N10674">
        <v>0</v>
      </c>
      <c r="O10674">
        <v>0.43141990000000002</v>
      </c>
      <c r="P10674">
        <v>0.99178350000000004</v>
      </c>
      <c r="Q10674">
        <v>6.3161320000000007E-2</v>
      </c>
      <c r="R10674">
        <v>0.11125060000000001</v>
      </c>
      <c r="S10674">
        <v>3.0679020000000001</v>
      </c>
      <c r="T10674">
        <v>-0.22396650000000001</v>
      </c>
      <c r="U10674">
        <v>-0.2166595</v>
      </c>
      <c r="V10674">
        <v>0.33084639999999998</v>
      </c>
      <c r="W10674">
        <v>6.5823439999999997E-2</v>
      </c>
      <c r="X10674">
        <v>0.94138619999999995</v>
      </c>
      <c r="Y10674">
        <v>0.49156709999999898</v>
      </c>
      <c r="Z10674">
        <v>-4.862698E-2</v>
      </c>
      <c r="AA10674">
        <v>0.86948099999999995</v>
      </c>
      <c r="AB10674">
        <v>34</v>
      </c>
      <c r="AC10674">
        <v>14.788799999999901</v>
      </c>
      <c r="AD10674">
        <v>-1.0918017176719901</v>
      </c>
      <c r="AE10674">
        <v>-1.13109999999997</v>
      </c>
      <c r="AF10674">
        <v>7.3617555074890504</v>
      </c>
      <c r="AG10674">
        <v>-1.0918017176719901</v>
      </c>
      <c r="AH10674">
        <v>12.783885361775299</v>
      </c>
      <c r="AI10674">
        <v>94.232751447493996</v>
      </c>
      <c r="AJ10674">
        <v>60.063989098529298</v>
      </c>
      <c r="AK10674">
        <v>14.7924034587273</v>
      </c>
      <c r="AL10674">
        <v>86.2258660424597</v>
      </c>
      <c r="AM10674">
        <v>70.636179673435095</v>
      </c>
      <c r="AN10674">
        <v>1.0000000215984099</v>
      </c>
    </row>
    <row r="10675" spans="1:40" x14ac:dyDescent="0.25">
      <c r="A10675" t="str">
        <f>"20190312150928387"</f>
        <v>20190312150928387</v>
      </c>
      <c r="B10675" t="str">
        <f>"1552374568379355"</f>
        <v>1552374568379355</v>
      </c>
      <c r="C10675" t="s">
        <v>40</v>
      </c>
      <c r="D10675">
        <v>4.8391669999999998</v>
      </c>
      <c r="E10675">
        <v>0.56968989999999997</v>
      </c>
      <c r="F10675" t="s">
        <v>42</v>
      </c>
      <c r="G10675">
        <v>-156.36109999999999</v>
      </c>
      <c r="H10675" s="1">
        <v>-1.65446E-6</v>
      </c>
      <c r="I10675">
        <v>140.03370000000001</v>
      </c>
      <c r="J10675">
        <v>-170.8297</v>
      </c>
      <c r="K10675">
        <v>1.09179</v>
      </c>
      <c r="L10675">
        <v>141.22829999999999</v>
      </c>
      <c r="M10675">
        <v>0.90648439999999997</v>
      </c>
      <c r="N10675">
        <v>0</v>
      </c>
      <c r="O10675">
        <v>0.42183769999999998</v>
      </c>
      <c r="P10675">
        <v>0.99258729999999995</v>
      </c>
      <c r="Q10675">
        <v>6.4004119999999998E-2</v>
      </c>
      <c r="R10675">
        <v>0.10331600000000001</v>
      </c>
      <c r="S10675">
        <v>3.0657809999999999</v>
      </c>
      <c r="T10675">
        <v>-0.22871179999999999</v>
      </c>
      <c r="U10675">
        <v>-0.23481750000000001</v>
      </c>
      <c r="V10675">
        <v>0.32841340000000002</v>
      </c>
      <c r="W10675">
        <v>6.6796899999999895E-2</v>
      </c>
      <c r="X10675">
        <v>0.94216920000000004</v>
      </c>
      <c r="Y10675">
        <v>0.48744080000000001</v>
      </c>
      <c r="Z10675">
        <v>-4.8873600000000003E-2</v>
      </c>
      <c r="AA10675">
        <v>0.87178709999999904</v>
      </c>
      <c r="AB10675">
        <v>34</v>
      </c>
      <c r="AC10675">
        <v>14.4686</v>
      </c>
      <c r="AD10675">
        <v>-1.0917916544599999</v>
      </c>
      <c r="AE10675">
        <v>-1.1945999999999799</v>
      </c>
      <c r="AF10675">
        <v>7.1470847491913698</v>
      </c>
      <c r="AG10675">
        <v>-1.0917916544599999</v>
      </c>
      <c r="AH10675">
        <v>12.542834196888601</v>
      </c>
      <c r="AI10675">
        <v>94.324978165546497</v>
      </c>
      <c r="AJ10675">
        <v>60.324896432185902</v>
      </c>
      <c r="AK10675">
        <v>14.477414103337299</v>
      </c>
      <c r="AL10675">
        <v>86.169967758534796</v>
      </c>
      <c r="AM10675">
        <v>70.782897448521794</v>
      </c>
      <c r="AN10675">
        <v>0.99999999428890496</v>
      </c>
    </row>
    <row r="10676" spans="1:40" x14ac:dyDescent="0.25">
      <c r="A10676" t="str">
        <f>"20190312150928402"</f>
        <v>20190312150928402</v>
      </c>
      <c r="B10676" t="str">
        <f>"1552374568390089"</f>
        <v>1552374568390089</v>
      </c>
      <c r="C10676" t="s">
        <v>40</v>
      </c>
      <c r="D10676">
        <v>4.8573510000000004</v>
      </c>
      <c r="E10676">
        <v>0.56873879999999999</v>
      </c>
      <c r="F10676" t="s">
        <v>42</v>
      </c>
      <c r="G10676">
        <v>-156.36879999999999</v>
      </c>
      <c r="H10676" s="1">
        <v>-1.6514369999999999E-6</v>
      </c>
      <c r="I10676">
        <v>140.03460000000001</v>
      </c>
      <c r="J10676">
        <v>-170.60570000000001</v>
      </c>
      <c r="K10676">
        <v>1.0917790000000001</v>
      </c>
      <c r="L10676">
        <v>141.3235</v>
      </c>
      <c r="M10676">
        <v>0.91238359999999996</v>
      </c>
      <c r="N10676">
        <v>0</v>
      </c>
      <c r="O10676">
        <v>0.4089217</v>
      </c>
      <c r="P10676">
        <v>0.99343939999999997</v>
      </c>
      <c r="Q10676">
        <v>6.4079579999999997E-2</v>
      </c>
      <c r="R10676">
        <v>9.4719709999999999E-2</v>
      </c>
      <c r="S10676">
        <v>3.063644</v>
      </c>
      <c r="T10676">
        <v>-0.23130239999999999</v>
      </c>
      <c r="U10676">
        <v>-0.25288389999999999</v>
      </c>
      <c r="V10676">
        <v>0.32318599999999997</v>
      </c>
      <c r="W10676">
        <v>6.7148009999999994E-2</v>
      </c>
      <c r="X10676">
        <v>0.94395019999999996</v>
      </c>
      <c r="Y10676">
        <v>0.48019149999999999</v>
      </c>
      <c r="Z10676">
        <v>-4.8278670000000003E-2</v>
      </c>
      <c r="AA10676">
        <v>0.875834</v>
      </c>
      <c r="AB10676">
        <v>34</v>
      </c>
      <c r="AC10676">
        <v>14.2369</v>
      </c>
      <c r="AD10676">
        <v>-1.0917806514370001</v>
      </c>
      <c r="AE10676">
        <v>-1.28889999999998</v>
      </c>
      <c r="AF10676">
        <v>6.9583474130901397</v>
      </c>
      <c r="AG10676">
        <v>-1.0917806514370001</v>
      </c>
      <c r="AH10676">
        <v>12.3922844444223</v>
      </c>
      <c r="AI10676">
        <v>94.392824557194402</v>
      </c>
      <c r="AJ10676">
        <v>60.6855092916012</v>
      </c>
      <c r="AK10676">
        <v>14.254097567492</v>
      </c>
      <c r="AL10676">
        <v>86.149805441072701</v>
      </c>
      <c r="AM10676">
        <v>71.100021185005303</v>
      </c>
      <c r="AN10676">
        <v>1.0000000129614901</v>
      </c>
    </row>
    <row r="10677" spans="1:40" x14ac:dyDescent="0.25">
      <c r="A10677" t="str">
        <f>"20190312150928420"</f>
        <v>20190312150928420</v>
      </c>
      <c r="B10677" t="str">
        <f>"1552374568409610"</f>
        <v>1552374568409610</v>
      </c>
      <c r="C10677" t="s">
        <v>40</v>
      </c>
      <c r="D10677">
        <v>4.5718069999999997</v>
      </c>
      <c r="E10677">
        <v>0.56789259999999997</v>
      </c>
      <c r="F10677" t="s">
        <v>42</v>
      </c>
      <c r="G10677">
        <v>-156.47290000000001</v>
      </c>
      <c r="H10677" s="1">
        <v>-1.6164990000000001E-6</v>
      </c>
      <c r="I10677">
        <v>140.0712</v>
      </c>
      <c r="J10677">
        <v>-170.3657</v>
      </c>
      <c r="K10677">
        <v>1.0917680000000001</v>
      </c>
      <c r="L10677">
        <v>141.42099999999999</v>
      </c>
      <c r="M10677">
        <v>0.91847769999999995</v>
      </c>
      <c r="N10677">
        <v>0</v>
      </c>
      <c r="O10677">
        <v>0.39504289999999997</v>
      </c>
      <c r="P10677">
        <v>0.99454949999999998</v>
      </c>
      <c r="Q10677">
        <v>6.3889609999999999E-2</v>
      </c>
      <c r="R10677">
        <v>8.2399780000000006E-2</v>
      </c>
      <c r="S10677">
        <v>3.0609280000000001</v>
      </c>
      <c r="T10677">
        <v>-0.23645959999999999</v>
      </c>
      <c r="U10677">
        <v>-0.27124019999999999</v>
      </c>
      <c r="V10677">
        <v>0.32057069999999999</v>
      </c>
      <c r="W10677">
        <v>6.7101869999999994E-2</v>
      </c>
      <c r="X10677">
        <v>0.94484480000000004</v>
      </c>
      <c r="Y10677">
        <v>0.4721167</v>
      </c>
      <c r="Z10677">
        <v>-4.8078759999999998E-2</v>
      </c>
      <c r="AA10677">
        <v>0.88022400000000001</v>
      </c>
      <c r="AB10677">
        <v>34</v>
      </c>
      <c r="AC10677">
        <v>13.8927999999999</v>
      </c>
      <c r="AD10677">
        <v>-1.0917696164990001</v>
      </c>
      <c r="AE10677">
        <v>-1.3497999999999799</v>
      </c>
      <c r="AF10677">
        <v>6.6882387096558</v>
      </c>
      <c r="AG10677">
        <v>-1.0917696164990001</v>
      </c>
      <c r="AH10677">
        <v>12.1547148394689</v>
      </c>
      <c r="AI10677">
        <v>94.499646556707205</v>
      </c>
      <c r="AJ10677">
        <v>61.177823460484603</v>
      </c>
      <c r="AK10677">
        <v>13.916234791122699</v>
      </c>
      <c r="AL10677">
        <v>86.152454860898899</v>
      </c>
      <c r="AM10677">
        <v>71.258748894119904</v>
      </c>
      <c r="AN10677">
        <v>0.99999996537151203</v>
      </c>
    </row>
    <row r="10678" spans="1:40" x14ac:dyDescent="0.25">
      <c r="A10678" t="str">
        <f>"20190312150928439"</f>
        <v>20190312150928439</v>
      </c>
      <c r="B10678" t="str">
        <f>"1552374568430105"</f>
        <v>1552374568430105</v>
      </c>
      <c r="C10678" t="s">
        <v>40</v>
      </c>
      <c r="D10678">
        <v>4.6450300000000002</v>
      </c>
      <c r="E10678">
        <v>0.54616299999999995</v>
      </c>
      <c r="F10678" t="s">
        <v>42</v>
      </c>
      <c r="G10678">
        <v>-156.4119</v>
      </c>
      <c r="H10678" s="1">
        <v>-1.6348739999999999E-6</v>
      </c>
      <c r="I10678">
        <v>140.0419</v>
      </c>
      <c r="J10678">
        <v>-170.08</v>
      </c>
      <c r="K10678">
        <v>1.091758</v>
      </c>
      <c r="L10678">
        <v>141.5318</v>
      </c>
      <c r="M10678">
        <v>0.92543229999999999</v>
      </c>
      <c r="N10678">
        <v>0</v>
      </c>
      <c r="O10678">
        <v>0.37846350000000001</v>
      </c>
      <c r="P10678">
        <v>0.99552739999999995</v>
      </c>
      <c r="Q10678">
        <v>6.2903760000000003E-2</v>
      </c>
      <c r="R10678">
        <v>7.0489099999999999E-2</v>
      </c>
      <c r="S10678">
        <v>3.0568240000000002</v>
      </c>
      <c r="T10678">
        <v>-0.23916999999999999</v>
      </c>
      <c r="U10678">
        <v>-0.30210880000000001</v>
      </c>
      <c r="V10678">
        <v>0.3148647</v>
      </c>
      <c r="W10678">
        <v>6.6419130000000007E-2</v>
      </c>
      <c r="X10678">
        <v>0.94680980000000003</v>
      </c>
      <c r="Y10678">
        <v>0.46519250000000001</v>
      </c>
      <c r="Z10678">
        <v>-4.7194439999999997E-2</v>
      </c>
      <c r="AA10678">
        <v>0.88395059999999903</v>
      </c>
      <c r="AB10678">
        <v>34</v>
      </c>
      <c r="AC10678">
        <v>13.668100000000001</v>
      </c>
      <c r="AD10678">
        <v>-1.091759634874</v>
      </c>
      <c r="AE10678">
        <v>-1.4899</v>
      </c>
      <c r="AF10678">
        <v>6.5117354118927198</v>
      </c>
      <c r="AG10678">
        <v>-1.091759634874</v>
      </c>
      <c r="AH10678">
        <v>12.011350547800999</v>
      </c>
      <c r="AI10678">
        <v>94.568614532369693</v>
      </c>
      <c r="AJ10678">
        <v>61.536469512913698</v>
      </c>
      <c r="AK10678">
        <v>13.706464867244099</v>
      </c>
      <c r="AL10678">
        <v>86.191660729947699</v>
      </c>
      <c r="AM10678">
        <v>71.605285219857194</v>
      </c>
      <c r="AN10678">
        <v>1.0000000387560399</v>
      </c>
    </row>
    <row r="10679" spans="1:40" x14ac:dyDescent="0.25">
      <c r="A10679" t="str">
        <f>"20190312150928455"</f>
        <v>20190312150928455</v>
      </c>
      <c r="B10679" t="str">
        <f>"1552374568449625"</f>
        <v>1552374568449625</v>
      </c>
      <c r="C10679" t="s">
        <v>40</v>
      </c>
      <c r="D10679">
        <v>4.7904949999999999</v>
      </c>
      <c r="E10679">
        <v>0.54490640000000001</v>
      </c>
      <c r="F10679" t="s">
        <v>42</v>
      </c>
      <c r="G10679">
        <v>-153.5068</v>
      </c>
      <c r="H10679" s="1">
        <v>-3.0386750000000002E-6</v>
      </c>
      <c r="I10679">
        <v>140.63399999999999</v>
      </c>
      <c r="J10679">
        <v>-169.84979999999999</v>
      </c>
      <c r="K10679">
        <v>1.091753</v>
      </c>
      <c r="L10679">
        <v>141.6165</v>
      </c>
      <c r="M10679">
        <v>0.93080110000000005</v>
      </c>
      <c r="N10679">
        <v>0</v>
      </c>
      <c r="O10679">
        <v>0.36505939999999998</v>
      </c>
      <c r="P10679">
        <v>0.99631519999999996</v>
      </c>
      <c r="Q10679">
        <v>6.2141460000000003E-2</v>
      </c>
      <c r="R10679">
        <v>5.9114420000000001E-2</v>
      </c>
      <c r="S10679">
        <v>3.03775</v>
      </c>
      <c r="T10679">
        <v>-0.2001115</v>
      </c>
      <c r="U10679">
        <v>-0.164550799999999</v>
      </c>
      <c r="V10679">
        <v>0.31198710000000002</v>
      </c>
      <c r="W10679">
        <v>6.5814399999999995E-2</v>
      </c>
      <c r="X10679">
        <v>0.94780410000000004</v>
      </c>
      <c r="Y10679">
        <v>0.41327979999999997</v>
      </c>
      <c r="Z10679">
        <v>-3.7226299999999997E-2</v>
      </c>
      <c r="AA10679">
        <v>0.90984279999999995</v>
      </c>
      <c r="AB10679">
        <v>33</v>
      </c>
      <c r="AC10679">
        <v>16.3429999999999</v>
      </c>
      <c r="AD10679">
        <v>-1.091756038675</v>
      </c>
      <c r="AE10679">
        <v>-0.98250000000001603</v>
      </c>
      <c r="AF10679">
        <v>6.8513862566666104</v>
      </c>
      <c r="AG10679">
        <v>-1.091756038675</v>
      </c>
      <c r="AH10679">
        <v>14.7901793509494</v>
      </c>
      <c r="AI10679">
        <v>93.831878386872603</v>
      </c>
      <c r="AJ10679">
        <v>65.144593266496798</v>
      </c>
      <c r="AK10679">
        <v>16.336548904810801</v>
      </c>
      <c r="AL10679">
        <v>86.226385225032601</v>
      </c>
      <c r="AM10679">
        <v>71.780091869413198</v>
      </c>
      <c r="AN10679">
        <v>1.00000004889528</v>
      </c>
    </row>
    <row r="10680" spans="1:40" x14ac:dyDescent="0.25">
      <c r="A10680" t="str">
        <f>"20190312150928470"</f>
        <v>20190312150928470</v>
      </c>
      <c r="B10680" t="str">
        <f>"1552374568459385"</f>
        <v>1552374568459385</v>
      </c>
      <c r="C10680" t="s">
        <v>40</v>
      </c>
      <c r="D10680">
        <v>4.9915659999999997</v>
      </c>
      <c r="E10680">
        <v>0.5432302</v>
      </c>
      <c r="F10680" t="s">
        <v>42</v>
      </c>
      <c r="G10680">
        <v>-154.66309999999999</v>
      </c>
      <c r="H10680" s="1">
        <v>-2.5518869999999999E-6</v>
      </c>
      <c r="I10680">
        <v>140.6688</v>
      </c>
      <c r="J10680">
        <v>-169.64449999999999</v>
      </c>
      <c r="K10680">
        <v>1.0917460000000001</v>
      </c>
      <c r="L10680">
        <v>141.6891</v>
      </c>
      <c r="M10680">
        <v>0.93541319999999994</v>
      </c>
      <c r="N10680">
        <v>0</v>
      </c>
      <c r="O10680">
        <v>0.35307349999999998</v>
      </c>
      <c r="P10680">
        <v>0.99681779999999998</v>
      </c>
      <c r="Q10680">
        <v>6.0056890000000002E-2</v>
      </c>
      <c r="R10680">
        <v>5.2418409999999999E-2</v>
      </c>
      <c r="S10680">
        <v>3.0359500000000001</v>
      </c>
      <c r="T10680">
        <v>-0.21825079999999999</v>
      </c>
      <c r="U10680">
        <v>-0.18945310000000001</v>
      </c>
      <c r="V10680">
        <v>0.3061275</v>
      </c>
      <c r="W10680">
        <v>6.4037170000000004E-2</v>
      </c>
      <c r="X10680">
        <v>0.94983430000000002</v>
      </c>
      <c r="Y10680">
        <v>0.40877839999999999</v>
      </c>
      <c r="Z10680">
        <v>-3.9637119999999998E-2</v>
      </c>
      <c r="AA10680">
        <v>0.91177249999999999</v>
      </c>
      <c r="AB10680">
        <v>33</v>
      </c>
      <c r="AC10680">
        <v>14.981400000000001</v>
      </c>
      <c r="AD10680">
        <v>-1.09174855188699</v>
      </c>
      <c r="AE10680">
        <v>-1.02029999999999</v>
      </c>
      <c r="AF10680">
        <v>6.2121652842661197</v>
      </c>
      <c r="AG10680">
        <v>-1.09174855188699</v>
      </c>
      <c r="AH10680">
        <v>13.584082594286601</v>
      </c>
      <c r="AI10680">
        <v>94.1802870330459</v>
      </c>
      <c r="AJ10680">
        <v>65.424808647223898</v>
      </c>
      <c r="AK10680">
        <v>14.9769894287199</v>
      </c>
      <c r="AL10680">
        <v>86.328428138547594</v>
      </c>
      <c r="AM10680">
        <v>72.136092617903202</v>
      </c>
      <c r="AN10680">
        <v>1.0000000014271699</v>
      </c>
    </row>
    <row r="10681" spans="1:40" x14ac:dyDescent="0.25">
      <c r="A10681" t="str">
        <f>"20190312150928485"</f>
        <v>20190312150928485</v>
      </c>
      <c r="B10681" t="str">
        <f>"1552374568479882"</f>
        <v>1552374568479882</v>
      </c>
      <c r="C10681" t="s">
        <v>40</v>
      </c>
      <c r="D10681">
        <v>4.7880089999999997</v>
      </c>
      <c r="E10681">
        <v>0.54109739999999995</v>
      </c>
      <c r="F10681" t="s">
        <v>42</v>
      </c>
      <c r="G10681">
        <v>-153.6541</v>
      </c>
      <c r="H10681" s="1">
        <v>-2.9809039999999998E-6</v>
      </c>
      <c r="I10681">
        <v>140.65430000000001</v>
      </c>
      <c r="J10681">
        <v>-169.41730000000001</v>
      </c>
      <c r="K10681">
        <v>1.091744</v>
      </c>
      <c r="L10681">
        <v>141.7663</v>
      </c>
      <c r="M10681">
        <v>0.94032760000000004</v>
      </c>
      <c r="N10681">
        <v>0</v>
      </c>
      <c r="O10681">
        <v>0.33976810000000002</v>
      </c>
      <c r="P10681">
        <v>0.99738959999999999</v>
      </c>
      <c r="Q10681">
        <v>5.9248580000000002E-2</v>
      </c>
      <c r="R10681">
        <v>4.1278919999999997E-2</v>
      </c>
      <c r="S10681">
        <v>3.0323639999999998</v>
      </c>
      <c r="T10681">
        <v>-0.20703450000000001</v>
      </c>
      <c r="U10681">
        <v>-0.19622800000000001</v>
      </c>
      <c r="V10681">
        <v>0.30324299999999998</v>
      </c>
      <c r="W10681">
        <v>6.3386659999999997E-2</v>
      </c>
      <c r="X10681">
        <v>0.9508027</v>
      </c>
      <c r="Y10681">
        <v>0.3981538</v>
      </c>
      <c r="Z10681">
        <v>-3.6420929999999997E-2</v>
      </c>
      <c r="AA10681">
        <v>0.9165953</v>
      </c>
      <c r="AB10681">
        <v>33</v>
      </c>
      <c r="AC10681">
        <v>15.763199999999999</v>
      </c>
      <c r="AD10681">
        <v>-1.0917469809039999</v>
      </c>
      <c r="AE10681">
        <v>-1.1119999999999901</v>
      </c>
      <c r="AF10681">
        <v>6.3721557421522501</v>
      </c>
      <c r="AG10681">
        <v>-1.0917469809039999</v>
      </c>
      <c r="AH10681">
        <v>14.3785877545112</v>
      </c>
      <c r="AI10681">
        <v>93.970947635320996</v>
      </c>
      <c r="AJ10681">
        <v>66.098525529927997</v>
      </c>
      <c r="AK10681">
        <v>15.7651535383179</v>
      </c>
      <c r="AL10681">
        <v>86.365775416217403</v>
      </c>
      <c r="AM10681">
        <v>72.310766308759995</v>
      </c>
      <c r="AN10681">
        <v>0.999999980021122</v>
      </c>
    </row>
    <row r="10682" spans="1:40" x14ac:dyDescent="0.25">
      <c r="A10682" t="str">
        <f>"20190312150928498"</f>
        <v>20190312150928498</v>
      </c>
      <c r="B10682" t="str">
        <f>"1552374568489643"</f>
        <v>1552374568489643</v>
      </c>
      <c r="C10682" t="s">
        <v>40</v>
      </c>
      <c r="D10682">
        <v>4.8096800000000002</v>
      </c>
      <c r="E10682">
        <v>0.54015009999999997</v>
      </c>
      <c r="F10682" t="s">
        <v>42</v>
      </c>
      <c r="G10682">
        <v>-151.70339999999999</v>
      </c>
      <c r="H10682" s="1">
        <v>-3.7825370000000002E-6</v>
      </c>
      <c r="I10682">
        <v>140.52199999999999</v>
      </c>
      <c r="J10682">
        <v>-169.23429999999999</v>
      </c>
      <c r="K10682">
        <v>1.091745</v>
      </c>
      <c r="L10682">
        <v>141.82499999999999</v>
      </c>
      <c r="M10682">
        <v>0.94413919999999996</v>
      </c>
      <c r="N10682">
        <v>0</v>
      </c>
      <c r="O10682">
        <v>0.32902740000000003</v>
      </c>
      <c r="P10682">
        <v>0.99772479999999997</v>
      </c>
      <c r="Q10682">
        <v>5.8892079999999999E-2</v>
      </c>
      <c r="R10682">
        <v>3.2819010000000003E-2</v>
      </c>
      <c r="S10682">
        <v>3.0277560000000001</v>
      </c>
      <c r="T10682">
        <v>-0.18660689999999999</v>
      </c>
      <c r="U10682">
        <v>-0.21266170000000001</v>
      </c>
      <c r="V10682">
        <v>0.3004578</v>
      </c>
      <c r="W10682">
        <v>6.3181080000000001E-2</v>
      </c>
      <c r="X10682">
        <v>0.9517002</v>
      </c>
      <c r="Y10682">
        <v>0.39308359999999998</v>
      </c>
      <c r="Z10682">
        <v>-3.2093480000000001E-2</v>
      </c>
      <c r="AA10682">
        <v>0.9189425</v>
      </c>
      <c r="AB10682">
        <v>33</v>
      </c>
      <c r="AC10682">
        <v>17.530899999999999</v>
      </c>
      <c r="AD10682">
        <v>-1.091748782537</v>
      </c>
      <c r="AE10682">
        <v>-1.30299999999996</v>
      </c>
      <c r="AF10682">
        <v>6.9726641024628702</v>
      </c>
      <c r="AG10682">
        <v>-1.091748782537</v>
      </c>
      <c r="AH10682">
        <v>16.063689153475401</v>
      </c>
      <c r="AI10682">
        <v>93.567425833000897</v>
      </c>
      <c r="AJ10682">
        <v>66.536086045925302</v>
      </c>
      <c r="AK10682">
        <v>17.545713701911001</v>
      </c>
      <c r="AL10682">
        <v>86.377578029223798</v>
      </c>
      <c r="AM10682">
        <v>72.478762294484895</v>
      </c>
      <c r="AN10682">
        <v>1.00000000456542</v>
      </c>
    </row>
    <row r="10683" spans="1:40" x14ac:dyDescent="0.25">
      <c r="A10683" t="str">
        <f>"20190312150928511"</f>
        <v>20190312150928511</v>
      </c>
      <c r="B10683" t="str">
        <f>"1552374568499402"</f>
        <v>1552374568499402</v>
      </c>
      <c r="C10683" t="s">
        <v>40</v>
      </c>
      <c r="D10683">
        <v>5.1124910000000003</v>
      </c>
      <c r="E10683">
        <v>0.53929919999999998</v>
      </c>
      <c r="F10683" t="s">
        <v>42</v>
      </c>
      <c r="G10683">
        <v>-151.09479999999999</v>
      </c>
      <c r="H10683" s="1">
        <v>-4.0219070000000004E-6</v>
      </c>
      <c r="I10683">
        <v>140.44040000000001</v>
      </c>
      <c r="J10683">
        <v>-169.0573</v>
      </c>
      <c r="K10683">
        <v>1.091747</v>
      </c>
      <c r="L10683">
        <v>141.87989999999999</v>
      </c>
      <c r="M10683">
        <v>0.94770410000000005</v>
      </c>
      <c r="N10683">
        <v>0</v>
      </c>
      <c r="O10683">
        <v>0.3186136</v>
      </c>
      <c r="P10683">
        <v>0.99798589999999998</v>
      </c>
      <c r="Q10683">
        <v>5.8651399999999999E-2</v>
      </c>
      <c r="R10683">
        <v>2.4174950000000001E-2</v>
      </c>
      <c r="S10683">
        <v>3.0251619999999999</v>
      </c>
      <c r="T10683">
        <v>-0.1820725</v>
      </c>
      <c r="U10683">
        <v>-0.23091130000000001</v>
      </c>
      <c r="V10683">
        <v>0.29821740000000002</v>
      </c>
      <c r="W10683">
        <v>6.3062110000000005E-2</v>
      </c>
      <c r="X10683">
        <v>0.9524125</v>
      </c>
      <c r="Y10683">
        <v>0.38861990000000002</v>
      </c>
      <c r="Z10683">
        <v>-3.0603600000000002E-2</v>
      </c>
      <c r="AA10683">
        <v>0.92088979999999998</v>
      </c>
      <c r="AB10683">
        <v>33</v>
      </c>
      <c r="AC10683">
        <v>17.962499999999999</v>
      </c>
      <c r="AD10683">
        <v>-1.0917510219069999</v>
      </c>
      <c r="AE10683">
        <v>-1.43949999999998</v>
      </c>
      <c r="AF10683">
        <v>7.0626064079389597</v>
      </c>
      <c r="AG10683">
        <v>-1.0917510219069999</v>
      </c>
      <c r="AH10683">
        <v>16.506737344927199</v>
      </c>
      <c r="AI10683">
        <v>93.479734453395693</v>
      </c>
      <c r="AJ10683">
        <v>66.835756021838094</v>
      </c>
      <c r="AK10683">
        <v>17.987348535615499</v>
      </c>
      <c r="AL10683">
        <v>86.384408143586199</v>
      </c>
      <c r="AM10683">
        <v>72.613727822385798</v>
      </c>
      <c r="AN10683">
        <v>1.0000000087683301</v>
      </c>
    </row>
    <row r="10684" spans="1:40" x14ac:dyDescent="0.25">
      <c r="A10684" t="str">
        <f>"20190312150928523"</f>
        <v>20190312150928523</v>
      </c>
      <c r="B10684" t="str">
        <f>"1552374568519796"</f>
        <v>1552374568519796</v>
      </c>
      <c r="C10684" t="s">
        <v>40</v>
      </c>
      <c r="D10684">
        <v>4.8115809999999897</v>
      </c>
      <c r="E10684">
        <v>0.5378349</v>
      </c>
      <c r="F10684" t="s">
        <v>42</v>
      </c>
      <c r="G10684">
        <v>-150.38120000000001</v>
      </c>
      <c r="H10684" s="1">
        <v>-4.2732559999999999E-6</v>
      </c>
      <c r="I10684">
        <v>140.33189999999999</v>
      </c>
      <c r="J10684">
        <v>-168.86959999999999</v>
      </c>
      <c r="K10684">
        <v>1.0917520000000001</v>
      </c>
      <c r="L10684">
        <v>141.93639999999999</v>
      </c>
      <c r="M10684">
        <v>0.95135579999999997</v>
      </c>
      <c r="N10684">
        <v>0</v>
      </c>
      <c r="O10684">
        <v>0.30753819999999998</v>
      </c>
      <c r="P10684">
        <v>0.9981873</v>
      </c>
      <c r="Q10684">
        <v>5.8306040000000003E-2</v>
      </c>
      <c r="R10684">
        <v>1.492509E-2</v>
      </c>
      <c r="S10684">
        <v>3.0225219999999999</v>
      </c>
      <c r="T10684">
        <v>-0.1766876</v>
      </c>
      <c r="U10684">
        <v>-0.25051879999999999</v>
      </c>
      <c r="V10684">
        <v>0.29592459999999998</v>
      </c>
      <c r="W10684">
        <v>6.2842729999999999E-2</v>
      </c>
      <c r="X10684">
        <v>0.95314189999999999</v>
      </c>
      <c r="Y10684">
        <v>0.3839688</v>
      </c>
      <c r="Z10684">
        <v>-2.8963340000000001E-2</v>
      </c>
      <c r="AA10684">
        <v>0.92289169999999998</v>
      </c>
      <c r="AB10684">
        <v>33</v>
      </c>
      <c r="AC10684">
        <v>18.488399999999899</v>
      </c>
      <c r="AD10684">
        <v>-1.091756273256</v>
      </c>
      <c r="AE10684">
        <v>-1.6045</v>
      </c>
      <c r="AF10684">
        <v>7.1886950537634497</v>
      </c>
      <c r="AG10684">
        <v>-1.091756273256</v>
      </c>
      <c r="AH10684">
        <v>17.039556140500402</v>
      </c>
      <c r="AI10684">
        <v>93.378441645881395</v>
      </c>
      <c r="AJ10684">
        <v>67.125957142784102</v>
      </c>
      <c r="AK10684">
        <v>18.5260827430264</v>
      </c>
      <c r="AL10684">
        <v>86.397002747526997</v>
      </c>
      <c r="AM10684">
        <v>72.751854614202202</v>
      </c>
      <c r="AN10684">
        <v>1.0000000295673099</v>
      </c>
    </row>
    <row r="10685" spans="1:40" x14ac:dyDescent="0.25">
      <c r="A10685" t="str">
        <f>"20190312150928537"</f>
        <v>20190312150928537</v>
      </c>
      <c r="B10685" t="str">
        <f>"1552374568529556"</f>
        <v>1552374568529556</v>
      </c>
      <c r="C10685" t="s">
        <v>40</v>
      </c>
      <c r="D10685">
        <v>4.7312779999999997</v>
      </c>
      <c r="E10685">
        <v>0.53792910000000005</v>
      </c>
      <c r="F10685" t="s">
        <v>42</v>
      </c>
      <c r="G10685">
        <v>-148.7988</v>
      </c>
      <c r="H10685" s="1">
        <v>-6.4328689999999996E-7</v>
      </c>
      <c r="I10685">
        <v>140.1636</v>
      </c>
      <c r="J10685">
        <v>-168.67519999999999</v>
      </c>
      <c r="K10685">
        <v>1.0917589999999999</v>
      </c>
      <c r="L10685">
        <v>141.99109999999999</v>
      </c>
      <c r="M10685">
        <v>0.95499230000000002</v>
      </c>
      <c r="N10685">
        <v>0</v>
      </c>
      <c r="O10685">
        <v>0.29605209999999998</v>
      </c>
      <c r="P10685">
        <v>0.99832149999999997</v>
      </c>
      <c r="Q10685">
        <v>5.752997E-2</v>
      </c>
      <c r="R10685">
        <v>6.673455E-3</v>
      </c>
      <c r="S10685">
        <v>3.019012</v>
      </c>
      <c r="T10685">
        <v>-0.16421929999999901</v>
      </c>
      <c r="U10685">
        <v>-0.26664729999999998</v>
      </c>
      <c r="V10685">
        <v>0.2922939</v>
      </c>
      <c r="W10685">
        <v>6.2259729999999999E-2</v>
      </c>
      <c r="X10685">
        <v>0.95429969999999997</v>
      </c>
      <c r="Y10685">
        <v>0.37800410000000001</v>
      </c>
      <c r="Z10685">
        <v>-2.618504E-2</v>
      </c>
      <c r="AA10685">
        <v>0.92543359999999997</v>
      </c>
      <c r="AB10685">
        <v>33</v>
      </c>
      <c r="AC10685">
        <v>19.876399999999901</v>
      </c>
      <c r="AD10685">
        <v>-1.0917596432868999</v>
      </c>
      <c r="AE10685">
        <v>-1.8274999999999799</v>
      </c>
      <c r="AF10685">
        <v>7.6082448570740802</v>
      </c>
      <c r="AG10685">
        <v>-1.0917596432868999</v>
      </c>
      <c r="AH10685">
        <v>18.3889211358556</v>
      </c>
      <c r="AI10685">
        <v>93.140119804779999</v>
      </c>
      <c r="AJ10685">
        <v>67.523129857374798</v>
      </c>
      <c r="AK10685">
        <v>19.930623408830499</v>
      </c>
      <c r="AL10685">
        <v>86.430471470046101</v>
      </c>
      <c r="AM10685">
        <v>72.970618064691095</v>
      </c>
      <c r="AN10685">
        <v>0.99999995768848504</v>
      </c>
    </row>
    <row r="10686" spans="1:40" x14ac:dyDescent="0.25">
      <c r="A10686" t="str">
        <f>"20190312150928559"</f>
        <v>20190312150928559</v>
      </c>
      <c r="B10686" t="str">
        <f>"1552374568550051"</f>
        <v>1552374568550051</v>
      </c>
      <c r="C10686" t="s">
        <v>40</v>
      </c>
      <c r="D10686">
        <v>4.6982379999999999</v>
      </c>
      <c r="E10686">
        <v>0.53777749999999902</v>
      </c>
      <c r="F10686" t="s">
        <v>42</v>
      </c>
      <c r="G10686">
        <v>-149.04329999999999</v>
      </c>
      <c r="H10686" s="1">
        <v>-5.1761579999999996E-7</v>
      </c>
      <c r="I10686">
        <v>140.0855</v>
      </c>
      <c r="J10686">
        <v>-168.3442</v>
      </c>
      <c r="K10686">
        <v>1.0917709999999901</v>
      </c>
      <c r="L10686">
        <v>142.0796</v>
      </c>
      <c r="M10686">
        <v>0.96085869999999995</v>
      </c>
      <c r="N10686">
        <v>0</v>
      </c>
      <c r="O10686">
        <v>0.27641860000000001</v>
      </c>
      <c r="P10686">
        <v>0.99837819999999999</v>
      </c>
      <c r="Q10686">
        <v>5.5987599999999998E-2</v>
      </c>
      <c r="R10686">
        <v>-1.032026E-2</v>
      </c>
      <c r="S10686">
        <v>3.0166629999999999</v>
      </c>
      <c r="T10686">
        <v>-0.16776070000000001</v>
      </c>
      <c r="U10686">
        <v>-0.29281620000000003</v>
      </c>
      <c r="V10686">
        <v>0.28893239999999998</v>
      </c>
      <c r="W10686">
        <v>6.0904279999999998E-2</v>
      </c>
      <c r="X10686">
        <v>0.95541019999999999</v>
      </c>
      <c r="Y10686">
        <v>0.36703609999999998</v>
      </c>
      <c r="Z10686">
        <v>-2.5399959999999999E-2</v>
      </c>
      <c r="AA10686">
        <v>0.92985980000000001</v>
      </c>
      <c r="AB10686">
        <v>33</v>
      </c>
      <c r="AC10686">
        <v>19.300899999999999</v>
      </c>
      <c r="AD10686">
        <v>-1.0917715176157901</v>
      </c>
      <c r="AE10686">
        <v>-1.9941</v>
      </c>
      <c r="AF10686">
        <v>7.2295331556095599</v>
      </c>
      <c r="AG10686">
        <v>-1.0917715176157901</v>
      </c>
      <c r="AH10686">
        <v>17.940523102888498</v>
      </c>
      <c r="AI10686">
        <v>93.230601595903494</v>
      </c>
      <c r="AJ10686">
        <v>68.051932523911901</v>
      </c>
      <c r="AK10686">
        <v>19.373189822535998</v>
      </c>
      <c r="AL10686">
        <v>86.508280720037405</v>
      </c>
      <c r="AM10686">
        <v>73.173784747168298</v>
      </c>
      <c r="AN10686">
        <v>0.99999995667805797</v>
      </c>
    </row>
    <row r="10687" spans="1:40" x14ac:dyDescent="0.25">
      <c r="A10687" t="str">
        <f>"20190312150928582"</f>
        <v>20190312150928582</v>
      </c>
      <c r="B10687" t="str">
        <f>"1552374568569572"</f>
        <v>1552374568569572</v>
      </c>
      <c r="C10687" t="s">
        <v>40</v>
      </c>
      <c r="D10687">
        <v>5.0990859999999998</v>
      </c>
      <c r="E10687">
        <v>0.53691769999999905</v>
      </c>
      <c r="F10687" t="s">
        <v>42</v>
      </c>
      <c r="G10687">
        <v>-150.17869999999999</v>
      </c>
      <c r="H10687" s="1">
        <v>-4.2847889999999999E-6</v>
      </c>
      <c r="I10687">
        <v>140.00839999999999</v>
      </c>
      <c r="J10687">
        <v>-168.01480000000001</v>
      </c>
      <c r="K10687">
        <v>1.091782</v>
      </c>
      <c r="L10687">
        <v>142.16040000000001</v>
      </c>
      <c r="M10687">
        <v>0.96628860000000005</v>
      </c>
      <c r="N10687">
        <v>0</v>
      </c>
      <c r="O10687">
        <v>0.2567932</v>
      </c>
      <c r="P10687">
        <v>0.99814860000000005</v>
      </c>
      <c r="Q10687">
        <v>5.4983860000000002E-2</v>
      </c>
      <c r="R10687">
        <v>-2.599893E-2</v>
      </c>
      <c r="S10687">
        <v>3.0114749999999999</v>
      </c>
      <c r="T10687">
        <v>-0.18099370000000001</v>
      </c>
      <c r="U10687">
        <v>-0.34335329999999997</v>
      </c>
      <c r="V10687">
        <v>0.28444459999999999</v>
      </c>
      <c r="W10687">
        <v>6.014369E-2</v>
      </c>
      <c r="X10687">
        <v>0.95680399999999999</v>
      </c>
      <c r="Y10687">
        <v>0.36355959999999898</v>
      </c>
      <c r="Z10687">
        <v>-2.6178110000000001E-2</v>
      </c>
      <c r="AA10687">
        <v>0.93120309999999995</v>
      </c>
      <c r="AB10687">
        <v>33</v>
      </c>
      <c r="AC10687">
        <v>17.836099999999998</v>
      </c>
      <c r="AD10687">
        <v>-1.0917862847890001</v>
      </c>
      <c r="AE10687">
        <v>-2.1520000000000099</v>
      </c>
      <c r="AF10687">
        <v>6.63627778714591</v>
      </c>
      <c r="AG10687">
        <v>-1.0917862847890001</v>
      </c>
      <c r="AH10687">
        <v>16.623673834515699</v>
      </c>
      <c r="AI10687">
        <v>93.490481067354906</v>
      </c>
      <c r="AJ10687">
        <v>68.237797072359896</v>
      </c>
      <c r="AK10687">
        <v>17.932615869308702</v>
      </c>
      <c r="AL10687">
        <v>86.551939314237202</v>
      </c>
      <c r="AM10687">
        <v>73.443514212321105</v>
      </c>
      <c r="AN10687">
        <v>0.99999994416598603</v>
      </c>
    </row>
    <row r="10688" spans="1:40" x14ac:dyDescent="0.25">
      <c r="A10688" t="str">
        <f>"20190312150928599"</f>
        <v>20190312150928599</v>
      </c>
      <c r="B10688" t="str">
        <f>"1552374568590068"</f>
        <v>1552374568590068</v>
      </c>
      <c r="C10688" t="s">
        <v>40</v>
      </c>
      <c r="D10688">
        <v>4.8761229999999998</v>
      </c>
      <c r="E10688">
        <v>0.53607419999999995</v>
      </c>
      <c r="F10688" t="s">
        <v>42</v>
      </c>
      <c r="G10688">
        <v>-149.17330000000001</v>
      </c>
      <c r="H10688" s="1">
        <v>-3.7439769999999999E-7</v>
      </c>
      <c r="I10688">
        <v>139.7569</v>
      </c>
      <c r="J10688">
        <v>-167.7534</v>
      </c>
      <c r="K10688">
        <v>1.09179</v>
      </c>
      <c r="L10688">
        <v>142.21899999999999</v>
      </c>
      <c r="M10688">
        <v>0.97030570000000005</v>
      </c>
      <c r="N10688">
        <v>0</v>
      </c>
      <c r="O10688">
        <v>0.24116960000000001</v>
      </c>
      <c r="P10688">
        <v>0.99772369999999999</v>
      </c>
      <c r="Q10688">
        <v>5.4841969999999997E-2</v>
      </c>
      <c r="R10688">
        <v>-3.923927E-2</v>
      </c>
      <c r="S10688">
        <v>3.0052029999999998</v>
      </c>
      <c r="T10688">
        <v>-0.17413809999999999</v>
      </c>
      <c r="U10688">
        <v>-0.38336179999999997</v>
      </c>
      <c r="V10688">
        <v>0.28169429999999901</v>
      </c>
      <c r="W10688">
        <v>6.015417E-2</v>
      </c>
      <c r="X10688">
        <v>0.95761669999999999</v>
      </c>
      <c r="Y10688">
        <v>0.36108040000000002</v>
      </c>
      <c r="Z10688">
        <v>-2.426917E-2</v>
      </c>
      <c r="AA10688">
        <v>0.93221880000000001</v>
      </c>
      <c r="AB10688">
        <v>33</v>
      </c>
      <c r="AC10688">
        <v>18.580099999999899</v>
      </c>
      <c r="AD10688">
        <v>-1.0917903743977</v>
      </c>
      <c r="AE10688">
        <v>-2.4620999999999902</v>
      </c>
      <c r="AF10688">
        <v>6.84789017189809</v>
      </c>
      <c r="AG10688">
        <v>-1.0917903743977</v>
      </c>
      <c r="AH10688">
        <v>17.378622500459599</v>
      </c>
      <c r="AI10688">
        <v>93.345116680295007</v>
      </c>
      <c r="AJ10688">
        <v>68.493525233398302</v>
      </c>
      <c r="AK10688">
        <v>18.711016168062201</v>
      </c>
      <c r="AL10688">
        <v>86.551337866459605</v>
      </c>
      <c r="AM10688">
        <v>73.6081286988193</v>
      </c>
      <c r="AN10688">
        <v>0.99999997346988401</v>
      </c>
    </row>
    <row r="10689" spans="1:40" x14ac:dyDescent="0.25">
      <c r="A10689" t="str">
        <f>"20190312150928616"</f>
        <v>20190312150928616</v>
      </c>
      <c r="B10689" t="str">
        <f>"1552374568609588"</f>
        <v>1552374568609588</v>
      </c>
      <c r="C10689" t="s">
        <v>40</v>
      </c>
      <c r="D10689">
        <v>4.7895500000000002</v>
      </c>
      <c r="E10689">
        <v>0.52377529999999894</v>
      </c>
      <c r="F10689" t="s">
        <v>42</v>
      </c>
      <c r="G10689">
        <v>-148.8766</v>
      </c>
      <c r="H10689" s="1">
        <v>-4.6718350000000002E-7</v>
      </c>
      <c r="I10689">
        <v>139.59970000000001</v>
      </c>
      <c r="J10689">
        <v>-167.5188</v>
      </c>
      <c r="K10689">
        <v>1.0918019999999999</v>
      </c>
      <c r="L10689">
        <v>142.26779999999999</v>
      </c>
      <c r="M10689">
        <v>0.97369430000000001</v>
      </c>
      <c r="N10689">
        <v>0</v>
      </c>
      <c r="O10689">
        <v>0.22710169999999999</v>
      </c>
      <c r="P10689">
        <v>0.99734109999999998</v>
      </c>
      <c r="Q10689">
        <v>5.5896149999999999E-2</v>
      </c>
      <c r="R10689">
        <v>-4.6760040000000003E-2</v>
      </c>
      <c r="S10689">
        <v>3.0000149999999999</v>
      </c>
      <c r="T10689">
        <v>-0.17351349999999999</v>
      </c>
      <c r="U10689">
        <v>-0.41627500000000001</v>
      </c>
      <c r="V10689">
        <v>0.27507969999999998</v>
      </c>
      <c r="W10689">
        <v>6.155157E-2</v>
      </c>
      <c r="X10689">
        <v>0.95944910000000005</v>
      </c>
      <c r="Y10689">
        <v>0.35787170000000001</v>
      </c>
      <c r="Z10689">
        <v>-2.3320279999999999E-2</v>
      </c>
      <c r="AA10689">
        <v>0.93347950000000002</v>
      </c>
      <c r="AB10689">
        <v>33</v>
      </c>
      <c r="AC10689">
        <v>18.642199999999999</v>
      </c>
      <c r="AD10689">
        <v>-1.0918024671834901</v>
      </c>
      <c r="AE10689">
        <v>-2.6680999999999799</v>
      </c>
      <c r="AF10689">
        <v>6.8098761834718502</v>
      </c>
      <c r="AG10689">
        <v>-1.0918024671834901</v>
      </c>
      <c r="AH10689">
        <v>17.490107653065799</v>
      </c>
      <c r="AI10689">
        <v>93.329159746358997</v>
      </c>
      <c r="AJ10689">
        <v>68.726256692785995</v>
      </c>
      <c r="AK10689">
        <v>18.8008061523275</v>
      </c>
      <c r="AL10689">
        <v>86.471124194990693</v>
      </c>
      <c r="AM10689">
        <v>74.002091481487298</v>
      </c>
      <c r="AN10689">
        <v>1.00000000630618</v>
      </c>
    </row>
    <row r="10690" spans="1:40" x14ac:dyDescent="0.25">
      <c r="A10690" t="str">
        <f>"20190312150928637"</f>
        <v>20190312150928637</v>
      </c>
      <c r="B10690" t="str">
        <f>"1552374568630084"</f>
        <v>1552374568630084</v>
      </c>
      <c r="C10690" t="s">
        <v>40</v>
      </c>
      <c r="D10690">
        <v>4.9563199999999998</v>
      </c>
      <c r="E10690">
        <v>0.52158300000000002</v>
      </c>
      <c r="F10690" t="s">
        <v>48</v>
      </c>
      <c r="G10690">
        <v>0</v>
      </c>
      <c r="H10690">
        <v>0</v>
      </c>
      <c r="I10690">
        <v>0</v>
      </c>
      <c r="J10690">
        <v>-167.19380000000001</v>
      </c>
      <c r="K10690">
        <v>1.091828</v>
      </c>
      <c r="L10690">
        <v>142.3297</v>
      </c>
      <c r="M10690">
        <v>0.97804740000000001</v>
      </c>
      <c r="N10690">
        <v>0</v>
      </c>
      <c r="O10690">
        <v>0.2075544</v>
      </c>
      <c r="P10690">
        <v>0.99663449999999998</v>
      </c>
      <c r="Q10690">
        <v>5.6037999999999998E-2</v>
      </c>
      <c r="R10690">
        <v>-5.9829069999999998E-2</v>
      </c>
      <c r="S10690">
        <v>2.993179</v>
      </c>
      <c r="T10690">
        <v>-1.6395690000000001E-2</v>
      </c>
      <c r="U10690">
        <v>-0.33563229999999999</v>
      </c>
      <c r="V10690">
        <v>0.2684338</v>
      </c>
      <c r="W10690">
        <v>6.2041770000000003E-2</v>
      </c>
      <c r="X10690">
        <v>0.96129810000000004</v>
      </c>
      <c r="Y10690">
        <v>0.31529610000000002</v>
      </c>
      <c r="Z10690">
        <v>-1.9914609999999999E-3</v>
      </c>
      <c r="AA10690">
        <v>0.94899129999999998</v>
      </c>
      <c r="AB10690">
        <v>33</v>
      </c>
      <c r="AC10690">
        <v>2.993179</v>
      </c>
      <c r="AD10690">
        <v>-1.6395690000000001E-2</v>
      </c>
      <c r="AE10690">
        <v>-0.33563229999999999</v>
      </c>
      <c r="AF10690">
        <v>0.94964720345622999</v>
      </c>
      <c r="AG10690">
        <v>-1.6395690000000001E-2</v>
      </c>
      <c r="AH10690">
        <v>2.8582166017303798</v>
      </c>
      <c r="AI10690">
        <v>90.311899662464995</v>
      </c>
      <c r="AJ10690">
        <v>71.620847178775094</v>
      </c>
      <c r="AK10690">
        <v>3.01189322056576</v>
      </c>
      <c r="AL10690">
        <v>86.4429838620228</v>
      </c>
      <c r="AM10690">
        <v>74.398089790717506</v>
      </c>
      <c r="AN10690">
        <v>0.99999996163538996</v>
      </c>
    </row>
    <row r="10691" spans="1:40" x14ac:dyDescent="0.25">
      <c r="A10691" t="str">
        <f>"20190312150928660"</f>
        <v>20190312150928660</v>
      </c>
      <c r="B10691" t="str">
        <f>"1552374568649603"</f>
        <v>1552374568649603</v>
      </c>
      <c r="C10691" t="s">
        <v>40</v>
      </c>
      <c r="D10691">
        <v>4.9045569999999996</v>
      </c>
      <c r="E10691">
        <v>0.52101629999999999</v>
      </c>
      <c r="F10691" t="s">
        <v>42</v>
      </c>
      <c r="G10691">
        <v>-117.0433</v>
      </c>
      <c r="H10691" s="1">
        <v>-1.8704319999999999E-6</v>
      </c>
      <c r="I10691">
        <v>136.31569999999999</v>
      </c>
      <c r="J10691">
        <v>-166.86879999999999</v>
      </c>
      <c r="K10691">
        <v>1.09185</v>
      </c>
      <c r="L10691">
        <v>142.38470000000001</v>
      </c>
      <c r="M10691">
        <v>0.98200419999999999</v>
      </c>
      <c r="N10691">
        <v>0</v>
      </c>
      <c r="O10691">
        <v>0.18794549999999999</v>
      </c>
      <c r="P10691">
        <v>0.99568690000000004</v>
      </c>
      <c r="Q10691">
        <v>5.6398879999999998E-2</v>
      </c>
      <c r="R10691">
        <v>-7.3667479999999994E-2</v>
      </c>
      <c r="S10691">
        <v>2.992264</v>
      </c>
      <c r="T10691">
        <v>-6.5144779999999999E-2</v>
      </c>
      <c r="U10691">
        <v>-0.35882570000000003</v>
      </c>
      <c r="V10691">
        <v>0.262557599999999</v>
      </c>
      <c r="W10691">
        <v>6.2710409999999994E-2</v>
      </c>
      <c r="X10691">
        <v>0.96287639999999997</v>
      </c>
      <c r="Y10691">
        <v>0.30346780000000001</v>
      </c>
      <c r="Z10691">
        <v>-7.3617980000000001E-3</v>
      </c>
      <c r="AA10691">
        <v>0.95281329999999997</v>
      </c>
      <c r="AB10691">
        <v>33</v>
      </c>
      <c r="AC10691">
        <v>49.825499999999899</v>
      </c>
      <c r="AD10691">
        <v>-1.0918518704319999</v>
      </c>
      <c r="AE10691">
        <v>-6.0690000000000097</v>
      </c>
      <c r="AF10691">
        <v>15.319651314466499</v>
      </c>
      <c r="AG10691">
        <v>-1.0918518704319999</v>
      </c>
      <c r="AH10691">
        <v>47.773830755653101</v>
      </c>
      <c r="AI10691">
        <v>91.246733285296997</v>
      </c>
      <c r="AJ10691">
        <v>72.220494294095701</v>
      </c>
      <c r="AK10691">
        <v>50.181896755439503</v>
      </c>
      <c r="AL10691">
        <v>86.404599092356506</v>
      </c>
      <c r="AM10691">
        <v>74.747376683773496</v>
      </c>
      <c r="AN10691">
        <v>1.0000000252585399</v>
      </c>
    </row>
    <row r="10692" spans="1:40" x14ac:dyDescent="0.25">
      <c r="A10692" t="str">
        <f>"20190312150928677"</f>
        <v>20190312150928677</v>
      </c>
      <c r="B10692" t="str">
        <f>"1552374568670100"</f>
        <v>1552374568670100</v>
      </c>
      <c r="C10692" t="s">
        <v>40</v>
      </c>
      <c r="D10692">
        <v>4.8898380000000001</v>
      </c>
      <c r="E10692">
        <v>0.52086449999999995</v>
      </c>
      <c r="F10692" t="s">
        <v>42</v>
      </c>
      <c r="G10692">
        <v>-130.05699999999999</v>
      </c>
      <c r="H10692" s="1">
        <v>-4.6227429999999999E-6</v>
      </c>
      <c r="I10692">
        <v>137.5027</v>
      </c>
      <c r="J10692">
        <v>-166.614</v>
      </c>
      <c r="K10692">
        <v>1.091874</v>
      </c>
      <c r="L10692">
        <v>142.4229</v>
      </c>
      <c r="M10692">
        <v>0.98482979999999998</v>
      </c>
      <c r="N10692">
        <v>0</v>
      </c>
      <c r="O10692">
        <v>0.17252770000000001</v>
      </c>
      <c r="P10692">
        <v>0.99463690000000005</v>
      </c>
      <c r="Q10692">
        <v>5.677658E-2</v>
      </c>
      <c r="R10692">
        <v>-8.6453500000000003E-2</v>
      </c>
      <c r="S10692">
        <v>2.988693</v>
      </c>
      <c r="T10692">
        <v>-8.864582E-2</v>
      </c>
      <c r="U10692">
        <v>-0.3963623</v>
      </c>
      <c r="V10692">
        <v>0.25984160000000001</v>
      </c>
      <c r="W10692">
        <v>6.3235799999999995E-2</v>
      </c>
      <c r="X10692">
        <v>0.9635785</v>
      </c>
      <c r="Y10692">
        <v>0.30035210000000001</v>
      </c>
      <c r="Z10692">
        <v>-9.5239450000000007E-3</v>
      </c>
      <c r="AA10692">
        <v>0.95378090000000004</v>
      </c>
      <c r="AB10692">
        <v>33</v>
      </c>
      <c r="AC10692">
        <v>36.556999999999903</v>
      </c>
      <c r="AD10692">
        <v>-1.091878622743</v>
      </c>
      <c r="AE10692">
        <v>-4.9201999999999897</v>
      </c>
      <c r="AF10692">
        <v>11.1448107580977</v>
      </c>
      <c r="AG10692">
        <v>-1.091878622743</v>
      </c>
      <c r="AH10692">
        <v>35.128827799481897</v>
      </c>
      <c r="AI10692">
        <v>91.696998672300495</v>
      </c>
      <c r="AJ10692">
        <v>72.398088107999598</v>
      </c>
      <c r="AK10692">
        <v>36.870496990497202</v>
      </c>
      <c r="AL10692">
        <v>86.374436413390399</v>
      </c>
      <c r="AM10692">
        <v>74.908415861587102</v>
      </c>
      <c r="AN10692">
        <v>0.999999974577224</v>
      </c>
    </row>
    <row r="10693" spans="1:40" x14ac:dyDescent="0.25">
      <c r="A10693" t="str">
        <f>"20190312150928693"</f>
        <v>20190312150928693</v>
      </c>
      <c r="B10693" t="str">
        <f>"1552374568689619"</f>
        <v>1552374568689619</v>
      </c>
      <c r="C10693" t="s">
        <v>40</v>
      </c>
      <c r="D10693">
        <v>5.0128029999999999</v>
      </c>
      <c r="E10693">
        <v>0.51990999999999998</v>
      </c>
      <c r="F10693" t="s">
        <v>42</v>
      </c>
      <c r="G10693">
        <v>-131.28579999999999</v>
      </c>
      <c r="H10693" s="1">
        <v>-4.1331869999999999E-6</v>
      </c>
      <c r="I10693">
        <v>137.29060000000001</v>
      </c>
      <c r="J10693">
        <v>-166.37739999999999</v>
      </c>
      <c r="K10693">
        <v>1.091901</v>
      </c>
      <c r="L10693">
        <v>142.4547</v>
      </c>
      <c r="M10693">
        <v>0.98723640000000001</v>
      </c>
      <c r="N10693">
        <v>0</v>
      </c>
      <c r="O10693">
        <v>0.15817719999999999</v>
      </c>
      <c r="P10693">
        <v>0.99374819999999997</v>
      </c>
      <c r="Q10693">
        <v>5.765468E-2</v>
      </c>
      <c r="R10693">
        <v>-9.5606380000000005E-2</v>
      </c>
      <c r="S10693">
        <v>2.983765</v>
      </c>
      <c r="T10693">
        <v>-9.2218220000000004E-2</v>
      </c>
      <c r="U10693">
        <v>-0.43345640000000002</v>
      </c>
      <c r="V10693">
        <v>0.2547121</v>
      </c>
      <c r="W10693">
        <v>6.4377879999999998E-2</v>
      </c>
      <c r="X10693">
        <v>0.96487160000000005</v>
      </c>
      <c r="Y10693">
        <v>0.29829889999999998</v>
      </c>
      <c r="Z10693">
        <v>-9.446032E-3</v>
      </c>
      <c r="AA10693">
        <v>0.95442579999999999</v>
      </c>
      <c r="AB10693">
        <v>33</v>
      </c>
      <c r="AC10693">
        <v>35.0916</v>
      </c>
      <c r="AD10693">
        <v>-1.091905133187</v>
      </c>
      <c r="AE10693">
        <v>-5.1640999999999897</v>
      </c>
      <c r="AF10693">
        <v>10.640628170335001</v>
      </c>
      <c r="AG10693">
        <v>-1.091905133187</v>
      </c>
      <c r="AH10693">
        <v>33.800654183065198</v>
      </c>
      <c r="AI10693">
        <v>91.764923785380503</v>
      </c>
      <c r="AJ10693">
        <v>72.525716980325996</v>
      </c>
      <c r="AK10693">
        <v>35.452777717442302</v>
      </c>
      <c r="AL10693">
        <v>86.308866468314207</v>
      </c>
      <c r="AM10693">
        <v>75.212099700340403</v>
      </c>
      <c r="AN10693">
        <v>0.99999998490313202</v>
      </c>
    </row>
    <row r="10694" spans="1:40" x14ac:dyDescent="0.25">
      <c r="A10694" t="str">
        <f>"20190312150928712"</f>
        <v>20190312150928712</v>
      </c>
      <c r="B10694" t="str">
        <f>"1552374568700356"</f>
        <v>1552374568700356</v>
      </c>
      <c r="C10694" t="s">
        <v>40</v>
      </c>
      <c r="D10694">
        <v>4.9467919999999896</v>
      </c>
      <c r="E10694">
        <v>0.51944520000000005</v>
      </c>
      <c r="F10694" t="s">
        <v>42</v>
      </c>
      <c r="G10694">
        <v>-133.13570000000001</v>
      </c>
      <c r="H10694" s="1">
        <v>-3.320637E-6</v>
      </c>
      <c r="I10694">
        <v>137.39760000000001</v>
      </c>
      <c r="J10694">
        <v>-166.1035</v>
      </c>
      <c r="K10694">
        <v>1.0919380000000001</v>
      </c>
      <c r="L10694">
        <v>142.4871</v>
      </c>
      <c r="M10694">
        <v>0.98975919999999895</v>
      </c>
      <c r="N10694">
        <v>0</v>
      </c>
      <c r="O10694">
        <v>0.141537</v>
      </c>
      <c r="P10694">
        <v>0.99231349999999996</v>
      </c>
      <c r="Q10694">
        <v>5.765199E-2</v>
      </c>
      <c r="R10694">
        <v>-0.10950029999999999</v>
      </c>
      <c r="S10694">
        <v>2.9809269999999999</v>
      </c>
      <c r="T10694">
        <v>-9.7915769999999999E-2</v>
      </c>
      <c r="U10694">
        <v>-0.45349119999999998</v>
      </c>
      <c r="V10694">
        <v>0.25196350000000001</v>
      </c>
      <c r="W10694">
        <v>6.4523010000000006E-2</v>
      </c>
      <c r="X10694">
        <v>0.96558330000000003</v>
      </c>
      <c r="Y10694">
        <v>0.28860940000000002</v>
      </c>
      <c r="Z10694">
        <v>-9.3345159999999993E-3</v>
      </c>
      <c r="AA10694">
        <v>0.95740150000000002</v>
      </c>
      <c r="AB10694">
        <v>32</v>
      </c>
      <c r="AC10694">
        <v>32.967799999999897</v>
      </c>
      <c r="AD10694">
        <v>-1.0919413206369999</v>
      </c>
      <c r="AE10694">
        <v>-5.0894999999999797</v>
      </c>
      <c r="AF10694">
        <v>9.6948244686571705</v>
      </c>
      <c r="AG10694">
        <v>-1.0919413206369999</v>
      </c>
      <c r="AH10694">
        <v>31.8811602861349</v>
      </c>
      <c r="AI10694">
        <v>91.876839876394101</v>
      </c>
      <c r="AJ10694">
        <v>73.085872313130807</v>
      </c>
      <c r="AK10694">
        <v>33.3405209694752</v>
      </c>
      <c r="AL10694">
        <v>86.3005337398845</v>
      </c>
      <c r="AM10694">
        <v>75.375114615456098</v>
      </c>
      <c r="AN10694">
        <v>0.999999966695299</v>
      </c>
    </row>
    <row r="10695" spans="1:40" x14ac:dyDescent="0.25">
      <c r="A10695" t="str">
        <f>"20190312150928726"</f>
        <v>20190312150928726</v>
      </c>
      <c r="B10695" t="str">
        <f>"1552374568719876"</f>
        <v>1552374568719876</v>
      </c>
      <c r="C10695" t="s">
        <v>40</v>
      </c>
      <c r="D10695">
        <v>4.9192910000000003</v>
      </c>
      <c r="E10695">
        <v>0.5182928</v>
      </c>
      <c r="F10695" t="s">
        <v>42</v>
      </c>
      <c r="G10695">
        <v>-133.75110000000001</v>
      </c>
      <c r="H10695" s="1">
        <v>-3.1020539999999999E-6</v>
      </c>
      <c r="I10695">
        <v>137.1414</v>
      </c>
      <c r="J10695">
        <v>-165.88229999999999</v>
      </c>
      <c r="K10695">
        <v>1.0919650000000001</v>
      </c>
      <c r="L10695">
        <v>142.51009999999999</v>
      </c>
      <c r="M10695">
        <v>0.99158999999999997</v>
      </c>
      <c r="N10695">
        <v>0</v>
      </c>
      <c r="O10695">
        <v>0.1280838</v>
      </c>
      <c r="P10695">
        <v>0.99134560000000005</v>
      </c>
      <c r="Q10695">
        <v>5.8642029999999998E-2</v>
      </c>
      <c r="R10695">
        <v>-0.117454</v>
      </c>
      <c r="S10695">
        <v>2.9748230000000002</v>
      </c>
      <c r="T10695">
        <v>-0.1004047</v>
      </c>
      <c r="U10695">
        <v>-0.49153140000000001</v>
      </c>
      <c r="V10695">
        <v>0.24662139999999999</v>
      </c>
      <c r="W10695">
        <v>6.5784430000000005E-2</v>
      </c>
      <c r="X10695">
        <v>0.96687659999999997</v>
      </c>
      <c r="Y10695">
        <v>0.28783750000000002</v>
      </c>
      <c r="Z10695">
        <v>-9.1193260000000005E-3</v>
      </c>
      <c r="AA10695">
        <v>0.95763580000000004</v>
      </c>
      <c r="AB10695">
        <v>32</v>
      </c>
      <c r="AC10695">
        <v>32.1311999999999</v>
      </c>
      <c r="AD10695">
        <v>-1.091968102054</v>
      </c>
      <c r="AE10695">
        <v>-5.3686999999999898</v>
      </c>
      <c r="AF10695">
        <v>9.4300629567702607</v>
      </c>
      <c r="AG10695">
        <v>-1.091968102054</v>
      </c>
      <c r="AH10695">
        <v>31.143700652951701</v>
      </c>
      <c r="AI10695">
        <v>91.921990137479</v>
      </c>
      <c r="AJ10695">
        <v>73.154108238102793</v>
      </c>
      <c r="AK10695">
        <v>32.558387123216399</v>
      </c>
      <c r="AL10695">
        <v>86.228106048411306</v>
      </c>
      <c r="AM10695">
        <v>75.690672056455597</v>
      </c>
      <c r="AN10695">
        <v>1.0000000328979699</v>
      </c>
    </row>
    <row r="10696" spans="1:40" x14ac:dyDescent="0.25">
      <c r="A10696" t="str">
        <f>"20190312150928749"</f>
        <v>20190312150928749</v>
      </c>
      <c r="B10696" t="str">
        <f>"1552374568740372"</f>
        <v>1552374568740372</v>
      </c>
      <c r="C10696" t="s">
        <v>40</v>
      </c>
      <c r="D10696">
        <v>4.8698030000000001</v>
      </c>
      <c r="E10696">
        <v>0.51762039999999998</v>
      </c>
      <c r="F10696" t="s">
        <v>42</v>
      </c>
      <c r="G10696">
        <v>-134.48820000000001</v>
      </c>
      <c r="H10696" s="1">
        <v>-2.7827149999999998E-6</v>
      </c>
      <c r="I10696">
        <v>137.15899999999999</v>
      </c>
      <c r="J10696">
        <v>-165.54990000000001</v>
      </c>
      <c r="K10696">
        <v>1.092014</v>
      </c>
      <c r="L10696">
        <v>142.53809999999999</v>
      </c>
      <c r="M10696">
        <v>0.99399539999999997</v>
      </c>
      <c r="N10696">
        <v>0</v>
      </c>
      <c r="O10696">
        <v>0.1078416</v>
      </c>
      <c r="P10696">
        <v>0.98947890000000005</v>
      </c>
      <c r="Q10696">
        <v>5.9392229999999997E-2</v>
      </c>
      <c r="R10696">
        <v>-0.13192499999999999</v>
      </c>
      <c r="S10696">
        <v>2.9722900000000001</v>
      </c>
      <c r="T10696">
        <v>-0.103384</v>
      </c>
      <c r="U10696">
        <v>-0.50662229999999997</v>
      </c>
      <c r="V10696">
        <v>0.24105009999999999</v>
      </c>
      <c r="W10696">
        <v>6.6817829999999995E-2</v>
      </c>
      <c r="X10696">
        <v>0.96820980000000001</v>
      </c>
      <c r="Y10696">
        <v>0.27314690000000003</v>
      </c>
      <c r="Z10696">
        <v>-8.4417499999999996E-3</v>
      </c>
      <c r="AA10696">
        <v>0.96193530000000005</v>
      </c>
      <c r="AB10696">
        <v>32</v>
      </c>
      <c r="AC10696">
        <v>31.061699999999998</v>
      </c>
      <c r="AD10696">
        <v>-1.092016782715</v>
      </c>
      <c r="AE10696">
        <v>-5.3790999999999896</v>
      </c>
      <c r="AF10696">
        <v>8.6876123829049696</v>
      </c>
      <c r="AG10696">
        <v>-1.092016782715</v>
      </c>
      <c r="AH10696">
        <v>30.263981885455198</v>
      </c>
      <c r="AI10696">
        <v>91.986356171292201</v>
      </c>
      <c r="AJ10696">
        <v>73.983285849691796</v>
      </c>
      <c r="AK10696">
        <v>31.5051695620337</v>
      </c>
      <c r="AL10696">
        <v>86.1687658753184</v>
      </c>
      <c r="AM10696">
        <v>76.019597029688796</v>
      </c>
      <c r="AN10696">
        <v>0.99999999496597902</v>
      </c>
    </row>
    <row r="10697" spans="1:40" x14ac:dyDescent="0.25">
      <c r="A10697" t="str">
        <f>"20190312150928771"</f>
        <v>20190312150928771</v>
      </c>
      <c r="B10697" t="str">
        <f>"1552374568759892"</f>
        <v>1552374568759892</v>
      </c>
      <c r="C10697" t="s">
        <v>40</v>
      </c>
      <c r="D10697">
        <v>4.9722730000000004</v>
      </c>
      <c r="E10697">
        <v>0.51106010000000002</v>
      </c>
      <c r="F10697" t="s">
        <v>42</v>
      </c>
      <c r="G10697">
        <v>-134.25919999999999</v>
      </c>
      <c r="H10697" s="1">
        <v>-2.9463629999999999E-6</v>
      </c>
      <c r="I10697">
        <v>136.7902</v>
      </c>
      <c r="J10697">
        <v>-165.22210000000001</v>
      </c>
      <c r="K10697">
        <v>1.092071</v>
      </c>
      <c r="L10697">
        <v>142.5591</v>
      </c>
      <c r="M10697">
        <v>0.99596019999999996</v>
      </c>
      <c r="N10697">
        <v>0</v>
      </c>
      <c r="O10697">
        <v>8.7867829999999994E-2</v>
      </c>
      <c r="P10697">
        <v>0.98745519999999998</v>
      </c>
      <c r="Q10697">
        <v>5.9220370000000001E-2</v>
      </c>
      <c r="R10697">
        <v>-0.14637449999999999</v>
      </c>
      <c r="S10697">
        <v>2.9654850000000001</v>
      </c>
      <c r="T10697">
        <v>-0.10349270000000001</v>
      </c>
      <c r="U10697">
        <v>-0.54473879999999997</v>
      </c>
      <c r="V10697">
        <v>0.23574590000000001</v>
      </c>
      <c r="W10697">
        <v>6.6914890000000005E-2</v>
      </c>
      <c r="X10697">
        <v>0.96950829999999999</v>
      </c>
      <c r="Y10697">
        <v>0.2661984</v>
      </c>
      <c r="Z10697">
        <v>-7.6489829999999998E-3</v>
      </c>
      <c r="AA10697">
        <v>0.96388790000000002</v>
      </c>
      <c r="AB10697">
        <v>32</v>
      </c>
      <c r="AC10697">
        <v>30.962900000000001</v>
      </c>
      <c r="AD10697">
        <v>-1.092073946363</v>
      </c>
      <c r="AE10697">
        <v>-5.7689000000000004</v>
      </c>
      <c r="AF10697">
        <v>8.4575197620662905</v>
      </c>
      <c r="AG10697">
        <v>-1.092073946363</v>
      </c>
      <c r="AH10697">
        <v>30.299682948172901</v>
      </c>
      <c r="AI10697">
        <v>91.988247147517797</v>
      </c>
      <c r="AJ10697">
        <v>74.404041314647898</v>
      </c>
      <c r="AK10697">
        <v>31.476865358384501</v>
      </c>
      <c r="AL10697">
        <v>86.163192437542307</v>
      </c>
      <c r="AM10697">
        <v>76.333181400503804</v>
      </c>
      <c r="AN10697">
        <v>1.0000000378197</v>
      </c>
    </row>
    <row r="10698" spans="1:40" x14ac:dyDescent="0.25">
      <c r="A10698" t="str">
        <f>"20190312150928794"</f>
        <v>20190312150928794</v>
      </c>
      <c r="B10698" t="str">
        <f>"1552374568790150"</f>
        <v>1552374568790150</v>
      </c>
      <c r="C10698" t="s">
        <v>40</v>
      </c>
      <c r="D10698">
        <v>5.0720939999999999</v>
      </c>
      <c r="E10698">
        <v>0.51129840000000004</v>
      </c>
      <c r="F10698" t="s">
        <v>42</v>
      </c>
      <c r="G10698">
        <v>-148.97980000000001</v>
      </c>
      <c r="H10698" s="1">
        <v>-4.2181990000000001E-7</v>
      </c>
      <c r="I10698">
        <v>139.60589999999999</v>
      </c>
      <c r="J10698">
        <v>-164.89510000000001</v>
      </c>
      <c r="K10698">
        <v>1.0921350000000001</v>
      </c>
      <c r="L10698">
        <v>142.57329999999999</v>
      </c>
      <c r="M10698">
        <v>0.99751789999999996</v>
      </c>
      <c r="N10698">
        <v>0</v>
      </c>
      <c r="O10698">
        <v>6.7945569999999997E-2</v>
      </c>
      <c r="P10698">
        <v>0.98540499999999998</v>
      </c>
      <c r="Q10698">
        <v>5.8217940000000003E-2</v>
      </c>
      <c r="R10698">
        <v>-0.15996189999999999</v>
      </c>
      <c r="S10698">
        <v>2.9700470000000001</v>
      </c>
      <c r="T10698">
        <v>-0.19969419999999999</v>
      </c>
      <c r="U10698">
        <v>-0.5400085</v>
      </c>
      <c r="V10698">
        <v>0.2296657</v>
      </c>
      <c r="W10698">
        <v>6.6214549999999997E-2</v>
      </c>
      <c r="X10698">
        <v>0.97101459999999995</v>
      </c>
      <c r="Y10698">
        <v>0.2446477</v>
      </c>
      <c r="Z10698">
        <v>-1.268008E-2</v>
      </c>
      <c r="AA10698">
        <v>0.96952919999999998</v>
      </c>
      <c r="AB10698">
        <v>32</v>
      </c>
      <c r="AC10698">
        <v>15.9153</v>
      </c>
      <c r="AD10698">
        <v>-1.0921354218199</v>
      </c>
      <c r="AE10698">
        <v>-2.9673999999999898</v>
      </c>
      <c r="AF10698">
        <v>4.0237876487540998</v>
      </c>
      <c r="AG10698">
        <v>-1.0921354218199</v>
      </c>
      <c r="AH10698">
        <v>15.6058333910945</v>
      </c>
      <c r="AI10698">
        <v>93.876788985844598</v>
      </c>
      <c r="AJ10698">
        <v>75.541837518107002</v>
      </c>
      <c r="AK10698">
        <v>16.153193574413098</v>
      </c>
      <c r="AL10698">
        <v>86.203408115623105</v>
      </c>
      <c r="AM10698">
        <v>76.692870882783097</v>
      </c>
      <c r="AN10698">
        <v>1.0000000269006699</v>
      </c>
    </row>
    <row r="10699" spans="1:40" x14ac:dyDescent="0.25">
      <c r="A10699" t="str">
        <f>"20190312150928816"</f>
        <v>20190312150928816</v>
      </c>
      <c r="B10699" t="str">
        <f>"1552374568809962"</f>
        <v>1552374568809962</v>
      </c>
      <c r="C10699" t="s">
        <v>40</v>
      </c>
      <c r="D10699">
        <v>5.0738200000000004</v>
      </c>
      <c r="E10699">
        <v>0.5143124</v>
      </c>
      <c r="F10699" t="s">
        <v>42</v>
      </c>
      <c r="G10699">
        <v>-144.22649999999999</v>
      </c>
      <c r="H10699" s="1">
        <v>-2.6551330000000001E-6</v>
      </c>
      <c r="I10699">
        <v>138.5111</v>
      </c>
      <c r="J10699">
        <v>-164.56120000000001</v>
      </c>
      <c r="K10699">
        <v>1.0922069999999999</v>
      </c>
      <c r="L10699">
        <v>142.58099999999999</v>
      </c>
      <c r="M10699">
        <v>0.99869379999999996</v>
      </c>
      <c r="N10699">
        <v>0</v>
      </c>
      <c r="O10699">
        <v>4.7651600000000002E-2</v>
      </c>
      <c r="P10699">
        <v>0.98336129999999999</v>
      </c>
      <c r="Q10699">
        <v>5.603354E-2</v>
      </c>
      <c r="R10699">
        <v>-0.1728037</v>
      </c>
      <c r="S10699">
        <v>2.959244</v>
      </c>
      <c r="T10699">
        <v>-0.15636829999999999</v>
      </c>
      <c r="U10699">
        <v>-0.58160400000000001</v>
      </c>
      <c r="V10699">
        <v>0.2224795</v>
      </c>
      <c r="W10699">
        <v>6.4385029999999996E-2</v>
      </c>
      <c r="X10699">
        <v>0.97280909999999998</v>
      </c>
      <c r="Y10699">
        <v>0.23900869999999999</v>
      </c>
      <c r="Z10699">
        <v>-8.7456200000000008E-3</v>
      </c>
      <c r="AA10699">
        <v>0.97097800000000001</v>
      </c>
      <c r="AB10699">
        <v>32</v>
      </c>
      <c r="AC10699">
        <v>20.334700000000002</v>
      </c>
      <c r="AD10699">
        <v>-1.0922096551329901</v>
      </c>
      <c r="AE10699">
        <v>-4.0699000000000103</v>
      </c>
      <c r="AF10699">
        <v>5.0204948922627599</v>
      </c>
      <c r="AG10699">
        <v>-1.0922096551329901</v>
      </c>
      <c r="AH10699">
        <v>20.061973670426799</v>
      </c>
      <c r="AI10699">
        <v>93.0231642006285</v>
      </c>
      <c r="AJ10699">
        <v>75.950313642613196</v>
      </c>
      <c r="AK10699">
        <v>20.7094441848858</v>
      </c>
      <c r="AL10699">
        <v>86.308456201788601</v>
      </c>
      <c r="AM10699">
        <v>77.118106440974699</v>
      </c>
      <c r="AN10699">
        <v>1.0000000525255699</v>
      </c>
    </row>
    <row r="10700" spans="1:40" x14ac:dyDescent="0.25">
      <c r="A10700" t="str">
        <f>"20190312150928839"</f>
        <v>20190312150928839</v>
      </c>
      <c r="B10700" t="str">
        <f>"1552374568830447"</f>
        <v>1552374568830447</v>
      </c>
      <c r="C10700" t="s">
        <v>40</v>
      </c>
      <c r="D10700">
        <v>4.9825619999999997</v>
      </c>
      <c r="E10700">
        <v>0.51535790000000004</v>
      </c>
      <c r="F10700" t="s">
        <v>42</v>
      </c>
      <c r="G10700">
        <v>-142.09569999999999</v>
      </c>
      <c r="H10700" s="1">
        <v>-3.7181469999999998E-6</v>
      </c>
      <c r="I10700">
        <v>137.67169999999999</v>
      </c>
      <c r="J10700">
        <v>-164.23240000000001</v>
      </c>
      <c r="K10700">
        <v>1.092309</v>
      </c>
      <c r="L10700">
        <v>142.58199999999999</v>
      </c>
      <c r="M10700">
        <v>0.99944599999999995</v>
      </c>
      <c r="N10700">
        <v>0</v>
      </c>
      <c r="O10700">
        <v>2.774389E-2</v>
      </c>
      <c r="P10700">
        <v>0.98125739999999995</v>
      </c>
      <c r="Q10700">
        <v>5.4070069999999998E-2</v>
      </c>
      <c r="R10700">
        <v>-0.18496119999999999</v>
      </c>
      <c r="S10700">
        <v>2.9458009999999999</v>
      </c>
      <c r="T10700">
        <v>-0.1432167</v>
      </c>
      <c r="U10700">
        <v>-0.64373780000000003</v>
      </c>
      <c r="V10700">
        <v>0.2150282</v>
      </c>
      <c r="W10700">
        <v>6.2785140000000003E-2</v>
      </c>
      <c r="X10700">
        <v>0.9745876</v>
      </c>
      <c r="Y10700">
        <v>0.24021329999999999</v>
      </c>
      <c r="Z10700">
        <v>-7.1013059999999999E-3</v>
      </c>
      <c r="AA10700">
        <v>0.9706941</v>
      </c>
      <c r="AB10700">
        <v>32</v>
      </c>
      <c r="AC10700">
        <v>22.136700000000001</v>
      </c>
      <c r="AD10700">
        <v>-1.092312718147</v>
      </c>
      <c r="AE10700">
        <v>-4.9103000000000003</v>
      </c>
      <c r="AF10700">
        <v>5.5098847022317896</v>
      </c>
      <c r="AG10700">
        <v>-1.092312718147</v>
      </c>
      <c r="AH10700">
        <v>21.941004771547099</v>
      </c>
      <c r="AI10700">
        <v>92.764372214334401</v>
      </c>
      <c r="AJ10700">
        <v>75.903229609205894</v>
      </c>
      <c r="AK10700">
        <v>22.648612913182198</v>
      </c>
      <c r="AL10700">
        <v>86.400308997099799</v>
      </c>
      <c r="AM10700">
        <v>77.557879277764997</v>
      </c>
      <c r="AN10700">
        <v>1.0000000453369</v>
      </c>
    </row>
    <row r="10701" spans="1:40" x14ac:dyDescent="0.25">
      <c r="A10701" t="str">
        <f>"20190312150928860"</f>
        <v>20190312150928860</v>
      </c>
      <c r="B10701" t="str">
        <f>"1552374568849968"</f>
        <v>1552374568849968</v>
      </c>
      <c r="C10701" t="s">
        <v>40</v>
      </c>
      <c r="D10701">
        <v>4.9996239999999998</v>
      </c>
      <c r="E10701">
        <v>0.51566579999999995</v>
      </c>
      <c r="F10701" t="s">
        <v>42</v>
      </c>
      <c r="G10701">
        <v>-141.989</v>
      </c>
      <c r="H10701" s="1">
        <v>-3.81838E-6</v>
      </c>
      <c r="I10701">
        <v>137.3647</v>
      </c>
      <c r="J10701">
        <v>-163.9126</v>
      </c>
      <c r="K10701">
        <v>1.0924240000000001</v>
      </c>
      <c r="L10701">
        <v>142.57669999999999</v>
      </c>
      <c r="M10701">
        <v>0.99979569999999995</v>
      </c>
      <c r="N10701">
        <v>0</v>
      </c>
      <c r="O10701">
        <v>8.5057190000000001E-3</v>
      </c>
      <c r="P10701">
        <v>0.98034259999999995</v>
      </c>
      <c r="Q10701">
        <v>5.2657170000000003E-2</v>
      </c>
      <c r="R10701">
        <v>-0.19014610000000001</v>
      </c>
      <c r="S10701">
        <v>2.9354399999999998</v>
      </c>
      <c r="T10701">
        <v>-0.14415159999999999</v>
      </c>
      <c r="U10701">
        <v>-0.68852230000000003</v>
      </c>
      <c r="V10701">
        <v>0.20131950000000001</v>
      </c>
      <c r="W10701">
        <v>6.20256E-2</v>
      </c>
      <c r="X10701">
        <v>0.97755990000000004</v>
      </c>
      <c r="Y10701">
        <v>0.2363518</v>
      </c>
      <c r="Z10701">
        <v>-6.1343209999999999E-3</v>
      </c>
      <c r="AA10701">
        <v>0.97164819999999996</v>
      </c>
      <c r="AB10701">
        <v>32</v>
      </c>
      <c r="AC10701">
        <v>21.9236</v>
      </c>
      <c r="AD10701">
        <v>-1.09242781838</v>
      </c>
      <c r="AE10701">
        <v>-5.2119999999999802</v>
      </c>
      <c r="AF10701">
        <v>5.3856619292339101</v>
      </c>
      <c r="AG10701">
        <v>-1.09242781838</v>
      </c>
      <c r="AH10701">
        <v>21.827171529335601</v>
      </c>
      <c r="AI10701">
        <v>92.781910036388595</v>
      </c>
      <c r="AJ10701">
        <v>76.139624454633903</v>
      </c>
      <c r="AK10701">
        <v>22.5083133514132</v>
      </c>
      <c r="AL10701">
        <v>86.443912391336696</v>
      </c>
      <c r="AM10701">
        <v>78.363151634936997</v>
      </c>
      <c r="AN10701">
        <v>1.0000000371118001</v>
      </c>
    </row>
    <row r="10702" spans="1:40" x14ac:dyDescent="0.25">
      <c r="A10702" t="str">
        <f>"20190312150928894"</f>
        <v>20190312150928894</v>
      </c>
      <c r="B10702" t="str">
        <f>"1552374568889986"</f>
        <v>1552374568889986</v>
      </c>
      <c r="C10702" t="s">
        <v>40</v>
      </c>
      <c r="D10702">
        <v>4.9963620000000004</v>
      </c>
      <c r="E10702">
        <v>0.51547129999999997</v>
      </c>
      <c r="F10702" t="s">
        <v>42</v>
      </c>
      <c r="G10702">
        <v>-142.07480000000001</v>
      </c>
      <c r="H10702" s="1">
        <v>-3.7912510000000002E-6</v>
      </c>
      <c r="I10702">
        <v>137.31010000000001</v>
      </c>
      <c r="J10702">
        <v>-163.4221</v>
      </c>
      <c r="K10702">
        <v>1.0927089999999999</v>
      </c>
      <c r="L10702">
        <v>142.55609999999999</v>
      </c>
      <c r="M10702">
        <v>0.99962169999999895</v>
      </c>
      <c r="N10702">
        <v>0</v>
      </c>
      <c r="O10702">
        <v>-2.0611629999999999E-2</v>
      </c>
      <c r="P10702">
        <v>0.97810269999999999</v>
      </c>
      <c r="Q10702">
        <v>5.238748E-2</v>
      </c>
      <c r="R10702">
        <v>-0.20142170000000001</v>
      </c>
      <c r="S10702">
        <v>2.9309539999999998</v>
      </c>
      <c r="T10702">
        <v>-0.14662</v>
      </c>
      <c r="U10702">
        <v>-0.70684809999999998</v>
      </c>
      <c r="V10702">
        <v>0.18401380000000001</v>
      </c>
      <c r="W10702">
        <v>6.2564800000000004E-2</v>
      </c>
      <c r="X10702">
        <v>0.98093039999999998</v>
      </c>
      <c r="Y10702">
        <v>0.21412639999999999</v>
      </c>
      <c r="Z10702">
        <v>-4.2615480000000004E-3</v>
      </c>
      <c r="AA10702">
        <v>0.97679669999999996</v>
      </c>
      <c r="AB10702">
        <v>32</v>
      </c>
      <c r="AC10702">
        <v>21.347299999999901</v>
      </c>
      <c r="AD10702">
        <v>-1.092712791251</v>
      </c>
      <c r="AE10702">
        <v>-5.24599999999998</v>
      </c>
      <c r="AF10702">
        <v>4.7929664567861101</v>
      </c>
      <c r="AG10702">
        <v>-1.092712791251</v>
      </c>
      <c r="AH10702">
        <v>21.398036949662401</v>
      </c>
      <c r="AI10702">
        <v>92.852761294900006</v>
      </c>
      <c r="AJ10702">
        <v>77.374657301929204</v>
      </c>
      <c r="AK10702">
        <v>21.955467064017501</v>
      </c>
      <c r="AL10702">
        <v>86.412958043505498</v>
      </c>
      <c r="AM10702">
        <v>79.3753031524666</v>
      </c>
      <c r="AN10702">
        <v>0.99999994121681801</v>
      </c>
    </row>
    <row r="10703" spans="1:40" x14ac:dyDescent="0.25">
      <c r="A10703" t="str">
        <f>"20190312150928917"</f>
        <v>20190312150928917</v>
      </c>
      <c r="B10703" t="str">
        <f>"1552374568910482"</f>
        <v>1552374568910482</v>
      </c>
      <c r="C10703" t="s">
        <v>40</v>
      </c>
      <c r="D10703">
        <v>5.1088420000000001</v>
      </c>
      <c r="E10703">
        <v>0.51519470000000001</v>
      </c>
      <c r="F10703" t="s">
        <v>42</v>
      </c>
      <c r="G10703">
        <v>-141.13489999999999</v>
      </c>
      <c r="H10703" s="1">
        <v>-4.2621810000000001E-6</v>
      </c>
      <c r="I10703">
        <v>136.92840000000001</v>
      </c>
      <c r="J10703">
        <v>-163.0968</v>
      </c>
      <c r="K10703">
        <v>1.0929469999999999</v>
      </c>
      <c r="L10703">
        <v>142.53469999999999</v>
      </c>
      <c r="M10703">
        <v>0.99905069999999996</v>
      </c>
      <c r="N10703">
        <v>0</v>
      </c>
      <c r="O10703">
        <v>-3.962442E-2</v>
      </c>
      <c r="P10703">
        <v>0.97569349999999999</v>
      </c>
      <c r="Q10703">
        <v>5.3126819999999998E-2</v>
      </c>
      <c r="R10703">
        <v>-0.21260319999999999</v>
      </c>
      <c r="S10703">
        <v>2.9228360000000002</v>
      </c>
      <c r="T10703">
        <v>-0.14330279999999901</v>
      </c>
      <c r="U10703">
        <v>-0.7380371</v>
      </c>
      <c r="V10703">
        <v>0.1765649</v>
      </c>
      <c r="W10703">
        <v>6.3642199999999996E-2</v>
      </c>
      <c r="X10703">
        <v>0.98222940000000003</v>
      </c>
      <c r="Y10703">
        <v>0.20601820000000001</v>
      </c>
      <c r="Z10703">
        <v>-3.060307E-3</v>
      </c>
      <c r="AA10703">
        <v>0.97854339999999995</v>
      </c>
      <c r="AB10703">
        <v>32</v>
      </c>
      <c r="AC10703">
        <v>21.9619</v>
      </c>
      <c r="AD10703">
        <v>-1.09295126218099</v>
      </c>
      <c r="AE10703">
        <v>-5.6062999999999699</v>
      </c>
      <c r="AF10703">
        <v>4.7205496525374997</v>
      </c>
      <c r="AG10703">
        <v>-1.09295126218099</v>
      </c>
      <c r="AH10703">
        <v>22.1154082927346</v>
      </c>
      <c r="AI10703">
        <v>92.767043046798804</v>
      </c>
      <c r="AJ10703">
        <v>77.950992445915503</v>
      </c>
      <c r="AK10703">
        <v>22.639995923982202</v>
      </c>
      <c r="AL10703">
        <v>86.351104663821104</v>
      </c>
      <c r="AM10703">
        <v>79.809383394285803</v>
      </c>
      <c r="AN10703">
        <v>1.0000000438786001</v>
      </c>
    </row>
    <row r="10704" spans="1:40" x14ac:dyDescent="0.25">
      <c r="A10704" t="str">
        <f>"20190312150928939"</f>
        <v>20190312150928939</v>
      </c>
      <c r="B10704" t="str">
        <f>"1552374568929999"</f>
        <v>1552374568929999</v>
      </c>
      <c r="C10704" t="s">
        <v>40</v>
      </c>
      <c r="D10704">
        <v>5.1321250000000003</v>
      </c>
      <c r="E10704">
        <v>0.51480859999999995</v>
      </c>
      <c r="F10704" t="s">
        <v>42</v>
      </c>
      <c r="G10704">
        <v>-140.15459999999999</v>
      </c>
      <c r="H10704" s="1">
        <v>-4.7613810000000004E-6</v>
      </c>
      <c r="I10704">
        <v>136.48490000000001</v>
      </c>
      <c r="J10704">
        <v>-162.76830000000001</v>
      </c>
      <c r="K10704">
        <v>1.093229</v>
      </c>
      <c r="L10704">
        <v>142.50700000000001</v>
      </c>
      <c r="M10704">
        <v>0.99812460000000003</v>
      </c>
      <c r="N10704">
        <v>0</v>
      </c>
      <c r="O10704">
        <v>-5.8514410000000003E-2</v>
      </c>
      <c r="P10704">
        <v>0.97309999999999997</v>
      </c>
      <c r="Q10704">
        <v>5.3483469999999998E-2</v>
      </c>
      <c r="R10704">
        <v>-0.2240905</v>
      </c>
      <c r="S10704">
        <v>2.914825</v>
      </c>
      <c r="T10704">
        <v>-0.1388606</v>
      </c>
      <c r="U10704">
        <v>-0.76863099999999995</v>
      </c>
      <c r="V10704">
        <v>0.16952690000000001</v>
      </c>
      <c r="W10704">
        <v>6.4311240000000006E-2</v>
      </c>
      <c r="X10704">
        <v>0.98342499999999999</v>
      </c>
      <c r="Y10704">
        <v>0.19780729999999999</v>
      </c>
      <c r="Z10704">
        <v>-1.8966709999999999E-3</v>
      </c>
      <c r="AA10704">
        <v>0.98023910000000003</v>
      </c>
      <c r="AB10704">
        <v>32</v>
      </c>
      <c r="AC10704">
        <v>22.613700000000001</v>
      </c>
      <c r="AD10704">
        <v>-1.0932337613809999</v>
      </c>
      <c r="AE10704">
        <v>-6.0220999999999902</v>
      </c>
      <c r="AF10704">
        <v>4.6781275115165704</v>
      </c>
      <c r="AG10704">
        <v>-1.0932337613809999</v>
      </c>
      <c r="AH10704">
        <v>22.877450056373799</v>
      </c>
      <c r="AI10704">
        <v>92.680499956500995</v>
      </c>
      <c r="AJ10704">
        <v>78.443116679422801</v>
      </c>
      <c r="AK10704">
        <v>23.376435959164301</v>
      </c>
      <c r="AL10704">
        <v>86.312692710106603</v>
      </c>
      <c r="AM10704">
        <v>80.219241392303402</v>
      </c>
      <c r="AN10704">
        <v>1.0000000180194699</v>
      </c>
    </row>
    <row r="10705" spans="1:40" x14ac:dyDescent="0.25">
      <c r="A10705" t="str">
        <f>"20190312150928961"</f>
        <v>20190312150928961</v>
      </c>
      <c r="B10705" t="str">
        <f>"1552374568949520"</f>
        <v>1552374568949520</v>
      </c>
      <c r="C10705" t="s">
        <v>40</v>
      </c>
      <c r="D10705">
        <v>4.902641</v>
      </c>
      <c r="E10705">
        <v>0.51462229999999998</v>
      </c>
      <c r="F10705" t="s">
        <v>42</v>
      </c>
      <c r="G10705">
        <v>-139.57320000000001</v>
      </c>
      <c r="H10705" s="1">
        <v>-1.060538E-6</v>
      </c>
      <c r="I10705">
        <v>136.12379999999999</v>
      </c>
      <c r="J10705">
        <v>-162.4562</v>
      </c>
      <c r="K10705">
        <v>1.0935469999999901</v>
      </c>
      <c r="L10705">
        <v>142.47489999999999</v>
      </c>
      <c r="M10705">
        <v>0.99694139999999998</v>
      </c>
      <c r="N10705">
        <v>0</v>
      </c>
      <c r="O10705">
        <v>-7.6084260000000001E-2</v>
      </c>
      <c r="P10705">
        <v>0.97059859999999998</v>
      </c>
      <c r="Q10705">
        <v>5.3878509999999998E-2</v>
      </c>
      <c r="R10705">
        <v>-0.23459679999999999</v>
      </c>
      <c r="S10705">
        <v>2.9062809999999999</v>
      </c>
      <c r="T10705">
        <v>-0.13697870000000001</v>
      </c>
      <c r="U10705">
        <v>-0.79978939999999998</v>
      </c>
      <c r="V10705">
        <v>0.16279589999999999</v>
      </c>
      <c r="W10705">
        <v>6.5004560000000003E-2</v>
      </c>
      <c r="X10705">
        <v>0.98451610000000001</v>
      </c>
      <c r="Y10705">
        <v>0.19107350000000001</v>
      </c>
      <c r="Z10705">
        <v>-9.1061790000000005E-4</v>
      </c>
      <c r="AA10705">
        <v>0.98157530000000004</v>
      </c>
      <c r="AB10705">
        <v>32</v>
      </c>
      <c r="AC10705">
        <v>22.8829999999999</v>
      </c>
      <c r="AD10705">
        <v>-1.0935480605379999</v>
      </c>
      <c r="AE10705">
        <v>-6.3510999999999997</v>
      </c>
      <c r="AF10705">
        <v>4.5816558373228302</v>
      </c>
      <c r="AG10705">
        <v>-1.0935480605379999</v>
      </c>
      <c r="AH10705">
        <v>23.250644741814799</v>
      </c>
      <c r="AI10705">
        <v>92.6420750116189</v>
      </c>
      <c r="AJ10705">
        <v>78.852405163475595</v>
      </c>
      <c r="AK10705">
        <v>23.722982495514</v>
      </c>
      <c r="AL10705">
        <v>86.272885126550904</v>
      </c>
      <c r="AM10705">
        <v>80.610744852066702</v>
      </c>
      <c r="AN10705">
        <v>1.0000000245184</v>
      </c>
    </row>
    <row r="10706" spans="1:40" x14ac:dyDescent="0.25">
      <c r="A10706" t="str">
        <f>"20190312150928983"</f>
        <v>20190312150928983</v>
      </c>
      <c r="B10706" t="str">
        <f>"1552374568979775"</f>
        <v>1552374568979775</v>
      </c>
      <c r="C10706" t="s">
        <v>40</v>
      </c>
      <c r="D10706">
        <v>4.8988170000000002</v>
      </c>
      <c r="E10706">
        <v>0.51451659999999999</v>
      </c>
      <c r="F10706" t="s">
        <v>42</v>
      </c>
      <c r="G10706">
        <v>-137.97229999999999</v>
      </c>
      <c r="H10706" s="1">
        <v>-1.7792959999999999E-6</v>
      </c>
      <c r="I10706">
        <v>135.47</v>
      </c>
      <c r="J10706">
        <v>-162.1343</v>
      </c>
      <c r="K10706">
        <v>1.093933</v>
      </c>
      <c r="L10706">
        <v>142.43639999999999</v>
      </c>
      <c r="M10706">
        <v>0.99543820000000005</v>
      </c>
      <c r="N10706">
        <v>0</v>
      </c>
      <c r="O10706">
        <v>-9.3746889999999999E-2</v>
      </c>
      <c r="P10706">
        <v>0.96792009999999995</v>
      </c>
      <c r="Q10706">
        <v>5.4279880000000003E-2</v>
      </c>
      <c r="R10706">
        <v>-0.24532570000000001</v>
      </c>
      <c r="S10706">
        <v>2.897659</v>
      </c>
      <c r="T10706">
        <v>-0.12942089999999901</v>
      </c>
      <c r="U10706">
        <v>-0.82902529999999997</v>
      </c>
      <c r="V10706">
        <v>0.15618479999999901</v>
      </c>
      <c r="W10706">
        <v>6.5696399999999905E-2</v>
      </c>
      <c r="X10706">
        <v>0.98554059999999999</v>
      </c>
      <c r="Y10706">
        <v>0.1836264</v>
      </c>
      <c r="Z10706" s="1">
        <v>6.7346260000000007E-5</v>
      </c>
      <c r="AA10706">
        <v>0.98299610000000004</v>
      </c>
      <c r="AB10706">
        <v>32</v>
      </c>
      <c r="AC10706">
        <v>24.161999999999999</v>
      </c>
      <c r="AD10706">
        <v>-1.0939347792959999</v>
      </c>
      <c r="AE10706">
        <v>-6.9663999999999904</v>
      </c>
      <c r="AF10706">
        <v>4.6614205696575102</v>
      </c>
      <c r="AG10706">
        <v>-1.0939347792959999</v>
      </c>
      <c r="AH10706">
        <v>24.662066453775601</v>
      </c>
      <c r="AI10706">
        <v>92.495671938552604</v>
      </c>
      <c r="AJ10706">
        <v>79.296691983377798</v>
      </c>
      <c r="AK10706">
        <v>25.122560713411101</v>
      </c>
      <c r="AL10706">
        <v>86.233160573994496</v>
      </c>
      <c r="AM10706">
        <v>80.994867276056297</v>
      </c>
      <c r="AN10706">
        <v>0.99999999148618002</v>
      </c>
    </row>
    <row r="10707" spans="1:40" x14ac:dyDescent="0.25">
      <c r="A10707" t="str">
        <f>"20190312150929007"</f>
        <v>20190312150929007</v>
      </c>
      <c r="B10707" t="str">
        <f>"1552374569000271"</f>
        <v>1552374569000271</v>
      </c>
      <c r="C10707" t="s">
        <v>40</v>
      </c>
      <c r="D10707">
        <v>4.9617680000000002</v>
      </c>
      <c r="E10707">
        <v>0.51422650000000003</v>
      </c>
      <c r="F10707" t="s">
        <v>42</v>
      </c>
      <c r="G10707">
        <v>-134.3783</v>
      </c>
      <c r="H10707" s="1">
        <v>-3.3582739999999998E-6</v>
      </c>
      <c r="I10707">
        <v>134.18010000000001</v>
      </c>
      <c r="J10707">
        <v>-161.8083</v>
      </c>
      <c r="K10707">
        <v>1.0943849999999999</v>
      </c>
      <c r="L10707">
        <v>142.3913</v>
      </c>
      <c r="M10707">
        <v>0.99366239999999995</v>
      </c>
      <c r="N10707">
        <v>0</v>
      </c>
      <c r="O10707">
        <v>-0.111024499999999</v>
      </c>
      <c r="P10707">
        <v>0.96544209999999997</v>
      </c>
      <c r="Q10707">
        <v>5.3801120000000001E-2</v>
      </c>
      <c r="R10707">
        <v>-0.25500479999999998</v>
      </c>
      <c r="S10707">
        <v>2.8880919999999999</v>
      </c>
      <c r="T10707">
        <v>-0.1138272</v>
      </c>
      <c r="U10707">
        <v>-0.85908510000000005</v>
      </c>
      <c r="V10707">
        <v>0.1488256</v>
      </c>
      <c r="W10707">
        <v>6.55332E-2</v>
      </c>
      <c r="X10707">
        <v>0.98668960000000006</v>
      </c>
      <c r="Y10707">
        <v>0.17686869999999999</v>
      </c>
      <c r="Z10707">
        <v>8.4800759999999903E-4</v>
      </c>
      <c r="AA10707">
        <v>0.9842341</v>
      </c>
      <c r="AB10707">
        <v>32</v>
      </c>
      <c r="AC10707">
        <v>27.43</v>
      </c>
      <c r="AD10707">
        <v>-1.0943883582739999</v>
      </c>
      <c r="AE10707">
        <v>-8.2111999999999892</v>
      </c>
      <c r="AF10707">
        <v>5.1070869556623704</v>
      </c>
      <c r="AG10707">
        <v>-1.0943883582739999</v>
      </c>
      <c r="AH10707">
        <v>28.131054644176601</v>
      </c>
      <c r="AI10707">
        <v>92.192070729551304</v>
      </c>
      <c r="AJ10707">
        <v>79.710237253064406</v>
      </c>
      <c r="AK10707">
        <v>28.611820257457801</v>
      </c>
      <c r="AL10707">
        <v>86.242531520716199</v>
      </c>
      <c r="AM10707">
        <v>81.422548899262495</v>
      </c>
      <c r="AN10707">
        <v>1.0000000131328799</v>
      </c>
    </row>
    <row r="10708" spans="1:40" x14ac:dyDescent="0.25">
      <c r="A10708" t="str">
        <f>"20190312150929029"</f>
        <v>20190312150929029</v>
      </c>
      <c r="B10708" t="str">
        <f>"1552374569019791"</f>
        <v>1552374569019791</v>
      </c>
      <c r="C10708" t="s">
        <v>40</v>
      </c>
      <c r="D10708">
        <v>4.9120100000000004</v>
      </c>
      <c r="E10708">
        <v>0.51388049999999996</v>
      </c>
      <c r="F10708" t="s">
        <v>42</v>
      </c>
      <c r="G10708">
        <v>-133.02350000000001</v>
      </c>
      <c r="H10708" s="1">
        <v>-4.0516089999999999E-6</v>
      </c>
      <c r="I10708">
        <v>133.548</v>
      </c>
      <c r="J10708">
        <v>-161.48750000000001</v>
      </c>
      <c r="K10708">
        <v>1.094889</v>
      </c>
      <c r="L10708">
        <v>142.3417</v>
      </c>
      <c r="M10708">
        <v>0.99169989999999997</v>
      </c>
      <c r="N10708">
        <v>0</v>
      </c>
      <c r="O10708">
        <v>-0.12739139999999999</v>
      </c>
      <c r="P10708">
        <v>0.96327629999999997</v>
      </c>
      <c r="Q10708">
        <v>5.158124E-2</v>
      </c>
      <c r="R10708">
        <v>-0.26351140000000001</v>
      </c>
      <c r="S10708">
        <v>2.879807</v>
      </c>
      <c r="T10708">
        <v>-0.109489</v>
      </c>
      <c r="U10708">
        <v>-0.8847351</v>
      </c>
      <c r="V10708">
        <v>0.14107059999999999</v>
      </c>
      <c r="W10708">
        <v>6.3635549999999999E-2</v>
      </c>
      <c r="X10708">
        <v>0.98795219999999995</v>
      </c>
      <c r="Y10708">
        <v>0.16945979999999999</v>
      </c>
      <c r="Z10708">
        <v>1.553486E-3</v>
      </c>
      <c r="AA10708">
        <v>0.98553590000000002</v>
      </c>
      <c r="AB10708">
        <v>32</v>
      </c>
      <c r="AC10708">
        <v>28.463999999999999</v>
      </c>
      <c r="AD10708">
        <v>-1.0948930516089901</v>
      </c>
      <c r="AE10708">
        <v>-8.7936999999999994</v>
      </c>
      <c r="AF10708">
        <v>5.0885408239489296</v>
      </c>
      <c r="AG10708">
        <v>-1.0948930516089901</v>
      </c>
      <c r="AH10708">
        <v>29.312838062791201</v>
      </c>
      <c r="AI10708">
        <v>92.107625523487002</v>
      </c>
      <c r="AJ10708">
        <v>80.151921995981496</v>
      </c>
      <c r="AK10708">
        <v>29.771370707558599</v>
      </c>
      <c r="AL10708">
        <v>86.351486197310507</v>
      </c>
      <c r="AM10708">
        <v>81.873616286725607</v>
      </c>
      <c r="AN10708">
        <v>0.99999997344650005</v>
      </c>
    </row>
    <row r="10709" spans="1:40" x14ac:dyDescent="0.25">
      <c r="A10709" t="str">
        <f>"20190312150929053"</f>
        <v>20190312150929053</v>
      </c>
      <c r="B10709" t="str">
        <f>"1552374569050047"</f>
        <v>1552374569050047</v>
      </c>
      <c r="C10709" t="s">
        <v>40</v>
      </c>
      <c r="D10709">
        <v>4.8768029999999998</v>
      </c>
      <c r="E10709">
        <v>0.51290139999999995</v>
      </c>
      <c r="F10709" t="s">
        <v>42</v>
      </c>
      <c r="G10709">
        <v>-133.69239999999999</v>
      </c>
      <c r="H10709" s="1">
        <v>-3.7614679999999999E-6</v>
      </c>
      <c r="I10709">
        <v>133.566</v>
      </c>
      <c r="J10709">
        <v>-161.1472</v>
      </c>
      <c r="K10709">
        <v>1.0954440000000001</v>
      </c>
      <c r="L10709">
        <v>142.2835</v>
      </c>
      <c r="M10709">
        <v>0.98941290000000004</v>
      </c>
      <c r="N10709">
        <v>0</v>
      </c>
      <c r="O10709">
        <v>-0.14410319999999999</v>
      </c>
      <c r="P10709">
        <v>0.96121840000000003</v>
      </c>
      <c r="Q10709">
        <v>5.0642520000000003E-2</v>
      </c>
      <c r="R10709">
        <v>-0.2710998</v>
      </c>
      <c r="S10709">
        <v>2.8723450000000001</v>
      </c>
      <c r="T10709">
        <v>-0.113146</v>
      </c>
      <c r="U10709">
        <v>-0.9068756</v>
      </c>
      <c r="V10709">
        <v>0.1320537</v>
      </c>
      <c r="W10709">
        <v>6.3044970000000006E-2</v>
      </c>
      <c r="X10709">
        <v>0.98923559999999999</v>
      </c>
      <c r="Y10709">
        <v>0.1604843</v>
      </c>
      <c r="Z10709">
        <v>2.4108129999999999E-3</v>
      </c>
      <c r="AA10709">
        <v>0.98703549999999995</v>
      </c>
      <c r="AB10709">
        <v>32</v>
      </c>
      <c r="AC10709">
        <v>27.454799999999999</v>
      </c>
      <c r="AD10709">
        <v>-1.095447761468</v>
      </c>
      <c r="AE10709">
        <v>-8.7174999999999994</v>
      </c>
      <c r="AF10709">
        <v>4.6628310403473803</v>
      </c>
      <c r="AG10709">
        <v>-1.095447761468</v>
      </c>
      <c r="AH10709">
        <v>28.383517060636901</v>
      </c>
      <c r="AI10709">
        <v>92.180999804830194</v>
      </c>
      <c r="AJ10709">
        <v>80.670804990109005</v>
      </c>
      <c r="AK10709">
        <v>28.784823081624001</v>
      </c>
      <c r="AL10709">
        <v>86.3853919751799</v>
      </c>
      <c r="AM10709">
        <v>82.396500860188794</v>
      </c>
      <c r="AN10709">
        <v>0.99999996011667402</v>
      </c>
    </row>
    <row r="10710" spans="1:40" x14ac:dyDescent="0.25">
      <c r="A10710" t="str">
        <f>"20190312150929074"</f>
        <v>20190312150929074</v>
      </c>
      <c r="B10710" t="str">
        <f>"1552374569070543"</f>
        <v>1552374569070543</v>
      </c>
      <c r="C10710" t="s">
        <v>40</v>
      </c>
      <c r="D10710">
        <v>4.9802520000000001</v>
      </c>
      <c r="E10710">
        <v>0.51223669999999999</v>
      </c>
      <c r="F10710" t="s">
        <v>42</v>
      </c>
      <c r="G10710">
        <v>-132.83699999999999</v>
      </c>
      <c r="H10710" s="1">
        <v>-4.1968710000000003E-6</v>
      </c>
      <c r="I10710">
        <v>133.18010000000001</v>
      </c>
      <c r="J10710">
        <v>-160.8579</v>
      </c>
      <c r="K10710">
        <v>1.095928</v>
      </c>
      <c r="L10710">
        <v>142.22970000000001</v>
      </c>
      <c r="M10710">
        <v>0.98733079999999995</v>
      </c>
      <c r="N10710">
        <v>0</v>
      </c>
      <c r="O10710">
        <v>-0.15775500000000001</v>
      </c>
      <c r="P10710">
        <v>0.9597677</v>
      </c>
      <c r="Q10710">
        <v>5.0407830000000001E-2</v>
      </c>
      <c r="R10710">
        <v>-0.27623429999999999</v>
      </c>
      <c r="S10710">
        <v>2.8668670000000001</v>
      </c>
      <c r="T10710">
        <v>-0.11093160000000001</v>
      </c>
      <c r="U10710">
        <v>-0.92185969999999995</v>
      </c>
      <c r="V10710">
        <v>0.1235827</v>
      </c>
      <c r="W10710">
        <v>6.3122529999999996E-2</v>
      </c>
      <c r="X10710">
        <v>0.9903246</v>
      </c>
      <c r="Y10710">
        <v>0.1520849</v>
      </c>
      <c r="Z10710">
        <v>3.0287320000000001E-3</v>
      </c>
      <c r="AA10710">
        <v>0.98836279999999999</v>
      </c>
      <c r="AB10710">
        <v>31</v>
      </c>
      <c r="AC10710">
        <v>28.020899999999902</v>
      </c>
      <c r="AD10710">
        <v>-1.0959321968709901</v>
      </c>
      <c r="AE10710">
        <v>-9.0495999999999892</v>
      </c>
      <c r="AF10710">
        <v>4.5089235011991198</v>
      </c>
      <c r="AG10710">
        <v>-1.0959321968709901</v>
      </c>
      <c r="AH10710">
        <v>29.0575042468205</v>
      </c>
      <c r="AI10710">
        <v>92.134422662823098</v>
      </c>
      <c r="AJ10710">
        <v>81.179619623086296</v>
      </c>
      <c r="AK10710">
        <v>29.425669262971699</v>
      </c>
      <c r="AL10710">
        <v>86.380939301120904</v>
      </c>
      <c r="AM10710">
        <v>82.886825653873998</v>
      </c>
      <c r="AN10710">
        <v>0.99999997544902497</v>
      </c>
    </row>
    <row r="10711" spans="1:40" x14ac:dyDescent="0.25">
      <c r="A10711" t="str">
        <f>"20190312150929096"</f>
        <v>20190312150929096</v>
      </c>
      <c r="B10711" t="str">
        <f>"1552374569090063"</f>
        <v>1552374569090063</v>
      </c>
      <c r="C10711" t="s">
        <v>40</v>
      </c>
      <c r="D10711">
        <v>5.1858550000000001</v>
      </c>
      <c r="E10711">
        <v>0.51147429999999905</v>
      </c>
      <c r="F10711" t="s">
        <v>42</v>
      </c>
      <c r="G10711">
        <v>-132.3381</v>
      </c>
      <c r="H10711" s="1">
        <v>-4.452365E-6</v>
      </c>
      <c r="I10711">
        <v>132.94630000000001</v>
      </c>
      <c r="J10711">
        <v>-160.53890000000001</v>
      </c>
      <c r="K10711">
        <v>1.096503</v>
      </c>
      <c r="L10711">
        <v>142.166</v>
      </c>
      <c r="M10711">
        <v>0.98492579999999996</v>
      </c>
      <c r="N10711">
        <v>0</v>
      </c>
      <c r="O10711">
        <v>-0.17214989999999999</v>
      </c>
      <c r="P10711">
        <v>0.95769749999999998</v>
      </c>
      <c r="Q10711">
        <v>5.0348480000000001E-2</v>
      </c>
      <c r="R10711">
        <v>-0.28333940000000002</v>
      </c>
      <c r="S10711">
        <v>2.8633120000000001</v>
      </c>
      <c r="T10711">
        <v>-0.1100285</v>
      </c>
      <c r="U10711">
        <v>-0.93202209999999996</v>
      </c>
      <c r="V10711">
        <v>0.1163682</v>
      </c>
      <c r="W10711">
        <v>6.3315750000000004E-2</v>
      </c>
      <c r="X10711">
        <v>0.99118589999999995</v>
      </c>
      <c r="Y10711">
        <v>0.14119809999999999</v>
      </c>
      <c r="Z10711">
        <v>3.7360119999999999E-3</v>
      </c>
      <c r="AA10711">
        <v>0.98997429999999997</v>
      </c>
      <c r="AB10711">
        <v>31</v>
      </c>
      <c r="AC10711">
        <v>28.200800000000001</v>
      </c>
      <c r="AD10711">
        <v>-1.096507452365</v>
      </c>
      <c r="AE10711">
        <v>-9.21969999999998</v>
      </c>
      <c r="AF10711">
        <v>4.2207941421825197</v>
      </c>
      <c r="AG10711">
        <v>-1.096507452365</v>
      </c>
      <c r="AH10711">
        <v>29.3270036987394</v>
      </c>
      <c r="AI10711">
        <v>92.1194171990022</v>
      </c>
      <c r="AJ10711">
        <v>81.8101281728066</v>
      </c>
      <c r="AK10711">
        <v>29.649461676894699</v>
      </c>
      <c r="AL10711">
        <v>86.369846383863802</v>
      </c>
      <c r="AM10711">
        <v>83.303956119944701</v>
      </c>
      <c r="AN10711">
        <v>0.99999996526405499</v>
      </c>
    </row>
    <row r="10712" spans="1:40" x14ac:dyDescent="0.25">
      <c r="A10712" t="str">
        <f>"20190312150929117"</f>
        <v>20190312150929117</v>
      </c>
      <c r="B10712" t="str">
        <f>"1552374569109583"</f>
        <v>1552374569109583</v>
      </c>
      <c r="C10712" t="s">
        <v>40</v>
      </c>
      <c r="D10712">
        <v>4.9727540000000001</v>
      </c>
      <c r="E10712">
        <v>0.51076880000000002</v>
      </c>
      <c r="F10712" t="s">
        <v>42</v>
      </c>
      <c r="G10712">
        <v>-131.7191</v>
      </c>
      <c r="H10712" s="1">
        <v>-4.7770280000000001E-6</v>
      </c>
      <c r="I10712">
        <v>132.6129</v>
      </c>
      <c r="J10712">
        <v>-160.23820000000001</v>
      </c>
      <c r="K10712">
        <v>1.09707</v>
      </c>
      <c r="L10712">
        <v>142.1019</v>
      </c>
      <c r="M10712">
        <v>0.98258639999999997</v>
      </c>
      <c r="N10712">
        <v>0</v>
      </c>
      <c r="O10712">
        <v>-0.18504899999999999</v>
      </c>
      <c r="P10712">
        <v>0.95621350000000005</v>
      </c>
      <c r="Q10712">
        <v>4.956377E-2</v>
      </c>
      <c r="R10712">
        <v>-0.28844320000000001</v>
      </c>
      <c r="S10712">
        <v>2.8579560000000002</v>
      </c>
      <c r="T10712">
        <v>-0.10873679999999999</v>
      </c>
      <c r="U10712">
        <v>-0.94734189999999996</v>
      </c>
      <c r="V10712">
        <v>0.10853019999999999</v>
      </c>
      <c r="W10712">
        <v>6.2791799999999995E-2</v>
      </c>
      <c r="X10712">
        <v>0.99210799999999999</v>
      </c>
      <c r="Y10712">
        <v>0.13356129999999999</v>
      </c>
      <c r="Z10712">
        <v>4.3017150000000002E-3</v>
      </c>
      <c r="AA10712">
        <v>0.9910312</v>
      </c>
      <c r="AB10712">
        <v>31</v>
      </c>
      <c r="AC10712">
        <v>28.519100000000002</v>
      </c>
      <c r="AD10712">
        <v>-1.097074777028</v>
      </c>
      <c r="AE10712">
        <v>-9.4890000000000008</v>
      </c>
      <c r="AF10712">
        <v>4.0415151982795496</v>
      </c>
      <c r="AG10712">
        <v>-1.097074777028</v>
      </c>
      <c r="AH10712">
        <v>29.7429654978752</v>
      </c>
      <c r="AI10712">
        <v>92.093189439641094</v>
      </c>
      <c r="AJ10712">
        <v>82.261962558625697</v>
      </c>
      <c r="AK10712">
        <v>30.036334909108199</v>
      </c>
      <c r="AL10712">
        <v>86.399926305750895</v>
      </c>
      <c r="AM10712">
        <v>83.757036301273601</v>
      </c>
      <c r="AN10712">
        <v>0.99999994906163803</v>
      </c>
    </row>
    <row r="10713" spans="1:40" x14ac:dyDescent="0.25">
      <c r="A10713" t="str">
        <f>"20190312150929139"</f>
        <v>20190312150929139</v>
      </c>
      <c r="B10713" t="str">
        <f>"1552374569130080"</f>
        <v>1552374569130080</v>
      </c>
      <c r="C10713" t="s">
        <v>40</v>
      </c>
      <c r="D10713">
        <v>4.9853290000000001</v>
      </c>
      <c r="E10713">
        <v>0.51015569999999999</v>
      </c>
      <c r="F10713" t="s">
        <v>42</v>
      </c>
      <c r="G10713">
        <v>-131.46019999999999</v>
      </c>
      <c r="H10713" s="1">
        <v>-4.917143E-6</v>
      </c>
      <c r="I10713">
        <v>132.44929999999999</v>
      </c>
      <c r="J10713">
        <v>-159.93</v>
      </c>
      <c r="K10713">
        <v>1.097693</v>
      </c>
      <c r="L10713">
        <v>142.03219999999999</v>
      </c>
      <c r="M10713">
        <v>0.98014679999999998</v>
      </c>
      <c r="N10713">
        <v>0</v>
      </c>
      <c r="O10713">
        <v>-0.19757759999999999</v>
      </c>
      <c r="P10713">
        <v>0.95506190000000002</v>
      </c>
      <c r="Q10713">
        <v>4.9225320000000003E-2</v>
      </c>
      <c r="R10713">
        <v>-0.29229070000000001</v>
      </c>
      <c r="S10713">
        <v>2.8542019999999999</v>
      </c>
      <c r="T10713">
        <v>-0.1088079</v>
      </c>
      <c r="U10713">
        <v>-0.95733639999999998</v>
      </c>
      <c r="V10713">
        <v>9.9742079999999997E-2</v>
      </c>
      <c r="W10713">
        <v>6.2727560000000002E-2</v>
      </c>
      <c r="X10713">
        <v>0.99303410000000003</v>
      </c>
      <c r="Y10713">
        <v>0.1244299</v>
      </c>
      <c r="Z10713">
        <v>4.9274749999999997E-3</v>
      </c>
      <c r="AA10713">
        <v>0.99221619999999999</v>
      </c>
      <c r="AB10713">
        <v>31</v>
      </c>
      <c r="AC10713">
        <v>28.469799999999999</v>
      </c>
      <c r="AD10713">
        <v>-1.0976979171429999</v>
      </c>
      <c r="AE10713">
        <v>-9.5828999999999898</v>
      </c>
      <c r="AF10713">
        <v>3.7631478139282701</v>
      </c>
      <c r="AG10713">
        <v>-1.0976979171429999</v>
      </c>
      <c r="AH10713">
        <v>29.7623107286391</v>
      </c>
      <c r="AI10713">
        <v>92.095564443766705</v>
      </c>
      <c r="AJ10713">
        <v>82.793759140158897</v>
      </c>
      <c r="AK10713">
        <v>30.019349794671399</v>
      </c>
      <c r="AL10713">
        <v>86.403614355924304</v>
      </c>
      <c r="AM10713">
        <v>84.264348308352794</v>
      </c>
      <c r="AN10713">
        <v>0.99999997653454398</v>
      </c>
    </row>
    <row r="10714" spans="1:40" x14ac:dyDescent="0.25">
      <c r="A10714" t="str">
        <f>"20190312150929162"</f>
        <v>20190312150929162</v>
      </c>
      <c r="B10714" t="str">
        <f>"1552374569160335"</f>
        <v>1552374569160335</v>
      </c>
      <c r="C10714" t="s">
        <v>40</v>
      </c>
      <c r="D10714">
        <v>5.046405</v>
      </c>
      <c r="E10714">
        <v>0.50896920000000001</v>
      </c>
      <c r="F10714" t="s">
        <v>42</v>
      </c>
      <c r="G10714">
        <v>-131.03870000000001</v>
      </c>
      <c r="H10714" s="1">
        <v>-5.1309640000000004E-6</v>
      </c>
      <c r="I10714">
        <v>132.26320000000001</v>
      </c>
      <c r="J10714">
        <v>-159.6225</v>
      </c>
      <c r="K10714">
        <v>1.098355</v>
      </c>
      <c r="L10714">
        <v>141.95910000000001</v>
      </c>
      <c r="M10714">
        <v>0.97770009999999996</v>
      </c>
      <c r="N10714">
        <v>0</v>
      </c>
      <c r="O10714">
        <v>-0.2093621</v>
      </c>
      <c r="P10714">
        <v>0.9540554</v>
      </c>
      <c r="Q10714">
        <v>4.948632E-2</v>
      </c>
      <c r="R10714">
        <v>-0.29551509999999998</v>
      </c>
      <c r="S10714">
        <v>2.8516689999999998</v>
      </c>
      <c r="T10714">
        <v>-0.1083466</v>
      </c>
      <c r="U10714">
        <v>-0.96423340000000002</v>
      </c>
      <c r="V10714">
        <v>9.1044749999999994E-2</v>
      </c>
      <c r="W10714">
        <v>6.3241510000000001E-2</v>
      </c>
      <c r="X10714">
        <v>0.99383670000000002</v>
      </c>
      <c r="Y10714">
        <v>0.1149139</v>
      </c>
      <c r="Z10714">
        <v>5.5056819999999996E-3</v>
      </c>
      <c r="AA10714">
        <v>0.99336020000000003</v>
      </c>
      <c r="AB10714">
        <v>31</v>
      </c>
      <c r="AC10714">
        <v>28.5838</v>
      </c>
      <c r="AD10714">
        <v>-1.0983601309640001</v>
      </c>
      <c r="AE10714">
        <v>-9.6958999999999893</v>
      </c>
      <c r="AF10714">
        <v>3.4911670472313601</v>
      </c>
      <c r="AG10714">
        <v>-1.0983601309640001</v>
      </c>
      <c r="AH10714">
        <v>29.940738901748102</v>
      </c>
      <c r="AI10714">
        <v>92.086797496182101</v>
      </c>
      <c r="AJ10714">
        <v>83.34919824056</v>
      </c>
      <c r="AK10714">
        <v>30.1635954142012</v>
      </c>
      <c r="AL10714">
        <v>86.374108729410693</v>
      </c>
      <c r="AM10714">
        <v>84.765779679024206</v>
      </c>
      <c r="AN10714">
        <v>1.0000000106782601</v>
      </c>
    </row>
    <row r="10715" spans="1:40" x14ac:dyDescent="0.25">
      <c r="A10715" t="str">
        <f>"20190312150929184"</f>
        <v>20190312150929184</v>
      </c>
      <c r="B10715" t="str">
        <f>"1552374569179855"</f>
        <v>1552374569179855</v>
      </c>
      <c r="C10715" t="s">
        <v>40</v>
      </c>
      <c r="D10715">
        <v>4.978091</v>
      </c>
      <c r="E10715">
        <v>0.50860519999999998</v>
      </c>
      <c r="F10715" t="s">
        <v>42</v>
      </c>
      <c r="G10715">
        <v>-129.48519999999999</v>
      </c>
      <c r="H10715" s="1">
        <v>-2.2502839999999998E-6</v>
      </c>
      <c r="I10715">
        <v>131.76490000000001</v>
      </c>
      <c r="J10715">
        <v>-159.31610000000001</v>
      </c>
      <c r="K10715">
        <v>1.0990530000000001</v>
      </c>
      <c r="L10715">
        <v>141.8828</v>
      </c>
      <c r="M10715">
        <v>0.9752769</v>
      </c>
      <c r="N10715">
        <v>0</v>
      </c>
      <c r="O10715">
        <v>-0.220387</v>
      </c>
      <c r="P10715">
        <v>0.95291800000000004</v>
      </c>
      <c r="Q10715">
        <v>5.2714990000000003E-2</v>
      </c>
      <c r="R10715">
        <v>-0.29861149999999997</v>
      </c>
      <c r="S10715">
        <v>2.8511350000000002</v>
      </c>
      <c r="T10715">
        <v>-0.1039099</v>
      </c>
      <c r="U10715">
        <v>-0.96441650000000001</v>
      </c>
      <c r="V10715">
        <v>8.3064929999999995E-2</v>
      </c>
      <c r="W10715">
        <v>6.6683199999999998E-2</v>
      </c>
      <c r="X10715">
        <v>0.99431060000000004</v>
      </c>
      <c r="Y10715">
        <v>0.1038138</v>
      </c>
      <c r="Z10715">
        <v>5.8550329999999999E-3</v>
      </c>
      <c r="AA10715">
        <v>0.99457949999999995</v>
      </c>
      <c r="AB10715">
        <v>31</v>
      </c>
      <c r="AC10715">
        <v>29.8309</v>
      </c>
      <c r="AD10715">
        <v>-1.0990552502840001</v>
      </c>
      <c r="AE10715">
        <v>-10.117899999999899</v>
      </c>
      <c r="AF10715">
        <v>3.2898423974373601</v>
      </c>
      <c r="AG10715">
        <v>-1.0990552502840001</v>
      </c>
      <c r="AH10715">
        <v>31.289295159569299</v>
      </c>
      <c r="AI10715">
        <v>92.000702072231704</v>
      </c>
      <c r="AJ10715">
        <v>83.997817643941005</v>
      </c>
      <c r="AK10715">
        <v>31.480962136278499</v>
      </c>
      <c r="AL10715">
        <v>86.176496869819303</v>
      </c>
      <c r="AM10715">
        <v>85.224586314722899</v>
      </c>
      <c r="AN10715">
        <v>1.0000000005152501</v>
      </c>
    </row>
    <row r="10716" spans="1:40" x14ac:dyDescent="0.25">
      <c r="A10716" t="str">
        <f>"20190312150929207"</f>
        <v>20190312150929207</v>
      </c>
      <c r="B10716" t="str">
        <f>"1552374569200351"</f>
        <v>1552374569200351</v>
      </c>
      <c r="C10716" t="s">
        <v>40</v>
      </c>
      <c r="D10716">
        <v>5.0595319999999999</v>
      </c>
      <c r="E10716">
        <v>0.49104209999999898</v>
      </c>
      <c r="F10716" t="s">
        <v>42</v>
      </c>
      <c r="G10716">
        <v>-125.60429999999999</v>
      </c>
      <c r="H10716" s="1">
        <v>-3.9350450000000002E-6</v>
      </c>
      <c r="I10716">
        <v>130.39660000000001</v>
      </c>
      <c r="J10716">
        <v>-159.00700000000001</v>
      </c>
      <c r="K10716">
        <v>1.099769</v>
      </c>
      <c r="L10716">
        <v>141.8023</v>
      </c>
      <c r="M10716">
        <v>0.97288479999999999</v>
      </c>
      <c r="N10716">
        <v>0</v>
      </c>
      <c r="O10716">
        <v>-0.23072819999999999</v>
      </c>
      <c r="P10716">
        <v>0.95198199999999999</v>
      </c>
      <c r="Q10716">
        <v>5.5376069999999999E-2</v>
      </c>
      <c r="R10716">
        <v>-0.30110479999999901</v>
      </c>
      <c r="S10716">
        <v>2.8491819999999999</v>
      </c>
      <c r="T10716">
        <v>-9.2887639999999994E-2</v>
      </c>
      <c r="U10716">
        <v>-0.97076419999999997</v>
      </c>
      <c r="V10716">
        <v>7.5093610000000005E-2</v>
      </c>
      <c r="W10716">
        <v>6.9537100000000004E-2</v>
      </c>
      <c r="X10716">
        <v>0.99474899999999999</v>
      </c>
      <c r="Y10716">
        <v>9.5440520000000001E-2</v>
      </c>
      <c r="Z10716">
        <v>5.6834909999999997E-3</v>
      </c>
      <c r="AA10716">
        <v>0.9954189</v>
      </c>
      <c r="AB10716">
        <v>31</v>
      </c>
      <c r="AC10716">
        <v>33.402700000000003</v>
      </c>
      <c r="AD10716">
        <v>-1.0997729350450001</v>
      </c>
      <c r="AE10716">
        <v>-11.4056999999999</v>
      </c>
      <c r="AF10716">
        <v>3.3866395850042599</v>
      </c>
      <c r="AG10716">
        <v>-1.0997729350450001</v>
      </c>
      <c r="AH10716">
        <v>35.09908188571</v>
      </c>
      <c r="AI10716">
        <v>91.786392445444903</v>
      </c>
      <c r="AJ10716">
        <v>84.488706848352095</v>
      </c>
      <c r="AK10716">
        <v>35.279234365376297</v>
      </c>
      <c r="AL10716">
        <v>86.012599848563298</v>
      </c>
      <c r="AM10716">
        <v>85.682929342185801</v>
      </c>
      <c r="AN10716">
        <v>1.0000000157701201</v>
      </c>
    </row>
    <row r="10717" spans="1:40" x14ac:dyDescent="0.25">
      <c r="A10717" t="str">
        <f>"20190312150929231"</f>
        <v>20190312150929231</v>
      </c>
      <c r="B10717" t="str">
        <f>"1552374569219872"</f>
        <v>1552374569219872</v>
      </c>
      <c r="C10717" t="s">
        <v>40</v>
      </c>
      <c r="D10717">
        <v>5.1075670000000004</v>
      </c>
      <c r="E10717">
        <v>0.4910004</v>
      </c>
      <c r="F10717" t="s">
        <v>92</v>
      </c>
      <c r="G10717">
        <v>-74.938519999999997</v>
      </c>
      <c r="H10717">
        <v>0.68678090000000003</v>
      </c>
      <c r="I10717">
        <v>117.2675</v>
      </c>
      <c r="J10717">
        <v>-158.68459999999999</v>
      </c>
      <c r="K10717">
        <v>1.100447</v>
      </c>
      <c r="L10717">
        <v>141.71510000000001</v>
      </c>
      <c r="M10717">
        <v>0.97042519999999999</v>
      </c>
      <c r="N10717">
        <v>0</v>
      </c>
      <c r="O10717">
        <v>-0.2408729</v>
      </c>
      <c r="P10717">
        <v>0.95146330000000001</v>
      </c>
      <c r="Q10717">
        <v>5.6468289999999997E-2</v>
      </c>
      <c r="R10717">
        <v>-0.30253809999999998</v>
      </c>
      <c r="S10717">
        <v>2.8857729999999999</v>
      </c>
      <c r="T10717">
        <v>-1.417625E-2</v>
      </c>
      <c r="U10717">
        <v>-0.84219359999999999</v>
      </c>
      <c r="V10717">
        <v>6.6123600000000005E-2</v>
      </c>
      <c r="W10717">
        <v>7.0821369999999995E-2</v>
      </c>
      <c r="X10717">
        <v>0.99529489999999998</v>
      </c>
      <c r="Y10717">
        <v>4.0651140000000002E-2</v>
      </c>
      <c r="Z10717">
        <v>1.0429669999999999E-3</v>
      </c>
      <c r="AA10717">
        <v>0.99917290000000003</v>
      </c>
      <c r="AB10717">
        <v>31</v>
      </c>
      <c r="AC10717">
        <v>83.746079999999907</v>
      </c>
      <c r="AD10717">
        <v>-0.41366609999999898</v>
      </c>
      <c r="AE10717">
        <v>-24.447600000000001</v>
      </c>
      <c r="AF10717">
        <v>3.55277942274583</v>
      </c>
      <c r="AG10717">
        <v>-0.41366609999999898</v>
      </c>
      <c r="AH10717">
        <v>87.167233475409702</v>
      </c>
      <c r="AI10717">
        <v>90.271678715063103</v>
      </c>
      <c r="AJ10717">
        <v>87.666019088444799</v>
      </c>
      <c r="AK10717">
        <v>87.240586615551607</v>
      </c>
      <c r="AL10717">
        <v>85.938834521773899</v>
      </c>
      <c r="AM10717">
        <v>86.199072338196999</v>
      </c>
      <c r="AN10717">
        <v>0.99999996744582198</v>
      </c>
    </row>
    <row r="10718" spans="1:40" x14ac:dyDescent="0.25">
      <c r="A10718" t="str">
        <f>"20190312150929256"</f>
        <v>20190312150929256</v>
      </c>
      <c r="B10718" t="str">
        <f>"1552374569250127"</f>
        <v>1552374569250127</v>
      </c>
      <c r="C10718" t="s">
        <v>40</v>
      </c>
      <c r="D10718">
        <v>5.0769440000000001</v>
      </c>
      <c r="E10718">
        <v>0.49033939999999998</v>
      </c>
      <c r="F10718" t="s">
        <v>92</v>
      </c>
      <c r="G10718">
        <v>-75.409829999999999</v>
      </c>
      <c r="H10718">
        <v>0.37271120000000002</v>
      </c>
      <c r="I10718">
        <v>117.2676</v>
      </c>
      <c r="J10718">
        <v>-158.33799999999999</v>
      </c>
      <c r="K10718">
        <v>1.1011409999999999</v>
      </c>
      <c r="L10718">
        <v>141.61789999999999</v>
      </c>
      <c r="M10718">
        <v>0.96784040000000005</v>
      </c>
      <c r="N10718">
        <v>0</v>
      </c>
      <c r="O10718">
        <v>-0.25106709999999999</v>
      </c>
      <c r="P10718">
        <v>0.95073030000000003</v>
      </c>
      <c r="Q10718">
        <v>5.6779160000000002E-2</v>
      </c>
      <c r="R10718">
        <v>-0.30477659999999901</v>
      </c>
      <c r="S10718">
        <v>2.885208</v>
      </c>
      <c r="T10718">
        <v>-2.5213599999999999E-2</v>
      </c>
      <c r="U10718">
        <v>-0.84703059999999997</v>
      </c>
      <c r="V10718">
        <v>5.7882200000000002E-2</v>
      </c>
      <c r="W10718">
        <v>7.1281799999999895E-2</v>
      </c>
      <c r="X10718">
        <v>0.99577530000000003</v>
      </c>
      <c r="Y10718">
        <v>3.1740879999999999E-2</v>
      </c>
      <c r="Z10718">
        <v>1.9765920000000001E-3</v>
      </c>
      <c r="AA10718">
        <v>0.9994942</v>
      </c>
      <c r="AB10718">
        <v>31</v>
      </c>
      <c r="AC10718">
        <v>82.928169999999994</v>
      </c>
      <c r="AD10718">
        <v>-0.72842979999999902</v>
      </c>
      <c r="AE10718">
        <v>-24.350299999999901</v>
      </c>
      <c r="AF10718">
        <v>2.7468176010088201</v>
      </c>
      <c r="AG10718">
        <v>-0.72842979999999902</v>
      </c>
      <c r="AH10718">
        <v>86.379467327708696</v>
      </c>
      <c r="AI10718">
        <v>90.482914295783004</v>
      </c>
      <c r="AJ10718">
        <v>88.178640774669404</v>
      </c>
      <c r="AK10718">
        <v>86.426199689246104</v>
      </c>
      <c r="AL10718">
        <v>85.912386895075002</v>
      </c>
      <c r="AM10718">
        <v>86.673267429017997</v>
      </c>
      <c r="AN10718">
        <v>0.99999994608908305</v>
      </c>
    </row>
    <row r="10719" spans="1:40" x14ac:dyDescent="0.25">
      <c r="A10719" t="str">
        <f>"20190312150929277"</f>
        <v>20190312150929277</v>
      </c>
      <c r="B10719" t="str">
        <f>"1552374569269648"</f>
        <v>1552374569269648</v>
      </c>
      <c r="C10719" t="s">
        <v>40</v>
      </c>
      <c r="D10719">
        <v>4.9555449999999999</v>
      </c>
      <c r="E10719">
        <v>0.48966500000000002</v>
      </c>
      <c r="F10719" t="s">
        <v>92</v>
      </c>
      <c r="G10719">
        <v>-75.562439999999995</v>
      </c>
      <c r="H10719">
        <v>0.2198339</v>
      </c>
      <c r="I10719">
        <v>117.2676</v>
      </c>
      <c r="J10719">
        <v>-158.06440000000001</v>
      </c>
      <c r="K10719">
        <v>1.1016790000000001</v>
      </c>
      <c r="L10719">
        <v>141.53890000000001</v>
      </c>
      <c r="M10719">
        <v>0.96586629999999996</v>
      </c>
      <c r="N10719">
        <v>0</v>
      </c>
      <c r="O10719">
        <v>-0.25856390000000001</v>
      </c>
      <c r="P10719">
        <v>0.9507099</v>
      </c>
      <c r="Q10719">
        <v>5.6671899999999997E-2</v>
      </c>
      <c r="R10719">
        <v>-0.3048593</v>
      </c>
      <c r="S10719">
        <v>2.8852229999999999</v>
      </c>
      <c r="T10719">
        <v>-3.0718680000000002E-2</v>
      </c>
      <c r="U10719">
        <v>-0.84875489999999998</v>
      </c>
      <c r="V10719">
        <v>5.0143479999999997E-2</v>
      </c>
      <c r="W10719">
        <v>7.1304629999999994E-2</v>
      </c>
      <c r="X10719">
        <v>0.99619340000000001</v>
      </c>
      <c r="Y10719">
        <v>2.454338E-2</v>
      </c>
      <c r="Z10719">
        <v>2.5201590000000001E-3</v>
      </c>
      <c r="AA10719">
        <v>0.99969560000000002</v>
      </c>
      <c r="AB10719">
        <v>31</v>
      </c>
      <c r="AC10719">
        <v>82.501959999999997</v>
      </c>
      <c r="AD10719">
        <v>-0.88184509999999905</v>
      </c>
      <c r="AE10719">
        <v>-24.2713</v>
      </c>
      <c r="AF10719">
        <v>2.1108409706403699</v>
      </c>
      <c r="AG10719">
        <v>-0.88184509999999905</v>
      </c>
      <c r="AH10719">
        <v>85.963124080281105</v>
      </c>
      <c r="AI10719">
        <v>90.587565967045407</v>
      </c>
      <c r="AJ10719">
        <v>88.593373830429996</v>
      </c>
      <c r="AK10719">
        <v>85.993557910029097</v>
      </c>
      <c r="AL10719">
        <v>85.911075734717301</v>
      </c>
      <c r="AM10719">
        <v>87.118443985408703</v>
      </c>
      <c r="AN10719">
        <v>1.0000000045247499</v>
      </c>
    </row>
    <row r="10720" spans="1:40" x14ac:dyDescent="0.25">
      <c r="A10720" t="str">
        <f>"20190312150929301"</f>
        <v>20190312150929301</v>
      </c>
      <c r="B10720" t="str">
        <f>"1552374569290144"</f>
        <v>1552374569290144</v>
      </c>
      <c r="C10720" t="s">
        <v>40</v>
      </c>
      <c r="D10720">
        <v>5.0782389999999999</v>
      </c>
      <c r="E10720">
        <v>0.47159859999999998</v>
      </c>
      <c r="F10720" t="s">
        <v>92</v>
      </c>
      <c r="G10720">
        <v>-74.968100000000007</v>
      </c>
      <c r="H10720">
        <v>0.2162142</v>
      </c>
      <c r="I10720">
        <v>117.2676</v>
      </c>
      <c r="J10720">
        <v>-157.72739999999999</v>
      </c>
      <c r="K10720">
        <v>1.1023769999999999</v>
      </c>
      <c r="L10720">
        <v>141.43899999999999</v>
      </c>
      <c r="M10720">
        <v>0.96353610000000001</v>
      </c>
      <c r="N10720">
        <v>0</v>
      </c>
      <c r="O10720">
        <v>-0.26712419999999998</v>
      </c>
      <c r="P10720">
        <v>0.95034700000000005</v>
      </c>
      <c r="Q10720">
        <v>5.5178949999999997E-2</v>
      </c>
      <c r="R10720">
        <v>-0.30626059999999999</v>
      </c>
      <c r="S10720">
        <v>2.886978</v>
      </c>
      <c r="T10720">
        <v>-3.076315E-2</v>
      </c>
      <c r="U10720">
        <v>-0.84324650000000001</v>
      </c>
      <c r="V10720">
        <v>4.2592989999999997E-2</v>
      </c>
      <c r="W10720">
        <v>6.99105E-2</v>
      </c>
      <c r="X10720">
        <v>0.99664350000000002</v>
      </c>
      <c r="Y10720">
        <v>1.375177E-2</v>
      </c>
      <c r="Z10720">
        <v>2.664746E-3</v>
      </c>
      <c r="AA10720">
        <v>0.99990190000000001</v>
      </c>
      <c r="AB10720">
        <v>31</v>
      </c>
      <c r="AC10720">
        <v>82.759299999999897</v>
      </c>
      <c r="AD10720">
        <v>-0.88616279999999903</v>
      </c>
      <c r="AE10720">
        <v>-24.171399999999899</v>
      </c>
      <c r="AF10720">
        <v>1.18302337399584</v>
      </c>
      <c r="AG10720">
        <v>-0.88616279999999903</v>
      </c>
      <c r="AH10720">
        <v>86.199700985417905</v>
      </c>
      <c r="AI10720">
        <v>90.588944262634698</v>
      </c>
      <c r="AJ10720">
        <v>89.213709671694701</v>
      </c>
      <c r="AK10720">
        <v>86.2123731188683</v>
      </c>
      <c r="AL10720">
        <v>85.991153161009606</v>
      </c>
      <c r="AM10720">
        <v>87.552871741141203</v>
      </c>
      <c r="AN10720">
        <v>0.99999995344981896</v>
      </c>
    </row>
    <row r="10721" spans="1:40" x14ac:dyDescent="0.25">
      <c r="A10721" t="str">
        <f>"20190312150929319"</f>
        <v>20190312150929319</v>
      </c>
      <c r="B10721" t="str">
        <f>"1552374569309663"</f>
        <v>1552374569309663</v>
      </c>
      <c r="C10721" t="s">
        <v>40</v>
      </c>
      <c r="D10721">
        <v>4.9604119999999998</v>
      </c>
      <c r="E10721">
        <v>0.46982109999999999</v>
      </c>
      <c r="F10721" t="s">
        <v>42</v>
      </c>
      <c r="G10721">
        <v>-130.9879</v>
      </c>
      <c r="H10721" s="1">
        <v>-4.6772050000000002E-6</v>
      </c>
      <c r="I10721">
        <v>134.9442</v>
      </c>
      <c r="J10721">
        <v>-157.4932</v>
      </c>
      <c r="K10721">
        <v>1.1028899999999999</v>
      </c>
      <c r="L10721">
        <v>141.36789999999999</v>
      </c>
      <c r="M10721">
        <v>0.96201040000000004</v>
      </c>
      <c r="N10721">
        <v>0</v>
      </c>
      <c r="O10721">
        <v>-0.27257340000000002</v>
      </c>
      <c r="P10721">
        <v>0.95068529999999996</v>
      </c>
      <c r="Q10721">
        <v>5.4649419999999997E-2</v>
      </c>
      <c r="R10721">
        <v>-0.3053053</v>
      </c>
      <c r="S10721">
        <v>2.934097</v>
      </c>
      <c r="T10721">
        <v>-0.12096320000000001</v>
      </c>
      <c r="U10721">
        <v>-0.71266169999999995</v>
      </c>
      <c r="V10721">
        <v>3.5838670000000003E-2</v>
      </c>
      <c r="W10721">
        <v>6.946621E-2</v>
      </c>
      <c r="X10721">
        <v>0.9969403</v>
      </c>
      <c r="Y10721">
        <v>-3.7575570000000003E-2</v>
      </c>
      <c r="Z10721">
        <v>1.1640559999999999E-2</v>
      </c>
      <c r="AA10721">
        <v>0.99922599999999995</v>
      </c>
      <c r="AB10721">
        <v>31</v>
      </c>
      <c r="AC10721">
        <v>26.505299999999998</v>
      </c>
      <c r="AD10721">
        <v>-1.1028946772049999</v>
      </c>
      <c r="AE10721">
        <v>-6.4236999999999904</v>
      </c>
      <c r="AF10721">
        <v>-1.0433924834163399</v>
      </c>
      <c r="AG10721">
        <v>-1.1028946772049999</v>
      </c>
      <c r="AH10721">
        <v>27.2080756990296</v>
      </c>
      <c r="AI10721">
        <v>92.319542798644605</v>
      </c>
      <c r="AJ10721">
        <v>92.196138627658897</v>
      </c>
      <c r="AK10721">
        <v>27.250402341756001</v>
      </c>
      <c r="AL10721">
        <v>86.016671182152805</v>
      </c>
      <c r="AM10721">
        <v>87.941179951251598</v>
      </c>
      <c r="AN10721">
        <v>0.99999996318161</v>
      </c>
    </row>
    <row r="10722" spans="1:40" x14ac:dyDescent="0.25">
      <c r="A10722" t="str">
        <f>"20190312150929340"</f>
        <v>20190312150929340</v>
      </c>
      <c r="B10722" t="str">
        <f>"1552374569330160"</f>
        <v>1552374569330160</v>
      </c>
      <c r="C10722" t="s">
        <v>40</v>
      </c>
      <c r="D10722">
        <v>4.8993229999999999</v>
      </c>
      <c r="E10722">
        <v>0.46809119999999999</v>
      </c>
      <c r="F10722" t="s">
        <v>42</v>
      </c>
      <c r="G10722">
        <v>-134.07140000000001</v>
      </c>
      <c r="H10722" s="1">
        <v>-3.1989169999999998E-6</v>
      </c>
      <c r="I10722">
        <v>135.82069999999999</v>
      </c>
      <c r="J10722">
        <v>-157.19829999999999</v>
      </c>
      <c r="K10722">
        <v>1.1035619999999999</v>
      </c>
      <c r="L10722">
        <v>141.27709999999999</v>
      </c>
      <c r="M10722">
        <v>0.9601942</v>
      </c>
      <c r="N10722">
        <v>0</v>
      </c>
      <c r="O10722">
        <v>-0.27890969999999998</v>
      </c>
      <c r="P10722">
        <v>0.95059850000000001</v>
      </c>
      <c r="Q10722">
        <v>5.3949539999999997E-2</v>
      </c>
      <c r="R10722">
        <v>-0.30569950000000001</v>
      </c>
      <c r="S10722">
        <v>2.939972</v>
      </c>
      <c r="T10722">
        <v>-0.13843849999999999</v>
      </c>
      <c r="U10722">
        <v>-0.69630429999999999</v>
      </c>
      <c r="V10722">
        <v>2.9537029999999999E-2</v>
      </c>
      <c r="W10722">
        <v>6.8818799999999999E-2</v>
      </c>
      <c r="X10722">
        <v>0.99719179999999996</v>
      </c>
      <c r="Y10722">
        <v>-4.9783010000000003E-2</v>
      </c>
      <c r="Z10722">
        <v>1.386954E-2</v>
      </c>
      <c r="AA10722">
        <v>0.99866370000000004</v>
      </c>
      <c r="AB10722">
        <v>31</v>
      </c>
      <c r="AC10722">
        <v>23.1268999999999</v>
      </c>
      <c r="AD10722">
        <v>-1.1035651989169999</v>
      </c>
      <c r="AE10722">
        <v>-5.4564000000000004</v>
      </c>
      <c r="AF10722">
        <v>-1.20864936657858</v>
      </c>
      <c r="AG10722">
        <v>-1.1035651989169999</v>
      </c>
      <c r="AH10722">
        <v>23.6798884468834</v>
      </c>
      <c r="AI10722">
        <v>92.664788211856205</v>
      </c>
      <c r="AJ10722">
        <v>92.921908370401596</v>
      </c>
      <c r="AK10722">
        <v>23.736381491213699</v>
      </c>
      <c r="AL10722">
        <v>86.053854076493593</v>
      </c>
      <c r="AM10722">
        <v>88.303383072384804</v>
      </c>
      <c r="AN10722">
        <v>0.99999997468095003</v>
      </c>
    </row>
    <row r="10723" spans="1:40" x14ac:dyDescent="0.25">
      <c r="A10723" t="str">
        <f>"20190312150929364"</f>
        <v>20190312150929364</v>
      </c>
      <c r="B10723" t="str">
        <f>"1552374569360415"</f>
        <v>1552374569360415</v>
      </c>
      <c r="C10723" t="s">
        <v>40</v>
      </c>
      <c r="D10723">
        <v>4.9014350000000002</v>
      </c>
      <c r="E10723">
        <v>0.4673098</v>
      </c>
      <c r="F10723" t="s">
        <v>42</v>
      </c>
      <c r="G10723">
        <v>-137.85659999999999</v>
      </c>
      <c r="H10723" s="1">
        <v>-1.47064E-6</v>
      </c>
      <c r="I10723">
        <v>136.77799999999999</v>
      </c>
      <c r="J10723">
        <v>-156.899</v>
      </c>
      <c r="K10723">
        <v>1.1042590000000001</v>
      </c>
      <c r="L10723">
        <v>141.18340000000001</v>
      </c>
      <c r="M10723">
        <v>0.95849110000000004</v>
      </c>
      <c r="N10723">
        <v>0</v>
      </c>
      <c r="O10723">
        <v>-0.28471289999999999</v>
      </c>
      <c r="P10723">
        <v>0.95080509999999996</v>
      </c>
      <c r="Q10723">
        <v>5.1788519999999998E-2</v>
      </c>
      <c r="R10723">
        <v>-0.30543009999999998</v>
      </c>
      <c r="S10723">
        <v>2.9451450000000001</v>
      </c>
      <c r="T10723">
        <v>-0.16803879999999999</v>
      </c>
      <c r="U10723">
        <v>-0.68507390000000001</v>
      </c>
      <c r="V10723">
        <v>2.3034530000000001E-2</v>
      </c>
      <c r="W10723">
        <v>6.6699369999999994E-2</v>
      </c>
      <c r="X10723">
        <v>0.99750720000000004</v>
      </c>
      <c r="Y10723">
        <v>-5.9644589999999997E-2</v>
      </c>
      <c r="Z10723">
        <v>1.739982E-2</v>
      </c>
      <c r="AA10723">
        <v>0.99806799999999996</v>
      </c>
      <c r="AB10723">
        <v>31</v>
      </c>
      <c r="AC10723">
        <v>19.042400000000001</v>
      </c>
      <c r="AD10723">
        <v>-1.1042604706399901</v>
      </c>
      <c r="AE10723">
        <v>-4.40540000000001</v>
      </c>
      <c r="AF10723">
        <v>-1.19540450406179</v>
      </c>
      <c r="AG10723">
        <v>-1.1042604706399901</v>
      </c>
      <c r="AH10723">
        <v>19.446449543133401</v>
      </c>
      <c r="AI10723">
        <v>93.243922319328803</v>
      </c>
      <c r="AJ10723">
        <v>93.517637330226194</v>
      </c>
      <c r="AK10723">
        <v>19.514424996627099</v>
      </c>
      <c r="AL10723">
        <v>86.175568346195107</v>
      </c>
      <c r="AM10723">
        <v>88.677155575172307</v>
      </c>
      <c r="AN10723">
        <v>1.00000000479127</v>
      </c>
    </row>
    <row r="10724" spans="1:40" x14ac:dyDescent="0.25">
      <c r="A10724" t="str">
        <f>"20190312150929386"</f>
        <v>20190312150929386</v>
      </c>
      <c r="B10724" t="str">
        <f>"1552374569379936"</f>
        <v>1552374569379936</v>
      </c>
      <c r="C10724" t="s">
        <v>40</v>
      </c>
      <c r="D10724">
        <v>4.9063970000000001</v>
      </c>
      <c r="E10724">
        <v>0.46651480000000001</v>
      </c>
      <c r="F10724" t="s">
        <v>42</v>
      </c>
      <c r="G10724">
        <v>-139.40690000000001</v>
      </c>
      <c r="H10724" s="1">
        <v>-8.4129949999999998E-7</v>
      </c>
      <c r="I10724">
        <v>137.16050000000001</v>
      </c>
      <c r="J10724">
        <v>-156.6035</v>
      </c>
      <c r="K10724">
        <v>1.104941</v>
      </c>
      <c r="L10724">
        <v>141.08959999999999</v>
      </c>
      <c r="M10724">
        <v>0.95697719999999997</v>
      </c>
      <c r="N10724">
        <v>0</v>
      </c>
      <c r="O10724">
        <v>-0.28976570000000001</v>
      </c>
      <c r="P10724">
        <v>0.95132459999999996</v>
      </c>
      <c r="Q10724">
        <v>4.8233739999999997E-2</v>
      </c>
      <c r="R10724">
        <v>-0.30439260000000001</v>
      </c>
      <c r="S10724">
        <v>2.9476010000000001</v>
      </c>
      <c r="T10724">
        <v>-0.1860784</v>
      </c>
      <c r="U10724">
        <v>-0.67788700000000002</v>
      </c>
      <c r="V10724">
        <v>1.6469029999999999E-2</v>
      </c>
      <c r="W10724">
        <v>6.3172989999999998E-2</v>
      </c>
      <c r="X10724">
        <v>0.9978667</v>
      </c>
      <c r="Y10724">
        <v>-6.7263760000000006E-2</v>
      </c>
      <c r="Z10724">
        <v>1.979177E-2</v>
      </c>
      <c r="AA10724">
        <v>0.99753890000000001</v>
      </c>
      <c r="AB10724">
        <v>31</v>
      </c>
      <c r="AC10724">
        <v>17.196599999999901</v>
      </c>
      <c r="AD10724">
        <v>-1.1049418412995</v>
      </c>
      <c r="AE10724">
        <v>-3.9290999999999698</v>
      </c>
      <c r="AF10724">
        <v>-1.21828650371577</v>
      </c>
      <c r="AG10724">
        <v>-1.1049418412995</v>
      </c>
      <c r="AH10724">
        <v>17.528524177252201</v>
      </c>
      <c r="AI10724">
        <v>93.598311510887498</v>
      </c>
      <c r="AJ10724">
        <v>93.9758396514585</v>
      </c>
      <c r="AK10724">
        <v>17.605518405042901</v>
      </c>
      <c r="AL10724">
        <v>86.378042475275194</v>
      </c>
      <c r="AM10724">
        <v>89.054462635702905</v>
      </c>
      <c r="AN10724">
        <v>1.00000000329178</v>
      </c>
    </row>
    <row r="10725" spans="1:40" x14ac:dyDescent="0.25">
      <c r="A10725" t="str">
        <f>"20190312150929410"</f>
        <v>20190312150929410</v>
      </c>
      <c r="B10725" t="str">
        <f>"1552374569400432"</f>
        <v>1552374569400432</v>
      </c>
      <c r="C10725" t="s">
        <v>40</v>
      </c>
      <c r="D10725">
        <v>4.7320029999999997</v>
      </c>
      <c r="E10725">
        <v>0.46571699999999999</v>
      </c>
      <c r="F10725" t="s">
        <v>42</v>
      </c>
      <c r="G10725">
        <v>-140.98169999999999</v>
      </c>
      <c r="H10725" s="1">
        <v>-4.2175650000000002E-6</v>
      </c>
      <c r="I10725">
        <v>137.5504</v>
      </c>
      <c r="J10725">
        <v>-156.2937</v>
      </c>
      <c r="K10725">
        <v>1.1056319999999999</v>
      </c>
      <c r="L10725">
        <v>140.99019999999999</v>
      </c>
      <c r="M10725">
        <v>0.95558200000000004</v>
      </c>
      <c r="N10725">
        <v>0</v>
      </c>
      <c r="O10725">
        <v>-0.29433969999999998</v>
      </c>
      <c r="P10725">
        <v>0.95199699999999998</v>
      </c>
      <c r="Q10725">
        <v>4.533732E-2</v>
      </c>
      <c r="R10725">
        <v>-0.30273149999999999</v>
      </c>
      <c r="S10725">
        <v>2.9501949999999999</v>
      </c>
      <c r="T10725">
        <v>-0.20866979999999999</v>
      </c>
      <c r="U10725">
        <v>-0.66838069999999905</v>
      </c>
      <c r="V10725">
        <v>9.7711199999999995E-3</v>
      </c>
      <c r="W10725">
        <v>6.0286970000000002E-2</v>
      </c>
      <c r="X10725">
        <v>0.99813320000000005</v>
      </c>
      <c r="Y10725">
        <v>-7.5084639999999994E-2</v>
      </c>
      <c r="Z10725">
        <v>2.2756169999999999E-2</v>
      </c>
      <c r="AA10725">
        <v>0.99691750000000001</v>
      </c>
      <c r="AB10725">
        <v>31</v>
      </c>
      <c r="AC10725">
        <v>15.311999999999999</v>
      </c>
      <c r="AD10725">
        <v>-1.1056362175650001</v>
      </c>
      <c r="AE10725">
        <v>-3.4397999999999902</v>
      </c>
      <c r="AF10725">
        <v>-1.2140314056986801</v>
      </c>
      <c r="AG10725">
        <v>-1.1056362175650001</v>
      </c>
      <c r="AH10725">
        <v>15.5688443821021</v>
      </c>
      <c r="AI10725">
        <v>94.049841427520604</v>
      </c>
      <c r="AJ10725">
        <v>94.458802426717895</v>
      </c>
      <c r="AK10725">
        <v>15.6551978299134</v>
      </c>
      <c r="AL10725">
        <v>86.543715033774404</v>
      </c>
      <c r="AM10725">
        <v>89.439126907668694</v>
      </c>
      <c r="AN10725">
        <v>0.99999993924003505</v>
      </c>
    </row>
    <row r="10726" spans="1:40" x14ac:dyDescent="0.25">
      <c r="A10726" t="str">
        <f>"20190312150929433"</f>
        <v>20190312150929433</v>
      </c>
      <c r="B10726" t="str">
        <f>"1552374569429711"</f>
        <v>1552374569429711</v>
      </c>
      <c r="C10726" t="s">
        <v>40</v>
      </c>
      <c r="D10726">
        <v>4.8388429999999998</v>
      </c>
      <c r="E10726">
        <v>0.46481539999999999</v>
      </c>
      <c r="F10726" t="s">
        <v>42</v>
      </c>
      <c r="G10726">
        <v>-140.5659</v>
      </c>
      <c r="H10726" s="1">
        <v>-4.4059959999999997E-6</v>
      </c>
      <c r="I10726">
        <v>137.49369999999999</v>
      </c>
      <c r="J10726">
        <v>-155.9776</v>
      </c>
      <c r="K10726">
        <v>1.1062559999999999</v>
      </c>
      <c r="L10726">
        <v>140.8878</v>
      </c>
      <c r="M10726">
        <v>0.95432130000000004</v>
      </c>
      <c r="N10726">
        <v>0</v>
      </c>
      <c r="O10726">
        <v>-0.29840660000000002</v>
      </c>
      <c r="P10726">
        <v>0.95227680000000003</v>
      </c>
      <c r="Q10726">
        <v>4.5783650000000002E-2</v>
      </c>
      <c r="R10726">
        <v>-0.3017841</v>
      </c>
      <c r="S10726">
        <v>2.9524379999999999</v>
      </c>
      <c r="T10726">
        <v>-0.2075506</v>
      </c>
      <c r="U10726">
        <v>-0.65634159999999997</v>
      </c>
      <c r="V10726">
        <v>4.4458869999999999E-3</v>
      </c>
      <c r="W10726">
        <v>6.0710090000000001E-2</v>
      </c>
      <c r="X10726">
        <v>0.99814550000000002</v>
      </c>
      <c r="Y10726">
        <v>-8.3343159999999999E-2</v>
      </c>
      <c r="Z10726">
        <v>2.3184639999999999E-2</v>
      </c>
      <c r="AA10726">
        <v>0.9962512</v>
      </c>
      <c r="AB10726">
        <v>31</v>
      </c>
      <c r="AC10726">
        <v>15.4116999999999</v>
      </c>
      <c r="AD10726">
        <v>-1.106260405996</v>
      </c>
      <c r="AE10726">
        <v>-3.3940999999999999</v>
      </c>
      <c r="AF10726">
        <v>-1.35339292710026</v>
      </c>
      <c r="AG10726">
        <v>-1.106260405996</v>
      </c>
      <c r="AH10726">
        <v>15.6454159249736</v>
      </c>
      <c r="AI10726">
        <v>94.029555797343207</v>
      </c>
      <c r="AJ10726">
        <v>94.944013507337999</v>
      </c>
      <c r="AK10726">
        <v>15.742761002010299</v>
      </c>
      <c r="AL10726">
        <v>86.519427626712897</v>
      </c>
      <c r="AM10726">
        <v>89.744797850871805</v>
      </c>
      <c r="AN10726">
        <v>0.99999996005463598</v>
      </c>
    </row>
    <row r="10727" spans="1:40" x14ac:dyDescent="0.25">
      <c r="A10727" t="str">
        <f>"20190312150929457"</f>
        <v>20190312150929457</v>
      </c>
      <c r="B10727" t="str">
        <f>"1552374569450208"</f>
        <v>1552374569450208</v>
      </c>
      <c r="C10727" t="s">
        <v>40</v>
      </c>
      <c r="D10727">
        <v>4.9931199999999896</v>
      </c>
      <c r="E10727">
        <v>0.46416550000000001</v>
      </c>
      <c r="F10727" t="s">
        <v>42</v>
      </c>
      <c r="G10727">
        <v>-139.38999999999999</v>
      </c>
      <c r="H10727" s="1">
        <v>-8.205009E-7</v>
      </c>
      <c r="I10727">
        <v>137.2603</v>
      </c>
      <c r="J10727">
        <v>-155.6764</v>
      </c>
      <c r="K10727">
        <v>1.106797</v>
      </c>
      <c r="L10727">
        <v>140.7894</v>
      </c>
      <c r="M10727">
        <v>0.9532815</v>
      </c>
      <c r="N10727">
        <v>0</v>
      </c>
      <c r="O10727">
        <v>-0.30171540000000002</v>
      </c>
      <c r="P10727">
        <v>0.95280589999999998</v>
      </c>
      <c r="Q10727">
        <v>4.7517030000000002E-2</v>
      </c>
      <c r="R10727">
        <v>-0.29983850000000001</v>
      </c>
      <c r="S10727">
        <v>2.9550480000000001</v>
      </c>
      <c r="T10727">
        <v>-0.19707749999999999</v>
      </c>
      <c r="U10727">
        <v>-0.64622500000000005</v>
      </c>
      <c r="V10727">
        <v>-1.096316E-3</v>
      </c>
      <c r="W10727">
        <v>6.2415829999999999E-2</v>
      </c>
      <c r="X10727">
        <v>0.99804959999999998</v>
      </c>
      <c r="Y10727">
        <v>-9.0301629999999994E-2</v>
      </c>
      <c r="Z10727">
        <v>2.2444370000000002E-2</v>
      </c>
      <c r="AA10727">
        <v>0.99566149999999998</v>
      </c>
      <c r="AB10727">
        <v>31</v>
      </c>
      <c r="AC10727">
        <v>16.2864</v>
      </c>
      <c r="AD10727">
        <v>-1.1067978205008999</v>
      </c>
      <c r="AE10727">
        <v>-3.5291000000000001</v>
      </c>
      <c r="AF10727">
        <v>-1.5429976413973201</v>
      </c>
      <c r="AG10727">
        <v>-1.1067978205008999</v>
      </c>
      <c r="AH10727">
        <v>16.519280966155101</v>
      </c>
      <c r="AI10727">
        <v>93.8165457546949</v>
      </c>
      <c r="AJ10727">
        <v>95.336278426578104</v>
      </c>
      <c r="AK10727">
        <v>16.628063229841199</v>
      </c>
      <c r="AL10727">
        <v>86.421510217070406</v>
      </c>
      <c r="AM10727">
        <v>90.062937006886699</v>
      </c>
      <c r="AN10727">
        <v>0.99999997090175896</v>
      </c>
    </row>
    <row r="10728" spans="1:40" x14ac:dyDescent="0.25">
      <c r="A10728" t="str">
        <f>"20190312150929480"</f>
        <v>20190312150929480</v>
      </c>
      <c r="B10728" t="str">
        <f>"1552374569469728"</f>
        <v>1552374569469728</v>
      </c>
      <c r="C10728" t="s">
        <v>40</v>
      </c>
      <c r="D10728">
        <v>4.7966179999999996</v>
      </c>
      <c r="E10728">
        <v>0.4636361</v>
      </c>
      <c r="F10728" t="s">
        <v>42</v>
      </c>
      <c r="G10728">
        <v>-139.59530000000001</v>
      </c>
      <c r="H10728" s="1">
        <v>-7.3086869999999897E-7</v>
      </c>
      <c r="I10728">
        <v>137.33449999999999</v>
      </c>
      <c r="J10728">
        <v>-155.36070000000001</v>
      </c>
      <c r="K10728">
        <v>1.1073550000000001</v>
      </c>
      <c r="L10728">
        <v>140.6858</v>
      </c>
      <c r="M10728">
        <v>0.95237249999999996</v>
      </c>
      <c r="N10728">
        <v>0</v>
      </c>
      <c r="O10728">
        <v>-0.30457630000000002</v>
      </c>
      <c r="P10728">
        <v>0.95323619999999998</v>
      </c>
      <c r="Q10728">
        <v>4.7734119999999998E-2</v>
      </c>
      <c r="R10728">
        <v>-0.29843320000000001</v>
      </c>
      <c r="S10728">
        <v>2.95871</v>
      </c>
      <c r="T10728">
        <v>-0.2036365</v>
      </c>
      <c r="U10728">
        <v>-0.63565059999999995</v>
      </c>
      <c r="V10728">
        <v>-5.6454249999999999E-3</v>
      </c>
      <c r="W10728">
        <v>6.2587630000000005E-2</v>
      </c>
      <c r="X10728">
        <v>0.99802349999999995</v>
      </c>
      <c r="Y10728">
        <v>-9.6871899999999997E-2</v>
      </c>
      <c r="Z10728">
        <v>2.3580540000000001E-2</v>
      </c>
      <c r="AA10728">
        <v>0.9950175</v>
      </c>
      <c r="AB10728">
        <v>31</v>
      </c>
      <c r="AC10728">
        <v>15.7654</v>
      </c>
      <c r="AD10728">
        <v>-1.1073557308687001</v>
      </c>
      <c r="AE10728">
        <v>-3.3513000000000002</v>
      </c>
      <c r="AF10728">
        <v>-1.60269309485395</v>
      </c>
      <c r="AG10728">
        <v>-1.1073557308687001</v>
      </c>
      <c r="AH10728">
        <v>15.9616793056411</v>
      </c>
      <c r="AI10728">
        <v>93.948794455374198</v>
      </c>
      <c r="AJ10728">
        <v>95.733782912070197</v>
      </c>
      <c r="AK10728">
        <v>16.0801140582744</v>
      </c>
      <c r="AL10728">
        <v>86.411647603289694</v>
      </c>
      <c r="AM10728">
        <v>90.324096152242802</v>
      </c>
      <c r="AN10728">
        <v>0.99999999440234799</v>
      </c>
    </row>
    <row r="10729" spans="1:40" x14ac:dyDescent="0.25">
      <c r="A10729" t="str">
        <f>"20190312150929500"</f>
        <v>20190312150929500</v>
      </c>
      <c r="B10729" t="str">
        <f>"1552374569490224"</f>
        <v>1552374569490224</v>
      </c>
      <c r="C10729" t="s">
        <v>40</v>
      </c>
      <c r="D10729">
        <v>4.7977239999999997</v>
      </c>
      <c r="E10729">
        <v>0.463115</v>
      </c>
      <c r="F10729" t="s">
        <v>42</v>
      </c>
      <c r="G10729">
        <v>-139.4522</v>
      </c>
      <c r="H10729" s="1">
        <v>-7.8451859999999999E-7</v>
      </c>
      <c r="I10729">
        <v>137.3159</v>
      </c>
      <c r="J10729">
        <v>-155.09110000000001</v>
      </c>
      <c r="K10729">
        <v>1.1078479999999999</v>
      </c>
      <c r="L10729">
        <v>140.59700000000001</v>
      </c>
      <c r="M10729">
        <v>0.95175330000000002</v>
      </c>
      <c r="N10729">
        <v>0</v>
      </c>
      <c r="O10729">
        <v>-0.30650909999999998</v>
      </c>
      <c r="P10729">
        <v>0.95404520000000004</v>
      </c>
      <c r="Q10729">
        <v>4.6100460000000003E-2</v>
      </c>
      <c r="R10729">
        <v>-0.29609629999999998</v>
      </c>
      <c r="S10729">
        <v>2.9611209999999999</v>
      </c>
      <c r="T10729">
        <v>-0.2061172</v>
      </c>
      <c r="U10729">
        <v>-0.62724299999999999</v>
      </c>
      <c r="V10729">
        <v>-1.02288E-2</v>
      </c>
      <c r="W10729">
        <v>6.0915699999999899E-2</v>
      </c>
      <c r="X10729">
        <v>0.99809049999999999</v>
      </c>
      <c r="Y10729">
        <v>-0.1017237</v>
      </c>
      <c r="Z10729">
        <v>2.414997E-2</v>
      </c>
      <c r="AA10729">
        <v>0.9945195</v>
      </c>
      <c r="AB10729">
        <v>31</v>
      </c>
      <c r="AC10729">
        <v>15.6389</v>
      </c>
      <c r="AD10729">
        <v>-1.1078487845186</v>
      </c>
      <c r="AE10729">
        <v>-3.2810999999999999</v>
      </c>
      <c r="AF10729">
        <v>-1.66285666222843</v>
      </c>
      <c r="AG10729">
        <v>-1.1078487845186</v>
      </c>
      <c r="AH10729">
        <v>15.8157720483832</v>
      </c>
      <c r="AI10729">
        <v>93.984964259664807</v>
      </c>
      <c r="AJ10729">
        <v>96.001978001952807</v>
      </c>
      <c r="AK10729">
        <v>15.941488848124999</v>
      </c>
      <c r="AL10729">
        <v>86.507625331370505</v>
      </c>
      <c r="AM10729">
        <v>90.5871677495672</v>
      </c>
      <c r="AN10729">
        <v>0.99999999852308896</v>
      </c>
    </row>
    <row r="10730" spans="1:40" x14ac:dyDescent="0.25">
      <c r="A10730" t="str">
        <f>"20190312150929520"</f>
        <v>20190312150929520</v>
      </c>
      <c r="B10730" t="str">
        <f>"1552374569509744"</f>
        <v>1552374569509744</v>
      </c>
      <c r="C10730" t="s">
        <v>40</v>
      </c>
      <c r="D10730">
        <v>4.8014169999999998</v>
      </c>
      <c r="E10730">
        <v>0.46261970000000002</v>
      </c>
      <c r="F10730" t="s">
        <v>42</v>
      </c>
      <c r="G10730">
        <v>-139.27369999999999</v>
      </c>
      <c r="H10730" s="1">
        <v>-8.4660410000000002E-7</v>
      </c>
      <c r="I10730">
        <v>137.3109</v>
      </c>
      <c r="J10730">
        <v>-154.83770000000001</v>
      </c>
      <c r="K10730">
        <v>1.1083130000000001</v>
      </c>
      <c r="L10730">
        <v>140.51339999999999</v>
      </c>
      <c r="M10730">
        <v>0.95130340000000002</v>
      </c>
      <c r="N10730">
        <v>0</v>
      </c>
      <c r="O10730">
        <v>-0.30790420000000002</v>
      </c>
      <c r="P10730">
        <v>0.95481300000000002</v>
      </c>
      <c r="Q10730">
        <v>4.4534799999999999E-2</v>
      </c>
      <c r="R10730">
        <v>-0.29385129999999998</v>
      </c>
      <c r="S10730">
        <v>2.9634550000000002</v>
      </c>
      <c r="T10730">
        <v>-0.20755899999999999</v>
      </c>
      <c r="U10730">
        <v>-0.61564640000000004</v>
      </c>
      <c r="V10730">
        <v>-1.4142200000000001E-2</v>
      </c>
      <c r="W10730">
        <v>5.9307390000000001E-2</v>
      </c>
      <c r="X10730">
        <v>0.99813960000000002</v>
      </c>
      <c r="Y10730">
        <v>-0.1070396</v>
      </c>
      <c r="Z10730">
        <v>2.4587870000000001E-2</v>
      </c>
      <c r="AA10730">
        <v>0.99395069999999996</v>
      </c>
      <c r="AB10730">
        <v>31</v>
      </c>
      <c r="AC10730">
        <v>15.564</v>
      </c>
      <c r="AD10730">
        <v>-1.10831384660409</v>
      </c>
      <c r="AE10730">
        <v>-3.2024999999999801</v>
      </c>
      <c r="AF10730">
        <v>-1.7374088038514901</v>
      </c>
      <c r="AG10730">
        <v>-1.10831384660409</v>
      </c>
      <c r="AH10730">
        <v>15.717398184908999</v>
      </c>
      <c r="AI10730">
        <v>94.009200942930207</v>
      </c>
      <c r="AJ10730">
        <v>96.307893919679699</v>
      </c>
      <c r="AK10730">
        <v>15.8519258967879</v>
      </c>
      <c r="AL10730">
        <v>86.599941710572594</v>
      </c>
      <c r="AM10730">
        <v>90.8117443274311</v>
      </c>
      <c r="AN10730">
        <v>1.0000000147088</v>
      </c>
    </row>
    <row r="10731" spans="1:40" x14ac:dyDescent="0.25">
      <c r="A10731" t="str">
        <f>"20190312150929542"</f>
        <v>20190312150929542</v>
      </c>
      <c r="B10731" t="str">
        <f>"1552374569540000"</f>
        <v>1552374569540000</v>
      </c>
      <c r="C10731" t="s">
        <v>40</v>
      </c>
      <c r="D10731">
        <v>4.8136449999999904</v>
      </c>
      <c r="E10731">
        <v>0.46204689999999998</v>
      </c>
      <c r="F10731" t="s">
        <v>42</v>
      </c>
      <c r="G10731">
        <v>-139.1215</v>
      </c>
      <c r="H10731" s="1">
        <v>-8.9870250000000004E-7</v>
      </c>
      <c r="I10731">
        <v>137.3098</v>
      </c>
      <c r="J10731">
        <v>-154.54689999999999</v>
      </c>
      <c r="K10731">
        <v>1.1088579999999999</v>
      </c>
      <c r="L10731">
        <v>140.41759999999999</v>
      </c>
      <c r="M10731">
        <v>0.95093360000000005</v>
      </c>
      <c r="N10731">
        <v>0</v>
      </c>
      <c r="O10731">
        <v>-0.30904769999999998</v>
      </c>
      <c r="P10731">
        <v>0.95531900000000003</v>
      </c>
      <c r="Q10731">
        <v>4.3051600000000002E-2</v>
      </c>
      <c r="R10731">
        <v>-0.2924255</v>
      </c>
      <c r="S10731">
        <v>2.9656829999999998</v>
      </c>
      <c r="T10731">
        <v>-0.2091411</v>
      </c>
      <c r="U10731">
        <v>-0.60452269999999997</v>
      </c>
      <c r="V10731">
        <v>-1.6937500000000001E-2</v>
      </c>
      <c r="W10731">
        <v>5.7763660000000001E-2</v>
      </c>
      <c r="X10731">
        <v>0.99818660000000003</v>
      </c>
      <c r="Y10731">
        <v>-0.11193069999999999</v>
      </c>
      <c r="Z10731">
        <v>2.501482E-2</v>
      </c>
      <c r="AA10731">
        <v>0.99340110000000004</v>
      </c>
      <c r="AB10731">
        <v>31</v>
      </c>
      <c r="AC10731">
        <v>15.4253999999999</v>
      </c>
      <c r="AD10731">
        <v>-1.1088588987025001</v>
      </c>
      <c r="AE10731">
        <v>-3.1077999999999899</v>
      </c>
      <c r="AF10731">
        <v>-1.80311347007442</v>
      </c>
      <c r="AG10731">
        <v>-1.1088588987025001</v>
      </c>
      <c r="AH10731">
        <v>15.553431420826501</v>
      </c>
      <c r="AI10731">
        <v>94.050878723974805</v>
      </c>
      <c r="AJ10731">
        <v>96.612795554363899</v>
      </c>
      <c r="AK10731">
        <v>15.696815447903701</v>
      </c>
      <c r="AL10731">
        <v>86.688542818018107</v>
      </c>
      <c r="AM10731">
        <v>90.9721169807531</v>
      </c>
      <c r="AN10731">
        <v>1.0000000038712</v>
      </c>
    </row>
    <row r="10732" spans="1:40" x14ac:dyDescent="0.25">
      <c r="A10732" t="str">
        <f>"20190312150929566"</f>
        <v>20190312150929566</v>
      </c>
      <c r="B10732" t="str">
        <f>"1552374569559520"</f>
        <v>1552374569559520</v>
      </c>
      <c r="C10732" t="s">
        <v>40</v>
      </c>
      <c r="D10732">
        <v>5.2600680000000004</v>
      </c>
      <c r="E10732">
        <v>0.4626323</v>
      </c>
      <c r="F10732" t="s">
        <v>42</v>
      </c>
      <c r="G10732">
        <v>-138.78540000000001</v>
      </c>
      <c r="H10732" s="1">
        <v>-1.027658E-6</v>
      </c>
      <c r="I10732">
        <v>137.255</v>
      </c>
      <c r="J10732">
        <v>-154.2424</v>
      </c>
      <c r="K10732">
        <v>1.10938</v>
      </c>
      <c r="L10732">
        <v>140.3175</v>
      </c>
      <c r="M10732">
        <v>0.95071539999999999</v>
      </c>
      <c r="N10732">
        <v>0</v>
      </c>
      <c r="O10732">
        <v>-0.309720099999999</v>
      </c>
      <c r="P10732">
        <v>0.95568660000000005</v>
      </c>
      <c r="Q10732">
        <v>4.2267880000000001E-2</v>
      </c>
      <c r="R10732">
        <v>-0.29133599999999998</v>
      </c>
      <c r="S10732">
        <v>2.9674529999999999</v>
      </c>
      <c r="T10732">
        <v>-0.20876719999999999</v>
      </c>
      <c r="U10732">
        <v>-0.59542850000000003</v>
      </c>
      <c r="V10732">
        <v>-1.8866560000000001E-2</v>
      </c>
      <c r="W10732">
        <v>5.6916290000000001E-2</v>
      </c>
      <c r="X10732">
        <v>0.99820070000000005</v>
      </c>
      <c r="Y10732">
        <v>-0.1156669</v>
      </c>
      <c r="Z10732">
        <v>2.513982E-2</v>
      </c>
      <c r="AA10732">
        <v>0.99296989999999996</v>
      </c>
      <c r="AB10732">
        <v>31</v>
      </c>
      <c r="AC10732">
        <v>15.456999999999899</v>
      </c>
      <c r="AD10732">
        <v>-1.1093810276580001</v>
      </c>
      <c r="AE10732">
        <v>-3.0625</v>
      </c>
      <c r="AF10732">
        <v>-1.86672540730129</v>
      </c>
      <c r="AG10732">
        <v>-1.1093810276580001</v>
      </c>
      <c r="AH10732">
        <v>15.568231101425299</v>
      </c>
      <c r="AI10732">
        <v>94.047074392705696</v>
      </c>
      <c r="AJ10732">
        <v>96.837467955464106</v>
      </c>
      <c r="AK10732">
        <v>15.718944291465</v>
      </c>
      <c r="AL10732">
        <v>86.737173622430106</v>
      </c>
      <c r="AM10732">
        <v>91.082793841132201</v>
      </c>
      <c r="AN10732">
        <v>1.0000000243170399</v>
      </c>
    </row>
    <row r="10733" spans="1:40" x14ac:dyDescent="0.25">
      <c r="A10733" t="str">
        <f>"20190312150929590"</f>
        <v>20190312150929590</v>
      </c>
      <c r="B10733" t="str">
        <f>"1552374569580016"</f>
        <v>1552374569580016</v>
      </c>
      <c r="C10733" t="s">
        <v>40</v>
      </c>
      <c r="D10733">
        <v>5.1381100000000002</v>
      </c>
      <c r="E10733">
        <v>0.48463499999999998</v>
      </c>
      <c r="F10733" t="s">
        <v>42</v>
      </c>
      <c r="G10733">
        <v>-138.4281</v>
      </c>
      <c r="H10733" s="1">
        <v>-1.1812499999999999E-6</v>
      </c>
      <c r="I10733">
        <v>137.13470000000001</v>
      </c>
      <c r="J10733">
        <v>-153.92699999999999</v>
      </c>
      <c r="K10733">
        <v>1.1098490000000001</v>
      </c>
      <c r="L10733">
        <v>140.21420000000001</v>
      </c>
      <c r="M10733">
        <v>0.95066050000000002</v>
      </c>
      <c r="N10733">
        <v>0</v>
      </c>
      <c r="O10733">
        <v>-0.30989060000000002</v>
      </c>
      <c r="P10733">
        <v>0.95615550000000005</v>
      </c>
      <c r="Q10733">
        <v>4.0794129999999998E-2</v>
      </c>
      <c r="R10733">
        <v>-0.29000520000000002</v>
      </c>
      <c r="S10733">
        <v>2.9663240000000002</v>
      </c>
      <c r="T10733">
        <v>-0.20808860000000001</v>
      </c>
      <c r="U10733">
        <v>-0.59700010000000003</v>
      </c>
      <c r="V10733">
        <v>-2.0521379999999999E-2</v>
      </c>
      <c r="W10733">
        <v>5.5380430000000001E-2</v>
      </c>
      <c r="X10733">
        <v>0.99825439999999999</v>
      </c>
      <c r="Y10733">
        <v>-0.1152725</v>
      </c>
      <c r="Z10733">
        <v>2.5063370000000001E-2</v>
      </c>
      <c r="AA10733">
        <v>0.9930177</v>
      </c>
      <c r="AB10733">
        <v>31</v>
      </c>
      <c r="AC10733">
        <v>15.498900000000001</v>
      </c>
      <c r="AD10733">
        <v>-1.1098501812499999</v>
      </c>
      <c r="AE10733">
        <v>-3.0794999999999901</v>
      </c>
      <c r="AF10733">
        <v>-1.86639669459209</v>
      </c>
      <c r="AG10733">
        <v>-1.1098501812499999</v>
      </c>
      <c r="AH10733">
        <v>15.6131470168304</v>
      </c>
      <c r="AI10733">
        <v>94.037345061741803</v>
      </c>
      <c r="AJ10733">
        <v>96.816794062087894</v>
      </c>
      <c r="AK10733">
        <v>15.763424875818201</v>
      </c>
      <c r="AL10733">
        <v>86.825310836213205</v>
      </c>
      <c r="AM10733">
        <v>91.177678631741998</v>
      </c>
      <c r="AN10733">
        <v>0.999999983091724</v>
      </c>
    </row>
    <row r="10734" spans="1:40" x14ac:dyDescent="0.25">
      <c r="A10734" t="str">
        <f>"20190312150929614"</f>
        <v>20190312150929614</v>
      </c>
      <c r="B10734" t="str">
        <f>"1552374569610271"</f>
        <v>1552374569610271</v>
      </c>
      <c r="C10734" t="s">
        <v>40</v>
      </c>
      <c r="D10734">
        <v>5.113918</v>
      </c>
      <c r="E10734">
        <v>0.4844097</v>
      </c>
      <c r="F10734" t="s">
        <v>42</v>
      </c>
      <c r="G10734">
        <v>-139.8031</v>
      </c>
      <c r="H10734" s="1">
        <v>-8.7503460000000003E-7</v>
      </c>
      <c r="I10734">
        <v>136.52699999999999</v>
      </c>
      <c r="J10734">
        <v>-153.63239999999999</v>
      </c>
      <c r="K10734">
        <v>1.110215</v>
      </c>
      <c r="L10734">
        <v>140.1182</v>
      </c>
      <c r="M10734">
        <v>0.95072749999999995</v>
      </c>
      <c r="N10734">
        <v>0</v>
      </c>
      <c r="O10734">
        <v>-0.30968709999999899</v>
      </c>
      <c r="P10734">
        <v>0.95749050000000002</v>
      </c>
      <c r="Q10734">
        <v>3.8261499999999997E-2</v>
      </c>
      <c r="R10734">
        <v>-0.28591670000000002</v>
      </c>
      <c r="S10734">
        <v>2.9164279999999998</v>
      </c>
      <c r="T10734">
        <v>-0.2291714</v>
      </c>
      <c r="U10734">
        <v>-0.76136780000000004</v>
      </c>
      <c r="V10734">
        <v>-2.4656850000000001E-2</v>
      </c>
      <c r="W10734">
        <v>5.2796429999999998E-2</v>
      </c>
      <c r="X10734">
        <v>0.99830090000000005</v>
      </c>
      <c r="Y10734">
        <v>-5.8481249999999999E-2</v>
      </c>
      <c r="Z10734">
        <v>2.5623980000000001E-2</v>
      </c>
      <c r="AA10734">
        <v>0.99795959999999995</v>
      </c>
      <c r="AB10734">
        <v>31</v>
      </c>
      <c r="AC10734">
        <v>13.8292999999999</v>
      </c>
      <c r="AD10734">
        <v>-1.1102158750345901</v>
      </c>
      <c r="AE10734">
        <v>-3.5911999999999802</v>
      </c>
      <c r="AF10734">
        <v>-0.86338204334298996</v>
      </c>
      <c r="AG10734">
        <v>-1.1102158750345901</v>
      </c>
      <c r="AH10734">
        <v>14.1759590979071</v>
      </c>
      <c r="AI10734">
        <v>94.469833230473</v>
      </c>
      <c r="AJ10734">
        <v>93.485275124238498</v>
      </c>
      <c r="AK10734">
        <v>14.245554541241299</v>
      </c>
      <c r="AL10734">
        <v>86.973580437029199</v>
      </c>
      <c r="AM10734">
        <v>91.414850247610204</v>
      </c>
      <c r="AN10734">
        <v>1.0000000551067301</v>
      </c>
    </row>
    <row r="10735" spans="1:40" x14ac:dyDescent="0.25">
      <c r="A10735" t="str">
        <f>"20190312150929639"</f>
        <v>20190312150929639</v>
      </c>
      <c r="B10735" t="str">
        <f>"1552374569629793"</f>
        <v>1552374569629793</v>
      </c>
      <c r="C10735" t="s">
        <v>40</v>
      </c>
      <c r="D10735">
        <v>5.0807250000000002</v>
      </c>
      <c r="E10735">
        <v>0.4838751</v>
      </c>
      <c r="F10735" t="s">
        <v>42</v>
      </c>
      <c r="G10735">
        <v>-141.78790000000001</v>
      </c>
      <c r="H10735" s="1">
        <v>-3.954539E-6</v>
      </c>
      <c r="I10735">
        <v>137.08349999999999</v>
      </c>
      <c r="J10735">
        <v>-153.2946</v>
      </c>
      <c r="K10735">
        <v>1.1105860000000001</v>
      </c>
      <c r="L10735">
        <v>140.0086</v>
      </c>
      <c r="M10735">
        <v>0.95094279999999998</v>
      </c>
      <c r="N10735">
        <v>0</v>
      </c>
      <c r="O10735">
        <v>-0.30902689999999999</v>
      </c>
      <c r="P10735">
        <v>0.95944660000000004</v>
      </c>
      <c r="Q10735">
        <v>3.6410699999999997E-2</v>
      </c>
      <c r="R10735">
        <v>-0.27952919999999998</v>
      </c>
      <c r="S10735">
        <v>2.9206850000000002</v>
      </c>
      <c r="T10735">
        <v>-0.27376200000000001</v>
      </c>
      <c r="U10735">
        <v>-0.74829100000000004</v>
      </c>
      <c r="V10735">
        <v>-3.0688770000000001E-2</v>
      </c>
      <c r="W10735">
        <v>5.0884029999999997E-2</v>
      </c>
      <c r="X10735">
        <v>0.99823300000000004</v>
      </c>
      <c r="Y10735">
        <v>-6.1887339999999999E-2</v>
      </c>
      <c r="Z10735">
        <v>3.0668750000000002E-2</v>
      </c>
      <c r="AA10735">
        <v>0.99761180000000005</v>
      </c>
      <c r="AB10735">
        <v>31</v>
      </c>
      <c r="AC10735">
        <v>11.506699999999899</v>
      </c>
      <c r="AD10735">
        <v>-1.1105899545389999</v>
      </c>
      <c r="AE10735">
        <v>-2.9251000000000098</v>
      </c>
      <c r="AF10735">
        <v>-0.76764152109816197</v>
      </c>
      <c r="AG10735">
        <v>-1.1105899545389999</v>
      </c>
      <c r="AH10735">
        <v>11.744627063014301</v>
      </c>
      <c r="AI10735">
        <v>95.390479919393798</v>
      </c>
      <c r="AJ10735">
        <v>93.739594868885703</v>
      </c>
      <c r="AK10735">
        <v>11.821968888528</v>
      </c>
      <c r="AL10735">
        <v>87.083300422944006</v>
      </c>
      <c r="AM10735">
        <v>91.760894857685102</v>
      </c>
      <c r="AN10735">
        <v>1.00000005370107</v>
      </c>
    </row>
    <row r="10736" spans="1:40" x14ac:dyDescent="0.25">
      <c r="A10736" t="str">
        <f>"20190312150929660"</f>
        <v>20190312150929660</v>
      </c>
      <c r="B10736" t="str">
        <f>"1552374569650288"</f>
        <v>1552374569650288</v>
      </c>
      <c r="C10736" t="s">
        <v>40</v>
      </c>
      <c r="D10736">
        <v>5.0890719999999998</v>
      </c>
      <c r="E10736">
        <v>0.48352410000000001</v>
      </c>
      <c r="F10736" t="s">
        <v>42</v>
      </c>
      <c r="G10736">
        <v>-141.41470000000001</v>
      </c>
      <c r="H10736" s="1">
        <v>-4.1177969999999999E-6</v>
      </c>
      <c r="I10736">
        <v>137.0658</v>
      </c>
      <c r="J10736">
        <v>-153.03280000000001</v>
      </c>
      <c r="K10736">
        <v>1.110903</v>
      </c>
      <c r="L10736">
        <v>139.92420000000001</v>
      </c>
      <c r="M10736">
        <v>0.95121909999999998</v>
      </c>
      <c r="N10736">
        <v>0</v>
      </c>
      <c r="O10736">
        <v>-0.30817709999999998</v>
      </c>
      <c r="P10736">
        <v>0.96160480000000004</v>
      </c>
      <c r="Q10736">
        <v>3.6167589999999999E-2</v>
      </c>
      <c r="R10736">
        <v>-0.27204499999999998</v>
      </c>
      <c r="S10736">
        <v>2.9260250000000001</v>
      </c>
      <c r="T10736">
        <v>-0.27353830000000001</v>
      </c>
      <c r="U10736">
        <v>-0.72480769999999906</v>
      </c>
      <c r="V10736">
        <v>-3.7617119999999997E-2</v>
      </c>
      <c r="W10736">
        <v>5.0584480000000001E-2</v>
      </c>
      <c r="X10736">
        <v>0.99801110000000004</v>
      </c>
      <c r="Y10736">
        <v>-6.8939570000000006E-2</v>
      </c>
      <c r="Z10736">
        <v>3.087809E-2</v>
      </c>
      <c r="AA10736">
        <v>0.99714290000000005</v>
      </c>
      <c r="AB10736">
        <v>30</v>
      </c>
      <c r="AC10736">
        <v>11.618099999999901</v>
      </c>
      <c r="AD10736">
        <v>-1.110907117797</v>
      </c>
      <c r="AE10736">
        <v>-2.8584000000000098</v>
      </c>
      <c r="AF10736">
        <v>-0.85419369199877504</v>
      </c>
      <c r="AG10736">
        <v>-1.110907117797</v>
      </c>
      <c r="AH10736">
        <v>11.831499368492899</v>
      </c>
      <c r="AI10736">
        <v>95.350160959613305</v>
      </c>
      <c r="AJ10736">
        <v>94.129394187693904</v>
      </c>
      <c r="AK10736">
        <v>11.9141990412478</v>
      </c>
      <c r="AL10736">
        <v>87.100485338069603</v>
      </c>
      <c r="AM10736">
        <v>92.158575599109795</v>
      </c>
      <c r="AN10736">
        <v>0.99999999652858695</v>
      </c>
    </row>
    <row r="10737" spans="1:40" x14ac:dyDescent="0.25">
      <c r="A10737" t="str">
        <f>"20190312150929682"</f>
        <v>20190312150929682</v>
      </c>
      <c r="B10737" t="str">
        <f>"1552374569679568"</f>
        <v>1552374569679568</v>
      </c>
      <c r="C10737" t="s">
        <v>40</v>
      </c>
      <c r="D10737">
        <v>5.0958819999999996</v>
      </c>
      <c r="E10737">
        <v>0.48365580000000002</v>
      </c>
      <c r="F10737" t="s">
        <v>42</v>
      </c>
      <c r="G10737">
        <v>-140.20859999999999</v>
      </c>
      <c r="H10737" s="1">
        <v>-4.670261E-6</v>
      </c>
      <c r="I10737">
        <v>136.8681</v>
      </c>
      <c r="J10737">
        <v>-152.7397</v>
      </c>
      <c r="K10737">
        <v>1.1112899999999999</v>
      </c>
      <c r="L10737">
        <v>139.8305</v>
      </c>
      <c r="M10737">
        <v>0.95164130000000002</v>
      </c>
      <c r="N10737">
        <v>0</v>
      </c>
      <c r="O10737">
        <v>-0.30687150000000002</v>
      </c>
      <c r="P10737">
        <v>0.96373260000000005</v>
      </c>
      <c r="Q10737">
        <v>3.8948129999999997E-2</v>
      </c>
      <c r="R10737">
        <v>-0.26401269999999999</v>
      </c>
      <c r="S10737">
        <v>2.931686</v>
      </c>
      <c r="T10737">
        <v>-0.25395830000000003</v>
      </c>
      <c r="U10737">
        <v>-0.69862369999999996</v>
      </c>
      <c r="V10737">
        <v>-4.4593529999999999E-2</v>
      </c>
      <c r="W10737">
        <v>5.3291159999999997E-2</v>
      </c>
      <c r="X10737">
        <v>0.99758279999999999</v>
      </c>
      <c r="Y10737">
        <v>-7.6612630000000001E-2</v>
      </c>
      <c r="Z10737">
        <v>2.88829E-2</v>
      </c>
      <c r="AA10737">
        <v>0.99664249999999999</v>
      </c>
      <c r="AB10737">
        <v>30</v>
      </c>
      <c r="AC10737">
        <v>12.5311</v>
      </c>
      <c r="AD10737">
        <v>-1.11129467026099</v>
      </c>
      <c r="AE10737">
        <v>-2.9624000000000001</v>
      </c>
      <c r="AF10737">
        <v>-1.01881385830713</v>
      </c>
      <c r="AG10737">
        <v>-1.11129467026099</v>
      </c>
      <c r="AH10737">
        <v>12.740630747303699</v>
      </c>
      <c r="AI10737">
        <v>94.969194363986304</v>
      </c>
      <c r="AJ10737">
        <v>94.571970303972606</v>
      </c>
      <c r="AK10737">
        <v>12.8295217900422</v>
      </c>
      <c r="AL10737">
        <v>86.9451943262589</v>
      </c>
      <c r="AM10737">
        <v>92.559508101885697</v>
      </c>
      <c r="AN10737">
        <v>0.99999998675392299</v>
      </c>
    </row>
    <row r="10738" spans="1:40" x14ac:dyDescent="0.25">
      <c r="A10738" t="str">
        <f>"20190312150929710"</f>
        <v>20190312150929710</v>
      </c>
      <c r="B10738" t="str">
        <f>"1552374569700067"</f>
        <v>1552374569700067</v>
      </c>
      <c r="C10738" t="s">
        <v>40</v>
      </c>
      <c r="D10738">
        <v>5.1354139999999999</v>
      </c>
      <c r="E10738">
        <v>0.48385339999999999</v>
      </c>
      <c r="F10738" t="s">
        <v>42</v>
      </c>
      <c r="G10738">
        <v>-139.61250000000001</v>
      </c>
      <c r="H10738" s="1">
        <v>-8.6336100000000005E-7</v>
      </c>
      <c r="I10738">
        <v>136.81460000000001</v>
      </c>
      <c r="J10738">
        <v>-152.38299999999899</v>
      </c>
      <c r="K10738">
        <v>1.111782</v>
      </c>
      <c r="L10738">
        <v>139.71780000000001</v>
      </c>
      <c r="M10738">
        <v>0.95234169999999996</v>
      </c>
      <c r="N10738">
        <v>0</v>
      </c>
      <c r="O10738">
        <v>-0.30469159999999901</v>
      </c>
      <c r="P10738">
        <v>0.96673980000000004</v>
      </c>
      <c r="Q10738">
        <v>4.1854349999999998E-2</v>
      </c>
      <c r="R10738">
        <v>-0.2523145</v>
      </c>
      <c r="S10738">
        <v>2.938034</v>
      </c>
      <c r="T10738">
        <v>-0.24871950000000001</v>
      </c>
      <c r="U10738">
        <v>-0.67497249999999998</v>
      </c>
      <c r="V10738">
        <v>-5.443713E-2</v>
      </c>
      <c r="W10738">
        <v>5.6088859999999997E-2</v>
      </c>
      <c r="X10738">
        <v>0.99694059999999995</v>
      </c>
      <c r="Y10738">
        <v>-8.2463899999999896E-2</v>
      </c>
      <c r="Z10738">
        <v>2.8335249999999999E-2</v>
      </c>
      <c r="AA10738">
        <v>0.9961911</v>
      </c>
      <c r="AB10738">
        <v>30</v>
      </c>
      <c r="AC10738">
        <v>12.770499999999901</v>
      </c>
      <c r="AD10738">
        <v>-1.1117828633610001</v>
      </c>
      <c r="AE10738">
        <v>-2.9031999999999898</v>
      </c>
      <c r="AF10738">
        <v>-1.1182837803365999</v>
      </c>
      <c r="AG10738">
        <v>-1.1117828633610001</v>
      </c>
      <c r="AH10738">
        <v>12.954459814233401</v>
      </c>
      <c r="AI10738">
        <v>94.887154935887693</v>
      </c>
      <c r="AJ10738">
        <v>94.933783051688806</v>
      </c>
      <c r="AK10738">
        <v>13.0500823302849</v>
      </c>
      <c r="AL10738">
        <v>86.7846575225756</v>
      </c>
      <c r="AM10738">
        <v>93.125485536475395</v>
      </c>
      <c r="AN10738">
        <v>0.99999996063354701</v>
      </c>
    </row>
    <row r="10739" spans="1:40" x14ac:dyDescent="0.25">
      <c r="A10739" t="str">
        <f>"20190312150929734"</f>
        <v>20190312150929734</v>
      </c>
      <c r="B10739" t="str">
        <f>"1552374569730319"</f>
        <v>1552374569730319</v>
      </c>
      <c r="C10739" t="s">
        <v>40</v>
      </c>
      <c r="D10739">
        <v>5.022106</v>
      </c>
      <c r="E10739">
        <v>0.48411199999999999</v>
      </c>
      <c r="F10739" t="s">
        <v>42</v>
      </c>
      <c r="G10739">
        <v>-138.0855</v>
      </c>
      <c r="H10739" s="1">
        <v>-1.438335E-6</v>
      </c>
      <c r="I10739">
        <v>136.60659999999999</v>
      </c>
      <c r="J10739">
        <v>-152.0718</v>
      </c>
      <c r="K10739">
        <v>1.112187</v>
      </c>
      <c r="L10739">
        <v>139.62090000000001</v>
      </c>
      <c r="M10739">
        <v>0.95310490000000003</v>
      </c>
      <c r="N10739">
        <v>0</v>
      </c>
      <c r="O10739">
        <v>-0.30229679999999998</v>
      </c>
      <c r="P10739">
        <v>0.9692577</v>
      </c>
      <c r="Q10739">
        <v>3.8684040000000003E-2</v>
      </c>
      <c r="R10739">
        <v>-0.2429886</v>
      </c>
      <c r="S10739">
        <v>2.9458009999999999</v>
      </c>
      <c r="T10739">
        <v>-0.22906760000000001</v>
      </c>
      <c r="U10739">
        <v>-0.64100649999999904</v>
      </c>
      <c r="V10739">
        <v>-6.1623900000000002E-2</v>
      </c>
      <c r="W10739">
        <v>5.2822620000000001E-2</v>
      </c>
      <c r="X10739">
        <v>0.99670069999999999</v>
      </c>
      <c r="Y10739">
        <v>-9.1644149999999994E-2</v>
      </c>
      <c r="Z10739">
        <v>2.6256890000000001E-2</v>
      </c>
      <c r="AA10739">
        <v>0.99544560000000004</v>
      </c>
      <c r="AB10739">
        <v>30</v>
      </c>
      <c r="AC10739">
        <v>13.9863</v>
      </c>
      <c r="AD10739">
        <v>-1.112188438335</v>
      </c>
      <c r="AE10739">
        <v>-3.01430000000002</v>
      </c>
      <c r="AF10739">
        <v>-1.34707038903583</v>
      </c>
      <c r="AG10739">
        <v>-1.112188438335</v>
      </c>
      <c r="AH10739">
        <v>14.1575531749665</v>
      </c>
      <c r="AI10739">
        <v>94.471700665262901</v>
      </c>
      <c r="AJ10739">
        <v>95.435246469961299</v>
      </c>
      <c r="AK10739">
        <v>14.2649175832666</v>
      </c>
      <c r="AL10739">
        <v>86.972077626531799</v>
      </c>
      <c r="AM10739">
        <v>93.537973478782305</v>
      </c>
      <c r="AN10739">
        <v>1.00000000980768</v>
      </c>
    </row>
    <row r="10740" spans="1:40" x14ac:dyDescent="0.25">
      <c r="A10740" t="str">
        <f>"20190312150929754"</f>
        <v>20190312150929754</v>
      </c>
      <c r="B10740" t="str">
        <f>"1552374569749840"</f>
        <v>1552374569749840</v>
      </c>
      <c r="C10740" t="s">
        <v>40</v>
      </c>
      <c r="D10740">
        <v>5.0626509999999998</v>
      </c>
      <c r="E10740">
        <v>0.48425000000000001</v>
      </c>
      <c r="F10740" t="s">
        <v>42</v>
      </c>
      <c r="G10740">
        <v>-137.51220000000001</v>
      </c>
      <c r="H10740" s="1">
        <v>-1.6385569999999999E-6</v>
      </c>
      <c r="I10740">
        <v>136.5874</v>
      </c>
      <c r="J10740">
        <v>-151.80869999999999</v>
      </c>
      <c r="K10740">
        <v>1.1124799999999999</v>
      </c>
      <c r="L10740">
        <v>139.5401</v>
      </c>
      <c r="M10740">
        <v>0.95384869999999999</v>
      </c>
      <c r="N10740">
        <v>0</v>
      </c>
      <c r="O10740">
        <v>-0.29994159999999997</v>
      </c>
      <c r="P10740">
        <v>0.97148080000000003</v>
      </c>
      <c r="Q10740">
        <v>3.4232789999999999E-2</v>
      </c>
      <c r="R10740">
        <v>-0.2346338</v>
      </c>
      <c r="S10740">
        <v>2.950043</v>
      </c>
      <c r="T10740">
        <v>-0.2253492</v>
      </c>
      <c r="U10740">
        <v>-0.6146393</v>
      </c>
      <c r="V10740">
        <v>-6.7815269999999997E-2</v>
      </c>
      <c r="W10740">
        <v>4.8287980000000001E-2</v>
      </c>
      <c r="X10740">
        <v>0.99652859999999999</v>
      </c>
      <c r="Y10740">
        <v>-9.8015850000000002E-2</v>
      </c>
      <c r="Z10740">
        <v>2.589868E-2</v>
      </c>
      <c r="AA10740">
        <v>0.99484779999999995</v>
      </c>
      <c r="AB10740">
        <v>30</v>
      </c>
      <c r="AC10740">
        <v>14.296499999999901</v>
      </c>
      <c r="AD10740">
        <v>-1.112481638557</v>
      </c>
      <c r="AE10740">
        <v>-2.9526999999999899</v>
      </c>
      <c r="AF10740">
        <v>-1.4633406092771599</v>
      </c>
      <c r="AG10740">
        <v>-1.112481638557</v>
      </c>
      <c r="AH10740">
        <v>14.4399843977681</v>
      </c>
      <c r="AI10740">
        <v>94.383103726177595</v>
      </c>
      <c r="AJ10740">
        <v>95.786570090324702</v>
      </c>
      <c r="AK10740">
        <v>14.5565150548706</v>
      </c>
      <c r="AL10740">
        <v>87.232226065229497</v>
      </c>
      <c r="AM10740">
        <v>93.893061772688995</v>
      </c>
      <c r="AN10740">
        <v>0.999999945237805</v>
      </c>
    </row>
    <row r="10741" spans="1:40" x14ac:dyDescent="0.25">
      <c r="A10741" t="str">
        <f>"20190312150929777"</f>
        <v>20190312150929777</v>
      </c>
      <c r="B10741" t="str">
        <f>"1552374569770336"</f>
        <v>1552374569770336</v>
      </c>
      <c r="C10741" t="s">
        <v>40</v>
      </c>
      <c r="D10741">
        <v>5.1999589999999998</v>
      </c>
      <c r="E10741">
        <v>0.48472290000000001</v>
      </c>
      <c r="F10741" t="s">
        <v>42</v>
      </c>
      <c r="G10741">
        <v>-137.66220000000001</v>
      </c>
      <c r="H10741" s="1">
        <v>-1.553567E-6</v>
      </c>
      <c r="I10741">
        <v>136.715</v>
      </c>
      <c r="J10741">
        <v>-151.52199999999999</v>
      </c>
      <c r="K10741">
        <v>1.112771</v>
      </c>
      <c r="L10741">
        <v>139.45310000000001</v>
      </c>
      <c r="M10741">
        <v>0.95476479999999997</v>
      </c>
      <c r="N10741">
        <v>0</v>
      </c>
      <c r="O10741">
        <v>-0.29701230000000001</v>
      </c>
      <c r="P10741">
        <v>0.9732423</v>
      </c>
      <c r="Q10741">
        <v>3.0101619999999999E-2</v>
      </c>
      <c r="R10741">
        <v>-0.22780069999999999</v>
      </c>
      <c r="S10741">
        <v>2.9537810000000002</v>
      </c>
      <c r="T10741">
        <v>-0.23228499999999999</v>
      </c>
      <c r="U10741">
        <v>-0.58985900000000002</v>
      </c>
      <c r="V10741">
        <v>-7.1815480000000001E-2</v>
      </c>
      <c r="W10741">
        <v>4.4078190000000003E-2</v>
      </c>
      <c r="X10741">
        <v>0.99644350000000004</v>
      </c>
      <c r="Y10741">
        <v>-0.1031503</v>
      </c>
      <c r="Z10741">
        <v>2.6672919999999999E-2</v>
      </c>
      <c r="AA10741">
        <v>0.99430810000000003</v>
      </c>
      <c r="AB10741">
        <v>30</v>
      </c>
      <c r="AC10741">
        <v>13.8598</v>
      </c>
      <c r="AD10741">
        <v>-1.1127725535669999</v>
      </c>
      <c r="AE10741">
        <v>-2.7381000000000002</v>
      </c>
      <c r="AF10741">
        <v>-1.4931820503395401</v>
      </c>
      <c r="AG10741">
        <v>-1.1127725535669999</v>
      </c>
      <c r="AH10741">
        <v>13.9609450557926</v>
      </c>
      <c r="AI10741">
        <v>94.531453155930507</v>
      </c>
      <c r="AJ10741">
        <v>96.104818154598107</v>
      </c>
      <c r="AK10741">
        <v>14.084595920447599</v>
      </c>
      <c r="AL10741">
        <v>87.473687235360899</v>
      </c>
      <c r="AM10741">
        <v>94.122282495770307</v>
      </c>
      <c r="AN10741">
        <v>0.99999999934677797</v>
      </c>
    </row>
    <row r="10742" spans="1:40" x14ac:dyDescent="0.25">
      <c r="A10742" t="str">
        <f>"20190312150929799"</f>
        <v>20190312150929799</v>
      </c>
      <c r="B10742" t="str">
        <f>"1552374569789856"</f>
        <v>1552374569789856</v>
      </c>
      <c r="C10742" t="s">
        <v>40</v>
      </c>
      <c r="D10742">
        <v>5.1683659999999998</v>
      </c>
      <c r="E10742">
        <v>0.48544880000000001</v>
      </c>
      <c r="F10742" t="s">
        <v>42</v>
      </c>
      <c r="G10742">
        <v>-137.70339999999999</v>
      </c>
      <c r="H10742" s="1">
        <v>-1.522353E-6</v>
      </c>
      <c r="I10742">
        <v>136.77969999999999</v>
      </c>
      <c r="J10742">
        <v>-151.23400000000001</v>
      </c>
      <c r="K10742">
        <v>1.1130530000000001</v>
      </c>
      <c r="L10742">
        <v>139.3672</v>
      </c>
      <c r="M10742">
        <v>0.95578839999999998</v>
      </c>
      <c r="N10742">
        <v>0</v>
      </c>
      <c r="O10742">
        <v>-0.29370190000000002</v>
      </c>
      <c r="P10742">
        <v>0.97457150000000003</v>
      </c>
      <c r="Q10742">
        <v>2.7257130000000001E-2</v>
      </c>
      <c r="R10742">
        <v>-0.22241359999999999</v>
      </c>
      <c r="S10742">
        <v>2.955978</v>
      </c>
      <c r="T10742">
        <v>-0.238036</v>
      </c>
      <c r="U10742">
        <v>-0.57188419999999995</v>
      </c>
      <c r="V10742">
        <v>-7.3913709999999994E-2</v>
      </c>
      <c r="W10742">
        <v>4.1167849999999999E-2</v>
      </c>
      <c r="X10742">
        <v>0.99641449999999998</v>
      </c>
      <c r="Y10742">
        <v>-0.1056107</v>
      </c>
      <c r="Z10742">
        <v>2.7179539999999999E-2</v>
      </c>
      <c r="AA10742">
        <v>0.99403600000000003</v>
      </c>
      <c r="AB10742">
        <v>30</v>
      </c>
      <c r="AC10742">
        <v>13.5306</v>
      </c>
      <c r="AD10742">
        <v>-1.113054522353</v>
      </c>
      <c r="AE10742">
        <v>-2.5874999999999999</v>
      </c>
      <c r="AF10742">
        <v>-1.49128082515279</v>
      </c>
      <c r="AG10742">
        <v>-1.113054522353</v>
      </c>
      <c r="AH10742">
        <v>13.604949372337</v>
      </c>
      <c r="AI10742">
        <v>94.649368233164907</v>
      </c>
      <c r="AJ10742">
        <v>96.255395475857796</v>
      </c>
      <c r="AK10742">
        <v>13.731622493101501</v>
      </c>
      <c r="AL10742">
        <v>87.640589034677006</v>
      </c>
      <c r="AM10742">
        <v>94.242412577899699</v>
      </c>
      <c r="AN10742">
        <v>0.99999994210491605</v>
      </c>
    </row>
    <row r="10743" spans="1:40" x14ac:dyDescent="0.25">
      <c r="A10743" t="str">
        <f>"20190312150929821"</f>
        <v>20190312150929821</v>
      </c>
      <c r="B10743" t="str">
        <f>"1552374569809376"</f>
        <v>1552374569809376</v>
      </c>
      <c r="C10743" t="s">
        <v>40</v>
      </c>
      <c r="D10743">
        <v>5.0366770000000001</v>
      </c>
      <c r="E10743">
        <v>0.4860816</v>
      </c>
      <c r="F10743" t="s">
        <v>42</v>
      </c>
      <c r="G10743">
        <v>-137.82040000000001</v>
      </c>
      <c r="H10743" s="1">
        <v>-1.470823E-6</v>
      </c>
      <c r="I10743">
        <v>136.8236</v>
      </c>
      <c r="J10743">
        <v>-150.94980000000001</v>
      </c>
      <c r="K10743">
        <v>1.113327</v>
      </c>
      <c r="L10743">
        <v>139.28380000000001</v>
      </c>
      <c r="M10743">
        <v>0.9568873</v>
      </c>
      <c r="N10743">
        <v>0</v>
      </c>
      <c r="O10743">
        <v>-0.29010249999999999</v>
      </c>
      <c r="P10743">
        <v>0.97579539999999998</v>
      </c>
      <c r="Q10743">
        <v>2.594024E-2</v>
      </c>
      <c r="R10743">
        <v>-0.217143</v>
      </c>
      <c r="S10743">
        <v>2.9571689999999999</v>
      </c>
      <c r="T10743">
        <v>-0.24538479999999999</v>
      </c>
      <c r="U10743">
        <v>-0.56074519999999906</v>
      </c>
      <c r="V10743">
        <v>-7.5579350000000003E-2</v>
      </c>
      <c r="W10743">
        <v>3.9789489999999997E-2</v>
      </c>
      <c r="X10743">
        <v>0.99634560000000005</v>
      </c>
      <c r="Y10743">
        <v>-0.1054903</v>
      </c>
      <c r="Z10743">
        <v>2.7731470000000001E-2</v>
      </c>
      <c r="AA10743">
        <v>0.99403359999999996</v>
      </c>
      <c r="AB10743">
        <v>30</v>
      </c>
      <c r="AC10743">
        <v>13.1294</v>
      </c>
      <c r="AD10743">
        <v>-1.113328470823</v>
      </c>
      <c r="AE10743">
        <v>-2.4602000000000102</v>
      </c>
      <c r="AF10743">
        <v>-1.4448516413960899</v>
      </c>
      <c r="AG10743">
        <v>-1.113328470823</v>
      </c>
      <c r="AH10743">
        <v>13.1868390891328</v>
      </c>
      <c r="AI10743">
        <v>94.797305281486899</v>
      </c>
      <c r="AJ10743">
        <v>96.252824549195196</v>
      </c>
      <c r="AK10743">
        <v>13.3123935380634</v>
      </c>
      <c r="AL10743">
        <v>87.719628164217696</v>
      </c>
      <c r="AM10743">
        <v>94.337952969128494</v>
      </c>
      <c r="AN10743">
        <v>0.99999999815012097</v>
      </c>
    </row>
    <row r="10744" spans="1:40" x14ac:dyDescent="0.25">
      <c r="A10744" t="str">
        <f>"20190312150929844"</f>
        <v>20190312150929844</v>
      </c>
      <c r="B10744" t="str">
        <f>"1552374569839632"</f>
        <v>1552374569839632</v>
      </c>
      <c r="C10744" t="s">
        <v>40</v>
      </c>
      <c r="D10744">
        <v>4.9908539999999997</v>
      </c>
      <c r="E10744">
        <v>0.48659449999999999</v>
      </c>
      <c r="F10744" t="s">
        <v>42</v>
      </c>
      <c r="G10744">
        <v>-137.4162</v>
      </c>
      <c r="H10744" s="1">
        <v>-1.62327E-6</v>
      </c>
      <c r="I10744">
        <v>136.76769999999999</v>
      </c>
      <c r="J10744">
        <v>-150.66120000000001</v>
      </c>
      <c r="K10744">
        <v>1.11359599999999</v>
      </c>
      <c r="L10744">
        <v>139.20070000000001</v>
      </c>
      <c r="M10744">
        <v>0.95808130000000002</v>
      </c>
      <c r="N10744">
        <v>0</v>
      </c>
      <c r="O10744">
        <v>-0.286134</v>
      </c>
      <c r="P10744">
        <v>0.97712509999999997</v>
      </c>
      <c r="Q10744">
        <v>2.4644610000000001E-2</v>
      </c>
      <c r="R10744">
        <v>-0.2112329</v>
      </c>
      <c r="S10744">
        <v>2.9584959999999998</v>
      </c>
      <c r="T10744">
        <v>-0.2433776</v>
      </c>
      <c r="U10744">
        <v>-0.55001829999999996</v>
      </c>
      <c r="V10744">
        <v>-7.7507469999999995E-2</v>
      </c>
      <c r="W10744">
        <v>3.8431069999999998E-2</v>
      </c>
      <c r="X10744">
        <v>0.99625079999999999</v>
      </c>
      <c r="Y10744">
        <v>-0.1049665</v>
      </c>
      <c r="Z10744">
        <v>2.7175879999999999E-2</v>
      </c>
      <c r="AA10744">
        <v>0.9941044</v>
      </c>
      <c r="AB10744">
        <v>30</v>
      </c>
      <c r="AC10744">
        <v>13.244999999999999</v>
      </c>
      <c r="AD10744">
        <v>-1.11359762326999</v>
      </c>
      <c r="AE10744">
        <v>-2.4330000000000198</v>
      </c>
      <c r="AF10744">
        <v>-1.44907541500226</v>
      </c>
      <c r="AG10744">
        <v>-1.11359762326999</v>
      </c>
      <c r="AH10744">
        <v>13.2964170052808</v>
      </c>
      <c r="AI10744">
        <v>94.759396567211297</v>
      </c>
      <c r="AJ10744">
        <v>96.219684906108199</v>
      </c>
      <c r="AK10744">
        <v>13.4214240825345</v>
      </c>
      <c r="AL10744">
        <v>87.797519514623701</v>
      </c>
      <c r="AM10744">
        <v>94.448602284481694</v>
      </c>
      <c r="AN10744">
        <v>1.00000000577389</v>
      </c>
    </row>
    <row r="10745" spans="1:40" x14ac:dyDescent="0.25">
      <c r="A10745" t="str">
        <f>"20190312150929870"</f>
        <v>20190312150929870</v>
      </c>
      <c r="B10745" t="str">
        <f>"1552374569860128"</f>
        <v>1552374569860128</v>
      </c>
      <c r="C10745" t="s">
        <v>40</v>
      </c>
      <c r="D10745">
        <v>5.2209779999999997</v>
      </c>
      <c r="E10745">
        <v>0.4943263</v>
      </c>
      <c r="F10745" t="s">
        <v>42</v>
      </c>
      <c r="G10745">
        <v>-137.01509999999999</v>
      </c>
      <c r="H10745" s="1">
        <v>-1.7746060000000001E-6</v>
      </c>
      <c r="I10745">
        <v>136.7311</v>
      </c>
      <c r="J10745">
        <v>-150.32390000000001</v>
      </c>
      <c r="K10745">
        <v>1.1138980000000001</v>
      </c>
      <c r="L10745">
        <v>139.10579999999999</v>
      </c>
      <c r="M10745">
        <v>0.95958189999999999</v>
      </c>
      <c r="N10745">
        <v>0</v>
      </c>
      <c r="O10745">
        <v>-0.28105989999999997</v>
      </c>
      <c r="P10745">
        <v>0.97865310000000005</v>
      </c>
      <c r="Q10745">
        <v>2.3927489999999999E-2</v>
      </c>
      <c r="R10745">
        <v>-0.20412179999999999</v>
      </c>
      <c r="S10745">
        <v>2.9604949999999999</v>
      </c>
      <c r="T10745">
        <v>-0.24159159999999999</v>
      </c>
      <c r="U10745">
        <v>-0.53575130000000004</v>
      </c>
      <c r="V10745">
        <v>-7.9509650000000001E-2</v>
      </c>
      <c r="W10745">
        <v>3.7643419999999997E-2</v>
      </c>
      <c r="X10745">
        <v>0.99612310000000004</v>
      </c>
      <c r="Y10745">
        <v>-0.10449460000000001</v>
      </c>
      <c r="Z10745">
        <v>2.656391E-2</v>
      </c>
      <c r="AA10745">
        <v>0.99417060000000002</v>
      </c>
      <c r="AB10745">
        <v>30</v>
      </c>
      <c r="AC10745">
        <v>13.3088</v>
      </c>
      <c r="AD10745">
        <v>-1.113899774606</v>
      </c>
      <c r="AE10745">
        <v>-2.37469999999999</v>
      </c>
      <c r="AF10745">
        <v>-1.45214430316955</v>
      </c>
      <c r="AG10745">
        <v>-1.113899774606</v>
      </c>
      <c r="AH10745">
        <v>13.3490873423743</v>
      </c>
      <c r="AI10745">
        <v>94.742085655885703</v>
      </c>
      <c r="AJ10745">
        <v>96.208353928130194</v>
      </c>
      <c r="AK10745">
        <v>13.473961134701</v>
      </c>
      <c r="AL10745">
        <v>87.842681251513497</v>
      </c>
      <c r="AM10745">
        <v>94.563622256541393</v>
      </c>
      <c r="AN10745">
        <v>1.00000002093301</v>
      </c>
    </row>
    <row r="10746" spans="1:40" x14ac:dyDescent="0.25">
      <c r="A10746" t="str">
        <f>"20190312150929893"</f>
        <v>20190312150929893</v>
      </c>
      <c r="B10746" t="str">
        <f>"1552374569890385"</f>
        <v>1552374569890385</v>
      </c>
      <c r="C10746" t="s">
        <v>40</v>
      </c>
      <c r="D10746">
        <v>4.9875619999999996</v>
      </c>
      <c r="E10746">
        <v>0.4959789</v>
      </c>
      <c r="F10746" t="s">
        <v>42</v>
      </c>
      <c r="G10746">
        <v>-142.32079999999999</v>
      </c>
      <c r="H10746" s="1">
        <v>-3.6444089999999998E-6</v>
      </c>
      <c r="I10746">
        <v>137.54300000000001</v>
      </c>
      <c r="J10746">
        <v>-150.03399999999999</v>
      </c>
      <c r="K10746">
        <v>1.1141399999999999</v>
      </c>
      <c r="L10746">
        <v>139.02610000000001</v>
      </c>
      <c r="M10746">
        <v>0.96093839999999997</v>
      </c>
      <c r="N10746">
        <v>0</v>
      </c>
      <c r="O10746">
        <v>-0.27638620000000003</v>
      </c>
      <c r="P10746">
        <v>0.97999570000000003</v>
      </c>
      <c r="Q10746">
        <v>2.347055E-2</v>
      </c>
      <c r="R10746">
        <v>-0.19763059999999999</v>
      </c>
      <c r="S10746">
        <v>2.955139</v>
      </c>
      <c r="T10746">
        <v>-0.41130820000000001</v>
      </c>
      <c r="U10746">
        <v>-0.57702640000000005</v>
      </c>
      <c r="V10746">
        <v>-8.1288020000000002E-2</v>
      </c>
      <c r="W10746">
        <v>3.7127840000000002E-2</v>
      </c>
      <c r="X10746">
        <v>0.99599890000000002</v>
      </c>
      <c r="Y10746">
        <v>-8.3864830000000001E-2</v>
      </c>
      <c r="Z10746">
        <v>4.3062219999999998E-2</v>
      </c>
      <c r="AA10746">
        <v>0.99554620000000005</v>
      </c>
      <c r="AB10746">
        <v>30</v>
      </c>
      <c r="AC10746">
        <v>7.7131999999999996</v>
      </c>
      <c r="AD10746">
        <v>-1.1141436444089901</v>
      </c>
      <c r="AE10746">
        <v>-1.4831000000000001</v>
      </c>
      <c r="AF10746">
        <v>-0.69278833511947102</v>
      </c>
      <c r="AG10746">
        <v>-1.1141436444089901</v>
      </c>
      <c r="AH10746">
        <v>7.6683388175270304</v>
      </c>
      <c r="AI10746">
        <v>98.233667526181605</v>
      </c>
      <c r="AJ10746">
        <v>95.1623148420192</v>
      </c>
      <c r="AK10746">
        <v>7.7797616903120099</v>
      </c>
      <c r="AL10746">
        <v>87.872242459801498</v>
      </c>
      <c r="AM10746">
        <v>94.665829034390597</v>
      </c>
      <c r="AN10746">
        <v>1.0000000137498899</v>
      </c>
    </row>
    <row r="10747" spans="1:40" x14ac:dyDescent="0.25">
      <c r="A10747" t="str">
        <f>"20190312150929913"</f>
        <v>20190312150929913</v>
      </c>
      <c r="B10747" t="str">
        <f>"1552374569909904"</f>
        <v>1552374569909904</v>
      </c>
      <c r="C10747" t="s">
        <v>40</v>
      </c>
      <c r="D10747">
        <v>5.092873</v>
      </c>
      <c r="E10747">
        <v>0.49525350000000001</v>
      </c>
      <c r="F10747" t="s">
        <v>42</v>
      </c>
      <c r="G10747">
        <v>-141.86240000000001</v>
      </c>
      <c r="H10747" s="1">
        <v>-3.8570690000000001E-6</v>
      </c>
      <c r="I10747">
        <v>137.4528</v>
      </c>
      <c r="J10747">
        <v>-149.76939999999999</v>
      </c>
      <c r="K10747">
        <v>1.114331</v>
      </c>
      <c r="L10747">
        <v>138.95500000000001</v>
      </c>
      <c r="M10747">
        <v>0.96221849999999998</v>
      </c>
      <c r="N10747">
        <v>0</v>
      </c>
      <c r="O10747">
        <v>-0.27189540000000001</v>
      </c>
      <c r="P10747">
        <v>0.98129140000000004</v>
      </c>
      <c r="Q10747">
        <v>2.2674260000000002E-2</v>
      </c>
      <c r="R10747">
        <v>-0.1911881</v>
      </c>
      <c r="S10747">
        <v>2.9561160000000002</v>
      </c>
      <c r="T10747">
        <v>-0.40304669999999998</v>
      </c>
      <c r="U10747">
        <v>-0.56913760000000002</v>
      </c>
      <c r="V10747">
        <v>-8.3197300000000002E-2</v>
      </c>
      <c r="W10747">
        <v>3.6279169999999999E-2</v>
      </c>
      <c r="X10747">
        <v>0.99587250000000005</v>
      </c>
      <c r="Y10747">
        <v>-8.2016119999999998E-2</v>
      </c>
      <c r="Z10747">
        <v>4.1502890000000001E-2</v>
      </c>
      <c r="AA10747">
        <v>0.9957665</v>
      </c>
      <c r="AB10747">
        <v>30</v>
      </c>
      <c r="AC10747">
        <v>7.9069999999999796</v>
      </c>
      <c r="AD10747">
        <v>-1.1143348570689999</v>
      </c>
      <c r="AE10747">
        <v>-1.50220000000001</v>
      </c>
      <c r="AF10747">
        <v>-0.69125477704660898</v>
      </c>
      <c r="AG10747">
        <v>-1.1143348570689999</v>
      </c>
      <c r="AH10747">
        <v>7.8667378437022997</v>
      </c>
      <c r="AI10747">
        <v>98.031849582722501</v>
      </c>
      <c r="AJ10747">
        <v>95.021714972064501</v>
      </c>
      <c r="AK10747">
        <v>7.9752830446327598</v>
      </c>
      <c r="AL10747">
        <v>87.920900432353307</v>
      </c>
      <c r="AM10747">
        <v>94.775521585179803</v>
      </c>
      <c r="AN10747">
        <v>1.00000000257971</v>
      </c>
    </row>
    <row r="10748" spans="1:40" x14ac:dyDescent="0.25">
      <c r="A10748" t="str">
        <f>"20190312150929934"</f>
        <v>20190312150929934</v>
      </c>
      <c r="B10748" t="str">
        <f>"1552374569930401"</f>
        <v>1552374569930401</v>
      </c>
      <c r="C10748" t="s">
        <v>40</v>
      </c>
      <c r="D10748">
        <v>5.1464189999999999</v>
      </c>
      <c r="E10748">
        <v>0.46031440000000001</v>
      </c>
      <c r="F10748" t="s">
        <v>42</v>
      </c>
      <c r="G10748">
        <v>-141.08869999999999</v>
      </c>
      <c r="H10748" s="1">
        <v>-4.2049229999999998E-6</v>
      </c>
      <c r="I10748">
        <v>137.363</v>
      </c>
      <c r="J10748">
        <v>-149.5033</v>
      </c>
      <c r="K10748">
        <v>1.114514</v>
      </c>
      <c r="L10748">
        <v>138.88499999999999</v>
      </c>
      <c r="M10748">
        <v>0.96354289999999998</v>
      </c>
      <c r="N10748">
        <v>0</v>
      </c>
      <c r="O10748">
        <v>-0.26716430000000002</v>
      </c>
      <c r="P10748">
        <v>0.98272550000000003</v>
      </c>
      <c r="Q10748">
        <v>2.1352300000000001E-2</v>
      </c>
      <c r="R10748">
        <v>-0.18383450000000001</v>
      </c>
      <c r="S10748">
        <v>2.9601899999999999</v>
      </c>
      <c r="T10748">
        <v>-0.37999569999999999</v>
      </c>
      <c r="U10748">
        <v>-0.54284670000000002</v>
      </c>
      <c r="V10748">
        <v>-8.5774089999999997E-2</v>
      </c>
      <c r="W10748">
        <v>3.489913E-2</v>
      </c>
      <c r="X10748">
        <v>0.99570320000000001</v>
      </c>
      <c r="Y10748">
        <v>-8.6259680000000005E-2</v>
      </c>
      <c r="Z10748">
        <v>3.8831480000000002E-2</v>
      </c>
      <c r="AA10748">
        <v>0.99551559999999994</v>
      </c>
      <c r="AB10748">
        <v>30</v>
      </c>
      <c r="AC10748">
        <v>8.4146000000000001</v>
      </c>
      <c r="AD10748">
        <v>-1.114518204923</v>
      </c>
      <c r="AE10748">
        <v>-1.52199999999999</v>
      </c>
      <c r="AF10748">
        <v>-0.76859345529835699</v>
      </c>
      <c r="AG10748">
        <v>-1.114518204923</v>
      </c>
      <c r="AH10748">
        <v>8.3731020720685798</v>
      </c>
      <c r="AI10748">
        <v>97.550524543863403</v>
      </c>
      <c r="AJ10748">
        <v>95.244662835211003</v>
      </c>
      <c r="AK10748">
        <v>8.4818467940603295</v>
      </c>
      <c r="AL10748">
        <v>88.000021029595104</v>
      </c>
      <c r="AM10748">
        <v>94.923546144856104</v>
      </c>
      <c r="AN10748">
        <v>1.0000000031401599</v>
      </c>
    </row>
    <row r="10749" spans="1:40" x14ac:dyDescent="0.25">
      <c r="A10749" t="str">
        <f>"20190312150929955"</f>
        <v>20190312150929955</v>
      </c>
      <c r="B10749" t="str">
        <f>"1552374569949920"</f>
        <v>1552374569949920</v>
      </c>
      <c r="C10749" t="s">
        <v>40</v>
      </c>
      <c r="D10749">
        <v>5.0900030000000003</v>
      </c>
      <c r="E10749">
        <v>0.4578874</v>
      </c>
      <c r="F10749" t="s">
        <v>42</v>
      </c>
      <c r="G10749">
        <v>-135.3683</v>
      </c>
      <c r="H10749" s="1">
        <v>-2.3026129999999999E-6</v>
      </c>
      <c r="I10749">
        <v>137.7372</v>
      </c>
      <c r="J10749">
        <v>-149.22659999999999</v>
      </c>
      <c r="K10749">
        <v>1.1147049999999901</v>
      </c>
      <c r="L10749">
        <v>138.81399999999999</v>
      </c>
      <c r="M10749">
        <v>0.96495439999999999</v>
      </c>
      <c r="N10749">
        <v>0</v>
      </c>
      <c r="O10749">
        <v>-0.2620191</v>
      </c>
      <c r="P10749">
        <v>0.98423419999999895</v>
      </c>
      <c r="Q10749">
        <v>1.9647359999999999E-2</v>
      </c>
      <c r="R10749">
        <v>-0.17577619999999999</v>
      </c>
      <c r="S10749">
        <v>3.0121310000000001</v>
      </c>
      <c r="T10749">
        <v>-0.2374986</v>
      </c>
      <c r="U10749">
        <v>-0.2445831</v>
      </c>
      <c r="V10749">
        <v>-8.8628269999999995E-2</v>
      </c>
      <c r="W10749">
        <v>3.3132990000000001E-2</v>
      </c>
      <c r="X10749">
        <v>0.9955136</v>
      </c>
      <c r="Y10749">
        <v>-0.18173529999999999</v>
      </c>
      <c r="Z10749">
        <v>2.7500110000000001E-2</v>
      </c>
      <c r="AA10749">
        <v>0.98296289999999997</v>
      </c>
      <c r="AB10749">
        <v>30</v>
      </c>
      <c r="AC10749">
        <v>13.8582999999999</v>
      </c>
      <c r="AD10749">
        <v>-1.1147073026130001</v>
      </c>
      <c r="AE10749">
        <v>-1.07679999999999</v>
      </c>
      <c r="AF10749">
        <v>-2.5757821031109298</v>
      </c>
      <c r="AG10749">
        <v>-1.1147073026130001</v>
      </c>
      <c r="AH10749">
        <v>13.568933210487501</v>
      </c>
      <c r="AI10749">
        <v>94.6143459963521</v>
      </c>
      <c r="AJ10749">
        <v>100.748531290201</v>
      </c>
      <c r="AK10749">
        <v>13.856160156546901</v>
      </c>
      <c r="AL10749">
        <v>88.101272088248905</v>
      </c>
      <c r="AM10749">
        <v>95.087497785133706</v>
      </c>
      <c r="AN10749">
        <v>1.0000000465272401</v>
      </c>
    </row>
    <row r="10750" spans="1:40" x14ac:dyDescent="0.25">
      <c r="A10750" t="str">
        <f>"20190312150929978"</f>
        <v>20190312150929978</v>
      </c>
      <c r="B10750" t="str">
        <f>"1552374569969440"</f>
        <v>1552374569969440</v>
      </c>
      <c r="C10750" t="s">
        <v>40</v>
      </c>
      <c r="D10750">
        <v>5.1514049999999996</v>
      </c>
      <c r="E10750">
        <v>0.4583777</v>
      </c>
      <c r="F10750" t="s">
        <v>42</v>
      </c>
      <c r="G10750">
        <v>-132.85059999999999</v>
      </c>
      <c r="H10750" s="1">
        <v>-3.3842659999999998E-6</v>
      </c>
      <c r="I10750">
        <v>137.72819999999999</v>
      </c>
      <c r="J10750">
        <v>-148.93950000000001</v>
      </c>
      <c r="K10750">
        <v>1.1148990000000001</v>
      </c>
      <c r="L10750">
        <v>138.7422</v>
      </c>
      <c r="M10750">
        <v>0.96644629999999998</v>
      </c>
      <c r="N10750">
        <v>0</v>
      </c>
      <c r="O10750">
        <v>-0.25646140000000001</v>
      </c>
      <c r="P10750">
        <v>0.98554529999999996</v>
      </c>
      <c r="Q10750">
        <v>1.96431E-2</v>
      </c>
      <c r="R10750">
        <v>-0.168269899999999</v>
      </c>
      <c r="S10750">
        <v>3.0164490000000002</v>
      </c>
      <c r="T10750">
        <v>-0.20532890000000001</v>
      </c>
      <c r="U10750">
        <v>-0.19999690000000001</v>
      </c>
      <c r="V10750">
        <v>-9.050097E-2</v>
      </c>
      <c r="W10750">
        <v>3.3077710000000003E-2</v>
      </c>
      <c r="X10750">
        <v>0.99534690000000003</v>
      </c>
      <c r="Y10750">
        <v>-0.1909661</v>
      </c>
      <c r="Z10750">
        <v>2.3719649999999998E-2</v>
      </c>
      <c r="AA10750">
        <v>0.98131000000000002</v>
      </c>
      <c r="AB10750">
        <v>30</v>
      </c>
      <c r="AC10750">
        <v>16.088899999999999</v>
      </c>
      <c r="AD10750">
        <v>-1.114902384266</v>
      </c>
      <c r="AE10750">
        <v>-1.01400000000001</v>
      </c>
      <c r="AF10750">
        <v>-3.1315560605567399</v>
      </c>
      <c r="AG10750">
        <v>-1.114902384266</v>
      </c>
      <c r="AH10750">
        <v>15.7355001190538</v>
      </c>
      <c r="AI10750">
        <v>93.975090131791603</v>
      </c>
      <c r="AJ10750">
        <v>101.255500650708</v>
      </c>
      <c r="AK10750">
        <v>16.082773849171499</v>
      </c>
      <c r="AL10750">
        <v>88.1044410588201</v>
      </c>
      <c r="AM10750">
        <v>95.195278899624697</v>
      </c>
      <c r="AN10750">
        <v>1.0000000059046901</v>
      </c>
    </row>
    <row r="10751" spans="1:40" x14ac:dyDescent="0.25">
      <c r="A10751" t="str">
        <f>"20190312150930002"</f>
        <v>20190312150930002</v>
      </c>
      <c r="B10751" t="str">
        <f>"1552374569999696"</f>
        <v>1552374569999696</v>
      </c>
      <c r="C10751" t="s">
        <v>40</v>
      </c>
      <c r="D10751">
        <v>5.0832769999999998</v>
      </c>
      <c r="E10751">
        <v>0.45877079999999998</v>
      </c>
      <c r="F10751" t="s">
        <v>42</v>
      </c>
      <c r="G10751">
        <v>-130.75</v>
      </c>
      <c r="H10751" s="1">
        <v>-4.2982300000000002E-6</v>
      </c>
      <c r="I10751">
        <v>137.65610000000001</v>
      </c>
      <c r="J10751">
        <v>-148.6285</v>
      </c>
      <c r="K10751">
        <v>1.115108</v>
      </c>
      <c r="L10751">
        <v>138.66659999999999</v>
      </c>
      <c r="M10751">
        <v>0.96808190000000005</v>
      </c>
      <c r="N10751">
        <v>0</v>
      </c>
      <c r="O10751">
        <v>-0.25021549999999998</v>
      </c>
      <c r="P10751">
        <v>0.98662640000000001</v>
      </c>
      <c r="Q10751">
        <v>2.1973940000000001E-2</v>
      </c>
      <c r="R10751">
        <v>-0.1615103</v>
      </c>
      <c r="S10751">
        <v>3.016937</v>
      </c>
      <c r="T10751">
        <v>-0.18491930000000001</v>
      </c>
      <c r="U10751">
        <v>-0.18012999999999901</v>
      </c>
      <c r="V10751">
        <v>-9.0926629999999994E-2</v>
      </c>
      <c r="W10751">
        <v>3.5374719999999998E-2</v>
      </c>
      <c r="X10751">
        <v>0.99522909999999998</v>
      </c>
      <c r="Y10751">
        <v>-0.19127810000000001</v>
      </c>
      <c r="Z10751">
        <v>2.1009369999999999E-2</v>
      </c>
      <c r="AA10751">
        <v>0.98131100000000004</v>
      </c>
      <c r="AB10751">
        <v>30</v>
      </c>
      <c r="AC10751">
        <v>17.878499999999999</v>
      </c>
      <c r="AD10751">
        <v>-1.1151122982299999</v>
      </c>
      <c r="AE10751">
        <v>-1.01049999999997</v>
      </c>
      <c r="AF10751">
        <v>-3.4820944765611199</v>
      </c>
      <c r="AG10751">
        <v>-1.1151122982299999</v>
      </c>
      <c r="AH10751">
        <v>17.494694374080598</v>
      </c>
      <c r="AI10751">
        <v>93.577121256258096</v>
      </c>
      <c r="AJ10751">
        <v>101.25687840095</v>
      </c>
      <c r="AK10751">
        <v>17.872682748369101</v>
      </c>
      <c r="AL10751">
        <v>87.972754870768696</v>
      </c>
      <c r="AM10751">
        <v>95.220193990178501</v>
      </c>
      <c r="AN10751">
        <v>0.999999992172522</v>
      </c>
    </row>
    <row r="10752" spans="1:40" x14ac:dyDescent="0.25">
      <c r="A10752" t="str">
        <f>"20190312150930023"</f>
        <v>20190312150930023</v>
      </c>
      <c r="B10752" t="str">
        <f>"1552374570020193"</f>
        <v>1552374570020193</v>
      </c>
      <c r="C10752" t="s">
        <v>40</v>
      </c>
      <c r="D10752">
        <v>5.083545</v>
      </c>
      <c r="E10752">
        <v>0.4589937</v>
      </c>
      <c r="F10752" t="s">
        <v>42</v>
      </c>
      <c r="G10752">
        <v>-129.09270000000001</v>
      </c>
      <c r="H10752" s="1">
        <v>-8.2655840000000003E-7</v>
      </c>
      <c r="I10752">
        <v>137.61779999999999</v>
      </c>
      <c r="J10752">
        <v>-148.36369999999999</v>
      </c>
      <c r="K10752">
        <v>1.115272</v>
      </c>
      <c r="L10752">
        <v>138.60409999999999</v>
      </c>
      <c r="M10752">
        <v>0.9694855</v>
      </c>
      <c r="N10752">
        <v>0</v>
      </c>
      <c r="O10752">
        <v>-0.2447203</v>
      </c>
      <c r="P10752">
        <v>0.98751739999999999</v>
      </c>
      <c r="Q10752">
        <v>2.3246719999999998E-2</v>
      </c>
      <c r="R10752">
        <v>-0.15578499999999901</v>
      </c>
      <c r="S10752">
        <v>3.0179749999999999</v>
      </c>
      <c r="T10752">
        <v>-0.17226669999999999</v>
      </c>
      <c r="U10752">
        <v>-0.16201779999999999</v>
      </c>
      <c r="V10752">
        <v>-9.1073909999999994E-2</v>
      </c>
      <c r="W10752">
        <v>3.662464E-2</v>
      </c>
      <c r="X10752">
        <v>0.99517040000000001</v>
      </c>
      <c r="Y10752">
        <v>-0.19171730000000001</v>
      </c>
      <c r="Z10752">
        <v>1.928146E-2</v>
      </c>
      <c r="AA10752">
        <v>0.98126080000000004</v>
      </c>
      <c r="AB10752">
        <v>30</v>
      </c>
      <c r="AC10752">
        <v>19.270999999999901</v>
      </c>
      <c r="AD10752">
        <v>-1.1152728265584</v>
      </c>
      <c r="AE10752">
        <v>-0.98629999999999995</v>
      </c>
      <c r="AF10752">
        <v>-3.7476766025578301</v>
      </c>
      <c r="AG10752">
        <v>-1.1152728265584</v>
      </c>
      <c r="AH10752">
        <v>18.863294828332702</v>
      </c>
      <c r="AI10752">
        <v>93.318896286534894</v>
      </c>
      <c r="AJ10752">
        <v>101.23695049317401</v>
      </c>
      <c r="AK10752">
        <v>19.264288338156199</v>
      </c>
      <c r="AL10752">
        <v>87.901093233981598</v>
      </c>
      <c r="AM10752">
        <v>95.228909362010995</v>
      </c>
      <c r="AN10752">
        <v>0.99999997318698797</v>
      </c>
    </row>
    <row r="10753" spans="1:40" x14ac:dyDescent="0.25">
      <c r="A10753" t="str">
        <f>"20190312150930046"</f>
        <v>20190312150930046</v>
      </c>
      <c r="B10753" t="str">
        <f>"1552374570039712"</f>
        <v>1552374570039712</v>
      </c>
      <c r="C10753" t="s">
        <v>40</v>
      </c>
      <c r="D10753">
        <v>5.0295569999999996</v>
      </c>
      <c r="E10753">
        <v>0.45919009999999999</v>
      </c>
      <c r="F10753" t="s">
        <v>42</v>
      </c>
      <c r="G10753">
        <v>-128.0968</v>
      </c>
      <c r="H10753" s="1">
        <v>-1.1641969999999999E-6</v>
      </c>
      <c r="I10753">
        <v>137.62260000000001</v>
      </c>
      <c r="J10753">
        <v>-148.07050000000001</v>
      </c>
      <c r="K10753">
        <v>1.1154250000000001</v>
      </c>
      <c r="L10753">
        <v>138.53700000000001</v>
      </c>
      <c r="M10753">
        <v>0.97103950000000006</v>
      </c>
      <c r="N10753">
        <v>0</v>
      </c>
      <c r="O10753">
        <v>-0.238478</v>
      </c>
      <c r="P10753">
        <v>0.9884484</v>
      </c>
      <c r="Q10753">
        <v>2.2746079999999998E-2</v>
      </c>
      <c r="R10753">
        <v>-0.14984149999999999</v>
      </c>
      <c r="S10753">
        <v>3.0187680000000001</v>
      </c>
      <c r="T10753">
        <v>-0.1661204</v>
      </c>
      <c r="U10753">
        <v>-0.14619450000000001</v>
      </c>
      <c r="V10753">
        <v>-9.0667990000000004E-2</v>
      </c>
      <c r="W10753">
        <v>3.6110959999999998E-2</v>
      </c>
      <c r="X10753">
        <v>0.99522630000000001</v>
      </c>
      <c r="Y10753">
        <v>-0.19060750000000001</v>
      </c>
      <c r="Z10753">
        <v>1.822965E-2</v>
      </c>
      <c r="AA10753">
        <v>0.98149699999999995</v>
      </c>
      <c r="AB10753">
        <v>30</v>
      </c>
      <c r="AC10753">
        <v>19.973700000000001</v>
      </c>
      <c r="AD10753">
        <v>-1.115426164197</v>
      </c>
      <c r="AE10753">
        <v>-0.91439999999999999</v>
      </c>
      <c r="AF10753">
        <v>-3.8637530845677501</v>
      </c>
      <c r="AG10753">
        <v>-1.115426164197</v>
      </c>
      <c r="AH10753">
        <v>19.5545250038608</v>
      </c>
      <c r="AI10753">
        <v>93.202927189044701</v>
      </c>
      <c r="AJ10753">
        <v>101.177027258419</v>
      </c>
      <c r="AK10753">
        <v>19.963772477988702</v>
      </c>
      <c r="AL10753">
        <v>87.9305445460474</v>
      </c>
      <c r="AM10753">
        <v>95.205441447977407</v>
      </c>
      <c r="AN10753">
        <v>1.00000003702722</v>
      </c>
    </row>
    <row r="10754" spans="1:40" x14ac:dyDescent="0.25">
      <c r="A10754" t="str">
        <f>"20190312150930069"</f>
        <v>20190312150930069</v>
      </c>
      <c r="B10754" t="str">
        <f>"1552374570060208"</f>
        <v>1552374570060208</v>
      </c>
      <c r="C10754" t="s">
        <v>40</v>
      </c>
      <c r="D10754">
        <v>5.0798500000000004</v>
      </c>
      <c r="E10754">
        <v>0.46298499999999998</v>
      </c>
      <c r="F10754" t="s">
        <v>42</v>
      </c>
      <c r="G10754">
        <v>-127.03789999999999</v>
      </c>
      <c r="H10754" s="1">
        <v>-1.604605E-6</v>
      </c>
      <c r="I10754">
        <v>137.63419999999999</v>
      </c>
      <c r="J10754">
        <v>-147.77019999999999</v>
      </c>
      <c r="K10754">
        <v>1.1155469999999901</v>
      </c>
      <c r="L10754">
        <v>138.47059999999999</v>
      </c>
      <c r="M10754">
        <v>0.9726224</v>
      </c>
      <c r="N10754">
        <v>0</v>
      </c>
      <c r="O10754">
        <v>-0.23193730000000001</v>
      </c>
      <c r="P10754">
        <v>0.98935519999999999</v>
      </c>
      <c r="Q10754">
        <v>2.293446E-2</v>
      </c>
      <c r="R10754">
        <v>-0.14370239999999901</v>
      </c>
      <c r="S10754">
        <v>3.019104</v>
      </c>
      <c r="T10754">
        <v>-0.1601129</v>
      </c>
      <c r="U10754">
        <v>-0.12959289999999901</v>
      </c>
      <c r="V10754">
        <v>-9.0159600000000006E-2</v>
      </c>
      <c r="W10754">
        <v>3.6292039999999998E-2</v>
      </c>
      <c r="X10754">
        <v>0.99526579999999998</v>
      </c>
      <c r="Y10754">
        <v>-0.18944810000000001</v>
      </c>
      <c r="Z10754">
        <v>1.7204850000000001E-2</v>
      </c>
      <c r="AA10754">
        <v>0.98173999999999995</v>
      </c>
      <c r="AB10754">
        <v>30</v>
      </c>
      <c r="AC10754">
        <v>20.732299999999899</v>
      </c>
      <c r="AD10754">
        <v>-1.1155486046049901</v>
      </c>
      <c r="AE10754">
        <v>-0.83639999999999703</v>
      </c>
      <c r="AF10754">
        <v>-3.9839975516300301</v>
      </c>
      <c r="AG10754">
        <v>-1.1155486046049901</v>
      </c>
      <c r="AH10754">
        <v>20.302153684920199</v>
      </c>
      <c r="AI10754">
        <v>93.086339536658997</v>
      </c>
      <c r="AJ10754">
        <v>101.102373372</v>
      </c>
      <c r="AK10754">
        <v>20.719414311865801</v>
      </c>
      <c r="AL10754">
        <v>87.920162417755293</v>
      </c>
      <c r="AM10754">
        <v>95.176208386002997</v>
      </c>
      <c r="AN10754">
        <v>0.99999993914457896</v>
      </c>
    </row>
    <row r="10755" spans="1:40" x14ac:dyDescent="0.25">
      <c r="A10755" t="str">
        <f>"20190312150930094"</f>
        <v>20190312150930094</v>
      </c>
      <c r="B10755" t="str">
        <f>"1552374570089488"</f>
        <v>1552374570089488</v>
      </c>
      <c r="C10755" t="s">
        <v>40</v>
      </c>
      <c r="D10755">
        <v>5.1121189999999999</v>
      </c>
      <c r="E10755">
        <v>0.463671</v>
      </c>
      <c r="F10755" t="s">
        <v>42</v>
      </c>
      <c r="G10755">
        <v>-136.24889999999999</v>
      </c>
      <c r="H10755" s="1">
        <v>-1.890741E-6</v>
      </c>
      <c r="I10755">
        <v>137.92939999999999</v>
      </c>
      <c r="J10755">
        <v>-147.4562</v>
      </c>
      <c r="K10755">
        <v>1.1156379999999999</v>
      </c>
      <c r="L10755">
        <v>138.40360000000001</v>
      </c>
      <c r="M10755">
        <v>0.97425249999999997</v>
      </c>
      <c r="N10755">
        <v>0</v>
      </c>
      <c r="O10755">
        <v>-0.22499079999999999</v>
      </c>
      <c r="P10755">
        <v>0.99022169999999998</v>
      </c>
      <c r="Q10755">
        <v>2.474502E-2</v>
      </c>
      <c r="R10755">
        <v>-0.13728969999999999</v>
      </c>
      <c r="S10755">
        <v>3.0184630000000001</v>
      </c>
      <c r="T10755">
        <v>-0.29226210000000002</v>
      </c>
      <c r="U10755">
        <v>-0.14178470000000001</v>
      </c>
      <c r="V10755">
        <v>-8.9525190000000004E-2</v>
      </c>
      <c r="W10755">
        <v>3.810181E-2</v>
      </c>
      <c r="X10755">
        <v>0.99525549999999996</v>
      </c>
      <c r="Y10755">
        <v>-0.17719109999999999</v>
      </c>
      <c r="Z10755">
        <v>3.010788E-2</v>
      </c>
      <c r="AA10755">
        <v>0.98371580000000003</v>
      </c>
      <c r="AB10755">
        <v>30</v>
      </c>
      <c r="AC10755">
        <v>11.2073</v>
      </c>
      <c r="AD10755">
        <v>-1.1156398907409999</v>
      </c>
      <c r="AE10755">
        <v>-0.47420000000002399</v>
      </c>
      <c r="AF10755">
        <v>-2.0395914377375899</v>
      </c>
      <c r="AG10755">
        <v>-1.1156398907409999</v>
      </c>
      <c r="AH10755">
        <v>10.918592163229899</v>
      </c>
      <c r="AI10755">
        <v>95.7355881713694</v>
      </c>
      <c r="AJ10755">
        <v>100.580897446083</v>
      </c>
      <c r="AK10755">
        <v>11.1633436042098</v>
      </c>
      <c r="AL10755">
        <v>87.816398557389803</v>
      </c>
      <c r="AM10755">
        <v>95.140034576937694</v>
      </c>
      <c r="AN10755">
        <v>1.00000000892503</v>
      </c>
    </row>
    <row r="10756" spans="1:40" x14ac:dyDescent="0.25">
      <c r="A10756" t="str">
        <f>"20190312150930118"</f>
        <v>20190312150930118</v>
      </c>
      <c r="B10756" t="str">
        <f>"1552374570109984"</f>
        <v>1552374570109984</v>
      </c>
      <c r="C10756" t="s">
        <v>40</v>
      </c>
      <c r="D10756">
        <v>5.1321430000000001</v>
      </c>
      <c r="E10756">
        <v>0.46383059999999998</v>
      </c>
      <c r="F10756" t="s">
        <v>42</v>
      </c>
      <c r="G10756">
        <v>-133.88990000000001</v>
      </c>
      <c r="H10756" s="1">
        <v>-2.9199339999999999E-6</v>
      </c>
      <c r="I10756">
        <v>137.83240000000001</v>
      </c>
      <c r="J10756">
        <v>-147.15260000000001</v>
      </c>
      <c r="K10756">
        <v>1.1156980000000001</v>
      </c>
      <c r="L10756">
        <v>138.34110000000001</v>
      </c>
      <c r="M10756">
        <v>0.97579700000000003</v>
      </c>
      <c r="N10756">
        <v>0</v>
      </c>
      <c r="O10756">
        <v>-0.21819530000000001</v>
      </c>
      <c r="P10756">
        <v>0.99100569999999999</v>
      </c>
      <c r="Q10756">
        <v>2.7812799999999999E-2</v>
      </c>
      <c r="R10756">
        <v>-0.1308996</v>
      </c>
      <c r="S10756">
        <v>3.0182190000000002</v>
      </c>
      <c r="T10756">
        <v>-0.24820719999999999</v>
      </c>
      <c r="U10756">
        <v>-0.1270752</v>
      </c>
      <c r="V10756">
        <v>-8.9035030000000001E-2</v>
      </c>
      <c r="W10756">
        <v>4.1169280000000003E-2</v>
      </c>
      <c r="X10756">
        <v>0.99517730000000004</v>
      </c>
      <c r="Y10756">
        <v>-0.17565829999999999</v>
      </c>
      <c r="Z10756">
        <v>2.4984889999999999E-2</v>
      </c>
      <c r="AA10756">
        <v>0.98413410000000001</v>
      </c>
      <c r="AB10756">
        <v>30</v>
      </c>
      <c r="AC10756">
        <v>13.262699999999899</v>
      </c>
      <c r="AD10756">
        <v>-1.11570091993399</v>
      </c>
      <c r="AE10756">
        <v>-0.50870000000000404</v>
      </c>
      <c r="AF10756">
        <v>-2.3808996788121402</v>
      </c>
      <c r="AG10756">
        <v>-1.11570091993399</v>
      </c>
      <c r="AH10756">
        <v>12.9624792531044</v>
      </c>
      <c r="AI10756">
        <v>94.838860152150303</v>
      </c>
      <c r="AJ10756">
        <v>100.40786585332199</v>
      </c>
      <c r="AK10756">
        <v>13.2264636320701</v>
      </c>
      <c r="AL10756">
        <v>87.640507174318699</v>
      </c>
      <c r="AM10756">
        <v>95.112441428903495</v>
      </c>
      <c r="AN10756">
        <v>1.0000000023090501</v>
      </c>
    </row>
    <row r="10757" spans="1:40" x14ac:dyDescent="0.25">
      <c r="A10757" t="str">
        <f>"20190312150930135"</f>
        <v>20190312150930135</v>
      </c>
      <c r="B10757" t="str">
        <f>"1552374570129504"</f>
        <v>1552374570129504</v>
      </c>
      <c r="C10757" t="s">
        <v>40</v>
      </c>
      <c r="D10757">
        <v>5.1284900000000002</v>
      </c>
      <c r="E10757">
        <v>0.46422940000000001</v>
      </c>
      <c r="F10757" t="s">
        <v>42</v>
      </c>
      <c r="G10757">
        <v>-133.29</v>
      </c>
      <c r="H10757" s="1">
        <v>-3.17581E-6</v>
      </c>
      <c r="I10757">
        <v>137.8408</v>
      </c>
      <c r="J10757">
        <v>-146.93129999999999</v>
      </c>
      <c r="K10757">
        <v>1.1157189999999999</v>
      </c>
      <c r="L10757">
        <v>138.297</v>
      </c>
      <c r="M10757">
        <v>0.97689990000000004</v>
      </c>
      <c r="N10757">
        <v>0</v>
      </c>
      <c r="O10757">
        <v>-0.213202</v>
      </c>
      <c r="P10757">
        <v>0.99157580000000001</v>
      </c>
      <c r="Q10757">
        <v>3.0711949999999998E-2</v>
      </c>
      <c r="R10757">
        <v>-0.12583469999999999</v>
      </c>
      <c r="S10757">
        <v>3.0196529999999999</v>
      </c>
      <c r="T10757">
        <v>-0.243029</v>
      </c>
      <c r="U10757">
        <v>-0.108963</v>
      </c>
      <c r="V10757">
        <v>-8.9051530000000004E-2</v>
      </c>
      <c r="W10757">
        <v>4.406533E-2</v>
      </c>
      <c r="X10757">
        <v>0.99505180000000004</v>
      </c>
      <c r="Y10757">
        <v>-0.1766056</v>
      </c>
      <c r="Z10757">
        <v>2.4104449999999999E-2</v>
      </c>
      <c r="AA10757">
        <v>0.98398649999999999</v>
      </c>
      <c r="AB10757">
        <v>30</v>
      </c>
      <c r="AC10757">
        <v>13.641299999999999</v>
      </c>
      <c r="AD10757">
        <v>-1.11572217581</v>
      </c>
      <c r="AE10757">
        <v>-0.456199999999995</v>
      </c>
      <c r="AF10757">
        <v>-2.4466026438298298</v>
      </c>
      <c r="AG10757">
        <v>-1.11572217581</v>
      </c>
      <c r="AH10757">
        <v>13.335755759516999</v>
      </c>
      <c r="AI10757">
        <v>94.704301320649606</v>
      </c>
      <c r="AJ10757">
        <v>100.395982588286</v>
      </c>
      <c r="AK10757">
        <v>13.6041567966515</v>
      </c>
      <c r="AL10757">
        <v>87.474424793764499</v>
      </c>
      <c r="AM10757">
        <v>95.114025347163107</v>
      </c>
      <c r="AN10757">
        <v>1.0000000064932899</v>
      </c>
    </row>
    <row r="10758" spans="1:40" x14ac:dyDescent="0.25">
      <c r="A10758" t="str">
        <f>"20190312150930156"</f>
        <v>20190312150930156</v>
      </c>
      <c r="B10758" t="str">
        <f>"1552374570150000"</f>
        <v>1552374570150000</v>
      </c>
      <c r="C10758" t="s">
        <v>40</v>
      </c>
      <c r="D10758">
        <v>5.0659330000000002</v>
      </c>
      <c r="E10758">
        <v>0.46484160000000002</v>
      </c>
      <c r="F10758" t="s">
        <v>42</v>
      </c>
      <c r="G10758">
        <v>-131.43209999999999</v>
      </c>
      <c r="H10758" s="1">
        <v>-3.9804219999999901E-6</v>
      </c>
      <c r="I10758">
        <v>137.79810000000001</v>
      </c>
      <c r="J10758">
        <v>-146.6474</v>
      </c>
      <c r="K10758">
        <v>1.1157459999999999</v>
      </c>
      <c r="L10758">
        <v>138.24209999999999</v>
      </c>
      <c r="M10758">
        <v>0.97828159999999997</v>
      </c>
      <c r="N10758">
        <v>0</v>
      </c>
      <c r="O10758">
        <v>-0.20677000000000001</v>
      </c>
      <c r="P10758">
        <v>0.99229009999999995</v>
      </c>
      <c r="Q10758">
        <v>3.0287209999999998E-2</v>
      </c>
      <c r="R10758">
        <v>-0.12017949999999999</v>
      </c>
      <c r="S10758">
        <v>3.019882</v>
      </c>
      <c r="T10758">
        <v>-0.21738840000000001</v>
      </c>
      <c r="U10758">
        <v>-9.7183229999999995E-2</v>
      </c>
      <c r="V10758">
        <v>-8.8177229999999995E-2</v>
      </c>
      <c r="W10758">
        <v>4.365136E-2</v>
      </c>
      <c r="X10758">
        <v>0.99514789999999997</v>
      </c>
      <c r="Y10758">
        <v>-0.17423810000000001</v>
      </c>
      <c r="Z10758">
        <v>2.1030980000000001E-2</v>
      </c>
      <c r="AA10758">
        <v>0.98447899999999999</v>
      </c>
      <c r="AB10758">
        <v>30</v>
      </c>
      <c r="AC10758">
        <v>15.215299999999999</v>
      </c>
      <c r="AD10758">
        <v>-1.1157499804219999</v>
      </c>
      <c r="AE10758">
        <v>-0.44399999999998802</v>
      </c>
      <c r="AF10758">
        <v>-2.6975038299884</v>
      </c>
      <c r="AG10758">
        <v>-1.1157499804219999</v>
      </c>
      <c r="AH10758">
        <v>14.8981908373651</v>
      </c>
      <c r="AI10758">
        <v>94.214703042749804</v>
      </c>
      <c r="AJ10758">
        <v>100.262929602651</v>
      </c>
      <c r="AK10758">
        <v>15.1814859337999</v>
      </c>
      <c r="AL10758">
        <v>87.498166366478401</v>
      </c>
      <c r="AM10758">
        <v>95.063592172882494</v>
      </c>
      <c r="AN10758">
        <v>1.00000000399736</v>
      </c>
    </row>
    <row r="10759" spans="1:40" x14ac:dyDescent="0.25">
      <c r="A10759" t="str">
        <f>"20190312150930179"</f>
        <v>20190312150930179</v>
      </c>
      <c r="B10759" t="str">
        <f>"1552374570169520"</f>
        <v>1552374570169520</v>
      </c>
      <c r="C10759" t="s">
        <v>40</v>
      </c>
      <c r="D10759">
        <v>5.08249</v>
      </c>
      <c r="E10759">
        <v>0.46544669999999999</v>
      </c>
      <c r="F10759" t="s">
        <v>42</v>
      </c>
      <c r="G10759">
        <v>-130.63239999999999</v>
      </c>
      <c r="H10759" s="1">
        <v>-4.3243789999999997E-6</v>
      </c>
      <c r="I10759">
        <v>137.79320000000001</v>
      </c>
      <c r="J10759">
        <v>-146.35990000000001</v>
      </c>
      <c r="K10759">
        <v>1.115767</v>
      </c>
      <c r="L10759">
        <v>138.1884</v>
      </c>
      <c r="M10759">
        <v>0.97963920000000004</v>
      </c>
      <c r="N10759">
        <v>0</v>
      </c>
      <c r="O10759">
        <v>-0.20023820000000001</v>
      </c>
      <c r="P10759">
        <v>0.99290290000000003</v>
      </c>
      <c r="Q10759">
        <v>2.911654E-2</v>
      </c>
      <c r="R10759">
        <v>-0.1153096</v>
      </c>
      <c r="S10759">
        <v>3.0194549999999998</v>
      </c>
      <c r="T10759">
        <v>-0.21036179999999999</v>
      </c>
      <c r="U10759">
        <v>-8.4625240000000004E-2</v>
      </c>
      <c r="V10759">
        <v>-8.6413760000000006E-2</v>
      </c>
      <c r="W10759">
        <v>4.250611E-2</v>
      </c>
      <c r="X10759">
        <v>0.99535209999999996</v>
      </c>
      <c r="Y10759">
        <v>-0.17183770000000001</v>
      </c>
      <c r="Z10759">
        <v>1.982855E-2</v>
      </c>
      <c r="AA10759">
        <v>0.98492570000000002</v>
      </c>
      <c r="AB10759">
        <v>29</v>
      </c>
      <c r="AC10759">
        <v>15.727499999999999</v>
      </c>
      <c r="AD10759">
        <v>-1.115771324379</v>
      </c>
      <c r="AE10759">
        <v>-0.39519999999998801</v>
      </c>
      <c r="AF10759">
        <v>-2.7485603891746502</v>
      </c>
      <c r="AG10759">
        <v>-1.115771324379</v>
      </c>
      <c r="AH10759">
        <v>15.4105361467516</v>
      </c>
      <c r="AI10759">
        <v>94.077051149184001</v>
      </c>
      <c r="AJ10759">
        <v>100.11270518502</v>
      </c>
      <c r="AK10759">
        <v>15.6934430317755</v>
      </c>
      <c r="AL10759">
        <v>87.563845213289596</v>
      </c>
      <c r="AM10759">
        <v>94.961822428947599</v>
      </c>
      <c r="AN10759">
        <v>0.99999995513953799</v>
      </c>
    </row>
    <row r="10760" spans="1:40" x14ac:dyDescent="0.25">
      <c r="A10760" t="str">
        <f>"20190312150930200"</f>
        <v>20190312150930200</v>
      </c>
      <c r="B10760" t="str">
        <f>"1552374570190016"</f>
        <v>1552374570190016</v>
      </c>
      <c r="C10760" t="s">
        <v>40</v>
      </c>
      <c r="D10760">
        <v>5.020111</v>
      </c>
      <c r="E10760">
        <v>0.46607660000000001</v>
      </c>
      <c r="F10760" t="s">
        <v>42</v>
      </c>
      <c r="G10760">
        <v>-130.10399999999899</v>
      </c>
      <c r="H10760" s="1">
        <v>-4.5518859999999996E-6</v>
      </c>
      <c r="I10760">
        <v>137.7885</v>
      </c>
      <c r="J10760">
        <v>-146.07859999999999</v>
      </c>
      <c r="K10760">
        <v>1.115783</v>
      </c>
      <c r="L10760">
        <v>138.1379</v>
      </c>
      <c r="M10760">
        <v>0.98092559999999995</v>
      </c>
      <c r="N10760">
        <v>0</v>
      </c>
      <c r="O10760">
        <v>-0.1938387</v>
      </c>
      <c r="P10760">
        <v>0.99353270000000005</v>
      </c>
      <c r="Q10760">
        <v>2.8937000000000001E-2</v>
      </c>
      <c r="R10760">
        <v>-0.10979949999999999</v>
      </c>
      <c r="S10760">
        <v>3.0188899999999999</v>
      </c>
      <c r="T10760">
        <v>-0.20721010000000001</v>
      </c>
      <c r="U10760">
        <v>-7.4264529999999995E-2</v>
      </c>
      <c r="V10760">
        <v>-8.5436609999999996E-2</v>
      </c>
      <c r="W10760">
        <v>4.234127E-2</v>
      </c>
      <c r="X10760">
        <v>0.99544350000000004</v>
      </c>
      <c r="Y10760">
        <v>-0.16882710000000001</v>
      </c>
      <c r="Z10760">
        <v>1.9003119999999998E-2</v>
      </c>
      <c r="AA10760">
        <v>0.98546250000000002</v>
      </c>
      <c r="AB10760">
        <v>29</v>
      </c>
      <c r="AC10760">
        <v>15.974600000000001</v>
      </c>
      <c r="AD10760">
        <v>-1.1157875518860001</v>
      </c>
      <c r="AE10760">
        <v>-0.34940000000000199</v>
      </c>
      <c r="AF10760">
        <v>-2.7406870208863001</v>
      </c>
      <c r="AG10760">
        <v>-1.1157875518860001</v>
      </c>
      <c r="AH10760">
        <v>15.66290814866</v>
      </c>
      <c r="AI10760">
        <v>94.013946803189299</v>
      </c>
      <c r="AJ10760">
        <v>99.925102946770494</v>
      </c>
      <c r="AK10760">
        <v>15.939982399010299</v>
      </c>
      <c r="AL10760">
        <v>87.5732984199459</v>
      </c>
      <c r="AM10760">
        <v>94.905542238982093</v>
      </c>
      <c r="AN10760">
        <v>0.99999997958287701</v>
      </c>
    </row>
    <row r="10761" spans="1:40" x14ac:dyDescent="0.25">
      <c r="A10761" t="str">
        <f>"20190312150930223"</f>
        <v>20190312150930223</v>
      </c>
      <c r="B10761" t="str">
        <f>"1552374570219850"</f>
        <v>1552374570219850</v>
      </c>
      <c r="C10761" t="s">
        <v>40</v>
      </c>
      <c r="D10761">
        <v>5.0647070000000003</v>
      </c>
      <c r="E10761">
        <v>0.4669027</v>
      </c>
      <c r="F10761" t="s">
        <v>42</v>
      </c>
      <c r="G10761">
        <v>-131.11799999999999</v>
      </c>
      <c r="H10761" s="1">
        <v>-4.1103329999999997E-6</v>
      </c>
      <c r="I10761">
        <v>137.82550000000001</v>
      </c>
      <c r="J10761">
        <v>-145.7937</v>
      </c>
      <c r="K10761">
        <v>1.115799</v>
      </c>
      <c r="L10761">
        <v>138.08869999999999</v>
      </c>
      <c r="M10761">
        <v>0.98218459999999996</v>
      </c>
      <c r="N10761">
        <v>0</v>
      </c>
      <c r="O10761">
        <v>-0.1873543</v>
      </c>
      <c r="P10761">
        <v>0.99414789999999997</v>
      </c>
      <c r="Q10761">
        <v>3.0375429999999998E-2</v>
      </c>
      <c r="R10761">
        <v>-0.1036691</v>
      </c>
      <c r="S10761">
        <v>3.0191189999999999</v>
      </c>
      <c r="T10761">
        <v>-0.2251705</v>
      </c>
      <c r="U10761">
        <v>-6.3049320000000006E-2</v>
      </c>
      <c r="V10761">
        <v>-8.5011210000000004E-2</v>
      </c>
      <c r="W10761">
        <v>4.3786659999999998E-2</v>
      </c>
      <c r="X10761">
        <v>0.99541740000000001</v>
      </c>
      <c r="Y10761">
        <v>-0.16584930000000001</v>
      </c>
      <c r="Z10761">
        <v>2.0059919999999998E-2</v>
      </c>
      <c r="AA10761">
        <v>0.98594709999999997</v>
      </c>
      <c r="AB10761">
        <v>29</v>
      </c>
      <c r="AC10761">
        <v>14.675700000000001</v>
      </c>
      <c r="AD10761">
        <v>-1.1158031103329999</v>
      </c>
      <c r="AE10761">
        <v>-0.263199999999983</v>
      </c>
      <c r="AF10761">
        <v>-2.47699427004568</v>
      </c>
      <c r="AG10761">
        <v>-1.1158031103329999</v>
      </c>
      <c r="AH10761">
        <v>14.381979347545601</v>
      </c>
      <c r="AI10761">
        <v>94.372198715974207</v>
      </c>
      <c r="AJ10761">
        <v>99.772125853454995</v>
      </c>
      <c r="AK10761">
        <v>14.636319453609</v>
      </c>
      <c r="AL10761">
        <v>87.490406790274406</v>
      </c>
      <c r="AM10761">
        <v>94.881362580945193</v>
      </c>
      <c r="AN10761">
        <v>0.99999998882118901</v>
      </c>
    </row>
    <row r="10762" spans="1:40" x14ac:dyDescent="0.25">
      <c r="A10762" t="str">
        <f>"20190312150930246"</f>
        <v>20190312150930246</v>
      </c>
      <c r="B10762" t="str">
        <f>"1552374570240348"</f>
        <v>1552374570240348</v>
      </c>
      <c r="C10762" t="s">
        <v>40</v>
      </c>
      <c r="D10762">
        <v>5.1210430000000002</v>
      </c>
      <c r="E10762">
        <v>0.46735409999999999</v>
      </c>
      <c r="F10762" t="s">
        <v>42</v>
      </c>
      <c r="G10762">
        <v>-131.34790000000001</v>
      </c>
      <c r="H10762" s="1">
        <v>-4.0086219999999901E-6</v>
      </c>
      <c r="I10762">
        <v>137.84280000000001</v>
      </c>
      <c r="J10762">
        <v>-145.50290000000001</v>
      </c>
      <c r="K10762">
        <v>1.1158060000000001</v>
      </c>
      <c r="L10762">
        <v>138.04050000000001</v>
      </c>
      <c r="M10762">
        <v>0.98342450000000003</v>
      </c>
      <c r="N10762">
        <v>0</v>
      </c>
      <c r="O10762">
        <v>-0.18073310000000001</v>
      </c>
      <c r="P10762">
        <v>0.99473670000000003</v>
      </c>
      <c r="Q10762">
        <v>3.2069849999999997E-2</v>
      </c>
      <c r="R10762">
        <v>-9.731629E-2</v>
      </c>
      <c r="S10762">
        <v>3.0194239999999999</v>
      </c>
      <c r="T10762">
        <v>-0.23322119999999999</v>
      </c>
      <c r="U10762">
        <v>-5.1391600000000003E-2</v>
      </c>
      <c r="V10762">
        <v>-8.4675360000000005E-2</v>
      </c>
      <c r="W10762">
        <v>4.5486789999999999E-2</v>
      </c>
      <c r="X10762">
        <v>0.99536979999999997</v>
      </c>
      <c r="Y10762">
        <v>-0.16297029999999901</v>
      </c>
      <c r="Z10762">
        <v>2.0160399999999998E-2</v>
      </c>
      <c r="AA10762">
        <v>0.986425</v>
      </c>
      <c r="AB10762">
        <v>29</v>
      </c>
      <c r="AC10762">
        <v>14.154999999999999</v>
      </c>
      <c r="AD10762">
        <v>-1.11581000862199</v>
      </c>
      <c r="AE10762">
        <v>-0.19769999999999699</v>
      </c>
      <c r="AF10762">
        <v>-2.3495077369964301</v>
      </c>
      <c r="AG10762">
        <v>-1.11581000862199</v>
      </c>
      <c r="AH10762">
        <v>13.8714048962698</v>
      </c>
      <c r="AI10762">
        <v>94.534634786811694</v>
      </c>
      <c r="AJ10762">
        <v>99.6133924205418</v>
      </c>
      <c r="AK10762">
        <v>14.113153169217901</v>
      </c>
      <c r="AL10762">
        <v>87.392899350150003</v>
      </c>
      <c r="AM10762">
        <v>94.862402032707806</v>
      </c>
      <c r="AN10762">
        <v>1.00000000170383</v>
      </c>
    </row>
    <row r="10763" spans="1:40" x14ac:dyDescent="0.25">
      <c r="A10763" t="str">
        <f>"20190312150930268"</f>
        <v>20190312150930268</v>
      </c>
      <c r="B10763" t="str">
        <f>"1552374570259867"</f>
        <v>1552374570259867</v>
      </c>
      <c r="C10763" t="s">
        <v>40</v>
      </c>
      <c r="D10763">
        <v>5.1275490000000001</v>
      </c>
      <c r="E10763">
        <v>0.46779330000000002</v>
      </c>
      <c r="F10763" t="s">
        <v>42</v>
      </c>
      <c r="G10763">
        <v>-130.29300000000001</v>
      </c>
      <c r="H10763" s="1">
        <v>-4.4579260000000004E-6</v>
      </c>
      <c r="I10763">
        <v>137.86089999999999</v>
      </c>
      <c r="J10763">
        <v>-145.21600000000001</v>
      </c>
      <c r="K10763">
        <v>1.1158049999999999</v>
      </c>
      <c r="L10763">
        <v>137.995</v>
      </c>
      <c r="M10763">
        <v>0.9846028</v>
      </c>
      <c r="N10763">
        <v>0</v>
      </c>
      <c r="O10763">
        <v>-0.17419999999999999</v>
      </c>
      <c r="P10763">
        <v>0.99531449999999999</v>
      </c>
      <c r="Q10763">
        <v>3.2763269999999997E-2</v>
      </c>
      <c r="R10763">
        <v>-9.0969889999999998E-2</v>
      </c>
      <c r="S10763">
        <v>3.0195159999999999</v>
      </c>
      <c r="T10763">
        <v>-0.22151380000000001</v>
      </c>
      <c r="U10763">
        <v>-3.5644530000000001E-2</v>
      </c>
      <c r="V10763">
        <v>-8.4419659999999994E-2</v>
      </c>
      <c r="W10763">
        <v>4.61851E-2</v>
      </c>
      <c r="X10763">
        <v>0.99535940000000001</v>
      </c>
      <c r="Y10763">
        <v>-0.16168450000000001</v>
      </c>
      <c r="Z10763">
        <v>1.8633170000000001E-2</v>
      </c>
      <c r="AA10763">
        <v>0.98666659999999995</v>
      </c>
      <c r="AB10763">
        <v>29</v>
      </c>
      <c r="AC10763">
        <v>14.923</v>
      </c>
      <c r="AD10763">
        <v>-1.1158094579259901</v>
      </c>
      <c r="AE10763">
        <v>-0.13410000000001701</v>
      </c>
      <c r="AF10763">
        <v>-2.4540935355390499</v>
      </c>
      <c r="AG10763">
        <v>-1.1158094579259901</v>
      </c>
      <c r="AH10763">
        <v>14.6363247044288</v>
      </c>
      <c r="AI10763">
        <v>94.299754996274999</v>
      </c>
      <c r="AJ10763">
        <v>99.518326014351302</v>
      </c>
      <c r="AK10763">
        <v>14.882526891662099</v>
      </c>
      <c r="AL10763">
        <v>87.352847136157706</v>
      </c>
      <c r="AM10763">
        <v>94.847839195891893</v>
      </c>
      <c r="AN10763">
        <v>1.0000000388124399</v>
      </c>
    </row>
    <row r="10764" spans="1:40" x14ac:dyDescent="0.25">
      <c r="A10764" t="str">
        <f>"20190312150930293"</f>
        <v>20190312150930293</v>
      </c>
      <c r="B10764" t="str">
        <f>"1552374570290125"</f>
        <v>1552374570290125</v>
      </c>
      <c r="C10764" t="s">
        <v>40</v>
      </c>
      <c r="D10764">
        <v>5.0788469999999997</v>
      </c>
      <c r="E10764">
        <v>0.46781299999999998</v>
      </c>
      <c r="F10764" t="s">
        <v>42</v>
      </c>
      <c r="G10764">
        <v>-129.4126</v>
      </c>
      <c r="H10764" s="1">
        <v>-6.4357979999999996E-7</v>
      </c>
      <c r="I10764">
        <v>137.8963</v>
      </c>
      <c r="J10764">
        <v>-144.89859999999999</v>
      </c>
      <c r="K10764">
        <v>1.115793</v>
      </c>
      <c r="L10764">
        <v>137.947</v>
      </c>
      <c r="M10764">
        <v>0.98585370000000005</v>
      </c>
      <c r="N10764">
        <v>0</v>
      </c>
      <c r="O10764">
        <v>-0.1669747</v>
      </c>
      <c r="P10764">
        <v>0.99587760000000003</v>
      </c>
      <c r="Q10764">
        <v>3.3665809999999997E-2</v>
      </c>
      <c r="R10764">
        <v>-8.4229890000000002E-2</v>
      </c>
      <c r="S10764">
        <v>3.019409</v>
      </c>
      <c r="T10764">
        <v>-0.21318690000000001</v>
      </c>
      <c r="U10764">
        <v>-1.8859859999999999E-2</v>
      </c>
      <c r="V10764">
        <v>-8.3863149999999997E-2</v>
      </c>
      <c r="W10764">
        <v>4.7096770000000003E-2</v>
      </c>
      <c r="X10764">
        <v>0.99536369999999996</v>
      </c>
      <c r="Y10764">
        <v>-0.16001989999999999</v>
      </c>
      <c r="Z10764">
        <v>1.737466E-2</v>
      </c>
      <c r="AA10764">
        <v>0.98696090000000003</v>
      </c>
      <c r="AB10764">
        <v>29</v>
      </c>
      <c r="AC10764">
        <v>15.485999999999899</v>
      </c>
      <c r="AD10764">
        <v>-1.1157936435797999</v>
      </c>
      <c r="AE10764">
        <v>-5.0700000000006101E-2</v>
      </c>
      <c r="AF10764">
        <v>-2.5229584813403698</v>
      </c>
      <c r="AG10764">
        <v>-1.1157936435797999</v>
      </c>
      <c r="AH10764">
        <v>15.1981154274535</v>
      </c>
      <c r="AI10764">
        <v>94.142438436170593</v>
      </c>
      <c r="AJ10764">
        <v>99.425415027076994</v>
      </c>
      <c r="AK10764">
        <v>15.4464567943532</v>
      </c>
      <c r="AL10764">
        <v>87.300555319212293</v>
      </c>
      <c r="AM10764">
        <v>94.816011447742099</v>
      </c>
      <c r="AN10764">
        <v>1.0000000144750201</v>
      </c>
    </row>
    <row r="10765" spans="1:40" x14ac:dyDescent="0.25">
      <c r="A10765" t="str">
        <f>"20190312150930315"</f>
        <v>20190312150930315</v>
      </c>
      <c r="B10765" t="str">
        <f>"1552374570310620"</f>
        <v>1552374570310620</v>
      </c>
      <c r="C10765" t="s">
        <v>40</v>
      </c>
      <c r="D10765">
        <v>4.9598570000000004</v>
      </c>
      <c r="E10765">
        <v>0.4665646</v>
      </c>
      <c r="F10765" t="s">
        <v>42</v>
      </c>
      <c r="G10765">
        <v>-128.9787</v>
      </c>
      <c r="H10765" s="1">
        <v>-7.7473309999999997E-7</v>
      </c>
      <c r="I10765">
        <v>137.95840000000001</v>
      </c>
      <c r="J10765">
        <v>-144.61449999999999</v>
      </c>
      <c r="K10765">
        <v>1.1157779999999999</v>
      </c>
      <c r="L10765">
        <v>137.9059</v>
      </c>
      <c r="M10765">
        <v>0.98692729999999995</v>
      </c>
      <c r="N10765">
        <v>0</v>
      </c>
      <c r="O10765">
        <v>-0.16050829999999999</v>
      </c>
      <c r="P10765">
        <v>0.99622770000000005</v>
      </c>
      <c r="Q10765">
        <v>3.5154610000000003E-2</v>
      </c>
      <c r="R10765">
        <v>-7.9339999999999994E-2</v>
      </c>
      <c r="S10765">
        <v>3.0197600000000002</v>
      </c>
      <c r="T10765">
        <v>-0.21164820000000001</v>
      </c>
      <c r="U10765">
        <v>2.166748E-3</v>
      </c>
      <c r="V10765">
        <v>-8.2232910000000006E-2</v>
      </c>
      <c r="W10765">
        <v>4.8608999999999999E-2</v>
      </c>
      <c r="X10765">
        <v>0.99542699999999995</v>
      </c>
      <c r="Y10765">
        <v>-0.1604486</v>
      </c>
      <c r="Z10765">
        <v>1.6816370000000001E-2</v>
      </c>
      <c r="AA10765">
        <v>0.98690089999999997</v>
      </c>
      <c r="AB10765">
        <v>29</v>
      </c>
      <c r="AC10765">
        <v>15.6357999999999</v>
      </c>
      <c r="AD10765">
        <v>-1.1157787747331001</v>
      </c>
      <c r="AE10765">
        <v>5.2500000000008998E-2</v>
      </c>
      <c r="AF10765">
        <v>-2.548781323869</v>
      </c>
      <c r="AG10765">
        <v>-1.1157787747331001</v>
      </c>
      <c r="AH10765">
        <v>15.346454894393499</v>
      </c>
      <c r="AI10765">
        <v>94.102428790649697</v>
      </c>
      <c r="AJ10765">
        <v>99.429766992043696</v>
      </c>
      <c r="AK10765">
        <v>15.5966318907866</v>
      </c>
      <c r="AL10765">
        <v>87.213811499156193</v>
      </c>
      <c r="AM10765">
        <v>94.722520297954603</v>
      </c>
      <c r="AN10765">
        <v>0.99999999934853401</v>
      </c>
    </row>
    <row r="10766" spans="1:40" x14ac:dyDescent="0.25">
      <c r="A10766" t="str">
        <f>"20190312150930337"</f>
        <v>20190312150930337</v>
      </c>
      <c r="B10766" t="str">
        <f>"1552374570330139"</f>
        <v>1552374570330139</v>
      </c>
      <c r="C10766" t="s">
        <v>40</v>
      </c>
      <c r="D10766">
        <v>5.0759249999999998</v>
      </c>
      <c r="E10766">
        <v>0.46583429999999998</v>
      </c>
      <c r="F10766" t="s">
        <v>42</v>
      </c>
      <c r="G10766">
        <v>-127.6263</v>
      </c>
      <c r="H10766" s="1">
        <v>-1.2766340000000001E-6</v>
      </c>
      <c r="I10766">
        <v>138.06020000000001</v>
      </c>
      <c r="J10766">
        <v>-144.3305</v>
      </c>
      <c r="K10766">
        <v>1.1157570000000001</v>
      </c>
      <c r="L10766">
        <v>137.86670000000001</v>
      </c>
      <c r="M10766">
        <v>0.9879559</v>
      </c>
      <c r="N10766">
        <v>0</v>
      </c>
      <c r="O10766">
        <v>-0.1540502</v>
      </c>
      <c r="P10766">
        <v>0.99657390000000001</v>
      </c>
      <c r="Q10766">
        <v>3.6362140000000001E-2</v>
      </c>
      <c r="R10766">
        <v>-7.4286249999999998E-2</v>
      </c>
      <c r="S10766">
        <v>3.0205380000000002</v>
      </c>
      <c r="T10766">
        <v>-0.19838729999999999</v>
      </c>
      <c r="U10766">
        <v>2.7435299999999999E-2</v>
      </c>
      <c r="V10766">
        <v>-8.0776890000000004E-2</v>
      </c>
      <c r="W10766">
        <v>4.9838220000000003E-2</v>
      </c>
      <c r="X10766">
        <v>0.99548539999999996</v>
      </c>
      <c r="Y10766">
        <v>-0.16235439999999901</v>
      </c>
      <c r="Z10766">
        <v>1.540511E-2</v>
      </c>
      <c r="AA10766">
        <v>0.9866123</v>
      </c>
      <c r="AB10766">
        <v>29</v>
      </c>
      <c r="AC10766">
        <v>16.7042</v>
      </c>
      <c r="AD10766">
        <v>-1.115758276634</v>
      </c>
      <c r="AE10766">
        <v>0.19350000000000001</v>
      </c>
      <c r="AF10766">
        <v>-2.7524687305873701</v>
      </c>
      <c r="AG10766">
        <v>-1.115758276634</v>
      </c>
      <c r="AH10766">
        <v>16.401779928454602</v>
      </c>
      <c r="AI10766">
        <v>93.838139037498095</v>
      </c>
      <c r="AJ10766">
        <v>99.526340381018301</v>
      </c>
      <c r="AK10766">
        <v>16.668514794851902</v>
      </c>
      <c r="AL10766">
        <v>87.143296807573904</v>
      </c>
      <c r="AM10766">
        <v>94.639000407129004</v>
      </c>
      <c r="AN10766">
        <v>0.99999996787199896</v>
      </c>
    </row>
    <row r="10767" spans="1:40" x14ac:dyDescent="0.25">
      <c r="A10767" t="str">
        <f>"20190312150930362"</f>
        <v>20190312150930362</v>
      </c>
      <c r="B10767" t="str">
        <f>"1552374570349659"</f>
        <v>1552374570349659</v>
      </c>
      <c r="C10767" t="s">
        <v>40</v>
      </c>
      <c r="D10767">
        <v>5.0753029999999999</v>
      </c>
      <c r="E10767">
        <v>0.46538040000000003</v>
      </c>
      <c r="F10767" t="s">
        <v>42</v>
      </c>
      <c r="G10767">
        <v>-126.67789999999999</v>
      </c>
      <c r="H10767" s="1">
        <v>-1.6670310000000001E-6</v>
      </c>
      <c r="I10767">
        <v>138.15289999999999</v>
      </c>
      <c r="J10767">
        <v>-144.0241</v>
      </c>
      <c r="K10767">
        <v>1.1157330000000001</v>
      </c>
      <c r="L10767">
        <v>137.82660000000001</v>
      </c>
      <c r="M10767">
        <v>0.98901430000000001</v>
      </c>
      <c r="N10767">
        <v>0</v>
      </c>
      <c r="O10767">
        <v>-0.1471016</v>
      </c>
      <c r="P10767">
        <v>0.99692360000000002</v>
      </c>
      <c r="Q10767">
        <v>3.7563930000000002E-2</v>
      </c>
      <c r="R10767">
        <v>-6.8792889999999995E-2</v>
      </c>
      <c r="S10767">
        <v>3.0209350000000001</v>
      </c>
      <c r="T10767">
        <v>-0.1909429</v>
      </c>
      <c r="U10767">
        <v>4.8980709999999997E-2</v>
      </c>
      <c r="V10767">
        <v>-7.9270460000000001E-2</v>
      </c>
      <c r="W10767">
        <v>5.1062610000000001E-2</v>
      </c>
      <c r="X10767">
        <v>0.99554450000000005</v>
      </c>
      <c r="Y10767">
        <v>-0.16251669999999999</v>
      </c>
      <c r="Z10767">
        <v>1.4396839999999999E-2</v>
      </c>
      <c r="AA10767">
        <v>0.98660079999999994</v>
      </c>
      <c r="AB10767">
        <v>29</v>
      </c>
      <c r="AC10767">
        <v>17.3462</v>
      </c>
      <c r="AD10767">
        <v>-1.115734667031</v>
      </c>
      <c r="AE10767">
        <v>0.326299999999974</v>
      </c>
      <c r="AF10767">
        <v>-2.8628335262131701</v>
      </c>
      <c r="AG10767">
        <v>-1.115734667031</v>
      </c>
      <c r="AH10767">
        <v>17.0389830513733</v>
      </c>
      <c r="AI10767">
        <v>93.694811130659005</v>
      </c>
      <c r="AJ10767">
        <v>99.537565750624296</v>
      </c>
      <c r="AK10767">
        <v>17.313798632045199</v>
      </c>
      <c r="AL10767">
        <v>87.073055136758697</v>
      </c>
      <c r="AM10767">
        <v>94.552584449695601</v>
      </c>
      <c r="AN10767">
        <v>1.00000002372443</v>
      </c>
    </row>
    <row r="10768" spans="1:40" x14ac:dyDescent="0.25">
      <c r="A10768" t="str">
        <f>"20190312150930383"</f>
        <v>20190312150930383</v>
      </c>
      <c r="B10768" t="str">
        <f>"1552374570379915"</f>
        <v>1552374570379915</v>
      </c>
      <c r="C10768" t="s">
        <v>40</v>
      </c>
      <c r="D10768">
        <v>4.9892289999999999</v>
      </c>
      <c r="E10768">
        <v>0.46501510000000001</v>
      </c>
      <c r="F10768" t="s">
        <v>42</v>
      </c>
      <c r="G10768">
        <v>-125.75230000000001</v>
      </c>
      <c r="H10768" s="1">
        <v>-2.0475240000000001E-6</v>
      </c>
      <c r="I10768">
        <v>138.2465</v>
      </c>
      <c r="J10768">
        <v>-143.74799999999999</v>
      </c>
      <c r="K10768">
        <v>1.1156980000000001</v>
      </c>
      <c r="L10768">
        <v>137.79220000000001</v>
      </c>
      <c r="M10768">
        <v>0.98992100000000005</v>
      </c>
      <c r="N10768">
        <v>0</v>
      </c>
      <c r="O10768">
        <v>-0.14087189999999999</v>
      </c>
      <c r="P10768">
        <v>0.99718580000000001</v>
      </c>
      <c r="Q10768">
        <v>3.8791720000000002E-2</v>
      </c>
      <c r="R10768">
        <v>-6.4154989999999995E-2</v>
      </c>
      <c r="S10768">
        <v>3.0209809999999999</v>
      </c>
      <c r="T10768">
        <v>-0.1844703</v>
      </c>
      <c r="U10768">
        <v>6.9442749999999998E-2</v>
      </c>
      <c r="V10768">
        <v>-7.7637049999999999E-2</v>
      </c>
      <c r="W10768">
        <v>5.2315489999999999E-2</v>
      </c>
      <c r="X10768">
        <v>0.99560820000000005</v>
      </c>
      <c r="Y10768">
        <v>-0.16303619999999999</v>
      </c>
      <c r="Z10768">
        <v>1.354822E-2</v>
      </c>
      <c r="AA10768">
        <v>0.98652709999999999</v>
      </c>
      <c r="AB10768">
        <v>29</v>
      </c>
      <c r="AC10768">
        <v>17.9956999999999</v>
      </c>
      <c r="AD10768">
        <v>-1.11570004752399</v>
      </c>
      <c r="AE10768">
        <v>0.45429999999998899</v>
      </c>
      <c r="AF10768">
        <v>-2.9737023385088399</v>
      </c>
      <c r="AG10768">
        <v>-1.11570004752399</v>
      </c>
      <c r="AH10768">
        <v>17.684269844941198</v>
      </c>
      <c r="AI10768">
        <v>93.560152751944898</v>
      </c>
      <c r="AJ10768">
        <v>99.545285035640404</v>
      </c>
      <c r="AK10768">
        <v>17.967222716457702</v>
      </c>
      <c r="AL10768">
        <v>87.001174402952699</v>
      </c>
      <c r="AM10768">
        <v>94.458874170480698</v>
      </c>
      <c r="AN10768">
        <v>1.0000000549669299</v>
      </c>
    </row>
    <row r="10769" spans="1:40" x14ac:dyDescent="0.25">
      <c r="A10769" t="str">
        <f>"20190312150930405"</f>
        <v>20190312150930405</v>
      </c>
      <c r="B10769" t="str">
        <f>"1552374570399436"</f>
        <v>1552374570399436</v>
      </c>
      <c r="C10769" t="s">
        <v>40</v>
      </c>
      <c r="D10769">
        <v>5.126239</v>
      </c>
      <c r="E10769">
        <v>0.46489750000000002</v>
      </c>
      <c r="F10769" t="s">
        <v>42</v>
      </c>
      <c r="G10769">
        <v>-124.812</v>
      </c>
      <c r="H10769" s="1">
        <v>-2.4351569999999999E-6</v>
      </c>
      <c r="I10769">
        <v>138.33519999999999</v>
      </c>
      <c r="J10769">
        <v>-143.4751</v>
      </c>
      <c r="K10769">
        <v>1.115645</v>
      </c>
      <c r="L10769">
        <v>137.75989999999999</v>
      </c>
      <c r="M10769">
        <v>0.9907707</v>
      </c>
      <c r="N10769">
        <v>0</v>
      </c>
      <c r="O10769">
        <v>-0.1347671</v>
      </c>
      <c r="P10769">
        <v>0.99751279999999998</v>
      </c>
      <c r="Q10769">
        <v>3.8817659999999997E-2</v>
      </c>
      <c r="R10769">
        <v>-5.883832E-2</v>
      </c>
      <c r="S10769">
        <v>3.020966</v>
      </c>
      <c r="T10769">
        <v>-0.17799419999999999</v>
      </c>
      <c r="U10769">
        <v>8.6639399999999894E-2</v>
      </c>
      <c r="V10769">
        <v>-7.6800350000000003E-2</v>
      </c>
      <c r="W10769">
        <v>5.2356920000000001E-2</v>
      </c>
      <c r="X10769">
        <v>0.99567090000000003</v>
      </c>
      <c r="Y10769">
        <v>-0.16261719999999999</v>
      </c>
      <c r="Z10769">
        <v>1.270394E-2</v>
      </c>
      <c r="AA10769">
        <v>0.98660740000000002</v>
      </c>
      <c r="AB10769">
        <v>29</v>
      </c>
      <c r="AC10769">
        <v>18.663099999999901</v>
      </c>
      <c r="AD10769">
        <v>-1.115647435157</v>
      </c>
      <c r="AE10769">
        <v>0.57529999999999804</v>
      </c>
      <c r="AF10769">
        <v>-3.0745120161894999</v>
      </c>
      <c r="AG10769">
        <v>-1.115647435157</v>
      </c>
      <c r="AH10769">
        <v>18.349756853220502</v>
      </c>
      <c r="AI10769">
        <v>93.431528168758703</v>
      </c>
      <c r="AJ10769">
        <v>99.511589690257395</v>
      </c>
      <c r="AK10769">
        <v>18.638961073771799</v>
      </c>
      <c r="AL10769">
        <v>86.998797339233704</v>
      </c>
      <c r="AM10769">
        <v>94.410734565864502</v>
      </c>
      <c r="AN10769">
        <v>1.0000000409694001</v>
      </c>
    </row>
    <row r="10770" spans="1:40" x14ac:dyDescent="0.25">
      <c r="A10770" t="str">
        <f>"20190312150930426"</f>
        <v>20190312150930426</v>
      </c>
      <c r="B10770" t="str">
        <f>"1552374570419462"</f>
        <v>1552374570419462</v>
      </c>
      <c r="C10770" t="s">
        <v>40</v>
      </c>
      <c r="D10770">
        <v>5.0581050000000003</v>
      </c>
      <c r="E10770">
        <v>0.46478740000000002</v>
      </c>
      <c r="F10770" t="s">
        <v>42</v>
      </c>
      <c r="G10770">
        <v>-124.316</v>
      </c>
      <c r="H10770" s="1">
        <v>-2.6330859999999999E-6</v>
      </c>
      <c r="I10770">
        <v>138.41909999999999</v>
      </c>
      <c r="J10770">
        <v>-143.197</v>
      </c>
      <c r="K10770">
        <v>1.115569</v>
      </c>
      <c r="L10770">
        <v>137.72890000000001</v>
      </c>
      <c r="M10770">
        <v>0.99158690000000005</v>
      </c>
      <c r="N10770">
        <v>0</v>
      </c>
      <c r="O10770">
        <v>-0.12862419999999999</v>
      </c>
      <c r="P10770">
        <v>0.99782820000000005</v>
      </c>
      <c r="Q10770">
        <v>3.7516689999999998E-2</v>
      </c>
      <c r="R10770">
        <v>-5.4143480000000001E-2</v>
      </c>
      <c r="S10770">
        <v>3.0204469999999999</v>
      </c>
      <c r="T10770">
        <v>-0.1758826</v>
      </c>
      <c r="U10770">
        <v>0.10392759999999999</v>
      </c>
      <c r="V10770">
        <v>-7.529595E-2</v>
      </c>
      <c r="W10770">
        <v>5.1082130000000003E-2</v>
      </c>
      <c r="X10770">
        <v>0.99585199999999996</v>
      </c>
      <c r="Y10770">
        <v>-0.16217200000000001</v>
      </c>
      <c r="Z10770">
        <v>1.218694E-2</v>
      </c>
      <c r="AA10770">
        <v>0.98668719999999999</v>
      </c>
      <c r="AB10770">
        <v>29</v>
      </c>
      <c r="AC10770">
        <v>18.881</v>
      </c>
      <c r="AD10770">
        <v>-1.1155716330859999</v>
      </c>
      <c r="AE10770">
        <v>0.69019999999997494</v>
      </c>
      <c r="AF10770">
        <v>-3.1024595218663502</v>
      </c>
      <c r="AG10770">
        <v>-1.1155716330859999</v>
      </c>
      <c r="AH10770">
        <v>18.570601435742301</v>
      </c>
      <c r="AI10770">
        <v>93.390854275778807</v>
      </c>
      <c r="AJ10770">
        <v>99.484412679713799</v>
      </c>
      <c r="AK10770">
        <v>18.8609913005271</v>
      </c>
      <c r="AL10770">
        <v>87.071935294719793</v>
      </c>
      <c r="AM10770">
        <v>94.323882661427504</v>
      </c>
      <c r="AN10770">
        <v>1.0000000349978599</v>
      </c>
    </row>
    <row r="10771" spans="1:40" x14ac:dyDescent="0.25">
      <c r="A10771" t="str">
        <f>"20190312150930451"</f>
        <v>20190312150930451</v>
      </c>
      <c r="B10771" t="str">
        <f>"1552374570439958"</f>
        <v>1552374570439958</v>
      </c>
      <c r="C10771" t="s">
        <v>40</v>
      </c>
      <c r="D10771">
        <v>5.064508</v>
      </c>
      <c r="E10771">
        <v>0.4647445</v>
      </c>
      <c r="F10771" t="s">
        <v>42</v>
      </c>
      <c r="G10771">
        <v>-124.7244</v>
      </c>
      <c r="H10771" s="1">
        <v>-2.4509239999999999E-6</v>
      </c>
      <c r="I10771">
        <v>138.45840000000001</v>
      </c>
      <c r="J10771">
        <v>-142.8862</v>
      </c>
      <c r="K10771">
        <v>1.1154869999999999</v>
      </c>
      <c r="L10771">
        <v>137.6961</v>
      </c>
      <c r="M10771">
        <v>0.99244339999999998</v>
      </c>
      <c r="N10771">
        <v>0</v>
      </c>
      <c r="O10771">
        <v>-0.1218404</v>
      </c>
      <c r="P10771">
        <v>0.99813350000000001</v>
      </c>
      <c r="Q10771">
        <v>3.6175239999999997E-2</v>
      </c>
      <c r="R10771">
        <v>-4.9203030000000002E-2</v>
      </c>
      <c r="S10771">
        <v>3.0198670000000001</v>
      </c>
      <c r="T10771">
        <v>-0.1823708</v>
      </c>
      <c r="U10771">
        <v>0.1192627</v>
      </c>
      <c r="V10771">
        <v>-7.3394580000000001E-2</v>
      </c>
      <c r="W10771">
        <v>4.9772490000000003E-2</v>
      </c>
      <c r="X10771">
        <v>0.99606019999999895</v>
      </c>
      <c r="Y10771">
        <v>-0.160413</v>
      </c>
      <c r="Z10771">
        <v>1.217729E-2</v>
      </c>
      <c r="AA10771">
        <v>0.98697480000000004</v>
      </c>
      <c r="AB10771">
        <v>29</v>
      </c>
      <c r="AC10771">
        <v>18.161799999999999</v>
      </c>
      <c r="AD10771">
        <v>-1.1154894509240001</v>
      </c>
      <c r="AE10771">
        <v>0.76230000000000997</v>
      </c>
      <c r="AF10771">
        <v>-2.9585528220162098</v>
      </c>
      <c r="AG10771">
        <v>-1.1154894509240001</v>
      </c>
      <c r="AH10771">
        <v>17.866292265509099</v>
      </c>
      <c r="AI10771">
        <v>93.524771780336295</v>
      </c>
      <c r="AJ10771">
        <v>99.402519921848693</v>
      </c>
      <c r="AK10771">
        <v>18.1439177365963</v>
      </c>
      <c r="AL10771">
        <v>87.147067612376404</v>
      </c>
      <c r="AM10771">
        <v>94.214216884737993</v>
      </c>
      <c r="AN10771">
        <v>0.99999999357910796</v>
      </c>
    </row>
    <row r="10772" spans="1:40" x14ac:dyDescent="0.25">
      <c r="A10772" t="str">
        <f>"20190312150930477"</f>
        <v>20190312150930477</v>
      </c>
      <c r="B10772" t="str">
        <f>"1552374570470215"</f>
        <v>1552374570470215</v>
      </c>
      <c r="C10772" t="s">
        <v>40</v>
      </c>
      <c r="D10772">
        <v>5.1271230000000001</v>
      </c>
      <c r="E10772">
        <v>0.46477459999999998</v>
      </c>
      <c r="F10772" t="s">
        <v>42</v>
      </c>
      <c r="G10772">
        <v>-125.1036</v>
      </c>
      <c r="H10772" s="1">
        <v>-2.2824669999999999E-6</v>
      </c>
      <c r="I10772">
        <v>138.49080000000001</v>
      </c>
      <c r="J10772">
        <v>-142.5565</v>
      </c>
      <c r="K10772">
        <v>1.115389</v>
      </c>
      <c r="L10772">
        <v>137.6635</v>
      </c>
      <c r="M10772">
        <v>0.99328640000000001</v>
      </c>
      <c r="N10772">
        <v>0</v>
      </c>
      <c r="O10772">
        <v>-0.1147662</v>
      </c>
      <c r="P10772">
        <v>0.99838170000000004</v>
      </c>
      <c r="Q10772">
        <v>3.6327030000000003E-2</v>
      </c>
      <c r="R10772">
        <v>-4.3753340000000002E-2</v>
      </c>
      <c r="S10772">
        <v>3.0191189999999999</v>
      </c>
      <c r="T10772">
        <v>-0.1893869</v>
      </c>
      <c r="U10772">
        <v>0.13493350000000001</v>
      </c>
      <c r="V10772">
        <v>-7.1723399999999896E-2</v>
      </c>
      <c r="W10772">
        <v>4.9952990000000003E-2</v>
      </c>
      <c r="X10772">
        <v>0.99617290000000003</v>
      </c>
      <c r="Y10772">
        <v>-0.15848119999999999</v>
      </c>
      <c r="Z10772">
        <v>1.2145329999999999E-2</v>
      </c>
      <c r="AA10772">
        <v>0.98728729999999998</v>
      </c>
      <c r="AB10772">
        <v>29</v>
      </c>
      <c r="AC10772">
        <v>17.4529</v>
      </c>
      <c r="AD10772">
        <v>-1.115391282467</v>
      </c>
      <c r="AE10772">
        <v>0.82730000000000803</v>
      </c>
      <c r="AF10772">
        <v>-2.8135809031707399</v>
      </c>
      <c r="AG10772">
        <v>-1.115391282467</v>
      </c>
      <c r="AH10772">
        <v>17.172618852100499</v>
      </c>
      <c r="AI10772">
        <v>93.667477265702999</v>
      </c>
      <c r="AJ10772">
        <v>99.304733297465802</v>
      </c>
      <c r="AK10772">
        <v>17.437292606686601</v>
      </c>
      <c r="AL10772">
        <v>87.136712853408895</v>
      </c>
      <c r="AM10772">
        <v>94.118129692409795</v>
      </c>
      <c r="AN10772">
        <v>0.99999999700595499</v>
      </c>
    </row>
    <row r="10773" spans="1:40" x14ac:dyDescent="0.25">
      <c r="A10773" t="str">
        <f>"20190312150930498"</f>
        <v>20190312150930498</v>
      </c>
      <c r="B10773" t="str">
        <f>"1552374570489735"</f>
        <v>1552374570489735</v>
      </c>
      <c r="C10773" t="s">
        <v>40</v>
      </c>
      <c r="D10773">
        <v>5.1251740000000003</v>
      </c>
      <c r="E10773">
        <v>0.46488649999999998</v>
      </c>
      <c r="F10773" t="s">
        <v>42</v>
      </c>
      <c r="G10773">
        <v>-124.6331</v>
      </c>
      <c r="H10773" s="1">
        <v>-2.4720990000000002E-6</v>
      </c>
      <c r="I10773">
        <v>138.55969999999999</v>
      </c>
      <c r="J10773">
        <v>-142.28909999999999</v>
      </c>
      <c r="K10773">
        <v>1.115297</v>
      </c>
      <c r="L10773">
        <v>137.6387</v>
      </c>
      <c r="M10773">
        <v>0.99391929999999995</v>
      </c>
      <c r="N10773">
        <v>0</v>
      </c>
      <c r="O10773">
        <v>-0.109152399999999</v>
      </c>
      <c r="P10773">
        <v>0.998533</v>
      </c>
      <c r="Q10773">
        <v>3.649989E-2</v>
      </c>
      <c r="R10773">
        <v>-4.0002169999999997E-2</v>
      </c>
      <c r="S10773">
        <v>3.0183110000000002</v>
      </c>
      <c r="T10773">
        <v>-0.1878331</v>
      </c>
      <c r="U10773">
        <v>0.15092469999999999</v>
      </c>
      <c r="V10773">
        <v>-6.9826799999999994E-2</v>
      </c>
      <c r="W10773">
        <v>5.0156350000000002E-2</v>
      </c>
      <c r="X10773">
        <v>0.9962974</v>
      </c>
      <c r="Y10773">
        <v>-0.15815389999999999</v>
      </c>
      <c r="Z10773">
        <v>1.1690300000000001E-2</v>
      </c>
      <c r="AA10773">
        <v>0.98734529999999998</v>
      </c>
      <c r="AB10773">
        <v>29</v>
      </c>
      <c r="AC10773">
        <v>17.655999999999899</v>
      </c>
      <c r="AD10773">
        <v>-1.1152994720989999</v>
      </c>
      <c r="AE10773">
        <v>0.92099999999999205</v>
      </c>
      <c r="AF10773">
        <v>-2.8316250381135299</v>
      </c>
      <c r="AG10773">
        <v>-1.1152994720989999</v>
      </c>
      <c r="AH10773">
        <v>17.380778529199301</v>
      </c>
      <c r="AI10773">
        <v>93.623905671024502</v>
      </c>
      <c r="AJ10773">
        <v>99.253164754289401</v>
      </c>
      <c r="AK10773">
        <v>17.645210555559</v>
      </c>
      <c r="AL10773">
        <v>87.125046497365702</v>
      </c>
      <c r="AM10773">
        <v>94.009093514173699</v>
      </c>
      <c r="AN10773">
        <v>0.99999997534516005</v>
      </c>
    </row>
    <row r="10774" spans="1:40" x14ac:dyDescent="0.25">
      <c r="A10774" t="str">
        <f>"20190312150930519"</f>
        <v>20190312150930519</v>
      </c>
      <c r="B10774" t="str">
        <f>"1552374570510230"</f>
        <v>1552374570510230</v>
      </c>
      <c r="C10774" t="s">
        <v>40</v>
      </c>
      <c r="D10774">
        <v>5.067698</v>
      </c>
      <c r="E10774">
        <v>0.46501700000000001</v>
      </c>
      <c r="F10774" t="s">
        <v>42</v>
      </c>
      <c r="G10774">
        <v>-124.25449999999999</v>
      </c>
      <c r="H10774" s="1">
        <v>-2.626853E-6</v>
      </c>
      <c r="I10774">
        <v>138.60310000000001</v>
      </c>
      <c r="J10774">
        <v>-142.0147</v>
      </c>
      <c r="K10774">
        <v>1.115183</v>
      </c>
      <c r="L10774">
        <v>137.6146</v>
      </c>
      <c r="M10774">
        <v>0.99452050000000003</v>
      </c>
      <c r="N10774">
        <v>0</v>
      </c>
      <c r="O10774">
        <v>-0.1035311</v>
      </c>
      <c r="P10774">
        <v>0.99866719999999998</v>
      </c>
      <c r="Q10774">
        <v>3.5694450000000003E-2</v>
      </c>
      <c r="R10774">
        <v>-3.7275679999999999E-2</v>
      </c>
      <c r="S10774">
        <v>3.0177</v>
      </c>
      <c r="T10774">
        <v>-0.18662100000000001</v>
      </c>
      <c r="U10774">
        <v>0.16137699999999999</v>
      </c>
      <c r="V10774">
        <v>-6.689262E-2</v>
      </c>
      <c r="W10774">
        <v>4.9394349999999997E-2</v>
      </c>
      <c r="X10774">
        <v>0.9965368</v>
      </c>
      <c r="Y10774">
        <v>-0.15601309999999999</v>
      </c>
      <c r="Z10774">
        <v>1.1204449999999999E-2</v>
      </c>
      <c r="AA10774">
        <v>0.9876914</v>
      </c>
      <c r="AB10774">
        <v>29</v>
      </c>
      <c r="AC10774">
        <v>17.760200000000001</v>
      </c>
      <c r="AD10774">
        <v>-1.1151856268529901</v>
      </c>
      <c r="AE10774">
        <v>0.98850000000001603</v>
      </c>
      <c r="AF10774">
        <v>-2.8110642186084598</v>
      </c>
      <c r="AG10774">
        <v>-1.1151856268529901</v>
      </c>
      <c r="AH10774">
        <v>17.4936292526627</v>
      </c>
      <c r="AI10774">
        <v>93.601483823086298</v>
      </c>
      <c r="AJ10774">
        <v>99.128861339216002</v>
      </c>
      <c r="AK10774">
        <v>17.753106360665299</v>
      </c>
      <c r="AL10774">
        <v>87.168760164751603</v>
      </c>
      <c r="AM10774">
        <v>93.8402234023864</v>
      </c>
      <c r="AN10774">
        <v>1.0000000090883101</v>
      </c>
    </row>
    <row r="10775" spans="1:40" x14ac:dyDescent="0.25">
      <c r="A10775" t="str">
        <f>"20190312150930541"</f>
        <v>20190312150930541</v>
      </c>
      <c r="B10775" t="str">
        <f>"1552374570530257"</f>
        <v>1552374570530257</v>
      </c>
      <c r="C10775" t="s">
        <v>40</v>
      </c>
      <c r="D10775">
        <v>4.9883030000000002</v>
      </c>
      <c r="E10775">
        <v>0.4651515</v>
      </c>
      <c r="F10775" t="s">
        <v>42</v>
      </c>
      <c r="G10775">
        <v>-124.1277</v>
      </c>
      <c r="H10775" s="1">
        <v>-2.6789779999999999E-6</v>
      </c>
      <c r="I10775">
        <v>138.6157</v>
      </c>
      <c r="J10775">
        <v>-141.73099999999999</v>
      </c>
      <c r="K10775">
        <v>1.115051</v>
      </c>
      <c r="L10775">
        <v>137.59119999999999</v>
      </c>
      <c r="M10775">
        <v>0.99509259999999999</v>
      </c>
      <c r="N10775">
        <v>0</v>
      </c>
      <c r="O10775">
        <v>-9.7882689999999994E-2</v>
      </c>
      <c r="P10775">
        <v>0.99877300000000002</v>
      </c>
      <c r="Q10775">
        <v>3.5306860000000002E-2</v>
      </c>
      <c r="R10775">
        <v>-3.4727889999999997E-2</v>
      </c>
      <c r="S10775">
        <v>3.0170140000000001</v>
      </c>
      <c r="T10775">
        <v>-0.1880993</v>
      </c>
      <c r="U10775">
        <v>0.168853799999999</v>
      </c>
      <c r="V10775">
        <v>-6.3755229999999996E-2</v>
      </c>
      <c r="W10775">
        <v>4.9052400000000003E-2</v>
      </c>
      <c r="X10775">
        <v>0.99675930000000001</v>
      </c>
      <c r="Y10775">
        <v>-0.1528658</v>
      </c>
      <c r="Z10775">
        <v>1.0846369999999999E-2</v>
      </c>
      <c r="AA10775">
        <v>0.98818740000000005</v>
      </c>
      <c r="AB10775">
        <v>29</v>
      </c>
      <c r="AC10775">
        <v>17.603299999999901</v>
      </c>
      <c r="AD10775">
        <v>-1.1150536789779999</v>
      </c>
      <c r="AE10775">
        <v>1.02450000000001</v>
      </c>
      <c r="AF10775">
        <v>-2.7318938934974399</v>
      </c>
      <c r="AG10775">
        <v>-1.1150536789779999</v>
      </c>
      <c r="AH10775">
        <v>17.3490828053035</v>
      </c>
      <c r="AI10775">
        <v>93.632793792201696</v>
      </c>
      <c r="AJ10775">
        <v>98.948668122422205</v>
      </c>
      <c r="AK10775">
        <v>17.5982176125199</v>
      </c>
      <c r="AL10775">
        <v>87.188376166596299</v>
      </c>
      <c r="AM10775">
        <v>93.659796503299404</v>
      </c>
      <c r="AN10775">
        <v>0.999999984717301</v>
      </c>
    </row>
    <row r="10776" spans="1:40" x14ac:dyDescent="0.25">
      <c r="A10776" t="str">
        <f>"20190312150930559"</f>
        <v>20190312150930559</v>
      </c>
      <c r="B10776" t="str">
        <f>"1552374570549777"</f>
        <v>1552374570549777</v>
      </c>
      <c r="C10776" t="s">
        <v>40</v>
      </c>
      <c r="D10776">
        <v>5.0677580000000004</v>
      </c>
      <c r="E10776">
        <v>0.46529880000000001</v>
      </c>
      <c r="F10776" t="s">
        <v>42</v>
      </c>
      <c r="G10776">
        <v>-123.92740000000001</v>
      </c>
      <c r="H10776" s="1">
        <v>-2.7621900000000001E-6</v>
      </c>
      <c r="I10776">
        <v>138.6311</v>
      </c>
      <c r="J10776">
        <v>-141.50399999999999</v>
      </c>
      <c r="K10776">
        <v>1.1149249999999999</v>
      </c>
      <c r="L10776">
        <v>137.5736</v>
      </c>
      <c r="M10776">
        <v>0.99551389999999995</v>
      </c>
      <c r="N10776">
        <v>0</v>
      </c>
      <c r="O10776">
        <v>-9.3502650000000007E-2</v>
      </c>
      <c r="P10776">
        <v>0.9987819</v>
      </c>
      <c r="Q10776">
        <v>3.6308769999999997E-2</v>
      </c>
      <c r="R10776">
        <v>-3.3416460000000002E-2</v>
      </c>
      <c r="S10776">
        <v>3.0165099999999998</v>
      </c>
      <c r="T10776">
        <v>-0.18892629999999999</v>
      </c>
      <c r="U10776">
        <v>0.17619319999999999</v>
      </c>
      <c r="V10776">
        <v>-6.0668090000000001E-2</v>
      </c>
      <c r="W10776">
        <v>5.0095859999999999E-2</v>
      </c>
      <c r="X10776">
        <v>0.99690009999999996</v>
      </c>
      <c r="Y10776">
        <v>-0.1509305</v>
      </c>
      <c r="Z10776">
        <v>1.056143E-2</v>
      </c>
      <c r="AA10776">
        <v>0.98848800000000003</v>
      </c>
      <c r="AB10776">
        <v>29</v>
      </c>
      <c r="AC10776">
        <v>17.5765999999999</v>
      </c>
      <c r="AD10776">
        <v>-1.11492776219</v>
      </c>
      <c r="AE10776">
        <v>1.0575000000000001</v>
      </c>
      <c r="AF10776">
        <v>-2.68572932442498</v>
      </c>
      <c r="AG10776">
        <v>-1.11492776219</v>
      </c>
      <c r="AH10776">
        <v>17.331208134959301</v>
      </c>
      <c r="AI10776">
        <v>93.637504358485501</v>
      </c>
      <c r="AJ10776">
        <v>98.808770331933005</v>
      </c>
      <c r="AK10776">
        <v>17.573473798206699</v>
      </c>
      <c r="AL10776">
        <v>87.128516783590996</v>
      </c>
      <c r="AM10776">
        <v>93.482539339198993</v>
      </c>
      <c r="AN10776">
        <v>1.00000001085669</v>
      </c>
    </row>
    <row r="10777" spans="1:40" x14ac:dyDescent="0.25">
      <c r="A10777" t="str">
        <f>"20190312150930583"</f>
        <v>20190312150930583</v>
      </c>
      <c r="B10777" t="str">
        <f>"1552374570580033"</f>
        <v>1552374570580033</v>
      </c>
      <c r="C10777" t="s">
        <v>40</v>
      </c>
      <c r="D10777">
        <v>5.1326499999999999</v>
      </c>
      <c r="E10777">
        <v>0.48858980000000002</v>
      </c>
      <c r="F10777" t="s">
        <v>42</v>
      </c>
      <c r="G10777">
        <v>-123.4053</v>
      </c>
      <c r="H10777" s="1">
        <v>-2.9830320000000001E-6</v>
      </c>
      <c r="I10777">
        <v>138.64879999999999</v>
      </c>
      <c r="J10777">
        <v>-141.1925</v>
      </c>
      <c r="K10777">
        <v>1.1147450000000001</v>
      </c>
      <c r="L10777">
        <v>137.55080000000001</v>
      </c>
      <c r="M10777">
        <v>0.99604429999999999</v>
      </c>
      <c r="N10777">
        <v>0</v>
      </c>
      <c r="O10777">
        <v>-8.7674379999999996E-2</v>
      </c>
      <c r="P10777">
        <v>0.99887369999999998</v>
      </c>
      <c r="Q10777">
        <v>3.70821E-2</v>
      </c>
      <c r="R10777">
        <v>-2.9602949999999999E-2</v>
      </c>
      <c r="S10777">
        <v>3.0164179999999998</v>
      </c>
      <c r="T10777">
        <v>-0.18581909999999999</v>
      </c>
      <c r="U10777">
        <v>0.1791992</v>
      </c>
      <c r="V10777">
        <v>-5.8622010000000002E-2</v>
      </c>
      <c r="W10777">
        <v>5.0899739999999999E-2</v>
      </c>
      <c r="X10777">
        <v>0.99698180000000003</v>
      </c>
      <c r="Y10777">
        <v>-0.14616219999999999</v>
      </c>
      <c r="Z10777">
        <v>9.883747E-3</v>
      </c>
      <c r="AA10777">
        <v>0.98921130000000002</v>
      </c>
      <c r="AB10777">
        <v>29</v>
      </c>
      <c r="AC10777">
        <v>17.787199999999999</v>
      </c>
      <c r="AD10777">
        <v>-1.114747983032</v>
      </c>
      <c r="AE10777">
        <v>1.0979999999999801</v>
      </c>
      <c r="AF10777">
        <v>-2.6430738200533201</v>
      </c>
      <c r="AG10777">
        <v>-1.114747983032</v>
      </c>
      <c r="AH10777">
        <v>17.553729905534201</v>
      </c>
      <c r="AI10777">
        <v>93.593287299740496</v>
      </c>
      <c r="AJ10777">
        <v>98.562730675210005</v>
      </c>
      <c r="AK10777">
        <v>17.786566163269701</v>
      </c>
      <c r="AL10777">
        <v>87.082399029926407</v>
      </c>
      <c r="AM10777">
        <v>93.365087402460503</v>
      </c>
      <c r="AN10777">
        <v>1.0000000165598699</v>
      </c>
    </row>
    <row r="10778" spans="1:40" x14ac:dyDescent="0.25">
      <c r="A10778" t="str">
        <f>"20190312150930605"</f>
        <v>20190312150930605</v>
      </c>
      <c r="B10778" t="str">
        <f>"1552374570599554"</f>
        <v>1552374570599554</v>
      </c>
      <c r="C10778" t="s">
        <v>40</v>
      </c>
      <c r="D10778">
        <v>5.1783869999999999</v>
      </c>
      <c r="E10778">
        <v>0.49388609999999999</v>
      </c>
      <c r="F10778" t="s">
        <v>42</v>
      </c>
      <c r="G10778">
        <v>-117.48399999999999</v>
      </c>
      <c r="H10778" s="1">
        <v>-1.4215150000000001E-6</v>
      </c>
      <c r="I10778">
        <v>137.58760000000001</v>
      </c>
      <c r="J10778">
        <v>-140.9289</v>
      </c>
      <c r="K10778">
        <v>1.114598</v>
      </c>
      <c r="L10778">
        <v>137.53270000000001</v>
      </c>
      <c r="M10778">
        <v>0.99644920000000003</v>
      </c>
      <c r="N10778">
        <v>0</v>
      </c>
      <c r="O10778">
        <v>-8.2945379999999999E-2</v>
      </c>
      <c r="P10778">
        <v>0.99894899999999998</v>
      </c>
      <c r="Q10778">
        <v>3.662236E-2</v>
      </c>
      <c r="R10778">
        <v>-2.7567330000000001E-2</v>
      </c>
      <c r="S10778">
        <v>3.0087739999999998</v>
      </c>
      <c r="T10778">
        <v>-0.14146900000000001</v>
      </c>
      <c r="U10778">
        <v>4.6844479999999999E-3</v>
      </c>
      <c r="V10778">
        <v>-5.5897490000000001E-2</v>
      </c>
      <c r="W10778">
        <v>5.0495430000000001E-2</v>
      </c>
      <c r="X10778">
        <v>0.99715880000000001</v>
      </c>
      <c r="Y10778">
        <v>-8.4320839999999994E-2</v>
      </c>
      <c r="Z10778">
        <v>5.8761789999999996E-3</v>
      </c>
      <c r="AA10778">
        <v>0.99642129999999995</v>
      </c>
      <c r="AB10778">
        <v>29</v>
      </c>
      <c r="AC10778">
        <v>23.444900000000001</v>
      </c>
      <c r="AD10778">
        <v>-1.1145994215149999</v>
      </c>
      <c r="AE10778">
        <v>5.4900000000003502E-2</v>
      </c>
      <c r="AF10778">
        <v>-1.99505109403095</v>
      </c>
      <c r="AG10778">
        <v>-1.1145994215149999</v>
      </c>
      <c r="AH10778">
        <v>23.306862845322001</v>
      </c>
      <c r="AI10778">
        <v>92.727997621179597</v>
      </c>
      <c r="AJ10778">
        <v>94.892552119955994</v>
      </c>
      <c r="AK10778">
        <v>23.4186339573615</v>
      </c>
      <c r="AL10778">
        <v>87.105594051935995</v>
      </c>
      <c r="AM10778">
        <v>93.208457774616804</v>
      </c>
      <c r="AN10778">
        <v>0.99999999512831195</v>
      </c>
    </row>
    <row r="10779" spans="1:40" x14ac:dyDescent="0.25">
      <c r="A10779" t="str">
        <f>"20190312150930627"</f>
        <v>20190312150930627</v>
      </c>
      <c r="B10779" t="str">
        <f>"1552374570620049"</f>
        <v>1552374570620049</v>
      </c>
      <c r="C10779" t="s">
        <v>40</v>
      </c>
      <c r="D10779">
        <v>5.2688980000000001</v>
      </c>
      <c r="E10779">
        <v>0.49486219999999997</v>
      </c>
      <c r="F10779" t="s">
        <v>42</v>
      </c>
      <c r="G10779">
        <v>-126.3656</v>
      </c>
      <c r="H10779" s="1">
        <v>-1.9370970000000002E-6</v>
      </c>
      <c r="I10779">
        <v>137.38579999999999</v>
      </c>
      <c r="J10779">
        <v>-140.642</v>
      </c>
      <c r="K10779">
        <v>1.1144510000000001</v>
      </c>
      <c r="L10779">
        <v>137.51429999999999</v>
      </c>
      <c r="M10779">
        <v>0.99684459999999997</v>
      </c>
      <c r="N10779">
        <v>0</v>
      </c>
      <c r="O10779">
        <v>-7.8032679999999993E-2</v>
      </c>
      <c r="P10779">
        <v>0.99901240000000002</v>
      </c>
      <c r="Q10779">
        <v>3.6024349999999997E-2</v>
      </c>
      <c r="R10779">
        <v>-2.601355E-2</v>
      </c>
      <c r="S10779">
        <v>3.0107729999999999</v>
      </c>
      <c r="T10779">
        <v>-0.23042889999999999</v>
      </c>
      <c r="U10779">
        <v>-3.0349729999999998E-2</v>
      </c>
      <c r="V10779">
        <v>-5.250722E-2</v>
      </c>
      <c r="W10779">
        <v>5.0047759999999997E-2</v>
      </c>
      <c r="X10779">
        <v>0.99736570000000002</v>
      </c>
      <c r="Y10779">
        <v>-6.7562510000000006E-2</v>
      </c>
      <c r="Z10779">
        <v>8.5404319999999902E-3</v>
      </c>
      <c r="AA10779">
        <v>0.99767850000000002</v>
      </c>
      <c r="AB10779">
        <v>29</v>
      </c>
      <c r="AC10779">
        <v>14.276399999999899</v>
      </c>
      <c r="AD10779">
        <v>-1.114452937097</v>
      </c>
      <c r="AE10779">
        <v>-0.128500000000002</v>
      </c>
      <c r="AF10779">
        <v>-0.98006382129055503</v>
      </c>
      <c r="AG10779">
        <v>-1.114452937097</v>
      </c>
      <c r="AH10779">
        <v>14.1566272114929</v>
      </c>
      <c r="AI10779">
        <v>94.490511529585206</v>
      </c>
      <c r="AJ10779">
        <v>93.960270059297301</v>
      </c>
      <c r="AK10779">
        <v>14.234206140420699</v>
      </c>
      <c r="AL10779">
        <v>87.131276321543098</v>
      </c>
      <c r="AM10779">
        <v>93.013606064616397</v>
      </c>
      <c r="AN10779">
        <v>1.00000006298481</v>
      </c>
    </row>
    <row r="10780" spans="1:40" x14ac:dyDescent="0.25">
      <c r="A10780" t="str">
        <f>"20190312150930650"</f>
        <v>20190312150930650</v>
      </c>
      <c r="B10780" t="str">
        <f>"1552374570639570"</f>
        <v>1552374570639570</v>
      </c>
      <c r="C10780" t="s">
        <v>40</v>
      </c>
      <c r="D10780">
        <v>5.1586169999999996</v>
      </c>
      <c r="E10780">
        <v>0.49484470000000003</v>
      </c>
      <c r="F10780" t="s">
        <v>42</v>
      </c>
      <c r="G10780">
        <v>-125.0663</v>
      </c>
      <c r="H10780" s="1">
        <v>-2.5023690000000002E-6</v>
      </c>
      <c r="I10780">
        <v>137.34139999999999</v>
      </c>
      <c r="J10780">
        <v>-140.3477</v>
      </c>
      <c r="K10780">
        <v>1.1143419999999999</v>
      </c>
      <c r="L10780">
        <v>137.4967</v>
      </c>
      <c r="M10780">
        <v>0.99720850000000005</v>
      </c>
      <c r="N10780">
        <v>0</v>
      </c>
      <c r="O10780">
        <v>-7.3185680000000003E-2</v>
      </c>
      <c r="P10780">
        <v>0.99908129999999995</v>
      </c>
      <c r="Q10780">
        <v>3.5083650000000001E-2</v>
      </c>
      <c r="R10780">
        <v>-2.4611350000000001E-2</v>
      </c>
      <c r="S10780">
        <v>3.0098569999999998</v>
      </c>
      <c r="T10780">
        <v>-0.21535670000000001</v>
      </c>
      <c r="U10780">
        <v>-3.3401489999999999E-2</v>
      </c>
      <c r="V10780">
        <v>-4.9032449999999998E-2</v>
      </c>
      <c r="W10780">
        <v>4.940626E-2</v>
      </c>
      <c r="X10780">
        <v>0.99757450000000003</v>
      </c>
      <c r="Y10780">
        <v>-6.1777579999999999E-2</v>
      </c>
      <c r="Z10780">
        <v>7.4333699999999999E-3</v>
      </c>
      <c r="AA10780">
        <v>0.99806229999999996</v>
      </c>
      <c r="AB10780">
        <v>29</v>
      </c>
      <c r="AC10780">
        <v>15.2814</v>
      </c>
      <c r="AD10780">
        <v>-1.114344502369</v>
      </c>
      <c r="AE10780">
        <v>-0.15530000000001101</v>
      </c>
      <c r="AF10780">
        <v>-0.958522246776354</v>
      </c>
      <c r="AG10780">
        <v>-1.114344502369</v>
      </c>
      <c r="AH10780">
        <v>15.171113332343801</v>
      </c>
      <c r="AI10780">
        <v>94.192600214478205</v>
      </c>
      <c r="AJ10780">
        <v>93.615184787023495</v>
      </c>
      <c r="AK10780">
        <v>15.2421523516315</v>
      </c>
      <c r="AL10780">
        <v>87.168076972640094</v>
      </c>
      <c r="AM10780">
        <v>92.813918518473102</v>
      </c>
      <c r="AN10780">
        <v>1.00000002136521</v>
      </c>
    </row>
    <row r="10781" spans="1:40" x14ac:dyDescent="0.25">
      <c r="A10781" t="str">
        <f>"20190312150930670"</f>
        <v>20190312150930670</v>
      </c>
      <c r="B10781" t="str">
        <f>"1552374570660066"</f>
        <v>1552374570660066</v>
      </c>
      <c r="C10781" t="s">
        <v>40</v>
      </c>
      <c r="D10781">
        <v>5.0879120000000002</v>
      </c>
      <c r="E10781">
        <v>0.49520930000000002</v>
      </c>
      <c r="F10781" t="s">
        <v>42</v>
      </c>
      <c r="G10781">
        <v>-126.04770000000001</v>
      </c>
      <c r="H10781" s="1">
        <v>-2.077905E-6</v>
      </c>
      <c r="I10781">
        <v>137.36070000000001</v>
      </c>
      <c r="J10781">
        <v>-140.0925</v>
      </c>
      <c r="K10781">
        <v>1.1142729999999901</v>
      </c>
      <c r="L10781">
        <v>137.48249999999999</v>
      </c>
      <c r="M10781">
        <v>0.99749429999999994</v>
      </c>
      <c r="N10781">
        <v>0</v>
      </c>
      <c r="O10781">
        <v>-6.91195E-2</v>
      </c>
      <c r="P10781">
        <v>0.99916539999999998</v>
      </c>
      <c r="Q10781">
        <v>3.4075229999999998E-2</v>
      </c>
      <c r="R10781">
        <v>-2.2529839999999999E-2</v>
      </c>
      <c r="S10781">
        <v>3.0103</v>
      </c>
      <c r="T10781">
        <v>-0.23458229999999999</v>
      </c>
      <c r="U10781">
        <v>-2.862549E-2</v>
      </c>
      <c r="V10781">
        <v>-4.7022750000000002E-2</v>
      </c>
      <c r="W10781">
        <v>4.8726159999999998E-2</v>
      </c>
      <c r="X10781">
        <v>0.9977047</v>
      </c>
      <c r="Y10781">
        <v>-5.9249400000000001E-2</v>
      </c>
      <c r="Z10781">
        <v>7.679923E-3</v>
      </c>
      <c r="AA10781">
        <v>0.99821360000000003</v>
      </c>
      <c r="AB10781">
        <v>29</v>
      </c>
      <c r="AC10781">
        <v>14.044799999999899</v>
      </c>
      <c r="AD10781">
        <v>-1.1142750779049999</v>
      </c>
      <c r="AE10781">
        <v>-0.12179999999997899</v>
      </c>
      <c r="AF10781">
        <v>-0.84405898100381505</v>
      </c>
      <c r="AG10781">
        <v>-1.1142750779049999</v>
      </c>
      <c r="AH10781">
        <v>13.9319358802094</v>
      </c>
      <c r="AI10781">
        <v>94.564444202497597</v>
      </c>
      <c r="AJ10781">
        <v>93.466996855279504</v>
      </c>
      <c r="AK10781">
        <v>14.001888511301599</v>
      </c>
      <c r="AL10781">
        <v>87.207090827988196</v>
      </c>
      <c r="AM10781">
        <v>92.698406521869202</v>
      </c>
      <c r="AN10781">
        <v>1.00000002304399</v>
      </c>
    </row>
    <row r="10782" spans="1:40" x14ac:dyDescent="0.25">
      <c r="A10782" t="str">
        <f>"20190312150930700"</f>
        <v>20190312150930700</v>
      </c>
      <c r="B10782" t="str">
        <f>"1552374570690321"</f>
        <v>1552374570690321</v>
      </c>
      <c r="C10782" t="s">
        <v>40</v>
      </c>
      <c r="D10782">
        <v>5.3067140000000004</v>
      </c>
      <c r="E10782">
        <v>0.49561319999999998</v>
      </c>
      <c r="F10782" t="s">
        <v>42</v>
      </c>
      <c r="G10782">
        <v>-126.0061</v>
      </c>
      <c r="H10782" s="1">
        <v>-2.095305E-6</v>
      </c>
      <c r="I10782">
        <v>137.36340000000001</v>
      </c>
      <c r="J10782">
        <v>-139.74209999999999</v>
      </c>
      <c r="K10782">
        <v>1.114223</v>
      </c>
      <c r="L10782">
        <v>137.46449999999999</v>
      </c>
      <c r="M10782">
        <v>0.99784110000000004</v>
      </c>
      <c r="N10782">
        <v>0</v>
      </c>
      <c r="O10782">
        <v>-6.3783359999999997E-2</v>
      </c>
      <c r="P10782">
        <v>0.9992761</v>
      </c>
      <c r="Q10782">
        <v>3.2588260000000001E-2</v>
      </c>
      <c r="R10782">
        <v>-1.963121E-2</v>
      </c>
      <c r="S10782">
        <v>3.0100560000000001</v>
      </c>
      <c r="T10782">
        <v>-0.23810390000000001</v>
      </c>
      <c r="U10782">
        <v>-2.5436400000000001E-2</v>
      </c>
      <c r="V10782">
        <v>-4.455493E-2</v>
      </c>
      <c r="W10782">
        <v>4.7842179999999998E-2</v>
      </c>
      <c r="X10782">
        <v>0.99786070000000004</v>
      </c>
      <c r="Y10782">
        <v>-5.4985180000000002E-2</v>
      </c>
      <c r="Z10782">
        <v>7.2065039999999999E-3</v>
      </c>
      <c r="AA10782">
        <v>0.99846120000000005</v>
      </c>
      <c r="AB10782">
        <v>28</v>
      </c>
      <c r="AC10782">
        <v>13.735999999999899</v>
      </c>
      <c r="AD10782">
        <v>-1.1142250953049999</v>
      </c>
      <c r="AE10782">
        <v>-0.101099999999974</v>
      </c>
      <c r="AF10782">
        <v>-0.77027329703592196</v>
      </c>
      <c r="AG10782">
        <v>-1.1142250953049999</v>
      </c>
      <c r="AH10782">
        <v>13.624826373271</v>
      </c>
      <c r="AI10782">
        <v>94.667769088899803</v>
      </c>
      <c r="AJ10782">
        <v>93.2357461802236</v>
      </c>
      <c r="AK10782">
        <v>13.6919944572336</v>
      </c>
      <c r="AL10782">
        <v>87.257798221432793</v>
      </c>
      <c r="AM10782">
        <v>92.556584292352696</v>
      </c>
      <c r="AN10782">
        <v>0.999999996289473</v>
      </c>
    </row>
    <row r="10783" spans="1:40" x14ac:dyDescent="0.25">
      <c r="A10783" t="str">
        <f>"20190312150930719"</f>
        <v>20190312150930719</v>
      </c>
      <c r="B10783" t="str">
        <f>"1552374570709841"</f>
        <v>1552374570709841</v>
      </c>
      <c r="C10783" t="s">
        <v>40</v>
      </c>
      <c r="D10783">
        <v>5.1760609999999998</v>
      </c>
      <c r="E10783">
        <v>0.49606670000000003</v>
      </c>
      <c r="F10783" t="s">
        <v>42</v>
      </c>
      <c r="G10783">
        <v>-125.81399999999999</v>
      </c>
      <c r="H10783" s="1">
        <v>-2.175894E-6</v>
      </c>
      <c r="I10783">
        <v>137.37360000000001</v>
      </c>
      <c r="J10783">
        <v>-139.49170000000001</v>
      </c>
      <c r="K10783">
        <v>1.114204</v>
      </c>
      <c r="L10783">
        <v>137.45259999999999</v>
      </c>
      <c r="M10783">
        <v>0.99805809999999995</v>
      </c>
      <c r="N10783">
        <v>0</v>
      </c>
      <c r="O10783">
        <v>-6.014647E-2</v>
      </c>
      <c r="P10783">
        <v>0.99933249999999996</v>
      </c>
      <c r="Q10783">
        <v>3.1347050000000001E-2</v>
      </c>
      <c r="R10783">
        <v>-1.876121E-2</v>
      </c>
      <c r="S10783">
        <v>3.0096440000000002</v>
      </c>
      <c r="T10783">
        <v>-0.24076620000000001</v>
      </c>
      <c r="U10783">
        <v>-1.9638059999999999E-2</v>
      </c>
      <c r="V10783">
        <v>-4.17673E-2</v>
      </c>
      <c r="W10783">
        <v>4.7190599999999999E-2</v>
      </c>
      <c r="X10783">
        <v>0.99801229999999996</v>
      </c>
      <c r="Y10783">
        <v>-5.3277829999999998E-2</v>
      </c>
      <c r="Z10783">
        <v>6.9297480000000003E-3</v>
      </c>
      <c r="AA10783">
        <v>0.99855570000000005</v>
      </c>
      <c r="AB10783">
        <v>28</v>
      </c>
      <c r="AC10783">
        <v>13.6777</v>
      </c>
      <c r="AD10783">
        <v>-1.1142061758940001</v>
      </c>
      <c r="AE10783">
        <v>-7.8999999999979295E-2</v>
      </c>
      <c r="AF10783">
        <v>-0.739012495163752</v>
      </c>
      <c r="AG10783">
        <v>-1.1142061758940001</v>
      </c>
      <c r="AH10783">
        <v>13.567651423333601</v>
      </c>
      <c r="AI10783">
        <v>94.687806083159998</v>
      </c>
      <c r="AJ10783">
        <v>93.117746451616796</v>
      </c>
      <c r="AK10783">
        <v>13.633369356673899</v>
      </c>
      <c r="AL10783">
        <v>87.2951732478423</v>
      </c>
      <c r="AM10783">
        <v>92.396457780812895</v>
      </c>
      <c r="AN10783">
        <v>1.00000000551447</v>
      </c>
    </row>
    <row r="10784" spans="1:40" x14ac:dyDescent="0.25">
      <c r="A10784" t="str">
        <f>"20190312150930739"</f>
        <v>20190312150930739</v>
      </c>
      <c r="B10784" t="str">
        <f>"1552374570730337"</f>
        <v>1552374570730337</v>
      </c>
      <c r="C10784" t="s">
        <v>40</v>
      </c>
      <c r="D10784">
        <v>5.1603070000000004</v>
      </c>
      <c r="E10784">
        <v>0.4964267</v>
      </c>
      <c r="F10784" t="s">
        <v>42</v>
      </c>
      <c r="G10784">
        <v>-126.6878</v>
      </c>
      <c r="H10784" s="1">
        <v>-1.8021070000000001E-6</v>
      </c>
      <c r="I10784">
        <v>137.36750000000001</v>
      </c>
      <c r="J10784">
        <v>-139.25110000000001</v>
      </c>
      <c r="K10784">
        <v>1.1141829999999999</v>
      </c>
      <c r="L10784">
        <v>137.44200000000001</v>
      </c>
      <c r="M10784">
        <v>0.99824460000000004</v>
      </c>
      <c r="N10784">
        <v>0</v>
      </c>
      <c r="O10784">
        <v>-5.6783920000000002E-2</v>
      </c>
      <c r="P10784">
        <v>0.99936460000000005</v>
      </c>
      <c r="Q10784">
        <v>3.0781090000000001E-2</v>
      </c>
      <c r="R10784">
        <v>-1.7965700000000001E-2</v>
      </c>
      <c r="S10784">
        <v>3.0098419999999999</v>
      </c>
      <c r="T10784">
        <v>-0.26191950000000003</v>
      </c>
      <c r="U10784">
        <v>-2.0004270000000001E-2</v>
      </c>
      <c r="V10784">
        <v>-3.918481E-2</v>
      </c>
      <c r="W10784">
        <v>4.7287290000000003E-2</v>
      </c>
      <c r="X10784">
        <v>0.99811240000000001</v>
      </c>
      <c r="Y10784">
        <v>-4.9752879999999999E-2</v>
      </c>
      <c r="Z10784">
        <v>7.0911589999999997E-3</v>
      </c>
      <c r="AA10784">
        <v>0.99873639999999997</v>
      </c>
      <c r="AB10784">
        <v>28</v>
      </c>
      <c r="AC10784">
        <v>12.5633</v>
      </c>
      <c r="AD10784">
        <v>-1.114184802107</v>
      </c>
      <c r="AE10784">
        <v>-7.4500000000000399E-2</v>
      </c>
      <c r="AF10784">
        <v>-0.63412740637272202</v>
      </c>
      <c r="AG10784">
        <v>-1.114184802107</v>
      </c>
      <c r="AH10784">
        <v>12.449341765996</v>
      </c>
      <c r="AI10784">
        <v>95.107616170919201</v>
      </c>
      <c r="AJ10784">
        <v>92.915933328214294</v>
      </c>
      <c r="AK10784">
        <v>12.515176217190501</v>
      </c>
      <c r="AL10784">
        <v>87.289626977005099</v>
      </c>
      <c r="AM10784">
        <v>92.2482155893818</v>
      </c>
      <c r="AN10784">
        <v>0.99999995008201803</v>
      </c>
    </row>
    <row r="10785" spans="1:40" x14ac:dyDescent="0.25">
      <c r="A10785" t="str">
        <f>"20190312150930759"</f>
        <v>20190312150930759</v>
      </c>
      <c r="B10785" t="str">
        <f>"1552374570749857"</f>
        <v>1552374570749857</v>
      </c>
      <c r="C10785" t="s">
        <v>40</v>
      </c>
      <c r="D10785">
        <v>5.1763170000000001</v>
      </c>
      <c r="E10785">
        <v>0.49653799999999998</v>
      </c>
      <c r="F10785" t="s">
        <v>42</v>
      </c>
      <c r="G10785">
        <v>-126.9645</v>
      </c>
      <c r="H10785" s="1">
        <v>-1.6845200000000001E-6</v>
      </c>
      <c r="I10785">
        <v>137.3614</v>
      </c>
      <c r="J10785">
        <v>-138.98859999999999</v>
      </c>
      <c r="K10785">
        <v>1.1141700000000001</v>
      </c>
      <c r="L10785">
        <v>137.43129999999999</v>
      </c>
      <c r="M10785">
        <v>0.99842549999999997</v>
      </c>
      <c r="N10785">
        <v>0</v>
      </c>
      <c r="O10785">
        <v>-5.3261219999999998E-2</v>
      </c>
      <c r="P10785">
        <v>0.99941239999999998</v>
      </c>
      <c r="Q10785">
        <v>2.9643679999999999E-2</v>
      </c>
      <c r="R10785">
        <v>-1.7204509999999999E-2</v>
      </c>
      <c r="S10785">
        <v>3.009979</v>
      </c>
      <c r="T10785">
        <v>-0.27295219999999998</v>
      </c>
      <c r="U10785">
        <v>-1.9744870000000001E-2</v>
      </c>
      <c r="V10785">
        <v>-3.6403360000000003E-2</v>
      </c>
      <c r="W10785">
        <v>4.6958640000000003E-2</v>
      </c>
      <c r="X10785">
        <v>0.99823329999999999</v>
      </c>
      <c r="Y10785">
        <v>-4.6309589999999998E-2</v>
      </c>
      <c r="Z10785">
        <v>6.9141480000000002E-3</v>
      </c>
      <c r="AA10785">
        <v>0.99890319999999999</v>
      </c>
      <c r="AB10785">
        <v>28</v>
      </c>
      <c r="AC10785">
        <v>12.024099999999899</v>
      </c>
      <c r="AD10785">
        <v>-1.11417168452</v>
      </c>
      <c r="AE10785">
        <v>-6.9899999999989804E-2</v>
      </c>
      <c r="AF10785">
        <v>-0.56585830650061697</v>
      </c>
      <c r="AG10785">
        <v>-1.11417168452</v>
      </c>
      <c r="AH10785">
        <v>11.9085064935724</v>
      </c>
      <c r="AI10785">
        <v>95.339100608744403</v>
      </c>
      <c r="AJ10785">
        <v>92.7204859534652</v>
      </c>
      <c r="AK10785">
        <v>11.9738924779321</v>
      </c>
      <c r="AL10785">
        <v>87.308478365789099</v>
      </c>
      <c r="AM10785">
        <v>92.088524805365097</v>
      </c>
      <c r="AN10785">
        <v>1.0000000198594099</v>
      </c>
    </row>
    <row r="10786" spans="1:40" x14ac:dyDescent="0.25">
      <c r="A10786" t="str">
        <f>"20190312150930782"</f>
        <v>20190312150930782</v>
      </c>
      <c r="B10786" t="str">
        <f>"1552374570780114"</f>
        <v>1552374570780114</v>
      </c>
      <c r="C10786" t="s">
        <v>40</v>
      </c>
      <c r="D10786">
        <v>5.1629009999999997</v>
      </c>
      <c r="E10786">
        <v>0.4970426</v>
      </c>
      <c r="F10786" t="s">
        <v>42</v>
      </c>
      <c r="G10786">
        <v>-127.10680000000001</v>
      </c>
      <c r="H10786" s="1">
        <v>-1.6236170000000001E-6</v>
      </c>
      <c r="I10786">
        <v>137.3604</v>
      </c>
      <c r="J10786">
        <v>-138.7201</v>
      </c>
      <c r="K10786">
        <v>1.1141559999999999</v>
      </c>
      <c r="L10786">
        <v>137.4212</v>
      </c>
      <c r="M10786">
        <v>0.99858709999999995</v>
      </c>
      <c r="N10786">
        <v>0</v>
      </c>
      <c r="O10786">
        <v>-4.9823340000000001E-2</v>
      </c>
      <c r="P10786">
        <v>0.99944200000000005</v>
      </c>
      <c r="Q10786">
        <v>2.9274290000000001E-2</v>
      </c>
      <c r="R10786">
        <v>-1.6094580000000001E-2</v>
      </c>
      <c r="S10786">
        <v>3.009827</v>
      </c>
      <c r="T10786">
        <v>-0.28223520000000002</v>
      </c>
      <c r="U10786">
        <v>-1.794434E-2</v>
      </c>
      <c r="V10786">
        <v>-3.4060020000000003E-2</v>
      </c>
      <c r="W10786">
        <v>4.7499720000000002E-2</v>
      </c>
      <c r="X10786">
        <v>0.99829040000000002</v>
      </c>
      <c r="Y10786">
        <v>-4.3467440000000003E-2</v>
      </c>
      <c r="Z10786">
        <v>6.6944209999999999E-3</v>
      </c>
      <c r="AA10786">
        <v>0.99903240000000004</v>
      </c>
      <c r="AB10786">
        <v>28</v>
      </c>
      <c r="AC10786">
        <v>11.613299999999899</v>
      </c>
      <c r="AD10786">
        <v>-1.1141576236170001</v>
      </c>
      <c r="AE10786">
        <v>-6.0800000000000402E-2</v>
      </c>
      <c r="AF10786">
        <v>-0.51326372845594903</v>
      </c>
      <c r="AG10786">
        <v>-1.1141576236170001</v>
      </c>
      <c r="AH10786">
        <v>11.496093213834399</v>
      </c>
      <c r="AI10786">
        <v>95.530125939562296</v>
      </c>
      <c r="AJ10786">
        <v>92.556375309253198</v>
      </c>
      <c r="AK10786">
        <v>11.561355718356801</v>
      </c>
      <c r="AL10786">
        <v>87.277442119931294</v>
      </c>
      <c r="AM10786">
        <v>91.954079398339502</v>
      </c>
      <c r="AN10786">
        <v>1.0000000155473101</v>
      </c>
    </row>
    <row r="10787" spans="1:40" x14ac:dyDescent="0.25">
      <c r="A10787" t="str">
        <f>"20190312150930805"</f>
        <v>20190312150930805</v>
      </c>
      <c r="B10787" t="str">
        <f>"1552374570799633"</f>
        <v>1552374570799633</v>
      </c>
      <c r="C10787" t="s">
        <v>40</v>
      </c>
      <c r="D10787">
        <v>5.2498469999999999</v>
      </c>
      <c r="E10787">
        <v>0.49698740000000002</v>
      </c>
      <c r="F10787" t="s">
        <v>42</v>
      </c>
      <c r="G10787">
        <v>-127.56780000000001</v>
      </c>
      <c r="H10787" s="1">
        <v>-1.427237E-6</v>
      </c>
      <c r="I10787">
        <v>137.3526</v>
      </c>
      <c r="J10787">
        <v>-138.4496</v>
      </c>
      <c r="K10787">
        <v>1.114142</v>
      </c>
      <c r="L10787">
        <v>137.4118</v>
      </c>
      <c r="M10787">
        <v>0.99872780000000005</v>
      </c>
      <c r="N10787">
        <v>0</v>
      </c>
      <c r="O10787">
        <v>-4.6528229999999997E-2</v>
      </c>
      <c r="P10787">
        <v>0.99948360000000003</v>
      </c>
      <c r="Q10787">
        <v>2.8705310000000001E-2</v>
      </c>
      <c r="R10787">
        <v>-1.443906E-2</v>
      </c>
      <c r="S10787">
        <v>3.0101779999999998</v>
      </c>
      <c r="T10787">
        <v>-0.30072779999999999</v>
      </c>
      <c r="U10787">
        <v>-1.849365E-2</v>
      </c>
      <c r="V10787">
        <v>-3.2403260000000003E-2</v>
      </c>
      <c r="W10787">
        <v>4.7913619999999997E-2</v>
      </c>
      <c r="X10787">
        <v>0.99832580000000004</v>
      </c>
      <c r="Y10787">
        <v>-3.9968759999999999E-2</v>
      </c>
      <c r="Z10787">
        <v>6.627745E-3</v>
      </c>
      <c r="AA10787">
        <v>0.99917889999999998</v>
      </c>
      <c r="AB10787">
        <v>27</v>
      </c>
      <c r="AC10787">
        <v>10.881799999999901</v>
      </c>
      <c r="AD10787">
        <v>-1.1141434272370001</v>
      </c>
      <c r="AE10787">
        <v>-5.9200000000004097E-2</v>
      </c>
      <c r="AF10787">
        <v>-0.44263081881002397</v>
      </c>
      <c r="AG10787">
        <v>-1.1141434272370001</v>
      </c>
      <c r="AH10787">
        <v>10.7599730800094</v>
      </c>
      <c r="AI10787">
        <v>95.906674612652594</v>
      </c>
      <c r="AJ10787">
        <v>92.355636634881506</v>
      </c>
      <c r="AK10787">
        <v>10.826553389733199</v>
      </c>
      <c r="AL10787">
        <v>87.253700444185</v>
      </c>
      <c r="AM10787">
        <v>91.859030878824001</v>
      </c>
      <c r="AN10787">
        <v>1.0000000445928801</v>
      </c>
    </row>
    <row r="10788" spans="1:40" x14ac:dyDescent="0.25">
      <c r="A10788" t="str">
        <f>"20190312150930826"</f>
        <v>20190312150930826</v>
      </c>
      <c r="B10788" t="str">
        <f>"1552374570820130"</f>
        <v>1552374570820130</v>
      </c>
      <c r="C10788" t="s">
        <v>40</v>
      </c>
      <c r="D10788">
        <v>4.9840730000000004</v>
      </c>
      <c r="E10788">
        <v>0.49719429999999998</v>
      </c>
      <c r="F10788" t="s">
        <v>41</v>
      </c>
      <c r="G10788">
        <v>-137.49010000000001</v>
      </c>
      <c r="H10788">
        <v>1.01711</v>
      </c>
      <c r="I10788">
        <v>137.40729999999999</v>
      </c>
      <c r="J10788">
        <v>-138.1808</v>
      </c>
      <c r="K10788">
        <v>1.1141219999999901</v>
      </c>
      <c r="L10788">
        <v>137.4033</v>
      </c>
      <c r="M10788">
        <v>0.99884700000000004</v>
      </c>
      <c r="N10788">
        <v>0</v>
      </c>
      <c r="O10788">
        <v>-4.3434010000000002E-2</v>
      </c>
      <c r="P10788">
        <v>0.99953429999999999</v>
      </c>
      <c r="Q10788">
        <v>2.7548670000000001E-2</v>
      </c>
      <c r="R10788">
        <v>-1.313751E-2</v>
      </c>
      <c r="S10788">
        <v>3.0101010000000001</v>
      </c>
      <c r="T10788">
        <v>-0.30444389999999999</v>
      </c>
      <c r="U10788">
        <v>-1.365662E-2</v>
      </c>
      <c r="V10788">
        <v>-3.059158E-2</v>
      </c>
      <c r="W10788">
        <v>4.7790739999999998E-2</v>
      </c>
      <c r="X10788">
        <v>0.99838879999999997</v>
      </c>
      <c r="Y10788">
        <v>-3.8492159999999997E-2</v>
      </c>
      <c r="Z10788">
        <v>6.3231190000000003E-3</v>
      </c>
      <c r="AA10788">
        <v>0.99923890000000004</v>
      </c>
      <c r="AB10788">
        <v>27</v>
      </c>
      <c r="AC10788">
        <v>0.69069999999999199</v>
      </c>
      <c r="AD10788">
        <v>-9.7011999999999807E-2</v>
      </c>
      <c r="AE10788">
        <v>3.9999999999906699E-3</v>
      </c>
      <c r="AF10788">
        <v>-3.3344585444870803E-2</v>
      </c>
      <c r="AG10788">
        <v>-9.7011999999999807E-2</v>
      </c>
      <c r="AH10788">
        <v>0.67652837545710198</v>
      </c>
      <c r="AI10788">
        <v>98.150640462012902</v>
      </c>
      <c r="AJ10788">
        <v>92.821698664045002</v>
      </c>
      <c r="AK10788">
        <v>0.68426152333820101</v>
      </c>
      <c r="AL10788">
        <v>87.260748895587895</v>
      </c>
      <c r="AM10788">
        <v>91.755047925409798</v>
      </c>
      <c r="AN10788">
        <v>0.99999999778104198</v>
      </c>
    </row>
    <row r="10789" spans="1:40" x14ac:dyDescent="0.25">
      <c r="A10789" t="str">
        <f>"20190312150930849"</f>
        <v>20190312150930849</v>
      </c>
      <c r="B10789" t="str">
        <f>"1552374570839650"</f>
        <v>1552374570839650</v>
      </c>
      <c r="C10789" t="s">
        <v>40</v>
      </c>
      <c r="D10789">
        <v>5.4530209999999997</v>
      </c>
      <c r="E10789">
        <v>0.49749100000000002</v>
      </c>
      <c r="F10789" t="s">
        <v>41</v>
      </c>
      <c r="G10789">
        <v>-137.2544</v>
      </c>
      <c r="H10789">
        <v>1.018467</v>
      </c>
      <c r="I10789">
        <v>137.3998</v>
      </c>
      <c r="J10789">
        <v>-137.92349999999999</v>
      </c>
      <c r="K10789">
        <v>1.114101</v>
      </c>
      <c r="L10789">
        <v>137.39590000000001</v>
      </c>
      <c r="M10789">
        <v>0.99894579999999999</v>
      </c>
      <c r="N10789">
        <v>0</v>
      </c>
      <c r="O10789">
        <v>-4.0592570000000001E-2</v>
      </c>
      <c r="P10789">
        <v>0.99959469999999995</v>
      </c>
      <c r="Q10789">
        <v>2.5989870000000002E-2</v>
      </c>
      <c r="R10789">
        <v>-1.1629E-2</v>
      </c>
      <c r="S10789">
        <v>3.009811</v>
      </c>
      <c r="T10789">
        <v>-0.31078309999999998</v>
      </c>
      <c r="U10789">
        <v>-1.138306E-2</v>
      </c>
      <c r="V10789">
        <v>-2.9238380000000001E-2</v>
      </c>
      <c r="W10789">
        <v>4.7242520000000003E-2</v>
      </c>
      <c r="X10789">
        <v>0.99845550000000005</v>
      </c>
      <c r="Y10789">
        <v>-3.641341E-2</v>
      </c>
      <c r="Z10789">
        <v>6.0553150000000004E-3</v>
      </c>
      <c r="AA10789">
        <v>0.9993185</v>
      </c>
      <c r="AB10789">
        <v>27</v>
      </c>
      <c r="AC10789">
        <v>0.66909999999998604</v>
      </c>
      <c r="AD10789">
        <v>-9.5633999999999997E-2</v>
      </c>
      <c r="AE10789">
        <v>3.8999999999873498E-3</v>
      </c>
      <c r="AF10789">
        <v>-3.0441650496135699E-2</v>
      </c>
      <c r="AG10789">
        <v>-9.5633999999999997E-2</v>
      </c>
      <c r="AH10789">
        <v>0.65500932323994299</v>
      </c>
      <c r="AI10789">
        <v>98.297889473872701</v>
      </c>
      <c r="AJ10789">
        <v>92.660914715769593</v>
      </c>
      <c r="AK10789">
        <v>0.66265358187530898</v>
      </c>
      <c r="AL10789">
        <v>87.292195282541499</v>
      </c>
      <c r="AM10789">
        <v>91.6773478289238</v>
      </c>
      <c r="AN10789">
        <v>1.00000006202061</v>
      </c>
    </row>
    <row r="10790" spans="1:40" x14ac:dyDescent="0.25">
      <c r="A10790" t="str">
        <f>"20190312150930870"</f>
        <v>20190312150930870</v>
      </c>
      <c r="B10790" t="str">
        <f>"1552374570860145"</f>
        <v>1552374570860145</v>
      </c>
      <c r="C10790" t="s">
        <v>40</v>
      </c>
      <c r="D10790">
        <v>4.9876180000000003</v>
      </c>
      <c r="E10790">
        <v>0.497867</v>
      </c>
      <c r="F10790" t="s">
        <v>41</v>
      </c>
      <c r="G10790">
        <v>-137.02029999999999</v>
      </c>
      <c r="H10790">
        <v>1.0209060000000001</v>
      </c>
      <c r="I10790">
        <v>137.3931</v>
      </c>
      <c r="J10790">
        <v>-137.6678</v>
      </c>
      <c r="K10790">
        <v>1.1140639999999999</v>
      </c>
      <c r="L10790">
        <v>137.38919999999999</v>
      </c>
      <c r="M10790">
        <v>0.99903140000000001</v>
      </c>
      <c r="N10790">
        <v>0</v>
      </c>
      <c r="O10790">
        <v>-3.7870170000000002E-2</v>
      </c>
      <c r="P10790">
        <v>0.999641</v>
      </c>
      <c r="Q10790">
        <v>2.5140539999999999E-2</v>
      </c>
      <c r="R10790">
        <v>-9.2833069999999993E-3</v>
      </c>
      <c r="S10790">
        <v>3.009201</v>
      </c>
      <c r="T10790">
        <v>-0.31070740000000002</v>
      </c>
      <c r="U10790">
        <v>-9.0026859999999993E-3</v>
      </c>
      <c r="V10790">
        <v>-2.8844450000000001E-2</v>
      </c>
      <c r="W10790">
        <v>4.738208E-2</v>
      </c>
      <c r="X10790">
        <v>0.99846029999999997</v>
      </c>
      <c r="Y10790">
        <v>-3.4505220000000003E-2</v>
      </c>
      <c r="Z10790">
        <v>5.6766849999999999E-3</v>
      </c>
      <c r="AA10790">
        <v>0.99938839999999995</v>
      </c>
      <c r="AB10790">
        <v>26</v>
      </c>
      <c r="AC10790">
        <v>0.64750000000000696</v>
      </c>
      <c r="AD10790">
        <v>-9.3158000000000005E-2</v>
      </c>
      <c r="AE10790">
        <v>3.9000000000157702E-3</v>
      </c>
      <c r="AF10790">
        <v>-2.78478770909611E-2</v>
      </c>
      <c r="AG10790">
        <v>-9.3158000000000005E-2</v>
      </c>
      <c r="AH10790">
        <v>0.63376930391182795</v>
      </c>
      <c r="AI10790">
        <v>98.354101438079994</v>
      </c>
      <c r="AJ10790">
        <v>92.515963039376203</v>
      </c>
      <c r="AK10790">
        <v>0.64118441013748595</v>
      </c>
      <c r="AL10790">
        <v>87.284189997719196</v>
      </c>
      <c r="AM10790">
        <v>91.654753546386502</v>
      </c>
      <c r="AN10790">
        <v>1.0000000172385</v>
      </c>
    </row>
    <row r="10791" spans="1:40" x14ac:dyDescent="0.25">
      <c r="A10791" t="str">
        <f>"20190312150930894"</f>
        <v>20190312150930894</v>
      </c>
      <c r="B10791" t="str">
        <f>"1552374570890401"</f>
        <v>1552374570890401</v>
      </c>
      <c r="C10791" t="s">
        <v>40</v>
      </c>
      <c r="D10791">
        <v>5.3164879999999997</v>
      </c>
      <c r="E10791">
        <v>0.49843110000000002</v>
      </c>
      <c r="F10791" t="s">
        <v>41</v>
      </c>
      <c r="G10791">
        <v>-136.78989999999999</v>
      </c>
      <c r="H10791">
        <v>1.022</v>
      </c>
      <c r="I10791">
        <v>137.3878</v>
      </c>
      <c r="J10791">
        <v>-137.40729999999999</v>
      </c>
      <c r="K10791">
        <v>1.1139969999999999</v>
      </c>
      <c r="L10791">
        <v>137.38290000000001</v>
      </c>
      <c r="M10791">
        <v>0.99910650000000001</v>
      </c>
      <c r="N10791">
        <v>0</v>
      </c>
      <c r="O10791">
        <v>-3.5186059999999998E-2</v>
      </c>
      <c r="P10791">
        <v>0.99967289999999998</v>
      </c>
      <c r="Q10791">
        <v>2.4725210000000001E-2</v>
      </c>
      <c r="R10791">
        <v>-6.5638340000000002E-3</v>
      </c>
      <c r="S10791">
        <v>3.0089570000000001</v>
      </c>
      <c r="T10791">
        <v>-0.31557099999999999</v>
      </c>
      <c r="U10791">
        <v>-4.7760009999999898E-3</v>
      </c>
      <c r="V10791">
        <v>-2.886172E-2</v>
      </c>
      <c r="W10791">
        <v>4.7977440000000003E-2</v>
      </c>
      <c r="X10791">
        <v>0.99843130000000002</v>
      </c>
      <c r="Y10791">
        <v>-3.3234149999999997E-2</v>
      </c>
      <c r="Z10791">
        <v>5.4185190000000001E-3</v>
      </c>
      <c r="AA10791">
        <v>0.99943289999999996</v>
      </c>
      <c r="AB10791">
        <v>26</v>
      </c>
      <c r="AC10791">
        <v>0.61740000000000295</v>
      </c>
      <c r="AD10791">
        <v>-9.1996999999999801E-2</v>
      </c>
      <c r="AE10791">
        <v>4.8999999999921303E-3</v>
      </c>
      <c r="AF10791">
        <v>-2.6048472896493001E-2</v>
      </c>
      <c r="AG10791">
        <v>-9.1996999999999801E-2</v>
      </c>
      <c r="AH10791">
        <v>0.60344744963135999</v>
      </c>
      <c r="AI10791">
        <v>98.660192899467205</v>
      </c>
      <c r="AJ10791">
        <v>92.471700921019604</v>
      </c>
      <c r="AK10791">
        <v>0.61097528216437003</v>
      </c>
      <c r="AL10791">
        <v>87.2500393496085</v>
      </c>
      <c r="AM10791">
        <v>91.655791808733596</v>
      </c>
      <c r="AN10791">
        <v>0.99999994722499896</v>
      </c>
    </row>
    <row r="10792" spans="1:40" x14ac:dyDescent="0.25">
      <c r="A10792" t="str">
        <f>"20190312150930917"</f>
        <v>20190312150930917</v>
      </c>
      <c r="B10792" t="str">
        <f>"1552374570909922"</f>
        <v>1552374570909922</v>
      </c>
      <c r="C10792" t="s">
        <v>40</v>
      </c>
      <c r="D10792">
        <v>4.9024190000000001</v>
      </c>
      <c r="E10792">
        <v>0.4989325</v>
      </c>
      <c r="F10792" t="s">
        <v>42</v>
      </c>
      <c r="G10792">
        <v>-126.7135</v>
      </c>
      <c r="H10792" s="1">
        <v>-1.7891130000000001E-6</v>
      </c>
      <c r="I10792">
        <v>137.37870000000001</v>
      </c>
      <c r="J10792">
        <v>-137.14259999999999</v>
      </c>
      <c r="K10792">
        <v>1.1139129999999999</v>
      </c>
      <c r="L10792">
        <v>137.37710000000001</v>
      </c>
      <c r="M10792">
        <v>0.99917029999999996</v>
      </c>
      <c r="N10792">
        <v>0</v>
      </c>
      <c r="O10792">
        <v>-3.2574180000000001E-2</v>
      </c>
      <c r="P10792">
        <v>0.99971869999999996</v>
      </c>
      <c r="Q10792">
        <v>2.334224E-2</v>
      </c>
      <c r="R10792">
        <v>-4.2214449999999999E-3</v>
      </c>
      <c r="S10792">
        <v>3.0087280000000001</v>
      </c>
      <c r="T10792">
        <v>-0.31342490000000001</v>
      </c>
      <c r="U10792">
        <v>-1.1749270000000001E-3</v>
      </c>
      <c r="V10792">
        <v>-2.8567950000000002E-2</v>
      </c>
      <c r="W10792">
        <v>4.7643089999999999E-2</v>
      </c>
      <c r="X10792">
        <v>0.9984558</v>
      </c>
      <c r="Y10792">
        <v>-3.1845030000000003E-2</v>
      </c>
      <c r="Z10792">
        <v>5.0389170000000004E-3</v>
      </c>
      <c r="AA10792">
        <v>0.99948009999999998</v>
      </c>
      <c r="AB10792">
        <v>26</v>
      </c>
      <c r="AC10792">
        <v>10.429099999999901</v>
      </c>
      <c r="AD10792">
        <v>-1.1139147891129999</v>
      </c>
      <c r="AE10792">
        <v>1.59999999999627E-3</v>
      </c>
      <c r="AF10792">
        <v>-0.33756909563341803</v>
      </c>
      <c r="AG10792">
        <v>-1.1139147891129999</v>
      </c>
      <c r="AH10792">
        <v>10.305939682653401</v>
      </c>
      <c r="AI10792">
        <v>96.165570467543006</v>
      </c>
      <c r="AJ10792">
        <v>91.876041639573799</v>
      </c>
      <c r="AK10792">
        <v>10.371458518174901</v>
      </c>
      <c r="AL10792">
        <v>87.269218238666795</v>
      </c>
      <c r="AM10792">
        <v>91.6389073203256</v>
      </c>
      <c r="AN10792">
        <v>0.99999998817279501</v>
      </c>
    </row>
    <row r="10793" spans="1:40" x14ac:dyDescent="0.25">
      <c r="A10793" t="str">
        <f>"20190312150930939"</f>
        <v>20190312150930939</v>
      </c>
      <c r="B10793" t="str">
        <f>"1552374570929443"</f>
        <v>1552374570929443</v>
      </c>
      <c r="C10793" t="s">
        <v>40</v>
      </c>
      <c r="D10793">
        <v>4.9752099999999997</v>
      </c>
      <c r="E10793">
        <v>0.49952970000000002</v>
      </c>
      <c r="F10793" t="s">
        <v>42</v>
      </c>
      <c r="G10793">
        <v>-126.4706</v>
      </c>
      <c r="H10793" s="1">
        <v>-1.892253E-6</v>
      </c>
      <c r="I10793">
        <v>137.38470000000001</v>
      </c>
      <c r="J10793">
        <v>-136.90309999999999</v>
      </c>
      <c r="K10793">
        <v>1.113836</v>
      </c>
      <c r="L10793">
        <v>137.37219999999999</v>
      </c>
      <c r="M10793">
        <v>0.9992164</v>
      </c>
      <c r="N10793">
        <v>0</v>
      </c>
      <c r="O10793">
        <v>-3.034856E-2</v>
      </c>
      <c r="P10793">
        <v>0.99975740000000002</v>
      </c>
      <c r="Q10793">
        <v>2.1939589999999998E-2</v>
      </c>
      <c r="R10793">
        <v>-1.9676699999999999E-3</v>
      </c>
      <c r="S10793">
        <v>3.0081790000000002</v>
      </c>
      <c r="T10793">
        <v>-0.31398379999999998</v>
      </c>
      <c r="U10793">
        <v>2.1514889999999999E-3</v>
      </c>
      <c r="V10793">
        <v>-2.857473E-2</v>
      </c>
      <c r="W10793">
        <v>4.7208229999999997E-2</v>
      </c>
      <c r="X10793">
        <v>0.99847629999999998</v>
      </c>
      <c r="Y10793">
        <v>-3.0741350000000001E-2</v>
      </c>
      <c r="Z10793">
        <v>4.7597610000000004E-3</v>
      </c>
      <c r="AA10793">
        <v>0.99951599999999996</v>
      </c>
      <c r="AB10793">
        <v>25</v>
      </c>
      <c r="AC10793">
        <v>10.4324999999999</v>
      </c>
      <c r="AD10793">
        <v>-1.1138378922529999</v>
      </c>
      <c r="AE10793">
        <v>1.2500000000016999E-2</v>
      </c>
      <c r="AF10793">
        <v>-0.32549749026647001</v>
      </c>
      <c r="AG10793">
        <v>-1.1138378922529999</v>
      </c>
      <c r="AH10793">
        <v>10.3097907059727</v>
      </c>
      <c r="AI10793">
        <v>96.163095444972598</v>
      </c>
      <c r="AJ10793">
        <v>91.808323776455097</v>
      </c>
      <c r="AK10793">
        <v>10.3748912219526</v>
      </c>
      <c r="AL10793">
        <v>87.294162054159102</v>
      </c>
      <c r="AM10793">
        <v>91.639262429692707</v>
      </c>
      <c r="AN10793">
        <v>1.0000000269179901</v>
      </c>
    </row>
    <row r="10794" spans="1:40" x14ac:dyDescent="0.25">
      <c r="A10794" t="str">
        <f>"20190312150930960"</f>
        <v>20190312150930960</v>
      </c>
      <c r="B10794" t="str">
        <f>"1552374570949938"</f>
        <v>1552374570949938</v>
      </c>
      <c r="C10794" t="s">
        <v>40</v>
      </c>
      <c r="D10794">
        <v>4.9207229999999997</v>
      </c>
      <c r="E10794">
        <v>0.50004759999999904</v>
      </c>
      <c r="F10794" t="s">
        <v>42</v>
      </c>
      <c r="G10794">
        <v>-126.25149999999999</v>
      </c>
      <c r="H10794" s="1">
        <v>-1.9858499999999998E-6</v>
      </c>
      <c r="I10794">
        <v>137.387</v>
      </c>
      <c r="J10794">
        <v>-136.67250000000001</v>
      </c>
      <c r="K10794">
        <v>1.113769</v>
      </c>
      <c r="L10794">
        <v>137.36779999999999</v>
      </c>
      <c r="M10794">
        <v>0.99925079999999999</v>
      </c>
      <c r="N10794">
        <v>0</v>
      </c>
      <c r="O10794">
        <v>-2.8357779999999999E-2</v>
      </c>
      <c r="P10794">
        <v>0.99978250000000002</v>
      </c>
      <c r="Q10794">
        <v>2.0847729999999998E-2</v>
      </c>
      <c r="R10794">
        <v>-6.396679E-4</v>
      </c>
      <c r="S10794">
        <v>3.00766</v>
      </c>
      <c r="T10794">
        <v>-0.31450840000000002</v>
      </c>
      <c r="U10794">
        <v>4.1809079999999997E-3</v>
      </c>
      <c r="V10794">
        <v>-2.7891220000000001E-2</v>
      </c>
      <c r="W10794">
        <v>4.7065339999999997E-2</v>
      </c>
      <c r="X10794">
        <v>0.99850240000000001</v>
      </c>
      <c r="Y10794">
        <v>-2.944194E-2</v>
      </c>
      <c r="Z10794">
        <v>4.4932009999999996E-3</v>
      </c>
      <c r="AA10794">
        <v>0.99955640000000001</v>
      </c>
      <c r="AB10794">
        <v>25</v>
      </c>
      <c r="AC10794">
        <v>10.420999999999999</v>
      </c>
      <c r="AD10794">
        <v>-1.11377098585</v>
      </c>
      <c r="AE10794">
        <v>1.9200000000011999E-2</v>
      </c>
      <c r="AF10794">
        <v>-0.31125584328579098</v>
      </c>
      <c r="AG10794">
        <v>-1.11377098585</v>
      </c>
      <c r="AH10794">
        <v>10.298622668623</v>
      </c>
      <c r="AI10794">
        <v>96.169614418917007</v>
      </c>
      <c r="AJ10794">
        <v>91.731126556364202</v>
      </c>
      <c r="AK10794">
        <v>10.363348632540401</v>
      </c>
      <c r="AL10794">
        <v>87.302358233024194</v>
      </c>
      <c r="AM10794">
        <v>91.600029961961596</v>
      </c>
      <c r="AN10794">
        <v>1.0000000545940799</v>
      </c>
    </row>
    <row r="10795" spans="1:40" x14ac:dyDescent="0.25">
      <c r="A10795" t="str">
        <f>"20190312150930984"</f>
        <v>20190312150930984</v>
      </c>
      <c r="B10795" t="str">
        <f>"1552374570980194"</f>
        <v>1552374570980194</v>
      </c>
      <c r="C10795" t="s">
        <v>40</v>
      </c>
      <c r="D10795">
        <v>5.447514</v>
      </c>
      <c r="E10795">
        <v>0.50089529999999904</v>
      </c>
      <c r="F10795" t="s">
        <v>42</v>
      </c>
      <c r="G10795">
        <v>-126.0176</v>
      </c>
      <c r="H10795" s="1">
        <v>-2.0869910000000001E-6</v>
      </c>
      <c r="I10795">
        <v>137.38249999999999</v>
      </c>
      <c r="J10795">
        <v>-136.4247</v>
      </c>
      <c r="K10795">
        <v>1.1136919999999999</v>
      </c>
      <c r="L10795">
        <v>137.36340000000001</v>
      </c>
      <c r="M10795">
        <v>0.99927730000000003</v>
      </c>
      <c r="N10795">
        <v>0</v>
      </c>
      <c r="O10795">
        <v>-2.639768E-2</v>
      </c>
      <c r="P10795">
        <v>0.99978829999999996</v>
      </c>
      <c r="Q10795">
        <v>2.0548670000000002E-2</v>
      </c>
      <c r="R10795">
        <v>1.0619339999999901E-3</v>
      </c>
      <c r="S10795">
        <v>3.0072169999999998</v>
      </c>
      <c r="T10795">
        <v>-0.31434820000000002</v>
      </c>
      <c r="U10795">
        <v>4.1503909999999998E-3</v>
      </c>
      <c r="V10795">
        <v>-2.7613639999999998E-2</v>
      </c>
      <c r="W10795">
        <v>4.7789789999999999E-2</v>
      </c>
      <c r="X10795">
        <v>0.99847569999999997</v>
      </c>
      <c r="Y10795">
        <v>-2.7493529999999999E-2</v>
      </c>
      <c r="Z10795">
        <v>4.1857489999999999E-3</v>
      </c>
      <c r="AA10795">
        <v>0.99961319999999998</v>
      </c>
      <c r="AB10795">
        <v>25</v>
      </c>
      <c r="AC10795">
        <v>10.4071</v>
      </c>
      <c r="AD10795">
        <v>-1.1136940869909999</v>
      </c>
      <c r="AE10795">
        <v>1.9099999999980299E-2</v>
      </c>
      <c r="AF10795">
        <v>-0.29059166843533502</v>
      </c>
      <c r="AG10795">
        <v>-1.1136940869909999</v>
      </c>
      <c r="AH10795">
        <v>10.2851831507091</v>
      </c>
      <c r="AI10795">
        <v>96.177543346947999</v>
      </c>
      <c r="AJ10795">
        <v>91.618371574377406</v>
      </c>
      <c r="AK10795">
        <v>10.3493840628703</v>
      </c>
      <c r="AL10795">
        <v>87.260803532857395</v>
      </c>
      <c r="AM10795">
        <v>91.584156579669894</v>
      </c>
      <c r="AN10795">
        <v>1.0000000503163899</v>
      </c>
    </row>
    <row r="10796" spans="1:40" x14ac:dyDescent="0.25">
      <c r="A10796" t="str">
        <f>"20190312150931006"</f>
        <v>20190312150931006</v>
      </c>
      <c r="B10796" t="str">
        <f>"1552374570999714"</f>
        <v>1552374570999714</v>
      </c>
      <c r="C10796" t="s">
        <v>40</v>
      </c>
      <c r="D10796">
        <v>5.3417949999999896</v>
      </c>
      <c r="E10796">
        <v>0.50140390000000001</v>
      </c>
      <c r="F10796" t="s">
        <v>42</v>
      </c>
      <c r="G10796">
        <v>-125.63849999999999</v>
      </c>
      <c r="H10796" s="1">
        <v>-2.2512519999999999E-6</v>
      </c>
      <c r="I10796">
        <v>137.3732</v>
      </c>
      <c r="J10796">
        <v>-136.19069999999999</v>
      </c>
      <c r="K10796">
        <v>1.1136109999999999</v>
      </c>
      <c r="L10796">
        <v>137.3595</v>
      </c>
      <c r="M10796">
        <v>0.99929349999999995</v>
      </c>
      <c r="N10796">
        <v>0</v>
      </c>
      <c r="O10796">
        <v>-2.4743339999999999E-2</v>
      </c>
      <c r="P10796">
        <v>0.99979280000000004</v>
      </c>
      <c r="Q10796">
        <v>2.0280800000000002E-2</v>
      </c>
      <c r="R10796">
        <v>1.8597150000000001E-3</v>
      </c>
      <c r="S10796">
        <v>3.0070190000000001</v>
      </c>
      <c r="T10796">
        <v>-0.3104808</v>
      </c>
      <c r="U10796">
        <v>2.7313229999999999E-3</v>
      </c>
      <c r="V10796">
        <v>-2.6738129999999999E-2</v>
      </c>
      <c r="W10796">
        <v>4.8478489999999999E-2</v>
      </c>
      <c r="X10796">
        <v>0.99846630000000003</v>
      </c>
      <c r="Y10796">
        <v>-2.5394690000000001E-2</v>
      </c>
      <c r="Z10796">
        <v>3.856408E-3</v>
      </c>
      <c r="AA10796">
        <v>0.99967010000000001</v>
      </c>
      <c r="AB10796">
        <v>24</v>
      </c>
      <c r="AC10796">
        <v>10.552199999999999</v>
      </c>
      <c r="AD10796">
        <v>-1.1136132512520001</v>
      </c>
      <c r="AE10796">
        <v>1.37E-2</v>
      </c>
      <c r="AF10796">
        <v>-0.27186910847441997</v>
      </c>
      <c r="AG10796">
        <v>-1.1136132512520001</v>
      </c>
      <c r="AH10796">
        <v>10.4324378438337</v>
      </c>
      <c r="AI10796">
        <v>96.090927974537195</v>
      </c>
      <c r="AJ10796">
        <v>91.492788928650796</v>
      </c>
      <c r="AK10796">
        <v>10.4952278036716</v>
      </c>
      <c r="AL10796">
        <v>87.221298060248799</v>
      </c>
      <c r="AM10796">
        <v>91.533968598353397</v>
      </c>
      <c r="AN10796">
        <v>1.0000000219121301</v>
      </c>
    </row>
    <row r="10797" spans="1:40" x14ac:dyDescent="0.25">
      <c r="A10797" t="str">
        <f>"20190312150931028"</f>
        <v>20190312150931028</v>
      </c>
      <c r="B10797" t="str">
        <f>"1552374571020210"</f>
        <v>1552374571020210</v>
      </c>
      <c r="C10797" t="s">
        <v>40</v>
      </c>
      <c r="D10797">
        <v>5.3467250000000002</v>
      </c>
      <c r="E10797">
        <v>0.50191560000000002</v>
      </c>
      <c r="F10797" t="s">
        <v>41</v>
      </c>
      <c r="G10797">
        <v>-135.27529999999999</v>
      </c>
      <c r="H10797">
        <v>1.018926</v>
      </c>
      <c r="I10797">
        <v>137.35980000000001</v>
      </c>
      <c r="J10797">
        <v>-135.96209999999999</v>
      </c>
      <c r="K10797">
        <v>1.113521</v>
      </c>
      <c r="L10797">
        <v>137.35579999999999</v>
      </c>
      <c r="M10797">
        <v>0.99930189999999997</v>
      </c>
      <c r="N10797">
        <v>0</v>
      </c>
      <c r="O10797">
        <v>-2.3316900000000002E-2</v>
      </c>
      <c r="P10797">
        <v>0.99982009999999999</v>
      </c>
      <c r="Q10797">
        <v>1.886641E-2</v>
      </c>
      <c r="R10797">
        <v>2.0086209999999999E-3</v>
      </c>
      <c r="S10797">
        <v>3.0069270000000001</v>
      </c>
      <c r="T10797">
        <v>-0.31111319999999998</v>
      </c>
      <c r="U10797">
        <v>1.403809E-3</v>
      </c>
      <c r="V10797">
        <v>-2.5439429999999999E-2</v>
      </c>
      <c r="W10797">
        <v>4.7978399999999997E-2</v>
      </c>
      <c r="X10797">
        <v>0.99852439999999998</v>
      </c>
      <c r="Y10797">
        <v>-2.3543379999999999E-2</v>
      </c>
      <c r="Z10797">
        <v>3.6216590000000002E-3</v>
      </c>
      <c r="AA10797">
        <v>0.9997163</v>
      </c>
      <c r="AB10797">
        <v>23</v>
      </c>
      <c r="AC10797">
        <v>0.68680000000000496</v>
      </c>
      <c r="AD10797">
        <v>-9.4594999999999901E-2</v>
      </c>
      <c r="AE10797">
        <v>4.0000000000190898E-3</v>
      </c>
      <c r="AF10797">
        <v>-1.9647085289108902E-2</v>
      </c>
      <c r="AG10797">
        <v>-9.4594999999999901E-2</v>
      </c>
      <c r="AH10797">
        <v>0.67373916171679404</v>
      </c>
      <c r="AI10797">
        <v>97.988903306980006</v>
      </c>
      <c r="AJ10797">
        <v>91.670343961277695</v>
      </c>
      <c r="AK10797">
        <v>0.68063108951634399</v>
      </c>
      <c r="AL10797">
        <v>87.249984522241803</v>
      </c>
      <c r="AM10797">
        <v>91.459410241066294</v>
      </c>
      <c r="AN10797">
        <v>1.0000000344303199</v>
      </c>
    </row>
    <row r="10798" spans="1:40" x14ac:dyDescent="0.25">
      <c r="A10798" t="str">
        <f>"20190312150931050"</f>
        <v>20190312150931050</v>
      </c>
      <c r="B10798" t="str">
        <f>"1552374571039731"</f>
        <v>1552374571039731</v>
      </c>
      <c r="C10798" t="s">
        <v>40</v>
      </c>
      <c r="D10798">
        <v>4.9608030000000003</v>
      </c>
      <c r="E10798">
        <v>0.50239709999999904</v>
      </c>
      <c r="F10798" t="s">
        <v>41</v>
      </c>
      <c r="G10798">
        <v>-135.0711</v>
      </c>
      <c r="H10798">
        <v>1.0208999999999999</v>
      </c>
      <c r="I10798">
        <v>137.35509999999999</v>
      </c>
      <c r="J10798">
        <v>-135.73840000000001</v>
      </c>
      <c r="K10798">
        <v>1.1134389999999901</v>
      </c>
      <c r="L10798">
        <v>137.35220000000001</v>
      </c>
      <c r="M10798">
        <v>0.99930469999999905</v>
      </c>
      <c r="N10798">
        <v>0</v>
      </c>
      <c r="O10798">
        <v>-2.208543E-2</v>
      </c>
      <c r="P10798">
        <v>0.99984289999999998</v>
      </c>
      <c r="Q10798">
        <v>1.7632640000000002E-2</v>
      </c>
      <c r="R10798">
        <v>1.8639209999999999E-3</v>
      </c>
      <c r="S10798">
        <v>3.006424</v>
      </c>
      <c r="T10798">
        <v>-0.3125907</v>
      </c>
      <c r="U10798">
        <v>-2.120972E-3</v>
      </c>
      <c r="V10798">
        <v>-2.4043809999999999E-2</v>
      </c>
      <c r="W10798">
        <v>4.7610699999999999E-2</v>
      </c>
      <c r="X10798">
        <v>0.99857649999999998</v>
      </c>
      <c r="Y10798">
        <v>-2.1156939999999999E-2</v>
      </c>
      <c r="Z10798">
        <v>3.3879639999999998E-3</v>
      </c>
      <c r="AA10798">
        <v>0.99977039999999995</v>
      </c>
      <c r="AB10798">
        <v>23</v>
      </c>
      <c r="AC10798">
        <v>0.667300000000011</v>
      </c>
      <c r="AD10798">
        <v>-9.2538999999999899E-2</v>
      </c>
      <c r="AE10798">
        <v>2.8999999999825801E-3</v>
      </c>
      <c r="AF10798">
        <v>-1.7310654091455002E-2</v>
      </c>
      <c r="AG10798">
        <v>-9.2538999999999899E-2</v>
      </c>
      <c r="AH10798">
        <v>0.65448665903121805</v>
      </c>
      <c r="AI10798">
        <v>98.0450260630777</v>
      </c>
      <c r="AJ10798">
        <v>91.515074787635299</v>
      </c>
      <c r="AK10798">
        <v>0.66122304263835197</v>
      </c>
      <c r="AL10798">
        <v>87.271076066638798</v>
      </c>
      <c r="AM10798">
        <v>91.379306146453303</v>
      </c>
      <c r="AN10798">
        <v>0.99999995495302696</v>
      </c>
    </row>
    <row r="10799" spans="1:40" x14ac:dyDescent="0.25">
      <c r="A10799" t="str">
        <f>"20190312150931071"</f>
        <v>20190312150931071</v>
      </c>
      <c r="B10799" t="str">
        <f>"1552374571060226"</f>
        <v>1552374571060226</v>
      </c>
      <c r="C10799" t="s">
        <v>40</v>
      </c>
      <c r="D10799">
        <v>4.9521160000000002</v>
      </c>
      <c r="E10799">
        <v>0.50280190000000002</v>
      </c>
      <c r="F10799" t="s">
        <v>41</v>
      </c>
      <c r="G10799">
        <v>-134.87039999999999</v>
      </c>
      <c r="H10799">
        <v>1.0230410000000001</v>
      </c>
      <c r="I10799">
        <v>137.35040000000001</v>
      </c>
      <c r="J10799">
        <v>-135.52269999999999</v>
      </c>
      <c r="K10799">
        <v>1.1133679999999999</v>
      </c>
      <c r="L10799">
        <v>137.34889999999999</v>
      </c>
      <c r="M10799">
        <v>0.99930289999999999</v>
      </c>
      <c r="N10799">
        <v>0</v>
      </c>
      <c r="O10799">
        <v>-2.1055290000000001E-2</v>
      </c>
      <c r="P10799">
        <v>0.99984530000000005</v>
      </c>
      <c r="Q10799">
        <v>1.7465370000000001E-2</v>
      </c>
      <c r="R10799">
        <v>2.013328E-3</v>
      </c>
      <c r="S10799">
        <v>3.006027</v>
      </c>
      <c r="T10799">
        <v>-0.31304310000000002</v>
      </c>
      <c r="U10799">
        <v>-6.286621E-3</v>
      </c>
      <c r="V10799">
        <v>-2.314745E-2</v>
      </c>
      <c r="W10799">
        <v>4.8235590000000002E-2</v>
      </c>
      <c r="X10799">
        <v>0.99856780000000001</v>
      </c>
      <c r="Y10799">
        <v>-1.8759040000000001E-2</v>
      </c>
      <c r="Z10799">
        <v>3.1617910000000002E-3</v>
      </c>
      <c r="AA10799">
        <v>0.99981900000000001</v>
      </c>
      <c r="AB10799">
        <v>23</v>
      </c>
      <c r="AC10799">
        <v>0.65229999999999599</v>
      </c>
      <c r="AD10799">
        <v>-9.0327000000000005E-2</v>
      </c>
      <c r="AE10799">
        <v>1.5000000000213701E-3</v>
      </c>
      <c r="AF10799">
        <v>-1.4953822607409E-2</v>
      </c>
      <c r="AG10799">
        <v>-9.0327000000000005E-2</v>
      </c>
      <c r="AH10799">
        <v>0.63985437272184698</v>
      </c>
      <c r="AI10799">
        <v>98.033073352440098</v>
      </c>
      <c r="AJ10799">
        <v>91.338796796533302</v>
      </c>
      <c r="AK10799">
        <v>0.64637156653958905</v>
      </c>
      <c r="AL10799">
        <v>87.235231621514103</v>
      </c>
      <c r="AM10799">
        <v>91.327915558332506</v>
      </c>
      <c r="AN10799">
        <v>1.00000006389049</v>
      </c>
    </row>
    <row r="10800" spans="1:40" x14ac:dyDescent="0.25">
      <c r="A10800" t="str">
        <f>"20190312150931095"</f>
        <v>20190312150931095</v>
      </c>
      <c r="B10800" t="str">
        <f>"1552374571090482"</f>
        <v>1552374571090482</v>
      </c>
      <c r="C10800" t="s">
        <v>40</v>
      </c>
      <c r="D10800">
        <v>4.9970169999999996</v>
      </c>
      <c r="E10800">
        <v>0.50323499999999999</v>
      </c>
      <c r="F10800" t="s">
        <v>41</v>
      </c>
      <c r="G10800">
        <v>-134.6737</v>
      </c>
      <c r="H10800">
        <v>1.0245690000000001</v>
      </c>
      <c r="I10800">
        <v>137.34639999999999</v>
      </c>
      <c r="J10800">
        <v>-135.29859999999999</v>
      </c>
      <c r="K10800">
        <v>1.1132959999999901</v>
      </c>
      <c r="L10800">
        <v>137.34549999999999</v>
      </c>
      <c r="M10800">
        <v>0.99929780000000001</v>
      </c>
      <c r="N10800">
        <v>0</v>
      </c>
      <c r="O10800">
        <v>-2.0163279999999999E-2</v>
      </c>
      <c r="P10800">
        <v>0.9998416</v>
      </c>
      <c r="Q10800">
        <v>1.770948E-2</v>
      </c>
      <c r="R10800">
        <v>1.7905760000000001E-3</v>
      </c>
      <c r="S10800">
        <v>3.0059809999999998</v>
      </c>
      <c r="T10800">
        <v>-0.31439210000000001</v>
      </c>
      <c r="U10800">
        <v>-9.1400149999999996E-3</v>
      </c>
      <c r="V10800">
        <v>-2.201786E-2</v>
      </c>
      <c r="W10800">
        <v>4.9246239999999997E-2</v>
      </c>
      <c r="X10800">
        <v>0.99854399999999999</v>
      </c>
      <c r="Y10800">
        <v>-1.6930899999999999E-2</v>
      </c>
      <c r="Z10800">
        <v>2.9870220000000002E-3</v>
      </c>
      <c r="AA10800">
        <v>0.99985219999999997</v>
      </c>
      <c r="AB10800">
        <v>22</v>
      </c>
      <c r="AC10800">
        <v>0.62489999999999601</v>
      </c>
      <c r="AD10800">
        <v>-8.8726999999999695E-2</v>
      </c>
      <c r="AE10800">
        <v>9.0000000000145497E-4</v>
      </c>
      <c r="AF10800">
        <v>-1.3239236082523099E-2</v>
      </c>
      <c r="AG10800">
        <v>-8.8726999999999695E-2</v>
      </c>
      <c r="AH10800">
        <v>0.612408544077092</v>
      </c>
      <c r="AI10800">
        <v>98.241868522098898</v>
      </c>
      <c r="AJ10800">
        <v>91.238444861435298</v>
      </c>
      <c r="AK10800">
        <v>0.61894424850681995</v>
      </c>
      <c r="AL10800">
        <v>87.177256695713297</v>
      </c>
      <c r="AM10800">
        <v>91.263165227670797</v>
      </c>
      <c r="AN10800">
        <v>1.00000004912455</v>
      </c>
    </row>
    <row r="10801" spans="1:40" x14ac:dyDescent="0.25">
      <c r="A10801" t="str">
        <f>"20190312150931118"</f>
        <v>20190312150931118</v>
      </c>
      <c r="B10801" t="str">
        <f>"1552374571110002"</f>
        <v>1552374571110002</v>
      </c>
      <c r="C10801" t="s">
        <v>40</v>
      </c>
      <c r="D10801">
        <v>4.9666680000000003</v>
      </c>
      <c r="E10801">
        <v>0.50362629999999997</v>
      </c>
      <c r="F10801" t="s">
        <v>41</v>
      </c>
      <c r="G10801">
        <v>-134.4752</v>
      </c>
      <c r="H10801">
        <v>1.0260929999999999</v>
      </c>
      <c r="I10801">
        <v>137.34190000000001</v>
      </c>
      <c r="J10801">
        <v>-135.07550000000001</v>
      </c>
      <c r="K10801">
        <v>1.113227</v>
      </c>
      <c r="L10801">
        <v>137.34200000000001</v>
      </c>
      <c r="M10801">
        <v>0.9992896</v>
      </c>
      <c r="N10801">
        <v>0</v>
      </c>
      <c r="O10801">
        <v>-1.9458900000000001E-2</v>
      </c>
      <c r="P10801">
        <v>0.99984779999999995</v>
      </c>
      <c r="Q10801">
        <v>1.743368E-2</v>
      </c>
      <c r="R10801">
        <v>7.9124539999999904E-4</v>
      </c>
      <c r="S10801">
        <v>3.006119</v>
      </c>
      <c r="T10801">
        <v>-0.31845559999999901</v>
      </c>
      <c r="U10801">
        <v>-1.266479E-2</v>
      </c>
      <c r="V10801">
        <v>-2.0299000000000001E-2</v>
      </c>
      <c r="W10801">
        <v>4.9671060000000003E-2</v>
      </c>
      <c r="X10801">
        <v>0.99855939999999999</v>
      </c>
      <c r="Y10801">
        <v>-1.5063490000000001E-2</v>
      </c>
      <c r="Z10801">
        <v>2.852238E-3</v>
      </c>
      <c r="AA10801">
        <v>0.99988250000000001</v>
      </c>
      <c r="AB10801">
        <v>22</v>
      </c>
      <c r="AC10801">
        <v>0.60030000000000405</v>
      </c>
      <c r="AD10801">
        <v>-8.7134000000000003E-2</v>
      </c>
      <c r="AE10801">
        <v>-1.0000000000331901E-4</v>
      </c>
      <c r="AF10801">
        <v>-1.1348193059010201E-2</v>
      </c>
      <c r="AG10801">
        <v>-8.7134000000000003E-2</v>
      </c>
      <c r="AH10801">
        <v>0.58780387795719802</v>
      </c>
      <c r="AI10801">
        <v>98.430375046830704</v>
      </c>
      <c r="AJ10801">
        <v>91.106019928490099</v>
      </c>
      <c r="AK10801">
        <v>0.59433535515164004</v>
      </c>
      <c r="AL10801">
        <v>87.152886536683198</v>
      </c>
      <c r="AM10801">
        <v>91.164564534185402</v>
      </c>
      <c r="AN10801">
        <v>1.0000000694654301</v>
      </c>
    </row>
    <row r="10802" spans="1:40" x14ac:dyDescent="0.25">
      <c r="A10802" t="str">
        <f>"20190312150931144"</f>
        <v>20190312150931144</v>
      </c>
      <c r="B10802" t="str">
        <f>"1552374571140258"</f>
        <v>1552374571140258</v>
      </c>
      <c r="C10802" t="s">
        <v>40</v>
      </c>
      <c r="D10802">
        <v>4.9437430000000004</v>
      </c>
      <c r="E10802">
        <v>0.50413359999999996</v>
      </c>
      <c r="F10802" t="s">
        <v>42</v>
      </c>
      <c r="G10802">
        <v>-124.595</v>
      </c>
      <c r="H10802" s="1">
        <v>-2.7158170000000002E-6</v>
      </c>
      <c r="I10802">
        <v>137.27799999999999</v>
      </c>
      <c r="J10802">
        <v>-134.84610000000001</v>
      </c>
      <c r="K10802">
        <v>1.1131390000000001</v>
      </c>
      <c r="L10802">
        <v>137.33840000000001</v>
      </c>
      <c r="M10802">
        <v>0.99927900000000003</v>
      </c>
      <c r="N10802">
        <v>0</v>
      </c>
      <c r="O10802">
        <v>-1.892317E-2</v>
      </c>
      <c r="P10802">
        <v>0.99983730000000004</v>
      </c>
      <c r="Q10802">
        <v>1.8033420000000001E-2</v>
      </c>
      <c r="R10802">
        <v>-3.9848290000000001E-4</v>
      </c>
      <c r="S10802">
        <v>3.0060579999999999</v>
      </c>
      <c r="T10802">
        <v>-0.31929869999999999</v>
      </c>
      <c r="U10802">
        <v>-1.8341059999999999E-2</v>
      </c>
      <c r="V10802">
        <v>-1.8557000000000001E-2</v>
      </c>
      <c r="W10802">
        <v>5.0917360000000002E-2</v>
      </c>
      <c r="X10802">
        <v>0.99853040000000004</v>
      </c>
      <c r="Y10802">
        <v>-1.265525E-2</v>
      </c>
      <c r="Z10802">
        <v>2.6755199999999998E-3</v>
      </c>
      <c r="AA10802">
        <v>0.99991629999999998</v>
      </c>
      <c r="AB10802">
        <v>21</v>
      </c>
      <c r="AC10802">
        <v>10.251099999999999</v>
      </c>
      <c r="AD10802">
        <v>-1.1131417158169901</v>
      </c>
      <c r="AE10802">
        <v>-6.0400000000015497E-2</v>
      </c>
      <c r="AF10802">
        <v>-0.13214124369569599</v>
      </c>
      <c r="AG10802">
        <v>-1.1131417158169901</v>
      </c>
      <c r="AH10802">
        <v>10.130953539658</v>
      </c>
      <c r="AI10802">
        <v>96.269710845558507</v>
      </c>
      <c r="AJ10802">
        <v>90.747284668039995</v>
      </c>
      <c r="AK10802">
        <v>10.192780062891901</v>
      </c>
      <c r="AL10802">
        <v>87.081387972414106</v>
      </c>
      <c r="AM10802">
        <v>91.064680053762004</v>
      </c>
      <c r="AN10802">
        <v>0.99999994976126305</v>
      </c>
    </row>
    <row r="10803" spans="1:40" x14ac:dyDescent="0.25">
      <c r="A10803" t="str">
        <f>"20190312150931161"</f>
        <v>20190312150931161</v>
      </c>
      <c r="B10803" t="str">
        <f>"1552374571150019"</f>
        <v>1552374571150019</v>
      </c>
      <c r="C10803" t="s">
        <v>40</v>
      </c>
      <c r="D10803">
        <v>4.9612660000000002</v>
      </c>
      <c r="E10803">
        <v>0.50427479999999902</v>
      </c>
      <c r="F10803" t="s">
        <v>42</v>
      </c>
      <c r="G10803">
        <v>-124.3275</v>
      </c>
      <c r="H10803" s="1">
        <v>-2.8358890000000001E-6</v>
      </c>
      <c r="I10803">
        <v>137.24789999999999</v>
      </c>
      <c r="J10803">
        <v>-134.68600000000001</v>
      </c>
      <c r="K10803">
        <v>1.1130690000000001</v>
      </c>
      <c r="L10803">
        <v>137.33580000000001</v>
      </c>
      <c r="M10803">
        <v>0.99927049999999995</v>
      </c>
      <c r="N10803">
        <v>0</v>
      </c>
      <c r="O10803">
        <v>-1.8680889999999999E-2</v>
      </c>
      <c r="P10803">
        <v>0.99981019999999998</v>
      </c>
      <c r="Q10803">
        <v>1.9337610000000002E-2</v>
      </c>
      <c r="R10803">
        <v>-2.4444639999999999E-3</v>
      </c>
      <c r="S10803">
        <v>3.0062099999999998</v>
      </c>
      <c r="T10803">
        <v>-0.31813409999999998</v>
      </c>
      <c r="U10803">
        <v>-2.5848389999999999E-2</v>
      </c>
      <c r="V10803">
        <v>-1.6257199999999999E-2</v>
      </c>
      <c r="W10803">
        <v>5.2623580000000003E-2</v>
      </c>
      <c r="X10803">
        <v>0.99848210000000004</v>
      </c>
      <c r="Y10803">
        <v>-9.9342470000000002E-3</v>
      </c>
      <c r="Z10803">
        <v>2.4965209999999998E-3</v>
      </c>
      <c r="AA10803">
        <v>0.99994749999999999</v>
      </c>
      <c r="AB10803">
        <v>21</v>
      </c>
      <c r="AC10803">
        <v>10.358499999999999</v>
      </c>
      <c r="AD10803">
        <v>-1.1130718358889999</v>
      </c>
      <c r="AE10803">
        <v>-8.7900000000018894E-2</v>
      </c>
      <c r="AF10803">
        <v>-0.10452200820113999</v>
      </c>
      <c r="AG10803">
        <v>-1.1130718358889999</v>
      </c>
      <c r="AH10803">
        <v>10.2401038953602</v>
      </c>
      <c r="AI10803">
        <v>96.203221652823601</v>
      </c>
      <c r="AJ10803">
        <v>90.5848048059935</v>
      </c>
      <c r="AK10803">
        <v>10.300950516812399</v>
      </c>
      <c r="AL10803">
        <v>86.983497695125493</v>
      </c>
      <c r="AM10803">
        <v>90.932802549746498</v>
      </c>
      <c r="AN10803">
        <v>1.00000002087213</v>
      </c>
    </row>
    <row r="10804" spans="1:40" x14ac:dyDescent="0.25">
      <c r="A10804" t="str">
        <f>"20190312150931184"</f>
        <v>20190312150931184</v>
      </c>
      <c r="B10804" t="str">
        <f>"1552374571180274"</f>
        <v>1552374571180274</v>
      </c>
      <c r="C10804" t="s">
        <v>40</v>
      </c>
      <c r="D10804">
        <v>4.9732229999999999</v>
      </c>
      <c r="E10804">
        <v>0.50468159999999995</v>
      </c>
      <c r="F10804" t="s">
        <v>42</v>
      </c>
      <c r="G10804">
        <v>-124.0844</v>
      </c>
      <c r="H10804" s="1">
        <v>-2.9453590000000001E-6</v>
      </c>
      <c r="I10804">
        <v>137.21879999999999</v>
      </c>
      <c r="J10804">
        <v>-134.4873</v>
      </c>
      <c r="K10804">
        <v>1.1129849999999999</v>
      </c>
      <c r="L10804">
        <v>137.33240000000001</v>
      </c>
      <c r="M10804">
        <v>0.9992586</v>
      </c>
      <c r="N10804">
        <v>0</v>
      </c>
      <c r="O10804">
        <v>-1.8507630000000001E-2</v>
      </c>
      <c r="P10804">
        <v>0.99980829999999998</v>
      </c>
      <c r="Q10804">
        <v>1.9179020000000001E-2</v>
      </c>
      <c r="R10804">
        <v>-4.0171809999999999E-3</v>
      </c>
      <c r="S10804">
        <v>3.0065919999999999</v>
      </c>
      <c r="T10804">
        <v>-0.31566329999999998</v>
      </c>
      <c r="U10804">
        <v>-3.3172609999999998E-2</v>
      </c>
      <c r="V10804">
        <v>-1.449723E-2</v>
      </c>
      <c r="W10804">
        <v>5.2921660000000002E-2</v>
      </c>
      <c r="X10804">
        <v>0.99849339999999998</v>
      </c>
      <c r="Y10804">
        <v>-7.344209E-3</v>
      </c>
      <c r="Z10804">
        <v>2.3231800000000002E-3</v>
      </c>
      <c r="AA10804">
        <v>0.99997029999999998</v>
      </c>
      <c r="AB10804">
        <v>21</v>
      </c>
      <c r="AC10804">
        <v>10.402900000000001</v>
      </c>
      <c r="AD10804">
        <v>-1.1129879453589999</v>
      </c>
      <c r="AE10804">
        <v>-0.11360000000001901</v>
      </c>
      <c r="AF10804">
        <v>-7.81676760766611E-2</v>
      </c>
      <c r="AG10804">
        <v>-1.1129879453589999</v>
      </c>
      <c r="AH10804">
        <v>10.285501038274001</v>
      </c>
      <c r="AI10804">
        <v>96.175734892401593</v>
      </c>
      <c r="AJ10804">
        <v>90.435427666098505</v>
      </c>
      <c r="AK10804">
        <v>10.345838968417899</v>
      </c>
      <c r="AL10804">
        <v>86.966394985966303</v>
      </c>
      <c r="AM10804">
        <v>90.831824961674201</v>
      </c>
      <c r="AN10804">
        <v>0.99999997080919301</v>
      </c>
    </row>
    <row r="10805" spans="1:40" x14ac:dyDescent="0.25">
      <c r="A10805" t="str">
        <f>"20190312150931207"</f>
        <v>20190312150931207</v>
      </c>
      <c r="B10805" t="str">
        <f>"1552374571199794"</f>
        <v>1552374571199794</v>
      </c>
      <c r="C10805" t="s">
        <v>40</v>
      </c>
      <c r="D10805">
        <v>4.9708249999999996</v>
      </c>
      <c r="E10805">
        <v>0.50489879999999998</v>
      </c>
      <c r="F10805" t="s">
        <v>42</v>
      </c>
      <c r="G10805">
        <v>-123.8673</v>
      </c>
      <c r="H10805" s="1">
        <v>-3.044377E-6</v>
      </c>
      <c r="I10805">
        <v>137.18559999999999</v>
      </c>
      <c r="J10805">
        <v>-134.2903</v>
      </c>
      <c r="K10805">
        <v>1.1129150000000001</v>
      </c>
      <c r="L10805">
        <v>137.3289</v>
      </c>
      <c r="M10805">
        <v>0.99924559999999996</v>
      </c>
      <c r="N10805">
        <v>0</v>
      </c>
      <c r="O10805">
        <v>-1.84882E-2</v>
      </c>
      <c r="P10805">
        <v>0.99980239999999998</v>
      </c>
      <c r="Q10805">
        <v>1.914691E-2</v>
      </c>
      <c r="R10805">
        <v>-5.3690269999999898E-3</v>
      </c>
      <c r="S10805">
        <v>3.0064540000000002</v>
      </c>
      <c r="T10805">
        <v>-0.31508000000000003</v>
      </c>
      <c r="U10805">
        <v>-4.1549679999999999E-2</v>
      </c>
      <c r="V10805">
        <v>-1.311432E-2</v>
      </c>
      <c r="W10805">
        <v>5.3285449999999998E-2</v>
      </c>
      <c r="X10805">
        <v>0.99849319999999997</v>
      </c>
      <c r="Y10805">
        <v>-4.5545389999999998E-3</v>
      </c>
      <c r="Z10805">
        <v>2.171184E-3</v>
      </c>
      <c r="AA10805">
        <v>0.99998719999999996</v>
      </c>
      <c r="AB10805">
        <v>20</v>
      </c>
      <c r="AC10805">
        <v>10.423</v>
      </c>
      <c r="AD10805">
        <v>-1.1129180443769999</v>
      </c>
      <c r="AE10805">
        <v>-0.14330000000001</v>
      </c>
      <c r="AF10805">
        <v>-4.8981188073927498E-2</v>
      </c>
      <c r="AG10805">
        <v>-1.1129180443769999</v>
      </c>
      <c r="AH10805">
        <v>10.306386955406101</v>
      </c>
      <c r="AI10805">
        <v>96.163039601731001</v>
      </c>
      <c r="AJ10805">
        <v>90.272296609444595</v>
      </c>
      <c r="AK10805">
        <v>10.3664168257335</v>
      </c>
      <c r="AL10805">
        <v>86.945521983543998</v>
      </c>
      <c r="AM10805">
        <v>90.752485830865297</v>
      </c>
      <c r="AN10805">
        <v>0.99999999750850199</v>
      </c>
    </row>
    <row r="10806" spans="1:40" x14ac:dyDescent="0.25">
      <c r="A10806" t="str">
        <f>"20190312150931229"</f>
        <v>20190312150931229</v>
      </c>
      <c r="B10806" t="str">
        <f>"1552374571220291"</f>
        <v>1552374571220291</v>
      </c>
      <c r="C10806" t="s">
        <v>40</v>
      </c>
      <c r="D10806">
        <v>4.9781180000000003</v>
      </c>
      <c r="E10806">
        <v>0.50506049999999902</v>
      </c>
      <c r="F10806" t="s">
        <v>41</v>
      </c>
      <c r="G10806">
        <v>-133.4143</v>
      </c>
      <c r="H10806">
        <v>1.020254</v>
      </c>
      <c r="I10806">
        <v>137.315</v>
      </c>
      <c r="J10806">
        <v>-134.10210000000001</v>
      </c>
      <c r="K10806">
        <v>1.1128709999999999</v>
      </c>
      <c r="L10806">
        <v>137.3254</v>
      </c>
      <c r="M10806">
        <v>0.99923240000000002</v>
      </c>
      <c r="N10806">
        <v>0</v>
      </c>
      <c r="O10806">
        <v>-1.858835E-2</v>
      </c>
      <c r="P10806">
        <v>0.99980749999999996</v>
      </c>
      <c r="Q10806">
        <v>1.860945E-2</v>
      </c>
      <c r="R10806">
        <v>-6.2160430000000001E-3</v>
      </c>
      <c r="S10806">
        <v>3.0064389999999999</v>
      </c>
      <c r="T10806">
        <v>-0.318081</v>
      </c>
      <c r="U10806">
        <v>-4.7286990000000001E-2</v>
      </c>
      <c r="V10806">
        <v>-1.235837E-2</v>
      </c>
      <c r="W10806">
        <v>5.3082129999999998E-2</v>
      </c>
      <c r="X10806">
        <v>0.99851369999999895</v>
      </c>
      <c r="Y10806">
        <v>-2.7540770000000002E-3</v>
      </c>
      <c r="Z10806">
        <v>2.1073390000000002E-3</v>
      </c>
      <c r="AA10806">
        <v>0.99999400000000005</v>
      </c>
      <c r="AB10806">
        <v>19</v>
      </c>
      <c r="AC10806">
        <v>0.68780000000000996</v>
      </c>
      <c r="AD10806">
        <v>-9.2616999999999894E-2</v>
      </c>
      <c r="AE10806">
        <v>-1.04000000000041E-2</v>
      </c>
      <c r="AF10806">
        <v>-2.3518392907773398E-3</v>
      </c>
      <c r="AG10806">
        <v>-9.2616999999999894E-2</v>
      </c>
      <c r="AH10806">
        <v>0.67562647592618796</v>
      </c>
      <c r="AI10806">
        <v>97.805587451096997</v>
      </c>
      <c r="AJ10806">
        <v>90.199444406035198</v>
      </c>
      <c r="AK10806">
        <v>0.68194909986705698</v>
      </c>
      <c r="AL10806">
        <v>86.957187956874407</v>
      </c>
      <c r="AM10806">
        <v>90.709100225938897</v>
      </c>
      <c r="AN10806">
        <v>1.0000000254610399</v>
      </c>
    </row>
    <row r="10807" spans="1:40" x14ac:dyDescent="0.25">
      <c r="A10807" t="str">
        <f>"20190312150931250"</f>
        <v>20190312150931250</v>
      </c>
      <c r="B10807" t="str">
        <f>"1552374571239809"</f>
        <v>1552374571239809</v>
      </c>
      <c r="C10807" t="s">
        <v>40</v>
      </c>
      <c r="D10807">
        <v>4.9672320000000001</v>
      </c>
      <c r="E10807">
        <v>0.50527120000000003</v>
      </c>
      <c r="F10807" t="s">
        <v>41</v>
      </c>
      <c r="G10807">
        <v>-133.24760000000001</v>
      </c>
      <c r="H10807">
        <v>1.021325</v>
      </c>
      <c r="I10807">
        <v>137.3108</v>
      </c>
      <c r="J10807">
        <v>-133.92140000000001</v>
      </c>
      <c r="K10807">
        <v>1.1128499999999999</v>
      </c>
      <c r="L10807">
        <v>137.3218</v>
      </c>
      <c r="M10807">
        <v>0.99921919999999997</v>
      </c>
      <c r="N10807">
        <v>0</v>
      </c>
      <c r="O10807">
        <v>-1.8768900000000002E-2</v>
      </c>
      <c r="P10807">
        <v>0.99981390000000003</v>
      </c>
      <c r="Q10807">
        <v>1.7898049999999999E-2</v>
      </c>
      <c r="R10807">
        <v>-7.2044939999999997E-3</v>
      </c>
      <c r="S10807">
        <v>3.0062410000000002</v>
      </c>
      <c r="T10807">
        <v>-0.3221639</v>
      </c>
      <c r="U10807">
        <v>-5.0613400000000003E-2</v>
      </c>
      <c r="V10807">
        <v>-1.154635E-2</v>
      </c>
      <c r="W10807">
        <v>5.2652619999999997E-2</v>
      </c>
      <c r="X10807">
        <v>0.99854609999999999</v>
      </c>
      <c r="Y10807">
        <v>-1.8288849999999999E-3</v>
      </c>
      <c r="Z10807">
        <v>2.1042420000000001E-3</v>
      </c>
      <c r="AA10807">
        <v>0.99999610000000005</v>
      </c>
      <c r="AB10807">
        <v>19</v>
      </c>
      <c r="AC10807">
        <v>0.67379999999999995</v>
      </c>
      <c r="AD10807">
        <v>-9.1524999999999801E-2</v>
      </c>
      <c r="AE10807">
        <v>-1.09999999999956E-2</v>
      </c>
      <c r="AF10807">
        <v>-1.6260801452895499E-3</v>
      </c>
      <c r="AG10807">
        <v>-9.1524999999999801E-2</v>
      </c>
      <c r="AH10807">
        <v>0.66168236871393704</v>
      </c>
      <c r="AI10807">
        <v>97.875251690587007</v>
      </c>
      <c r="AJ10807">
        <v>90.140803724454798</v>
      </c>
      <c r="AK10807">
        <v>0.66798430133388997</v>
      </c>
      <c r="AL10807">
        <v>86.981831347663899</v>
      </c>
      <c r="AM10807">
        <v>90.662490836698396</v>
      </c>
      <c r="AN10807">
        <v>0.99999996520819701</v>
      </c>
    </row>
    <row r="10808" spans="1:40" x14ac:dyDescent="0.25">
      <c r="A10808" t="str">
        <f>"20190312150931273"</f>
        <v>20190312150931273</v>
      </c>
      <c r="B10808" t="str">
        <f>"1552374571270066"</f>
        <v>1552374571270066</v>
      </c>
      <c r="C10808" t="s">
        <v>40</v>
      </c>
      <c r="D10808">
        <v>4.9387129999999999</v>
      </c>
      <c r="E10808">
        <v>0.5055925</v>
      </c>
      <c r="F10808" t="s">
        <v>41</v>
      </c>
      <c r="G10808">
        <v>-133.08459999999999</v>
      </c>
      <c r="H10808">
        <v>1.022532</v>
      </c>
      <c r="I10808">
        <v>137.3064</v>
      </c>
      <c r="J10808">
        <v>-133.74160000000001</v>
      </c>
      <c r="K10808">
        <v>1.112838</v>
      </c>
      <c r="L10808">
        <v>137.31819999999999</v>
      </c>
      <c r="M10808">
        <v>0.99920609999999999</v>
      </c>
      <c r="N10808">
        <v>0</v>
      </c>
      <c r="O10808">
        <v>-1.9012350000000001E-2</v>
      </c>
      <c r="P10808">
        <v>0.999807</v>
      </c>
      <c r="Q10808">
        <v>1.7803889999999999E-2</v>
      </c>
      <c r="R10808">
        <v>-8.3315579999999993E-3</v>
      </c>
      <c r="S10808">
        <v>3.0059659999999999</v>
      </c>
      <c r="T10808">
        <v>-0.32449850000000002</v>
      </c>
      <c r="U10808">
        <v>-5.5160519999999998E-2</v>
      </c>
      <c r="V10808">
        <v>-1.0659210000000001E-2</v>
      </c>
      <c r="W10808">
        <v>5.2806430000000001E-2</v>
      </c>
      <c r="X10808">
        <v>0.99854790000000004</v>
      </c>
      <c r="Y10808">
        <v>-5.6312639999999998E-4</v>
      </c>
      <c r="Z10808">
        <v>2.0776739999999998E-3</v>
      </c>
      <c r="AA10808">
        <v>0.99999769999999999</v>
      </c>
      <c r="AB10808">
        <v>19</v>
      </c>
      <c r="AC10808">
        <v>0.65700000000001002</v>
      </c>
      <c r="AD10808">
        <v>-9.0305999999999997E-2</v>
      </c>
      <c r="AE10808">
        <v>-1.17999999999938E-2</v>
      </c>
      <c r="AF10808">
        <v>-6.8791894764249804E-4</v>
      </c>
      <c r="AG10808">
        <v>-9.0305999999999997E-2</v>
      </c>
      <c r="AH10808">
        <v>0.64492490370506805</v>
      </c>
      <c r="AI10808">
        <v>97.971044785370495</v>
      </c>
      <c r="AJ10808">
        <v>90.061115390601501</v>
      </c>
      <c r="AK10808">
        <v>0.65121715140763103</v>
      </c>
      <c r="AL10808">
        <v>86.973006582222197</v>
      </c>
      <c r="AM10808">
        <v>90.611592643844105</v>
      </c>
      <c r="AN10808">
        <v>1.00000002320078</v>
      </c>
    </row>
    <row r="10809" spans="1:40" x14ac:dyDescent="0.25">
      <c r="A10809" t="str">
        <f>"20190312150931297"</f>
        <v>20190312150931297</v>
      </c>
      <c r="B10809" t="str">
        <f>"1552374571290562"</f>
        <v>1552374571290562</v>
      </c>
      <c r="C10809" t="s">
        <v>40</v>
      </c>
      <c r="D10809">
        <v>4.9592179999999999</v>
      </c>
      <c r="E10809">
        <v>0.50578299999999998</v>
      </c>
      <c r="F10809" t="s">
        <v>41</v>
      </c>
      <c r="G10809">
        <v>-132.9246</v>
      </c>
      <c r="H10809">
        <v>1.0246230000000001</v>
      </c>
      <c r="I10809">
        <v>137.3015</v>
      </c>
      <c r="J10809">
        <v>-133.559</v>
      </c>
      <c r="K10809">
        <v>1.1128469999999999</v>
      </c>
      <c r="L10809">
        <v>137.31440000000001</v>
      </c>
      <c r="M10809">
        <v>0.99919170000000002</v>
      </c>
      <c r="N10809">
        <v>0</v>
      </c>
      <c r="O10809">
        <v>-1.9305449999999998E-2</v>
      </c>
      <c r="P10809">
        <v>0.99979819999999997</v>
      </c>
      <c r="Q10809">
        <v>1.753888E-2</v>
      </c>
      <c r="R10809">
        <v>-9.7874220000000005E-3</v>
      </c>
      <c r="S10809">
        <v>3.00589</v>
      </c>
      <c r="T10809">
        <v>-0.32460529999999999</v>
      </c>
      <c r="U10809">
        <v>-6.0928339999999998E-2</v>
      </c>
      <c r="V10809">
        <v>-9.4950380000000008E-3</v>
      </c>
      <c r="W10809">
        <v>5.2786430000000002E-2</v>
      </c>
      <c r="X10809">
        <v>0.99856069999999997</v>
      </c>
      <c r="Y10809">
        <v>1.0543289999999999E-3</v>
      </c>
      <c r="Z10809">
        <v>2.0228730000000001E-3</v>
      </c>
      <c r="AA10809">
        <v>0.99999740000000004</v>
      </c>
      <c r="AB10809">
        <v>18</v>
      </c>
      <c r="AC10809">
        <v>0.63439999999999896</v>
      </c>
      <c r="AD10809">
        <v>-8.8223999999999803E-2</v>
      </c>
      <c r="AE10809">
        <v>-1.29000000000019E-2</v>
      </c>
      <c r="AF10809">
        <v>6.3040823184512703E-4</v>
      </c>
      <c r="AG10809">
        <v>-8.8223999999999803E-2</v>
      </c>
      <c r="AH10809">
        <v>0.62249695965100205</v>
      </c>
      <c r="AI10809">
        <v>98.066574350816396</v>
      </c>
      <c r="AJ10809">
        <v>89.941976072096097</v>
      </c>
      <c r="AK10809">
        <v>0.62871801021227303</v>
      </c>
      <c r="AL10809">
        <v>86.974154080243395</v>
      </c>
      <c r="AM10809">
        <v>90.5447933294693</v>
      </c>
      <c r="AN10809">
        <v>1.0000000172616199</v>
      </c>
    </row>
    <row r="10810" spans="1:40" x14ac:dyDescent="0.25">
      <c r="A10810" t="str">
        <f>"20190312150931319"</f>
        <v>20190312150931319</v>
      </c>
      <c r="B10810" t="str">
        <f>"1552374571310083"</f>
        <v>1552374571310083</v>
      </c>
      <c r="C10810" t="s">
        <v>40</v>
      </c>
      <c r="D10810">
        <v>4.9770469999999998</v>
      </c>
      <c r="E10810">
        <v>0.5059361</v>
      </c>
      <c r="F10810" t="s">
        <v>41</v>
      </c>
      <c r="G10810">
        <v>-132.7679</v>
      </c>
      <c r="H10810">
        <v>1.0272030000000001</v>
      </c>
      <c r="I10810">
        <v>137.29679999999999</v>
      </c>
      <c r="J10810">
        <v>-133.38130000000001</v>
      </c>
      <c r="K10810">
        <v>1.1128769999999999</v>
      </c>
      <c r="L10810">
        <v>137.31059999999999</v>
      </c>
      <c r="M10810">
        <v>0.99917670000000003</v>
      </c>
      <c r="N10810">
        <v>0</v>
      </c>
      <c r="O10810">
        <v>-1.9624699999999998E-2</v>
      </c>
      <c r="P10810">
        <v>0.99978889999999998</v>
      </c>
      <c r="Q10810">
        <v>1.7366400000000001E-2</v>
      </c>
      <c r="R10810">
        <v>-1.09864E-2</v>
      </c>
      <c r="S10810">
        <v>3.0056759999999998</v>
      </c>
      <c r="T10810">
        <v>-0.3255017</v>
      </c>
      <c r="U10810">
        <v>-6.6574099999999997E-2</v>
      </c>
      <c r="V10810">
        <v>-8.6150710000000002E-3</v>
      </c>
      <c r="W10810">
        <v>5.2863090000000001E-2</v>
      </c>
      <c r="X10810">
        <v>0.99856460000000002</v>
      </c>
      <c r="Y10810">
        <v>2.6069890000000001E-3</v>
      </c>
      <c r="Z10810">
        <v>1.9792030000000001E-3</v>
      </c>
      <c r="AA10810">
        <v>0.99999459999999996</v>
      </c>
      <c r="AB10810">
        <v>18</v>
      </c>
      <c r="AC10810">
        <v>0.61340000000001205</v>
      </c>
      <c r="AD10810">
        <v>-8.5674E-2</v>
      </c>
      <c r="AE10810">
        <v>-1.3800000000003299E-2</v>
      </c>
      <c r="AF10810">
        <v>1.71844593869606E-3</v>
      </c>
      <c r="AG10810">
        <v>-8.5674E-2</v>
      </c>
      <c r="AH10810">
        <v>0.60181843686512904</v>
      </c>
      <c r="AI10810">
        <v>98.102071886420504</v>
      </c>
      <c r="AJ10810">
        <v>89.836396783508505</v>
      </c>
      <c r="AK10810">
        <v>0.60788849165223702</v>
      </c>
      <c r="AL10810">
        <v>86.969755571328193</v>
      </c>
      <c r="AM10810">
        <v>90.494304486828099</v>
      </c>
      <c r="AN10810">
        <v>0.99999999305292098</v>
      </c>
    </row>
    <row r="10811" spans="1:40" x14ac:dyDescent="0.25">
      <c r="A10811" t="str">
        <f>"20190312150931340"</f>
        <v>20190312150931340</v>
      </c>
      <c r="B10811" t="str">
        <f>"1552374571330578"</f>
        <v>1552374571330578</v>
      </c>
      <c r="C10811" t="s">
        <v>40</v>
      </c>
      <c r="D10811">
        <v>4.964874</v>
      </c>
      <c r="E10811">
        <v>0.50610730000000004</v>
      </c>
      <c r="F10811" t="s">
        <v>41</v>
      </c>
      <c r="G10811">
        <v>-132.6155</v>
      </c>
      <c r="H10811">
        <v>1.029185</v>
      </c>
      <c r="I10811">
        <v>137.29239999999999</v>
      </c>
      <c r="J10811">
        <v>-133.23099999999999</v>
      </c>
      <c r="K10811">
        <v>1.1129230000000001</v>
      </c>
      <c r="L10811">
        <v>137.30719999999999</v>
      </c>
      <c r="M10811">
        <v>0.99916269999999996</v>
      </c>
      <c r="N10811">
        <v>0</v>
      </c>
      <c r="O10811">
        <v>-1.9917819999999999E-2</v>
      </c>
      <c r="P10811">
        <v>0.99977740000000004</v>
      </c>
      <c r="Q10811">
        <v>1.7598269999999999E-2</v>
      </c>
      <c r="R10811">
        <v>-1.1637130000000001E-2</v>
      </c>
      <c r="S10811">
        <v>3.0055540000000001</v>
      </c>
      <c r="T10811">
        <v>-0.32851930000000001</v>
      </c>
      <c r="U10811">
        <v>-7.1258539999999995E-2</v>
      </c>
      <c r="V10811">
        <v>-8.2577529999999996E-3</v>
      </c>
      <c r="W10811">
        <v>5.3320689999999997E-2</v>
      </c>
      <c r="X10811">
        <v>0.99854330000000002</v>
      </c>
      <c r="Y10811">
        <v>3.8682249999999999E-3</v>
      </c>
      <c r="Z10811">
        <v>1.960734E-3</v>
      </c>
      <c r="AA10811">
        <v>0.99999059999999995</v>
      </c>
      <c r="AB10811">
        <v>17</v>
      </c>
      <c r="AC10811">
        <v>0.61549999999999705</v>
      </c>
      <c r="AD10811">
        <v>-8.3737999999999799E-2</v>
      </c>
      <c r="AE10811">
        <v>-1.48000000000081E-2</v>
      </c>
      <c r="AF10811">
        <v>2.4838579677481502E-3</v>
      </c>
      <c r="AG10811">
        <v>-8.3737999999999799E-2</v>
      </c>
      <c r="AH10811">
        <v>0.60449050694408402</v>
      </c>
      <c r="AI10811">
        <v>97.886729808533701</v>
      </c>
      <c r="AJ10811">
        <v>89.764572353262395</v>
      </c>
      <c r="AK10811">
        <v>0.61026796997705801</v>
      </c>
      <c r="AL10811">
        <v>86.943500026322099</v>
      </c>
      <c r="AM10811">
        <v>90.473813814365698</v>
      </c>
      <c r="AN10811">
        <v>1.0000000042207799</v>
      </c>
    </row>
    <row r="10812" spans="1:40" x14ac:dyDescent="0.25">
      <c r="A10812" t="str">
        <f>"20190312150931362"</f>
        <v>20190312150931362</v>
      </c>
      <c r="B10812" t="str">
        <f>"1552374571350099"</f>
        <v>1552374571350099</v>
      </c>
      <c r="C10812" t="s">
        <v>40</v>
      </c>
      <c r="D10812">
        <v>4.9700049999999996</v>
      </c>
      <c r="E10812">
        <v>0.50627820000000001</v>
      </c>
      <c r="F10812" t="s">
        <v>41</v>
      </c>
      <c r="G10812">
        <v>-132.46879999999999</v>
      </c>
      <c r="H10812">
        <v>1.029266</v>
      </c>
      <c r="I10812">
        <v>137.28829999999999</v>
      </c>
      <c r="J10812">
        <v>-133.07220000000001</v>
      </c>
      <c r="K10812">
        <v>1.112978</v>
      </c>
      <c r="L10812">
        <v>137.30359999999999</v>
      </c>
      <c r="M10812">
        <v>0.99914720000000001</v>
      </c>
      <c r="N10812">
        <v>0</v>
      </c>
      <c r="O10812">
        <v>-2.0249679999999999E-2</v>
      </c>
      <c r="P10812">
        <v>0.99975720000000001</v>
      </c>
      <c r="Q10812">
        <v>1.8121849999999998E-2</v>
      </c>
      <c r="R10812">
        <v>-1.255233E-2</v>
      </c>
      <c r="S10812">
        <v>3.005585</v>
      </c>
      <c r="T10812">
        <v>-0.3298991</v>
      </c>
      <c r="U10812">
        <v>-7.4508669999999999E-2</v>
      </c>
      <c r="V10812">
        <v>-7.6755879999999997E-3</v>
      </c>
      <c r="W10812">
        <v>5.4091100000000003E-2</v>
      </c>
      <c r="X10812">
        <v>0.99850649999999996</v>
      </c>
      <c r="Y10812">
        <v>4.6146959999999997E-3</v>
      </c>
      <c r="Z10812">
        <v>1.9643740000000001E-3</v>
      </c>
      <c r="AA10812">
        <v>0.99998739999999997</v>
      </c>
      <c r="AB10812">
        <v>17</v>
      </c>
      <c r="AC10812">
        <v>0.60340000000002103</v>
      </c>
      <c r="AD10812">
        <v>-8.3711999999999995E-2</v>
      </c>
      <c r="AE10812">
        <v>-1.5299999999996299E-2</v>
      </c>
      <c r="AF10812">
        <v>3.0123420964740899E-3</v>
      </c>
      <c r="AG10812">
        <v>-8.3711999999999995E-2</v>
      </c>
      <c r="AH10812">
        <v>0.59219542734386599</v>
      </c>
      <c r="AI10812">
        <v>98.045846968751306</v>
      </c>
      <c r="AJ10812">
        <v>89.708553980644893</v>
      </c>
      <c r="AK10812">
        <v>0.59809045914133296</v>
      </c>
      <c r="AL10812">
        <v>86.899294962003793</v>
      </c>
      <c r="AM10812">
        <v>90.440427914752505</v>
      </c>
      <c r="AN10812">
        <v>0.99999999614630197</v>
      </c>
    </row>
    <row r="10813" spans="1:40" x14ac:dyDescent="0.25">
      <c r="A10813" t="str">
        <f>"20190312150931386"</f>
        <v>20190312150931386</v>
      </c>
      <c r="B10813" t="str">
        <f>"1552374571380354"</f>
        <v>1552374571380354</v>
      </c>
      <c r="C10813" t="s">
        <v>40</v>
      </c>
      <c r="D10813">
        <v>4.9960649999999998</v>
      </c>
      <c r="E10813">
        <v>0.50652629999999998</v>
      </c>
      <c r="F10813" t="s">
        <v>42</v>
      </c>
      <c r="G10813">
        <v>-122.88809999999999</v>
      </c>
      <c r="H10813" s="1">
        <v>-3.4905779999999999E-6</v>
      </c>
      <c r="I10813">
        <v>137.03829999999999</v>
      </c>
      <c r="J10813">
        <v>-132.91499999999999</v>
      </c>
      <c r="K10813">
        <v>1.1130439999999999</v>
      </c>
      <c r="L10813">
        <v>137.30000000000001</v>
      </c>
      <c r="M10813">
        <v>0.99913129999999994</v>
      </c>
      <c r="N10813">
        <v>0</v>
      </c>
      <c r="O10813">
        <v>-2.0594970000000001E-2</v>
      </c>
      <c r="P10813">
        <v>0.99974439999999998</v>
      </c>
      <c r="Q10813">
        <v>1.8203380000000002E-2</v>
      </c>
      <c r="R10813">
        <v>-1.341053E-2</v>
      </c>
      <c r="S10813">
        <v>3.0057070000000001</v>
      </c>
      <c r="T10813">
        <v>-0.32847949999999998</v>
      </c>
      <c r="U10813">
        <v>-7.8292849999999997E-2</v>
      </c>
      <c r="V10813">
        <v>-7.1650539999999997E-3</v>
      </c>
      <c r="W10813">
        <v>5.44182E-2</v>
      </c>
      <c r="X10813">
        <v>0.99849250000000001</v>
      </c>
      <c r="Y10813">
        <v>5.5219279999999997E-3</v>
      </c>
      <c r="Z10813">
        <v>1.9440869999999999E-3</v>
      </c>
      <c r="AA10813">
        <v>0.99998290000000001</v>
      </c>
      <c r="AB10813">
        <v>16</v>
      </c>
      <c r="AC10813">
        <v>10.0268999999999</v>
      </c>
      <c r="AD10813">
        <v>-1.1130474905779999</v>
      </c>
      <c r="AE10813">
        <v>-0.26170000000001797</v>
      </c>
      <c r="AF10813">
        <v>5.4335973398394202E-2</v>
      </c>
      <c r="AG10813">
        <v>-1.1130474905779999</v>
      </c>
      <c r="AH10813">
        <v>9.9081549777693407</v>
      </c>
      <c r="AI10813">
        <v>96.409440429199094</v>
      </c>
      <c r="AJ10813">
        <v>89.685795110176002</v>
      </c>
      <c r="AK10813">
        <v>9.9706249642528704</v>
      </c>
      <c r="AL10813">
        <v>86.880525803569398</v>
      </c>
      <c r="AM10813">
        <v>90.411140101657594</v>
      </c>
      <c r="AN10813">
        <v>0.999999975523156</v>
      </c>
    </row>
    <row r="10814" spans="1:40" x14ac:dyDescent="0.25">
      <c r="A10814" t="str">
        <f>"20190312150931407"</f>
        <v>20190312150931407</v>
      </c>
      <c r="B10814" t="str">
        <f>"1552374571399874"</f>
        <v>1552374571399874</v>
      </c>
      <c r="C10814" t="s">
        <v>40</v>
      </c>
      <c r="D10814">
        <v>5.0302930000000003</v>
      </c>
      <c r="E10814">
        <v>0.5066832</v>
      </c>
      <c r="F10814" t="s">
        <v>41</v>
      </c>
      <c r="G10814">
        <v>-132.0607</v>
      </c>
      <c r="H10814">
        <v>1.0202850000000001</v>
      </c>
      <c r="I10814">
        <v>137.2765</v>
      </c>
      <c r="J10814">
        <v>-132.76580000000001</v>
      </c>
      <c r="K10814">
        <v>1.1131139999999999</v>
      </c>
      <c r="L10814">
        <v>137.29650000000001</v>
      </c>
      <c r="M10814">
        <v>0.9991158</v>
      </c>
      <c r="N10814">
        <v>0</v>
      </c>
      <c r="O10814">
        <v>-2.093004E-2</v>
      </c>
      <c r="P10814">
        <v>0.99972700000000003</v>
      </c>
      <c r="Q10814">
        <v>1.8485069999999999E-2</v>
      </c>
      <c r="R10814">
        <v>-1.429252E-2</v>
      </c>
      <c r="S10814">
        <v>3.005585</v>
      </c>
      <c r="T10814">
        <v>-0.32636749999999998</v>
      </c>
      <c r="U10814">
        <v>-8.2656859999999999E-2</v>
      </c>
      <c r="V10814">
        <v>-6.6201860000000001E-3</v>
      </c>
      <c r="W10814">
        <v>5.4934799999999999E-2</v>
      </c>
      <c r="X10814">
        <v>0.99846800000000002</v>
      </c>
      <c r="Y10814">
        <v>6.6326569999999897E-3</v>
      </c>
      <c r="Z10814">
        <v>1.907878E-3</v>
      </c>
      <c r="AA10814">
        <v>0.99997619999999998</v>
      </c>
      <c r="AB10814">
        <v>15</v>
      </c>
      <c r="AC10814">
        <v>0.70510000000001505</v>
      </c>
      <c r="AD10814">
        <v>-9.2828999999999801E-2</v>
      </c>
      <c r="AE10814">
        <v>-2.0000000000010201E-2</v>
      </c>
      <c r="AF10814">
        <v>5.1390199919750896E-3</v>
      </c>
      <c r="AG10814">
        <v>-9.2828999999999801E-2</v>
      </c>
      <c r="AH10814">
        <v>0.69335615189954503</v>
      </c>
      <c r="AI10814">
        <v>97.625409963947604</v>
      </c>
      <c r="AJ10814">
        <v>89.575342680674297</v>
      </c>
      <c r="AK10814">
        <v>0.69956156708643003</v>
      </c>
      <c r="AL10814">
        <v>86.850882546800406</v>
      </c>
      <c r="AM10814">
        <v>90.379885143256303</v>
      </c>
      <c r="AN10814">
        <v>1.0000000030688501</v>
      </c>
    </row>
    <row r="10815" spans="1:40" x14ac:dyDescent="0.25">
      <c r="A10815" t="str">
        <f>"20190312150931430"</f>
        <v>20190312150931430</v>
      </c>
      <c r="B10815" t="str">
        <f>"1552374571420370"</f>
        <v>1552374571420370</v>
      </c>
      <c r="C10815" t="s">
        <v>40</v>
      </c>
      <c r="D10815">
        <v>5.0314019999999999</v>
      </c>
      <c r="E10815">
        <v>0.50682669999999996</v>
      </c>
      <c r="F10815" t="s">
        <v>41</v>
      </c>
      <c r="G10815">
        <v>-131.92789999999999</v>
      </c>
      <c r="H10815">
        <v>1.0226170000000001</v>
      </c>
      <c r="I10815">
        <v>137.2722</v>
      </c>
      <c r="J10815">
        <v>-132.6217</v>
      </c>
      <c r="K10815">
        <v>1.1132169999999999</v>
      </c>
      <c r="L10815">
        <v>137.29300000000001</v>
      </c>
      <c r="M10815">
        <v>0.99909650000000005</v>
      </c>
      <c r="N10815">
        <v>0</v>
      </c>
      <c r="O10815">
        <v>-2.124912E-2</v>
      </c>
      <c r="P10815">
        <v>0.99970809999999999</v>
      </c>
      <c r="Q10815">
        <v>1.8486929999999999E-2</v>
      </c>
      <c r="R10815">
        <v>-1.554724E-2</v>
      </c>
      <c r="S10815">
        <v>3.005585</v>
      </c>
      <c r="T10815">
        <v>-0.324716</v>
      </c>
      <c r="U10815">
        <v>-8.6425779999999994E-2</v>
      </c>
      <c r="V10815">
        <v>-5.6878579999999996E-3</v>
      </c>
      <c r="W10815">
        <v>5.5277119999999999E-2</v>
      </c>
      <c r="X10815">
        <v>0.99845490000000003</v>
      </c>
      <c r="Y10815">
        <v>7.5615839999999997E-3</v>
      </c>
      <c r="Z10815">
        <v>1.882622E-3</v>
      </c>
      <c r="AA10815">
        <v>0.99996969999999996</v>
      </c>
      <c r="AB10815">
        <v>15</v>
      </c>
      <c r="AC10815">
        <v>0.69380000000000996</v>
      </c>
      <c r="AD10815">
        <v>-9.0599999999999806E-2</v>
      </c>
      <c r="AE10815">
        <v>-2.0800000000008301E-2</v>
      </c>
      <c r="AF10815">
        <v>5.9414366933186703E-3</v>
      </c>
      <c r="AG10815">
        <v>-9.0599999999999806E-2</v>
      </c>
      <c r="AH10815">
        <v>0.68245825488823497</v>
      </c>
      <c r="AI10815">
        <v>97.561821381856305</v>
      </c>
      <c r="AJ10815">
        <v>89.501199312594096</v>
      </c>
      <c r="AK10815">
        <v>0.68847144482184297</v>
      </c>
      <c r="AL10815">
        <v>86.831239355077699</v>
      </c>
      <c r="AM10815">
        <v>90.326391039477002</v>
      </c>
      <c r="AN10815">
        <v>1.00000004952906</v>
      </c>
    </row>
    <row r="10816" spans="1:40" x14ac:dyDescent="0.25">
      <c r="A10816" t="str">
        <f>"20190312150931452"</f>
        <v>20190312150931452</v>
      </c>
      <c r="B10816" t="str">
        <f>"1552374571439890"</f>
        <v>1552374571439890</v>
      </c>
      <c r="C10816" t="s">
        <v>40</v>
      </c>
      <c r="D10816">
        <v>4.9645010000000003</v>
      </c>
      <c r="E10816">
        <v>0.50695659999999998</v>
      </c>
      <c r="F10816" t="s">
        <v>41</v>
      </c>
      <c r="G10816">
        <v>-131.80080000000001</v>
      </c>
      <c r="H10816">
        <v>1.024707</v>
      </c>
      <c r="I10816">
        <v>137.26820000000001</v>
      </c>
      <c r="J10816">
        <v>-132.48349999999999</v>
      </c>
      <c r="K10816">
        <v>1.113434</v>
      </c>
      <c r="L10816">
        <v>137.28970000000001</v>
      </c>
      <c r="M10816">
        <v>0.99905999999999995</v>
      </c>
      <c r="N10816">
        <v>0</v>
      </c>
      <c r="O10816">
        <v>-2.1537259999999999E-2</v>
      </c>
      <c r="P10816">
        <v>0.99968199999999996</v>
      </c>
      <c r="Q10816">
        <v>1.8747610000000001E-2</v>
      </c>
      <c r="R10816">
        <v>-1.6861279999999999E-2</v>
      </c>
      <c r="S10816">
        <v>3.0054470000000002</v>
      </c>
      <c r="T10816">
        <v>-0.32402049999999999</v>
      </c>
      <c r="U10816">
        <v>-9.1049190000000002E-2</v>
      </c>
      <c r="V10816">
        <v>-4.6658630000000001E-3</v>
      </c>
      <c r="W10816">
        <v>5.6350709999999998E-2</v>
      </c>
      <c r="X10816">
        <v>0.99840019999999996</v>
      </c>
      <c r="Y10816">
        <v>8.8049459999999993E-3</v>
      </c>
      <c r="Z10816">
        <v>1.8428800000000001E-3</v>
      </c>
      <c r="AA10816">
        <v>0.9999595</v>
      </c>
      <c r="AB10816">
        <v>15</v>
      </c>
      <c r="AC10816">
        <v>0.68269999999998199</v>
      </c>
      <c r="AD10816">
        <v>-8.8727E-2</v>
      </c>
      <c r="AE10816">
        <v>-2.15000000000031E-2</v>
      </c>
      <c r="AF10816">
        <v>6.66857642246905E-3</v>
      </c>
      <c r="AG10816">
        <v>-8.8727E-2</v>
      </c>
      <c r="AH10816">
        <v>0.67167094008544403</v>
      </c>
      <c r="AI10816">
        <v>97.524773798282993</v>
      </c>
      <c r="AJ10816">
        <v>89.431166798876504</v>
      </c>
      <c r="AK10816">
        <v>0.67753878279827295</v>
      </c>
      <c r="AL10816">
        <v>86.769631197141194</v>
      </c>
      <c r="AM10816">
        <v>90.267760675037195</v>
      </c>
      <c r="AN10816">
        <v>1.0000000660775299</v>
      </c>
    </row>
    <row r="10817" spans="1:40" x14ac:dyDescent="0.25">
      <c r="A10817" t="str">
        <f>"20190312150931475"</f>
        <v>20190312150931475</v>
      </c>
      <c r="B10817" t="str">
        <f>"1552374571470150"</f>
        <v>1552374571470150</v>
      </c>
      <c r="C10817" t="s">
        <v>40</v>
      </c>
      <c r="D10817">
        <v>5.0053429999999999</v>
      </c>
      <c r="E10817">
        <v>0.50711709999999999</v>
      </c>
      <c r="F10817" t="s">
        <v>41</v>
      </c>
      <c r="G10817">
        <v>-131.67939999999999</v>
      </c>
      <c r="H10817">
        <v>1.026713</v>
      </c>
      <c r="I10817">
        <v>137.26390000000001</v>
      </c>
      <c r="J10817">
        <v>-132.3526</v>
      </c>
      <c r="K10817">
        <v>1.1136729999999999</v>
      </c>
      <c r="L10817">
        <v>137.28649999999999</v>
      </c>
      <c r="M10817">
        <v>0.9990156</v>
      </c>
      <c r="N10817">
        <v>0</v>
      </c>
      <c r="O10817">
        <v>-2.179944E-2</v>
      </c>
      <c r="P10817">
        <v>0.99967700000000004</v>
      </c>
      <c r="Q10817">
        <v>1.8184289999999999E-2</v>
      </c>
      <c r="R10817">
        <v>-1.7755199999999999E-2</v>
      </c>
      <c r="S10817">
        <v>3.005417</v>
      </c>
      <c r="T10817">
        <v>-0.32423190000000002</v>
      </c>
      <c r="U10817">
        <v>-9.5977779999999999E-2</v>
      </c>
      <c r="V10817">
        <v>-4.0392470000000001E-3</v>
      </c>
      <c r="W10817">
        <v>5.6798220000000003E-2</v>
      </c>
      <c r="X10817">
        <v>0.99837750000000003</v>
      </c>
      <c r="Y10817">
        <v>1.017391E-2</v>
      </c>
      <c r="Z10817">
        <v>1.798722E-3</v>
      </c>
      <c r="AA10817">
        <v>0.99994669999999997</v>
      </c>
      <c r="AB10817">
        <v>14</v>
      </c>
      <c r="AC10817">
        <v>0.67320000000000801</v>
      </c>
      <c r="AD10817">
        <v>-8.6959999999999898E-2</v>
      </c>
      <c r="AE10817">
        <v>-2.2599999999982801E-2</v>
      </c>
      <c r="AF10817">
        <v>7.7786261361646996E-3</v>
      </c>
      <c r="AG10817">
        <v>-8.6959999999999898E-2</v>
      </c>
      <c r="AH10817">
        <v>0.66249097500453302</v>
      </c>
      <c r="AI10817">
        <v>97.477505950363195</v>
      </c>
      <c r="AJ10817">
        <v>89.327293524638193</v>
      </c>
      <c r="AK10817">
        <v>0.66821915610600602</v>
      </c>
      <c r="AL10817">
        <v>86.743949393789407</v>
      </c>
      <c r="AM10817">
        <v>90.231806649074002</v>
      </c>
      <c r="AN10817">
        <v>0.99999999290887198</v>
      </c>
    </row>
    <row r="10818" spans="1:40" x14ac:dyDescent="0.25">
      <c r="A10818" t="str">
        <f>"20190312150931497"</f>
        <v>20190312150931497</v>
      </c>
      <c r="B10818" t="str">
        <f>"1552374571489666"</f>
        <v>1552374571489666</v>
      </c>
      <c r="C10818" t="s">
        <v>40</v>
      </c>
      <c r="D10818">
        <v>4.9531150000000004</v>
      </c>
      <c r="E10818">
        <v>0.5072103</v>
      </c>
      <c r="F10818" t="s">
        <v>41</v>
      </c>
      <c r="G10818">
        <v>-131.56440000000001</v>
      </c>
      <c r="H10818">
        <v>1.027539</v>
      </c>
      <c r="I10818">
        <v>137.2602</v>
      </c>
      <c r="J10818">
        <v>-132.22749999999999</v>
      </c>
      <c r="K10818">
        <v>1.1138399999999999</v>
      </c>
      <c r="L10818">
        <v>137.2834</v>
      </c>
      <c r="M10818">
        <v>0.99897619999999998</v>
      </c>
      <c r="N10818">
        <v>0</v>
      </c>
      <c r="O10818">
        <v>-2.204938E-2</v>
      </c>
      <c r="P10818">
        <v>0.99965800000000005</v>
      </c>
      <c r="Q10818">
        <v>1.868278E-2</v>
      </c>
      <c r="R10818">
        <v>-1.8299570000000001E-2</v>
      </c>
      <c r="S10818">
        <v>3.005188</v>
      </c>
      <c r="T10818">
        <v>-0.3284453</v>
      </c>
      <c r="U10818">
        <v>-9.9990839999999998E-2</v>
      </c>
      <c r="V10818">
        <v>-3.748553E-3</v>
      </c>
      <c r="W10818">
        <v>5.8163050000000001E-2</v>
      </c>
      <c r="X10818">
        <v>0.99830010000000002</v>
      </c>
      <c r="Y10818">
        <v>1.125612E-2</v>
      </c>
      <c r="Z10818">
        <v>1.790423E-3</v>
      </c>
      <c r="AA10818">
        <v>0.99993500000000002</v>
      </c>
      <c r="AB10818">
        <v>13</v>
      </c>
      <c r="AC10818">
        <v>0.66309999999998503</v>
      </c>
      <c r="AD10818">
        <v>-8.6300999999999906E-2</v>
      </c>
      <c r="AE10818">
        <v>-2.3200000000002701E-2</v>
      </c>
      <c r="AF10818">
        <v>8.4195468412624295E-3</v>
      </c>
      <c r="AG10818">
        <v>-8.6300999999999906E-2</v>
      </c>
      <c r="AH10818">
        <v>0.652413127641011</v>
      </c>
      <c r="AI10818">
        <v>97.534699630917103</v>
      </c>
      <c r="AJ10818">
        <v>89.260625360002706</v>
      </c>
      <c r="AK10818">
        <v>0.65815016560686102</v>
      </c>
      <c r="AL10818">
        <v>86.665621041676005</v>
      </c>
      <c r="AM10818">
        <v>90.215140974917006</v>
      </c>
      <c r="AN10818">
        <v>1.0000000408474501</v>
      </c>
    </row>
    <row r="10819" spans="1:40" x14ac:dyDescent="0.25">
      <c r="A10819" t="str">
        <f>"20190312150931543"</f>
        <v>20190312150931543</v>
      </c>
      <c r="B10819" t="str">
        <f>"1552374571540419"</f>
        <v>1552374571540419</v>
      </c>
      <c r="C10819" t="s">
        <v>40</v>
      </c>
      <c r="D10819">
        <v>4.9615330000000002</v>
      </c>
      <c r="E10819">
        <v>0.52997989999999995</v>
      </c>
      <c r="F10819" t="s">
        <v>41</v>
      </c>
      <c r="G10819">
        <v>-131.446</v>
      </c>
      <c r="H10819">
        <v>1.028929</v>
      </c>
      <c r="I10819">
        <v>137.25659999999999</v>
      </c>
      <c r="J10819">
        <v>-131.9845</v>
      </c>
      <c r="K10819">
        <v>1.1136459999999999</v>
      </c>
      <c r="L10819">
        <v>137.2774</v>
      </c>
      <c r="M10819">
        <v>0.99896980000000002</v>
      </c>
      <c r="N10819">
        <v>0</v>
      </c>
      <c r="O10819">
        <v>-2.2541539999999999E-2</v>
      </c>
      <c r="P10819">
        <v>0.99961739999999999</v>
      </c>
      <c r="Q10819">
        <v>2.0233640000000001E-2</v>
      </c>
      <c r="R10819">
        <v>-1.8857120000000002E-2</v>
      </c>
      <c r="S10819">
        <v>3.0052340000000002</v>
      </c>
      <c r="T10819">
        <v>-0.32655800000000001</v>
      </c>
      <c r="U10819">
        <v>-0.1026764</v>
      </c>
      <c r="V10819">
        <v>-3.6844529999999999E-3</v>
      </c>
      <c r="W10819">
        <v>5.959631E-2</v>
      </c>
      <c r="X10819">
        <v>0.99821570000000004</v>
      </c>
      <c r="Y10819">
        <v>1.165544E-2</v>
      </c>
      <c r="Z10819">
        <v>1.8118279999999999E-3</v>
      </c>
      <c r="AA10819">
        <v>0.9999304</v>
      </c>
      <c r="AB10819">
        <v>12</v>
      </c>
      <c r="AC10819">
        <v>0.53849999999999898</v>
      </c>
      <c r="AD10819">
        <v>-8.4716999999999903E-2</v>
      </c>
      <c r="AE10819">
        <v>-2.0800000000008301E-2</v>
      </c>
      <c r="AF10819">
        <v>8.4381315767183794E-3</v>
      </c>
      <c r="AG10819">
        <v>-8.4716999999999903E-2</v>
      </c>
      <c r="AH10819">
        <v>0.52583726629327199</v>
      </c>
      <c r="AI10819">
        <v>99.151050599258397</v>
      </c>
      <c r="AJ10819">
        <v>89.080651249482997</v>
      </c>
      <c r="AK10819">
        <v>0.53268471235458503</v>
      </c>
      <c r="AL10819">
        <v>86.583358224181694</v>
      </c>
      <c r="AM10819">
        <v>90.211479991795898</v>
      </c>
      <c r="AN10819">
        <v>0.99999993954300503</v>
      </c>
    </row>
    <row r="10820" spans="1:40" x14ac:dyDescent="0.25">
      <c r="A10820" t="str">
        <f>"20190312150931564"</f>
        <v>20190312150931564</v>
      </c>
      <c r="B10820" t="str">
        <f>"1552374571559938"</f>
        <v>1552374571559938</v>
      </c>
      <c r="C10820" t="s">
        <v>40</v>
      </c>
      <c r="D10820">
        <v>4.9376160000000002</v>
      </c>
      <c r="E10820">
        <v>0.52913779999999999</v>
      </c>
      <c r="F10820" t="s">
        <v>41</v>
      </c>
      <c r="G10820">
        <v>-131.25970000000001</v>
      </c>
      <c r="H10820">
        <v>1.0083519999999999</v>
      </c>
      <c r="I10820">
        <v>137.2088</v>
      </c>
      <c r="J10820">
        <v>-131.87870000000001</v>
      </c>
      <c r="K10820">
        <v>1.1135170000000001</v>
      </c>
      <c r="L10820">
        <v>137.2747</v>
      </c>
      <c r="M10820">
        <v>0.99898050000000005</v>
      </c>
      <c r="N10820">
        <v>0</v>
      </c>
      <c r="O10820">
        <v>-2.2746349999999999E-2</v>
      </c>
      <c r="P10820">
        <v>0.99959830000000005</v>
      </c>
      <c r="Q10820">
        <v>2.1523629999999998E-2</v>
      </c>
      <c r="R10820">
        <v>-1.8442610000000002E-2</v>
      </c>
      <c r="S10820">
        <v>3.0046080000000002</v>
      </c>
      <c r="T10820">
        <v>-0.43654939999999998</v>
      </c>
      <c r="U10820">
        <v>-0.28382869999999999</v>
      </c>
      <c r="V10820">
        <v>-4.3039530000000001E-3</v>
      </c>
      <c r="W10820">
        <v>6.0496389999999997E-2</v>
      </c>
      <c r="X10820">
        <v>0.99815909999999997</v>
      </c>
      <c r="Y10820">
        <v>7.0858340000000006E-2</v>
      </c>
      <c r="Z10820">
        <v>-1.8276880000000001E-3</v>
      </c>
      <c r="AA10820">
        <v>0.9974847</v>
      </c>
      <c r="AB10820">
        <v>12</v>
      </c>
      <c r="AC10820">
        <v>0.618999999999999</v>
      </c>
      <c r="AD10820">
        <v>-0.105164999999999</v>
      </c>
      <c r="AE10820">
        <v>-6.5899999999999098E-2</v>
      </c>
      <c r="AF10820">
        <v>5.0355041697702101E-2</v>
      </c>
      <c r="AG10820">
        <v>-0.105164999999999</v>
      </c>
      <c r="AH10820">
        <v>0.60312601441493996</v>
      </c>
      <c r="AI10820">
        <v>99.857405845153494</v>
      </c>
      <c r="AJ10820">
        <v>85.227439203746599</v>
      </c>
      <c r="AK10820">
        <v>0.61429333116470297</v>
      </c>
      <c r="AL10820">
        <v>86.531694292675695</v>
      </c>
      <c r="AM10820">
        <v>90.247051611165503</v>
      </c>
      <c r="AN10820">
        <v>0.99999996306363303</v>
      </c>
    </row>
    <row r="10821" spans="1:40" x14ac:dyDescent="0.25">
      <c r="A10821" t="str">
        <f>"20190312150931587"</f>
        <v>20190312150931587</v>
      </c>
      <c r="B10821" t="str">
        <f>"1552374571580435"</f>
        <v>1552374571580435</v>
      </c>
      <c r="C10821" t="s">
        <v>40</v>
      </c>
      <c r="D10821">
        <v>4.9424809999999999</v>
      </c>
      <c r="E10821">
        <v>0.52845220000000004</v>
      </c>
      <c r="F10821" t="s">
        <v>41</v>
      </c>
      <c r="G10821">
        <v>-131.161</v>
      </c>
      <c r="H10821">
        <v>1.0059940000000001</v>
      </c>
      <c r="I10821">
        <v>137.20869999999999</v>
      </c>
      <c r="J10821">
        <v>-131.77010000000001</v>
      </c>
      <c r="K10821">
        <v>1.1134999999999999</v>
      </c>
      <c r="L10821">
        <v>137.27199999999999</v>
      </c>
      <c r="M10821">
        <v>0.99898039999999999</v>
      </c>
      <c r="N10821">
        <v>0</v>
      </c>
      <c r="O10821">
        <v>-2.295867E-2</v>
      </c>
      <c r="P10821">
        <v>0.99959980000000004</v>
      </c>
      <c r="Q10821">
        <v>2.1673330000000001E-2</v>
      </c>
      <c r="R10821">
        <v>-1.8184849999999999E-2</v>
      </c>
      <c r="S10821">
        <v>3.005814</v>
      </c>
      <c r="T10821">
        <v>-0.45037579999999999</v>
      </c>
      <c r="U10821">
        <v>-0.27584839999999999</v>
      </c>
      <c r="V10821">
        <v>-4.7751449999999997E-3</v>
      </c>
      <c r="W10821">
        <v>6.0521140000000001E-2</v>
      </c>
      <c r="X10821">
        <v>0.99815549999999997</v>
      </c>
      <c r="Y10821">
        <v>6.7985550000000006E-2</v>
      </c>
      <c r="Z10821">
        <v>-1.639265E-3</v>
      </c>
      <c r="AA10821">
        <v>0.99768500000000004</v>
      </c>
      <c r="AB10821">
        <v>12</v>
      </c>
      <c r="AC10821">
        <v>0.60910000000001197</v>
      </c>
      <c r="AD10821">
        <v>-0.10750599999999901</v>
      </c>
      <c r="AE10821">
        <v>-6.3300000000026502E-2</v>
      </c>
      <c r="AF10821">
        <v>4.7814962376690598E-2</v>
      </c>
      <c r="AG10821">
        <v>-0.10750599999999901</v>
      </c>
      <c r="AH10821">
        <v>0.59214411756283003</v>
      </c>
      <c r="AI10821">
        <v>100.257506311949</v>
      </c>
      <c r="AJ10821">
        <v>85.383447630636994</v>
      </c>
      <c r="AK10821">
        <v>0.60372052029672396</v>
      </c>
      <c r="AL10821">
        <v>86.530273769093199</v>
      </c>
      <c r="AM10821">
        <v>90.2740991437594</v>
      </c>
      <c r="AN10821">
        <v>1.00000000628846</v>
      </c>
    </row>
    <row r="10822" spans="1:40" x14ac:dyDescent="0.25">
      <c r="A10822" t="str">
        <f>"20190312150931610"</f>
        <v>20190312150931610</v>
      </c>
      <c r="B10822" t="str">
        <f>"1552374571599955"</f>
        <v>1552374571599955</v>
      </c>
      <c r="C10822" t="s">
        <v>40</v>
      </c>
      <c r="D10822">
        <v>4.9389010000000004</v>
      </c>
      <c r="E10822">
        <v>0.52840140000000002</v>
      </c>
      <c r="F10822" t="s">
        <v>41</v>
      </c>
      <c r="G10822">
        <v>-130.98169999999999</v>
      </c>
      <c r="H10822">
        <v>0.99276569999999997</v>
      </c>
      <c r="I10822">
        <v>137.20140000000001</v>
      </c>
      <c r="J10822">
        <v>-131.6645</v>
      </c>
      <c r="K10822">
        <v>1.113545</v>
      </c>
      <c r="L10822">
        <v>137.26929999999999</v>
      </c>
      <c r="M10822">
        <v>0.99897349999999996</v>
      </c>
      <c r="N10822">
        <v>0</v>
      </c>
      <c r="O10822">
        <v>-2.317609E-2</v>
      </c>
      <c r="P10822">
        <v>0.99959799999999999</v>
      </c>
      <c r="Q10822">
        <v>2.1712840000000001E-2</v>
      </c>
      <c r="R10822">
        <v>-1.8232809999999999E-2</v>
      </c>
      <c r="S10822">
        <v>3.0062709999999999</v>
      </c>
      <c r="T10822">
        <v>-0.46035399999999999</v>
      </c>
      <c r="U10822">
        <v>-0.26887509999999998</v>
      </c>
      <c r="V10822">
        <v>-4.9469400000000004E-3</v>
      </c>
      <c r="W10822">
        <v>6.0611100000000001E-2</v>
      </c>
      <c r="X10822">
        <v>0.99814919999999996</v>
      </c>
      <c r="Y10822">
        <v>6.5468410000000005E-2</v>
      </c>
      <c r="Z10822">
        <v>-1.4507890000000001E-3</v>
      </c>
      <c r="AA10822">
        <v>0.99785360000000001</v>
      </c>
      <c r="AB10822">
        <v>11</v>
      </c>
      <c r="AC10822">
        <v>0.68280000000001395</v>
      </c>
      <c r="AD10822">
        <v>-0.12077930000000001</v>
      </c>
      <c r="AE10822">
        <v>-6.7899999999980296E-2</v>
      </c>
      <c r="AF10822">
        <v>5.0481043350765198E-2</v>
      </c>
      <c r="AG10822">
        <v>-0.12077930000000001</v>
      </c>
      <c r="AH10822">
        <v>0.66362988386396704</v>
      </c>
      <c r="AI10822">
        <v>100.285739804887</v>
      </c>
      <c r="AJ10822">
        <v>85.649998034587199</v>
      </c>
      <c r="AK10822">
        <v>0.67641747301764399</v>
      </c>
      <c r="AL10822">
        <v>86.525109944562899</v>
      </c>
      <c r="AM10822">
        <v>90.283962019737402</v>
      </c>
      <c r="AN10822">
        <v>1.0000000015596</v>
      </c>
    </row>
    <row r="10823" spans="1:40" x14ac:dyDescent="0.25">
      <c r="A10823" t="str">
        <f>"20190312150931633"</f>
        <v>20190312150931633</v>
      </c>
      <c r="B10823" t="str">
        <f>"1552374571630211"</f>
        <v>1552374571630211</v>
      </c>
      <c r="C10823" t="s">
        <v>40</v>
      </c>
      <c r="D10823">
        <v>4.9491589999999999</v>
      </c>
      <c r="E10823">
        <v>0.52835790000000005</v>
      </c>
      <c r="F10823" t="s">
        <v>41</v>
      </c>
      <c r="G10823">
        <v>-130.89500000000001</v>
      </c>
      <c r="H10823">
        <v>0.99255859999999996</v>
      </c>
      <c r="I10823">
        <v>137.20060000000001</v>
      </c>
      <c r="J10823">
        <v>-131.56809999999999</v>
      </c>
      <c r="K10823">
        <v>1.11358</v>
      </c>
      <c r="L10823">
        <v>137.26679999999999</v>
      </c>
      <c r="M10823">
        <v>0.99896790000000002</v>
      </c>
      <c r="N10823">
        <v>0</v>
      </c>
      <c r="O10823">
        <v>-2.3380959999999999E-2</v>
      </c>
      <c r="P10823">
        <v>0.99960059999999995</v>
      </c>
      <c r="Q10823">
        <v>2.1437580000000001E-2</v>
      </c>
      <c r="R10823">
        <v>-1.84116E-2</v>
      </c>
      <c r="S10823">
        <v>3.0066069999999998</v>
      </c>
      <c r="T10823">
        <v>-0.4727886</v>
      </c>
      <c r="U10823">
        <v>-0.26782230000000001</v>
      </c>
      <c r="V10823">
        <v>-4.9746199999999999E-3</v>
      </c>
      <c r="W10823">
        <v>6.0355499999999902E-2</v>
      </c>
      <c r="X10823">
        <v>0.99816450000000001</v>
      </c>
      <c r="Y10823">
        <v>6.4890229999999993E-2</v>
      </c>
      <c r="Z10823">
        <v>-1.41231E-3</v>
      </c>
      <c r="AA10823">
        <v>0.99789139999999998</v>
      </c>
      <c r="AB10823">
        <v>10</v>
      </c>
      <c r="AC10823">
        <v>0.67309999999997605</v>
      </c>
      <c r="AD10823">
        <v>-0.1210214</v>
      </c>
      <c r="AE10823">
        <v>-6.6199999999980705E-2</v>
      </c>
      <c r="AF10823">
        <v>4.8867597018400502E-2</v>
      </c>
      <c r="AG10823">
        <v>-0.1210214</v>
      </c>
      <c r="AH10823">
        <v>0.65354012955915897</v>
      </c>
      <c r="AI10823">
        <v>100.462531174543</v>
      </c>
      <c r="AJ10823">
        <v>85.723741841864296</v>
      </c>
      <c r="AK10823">
        <v>0.66644498815769804</v>
      </c>
      <c r="AL10823">
        <v>86.539781431898902</v>
      </c>
      <c r="AM10823">
        <v>90.285546491492497</v>
      </c>
      <c r="AN10823">
        <v>0.99999995114232099</v>
      </c>
    </row>
    <row r="10824" spans="1:40" x14ac:dyDescent="0.25">
      <c r="A10824" t="str">
        <f>"20190312150931653"</f>
        <v>20190312150931653</v>
      </c>
      <c r="B10824" t="str">
        <f>"1552374571650707"</f>
        <v>1552374571650707</v>
      </c>
      <c r="C10824" t="s">
        <v>40</v>
      </c>
      <c r="D10824">
        <v>4.9136680000000004</v>
      </c>
      <c r="E10824">
        <v>0.52830889999999997</v>
      </c>
      <c r="F10824" t="s">
        <v>41</v>
      </c>
      <c r="G10824">
        <v>-130.81190000000001</v>
      </c>
      <c r="H10824">
        <v>0.9930774</v>
      </c>
      <c r="I10824">
        <v>137.19919999999999</v>
      </c>
      <c r="J10824">
        <v>-131.48589999999999</v>
      </c>
      <c r="K10824">
        <v>1.11358</v>
      </c>
      <c r="L10824">
        <v>137.2647</v>
      </c>
      <c r="M10824">
        <v>0.99896689999999999</v>
      </c>
      <c r="N10824">
        <v>0</v>
      </c>
      <c r="O10824">
        <v>-2.355403E-2</v>
      </c>
      <c r="P10824">
        <v>0.99957799999999997</v>
      </c>
      <c r="Q10824">
        <v>2.1834949999999999E-2</v>
      </c>
      <c r="R10824">
        <v>-1.9167219999999999E-2</v>
      </c>
      <c r="S10824">
        <v>3.0065309999999998</v>
      </c>
      <c r="T10824">
        <v>-0.47911969999999998</v>
      </c>
      <c r="U10824">
        <v>-0.26824949999999997</v>
      </c>
      <c r="V10824">
        <v>-4.3924330000000003E-3</v>
      </c>
      <c r="W10824">
        <v>6.067583E-2</v>
      </c>
      <c r="X10824">
        <v>0.99814780000000003</v>
      </c>
      <c r="Y10824">
        <v>6.4849450000000003E-2</v>
      </c>
      <c r="Z10824">
        <v>-1.4004519999999999E-3</v>
      </c>
      <c r="AA10824">
        <v>0.99789399999999995</v>
      </c>
      <c r="AB10824">
        <v>10</v>
      </c>
      <c r="AC10824">
        <v>0.67399999999997795</v>
      </c>
      <c r="AD10824">
        <v>-0.1205026</v>
      </c>
      <c r="AE10824">
        <v>-6.5500000000014297E-2</v>
      </c>
      <c r="AF10824">
        <v>4.80721383712817E-2</v>
      </c>
      <c r="AG10824">
        <v>-0.1205026</v>
      </c>
      <c r="AH10824">
        <v>0.65462736869581695</v>
      </c>
      <c r="AI10824">
        <v>100.40274265085201</v>
      </c>
      <c r="AJ10824">
        <v>85.800060118259196</v>
      </c>
      <c r="AK10824">
        <v>0.66735957244948296</v>
      </c>
      <c r="AL10824">
        <v>86.521394136570194</v>
      </c>
      <c r="AM10824">
        <v>90.252133249389701</v>
      </c>
      <c r="AN10824">
        <v>0.99999994022934202</v>
      </c>
    </row>
    <row r="10825" spans="1:40" x14ac:dyDescent="0.25">
      <c r="A10825" t="str">
        <f>"20190312150931676"</f>
        <v>20190312150931676</v>
      </c>
      <c r="B10825" t="str">
        <f>"1552374571670228"</f>
        <v>1552374571670228</v>
      </c>
      <c r="C10825" t="s">
        <v>40</v>
      </c>
      <c r="D10825">
        <v>4.909192</v>
      </c>
      <c r="E10825">
        <v>0.52818880000000001</v>
      </c>
      <c r="F10825" t="s">
        <v>41</v>
      </c>
      <c r="G10825">
        <v>-130.73230000000001</v>
      </c>
      <c r="H10825">
        <v>0.99407959999999995</v>
      </c>
      <c r="I10825">
        <v>137.1968</v>
      </c>
      <c r="J10825">
        <v>-131.3991</v>
      </c>
      <c r="K10825">
        <v>1.1135550000000001</v>
      </c>
      <c r="L10825">
        <v>137.26240000000001</v>
      </c>
      <c r="M10825">
        <v>0.99896879999999999</v>
      </c>
      <c r="N10825">
        <v>0</v>
      </c>
      <c r="O10825">
        <v>-2.3730689999999999E-2</v>
      </c>
      <c r="P10825">
        <v>0.9995404</v>
      </c>
      <c r="Q10825">
        <v>2.25302E-2</v>
      </c>
      <c r="R10825">
        <v>-2.027899E-2</v>
      </c>
      <c r="S10825">
        <v>3.0065</v>
      </c>
      <c r="T10825">
        <v>-0.47680650000000002</v>
      </c>
      <c r="U10825">
        <v>-0.27015689999999998</v>
      </c>
      <c r="V10825">
        <v>-3.4565920000000001E-3</v>
      </c>
      <c r="W10825">
        <v>6.1214129999999999E-2</v>
      </c>
      <c r="X10825">
        <v>0.99811870000000003</v>
      </c>
      <c r="Y10825">
        <v>6.5303609999999998E-2</v>
      </c>
      <c r="Z10825">
        <v>-1.401708E-3</v>
      </c>
      <c r="AA10825">
        <v>0.99786450000000004</v>
      </c>
      <c r="AB10825">
        <v>9</v>
      </c>
      <c r="AC10825">
        <v>0.66679999999999495</v>
      </c>
      <c r="AD10825">
        <v>-0.119475399999999</v>
      </c>
      <c r="AE10825">
        <v>-6.5600000000017603E-2</v>
      </c>
      <c r="AF10825">
        <v>4.8212991639137698E-2</v>
      </c>
      <c r="AG10825">
        <v>-0.119475399999999</v>
      </c>
      <c r="AH10825">
        <v>0.64757893965554703</v>
      </c>
      <c r="AI10825">
        <v>100.425048655236</v>
      </c>
      <c r="AJ10825">
        <v>85.7421192897217</v>
      </c>
      <c r="AK10825">
        <v>0.66027066181480298</v>
      </c>
      <c r="AL10825">
        <v>86.490494687728599</v>
      </c>
      <c r="AM10825">
        <v>90.198420630097999</v>
      </c>
      <c r="AN10825">
        <v>1.0000000285148001</v>
      </c>
    </row>
    <row r="10826" spans="1:40" x14ac:dyDescent="0.25">
      <c r="A10826" t="str">
        <f>"20190312150931700"</f>
        <v>20190312150931700</v>
      </c>
      <c r="B10826" t="str">
        <f>"1552374571689747"</f>
        <v>1552374571689747</v>
      </c>
      <c r="C10826" t="s">
        <v>40</v>
      </c>
      <c r="D10826">
        <v>4.9250400000000001</v>
      </c>
      <c r="E10826">
        <v>0.52819959999999999</v>
      </c>
      <c r="F10826" t="s">
        <v>41</v>
      </c>
      <c r="G10826">
        <v>-130.65600000000001</v>
      </c>
      <c r="H10826">
        <v>0.99603120000000001</v>
      </c>
      <c r="I10826">
        <v>137.19489999999999</v>
      </c>
      <c r="J10826">
        <v>-131.3124</v>
      </c>
      <c r="K10826">
        <v>1.1135299999999999</v>
      </c>
      <c r="L10826">
        <v>137.26009999999999</v>
      </c>
      <c r="M10826">
        <v>0.99897159999999996</v>
      </c>
      <c r="N10826">
        <v>0</v>
      </c>
      <c r="O10826">
        <v>-2.3904379999999999E-2</v>
      </c>
      <c r="P10826">
        <v>0.99950609999999995</v>
      </c>
      <c r="Q10826">
        <v>2.30683E-2</v>
      </c>
      <c r="R10826">
        <v>-2.1332719999999999E-2</v>
      </c>
      <c r="S10826">
        <v>3.0065460000000002</v>
      </c>
      <c r="T10826">
        <v>-0.47550399999999998</v>
      </c>
      <c r="U10826">
        <v>-0.27284239999999998</v>
      </c>
      <c r="V10826">
        <v>-2.576998E-3</v>
      </c>
      <c r="W10826">
        <v>6.1566799999999998E-2</v>
      </c>
      <c r="X10826">
        <v>0.99809959999999998</v>
      </c>
      <c r="Y10826">
        <v>6.600934E-2</v>
      </c>
      <c r="Z10826">
        <v>-1.4259920000000001E-3</v>
      </c>
      <c r="AA10826">
        <v>0.99781799999999998</v>
      </c>
      <c r="AB10826">
        <v>9</v>
      </c>
      <c r="AC10826">
        <v>0.65639999999998999</v>
      </c>
      <c r="AD10826">
        <v>-0.117498799999999</v>
      </c>
      <c r="AE10826">
        <v>-6.5200000000004296E-2</v>
      </c>
      <c r="AF10826">
        <v>4.7957181805511499E-2</v>
      </c>
      <c r="AG10826">
        <v>-0.117498799999999</v>
      </c>
      <c r="AH10826">
        <v>0.637542842592417</v>
      </c>
      <c r="AI10826">
        <v>100.413629388808</v>
      </c>
      <c r="AJ10826">
        <v>85.698204254736694</v>
      </c>
      <c r="AK10826">
        <v>0.65005133291839801</v>
      </c>
      <c r="AL10826">
        <v>86.470249764335904</v>
      </c>
      <c r="AM10826">
        <v>90.147931910926303</v>
      </c>
      <c r="AN10826">
        <v>0.99999996165054506</v>
      </c>
    </row>
    <row r="10827" spans="1:40" x14ac:dyDescent="0.25">
      <c r="A10827" t="str">
        <f>"20190312150931725"</f>
        <v>20190312150931725</v>
      </c>
      <c r="B10827" t="str">
        <f>"1552374571720003"</f>
        <v>1552374571720003</v>
      </c>
      <c r="C10827" t="s">
        <v>40</v>
      </c>
      <c r="D10827">
        <v>4.9416419999999999</v>
      </c>
      <c r="E10827">
        <v>0.52824939999999998</v>
      </c>
      <c r="F10827" t="s">
        <v>41</v>
      </c>
      <c r="G10827">
        <v>-130.58320000000001</v>
      </c>
      <c r="H10827">
        <v>0.99867329999999999</v>
      </c>
      <c r="I10827">
        <v>137.19280000000001</v>
      </c>
      <c r="J10827">
        <v>-131.22579999999999</v>
      </c>
      <c r="K10827">
        <v>1.1135139999999999</v>
      </c>
      <c r="L10827">
        <v>137.2578</v>
      </c>
      <c r="M10827">
        <v>0.99897559999999996</v>
      </c>
      <c r="N10827">
        <v>0</v>
      </c>
      <c r="O10827">
        <v>-2.4083440000000001E-2</v>
      </c>
      <c r="P10827">
        <v>0.99949739999999998</v>
      </c>
      <c r="Q10827">
        <v>2.2964680000000001E-2</v>
      </c>
      <c r="R10827">
        <v>-2.18607E-2</v>
      </c>
      <c r="S10827">
        <v>3.006516</v>
      </c>
      <c r="T10827">
        <v>-0.47361360000000002</v>
      </c>
      <c r="U10827">
        <v>-0.27650449999999999</v>
      </c>
      <c r="V10827">
        <v>-2.2291350000000001E-3</v>
      </c>
      <c r="W10827">
        <v>6.1250300000000001E-2</v>
      </c>
      <c r="X10827">
        <v>0.99812000000000001</v>
      </c>
      <c r="Y10827">
        <v>6.7030759999999995E-2</v>
      </c>
      <c r="Z10827">
        <v>-1.472192E-3</v>
      </c>
      <c r="AA10827">
        <v>0.99774980000000002</v>
      </c>
      <c r="AB10827">
        <v>8</v>
      </c>
      <c r="AC10827">
        <v>0.64259999999998696</v>
      </c>
      <c r="AD10827">
        <v>-0.114840699999999</v>
      </c>
      <c r="AE10827">
        <v>-6.4999999999997699E-2</v>
      </c>
      <c r="AF10827">
        <v>4.7976953085515597E-2</v>
      </c>
      <c r="AG10827">
        <v>-0.114840699999999</v>
      </c>
      <c r="AH10827">
        <v>0.62424460044657704</v>
      </c>
      <c r="AI10827">
        <v>100.394023960219</v>
      </c>
      <c r="AJ10827">
        <v>85.6051143628208</v>
      </c>
      <c r="AK10827">
        <v>0.63653082846832099</v>
      </c>
      <c r="AL10827">
        <v>86.488418483669406</v>
      </c>
      <c r="AM10827">
        <v>90.127960380634605</v>
      </c>
      <c r="AN10827">
        <v>1.00000005134646</v>
      </c>
    </row>
    <row r="10828" spans="1:40" x14ac:dyDescent="0.25">
      <c r="A10828" t="str">
        <f>"20190312150931744"</f>
        <v>20190312150931744</v>
      </c>
      <c r="B10828" t="str">
        <f>"1552374571740499"</f>
        <v>1552374571740499</v>
      </c>
      <c r="C10828" t="s">
        <v>40</v>
      </c>
      <c r="D10828">
        <v>4.8877480000000002</v>
      </c>
      <c r="E10828">
        <v>0.52808569999999999</v>
      </c>
      <c r="F10828" t="s">
        <v>41</v>
      </c>
      <c r="G10828">
        <v>-130.45230000000001</v>
      </c>
      <c r="H10828">
        <v>0.99086479999999999</v>
      </c>
      <c r="I10828">
        <v>137.1859</v>
      </c>
      <c r="J10828">
        <v>-131.15960000000001</v>
      </c>
      <c r="K10828">
        <v>1.1132470000000001</v>
      </c>
      <c r="L10828">
        <v>137.256</v>
      </c>
      <c r="M10828">
        <v>0.99901510000000004</v>
      </c>
      <c r="N10828">
        <v>0</v>
      </c>
      <c r="O10828">
        <v>-2.4234740000000001E-2</v>
      </c>
      <c r="P10828">
        <v>0.99947240000000004</v>
      </c>
      <c r="Q10828">
        <v>2.366122E-2</v>
      </c>
      <c r="R10828">
        <v>-2.2253129999999999E-2</v>
      </c>
      <c r="S10828">
        <v>3.0063629999999999</v>
      </c>
      <c r="T10828">
        <v>-0.4767902</v>
      </c>
      <c r="U10828">
        <v>-0.2787018</v>
      </c>
      <c r="V10828">
        <v>-1.9864599999999998E-3</v>
      </c>
      <c r="W10828">
        <v>6.0800529999999998E-2</v>
      </c>
      <c r="X10828">
        <v>0.99814800000000004</v>
      </c>
      <c r="Y10828">
        <v>6.7596199999999995E-2</v>
      </c>
      <c r="Z10828">
        <v>-1.5028140000000001E-3</v>
      </c>
      <c r="AA10828">
        <v>0.99771169999999998</v>
      </c>
      <c r="AB10828">
        <v>8</v>
      </c>
      <c r="AC10828">
        <v>0.70730000000000304</v>
      </c>
      <c r="AD10828">
        <v>-0.122382199999999</v>
      </c>
      <c r="AE10828">
        <v>-7.0099999999996498E-2</v>
      </c>
      <c r="AF10828">
        <v>5.1402361079168402E-2</v>
      </c>
      <c r="AG10828">
        <v>-0.122382199999999</v>
      </c>
      <c r="AH10828">
        <v>0.68838334759967101</v>
      </c>
      <c r="AI10828">
        <v>100.053419477698</v>
      </c>
      <c r="AJ10828">
        <v>85.729584707381406</v>
      </c>
      <c r="AK10828">
        <v>0.70106436142046402</v>
      </c>
      <c r="AL10828">
        <v>86.514236485710597</v>
      </c>
      <c r="AM10828">
        <v>90.114026801545705</v>
      </c>
      <c r="AN10828">
        <v>1.0000000401878</v>
      </c>
    </row>
    <row r="10829" spans="1:40" x14ac:dyDescent="0.25">
      <c r="A10829" t="str">
        <f>"20190312150931764"</f>
        <v>20190312150931764</v>
      </c>
      <c r="B10829" t="str">
        <f>"1552374571760019"</f>
        <v>1552374571760019</v>
      </c>
      <c r="C10829" t="s">
        <v>40</v>
      </c>
      <c r="D10829">
        <v>4.8830439999999999</v>
      </c>
      <c r="E10829">
        <v>0.52820469999999997</v>
      </c>
      <c r="F10829" t="s">
        <v>41</v>
      </c>
      <c r="G10829">
        <v>-130.38560000000001</v>
      </c>
      <c r="H10829">
        <v>0.99053449999999998</v>
      </c>
      <c r="I10829">
        <v>137.18430000000001</v>
      </c>
      <c r="J10829">
        <v>-131.0907</v>
      </c>
      <c r="K10829">
        <v>1.112894</v>
      </c>
      <c r="L10829">
        <v>137.2542</v>
      </c>
      <c r="M10829">
        <v>0.99907120000000005</v>
      </c>
      <c r="N10829">
        <v>0</v>
      </c>
      <c r="O10829">
        <v>-2.4396629999999999E-2</v>
      </c>
      <c r="P10829">
        <v>0.99942810000000004</v>
      </c>
      <c r="Q10829">
        <v>2.5135600000000001E-2</v>
      </c>
      <c r="R10829">
        <v>-2.2622960000000001E-2</v>
      </c>
      <c r="S10829">
        <v>3.0066679999999999</v>
      </c>
      <c r="T10829">
        <v>-0.47669070000000002</v>
      </c>
      <c r="U10829">
        <v>-0.27848820000000002</v>
      </c>
      <c r="V10829">
        <v>-1.775156E-3</v>
      </c>
      <c r="W10829">
        <v>6.0625850000000002E-2</v>
      </c>
      <c r="X10829">
        <v>0.99815900000000002</v>
      </c>
      <c r="Y10829">
        <v>6.7361619999999997E-2</v>
      </c>
      <c r="Z10829">
        <v>-1.458694E-3</v>
      </c>
      <c r="AA10829">
        <v>0.99772760000000005</v>
      </c>
      <c r="AB10829">
        <v>8</v>
      </c>
      <c r="AC10829">
        <v>0.70509999999998696</v>
      </c>
      <c r="AD10829">
        <v>-0.1223595</v>
      </c>
      <c r="AE10829">
        <v>-6.9899999999989804E-2</v>
      </c>
      <c r="AF10829">
        <v>5.1141148026723801E-2</v>
      </c>
      <c r="AG10829">
        <v>-0.1223595</v>
      </c>
      <c r="AH10829">
        <v>0.68613483136262599</v>
      </c>
      <c r="AI10829">
        <v>100.08395731427299</v>
      </c>
      <c r="AJ10829">
        <v>85.737333760917494</v>
      </c>
      <c r="AK10829">
        <v>0.69883350740413197</v>
      </c>
      <c r="AL10829">
        <v>86.524263328788805</v>
      </c>
      <c r="AM10829">
        <v>90.1018964308779</v>
      </c>
      <c r="AN10829">
        <v>1.00000001707402</v>
      </c>
    </row>
    <row r="10830" spans="1:40" x14ac:dyDescent="0.25">
      <c r="A10830" t="str">
        <f>"20190312150931787"</f>
        <v>20190312150931787</v>
      </c>
      <c r="B10830" t="str">
        <f>"1552374571779539"</f>
        <v>1552374571779539</v>
      </c>
      <c r="C10830" t="s">
        <v>40</v>
      </c>
      <c r="D10830">
        <v>5.0848909999999998</v>
      </c>
      <c r="E10830">
        <v>0.52822559999999996</v>
      </c>
      <c r="F10830" t="s">
        <v>41</v>
      </c>
      <c r="G10830">
        <v>-130.32069999999999</v>
      </c>
      <c r="H10830">
        <v>0.99151040000000001</v>
      </c>
      <c r="I10830">
        <v>137.1823</v>
      </c>
      <c r="J10830">
        <v>-131.0205</v>
      </c>
      <c r="K10830">
        <v>1.1127309999999999</v>
      </c>
      <c r="L10830">
        <v>137.25219999999999</v>
      </c>
      <c r="M10830">
        <v>0.99910949999999998</v>
      </c>
      <c r="N10830">
        <v>0</v>
      </c>
      <c r="O10830">
        <v>-2.4554059999999999E-2</v>
      </c>
      <c r="P10830">
        <v>0.99938660000000001</v>
      </c>
      <c r="Q10830">
        <v>2.6542619999999999E-2</v>
      </c>
      <c r="R10830">
        <v>-2.2850869999999999E-2</v>
      </c>
      <c r="S10830">
        <v>3.0073089999999998</v>
      </c>
      <c r="T10830">
        <v>-0.47410180000000002</v>
      </c>
      <c r="U10830">
        <v>-0.28005980000000003</v>
      </c>
      <c r="V10830">
        <v>-1.703265E-3</v>
      </c>
      <c r="W10830">
        <v>6.0829080000000001E-2</v>
      </c>
      <c r="X10830">
        <v>0.9981468</v>
      </c>
      <c r="Y10830">
        <v>6.7706550000000004E-2</v>
      </c>
      <c r="Z10830">
        <v>-1.4530529999999999E-3</v>
      </c>
      <c r="AA10830">
        <v>0.99770420000000004</v>
      </c>
      <c r="AB10830">
        <v>8</v>
      </c>
      <c r="AC10830">
        <v>0.69980000000000997</v>
      </c>
      <c r="AD10830">
        <v>-0.1212206</v>
      </c>
      <c r="AE10830">
        <v>-6.9899999999989804E-2</v>
      </c>
      <c r="AF10830">
        <v>5.1165743672931703E-2</v>
      </c>
      <c r="AG10830">
        <v>-0.1212206</v>
      </c>
      <c r="AH10830">
        <v>0.68107188778786398</v>
      </c>
      <c r="AI10830">
        <v>100.064329959955</v>
      </c>
      <c r="AJ10830">
        <v>85.703706580798993</v>
      </c>
      <c r="AK10830">
        <v>0.69366510905831902</v>
      </c>
      <c r="AL10830">
        <v>86.512597713882698</v>
      </c>
      <c r="AM10830">
        <v>90.097770990368005</v>
      </c>
      <c r="AN10830">
        <v>1.00000005621777</v>
      </c>
    </row>
    <row r="10831" spans="1:40" x14ac:dyDescent="0.25">
      <c r="A10831" t="str">
        <f>"20190312150931809"</f>
        <v>20190312150931809</v>
      </c>
      <c r="B10831" t="str">
        <f>"1552374571800035"</f>
        <v>1552374571800035</v>
      </c>
      <c r="C10831" t="s">
        <v>40</v>
      </c>
      <c r="D10831">
        <v>4.914301</v>
      </c>
      <c r="E10831">
        <v>0.52824530000000003</v>
      </c>
      <c r="F10831" t="s">
        <v>41</v>
      </c>
      <c r="G10831">
        <v>-130.26060000000001</v>
      </c>
      <c r="H10831">
        <v>0.99411749999999999</v>
      </c>
      <c r="I10831">
        <v>137.18119999999999</v>
      </c>
      <c r="J10831">
        <v>-130.9554</v>
      </c>
      <c r="K10831">
        <v>1.1129519999999999</v>
      </c>
      <c r="L10831">
        <v>137.25049999999999</v>
      </c>
      <c r="M10831">
        <v>0.99910180000000004</v>
      </c>
      <c r="N10831">
        <v>0</v>
      </c>
      <c r="O10831">
        <v>-2.4690900000000002E-2</v>
      </c>
      <c r="P10831">
        <v>0.99938009999999999</v>
      </c>
      <c r="Q10831">
        <v>2.6605670000000001E-2</v>
      </c>
      <c r="R10831">
        <v>-2.3063130000000001E-2</v>
      </c>
      <c r="S10831">
        <v>3.007889</v>
      </c>
      <c r="T10831">
        <v>-0.46953650000000002</v>
      </c>
      <c r="U10831">
        <v>-0.280777</v>
      </c>
      <c r="V10831">
        <v>-1.629473E-3</v>
      </c>
      <c r="W10831">
        <v>6.1016130000000002E-2</v>
      </c>
      <c r="X10831">
        <v>0.99813540000000001</v>
      </c>
      <c r="Y10831">
        <v>6.7798670000000005E-2</v>
      </c>
      <c r="Z10831">
        <v>-1.424874E-3</v>
      </c>
      <c r="AA10831">
        <v>0.99769799999999997</v>
      </c>
      <c r="AB10831">
        <v>7</v>
      </c>
      <c r="AC10831">
        <v>0.69479999999998598</v>
      </c>
      <c r="AD10831">
        <v>-0.1188345</v>
      </c>
      <c r="AE10831">
        <v>-6.9299999999998294E-2</v>
      </c>
      <c r="AF10831">
        <v>5.0646477673708397E-2</v>
      </c>
      <c r="AG10831">
        <v>-0.1188345</v>
      </c>
      <c r="AH10831">
        <v>0.67669973844930498</v>
      </c>
      <c r="AI10831">
        <v>99.932867778425205</v>
      </c>
      <c r="AJ10831">
        <v>85.719771761112995</v>
      </c>
      <c r="AK10831">
        <v>0.68891889225681802</v>
      </c>
      <c r="AL10831">
        <v>86.501860222674196</v>
      </c>
      <c r="AM10831">
        <v>90.093536250483297</v>
      </c>
      <c r="AN10831">
        <v>0.99999995001779596</v>
      </c>
    </row>
    <row r="10832" spans="1:40" x14ac:dyDescent="0.25">
      <c r="A10832" t="str">
        <f>"20190312150931831"</f>
        <v>20190312150931831</v>
      </c>
      <c r="B10832" t="str">
        <f>"1552374571819555"</f>
        <v>1552374571819555</v>
      </c>
      <c r="C10832" t="s">
        <v>40</v>
      </c>
      <c r="D10832">
        <v>4.9124670000000004</v>
      </c>
      <c r="E10832">
        <v>0.52799600000000002</v>
      </c>
      <c r="F10832" t="s">
        <v>41</v>
      </c>
      <c r="G10832">
        <v>-130.20650000000001</v>
      </c>
      <c r="H10832">
        <v>0.995757</v>
      </c>
      <c r="I10832">
        <v>137.18020000000001</v>
      </c>
      <c r="J10832">
        <v>-130.8989</v>
      </c>
      <c r="K10832">
        <v>1.113294</v>
      </c>
      <c r="L10832">
        <v>137.24889999999999</v>
      </c>
      <c r="M10832">
        <v>0.99907259999999998</v>
      </c>
      <c r="N10832">
        <v>0</v>
      </c>
      <c r="O10832">
        <v>-2.4804440000000001E-2</v>
      </c>
      <c r="P10832">
        <v>0.99940560000000001</v>
      </c>
      <c r="Q10832">
        <v>2.5588880000000001E-2</v>
      </c>
      <c r="R10832">
        <v>-2.3112130000000002E-2</v>
      </c>
      <c r="S10832">
        <v>3.0079039999999999</v>
      </c>
      <c r="T10832">
        <v>-0.47082170000000001</v>
      </c>
      <c r="U10832">
        <v>-0.28155520000000001</v>
      </c>
      <c r="V10832">
        <v>-1.6975600000000001E-3</v>
      </c>
      <c r="W10832">
        <v>6.0762450000000003E-2</v>
      </c>
      <c r="X10832">
        <v>0.9981508</v>
      </c>
      <c r="Y10832">
        <v>6.7936969999999999E-2</v>
      </c>
      <c r="Z10832">
        <v>-1.4217190000000001E-3</v>
      </c>
      <c r="AA10832">
        <v>0.99768860000000004</v>
      </c>
      <c r="AB10832">
        <v>7</v>
      </c>
      <c r="AC10832">
        <v>0.69239999999999202</v>
      </c>
      <c r="AD10832">
        <v>-0.117536999999999</v>
      </c>
      <c r="AE10832">
        <v>-6.8699999999978403E-2</v>
      </c>
      <c r="AF10832">
        <v>5.0064982300739601E-2</v>
      </c>
      <c r="AG10832">
        <v>-0.117536999999999</v>
      </c>
      <c r="AH10832">
        <v>0.67464082788228197</v>
      </c>
      <c r="AI10832">
        <v>99.856396530307094</v>
      </c>
      <c r="AJ10832">
        <v>85.755869385474199</v>
      </c>
      <c r="AK10832">
        <v>0.68663068345906597</v>
      </c>
      <c r="AL10832">
        <v>86.516422169348402</v>
      </c>
      <c r="AM10832">
        <v>90.097443121516207</v>
      </c>
      <c r="AN10832">
        <v>0.99999998829029701</v>
      </c>
    </row>
    <row r="10833" spans="1:40" x14ac:dyDescent="0.25">
      <c r="A10833" t="str">
        <f>"20190312150931854"</f>
        <v>20190312150931854</v>
      </c>
      <c r="B10833" t="str">
        <f>"1552374571849987"</f>
        <v>1552374571849987</v>
      </c>
      <c r="C10833" t="s">
        <v>40</v>
      </c>
      <c r="D10833">
        <v>4.9356169999999997</v>
      </c>
      <c r="E10833">
        <v>0.52792269999999997</v>
      </c>
      <c r="F10833" t="s">
        <v>41</v>
      </c>
      <c r="G10833">
        <v>-130.1584</v>
      </c>
      <c r="H10833">
        <v>0.99608649999999999</v>
      </c>
      <c r="I10833">
        <v>137.1799</v>
      </c>
      <c r="J10833">
        <v>-130.84690000000001</v>
      </c>
      <c r="K10833">
        <v>1.1136330000000001</v>
      </c>
      <c r="L10833">
        <v>137.2475</v>
      </c>
      <c r="M10833">
        <v>0.99903379999999997</v>
      </c>
      <c r="N10833">
        <v>0</v>
      </c>
      <c r="O10833">
        <v>-2.4900820000000001E-2</v>
      </c>
      <c r="P10833">
        <v>0.99941690000000005</v>
      </c>
      <c r="Q10833">
        <v>2.4897010000000001E-2</v>
      </c>
      <c r="R10833">
        <v>-2.3367200000000001E-2</v>
      </c>
      <c r="S10833">
        <v>3.0074920000000001</v>
      </c>
      <c r="T10833">
        <v>-0.47602559999999999</v>
      </c>
      <c r="U10833">
        <v>-0.28001399999999999</v>
      </c>
      <c r="V10833">
        <v>-1.5423679999999999E-3</v>
      </c>
      <c r="W10833">
        <v>6.1085140000000003E-2</v>
      </c>
      <c r="X10833">
        <v>0.9981314</v>
      </c>
      <c r="Y10833">
        <v>6.7342529999999998E-2</v>
      </c>
      <c r="Z10833">
        <v>-1.3755389999999901E-3</v>
      </c>
      <c r="AA10833">
        <v>0.99772890000000003</v>
      </c>
      <c r="AB10833">
        <v>6</v>
      </c>
      <c r="AC10833">
        <v>0.688500000000004</v>
      </c>
      <c r="AD10833">
        <v>-0.1175465</v>
      </c>
      <c r="AE10833">
        <v>-6.7599999999998703E-2</v>
      </c>
      <c r="AF10833">
        <v>4.9008670143256397E-2</v>
      </c>
      <c r="AG10833">
        <v>-0.1175465</v>
      </c>
      <c r="AH10833">
        <v>0.67061020233382196</v>
      </c>
      <c r="AI10833">
        <v>99.916054419392097</v>
      </c>
      <c r="AJ10833">
        <v>85.820214268474103</v>
      </c>
      <c r="AK10833">
        <v>0.68259583421353398</v>
      </c>
      <c r="AL10833">
        <v>86.497899140502398</v>
      </c>
      <c r="AM10833">
        <v>90.0885365459078</v>
      </c>
      <c r="AN10833">
        <v>1.00000003244691</v>
      </c>
    </row>
    <row r="10834" spans="1:40" x14ac:dyDescent="0.25">
      <c r="A10834" t="str">
        <f>"20190312150931877"</f>
        <v>20190312150931877</v>
      </c>
      <c r="B10834" t="str">
        <f>"1552374571870484"</f>
        <v>1552374571870484</v>
      </c>
      <c r="C10834" t="s">
        <v>40</v>
      </c>
      <c r="D10834">
        <v>4.903384</v>
      </c>
      <c r="E10834">
        <v>0.52787779999999995</v>
      </c>
      <c r="F10834" t="s">
        <v>41</v>
      </c>
      <c r="G10834">
        <v>-130.11510000000001</v>
      </c>
      <c r="H10834">
        <v>0.99691770000000002</v>
      </c>
      <c r="I10834">
        <v>137.17920000000001</v>
      </c>
      <c r="J10834">
        <v>-130.80199999999999</v>
      </c>
      <c r="K10834">
        <v>1.1138980000000001</v>
      </c>
      <c r="L10834">
        <v>137.24629999999999</v>
      </c>
      <c r="M10834">
        <v>0.99899510000000002</v>
      </c>
      <c r="N10834">
        <v>0</v>
      </c>
      <c r="O10834">
        <v>-2.4973950000000002E-2</v>
      </c>
      <c r="P10834">
        <v>0.9994267</v>
      </c>
      <c r="Q10834">
        <v>2.4472310000000001E-2</v>
      </c>
      <c r="R10834">
        <v>-2.3399280000000001E-2</v>
      </c>
      <c r="S10834">
        <v>3.0071560000000002</v>
      </c>
      <c r="T10834">
        <v>-0.47965600000000003</v>
      </c>
      <c r="U10834">
        <v>-0.28048709999999999</v>
      </c>
      <c r="V10834">
        <v>-1.5860990000000001E-3</v>
      </c>
      <c r="W10834">
        <v>6.1666270000000002E-2</v>
      </c>
      <c r="X10834">
        <v>0.99809559999999997</v>
      </c>
      <c r="Y10834">
        <v>6.7426260000000002E-2</v>
      </c>
      <c r="Z10834">
        <v>-1.3809549999999999E-3</v>
      </c>
      <c r="AA10834">
        <v>0.99772329999999998</v>
      </c>
      <c r="AB10834">
        <v>5</v>
      </c>
      <c r="AC10834">
        <v>0.68690000000000795</v>
      </c>
      <c r="AD10834">
        <v>-0.1169803</v>
      </c>
      <c r="AE10834">
        <v>-6.7099999999982105E-2</v>
      </c>
      <c r="AF10834">
        <v>4.8518672071808801E-2</v>
      </c>
      <c r="AG10834">
        <v>-0.1169803</v>
      </c>
      <c r="AH10834">
        <v>0.66913897468985295</v>
      </c>
      <c r="AI10834">
        <v>99.890904586643302</v>
      </c>
      <c r="AJ10834">
        <v>85.852791892143699</v>
      </c>
      <c r="AK10834">
        <v>0.68101792896860602</v>
      </c>
      <c r="AL10834">
        <v>86.464539965180293</v>
      </c>
      <c r="AM10834">
        <v>90.091050097898801</v>
      </c>
      <c r="AN10834">
        <v>1.00000003565255</v>
      </c>
    </row>
    <row r="10835" spans="1:40" x14ac:dyDescent="0.25">
      <c r="A10835" t="str">
        <f>"20190312150931899"</f>
        <v>20190312150931899</v>
      </c>
      <c r="B10835" t="str">
        <f>"1552374571890003"</f>
        <v>1552374571890003</v>
      </c>
      <c r="C10835" t="s">
        <v>40</v>
      </c>
      <c r="D10835">
        <v>4.9448800000000004</v>
      </c>
      <c r="E10835">
        <v>0.52778269999999905</v>
      </c>
      <c r="F10835" t="s">
        <v>41</v>
      </c>
      <c r="G10835">
        <v>-130.07679999999999</v>
      </c>
      <c r="H10835">
        <v>0.99782969999999904</v>
      </c>
      <c r="I10835">
        <v>137.17869999999999</v>
      </c>
      <c r="J10835">
        <v>-130.76400000000001</v>
      </c>
      <c r="K10835">
        <v>1.114099</v>
      </c>
      <c r="L10835">
        <v>137.24529999999999</v>
      </c>
      <c r="M10835">
        <v>0.99895750000000005</v>
      </c>
      <c r="N10835">
        <v>0</v>
      </c>
      <c r="O10835">
        <v>-2.502484E-2</v>
      </c>
      <c r="P10835">
        <v>0.99945649999999997</v>
      </c>
      <c r="Q10835">
        <v>2.341391E-2</v>
      </c>
      <c r="R10835">
        <v>-2.321281E-2</v>
      </c>
      <c r="S10835">
        <v>3.0069430000000001</v>
      </c>
      <c r="T10835">
        <v>-0.48130289999999998</v>
      </c>
      <c r="U10835">
        <v>-0.27970889999999998</v>
      </c>
      <c r="V10835">
        <v>-1.825978E-3</v>
      </c>
      <c r="W10835">
        <v>6.1568230000000002E-2</v>
      </c>
      <c r="X10835">
        <v>0.99810120000000002</v>
      </c>
      <c r="Y10835">
        <v>6.7125809999999994E-2</v>
      </c>
      <c r="Z10835">
        <v>-1.3536869999999999E-3</v>
      </c>
      <c r="AA10835">
        <v>0.99774359999999995</v>
      </c>
      <c r="AB10835">
        <v>5</v>
      </c>
      <c r="AC10835">
        <v>0.68720000000001802</v>
      </c>
      <c r="AD10835">
        <v>-0.11626930000000001</v>
      </c>
      <c r="AE10835">
        <v>-6.6599999999993997E-2</v>
      </c>
      <c r="AF10835">
        <v>4.8007995862979901E-2</v>
      </c>
      <c r="AG10835">
        <v>-0.11626930000000001</v>
      </c>
      <c r="AH10835">
        <v>0.669660872279216</v>
      </c>
      <c r="AI10835">
        <v>99.8250177245896</v>
      </c>
      <c r="AJ10835">
        <v>85.899480102769303</v>
      </c>
      <c r="AK10835">
        <v>0.68137288003781804</v>
      </c>
      <c r="AL10835">
        <v>86.470167787467105</v>
      </c>
      <c r="AM10835">
        <v>90.104819747902994</v>
      </c>
      <c r="AN10835">
        <v>0.99999999329121403</v>
      </c>
    </row>
    <row r="10836" spans="1:40" x14ac:dyDescent="0.25">
      <c r="A10836" t="str">
        <f>"20190312150931924"</f>
        <v>20190312150931924</v>
      </c>
      <c r="B10836" t="str">
        <f>"1552374571920260"</f>
        <v>1552374571920260</v>
      </c>
      <c r="C10836" t="s">
        <v>40</v>
      </c>
      <c r="D10836">
        <v>4.9152110000000002</v>
      </c>
      <c r="E10836">
        <v>0.53866890000000001</v>
      </c>
      <c r="F10836" t="s">
        <v>41</v>
      </c>
      <c r="G10836">
        <v>-130.04399999999899</v>
      </c>
      <c r="H10836">
        <v>0.99802400000000002</v>
      </c>
      <c r="I10836">
        <v>137.17850000000001</v>
      </c>
      <c r="J10836">
        <v>-130.7287</v>
      </c>
      <c r="K10836">
        <v>1.114276</v>
      </c>
      <c r="L10836">
        <v>137.24430000000001</v>
      </c>
      <c r="M10836">
        <v>0.99891479999999999</v>
      </c>
      <c r="N10836">
        <v>0</v>
      </c>
      <c r="O10836">
        <v>-2.5063459999999999E-2</v>
      </c>
      <c r="P10836">
        <v>0.99950640000000002</v>
      </c>
      <c r="Q10836">
        <v>2.1695030000000001E-2</v>
      </c>
      <c r="R10836">
        <v>-2.2726719999999999E-2</v>
      </c>
      <c r="S10836">
        <v>3.0065309999999998</v>
      </c>
      <c r="T10836">
        <v>-0.48473440000000001</v>
      </c>
      <c r="U10836">
        <v>-0.27825929999999999</v>
      </c>
      <c r="V10836">
        <v>-2.3543539999999999E-3</v>
      </c>
      <c r="W10836">
        <v>6.0926649999999999E-2</v>
      </c>
      <c r="X10836">
        <v>0.99813940000000001</v>
      </c>
      <c r="Y10836">
        <v>6.6621079999999999E-2</v>
      </c>
      <c r="Z10836">
        <v>-1.3167389999999999E-3</v>
      </c>
      <c r="AA10836">
        <v>0.99777749999999998</v>
      </c>
      <c r="AB10836">
        <v>4</v>
      </c>
      <c r="AC10836">
        <v>0.68470000000001996</v>
      </c>
      <c r="AD10836">
        <v>-0.11625199999999999</v>
      </c>
      <c r="AE10836">
        <v>-6.5799999999995806E-2</v>
      </c>
      <c r="AF10836">
        <v>4.7255341924627797E-2</v>
      </c>
      <c r="AG10836">
        <v>-0.11625199999999999</v>
      </c>
      <c r="AH10836">
        <v>0.66708101694247801</v>
      </c>
      <c r="AI10836">
        <v>99.861414823658606</v>
      </c>
      <c r="AJ10836">
        <v>85.9479939817614</v>
      </c>
      <c r="AK10836">
        <v>0.67878176022151904</v>
      </c>
      <c r="AL10836">
        <v>86.506996538057507</v>
      </c>
      <c r="AM10836">
        <v>90.135145749692995</v>
      </c>
      <c r="AN10836">
        <v>0.99999993074766702</v>
      </c>
    </row>
    <row r="10837" spans="1:40" x14ac:dyDescent="0.25">
      <c r="A10837" t="str">
        <f>"20190312150931945"</f>
        <v>20190312150931945</v>
      </c>
      <c r="B10837" t="str">
        <f>"1552374571939780"</f>
        <v>1552374571939780</v>
      </c>
      <c r="C10837" t="s">
        <v>40</v>
      </c>
      <c r="D10837">
        <v>5.0037399999999996</v>
      </c>
      <c r="E10837">
        <v>0.55107850000000003</v>
      </c>
      <c r="F10837" t="s">
        <v>41</v>
      </c>
      <c r="G10837">
        <v>-130.0196</v>
      </c>
      <c r="H10837">
        <v>0.99336760000000002</v>
      </c>
      <c r="I10837">
        <v>137.1585</v>
      </c>
      <c r="J10837">
        <v>-130.7056</v>
      </c>
      <c r="K10837">
        <v>1.1143890000000001</v>
      </c>
      <c r="L10837">
        <v>137.24369999999999</v>
      </c>
      <c r="M10837">
        <v>0.99887979999999998</v>
      </c>
      <c r="N10837">
        <v>0</v>
      </c>
      <c r="O10837">
        <v>-2.5083600000000001E-2</v>
      </c>
      <c r="P10837">
        <v>0.99953159999999996</v>
      </c>
      <c r="Q10837">
        <v>2.047038E-2</v>
      </c>
      <c r="R10837">
        <v>-2.2756930000000002E-2</v>
      </c>
      <c r="S10837">
        <v>3.0043489999999999</v>
      </c>
      <c r="T10837">
        <v>-0.51228509999999905</v>
      </c>
      <c r="U10837">
        <v>-0.3633575</v>
      </c>
      <c r="V10837">
        <v>-2.346314E-3</v>
      </c>
      <c r="W10837">
        <v>6.0572540000000001E-2</v>
      </c>
      <c r="X10837">
        <v>0.99816099999999996</v>
      </c>
      <c r="Y10837">
        <v>9.4127569999999994E-2</v>
      </c>
      <c r="Z10837">
        <v>-3.7063769999999998E-3</v>
      </c>
      <c r="AA10837">
        <v>0.99555329999999997</v>
      </c>
      <c r="AB10837">
        <v>4</v>
      </c>
      <c r="AC10837">
        <v>0.68600000000000705</v>
      </c>
      <c r="AD10837">
        <v>-0.121021399999999</v>
      </c>
      <c r="AE10837">
        <v>-8.5199999999986106E-2</v>
      </c>
      <c r="AF10837">
        <v>6.5931152185595004E-2</v>
      </c>
      <c r="AG10837">
        <v>-0.121021399999999</v>
      </c>
      <c r="AH10837">
        <v>0.66746495947618201</v>
      </c>
      <c r="AI10837">
        <v>100.228215782395</v>
      </c>
      <c r="AJ10837">
        <v>84.358712068366302</v>
      </c>
      <c r="AK10837">
        <v>0.68154425257280404</v>
      </c>
      <c r="AL10837">
        <v>86.527323191642907</v>
      </c>
      <c r="AM10837">
        <v>90.134681320957995</v>
      </c>
      <c r="AN10837">
        <v>0.99999995985621803</v>
      </c>
    </row>
    <row r="10838" spans="1:40" x14ac:dyDescent="0.25">
      <c r="A10838" t="str">
        <f>"20190312150931967"</f>
        <v>20190312150931967</v>
      </c>
      <c r="B10838" t="str">
        <f>"1552374571960276"</f>
        <v>1552374571960276</v>
      </c>
      <c r="C10838" t="s">
        <v>40</v>
      </c>
      <c r="D10838">
        <v>5.1414499999999999</v>
      </c>
      <c r="E10838">
        <v>0.55270989999999998</v>
      </c>
      <c r="F10838" t="s">
        <v>41</v>
      </c>
      <c r="G10838">
        <v>-130.0179</v>
      </c>
      <c r="H10838">
        <v>0.92222360000000003</v>
      </c>
      <c r="I10838">
        <v>137.1396</v>
      </c>
      <c r="J10838">
        <v>-130.68770000000001</v>
      </c>
      <c r="K10838">
        <v>1.1143829999999999</v>
      </c>
      <c r="L10838">
        <v>137.2432</v>
      </c>
      <c r="M10838">
        <v>0.99885990000000002</v>
      </c>
      <c r="N10838">
        <v>0</v>
      </c>
      <c r="O10838">
        <v>-2.51002E-2</v>
      </c>
      <c r="P10838">
        <v>0.99953250000000005</v>
      </c>
      <c r="Q10838">
        <v>1.9711090000000001E-2</v>
      </c>
      <c r="R10838">
        <v>-2.3380640000000001E-2</v>
      </c>
      <c r="S10838">
        <v>3.0082550000000001</v>
      </c>
      <c r="T10838">
        <v>-0.84059889999999904</v>
      </c>
      <c r="U10838">
        <v>-0.4550323</v>
      </c>
      <c r="V10838">
        <v>-1.7394929999999999E-3</v>
      </c>
      <c r="W10838">
        <v>6.029648E-2</v>
      </c>
      <c r="X10838">
        <v>0.99817900000000004</v>
      </c>
      <c r="Y10838">
        <v>0.12108239999999899</v>
      </c>
      <c r="Z10838">
        <v>-9.6632920000000004E-3</v>
      </c>
      <c r="AA10838">
        <v>0.99259540000000002</v>
      </c>
      <c r="AB10838">
        <v>2</v>
      </c>
      <c r="AC10838">
        <v>0.66980000000000905</v>
      </c>
      <c r="AD10838">
        <v>-0.19215940000000001</v>
      </c>
      <c r="AE10838">
        <v>-0.1036</v>
      </c>
      <c r="AF10838">
        <v>8.0287543429092695E-2</v>
      </c>
      <c r="AG10838">
        <v>-0.19215940000000001</v>
      </c>
      <c r="AH10838">
        <v>0.62217844844592995</v>
      </c>
      <c r="AI10838">
        <v>107.0303256988</v>
      </c>
      <c r="AJ10838">
        <v>82.647036094704404</v>
      </c>
      <c r="AK10838">
        <v>0.65610772465260803</v>
      </c>
      <c r="AL10838">
        <v>86.543169380878695</v>
      </c>
      <c r="AM10838">
        <v>90.099847328486803</v>
      </c>
      <c r="AN10838">
        <v>1.0000000036886401</v>
      </c>
    </row>
    <row r="10839" spans="1:40" x14ac:dyDescent="0.25">
      <c r="A10839" t="str">
        <f>"20190312150931989"</f>
        <v>20190312150931989</v>
      </c>
      <c r="B10839" t="str">
        <f>"1552374571979796"</f>
        <v>1552374571979796</v>
      </c>
      <c r="C10839" t="s">
        <v>40</v>
      </c>
      <c r="D10839">
        <v>4.9129319999999996</v>
      </c>
      <c r="E10839">
        <v>0.553774199999999</v>
      </c>
      <c r="F10839" t="s">
        <v>41</v>
      </c>
      <c r="G10839">
        <v>-130.0026</v>
      </c>
      <c r="H10839">
        <v>0.92070059999999998</v>
      </c>
      <c r="I10839">
        <v>137.1362</v>
      </c>
      <c r="J10839">
        <v>-130.6694</v>
      </c>
      <c r="K10839">
        <v>1.114034</v>
      </c>
      <c r="L10839">
        <v>137.24279999999999</v>
      </c>
      <c r="M10839">
        <v>0.99889090000000003</v>
      </c>
      <c r="N10839">
        <v>0</v>
      </c>
      <c r="O10839">
        <v>-2.5133760000000002E-2</v>
      </c>
      <c r="P10839">
        <v>0.99951239999999997</v>
      </c>
      <c r="Q10839">
        <v>2.0056439999999998E-2</v>
      </c>
      <c r="R10839">
        <v>-2.3933119999999999E-2</v>
      </c>
      <c r="S10839">
        <v>3.0071720000000002</v>
      </c>
      <c r="T10839">
        <v>-0.8501396</v>
      </c>
      <c r="U10839">
        <v>-0.46928409999999898</v>
      </c>
      <c r="V10839">
        <v>-1.217388E-3</v>
      </c>
      <c r="W10839">
        <v>5.9850019999999997E-2</v>
      </c>
      <c r="X10839">
        <v>0.99820660000000005</v>
      </c>
      <c r="Y10839">
        <v>0.12545149999999999</v>
      </c>
      <c r="Z10839">
        <v>-1.036231E-2</v>
      </c>
      <c r="AA10839">
        <v>0.99204559999999997</v>
      </c>
      <c r="AB10839">
        <v>2</v>
      </c>
      <c r="AC10839">
        <v>0.66679999999999495</v>
      </c>
      <c r="AD10839">
        <v>-0.19333339999999999</v>
      </c>
      <c r="AE10839">
        <v>-0.106599999999986</v>
      </c>
      <c r="AF10839">
        <v>8.2990898613693603E-2</v>
      </c>
      <c r="AG10839">
        <v>-0.19333339999999999</v>
      </c>
      <c r="AH10839">
        <v>0.61856569783043602</v>
      </c>
      <c r="AI10839">
        <v>107.211698500225</v>
      </c>
      <c r="AJ10839">
        <v>82.358449204811393</v>
      </c>
      <c r="AK10839">
        <v>0.65336728976948499</v>
      </c>
      <c r="AL10839">
        <v>86.568795792444504</v>
      </c>
      <c r="AM10839">
        <v>90.069876476320701</v>
      </c>
      <c r="AN10839">
        <v>0.99999996160555005</v>
      </c>
    </row>
    <row r="10840" spans="1:40" x14ac:dyDescent="0.25">
      <c r="A10840" t="str">
        <f>"20190312150932012"</f>
        <v>20190312150932012</v>
      </c>
      <c r="B10840" t="str">
        <f>"1552374572000292"</f>
        <v>1552374572000292</v>
      </c>
      <c r="C10840" t="s">
        <v>40</v>
      </c>
      <c r="D10840">
        <v>5.1199180000000002</v>
      </c>
      <c r="E10840">
        <v>0.55373059999999996</v>
      </c>
      <c r="F10840" t="s">
        <v>41</v>
      </c>
      <c r="G10840">
        <v>-129.98679999999999</v>
      </c>
      <c r="H10840">
        <v>0.9194696</v>
      </c>
      <c r="I10840">
        <v>137.13390000000001</v>
      </c>
      <c r="J10840">
        <v>-130.6507</v>
      </c>
      <c r="K10840">
        <v>1.1134550000000001</v>
      </c>
      <c r="L10840">
        <v>137.2422</v>
      </c>
      <c r="M10840">
        <v>0.99896549999999995</v>
      </c>
      <c r="N10840">
        <v>0</v>
      </c>
      <c r="O10840">
        <v>-2.5186150000000001E-2</v>
      </c>
      <c r="P10840">
        <v>0.99947319999999995</v>
      </c>
      <c r="Q10840">
        <v>2.1494739999999998E-2</v>
      </c>
      <c r="R10840">
        <v>-2.4320999999999999E-2</v>
      </c>
      <c r="S10840">
        <v>3.0071870000000001</v>
      </c>
      <c r="T10840">
        <v>-0.85708240000000002</v>
      </c>
      <c r="U10840">
        <v>-0.4792786</v>
      </c>
      <c r="V10840">
        <v>-8.766119E-4</v>
      </c>
      <c r="W10840">
        <v>5.9336420000000001E-2</v>
      </c>
      <c r="X10840">
        <v>0.99823770000000001</v>
      </c>
      <c r="Y10840">
        <v>0.1284438</v>
      </c>
      <c r="Z10840">
        <v>-1.0842849999999999E-2</v>
      </c>
      <c r="AA10840">
        <v>0.99165749999999997</v>
      </c>
      <c r="AB10840">
        <v>2</v>
      </c>
      <c r="AC10840">
        <v>0.66390000000001204</v>
      </c>
      <c r="AD10840">
        <v>-0.193985399999999</v>
      </c>
      <c r="AE10840">
        <v>-0.10829999999998501</v>
      </c>
      <c r="AF10840">
        <v>8.4504882131803002E-2</v>
      </c>
      <c r="AG10840">
        <v>-0.193985399999999</v>
      </c>
      <c r="AH10840">
        <v>0.61525280321936804</v>
      </c>
      <c r="AI10840">
        <v>107.346780840444</v>
      </c>
      <c r="AJ10840">
        <v>82.179366817121803</v>
      </c>
      <c r="AK10840">
        <v>0.65062079768983705</v>
      </c>
      <c r="AL10840">
        <v>86.598275574185905</v>
      </c>
      <c r="AM10840">
        <v>90.050314819035606</v>
      </c>
      <c r="AN10840">
        <v>1.00000004244406</v>
      </c>
    </row>
    <row r="10841" spans="1:40" x14ac:dyDescent="0.25">
      <c r="A10841" t="str">
        <f>"20190312150932033"</f>
        <v>20190312150932033</v>
      </c>
      <c r="B10841" t="str">
        <f>"1552374572030077"</f>
        <v>1552374572030077</v>
      </c>
      <c r="C10841" t="s">
        <v>40</v>
      </c>
      <c r="D10841">
        <v>5.0938840000000001</v>
      </c>
      <c r="E10841">
        <v>0.55419269999999998</v>
      </c>
      <c r="F10841" t="s">
        <v>41</v>
      </c>
      <c r="G10841">
        <v>-129.97120000000001</v>
      </c>
      <c r="H10841">
        <v>0.91855319999999996</v>
      </c>
      <c r="I10841">
        <v>137.1337</v>
      </c>
      <c r="J10841">
        <v>-130.6336</v>
      </c>
      <c r="K10841">
        <v>1.112967</v>
      </c>
      <c r="L10841">
        <v>137.24180000000001</v>
      </c>
      <c r="M10841">
        <v>0.99903949999999997</v>
      </c>
      <c r="N10841">
        <v>0</v>
      </c>
      <c r="O10841">
        <v>-2.5238E-2</v>
      </c>
      <c r="P10841">
        <v>0.99941349999999995</v>
      </c>
      <c r="Q10841">
        <v>2.2943140000000001E-2</v>
      </c>
      <c r="R10841">
        <v>-2.5423790000000002E-2</v>
      </c>
      <c r="S10841">
        <v>3.0084379999999999</v>
      </c>
      <c r="T10841">
        <v>-0.86292860000000005</v>
      </c>
      <c r="U10841">
        <v>-0.4799042</v>
      </c>
      <c r="V10841">
        <v>1.7866360000000001E-4</v>
      </c>
      <c r="W10841">
        <v>5.8742839999999998E-2</v>
      </c>
      <c r="X10841">
        <v>0.99827310000000002</v>
      </c>
      <c r="Y10841">
        <v>0.12848129999999999</v>
      </c>
      <c r="Z10841">
        <v>-1.090081E-2</v>
      </c>
      <c r="AA10841">
        <v>0.99165199999999998</v>
      </c>
      <c r="AB10841">
        <v>2</v>
      </c>
      <c r="AC10841">
        <v>0.662399999999991</v>
      </c>
      <c r="AD10841">
        <v>-0.1944138</v>
      </c>
      <c r="AE10841">
        <v>-0.108100000000007</v>
      </c>
      <c r="AF10841">
        <v>8.4266574529454893E-2</v>
      </c>
      <c r="AG10841">
        <v>-0.1944138</v>
      </c>
      <c r="AH10841">
        <v>0.61344623889011696</v>
      </c>
      <c r="AI10841">
        <v>107.43084359063501</v>
      </c>
      <c r="AJ10841">
        <v>82.178466271877895</v>
      </c>
      <c r="AK10841">
        <v>0.64900991457896695</v>
      </c>
      <c r="AL10841">
        <v>86.632344378681097</v>
      </c>
      <c r="AM10841">
        <v>89.9897456215906</v>
      </c>
      <c r="AN10841">
        <v>0.99999996767777799</v>
      </c>
    </row>
    <row r="10842" spans="1:40" x14ac:dyDescent="0.25">
      <c r="A10842" t="str">
        <f>"20190312150932055"</f>
        <v>20190312150932055</v>
      </c>
      <c r="B10842" t="str">
        <f>"1552374572049597"</f>
        <v>1552374572049597</v>
      </c>
      <c r="C10842" t="s">
        <v>40</v>
      </c>
      <c r="D10842">
        <v>5.1058669999999999</v>
      </c>
      <c r="E10842">
        <v>0.55518230000000002</v>
      </c>
      <c r="F10842" t="s">
        <v>41</v>
      </c>
      <c r="G10842">
        <v>-129.9563</v>
      </c>
      <c r="H10842">
        <v>0.91898250000000004</v>
      </c>
      <c r="I10842">
        <v>137.13210000000001</v>
      </c>
      <c r="J10842">
        <v>-130.61879999999999</v>
      </c>
      <c r="K10842">
        <v>1.112663</v>
      </c>
      <c r="L10842">
        <v>137.2413</v>
      </c>
      <c r="M10842">
        <v>0.99909729999999997</v>
      </c>
      <c r="N10842">
        <v>0</v>
      </c>
      <c r="O10842">
        <v>-2.527743E-2</v>
      </c>
      <c r="P10842">
        <v>0.99935390000000002</v>
      </c>
      <c r="Q10842">
        <v>2.4612209999999999E-2</v>
      </c>
      <c r="R10842">
        <v>-2.6193330000000001E-2</v>
      </c>
      <c r="S10842">
        <v>3.0091860000000001</v>
      </c>
      <c r="T10842">
        <v>-0.86179789999999901</v>
      </c>
      <c r="U10842">
        <v>-0.48674010000000001</v>
      </c>
      <c r="V10842">
        <v>9.1226770000000005E-4</v>
      </c>
      <c r="W10842">
        <v>5.8732380000000001E-2</v>
      </c>
      <c r="X10842">
        <v>0.99827339999999998</v>
      </c>
      <c r="Y10842">
        <v>0.1305364</v>
      </c>
      <c r="Z10842">
        <v>-1.115884E-2</v>
      </c>
      <c r="AA10842">
        <v>0.99138079999999995</v>
      </c>
      <c r="AB10842">
        <v>2</v>
      </c>
      <c r="AC10842">
        <v>0.66249999999999398</v>
      </c>
      <c r="AD10842">
        <v>-0.19368049999999901</v>
      </c>
      <c r="AE10842">
        <v>-0.109199999999987</v>
      </c>
      <c r="AF10842">
        <v>8.5310591135678404E-2</v>
      </c>
      <c r="AG10842">
        <v>-0.19368049999999901</v>
      </c>
      <c r="AH10842">
        <v>0.61396406866158404</v>
      </c>
      <c r="AI10842">
        <v>107.35178500036901</v>
      </c>
      <c r="AJ10842">
        <v>82.089376198842899</v>
      </c>
      <c r="AK10842">
        <v>0.64941659252567296</v>
      </c>
      <c r="AL10842">
        <v>86.632945016432302</v>
      </c>
      <c r="AM10842">
        <v>89.947640521678807</v>
      </c>
      <c r="AN10842">
        <v>1.00000005292018</v>
      </c>
    </row>
    <row r="10843" spans="1:40" x14ac:dyDescent="0.25">
      <c r="A10843" t="str">
        <f>"20190312150932077"</f>
        <v>20190312150932077</v>
      </c>
      <c r="B10843" t="str">
        <f>"1552374572070094"</f>
        <v>1552374572070094</v>
      </c>
      <c r="C10843" t="s">
        <v>40</v>
      </c>
      <c r="D10843">
        <v>5.1078710000000003</v>
      </c>
      <c r="E10843">
        <v>0.55541529999999995</v>
      </c>
      <c r="F10843" t="s">
        <v>41</v>
      </c>
      <c r="G10843">
        <v>-129.9435</v>
      </c>
      <c r="H10843">
        <v>0.91981570000000001</v>
      </c>
      <c r="I10843">
        <v>137.12960000000001</v>
      </c>
      <c r="J10843">
        <v>-130.60650000000001</v>
      </c>
      <c r="K10843">
        <v>1.112533</v>
      </c>
      <c r="L10843">
        <v>137.24100000000001</v>
      </c>
      <c r="M10843">
        <v>0.99913850000000004</v>
      </c>
      <c r="N10843">
        <v>0</v>
      </c>
      <c r="O10843">
        <v>-2.5301779999999999E-2</v>
      </c>
      <c r="P10843">
        <v>0.99932730000000003</v>
      </c>
      <c r="Q10843">
        <v>2.510368E-2</v>
      </c>
      <c r="R10843">
        <v>-2.6738620000000001E-2</v>
      </c>
      <c r="S10843">
        <v>3.0100709999999999</v>
      </c>
      <c r="T10843">
        <v>-0.85956270000000001</v>
      </c>
      <c r="U10843">
        <v>-0.49734499999999998</v>
      </c>
      <c r="V10843">
        <v>1.434039E-3</v>
      </c>
      <c r="W10843">
        <v>5.7975970000000002E-2</v>
      </c>
      <c r="X10843">
        <v>0.99831689999999995</v>
      </c>
      <c r="Y10843">
        <v>0.13376979999999999</v>
      </c>
      <c r="Z10843">
        <v>-1.156826E-2</v>
      </c>
      <c r="AA10843">
        <v>0.99094490000000002</v>
      </c>
      <c r="AB10843">
        <v>2</v>
      </c>
      <c r="AC10843">
        <v>0.66300000000001003</v>
      </c>
      <c r="AD10843">
        <v>-0.19271730000000001</v>
      </c>
      <c r="AE10843">
        <v>-0.111400000000003</v>
      </c>
      <c r="AF10843">
        <v>8.7398440576390193E-2</v>
      </c>
      <c r="AG10843">
        <v>-0.19271730000000001</v>
      </c>
      <c r="AH10843">
        <v>0.61506649494712595</v>
      </c>
      <c r="AI10843">
        <v>107.234488956143</v>
      </c>
      <c r="AJ10843">
        <v>81.9126446514924</v>
      </c>
      <c r="AK10843">
        <v>0.65045002755093995</v>
      </c>
      <c r="AL10843">
        <v>86.676357755632495</v>
      </c>
      <c r="AM10843">
        <v>89.917697150229102</v>
      </c>
      <c r="AN10843">
        <v>0.99999995119545104</v>
      </c>
    </row>
    <row r="10844" spans="1:40" x14ac:dyDescent="0.25">
      <c r="A10844" t="str">
        <f>"20190312150932100"</f>
        <v>20190312150932100</v>
      </c>
      <c r="B10844" t="str">
        <f>"1552374572089613"</f>
        <v>1552374572089613</v>
      </c>
      <c r="C10844" t="s">
        <v>40</v>
      </c>
      <c r="D10844">
        <v>4.8053520000000001</v>
      </c>
      <c r="E10844">
        <v>0.5554289</v>
      </c>
      <c r="F10844" t="s">
        <v>41</v>
      </c>
      <c r="G10844">
        <v>-129.93350000000001</v>
      </c>
      <c r="H10844">
        <v>0.91988119999999995</v>
      </c>
      <c r="I10844">
        <v>137.12880000000001</v>
      </c>
      <c r="J10844">
        <v>-130.59700000000001</v>
      </c>
      <c r="K10844">
        <v>1.1124940000000001</v>
      </c>
      <c r="L10844">
        <v>137.2407</v>
      </c>
      <c r="M10844">
        <v>0.99916919999999998</v>
      </c>
      <c r="N10844">
        <v>0</v>
      </c>
      <c r="O10844">
        <v>-2.5316539999999998E-2</v>
      </c>
      <c r="P10844">
        <v>0.99929219999999996</v>
      </c>
      <c r="Q10844">
        <v>2.570163E-2</v>
      </c>
      <c r="R10844">
        <v>-2.7469810000000001E-2</v>
      </c>
      <c r="S10844">
        <v>3.0102540000000002</v>
      </c>
      <c r="T10844">
        <v>-0.86178339999999998</v>
      </c>
      <c r="U10844">
        <v>-0.50140379999999996</v>
      </c>
      <c r="V10844">
        <v>2.150833E-3</v>
      </c>
      <c r="W10844">
        <v>5.7613699999999997E-2</v>
      </c>
      <c r="X10844">
        <v>0.99833660000000002</v>
      </c>
      <c r="Y10844">
        <v>0.13497999999999999</v>
      </c>
      <c r="Z10844">
        <v>-1.176002E-2</v>
      </c>
      <c r="AA10844">
        <v>0.99077850000000001</v>
      </c>
      <c r="AB10844">
        <v>1</v>
      </c>
      <c r="AC10844">
        <v>0.66349999999999898</v>
      </c>
      <c r="AD10844">
        <v>-0.1926128</v>
      </c>
      <c r="AE10844">
        <v>-0.11189999999999101</v>
      </c>
      <c r="AF10844">
        <v>8.7858660002920197E-2</v>
      </c>
      <c r="AG10844">
        <v>-0.1926128</v>
      </c>
      <c r="AH10844">
        <v>0.61567191746984096</v>
      </c>
      <c r="AI10844">
        <v>107.208385354542</v>
      </c>
      <c r="AJ10844">
        <v>81.8785136816972</v>
      </c>
      <c r="AK10844">
        <v>0.65105356524815905</v>
      </c>
      <c r="AL10844">
        <v>86.697149099819399</v>
      </c>
      <c r="AM10844">
        <v>89.876561209240904</v>
      </c>
      <c r="AN10844">
        <v>0.999999965704921</v>
      </c>
    </row>
    <row r="10845" spans="1:40" x14ac:dyDescent="0.25">
      <c r="A10845" t="str">
        <f>"20190312150932124"</f>
        <v>20190312150932124</v>
      </c>
      <c r="B10845" t="str">
        <f>"1552374572119869"</f>
        <v>1552374572119869</v>
      </c>
      <c r="C10845" t="s">
        <v>40</v>
      </c>
      <c r="D10845">
        <v>4.8711279999999997</v>
      </c>
      <c r="E10845">
        <v>0.56166340000000003</v>
      </c>
      <c r="F10845" t="s">
        <v>41</v>
      </c>
      <c r="G10845">
        <v>-129.92570000000001</v>
      </c>
      <c r="H10845">
        <v>0.92013069999999997</v>
      </c>
      <c r="I10845">
        <v>137.12809999999999</v>
      </c>
      <c r="J10845">
        <v>-130.58920000000001</v>
      </c>
      <c r="K10845">
        <v>1.112471</v>
      </c>
      <c r="L10845">
        <v>137.24039999999999</v>
      </c>
      <c r="M10845">
        <v>0.99919979999999997</v>
      </c>
      <c r="N10845">
        <v>0</v>
      </c>
      <c r="O10845">
        <v>-2.533096E-2</v>
      </c>
      <c r="P10845">
        <v>0.9992702</v>
      </c>
      <c r="Q10845">
        <v>2.6569229999999999E-2</v>
      </c>
      <c r="R10845">
        <v>-2.7441509999999999E-2</v>
      </c>
      <c r="S10845">
        <v>3.0104519999999999</v>
      </c>
      <c r="T10845">
        <v>-0.86260490000000001</v>
      </c>
      <c r="U10845">
        <v>-0.50421139999999998</v>
      </c>
      <c r="V10845">
        <v>2.107898E-3</v>
      </c>
      <c r="W10845">
        <v>5.7498979999999998E-2</v>
      </c>
      <c r="X10845">
        <v>0.99834330000000004</v>
      </c>
      <c r="Y10845">
        <v>0.13581589999999999</v>
      </c>
      <c r="Z10845">
        <v>-1.188206E-2</v>
      </c>
      <c r="AA10845">
        <v>0.99066279999999995</v>
      </c>
      <c r="AB10845">
        <v>1</v>
      </c>
      <c r="AC10845">
        <v>0.66349999999999898</v>
      </c>
      <c r="AD10845">
        <v>-0.19234029999999999</v>
      </c>
      <c r="AE10845">
        <v>-0.11230000000000399</v>
      </c>
      <c r="AF10845">
        <v>8.8240060673864099E-2</v>
      </c>
      <c r="AG10845">
        <v>-0.19234029999999999</v>
      </c>
      <c r="AH10845">
        <v>0.61582357185770398</v>
      </c>
      <c r="AI10845">
        <v>107.18016816526099</v>
      </c>
      <c r="AJ10845">
        <v>81.845712671251206</v>
      </c>
      <c r="AK10845">
        <v>0.65116800517792495</v>
      </c>
      <c r="AL10845">
        <v>86.703732968395698</v>
      </c>
      <c r="AM10845">
        <v>89.879026102969604</v>
      </c>
      <c r="AN10845">
        <v>0.99999996029495297</v>
      </c>
    </row>
    <row r="10846" spans="1:40" x14ac:dyDescent="0.25">
      <c r="A10846" t="str">
        <f>"20190312150932149"</f>
        <v>20190312150932149</v>
      </c>
      <c r="B10846" t="str">
        <f>"1552374572140366"</f>
        <v>1552374572140366</v>
      </c>
      <c r="C10846" t="s">
        <v>40</v>
      </c>
      <c r="D10846">
        <v>4.8635330000000003</v>
      </c>
      <c r="E10846">
        <v>0.56328199999999995</v>
      </c>
      <c r="F10846" t="s">
        <v>41</v>
      </c>
      <c r="G10846">
        <v>-129.93709999999999</v>
      </c>
      <c r="H10846">
        <v>0.87237779999999998</v>
      </c>
      <c r="I10846">
        <v>137.1216</v>
      </c>
      <c r="J10846">
        <v>-130.58349999999999</v>
      </c>
      <c r="K10846">
        <v>1.1123909999999999</v>
      </c>
      <c r="L10846">
        <v>137.24029999999999</v>
      </c>
      <c r="M10846">
        <v>0.99923410000000001</v>
      </c>
      <c r="N10846">
        <v>0</v>
      </c>
      <c r="O10846">
        <v>-2.5347080000000001E-2</v>
      </c>
      <c r="P10846">
        <v>0.99925390000000003</v>
      </c>
      <c r="Q10846">
        <v>2.7562150000000001E-2</v>
      </c>
      <c r="R10846">
        <v>-2.7057210000000002E-2</v>
      </c>
      <c r="S10846">
        <v>3.0166469999999999</v>
      </c>
      <c r="T10846">
        <v>-1.1105830000000001</v>
      </c>
      <c r="U10846">
        <v>-0.54952999999999996</v>
      </c>
      <c r="V10846">
        <v>1.7079249999999999E-3</v>
      </c>
      <c r="W10846">
        <v>5.7351880000000001E-2</v>
      </c>
      <c r="X10846">
        <v>0.99835260000000003</v>
      </c>
      <c r="Y10846">
        <v>0.146517799999999</v>
      </c>
      <c r="Z10846">
        <v>-1.6953369999999999E-2</v>
      </c>
      <c r="AA10846">
        <v>0.98906269999999996</v>
      </c>
      <c r="AB10846">
        <v>1</v>
      </c>
      <c r="AC10846">
        <v>0.64639999999999898</v>
      </c>
      <c r="AD10846">
        <v>-0.24001319999999901</v>
      </c>
      <c r="AE10846">
        <v>-0.11869999999998899</v>
      </c>
      <c r="AF10846">
        <v>9.0235334708732698E-2</v>
      </c>
      <c r="AG10846">
        <v>-0.24001319999999901</v>
      </c>
      <c r="AH10846">
        <v>0.57280596192934596</v>
      </c>
      <c r="AI10846">
        <v>112.48508985365601</v>
      </c>
      <c r="AJ10846">
        <v>81.047645834600601</v>
      </c>
      <c r="AK10846">
        <v>0.62757901640035796</v>
      </c>
      <c r="AL10846">
        <v>86.7121753535029</v>
      </c>
      <c r="AM10846">
        <v>89.901981725934306</v>
      </c>
      <c r="AN10846">
        <v>1.0000000345370399</v>
      </c>
    </row>
    <row r="10847" spans="1:40" x14ac:dyDescent="0.25">
      <c r="A10847" t="str">
        <f>"20190312150932169"</f>
        <v>20190312150932169</v>
      </c>
      <c r="B10847" t="str">
        <f>"1552374572159885"</f>
        <v>1552374572159885</v>
      </c>
      <c r="C10847" t="s">
        <v>40</v>
      </c>
      <c r="D10847">
        <v>4.8353539999999997</v>
      </c>
      <c r="E10847">
        <v>0.56277440000000001</v>
      </c>
      <c r="F10847" t="s">
        <v>41</v>
      </c>
      <c r="G10847">
        <v>-129.93440000000001</v>
      </c>
      <c r="H10847">
        <v>0.86920129999999995</v>
      </c>
      <c r="I10847">
        <v>137.11959999999999</v>
      </c>
      <c r="J10847">
        <v>-130.57939999999999</v>
      </c>
      <c r="K10847">
        <v>1.1122749999999999</v>
      </c>
      <c r="L10847">
        <v>137.24019999999999</v>
      </c>
      <c r="M10847">
        <v>0.9992666</v>
      </c>
      <c r="N10847">
        <v>0</v>
      </c>
      <c r="O10847">
        <v>-2.535919E-2</v>
      </c>
      <c r="P10847">
        <v>0.99923289999999998</v>
      </c>
      <c r="Q10847">
        <v>2.8995420000000001E-2</v>
      </c>
      <c r="R10847">
        <v>-2.631671E-2</v>
      </c>
      <c r="S10847">
        <v>3.0182190000000002</v>
      </c>
      <c r="T10847">
        <v>-1.13074599999999</v>
      </c>
      <c r="U10847">
        <v>-0.56079100000000004</v>
      </c>
      <c r="V10847">
        <v>9.5686060000000001E-4</v>
      </c>
      <c r="W10847">
        <v>5.766226E-2</v>
      </c>
      <c r="X10847">
        <v>0.99833570000000005</v>
      </c>
      <c r="Y10847">
        <v>0.149529</v>
      </c>
      <c r="Z10847">
        <v>-1.7766009999999999E-2</v>
      </c>
      <c r="AA10847">
        <v>0.98859779999999997</v>
      </c>
      <c r="AB10847">
        <v>1</v>
      </c>
      <c r="AC10847">
        <v>0.64499999999998103</v>
      </c>
      <c r="AD10847">
        <v>-0.243073699999999</v>
      </c>
      <c r="AE10847">
        <v>-0.120599999999996</v>
      </c>
      <c r="AF10847">
        <v>9.1624596497682204E-2</v>
      </c>
      <c r="AG10847">
        <v>-0.243073699999999</v>
      </c>
      <c r="AH10847">
        <v>0.56967799044064005</v>
      </c>
      <c r="AI10847">
        <v>112.84433726085901</v>
      </c>
      <c r="AJ10847">
        <v>80.863038538841707</v>
      </c>
      <c r="AK10847">
        <v>0.62610933798142498</v>
      </c>
      <c r="AL10847">
        <v>86.694362332967998</v>
      </c>
      <c r="AM10847">
        <v>89.945084547037098</v>
      </c>
      <c r="AN10847">
        <v>1.0000000108525</v>
      </c>
    </row>
    <row r="10848" spans="1:40" x14ac:dyDescent="0.25">
      <c r="A10848" t="str">
        <f>"20190312150932190"</f>
        <v>20190312150932190</v>
      </c>
      <c r="B10848" t="str">
        <f>"1552374572180382"</f>
        <v>1552374572180382</v>
      </c>
      <c r="C10848" t="s">
        <v>40</v>
      </c>
      <c r="D10848">
        <v>4.7241879999999998</v>
      </c>
      <c r="E10848">
        <v>0.56279959999999996</v>
      </c>
      <c r="F10848" t="s">
        <v>41</v>
      </c>
      <c r="G10848">
        <v>-129.92830000000001</v>
      </c>
      <c r="H10848">
        <v>0.87530540000000001</v>
      </c>
      <c r="I10848">
        <v>137.12010000000001</v>
      </c>
      <c r="J10848">
        <v>-130.57599999999999</v>
      </c>
      <c r="K10848">
        <v>1.112139</v>
      </c>
      <c r="L10848">
        <v>137.24010000000001</v>
      </c>
      <c r="M10848">
        <v>0.99929970000000001</v>
      </c>
      <c r="N10848">
        <v>0</v>
      </c>
      <c r="O10848">
        <v>-2.536739E-2</v>
      </c>
      <c r="P10848">
        <v>0.99921150000000003</v>
      </c>
      <c r="Q10848">
        <v>3.053962E-2</v>
      </c>
      <c r="R10848">
        <v>-2.5377690000000001E-2</v>
      </c>
      <c r="S10848">
        <v>3.0195310000000002</v>
      </c>
      <c r="T10848">
        <v>-1.0987819999999999</v>
      </c>
      <c r="U10848">
        <v>-0.55639649999999996</v>
      </c>
      <c r="V10848" s="1">
        <v>1.178321E-5</v>
      </c>
      <c r="W10848">
        <v>5.8020719999999998E-2</v>
      </c>
      <c r="X10848">
        <v>0.99831539999999996</v>
      </c>
      <c r="Y10848">
        <v>0.14855850000000001</v>
      </c>
      <c r="Z10848">
        <v>-1.711652E-2</v>
      </c>
      <c r="AA10848">
        <v>0.98875550000000001</v>
      </c>
      <c r="AB10848">
        <v>1</v>
      </c>
      <c r="AC10848">
        <v>0.64769999999998595</v>
      </c>
      <c r="AD10848">
        <v>-0.23683360000000001</v>
      </c>
      <c r="AE10848">
        <v>-0.12000000000000401</v>
      </c>
      <c r="AF10848">
        <v>9.1674369320358398E-2</v>
      </c>
      <c r="AG10848">
        <v>-0.23683360000000001</v>
      </c>
      <c r="AH10848">
        <v>0.576070739612069</v>
      </c>
      <c r="AI10848">
        <v>112.097647122099</v>
      </c>
      <c r="AJ10848">
        <v>80.957922185784298</v>
      </c>
      <c r="AK10848">
        <v>0.62956480295235795</v>
      </c>
      <c r="AL10848">
        <v>86.673789678472801</v>
      </c>
      <c r="AM10848">
        <v>89.999323732557698</v>
      </c>
      <c r="AN10848">
        <v>1.0000000209826601</v>
      </c>
    </row>
  </sheetData>
  <phoneticPr fontId="18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TxtToExcel_Tem_Txt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吕泽众</dc:creator>
  <cp:lastModifiedBy>吕泽众</cp:lastModifiedBy>
  <dcterms:created xsi:type="dcterms:W3CDTF">2020-05-20T14:50:35Z</dcterms:created>
  <dcterms:modified xsi:type="dcterms:W3CDTF">2020-05-20T14:50:36Z</dcterms:modified>
</cp:coreProperties>
</file>